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019"/>
  <sheetViews>
    <sheetView workbookViewId="0">
      <selection activeCell="A1" sqref="A1"/>
    </sheetView>
  </sheetViews>
  <sheetFormatPr baseColWidth="8" defaultRowHeight="15"/>
  <sheetData>
    <row r="1">
      <c r="A1" t="inlineStr">
        <is>
          <t>词汇</t>
        </is>
      </c>
      <c r="B1" t="inlineStr">
        <is>
          <t>状态</t>
        </is>
      </c>
      <c r="C1" t="inlineStr">
        <is>
          <t>词义</t>
        </is>
      </c>
      <c r="D1" t="inlineStr">
        <is>
          <t>常用搭配</t>
        </is>
      </c>
      <c r="E1" t="inlineStr">
        <is>
          <t>类似词</t>
        </is>
      </c>
      <c r="F1" t="inlineStr">
        <is>
          <t>使用场景</t>
        </is>
      </c>
      <c r="G1" t="inlineStr">
        <is>
          <t>起始搭配</t>
        </is>
      </c>
      <c r="H1" t="inlineStr">
        <is>
          <t>例句数量</t>
        </is>
      </c>
      <c r="I1" t="inlineStr">
        <is>
          <t>例句内容</t>
        </is>
      </c>
      <c r="J1" t="inlineStr">
        <is>
          <t>详情链接</t>
        </is>
      </c>
      <c r="K1" t="inlineStr">
        <is>
          <t>例句链接</t>
        </is>
      </c>
    </row>
    <row r="2">
      <c r="A2" t="inlineStr">
        <is>
          <t>あ</t>
        </is>
      </c>
      <c r="B2" t="inlineStr">
        <is>
          <t>成功</t>
        </is>
      </c>
      <c r="C2" t="inlineStr">
        <is>
          <t>１五十音図ア行の第1音。五母音の一。後舌の開母音。［a］
２平仮名「あ」は「安」の草体、片仮名「ア」は「阿」の偏から変化したもの。</t>
        </is>
      </c>
      <c r="D2" t="inlineStr">
        <is>
          <t>あつて(11%)；あたくし(3%)；あたま(3%)；あつた(3%)；あわれ(3%)</t>
        </is>
      </c>
      <c r="F2" t="inlineStr">
        <is>
          <t>ありし；ああした；あやつ；あらむ；あ見やがれ</t>
        </is>
      </c>
      <c r="G2" t="inlineStr">
        <is>
          <t>あり；あの；あと；あろ；あれ</t>
        </is>
      </c>
      <c r="H2" t="n">
        <v>29</v>
      </c>
      <c r="I2" t="inlineStr">
        <is>
          <t>ある日ガールハントをしていたあたるはコーラの缶で手を切ってしまう。；そのあたりの人は「砂ほりばばあが住んでる」と恐れられているという。；日中はあ27系統あ29系統共に基本的に長尺車と標準尺車が充当する。；あたる達は、面堂家に伝わる「鬼姫伝説」をヒントに映画を作っていた。；合併と同時に、旧あお信店において統廃合を実施されることになった。；編み進んで目数が増えたら、輪針に取り換えて編み進むと便利であ る。；見つけたことはあるが、捕まえていないもんすたあは姿しか見ることができない。；夢邪鬼はそんなあたるたちの様子に呆れながら、獏とともに去ってゆく。；玄関ホールで何事かあったらしく、鉢植えが倒れ鏡は粉々に割れていた。；「あ」と複数連続で記述することにより、長さを表現することがある。；またスチル写真用に撮影風景を再現して撮影することもあ。；やっと自分の真珠を渡した少年と再会することができたるちあ。；本人が直接大海人皇子の養育にあたったと考えにくい理由である。；再び左手あくしゅスイッチを長押しするとおでかけモードが解除される。；警察官は「あ、切れちゃった」と言って、携帯電話を父親に返したという。；そこには、美人だが近寄り難い印象の同級生・中山りあが立っていた。；この場合は、音は「あね」であるが「姐さん」と表記するのが普通である。；父親が行方不明中のあきはは、小学生ながら一人で生活しているしっかり者。；「あさま」編成は外部塗装の違い以外に以下の点が変更された。；それは事實であつて私に関する限り私はそれを眞實であると信ずるものである。；長崎の教会「さんた・るちあ」に、「ろおれんぞ」という美少年がいた。；俳人としても広く活動し、そのあつまりの句集に句や絵を寄せている。；あ号・捷号・天号作戦期間中の海軍搭乗員の戦死者数を下表 に挙げる。；天におひて 御をんたあで のままなるるがごとく、 地におひてもあらせ 給へ。；晩年のワーズワスは突発的に泣き崩れることがよくあ ったという。；レーサーとのレースはスタート地点からお互いのもんすたあが走り始めて、先にゴールした方が勝ちとなる。；そして二宮家に潜入していた芳一はキンジローを抱いたあづきと出会う。；精々外に出ていると「あ、ウツだ」と言われ歩きづらくなった程度だった。；あおやぎ本人もそのことに気づいていたのだが「面白いのでそのままにしていた」そうである。</t>
        </is>
      </c>
      <c r="J2">
        <f>HYPERLINK("https://www.weblio.jp/content/あ", "词义详情")</f>
        <v/>
      </c>
      <c r="K2">
        <f>HYPERLINK("https://yourei.jp/あ", "查看例句")</f>
        <v/>
      </c>
    </row>
    <row r="3">
      <c r="A3" t="inlineStr">
        <is>
          <t>ああ</t>
        </is>
      </c>
      <c r="B3" t="inlineStr">
        <is>
          <t>成功</t>
        </is>
      </c>
      <c r="C3" t="inlineStr">
        <is>
          <t>［副］
１話し手と聞き手の双方が知っている他の場面をさしていう語。あのように。「—高くては手が出ない」「—まで言わなくてもいいのに」
２（「こう」と並べ用いて）口に出して言ったり、心の中で考えたりしている内容を漠然とさしていう語。「—だこうだと文句ばかり言う」「—でもない、こうでもないと思い悩む」</t>
        </is>
      </c>
      <c r="D3" t="inlineStr">
        <is>
          <t>ああいう(13%)；ああそう；ああああ；ああ云う；ああ見え</t>
        </is>
      </c>
      <c r="E3" t="inlineStr">
        <is>
          <t>まあ；あら；わあ；あらあら；あらまあ</t>
        </is>
      </c>
      <c r="F3" t="inlineStr">
        <is>
          <t>うわああ；なぜああ；わあああ；ああいふ；ああ惟神霊</t>
        </is>
      </c>
      <c r="G3" t="inlineStr">
        <is>
          <t>ああちゃん；ああなん；ああなり；ああ言えばこう言う；ああ無情</t>
        </is>
      </c>
      <c r="H3" t="n">
        <v>29</v>
      </c>
      <c r="I3" t="inlineStr">
        <is>
          <t>ああしているとやがておお事になると彼は思わずにはいられなくなった。；ああ、一体そこにはどんなに驚くべき事件の正体が暴露していたろうか。；その結果ジャッジがああいう結果を出して、僕はそれに従っただけです。；ああ僕は、あだしごとを述べるについて思わず熱心でありすぎたようだ。；先にタイトルがあったら、逆にああいうふうにはならなかったでしょうね。；「ああいうことを売りものにしたくないんだ」と発言したこともあった。；しかしあるいはああ云うことを怨まれたかと思うことはございまする。；わたし、あなたのお父さまにああいうことが起るのを知って居りました。；ああして塔をぐんぐんと、われわれのほうへ伸ばしてよこすのはだれか。；お尻を向けたのは私が悪かったんだけど、ああなるとは思わなかった。；ああ、未来の天才はまだそれらの実の中に何人とも知らず眠っている。；これにはああ云う気丈な娘でも、思わず肚胸をついたそうでございます。；ああいうばかげたコメディを永遠に作り続けるわけにはいかないだろう?；ああやっていつでも自分の存在をはっきりさせておきたいのね。；なるほどぼんやり耳を貸していると、ああ云う風にも聞えないことはない。；自分はここまでひと息に考えて来て、われ知らずああと嘆声をもらした。；ああ、しかしそれは何という物すさまじい光景であったことでしょうか。；実行家とはああいう人間のことをいうのだと教えてみよう。；ああ、あいつは、やっぱり、部屋の中へしのびこんでいたのでしょうか。；それだから、ああやって覚悟をして死んで行くのを待っておいでだ。；ああ、しかしそれは何という大きい衝動を僕にあたえたことだったろう。；ああいう異常な場合には、ふだんとはまるで違った心理作用が働くものだ。；ああ、その眼と顔ぜんたいとが、どんなに喜びに輝いていたことでしょう!；報告の内容から推して考えると、ああするより外に道はないのです。；ああ云う雑誌社に作品を売るのは娘を売笑婦にするのと選ぶ所はない。；すると彼は、『ああ、これはやってみるべきだね』と言ってくれたんだ。；ああでもない、こうでもないと空に線を描き色を描いてそれを生かそうとする。；人から命じられて、人の指図で働くには、ああいうのが最良の部下なんだ。；ああいう形になったのに、本当によく勝ってくれたと思います。</t>
        </is>
      </c>
      <c r="J3">
        <f>HYPERLINK("https://www.weblio.jp/content/ああ", "词义详情")</f>
        <v/>
      </c>
      <c r="K3">
        <f>HYPERLINK("https://yourei.jp/ああ", "查看例句")</f>
        <v/>
      </c>
    </row>
    <row r="4">
      <c r="A4" t="inlineStr">
        <is>
          <t>ああ</t>
        </is>
      </c>
      <c r="B4" t="inlineStr">
        <is>
          <t>成功</t>
        </is>
      </c>
      <c r="C4" t="inlineStr">
        <is>
          <t>［副］
１話し手と聞き手の双方が知っている他の場面をさしていう語。あのように。「—高くては手が出ない」「—まで言わなくてもいいのに」
２（「こう」と並べ用いて）口に出して言ったり、心の中で考えたりしている内容を漠然とさしていう語。「—だこうだと文句ばかり言う」「—でもない、こうでもないと思い悩む」</t>
        </is>
      </c>
      <c r="D4" t="inlineStr">
        <is>
          <t>ああいう(13%)；ああそう；ああああ；ああ云う；ああ見え</t>
        </is>
      </c>
      <c r="E4" t="inlineStr">
        <is>
          <t>まあ；あら；わあ；あらあら；あらまあ</t>
        </is>
      </c>
      <c r="F4" t="inlineStr">
        <is>
          <t>うわああ；なぜああ；わあああ；ああいふ；ああ惟神霊</t>
        </is>
      </c>
      <c r="G4" t="inlineStr">
        <is>
          <t>ああちゃん；ああなん；ああなり；ああ言えばこう言う；ああ無情</t>
        </is>
      </c>
      <c r="H4" t="n">
        <v>29</v>
      </c>
      <c r="I4" t="inlineStr">
        <is>
          <t>ああしているとやがておお事になると彼は思わずにはいられなくなった。；ああ、一体そこにはどんなに驚くべき事件の正体が暴露していたろうか。；その結果ジャッジがああいう結果を出して、僕はそれに従っただけです。；ああ僕は、あだしごとを述べるについて思わず熱心でありすぎたようだ。；先にタイトルがあったら、逆にああいうふうにはならなかったでしょうね。；「ああいうことを売りものにしたくないんだ」と発言したこともあった。；しかしあるいはああ云うことを怨まれたかと思うことはございまする。；わたし、あなたのお父さまにああいうことが起るのを知って居りました。；ああして塔をぐんぐんと、われわれのほうへ伸ばしてよこすのはだれか。；お尻を向けたのは私が悪かったんだけど、ああなるとは思わなかった。；ああ、未来の天才はまだそれらの実の中に何人とも知らず眠っている。；これにはああ云う気丈な娘でも、思わず肚胸をついたそうでございます。；ああいうばかげたコメディを永遠に作り続けるわけにはいかないだろう?；ああやっていつでも自分の存在をはっきりさせておきたいのね。；なるほどぼんやり耳を貸していると、ああ云う風にも聞えないことはない。；自分はここまでひと息に考えて来て、われ知らずああと嘆声をもらした。；ああ、しかしそれは何という物すさまじい光景であったことでしょうか。；実行家とはああいう人間のことをいうのだと教えてみよう。；ああ、あいつは、やっぱり、部屋の中へしのびこんでいたのでしょうか。；それだから、ああやって覚悟をして死んで行くのを待っておいでだ。；ああ、しかしそれは何という大きい衝動を僕にあたえたことだったろう。；ああいう異常な場合には、ふだんとはまるで違った心理作用が働くものだ。；ああ、その眼と顔ぜんたいとが、どんなに喜びに輝いていたことでしょう!；報告の内容から推して考えると、ああするより外に道はないのです。；ああ云う雑誌社に作品を売るのは娘を売笑婦にするのと選ぶ所はない。；すると彼は、『ああ、これはやってみるべきだね』と言ってくれたんだ。；ああでもない、こうでもないと空に線を描き色を描いてそれを生かそうとする。；人から命じられて、人の指図で働くには、ああいうのが最良の部下なんだ。；ああいう形になったのに、本当によく勝ってくれたと思います。</t>
        </is>
      </c>
      <c r="J4">
        <f>HYPERLINK("https://www.weblio.jp/content/ああ", "词义详情")</f>
        <v/>
      </c>
      <c r="K4">
        <f>HYPERLINK("https://yourei.jp/ああ", "查看例句")</f>
        <v/>
      </c>
    </row>
    <row r="5">
      <c r="A5" t="inlineStr">
        <is>
          <t>愛</t>
        </is>
      </c>
      <c r="B5" t="inlineStr">
        <is>
          <t>成功</t>
        </is>
      </c>
      <c r="C5" t="inlineStr">
        <is>
          <t>読み方：あい
［音］アイ（呉）（漢）　［訓］いとしいめでる　かなしい　おしむ
［学習漢字］4年
１かわいがりいつくしむ。思いこがれる。いとおしいと思う気持ち。「愛妻・愛情・愛人・愛憎／恩愛・求愛・敬愛・最愛・自愛・慈愛・情愛・親愛・仁愛・相愛・寵愛(ちょうあい)・溺愛(できあい)・熱愛・博愛・偏愛・盲愛・恋愛」
２対象を気に入って楽しむ。「愛好・愛読・愛用」
３二つとない対象を大切にする。「愛顧・愛護」
４大事なものを手放したくないと思う。おしむ。「愛惜／割愛」
［名のり］あき・さね・ちか・ちかし・つね・なり・なる・のり・ひで・めぐむ・やす・よし・よしみ・より
［難読］愛蘭(アイルランド)・愛宕(あたご)・愛子(あやし)・愛子(いとしご)・愛媛(えひめ)・他愛(たわい)ない・愛弟子(まなでし)</t>
        </is>
      </c>
      <c r="D5" t="inlineStr">
        <is>
          <t>愛刀；愛液；愛電；愛おし；愛剣</t>
        </is>
      </c>
      <c r="E5" t="inlineStr">
        <is>
          <t>好き；恋；愛情；恋愛；好意</t>
        </is>
      </c>
      <c r="F5" t="inlineStr">
        <is>
          <t>母性愛；人間愛；兄弟愛；深い愛；人類愛</t>
        </is>
      </c>
      <c r="G5" t="inlineStr">
        <is>
          <t>愛称；愛情；愛する；愛知県；愛人</t>
        </is>
      </c>
      <c r="H5" t="n">
        <v>29</v>
      </c>
      <c r="I5" t="inlineStr">
        <is>
          <t>彼女の言う美や愛とはそのような対象への支配と逆の、自己否定である。；リカは自分が愛を求めたことが他人を不幸にしたことに深く傷ついていた。；愛に抱かれ、ここで統一された多様な力は再び外へ向かって広がりゆく。；これは明日の地球に愛と優しさを求めた、特別救急捜査隊の物語である!；湖水地方への愛を深め、詩人になる決意を確認したのもこのころだった。；生理的なレベルのものから、社会的・愛他的な高次なものまで含まれる。；例え何処に居ようとも、貴方への愛と喜びに変わるところはありません。；ファラミアは父への愛を示すため、死を覚悟して戦場に戻っていく。；エリザベスの魂はかつて本当の愛を見つけた古いアパートに戻る。；いずれも3人の愛を演じるキャストの名前がそのまま役名になっている。；仁をただちに愛としないのは愛を情とみ、仁を性とみているからである。；共通の形状の制服を着用するが、善は赤、愛は緑のスーツを着ている。；家を飛び出した愛良を追いかけてきた開陸の行動に愛良は彬水を見る。；彼らの語る騎士道や愛は詩の内容として、盛んに受け入れられていく。；この愛とは、神がそのように創造した世界を受け入れることと言ってもよい。；さらに、笑いには攻撃的なものと愛他的・親和的なものの二つがあるとされている。；はじめはいがみ合っていた2人だが、愛良はやがて彬水に惹かれ始める。；神は、自身のうちなるこの対立を自ら克服し、愛をもってこれを覆う。；これが特殊化しミンネとよばれる騎士とレディの愛物語と現実もなっていく。；神の正義も災いも、無償の愛に起因して、無償の愛の中に成立している。；これらは、神と人間への愛を完全にするという特殊な慣習的意味を持っている。；以下の少年たちは遠い将来において愛天使たちと結ばれる運命を持つ。；また彼らはスピード・技術・暴力といったものへの愛を支持した。；美および愛は新プラトン主義の芸術の中心的な主題となった。；愛・地球博の長久手日本館で公開されていた「地球の部屋」を移設した。；それは七色に光る石を持って生まれた愛良と開陸の協力が必要不可欠だった。；最終の第15歌は詩人の愛をかき立てたミューズへの告別の歌である。；幼児期に友達の真の愛を受けて育った子供は、表情が少なくなったりする傾向がある。；皮の着物が与えられたことには、神の絶えない愛が表されているとも解釈される。</t>
        </is>
      </c>
      <c r="J5">
        <f>HYPERLINK("https://www.weblio.jp/content/愛", "词义详情")</f>
        <v/>
      </c>
      <c r="K5">
        <f>HYPERLINK("https://yourei.jp/愛", "查看例句")</f>
        <v/>
      </c>
    </row>
    <row r="6">
      <c r="A6" t="inlineStr">
        <is>
          <t>相容れない</t>
        </is>
      </c>
      <c r="B6" t="inlineStr">
        <is>
          <t>成功</t>
        </is>
      </c>
      <c r="C6" t="inlineStr">
        <is>
          <t>読み方：あいいれない
［連語］互いの主張や立場が相反していて両立しない。「—◦ない関係」</t>
        </is>
      </c>
      <c r="D6" t="inlineStr">
        <is>
          <t>相容れないもの(25%)；相容れない存在(3%)；相容れない部分；相容れない関係；相容れない二つ</t>
        </is>
      </c>
      <c r="E6" t="inlineStr">
        <is>
          <t>相違；ずれ；合わない；バラバラ；誤差</t>
        </is>
      </c>
      <c r="F6" t="inlineStr">
        <is>
          <t>互いに相容れない；まったく相容れない；本質的に相容れない；絶対に相容れない；決して相容れない</t>
        </is>
      </c>
      <c r="H6" t="n">
        <v>29</v>
      </c>
      <c r="I6" t="inlineStr">
        <is>
          <t>キリスト教と伝統的な思想・信仰・風俗習慣は相容れないものであった。；どこまでいっても法子とは相容れない、何かの違いがあるのだと思った。；物質への興味と精神への興味とは相容れない裏表であると考えられている。；むしろ、かれらには根本的に相容れないところがあったのかもしれない。；その他の彼の仕事は知らない作品か、我々とは相容れない作品だった。；もちろん、このような宣伝行為は、英国流の戦争の観念とは相容れない。；まるで之では国家の利益と人民の利益とは先天的に相容れないかのようだ。；この方向に二人が勝手に歩いて行ったらきっと相容れなくなるだろうと思います。；だが、この憧憬と過去のキリスト教的理想とは相容れないものであった。；それを別にしても、南と北の軍閥は本質的に相容れないものを持っている。；したがって、存在し続けることを望む生物とは決して相容れない存在である。；それは、組織の長であることと、本質的に相容れないことであったのだが。；上述の2説は、お互いに相容れない対立仮説とされるのが一般的である。；宗教と相容れないと思っているのか、科学には一向重きを置いてくれない。；これは文学がもともと私たちの実生活とも相容れない性質をもっているからだ。；大人の成熟とは相容れない、ハシカ熱のようなものに過ぎないのだろうか?；この二つのものはしかし必ずしも互いに相容れないものではないように私には思われるのである。；歴史学に就いて相互に相容れない建前があることを吾々はすでに見た。；なぜなら愛というものは自由な精神とは相容れないものだからね。；他のいかなる世界も、私にとっては無意味であり、相容れない敵である。；また、尊氏が後醍醐に叛いたのは後醍醐の主義と相容れないからである。；僕はあんなふうの男とは肉體的に相容れないものがあるやうだ。；この二つの性質はフランスでは、はやほとんど相容れないものとなっている。；この部分にも、既存文化に相容れない価値観が発生した事が伺われる。；僕はあんなふうの男とは肉体的に相容れないものがあるようだ。；この相容れない二つを併せ持つ苦悩の中で、私は今まで生き続けて来たのだ。；いずれも独身で、女を見かぎってからは、その相容れない敵となっていた。；アニーも他の人たちも2つの運動が相容れないものとは考えていなかったのである。；若いころは自分と相容れない感覚を持った人が嫌だったが、今はそれも認められるようになった。</t>
        </is>
      </c>
      <c r="J6">
        <f>HYPERLINK("https://www.weblio.jp/content/相容れない", "词义详情")</f>
        <v/>
      </c>
      <c r="K6">
        <f>HYPERLINK("https://yourei.jp/相容れない", "查看例句")</f>
        <v/>
      </c>
    </row>
    <row r="7">
      <c r="A7" t="inlineStr">
        <is>
          <t>相方</t>
        </is>
      </c>
      <c r="B7" t="inlineStr">
        <is>
          <t>成功</t>
        </is>
      </c>
      <c r="C7" t="inlineStr">
        <is>
          <t>読み方：あいかた
１一緒に物事をする人。特に、コンビ漫才などでのパートナー。相手。相棒。
２（「敵娼」とも書く）遊里で、客から見て相手の遊女。
[補説]近年は若者を中心に、恋人や配偶者をこう呼ぶこともある。</t>
        </is>
      </c>
      <c r="D7" t="inlineStr">
        <is>
          <t>相方探し；相方積み；相方募集；相方役</t>
        </is>
      </c>
      <c r="E7" t="inlineStr">
        <is>
          <t>相手；パートナー；相棒</t>
        </is>
      </c>
      <c r="F7" t="inlineStr">
        <is>
          <t>新しい相方；挑戦者マジギライ候補相方</t>
        </is>
      </c>
      <c r="G7" t="inlineStr">
        <is>
          <t>相方城</t>
        </is>
      </c>
      <c r="H7" t="n">
        <v>29</v>
      </c>
      <c r="I7" t="inlineStr">
        <is>
          <t>もっとも、仕事がしたくても、相方がいないのでは、どうにもならない。；小料理屋の二階で出会った時に着ていたものを、相方共に着ているだけだ。；私の脇にも客が一人いて、やはりその相方がなにかと気を配っていた。；はっきりと言ってしまって、話が回り回って相方の耳に入るのはまずい。；相方のゲンスブールはなかなか雰囲気を出しているのだが反応は乏しい。；よほどの実力差がない限り、相方ともかなりの深傷を受けるからである。；ちょうど新しい相方を探していた宮本も同意しコンビ結成、現在に至る。；しかしその当時、定まった相方はおらず、出演の度に相方を変えていた。；相方の高田だけ青森に帰ったことが結婚のきっかけにもなったという。；夜七は芸人のように相方を怒鳴りつけ、富士見に向かって手を合わせた。；フロントで鍵を受け取ろうとすると、既に相方が持っていったとのことだ。；まだシャワーの話に入っていないのに相方がグロッキーになってるんだもん!；俺は仲人だって、だれかに相方頼んで、仲人してやってもよかったんだよ。；相方のシルクは小学校から大学、就職先に至るまで全く同じ経歴である。；近年は専ら明石家さんまの相方的存在で、数々の番組で共演している。；が、2年になり相方・井本と出会いどんどん成績が悪くなっていった。；相方に負けず劣らずの漫画好きであり、様々な漫画の帯や巻末に登場している。；日本ではボビー・オロゴンの相方的な存在としてタレント活動を行った。；基本的にはのちゃんの相方のようなものだが実際はごくちゃんよりはのちゃんの方がメイン。；お互い相方を探していたため、その場にいた先輩の薦めで現在のコンビを結成。；また披露宴に参列した相方ロッシーの食事にはお子様ランチを提供した。；ある商人が相方の商人と二人で、一稼ぎするために市へ行った。；なお、山本が負けの場合、巨大ハリセンは矢部や相方の加藤が担当する。；相方であるアタック西本とかみちぃは活動を継続することも併せて発表。；その、どうにもならんことに相方いろいろとことばをつくすのは、愚じゃ。；同じ役・相方での同一演目の出演は最初の年のみ記した。；中村は薄い顔のため相方は濃い顔の人がいいと考え、顔を考慮して子安に声をかけた。；ほどなくして、相方の堀は引退し、シングルでやっていくこととなる。；志倉は、田沢と文吉たちとの間に立ち、相方の眼の動きを追っていた。</t>
        </is>
      </c>
      <c r="J7">
        <f>HYPERLINK("https://www.weblio.jp/content/相方", "词义详情")</f>
        <v/>
      </c>
      <c r="K7">
        <f>HYPERLINK("https://yourei.jp/相方", "查看例句")</f>
        <v/>
      </c>
    </row>
    <row r="8">
      <c r="A8" t="inlineStr">
        <is>
          <t>相変わらず</t>
        </is>
      </c>
      <c r="B8" t="inlineStr">
        <is>
          <t>成功</t>
        </is>
      </c>
      <c r="C8" t="inlineStr">
        <is>
          <t>読み方：あいかわらず
［副］今までと変わったようすが見られないさま。以前と同じように。「—貧乏暇なしだ」</t>
        </is>
      </c>
      <c r="D8" t="inlineStr">
        <is>
          <t>相変わらず続い；相変わらず厳しい；相変わらず美しい；相変わらずのんびり；相変わらず暗い</t>
        </is>
      </c>
      <c r="E8" t="inlineStr">
        <is>
          <t>相変らず；いつも通り；あいかわらず；相かわらず；あい変らず</t>
        </is>
      </c>
      <c r="F8" t="inlineStr">
        <is>
          <t>相変わらずニヤニヤ；相変わらず淡々；相変わらず忙し；相変わらず荒れ；相変わらず可愛い</t>
        </is>
      </c>
      <c r="H8" t="n">
        <v>29</v>
      </c>
      <c r="I8" t="inlineStr">
        <is>
          <t>しばしば彼女は日中ばかりか夜になっても相変わらず仕事をしていた。；相変わらず私は自分がこの上侮辱される事は辛抱が出来ないのですから。；それでも相かわらず、乗っているものには静止しているような気がした。；ミス・Vの像が浮かぶべき場所は相変わらずぼんやりとしたままだった。；事態は好転したと思われたが、彼らの生活は相変わらず厳しいものだった。；それにつけても相変わらず物好きなる君にておわせしことの可笑しさよ。；人類は、これまでとほぼ同じように、相変わらず自分の仕事を続けている。；相変わらず各地を回る活動を続けながら次作に向けての作曲作業に突入。；マルティーニ師のかなりの数の宗教曲は、相変わらず出版されていない。；・教室に行く ・屋上に行く 冬子は相変わらず教室でぼんやりしていた。；子供の好きなお初は相変わらず近所の家から金之助さんを抱いて来た。；相変わらず壁にもたれているのに気づいたが、肌触わりが違っていた。；角館の街の中では相変わらず稽古を続ける青田と柔道部員の姿があった。；しかし、マイクロソフトは相変わらず機能の貧弱な製品を提供していた。；妻が飲みにゆくといえば、相かわらず子供は自分が見ててあげるからなどという。；二人は相かわらず見えない網や糸をまっさおな空に投げたり引いたりしています。；しかし、私達は相かわらず誰にも構わずに二人だけの生活を続けていた。；現在は宅地化が進んでいるが、冬になれば相変わらずの雪の通学路になる。；いつも模範的に健康な方でございましたが、今も相かわらずそうです。；その脇道の両側は相変わらず、枝がからまりあった荒涼とした林だった。；フェネラが相変わらず宮殿へ出入りすることにも反対はしなかった。；もう嵐も静まっていたので、この日もまたあい変わらず川の屈曲を進んだ。；それは彼女の仕事の重要性を認めてはいたが、相変わらず給与は無かった。；礼は相かわらず微熱があるようだが、この日は朝も午後も六分ぐらいとのこと。；今日でも相変わらず丸薬は店の背の高い調剤台のかげで作られるのである。；前線のあちこちで、当局者は相変わらず除隊許可を発行していたからだ。；しかし友達ができないのは相変わらずで寂しい思いを抱えていた。；その人の話から、相変わらず病身で、手のかかる子らしいとわかりました。；彼の娘達や婿達は暫くして相変わらずこの商売を続けている彼を見て気を悪くした。</t>
        </is>
      </c>
      <c r="J8">
        <f>HYPERLINK("https://www.weblio.jp/content/相変わらず", "词义详情")</f>
        <v/>
      </c>
      <c r="K8">
        <f>HYPERLINK("https://yourei.jp/相変わらず", "查看例句")</f>
        <v/>
      </c>
    </row>
    <row r="9">
      <c r="A9" t="inlineStr">
        <is>
          <t>愛嬌</t>
        </is>
      </c>
      <c r="B9" t="inlineStr">
        <is>
          <t>成功</t>
        </is>
      </c>
      <c r="C9" t="inlineStr">
        <is>
          <t>読み方：あいきょう
《古くは「あいぎょう」》
１にこやかで、かわいらしいこと。「—のある娘」「口もとに—がある」
２ひょうきんで、憎めない表情・しぐさ。「—たっぷりに話す」
３相手を喜ばせるような言葉・振る舞い。「—をふりまく」
４（多く「御愛嬌」の形で）座に興を添えるもの。ちょっとしたサービス。座興。「ご—に一差し舞う」「これもご—。へたな歌でも一曲」
[補説] 「あいぎょう（愛敬）2」が清音化し、キャウ・キョウの区別が失われたのち、意味に対応して「嬌」の字が近世以降に当てられるようになった。
[用法]愛嬌・愛想——「愛嬌」は、あるものに備わった、かわいらしさ、ひょうきんで憎めないようすを表しているのに対し、「愛想」は、「愛想がよい」「愛想笑い」などのように、人にいい感じを与えるために示す態度や動作である。◇「愛嬌」は「愛嬌のある顔」のように、その人にもともと身についたものをいうことが多いが、「愛想」は、「お愛想を言う」のように、意識的な動作や態度をいう。◇したがって「愛嬌（愛想）のない人」のように相通じて用いられることもあるが、「愛想が尽きる」とはいっても、「愛嬌が尽きる」とはいえない。</t>
        </is>
      </c>
      <c r="D9" t="inlineStr">
        <is>
          <t>愛嬌たっぷり(2%)；愛嬌者(2%)；愛嬌よく；愛嬌笑い；愛嬌たっぷりな</t>
        </is>
      </c>
      <c r="E9" t="inlineStr">
        <is>
          <t>愛想；愛敬；可愛らしさ；愛らしさ；かわいらしさ</t>
        </is>
      </c>
      <c r="F9" t="inlineStr">
        <is>
          <t>御愛嬌；お愛嬌；こぼれるような愛嬌；不愛嬌；不思議な愛嬌</t>
        </is>
      </c>
      <c r="H9" t="n">
        <v>29</v>
      </c>
      <c r="I9" t="inlineStr">
        <is>
          <t>女はことさらにそれを開けて内から首を出すほどの愛嬌も見せなかった。；それからその性質はちょっと見るとごく温和でなかなか愛嬌があるです。；或はまた非常に愛嬌のある美しさだという風に云うこともありましょう。；それはただ先生が御愛嬌にそんな事も言って見るだけのものである。；これくらい話の桁がはずれていれば、こちらの誤解にも愛嬌が出て来る。；さし向いになって見ると、年は二十ばかりで、愛嬌があり美しい女である。；それにしても、以前と少しも変らぬ若さと愛嬌は何んとしたことでしょう。；アイルランドで見られるのは反対に、眩惑的な愛嬌のある溌刺さである。；日焼けした骨相は猛々しいが、子どものような愛嬌のある瞳をしていた。；あんなに愛嬌があるんだもの、どうせだれかと恋仲になるにちがいない。；その身振りや歩き方に独特の癖があって、その癖が一種の愛嬌になっている。；でも人間には何か愛嬌が無くちゃいけないんじゃないかねえ。；彼にはこの時の相沢がひどく愛嬌あるものとも見えたからである。；ドイツ語は得意であったが、日本語は「お愛嬌」程度だったとされる。；それは気高い愛嬌のある微笑をもつた女の口の端にも似て居た。；愛嬌のある外見と誰でも修理が可能な単純さが人気の秘訣だという。；欠点と思われるところはどこにもない愛嬌の多い美貌で女はあった。；喰えぬ男と知りながら、その愛嬌の無意味にあらざるを喜ぶのである。；この夫人は恐ろしく肥った大きい人で、大変愛嬌がよく話好きであった。；いささか味が薄いような気もするが、それはまあご愛嬌だろう。；元これ愛嬌商売なれば第一に世間に従つて行かねばならぬなり。；実際、彼の女等の為めに、大理石さえが愛嬌を見せて凹む程であった。；いずれもウィーン会議当時にはなかった楽曲であるが、一種のご愛嬌である。；美しい女が下劣なことをいったりしても、何か愛嬌のあることのような気がします。；笑うと急に目もとに愛嬌があらわれて男好きのする顔立ちになった。；首相はほかの委員にも愛嬌を振りまきながら忙しそうに出ていった。；すると女がやつて来て、ありもしない愛嬌を云つてるだらう。；その愛嬌に富んだ眼を絶えず働かせているのも、わたしの注意をひいた。；夢中になってながめる者の顔にまで愛嬌が反映するほどである。</t>
        </is>
      </c>
      <c r="J9">
        <f>HYPERLINK("https://www.weblio.jp/content/愛嬌", "词义详情")</f>
        <v/>
      </c>
      <c r="K9">
        <f>HYPERLINK("https://yourei.jp/愛嬌", "查看例句")</f>
        <v/>
      </c>
    </row>
    <row r="10">
      <c r="A10" t="inlineStr">
        <is>
          <t>愛くるしい</t>
        </is>
      </c>
      <c r="B10" t="inlineStr">
        <is>
          <t>成功</t>
        </is>
      </c>
      <c r="C10" t="inlineStr">
        <is>
          <t>読み方：あいくるしい
［形］［文］あいくる・し［シク］子供や小動物などの、愛嬌(あいきょう)があって、かわいらしいさま。「—・いしぐさ」
[派生]あいくるしげ［形動］あいくるしさ［名］</t>
        </is>
      </c>
      <c r="D10" t="inlineStr">
        <is>
          <t>愛くるしい顔(12%)；愛くるしい娘(4%)；愛くるしい笑顔(3%)；愛くるしい少女(3%)；愛くるしい姿</t>
        </is>
      </c>
      <c r="E10" t="inlineStr">
        <is>
          <t>美しい；綺麗；可愛い；かわいい；素敵</t>
        </is>
      </c>
      <c r="F10" t="inlineStr">
        <is>
          <t>愛くるしい声；愛くるしい乙女；愛くるしい顔立ち</t>
        </is>
      </c>
      <c r="H10" t="n">
        <v>29</v>
      </c>
      <c r="I10" t="inlineStr">
        <is>
          <t>明るい、愛くるしい顔や動作を見ただけで、そう童馬は信じていたのだ。；あの月信先生の絵を見るにつけても、お八重の愛くるしさが身に沁みます。；美人ではないが快活で愛くるしい娘で、今日は皆に肉を切って渡している。；フィリエルよりわずかに背が低く、手なども愛くるしいばかりに小さい。；彼女に必要なのは、あの愛くるしい顎へ一発お見舞いしてやることだろう。；だがどことなく愛くるしい感じがあって、男性社員には人気があったのだ。；二匹三匹の愛くるしい小猫が、そちこちに姿を見せる間が何箇月かあった。；かつては彼女とても愛くるしく、すっきりとしておったのに違いはない。；が、あの愛くるしい少女だけはどうしたのか今度は顔を出さない。；漸くお垂髪にしたばかりの愛くるしい顔が彼の頭にはっきり刻まれていた。；だが、こうして愛くるしい子供がいてくれたことは、何かの役にたってくれた。；おれはまだこの世に現われてきてない愛くるしさをこの腕の中に抱きしめたいのだ。；さびしい家の中にこの上もなく愛くるしい子が日光をもたらしてくれたのです。；十四ぐらいな愛くるしい少女で、お小夜という名は、後に知ったのである。；しかし小さなものにも似合わず体がよく整って居て、実に愛くるしかった。；幼い愛くるしさがなによりの特徴だった少女は、匂い立つ女に変貌していた。；その愛くるしい顔立がひどく気に入ったので、よく見るために足をとめた。；寝ているときも、起きているときも朴訥なしぐさがとても愛くるしい。；ふつうの市民に生まれていたら、この娘はそれは愛くるしい女となったに相違ない。；「それじゃ、交代だな」 と、おれは愛くるしい微笑を浮かべて宣言した。；そう思われるほど狂気している今も、美しく愛くるしく気高くさえあった。；「ヴェトナムの男は、絶対いやです」 猫に似た愛くるしい顔で微笑む。；悟史くんは、まるで猫の頭でも撫でるかのように、愛くるしく無神経に。；二人の愛くるしい子供の父親に、紺屋が納まり返っていたからである。；しかしその発展が出来ないで、永遠に愛くるしい見せ物に甘んじている。；愛くるしく、いつでもおれに縋ってきた小文は、もうどこにもいない。；遠い町で亡くなった妹は、生前と寸分変わらぬ愛くるしい顔で姉を見つめていた。；しかもべつに利口ぶっているのではなく、実に無邪気で愛くるしいのだ。；愛くるしい顔の、足軽の子にしては様子のよい少年であった。</t>
        </is>
      </c>
      <c r="J10">
        <f>HYPERLINK("https://www.weblio.jp/content/愛くるしい", "词义详情")</f>
        <v/>
      </c>
      <c r="K10">
        <f>HYPERLINK("https://yourei.jp/愛くるしい", "查看例句")</f>
        <v/>
      </c>
    </row>
    <row r="11">
      <c r="A11" t="inlineStr">
        <is>
          <t>愛犬</t>
        </is>
      </c>
      <c r="B11" t="inlineStr">
        <is>
          <t>成功</t>
        </is>
      </c>
      <c r="C11" t="inlineStr">
        <is>
          <t>読み方：あいけん
１かわいがって飼っている犬。
２犬をかわいがること。「—家」</t>
        </is>
      </c>
      <c r="D11" t="inlineStr">
        <is>
          <t>愛犬令；愛犬カピ；愛犬ポチ；愛犬マル；愛犬ブロンディ</t>
        </is>
      </c>
      <c r="F11" t="inlineStr">
        <is>
          <t>世界愛犬</t>
        </is>
      </c>
      <c r="G11" t="inlineStr">
        <is>
          <t>愛犬家連続殺人事件；愛犬スパーキーのおホモだち；愛犬ロシナンテの災難；愛犬てつ</t>
        </is>
      </c>
      <c r="H11" t="n">
        <v>29</v>
      </c>
      <c r="I11" t="inlineStr">
        <is>
          <t>その愛犬が死んだといって、老妻から犬の墓の写真が船にとどけられた。；愛犬画の制作依頼を多く受けたことをきっかけに保護犬へ関心を持つ。；自分の入れ歯が調子がいいというので愛犬を総入れ歯にしてしまった。；そして自分は船で働き、老妻は家で愛犬を相手に平和に暮らしているという。；ここに我々、愛犬婦人連盟はロシアの犯罪行為に断固抗議するものです。；また愛犬と旅行中に一緒に泊まれるペンションやホテルなども増えている。；こういう江藤の愛犬ぶりは、子供のいないためだと、すぐに考えたくなる。；ある日、ずっと可愛がってきた愛犬を失い、言葉を失ってしまった娘。；それはいつも自分のベットの下に寝ている愛犬ポチの気配がしなかったことだ。；彼女は愛犬のことを思い出しているのか、犬小屋を見ながら言った。；右奥の大型犬がアイシャムの愛犬であるグレート・デーンと推測される。；つまり、本人の死は他人にとって、愛犬の死より何でもないことなのである。；染めたのは灰色な自分の頭ではなくて、白い毛鞠のやうな皇后の愛犬だつた。；学校には通わずに彼の世話をしながら愛犬であるリュウと共に暮らしていた。；アメリカ合衆国大統領の愛犬テディーは、いつも大統領の傍を離れない。；なお、改題リニューアル初回では志村の愛犬の現在の状況も紹介された。；フィンは二頭の猟犬を愛犬としており、ブランとスコローンと名付けた。；数々の戦争にも主人に同行し、南米の雄の愛犬として有名になった。；そして愛犬・ブックのボールを探していた時に偶然、手紙の束を見つける。；ジャケットにはメンバーの愛犬である黒のトイプードルの写真が使われている。；両手を縛られていたので、愛犬を指で指すこともできなかった。；京を追われた武士の愛犬が発見したとされ、古くは犬の湯、のちに入りの湯と呼ばれるようになる。；主人公・尊藤由紀は子供のころに愛犬・しろと死別した過去を持つ。；このときまでに、主人公は、愛犬を通じて犬と会話が出来るようになっていた。；愛犬を「娘」と呼んでおり、ブログでも頻繁に写真を掲載していた。；また近年では同時に愛犬祈願祭が行われるなど愛犬に関連したイベントも行われている。；叔父さんは養子に行って離婚したあと一人で住んでいる人で、その骨は十何年か生きた愛犬の骨である。；趣味はダンス、愛犬との妄想会話という変わった一面ももっている。；意気消沈の娘に父親は「愛犬は天国で元気に暮らしているんだよ」と諭す。</t>
        </is>
      </c>
      <c r="J11">
        <f>HYPERLINK("https://www.weblio.jp/content/愛犬", "词义详情")</f>
        <v/>
      </c>
      <c r="K11">
        <f>HYPERLINK("https://yourei.jp/愛犬", "查看例句")</f>
        <v/>
      </c>
    </row>
    <row r="12">
      <c r="A12" t="inlineStr">
        <is>
          <t>愛顧</t>
        </is>
      </c>
      <c r="B12" t="inlineStr">
        <is>
          <t>成功</t>
        </is>
      </c>
      <c r="C12" t="inlineStr">
        <is>
          <t>読み方：あいこ
［名］(スル)目をかけ引き立てること。引き立てられる側からいう語。ひいき。「今後ともいっそうの御—を賜りますよう」</t>
        </is>
      </c>
      <c r="D12" t="inlineStr">
        <is>
          <t>愛顧者(3%)；愛顧ありがとうございまし(2%)</t>
        </is>
      </c>
      <c r="E12" t="inlineStr">
        <is>
          <t>引き；顧客；後援；寵愛；贔屓</t>
        </is>
      </c>
      <c r="F12" t="inlineStr">
        <is>
          <t>御愛顧</t>
        </is>
      </c>
      <c r="H12" t="n">
        <v>29</v>
      </c>
      <c r="I12" t="inlineStr">
        <is>
          <t>ただし、この出世は宦官の魏忠賢の愛顧を受けていたためとされている。；もっていらしたのだが、これは又これとして御愛顧を蒙るわけでしょうか。；身にあまる愛顧をうけて、源氏のおかげでたちまち幸運をつかんだのだった。；また彼らのほどほどの愛顧で満足しなければいけない。；婦人の愛顧と歓心を買うために、わずかの間によく手柄をたてた。；そこで新しい主となった房輔の愛顧を受けその画用を務めた。；愛妾の御愛顧をつなぎたいのと、一万二千エキュが欲しかったからである。；彼の愛顧者も、彼を越して菊五郎を見ることが屡であつたらう。；彼の交友は上流貴族であり、細川幽斎からは特別の愛顧をうけた。；船長は身分の高い女性の好意を、ご愛顧、と呼んでこう答えた。；アリョーシャは長老の深い愛顧を受けて、その庵室に住むことを許されていた。；ご愛顧いただきましたが、十一月末で閉店することになりました。；当時、王室の人間から名前をもらうことは大変な愛顧であり、名誉なことであった。；それらに生命を与えるのは運命であって、生命の長い短いはただ運命の愛顧のいかんによるのである。；枢機卿からはなんとしてもご愛顧を得るように努力しなければならないのだから、そこのかねあいが問題だ。；あなたはさっそくご愛顧をこうむるとは運がいいですねえ!；さらに同女は師の愛顧を懇願したが、師はむろん一顧だにしようとはしなかった。；肝要なことは、ロバアト・セシルの御愛顧にありつくということである。；前に伊香保の愛顧者は女性に多いと言つたが、つまりその女性とはかういつたやうな、中庸的の夫人や娘たちである。；人はこのような知識を持っていれば、どんな社会に顔を出しても、評判と愛顧とをかちえること請合である。；姫にはそれ以来、彼をご愛顧めされる機会がなかった。；これ偏にお得意の御愛顧の賜物であると思うと、私は何かしてこの機会に謝恩の微意を表したくなった。；宮廷音楽員の肩書と大公爵の愛顧とは、宮廷の祝祭のための音楽を彼に作らせるのだった。；これまでのところまだ上役からこれと言って特別なご愛顧のしるしを示されたことはありませんが、上役が満足しておられることは、承知しています。；不断学生共の好い連になっているのだから、 先生の御愛顧を受ける値打は慥かにあります。；ブルータス 神に祈つて置きたいね、あの男が君達の御愛顧に酬いられます様にとな。；ところが、たまたま、これらの商人は、シリアのサルタンの愛顧をうけていた。；これはべつに非難の意味で言っているのではない、みんなは相変わらず私を愛顧し、私を愉快に遇してくれてはいたのである。；こうした、客のひいきや愛顧に基づく慣習は、パトロネージュと呼ばれる。</t>
        </is>
      </c>
      <c r="J12">
        <f>HYPERLINK("https://www.weblio.jp/content/愛顧", "词义详情")</f>
        <v/>
      </c>
      <c r="K12">
        <f>HYPERLINK("https://yourei.jp/愛顧", "查看例句")</f>
        <v/>
      </c>
    </row>
    <row r="13">
      <c r="A13" t="inlineStr">
        <is>
          <t>挨拶</t>
        </is>
      </c>
      <c r="B13" t="inlineStr">
        <is>
          <t>成功</t>
        </is>
      </c>
      <c r="C13" t="inlineStr">
        <is>
          <t>読み方：あいさつ
［名］(スル)《「挨」は押す、「拶」は迫る意で、本来、禅家で門下の僧に押し問答して、その悟りの深浅を試すこと》
１人に会ったときや別れるときなどに取り交わす礼にかなった動作や言葉。「—を交わす」「時候の—」
２会合の席や集会で、改まって祝意や謝意などを述べること。また、その言葉。「来賓が—する」
３相手に対して敬意や謝意などを表すこと。また、その動作や言葉。「転勤の—」「なんの—もない」
４（「御挨拶」の形で）相手の非礼な言葉や態度を皮肉っていう語。「これは御—だね」
５やくざや不良仲間で、仕返しをいう語。
６争い事の中に立って仲裁すること。また、その人。「—は時の氏神」
７応答のしかた。口のきき方。
「馴れたる—にて」〈浮・一代男・二〉
８人と人との間柄。仲。
「中川殿とこな様との—が」〈浄・五枚羽子板〉</t>
        </is>
      </c>
      <c r="D13" t="inlineStr">
        <is>
          <t>挨拶状；挨拶しよ；挨拶代わり；挨拶がわり；挨拶をしよ</t>
        </is>
      </c>
      <c r="E13" t="inlineStr">
        <is>
          <t>会釈；敬礼；目礼；御挨拶；辞儀</t>
        </is>
      </c>
      <c r="F13" t="inlineStr">
        <is>
          <t>簡単な挨拶；ご挨拶；軽く挨拶；丁寧な挨拶；短い挨拶</t>
        </is>
      </c>
      <c r="G13" t="inlineStr">
        <is>
          <t>挨拶のようなもの；挨拶表現</t>
        </is>
      </c>
      <c r="H13" t="n">
        <v>29</v>
      </c>
      <c r="I13" t="inlineStr">
        <is>
          <t>映画でもしばしば披露する他、来日時には日本語で挨拶することもある。；ハリスはこの挨拶の日本語の原稿をアルバムで保存していたとされている。；この騒動以降は自身から警官と挨拶などをするようになったと述べている。；また、苗族と布依族を対象にした調査では食事前後の挨拶はないという。；ワイドショー番組で司会者が挨拶を行わない珍しいケースとなっている。；やや特殊ながら、ほとんど全人類に共通の好意的な挨拶を紹介しておく。；日本でのライブで挨拶する際の片言の日本語は、彼に教えてもらったもの。；しかしこの突然の別れの挨拶では、具体的な理由は示されなかった。；日本に渡った当初、日本語といえば挨拶程度しか話せなかったという。；挨拶も会話も演説も、すべてが言語を使ったコミュニケーションである。；朝鮮半島では正座でお辞儀をするのが最上級の感謝の挨拶とされている。；テレビなどで自身を紹介された時は必ず「よろしくどうぞ」と挨拶する。；松本によると、少し前に挨拶に来て引退することを聞かされたという。；どのような言葉が挨拶に用いられるかは、その文化圏の言語習慣に依存する。；ここで言う雄城坂での挨拶とは車が来たら振り返って礼をするという物である。；遠くから現れた山本は笑いながら挨拶したことに、メンバーは疑問を抱く。；髙橋大輔は出演予定であったが怪我のため演技はせず氷上で挨拶を行った。；思い立ち、今まで世話になった人々に挨拶に行き人脈を築いていった。；開催前の挨拶以外は事前のリハーサルが必要なため、あまり実施されていない。；会話の際の挨拶を使うことも可能であるが、手紙特有の挨拶の語がある例も多い。；忠敬は名主や村の有力者と、江戸にある津田氏の屋敷に挨拶に出向いた。；挨拶に行くと2人は「ウチのところでもやってくれ」と切り出してきた。；閉会式での涙ながらの挨拶は万余の観客を感動させたという。；ただし、これ以降も全国向けの挨拶は無く、すぐにニュースを読み始めている。；納得せずにはいられなかった泉は、父親に一言別れの挨拶を告げ、立ち去る。；ジェンセンはコンベンションの挨拶でも声優の仕事をしたことに言及していた。；毎回違う外国語の挨拶で番組を始めているのが特色となっている。；仕事の撮影するときには、必ずすべてのスタッフに声をかけ挨拶をする事で知られている。；リング上で挨拶を行った際、過去に日本で対戦したレスラーの名前を挙げた。</t>
        </is>
      </c>
      <c r="J13">
        <f>HYPERLINK("https://www.weblio.jp/content/挨拶", "词义详情")</f>
        <v/>
      </c>
      <c r="K13">
        <f>HYPERLINK("https://yourei.jp/挨拶", "查看例句")</f>
        <v/>
      </c>
    </row>
    <row r="14">
      <c r="A14" t="inlineStr">
        <is>
          <t>相性</t>
        </is>
      </c>
      <c r="B14" t="inlineStr">
        <is>
          <t>成功</t>
        </is>
      </c>
      <c r="C14" t="inlineStr">
        <is>
          <t>読み方：あいしょう
１男女の生まれを暦の干支(えと)や九星などに当てて相生(そうせい)・相克を知り、二人の縁を定めること。中国の五行(ごぎょう)思想から出た考え方。→五行
２互いの性格・調子などの合い方。「上司と—が悪い」「—のいい対戦相手」
３俗に、機器同士を接続して用いるときの動作の具合。特に故障ではないにもかかわらず、原因不明の動作の不具合がある場合、「相性が悪い」という。
[補説] 「相性が合う（合わない）」とは言わない。</t>
        </is>
      </c>
      <c r="D14" t="inlineStr">
        <is>
          <t>相性が良い(7%)；相性が悪い(6%)；相性が良く(6%)；相性が悪く(4%)；相性がいい(4%)</t>
        </is>
      </c>
      <c r="E14" t="inlineStr">
        <is>
          <t>両立；柔軟性；縁故；類縁；姻戚</t>
        </is>
      </c>
      <c r="F14" t="inlineStr">
        <is>
          <t>タッグ相性；好相性；それぞれ相性；相性が良けれ；相性がわるい</t>
        </is>
      </c>
      <c r="G14" t="inlineStr">
        <is>
          <t>相性占い</t>
        </is>
      </c>
      <c r="H14" t="n">
        <v>29</v>
      </c>
      <c r="I14" t="inlineStr">
        <is>
          <t>または初めから魔法が主人と相性のいい存在を選んでいるとも言われる。；具体的には上で述べた順番の前後の勢力との相性が悪く設定されている。；戦闘を有利に進めるには敵との相性を考えてペルソナを使うことが重要。；一定時間、ゲーム画面を眺めていることから、広告表示との相性が良い。；現代では主に自身の性格やそれに基づいた相性を知るために利用する人がいる。；あい性ということなら、僕には智代のほうがあっているような気がする。；三分割で同じグループに属しているサインは互いに相性が悪いとされている。；他方、他のソフトウェアと相性的な問題が発生することも時折見られる。；IMRAD型は、研究者が論文を読む過程での思考の流れとの相性がよい。；ユニットにはクラスと属性が決められており、相手に応じて相性があった。；このパターンは選手の相性にも関係し、同じパターンの選手は相性が良い。；だが相性が悪かったのか、この2頭とタマオの間に子供はできなかった。；ホントに評判通りの人なのか、僕との相性がどうなのかとか、いろんな。；属性の相性は風は山に強く、林は風に強く、火は林に強く、山は火に強い。；他のリキュール類と相性が良く、様々な飲料スタイルに対応可能である。；他にはコーヒーやチョコレートとも相性が良いことで知られている。；また、飛天御剣流のほとんどの技を封殺するほど相性が良い性質を持つ。；なお敵が家康の手下であった場合、相性に関係なく説得に失敗しやすくなる。；二相性は少ないエネルギーで除細動することができるとされている。；ヤクルト時代は原樹理との相性が良く、頻繁にバッテリーを組んでいた。；特に阪神に相性が良く5勝をマークし阪神キラーと呼ばれる様になった。；こちらも原作で各機体が装備していた武器とは相性が良い。；集団戦闘ではこの相性を加味して、隊列を入れ替えることが重要となる。；相性が大きく左右するので単純に兵が多ければ強いわけではない。；宿らせられる武器は限られており、またリングと武器との相性も存在する。；現時点で多くの作品において適用されているタイプ相性は以下の通りである。；CDジャーナルは声と作品世界との相性は無類であると評価している。；ウイルスとの相性は変化しないため、検査結果は何度やっても変わらない。；ファイルシステムが重複排除機構を備えている場合は更に相性が良い。</t>
        </is>
      </c>
      <c r="J14">
        <f>HYPERLINK("https://www.weblio.jp/content/相性", "词义详情")</f>
        <v/>
      </c>
      <c r="K14">
        <f>HYPERLINK("https://yourei.jp/相性", "查看例句")</f>
        <v/>
      </c>
    </row>
    <row r="15">
      <c r="A15" t="inlineStr">
        <is>
          <t>愛情</t>
        </is>
      </c>
      <c r="B15" t="inlineStr">
        <is>
          <t>成功</t>
        </is>
      </c>
      <c r="C15" t="inlineStr">
        <is>
          <t>読み方：あいじょう
１深く愛し、いつくしむ心。「—を注ぐ」
２（性愛の対象として）特定の相手を恋い慕う心。「ひそかな—をいだく」
→愛［用法］
[補説]書名別項。→愛情</t>
        </is>
      </c>
      <c r="D15" t="inlineStr">
        <is>
          <t>愛情深い；愛情深く；愛情こまやか；愛情あふれる；愛情豊か</t>
        </is>
      </c>
      <c r="E15" t="inlineStr">
        <is>
          <t>好き；愛；恋；恋愛；好意</t>
        </is>
      </c>
      <c r="F15" t="inlineStr">
        <is>
          <t>強い愛情；激しい愛情；やさしい愛情；純粋な愛情；献身的な愛情</t>
        </is>
      </c>
      <c r="G15" t="inlineStr">
        <is>
          <t>愛情物語；愛情行為；愛情はふる星のごとく；愛情の花咲く樹；愛情は深い海の如く</t>
        </is>
      </c>
      <c r="H15" t="n">
        <v>29</v>
      </c>
      <c r="I15" t="inlineStr">
        <is>
          <t>そんなふたりを支えていたのは、お互いの存在とお互いへの愛情だった。；相手が異性の場合には愛情評価が高ければ恋人関係になることができる。；高里の実家を訪れた広瀬は、高里に何の愛情も持たない母親と面会する。；二人はその後死ぬまで互いに深い愛情を抱き続けたと言われている。；ベレグは彼への愛情に負け、彼もトゥーリンの仲間になることになった。；センプロニアには奇形があり、子もおらず夫婦に愛情はなかったという。；レインビアはバスケットボールへの愛情をほとんど見せない選手だった。；シハヌークの息子たちの中では最も父親の愛情を受けて育ったといわれる。；血の繋がらない愛情の無い家庭で育った翼の境遇を知り暦は愕然とする。；虐待を受けている子どもは恐怖または愛情から親をかばうことがある。；この時、相手の好みにあった場所に連れていくと愛情度が上がる。；彼らの周囲の人間はその愛情を別段特殊だとも感じていなかった。；「多くの人たちの愛情に支えられて今の自分がある」と述べている。；ホリーはセバスチャンの心からの愛情を理解し、二人は恋人同士になる。；性格は愛情深く、声が小さいことからおとなしい印象を持たれることが多い。；ハツミが結婚するまでの生活と家族との愛情を描いたホームコメディー。；寂しさを覚えながらも夫妻からの愛情を受け、ユーリは成長していく。；「アニメはストレートに友情とか愛情を伝えてくれるので好き」という。；政略結婚であったが、夫婦仲は睦まじく歳を追う毎に愛情を深めていた。；自然に対する愛情と適応力・観察眼そしてセンスの良さを持ち合わせた。；唯幸の死後、桜子と比呂人は以前のような激しい愛情関係は消えていた。；大人や子供の魔法使いとハリーの関係は愛情と忠義に基づいている。；特に結婚から年月を経てなお、妻への愛情覚めやらぬ様子を指す傾向がある。；ケイからの電話が鳴り、カナダへの出発を前に両親への感謝と愛情を伝える。；「地域ぐるみの愛情豊かなふれあいの子育ての推進」を表現しています。；癌で寝たきりになった母親を見舞いに行くなど愛情深い面もある。；主人家族に対しても愛情深いが、基本的に主人の言うことにのみ従う。；その間に、生涯にわたって愛情を捧げることになる妻と巡り合っている。；男女愛や家族愛と形は様々であるが、基本的には愛情に関するエピソードが多い。</t>
        </is>
      </c>
      <c r="J15">
        <f>HYPERLINK("https://www.weblio.jp/content/愛情", "词义详情")</f>
        <v/>
      </c>
      <c r="K15">
        <f>HYPERLINK("https://yourei.jp/愛情", "查看例句")</f>
        <v/>
      </c>
    </row>
    <row r="16">
      <c r="A16" t="inlineStr">
        <is>
          <t>合図</t>
        </is>
      </c>
      <c r="B16" t="inlineStr">
        <is>
          <t>成功</t>
        </is>
      </c>
      <c r="C16" t="inlineStr">
        <is>
          <t>読み方：あいず
［名］(スル)身ぶりなどで知らせること。前もって取り決めた方法で物事を知らせること。また、その方法や信号。「—を送る」「手を振って—する」</t>
        </is>
      </c>
      <c r="D16" t="inlineStr">
        <is>
          <t>合図をいたしまし；合図をなさいまし；合図ブザー；合図器；合図どおり</t>
        </is>
      </c>
      <c r="E16" t="inlineStr">
        <is>
          <t>気配；信号；マーク；旗；印</t>
        </is>
      </c>
      <c r="F16" t="inlineStr">
        <is>
          <t>あげて合図；出発合図；上げて合図；くるよう合図；ふって合図</t>
        </is>
      </c>
      <c r="G16" t="inlineStr">
        <is>
          <t>合図燈</t>
        </is>
      </c>
      <c r="H16" t="n">
        <v>29</v>
      </c>
      <c r="I16" t="inlineStr">
        <is>
          <t>お母さんのあいずでぼくたちは三人ずつ五チームにさんかいして進んだ。；宗次は松の木陰で火を焚くのをお良が島から村へ渡ってくる合図とした。；望月少佐は拳銃を構えたまま一歩身をよけてうしろの部下に合図をした。；スタートの姿勢を取ったあとは、出発合図まで静止しなければならない。；現在でもスポーツ競技などの合図や信号用などとして一般的に用いられる。；計測終了の合図が出た後、測定された数値が正面のパネルに表示される。；また、演奏開始の合図用の音の一部を楽曲の一部として使用している。；二人が夜帰ってくるときに、島で火を焚いて合図をしようとしたからでした。；列車の組成を変更した場合に行われるブレーキ試験の際に使用される合図。；この時に回ったり前後に動いている場合は審判からの合図は来ない。；それによって、だれがいつ、どういうつもりであいずしたのかがわかる。；このとき、合図が始まるまで先攻チームのサーバーは動いてはならない。；現代では遭難に限らず助けを求める合図として使用されることがある。；利用車は運転手に合図を送るだけで路線のどこでも乗り降りできる。；この銃の音はアレクサンドル・ペチェルスキーらの脱走の合図となった。；画面左にロームルスが略奪の合図を出しているところが描かれている。；ガス灯の明るさが合図となっていて、部屋にモートン警部が入ってくる。；恐竜に聞かせるように、それは何かの合図のような音色をとっていた。；博士は僕を制して、自分のあとについてくるようにと合図をおくった。；乗車時には、バスに向かって手を挙げるなどして運転手に合図する。；ウリマックは庭を通りかかった笛吹たちに合図をし、踊りが始められる。；暗くなると、がけの上に火をたいて、暗い沖の方に向かって合図をしました。；それにもかかわらず、スターターはエンジン停止の合図をしなかった。；ホイッスルは他の隊員との合図や周囲に危険を知らせたりするために用いられる。；それを合図のように、シュペー号の主砲六門は、一せいに火蓋を切った。；敵と向かい合っている間は、攻撃性の合図として低いうなり声をあげる。；そのため交差点を曲がる際には後続車へは手信号で合図する必要があった。；それを合図に亡くなった大勢のイサの人々の魂が赤い鳥の群れとなって集まってきた。；未来がどうなるかは分からなかったが、ただそれは両手を広げて合図を送ってきていた。</t>
        </is>
      </c>
      <c r="J16">
        <f>HYPERLINK("https://www.weblio.jp/content/合図", "词义详情")</f>
        <v/>
      </c>
      <c r="K16">
        <f>HYPERLINK("https://yourei.jp/合図", "查看例句")</f>
        <v/>
      </c>
    </row>
    <row r="17">
      <c r="A17" t="inlineStr">
        <is>
          <t>愛する</t>
        </is>
      </c>
      <c r="B17" t="inlineStr">
        <is>
          <t>成功</t>
        </is>
      </c>
      <c r="C17" t="inlineStr">
        <is>
          <t>読み方：あいする
［動サ変］［文］あい・す［サ変］
１かわいがり、いつくしむ。愛情を注ぐ。「我が子を—・する」
２（性愛の対象として）特定の相手を慕う。恋する。「—・する人と結ばれる」
３とりわけ好み、それに親しむ。「音楽を—・する」
４かけがえのないものとして、それを心から大切にする。「祖国を—・する」
５機嫌をとる。あやす。
「よしよし、しばし—・せよ」〈平家・九〉
６気に入って執着する。
「六趣に輪廻(りんゑ)することは、ただ一塵のたくはへをむさぼり—・するゆゑなり」〈今昔・五・一五〉</t>
        </is>
      </c>
      <c r="D17" t="inlineStr">
        <is>
          <t>愛すること(8%)；愛する者たち；愛するあまりに</t>
        </is>
      </c>
      <c r="E17" t="inlineStr">
        <is>
          <t>思う；希望；求める；恋愛；望む</t>
        </is>
      </c>
      <c r="F17" t="inlineStr">
        <is>
          <t>心から愛する；最も愛する；深く愛する；我が愛する；愛する者月光仮面</t>
        </is>
      </c>
      <c r="G17" t="inlineStr">
        <is>
          <t>愛すること；愛するということ；愛するがゆえに；愛する人達；愛する人よ</t>
        </is>
      </c>
      <c r="H17" t="n">
        <v>29</v>
      </c>
      <c r="I17" t="inlineStr">
        <is>
          <t>このクラブを機に母の好きだった音楽をアリエルは愛するようになった。；何故ならあなたは子供と結婚したので、親戚も愛する必要があるからだ。；そしてついには愛する女王を人質にとられ、王は処刑されることとなる。；ここで学んだ数学に感銘を受けて数学を愛するようになったとされている。；愛する「あなた」は星になり見守っていてくれていると云う内容である。；新法王は、貧しさや自然を愛する基本に戻ろうとしているのではないか。；戦闘技能・指揮能力共に優れ、同時に家族を愛する良き父親でもあった。；さだのこよなく愛する日本の美しい情景を描いた作品で構成されている。；神はその本性からして私を愛することをやめることができないという。；平和を愛するダイ族は戦いを決意し、その日から長い戦いが始まった。；これだけの程度に愛すれば足りると考えることは私にはできません。；僕はあいつを愛すれば愛する程あいつを信用する事が出来ないのだ。；私には私が誰を愛するかをきめることができる自然上や法律上の権利があります。；そこには、彼の愛する妹マリアもまた、埋葬されることとなったのだった。；馬を愛する民族であったようで、墓からは馬の生贄や馬車が見つかっている。；神は自らを愛するのと同じくらい人間を愛しているとされる。；そして他の人を愛することが次に大切なことであると教えた。；愛する妻の死体の傍で嘆いていたオルノーコは植民地政府に捕らわれる。；人は美に面したとき、それを眺め、それ自身の内なる必然性を愛する。；彼はソ連を愛すればこそその若干の欠陥を摘発しなければならないと思った。；それゆえ、人は攻撃的に性を前面に出しお互いに愛することがある。；自分が裏切りの罪をおかしたのも、愛すればこそではなかったろうか。；彼女は愛するジョージを助けたい一心で陰ながら彼を見守っていたのだ。；ひとを愛すれば、どういう風に相手を仕合わせにしたらよいかを考えること。；娘との言い合いはあれど、愛する夫・ベンと家族三人で幸せに暮らしていた。；自分自身を愛するよりもっと深くその子のことを愛したの。；彼がダイナマイトの爆発で大きな衝撃を受けたのも、妻を愛すればこそである。；歌詞は、2人の間に距離がありながらも、彼女を愛する気持ちを歌ったもの。；アイヌラックルは愛する姫を救い出し、無事に地上の砦へと帰って行った。</t>
        </is>
      </c>
      <c r="J17">
        <f>HYPERLINK("https://www.weblio.jp/content/愛する", "词义详情")</f>
        <v/>
      </c>
      <c r="K17">
        <f>HYPERLINK("https://yourei.jp/愛する", "查看例句")</f>
        <v/>
      </c>
    </row>
    <row r="18">
      <c r="A18" t="inlineStr">
        <is>
          <t>相席</t>
        </is>
      </c>
      <c r="B18" t="inlineStr">
        <is>
          <t>成功</t>
        </is>
      </c>
      <c r="C18" t="inlineStr">
        <is>
          <t>読み方：あいせき
［名］(スル)飲食店などで、見知らぬ客と同じ席につくこと。</t>
        </is>
      </c>
      <c r="D18" t="inlineStr">
        <is>
          <t>相席ロケ(3%)</t>
        </is>
      </c>
      <c r="G18" t="inlineStr">
        <is>
          <t>相席食堂；相席屋</t>
        </is>
      </c>
      <c r="H18" t="n">
        <v>29</v>
      </c>
      <c r="I18" t="inlineStr">
        <is>
          <t>四人掛けのボックスを二人で占領していた浦上と谷田は相席を求められた。；建物の裏側の地下のホールで、丁度客が立ち、相席で坐ることが出来た。；子供との交流や、家族的な何かを求める来店者が多く、相席も多い。；受験生同士の相席はないが、母親が向かい合って坐っているのは何組かいる。；ホテルのレストランで相席になった女性も、水しか飲みません。；相席とは、主に二人以上を定員とする座席に違う個人・団体を使用させることである。；カブリオレは御者は客と相席となり通常乗客は1人しか乗せられない。；人里離れた山や島で暮らす仙人と相席し、生きていくうえで大切な事を学ぶ。；泉は時間を少しずらしてきたので並ばずにはすんだが、それでも相席だった。；相席になった挨拶なのであろうが、私はどうもこれが苦手だ。；そして相席で座った老紳士は何故かスズの名前を知っていた。；食堂やレストランでたまたま相席になった場合ならば、無言で過ごすことがあるかもしれない。；たまたま相席になった老人に、一々気を遣っていたら取材なんかできやしない。；そんなある日、ごうら食堂でたまたま田中や杉尾と相席になった。；サラリーマンの志村が先に店に入って席についていたが、後から入ってきた柄本と相席になる。；美波は姫路さんと相席になったし、清水さんの怒りも収まっていることだろう。；先生の叔母が街にいるから相席させるだろう。；相席システムになっている店だった。；相席だが、皮肉なことにTVがちょうど目に入る席。；かといって、さきの制服組たちと相席になるのは好まない。；芸能人が日本各地で街ブラロケを行い、食堂などで相席をして人々とふれあう番組。；喫茶店の中はあえて相席をするほどの混みようではなかった。；また、特別企画として、通常とは異なる相席ロケも不定期で行われている。；ちょうど昼めしどきだったので、近くの会社づとめのOL三名と相席になった。；また、世俗主義国家であるとはいえイスラム教国であるため、これらのバスでは親子や夫婦などを除き男女の相席をさせることはまずない。；男は、混雑するテーブルでの相席で、他の客から顔を避けるようにして、じっと時刻表に見入っていたという。；けさから二度目の食堂車で、今度は、いないと思った東洋系の女性二人と相席になった。；右から三番めの席に座って、遅いお昼のクラブハウスサンドを二口かじったところで相席してもいいかと彼が聞いてきたのがはじまりです。；その時、相席したのは、やはり旅行中の大学生二人。</t>
        </is>
      </c>
      <c r="J18">
        <f>HYPERLINK("https://www.weblio.jp/content/相席", "词义详情")</f>
        <v/>
      </c>
      <c r="K18">
        <f>HYPERLINK("https://yourei.jp/相席", "查看例句")</f>
        <v/>
      </c>
    </row>
    <row r="19">
      <c r="A19" t="inlineStr">
        <is>
          <t>愛想</t>
        </is>
      </c>
      <c r="B19" t="inlineStr">
        <is>
          <t>成功</t>
        </is>
      </c>
      <c r="C19" t="inlineStr">
        <is>
          <t>読み方：あいそ
《「あいそう」の音変化》
１人に接するときの態度。また、人当たりのいい態度。「店員の—のいい店」「—のない返事」
２人に対する好意・信頼感。「—を尽かす」
３（多く「お愛想」の形で）
㋐相手の機嫌をとるための言葉・振る舞い。「—を言う」「お—で食事に誘う」
㋑客などに対するもてなし・心遣い。「何の—もなくてすみません」
㋒飲食店などの勘定。「お—願います」
→愛嬌(あいきょう)［用法］
[補説] 「愛想をふりまく」という言い方について→愛嬌(あいきょう)をふりまく［補説］</t>
        </is>
      </c>
      <c r="D19" t="inlineStr">
        <is>
          <t>愛想よく(24%)；愛想良く(3%)；愛想づか；愛想よい；愛想笑</t>
        </is>
      </c>
      <c r="E19" t="inlineStr">
        <is>
          <t>好意；勘定；恩；会計；恩恵</t>
        </is>
      </c>
      <c r="F19" t="inlineStr">
        <is>
          <t>可愛想；ひどく愛想；御愛想；愛想よくふるまう；愛想よく応対</t>
        </is>
      </c>
      <c r="G19" t="inlineStr">
        <is>
          <t>愛想尽かし</t>
        </is>
      </c>
      <c r="H19" t="n">
        <v>29</v>
      </c>
      <c r="I19" t="inlineStr">
        <is>
          <t>そしてわたしに別れを告げたときには愛想がいいといえるぐらいだった。；彼は見たところこの上もなく愉快そうな、愛想のいい態度で客を迎えた。；そしてまた愛想のいい微笑をうかべているからといって油断はならない。；今度は前の二人より余程愛想のいい・年齢も少しは上らしい男である。；彼が近くの将校たちに愛想良く話しかけているのを聞くことが出来た。；あの人にはわたしも会ったことがあるが、ばかに愛想のいい紳士でしたよ。；間もなく酒が遅いとか何とか言って、可愛想な少女を脅かしつけていた。；「何でもございませんのよ」シモーヌはいささか不愛想な調子でいった。；愛想をつかされてもそれに不足を言えない己である位は承認しよう。；まことに令夫人は目下の者に愛想よく親切にお目をかけてくださいます。；彼は父が客達の嘲笑にも気付かずに話してゐることが可愛想にさへ思へた。；彼はいつもの愛想のよい笑いを浮かべて室内へ入って来ました。；こういう事に馴れ切っているらしい監督はきわめて愛想よく事件を処理した。；わたしがもどってくるまでにもっと愛想のいい態度をとることを学んでおきなさい。；けれど、この旅人の眉を顰めた愛想のなさが、私を心安くしたのだつた。；たしかにかれはいい友人だが、とりたてて愛想がいいわけじゃないだろう。；我輩がこの語を聞いたときは非常にいやな可愛想な気持ちがした。；テナルディエはそのあまり愛想のない言葉を耳にしなかったようなふうをした。；私はそんな女心に愛想がつきてしまう前に、自分に愛想をつかしました。；いつも愛想がよくて、感謝を忘れず、だれのことでも好意をもって話した。；それにもかかわらず彼の表現は静かであり親切であり愛想が良い。；老若男女を問わず、すべての人に同じ魅力的な愛想のよさと理解を傾ける。；ベネットは協会が自分を支援しなかったことに愛想を尽かし、辞職した。；何ぜさうしたのか彼は自分ながら自分の臆病さに愛想がつきた。；しかし、その不安は、自分の国に愛想をつかさせるやうなものであらうか?；これほど愛想のいいスラック警部に会ったのははじめてではないかと思いながら。；彼の愛想のよさは全く人のために取って置いたみたいだ。；彼女の表情はおどろくほど変化が早く、またもとの愛想のいい顔になっていた。；しかし、それよりもしたりげな顔をして患者に向つて居る自分には愛想がつきた。</t>
        </is>
      </c>
      <c r="J19">
        <f>HYPERLINK("https://www.weblio.jp/content/愛想", "词义详情")</f>
        <v/>
      </c>
      <c r="K19">
        <f>HYPERLINK("https://yourei.jp/愛想", "查看例句")</f>
        <v/>
      </c>
    </row>
    <row r="20">
      <c r="A20" t="inlineStr">
        <is>
          <t>間</t>
        </is>
      </c>
      <c r="B20" t="inlineStr">
        <is>
          <t>成功</t>
        </is>
      </c>
      <c r="C20" t="inlineStr">
        <is>
          <t>読み方：あい
１（「間」とも書く）「合い着」「合い服」の略。「—の服」
２名詞の下に付いて接尾語的に用いる。
㋐互いにある動作をすることを表す。「話し—」「触れ—」
㋑様子・調子などの意を表す。「色—」「風(ふう)—」
㋒それに近いこと、そのあたり、の意を表す。「意味—」「沖—」「横—」</t>
        </is>
      </c>
      <c r="D20" t="inlineStr">
        <is>
          <t>間違；間じゅう；間切；間桐；間にはさん</t>
        </is>
      </c>
      <c r="E20" t="inlineStr">
        <is>
          <t>時；関係；部屋；時間；室</t>
        </is>
      </c>
      <c r="F20" t="inlineStr">
        <is>
          <t>半年間；瞬く間；永い間；ic間；畳間</t>
        </is>
      </c>
      <c r="G20" t="inlineStr">
        <is>
          <t>間もなく；間隔；間に合わ；間違え；間近</t>
        </is>
      </c>
      <c r="H20" t="n">
        <v>29</v>
      </c>
      <c r="I20" t="inlineStr">
        <is>
          <t>代わりのボール代だけでも半年間で10万円を超えることになったという。；システム間でメッセージをやりとりするには接続を確立させる必要がある。；数学の範囲と定義については、数学者や哲学者の間で様々な見解がある。；しかし、各分野間には関連領域が存在するため明確に区別することは難しい。；江戸時代初期、各藩は隣接する藩との間で境界争いが盛んとなった。；これが、奈良を中心とする寺院の間に、出版事業を興させるようになる。；各種のマグニチュードの値の間では差異を持つので注意が必要である。；作品の文学性の基準は学者の間の数々の論争の的となってきた。；これが後500年間にわたってヨーロッパの大学で教えられたという。；個人間で行うものから組合やギルド等の特定のグループ内で行うものがある。；舞楽が演じられる際には、その中にさらに3間四方の敷舞台が置かれた。；しかし、ケーブルテレビが発達して間もない時期は、局数が少なかった。；エンジンの位置は前輪と後輪の間に搭載されるものが一般的である。；もっとも、パリとその郊外の県との間では、下水道組合の再編を行った。；このような宗教が広まることで庶民の間にもその宗教は広まっていく。；博士号を取得した後、半年の間のソシュールの行動はわかっていない。；しかし海軍関係者の間で巨大戦艦建造の事実そのものは公然の事実だった。；彼は彗星は惑星の間を直線軌道で運行していると信じていた。；掲載作品がこれらの姉妹誌の間で移籍することも多い。；また震央距離と震度、マグニチュードの間には以下の関係があるとした。；だが、結婚してから1年ほどの間に、彼女の容姿は変わり果てていった。；日本国憲法施行までの半世紀以上の間、一度も改正されることはなかった。；独立の経緯以来、インドとの間では緊張関係が継続している。；これは から見ると引数の論理変数間の関係を記述可能に拡張したものである。；野球の試合結果を利用した賭博が一部の人間の間で行われている。；この不平等さはエリートと土地なし農民の間に強い緊張状態をもたらしている。；間に立ったのは布枝の母の弟で、この叔父の妻の実家が武良家の遠縁だった。；ホームと改札口階との間にはエレベーターが設置されている。；著作権は、著作者が死亡してから70年を経過するまでの間、存続する。</t>
        </is>
      </c>
      <c r="J20">
        <f>HYPERLINK("https://www.weblio.jp/content/間", "词义详情")</f>
        <v/>
      </c>
      <c r="K20">
        <f>HYPERLINK("https://yourei.jp/間", "查看例句")</f>
        <v/>
      </c>
    </row>
    <row r="21">
      <c r="A21" t="inlineStr">
        <is>
          <t>間柄</t>
        </is>
      </c>
      <c r="B21" t="inlineStr">
        <is>
          <t>成功</t>
        </is>
      </c>
      <c r="C21" t="inlineStr">
        <is>
          <t>読み方：あいだがら
１親類・血族などのつながりの関係。「親子の—」
２つきあい。仲。「あいさつを交わす程度の—」</t>
        </is>
      </c>
      <c r="D21" t="inlineStr">
        <is>
          <t>間柄であり(3%)；間柄であつ；間柄ゆえ</t>
        </is>
      </c>
      <c r="E21" t="inlineStr">
        <is>
          <t>縁；仲；関わり；繋がり；因縁</t>
        </is>
      </c>
      <c r="F21" t="inlineStr">
        <is>
          <t>親密な間柄；そういう間柄；近しい間柄；深い間柄；懇意な間柄</t>
        </is>
      </c>
      <c r="H21" t="n">
        <v>29</v>
      </c>
      <c r="I21" t="inlineStr">
        <is>
          <t>そうして二人の間柄はその方面の自由を彼女に与えるに充分であった。；だって、私たちは、最初から出会ってはいけない間柄だったんですもの。；当時の私の眼に映った先生と奥さんの間柄はまずこんなものであった。；ユリとは相愛の間柄のはずながら十数年後の未来でも未婚のままである。；此等の仙人と道教とは何樣いふ間柄に置かれてあるものか尋ねて見たい。；だが、さういふ程度の関係は知らぬ顔をすれば他人で通る位の間柄である。；彼等はもともと過去に於てもさう親しみ合つたといふ間柄ではなかつた。；この二人の男は、ごく近くに住み合っている、近隣同士の間柄なのでした。；この人は私の弟子ではないが、物を彫ることは私が教えたんで親しい間柄。；兄夫婦の間柄は母が自分に訴えた通り、自分にもたいていは呑み込めていた。；心の遠慮のとれた間柄になつてからはおいよさんに我儘な所もあつた。；御二人は御姉弟の間柄であることは既に前出の歌のところで云った。；幼少時の重信房子は四元の膝の上で遊んでいたほどで家族同様の間柄であった。；しかし仕事の上では同じことをやっているので、君僕の間柄だ。；葉子はそのころすでに米国にいるある若い学士と許嫁の間柄になっていた。；とはいえ福寧君は当時の王統には近い間柄なので国王達と親密であった。；夫婦仲が疎遠どころか、複雑な心象を伝える間柄であったことが分かる。；南条己未男との間柄も、別に詳しく詮議だてをしようとは思わなかつた。；老人のこの癖も、二人の間柄をややっこしくするようなことはまずないのだ。；そしてただこれだけの間柄に過ぎなかったのに、不思議にもまだその名は覚えている。；古くは王と親しい間柄の人物が長官に任命されるケースが多かった。；一たび別れてしまえば生涯相逢うべき機会も手段もない間柄である。；僕たちの間柄を、普通なもんだと思つてらつしやるからです。；某氏は同じ大学総長仲間といふのでウヰルソン氏とも昵懇の間柄だつた。；辻元は武のことを「大阪のお父ちゃん」と呼ぶほどの間柄であるという。；互いに2km程しか離れていないため、頻繁に練習試合を行っている間柄。；川栄李奈とは、お互いに仲が良いメンバー・気が合うメンバーに挙げる間柄。；同じく瓜と云う字のつく所を以て見ると南瓜も糸瓜も親類の間柄だろう。；何の秘するところもなく親愛し合つた独身女と処女との間柄に段が出来た。</t>
        </is>
      </c>
      <c r="J21">
        <f>HYPERLINK("https://www.weblio.jp/content/間柄", "词义详情")</f>
        <v/>
      </c>
      <c r="K21">
        <f>HYPERLINK("https://yourei.jp/間柄", "查看例句")</f>
        <v/>
      </c>
    </row>
    <row r="22">
      <c r="A22" t="inlineStr">
        <is>
          <t>相次いで</t>
        </is>
      </c>
      <c r="B22" t="inlineStr">
        <is>
          <t>成功</t>
        </is>
      </c>
      <c r="C22" t="inlineStr">
        <is>
          <t>読み方：あいついで
［副］あとに続いて。次々と。「各国首脳が—来日する」</t>
        </is>
      </c>
      <c r="D22" t="inlineStr">
        <is>
          <t>相次いで死去(2%)；相次いで発生；相次いで開業；相次いで発表；相次いで建設</t>
        </is>
      </c>
      <c r="E22" t="inlineStr">
        <is>
          <t>次々に；続々と；休みなく；ウヨウヨ；ゾロゾロと</t>
        </is>
      </c>
      <c r="F22" t="inlineStr">
        <is>
          <t>相次いで刊行；相次いで亡くなり；相次いで死亡；相次いで廃止；相次いで病死</t>
        </is>
      </c>
      <c r="H22" t="n">
        <v>29</v>
      </c>
      <c r="I22" t="inlineStr">
        <is>
          <t>この戦略の転換によって都市と観光地を結ぶ系統が相次いで新設された。；この動きに他の大学も追従、相次いで郊外へ全面移転する大学が現れた。；日本では1960年代に商業用半没型水中翼船が相次いで登場している。；なお、この頃はゾロアスター教からキリスト教への改宗が相次いでいた。；その他にも外国人向けホテルや民泊マンションの新設が相次いでいる。；相次いで住宅や商工業施設が建設される一方で茶園は減少していった。；大場翔太と服部泰卓の交渉権獲得に相次いで失敗した後の指名であった。；さらに自民党内での佐藤の政敵が相次いで世を去ったという事情がある。；しかし、国内の混乱に乗じて、南からウマイヤ朝の侵攻が相次いでいた。；そのため近年では県外の工業団地に移転する企業が相次いでいる。；オリジナルデザインのスニーカーに絶賛の声が相次いで寄せられている。；米潜水艦3隻が相次いで魚雷多数を発射するが、1本も命中しなかった。；新種の記載も近年相次いでおり、多くの未発見種が存在すると考えられている。；そのほか藩邸が焼けてその修理費にと、支出が相次いで財政難に陥った。；その後、相次いで植物調査を目的とした探検が計画・実施された。；また、1994年頃からジャングル作品の日本盤が相次いで発売された。；北隣の新宿駅が度重なる改良工事で当駅方に相次いで延長された。；その間に中国では周恩来首相と毛沢東主席が1976年に相次いで死去。；近年各メーカーから相次いで販売されるようになった。；このように相次いで庇護を失ったことは、当然劇団に影響を与えた。；近年はコンビニエンスストア等を含め様々な分野の店舗の出店が相次いでいる。；以後、弥生時代のニワトリやブタは九州・本州で相次いで出土している。；上記以外の時間帯の番組でも、放送時間や出演者を相次いで変更している。；その後、他のローカル私鉄で走っていた車両を相次いで購入した。；同時期に日本タイヤや日本カーバイド工業が相次いで工業生産に着手した。；また、2000年以降、当駅周辺でマンションの建設が相次いでいる。；ようやく男子に恵まれた後も、女子を相次いで失う不幸に見舞われた。；また、同様の理由でIT企業のデータセンターの建設が相次いでいる。；周辺は以前は静かな住宅地であったが、1990年頃からマンション建設が相次いでいる。</t>
        </is>
      </c>
      <c r="J22">
        <f>HYPERLINK("https://www.weblio.jp/content/相次いで", "词义详情")</f>
        <v/>
      </c>
      <c r="K22">
        <f>HYPERLINK("https://yourei.jp/相次いで", "查看例句")</f>
        <v/>
      </c>
    </row>
    <row r="23">
      <c r="A23" t="inlineStr">
        <is>
          <t>相次ぐ</t>
        </is>
      </c>
      <c r="B23" t="inlineStr">
        <is>
          <t>成功</t>
        </is>
      </c>
      <c r="C23" t="inlineStr">
        <is>
          <t>読み方：あいつぐ
［動ガ五（四）］
１物事があとからあとから続いて起こる。「—・ぐ惨事」
２受け継ぐ。伝えていく。また、相続する。
「はかばかしう—・ぐ人もなくて」〈源・松風〉</t>
        </is>
      </c>
      <c r="D23" t="inlineStr">
        <is>
          <t>相次ぐ事態となり；相次ぐ負傷離脱</t>
        </is>
      </c>
      <c r="E23" t="inlineStr">
        <is>
          <t>繰り返される；終わらない；頻発する；果てしない；休みなく</t>
        </is>
      </c>
      <c r="H23" t="n">
        <v>29</v>
      </c>
      <c r="I23" t="inlineStr">
        <is>
          <t>二人の姉と祖母の相次ぐ死を経験した百三は、人間の無力さを痛感する。；中国や香港ではこの他にも近年、国際的な賞が相次ぎ創設されている。；相次ぐタイトルの変更は、当時の図書館界の雑誌でも話題になっていた。；この戦略の転換によって都市と観光地を結ぶ系統が相次いで新設された。；これを機に世界中で採用が相次ぎ、今日でもなお広く利用されている。；このことを契機に外部の業者による温泉業の参入が相次ぐようになった。；は主力打者の故障や不振が相次ぎ、満足の行く成績を上げられなかった。；日本では1960年代に商業用半没型水中翼船が相次いで登場している。；なお、この頃はゾロアスター教からキリスト教への改宗が相次いでいた。；その他にも外国人向けホテルや民泊マンションの新設が相次いでいる。；これ以降、韓国より個人請求権を根拠にした訴訟が相次ぐようになった。；しかしこの段階になると富士市の住民より苦情が相次ぐようになっていた。；その後、1970年代には芸能人の逮捕も相次ぎ日本人の例も増加した。；また、スペイン支配地域でもカトリック化した原住民の反乱が相次いだ。；相次いで住宅や商工業施設が建設される一方で茶園は減少していった。；しかしラサ島で事業を拡大していく中で後述のような問題が相次ぐことになった。；またこの頃はアフリカやアジアにおいて宗主国から独立する国が相次いだ。；大場翔太と服部泰卓の交渉権獲得に相次いで失敗した後の指名であった。；さらに自民党内での佐藤の政敵が相次いで世を去ったという事情がある。；以降も創設メンバー、ジョン・ロックスらをはじめとする脱退が相次ぐ。；そのため近年では県外の工業団地に移転する企業が相次いでいる。；しかし、勝利の後に粛清と離脱が相次ぎアライアンスは弱体化していた。；相次ぐ出来事に完全にやる気をなくした隊員達は、次々と他の部隊へ移籍。；しかし追試の失敗が相次ぎ、N線の存在が疑問視されるようになった。；相次ぐ攻撃を受けて機動ジャケットの出力はぎりぎりまで低下している。；しかしシーズンでは主力選手の相次ぐ故障離脱もあり開幕早々から低迷。；新種の記載も近年相次いでおり、多くの未発見種が存在すると考えられている。；試作的要素が強く故障や事故が相次ぎ、1編成のみの導入に終わった。；中間区間の工事は中断し、役員も相次ぎ交代し体制は安定しなかった。</t>
        </is>
      </c>
      <c r="J23">
        <f>HYPERLINK("https://www.weblio.jp/content/相次ぐ", "词义详情")</f>
        <v/>
      </c>
      <c r="K23">
        <f>HYPERLINK("https://yourei.jp/相次ぐ", "查看例句")</f>
        <v/>
      </c>
    </row>
    <row r="24">
      <c r="A24" t="inlineStr">
        <is>
          <t>相槌</t>
        </is>
      </c>
      <c r="B24" t="inlineStr">
        <is>
          <t>成功</t>
        </is>
      </c>
      <c r="C24" t="inlineStr">
        <is>
          <t>読み方：あいづち
１鍛冶(かじ)で、二人の職人が交互に槌を打ち合わすこと。あいのつち。
２相手の話にうなずいて巧みに調子を合わせること。
「聞く人なげに遠慮なき高声、福も—例の調子に」〈一葉・われから〉</t>
        </is>
      </c>
      <c r="D24" t="inlineStr">
        <is>
          <t>相槌打つ；相槌程度</t>
        </is>
      </c>
      <c r="E24" t="inlineStr">
        <is>
          <t>応答；生返事；あいづち</t>
        </is>
      </c>
      <c r="F24" t="inlineStr">
        <is>
          <t>ふんふんと相槌；軽く相槌</t>
        </is>
      </c>
      <c r="H24" t="n">
        <v>29</v>
      </c>
      <c r="I24" t="inlineStr">
        <is>
          <t>その話に適当な相槌を打ちながら、わたしは彼女の唇の動きを見ていた。；私もそこへ座って食事をし、彼女達の話に相槌を打ったり笑ったりした。；どうしました、と訊いたものの、これは相槌以上の意味を持たなかった。；商談などでは特にこれらの相槌がネイティヴでない人間には負担となる。；しかし誰も真面目に相手にならずに、稀にいい加減の相槌を打っている。；その度に譲治の兄貴と紗音ちゃんが驚いたり相槌を打ったりしてくれる。；だが彼はどこかテレビや小説の話を聞いているような気持ちで相槌を打っていた。；そうか、などと相槌を打っている声にも静かな怒りのようなものが感じられた。；カラの声をぼんやりと聞きながら、相槌を打つことだけは忘れなかった。；相槌の打ち方、眼玉の動かし方など、なかなか堂に入ったものである。；彼は兄の話に相槌をうちながらも、心ならずもほかのことを考えはじめた。；私はこの見解に、魅音も同じように考え相槌を打ってくれると思った。；皆が適当に相槌を打っているうちに、演説のテーマが変わったらしい。；昔は同僚の話に相槌を打っているだけの、口数の少ないホステスだった。；私も、意外に緑の多い東京の街に眼をやりながら、そのたびに相槌を打った。；ほかの女生徒たちが申し合せたように首を振って無言の相槌を打った。；機械的に話す中年の医者に、私はからだ中の力が抜けたまま相槌を打った。；しかしまさかに、一々相槌打っては心配を増して、それも罪ではないか。；そいつのわけのわからない日本語に相槌を打ちながら時間を潰した。；わたしはあの人の妹として、思い出したように相槌を求められるだけ。；相槌を打ったりしたら、きっとまたDVDをセットしはじめるに違いない。；細谷は適当に相槌を打ちながらも、写真のことが気になって仕方がなかった。；父が気詰まりをなくすために話をして、私も時々それに相槌を打った。；彼は胸が迫って、何と相槌を打つ事も出来ずに、ただ相手の顔を見守った。；レンバルトは普通に相槌を打ちながらユフィンリーの話を聞いていた。；悠子は相槌の代わりに風呂の加減をみて、久美子に先に入るように言う。；その席には、立ち会いの用人も控えていて、取り調べ役に相槌を打った。；ただ今度の場合は、誰も相槌は打たず、沈うつな空気の中で話は進められた。；津田は一度も振り返らなかったし、相槌があってもなくてもよさそうだった。</t>
        </is>
      </c>
      <c r="J24">
        <f>HYPERLINK("https://www.weblio.jp/content/相槌", "词义详情")</f>
        <v/>
      </c>
      <c r="K24">
        <f>HYPERLINK("https://yourei.jp/相槌", "查看例句")</f>
        <v/>
      </c>
    </row>
    <row r="25">
      <c r="A25" t="inlineStr">
        <is>
          <t>相手</t>
        </is>
      </c>
      <c r="B25" t="inlineStr">
        <is>
          <t>成功</t>
        </is>
      </c>
      <c r="C25" t="inlineStr">
        <is>
          <t>読み方：あいて
１一緒になって物事をする、一方の人。「孫の—をする」「話し—」
２その行為の対象となるもの。「交渉の—」「—の出方を見る」「子供—の商売」
３対抗して勝負を争う人。「—にとって不足はない」「—にならない」「手ごわい—」</t>
        </is>
      </c>
      <c r="D25" t="inlineStr">
        <is>
          <t>相手国；相手側；相手選手；相手かまわ；相手打者</t>
        </is>
      </c>
      <c r="E25" t="inlineStr">
        <is>
          <t>敵；会社；連れ；仲間；同士</t>
        </is>
      </c>
      <c r="F25" t="inlineStr">
        <is>
          <t>遊び相手；再婚相手；貿易相手；浮気相手；不倫相手</t>
        </is>
      </c>
      <c r="G25" t="inlineStr">
        <is>
          <t>相手チーム；相手取り；相手役；相手投手；相手df</t>
        </is>
      </c>
      <c r="H25" t="n">
        <v>29</v>
      </c>
      <c r="I25" t="inlineStr">
        <is>
          <t>また、東西お互いに相手を非難するプロパガンダ放送を流し合っていた。；日本の海軍は米英を相手に戦争ができるように建造されておりません。；また環境条件が相手国にとって有利かどうかも重要な判断材料となる。；これだけの手だれ、八人があいてでは、どう考えても勝ち目はなかった。；代表的なものとしては、相手の信仰を改宗させるために行う場合がある。；相手認証とはある人が他の人に自分が確かに本人であると納得させるをいう。；ある時、王は妻の不貞を知り、妻と相手の奴隷たちの首をはねて殺した。；また嫌がる人や心を閉ざしている相手に対して魔法は効力を発揮しない。；さきほどと同じように、挟んだ相手の色の石を裏返して自分の色に変える。；そして、彼こそ今まで待ち望んできた真実の恋の相手ではないかと考える。；またロシアに並ぶ輸出相手国であった中国の需要が減少するなど経済環境が悪化。；軸から相手に向けて上流と下流の関係が出来るため、このように呼ばれる。；子供に兄や姉がいる場合、彼らが初期の仲間関係をつくる相手となる。；反対に、的球がポケットされなかった場合、相手のプレイヤーに交代する。；中にはゴローニンや高田屋嘉兵衛のように相手国の捕虜になった人もいた。；園部に会ってみてあたしはあいてを甘く見すぎていたことをしりました。；あいては、時計屋のテッディ・ヘンフリイともうひとりの村の男だった。；人口で5倍、経済力で38倍の相手に対抗できたのはここまでであった。；手をかざしただけではとうてい足りず、目をあいてなどいられぬほどに。；十分もたたぬうちにドアが、そっとあいて、誰かが室内にはいって来た。；みたこともない顔ですが、大きな口をあいてよだれをながしていました。；どちらもサイレントで配給ルートも得られずまったく相手にされなかった。；ドアがあいて二人の制服を着たトラックの運転手がはいってきた。；乗り入れ相手先の部分でのみ使用され国鉄区間では採用・使用されていない。；あいての眼の裏に潜むものをすぐ読んでギクとふるえに襲われたらしい。；それとほとんど同時に、裏口の戸もあいて、そこからも数名の制服警官。；新たな市場となったイギリスはオランダのような取引相手の主体となることは無かった。；偶然相打ちしたとしても、相手の大尉が確実に減った事しか分からない。；また二人プレイの場合、相手の救急車には重なっても乗ることは出来ない。</t>
        </is>
      </c>
      <c r="J25">
        <f>HYPERLINK("https://www.weblio.jp/content/相手", "词义详情")</f>
        <v/>
      </c>
      <c r="K25">
        <f>HYPERLINK("https://yourei.jp/相手", "查看例句")</f>
        <v/>
      </c>
    </row>
    <row r="26">
      <c r="A26" t="inlineStr">
        <is>
          <t>相手取る</t>
        </is>
      </c>
      <c r="B26" t="inlineStr">
        <is>
          <t>成功</t>
        </is>
      </c>
      <c r="C26" t="inlineStr">
        <is>
          <t>読み方：あいてどる
［動ラ五（四）］交渉や争いの相手とする。訴訟の相手とする。「公害問題で企業を—・って訴訟を起こす」</t>
        </is>
      </c>
      <c r="D26" t="inlineStr">
        <is>
          <t>忌避；相手どる</t>
        </is>
      </c>
      <c r="H26" t="n">
        <v>29</v>
      </c>
      <c r="I26" t="inlineStr">
        <is>
          <t>肩で息をするような手合いを相手取れば、万に一つの敗北もありえない。；だがあんたらを相手取ることにそれだけの価値があるとは、どうしても思えん。；以下を含めて多くがCarrierIQを相手取って訴訟を起こしている。；現在では、この幼稚園が元の工場経営者を相手取って訴訟中だと書いてある。；お前が今まで相手取ってきた連中も、みんなそうだったろうが。；この男を相手取ることは当初の予定に入っていない。；政府やロンドン郡評議会を相手取っただけでなく、自身の党の指導者たちをも相手にしたのである。；未知の魔法少女を一度に四人も相手取るなど、彼からすればありえない話だ。；タイポスクワッターのサイトや個人を相手取る訴訟に発展することも時々ある。；男子生徒を含む家族が県を相手取り約1億4800万円の損害賠償請求。；彼も決して弱くはないが、不死者を相手取るほどではない。；この時から琢矢の地獄と久我山天善を相手取った戦いが始まった。；国やJT、その他の企業等を相手取る訴訟がしばしば起きている。；市民は市を相手取って訴訟を起こすほどであった。；市と県を相手取った民事訴訟は、12月6日に最終弁論が行われた。；最終的にはオサリバンがミルズを相手取って訴訟を起こす事態にまで発展してしまう。；是が非でも俺を相手取って訴訟をおこすというなら、おこしてみるがいい。；確かにそれはそうだが王を相手取っての交渉で、そんな乱暴な発想ができるのはやはり大商人の人間だからだろうか。；被害者は1万人以上に渡るとされており、アメリカ連盟を相手取った訴訟も相次いた。；第一線の法律専門家として活動し、州や郡を相手取っていくつもの重要事件を手掛けた。；グレート・デンを相手取ったノミのような気がしたが、何かで意志表示しなくては気がすまなかった。；満身創痍状態の中、彼の闘いはFDAを相手取った法廷闘争へと移っていく。；まるでもう批評家が大向ふとして相手取る大家になつたやうな気持で。；この裁判は、施設を支援する信託からの支出を問題とする法律事務所を相手取ったものである。；北方の国であるアルスターは他の国全てを相手取ることが可能なほどの勇猛な国として描かれる。；しかもあの、どこか常軌を逸した裏の顔を抱えた、あやせを相手取ってだ。；大戦時には一般兵を相手取り「戦場の死神」として最も恐れられた。；当然本人も事務所も寝耳に水で出版社を相手取って訴訟も辞さないというような問題に発展した。；イギリス国内のこれらの女性のうちの250人以上が、同社製品を使用し手術をした医療機関を相手取る集団訴訟の準備をしている。</t>
        </is>
      </c>
      <c r="J26">
        <f>HYPERLINK("https://www.weblio.jp/content/相手取る", "词义详情")</f>
        <v/>
      </c>
      <c r="K26">
        <f>HYPERLINK("https://yourei.jp/相手取る", "查看例句")</f>
        <v/>
      </c>
    </row>
    <row r="27">
      <c r="A27" t="inlineStr">
        <is>
          <t>あいにく</t>
        </is>
      </c>
      <c r="B27" t="inlineStr">
        <is>
          <t>成功</t>
        </is>
      </c>
      <c r="C27" t="inlineStr">
        <is>
          <t>読み方：あいにく
《「あやにく」の音変化》
［形動］［文］［ナリ］期待や目的にそぐわないさま。都合の悪いさま。「—な空模様」「—ですが、もう売り切れました」
［副］折あしく。ぐあい悪く。「彼を訪ねたが、—留守だった」</t>
        </is>
      </c>
      <c r="D27" t="inlineStr">
        <is>
          <t>不幸；気の毒；残念ながら；因果；不遇</t>
        </is>
      </c>
      <c r="H27" t="n">
        <v>29</v>
      </c>
      <c r="I27" t="inlineStr">
        <is>
          <t>あいにくこの事件の場合は、メディアの反応も考慮しなくてはならない。；あいにく世の中はそうそうお前の調子に合わせて浮かれてはくれんのだ!；それに、あいにく、教授は客と二人で姿を見せるわけにもいかなかった。；だから、あいにくこの池の名は私にはもはや神秘でもなんでもないのだ。；あたしたちをあいにくみんなお墓へ送りかねないお前さんじゃないか。；だがあいにくなことに最初にもどってきたのは母親のほうであった。；あいにくなことに、倉敷駅からホテルへ行ったときと同じ運転手だった。；あいにく、女性とろくに付きあったことのない自分にはよくわからない。；あいにくこの巻の執筆に間に合う期間に手にいれることができなかった。；あいにく、わたしは記事になるニュースの売りこみに来たわけではない。；あいにく三号室は、妹と一緒に旅をしている一人の青年が泊っていた。；そして私はあいにくこの一つだけしかゲームの種を持ち合していない。；あいにくと手持ちの武装では人を殺す事はできても消す事はできないんだ。；あいにくとその日は、三吾は留守で、夜十一時過ぎに帰ると言っていた。；あいにくなことに、お茶のときから一度もお乳をやらなかったんですもの。；あいにく横側に窓が付いていないので、強い光はどこからも射さなかった。；彼の旗がメインマストに翻されたが、旗の状態があいにく良くなかった。；それがあいにくいつもじきその人たちと別れなければならないようになる。；緊張してカメラを構えたものの、あいにくとタンクの中は空っぽだった。；あいにくと竜憲は、女と見ればとにかく格好をつけるという習慣はない。；敏夫の母親という線も考えたが、あいにく、誰かが先に手を下していた。；試してみる価値はありそうだが、あいにく八環には炎を操る能力はない。；あいにく、それを報告に来た婆さんは車種までは分からなかったらしい。；時間があれば、ちょっとよって見物したいが、あいにく行く余裕がない。；あいにく鉄格子と窓との間には、黄司も何も人間なんていやしなかった。；しかし、あいにくと私は神を信じていないし、天国もあると思っていない。；こんな時にどうすればいいのか、あいにく今まで、誰も教えてくれなかった。；だがあいにく、光の反射の関係で俺たちのいる位置からは中はよく見えない。；わたしは病気のうえ、あいにくそのときには妻まで入院していたのだ。</t>
        </is>
      </c>
      <c r="J27">
        <f>HYPERLINK("https://www.weblio.jp/content/あいにく", "词义详情")</f>
        <v/>
      </c>
      <c r="K27">
        <f>HYPERLINK("https://yourei.jp/あいにく", "查看例句")</f>
        <v/>
      </c>
    </row>
    <row r="28">
      <c r="A28" t="inlineStr">
        <is>
          <t>合間</t>
        </is>
      </c>
      <c r="B28" t="inlineStr">
        <is>
          <t>成功</t>
        </is>
      </c>
      <c r="C28" t="inlineStr">
        <is>
          <t>読み方：あいま
１物事のとぎれる間の時間。あいだ。ひま。絶え間。「勉強の—に仕事を手伝う」
２物と物との間。</t>
        </is>
      </c>
      <c r="D28" t="inlineStr">
        <is>
          <t>合間合間(4%)；合間にこつこつ；合間に挟まれる；合間あいま</t>
        </is>
      </c>
      <c r="E28" t="inlineStr">
        <is>
          <t>間；距離；その間；中間；隙</t>
        </is>
      </c>
      <c r="F28" t="inlineStr">
        <is>
          <t>三河川合間；短い合間；多忙な合間；ちょっとした合間</t>
        </is>
      </c>
      <c r="H28" t="n">
        <v>29</v>
      </c>
      <c r="I28" t="inlineStr">
        <is>
          <t>この頃には、父親も仕事の合間を見つけて試合を観に来てくれたという。；また番組の合間で行なわれている番組案内や天気予報も無料で見られる。；内容はゲストのトークが中心で、合間に音楽をかけていたときもあった。；ここで記述しているのは全てスタジオパートの合間のVTR企画である。；公演の合間には二人でワインを開けたりショッピングを楽しんだりした。；曲の合間に、主要キャラクターの語りが収録される構成となっている。；その他の球場でも、試合の合間などにオルガン等でよく演奏されている。；大の旅行好きで、仕事の合間などを縫っては、海外へと駆け出している。；音楽のみの放送で再開したが後に音楽放送の合間に番組を挿入する編成となった。；各人は夏期休暇中の補習授業の合間をぬって並行して準備を行っている。；高校野球などの際には仕事の合間に窓から試合を観戦している人も数多くいた。；このほか、下記のミニコーナーが番組の合間や終盤に放送されていた。；過去には大分配置車が合間運用として筑豊本線で運用されたこともあった。；上記で列挙された全アニメのうち適当な2作品の合間に放送される。；オリンピック開催中の練習の合間には髙木美帆とサッカーをしていた。；仕事の合間を縫って、キャンペーン活動と称して全国の放送局を回った。；日替わりのメッセージテーマが設定されており、楽曲の合間に紹介している。；労働の合間に図書館へ通い、大学レベルの物理学と数学をマスターする。；各ステージの合間に絵本のようなビジュアルシーンが用意されている。；なお、限定版には各エピソードの合間を描いたドラマCDが同梱された。；行事の合間に、彼らは僕の新作の四重奏曲と六重奏曲を演奏してくれた。；育児生活に入るまでは、仕事の合間を縫ってはゴルフに明け暮れていた。；合間の年の児童はマルゲーツヘーヒハイムの学校へ行かなければならない。；その合間にゲストとのトークや彼らによるライブなどを行っていた。；仕事の合間を見て書きためた曲のうち、録音されたのは100にものぼる。；当初はニューヨークやロンドンのバンド公演の合間に登場するだけだった地元バンドが増えていった。；ツアー契約の合間をぬってアルバムの完成のために用意できる時間は短いものであった。；作品の合間に主人公がいない地球の姿が描かれている。；老いてからも公務の合間には子供らに学問を教えることを課していた。</t>
        </is>
      </c>
      <c r="J28">
        <f>HYPERLINK("https://www.weblio.jp/content/合間", "词义详情")</f>
        <v/>
      </c>
      <c r="K28">
        <f>HYPERLINK("https://yourei.jp/合間", "查看例句")</f>
        <v/>
      </c>
    </row>
    <row r="29">
      <c r="A29" t="inlineStr">
        <is>
          <t>曖昧</t>
        </is>
      </c>
      <c r="B29" t="inlineStr">
        <is>
          <t>成功</t>
        </is>
      </c>
      <c r="C29" t="inlineStr">
        <is>
          <t>読み方：あいまい
［名・形動］
１態度や物事がはっきりしないこと。また、そのさま。あやふや。「—な答え」
２怪しくて疑わしいこと。いかがわしいこと。また、そのさま。「—宿(やど)」
[派生]あいまいさ［名］
[用法]あいまい・あやふや——「あいまいな（あやふやな）態度」「あいまいな（あやふやな）返事」の場合は、相通じて用いられる。◇「あいまい」は「責任をあいまいにする」「あいまいな説明でごまかす」のように、意識的に物事をはっきりさせないでおく場合にも用いる。これを「あやふや」で置き換えると不自然である。◇「あやふや」は「あやふやな気持ち」「あやふやな答弁」のように、本人自身が言葉や態度をはっきりさせられずにいる場合に用いることが多い。</t>
        </is>
      </c>
      <c r="D29" t="inlineStr">
        <is>
          <t>曖昧なもの(4%)；曖昧なまま(2%)；曖昧な返事；曖昧な態度；曖昧な言葉</t>
        </is>
      </c>
      <c r="E29" t="inlineStr">
        <is>
          <t>不明；ぼんやり；かすか；微妙；微か</t>
        </is>
      </c>
      <c r="F29" t="inlineStr">
        <is>
          <t>ひどく曖昧；そんな曖昧；曖昧糢糊；曖昧な薄笑い；曖昧な言い方</t>
        </is>
      </c>
      <c r="G29" t="inlineStr">
        <is>
          <t>曖昧性；曖昧さ回避；曖昧母音；曖昧さ回避ページ；曖昧アクセント</t>
        </is>
      </c>
      <c r="H29" t="n">
        <v>29</v>
      </c>
      <c r="I29" t="inlineStr">
        <is>
          <t>その論文は曖昧であり、彼の証明が直接 を含むかどうか定かではない。；そのように曖昧なリクエストでもその場に適した料理を出す事が出来る。；設立当初は運用が曖昧だったが、2018年よりルールが明確になった。；ただし彼らの定義に入ってあっても喪男ではない人もおり曖昧なのが現実。；これは時制上の混乱を招くほか、行と行の関連を曖昧にする効果を持つ。；また介入軍の撤退問題については、具体的な時期が曖昧なままにされた。；こうした定義の曖昧さが移民問題の議論を難しくする要因の一つである。；この用語の使用は確立されていったものの、その定義は曖昧なままであった。；この二語だけでは意味に曖昧さの残る部分は、前後の文脈から判断される。；それも曖昧な理由でなく委員長として本人なりに悩んだ末の結論である。；シリーズ初導入の概念であるが、判定が非常に曖昧であり完成度が低い。；また当時の噂は四不動が主体で、目黄の扱いが曖昧だったことも覗える。；これは巧みな形で天皇・皇室の維持を認めている曖昧な文章であった。；その曖昧さは経済運営にも反映され、人民公社の解体は慎重に進められた。；とが表現していることを曖昧に理解しないように注意すること。；北と西と南西の境界は海だが、陸続きである南東と東の境界は曖昧である。；しかしそれでもなお、シヴァの役割には曖昧さが残るとも語っている。；この文は形の上では曖昧だが、別の意味を伝えたいときには通常違う形の文になる。；曖昧なものでも公式資料にてスタンドに分類されているものは全て対象とする。；科学的な根拠は不確かで、陰陽道由来とされるものの出典は曖昧である。；事実上の婚姻関係にまで拡張すると処罰範囲が曖昧になるためである。；前述のC++の例において、曖昧さが解決できないケースを以下に示す。；一部、境界が曖昧な点があるが土星の衛星は8群に分けることができる。；イギリスは不文憲法の国であり、王の権限も曖昧なところがあった。；ただし、2000年代中期以降は時間経過の設定が曖昧になっている。；Altoは機能要素間の線引きを曖昧にしたり、無視したりしていた。；この説明は驚くほど現代的な血縁選択説に近いが、一方で曖昧な部分もあった。；しかし「不必要な苦痛」の明確な定義がないため、曖昧なものとなっている。；本作ではこれまで曖昧だったドラえもんの設定が明確にされた。</t>
        </is>
      </c>
      <c r="J29">
        <f>HYPERLINK("https://www.weblio.jp/content/曖昧", "词义详情")</f>
        <v/>
      </c>
      <c r="K29">
        <f>HYPERLINK("https://yourei.jp/曖昧", "查看例句")</f>
        <v/>
      </c>
    </row>
    <row r="30">
      <c r="A30" t="inlineStr">
        <is>
          <t>愛用</t>
        </is>
      </c>
      <c r="B30" t="inlineStr">
        <is>
          <t>成功</t>
        </is>
      </c>
      <c r="C30" t="inlineStr">
        <is>
          <t>読み方：あいよう
［名］(スル)好んでいつも使用すること。使いつけること。「故人が—した品」</t>
        </is>
      </c>
      <c r="D30" t="inlineStr">
        <is>
          <t>愛用する(8%)；愛用者(5%)；愛用される；愛用楽器；愛用運動</t>
        </is>
      </c>
      <c r="F30" t="inlineStr">
        <is>
          <t>ご愛用；長年愛用；御愛用；広く愛用；長く愛用</t>
        </is>
      </c>
      <c r="H30" t="n">
        <v>29</v>
      </c>
      <c r="I30" t="inlineStr">
        <is>
          <t>なお宋胡禄は戦国時代に日本に盛んに輸出され日本の茶人に愛用された。；彼が持っていたのは、殺人現場で発見されたクインラン愛用の杖だった。；これはアメリカ時代のシャツをそのまま愛用していたためである。；それ以外にも、ESP製の自身のシグネチャー・モデルも愛用している。；また過去の作品のパロディの愛用もストッパードの作劇法の特徴である。；龍泉寺には、廉太郎がドイツ留学時に愛用していた火鉢が残されている。；しかし2000年代以降、日本国内での愛用者は大幅に減少し続けている。；新布石流行の後も星打ちを愛用し、特に黒番第1着はほとんどが星だった。；ヘルドクタークラレが愛用しているナイフ・メスの製作などをしている。；彼の傍らには愛用のヴィオラ・ダ・ガンバが納められたと伝えられている。；カツラ愛用者であり、日本製ではなくアメリカ製のものを使用していた。；この点も液体燃料式を愛用する者が多い理由の一つとなっている。；後に皇室の御物となった琵琶の名器・無名を愛用していたと伝えられる。；なおDOS時代のプログラムの開発にはPascalを愛用していた。；なお、この改葬のとき、執筆時に愛用した彼女の眼鏡が発見されたという。；亡くなった人が生前に愛用していたと思われる武器も一緒に埋葬されていることがある。；ジムの練習以外で外を出歩く時はカンカン帽とステッキを愛用している。；トランペットはセルビアではさまざまな場面で愛用される楽器である。；現在のところ、信繁の愛用の刀槍が何であったのかは不明である。；その後も同社のモデルを愛用し、後に同社にワラントを下賜している。；父の誕生日が4月1日であることも重なり愛用のナンバーとなっている。；日本へは室町時代中期に伝来し、茶人を中心に香入れとして愛用された。；また一太郎などのソフトも愛用しているとラジオ番組で語っていたことがある。；使用するドラムも晩年は日本のメーカーと契約し、亡くなるまで愛用した。；同社の開発した小型機関車Rubbyは手軽な為、世界中で愛用されている。；クルタ計算機はラリー競技者に愛用された歯車式計算機のひとつである。；当時よりこの村の陶磁器は日本に輸出され、多くの茶人たちに愛用されてきた。；円福寺に戻った鄧州はここで長年愛用していた南天棒を同寺に納めた。；しかし、その高い機動力と生存性のため、特殊部隊では愛用されている。</t>
        </is>
      </c>
      <c r="J30">
        <f>HYPERLINK("https://www.weblio.jp/content/愛用", "词义详情")</f>
        <v/>
      </c>
      <c r="K30">
        <f>HYPERLINK("https://yourei.jp/愛用", "查看例句")</f>
        <v/>
      </c>
    </row>
    <row r="31">
      <c r="A31" t="inlineStr">
        <is>
          <t>合う</t>
        </is>
      </c>
      <c r="B31" t="inlineStr">
        <is>
          <t>成功</t>
        </is>
      </c>
      <c r="C31" t="inlineStr">
        <is>
          <t>読み方：あう
《「会う」と同語源》
［動ワ五（ハ四）］
１二つ以上のものが近寄って、一つになる。くっつく。「いくつもの川が—・って大きな流れとなる」
２よく調和する。適合する。「配色がよく—・う」「和室に—・った装飾」
３二つのものが一致する。くい違いがない。合致する。「息が—・う」「気が—・わない」「話が—・う」
４ある基準と一致する。「寸法が—・わない」「答えが—・う」「道理に—・う」
５それだけのことをするかいがある。引き合う。「—・わない商売」
６動詞の連用形に付いて複合語をつくる。
㋐互いに…する。「助け—・う」「取り—・う」
㋑一緒になる。「落ち—・う」
［動ハ下二］
１他のものに合わせる。また、合わせまじえる。
「母刀自(おもとじ)も玉にもがもや戴きてみづらの中に—・へ巻かまくも」〈万・四三七七〉
２重ね合わせる。まじえる。
「鶺鴒(まなばしら)尾行き—・へ」〈記・下・歌謡〉
[下接句]息が合う・馬が合う・気が合う・口に合う・反(そ)りが合わない・算盤(そろばん)が合う・手に合わない・歯の根が合わない・筈(はず)が合わぬ・肌が合う・平仄(ひょうそく)が合わない・間尺(ましゃく)に合わない・目が合う・割に合う</t>
        </is>
      </c>
      <c r="D31" t="inlineStr">
        <is>
          <t>合うべき；合うらしく；合う合わない；合う金属音；合う三角形同士</t>
        </is>
      </c>
      <c r="E31" t="inlineStr">
        <is>
          <t>見える；対応；一致；会う；対応する</t>
        </is>
      </c>
      <c r="F31" t="inlineStr">
        <is>
          <t>隣り合う；呼び合う；分かち合う；投げ合う；殺し合う</t>
        </is>
      </c>
      <c r="H31" t="n">
        <v>29</v>
      </c>
      <c r="I31" t="inlineStr">
        <is>
          <t>この段階では主鏡の位置合わせが行われておらず、焦点は合っていない。；これらの要素は、単独で存在するのではなく、相互に関係し合っている。；また、東西お互いに相手を非難するプロパガンダ放送を流し合っていた。；彼女が重視したのはそれぞれの曲に合った精緻な音色と想像力であった。；かつての夫と妻は距離をおいたまま、身じろぎもせず互いを見つめ合う。；しかし、復帰したショーンはこれを認めずに互いに王者を主張し合った。；遊戯として雪を投げ合うことは古くから行われていたものとみられている。；プレーヤーの特定の趣味嗜好に合うか合わないかで分類する場合もある。；私は共産主義者に命を狙われているし、危険な目には何度も合いました。；娘の姉たちは嫉妬の色を隠せないでいるが、一家は娘の幸福を喜び合う。；波打つので、見かけ上は押し合って南北に上下しているように見える。；このようにして細胞集団は互いに影響し合い大きな構造を形成する。；通常は利用部門が利用目的に合ったデータのみを所持するものである。；かぶった者は一寸法師のように帽子のサイズに丁度合う程度に小さくなる。；これにより一族の中での世代間の長幼の序を確認し合うことができる。；また一部の建築技術などはイスラム文化と相互に影響し合っている。；混合物とは、単体の複数の種類のものが混じり合ってできたもののこと。；しかし、現実には、同種の財を互いに輸出・輸入し合う場合も見られる。；青森市立三内西小学校と同時に隣り合うように建てられた中学校である。；大学入学後に自分が大学に合っていないと感じることをミスマッチ入学と呼ぶ。；そうした様々なせめぎ合いがこのアルバムには反映されているという。；そのため、1日交代で学校に通って授業内容を教え合ったりしていたという。；また中南米と呼称される場合もあるが、これは図に合う正確な表現ではない。；出題されたテーマに合った曲や流れてきたイントロの曲を歌詞つきで歌う。；その中でも沼田曜一は話がよく合い、気に入っていた一人だったという。；しかし彼女は、自分の悲しみを、わたしと分かち合おうとはしなかった。；商店を持つ者同士がお互いのことを屋号で呼び合うのは今日でも同じである。；直径はそのシャープペンシル本体に合ったものを使用しなければならない。；またラッサールは自慢話が多く、その中には誇大妄想的なものも合った。</t>
        </is>
      </c>
      <c r="J31">
        <f>HYPERLINK("https://www.weblio.jp/content/合う", "词义详情")</f>
        <v/>
      </c>
      <c r="K31">
        <f>HYPERLINK("https://yourei.jp/合う", "查看例句")</f>
        <v/>
      </c>
    </row>
    <row r="32">
      <c r="A32" t="inlineStr">
        <is>
          <t>会う</t>
        </is>
      </c>
      <c r="B32" t="inlineStr">
        <is>
          <t>成功</t>
        </is>
      </c>
      <c r="C32" t="inlineStr">
        <is>
          <t>読み方：あう
［動ワ五（ハ四）］《「合う」と同語源》
１（会う・逢う）
㋐互いに顔を向かい合わせる。場所を決めて対面する。「客に—・う」「明日、いつもの場所で—・おう」
㋑たまたま人と出あう。「駅でばったり知人と—・った」
２（遭う・遇う）好ましくないことに出あう。「事故に—・う」「強い反対に—・う」
３立ち向かう。戦う。「決勝戦で—・うチームは強敵だ」
４ある時期にめぐりあう。
「天地(あめつち)の栄ゆる時に—・へらく思へば」〈万・九九六〉
５夫婦になる。
「この世の人は男は女に—・ふことをす」〈竹取〉
６対する。向かう。
「傍(かたへ)（＝カタワラノ人）に—・ひて、御子はおはすやと問ひしに」〈徒然・一四二〉
[可能]あえる</t>
        </is>
      </c>
      <c r="D32" t="inlineStr">
        <is>
          <t>会うべき；会うまい；会うべく；会う段取り；会うたびごと</t>
        </is>
      </c>
      <c r="E32" t="inlineStr">
        <is>
          <t>集合；見つける；遭遇；あう；出会う</t>
        </is>
      </c>
      <c r="F32" t="inlineStr">
        <is>
          <t>初めて会う；行き会う；直接会う；めぐり会う；次に会う</t>
        </is>
      </c>
      <c r="H32" t="n">
        <v>29</v>
      </c>
      <c r="I32" t="inlineStr">
        <is>
          <t>初めて会ったのになぜ自分の名前を知っているのだろうと驚きを感じた。；はじめて会ったその晩、彼らは恐ろしい悪魔のような黒い影に襲われる。；映画では直接会いに行ったことになっているが、それは史実とは異なる。；相手をひどい目に会わせるのは、ちゃんとした理由がある時だけである。；そして私は何故かしら三枝にはもうこれっきり会えぬように感じていた。；あなたに会おうと思ったらどこまでも会おうと決心しているんですもの。；私は誰にも会わなかったが、瓦礫の中から私を見ている眼を感じていた。；このようにしても実際はどちらかの急な都合で会えなかったこともあった。；別れの挨拶のために現れたと言い、次に会った私は敵だと宣言される。；生まれたばかりの・・・私と同い年くらいのパンドラに会いに行きたい!；もう父に会うことはできないけれど、私にとってとても良い父親でした。；上の犯罪に加えて反革命の目的で外国の者に会うことも犯罪となった。；なんと先程会った男性が、自分が書いた詞に曲をつけて歌っていたのだ。；ひとりのかたにももうひとりのかたにもけっして会わせないでください!；実際に会ってみると聞かされていた欠点以上に、多くの優れた点がある。；全ての人の運命がそうであるように、我々はいずれまた会うでしょう。；山の奥へとわけて行けば、やがて盗人に会わないものでもないと思った。；そして実際に会いに行ったその場でスカウトを受けるに至ったという。；トムの母親は一度家へやってきたことがあるが、父親にはまだ会わない。；娘に会わなくなってから十日ほどたって仙二は又お婆さんの家へ行った。；内閣調査室などの反対に会うが1938年から実施されることとなった。；国王に会う代表が直接パンチャーヤト制の廃止を直訴することになった。；たとえば、よく会う人や、何度も聞いている音楽は、好きになっていく。；国中を旅し有権者に自ら会ったことでは初めての大統領候補者となった。；一部のキャラクターは特定の条件を満たさないと会うことができない。；しかし、大臣が王子を諌めたので、王子は会いに来なくなってしまった。；自分と暮らしたことのない娘であったが、その死に目にも会えなかった。；あの男は死んでも魂の残る人間だから、会おうと思えばいつでも会える。；十数年前、ソラが村を出て行く当日、ここでセナと会う約束をしていた。</t>
        </is>
      </c>
      <c r="J32">
        <f>HYPERLINK("https://www.weblio.jp/content/会う", "词义详情")</f>
        <v/>
      </c>
      <c r="K32">
        <f>HYPERLINK("https://yourei.jp/会う", "查看例句")</f>
        <v/>
      </c>
    </row>
    <row r="33">
      <c r="A33" t="inlineStr">
        <is>
          <t>遭う</t>
        </is>
      </c>
      <c r="B33" t="inlineStr">
        <is>
          <t>成功</t>
        </is>
      </c>
      <c r="C33" t="inlineStr">
        <is>
          <t>読み方：あう
［動ワ五（ハ四）］《「合う」と同語源》
１（会う・逢う）
㋐互いに顔を向かい合わせる。場所を決めて対面する。「客に—・う」「明日、いつもの場所で—・おう」
㋑たまたま人と出あう。「駅でばったり知人と—・った」
２（遭う・遇う）好ましくないことに出あう。「事故に—・う」「強い反対に—・う」
３立ち向かう。戦う。「決勝戦で—・うチームは強敵だ」
４ある時期にめぐりあう。
「天地(あめつち)の栄ゆる時に—・へらく思へば」〈万・九九六〉
５夫婦になる。
「この世の人は男は女に—・ふことをす」〈竹取〉
６対する。向かう。
「傍(かたへ)（＝カタワラノ人）に—・ひて、御子はおはすやと問ひしに」〈徒然・一四二〉
[可能]あえる</t>
        </is>
      </c>
      <c r="D33" t="inlineStr">
        <is>
          <t>遭う可能性；遭うだろ；遭うことなく；遭う確率</t>
        </is>
      </c>
      <c r="E33" t="inlineStr">
        <is>
          <t>受ける；衝突；会う；見つける；遭遇</t>
        </is>
      </c>
      <c r="F33" t="inlineStr">
        <is>
          <t>遭うかもしれ</t>
        </is>
      </c>
      <c r="H33" t="n">
        <v>29</v>
      </c>
      <c r="I33" t="inlineStr">
        <is>
          <t>なにも必ずひどい目に遭わされる、と決まっているわけじゃあるまいし。；同性愛者だと分かったらどんな目に遭わされるか分かったものではない。；静かに死んだ男を解放して、二人目もだいたい同じような目に遭わせた。；こんな目に遭わされても、私はただの一度も母を恨んだことはなかった。；低い山と甘く見てかかると意外に奥が深く、ひどい目に遭うことがある。；しかしオブライアンはひどい目に遭わされたとは思っていないと語った。；しかし命に別状はなく、事故に遭ったことを家族に自ら電話で知らせた。；過去に、男に酷い目に遭わされた経験でもあるのだろうかと彰は思った。；よくは分からないが、あの女によほど手ひどい目に遭わされたのだろう。；君のような目に遭えば、どんな人間だって箒から落ちても不思議はない。；そしてその屍のほうは、さきの二匹の犬の運命と、同じ運命に遭わせよ。；再び返済が滞れば今度はどんな目に遭わされるか分かったものじゃない。；卒業し制服を着なくなると痴漢に遭わなくなったとの女性の声も多い。；けど、わしらよりもっとひどい目に遭わされるスレーブもいるんやなあ。；そしてあの氷の障害に出遭わないことが非常に不思議に感じられた。；悲しいことに実際に毎年数千人もの子どもがそうした被害に遭っている。；ここに仕事を求めにやってきたと言ったら、袋叩きに遭うかもしれない。；その護符の力なのか、彼らは何の障害にも遭わぬままに数日を旅した。；どちらの例も妨害に遭って港口を完全に閉塞することには失敗している。；おれたちを水の中へ入れて、恐竜と同じ目に遭わせることもできたんだぞ。；事件の被害に遭ったのは大韓航空に所属する大韓航空858便であった。；昨日みたいなこともあったし、ここで退けば危険な目には遭わないんだよ?；それでなくても彼が帰国した当時はマスコミに酷い目に遭わされてるんだ。；父の死に続いて母の死に遭うが、いずれも礼を尽くして喪に服し続けた。；その場で半殺しの目に遭わされるか、翌日には死体になっているかだった。；被害に遭ったと自覚した場合、すぐに警察に被害届けを出すべきである。；漫画のために兄をつらい目に遭わせたくないと思い和解しに来たのだ。；このあたりの浜は、昔から津波には何度となく痛い目に遭わされている。；おそらく、この男たちが大宮を危うく死ぬほどひどい目に遭わせたのだ。</t>
        </is>
      </c>
      <c r="J33">
        <f>HYPERLINK("https://www.weblio.jp/content/遭う", "词义详情")</f>
        <v/>
      </c>
      <c r="K33">
        <f>HYPERLINK("https://yourei.jp/遭う", "查看例句")</f>
        <v/>
      </c>
    </row>
    <row r="34">
      <c r="A34" t="inlineStr">
        <is>
          <t>あえて</t>
        </is>
      </c>
      <c r="B34" t="inlineStr">
        <is>
          <t>成功</t>
        </is>
      </c>
      <c r="C34" t="inlineStr">
        <is>
          <t>読み方：あえて
［副］《動詞「あ（敢）う」の連用形＋接続助詞「て」から》
１やりにくいことを押しきってするさま。無理に。「言いにくいことを—言おう」
２（あとに打消しの語を伴って）
㋐特に取り立てるほどの状態ではないことを表す。必ずしも。「—驚くにはあたらない」
㋑打消しを強める。少しも。全く。
「—然(そ)うで無いです」〈鏡花・日本橋〉</t>
        </is>
      </c>
      <c r="D34" t="inlineStr">
        <is>
          <t>あえて言う；あえて言え；あえていえ；あえて言わ；あえて避け</t>
        </is>
      </c>
      <c r="E34" t="inlineStr">
        <is>
          <t>特に；特別；わざわざ；図って；格別</t>
        </is>
      </c>
      <c r="F34" t="inlineStr">
        <is>
          <t>あえて使う；あえてなし；だれもあえて；あえて申し；あえて辞せ</t>
        </is>
      </c>
      <c r="H34" t="n">
        <v>29</v>
      </c>
      <c r="I34" t="inlineStr">
        <is>
          <t>なお中央の機は敵の視線を僚機から逸らすためにあえて高く飛んでいる。；またかなり例外的だが、外側の素材にあえてレザーを用いるものもある。；人間のキャラクターは全て、あえて顔の中身がほとんど描かれていない。；我々はしばしばあまりにも恐ろしい発言をあえて口にしてきました。；本戦法の場合は例外的にわかっているので、あえて紹介したとしている。；このために、あえて条文に無い概念を導入する必要はないとの批判もある。；本作ではあえて随所にそれを強調する演出が意図的に盛り込まれている。；当時は他クラブの引き抜きを恐れ、あえて下部組織で教育を続けられた。；なお、次の場合ではあえてスキー板にプレートを付けないケースがある。；なお、押出し決行日は、田中の国会質問日があえて選ばれたものである。；現在でも京都市交通局の局章をあえて各車両ドア付近に残している。；あえて世界のどの市場でも株式を公開しておらず、非上場を維持している。；状況によってはあえて和了をせず、プレーを続行することも可能である。；あえてフロントは直接アウレリウス帝に手紙を送ることはしなかった。；しかし彼はカール5世の強力な反対を知って、あえてこれを受けた。；しかし、これを使うとコードを短縮できるため、以下ではあえて解説する。；近年ではあえて非定型だったり標準サイズとは違う名刺を使用する会社もある。；またティランジアのように植木鉢をあえて必要としない着生植物もある。；なぜそのまま正王者決定戦ではなくあえて暫定王者決定戦になったのかは不明。；一部の出版社からは、重大な少年犯罪をあえて実名報道する動きもある。；そのような観点から、あえて小さい形の図鑑が作られる場合もある。；最後の3行はあえて一般の訳とは異なるものを提示している。；結果として不貞を働いた袖はあえて与茂七、直助二人の手にかかり死ぬ。；石井は近藤の向こう気が強い性格を知っていたから、あえて近藤に言った。；このときアレックスは、あえて抵抗しようとせずに暴行を受け入れた。；一方、あえて国内に留まり日本列島と運命を共にする道を選択する者もいた。；これは、遊びに行って欲しくないためにあえてお金を渡している。；例えば、あえて別の詐欺行為に分類する必要も無いという意見がある。；ハウリングを抑えるためにあえて「生の鳴り」を抑えている場合が多い。</t>
        </is>
      </c>
      <c r="J34">
        <f>HYPERLINK("https://www.weblio.jp/content/あえて", "词义详情")</f>
        <v/>
      </c>
      <c r="K34">
        <f>HYPERLINK("https://yourei.jp/あえて", "查看例句")</f>
        <v/>
      </c>
    </row>
    <row r="35">
      <c r="A35" t="inlineStr">
        <is>
          <t>青い</t>
        </is>
      </c>
      <c r="B35" t="inlineStr">
        <is>
          <t>成功</t>
        </is>
      </c>
      <c r="C35" t="inlineStr">
        <is>
          <t>読み方：あおい
［形］［文］あを・し［ク］
１（「碧い」とも書く）青色をしている。広く緑系統の色にもいう。「—・い空」「—・いリンゴ」
２（「蒼い」とも書く）顔に血の気がない。赤みが足りない。「顔が—・い」
３《果実などの未熟なものが青いところから》人格・技能や振る舞いなどが未熟である。「考えが—・いよ」
[派生]あおさ［名］あおみ［名］</t>
        </is>
      </c>
      <c r="D35" t="inlineStr">
        <is>
          <t>青い顔(5%)；青い目(4%)；青い光(4%)；青い眼(2%)；青い海(2%)</t>
        </is>
      </c>
      <c r="E35" t="inlineStr">
        <is>
          <t>若い；青白い；蒼白；蒼い；蒼白い</t>
        </is>
      </c>
      <c r="F35" t="inlineStr">
        <is>
          <t>青い葉；青い火；青い石；大きな青い；青い影</t>
        </is>
      </c>
      <c r="G35" t="inlineStr">
        <is>
          <t>青い瞳；青い鳥；青い花；青い森鉄道線；青い森鉄道</t>
        </is>
      </c>
      <c r="H35" t="n">
        <v>29</v>
      </c>
      <c r="I35" t="inlineStr">
        <is>
          <t>白い砂地の場所に少しの水が流れている状態でも水は僅かに青く見える。；そして帆柱の先端に青い炎が踊り出した、と伝えられているからである。；青のセンターキューブのある面に青い色を集め、完全一面を完成させる。；スタジオのセットは明るく作られており、ケースも青く独特の形である。；クリスタルを取得すると以降は同じ位置に青い星のかけらが配置される。；また青いドアの部屋に入るとルーレット式でアイテムを得ることができる。；青い線はフランスの主要な巡礼路で、赤い線はスペインの主要な巡礼路。；ただ心の中で思ったばかりだけれど、おれは思わずハッと青くなったね。；時折、赤い炎、もしくは青い炎がセットになって落ちてくることがある。；原作でもそれに則ったのか、27巻の表紙でも青い雷で表現されている。；佐目毛は青い目とピンクの肌を持つため、ここで区別することができる。；アイテムは青いキャノピーのアイテムキャリアを破壊することで出現する。；ロシア版のサンタクロースと言えるが、青い衣装を着ていることがある。；気持ちのいい朝で、空はその先の宇宙まで感じられるほどに青かった。；彼女はやはり以前のとおりで、ただ少し色が青くなってるだけだった。；それが夜の所だと見えて、どこもかしこも一面に青くなっていました。；このようにあまりにも似ていることから青いフェラーリと揶揄された。；幼魚では区別が難しいが、成魚では頬に青い斑点がないので区別できる。；中央の青い点が敵の反応である白い点に触れることで戦闘に入る。；岩の上には特殊な地衣類が生えているので岩の色が青くなっている。；白葱と青葱の中間種で、青いところから白いところまで全部食べられる。；名前にもあるブルーアイモリドラゴンのように虹彩が青い種が数種いる。；しかし、背景のセーヌ川の描き方が青い壁のようだなどと酷評を浴びた。；この部屋にいると何と青葉の風が私の皮膚の上に青くうつるようでしょう。；あれだけ青かった空は、今ではもう鉛のような灰色に覆われつつある。；時の立つうちにどんな事が起ろうかと青くなり赤くなったという話である。；そこにかつては青い襷掛けのラインがユニフォームに加えられていた。；横腹に沿って際だって散りばめられた青い光輪に囲まれた赤い点がある。；青い線で示したものが先行列車で、赤い線で示したものが続行列車である。</t>
        </is>
      </c>
      <c r="J35">
        <f>HYPERLINK("https://www.weblio.jp/content/青い", "词义详情")</f>
        <v/>
      </c>
      <c r="K35">
        <f>HYPERLINK("https://yourei.jp/青い", "查看例句")</f>
        <v/>
      </c>
    </row>
    <row r="36">
      <c r="A36" t="inlineStr">
        <is>
          <t>扇ぐ</t>
        </is>
      </c>
      <c r="B36" t="inlineStr">
        <is>
          <t>成功</t>
        </is>
      </c>
      <c r="C36" t="inlineStr">
        <is>
          <t>読み方：あおぐ
［動ガ五（四）］うちわなどを動かして風を起こす。「—・いで火を起こす」
[可能]あおげる</t>
        </is>
      </c>
      <c r="D36" t="inlineStr">
        <is>
          <t>叩く；煽る；羽ばたく；あおぐ；ぶっ飛ばす</t>
        </is>
      </c>
      <c r="H36" t="n">
        <v>29</v>
      </c>
      <c r="I36" t="inlineStr">
        <is>
          <t>これで扇いだ風を浴びた者は、誰でもお祭り気分になって踊り出してしまう。；しかし扇ぐのをやめると元の季節に戻るので、それら生物も死んでしまう。；オスは卵が孵化するまで保護し、胸鰭で水を扇いで卵に酸素を供給する。；シャツのボタンをすべてはずし、手で凹凸のはっきりした体を扇いでいた。；だから、扇いで風を送ってくれるひとがいたらなぁと思ったんです。；戸が風にあふられる事にも言へば、団扇で音たてゝ扇ぐ場合にも使ふ。；隣で琥珀さんが団扇で扇いでくれているせいか、驚くほど心地が良い。；俺は線香を一本取り出し、火をつけ、手で扇いで炎を消し、仏壇に供えた。；もし人を扇ぐ必要があるならば桧扇を用ふべきである。；一気に自分の近況を話し終わると、小百合は右手で自分の顔を扇ぎながら、鼻にかかった声で言った。；熱がこもったのか、剣道着の前襟を少し持ち上げて扇ぐような仕草をする。；ひらりと白い空間を扇いだ彼女の裾が強く私の眼にしみついた。；上手とは言えなかったが三食食事を作ってくれて、私が暑がるとうちわで扇いでくれたりもした。；パタパタ、と相手の顔をうちわで扇ぎながらあたしとミッキーが話している。；直ぐに話に飽きてしまった沙羅は、扇子でぱたぱたと顔を扇いでいた。；そして、不思議そうな表情をして、手に持っていた団扇でばたばたと自分の顔を扇ぎました。；僕はふらふらしている埜々香の手から団扇を取って、埜々香を扇いでやった。；蚊帳やこ無うても、こうしてずっと団扇で扇いじゃるけん、蚊は来ん。；ただそれだけでは満足のいく涼が得られないと見て、着物の襟を抜いてはだけさせてから更に扇いだ。；白い団扇で自分の前の誰かを扇いでいるらしいのだが、その誰かが誰なのか、考える気にはならなかった。；「パパはレコードの整理をしてるわ」千夏はうちわで顔を扇ぎながら言った。；顔を上げて振り返ったこちらに対し、彼は書類の束で一扇ぎ。；締め切った室内でいくらばたばたと扇いだって、何の意味もない。；上衣のポケットから扇子を出して扇ぎながら、女主人の方をしげしげと眺めている。；風神の面で大きく扇げば大風が吹き、雷神の面で大きく扇げば雷雨となる。；いつまでも燃え立たせるようにどう火を扇ぐのか。；「馬鹿だな、僕って」 彼はノートで顔を扇いでいて自分の頬をビンタする男である。；「ムハマドは生きているのか」 埃を手で扇ぎながら戸井田が訊ねた。；このうちわで扇ぐと、仰いだ場所だけ春にすることができる。</t>
        </is>
      </c>
      <c r="J36">
        <f>HYPERLINK("https://www.weblio.jp/content/扇ぐ", "词义详情")</f>
        <v/>
      </c>
      <c r="K36">
        <f>HYPERLINK("https://yourei.jp/扇ぐ", "查看例句")</f>
        <v/>
      </c>
    </row>
    <row r="37">
      <c r="A37" t="inlineStr">
        <is>
          <t>仰ぐ</t>
        </is>
      </c>
      <c r="B37" t="inlineStr">
        <is>
          <t>成功</t>
        </is>
      </c>
      <c r="C37" t="inlineStr">
        <is>
          <t>読み方：あおぐ
［動ガ五（四）］
１上を向く。上方を見る。あおむく。「星空を—・ぐ」
２尊敬する。敬う。「師と—・ぐ」
３教え・援助などを求める。請う。「指示を—・ぐ」「助力を—・ぐ」
４あおむいてひと息に飲む。あおる。「毒を—・ぐ」
[可能]あおげる</t>
        </is>
      </c>
      <c r="D37" t="inlineStr">
        <is>
          <t>仰ぐべき(2%)；仰ぐべく；仰ぐと梢；仰ぐと星；仰ぐ落語</t>
        </is>
      </c>
      <c r="E37" t="inlineStr">
        <is>
          <t>使う；聞く；求める；取る；質問</t>
        </is>
      </c>
      <c r="F37" t="inlineStr">
        <is>
          <t>ふり仰ぐ；打仰ぐ；振仰ぐ；ふと仰ぐ；打ち仰ぐ</t>
        </is>
      </c>
      <c r="H37" t="n">
        <v>29</v>
      </c>
      <c r="I37" t="inlineStr">
        <is>
          <t>若主人の動作が止まったまま動かなくなったので八重はふり仰いで見た。；ことにわたくしが驚いたのは屋根を仰ぎながら軒下を歩いた時であった。；しかし仰ぎ見た父王の瞳の中に大粒の涙がたまっているのを見て驚いた。；そのうち話もと絶えがちになって、二人は黙って空をじっと仰いでいた。；うち仰ぐと、輪が白い光の柱となって頭上高くそびえているのが見えた。；少年と少女とは、清水の坂に立って、今夜の月を仰いでいるのであった。；見えも外聞もなく、生れたその土地を見、その空を仰ぎたいのであった。；わざわざキャラバンまで組んで、暗い月など仰ぎに行く気にはならない。；ひとびとは天を仰いだ 天の高いところに、かれらの眞神の像を眺めた。；そして、また窓のそばへ立ってゆき、カーテンをあけて月を仰ぎました。；機体は見る見るその形を大きくして、仰ぎ見る群衆の頭上に迫って来た。；声の主を振り仰ぐと、黒猫がお盆にお茶と菓子を載せて戻ってきていた。；上を仰ぐと、此處から轉がり落ちましたと言はぬばかりに口を開く二階。；人の影が井戸の中にあるのを見て、仰ぎ見るや、驚いてお椀を落とした。；二人の男は、ブラウンロウ氏の指示を仰ぐように、老紳士のほうを見た。；振り仰ぐと五十人あまりの女が縁側から余を眺めて笑っているのだ。；帽子の縁に手をあてて飛雲の急な空を仰ぎつつ、人々は皆足を早めていた。；仰ぐと、今までと打って変ってひどく気を入れた顔つきになっていた。；そこでお銀様は、静かに二三歩立ちのいて、その頭上を仰いで見ました。；ただ砂糖の結晶の美しさに打たれて、身じろぎもせず仰ぎ見ていました。；そして、そこから外に出て、わたしたちはふたたび星を仰ぎ見たのである。；かれは、それまで膝の上に突っぱっていた両腕を組んで、天井を仰いだ。；わたしは天を仰ぎ、神に感謝してわが心を捧げることを忘れなかった。；ちゃんと報告して、どうしたらいいか判断を仰ぐのが筋じゃないの?；その草の花の咲いてゐるところに据りこんで空を仰ぐと、雲が出てゐる。；さうしてそんなに高く仰いでゐると眩暈を感じて打倒れさうであつた。；仰ぎ見る者は誰でもその自若とした威厳の美に打たれない者はないであろう。；実は今宵、あなたのご意見、ご助力を仰ごうと思っていたところでした。；少年はその星を仰いでまた眼をかへして父を見たが、もうそこには誰もゐなかつた。</t>
        </is>
      </c>
      <c r="J37">
        <f>HYPERLINK("https://www.weblio.jp/content/仰ぐ", "词义详情")</f>
        <v/>
      </c>
      <c r="K37">
        <f>HYPERLINK("https://yourei.jp/仰ぐ", "查看例句")</f>
        <v/>
      </c>
    </row>
    <row r="38">
      <c r="A38" t="inlineStr">
        <is>
          <t>青写真</t>
        </is>
      </c>
      <c r="B38" t="inlineStr">
        <is>
          <t>成功</t>
        </is>
      </c>
      <c r="C38" t="inlineStr">
        <is>
          <t>読み方：あおじゃしん
１露光により青色に発色する鉄塩類などを塗った感光紙に、原図をのせて焼き付ける複写技術。また、それで得られる青地に白の印画。図面の複写、印刷の際の青焼きなどに利用。
２《1が設計図に用いられるところから》おおよその計画。また、未来の構想。「都市計画の—」</t>
        </is>
      </c>
      <c r="D38" t="inlineStr">
        <is>
          <t>青写真屋</t>
        </is>
      </c>
      <c r="E38" t="inlineStr">
        <is>
          <t>モデル；デザイン；パターン；ドラフト；模型</t>
        </is>
      </c>
      <c r="H38" t="n">
        <v>29</v>
      </c>
      <c r="I38" t="inlineStr">
        <is>
          <t>予定の青写真に合わせて、本来の系統発生から外してやっているのです。；独自の思考回路を使って、今回の事件の青写真を描いているのだろう。；すべては保呂草が描いた青写真のとおりにことが運んだ結果である。；彼は「複雑な関係」についての青写真を頭の中に描いていないわけではない。；リースはこの原稿で君に、例の青写真を盗んだ犯人を教えようとしたんだ。；青写真はまだ事務所のどこかに隠されているはずでございます。；データのいっぱい書かれた、青写真の無数にある書物であった。；これが政府の描いた青写真ですが、そうはなりませんでした。；優勝後のインタビューでは次のような青写真を示した。；その数値と青写真の上の数値を見比べると、末尾の数字が異なっている。；その天蓋はデンツェルの青写真で造られた当初の建物が残されている。；続いて若い男が、青写真を広げて具体的な計画を説明した。；この文明はメキシコでその後に続いた文明全てが引き継ぐことになる文化の青写真を作った。；平和はただのムードではなく、はっきりした青写真であるべきだ。；青写真やら何やら、ドサッと持って行って、君を説得してみせるからな。；各人のデザインは、まだ青写真の段階で、アイデアを披露したにすぎない。；ミズ・マッカランは続いて夢のような村の将来の青写真について話し始めた。；自分は青写真室から出ると、日記を白い紙につつんで純ちゃんに返してやった。；作品中の様々なモチーフを用いて荘重な序曲が全体の青写真を描く。；青写真になったばかりではなく、彼が見せられたそれにはさまざまな線が入り、各種の色で区分されていた。；しかもこの計画には経営上相当な無理があり、従業員の労働強化を前提にした青写真が作られている。；そして時々うなずいていたが、ふとからだを起こすと、ものも言わずに青写真を持って部屋を出て行った。；ということは、青写真を盗んだのは、明らかに内部の者だってことでしょう。；地下は青写真屋のほかにタイプ印刷屋と写植屋が入っている。；地元の責任者からは、新チームのイメージを示す青写真がひそかに届けられていた。；沖ほどの実力者になると、国や県の計画の青写真は、大ていのことは分かっている。；自身の中にひそむ国家への思いを田中という政治家に託して青写真を描いてみようと考えた。；ヤコブソンは、ソフトウェア開発を行うために青写真が必要であると考えた。；その時点で現金強奪の青写真が描かれていたとは思えない。</t>
        </is>
      </c>
      <c r="J38">
        <f>HYPERLINK("https://www.weblio.jp/content/青写真", "词义详情")</f>
        <v/>
      </c>
      <c r="K38">
        <f>HYPERLINK("https://yourei.jp/青写真", "查看例句")</f>
        <v/>
      </c>
    </row>
    <row r="39">
      <c r="A39" t="inlineStr">
        <is>
          <t>青白い</t>
        </is>
      </c>
      <c r="B39" t="inlineStr">
        <is>
          <t>成功</t>
        </is>
      </c>
      <c r="C39" t="inlineStr">
        <is>
          <t>読み方：あおじろい
［形］［文］あをじろ・し［ク］
１青みがかって白い。「—・い月の光」
２血の気がない顔色である。「—・い顔」</t>
        </is>
      </c>
      <c r="D39" t="inlineStr">
        <is>
          <t>青白い顔(17%)；青白い光(12%)；青白い炎(4%)；青白い肌(2%)；青白い火花(2%)</t>
        </is>
      </c>
      <c r="E39" t="inlineStr">
        <is>
          <t>青い；蒼白；蒼い；蒼白い；真っ青</t>
        </is>
      </c>
      <c r="F39" t="inlineStr">
        <is>
          <t>青白い色；青白い燐光；青白い輝き；青白い男；青白い電光</t>
        </is>
      </c>
      <c r="H39" t="n">
        <v>29</v>
      </c>
      <c r="I39" t="inlineStr">
        <is>
          <t>地上あらゆる物がすべて青白く絵のように見える月のいい晩であった。；唇や顔は青白くなっていたが、決して凍えているようには見えなかった。；青白い光はさらに強くなり殷雷刀の姿を識別する事が困難になっていく。；寒さで青白くなっていたナツコの頬が、打たれたところだけ赤くなった。；今の青白い直線は、その星の中の一つが飛び失せたものに相違なかった。；はりのない青白い顔をして、足をひきずるようなあるきかたをしていた。；僕の心の表面は、通っていくものを映す青白い小川のように流れて行く。；一行の目の前に広がる盆地は、かすかに青白い無気味な光を発していた。；青白い顔の係官は淡々とした表情でただ機械的に職務を果たしていった。；色の青白い顔に根の弛んだ髪は解けて肩のあたりまで散りかかっている。；空がまだすこし明るいときの山は峰のあたりだけが青白く光っている。；美郎が、わたしの顔の青白さに気づいて、笑みを浮かべて近づいてきた。；こうして与志は夜が青白く薄れてくるまで浜辺の石に腰をおろしていた。；顔色は青白く、体全体が、肉はあるのかと思われるほどやせ衰えている。；かつては青白かった皮膚はいまでは日に焼け、もう目隠しもしていない。；その青白い雪の野原のまん中で三人の黒い影が向うから来るのを見ました。；そのみにくい顔は、青白くなっていたが、鉄のような決意を示していた。；「二階で寝ている人が好きなのですね」 メアリの青白い顔が紅潮した。；室内の灯のおかげで、典子の肩や腕や脚は青白く、湿ったようにみえた。；しかし陽に焼けていないせいで全体的に青白く、ひよわな印象も受ける。；彼女はどちらかと言えば背が高く痩せぎすで、顔色は青白く細面である。；その手がいやに青白く見えると思ったら、空に銀色の月が光っていた。；男の横顔はガラスに張りついたシールか何かのように静かで青白かった。；その青白い手は、顔が秘して語らなかったことを彼に語り告げていた。；彼女は、目の前にかぎりなくつゞく線路の青白さにみいられて見つめた。；ちょっと青白くなってやせましたが、目には今までにないものがあります。；男の額がやはり青白くなっており、そこに小さく汗の玉が浮いている。；浩太君の肌もまた青白く、けれど一つだけ異なる主張をするものがあった。；しかしバリチェロはマシン後方から青白い煙を吐きながら走行を続ける。</t>
        </is>
      </c>
      <c r="J39">
        <f>HYPERLINK("https://www.weblio.jp/content/青白い", "词义详情")</f>
        <v/>
      </c>
      <c r="K39">
        <f>HYPERLINK("https://yourei.jp/青白い", "查看例句")</f>
        <v/>
      </c>
    </row>
    <row r="40">
      <c r="A40" t="inlineStr">
        <is>
          <t>青空</t>
        </is>
      </c>
      <c r="B40" t="inlineStr">
        <is>
          <t>成功</t>
        </is>
      </c>
      <c r="C40" t="inlineStr">
        <is>
          <t>読み方：あおぞら
１晴れ上がって、青々と見える空。蒼天(そうてん)。碧空(へきくう)。「抜けるような—」
２他の語に付いて、屋外、露天、の意を表す。「—市場」</t>
        </is>
      </c>
      <c r="D40" t="inlineStr">
        <is>
          <t>青空市場；青空警備会社；青空高く；青空駐車場；青空図書館</t>
        </is>
      </c>
      <c r="E40" t="inlineStr">
        <is>
          <t>空；天；上空；乾；天上</t>
        </is>
      </c>
      <c r="F40" t="inlineStr">
        <is>
          <t>雲一つない青空；高い青空；雲ひとつない青空；明るい青空；広い青空</t>
        </is>
      </c>
      <c r="G40" t="inlineStr">
        <is>
          <t>青空教室；青空球児・好児；青空片想い；青空の卵；青空フリーパス</t>
        </is>
      </c>
      <c r="H40" t="n">
        <v>29</v>
      </c>
      <c r="I40" t="inlineStr">
        <is>
          <t>空はとほうもなく暗く、ほとんど黒といってもいいほど暗い青空でした。；氷が通りを遠くへ引かれてゆく時、それは凝固した青空のように見える。；ふと、その青空から現れて来たように、向うの鋪道に友人が立っていた。；盾の中には青空と小屋、そして波を模した青と金色の帯が描かれている。；波の幕はまだ残っていましたが、そのうしろはただ青空ばかりとなりました。；青空を表現するときには、すじ雲の存在が空の高さを感じさせやすくする。；しかし、その窓から少女の眺め入る曙の空には、青空そのものしかない。；日を浴びながら青空を見るのは冬からの私のどんな樂しみだつたらう。；バイシャで病院に占められていた広大な一帯は、青空市場の広場となった。；ナポレオンは顔を上げて、飛行機が青空高く上昇して行くのを眺めた。；子供のための遊具エリアには、木でできた村や卓球台、青空劇場もある。；一群の鳥がクローバ形の飾りのついた鐘楼のまわりの青空を舞っていた。；天井は失われているため、中心部はいわゆる青空天井になっている。；また他の一つは、楠の倒れた後に突然開かれた広い朗かな青空である。；広大な芝生の中央に位置することや背景の青空を考慮し、黄色が採用された。；青空学園を舞台にした涙あり笑いありの痛快学園ストーリーである。；ごく些細なことが寄り集まって、雲のように、心の青空を蔽うのである。；三時頃になって西の空が明るくなったと思うと、青空が現れて日がさして来た。；そして「青空」を出すやうになつてからは誰も戲曲を書く物はなくなつた。；その眼のなかには何かが映つてゐたが、青空らしいものはなかつた。；これは赤色が背景の青空とうまく調和しないことを考慮した結果と思われる。；雲一つない青空や光り輝く地上のどこにも、破局の前兆は認められない。；彼は仰向けに寝ころびながら、一片の雲もない高い青空をながめていた。；それが街を通って遠くはこばれていく様子は固体化された青空のように見える。；むしろ閉じこめられていた陰気な空に青空がのぞけたような気がした。；上の松茸雲は高く高く青空高く上り、その上で崩れて東に向かって流れ始めた。；青空を見るたび、しばし胸の苦痛を忘れて、昔の夢を見るのが習となった。；その先には光のような青空が果てしもなく人の視力を吸い上げて行く。；もうひとつのデビュー曲候補であったという「青空」も収録されている。</t>
        </is>
      </c>
      <c r="J40">
        <f>HYPERLINK("https://www.weblio.jp/content/青空", "词义详情")</f>
        <v/>
      </c>
      <c r="K40">
        <f>HYPERLINK("https://yourei.jp/青空", "查看例句")</f>
        <v/>
      </c>
    </row>
    <row r="41">
      <c r="A41" t="inlineStr">
        <is>
          <t>青二才</t>
        </is>
      </c>
      <c r="B41" t="inlineStr">
        <is>
          <t>成功</t>
        </is>
      </c>
      <c r="C41" t="inlineStr">
        <is>
          <t>読み方：あおにさい
《「にさい」は「にいせ（新背）」の音変化という》経験の浅い年若い男。あざけりや謙遜の気持ちを込めていう。「この—が何を言うか」「まだ—の私ですが」</t>
        </is>
      </c>
      <c r="D41" t="inlineStr">
        <is>
          <t>青二才ども(2%)</t>
        </is>
      </c>
      <c r="E41" t="inlineStr">
        <is>
          <t>少年；青年；若者；小僧；見習い</t>
        </is>
      </c>
      <c r="F41" t="inlineStr">
        <is>
          <t>みたいな青二才；そんな青二才</t>
        </is>
      </c>
      <c r="H41" t="n">
        <v>29</v>
      </c>
      <c r="I41" t="inlineStr">
        <is>
          <t>そうでなくて、誰が三〇歳になったばかりの青二才に生命を預けるだろうか。；こっちはそうなると仕方なしにまた青二才の説教師でもさがすんだって。；私は青二才時代の話なんてどうでもいいから、主人公になって大活躍してみたいよ。；いつになく私の様な青二才を手頼りにして何かと相談をする始末です。；ほんとうのことをいうと、この青二才何を言うと思っていたのです。；遠く眺めていた龐徳は、 「あの青二才は何者か」と、左右にたずねた。；何といってもかれは、仲間のうちではもっとも新参の青二才なのだ。；「来るな」 恐怖に泣きだしそうになりながら、青二才は再び叫んだ。；遠く眺めていた〓徳は、 「あの青二才は何者か」と、左右にたずねた。；いつになく私のような青二才をたよりにして、何かと相談をする始末です。；老人から見れば、おれはまだ信頼に値せぬ青二才ということらしいな。；それは未完成の、ハシにもボウにもかからぬ片腹痛い青二才にすぎない。；きみを治療したのは、ぼくみたいな青二才でもできる、初歩の精神治療なんだ。；あんな青二才を信用して小細工が出来て、なんでこの儂が信用できなんだ。；彼は、父が、自分のような青二才に敗けようなどと夢想もしなかった。；法科を出たばかりの青二才だって、あんたのいまのやり方よりはましだろう。；いまの講釈だけで、この若者がただの青二才ではないことに気づいてしまったのだろう。；青二才の文学青年の時代から、私には師と呼ぶべき人はなかった。；ブラウン軍曹と、その青二才とでは、喧嘩になりようもなかったのだ。；ある統治者が青二才の頃、非常にばかげているが無害な手紙をある女優に書いた。；苦悩を知らぬ青二才でたのしく一生を送れる方がたしかに幸せですよ。；劇中の中野はまだ青二才ではあるが、ホンダとの強力な関係が描かれている。；祭りあげられた英雄から、名もない青二才に復帰するのは、予想していたよりもずっと楽な気分だった。；家康の子である父たちにとって、甥の家光などいまだに青二才だった。；その青二才の心境に、今の俺がなっているということは、晩い青春だ。；どうやら川路君は、私の意見を青二才の論だといいたいらしい。；聞き終ると老人はせせら笑って、おれを人間を知らぬ青二才呼ばわりした。；こんな駈け出しの青二才の手柄にされちゃあ、おれは死んでも浮かばれねえ。；これでも女を相手にして、君の如き青二才には引けを取らんぞ。</t>
        </is>
      </c>
      <c r="J41">
        <f>HYPERLINK("https://www.weblio.jp/content/青二才", "词义详情")</f>
        <v/>
      </c>
      <c r="K41">
        <f>HYPERLINK("https://yourei.jp/青二才", "查看例句")</f>
        <v/>
      </c>
    </row>
    <row r="42">
      <c r="A42" t="inlineStr">
        <is>
          <t>仰向け</t>
        </is>
      </c>
      <c r="B42" t="inlineStr">
        <is>
          <t>成功</t>
        </is>
      </c>
      <c r="C42" t="inlineStr">
        <is>
          <t>読み方：あおむけ
あおむけること。また、その状態。あおのけ。あおむき。「病人を—に寝かせる」⇔俯(うつむ)け。</t>
        </is>
      </c>
      <c r="D42" t="inlineStr">
        <is>
          <t>仰向けざま；仰向けに引っくり；仰向けにぶっ倒れ；仰向けに横たえられ；仰向けに浮かん</t>
        </is>
      </c>
      <c r="E42" t="inlineStr">
        <is>
          <t>仰向き；あお向け；あおのけ</t>
        </is>
      </c>
      <c r="F42" t="inlineStr">
        <is>
          <t>仰向けに引っくり返；仰向けにごろりと</t>
        </is>
      </c>
      <c r="H42" t="n">
        <v>29</v>
      </c>
      <c r="I42" t="inlineStr">
        <is>
          <t>男の体は、仰向けになっている女の上からその横へずり落ちてしまった。；仰向にじっと寝たままで叫んでる自分の姿が、私の心にはっきり映じた。；そして永い間わたしは仰向けになつて、明るい影の動く天井を見てゐた。；一人の男が仰向けに寝ており、そのそばに一人の男の子が坐っていた。；彼女は大きな口をあけて息をしながら、仰向けに死んだように眠っていた。；その都合がなかなか旨く行かないので、仰向になってしばらく寝て見た。；そのため、頭を後ろにして仰向けに寝た選手は、足首などで操作を行う。；気がついてみると私は雑木林のなかの草のうえに仰向けになっていた。；彼は仰向けになって天井を見つめながら、いつもこういうのであった。；遺体は発見当時、頭を下にして仰向けで放り投げられたように倒れていた。；鐘塔の中であいつは仰向けにぴったりと寝ている番人の上に坐っている。；たいていの少年は、ベッドに仰向けになったまま、虚空を見つめていた。；撮影は台座に仰向けになった状態で、照明を行い、その上で撮影された。；かわいそうに女は肱掛椅子の上に仰向けに倒れて、半ば気を失っていた。；しかし立っている程の力がないので、また仰向けに寝台の上に倒れた。；仰向けに倒れて、短く刈りこんだひげのなかから白い歯がみえている。；しかしもうその時には相手の剣を心臓に受け、仰向けに床の上へ倒れてしまう。；しかし従僕のほうは仰向けに寝たまま、桟敷席にいる主人に気がついた。；私はこの頃、どうしても仰向けにゆッたりと寝ることが出来なくなった。；仰向けになったままで、ハリーは今まで見ていた夢を思い出そうとしていた。；僕が仰向けになっていた位置に、選手交代のように希美は体を横たえた。；葉巻の煙が右の眼にかかるのを避けて、頭をすこしばかり仰向けにしている。；今まで蒲団の上に胡坐をかいていた彼は急に倒れるように仰向に寝た。；へそ天とは、猫や犬などの動物が仰向けになって寝る姿の呼び方の一種。；脛へ具足を当てた一人の若者が仰向けになって死んでいたのである。；良人はその傍に長々と仰向に寝ころんで、ぼんやりと天井を眺めていた。；仰向けにして見ると、それはまさしくエドワード・ハイドの顔であった。；彼女は両手を上に挙げたような格好で仰向けにされている。；それから、そのまんまの表情で、二人ともパタンと仰向けに床に倒れた。</t>
        </is>
      </c>
      <c r="J42">
        <f>HYPERLINK("https://www.weblio.jp/content/仰向け", "词义详情")</f>
        <v/>
      </c>
      <c r="K42">
        <f>HYPERLINK("https://yourei.jp/仰向け", "查看例句")</f>
        <v/>
      </c>
    </row>
    <row r="43">
      <c r="A43" t="inlineStr">
        <is>
          <t>垢</t>
        </is>
      </c>
      <c r="B43" t="inlineStr">
        <is>
          <t>成功</t>
        </is>
      </c>
      <c r="C43" t="inlineStr">
        <is>
          <t>読み方：く
〈口〉⇒こう
〈工〉⇒こう
〈公〉⇒こう
〈孔〉⇒こう
〈功〉⇒こう
〈垢〉⇒こう
〈紅〉⇒こう
〈貢〉⇒こう</t>
        </is>
      </c>
      <c r="D43" t="inlineStr">
        <is>
          <t>垢じみ(12%)；垢だらけ(4%)；垢まみれ(2%)；垢染み；垢づい</t>
        </is>
      </c>
      <c r="E43" t="inlineStr">
        <is>
          <t>汚れ；汚物；不浄</t>
        </is>
      </c>
      <c r="F43" t="inlineStr">
        <is>
          <t>黒い垢；新しい垢；垢嘗；垢抜け；爪垢</t>
        </is>
      </c>
      <c r="G43" t="inlineStr">
        <is>
          <t>垢離；垢ぬけ；垢すり；垢抜けした；垢石</t>
        </is>
      </c>
      <c r="H43" t="n">
        <v>29</v>
      </c>
      <c r="I43" t="inlineStr">
        <is>
          <t>私の生きていることによって爪の垢ほどでも私は利益を期待し得ただろうか?；太い首を汗がしたたり落ちて、垢のあいだにピンクの筋をつけている。；どうも洗ひ方がぞんざいだね、ちつとも垢が落ちてやしないぢやないの。；また毛垢というやつは皮膚についた垢のように簡単には落ちないのだ。；彼女は手をのばすと、垢だらけの長いとがった指先で彼の体をはじいた。；帰りに爪の垢貰って帰ろうか、と見るとちゃんと爪は深爪に切ってある。；鱗形に垢のついた身体全体は、まるで松の幹が転がっているようだった。；襟の内側は垢で真黒になっていて、半月は洗濯していないように見えた。；と、その中にこれもまた昔の母のような真っ黒に泥と垢で汚れた女がいた。；顔は垢に覆われていたが、その垢の下の皮膚はツルツルのようだった。；知らず知らずのうちに播隆は金銭の垢を手にするようになっていた。；僕は電車の走つて行つた後もこの耳の根に残つた垢に何か暖さを感じてゐた。；あたしはあんな事件に爪の垢ほども関係はないんですからね。；もとから垢と脂で真っ黒になったそれに、昨夜は気づかなかったのだろう。；皮膚もつっ張って奇妙に躰が軽いから、垢だけでも一キロはあったか。；爪の先には垢がたまり、ジーンズには新しい油汚れの筋がついている。；吉太は慌ててその皿を奪うように握ると垢染た懐の中に隠してしまった。；旅の垢を落としてみると、与右衛門は女泣かせのなかなかの美男だった。；或る夜は又、この町に一つの、天主教寺院へ、雑踏の垢を棄てにいつた。；他人の垢を浴びた体で、のめのめと俺に近づいた、その料簡が俺あ憎い。；身につけているのは、垢染みた黒いコートと、モンペのようなズボンだ。；生活の垢がしみ出した顔の中に、執着の眼だけが異様に輝いていた。；この地でこれまでの人生の垢を落して、まっとうな死に方をしたかったのだ。；しかし、その汗や垢が余りくだらないうちは到達だとは云えませんよ。；また前回にも述べましたように、爪の垢からその人の職業を知ることもできます。；或る夜は又、この町に一つの、天主教寺院へ、雑沓の垢を棄てにいった。；顔に泥や垢を塗って行ったので、だれにも気づかれませんでした。；貴族のようなイントネーションだったが、街の垢がついた物言いであった。；あの女はアルバートのことなんか爪の垢ほども考えてやしませんよ。</t>
        </is>
      </c>
      <c r="J43">
        <f>HYPERLINK("https://www.weblio.jp/content/垢", "词义详情")</f>
        <v/>
      </c>
      <c r="K43">
        <f>HYPERLINK("https://yourei.jp/垢", "查看例句")</f>
        <v/>
      </c>
    </row>
    <row r="44">
      <c r="A44" t="inlineStr">
        <is>
          <t>赤い</t>
        </is>
      </c>
      <c r="B44" t="inlineStr">
        <is>
          <t>成功</t>
        </is>
      </c>
      <c r="C44" t="inlineStr">
        <is>
          <t>読み方：あかい
［形］［文］あか・し［ク］《「明(あか)し」と同語源》
１赤色をしている。赤黄色から深赤色までを含めていう。「—・い夕日」
２左翼的思想をもっている。共産主義者である。「—・く染まった学生」
３美しい。きれいだ。
「—・いべべ織りて着せうの」〈浄・百合若大臣〉
[派生]あかさ［名］あかみ［名］</t>
        </is>
      </c>
      <c r="D44" t="inlineStr">
        <is>
          <t>赤い色(2%)；赤い顔；赤い血；赤い光；赤い髪</t>
        </is>
      </c>
      <c r="E44" t="inlineStr">
        <is>
          <t>真っ赤；真赤；紅い</t>
        </is>
      </c>
      <c r="F44" t="inlineStr">
        <is>
          <t>赤い実；赤い炎；小さな赤い；赤い屋根；赤い旗</t>
        </is>
      </c>
      <c r="G44" t="inlineStr">
        <is>
          <t>赤い舌；赤い鳥；赤い糸；赤いリボン；赤い靴</t>
        </is>
      </c>
      <c r="H44" t="n">
        <v>29</v>
      </c>
      <c r="I44" t="inlineStr">
        <is>
          <t>描かれた人物は多くは男性であり、体を赤く塗った姿で表現されていた。；ライフは自動回復を採用しており、負傷した際は画面が赤く表示される。；隊員たちが全員首に赤いマフラーを巻いていることからこの名がついた。；夢を見たとき本当に泣いていたのか、鏡の前に座ると両の目が赤かった。；江戸時代以降に日本で描かれた達磨大師の絵なども赤い衣で描かれている。；外から見れば、赤い湯飲みの中に丸い種が入っているような感じである。；日本でも古代から赤い真円で太陽を表すことは一般的ではなかったと思われる。；赤い目と腰辺りまで伸びた赤い髪が特徴で、赤いマントを羽織っている。；青い線はフランスの主要な巡礼路で、赤い線はスペインの主要な巡礼路。；赤き心などと昔からいふが、赤血球は霊そのものであるというてもよい。；冬に赤く美しい果実をつけるため栽培され、また正月の飾りに使われる。；恐怖を感じると目が赤く輝いておびえ始め、同族や仲間に助けを求める。；雌雄双方とも、怒り状態になると身体の毛がやや赤く染まる性質がある。；沼が赤く見えるのはその時の戦士達の血が多く流れたからだという。；一瞬の出来事にガニュメデスは驚愕し、目を赤くして空を見上げている。；日本で一般に市販されているものは頭部が赤く塗装されたものが多い。；ビンロウの習慣がある地域では、道路上に赤い吐き出した跡がみられる。；それが、松の葉がどれもみな、血をすったように赤う色が変わっておる。；駅舎は開業当初からのもので赤い屋根の木造一階建ての建築である。；見たいという欲求を抑えきれず、俺は目を開けて赤き光の正体を知った。；赤い森のある場所は、世界でもっとも汚染された地域のひとつである。；通過前には信号機が赤くなるため、タイミングを見極めることができる。；ブロックの中には赤いブロックがあり、当たると様々な効果がある。；その後のユダヤ人移民の影響で、アメリカでは赤いボルシチが普及した。；なお、赤い文字の部分は、含有されている栄養素が英語表記されている。；枝は日の当たるほうが赤くなり、日陰側は緑色になり、やや光沢がある。；尚、1987年導入車より深緑の帯と窓枠の間には赤い線が入っている。；しかし生徒たちは顔を赤くしてうつむいてしまい講演は中止となった。；丹塗りとは赤い色のことだが呪術的な意味を持っていたことが指摘される。</t>
        </is>
      </c>
      <c r="J44">
        <f>HYPERLINK("https://www.weblio.jp/content/赤い", "词义详情")</f>
        <v/>
      </c>
      <c r="K44">
        <f>HYPERLINK("https://yourei.jp/赤い", "查看例句")</f>
        <v/>
      </c>
    </row>
    <row r="45">
      <c r="A45" t="inlineStr">
        <is>
          <t>証</t>
        </is>
      </c>
      <c r="B45" t="inlineStr">
        <is>
          <t>成功</t>
        </is>
      </c>
      <c r="C45" t="inlineStr">
        <is>
          <t>読み方：しるし
１他と紛れないための心覚えや、他人に合図するために、形や色などで表したもの。目じるし。「非常口の—」「持ち物に—をつける」
２抽象的なものを表すための具体的な形。
㋐ある概念を象徴するもの。「平和の—の鳩」「純潔の—の白い衣装」
㋑（証）ある事実を証明するもの。証拠になるもの。「見学した—にスタンプを押す」
㋒（証）気持ちを形に表したもの。「感謝の—に記念品を贈る」「お近付きの—におひとついかがですか」
３所属・家柄などを表すもの。記章・旗・紋所など。「会員の—」
４（「璽」とも書く）
㋐官印。印綬。押し手。
「未だ—及び公財を動かさしめず」〈今昔・一〇・三〉
㋑三種の神器の一である、八尺瓊勾玉(やさかにのまがたま)。神璽(しんじ)。
「今天皇のみ—を上(たてまつ)るべし」〈允恭紀〉
５結納(ゆいのう)。
「—を厚く調へて送り納(い)れ、良き日をとりて婚儀(ことぶき)を催しけり」〈読・雨月・吉備津の釜〉
[下接語] （じるし）合い印・家印・糸印・馬印・笠標(かさじるし)・風標(かざじるし)・木印・袖標(そでじるし)・爪(つま)印・苗標(なえじるし)・荷印・墓標(はかじるし)・旗印・船(ふな)印・星印・無印・目印・矢印・槍(やり)印</t>
        </is>
      </c>
      <c r="D45" t="inlineStr">
        <is>
          <t>証示；証隠滅；証判；証覚；証状</t>
        </is>
      </c>
      <c r="E45" t="inlineStr">
        <is>
          <t>証拠；証明；信号；マーク；旗</t>
        </is>
      </c>
      <c r="F45" t="inlineStr">
        <is>
          <t>通行証；登録証；乗車証；確証；預り証</t>
        </is>
      </c>
      <c r="G45" t="inlineStr">
        <is>
          <t>証明；証言；証人；証券；証明書</t>
        </is>
      </c>
      <c r="H45" t="n">
        <v>29</v>
      </c>
      <c r="I45" t="inlineStr">
        <is>
          <t>この傷は時間が経っても消えず、バンパイアの証の一つともなっている。；一部の事業者は、事業に必要な許可証が取り消されたと記載されている。；本人によると、その人が本当に存在していた証を確かめたくなるとのこと。；武器の継承者は例外なく聖痕を持っており、これが継承者の証となる。；同時にそれは彼の治世が前期帝政の中で最も平穏を維持した証でもある。；中世ヨーロッパではパンを共に食べることが家族であり仲間である証であった。；頭部にはゴルトフェニックスとの契約の証であるゴルトクレストがある。；それ以外の外国人および軍関係者は居住権がないため居住許可証を必要とする。；症状を含めたその患者の状態を証と呼び、証によって治療法を選択する。；今日では多くの国で自動車運転免許証のサイズとしても使われている。；自身もかつては赤服であり、現在はエリート指揮官の証である白服である。；彼はこれは自分がしたことの報いだと耐えて、ついに証果を得たといわれる。；これは罪人の証とされており変異した者は王城地下に幽閉されている。；一部の中学校や高等学校でも生徒手帳に代わりカード型の生徒証を採用している。；近代に金の預り証から始まった銀行は、金本位制の下で発展を続けた。；当初はそれぞれが国王から独自に特許を取り預り証を発行していた。；日本で唯一、すべての点検項目で基準を満たした証である『可』を得る。；それを受理した戸籍係は戸籍の抹消業務及び火埋葬許可証の交付を行う。；頭部にはギガゼールとの契約の証である2本の角ガゼルホーンを備える。；これに入学するには、高等学校卒業証の5つの科目で4以上が必要である。；この際、モーガンは「土地の所有こそが文明の証である」と付け加えた。；阿南は天皇の「確証」と言う言葉を聞いても安心することはできなかった。；アンソニーは堕胎にも強く反対し、それを女性の男性への従属の証とみた。；しかし漢方医学では、治療法を決定すること自体が最終的な証となる。；国民登録証を得れば、旅券を取得して自由に韓国への出入国が可能になる。；彼らは町の賢者からクリスタルが光の戦士の証であることを知らされる。；これは、金星が太陽の周りを公転していることの確かな証であった。；以上のように、凡夫が浄土に往生する相を、教・行・信・証とで説明する。；営業許可証交付の日から6か月以内に営業を開始しなければならない。</t>
        </is>
      </c>
      <c r="J45">
        <f>HYPERLINK("https://www.weblio.jp/content/証", "词义详情")</f>
        <v/>
      </c>
      <c r="K45">
        <f>HYPERLINK("https://yourei.jp/証", "查看例句")</f>
        <v/>
      </c>
    </row>
    <row r="46">
      <c r="A46" t="inlineStr">
        <is>
          <t>赤字</t>
        </is>
      </c>
      <c r="B46" t="inlineStr">
        <is>
          <t>成功</t>
        </is>
      </c>
      <c r="C46" t="inlineStr">
        <is>
          <t>読み方：あかじ
１赤色の文字。赤いインクなどで書いた文字。
２《簿記で不足額を表す数字を赤色で記入するところから》支出が収入より多いこと。欠損。赤。⇔黒字。
３《ふつう赤色で書き込むところから》校正などで、訂正・補筆した文字や記号。朱。赤。「—を入れる」</t>
        </is>
      </c>
      <c r="D46" t="inlineStr">
        <is>
          <t>赤字続き(2%)；赤字額(2%)；赤字路線(2%)；赤字決算；赤字体質</t>
        </is>
      </c>
      <c r="E46" t="inlineStr">
        <is>
          <t>損失；損；マイナス；欠損；窮乏</t>
        </is>
      </c>
      <c r="F46" t="inlineStr">
        <is>
          <t>大赤字；大幅な赤字；経常赤字；慢性的な赤字；営業赤字</t>
        </is>
      </c>
      <c r="G46" t="inlineStr">
        <is>
          <t>赤字国債；赤字ローカル線；赤字転落；赤字補てん；赤字脱却</t>
        </is>
      </c>
      <c r="H46" t="n">
        <v>29</v>
      </c>
      <c r="I46" t="inlineStr">
        <is>
          <t>オードリー・ヘプバーンが作品を赤字にさせるようなことは絶対にない。；毎年2億円前後の赤字運営が続いていたことから導入を決めたものである。；現在は、赤字の路線に対し町が補助金を拠出しての運行がなされている。；なお限られた制作費から配分されるため制作会社も赤字になることが多い。；かつて大きく赤字を計上していたアメリカン航空は最近収支が改善した。；この中には赤字であった日本市場からの完全撤退も含まれていた。；国庫の赤字を作り出したものはこのような宮廷貴族の国庫略奪であった。；なお、現金で購入するため、資金が赤字の場合は購入ができないので注意。；赤字が続いたが、特許のライセンス収入がかろうじて会社を支えていた。；併用橋にすると赤字の国鉄が約4割の費用を負担し、利子だけでも大変。；翌年からは赤字に転落し、一般会計に繰り出しのできない時期が続いた。；経営は良好であり、過去40年以上赤字を出していないとも言われる。；本作は興行的に大ヒットとなったが、特撮に予算を使いすぎて赤字になった。；事業として利益を上げていたのは昭和の初めまでで、その後は赤字の連続だった。；しかし、制作費が少ないこともあって大きな赤字は出ていない。；いくつかの企業ではニクソン・ショック以降赤字に転落したと証言している。；開業以来、慢性的な赤字に悩まされ続けており、存亡の機に瀕していた。；この会社は赤字を出す前に廃止となった数少ない電鉄会社の事例と言われている。；収支面では赤字であるが、当初予想していた以上の利用者となった。；が、千歳自身が資金の個人目的での使用により前と変わらず赤字続きである。；経常収支の赤字を問題とする向きが多いが、景気が悪化しても黒字になる。；デジタル家電部門が赤字になり撤退することも珍しくなくなった。；しかし、積極的な海外進出の多くは失敗に終わり、巨額の赤字を生んだ。；和歌山電鐵移管後は大幅な経費削減を行った結果赤字額が激減している。；つまり、固定相場を維持するために経常収支の赤字を放置できなくなる。；鉄道経営は、発足当初から2013年に至るまで一貫して赤字となっている。；実際に最終利益が赤字になったとしても、配当を継続している企業もある。；しかし、値上げの影響に伴って乗客が減少し、逆に赤字が悪化する結果となった。；ただしこの新聞発行は赤字であったため、数ヵ月後に消滅した。</t>
        </is>
      </c>
      <c r="J46">
        <f>HYPERLINK("https://www.weblio.jp/content/赤字", "词义详情")</f>
        <v/>
      </c>
      <c r="K46">
        <f>HYPERLINK("https://yourei.jp/赤字", "查看例句")</f>
        <v/>
      </c>
    </row>
    <row r="47">
      <c r="A47" t="inlineStr">
        <is>
          <t>明かす</t>
        </is>
      </c>
      <c r="B47" t="inlineStr">
        <is>
          <t>成功</t>
        </is>
      </c>
      <c r="C47" t="inlineStr">
        <is>
          <t>読み方：あかす
［動サ五（四）］
１物事をはっきりさせる。今まで隠していたことを明るみに出す。「理由を—・す」「手品の種を—・す」「身の上を—・す」「胸の内を—・す」
２（「証す」と書く）疑わしい点をはっきりさせる。証明する。あかしを立てる。「身の潔白を—・す」
３眠らず夜を過ごして、朝を迎える。「まんじりともせず一夜を—・す」
４明るくする。
「海原の沖辺にともしいざる火は—・してともせ大和島見ゆ」〈万・三六四八〉
[可能]あかせる</t>
        </is>
      </c>
      <c r="D47" t="inlineStr">
        <is>
          <t>明かすべき；明かすまい</t>
        </is>
      </c>
      <c r="E47" t="inlineStr">
        <is>
          <t>示す；与える；証明；通る；過ぎる</t>
        </is>
      </c>
      <c r="H47" t="n">
        <v>29</v>
      </c>
      <c r="I47" t="inlineStr">
        <is>
          <t>いるのかいないのかわからぬ敵に怯えて夜を明かすなど、我慢できない。；さらに近年ではウォークラフトをプレイしていると著書で明かしている。；しかし、自分が息子だと明かすことは出来ず父親は先に出所してしまう。；ひそかに妻と寝ていたかもしれない相手に、家福は夫婦の秘密を明かす。；そして翌号の12月号の漫画内で初めて最終回であることが明かされた。；本作でSPECIAL以降のストーリーが初めて明かされることになる。；裁判以外でも個人が日本の団体における台本の存在を明かすことはある。；生前は正体を明かさず、インタビューも電話取材が数件ある程度である。；また、後年になって両膝の怪我の原因が腰にあったことを明かしている。；自身の年齢とプレミアリーグでの出場試合数に由来があることを明かした。；この時に集まった一般人の平均年齢や男女比率などの情報が明かされる。；私の正体を明かせば、たちまち攻撃を受けることになるかもしれなかった。；そして自らも概ね同様にそのような行為に及んでいたとも明かしていた。；ナチス台頭が迫っており、真実を明かすのはとても危険なこととされた。；鳥姫・風姫・月姫は前作にも登場しているが、本名は本作から明かされた。；その中で彼女は男の子を産み、内縁の夫の名前を明かさないまま死んだ。；あの恐ろしい晩に、彼は私の罪をあなたに明かすと私に予告を与えました。；子どもの父親は誰なのかは明かされていないが、プーチンとする噂がある。；死因等の詳細は明かされていないが、心臓の不調を訴えていたという。。；後年の外伝作品などで一年戦争時は大佐であったことが明かされている。；オルドリン王に素性を明かす前の晩に見た奇妙な夢を突然思いだしたのだ。；なにをすることも、なにを示すことも、なにを明かすこともできないのだ。；その何人かは本来の目的を明かすことなくラルシュに何年か居続けたという。；もし合意しなかった場合は広島と契約する方針だったと明かした。；鈴木は実際に脚本段階まで進んでいる企画が複数あると明かした。；自分の正体を明かすのだけは、絶対にしてはならないことであった。；これはつまり、この村で正体を明かすのは危険だと判断したからだ。；その性格から必要なく過去を語らないため、家族関係等は明かされていない。；明るくなってから山を越えようと、今夜も森で夜を明かすことにした。</t>
        </is>
      </c>
      <c r="J47">
        <f>HYPERLINK("https://www.weblio.jp/content/明かす", "词义详情")</f>
        <v/>
      </c>
      <c r="K47">
        <f>HYPERLINK("https://yourei.jp/明かす", "查看例句")</f>
        <v/>
      </c>
    </row>
    <row r="48">
      <c r="A48" t="inlineStr">
        <is>
          <t>赤ちゃん</t>
        </is>
      </c>
      <c r="B48" t="inlineStr">
        <is>
          <t>成功</t>
        </is>
      </c>
      <c r="C48" t="inlineStr">
        <is>
          <t>読み方：あかちゃん
赤ん坊を親しみをこめていう語。あかご。</t>
        </is>
      </c>
      <c r="D48" t="inlineStr">
        <is>
          <t>赤ちゃんみたい；赤ちゃんたち；赤ちゃん用；赤ちゃん時代；赤ちゃんゾウ</t>
        </is>
      </c>
      <c r="E48" t="inlineStr">
        <is>
          <t>子；子供；やや；赤ん坊；幼児</t>
        </is>
      </c>
      <c r="F48" t="inlineStr">
        <is>
          <t>可愛い赤ちゃん；小さな赤ちゃん；元気な赤ちゃん；きれいな赤ちゃん；赤ちゃん水牛</t>
        </is>
      </c>
      <c r="G48" t="inlineStr">
        <is>
          <t>赤ちゃん本舗；赤ちゃん言葉；赤ちゃん教育；赤ちゃんと僕；赤ちゃん泥棒</t>
        </is>
      </c>
      <c r="H48" t="n">
        <v>29</v>
      </c>
      <c r="I48" t="inlineStr">
        <is>
          <t>その中の一人は赤ちゃんを抱えた女性のようにショーンズには思われた。；あたし、もう赤ちゃんのようになって、円くんにされるままになってた。；あの子は赤ちゃんの時から、じっとわたしの顔をみつめる子だったのよ。；二人が赤ちゃんと呼ばれなくなるには、まだあと一年くらいかかるだろう。；ある人物が空から落ちてきた双子の赤ちゃんを見つけたところから始まる。；赤ちゃんが飲むのに安全な保存ができる時間は、以下の表に記載されている。；あなた自身の赤ちゃんのことを第一に考えなくてはいけませんわ。；赤ちゃんは、なにがおかしいのか、けたけた声を出して笑っていました。；どんな気持ちで赤ちゃんがそれをながめているか、知ったものはありません。；女の赤ちゃん、と思ったとき、ぐるりの心に映る内容は何と単純だろう。；その頃には赤ちゃんも立派な成人に成長し、バディと名づけられていた。；そのころ人魚は、赤ちゃんを連れて行く2人の様子を寂しげに見ていた。；当時は見本市や他の展示会で赤ちゃんが展示されることは珍しくなかった。；ダフォーは赤ちゃんたちの様子を見てすぐに死んでしまうだろうと考えていた。；赤チャンの名前が男の子はまた一苦心で、食堂のテーブルが賑わいます。；赤ちゃんの影も形も見えず、残っているのはあのきれいな靴の片っぽだけ。；彼女は作戦を変更して、彼女と赤ちゃんを世話してくれる夫婦と一緒に避難。；ゲストが登場するまでは、赤ちゃんの格好をした人形「赤さん」が進行。；赤ちゃんが水の中で泳いでいるイメージと銃が水に浮いている部分も出てくる。；赤ちゃん向けの食品などの例外を除いて、以下の一日摂取量が使用される。；しかしお美代の抱いて来た赤ちゃんの姿は、どこにも見えなかった。；あの赤ちゃんのアレグラの体のなかには、妖精の血が流れているのよ。；子供好きな一面があり、人間や犬の赤ちゃんの世話をすることも大好きである。；赤ちゃんのおなかから出たのは葉っぱでなくて長い糸すぢであった。；あすこでもこの間赤ちゃんが生れて手無足で居るんだから丁度好いやね。；当社は赤ちゃんのしつけから、猫に餌をやることまでお引き受けします。；タヌキのハルは、森の奥に置き去りにされていた人間の赤ちゃんを拾う。；ここが海底にある町だということは、赤ちゃんでも知っていることですよ。；円くんに赤ちゃんみたいに抱きあげられたこと、おぼえているの。</t>
        </is>
      </c>
      <c r="J48">
        <f>HYPERLINK("https://www.weblio.jp/content/赤ちゃん", "词义详情")</f>
        <v/>
      </c>
      <c r="K48">
        <f>HYPERLINK("https://yourei.jp/赤ちゃん", "查看例句")</f>
        <v/>
      </c>
    </row>
    <row r="49">
      <c r="A49" t="inlineStr">
        <is>
          <t>暁</t>
        </is>
      </c>
      <c r="B49" t="inlineStr">
        <is>
          <t>成功</t>
        </is>
      </c>
      <c r="C49" t="inlineStr">
        <is>
          <t>平成22年（2010）5月、JAXA（宇宙航空研究開発機構）が打ち上げた日本初の金星探査機PLANET-C(プラネットシー)の愛称。赤外線・紫外線などの各種カメラを搭載し、金星上空の広範囲で吹くスーパーローテーションや、上空から表面近くまでの硫酸の雲で覆われた大気の動きを詳細に観測している。同年12月に金星の周回軌道への投入を試みたが、主エンジンの故障により失敗、太陽周回軌道に入った。平成27年（2015）12月、姿勢制御用の小型エンジンの噴射により、金星周回軌道への投入に成功した。</t>
        </is>
      </c>
      <c r="D49" t="inlineStr">
        <is>
          <t>暁方(5%)；暁華(5%)；暁丹；暁興業；暁心斎</t>
        </is>
      </c>
      <c r="E49" t="inlineStr">
        <is>
          <t>明け；明け方；日の出；曙；有明</t>
        </is>
      </c>
      <c r="F49" t="inlineStr">
        <is>
          <t>羅暁；尤暁；潘暁穎；暁翠；暁近い</t>
        </is>
      </c>
      <c r="G49" t="inlineStr">
        <is>
          <t>暁闇；暁新世；暁斎；暁星；暁天</t>
        </is>
      </c>
      <c r="H49" t="n">
        <v>29</v>
      </c>
      <c r="I49" t="inlineStr">
        <is>
          <t>暁まで燃えていたが、次第に消えていきその後はどうということはない。；暁さんは私の役者道にいつもいてくれて、必ず助けてくれる神様だった。；と、「十四日暁」まではいたが吉良邸にはいかなかったと書いてある。。；あとであんたが貴族社会に復帰した暁には厩舎の責任者にしてくだせえ。；あることをきっかけに暁に気を許したが、暁にはある重大な秘密があった。；昨夜多治見の館では、盛んな酒宴が行なわれ、暁近くなって一同は寝た。；皐月は羅暁打倒を果たしたことで今後をどうすれば良いかを悩んでいた。；暁方にウトゥは日々の仕事として通っている道を進んでいる時だった。；或夜も然うして寝てゐて、暁近くまで同君の経歴談を聞いた事があつた。；そうなった暁に一人でこの庭をこうして見守ったらどんなに悲しいだろう。；こうしてどこへか出て行って、かれは暁け方になって戻って来た。；そして、もしそれが現実になった暁には自ら主人公を演じたいと願っていた。；計画成功の暁には、オスターは軍事裁判所総裁への就任が予定されていた。；大統領に就任した暁には、イラクから即時に撤退すると表明している。；張り詰めている気もゆるんで、彼は暁け方から思わずうとうとと眠った。；アボットはこの議員たちに、州に戻った暁には逮捕すると宣言した。；といっても暁に薄っすりと陽の光りがさしこんでくる位の明るさだった。；残された「暁の星」はフェルキンの下で数々の混乱を経ながら続いた。；建物会社をやめて暁声社という鶏の雑誌をやっているところに居った。；自来也は暁のリーダー格の情報を得るため、単独で雨隠れの里へ侵入する。；十五日の暁方の空襲のときは、西南西の林越しにちらちらと火が見えた。；並行して行われた千代田、暁のガ島甲標的基地設置は途中で中断された。；しかしもうその時にはこの一家の茅屋根の空も冷やかに暁を迎へ出してゐた。；その暁には手に手を取って故郷を後に立ち去ろうではござらぬか?；また丹下らは、暁設計なる建築設計事務所を広島での作業拠点とした。；しかし、星野が暁ギャングに捕らえられたことを知って、黄は安心した。；作戦成功の暁には、ゾル大佐から人間の姿に戻されることが約束されている。；よろしゅうございます、暁の祭までにはまだ間の時刻もございます。；暁さんは私の役者道にいつもいてくれて、助けてくれる神様だった。</t>
        </is>
      </c>
      <c r="J49">
        <f>HYPERLINK("https://www.weblio.jp/content/暁", "词义详情")</f>
        <v/>
      </c>
      <c r="K49">
        <f>HYPERLINK("https://yourei.jp/暁", "查看例句")</f>
        <v/>
      </c>
    </row>
    <row r="50">
      <c r="A50" t="inlineStr">
        <is>
          <t>赤らむ</t>
        </is>
      </c>
      <c r="B50" t="inlineStr">
        <is>
          <t>成功</t>
        </is>
      </c>
      <c r="C50" t="inlineStr">
        <is>
          <t>読み方：あからむ
［動マ五（四）］
１果実・つぼみなどが、赤みを帯びる。「柿の実が—・む」
２恥ずかしさ・興奮などで、顔が赤くなる。「照れてほおが—・む」
［動マ下二］「あからめる」の文語形。</t>
        </is>
      </c>
      <c r="D50" t="inlineStr">
        <is>
          <t>紅潮；染める；赤面；赤らめる；火照る</t>
        </is>
      </c>
      <c r="H50" t="n">
        <v>29</v>
      </c>
      <c r="I50" t="inlineStr">
        <is>
          <t>道ゆく人々は物めずらしげに見あげ、その赤らんだ光のことを話しあう。；まだ日も落ちきっていないのに、男たちの顔はアルコールに赤らんでいた。；彼女と会ってももう幸せで赤らんでこないその額と目を接吻で覆った。；その赤らんだ耳朶にかかった二三本の遅れ髪がかすかにふるえていた。；路地に流れこんでいる赤らんだ日射しの中に、男が一人たたずんでいる。；顔の赤らむような或る仕草、或る言葉さえもが、冷酷に描写してあった。；これは回復ではない、胸の病から来るあの頬の赤らみなのだと。；いつも元気に赤らんでいる頬が、今朝は煤けたような色に沈んでいる。；彼女の顔は一瞬当惑したような表情を浮かべ、すぐにゆっくりと赤らんできた。；彼らの動作はばらばらで、彼らの皺の被い顔は吹雪のため赤らんでいた。；その目は赤らんで何かしら鱗のやうな怒りが全面を覆ふてゐるのを見た。；その赤らんだ日射しの中で、ひぐらしの群が、声をあわせて鳴いていた。；焔に照らされて、木株に腰をおろした彼らの顔は異様に赤らんでいた。；わたしはその時、エマの顔が思いがけずわずかに赤らんだのを知った。；マーガレットは伏し眼がちで、顔が火のついたように赤らんでいった。；あの方の名が全国にとどろいたことを思うと、嬉しさに顔が赤らむのでした。；「何んだえ」 こちらを向いたお文の眼の周りが酒でも飲んだように赤らんでいる。；手紙の方も、読み直してみて顔の赤らむような愛の言葉が並んでいる。；じっと動かない霧も、朝の光をうけてかすかに赤らんで見える。；フリージアはまだかすかに赤らんでいる顔で、しかし深刻な表情で話を続けた。；その顔は異様に赤らみ、両手は興奮のあまりわなわなとふるえていた。；小田垣は一層顔が赤らむのを感じ、思わず屈辱感に震えそうになった。；その唇の間からかすかに酒が匂い、心なしか瞼や頬が赤らんでいた。；赤らんだ鼻で苦しそうに息をし、小さな茶色の眼がおずおずしていた。；顔の赤らむ様なある仕草、ある言葉さえもが、冷酷に描写してあった。；一度怒気に赤らんだ顔が、むしろ青ざめて表情に鋭さが出てきていた。；砂漠の地面は大部分が赤らんだ茶色の砂利の広大で平らな広がりだった。；伝五のように泣きはしなかったが、瞼はかくしようもなく赤らんだ。；幸子の頬が赤らんだのは、上昇し始めた気温のせいばかりではない。</t>
        </is>
      </c>
      <c r="J50">
        <f>HYPERLINK("https://www.weblio.jp/content/赤らむ", "词义详情")</f>
        <v/>
      </c>
      <c r="K50">
        <f>HYPERLINK("https://yourei.jp/赤らむ", "查看例句")</f>
        <v/>
      </c>
    </row>
    <row r="51">
      <c r="A51" t="inlineStr">
        <is>
          <t>明かり</t>
        </is>
      </c>
      <c r="B51" t="inlineStr">
        <is>
          <t>成功</t>
        </is>
      </c>
      <c r="C51" t="inlineStr">
        <is>
          <t>平成18年（2006）2月に打ち上げられた日本初の赤外線天文衛星ASTRO-F(アストロエフ)の愛称。JAXA(ジャクサ)（宇宙航空研究開発機構）が開発。先行のIRAS(アイラス)衛星に比べ、数倍から数十倍という高感度・高解像度の赤外線観測が可能。宇宙初期に誕生した原始銀河の探索、原始惑星系円盤と系外惑星の観測、新彗星の発見などを行った。平成23年（2011）5月に観測運用終了。IRIS(アイリス)（Infrared Imaging Surveyor）。</t>
        </is>
      </c>
      <c r="D51" t="inlineStr">
        <is>
          <t>明かりがつい(3%)；明かり取り(3%)；明かり採り；明かり区間；明かりひとつ</t>
        </is>
      </c>
      <c r="E51" t="inlineStr">
        <is>
          <t>光；明；電気；灯；ライト</t>
        </is>
      </c>
      <c r="F51" t="inlineStr">
        <is>
          <t>小さな明かり；雪明かり；かすかな明かり；窓明かり；火明かり</t>
        </is>
      </c>
      <c r="G51" t="inlineStr">
        <is>
          <t>明かり窓；明かり障子</t>
        </is>
      </c>
      <c r="H51" t="n">
        <v>29</v>
      </c>
      <c r="I51" t="inlineStr">
        <is>
          <t>暗くなって再び明かりをつけると、その場にもうひとりいたのは小兵衛。；でもやっとのこと登ってみれば、どちらを見ても明かりは見えなかった。；その明かりのおかげで頭のずっと上のほうに窓がいくつかあるのが見えた。；中には暖炉が盛んに燃えていて、大きな部屋の明かりはその火だけなの。；だったら、俺が進んで明かりと御飯を食べてやるべきなのかもしれない。；そのせいで村人たちはいきなり明かりを消されたような感覚に包まれる。；闇に残されたかすかな印象のように、ぼんやりとした明かりが残った。；祭儀のような音がするのだが、その時別荘に明かりはついていなかった。；伯爵はアミーナを混乱させないように部屋の明かりを消して外に出る。；わたしはそのときその明かりが馬車の小窓からはいって来ることを知った。；あたしのこの声を耳にして、母が手に明かりをもって部屋に入ってきたわ。；停めてある自動車の濡れた屋根の列が、明かりを受けて鈍く光っていた。；そして彼が階段の上の階に来た時、明かりが漏れているのを見つけた。；前方にかすかな明かりが見えてきた頃には、相当長い道のりを歩いてきた。；暗い海を行く船が灯台の明かりに照らされて無事に目的の港へ進むように。；ずっとカーブを描いている先のほうに、一点の小さな明かりが光っていた。；その明かりはほんのわずかの距離にあったが、かれにはなにも見えなかった。；明かりに向かって洞窟の幅いっぱいの通路が入口まで達している。；二人の騎士が火明かりの輪の中に入ると、教母が声をかけてきた。；昔からランタンは装飾よりも明かりを目的として機能的に使用されてきた。；奇妙なことにこの世のすべての明かりが消えたような気がした。；大きな煖炉があって、その火だけがこの大きな部屋の唯一の明かりでした。；幸いにもあの醜い正面の明かり取りは中門の陰になって見えなかった。；強い明かりのところに行かない限り、偽物とは見分けられないでしょう。；扉が少し開いたが、明かりを背にしている男の顔は見えなかった。；明かりを消した舞子は、暗くなった居間のなかをソファまで歩いて来た。；おそらく明かりを見つけてなかったら、何か馬鹿なことをしたかもしれません。；ちらちらとまたたくかがり火の明かりの中で、男の顔は影になっていた。；玄関の左部屋には明かりがこうこうと輝いているが、玄関には明かりがない。</t>
        </is>
      </c>
      <c r="J51">
        <f>HYPERLINK("https://www.weblio.jp/content/明かり", "词义详情")</f>
        <v/>
      </c>
      <c r="K51">
        <f>HYPERLINK("https://yourei.jp/明かり", "查看例句")</f>
        <v/>
      </c>
    </row>
    <row r="52">
      <c r="A52" t="inlineStr">
        <is>
          <t>上がり</t>
        </is>
      </c>
      <c r="B52" t="inlineStr">
        <is>
          <t>成功</t>
        </is>
      </c>
      <c r="C52" t="inlineStr">
        <is>
          <t>読み方：あがり
［名］
１位置・地位・値段などが高くなること。「物価の—が激しい」
２売上高。収入額。または、収穫高。「家賃の—で暮らす」
３でき上がること。できぐあい。仕上がり。「—がかんばしくない」「一丁—」
４物事の終わり。「今日は五時で—にする」
５双六(すごろく)で、駒が最終の所に進んで勝つこと。また、トランプやマージャンなどで、役ができて勝つこと。
６「上がり花」の略。
［接尾］
１名詞や動詞の連用形に付いて、その状態が去った後の間もないこと、その名残があるさまを表す。「雨—」「病み—」
２名詞に付いて、もとそういう身分や職業であったことを表す。「役人—」「教員—」</t>
        </is>
      </c>
      <c r="D52" t="inlineStr">
        <is>
          <t>上がりまし；上がり始め；上がり続け；上がります；上がりはじめ</t>
        </is>
      </c>
      <c r="E52" t="inlineStr">
        <is>
          <t>入り；上げ；上昇；利益；上り</t>
        </is>
      </c>
      <c r="F52" t="inlineStr">
        <is>
          <t>風呂上がり；お上がり；右上がり；焼き上がり；吹き上がり</t>
        </is>
      </c>
      <c r="G52" t="inlineStr">
        <is>
          <t>上がり框；上がり口；上がり込む；上がり込み；上がり馬</t>
        </is>
      </c>
      <c r="H52" t="n">
        <v>29</v>
      </c>
      <c r="I52" t="inlineStr">
        <is>
          <t>機関車による運転のため輸送力や速度も上がり、旅客数は大幅に伸びた。；その中で、京都と広島が有力候補に上がり、グローブスは京都を上げた。；アレルゲンとの接触を続けていれば抗体値も上がり、症状もひどくなる。；最終コーナーまでに好位に上がり、直線に入ってまもなく先頭を奪取。；焼き上がりを確認する一般的な方法には以下のようなものがある。；これを経て、ようやく的前に上がり28m先の的に向かった稽古ができる。；しかし最後にステージに上がり用意されたドッキリ落とし穴の犠牲となる。；砂浜への駆け上がり現象で 6mを観測した地点も報告されている。；試合が進むに連れてトーナメント表が勝ち上がり局だけが上に上がる形式をとった。；BETしたメダルが上がり役ごとに設定された倍率で払い出される形式。；島に船が接岸した後、乗客は螺旋状の階段を上がり、島の上部に入る。；今後100年に向けて右上がりに継続されるベクトルをイメージしています。；大阪線の線路は高架へ上がりJR線もこちらに迫ってきて桜井駅に達する。；シーズンでは6月に入ってから調子が上がり、6月の月間MVPを獲得。；減算の場合は、繰り上がりではなく、桁借りが発生したか否か、となる。；試合を重ねるにつれ個人の評価も上がり、単独参戦も増加していった。；盆地のため夏の日中は気温が上がりやすいものの熱帯夜は非常に少ない。；ただし、ドボンによる上がりは最終的に勝利者を確定するものではない。；決勝戦はトーナメント勝ち上がりの4名に現十段位を加えた5名で行う。；もはやMLB最強の打者ではなくなったという厳しい声も上がり始めた。；蓋に木の枝や棒等を当てて、振動が無くなった時をもって炊き上がりとする。；なお、選抜予選の廃止により一次予選の勝ち上がり条件も緩和されている。；パスタ以外にも、野菜や米などのゆで上がり状態を表現する際にも用いる。；両チームはプレーオフを勝ち上がり、ファイナルで対戦することになった。；バッテリー上がりの原因が見当たらない場合、車両側の故障も考えられる。；ユーステノプテロンを進化させた次の日の朝に陸に上がり、2人が喜ぶ。；参加チーム数が多い場合には勝ち上がり形式となる。；このような国王に反対する国民の声が、デンマーク中に上がり始めた。；繰り上がりは考慮せず、繰り上がった場合でも下一桁のみを評価する。</t>
        </is>
      </c>
      <c r="J52">
        <f>HYPERLINK("https://www.weblio.jp/content/上がり", "词义详情")</f>
        <v/>
      </c>
      <c r="K52">
        <f>HYPERLINK("https://yourei.jp/上がり", "查看例句")</f>
        <v/>
      </c>
    </row>
    <row r="53">
      <c r="A53" t="inlineStr">
        <is>
          <t>上がる</t>
        </is>
      </c>
      <c r="B53" t="inlineStr">
        <is>
          <t>成功</t>
        </is>
      </c>
      <c r="C53" t="inlineStr">
        <is>
          <t>読み方：あがる
［動ラ五（四）］
１そのものの全体または部分の位置が低い所から高い方へ動く。
㋐低い所から高い所に移る。「二階に—・る」⇔おりる。
㋑物の位置が高い所へ移る。「遮断機が—・る」「幕が—・る」⇔さがる／おりる。
㋒物が動き進んで高い空間に移る。「火の手が—・る」「夜空に花火が—・る」
㋓水上や水中から外に移る。「船から陸(おか)に—・る」「風呂から—・る」
㋔履物をぬいで家の中に入る。「座敷に—・る」
㋕（揚がる）遊女屋に入って遊ぶ。「妓楼(ぎろう)に—・る」
㋖《御所が北にあったところから、京都の町で》北に行く。「新烏丸(からすま)通り竹屋町—・る」⇔さがる。
２所有者や高位の者の手元に収められる。
㋐収益がある。「純益が—・る」
㋑（挙がる）検挙される。「犯人が—・る」
３上の段階や等級へ進む。「学校に—・る」「地位が—・る」⇔さがる。
４程度が高まる。
㋐他と比較して高い状態にある。「右肩が—・っている」⇔さがる。
㋑今までより高い状態になる。「血圧が—・る」「気温が—・る」⇔さがる。
㋒（「騰る」とも書く）値段が前より高くなる。「物価が—・る」⇔さがる。
㋓いちだんと望ましい状態になる。「男ぶりが—・る」「腕前が—・る」
㋔声が高く発せられる。「歓声が—・る」
㋕勢いがつく。盛んになる。「意気が—・る」「調子が—・る」「気分が—・る」
㋖俗に、気分が高まる。興奮する。「—・る曲」
５《血が頭にのぼる意から》のぼせて平常心を失う。「初舞台で—・る」
６物事が終わりとなる。
㋐完成する。仕上がる。「仕事が—・る」
㋑双六(すごろく)などで、駒が最終の場所に進んで勝つ。また、トランプ・マージャンなどで役ができて勝つ。「役満で—・られた」
㋒雨がやむ。「夕立が—・る」
㋓その範囲内でまかなえる。「思ったより安く—・った」
㋔脈・乳・月経などが止まる。「つわりが—・る」
㋕魚・貝・虫などが死ぬ。草木が枯れる。「ウリの蔓(つる)が—・る」
㋖すたれる。だめになる。「車のバッテリーが—・る」
７人の目についたり、広く知られたりするようになる。
㋐掲げられる。「表彰の額が—・る」
㋑有名になる。「名が—・る」
㋒（挙がる）表し示される。「証拠が—・る」
㋓効果や実績が現れる。「成果が—・る」
８（揚がる）揚げ物ができる。「天ぷらが—・る」
９神仏や敬うべき人などに、ある行為がなされる。
㋐神仏に供えられる。「灯明が—・る」
㋑使用人として仕える。「お屋敷に—・る」⇔さがる。
㋒「食う」「飲む」「吸う」の尊敬語。召し上がる。「先生は酒を少しも—・りません」
㋓「行く」「訪ねる」の謙譲語。参上する。「お話を伺いに—・ります」
10昔へさかのぼる。
「なほ—・りての人には、あたるべくもあらじをや」〈源・若菜下〉
11馬が跳ねる。
「馬の—・りさわぐなどもいとおそろしう見ゆれば」〈枕・三〉
12髪が逆立つ。
「汗のあゆれば、つくろひたてたる髪なども、みな—・りやしたらむとおぼゆ」〈枕・二七八〉
13動詞の連用形のあとに付いて複合語をつくる。
㋐その動作が終わる意を表す。しおわる。「新聞が刷り—・る」
㋑いきつくところまでいっている状態を表す。すっかり…する。「晴れ—・る」「おどされて震え—・る」
㋒さげすみ、ののしる意を表す。しくさる。しやがる。
「おおい、まち—・れ」〈滑・膝栗毛・五〉
[可能]あがれる
[用法]あがる・のぼる——「坂を上がる（登る）」「石段を上がる（登る）」「煙が上がる（昇る）」などでは相通じて用いる。◇「舞台に上がる」「座敷に上がる」などには「登る」は使わない。◇「山に登る」「木に登る」「はしごを登る」では「登る」を使う。◇「上がる」も「登る」も下から上への空間的移動であるが、「はしごを登って、屋根に上がった」「山道を登って、見晴らし台に上がった」などの例からもわかるように、「登る」は途中経過、経由する所を意識していう場合が多いのに対し、「上がる」は到達点ととらえることが多い。「煙が上がる」「煙が昇る」では相通じて用いられるが、「狼煙(のろし)」の場合は「狼煙が上がる」であって「狼煙が昇る」とはいわない。双六(すごろく)の終着点は「あがり」であって「のぼり」ではない。
[下接句]頭が上がらない・意気が揚がる・梲(うだつ)が上がらない・オクターブが上がる・口が上がる・此処(ここ)を踏んだらあちらが上がる・蛸(たこ)の糞(くそ)で頭に上がる・手が上がる・枕(まくら)が上がらない・脈が上がる</t>
        </is>
      </c>
      <c r="D53" t="inlineStr">
        <is>
          <t>上がる毎；上がる歓声</t>
        </is>
      </c>
      <c r="E53" t="inlineStr">
        <is>
          <t>食事；増加；向上；取る；食べる</t>
        </is>
      </c>
      <c r="F53" t="inlineStr">
        <is>
          <t>湧き上がる；膨れ上がる；這い上がる；勝ち上がる；噴き上がる</t>
        </is>
      </c>
      <c r="H53" t="n">
        <v>29</v>
      </c>
      <c r="I53" t="inlineStr">
        <is>
          <t>その対象はいま舞台に上がろうとしている一人の人物に向けられている。；駅舎からホームへは線路を渡りスロープで直接上がるようになっていた。；そののち幕は上がらなかったが、まだ何度も何度も彼女の名が呼ばれた。；地面に足をつけた状態から始め、体を後方に回転させながら棒上に上がる。；長期の遠征中だったこともあり、一部の選手から反発の声が上がった。；上がろうとした時に、上から何か仕掛けられては不覚をとることになる。；その代わりとして専用アイテムがあり、装備すると大幅に能力が上がる。；これが原因で砂押には頭が上がらなくなってしまい、国鉄入団となった。；それで君が上がられれば、これほど都合のいい事はないと思うですがね。；この時に受けた傷が元で、彼の腕は肩より上に上がらなくなってしまった。；年齢設定を問わず、勝利後には跳び上がってはしゃぐ一面も持っている。；説明なしに行われたこの改造に対して、疑念の声が上がることになった。；いつも老人の飲んだくれだとされて、その前に出ると頭が上がらなかった。；逆に一般的なRPGの様に冒険中に能力が上がることは基本的に無い。；彼はわたしの手を取って湯から上がらせ、タオルをくれて体を拭かせた。；当時キャロルのメンバーはライブの前に大量に酒を飲みステージに上がった。；しかし、運営を軌道に乗せられるかどうかを懸念する声も同時に上がった。；川から上がって市の港へ入るガレー船を妨げるようになったのである。；墓碑はショパンの墓の右脇にある階段を数ブロック上がったところにある。；ユーザーはそのレベルや獲得した勲章に応じて階級が上がっていく。；また、神の能力が上がるアイテムや新しい魔法を入手するイベントも起こる。；施但らが建業にまで至ったときは徒党の数は数万人に膨れ上がっていた。；それから女主人は自分といっしょに小作人を屋根裏部屋に上がらせたの。；理由は特殊兵器では大した戦果は戦果は上がらぬと考えたからであった。；数メートルの高さの盛土区間で、階段またはスロープでホームに上がる。；そして刀を一旦鞘におさめて、何食わぬ顔をして二階へ上がっていった。；最終コーナーで逃げ馬が脱落するにつれて位置が自然と上がっていた。；しかしながら、下記の事情で全くと言っていいほど成果が上がらなかった。；この計画にはタクシー及びリムジン会社からの反対が上がっている。</t>
        </is>
      </c>
      <c r="J53">
        <f>HYPERLINK("https://www.weblio.jp/content/上がる", "词义详情")</f>
        <v/>
      </c>
      <c r="K53">
        <f>HYPERLINK("https://yourei.jp/上がる", "查看例句")</f>
        <v/>
      </c>
    </row>
    <row r="54">
      <c r="A54" t="inlineStr">
        <is>
          <t>明るい</t>
        </is>
      </c>
      <c r="B54" t="inlineStr">
        <is>
          <t>成功</t>
        </is>
      </c>
      <c r="C54" t="inlineStr">
        <is>
          <t>読み方：あかるい
［形］［文］あかる・し［ク］
１光が十分にあり、また光が強く差して、物がよく見える状態である。「—・い月」「東の空が—・くなってきた」⇔暗い。
２将来などに希望や喜びがもてる状態である。「—・い未来」「見通しが—・い」⇔暗い。
３性格や表情・雰囲気などが朗らかである。陽気だ。明朗だ。「—・い人柄」「—・い職場」⇔暗い。
４公明正大で後ろ暗いところがない。「—・い政治」⇔暗い。
５色が澄んで華やかである。「—・い青」⇔暗い。
６（「…にあかるい」の形で）その物事・方面によく通じている。経験が豊富だ。「この辺の地理に—・い」「コンピューターに—・い人」⇔暗い。
[派生]あかるさ［名］あかるみ［名］</t>
        </is>
      </c>
      <c r="D54" t="inlineStr">
        <is>
          <t>明るい声(4%)；明るい色(3%)；明るい光(3%)；明るい性格；明るいところ</t>
        </is>
      </c>
      <c r="E54" t="inlineStr">
        <is>
          <t>明らか；白い；知っている；幸福；元気</t>
        </is>
      </c>
      <c r="F54" t="inlineStr">
        <is>
          <t>最も明るい；明るい表情；明るい部屋；明るい日；明るい空</t>
        </is>
      </c>
      <c r="G54" t="inlineStr">
        <is>
          <t>明るい人；明るい歌；明るい小川；明るい農村；明るいナショナル</t>
        </is>
      </c>
      <c r="H54" t="n">
        <v>29</v>
      </c>
      <c r="I54" t="inlineStr">
        <is>
          <t>明るい茶髪と緑色の大きな目を持つ、相手に猫の様な印象を与える美人。；以前は周囲が明るかったため電光が今のように強くは感じられなかった。；星団の中心部に非常に明るく高密度の中心核を持つことで知られている。；一家3人、新しい街で始めるこれからの生活に明るい希望を持っていた。；スタジオのセットは明るく作られており、ケースも青く独特の形である。；惑星の明るさが変化することは古代ギリシャ人の時代から知られていた。；体色は全体的に灰色であり、背側は濃い灰色、腹側は明るい灰色である。；全体的な体色は灰色であり、背側は濃い灰色、腹側は明るい灰色である。；私の耳には部屋中に響く彼女の明るく弾んだ笑い声がまだ残っています。；各点の大きさは主星の見かけの明るさに対応しており、小さいほど暗い。；その日の彼女は意外なことにわりと明るかったのを陽子は記憶している。；しかし明るく元気だったみちるは、無口で陰のある少女に成長していた。；明るい薄明中の空でも肉眼で見え、明るくなっていく様子が捉えられた。；濃い緑色だった地色も、徐々に明るく鮮やかな緑色へと変更されている。；日中の明るい時間に前照灯を点灯させて走行することには何も制限は無い。；性格は明るくイジメを受けた亜弓を家に連れていき慰めるなどしている。；東京の明るさに慣れていたので、実際以上に暗く感じられたのだろう。；翌1974年には地球に接近し、肉眼でも観測できるほど明るくなった。；楽曲は前作との差別化から主人公の性格に合わせ、明るい曲調となった。；大きく、明るく色のついた葉をもつ栽培品種は、装飾目的に育てられる。；そのためか、質量は太陽より若干上だが、明るさは太陽と同程度である。；画像中心部と周辺部に明るさの差が発生することの一つの原因である。；その古屋敷で家族で夕食をとっていたところ、庭が急に明るくなった。；それにも関わらず、ソウヤーの作品は明るい終わり方をするものが多い。；しかし、およそ2時間後に撮影したときには、元の明るさに戻っていた。；寝ている人も外が流星で明るいので目覚めるほどだったとも言われる。；縁の外に日がかんかんあたっていて明るかったことだけは確かである。；車内を明るくするため、客室の窓を大きくし、居住性を向上させている。；この場合は当然、暗い外から明るい室内の様子を見ることが出来る。</t>
        </is>
      </c>
      <c r="J54">
        <f>HYPERLINK("https://www.weblio.jp/content/明るい", "词义详情")</f>
        <v/>
      </c>
      <c r="K54">
        <f>HYPERLINK("https://yourei.jp/明るい", "查看例句")</f>
        <v/>
      </c>
    </row>
    <row r="55">
      <c r="A55" t="inlineStr">
        <is>
          <t>赤ん坊</t>
        </is>
      </c>
      <c r="B55" t="inlineStr">
        <is>
          <t>成功</t>
        </is>
      </c>
      <c r="C55" t="inlineStr">
        <is>
          <t>読み方：あかんぼう
１生まれて間のない子供。また、胎児や乳児期の子供をもいう。あかご。あかちゃん。あかんぼ。
２世間知らずの子供っぽい人。</t>
        </is>
      </c>
      <c r="D55" t="inlineStr">
        <is>
          <t>赤ん坊みたい；赤ん坊連れ；赤ん坊同然；赤ん坊扱い；赤ん坊あつかい</t>
        </is>
      </c>
      <c r="E55" t="inlineStr">
        <is>
          <t>子；子供；やや；幼児；赤ちゃん</t>
        </is>
      </c>
      <c r="F55" t="inlineStr">
        <is>
          <t>ほんの赤ん坊；小さい赤ん坊；健康な赤ん坊；生れてくる赤ん坊；後間もない赤ん坊</t>
        </is>
      </c>
      <c r="H55" t="n">
        <v>29</v>
      </c>
      <c r="I55" t="inlineStr">
        <is>
          <t>その時期には赤ん坊の世話をする充分な時間を確保できたためである。；すると、背中に赤ん坊を背負った若い男が私にお茶を運んできてくれた。；男性と女性との性差を確認し、いかにして赤ん坊が生まれるかを認める。；聖堂には聖母マリアと赤ん坊の像の跡があり、石の上に保護されている。；そのため、赤ん坊から毒を吸いだした妻が影響を受ける危険はなかった。；多くの伝承では赤ん坊は成人して高徳の僧侶になったとするものが多い。；それを認めた赤ん坊は猟犬を抱きしめ、二人は門に向かっていきました。；ジャックは自分と違って健康な赤ん坊へ憎悪をつのらせていたのである。；これは、大人が赤ん坊を見て、あやそうとするときに現れるものである。；外は寒かったが、小屋の牛や馬が息を吐きかけて赤ん坊を暖めてくれた。；赤ん坊は女中部屋に運ばれたまま、祖母の膝には一度も乗らなかった。；これで赤ん坊と私とのあいだに現実生活のつながりが一つ生じたわけである。；部屋の電気がショートし、巨大な赤ん坊の顔がスペンサーに迫ってくる。；そのような人物はしばしば半人半ジャガーの赤ん坊を抱いている場面がある。；その手を使って、生れたばかりの赤ん坊をくびり殺したんじゃないか。；カートと2人が最後に会ったのは、2人が赤ん坊の頃だったためである。；また囚人の房の壁に貼られていた妻と赤ん坊の写真が非常に印象に残った。；彼女の肺はまだ動き続け、頭は赤ん坊をうむために呼吸法を行っていた。；大の男たちが、赤ん坊のように、ようやく這って歩くような始末だった。；赤ん坊の写真については、当初、松木の幼い頃のものかとも考えられた。；小説の中では娘のクウェンティンがまだ赤ん坊のときに現れたのが最後だった。；当時は「気が付いたら家に赤ん坊がいた」というような状況だったという。；恋人や赤ん坊のために犯罪に手を染める警察学校の学生の物語である。；いくつもの組織を出し抜き赤ん坊を保護していたのはケーブルだった。；針の取り除かれた注射器が、赤ん坊の口に毒を流し込むために使われた。；また連れて行った赤ん坊について調査の方法はないものでしょうか。；責任を感じた市は、女の赤ん坊を宇之助に届けるために宮木村に向かう。；小百合は赤ん坊の時に取り違えられてしまい、孤児扱いとなっていたのだ。；たとえば、赤ん坊につねに一定の数の物体がある画像を繰り返し見せる。</t>
        </is>
      </c>
      <c r="J55">
        <f>HYPERLINK("https://www.weblio.jp/content/赤ん坊", "词义详情")</f>
        <v/>
      </c>
      <c r="K55">
        <f>HYPERLINK("https://yourei.jp/赤ん坊", "查看例句")</f>
        <v/>
      </c>
    </row>
    <row r="56">
      <c r="A56" t="inlineStr">
        <is>
          <t>空き</t>
        </is>
      </c>
      <c r="B56" t="inlineStr">
        <is>
          <t>成功</t>
        </is>
      </c>
      <c r="C56" t="inlineStr">
        <is>
          <t>読み方：あき
１物が詰まっていないこと。すきま。空間。余地。余白。「本棚を置く—を作る」「行間の—を大きくとる」
２欠員があること。「定員に二名の—がある」
３ひま。「—の時間を利用して本を読む」
４使っていないこと。「傘の—があったら貸してください」「—部屋」</t>
        </is>
      </c>
      <c r="D56" t="inlineStr">
        <is>
          <t>空き部屋(10%)；空き店舗(7%)；空き時間(7%)；空き瓶(5%)；空きスペース(5%)</t>
        </is>
      </c>
      <c r="E56" t="inlineStr">
        <is>
          <t>間；空；機会；残り；空間</t>
        </is>
      </c>
      <c r="F56" t="inlineStr">
        <is>
          <t>空きテナント；空き屋敷；空き樽；空き容器；空きビン</t>
        </is>
      </c>
      <c r="G56" t="inlineStr">
        <is>
          <t>空き家；空き缶；空き巣；空き教室；空き腹</t>
        </is>
      </c>
      <c r="H56" t="n">
        <v>29</v>
      </c>
      <c r="I56" t="inlineStr">
        <is>
          <t>彼はいつも素麺の空き箱を机代わりにして記録に精を出していたという。；プログラム内にはそのための246バイトの空き領域が用意されていた。；映画出演は、アナウンス業務の空き時間に合わせて参加していたという。；空き店舗の多さや人手不足からも、防災組織の強化は困難になっている。；僕は急いで、入口をふさいでいる空き函の山を上の方から崩していった。；その空き小屋に三人ははいって、その夜はここで一泊することにした。；教師は少年を空き部屋に閉じ込めて鍵をかけ、直後に少年は自殺した。；竹中重治の屋敷跡であったが、当時は既に空き屋であったようである。；この方法が使われるのは空きが10 - 30分である場合がほとんど。；ズムテ村には750人が住める程度の空きビル等があるため活用される。；空き地にお手製の看板と空き箱を並べて舞台を作り、何時間も熱唱する。；また、キャップに空きのあるチームは以前はMLEを適用できなかった。；様々な厚みを持つ板で、行間の空き量を調節するためなどに用いられる。；他の空き部屋には指定された家具を置く事で新たな住人が引っ越してくる。；空きがあれば、そこを利用するものが出現するはずだからである。；それ以外の区のうちでも一部の点は空き領域となっている。；市では空き店舗の活用や貸し店舗改修費用の利子補助なども検討している。；空き・売り物件と謳っているとは思えないほど物が残っているのは何故か?；新垣渚の移籍によって空き番となった背番号18をつけることとなった。；その場合、空きの場所には灯球1個分のスペースが設けられている。；非閉塞スイッチ回路網は、出線に空きがあれば必ず接続が可能な回路網。；ただし、また各階がすべて埋まっているわけではなく、空き店舗が多い。；が のとき、この領域は点 を中心とする半径 の穴空き円板である。；バチストは行くあてのないガランスに、彼の下宿の空き部屋を紹介する。；翌年、リーベの音楽教師に空きがあったところへ応募して採用される。；その場合は、空きのある第2志望以下の学部学科へ入学することになる。；さらに、空き名跡が増加し、協会の業務にも支障をきたすようになった。；元々群馬銀行渋川中央支店であった建物の空きスペースが利用されている。；また外からはただの空きビンにしか見えないため、攻撃で破壊される心配もない。</t>
        </is>
      </c>
      <c r="J56">
        <f>HYPERLINK("https://www.weblio.jp/content/空き", "词义详情")</f>
        <v/>
      </c>
      <c r="K56">
        <f>HYPERLINK("https://yourei.jp/空き", "查看例句")</f>
        <v/>
      </c>
    </row>
    <row r="57">
      <c r="A57" t="inlineStr">
        <is>
          <t>秋</t>
        </is>
      </c>
      <c r="B57" t="inlineStr">
        <is>
          <t>成功</t>
        </is>
      </c>
      <c r="C57" t="inlineStr">
        <is>
          <t>読み方：とき
１過去から現在、現在から未来へと、一方的また連続的に流れていくと考えられているもの。物事の変化・運動によって認識される。時間。「—が流れる」「—がたつ」「—を刻む」
２時法によって示される、1日のうちの特定の時点や時間帯。また、その時法に基づく単位時間。時刻。刻限。日本では明治6年（1873）以来、平均太陽時によって一昼夜を24等分し、太陽が子午線を通過する時刻の12時間前を零時とする時法が行われている。また一般に、24時を午前・午後の12時ずつに分けて、零時を午前零時、12時を午後零時とよぶ慣習もある。昔の時法には、1日を等分する定時法と、昼夜を別個に等分する不定時法とがあり、単位時間の長さは、不定時法では季節や場所によって異なった。定時法は古代律令時代には既にあり、漏刻（水時計）を用いて1日を12等分し、各時刻に十二支を配して、鼓や鐘を鳴らして時を告げた。真夜中の子(ね)の刻に9回、丑(うし)の刻に8回というぐあいに一時(いっとき)ごとに一打減らすもので、そのため、昼夜の各時刻を九つ…四つとも表した。近世になると、昼夜をそれぞれ6等分する不定時法が広く行われた。時刻の表し方は古代と同様であるが、各時刻はさらに2等分されて半とよばれたり、3等分されて上・中・下とよばれたりした。
３時間の流れの一点。時刻。また、時刻を知らせること。「—の鐘」「—をつくる」
４ある時期。
㋐関心がおかれている時代や年代。ころ。「—は幕末、所は江戸」「—の首相」
㋑季節。時候。「紅葉の—」「—の物でもてなす」「—なし大根」
５時勢。世の成り行き。「—に身をまかせる」「—に従う」
６何らかの状況を伴った、時間のひとくぎり。
㋐さまざまな状況を念頭に置いた、不特定の時期。場合。「—に応じた方策」「あいさつのしかたも—と場所による」
㋑状況が明示できない、漠然とした時期。「—には失敗もある」「—として、そんなことも起こる」
７
㋐ちょうどよい機会。好機。「しかるべき—を待つ」「逆転の—をうかがう」
㋑（「秋」とも書く）重要な時期。「危急存亡の—」
８わずかな間。一時。また、当座。臨時。「—借り」「—貸し」
９定められた期日。期限。「—を切って金を貸す」「返済の—が迫る」
10（行為や状態を表す連体修飾を受けて）
㋐ある状態になっている時点や時期。「家に着いた—、母はいなかった」「幼稚園の—は、やんちゃ坊主だった」
㋑ある状況を仮定的に表す。おり。場合。「地震の—はどうしよう」
11（「どき」の形で接尾語的に用いて）まさにその時期。また、それにふさわしい時期。「食事—で店が混む」「今—の若者」
12「時制(じせい)」に同じ。
13陰陽道(おんようどう)で、事を行うのに適した日時。暦の吉日。
「暦の博士召して、—問はせなどし給ふほどに」〈源・葵〉
14天台・真言などの密教で行う、定時の勤行(ごんぎょう)。時の修法。
「その夜行幸にて侍りしかば、暁の御—ひきあげて」〈弁内侍日記〉
[補説]2018年5月に実施した「あなたの言葉を辞書に載せよう。2018」キャンペーンでの「時」への投稿から選ばれた優秀作品。◆生きているうちは誰も降りることができない一方通行のベルトコンベア。ほしほしさん◆集中している時や夢中になっている時は、一瞬で過ぎるもの。M＆Gさん◆気付いたらいつの間にかなくなっているもの。うまく使いこなせるかどうかで人生が大きく左右される。とまとさん◆常に流動しており、途中で大事な物を見つけても取り返しが付かない。流れに従うよりも流れを遡ろうとする人の方が多い。ぼくちんさん◆「今」を過去にするもの。siotsukaさん◆世界が滅びても、なくならないもの。うめさん◆決して失敗することのない殺し屋。かずばんびさん</t>
        </is>
      </c>
      <c r="D57" t="inlineStr">
        <is>
          <t>秋山小兵衛(3%)；秋ごろ；秋初戦；秋以降；秋音ちゃん</t>
        </is>
      </c>
      <c r="E57" t="inlineStr">
        <is>
          <t>秋季；フォール；オータム；秋場；秋期</t>
        </is>
      </c>
      <c r="F57" t="inlineStr">
        <is>
          <t>秋音；栄秋；蘭秋；秋学期；秋競馬</t>
        </is>
      </c>
      <c r="G57" t="inlineStr">
        <is>
          <t>秋山；秋葉；秋田県；秋季；秋の</t>
        </is>
      </c>
      <c r="H57" t="n">
        <v>29</v>
      </c>
      <c r="I57" t="inlineStr">
        <is>
          <t>早い時期に孵化した個体の中には、その年の秋に産卵をするものもある。；春・秋の渡りの季節には長野県などの内陸部を移動する個体が観察される。；秋に巨人に入団すると、前川八郎に代わって三塁手のレギュラーとなる。；秋には雨がやや増えるが夕立など特定の時刻に集中的に降ることが多い。；鳴く虫は秋のものと考えられがちだが、キリギリスも夏が最盛期である。；春から夏にかけて海霧が発生しやすく、秋から冬にかけては晴天が続く。；秋と並んで一年の中では最も気候の良い穏やかな季節とも言われる。；日本では周年見られるが、春および秋には渡りが各地で確認される。；ごく稀に夏から秋にかけて温度が高い時に実を結ぶことがある。；雨に弱いので秋に雨がほとんど降らない土地に栽培は限られる。；高さ3mくらいまで成長し、夏から秋にかなり大きな黄色の花を咲かせる。；この系統は若松河田駅付近まで秋76系統と同一ルートとなっている。；秋にも出産することがあるが、春の繁殖に失敗した個体によるものが多い。；高校の先輩である秋本治の仕事場を訪問したこともあったという。；なお、2015年秋デビューの8300系は近畿車輛での製造となった。；春と秋は季節の移り変わりの時期で、一般に穏やかで涼しい気温になる。；秋からが収穫期で、翌年の初春を迎えるまで冬の間は長い期間収穫できる。；駅舎やホームは現存しており、京成電鉄は改修して2018年秋に公開した。；竹の刈取りは秋〜冬に掛けて竹が一番乾燥している時期に行われる。；秋から春までが乾季に相当し、その期間の降水は殆ど観測されない。；昭和の初め頃までは、秋になると駅周辺でマツタケ狩りが行われた。；季節は秋で、水が増える自然の要因はまったく考えられなかった。；実りの秋から転じて、季節に関わらず収穫時期を秋と呼ぶことがある。；出会いの春が過ぎ、戦いの夏が終わり、和解の秋も去り、別れの冬が来た。；秋に監督の藤本定義の家に挨拶に行き巨人との契約を結ぶ。；秋にはその他毎回様々な企業の主催による謎解きイベントが開催されている。；秋の紅葉シーズンに「観楓会」と呼ばれる宴会が実施される習慣がある。；最初の年の秋までには自分で狩りをするようになり、その後巣立つ。；しかし秋の長雨が30日続き、桟道が一部崩壊するなどしたため失敗した。</t>
        </is>
      </c>
      <c r="J57">
        <f>HYPERLINK("https://www.weblio.jp/content/秋", "词义详情")</f>
        <v/>
      </c>
      <c r="K57">
        <f>HYPERLINK("https://yourei.jp/秋", "查看例句")</f>
        <v/>
      </c>
    </row>
    <row r="58">
      <c r="A58" t="inlineStr">
        <is>
          <t>空き巣</t>
        </is>
      </c>
      <c r="B58" t="inlineStr">
        <is>
          <t>成功</t>
        </is>
      </c>
      <c r="C58" t="inlineStr">
        <is>
          <t>読み方：あきす
１鳥のいない巣。
２人のいない家。
３「空き巣狙(ねら)い」の略。</t>
        </is>
      </c>
      <c r="D58" t="inlineStr">
        <is>
          <t>空き巣犯(2%)；空き巣事件；空き巣等；空き巣被害</t>
        </is>
      </c>
      <c r="E58" t="inlineStr">
        <is>
          <t>泥棒；賊；盗賊；盗人；泥坊</t>
        </is>
      </c>
      <c r="H58" t="n">
        <v>29</v>
      </c>
      <c r="I58" t="inlineStr">
        <is>
          <t>錠が動いていただけじゃ、必ずしも空き巣かどうか分からないでしょう。；まさか、本当に空き巣に入られたというようなことはないでしょうねえ。；最近周辺では同じような手口の空き巣は発生していないということである。；空き巣の件は心配だが、二度も同じマンションを狙う犯人はいないだろう。；それは、昨年度の空き巣事件を季節別にデータ化するという任務である。；もっとも、空き巣に入っても、収穫になる物はほとんどないだろうが。；周りをご覧になればわかるとおり、空き巣も珍しいくらいの平和な土地でして。；だが空き巣だとしたら部屋に物色された後がないのが妙だ。；そこへ近所の女中仲間達がやって来て、近くの林家に空き巣が入ったという。；運送屋をやっていたが倒産して、空き巣で暮らすようになったという。；なんだか空き巣にでも入られたような気がしました。；そして九州北部を中心に役所や学校を狙った空き巣をしていたことを自白した。；彼は選挙の投票に出かけていて、空き巣に入られたんだ。；被害者に無視された腹いせに、空き巣に入ったことを自供している。；シェエラザードは空き巣に入っていた十代の頃の話もした。；そこを狙って組織的・集団的に空き巣を働く武装した不良グループもいるのだ。；去年の秋以来、この附近は空き巣や忍びに百何十軒も入られている。；運の悪いことに、ちょうどそのとき、鉱山事務所に空き巣が入ったのです。；同い年でドラッグに手を出したり空き巣に入ったりした子も、何人か名前を知っている。；ただし、パリからローマに移った直後の空き巣被害で、フランス時代の作品の大半を失っている。；商売が軌道に乗り始めたある日、復員兵の神部茂が香田宅に空き巣に入る。；自宅の1階と2階には物色したような跡があり、空き巣強盗と見られている。；肝心の放火魔は逮捕できなかったが、連続空き巣犯を逮捕することができた。；しかし、空き巣や強盗などの犯罪はむしろ増加の一途をたどっている。；大半は衣類と、空き巣も持って行かないようなアクセサリーだった。；空き巣は、『入りに三分、物色五分』の計八分で仕事を完了するのが原則である。；付近のアパートばかり三十件も空き巣を重ねていた二十代の妻子持ちの男だった。；空き巣と同等の扱いで、地元の五城目警察署が捜査を担当してます。；実はこの男こそ、以前日野江家に入った空き巣だったのだ。</t>
        </is>
      </c>
      <c r="J58">
        <f>HYPERLINK("https://www.weblio.jp/content/空き巣", "词义详情")</f>
        <v/>
      </c>
      <c r="K58">
        <f>HYPERLINK("https://yourei.jp/空き巣", "查看例句")</f>
        <v/>
      </c>
    </row>
    <row r="59">
      <c r="A59" t="inlineStr">
        <is>
          <t>飽きっぽい</t>
        </is>
      </c>
      <c r="B59" t="inlineStr">
        <is>
          <t>成功</t>
        </is>
      </c>
      <c r="C59" t="inlineStr">
        <is>
          <t>読み方：あきっぽい
［形］やることが長続きせず、すぐに飽きてしまうさま。飽きやすい。「移り気で—・い性質」
[派生]あきっぽさ［名］</t>
        </is>
      </c>
      <c r="D59" t="inlineStr">
        <is>
          <t>飽きっぽい性格(10%)；飽きっぽい人(3%)；飽きっぽい私(3%)</t>
        </is>
      </c>
      <c r="E59" t="inlineStr">
        <is>
          <t>気まぐれな；気ままな；長続きしない；多情な；無節操な</t>
        </is>
      </c>
      <c r="H59" t="n">
        <v>29</v>
      </c>
      <c r="I59" t="inlineStr">
        <is>
          <t>決して、犬だけを飽きっぽいと責めるわけにいかない普遍的現象である。；ロンドンの人間なんて飽きっぽいから、そのころには僕の噂なんて忘れてる。；子供の頃から飽きっぽい性格で、何をやっても長続きしなかった。；人間どもの飽きっぽさに比べると、悪魔たちの忍耐強さは驚異的であった。；その助手と鶏舎の監督をする健康な飽きっぽくない若い婦人を求めているのであった。；「基本的に飽きっぽくて同じ絵を繰り返し描くことができない」と本人が語っている。；彼が女に飽きっぽいように、いつ左恵子に見限られるか分らなかった。；ほかに多くのおいしい醜聞が発生したので、飽きっぽい世間の記憶から消えた。；けどな、子供が飽きっぽいってことを神さんは忘れてたんやろなあ。；作品によって絵柄が変わることがあるが、飽きっぽいからだという。；黒人との混血児には彼のような飽きっぽい性格が多いのだ、と。；細面の二枚目で、女の子に人気があり、飽きっぽい性格がその傾向を強くしていた。；その間、飽きっぽい私が飽きることなく一緒にいたのは、やっぱり好きだったんだと思います。；飽きっぽいためよく転居をするが、生まれて以来墨田区からは離れたことがないという。；もともとが飽きっぽい性格でもあるのですが、予備校へ入るために東京へ出て来てから、年に一度は決まって引っ越しをしています。；モメ事が好きで飽きっぽいって、こう嫌なやつなんですけど。；飽きっぽい人や運動不足の人のために作られた。；感受性豊かだと言われるが 、飽きっぽい性格を自覚している。；詩人と云う奴は飽きっぽいんでね。；これが犬の子を持って来て、すぐに飽いたのでしょう、捨てたらしい、これは飽きっぽい子ですから、とそう言うのです。；ではあのペーパーテストやらは何だったと言いたくもなるが、ハルヒらしい飽きっぽさが存分に発揮された結果がこれなんだろう。；ラセレーナの飽きっぽい執念の炎と、絶え間なく注ぎ込まれ続ける燃料。；なにごとも飽きっぽい彼女が、長与との対戦が流れたあとも、同じ興行の世界に関わりを持ち続けているのは不思議なことのように思えた。；水泳やピアノなど様々な習い事を経験したが飽きっぽい所があり、ある一定のレベルに達すると辞めては他のことに興味を持つということを繰り返していた。；沢山生える、何処にもあるからということが価値の標準となるとすれば、飽きっぽくて浅はかなのは人間それ自身なのではあるまいか。；単に飽きっぽいだけなんですけどね。；わては飽きっぽいのであかんとよういわれます。；女というものは、いくつになっても、子供のように飽きっぽいものでありましてな。；飽きっぽい私は仕事にもすぐ飽きるのである。</t>
        </is>
      </c>
      <c r="J59">
        <f>HYPERLINK("https://www.weblio.jp/content/飽きっぽい", "词义详情")</f>
        <v/>
      </c>
      <c r="K59">
        <f>HYPERLINK("https://yourei.jp/飽きっぽい", "查看例句")</f>
        <v/>
      </c>
    </row>
    <row r="60">
      <c r="A60" t="inlineStr">
        <is>
          <t>商い</t>
        </is>
      </c>
      <c r="B60" t="inlineStr">
        <is>
          <t>成功</t>
        </is>
      </c>
      <c r="C60" t="inlineStr">
        <is>
          <t>読み方：あきない
１売り買いすること。商売。「小口の—」
２売り上げ。「—が少ない」</t>
        </is>
      </c>
      <c r="D60" t="inlineStr">
        <is>
          <t>商い店；商い物；商いぶり；商い上手；商い船</t>
        </is>
      </c>
      <c r="E60" t="inlineStr">
        <is>
          <t>仕事；販売；事業；企業；営業</t>
        </is>
      </c>
      <c r="F60" t="inlineStr">
        <is>
          <t>大きな商い；荷商い；手広く商い；夜商い；一文商い</t>
        </is>
      </c>
      <c r="H60" t="n">
        <v>29</v>
      </c>
      <c r="I60" t="inlineStr">
        <is>
          <t>店の左手には上さんの商いなのか、わずかの柿を台に広げて売っている。；連れの商いを見ていてわかったのだが、人は信用というものをよく使う。；しかしこの企業、裏ではかなり強引な商いを行うことでも知られていた。；商いが複雑になり、そうしなければ伸びて行けない時勢だったのである。；当然商いにも隙が出来て、近ごろは店の客が少し減って来た気さえする。；アジェが最初に手がけたシリーズは路上で商いをする人々の写真である。；商いの道の先に、自分の足で歩くその道の先に、期待をしているのだ。；ちょっとしらべさせてもらったが別に商いで失敗があったようすもねえ。；だがいつの頃からか米商人になって、大名相手の手広い商いをしていた。；皆の手が出ないときにやってこそ、商いの妙味があるんじゃないかな。；古くから漁業の神でもあり、後に留守神、さらには商いの神ともされた。；既に背負っている商いも雇い人の数も、それは大きくなっているからだ。；そして富蔵兄いがやりたかった船の商いを、かならずわしがやってやる。；商いがなくていつも退屈している私は自然とお爺さんの話の相手となった。；どうしても商いの方に気が行き、家の整理整頓がつい疎かになるからだ。；寺との商いを始めて五年になるが、まだ住職には目通りができていない。；あるいは両方であったり、お得意を増やす商いのすべなのかも知れない。；朝商いから父親が帰って来る頃、漸く末の妹のおかよが起き出して来た。；レースの商いをやっているジョゼフ・アークハートと結ばれたのでした。；その日その日を食べていくのは、村々を訪れる商いでどうやら間にあう。；当初は兵たちの居住地だったのだが、後には大商いを行う市場町になった。；ここでは、酒類の販売に使う道具や、商いに関する資料を展示している。；しかも使った分は商いで稼ぐことができるが、伯耆の方はそうではない。；もっとも、人に感謝される商いは金銭以外に得るものもとても大きい。；たぶん、輸入業者の名前を印刷する仕事なんて、小さな商いに違いない。；それでも商いが立ちいかなくなったとみたとき、わたくしはある手を打ちました。；その郡へ行ってする商いの内容をちゃんと説明できなかった。；商いを学び、商売で成功しようなどとは、いちども考えたことがなかった。；わたしも買いだとは思っていたが、きみの商いを見て売りからはいることにした。</t>
        </is>
      </c>
      <c r="J60">
        <f>HYPERLINK("https://www.weblio.jp/content/商い", "词义详情")</f>
        <v/>
      </c>
      <c r="K60">
        <f>HYPERLINK("https://yourei.jp/商い", "查看例句")</f>
        <v/>
      </c>
    </row>
    <row r="61">
      <c r="A61" t="inlineStr">
        <is>
          <t>秋晴れ</t>
        </is>
      </c>
      <c r="B61" t="inlineStr">
        <is>
          <t>成功</t>
        </is>
      </c>
      <c r="C61" t="inlineStr">
        <is>
          <t>読み方：あきばれ
秋の、よく澄んで晴れ渡っている空のようす。秋の快晴。《季秋》「—や宇治の大橋横たはり／風生」</t>
        </is>
      </c>
      <c r="D61" t="inlineStr">
        <is>
          <t>秋晴れのいい天気；秋晴れのよい天気；秋晴れの美しい日；秋晴れの或</t>
        </is>
      </c>
      <c r="F61" t="inlineStr">
        <is>
          <t>秋晴れのいい；すばらしい秋晴れ；美しい秋晴れ</t>
        </is>
      </c>
      <c r="H61" t="n">
        <v>29</v>
      </c>
      <c r="I61" t="inlineStr">
        <is>
          <t>秋晴れの快い風を全身にうけ強い日ざしに目を細めながら二人は歩いた。；早春から立ちこめていた海霧が去って、底の抜けたような秋晴れが続く。；風もない穏やかな秋晴れに誘われて、ふたりは本殿のまえで手を合わせた。；秋晴れの一日に二階の八畳と六畳を開け放つて虫干しをされた。；秋晴れの空の下を織田の大軍はひしひしと近江の国へ進軍しつつあった。；外は理想的な秋晴れで、これでは撮影も快調に進行するだろう。；その日は秋晴れのいい天気で、正午をすこし廻った時刻だったと思う。；駅舎を出ると、頭の上には秋晴れの空が広がっていた。；秋晴れの空の下をようこはひゅるひゅると風を切って飛んでいる。；長雨や嵐の陰惨な時期がすぎると、やがて秋晴れの好天気がつづいた。；あるじの十内は、庭にいて、秋晴れの空の下で日課の槍を使っていた。；可也長い葬列はいつも秋晴れの東京の町をしずしずと練っているのである。；この今年一番の秋晴れに家のなかにいるのは大損害だ。；いつしか小兵衛は、秋晴れの空の下を、新堀川沿いの道へ出ていた。；彼は、秋晴れの千駄ケ谷を、散歩するような調子で、ゆっくり歩いた。；秋晴れの空と黄金色の田んぼを背景に紅の枠旗が練り歩く様は壮観である。；まるで本ものの秋晴れの空が頭上にあるように思われた。；長く続いていた秋晴れが急に崩れ、夜半から降りだした雨は朝になってもまだ降り続いていた。；明るい秋晴れの空が廊下の窓越しに見えた。；秋晴れのような明るさと澄んだ力のある手紙をいただいて大変大変うれしい。；この日はその雨があがって、まぶしいほどの秋晴れであった。；秋晴れというのはこの日のためにあるような晴天が、箱根一帯を覆っていた。；今回も私の行く三日前はみぞれになり、これでいよいよ冬かと町の人は覚悟したらしいが、私の行った日は見事な秋晴れだった。；気温はまだかなり高かったが、空はすでに秋のそれ、さわやかな秋晴れだ。；空はみごとな秋晴れに恵まれて、祭りはなかなかの活況を呈していた。；空はかすかに薄い雲を掃くだけで、まず気持ちよい秋晴れと言ってよかろう。；先生が大学を止められて大分してからのことであるが、秋晴れの或る日一緒に理研から大学まで行ったことがある。；当日は気持のいいほどの秋晴れであった。；秋晴れの美しい日だが、時折雲がかかって森の色を暗く染める。</t>
        </is>
      </c>
      <c r="J61">
        <f>HYPERLINK("https://www.weblio.jp/content/秋晴れ", "词义详情")</f>
        <v/>
      </c>
      <c r="K61">
        <f>HYPERLINK("https://yourei.jp/秋晴れ", "查看例句")</f>
        <v/>
      </c>
    </row>
    <row r="62">
      <c r="A62" t="inlineStr">
        <is>
          <t>明らか</t>
        </is>
      </c>
      <c r="B62" t="inlineStr">
        <is>
          <t>成功</t>
        </is>
      </c>
      <c r="C62" t="inlineStr">
        <is>
          <t>読み方：あきらか
［形動］［文］［ナリ］
１光が満ちて、明るく物を照らしているさま。曇りなく明るいさま。
「水の中に—な光線がさし透って」〈花袋・田舎教師〉
「夜深き月の—にさし出でて」〈源・椎本〉
２はっきりとしていて疑う余地のないさま。明白なさま。「火を見るよりも—だ」「失敗は—に彼の責任だ」「論点を—にする」
３道理に通じているさま。賢明である。
「まして—ならん人の、まどへる我等を見んこと」〈徒然・一九四〉
４心が晴れやかなさま。ほがらかである。
「むつかしくものおぼし乱れず、—にもてなし給ひて」〈源・若菜下〉</t>
        </is>
      </c>
      <c r="D62" t="inlineStr">
        <is>
          <t>明らかに不合理；明らかにしるさ；明らかに察せられる；明らかに側系統群</t>
        </is>
      </c>
      <c r="E62" t="inlineStr">
        <is>
          <t>当然；単純；明確；明るい；クリア</t>
        </is>
      </c>
      <c r="G62" t="inlineStr">
        <is>
          <t>明らかな対称性の破れ</t>
        </is>
      </c>
      <c r="H62" t="n">
        <v>29</v>
      </c>
      <c r="I62" t="inlineStr">
        <is>
          <t>しかしながら、発明の定義を法律の条文で明らかにしている国は少ない。；ファインマン・ダイアグラムを用いることでその事がより明らかになる。；同年に松田が病死し、原が後継となることは誰の目にも明らかとなった。；それ以外では登場人物は明らかな信じ難いことにも全く沈黙している。；しかしながらそれが具体的にどのような関係にあるのかはまだ明らかではない。；上記のような明らかな否定語以外にも、意味的に否定に近い語・表現もある。；賞の歴史上、以下の人物が受賞を辞退したことが明らかになっている。；しかし、これは戦争の限定された本質を明らかにしているに過ぎない。；主題として風景を扱うことは明らかに非古典的で、ありえないことだった。；ブログでは、現在の心境を綴った本を執筆中であることを明らかにした。；結婚はしていたが、土田の希望により妻の存在は明らかにしていなかった。；しかしその後、実際の歩幅はそれよりも小さいことが明らかになった。；これらのほとんどは、今日ではまったく効果がないことが明らかになっている。；応仁の乱後に幕府の衰退が明らかになると、朝廷との関係に変化が生じた。；熱がこもっていたのは明らかで、わずか44日ほどで完成をみている。；このような河合・蝋山の意見が委員会の大勢と対立することは明らかである。；チャトランガ系のゲームがいつごろ日本に伝わったのかは明らかになっていない。；その事実が明らかになったとき、GODの手にかかって姉妹は命を落とす。；維摩経は明らかに般若経典群の流れを引いているが、大きく違う点もある。；後にプリアモスの子であることが明らかとなって、王宮に迎えられた。；しかし、RGBとの対応関係をある程度明らかにすることは不可能ではない。；「雑種犬シリーズ」は後にやらせがあったことが明らかになっている。；実際にはロケットは真空中でも推進可能であり、明らかな誤解である。；それはこの部分の文体が13章までとはやや異なることなどから明らかである。；このままではヨルダンとシリアの戦争に発展してしまうことは明らかであった。；ウェールズ語がいつはっきりと別言語となってかは明らかではない。；決定がなされるまでに問題点は全て明らかになり、教団は決定の準備が完了する。；永井の作品のアニメは、明らかにロボットものを含めSF作品が多い。；そうこうしているうちに、ふたつのことが明らかになったという。</t>
        </is>
      </c>
      <c r="J62">
        <f>HYPERLINK("https://www.weblio.jp/content/明らか", "词义详情")</f>
        <v/>
      </c>
      <c r="K62">
        <f>HYPERLINK("https://yourei.jp/明らか", "查看例句")</f>
        <v/>
      </c>
    </row>
    <row r="63">
      <c r="A63" t="inlineStr">
        <is>
          <t>諦め</t>
        </is>
      </c>
      <c r="B63" t="inlineStr">
        <is>
          <t>成功</t>
        </is>
      </c>
      <c r="C63" t="inlineStr">
        <is>
          <t>田村俊子の小説。明治43年（1910）、大阪朝日新聞の懸賞小説に応募し、入選した作品。これにより著者は樋口一葉の再来と賞賛され、文壇デビューを果たした。</t>
        </is>
      </c>
      <c r="D63" t="inlineStr">
        <is>
          <t>諦めるしかない(4%)；諦めることなく(3%)；諦めるだろ；諦めるべき；諦めるかもしれ</t>
        </is>
      </c>
      <c r="E63" t="inlineStr">
        <is>
          <t>観念；断念；止める；降りる；終える</t>
        </is>
      </c>
      <c r="F63" t="inlineStr">
        <is>
          <t>諦めるよりほか；決して諦める；諦めるより外；諦めるより仕方；諦めるより他</t>
        </is>
      </c>
      <c r="H63" t="n">
        <v>29</v>
      </c>
      <c r="I63" t="inlineStr">
        <is>
          <t>だから相手と自分の欠点を諦めることができなかったのかもしれません。；それを恐ろしいと感じるよりも、諦める気持ちが大半を占め始めていた。；そこで二人は恋を邪魔するも、結果は逆効果で二人は諦めて大泣きした。；ここで、話すことを拒否しても、この男たちが諦めるとは思えなかった。；その記事を新聞で見て、私たちはこの冬の石炭はまず諦めることにした。；なるほど民子は私にそう云われて見れば自分の身を諦める外はない訳だ。；このような可能性が十分に残されているのに、諦めていいのだろうか。；私がブロックで遊ぶのを諦めると彼がかわりにブロックの山の前へ座った。；またフランスはかねてより求めていたアマゾン川の自由航行権を諦めた。；その間に新たな被害が出るかもしれない状況では、諦める以外に手は無い。；ほんの少しでも俺のことが好きでやったことなら俺も悪いと諦める。；諦めるしかないのはわかりきっていたが、どうしても諦めきれなかった。；発売当時プレイした低年齢層のほとんどは2面あたりで諦めたという。；なるほど民子は私にそう云われて見れば自分の身を諦める外はない訣だ。；これらの作品は商業的には振るわず、一度は女優の夢を諦めたかに見えた。；実際には戦争を止めてサウスカロライナの土地を諦めることも要求された。；蓮杖は注意したが外国人は応じず、蓮杖も諦めて撮影するようになった。；しかしこういう展開になってしまった以上、今日は諦めるしかないだろう。；ライバルであったスヴェンは諦めずに彼らの間には無数の闘争があった。；多恵子に最後は泣いて訴えたと聞き、純男はすべてを諦めることにした。；二回に一回は理由をつけてすぐに切ってしまうのだが、諦める様子はない。；それでもやっぱり最後は彼女の言うとおり、諦めることを繰り返している。；こうやって気がついていることをアピールできたら相手も諦めるはずです。；あいつには使えないはずの物を渡したからこそ、俺は諦めることができた。；四の四がそろわないからといって、あのロマリアが諦めるとは思えない。；彼女は遂に諦める気になって、もう自分の役割は終ったことを認めた。；新たに生まれる子の多くが障害を持っており、出産を諦める人もいた。；他の作家たちは出席許可を得なかったか、自分から諦めてしまった。；真九郎は治療を諦めると、重い体に鞭を打ち、場所を変えることにする。</t>
        </is>
      </c>
      <c r="J63">
        <f>HYPERLINK("https://www.weblio.jp/content/諦め", "词义详情")</f>
        <v/>
      </c>
      <c r="K63">
        <f>HYPERLINK("https://yourei.jp/諦め", "查看例句")</f>
        <v/>
      </c>
    </row>
    <row r="64">
      <c r="A64" t="inlineStr">
        <is>
          <t>諦める</t>
        </is>
      </c>
      <c r="B64" t="inlineStr">
        <is>
          <t>成功</t>
        </is>
      </c>
      <c r="C64" t="inlineStr">
        <is>
          <t>読み方：あきらめる
［動マ下一］［文］あきら・む［マ下二］もう希望や見込みがないと思ってやめる。断念する。「助からぬものと—・めている」「どしゃ降りで、外出を—・めた」
[用法]あきらめる・おもいきる——「進学をあきらめる（思い切る）」「あの人のことはなかなかあきらめられない（思い切れない）」のような場合は、相通じて用いられる。◇「あきらめる」は「優勝はあきらめる」「あきらめてすごすご帰る」のように、望んでもかなわないことがわかって、望むのをやめる意。これらの場合、「思い切る」は用いない。◇「思い切る」は、「思い切って発言する」「思い切ったデザイン」のように、積極的に行う、覚悟して行うの意がある。また、名詞形「思い切り」の形で「四十代半ばで会社をやめるとは思い切りがいい」のようにも用いる。これらの場合に「あきらめる」は用いない。◇類似の語に「断念する」がある。「法案の提出を断念する」のように、周囲の状況が悪くなったりして実行に移すのをやめる意で用いる。</t>
        </is>
      </c>
      <c r="D64" t="inlineStr">
        <is>
          <t>諦めるしかない(4%)；諦めることなく(3%)；諦めるだろ；諦めるべき；諦めるかもしれ</t>
        </is>
      </c>
      <c r="E64" t="inlineStr">
        <is>
          <t>観念；断念；止める；降りる；終える</t>
        </is>
      </c>
      <c r="F64" t="inlineStr">
        <is>
          <t>諦めるよりほか；決して諦める；諦めるより外；諦めるより仕方；諦めるより他</t>
        </is>
      </c>
      <c r="H64" t="n">
        <v>29</v>
      </c>
      <c r="I64" t="inlineStr">
        <is>
          <t>だから相手と自分の欠点を諦めることができなかったのかもしれません。；それを恐ろしいと感じるよりも、諦める気持ちが大半を占め始めていた。；そこで二人は恋を邪魔するも、結果は逆効果で二人は諦めて大泣きした。；ここで、話すことを拒否しても、この男たちが諦めるとは思えなかった。；その記事を新聞で見て、私たちはこの冬の石炭はまず諦めることにした。；なるほど民子は私にそう云われて見れば自分の身を諦める外はない訳だ。；このような可能性が十分に残されているのに、諦めていいのだろうか。；私がブロックで遊ぶのを諦めると彼がかわりにブロックの山の前へ座った。；またフランスはかねてより求めていたアマゾン川の自由航行権を諦めた。；その間に新たな被害が出るかもしれない状況では、諦める以外に手は無い。；ほんの少しでも俺のことが好きでやったことなら俺も悪いと諦める。；諦めるしかないのはわかりきっていたが、どうしても諦めきれなかった。；発売当時プレイした低年齢層のほとんどは2面あたりで諦めたという。；なるほど民子は私にそう云われて見れば自分の身を諦める外はない訣だ。；これらの作品は商業的には振るわず、一度は女優の夢を諦めたかに見えた。；実際には戦争を止めてサウスカロライナの土地を諦めることも要求された。；蓮杖は注意したが外国人は応じず、蓮杖も諦めて撮影するようになった。；しかしこういう展開になってしまった以上、今日は諦めるしかないだろう。；ライバルであったスヴェンは諦めずに彼らの間には無数の闘争があった。；多恵子に最後は泣いて訴えたと聞き、純男はすべてを諦めることにした。；二回に一回は理由をつけてすぐに切ってしまうのだが、諦める様子はない。；それでもやっぱり最後は彼女の言うとおり、諦めることを繰り返している。；こうやって気がついていることをアピールできたら相手も諦めるはずです。；あいつには使えないはずの物を渡したからこそ、俺は諦めることができた。；四の四がそろわないからといって、あのロマリアが諦めるとは思えない。；彼女は遂に諦める気になって、もう自分の役割は終ったことを認めた。；新たに生まれる子の多くが障害を持っており、出産を諦める人もいた。；他の作家たちは出席許可を得なかったか、自分から諦めてしまった。；真九郎は治療を諦めると、重い体に鞭を打ち、場所を変えることにする。</t>
        </is>
      </c>
      <c r="J64">
        <f>HYPERLINK("https://www.weblio.jp/content/諦める", "词义详情")</f>
        <v/>
      </c>
      <c r="K64">
        <f>HYPERLINK("https://yourei.jp/諦める", "查看例句")</f>
        <v/>
      </c>
    </row>
    <row r="65">
      <c r="A65" t="inlineStr">
        <is>
          <t>飽きる</t>
        </is>
      </c>
      <c r="B65" t="inlineStr">
        <is>
          <t>成功</t>
        </is>
      </c>
      <c r="C65" t="inlineStr">
        <is>
          <t>読み方：あきる
［動カ上一］《動詞「あ（飽）く」（四段）の上一段化。近世後期、江戸で使われはじめた語》
１多すぎたり、同じことが長く続いたりして、いやになる。「勉強に—・きた」「彼の長話に—・きた」
２十分に味わったり経験したりして、それ以上欲しくなくなる。「牛肉を—・きるほど食べたい」
３動詞の連用形に付いて、いやになるほど十分に…するの意を表す。「見—・きる」「聞き—・きる」→飽く</t>
        </is>
      </c>
      <c r="D65" t="inlineStr">
        <is>
          <t>飽きることなく(12%)；飽きるということ(3%)；飽きるだろ(3%)；飽きる事なく；飽きる程長い</t>
        </is>
      </c>
      <c r="E65" t="inlineStr">
        <is>
          <t>うむ；倦怠；うんざりする；飽く；倦む</t>
        </is>
      </c>
      <c r="F65" t="inlineStr">
        <is>
          <t>飽きるほど見；すぐ飽きる；すぐに飽きる；飽きるほど聞かさ；決して飽きる</t>
        </is>
      </c>
      <c r="H65" t="n">
        <v>29</v>
      </c>
      <c r="I65" t="inlineStr">
        <is>
          <t>槍や長柄刀は血ぬられたのを飽きるほど戦場で見たばかりだからである。；二人はそのほかには何もせず、どちらも飽きることがないようすだった。；人間は、たとえどんなに深刻なことでも、それに飽きることがありうる。；新聞を読み終わったらテレビをつけて飽きるまで画面を眺めている。；「それだったら、まずわたしに飽きるはずだわ」 後に長い沈黙が来た。；またそれから飽きるほど乘つて行くうちに、馬車はある川の岸へ出ました。；われわれはこれに陶酔して朝から晩まで飽きることなく見て見て見つづけた。；だから行くたびに少しずつ様相の変化があって飽きることがないのだそうだ。；確かに最初こそ驚きもすれ、何度も繰り返し使用されると、少々飽きる。；二度や三度続けて見ても、飽きるようなフィルムでは絶対になかった。；彼の期待に反して、女は愛のない結婚生活に順応して飽きる気配がない。；子供のころに思うような感傷を抱いて、飽きることなく見つめ続けた。；きみが飲む泉は、味わうだになしえざるうちに、早くも飽きる泉なるぞ。；いいじゃないか、きっと気分を変えたいんだろ、すぐ飽きるはずだから。；読むのに飽きると仕方なく外に出て、ふらふらとそこら中を歩きまわる。；それらは軽い本だから、枕頭にそなえておけば寝ていて飽きることはない。；まるで砂が水を吸うように、美和子は飽きることなく洋書を読み続けた。；静かにその音をきいていると、時の経つのを忘れ飽きることがない。；まるで飽きるほどこの部屋に出入りしているかのようである。；それは、芋粥を飽きる程飮んで見たいと云ふ異常な欲望だつたのである。；動くのに飽きると、じっと座って真っ暗な外を見つめたりしていたのだろうか。；だが、絶望よりも先に、飽きるよりも先に、新たな変化はやってきた。；特になんでもない眺めだというのに、この赤い街は見ていて少しも飽きることがない。；酒に飽きると、稀に彼は母の家をのぞいたが、一時間も居ずに引き返した。；集めても手に入れた時点で飽きる確率が高いので保管とかはいい加減です。；それに飽きると今度は姉の夫をすぐバット細工の友達にして仕舞った。；おそらく一生かいていてもこれらの「物」に飽きるような事はあるまいと思う。；すると彼女もまた、それを飽きることなく聞いているようだった。；食事にこと欠くこともなく、会社の専用機にも飽きるほど乗れるだろう。</t>
        </is>
      </c>
      <c r="J65">
        <f>HYPERLINK("https://www.weblio.jp/content/飽きる", "词义详情")</f>
        <v/>
      </c>
      <c r="K65">
        <f>HYPERLINK("https://yourei.jp/飽きる", "查看例句")</f>
        <v/>
      </c>
    </row>
    <row r="66">
      <c r="A66" t="inlineStr">
        <is>
          <t>呆れる</t>
        </is>
      </c>
      <c r="B66" t="inlineStr">
        <is>
          <t>成功</t>
        </is>
      </c>
      <c r="C66" t="inlineStr">
        <is>
          <t>読み方：あきれる
［動ラ下一］［文］あき・る［ラ下二］あまりに意外なことに驚く。あっけにとられる。唖然(あぜん)とする。「—・れてものが言えない」「—・れるほどよく食べる」</t>
        </is>
      </c>
      <c r="D66" t="inlineStr">
        <is>
          <t>呆れるほかない；呆れるような笑顔</t>
        </is>
      </c>
      <c r="E66" t="inlineStr">
        <is>
          <t>絶句する；言葉を失う；呆れ返る；フリーズする；開いた口が塞がらない</t>
        </is>
      </c>
      <c r="F66" t="inlineStr">
        <is>
          <t>驚き呆れる；呆れるしかない；少し呆れる；半ば呆れる；やら呆れる</t>
        </is>
      </c>
      <c r="H66" t="n">
        <v>29</v>
      </c>
      <c r="I66" t="inlineStr">
        <is>
          <t>和蘭語でも何でも自由に読むといって呆れたような顔をして余に語った。；二人の年齢差を考えれば、皆が驚き呆れるであろうことはわかっていた。；この期に及んで、まだ条件などと言っていられる神経の太さには呆れる。；かつ顔に似合わない思切った皮肉や毒口を連発するには呆れてしまった。；まったく何を考えているんだこの人たちは、と、もはや呆れるしかない。；殆どわたくしは火星へ移住しますとでも云ったのと同じ位に呆れたらしい。；「あ」自分でもこれはないんじゃないかと呆れるほど情けない声が出た。；ひげ面の人のよさそうな隊長は、現れた人影を見て呆れた声をあげた。；私がこんなことを思っていると知ったら、きっと彼らは呆れるだろう。；それゆえ負担のないおまえは呆れながらも「光栄ですわ」と言えたのだ。；おげんは意外な結果に呆れて、皆なの居るところへ急いで行って見た。；町のすぐそばに、こんなものを作った大胆不敵さには、呆れるしかない。；侍医たちが驚き呆れるなかで、またも伝説は本当のこととなったのです。；妻や3人の子どもがいるが、家族からはほぼ呆れられていると語っている。；誰が聞いても呆れるほどだが、男としての魅力がある奴には違いなかった。；私はこの犬の鉄面皮には、ひそかに呆れ、これを軽蔑さえしたのである。；私との恋の危険をお知りになって、さぞかし呆れられたことでしょう。；山狂いの多い雪稜会の中でも、他の会員が呆れるほどに山へ入り浸った。；私は多くの人の勝手に呆れながらも先生への愛感に引きづられて、出席した。；この「こんな風にして歩いちゃ可笑しいだろうか」が、彼を呆れさせた。；商人たちからして、こんなに沢山人の出たことはねえって呆れていたよ。；胸壁の上にいた見物人が、走り過ぎる彼らを呆れたように見守っていた。；なんと物の恐ろしさに怯えぬ人たちの多いことかと呆れざるを得ない。；短く切ってある髪を別にして、まったく呆れるぐらい奇麗な女の子だった。；それはうんざりするほどの長い時間と、呆れるほど莫大な費用がかかる。；こんな処へ御同行は、見た事、聞いた事もない、と呆れた、がまた吃驚。；呆れるとかならまだしも、悲しそうな顔をするのはやめていただきたい。；車を運転していた父親は、あれは炭焼きだな、と呆れたようにいった。；そして来たほどの者が、すべて事の真相が反対なのに驚き呆れない者はない。</t>
        </is>
      </c>
      <c r="J66">
        <f>HYPERLINK("https://www.weblio.jp/content/呆れる", "词义详情")</f>
        <v/>
      </c>
      <c r="K66">
        <f>HYPERLINK("https://yourei.jp/呆れる", "查看例句")</f>
        <v/>
      </c>
    </row>
    <row r="67">
      <c r="A67" t="inlineStr">
        <is>
          <t>開く</t>
        </is>
      </c>
      <c r="B67" t="inlineStr">
        <is>
          <t>成功</t>
        </is>
      </c>
      <c r="C67" t="inlineStr">
        <is>
          <t>読み方：あく
［動カ五（四）］
１（開く）
㋐隔て・仕切り・覆いなどが、動かされて除かれる。閉じていたものがひらく。「窓が—・く」「鍵(かぎ)が—・かない」⇔閉まる。
㋑営業が始まる。営業が行われる。「店は何時まで—・いていますか」⇔閉まる。
㋒開票がはじまる。「票が—・く」
２（明く）
㋐衣服の襟などが、ひらかれている。「この服は襟ぐりが—・きすぎている」
㋑閉じていた目や口がひらいた状態になる。「小犬の目が—・く」
㋒物忌みや契約などの、一定の期間が終わる。「喪が—・く」「年季が—・く」
３（空く）今までそこを占めていたもの、ふさいでいたものが、除かれたり、なくなったりする。
㋐穴ができる。「胃壁に穴が—・く」
㋑そこにいた者やあった物がなくなり、からになる。「—・いている部屋はありますか」「席が—・く」
㋒空間・空白・余地ができる。間隔が広がる。「行間が—・いている」
㋓器の中のものが全部使われてからになる。「瓶が—・く」「—・いた銚子をかたづける」
㋔仕事が終わり、暇になってゆとりができる。「からだが—・く」「手が—・く」
㋕用が済んで、当面使わなくなる。「—・いたら貸してください」
㋖欠員になる。「課長のポストが—・く」
４（開く）あける。「口を—・く」
[補説]2㋑は「開く」、3は「明く」とも書く。
［動カ下二］「あける」の文語形。
[下接句]穴のあくほど・片目が明く・地獄の釜(かま)の蓋(ふた)も開く・手が空く・手が空けば口が開く・幕が開く・水が空く・埒(らち)が明く</t>
        </is>
      </c>
      <c r="D67" t="inlineStr">
        <is>
          <t>開くべき；開くべく；開くよう要求；開く間もなく；開くよう命じ</t>
        </is>
      </c>
      <c r="E67" t="inlineStr">
        <is>
          <t>与える；オープン；開ける；主催する；催す</t>
        </is>
      </c>
      <c r="F67" t="inlineStr">
        <is>
          <t>ゆっくりと開く；花開く；再び開く</t>
        </is>
      </c>
      <c r="H67" t="n">
        <v>29</v>
      </c>
      <c r="I67" t="inlineStr">
        <is>
          <t>このような場所も縁はなかったなと思いながら、鉄の門を開こうとする。；仕方なく待つことにしたが、二人の女性はまったく口を開こうとしない。；駅はカーブ区間に設置されているため、車両とホームの間に隙間が開く。；メニュー画面を開くと、現在どこにいるのかが表示されるようになった。；日本でも人気は高く、年末になると各地で第九のコンサートが開かれる。；それから本ばかり読んでいて、なかなか他人に心を開こうとしなかった。；停車列車はすべてワンマン運転であるが、当駅ではすべてのドアが開く。；マグマの中を自由に泳ぎまわり、さらにはその中で口を開くことが可能。；蓋には遺体の顔を見られるように専用の蓋で開く小窓がついている事が多い。；傘を開くときは周囲に人がいない方に向けて、危険のないように注意する。；だが、母は微かに首を横に振っただけで、やはり口を開こうとはしない。；世界は開かれている傾向があり、光と隠れていないことの側に立つ。；ホームの信濃町寄りは曲線区間にあり、電車との隙間が広く開いている。；やがて、どうやらだれひとりとして口を開こうとしないとわかってきた。；蜂起と並行して第二回全国労働者・兵士代表ソヴィエト大会が開かれた。；ドアは前方のヒンジを軸にして上方に開くシザーズドアを採用している。；あんたがさらに論争しようと口を開こうとしているのはわかっている。；絵が得意で個展を開いたり、かつて経営していたカフェにも飾っていた。；そして爆撃で滑走路に開いた穴はその日のうちに埋め戻してしまった。；私がすぐ口を開こうとすると、アクロイド氏は手をあげてそれを制した。；ホームはカーブしており、電車とホームの間が開いている箇所がある。；明日の会議は10月30日に空爆か侵攻を行うかで開かれる予定であった。；二人が蜜柑畑の中の畔に腰を下ろして、割籠を開こうとしたときだった。；この出来事を境に、コカ・コーラとの差が大きく開いていくこととなった。；秋刀魚を開きは背から開くもの、腹から開くものと地方によって異なる。；生殖孔は最後の葉足の間の腹面中央か、もう一つ前の葉足の間に開く。；その重しのせいで、このページは開こうとする力を今だに維持している。；奇数番号車のドアは品川方に向かって開き、偶数番号車はこの逆に開く。；以前のように集会を開いて練り歩くことのできない場所となっている。</t>
        </is>
      </c>
      <c r="J67">
        <f>HYPERLINK("https://www.weblio.jp/content/開く", "词义详情")</f>
        <v/>
      </c>
      <c r="K67">
        <f>HYPERLINK("https://yourei.jp/開く", "查看例句")</f>
        <v/>
      </c>
    </row>
    <row r="68">
      <c r="A68" t="inlineStr">
        <is>
          <t>空く</t>
        </is>
      </c>
      <c r="B68" t="inlineStr">
        <is>
          <t>成功</t>
        </is>
      </c>
      <c r="C68" t="inlineStr">
        <is>
          <t>読み方：あく
［動カ五（四）］
１（開く）
㋐隔て・仕切り・覆いなどが、動かされて除かれる。閉じていたものがひらく。「窓が—・く」「鍵(かぎ)が—・かない」⇔閉まる。
㋑営業が始まる。営業が行われる。「店は何時まで—・いていますか」⇔閉まる。
㋒開票がはじまる。「票が—・く」
２（明く）
㋐衣服の襟などが、ひらかれている。「この服は襟ぐりが—・きすぎている」
㋑閉じていた目や口がひらいた状態になる。「小犬の目が—・く」
㋒物忌みや契約などの、一定の期間が終わる。「喪が—・く」「年季が—・く」
３（空く）今までそこを占めていたもの、ふさいでいたものが、除かれたり、なくなったりする。
㋐穴ができる。「胃壁に穴が—・く」
㋑そこにいた者やあった物がなくなり、からになる。「—・いている部屋はありますか」「席が—・く」
㋒空間・空白・余地ができる。間隔が広がる。「行間が—・いている」
㋓器の中のものが全部使われてからになる。「瓶が—・く」「—・いた銚子をかたづける」
㋔仕事が終わり、暇になってゆとりができる。「からだが—・く」「手が—・く」
㋕用が済んで、当面使わなくなる。「—・いたら貸してください」
㋖欠員になる。「課長のポストが—・く」
４（開く）あける。「口を—・く」
[補説]2㋑は「開く」、3は「明く」とも書く。
［動カ下二］「あける」の文語形。
[下接句]穴のあくほど・片目が明く・地獄の釜(かま)の蓋(ふた)も開く・手が空く・手が空けば口が開く・幕が開く・水が空く・埒(らち)が明く</t>
        </is>
      </c>
      <c r="D68" t="inlineStr">
        <is>
          <t>空くんです</t>
        </is>
      </c>
      <c r="E68" t="inlineStr">
        <is>
          <t>空；無人；空虚；うつろ；空っぽ</t>
        </is>
      </c>
      <c r="F68" t="inlineStr">
        <is>
          <t>以上空く</t>
        </is>
      </c>
      <c r="H68" t="n">
        <v>29</v>
      </c>
      <c r="I68" t="inlineStr">
        <is>
          <t>また作品完結からヒットし映画化されるのにかなりの時間が空いている。；時間が空いたら石と木を用いて投げ槍などの道具類を作ることに従事する。；一人退院してベッドが空くとその日か、翌日には新しい患者が入院する。；台所の柱に節穴が空いているんだが、そいつを見つけたらこう言うんだ。；おなかの空くことは、昔は母親が心配して何とか食べさせて行けました。；その座が空く日は近いと思われながらもう数十年経っていると言われている。；この場合も列の先頭のボールの移動先が空いている場合に限られる。；元の生活に戻ったケリーだったが、心に空いた隙間が埋まることはない。；装身などに用いる穴の空いた玉自体はそれ以前から、世界各地にあった。；四国ステージ的には二冊目ですが空々空くんの冒険はまだ続くようです。；村内では道端などでも空いているスペースがあれば、植物の栽培に使う。；夏の渋滞路を走行中ラジエターに穴が空いた事例が多数報告されている。；路線別に区別はされていないので、空いているホームに到着することになる。；カイの留学先だったパリの服飾学校の枠が一つ空いたままであったからだ。；シャシーは最初から空いている穴のみで、新たにあけることはできない。；数ヶ月も時間が空くと、君たちの社会では復帰が難しいんじゃないか?；通路に屯営して卓子の空くのを狙っている伊太利人の家族伴れがあった。；そのため、空いていた武がダイタクヘリオスに起用されるに至っている。；ホーム全体がカーブに面しており、電車とホームの間がかなり空いている。；土地と店舗が空いたため、妻の藤森晶子は新たな商売を開こうと考える。；担当医師が不満なときは受け持ち数が空いている医師に無料で変更できる。；体には左右で対になるようにいくつかの黒い穴が空いている。；「どんな話をしましたか」 「そうですねえ」 考えるほどの間が空く。；指先が空いているため厚手であっても指先の感覚が鈍くなることはない。；大小の穴が空いた平たい棒を、レンズの前もしくは中で上下させる方式。；お腹が空くころになれば、ころりと忘れて帰ってくるのがふつうだった。；まだ1つ空いていた地位が遠征船エンデュアランスの船長の職だった。；その席が空いていなくても、空くまで待って、必ずその席に移動した。；なおその縁の一部分が穴の空いたざる状になっているものもある。</t>
        </is>
      </c>
      <c r="J68">
        <f>HYPERLINK("https://www.weblio.jp/content/空く", "词义详情")</f>
        <v/>
      </c>
      <c r="K68">
        <f>HYPERLINK("https://yourei.jp/空く", "查看例句")</f>
        <v/>
      </c>
    </row>
    <row r="69">
      <c r="A69" t="inlineStr">
        <is>
          <t>悪～</t>
        </is>
      </c>
      <c r="B69" t="inlineStr">
        <is>
          <t>成功</t>
        </is>
      </c>
      <c r="C69" t="inlineStr">
        <is>
          <t>読み方：あく
［音］アク（呉）（漢）オ（ヲ）（漢）　［訓］わるいあし　にくむ
［学習漢字］3年
〈アク〉
１正しくない。わるいこと。「悪意・悪質／改悪・害悪・旧悪・凶悪・極悪・最悪・罪悪・邪悪・醜悪」
２不快な。いやな。「悪臭・悪感情」
３よい状態にない。上等でない。「悪衣・悪食・悪筆／粗悪・劣悪」
〈オ〉
１不快に思う。にくむ。「嫌悪・好悪・憎悪」
２気分がむかむかする。「悪寒・悪阻(おそ)」
〈わる〉「悪気(わるぎ)・悪口／性悪(しょうわる)」
［難読］悪戯(いたずら)・悪阻(つわり)</t>
        </is>
      </c>
      <c r="H69" t="n">
        <v>0</v>
      </c>
      <c r="J69">
        <f>HYPERLINK("https://www.weblio.jp/content/悪～", "词义详情")</f>
        <v/>
      </c>
      <c r="K69">
        <f>HYPERLINK("https://yourei.jp/悪～", "查看例句")</f>
        <v/>
      </c>
    </row>
    <row r="70">
      <c r="A70" t="inlineStr">
        <is>
          <t>悪質</t>
        </is>
      </c>
      <c r="B70" t="inlineStr">
        <is>
          <t>成功</t>
        </is>
      </c>
      <c r="C70" t="inlineStr">
        <is>
          <t>読み方：あくしつ
［名・形動］
１品物などが粗悪なこと。また、そのさま。「—な貨幣」⇔良質。
２たちが悪いこと。また、そのさま。「—ないたずら」</t>
        </is>
      </c>
      <c r="D70" t="inlineStr">
        <is>
          <t>悪質な場合(3%)；悪質ないたずら(3%)；悪質な業者；悪質な行為；悪質業者</t>
        </is>
      </c>
      <c r="E70" t="inlineStr">
        <is>
          <t>悪い；悪；不良；下位；粗末</t>
        </is>
      </c>
      <c r="F70" t="inlineStr">
        <is>
          <t>悪質な犯行；悪質な違反；悪質な手口；悪質な妨害；悪質な噂</t>
        </is>
      </c>
      <c r="G70" t="inlineStr">
        <is>
          <t>悪質商法；悪質リフォーム；悪質なファール</t>
        </is>
      </c>
      <c r="H70" t="n">
        <v>29</v>
      </c>
      <c r="I70" t="inlineStr">
        <is>
          <t>自分がいかに悪質な環境にいるかを、デヴィッドは認識していなかった。；多くの人がここで、非常に悪質のパンを作るために、草の実を集めていた。；彼らによれば、まともな商人は悪質の品を倍の値で買うことはしない。；主に特別調査班での無通知調査、悪質・困難な納税者の調査を担当する。；凌辱というよりも悪質な破壊と傷害の行為に及ぶことへの抵抗である。；ところがここに、住民たちの不安に油をそそぐような悪質な事件が起きた。；彼はロボットの悪質な笑顔が好きであり、それをビュッセマに見せた。；かくまで悪質なタクラミをなす彼らであるとは思い至らなかったのである。；また子供は保護権の悪用も加わり、これらは悪質さの典型・象徴となる。；気弱でお人好しで正直ものの彼に悪質の悪さができるはずもなかった。；とくに悪質な後遺症が出なければ、その日のうちにも帰国許可が出るだろう。；このため、懲戒免職となるのはきわめて悪質なケースに限られている。；世の中には、自分の信ずる神以外は、すべて悪質だと信じている者が多い。；これに関連して、継続的な悪質ないじめで、訴訟沙汰になった例もある。；この事件があってから数日後、私の会社で悪質ないたずらが起きた。；ただ、それは人の世のことであるし、なによりもっと悪質な事実がここにある。；悪質業者のほとんどは認可を受けておらず、従業員は10人以下だった。；ぼくはまえに、きみよりもっと悪質な女麻薬業者を助けたことがある。；この文書は悪質だが、それでも読んでひっかかった方が悪いといえばいえる。；百成は砂馬のことを俺に、生かしちゃおけねえ悪質な人間だと言った。；悪質な場合や請求された罰金を不払いの場合、警察への通報も行われる。；その後は非常に悪質な故意殺人に対してのみ死刑制度が存置されていた。；特に悪質な場合には労働基準監督官に告訴状が提出されることもある。；結局人形は後に撤去され、町では「悪質ないたずら」と判断されてしまう。；妨害が悪質であると見なされた場合、その選手は試合から排除される。；だが、さらに悪質な要素が急速に兵員室をたえがたいものにしつつあった。；ホテルのスタッフが出てきて悪質ないたずらだったと説明した。；悪質な冗談とも思えないそんな戯言を、どこの誰が信じると言うのだろうか?；しかし、商行為が悪質とされた企業が告発されるなどの問題も発生している。</t>
        </is>
      </c>
      <c r="J70">
        <f>HYPERLINK("https://www.weblio.jp/content/悪質", "词义详情")</f>
        <v/>
      </c>
      <c r="K70">
        <f>HYPERLINK("https://yourei.jp/悪質", "查看例句")</f>
        <v/>
      </c>
    </row>
    <row r="71">
      <c r="A71" t="inlineStr">
        <is>
          <t>握手</t>
        </is>
      </c>
      <c r="B71" t="inlineStr">
        <is>
          <t>成功</t>
        </is>
      </c>
      <c r="C71" t="inlineStr">
        <is>
          <t>読み方：あくしゅ
［名］(スル)
１互いに手を握り合うこと。あいさつや、親愛の情、喜びの表現として行う。「初対面の—を交わす」
２仲直りをすること。また、協力すること。「新薬開発のため両社が—する」</t>
        </is>
      </c>
      <c r="D71" t="inlineStr">
        <is>
          <t>握手する(7%)；握手会；握手しよ；握手をしよ；握手攻め</t>
        </is>
      </c>
      <c r="E71" t="inlineStr">
        <is>
          <t>ハンドシェーク</t>
        </is>
      </c>
      <c r="F71" t="inlineStr">
        <is>
          <t>固く握手；とも握手；個別握手；こめて握手；軽く握手</t>
        </is>
      </c>
      <c r="G71" t="inlineStr">
        <is>
          <t>握手会参加券；握手券；握手でグッバイ</t>
        </is>
      </c>
      <c r="H71" t="n">
        <v>29</v>
      </c>
      <c r="I71" t="inlineStr">
        <is>
          <t>握手の会が行われても被害者はその後もいじめられるようになるとする。；彼は通りかかった一人の婦人の方へ行って、握手をして、笑顔を見せた。；ヴァージニアは彼女が死んでいることを意識しながら彼女と握手をする。；カルテンとも握手をした後、四人は階段を上がって騎士館の中へ入った。；勝ったチームも、抱き合うなどして喜びを表現する前に相手と握手する。；しかし感動したその握手は、クリストフと同様に感じてることを示した。；さて、お母さんと涙をこらえて挨拶をして、お父さんとは握手のお別れ。；彼はすぐにも飛んで帰って、唐崎さんと握手をしたくてたまらなかった。；唯、君が或る処へ行って、或る人間とピッタリ握手するだけでいいのだ。；氷のような冷たさと形式ばった丁重さが、私の心をこめた握手に答えた。；長身の博士が大股で三根夫のほうへ歩いてきて、大きな手で握手をした。；ある人物と握手をしようとする時にチェザーレはこれを指にはめるのじゃ。；私は別れを惜んで夫人達と握手しながら、頻りに感傷的な気持になつた。；そこへ塩野は気軽に二人の傍へ近より板についた賑やかな握手をした。；その痛みのために握手するのを拒むこともあったと言われている。；僕は現在時と場合によつて帽子を脱ることもあれば、握手することもある。；二人の握手には、他人の前では口に出せぬもろもろの思いがこめられていた。；お前は死を抱擁しないまでも、少なくとも月に一遍はそれと握手する。；日本で握手会とされているイベントはミートアンドグリートに近い。；彼はこの若者の革ほどに固い手を取り、いたく心のこもった握手をする。；私たちはこんなやつのためにこんな事が起こるために握手をしてるわけじゃなかったはずです。；アメリカ人の握手攻めの大歓迎は、余程のことがないと行われません。；食事に招いたり握手をしたりすることで報酬を済ましたつもりでいた。；そこへ、力皇猛が目的が同じことを理由に共闘に応じ、丸藤と握手した。；中央の楕円で握手している二つの手はアルゼンチンの諸州の連合を象徴している。；「もう一度握手しませう」 と、彼女は云つて、思はず右手を差出した。；居合わせた全員が無言であり、ただ握手を交わすのみであったという。；彼らは握手をすることで意思の伝達ができるため、会話をすることもないという。；それはそうと姉さんはマッシャに握手をしておやりなさいましたね。</t>
        </is>
      </c>
      <c r="J71">
        <f>HYPERLINK("https://www.weblio.jp/content/握手", "词义详情")</f>
        <v/>
      </c>
      <c r="K71">
        <f>HYPERLINK("https://yourei.jp/握手", "查看例句")</f>
        <v/>
      </c>
    </row>
    <row r="72">
      <c r="A72" t="inlineStr">
        <is>
          <t>アクセル</t>
        </is>
      </c>
      <c r="B72" t="inlineStr">
        <is>
          <t>成功</t>
        </is>
      </c>
      <c r="C72" t="inlineStr">
        <is>
          <t>読み方：あくせる
フランスの劇作家リラダンによる詩劇。著者没後の1890年に刊行。</t>
        </is>
      </c>
      <c r="D72" t="inlineStr">
        <is>
          <t>アクセルワーク；アクセル操作；アクセルをふかし；アクセルを踏み続け；アクセルを踏む足</t>
        </is>
      </c>
      <c r="E72" t="inlineStr">
        <is>
          <t>加速装置；アクセラレーター；素粒子加速器</t>
        </is>
      </c>
      <c r="F72" t="inlineStr">
        <is>
          <t>思いきりアクセル；アクセルをふみ込む；アクセルをふみ込ん；アクセルを踏み間違え；アクセルフォーム</t>
        </is>
      </c>
      <c r="G72" t="inlineStr">
        <is>
          <t>アクセルロッド；アクセル・ローズ；アクセル・ワールド；アクセルワン；アクセル全開</t>
        </is>
      </c>
      <c r="H72" t="n">
        <v>29</v>
      </c>
      <c r="I72" t="inlineStr">
        <is>
          <t>あるいは乗員は体重移動をせずにアクセルの操作のみで行う方法もある。；バンド復帰とも推測されたが、アクセルとの関係は修復されなかった。；その足は強くアクセルを踏みつけ、その眼は道の前方を見つめていた。；真ん中にアクセルがある車は、ほかにもたくさんあるということだった。；その走りぶりはアクセルを踏み込んだ時の加速力からしてもうかがえる。；スポーツ・モードに対してアクセル・レスポンスが増したモードである。；しかし初級職である筈のアクセルには、実は彼も知らなかった秘密があった。；彼はその後姿を見送りながら、アクセルを踏んで事故車のそばを離れた。；アクセルはなぜ自分はまだ生きているのか不思議に思った。；仰臥位の場合は踵の下に手をおき、アクセルを踏むように足を底屈する。；奇妙な達成感と興奮が湧いてきて、アクセルを踏む足さえも微かに震えた。；その後、目を覚ましたアクセルから分裂し、以後は共に行動している。；同作の主人公の1人ホークはアクセルに似た格闘スタイルをしている。；世界選手権のFSでは3回転アクセルをISU主催の大会で初成功した。；低回転でのアクセルレスポンスと高回転での圧倒的なパワーの伸びを実現した。；アクセルは歴史上マイクを握ったフロントマンのなかでも最高のひとりだよ。；アクセルを除いた5種類の3回転ジャンプを今まで競技会で用いている。；小さなエンジンでも、アクセルを踏み続けていれば規定以上のスピードは出る。；雷はしゃにむにアクセルを踏みつけ、ただ前へ前へと地上車を突進させた。；そしてアクセルを踏んでもいないのにスピードがあがっていく。；運転手がいきなりアクセルを踏んだらしく、彼はうしろへころがった。；全日本ジュニア選手権では3回転アクセルを初めて成功させ初優勝となった。；「そいつを先に言ってもらいたかったな」 運転手はアクセルに右足を移した。；「それじゃあ、アクセル」と教授が聞きなれない声を出して言った。；運転手はこれまでどおりにアクセルを踏みながら、後部座席の客に声をかけた。；充分にいらいらさせておいてから、ぼくは、アクセルを開き、回転をあげた。；アクセルを踏む足が、ステアリングを握る手がどうしようもなく震えた。；アクセルをわずかにゆるめ、すぐ横を走っている男に質閲しようと口を開きかけた。；木刀とアクセル・グリップを右手でいっしょに持ち、ぼくは合図を待った。</t>
        </is>
      </c>
      <c r="J72">
        <f>HYPERLINK("https://www.weblio.jp/content/アクセル", "词义详情")</f>
        <v/>
      </c>
      <c r="K72">
        <f>HYPERLINK("https://yourei.jp/アクセル", "查看例句")</f>
        <v/>
      </c>
    </row>
    <row r="73">
      <c r="A73" t="inlineStr">
        <is>
          <t>悪天候</t>
        </is>
      </c>
      <c r="B73" t="inlineStr">
        <is>
          <t>成功</t>
        </is>
      </c>
      <c r="C73" t="inlineStr">
        <is>
          <t>読み方：あくてんこう
風雨などがひどく、荒れた天候。悪天。「—のため豊作が危ぶまれる」</t>
        </is>
      </c>
      <c r="D73" t="inlineStr">
        <is>
          <t>悪天候時(7%)；悪天候下(3%)</t>
        </is>
      </c>
      <c r="E73" t="inlineStr">
        <is>
          <t>天候不順；天候不良；悪天</t>
        </is>
      </c>
      <c r="F73" t="inlineStr">
        <is>
          <t>どんな悪天候</t>
        </is>
      </c>
      <c r="H73" t="n">
        <v>29</v>
      </c>
      <c r="I73" t="inlineStr">
        <is>
          <t>第二段階では光学装置と悪天候時の試験で決定された仕様が評価された。；何度か敵との接触はあったものの悪天候のため攻撃することはできなかった。；これまで悪天候での一部中止はあったものの、完全な中止は初となる。；その後クックはこの諸島へ向かったが悪天候のため上陸はできなかった。；強い風と雪という悪天候の中、南稜と南西面を経由して山頂に到達した。；しかし、これらの計画は、技術的な問題と悪天候のために中止された。；悪天候で視界がよくない場合には、これらの安全装置は特に有用である。；しかしながら悪天候のため飛行は行われず、屋内展示されるに留まった。；原因は公表されていないが、当時は空港連絡橋が閉鎖される程の悪天候であった。；もちろん、この季節、悪天候の海が危険なことはいうまでもなかった。；人類は悪天候の獣だと、ある生態学者が一度いったことはなかったか?；このような悪天候ではスクーナー船は海に出られないものと思わねばならない。；捕鯨船内では、自殺したとか悪天候で船から転落したらしいと言っていた。；その順位のまま再び赤旗が振られ、レースは悪天候のため中止となった。；強風や悪天候の場合は、船から降りずそのまま通過してしまうこともあった。；潜水隊も派遣されていたが悪天候のため海中の捜索はできなかった。；彼らは悪天候になると、それを引き起こしたクルシェドラと戦うという。；当初は飛行部門も披露されるはずだったが、悪天候により急遽中止された。；但し、悪天候など、航空会社に非がなかった場合にはその限りではない。；地理的に隔絶された地域への食料の輸送作業は悪天候のため、難航した。；しかし悪天候のために2人は遭難し、基地へ帰りつくことはできなかった。；悪天候の場合に脱出しやすい低さだし、何が起っても大丈夫なほどの高さだ。；事故当時の状況は暗い夜と悪天候で視界が悪く、計器飛行を行う状態であった。；運転手たちにとっては勝手知ったる道だったことから悪天候でも問題なく走行できた。；悪天候の中での離陸の際に間違った滑走路に進入して作業車両と衝突した。；悪天候に苦労しながらの海戦は、決着がつかないまま物別れに終わった。；また、悪天候の中で、このような船に千人もの乗客を乗せて運行させたことも批判した。；悪天候で中止も検討される中、激しい雨に打たれながらライブを決行する。；しかしどんな悪天候の日であっても、その黒雲の上には必ず太陽が輝いているのだ。</t>
        </is>
      </c>
      <c r="J73">
        <f>HYPERLINK("https://www.weblio.jp/content/悪天候", "词义详情")</f>
        <v/>
      </c>
      <c r="K73">
        <f>HYPERLINK("https://yourei.jp/悪天候", "查看例句")</f>
        <v/>
      </c>
    </row>
    <row r="74">
      <c r="A74" t="inlineStr">
        <is>
          <t>あくどい</t>
        </is>
      </c>
      <c r="B74" t="inlineStr">
        <is>
          <t>成功</t>
        </is>
      </c>
      <c r="C74" t="inlineStr">
        <is>
          <t>［形］［文］あくど・し［ク］
１程度を超えてどぎつい。やり方が行きすぎてたちが悪い。「—・い宣伝」「—・い商売」
２色や味などがしつこい。「化粧が—・い」「柄(がら)がけばけばしくて—・い」
[派生]あくどさ［名］</t>
        </is>
      </c>
      <c r="D74" t="inlineStr">
        <is>
          <t>あくどいもの(4%)；あくどいやり方(3%)；あくどい色(2%)；あくどい商売；あくどい手段</t>
        </is>
      </c>
      <c r="E74" t="inlineStr">
        <is>
          <t>悪い；派手；邪悪；汚い；邪</t>
        </is>
      </c>
      <c r="H74" t="n">
        <v>29</v>
      </c>
      <c r="I74" t="inlineStr">
        <is>
          <t>小説もアクドイ翻訳ものか好色本のたぐいでなければ手にしなくなった。；絵看板のなかで、あくどい色に彩られた多鶴子の顔がイッと笑っていた。；春の夜、秋の夜、冬の夜、どこかすべてあくどいが、夏にはそれがない。；そんなあくどい、残酷な、卑劣なことを彼女にできるはずはありません。；しかし、本当の儂はお前が考えているより遥かにあくどい人間なのだ。；銀公の演技を中心としたこの一と幕の芝居は、少なからずあくどいものであった。；考えもつかんようなあくどいことをやるし、わしもずいぶんひどいことをされたもんだが。；私は眼でその娘の身体に小料理屋の女のあくどい柄のはでな着物を着せてみた。；わざと、あくどい鬼の面をかぶって、それでかえって作品を弱くしている。；それはもうとても明るい、場を引っかき回す気満々のあくどい声だった。；自分が自分に向つてするあくどい偽りほど割りきれない奴はありませんよ。；あくどい稼ぎをやりに行くのも、楽じゃないねと俺はからかってみたかった。；その映画は、あくどいと言えばひどくあくどい場面の連続であった。；いや、まだあくどいものになっていなかったと申したほうが、適切かもしれません。；しかし一面その野性味が勝ちすぎて、少しあくどいのが欠点である。；壁に掛けられたあくどい色の複製どもも、今はもう見るのも厭だ。；それはあくどく一つの対象にからまりつくことなく、活発に軽く流れている。；あのはしにはな、ずっと上まであくどでけえドアがついとるんじゃ。；事態を紛糾させたいという情熱は、さらにあくどくなってきたのです。；誰しも心の中では、バチスタのあくどさに対して怒りの炎を燃やしていた。；あくどいことをして人の土地をまきあげて成り上がった、と噂される人物である。；中にも薄気味の悪い、最もあくどい奴は口をおッぴろげて笑っていやがる。；彼らの大部分は、海外でのボロい儲けを狙ったあくどい連中である。；少々あくどさを感じるものだったが、冷静仮面よりはよほど人間的な表情だ。；が、営業の方針にあくどさがないので、章太郎は、安心してこられるのであった。；それほどあくどい稼ぎをしているとの噂も聞かなかった。；彼は小さい時から、あくどいもの、どぎついものにはついて行けないたちであつた。；それを脱けようとする女がもくろんでゐるのは、いやに色つぽくあくどい。；しかし、万穂子に向けられる目に、そうしたあくどいものは宿らなかった。</t>
        </is>
      </c>
      <c r="J74">
        <f>HYPERLINK("https://www.weblio.jp/content/あくどい", "词义详情")</f>
        <v/>
      </c>
      <c r="K74">
        <f>HYPERLINK("https://yourei.jp/あくどい", "查看例句")</f>
        <v/>
      </c>
    </row>
    <row r="75">
      <c r="A75" t="inlineStr">
        <is>
          <t>悪徳</t>
        </is>
      </c>
      <c r="B75" t="inlineStr">
        <is>
          <t>成功</t>
        </is>
      </c>
      <c r="C75" t="inlineStr">
        <is>
          <t>読み方：あくとく
道義に外れた言行。「—商人」⇔美徳。</t>
        </is>
      </c>
      <c r="D75" t="inlineStr">
        <is>
          <t>悪徳商人(7%)；悪徳警官(4%)；悪徳刑事；悪徳マネージャー；悪徳政治家</t>
        </is>
      </c>
      <c r="E75" t="inlineStr">
        <is>
          <t>罪；科；悪；犯罪；不正</t>
        </is>
      </c>
      <c r="F75" t="inlineStr">
        <is>
          <t>悪徳探偵；悪徳保安官；悪徳行為；悪徳税理士；悪徳漢</t>
        </is>
      </c>
      <c r="G75" t="inlineStr">
        <is>
          <t>悪徳業者；悪徳弁護士；悪徳の栄え；悪徳企業；悪徳の栄え事件</t>
        </is>
      </c>
      <c r="H75" t="n">
        <v>29</v>
      </c>
      <c r="I75" t="inlineStr">
        <is>
          <t>すべての混乱期がそうであるように、そこには多くの美徳と悪徳がある。；その意味で、法律のただの一条も、人間の悪徳の記録でないものはない。；もとよりこれらは近代の文化の含む悪徳として一般的なるものではある。；男女二人の間の悪徳は美徳であることをあなた方も知らない筈はないでせう。；だが、そのころはまだやっと悪徳の道へ一歩足をふみいれたばかりだった。；女の顔は単に美しいというより、一種の悪徳を想わせる美しさであった。；小径の奥の酒と女のある店には悪徳があたりまへに取引されてゐるのだ、と。；といふやうなことを言つて、それが女性の最大の悪徳のやうであつた。；それは悪徳のせいか、苦悩のためか、それとも貪欲の結果でもあろうか?；金子が最後のものとなつたいまの世の中ではかへつて悪徳かも知れぬ。；その他、女性のあらゆる悪徳を心得ているつもりでいたのであります。；悪徳の魅力が思ひもかけず彼の心を俄かにいくらか有頂天にしかけてゐた。；人民たちを直接搾取している、悪徳役人のたむろしているところなのだ。；この悪徳は自分は長生きするだろうというあやまった望みから生じます。；何か快よい悪徳の世界にぼくの魂が落ちこんでゆくような気がした。；世間にはダンス自体がすでに悪徳であるかのやうに言ふ人もある。；まだ彼女の怖ろしい悪徳は、その魂の深層部にかくれていたからである。；小津は悪徳商人のように物欲しげな顔をして相島先輩の前に姿を現した。；これらの悪徳や悪癖こそあの連中がまだ生き残っている証拠といえる。；主題はルネサンスやバロック期に人気のあった美徳と悪徳の寓意である。；自分をもはたの人をも傷つけるものが、どうして悪徳じゃないでしょうか。；そこに、こんな悪徳警官がいたのでは、治安も何もあったものではないだろう。；悪徳医師が、新鮮な内臓が欲しくてまだ息のある患者を解剖してしまう。；悪徳は、われわれの手中にあるとき、まことに有効な武器となるでしょう。；この3人は、右端にいる青年を3つの悪徳に引きずり込もうとしている。；女の持っている最大の悪徳は、愚痴と嫉妬の心だと何かの本に書いてありました。；喜びの恋愛は、あなた方の心のなかでは、悪徳にだけ結びついているのだわね。；彼は欠点や悪徳も持ってはいたが、それは表面的なものだった。；無能が最大の悪徳とされないような幸福な時代を指して言うのだ。</t>
        </is>
      </c>
      <c r="J75">
        <f>HYPERLINK("https://www.weblio.jp/content/悪徳", "词义详情")</f>
        <v/>
      </c>
      <c r="K75">
        <f>HYPERLINK("https://yourei.jp/悪徳", "查看例句")</f>
        <v/>
      </c>
    </row>
    <row r="76">
      <c r="A76" t="inlineStr">
        <is>
          <t>悪人</t>
        </is>
      </c>
      <c r="B76" t="inlineStr">
        <is>
          <t>成功</t>
        </is>
      </c>
      <c r="C76" t="inlineStr">
        <is>
          <t>読み方：あくにん
心のよくない人。悪事を働く人。悪漢。⇔善人。</t>
        </is>
      </c>
      <c r="D76" t="inlineStr">
        <is>
          <t>悪人たち(4%)；悪人ども(3%)；悪人達；悪人じゃない；悪人ばら</t>
        </is>
      </c>
      <c r="E76" t="inlineStr">
        <is>
          <t>悪党；罪人；悪者；悪漢；ならず者</t>
        </is>
      </c>
      <c r="F76" t="inlineStr">
        <is>
          <t>根っからの悪人；極重悪人；どんな悪人；悪人軍団；恐ろしい悪人</t>
        </is>
      </c>
      <c r="G76" t="inlineStr">
        <is>
          <t>悪人と美女；悪人に平穏なし</t>
        </is>
      </c>
      <c r="H76" t="n">
        <v>29</v>
      </c>
      <c r="I76" t="inlineStr">
        <is>
          <t>私は悪人だと言って名乗って世間を荒れ回りたいような気がするのです。；張は不思議な奴だと思ったが、悪人であるだけに気にもかけなかった。；それに何故また自分はその武器を手にした悪人のことなど考えるのだろうか。；態度から云つても悪人と呼ぶだけの落ち付きもしぶとさもありません。；本来、これは悪食の会ではありますけれども、悪人の会ではないのです。；この事件のうらには、おそろしい悪人がかくれているのかもしれません。；敵の中には悪人以外にも動物が追加され、倒すと風車を落とす事がある。；わたしたちを助けてはくれたけれど、やっぱり悪人にはちがいないわ。；サンタクロースが悪人の手から世界の子供たちを守る姿を描いている。；卑屈な面もあるが本人は決して悪人ではなく話の通じる妖精の王である。；それでは渡世に困るから、もっと悪人にならねばならぬと思ったのでした。；そのため登場人物のほとんどは権力を手に入れようとする悪人ばかりである。；そんな鋳型に入れたような悪人は世の中にあるはずがありませんよ。；かつ法律は悪人を罰する方に力あるも、善人を賞する方には不足である。；そのまま暮らしていけばよかったのですが、天は長く悪人の存在を許しません。；これ世に悪人の跋扈するを神の業なりと認めて、神を嘲りし語である。；之では警察当局者でなくても、先ず彼は悪人であると見なければならない。；金さへあれば悪人がお父様のやうな方を苦しめてもいゝのでございませうか。；これらのアイテムは、助さん・格さんで悪人を倒すと出現することがある。；この、無垢清浄、玉のようなお七を大悪人と呼ぶ馬鹿もあるであろう。；たしかに彼は悪人にちがいないが、一体日本へきてなにをするつもりなのであろうか。；二十面相が、そこまでの悪人でなかったことは、なによりのことでした。；わしは神の御旨に従って、悪人共に天罰を与える使命を担っているのだ。；悪人達が全員命を落とす終わり方が多いのが特徴の作品である。；しかし、どうしてこんな場合に、不意に悪人のことを自分は考えたのだろうか。；いつからか、悪人を喰う鬼神となったが、もともとは産土の神であった。；たとえ善人であろうと悪人であろうと、そんなことはどうでもいい。；神を嘲る悪人にして成功また成功の一路を昇る者は決して少なくない。；お鈴はお芳が女中だった時から、彼女を悪人と思ったことはなかった。</t>
        </is>
      </c>
      <c r="J76">
        <f>HYPERLINK("https://www.weblio.jp/content/悪人", "词义详情")</f>
        <v/>
      </c>
      <c r="K76">
        <f>HYPERLINK("https://yourei.jp/悪人", "查看例句")</f>
        <v/>
      </c>
    </row>
    <row r="77">
      <c r="A77" t="inlineStr">
        <is>
          <t>欠伸</t>
        </is>
      </c>
      <c r="B77" t="inlineStr">
        <is>
          <t>成功</t>
        </is>
      </c>
      <c r="C77" t="inlineStr">
        <is>
          <t>読み方：あくび
《動詞「あく（欠）ぶ」の連用形から》
１眠いとき、疲れたときなどに思わず口が大きく開いて息を深く吸い込み、やや短く吐き出す呼吸運動。
２（欠）漢字の旁(つくり)の一。「欧」「歌」などの「欠」の称。吹き旁(づくり)。</t>
        </is>
      </c>
      <c r="D77" t="inlineStr">
        <is>
          <t>欠伸まじり；欠伸混じり；欠伸を噛み殺すため；欠伸軽便鉄道</t>
        </is>
      </c>
      <c r="F77" t="inlineStr">
        <is>
          <t>大欠伸；大きく欠伸；小さく欠伸；一つ欠伸；小さな欠伸</t>
        </is>
      </c>
      <c r="H77" t="n">
        <v>29</v>
      </c>
      <c r="I77" t="inlineStr">
        <is>
          <t>それから欠伸をしたり伸びをしたりしながらキッチンへと降りていった。；小さな欠伸を一つして、多輝子ちゃんは何とはなしに通りを眺めている。；薬を飲んだのが自分でなければ、こんな事件、欠伸一つで忘れてしまう。；私はそんなものに興味がないから、一人車中に残って、欠伸をしていた。；人は眠くもないのに、人が欠伸をしているのを見ると欠伸がしたくなる。；彼女は欠伸を噛み殺したせいで眼に滲んだ涙をそっと指の背でぬぐった。；おれは主人が手に持っている五十音表を眺めてまたひとつ欠伸をした。；ただ、欠伸をネロとその取り巻きに見られないようにせねばならないが。；中で運転手が欠伸をし、居眠りをしながら客が戻ってくるのを待っている。；その魅力を自分以外の人にも見せていることが信吉の欠伸を一層大きくした。；ファーア、と私は大欠伸をしながら、遠いイギリスのことを思い出した。；十一時半に、ハーマイオニーが欠伸をしながら二人のそばにやってきた。；そのまま並んで駅の方向に歩き始めると、すぐに雅之は小さく欠伸をした。；それから家に入り、玄関の鍵をかけ、居間にもどって、一つ欠伸をした。；隣に座っている雄二を見ると、僕と同じように退屈そうに欠伸をしていた。；僕がその日何度目かの欠伸をかみ殺していると、リンネが近づいてきた。；元刑事でなくても、それぐらい俺だって欠伸のついでに理解できる。；廊下を歩きながらそんなことを思い、真九郎は小さく欠伸を漏らした。；それでも外出する気にはならず、私は座布団を弄んで大きな欠伸をした。；退屈そうに欠伸をしているとはいえ、二名の兵士が歩哨に立っている。；まもなく低く音読するフランス語が欠伸とは違う方向の草の中から聞えて来た。；尠なくも、一角が経験した女の数では、こんな会話では、欠伸を感じる。；妻は再び退屈のあまり欠伸をして、涙でかすんだ眼で庭を眺め始めた。；ねぼけたような、もったりした声で、続いて大きな欠伸をするのが聞えた。；半助は夜具の中で伸びをし、大きな欠伸をしながら、躯のどこかを掻く。；どこかで雨戸を叩く音と、なにか云う人の声が聞え、新八は欠伸をした。；それで、さんざん欠伸をしてから、しばらくして、寝たいと言いだした。；原色に飾られたけばけばしい台を眺めていると、またひとつ欠伸が出た。；欠伸したって誰も見ていないので、私は手で覆いもせず大きな欠伸をした。</t>
        </is>
      </c>
      <c r="J77">
        <f>HYPERLINK("https://www.weblio.jp/content/欠伸", "词义详情")</f>
        <v/>
      </c>
      <c r="K77">
        <f>HYPERLINK("https://yourei.jp/欠伸", "查看例句")</f>
        <v/>
      </c>
    </row>
    <row r="78">
      <c r="A78" t="inlineStr">
        <is>
          <t>悪魔</t>
        </is>
      </c>
      <c r="B78" t="inlineStr">
        <is>
          <t>成功</t>
        </is>
      </c>
      <c r="C78" t="inlineStr">
        <is>
          <t>読み方：あくま
１残虐非道で、人に災いをもたらし、悪に誘い込む悪霊。また、そのような人間。
２仏道修行を妨げる悪神の総称。魔。魔羅。
３キリスト教で、神の創造した世界に対する破壊的で攪乱(かくらん)的な要素。悪への誘惑者。地獄に落ちた天使という解釈もある。サタン。</t>
        </is>
      </c>
      <c r="D78" t="inlineStr">
        <is>
          <t>悪魔的(4%)；悪魔たち；悪魔ども；悪魔みたい；悪魔達</t>
        </is>
      </c>
      <c r="E78" t="inlineStr">
        <is>
          <t>鬼；魔；妖怪；魔物；魔王</t>
        </is>
      </c>
      <c r="F78" t="inlineStr">
        <is>
          <t>西洋悪魔；恐ろしい悪魔；黒い悪魔；どんな悪魔；老悪魔</t>
        </is>
      </c>
      <c r="G78" t="inlineStr">
        <is>
          <t>悪魔祓い；悪魔超人；悪魔崇拝；悪魔将軍；悪魔払い</t>
        </is>
      </c>
      <c r="H78" t="n">
        <v>29</v>
      </c>
      <c r="I78" t="inlineStr">
        <is>
          <t>はじめて会ったその晩、彼らは恐ろしい悪魔のような黒い影に襲われる。；そして何度も悪魔は靴に大量に金を入れるが靴は一杯になる事はなかった。；しかし兄は謎の悪魔に憑依され、妹の頬に傷をつけて姿を消してしまう。；人間の場合は物資的な火があるものであり、悪魔の場合は存在物である。；すると悪魔は持っているだけの金を出すが靴一杯にはならなかった。；すると悪魔は像の方へ移ると考えられており、儀式の後に像が破壊された。；この段階では吸血鬼は知性のない動物のような悪魔として扱われている。；アリエルは自分が想像していた悪魔とあまりにも違う姿形であることに驚く。；しかも、その最中に子が「悪魔」を見て逃げ出すように家を出たという。；ところが、悪魔は完全には葬りさられていないことが明らかになった。；遥かな昔、まだ神が神と呼ばれず、悪魔が悪魔と呼ばれていなかった時代。；やがて悪魔がゴルムの前に現れ、共に訪れる町を破壊するよう命じた。；悪魔は無数に存在し、神々をも攻撃の対象とすると考えられていた。；中世には悪魔でなく動物の姿で表しているものも見られる。；悪魔会話は悪魔の属性、主人公の属性によっては成立しないこともある。；契約を結んだ人は時々悪魔の裏をかこうとするが、最終的には負ける。；そこでは悪魔の顔がカラヴァッジョの顔になっていたのである。；ストーリーは天使側につくか、悪魔側につくかで大きく分かれる事になる。；悪魔と思われる絵が描かれたラベルの張られたガラス瓶に入っている。；何百年もの永きに渡って、神と悪魔は地上の覇権を巡って争い続けていた。；問題のある悪魔を操作して自己の利益のために力を行使することができるとされていた。；また登場する悪魔たちは、デザインを含めて概ね原作に従っている。；本作では通常出現する悪魔、仲魔となる悪魔は以下の種族に分類されている。；その鏡には、自分の絵姿ではなく、嘲り笑う悪魔の奇っ怪な顔が現れる。；ときを同じくして人々の間では悪魔の噂が絶えずささやかれるようになっていた。；この経験が戯曲風小説『悪魔のくる家』の執筆のヒントになったとされる。；その秤の下がった方の皿には裸の人間が、上がった方には悪魔が描かれている。；本気で悪魔を信じていたわけではなく、あくまで遊びだった。；以上の経緯をもってルシファーは悪魔の名となったとされる。</t>
        </is>
      </c>
      <c r="J78">
        <f>HYPERLINK("https://www.weblio.jp/content/悪魔", "词义详情")</f>
        <v/>
      </c>
      <c r="K78">
        <f>HYPERLINK("https://yourei.jp/悪魔", "查看例句")</f>
        <v/>
      </c>
    </row>
    <row r="79">
      <c r="A79" t="inlineStr">
        <is>
          <t>あくまで</t>
        </is>
      </c>
      <c r="B79" t="inlineStr">
        <is>
          <t>成功</t>
        </is>
      </c>
      <c r="C79" t="inlineStr">
        <is>
          <t>読み方：あくまで
［副］《動詞「あ（飽）く」の連体形＋副助詞「まで」から》
１物事を最後までやりとおすさま。徹底的に。「—（も）自説を貫く」
２どこまでも。全く。「—（も）青い海」</t>
        </is>
      </c>
      <c r="D79" t="inlineStr">
        <is>
          <t>あくまで補助的；あくまで明るい</t>
        </is>
      </c>
      <c r="E79" t="inlineStr">
        <is>
          <t>あくまでも；徹底的に；どこまでも；頑として；言い張る</t>
        </is>
      </c>
      <c r="F79" t="inlineStr">
        <is>
          <t>あくまで読者；あくまで名目上；あくまで理論上；あくまで便宜上；あくまで科学的</t>
        </is>
      </c>
      <c r="H79" t="n">
        <v>29</v>
      </c>
      <c r="I79" t="inlineStr">
        <is>
          <t>あくまで文明はさまざまな行為主体の政治行動を方向付けるものである。；あくまで伝承上の架空の人物であるが、歴史的な由来を持つ人物もいる。；他の管理規格のように要求をするものではなく、あくまでガイドである。；しかし、あくまで母親への忠誠心を崩さない夫の態度に彼女は絶望する。；日本のパスポートは、あくまで外国に行きやすいからというだけのもの。；当初はあくまで上流階級の者による異国趣味の物に過ぎなかったようだ。；あくまで都市についていう概念であり、都市ではない場所は含めない。；あくまで、検査値で肝機能障害がわかりにくい場合に測定する項目である。；この図はあくまで概略であり、より詳細な分類方法と経緯があることに注意。；第35条1項が原則であり第35条2項はあくまで例外的な措置である。；このマシンはあくまで実験車に留まり、レースを走ることはなかった。；あくまで田のある土地においてそれぞれ独立して方格線が引かれている。；あくまで差のことであり、実際にそのような風が吹いているわけではない。；しかし、これらの儀式はあくまで悟りの追求とは目的を別としていた。；これはあくまで、判断に迷った際のおおまかな指針を提供するものです。；以下はあくまで、判断に迷った際のおおまかな指針を提供するものです。；しかし製作としてはあくまで自分の初期案に近い物を採用するように主張していた。；よくBL作品と思われがちだが、製作側はあくまで一般作と主張している。；これはあくまで理想的な状態の場合で、実際には微小重力状態である。；金と元では首都は北京に置かれ、開封はあくまで河南の中心地に留まる。；更に細かい分類方法と経緯があり、この図はあくまで概略である事に注意。；あくまで要因による定義の違いであり、波の性質で区別しているわけではない。；学区はあくまでそれぞれ設置主体である市の児童を対象にしている。；彼の自由主義は、あくまでイギリス・アメリカ的経験論に基づくものである。；連邦法というものも確かにありはするが あくまで基本は州法なのである。；あくまで1次的な原因は迎角の増大であり、速度は2次的な原因である。；余りの変貌ぶりから健康不安が囁かれたが、この時はあくまで否定していた。；あくまでそのスタイルを借りて遊んでいるだけである。；あくまで人の感情面に作用すると主張されている。</t>
        </is>
      </c>
      <c r="J79">
        <f>HYPERLINK("https://www.weblio.jp/content/あくまで", "词义详情")</f>
        <v/>
      </c>
      <c r="K79">
        <f>HYPERLINK("https://yourei.jp/あくまで", "查看例句")</f>
        <v/>
      </c>
    </row>
    <row r="80">
      <c r="A80" t="inlineStr">
        <is>
          <t>明くる</t>
        </is>
      </c>
      <c r="B80" t="inlineStr">
        <is>
          <t>成功</t>
        </is>
      </c>
      <c r="C80" t="inlineStr">
        <is>
          <t>読み方：あくる
［連体］《動詞「あ（明）く」の連体形から》夜・月・年などが明けての。次の。翌。「—四月一日」</t>
        </is>
      </c>
      <c r="D80" t="inlineStr">
        <is>
          <t>明くる朝(44%)；明くる年(11%)；明くる晩</t>
        </is>
      </c>
      <c r="H80" t="n">
        <v>29</v>
      </c>
      <c r="I80" t="inlineStr">
        <is>
          <t>戻しても戻しても、明くる朝登校してくると机と椅子は外に出されている。；明くる晩もやはりその通りで、彼は又もや三千あまりの銭を貰って来た。；明くる朝起きてみると、庭には栗の花が一面に白く散っていました。；明くる朝、かなり早いうちにファブリツィオは次のような手紙を受け取った。；そして、明くる朝、ばらの花のいい香いを嗅ごうと思ってやってきました。；そこでこちらの御厄介になったのですが、明くる朝になっても箱はやはり重いのです。；その晩は遅く帰ったので、おじさんは明くる朝早く起きるのが辛かった。；明くる朝、濠の中を見てみると一匹の小さなキツネが死んでいた。；明くる八日の朝、宿の女房が原町の塩原金右衛門という人を案内して来た。；明くる朝は気分もよいと云い、顔色も赤みがとれて平生と違わなくなった。；明くる二十四日は朝からほがらかに晴れて、秋風が高い空を吹いていた。；夜になると雪は雨になり、明くる朝はきれいに晴れていた。；明くる四日は昼少し前になって雨は止んだが、西風が強く霧が深いので立つ気になれない。；高エネルギープラズマとダイヤモンドダストが乱舞した夜の、明くる朝。；だからといって、だれも夕方から明くる朝までそこにいることになろうとは思わなかった。；老職へは使を出しておいて、明くる早朝江戸へ向けて出発した。；明くる年も、その明くる年も、同じように、りんごの実は落ちてしまいました。；祭が終って明くる朝、帰って行こうとする際にその人は、この次の二十三夜は私の家で宿をしたい。；明くる朝、飯も食はずに上甲板へ出て見たら、海の色がまるで變つてゐるのに驚いた。；新しい幕は明くる朝の城の大手から始まる。；明くる年の八一年一月二〇日に逮捕され、八二年三月名古屋地裁で死刑判決。；明くる晩、関内はちょうど非番に当たっていたので、両親といっしょに家にいた。；明くる957年には楚州が後周に奪われ、両軍は長江を挟んで対峙した。；明くるを待ちて、相見て口を合はするに、三人符を同じうして聊も異なる事なし。；明くる朝、出かけていって見ると、何もかかっていない。；明くる朝、そっとそこをみまってみると、急に巣の中から親鳥が一羽飛んで出た。；明くる朝眼を覚した時は、またいつもの小平太になっていた。；明くる朝、サロンで、ド・レナル夫人はしばらくのあいだ彼と二人きりになった。；明くる朝はその代りに一層早く出て来なさいよ。</t>
        </is>
      </c>
      <c r="J80">
        <f>HYPERLINK("https://www.weblio.jp/content/明くる", "词义详情")</f>
        <v/>
      </c>
      <c r="K80">
        <f>HYPERLINK("https://yourei.jp/明くる", "查看例句")</f>
        <v/>
      </c>
    </row>
    <row r="81">
      <c r="A81" t="inlineStr">
        <is>
          <t>明け方</t>
        </is>
      </c>
      <c r="B81" t="inlineStr">
        <is>
          <t>成功</t>
        </is>
      </c>
      <c r="C81" t="inlineStr">
        <is>
          <t>読み方：あけがた
夜の明けようとするころ。夜明け方。黎明(れいめい)。払暁(ふつぎょう)。⇔暮れ方。
[補説]気象庁の天気予報等では、午前3時頃から午前6時頃までを指す。→未明→朝</t>
        </is>
      </c>
      <c r="D81" t="inlineStr">
        <is>
          <t>明け方ちかく；明け方ごろ；明け方近い；明け方早く；明け方やっと</t>
        </is>
      </c>
      <c r="E81" t="inlineStr">
        <is>
          <t>明け；暁；日の出；曙；有明</t>
        </is>
      </c>
      <c r="F81" t="inlineStr">
        <is>
          <t>結局明け方；今朝明け方</t>
        </is>
      </c>
      <c r="H81" t="n">
        <v>29</v>
      </c>
      <c r="I81" t="inlineStr">
        <is>
          <t>京都に着いたのは明け方だったが、何と駅には百合子が迎えに来ていた。；このひどい大風が明け方までも吹きつづけたら京の町はどうなることか。；その夜、就寝する為に機械の館に戻ったのは明け方になってからだった。；すでに夏に入ったある夜、明け方に帰ってきた兄が安達の死を知らせた。；床についたのが明け方だったからまだ二、三時間ほどしか眠っていない。；さて、彼女を助けた前の晩だったか、僕は明け方に目がさめてしまった。；その夜苦しみ通した葉子は明け方近く少し痛みから遁れることができた。；この病気は前触れなしに普通は夜または明け方に寒気と震えで始まった。；翌日の明け方に捜索救援機が201便の機影が消えた場所に派遣された。；いったい妻はこんな明け方の三時に田舎道へ出かけてどうするのでしょう?；式が夜の散歩にでかけると明け方まで帰ってこない場合も少なくない。；前の夜、明け方ちかくまで仕事をしたので、まだ眠り足りぬ気持もある。；昼は客と接し、夜に起きては軍務を処理し明け方にまで及ぶこともあった。；夢を見た夜は、明け方まで目が冴えて眠りにつくことはできなかった。；疲れきって家にたどりついたのは、もう明け方近くになってからだった。；明け方近く、店を出るとき、客たちはすっかり良が好きになっていた。；明け方に家を出て、翌日の夜まで帰ってこないこともしょっちゅうだった。；明け方の月がちょうど昇りかけて、庭の上はかんかん明るく見えました。；その晩ぼくは、彼が明け方までシテー・バーで演奏しているのを見た。；明け方は影しかわからなかったが、こうして陽の下に出るとはっきりわかる。；明け方の凍える風が吹き込み、部屋の中を外気温とほぼ同じにしていた。；当番にあたっていたため、それは籠り堂への見廻りに出た明け方だった。；トラックに隠れ、高速を経由して明け方にはウィーン市内に入り込んだ。；その晩は、この路次裏の家で酒となり、明け方には三人連れの旅に立った。；ただときどき伯母はわたしを明け方に自分の寝床の中へ呼びいれました。；霧の深い峠としても知られており、明け方や雨天時には注意が必要である。；宮殿の部屋を使って式を挙げ、その前庭で明け方まで飲んで唄っての式よ。；そしてそのまま二人は並んで月をながめながら語っているうちに明け方近い時になった。；二人はすぐに裸になつて、波の荒い明け方の海を、沖へ沖へと泳ぎ出した。</t>
        </is>
      </c>
      <c r="J81">
        <f>HYPERLINK("https://www.weblio.jp/content/明け方", "词义详情")</f>
        <v/>
      </c>
      <c r="K81">
        <f>HYPERLINK("https://yourei.jp/明け方", "查看例句")</f>
        <v/>
      </c>
    </row>
    <row r="82">
      <c r="A82" t="inlineStr">
        <is>
          <t>明け暮れる</t>
        </is>
      </c>
      <c r="B82" t="inlineStr">
        <is>
          <t>成功</t>
        </is>
      </c>
      <c r="C82" t="inlineStr">
        <is>
          <t>読み方：あけくれる
［動ラ下一］［文］あけく・る［ラ下二］
１夜が明け、日が暮れる。月日が過ぎる。一日一日が過ぎ去る。「毎日が平穏無事に—・れる」
２熱中して終始そのことをする。ある物事に没頭する。「勉強に—・れる」</t>
        </is>
      </c>
      <c r="D82" t="inlineStr">
        <is>
          <t>明け暮れる荒ん</t>
        </is>
      </c>
      <c r="E82" t="inlineStr">
        <is>
          <t>暮れる；打ち込む；熱中する；没頭する；夢中になる</t>
        </is>
      </c>
      <c r="H82" t="n">
        <v>29</v>
      </c>
      <c r="I82" t="inlineStr">
        <is>
          <t>北欧神話や戦いに明け暮れるヴァイキングを主要なテーマに置いている。；地球に帰還した後は力の大会に出場する仲間探しに明け暮れる。；約一年を周期に商売相手の町や村を一巡する、旅に明け暮れる生活だった。；その日もバイトに明け暮れる天地のために弁当を差し入れに行っていた。；この対処のみが、研究に明け暮れる者に残されたすべてなのだった。；喧嘩ばかりで明け暮れる日々が続いて地獄かと思いました。；そんな修羅場に出るよりは、読書と狩猟に明け暮れるほうがましである。；ツアーに明け暮れる時期を経て、グループは必要になっていた長い休暇をとった。；しかも肉欲に明け暮れるレアの愛情の中には、誠実で律儀なものがある。；何しろ、これからも戦いに明け暮れる人生に決まっているのだから。；今後は、合戦に明け暮れる毎日を覚悟しなければならぬであろう。；三郎を愛してしまったために、再び嫉妬に明け暮れる日々がはじまる。；・小学校3年生から野球を始め、大学まで野球に明け暮れる日々を過ごす。；極貧生活の中にあっても将来のスターを夢見て猛レッスンに明け暮れる。；その後工学部系大学に合格するが、授業には出席せずパチスロに明け暮れる。；モデルの仕事の合間にバンドの練習に明け暮れる日々を送る。；高校卒業まではサッカーやバレーボールなどスポーツに明け暮れる普通の学生生活を送る。；新宿で女遊びに明け暮れる一方、野球や法律の勉強に懸命に取り組んだ。；だけど、戦乱に明け暮れるこの大陸は、この日確かに歴史の転換点を迎えたのである。；伊三次は相変わらず廻り髪結いと裏の仕事に明け暮れる生活を送っていた。；中学・高校時代は喧嘩に明け暮れる日々を送っており、その影響で高校は中退した。；彼女はジョンがどれだけ故郷を思いつつ異国の戦場で明け暮れる日々を過ごしたか、いやというほど知っていた。；おれの方も少年ラガーチームの一員として、基本練習に明け暮れる日々だった。；修行と実戦に明け暮れる若い騎士にそんな余裕はないのである。；普段なら朝から寺の用事に明け暮れるけれど、今日はのんびりと食事ができます。；主人公は呪いを解きたいと思いつつ、目の前の困難と仲間の世話に明け暮れることになる。；すぐに作曲を開始し、高校時代はバンドとアルバイトに明け暮れるようになる。；実験に明け暮れる我の傍らにはいつもイアンがいて、悲しそうに我を見上げているのである。；兵は調練に明け暮れるうち、早く実戦の場に出たいと願うようになるものである。</t>
        </is>
      </c>
      <c r="J82">
        <f>HYPERLINK("https://www.weblio.jp/content/明け暮れる", "词义详情")</f>
        <v/>
      </c>
      <c r="K82">
        <f>HYPERLINK("https://yourei.jp/明け暮れる", "查看例句")</f>
        <v/>
      </c>
    </row>
    <row r="83">
      <c r="A83" t="inlineStr">
        <is>
          <t>開ける</t>
        </is>
      </c>
      <c r="B83" t="inlineStr">
        <is>
          <t>成功</t>
        </is>
      </c>
      <c r="C83" t="inlineStr">
        <is>
          <t>読み方：あける
［動カ下一］［文］あ・く［カ下二］
１（明ける）あるひと続きの時間・期間・状態が終わって、次の時間・期間・状態になる。
㋐朝になる。「夜が—・ける」⇔暮れる。
㋑年が改まる。「年が—・ける」⇔暮れる。
㋒ある期間が終わる。「喪が—・ける」「梅雨(つゆ)が—・ける」
２（空ける）今までそこを占めていたもの、ふさいでいたものを、取り除いたり、なくしたりする。
㋐穴をつくる。「錐(きり)で穴を—・ける」
㋑使っていた場所から他へ移り、そのまま使わないでおく。あったものを出し、新たに入れないで、からの状態にする。「一〇時までに部屋を—・けてください」
㋒すいている空間や空白をつくる。間隔を置いたり、広げたりする。「間を—・ける」「一行—・けて書く」
㋓器の中のものを出したり、他の器や他の場所へ移したり、また、使い尽くしたりしてからにする。「水筒の水をバケツに—・ける」「大ジョッキを—・ける」
㋔ある時間を、拘束なしに使えるようにしておく。暇な時間をつくる。「その日は君のために—・けておく」
㋕留守にする。「旅行で家を—・ける」
３（開ける）
㋐隔てや仕切りになっているものを取り除く。閉じていたものを開く。「窓を—・ける」「封を—・ける」「鍵(かぎ)を—・ける」「目を—・ける」⇔閉める。
㋑営業を始める。営業を行う。「午前一〇時に店を—・ける」⇔閉める。
[補説]2は「明ける」とも書く。
[用法]あける・ひらく——「窓を開ける（開く）」は相通じて用いられる。◇「開ける」は空間をふさいでいる仕切りや覆いなどを取り除く意で、「ふたを開ける」「かばんを開ける」のように用いる。◇「開く」は「包みを開く」「本を開く」のように、重ねて結び合わせたり、折り畳んだりしてあるものを広げて、中が見えるようにすること。◇「開く」はまた、「運命を開く」「心を開く」など物事をよい方向に進めていこうとする意で比喩的に用いられることもある。◇「口を開ける」「目を開ける」は、上下の唇やまぶたを離し広げることであるが、また「話しはじめる」「自覚する、知識を得る」の意にもなる。また、「道をあける」は邪魔になるものを除いて通れるようにすることだが、「道を開く」は新しく道を作ることであり、さらに「問題解決への道を開く」のようにも用いられる。
[下接句]穴をあける・風穴(かざあな)を開ける・手を空ける・泣く子も目を開(あ)け・年季が明ける・蓋(ふた)を開ける・水をあける・夜も日も明けない・埒(らち)を明ける</t>
        </is>
      </c>
      <c r="D83" t="inlineStr">
        <is>
          <t>開けると同時に；開けるだら；開けると小判</t>
        </is>
      </c>
      <c r="E83" t="inlineStr">
        <is>
          <t>展開；発展；成長；発達；開く</t>
        </is>
      </c>
      <c r="F83" t="inlineStr">
        <is>
          <t>大きく開ける；そっと開ける</t>
        </is>
      </c>
      <c r="H83" t="n">
        <v>29</v>
      </c>
      <c r="I83" t="inlineStr">
        <is>
          <t>香港での成功でアジア各国のどこでもコンサートが開けるようになった。；客は購入後に袋を開けるまで、組番は一切わからないようになっている。；楽器の音階を決める穴配りと穴開けには高度の製作技術が必要とされる。；扉を開けるには扉の横にあるスイッチの下でジャンプをする必要がある。；非常口の扉は内側からは開き、外側からは開けられない構造にしてある。；ただし北西方向は海に面しており、ここにポートルイス港が開けている。；球状部分から熱を出し、雪でできた壁に容易に穴を開けることができる。；特定の種類の鍵を持っているとそれに合った鍵を持つ箱を開けることもある。；バッテリーの交換は底面の扉を開けるだけで容易に交換が可能であった。；扉を開けると、そこには窓際で首を吊って死んでいる彼女の姿があった。；古い教会の門を開けると、そこには林檎と蝋燭と古い本が置かれていた。；北は開け、今治市と平地で接しているが他の三方は山地で囲まれている。；北方に生息するものや開けた地形に生息するものほど身体が大きいとされる。；戻ってきた伯爵夫妻が戸を開けると出てきたのは当然スザンナである。；線路の両側にホームがあり、停車したケーブルカーは両側の扉を開ける。；それに戸を開けろと云ったところでどこにも家などないではないか。；ただし現在は新型コロナウイルスの関係で停車中は全てのドアを開けている。；多くは円形で中心部に方形の穴が開けられた有孔貨幣であることが多い。；するとドアを開けて入ってきたのは本物のバンドのメンバー。；静かに窓を開ける音が聞こえた後、白い物を抱えた犯人が出てきた。；永平寺では承陽殿入口の扉を常に少し開けておくことが慣例となっている。；だがその後もロンドンで縫合部分を開ける手術を受けるまで苦しみ続けた。；特定のステージにあるカギ穴つき扉を開けるとプレイできるミニゲーム。；ただし側面の窓を開けられるようになっているものもある。；一人の少年が母親に体を洗われているところから映画は幕を開ける。；また、その表面に穴を開けて住み着く穿孔性の動物も住み着く例がある。；家の人が戸を開けると盥にいっぱいの血を顔に浴びせかけるともいわれる。；大きな穴の中心を決める下穴をあらかじめ開けておく必要がある。；しかし、缶詰を容易に開ける手段までは発明した本人も考えていなかった。</t>
        </is>
      </c>
      <c r="J83">
        <f>HYPERLINK("https://www.weblio.jp/content/開ける", "词义详情")</f>
        <v/>
      </c>
      <c r="K83">
        <f>HYPERLINK("https://yourei.jp/開ける", "查看例句")</f>
        <v/>
      </c>
    </row>
    <row r="84">
      <c r="A84" t="inlineStr">
        <is>
          <t>空ける</t>
        </is>
      </c>
      <c r="B84" t="inlineStr">
        <is>
          <t>成功</t>
        </is>
      </c>
      <c r="C84" t="inlineStr">
        <is>
          <t>読み方：あける
［動カ下一］［文］あ・く［カ下二］
１（明ける）あるひと続きの時間・期間・状態が終わって、次の時間・期間・状態になる。
㋐朝になる。「夜が—・ける」⇔暮れる。
㋑年が改まる。「年が—・ける」⇔暮れる。
㋒ある期間が終わる。「喪が—・ける」「梅雨(つゆ)が—・ける」
２（空ける）今までそこを占めていたもの、ふさいでいたものを、取り除いたり、なくしたりする。
㋐穴をつくる。「錐(きり)で穴を—・ける」
㋑使っていた場所から他へ移り、そのまま使わないでおく。あったものを出し、新たに入れないで、からの状態にする。「一〇時までに部屋を—・けてください」
㋒すいている空間や空白をつくる。間隔を置いたり、広げたりする。「間を—・ける」「一行—・けて書く」
㋓器の中のものを出したり、他の器や他の場所へ移したり、また、使い尽くしたりしてからにする。「水筒の水をバケツに—・ける」「大ジョッキを—・ける」
㋔ある時間を、拘束なしに使えるようにしておく。暇な時間をつくる。「その日は君のために—・けておく」
㋕留守にする。「旅行で家を—・ける」
３（開ける）
㋐隔てや仕切りになっているものを取り除く。閉じていたものを開く。「窓を—・ける」「封を—・ける」「鍵(かぎ)を—・ける」「目を—・ける」⇔閉める。
㋑営業を始める。営業を行う。「午前一〇時に店を—・ける」⇔閉める。
[補説]2は「明ける」とも書く。
[用法]あける・ひらく——「窓を開ける（開く）」は相通じて用いられる。◇「開ける」は空間をふさいでいる仕切りや覆いなどを取り除く意で、「ふたを開ける」「かばんを開ける」のように用いる。◇「開く」は「包みを開く」「本を開く」のように、重ねて結び合わせたり、折り畳んだりしてあるものを広げて、中が見えるようにすること。◇「開く」はまた、「運命を開く」「心を開く」など物事をよい方向に進めていこうとする意で比喩的に用いられることもある。◇「口を開ける」「目を開ける」は、上下の唇やまぶたを離し広げることであるが、また「話しはじめる」「自覚する、知識を得る」の意にもなる。また、「道をあける」は邪魔になるものを除いて通れるようにすることだが、「道を開く」は新しく道を作ることであり、さらに「問題解決への道を開く」のようにも用いられる。
[下接句]穴をあける・風穴(かざあな)を開ける・手を空ける・泣く子も目を開(あ)け・年季が明ける・蓋(ふた)を開ける・水をあける・夜も日も明けない・埒(らち)を明ける</t>
        </is>
      </c>
      <c r="D84" t="inlineStr">
        <is>
          <t>空けるべく</t>
        </is>
      </c>
      <c r="E84" t="inlineStr">
        <is>
          <t>飲み干す；干す；飲みほす；乾す；飲み乾す</t>
        </is>
      </c>
      <c r="H84" t="n">
        <v>29</v>
      </c>
      <c r="I84" t="inlineStr">
        <is>
          <t>一時は一〇〇点差まで水を空けられていたのが、完全に逆転した格好だ。；仕事上の旅でも所在も知らせずに長期に家を空けるようになっていた。；二本空けたあたりに津差さんが来て何か話したけどあまり覚えていない。；遠征で国内を空ける事の多かった同王によって国内統治を任されていた。；ちょうど別の客が入ってくるところで、彼女は一歩脇によけて道を空けた。；一年や二年、日本を空けなければならないことだってザラになるだろう。；第二営業部長の椅子をいつまでも空けておくわけにはいかんのでね。；彼は何か物憂げな様子で、ウイスキーのグラスを幾杯も空けていました。；メスと違ってオスは行動範囲が広いので、何日も家を空けることが多い。；母は前から二階を空けたままにしておくのは勿体ないと思っていたのである。；二人はそれほどべらべら話すわけでもなく、穏かな顔で杯を空け続けた。；そして目をつけたのが、晁錯が役所の建物の南の壁に空けた穴であった。；両親は家を空けがちで、祖父に育てられたと本人の口から聞いたことがある。；そこへ先生がある晩家を空けなければならない事情ができてきた。；数日、家を空ける時は誰かに「混ぜ」を頼んだりしているくらいだった。；女中は洗濯物をしたり居眠りをしたりして、なかなか家を空けなかった。；僧は私に触れぬよう、私のからだが動くたびにすっと一定の距離を空ける。；私は前を走るマークIIが車間を空け過ぎている事に腹を立てていた。；一個載せて一個分間を空けて続けて三個、また一個分間を空けて一個置く。；青銅を用いた鋳造製で、砲尾に空けられた穴から直接点火して発射する。；老主人の語りを聞きながら、銚子を二本空けるとホロ酔いになってくる。；じっとしていると、また家を空けたことの罪悪感に襲われそうだった。；それを香苗たちのためにどこかへ動かし空けてくれたのに違いない。；猪口と兵たちはかなり無理をして空けられた兵室のひとつへ全員が入れられた。；頸動脈に穴を空け、心臓停止状態で、美鎖はいずこへか消えてしまった。；タシェは、将来にも像を作ることを想定して、何カ所かを空けておいた。；真ん中を広く空けたので、何かゲームでも始まりそうな気分になった。；その取材がはじまる前の一時間だけならば要一のために空けてもいい。；唯一の方法は、夫の在宅中は私も努めて家を空けないようにすることである。</t>
        </is>
      </c>
      <c r="J84">
        <f>HYPERLINK("https://www.weblio.jp/content/空ける", "词义详情")</f>
        <v/>
      </c>
      <c r="K84">
        <f>HYPERLINK("https://yourei.jp/空ける", "查看例句")</f>
        <v/>
      </c>
    </row>
    <row r="85">
      <c r="A85" t="inlineStr">
        <is>
          <t>明ける</t>
        </is>
      </c>
      <c r="B85" t="inlineStr">
        <is>
          <t>成功</t>
        </is>
      </c>
      <c r="C85" t="inlineStr">
        <is>
          <t>読み方：あける
［動カ下一］［文］あ・く［カ下二］
１（明ける）あるひと続きの時間・期間・状態が終わって、次の時間・期間・状態になる。
㋐朝になる。「夜が—・ける」⇔暮れる。
㋑年が改まる。「年が—・ける」⇔暮れる。
㋒ある期間が終わる。「喪が—・ける」「梅雨(つゆ)が—・ける」
２（空ける）今までそこを占めていたもの、ふさいでいたものを、取り除いたり、なくしたりする。
㋐穴をつくる。「錐(きり)で穴を—・ける」
㋑使っていた場所から他へ移り、そのまま使わないでおく。あったものを出し、新たに入れないで、からの状態にする。「一〇時までに部屋を—・けてください」
㋒すいている空間や空白をつくる。間隔を置いたり、広げたりする。「間を—・ける」「一行—・けて書く」
㋓器の中のものを出したり、他の器や他の場所へ移したり、また、使い尽くしたりしてからにする。「水筒の水をバケツに—・ける」「大ジョッキを—・ける」
㋔ある時間を、拘束なしに使えるようにしておく。暇な時間をつくる。「その日は君のために—・けておく」
㋕留守にする。「旅行で家を—・ける」
３（開ける）
㋐隔てや仕切りになっているものを取り除く。閉じていたものを開く。「窓を—・ける」「封を—・ける」「鍵(かぎ)を—・ける」「目を—・ける」⇔閉める。
㋑営業を始める。営業を行う。「午前一〇時に店を—・ける」⇔閉める。
[補説]2は「明ける」とも書く。
[用法]あける・ひらく——「窓を開ける（開く）」は相通じて用いられる。◇「開ける」は空間をふさいでいる仕切りや覆いなどを取り除く意で、「ふたを開ける」「かばんを開ける」のように用いる。◇「開く」は「包みを開く」「本を開く」のように、重ねて結び合わせたり、折り畳んだりしてあるものを広げて、中が見えるようにすること。◇「開く」はまた、「運命を開く」「心を開く」など物事をよい方向に進めていこうとする意で比喩的に用いられることもある。◇「口を開ける」「目を開ける」は、上下の唇やまぶたを離し広げることであるが、また「話しはじめる」「自覚する、知識を得る」の意にもなる。また、「道をあける」は邪魔になるものを除いて通れるようにすることだが、「道を開く」は新しく道を作ることであり、さらに「問題解決への道を開く」のようにも用いられる。
[下接句]穴をあける・風穴(かざあな)を開ける・手を空ける・泣く子も目を開(あ)け・年季が明ける・蓋(ふた)を開ける・水をあける・夜も日も明けない・埒(らち)を明ける</t>
        </is>
      </c>
      <c r="D85" t="inlineStr">
        <is>
          <t>明けるとすぐ(2%)；明けると同時に；明けると間もなく；明けると早々；明けると雨</t>
        </is>
      </c>
      <c r="E85" t="inlineStr">
        <is>
          <t>朝が来る</t>
        </is>
      </c>
      <c r="F85" t="inlineStr">
        <is>
          <t>うち明ける；明けるまえ；いつ明ける；繰り明ける；しらじら明ける</t>
        </is>
      </c>
      <c r="H85" t="n">
        <v>29</v>
      </c>
      <c r="I85" t="inlineStr">
        <is>
          <t>夜の明けるころにはモデーナ領の国境を越えてもう身の安全を得ていた。；これは汽車の中で買ったんですが、ここで蓋を明けることにしましょう。；敵の中で、夜の明けるのを知らなかつたのは実に自分ながら度胸が可い。；夜が明けるころになっても、わたしはまだ眠ることができませんでした。；もちろん夜が明けると同時に、私は朝飯も何もあったものではなかった。；それで夜が明けるのを待って下山させることになっていると聞いたわ。；クリクが静かに野営地に戻ってきたのは、夜が明ける直前のことだった。；私は不眠のために夜の明けるまで床の中に輾転していたことを思い出す。；「そうすれば自然と回復するさ」 夜が明けると、風はまた強くなった。；夜が明けるとわれわれは、ふたたび彼らの死体と、瀕死の者の中にいた。；眼を明けようとしても、明けることができないほどの気持の悪さだった。；あなたが家を明けることで、私、苦情をいったことは決してなかったわ。；女はその晩を初めとして、日が暮れると来て夜が明けると帰って往った。；だから今のうちに夜の明けるまでに海上に出してしまうことができるだろう。；夜が明けると、ねまきを着た、この家の主人が、奥からあらわれました。；で、実に不思議だから、夜が明けるとすぐ父のところに行って話した。；しかし、夜が明けると辺りは何事もなかったかのように静まり返っていた。；夢中になって本を写しているまに夜の明けることもしばしばだったという。；実は今度上京したのも、わたしの家族にそれをうち明けるためなの。；夜が明けると、お美代が側に床を並べて寝ていた庄三郎の居ないに驚いた。；いつかは夜の明けることを信じて、ただ進みつづける以外にないのだった。；明けるに遅い北国の冬の朝は、やっと今陽が出ようとするところである。；稚内の夜が明けると人々の顔に早くも帰心が兆しているのにおどろいた。；だが、その年が明けると、その妹にも急に再縁の話が持ち上っていた。；だが、その年が明けると、その妹にも急に再縁の話が持ち上つてゐた。；だから夜の明けるのが、あんまり早かつたやうな気がしてなりませんでした。；それは、夜が明けるとすぐに車がやってきて父親と息子を運んで行くからである。；女性たちは夜が明けることを祈りながら一晩中恐怖と戦っていた。；父親が死んで、四十九日が明けるか明けないかのうちに息子が死んで。</t>
        </is>
      </c>
      <c r="J85">
        <f>HYPERLINK("https://www.weblio.jp/content/明ける", "词义详情")</f>
        <v/>
      </c>
      <c r="K85">
        <f>HYPERLINK("https://yourei.jp/明ける", "查看例句")</f>
        <v/>
      </c>
    </row>
    <row r="86">
      <c r="A86" t="inlineStr">
        <is>
          <t>あげる</t>
        </is>
      </c>
      <c r="B86" t="inlineStr">
        <is>
          <t>成功</t>
        </is>
      </c>
      <c r="C86" t="inlineStr">
        <is>
          <t>読み方：あげる
［動ガ下一］［文］あ・ぐ［ガ下二］
１そのもの全体または部分の位置を低い所から高い方へ動かす、また、移す。
㋐物の位置を低い所から高い所に移す。「箱を棚に—・げる」「幕を—・げる」「すだれを—・げる」⇔下ろす。
㋑方向を高い方へ移す。「顔を—・げてにらむ」「目を—・げる」
㋒垂れた髪を上の方で結う。「前髪を—・げる」
㋓地上から伸ばしたり飛ばしたりして、空中に浮かべる。「凧(たこ)を—・げる」「花火を—・げる」
㋔水上や水中から陸上に移す。「船を浜辺に—・げる」⇔下ろす。
㋕高い場所に、形を成すようにつくりおく。「棟を—・げる」
㋖家の中に入れる。「客間に—・げる」
㋗（揚げる）芸者などを宴席に呼ぶ。「芸者を—・げてどんちゃん騒ぎ」
㋘《「アップロード」から》インターネットなどで、通信回線を介してデータをホストコンピューターに送信する。「サーバーに圧縮ファイルを—・げる」
２所有者や高位の者の手元に収める。
㋐好ましい結果を得る。「収益を—・げる」
㋑（挙げる）検挙する。「犯人を—・げる」
３上の段階や等級へ進ませる。「息子を大学に—・げる」
４程度を高める。
㋐他と比較して高い状態になる。「右肩を—・げる」「潮が—・げてくる」
㋑今までより高い状態にする。「地位を—・げる」「家賃を—・げる」⇔下げる。
㋒褒める。「—・げたり下げたり」⇔下げる。
㋓いちだんと望ましい状態にする。「男ぶりを—・げる」「腕を—・げる」⇔下げる。
㋔勢いをつける。盛んにする。「気勢を—・げる」「調子を—・げる」
㋕声を高く発する。「悲鳴を—・げる」
５
㋐《頭に血を上げる意から》のぼせて夢中になる。「血道を—・げる」
㋑吐く。戻す。「酒を飲みすぎて—・げる」
６物事を終わりにする。
㋐仕上げる。完成する。「仕事を—・げる」
㋑その範囲内でまかなう。「会費を安く—・げる」
㋒（挙げる）力などを出し尽くす。「全力を—・げる」「町を—・げて応援する」
㋓（挙げる）子を得る。「男子を—・げる」
７人の目についたり、広く知られるようにする。
㋐（上げる・揚げる）掲げる。「国旗を—・げる」
㋑有名にする。「名を—・げる」
㋒（挙げる）事を起こす。「兵を—・げる」
㋓（挙げる）執り行う。「結婚式を—・げる」
㋔（挙げる）表し示す。「例を—・げる」「証拠を—・げる」
㋕効果や実績を現す。「成果を—・げた」
㋖（挙げる）推挙する。「候補者を—・げる」
８（揚げる）揚げ物を作る。「てんぷらを—・げる」
９神仏や敬うべき人などに、ある行為がなされる。
㋐神仏に供える。「供物を—・げる」⇔下げる。
㋑「与える」「やる」を、その相手を敬っていう語。「洋服を—・げる」
10地方から都に行く。上京する。
「京にとく—・げ給ひて」〈更級〉
11戸や格子を上部に開きあける。
「格子なども—・げながら冬の夜を居明かして」〈枕・一七九〉
12勢いよく馬をはねあがらせる。
「中道口を外(はづ)させて—・げけり」〈著聞集・一〇〉
13動詞の連用形のあとに付いて複合語をつくる。
㋐その動作が終わる意を表す。「仕事を早くし—・げる」「一日で織り—・げる」
㋑十分に、しっかり、などの意を添える。「丁稚(でっち)からたたき—・げる」「調べ—・げる」
㋒他に分かるようにはっきりと言葉で示す。「共同宣言としてうたい—・げる」
㋓（「申す」「存ずる」などに付いて）へりくだった意味を表す。「お願い申し—・げます」「右のように存じ—・げております」
14（補助動詞）動詞の連用形に接続助詞「て」が付いた形に付いて、主体が動詞の表す行為を他者に対し恩恵として行う意を表す。「てやる」の丁寧な言い方。「仕事を手伝って—・げる」「君のかわりに行って—・げよう」
[補説]9㋑は本来、敬うべき対象に物をさし上げるの意で、「犬にえさをあげる」のような言い方はしなかった。現在では「与える・やる」の美化語として使う人が増えている。
[下接句]頭を上げる・アドバルーンを揚げる・団扇(うちわ)を上げる・腕を上げる・海(うみ)波を揚げず・得手(えて)に帆を揚げる・追風(おいて)に帆を上げる・男を上げる・凱歌(がいか)を揚げる・気炎を揚げる・軍配を上げる・呱々(ここ)の声をあげる・腰を上げる・順風に帆を上げる・尻(しり)を上げる・棚に上げる・血道を上げる・手を上げる・床(とこ)を上げる・名を揚げる・名乗りを上げる・音(ね)を上げる・熱を上げる・狼煙(のろし)を上げる・旗を揚げる・ピッチを上げる・一旗(ひとはた)揚げる・兵を挙げる・星を挙げる・御輿(みこし)を上げる・味噌(みそ)を上げる・三日にあげず・メートルを上げる・諸手(もろて)を挙げる・櫓(やぐら)を上げる・槍玉(やりだま)に挙げる・世(よ)を挙げて</t>
        </is>
      </c>
      <c r="D86" t="inlineStr">
        <is>
          <t>あげるべき；あげる間もなく；あげるいと；あげるひまもなく；あげる暇もなく</t>
        </is>
      </c>
      <c r="E86" t="inlineStr">
        <is>
          <t>くれる；与える；上げる；提供する；送る</t>
        </is>
      </c>
      <c r="F86" t="inlineStr">
        <is>
          <t>持ちあげる；教えてあげる；せてあげる；拾いあげる；読みあげる</t>
        </is>
      </c>
      <c r="H86" t="n">
        <v>29</v>
      </c>
      <c r="I86" t="inlineStr">
        <is>
          <t>こういった映像表現の発生した背景には、初期の写真技術があげられる。；仙台は馬産に適した地域であったことから藩をあげて育成に努めていた。；作品中に私がしばしば登場させるものをあげれば、薬と装置であろうか。；もっともよく演奏され、よく知られた代表的な曲の例としてあげてある。；そして木のためにみんなで祭りをしてあげようということになりました。；あの子たちに意識させてあげればわたしに気付いてくれると思ったのに。；彼女に勝ちの味を教えてあげられなかったことには悔しさも感じています。；またこれらのサポートユニットには幾つかプランがあげられているという。；自分より小さい女の子が泣いていると傍に行って歌ってあげるアニー。；わたしはあなたを慰めてあげようと思って、大変気が急いているんです。；空の方がずっと近く、手をあげれば雲がつかめそうなほどに感じられる。；続いてあげれば倫理学の教授となることに決心した和辻博士位いだろう。；このとき、彼らは隣の人の声を聞くのを待たずに声をあげることができる。；またエイミィの寝癖が気になって直してあげるなどお茶目な一面もある。；形のはっきりしない、重そうなものを持ちあげようとしているのが見える。；頭の脇の、彼が見あげればすぐに目に入るところに、位牌が乗せてある。；財産をつくった人々は、一つ一つのものから利益をあげようと思ったのだ。；そこで風介は現在の彼女を探し、自ら結婚して助けてあげようとした。；日本においては、様々な方法を用いて目的物の価値をあげることを指す。；理想気体に成立する法則として代表的なものには次のものがあげられる。；もうすこし高度をあげれば、その領域が望めるところにまで達していた。；そして夢を見る以外は、何も見ることのできないようにしてあげよう。；MSNは廃止理由としてユーザーの減少、管理的な問題等をあげている。；そんなに大切なものなら生きているうちに大切にしてあげればいいでしょう。；その人の悪いカルマを落としてあげるには苦しみを与えればいいとされた。；そのとき以来、あの人を、いっそ私の手で殺してあげようと思いました。；次に宇宙および地上のプラズマの代表的な例とその特性値をあげる。；私はヴェ氏に、この事件を利用していくらか金を巻きあげようといった。；そこで表現の自由に制限があるものと、制限のない意見をあげてみた。</t>
        </is>
      </c>
      <c r="J86">
        <f>HYPERLINK("https://www.weblio.jp/content/あげる", "词义详情")</f>
        <v/>
      </c>
      <c r="K86">
        <f>HYPERLINK("https://yourei.jp/あげる", "查看例句")</f>
        <v/>
      </c>
    </row>
    <row r="87">
      <c r="A87" t="inlineStr">
        <is>
          <t>挙げる</t>
        </is>
      </c>
      <c r="B87" t="inlineStr">
        <is>
          <t>成功</t>
        </is>
      </c>
      <c r="C87" t="inlineStr">
        <is>
          <t>読み方：あげる
［動ガ下一］［文］あ・ぐ［ガ下二］
１そのもの全体または部分の位置を低い所から高い方へ動かす、また、移す。
㋐物の位置を低い所から高い所に移す。「箱を棚に—・げる」「幕を—・げる」「すだれを—・げる」⇔下ろす。
㋑方向を高い方へ移す。「顔を—・げてにらむ」「目を—・げる」
㋒垂れた髪を上の方で結う。「前髪を—・げる」
㋓地上から伸ばしたり飛ばしたりして、空中に浮かべる。「凧(たこ)を—・げる」「花火を—・げる」
㋔水上や水中から陸上に移す。「船を浜辺に—・げる」⇔下ろす。
㋕高い場所に、形を成すようにつくりおく。「棟を—・げる」
㋖家の中に入れる。「客間に—・げる」
㋗（揚げる）芸者などを宴席に呼ぶ。「芸者を—・げてどんちゃん騒ぎ」
㋘《「アップロード」から》インターネットなどで、通信回線を介してデータをホストコンピューターに送信する。「サーバーに圧縮ファイルを—・げる」
２所有者や高位の者の手元に収める。
㋐好ましい結果を得る。「収益を—・げる」
㋑（挙げる）検挙する。「犯人を—・げる」
３上の段階や等級へ進ませる。「息子を大学に—・げる」
４程度を高める。
㋐他と比較して高い状態になる。「右肩を—・げる」「潮が—・げてくる」
㋑今までより高い状態にする。「地位を—・げる」「家賃を—・げる」⇔下げる。
㋒褒める。「—・げたり下げたり」⇔下げる。
㋓いちだんと望ましい状態にする。「男ぶりを—・げる」「腕を—・げる」⇔下げる。
㋔勢いをつける。盛んにする。「気勢を—・げる」「調子を—・げる」
㋕声を高く発する。「悲鳴を—・げる」
５
㋐《頭に血を上げる意から》のぼせて夢中になる。「血道を—・げる」
㋑吐く。戻す。「酒を飲みすぎて—・げる」
６物事を終わりにする。
㋐仕上げる。完成する。「仕事を—・げる」
㋑その範囲内でまかなう。「会費を安く—・げる」
㋒（挙げる）力などを出し尽くす。「全力を—・げる」「町を—・げて応援する」
㋓（挙げる）子を得る。「男子を—・げる」
７人の目についたり、広く知られるようにする。
㋐（上げる・揚げる）掲げる。「国旗を—・げる」
㋑有名にする。「名を—・げる」
㋒（挙げる）事を起こす。「兵を—・げる」
㋓（挙げる）執り行う。「結婚式を—・げる」
㋔（挙げる）表し示す。「例を—・げる」「証拠を—・げる」
㋕効果や実績を現す。「成果を—・げた」
㋖（挙げる）推挙する。「候補者を—・げる」
８（揚げる）揚げ物を作る。「てんぷらを—・げる」
９神仏や敬うべき人などに、ある行為がなされる。
㋐神仏に供える。「供物を—・げる」⇔下げる。
㋑「与える」「やる」を、その相手を敬っていう語。「洋服を—・げる」
10地方から都に行く。上京する。
「京にとく—・げ給ひて」〈更級〉
11戸や格子を上部に開きあける。
「格子なども—・げながら冬の夜を居明かして」〈枕・一七九〉
12勢いよく馬をはねあがらせる。
「中道口を外(はづ)させて—・げけり」〈著聞集・一〇〉
13動詞の連用形のあとに付いて複合語をつくる。
㋐その動作が終わる意を表す。「仕事を早くし—・げる」「一日で織り—・げる」
㋑十分に、しっかり、などの意を添える。「丁稚(でっち)からたたき—・げる」「調べ—・げる」
㋒他に分かるようにはっきりと言葉で示す。「共同宣言としてうたい—・げる」
㋓（「申す」「存ずる」などに付いて）へりくだった意味を表す。「お願い申し—・げます」「右のように存じ—・げております」
14（補助動詞）動詞の連用形に接続助詞「て」が付いた形に付いて、主体が動詞の表す行為を他者に対し恩恵として行う意を表す。「てやる」の丁寧な言い方。「仕事を手伝って—・げる」「君のかわりに行って—・げよう」
[補説]9㋑は本来、敬うべき対象に物をさし上げるの意で、「犬にえさをあげる」のような言い方はしなかった。現在では「与える・やる」の美化語として使う人が増えている。
[下接句]頭を上げる・アドバルーンを揚げる・団扇(うちわ)を上げる・腕を上げる・海(うみ)波を揚げず・得手(えて)に帆を揚げる・追風(おいて)に帆を上げる・男を上げる・凱歌(がいか)を揚げる・気炎を揚げる・軍配を上げる・呱々(ここ)の声をあげる・腰を上げる・順風に帆を上げる・尻(しり)を上げる・棚に上げる・血道を上げる・手を上げる・床(とこ)を上げる・名を揚げる・名乗りを上げる・音(ね)を上げる・熱を上げる・狼煙(のろし)を上げる・旗を揚げる・ピッチを上げる・一旗(ひとはた)揚げる・兵を挙げる・星を挙げる・御輿(みこし)を上げる・味噌(みそ)を上げる・三日にあげず・メートルを上げる・諸手(もろて)を挙げる・櫓(やぐら)を上げる・槍玉(やりだま)に挙げる・世(よ)を挙げて</t>
        </is>
      </c>
      <c r="D87" t="inlineStr">
        <is>
          <t>挙げるなら；挙げる因子と相互作用；挙げるべき；挙げるべく；挙げる圧倒的な強</t>
        </is>
      </c>
      <c r="E87" t="inlineStr">
        <is>
          <t>する；行う；上げる；起こす；立てる</t>
        </is>
      </c>
      <c r="F87" t="inlineStr">
        <is>
          <t>挙げるなど活躍；挙げるなどチーム</t>
        </is>
      </c>
      <c r="H87" t="n">
        <v>29</v>
      </c>
      <c r="I87" t="inlineStr">
        <is>
          <t>過去に認定されていたが、現在では認定されていない記録の例を挙げる。；近年特に発展している実験技術の例を挙げると、次のようなものがある。；道具を作り利用する能力が他の生物よりも長けていることも挙げられる。；その背景にはカースト制度に基づくが深く影響している点が挙げられる。；目的のためには手段を選ばないし、苦労をしないで名を挙げようとする。；ここでは複数の地名説話で名が挙げられた神とその妻や子らを主に挙げる。；ここで挙げる一例の他にも、これまでに様々なテーマの週が行われている。；また、こうした翻訳が重要な役割を果たした国として日本が挙げられる。；用語は数多く存在するが、その中でも代表的なもののみ以下に挙げる。；複数の手法による解析の結果、いくつかの破壊モデルが挙げられている。；この記事では、文法に関してごくわずかしか例を挙げることができない。；衛生上の知識に関連する学問分野として次に挙げるものが知られている。；他にも挙げればきりがないほど、実に様々なスタイルで行われている。；その後、実際に運用もされたがめぼしい成果を挙げることはできなかった。；特に著名なガイドブックや調査本を挙げると次のようなものがある。；過去のライブ映像やインタビューなどで使用が確認されているものを挙げる。；以下に挙げる放送データは、毎日放送で放送されたものを基本とする。；以下に主なものを挙げるが、詳細については各スポーツの項目を参照。；また実際、その例ともいえるようなことを挙げればいくらでもあった。；国鉄またはその関連組織が行っていた鉄道事業以外の事業を下記に挙げる。；ここでは、本作に登場するアイテム類のうち何度も登場するもののみを挙げる。；以下に2001年宇宙の旅シリーズに登場するモノリスの詳細を挙げる。；その中にはデビュー当初から優れた実績を挙げ才能を期待されていた人物も見られる。；グラフィック・BGM以外に特筆すべき変更点のあるものだけを挙げる。；その最も代表的なものとして挙げられるのが保守主義と進歩主義である。；これは上に挙げたさまざまな集団の存在に気づかないために起こる誤認による。；種類が非常に多岐に渡るため、網羅的に挙げようとすることは行わない。；それぞれの立場からの代表的な解釈・作家論を以下に挙げる。；次に挙げる著作はエウクレイデスのものとされているが、現存しない。</t>
        </is>
      </c>
      <c r="J87">
        <f>HYPERLINK("https://www.weblio.jp/content/挙げる", "词义详情")</f>
        <v/>
      </c>
      <c r="K87">
        <f>HYPERLINK("https://yourei.jp/挙げる", "查看例句")</f>
        <v/>
      </c>
    </row>
    <row r="88">
      <c r="A88" t="inlineStr">
        <is>
          <t>上げる</t>
        </is>
      </c>
      <c r="B88" t="inlineStr">
        <is>
          <t>成功</t>
        </is>
      </c>
      <c r="C88" t="inlineStr">
        <is>
          <t>読み方：あげる
［動ガ下一］［文］あ・ぐ［ガ下二］
１そのもの全体または部分の位置を低い所から高い方へ動かす、また、移す。
㋐物の位置を低い所から高い所に移す。「箱を棚に—・げる」「幕を—・げる」「すだれを—・げる」⇔下ろす。
㋑方向を高い方へ移す。「顔を—・げてにらむ」「目を—・げる」
㋒垂れた髪を上の方で結う。「前髪を—・げる」
㋓地上から伸ばしたり飛ばしたりして、空中に浮かべる。「凧(たこ)を—・げる」「花火を—・げる」
㋔水上や水中から陸上に移す。「船を浜辺に—・げる」⇔下ろす。
㋕高い場所に、形を成すようにつくりおく。「棟を—・げる」
㋖家の中に入れる。「客間に—・げる」
㋗（揚げる）芸者などを宴席に呼ぶ。「芸者を—・げてどんちゃん騒ぎ」
㋘《「アップロード」から》インターネットなどで、通信回線を介してデータをホストコンピューターに送信する。「サーバーに圧縮ファイルを—・げる」
２所有者や高位の者の手元に収める。
㋐好ましい結果を得る。「収益を—・げる」
㋑（挙げる）検挙する。「犯人を—・げる」
３上の段階や等級へ進ませる。「息子を大学に—・げる」
４程度を高める。
㋐他と比較して高い状態になる。「右肩を—・げる」「潮が—・げてくる」
㋑今までより高い状態にする。「地位を—・げる」「家賃を—・げる」⇔下げる。
㋒褒める。「—・げたり下げたり」⇔下げる。
㋓いちだんと望ましい状態にする。「男ぶりを—・げる」「腕を—・げる」⇔下げる。
㋔勢いをつける。盛んにする。「気勢を—・げる」「調子を—・げる」
㋕声を高く発する。「悲鳴を—・げる」
５
㋐《頭に血を上げる意から》のぼせて夢中になる。「血道を—・げる」
㋑吐く。戻す。「酒を飲みすぎて—・げる」
６物事を終わりにする。
㋐仕上げる。完成する。「仕事を—・げる」
㋑その範囲内でまかなう。「会費を安く—・げる」
㋒（挙げる）力などを出し尽くす。「全力を—・げる」「町を—・げて応援する」
㋓（挙げる）子を得る。「男子を—・げる」
７人の目についたり、広く知られるようにする。
㋐（上げる・揚げる）掲げる。「国旗を—・げる」
㋑有名にする。「名を—・げる」
㋒（挙げる）事を起こす。「兵を—・げる」
㋓（挙げる）執り行う。「結婚式を—・げる」
㋔（挙げる）表し示す。「例を—・げる」「証拠を—・げる」
㋕効果や実績を現す。「成果を—・げた」
㋖（挙げる）推挙する。「候補者を—・げる」
８（揚げる）揚げ物を作る。「てんぷらを—・げる」
９神仏や敬うべき人などに、ある行為がなされる。
㋐神仏に供える。「供物を—・げる」⇔下げる。
㋑「与える」「やる」を、その相手を敬っていう語。「洋服を—・げる」
10地方から都に行く。上京する。
「京にとく—・げ給ひて」〈更級〉
11戸や格子を上部に開きあける。
「格子なども—・げながら冬の夜を居明かして」〈枕・一七九〉
12勢いよく馬をはねあがらせる。
「中道口を外(はづ)させて—・げけり」〈著聞集・一〇〉
13動詞の連用形のあとに付いて複合語をつくる。
㋐その動作が終わる意を表す。「仕事を早くし—・げる」「一日で織り—・げる」
㋑十分に、しっかり、などの意を添える。「丁稚(でっち)からたたき—・げる」「調べ—・げる」
㋒他に分かるようにはっきりと言葉で示す。「共同宣言としてうたい—・げる」
㋓（「申す」「存ずる」などに付いて）へりくだった意味を表す。「お願い申し—・げます」「右のように存じ—・げております」
14（補助動詞）動詞の連用形に接続助詞「て」が付いた形に付いて、主体が動詞の表す行為を他者に対し恩恵として行う意を表す。「てやる」の丁寧な言い方。「仕事を手伝って—・げる」「君のかわりに行って—・げよう」
[補説]9㋑は本来、敬うべき対象に物をさし上げるの意で、「犬にえさをあげる」のような言い方はしなかった。現在では「与える・やる」の美化語として使う人が増えている。
[下接句]頭を上げる・アドバルーンを揚げる・団扇(うちわ)を上げる・腕を上げる・海(うみ)波を揚げず・得手(えて)に帆を揚げる・追風(おいて)に帆を上げる・男を上げる・凱歌(がいか)を揚げる・気炎を揚げる・軍配を上げる・呱々(ここ)の声をあげる・腰を上げる・順風に帆を上げる・尻(しり)を上げる・棚に上げる・血道を上げる・手を上げる・床(とこ)を上げる・名を揚げる・名乗りを上げる・音(ね)を上げる・熱を上げる・狼煙(のろし)を上げる・旗を揚げる・ピッチを上げる・一旗(ひとはた)揚げる・兵を挙げる・星を挙げる・御輿(みこし)を上げる・味噌(みそ)を上げる・三日にあげず・メートルを上げる・諸手(もろて)を挙げる・櫓(やぐら)を上げる・槍玉(やりだま)に挙げる・世(よ)を挙げて</t>
        </is>
      </c>
      <c r="D88" t="inlineStr">
        <is>
          <t>上げるべく；上げる間もなく；上げる暇もなく；上げる余裕もなく</t>
        </is>
      </c>
      <c r="E88" t="inlineStr">
        <is>
          <t>くれる；与える；提供する；送る；授与</t>
        </is>
      </c>
      <c r="F88" t="inlineStr">
        <is>
          <t>申上げる；仕立て上げる；跳ね上げる；締め上げる；蹴り上げる</t>
        </is>
      </c>
      <c r="H88" t="n">
        <v>29</v>
      </c>
      <c r="I88" t="inlineStr">
        <is>
          <t>数千枚の原稿を捨てながら作品の完成度を上げることに努力したという。；女優などが自分の名前を冠した商品やブランドを立ち上げることもある。；東京で名を上げるために泣いて反対する母を振り切っての入門であった。；また会社組織を立ち上げる際には、役員の人選等にも影響を与えていた。；驚いて顔を上げれば、ホロが物を落としたままの格好でじっとしていた。；同様に文化を75以上に上げることで各国に固有の特殊効果が得られる。；日本人は「ここまで足を上げろ」といえば全員が同じところまで上げる。；入手したマナエネルギーの数より魔法レベルを上げることはできない。；ザムシャーを倒して己の名を上げるため、彼を追って地球にやってきた。；お金を右から左に動かして利益を上げればいいという商売じゃないんだ。；客を長居させず、それによって回転率を上げるような設計になっている。；各藩の事例を細かく調べ上げればその地域差と時代さは更に多様となりうる。；政府なんて言葉では誰を敵にして気勢を上げればいいかわからない。；パラメータはそれぞれのヒロインの家の親の元で修行して上げる事も可能。；武器レベルはこのモードでのみ上げることが可能である。；その声に顔を上げれば、旅籠の入り口にはやはり剣を持った別の男がいる。；だが結局、公募期間終了までに売却に名乗りを上げる企業は現れなかった。；速度に応じて徐々に電圧を上げれば実感的な運転ができるわけである。；それを見ていた一人の青年が自分のものと取り替えて上げる。；また、試験前などの中途半端な緊張状態はむしろ尿意を上げることがある。；どちらかが少しでも視線を上げれば、隠れている俺に気が付くだろう。；また、駅でなくても線路際で手を上げれば、列車を止めて乗車できた。；いずれも内蔵されている装備と武器は戦闘力と捜査力を上げるものとなっている。；こんなに星は手を上げれば届きそうな所で輝いているのだろうか。；席を増やさなくても、値段を上げる手もあるし、やり方はいろいろある。；その名の由来は一説に「玉」を入れて茹で上げるからと言われている。；多くの学生が自ら組織を立ち上げるなど、大学内には700以上のクラブがある。；第2次UWFには後にパンクラスを立ち上げる船木誠勝が参加している。；すなわち原子炉出力を上げたい時は冷却材再循環ポンプの出力を上げる。</t>
        </is>
      </c>
      <c r="J88">
        <f>HYPERLINK("https://www.weblio.jp/content/上げる", "词义详情")</f>
        <v/>
      </c>
      <c r="K88">
        <f>HYPERLINK("https://yourei.jp/上げる", "查看例句")</f>
        <v/>
      </c>
    </row>
    <row r="89">
      <c r="A89" t="inlineStr">
        <is>
          <t>揚げる</t>
        </is>
      </c>
      <c r="B89" t="inlineStr">
        <is>
          <t>成功</t>
        </is>
      </c>
      <c r="C89" t="inlineStr">
        <is>
          <t>読み方：あげる
［動ガ下一］［文］あ・ぐ［ガ下二］
１そのもの全体または部分の位置を低い所から高い方へ動かす、また、移す。
㋐物の位置を低い所から高い所に移す。「箱を棚に—・げる」「幕を—・げる」「すだれを—・げる」⇔下ろす。
㋑方向を高い方へ移す。「顔を—・げてにらむ」「目を—・げる」
㋒垂れた髪を上の方で結う。「前髪を—・げる」
㋓地上から伸ばしたり飛ばしたりして、空中に浮かべる。「凧(たこ)を—・げる」「花火を—・げる」
㋔水上や水中から陸上に移す。「船を浜辺に—・げる」⇔下ろす。
㋕高い場所に、形を成すようにつくりおく。「棟を—・げる」
㋖家の中に入れる。「客間に—・げる」
㋗（揚げる）芸者などを宴席に呼ぶ。「芸者を—・げてどんちゃん騒ぎ」
㋘《「アップロード」から》インターネットなどで、通信回線を介してデータをホストコンピューターに送信する。「サーバーに圧縮ファイルを—・げる」
２所有者や高位の者の手元に収める。
㋐好ましい結果を得る。「収益を—・げる」
㋑（挙げる）検挙する。「犯人を—・げる」
３上の段階や等級へ進ませる。「息子を大学に—・げる」
４程度を高める。
㋐他と比較して高い状態になる。「右肩を—・げる」「潮が—・げてくる」
㋑今までより高い状態にする。「地位を—・げる」「家賃を—・げる」⇔下げる。
㋒褒める。「—・げたり下げたり」⇔下げる。
㋓いちだんと望ましい状態にする。「男ぶりを—・げる」「腕を—・げる」⇔下げる。
㋔勢いをつける。盛んにする。「気勢を—・げる」「調子を—・げる」
㋕声を高く発する。「悲鳴を—・げる」
５
㋐《頭に血を上げる意から》のぼせて夢中になる。「血道を—・げる」
㋑吐く。戻す。「酒を飲みすぎて—・げる」
６物事を終わりにする。
㋐仕上げる。完成する。「仕事を—・げる」
㋑その範囲内でまかなう。「会費を安く—・げる」
㋒（挙げる）力などを出し尽くす。「全力を—・げる」「町を—・げて応援する」
㋓（挙げる）子を得る。「男子を—・げる」
７人の目についたり、広く知られるようにする。
㋐（上げる・揚げる）掲げる。「国旗を—・げる」
㋑有名にする。「名を—・げる」
㋒（挙げる）事を起こす。「兵を—・げる」
㋓（挙げる）執り行う。「結婚式を—・げる」
㋔（挙げる）表し示す。「例を—・げる」「証拠を—・げる」
㋕効果や実績を現す。「成果を—・げた」
㋖（挙げる）推挙する。「候補者を—・げる」
８（揚げる）揚げ物を作る。「てんぷらを—・げる」
９神仏や敬うべき人などに、ある行為がなされる。
㋐神仏に供える。「供物を—・げる」⇔下げる。
㋑「与える」「やる」を、その相手を敬っていう語。「洋服を—・げる」
10地方から都に行く。上京する。
「京にとく—・げ給ひて」〈更級〉
11戸や格子を上部に開きあける。
「格子なども—・げながら冬の夜を居明かして」〈枕・一七九〉
12勢いよく馬をはねあがらせる。
「中道口を外(はづ)させて—・げけり」〈著聞集・一〇〉
13動詞の連用形のあとに付いて複合語をつくる。
㋐その動作が終わる意を表す。「仕事を早くし—・げる」「一日で織り—・げる」
㋑十分に、しっかり、などの意を添える。「丁稚(でっち)からたたき—・げる」「調べ—・げる」
㋒他に分かるようにはっきりと言葉で示す。「共同宣言としてうたい—・げる」
㋓（「申す」「存ずる」などに付いて）へりくだった意味を表す。「お願い申し—・げます」「右のように存じ—・げております」
14（補助動詞）動詞の連用形に接続助詞「て」が付いた形に付いて、主体が動詞の表す行為を他者に対し恩恵として行う意を表す。「てやる」の丁寧な言い方。「仕事を手伝って—・げる」「君のかわりに行って—・げよう」
[補説]9㋑は本来、敬うべき対象に物をさし上げるの意で、「犬にえさをあげる」のような言い方はしなかった。現在では「与える・やる」の美化語として使う人が増えている。
[下接句]頭を上げる・アドバルーンを揚げる・団扇(うちわ)を上げる・腕を上げる・海(うみ)波を揚げず・得手(えて)に帆を揚げる・追風(おいて)に帆を上げる・男を上げる・凱歌(がいか)を揚げる・気炎を揚げる・軍配を上げる・呱々(ここ)の声をあげる・腰を上げる・順風に帆を上げる・尻(しり)を上げる・棚に上げる・血道を上げる・手を上げる・床(とこ)を上げる・名を揚げる・名乗りを上げる・音(ね)を上げる・熱を上げる・狼煙(のろし)を上げる・旗を揚げる・ピッチを上げる・一旗(ひとはた)揚げる・兵を挙げる・星を挙げる・御輿(みこし)を上げる・味噌(みそ)を上げる・三日にあげず・メートルを上げる・諸手(もろて)を挙げる・櫓(やぐら)を上げる・槍玉(やりだま)に挙げる・世(よ)を挙げて</t>
        </is>
      </c>
      <c r="D89" t="inlineStr">
        <is>
          <t>掲げる；擡げる；炒る；煎る；熬る</t>
        </is>
      </c>
      <c r="F89" t="inlineStr">
        <is>
          <t>つけて揚げる；高く揚げる；巻き揚げる；打ち揚げる</t>
        </is>
      </c>
      <c r="H89" t="n">
        <v>29</v>
      </c>
      <c r="I89" t="inlineStr">
        <is>
          <t>そうすれば、お前は亡くなったお父さんの名を揚げることになるだろう。；その損傷の多くは白旗が揚げられている間に成されたと考える者がいた。；床板が揚げ蓋になっていて、その下にどうやら階段がついているらしい。；中国では皮付きの種を油で揚げてから塩をまぶす方法も一般的である。；ピングーは家の庭で凧を揚げていたが家の屋根にひっかかってしまった。；不断は帆柱の先に白い小旗を揚げるが、女が乗ったら赤に易えさせよう。；一般的に表面の水分を飛ばして内側を加熱するために二度揚げがされる。；揚げ麺と粉末スープの素をセットにした商品が数社から販売されている。；顔を揚げると、傍で小僧が指を食はへて、不思議さうに彼を見てゐた。；武器を捨て、白旗を揚げて我々の元に来るならば、我々は戦いを終える。；この連続した勝利で独立に向かう植民地人の士気を大いに揚げることができた。；短く切った春雨を揚げ物の衣とすることもあり、これを春雨揚げと呼ぶ。；油にて揚げる時最初は火を弱くして緩々揚げ後ち火を強くして卸すべし。；帆なら音を立てないが、この風では帆を揚げるわけにはいかなかった。；制服を着た一組の恋人が、凧を揚げる姿がすぐそこにあるように思い浮かんだ。；もう二三日すると江戸へ引揚げるんだ、いそがねえと置いてっちまうぜ。；春雨をそのまま中華鍋に投入し、油で揚げてたれに絡ませる方法もある。；湖は曇った空の下にちょうど鉛の板かと思うほど、波一つ揚げていなかった。；そのある物は非常に大きいので、揚げるのに小型な繩を必要とする。；気の済むまで反発した後、クラスメイトたちも白旗を揚げることだろう。；陸へ揚げに行つて再び戻つて来た時には、波は可成り高くなつて居た。；この交渉の間に、イギリスの国旗を揚げている3隻の船が認められた。；「人が呼んだら、返事ぐらいしろ」 台所で何かを油で揚げる音が聞こえた。；七人目の犠牲者も、同様に気球に載せられ天空高く揚げられたのでした。；性格は陽気だが、来客などに怖がって唸り声を揚げることもあるという。；また、庭園の上部に水を揚げるために、らせん式揚水装置が用いられた。；そのうちに他の人が、その幕を揚げてくれる筈でございます。；電話口の向うで、卵を揚げるときのような音がいたしますの。；珠洲の揚げ浜塩が味のポイントで、すっきりとした大人味の塩サイダー。</t>
        </is>
      </c>
      <c r="J89">
        <f>HYPERLINK("https://www.weblio.jp/content/揚げる", "词义详情")</f>
        <v/>
      </c>
      <c r="K89">
        <f>HYPERLINK("https://yourei.jp/揚げる", "查看例句")</f>
        <v/>
      </c>
    </row>
    <row r="90">
      <c r="A90" t="inlineStr">
        <is>
          <t>顎</t>
        </is>
      </c>
      <c r="B90" t="inlineStr">
        <is>
          <t>成功</t>
        </is>
      </c>
      <c r="C90" t="inlineStr">
        <is>
          <t>読み方：あぎ
あご（顎）の古名。あぎと。〈和名抄〉</t>
        </is>
      </c>
      <c r="D90" t="inlineStr">
        <is>
          <t>顎鬚(3%)；顎髭；顎髯；顎十郎；顎紐</t>
        </is>
      </c>
      <c r="E90" t="inlineStr">
        <is>
          <t>ジル；エラ；チン；鰓；頤</t>
        </is>
      </c>
      <c r="F90" t="inlineStr">
        <is>
          <t>大顎；長い顎；両顎；白い顎；大きな顎</t>
        </is>
      </c>
      <c r="G90" t="inlineStr">
        <is>
          <t>顎関節；顎関節症；顎下腺；顎舌骨筋；顎二腹筋</t>
        </is>
      </c>
      <c r="H90" t="n">
        <v>29</v>
      </c>
      <c r="I90" t="inlineStr">
        <is>
          <t>また顎の力が強いため薄い梱包であれば穴を開け内部に侵入してしまう。；雄の特徴である2本の歯は比較的小さく、下顎の先端部に位置している。；顎に並ぶナイフ状の短い歯は、ほとんどが同じ長さで生えそろっていた。；顎の歯は少なくとも一部は分割され、ほとんどの種では外側を向いている。；口のまわりにある3対の顎脚のうち、外側の第3顎脚が大きく発達する。；これらの特徴は顎の筋肉の体積や長さの増大にも関連した可能性がある。；下は顎の先端から上は頭髪の生え際まで、左右は耳までがほぼ顔である。；歯はよく生え変わるが、下顎の歯は1つずつではなく一度に抜け落ちる。；また、下顎のエラの部分の前ほどにある凹みが多くみられるようになる。；大きな口は上向きに開いており、下顎には延長された骨板が含まれている。；顎がないことが度々取り上げられることがあり、本人も売りにしている。；なお側頭窓はヒトでは顎の筋肉と側頭部とを結ぶための穴に相当する。；切り顎は、声がこもらずに聴こえやすくするための構造とも考えられる。；下顎の内側は微細で鋭い歯に覆われており、しかし、上顎の歯は少ない。；顎の骨が骨折したものが自然治癒している個体も複数見つかっている。；その形はクワガタムシの大顎を胸の上に折り畳んだようなものである。；雄の特徴である下顎の2本の歯は比較的小さいためあまり目立たない。；これは節足動物の大顎のようにそれぞれ独立して動かすことができる。；長い吻部によく発達した顎を持ち、そこに生える歯はどれも大きかった。；オスの大顎の内側に鋸のように歯が数多く並んでいることから名付けられた。；彼らは翌年に第二次調査期間に入り、ほどなく人類の顎の化石を発見した。；顎と歯の形態もまた、フグ類の系統関係を強く反映する重要な形質である。；多くの場合、前方1対もしくは複数対の胸肢は摂食用の顎脚に特化する。；口蓋骨は顎を閉じた際に下顎の歯が収まることのできる小さな孔を有した。；ある時期を過ぎると上顎も伸びるようになり、下顎とほぼ同じ長さになる。；チャックを上までかけるとタートルネック状になり顎の下あたりまでくる。；脊椎動物では、無顎類以外のものは顎をもち、上下に開くことができる。；反対の顎の歯とどのように互いに咬合するかは歯根膜の形成に影響を与える。；また口器はシラミと違って吸収型でなく咀嚼型で大顎が発達している。</t>
        </is>
      </c>
      <c r="J90">
        <f>HYPERLINK("https://www.weblio.jp/content/顎", "词义详情")</f>
        <v/>
      </c>
      <c r="K90">
        <f>HYPERLINK("https://yourei.jp/顎", "查看例句")</f>
        <v/>
      </c>
    </row>
    <row r="91">
      <c r="A91" t="inlineStr">
        <is>
          <t>憧れ</t>
        </is>
      </c>
      <c r="B91" t="inlineStr">
        <is>
          <t>成功</t>
        </is>
      </c>
      <c r="C91" t="inlineStr">
        <is>
          <t>石川啄木の第1詩集。明治38年（1905）、小田島書房より刊行。上田敏が序詩を寄せ、与謝野鉄幹が跋文(ばつぶん)を書いた。</t>
        </is>
      </c>
      <c r="D91" t="inlineStr">
        <is>
          <t>憧れる男たち；憧れるごく</t>
        </is>
      </c>
      <c r="E91" t="inlineStr">
        <is>
          <t>望む；尊敬；感心；賞賛；崇拝</t>
        </is>
      </c>
      <c r="H91" t="n">
        <v>29</v>
      </c>
      <c r="I91" t="inlineStr">
        <is>
          <t>あらゆる研究者が憧れるその光が、いま目の前ではっきりと輝いている。；運命の恋に一途に憧れる女性が最後にたどり着く真実の愛を描いている。；同時期に映画に憧れて出てみたいとの思いから俳優を目指し始めた。；そしてそれぞれの憧れの場所へと行ってしまった彼らの本当の居場所とは?；彼女たちのドラマ内での生活スタイルは当時の若い女性の憧れであった。；同時期にクラブに在籍していたフランク・ライカールトを憧れとしていた。；私が武士に憧れるのは、そこに理想の父親像を求めているからかもしれない。；中世の君侯に憧れ次第に精神を病んでいった王の夢の城とされている。；いま私の心は光に憧れる、しかも私の感情は闇の中にうごめいて居る。；特に山で特訓するシーンに憧れ、自分もやってみたいと思ったという。；危険なものだとはわかっているけれど、その大きな力に憧れる、みたいな。；都会に憧れる若者が増え、また職を得るために村を出る決断も迫られた。；長い尾鰭を持つその姿は優美とされ、ダイバーの憧れの魚の一つである。；女の人は、男の人に比べると、「シーン」に憧れる力が強いんだと思う。；地元に戻ると同時に3年越しで憧れの球団に入団することとなった。；事業を拡大した祖父や父に憧れ、幼い頃から経営者になることを目標とした。；彼を憧れる青年は多いが、彼の前に立つ青年はまず皆無といっていいだろう。；東海林 ふつうテレビに出たいと思う人は、歌手とか女優に憧れるけど。；今はベーシストに憧れる少年に、 あっさりとベースをあげてしまった。；憧れのギタリストであるブライアン・セッツァーと初の共演を果たした。；元々、秘書に憧れて将来は秘書になりたいと思っていたことがあった。；現役時代のプレーにはリオネル・メッシも憧れを抱いていた選手であった。；この頃から中日ドラゴンズファンになり、鈴木孝政に憧れていたという。；プロ指名時点での好きな選手は高橋由伸、憧れの選手は松坂大輔だった。；バンド名の由来はクラスの憧れの人の名からとったという。；憧れの選手に山内一弘を挙げ、彼のインコースの打ち方を目標にしていた。；同郷の力士である海鵬は小学校から高校の5年先輩で憧れの存在だった。；両親を亡くしたり、憧れていた先輩や友達が離れて孤独を感じている。；しかし、病気に罹ったものだけが、本当の健康に憧れることが出来るのだ。</t>
        </is>
      </c>
      <c r="J91">
        <f>HYPERLINK("https://www.weblio.jp/content/憧れ", "词义详情")</f>
        <v/>
      </c>
      <c r="K91">
        <f>HYPERLINK("https://yourei.jp/憧れ", "查看例句")</f>
        <v/>
      </c>
    </row>
    <row r="92">
      <c r="A92" t="inlineStr">
        <is>
          <t>憧れる</t>
        </is>
      </c>
      <c r="B92" t="inlineStr">
        <is>
          <t>成功</t>
        </is>
      </c>
      <c r="C92" t="inlineStr">
        <is>
          <t>読み方：あくがれる
［動ラ下一］［文］あくが・る［ラ下二］《本来は、あるべき所から離れる意》
１いる所を離れてふらふらさまよう。
「自分の魂が—・れ出して、…水の面を高く低く、揺られて行く」〈谷崎・細雪〉
２物事に心が奪われる。うわの空になる。
「山林に身を苦しめ雲水に魂を—・れさせて」〈露伴・二日物語〉
３胸を焦がす。思い焦がれる。
「其写真に頰摩(ほおずり)して—・れ」〈紅葉・金色夜叉〉
４気持ちが離れる。疎遠になる。
「おもておこしに思ひし君は、ただ—・れに—・る」〈落窪・二〉</t>
        </is>
      </c>
      <c r="D92" t="inlineStr">
        <is>
          <t>憧れる男たち；憧れるごく</t>
        </is>
      </c>
      <c r="E92" t="inlineStr">
        <is>
          <t>望む；尊敬；感心；賞賛；崇拝</t>
        </is>
      </c>
      <c r="H92" t="n">
        <v>29</v>
      </c>
      <c r="I92" t="inlineStr">
        <is>
          <t>あらゆる研究者が憧れるその光が、いま目の前ではっきりと輝いている。；運命の恋に一途に憧れる女性が最後にたどり着く真実の愛を描いている。；同時期に映画に憧れて出てみたいとの思いから俳優を目指し始めた。；そしてそれぞれの憧れの場所へと行ってしまった彼らの本当の居場所とは?；彼女たちのドラマ内での生活スタイルは当時の若い女性の憧れであった。；同時期にクラブに在籍していたフランク・ライカールトを憧れとしていた。；私が武士に憧れるのは、そこに理想の父親像を求めているからかもしれない。；中世の君侯に憧れ次第に精神を病んでいった王の夢の城とされている。；いま私の心は光に憧れる、しかも私の感情は闇の中にうごめいて居る。；特に山で特訓するシーンに憧れ、自分もやってみたいと思ったという。；危険なものだとはわかっているけれど、その大きな力に憧れる、みたいな。；都会に憧れる若者が増え、また職を得るために村を出る決断も迫られた。；長い尾鰭を持つその姿は優美とされ、ダイバーの憧れの魚の一つである。；女の人は、男の人に比べると、「シーン」に憧れる力が強いんだと思う。；地元に戻ると同時に3年越しで憧れの球団に入団することとなった。；事業を拡大した祖父や父に憧れ、幼い頃から経営者になることを目標とした。；彼を憧れる青年は多いが、彼の前に立つ青年はまず皆無といっていいだろう。；東海林 ふつうテレビに出たいと思う人は、歌手とか女優に憧れるけど。；今はベーシストに憧れる少年に、 あっさりとベースをあげてしまった。；憧れのギタリストであるブライアン・セッツァーと初の共演を果たした。；元々、秘書に憧れて将来は秘書になりたいと思っていたことがあった。；現役時代のプレーにはリオネル・メッシも憧れを抱いていた選手であった。；この頃から中日ドラゴンズファンになり、鈴木孝政に憧れていたという。；プロ指名時点での好きな選手は高橋由伸、憧れの選手は松坂大輔だった。；バンド名の由来はクラスの憧れの人の名からとったという。；憧れの選手に山内一弘を挙げ、彼のインコースの打ち方を目標にしていた。；同郷の力士である海鵬は小学校から高校の5年先輩で憧れの存在だった。；両親を亡くしたり、憧れていた先輩や友達が離れて孤独を感じている。；しかし、病気に罹ったものだけが、本当の健康に憧れることが出来るのだ。</t>
        </is>
      </c>
      <c r="J92">
        <f>HYPERLINK("https://www.weblio.jp/content/憧れる", "词义详情")</f>
        <v/>
      </c>
      <c r="K92">
        <f>HYPERLINK("https://yourei.jp/憧れる", "查看例句")</f>
        <v/>
      </c>
    </row>
    <row r="93">
      <c r="A93" t="inlineStr">
        <is>
          <t>朝</t>
        </is>
      </c>
      <c r="B93" t="inlineStr">
        <is>
          <t>成功</t>
        </is>
      </c>
      <c r="C93" t="inlineStr">
        <is>
          <t>読み方：あさ
夜が明けて間もない時。また、夜明けから正午ごろまでの間。「—が来る」「—から夜まで」
[補説]気象庁の天気予報等では、午前6時頃から午前9時頃までを指す。→未明→明け方作品名別項。→朝</t>
        </is>
      </c>
      <c r="D93" t="inlineStr">
        <is>
          <t>朝早く(3%)；朝起き；朝ラッシュ時；朝薫；朝湖</t>
        </is>
      </c>
      <c r="E93" t="inlineStr">
        <is>
          <t>午前；モーニング；昼前；昼まえ</t>
        </is>
      </c>
      <c r="F93" t="inlineStr">
        <is>
          <t>実朝；奈良朝；桓武朝；朝九；光仁朝</t>
        </is>
      </c>
      <c r="G93" t="inlineStr">
        <is>
          <t>朝廷；朝食；朝鮮半島；朝日；朝倉</t>
        </is>
      </c>
      <c r="H93" t="n">
        <v>29</v>
      </c>
      <c r="I93" t="inlineStr">
        <is>
          <t>またそれ以外の時期でも、朝か夕方のごく短い時間しか観測できない。；ただ、頼家の弟実朝の家督継承の際にはまず征夷大将軍に任官している。；朝ラッシュ時は5編成が、そのほかの時間は4編成が運用に入っている。；また朝7時台には土休日運休の養老発大垣行きの列車も設定されていた。；この朝経の一連の働きによって細川の版図は大幅に拡大することになった。；当駅を始発・終点とする電車が朝と夕方ラッシュ時以降に設定されている。；義時はそれを聞くと幕府に参じ、政子と実朝の妻を八幡宮に逃れさせた。；朝の眩しさから逃れるため、寝る時はいつも黒い目隠しをして寝ていた。；三原駅側では朝と夕方以降の列車が山陽本線の糸崎駅に乗り入れている。；最初の10日間は朝に見られたが残りは夕方に見られるようになったとも書かれている。；歩き遍路は朝早くに出て、夕方までには宿に着くのが基本である。；朝・夕方の一部列車は草津駅まで延長運転されるようになった。；平日の朝ラッシュ時に上りのみ運行されている区間特急の停車駅である。；また、朝の下り方面と夕方以降は快速「ラビット」 も運転されている。；正八品から従七品までを朝官といい、一緒にして京朝官という。；全列車平日のみの運行され、上り列車は朝に、下り列車は夕方から運行された。；元旦ともいうが、この場合は特にその日の朝を指すこともある。；朝の上りのみ上総湊駅発であるが、下りの上総湊駅行きは運転されていない。；三番町の自宅マンションの電話は朝から深夜まで鳴りっぱなしであった。；年中無休で朝9時から営業しており、年間50万人以上に利用されている。；朝の上り5本と夕方 - 夜間の一部は品川駅発着で運転されている。；後鳥羽上皇もこれに期待して実朝を優遇して昇進を重ねさせた。；平日ダイヤのみ、朝と夕方以降の一部列車に志木駅発着の列車が存在する。；なお、三ノ宮・大阪方面の朝時間帯は普通のみの設定となっている。；基本的に日中の運行であったが、下り1本のみが朝の通勤時間帯に運行されていた。；開始当初は平日限定で朝に上り列車が3本、夕方に下り列車が3本であった。；朝と平日の夕方・夜間は大和路快速の代わりに区間快速が運転されている。；なお朝と夕方以降の殆どの列車は高田駅から和歌山線王寺方面に直通する。；全列車が10両編成であり、早朝から朝ラッシュまでと深夜に運行される。</t>
        </is>
      </c>
      <c r="J93">
        <f>HYPERLINK("https://www.weblio.jp/content/朝", "词义详情")</f>
        <v/>
      </c>
      <c r="K93">
        <f>HYPERLINK("https://yourei.jp/朝", "查看例句")</f>
        <v/>
      </c>
    </row>
    <row r="94">
      <c r="A94" t="inlineStr">
        <is>
          <t>麻</t>
        </is>
      </c>
      <c r="B94" t="inlineStr">
        <is>
          <t>成功</t>
        </is>
      </c>
      <c r="C94" t="inlineStr">
        <is>
          <t>読み方：あさ
１アサ科の一年草。高さ1〜2.5メートル。茎はまっすぐに伸び、葉は手のひら状の複葉で対生。雌雄異株。夏、黄緑色の小花を穂状につけ、秋に実が熟す。中央アジアの原産で、熱帯から温帯にかけて栽培され、茎の皮から繊維をとり、麻糸にする。種子からは油をとる。大麻(たいま)。大麻草(たいまそう)。あおそ。《季夏》「ゆり出だす緑の波や—の風／惟然」
２茎の靭皮(じんぴ)から繊維をとる麻・亜麻・苧麻(ちょま)・黄麻(こうま)や、葉から繊維をとるマニラ麻・サイザル麻などの総称。また、それらから製した繊維や織物。</t>
        </is>
      </c>
      <c r="D94" t="inlineStr">
        <is>
          <t>麻油；麻薬業者；麻裃；麻績；麻夫</t>
        </is>
      </c>
      <c r="E94" t="inlineStr">
        <is>
          <t>アサ；亜麻</t>
        </is>
      </c>
      <c r="F94" t="inlineStr">
        <is>
          <t>當麻；露麻；お麻；製麻；麻真譲</t>
        </is>
      </c>
      <c r="G94" t="inlineStr">
        <is>
          <t>麻痺；麻雀；麻美；麻布；麻呂</t>
        </is>
      </c>
      <c r="H94" t="n">
        <v>29</v>
      </c>
      <c r="I94" t="inlineStr">
        <is>
          <t>彼は未来のクライアントの命令で麻陽の命を守るために現れたという。；穀物や郵便物を入れたり、土嚢を作るために使われてきた麻でできた袋。；材料は羊毛や麻の繊維を編んだものや皮革や布でできたものなどがある。；素材は絹ではなく麻で、現在の着物と同じようにお端折を作って着用された。；はじめに麻の形で地中から生まれ出て、後に人間の男女の形となったという。；雨があがつてゐたのか降つてゐたのか、麻素子さんは傘を持つてゐた。；言葉が示すとおり、綱元には麻製の非常に丈夫な綱が設置されている。；第二次世界大戦中にアメリカ農務省は映画を製作し麻の生産を奨励した。；右|サムネイル|この局麻システムは、を防ぐために設計されている。；麻素子さんは僕を下宿に訪ねてきたことのない人であるし用件がわからない。；その先についている錨のおもさで、麻綱はぶらんぶらんとゆれています。；日本で流通しているものは規制対象ではない麻の茎と種から抽出されている。；鈴木 麻比は、JMOに所属していた日本の元タレント、元役者である。；加えて、この地では、氏神の禁忌によって近年まで麻を栽培しなかった。；大坂では親族は白または水色の無紋の麻の上下で、夏は白の晒を着用した。；多くの場所では麻の樽が2段に積まれ、さらに保護できるようにされていた。；明治期に新築した学校を麻績小校と呼ぶようにしたのも北原であるとされる。；それにあわせ賀麻党も烏帽子を捨て見物に集まった人々に襲い掛かった。；麻を用いたヘンプクリートと呼ばれる建築資材は欧米で注目をされている。；こちらは麻の繊維などを素材に用い工業的に生産されているものがほとんどである。；麻と誤解されることがあるが、まったく異なる植物種である。；この会社はロープのメーカーであり、輸入した麻の市場を独占しようとしていた。；麻を織っていた所に雨が降り米の籾が濡れてしまい駄目になった。；夏用として麻を用いていた日本人はそれを冬用に用いた。；麻理夫は傷つきながらもバギにあの2人は俺にやらせてくれと言った。；暴走族の麻理亜に一目惚れし、ラブレターを渡して恋人になったことも。；素材は主に麻製で、白・赤・黄などの色が見られる。；やがて彼が出てきたときには、白い麻の背広服をきた一人の紳士をともなっていました。；江戸期は奈良町の1町であり、阿知麻目町・阿世末女町とも書いていた。</t>
        </is>
      </c>
      <c r="J94">
        <f>HYPERLINK("https://www.weblio.jp/content/麻", "词义详情")</f>
        <v/>
      </c>
      <c r="K94">
        <f>HYPERLINK("https://yourei.jp/麻", "查看例句")</f>
        <v/>
      </c>
    </row>
    <row r="95">
      <c r="A95" t="inlineStr">
        <is>
          <t>あざ</t>
        </is>
      </c>
      <c r="B95" t="inlineStr">
        <is>
          <t>成功</t>
        </is>
      </c>
      <c r="C95" t="inlineStr">
        <is>
          <t>読み方：あざ
市町村内を細分した区画の名。大字(おおあざ)の中に、さらに小字(こあざ)がある。</t>
        </is>
      </c>
      <c r="D95" t="inlineStr">
        <is>
          <t>あざだらけ(6%)；あざなえる縄；あざ笑い；あざけり；あざ嗤</t>
        </is>
      </c>
      <c r="E95" t="inlineStr">
        <is>
          <t>打撲傷；打ち身</t>
        </is>
      </c>
      <c r="F95" t="inlineStr">
        <is>
          <t>黒いあざ；黒あざ；あざなえる；赤あざ；青いあざ</t>
        </is>
      </c>
      <c r="G95" t="inlineStr">
        <is>
          <t>あざける；あざむく；あざ笑う；あざけり；あざむい</t>
        </is>
      </c>
      <c r="H95" t="n">
        <v>29</v>
      </c>
      <c r="I95" t="inlineStr">
        <is>
          <t>するとメグレには、彼女の両腕にも青いあざがいくつもあるのが見えた。；おれにも同じような紫のあざがあるが、コロのものよりはずっと小さい。；孔子は門人を呼ぶ時には、姓やあざ名を呼ばず、必ず名を呼ぶのである。；額にある星型のあざが共通の特徴で、普通の人にはその姿が見えない。；手足の、おそらく押さえつけられたと思われる部分はあざになっていた。；それはもぞもぞと動き、あざだらけで古い血のこびりついた顔を上げた。；傷やあざだらけの体が痛々しく、生きているのかどうかもわからなかった。；現にきみの目は彼に殴られてあざになっている、これは記事になるよ。；別の伝説では、敵から隠れていた王子が、竜のあざで王子であると証明される。；これらのあざの種類や治療の段階によって、使用するレーザーは異なる。；犠牲者ののどには下手人の手が絞めつけたあとの長いあざが二つ見える。；後で医師が診断したところ、両方のももに大きな赤いあざが認められた。；ところが彼女は夫からDVを受けていてあざだらけになっていた。；あざのつきそうな程強く膝をたたきながら、彼はさらに声を大きくして語った。；わたしの肩のあざは選ばれた犬である証拠だということは前にもあなたから聞きました。；やわな革鎧のあちこちに、大きな傷が入っており、頬には青あざがある。；ジャックは、左目の下にあざができて、それがどんどん濃くなっていた。；青あざのために青面獣と呼ばれている男は沈黙した。；ほかにはころんだときのすり傷やあざのほかに、外傷は見あたりません。；肩や腕のあざを隠してくれるデザインだったが、背中も胸元もかなり開いている。；まさか殴られたあざ隠しに化粧した日にそんなことを言われるとは。；その跡が青あざになって、タロタロモナスに会ったなというのがわかるという。；強く握られたせいで、指のかたちをしたあざがくっきりと残っていた。；着替えのときに妹がふと見ると、姉の胸の下にM字型の大きなあざができている。；犬塚信乃は、相手の現八の右頬にあざのあるのを見たのである。；わたしはいつもなぐられて、一年中身体からあざが消えることはなかった。；とりあえず、彼女にあざを作らせた夜のことから話してみないか?；今度またわたしに声かけたら、もうひとつあざ作ってやるから!；一度などはステッキで殴りつけたため、腕に大きな赤あざが残ったほどです。</t>
        </is>
      </c>
      <c r="J95">
        <f>HYPERLINK("https://www.weblio.jp/content/あざ", "词义详情")</f>
        <v/>
      </c>
      <c r="K95">
        <f>HYPERLINK("https://yourei.jp/あざ", "查看例句")</f>
        <v/>
      </c>
    </row>
    <row r="96">
      <c r="A96" t="inlineStr">
        <is>
          <t>浅い</t>
        </is>
      </c>
      <c r="B96" t="inlineStr">
        <is>
          <t>成功</t>
        </is>
      </c>
      <c r="C96" t="inlineStr">
        <is>
          <t>読み方：あさい
［形］［文］あさ・し［ク］
１表面から底まで、また入り口から奥までの距離が短い。深さが少ない。「—・い池」「—・い鍋(なべ)」「—・い洞窟(どうくつ)」⇔深い。
２物事の程度や分量、また、かかわりなどが少ない。「傷は—・い」「経験が—・い」「眠りが—・い」「つきあいが—・い」⇔深い。
３その状態になってから日数や時間が少ししかたっていない。「勤めてから日が—・い」「春まだ—・い」「夜もまだ—・い時刻」
４色が薄い。淡い。「—・い緑」⇔深い。
５香りが淡い。
「—・からず染(し)めたる紫の紙に」〈源・明石〉
６位や家柄が低い。
「九条殿の君達は、まだ御位ども—・ければ」〈栄花・月の宴〉
７情愛がうすい。
「当時の博士、あはれ—・く貪欲深くして」〈宇津保・祭の使〉
[派生]あささ［名］あさみ［名］</t>
        </is>
      </c>
      <c r="D96" t="inlineStr">
        <is>
          <t>浅い海(5%)；浅いところ(3%)；浅いため(2%)；浅い場所；浅い谷</t>
        </is>
      </c>
      <c r="E96" t="inlineStr">
        <is>
          <t>薄っぺら；浅薄；浅薄な；浅はかな；愚直な</t>
        </is>
      </c>
      <c r="F96" t="inlineStr">
        <is>
          <t>まだ浅い；より浅い；ごく浅い；浅い呼吸；浅い湖</t>
        </is>
      </c>
      <c r="G96" t="inlineStr">
        <is>
          <t>浅い夢</t>
        </is>
      </c>
      <c r="H96" t="n">
        <v>29</v>
      </c>
      <c r="I96" t="inlineStr">
        <is>
          <t>広くなるためには、あるていどの浅さが必要であると始祖は教えたのだ。；ケースにもよるが、浅ければ地下の状況もはっきりと知ることができる。；彼は自分の仲間の、あまりにも浅墓な態度に、一人で心をいためていた。；いっそ男と女の関係になってしまった方が罪が浅かったのかも知れない。；それだけでも、お浅が見も知らぬ他人ではないように感じられるのだ。；入れ違いにお浅はお勝手に引き下ったことはいうまでもありません。；考えも浅かったし馬鹿だったけど、やっぱり過ぎた日は懐かしいのです。；深さ浅さはあるだろうが、それを皆嘘であると断言することはできない。；テーブルの上には、二枚貝の半分を使った浅めのカップが置かれていた。；浅野川電気鉄道を前身とすることから今でも浅電の愛称で呼ばれている。；浅い山にも多く、やや明るい林縁などに大きな集団を作ることがある。；夢ばかり見て眠りが浅かったように思えるが、気のせいかもしれない。；之は自然を検討する問題ではなく単に生徒を検討する浅墓な教育手段に過ぎぬ。；三人の中では穴の掘り方が浅かったので着物のうしろ衿が土から出ていた。；そのために僕は、その若い婦人の脛をほんの浅く窺ったに過ぎなかった。；離脱した編成の経年の浅い車両を他編成に組み込む組成変更が行われた。；廃止後、製造から日が浅かったこれらの車両は他社への売却が検討された。；拒否理由は、当時経験が浅かった捕手としての指名だったからだという。；湖の北側と南側で水深は大きく異なり、北側は深く、南側は比較的浅い。；制作年代は不明だが、鎌倉期よりは浅く、江戸時代以降のものとされる。；同人誌印刷業界は歴史が浅いため、解決されていない様々な問題がある。；ざるではなく木で作られた長方形の浅い箱状の器に薄く均一に盛られる。；これらは淡水産で群体を作らず、浅い池の水草の上などに生息している。；問題は根が浅く小さいため、大きく育った時に倒れに弱い点である。；これなどは昭和二十年春浅くとでもした方がどれ程適切か分らない。；というのは、その出浅邑についてはほかにまた二説があったからである。；目覚めに向けて浅くなっていく睡眠のなかで、僕は父親の足音を聴いた。；頭骨は長く上下に浅くワニのものに似ており、属名の由来もそれである。；波のすぐ下にあるリーフはとても浅く、しかもその形状は特殊なのだ。</t>
        </is>
      </c>
      <c r="J96">
        <f>HYPERLINK("https://www.weblio.jp/content/浅い", "词义详情")</f>
        <v/>
      </c>
      <c r="K96">
        <f>HYPERLINK("https://yourei.jp/浅い", "查看例句")</f>
        <v/>
      </c>
    </row>
    <row r="97">
      <c r="A97" t="inlineStr">
        <is>
          <t>朝市</t>
        </is>
      </c>
      <c r="B97" t="inlineStr">
        <is>
          <t>成功</t>
        </is>
      </c>
      <c r="C97" t="inlineStr">
        <is>
          <t>読み方：あさいち
朝開く魚・野菜などの市。</t>
        </is>
      </c>
      <c r="D97" t="inlineStr">
        <is>
          <t>朝市通り(3%)</t>
        </is>
      </c>
      <c r="H97" t="n">
        <v>29</v>
      </c>
      <c r="I97" t="inlineStr">
        <is>
          <t>今日は休んで、明日朝イチでタバサは翼人を掃討しに行くことになった。；なお、「朝市」と称するが朝以外の時間帯にも営業する市場も存在する。；彼の好物を覚えたきわが朝市まで出かけて買い出してきたのである。；私の頭の中は朝イチの会議のことでいっぱいになった。；毎朝の日課となっている牛乳の買い出しに、少年は朝市へとやってきた。；岩槻安穏朝市は、埼玉県さいたま市岩槻区で開催されている朝市である。；大体こういう朝市には、何も名のある立派なものは出てこない。；葉山の方には朝市も立つと聞いていたが、場所も知らないし行っても仕様がない。；ほか期間限定ではあるが木曜朝市や土の日なども開催している。；朝市の混雑が過ぎても、まだ街の中にはかなりの人通りがあった。；徒歩5分ほどのところには、ローマで一番有名とされる 朝市が開かれるがある。；一方で、それを打破すべく朝市の三斎市などが催されて賑わっている。；このため家庭の近くに売り歩いたり、行商や朝市などで販売する形態が多かった。；石畳の広場では地元農協の協力で野菜や果物の朝市も毎朝開催された。；話は別だがこんな朝市は東京には見かけぬ。；商店街を出はずれたところに八幡神社があり、その境内で朝市をやっていた。；朝いちでここに連れてこられたときに一応の説明は受けていたので、どこになにがあるのかくらいは大体わかっていた。；今年の夏、セビリアの朝市を訪れた時に私が手に入れたのは、ちょっと変わった植物の種でした。；さすがに早引けばかりはできず、朝イチでプールに行くことにした。；駅舎内は五平餅やお茶などの販売店に改装され、駅外では朝市などが開かれている。；朝市があまりにも賑わうため、夕市もできたのは、今から数年前のことだ。；母は呼子町の朝市で働き、将雄をはじめ3人の子を女手一つで育てた。；やはりもう若くもない人間としては夜のディスコより朝市のほうが気が安まる。；後にはなと朝市が教師として就任することになる。；とにかくね、あんたに声かけてきた男は変態に決まってるんだから、明日の朝イチで基地に報告を入れること。；いったい、クラモトは、二月の朝市へ行ったことがあるのだろうか。；関川河口付近の市街地では明治期から続く朝市「三・八の市」が開かれる。；白銅色の船の噂は、朝市がひらかれた港に集まった人々から、各島々へと伝わった。；一方で、それを打破すべく朝市の三斎市などが催され、好評を博している。</t>
        </is>
      </c>
      <c r="J97">
        <f>HYPERLINK("https://www.weblio.jp/content/朝市", "词义详情")</f>
        <v/>
      </c>
      <c r="K97">
        <f>HYPERLINK("https://yourei.jp/朝市", "查看例句")</f>
        <v/>
      </c>
    </row>
    <row r="98">
      <c r="A98" t="inlineStr">
        <is>
          <t>朝方</t>
        </is>
      </c>
      <c r="B98" t="inlineStr">
        <is>
          <t>成功</t>
        </is>
      </c>
      <c r="C98" t="inlineStr">
        <is>
          <t>読み方：あさがた
朝のうち。朝のあいだ。早朝のころ。「—の雨」「—地震があった」</t>
        </is>
      </c>
      <c r="D98" t="inlineStr">
        <is>
          <t>朝方近く；朝方出発；朝方早く</t>
        </is>
      </c>
      <c r="H98" t="n">
        <v>29</v>
      </c>
      <c r="I98" t="inlineStr">
        <is>
          <t>どれも今朝方思い出したものと少しも違っていないように思われた。；正九郎は今朝方知ったことを重大事と見て惣兵衛を走らせたのである。；冷たい水道の水を浴びたのが悪かったのか、今朝方から悪寒がしている。；よって、1曲が完成する頃には朝方になっていることがほとんどであった。；朝方軽く眠っただけだが思いがけず肌は張りをもったようであった。；だが、深夜を過ぎて朝方になっても、日がでても咲輝は帰ってこなかった。；朝方のうすあかりの中に彼の進む廊下はどこまでも真直ぐにのびていた。；荷物はすでに預けてあったので、私たちは朝方ぼんやりと街を歩いた。；朝方の使いが言うには、人払いをして欲しいとのことだったが、何事かね。；夕方の下り便も、朝方の上り便と同様の設定になっているのが大きな特徴である。；昼間帯以降の快速急行は急行へ変更され、設定は朝方の数本のみとなる。；たとえ階段まで到着できてもきっと朝方になってしまうはずだ。；僕は朝方出がけに檜垣のいる出張所でこの娘たちを見たので覚えがあった。；彼はちょうど前日の朝方給料をもらいに町へ出てきていたのである。；というのは、彼らは朝方には、一つの小さな島を発見したからでした。；頼れるものなんていったら、朝方琥珀さんが渡してくれたナイフだけだ。；朝方から眠りについたせいで、その日の昼間はずっと眠り続けた。；今朝方、黒雪姫やタクムと話し込んだおりに出た話題を思い出したのだ。；濠を捜索した兵士が、朝方に水底から一個の死体を引きあげたのである。；また、朝方はこの改正時に同時に新設した特別快速にほとんどが変更された。；そしてふと、今朝方から報道されているニュースのことを考えた。；そして彼は朝方になってもまだねむりに入ることができなかった。；つぎの日の朝方、その屋根の上でみていると、後方から、人影が二つみえた。；朝方まで興奮して寝つかれなかった八千代は九時過ぎに女中に起こされた。；降雪が夜中に止むと朝方には山の中腹に霧が立ち込めていることが多い。；こうして彼は、身動きして何か求める力さえなく、朝方までいました。；朝方になると、じりじりと凍れが身を刺し、坐っていられない程だった。；その日は朝方から天候が悪く、雷を伴った夏の嵐が猛威をふるっていた。；手を洗い、ついでに泰子が朝方に帰ってきて使ったらしいコップを洗う。</t>
        </is>
      </c>
      <c r="J98">
        <f>HYPERLINK("https://www.weblio.jp/content/朝方", "词义详情")</f>
        <v/>
      </c>
      <c r="K98">
        <f>HYPERLINK("https://yourei.jp/朝方", "查看例句")</f>
        <v/>
      </c>
    </row>
    <row r="99">
      <c r="A99" t="inlineStr">
        <is>
          <t>朝ご飯</t>
        </is>
      </c>
      <c r="B99" t="inlineStr">
        <is>
          <t>成功</t>
        </is>
      </c>
      <c r="C99" t="inlineStr">
        <is>
          <t>読み方：あさごはん
あさめしを丁寧にいう語。</t>
        </is>
      </c>
      <c r="D99" t="inlineStr">
        <is>
          <t>朝ご飯食べ(3%)</t>
        </is>
      </c>
      <c r="E99" t="inlineStr">
        <is>
          <t>朝食；朝飯；朝餉；朝ごはん；朝御飯</t>
        </is>
      </c>
      <c r="H99" t="n">
        <v>29</v>
      </c>
      <c r="I99" t="inlineStr">
        <is>
          <t>でもいつもこの時間に朝ご飯を用意する方が自然な流れでございますよ。；何食わぬ顔で朝御飯を食べ、私は首を長くして約束の十時を待っていた。；朝ご飯は食べない主義だったが、売店を見てたまにはいいかなと思った。；いっしょに朝ご飯を食べると、父親の身体から沖の匂いがしたものだった。；あれだけのものがさきに待ってるというのに朝御飯を食べるなんて。；世間の人がいう、ちゃんとした朝ご飯を食べたことなんかありゃしないわ。；眠っている男の子の枕もとには、朝御飯を弁当にして作っておくのですな。；必ず自宅でカーチャンの朝ご飯を食べてくる田舎の学校とはえらい違いだ。；ただ寝坊して朝ご飯抜きだというだけで、何も起こってないみたいだった。；あわてて朝御飯をたべ、似合わないのがわかりきっているスーツを着た。；朝御飯をごいっしょするまでは、どんなことがあってもお帰ししませんよ。；最近の健一はそこで朝ご飯を食べるのがすっかり日課になっていた。；泊っている家のおかみさんが出てきて朝ご飯だから入るようにと声をかけてくれた。；朝御飯がすむと、教授は、毎日の記録の整理に時間を使おうと言った。；ゆっくり朝ご飯を食べて、みんなが民宿鉄路を出たのは朝の九時半だった。；朝ご飯を食べて学校に行く時間にはまだ早いが、もう新聞配達は終わる頃だった。；ちょうど朝御飯のとき着きましたので、みんなに読んであげました。；そろそろ朝ご飯だし、特に用事とかがないんだったらいっしょに行こうよ。；そのせいか朝御飯に何が出たものやら、さっぱり覚えてもいない。；メイヴィスは、朝御飯を一〇〇〇時にベッドで食べるって昨夜いってるのよ。；お島が朝御飯を運んで来た時、乃公は窃と床を脱出して、戸の後に匿れていた。；ってかまだ午前中だし二時間ぐらい前に朝ご飯食べたばかりじゃねーか!!；それも何度も呼んでいるので、変だなと思いながら朝御飯を途中でやめて窓を開けて外を覗いた。；理由は朝ご飯を食べてからまた寝ていたからだ。；いや、僕は明日、朝御飯のあとですぐこの手紙を書くとしよう。；本音を言えば朝ご飯なるものを所望していたから、淡い希望に縋ってみた。；朋琳は朝風呂に入り、真百美が用意した和食の朝ご飯も普通に食べた。；一緒に朝ご飯を食べるから、出かける時間はそんなに違わないのだけれど。；朝御飯が最もおいしいほどの健康と幸福とを私は恵まれてゐる、合掌。</t>
        </is>
      </c>
      <c r="J99">
        <f>HYPERLINK("https://www.weblio.jp/content/朝ご飯", "词义详情")</f>
        <v/>
      </c>
      <c r="K99">
        <f>HYPERLINK("https://yourei.jp/朝ご飯", "查看例句")</f>
        <v/>
      </c>
    </row>
    <row r="100">
      <c r="A100" t="inlineStr">
        <is>
          <t>あさって</t>
        </is>
      </c>
      <c r="B100" t="inlineStr">
        <is>
          <t>成功</t>
        </is>
      </c>
      <c r="C100" t="inlineStr">
        <is>
          <t>読み方：あさって
《「あさて」の音変化》
１明日の次の日。みょうごにち。
２見当違いであること。向くべき方向や判断を誤っていること。「—の方向に走り出す」「—の方を向く」</t>
        </is>
      </c>
      <c r="D100" t="inlineStr">
        <is>
          <t>あさって歩く；あさってあたり</t>
        </is>
      </c>
      <c r="H100" t="n">
        <v>29</v>
      </c>
      <c r="I100" t="inlineStr">
        <is>
          <t>だって声には力がないし、細められた目はあさってのほうを向いている。；あさっての朝、あの仕立て屋が君のところへ服を二着持って来るだろう。；この呼びかけに応じ、自分はあさっての例会より復帰するつもりである。；自分には変わらない特性がある、それは明日もあさっても変わらない。；それはもちろん、川の底をあさって発見できるか、という意味であった。；あさっては、あたしもう小学校に着任して、新しい生活が始まるんだわ。；たぶんそこには、おっぱいの代わりに、あさってのぼくがいるんだろう。；手紙を出し、会合の時刻をあさっての夕方七時と指定してやってください。；あさってドライブに行ったら、また誰かに見られて噂をされるだろう。；しかし、自分はゆく先きざきで恋をあさって歩くような人間ではなかった。；それが成功しようがしまいが、あさってにはもうどうだってよくなるのだから。；あさってまで帰れないと伝えるようにわたしに言って行かれました。；あさっての朝、青い服を着たやつが最初の太陽の光と一緒に門を入って行く。；サカガミは一言もなく、誰からも視線を外してあさっての方を向いていた。；あさっての制作発表会に着ていくものが不安になったのだ。；そしてようやく、ほうがあさっての方角を見ていることに気がついた。；しかもあさっては昼に立つのだから今日を除けば一日しかないのも同然である。；自分の専門に関係した科学の書籍をあさって歩く時の心持ちは一種特別なものである。；私はあらゆる本をあさって人を殺す術を考えはじめました。；話の途中であさっての方を向いた吉充を、就英は非難がましく問い詰めた。；あさっての夜空を見つめながら、先輩はこっちの言い分を完全に無視した。；この艦が仕事を終えて帰投し、基地に戻るのはあさってくらいになるそうだった。；単にあさっての昼頃東京へもどらなければならない、と言ってあるだけだ。；緊張していたので、声は裏返り、目はあさってのほうを向いていた。；あさって、東京に、どうしても出なければならない会があるのでね。；こいつは明日もあさってもこんなのを見るのだろうか?；今日の残り物であろうが、さすがに、それをあさって食べる気はしなかった。；あさってまで待って病院行けばいいでしょう、と私は言った。；今日私が殺されたら、明日もあさってもこの殺人は続きます。</t>
        </is>
      </c>
      <c r="J100">
        <f>HYPERLINK("https://www.weblio.jp/content/あさって", "词义详情")</f>
        <v/>
      </c>
      <c r="K100">
        <f>HYPERLINK("https://yourei.jp/あさって", "查看例句")</f>
        <v/>
      </c>
    </row>
    <row r="101">
      <c r="A101" t="inlineStr">
        <is>
          <t>浅はか</t>
        </is>
      </c>
      <c r="B101" t="inlineStr">
        <is>
          <t>成功</t>
        </is>
      </c>
      <c r="C101" t="inlineStr">
        <is>
          <t>読み方：あさはか
［形動］［文］［ナリ］
１思慮の足りないさま。「—な考え」「—にも口車に乗ってしまった」
２空間的に奥行きの浅いさま。
「—なる廂(ひさし)の軒は」〈源・夕霧〉
３深みがなく、あっさりしているさま。軽々しいさま。
「よろづに思ひ乱るれど、ひたぶるに—ならむもてなし」〈源・宿木〉
[補説] 「浅墓」と書くのは当て字。
[派生]あさはかさ［名］</t>
        </is>
      </c>
      <c r="D101" t="inlineStr">
        <is>
          <t>浅はかな考え(3%)；浅はかな人間；浅はかな女；浅はかな知恵；浅はかな行為</t>
        </is>
      </c>
      <c r="E101" t="inlineStr">
        <is>
          <t>軽い；やたら；滅多；無謀；むやみ</t>
        </is>
      </c>
      <c r="H101" t="n">
        <v>29</v>
      </c>
      <c r="I101" t="inlineStr">
        <is>
          <t>あさはかな性格はついに堕落を招くに至ったのであると院は解釈された。；浅はかにも、この頃の私は沙都子ちゃんのことまでは考えていなかった。；とにかく、無人だと決め付けたのは子どもの浅はかさだったみたいだよ。；女というのは浅はかで、明日のその男がいかなる者かも知らず頼むとは。；浅はかにも、そのことは当の彼女にさえ秘密にしているつもりだったが。；しかしそれは、越後の冬山を知らない私の浅はかな考えに過ぎなかった。；今から思えば、世間をよく知らない田舎娘の浅はかな考えかもしれなかった。；勝算がないことに手を出すような浅はかな商人とはとても思えない。；時間がたてば状況が変わるかもしれないと何の根拠もなく浅はかにも期待したのである。；あまりくりかえされるとあさはかな感じを伴う逆説で全部設定されている。；酒量が人並みだと考えた自分の浅はかさをいまさらながらに彼は呪った。；みんなわたしの浅はかさから、姫君の幸運を失ってしまったのでございます。；神はそんなあさはかな料簡で売った魂など、お買い上げになりゃせんぞ。；ところが父親は浅はかにもゴドフリーに知らせてしまったのですね。；自然に浮かんだ己の愚考、その浅はかな流れに、真九郎は口元を歪めた。；あさはかだった自分の行動を後悔しながら将来のことは半ばあきらめていた。；だが浅はかであることは、殺されてもいいという理由にはならない。；そのことに最初に気づかなかった自分の浅はかさを蛍子は自嘲した。；女がアサハカなものなら、私はもっとアサハカになるつもりですから。；すべて薄いものを実物のように薄く作ってしまうのは浅はかである。；それとも、自分は、気が多いだけの浅はかな娘だったのだろうか。；あさはかな女どもは、こうしてみずからの権利を次々と放棄していったのである。；性格がそうだというより、考えが浅はかな女としか思えない。；朕の妻は浅はかな女優、惚れた男をほったらかしにしているとされた。；どこか浅はかな考えのような気もしてならなかった。；二十歳だったけど、浅はかなもので、ヨットで働きたいと思ったの。；それはただあさはかな気持ちからくるにすぎないのです。；ものすごい切り替えの早さというか、我ながら恐ろしいまでの浅はかさ。；神の制作したものには浅はかな人間の概念的な一般化を許さないものがあるのである。</t>
        </is>
      </c>
      <c r="J101">
        <f>HYPERLINK("https://www.weblio.jp/content/浅はか", "词义详情")</f>
        <v/>
      </c>
      <c r="K101">
        <f>HYPERLINK("https://yourei.jp/浅はか", "查看例句")</f>
        <v/>
      </c>
    </row>
    <row r="102">
      <c r="A102" t="inlineStr">
        <is>
          <t>朝晩</t>
        </is>
      </c>
      <c r="B102" t="inlineStr">
        <is>
          <t>成功</t>
        </is>
      </c>
      <c r="C102" t="inlineStr">
        <is>
          <t>読み方：あさばん
１朝と晩。朝夕。
２（副詞的に用いて）いつも。明け暮れ。「—神様にお祈りする」
[補説]気象庁の天気予報等では、0時頃〜9時頃と、18時頃〜24時頃を指す。→朝夕</t>
        </is>
      </c>
      <c r="D102" t="inlineStr">
        <is>
          <t>朝晩二回；朝晩時間帯；朝晩欠かさ</t>
        </is>
      </c>
      <c r="H102" t="n">
        <v>29</v>
      </c>
      <c r="I102" t="inlineStr">
        <is>
          <t>おまえの老母は人をやって朝晩の面倒を見させるから心配しないでよい。；ときどき父母の部屋に入って朝晩の挨拶をしたが、すぐに帰っていった。；頭を下げて通りすぎるだけで、立ち止まって朝晩の挨拶をしないんです。；なお、列車が発着するのは朝晩だけだったため、日中は不在時があった。；夜が長くなつて日が短かくなつた、朝晩のサイレンを聞く時さう感じる。；日中は大幅減便されたが前述の様な理由で朝晩の利用者は微増傾向にある。；朝晩は通勤・通学輸送や夜間滞泊のために、区間列車も運行されている。；毎年の事ながらそれは同じ一と棟に朝晩寢起きを共にする患者たちの心を暗くさせた。；実行しなければならないと朝晩考え続けに考えているんだ。；自分は毎日京橋から出かけて督励し、朝晩には電話で連絡をとらせた。；それはその海岸へ来てから朝晩に歩いている路であった。；それはその海岸へ来てから朝晩に歩いてゐる路であつた。；朝晩は肌さむい程で、街の散歩にも毛のスエーターを着て行くくらい。；非常に暑いと言う人もいれば、朝晩は寒くて長袖が必要だと言う人もいる。；朝晩のこと、マアこの位がいいところでしょう、九時台はなかなかね。；自分の家の前であるから、その死骸の成行きは源兵衛も朝晩にながめていた。；毎年のことながらそれは同じ一と棟に朝晩寝起きをともにする患者たちの心を暗くさせた。；その家の老母は、仏壇の前にきちんと坐って、朝晩お経をあげていた。；それからは堰を切ったように、確実に朝晩、二回は電話をかけてくる。；宮里秀徳大佐の顔は一度も見たことがないし、事務所にも朝晩顔を出す程度だった。；朝晩の歯磨きは真九郎と並んでしたがるし、トイレも一緒に行きたがった。；僕は至って小胆者で人と朝晩の挨拶を交わすことさえ満足に出来ない奴です。；当初は、朝晩の一部を除いたほとんどの列車が東海道新幹線に直通していた。；朝晩二食の賄付が望ましいといわれると、それも二つ返事で引き受けた。；朝晩見ていた山ではあるが、登ったのは初めてであった。；このほか、朝晩と始発・最終を中心に入出庫系統が運行されている。；近所の医者が朝晩二回往診に来たが、治療はリバノールを塗るだけだった。；昼は各自の部屋で食べるが、朝晩は家族一緒に茶の間で食事をする。；姉や母に手傳つて朝晩の用位はしてゐたけれども、町屋の娘並にお針に通ふ。</t>
        </is>
      </c>
      <c r="J102">
        <f>HYPERLINK("https://www.weblio.jp/content/朝晩", "词义详情")</f>
        <v/>
      </c>
      <c r="K102">
        <f>HYPERLINK("https://yourei.jp/朝晩", "查看例句")</f>
        <v/>
      </c>
    </row>
    <row r="103">
      <c r="A103" t="inlineStr">
        <is>
          <t>朝日</t>
        </is>
      </c>
      <c r="B103" t="inlineStr">
        <is>
          <t>成功</t>
        </is>
      </c>
      <c r="C103" t="inlineStr">
        <is>
          <t>読み方：あさひ
１朝、東から昇る太陽。また、その光。「—が昇る」「—が差し込む」
２稲・リンゴ・ナシの一品種。</t>
        </is>
      </c>
      <c r="D103" t="inlineStr">
        <is>
          <t>朝日町(5%)；朝日岳(2%)；朝日カルチャーセンター；朝日中央銀行；朝日奈</t>
        </is>
      </c>
      <c r="E103" t="inlineStr">
        <is>
          <t>旭；旭日；ライジングサン</t>
        </is>
      </c>
      <c r="F103" t="inlineStr">
        <is>
          <t>郡朝日；東京朝日；朝日隊；朝日系；朝日軒</t>
        </is>
      </c>
      <c r="G103" t="inlineStr">
        <is>
          <t>朝日放送；朝日新聞社；朝日放送テレビ；朝日放送ラジオ；朝日杯フューチュリティステークス</t>
        </is>
      </c>
      <c r="H103" t="n">
        <v>29</v>
      </c>
      <c r="I103" t="inlineStr">
        <is>
          <t>さらにいうことには、朝日長者には十四になる姫君がひとりいるという。；遠征から帰国後、朝日はチームを再編成し、ハリー宮崎が監督を務めた。；朝日岳への一般的な登山ルートは北西の部名垂沢を利用するものである。；過去には合併した旧宮崎村と旧朝日町を結ぶ役割を担っていた路線である。；そして朝日が街を照らす中、思わぬ場所からシリウスの瞳は見つかった。；近隣の丘が朝日を浴びて金色に輝くのにちなんで名づけられたとされる。；東側が傾斜する地であり、朝日が美しく見えることから付けられたという。；それを見て唖然とする朝日だが、自分の鼻血を見て気を失ってしまう。；朝日地区の高原から、南側に広がる雄大な九州山地を見ることができる。；なお同作と同時期に展開した1983年のテレビ朝日版アニメには登場していない。；その後が朝日を象徴する黄色の細い帯を赤と緑のあいだに付け加えることを提案した。；朝日岳が最終目標であると明かしたのは、犬ヶ岳山頂に達した時だった。；結果、朝日は日系人だけでなく、白人も応援するチームになっていった。；三重県内では隣接する朝日町に次いで面積が小さい自治体である。；登山道の北側は急な谷であり、その向かい側には朝日岳の鋭鋒が見える。；松電バスから継承した朝日線の村内区間に沿った系統となっている。；下田地区から田園地帯である大賀茂地区や、海岸沿いの朝日地区を含む。；この路線は上今井で松電バス空港・朝日線の接続からダイヤができている。；紳士というものは朝ひげをあたって、それからまた夕方そるものなんです。；姉妹社版・朝日文庫版に収録されているものは以下の通りである。；磯城県主クロハヤの館で生まれ、そのときに朝日が輝いたのでこの名が付いた。；現在の大阪市福島区の西部と此花区西九条・朝日のそれぞれ一部にあたる。；帰国後の1902年、大阪朝日に正式採用され、名古屋通信部に赴任する。；丁字路北側の朝日バス停はこれらの路線に加えて金津方面の路線が経由する。；朝日はこの時点では落書きは元からあったものとして捏造を認めなかった。；なお、洋光台という地名は東京湾から昇る朝日に因んでいるといわれる。；開業当初は直行バスであったが、後に朝日4丁目バス停が追加設置された。；当時のTBSテレビ同様、朝日・毎日と交互で隔日に放送されていた。；しかしこの時、理由は不明だが朝日はチーム分裂を起こす。</t>
        </is>
      </c>
      <c r="J103">
        <f>HYPERLINK("https://www.weblio.jp/content/朝日", "词义详情")</f>
        <v/>
      </c>
      <c r="K103">
        <f>HYPERLINK("https://yourei.jp/朝日", "查看例句")</f>
        <v/>
      </c>
    </row>
    <row r="104">
      <c r="A104" t="inlineStr">
        <is>
          <t>浅ましい</t>
        </is>
      </c>
      <c r="B104" t="inlineStr">
        <is>
          <t>成功</t>
        </is>
      </c>
      <c r="C104" t="inlineStr">
        <is>
          <t>読み方：あさましい
［形］［文］あさま・し［シク］《動詞「あさ（浅）む」の形容詞化》
１品性が卑しい。さもしい。下劣だ。「—・い了見」「—・い根性」
２見苦しく情けない。嘆かわしい。「—・い世の中」
３身分や姿形が卑しい。みすぼらしい。「—・い姿」
４予想と違った結果に驚きあきれる気持ちをいう。
㋐意外だ。あきれる。驚くべきさまだ。
「取りがたき物をかく—・しくもて来る事をねたく思ひ」〈竹取〉
㋑興ざめである。がっかりして、あきれかえる。
「物うちこぼしたる心地いと—・し」〈枕・九七〉
㋒あまりにもひどい。程度がはなはだしい。
「—・しく貧しき山国にて」〈読・春雨・海賊〉
５（「あさましくなる」の形で）思いがけないことになる。死んでしまう。
「かひなくて、三月二十日、終にいと—・しくならせ給ひぬ」〈増鏡・春の別れ〉
[派生]あさましがる［動ラ五］あさましげ［形動］あさましさ［名］</t>
        </is>
      </c>
      <c r="D104" t="inlineStr">
        <is>
          <t>浅ましいこと(8%)；浅ましい姿(7%)；浅ましいもの(3%)；浅ましい限り；浅ましい事</t>
        </is>
      </c>
      <c r="E104" t="inlineStr">
        <is>
          <t>気の毒；哀れ；醜い；汚い；惨め</t>
        </is>
      </c>
      <c r="F104" t="inlineStr">
        <is>
          <t>実に浅ましい；我ながら浅ましい；いう浅ましい；浅ましい心；浅ましい身</t>
        </is>
      </c>
      <c r="H104" t="n">
        <v>29</v>
      </c>
      <c r="I104" t="inlineStr">
        <is>
          <t>例えば婦人を浅ましい肉的一方に偏した者のように書く小説があります。；何かあると先生は彼の花を誉めそんな時に僕は例の浅ましい気持ちになった。；自分がこれほど浅ましい行動をとるとは、今の今まで考えたこともなかった。；娘達のする芝居を非常に面白い様な浅ましい様な気持で見る。；あいつはその時、しみじみまた今までの自分の生活が浅ましくなった。；もし妾たちが同胞だったとしたら、これはなんという浅ましいことだろう。；亡くなった妹の事や、浅ましい身に落ちて行く友達が悲しく思い出された。；東京の新聞の切抜らしいのが特に大きく載せてあるのが浅ましい。；しかも、わたしはもうだれにもこういう浅ましいものを見られたくはございません。；生まれてこのかた、おれはこんな浅ましい女は見たことがないって。；小さな、浅ましい、そのくせ良心なるもののカケラを持った人間である。；浅ましい諸侯などを相手にしているより、どれだけいいか知れない。；このような浅ましい十字架を背負っているのは自分だけなのだと僕は思いました。；己がどれ程浅ましき畜生道に堕ちておるかは善っく承知しております。；前者であってほしい、と願っている自分が浅ましく感じられてくる。；もしかしてふたりの関係が、と心のどこかで期待していた自分が浅ましく思えた。；いまでは、彼の描く浅ましい画の中の一人物のようにしか感じることができない。；こちらの心は、まるでごみ捨て場のように浅ましい思念に満ちていた。；あの大柄な女と寝てみたいと彼は浅ましく思いつづけていた。；このように、人の心を持たぬ浅ましい身に生まれついたのは、自分の罪なのか?；敏男さんのこんな浅ましい姿はだれにも見せたくはありません。；それもひどく浅ましいことのような気がして、終日、涙に打ち沈んでいた。；あのかたも由香利さんのこういう浅ましい姿をひとに見られたくないのではないか。；ただ良く見られたいというだけで空虚な笑みを浮かべる自分を浅ましいと感じた。；そうしてこの私の冷淡は彼の態度をますます浅ましくしました。；私はこんな浅ましい身になりましたが、あなたは昔ながらにつれない方なのですね。；此日隣のは弥々浅ましい姿になって其惨状は筆にも紙にも尽されぬ。；どうか、この浅ましい妄執の罪のかろくなるような供養をして下さいまし。；それを見て私は浅ましい考えにつづいて厭らしい気がした。</t>
        </is>
      </c>
      <c r="J104">
        <f>HYPERLINK("https://www.weblio.jp/content/浅ましい", "词义详情")</f>
        <v/>
      </c>
      <c r="K104">
        <f>HYPERLINK("https://yourei.jp/浅ましい", "查看例句")</f>
        <v/>
      </c>
    </row>
    <row r="105">
      <c r="A105" t="inlineStr">
        <is>
          <t>欺く</t>
        </is>
      </c>
      <c r="B105" t="inlineStr">
        <is>
          <t>成功</t>
        </is>
      </c>
      <c r="C105" t="inlineStr">
        <is>
          <t>読み方：あざむく
［動カ五（四）］
１言葉巧みにうそを言って、相手に本当だと思わせる。言いくるめる。だます。「敵を—・く」「まんまと—・く」
→騙(だま)す［用法］
２（「…をあざむく」の形で）…と負けずに張り合うほどである。…と紛れる。「昼をも—・く月光」「雪を—・く肌」
３軽く扱う。ばかにする。
「この虚言の本意をはじめより心得て、少しも—・かず」〈徒然・一九四〉
４そしる。あれこれ非難する。
「もし教へすすむる人あれば、かへってこれを—・く」〈発心集〉
５詩歌を吟ずる。興をそそられる。
「月にあざけり、風に—・く事たえず」〈後拾遺・序〉
[可能]あざむける</t>
        </is>
      </c>
      <c r="D105" t="inlineStr">
        <is>
          <t>欺く仰山的</t>
        </is>
      </c>
      <c r="E105" t="inlineStr">
        <is>
          <t>乗せる；計る；ごまかす；欺瞞；いかさま</t>
        </is>
      </c>
      <c r="F105" t="inlineStr">
        <is>
          <t>みずから欺く；つねに欺く</t>
        </is>
      </c>
      <c r="H105" t="n">
        <v>29</v>
      </c>
      <c r="I105" t="inlineStr">
        <is>
          <t>どんな人をも欺いてはいけないが、相手の女の夫だけはこの限りでない。；人を欺きやすい芸術生活にあの女が適してると思っていられるのですか。；彼女はまさしくそこに住んでいました、私の心は私を欺きませんでした。；さうしてたゞ欺かれた自分の不明に就いてばかり彼女は耻ぢたのである。；しかし、今となっては、もうこれ以上自分を欺くわけにはいかなかった。；これは良くできない事にしても欺くことの出来ない願いではないか。；これだけが彼の不道徳な魂を、許された野望の限界を越えて欺いたのだ。；その他にも、無数のものが目を欺き、目を惑わせるのではないだろうか?；少なくとも僕自身の心を欺かない、真実な答えがしたかったからである。；けれども、もう一つの「自分」が私を欺いていたのではなかったろうか?；彼は己を欺いて、この事実を否定するには、余りに正直な人間であった。；彼は己を欺いて、この事実を否定するには、余りに正直な人間であつた。；勝つためには手段を選ばず、二重三重のトリックで相手を欺くのが得意。；政府軍の戦車は市街戦を想定して、敵の目を欺くように設計されている。；一人の案内者にそんなにたびたび欺かれるのは馬鹿なことではないか。；幸福な筈だと自分に言い聞かせて自分を欺いているだけじゃないのかしら。；他のある者を、神の如く愛することは、己れ自らを欺くものであります。；恋をすると、誰もまず自分を欺き、いつも最後に他人を欺くことになる。；恋をすると、誰もまず自分を欺き、いつも最後に他人を欺くことになる。；他人を欺いてはならない、戦いの際もこの心得を守るべきであると謂う。；その面色その態度を察するに、何とやらん言を構へて我を欺く如くなり。；これからまだ半人半馬とツェナクワ族の両方を欺かねばならないのだ。；われ君を思うこといよいよ深くしてわれますます自ら欺かんと企てぬ。；私は確かに姫君を欺いて、このような人知れぬ屋敷にお連れしました。；でもわたしは、ひとり真実を知りながら、人を欺く道を選びたくはない。；敵の欺瞞システムに欺かれる可能性がある、という点はどちらも同じだ。；わかってるはずだ、私があなたを殺したなんていうのは自分を欺いてるんだ。；大きなひろい意味の言葉を用うるときはしばしば自ら欺くことがある。；だが、彼女はそれに気づかないふりをして、自分を欺いて生きてきた。</t>
        </is>
      </c>
      <c r="J105">
        <f>HYPERLINK("https://www.weblio.jp/content/欺く", "词义详情")</f>
        <v/>
      </c>
      <c r="K105">
        <f>HYPERLINK("https://yourei.jp/欺く", "查看例句")</f>
        <v/>
      </c>
    </row>
    <row r="106">
      <c r="A106" t="inlineStr">
        <is>
          <t>朝飯前</t>
        </is>
      </c>
      <c r="B106" t="inlineStr">
        <is>
          <t>成功</t>
        </is>
      </c>
      <c r="C106" t="inlineStr">
        <is>
          <t>読み方：あさめしまえ
［名・形動］
１朝食をとる前。
２朝食をとる前のわずかな時間でできるような、たやすいこと。また、そのさま。「それぐらいは—だ」
[補説]2は、「朝食を食べるほどのわずかな時間で」とする説もある。</t>
        </is>
      </c>
      <c r="D106" t="inlineStr">
        <is>
          <t>お茶の子；屁の河童</t>
        </is>
      </c>
      <c r="H106" t="n">
        <v>29</v>
      </c>
      <c r="I106" t="inlineStr">
        <is>
          <t>彼らが与えた地域から出られないようにするなど、朝飯前の技術だった。；もしも学者が一致してこれを改めようと思うなら朝飯前に出来る仕事だ。；貿易知識皆無の日本商人からしぼりとることは朝飯前の仕事だったろう。；おれの心を読むことなど、魔女には朝飯前だとでもいっているようだった。；そこでおれは森の中へ入り、朝飯前にひと眠りするために横になった。；私だって朝飯まえにはほんの一杯、食のすすむようにと思いましてな。；あの男などは、あなたのような婦人にとっては朝飯前の相手でしょう。；敵のつい最近までつきあっていた女の名前を知るぐらい朝飯前だ。；だが彼ならば、気配を隠して近づくことなど朝飯前かもしれない。；任務が終われば、三機を母船に収容することなど朝飯前の仕事のはず。；そんな演技も私は朝飯前にできる実にいやな二枚舌性格者である。；洗濯しながら食事をし、しかも仕事を続けるなど朝めし前のことだ。；「あれくらいのことァ、あの女には朝飯前だよ」 と、兵四郎はいった。；彼には、日・月の運行を妨害することも、王をからかうことも朝飯前である。；彼らが朝飯の席につくかつかないうちに宿に戻って「朝飯前」と称していたからだ。；また十兵衛を知っていて、何くわぬ顔をしているくらいはさらに朝飯前のことだ。；それこそ国のひとつを乗っ取るぐらい朝飯前なのではないか。；また女中を味方にだきこんで証人に立たせるくらいは朝飯まえでしょうよ。；こんな調子でさえやりゃ、一年に三十くらいは朝飯前だとの御託宣なのである。；軍団の指揮官の望むとおりのお告げを鳥にさせるなど、朝飯前のことであったのだ。；このくらいのこと、おまえたちのご主人には朝飯前だろう。；国持大名の二十や三十の頭を揃える分には、彼等の社会に於ては朝飯前の仕事である。；頭のいい用心ぶかい人間にとっては、そんなことは朝飯前の仕事だからね。；こっそりと人気のない場所へ連れ込んで手ごめにするくらいは朝飯前。；とらわれるところがないものだから、そんな事あ朝飯前なんです。；そう考えたら常用漢字の読みなんて、小学生でも教えさえすれば朝飯前です。；われわれがこの街を出る前に殺すことなんか朝飯前でしょう。；十センチ四方の板二枚ぐらいなら、この二人で取りかかれば朝飯前だった。；当人は心得きっているのだから、ここを逃げるのは、それこそ本当の朝飯前だ。</t>
        </is>
      </c>
      <c r="J106">
        <f>HYPERLINK("https://www.weblio.jp/content/朝飯前", "词义详情")</f>
        <v/>
      </c>
      <c r="K106">
        <f>HYPERLINK("https://yourei.jp/朝飯前", "查看例句")</f>
        <v/>
      </c>
    </row>
    <row r="107">
      <c r="A107" t="inlineStr">
        <is>
          <t>鮮やか</t>
        </is>
      </c>
      <c r="B107" t="inlineStr">
        <is>
          <t>成功</t>
        </is>
      </c>
      <c r="C107" t="inlineStr">
        <is>
          <t>読み方：あざやか
［形動］［文］［ナリ］《「あざ」は新鮮の意》
１ものの色彩・形などがはっきりしていて、目立つさま。「—な若葉の緑」「印象—な短編小説」
２技術・動作などがきわだって巧みであるさま。「—な包丁さばき」
３容姿などがきわだって美しいさま。
「いと—に男々しきさまして」〈源・真木柱〉
４鮮度が高いさま。生き生きとしたさま。
「童子、かの浦に行きて—なる鯔(なよし)八隻(はちしゃく)を買ひ取りて」〈今昔・一二・二七〉
[派生]あざやかさ［名］</t>
        </is>
      </c>
      <c r="D107" t="inlineStr">
        <is>
          <t>鮮やかな色彩(3%)；鮮やかな黄色；鮮やかな緑色；鮮やかな赤色；鮮やかなオレンジ色</t>
        </is>
      </c>
      <c r="E107" t="inlineStr">
        <is>
          <t>明らか；良い；立派；明確；見事</t>
        </is>
      </c>
      <c r="F107" t="inlineStr">
        <is>
          <t>あまりにも鮮やか；明るく鮮やか；鮮やかな手並み；鮮やかな差し切り；鮮やかな朱色</t>
        </is>
      </c>
      <c r="H107" t="n">
        <v>29</v>
      </c>
      <c r="I107" t="inlineStr">
        <is>
          <t>ラミタン市の博物館では伝統的な柄の色鮮やかな織物が展示されている。；濃い緑色だった地色も、徐々に明るく鮮やかな緑色へと変更されている。；幻だったのだと思うにはクラリモンドの印象はあまりにも鮮やか過ぎた。；他のヒレアシシギ類と同様に、雌の方が雄と比べて羽色が鮮やかである。；また黄金色をより鮮やかにするためにクチナシが用いられることも多い。；体は黒地に赤や黄色の斑紋を持ち、翅にも鮮やかな色を出すものが多い。；目にも鮮やかな視覚美術の前に、物語そのものはしばしば忘れ去られた。；アントシアニンの色を安定化して鮮やかな青色を発色させる働きがある。；ミルザエイの写真は、生活の中の異なった局面を鮮やかに再現している。；最近では色が鮮やかに出るプラスチック製のものも増えてきている。；料理は次第変化していき、見た目が鮮やかな独特のものとなっている。；この変わり目の鮮やかさと迫力は劇場でなければ味わえないものである。；頬に白っぽい部分があるほかは、名前通り全身が鮮やかな黄色である。；したがって少女が頭に巻いているターバンの鮮やかな青が強く印象に残る。；鮮やかな色の大胆なプリント柄をデザインした商品ラインナップが特徴。；金は用いられなかったが、鮮やかな黄色により装飾に彩りが添えられた。；鮮やかな色の花をつけ、その色が次第に変化することに由来する。；瞳の色も変身前と比べてもかなり鮮やかで明るい緑色に変化する。；ルドルフは拒否するが、ヘンツォからの鮮やかな攻撃を受けて負傷する。；形態は雌に似て遙かに小さく、雌に見られる鮮やかな斑紋は見られない。；顔や喉のあたりの黄色もイベリアチャフチャフの方が鮮やかである。；花は唇形の鮮やかな紫色で、2-3個のまとまりになって数段につける。；同種の斑点は黒であるが、本種のそれは濃紺もしくは鮮やかな青である。；趙闊明の面塑人形の特徴は色鮮やかな色彩と人物の豊かな表情にある。；美しい憧れの人が死んだ時、その仏間に鮮やかな盆栽のもみじがあった。；骨董とはいろいろなものの寄せ集めであり、色鮮やかなものであった。；それは黒または暗色を背景とした、鮮やかな色使いに特徴づけられる。；体色は色薄いものから のように鮮やかなものまで様々である。；レースでも向う正面で先頭に立ち鮮やかに逃げ切ったのである。</t>
        </is>
      </c>
      <c r="J107">
        <f>HYPERLINK("https://www.weblio.jp/content/鮮やか", "词义详情")</f>
        <v/>
      </c>
      <c r="K107">
        <f>HYPERLINK("https://yourei.jp/鮮やか", "查看例句")</f>
        <v/>
      </c>
    </row>
    <row r="108">
      <c r="A108" t="inlineStr">
        <is>
          <t>朝夕</t>
        </is>
      </c>
      <c r="B108" t="inlineStr">
        <is>
          <t>成功</t>
        </is>
      </c>
      <c r="C108" t="inlineStr">
        <is>
          <t>読み方：あさゆう
１朝と夕方。朝と晩。
２（副詞的に用いて）いつも。常々。「—通る道」「—勉学にいそしむ」
３《朝晩の食事の意から》暮らし。生計。
「—にせまり、かかる侘びしき営みを仕(つかまつ)る」〈浄・出世景清〉
[補説]気象庁の天気予報等では、0時頃〜9時頃と、15時頃〜18時頃を指す。→朝晩</t>
        </is>
      </c>
      <c r="D108" t="inlineStr">
        <is>
          <t>朝夕ラッシュ時(6%)；朝夕二；朝夕時間帯；朝夕眺め；朝夕夜</t>
        </is>
      </c>
      <c r="E108" t="inlineStr">
        <is>
          <t>いつも；ずっと；常に；必ず；一定</t>
        </is>
      </c>
      <c r="F108" t="inlineStr">
        <is>
          <t>毎日朝夕；朝夕通勤時間帯；朝夕混雑；朝夕便；朝夕二回</t>
        </is>
      </c>
      <c r="H108" t="n">
        <v>29</v>
      </c>
      <c r="I108" t="inlineStr">
        <is>
          <t>周辺には高校が多く立地し、当駅の利用も朝夕を中心に多くなっている。；朝夕は非常に混雑し事故の危険が大きいことなどが課題となっている。；朝夕の時間帯には、当駅を発着とする諫早方面の列車が設定されている。；通常は1・2番線を使用し、朝夕の一部下り列車のみ3番線発着となる。；この為に朝夕の渋滞時には新淀川大橋を超える渋滞もしばしばであった。；ランバ山では乗馬ができ、朝夕に健康のためにたくさんの人が登山する。；当駅最寄りの中学校・高等学校が多く、朝夕は多くの学生が利用する。；寺の裏の山の椎の樹へ来る烏の啼き声にも私は朝夕不安な胸騒ぎを感じた。；このほか、209系を利用した千葉発着列車も朝夕に設定されている。；王寺方面、和歌山方面とも朝夕夜に当駅発着の列車が設定されている。；また、玄宗は画工に彼女の絵を描かせ、それを朝夕眺めていたという。；当駅から平安通駅まで、朝夕の通勤ラッシュ時には多くの人が歩いていた。；彼は朝夕静寂な谷間の空気を呼吸しても、寸毫の感動さえ受けなくなった。；東京駅・新宿駅と当駅を結ぶ快速電車が朝夕を中心に運行されている。；付近には大学や高等学校が多く存在するため、朝夕は通勤者や通学者が多い。；朝夕には当駅発着の学生専用電車も運行されていた。；この頃になると朝夕のラッシュ時の運用が中心となっていた。；朝夕の通勤需要に特化した路線であるが、日中でも毎時1本が運行される。；朝夕を中心に、新潟駅から越後線や信越本線と直通する列車も存在する。；そうしてすべての生きものは、しあわせな朝夕をこの土地で送れるのだ。；かつては南口に武蔵境駅行きのバスが朝夕に数本発着するのみだった。；平日は朝夕のみ、土休日は日中のみ運行され、全便中型車で運行される。；朝夕は地域住民の利用が多い一方、通年で観光客に利用されている。；上生坂では池田町営バス池坂線に連絡し、朝夕のみ接続がとられている。；母の御隅は忠副の死を機に出家し、朝夕怠らず供養の念仏を続けたという。；駅付近には住宅が少ないものの朝夕は周辺事業所などの定期通勤者が利用する。；最寄りに愛知県立一宮西高等学校があり、朝夕は特に学生の利用が多い。；バスの本数の多い区間では朝夕ラッシュ時にバス専用レーンを設けている。；此の大松と、此の碑とは、朝夕八畳に坐つて居る私の眼から離れた事がありません。</t>
        </is>
      </c>
      <c r="J108">
        <f>HYPERLINK("https://www.weblio.jp/content/朝夕", "词义详情")</f>
        <v/>
      </c>
      <c r="K108">
        <f>HYPERLINK("https://yourei.jp/朝夕", "查看例句")</f>
        <v/>
      </c>
    </row>
    <row r="109">
      <c r="A109" t="inlineStr">
        <is>
          <t>あざ笑う</t>
        </is>
      </c>
      <c r="B109" t="inlineStr">
        <is>
          <t>成功</t>
        </is>
      </c>
      <c r="C109" t="inlineStr">
        <is>
          <t>読み方：あざわらう
［動ワ五（ハ四）］
１人をばかにして笑う。せせら笑う。あざけり笑う。嘲笑(ちょうしょう)する。「人の失敗を—・う」
２大声で笑う。
「翁二人見かはして—・ふ」〈大鏡・序〉</t>
        </is>
      </c>
      <c r="D109" t="inlineStr">
        <is>
          <t>あざ笑うような声(3%)</t>
        </is>
      </c>
      <c r="E109" t="inlineStr">
        <is>
          <t>笑う；揶揄；冷笑；からかう；嘲弄</t>
        </is>
      </c>
      <c r="H109" t="n">
        <v>29</v>
      </c>
      <c r="I109" t="inlineStr">
        <is>
          <t>たぶんいまごろあの秘書二人は自分をあざ笑っているにちがいなかった。；そして日本の女の悪口を云うものがあると、彼は腹のうちにあざ笑った。；そしてカイルロッド達をあざ笑っているかのように、大きくなっていく。；あいつはいつだったか俺の顔をあざ笑って、俺を袖にしやがった奴だ。；俺の中で、もうひとりの俺が意識があざ笑っているような気がした。；開いた唇や鋭い白い歯にもあざ笑いが浮かんでいるようでした!；彼女は、子供の幸福のことで気をもんでいる彼をあざ笑っていた。；俺はバットで自分の肩をぽんぽんと叩きながら、余裕の声であざ笑った。；しかもおまえがおれをあざ笑ったり軽蔑したりしてる時分のことだぞ。；むろん、それは、ふたりをアッといわせて、あざ笑うためだったのです。；二週間で、人生が変わることを一瞬でも、信じた私をあざ笑うかのような。；兎はまるで私をあざ笑うように畑の中を駆け抜けて森の茂みへ消えた。；州波はそれを内心あざ笑いながら、男たちを自在に動かしてきたのだ。；彼女が怖かったのではなく、人々にあざ笑われることを恐れたのだ。；わたしは生まれてこのかた、虫の知らせをあざ笑ったことはない。；あとに残った者が彼を臆病者とあざ笑ったのはいうまでもねえ。；それほど早く来るとは思わなかった戦争をあざ笑っていた。；そして目の前にはそれを見てあざ笑う謎の魔物の姿があった。；彼は自分自身を、そしてこの世の中のあらゆるものをあざ笑っているように感じた。；インゲも他のみんなと同じようにぼくをあざ笑ったのだろうか?；ひそひそ声で世界が私をあざ笑うのではないかと恐れたのだ。；眼は閉じようとしませんばかりか、まるで私のすることをあざ笑うかのようです。；彼の兄たちは彼の漁が少ないことをあざ笑って、いろいろな歌を残している。；きらめく走行灯がこちらを見あげてあざ笑っているかのようだ。；彼女は僕が一行も書けないでいる原稿紙の上を冷やかにあざ笑うようにして見ていた。；おそらく玉屋は腹のうちでおれをあざ笑ってただろう。；「おまえは後悔しているか」すると後の声があざ笑うような調子でまた答えた。；庭から見あげている刑事たちをあざ笑っているのです。；おれの強欲など羽虫のようなものだとあざ笑っているかのようだ。</t>
        </is>
      </c>
      <c r="J109">
        <f>HYPERLINK("https://www.weblio.jp/content/あざ笑う", "词义详情")</f>
        <v/>
      </c>
      <c r="K109">
        <f>HYPERLINK("https://yourei.jp/あざ笑う", "查看例句")</f>
        <v/>
      </c>
    </row>
    <row r="110">
      <c r="A110" t="inlineStr">
        <is>
          <t>足</t>
        </is>
      </c>
      <c r="B110" t="inlineStr">
        <is>
          <t>成功</t>
        </is>
      </c>
      <c r="C110" t="inlineStr">
        <is>
          <t>読み方：あ
《上代語》あし。
「—の音せず行かむ駒もが」〈万・三三八七〉
[補説]多くは「あがき（足掻き）」「あゆい（足結）」など、他の語と複合して用いる。</t>
        </is>
      </c>
      <c r="D110" t="inlineStr">
        <is>
          <t>足回り；足裏；足繁く；足しげく；足をふみ入れ</t>
        </is>
      </c>
      <c r="E110" t="inlineStr">
        <is>
          <t>金；脚；丸；渡り；お金</t>
        </is>
      </c>
      <c r="F110" t="inlineStr">
        <is>
          <t>滿足；一歩足；足渾皇太后；足回り及び電装；足亜綱</t>
        </is>
      </c>
      <c r="G110" t="inlineStr">
        <is>
          <t>足り；足元；足跡；足もと；足ら</t>
        </is>
      </c>
      <c r="H110" t="n">
        <v>29</v>
      </c>
      <c r="I110" t="inlineStr">
        <is>
          <t>スポーツ中以外でも、普通に歩いている時や足を伸ばした時にも起こる。；靴はそれ以外の履物に比べ覆う面が多いため、足を保護する効果が高い。；イーカロスは画面右下に小さく描かれ、海に墜落し足だけが見えている。；一方で自分が足を引っ張っていることを気にしているような場面も見られる。；足鍵盤のための独立したパイプ群を持たないプルダウン型のものもある。；足を前後に開き右手を挙げている独特のポーズで表されることが多い。；この三本足さえも関節があり伸縮し、段差の低い階段の上り下りも可能。；地名の由来は、ある武士の馬がこの付近で足を骨折したためといわれている。；それが普通で、地に足のついた方法だと思っていたのだと思う。；川は流れるので星も流れる、足が流れるというので好まれなくなったという。；兵士はイエスの足も折ろうとしたが、すでに死亡していたためやめた。；そのような時でも手は絶対使わず、主に足で相手を蹴飛ばしていた。；太陽の的には三本足の烏が描かれ、月の的にはウサギが描かれることが多い。；彼らはあなたをその手にのせて運び、足が石に当たらないように守る。；執筆でひさしの足がむくむと好子はそれを取るためのマッサージをした。；浴槽が深い場合、入る際に足を高く上げなければならず危険である。；その代わりにヨハネ福音書では夕食の時、弟子たちの足をイエスが洗う。；またマルシュルートカというバスがありそれが国民の足となっている。；ステージを見に足を運んでくださる人だけがお客様だと思っている。；泥や砂の上で暮らすものは、やや特殊な形の腹足を持つ例がある。；鬼はよほど足が速くない限り、全員を凍った状態にすることは難しい。；しかし、この時の中継映像では戸田の足が先に出たように見えた。；そのため、スポーツセダンに入るかどうかは足回りなどの調整で決まる。；このような形をとることで、バックルを締めることで足を固定できる。；これは、足が地面を掻く際の引っかかりになるように発達したものであろう。；特に後者は、まるで相手が自らミルコの足に当たりに行っているように見える。；場合によっては大きな種子を保持するのを助けるために足が使われる。；頭は天に達し足は地に至るというほどの巨体であるという。；選手は、足であろうと手であろうと前方にボールをパスすることは許されなかった。</t>
        </is>
      </c>
      <c r="J110">
        <f>HYPERLINK("https://www.weblio.jp/content/足", "词义详情")</f>
        <v/>
      </c>
      <c r="K110">
        <f>HYPERLINK("https://yourei.jp/足", "查看例句")</f>
        <v/>
      </c>
    </row>
    <row r="111">
      <c r="A111" t="inlineStr">
        <is>
          <t>味</t>
        </is>
      </c>
      <c r="B111" t="inlineStr">
        <is>
          <t>成功</t>
        </is>
      </c>
      <c r="C111" t="inlineStr">
        <is>
          <t>読み方：あじ
［名］
１舌の味覚神経が飲食物に触れたときの感じ。甘味・酸味などや温度の総合した感じ。「—をつける」「スープの—が濃い」「あっさりした—」「他店より—が落ちる」
２そのもののもっている趣。含蓄。よさ。「—のある絵」「演技に—が出る」
３物事を経験したあとでの感じ。「当選の—」「夜遊びの—」
４相場の動きの状態。
５囲碁・将棋で、のちに影響の出そうな指し手。「—が悪い手」
［形動］［文］［ナリ］一風変わって、おもしろいさま。また、気のきいているさま。しゃれているさま。おつ。「縁(えん)は異(い)なもの—なもの」「—な趣向」
[下接語]秋味・後味・薄味・大味・書き味・隠し味・切れ味・小味・塩味・下味・剃(そ)り味・乗り味・一(ひと)味・持ち味</t>
        </is>
      </c>
      <c r="D111" t="inlineStr">
        <is>
          <t>味線；味はふ；味わせ；味淋；味加減</t>
        </is>
      </c>
      <c r="E111" t="inlineStr">
        <is>
          <t>匂い；好み；辛い；風情；乙</t>
        </is>
      </c>
      <c r="F111" t="inlineStr">
        <is>
          <t>黄色味；醤油味；快味；野性味；苦い味</t>
        </is>
      </c>
      <c r="G111" t="inlineStr">
        <is>
          <t>味わい；味わう；味噌；味噌汁；味付け</t>
        </is>
      </c>
      <c r="H111" t="n">
        <v>29</v>
      </c>
      <c r="I111" t="inlineStr">
        <is>
          <t>春が旬の魚とイメージされているが、本当に味が良いのは秋・冬である。；このため、味を残しながら種なしにできる品種の開発も進められている。；したがって、ラムの種類を変えることでも味の調整を行うことができる。；彼女に勝ちの味を教えてあげられなかったことには悔しさも感じています。；立派な施設を持ち、日本の学校の雰囲気そのままを味うことができる。；このワインは新鮮なうちに飲むべきで、その味はとても特別なものである。；笹川の味のある弟ようちゃんが今週やっていたことを報告してもらう。；普段ドラえもんが出す当道具は無味だが、味付きバージョンも存在する。；ミートソースを名古屋人好みの味に仕立てようとしてできたと言われる。；その味とその他複数の遺伝子との間の関係も明らかにされている。；またワインに含まれる酢酸エチルは味を落とす原因とも言われている。；タイ王国では、味・効能とも非常によく似たが現在も販売されている。；舌はまた、基本的な味には一般的に含まれていない他の感覚を感じることができる。；それを味の専門家3人が誰が作ったか分からない状態で食べて審査。；現在でも店頭で客が好みの味に調合してもらうことができる販売店がある。；この様な知覚心理学的な意味での味のことを風味と呼ぶことがある。；くさやの匂いや味は島ごとはもちろんだが店ごとにも差がある。；なお、舌以外にも少ないながら味物質の受容器が存在することが知られている。；色は普通、真鍮様の黄色であるが、かなり黄色味の薄いものも珍しくはない。；また冬には、枝先にやや黄色味を帯びた白い五弁の小花を咲かせる。；赤ワインは、肉であれば何であれ、食事の味の濃さに応じて使われる。；独特の甘酸っぱい味があり、乳清を加工した飲料も多く発売されている。；夏には炭酸のような味になることから『サイダー温泉とも』呼ばれていた。；この方法を用いると癖の全くない、透明感のある味や香りになる。；これを飲んで初めてココアの味を知った人も多かったという。；どちらかというと味はスープに近く、主食のツァンパを練るのにも使う。；どの貝を使うかによって貝から染み出る水分の量が変わり味に影響する。；黒澤は俳優に本能むき出しの野性味ある動きや表情を引き出そうとした。；沖縄バヤリース時代の味を継承して製造するとする記事もある。</t>
        </is>
      </c>
      <c r="J111">
        <f>HYPERLINK("https://www.weblio.jp/content/味", "词义详情")</f>
        <v/>
      </c>
      <c r="K111">
        <f>HYPERLINK("https://yourei.jp/味", "查看例句")</f>
        <v/>
      </c>
    </row>
    <row r="112">
      <c r="A112" t="inlineStr">
        <is>
          <t>足跡</t>
        </is>
      </c>
      <c r="B112" t="inlineStr">
        <is>
          <t>成功</t>
        </is>
      </c>
      <c r="C112" t="inlineStr">
        <is>
          <t>読み方：あしあと
１人や動物が歩いたあとに残る足の形。
２立ち寄った道筋。逃げた行方。足どり。
３業績。そくせき。「研究に偉大な—を残す」</t>
        </is>
      </c>
      <c r="D112" t="inlineStr">
        <is>
          <t>足跡化石；足跡を追って；足跡らしいもの；足跡ひとつ；足跡らしきもの</t>
        </is>
      </c>
      <c r="E112" t="inlineStr">
        <is>
          <t>あと；道；歴史；路線；道路</t>
        </is>
      </c>
      <c r="F112" t="inlineStr">
        <is>
          <t>小さな足跡；巨大な足跡；新しい足跡；足跡を追いはじめ</t>
        </is>
      </c>
      <c r="H112" t="n">
        <v>29</v>
      </c>
      <c r="I112" t="inlineStr">
        <is>
          <t>図に示された足跡は現在ではカブトガニの物だったことが判明している。；広い庭の中央あたりまでつづいていた足あとが、そこで終っているのだ。；しかし中には誰もおらず、見慣れない足跡が残されていただけであった。；足跡化石からは群れを作り四足歩行で移動していたことがわかっている。；この辺の山々は人が多く這入らぬので道は殆んど足あとの続きに過ぎぬ。；海上交易を保護されたフェニキア人はこの時代にも大きな足跡を残した。；舞台の下はやわらかな土なのだが、そこにくっきり足あとがついていた。；このぶんでは我我の残した足あともすっかり消えてしまったことだろう。；足跡とは、人や動物が土、雪、ドロなどの上を歩いたあとに残る足の形。；アスガルンおろしの風が、われわれの足あとを消してくれるだろうしな。；時々、そのような報告が大きな足跡、または他の証拠と共にされている。；門から玄関まで、きれいな雪の上に、おれは足あとをつけながら歩いた。；オチョアは死んだ主人公の武器を発見し、彼の足跡を継ぐことを考える。；その中でも足跡がかなりの程度まで分かっているのは、以下の人たちである。；その足跡は、寺やそこから飛んだと見られる石などにも残っている。；V は今ではほとんど忘れ去れているが、時代に足跡を残したと言える。；浮き出た足跡に乗ると足が勝手に動き出して目的地へ行くことができる。；ネコの足あとを十倍も大きくしたようなやつが、五つものこっています。；しかし、足跡が一歩しかないのはないのはその身に一体何が起きたのだろうか?!；わたしが剣を抜いて足跡を追跡しているところにグロムが助けに来る。；というのは、その足あとというのはただ一つ、右の靴あとしかないのだ。；ドライゼ銃を開発した後のドライゼの足跡にはやや不明確な点がある。；昨夜バンウエルが履いていた靴は、庭に残されていた足跡と一致した。；別の大型の足跡も発見されているが、侵食に影響され詳細は読み取れない。；砂の上に残された例の素足の足あとは注意ぶかく保存されてあった。；わたしたちは十間ばかりかれらの足あとをつけることができた。；足跡は大人と子供を含む5人と思われる個人によるものであると確認された。；文学的に足跡を残すものではなく、今日の関心は歴史的文脈のみにある。；本作では星野道夫の足跡をたどりつつ彼と交流のあった人々を紹介している。</t>
        </is>
      </c>
      <c r="J112">
        <f>HYPERLINK("https://www.weblio.jp/content/足跡", "词义详情")</f>
        <v/>
      </c>
      <c r="K112">
        <f>HYPERLINK("https://yourei.jp/足跡", "查看例句")</f>
        <v/>
      </c>
    </row>
    <row r="113">
      <c r="A113" t="inlineStr">
        <is>
          <t>足音</t>
        </is>
      </c>
      <c r="B113" t="inlineStr">
        <is>
          <t>成功</t>
        </is>
      </c>
      <c r="C113" t="inlineStr">
        <is>
          <t>読み方：あしおと
１歩いたり走ったりするときに出る足の音。「—を立てる」「—が遠くなる」
２あるものの近づいてくる気配。「春の—」</t>
        </is>
      </c>
      <c r="D113" t="inlineStr">
        <is>
          <t>足音高く；足音荒く；足音ひとつ；足音が遠く；足音しのばせ</t>
        </is>
      </c>
      <c r="E113" t="inlineStr">
        <is>
          <t>跫音；靴音</t>
        </is>
      </c>
      <c r="F113" t="inlineStr">
        <is>
          <t>軽い足音；あわただしい足音；小さな足音；かすかな足音；大きな足音</t>
        </is>
      </c>
      <c r="H113" t="n">
        <v>29</v>
      </c>
      <c r="I113" t="inlineStr">
        <is>
          <t>僕の足音を聞いて娘はふとこの方へ向いたが、僕を見てにっこり笑った。；すると、すぐに戸が開いて、だれかこちらへ駆けてくる足音がしました。；細身の若い女は殆ど足音もなくその面の上を行きつ戻りつしております。；その時、小さい靴の足音がしたかと思うと扉が静かに押し開けられた。；その時、小さい靴の足音がしたかと思ふと扉が静かに押し開けられた。；すると廊下に足音がして突然姿を現わしたのはダンチョン様でございます。；このとき小嶋は「テレビ時代の足音が聞こえてきた感じがした」という。；足音はずんずん近づいて来て、街の角を曲ると急に一そう大きくなった。；車がそろそろ動き出すとついて来る人のいろいろの足音が聞え出した。；夜があけてゆくにしたがって、雷のような足音が聞えてきはじめました。；左のあなへはいったとすれば、こんなに足音が聞こえるはずはないんだ。；源吉はまだ何処かに人の足音がしはしないかと注意したのであつた。；朝のうちは来ないと知りながら足音がすると彼はのぞかずにいられなかった。；しかし、階段を上がってくる足音がするだろうという期待は裏切られた。；そして足音を忍んで、小鳥の籠の置き並べられた箱の傍へ寄つて行つた。；重い足音が聞こえたのは、博士が階段をドダドタ降りて来た時だった。；かね子は、全神経をお母さんの足音の消えていく方へ集めていました。；そうして人類文化の進歩の急速な足音を聞いているような気もする。；青い顔をして、俯向いて、隅の方を足音を立てずに歩いているのだそうだ。；私の近づく足音を聞くと振り返ってなんだかひどく落ち付かぬふうを見せた。；悲しみにつぐ 悲しみの中で わたしの心に迫るのは あの方の足音です。；そんな時、不意に私は外の絨毯引きの階段を踏むアランの足音を感じた。；門の外で不思議な足音が聞こえ、それがウォンカの足音だと判明する。；それが夢でもないことは、今度も七兵衛の耳に鼠の足音を聞いたのである。；すると、廊下に足音が聞え、扉が開いて、恐れていたやつか姿を現わした。；いくたびも彼は、見ている人の足音を聞いたり、聞いたように思ったりする。；すぐ足音で逃げてしまったが、見たら机の上に、糞が二つ落ちていた。；再び女の悲鳴がして、こっちへ駈け来る足音が、廊下の方から聞こえて来た。；店に誰もいなかったのが自分の足音で一人奥から出て来た。</t>
        </is>
      </c>
      <c r="J113">
        <f>HYPERLINK("https://www.weblio.jp/content/足音", "词义详情")</f>
        <v/>
      </c>
      <c r="K113">
        <f>HYPERLINK("https://yourei.jp/足音", "查看例句")</f>
        <v/>
      </c>
    </row>
    <row r="114">
      <c r="A114" t="inlineStr">
        <is>
          <t>足がかり</t>
        </is>
      </c>
      <c r="B114" t="inlineStr">
        <is>
          <t>成功</t>
        </is>
      </c>
      <c r="C114" t="inlineStr">
        <is>
          <t>読み方：あしがかり
１高い所へ登るとき、足を掛けて助けとする所、また、物。足場。
２物事をする場合のきっかけ。糸口。「出世の—をつかむ」</t>
        </is>
      </c>
      <c r="D114" t="inlineStr">
        <is>
          <t>鍵；示唆；キー；手がかり；ヒント</t>
        </is>
      </c>
      <c r="F114" t="inlineStr">
        <is>
          <t>大きな足がかり；重要な足がかり；手がかり足がかり</t>
        </is>
      </c>
      <c r="H114" t="n">
        <v>29</v>
      </c>
      <c r="I114" t="inlineStr">
        <is>
          <t>ただ自分たちの研究の足がかりにしようとしているにすぎないのである。；これでいよいよ人類も太陽系外への発展の足がかりを作ったわけですな。；わけわからずに追いまくられているのは、足がかりがまるでないからだ。；この東京での活動は後に彼らがプロとして活躍する足がかりとなった。；事業の成功に向けての足がかりとして、まず推進されたのが水源の確保。；しっかりした足がかりを得るために家へもどらなければならなかった。；何でもよいから足がかりを得て、自分の可能性を試したかったんだよ。；これを足がかりに仕事を続けているうち、自分が病んでいることを知った。；手の力だけでつり下がることになるが、井戸の内部にも足がかりがある。；そしてトゥーリンに助けられた森の民の娘からついに足がかりを得たのである。；二四歳のうちに、次に自分がやることの足がかりを作っておきたかったんですね。；この世界に理性の足がかりとなるものは、もはや何ひとつ存在しない。；札幌を足がかりにして、北海道のあちこちを回ったこともあるらしい。；腕と腕をからませてロープのかわりにし、人の肩が足がかりになった。；だが日本は、これを機会に中国進出の足がかりを得ようとしていた。；右足で床をかいて石のみぞに足がかりを得ると、背を曲げて鐘を押した。；なんの足がかりもない三階の壁に、ドアだけがついているのだ。；すべり出しの足がかりがはっきりしない感じがあるのではなかろうか。；ここでマンモスは危険な足がかりをたどりながら用心深く降りて行った。；このように考えると、文字こそが言語統一へ向けての唯一の足がかりだったのである。；またそれを足がかりとして、日本社会党との連携を計画していたとされる。；コンクリートの壁には、どこにも手がかり、足がかりとなるものはない。；李は東京に留学することが目的ではなく、フランスへ行く足がかりにするためであった。；人類が惑星へと進出する足がかりとなったそれらも、今では歴史の一部となってしまった。；一晩眠ったくらいでは解決の足がかりにもならなかった。；決勝大会に進出し、優秀グループ賞を獲得するなどしてこれがプロへの足がかりとなる。；近くでみると、熔岩の傾斜はかなり急だが、足がかりにはこと欠かない。；石があれば、それを足がかりにして少しずつ歩を進めていく。；日本との対話と接触を開始し、将来の経済的関係のために足がかりを設けた。</t>
        </is>
      </c>
      <c r="J114">
        <f>HYPERLINK("https://www.weblio.jp/content/足がかり", "词义详情")</f>
        <v/>
      </c>
      <c r="K114">
        <f>HYPERLINK("https://yourei.jp/足がかり", "查看例句")</f>
        <v/>
      </c>
    </row>
    <row r="115">
      <c r="A115" t="inlineStr">
        <is>
          <t>足固め</t>
        </is>
      </c>
      <c r="B115" t="inlineStr">
        <is>
          <t>成功</t>
        </is>
      </c>
      <c r="C115" t="inlineStr">
        <is>
          <t>読み方：あしがため
１登山・旅行などに備えて、足を慣らすこと。足慣らし。
２物事をする準備。基礎固め。「県議選の—をする」
３床下で、柱と柱との間に取り付ける横木。</t>
        </is>
      </c>
      <c r="H115" t="n">
        <v>29</v>
      </c>
      <c r="I115" t="inlineStr">
        <is>
          <t>この上は自分の力で、我が子の将来のための足がためをしなければならない。；会社の人間が思っているよりも速いスピードで、結婚への足固めは進んでいるのだ。；その後に予定されている太陽系外宇宙進出の足固めであった。；三年生になってから迷うことがないように今からしっかりと足固めをしていただきたい。；ヘーゲルは学問上の足固めを果たし、学者として出発する準備が整いはじめていた。；そのあいだ僕は仰向きに寝そべって、揺れている草のあいだから脛当てをつけたバッターたちの足固めをした姿を見ていよう。；全部にわたって一応の足固めができたところで、すべての測定要素を最後の段階にじりじりと高めて行って、そこで一つの資料がとれるのである。；政権や自民党の支持率が回復傾向にある中、解散して勝利すれば総裁再選を経て長期政権の足固めとなる可能性が高かった。；また、先場所11勝4敗の好成績を挙げた豪栄道の大関獲りの足固めがなるかどうかが注目された。；ユリシスを英国に送り込んできたプリンスは、どうやら魔術的な部分での足固めをはじめようとしているらしい。；体育館横の事務所で穴があいた傷の手当てをし、控えに入る直前に痛み止めの注射をして土俵にあがったが、何とか二桁の白星をあげ、大関への足固めをした。；前場所で妙義龍が関脇の地位で10勝をあげており、今場所の成績によっては大関昇進の足固めができるため、そのことが注目された。；これ以後、元東京ガスサッカー部監督で同部部長の鳥原光憲を中心に、Jリーグ参画に向けての足固めと強化を図っていった。；奥州国は首都を盛岡市に定め、行政の足固めを進める。；「これで越中攻めの足固めができた」 流れ落ちる汗をぬぐいながら、景虎はつぶやいた。；まず、マクシムス帝は権力の足固めに着手した。；佐野鋭によるとこうした懸念材料に対して、東京電力は上記の知事への交渉の他、地道に足固めを行っていた。；「ここでしっかり足固めをして、カウンセリング事業につないでいくんや」 テストは途中、量子CPUのカートリッジを交換するなどしながら、上昇と降下を何度もくり返して行われた。；そして、ケイヴァー氏を救うことが、まだ可能だとしたら、まず、彼を救ってから、しっかりした足がためをした上で、いくらでも転がっている金を拾い集める仕事にとりかかるのだ。；張爆殺は、満州国建設への足固めであった。；戦闘後、デリーとアーグラはバーブルの支配下に入り、ムガル帝国のインド支配の足固めがなされることになる。；ハンマーズは、現場の作業衣のようなのもあり、普通のシャツとズボンもいて、足固めは地下足袋か、すり切れたズックが多い。；合併の話が持ち込まれた伊藤忠自身も、戸崎社長の指揮の下、ペプシコーラ事業からの撤退など、総額350億円の不採算事業の整理を断行し、長期不況に立ち向かう足固めを始めたところであり、決して余裕があったわけではなかった。；すでに1980年からホンダエンジンはF2でラルトと組んでトップを争っていたが、F1参戦を念頭に置きF2タイトル狙いではなく、F1復帰の足固めとして機能させることを目的にホンダが出資してスピリット・レーシングが設立された。；信長は、桶狭間の戦勝によって今川方に再起しがたいほどの大打撃をあたえ、かつ、領国尾張の平定と統一に成功し、上洛のための足固めをすることができた。；ずつと以前、或る旅館で初めての時にも、ななえは芯まで冷える寢臺の枠につかまり、社村を押し退かうとして身悶えしたが、あの折は蜜でも舐めてからだが温まるやうな、からだに輕いものを感じてゐたが、いまは重心の確かりした足固めがおのづから出來てゐて、自分ながら動かうにも動けないものがあつた。；東関脇となり、大関昇進への足固めが注目された翌11月場所では5日目までは4勝1敗と順調な成績だったものの、6日目から7連敗して結果的に7勝8敗と負け越してしまい、東小結となった翌2011年1月場所でも6勝9敗と負け越して三役から陥落した。；ちょうど日曜で、久しぶりの郊外散策、足固めかたがた新宿から歩行いて、十二社あたりまで行こうという途中、この新開に住んでいる給水工場の重役人に知合があって立寄ったのであった。；一方、大口方面でも菱刈氏と結んで大口城を守る相良勢に対して、新納忠元を大口城に近い市山城に配置し、相良氏攻略の足固めをすすめた。</t>
        </is>
      </c>
      <c r="J115">
        <f>HYPERLINK("https://www.weblio.jp/content/足固め", "词义详情")</f>
        <v/>
      </c>
      <c r="K115">
        <f>HYPERLINK("https://yourei.jp/足固め", "查看例句")</f>
        <v/>
      </c>
    </row>
    <row r="116">
      <c r="A116" t="inlineStr">
        <is>
          <t>悪しからず</t>
        </is>
      </c>
      <c r="B116" t="inlineStr">
        <is>
          <t>成功</t>
        </is>
      </c>
      <c r="C116" t="inlineStr">
        <is>
          <t>読み方：あしからず
［連語］相手の希望や意向に添えない場合などに用いる語。悪く思わないで。気を悪くしないで。「どうか—御了承ください」</t>
        </is>
      </c>
      <c r="D116" t="inlineStr">
        <is>
          <t>悪しからず御(14%)</t>
        </is>
      </c>
      <c r="F116" t="inlineStr">
        <is>
          <t>どうぞ悪しからず</t>
        </is>
      </c>
      <c r="H116" t="n">
        <v>29</v>
      </c>
      <c r="I116" t="inlineStr">
        <is>
          <t>僕等無名作家の名前では効果がないと思ひましたからどうか悪しからず。；細長き画面の上部を二階となし階段によりて男女の相逢ふさまも悪しからず。；こういう次第で嫁には差上げられないから悪しからずという断りだった。；でもいくら言っても今回、彼女の出番はありませんから悪しからず。；俺も上京して応援したいんだけれども知つての通りの境遇だから悪しからず思つてくれ。；食後すぐ来るようにと言うので、音楽会には行く気がないから悪しからず、と返事しました。；どうか悪しからず思ってくれと、彼は頼むように言った。；万一おいで下さいましても、玄関に鍵がかかっておりますから、悪しからず御諒承下さい。；どうぞ悪しからずね、お客様の前へは出られない人ですから。；何だかとりとめもない事ばかり書きましたが、どうか悪しからず御赦し下さい。；「帽子も脱がずに恐縮ですが、どうか悪しからず」と、彼は言い訳をする。；しかし今日はぜひ諸君に聞いていただかねばならぬ用事があったことですから悪しからず許してください。；しかし、私も命令で動いてるんですから、悪しからず。；決して出し抜いたわけじゃないんですから、どうぞ悪しからずね。；でも緊急になくて困っていた人があって、いくらでも買えたあの頃の私達の気持では、蔵っておいて虫に喰われるよりは、と思ってのことですからどうぞ悪しからず。；もっと詳しく申しあげればよいのですが、病臥中で意にまかせませんから悪しからず。；「役者絵のことは、ああいうことで悪しからず」 と歌麿はもう一度盃を掲げて言った。；この点今後もなにとぞ、悪しからずと申して下さい。；かえすがえすも、きみの親切にそむくことを、残念に思っているが、悪しからず。；こんな取止めもない事では雑誌に載せて頂くのは如何かと存じますが御返事までに申上げます、どうか悪しからず願います。；また、今後たとえバグダードの街々で私にふと出会いなさる折があろうと、私はもう知らぬ顔をしていても、どうぞ悪しからずお思い下さい。；が、あれはつまり、天皇というものは法律の上でも無能力なものであるということを自分から承認したことであり、どうぞこれからも悪しからずという挨拶です。；風月堂のかすてらも悪しからず、引包めて二両ばかり買うが可い。；あちらからすぐ帰るというんなら、お引き留めできないけど悪しからずっていうんだけど。；ところが翌日、再び先輩から電話があり、予定の解剖は監察医務院で行う行政解剖ではなく、検事の指揮下で犯罪を前提とした司法解剖に切りかわり、ある大学で行うことになったので、悪しからずというのであった。；ところが、その使ひは意外にも今後北井家では修一さんとの交際を打ち切ることにしたから悪しからずといふ縁談の断りに来たのだつた。；会社からは「サリンジャーはファンレターを読みませんので悪しからず」とだけ返信するように命じられていたが、ジョアンナは幾人かの熱心なファンに対して丁寧な返信を出していた。；甘く芳はしき香も悪しからず、花の黄金色なせるも地にこぼれて後も見ておもむき無きならず。；「決して御客様方の人格を疑うような訳ではありませんが、これも職務で御座いますからどうか悪しからず御勘弁を願います」と云う。</t>
        </is>
      </c>
      <c r="J116">
        <f>HYPERLINK("https://www.weblio.jp/content/悪しからず", "词义详情")</f>
        <v/>
      </c>
      <c r="K116">
        <f>HYPERLINK("https://yourei.jp/悪しからず", "查看例句")</f>
        <v/>
      </c>
    </row>
    <row r="117">
      <c r="A117" t="inlineStr">
        <is>
          <t>明日</t>
        </is>
      </c>
      <c r="B117" t="inlineStr">
        <is>
          <t>成功</t>
        </is>
      </c>
      <c r="C117" t="inlineStr">
        <is>
          <t>読み方：あした
《「あした（朝）2」から転じた語》今日の次の日。あす。みょうにち。
[用法]あした・あす——「あした」は「あした天気になあれ」「あしたはあしたの風が吹く」のように、最も日常的に用いられる。◇「あす」は由来の古い語であるが、「あすは北寄りの風、晴れでしょう」などと用いるほか、「あすは我が身」「あすの世界を担うのは君たちだ」のように、近い将来の意でも用いる。◇類似の語に「明日(みょうにち)」があるが、「明日、御報告にうかがいます」「明日の御予定はいかがでしょうか」など改まった場合、あるいは文章の中で用いる。</t>
        </is>
      </c>
      <c r="D117" t="inlineStr">
        <is>
          <t>明日奈；明日あたり；明日以降；明日香井；明日香村</t>
        </is>
      </c>
      <c r="E117" t="inlineStr">
        <is>
          <t>翌日；次の日；あした；近い将来；あくる日</t>
        </is>
      </c>
      <c r="F117" t="inlineStr">
        <is>
          <t>明日正午；明日めぐみ；明日早朝；明日なき；明日午後</t>
        </is>
      </c>
      <c r="G117" t="inlineStr">
        <is>
          <t>明日美；明日になれば；明日未；明日香村；明日の天気</t>
        </is>
      </c>
      <c r="H117" t="n">
        <v>29</v>
      </c>
      <c r="I117" t="inlineStr">
        <is>
          <t>結論は出なかったが明日はこれまでにない接近行動があるだろうと予測。；事によると今日は泊って来るから、帰りは明日の朝になるかも知れない。；我々の明日の歌も矢つ張り何處までも我々の明日の歌でなくてはならぬ。；そして明日はどんなことがあっても学校に来なければいけませんよ。；多くの話のうちに明日行くべきお光さんに関しての話はこうであった。；その日に小林は明日テラスハウスから卒業することをメンバーに伝えた。；当初は正体、目的共に不明で、その存在は明日那でさえも知らなかった。；これは明日の地球に愛と優しさを求めた、特別救急捜査隊の物語である!；ここにいる事が知れた日にゃ、明日にも押しかけて来ないものじゃない。；若い士官の間では「明日はきっと艦長が一悶着起こすぞ」と噂していた。；少しでも私達の歌で明日生きる力になれたら、明日と戦う勇気になれたら。；私は役に立っているようだが、明日のことはよくわからないらしいのでね。；たとえば、明日雨が降るかどうか分からない場合は、不安な状況である。；明日の会議は10月30日に空爆か侵攻を行うかで開かれる予定であった。；直ちに皆さんがこれに賛成すれば、もう明日にもこれは成立をしますよ。；また、明日では近すぎて未来では遠すぎるという意味が込められている。；明日はいよいよ伐採という日の深夜に、美しい娘が上人のもとを訪れた。；「今日と明日の違いは明日と明後日の違いより大きい」と説明されている。；明日に移動してカナダでライヴをやるんだけど、俺のバンドで叩かないか?；デイジーは明日をも知れぬ世界で、生きるための戦いを強いられるのだった。；私が立つてから明日クリスチナさんがきて私の荷物を荷造りしてくれませう。；おれは締切日を明日に控えた今夜、一気呵成にこの小説を書こうと思う。；内容は明日の分からない世界において愛の必要性を歌ったものになっている。；そこに王子の母親が現れ、明日行われる舞踏会で花嫁を選ぶよう命じる。；元の世界へと還っていくケイジの耳には、まだ見ぬ明日の歌が聞こえていた。；もし貸さなければ彼等は当然の罰を受けて、明日は一文も貰えないのだ。；少年を治療し陽が落ちたので、明日には目が覚めるだろうと帰宅した5人。；もし諸君が我々を助けに来なければ、明日には諸君らの国が奪われるだろう。；この会談は明日にも戦争が起きそうな緊迫感を帯びていたという。</t>
        </is>
      </c>
      <c r="J117">
        <f>HYPERLINK("https://www.weblio.jp/content/明日", "词义详情")</f>
        <v/>
      </c>
      <c r="K117">
        <f>HYPERLINK("https://yourei.jp/明日", "查看例句")</f>
        <v/>
      </c>
    </row>
    <row r="118">
      <c r="A118" t="inlineStr">
        <is>
          <t>足取り</t>
        </is>
      </c>
      <c r="B118" t="inlineStr">
        <is>
          <t>成功</t>
        </is>
      </c>
      <c r="C118" t="inlineStr">
        <is>
          <t>読み方：あしとり
１《「あしどり」とも》相撲のきまり手の一。相手の足を両手で抱え上げ、引き倒すか土俵の外へ出す技。一寸反(いっすんぞ)り。
２レスリングで、相手の足を取ってマットに倒す技。</t>
        </is>
      </c>
      <c r="D118" t="inlineStr">
        <is>
          <t>足取り教え；足取り軽く；足取りで歩き出し；足取り重く；足取りで歩きだし</t>
        </is>
      </c>
      <c r="E118" t="inlineStr">
        <is>
          <t>歩；足元；歩み；足もと；ステップ</t>
        </is>
      </c>
      <c r="F118" t="inlineStr">
        <is>
          <t>軽い足取り；おぼつかない足取り；手取り足取り；軽やかな足取り；慎重な足取り</t>
        </is>
      </c>
      <c r="H118" t="n">
        <v>29</v>
      </c>
      <c r="I118" t="inlineStr">
        <is>
          <t>食事とワインのせいか足取りも元気でしっかりしているように見えた。；比較的早く解放された永井さんが、小慣れた足取りで階段を降りてくる。；僕僕もそれは楽しいことらしく、足取りがどこか踊るようになっている。；被害者がふらふらした足取りになるのは、みんなこいつのせいなんだな。；足取りをつかむために、あらゆる捜査の手が打たれましたが無駄でした。；自分の足取りの軽さにわれながら驚きながら彼は傷心を忘れて微笑した。；その間も着飾った人の群は静かな足取りで次第にこっちへ近寄って来る。；グライムズはゆっくりした足取りで用心しながらその方へ歩いていった。；通りを下ってくる足取りは、上っていったときよりもおぼつかなかった。；ドアを開け、再び廊下に出ると、今度は少々重い足取りで階段を降りた。；しっかりした足取りで死刑台の階段を上った後、ギロチンで処刑された。；和穂の足取りを追う旅だが、最初に用意していた旅費が底を着いたのだ。；しかしトーマスはこれとは別に自ら娘の命を奪った犯人の足取りを追う。；久振りでゆっくり妻と話が出来てそれこそ軽い足取りで家へと急ぎました。；娘は父がすっすっと足取りも軽く歩くと言ったが、その点は正しかった。；彼女は長いコートを着て草履をはいて、子供のような足取りで歩いた。；捜査陣はさらに犯行当日の被害者の足取りも、可能な限り調べ上げていた。；いま来たばかりの廊下を戻っていきながら、リュカの足取りは軽かった。；かれらは、疲れも感じずキビキビした足取りでどんどん先へ進んでいった。；彼女の足取りや身辺捜査から、彼以外に疑わしき人物は出て来なかった。；葉の足取りはそれまでとはうって変わって、確信に満ちたものだった。；人工の光などに頼らず、軽快な足取りでどんどん森の奥へと進んでいく。；警察は人工衛星を使って僕たちの足取りを掴もうとするはずだからね。；そしてラッセルの間を横切り、ゆっくりとした足取りで玄関に向かった。；ゆっくりとした足取りで、例の笑みを浮かべたアルハイムが近づいてきた。；詩織はドライブインを出て、わざとゆっくりした足取りで車に近づいた。；最初足取りはごくゆっくりだったので、老人か病人にちがいないと思った。；一同が注目する中、彼女は静かな足取りで大理石のテーブルについた。；私は、彼女が太陽の中を、踊るような足取りで帰ってゆくのを眺めた。</t>
        </is>
      </c>
      <c r="J118">
        <f>HYPERLINK("https://www.weblio.jp/content/足取り", "词义详情")</f>
        <v/>
      </c>
      <c r="K118">
        <f>HYPERLINK("https://yourei.jp/足取り", "查看例句")</f>
        <v/>
      </c>
    </row>
    <row r="119">
      <c r="A119" t="inlineStr">
        <is>
          <t>足踏み</t>
        </is>
      </c>
      <c r="B119" t="inlineStr">
        <is>
          <t>成功</t>
        </is>
      </c>
      <c r="C119" t="inlineStr">
        <is>
          <t>読み方：あしぶみ
［名］(スル)
１立ち止まったまま両足で交互に地面や床の同じ所を踏むこと。「—ミシン」
２物事の進行が止まって、同じような状態が続くこと。停滞。「工事は—している」
３舞楽・能楽などで、足を上げ下げする動作。
４弓術で、的に向かったときに左右の足を規定どおり踏み開く構え。</t>
        </is>
      </c>
      <c r="D119" t="inlineStr">
        <is>
          <t>足踏み式(11%)；足踏みペダル(3%)；足踏みしながら(3%)；足踏みミシン；足踏みしながら</t>
        </is>
      </c>
      <c r="E119" t="inlineStr">
        <is>
          <t>停滞；難航；踏みつけ；低調；行き詰まり</t>
        </is>
      </c>
      <c r="F119" t="inlineStr">
        <is>
          <t>足踏み式ミシン</t>
        </is>
      </c>
      <c r="G119" t="inlineStr">
        <is>
          <t>足踏みオルガン；足踏み式パーキングブレーキ</t>
        </is>
      </c>
      <c r="H119" t="n">
        <v>29</v>
      </c>
      <c r="I119" t="inlineStr">
        <is>
          <t>もはや足踏みしている場合ではないといった様子で勢いよく扉を開けた。；まるでそれは扉の前で足踏みでもしているかのようにそこを動かなかった。；なおこの代は歴代で唯一パーキングブレーキに足踏み式を採用している。；老人は壁の端まで行き着くと、しばらくそこで小さな足踏みをしていた。；会員になりたくてなりたくて足踏みしている人が四百名ほどもいる。；それには、もう二度と閣下の邸へ足踏みをしてはならぬと書いてあった。；コートの襟を立て何度も足踏みをして、約束を破った女を待ち続けていた。；どうにかしなきゃいけないと思っているのに、足踏みしていて進めない。；けれども、此小事件から足踏み出来ないとなると何だか淋しい気がした。；足踏みをしたくなるような寒さの中で、それでも貴子は動かなかった。；「神の戦士が館に足踏み入れんとするは何者ぞ」と儀式を始めようとする。；ホテルの壁の向こうから集団で足踏みをする音が聞こえてきたのだ。；家主であるかれは、その後もとの家へは、ついぞ足踏みしたことがない。；古自転車は二十八台あり、いずれ足踏み式の発電機に改造する予定だ。；足踏み式の発明によって、両手が自由になり、杼の操作が容易になった。；馬はいつまでも首を振り、イライラと小さく足踏みを繰り返していた。；私はこの女の警戒心を解くために、それ以来自宅に足踏みしませんでした。；菅帽子にくるまったまま、妙はどうしていいかわからずに、足踏みした。；佐智は母親の仕立直しの黒い半コートを着て、足踏みしながら待っていた。；こんな所で足踏みしている間にも、佐天の身に危険が迫っているかもしれない。；色々なことに囚われて、ここでいつまでも一人で足踏みしているんだ。；俺だちはその声が遠くなり、聞えなくなる迄、足踏みをやめなかった。；しかし、恋する男なら、こう考えて足踏みをするものがいるであろうか。；いつもと変わらぬ声であっても、これは暗闇で足踏みをしている者の声ではない。；冷たい空気が吹き込んで来て、激しい足踏みと大げさに震える音がした。；むろん作者に、愛誦者のところで足踏みしていろということはできない。；みんなは前へ進むのに、自分だけが足踏みしているのがわかる。；市一等の旅館で、自分たちには足踏みならぬ場所のように考えていたからだ。；オレはマンションのリビングで足踏みしながら、遠子さんを待っていた。</t>
        </is>
      </c>
      <c r="J119">
        <f>HYPERLINK("https://www.weblio.jp/content/足踏み", "词义详情")</f>
        <v/>
      </c>
      <c r="K119">
        <f>HYPERLINK("https://yourei.jp/足踏み", "查看例句")</f>
        <v/>
      </c>
    </row>
    <row r="120">
      <c r="A120" t="inlineStr">
        <is>
          <t>味見</t>
        </is>
      </c>
      <c r="B120" t="inlineStr">
        <is>
          <t>成功</t>
        </is>
      </c>
      <c r="C120" t="inlineStr">
        <is>
          <t>読み方：あじみ
［名］(スル)飲食物の味加減を調べること。味きき。「煮物を—する」</t>
        </is>
      </c>
      <c r="D120" t="inlineStr">
        <is>
          <t>味見する(7%)</t>
        </is>
      </c>
      <c r="E120" t="inlineStr">
        <is>
          <t>試みる；味わう；試す；試食；試飲</t>
        </is>
      </c>
      <c r="H120" t="n">
        <v>29</v>
      </c>
      <c r="I120" t="inlineStr">
        <is>
          <t>味見をしながら適当にまぜていった結果、この味になっただけだという。；どうせこの時間になっていたなら、黄薔薇さまだって味見した後だろう。；また、味見をせずに見た目と嗅覚のみでしか出来具合を判断していない。；そして解体と処理の後に味見されることで、奴は生と死の価値を得た。；本人は料理の際に味見をしないだけで、味覚がおかしいわけではない。；アナーナは両方を味見したのち、デンマーク産のビールのほうをとった。；「スタッフたちに持っていく前に、ちょっと味見といくか」 僕は言った。；何が入っているかわからないと思い、最初の一口は慎重に味見する。；まだ味見をしていない食物が大半残っていることに舞子は思い至る。；ねえ真さん、慰労の会についていって、味見させてもらっちゃいけない?；青年たちは、彼が一口、味見をしているのを、かしこまって見ていた。；でも、お茶とあっては味見してみないわけにはいかないわね。；容れ物も区別されているだろうし、完成すれば味見もするだろう。；最初の二、三回はタダで味見をさせて、それ以降は金を持ってこさせる。；ルールは順番で20種類の酒を味見した後、その酒の名前を答える。；そして、グライムズに向かってお味見してちょうだいと身振りでいった。；進介は料理に手を付けたが、鈴木の話が気になってゆっくり味見することができなかった。；追加ができて、それを味見しているところに大伯母がやってきた。；その時、向こうで自分の鍋の味見をしていたレナが悲鳴をあげた。；去年の大試合に拝領した藩公の賞美刀、波の平行安の斬味見たさもあった。；この患者の脳を味見させていただけませんか。；私は大半を残し、女房が少しそれを味見して、やはり、まずい、と言った。；味見をした後のアンの顔は恥ずかしさのあまリ、まっ赤にほてっていた。；途中で味見をしてみたら、やっぱり母さんが作っていたのとは、ちがっていた。；少しずつ加えて味見をしながら慎重にですのよ。；酒を味見して濡れた彼の唇には、あたたかな笑みがあった。；必要からそうして養命酒の味見をするとき、おいしいと思いますか?；全体をさっくりと混ぜ合わせたあと、ピーマンを一切れ味見してみた。；「ぼくが味見したおかげじゃないかな」 そういって彼はニヤニヤしている。</t>
        </is>
      </c>
      <c r="J120">
        <f>HYPERLINK("https://www.weblio.jp/content/味見", "词义详情")</f>
        <v/>
      </c>
      <c r="K120">
        <f>HYPERLINK("https://yourei.jp/味見", "查看例句")</f>
        <v/>
      </c>
    </row>
    <row r="121">
      <c r="A121" t="inlineStr">
        <is>
          <t>足元/足下</t>
        </is>
      </c>
      <c r="B121" t="inlineStr">
        <is>
          <t>无结果</t>
        </is>
      </c>
      <c r="H121" t="n">
        <v>0</v>
      </c>
      <c r="J121">
        <f>HYPERLINK("https://www.weblio.jp/content/足元/足下", "词义详情")</f>
        <v/>
      </c>
      <c r="K121">
        <f>HYPERLINK("https://yourei.jp/足元/足下", "查看例句")</f>
        <v/>
      </c>
    </row>
    <row r="122">
      <c r="A122" t="inlineStr">
        <is>
          <t>味わい</t>
        </is>
      </c>
      <c r="B122" t="inlineStr">
        <is>
          <t>成功</t>
        </is>
      </c>
      <c r="C122" t="inlineStr">
        <is>
          <t>読み方：あじわい
１飲食物が舌に与える感じ。風味。「新茶には独特の香りと深い—がある」
２おもむき。妙味。「—のある言葉」</t>
        </is>
      </c>
      <c r="D122" t="inlineStr">
        <is>
          <t>味わいたい(5%)；味わいたく(2%)；味わいまし；味わいつくし；味わい得る</t>
        </is>
      </c>
      <c r="E122" t="inlineStr">
        <is>
          <t>味；哀れ；趣；風情；風味</t>
        </is>
      </c>
      <c r="F122" t="inlineStr">
        <is>
          <t>素朴な味わい；濃厚な味わい；ゆっくりと味わい；まろやかな味わい；上品な味わい</t>
        </is>
      </c>
      <c r="G122" t="inlineStr">
        <is>
          <t>味わい深く；味わい深</t>
        </is>
      </c>
      <c r="H122" t="n">
        <v>29</v>
      </c>
      <c r="I122" t="inlineStr">
        <is>
          <t>私はあの日感じた背中に氷を這わされたような感覚を再び味わいました。；味わいはボルドーのものによく似ており、かなり評価の高いものもある。；そうして我々はまざまざとその味わいを会得することができたのである。；君がここにいるのは、味わい愛でることができる物事を選ぶためなんだ。；長い歴史があり、各地で独自の風味や味わいを持つものが開発されてきた。；現にそうした経験を今日われわれは至るところに味わいつつあるのである。；彼はあまりにゲルマン的であって、革命の観念をよく味わい得なかった。；その書物の原文の妙味を味わい得るくらいにはギリシャ語の力があった。；口に含んだ後も舌の上で転がすように味わい、そしてゆっくり飲み込む。；そこにはたった一つの味わい方があるのだが、それによる人は少ない。；熱々の肉汁を含んだジューシーな味わいがその最大の特徴となっている。；二人はこうして、静かな秋の夜にひたり得る無心の境地を味わいました。；しかし、の精度の多少の狂いが一種の味わいであるという捉え方もある。；カバワインの味わいの表示はシャンパン同様にフランス語が用いられる。；味わいもほぼボルドーの普及品と同じで、それほど優れたものは出ていない。；私はそんな町を眺めながら味わいながら散歩するのが好きだ。；翻訳してみて、当時よりずっとこの作品の深い味わいがわかった。；飾り文字なるものはなみなみならぬ味わいが伴わなければなりません。；そこに、こんこんとしてつきざる人生の味わいが湧きだして来るであろう。；上記の定義以外の部分は自由に調理してよく、店ごとに味わいが異なるという。；彼は地上で暮らしたいと答えるが、その前に天界の女たちを味わいたいと話す。；この「茶」の味わいが万般の風物に影響を及ぼしたのは云うまでもない。；白身魚の中では特に淡白で繊細な味わいで、非常に美味であるとされる。；日本での購入価格が千円前後と手軽な、軽い味わいの赤ワインもある。；西洋小説の影響を受けた金庸と比べると、より古典的な味わいがある。；そうして日ごとに変わってゆく味わいの変化も空也最中の楽しみ方の一つである。；思えば私らはこの一年間、何を求め得、何を味わい得たのであろう。；しかし、あなたの言葉のほうがいいですね、より味わいがあります。；それらを節制することによって、それらを香りと味わいの中に保ちます。</t>
        </is>
      </c>
      <c r="J122">
        <f>HYPERLINK("https://www.weblio.jp/content/味わい", "词义详情")</f>
        <v/>
      </c>
      <c r="K122">
        <f>HYPERLINK("https://yourei.jp/味わい", "查看例句")</f>
        <v/>
      </c>
    </row>
    <row r="123">
      <c r="A123" t="inlineStr">
        <is>
          <t>味わう</t>
        </is>
      </c>
      <c r="B123" t="inlineStr">
        <is>
          <t>成功</t>
        </is>
      </c>
      <c r="C123" t="inlineStr">
        <is>
          <t>読み方：あじわう
［動ワ五（ハ四）］
１飲食物を口に入れて、そのうまみを十分に感じとる。味を楽しむ。「よくかんで—・って食べる」
２物事のおもしろみや含意を考えて、感じとる。玩味(がんみ)する。「詩を—・って読む」
３身にしみて経験する。体験する。「人生の悲哀を—・う」
[可能]あじわえる</t>
        </is>
      </c>
      <c r="D123" t="inlineStr">
        <is>
          <t>味わうべき；味わうくらいなら；味わうべく；味わう暇もなく</t>
        </is>
      </c>
      <c r="E123" t="inlineStr">
        <is>
          <t>思う；経験；受ける；得る；知る</t>
        </is>
      </c>
      <c r="F123" t="inlineStr">
        <is>
          <t>はじめて味わう；ゆっくりと味わう；じっくり味わう；ゆっくり味わう；味わえば味わう</t>
        </is>
      </c>
      <c r="H123" t="n">
        <v>29</v>
      </c>
      <c r="I123" t="inlineStr">
        <is>
          <t>また、一人での旅の気分を味わってみたかったことも理由にあげている。；このため、二人のどちらかが受けた痛みは二人同時に味わうこととなる。；自分の腹から生まれる子に、そんな恐怖を味わわせるのがいやなのだと。；部下に文句を言う楽しみを味わうだけのあたまがないんだとおれは思う。；かれに触れたい、もうこれ以上は苦痛を味わわないよう守ってやりたい。；ある種の幸せを十分に味わわせてもらったと思っているくらいなのだ。；これからは私たちの幸福は、もうこんなに容易には味わえないでしょう。；あの孤独な子の胸にもこの喜びを味わわせてやってもらえないだろうか。；だから俺は、学校にいる間だけでも静かな平穏を味わおうと心に決めた。；ここへ来るのは、金持とその他の階級の違いを味わうためだったのです。；それが彼の床屋に行って味わう不思議な楽しみの唯一つのものであった。；しかしかれらが味わっている幸福感や勝利感に水をさすのはいやだった。；パンを得ることが、それを味わうことよりも、ずっと大切になってくる。；のちになって幻滅を味わわされたが、それでもかれはかなり幸福だった。；だが存在していることは間違いない、とダミアは静かな勝利を味わった。；酒は病人の口にも健康な人の口にも同様に味わわれるはずであるから。；でも彼女はこのような理不尽な力を僕に一度も味わわせてはくれなかった。；なぜこんな苦しみを味わわなければならないのかと、小さな胸を痛めた。；深い闇のなかで味わうこの安息はいったいなにを意味しているのだろう。；あの思いを、自分が誰かに味わわせるようなことがあってはならない。；私たちは父の目を掠めてそれを味わわなければならなかったのを記憶する。；柄にもなくサラリーマン的気分を味わおうとしたことがいけなかったのか。；実際は一緒にいるこの男に待つ苦痛を味わわせたくなかったからだ。；その瞬間、ぼくは人類が通常経験するところを超えた感情を味わった。；自分がいつも記事にしている人たちの苦しみを、自分自身が味わわされる。；メロンのようなあんな感じを味わわせてくれたことなんか一度もない。；最高級の味は味わえないかもしれないがそこそこのものはあるだろう。；容易ならない任務であることをこの夜の戦闘でとっくり味わわされた。；しかしこのヘルンのつむじ曲がりの言葉の中には味わうべき何かはある。</t>
        </is>
      </c>
      <c r="J123">
        <f>HYPERLINK("https://www.weblio.jp/content/味わう", "词义详情")</f>
        <v/>
      </c>
      <c r="K123">
        <f>HYPERLINK("https://yourei.jp/味わう", "查看例句")</f>
        <v/>
      </c>
    </row>
    <row r="124">
      <c r="A124" t="inlineStr">
        <is>
          <t>明日</t>
        </is>
      </c>
      <c r="B124" t="inlineStr">
        <is>
          <t>成功</t>
        </is>
      </c>
      <c r="C124" t="inlineStr">
        <is>
          <t>読み方：あした
《「あした（朝）2」から転じた語》今日の次の日。あす。みょうにち。
[用法]あした・あす——「あした」は「あした天気になあれ」「あしたはあしたの風が吹く」のように、最も日常的に用いられる。◇「あす」は由来の古い語であるが、「あすは北寄りの風、晴れでしょう」などと用いるほか、「あすは我が身」「あすの世界を担うのは君たちだ」のように、近い将来の意でも用いる。◇類似の語に「明日(みょうにち)」があるが、「明日、御報告にうかがいます」「明日の御予定はいかがでしょうか」など改まった場合、あるいは文章の中で用いる。</t>
        </is>
      </c>
      <c r="D124" t="inlineStr">
        <is>
          <t>明日奈；明日あたり；明日以降；明日香井；明日香村</t>
        </is>
      </c>
      <c r="E124" t="inlineStr">
        <is>
          <t>翌日；次の日；あした；近い将来；あくる日</t>
        </is>
      </c>
      <c r="F124" t="inlineStr">
        <is>
          <t>明日正午；明日めぐみ；明日早朝；明日なき；明日午後</t>
        </is>
      </c>
      <c r="G124" t="inlineStr">
        <is>
          <t>明日美；明日になれば；明日未；明日香村；明日の天気</t>
        </is>
      </c>
      <c r="H124" t="n">
        <v>29</v>
      </c>
      <c r="I124" t="inlineStr">
        <is>
          <t>結論は出なかったが明日はこれまでにない接近行動があるだろうと予測。；事によると今日は泊って来るから、帰りは明日の朝になるかも知れない。；我々の明日の歌も矢つ張り何處までも我々の明日の歌でなくてはならぬ。；そして明日はどんなことがあっても学校に来なければいけませんよ。；多くの話のうちに明日行くべきお光さんに関しての話はこうであった。；その日に小林は明日テラスハウスから卒業することをメンバーに伝えた。；当初は正体、目的共に不明で、その存在は明日那でさえも知らなかった。；これは明日の地球に愛と優しさを求めた、特別救急捜査隊の物語である!；ここにいる事が知れた日にゃ、明日にも押しかけて来ないものじゃない。；若い士官の間では「明日はきっと艦長が一悶着起こすぞ」と噂していた。；少しでも私達の歌で明日生きる力になれたら、明日と戦う勇気になれたら。；私は役に立っているようだが、明日のことはよくわからないらしいのでね。；たとえば、明日雨が降るかどうか分からない場合は、不安な状況である。；明日の会議は10月30日に空爆か侵攻を行うかで開かれる予定であった。；直ちに皆さんがこれに賛成すれば、もう明日にもこれは成立をしますよ。；また、明日では近すぎて未来では遠すぎるという意味が込められている。；明日はいよいよ伐採という日の深夜に、美しい娘が上人のもとを訪れた。；「今日と明日の違いは明日と明後日の違いより大きい」と説明されている。；明日に移動してカナダでライヴをやるんだけど、俺のバンドで叩かないか?；デイジーは明日をも知れぬ世界で、生きるための戦いを強いられるのだった。；私が立つてから明日クリスチナさんがきて私の荷物を荷造りしてくれませう。；おれは締切日を明日に控えた今夜、一気呵成にこの小説を書こうと思う。；内容は明日の分からない世界において愛の必要性を歌ったものになっている。；そこに王子の母親が現れ、明日行われる舞踏会で花嫁を選ぶよう命じる。；元の世界へと還っていくケイジの耳には、まだ見ぬ明日の歌が聞こえていた。；もし貸さなければ彼等は当然の罰を受けて、明日は一文も貰えないのだ。；少年を治療し陽が落ちたので、明日には目が覚めるだろうと帰宅した5人。；もし諸君が我々を助けに来なければ、明日には諸君らの国が奪われるだろう。；この会談は明日にも戦争が起きそうな緊迫感を帯びていたという。</t>
        </is>
      </c>
      <c r="J124">
        <f>HYPERLINK("https://www.weblio.jp/content/明日", "词义详情")</f>
        <v/>
      </c>
      <c r="K124">
        <f>HYPERLINK("https://yourei.jp/明日", "查看例句")</f>
        <v/>
      </c>
    </row>
    <row r="125">
      <c r="A125" t="inlineStr">
        <is>
          <t>与る</t>
        </is>
      </c>
      <c r="B125" t="inlineStr">
        <is>
          <t>成功</t>
        </is>
      </c>
      <c r="C125" t="inlineStr">
        <is>
          <t>読み方：あずかる
［動ラ五（四）］《「預かる」と同語源》
１物事にかかわりをもつ。関係する。関与する。「条約案起草に—・る」「事業に—・って力がある」
２主に目上から、好意の表れとしてあることを受ける。こうむる。「お褒めに—・る」「お招きに—・る」
[可能]あずかれる</t>
        </is>
      </c>
      <c r="D125" t="inlineStr">
        <is>
          <t>受ける；得る；もらう；受け取る；貰う</t>
        </is>
      </c>
      <c r="H125" t="n">
        <v>29</v>
      </c>
      <c r="I125" t="inlineStr">
        <is>
          <t>舞台の成功、不成功は作者の与り知らぬこと、一切の責任が俳優にある。；さう云ふ記憶は今になつて見るとどれ一つ懐しさを与へないものはない。；母の小与は実家の田舎で留加をつれて暮らすことを決意し、町を去った。；そのために自分の与り知らないところで、勝手に地価は上昇してしまう。；かかる人には、人間一代だけで決して満足を与うることはできませぬ。；とにかく自分の与り知らぬ所で少女の怒りを買ったことは間違いないらしい。；しかし彼の自然を見る目に最も影響を与へたのは確かに本所の町々だつた。；それには当時産蓐にいた女丈夫五百の啓沃も与って力があったであろう。；金帯を賜与されたものの関心を示さず柱に掛けて帰ったといわれる。；と同時に私はその娘も充分意識して饗宴に与っていることを確信していた。；天の将に斯の文を喪さんとするや、後死の者斯の文に与るを得ざるなり。；社会の倫理的権威は、かかる自由主義的国家の与り知ったことではない。；それに与る私たちの力とてはいかにわずかなものに過ぎぬであろう。；詩人たちは彼等の仕事の外にもやはり又僕等の仕事にいつも影響を与へてゐる。；多くの軍事演習や戦車訓練が植生に大きな影響を与ることが危惧された。；それはこの一二年の間、いつも僕に恐怖だの不安だのを与へる現象だつた。；彼ならずとも彼の息子、そして兄弟などもそのおこぼれに与ることになる。；其で、建築に与る人が神に仮装して、普請始めなどに出た習慣が出来た。；恋愛にして無制限に与へ取ることを知らないなら、それは恋愛でもなんでもない。；江戸時代に入って一家が生まれたが、それを最後に源氏賜与は途絶えた。；わしは徒にわしの生命を一塊の物質に集めてそれを彼女に与へたいと思つた。；彼等が今日本の政治の末端に与っていると思えば、冷汗が出るのである。；その女性にあやまりのない行動をとらせるのに大いに与って力があったと思う。；命婦とか弁とか秘密に与っている女房が驚いていろいろな世話をする。；しかし運命は幸か不幸か彼にかう云ふ安らかな晩年を与へてくれなかつた。；その過失も、自分自身の与り知らないものだとしたらなおさらでしょう。；その対戦では敗れたものの、平手での対戦では宗与に常に勝利した。；これらの4つの点は、解円の中心と3つの与円の中心に対応している。；自由に於てのみ恋愛はそれ自身を充分完全に与へることが出来る。</t>
        </is>
      </c>
      <c r="J125">
        <f>HYPERLINK("https://www.weblio.jp/content/与る", "词义详情")</f>
        <v/>
      </c>
      <c r="K125">
        <f>HYPERLINK("https://yourei.jp/与る", "查看例句")</f>
        <v/>
      </c>
    </row>
    <row r="126">
      <c r="A126" t="inlineStr">
        <is>
          <t>預かる</t>
        </is>
      </c>
      <c r="B126" t="inlineStr">
        <is>
          <t>成功</t>
        </is>
      </c>
      <c r="C126" t="inlineStr">
        <is>
          <t>読み方：あずかる
［動ラ五（四）］
１頼まれて人の身柄や物品を引き受けてその保管や世話をする。「貴重品を—・る」「留守を—・る」
２物事の管理・運営を任される。「経理面を—・る」
３勝負や争いごとなどの間に入って、一切の処理を任せてもらう。「この場は私が—・る」
４発表などを差し控える。保留して公にしない。「氏名の公表はしばらく—・る」
[可能]あずかれる</t>
        </is>
      </c>
      <c r="D126" t="inlineStr">
        <is>
          <t>預かる旨が記載；預かるべき；預かる旨が定め；預かる主な給</t>
        </is>
      </c>
      <c r="E126" t="inlineStr">
        <is>
          <t>保持する；引き受ける；任命される；命じられる；任される</t>
        </is>
      </c>
      <c r="H126" t="n">
        <v>29</v>
      </c>
      <c r="I126" t="inlineStr">
        <is>
          <t>一定年齢に達した男子を世話役の大人が預かって面倒を見る制度である。；今はエルザの目があるために、騎士役の自分が預かっているのであった。；が、銀行は多くの預金者たちの大切なお金をお預かりして運用している。；武器を預かってて、その使い方の訓練を受けてるのはどこの誰だと思う?；もちろん、私の預かり知らぬ所で、部下は私に管理してもらいたがった。；その前に上着を預かるとき佐山・御言から指示を受けたのではないのか?；わたしが迎えに行くまでそこに預かってもらい、十分な治療を受けさせる。；私たちは人質の命はもとより何百という警察官の命を預かっているんだ。；二人の男は預かり所の女の子にむかって、口をそろえて文句を言ってみた。；孫からの大切な預かりものであるひ孫なので、丁重に扱わねばならない。；ちなみにハムスキーはうちで預かる予定だから、それも心配しないでね。；あなたの娘さんは、いま声を聞かせた通りわたしたちの手で預かっています。；当初は預かり所属だったが、2021年11月には正所属となっている。；昨日までの預かり手は紫口に住む宣教師で、彼の住まいに一年ほどいた。；馬耕が終ってから雪がくるまでの間、遊んでいる馬を預かるのである。；たくさんの部下を預かる身として、ゆるされないことだと思っています。；まあこれは、新しい竪琴師がおいでになるまで預かっておきましょうよ。；機雷原を越えて、無事に送り届けなければならない預かり物ともいえる。；腕から時計をはずして、相手の女性に預かってもらったこともあった。；わたしたちが責任を持って預かった学童のことを心配しているのよ!；男の子を六年間預からせてくれ、そうすればその子は生涯わたしのものだ。；骨箱の包みの間には浩太から預かってきた100円と加代の手紙があった。；義弟は、それじゃあ自分が作って預かっておきましょうと言いました。；俺はこうなる事を恐れて、桜をうちに預かったのではなかったか。；ただ、一度はフォワードの指揮を預かるこの私に実力を見せて貰わねば。；それ以上文句を言うつもりなら母さんに言って私が預からせて貰うわ。；馬を預かっている馬丁のビリは、がたがた震えて汗だらけになっていた。；三時までは『聖母の岸保育園』にいて、そのあとは預かり手の家に帰る。；内容は特権的で、他の国立銀行の準備金を預かる立場となったのである。</t>
        </is>
      </c>
      <c r="J126">
        <f>HYPERLINK("https://www.weblio.jp/content/預かる", "词义详情")</f>
        <v/>
      </c>
      <c r="K126">
        <f>HYPERLINK("https://yourei.jp/預かる", "查看例句")</f>
        <v/>
      </c>
    </row>
    <row r="127">
      <c r="A127" t="inlineStr">
        <is>
          <t>預ける</t>
        </is>
      </c>
      <c r="B127" t="inlineStr">
        <is>
          <t>成功</t>
        </is>
      </c>
      <c r="C127" t="inlineStr">
        <is>
          <t>読み方：あずける
［動カ下一］［文］あづ・く［カ下二］
１金品や身柄を人に頼んで、その保管や世話を頼む。「荷物を—・ける」「銀行に金を—・ける」
２物事の処理を人にゆだねる。「店を—・ける」「帳場を—・ける」
３からだをもたせかける。「上体を—・ける」
４紛争や勝負の決着を第三者に一任する。「勝負を—・ける」
５茶の湯の点前(てまえ)で、茶道具を仮置きする。
６関係させる。
「花の賀に召し—・けられたりけるに」〈伊勢・二九〉</t>
        </is>
      </c>
      <c r="D127" t="inlineStr">
        <is>
          <t>預けるべき</t>
        </is>
      </c>
      <c r="E127" t="inlineStr">
        <is>
          <t>委託；任せる；預金；信託；入金</t>
        </is>
      </c>
      <c r="H127" t="n">
        <v>29</v>
      </c>
      <c r="I127" t="inlineStr">
        <is>
          <t>だが、身を預けるくらいなら、私が自ら身を守る方がはるかにいいのだ。；中には留守時預けるだけでなく、運動の散歩まで彼に頼む者が出てきた。；これをお前たちに預けるから、お前たちの故郷の女君に渡してくれい。；人間ひとりの面倒を見てくださいなんて、猫の子預けるのとは訳が違う!!；もともと信用していなかったのだから、あの袋を預けるべきではなかった。；主人公に加勢する場合でも完全に背中を預けるような信用はされない。；なお自分の犬は園内に連れて入れないので、入園前に預けることになる。；真九郎は柱に背を預けると、流れる汗を拭ってから、傷口に手をやった。；展示館内は撮影が禁止されており、カメラやビデオは入口で預ける事になる。；やれやれと椅子の背もたれに体を預けると、両手を頭の後ろにまわした。；誰もお金は他人に預けないくせに、みんなは時間と生命とを他人に預ける。；そうでなくて、誰が三〇歳になったばかりの青二才に生命を預けるだろうか。；軍隊でも地下社会でも見つけられなかった、命を預けるに足りる男を。；いちばん意外なところ、安全なところへアレをしばらく預けることにした。；これまで、孤独で不運な娘がいると、必ず、お主に預けることになった。；旧館時代には無料駐車場があり、車の鍵を受付に預けることで利用できた。；「この木と土壁の染みが目印だ」 同行した部下の一人に写真を預ける。；こんなので命や人生を預けるだなんていくら何でも安すぎる。；長く家を空ける時は、大概、彼のところにクマを預けることにしている。；女の遺髪を寺に届けた市は、住職から赤ん坊を預けるように提案される。；そんな連中に女の子の体を預けるなんて考えたら心が痛むだろう?；サイドミラーには物憂げに窓ガラスに頭を預けるおれの顔が映っている。；奥の壁に背を預けるようにして、人尺に作られた茅でできた人形が座っている。；そこでしばしば原稿に目を通してもらっていた深田久弥に原稿を預けることにした。；五斗米道にたましい《ヽヽ》を預ける幾十万の人間のためでもあります。；だれかに追われているらしい謎の客は、ジムにひとつの小箱を預ける。；僕は外套や帽子を預ける次手に部屋を一つとつて貰ふことにした。；公的機関に一度子どもを預ける相談をしたが実施には至らなかった。；自分の心を他人に預けることで、もっと大きな恐怖から逃れられるような気がしたのだ。</t>
        </is>
      </c>
      <c r="J127">
        <f>HYPERLINK("https://www.weblio.jp/content/預ける", "词义详情")</f>
        <v/>
      </c>
      <c r="K127">
        <f>HYPERLINK("https://yourei.jp/預ける", "查看例句")</f>
        <v/>
      </c>
    </row>
    <row r="128">
      <c r="A128" t="inlineStr">
        <is>
          <t>汗</t>
        </is>
      </c>
      <c r="B128" t="inlineStr">
        <is>
          <t>成功</t>
        </is>
      </c>
      <c r="C128" t="inlineStr">
        <is>
          <t>読み方：あせ
１皮膚の汗腺(かんせん)から分泌される液。水と、微量の食塩・尿素などからなり、皮膚の乾燥を防ぎ、また、体温の調節をする。興奮・恐怖などの精神的影響からも手のひらや足の裏などに分泌する。「—が吹き出す」「—にまみれる」「—をぬぐう」「—が引く」「手に—を握る激しいレース」《季夏》
２物の表面に、内部からにじみ出たり、空中の水蒸気が凝結したりしてつく水滴。「グラスが—をかく」
[下接語]脂汗・大汗・玉の汗・血の汗・寝汗・鼻汗・一汗・冷や汗</t>
        </is>
      </c>
      <c r="D128" t="inlineStr">
        <is>
          <t>汗まみれ(2%)；汗びっしょり；汗だらけ；汗をかか；汗くさい</t>
        </is>
      </c>
      <c r="E128" t="inlineStr">
        <is>
          <t>汗水；スウェット；スエット；流汗</t>
        </is>
      </c>
      <c r="F128" t="inlineStr">
        <is>
          <t>可汗；大汗；油汗；うっすらと汗；全身汗</t>
        </is>
      </c>
      <c r="G128" t="inlineStr">
        <is>
          <t>汗だく；汗ばむ；汗水；汗ばみ；汗みどろ</t>
        </is>
      </c>
      <c r="H128" t="n">
        <v>29</v>
      </c>
      <c r="I128" t="inlineStr">
        <is>
          <t>子どもの額からは苦悶の汗が血のしたたりのように土の上に落ちました。；サッカーを趣味としており、週末にはサッカーで汗を流しているという。；緊張しやすいこともあり、実際にほとんどの舞台上で大汗をかいている。；馬の毛色によっては汗を流した時に血のように見えることがあるようだ。；額につけて働いて汗をかくと、たまった汗の量に見合うものが手に入る。；わしは氷のやうな汗が大きな粒になつてわしの顔に湧いて来たのを感じた。；其処には何等かの意味に於て自ら額に汗せねばならぬ生活が待って居ます。；携帯電話の絵文字の中には顔文字と汗を組み合わせた絵文字も存在する。；長く砂漠地帯で作戦を続けていたせいで汗をかかない体質になっている。；小鼻が落ちて、唇の色が変って、白くなった額には、油汗が流れている。；バンドは制作時、それぞれ汗や女性、疾走感をイメージし制作を進めた。；慌てて走ってきたにも関わらず、汗を全くかいていなかったのである。；また、涙や汗を流すことがあり、それが原因で力が半減したこともある。；起源は宇都宮家に凶事がある際に汗をかいてそれを知らせたというもの。；そして後半のレイカーズは、ジャバーの汗で濡れた頭部のように輝いた。；そのためレコーディング時は汗をかくような勢いで行なったという。；逆に暑さには強く、夏が近づくと水を大量に飲み、大量に汗をかいた。；サイコー・ワープは左足を失ってから血と汗と涙で完成させた技でもある。；手に汗握る展開の中、真の幸福とは何かを問うエンターテイメント作品。；体を動かし、笑顔でいい汗をかいて、心も体も健康になりましょう!；山登りをしているとどこからともなくやってきて人の汗を吸う姿も見られる。；寒中マラソンなどでかいた汗を吸収させ、終了後に背中側から引き抜く。；しかし夫は苦しそうに額の汗を拭いながら、こう繰り返すばかりである。；全身が毛に覆われているため、体表に汗をかいても熱が逃げにくいためとされる。；まさに、小松倉地区住民たちの血と汗の結晶ともいえるトンネルであった。；汗をかく状況であれば、流れる汗が目に入る前に止まるなどの効果が期待できる。；青い藍染めには防虫効果や汗への消臭効果があって昔から広く使われていた。；全身あるいは体の一部に多量の汗をかく疾患である多汗症とは異なる。；道場にはのちに大関となる正代も通っており、共に汗を流した関係である。</t>
        </is>
      </c>
      <c r="J128">
        <f>HYPERLINK("https://www.weblio.jp/content/汗", "词义详情")</f>
        <v/>
      </c>
      <c r="K128">
        <f>HYPERLINK("https://yourei.jp/汗", "查看例句")</f>
        <v/>
      </c>
    </row>
    <row r="129">
      <c r="A129" t="inlineStr">
        <is>
          <t>焦る</t>
        </is>
      </c>
      <c r="B129" t="inlineStr">
        <is>
          <t>成功</t>
        </is>
      </c>
      <c r="C129" t="inlineStr">
        <is>
          <t>読み方：あせる
［動ラ五（四）］
１早くしなければならないと思っていらだつ。気をもむ。落ち着きを失う。気がせく。「勝負を—・る」「—・ってしくじる」
２不意のことで動揺し、あわてる意の俗語。「乗り遅れるかと—・ったよ」
３いらだって暴れる。手足をばたばたさせる。
「かの女房…狂ひ踊り—・りけれ」〈荏柄天神縁起〉</t>
        </is>
      </c>
      <c r="D129" t="inlineStr">
        <is>
          <t>焦るあまりに；焦ることなく；焦る様子もなく</t>
        </is>
      </c>
      <c r="E129" t="inlineStr">
        <is>
          <t>追い込まれる；もどかしい；追い詰められる；苛立たしい；イライラする</t>
        </is>
      </c>
      <c r="F129" t="inlineStr">
        <is>
          <t>たいと焦る；そんなに焦る</t>
        </is>
      </c>
      <c r="H129" t="n">
        <v>29</v>
      </c>
      <c r="I129" t="inlineStr">
        <is>
          <t>焦生は不思議な老人の言った機会とはどんなことだろうかと考えていた。；焦々といやな気持になってそれをきいていたのは自分ひとりでなかった。；そんなことでひとり焦っていると、彼女の方が先に話題を振ってくれた。；それ以上話し合っていると相手の分らなさに焦立ってくるばかりである。；その度に絶望的な焦立ちを覚えて居ても立つてもゐられない思ひになつた。；だがエリカの強張った顔は、彼女が本気で焦っていることを示していた。；自分の力作に十分な自信を持っていて、俺のように決して焦っていない。；なんか、町全体が何かにひどく焦ってイライラしているような気がする。；過去の選択を悔いることも、今ここに立っていることを焦ることもない。；日に焦けかかつた彼の顏の色は赤いとも黒いともつかないものだつた。；ただでさえ焦っていたところに、走り続けで心臓がばくばく言っている。；彼は右手を上下に振っていた、ちょうど父が焦れているときやったように。；なのに焦ってしまい、まだ言うべき段階ではないことを言ってしまった。；私が熱に浮かされたように夜を待ち焦れていたことは言うに及ぶまい!；おれはなぜこれほどウロボロスが焦っているのか、その理由を知りたい。；だから、自分が生きている内に評価されることに焦る必要はないのだ。；恵の部屋が片づけられてしまうのじゃないか、と焦ったのは覚えている。；いいようのない焦りを感じてはいるが、何故焦っているのかは判らない。；或ひは此の如くにして焦點と輪廓とを區別したのは自分の誤謬であるか。；親がいないことがわかると、急に焦って登校する気持ちが薄れていった。；「黙ってないでなにかいいなさいよ」 先に焦れたのは早紀の方だった。；焦るまいと意識するのだが、思いとは裏腹に心は落ち着きを失っていく。；人が行って見ると、焦先は小屋の中に坐ったままで動こうともしなかった。；徳次は、少しでもいい会社に再就職しようと焦っていたところがあった。；このままでは女でなくなってしまうのではないかと焦ってもいた。；そう考えると、準備の期間はたっぷりとあり、焦らずに事を進められた。；そんなことで、次の年々からは秋になると、復一は神経を焦立てていた。；焦立つと同時に、刻々に接近することにはきおい立つものもあったのだ。；どうやら、時間を無駄にしてはいけないと少し焦っていたのかもしれません。</t>
        </is>
      </c>
      <c r="J129">
        <f>HYPERLINK("https://www.weblio.jp/content/焦る", "词义详情")</f>
        <v/>
      </c>
      <c r="K129">
        <f>HYPERLINK("https://yourei.jp/焦る", "查看例句")</f>
        <v/>
      </c>
    </row>
    <row r="130">
      <c r="A130" t="inlineStr">
        <is>
          <t>褪せる</t>
        </is>
      </c>
      <c r="B130" t="inlineStr">
        <is>
          <t>成功</t>
        </is>
      </c>
      <c r="C130" t="inlineStr">
        <is>
          <t>読み方：あせる
［動サ下一］［文］あ・す［サ下二］
１（褪せる）もとの色やつやが薄くなる。色がさめる。退色する。「日に焼けて染色が—・せる」
２（褪せる）盛んだったものが衰える。もとの勢いが失せる。「才気が—・せる」「—・せた思い出」
３（浅せる）川や海などの水がかれる。
「山は裂け海は—・せなん世なりとも君にふた心わがあらめやも」〈金槐集〉
[用法]あせる・さめる——「カーテンの色があせて（さめて）しまった」などでは相通じて用いられる。◇「あせる」は「花の色があせた」「色あせた恋」のように、光線や時間のために、色彩などが薄らぐことをいう。これらの場合は、「さめる（褪める）」と置き換えられない。◇「さめる」は「色のさめた制服」「夏の日焼けもようやくさめた」のように、染色などが薄くなり、地色に近くなることをいう。「日焼け」などでは「あせる」は用いない。</t>
        </is>
      </c>
      <c r="D130" t="inlineStr">
        <is>
          <t>変色；移ろう；薄れる；薄らぐ；色褪せる</t>
        </is>
      </c>
      <c r="H130" t="n">
        <v>29</v>
      </c>
      <c r="I130" t="inlineStr">
        <is>
          <t>櫟の葉はもう緑が褪せて風がある日にはかさかさと云う音をさしていた。；櫟の葉はもう緑が褪せて風がある日にはかさかさと云ふ音をさしてゐた。；黒い柄糸がすこし褪せてみえるのは、長く使いこんでいるからだろうか。；白樺の葉は目に見えて色が褪せたものの、まだみなほとんど緑色であった。；正月は褪せながらもまだこの木の寂しい花が葉がくれに見えてゐます。；固く結び続けたせいで色が褪せて薄くなってしまったように見える唇。；天井は色が褪せているものの、金襴の陣の特徴がいまも見られるのである。；頬のいろが褪せて、眼には力がなくおとしはぼんやりした表情をしている。；それから一時十分前になる迄のあいだ、私は黙って色の褪せた畳の目を見ていた。；それとともに新しい場所へきたことの歓びはたちまち褪せてしまった。；おそらく少しの塗り直しと、よくない保存状態のために色彩が褪せている。；女性は美しかったが、着ている服は旅に疲れたように褪せていた。；城壁の上には、色の褪せた旗が一定の間隔をとって立てられている。；窓の外に輝いていた朱色は急速に褪せ、室内は黄昏の空気となった。；男のトランクスは、洗濯を繰り返し色も褪せて、どこから見ても安物だ。；その水色の光を点す瞳が映すのは、錆びた棒に力なく垂れる色褪せた旗。；色の褪せた唇からもれた声は、一種異様な抑揚のないものであった。；処が其馬鈴薯は、九月の末になると、花も落ち、葉の色も褪せて了つた。；「田舎で偉くなれよ」 僕がそう言うと、森は褪せた笑みを浮かべた。；その晒されたような白い腹は、あさましい褪せた色をしていました。；日が沈み、空をいろどっていた茜も褪せて、野道は暗くなりかけている。；淡紅色の花が褪せかかった時に少し黄味を加えたものと思えば大抵想像がつく。；いい具合に色の褪せたボードウォークの先に、小規模な遊園地はあった。；長い進軍のあいだ、日の光はおまえたちの褪せた襞のあいだにまだ残っている。；不安になってルースの躯を見おろしたが色が褪せている様子はない。；空を見ると、色の褪せたクラゲ雲の頭の一部が比治山の西の端にのぞいていた。；ハリィデールがそれに気づいたとたん、たちまちにしてくれないは褪せた。；私の心は華やかな夕栄の色が急に褪せて了った西の空のように暗く暗く沈んで行った。；この会社の繊維は鮮やかで色が褪せないと評判であり、世界中から求められた。</t>
        </is>
      </c>
      <c r="J130">
        <f>HYPERLINK("https://www.weblio.jp/content/褪せる", "词义详情")</f>
        <v/>
      </c>
      <c r="K130">
        <f>HYPERLINK("https://yourei.jp/褪せる", "查看例句")</f>
        <v/>
      </c>
    </row>
    <row r="131">
      <c r="A131" t="inlineStr">
        <is>
          <t>あそこ</t>
        </is>
      </c>
      <c r="B131" t="inlineStr">
        <is>
          <t>成功</t>
        </is>
      </c>
      <c r="C131" t="inlineStr">
        <is>
          <t>読み方：あそこ
［代］
１遠称の指示代名詞。話し手と聞き手の双方が承知している場所や状況、人などをさす。
㋐あの場所、または、例の場所。あすこ。「—に見える店」「また—で待ってるよ」
㋑あのような程度。あれほど。「—まで仲が悪いとは思わなかった」
２三人称の人代名詞。あの人。彼。
「此の事—と少将ともろ心に」〈宇津保・嵯峨院〉</t>
        </is>
      </c>
      <c r="D131" t="inlineStr">
        <is>
          <t>あそこなら安全；あそこへ行きましょ；あそこへもう一度；あそこなら誰；あそこへいら</t>
        </is>
      </c>
      <c r="E131" t="inlineStr">
        <is>
          <t>彼方；あちら；あっち；向こう側；かなた</t>
        </is>
      </c>
      <c r="H131" t="n">
        <v>29</v>
      </c>
      <c r="I131" t="inlineStr">
        <is>
          <t>おいそれとあそこまでいってもどってくることはできないでしょうから。；あの時刻に、あなたをあそこへ出るようにした人物がいた筈でござろう。；秋川さん、私はあそこで数日かかつていろいろなことを調べて来ました。；それならば、なぜ彼女をあそこで見かけたのがそれほど嬉しかったのか?；ここを開いて期待されたようなことは、あそこから最後まで続いています。；人間の評価というものを僕たちは前に議論したよね、あそこに戻ろうか。；あそこまでからだを張れる人間をわれわれは一人も持っていなかった。；あそこは美男桂の袖垣に囲まれていてどこからも見えはいたしませんわ。；あそこの尾根のうしろからここまでは、地獄の釜の中よりもっと危険だ。；あそこから何時聞かの帆走で行きつける錨地は、ここ以外にないんです。；あそこにも、ここにも、と三吉は馬車の上から、町の灯を数えて行った。；栄介があの時あそこに行ったのは、それを調べに行ったわけではない。；屋根のうえにおいた物が落ちそうな場所といえば、あそこじゃなかろうか?；あそこに見えているのは、その時代の住居の屋根だけなくなったものですよ。；もっとあそこでいろんなことを聞くのかと思ったら、何にも聞かなかったね。；あそこまで非人間的というか、悪くなれる人間がいるんだなと思った。；あそこのご亭主があの子とどんなふうに話すか、聞いてみればいいわ。；あそこまでからだをはる人間をわれわれは一人も持っていなかった。；わたしも落合の稲葉屋へ寄って、あそこで大体の様子を聞いて来ました。；あんたは、あそこにも、いい土地がたくさんあるのを忘れているのね。；しかしまあ、あそこにどんな連中が住んでいるかは知っとるだろう。；九州は、あそこは妙なところだ、いくら悪事をなそうとも過去を問わぬ。；すなわちこれは、まったくあそこの深い雪に恵まれての生産物であります。；あそこの内では今日よめさんが来るのだというではありませんか。；あそこで見たのは、すべてではないにしろ、単なる幻だったのではないか?；それから今たどってきた筋をつけて、あそこへ滑りこんで停ったのです。；別に意味もない部分ではあるが、あそこももう煙になったかなと想はれた。；あそこよりいいところなんて、わたしにはとても考えられませんわ!；あそこまでしてもチャンピオンを獲りたいと思う気持ちは大事なこと。</t>
        </is>
      </c>
      <c r="J131">
        <f>HYPERLINK("https://www.weblio.jp/content/あそこ", "词义详情")</f>
        <v/>
      </c>
      <c r="K131">
        <f>HYPERLINK("https://yourei.jp/あそこ", "查看例句")</f>
        <v/>
      </c>
    </row>
    <row r="132">
      <c r="A132" t="inlineStr">
        <is>
          <t>遊び</t>
        </is>
      </c>
      <c r="B132" t="inlineStr">
        <is>
          <t>成功</t>
        </is>
      </c>
      <c r="C132" t="inlineStr">
        <is>
          <t>読み方：すさび
１興にまかせてすること。慰みごと。「筆の—」
２成り行きにまかせること。
「すきずきしき心の—にて、人のありさまをあまた見合はせむの好みならねど」〈源・帚木〉</t>
        </is>
      </c>
      <c r="D132" t="inlineStr">
        <is>
          <t>遊び相手(2%)；遊び仲間；遊び好き；遊び道具；遊び場所</t>
        </is>
      </c>
      <c r="E132" t="inlineStr">
        <is>
          <t>ゲーム；遊；プレイ；楽しみ；慰め</t>
        </is>
      </c>
      <c r="F132" t="inlineStr">
        <is>
          <t>ボート遊び；トランプ遊び；ボール遊び；芸者遊び；遊び暮し</t>
        </is>
      </c>
      <c r="G132" t="inlineStr">
        <is>
          <t>遊び方；遊び人；遊び心；遊び半分；遊び友達</t>
        </is>
      </c>
      <c r="H132" t="n">
        <v>29</v>
      </c>
      <c r="I132" t="inlineStr">
        <is>
          <t>また、安彦とは以前は彼のスタジオによく遊びに行っていた仲でもある。；そのためシリーズ途中からの参加でも比較的遊びやすくはなっている。；やでのリデル三姉妹を連れてのボート遊びは、一種の習慣となっていた。；これは本が書かれた江戸時代に流行していた紋切り遊びの手法である。；実姉の同級生で友人だったこともあり、家によく遊びに来ていたという。；気を許した友人とのみ交友関係を築くが、その範囲や遊びは限定される。；食事を目的とした料理というよりは遊び、イベントとしての色彩が濃い。；多くの遊びにルールがあるように、大人の遊びにも一定のルールが存在する。；人間大の状態で出現し、道路でボール遊びに興じる子供たちを驚かせる。；幼少の頃には地元大阪府にあるひらかたパークによく遊びに行っていた。；マンションで一人暮らしをしている女性の部屋に友人が遊びに来た。；中にはバトル画面を用いた演出などのお遊び要素やサウンドテストもある。；似たような遊びをする植物にスミレ類やオオバコなどが良く知られる。；家庭では人型で料理や遊び相手を務めたりと、あらゆる場で万能に活躍する。；友達と遊ぶのと違い、公園・自宅前での一人遊びは放置子に見られやすい。；彼は外出禁止命令が出ていたにもかかわらず町に遊びに出て見つかってしまった。；この頃のアルは遊び好きで、洒落た服を着て外出してはしゃいだりした。；素行が母親の実家である交野家へ遊びに行っていた時のことである。；幼少期より新聞で丸めたボールを棒で打つ野球に似た遊びをしていた。；主に仁丹大の金属球を用いていろいろな遊びが出来るゲームが数多く発売された。；ドリームプラザに新店舗がオープンした際に、遊びに来ることもある。；キオ編ではキオ・アスノが保護した子供たちの遊び相手になっている。；ナビゲーターを使えばご近所はもちろん他の星へも遊びに行くことができる。；この遊戯は、雨の日の教室に限っていたが、何遊ビとも名称がなかった。；暁星小学校時代はクラスメイトであり、互いの家に遊びに行く仲だった。；この日は夕方から深夜まで子供と遊びながら画を描いた。；遊びの終わりは明瞭で、子がすべて捕まった時点でそのゲームは終了する。；木でできた駒を動かして特定の駒を外に出すのが目的の一人遊び。；同じくタカラトミーからプレートの遊びの幅がさらに広がるマシンが発売。</t>
        </is>
      </c>
      <c r="J132">
        <f>HYPERLINK("https://www.weblio.jp/content/遊び", "词义详情")</f>
        <v/>
      </c>
      <c r="K132">
        <f>HYPERLINK("https://yourei.jp/遊び", "查看例句")</f>
        <v/>
      </c>
    </row>
    <row r="133">
      <c r="A133" t="inlineStr">
        <is>
          <t>遊ぶ</t>
        </is>
      </c>
      <c r="B133" t="inlineStr">
        <is>
          <t>成功</t>
        </is>
      </c>
      <c r="C133" t="inlineStr">
        <is>
          <t>読み方：すさぶ
《上代は上二段活用であるが、平安時代ころから四段にも活用するようになった》
［動バ五（四）］
１気持ちや生活態度にゆとりやうるおいなどがなくなる。とげとげしくなる。荒れる。「心が—・ぶ」
２細かいところにまで注意が求められる芸などが荒れて雑になる。「芸が—・ぶ」
３ある方向にいよいよ進む。特に、雨・風などの勢いが増す。「嵐が—・ぶ」「吹き—・ぶ」
４勢いが尽きて衰える。
「降り—・ぶ時雨の空のうき雲にみえぬ夕日のかげぞうつろふ」〈風雅・冬〉
５（遊ぶ）気の向くままに何かをする。慰み興じる。もてあそぶ。
「目とどめ給ひて…など、書き添へつつ—・び給ふ」〈源・若菜上〉
［動バ上二］
１（遊ぶ）心のおもむくままにする。あそび慰む。
「絵はなほ筆のついでに—・びさせ給ふあだごととこそ」〈源・絵合〉
２（動詞の連用形について）勢いが激しくなる。さかんに…する。
「朝露に咲き—・びたる月草の日くたつなへに消(け)ぬべく思ほゆ」〈万・二二八一〉</t>
        </is>
      </c>
      <c r="D133" t="inlineStr">
        <is>
          <t>遊ぶ楽し；遊ぶべし；遊ぶ対戦モード</t>
        </is>
      </c>
      <c r="E133" t="inlineStr">
        <is>
          <t>務める；プレー；プレイ；引く；演じる</t>
        </is>
      </c>
      <c r="F133" t="inlineStr">
        <is>
          <t>使って遊ぶ；楽しく遊ぶ；集まって遊ぶ；動かして遊ぶ；混ぜて遊ぶ</t>
        </is>
      </c>
      <c r="H133" t="n">
        <v>29</v>
      </c>
      <c r="I133" t="inlineStr">
        <is>
          <t>余裕のある人は胸の間に挟んで持っていたのだろうとか想像して遊ぼう。；公式攻略本には買ったばかりの人が遊ぶべきものではないと書いてある。；友達と遊んでいてですね、明日もここで遊ぼうねって約束する夢ですよ。；ユダヤ人の子どもにとって友達と遊ぶのに大きな影響がある命令だった。；インドアな子供で大勢で外で遊ぶより1人で絵を描くことが好きだった。；子役をしていた小学生時代は友達と遊ぶ機会もほとんど無かったという。；活発に体を動かすことが好きで家遊びよりも外で遊ぶことを好んでいる。；また、拡張版を導入した後も、第一章から第四章までを遊ぶことができる。；さまざまなゲームを遊ぶことを可能にした携帯型ゲーム機の原点である。；学校に行く事も不可能なために勉強は館の中で行い、友人と遊ぶこともある。；そこでお嫁さん同士みんなで楽器を合わせて遊ぼうといい出しました。；友達と遊ぶのと違い、公園・自宅前での一人遊びは放置子に見られやすい。；これらは通常、以前のシリーズのカードと組み合わせて遊ぶこともできる。；しかしやがて一緒に遊ぶようになり、共有や交流の中に楽しさを見出す。；例えば、呼気で作った空気の輪を通って遊ぶイルカなどがこれに当たる。；どのモードも以下の2つのルールのどちらか好きなほうで遊ぶことができる。；今日はこれだけ遊ぼうと思って持ってきたのだが、あんたにあげる。；室内に設置されたゲームやコインライドで遊ぶことのできるコーナー。；子供のころは隣家だった牛尾治朗らと近くにあった舞子海岸などで遊ぶ。；自然は豊かで、山や川では年中通して子供たちが遊ぶ場面が見られる。；僕等は立派じゃないから、その玩具で遊ぼうと思ってやってきたのだ。；彼女が何かをして遊ぼうと言うと、みんなその遊びをやりはじめる。；ネットワーク接続をすることで他のユーザーと遊ぶこともできる。；ゲームをプレイするには、それぞれの遊ぶための条件を満たす必要がある。；逃げた先で赤い衣を羽織った女と遊ぶ弟の姿を見つけ、弟を家に連れ戻す。；また、特別バージョンの調整がなされた基板でゲームを遊ぶことができる。；しかしカードに記録されたゲームで遊ぶ場合も本体を接続したままでなくてはならない。；店によってはビリヤード台などが置いてあり、女性と遊ぶこともできる。；その兄の影響で、幼い頃から男の子と遊ぶ機会が多かったという。</t>
        </is>
      </c>
      <c r="J133">
        <f>HYPERLINK("https://www.weblio.jp/content/遊ぶ", "词义详情")</f>
        <v/>
      </c>
      <c r="K133">
        <f>HYPERLINK("https://yourei.jp/遊ぶ", "查看例句")</f>
        <v/>
      </c>
    </row>
    <row r="134">
      <c r="A134" t="inlineStr">
        <is>
          <t>値</t>
        </is>
      </c>
      <c r="B134" t="inlineStr">
        <is>
          <t>成功</t>
        </is>
      </c>
      <c r="C134" t="inlineStr">
        <is>
          <t>読み方：あたい
１価格。値段。また、代価。「商品に—をつける」
「質屋の使の…尋ね来(こ)ん折には—を取らすべきに」〈鴎外・舞姫〉
２物の値打ち。価値。「一顧の—もない」
３（値）数学で、文字や式・関数などがとる数値。「比の—」</t>
        </is>
      </c>
      <c r="D134" t="inlineStr">
        <is>
          <t>値以上；値以下；値ぶみするよう；値そのもの；値渡し</t>
        </is>
      </c>
      <c r="E134" t="inlineStr">
        <is>
          <t>数；入り；代；額；価値</t>
        </is>
      </c>
      <c r="F134" t="inlineStr">
        <is>
          <t>推定値；高い値；目標値；同じ値；経験値</t>
        </is>
      </c>
      <c r="G134" t="inlineStr">
        <is>
          <t>値する；値打ち；値上げ；値下げ；値し</t>
        </is>
      </c>
      <c r="H134" t="n">
        <v>29</v>
      </c>
      <c r="I134" t="inlineStr">
        <is>
          <t>これは環境の影響や考え得る測定誤差をはるかに超える値であるとされた。；異なる物質同士の値の大小で単純に害の大小を比較することはできない。；この制約はすでに確かめられているが、取り得る値は決定できていない。；が具体的な値を取るいくつかの場合についてはさまざまな証明が与えられた。；クーメイによれば21世紀に入った後ではその値の成長は鈍化している。；そしてこれらの値は、人間の存在のために都合良く出来過ぎている。；直線 の傾きは だから、微分係数 の値も とすべきだと考えられる。；次に宇宙および地上のプラズマの代表的な例とその特性値をあげる。；この値のことを誤差理論において 真の値または真値 と呼んでいる。；各種のマグニチュードの値の間では差異を持つので注意が必要である。；値型におけるパフォーマンス向上を意図した複数の機能が追加された。；始めの測定結果は、量子論に基づく計算値との間で非常に良い一致を示した。；この値には他線から桑名駅を経由して養老線に乗車する人員は含まない。；biasの値が変わらない範囲であれば、単純に追加するだけでよい。；そのため、理論値と実験値とのずれは解消されたとはいえなかった。；このためディラック定数も定義値となり、不確かさのないものとなった。；しかし例えば「左の値との差」をとると、データは以下のようになる。；光のエネルギー は光子の持つエネルギーの倍数の値のみを取り得る。；これは2番目に傾斜が小さい木星の値に比べてもと非常に小さい値である。；あくまで、検査値で肝機能障害がわかりにくい場合に測定する項目である。；これはデータの値から算術的に計算して得られる統計指標値の一つである。；内はブートストラップ値で、不確実な分岐も図示されていることに注意。；そして水銀柱ミリメートルとトルは同じ値となるよう定義されていた。；標準偏差が であることは、データの値が全て等しいことと同値である。；そのため、異なる天文台で同時刻に求めた UT0 は異なる値になる。；アレルゲンとの接触を続けていれば抗体値も上がり、症状もひどくなる。；ニュートリノの質量が有限値を持つことは理論研究に大きな影響を与える。；CGS単位系を元に電磁気学の単位を作ると、値が大きくなってしまう。；これは m 面のサイコロを同時に n 個振った際の合計値を意味する。</t>
        </is>
      </c>
      <c r="J134">
        <f>HYPERLINK("https://www.weblio.jp/content/値", "词义详情")</f>
        <v/>
      </c>
      <c r="K134">
        <f>HYPERLINK("https://yourei.jp/値", "查看例句")</f>
        <v/>
      </c>
    </row>
    <row r="135">
      <c r="A135" t="inlineStr">
        <is>
          <t>値する</t>
        </is>
      </c>
      <c r="B135" t="inlineStr">
        <is>
          <t>成功</t>
        </is>
      </c>
      <c r="C135" t="inlineStr">
        <is>
          <t>読み方：あたいする
［動サ変］［文］あたひ・す［サ変］（「…にあたいする」の形で）それをするだけの値打ちがある。ふさわしい価値がある。相当する。「称賛に—・する」</t>
        </is>
      </c>
      <c r="D135" t="inlineStr">
        <is>
          <t>値する人格高潔；値する閑暇</t>
        </is>
      </c>
      <c r="E135" t="inlineStr">
        <is>
          <t>価する</t>
        </is>
      </c>
      <c r="H135" t="n">
        <v>29</v>
      </c>
      <c r="I135" t="inlineStr">
        <is>
          <t>これはたぶん起源が違い尊敬にも同情にも値しないし恐怖する必要も無い。；貴族の娘が描いた革命の回想などはとりあげるに値しないのであろうか。；市や修道院の歴史部門の他に市の手工業分野の展示は特筆するに値する。；社会的に死を迎えているヨブを訪問する行為は賞賛に値する行為である。；彼らが彼女を教育したとしたら、彼女は注目に値する性格になるでしょう。；しかし死もまた死ぬに値しないとすれば、私はやはり生きねばならぬ。；そんなことはこの罪の問題にくらべれば一考慮にも値しないものであった。；また証言者の中に「信用に値しない」人物がいる点も問題視されている。；「あの連中はあなたの注意にも値しないやつらです」陰気な男は言った。；それらをやっておけば、一度や二度の戦術的敗北など論評にも値しない。；納得していたわけではないにせよ、それ自体は今さら論ずるに値しない。；おのれは七五三兵衛とやらに戦働きには値せぬ者だと断ぜられたと聞く。；いかにも戦に出るに値せぬ女のやりそうなことだと嘲り、勝利を確信した。；音楽を担当したのがバーナード・ハーマンだということも注目に値する。；もはや驚くには値しないとはいえ、またも白い燭膿面が闇の中に現れた。；さまざまなスタイルの演出と、人気のあるゲスト俳優の出演が注目に値する。；考えるに値しないほど空白な自分自身の、その痛みをまず考えたのだ。；なんとかしなくては、彼女の生命は銅貨一枚にも値しないことになるだろう。；右手の指を使って、指板上で弦を叩いて音を出す技法は、注目に値する。；そうしてその後、彼の生活は一匹の虫の生活にも値しなくなった。；この最接近の際に第1体の速度がゼロに近い点は特に注目に値する。；同年、内閣はこの地域に注目に値する森林資源が豊富にあることを確認。；多くの派生型が存在したが、主要なものや注目に値するものを以下に記す。；貢献に値する人であれば何を信仰していようと問題ではないわ。；明らかに、その年には記録に値する出来事がなかったのであろう。；この亜種は、通常見られるよりも多くの変異があることでも注目に値する。；まるでそれは重要な問題ではなく、回答するに値しないと言いたげだった。；このブルックリン・パピルスの発見はそれ自身が注目に値する物語である。；注目に値するのは全員がフリーメイソンで儀式を行った指導者だったことだった。</t>
        </is>
      </c>
      <c r="J135">
        <f>HYPERLINK("https://www.weblio.jp/content/値する", "词义详情")</f>
        <v/>
      </c>
      <c r="K135">
        <f>HYPERLINK("https://yourei.jp/値する", "查看例句")</f>
        <v/>
      </c>
    </row>
    <row r="136">
      <c r="A136" t="inlineStr">
        <is>
          <t>与える</t>
        </is>
      </c>
      <c r="B136" t="inlineStr">
        <is>
          <t>成功</t>
        </is>
      </c>
      <c r="C136" t="inlineStr">
        <is>
          <t>読み方：あたえる
［動ア下一］［文］あた・ふ［ハ下二］
１自分の所有物を他の人に渡して、その人の物とする。現在ではやや改まった言い方で、恩恵的な意味で目下の者に授ける場合に多く用いる。「子供におやつを—・える」「賞を—・える」
２相手のためになるものを提供する。「援助を—・える」「注意を—・える」
３ある人の判断で人に何かをさせる。
㋐相手に何かができるようにしてやる。配慮して利用することを認める。「発言の自由を—・える」「口実を—・える」
㋑割り当てる。課する。「宿題を—・える」「役割を—・える」
４影響を及ぼす。
㋐相手に、ある気持ち・感じなどをもたせる。「感銘を—・える」「いい印象を—・える」「苦痛を—・える」
㋑こうむらせる。「損害を—・える」
[補説]室町時代以降はヤ行にも活用した。→与ゆ</t>
        </is>
      </c>
      <c r="D136" t="inlineStr">
        <is>
          <t>与える可能性；与えるべき；与えるべく</t>
        </is>
      </c>
      <c r="E136" t="inlineStr">
        <is>
          <t>する；くれる；置く；聞く；許可</t>
        </is>
      </c>
      <c r="F136" t="inlineStr">
        <is>
          <t>与えるダメージ量；与える影響について研究</t>
        </is>
      </c>
      <c r="H136" t="n">
        <v>29</v>
      </c>
      <c r="I136" t="inlineStr">
        <is>
          <t>自分の残りの人生はそのためだけに与えられていると思っていたという。；また航空気象も航空機の飛行に大きな影響を与えることが分かっている。；アクチュエータは基本的にエネルギーを与えることで運動を発生させる。；アメリカ合衆国のポピュラー音楽が今日に至るまで与えた影響は大きい。；初めてこれらの説に理由付けを与えたのがモリス・ドゥラフォスである。；虚数があれば答えのない問題にも答えを与えることができると示している。；形式の与え方は鉄道事業者によって様々であり、統一されたものはない。；韓国もまた、発明の定義を法律の条文で与える数少ない国の一つである。；幸い命に別状はなかったものの、世間に与えた衝撃は非常に大きかった。；が具体的な値を取るいくつかの場合についてはさまざまな証明が与えられた。；紀元前からギリシャは哲学や文化、芸術にさまざまな影響を与えてきた。；心理状態が身体の状態に影響を与えるという実証的な研究が進んでいる。；この頃、戦局の悪化は日本国内にも大きな被害を与えるようになっていた。；現在では特に子供に金銭を与える習慣及びその金銭の意で用いられている。；この仕事のためにガニュメーデースには永遠の若さと不死が与えられた。；ニュースは敗戦・占領下で自信を失っていた日本国民に大きな力を与えた。；ラバーを獲得したチームには以下のようなラバーボーナスが与えられる。；コペルニクスの事例は「科学理論の交代が起こる原因」に示唆を与える。；実際は多くの生物でコドンの利用の偏りがこのことに制限を与えるが。；裁判所に、法律が憲法に適合するか否か審査する権限が与えられている。；他に、以下のようなスタイルで仕様が与えられている言語もある。；旧明領の漢人以外の民族には有力者に土司の地位を与え統治させた。；国境にどの程度の透過性を与えるかは、それぞれの国の政府が決定している。；ペットが人に被害を与えた場合、刑事・民事の責任を問われることがある。；数々の玩具は、発育や様々な機能の発達に刺激を与える重要な道具である。；この変革の背景には社会環境の変化が大きな影響を与えたと考えられている。；これは、そのような仕組みは経済に悪影響を与えるとの考えからであった。；とは、物や人物に与えられた言葉のことで、対象を呼んだりする際に使われる。；日本では、健康に悪影響を与える側面もあるという調査結果が出ている。</t>
        </is>
      </c>
      <c r="J136">
        <f>HYPERLINK("https://www.weblio.jp/content/与える", "词义详情")</f>
        <v/>
      </c>
      <c r="K136">
        <f>HYPERLINK("https://yourei.jp/与える", "查看例句")</f>
        <v/>
      </c>
    </row>
    <row r="137">
      <c r="A137" t="inlineStr">
        <is>
          <t>あたかも</t>
        </is>
      </c>
      <c r="B137" t="inlineStr">
        <is>
          <t>成功</t>
        </is>
      </c>
      <c r="C137" t="inlineStr">
        <is>
          <t>読み方：あたかも
［副］《「あだかも」とも》
１（多くあとに「のようだ」「のごとし」などを伴って）あるものが他によく似ていることを表す。まるで。まさしく。ちょうど。「—自分が体験したように語る」
２ちょうどその時。「時—芸術の秋である」</t>
        </is>
      </c>
      <c r="D137" t="inlineStr">
        <is>
          <t>あたかも生き；あたかもよし；あたかもかれ；あたかもわが；あたかも好し</t>
        </is>
      </c>
      <c r="E137" t="inlineStr">
        <is>
          <t>ように；まるで；ちょうど；まさに；如く</t>
        </is>
      </c>
      <c r="F137" t="inlineStr">
        <is>
          <t>状あたかも</t>
        </is>
      </c>
      <c r="H137" t="n">
        <v>29</v>
      </c>
      <c r="I137" t="inlineStr">
        <is>
          <t>彼がいた梨園の楽曲はあたかも仙境のもののようであったと伝えられる。；結果、軍隊はあたかも独自の戦力のように存在することを事実上やめた。；あたかも彼らの努力が無駄であったかのように思われたであろう。；ボールを実際に持っていない子もあたかも持っているかのように擬態を示す。；トゥーラは、あたかも聖人であるかのように古典様式の人物像を描いた。；それはお互いをあたかも一枚の窓ガラスのように退け合うのだという。；それがあたかも過去に経験したかのような錯覚を生じさせている。；下から見た場合、部屋への入口が見られ、あたかも蜂の巣のごとくである。；また、盛土があたかも古墳のように独立して存在する点も例をみない。；それはあたかも1発発射されたかのように聞こえると言う人もいた。；更に潜水艦内部は揺れるので、あたかも海の中にいるかのような体験ができた。；これが、あたかも高速で飛び回る棒状の生物が映ったかのように見える。；その影は、あたかも巨人の素足が砂の上を走り出したようでもあった。；踊り手達の動きはあたかも宇宙に浸る暈を描いているかのようになる。；あたかも独立した人間のように見えても、それらはその人の「部分」である。；江戸時代以前、海から見るこの地があたかも島のように見えたことから付いたとされる。；その読者には自ら、あたかも個人的な会話をしているかのように働きかけた。；村の往来のすぐ路端に、百姓家の間にあたかも総井戸のごとくにあり。；結果として、あたかも認知症となったかのような印象を与えることがある。；あたかも万里の長城のように土を焼いて作ったものを並べて築いたものもある。；そして、あたかも数式を操作するかのようにその式や記号を操作する。；髪がどんどん長く伸び、その名前が示すようにあたかも鬼の角のように逆立つ。；これが実現すれば理論上はあたかも物体が透明になったかのように見えるという。；あたかも太陽自身は変化せず、太陽から出た光が周囲を照らすようなものである。；或る地元住民は、あたかも「地震が起こった」かのように現場を描写した。；劇場型犯罪とは、あたかも演劇の一部であるかのような犯罪のこと。；このような演技空間では、俳優は観客があたかも存在しないかのようにふるまう。；あたかも渤海に独自のものが何もなかったかのような言説が韓国では広がっている。；北側から眺めると、あたかも人が寝ているような形をしている山があるように見える。</t>
        </is>
      </c>
      <c r="J137">
        <f>HYPERLINK("https://www.weblio.jp/content/あたかも", "词义详情")</f>
        <v/>
      </c>
      <c r="K137">
        <f>HYPERLINK("https://yourei.jp/あたかも", "查看例句")</f>
        <v/>
      </c>
    </row>
    <row r="138">
      <c r="A138" t="inlineStr">
        <is>
          <t>あたし</t>
        </is>
      </c>
      <c r="B138" t="inlineStr">
        <is>
          <t>成功</t>
        </is>
      </c>
      <c r="C138" t="inlineStr">
        <is>
          <t>読み方：あだし
［語素］《「あたし」とも》名詞の上に付いて、他の、よその、違っている、の意を表す。
「逢ひがたき君に逢へる夜ほととぎす—時ゆは今こそ鳴かめ」〈万・一九四七〉
[補説]一説に、シク活用形容詞ともされるが、「あだしく」「あだしき」などの確例はなく、「あだし妻」「あだし国人」など、他の名詞と合して用いられる。</t>
        </is>
      </c>
      <c r="D138" t="inlineStr">
        <is>
          <t>あたしたち(9%)；あたし達；あたしみたい；あたしども；あたし知ってる</t>
        </is>
      </c>
      <c r="F138" t="inlineStr">
        <is>
          <t>ノラあたし；あなたとあたし；誰かがあたし；ひとはあたし；あたしみたいな女</t>
        </is>
      </c>
      <c r="G138" t="inlineStr">
        <is>
          <t>あたしか；あたしンち；あたしんち；あたしのものよ；あたし天使あなた悪魔</t>
        </is>
      </c>
      <c r="H138" t="n">
        <v>29</v>
      </c>
      <c r="I138" t="inlineStr">
        <is>
          <t>二葉 さう云へば、あたしが死にたくなると思つてらつしやるんでせう。；あたしたち二人をのせて脱出するのだったら、二人でたくさんじゃない。；あたしの商売がなんだということを今初めて知ったんじゃありますまい。；だけどもうあたしの幸福はこれっきりで終ってしまうような気がするの。；あたしお父さまにこんなひどいことをお願いしなければならないなんて。；あんたがあたしのところへ帰って来てくれれば、外に云うことはないわ。；あんたまさかあたしの為めに巴里にお残りになるんじゃないでしょうね。；あたし、これからは何でもお前さんのいうことを素直に聞きますからね。；あたしお礼をしたいんだけど、ほかにどうしていいかわからないんです。；とね あたし、だんだん、あんたのお母さんみたいな気がして来るのよ。；あんたがあたしの服をきて、あたしがあんたの服をきているんだわね。；あたしたちにも気づかないように水を持って行ってやるようだから。；おもと なんといふ人だか知らないけれど、あたしも見たことがあるわ。；人生はあたしたちにとってすでに小さいときからにがくされていたのよ。；もっと気を合わせて働きさえすれば、勝利はあたしたちのものですわ。；ここはあたしの借りたアパートだから、あんたが出て行く方が早いわ。；ところがあたしたちの受けているのは自活に縁のない教育じゃないの?；不幸なのは、このひとり娘が、あたしよりも彼の方に似てしまったこと。；あたしだって、ブルックさんがこんな手紙書かないことわかってますわ。；あたしの魂も蛇に乗りうつって、きっとお前の加勢をしてあげるからね。；してみるとその体も主の御体、あたしに分けて下さらなかつたその御体だ。；あたし達ばかり勝手なことを云って飲んでいちゃあ、それこそ失礼だわ。；客席の方からはあたしたちの姿は完全に見えないのだろうと陽子は思った。；あたしも二〇年刑事やってますが、さすがにあれには吐き気がしましたよ。；お馬鹿さんが引返して来る頃には、あたしはもう此の世のものじゃ無い。；あたしの一生はもしかしたらこのまま終ってしまうんじゃないかしら?；あたしたちが死んだ弟を連れていけば、あの子は、きっと泣き出しますよ。；あたしはあの人たちの顔を見てさへ胸が悪くなつて来る位です。；見落とすところでしたよ、あたしが壁に気を付けていたからいいものの。</t>
        </is>
      </c>
      <c r="J138">
        <f>HYPERLINK("https://www.weblio.jp/content/あたし", "词义详情")</f>
        <v/>
      </c>
      <c r="K138">
        <f>HYPERLINK("https://yourei.jp/あたし", "查看例句")</f>
        <v/>
      </c>
    </row>
    <row r="139">
      <c r="A139" t="inlineStr">
        <is>
          <t>暖かい</t>
        </is>
      </c>
      <c r="B139" t="inlineStr">
        <is>
          <t>成功</t>
        </is>
      </c>
      <c r="C139" t="inlineStr">
        <is>
          <t>読み方：あたたかい
［形］［文］あたたか・し［ク］《形容動詞「あたたか」の形容詞化》
１（暖かい）寒すぎもせず、暑すぎもせず、程よい気温である。あったかい。「—・い部屋」「—・い地方」《季春》「—・きドアの出入となりにけり／万太郎」
２（温かい）物が冷たくなく、また熱すぎもせず、程よい状態である。「—・い御飯」
３（温かい）思いやりがある。いたわりの心がある。「—・くもてなす」⇔冷たい。
４（暖かい）金銭が十分にある。「今日は懐が—・い」⇔寒い。
５（暖かい）色感がやわらかく、冷たい感じがしない。「—・い色調の壁紙」
[補説]気温のようにからだ全体で感じるあたたかさに、「寒い」に対して「暖かい」、部分で感じたり心で感じたりするあたたかさに、「冷たい」に対して「温かい」と書くのが普通。</t>
        </is>
      </c>
      <c r="D139" t="inlineStr">
        <is>
          <t>暖かい日(5%)；暖かい空気(4%)；暖かいもの(3%)；暖かい風(2%)；暖かい部屋</t>
        </is>
      </c>
      <c r="E139" t="inlineStr">
        <is>
          <t>良い；親切；厚い；優しい；温</t>
        </is>
      </c>
      <c r="F139" t="inlineStr">
        <is>
          <t>暖かい光；比較的暖かい；暖かい地方；暖かい海；暖かい夜</t>
        </is>
      </c>
      <c r="G139" t="inlineStr">
        <is>
          <t>暖かい日々；暖かいい</t>
        </is>
      </c>
      <c r="H139" t="n">
        <v>29</v>
      </c>
      <c r="I139" t="inlineStr">
        <is>
          <t>彼は気を失い、やがてまた気がつくと、空気は前より暖かくなっている。；だけど、家族のない身である僕には、 それがとても暖かく感じられた。；その晩はとても暖かかったので、庭園に面したドアはみんなあいていた。；Aは暖かい時期でも黒の長いトレンチコートを着ていたと証言している。；大陸の周囲にできた比較的浅い暖かい海で生息していたと考えられている。；これを聞いている間は、何だか己の性命が暖かく面白く昔に帰るような。；気候は、少しずつ暖かくなっていたけれども、彼女はまだ寒がっていた。；実をいえばその時の広島は、夜寒を感ずるには少し暖かったからである。；寒い地域でも夏場だけ移動してきたり、暖かい場所で冬を越したりする。；一般に水と触れあう機会が多くなる暖かい時期に増加する傾向がある。；彼ら三人しか客が乗っていない電車には、暖かい陽がふり注いでいた。；そのため、この時代は、現在よりも暖かく湿潤だったと考えられている。；そして彼の母は彼女を歓迎して、彼女のために暖かい食事を用意した。；居間の火が暖かくなり始めていたけれども、私はコートを着たままだった。；なにもかもが暖かくて、僕はもう考えず悩まず、ただ幸福に浸っていた。；ベッドに入って、いくら待っていても、少しも暖かくなってくれなかった。；暖かい風とわからないくらいのかすかな流れとのままに、舟は漂っている。；炎のように激しく・また熱く、火のように明るく・また暖かい人物である。；あるだけの火鉢をかき集めたようで、室のなかはずいぶんと暖かかった。；幸い地上に比べて地下は暖かく、この部屋には灯り代わりの火もある。；冬に作られたものの方が暖かい季節に作られたものよりも香りが良いと信じられている。；手足と鼻と耳が、ようやくいまやっと暖かくなってきたところでした。；わたしはこれまで暖かい台所の窓ガラスに雪の降るところを見ていた。；暖かくさわやかな朝だったが、ストーブでは小さな薪の火が燃えていた。；言葉と化して暖かく脈打っている土地の魂としか言いようのないもの。；暖かい日の光は緑の深い樹蔭に吸い込まれて、途中で消え失せてしまう。；暖かい声援だけが応援ではないことを知ったから強くなろうとしたと語った。；そのために中層へは南方から暖かい空気が舌を出したような形になっている。；俺は、自分の中に広がった暖かく深い喜びの感覚に不思議な驚きをおぼえていた。</t>
        </is>
      </c>
      <c r="J139">
        <f>HYPERLINK("https://www.weblio.jp/content/暖かい", "词义详情")</f>
        <v/>
      </c>
      <c r="K139">
        <f>HYPERLINK("https://yourei.jp/暖かい", "查看例句")</f>
        <v/>
      </c>
    </row>
    <row r="140">
      <c r="A140" t="inlineStr">
        <is>
          <t>温かい</t>
        </is>
      </c>
      <c r="B140" t="inlineStr">
        <is>
          <t>成功</t>
        </is>
      </c>
      <c r="C140" t="inlineStr">
        <is>
          <t>読み方：あたたかい
［形］［文］あたたか・し［ク］《形容動詞「あたたか」の形容詞化》
１（暖かい）寒すぎもせず、暑すぎもせず、程よい気温である。あったかい。「—・い部屋」「—・い地方」《季春》「—・きドアの出入となりにけり／万太郎」
２（温かい）物が冷たくなく、また熱すぎもせず、程よい状態である。「—・い御飯」
３（温かい）思いやりがある。いたわりの心がある。「—・くもてなす」⇔冷たい。
４（暖かい）金銭が十分にある。「今日は懐が—・い」⇔寒い。
５（暖かい）色感がやわらかく、冷たい感じがしない。「—・い色調の壁紙」
[補説]気温のようにからだ全体で感じるあたたかさに、「寒い」に対して「暖かい」、部分で感じたり心で感じたりするあたたかさに、「冷たい」に対して「温かい」と書くのが普通。</t>
        </is>
      </c>
      <c r="D140" t="inlineStr">
        <is>
          <t>温かいもの(6%)；温かい心；温かい空気；温かい手；温かい血</t>
        </is>
      </c>
      <c r="E140" t="inlineStr">
        <is>
          <t>良い；親切；厚い；優しい；暖かい</t>
        </is>
      </c>
      <c r="F140" t="inlineStr">
        <is>
          <t>まだ温かい；ま温かい；温かい息；温かい状態；温かいうち</t>
        </is>
      </c>
      <c r="G140" t="inlineStr">
        <is>
          <t>温かい雨；温かいご飯；温かいごはん</t>
        </is>
      </c>
      <c r="H140" t="n">
        <v>29</v>
      </c>
      <c r="I140" t="inlineStr">
        <is>
          <t>日に当てなくとも、温かい心を当てていただけの相違なのに過ぎません。；私はこの頃はあなたたち二人の温かい静かな愛情と理解とに生きています。；糸降りのあいだの数時間ならいつも手を温かく保護してくれるのだが。；昨日は美味い最中が出来たが今日の茶の時間には温かい饅頭が作られた。；土も水も生きてゐるもののやうな親しさと温かさとを彼は直接胸に感じた。；一番異なっている部分は「必ず温かい状態で販売される」のことである。；まず母親がやることは、夫のことを温かくみつめることじゃないのかね?；麺類の温かい・冷たいは問わないが、一般的には冷たいものの方が多い。；彼の温かな笑顔を瞳に焼きつけることができなかったことが悔やまれた。；二階の部屋に入ると、そこは温かくていい香りに包まれた空間だった。；常勝への階段を上り始めたチームをこれからも温かい目で見守っていく。；夢をみつめて迷いながらも応援してくれる人がいる温かさを歌にした曲。；私は今日初めて日本人のほんとうの温かい気持に触れたような気がします。；気持が悪い、といって倒れた志功は、顔色を失って足だけが温かかった。；死体はまだ温かく、死んでから時間はあまり経っていないようだった。；何もシャツ一枚にならずともよいが温かい寝衣くらいにはなったらよいのです。；凍傷を治療するときは患者を温かい場所へ移動して治療を受けさせる。；だが日本人と朝鮮人との間には、親近感も温かい感情も存在していない。；会社に肉体を取られても、一人になれば心は豊かで温かな男だった。；空気が温かくなるに連れて、山の中は鳥や獣たちの気配で賑やかになった。；私はこのあいだあなたと会った時から、親しい、温かい気がするのです。；それまで、本人のしたいようにやらせて、温かく見守ってあげてほしい。；ずっと持っていたせいか、彼女の体温でぬいぐるみが温かくなっていた。；犬や猫に温かくて人間には冷たいという人間を何人となく見てきた。；だがそれは空気よりも温かく、なぜそうなのか彼女には見当がつかなかった。；林の匂いが強まって、生温かい湿り気がかすかに身体に感じられてくる。；その温かさが、私をその場所に釘づけしているように思えてならなかった。；そしてその生温かく流れていく感覚は全身の皮膚に広がっていた。；大人にはない子供の温かくて純粋な心が童話のように描かれている。</t>
        </is>
      </c>
      <c r="J140">
        <f>HYPERLINK("https://www.weblio.jp/content/温かい", "词义详情")</f>
        <v/>
      </c>
      <c r="K140">
        <f>HYPERLINK("https://yourei.jp/温かい", "查看例句")</f>
        <v/>
      </c>
    </row>
    <row r="141">
      <c r="A141" t="inlineStr">
        <is>
          <t>暖まる</t>
        </is>
      </c>
      <c r="B141" t="inlineStr">
        <is>
          <t>成功</t>
        </is>
      </c>
      <c r="C141" t="inlineStr">
        <is>
          <t>読み方：あたたまる
［動ラ五（四）］
１熱を受けて程よい温度になる。あったまる。「風呂に入って—・る」「スープが—・る」
２（温まる）心が満ち足りてほのぼのと和やかになる。「心の—・る言葉」
３（暖まる）金回りがよくなる。「懐が—・る」</t>
        </is>
      </c>
      <c r="D141" t="inlineStr">
        <is>
          <t>熱くなる；温まる；暖かくなる；ほてる；温かくなる</t>
        </is>
      </c>
      <c r="H141" t="n">
        <v>29</v>
      </c>
      <c r="I141" t="inlineStr">
        <is>
          <t>見ると、一人の老人と若い娘とが、竹切れを焚きながら、暖まっていた。；もう少しだ、と思うと、やっと体の方も暖まって来たような気がする。；冬の夜は、部屋が暖まるまでいつもそうやって待つのが習慣になっていた。；石油ストーブのファンの音が、暖まりかけた部屋に静かにひびいている。；次のような心暖まる挿話を紹介できることは、よろこばしいことである。；やがて体から発した熱でその限られた場所が暖まり、彼は眠ることができた。；部屋が暖まるのを待つ間、隅に丸めて置いてあった毛布を膝にかけた。；氷のようになってしまった足が一晩中暖まらないという夜が続く。；暖まってきた空気を通して、入口の方からがやがやと人声が流れて来た。；だが、これで少しでも身体が暖まれは、眠くなりそうな気がしていた。；風呂の中で暖まって、湯気をたてていると、ゆで蛸のようだと言われる。；ビールのおかげで、生気を失っていたホルステンの体も暖まってきた。；動くものといえば、暖まったコーヒーから立ちのぼる湯気ばかりだった。；しかし、いくら飲んでも、冷えきった胸の内は少しも暖まってくれない。；ぬるま湯につかっているうちに、全身が暖まってくる感覚に似ていた。；そして私はそのなかで暖まり、それが似合わなくならないかぎり幸せである。；だが、そのことをどう考えたらいいかは、暖まってもまだよくわからなかった。；仕方がないので一軒だけ開いていた雑貨屋で股引を一枚買って暖まることにした。；だって前川さんが毎日使っているような布団でぬくぬくと暖まれるんだぞ。；シリアスな設定であっても、どこか心暖まる雰囲気のある作風が特徴。；陽で暖められた食べ物の上の方は男が食べ、暖まっていない下の方を女が食べた。；古いエアコンはがたがた震えるだけで部屋の空気はなかなか暖まらない。；俺は今までに十人以上従卒を持ったが、一人として尻の暖まった奴はなかった。；オルリスのもとにもどってくるころには、足は暖まってきていた。；九時、車の内は暖まってきたが、外は切れるような寒さであった。；自分のからだに合わせてこしらえた此世ならぬ影の椅子の中にほかほかと暖まりたかったんだな。；長い脚を組み、爪先を火に向けているが、身体のどこも暖まった気がしない。；船頭は、からだの底から、暖まろうと思って、ブランデーを飲みました。；自宅で暖まっている彼氏のことでも考えているのだろうか。</t>
        </is>
      </c>
      <c r="J141">
        <f>HYPERLINK("https://www.weblio.jp/content/暖まる", "词义详情")</f>
        <v/>
      </c>
      <c r="K141">
        <f>HYPERLINK("https://yourei.jp/暖まる", "查看例句")</f>
        <v/>
      </c>
    </row>
    <row r="142">
      <c r="A142" t="inlineStr">
        <is>
          <t>温まる</t>
        </is>
      </c>
      <c r="B142" t="inlineStr">
        <is>
          <t>成功</t>
        </is>
      </c>
      <c r="C142" t="inlineStr">
        <is>
          <t>読み方：あたたまる
［動ラ五（四）］
１熱を受けて程よい温度になる。あったまる。「風呂に入って—・る」「スープが—・る」
２（温まる）心が満ち足りてほのぼのと和やかになる。「心の—・る言葉」
３（暖まる）金回りがよくなる。「懐が—・る」</t>
        </is>
      </c>
      <c r="D142" t="inlineStr">
        <is>
          <t>温まるだろ</t>
        </is>
      </c>
      <c r="E142" t="inlineStr">
        <is>
          <t>熱くなる；熱る</t>
        </is>
      </c>
      <c r="H142" t="n">
        <v>29</v>
      </c>
      <c r="I142" t="inlineStr">
        <is>
          <t>火を載せたばかりの処へ入れると中がまだ温まっていませんからいけません。；妙なことに気を取られて音を出していなかったから、楽器が温まっていない。；これを見て一同は喜びを感じ、誰も彼も胸中に心の温まるのを覚えた。；この寒いのにぼんやりしていねえで、早く家へ帰って温まった方がいいぜ。；冷たい義体が温まる暇もないほど、僕は多くの他人を演じていったんです。；不思議なことに、身体は準備体操を必要としないほどに温まっていた。；身体が温まったので、二人は食堂を出ると、仙娥滝を見に行くことにした。；そろそろ旅客機のエンジンも良い感じに温まってきている頃合だった。；ジョーが温まって元気を取り戻したことは、誰が見ても簡単にわかる。；食べ終わったときには汗をかくほど身体が温まっていた。；おろし生姜もサバの臭みをとり冬季には身体が温まってよいものである。；ベンチ裏に移動し、体が温まるまでベンチコートを着たまま体を動かす。；青年と一しよにゐる心持は、加減の好い湯に這入つて温まるやうである。；体が温まり安心すると、鳴家は目を開けていられなくなってきた。；飛び上がるほど冷たいが、数分そうして我慢していると、少し手が温まる。；氷の息吹を含んだ風は、生臭く温まって、血に濡れた聖地を奔り抜けた。；暖房は入っているようだが、こうガラガラではなかなか空気は温まらない。；それでも身体が温まってくると、小さな怯えた声で何が起こったのかを語り始めた。；口から出た物には温泉成分が含まれており、体も温まって肌もスベスベになる。；すっかり温まって部屋に戻ってみると彼女がいて、近所の安い食堂も教えてくれた。；ゆっくり温まろうにも湯がないんだから温まれる筈はないのだ。；それから、震えが出てまた床についたが、もう夜通し身体が温まらなかった。；一人の老人がストーヴの火に温まりながらイモを煮てゐたやうだつた。；おそらくそのたびに、温まるために一杯ひっかけていたのだろう。；彼はそれだけで身体が底から温まるように感じた。；袋に詰められたぱりんと乾いたお札が手の中で次第に温まっていった。；このやかんは全然温まらないんじゃないかという気さえしてきた。；からだがほかほかと温まっていて、コートを脱ぐ手も早くなる。；二人はさっきから一面の明るい日を浴びて、からだが少しだるくなるほどに肉も血も温まって来た。</t>
        </is>
      </c>
      <c r="J142">
        <f>HYPERLINK("https://www.weblio.jp/content/温まる", "词义详情")</f>
        <v/>
      </c>
      <c r="K142">
        <f>HYPERLINK("https://yourei.jp/温まる", "查看例句")</f>
        <v/>
      </c>
    </row>
    <row r="143">
      <c r="A143" t="inlineStr">
        <is>
          <t>暖める</t>
        </is>
      </c>
      <c r="B143" t="inlineStr">
        <is>
          <t>成功</t>
        </is>
      </c>
      <c r="C143" t="inlineStr">
        <is>
          <t>読み方：あたためる
［動マ下一］［文］あたた・む［マ下二］
１程よい温度に高める。あたたかくする。あっためる。「冷えた手を—・める」「ミルクを—・める」
２（温める）
㋐卵がひなにかえるまで大事にかかえる。「卵を—・める」
㋑自分の手元にしまっておく。温存する。「—・めていた論文を発表する」
㋒絶えていた人との交際を以前に戻す。「旧交を—・める」
３登場する機会がなくて控えている。暇である。「席を—・める」「ベンチを—・める」
４自分だけで利益を独占する。また、こっそり自分のものにする。「拾った金を—・める」</t>
        </is>
      </c>
      <c r="D143" t="inlineStr">
        <is>
          <t>暖める日々が続い(2%)；暖める暖房方法</t>
        </is>
      </c>
      <c r="E143" t="inlineStr">
        <is>
          <t>加熱；温める；加温；言い聞かす</t>
        </is>
      </c>
      <c r="H143" t="n">
        <v>29</v>
      </c>
      <c r="I143" t="inlineStr">
        <is>
          <t>今回の調査行はそのときに暖めていた野望を達成するためのものだった。；それで翌日彼の母親は、暖めることが出来るものを弁当に入れてくれた。；それは彼の暖められた心から無数の印象を引きだしてくれたのですからね。；最初は速足で進んで馬の身体を暖め、半時間ほどしてから疾駆に移った。；それらは実際に体を暖めたし、佐智の年齢にはぴったりの遊びであった。；「海を暖めている」 それを聞いても、相手は驚くほど平然としていた。；私たちは時々会って旧交を暖め、彼が私の家へ遊びに来たこともある。；外は寒かったが、小屋の牛や馬が息を吐きかけて赤ん坊を暖めてくれた。；かえって、気持ちの良い火照りが、娘を内側から暖めているようだった。；肉を暖める火が強すぎないように、燃えている枝の位置を調整した。；コーヒーがまだポットに残っていたので、ガスに火をつけて暖めて飲んだ。；そこでこの子を寒氷の上に捨てたが、飛ぶ鳥がこの子をその翼で抱き暖めた。；手が急激に冷たくなり、いくら暖めてももとに戻らないような気がした。；水槽に似たクリスタルの装置の中で暖められ、孵化を待つ何かの卵たち。；隣接する台所に行っていたいまりとさよかが暖め直したご馳走を運んできた。；おれは十分ぐらい、ストーブの前に立って、ぼんやりと躰を暖めていた。；この連中が位相光線銃で暖めた岩石が、かれらの命を救ってくれました。；私がおろかにも久住氏殺害の計画を暖めはじめたのはその時からであります。；少しずつ強くなり始めた朝の光が、ヤンと僕の体をポカポカと暖めていく。；旧交を暖めにきたのではないことはきつい目の色を見れば分かった。；周囲の空気が新鮮になり、吹き込む風は昼間の日差しで暖められている。；冬になると小さな電気ストーブだけがその氷のような部屋をわずかに暖めていた。；彼の部屋はかなり広くて、天気の悪い時など暖めるのにかなり困難であった。；丈が長すぎて手が隠れてしまうので、袖越しに缶を握って両手を暖めていた。；何をするのかと見ているとこの竹のなかに酒を入れ、落葉集めて暖めるのである。；低い太陽はもう暖めはしないけれど、夏よりも明るく光っている。；なんでもいいから身体を暖める呪文を知っていたらなあ、とジムは思った。；湯は熱めであるが、足のみを暖める足湯としては一般的な湯加減である。；コンロはあまりにも小さくて、からだを暖めるところまではいかなかった。</t>
        </is>
      </c>
      <c r="J143">
        <f>HYPERLINK("https://www.weblio.jp/content/暖める", "词义详情")</f>
        <v/>
      </c>
      <c r="K143">
        <f>HYPERLINK("https://yourei.jp/暖める", "查看例句")</f>
        <v/>
      </c>
    </row>
    <row r="144">
      <c r="A144" t="inlineStr">
        <is>
          <t>温める</t>
        </is>
      </c>
      <c r="B144" t="inlineStr">
        <is>
          <t>成功</t>
        </is>
      </c>
      <c r="C144" t="inlineStr">
        <is>
          <t>読み方：あたためる
［動マ下一］［文］あたた・む［マ下二］
１程よい温度に高める。あたたかくする。あっためる。「冷えた手を—・める」「ミルクを—・める」
２（温める）
㋐卵がひなにかえるまで大事にかかえる。「卵を—・める」
㋑自分の手元にしまっておく。温存する。「—・めていた論文を発表する」
㋒絶えていた人との交際を以前に戻す。「旧交を—・める」
３登場する機会がなくて控えている。暇である。「席を—・める」「ベンチを—・める」
４自分だけで利益を独占する。また、こっそり自分のものにする。「拾った金を—・める」</t>
        </is>
      </c>
      <c r="D144" t="inlineStr">
        <is>
          <t>温める日々が続い(2%)；温める日が続い</t>
        </is>
      </c>
      <c r="E144" t="inlineStr">
        <is>
          <t>加熱；暖める；加温；言い聞かす</t>
        </is>
      </c>
      <c r="H144" t="n">
        <v>29</v>
      </c>
      <c r="I144" t="inlineStr">
        <is>
          <t>彼の作品に人の心をほのぼのと温めるものがあるのはそのためであろう。；節電に対応すべく使用する時に限り温める機能を持った商品も存在する。；彼は戦いを始める前に腕を温めるのが自分の習慣であると言っている。；修が温めていた企画に興味を示す小出版社があらわれたのは翌年だった。；兄にとつて病多い人生がカラリと晴れ上つて兄の肉体を温めるであらう。；しかしその前に少しだけ指を温めさせてくれと彼女は続けて書いた。；彼女は彼に温めたミルクをもっていってやり、彼に休むように主張した。；御者はからだを温めるために馬の傍らをいったりきたり歩いています。；で、よく聞いてお置き、お前達は栓をした瓶で水を温めてはいけないよ。；水で冷えたのだから折返して温めさえすれば直ると思っているのだろう。；東京から連れだされたとき、おれの背中を温めてくれた手のぬくもりだ。；温められたガスが表面まで出てくると、冷やされて再び恒星内部に戻る。；どういふわけか倉敷の二人の姪の姿が心を温めてくれるやうであつた。；あれでは子供を養うことができないし、子供を温めておくこともできない。；風呂は炉の熱で温められており、覚悟していたような冷水ではなかった。；警官たちはコーヒーを温めているストーブのそばでトランプをやっていた。；それには始終そのすさんだ心を温め潤す愛がはたになければなりません。；彼らが彼女の心を温めてくれる、この世での唯一のものであった。；冷たい空気が肌に染み込むようで、それを温めてくれる陽の光も空にはない。；人の身体を温めるには同じく人の体温が最も有効なのだそうです。；どんなにあのあどけなさが 自分を底の底まで温めてくれることか!；然し、用の無い言葉の方はよりよく人の心を温めるものではないか。；どちらも旧交を温めるという気分になれなかったことは確かであった。；寒さにがたがたと震えるからだを温めようにも、火をたくことはできない。；そうやって足を温めながら、私はこれからどうすべきかを考えた。；天吾はコーヒーを温め、テーブルのふかえりの前に座ってそれを飲んだ。；その優しい感触はそのあと何日にもわたって僕の心を温めてくれた。；グラスを持つことでビールを温めないように脚が付いているビアグラスもある。；だからわしは動乱が起って人間の新しい血の流れるところへ来て身を温める。</t>
        </is>
      </c>
      <c r="J144">
        <f>HYPERLINK("https://www.weblio.jp/content/温める", "词义详情")</f>
        <v/>
      </c>
      <c r="K144">
        <f>HYPERLINK("https://yourei.jp/温める", "查看例句")</f>
        <v/>
      </c>
    </row>
    <row r="145">
      <c r="A145" t="inlineStr">
        <is>
          <t>あだな</t>
        </is>
      </c>
      <c r="B145" t="inlineStr">
        <is>
          <t>成功</t>
        </is>
      </c>
      <c r="C145" t="inlineStr">
        <is>
          <t>読み方：あだな
トルコ南部の工業都市。トロス山脈の南、セイハン川・ジェイハン川がつくる三角州に広がるチュクルオバ平原に位置する。周辺は肥沃な農業地帯であり、同国最大の綿の産地として知られる。古代ローマ時代、ポンペイウスにより建設され、その後衰退。8世紀にアッバース朝のハールーン＝アッラシードにより再興した。16世紀初めよりオスマン帝国領。2世紀建造の石造橋や、16世紀初めに建造されたウルモスクがある。</t>
        </is>
      </c>
      <c r="D145" t="inlineStr">
        <is>
          <t>あだな望み(15%)</t>
        </is>
      </c>
      <c r="E145" t="inlineStr">
        <is>
          <t>通称；別名；略称；異名；あだ名</t>
        </is>
      </c>
      <c r="H145" t="n">
        <v>29</v>
      </c>
      <c r="I145" t="inlineStr">
        <is>
          <t>さうしてもう帰らうと思つて見ると一段低い畑に婀娜な女が立つて居た。；車中の婀娜な女に就いて自分は大なる發見でもした如く其感想を語つた。；今日も眼玉の廂とあだなされている、あたしの妹の分がなくなった。；そうだとすれば、有名になるというのもあだなことではあるまいか。；それをわれわれは、人間のあだなだとばかり思っていたが、そうではなかった。；おまえも、わしが帰ってくるだろうというあだな望みを棄てなくてはならない。；今日学校へ行ってみんなにあだなをつけてやった。；囃子言葉に登場するガネマサは「蟹正」であり、人物のあだな名である。；もともと女が男のポーズをとると、婀娜なものだが、霞は胡座をかいていた。；ですから僕はこれからもつとたくさんあだなが出来るでせう。；また国内のキリスト教関係者の中には彼の事を原爆牧師とあだなして非難する人もあったという。；悪魔という似合いのあだなを持つ少女の性格を思い出したのだ。；男爵とわたしとは、あだな女たちの取り持つ縁で昵懇になりました。；初代靖州が「ねずみの殿様」のあだなで嫌だったので改名したという。；タナカ先生のあだなが〝馬〟だと知ったのは、ずっと後のことだ。；小さい頃に体格の大きさから、そのあだながついたという。；これはそれ以前の話だが、そのあだなのもととなった異常なばかりのあから顔はこのころから変らない。；私のあだなのよって来るところは、何も説明を要すまい。；そうしているうちに、こっちの娘、あっちの後家と、あだなうわさがたった。；お家にあだなす悪人ばら成敗といまお嬢さんが名のったじゃねえかッ。；ボスは本名ではなく祖母からつけられたあだな。；手古舞い姿のお文は普段より婀娜な魅力が増して人目を惹いた。；あまりに明徹な眼が、婀娜な老婦人のしぼんだ顔のうちに、その娘の純粋な顔だちを見て取るがようなものだった。；人間の怨念によって生まれ、数百年以上前から帝都にあだなす魔物。；これは小使いの関さんが掃除をする時のあだなだ。；千秋だってあだな奴のごど、顔も覚えでねえべし。；意外にも婀娜な女が自分を滿足させてくれた。；しかし相変らずその身ごなしには、その昔私が子供心にも夢中になったあの婀娜な投げやりなところがあった。；また、ウルドッグというあだなの由来の一つにもなっていた。</t>
        </is>
      </c>
      <c r="J145">
        <f>HYPERLINK("https://www.weblio.jp/content/あだな", "词义详情")</f>
        <v/>
      </c>
      <c r="K145">
        <f>HYPERLINK("https://yourei.jp/あだな", "查看例句")</f>
        <v/>
      </c>
    </row>
    <row r="146">
      <c r="A146" t="inlineStr">
        <is>
          <t>頭</t>
        </is>
      </c>
      <c r="B146" t="inlineStr">
        <is>
          <t>成功</t>
        </is>
      </c>
      <c r="C146" t="inlineStr">
        <is>
          <t>［接頭］動詞・形容詞などに付いて、とびぬけている、度外れている、などの意を添える。「—抜ける」「—太い」
[補説] 「図」「頭」を当てて書くことが多い。</t>
        </is>
      </c>
      <c r="D146" t="inlineStr">
        <is>
          <t>頭立て；頭を低く；頭越し；頭花；頭飾り</t>
        </is>
      </c>
      <c r="E146" t="inlineStr">
        <is>
          <t>心；首；長；精神；トップ</t>
        </is>
      </c>
      <c r="F146" t="inlineStr">
        <is>
          <t>二頭；軽く頭；深々と頭；四頭；深く頭</t>
        </is>
      </c>
      <c r="G146" t="inlineStr">
        <is>
          <t>頭上；頭から；頭脳；頭取；頭痛</t>
        </is>
      </c>
      <c r="H146" t="n">
        <v>29</v>
      </c>
      <c r="I146" t="inlineStr">
        <is>
          <t>その名は百の手を意味し、五十頭百手の巨人の姿をしているとされる。；母は、子供時代の彼が決して頭が良いとは思えなかったと振り返った。；細かく形の特徴を表す時には、葉身の葉柄の側を脚、先端側を頭という。；また余計な選択肢で頭を使わないために服は同じものを何着も持っていた。；ペンも紙もなかったため、これらを頭の中ですべて思い浮かべていった。；ありえないことに丹が嘆息すると、白い頭の烏と角が生えた馬が現れた。；現在の日本のロバは200頭という説もあり、多くとも数百頭であろう。；しかし30頭以上からなる非常に大きなプライドも観察されたことがある。；ハヴァは頭であるアダムに相談せずに、自分で判断したために堕落した。；駅舎の屋根の上には亀の頭が設置され、目の部分が時計になっている。；また、頭についていたパーツと同じようなパーツが腰から伸びている。；定住型は主に魚を餌とし、大抵は十数頭の家族群を形成して生活する。；これを撞除法と言い、また歌の頭の文字から通称で見一と呼ばれる。；この説に従えば、カメは一度は持った側頭窓を後に再び失ったと考えられる。；この洞窟には馬の頭を持つデーメーテール像が祀られていたと伝えられている。；そのため、によれば頭から情報を出すアウトプットが効果的である。；私が目を上げて見ると、見よ、一頭の雄羊が川の前に立っているのが見えた。；台詞が上手く頭に入らないと、父はよく家具に八つ当たりしていました。；従来、四肢動物の大まかな分類は、側頭窓の形態によって行われていた。；他の13頭は行方不明または鎖に繋がれたまま餓死した状態で発見された。；そのため水底ではなく水の中層に頭を少し斜め下にして静止している。；魚のうろこをうろこ引きや出刃包丁で魚の尾から頭に向かってかき取る。；頭は天に達し足は地に至るというほどの巨体であるという。；禅師は僧を庭の石の上に座らせ、被っていた青頭巾を僧の頭にのせた。；でもそれは不可能だから、どちらか一頭が出てほしいと、願っていたのですが。；飛び込みで頭を打たないように、飛び込み台の近くは深くなっている。；両目の間に鋭い額角があり、頭胸甲には頭部と胸部を分ける頸溝がある。；スタンフォードは頭に血が上りやすく、喧嘩早いことで知られていた。；近所の住民によると、当時のアルは頭の良い好人物であったという。</t>
        </is>
      </c>
      <c r="J146">
        <f>HYPERLINK("https://www.weblio.jp/content/頭", "词义详情")</f>
        <v/>
      </c>
      <c r="K146">
        <f>HYPERLINK("https://yourei.jp/頭", "查看例句")</f>
        <v/>
      </c>
    </row>
    <row r="147">
      <c r="A147" t="inlineStr">
        <is>
          <t>新しい</t>
        </is>
      </c>
      <c r="B147" t="inlineStr">
        <is>
          <t>成功</t>
        </is>
      </c>
      <c r="C147" t="inlineStr">
        <is>
          <t>読み方：あたらしい
［形］［文］あたら・し［シク］《上代の「あら（新）たし」が「あたら（可惜）し」と混同して音変化し、平安初期から生じた語》
１その状態になってからあまり時間が経過していない。
㋐初めてである。「—・く事業を興す」
㋑できて間もない。使い始めて間もない。「空き地に—・く家が建つ」「—・いステレオ」⇔古い。
２以前のものと違っている。「顔ぶれが—・くなる」「原稿を—・く書き直す」「—・い制度」「—・い年を迎える」⇔古い。
３現代的である。進歩的である。また、奇抜である。「—・い感覚」「—・い技術」⇔古い。
４
㋐食べ物などが、新鮮である。「—・い魚」「—・く採れた野菜」⇔古い。
㋑まだ生き生きとしている。また、初めてで新鮮である。「記憶に—・い事件」「耳に—・い話」
[派生]あたらしがる［動ラ五］あたらしげ［形動］あたらしさ［名］あたらしみ［名］</t>
        </is>
      </c>
      <c r="D147" t="inlineStr">
        <is>
          <t>新しい生活；新しい技術；新しいタイプ；新しい建物；新しい仕事</t>
        </is>
      </c>
      <c r="E147" t="inlineStr">
        <is>
          <t>初；新；新た；新たな；新たに</t>
        </is>
      </c>
      <c r="F147" t="inlineStr">
        <is>
          <t>全く新しい；最も新しい；まったく新しい；まだ新しい；新しい方法</t>
        </is>
      </c>
      <c r="G147" t="inlineStr">
        <is>
          <t>新しい世界；新しい女；新しい歴史教科書をつくる会；新しい風；新しい歌</t>
        </is>
      </c>
      <c r="H147" t="n">
        <v>29</v>
      </c>
      <c r="I147" t="inlineStr">
        <is>
          <t>しかし、比較的新しい学問なのでその定義ははっきりと確定していない。；代わっていくつかの機能を備えた新しい楽器が開発されつづけている。；新しい世代の日本人はもう戦争に責任をもつ必要はないかもしれない。；あれは、あれとしてこの時代の歌の新しさであったというべきであろう。；今までのニュースとはまったく違う番組にするし、組織も新しく作る。；新しく発生した意味も、他の辞書にさきがけて収録している場合が多い。；彼は、IBMの新しいシステムは重要な商業的な成功でないと思っていた。；新しく形成された党は、人々の運動への支援を補充することができた。；まだ無数の未発見の矮小銀河が存在し、今も頻繁に新しく発見されている。；昭和に入って大本営の規定は新しく軍令をもって規定されることになった。；新しいマシンが頻繁に出てくる場合は、それを使いたくありません。；ロックもそうだし、新しく変化していった音楽や、そんなものすべてです。；そういった新しさもあって、このシリーズはうけているのかもしれない。；毎話新しい発明道具が必ず登場し、一度出た道具の再登場はほとんどない。；しかし新しく作られた幾つかの団体は半纏を着用するところもある。；現在の駅舎は2002年の移転工事で新しく建てられたものである。；当駅はすでにこの地域に開通していた中央本線上に新しく設置された駅である。；一部には新しいメンテナが自分自身が発明した用語を追加している。；また手にて肉を掴み見れば新しきものは肉と筋とが骨を離れて動くの感あり。；また、階段も新しく設置されたことから従来の階段は撤去された。；新しい研究ではトポロジカル絶縁体となるかもしれないことが示されている。；新しい仏教をもって、奈良の旧仏教に対抗させようとしたのである。；このように定められたのはきわめて新しく、1981年のようである。；その代わりに、海王星の北半球では大暗斑に似た新しい嵐が発見された。；スタイルや形態における実験が主題における新しい自由さに加わってきた。；新しい機能が追加されると、追加のテストがテストスイートに収録される。；あの映画には、いままでの日本の映画に無かった清潔な新しさがあった。；こうした家族愛の成立は、かなり新しいものであると考えられている。；関東圏に新しく電波塔を建設することの利点と問題点が議論されていた。</t>
        </is>
      </c>
      <c r="J147">
        <f>HYPERLINK("https://www.weblio.jp/content/新しい", "词义详情")</f>
        <v/>
      </c>
      <c r="K147">
        <f>HYPERLINK("https://yourei.jp/新しい", "查看例句")</f>
        <v/>
      </c>
    </row>
    <row r="148">
      <c r="A148" t="inlineStr">
        <is>
          <t>当たり</t>
        </is>
      </c>
      <c r="B148" t="inlineStr">
        <is>
          <t>成功</t>
        </is>
      </c>
      <c r="C148" t="inlineStr">
        <is>
          <t>読み方：あたり
［名］
１あたること。
㋐ぶつかること。「立ち合いの—が強い」
㋑命中すること。的中。「福引で—を出す」⇔はずれ。
㋒催しや企画などが思ったとおりになること。成功。「—の商品」⇔はずれ。
㋓野球などの打撃の調子。「四番打者に—が戻る」
２接触すること。触れること。
㋐舌や手にさわった感じ。舌ざわり。手ざわり。「—がなめらかだ」
㋑手掛かり。見当。「犯人の—がついた」
㋒人に接する態度。交際のぐあい。「—が柔らかい人」
㋓釣りで、魚がえさに食いつくこと。また、その瞬間に釣り人の受ける感触。魚信。「—はあるが、かからない」
㋔からだに害となること。中毒。多く他の語と複合して用いられる。「食—」「暑気—」
３果物の傷やいたんだ部分。「—のあるリンゴ」
４囲碁で、あと一手で相手方の石が取れる状態。
５仕返し。返報。
「謀られたる—とぞ云ひける」〈宇治拾遺・五〉
６むごい扱い。仕向け。
「茂兵衛殿への—は皆悋気(りんき)から起こった事」〈浄・大経師〉
［接尾］「一」または単位を表す語に付いて、それに対しての割り当て・割合の意を表す。「一石(こく)—の米価」「一人—千円」
[下接語]大当たり・風当たり・口当たり・小当たり・心当たり・作当たり・差し当たり・暑中(あた)り・暑気中り・食当たり・総当たり・体当たり・突き当たり・手当たり・戸当たり・毒当たり・場当たり・馬鹿当たり・罰(ばち)当たり・日当たり・冷え中り・一当たり・人当たり・不当たり・船(ふな)中り・紛(まぐ)れ当たり・水中り・八つ当たり・湯中り・行き当たり・嫁当たり</t>
        </is>
      </c>
      <c r="D148" t="inlineStr">
        <is>
          <t>当たり役(3%)；当たり戦(2%)；当たりばったり；当たります；当たり約</t>
        </is>
      </c>
      <c r="E148" t="inlineStr">
        <is>
          <t>ヒット；打撃；命中；一撃；一発</t>
        </is>
      </c>
      <c r="F148" t="inlineStr">
        <is>
          <t>突き当たり；一人当たり；両当たり；単位時間当たり；面積当たり</t>
        </is>
      </c>
      <c r="G148" t="inlineStr">
        <is>
          <t>当たり障り；当たり判定；当たりまえ；当たりや；当たり散らし</t>
        </is>
      </c>
      <c r="H148" t="n">
        <v>29</v>
      </c>
      <c r="I148" t="inlineStr">
        <is>
          <t>面積では国内最大の州であり、一人当たり収入では第6位になっている。；また面積が狭いので、単位面積当たりの代表数はいずれも第1位である。；フリントロック式との違いは当たり金と火皿蓋が独立している点である。；地元の伝承ではラボックの一人当たりの教会の数では国内最大と言われる。；また、日本の学生リーグの場合は各地方毎での総当たり戦が行われる。；原理的には、総当たり戦またはそれに近い方式でのみ発生するものである。；麻枝は推薦理由に関して「彼女が当たり役だなと思った」と話している。；また、一度当たりを出した後、欲をかいて結果的に失敗することもある。；そして俳優としての活動を始めるが、最初は当たり役がほとんどなかった。；試合数は1960年までリーグ各チーム総当たりの154試合であった。；微小部分は通常、単位体・単位面積・単位長さ当たりに相当する場合が多い。；この映画は当たり、しかも本国公開から2年も経ずに外国でもヒットした。；北軍に就いた州で、オハイオ州は人口当たりの兵士派遣数では最大だった。；新文展に改組するの当たり、審査は投票で行われるよう改められている。；日本の単位面積当たりの生産高は世界一で、生産高は世界2位である。；なお、水温が高いほど時間当たりの吸水率が低下するとの報告がある。；公共交通機関の発達していない田舎などでは特に一人当たりの所有率が一般的に高い。；この税金当たりで消費される率では最下位に近い42位になっている。；実施に当たり、日本の実績を参考にするため国鉄技師を日本で学ばせた。；他にもさまざまな量が年当たりで算出されるが、毎年は省略することが多い。；特に後者は、まるで相手が自らミルコの足に当たりに行っているように見える。；州内には単位面積当たりの科学者と技術者の数では世界一である。；また、わざと当たりに行ったことは現役生活を通じて1回も無いという。；全チームの総当たりとはせず、ホーム・アンド・アウェーの原則も設けない。；第三世界では、増加はあったが、一人当たりの増加は5倍に過ぎなかった。；環七通りから当駅方面へ進み、突き当たりとなるT字路内に設置されている。；イギリスのほかの地域と比べて、ウェールズの人口当たりの経済的な成果は低い。；ノース・ダコタ州は人口一人当たりの教会の数では全米50州の中で最大である。；また鉄製の農具によって面積当たりの米の生産高も飛躍的に向上した。</t>
        </is>
      </c>
      <c r="J148">
        <f>HYPERLINK("https://www.weblio.jp/content/当たり", "词义详情")</f>
        <v/>
      </c>
      <c r="K148">
        <f>HYPERLINK("https://yourei.jp/当たり", "查看例句")</f>
        <v/>
      </c>
    </row>
    <row r="149">
      <c r="A149" t="inlineStr">
        <is>
          <t>辺り</t>
        </is>
      </c>
      <c r="B149" t="inlineStr">
        <is>
          <t>成功</t>
        </is>
      </c>
      <c r="C149" t="inlineStr">
        <is>
          <t>読み方：あたり
１ある地点の周囲。ある範囲の場所。付近。周り。「—に気を配る」「この—は静かな住宅地だ」「—かまわず泣きだす」「—一面が火の海だ」
２場所・時・人・事柄・数量などをはっきり示さずに、婉曲に言い表す語。多く、名詞の下に付いて接尾語的に用いる。
㋐そのへん。一帯。近所。「六本木—で遊ぶ」
㋑そのころ。その時分。「あした—行ってみよう」
㋒たとえば…など。「部長にかみつく—、けっこう気が強い」「山田君—に代わってもらおう」
㋓その程度。「県代表—までなれるだろう」「千円—の品物」</t>
        </is>
      </c>
      <c r="D149" t="inlineStr">
        <is>
          <t>辺り一帯；辺り一体；辺り構わ；辺りかまわ；辺りいちめん</t>
        </is>
      </c>
      <c r="E149" t="inlineStr">
        <is>
          <t>側；近く；あたり；周囲；周辺</t>
        </is>
      </c>
      <c r="F149" t="inlineStr">
        <is>
          <t>真ん中辺り；中間辺り；ここら辺り；中央辺り；交差する辺り</t>
        </is>
      </c>
      <c r="H149" t="n">
        <v>29</v>
      </c>
      <c r="I149" t="inlineStr">
        <is>
          <t>これは、マントルの上昇流がこの辺りに存在していることを示している。；羽や背など体の上部は緑色で、腹は灰色、尾羽の下の辺りは黄色である。；さらに、内陸の地域にあっても辺り一帯で洪水被害が出るおそれがある。；しかし仲間を平気で道具にしたりする辺りは普段の2人を彷彿とさせる。；赤い目と腰辺りまで伸びた赤い髪が特徴で、赤いマントを羽織っている。；中世にはこの辺りから国分氏が興って今の仙台市域の大部分を支配した。；もと大坂城の辺りに鎮座していた生國魂神社の東側に森が広がっていた。；この地図は北が上ではなく、西辺りが上になっていることには注意。；この辺り一帯が沼地で、全国の白鳥伝説との関連が取り上げられている。；この辺りの大気はおそらく、いくらかの硫酸を含む濃い雲の領域だろう。；恒星進化論では、老年期の星から星の死に近い辺りだろうと推測される。；この辺りからメンバー間の軋轢が表面化し、解散の噂も立ち起こった。；戦前にこの辺りに存在していた為栗と呼ばれる集落に由来している。；満潮時に首から肩の辺りまで水に漬かる高さに逆さに磔を行ったという。；その辺りの温泉に入ると心が洗われて、次の仕事への活力になるとのこと。；ラマノンを過ぎた辺りで西へ流れ続けるものと南へ流れるものに分岐する。；当時のフロリダは南に伸びて現在のゲインズビルの辺りまでであった。；辺りを散策していた主人公は悲鳴を聞き、池で溺れている女性を発見する。；かつて、辺り一面に葭が生え茂っていたことからこの名が付けられた。；線路とホームは駅の東側で南向きにカーブしていて、その辺りには屋根はない。；駅裏は上の貨物が停車している辺りに若干のストックヤードがあった。；次第に辺りは東大阪市の古くからの住宅や工場が多くなってくる。；重力の及ぶ範囲は、部屋の中程度から野比家の近所辺りまで調節できる。；しかし、見張りの兵が辺りを厳しく監視しているため通ることができない。；「この辺りで花づくりをしているひとがいたので」ついた名称とされている。；太陽の位置においた場合、表面が水星の軌道の半分辺りまで達する。；いかに地元での対局を戦うかということで、その辺りから集中できた。；脂肪酸モル辺りのATP合成量が糖などより多いことが良く理解できる。；当時はこの辺りに国鉄妻線が敷かれていたため、利便性に優れていた。</t>
        </is>
      </c>
      <c r="J149">
        <f>HYPERLINK("https://www.weblio.jp/content/辺り", "词义详情")</f>
        <v/>
      </c>
      <c r="K149">
        <f>HYPERLINK("https://yourei.jp/辺り", "查看例句")</f>
        <v/>
      </c>
    </row>
    <row r="150">
      <c r="A150" t="inlineStr">
        <is>
          <t>当たり前</t>
        </is>
      </c>
      <c r="B150" t="inlineStr">
        <is>
          <t>成功</t>
        </is>
      </c>
      <c r="C150" t="inlineStr">
        <is>
          <t>読み方：あたりまえ
［名・形動］《「当然(とうぜん)」の当て字「当前」を訓読みにして生まれた語》
１そうあるべきこと。そうすべきこと。また、そのさま。「怒って—だ」
２普通のこと。ありふれていること。また、そのさま。並み。ありきたり。「ごく—の人間」「—の出来」</t>
        </is>
      </c>
      <c r="D150" t="inlineStr">
        <is>
          <t>当たり前じゃない；当たり前みたい；当たり前すぎる</t>
        </is>
      </c>
      <c r="E150" t="inlineStr">
        <is>
          <t>自然；一般的；平凡；尋常；当り前</t>
        </is>
      </c>
      <c r="F150" t="inlineStr">
        <is>
          <t>みれば当たり前；当たり前すぎ；いえば当たり前；あまりにも当たり前；言えば当たり前</t>
        </is>
      </c>
      <c r="H150" t="n">
        <v>29</v>
      </c>
      <c r="I150" t="inlineStr">
        <is>
          <t>今まで当たり前のように手に入ったものも、ほとんど存在しないだろう。；料理の種類に合わせて異なる味のたれを用意するのが当たり前となっている。；トイレに行くことだって、決して当たり前のことではないような気がした。；当たり前のことながら、このためにかなりの時間をかけたように思う。；しかし意外なことに、田中は当たり前だと言わんばかりにうなずいた。；映画のカメラが見つめているんだから、それも当たり前とは思っていたがね。；日本人にとっては当たり前で不思議に思わないが、そういう文化がある。；それほど何げのない、なだらかな、当たり前の形をしているからである。；一人の選手が複数の役割を担うことが当たり前となってきています。；日本映画がもうアメリカと手を結ぶのは当たり前でなくてはならない時代だ。；その後、南京錠の製造には工作機械を使うのが当たり前となっていった。；最初に三上を見たとき、どこかで会った気がしたのも当たり前だ。；当たり前のことを指摘されるせいか、彼女の言葉にはどうも反論できない。；むやみに他人様の邸の桜の枝を折ったりすれば、叱られるのが当たり前。；他の大学の人たちも当たり前のようにホルモーのことを話していた。；まあ、これは国境地域に暮らす人間にとっては当たり前のことですがね。；だけどここに立っていることが、不思議と当たり前のように思えた。；昔は軍隊のようなスパルタ指導が当たり前みたいな雰囲気がありましたよね。；それに、彼女のピアノがお上手なのは当たり前のことではないかしら。；またハワイの別荘でも仲間も当たり前のように大麻を吸っていたという。；それだから当たり前の人のようなふうをしてはならないのだ。；どこにでもはいりこめるし、だれも当たり前のこととして気にもしない。；逆に空港を保有する主体は航空運送をしないことが当たり前である。；円くんが、鍵のかかった部屋の中に当たり前みたいに入ってきたんだもの。；この問題において問われていることは、あまりにも当たり前のことである。；その当たり前の変化が少ない僕は、どうしたって里に長く居る事が出来ない。；リンはグラスを手に取って、当たり前のような顔でハントに差し出した。；別の名前を名乗っていたのなら、本人かどうかまず確認するのが当たり前だと思う。；一面ありそうもない話だったが、他面、ごく当たり前な話でもあった。</t>
        </is>
      </c>
      <c r="J150">
        <f>HYPERLINK("https://www.weblio.jp/content/当たり前", "词义详情")</f>
        <v/>
      </c>
      <c r="K150">
        <f>HYPERLINK("https://yourei.jp/当たり前", "查看例句")</f>
        <v/>
      </c>
    </row>
    <row r="151">
      <c r="A151" t="inlineStr">
        <is>
          <t>当たる</t>
        </is>
      </c>
      <c r="B151" t="inlineStr">
        <is>
          <t>成功</t>
        </is>
      </c>
      <c r="C151" t="inlineStr">
        <is>
          <t>読み方：あたる
［動ラ五（四）］
１物事や人が直面、接触する。
㋐動いて来たものがぶつかる。また、動きのあるものが触れる。「ボールが顔に—・る」「雨がフロントガラスに—・る」
㋑断続的に触れる。さわる。「堅いカラーが首筋に—・る」
㋒光・熱・風などを受ける。「日がよく—・る部屋」「ストーブに—・る」「冷たい風に—・る」
㋓人に接する。人を待遇する。現在では、ひどく扱う場合に用いる。「つらく—・る」「家族に—・る」
㋔対抗する。対応する。「強敵に—・る」「勢い—・るべからずだ」
２物事がその状態である。相当する。
㋐そのような関係にある。「伯父に—・る人」
㋑その方角にある。「東の方角に—・る家」
㋒他と比べて、それに当てはまる。「人の手に—・る部分」
㋓結果としてそういうことになる。「今日は結婚記念日に—・る」「失礼に—・る」
３物事がふさわしい状態になる。ねらいや希望などに当てはまる。
㋐ねらいや予想のとおりになる。的中する。「天気予報が—・る」「山が—・る」
㋑催しや企画などが成功する。「商売が—・る」
㋒くじなどで選ばれる。当籤(とうせん)する。「賞品としてテレビが—・る」
㋓適合する。合っている。「彼の批評は—・っている」
４物事に探りを入れる。ようすを見る。確かめてみる。「原本に—・る」「他の店を—・ってみよう」
５受けとめる。担当する。
㋐身に引き受ける。従事する。「あえて難局に—・る」
㋑割り当てられる。指名される。「当番に—・る」
６身体などにぐあいの悪い触れ方をする。
㋐よくないことが身に及ぶ。「罰が—・る」
㋑からだに害を受ける。「暑さに—・る」「河豚(ふぐ)に—・る」
㋒果物などが傷む。「この桃はところどころ—・っている」
７（「…にあたらない」などの形で）…するに及ばない。「驚くに—・らない」「腹をたてるには—・りません」
８（多く「…にあたり」「…にあたって」の形で）何かを行う時・場合になる。「新年を迎えるに—・り」「友達を選ぶに—・っては」
９野球で、打者がよくヒットを打つ。「あのバッターはよく—・っている」
10釣りで、釣り針のえさに魚が食いついた感触がある。「四投目のキャスティングで—・る」
11サッカーなどで、ゴールキーパーが敵のシュートをよく防ぐ。「今日の相手チームのキーパーは—・っている」
12《「する」が失う意に通じるところから、それを忌み嫌っていう》ひげなどを、する。そる。「顔を—・る」
[可能]あたれる
[下接句]犬も歩けば棒に当たる・肯綮(こうけい)に中(あた)る・事に当たる・図に当たる・時に当たる・下手な鉄砲も数打てば当たる・耳に当たる・胸に当たる</t>
        </is>
      </c>
      <c r="D151" t="inlineStr">
        <is>
          <t>当たるべき；当たる所；当たるまい；当たる確率；当たる罪</t>
        </is>
      </c>
      <c r="E151" t="inlineStr">
        <is>
          <t>向かう；対戦；対抗；向う；接触</t>
        </is>
      </c>
      <c r="F151" t="inlineStr">
        <is>
          <t>よく当たる；ぶち当たる；辛く当たる；直接当たる；必ず当たる</t>
        </is>
      </c>
      <c r="H151" t="n">
        <v>29</v>
      </c>
      <c r="I151" t="inlineStr">
        <is>
          <t>また環境省でも同様のパンフレットを用意するなど対策に当たっている。；またトールキンは現代は太陽の第六紀か第七紀に当たるとも述べている。；早い時期に留学を終えて日本に帰国した卒業者は日本で運動の指導に当たった。；ま、どちらにしろ、われわれは週に一日だけ警備に当たればよいのです。；橋名は岩に水が当たって飛散する様が滝のように見えることに由来している。；霧に十分に光が当たっているときは霧粒をはっきりと確認することができる。；人が激しい運命に直面した時は身をもってそれに当たらねばならない。；人や動物に当てた場合、当たった人は未来へ来たことに気づかない。；当たらずといえども遠からずというところまで持ってきたのは頭がいい。；なお、伊能忠敬の地図は横浜島に当たるところは本土とつながっている。；例えば、人を狙って石を投げたがたまたま当たらなかった場合である。；受け側が土俵中央付近で構え相手はそこに向かって当たって突進する。；これを実行してからルールに従った攻撃が当たれば大ダメージとなる。；これを地面に突き立て、火縄の端を地面に当たらぬようにかけておいた。；でも、もしわたしの計画が図に当たれば、危険を冒す価値はありますよ。；それより北側は1887年に西成郡川崎村から編入された地域に当たる。；港長のもとでこれらの任務に当たるのは沿岸警備隊であることが多い。；もちろん、当たったと見なされている予言もなくはないが、数は少ない。；そのような場で、図に当たるように行動することは難しいことだ。；題名は当初は考えておらず、掲載するに当たって急遽思いついたという。；日の当たらない入江であり、多数の鉱山を中心に文明を感じさせる地域。；それに当たれば、まちがいなく、彼らはそれを放ってはおかないからね。；そのインコは、例の僧が肩に乗せていたインコの弟に当たる鳥だった。；待ちは、待っている牌が面子のどの部分に当たるかによって分類される。；例えば、呼気で作った空気の輪を通って遊ぶイルカなどがこれに当たる。；また、畑栽培は落葉樹下の夏は日陰で、冬は日が当たる場所が選ばれる。；地方場所には帯同せず、東京場所の時だけ後進の指導に当たることになる。；本作における進化とは生物のそれと同一ではなく成長や強化に当たるものである。；また11人の子を分封して王とし各地の守備・統治に当たらせている。</t>
        </is>
      </c>
      <c r="J151">
        <f>HYPERLINK("https://www.weblio.jp/content/当たる", "词义详情")</f>
        <v/>
      </c>
      <c r="K151">
        <f>HYPERLINK("https://yourei.jp/当たる", "查看例句")</f>
        <v/>
      </c>
    </row>
    <row r="152">
      <c r="A152" t="inlineStr">
        <is>
          <t>あちこち</t>
        </is>
      </c>
      <c r="B152" t="inlineStr">
        <is>
          <t>成功</t>
        </is>
      </c>
      <c r="C152" t="inlineStr">
        <is>
          <t>読み方：あちこち
［代］指示代名詞。いろいろの場所や方向をさす。あちらこちら。あっちこっち。「—から寄付が集まる」「—歩き回る」
［形動］［文］［ナリ］物事の順序や位置が逆になっているさま。あべこべ。「話が—になる」「靴下を—にはく」</t>
        </is>
      </c>
      <c r="D152" t="inlineStr">
        <is>
          <t>あちこち歩き；あちこち歩い；あちこち探し；あちこち走り；あちこち破れ</t>
        </is>
      </c>
      <c r="E152" t="inlineStr">
        <is>
          <t>どこでも；所々；あちらこちら；あっちこっち；べったり</t>
        </is>
      </c>
      <c r="F152" t="inlineStr">
        <is>
          <t>あちこち動かし；あちこち眺め；あちこち調べ；あちこち駆け；あちこち穴</t>
        </is>
      </c>
      <c r="H152" t="n">
        <v>29</v>
      </c>
      <c r="I152" t="inlineStr">
        <is>
          <t>ついでに今まで遠慮していたあちこちの集会へも顔を出して見たかった。；かつては南日本のあちこちで栽培されたが、現在は見ることはまずない。；やがてあちこちの病院からは、患者が回復しつつあるとの知らせが届く。；これはメッセージをあちこちに素早く伝達するために重要な役割をする。；こういう男性はあちこちで同じ行為をするので、結婚に向かないタイプ。；中に入ると椅子やベッド、床の上と、室内のあちこちに遺体があった。；体のあちこちにつけたキノコ爆弾で記憶を失わせたり痺れさせたりする。；そういえば、カバーでつつまれたみょうなものが甲板のあちこちにある。；道を歩きながらあちこち眺め、虫のいそうなところを見て回る方法である。；するとあちこちから懐中電灯の光が集まってきて、彼を追いかけ始めた。；ファニーのエープロンの中には小屋のあちこちから集めた鶏卵があった。；アフリカ時代の経験や医者時代の苦労した経験が作品のあちこちに反映されている。；色々な学部があり、牙のような塔があちこちにありそこで活動している。；この間、城攻めや野戦に多く参加したため、体のあちこちに傷を負った。；それからまもなく、あちこちの町にも出没するようになったのである。；そして翌日からはパリのあちこちでモデル撮影が開始された。；僕は今まであちこちの父の家が焼けて無くなっていたと書いて来た。；このロボットがあちこちを飛び回り、変わった物を発見して報告する。；あちこちの工場で人員整理が行われ、年末には多くの失業者が発生した。；しかしこのような急速な出世はあちこちに敵を作る結果となった。；田中君は田中君の記事によつてあちこちの人に儲けさせた人である。；あちこちで勝利は得られてゐても、その勝利はやはり全く敗北の性質を持つてゐた。；あちこちで衝突が起こり、引きこもりになっていることも少なくない。；校内のあちこちで歌う木村であったが他の生徒からは相手にされない。；あちこちに爪を伸ばし食い込んでゆく様子をこの言葉で表現した。；そのための餌を販売することもあちこちで見られ、観光に一役買っている。；連と呼ばれる数人から数十人のグループでの独自の活動もあちこちで行われている。；あちこちに電話線が敷設されていたので電話線には触れないよう指示した。；あちこちに積み上げられた土の山は運のない山師たちのむなしい仕業だ。</t>
        </is>
      </c>
      <c r="J152">
        <f>HYPERLINK("https://www.weblio.jp/content/あちこち", "词义详情")</f>
        <v/>
      </c>
      <c r="K152">
        <f>HYPERLINK("https://yourei.jp/あちこち", "查看例句")</f>
        <v/>
      </c>
    </row>
    <row r="153">
      <c r="A153" t="inlineStr">
        <is>
          <t>あちら</t>
        </is>
      </c>
      <c r="B153" t="inlineStr">
        <is>
          <t>成功</t>
        </is>
      </c>
      <c r="C153" t="inlineStr">
        <is>
          <t>読み方：あちら
［代］
１遠称の指示代名詞。話し手・聞き手から離れた方向・場所・物をさす。
㋐あの方向。むこう。「皆さま、—をごらんください」「—からだれか来る」
㋑遠く離れた場所。外国、特に、欧米諸国。「—には五年ほどおりました」「—仕込みの流暢(りゅうちょう)な英語」
㋒あの物。あれ。「それとも—になさいますか」
２三人称の人代名詞。あの人。あのかた。「—の御都合を伺ってから決めます」「—がお父さまですか」</t>
        </is>
      </c>
      <c r="D153" t="inlineStr">
        <is>
          <t>あちらこちら(34%)；あちら側(3%)；あちらさん；あちら向き；あちらさま</t>
        </is>
      </c>
      <c r="E153" t="inlineStr">
        <is>
          <t>相手；あそこ；彼方；あっち；向こう側</t>
        </is>
      </c>
      <c r="H153" t="n">
        <v>29</v>
      </c>
      <c r="I153" t="inlineStr">
        <is>
          <t>この頃どこかあちらの方へ勤めてゐるさうですから、確かに見たんでせう。；あちらにも一つ、ずっと遠くの方にも、豆粒のようなのが見えています。；あちらのお城まで登っていきなさい、そうしたらあとでわたしも行きます。；いまあちらの野原で、その宴会が開かれているのでないかと思いました。；借金取りの顔が見えないように、あちら向きに寝ると少しは気が楽だよ。；どうかして、はやく、川をあちらへ渡って越したいものだと思いました。；清さんが、まだ若いときのこと、あちらの山を越したことがありました。；その絵の女の人の顔は、あちらを向いているので半分しか描いてありません。；日が波のあちらへおちてゆくと海の面は火のように真赤になりました。；歩き続けながら彼はいろいろの種類の果実をあちらこちらで摘み取った。；このとき、あちらから、黒いものが、こちらに向かって歩いてきました。；多くの芸術作品を街のあちらこちらにある博物館で見ることができる。；そうしようとも思わないのに、靴の爪先があちらこちらと動いてあるく。；そして、わざわざ入り口のところまで出て、あちらを見たのであります。；よしよし、わかったら、きみの部屋が、あちらにちゃんと用意してある。；やっと、あちらへ着くだけの金しかなかったのを懐に入れて出かけました。；そして、どこともなくあちらの方から、鈍い波の音がきこえてきました。；むしろ、間違っているのはあちらで、笑われるべきは皆の方ではないか。；私は此頃歴史上のシインを捜すためによくあちらこちらへと旅行した。；いま、あちらの町の上を飛んできますと、にぎやかな行列がゆきました。；アクションはあちらこちらでごずつきがちだが、観客は喜んでいるようだ。；私共もあちらこちらに知って居る人があるので随分金を取られました。；こちらが小言を云う時もありあちらから意見されることもあります。；かうしてるところへ、あちらの方で御免下さいといふ女の人の声がする。；あちらの部屋にいれば、この鏡は、大きなガラス窓と、おんなじなんだ。；あちらの方から、馬を打たせて来るものがあることは疑うべくもありません。；あちらでは頻発する新聞号外の報道に驚かされて、大変な騒ぎだという。；町を離れ、野を越えて、その音は、あちらから聞こえてきたのでした。；ただせみが、あちらの森の方で鳴いているのが聞こえてきたばかりでした。</t>
        </is>
      </c>
      <c r="J153">
        <f>HYPERLINK("https://www.weblio.jp/content/あちら", "词义详情")</f>
        <v/>
      </c>
      <c r="K153">
        <f>HYPERLINK("https://yourei.jp/あちら", "查看例句")</f>
        <v/>
      </c>
    </row>
    <row r="154">
      <c r="A154" t="inlineStr">
        <is>
          <t>あちらこちら</t>
        </is>
      </c>
      <c r="B154" t="inlineStr">
        <is>
          <t>成功</t>
        </is>
      </c>
      <c r="C154" t="inlineStr">
        <is>
          <t>読み方：あちらこちら
［代］「あちこち」に同じ。「—の名所を訪ね歩く」
［形動ナリ］「あちこち」に同じ。
「—なる事を申してさまざまに難儀させ」〈浮・織留・六〉</t>
        </is>
      </c>
      <c r="D154" t="inlineStr">
        <is>
          <t>あちらこちら歩き；あちらこちら探し；あちらこちら手さぐり；あちらこちら見廻し</t>
        </is>
      </c>
      <c r="E154" t="inlineStr">
        <is>
          <t>あちこち；どこでも；所々；四方八方；あっちこっち</t>
        </is>
      </c>
      <c r="H154" t="n">
        <v>29</v>
      </c>
      <c r="I154" t="inlineStr">
        <is>
          <t>ですが、そのために地獄の設備はあちらこちらに用意されていたのです。；しかし奇妙なことに、あちらこちらの家に見馴れない白い布が出ていた。；歩き続けながら彼はいろいろの種類の果実をあちらこちらで摘み取った。；彼らはボールをあちらこちらへ投げ合って、笑いを何べんも爆発させていた。；多くの芸術作品を街のあちらこちらにある博物館で見ることができる。；私の指からは少し血が流れ、皮膚があちらこちら火膨れになっていた。；話はまだ最後まで済んでいないと言うのにあちらこちらから物が飛んでくる。；誰かが車を奪おうとすると、車のあちらこちらから弾丸が飛び出します。；街の方を振り返れば、まだ街のあちらこちらから煙がたちのぼっている。；私は此頃歴史上のシインを捜すためによくあちらこちらへと旅行した。；さらにまた、あちらこちらにやはり社の形をした大きな自然の岩石もある。；私はその子を乗せて、あちらこちらをよく歩きまわったものでした。；アクションはあちらこちらでごずつきがちだが、観客は喜んでいるようだ。；私共もあちらこちらに知って居る人があるので随分金を取られました。；二人が見たものは、床のあちらこちらで死んでいる五羽のウサギの姿だった。；鬱蒼とした初夏の森のあちらこちらで、いろいろな鳥たちが囀っていた。；坂は急でこそないが、径のあちらこちらに岩や樹の根が露出している。；女のからだのあちらこちらに、細かい文字でいろんな言葉が書いてあった。；切迫した悲鳴のような音が、あちらこちらから大気を渡って響いてくる。；ぼくは彼女が降りてゆく前に、もう一度あちらこちらから彼女の姿をながめた。；あちらこちらに草の生えた床の上に、月が青い影を落としている。；田沢は、目のやり場に困ったように、あちらこちらと視線を移している。；戦場で見つからなくて、今こうしてあちらこちらを捜しているところさ。；われわれは部屋のあちらこちらへ怒濤のように動きまわって戦った。；彼は彼らの名をやさしく繰り返しながら、あちらこちら歩きまわっていた。；父が一晩じゅう彼の部屋のなかを、あちらこちら歩いている音がきこえた。；その間僕は、あちらこちらから、あなたに手紙を出そうと思つています。；あちらこちらと流れてゆくうちに、蜀の国で、その女に出会ったのだ。；廊下はやはり短い距離で折れ曲がり、あちらこちらで枝分かれしていた。</t>
        </is>
      </c>
      <c r="J154">
        <f>HYPERLINK("https://www.weblio.jp/content/あちらこちら", "词义详情")</f>
        <v/>
      </c>
      <c r="K154">
        <f>HYPERLINK("https://yourei.jp/あちらこちら", "查看例句")</f>
        <v/>
      </c>
    </row>
    <row r="155">
      <c r="A155" t="inlineStr">
        <is>
          <t>厚い</t>
        </is>
      </c>
      <c r="B155" t="inlineStr">
        <is>
          <t>成功</t>
        </is>
      </c>
      <c r="C155" t="inlineStr">
        <is>
          <t>読み方：あつい
［形］［文］あつ・し［ク］
１（厚い）物の両方の面の隔たりが大きい。厚みがある。「—・い板」「—・い雲におおわれる」「野球ファンの層が—・い」⇔薄い。
２心入れの程度が大きい。いたわりの心が強い。「—・いもてなし」「情に—・い」「信仰に—・い」
３（篤い）病気が重い。容体が悪い。「師の病の—・いことを知った」
４（厚い）囲碁で、石の配置が堅固で容易に攻略されないさま。⇔薄い。
５富んでいる。金持ちだ。
「至って—・き御身上の御方はいかが侍らん」〈仮・東海道名所記・六〉
６厚かましい。
「鼻もうごかさず、さりとは—・い口上」〈浮・曲三味線・一〉
[派生]あつさ［名］あつみ［名］</t>
        </is>
      </c>
      <c r="D155" t="inlineStr">
        <is>
          <t>厚い雲(5%)；厚い壁(4%)；厚い唇(3%)；厚いカーテン；厚い信頼</t>
        </is>
      </c>
      <c r="E155" t="inlineStr">
        <is>
          <t>深い；太い；濃い；親切；優しい</t>
        </is>
      </c>
      <c r="F155" t="inlineStr">
        <is>
          <t>厚い装甲；厚い皮；厚い扉；厚い肉；厚い絨毯</t>
        </is>
      </c>
      <c r="H155" t="n">
        <v>29</v>
      </c>
      <c r="I155" t="inlineStr">
        <is>
          <t>プー・パンと呼ばれる山が県の西部にあり、山は厚い森に覆われている。；中世以降は、この地の領主をしていた真上氏の崇敬が厚かったとされる。；これは厚い大気の層に阻まれた地球上の岩石には見られないものである。；何よりも民衆の事を優先的に考えるため、彼らからの人望は非常に厚い。；すると厚かったはずの霧が一斉に消えてなくなってしまったのである。；壁は厚さわずか50cmで、毒ガスからの保護は考慮されていなかった。；地元での人望が厚く、かつプロでの実績がある点を評価されたという。；江戸時代には、優れた僧を出し、歴代の将軍から厚い保護を受け発展した。；そのためには葉を厚く、クチクラ層を強くするなどの適応が必要になる。；茎の先端付近の葉は厚くなっていることがあり、ここに無性芽を生じる。；玄武岩溶岩の厚さがほぼ一定しているために山地全体が西に傾いている。；親戚筋にあたるため大石からの信頼が厚く行動を共にすることが多かった。；他の大掾氏系一族と同様に鹿島神宮への崇敬が厚く、その保護に努めた。；曾子ほどの賢明さと、母の厚い信頼があっても、信じられなくなります。；ただし当然の事ながらエンジンを内蔵した主翼はより厚くする必要がある。；また、一般の種では種子と同じくらいの厚さで覆土するのが基本とされる。；その代わりそれまでの作品よりパッケージの厚さや定価が変更された。；抵抗率に厚さを含めて考えると、抵抗は、次の式で表すことが可能である。；マトリックスに入り共に戦う戦士たちや、他の船長からの信頼は厚い。；そんな彼らのボーダレスな活動は、特に若年層から厚い支持を得ている。；海軍内では多少浮いた存在ではあったが、情に厚く部下思いであった。；そこで丁原の信頼厚い呂布を誘って、これを殺害させることに成功した。；その成果に満足した昭襄王は、范雎を信任することが非常に厚くなった。；葉質はやや厚く、表面はつやのない緑、若葉の裏面には毛が生えている。；よく発達した胴、胸幅は厚く広い、いかり肩で腰から下は比較的小さい。；肩の当たる部分には顔をぶつけないよう厚いクッションが付いている。；靴でも足の形に合わせて土踏まずをくぼませ、かかとに厚い素材を使う。；しかし層の厚い西武外野陣ではなかなかレギュラーには定着できなかった。；また、キャビンの空間を広げるためにフレームの厚さを減少させている。</t>
        </is>
      </c>
      <c r="J155">
        <f>HYPERLINK("https://www.weblio.jp/content/厚い", "词义详情")</f>
        <v/>
      </c>
      <c r="K155">
        <f>HYPERLINK("https://yourei.jp/厚い", "查看例句")</f>
        <v/>
      </c>
    </row>
    <row r="156">
      <c r="A156" t="inlineStr">
        <is>
          <t>熱い</t>
        </is>
      </c>
      <c r="B156" t="inlineStr">
        <is>
          <t>成功</t>
        </is>
      </c>
      <c r="C156" t="inlineStr">
        <is>
          <t>読み方：あつい
［形］［文］あつ・し［ク］
１温度が著しく高く感じられる。「—・いお茶」「からだ中が—・くなる」⇔冷たい。
２感情が高まった状態である。
㋐恋する相手に夢中になるさま。また、深く愛し合うさま。「憧れの人に—・い眼差しをそそぐ」「お—・い仲」
㋑感情が激しく燃え上がるさま。「—・くなって論じ合う」「—・いものがこみあげる」「目頭が—・くなる」
㋒熱心である。熱意がある。「届け、—・い声援」「仕事への—・い思い」
㋓程度がはなはだしい。「水面下で—・い争いを展開する」
㋔好調である。また、人々が関心を寄せる。「ご当地メニューが—・い」「IT業界が—・い」
３（「身があつい」の形で）せっぱ詰まって困るさま。
「必ず用心さっしゃれ、身が—・ければどのような事せうも知れぬ」〈浄・生玉心中〉
[派生]あつがる［動ラ五］あつげ［形動］あつさ［名］</t>
        </is>
      </c>
      <c r="D156" t="inlineStr">
        <is>
          <t>熱いもの(8%)；熱い湯(3%)；熱い息(3%)；熱いコーヒー(2%)；熱い茶(2%)</t>
        </is>
      </c>
      <c r="E156" t="inlineStr">
        <is>
          <t>熱心；冷たい；活発；寒い；燃える</t>
        </is>
      </c>
      <c r="F156" t="inlineStr">
        <is>
          <t>熱い塊；熱いお湯；熱い風呂；熱い液体；熱い砂</t>
        </is>
      </c>
      <c r="G156" t="inlineStr">
        <is>
          <t>熱い思い；熱い血；熱いお茶；熱い空気；熱い想い</t>
        </is>
      </c>
      <c r="H156" t="n">
        <v>29</v>
      </c>
      <c r="I156" t="inlineStr">
        <is>
          <t>身を切る様な冷たい風が大きな階段の口から彼の熱した顔を吹きつけた。；ただし実験では熱い土器の安全な倒し方と白吹き跡の再現に謎が残った。；ジャンルを問わず、世界を変えうる勢いをもつ熱い小説が対象とされた。；彼は全身が火のように熱く、心臓が喉までとびだして来るように感じた。；水を出たばかりで汗は出なかったが、顔にあたる空気はいやに熱かった。；しかし涙は流れて出ないで、目の中が火のように熱くなったばかりだった。；俊一は、急に熱した鉛のようなものが胸につき上げてくるのを意識した。；岩が熱かったからばかりでは無い、子供のようにうれしかったのである。；咽喉を流れて行った熱いやつは腸の底の方まで浸み渡るような気がした。；そう考えると私の胸は、なんだかとても久しぶりに熱くなってきました。；あんなにもビールが飲みたかったのかと思うと眼頭が熱くなるくらいである。；彼女は極端に熱しやすい性格で、誰も彼女を制御することはできなかった。；熱した彼を、まるで氷とかえるような異様な眼光をした男たちであった。；前代の大隅に熱くなって通っていた浅草のある寺院の住職がありました。；生きる場所を喪つた人間ならむしろ僕なのだが、僕の肩の骨が熱く疼く。；眼の中が熱くなってきて、額からじりじり脂汗が流れそうな気持だった。；本作は峠を舞台とした走り屋たちの熱いストーリーがテーマとなっている。；手をのばしてみると、ボイラーの壁がさわれないくらい熱くなっていた。；僕は熱い湯に入ったり出たりして、なかば義務的に時間をやり過ごした。；水が地殻の充分深いところまで浸透すれば熱い岩と接触して加熱される。；この鳥は全身から熱い光を放ち、ついには自らの光のなかで燃えつきた。；二人の顔は触れ合わんばかりとなり、吐く息をお互いに熱く感じ合った。；茶は熱ければ熱いほどいいと思っていたが、それは番茶なんかのことだ。；あたしは検事さんが読んでいる内にハラハラと熱い口惜し涙を流したわ。；その手や足や髪や顔などが、熱した湯気の中から浮んだり沈んだりする。；その時の睾丸の熱くなつたことは火焙りにでもなるかと思ふ位だつた。；熱くなった友人の一人が、自分の全財産を賭けて勝負すると宣言する。；戦いの後、ずっと体が熱かったのは神経が焼き切れていたからだもの。；すぐ続いて次の手、次の手、たちまち熱く叫ぶ声が前方からおちて来た。</t>
        </is>
      </c>
      <c r="J156">
        <f>HYPERLINK("https://www.weblio.jp/content/熱い", "词义详情")</f>
        <v/>
      </c>
      <c r="K156">
        <f>HYPERLINK("https://yourei.jp/熱い", "查看例句")</f>
        <v/>
      </c>
    </row>
    <row r="157">
      <c r="A157" t="inlineStr">
        <is>
          <t>暑い</t>
        </is>
      </c>
      <c r="B157" t="inlineStr">
        <is>
          <t>成功</t>
        </is>
      </c>
      <c r="C157" t="inlineStr">
        <is>
          <t>読み方：あつい
［形］［文］あつ・し［ク］《「熱い」と同語源》気温が著しく高い。「今年の夏は異常に—・い」「—・い盛り」「—・い部屋」⇔寒い。
[派生]あつがる［動ラ五］あつげ［形動］あつさ［名］</t>
        </is>
      </c>
      <c r="D157" t="inlineStr">
        <is>
          <t>暑い日(14%)；暑い夏(5%)；暑い盛り(2%)；暑い時；暑い季節</t>
        </is>
      </c>
      <c r="E157" t="inlineStr">
        <is>
          <t>熱い</t>
        </is>
      </c>
      <c r="F157" t="inlineStr">
        <is>
          <t>最も暑い；非常に暑い；ひどく暑い；暑い気候；暑い国</t>
        </is>
      </c>
      <c r="H157" t="n">
        <v>29</v>
      </c>
      <c r="I157" t="inlineStr">
        <is>
          <t>この暑さに戸は閉じられたままであったが、手をかけるとすぐにあいた。；夏は二階の部屋も暑いとされているが、ここは思ったより風通しもよい。；その引金となったのは、この夏の異常な暑さだったといえぬこともない。；それからここには、暑い国にいるような、毒をもった動物がいませんよ。；寒ければ夏にすればいいのだし、暑ければ冬にすればいいのですからね。；世界が焦げつくほどの暑さなのに、その白い顔は汗ひとつかいていない。；寒いためにそうなるのか、暑いためにそうなるのかよくわからなかった。；暑さと疲れとで目のくらみかかった自分は今まで下ばかり見て歩いていた。；祭に似た季節の訪れは、がなりたてる歌にも似て容赦のない暑さだった。；翌十六日の朝は、よく晴れて雲一つなく、朝からまた暑さを予想させた。；日中は暑すぎるので、ほとんどの人がシエスタのため家に戻ってしまう。；兄さんはこの暑いのに帽子も被らずにどこかへ飛び出して行ったのです。；この暑さで窓も開かないまま、どうやってここにいればいいのだろう。；今年の夏はむやみと暑かったが、私は自宅から殆ど一歩も出ずに過した。；病院があんまり暑いものだから、とうとうこらえきれないで出てきたの。；昼間はだんだん暑くなり、夜も何とか我慢できるほどの暖かさになった。；暑い所へ入って鼻の頭へ汗の玉を並べて我慢をして動かずにいる事があります。；かなり暑い日で近辺の森からは蝉の声が降るように聞こえていたと思う。；秋の真昼の日かげはまだ暑いが、少年もその父も帽子をかぶっていない。；それでも夏の暑さを感じる外とはまったく違った雰囲気を醸しだしていた。；海に入ることが多いため、それぞれの地域において暑い季節に行われる。；あれだけ暑ければ、それに対応した戦略がとられているはずだからね。；この部屋の中では、こうしていないと、暑すぎてたまらなかったのです。；時々暑い日があって、また、時々涼しすぎる夜があるような時であった。；鼻のなかが乾いた感じがしてきて、日中は暑くなるだろうと思われた。；この暑さでは、船室にいては耐えられないから甲板に出ているのだろうか。；小さなガス・ストーブのスイッチを入れると部屋の中はすぐに暑くなった。；暑いときにそれらが泥から這い出すのを見なかった人がいるだろうか?；たゞこの辺から暗いことも段々暗くなり、その上に暑くなつて来ました。</t>
        </is>
      </c>
      <c r="J157">
        <f>HYPERLINK("https://www.weblio.jp/content/暑い", "词义详情")</f>
        <v/>
      </c>
      <c r="K157">
        <f>HYPERLINK("https://yourei.jp/暑い", "查看例句")</f>
        <v/>
      </c>
    </row>
    <row r="158">
      <c r="A158" t="inlineStr">
        <is>
          <t>悪化</t>
        </is>
      </c>
      <c r="B158" t="inlineStr">
        <is>
          <t>成功</t>
        </is>
      </c>
      <c r="C158" t="inlineStr">
        <is>
          <t>読み方：あくか
［名］(スル)⇒あっか（悪化）</t>
        </is>
      </c>
      <c r="D158" t="inlineStr">
        <is>
          <t>悪化する(10%)；悪化させる(4%)；悪化傾向；悪化防止；悪化要因</t>
        </is>
      </c>
      <c r="E158" t="inlineStr">
        <is>
          <t>低下；腐敗；衰弱；再発；劣化</t>
        </is>
      </c>
      <c r="F158" t="inlineStr">
        <is>
          <t>財政悪化；環境悪化；水質悪化；戦況悪化；著しく悪化</t>
        </is>
      </c>
      <c r="H158" t="n">
        <v>29</v>
      </c>
      <c r="I158" t="inlineStr">
        <is>
          <t>依存症の成立・悪化の要因としては次の三つの段階に応じて分類される。；帝国と教会の関係も悪化し、このことが彼の教会運営をさらに困難にした。；しかし、多くの国民は民政化後かえって汚職や経済が悪化したと感じた。；また、医者が死の直前に行った瀉血が症状を悪化させたとも言われる。；再び病気が悪化したという理由もあるが、政治家を目指したからでもある。；この頃、戦局の悪化は日本国内にも大きな被害を与えるようになっていた。；晩年になるとじっとしていられない習慣が悪化、急速に老けていった。；ウミガメは捕獲や生息環境の悪化などのために生息数が減少している。；さらに、以前より患っていた内障眼が悪化し視力もほとんど失っていた。；早期にこれらの適切な一般療法を施し、悪化させないことが重要である。；治療中に一時的に病状が悪化し、その後に完全に回復するような状態を指す。；後に曹操は自分の頭痛が悪化したとき華佗を殺したことを後悔している。；絶滅の危機に瀕している野生生物の状況は短期間で悪化することもある。；さらにソ連の経済問題の悪化がフルシチョフに対する圧力を増加させた。；さらに、平和の条約を結んでいたワンパノアグ族との関係も悪化していった。；軍事的努力が東方へ集中している間にイタリアの情勢は悪化していた。；その他の戦線に戦局悪化の口封じに駆り出された兵士も少なくなかった。；さらに進行すると呼吸器症状が現れ、全身状態が悪化して死に至ることもある。；これらに代表されるような仏教政策は財政の悪化をもたらした。；このことは最終氷期の既に厳しく寒くなっている状態の悪化をもたらした。；妻との悶着が続いたことで、ノイローゼは悪化の一途を辿ることになる。；花粉症の季節に悪化する場合は口腔アレルギー症候群の可能性がある。；これをきっかけに義材と富子との関係は悪化してゆくことになる。；糖尿病悪化の影響もあり、1990年になって心臓の状態は再び悪化。；日本軍は戦闘拡大を望まず、事態悪化を防ぐためにできる限り全てのことをした。；対馬侵攻が実施されたのは、ちょうど幕府と明との関係が悪化していた時期であった。；さらに、弟は病気になり、家族間の関係が悪化し喧嘩が絶えない状態となった。；相手の意図が分らないと、最悪の事態を想定して、関係が悪化することがある。；年々悪化してきており、バイトしながら続ける者や自主制作する者もいる。</t>
        </is>
      </c>
      <c r="J158">
        <f>HYPERLINK("https://www.weblio.jp/content/悪化", "词义详情")</f>
        <v/>
      </c>
      <c r="K158">
        <f>HYPERLINK("https://yourei.jp/悪化", "查看例句")</f>
        <v/>
      </c>
    </row>
    <row r="159">
      <c r="A159" t="inlineStr">
        <is>
          <t>扱い</t>
        </is>
      </c>
      <c r="B159" t="inlineStr">
        <is>
          <t>成功</t>
        </is>
      </c>
      <c r="C159" t="inlineStr">
        <is>
          <t>読み方：あつかい
１操作すること。処理すること。「この器具は—が難しい」「小荷物—所」
２待遇・応対のしかた。「—が公平だ」「客の—がうまい」
３ある身分・役割・状態にあるものとして接すること。「部長—」「子供—」「機密—」
４紛争・訴訟などの仲裁をすること。また、その調停者。仲裁。調停。
「よいところへ—がはいったと云ってよろこぶ者もあり」〈谷崎・盲目物語〉
５看護すること。介抱すること。
「対の方のわづらひける頃は、なほ、その—に、と聞こしめしてだに」〈源・若菜下〉</t>
        </is>
      </c>
      <c r="D159" t="inlineStr">
        <is>
          <t>扱い方(3%)；扱いやすい(2%)；扱いにくい；扱いやすく；扱いづらい</t>
        </is>
      </c>
      <c r="E159" t="inlineStr">
        <is>
          <t>対応；迎え；サービス；操作；勤務</t>
        </is>
      </c>
      <c r="F159" t="inlineStr">
        <is>
          <t>子供扱い；特別扱い；犯人扱い；不当な扱い；旅客扱い</t>
        </is>
      </c>
      <c r="H159" t="n">
        <v>29</v>
      </c>
      <c r="I159" t="inlineStr">
        <is>
          <t>理論的に明解であり扱いも容易であるため、形式的な説明を先に述べる。；多くの問題の一般的な場合は、扱いにくいことがすでに知られている。；これらの定義は核について、 それぞれに扱いやすい特性を示している。；その女性は夫にひどい扱いを受けており、邸宅に監禁されているという。；予選会での順位を決定する際の記録の扱いは、下記の通りとなっている。；しかし、学術的な扱いでは、主題のデータは単なる情報の一群とされる。；ただし副駅名としての扱いではないので、案内放送では呼称されていない。；ドア扱いは全て運転士が担当し、もう1人の乗務員はドア扱いを行わない。；合併経緯からか泉区は仙台市の他区と比べて特別的扱いが多いと見られている。；応援団リーダー部と短艇委員会は、部ではなく委員会の扱いを受けている。；トラコパンはこの三都市中では最も勢力が弱く格下扱いとなっていた。；これらは、郵政管理・支援機構扱いの郵便貯金にも当然に適用される。；また常用量で使用できる点も非専門医でも扱いやすいところである。；それをまとめて一つの分類群との扱いを受けてきたが、現在では認められていない。；本社は当初大阪市であったが、後に東京に本社機能を移して大阪は支社扱いとなる。；ただし現実にはこうした扱いを出来たわけではない。；委員会でも速記録と議事録が作成されたが両院で扱いが異なっていた。；この改正によって他の著作物と同等の扱いを受けるようになった。；東武の駅としてはとうきょうスカイツリー駅と同一駅扱いとなっている。；待合室は旧信号テコ扱い所であったため、その形跡がよく分かる駅だった。；施設名の扱いに関してはメディアごとに対応が分かれている。；後に従来の急行列車を昇格して特急列車とした際にもこの扱いを行うことが多かった。；さらに運転される特定の曜日がない隔日運転の場合も臨時列車の扱いとなる。；ただしその中でも、一定の基準を満たす電動荷車等は軽車両扱いとなる。；Smalltalkでは高速化のためいくつかのメッセージを特別扱いする。；このため英数字と日本語文字の区別がしやすく、プログラム上での扱いが楽である。；したがって、これらの酵素は食品添加物とは異なる扱いになっている。；ただし、実際は十三駅は通過せず、旅客扱いを行わない運転停車である。；この作用は平方根の中に微分を含む形のため扱いが困難である。</t>
        </is>
      </c>
      <c r="J159">
        <f>HYPERLINK("https://www.weblio.jp/content/扱い", "词义详情")</f>
        <v/>
      </c>
      <c r="K159">
        <f>HYPERLINK("https://yourei.jp/扱い", "查看例句")</f>
        <v/>
      </c>
    </row>
    <row r="160">
      <c r="A160" t="inlineStr">
        <is>
          <t>扱う</t>
        </is>
      </c>
      <c r="B160" t="inlineStr">
        <is>
          <t>成功</t>
        </is>
      </c>
      <c r="C160" t="inlineStr">
        <is>
          <t>読み方：あつかう
［動ワ五（ハ四）］
１道具・機械などを、使ったり操作したりする。取り扱う。「壊れやすいので丁寧に—・う」「旋盤を—・う」
２物事をとりさばく。仕事として処理する。「事務を—・う」「輸入品を—・う店」
３人をもてなす。世話をする。「大ぜいの客を—・う」
４ある身分・役割・状態にあるものとして遇する。「大人として—・う」「欠席として—・う」
５特に取り上げて問題にする。「環境問題を—・った番組」「新聞で大きく—・われる」
６調停する。仲裁する。「けんかを—・う」
７看護する。
「病者のことを思う給へ—・ひ侍るほどに」〈源・夕顔〉
８持て余す。処置に困る。
「皆この事を—・ひて議するに」〈今昔・一〇・五〉
９うわさをする。
「人々も、思ひの外なることかなと—・ふめるを」〈源・紅葉賀〉
[可能]あつかえる</t>
        </is>
      </c>
      <c r="D160" t="inlineStr">
        <is>
          <t>扱うべき；扱う一等駅</t>
        </is>
      </c>
      <c r="E160" t="inlineStr">
        <is>
          <t>販売；営業；取引；担当する；商売</t>
        </is>
      </c>
      <c r="F160" t="inlineStr">
        <is>
          <t>扱うカウンターサービス；扱う特等駅；扱う工学分野</t>
        </is>
      </c>
      <c r="H160" t="n">
        <v>29</v>
      </c>
      <c r="I160" t="inlineStr">
        <is>
          <t>特定の地域のみの資料を扱うものと地域を越えて資料を扱うものがある。；他に見られないテーマを扱ったものもあり貴重な内容のものが含まれる。；先端形状・太さ・長さなどは扱うねじに合わせてさまざまな種類がある。；また、文字を表形式にして扱う方法も古くから存在し、利用されてきた。；開発当初、WWW は文字情報を扱うだけの比較的単純なものであった。；記されたテトラグラマトンは特別な神聖さをもって扱われる必要がある。；全ての人は同じ神の一撃でできているから、平等に扱われる価値がある。；扱っているものがものなので脱税をしやすく、実際にしている店も多い。；地球の生物でこそないが、構造的には、扱えないほど極端な違いはない。；まだ完全に扱えているとはいえないが、矢の衝撃を払うぐらいはできた。；ガラス状態・ガラス転移の性質を扱う為に様々な研究が行われている。；作品の中で自身の画力を自虐的に扱うシーンを入れる事も度々であった。；この段階では吸血鬼は知性のない動物のような悪魔として扱われている。；そのため両者は構造も大気中の効率も大幅に異なり、区別して扱われる。；少なくともひとりの医者が、彼を患者として扱おうとしているのだから。；主題として風景を扱うことは明らかに非古典的で、ありえないことだった。；これは現地でニュースとして扱われており、日本でも一部報道された。；この作品以降、特殊効果が映画の重要な要素として扱われるようになる。；他の人々はソフトウェアは全く工学的に扱うことはできていないと考えている。；俺、二十歳をすぎても女をどう扱えばいいのか、本当にわからなかったよ。；中世以前の戦いを扱ったものの場合は、部隊規模はもっと小さくなる。；文字を特定の符号で扱う手段はコンピュータが誕生するよりも昔から存在した。；あるいは扱おうとしたことが、そもそもいけなかったのかもしれない。；彼女をうまく扱えそうな人ということでブラウン神父が現場に呼ばれる。；より危険なバイオハザード物質を扱う部屋ほど、多くの対策が必要となる。；このためしばらくは赤穂事件を扱った芝居は上演記録は残っていない。；しかし、これらの研究書では女性作家は扱われない傾向にあった。；またそれが残っている場合でも、今生きている素材のように扱うことは出来ない。；大別して二種類の用法があるが、両者を区別無く扱うゲームも存在する。</t>
        </is>
      </c>
      <c r="J160">
        <f>HYPERLINK("https://www.weblio.jp/content/扱う", "词义详情")</f>
        <v/>
      </c>
      <c r="K160">
        <f>HYPERLINK("https://yourei.jp/扱う", "查看例句")</f>
        <v/>
      </c>
    </row>
    <row r="161">
      <c r="A161" t="inlineStr">
        <is>
          <t>厚かましい</t>
        </is>
      </c>
      <c r="B161" t="inlineStr">
        <is>
          <t>成功</t>
        </is>
      </c>
      <c r="C161" t="inlineStr">
        <is>
          <t>読み方：あつかましい
［形］［文］あつかま・し［シク］行動や態度に慎みがない。ずうずうしく遠慮がない。「—・い人」「—・いお願いで恐縮です」
[派生]あつかましげ［形動］あつかましさ［名］</t>
        </is>
      </c>
      <c r="D161" t="inlineStr">
        <is>
          <t>厚かましい態度(2%)；厚かましいお願い；厚かましい奴；厚かましいやつ；厚かましい女</t>
        </is>
      </c>
      <c r="E161" t="inlineStr">
        <is>
          <t>太い；大柄；傲慢；無礼；生意気</t>
        </is>
      </c>
      <c r="F161" t="inlineStr">
        <is>
          <t>あまりに厚かましい</t>
        </is>
      </c>
      <c r="H161" t="n">
        <v>29</v>
      </c>
      <c r="I161" t="inlineStr">
        <is>
          <t>そして出すぎた厚かましい問いにでも答えるかのように頭をふりました。；今の会話を聞いて厚かましくも邪魔しつづけられるわけがありません。；居候のボクがそう思うのは厚かましいと感じていたところもあるからだ。；お竹さんがあまり好きなので、厚かましいのも意としなかったようである。；厚かましいとは思ったもののこの際そのほかに仕方がないと思われた。；厚かましいのになると、パンの塊を持った客を目がけて接近してくる。；すこしは敬遠でもされそうなものだが、ここの生徒はとにかく厚かましい。；だがそんなことをいうのは、ラタックの絵からしても厚かましいであろう。；そのくせ厚かましく実があるなんぞと思わせようとするんですもの。；これらの変化のあるものは、厚かましい公然さで自身の場所をしめて来た。；その上粋がっていて厚かましく、話をしていると腹が立つ相手だ。；けれどもただ、不快に思われるほどの厚かましさでいつもその目を上げていた。；この人たちは人の顔をじろじろ眺めるような厚かましい眼付をすることがない。；腹の立つほど厚かましいその音に、五臓六腑はとろけて行くようであった。；働きもしないであなたや保子さんの経済生活に厚かましくあぐらをかいている。；こんな露骨な、こんな厚かましい逃げかたをするとは思いもよらなかった。；厚かましいのもここまで来ると、こっちのほうがかえっておじけづく。；しかし今回は、厚かましくも友人のふりをしようとしている。；いかに恐ろしい厚かましさをもって、我々は宗教上の諸理由を手玉にとっているか。；彼らは金を欺き取り、厚かましい嘘をつき、そして陰では彼を嘲った。；作文を書いているとき、隣り席の厚かましい少年のおかげで危険なめにあった。；君は、助手たちが日ましに厚かましくなっていくのに気がつかないのかね?；夏季の背後には、すでに厚かましく、気ぜわしい車の音が氾濫している。；じっさいに突然きて五両貸せとは厚かましい言いぐさではないかと思っていた。；幾つかの方法が浮ぶが、年上の厚かましさを見られてはかなわないとも思う。；またそろそろあなたの厚かましい態度を見せるんですか。；しかしその眼にはいらだった厚かましい好奇心の色が見えていた。；九州の父へは、四五日前に金を送ったばかりだし、今日行ったところへ金を借りに行くのも厚かましいし。；慣れ切った動作だが、厚かましさなどは微塵も感じさせなかった。</t>
        </is>
      </c>
      <c r="J161">
        <f>HYPERLINK("https://www.weblio.jp/content/厚かましい", "词义详情")</f>
        <v/>
      </c>
      <c r="K161">
        <f>HYPERLINK("https://yourei.jp/厚かましい", "查看例句")</f>
        <v/>
      </c>
    </row>
    <row r="162">
      <c r="A162" t="inlineStr">
        <is>
          <t>あっけない</t>
        </is>
      </c>
      <c r="B162" t="inlineStr">
        <is>
          <t>成功</t>
        </is>
      </c>
      <c r="C162" t="inlineStr">
        <is>
          <t>読み方：あっけない
［形］［文］あっけな・し［ク］思ったより内容が貧弱または単純で、おもしろみがない。期待外れでもの足りない。「—・い結末」「—・く敗れる」
[派生]あっけなさ［名］</t>
        </is>
      </c>
      <c r="D162" t="inlineStr">
        <is>
          <t>あっけないもの(9%)；あっけない幕切れ(5%)；あっけない最期；あっけない死；あっけない別れ</t>
        </is>
      </c>
      <c r="E162" t="inlineStr">
        <is>
          <t>物足りない；淡泊な；呆気ない；不満足な；白ける</t>
        </is>
      </c>
      <c r="F162" t="inlineStr">
        <is>
          <t>あまりにもあっけない；実にあっけない；あまりにあっけない；あっけないくらい簡単；まことにあっけない</t>
        </is>
      </c>
      <c r="H162" t="n">
        <v>29</v>
      </c>
      <c r="I162" t="inlineStr">
        <is>
          <t>あんまりにもあっけなく高校が終わってしまった気がしてならないんです。；淳子があまりにあっけなく扉を開いたので、逆に不安になっているのだ。；ただし一本目が終ると言っても煙草のようにあっけなくは終らなかった。；あっけなく畳に落ちた両膝が自分のものだという感覚さえ失われていく。；あのときはあまりにあっけなくて、人間を殺したという気がしなかった。；腕が千切れそうになった二人は拳銃を放りだすと、あっけなく失神した。；けれども私はあんまりこのあっけなさにぼんやりしてしまいました。；「悪いけど、気が変っちゃった」とあっけなくも別の車を拾って闇の中。；あまりあっけないので、死んだ振りをしているのかとおもったほどだ。；ベッドに体を沈めたとたん、あっけなく意識は眠りへと落ちていった。；それはあっけないほどに何の感覚も残さず、足から滑り落ちていった。；昨日のゲームがあまりにあっけなく終わってしまったからだろう。；話せばこれほどあっけないことでも、実際には何時間も飛んでいたのである。；そいつは味方よりも多い敵にかかって、あっけなく死んでしまった。；そのせいか、会議は実にあっけなく早いスピードで進行して行った。；それもすぐに消えて、あっけなく、ほとんどの機能が落ちてしまった。；あれほど探しても見つからなかったのに、再会はあっけないものだった。；新幹線が行ってしまうと、あっけないほど簡単に私はひとりになった。；たしかに侵入を依頼したとの返事をたしかめ、あっけなく幕となった。；こっちへ来て運転手さんに聞いたら、あっけないほど簡単に教えてくれましてね。；あたし手かげんしたつもりだけど、円くんがあっけなく気を失っちゃって。；オーストリアの宮廷で圧倒的な影響力を持った女丈夫のあっけない死であった。；それはメッセージを開く前にあっけなく気づいてしまいました。；あいつらのあっけない戦死で、訓練の幕が降りてしまうかもしれない。；人が苦労して作ったものがあっけなく破壊されることへの何とも言えぬ爽快さである。；邪悪な気配の抜けた城では、道は、あっけないほどに簡単にわかった。；地球を舞台にした戦いはあっけなく終わったが、あとが間題だった。；けれど、こんなふうにあっけなく終わってしまうとは思わなかった。；すると藍子はあっという間に、嘘のようにあっけなく寝こんでしまった。</t>
        </is>
      </c>
      <c r="J162">
        <f>HYPERLINK("https://www.weblio.jp/content/あっけない", "词义详情")</f>
        <v/>
      </c>
      <c r="K162">
        <f>HYPERLINK("https://yourei.jp/あっけない", "查看例句")</f>
        <v/>
      </c>
    </row>
    <row r="163">
      <c r="A163" t="inlineStr">
        <is>
          <t>あっさり</t>
        </is>
      </c>
      <c r="B163" t="inlineStr">
        <is>
          <t>成功</t>
        </is>
      </c>
      <c r="C163" t="inlineStr">
        <is>
          <t>［副］(スル)
１人の性質や事物の状態などがしつこくないさま。複雑でないさま。さっぱり。「—（と）した味つけ」「—（と）している人」
２時間や手間をかけずに物事が行われるさま。簡単に。「—（と）犯行を認めた」</t>
        </is>
      </c>
      <c r="D163" t="inlineStr">
        <is>
          <t>あっさりと答え；あっさり認め；あっさりと認め；あっさり片づけ；あっさり断ら</t>
        </is>
      </c>
      <c r="E163" t="inlineStr">
        <is>
          <t>簡単に；容易に；さっぱり；すんなり；難なく</t>
        </is>
      </c>
      <c r="F163" t="inlineStr">
        <is>
          <t>ごくあっさり；意外にあっさり；案外あっさり；実にあっさり；至極あっさり</t>
        </is>
      </c>
      <c r="H163" t="n">
        <v>29</v>
      </c>
      <c r="I163" t="inlineStr">
        <is>
          <t>彼は利益が減少し続けていると言い張って奴隷貿易をあっさり放棄した。；更科は少しあっさりと過ぎる位に淡々たるところがいいようであります。；このような球団の姿勢をあっさり受け入れ、同年限りで現役を引退している。；やはり小説を書くほどの男には、どこか、あっさりしたところがある。；それだけあっさり口を割ったら、あとの一つも隠すところはないだろう。；あちこち探し歩いてそれらしいものを発見するが、あっさりと燃えてしまう。；あまりにあっさりと片がつきすぎ、あまりに不審な点が多すぎたのだ。；もうすこしアッサリしていて、不親切や害をする質の男ではなさそうです。；最終回では「今日で終わりです」などの紹介はなく、あっさり終了した。；つまり彼は限界のある執念と、アッサリした気質とを持つてゐたのだ。；しかし婦人連はそうあっさりと彼を手離すつもりはなかったらしい。；王進は棒をとり、挑みかかってきた史進をあっさりと突き倒してしまう。；あっさり気絶するよりも見応えのあることが起きているにちがいなく。；母親の描写があっさりしている点は作品の短所として挙げられることもある。；レギュラーキャラクターであってもあっさり退場させられることもしばしば。；彼女はあの穴に全力で精神衝撃を与えたが、あっさりはねかえされたのだ。；むしろ言葉の通じない方がどれくらゐアッサリしてよろしいか分らないのだ。；私はこのとき、いともアッサリと、受けませんでした、と答へたものだ。；そこに現れたのは謎の女性2人は、あっさりとテロリストを倒してしまう。；それはインターネットでモノを買うようにあまりにもあっさりとしたことだった。；誰から攻撃されたのかも知らずに二人ともあっさりくたばった。；しかし三月行動は大衆的支持を得られないままあっさりと粉砕された。；しかもそれがごくあっさりした通り一遍の知り合いである事が多い。；男性だと思ってた光は戸惑うが、珍太郎はあっさり受け入れてしまう。；親父は子供に対して非常にアッサリした一つのことしか考へてゐなかつた。；だがそれにも関わらず、敗戦の報を聞いたオトーはあっさりと自殺した。；背丈の小さい方は、何か半透明な黒いあっさりした衣をつけていた。；向うがアッサリ採用してくれた時には、杉山自身、信じられなかったものだ。；病弱であることを口実にして、彼は軍人へのキャリアをあっさり断念した。</t>
        </is>
      </c>
      <c r="J163">
        <f>HYPERLINK("https://www.weblio.jp/content/あっさり", "词义详情")</f>
        <v/>
      </c>
      <c r="K163">
        <f>HYPERLINK("https://yourei.jp/あっさり", "查看例句")</f>
        <v/>
      </c>
    </row>
    <row r="164">
      <c r="A164" t="inlineStr">
        <is>
          <t>圧縮</t>
        </is>
      </c>
      <c r="B164" t="inlineStr">
        <is>
          <t>成功</t>
        </is>
      </c>
      <c r="C164" t="inlineStr">
        <is>
          <t>読み方：あっしゅく
［名］(スル)
１物質に圧力を加えて容積を縮小すること。圧搾。「空気を—する」
２規模を小さくすること。数量や割合を減らすこと。「予算枠を—する」「人件費を—する」「削減率を—する」「赤字—」
３コンピューターで、ファイルを加工または変換して、その容量を小さくすること。コンプレッション。「複数のファイルを—してメールに添付する」「原音を—せずに記録する」→解凍2
４文章などを要約して短くすること。</t>
        </is>
      </c>
      <c r="D164" t="inlineStr">
        <is>
          <t>圧縮する(8%)；圧縮される(3%)；圧縮機(2%)；圧縮アルゴリズム；圧縮方式</t>
        </is>
      </c>
      <c r="E164" t="inlineStr">
        <is>
          <t>縮小；短縮；粉砕；収縮；萎縮</t>
        </is>
      </c>
      <c r="F164" t="inlineStr">
        <is>
          <t>高圧縮；圧縮形式；高圧圧縮；圧縮式；圧縮強度</t>
        </is>
      </c>
      <c r="G164" t="inlineStr">
        <is>
          <t>圧縮機；圧縮比；圧縮率；圧縮力；圧縮性</t>
        </is>
      </c>
      <c r="H164" t="n">
        <v>29</v>
      </c>
      <c r="I164" t="inlineStr">
        <is>
          <t>車体更新車の増備に切り替えたのは車両導入費の圧縮を図るためである。；またテクスチャ圧縮の上に通常の可逆圧縮を追加することが可能である。；これは高強度鋼の線で圧縮力をかけながら型枠内で硬化させて製造する。；車体の大荷重を支える必要があるため通常圧縮コイルばねにして用いる。；このような圧縮を行うハードウェアやソフトウェアをコーデックと呼ぶ。；バイパスガスを余分に圧縮しなければならないので成績係数は低下する。；このような圧縮不能な文字列が存在するならどの程度存在するかを考えたい。；チャージャーで圧縮された空気はインタークーラーを通って冷却される。；また、ロケ費用も鴨川シーワールドで撮影されたため、圧縮されている。；いくつかは有名な商用圧縮ソフトウェアにも見あたらないものである。；直径が減少することでエネルギーを圧縮しながら速度を上げるように機能している。；この性質を利用してデータ量の大幅な圧縮を図ったのがRACである。；そしてはす葉氷の板は圧縮されて一つの氷の塊になり凍結密氷域を形成する。；この状態で圧縮すれば、最初の状態よりも高い効果が得られる。；PARの大きい信号は、送信機での処理過程での信号圧縮が予測できない。；フィルンの層は一定の年月を経ると、さらに圧縮されて氷河の氷となる。；それを避けるためにファイルを圧縮し、サイズを抑えることが必要になる。；Windows 2000以降では圧縮フォルダは標準搭載されている。；達成可能な圧力値は衝撃圧縮によるもののほうが一般的に高い。；適応的差分パルス符号変調とは自然信号に対する圧縮方式の一つである。；サイト内では、ディレクトリ情報は変更がある度に圧縮されずに複製される。；一般の文書の画素データは黒または白の連続が多いことを利用したデータの圧縮方法である。；圧縮率や画質は向上しているが、その分再生速度、圧縮速度ともに落ちた。；なお、ほとんど用いられることはないが、非可逆圧縮もサポートしている。；前者が後者を圧縮したことにより、断層を挟んで後者が北へ動いた。；よってジェットエンジンでは燃焼前に空気を十分に圧縮することが重要となる。；ブロック圧縮行格納形式はCRSをブロック単位にしたものである。；そのため、JPEGやZIPなどの圧縮フォーマットで使用されている。；これは、高速で飛翔する弾丸先端の空気が圧縮されて生ずる熱である。</t>
        </is>
      </c>
      <c r="J164">
        <f>HYPERLINK("https://www.weblio.jp/content/圧縮", "词义详情")</f>
        <v/>
      </c>
      <c r="K164">
        <f>HYPERLINK("https://yourei.jp/圧縮", "查看例句")</f>
        <v/>
      </c>
    </row>
    <row r="165">
      <c r="A165" t="inlineStr">
        <is>
          <t>圧勝</t>
        </is>
      </c>
      <c r="B165" t="inlineStr">
        <is>
          <t>成功</t>
        </is>
      </c>
      <c r="C165" t="inlineStr">
        <is>
          <t>読み方：あっしょう
［名］(スル)競技・選挙などで、他を大きく引き離して一方的に勝つこと。また、そのような勝ち方。「初戦で—して勢いがつく」</t>
        </is>
      </c>
      <c r="D165" t="inlineStr">
        <is>
          <t>圧勝劇(2%)；圧勝ぶり；圧勝し初勝利</t>
        </is>
      </c>
      <c r="E165" t="inlineStr">
        <is>
          <t>大勝；独走；快勝；完勝；楽勝</t>
        </is>
      </c>
      <c r="F165" t="inlineStr">
        <is>
          <t>つけ圧勝；獲得し圧勝；獲得する圧勝；付け圧勝；自民党圧勝</t>
        </is>
      </c>
      <c r="H165" t="n">
        <v>29</v>
      </c>
      <c r="I165" t="inlineStr">
        <is>
          <t>大衆迎合的な選挙公約を掲げて他の候補に圧勝し初代大統領に就任する。；これはマサチューセッツ州で過去に例を見ないほどの圧勝であった。；敗れた3度のレースはいずれも惜敗、他は全て馬なりでの圧勝であった。；障害入りしたのは1970年の2月から8月の間であるが、すべて圧勝。；この戦争はエジプトが圧勝し、セレウコス朝シリアは弱体化していった。；また、それは圧勝が手に届くところにあるかのように見えるものであった。；今回の勝負は3種類のジャンルで行われたが、やはり人間軍の圧勝に終わった。；天文元年6月の飯盛城の戦いで圧勝した証如軍は大和国に侵攻してきた。；ツール・ド・フランスでは2位以下に28分もの大差をつけて圧勝した。；以降の選挙でも得票数の3分の2を寺田が確保する圧勝となっている。；内容も圧勝が多く、その実力が確かなものであることを証明した。；出走したレースは圧勝だったものの大レースでの成績は無く、故障で引退を余儀なくされた。；しかしこれは相手にも共通することなので、逆に圧勝状態から負けることもある。；新政府軍の死傷者は20名前後と伝えられ、新政府軍の圧勝に終わった。；その隙を突いて安定した選挙活動を続けてきた穂坂が圧勝し再選した。；リンゾーのブルンゲル2体を相手にしても圧勝するほどの強さをもつ。；このような圧勝を繰り返したことで注目を浴びるようになる。；宣戦布告直前に双方の艦隊が遭遇して起き、大日本帝国海軍が圧勝した。；各チームとも大差での圧勝はなく、いずれも拮抗したゲーム展開が予想される。；勝負は5種類のジャンルで行われ、初回は人間軍の圧勝に終わった。；この件は民主進歩党の蔡英文候補が圧勝した台湾総統選挙に影響を与えた。；前述したように国民運動連合を中心とする中道保守勢力が圧勝する結果となった。；前回の圧勝を見た他陣営は強すぎて相手にならないと回避が続出。；あまりの圧勝ぶりに天使が味方についたとも言われた。；第13ステージはまたもゴールスプリントでカヴェンディッシュが圧勝。；無党派層の支持も幅広く獲得し、次点の候補にダブルスコアで圧勝した。；試合が終わって見れば僅か10分強での圧勝であった。；旧来の研究でも砲弾について述べた文献では日本艦隊の圧勝を予測しているものはない。；投票は7月24日に行われ、当初の見立て通り小渕の圧勝で終わった。</t>
        </is>
      </c>
      <c r="J165">
        <f>HYPERLINK("https://www.weblio.jp/content/圧勝", "词义详情")</f>
        <v/>
      </c>
      <c r="K165">
        <f>HYPERLINK("https://yourei.jp/圧勝", "查看例句")</f>
        <v/>
      </c>
    </row>
    <row r="166">
      <c r="A166" t="inlineStr">
        <is>
          <t>斡旋</t>
        </is>
      </c>
      <c r="B166" t="inlineStr">
        <is>
          <t>成功</t>
        </is>
      </c>
      <c r="C166" t="inlineStr">
        <is>
          <t>読み方：あっせん
［名］(スル)《「斡」は、まわす意》
１間に入って双方をうまく取り持つこと。周旋。「職を—する」
２労働関係調整法による労働争議の解決方法の一。労働委員会が指名した斡旋員が労使間を取りなして、争議の解決を図ること。
３行政法上、公益事業用地の取得をめぐる当事者間の紛争を解決するために行われる手続き。→仲裁→調停</t>
        </is>
      </c>
      <c r="D166" t="inlineStr">
        <is>
          <t>斡旋する(8%)；斡旋所；斡旋業；斡旋案；斡旋等</t>
        </is>
      </c>
      <c r="E166" t="inlineStr">
        <is>
          <t>介入；仲介；調停；媒介；仲裁</t>
        </is>
      </c>
      <c r="F166" t="inlineStr">
        <is>
          <t>官斡旋；職業斡旋；和平斡旋；旅行斡旋；就業斡旋</t>
        </is>
      </c>
      <c r="G166" t="inlineStr">
        <is>
          <t>斡旋収賄；斡旋利得罪</t>
        </is>
      </c>
      <c r="H166" t="n">
        <v>29</v>
      </c>
      <c r="I166" t="inlineStr">
        <is>
          <t>斡旋と合意支援との区別は絶対的なものではなく、両者は連続的である。；有力者に縁故が無い場合、代わって斡旋を行ったのは小売業者であった。；道中ガスを入れる際に義父からやはり職の斡旋はできないとの連絡が入る。；結果としてルターは数多くの修道者たちに結婚を斡旋するようになった。；遊んでばかりいるのを心配した親戚の中上川彦次郎による斡旋であった。；後者は地方有力婦人に講習会を実施して、花嫁斡旋に必要な知識を教えた。；一方検事長以上に昇格した場合は、公証人への天下り斡旋はなされない。；外国人受け入れ可能な国際人材の育成と外国人学生の就職斡旋を行う。；三河国出身で、徳川家康のために朝廷との交渉の斡旋にあたったとされる。；調停人は、家事調停裁判所の斡旋相談員と同様の知識・経験を要求される。；このような、官から独立して行われた斡旋は、「民間調處」と呼ばれた。；それ以前は売春自体は合法だったが、斡旋行為等は違法とされていた。；そして彼ら宗氏を朝鮮との交渉役に命じて、入朝を斡旋させる任務を与えた。；また職業の斡旋には国内法で規制することを第3条で義務付けている。；以後、日本の民間会社を通した斡旋が行われるようになった。；これは、一般戦やG3の女子戦に優先的に斡旋されるケースが多いためである。；ある日、同僚のきみ子が三人の男たちを斡旋しようと持ちかけてきた。；卒業後は、全国のヤマハ特約店を中心に就職の斡旋がおこなわれている。；実は、その手紙を書いたのはセカンドワイフの斡旋を行っている人間だった。；多くの主催者から斡旋を拒否された選手には、引退勧告が出されることもある。；これら施設では宿泊施設のほか、米の支給や職の斡旋を行なわれた。；彼女は後に日本で最初の公認のモデル斡旋所を谷中に開業した。；それを中にいて斡旋したのが他ならぬ老女の幸蔵主であった。；しかし、その後臣従したのか、諸豪に大宝寺氏との和睦を斡旋している。；なお、朝鮮ではそれまでも、官斡旋の「女子挺身隊」が徴募されている。；父親の斡旋で福祉関連の会社に就職し、会社員として働くつもりだった。；また主人公は主に中立の傭兵斡旋組織から依頼の斡旋と報酬を受け取る。；最終的に両国はアメリカ合衆国の斡旋の下で、ポーツマス条約を締結した。；文部科学省が他省庁の天下りを斡旋した事例は以下の2件が判明した。</t>
        </is>
      </c>
      <c r="J166">
        <f>HYPERLINK("https://www.weblio.jp/content/斡旋", "词义详情")</f>
        <v/>
      </c>
      <c r="K166">
        <f>HYPERLINK("https://yourei.jp/斡旋", "查看例句")</f>
        <v/>
      </c>
    </row>
    <row r="167">
      <c r="A167" t="inlineStr">
        <is>
          <t>あっち</t>
        </is>
      </c>
      <c r="B167" t="inlineStr">
        <is>
          <t>成功</t>
        </is>
      </c>
      <c r="C167" t="inlineStr">
        <is>
          <t>読み方：あっち
［代］《「あち」の音変化》遠称の指示代名詞。「あちら」よりもくだけた感じの語。「—を見てごらん」</t>
        </is>
      </c>
      <c r="D167" t="inlineStr">
        <is>
          <t>あっち側(2%)；あっちもこっち；あっち向い；あっちこち；あっち行け</t>
        </is>
      </c>
      <c r="E167" t="inlineStr">
        <is>
          <t>あそこ；彼方；あちら；向こう側；かなた</t>
        </is>
      </c>
      <c r="F167" t="inlineStr">
        <is>
          <t>あっちぺた；あっちへ行きこっち；あっちへ行きなさい</t>
        </is>
      </c>
      <c r="G167" t="inlineStr">
        <is>
          <t>あっちゃん；あっち向いてホイ；あっちこっち丁稚；あっちむいてホイ；あっちゅうま</t>
        </is>
      </c>
      <c r="H167" t="n">
        <v>29</v>
      </c>
      <c r="I167" t="inlineStr">
        <is>
          <t>前にはこっちが心配せられ、今はこっちがあっちを心配しつづけている。；それからお濠の岸を、あっちへ行ったりこっちへ帰ったりしていました。；そういう庭男が、あっちに一人、こっちに一人、二人で水をまいていた。；あっちにあるぼくたちの二次投映器は超エネルギーから出来上っている。；逆にあっちからきたときは、仕事が終わっていればそのドアから外にでる。；「あっちに行きましょう」彼女はそう言って船首のほうに戻っていった。；生まれた家庭を追いだされたから、あっちで自分の家庭をつくったんだ。；こっちをたてて有利にすれば、あっちがたたなくなって不利となるのだ。；あっちからも、こっちからも寺の建立を祝って、多くの人々が集まった。；どうせあっちは暴力で来ている、馬鹿と気狂いの対手はするものでない。；川の面をすべって線路を越えて海のあっちの方ーへとんで行ってしまった。；あっちの子は父親みたいに目はしがきいて、りこうな男になるだろうよ。；こっちは一ポイント六メートル位で、あっちは二メートルもあります。；あっちの船へもどって、カプセルの中でしばらく仮眠してもいいですか。；向こうでぼくたちに一本ずつ先の丸い槍をあっちのあの棚から取ってくれる。；こんな話、信用できねえと思うだろうが、あっちはイギリスとは違うんだ。；そうして無意味に手の中であっちへやったり、こっちへやったりしていた。；あっち版の五三年法みたいなもので、限定つきのスイス市民権を持ってる。；あなたは婦人のお友達二三人とあっちへ避寒に来ていらっしゃったのです。；あっちの方からだって、空から人が動くのが見えるのでしょうから。；自分の子も戦争中兵隊にとられて、とうとうあっちで死んでしまった。；あっちへ行ったら、こいつがどんなに力がなくたってあんたは手を焼くよ。；おまえさまがこっちの扉からへえれば野郎はあっちの扉から出るわさ。；あっちを訪ねるのにいい機会でしょう、こっちもいくらか困るのですし。；あっちで女中と子供のところへとびこんで、どうしていいか分らない由。；私がその顔を見ると、女はつと横を向いて、あっちへ行ってしまいました。；ハリーは顔も見えない誰かに、あっちへこっちへと押されているのを感じた。；砕いていえばあっちではいいといわれ、こっちでは悪いといわれたのである。；「すると、あのふたりはあっちへ移るつもりなんですね」と僕は言った。</t>
        </is>
      </c>
      <c r="J167">
        <f>HYPERLINK("https://www.weblio.jp/content/あっち", "词义详情")</f>
        <v/>
      </c>
      <c r="K167">
        <f>HYPERLINK("https://yourei.jp/あっち", "查看例句")</f>
        <v/>
      </c>
    </row>
    <row r="168">
      <c r="A168" t="inlineStr">
        <is>
          <t>あっちこっち</t>
        </is>
      </c>
      <c r="B168" t="inlineStr">
        <is>
          <t>成功</t>
        </is>
      </c>
      <c r="C168" t="inlineStr">
        <is>
          <t>読み方：あっちこっち
［代］「あちこち」に同じ。「—の知人宅を泊まり歩く」</t>
        </is>
      </c>
      <c r="D168" t="inlineStr">
        <is>
          <t>あっちこっち歩き；あっちこっち探し；あっちこっち歩い；あっちこっちウロウロ；あっちこっちうろつき</t>
        </is>
      </c>
      <c r="E168" t="inlineStr">
        <is>
          <t>あちこち；どこでも；あちらこちら；四方八方；至る所</t>
        </is>
      </c>
      <c r="H168" t="n">
        <v>29</v>
      </c>
      <c r="I168" t="inlineStr">
        <is>
          <t>あっちこっちに部屋をくっつけて、数階建ての家になったように見えた。；現場は写真でしか見てないけど、台所のあっちこっちに血痕があったわ。；それともあっちこっち山の中を何かの御使に歩いているのかも知れません。；彼女の顔をあっちこっちで見たのはいったい何年前のことだったろう?；毎日毎日、あっちこっちのドアをあけて歩く人かと思ったりしていた。；彼は毎日何回となく、気がきかん、とあっちこっちから怒鳴られていた。；ひょっとすると、あっちこっちへでたらめに電話をかけたのかもしれん。；王になって以来、わたしは、あっちこっちの改良工事に手をつけてきました。；騎馬民族が征服したのなら、もっとあっちこっちで出てもいいはずです。；ひと廻りも年上の男の女房になってみれば、男はあっちこっちに女がいる。；一九三〇年は、あっちこっちの劇場で、廻り舞台を応用した年だった。；僕は驚いて、半分寝床から起き上って、あっちこっちを見廻わしました。；空にあっちこっちと手を動かして、台皿の一つの上に落していった。；五時のベルが鳴って、あっちこっちでケースへ覆いがかけられはじめた。；何にしろ泥になり、あっちこっち少し痛い位ですんだのは大きな感謝である。；あっちこっちには地図やら絵やらが木の釘にかかっているのです。；このところ、柄にもなくあっちこっちへ気を遣いづめの暮らしをしてきた。；「どこの町から」 「あっちこっちの町から」 相手の女の子は笑った。；勝手知った家の中とはいえ、あっちこっちでぶつかっているらしい音がする。；家に戻って、おかしいなと思ったら、突然、あっちこっちが痒くなった。；あっちこっちでそうやって子供作るもんだから、女神ヘラが怒るんだよ。；それにつづいて次の一週間、二人はあっちこっちと走りまわった。；あっちこっちウロウロしているうちに掃除の時間は終わってしまった。；心細さに目をあっちこっちにやると、山の斜面に小さな畑があった。；あっちこっちから見舞いを持って行くものなどもだんだん多くなる。；しかしあっちこっちひきつれていて背中にギャザーがよっているのだ。；和尚さんは障子の合うのをあっちこっちからはずしてきてはめてくれる。；立派な家があっちこっちに建っているから、それを見るたびに興奮してしまう。；女の児は新しい衣を着て、いそいそとしてあっちこっちに遊んでいた。</t>
        </is>
      </c>
      <c r="J168">
        <f>HYPERLINK("https://www.weblio.jp/content/あっちこっち", "词义详情")</f>
        <v/>
      </c>
      <c r="K168">
        <f>HYPERLINK("https://yourei.jp/あっちこっち", "查看例句")</f>
        <v/>
      </c>
    </row>
    <row r="169">
      <c r="A169" t="inlineStr">
        <is>
          <t>あっという間に</t>
        </is>
      </c>
      <c r="B169" t="inlineStr">
        <is>
          <t>成功</t>
        </is>
      </c>
      <c r="D169" t="inlineStr">
        <is>
          <t>あっという間に消え；あっという間に見えなく；あっという間に平らげ；あっという間に小さく；あっという間に食べ</t>
        </is>
      </c>
      <c r="E169" t="inlineStr">
        <is>
          <t>すぐに；間もなく；軽く；たちまち；簡単に</t>
        </is>
      </c>
      <c r="H169" t="n">
        <v>29</v>
      </c>
      <c r="I169" t="inlineStr">
        <is>
          <t>ただ試験しかしていないから、あっという間に 時間が経った気がする。；あっという間に足をすべらせて彼は下の岩に向って落ちこんだのだった。；一組の夫婦が人形劇の上演を始めたところ、あっという間に人気が出た。；いくらゆっくり足を運んだって、あっという間に着いたと思うでしょう。；そんな下らない事を考えているうちに、 あっという間に夕方になった。；むろん張り込みをつづけていた警官にあっという間に手錠をかけられた。；楽しい時間はあっという間に過ぎて、午後の授業が始まってしまった。；なるべくゆっくり歩いたつもりだったのに、あっという間に家についた。；どうしてローダンはあっという間におれの気もちを変えてしまったのか?；そうした地帯が少し続くと、あっという間にオアシス地帯に入って行く。；そしてその奇妙な形は、あっという間に消えて、他の形が後に続いた。；あっという間に、城の庭は、戦士たちといななく馬でいっぱいになった。；いつも何か手を動かしていて、居間はあっという間に散らかってしまう。；いい出会いは逃さんでさ、じゃないとあっという間にオバサンになるよ。；ここで無理を強いたら、あっという間に警邏を呼ばれてしまうことだろう。；日はめっきり短くなり、あっという間にあたりは夜のとばりに包まれた。；車はあっという間に市街地を抜けて、急な勾配の山道へと進んでいった。；何にせよこんな比較試聴をしていればあっという間に五時間はたっている。；五十本の火のついた松明があっという間に魔法のように通りにあらわれた。；好き勝手しているうちにあっという間に寝る時間になってしまった。；しかもこの変化はなんと一瞬の間に、あっという間に起ったのである。；あっという間に彼らは大人数となり、この地方の大きな脅威となった。；男の姿はあっという間に雲の上へ消え、それきり見えなくなりました。；雪は冷たい感覚を残して、あっという間に舌の上で消えていった。；ふしぎな光輝はあらわれたときと同様、あっという間に消えてしまった。；向うのレールが曲っちゃって、そうなればあっという間に見えなくなる。；今日になってみればあっという間に過ぎてしまった気がする。；すると藍子はあっという間に、嘘のようにあっけなく寝こんでしまった。；あっという間に攻撃の矛先は、不甲斐ない警察側に向けられてしまった。</t>
        </is>
      </c>
      <c r="J169">
        <f>HYPERLINK("https://www.weblio.jp/content/あっという間に", "词义详情")</f>
        <v/>
      </c>
      <c r="K169">
        <f>HYPERLINK("https://yourei.jp/あっという間に", "查看例句")</f>
        <v/>
      </c>
    </row>
    <row r="170">
      <c r="A170" t="inlineStr">
        <is>
          <t>圧倒</t>
        </is>
      </c>
      <c r="B170" t="inlineStr">
        <is>
          <t>成功</t>
        </is>
      </c>
      <c r="C170" t="inlineStr">
        <is>
          <t>読み方：あっとう
［名］(スル)
１きわだってすぐれた力をもっていること。また、その力で相手を押さえつけること。「彼の語学力は他を—している」
２力を見せつけて他を恐れさせること。「剣幕に—される」</t>
        </is>
      </c>
      <c r="D170" t="inlineStr">
        <is>
          <t>圧倒する(18%)；圧倒される(7%)；圧倒しよ；圧倒できる；圧倒せら</t>
        </is>
      </c>
      <c r="E170" t="inlineStr">
        <is>
          <t>飲む；呑む；圧する；圧す；押す</t>
        </is>
      </c>
      <c r="F170" t="inlineStr">
        <is>
          <t>圧倒する戦闘力；圧倒する速さ；圧倒する強；圧倒する勢い；圧倒するパワー</t>
        </is>
      </c>
      <c r="G170" t="inlineStr">
        <is>
          <t>圧倒的多数；圧倒的なスタイル</t>
        </is>
      </c>
      <c r="H170" t="n">
        <v>29</v>
      </c>
      <c r="I170" t="inlineStr">
        <is>
          <t>数的に劣勢であったイギリス隊は圧倒されるまで戦い続けた後に撤退した。；中国が最大の産出地であり他国を圧倒しており、ブラジルがそれに続く。；それらの美しさはマリアを魅了し、また種類の膨大さは彼女を圧倒した。；またイギリスでは日本では考えられない工業技術に圧倒された。；この年からチームと共に快進撃が始まり他チームを圧倒するようになる。；それは自立して行動し、次第に改良され、ソ連軍を圧倒するようになる。；追い求めた父との戦いで、チョコボは圧倒されつつ偶然にも勝利を掴む。；一方、海岸側ではペルシア騎兵の大部隊がマケドニア軍を圧倒していた。；一部のイングランド勢はある小山の上に結集し、次いでそこで圧倒された。；世界を見渡せば、火薬兵器を導入したことで周辺国を圧倒した国は多い。；この場合、もし敵が圧倒してきた場合に逃げ道が無くなることになる。；マスコミなどはセナがシーズンを圧倒するのではないかと予想する者までいた。；インディアのダンスは他の応募者を圧倒し、当然のように最後まで残った。；日本軍はある程度の抵抗は示したが、数と質共に圧倒された。；そのパワフルさにシャンプーハットの二人が圧倒されていることもよくある。；ことに上野国戦線では真田昌幸の活躍もあって、後北条氏方を圧倒した。；当初は有利に戦うも本気を出したクラッシュマンには圧倒される。；当時は関東馬というだけで人気になるほど関東馬の質が圧倒していた時代だった。；実はアーセナルFCを圧倒した彼のプレーは特に海外のメディアに注目されたのである。；特に中戦車・重戦車はそれに類するものを持たないドイツ戦車を圧倒した。；交易活動が盛んなコリントスやアイギナもアテナイの勢力に圧倒された。；スピードで相手を圧倒しながらダメージを蓄積していくのが基本戦法。；本地人の人口が客家を圧倒していたために、客家側の被害は甚大であった。；尾部の触角状の触手を使った不意討ちなどで攻撃するも圧倒されてしまう。；圧倒され重傷を負ったところをトランクスとマイに助けられ現代に敗走。；自分の道を見い出せない風子は、周囲の人々のそんな姿に圧倒される事も多い。；しかし、その後大学院に進学するも、周囲の研究への熱量に圧倒されてしまう。；エースを圧倒するが不意を突かれ、背中にチョップ攻撃を受けて倒れる。；バルト海沿岸国の支配権を確立し、近隣諸国を圧倒するに至ったのである。</t>
        </is>
      </c>
      <c r="J170">
        <f>HYPERLINK("https://www.weblio.jp/content/圧倒", "词义详情")</f>
        <v/>
      </c>
      <c r="K170">
        <f>HYPERLINK("https://yourei.jp/圧倒", "查看例句")</f>
        <v/>
      </c>
    </row>
    <row r="171">
      <c r="A171" t="inlineStr">
        <is>
          <t>圧倒的</t>
        </is>
      </c>
      <c r="B171" t="inlineStr">
        <is>
          <t>成功</t>
        </is>
      </c>
      <c r="C171" t="inlineStr">
        <is>
          <t>読み方：あっとうてき
［形動］他より非常に勝っているさま。「—に強い」「—な支持を得る」</t>
        </is>
      </c>
      <c r="D171" t="inlineStr">
        <is>
          <t>圧倒的に多い(6%)；圧倒的な強(5%)；圧倒的な力(4%)；圧倒的に多く(2%)；圧倒的な支持</t>
        </is>
      </c>
      <c r="F171" t="inlineStr">
        <is>
          <t>圧倒的に少ない；圧倒的不利；圧倒的支持；圧倒的有利；圧倒的な物量</t>
        </is>
      </c>
      <c r="G171" t="inlineStr">
        <is>
          <t>圧倒的なスタイル</t>
        </is>
      </c>
      <c r="H171" t="n">
        <v>29</v>
      </c>
      <c r="I171" t="inlineStr">
        <is>
          <t>それが物の圧倒的な存在感をもって見る者に迫ってくる要素となっている。；セルビア国内ではサッカーが圧倒的に1番人気のスポーツとなっている。；圧倒的に経験が少ないブランドを起用したのはカザンの選択であった。；このことはアメリカの圧倒的軍事力を世界中に見せつける結果となった。；圧倒的な強さを手に入れるも本来の人の良さがなくなってしまう。；世界的な規模ではクレジット機能付きのカードでの支払いが圧倒的に主流。；今日ではシミュレーションといえば後者のことをさす場合が圧倒的に多い。；トルコ国内ではサッカーが圧倒的に1番人気のスポーツとなっている。；ラオス国内ではサッカーが圧倒的に1番人気のスポーツとなっている。；圧倒的な科学力と技術力を誇り、自分たちを優秀な種族だと思っている。；同様にイギリスやソ連の大半の戦車にも圧倒的な優位を誇っていた。；などの理由が挙げられており、便秘治療薬の購入者は女性が圧倒的に多い。；官の方が私よりも格はやや上で、私奴婢の方が数の上では圧倒的に多かった。；導入されている車両は日野自動車製・いすゞ自動車製の車両が圧倒的に多い。；しかし日本においては障害馬でも去勢されないことが圧倒的に多い。；これによれば、相中飛車戦では囲いは相美濃が圧倒的に多いとしている。；ローマで圧倒的に人気のあるスポーツはサッカーである。；先の試合で見せた圧倒的な強さから前評判ではアリの圧倒的有利の予想であった。；ブルネイ国内では、サッカーが圧倒的に1番人気のスポーツとなっている。；つまり、物理的にも心理的にも、馬に乗って戦う側は圧倒的に有利になる。；ウズベキスタン国内でサッカーは圧倒的に1番人気のスポーツとなっている。；日本では日本語と英語の組み合わせが圧倒的に多い。；変速機はマニュアルトランスミッションが圧倒的に支持を受けていた。；準決勝で猫田と対戦したスマイルはこれまた圧倒的な結果で勝利して見せた。；この中にはテレビ等のメディアで活躍する組が圧倒的に多い。；彼は国民の圧倒的な支持で大統領就任を果たす。；症例数の圧倒的な多さからみてこれがもっとも妥当な数値であろう。；こうしたことから、自然災害の死者数は発展途上国の方が圧倒的に多い。；一方シューマッハーは圧倒的な支持で西側 SPD の党首に選出された。</t>
        </is>
      </c>
      <c r="J171">
        <f>HYPERLINK("https://www.weblio.jp/content/圧倒的", "词义详情")</f>
        <v/>
      </c>
      <c r="K171">
        <f>HYPERLINK("https://yourei.jp/圧倒的", "查看例句")</f>
        <v/>
      </c>
    </row>
    <row r="172">
      <c r="A172" t="inlineStr">
        <is>
          <t>圧迫</t>
        </is>
      </c>
      <c r="B172" t="inlineStr">
        <is>
          <t>成功</t>
        </is>
      </c>
      <c r="C172" t="inlineStr">
        <is>
          <t>読み方：あっぱく
［名］(スル)
１強くおしつけること。「胸を—する」
２武力や権力などで押さえつけること。威圧。「大国の軍拡は近隣諸国を—する」
３押さえつけて規模を縮小させること。「物価高で家計が—される」</t>
        </is>
      </c>
      <c r="D172" t="inlineStr">
        <is>
          <t>圧迫感(12%)；圧迫する(11%)；圧迫される(4%)；圧迫ビーム；圧迫しよ</t>
        </is>
      </c>
      <c r="E172" t="inlineStr">
        <is>
          <t>押し；圧力；制圧；弾圧；抑圧</t>
        </is>
      </c>
      <c r="F172" t="inlineStr">
        <is>
          <t>強く圧迫；被圧迫；強い圧迫；頸部圧迫；胸部圧迫</t>
        </is>
      </c>
      <c r="G172" t="inlineStr">
        <is>
          <t>圧迫面接；圧迫系プレイ</t>
        </is>
      </c>
      <c r="H172" t="n">
        <v>29</v>
      </c>
      <c r="I172" t="inlineStr">
        <is>
          <t>彼女の独立的な性格が抵抗したからこそ、彼はもっと強く圧迫したのだ。；また、階下席では壁に横長の鏡を設置して部屋の圧迫感を和らげている。；簡便に解釈するならば神経圧迫を開放するための手段ということになる。；また、都に残された時忠の家族にも特に圧迫が加えられた様子はない。；当時60程しかなかった回線を圧迫したため後に公開が終了となった。；阿閉麻呂らの行軍中に、吹負の軍は西と北の二方面から敵に圧迫された。；坂口はこれを聞きながら「言いようのない胸の圧迫感」があったという。；朝鮮王朝の末期になると、近代化の動きの中で仏教への圧迫も弱まった。；現役世代を圧迫するとして廃止や廃止の検討をしている組合が出てきている。；直接融資は民業の圧迫になると言う批判があり、縮小することとなった。；天井は圧迫感を与えないような直線的なデザインとされた。；景勝方は勢いに乗り、中越地方の景虎方の諸城への圧迫を強めていった。；米の増産を目的としたこれらの事業は、逆に藩財政を圧迫する結果となった。；胸骨の下半分、胸の真ん中に手の付け根を置き両手を重ねて、圧迫する。；当時の下層民は外国人やキリスト教徒に圧迫され生活が苦しくなっていた。；また字同士が非常に近接しており、生理的な圧迫感と威圧感を持っている。；しかし護民官が民衆を圧迫するようであれば、それはもう護民官ではない。；機械刺激・温度・圧迫・汗・運動などで誘発される場合がある。；また肺を圧迫するために呼吸が阻害され、長時間の走行を困難にしている。；ただし惑星探査の予算が圧迫されている状況に変わりはなかった。；さらに、兵站線の延長が避けられないためにしばしば国家兵站を圧迫する。；しかし運送費は夫妻が負担しなければならず、家計を圧迫する要因となった。；東山線ホームは古い構造であるため、天井が低く、やや圧迫感がある。；しかし多数の死傷者が出た上、大雪対策で財政が圧迫される自治体が出た。；しかし、これは同時にメーカーの利益を圧迫することにもなる。；愛撫に含まれるため、下になる人物への圧迫はあまり行われない。；しかし経営は上向かず本業を圧迫することとなり、倒産の一因となった。；画像が大きすぎると圧迫感を与えますので、適度な大きさにとどめて下さい。；これらの圧迫に関連した単ニューロパチーは改善するのに数週から数ヶ月かかる。</t>
        </is>
      </c>
      <c r="J172">
        <f>HYPERLINK("https://www.weblio.jp/content/圧迫", "词义详情")</f>
        <v/>
      </c>
      <c r="K172">
        <f>HYPERLINK("https://yourei.jp/圧迫", "查看例句")</f>
        <v/>
      </c>
    </row>
    <row r="173">
      <c r="A173" t="inlineStr">
        <is>
          <t>集まり</t>
        </is>
      </c>
      <c r="B173" t="inlineStr">
        <is>
          <t>成功</t>
        </is>
      </c>
      <c r="C173" t="inlineStr">
        <is>
          <t>読み方：あつまり
１集まること。また、集まったもの。「客の—が悪い」
２共通の目的で人が大ぜい寄り合うこと。集会。会合。寄り合い。「身内の—」</t>
        </is>
      </c>
      <c r="D173" t="inlineStr">
        <is>
          <t>集まりまし(2%)；集まり始め(2%)；集まりはじめ；集まりやすい；集まりだし</t>
        </is>
      </c>
      <c r="E173" t="inlineStr">
        <is>
          <t>軍；チーム；会；グループ；一緒</t>
        </is>
      </c>
      <c r="F173" t="inlineStr">
        <is>
          <t>寄り集まり；多く集まり；集まりつつある；小さな集まり；多数集まり</t>
        </is>
      </c>
      <c r="H173" t="n">
        <v>29</v>
      </c>
      <c r="I173" t="inlineStr">
        <is>
          <t>雪から融解した水は水路を作りながら集まり、氷の表面に池を多数作る。；部屋そのものでなく、そこで学ぶ人の集まりを教室と呼ぶことがある。；あるいは、死期が近づくとこの地に集まりひたすら死を待つ人々もいる。；人々は中国風の装飾が施された部屋に着飾って集まり、これに親しんだ。；この時期になると繁殖地の海岸には多くの親鳥が集まり、繁殖を始める。；同じ時刻に場の量が同じ値をとる点の集まりによってできる面を波面という。；かつては暴走族が数千台規模で集まり、警察が出動したこともあった。；EDVACは様々な命令の集まりを実行するよう設計されていた。；社会は、ある共通項によってくくられ、他から区別される人々の集まり。；中心から右上の点の集まりがプレアデス星団だと信じられている。；しかし、しばしば矛盾とも思える様々な主張の寄せ集まりであると批判されてもいる。；儀式の後で家族全員がテーブルの周りに集まり、多精子から食べた。；この道路網を通じて諸地域の産物がアステカに集まりその繁栄を支えた。；この番組でその才能に注目が集まり、映画や舞台に次々と声が掛かるようになる。；光学顕微鏡で多数の泡の集まりのように見えるので海綿状の名がある。；この場合、屋号はその地域や特定の集まり以外でほとんど使われることがない。；駅改良の前は線路は駅より先に集まり、車止めは1つのみであった。；昭和50年代まであった島の小中学校の卒業生の集まり等は行われている。；草や水を求めて動物が集まり、更にその動物を捕食する動物が集まっている。；現場には直後から近所の住民が集まり出して人だかりができ、一時大混乱となった。；国民の期待は軍部に集まり、弱腰であると非難されていた政治家は信頼を失った。；伝統的な指導者や年長者などが集まり、市の文化を次代に引き継いでいる。；女性たちは新しい服を着て、1つの堂に集まり、七姉妹となった。；もうひとつの別な説明は、相空間を通る点の集まりの軌跡を考えることである。；キャンベラはいくつかのサバーブの集まりに過ぎないという意見もあった。；証言や証拠が集まり事件の真相が判明したところで、有力者が強硬手段に出る。；戦地では、軍の周りに業者が女性を連れて集まり、軍の許可を取り付けて営業した。；大学のようなものではなく、フィチーノの友人たちの集まり、と言ってもよい。；恵帝が宮殿に帰ったと伝わると、四散した百官も次第に集まり始めた。</t>
        </is>
      </c>
      <c r="J173">
        <f>HYPERLINK("https://www.weblio.jp/content/集まり", "词义详情")</f>
        <v/>
      </c>
      <c r="K173">
        <f>HYPERLINK("https://yourei.jp/集まり", "查看例句")</f>
        <v/>
      </c>
    </row>
    <row r="174">
      <c r="A174" t="inlineStr">
        <is>
          <t>集まる</t>
        </is>
      </c>
      <c r="B174" t="inlineStr">
        <is>
          <t>成功</t>
        </is>
      </c>
      <c r="C174" t="inlineStr">
        <is>
          <t>読み方：あつまる
［動ラ五（四）］
１多くの人や物が一つところに寄る。「友は類をもって—・る」「野鳥が—・る公園」「募金が—・る」
２人々の気持ちなどが集中する。注がれる。「世間の同情が—・る」
[可能]あつまれる
[用法]あつまる・つどう——「教会に集まる（集う）信者たち」「同窓生たちは年に一度母校に集まる（集う）」などでは相通じて用いられる。◇「集う」には、「共通の意志をもった者が」の意があり、今日では多く人に限って用い、やや文章語的である。人以外では「寄付が集まる」「花に虫が集まる」のように、「集まる」が用いられる。◇類似の語に「群がる」「たかる」がある。「群がる」は「野次馬が群がる」「花に群がる蜂」のように用いて一か所に群れのように集まっているようすをいい、「たかる」は「蟻(あり)が砂糖にたかる」のように、集中的に群がっているようすをいう。</t>
        </is>
      </c>
      <c r="D174" t="inlineStr">
        <is>
          <t>集まる芸術家</t>
        </is>
      </c>
      <c r="E174" t="inlineStr">
        <is>
          <t>会う；合う；収集；集合；集める</t>
        </is>
      </c>
      <c r="F174" t="inlineStr">
        <is>
          <t>寄り集まる；よく集まる；大勢集まる；多数集まる；たくさん集まる</t>
        </is>
      </c>
      <c r="H174" t="n">
        <v>29</v>
      </c>
      <c r="I174" t="inlineStr">
        <is>
          <t>この時点では殆ど情報が集まっておらず、詳細な状況は不明であった。；共通の趣味・興味を持つ仲間が定期的に集まって形成する団体をいう。；一説によると、ツルがよく集まったためこの名がついたといわれている。；中には普通は花に集まらない昆虫を誘引するように進化したものもある。；それを見たいものは何月何日を期してどこへ集まれというのだそうです。；豊かな土地には人が集まり、人が集まればたくさんのものが必要になる。；中でも浅草は江戸で最も人が集中する所で人・物・金が集まってきた。；一方同時に多くの地方人が、料理をしてくれる家族を残してパリに集まった。；だが、集まれと命じた五原の猛士たちも、どうしたわけか姿をみせない。；海外から学生が集まること以外はごく普通の文化的な学園祭である。；この会議に集まった専門家たちは最終的に以下の結論に達した。；公園の舞台の前には、前日よりもなほたくさんの人が集まつてゐました。；当時はまだ電話そのものが珍しく、加入者が集まらずに苦労した時代。；子供客は作りものの馬や豚に乗せて回転する興行物に多く集まつて居る。；或は夜中そこに集まつて、何か祭を營んだ故跡では無いかと思つて居る。；スタジオにみんなで集まってやらないと、この番組の雰囲気は出ないんですよ。；三度目の勝負の日には、噂を聞きつけてたくさんの観衆が集まっていた。；この提案にはかなり注目が集まったが、結局築かれることはなかった。；時刻が來て、皆の者が行列に集まつたが、まだヤンは姿も見せなかつた。；現代でも旧・家臣団が鳴沢家当主の法要に列席するために集まってくる。；集まったメンバーは5月の神戸まつりで行われるパレードにも参加した。；両親は音楽を愛し、家は芸術家が集まる一種のサロンのようになっていた。；ローマに集まっていた文化人・芸術家は殺され、あるいは他の都市へ逃れた。；本大会では、ドーピング問題に本格的に注目の集まった初の大会ともいえる。；これらの家が集まって村落を形成し、規模が大きくなると都市になった。。；結局、通常の半数以下の議員しか集まらない状態でセイムが開催された。；いくつかの修道院の集まった修道院群のことを、大修道院と呼ぶ。；やがてラーマクリシュナの教えを聴くために、ある程度の人が集まった。；国境の路にある酒場へ波蘭人が集まつて、もう二日も酒宴を開いてゐる。</t>
        </is>
      </c>
      <c r="J174">
        <f>HYPERLINK("https://www.weblio.jp/content/集まる", "词义详情")</f>
        <v/>
      </c>
      <c r="K174">
        <f>HYPERLINK("https://yourei.jp/集まる", "查看例句")</f>
        <v/>
      </c>
    </row>
    <row r="175">
      <c r="A175" t="inlineStr">
        <is>
          <t>集める</t>
        </is>
      </c>
      <c r="B175" t="inlineStr">
        <is>
          <t>成功</t>
        </is>
      </c>
      <c r="C175" t="inlineStr">
        <is>
          <t>読み方：あつめる
［動マ下一］［文］あつ・む［マ下二］
１多くの人や物を一つところにまとめる。「聴衆を—・める」「切手を—・める」
２興味・関心などを引きつける。集中させる。「注目を—・める」「人望を—・める」「全神経を—・める」</t>
        </is>
      </c>
      <c r="D175" t="inlineStr">
        <is>
          <t>集めるべく；集めるよう命じ；集めるよう指示；集めるよう命令</t>
        </is>
      </c>
      <c r="E175" t="inlineStr">
        <is>
          <t>収録；取る；収集；集合；コレクション</t>
        </is>
      </c>
      <c r="F175" t="inlineStr">
        <is>
          <t>呼び集める；買い集める；全て集める；個集める；寄せ集める</t>
        </is>
      </c>
      <c r="H175" t="n">
        <v>29</v>
      </c>
      <c r="I175" t="inlineStr">
        <is>
          <t>このころ、彼はお金を集めるために世界の多くの場所へ旅立ったのである。；全てのステージの虹のかけらを集めることがゲームの最終目的となる。；そのため、スプリト市では商業やサービス業を集める試みを行っている。；教会改革の支持を集めるためにパンフレットや講義や演劇を用意させた。；同作品の公開と同時に新世代の映画監督としても注目を集めるようになる。；また選挙に世間の関心を集めるために多くの策が講じられてきた。；その独自の企画発想法やマーケティング理論で業界内外の注目を集める。；この頃から雑誌の表紙などでモダンな欧風の図案を発表し話題を集める。；このTIPSを集めることが隠し要素出現の条件となっている場合もある。；何でも集める人もいるが、多くの人は特定の分類群に情熱を集中する。；国民的な高視聴率番組だったことも加わって、たちまち人気を集める。；その結果、次のような 14 行 5 列のデータを集めることができた。；このおかげで劉備は資金を手にして仲間を集めることが出来た。；フランチェスコは徐々に人々からの崇敬を集めるようになっていった。；つまり、放射線実験所で使われるような全装置を集めろというんだ。；リーダーの男はこちらに銃を突きつけて全員をノード3に集めろと言ってる。；当時からスーパーカー消しゴムを集めるなど車への関心は高かったという。；多くの注目を集める中での研究となり、一時期は敗北宣言を出すことまで考えた。；この時白象を7頭を集めることが出来たため白象王と呼ばれるようになった。；復帰後は正GKに定着し、ビッグクラブからも注目を集めるようになる。；嗣永も怪我をしたのではないかと心配されるほど体を張って活躍し、注目を集める。；日本国の運営に必要な資金を集めるために発行される。；若松孝二監督の問題作『壁の中の秘事』の脚本を担当して注目を集める。；この時に民衆の支持を集めるために陳勝は扶蘇、呉広は項燕を名乗った。；黙示録の中では神との戦いに備えて汚れた霊が王たちを集める場所をさす名称である。；複数クラブの注目を集める中、2004年に大学を卒業しFC東京に入団。；また、この袋が虫を集めるのを利用しようとする虫もある。；元禄9年には不足する人馬を周辺の村々から集める助郷制が定められた。；テレビ局もやりたがっているし、実際にスタッフや俳優を集める力も持っています。</t>
        </is>
      </c>
      <c r="J175">
        <f>HYPERLINK("https://www.weblio.jp/content/集める", "词义详情")</f>
        <v/>
      </c>
      <c r="K175">
        <f>HYPERLINK("https://yourei.jp/集める", "查看例句")</f>
        <v/>
      </c>
    </row>
    <row r="176">
      <c r="A176" t="inlineStr">
        <is>
          <t>誂える</t>
        </is>
      </c>
      <c r="B176" t="inlineStr">
        <is>
          <t>成功</t>
        </is>
      </c>
      <c r="C176" t="inlineStr">
        <is>
          <t>読み方：あつらえる
［動ア下一］［文］あつら・ふ［ハ下二］
１自分の思いどおりに作らせる。注文して作らせる。「洋服を—・える」「寿司を—・える」
２人に頼んでさせる。
「佐用氏(さようじ)にゆきて老母の介抱(いたはり)を苦(ねんごろ)に—・へ」〈読・雨月・菊花の約〉</t>
        </is>
      </c>
      <c r="D176" t="inlineStr">
        <is>
          <t>注文；頼む；発注；オーダー；註文</t>
        </is>
      </c>
      <c r="H176" t="n">
        <v>29</v>
      </c>
      <c r="I176" t="inlineStr">
        <is>
          <t>五勺誂えた客は簡単に飲食されるものがそこへ運ばれて来るのを待った。；なぜならこの曲は特に彼女へ誂え向きにできているものと思えるからです。；とうとう女がこれから馬車を誂えに、自分で行って来ようと言い出した。；こんな仕事が自分に誂え向きかどうか、他人様にわかってたまるもんか。；それは自分の買った品でもなければ、拵えてくれと誂えた物でもなかった。；もし誰かにその靴のことを訊かれたら、特別誂えだとでもいうんだな。；その中でも特別誂えの奴と見えて、相手は二人と見ても怯まなかった。；風中は誂えたビフテキが来ると、これは切り味じゃないかと言ったりした。；風中は誂えたビフテキが来ると、これは切り味じゃないかと云ったりした。；海外へも足を伸ばし、観客向けに自身の作品を誂えなければならなくなった。；やがて、女中は誂えて置いた鳥の肉を大きな皿に入れて運んで来た。；その一人のヴェランダに近い卓の処まで附いて来たのに、食事を誂えた。；そのカーテンはその出窓に誂えたかのようなちょうど良い長さだった。；ここの主人はいつも舶来の布地で誂えたりっぱな背広ばかり着ています。；誂えて松と梅と万両を壺へ活けさせたのを、そこへ花屋から届けてきた。；何んでも緑川が一風堂で刀剣を誂えるようになってからの縁だという。；混乱期でも、子供に制服を誂えてやれる家庭は、厳然として残っていた。；きっとどっかに、お前さんにぴったり誂え向きの女がいるに違いないのさ。；そうして、もう前から誂えてあったらしい二台の人車を呼びました。；三人の迎は来ていたが、代助はつい車を誂えて置くのを忘れた。；そして、これを見た他の艦でも制服を誂えることが流行した。；誂えシャツの胸もとやカフスには必ず刺繍でイニシャルが入れられている。；詩を作り俳句を作るには誠に誂え向きの病気なりとて自ら喜びぬ。；外国へ出すという話で気が付いたのであるが、これも誠に御誂え向きの話である。；工藤の話だと、東京には特別誂えの蒔絵の注文があるのだと言う。；板の高さは地面を去る約一メートルだから飛び上がるには御誂えの上等である。；台石に特に意匠はない、つい通りの巌組一丈余りの上に、誂えの枠を置いた。；これは「希望の通りに誂えます」とった意味をもつ言葉である。；煙管のことは詳しくねえが、こいつはわざわざ細工師に頼んだ誂えものだ。</t>
        </is>
      </c>
      <c r="J176">
        <f>HYPERLINK("https://www.weblio.jp/content/誂える", "词义详情")</f>
        <v/>
      </c>
      <c r="K176">
        <f>HYPERLINK("https://yourei.jp/誂える", "查看例句")</f>
        <v/>
      </c>
    </row>
    <row r="177">
      <c r="A177" t="inlineStr">
        <is>
          <t>当て</t>
        </is>
      </c>
      <c r="B177" t="inlineStr">
        <is>
          <t>成功</t>
        </is>
      </c>
      <c r="C177" t="inlineStr">
        <is>
          <t>読み方：あて
［名］
１行動の目当て。目標。目的。「—もなくうろつく」
２将来に対する見通し。先行きの見込み。「借金を返す—がない」
３心の中で期待している物事。頼り。「父からの援助は—にできない」
４酒に添える食べ物。肴(さかな)。つまみ。「酒の—」
５借金のかた。抵当。
「此指環…を—に少し貸して頂戴な」〈魯庵・社会百面相〉
６（他の語の下に付いて）
㋐保護するためにあてがうもの。「ひじ—」「すね—」
㋑ぶつけあうこと。「鞘(さや)—」
［接尾］（宛）名詞・代名詞に付く。
１配分する数量・割合を表す。あたり。「ひとり—二個」
２送り先・差し出し先を示す。「下宿—に荷物を送る」</t>
        </is>
      </c>
      <c r="D177" t="inlineStr">
        <is>
          <t>当てられる(3%)；当ててみる；当てさせる；当ててごらん；当て続ける</t>
        </is>
      </c>
      <c r="E177" t="inlineStr">
        <is>
          <t>思い；目的；光；対象；意識</t>
        </is>
      </c>
      <c r="F177" t="inlineStr">
        <is>
          <t>焦点を当て；手を当て；押し当て；耳に当て；声を当て</t>
        </is>
      </c>
      <c r="G177" t="inlineStr">
        <is>
          <t>当てはまる；当てはまら；当てはめ；当て字；当てはめる</t>
        </is>
      </c>
      <c r="H177" t="n">
        <v>29</v>
      </c>
      <c r="I177" t="inlineStr">
        <is>
          <t>中央にバイイ、中央寄り右下で胸に手を当てているのがロベスピエール。；そして左右どちらの手の上にエミリーが手をかざしているかを当てさせた。；彼らの名前として西洋では7世紀から次のような名が当てられている。；と当て推量しているが当時の心境を全く覚えていないと述懐している。；角を持つものの戦いは、互いに角同士を押し当てての力比べの形をとることが多い。；何度か弾を当てているとだんだんと敵の動きも速くなってくる。；レーザー光を当てその帰ってくるまでの時間から長さを測定する。；身体機能の障害に対して、法令などで障害の語が当てられるようになった。；この際に入間郡域の西側の一部を高麗郡域に当てたものと見られる。；州内では文化、歴史、民俗に焦点を当てた多くの祭も開催されている。；この研究では、主に人生経験が人格の変化に及ぼす影響に焦点を当てた。；ボールを当てられた内野のプレイヤーは、外野に出なければならない。；女性が男性の胸に両手を当てて両膝を支点にして腰を前後に動かす。；あとは「お手玉」の要領で左右にはじき飛ばされる敵に弾を当てていく。；学校教員ならまとまった休暇を執筆に当てられると思ってのことでもあった。；我々が主張している理論では、信用供給に焦点を当てた訳です。；後に製作されたOVA版では、堀江美都子自身により声を当てられている。；この場合、新たに3人を決め直してから同じ商品の金額を当ててもらっていた。；頬をストックに当ててその位置で動かさず、その位置から照準器を覗く。；そのためこれらの国の緑の党は、選挙制度の民主化に焦点を当てている。；徳間は「何本も当てて世界のアニメプロデューサーになる」と豪語した。；偶然にも自動車を当ててしまったが、社員であるため辞退した。；花の鍵の光を七色の花に当て、フラワーヌ星へと続く虹の橋が現れた。；ドミニカ共和国と同じ漢字を当てているため区別のために土弥尼加国とも。；射影とは、物体に光を当ててその影を映すこと、またその影のことである。；自動並列化で主に焦点が当てられるプログラム制御構造はループである。；また、逆にバットの根っこにボールを当てて打球を殺すこともあった。；優先席は頭当ての色が他の座席のパープルに対しグレーとされている。；個人の主観性・主観的な経験に大きく焦点を当てた自己啓発の体系を持つ。</t>
        </is>
      </c>
      <c r="J177">
        <f>HYPERLINK("https://www.weblio.jp/content/当て", "词义详情")</f>
        <v/>
      </c>
      <c r="K177">
        <f>HYPERLINK("https://yourei.jp/当て", "查看例句")</f>
        <v/>
      </c>
    </row>
    <row r="178">
      <c r="A178" t="inlineStr">
        <is>
          <t>宛先</t>
        </is>
      </c>
      <c r="B178" t="inlineStr">
        <is>
          <t>成功</t>
        </is>
      </c>
      <c r="C178" t="inlineStr">
        <is>
          <t>読み方：あてさき
手紙や荷物などを受け取る先方、または、場所。「—不明」</t>
        </is>
      </c>
      <c r="D178" t="inlineStr">
        <is>
          <t>宛先アドレス(3%)；宛先不明(3%)；宛先ノード(2%)；宛先ホスト；宛先ipアドレス</t>
        </is>
      </c>
      <c r="E178" t="inlineStr">
        <is>
          <t>アドレス；送り先；届け先；あて先；宛て先</t>
        </is>
      </c>
      <c r="H178" t="n">
        <v>29</v>
      </c>
      <c r="I178" t="inlineStr">
        <is>
          <t>宛先はそのときたまたま何かを知らせねばならぬ相手であれば誰でもよい。；宛先が娘だったのは、彼の妻は既に魔女として処刑されていたからだった。；お手紙は度々いただきたいと思いますが、宛先は伯爵のところで結構です。；しかるべき日がくると、適切な祝電が宛先に自動的に送られるのである。；この手の祝電のほとんどは紹介されないまま、宛先人の手に渡される。；メンデルスゾーンは宛先未詳の手紙の中で、死についてこう記していた。；しばらくして手紙を出したが宛先人不明で戻ってきた。；しかも宛先が国内であれば出版社の側で送料を負担することになっておりましてね。；多子が常用している封筒には、多子の文字で一也の宛先が書かれている。；それでアスミはつぎの朝、宛先が書かれていない手紙を受け取ることになる。；ブリッキーが書いた手紙の入った封筒の宛先を見た青年は自分の故郷と同じだと言う。；また、主要な古い写本では、宛先がテサロニケであることは一致している。；宛先を見てゆくと、中に花屋の送り状とメッセージカードがあった。；auのiPhone同士であれば電話番号を宛先にすることができる。；この手紙は特定の教会を宛先とするものではなく、執筆地に関する情報は乏しい。；だって、メールの宛先の表示が間違っているように見えるんだから。；また、ベレヤやフィリピが実際の宛先だったと仮定する論者たちもいる。；出した手紙が宛先不明で戻って来て、電話が通じなくなるまで、ただごとではないなんて思いもしなかったんですから。；喧嘩した恋人に謝罪の手紙を送ったが、宛先不明で返送されてきたという歌である。；ゲートウェイおよび宛先ホストのどちらでも発生する可能性がある。；赤のボールペンで線消ししたその宛先の横に、この家の住所が書き直されていた。；二番目の宛先人は蔵前の有力な札差でしたが、会ってももらえませんでした。；そこでストーントン自身が書いた電報の一部を見つけたが、その宛先は不明だった。；宛先がオードリ地区百番地と書いてあるのを見ても驚かなかった。；コーナーの最後で宛先が表示されていた。；宛先の家は現在空家になっていますが、同封の鍵のうち指定どおりのものを使用してください。；たとえば一也に絵葉書を渡して、宛先と当たり障りのない文章を書かせる。；テクストの統一性はその起源にではなく、その宛先のうちにある。；彼女たちはプレゼントの宛先を、「地球人類の皆様へ」としたのである。</t>
        </is>
      </c>
      <c r="J178">
        <f>HYPERLINK("https://www.weblio.jp/content/宛先", "词义详情")</f>
        <v/>
      </c>
      <c r="K178">
        <f>HYPERLINK("https://yourei.jp/宛先", "查看例句")</f>
        <v/>
      </c>
    </row>
    <row r="179">
      <c r="A179" t="inlineStr">
        <is>
          <t>当て字</t>
        </is>
      </c>
      <c r="B179" t="inlineStr">
        <is>
          <t>成功</t>
        </is>
      </c>
      <c r="C179" t="inlineStr">
        <is>
          <t>読み方：あてじ
日本語を漢字で書く場合に、漢字の音や訓を、その字の意味に関係なく当てる漢字の使い方。狭義には、古くから慣用の久しいものについていう。「目出度(めでた)し」など。借り字。</t>
        </is>
      </c>
      <c r="D179" t="inlineStr">
        <is>
          <t>当て字である(11%)；当て字であり(4%)</t>
        </is>
      </c>
      <c r="H179" t="n">
        <v>29</v>
      </c>
      <c r="I179" t="inlineStr">
        <is>
          <t>仏事と関連のあるように見える言葉が多いのは当て字によるものである。；当て字の一種だが、特に一字で表記し、定着して後まで伝わったものを指す。；日本語では「戎克」と表記することもあるが、これは当て字に過ぎない。；それを文字に「常世」と書くのは、その原義を失った後の当て字である。；クルマは実在するものがモデルになっているが、当て字で表記されている。；中国語ではこの種の当て字を「白字」と呼ぶが、これも仮借の一種である。；いつからか四股と相まって「四股名」と当て字で書かれるようになった。；激流でよく暴れた川で、渦が多数発生したから「渦」の当て字とされる。；日本語では音と意味の近い冗句と当て字されることがある。；だから屋根なんて当て字は根っから当てにならぬ、ということになる。；中国語では、外来語や擬声語の当て字に口偏のつく字がよく使われる。；当て字は、万葉仮名のように機能的には漢字の表意性を考慮する必要はない。；これは燃やす際に青竹が爆ぜることからつけられた当て字であろう。；直会は、直り合ふ事だと云はれて居るが、字は当て字で、当てになるまい。；このほか、自立語に対する当て字の例には以下のようなものがある。；一般的に漢字表記は垢穢だが、当て字で九絵と書かれることもある。；この通称名には多くの当て字がなされているが、本項では牛蘭と統一して解説する。；現在はサヤまたは鞘と表記されることが多いが、鞘は当て字である。；名前ではなく、むりに当て字をすれば上の主とでも言えようか。；やはり聞いたときに思った通り、当て字なのだろう。；中国の古都邯鄲の字をあてているのは当て字で、鳴き声から名がついたものかという。；誤字や当て字の多いその文章を解読すると、次のようになった。；なお、この「弩」は「ドレッドノート」の頭の音を取った当て字である。；光の方がいかにも自然にかけてしまっていたのです、でも世間から云えば当て字ということでしょう。；誤字・当て字が随所に散らばり、罵言も喜悦の言葉も素直に記してある。；漢字表記がされる場合にはこの表記が使われていることも多いが、後から当て字として考えられたものともいわれる。；地名の由来は、流域の山のピーク名である白兀に当て字が当てられたものと考えられる。；節句というようなおかしな当て字が、普通になって来たのはそう古いことではない。；もともとはアメリカの場合だと亜米利加という当て字であったものが省略されたものである。</t>
        </is>
      </c>
      <c r="J179">
        <f>HYPERLINK("https://www.weblio.jp/content/当て字", "词义详情")</f>
        <v/>
      </c>
      <c r="K179">
        <f>HYPERLINK("https://yourei.jp/当て字", "查看例句")</f>
        <v/>
      </c>
    </row>
    <row r="180">
      <c r="A180" t="inlineStr">
        <is>
          <t>宛名</t>
        </is>
      </c>
      <c r="B180" t="inlineStr">
        <is>
          <t>成功</t>
        </is>
      </c>
      <c r="C180" t="inlineStr">
        <is>
          <t>読み方：あてな
手紙や書類などに書く、先方の氏名。また、住所と氏名。名宛。</t>
        </is>
      </c>
      <c r="D180" t="inlineStr">
        <is>
          <t>宛名人(2%)；宛名面；宛名ラベル；宛名印刷；宛名シール</t>
        </is>
      </c>
      <c r="G180" t="inlineStr">
        <is>
          <t>宛名職人</t>
        </is>
      </c>
      <c r="H180" t="n">
        <v>29</v>
      </c>
      <c r="I180" t="inlineStr">
        <is>
          <t>消印は横浜になっていたが宛名の筆跡にはちょっと心あたりがなかった。；馬鹿にされたくないと思い、封筒や手紙の宛名を書いた記憶を蘇らせた。；住所や宛名は、定規を使って書いたような、奇妙な文字で記されていた。；人には内々だったが官舎の二階で校正もすれば発送の宛名をさえ書いた。；それで宛名も差出人の名前もない手紙は自分の所に戻ってきていた。；そこへいってこの手紙の宛名になっている紳士をたずねなさい。；表にはちゃんと宛名が間違いなく書かれているのに、裏は真白なのであった。；紹介状の宛名を読むと、それが自分の名前だったので、彼は非常に喜んだ。；私は無我夢中でしたが向こうへ着くとすぐ教えられた宛名のところへ行きました。；宛名印刷にも対応しており一貫して挨拶状の作成ができるサービスを展開している。；宛名は三重県、とありますが、その人はいま東京に住んでいるんです。；宛名は県刑事課の磯川警部になっており、差し出し人の名前はなかった。；ちょいと首を傾けたが、宛名には相違がないので、とにかく封を切った。；それから大阪の方の原稿を、お送り下さるに菊池氏の宛名にして下さい。；栄子の傍らに置かれていた遺書には、宛名も日付も記されてなかったのだ!；というのはその上にウォーカーの宛名が書かれてあったからである。；それじゃあ宛名も住所も書かれていない手紙はどうしたんだ?；その結果、少年は消えて、少年の宛名を記した手紙が、戻ってきた。；その文書は豊臣秀吉から送られたもので、宛名は「南部右京亮」とある。；手にとると、封筒の上に何も宛名が書いてないことがわかった。；彼女が出した葉書が宛名人住所不明で戻って来ていたのである。；おれはこの手紙にドーセットの宛名を書いてポケットに入れた。；手紙の宛名は姉原だったが、姉や父ではないようだった。；英語に翻訳された宛名は次のようになっていた。；手紙の差し出し人である父が文彦で、宛名にある武彦が息子のはずだ。；ずっと後になって、妻になってからのにはH・M・Dという宛名です。；では、どうして荷札の宛名の部分を書きかえなければならなかったのです?；そうすれば、宛名のところへ運ばれるのだと説明しました。；とだけ認めて葉子への宛名も自分の名も書いてはなかった。</t>
        </is>
      </c>
      <c r="J180">
        <f>HYPERLINK("https://www.weblio.jp/content/宛名", "词义详情")</f>
        <v/>
      </c>
      <c r="K180">
        <f>HYPERLINK("https://yourei.jp/宛名", "查看例句")</f>
        <v/>
      </c>
    </row>
    <row r="181">
      <c r="A181" t="inlineStr">
        <is>
          <t>当て嵌まる</t>
        </is>
      </c>
      <c r="B181" t="inlineStr">
        <is>
          <t>成功</t>
        </is>
      </c>
      <c r="C181" t="inlineStr">
        <is>
          <t>読み方：あてはまる
［動ラ五（四）］物事にぴったり合う。適合する。適応する。「条件に—・る」「そのまま自分にも—・る」</t>
        </is>
      </c>
      <c r="D181" t="inlineStr">
        <is>
          <t>当てはまる；あてはまる</t>
        </is>
      </c>
      <c r="H181" t="n">
        <v>29</v>
      </c>
      <c r="I181" t="inlineStr">
        <is>
          <t>言うまでも無くこれは右派の知識人だけでなく左派の知識人にも当て嵌まる。；それらのどれに当て嵌めて見ても、姉の美佐子の行動は当て嵌まるのだった。；すっぽりとこの形が当て嵌まるなにかが、古い昔から存在していたような奇妙な感覚。；しかし山岳部に建設された施設という概念で当て嵌まる海外の城は、存在する。；芸術的に成長がとまったということはモーツァルトには当て嵌まるまい。；しかし、いずれも基本的な構造は既存の類別にぴったり当て嵌まる。；どんな金も金は金、というのはそうそう当て嵌まる言葉ではない。；ここでの足フェティシズムは女性または男性の足に対する男性のそれに当て嵌まる。；したがって、上記に論じた内容は以下のものについても当て嵌まる。；確かにそれに当て嵌まる相当すぐれたものも若干あったが、それは質量共に未だ充分ではない。；ただし、クラーケンイマジンのように必ずその法則に当て嵌まるわけではない。；稀な例になると、BDSMと言った性的嗜好の拘束プレイと言う意味も当て嵌まる。；この歌は如何といふ場合にも当て嵌まるが、こんな風に取つても差支ないであらう。；ただし、この問題は他の殆どの代替前提にも当て嵌まる。；名前はまるで憶えていないが、職業と年齢が当て嵌まる。；この時ほど私はこの言葉が、一分一厘の隙もなくピッタリと当て嵌まる境涯を感じたことがなかった。；この最後の疑問はしかしおそらく現在の我国の物質的のみならず精神的文化の種々の方面に当て嵌まるものかもしれない。；女のやうでもあるが、羽左衛門なら男でも当て嵌まる。；それは一切の現象に例外なく当て嵌まるような普遍的関係を見出すまでである、と云えばそれで足りるであろうから。；このことはブルースの血族であるジャズにもある程度当て嵌まる。；夫故、其所へ人間の論理を持つて行けば、よく当て嵌まるのは素より当然のことであつて、何の不思議も無い。；もし、お説が熊のような獣にも当て嵌まるとすると、雌の方もまたうつぶせに浮かんでいなければ自然の摂理に合わんことになりましょう。；百四十華里は敦煌からの実際の距離六三キロに当て嵌まる。；これは学校の成績にも当て嵌まる。；この感想は、三十年後の現在でも、井上さんにそのまま当て嵌まる。；これは当然〝殺す〟という字が当て嵌まるのだろうが、なかなか鬼気迫るものがある。；「次に、いま挙げた家族と使用人以外の者たちについてだが」 「初めてこの屋敷にやって来た私はもちろん、ここにもこんな抜け穴があるなんて、ついさっきまでまったく知りませんでした」 先手を打って、私は自分が今回の〝犯人の条件〟には当て嵌まる人間であることを申告した。；彼はメタダイン社の経営管理上の序列におさまることを嫌ってどこにも当て嵌まることのないその地位を周到に画策して確立したのだ。；本当にそれが完璧に当て嵌まるピースなら、一刻の猶予も躊躇いも感じてはいけません。</t>
        </is>
      </c>
      <c r="J181">
        <f>HYPERLINK("https://www.weblio.jp/content/当て嵌まる", "词义详情")</f>
        <v/>
      </c>
      <c r="K181">
        <f>HYPERLINK("https://yourei.jp/当て嵌まる", "查看例句")</f>
        <v/>
      </c>
    </row>
    <row r="182">
      <c r="A182" t="inlineStr">
        <is>
          <t>当て嵌める</t>
        </is>
      </c>
      <c r="B182" t="inlineStr">
        <is>
          <t>成功</t>
        </is>
      </c>
      <c r="C182" t="inlineStr">
        <is>
          <t>読み方：あてはめる
［動マ下一］［文］あては・む［マ下二］
１うまく合うようにする。適用する。「この数式に—・めれば解が出る」「校則に—・めて処分する」
２見込んでおく。当てにする。
「七百町を主(ぬし)づかんと、—・めて置いたもの」〈浄・反魂香〉</t>
        </is>
      </c>
      <c r="D182" t="inlineStr">
        <is>
          <t>使用；利用；使う；運用；用いる</t>
        </is>
      </c>
      <c r="H182" t="n">
        <v>29</v>
      </c>
      <c r="I182" t="inlineStr">
        <is>
          <t>大抵どうすると云ふ方針の数が極まつてゐて、何事をもそれに当て嵌める。；たいていどうすると云う方針の数が極まっていて、何事をもそれに当て嵌める。；しかしそれを自分の身に当て嵌めることは堯にはできなかった。；安達君は大谷夫人から聞いた三つの条件を思い出して、三人を当て嵌めて見た。；それらのどれに当て嵌めて見ても、姉の美佐子の行動は当て嵌まるのだった。；そこに明け方の地震を当て嵌めた結果、極めて高い確率で今後の変化が予測できました。；様々な近似を使うことができるが、これらは経験的当て嵌めではなく理論的考察に基づいている。；説明体系として科学などの理論を当て嵌めることが多いが、当然説明し切れるものではない。；ほら、僕には豊富な知識があるから、問題に当て嵌めて事を格段に処理しやすくできる。；その都度鍵を検べ、自分の錠前に当て嵌めて見るには多くの勇気を要するだろう。；従ってこれを翻訳するに方っても、或る一種の文体を以て何人にでも当て嵌める訳には行かぬ。；彼は今や相手の言葉を我が身に当て嵌めて考え出したのである。；多項式当て嵌めは、反応の標準エンタルピーが一定でないことを示すデータを分析するために使用することができる。；理加の場合は、秘密の組織からの追放を意味しているかもしれないが、その考え方を由美の場合に当て嵌めることはできないだろう。；これらは今云ったように方位に当て嵌められ、それぞれ相生と相剋の関係を形成する。；これは数に当て嵌めることが出来ます。；であるからこの限定によって生じた結果をアリストテレスの実体に当て嵌めることは出来ない筈である。；冠の鉤括弧内に超以外の文字が当て嵌められた作品群。；肥満などという病んだ状態を示すことばは健康なブル中野には当て嵌められない。；しかし、現実に陰陽の合体と言ってもむずかしい、そこで陰と陽とを人間に当て嵌めた。；そして上段の右からカードの数値を当て嵌めていった。；まだ植学啓源などと云う本の行われた時代の字書だから、音訳に漢字が当て嵌めてある。；之に反して人間の論理なるものは、自然物の方に当て嵌めて見ると忽ち差支へが生ずる。；どういう漢字を当て嵌めるのか、訊ねたことがなかったのだ。；しかしながらその際にいわば原動機付三輪車のような枠を新設することはなく、既存の二輪車の枠に定義として当て嵌めることで対応した。；こうして完成した本作を平沢は「みんなが持ち寄った曲をバンドのカラーに当て嵌めていったアルバム」と称している。；深川芸者をその言葉に当て嵌めて言っているのだ。；もう昔のように、外国へ行ったからといって何の価値も出る時代じゃなし、ここで習得した左翼や右翼の理論を、そのまま日本へ当て嵌めて考えたって、間違いだらけになるのは定ったことだし、そうかといって、来る前と同じで君がいられるわけのものでもないでしょう。；東西南北中央に木火土金水を当て嵌めるのは陰陽五行の考え方です。</t>
        </is>
      </c>
      <c r="J182">
        <f>HYPERLINK("https://www.weblio.jp/content/当て嵌める", "词义详情")</f>
        <v/>
      </c>
      <c r="K182">
        <f>HYPERLINK("https://yourei.jp/当て嵌める", "查看例句")</f>
        <v/>
      </c>
    </row>
    <row r="183">
      <c r="A183" t="inlineStr">
        <is>
          <t>当てる</t>
        </is>
      </c>
      <c r="B183" t="inlineStr">
        <is>
          <t>成功</t>
        </is>
      </c>
      <c r="C183" t="inlineStr">
        <is>
          <t>読み方：あてる
［動タ下一］［文］あ・つ［タ下二］
１あるものを他のものに触れるようにする。直面させる。
㋐ある物にぶつける。「ボールを頭に—・てる」「的に—・てる」
㋑光・熱・風などに触れさせる。さらす。「日に—・てて布団を乾かす」「鉢植えを夜露に—・てないようにする」
㋒密着させる。あてがう。「額に手を—・てる」「継ぎを—・てる」「座布団を—・ててください」
㋓対抗させる。「練習試合で強豪に—・てて実力を試す」
２期待やねらいどおりの状態にする。
㋐くじなどで賞を得る。「一等賞を—・てる」
㋑催しや企画などが成功する。「株で一山—・てる」「芝居で—・てる」
㋒正しく推測する。「彼の年齢を—・てる」「小説の途中で犯人を—・てる」
３他のものに合わせる。うまく振り分ける。
㋐対応させてつける。「外来語に漢字を—・てる」
㋑仮にあてはめる。「わが身に—・てて考える」
㋒（充てる）全体の一部をそのために使う。「余暇を読書に—・てる」「ボーナスを旅費に—・てる」
㋓指名してやらせる。「先生に—・てられる」
㋔仕事や役などを割り振る。「重要なポストに新人を—・てる」
㋕（宛てる）相手に向ける。「母に—・てて手紙を書く」→当てられる</t>
        </is>
      </c>
      <c r="D183" t="inlineStr">
        <is>
          <t>当てるべき；当てるクイズ企画；当てるべく；当てるクイズコーナー</t>
        </is>
      </c>
      <c r="E183" t="inlineStr">
        <is>
          <t>使用；利用；使う；運用；置く</t>
        </is>
      </c>
      <c r="F183" t="inlineStr">
        <is>
          <t>当てるというもの；射当てる；軽く当てる；さぐり当てる</t>
        </is>
      </c>
      <c r="H183" t="n">
        <v>29</v>
      </c>
      <c r="I183" t="inlineStr">
        <is>
          <t>世界のアナウンサーが、慣れない日本語で何と言っているのかを当てる。；日本特有のある物を外国人に見せ、その反応を見てそれが何かを当てる。；また、接眼レンズを耳に当てると見ている場所の音を聞くこともできる。；障害のある所では簡単に当てる場合や地の利で逃げる事も可能である。；弾には目がついており、標的の人物を追跡して必ず当てることができる。；敬礼は右拳を左胸に当てる形式が基本だが、挙手の礼をする場合もある。；通常攻撃を当てると敵は一定時間うずくまり、そのまま連続攻撃できる。；ただし、かなり奥に設置されている上に小さいので当てるのは非常に難しい。；布に立て、弧の部分を強く押し当てることで布に凹みをつけて印とする。；通常のモザイクの代わりに強力な照明を当てるという演出がされている。；奏者は正面ではなくやや左を向き、右に首をかしげて唇を歌口に当てる。；最も簡単なものでは、小型の装置に指を当てるだけというものもある。；神の剣を当てるとその場で消滅するが、一定時間すると同じ場所から復活する。；チェロは他の指と同様に第1関節でさおに上から接するように当てる。；脚に手を当てる投げ技なので国際柔道連盟ルールでは使用できなくなった。；分類タスクの目的は与えられた入力がのいずれに属するかを当てる事である。；これから出る光を当てると、どのようなものも本物のようになる。；ほとんどの場合、我々は根本的な問題に焦点を当てるほど知識が無いのだ。；また、一定の時間間隔内で連続して敵に攻撃を当てるとコンボとなる。；写真を見ただけでどこの城か当てることができ、一番好きな城は犬山城である。；一方、オリジナルの詞にとらわれず独自の解釈で詞を当てることもある。；ボスは複数回、魔法の電撃や攻撃アイテムの攻撃弾を当てる必要がある。；基本的に弾を打って黒に当てるのみしかダメージが与えられない。；ボールに当てる足の面積が広いため強くて正確なキックができる。；最近の研究で腫瘍に酸素を当てると破壊されるということがわかっている。；その後に出される7杯の茶が、さきほどの4種の茶のうちのどれかを当てる。；ただし、箱や壺の一部には攻撃したり、魔法を当てると爆発するものもある。；攻撃を当てることで発言し、その様子は画面上部に表示される。；歌が終わった時に鬼は自分の真後ろに誰がいるのかを当てる。</t>
        </is>
      </c>
      <c r="J183">
        <f>HYPERLINK("https://www.weblio.jp/content/当てる", "词义详情")</f>
        <v/>
      </c>
      <c r="K183">
        <f>HYPERLINK("https://yourei.jp/当てる", "查看例句")</f>
        <v/>
      </c>
    </row>
    <row r="184">
      <c r="A184" t="inlineStr">
        <is>
          <t>宛てる</t>
        </is>
      </c>
      <c r="B184" t="inlineStr">
        <is>
          <t>成功</t>
        </is>
      </c>
      <c r="C184" t="inlineStr">
        <is>
          <t>読み方：あてる
［動タ下一］［文］あ・つ［タ下二］
１あるものを他のものに触れるようにする。直面させる。
㋐ある物にぶつける。「ボールを頭に—・てる」「的に—・てる」
㋑光・熱・風などに触れさせる。さらす。「日に—・てて布団を乾かす」「鉢植えを夜露に—・てないようにする」
㋒密着させる。あてがう。「額に手を—・てる」「継ぎを—・てる」「座布団を—・ててください」
㋓対抗させる。「練習試合で強豪に—・てて実力を試す」
２期待やねらいどおりの状態にする。
㋐くじなどで賞を得る。「一等賞を—・てる」
㋑催しや企画などが成功する。「株で一山—・てる」「芝居で—・てる」
㋒正しく推測する。「彼の年齢を—・てる」「小説の途中で犯人を—・てる」
３他のものに合わせる。うまく振り分ける。
㋐対応させてつける。「外来語に漢字を—・てる」
㋑仮にあてはめる。「わが身に—・てて考える」
㋒（充てる）全体の一部をそのために使う。「余暇を読書に—・てる」「ボーナスを旅費に—・てる」
㋓指名してやらせる。「先生に—・てられる」
㋔仕事や役などを割り振る。「重要なポストに新人を—・てる」
㋕（宛てる）相手に向ける。「母に—・てて手紙を書く」→当てられる</t>
        </is>
      </c>
      <c r="H184" t="n">
        <v>29</v>
      </c>
      <c r="I184" t="inlineStr">
        <is>
          <t>彼は自分の部屋の畳へ額を押宛てるようにして、独りで神の前に跪いた。；故伊能先生は、鳥海と宛てるのだと言って、よくこの池の話をせられた。；他のカーストの下に置かれたことから奴隷の名を宛てる者もいる。；低温や常温では水と呼ぶが、温度が高くなるとと呼び、別の漢字を宛てる。；祖の字は祖先の場合に宛てる事もあるが、多く母親の意味である。；それでも、私は、この文を、あなたに宛てるかたちで記しておきたいのです。；そこには、これからお前の行く先々の町それぞれの需要に宛てる、特別な商品がある。；私は序のかわりとしてこれを君に宛てるばかりでなく、この書の全部を君に宛てて書いた。；訓練場所の表記にPという字を宛てるなど如何にもあやしい響きが感じられた。；どうかすると彼は部屋の床の上に跪き、堅い板敷に額を押宛てるようにして熱い涙を流した。；講田とは、講及び講会の費用として宛てるために設置した田地のこと。；それが連続的に現れる場合には、私は通例早起して、毎日の最初の時間をそれに宛てる。；しまいまで書かれなかった手紙の書き出しは、モレルに宛てるものだったらしい。；深夜に家を抜け出ては駅の掲示板に「猫」の名前を使って誰に宛てるでもなくメッセージを書きなぐっていた。；そのため、古くは農村部を中心に食料を送ってそれを僧侶や葬儀参加者の食事に宛てることが多かった。；官命とはいいながら、何分にも殺生の仕事であるから、寺院を詰所に宛てるのを遠慮するのが例であった。；その他の諸国にも注意して見ると同じ痕跡はあって依然として小区劃の地名に多く用いられ、ただ住民がカイトの意味を忘れたために、漢字を宛てる時に勝手なことをしている。；舞子に宛てる手紙に書くこととして、それは久しぶりに恰好の話題だった。；それも目上の方へのものとか、お世話になった方へのお礼状などではなく、ごく親しい友達に宛てる手紙。；サラキもしくはサラギに蛇穴の二字を宛てるというのも、そうなってからでないとできぬことであろう。；通信は事務所に直接に出していけないということで、何か知らせなければならない時には、ハムステッドの家の近くに住んでいるデューク氏の友人のハーバート・ライオンズ氏に宛てることになりました。；その人がマレーの沖に出て、今の西貢の沖あたりかも知れませんが、真珠を採集して慈善に宛てるために作業しているうちに船が難破して困っておった。；わたしがそれを唇に宛てるとき、たった二つのこの唇の小さな押花から女の真ごころが身体中に痺れるほども染み亘る。；以前に頂きました帯と着物でございますね、こちらではちっとも都合が出来ないものですから、あれをそっくり旅費やら何やらに宛てることに成りました。；この敗北後の1776年1月23日、大陸会議はカナダ住民に宛てる再度の手紙を起草する委員会を設定した。；はじめ、 「大坂」 と表記されていたこの地が、いつごろから現在、使われている「大阪」の文字を宛てるようになったのかは判然としない。；気張って言えば、誰に宛てるともつかない、のんきな遺言状を書いて置こうかな、という気持もどこかにあった。；その冊子にはラテン語に翻訳されたヴェスプッチの航海の手記が含まれているが、歴史家の中にはこの手記はイタリアの友人に宛てる書簡の形を取った偽書であると考えているものもある。；旧年に花さく山茶花は、椿の字を宛てる花木の元の物である。</t>
        </is>
      </c>
      <c r="J184">
        <f>HYPERLINK("https://www.weblio.jp/content/宛てる", "词义详情")</f>
        <v/>
      </c>
      <c r="K184">
        <f>HYPERLINK("https://yourei.jp/宛てる", "查看例句")</f>
        <v/>
      </c>
    </row>
    <row r="185">
      <c r="A185" t="inlineStr">
        <is>
          <t>あと</t>
        </is>
      </c>
      <c r="B185" t="inlineStr">
        <is>
          <t>成功</t>
        </is>
      </c>
      <c r="C185" t="inlineStr">
        <is>
          <t>読み方：あと
《(ドイツ)Atmosphärendruck》圧力の単位。1アトは98066.5パスカル。</t>
        </is>
      </c>
      <c r="D185" t="inlineStr">
        <is>
          <t>あと二；あと三；あと数；あと十；あと五</t>
        </is>
      </c>
      <c r="E185" t="inlineStr">
        <is>
          <t>後；その後；先；以降；のち</t>
        </is>
      </c>
      <c r="F185" t="inlineStr">
        <is>
          <t>あとずきりし；あとしざりし；あとらす丸；あと三カ月；あと数秒</t>
        </is>
      </c>
      <c r="G185" t="inlineStr">
        <is>
          <t>あと一歩；あとずさり；あとかたもなく；あとかた；あとあと</t>
        </is>
      </c>
      <c r="H185" t="n">
        <v>29</v>
      </c>
      <c r="I185" t="inlineStr">
        <is>
          <t>単式ホームにはかつて使用されていた切欠きホームのあとが残っている。；リンク先に挙げられている人物の数をそれぞれの名前のあとに記した。；太平洋戦争のあとにも多数の楽器会社がリードオルガン製造を手がけた。；スタートの姿勢を取ったあとは、出発合図まで静止しなければならない。；そのあとを追うように兄も世を去るとついに時計は止まってしまった。；送出リストの入力は人の手によったが、あとはすべて全自動で行われた。；またあとに述べるミミックとモデルという非対称的な関係は存在しない。；序奏部のあとは、暗く悲劇的な第1主題が弦で提示され提示部が始まる。；あとは全く同様の議論を繰り返すことで次の偏微分方程式が得られる。；そのあとATS-Pの車上装置をトイレの後方に搭載する改造を受けた。；ただし彼が実際に観察したものは、内容物を失ったあとの細胞壁であった。；なお、生涯が2世紀に渡っている場合はあとの世紀に区分するものとする。；植民地を獲得したあとは、その植民地を統治・経営することになる。；各月の朔日の宿は以上の通りであり、あとは日の分だけ進ませれば良い。；当たったあとに商品券等が出て換金や商品と交換するシステムとなっている。；これは、この日のこのあとの放送のつなぎとして延長したためである。；投げて落ちたものや置いたものはあとで回収することもできる。；それを忘れると「灯油代は何処が持つんだ」とあとで揉めることになる。；いくつかの磁区は消磁をしたあとでも磁気の配列がランダム化されない。；評判の良いエンデヴァー42は買収されたあとも生産が続けられた。；広義には、近代のあとに続くと考えられている時代とその傾向を指す言葉である。；日記には、営業の記述のあとに「」などとギャラの額が記されている。；前述の通り、犬養は銃弾を撃ち込まれたあとも意識があったとされている。；JET研究では最終発作から3週間以上経過したあとに行なっている。；チャップリンが亡くなったあと、世界中の映画人が賛辞の言葉を寄せた。；そこで4日を過ごしたあと、彼の巡礼の終着点であるメッカへ向かった。；そのあと、イタズラ道具の入ったおもちゃ箱を持って外へ飛び出してゆく。；一度頭部を破壊され失格となったあと、ジョンの手で非公式に修理されていた。；丸めて左右の辺を張り合わせて円柱面にし、あとは同じようにすればいい。</t>
        </is>
      </c>
      <c r="J185">
        <f>HYPERLINK("https://www.weblio.jp/content/あと", "词义详情")</f>
        <v/>
      </c>
      <c r="K185">
        <f>HYPERLINK("https://yourei.jp/あと", "查看例句")</f>
        <v/>
      </c>
    </row>
    <row r="186">
      <c r="A186" t="inlineStr">
        <is>
          <t>後</t>
        </is>
      </c>
      <c r="B186" t="inlineStr">
        <is>
          <t>成功</t>
        </is>
      </c>
      <c r="C186" t="inlineStr">
        <is>
          <t>読み方：しり
［名］
１人や動物の胴体の後部で、肛門の付近の肉づきの豊かなところ。けつ。おいど。臀部(でんぶ)。
２動く人や物の後ろ。あと。後方。「行進の—について歩く」
３物事の一番あと。終わりの部分。しまい。最後。「ことばの—」「—から二番目の成績」
４物の、最も後ろの部分。最後部。「—の切れたわらぞうり」
５本・末のある長い物の、末の部分。末端。「縄の—を持つ」
６容器の外側の底の部分。また、果物の底部。「鍋の—」
７着物の裾。
８物事や行為の結果。結果として生じた事態。また、事件の余波。とばっちり。
「その責任を持ち込んで来る—はなかった」〈徳永・太陽のない街〉
[補説]他の語の下に付いて複合語をつくるときは一般に「じり」となる。
［接尾］助数詞。矢羽に用いる鳥の羽を数えるのに用いる。尾羽を用いるところからの語。大鷲(おおわし)は14枚、小鷲は12枚、鷹(たか)は10枚で一尻という。
「鷲の羽百—、よき馬三疋」〈義経記・二〉
[下接語] （じり）脂尻・糸尻・押っ立て尻・織り尻・仮名尻・川尻・為替尻・勘定尻・木尻・口尻・鞍(くら)尻・交換尻・湖尻・言葉尻・賽(さい)尻・財布尻・鞘(さや)尻・地(じ)尻・瀬尻・台尻・檀(だん)尻・帳尻・月尻・出尻・どん尻・長尻・鍋(なべ)尻・沼尻・半尻・貿易尻・幕尻・眉(まゆ)尻・目尻・矢尻</t>
        </is>
      </c>
      <c r="D186" t="inlineStr">
        <is>
          <t>後円部；後しばらく；後まもなく；後縁；後甲板</t>
        </is>
      </c>
      <c r="E186" t="inlineStr">
        <is>
          <t>その後；先；以降；のち；以後</t>
        </is>
      </c>
      <c r="F186" t="inlineStr">
        <is>
          <t>終了後；日後；帰国後；ヶ月後；数年後</t>
        </is>
      </c>
      <c r="G186" t="inlineStr">
        <is>
          <t>後半；後期；後方；後に；後者</t>
        </is>
      </c>
      <c r="H186" t="n">
        <v>29</v>
      </c>
      <c r="I186" t="inlineStr">
        <is>
          <t>前衛的音楽のためアルバムはあまり売れなかったが、後に再評価された。；ここでは、1983年に旧ポピーとの合併後に提供した番組を記載する。；なお、後に商品化したモデルではかな漢字変換は実装されていなかった。；当初は漫画の主人公の名前だったが、後にペンネームもそれへと改める。；総攻撃を突破した後にボスが出現するという構成を取るステージが多い。；しかし、後には独自の拡張・工夫が、特に効率の面で多くなされている。；その後、S波が到達した後は主要動と呼ばれる比較的大きい揺れとなる。；条例は後に廃止されたもののブームは次第に沈静化していくことになる。；春川芽生もニコモになって所属した事務所内で後に声優部へ移動している。；このような作風に高橋留美子は大いに影響を受けたと後に述べている。；水を主成分とする海は地球誕生後まもなく形成され、現在まで継続している。；なお再建後の名称は従来どおり「ワールドトレードセンター」とされた。；これが後500年間にわたってヨーロッパの大学で教えられたという。；後の時代、繰り返し生成・消滅している宇宙という考え方が成立したという。；終局後に反則が判明した場合も、原則として反則をした側の負けとなる。；後に漫画の投稿活動を再開したときから、このペンネームを使用している。；当初は本名での作品発表であったが、後に現在のペンネームに改名。；大会後には同一都市では初となるパラリンピックも開催された。；投稿を続けるうちにプロを意識するようになり、高校卒業後に上京。；当初は後にガロア理論と呼ばれるようになった分野と構成可能性問題が中心だった。；博士号を取得した後、半年の間のソシュールの行動はわかっていない。；よく使われる「五箇条の御誓文」などの呼称は、後の時代の通称である。；このことが後のプレスリーの音楽性に大きな影響を与えたとされる。；後のモデルでは2つの接眼部がより接近するよう改良されている。；後に開発者もこの件については「やりすぎだった」とコメントしている。；妖怪に勝利し、地底界に妖怪大魔王を追放した後は地上を去っていた。；これは後のヤマト王権で女性が即位する時と同じ状況である。；攻撃側で主とならない側のプレイヤーは、最初のリードの後手札を晒す。；SHIELDとJUMPの効果は重複せず、後に使った方が優先される。</t>
        </is>
      </c>
      <c r="J186">
        <f>HYPERLINK("https://www.weblio.jp/content/後", "词义详情")</f>
        <v/>
      </c>
      <c r="K186">
        <f>HYPERLINK("https://yourei.jp/後", "查看例句")</f>
        <v/>
      </c>
    </row>
    <row r="187">
      <c r="A187" t="inlineStr">
        <is>
          <t>跡</t>
        </is>
      </c>
      <c r="B187" t="inlineStr">
        <is>
          <t>成功</t>
        </is>
      </c>
      <c r="C187" t="inlineStr">
        <is>
          <t>読み方：あと
《「足(あ)所(と)」の意》
１何かが通っていったしるし。「靴の—」「船の通った—」「頰(ほお)を伝う涙の—」「犯人の—を追う」
２（傷には多く「痕」と書く）以前に何かが行われたしるし。痕跡。形跡。「消しゴムで消した—」「手術の—」「苦心の—が見受けられる」「水茎(みずくき)の—」
３（建築物には多く「址」と書く）以前に何かが存在したしるし。「太古の海の—」「寺院の—」
４家の跡目。家督。「父の—を継ぐ」
５先人の手本。先例。「古人の—にならう」
６足のあたり。足もと。
「太神宮の御方を、御—にせさせ給ふこと、いかが」〈徒然・一三三〉
[下接語]足跡・雨跡・家跡・窯(かま)跡・刈り跡・傷痕・靴跡・城跡・剃(そ)り跡・爪痕(つめあと)・鳥の跡・波跡・食(は)み跡・人跡・筆の跡・船(ふな)跡・水茎の跡・焼け跡</t>
        </is>
      </c>
      <c r="D187" t="inlineStr">
        <is>
          <t>跡切れ；跡付近；跡を追って；跡を絶た；跡附近</t>
        </is>
      </c>
      <c r="E187" t="inlineStr">
        <is>
          <t>痕跡；足跡；痕；形跡；傷跡</t>
        </is>
      </c>
      <c r="F187" t="inlineStr">
        <is>
          <t>屋敷跡；廃線跡；線路跡；駅跡；靴跡</t>
        </is>
      </c>
      <c r="G187" t="inlineStr">
        <is>
          <t>跡形；跡継ぎ；跡目；跡取り；跡部</t>
        </is>
      </c>
      <c r="H187" t="n">
        <v>29</v>
      </c>
      <c r="I187" t="inlineStr">
        <is>
          <t>犯人のポケットには小銭と、最近の血の跡が付いたナイフが入っていた。；公園の南西の交差点近くの壁には、戦時中の機銃掃射の跡が残っている。；同様の現象は諏訪湖でも観察されており、神が通った跡と説明されている。；これまでに、板状の木製品と木の柱を使った建物跡が見つかっている。；有人駅当時の駅舎をそのまま使用しているが、窓口の跡は塞がれている。；現在も残るイエズス会布教所跡はこのときに建設されたものがほとんどである。；その他にもいくつか、かつての集落間を連絡する道跡が存在する。；州内の他の地域では廃線跡を使ったレイルトレイル・プロジェクトがある。；また、顔部に奇形や罹病跡をもつ人物のドローイングも多数描いている。；鞠智城跡は国の史跡に指定され資料館などの施設が整備されている。；北に進み階段を下れば、海が広がる砲台跡の長崎ノ鼻の先端に到着する。；道路上に残された軌道跡は、2006年から順次埋め立てが進んでいる。；駅の東側には、多賀城以前の陸奥国府跡と推定される郡山遺跡があった。；また、かつての出札窓口跡には臨時観光案内所が開設されることがある。；長野駅方に構内踏切の跡があり、ホーム同士は地下道を通って移動する。；当初はトイレを撤去した跡は客室とされ、窓と座席が設置された。；道路は経路の説明のためのもので予定地や廃線跡が転用されたものではない。；縄文時代に入ると生活の跡である貝塚も市内に散見されるようになる。；海老名市で発掘された国分寺跡から、国府が置かれていた可能性がある。；専用道の先からは農道、四方駅跡から先は自転車専用道となっている。；井笠鉄道の線路跡は日本鉄道建設公団に買収され活用されることになった。；また紙に偽造硬貨で線を引くと、鉛筆で書いたような跡が残ることがある。；北のほうを調べているうちに、自転車のツギの当たったタイヤ跡を発見した。；出口跡には電気関係の小屋があり、そこが駅舎扱いとなっている。；この際、駅の南側から、線路跡を横切って駅舎へ渡れる通路が整備された。；なお、撤去された線路跡は新駅舎供用開始に伴い埋められている。；旧駅には駅舎もあり、駅舎跡には記念碑が建てられている。；しかし、撤去された跡が残っているので、確認することは容易である。；現在も線路から見て南側にホーム跡が残っている。</t>
        </is>
      </c>
      <c r="J187">
        <f>HYPERLINK("https://www.weblio.jp/content/跡", "词义详情")</f>
        <v/>
      </c>
      <c r="K187">
        <f>HYPERLINK("https://yourei.jp/跡", "查看例句")</f>
        <v/>
      </c>
    </row>
    <row r="188">
      <c r="A188" t="inlineStr">
        <is>
          <t>後片付け</t>
        </is>
      </c>
      <c r="B188" t="inlineStr">
        <is>
          <t>成功</t>
        </is>
      </c>
      <c r="C188" t="inlineStr">
        <is>
          <t>読み方：あとかたづけ
［名］(スル)事がすんだあとを整理すること。後始末(あとしまつ)。「ざっと—してから出かけましょう」</t>
        </is>
      </c>
      <c r="D188" t="inlineStr">
        <is>
          <t>後始末；事後処理；後処理</t>
        </is>
      </c>
      <c r="H188" t="n">
        <v>29</v>
      </c>
      <c r="I188" t="inlineStr">
        <is>
          <t>今は下の階では、葉月さんや那波さんたちが後片付けをしてくれている。；宴会といっても、やはり後片付けは残っているからそう長くもできない。；五時がきて後片付けをしていると、地下室から弟子丸氏が上がってきた。；あの時、舞台が終わって後片付けをしていると、一人の男が近づいてきた。；会議場も、まだ午前中の会議の後片付けが済んでいない小会議室だった。；法要の後片付けをしていた陽は見た事のない2匹の黒色の子猫に出会う。；結局そのあとすぐ友人たちが到着し、後片付けを手伝ってくれました。；でまあ、葉月さんを始めとしたメイドさんたちが後片付けをしている間に。；その男の話では、榎津が死刑囚の死体の後片付けをしたのも事実だという。；二人は後片付けの役割で、働かなければならないのは後のことです。；呼び出されれば、それを最後に、後片付けをする暇もないかもしれない。；「でも、妙な話ですのね」 律子は、食事の後片付けをしながら言った。；後片付けをしながらわたしは、彼のささいな仕草にさえ神経を尖らせる。；後片付けをしているにしても、患者も出て来ないというのは変だ。；おふみがすぐにいなくなるので、後片付けは悟郎とおきみの役である。；夕食の後片付けがすんで、みんながストーブの周りに輪になっていた。；今は落ち着いて部屋に散乱した土鍋などの後片付けをしてくれている。；男の人ってのはどうしてこう後片付けがずさんなんでございますの?；僕はレースが終ると部屋の後片付けをするので最終レースの払戻しには妻が並ぶ。；おれ一人が店の後片付けか、と思っていると、赤木が呼んでくれた。；後に本人は「この後片付けのおかげで足腰が強くなったかも」と語っている。；まあそれはともかく、そうやって心臓手術を終えて、後片付けをするわけです。；食事の後片付けを終えてから、由紀子はずっとテーブルの前で連絡を待っていた。；トラックの運転手や事務所の男たちが数人、作業の後片付けにとりかかっている。；食事の後片付けを手伝いながら、今自分はとても幸せなのかもしれないと思った。；みんなが帰った後、後片付けをしているとイタガキが私を呼んだ。；おれたちチーフにはまだ後片付けが残っているが、声をかけるなら今しかなかった。；後片付けをしていた若者のひとりが、私に韓国語で何か叫んだ。；私は晩御飯の後片付けをしながら、何かいい方法はないかと、台所で考えていた。</t>
        </is>
      </c>
      <c r="J188">
        <f>HYPERLINK("https://www.weblio.jp/content/後片付け", "词义详情")</f>
        <v/>
      </c>
      <c r="K188">
        <f>HYPERLINK("https://yourei.jp/後片付け", "查看例句")</f>
        <v/>
      </c>
    </row>
    <row r="189">
      <c r="A189" t="inlineStr">
        <is>
          <t>後始末</t>
        </is>
      </c>
      <c r="B189" t="inlineStr">
        <is>
          <t>成功</t>
        </is>
      </c>
      <c r="C189" t="inlineStr">
        <is>
          <t>読み方：あとしまつ
［名］(スル)物事のすんだあとをかたづけること。また、事後処理をすること。あとじまい。「宴会の—」「後輩のけんかの—」「たき火を—する」</t>
        </is>
      </c>
      <c r="D189" t="inlineStr">
        <is>
          <t>けり；肩代わり；後片付け；事後処理；後処理</t>
        </is>
      </c>
      <c r="H189" t="n">
        <v>29</v>
      </c>
      <c r="I189" t="inlineStr">
        <is>
          <t>塔の後始末をしている最中に、正体のわからない男たちに襲われたこと。；私たちが後始末をしていたとき、ドアの下に書置きがあるのに気づいた。；そうやって後始末をしていると、教室の中から秀吉が出てきて僕の所に来た。；後始末を真九郎に任せるのは、他に頼めそうな人間がいなかったからか。；次に彼は彼女を舌の先で後始末し、彼女は彼の体を同じようにきれいにした。；もっと早く、後始末が必要になる前に何かできないかと思ったのだと言った。；ほれ、例の騙りの件でも、結局はうちが後始末をすることにしたんだよ。；馬車の上で鋸屑をこぼしたところで、風がきれいに後始末をしてくれる。；笑いにきたのか、それとも使い終わった伝書鳩の後始末でもしにきたのか。；隣は茶の間で、女中達は食事の後始末や明日の準備のためまだ働いている。；さっき亜佐美の失禁の後始末をしてる時、病院から電話がかかってきた。；様々な後始末を終えて城を出た時にはもう一週間が過ぎていた。；首を斬ってしまったミツルくんが後始末で持っていったのでしょうか。；映画館の階段を降りながら、二人ともまだ涙の後始末をしていた。；死体の後始末や何かのため私たちはホテルに残っていたのだ。；横領問題の後始末と融資問題の処理は、彼を会社に縛りつけようとした。；あなたが勝手に遺していったものの後始末を、あたしがつけてあげる。；輸送の準備や後始末で駅構内や車両基地において行う移動が車両である。；会社の後始末を行なっている過程で万年は警察とヤクザから行方を追われた。；その大急ぎの鉄道建設の後始末をすることになるのが島安次郎である。；彼は一家の後始末を親類に頼んで故郷を立ち退くよりほかはなかった。；一個中隊を動かせば、それだけでも軍内部での後始末が大変になるからだ。；これは、わしの始めたことだから、わしが後始末をつけねばならん。；ちゃんと後始末をしておかないと、彼女とはこれきりになってしまうかもしれない。；だがそれの後始末をする宮子は、初めてこの尚文に違う感情を抱いていた。；事件の後始末はつけたものの、いつ彼らの局外中立が崩れないとも限らない。；妹たちが食事を終わって二人で後始末をしているとまた玄関の格子が静かに開く音がした。；ここで艦を降りたら、後始末をして解散する流れになっている。；後始末をしてコートを着、廊下に出ると、つづいて四、五人が教室を出た。</t>
        </is>
      </c>
      <c r="J189">
        <f>HYPERLINK("https://www.weblio.jp/content/後始末", "词义详情")</f>
        <v/>
      </c>
      <c r="K189">
        <f>HYPERLINK("https://yourei.jp/後始末", "查看例句")</f>
        <v/>
      </c>
    </row>
    <row r="190">
      <c r="A190" t="inlineStr">
        <is>
          <t>跡地</t>
        </is>
      </c>
      <c r="B190" t="inlineStr">
        <is>
          <t>成功</t>
        </is>
      </c>
      <c r="C190" t="inlineStr">
        <is>
          <t>読み方：あとち
建物・施設を取り壊したあとの土地。「—利用」
[補説] 普通は更地にした状態をいうが、大規模店舗の中に出店していた商店が閉店したあとの空間をいうこともある。</t>
        </is>
      </c>
      <c r="D190" t="inlineStr">
        <is>
          <t>跡地利用；跡地に建てられ；跡地付近；跡地に新；跡地周辺</t>
        </is>
      </c>
      <c r="F190" t="inlineStr">
        <is>
          <t>小学校跡地；場跡地；病院跡地；店跡地；キャンパス跡地</t>
        </is>
      </c>
      <c r="H190" t="n">
        <v>29</v>
      </c>
      <c r="I190" t="inlineStr">
        <is>
          <t>現在は駅舎・駅施設とも既に撤去され、跡地は市や民間に売却された。；駅舎は既に撤去されその跡地にブロック造りの待合所が設けられている。；駅舎南側部分の跡地の一部は再開発され、シティタワー蕨が建設された。；この線路の跡地は、姨捨変電所と駅利用者のための駐車場になっている。；現在ではその駅舎も撤去され、跡地には小さなトイレがひとつ建設されている。；駅跡地には道路が新設され、残りの用地は駅前広場の拡張に使われている。；完成後には既存の古い西体育館を解体して跡地にクラブハウスが建設された。；現在、跡地にはヒンドゥー寺院が建てられるが、温泉は今も健在である。；この間に旧上りホームと旧駅舎の撤去を行い、跡地に上りトンネルと駅を建設した。；かつては3番線まであったが撤去され、その跡地は花壇になっている。；グリーンピア跡地の大半が公募で請負先を決めている中では異例だった。；自分がどれくらい降りたのか、あと地面までどれくらいなのか少しもわからない。；プロムナードはかつて相鉄線の線路が通っていた跡地を利用したものである。；前橋市が用意したこの土地は、元中島飛行機前橋第一工場の跡地である。；統合後も旧・吹田駅のホームだったとされる跡地が上り線側にある。；旧ホーム跡地に通過線が設置され、中井駅とまったく同じ線形となった。；跡地には、緊急報道への対応などを行う「情報棟」を建設する予定である。；沿道のホーム跡地には、かつて駅があったことを示す石柱が設置されている。；あとの五千ヘクタールは砂浜や川、あるいは焼畑のあと地などであろう。；さいたま市民会館うらわ移転後の跡地での建て替えを市に打診している。；線路跡地は、現在でも上空から跡地がはっきりと分かる状態になっている。；そのため、線路跡地を利用してBRT として事業化したものである。；三井砂川炭鉱跡地には炭鉱の穴を利用した無重力実験施設が存在した。；それ以外の設備はそのまま残され、撤去の予定や線路跡地の活用法は未定である。；北東の貨物ヤード跡地は再開発され、現在は商業施設等になっている。；この計画では、跡地を以下の4つのゾーンに分けて施設の整備等を定めている。；現在では製糸場跡地の看板が立っていて、当時は江戸阿久和とも呼ばれていた。；藤田美術館の所在地は、多くの蔵が並んでいた藤田家本邸の跡地である。；この西口広場は旧駅舎やその送迎場跡地に建設されたものである。</t>
        </is>
      </c>
      <c r="J190">
        <f>HYPERLINK("https://www.weblio.jp/content/跡地", "词义详情")</f>
        <v/>
      </c>
      <c r="K190">
        <f>HYPERLINK("https://yourei.jp/跡地", "查看例句")</f>
        <v/>
      </c>
    </row>
    <row r="191">
      <c r="A191" t="inlineStr">
        <is>
          <t>跡継ぎ</t>
        </is>
      </c>
      <c r="B191" t="inlineStr">
        <is>
          <t>成功</t>
        </is>
      </c>
      <c r="C191" t="inlineStr">
        <is>
          <t>読み方：あとつぎ
１家督を引き継ぐこと。また、その人。跡取り。世継ぎ。後嗣(こうし)。
２師の学問や芸などを引き継ぐこと。また、その人。後継者。
３前任者に続いて、その地位に就くこと。また、その人。後任。</t>
        </is>
      </c>
      <c r="D191" t="inlineStr">
        <is>
          <t>跡継ぎ問題；跡継ぎ息子；跡継ぎ運；跡継ぎ争い</t>
        </is>
      </c>
      <c r="E191" t="inlineStr">
        <is>
          <t>後；継承；家督；後継；相続</t>
        </is>
      </c>
      <c r="F191" t="inlineStr">
        <is>
          <t>跡継ぎとして認め</t>
        </is>
      </c>
      <c r="H191" t="n">
        <v>29</v>
      </c>
      <c r="I191" t="inlineStr">
        <is>
          <t>きみたちのお頭は、きみのことを跡継ぎにしようと考えていたんだって?；会社の跡継ぎとしてを含めてであっても、おまえは大事に思われている。；この家の両親がいかに跡継ぎの新一を大事にしているかが分かった。；出来のいい跡継ぎなら自分たちこそどこかから探して連れてきたいくらいだ。；フランク人の男はなにがなんでも跡継ぎを作りたがるのではないのか?；跡つぎが女子では、藩法に定められた藩主家危急の場合の役に立たない。；彼女は逃げだすように教師をやめ、ある大きな寺の跡継ぎの嫁になった。；跡継ぎを道頼にしたことを根に持ったあんたらは、大宗主に毒を盛った。；男の跡継ぎがいない場合は女の人が爵位を継いでもかまわないんだろ?；弟というより息子のように信頼されて、跡継ぎはおまえだって言われてもきた。；本名は不明で、ブックマンの跡継ぎとなった時に本当の名を捨てたらしい。；男子である兄を差し置いて女子である式が跡継ぎになっているのはそのためだ。；初めは女子ばかりが生まれ、跡継ぎの男子を望む姑から責め立てられた。；二人の間に男の赤ん坊も生れて、農家では跡つぎもできたと大喜びだ。；例えば、跡継ぎがいないまま病死した者の土地なども闕所と称せられた。；どんなに功績をたてても、父王は男具那を跡継ぎにはしないだろう。；死ぬ間際まで、父の最大の心配事は、跡継ぎがいないということだった。；さらに、大ヨークの跡継ぎをのぞいて、英国国王がいるとでもいうのか?；辺境伯は、この跡継ぎにはなれない庶出の息子にも財産を与えたのだった。；会社のことを思えば、跡継ぎの結婚問題は事業のひとつですもの。；誰を跡継ぎにするか決めるために、父さんはみんなを呼んだんだよ。；渋沢家では廃嫡となった篤二に代わって孫の敬三が栄一の跡継ぎとなる。；しかし跡継ぎであるはずの兄の尊幸は会社員となり、弟の私は東京に出た。；跡継ぎのいない華陽夫人は自身の地位を守るため異人を養子とする事にした。；ひょっとすると、跡継ぎを選ぶことに関係しているのかもしれない。；跡継ぎで影十八になったのであり、自ら望んだわけではない。；これは、菊姫との間に生まれた子供を跡継ぎにしようとしたためとも言われている。；医者の息子として生まれ、跡継ぎとして期待されたが野球の道に進む。；光長は他に男子がおらず、重臣らは急ぎ跡継ぎを決めねばならなくなった。</t>
        </is>
      </c>
      <c r="J191">
        <f>HYPERLINK("https://www.weblio.jp/content/跡継ぎ", "词义详情")</f>
        <v/>
      </c>
      <c r="K191">
        <f>HYPERLINK("https://yourei.jp/跡継ぎ", "查看例句")</f>
        <v/>
      </c>
    </row>
    <row r="192">
      <c r="A192" t="inlineStr">
        <is>
          <t>後回し</t>
        </is>
      </c>
      <c r="B192" t="inlineStr">
        <is>
          <t>成功</t>
        </is>
      </c>
      <c r="C192" t="inlineStr">
        <is>
          <t>読み方：あとまわし
順番を変えてあとに遅らせること。「宿題を—にする」</t>
        </is>
      </c>
      <c r="D192" t="inlineStr">
        <is>
          <t>後回しでもいい</t>
        </is>
      </c>
      <c r="E192" t="inlineStr">
        <is>
          <t>置き去り；ないがしろ；そっちのけ；二の次；なおざり</t>
        </is>
      </c>
      <c r="H192" t="n">
        <v>29</v>
      </c>
      <c r="I192" t="inlineStr">
        <is>
          <t>理解することは 後回しにして、まず青年の言葉を聞くことを優先した。；ご自分の身体なのに、なぜ、こんなふうに治療を後回しにされるのです。；否定も肯定も後回しにするような、言葉の延長を感じさせる口調だった。；帰りの船で出来るような記述や、僕個人の小説などはもう後回しにする。；その息子に結婚してもらいたくて自分の幸せを後回しにしてきた父・伸男。；心の苦悶は後回しにして、自分一人になった時のためにとっておいた。；しかしリピネッツは対戦を後回しにされてしまってガッカリだと話した。；でも何だか一安心して気持ちが緩んでいたからつい後回しにしてしまって。；しかし、それはとりあえず後回しにして、二人を晩餐の席へと案内した。；自分の治療を後回しにし、少女たちを優先して救急隊員に診せたことも。；まあ、理由はある程度想像出来るし、他の質問も全部後回しにしてやる。；学校への説明は後回しにして、急いでこの場を離れたほうがいい。；その間、他の修道院の建物は後回しにされ18世紀になって工事が終了した。；この事業のためには、ほかのことは後回しにしなければならない。；ケーキが残っていたけれど、二人ともお腹が一杯だから後回しにした。；どうやってあの崩壊から逃れたのか、それを考えるのは後回しだ。；そのような地域事情から、これまでは放置自転車対策が後回しとされてきた。；だから、訊きたいこと、話したいことが山ほどあるのに後回しにしていた。；反省は後回しにしなければ、とわかってはいても後悔を抑えきれない。；滝川の件が後回しなのは、ふたりとも滝川を信頼しきっているからだ。；最後先にすべき爆破準備を後回しにしたのはそれが理由だった。；後回しにした私の話が何であったのかは、聞いてこなかった。；そう考えて後回しにしたのが失敗だったのかもしれない。；解放された手首を喜ぶのを後回しにして、俺も大慌てでそれに続く。；ゆえに味や色・香りなど後回しで、薬効の高いものが最高だと言われている。；っつか、あの山みてエなデータを後回しにするなンざ余裕だなァおい。；いばれることか、と思ったけど気が急くのでつっこむのは後回しにする。；イリーナと子供が失われたことについて、深く考えるのは後回しにできた。；唯一の致いは、敵が彦島の制圧を後回しにして東へ東へと進んでいることだ。</t>
        </is>
      </c>
      <c r="J192">
        <f>HYPERLINK("https://www.weblio.jp/content/後回し", "词义详情")</f>
        <v/>
      </c>
      <c r="K192">
        <f>HYPERLINK("https://yourei.jp/後回し", "查看例句")</f>
        <v/>
      </c>
    </row>
    <row r="193">
      <c r="A193" t="inlineStr">
        <is>
          <t>穴</t>
        </is>
      </c>
      <c r="B193" t="inlineStr">
        <is>
          <t>成功</t>
        </is>
      </c>
      <c r="C193" t="inlineStr">
        <is>
          <t>読み方：あな
１反対側まで突き抜けている空間。「針の—」
２深くえぐりとられた所。くぼんだ所。「道に—があく」「耳の—」
３
㋐金銭の損失。欠損。「帳簿に—があく」
㋑必要な物や人が抜けて空白になった所。「人員に—があく」
㋒不完全な所。欠点。弱点。「下位打線が—だ」「彼の論理は—だらけだ」
４他人が気づかない、よい場所や得になる事柄。穴場。
５競馬・競輪などで、番狂わせの勝負。配当金が多い。「—をねらう」
６世間の裏面。うら。
「世間の—を能く知って堺町とは気づいたり」〈根無草・三〉
[下接語]蟻(あり)穴・息衝(つ)き穴・岩穴・埋め穴・鰓孔(えらあな)・大穴・落とし穴・鍵(かぎ)穴・隠れ穴・風穴・気抜き穴・切り穴・錐(きり)穴・毛穴・獣(しし)穴・縦穴・塚穴・抜け穴・螺子(ねじ)穴・鼠(ねずみ)穴・覗(のぞ)き穴・墓穴・人穴・一つ穴・節穴・枘(ほぞ)穴・洞(ほら)穴・焼け穴・雪穴・横穴</t>
        </is>
      </c>
      <c r="D193" t="inlineStr">
        <is>
          <t>穴だらけ；穴掘り；穴倉；穴あき；穴釣り</t>
        </is>
      </c>
      <c r="E193" t="inlineStr">
        <is>
          <t>空；非；傷；ホール；隙</t>
        </is>
      </c>
      <c r="F193" t="inlineStr">
        <is>
          <t>大きな穴；鍵穴；深い穴；暗い穴；覗き穴</t>
        </is>
      </c>
      <c r="G193" t="inlineStr">
        <is>
          <t>穴蔵；穴居；穴熊；穴山；穴ぐら</t>
        </is>
      </c>
      <c r="H193" t="n">
        <v>29</v>
      </c>
      <c r="I193" t="inlineStr">
        <is>
          <t>楽器の音階を決める穴配りと穴開けには高度の製作技術が必要とされる。；開始時に各穴に何個の石を入れるかという初期配置は様々な形があり得る。；このため、オカリナは指穴の位置を比較的自由に配置することができる。；穴の数は十六で、深さや大きさは入る歯のサイズによって異なっている。；エイリアンが段階に関わらず穴の上を通ると、その穴は消滅してしまう。；なお側頭窓はヒトでは顎の筋肉と側頭部とを結ぶための穴に相当する。；その一方で、穴リスト猫は作画の出来が良くないことについても触れた。；いろいろなサイズの鉛筆に備え、多くの削り穴があいているものもある。；雨漏りを放っておくと屋根に穴が開き、寝室には雨が降ってきたという。；またテープが破損して穴情報を再度作成しなければならないこともあった。；そして爆撃で滑走路に開いた穴はその日のうちに埋め戻してしまった。；側面のレバーを押すと板は横にスライドしてもう一方の穴が開放される。；キャロルが発明したのは格子状に正方形の穴が配列されたカードだった。；多くは円形で中心部に方形の穴が開けられた有孔貨幣であることが多い。；そして目をつけたのが、晁錯が役所の建物の南の壁に空けた穴であった。；そしてこれが現在の長府付近にあった穴門国の名称の元となった。；アシカには耳たぶがあるが、アザラシの耳は穴が開いているだけである。；この時に錨鎖穴の位置を既存のものを使用したため、奇妙な外見となった。；また、穴の開いていない五銭硬貨や十銭硬貨を縫いこむことも行われた。；特定のステージにあるカギ穴つき扉を開けるとプレイできるミニゲーム。；鼻毛を抜いた時に涙が出ることがあるが、必ず抜いた鼻の穴の側の目から出る。；大きな穴の中心を決める下穴をあらかじめ開けておく必要がある。；という歌を引き後に穴師神社が建てられ祀ることとなったと考察する。；その穴の本来の機能が何であれ、第二段階には埋葬のための穴に変わっていたらしい。；こちらは中心部の穴が通常サイズだったため、ドーナツ盤とは呼ばれない。；外壁にはいくつかの穴があけられており、そこからハトは出入りする。；しかし、この穴を通る磁束は の整数倍の値しか取ることが出来ない。；地下に流雪溝を設けて道路脇の穴から雪を落とすようにしている場所もある。；免震化のためには建屋の横から穴を掘削して土台を構築する必要があった。</t>
        </is>
      </c>
      <c r="J193">
        <f>HYPERLINK("https://www.weblio.jp/content/穴", "词义详情")</f>
        <v/>
      </c>
      <c r="K193">
        <f>HYPERLINK("https://yourei.jp/穴", "查看例句")</f>
        <v/>
      </c>
    </row>
    <row r="194">
      <c r="A194" t="inlineStr">
        <is>
          <t>穴埋め</t>
        </is>
      </c>
      <c r="B194" t="inlineStr">
        <is>
          <t>成功</t>
        </is>
      </c>
      <c r="C194" t="inlineStr">
        <is>
          <t>読み方：あなうめ
［名］(スル)
１穴をうずめること。
２欠損や損害を償うこと。不足を補うこと。「赤字を—する」「失策の—をする」
３都合の悪い余白や空きが生じたとき、代わりのもので補うこと。また、その代わりのもの。「中止になった番組の—に音楽を流す」「急な欠場者の—を探す」
４試験問題などで、文章の一部が空欄に置き換えられており、そこに答えを記入する方式。「—問題」</t>
        </is>
      </c>
      <c r="D194" t="inlineStr">
        <is>
          <t>穴埋め問題；穴埋め要員；穴埋めできる；穴埋めクイズ</t>
        </is>
      </c>
      <c r="E194" t="inlineStr">
        <is>
          <t>充填；補填；填補</t>
        </is>
      </c>
      <c r="H194" t="n">
        <v>29</v>
      </c>
      <c r="I194" t="inlineStr">
        <is>
          <t>それに、返したくとも金の一部を彼女があけた穴埋めに使ってしまった。；放送時間が短い関係で、番組と番組との穴埋めに利用されることが多い。；当レースを中継する予定だった放送局は、以下の番組で穴埋めを行った。；それまでに、なんとかして一千万円を都合し、穴埋めしておかなければ。；母を危いところで救って、今の借金の穴埋めをしてもらうつもりだった。；穴埋めの映画を製作するよりも芸人の賃金の方が安価であったためである。；その後、かれらは階級の穴埋めに、若いアンガラク人をもっと徴兵した。；萩に出撃した部隊の穴埋めとして派遣される部隊の人たちなんだろう。；財政赤字になって、その分を穴埋めする公債の発行が増えた経済を考える。；彼女が入院していた時の穴埋めをしたのもわたしです。；小倉も、ボーナスの穴埋め分だけしかゆすり取る気はなかったのだろう。；プレイヤーの人数が少ない時には穴埋めとしてNPCがエントリーする。；そこで、米軍は穴埋めのためにアフガン警察の整備支援も行っている。；ときどき突然休みを取るにしても、その穴埋めはちゃんとやるのだ。；そこでその穴埋めをしようと思って、すぐに種々の書物を買い込んだ。；故障したジーン・バッキーの穴埋めを期待されたが、一軍登板は無かった。；主に雨傘番組や穴埋めとして使用されるため、決まった放送時間はない。；前日に同僚の一人が仕事でミスをしていたため、その穴埋めのための作業があった。；また、単独で通信領域を確保できる特性を活かした通信領域の拡大や穴埋めも可能。；そんな時期の機関紙に、紙面の穴埋めのように載せられた小さな記事だった。；そこでその穴埋をしようと思つて、すぐに種々の書物を買ひ込んだ。；高校野球県予選時期等は不定期に穴埋めとして放送されることがある。；壊滅したアメリカ太平洋艦隊の穴埋めに送られるべき艦隊はどこにもなかった。；一部の控え選手は、ナムコスターズからの穴埋め要員が参加している。；もっとも、実際には代行部分の不足額の穴埋めにも事欠く基金が多い。；あの穴埋め水責めの危機の際に、悪い水を飲んだらしいのです。；その穴埋めをしておきたくもなるのではなかろうかな。；それを何とか成功させると、損失の穴埋めが終了したことがドクから告げられる。；奥方が側にいない、ならばその穴埋めのように自分はそこに存在していたのではないのか。</t>
        </is>
      </c>
      <c r="J194">
        <f>HYPERLINK("https://www.weblio.jp/content/穴埋め", "词义详情")</f>
        <v/>
      </c>
      <c r="K194">
        <f>HYPERLINK("https://yourei.jp/穴埋め", "查看例句")</f>
        <v/>
      </c>
    </row>
    <row r="195">
      <c r="A195" t="inlineStr">
        <is>
          <t>あながち</t>
        </is>
      </c>
      <c r="B195" t="inlineStr">
        <is>
          <t>成功</t>
        </is>
      </c>
      <c r="C195" t="inlineStr">
        <is>
          <t>読み方：あながち
［副］（あとに打消しの語を伴う）
１断定しきれない気持ちを表す。必ずしも。一概に。「—（に）うそとは言いきれない」
２強い否定の意を表す。決して。
「範頼、義経が申し状、—御許容あるべからず」〈平家・一〇〉
［形動ナリ］
１強引なさま。無理やり。
「父大臣(おとど)の—にしはべりしことなれば」〈大鏡・道長上〉
２いちずなさま。ひたむき。
「などかく、この御学問の—ならん」〈源・少女〉
３身勝手なさま。わがまま。
「おろかに過ぎにし方さへくやしうおぼさるるも—なり」〈和泉式部日記〉</t>
        </is>
      </c>
      <c r="D195" t="inlineStr">
        <is>
          <t>あながち悪い；あながち私一人；あながち無意味；あながち不；あながち否定する</t>
        </is>
      </c>
      <c r="E195" t="inlineStr">
        <is>
          <t>必ずしも；まんざら；一概に</t>
        </is>
      </c>
      <c r="H195" t="n">
        <v>29</v>
      </c>
      <c r="I195" t="inlineStr">
        <is>
          <t>自分が卑怯だからそうなのかと考えてもみたが、あながちそうでもない。；私の持っている山に興味があるというのもあながち嘘ではないらしいしな。；そういうことに身命を賭するのもあながち不満な人生だとは思われない。；三児の母である三十三歳の寮母は、あながち悪い気はしなかったようだ。；こういうことになったのも、あながち彼のほうばかりが悪いのではなかった。；これはあながち魚相の美醜ではなく、魚のもつ触覚と力との愛惜である。；一見不倫の恋のようではあったが、事実はあながちそうではなかった。；それもあながち嘘ではないな、と貴之は沙織の肌に触れる度にそう思う。；殱滅という言葉があながち嘘でもないことを教えてくれる素敵な武器だ。；蹴散らされそうな雰囲気に恐怖しなかったとも、あながち言いきれない。；七年間暴力団に在籍していた経験も、あながち無駄ではなかったらしい。；それを、耳のそばでささやかれているのも、あながち悪い心地ではない。；それはあながち金の光がいつもに比べ、恐ろしく弱いせいばかりではない。；上原がこう想像してみるのは、あながち根拠のないことではなかった。；彼女の大きい肉体を見ればあながち非現実的とは思えなかった。；人とちがった意見をもっていても、あながちばかだとはいえませんからね。；考えてみれば、あながちこれは錯覚とのみいいすてることでないようだ。；しがもヴィザを採るためには、あながち冷たい水の中へ潜る必要はない。；成長を拒否しているというのはあながち間違っていないかもしれない。；外国にはそういう言葉があるそうだが、あながち迷信でもないらしい。；語ることが鋳型を持つこともあながち不条理とも言えないに違いない。；そう感じるのはあながちハナばかりではないようで、皆元気よく食が進んだ。；あながちに軽侮の心でもないであろうが、もとより尊敬の心でもない。；オックスフォード出身というのも、あながち嘘ではないかもしれません。；でも、そう言われるのも、あながちまちがいではないという気もするの。；と、こう考えても、あながち考え過ぎであるとはいえないであろう。；それはあながち、わたしの妹だと知ってのお世辞ではありますまい。；しかし、これは、あながち、若殿様御一人に限った事ではございません。；あながち、これはきみの楽天主義だとばかりはいえないようだな、ジム?</t>
        </is>
      </c>
      <c r="J195">
        <f>HYPERLINK("https://www.weblio.jp/content/あながち", "词义详情")</f>
        <v/>
      </c>
      <c r="K195">
        <f>HYPERLINK("https://yourei.jp/あながち", "查看例句")</f>
        <v/>
      </c>
    </row>
    <row r="196">
      <c r="A196" t="inlineStr">
        <is>
          <t>あなた</t>
        </is>
      </c>
      <c r="B196" t="inlineStr">
        <is>
          <t>成功</t>
        </is>
      </c>
      <c r="C196" t="inlineStr">
        <is>
          <t>読み方：あなた
［代］
１遠称の指示代名詞。
㋐離れた場所・方向などをさす。向こう。あちら。
「山の—の空遠く」〈上田敏訳・海潮音・山のあなた〉
「北の障子の—に人の気配するを」〈源・帚木〉
㋑以前。昔。
「昨日今日とおぼすほどに、三年(みとせ)の—にもなりにける世かな」〈源・朝顔〉
２三人称の人代名詞。対等または上位者に用いる。あちらのかた。あのかた。
「—にも語らひのたまひければ」〈源・藤裏葉〉
[補説]1㋐から2を経て、近世中期に上位者に用いる二人称人代名詞「あなた（貴方）」の用法が生まれた。</t>
        </is>
      </c>
      <c r="D196" t="inlineStr">
        <is>
          <t>あなた方(3%)；あなたたち；あなたがた；あなたさま；あなた様</t>
        </is>
      </c>
      <c r="E196" t="inlineStr">
        <is>
          <t>自分；君；お前；あんた；われ</t>
        </is>
      </c>
      <c r="F196" t="inlineStr">
        <is>
          <t>いつかあなた；どんなにあなた；あなたもおわかり；あなたとふたりきり；あなたさまご自身</t>
        </is>
      </c>
      <c r="G196" t="inlineStr">
        <is>
          <t>あなたと；あなたのために；あなたのように；あなたと私；あなたのそばに</t>
        </is>
      </c>
      <c r="H196" t="n">
        <v>29</v>
      </c>
      <c r="I196" t="inlineStr">
        <is>
          <t>あなたは私をどこにも連れていけいないし、誰にも紹介できないわよね。；このページを編集したいと思う方へ わたしたちはあなたを歓迎します。；以下のメッセージはあなたに宛てられているメッセージではありません。；あなたは知っているんだと思うが、俺は本当にこの訛りを練習したんだ。；あなたの偉大な夫が亡くなったことが世界の損失であることを表明する。；あなたはそのような美に飽きて他のことを求めるようになるでしょう。；たまにはあなたが優勝して、誰かに優勝旗を持たせるようにしなさいよ!；あなたの脳をちょうどいい具合に刺激するパズルがあるだけなのです。；全てはあなたが私に送って下さったもの、憐れみの内に与えられたもの。；あなたの援助のすべてが私たちの美しいダーチャと美しい家をもたらした。；私は映画界に新たな風をもたらしたかったのです、あなたが望むのならば。；しかしその間に、あなたはこれらの種類の取引で国を破壊しました。；私達はあなたたちの上にいるに違いないが、あなたたちが見えません。；彼ら白人があなたを森の中で見つけたら、動物のように殺すでしょう。；このページを編集したいと思う方へ: わたしたちはあなたを歓迎します。；あなたが書かれる記事を助けこそすれ、妨げることは望んでいません。；妻からは「あなたは邪魔だから台所に来ないで」と何度も怒られたという。；反対にあなたの剣に当てることでより深く自分自身を傷つけることになる。；私はあなたが個人であることを消すためにここにいるのではない。；もしあなたがパリに生まれたなら、あなたはどこでも芸術を見ることが出来る。；あなたと会わずに過ごしているうちに 女は男に歌を返しました。；あなたのことを考えていないのでも忘れているのでもない。；これは死や消滅ではなく新たなあなたたちの誕生であると。；彼女とあなたの将来が、私たちの今夜の判断を正当化するように、と話す。；そういうのを問題にするあなたの方が日本人として非常に恥ずかしい。；しかしながらあなたが体験するのはこの世界にある意識体験のごく一部である。；あなたは別名だと言い、私にはあなたの発言を疑う理由はありません。；そしてその日あなたがたは自分のために選んだ王のゆえに呼ばわるであろう。；彼らはあなたをその手にのせて運び、足が石に当たらないように守る。</t>
        </is>
      </c>
      <c r="J196">
        <f>HYPERLINK("https://www.weblio.jp/content/あなた", "词义详情")</f>
        <v/>
      </c>
      <c r="K196">
        <f>HYPERLINK("https://yourei.jp/あなた", "查看例句")</f>
        <v/>
      </c>
    </row>
    <row r="197">
      <c r="A197" t="inlineStr">
        <is>
          <t>兄</t>
        </is>
      </c>
      <c r="B197" t="inlineStr">
        <is>
          <t>成功</t>
        </is>
      </c>
      <c r="C197" t="inlineStr">
        <is>
          <t>読み方：あに
１きょうだいのうち、年上の男。⇔弟。
２《「義兄」とも書く》妻や夫の兄。また、姉の夫。義兄(ぎけい)。
３（「あにさん」などの形で）年配者が若い男を親しんでいう語。</t>
        </is>
      </c>
      <c r="D197" t="inlineStr">
        <is>
          <t>兄さま；兄夫婦；兄哥；兄君；兄王</t>
        </is>
      </c>
      <c r="E197" t="inlineStr">
        <is>
          <t>弟；兄弟；兄さん；兄貴；実弟</t>
        </is>
      </c>
      <c r="F197" t="inlineStr">
        <is>
          <t>同母兄；中大兄；半兄；異父兄；全兄</t>
        </is>
      </c>
      <c r="G197" t="inlineStr">
        <is>
          <t>兄さん；兄貴；兄妹；兄弟姉妹；兄たち</t>
        </is>
      </c>
      <c r="H197" t="n">
        <v>29</v>
      </c>
      <c r="I197" t="inlineStr">
        <is>
          <t>子供に兄や姉がいる場合、彼らが初期の仲間関係をつくる相手となる。；また、父が熱心に勧めた影響で兄の彬も生長の家の熱心な信者になった。；そのあとを追うように兄も世を去るとついに時計は止まってしまった。；しかしこの頃、ヌルハチに兄への態度が尊大になったと叱責されている。；同じ月に、兄が働いていた巣鴨の理研科学映画で動画を描く仕事を得た。；前年に生まれ18日後に死亡した兄「正八」の名をそのままつけられた。；兄媛は吉備氏の娘であり故郷の方角を見て望郷の念にかられたのだった。；なぜ嘆いているのかを問うと故郷の父母が恋しいからだと兄媛は答えた。；マネージメントは父親が行っていたが2008年以降母親と兄が行っていた。；大の猫好きで、鎧の中で猫を飼おうとして兄に怒られることもしばしば。；兄がNHKでミキサーをしており、高校時代に何回か見学に行っていた。；父親は軍人で、三人の兄と弟一人という男兄弟に囲まれて育った。；人物の好悪が激しい兄と異なり、誰とでも打ち解ける性格をしている。；それはこれまで何度か番組で紹介されたことがあり、その際には兄も登場したことがある。；成政の二人の兄や娘の年齢から、没年齢53歳説が有力とされている。；この旅行の間、前年にカリフォルニアに移住した兄ジョンと再会した。；捜査本部に戻った主人公には、既に文江の兄の行方に心当たりがあった。；兄も事件の前年に早稲田大学を卒業後に上場企業に入社していた。；班超は歴史家の家に生まれ、幼い頃は兄と一緒に歴史を学んでいた。；兄弟の中では最も活溌であり、そのことは1つ違いの兄宮とよく比較された。；兄がサイド3へ向けて旅立ったのちに、自らはサイド7へ移住していった。；兄の援助を元に交易活動を行って財務を復活させ、アフリカからローマに戻る。；今考えれば兄は政治家にまったく向いていなかったと思う。；これはマリや彼女の兄や姉たちにも苦難として襲いかかるものとなった。；母親は理恵子の兄を連れて実家に帰り、そこで出産・育児をしている。；ヘーゲルの妹はブラザーコンプレックスと言っていいほど兄を深く愛していた。；両親が音楽好きで、兄の影響もあり、3歳の頃よりエレクトーンを始める。；学生時代は、兄のウダイに比べて物静かで計算高い性格だったとされる。；ここには妹のアッタヴァンティ侯爵夫人がやってきて兄の解放を祈っていた。</t>
        </is>
      </c>
      <c r="J197">
        <f>HYPERLINK("https://www.weblio.jp/content/兄", "词义详情")</f>
        <v/>
      </c>
      <c r="K197">
        <f>HYPERLINK("https://yourei.jp/兄", "查看例句")</f>
        <v/>
      </c>
    </row>
    <row r="198">
      <c r="A198" t="inlineStr">
        <is>
          <t>アニメ</t>
        </is>
      </c>
      <c r="B198" t="inlineStr">
        <is>
          <t>成功</t>
        </is>
      </c>
      <c r="C198" t="inlineStr">
        <is>
          <t>「アニメーション」の略。
[補説]近年、英語に取り入れられてanimeと綴り、日本のアニメーション作品を指す語として用いられている。</t>
        </is>
      </c>
      <c r="D198" t="inlineStr">
        <is>
          <t>アニメ化(4%)；アニメ第；アニメ制作；アニメオリジナル；アニメ本編</t>
        </is>
      </c>
      <c r="F198" t="inlineStr">
        <is>
          <t>短編アニメ；ショートアニメ；原作アニメ；アニメ製作；アニメ調</t>
        </is>
      </c>
      <c r="G198" t="inlineStr">
        <is>
          <t>アニメ版；アニメーター；アニメ作品；アニメ化；アニメ映画</t>
        </is>
      </c>
      <c r="H198" t="n">
        <v>29</v>
      </c>
      <c r="I198" t="inlineStr">
        <is>
          <t>アニメとは設定やストーリーが異なる上、雑誌掲載時とも内容が異なる。；アニメは原作と違いストーリーが大幅に変更されたものになっている。；アニメや洋画の吹き替えなどに声だけで出演する俳優は声優と称される。；少女向けアニメは、少女が見ることを想定して製作されたアニメの総称。；その結果、漫画を描いた背景には「アニメ化されたから」と答えている。；本作終了後、2019年現在、この枠でアニメが放送されたことはない。；アニメに登場しない独自の設定が、元のアニメを越えてしまった瞬間である。；CDなどで購入した楽曲から、アニメやドラマの音声なども使用できる。；初連載ながらも1999年にはアニメ化され、国民的人気作品となった。；海外に輸出されたアニメの主題歌を現地語吹き替えで歌っている例もある。；これらは、アニメに登場しないにもかかわらず人気の商品となった。；また、アニメの中では世界で最も売れたサウンドトラックとなっている。；近年ではアニメなどの流行により、その対象は広い世代に拡大しつつある。；そして初期に作られたアニメで成功した作品はほとんどが子供向きのものであった。；諸外国と同じく当初作られていたアニメは数分程度の短編映画が多かった。；この他、映画・アニメ・ゲームの漫画化作品も少数ながら掲載されている。；当時のドラマ・アニメ・小説などで、博覧会が登場することもあった。；本作の登場人物は他の藤子作品、およびアニメに出演したことがある。；これなどの作品はアニメ愛好者よりは子供を中心とした家族を狙った作品が多い。；アニメでは、父親の顔や形が統一されていなかった時期がある。；テレビアニメのようなナレーションとアニメの楽曲も使用されている。；原作単行本第6 -10巻から選ばれたエピソードをアニメ化したもの。；原作が完結したあかつきには、そこまでアニメ化されたらうれしいです。；原作・OVAアニメ・ゲームソフトのすべてに当駅が何度も登場する。；漫画とアニメとの違いを肌で感じ、この経験をきっかけにアニメ制作に興味を持つ。；日本では1990年代後半から深夜帯の青年向けアニメが広まり始めた。；アニメ、ゲームの分野での活動のため、海外にもファンが存在する。；このアニメは現在もテレビ放送されているほか、DVDも発売されている。；タツノコプロが外部からの原作で制作した初めてのアニメである。</t>
        </is>
      </c>
      <c r="J198">
        <f>HYPERLINK("https://www.weblio.jp/content/アニメ", "词义详情")</f>
        <v/>
      </c>
      <c r="K198">
        <f>HYPERLINK("https://yourei.jp/アニメ", "查看例句")</f>
        <v/>
      </c>
    </row>
    <row r="199">
      <c r="A199" t="inlineStr">
        <is>
          <t>姉</t>
        </is>
      </c>
      <c r="B199" t="inlineStr">
        <is>
          <t>成功</t>
        </is>
      </c>
      <c r="C199" t="inlineStr">
        <is>
          <t>読み方：あね
１きょうだいのうち、年上の女。⇔妹。
２《「義姉」とも書く》妻や夫の姉。また、兄の妻。義姉(ぎし)。
３（「あねさん」などの形で）女性を親しんでいう語。</t>
        </is>
      </c>
      <c r="D199" t="inlineStr">
        <is>
          <t>姉娘；姉夫婦；姉さま；姉婿；姉原</t>
        </is>
      </c>
      <c r="E199" t="inlineStr">
        <is>
          <t>娘；少女；女子；女の子；嬢</t>
        </is>
      </c>
      <c r="F199" t="inlineStr">
        <is>
          <t>お姉；次姉；同母姉；半姉；異父姉</t>
        </is>
      </c>
      <c r="G199" t="inlineStr">
        <is>
          <t>姉さん；姉弟；姉妹都市；姉たち；姉妹群</t>
        </is>
      </c>
      <c r="H199" t="n">
        <v>29</v>
      </c>
      <c r="I199" t="inlineStr">
        <is>
          <t>モーツァルトが彼女の姉アロイジアに夢中になっていた時のことである。；特にアルフォンスは完全にこの姉からの資金に依存して生活していた。；その際、祖母を母親と、実の母親を姉と言い聞かされながら育てられた。；姉から総合格闘技のビデオを見せられたのがきっかけになったという。；彼は四人兄弟の三人目で、幼いガガーリンの世話は姉が行うこともあった。；姉と見間違えた地元住人たちには、例外なく戦慄の表情が浮かんでいた。；彼が音楽から影響を受けたのには、姉も関係していたようである。；彼女は久しぶりに会った姉があまりに母親そっくりで驚いたという。；女性の場合の視点としては、姉と妹のカップルに用いられることも多い。；当時アメリカにいた姉と一緒に勉強する道も示してくれた。；しかし本人の知らぬ間に父と姉は実家を児童養護施設に転用していた。；斎藤利三と明智光秀の年齢差を考えると、妹ではなく姉だとする説もある。；母は姉のことをもはや実の娘とはわからなくなっていた。；ハマーンは姉の跡を継いでミネバの世話をするようになったという。；ロビーが3歳の時に両親は離婚しており母親に姉とともに育てられた。；姉・ナナ子の夫の親類宅に2度目の滞在をさせてもらうことになった。；この伝説に見える姉神と弟神は、天照大神と素盞嗚尊にあたるといわれる。；東京で働いていた弟は、「死亡」情報を姉の一人から電話で受けた。；姉と日本人男性の拉致事件を若宮が演劇化したことが縁であるという。；子供が、自分の姉以外の年長の若い女性を指して呼ぶ一般語としても用する。；松田実によると、そのために両親や姉の溺愛を受けて育ったという。；そのうちに姉のセアラが遊びに来るようになり、やがて一緒に住むようになった。；兄、姉、弟、妹の5人兄弟姉妹だが兄は目に出来た悪性腫瘍で死亡する。；作者の姉が勤務していた熊本大学医学部附属病院への取材に基づき、執筆した。；また協力者の看護学生の姉及び別の協力者も自殺している。；ボイル自身は帰国してロンドンに着き、姉とその夫の保護を受けた。；姉と共に幼少期よりクラシックピアノを習わされたが好きではなかった。；なお、岳の姉で椎名の長女である渡辺葉は、本作中には全く登場しない。；丈の姉、弟、友人たちが次々と失踪し、いくつもの奇妙な現象が起こった。</t>
        </is>
      </c>
      <c r="J199">
        <f>HYPERLINK("https://www.weblio.jp/content/姉", "词义详情")</f>
        <v/>
      </c>
      <c r="K199">
        <f>HYPERLINK("https://yourei.jp/姉", "查看例句")</f>
        <v/>
      </c>
    </row>
    <row r="200">
      <c r="A200" t="inlineStr">
        <is>
          <t>あの</t>
        </is>
      </c>
      <c r="B200" t="inlineStr">
        <is>
          <t>成功</t>
        </is>
      </c>
      <c r="C200" t="inlineStr">
        <is>
          <t>読み方：あの
［連体］《代名詞「あ」＋格助詞「の」から》
１話し手・聞き手の双方から離れた人や物をさしていう。「—帽子を取ってください」
２話し手も聞き手もすでに知っている人や事柄をさしていう。例の。「—男がまた来たよ」「—件はどうなりましたか」
［感］話のきっかけをつけるとき、言葉に詰まったときなどに発する語。「—、ちょっとお尋ねしたいんですけど」「それは、—、つまり」</t>
        </is>
      </c>
      <c r="F200" t="inlineStr">
        <is>
          <t>どうしてあの</t>
        </is>
      </c>
      <c r="G200" t="inlineStr">
        <is>
          <t>あの日；あの世；あのころ；あの手この手；あの国</t>
        </is>
      </c>
      <c r="H200" t="n">
        <v>29</v>
      </c>
      <c r="I200" t="inlineStr">
        <is>
          <t>世界中の人々の壮絶人生やあの物語の裏にあった感動の結末などを紹介。；ほとんど価値のない論文ですが、あの可哀想な男は喜んでいるでしょう。；オレが仕事が終わってレストランに行くとあの人がビフテキを食べてる。；その人があのような理由で大学をやめられたことは大きなショックだった。；日本だってみんながその気になれば、あのくらいのものは出来ると思うの。；沢村君には悪いけれども、あのくらいの球には慣れてたんだよ、ぼくは。；あの年の星稜は、高校球児の中に一人だけプロがいるようなものだった。；あの曲を初めてライブ演奏したのは、ビートルズではなくジミなんだよ。；私にも、あのときレイテに行ったほうが良かったと考えることはできる。；今回は、あの人がこれを指摘してたおかげでこれにも気付くことができた。；そういう傲慢な気持ちを横浜の風景の中に隠したのが、あの曲だったんだ。；あの馬には、普通では考えられない結果を出す力があったんですよ。；家に帰ってみると、あの猫を助けた女性が家にいたので龍之介は驚く。；サムはあの後別の女性と結婚してからもドナを愛し続けてきたと語る。；バンド自体も後のインタビューで「あの作品は失敗だった」と語っている。；自分がコーチになっていろんな球団を巡るようになってあの時の経験が生きた。；結局どういう考えだったのか、あのバッテリーでないとわからないですよ。；その騎士団を指揮するのは、呪われし子と忌み嫌われたあの王子だった。；それは、彼女を特異な存在にしている彼女独特のあのハスキー・ボイス。；もう2度とあの街へ戻ることはできないだろうと考えたのだろう。；あの時点では家宅捜索なりを行うことも無理であったとしている。；あの被告たちはまだ有罪が立証されていないドイツ軍の将軍だったのに。；今日の人口の大部分はあの当時子どもだったか、まだ生まれてもいませんでした。；だから僕はあのシリーズで、江田役を演じた時に眼帯して出たんです。；その国は、かつて姫と相思相愛の仲であったあの王子の国であった。；こうして、あの戦争に協力する方向へと向かってしまったのです。；しかし、そんな彼女を必死で止めたのはあの看護師・吉岡由希子であった。；それぐらいでないとあのエネルギー、とてもじゃないが出ないよ。；地元では、会社よりも「あのCM」という知られ方をされることも多い。</t>
        </is>
      </c>
      <c r="J200">
        <f>HYPERLINK("https://www.weblio.jp/content/あの", "词义详情")</f>
        <v/>
      </c>
      <c r="K200">
        <f>HYPERLINK("https://yourei.jp/あの", "查看例句")</f>
        <v/>
      </c>
    </row>
    <row r="201">
      <c r="A201" t="inlineStr">
        <is>
          <t>あのう</t>
        </is>
      </c>
      <c r="B201" t="inlineStr">
        <is>
          <t>成功</t>
        </is>
      </c>
      <c r="C201" t="inlineStr">
        <is>
          <t>読み方：あのう
奈良県五條市の丹生川中流の地区。南北朝時代、後醍醐・後村上天皇の行宮(あんぐう)があった。梅の名所。古くは「穴生」「加名生」などと書いた。</t>
        </is>
      </c>
      <c r="H201" t="n">
        <v>0</v>
      </c>
      <c r="J201">
        <f>HYPERLINK("https://www.weblio.jp/content/あのう", "词义详情")</f>
        <v/>
      </c>
      <c r="K201">
        <f>HYPERLINK("https://yourei.jp/あのう", "查看例句")</f>
        <v/>
      </c>
    </row>
    <row r="202">
      <c r="A202" t="inlineStr">
        <is>
          <t>アパート</t>
        </is>
      </c>
      <c r="B202" t="inlineStr">
        <is>
          <t>成功</t>
        </is>
      </c>
      <c r="C202" t="inlineStr">
        <is>
          <t>《apartmenthouseの略》1棟の建物をいくつかの独立した住居に仕切ったもの。また、その個々の住居。集合住宅。共同住宅。アパルトマン。</t>
        </is>
      </c>
      <c r="D202" t="inlineStr">
        <is>
          <t>アパート群；アパート暮らし；アパート住まい；アパート経営；アパート住い</t>
        </is>
      </c>
      <c r="E202" t="inlineStr">
        <is>
          <t>マンション；アパートメント；アパルトマン</t>
        </is>
      </c>
      <c r="F202" t="inlineStr">
        <is>
          <t>同じアパート；小さなアパート；木造アパート；自宅アパート；高級アパート</t>
        </is>
      </c>
      <c r="G202" t="inlineStr">
        <is>
          <t>アパートの鍵貸します；アパートヘ；アパートメントホテル；アパートメントビル</t>
        </is>
      </c>
      <c r="H202" t="n">
        <v>29</v>
      </c>
      <c r="I202" t="inlineStr">
        <is>
          <t>これはアパートの小さなブロックのために必要とされる量に非常に近い。；ゼオンと行動を共にしていた時はヨーロッパのアパートで生活していた。；アパートについたとき、彼女は中絶したばかりであることを僕に告げた。；スワンの死体のポケットにあった鍵はスワン自身のアパートの鍵だった。；丸一日アパートにこもって、好きな漫画を描いていられる日は幸福だった。；イングランドに出かけたときのためにブライトンにもアパートを借りている。；廃墟のアパートで4人の若者がゲームのような生活を繰り返している。；彼はアパートの管理人姉妹の姉に方である、河井 空に一目ぼれをした。；転居先が完治のアパートだと知ったさとみは偶然を装い訪ねたのだった。；アパートが完成したのは遅れに遅れて1984年のことであった。；駅東側には炭川が流れており、越えた先にはアパートが立ち並んでいる。；長渕はデビューし上京して間もない頃、当駅近くのアパートで暮らしていた。；初期はアパートの一室に住んでいたが、現在は一戸建ての家に住んでいる。；駅の南東には城南大路があり、この先にはアパートが多く建ち並んでいる。；アパートを経営しているが利益が出るまでは30年かかるらしい。；エリザベスの魂はかつて本当の愛を見つけた古いアパートに戻る。；数年後、昔に住んでいたアパートは大きなマンションになっていた。；欧州選手権では初優勝を果たし、賞金で母と祖母と住むアパートを建てた。；卒業後、自宅アパートでデザイン論・デザイン史を研究し始める。；駅周辺にはアパート・マンションが多く建てられている。；アパートやホテルなどでは、一つの空間の部屋複数を単位としても部屋という。；駅は上渓路の路上にあり、周辺はアパート団地も多く宅地化されている。；戦後に公営アパートが集中して建設され、市営バスも多く走っている。；彼女はキエフに近い町ボリスピルで両親のためにアパートを購入した。；近くのマニラホテルやアパートに連れていかれて性的暴行を受けた女性もいた。；晩年はその養女にも先立たれ、最期は草加市のアパートで一人で迎えた。；南部の3丁目はほとんどアパートで占められ、市立花高小学校が位置する。；ケベック時代にはアパートを改造して写真現像用の暗室を作っていた。；引退時には打撃コーチ就任の要請もあったというが、アパート経営を理由に退団。</t>
        </is>
      </c>
      <c r="J202">
        <f>HYPERLINK("https://www.weblio.jp/content/アパート", "词义详情")</f>
        <v/>
      </c>
      <c r="K202">
        <f>HYPERLINK("https://yourei.jp/アパート", "查看例句")</f>
        <v/>
      </c>
    </row>
    <row r="203">
      <c r="A203" t="inlineStr">
        <is>
          <t>暴く</t>
        </is>
      </c>
      <c r="B203" t="inlineStr">
        <is>
          <t>成功</t>
        </is>
      </c>
      <c r="C203" t="inlineStr">
        <is>
          <t>読み方：あばく
［動カ五（四）］
１土を掘って取り出す。「墓を—・く」
２人が隠していること、気づかないでいることを探り出して公にする。暴露する。「正体を—・く」「不正を—・く」
３ずたずたに切る。切り開く。
「剣をぬきてこれを—・くに」〈著聞集・一七〉
[可能]あばける</t>
        </is>
      </c>
      <c r="D203" t="inlineStr">
        <is>
          <t>暴くべく(3%)；暴く財務省黒字化目標</t>
        </is>
      </c>
      <c r="E203" t="inlineStr">
        <is>
          <t>公開；暴露；摘発；露呈；開示</t>
        </is>
      </c>
      <c r="H203" t="n">
        <v>29</v>
      </c>
      <c r="I203" t="inlineStr">
        <is>
          <t>己れの最高の秘密武器をいきなり暴かれたのだから、これは当然である。；アメンホテプ4世の王墓とされる臨時に用意された小さな墓は暴かれた。；記録を詳細に調査しない限り、疑惑を暴くことはできなかったでしょう。；こうなると自分のことは伏せておき他人の罪を暴く傾向があらわれてきた。；知る必要のない他人の過去を暴いて、自分の気持ちだけを満足させる。；剣から放たれた光が、マァサを名乗っていたものの真の姿を暴きだした。；そうしていなければ、どこから自分の心が暴かれるかわかつたものではない。；CIAが暴くほどの秘密も、暴かれて困るほどの秘密も存在しなかった。；CIAが暴くほどの秘密も、暴かれて困るほどの秘密も存在しなかった。；それを仕事としているはずの警察ですらまっとうに俺の罪を暴いてくれない。；向こうも、一応その世界では知られた男だから、秘密を暴かれるのは困る。；「末の山で墓を暴いてました」 相手は低く驚いたような声を上げる。；彼らのように偽りを暴くことを活動の中心としている人々をと呼ぶ。；テレビ画面で社会の大立物の旧い犯罪を暴き立てたのは前代未聞である。；一割も建築費をピンハネしようとしていた工事を暴いてなにがいかん。；勝手に墓を暴いた上にウッディーの身体を粉々にしてしまったからだ。；その人が隠したがっていることを無理に暴いたりしたくはない。；自分だけの秘密が第三者に無断で暴かれてしまう時代が来てしまった。；スーインのこころを暴いた女への憎悪が言わせたひと言であったろうか。；そして何よりも、軍事目的での研究が政府内部から暴かれる可能性があります。；そんな言峰が、何を思って桜の闇を暴いたのかなんて、考えるまでも無い。；それより、そんな昔の傷を、どうして暴かなければならないんですか?；何か自分の恥部を、青年によって暴きたてられたような気がしていたのだ。；リンダたちの計画が暴かれる危険が最も高かったのはこの時期だった。；事件の真相を暴いていく中で、同時にもう一つの真実が明らかになっていく。；そのゲームの中で、4人が抱えていた秘密が次々と暴かれていくことになった。；ただ一つ、手紙にあった、〈身近な人物〉の正体を暴くことを除いては。；それほど殺人鬼の正体を暴きたいのか、と私は窓から彼の様子を盗み見た。；それがある、ということは埋葬された墓が暴かれたということだった。</t>
        </is>
      </c>
      <c r="J203">
        <f>HYPERLINK("https://www.weblio.jp/content/暴く", "词义详情")</f>
        <v/>
      </c>
      <c r="K203">
        <f>HYPERLINK("https://yourei.jp/暴く", "查看例句")</f>
        <v/>
      </c>
    </row>
    <row r="204">
      <c r="A204" t="inlineStr">
        <is>
          <t>暴れる</t>
        </is>
      </c>
      <c r="B204" t="inlineStr">
        <is>
          <t>成功</t>
        </is>
      </c>
      <c r="C204" t="inlineStr">
        <is>
          <t>読み方：あばれる
［動ラ下一］［文］あば・る［ラ下二］
１乱暴な行動をする。被害が出るほど乱暴に動く。「やけになって—・れる」「増水で川が—・る」
２勇ましく大胆な行動をする。「議会活動で大いに—・れる」
３むやみに飲み食いをする。暴飲暴食する。
「釣りたるはぜを丸焼きにして、数食ふ事を手柄におのおの—・れける中にも」〈浮・織留・三〉</t>
        </is>
      </c>
      <c r="D204" t="inlineStr">
        <is>
          <t>暴れるかもしれ</t>
        </is>
      </c>
      <c r="E204" t="inlineStr">
        <is>
          <t>荒れ狂う；吹き荒れる；怒り狂う；逆巻く；じたばたする</t>
        </is>
      </c>
      <c r="F204" t="inlineStr">
        <is>
          <t>激しく暴れる；じたばた暴れる；暴れれば暴れる；暴れるだけ暴れ；あまり暴れる</t>
        </is>
      </c>
      <c r="H204" t="n">
        <v>29</v>
      </c>
      <c r="I204" t="inlineStr">
        <is>
          <t>かつてのように大声をあげたり、壁を叩いて暴れるようなことはなかった。；途中気づいて暴れるようなことがあれば、その場で殺して捨ててゆく。；その姿は、自分に関心を持ってくれるまで暴れる 子供にそっくりだった。；それがだんだん暴れるようになってきて、もうひとり応援を頼んだんです。；お酒を飲んで暴れることも、私に早く当たることもありませんでした。；そんな放送が入り、舞台裏の方から誰かが暴れるような音が聞こえてきた。；あんたもひさしぶりに暴れることができて、まんざらじゃないはずだぜ。；あまり暴れるので老人の顔が顎の辺りからめくれあがってずれてきた。；その人の腕に顔を埋め、がくがくと暴れる体を任せるのが精一杯だった。；「秘密が暴れるまで、女はよくそれを守るもんだよ」マンクスはいった。；暴れるように揺れが激しくなったかと思うと、あたしのほうに倒れかかってきた。；けれども姉が揺れていたのは、姉が暴れるためだけではなかった。；あまりにぼくの気持ちを無視した発言に肩の上で暴れるぼく。；ひとりの少女の瞳の中で暴れる巨人から、逃げることもできずに。；本気になって暴れる奴がいて、陰でそいつをスタンカ野郎とののしった。；暴れるままに暴れさせて置くうちに、 国は半分もう駄目になっています。；そして鼠の暴れる台所の方を避けて、それをわざと玄関の方へ釣った。；鹿は暴れる様子もなく、ただ一瞬驚いたような表情を目に浮かべただけだった。；夜ということもあるが、もう暴れるだけの力もないのかもしれない。；次回作は、わたしにしては珍しく、すぐにまたこいつらが暴れる予定です。；当然そいつらはじたばたと暴れるので邪魔になるがそれは仕方がない。；反努力というまでもなく、反努力の実質を暴れる大自然が与えてくれていた。；完全に無抵抗な女よりも、多少は暴れる相手のほうが、刺激も強いのである。；通常は文鳥に似た姿をしているが、空腹になると巨大化して暴れる。；見てみると、姫路さんが暴れる僕を抑えようとして手を握ってくれていた。；その結果、成人式で暴れるという若者が全国各地で出現しているのです。；で引っ込み組ではなく、その日の出来によっては大いに暴れることもある。；壊れてしまったほうが楽だと思えるようなイメージが脳内を暴れる。；暴れるのは手術を前にして感情が昂ぶっているからなのだろうと理解されたようだった。</t>
        </is>
      </c>
      <c r="J204">
        <f>HYPERLINK("https://www.weblio.jp/content/暴れる", "词义详情")</f>
        <v/>
      </c>
      <c r="K204">
        <f>HYPERLINK("https://yourei.jp/暴れる", "查看例句")</f>
        <v/>
      </c>
    </row>
    <row r="205">
      <c r="A205" t="inlineStr">
        <is>
          <t>浴びる</t>
        </is>
      </c>
      <c r="B205" t="inlineStr">
        <is>
          <t>成功</t>
        </is>
      </c>
      <c r="C205" t="inlineStr">
        <is>
          <t>読み方：あびる
［動バ上一］［文］あ・ぶ［バ上二］
１上から注がれた物を身に受ける。
㋐水・湯などを勢いよくからだに受ける。「シャワーを—・びる」「ひと風呂—・びる」「—・びるほど酒を飲む」
㋑細かいものや光などを全体に受ける。「車の舞い上げた土ぼこりを—・びる」「砲火を—・びる」「夕日を—・びる」
２（打撃となるような）ある行為を受ける。「強烈な一発を—・びて倒れる」
３感情的な言葉や質問などを続けざまに受ける。「罵声(ばせい)を—・びる」「喝采(かっさい)を—・びる」「視線を—・びる」
[用法]あびる・かぶる——どちらも、水・ほこりなどを全身に受けることを表すが、「かぶる」のほうが頭からくまなく覆い尽くす意味合いが強い。◇「水を浴びる」「ひと風呂浴びる」は、からだをきれいにしたり、くつろぐことを目的にからだに水をかけたり湯に入ったりすることである。「水をかぶる」は水垢離(みずごり)のように頭から多量の水をかけることで、「稲が水をかぶる」は水中に没するという意に使われる。◇「日差しを浴びる」「非難を浴びる」とはいうが、「かぶる」とはいわない。「波をかぶる」「責任をかぶる」とはいうが、「浴びる」とはいわない。</t>
        </is>
      </c>
      <c r="D205" t="inlineStr">
        <is>
          <t>浴びるほど飲ん；浴びるほど酒；浴びるほど飲み；浴びる結果となり</t>
        </is>
      </c>
      <c r="F205" t="inlineStr">
        <is>
          <t>シャワー浴びる</t>
        </is>
      </c>
      <c r="H205" t="n">
        <v>29</v>
      </c>
      <c r="I205" t="inlineStr">
        <is>
          <t>この一連の活躍で世界的な注目を浴び、世界トップ10選手に定着する。；その頃には国民的英雄になっていたが、注目を浴びることは嫌っていた。；このままでは日本はやがて世界から非難を浴びるようになるかもしれない。；川と子供を描く作家として注目を浴び、確かな自然観が支持されている。；一緒に敵の騎兵大隊までもが日差しを浴びて広がっているではないか!!；彼を擁護する者は、今日、彼は不公平な非難を浴びていると考えている。；この珍名には新四股名発表と同時に世間からの注目を浴びることとなる。；ハンガリー国民の失望は大きく、帰国したチームは大きな批判を浴びた。；Jリーグの選手経験者として初となるクラブ経営者として注目を浴びた。；キャラクターを用いたものが多く、広い層からの注目を浴びている。；同じ年に2つの文学賞を受賞したことで一躍注目を浴びる作家となった。；現役最晩年に最も活躍し、メディアでも注目を浴びた非常に珍しい選手である。；しかし、背景のセーヌ川の描き方が青い壁のようだなどと酷評を浴びた。；建物の中にいた多くの者が粉々になった窓ガラスの破片を直接浴びた。；通常のリーチよりも音色が一段高く周りからの注目も浴びることになる。；この苦痛を伴う方法は、参政権論者や医療専門家から非難を浴びた。；自身の影を持っていないが、光を浴びると人間の形の影ができる。；この対応が不十分であれば不祥事以上に批判を浴びることになりかねない。；また事情を知った世論からも張学良は強い批判を浴びることとなった。；事情を知った一般世論からも張学良は強い批判を浴びることとなった。；クレメンスは長年にわたり歯に衣を着せぬ発言でも注目を浴びている。；このとき中国は大きな不正会計事件で世界の注目を浴びていた。；地面に向けて発射すると、跳弾や危険な破片を人や物が浴びる原因になる。；明治29年、橘智定は東京へ進出し、演奏活動を開始して注目を浴びた。；そして現代になって鏡が発掘され、その鏡面に月の光を浴びたことで復活。；しかしその先進的な画風は当時の画壇の守旧派から猛烈な批判を浴びた。；これが全国の放送局の注目を浴び、他県でも同様の方法 がとられるようになった。；即座に浴びた批判から、ツェルメロは自身の結果の第2の解説を出版した。；ジャズ・ミュージシャンを起用してアルバムを制作し、注目を浴びた。</t>
        </is>
      </c>
      <c r="J205">
        <f>HYPERLINK("https://www.weblio.jp/content/浴びる", "词义详情")</f>
        <v/>
      </c>
      <c r="K205">
        <f>HYPERLINK("https://yourei.jp/浴びる", "查看例句")</f>
        <v/>
      </c>
    </row>
    <row r="206">
      <c r="A206" t="inlineStr">
        <is>
          <t>アフターサービス</t>
        </is>
      </c>
      <c r="B206" t="inlineStr">
        <is>
          <t>成功</t>
        </is>
      </c>
      <c r="C206" t="inlineStr">
        <is>
          <t>《(和)after＋service》商品販売後にその維持・修理などについて、業者が購買者に提供する奉仕。
[補説]英語ではafter-salesservice</t>
        </is>
      </c>
      <c r="D206" t="inlineStr">
        <is>
          <t>アフターサービス業務(3%)；アフターサービス事業(2%)；アフターサービス体制(2%)</t>
        </is>
      </c>
      <c r="H206" t="n">
        <v>29</v>
      </c>
      <c r="I206" t="inlineStr">
        <is>
          <t>レイセオンは2003年には販売とアフターサービスの中止を決定した。；販売は日本を除く世界ではPACが販売とアフターサービスを担っている。；海外から酪農・農業機械を輸入販売し、アフターサービスを行っている。；注意 いずれもミズホ製造品のアフターサービスは一切していない。；その点うちではアフターサービスきちんとしてますからね。；販売終了だけではなく、アフターサービスの終了に関する事例も存在する。；品質とアフターサービスともに世界一を目指して、ピアノ文化に貢献します。；ただ最近は、量販店もアフターサービスの充実に力を入れるようになってきている。；もちろん、それはわたくしどもがアフターサービスとしてやらせていただきます。；当時は現地生産車ではなく輸入車のみではあったが、中国での販売とアフターサービスを行った。；旧レイキ製品は同社がアフターサービスを継承している。；そのためアフターサービスは行われていない。；販売だけでなく、点検整備などのアフターサービスも提供する。；だがこの契約にはアフターサービスが伴った。；自前のアフターサービス部隊を持ち、連絡する時間帯によっては即日対応。；アフターサービスは東名阪エリアの協力整備工場からスタートし順次拡大予定とする。；前者は地域密着型でアフターサービスの質を、後者は価格の安さや商品種類の豊富さをセールスポイントとしている。；このごろは売るときはすごく熱心なくせに、アフターサービスが悪いんです。；今後も各国で運用されている戦術輸送機を中心に、整備やアフターサービスなどを手掛ける。；これは自転車の調整や整備といったアフターサービスが電器屋では行えないためである。；また、購入した商品のアフターサービスも継続する。；大阪にアフターサービスを行う東邦車輛サービス株式会社がある。；製品に起因する破損等が起きた場合には、無償で交換するアフターサービスを行なっている。；生産は2005年に終了したが、このエンジンのアフターサービスは2030年まで続けられる予定である。；ただしアイワ時代からのアフターサービスは今後も行う。；また、全国8か所のショールームでも商品の販売やアフターサービスを実施している。；エンジンの生産終了後もアフターサービス体制は維持されており、今なお多数のダート搭載機が現用中である。；故障やテントの破れ等ほとんど全てのアイテムが同社のアフターサービスで修理を受けることができる。；これは通常、請求のやり取りの処理方法やアフターサービスの提供方法など、企業が管理する企業と顧客の関係の要因が原因で発生するためである。</t>
        </is>
      </c>
      <c r="J206">
        <f>HYPERLINK("https://www.weblio.jp/content/アフターサービス", "词义详情")</f>
        <v/>
      </c>
      <c r="K206">
        <f>HYPERLINK("https://yourei.jp/アフターサービス", "查看例句")</f>
        <v/>
      </c>
    </row>
    <row r="207">
      <c r="A207" t="inlineStr">
        <is>
          <t>危ない</t>
        </is>
      </c>
      <c r="B207" t="inlineStr">
        <is>
          <t>成功</t>
        </is>
      </c>
      <c r="C207" t="inlineStr">
        <is>
          <t>読み方：あぶない
［形］［文］あぶな・し［ク］
１災いが起こりそうである。危険だ。「—・い遊び」「—・い目に遭う」
２すぐにだめになりそうである。消滅・破産・死などの状態が近い。「経営が—・くなる」「命が—・い」
３見通しが暗い。あてにならない。「明日の天気は—・いようだ」
４信頼の度が薄い。不確かだ。「その話は—・いなあ」
５不安定だ。「—・い足どり」
[派生]あぶながる［動ラ五］あぶなげ［形動］あぶなさ［名］
[用法]あぶない・あやうい——「危ない」は、「夜のひとり歩きは危ない」のように悪い結果になる可能性が高い場合に使われ、「危険だ」も同じ意味で使われる。◇「危ない」には、信頼度が低い、確実ではない、の意もある。「合格できるかどうか危ないものだ」など。◇「危うい」には、気がかりだ、不安だ、の気持ちが込められる。「危うい立場」と「危ない立場」には微妙なニュアンスの違いがみられる。◇「ところ」などを付けた形「危ないところを助かった」「危ういところを助かった」の場合では、両者とも用いられる。</t>
        </is>
      </c>
      <c r="D207" t="inlineStr">
        <is>
          <t>危ないところ(7%)；危ない目(3%)；危ないです；危ないじゃない；危ないかもしれ</t>
        </is>
      </c>
      <c r="E207" t="inlineStr">
        <is>
          <t>危険；不安；重大；深刻；危険な</t>
        </is>
      </c>
      <c r="F207" t="inlineStr">
        <is>
          <t>そんな危ない；ちょっと危ない；こんな危ない；本当に危ない；かなり危ない</t>
        </is>
      </c>
      <c r="G207" t="inlineStr">
        <is>
          <t>危ない橋を渡る；危ないッ；危ない薬；危ない女の子シスターズ；危ないー</t>
        </is>
      </c>
      <c r="H207" t="n">
        <v>29</v>
      </c>
      <c r="I207" t="inlineStr">
        <is>
          <t>それともお前さんの手にかかって命も危ないご亭主にあいに来たのかえ。；それを皆が危ながって留めたほどに人々の頭は地震でいっぱいであった。；そういう竜は、たまたま体の上に倒れてでもこないかぎりは危なくない。；結局は計画どおりにはなりませんでしたけれども、危ないところでした。；多少危ない場面もあった気もしたが、結局父の吾郎が帰ってきてくれた。；もし、追われていることにも気づいていなかったら、彼女の命が危ない。；今日の事は危ないと思って心配して居りましたが誠にうまく行きました。；ぼくの蹴りがなければ自分の命が危なかったことを直感で理解している。；その二人の青年が潔白だとなれば当然隊長の立場が危なくなりますもの。；もし、わたしほどにわかったら、危なくてとても近くへ置いてはおけん。；秀吉の度の過ぎた鍾愛に、何か利休に危なかしいものが感じられていた。；わたしはあわててそのとおりにしようとして、危なくたおれそこなった。；お互いが若いのだ、そして極めて危ない火と火を持ち合っているのだ。；もっとも、最近の銀行はあまり危なくない先へも貸し渋りを始めている。；あたしが自分の命を危なくしたって、世間が何と思ってくれるというの?；又ある一部の人々には真珠を持つて居ると命が危ないといふ迷信がある。；だが危ない所を小万に助けられ、そこでお万から大変な事を聞かされた。；男はここにいては危ないからと、お村の手を引いてその場を立ち去る。；召還や攻撃の際の台詞を声に出してたりして、ちょっと危ない感じです。；自分が逃げるためにトトを危ない目に遭わせるなんて、僕にはできない。；問題の人は道の中央に立って、危ないからやめなさい、などと言っている。；この不況のおりに、誰が自分の首を危なくするようなことをしますか。；待ち合わせの場所に男が来てるのを見て、危なくないか確認してから会う。；危ない思いをしてかくまってあげたのになんていやな真似をしているんです!；けれども今の法王とてもそういう悪魔の中に居るから危ないものです。；防御が二重になっていなかったとしたら、危なかったかもしれない。；アダスはそばに置いて手綱をつけておかないと危なくて仕方がないのだ。；雨が降続いて川が増水すると、危ないというので渡しを止めるのである。；到着するやいなやそういう店に入るのは、しかも女一人で入るのは危ない。</t>
        </is>
      </c>
      <c r="J207">
        <f>HYPERLINK("https://www.weblio.jp/content/危ない", "词义详情")</f>
        <v/>
      </c>
      <c r="K207">
        <f>HYPERLINK("https://yourei.jp/危ない", "查看例句")</f>
        <v/>
      </c>
    </row>
    <row r="208">
      <c r="A208" t="inlineStr">
        <is>
          <t>油</t>
        </is>
      </c>
      <c r="B208" t="inlineStr">
        <is>
          <t>成功</t>
        </is>
      </c>
      <c r="C208" t="inlineStr">
        <is>
          <t>読み方：あぶら
１水に溶けず、水よりも軽い可燃性物質の総称。動物性・植物性・鉱物性があり、食用・灯火用・燃料用・化学工業の原料など用途が広い。
㋐動物の肉についている脂肪分。脂身(あぶらみ)。「—の多い切り身」
㋑皮膚から分泌する脂肪。「汗と—の結晶」
㋒植物の種子などからとれる液体。菜種油・ごま油など。「—で揚げる」
㋓植物の花や葉などからとれる、芳香のある揮発性の液体。薄荷(はっか)油など。精油。
㋔原油を精製したもの。重油・軽油・灯油など。
㋕髪油。ポマードやチック類もいう。「—でなでつける」
２活力のみなもと。特に酒をさすことが多い。「疲れたから—を補給しよう」
３《火に油を注ぐとよく燃えるところから》おせじ。へつらい。うれしがらせ。
「えらい—言ひなます」〈滑・膝栗毛・八〉
[補説]一般に、常温で液体のもの（主に植物・鉱物性）を「油」、固体のもの（主に動物性）または皮膚から分泌されるものを「脂」、肉のあぶらを「膏」と書き分ける。
[下接語]揚げ油・荏(え)の油・牡蠣(かき)油・固(かた)油・樺(かば)の油・蝦蟇(がま)の膏(あぶら)・髪油・榧(かや)の油・機械油・木の実油・桐(きり)油・胡桃(くるみ)油・黒油・芥子(けし)油・漉(こ)し油・胡麻(ごま)油・米油・差し油・白油・梳(す)き油・種油・椿(つばき)油・灯(とぼし)油・菜種(なたね)油・匂(にお)い油・鯡(にしん)油・糠(ぬか)油・鼻脂(はなあぶら)・鬢(びん)付け油・松脂(まつやに)油・豆油・水油・密陀(みつだ)の油・綿油</t>
        </is>
      </c>
      <c r="D208" t="inlineStr">
        <is>
          <t>油画；油汗；油じみ；油斷；油管</t>
        </is>
      </c>
      <c r="E208" t="inlineStr">
        <is>
          <t>オイル；油分；油類；脂肪油</t>
        </is>
      </c>
      <c r="F208" t="inlineStr">
        <is>
          <t>塗油；作動油；麻油；燈油；油だらけ</t>
        </is>
      </c>
      <c r="G208" t="inlineStr">
        <is>
          <t>油圧；油絵；油田；油脂；油彩</t>
        </is>
      </c>
      <c r="H208" t="n">
        <v>29</v>
      </c>
      <c r="I208" t="inlineStr">
        <is>
          <t>骨の内部に存在する大量の油も体温の保持に関係しているといわれる。；全身が毛深く、油っ気の強い足の裏毛を用いて水上を歩くことが出来る。；セミクジラ種は他種よりも一頭あたりの油の割合が高かったためによる。；乗組員達は最後の生存者が死ぬまで油は漏れ続けるだろうと語っている。；かつてはアブラナと並ぶ油用植物であったが、現代では利用されていない。；なお富士興産は潤滑油製造事業から撤退したため現在では生産していない。；歴史上最初に行われた人工処理は、軽くワックスと油を塗ることだった。；元々は油の缶を積むための油輸送車として使われ始めたのが最初であった。；油漏れ・錆・その他水による機械系統への損傷の徴候は見られなかった。；油中での使用においては水素フリーDLCを用いる事が多くなっている。；あなたはその人に油を注いで、わたしの民イスラエルの君としなさい。；御油から先はまたほとんど測量を行わず、2月24日に大坂に着いた。；植民地時代、街は大量に輸出されていたマカッサル油で有名であった。；油の火の神として庶民の信仰を集めている油日神社の前を通っている。；近年はオイルサンドを採掘して得られる重質油が主力になっている。；温度低下時は潤滑油は再び軸受内部へ戻るため、長期的な使用が可能となる。；このトマトソースは水も油も入れずトマトだけを煮詰めたものだった。；このとき塗油は行われず、幼少の王はマインツ大司教の保護下に置かれた。；焼入れ用に調整された油を焼入油と呼び、鉱油が広く使用されている。；さらに油やガスなど液体燃料や気体燃料も利用されるようになった。；これは、油であまり厚く覆われていないビーチにおいては効果的であった。；このモデルは油と棘皮動物の卵の表面張力の比較に基づいていた。；常温で液体の油脂は油を指し、一方で脂肪と呼ぶとき固体のこともある。；潤滑を良くするためには、潤滑油やグリースなどの潤滑剤が用いられる。；一つのブロンズ製ポンプ、これは油に圧力をかけるのに用いられた。；牽引車なしで走行し、ダメージシーンのために油をかけて燃やされている。；油入変圧器は油を用いて絶縁と冷却を行う方式であり、広く用いられている。；海軍は湾の環境悪化を懸念して油の漏出対策を考慮している。；油脂を水素化処理技術を応用して分解して作る水素化処理油である。</t>
        </is>
      </c>
      <c r="J208">
        <f>HYPERLINK("https://www.weblio.jp/content/油", "词义详情")</f>
        <v/>
      </c>
      <c r="K208">
        <f>HYPERLINK("https://yourei.jp/油", "查看例句")</f>
        <v/>
      </c>
    </row>
    <row r="209">
      <c r="A209" t="inlineStr">
        <is>
          <t>脂</t>
        </is>
      </c>
      <c r="B209" t="inlineStr">
        <is>
          <t>成功</t>
        </is>
      </c>
      <c r="C209" t="inlineStr">
        <is>
          <t>読み方：あぶら
１水に溶けず、水よりも軽い可燃性物質の総称。動物性・植物性・鉱物性があり、食用・灯火用・燃料用・化学工業の原料など用途が広い。
㋐動物の肉についている脂肪分。脂身(あぶらみ)。「—の多い切り身」
㋑皮膚から分泌する脂肪。「汗と—の結晶」
㋒植物の種子などからとれる液体。菜種油・ごま油など。「—で揚げる」
㋓植物の花や葉などからとれる、芳香のある揮発性の液体。薄荷(はっか)油など。精油。
㋔原油を精製したもの。重油・軽油・灯油など。
㋕髪油。ポマードやチック類もいう。「—でなでつける」
２活力のみなもと。特に酒をさすことが多い。「疲れたから—を補給しよう」
３《火に油を注ぐとよく燃えるところから》おせじ。へつらい。うれしがらせ。
「えらい—言ひなます」〈滑・膝栗毛・八〉
[補説]一般に、常温で液体のもの（主に植物・鉱物性）を「油」、固体のもの（主に動物性）または皮膚から分泌されるものを「脂」、肉のあぶらを「膏」と書き分ける。
[下接語]揚げ油・荏(え)の油・牡蠣(かき)油・固(かた)油・樺(かば)の油・蝦蟇(がま)の膏(あぶら)・髪油・榧(かや)の油・機械油・木の実油・桐(きり)油・胡桃(くるみ)油・黒油・芥子(けし)油・漉(こ)し油・胡麻(ごま)油・米油・差し油・白油・梳(す)き油・種油・椿(つばき)油・灯(とぼし)油・菜種(なたね)油・匂(にお)い油・鯡(にしん)油・糠(ぬか)油・鼻脂(はなあぶら)・鬢(びん)付け油・松脂(まつやに)油・豆油・水油・密陀(みつだ)の油・綿油</t>
        </is>
      </c>
      <c r="D209" t="inlineStr">
        <is>
          <t>脂じみ(2%)；脂鰭(2%)；脂肉；脂っぽい；脂っ気</t>
        </is>
      </c>
      <c r="E209" t="inlineStr">
        <is>
          <t>脂肪；樹脂；油脂；ラード；膏</t>
        </is>
      </c>
      <c r="F209" t="inlineStr">
        <is>
          <t>血脂；眼脂；白い脂；脂まみれ；脂っぽく</t>
        </is>
      </c>
      <c r="G209" t="inlineStr">
        <is>
          <t>脂質；脂汗；脂肪酸；脂身；脂肪組織</t>
        </is>
      </c>
      <c r="H209" t="n">
        <v>29</v>
      </c>
      <c r="I209" t="inlineStr">
        <is>
          <t>一人の船頭の胸からは油汗が流れ、一人の船頭の眼からは眼脂が流れた。；一八八一年の生れというから、脂の少し抜けかかったところかも知れない。；生干しと比べて、魚の脂の味が強く感じられるため、好みが別れやすい。；季節を問わず脂が乗っており、都市部を中心に日本各地で人気がある。；一般には脂っぽい食感に由来する名称と解釈されているが、異説もある。；七、八両月に釣った鰔は、肉落ち脂去って何としても食味とはならない。；それから深い脂のなかからベーコンをしゃくってブリキ皿の上にのせた。；その近くの岩からは、一本の長いロープが脂の浮いた水中に垂れていた。；一切れの脂肉を見せてやれば、犬どもはずいぶん遠くまでついてくるものですよ。；骨器製造者の間では、贅沢品である熊脂の利用が浸透するようになった。；脂は、鳥の羽の茎のような形をして、四分ばかりの長さにぬけるのである。；腹身は太い白い脂のラインのある、フィレ全体の中の狭い下のほうの部位。；ロディ・キッカムは脂でべとべとした紐をつかんでボールを持っていた。；それで、またその石膏が脂土と同じように私の憧れの種となりました。；昨夜のすしが咽喉にいけなかったらしいから、今夜は脂こいものにした。；マグロの肉以外でも、脂が乗っている状態の肉をトロと言う事がある。；地域の人々は地方の羊脂を用いた料理は美味で健康に良い料理だと考えている。；且つこの頃は脂油を得るに難いから、ために皮膚の枯燥を招いています。；部屋には汗まみれの異様な匂いが満ち、誰の顔も脂で光っていた。；ヒレ肉の下の処がケンネ生脂に包まれていてその脂の中に腎臓があります。；魯鈍で脂切って、何ともいいようのない不気味なところのある若者です。；衰退・絶滅の主な原因は、皮と脂を取るために乱獲されたことである。；この時、熱い・冷たい・脂の多少など好みを細かく注文することも出来る。；血とも脂とも判らない微赤いねっとりしたものが一めんに附着していた。；広島風お好み焼きに似ているが、挽肉から出る脂と肉汁が特徴的である。；火のついた巻煙草がだんだんと短くなってお仕舞いになると脂くさくなる。；それも生脂の使い頃がありまして牛を殺してから冬は一日二日の後夏は三、四日の後がいいのです。；汗と動物の脂の匂いがし、そのほかに正体のよくわからないかび臭い匂いがした。；吾輩が琥珀よりも美しいと評した彼の眼には眼脂が一杯たまっている。</t>
        </is>
      </c>
      <c r="J209">
        <f>HYPERLINK("https://www.weblio.jp/content/脂", "词义详情")</f>
        <v/>
      </c>
      <c r="K209">
        <f>HYPERLINK("https://yourei.jp/脂", "查看例句")</f>
        <v/>
      </c>
    </row>
    <row r="210">
      <c r="A210" t="inlineStr">
        <is>
          <t>油絵</t>
        </is>
      </c>
      <c r="B210" t="inlineStr">
        <is>
          <t>成功</t>
        </is>
      </c>
      <c r="C210" t="inlineStr">
        <is>
          <t>読み方：あぶらえ
油絵の具で描いた絵。油彩(ゆさい)。</t>
        </is>
      </c>
      <c r="D210" t="inlineStr">
        <is>
          <t>油絵科(3%)；油絵学科；油絵作品；油絵専攻；油絵技法</t>
        </is>
      </c>
      <c r="E210" t="inlineStr">
        <is>
          <t>油彩；油画</t>
        </is>
      </c>
      <c r="F210" t="inlineStr">
        <is>
          <t>造形学部油絵；武蔵野美術大学油絵；多摩美術大学油絵；油絵科卒業；油絵学科卒業</t>
        </is>
      </c>
      <c r="G210" t="inlineStr">
        <is>
          <t>油絵の具</t>
        </is>
      </c>
      <c r="H210" t="n">
        <v>29</v>
      </c>
      <c r="I210" t="inlineStr">
        <is>
          <t>この時の君の気持ちは、そのまま君の描く油絵に投影されているものね。；それは私どもは以前は、油絵に於ては余りへだたりが無かったのです。；あの頃先生の御弟子達の中で油絵を始めるのが流行ったことがあった。；すべての人に世界で最初の油絵であると認められていることもある。；小学生の女の子が描いた一枚の油絵は、何か奇妙な切実さに満ちていた。；誰もいわないことですが、わたくしはどうもこれは油絵だと思います。；わたしは逆で、最初に油絵からイメージを作る方がずっと得意だった。；又事実その油絵にはまだ色彩に不十分なもののある事は争われなかった。；壁には大きな油絵がかかっていて、そこには戦車の戦闘風景が描かれている。；黒いほどの緑の樹々に赤門と赤煉瓦の建物が西洋の油絵のように美しい。；そのほうが自分の粗雑さで耐えうる気がしたので、私は油絵を選んだ。；向いの壁には、高い天井につかえそうな二百号ぐらいの油絵が掲げてある。；私もその頃は彫刻の外に油絵も画いていたが、勉強の部屋は別にしていた。；私もその頃は彫刻の外に油絵も画いてゐたが、勉強の部屋は別にしてゐた。；紹介者は美校の油絵科の学生で、その相手は詩人だということだった。；西洋の油絵は一定の距離をおいて離れてみなければ、よく鑑賞できません。；当時の絵の勉強といえば素描の練習であり、油絵のための学校はなかった。；最初の部屋に入ると五十号ほどの大きさの油絵が眼に止まった。；テーブルには白いクロスがかけられ、白い壁面には油絵もかかっている。；そんな意味からでも画家は油絵の一点張りではまったくやりきれない。；引退して悠々自適の毎日を油絵など描いて過しているという時期だった。；原稿用紙に向っていて疲れてくると、気分をかえて油絵を描きはじめる。；江戸の人とされるが、京都の画家ともいわれ、油絵を学んだ事もあるという。；窓の間の壁には、キリストの受難を表わした十四面の油絵がかけてあった。；その事が如何にも私を油絵に誘惑した最大の原因でもある如く思える。；趣味は油絵であり、いくつかの作品のジャケットアートを手がけている。；当初は油絵を描くなどしていたが、後に植物写真の専門に転じた。；建物や風景を描く油絵や水彩画の画家としても知られるようになった。；結局彼女は口に出さなかったが、油絵製作に絶望したのであった。</t>
        </is>
      </c>
      <c r="J210">
        <f>HYPERLINK("https://www.weblio.jp/content/油絵", "词义详情")</f>
        <v/>
      </c>
      <c r="K210">
        <f>HYPERLINK("https://yourei.jp/油絵", "查看例句")</f>
        <v/>
      </c>
    </row>
    <row r="211">
      <c r="A211" t="inlineStr">
        <is>
          <t>炙る</t>
        </is>
      </c>
      <c r="B211" t="inlineStr">
        <is>
          <t>成功</t>
        </is>
      </c>
      <c r="C211" t="inlineStr">
        <is>
          <t>読み方：あぶる
［動ラ五（四）］
１火に当てて、暖めたり、乾かしたりする。「たき火で手を—・る」
２火に当てて軽く焼く。「海苔(のり)を—・る」</t>
        </is>
      </c>
      <c r="D211" t="inlineStr">
        <is>
          <t>焼く；ロースト；焦がす；あぶる；炒る</t>
        </is>
      </c>
      <c r="H211" t="n">
        <v>29</v>
      </c>
      <c r="I211" t="inlineStr">
        <is>
          <t>いさはもう腐った肉を食べ終わり、満足気な表情で火で手を炙っている。；こんな火にあたつたところで燈明の火で尻を炙つて居るやうなものです。；いさが炎に炙られていた肉の串を取って、涼之助の膝に投げてよこした。；その他、塗抹標本の場合には単に火で炙るだけで固定とすることもある。；一人の敵を炙るために街が全て焼かれるなどという事態に発展しかねない。；手炙りも用意されているのは客用ばかりで、定信の傍らには置かれていない。；鵞鳥のほうはいまごろたぶんピータースンの家で炙られていることだろう。；そして、レギンはファフニールの心臓を炙って食べさせてくれと頼んだ。；ある守備兵は、その兵士達が「炙られた魚のように裂けた」と記していた。；土方仕事で日に炙られながら、心をがらんどうにして働くのは心地よい。；そしてコンロで炙られているかのように肌も焼かれてしまうだろう。；広場の中央に、火に炙られて黒く色を変えた柱が二本立っている。；また、生を避けて、焼いたり、炙ったりして食べることを好む人もいる。；焚き火の上では、串刺しになったトカゲのような生き物が炙られていた。；言葉というものの不思議な恐ろしさが、私の魂を炙り出すようだった。；躰の一部が官能の火に炙られたような気がして、思わず身をよじった。；そこはとても暗く、午後の陽は道路ばかりを赤々と炙りだしている。；魚をじかに火で炙るということは、ほかの国ではしないことなのか。；その後ドウは外に連れ出され、火で炙った自分の耳を食べるよう強いられた。；炙って鼻から入れると、跡も残んないし、まったく問題ないみたいよ。；その後、死体発見時の状況を再現してもらったが、新しい事実は炙り出てこなかった。；出来上がった寿司は生で食べられるほか、炙って食べられることもある。；火鉢で手を炙りながら、鍵蔵は、その女の姿を想像しようとした。；表面をごく軽く炙ることで規制回避を狙ったが、現在は完全に火が通ったもの以外は提供が禁止されている。；私の心はずたずたに切られ、火で炙られたように痛み、夜も眠れなかった。；あちこちがこげ、表面のちょっと下がやっと半分ぐらい炙れたにすぎなかった。；細かく切ってそのまま食べたり、スルメのように炙って食べたりする。；わしは震えながら出て行くと、死体をまわして炙りはじめた。；家庭によってはこれに塩を振ったり、煮崩れを防ぐため軽く火で炙ったりする。</t>
        </is>
      </c>
      <c r="J211">
        <f>HYPERLINK("https://www.weblio.jp/content/炙る", "词义详情")</f>
        <v/>
      </c>
      <c r="K211">
        <f>HYPERLINK("https://yourei.jp/炙る", "查看例句")</f>
        <v/>
      </c>
    </row>
    <row r="212">
      <c r="A212" t="inlineStr">
        <is>
          <t>溢れる</t>
        </is>
      </c>
      <c r="B212" t="inlineStr">
        <is>
          <t>成功</t>
        </is>
      </c>
      <c r="C212" t="inlineStr">
        <is>
          <t>読み方：あふれる
［動ラ下一］［文］あふ・る［ラ下二］
１水などがいっぱいになって外にこぼれる。「コップに—・れるほど注ぐ」「川が—・れる」「涙が—・れる」
２人や物が入りきらないではみだす。また、入りきらないほど多くある。「通路まで人が—・れる」「スタンドに—・れる観衆」
３感情・気力・才気などがいっぱいに満ちている。「意欲—・れる作品」「夢と希望に—・れる青春」
→零(こぼ)れる［用法］</t>
        </is>
      </c>
      <c r="D212" t="inlineStr">
        <is>
          <t>溢れるプレースタイル；溢れるプレイ；溢れる優しい；溢れる好人物；溢れる優れ</t>
        </is>
      </c>
      <c r="E212" t="inlineStr">
        <is>
          <t>流出；あふれる；氾濫；余る；漏れる</t>
        </is>
      </c>
      <c r="F212" t="inlineStr">
        <is>
          <t>満ち溢れる；ユーモア溢れる；闘志溢れる；個性溢れる；才能溢れる</t>
        </is>
      </c>
      <c r="G212" t="inlineStr">
        <is>
          <t>溢れる愛</t>
        </is>
      </c>
      <c r="H212" t="n">
        <v>29</v>
      </c>
      <c r="I212" t="inlineStr">
        <is>
          <t>過去には市内の道路の何本かが繰り返し水で溢れることで知られていた。；純粋なる愛が満ち溢れる時、人間の魂は神の精霊の如くになるのだから。；そこには彼と同じように俳優や画家などを夢見る若者たちで溢れていた。；すべて内部で完結していて、外に溢れるエネルギーが感じられないのだ。；やがてライブが終了し、観客が会場から溢れてくる中に星野を発見する。；ラジオの優しさに溢れた行動は町の人々には真似できない行動だった。；一編の緊張感が溢れる白黒の映画を見ている様な余韻が残る作品である。；駐輪場は多くの利用があり、スペースが不十分で車両が外に溢れている。；これから奮鬪するのだと思ふと雨戸を繰る手に力が溢れるやうであつた。；その地球光溢れる池のほとりに、かがみこんでいるひとりの女性がいた。；恐怖と欺瞞で満ちあふれた法廷の重い空気が常にスタジオに溢れていた。；しかも、魚籠の中には、重い砂ではなく、魚の姿で溢れんばかりであった。；今うちの門から玄関にゆく間のあの細い道は溢れる緑と白い花です。；この保存手段によりこの小さな島が馬で溢れないようにされている。；彼はすぐに恋に落ちてしまい、演奏した音楽には愛が溢れていた。；人は自己の中に溢れる或物を感ずる時、社會に働きかけずにはゐられない。；それから久しからずして田舎の人口がいっぱいになって溢れる時代が来た。；あそこに駐屯部隊を置き、溢れるほどの兵士で守っても充分ではない。；金髪の颯爽とした美人で行動力と責任感に溢れ、仲間からの信頼も高い。；クリーブランドの街全体が喜びに満ち溢れたことは言うまでもなかった。；これらは当時における室内楽のうちで最も知性に溢れる類のものである。；記事や詩作での溢れ出るような仕事ぶりと並行して、数多くの本を執筆した。；心おきなく楽しい会話とウィットに溢れる警句を交換しようではないか!；本人はとても控えめな性格だったが、描く絵は力強さに溢れていたという。；性格は単純・直情的・女好きで、自信に溢れた明るい人間性をしている。；オリジナル色溢れた商品や地元に根ざしたサービスを提供している。；そして全くそのこわさの深さに深くあり豊富に溢れるその反対のもの。；そのことを想うだけでも二人の胸には溢れるような喜びが湧きあがってくる。；メジャーレーベルは、こぞってこの才能に溢れた少年との契約を望んだ。</t>
        </is>
      </c>
      <c r="J212">
        <f>HYPERLINK("https://www.weblio.jp/content/溢れる", "词义详情")</f>
        <v/>
      </c>
      <c r="K212">
        <f>HYPERLINK("https://yourei.jp/溢れる", "查看例句")</f>
        <v/>
      </c>
    </row>
    <row r="213">
      <c r="A213" t="inlineStr">
        <is>
          <t>あべこべ</t>
        </is>
      </c>
      <c r="B213" t="inlineStr">
        <is>
          <t>成功</t>
        </is>
      </c>
      <c r="C213" t="inlineStr">
        <is>
          <t>［名・形動］位置・順序・方向などが通常の状態とは反対であること。また、そのさま。さかさま。逆。「—な（の）意見」「手順が—だ」</t>
        </is>
      </c>
      <c r="D213" t="inlineStr">
        <is>
          <t>あべこべ砲(2%)；あべこべにこっち；あべこべ仕事；あべこべ世界；あべこべ惑星</t>
        </is>
      </c>
      <c r="E213" t="inlineStr">
        <is>
          <t>反対；逆；対照的；裏腹；相反</t>
        </is>
      </c>
      <c r="H213" t="n">
        <v>29</v>
      </c>
      <c r="I213" t="inlineStr">
        <is>
          <t>文字通りその身につけているなにかあべこべなものだったのでしょうか。；トラックが天地あべこべにならない前に、下に戻ったほうがよさそうだ!；女の心はよく男の心とまるであべこべの方に走って行く事があった。；お前さん達は、あべこべに向こうの言う通りになるから化かされるのだ。；そんな頓馬なことを言ったらあべこべにお母さんに叱られるばかりだよ。；彼女は自分の意地があべこべに自身を締めつけて離さないことを感じた。；ところが私の精進はまたあべこべで世間と現実とを知っていくところにあった。；自分はつまりそういう意味でだんだん位置があべこべになってゆくわけであります。；政治も教育も、今までは、まるであべこべのことをやつてゐたやうなもんだ。；だからあべこべの判断も、わたしを傷つけもしなければ怒らせもしない。；せっかくのかたきうちは、すっかりあべこべになってしまったのでした。；台風になればこの支柱のためにあべこべに家が潰されてしまいそうである。；そしてかえってあべこべに心の中に余裕があるようであった。；それはすべてのものがあべこべになった、「さかさまの世界」である。；それこそ大利根博士が研究していたという話のあるあべこべ砲でありました。；もし僕がそれを初めに打ってたら、あべこべになるところだった。；燃える血はすぐに固まって止まってしまい、目に映るものはあべこべだ。；碁を習ひに行つたら、あべこべに先生に教へて来たと云ふのである。；その読者は選ばれたのではなくあべこべに作者を選んだのです。；今の今まで下降一方だった気球は、あべこべにぐんぐん上昇をはじめた。；そして私が話さない事から理解はやぶれてアベコベに反感に代りました。；すると、今度は、彼女の方からあべこべにこんなことを云ひ出した。；五十島さんはなぜあべこべの操作が必要だったのだろう?；今まで冬がよく春や夏がいやだったのにあべこべとなる。；「うッちゃり」のアベコベの寄りでは、三根山が現役中の専門家である。；むしろ事実はアベコベに非常に頑丈な錠をしかける必要があったのですよ。；探し出されては困るから、私はあべこべに左平をおどかすことにした。；あべこべに、僕は、彼らがそうするのは時間の問題だと思ってた。；どうしてそういうふうに、人の運というのはあべこべになるんだか。</t>
        </is>
      </c>
      <c r="J213">
        <f>HYPERLINK("https://www.weblio.jp/content/あべこべ", "词义详情")</f>
        <v/>
      </c>
      <c r="K213">
        <f>HYPERLINK("https://yourei.jp/あべこべ", "查看例句")</f>
        <v/>
      </c>
    </row>
    <row r="214">
      <c r="A214" t="inlineStr">
        <is>
          <t>アポイントメント/アポイント/アポ</t>
        </is>
      </c>
      <c r="B214" t="inlineStr">
        <is>
          <t>无结果</t>
        </is>
      </c>
      <c r="H214" t="n">
        <v>0</v>
      </c>
      <c r="J214">
        <f>HYPERLINK("https://www.weblio.jp/content/アポイントメント/アポイント/アポ", "词义详情")</f>
        <v/>
      </c>
      <c r="K214">
        <f>HYPERLINK("https://yourei.jp/アポイントメント/アポイント/アポ", "查看例句")</f>
        <v/>
      </c>
    </row>
    <row r="215">
      <c r="A215" t="inlineStr">
        <is>
          <t>雨足</t>
        </is>
      </c>
      <c r="B215" t="inlineStr">
        <is>
          <t>成功</t>
        </is>
      </c>
      <c r="C215" t="inlineStr">
        <is>
          <t>読み方：あまあし
《「雨脚(うきゃく)」の訓読》
１線状に見える、降り注ぐ雨。あめあし。「—が強い」
２雨の通り過ぎるようす。あめあし。「—が遠のく」</t>
        </is>
      </c>
      <c r="D215" t="inlineStr">
        <is>
          <t>雨足が強く(4%)；雨足が激しく；雨足が早く</t>
        </is>
      </c>
      <c r="E215" t="inlineStr">
        <is>
          <t>雨音；雨粒；雨滴；雨だれ</t>
        </is>
      </c>
      <c r="F215" t="inlineStr">
        <is>
          <t>白い雨足；激しい雨足；はげしい雨足</t>
        </is>
      </c>
      <c r="H215" t="n">
        <v>29</v>
      </c>
      <c r="I215" t="inlineStr">
        <is>
          <t>キングズ・クロス駅でタクシーを降りたときは雨足が一層強くなっていた。；気がつくと雨足がまた強まりあたりは急に薄暗くなってきていました。；雨足は思ったより強く、傘を差してまでバーを探す気にはならなかった。；外は次第に雨足が早くなり、にわかに黒い雲に覆われて暗くなりはじめた。；殊にその夜の雨足は今も云った様にかなりはげしかったのですからね。；その家が目についたのは、雨足がかなりはげしくなってきたころだ。；たそがれ時に雨が降り始め、夜になるにしたがって、雨足は強くなった。；しばらくためらっていたものの、雨足が強くなってきたので決意を固めた。；強くなった雨足がガラス戸を叩くのを聞きながら、真織は眠りかけた。；その合間を狙っていたかのように、ざあああっと雨足が激しくなった。；ひとつぶ、ふたつぶと顔に当たるものを感じるうち雨足が強まってきた。；雨足が強くなって地面を打つ音と、車の駆動音が大きくなってくる。；「嫌な雨だ」 と、刑事の一人が窓の外に降りしきる雨足を見上げていった。；階段を下りてビルの外に目を凝らすと、雨足は強くなっていた。；近づいてきた地鳴りに似た低い音は、雨足の音だったのである。；十津川は、窓のところへ行き、夜の闇に、銀色に光って走る雨足を眺めた。；それに応えるように、雨足の向こうから、別の響きが聞こえてきた。；すでに煙をかぶせたような雨足に、風景はすべて影絵みたいに滲んでいる。；庭の木々がうなだれ、激しい雨足としぶきが庭園の姿を隠すかのようだ。；幸い雨足だけはやみ、二時間後、おれたちは狭い川のほとりで休憩した。；数秒ごとに色を変える雨足の中を、ただ一心に海に向けて走った。；赤信号で止まった時によく外を見ると、雨足は少しずつ強まっているようだった。；ちょうど雨が降り始めてまたたくまに雨足が強くなっていく。；外を見たら、さっきよりだいぶ雨足が強くなってしまっていた。；だが雨足がはやくなり、彼女は旅の残りを、操縦に集中せねばならなくなった。；雨足は激しくなってきているのに、雲間の先に一筋の光が見えてきたみたいな気持ちだ。；厚い雲に覆われた空は不気味に暗く、雨足は強くなる一方だった。；雨足が強いのと、吹きつけてくる突風のせいで、傘など何の役にも立たない。；走っている最中に感じていた以上の雨足だ。</t>
        </is>
      </c>
      <c r="J215">
        <f>HYPERLINK("https://www.weblio.jp/content/雨足", "词义详情")</f>
        <v/>
      </c>
      <c r="K215">
        <f>HYPERLINK("https://yourei.jp/雨足", "查看例句")</f>
        <v/>
      </c>
    </row>
    <row r="216">
      <c r="A216" t="inlineStr">
        <is>
          <t>甘い</t>
        </is>
      </c>
      <c r="B216" t="inlineStr">
        <is>
          <t>成功</t>
        </is>
      </c>
      <c r="C216" t="inlineStr">
        <is>
          <t>読み方：うまい
［形］［文］うま・し［ク］
１（「美味い」とも書く）食物などの味がよい。おいしい。「—・い酒」「山の空気が—・い」⇔まずい。
２物事の運びが自分の望むとおりである。都合がよい。好ましい。「—・い話には気をつけろ」「—・く行けばよいが」⇔まずい。
３（「上手い」「巧い」とも書く）技術的にすぐれている。また、事の進め方などが巧みである。じょうずだ。巧妙だ。手際がよい。「—・い絵」「—・く言い逃れる」「人使いが—・い」⇔まずい。
４人間関係、特に男女の仲がよい。「彼女とは—・くやっている」
５《「あまい」を「味がよい」ことの代表と考えたところから》動作などに締まりがないさま。間抜けだ。おろかだ。→旨(うま)し
「どうもこんな—・い恰好(かっこう)をして」〈紅葉・多情多恨〉
[派生]うまがる［動ラ五］うまげ［形動］うまさ［名］うまみ［名］
[用法]うまい・おいしい——「おいしい」は女房詞系で、もっぱら味がよいの意の女性語として成長した語。「うまい」より丁寧・上品な言い方として、現在も日常の話し言葉で多く使われる。◇「うまい」には、「歌がうまい」「やり方がうまい」のように、上手だ、手際がよいの意があるが、「おいしい」はこの意では用いられない。◇また、「うまい」には「それはうまい考えだ」「うまく話がついた」など、好都合だ、ぐあいがよい、の意がある。「おいしい」も俗に「おいしい話」のように使われ、「うまい」を「うまい話」と使う点で相通じるが、「おいしい」のこの用法は、利益になるという意が強い。</t>
        </is>
      </c>
      <c r="D216" t="inlineStr">
        <is>
          <t>甘いもの(9%)；甘い香り(5%)；甘い匂い(4%)；甘い声(3%)；甘い言葉(2%)</t>
        </is>
      </c>
      <c r="E216" t="inlineStr">
        <is>
          <t>緩やか；寛大；寛容；緩い；甘美な</t>
        </is>
      </c>
      <c r="F216" t="inlineStr">
        <is>
          <t>甘い蜜；甘い夢；酸いも甘い；甘い顔；甘い菓子</t>
        </is>
      </c>
      <c r="G216" t="inlineStr">
        <is>
          <t>甘い誘惑；甘い罠；甘い結婚；甘い抱擁；甘い股関節</t>
        </is>
      </c>
      <c r="H216" t="n">
        <v>29</v>
      </c>
      <c r="I216" t="inlineStr">
        <is>
          <t>三連星と同じく地に甘いためこちらも打たれることが少なくなっている。；だいたいに荒君らが考えている人間への映像が甘すぎるのだと私は思う。；あの姿を見ていると、自分がどれだけ甘かったかと痛感させられました。；これは予想が甘かったと言うよりはこの時の降水量が激しすぎたと見る。；画面を見れば何かを思い出せると考えたのですが、甘かったようでした。；他人は皆自分の親を甘すぎるといって非難するほど自分を傾愛してくれる。；どうやら、この死ぬことを知らぬパイトン人を甘く見すぎていたようだ。；甘くもないし、辛くもないし、なんでもない味なものだから好きなんだ。；アパートへは、まだ手がまわっていないだろうと思ったのが甘かった。；だいたいに荒君らが考へてゐる人間への映像が甘すぎるのだと私は思ふ。；台湾の鹿港鎮などでは、甘さを控えて塩味を加えたものも作られている。；何処となく子供らしい甘へるやうな言葉付が彼の心を惹いたのであった。；以前は甘いものをたくさん食べていたが年齢とともに興味は少なくなった。；少ないようですが捨てる方が多いのでこれでも甘く選んでいるのです。；更にその子の甘相が後を継いだが、建武4年に兵士に殺されて断絶した。；本来は十分に甘いが、収量を上げるために糖度を下げていることが多い。；兄さんは敵を甘く見ているために敵の策を見破ることができませんでした。；この時はどこかで自然を甘く見ていた自分を大いに反省したという。；その後、甘いメロンが作られるまで数世紀に及ぶ改良の努力が行われた。；だから彼の甘さには時々彼の悲しさから鬼気が伝わってゆくのである。；ですけれど此方がお母さんと二人きりだったから甘く皆なに欺されたの。；口に甘きものは和洋の別なくわたしの身には全く無用のものとなった。；将来のため忠言しておくが、世間をそう甘く見すぎると、出世はせんぜ。；当時はメロディーを聴かせるための甘くゆったりとした曲が主流だった。；東京に行けばすぐにデビューできると思っていたが、そんなに甘くなかった。；言われるままにその男の尻をほじって嘗めたところ、甘い柿の味がした。；この男は基本的に策士だと思っていたが、どうやらそれは甘かったらしい。；行けばわかるだろうと思って来たのが甘かったのかもしれない。；向こうじゃぼろい試合を引きうけたと思って、甘く考えているんですよ。</t>
        </is>
      </c>
      <c r="J216">
        <f>HYPERLINK("https://www.weblio.jp/content/甘い", "词义详情")</f>
        <v/>
      </c>
      <c r="K216">
        <f>HYPERLINK("https://yourei.jp/甘い", "查看例句")</f>
        <v/>
      </c>
    </row>
    <row r="217">
      <c r="A217" t="inlineStr">
        <is>
          <t>甘える</t>
        </is>
      </c>
      <c r="B217" t="inlineStr">
        <is>
          <t>成功</t>
        </is>
      </c>
      <c r="C217" t="inlineStr">
        <is>
          <t>読み方：あまえる
［動ア下一］［文］あま・ゆ［ヤ下二］
１かわいがってもらおうとして、まとわりついたり物をねだったりする。甘ったれる。「子供が親に—・える」
２相手の好意に遠慮なくよりかかる。また、なれ親しんでわがままに振る舞う。甘ったれる。「お言葉に—・えてお借りします」
３甘ったるい感じや香りがする。
「いと—・えたる薫物(たきもの)の香を」〈源・常夏〉
４恥ずかしがる。はにかむ。
「—・えて爪食ふべき事にもあらぬを」〈源・竹河〉</t>
        </is>
      </c>
      <c r="D217" t="inlineStr">
        <is>
          <t>甘えるような声(3%)；甘えるような口調；甘えるような調子；甘えるようなしぐさ</t>
        </is>
      </c>
      <c r="E217" t="inlineStr">
        <is>
          <t>寄りかかる；甘ったれる；よりかかる</t>
        </is>
      </c>
      <c r="H217" t="n">
        <v>29</v>
      </c>
      <c r="I217" t="inlineStr">
        <is>
          <t>今考えると、どうしてトイレに行きたいのが男に甘える材料になるのだ。；灌木で無数の傷を負った自分の脚を見て、彼も親切に甘えることにした。；姉は一瞬目をあけてそれをみると、甘えるように私の膝に頬をすりつけた。；まるで聞き分けのない子供が親に甘えるように、傍を離れようとしない。；國子はただ黙って背中を押してくれるモモコの厚意に甘えることにした。；母を亡くした時から、彼女は誰かに甘えることを自分に許さなかった。；親からの干渉を拒否するかわりに、彼らは親に甘えることも拒否する。；いい年をしてまだ甘える気なのかと言われるに違いないわね。；すると、寝ていた黒豹が、膝の上に甘えるようにその首を乗せてきた。；あまりにも静かな、いや、静かというよりは、甘えるような声音なのだ。；その一方で寂しがりな面もあり、飼い主には甘える傾向も強いとされる。；彼女はそのまま甘えるように口元にこぶしを当てて瞳を閉じています。；自身に甘えるところがあって、現実が現実として見えることは決してない。；父親に甘えるような林の思いが力道山には伝わっていたのである。；少女は少し甘えるような、眼を大きく見開いた表情で、僕の方を見た。；あたしは待っておりましたなどと甘える、妖しい声ももうしなくなるだろう。；彼等は自分一人の母だけではなく、親しい友人の母にも甘えることが多かった。；電話口の弾むような甘えるような声からすると別人であるかのように思われた。；つみきは伊御を強く意識しているが、素直に甘えることができずにいる。；そしてね、今度の世は、妹に生れて来て甘えよう、私は甘えるものが無い。；どうして私は親父に弟のように甘えることができなかったのか?；春香もまだ帰ってくる様子はないようだし、ここはお言葉に甘えることにしよう。；まだまだ話したりなかった大石たちは、主人の好意に甘えることにした。；ひとみは皿に残っていた苺を食べたが、ねえ、と甘えるように言った。；だが既にユリカの声には甘える様な雰囲気が混じってしまっている。；同時に、いい年をしていつまでも親に甘えるような心苦しさも覚える。；お新さんには甘える人もなく、こんな私の我儘がじれったくもあるのだろう。；「いいわよ、ねえ」 と、姉の加寿子は甘えるやうに顔を近づけて来た。；わたくしは甘えるばかりでうっかりしていたのかもしれません。</t>
        </is>
      </c>
      <c r="J217">
        <f>HYPERLINK("https://www.weblio.jp/content/甘える", "词义详情")</f>
        <v/>
      </c>
      <c r="K217">
        <f>HYPERLINK("https://yourei.jp/甘える", "查看例句")</f>
        <v/>
      </c>
    </row>
    <row r="218">
      <c r="A218" t="inlineStr">
        <is>
          <t>雨具</t>
        </is>
      </c>
      <c r="B218" t="inlineStr">
        <is>
          <t>成功</t>
        </is>
      </c>
      <c r="C218" t="inlineStr">
        <is>
          <t>読み方：あまぐ
雨天の外出のとき使う、雨を防ぐものの総称。傘・長靴・レインコートなど。</t>
        </is>
      </c>
      <c r="D218" t="inlineStr">
        <is>
          <t>傘；長靴；レインコート；合羽；かっぱ</t>
        </is>
      </c>
      <c r="H218" t="n">
        <v>29</v>
      </c>
      <c r="I218" t="inlineStr">
        <is>
          <t>この前は雨具の頭巾の中だったが、いまはその顔がはっきりと見えた。；あとの三家お預けの二十九名は、雨具もないまま雨中徒歩で護送された。；雨はまだそんなに激しくはないが、次第に雨具を通し、衣服を濡らした。；それで黒つぽい雨具をつけた婦人が二人、上からおりてくるのに気がつきました。；伊丹と約束があるからと云い、注意された雨具も持たずに家を出た。；しかし、男は既に傘を持っており、雨具ではなく提灯が欲しいという。；うれしやかかる雨具もあるものをとわれも見まねに頬冠りをなんしける。；雨具というけれども、それは雪具といった方がいいかも知れない。；だから暗くなるのはいっこう構いませんが、雨具の用意はしていなかったんです。；でも、こんな夜に女が一人、雨具も持たず外出するなんてあり得ない。；山を眺めていた猿脛が音尾に、雨具を身につけるように、と進言した。；ところがこういう場合にでも雨具を着けることを許されない。；大部分は男で、野良着に雨具をつけている者が多く、武器はほとんど持っていなかった。；雨具の用意があるとはいえ、本格的に降り出したら、濡れずにはすむまい。；雨具も持たず、ずぶ濡れのまま走る少女の背中に、美琴は見覚えがあった。；藤川もまた、着慣れた感じの雨具に鍔が広い麦わら帽子を被っていた。；雨具の内側は蒸し風呂に入っているような感じだった。；ホワイトローズ株式会社は、雨具などの製造販売を行っている日本の企業。；しかも、あわててきたために雨具の用意もなかった。；エビ釣りには、必ず雨具を持っていくことを忘れてはならない。；まったく乾いていなかったけれど、だからと言ってこの雨の中、雨具を着用せずに外に出るわけにもいくまい。；雨具とは、雨の日に体が濡れないように防護する道具や衣服。；雨具を持たずに、供の者も連れずに出てきたのだ。；今のわたしたちには、雨具を背にする必要もない。；男具那たちの一行は蓑に似た雨具を纏い、山国川沿いの道を雲に覆われた山に向った。；また中央部に雨具として使う際に頭を通すためのスリットがある。；雨具の置いてあるコーナーに彼女は突っ立っている。；雨具もつけずびしょ濡れのまま、馬上にあって、じっと座敷を見つめていた。；だが、彼が口を開く前に、坂巻が彼の正面にしゃがみ込み、雨具に手を置いた。</t>
        </is>
      </c>
      <c r="J218">
        <f>HYPERLINK("https://www.weblio.jp/content/雨具", "词义详情")</f>
        <v/>
      </c>
      <c r="K218">
        <f>HYPERLINK("https://yourei.jp/雨具", "查看例句")</f>
        <v/>
      </c>
    </row>
    <row r="219">
      <c r="A219" t="inlineStr">
        <is>
          <t>甘口</t>
        </is>
      </c>
      <c r="B219" t="inlineStr">
        <is>
          <t>成功</t>
        </is>
      </c>
      <c r="C219" t="inlineStr">
        <is>
          <t>読み方：あまくち
［名・形動］
１比較的甘みの強い、または塩分や辛みをおさえた味加減。また、そのもの。「—の酒」⇔辛口。
２甘いものを好むこと。また、その人。甘党。⇔辛口。
３人の気にいるような口ぶり。口先だけのうまい言葉。甘言(かんげん)。「—に乗せられる」
４穏やかに言うこと。なまぬるい言い方。また、そのさま。「—な批評」
５思慮が浅く、間が抜けていること。また、そのさま。
「つりこまれるといふやうな—な事があるものか」〈滑・八笑人・四〉</t>
        </is>
      </c>
      <c r="D219" t="inlineStr">
        <is>
          <t>甘口白ワイン(5%)；甘口赤ワイン；甘口シェリー；甘口いちご</t>
        </is>
      </c>
      <c r="E219" t="inlineStr">
        <is>
          <t>甘い；世辞；甘味；甘み；スイート</t>
        </is>
      </c>
      <c r="G219" t="inlineStr">
        <is>
          <t>甘口醤油</t>
        </is>
      </c>
      <c r="H219" t="n">
        <v>29</v>
      </c>
      <c r="I219" t="inlineStr">
        <is>
          <t>ところがスペイン人ときたら、いつも甘口の酒にする癖がありましてね。；やや甘口で酸味もあるすっきりとした飲み口がパラダイスを感じさせる。；生気のない白い顔は日に少し焼けて、甘口のりんご酒色に染まっていた。；「少し甘口だなあ」と首をひねると、今度は辛口の酒を出して飲ませる。；ボルドーワインの生産地では珍しく、赤・白それに甘口の白も生産している。；ムンテニアの丘ではソ連の影響下で甘口の赤ワインを生産していた。；単に甘口のバーベキューソースを指してテリヤキソースと呼ぶ場合もある。；女が一緒だからとワインを勝手に甘口に決めてしまうような男と食事すんのはやだよー。；甘口ばかりになった選評をいくら読んでみても、創作の参考にはならなかった。；甘口と辛口で成分が異なるが、共通するものは以下の通りである。；発酵のどの段階でアルコールを加えるかで甘口・辛口の違いが生じる。；ドイツ以外では、気候が冷涼なカナダで栽培され、甘口のワインが作られている。；この酒は舞姫というて諏訪では銘酒だがわたしには少し甘口だ。；なお灘の酒が男酒と言われるのに対し広島の酒は女酒と言われ伝統的に甘口が多い。；二人は暑がり、甘口のリンゴ酒がでると、夫人の全快を祝って乾杯した。；たぶん、長崎地方の方言だと思うが、甘口とはよくいったものだ。；デザートワインとは、主に食後に提供される甘口のワインである。；甘口であるため、食事や肴を食べずに量を飲んでしまい、悪酔いすることも少なくない。；一般的なブランデーを用いたカクテルよりもやや甘口である。；やがて運ばれてきた甘口のバーボンをゆっくりと飲みながら、啓介は煙草に火を点けた。；レオナルドが用意していた酒は、翡翠の色に似て澄んだ極甘口の葡萄酒だった。；したがって、マデイラ・ワインには辛口から甘口まで様々タイプが存在する。；白、赤、辛口、やや甘口と、それぞれがコースに合せてピタリと出てきた。；辛味の種類別における売上の傾向は中辛が最も高く、甘口・辛口の順に続く。；ほんの子供だった私に、おじが自分のグラスから甘口のシェリーを一口だけすすらせてくれたのだ。；現在一般に市販されている佃煮は、うす味、甘口で保存性は以前ほど高くは無い。；本来はすべて貴腐ワインであったが、現在は比較的安価な甘口の白ワインも生産されている。；ホップの軽いのは女性や甘口の人にはよろこばれます。；べたべたした甘口の酒などとは比較するのさえおろかしい。</t>
        </is>
      </c>
      <c r="J219">
        <f>HYPERLINK("https://www.weblio.jp/content/甘口", "词义详情")</f>
        <v/>
      </c>
      <c r="K219">
        <f>HYPERLINK("https://yourei.jp/甘口", "查看例句")</f>
        <v/>
      </c>
    </row>
    <row r="220">
      <c r="A220" t="inlineStr">
        <is>
          <t>雨戸</t>
        </is>
      </c>
      <c r="B220" t="inlineStr">
        <is>
          <t>成功</t>
        </is>
      </c>
      <c r="C220" t="inlineStr">
        <is>
          <t>読み方：あまど
窓や縁側などの外側に立てる戸。風雨を防ぎ、また防犯のためのもの。</t>
        </is>
      </c>
      <c r="D220" t="inlineStr">
        <is>
          <t>雨戸を少し；雨戸を叩く音；雨戸を一枚あけ；雨戸を開ける音；雨戸を繰る音</t>
        </is>
      </c>
      <c r="F220" t="inlineStr">
        <is>
          <t>雨戸を少し開け；雨戸を一枚開け</t>
        </is>
      </c>
      <c r="H220" t="n">
        <v>29</v>
      </c>
      <c r="I220" t="inlineStr">
        <is>
          <t>彼は刀を持ったなりに雨戸の方へ歩いて往って、右の手でそれを叩いた。；日の暮れる前から何処の家でも申合わせたように雨戸を立ててしまった。；凍てついた夜の底を白い風が白く走り、雨戸を敲くのは寒さの音である。；そこで雨戸を外して家へ入ったら老婆が殺されていたと申立てています。；翌日からあん子は家の中にゐるやう命じられ、雨戸は外から締められた。；これから奮鬪するのだと思ふと雨戸を繰る手に力が溢れるやうであつた。；ガラス戸や雨戸がないころ、障子だけしかなかったころの産物であろう。；彼はそっと雨戸に近寄って、音のしないように静かに一枚戸を開いた。；外ではなんの返事もなかったが、雨戸をたたくような音はつづけて聞えた。；そこはそのままにしておいて、雨戸を開けてくれと私にいいました。；門や雨戸をしめることにあの子はよく癖づいて泣いたものだと思った。；すこしずつすかした雨戸の間から雨がふりこんで古い廊下がぬれていた。；雨戸は門野が立てに来たから、故障も云わずに、そのままにして置いた。；五右衛門はびっくりして、すぐ雨戸の隙間から外へ術で逃げ出しました。；夕食が済んで病妻が床に横はると、雨戸をおろした四辺は急に静かになる。；雨戸のガラスはやがて裂けはしまいかと思はれるほど張り切つて見える。；雨戸が全部降りて、死人の葬儀待ち状態で、まだ埋葬されていなかった。；彼女は雨戸を開けて、わざわざ外へ出てあたりをながめてみました。；宵のうちから降りだした雪が、さらさらと更けた雨戸に音をたてている。；魔人のやつ、その雨戸の外の暗闇にまちぶせしていたのかも知れません。；一瞬の後には雨戸も閉ざされ、鉄の横木のさされる音が外まで聞こえた。；で、蚊帳から雨戸を宙に抜けて、海の空へ通るのだろうと思いました。；電気時計が音をたてて廻っていて、二階の雨戸しめる音がして居ます。；わざわざ雨戸を開けて見定めるだけの勇気も、もう私には出なかった。；月を見てから後は雨戸をしめても、うるさいほどはっきり聞えたんだからね。；六疊の外の三枚の雨戸は、鵜の毛の尖端で突いた程の疵もありませんね。；その夜のあけがたのこと、ゴトンと、なにか雨戸へあたる音がしました。；彼女は雨戸に手をかけたままで、茫んやり前方の空間を眺めていた。；雨には風がまじって来たとみえて、雨戸をゆするような音も聞えます。</t>
        </is>
      </c>
      <c r="J220">
        <f>HYPERLINK("https://www.weblio.jp/content/雨戸", "词义详情")</f>
        <v/>
      </c>
      <c r="K220">
        <f>HYPERLINK("https://yourei.jp/雨戸", "查看例句")</f>
        <v/>
      </c>
    </row>
    <row r="221">
      <c r="A221" t="inlineStr">
        <is>
          <t>甘やかす</t>
        </is>
      </c>
      <c r="B221" t="inlineStr">
        <is>
          <t>成功</t>
        </is>
      </c>
      <c r="C221" t="inlineStr">
        <is>
          <t>読み方：あまやかす
［動サ五（四）］子供などを厳しくしつけないで、わがままにさせておく。「末っ子を—・して育てる」</t>
        </is>
      </c>
      <c r="D221" t="inlineStr">
        <is>
          <t>ちやほや；スポイル</t>
        </is>
      </c>
      <c r="H221" t="n">
        <v>29</v>
      </c>
      <c r="I221" t="inlineStr">
        <is>
          <t>私たちが二人を甘やかして育ててきたツケが回ってきたのかも知れない。；女に甘やかされて暮らしてきたばかりのお前にそんな術があるのかね。；山下君の話はきいてたが、これほど甘やかされてるとは思わなかったよ。；あなたをこんなふうにしたのは、あまり甘やかしすぎたママの罪なのよ。；可愛いあまりに、あの子を甘やかして育ててしまったのは確かなんです。；でもそれをわかった上で、甘やかさなくてはいけないときもあるのだ。；なぜ彼は、この子をこんなにまでも甘やかしてしまったのであろうか?；親が土地を持っているので、ひとり息子の彼を甘やかしているんです。；生れつきかも知れないし、甘やかされてばかり育ったせいかもしれない。；これまで自分はずっと上辺しか見ず、甘やかされ庇護されてきたわけだ。；それで安直に大人は甘やかしてしまって敗北の旗をあげるのでしょう。；自分を甘やかしたら、自分を律する人間は、この世に一人もいなくなる。；それが、二廻りも若い女を二号にしたんだから、甘やかしているだろう。；こっちも彼を甘やかしてはいないし、当人だって甘えてるつもりもない。；さうして、子供の時の喜びと悲しみとが、もう一度私を甘やかしてくれる。；母一人子一人で、だからお母さんは岡本くんを甘やかしてしまったのよ。；しかし「ただ彼らを甘やかしただけだったかもしれない」とも書いている。；ウィリーの死後、両親は以前にも増してタッドを甘やかすようになった。；甘やかされて育って、欲しいものはなんでも手に入ったと思います。；そのような性格だからこそ、由紀子が甘やかしてしまうとも言えるのだが。；こんなに早く世を去るのなら、もっと甘やかしてもよかったのではないか。；ああいう点はああいう人間なのだから、と、甘やかすことは出来ない。；それをエヴァは一人で家じゅうの者を甘やかしてしまうんですからね。；しかし画面全体の方法の上では、この作中美人を決して甘やかしてゐない。；きっと、甘やかすだけでしつけのできないダメな父親だと思ったのだろう。；つまりだな、私が言いたいのは、あまりあの二人を甘やかすなということだ!；そんなふうに、彼はすっかり甘やかされてだめになるところだった。；甘やかされ放題だった以前の少年が、今は立派な一人前の男になった。；父に早く死なれ、母親の手ひとつで甘やかされ放題に育った一人っ子だ。</t>
        </is>
      </c>
      <c r="J221">
        <f>HYPERLINK("https://www.weblio.jp/content/甘やかす", "词义详情")</f>
        <v/>
      </c>
      <c r="K221">
        <f>HYPERLINK("https://yourei.jp/甘やかす", "查看例句")</f>
        <v/>
      </c>
    </row>
    <row r="222">
      <c r="A222" t="inlineStr">
        <is>
          <t>あまり</t>
        </is>
      </c>
      <c r="B222" t="inlineStr">
        <is>
          <t>成功</t>
        </is>
      </c>
      <c r="C222" t="inlineStr">
        <is>
          <t>読み方：あまり
［名］
１使ったり処理したりしたあとになお残ったもの。残り。余剰。「—の布切れ」「シチューの—を冷凍する」
２割り算で割り切れずに残った数。
３（感情などを表す連体修飾語を上に付けて副詞的に用いる）程度がはなはだしくて引き起こされた結果として。「うれしさの—に涙が出る」「案件の成立を急ぐ—委員会が混乱した」
［形動］［文］［ナリ］
１程度のはなはだしいさま。予想を超えているさま。「値段が—に高い」「—な剣幕に恐れをなす」
２話にならないほど度が過ぎてひどいさま。あんまり。「—な仕打ちに怒る」
［副］
１度を越しているさま。過度に。あんまり。「—勉強するとからだを壊すよ」
２（あとに打消しの語を伴って）特に取り立てていうほどでないさま。それほど。あんまり。「—出来はよくない」
［接尾］
１数量を表す語に付いて、それよりも少し多い意を表す。以上。「百名—の従業員」
２（「余り」のあとにもさらに数詞がきて）その数にあとの数だけ余分に加わっているという意を表す。
「二十日(はつか)—八日。よもすがら雨やまず」〈土佐〉</t>
        </is>
      </c>
      <c r="D222" t="inlineStr">
        <is>
          <t>あまり知ら；あまりよく；あまり多く；あまり使わ；あまりいい</t>
        </is>
      </c>
      <c r="E222" t="inlineStr">
        <is>
          <t>残り；空間；範囲；余；余り</t>
        </is>
      </c>
      <c r="F222" t="inlineStr">
        <is>
          <t>あまり口；あまり用い；あまりうまく；あまり目立た；あまり強く</t>
        </is>
      </c>
      <c r="G222" t="inlineStr">
        <is>
          <t>あまりの；あまりにも有名；あまり物；あまり山；あまりりす</t>
        </is>
      </c>
      <c r="H222" t="n">
        <v>29</v>
      </c>
      <c r="I222" t="inlineStr">
        <is>
          <t>ここではあまり他の言語では見られない 特有の機能を中心に解説する。；これが原核生物が細胞サイズをあまり拡大できない理由の一つといえる。；中間部には歌詞がつけられているが一般にはあまり知られていない。；今日ではあまり行われていないスタイルも、過去には数多く存在していた。；ヨーロッパへは16世紀になって伝わったが、あまり普及はしなかった。；若干画面が湾曲したテレビも一時流行したが同様にあまり普及しなかった。；前衛的音楽のためアルバムはあまり売れなかったが、後に再評価された。；競馬も行われているが、他のギャンブルの陰に隠れてあまり人気が無い。；これは日本国内では他にあまり見られない地域形態となっている。；古くバリトンパートを表すのに使われたが、現代ではあまり見られない。；父は脱サラの走りみたいな人物で、会社へはあまり行きたがらなかった。；この病気自体が稀でもあるので、一般にはあまり周知されてはいない。；日本では明治の梅謙次郎以来その歴史は長いが、あまり支持されていない。；医療機関の質は悪くないが、医療サービスの質はあまり良いとは言えない。；いずれの場合も使い魔が術者以上の力を発揮する描写はあまり見られない。；需要自体が少ないため、近代的な品種改良もあまり行われてはいない。；日本では他の古典小説同様に江戸時代に輸入されたがあまり注目されたとは言えない。；南部ではあまり話されないが、中北部では日常的に話される地域が多い。；また一点に力が集中するため、エネルギー自体は小さくてもあまり問題はない。；同時に砂や泥の表面ではあまり安定しない移動方法でもある。；最初の問題は発展途上国の近代的産業はあまり効率がよくないことだ。；当時あまり話題にならなかったためか現在は古書店に出回ることが少ない。；「入玉宣言法」のルール導入から8年あまり経過しての初適用であった。；絵の腕は大人も驚く出来だったが、あまり外向的な子供ではなかったという。；つまり「地域」は行政上存在してもあまり実体のある存在とはいえない。；名古屋までの総事業費は5兆円あまりで2027年の開業予定である。；これらの表現は近年ではあまり使われなくなってきている。；パズルの作成だけで収入を得ている純粋なプロはあまり多くない。；このため現状では、あまり多くの分析は出来無いとの指摘が挙がっている。</t>
        </is>
      </c>
      <c r="J222">
        <f>HYPERLINK("https://www.weblio.jp/content/あまり", "词义详情")</f>
        <v/>
      </c>
      <c r="K222">
        <f>HYPERLINK("https://yourei.jp/あまり", "查看例句")</f>
        <v/>
      </c>
    </row>
    <row r="223">
      <c r="A223" t="inlineStr">
        <is>
          <t>余る</t>
        </is>
      </c>
      <c r="B223" t="inlineStr">
        <is>
          <t>成功</t>
        </is>
      </c>
      <c r="C223" t="inlineStr">
        <is>
          <t>読み方：あまる
［動ラ五（四）］
１多すぎて残りが出る。使いきれずに残る。「—・った小遣いは貯金する」「人手が—・る」
２（多く「…にあまる」の形で）
㋐数量などがある基準を超える。「身の丈六尺に—・る大男」「五万人に—・る観客」
㋑程度や力などが、ある程度以上にはなはだしくなる。「勢い—・って転倒する」「目に—・る言動」「身に—・る重責」
３割り算で、割り切れないで残りが出る。
４いっぱいになってあふれる。
「忍び給へど、御袖より（涙ガ）—・るも、所せうなむ」〈源・須磨〉
[用法]あまる・のこる——「余る」はある基準の量を超えて何かがあること。「旅館の支払いが済んでも金が余る」「身に余る光栄」「自分の手に余る難しい問題」「一〇を三で割ると三が立って一が余る」などと用いる。◇「残る」は、なくならないで、まだある場合に用いる。「金が使いきれずに残る」「十分考えたが、まだ疑問が残っている」「一〇から八引くと二残る」◇「御飯のおかずが余った」は、四人の食事に六人分のおかずがあって食べきれなかったというような場合。四人分用意されていたのに、全部は食べきれなかったときは「おかずが残った」となる。</t>
        </is>
      </c>
      <c r="D223" t="inlineStr">
        <is>
          <t>余るでしょ；余る大き</t>
        </is>
      </c>
      <c r="E223" t="inlineStr">
        <is>
          <t>過剰；余剰；超過；はみ出す；溢れる</t>
        </is>
      </c>
      <c r="F223" t="inlineStr">
        <is>
          <t>まだ余る；少し余る；なお余る；積み余る</t>
        </is>
      </c>
      <c r="H223" t="n">
        <v>29</v>
      </c>
      <c r="I223" t="inlineStr">
        <is>
          <t>このケースにはどうやら私の手に余るところがあるような気がするんだ。；ちょっと時間が余ると、一人で校舎の裏に行って桜観ているらしいんだ。；彼は食事をとってゆっくりと食べたが、それでもまだ時間が余っていた。；百頭に余る馬の群が、音に驚き光に恐れ、野の方へ宿の方へ駈け出した。；私たちの旅の目的によい理解を示されたのは感謝に余ることであった。；そして、彼らもそれらの施設を使うほど、金が余っているわけではない。；すると奇妙にも、何か自分の血も余っているような気がしてきたのだ。；しかも我々だとて内心では今のご改革が目に余るものだと感じている。；それは今回の件を、月火は本当に手に余ると感じているからかもしれない。；芸術制作の素材には一生かかって表現してもなおあり余るものを持っている。；しかし私では全てを知ることはできないだろう、それは人の手に余る。；前から二人ずつ並んでいったら、一人余ったと見ることも可能だった。；学校側もよほど目に余る行為がないかぎり、見て見ぬ振りをしている。；それどころか余った物は市場に持っていくと肉に換えられるほどのもの。；このとき、右に余る白マスの数nを基準に以下のとおりに処理していく。；主人十吉は、僅かの畑もだんだん手に余るやうな気分になりつつある。；それにどうやって対抗すればいいのか、陽子と亜紀には手に余る問題だ。；何が余っていたのか明らかではないが、ニシンではないかとする説がある。；基本的にランキングで時間が余る場合は収まるまで下位まで放送される。；日本の大都市圏では土地が足りないのに、農村では土地が余っています。；でもそれは結局うまくいかず、景品用に作ったこの曲が余っちまってね。；さて、二人なら一応隣に入れるのだが、三人になると一人余ることになる。；仕事があり余っているように言うのも考えものだな、と平四郎は思った。；背と足と縁を残して余る部分はほとんど一寸余の深さに掘り下げてある。；袖と袖と重ねたのは、二側に居余る、いづれも声なき紳士淑女であつた。；まだ身体の中には力と怒りが余っていて、それをどうしていいかわからない。；やはり人間ひとりの面倒を見るというのは、小学生の手に余るのだろう。；部屋の中は三人の人間と家具と機材で、ほとんど余ったスペースはない。；運動をした日は活力が余ってのいたずらが少しはおさえられるようです。</t>
        </is>
      </c>
      <c r="J223">
        <f>HYPERLINK("https://www.weblio.jp/content/余る", "词义详情")</f>
        <v/>
      </c>
      <c r="K223">
        <f>HYPERLINK("https://yourei.jp/余る", "查看例句")</f>
        <v/>
      </c>
    </row>
    <row r="224">
      <c r="A224" t="inlineStr">
        <is>
          <t>甘んじる</t>
        </is>
      </c>
      <c r="B224" t="inlineStr">
        <is>
          <t>成功</t>
        </is>
      </c>
      <c r="C224" t="inlineStr">
        <is>
          <t>読み方：あまんじる
［動ザ上一］「あまんずる」（サ変）の上一段化。「薄給に—・じる」</t>
        </is>
      </c>
      <c r="D224" t="inlineStr">
        <is>
          <t>甘んじることなく(4%)；甘んじるべき</t>
        </is>
      </c>
      <c r="E224" t="inlineStr">
        <is>
          <t>入れる；受け入れる；受容；応じる；応ずる</t>
        </is>
      </c>
      <c r="H224" t="n">
        <v>29</v>
      </c>
      <c r="I224" t="inlineStr">
        <is>
          <t>このころは天才型の彼らの中にあって彼の芸術は二番手に甘んじていた。；人類が四人姉妹の奴隷なり家畜なりに甘んじているのは、人類の勝手だ。；君は平凡な生活に甘んじて行かなけりやならない樣に生れ付いてるんだ。；斯の刑罰は子供心にも甘んじて受けなければ成らないやうなものでした。；そして北海道はいつまでも、植民地的存在に甘んじていなければならない。；一家十人の離散が救われたと思えば、僕は罪人たるに甘んじねばならぬ。；僕を死から助け出し、しかも御自分は甘んじて生命を危険にさらされた。；それは、ほかのことと同様に、甘んじて受けなければならないことなのだ。；それでは彼女とその友だちとのひどい仕打ちに甘んじることになるのだ。；英雄扱いに甘んじているのも、いわばその生活力のなさゆえなのだ。；「おれはこれに甘んじたんだ」と妻木君は肌を入れながら悠々と云った。；ずっときみは束縛に甘んじているようだったし、僕の努力を拒否した。；それともそれは小さな大学で薄給に甘んじている私のひがみなのだろうか。；当然のことながら、僕はその非難を甘んじて受けなければならない。；そうであれば、いつまでもあんな男の愛人に甘んじてなどいないのに。；当初は控えに甘んじていたが、持ち前の能力を発揮してスタメンを奪取。；義家ですら、関白の前駆となって甘んじていなければならない程である。；伝 令 間違っておりましたら、どんなお怒りでも甘んじて受けます。；なにがゆえに彼らはこんなふうな生活を甘んじて受けいれているのか?；もし甘んじて身を任せない場合には、きびしい罰が加えられるであろう。；しかも私たちは、甘んじて堕落したとはっきりいわなければならない。；ファンであることに甘んじるのは反乱の力しかない場合です。；たとえ相手が何者であっても、自由を奪われた状態に甘んじるつもりはなかった。；走狗としてしか生き道がないのであれば、走狗に甘んじるしかないのだ。；が、勝っても勝っても、唯の強さだけでは、なお甘んじられぬものだった。；その心の差が、リロイに最初 の一撃を甘んじて受けさせる結果になった。；湿り気路線を閉鎖すべく、妹の手が唸るのを僕は甘んじて受け入れた。；サンダーを最高に幸福にすることなら、どんなことでも甘んじてするだろう。；民衆は伝統に甘んじているのではなくて、経済生活上甘んぜざるを得ないのだ。</t>
        </is>
      </c>
      <c r="J224">
        <f>HYPERLINK("https://www.weblio.jp/content/甘んじる", "词义详情")</f>
        <v/>
      </c>
      <c r="K224">
        <f>HYPERLINK("https://yourei.jp/甘んじる", "查看例句")</f>
        <v/>
      </c>
    </row>
    <row r="225">
      <c r="A225" t="inlineStr">
        <is>
          <t>網</t>
        </is>
      </c>
      <c r="B225" t="inlineStr">
        <is>
          <t>成功</t>
        </is>
      </c>
      <c r="C225" t="inlineStr">
        <is>
          <t>読み方：あみ
１糸・縄・針金などを方形・ひし形に目を透かして編んで作ったもの。魚や鳥などを捕らえる道具や焼き網、囲い、建具などに用いる。
２捕らえたり、取り締まったりするために張りめぐらしたもの。「捜査の—にかかる」「法の—をくぐる」
[下接語] 揚繰(あぐ)り網・鰯(いわし)網・受け網・打瀬(うたせ)網・打ち網・追い網・置き網・落とし網・垣網・霞(かすみ)網・金網・被(かぶ)せ網・救助網・巾着(きんちゃく)網・小鳥網・刺し網・叉手(さで)網・敷き網・地引き網・掬(すく)い網・底引き網・袖(そで)網・鯛(たい)網・台網・高網・焚(た)き入れ網・叩(たた)き網・建て網・建て切り網・玉網・攩(たも)網・坪網・定置網・手繰り網・投(と)網・鳥網・トロール網・流し網・投げ網・張り網・引き網・袋網・棒受け網・捕虫網・巻き網・枡(ます)網・待ち網・身網・餅(もち)網・焼き網・八つ手網・夜網・四つ手網</t>
        </is>
      </c>
      <c r="D225" t="inlineStr">
        <is>
          <t>網漁；網整備；網袋；網野町；網乾</t>
        </is>
      </c>
      <c r="E225" t="inlineStr">
        <is>
          <t>ネットワーク；ネット；罠；トラップ；謀略</t>
        </is>
      </c>
      <c r="F225" t="inlineStr">
        <is>
          <t>交通網；道路網；通信網；販売網；情報網</t>
        </is>
      </c>
      <c r="G225" t="inlineStr">
        <is>
          <t>網膜；網目；網の目；網走；網代</t>
        </is>
      </c>
      <c r="H225" t="n">
        <v>29</v>
      </c>
      <c r="I225" t="inlineStr">
        <is>
          <t>上に置いた物が安定するように足や環に爪や網がついている場合もある。；停車場の線路網状の位置や、その機能によって以下のように分類される。；また、この地域に位置する企業や、経由する交通網などの名称に使われる。；しかし、袋に入ることなく網石の下をくぐり抜けて逃げる魚も少なくない。；しかし、昭和末期までは佐倉市内の路線網はほぼ維持されていたと言える。；町の東部を南北に国道350号が走り、平野部は良好な道路網を持った。；これは東武鉄道が複数の路線からなる広大な路線網を持つ前の名残でもある。；これは19世紀より前から広く各国各地域で使われていた交通機関網である。；川の中には鮭を取る網が張られており、岸辺には吉田茂八の家が見える。；デリーでの地下鉄網構築に成功して以降各地で地下鉄の建設が進んでいる。；近年では、交通手段・通信網の整備も労働力の移動を容易にしている。；また新聞販売店等がその配達網を利用して業務を受託していることもある。；M0クラスになると、日本の地震計観測網でも捉えられない場合がある。；さらに駅馬車の交通網が発達して時刻表が発行されるようになった。；この場合、網を打ったらすぐに魚を網のあるほうに追い込まなければならない。；これには生物が作り出す網と、生物体自体が網のような形になったものとがある。；それとともに、町と町を結ぶ新たなライトレール網も計画されている。；明治期には、銅の生産で繁栄した吹屋地区に関係する交通網も発達した。；交通網の中で主要な路線を幹線と呼び、最も重要な路線は本線と呼ぶ場合もある。；明石市の明石駅と西神中央駅を主な拠点に路線網が張り巡らされている。；これらにより、横浜市西部開発地区の交通網の整備を推進するという。；リスボンからは郊外部やポルトガル各地に向けて高速道路網が伸びている。；生物が作り出す網でもっともよく知られているのはクモの網である。；日本では江戸時代に五街道が制定され、江戸を中心とした各地への交通網が出来た。；灌漑は必要とされず、ウルにあった運河網は輸送に使用されていたであろう。；交通網では、首都に向かう方向を上り、首都と逆の方向に向かう方向を下りという。；これが網の起源ではないかともといわれている。；欧州および豪州では大きく2つの地域に分けて販売網が構築された。；とくに省政府が主導する公共インターネット網はよく整備されている。</t>
        </is>
      </c>
      <c r="J225">
        <f>HYPERLINK("https://www.weblio.jp/content/網", "词义详情")</f>
        <v/>
      </c>
      <c r="K225">
        <f>HYPERLINK("https://yourei.jp/網", "查看例句")</f>
        <v/>
      </c>
    </row>
    <row r="226">
      <c r="A226" t="inlineStr">
        <is>
          <t>網戸</t>
        </is>
      </c>
      <c r="B226" t="inlineStr">
        <is>
          <t>成功</t>
        </is>
      </c>
      <c r="C226" t="inlineStr">
        <is>
          <t>読み方：あみど
虫を侵入させずに涼をとるために窓や出入り口に取り付ける、網を張った戸。《季夏》</t>
        </is>
      </c>
      <c r="D226" t="inlineStr">
        <is>
          <t>網戸越し(3%)</t>
        </is>
      </c>
      <c r="H226" t="n">
        <v>29</v>
      </c>
      <c r="I226" t="inlineStr">
        <is>
          <t>でも、それが網戸を切るのに使ったものと同じかどうかはわからない。；空気は出入りさせるが虫は出入りさせないようにする場合、網戸を加える。；網戸が普及したからか、蚊帳を目にすることなどほとんどなくなった。；網戸をたてた窓からは、冷んやりとした夜気と虫の音が流れこんでくる。；なお、網戸など建材製品などもエクステリア製品と呼ばれることがある。；網戸の内側で空気は動いているはずなのに、部屋には義理ほどの風も入らない。；ガラス戸に手をかけると、網戸にして、風を入れていたのか、さっと開く。；懐中電灯の光りの輪が狭い庭を流れ、下駄屋の飯岡老人が網戸をあけた。；店の網戸を引く音がして、それと同時に蚊やりの匂いが家中に漂いだした。；蠅が扉や窓の網戸にぶつかりながら興奮したように飛びまわっていた。；羽を動かしているうちに、何かの拍子に網戸の隙間を通り抜けたものだろう。；蔵の入り口はごらんのように網戸になっていますから、外からよく見えます。；疲れにトロンとした眼つきの中年の女が出てきて、網戸をあけた。；口のさきにガムを棒のようにかざして持ちながら、彼は網戸ごしに呼びかけた。；結局網戸の注文は、一日ぐらいおくれてもどうということがないとわかった。；冷蔵庫だってちゃんとあるし、扇風機もあるし、網戸だって入ってます。；虫が闇の中に消え去った後、網戸はしばらくぶるぶると細かく震えていた。；網戸をつけた食堂のなかではラジオが鳴っていた。；夏だったので、サッシは開け放されて、網戸だけになっていたんです。；そうだ、それより大工を呼んできて完全な網戸をつけてもいいなと、博士は考えた。；戸は二重戸になっていて土戸の次には金網戸があった。；今し方まで、壁しかなかったところに、窓があって網戸が貼ってある。；網戸にしておくと、テレビの音が聞こえなくなるほどやかましい。；さっきから部屋に入ろうとしている蛾が一匹、何度も網戸に体をぶつけていた。；一同が後について出てしまい、ドアがしまると彼は庭に続く網戸を指さした。；だれよりも先に、蔵の網戸に飛びついていったのは、明智探偵でした。；どうも外壁をつたって、網戸の小さな隙間から入りこんできたらしいのだ。；もし網戸が家の内側から切られていたのだったら、私の推理はすべてはずれた。；網戸がついて二重になっている白い玄関ドア。</t>
        </is>
      </c>
      <c r="J226">
        <f>HYPERLINK("https://www.weblio.jp/content/網戸", "词义详情")</f>
        <v/>
      </c>
      <c r="K226">
        <f>HYPERLINK("https://yourei.jp/網戸", "查看例句")</f>
        <v/>
      </c>
    </row>
    <row r="227">
      <c r="A227" t="inlineStr">
        <is>
          <t>編み物</t>
        </is>
      </c>
      <c r="B227" t="inlineStr">
        <is>
          <t>成功</t>
        </is>
      </c>
      <c r="C227" t="inlineStr">
        <is>
          <t>読み方：あみもの
毛糸・綿糸などを編み棒・編み機などで編んで衣類・装飾品などを作ること。また、作ったもの。</t>
        </is>
      </c>
      <c r="D227" t="inlineStr">
        <is>
          <t>編み物教室；編み物作家；編み物袋；編み物籠；編み物語</t>
        </is>
      </c>
      <c r="E227" t="inlineStr">
        <is>
          <t>ニット；編物</t>
        </is>
      </c>
      <c r="H227" t="n">
        <v>29</v>
      </c>
      <c r="I227" t="inlineStr">
        <is>
          <t>編み物以外の本を読むのはひさしぶりで、集中するのに時間がかかった。；老婦人は、ああやって編み物をしながら、ひとが通るのをながめておる。；本を読む夫、編み物をする妻、夕食後のこんなひとときは嫌いではない。；だってその頃はねえ、はっきり言ってすでに編み物には自信あったの。；この他、月の模様をカニの姿や編み物をする老婦人とみたものがある。；編み物が上手であるが、料理は家族や知人に恐怖されるほど下手である。；編み物を売ろうと思ったことはありませんし、心にも浮かびませんでした。；エレノアは娘が膝の上で急に起きあがったので、編み物の手をやすめた。；長男が編み物で三男が絵画とは、外見と趣味のギャップが大きい兄弟だ。；そして、編み物するよりはいいだろうと、結局人の本なんかを読んでしまう。；ただし、一般的にはこれらの行為の結果の製品を「編み物」とは呼ばない。；私と彼女のつきあいは編み物が間にはいっても、全く以前と変らなかった。；それまで編み物をしていたのか、白いレースが膝に置いてある。；その又部屋の隅には雌の河童が一匹、編み物か何かをしてゐました。；そのまた部屋の隅には雌の河童が一匹、編み物か何かしていました。；私が彼女に編み物を教えたのをおばさんはあまり快く思っていないようだった。；また、112歳の誕生日の数ヶ月前までも編み物を作ることもあった。；若槻は、菰田幸子が病室で編み物の道具を持っていたことを思い出した。；このところ料理の回が続いていたけど、そろそろ編み物の新作が必要な頃だった。；編み物は人並み程度にできるが急いで作った場合は悲惨な出来栄えになる。；戸の入口に一人の若い娘が、立ちながら編み物をしていた。；花束を持った若い男が階段を駆け上がり、編み物の女の人がそちらを見る。；窓の内側には、よくふとった白髪頭のおばあさんが編み物をしていました。；結婚なんかしないで私のそばで、水を飲んだり編み物をしたりしているほうがあなたのためなのよ。；女たちは悲しそうな顔つきをして、編み物をしたり、本を読んだりしていた。；編み物をしながら、ここに腰をおろしていますと、ただ事実がわかるだけなのです。；当時すでに目が見えなかったが、最後まで諦めることなく編み物を作ったという。；毛糸の玉と編み棒が入った籠のなかに、赤いねじれた編み物は落ちた。；やがて炎の綱は、複雑な編み物のように絡まりあい、巨大な炎の網に姿を変えた。</t>
        </is>
      </c>
      <c r="J227">
        <f>HYPERLINK("https://www.weblio.jp/content/編み物", "词义详情")</f>
        <v/>
      </c>
      <c r="K227">
        <f>HYPERLINK("https://yourei.jp/編み物", "查看例句")</f>
        <v/>
      </c>
    </row>
    <row r="228">
      <c r="A228" t="inlineStr">
        <is>
          <t>編む</t>
        </is>
      </c>
      <c r="B228" t="inlineStr">
        <is>
          <t>成功</t>
        </is>
      </c>
      <c r="C228" t="inlineStr">
        <is>
          <t>読み方：あむ
［動マ五（四）］
１糸・竹・籐(とう)・針金・髪などを互い違いに組み合わせて、一つの形に作り上げる。そのようにして、ある物を作り上げる。「藺草(いぐさ)でござを—・む」「髪をお下げに—・む」
２いろいろの文章を集めて書物を作る。編集する。「論文集を—・む」
３計画を組み立てる。編成する。「日程表を—・む」
[可能]あめる</t>
        </is>
      </c>
      <c r="D228" t="inlineStr">
        <is>
          <t>構成；大成；編輯；集大成；集成</t>
        </is>
      </c>
      <c r="H228" t="n">
        <v>29</v>
      </c>
      <c r="I228" t="inlineStr">
        <is>
          <t>彼女はある朝自分で編んだ白い長靴下を持って私のベッドへやってきた。；それでも私の場合は、それを編む価値のない物とは少しも思わなかった。；前には二枚ずつを三本にして編むのだったが、こんどは五本に進歩した。；実際には現在各派で練習されている五形拳は近代に編まれたものである。；竹を編んだもので、無理をすれば人間が三人くらいははいれそうな籠だ。；続いて会を開きまた一冊を編んでその報告に当てようとするのである。；また連句は音をもってする代わりに象徴をもって編まれた音楽である。；どれも帯鋼を双曲面状に編んだ鼓のような上下が広がる形状をしている。；もう一つもっと美しいのを、今度は自由な手で編まなければならない。；間には六人の少年が、葦と枝を編んでこしらえた一種の台を運んでいた。；髪の毛を編んだ娘たちや、ダンスへ出るのでみがきたてた若い男たちだ。；防弾繊維で編まれたコートは、一発たりとも彼女の肌に弾を届かせない。；第五層は今まで経験したことのない寒さだと聞いて、急いで編んだ帽子だった。；すると、なにもない空間に籐で編んだ椅子が出現し、彼の体をささえた。；材料は羊毛や麻の繊維を編んだものや皮革や布でできたものなどがある。；瓶の最下層と最上層には塩の層を作り、竹を編んだ蓋をして重石をおく。；夫のものでも娘たちのものでもなく、ひたすら自分のものだけを編む。；まだ生存している作家がこれまでの作品をまとめた全集を編むこともある。；ゴンドラが籐を編んで作られているのでバスケットと呼ばれる事も多い。；全曲中で最初に作曲されたこの曲が組曲が編まれるきっかけとなった。；憶良は歌を好み勉強もしたことは類聚歌林を編んだのを見ても分かる。；こっちぁ一番間違いのねえ策を編んでから、こうして頼んでるんだぜ。；それ以前にもさまざまな文字の表現で、多くの文献が編まれていたに違いない。；数多のこれらの毛を編んで作られたのが鬼太郎のちゃんちゃんこである。；必死に編んでいると言っていたのはこれだったのかなと思う。；その前には、赤い毛糸で編まれた帽子をかぶった水子地蔵が並んでいる。；その前の広場には木の柱が立てられ、上に蜘蛛の巣状に編まれた屋根がある。；歯の間のはみとあぶみは銀だったが、手綱は赤い絹を編んだものだった。；女たちが声高く話しながら、籠を編んだり、マットを造ったりしている。</t>
        </is>
      </c>
      <c r="J228">
        <f>HYPERLINK("https://www.weblio.jp/content/編む", "词义详情")</f>
        <v/>
      </c>
      <c r="K228">
        <f>HYPERLINK("https://yourei.jp/編む", "查看例句")</f>
        <v/>
      </c>
    </row>
    <row r="229">
      <c r="A229" t="inlineStr">
        <is>
          <t>飴</t>
        </is>
      </c>
      <c r="B229" t="inlineStr">
        <is>
          <t>成功</t>
        </is>
      </c>
      <c r="C229" t="inlineStr">
        <is>
          <t>読み方：あめ
もち米・サツマイモなどのでんぷんを麦芽や酸の作用によって糖化させた、粘りけのある甘い食品。また広く、砂糖を煮つめて香料・着色料などを加えて固めたキャンディーも含めていう。</t>
        </is>
      </c>
      <c r="D229" t="inlineStr">
        <is>
          <t>飴売り(5%)；飴屋(4%)；飴チョコ；飴湯；飴煮</t>
        </is>
      </c>
      <c r="E229" t="inlineStr">
        <is>
          <t>狐；黄褐色；キャンディ；ボンボン；あめ</t>
        </is>
      </c>
      <c r="F229" t="inlineStr">
        <is>
          <t>唐人飴；タンキリ飴；旭飴；飴ン；笹飴</t>
        </is>
      </c>
      <c r="G229" t="inlineStr">
        <is>
          <t>飴玉；飴屋；飴細工；飴と鞭；飴菓子</t>
        </is>
      </c>
      <c r="H229" t="n">
        <v>29</v>
      </c>
      <c r="I229" t="inlineStr">
        <is>
          <t>飴のなかのおたさんは泣いたり笑つたりしていろんな向きに顔をみせる。；子供たちは笑って踊りを見ているばかりで、一人も飴を買う者はなかった。；飴を買ったはいいが、持っているのが億劫になっただけではないだろうか。；弟の方はその金で飴を買って来ても決して兄に分けてやることはないようだった。；ゼリーに似た小桜飴を食べながら、私はどんなに安心したことだったろう。；そしてその翌日からはかわずの飴屋がどこへ行っても待ち設けられた。；いわゆる飴形以外にこれという種類の菓子もなかった時代があるのである。；あったね、なんか、果物みたいなのがなかにはいっていた飴でしょう?；赤い色や青い色のついてる飴の棒を両手に五本ずつ買ってくれた。；飴のように伸ばされた白い光が、その形のままに横殴りに振り回される。；向かいの席の女はきっかけを求めて飴を勧めたのではあるまいか。；桶の上には紅白の飴が入れられて、地に下ろせば三本の足で立つしかけだ。；鞭は毎日目の前に唸っているが、飴の方は全くの幻影を供給したのだ。；かの飴屋もその一人で、半七老人とは芝居でのお馴染であることが判った。；りん子は飴口からの電話を受けて、指定された駅のトイレに向かう。；特に、この飴売りがまったく道具に使われた無縁の男であって見れば。；飴売りになって江戸市中を3年も探索をしていたという話も残されている。；今度はそっと、石の重量を利用して押しつけるくらいの力で飴を叩きます。；ンなに痛みが好きならたっぷり鳴かせてやるから今から喉飴でも舐めてろ!；列車の中でもらった一個の小さな飴が、そうさせたのである。；自分で自分の言葉を無意識に飴の如くしやぶりながら独り言を云つてゐる。；やはり次からはドリンク剤とかお鮨とかノド飴とかを贈るべきだろうか。；今では飴売りをして娘のお君とほそぼそとだがまともに暮らしているお蔦。；小沢商店の角から二、三軒来たところの私の家の側に、飴専門の店ができた。；弟の友人が新幹線のなかでくれた飴がポケットに入っていたのでそれを食事代わりにした。；僕は飴屋のくれる小さな紙の国旗を振りながら、節に合わせて踊ったものよ。；各種餅飴やこんにゃくゼリーなどを製造しており、全国で販売されている。；主人は怪しんだが、女がいかにも悲しそうな小声で頼むので飴を売った。；まだ「ベロベロ飴」のことを根に持っているのだろう、とハリーは思った。</t>
        </is>
      </c>
      <c r="J229">
        <f>HYPERLINK("https://www.weblio.jp/content/飴", "词义详情")</f>
        <v/>
      </c>
      <c r="K229">
        <f>HYPERLINK("https://yourei.jp/飴", "查看例句")</f>
        <v/>
      </c>
    </row>
    <row r="230">
      <c r="A230" t="inlineStr">
        <is>
          <t>雨</t>
        </is>
      </c>
      <c r="B230" t="inlineStr">
        <is>
          <t>成功</t>
        </is>
      </c>
      <c r="C230" t="inlineStr">
        <is>
          <t>読み方：あめ
１大気中の水蒸気が冷えて雲ができ、雲の中で成長した水滴が地上に落ちてくる現象。また、その水滴。氷晶を含む雲から降る冷たい雨のほか、熱帯地方などの氷晶を含まない雲から降る暖かい雨もある。「—が上がる」
２雨の降る日。雨天。「明日は—らしい」
３絶え間なく降り注ぐ、または、落ちてくるもののたとえ。「涙の—」「爆弾の—」「血の—を降らせる」
[補説]書名別項。→雨</t>
        </is>
      </c>
      <c r="D230" t="inlineStr">
        <is>
          <t>雨村；雨あがり；雨除け；雨師；雨どい</t>
        </is>
      </c>
      <c r="E230" t="inlineStr">
        <is>
          <t>レーン；雨水；降雨；雨天；天水</t>
        </is>
      </c>
      <c r="F230" t="inlineStr">
        <is>
          <t>ひどい雨；細かい雨；慈雨；細い雨；ひと雨</t>
        </is>
      </c>
      <c r="G230" t="inlineStr">
        <is>
          <t>雨水；雨宮；雨季；雨が降る；雨天</t>
        </is>
      </c>
      <c r="H230" t="n">
        <v>29</v>
      </c>
      <c r="I230" t="inlineStr">
        <is>
          <t>北部では春が最も雨の多い季節であるが、南部や東部では晩夏に雨が多い。；二軍の試合に出場するのは簡単であったが、この試合が雨で中止になった。；山は雪で覆われることが多いものの、その雪は雨によってすぐに消える。；これは、梅雨時のために、前後の日も同様に雨や曇りが多いからである。；雨漏りを放っておくと屋根に穴が開き、寝室には雨が降ってきたという。；冬に雨が少ない地域ではこのような現象が見られたと思われる。；気象庁では、雨の強さの表現を時間雨量により次のように分類している。；雨と雷が去ったのち、兵たちが玉座を見ると、王の姿はどこにもなかった。；雨の母親は雨が2歳の時に失踪し、それ以来父娘二人で暮らしてきた。；プロストは雨のレースを極端に苦手としている、と評されることが多い。；海水だけでなく、川や泉や雨などにも彼の力が宿っていると言われる。；秋には雨がやや増えるが夕立など特定の時刻に集中的に降ることが多い。；ホームに上屋はないが、駅正面に雨や雪を防ぐ待合施設が設置されている。；冬は夏より雨は少なく晴れた日が多いが風が多く強風が吹く事もある。；居住用ではなくイベントなどで雨と日光を防ぐためのものである。；前半に多い雨の場面も、登場人物たちの孤独感を強烈に浮き彫りにした。；雲から凝縮して大きめの水滴となって地上に落ちてくる水は雨と呼ぶ。；本人によるとピローニの事故に遭遇するまでは、雨の方が得意だった。；世界では地域によって、雨の降り方は全くと言っていいほど異なる。；乱層雲が発達し、ある程度連続した雨が降りやすいが、その降り方は弱い。；雪や雨は一時的な現象なので、川の持続的な水源は地下水である所が多い。；当日は午前から雨となり、前年に続き重馬場で行われることになった。；雨に弱いので秋に雨がほとんど降らない土地に栽培は限られる。；雨でラインの自由度が増し、序盤からオーバーテイクが大量に見られた。；この地域では降雨の前に雷と雷がよく降り、積乱雲と雨が天候を支配する。；彼は貴族社会は守ったが、 無残にもイタリア中に市民の血の雨を降らせた。；怒った神が雨や雪の代わりに降らせたものと信じられていた。；どれもそれほど大きな川ではなく、雨の多寡で水量が大きく変化する。；急な雨には対応できず、その場合は一部の座席が濡れる席となる。</t>
        </is>
      </c>
      <c r="J230">
        <f>HYPERLINK("https://www.weblio.jp/content/雨", "词义详情")</f>
        <v/>
      </c>
      <c r="K230">
        <f>HYPERLINK("https://yourei.jp/雨", "查看例句")</f>
        <v/>
      </c>
    </row>
    <row r="231">
      <c r="A231" t="inlineStr">
        <is>
          <t>危うい</t>
        </is>
      </c>
      <c r="B231" t="inlineStr">
        <is>
          <t>成功</t>
        </is>
      </c>
      <c r="C231" t="inlineStr">
        <is>
          <t>読み方：あやうい
［形］［文］あやふ・し［ク］
１危険が迫っている。あぶない。「—・いところを助かった」
→危ない［用法］
２気掛かりである。心もとない。不安だ。
「世のうけひくまじきことなれば、中々—・くおぼし憚りて」〈源・桐壺〉
[補説]中世以降、シク活用化した例やその口語形「あやうしい」の例も認められる。
「さはらば落ちん其の風情、しほらしくも又あやふしし」〈浄・井筒業平〉
[派生]あやうがる［動ラ五］あやうげ［形動］あやうさ［名］</t>
        </is>
      </c>
      <c r="D231" t="inlineStr">
        <is>
          <t>危ういところ(23%)；危ういもの(7%)；危うい状況(3%)；危うい均衡(2%)；危うい状態(2%)</t>
        </is>
      </c>
      <c r="E231" t="inlineStr">
        <is>
          <t>危険；重大；深刻；危険な；怪しい</t>
        </is>
      </c>
      <c r="F231" t="inlineStr">
        <is>
          <t>どこか危うい；危うい感じ；そんな危うい；危うい関係；危うい雰囲気</t>
        </is>
      </c>
      <c r="H231" t="n">
        <v>29</v>
      </c>
      <c r="I231" t="inlineStr">
        <is>
          <t>自分の存在さえも危ういというのに、こうまで対抗してくるはずがない。；だからすべてこれらに存在の権利を与えないと吾身が危ういのであります。；僕は危うくボロ船に穴をあけて、あの楽しい旅を終わりにする所だった。；危うく気を失いかけたとき、すぐそばに生きものの気配を感じたのです。；そういうことが起きていても不思議ではない危うさが、この男にはあった。；なかば気を失った鳥の体が落ちてくるのを、危うく身をかわしてよけた。；志貴さんはご自分の体がどれほど危ういのか、理解していないんですか?；鬼の前に立ちはだかるように立った大輔は、危ういところで剣を止めた。；彼の同僚すら余計な事をして学校の位地を危うくするのは愚だと思った。；ひとつ目の秘密を隠そうとすると、二つ目の秘密が危うくなってしまう。；一つ間違えば自分の身が危ういのだから、これはなおざりにはできない。；盾の金属はもちこたえたが、その打撃には危うく膝をつくところだった。；飛ばしてくる音が聞こえたんだが危うく一ヤードのところでよけましたよ。；しかし、わたしの考えを言えば、そのような視線にはどこか危うさがある。；屋上で妹さんの話をしたときと同じ、怒りに満ちた危うい表情だった。；足音はアスファルトを危うげに小さく踏みつけながら後から迫ってくる。；今あの子を助けて、一緒に逃げたとしても今度は俺達の命さえ危うい。；しかも、それは怒鳴り声によって支えられているような危うさがあった。；危うくこの捕虜たちと運命をともにするところだったが、ついに彼は言った。；この危うさに気付いたとき小林秀雄は文学の世界を離れたのだともいえる。；ドアのところでわたしは危うくルケーリヤに突きとばされそうになった。；言峰の治療で持ち直しはしたが、桜は危ういバランスの上に立っている。；わたしの妻はきわめて恐ろしい状況におかれており、生命すら危ういのです。；それが災いして卒業が危うくなりかけたものの、無事高校を卒業する。；わたくしのために剣を抜いて危ういところを助けてくれました。；全グループの生命を危うくするこのような集団的な病気の結果はもっと明らかである。；明日香は、そして他の二人は、そんな危うい人類の危機の導火線なのだ。；国防の上からみて、北辺で領土を接するロシアと事を構えるのは危うい。；ドアの直前まで達したのに気付かず、衝突しそうになって危うく足を止めた。</t>
        </is>
      </c>
      <c r="J231">
        <f>HYPERLINK("https://www.weblio.jp/content/危うい", "词义详情")</f>
        <v/>
      </c>
      <c r="K231">
        <f>HYPERLINK("https://yourei.jp/危うい", "查看例句")</f>
        <v/>
      </c>
    </row>
    <row r="232">
      <c r="A232" t="inlineStr">
        <is>
          <t>危うく</t>
        </is>
      </c>
      <c r="B232" t="inlineStr">
        <is>
          <t>成功</t>
        </is>
      </c>
      <c r="C232" t="inlineStr">
        <is>
          <t>読み方：あやうく
［副］《形容詞「あやうい」の連用形から》
１やっとのことで。かろうじて。「—間にあった」
２まかりまちがえば。もう少しのところで。「—大けがをするところだった」</t>
        </is>
      </c>
      <c r="D232" t="inlineStr">
        <is>
          <t>危うくする(7%)；危うくなる(7%)；危うくなり(2%)；危うく殺さ；危うく命</t>
        </is>
      </c>
      <c r="E232" t="inlineStr">
        <is>
          <t>何とか；かろうじて；ぎりぎり；辛うじて；危ない</t>
        </is>
      </c>
      <c r="F232" t="inlineStr">
        <is>
          <t>危うく身；危うく死にかけ；身を危うく；地位を危うく；危うく足</t>
        </is>
      </c>
      <c r="H232" t="n">
        <v>29</v>
      </c>
      <c r="I232" t="inlineStr">
        <is>
          <t>自分の存在さえも危ういというのに、こうまで対抗してくるはずがない。；だからすべてこれらに存在の権利を与えないと吾身が危ういのであります。；僕は危うくボロ船に穴をあけて、あの楽しい旅を終わりにする所だった。；危うく気を失いかけたとき、すぐそばに生きものの気配を感じたのです。；そういうことが起きていても不思議ではない危うさが、この男にはあった。；なかば気を失った鳥の体が落ちてくるのを、危うく身をかわしてよけた。；志貴さんはご自分の体がどれほど危ういのか、理解していないんですか?；鬼の前に立ちはだかるように立った大輔は、危ういところで剣を止めた。；彼の同僚すら余計な事をして学校の位地を危うくするのは愚だと思った。；ひとつ目の秘密を隠そうとすると、二つ目の秘密が危うくなってしまう。；一つ間違えば自分の身が危ういのだから、これはなおざりにはできない。；盾の金属はもちこたえたが、その打撃には危うく膝をつくところだった。；飛ばしてくる音が聞こえたんだが危うく一ヤードのところでよけましたよ。；しかし、わたしの考えを言えば、そのような視線にはどこか危うさがある。；屋上で妹さんの話をしたときと同じ、怒りに満ちた危うい表情だった。；足音はアスファルトを危うげに小さく踏みつけながら後から迫ってくる。；今あの子を助けて、一緒に逃げたとしても今度は俺達の命さえ危うい。；しかも、それは怒鳴り声によって支えられているような危うさがあった。；危うくこの捕虜たちと運命をともにするところだったが、ついに彼は言った。；この危うさに気付いたとき小林秀雄は文学の世界を離れたのだともいえる。；ドアのところでわたしは危うくルケーリヤに突きとばされそうになった。；言峰の治療で持ち直しはしたが、桜は危ういバランスの上に立っている。；わたしの妻はきわめて恐ろしい状況におかれており、生命すら危ういのです。；それが災いして卒業が危うくなりかけたものの、無事高校を卒業する。；わたくしのために剣を抜いて危ういところを助けてくれました。；全グループの生命を危うくするこのような集団的な病気の結果はもっと明らかである。；明日香は、そして他の二人は、そんな危うい人類の危機の導火線なのだ。；国防の上からみて、北辺で領土を接するロシアと事を構えるのは危うい。；ドアの直前まで達したのに気付かず、衝突しそうになって危うく足を止めた。</t>
        </is>
      </c>
      <c r="J232">
        <f>HYPERLINK("https://www.weblio.jp/content/危うく", "词义详情")</f>
        <v/>
      </c>
      <c r="K232">
        <f>HYPERLINK("https://yourei.jp/危うく", "查看例句")</f>
        <v/>
      </c>
    </row>
    <row r="233">
      <c r="A233" t="inlineStr">
        <is>
          <t>あやかる</t>
        </is>
      </c>
      <c r="B233" t="inlineStr">
        <is>
          <t>成功</t>
        </is>
      </c>
      <c r="C233" t="inlineStr">
        <is>
          <t>読み方：あやかる
［動ラ五（四）］
１影響を受けて同様の状態になる。感化されてそれと同じようになる。ふつう、よい状態になりたい意に用いられる。「彼の幸運に—・りたい」
２影響を受けて変化する。動揺する。
「風速み峰のくず葉のともすれば—・りやすき人の心か」〈拾遺・雑恋〉
[可能]あやかれる</t>
        </is>
      </c>
      <c r="D233" t="inlineStr">
        <is>
          <t>あやかるべく(4%)</t>
        </is>
      </c>
      <c r="E233" t="inlineStr">
        <is>
          <t>利用する；便乗する；尻馬に乗る；肖る；かこつける</t>
        </is>
      </c>
      <c r="H233" t="n">
        <v>29</v>
      </c>
      <c r="I233" t="inlineStr">
        <is>
          <t>王ちゃんにあやかるんだと言って一番以外の機械ではやらないんですよ。；そうすることによって、彼女の幸運にあやかりたいと願望したのである。；あやか夫人が着代えをしているというので、ちょっと外で待たされた。；初名は渥美半島統一をなした曽祖父・宗光にあやかり、宗光を名乗った。；モデル活動ではあやか名義で活動していたこともある。；いや、まったくの話、おれはきみの性質にあやかりたいと思うよ。；由来は、タレントのベッキーにあやかり、自分の名前から付けたもの。；この自信に私は打たれて、坂田にあやかりたいと思ったのだ。；この名称はアップステート・ニューヨークが認識されていることにあやかる意図もある。；あやか夫人は結婚後、月に一度又は二度必ず上京される習いでした。；私も少しはこれにあやかりたいと思い、敢てこの筆をとった。；単独の証拠のみで知られるある王子は、その名にあやかりプズル・ニンスンを名乗っていた。；その徳にあやかりたいと思って訪れると、聖者はわたくしの旅の目的をたずねられた。；あやか夫人の倒れた姿をテーブルごしに見つめているが、恐らくその極めて一部分しか見ることができないようであった。；これにあやかるように小京都と呼ばれる観光地は、その後から地方に増え続けた。；おれのこの勇気にあやかりたいのだろうか。；彼の名声にあやかり、その名を冠した無関係の辞典を指す場合もある。；さうとすればあなたは一財産つくるでせうし我輩もそれにあやかるわけですからな。；あやか夫人の口からも血が流れていた。；人間の住居は人の短命にあやかり、神の住居は神の永生にあやかるものらしい。；人間の住居は人の短命にあやかり、神の住居は神の永生にあやかるものらしい。；せっかくの昔からの地名を変えてまで、何も軽井沢にあやかることはないだろう。；その景政の武勇にあやかるべく、鎌倉武士たちはかれを神として祭った。；あやかとはうまい名をつけたもので、遊び好きで、くったくがない。；そして栃木の出世にあやかるやうにと言つて、鱈腹飲んだり、食つたりした。；当時のJリーグ人気にあやかり、サッカーをモチーフとしたデザインになっている。；「きみのような人気者にあやかりたいよ」、老人のにこにこ顔は明らかにそう語っていた。；老人の長命にあやかりたいと、生まれた子供の名づけ親を頼まれることも多い。；大きな名前については、その名にあやかり芸を継承するために襲名する事がある。</t>
        </is>
      </c>
      <c r="J233">
        <f>HYPERLINK("https://www.weblio.jp/content/あやかる", "词义详情")</f>
        <v/>
      </c>
      <c r="K233">
        <f>HYPERLINK("https://yourei.jp/あやかる", "查看例句")</f>
        <v/>
      </c>
    </row>
    <row r="234">
      <c r="A234" t="inlineStr">
        <is>
          <t>怪しい</t>
        </is>
      </c>
      <c r="B234" t="inlineStr">
        <is>
          <t>成功</t>
        </is>
      </c>
      <c r="C234" t="inlineStr">
        <is>
          <t>読み方：あやしい
［形］［文］あや・し［シク］《感動詞「あや」の形容詞化》普通ではない事物、正体のはっきりしない事物に対する不可解な気持ちを表す。
１（「妖しい」とも書く）不思議な力がある。神秘的な感じがする。「—・い魅力」「宝石が—・く光る」
２不気味な感じがする。気味が悪い。「—・い鳴き声」
３
㋐行動や状況が不審である。疑わしい。「—・い男がうろつく」
㋑男女の間に、隠された関係があるらしいさま。「あの二人は近ごろ—・いね」
４よくないほうに変わりそうである。不安である。「雲行きが—・くなる」
５全面的には信用できない。疑う余地がある。「その説はちょっと—・い」「彼の英語は—・いものだ」
６事物の状態が普通でない。見慣れない。珍しい。
「—・しくおもしろき処どころ多かりけり」〈伊勢・八一〉
７普通と違って粗末である。見苦しい。
「あないみじや。いと—・しきさまを人や見つらむ」〈源・若紫〉
８礼儀にはずれていて不都合である。けしからぬ。見苦しい。
「遣戸をあらくたてあくるもいと—・し」〈枕・二八〉
９《貴族から見て、その状況が理解しにくいものというところから》身分が低い。いやしい。
「—・しき家の見所もなき梅の木などには」〈枕・四一〉
[派生]あやしがる［動ラ五］あやしげ［形動］あやしさ［名］
[用法]あやしい・うたがわしい——「怪しい」は、何であるか、どうであるかがはっきりせず、不気味であったり、信用できなかったりという、受け取り手の気持ちを表す。「疑わしい」は何らかの根拠があって、確かではない、疑わざるをえないという判断を示す。◇「明日は晴れるかどうか怪しい」は、はっきりしない空模様から、晴れるということに対して信用できない気持ちを表す。この場合、「疑わしい」といえば、現在の天候や天気図から、明日は晴れそうもないと判断したことになる。◇「怪しい人影」「雲行きが怪しい」などの「怪しい」は、「疑わしい」で置き換えることはできない。「疑わしきは罰せず」は「あやしき」で置き換えることができない。</t>
        </is>
      </c>
      <c r="D234" t="inlineStr">
        <is>
          <t>怪しいもの(8%)；怪しい者(4%)；怪しい男(3%)；怪しい人物；怪しいところ</t>
        </is>
      </c>
      <c r="E234" t="inlineStr">
        <is>
          <t>特別；不思議；妙；不明；奇妙</t>
        </is>
      </c>
      <c r="F234" t="inlineStr">
        <is>
          <t>どうか怪しい；どうも怪しい；怪しい物；怪しい人間；可怪しい</t>
        </is>
      </c>
      <c r="G234" t="inlineStr">
        <is>
          <t>怪しい少年少女博物館；怪しいい</t>
        </is>
      </c>
      <c r="H234" t="n">
        <v>29</v>
      </c>
      <c r="I234" t="inlineStr">
        <is>
          <t>どの著作物に出ていた言葉かと思いかえしはじめると怪しくなってくる。；だから本当に自分の意志で移動しているのかどうかは怪しかったのである。；怪しい声はその屋根から送られて来るものと、半七は鑑定したのである。；いずれにせよ少しでも怪しいと感じたら絶対に借りないことが第一である。；もっとも、その中には、前から態度の怪しかったものもあるにはあった。；住民の尽く逃亡したはずのこのあたりで、彼の存在がすでに怪しかった。；以前じゃ考えられないことだが、中さんも歳のせいで目が怪しくなってる。；怪しからぬことと思わないで、あの子の母親になってくれる気はないかね?；あの目の意味は、ただ怪しい男を見つけたというだけのものじゃなかった。；邵武の渓河の北に怪しい男が棲んでいて、夜になると河ばたに出て来た。；そう思ってみると、そもそも眠ったのかどうかさえ怪しくなってきた。；そしてそれを追いかけるように怪しい光が島の反対側に消えていった。；こう云う場合は大抵一番怪しくない奴が犯人とか云うことになるんだ。；第一の殺人では、はたして首が切断されるかどうかは怪しかったからね。；一杯飲んで怪しからぬ態をしてこうだああだと喋り出しては喧嘩になる。；更に進んで、小梅のおとわの家へもその怪しい姿を見せるようになった。；けれど二人は、この熱気のために気が可怪しくなったのではないのだ。；十数年経った今でも覚えている人間がいるかどうかは怪しかった。；どこからとも知れず、怪しい低い声が座敷の障子にむかって呼びかけた。；僕の腕にたよつて、楽に商売しようといふのは、怪しからん料見だらう。；おかげで警察はますますスペンロー氏を怪しく思うようになったのである。；なぜあの蠅だか知らないが、あれより外に怪しい材料が見当らないのだ!；あの女を家の中にまで引き入れるのは怪しからん、というのがその一つ。；聞くところによれば、造船業者との関係が随分怪しいと伝えられておる。；そんな嘘をつく以上は、姉の行動はいよいよ怪しいと、長三郎は思った。；彼はそのことを、恐ろしい怪しからぬ罪を思って、深い畏れをおぼえた。；怒った落葉が部屋に行くと、牧野の側には怪しい鳥カゴが置かれていた。；結局ブルーノが逮捕されたが、卿と大尉は怪しい人影を目撃していた。；処が今度は歌の文句ばかりで、唱ふべき必要の節が怪しくなつて居る。</t>
        </is>
      </c>
      <c r="J234">
        <f>HYPERLINK("https://www.weblio.jp/content/怪しい", "词义详情")</f>
        <v/>
      </c>
      <c r="K234">
        <f>HYPERLINK("https://yourei.jp/怪しい", "查看例句")</f>
        <v/>
      </c>
    </row>
    <row r="235">
      <c r="A235" t="inlineStr">
        <is>
          <t>怪しむ</t>
        </is>
      </c>
      <c r="B235" t="inlineStr">
        <is>
          <t>成功</t>
        </is>
      </c>
      <c r="C235" t="inlineStr">
        <is>
          <t>読み方：あやしむ
［動マ五（四）］《形容詞「あやし」の動詞化》変だと思う。疑わしく思う。いぶかる。「人に—・まれる」「成功するかどうか—・む」
［動マ下二］怪しいものと認める。とがめる。
「此の勢一所に集まらば、人に—・めらるべしとて」〈太平記・二四〉</t>
        </is>
      </c>
      <c r="D235" t="inlineStr">
        <is>
          <t>怪しむべき(11%)；怪しむべし；怪しむだろ；怪しむ様子もなく；怪しむなかれ</t>
        </is>
      </c>
      <c r="E235" t="inlineStr">
        <is>
          <t>思う；推測；疑う；推察；懐疑</t>
        </is>
      </c>
      <c r="F235" t="inlineStr">
        <is>
          <t>少しも怪しむ；毫も怪しむ；べつに怪しむ</t>
        </is>
      </c>
      <c r="H235" t="n">
        <v>29</v>
      </c>
      <c r="I235" t="inlineStr">
        <is>
          <t>でも屋根の上で何をしていたかをみずから怪しんで、家の中にはいった。；ときにそれは遊びであるかどうかを怪しみたくなるほどのものである。；それ以来、彼女は僕の所に来るまで全然さだ子を疑い怪しんでいたんだ。；彼はその厭な音をどうしてこう長く我慢できたかみずから怪しんでいた。；葉子は心ひそかに何をしているんだろうと自分の動作を怪しんでいた。；しかし、自分が怪しんでいることを見せちゃいけないのが彼らの芝居。；どちらもそれほど怪しむ様子もなくて立ち去ったのが不幸中の幸いだった。；しかしそのときは別になんとも怪しむ気にはならなかったのであった。；彼の経験と彼の死予言する神秘的な声との関連を怪しみながらも脱出した。；自分は呆然なす術を知らず、驚き怪しみ深く心打たれつつ見守って居た。；山木家の侍がふとそれを見つけ、怪しみながら花嫁の後をつけて行った。；暗殺計画の存在を怪しんでいたタウフィークは判決の承認を拒否した。；あまりにも二人目の子供を強く望むので、英幸は、その動機を怪しんだ。；怪しんでその束を解いてみると、緡になっている銭一万五千を発見した。；途中で人影がひとつ目の前にちらっと見えたが、彼は怪しみもしなかった。；自分の地位で女の一人ぐらい囲っても誰が怪しむわけでもあるまい。；別に怪しんでいるのではなく、男はいつでもこんな目で女を見ているのだろう。；これといって怪しむべき品もその活動の範囲を知るにたるものも身に帯びていない。；彼がややこしいといえば彼が怪しむに足るべきものだということになる。；いかにも自然なその言いぶりや挙動で、店員は別に怪しみもしなかった。；みんなが南を妙に怪しんでいる感じなのは、鮎川のせいではなかった。；篠原之を怪しみ、自ら行きて見んとすれど水に遮られて渡ることを得ず。；一体この男はどうしたのだ、気でも違ったのではないかと、怪しみさえした。；物理学は基礎科学の一つであるからその応用の広いのは怪しむに足らぬ。；四五週間も、誰一人スパルミエント大佐を怪しむものは無いのですから。；この山中で時ならぬ腹拵えは何のためだろうと怪しみ合うのであった。；事実そのせいで、すでに我々は彼を大いに怪しんでいるわけだしな。；わからないから、こっちはヤツを怪しんでも面と向かって非難はできない。；何事があったのだろう、とデイヴィッドは一同の様子を見て怪しんだ。</t>
        </is>
      </c>
      <c r="J235">
        <f>HYPERLINK("https://www.weblio.jp/content/怪しむ", "词义详情")</f>
        <v/>
      </c>
      <c r="K235">
        <f>HYPERLINK("https://yourei.jp/怪しむ", "查看例句")</f>
        <v/>
      </c>
    </row>
    <row r="236">
      <c r="A236" t="inlineStr">
        <is>
          <t>操る</t>
        </is>
      </c>
      <c r="B236" t="inlineStr">
        <is>
          <t>成功</t>
        </is>
      </c>
      <c r="C236" t="inlineStr">
        <is>
          <t>読み方：あやつる
［動ラ五（四）］
１物を動かして使う。操作する。「櫓(ろ)を—・る」「人形を—・る」
２うまく取り扱う。巧みに使いこなす。「楽器を—・る」「三か国語を—・る」
３意のままに人を動かす。特に、自分は陰にいてうまく人を利用する。「マスコミを—・る」「黒幕に—・られる」
[可能]あやつれる</t>
        </is>
      </c>
      <c r="D236" t="inlineStr">
        <is>
          <t>操る怪獣軍団；操る怪獣として登場；操る修羅神；操る者たち；操る魔書使い</t>
        </is>
      </c>
      <c r="E236" t="inlineStr">
        <is>
          <t>操作；扱う；手術；動かす；コントロール</t>
        </is>
      </c>
      <c r="H236" t="n">
        <v>29</v>
      </c>
      <c r="I236" t="inlineStr">
        <is>
          <t>唯一の武器まで操られてしまったら本当に手も足も出なくなってしまう。；結局悪いのは自分の能力ではなく、それを操っていた自分自身なのだと。；観客に見えないところで、見えない方法で人形を操っていたものですね。；大川が中心だと思われていたが、実際は裏で二子がチームを操っていた。；建物の前の道路に出ると、青のリグルに操られた例の警官が立っていた。；ただ自分が操っている機関銃のみが反抗の悲鳴を続けているのであった。；操られていた時の記憶が残っているから、何が起きたのかはわかっている。；昨日も言ったように、人が操らなくては船がここまで入っては来られない。；どこかの誰か、どこかのなにかに操られているだけの存在かもしれないさ。；物を何でもラジコンにして操縦機で操ることができることができる道具。；自分が自分ではなく、目に見えない糸に操られる人形になったようだった。；わしの娘は修道女だが、彼らの魔力に操られているような気もするのだ。；姉は人形を操る力が有るために、その力を借りて闇の世界を生きてきた。；支配された者は生きながら操られた末、脳をやられて死んでしまうのだ。；周囲の時間だけでなく、特定の物や人だけの時間を操ることもできる。；だが、神々が俺たちを必要としているからこそ、俺たちは操られるのだ。；操られているのは、果たして身体なのか心なのか、どちらなのでしょう?；何かの波動に操られたように動きまわり、突然渦をまいて走ったりした。；この頃にはジェファーソン郡の警察と政治家を操るほどの力を持っていた。；そうは言っても、この若者を巧く操れば、ずいぶんと役には立つだろう。；自分がよしとしない自分の気持ちなどに、操られるわけにはいかない。；端末を操った男性は問題ではないとわたしは言いましたが、撤回します。；しかし、死霊を操る程度という他の人にはない特殊な能力があったのだ。；武彦の玩具になって、いいように操られるのを見るのが耐えられないの。；誰の金であろうと、十年間それで操られていたことに違いはないと思った。；「思想を操って権力をほしいままにする一人の人物」なら倒せるだろう。；キャスターに操られた時点で、あいつは俺を厄介者と判断したんだろう。；シェラの手に操られた銀の糸は男の体を狙って生き物のように走った。；私の体は自分のものでありながら、私とは別のものに操られている。</t>
        </is>
      </c>
      <c r="J236">
        <f>HYPERLINK("https://www.weblio.jp/content/操る", "词义详情")</f>
        <v/>
      </c>
      <c r="K236">
        <f>HYPERLINK("https://yourei.jp/操る", "查看例句")</f>
        <v/>
      </c>
    </row>
    <row r="237">
      <c r="A237" t="inlineStr">
        <is>
          <t>危ぶむ</t>
        </is>
      </c>
      <c r="B237" t="inlineStr">
        <is>
          <t>成功</t>
        </is>
      </c>
      <c r="C237" t="inlineStr">
        <is>
          <t>読み方：あやぶむ
［動マ五（四）］事の成り行きが、悪い結果になるのではないかと不安に思う。あぶないと思う。「交渉の成立を—・む」「卒業が—・まれる」
［動マ下二］あやうくする。苦しめる。
「国家を既に—・めんとす」〈平家・七〉</t>
        </is>
      </c>
      <c r="D237" t="inlineStr">
        <is>
          <t>心配；懸念；恐れる；心配する；危惧</t>
        </is>
      </c>
      <c r="H237" t="n">
        <v>29</v>
      </c>
      <c r="I237" t="inlineStr">
        <is>
          <t>僕はいつもこんなようなことが起こるんではないかと危ぶんでいたんです。；私はあなたがそこに気がおつきになるかどうかと、危ぶんでおりました。；ドイツの戦いは、私たちの思う以上に困難なのではないか、危ぶまれる。；それからして、彼がもどってくるのを危ぶんでいたのが明らかだった。；これは始めから危ぶまれていたことであったが、相手に通じなかった。；今度はもう階段で誰かに会いはしないかなどという危ぶみはなかった。；この分では、清浄寺に着くのはいつになるだろうと、わたしは危ぶんだ。；生まれた当初は体も小さく、競走馬になれるのかすらも危ぶまれていた。；神様は信仰を集める事に努力しないと、存在すら危ぶまれてしまうのだ。；返事をもらう事ができるかどうかと危ぶんでいる間もないほどに早く返事が来た。；チームは神戸での開催が危ぶまれたが、開催が決定することになった。；地方には利用者数が減少して経営が危ぶまれている路線も存在する。；医師もその頃はもう大丈夫と云っていたし、誰ひとり危ぶむ者はなかった。；さりげなく抗議を含ませた発言に、フォルニーアの反応を危ぶんだのだ。；自分が危ぶんでいたとおり事態がいよいよ悪化して来たと考えるよりほかはなかった。；この人は病気なのだろうか、それとも二日酔いなのか、川井は危ぶんだ。；生命すら危ぶまれていた状態からの復活振りに衝撃が走った。；失われていく男性としての自分を危ぶむ気持ちすら生まれてこない。；お嬢さん、多くの女性が幸せを危ぶみながらイーヴォス一族と結婚した。；子を亡くし自身も生死の危ぶまれる妻に、それだけは知られてはならない。；雅子は弥生がこれからの困難を乗り切れるのかどうかを真剣に危ぶんだ。；マグシミーノ様はいわゆる土用熱にかかって命も危ぶまれております。；周辺地区の近代化に伴って、この一帯の景観も存続が危ぶまれている。；同町議会は合併推進の立場で町長と対立し、一時は新市の誕生が危ぶまれた。；つまり、御奉行様は天一坊の性質をお危ぶみになったのでございます。；安吉が、今日は商いをしめましたとちゃんと言えるかどうか危ぶんでいた。；彼はいまになって、名前の選択が状況からいって賢明だったかどうかと危ぶんだ。；この分では当夜どれだけの働きが出来るか危ぶまれるのである。；一時は野球生命まで危ぶまれたものの半年後に復帰した。</t>
        </is>
      </c>
      <c r="J237">
        <f>HYPERLINK("https://www.weblio.jp/content/危ぶむ", "词义详情")</f>
        <v/>
      </c>
      <c r="K237">
        <f>HYPERLINK("https://yourei.jp/危ぶむ", "查看例句")</f>
        <v/>
      </c>
    </row>
    <row r="238">
      <c r="A238" t="inlineStr">
        <is>
          <t>あやふや</t>
        </is>
      </c>
      <c r="B238" t="inlineStr">
        <is>
          <t>成功</t>
        </is>
      </c>
      <c r="C238" t="inlineStr">
        <is>
          <t>［形動］［文］［ナリ］物事がはっきりしないさま。あてにならないさま。曖昧(あいまい)。不確か。「—な返事」「—な気持ち」
→曖昧［用法］</t>
        </is>
      </c>
      <c r="D238" t="inlineStr">
        <is>
          <t>あやふやなもの(8%)；あやふやな記憶；あやふやな気持；あやふやなまま；あやふやな情報</t>
        </is>
      </c>
      <c r="E238" t="inlineStr">
        <is>
          <t>不明；かすか；曖昧；怪しい；微か</t>
        </is>
      </c>
      <c r="H238" t="n">
        <v>29</v>
      </c>
      <c r="I238" t="inlineStr">
        <is>
          <t>そしてこのあやふやな状態のために、彼は憔悴し切っているようだった。；あやふやなさういふ関係を何時までも続けて行くつもりはなかつたんだらう。；そんなあやふやな根拠で、刑事さんは私に殺人の疑いをかけるんですか?；しかし、それも今となっては夢のようなあやふやな記憶になっている。；そんなあやふやな気持で私はどちらかといえば無感動でさえあった。；本当に引っかけたのならそれもいいけれど、そこがあやふやだから困る。；世界のあやふやさに怯えているくせに、どこかで甘えてしまってもいる。；身体が出来るかはあやふややだと訴えても、心がそれをはね除けるから。；態度のあやふやな同盟国、プロイセンとオーストリアはどう動くだろう?；そんなあやふやな家の中で、仕方なく冬休みの宿題を広げたりするのだ。；いや、彼女には自分が式であったか織であったかさえあやふやだろう。；いや聞くばかりでなく、あやふやなところがあったら助言してくれたまえ。；本当に堂本が台湾へ行ったのかどうか、それさえあやふやなんだから。；初めはあやふやな調子だったが、やがてもっと自然な調子になった。；人間の記憶がいかにあやふやなものであるかはよく知っている。；ある時のそれは、あったかなかったかすらはっきりしないあやふやな幻想。；すべてが遠く、まるで他人の夢を覗いているようなあやふやさだった。；山崎君のフワフワとしたあやふやな優しさを私は心から愛していました。；あやふやだったものが明確な形になったような安心感がある。；あやふやだった未来が具体性と希望を帯びたことに、真は笑った。；しかし一人が倒れ意識を失った瞬間にその関係は突然あやふやなものになってしまうのだ。；道路と木の柱の列は、文明と未開とを結ぶあやふやな線のように思われてくる。；今回は、前の時とは違って、自分の身体そのものの知覚もあやふやだった。；どうでもいい逃れられるような、あやふやなことをいっておけばいいのだからね。；医者にも行ったが、残暑バテではないかとあやふやに言われるだけだった。；あやふやな表現を使わざるを得ないのは、夢の内容をはっきりと覚えてないからだ。；当初はあやふやだったインターネットの歩き方も、かなり板についてきた。；問題は、父の死後急に職業継続への意欲があやふやになっていったことだった。；わたしだって絵は好きな方だが、知識の方はきわめてあやふやだ。</t>
        </is>
      </c>
      <c r="J238">
        <f>HYPERLINK("https://www.weblio.jp/content/あやふや", "词义详情")</f>
        <v/>
      </c>
      <c r="K238">
        <f>HYPERLINK("https://yourei.jp/あやふや", "查看例句")</f>
        <v/>
      </c>
    </row>
    <row r="239">
      <c r="A239" t="inlineStr">
        <is>
          <t>過ち</t>
        </is>
      </c>
      <c r="B239" t="inlineStr">
        <is>
          <t>成功</t>
        </is>
      </c>
      <c r="C239" t="inlineStr">
        <is>
          <t>読み方：あやまち
１まちがい。失敗。「—を恐れず試みる」
２犯してしまった罪。過失。「—を償う」
３男女間の不倫。不義。
４けが。負傷。
「—すな。心して降(お)りよ」〈徒然・一〇九〉</t>
        </is>
      </c>
      <c r="D239" t="inlineStr">
        <is>
          <t>過ちを深く；過ち得る；過ち火；過ちをくりかえさ；過ちなき</t>
        </is>
      </c>
      <c r="E239" t="inlineStr">
        <is>
          <t>失敗；非；罪；間違い；ミス</t>
        </is>
      </c>
      <c r="F239" t="inlineStr">
        <is>
          <t>大きな過ち；重大な過ち；致命的な過ち；とんでもない過ち</t>
        </is>
      </c>
      <c r="H239" t="n">
        <v>29</v>
      </c>
      <c r="I239" t="inlineStr">
        <is>
          <t>そしてその過ちは形を変えてゆくだけで決して消えてゆくものではない。；そしてあなたの過ちは、もう修正不可能なところまで来てしまっている。；娘であるというなら、あなたがたの過ちの娘であると言うべきでしょう。；この路ばかりは、どんな先輩にも過ちのないとは言えないことであった。；人間誰だって、自分の過ちを見せられたら目を背けるしかないんだから。；彼らは自分たちの過ちは古くなっただけそれだけ小さくなったと主張するのか。；ご承知のように、ぼくのすべての過ちの原因となったのは、恋なんです。；人間をそのような過ちの多い性質に生みつけたのは神々自身ではないか。；その子孫が先の過ちを悔いて神社の木を抜いて家に殖やし、祭っていた。；そこで彼が目にしたのは、昔の過ちを悔いて酒を断っている父の姿だった。；私の過ちは、町というものを積み木細工か何かのように考えていたこと。；多くの若い結婚志願者が犯している過ちはここにあるような気がする。；中心的な考えである自分の過ちを認めることと改善を誓約する意味、文化。；あなた方は過ちを犯しましたが、あなた方はいつまでもあたしの子供です。；初めのころは、不慣れゆえの過ちも、いくつか犯したような気がします。；また、両親の価値観の多くを否定し、異人種間結婚を過ちと考えていた。；どうして自分の犯していない過ちを恐れなければならないのですか?；きみは今までに自分の過ちを素直に反省する殷雷君を見たことがあるかね!；私の過ちを正した折檻だったのなら、何もお隠しになることはないのです。；いくら痛い目にあっても、半年もすれば忘れさって再び同じ過ちを犯す。；あれはみんな過ちで、アンにはなにもわる気がなかったと言ったんだがね。；人若し過ちて此門に入るときは、多くは再びこれを出づることを得ず。；今後は同じ過ちを繰り返さないようにしっかりと勉強していきたいと思います。；その過ちを少しでも償うことができるなら、いかなる助けも惜しまない。；その際に将軍実朝は「重忠本より過ちなくして誅を被る」と述べている。；フランクは彼女と出会ったことを「我が人生最大の過ち」と称している。；まだ十年しか生きていない女の子が、自分の過ちと必死で闘っているんだ。；こういう美しい瞬間のためには、かなり多くの過ちも許してやっていいわけだよ。；また私がそもそもいかなる過ちをしでかしたのでございましょうか。</t>
        </is>
      </c>
      <c r="J239">
        <f>HYPERLINK("https://www.weblio.jp/content/過ち", "词义详情")</f>
        <v/>
      </c>
      <c r="K239">
        <f>HYPERLINK("https://yourei.jp/過ち", "查看例句")</f>
        <v/>
      </c>
    </row>
    <row r="240">
      <c r="A240" t="inlineStr">
        <is>
          <t>誤り</t>
        </is>
      </c>
      <c r="B240" t="inlineStr">
        <is>
          <t>成功</t>
        </is>
      </c>
      <c r="C240" t="inlineStr">
        <is>
          <t>読み方：あやまり
１正しくないこと。まちがい。「記憶の—」「—を正す」
２やりそこない。失敗。失策。「計算の—」「書き—」
３正しくない行為。まちがった行為。特に、男女間の不倫。
「いささかの事の—もあらば、軽々(かろがろ)しきそしりをや負はむ」〈源・梅枝〉
４心が異常な状態になること。
「御心地の—にこそはありけれ」〈源・蜻蛉〉</t>
        </is>
      </c>
      <c r="D240" t="inlineStr">
        <is>
          <t>誤りである(18%)；誤りであり(2%)；誤りであろ；誤り率；誤りうる</t>
        </is>
      </c>
      <c r="E240" t="inlineStr">
        <is>
          <t>失敗；非；罪；間違い；障害</t>
        </is>
      </c>
      <c r="F240" t="inlineStr">
        <is>
          <t>重大な誤り；完全な誤り；致命的な誤り；とんでもない誤り；根本的な誤り</t>
        </is>
      </c>
      <c r="G240" t="inlineStr">
        <is>
          <t>誤り訂正；誤り訂正符号；誤り検出符号；誤り補正；誤り検出訂正符号</t>
        </is>
      </c>
      <c r="H240" t="n">
        <v>29</v>
      </c>
      <c r="I240" t="inlineStr">
        <is>
          <t>もちろんこの理論は全くの誤りであり、現在これを評価する者はいない。；後者が内容的に誤りであることは番組制作の頃までには知られていた。；日本では北極圏最大の都市との記述が散見されるが、これは誤りである。；情報が不足しているため、兵器種の同定には誤りがあることも少なくない。；二重三角十二面体と呼ばれることもあるが、誤りであるとされている。；その部分については誤りが多かったため、その後多くの部分が修正された。；こういった背景もあり、一般向けの文書には明らかに誤りを含んだ解説がある。；これを、違う目的に到達できる別々の道がある、と考えるのは誤りなのだ。；両方とも誤りで、本人の記憶違いにより記録されてしまったと推測している。；よく誤解されているが、漢方薬なら副作用がないというのは誤りである。；これは誤りであるが、陰毛に性的な意味を持たせた初期の例と言える。；よって個人名が副名であるかのように解されることがあるが、誤りである。；しかしその後、タイの証言にいくつか誤りがあることが判明した。；線の形がダイヤに見えるからダイヤと呼ばれているという説は誤りである。；揚力の発生について以下のような説明がされることがあるが、誤りである。；JASRAC作品コードも別番号が存在するが、いずれも誤りである。；なお、正答がない問題が存在するなど、問題に誤りがある場合が多かった。；なお、日本では「ヘッテ」と表記する場合があるが、これは誤りである。；訳語に誤りがある場合は、より正確な記事名へ持っていきましょう。；自由とは、真理と善徳のためであって、誤りや悪のためにあるのではない。；これに対しては主に二つの観点から誤りを指摘することが出来る。；まあ、それは別にしても、あなたのお話には二、三誤リがあったようです。；ただし内容としては誤りが多く、現在では偽書であると見られている。；王も人間であり、誤りやすい存在であることが認識され、批判の対象にもなった。；翻訳の誤りを修正するより正確な記事名とは意図を異にします。；私はその人たちの診断にはアヤマリがなかったのだと考えている。；一部書籍などには墓所を山川の玉陵としているものもあるが、それは誤り。；この時の誤りは後述の誤り訂正の仕組みでかなりの程度までは訂正される。；これは、現実の経済からすると一見誤りであるように思われる。</t>
        </is>
      </c>
      <c r="J240">
        <f>HYPERLINK("https://www.weblio.jp/content/誤り", "词义详情")</f>
        <v/>
      </c>
      <c r="K240">
        <f>HYPERLINK("https://yourei.jp/誤り", "查看例句")</f>
        <v/>
      </c>
    </row>
    <row r="241">
      <c r="A241" t="inlineStr">
        <is>
          <t>誤る</t>
        </is>
      </c>
      <c r="B241" t="inlineStr">
        <is>
          <t>成功</t>
        </is>
      </c>
      <c r="C241" t="inlineStr">
        <is>
          <t>読み方：あやまる
［動ラ五（四）］
１やりそこなう。失敗する。「機械の操作を—・る」
２まちがった判断や予測をする。思いちがいをする。「進むべき道を—・る」
３正しくない方向に導く。「後人を—・るような言動」
４道理や正しい判断からはずれる。当を得ない。まちがう。「—・った認識」「—・れる優越感」
５約束を破る。
「契れること—・れる人に」〈伊勢・一二二〉
６正気でなくなる。心が乱れる。
「心弱からむ人は、—・りぬべき心地して胸走る」〈栄花・初花〉
→間違える［用法］</t>
        </is>
      </c>
      <c r="D241" t="inlineStr">
        <is>
          <t>誤ることなく；誤る可能性；誤るべく；誤るとゲームオーバー；誤るまい</t>
        </is>
      </c>
      <c r="E241" t="inlineStr">
        <is>
          <t>失敗；挫折；失策；間違える；間違う</t>
        </is>
      </c>
      <c r="F241" t="inlineStr">
        <is>
          <t>踏み誤る；思い誤る</t>
        </is>
      </c>
      <c r="H241" t="n">
        <v>29</v>
      </c>
      <c r="I241" t="inlineStr">
        <is>
          <t>後の場合の性格は誤られたる従って性格でない処の性格であるであろう。；しかしそうして選ばれた112番も上記の理由で誤接続が頻繁に起きた。；予備知識がもう十二分に出来ているから、誰もそれを見誤るものはない。；組織の固定法を誤ると本来とは異なる結果を示してしまう場合が多い。；運転係がブレーキのタイミングを誤ったのが事故の原因と見られている。；規格では正しいではなく、誤ってと呼ばれていたが、由来は不明である。；多くの厭世観はそれが厭世観であるゆえのみに誤れるものといってよい。；一歩誤れば、平軍の中へ、わざわざ、身を捨てに入るようなものである。；これが彼らの特長なると同時に、方向を誤ることもまたこれより起こる。；今日ある本でも、どうかすると編次の誤まつてゐるらしいものがある。；この付属肢の由来は議論的で、消化管の枝と誤解釈される経緯もあった。；作者がこの少年を決して否定していないことを、見誤らないでほしい。；虫が混入した食物も、虫を誤って食べるおそれがあるために避けられる。；これを知らない外国人などがよく魔誤ついているのを見かけたものだ。；ことによると、彼らが計算を誤る危険はほんの少し大きいかもしれないが。；穂の形はオヒシバに非常によく似ており、慣れないと見誤ることがある。；「工事担当者」と誤って記載等されることがあるので注意が必要である。；私は君が目前の利にとらわれて判断を誤るのではないか、と思ったのだ。；今の青年男女はこの恋愛のために身を誤るもの幾人だか知れない。；王といえども本性は人、資質はともかく決して道を誤らぬわけではない。；多くの本が誤ってバーラーを発明者としているが、これは間違いである。；ネコ草の近くに観葉植物を置いておくと誤食してしまう可能性がある。；この不安の由来する源泉は一度も見誤られたことはないようである。；一歩を誤れば羅馬の末路のようになるかも知れぬと思われるのである。；しかし僕はあの人は道を誤られたんじゃないかと思うのですよ。；これが第二攻撃具申と誤って伝わったのではないかという意見もある。；これは両者の電気ケーブルが誤って配線されていたことが原因だった。；このほかビニールなどゴミの誤食などによっても生息数は減少している。；よく、汚れた雪男と誤称され、背の高い白い毛皮の動物とされてしまう。</t>
        </is>
      </c>
      <c r="J241">
        <f>HYPERLINK("https://www.weblio.jp/content/誤る", "词义详情")</f>
        <v/>
      </c>
      <c r="K241">
        <f>HYPERLINK("https://yourei.jp/誤る", "查看例句")</f>
        <v/>
      </c>
    </row>
    <row r="242">
      <c r="A242" t="inlineStr">
        <is>
          <t>謝る</t>
        </is>
      </c>
      <c r="B242" t="inlineStr">
        <is>
          <t>成功</t>
        </is>
      </c>
      <c r="C242" t="inlineStr">
        <is>
          <t>読み方：あやまる
［動ラ五（四）］《「誤る」と同語源》
１悪かったと思って相手に許しを願う。わびる。「すなおに—・りなさい」
２困る。閉口する。まいる。「あいつの押しの強さには—・る」
３困って断る。辞退する。「めんどうなことは—・るよ」
[可能]あやまれる
[用法]あやまる・わびる——「心から謝る（わびる）」「頭を下げて謝る（わびる）」などの場合には相通じて用いられる。◇「謝る」は、「謝ってすむ問題ではない」「平謝りに謝る」のように、率直に許しをこうときなど、日常の口語として多く用いられる。◇「わびる」は、「非礼をわびる」「過ちをわびる」のように、自分の困惑の情を表す意が強く、改まった言い方。重大な過失の許しを得る場合や、文章語として用いられる。◇「御無沙汰をおわび申し上げます」の「おわび」を「お謝り」には換えられず、「ごめん、ごめん、謝るよ」の「謝る」は、「わびる」に置き換えられない。</t>
        </is>
      </c>
      <c r="D242" t="inlineStr">
        <is>
          <t>謝るべき(4%)；謝るんです</t>
        </is>
      </c>
      <c r="E242" t="inlineStr">
        <is>
          <t>謝罪；謝罪する；詫びる；陳謝；謝する</t>
        </is>
      </c>
      <c r="F242" t="inlineStr">
        <is>
          <t>泣いて謝る；すぐに謝る；謝るしかない；たら謝る；どうして謝る</t>
        </is>
      </c>
      <c r="H242" t="n">
        <v>29</v>
      </c>
      <c r="I242" t="inlineStr">
        <is>
          <t>こんな謝られ方して納得する者がいるんだろうかと思うぐらい空々しい。；本当にたくさんあったけど、改めて謝られるようなことは何もなかった。；私は村越が喧嘩のことで謝りに訪ねてきたと思って飛び起きたのだった。；相手が見えないとはいえ、悪くもないのに謝るのは、いい気分ではない。；謝るべきことは確かにあるが、許してもらおうとも思っておらんからな。；目の前に由美子がいるような気がして、僕は何度も何度も、謝っていた。；駅を見に行こうと言い出したのは僕だから、謝らなくてもいいですよ。；ママは絶対にわたしに謝ったりしなかったから、わたしはびっくりした。；唯あの人の目の前で謝りさへ為たら、それで私は本望なのでございます。；しかし注意がなされることはなく、加害者が謝りに来ることもなかった。；まさか、突然ジャスティーンが謝ってくるとは思ってもみなかったのだ。；のちに彼は婚家の主に、酔いがすぎてしまったことのみを謝ったという。；「あんたが謝ることじゃない」 二人は無言でエレベーターに向かった。；そう、どうあれ少なくとも昨日の一件については謝らなくてはならない。；もし彼女が怒っているのなら、ちゃんと謝りたいと思っているんですけど。；私はごめんなさいと謝り、どうか本当のことを教えてくださいと頼んだ。；謝るにしても、笑うにしても、そいつは命がなくちゃできない事なのよな。；私は自分の無礼は謝りませんし、あなたの将来についても心配しません。；何が悪かったんだか見当もつかないが、今すぐにでも謝ってしまいたい。；また父の病を悪化させてはと、その為に、謝っているとしか思えない。；マモリさまがやったことをトーコに謝られても、こっちも困るんだよな。；謝らずにいられないから言ったのならよかったのにと思わずにはいられなかった。；あなた方には謝らなければならないようなことは何もありません。；俺の父親がこの光景を目にしたら、『済まん』と謝ってくれるだろうか。；園長はんには私からも謝ってあげるよって、何かほかのもんにしていな。；もし違う滞在客が顔を出したら、部屋を間違ったといって謝ればいいのだ。；結局のところ、ユウリが謝る機会は永遠に失われてしまうことになった。；謝ろうと決心してママの寝室の前に立つと、ドアの隙間から強烈な光が。；あちこちに謝って回っているうちに、身体中が熱くなり涙が出てきた。</t>
        </is>
      </c>
      <c r="J242">
        <f>HYPERLINK("https://www.weblio.jp/content/謝る", "词义详情")</f>
        <v/>
      </c>
      <c r="K242">
        <f>HYPERLINK("https://yourei.jp/謝る", "查看例句")</f>
        <v/>
      </c>
    </row>
    <row r="243">
      <c r="A243" t="inlineStr">
        <is>
          <t>歩み</t>
        </is>
      </c>
      <c r="B243" t="inlineStr">
        <is>
          <t>成功</t>
        </is>
      </c>
      <c r="C243" t="inlineStr">
        <is>
          <t>読み方：あゆみ
１あるくこと。歩行。「—を止める」「牛の—」
２歩く調子。歩調。「—をそろえる」「—を速める」
３物事の進行、または進歩発達の過程。推移。沿革。歴史。「近代日本の—」
４等間隔で並んでいる物のおのおのの中心間の距離。例えば、ねじの山と山との距離など。
５和船で艪(ろ)をこぐ所。また、和船の上部構造の部材で、帆柱の受材の所から船尾にかけて渡す2本の並行材。
６「歩み板2」に同じ。</t>
        </is>
      </c>
      <c r="D243" t="inlineStr">
        <is>
          <t>歩み始め(5%)；歩み出し(4%)；歩みはじめ；歩み去る；歩み出す</t>
        </is>
      </c>
      <c r="E243" t="inlineStr">
        <is>
          <t>歩き；歩；速度；スピード；散歩</t>
        </is>
      </c>
      <c r="F243" t="inlineStr">
        <is>
          <t>歩み行く；ゆっくりと歩み；歩みたい；向って歩み；歩み去り</t>
        </is>
      </c>
      <c r="G243" t="inlineStr">
        <is>
          <t>歩み寄る；歩みより；歩みよる；歩み板；歩み寄ろ</t>
        </is>
      </c>
      <c r="H243" t="n">
        <v>29</v>
      </c>
      <c r="I243" t="inlineStr">
        <is>
          <t>なぜなら、私が俳優の道を歩み始めたとき、そんな状況はなかったから。；三つに別れた大陸は、それぞれ独自の国家を形成し再建の道を歩み始める。；古代文字資料が出現してからのちの文字学の歩みを記したものである。；バレンシアはスペインの残りとの統合のゆっくりとした過程を歩み始めた。；応用の場面に応じて、歩み は変数と見ることも定数と見ることもある。；陸の民と水の民は少しずつ和解への道を歩み出し、遺跡船に平穏が戻る。；現役引退後も神戸製鋼に残り、監督となって指導者への道を歩み始めた。；煙草を吸いにゆく旨を仕事仲間らに伝え歩み去った直後のことであったという。；そこで貫之が馬を引き立てると、不思議なことに前のごとく歩みだした。；このような背景理由から、欧州委員会は改革に向けて慎重に歩みを進めた。；カナダが他の世界と歩みをともに開始したのは、地域によって異なる。；芸術愛好家の伯爵家に行儀見習いに行ったのが縁で女優の道を歩み始めた。；同時期結成されたアフリカ民主連合には加盟せず、独自路線を歩み続けた。；二人はまだお互いを気に掛けていたが、専門家として異なる道を歩み始めた。；しかし、彼女は表情をかたくしたまま一瞥もせず彼の前を歩み去って行く。；そんななか、第9戦オーストリアGPでその歩みに待ったをかけられた。；卒業後はそれぞれの道を歩み、世界に少しずつ変革をもたらしていく。；サンディの歴史の歩みを決定付けるには鉄道も大きな役割を果たした。；早くから軍人の道を歩み、23歳のときには騎兵連隊の大佐に昇進した。；そのため2人は男から女、女から男への生活を歩み始める事となる。；山口新聞社を設立し、山口県全県エリアの県紙を目指して歩みはじめる。；引退後は指導者としての道を歩み、引退翌年にはベティスの監督に就任。；しかし、犬を扱う技術の欠如が間もなく明らかとなり、歩みは鈍かった。；牛の歩みのようにゆっくりと移動することからこの呼び名がある。；生から死への移行が、単に人生のひとつの歩みだと理解できる。；主に技術畑を歩み、軍事分野や宇宙開発分野で豊富なキャリアを積んだ。；その後は、西ドイツに留学してサッカー指導者への道を歩み始めた。；テッサリアが独立の一地方としての歴史を歩み始めたのも彼の時代からである。；ほとんどの村で再建が始まったが、多くの村ではその歩みはゆっくりとしたものであった。</t>
        </is>
      </c>
      <c r="J243">
        <f>HYPERLINK("https://www.weblio.jp/content/歩み", "词义详情")</f>
        <v/>
      </c>
      <c r="K243">
        <f>HYPERLINK("https://yourei.jp/歩み", "查看例句")</f>
        <v/>
      </c>
    </row>
    <row r="244">
      <c r="A244" t="inlineStr">
        <is>
          <t>歩む</t>
        </is>
      </c>
      <c r="B244" t="inlineStr">
        <is>
          <t>成功</t>
        </is>
      </c>
      <c r="C244" t="inlineStr">
        <is>
          <t>読み方：あゆむ
［動マ五（四）］
１足を交互に動かして前に行く。歩を運ぶ。歩く。「野道を—・む」
２月日を経る。人生を送る。「いばらの道を—・む」
３物事が進行する。進展する。「破局に向かって—・む」
４出かける。行く。
「ありくべき事あれば、みづから—・む」〈方丈記〉
[可能]あゆめる</t>
        </is>
      </c>
      <c r="D244" t="inlineStr">
        <is>
          <t>歩むべき；歩むべく；歩む道；歩むべし；歩む黒い</t>
        </is>
      </c>
      <c r="E244" t="inlineStr">
        <is>
          <t>進む；進行；歩く；前進；過ごす</t>
        </is>
      </c>
      <c r="F244" t="inlineStr">
        <is>
          <t>ゆっくりと歩む；向かって歩む；向って歩む；長く歩む</t>
        </is>
      </c>
      <c r="H244" t="n">
        <v>29</v>
      </c>
      <c r="I244" t="inlineStr">
        <is>
          <t>更にはその布を生産する機械を生産する機械も基本型の発展形態を歩む。；実家の寺を継がないことで家族の反対にあったが俳優になる道を歩んだ。；もし大切にしたら、お互いにもっと別の人生を歩んでいたかと思います。；一足歩むにも何か自分を支えてくれるものがなくてはならぬ女であった。；あるいは也一も自分と同じ道を歩まねばならない宿命なのかもしれない。；父達と似た関係をもつ二人の息子達は、いかなる道を歩んでいくのだろう。；これまで自分が歩んで来た道からも、遠く離れてしまったような気がする。；これが本格的に歌手としての道を歩むきっかけのひとつになったという。；今まで一度も失敗して来なかったし、これからも成功以外の道は歩まない。；彼はいつも私に、そうした路を歩まないようにと説得の手紙をくれました。；偶然出会った対照的な二人の青年が、別々の道を歩んでいくさまを描く。；妻や娘がいなければ、別の人生を歩んでいれば、などと考えたりはしない。；神と偕に歩んだイエスの生涯そのものが、神の存在の最大の証明である。；誰がここ数百年の間、それへ突きあたるまでの難路を歩んだでしょうか。；これだけを見ればレイニーは幸せな人生を歩んでいるようにも思える。；偽りの信仰の闇はすぐに消え、神々がふたたび人間のなかを歩むからな。；奴だけはずっと俺と同じ道を歩んでくれるものと思っていたのだ。；「俺のは俺が持つ」素気なく私はそう言い、あとは黙って路を歩んだ。；その後彼がいかにして犯罪者の道を歩むことになったのか語られてはいない。；歩むことを知るというには歩まずとも済むという可能性が含まれている。；歩むことを知るというには歩まずとも済むという可能性が含まれている。；ヘトヘトの人生を歩んでいた俺に、はじめて優しくしてくれた女だった。；そこを歩むときは闇そのものが肌にまとわりつくような感覚があった。；清い心をもってその路を歩めば、人を幸せにできるのだと信じていた。；かつて浣腸をされたことで女優の道を歩んだ人間がいたであろうか!；そして解決のために警察を裏切り、彼女と共に歩むかの選択を迫られる。；宇宙では風の上を歩んでおり、地球でも限られた地域で行動できる。；氏が既存の文壇文学になじめずに独自の道を歩まれたのは当然である。；後に台湾、香港などの海外にも進出するなど、新たな道を歩んでいる。</t>
        </is>
      </c>
      <c r="J244">
        <f>HYPERLINK("https://www.weblio.jp/content/歩む", "词义详情")</f>
        <v/>
      </c>
      <c r="K244">
        <f>HYPERLINK("https://yourei.jp/歩む", "查看例句")</f>
        <v/>
      </c>
    </row>
    <row r="245">
      <c r="A245" t="inlineStr">
        <is>
          <t>あら</t>
        </is>
      </c>
      <c r="B245" t="inlineStr">
        <is>
          <t>成功</t>
        </is>
      </c>
      <c r="C245" t="inlineStr">
        <is>
          <t>読み方：あら
１スズキ科の海水魚。全長約1メートル。体色は紫がかった灰色。北海道以南の日本各地、および中国・フィリピンのやや深海にすむ。冬に美味。おきすずき。
２海水魚ハタの別名。</t>
        </is>
      </c>
      <c r="D245" t="inlineStr">
        <is>
          <t>あらざる(4%)；あらねばなら(2%)；あらはれ(2%)；あらざれ；あらへん</t>
        </is>
      </c>
      <c r="E245" t="inlineStr">
        <is>
          <t>まあ；欠点；荒；粗；難点</t>
        </is>
      </c>
      <c r="F245" t="inlineStr">
        <is>
          <t>隙あら；ずんばあら；利あら；遑あら；あらまほしき</t>
        </is>
      </c>
      <c r="G245" t="inlineStr">
        <is>
          <t>あらわれ；あらう；あらかじめ；あらためて；あらわし</t>
        </is>
      </c>
      <c r="H245" t="n">
        <v>29</v>
      </c>
      <c r="I245" t="inlineStr">
        <is>
          <t>しかし食色にも倦いた所を見ると、次第に動物力を失つてゐるであらう。；この後も再び君の御大事あらん時は、一番に先駆けをしなければならない。；私の現在が、私の過去であり、同時に未来であらせようとするものだ。；次の詩は決して僕の言葉の誇張でないことを明らかにするであらう。；私にはどうしてもそうあらねばならぬ当然な心持ちにすぎないと思っている。；我々は大勢のクリストたちの中にもかう云ふ事実を発見するであらう。；從つて自分の思想生活の態度も亦痛烈にして勇猛なものとなるであらう。；あらゆる芸術は形を変へても、必ずそのうちから生まれるであらう。；よりよく理解する以上は運命に対してより従順であらねばならぬ筈だ。；當時われはその無禮を怒りしが、今思ふに此言は幾分の理なきにあらず。；それは事実上あり得ない世界を読者の為に広げて見せるからであらう。；道具かたはそれの道具を調へんは、我座の力の及ぶところにあらずといふ。；彼等の墓も寺と一しよに定めし同じ土地に移転してゐるであらう。；そこで市民たちはカミッルスにあらぬ罪状をかけて追放しようとした。；我々は我々の一生の中にいつかクリストと一しよにゐるであらう。；我々は恐らくこの両手の前に不快を感じずにはゐられないであらう。；人が人自身を言い現わすのは一番容易なことであらねばならぬ。；今を以て見れば三百貫目の銀にてあらざれば造らるべからずと人言へり。；君は自然の美しいのを愛し、しかも自殺しようとする僕の矛盾を笑ふであらう。；しかし周囲からあらぬ疑いをかけられることを避ける手立てはなかったのである。；もしこれに向かって権力を適用する者あらば、国家は則ち国家ならず。；こんな処を照子が見たら、どんなに一しよに泣いてくれるであらう。；しかし、多くの批評家は、まだキリストの扱いに関するあら探しをした。；まことにこの媼が我におくるべきものは、この外にはあらぬなるべし。；固より彼等はその無鐵砲によつて種々の外部的葛藤に遭逢するであらう。；本症に罹患した児が生まれるためには両方の親が保因者であらねばならない。；他の家にあって後れをとる武士があらば、我が方に来て仕えるがよい。；されど君もまだ歳若ければ、此の如き大家を非難すべきにあらざるべし。；のみならず人間の中なる自然も、人間の中なる人間に愛憐を有するものにあらず。</t>
        </is>
      </c>
      <c r="J245">
        <f>HYPERLINK("https://www.weblio.jp/content/あら", "词义详情")</f>
        <v/>
      </c>
      <c r="K245">
        <f>HYPERLINK("https://yourei.jp/あら", "查看例句")</f>
        <v/>
      </c>
    </row>
    <row r="246">
      <c r="A246" t="inlineStr">
        <is>
          <t>粗い</t>
        </is>
      </c>
      <c r="B246" t="inlineStr">
        <is>
          <t>成功</t>
        </is>
      </c>
      <c r="C246" t="inlineStr">
        <is>
          <t>読み方：あらい
［形］［文］あら・し［ク］《「荒い」と同語源》
１すきまが大きい。また、粒が大きくざらざらしている。細かでない。「目の—・い網」「粉のひき方が—・い」⇔細かい。
２手触りがなめらかでない。すべすべしていない。「きめの—・い肌」
３粗雑である。大ざっぱである。大まかである。「表現が—・い」「経費を—・く見積もる」
[派生]あらさ［名］</t>
        </is>
      </c>
      <c r="D246" t="inlineStr">
        <is>
          <t>粗い毛(5%)；粗い鋸歯(5%)；粗い布；粗い表面；粗い粒子</t>
        </is>
      </c>
      <c r="E246" t="inlineStr">
        <is>
          <t>適当な；粗末；荒い；大まか；乱暴な</t>
        </is>
      </c>
      <c r="F246" t="inlineStr">
        <is>
          <t>やや粗い；粗い肌；肌理の粗い；粗い縞；粗いタッチ</t>
        </is>
      </c>
      <c r="H246" t="n">
        <v>29</v>
      </c>
      <c r="I246" t="inlineStr">
        <is>
          <t>目の粗い布と毛皮を身につけ、見たこともない長い槍を手にしている。；目の前の涙骨には卓越した粗いクレストが存在し、後方に突出していた。；指の背に、家畜用ブラシのような粗い毛が十本ずつほどつっ立っている。；皮膚は細いナイフ状の先端を持つ大きな皮歯に覆われ、非常に粗い。；思ふに此骨器は粗き物を縫ひ合はする時に針として用ゐられしならん。；粗いつくりだったが頑丈という点では比較にならないほどすぐれていた。；レース作成が終わると、粗い目の糸を布の間で切り、レースだけをはずす。；身につけている粗い衣服と日焼けした黄褐色の肌にとりわけとまどった。；三メートル四方の真四角な部屋で、壁は粗い石がむき出しになっている。；一体蚊を防ぐのが目的ならばもう少し目の粗い布を使ったらよさそうなものである。；は非常に粗い表面を意味し、散乱は純粋に拡散的で、次のように表せる。；全身は中央に棘を有する装飾突起を持つ粗い皮骨板に覆われていたと思われる。；氷期に形成されたエムスタールの粗い岩は、地下水の重要な流路となる。；大きく粗いのは牛の骨であり、小さく花車なのは人間のそれである。；このため、ある程度粗く切った上で水に晒したほうがよいとされる。；そこには19世紀末当時に描かれた報道画の粗い画風を再現する意図があった。；レインコートの粗い織り目が手に感じられ、その下に肩の肉が感じられた。；植物体全体に針のような黄赤色の長く粗い毛が生え、特に茎の下部に多い。；これは、表面が粗い部品でも鏡面仕上げが必要な場合でも共通である。；ここでは、足のひっかかりをよくするためか、表面が粗くなっている。；目の粗い、防犯上からみれば何の役にも立ちそうにない格子造りの門がある。；一般的な粗い分類法ではデュアルパーパス車に分類することもできる。；その結果、傘はその粗い表面に朽ちた葉などを保持していることがよくある。；送られてきた地図には北海道の輪郭がごく粗く書かれていた。；切り口が粗いほど味がしみて美味になるとされるため、包丁は使わない。；これらはMシリーズよりも造りがやや粗く、開口部が少なくなっている。；画質が粗いので奇妙に思ったが、隅に書き込んである文面を見て納得した。；環孔材で肌目は粗いが板目面の光沢と年輪が美しく海外でも人気がある。；数字が小さいものほど目が粗く、数字が大きいものほど目が細かい。</t>
        </is>
      </c>
      <c r="J246">
        <f>HYPERLINK("https://www.weblio.jp/content/粗い", "词义详情")</f>
        <v/>
      </c>
      <c r="K246">
        <f>HYPERLINK("https://yourei.jp/粗い", "查看例句")</f>
        <v/>
      </c>
    </row>
    <row r="247">
      <c r="A247" t="inlineStr">
        <is>
          <t>荒い</t>
        </is>
      </c>
      <c r="B247" t="inlineStr">
        <is>
          <t>成功</t>
        </is>
      </c>
      <c r="C247" t="inlineStr">
        <is>
          <t>読み方：あらい
［形］［文］あら・し［ク］《「粗い」と同語源》
１動きが大きく激しい。「波が—・い」「呼吸が—・い」
２性格や言動にやさしさがなく粗暴である。激しい。「気性の—・い馬」「言葉が—・い」
３けじめがない。度をこしている。「金遣いが—・い」「人使いが—・い」
４荒れはてている。ととのえられないままになっている。
「岩が根の—・き島根に宿する君」〈万・三六八八〉
[派生]あらさ［名］</t>
        </is>
      </c>
      <c r="D247" t="inlineStr">
        <is>
          <t>荒い息(23%)；荒い呼吸(6%)；荒い言葉；荒い声；荒い鼻息</t>
        </is>
      </c>
      <c r="E247" t="inlineStr">
        <is>
          <t>激しい；強烈；猛烈；猛；凄まじい</t>
        </is>
      </c>
      <c r="F247" t="inlineStr">
        <is>
          <t>人使いが荒い；人使いの荒い；はあはあと荒い；荒い格子；ぜいぜいと荒い</t>
        </is>
      </c>
      <c r="H247" t="n">
        <v>29</v>
      </c>
      <c r="I247" t="inlineStr">
        <is>
          <t>ここでは、湖よりずっと荒い水を、相手にしなければなりませんでした。；われにもあらず、荒い言葉を使うだろうということがわかっていたので。；あなたの秘密は金使いの荒い人には、なんの益するところもありません。；二人がそうしているところへ、表から足音荒く横川勘平がはいってきた。；非常に気性が荒い一方、大変なスピードで逃げるのが一族の特徴である。；映像はこれも総合テレビと同じで画質は総合テレビと比べると少し荒い。；三人は万博で女不足のバー街に目をつけ仲間を集めてバー荒しを計画。；少し走っただけなのだが、ゆり絵はもう苦しそうに荒い息をついている。；鬼の全盛の期間つとめあげた奴だから、これも気の荒い家来だそうでな。；荒い雲のなかに 隱されてる月は、 深夜の灰色の都會を 何と見るか。；たださえ気の荒い小屋者の気が立っているところだからたまりません。；そこでこれよりいよいよ貧しくなつて更に荒い心を起して攻めて來ます。；荒い呼吸づかいは、ここへ駈けてくる間にも、聞きとれたくらいである。；とにかく行った冒険者たちは、帰ってくるなり反対に村を荒しまわった。；そこの砂山を越えて遠い長い渚を歩いたりして荒い日本海をも紹介した。；こんなことでいちいち気を荒くしていては、この体ではやっていけない。；博士はディックの前にくると荒い息をはき異常な関心を持って彼を眺めた。；袖付きの外套に包まれた肩が、荒い息に合わせて大きく上下に揺れている。；どうやら時代は、四郎の足もとにも荒い波を寄せはじめたようであった。；そして自分の荒い息使いはきっと彼女の耳につくに違いないという気がした。；顔いっぱいに汗をかいていて息は荒かったが、満面の笑みを浮かべている。；計らぬ悪侍が三人までも押しかけてきて、存分に家の中を荒して行った。；タリスの姿は見えなかったが、彼女の荒い息づかいを聞くことはできた。；限界まで止めていた息を吐き出したかのように荒い呼吸が後に続く。；そんな荒い血が、自分にも流れているのが、不思議なくらいであった。；ゆうべコンの部屋を足音も荒く出た時に、布地に無理がいったのだろう。；先刻から石の上で声を張り上げていただけに、忠介の呼吸が荒くなった。；葉の鋸歯は、下から上へ向かってだんだん荒くなり、さらに大きくなる。；話がもつれて来て面倒になると、つい地金がでて隼太の口調は荒くなる。</t>
        </is>
      </c>
      <c r="J247">
        <f>HYPERLINK("https://www.weblio.jp/content/荒い", "词义详情")</f>
        <v/>
      </c>
      <c r="K247">
        <f>HYPERLINK("https://yourei.jp/荒い", "查看例句")</f>
        <v/>
      </c>
    </row>
    <row r="248">
      <c r="A248" t="inlineStr">
        <is>
          <t>洗う</t>
        </is>
      </c>
      <c r="B248" t="inlineStr">
        <is>
          <t>成功</t>
        </is>
      </c>
      <c r="C248" t="inlineStr">
        <is>
          <t>読み方：あらう
［動ワ五（ハ四）］
１水などを使って汚れを取り去る。「食事の前に手を—・う」「雨に—・われて新緑が美しい」
２海や川の水が打ち寄せて物にかかる。「大波に甲板が—・われる」
３隠れている事柄を調べあげる。「身元を—・う」
４心をすがすがしくする。「心が—・われる」
５（「足をあらう」の形で）今までかかわっていた好ましくない仕事などを、きっぱりとやめる。「足を—・ってかたぎになる」
[可能]あらえる
[用法]あらう・すすぐ——「洗う」は水の中で、こすり、もみ、石鹸(せっけん)をつけるなどして、汚れを落とす意。「すすぐ」は水をかけたり、そのものの中に水を入れたりして汚れを流す意。「顔を洗う」とはいうが、「顔をすすぐ」とはいわない。「口をすすぐ」とはいえるが、ふつう「口を洗う」とはいわない。◇「洗濯物を洗う」は、洗剤を使って汚れを落とし、さらにその洗剤を洗い流すこと全体をいうが、「すすぐ」は最後に洗剤を落とすことについていう。◇「すすぐ」には「汚名をすすぐ」のような抽象的な用法があり、この場合、類似の語「そそぐ」と置き換えられるが、「洗う」では置き換えられない。◇類似の語に「ゆすぐ」があり、「洗い物をすすぐ（ゆすぐ）」と相通じて用いられる。</t>
        </is>
      </c>
      <c r="D248" t="inlineStr">
        <is>
          <t>洗う水；洗うべき；洗うような混雑；洗うべく；洗うような混戦</t>
        </is>
      </c>
      <c r="E248" t="inlineStr">
        <is>
          <t>掃除；落とす；洗濯；清掃；浄化</t>
        </is>
      </c>
      <c r="F248" t="inlineStr">
        <is>
          <t>よく洗う</t>
        </is>
      </c>
      <c r="H248" t="n">
        <v>29</v>
      </c>
      <c r="I248" t="inlineStr">
        <is>
          <t>西洋へ来ると猫が顔を洗うように簡単に行かんのでまことに面倒である。；そして一旦赤くなったが最後少し位洗ったのでは容易におちないそうだ。；すると女房は長いこと髪を洗わなかったので、その販売人を呼びました。；ひとつはうちにもって帰って洗わなければならないくらいよごれていた。；二人とも家庭環境や思想傾向はよく洗われていることでしょうからな。；天保頃から江戸の女性を真似て往々髪を洗う女性が現れるようになった。；私は手を洗ってからも、しばらくそこに立って窓から庭を眺めていた。；松雲は夜の引き明けに床を離れて、山から来る冷たい清水に顔を洗った。；しかし妻の汚れ物洗う私には、もう先刻のような不安の翳は消えていた。；それは小用のためではなくて、顔や目を冷水で洗ってくるのに相違ない。；眼が濡れている感じは残っているが、汚れなく洗われた爽やかさがある。；待合室は大きくてたくさんの人が顔を洗ったり物を食べたりしている。；そのあとは、ボートの側面を洗うかすかな音のほかは何も聞こえない。；私たちが食べおわると、彼は右手を使わずに、その左手を洗うのでした。；そして父に向ってもって行った情熱のかえす怒濤で娘を洗うのであった。；雨に洗われて、もとのぬり色ももう見分けることができなくなっていた。；四五日前からその家を石鹸水のようなもので洗う人間が五六人ほど来ている。；なぜか、暗くなった空を見ているうちに顔を洗う気力が出てきたのだ。；その辺りの温泉に入ると心が洗われて、次の仕事への活力になるとのこと。；台所に行くと野呂はもう起きていて、がばがばと顔を洗っておりました。；他人に自分の服を洗われることを拒否し、自分で洗濯を行っていたという。；神経の疲れたとき水でシャボンで手を丁寧に洗うのは大変よくききます。；「あそこで手を洗うのだ」ハーキマーは一つのボタンを押して命令した。；宗春は起きて火を起し、顔を洗おうとしたが水瓶に水がなくなっていた。；用意するもの 用意した青梅を水で洗って竹串などを使ってヘタを取る。；そのうちに下りて来て、台所へ行って顔を洗って、それから挨拶しました。；長平はこの安定の静かなことと美しいのに心を洗われずにはいられなかった。；尚平氏の死を私が知ったのは、翌朝目覚めてまだ顔も洗わない時だった。；ぎんは今、自分の体が新しい西洋の流れに洗われているのだと思った。</t>
        </is>
      </c>
      <c r="J248">
        <f>HYPERLINK("https://www.weblio.jp/content/洗う", "词义详情")</f>
        <v/>
      </c>
      <c r="K248">
        <f>HYPERLINK("https://yourei.jp/洗う", "查看例句")</f>
        <v/>
      </c>
    </row>
    <row r="249">
      <c r="A249" t="inlineStr">
        <is>
          <t>あらかじめ</t>
        </is>
      </c>
      <c r="B249" t="inlineStr">
        <is>
          <t>成功</t>
        </is>
      </c>
      <c r="C249" t="inlineStr">
        <is>
          <t>読み方：あらかじめ
［副］物事の始まる前に、ある事をしておくさま。前もって。「—調べておく」</t>
        </is>
      </c>
      <c r="D249" t="inlineStr">
        <is>
          <t>あらかじめ決められ；あらかじめ定められ；あらかじめ与えられ；あらかじめ知らせ；あらかじめ知る</t>
        </is>
      </c>
      <c r="E249" t="inlineStr">
        <is>
          <t>以前から；事前に；予め；前もって；前々から</t>
        </is>
      </c>
      <c r="F249" t="inlineStr">
        <is>
          <t>あらかじめ確認；あらかじめ乗車券を購入；あらかじめ申し上げておき；あらかじめことわっておく；あらかじめ頼んでおい</t>
        </is>
      </c>
      <c r="H249" t="n">
        <v>29</v>
      </c>
      <c r="I249" t="inlineStr">
        <is>
          <t>払い戻し期間があらかじめ決められていることが多いので注意願いたい。；あらかじめ指定したキャラクターが画面外から登場し攻撃などを行う。；これは時平と天皇があらかじめ打ち合わせをしていたことであるという。；車載器には、あらかじめ設置する車両の情報を登録しなければならない。；マンションなどの施行主が、あらかじめ住民説明用に作成する場合がある。；そしてテーブルに出される前からあらかじめ振り掛けられている店もある。；クロスワードパズルとは異なり、あらかじめ入る言葉が指定されている。；まず考えるべきは、あらかじめ利用可能なトイレを用意しておくことである。；あらかじめ履修内容が用意されているプログラムの2つが用意されている。；またあらかじめ契約の終期が決まっていてその時期が到来したものがある。；また、自分が救われているかどうかをあらかじめ知ることもできない。；アンティが必要かどうかは、あらかじめゲームによって決められている。；季節ダイヤは、ダイヤ改正時にあらかじめ考慮に入れてあることが多い。；そのため車載器にはあらかじめ設置する車両の情報を登録しなければならない。；それぞれの仲間は、能力値やあらかじめ持っている道具などに違いがある。；年賀状には、あらかじめ印刷してある年賀はがきを利用する場合がある。；新生児はあらかじめ微生物に接触することはなく特に感染を受けやすい。；また、寄せられたすべてのメッセージを紹介できない旨をあらかじめ伝えている。；画像、音楽はあらかじめ用意されたものの他、自分で作ったものも使用できる。；したがって、自分が救済されるのかどうかをあらかじめ知ることはできない。；各ステージ中あらかじめ決められた場所に配置されている。；この日記にあらかじめ未来の出来事を書いておくと、書いたことが本当に現実化する。；装着を容易にするためにナットはあらかじめホイールに接着されている。；リレークイズなどではあらかじめ抽選などで席順を決めた場合もあった。；予算の協賛権の効果はあらかじめ同意を与え、大臣の責任を解除する。；タオルや靴下にあらかじめ塩をすり込んでおくなどの処置も有効である。；あらかじめ与えられたピースを用いて指定された形を作るもの。；行動は20ターン先まであらかじめ登録しておくことが可能である。；SRの場合、購入時にあらかじめ乗車する列車を指定する必要がある。</t>
        </is>
      </c>
      <c r="J249">
        <f>HYPERLINK("https://www.weblio.jp/content/あらかじめ", "词义详情")</f>
        <v/>
      </c>
      <c r="K249">
        <f>HYPERLINK("https://yourei.jp/あらかじめ", "查看例句")</f>
        <v/>
      </c>
    </row>
    <row r="250">
      <c r="A250" t="inlineStr">
        <is>
          <t>あらかた</t>
        </is>
      </c>
      <c r="B250" t="inlineStr">
        <is>
          <t>成功</t>
        </is>
      </c>
      <c r="C250" t="inlineStr">
        <is>
          <t>読み方：あらかた
［名］
１全部とまではいかなくても、ほぼそれに近い部分。大部分。「クラスの—が進学希望だ」
２（副詞的に用いて）
㋐大部分。およそ。「仕事は—かたづいた」
㋑だいたいの数量をいうときに用いる。およそ。ざっと。あらあら。「参加人員は—五〇人だ」
［形動ナリ］手の入れ方などが細かい所まで行き届いていないさま。粗雑である。
「次公が注は—なり」〈四河入海・五〉</t>
        </is>
      </c>
      <c r="D250" t="inlineStr">
        <is>
          <t>あらかたこんな</t>
        </is>
      </c>
      <c r="E250" t="inlineStr">
        <is>
          <t>多く；主；ほとんど；主に；ほぼ</t>
        </is>
      </c>
      <c r="H250" t="n">
        <v>29</v>
      </c>
      <c r="I250" t="inlineStr">
        <is>
          <t>もう歯の治療は、あらかた終っていたのだから、痛みはなかっただろう。；荷物は昨日の内にあらかた運んでしまったから、何もすることはない。；これまでの調べでわかったことは、もうあらかた裏を取ったらしいな。；あらかた灯の消えたマンションのなかで、一つ二つだけついている窓。；誰かを殺しても、一晩眠ればその記憶はあらかた消えてしまっていた。；あらかたの見当はつくが、聞いたことのないビルの五階にあるらしい。；あらかた肉を失い骨が露出している自分の足を見て、吐き気を覚えた。；呼んだ側も呼ばれた側も、互いの口がどう動くかはあらかた想像がついている。；あるはずの空間が巨大な物体によってそのあらかたが埋められている。；その必要とする知識のあらかたは、他の人たちや書物に仰がなければならぬ。；顔といわず、腕といわず、からだ全体の皮膚があらかたはぎとられている。；あとどれくらい努力するとどこらへんまでいくか、あらかた見えてしまう。；しかし今夜はすでにあらかた使われたあとの三束が積まれているだけである。；法話に集っていた人々も、火事ときいて、あらかたは帰ったのであろう。；その世界には今のこの世界に存在しておるはずのものがあらかた欠落しております。；彼は彼で自分の関心事にあらかた心を奪われていたからである。；逃げだした部下もあらかた生けどられたり斬りたおされた気はいである。；見ればもう兵士達の方はあらかた片付いてしまっている様だった。；入学して一年目の授業であらかたの単位をとってしまった。；と、あらかたチェックを終えた海原は、そこで気になるものを見つけた。；盆の上があらかた片づいてから王女はあらためて話をする姿勢になった。；みているうちに、人間の体が立ったままであらかたはいるぐらいな穴になった。；以上述べたところで、震災一年後の江戸ッ子の消息はあらかたわかった。；オアフ島は三日も滞在すれば、主だった名所はあらかたまわれてしまう。；留美が作ってくれた小粒な痣の群れは、もう、あらかた消えかけていた。；目じるしにおぼえていたものが、ほとんどあらかたなくなっていたのである。；口にしたものはあらかた吐いてしまって、地下のベッドに三日も寝たきりらしい。；もうこの頃には、外にいたチュートン人のあらかたが城の中へ帰っていった。；今月の契約はあらかた出尽くしてしまったので、今は待つしか仕事がない。</t>
        </is>
      </c>
      <c r="J250">
        <f>HYPERLINK("https://www.weblio.jp/content/あらかた", "词义详情")</f>
        <v/>
      </c>
      <c r="K250">
        <f>HYPERLINK("https://yourei.jp/あらかた", "查看例句")</f>
        <v/>
      </c>
    </row>
    <row r="251">
      <c r="A251" t="inlineStr">
        <is>
          <t>嵐</t>
        </is>
      </c>
      <c r="B251" t="inlineStr">
        <is>
          <t>成功</t>
        </is>
      </c>
      <c r="C251" t="inlineStr">
        <is>
          <t>（嵐）島崎藤村の小説。大正15年（1926）「改造」誌に発表。母を失った子供たちの成長と巣立ちを見守る作者の心境を描く。
（あらし）《原題、(イタリア)Tempeste》イタリアの女流詩人・小説家、ネグリの詩集。1896年刊。
（嵐）《原題、(イタリア)La tempesta》ジョルジョーネの絵画。カンバスに油彩。縦82センチ、横73センチ。牧人らしき若者と乳飲み子を抱く女性を描いたもの。ベネチア、アカデミア美術館所蔵。テンペスタ。ラ‐テンペスタ。</t>
        </is>
      </c>
      <c r="D251" t="inlineStr">
        <is>
          <t>嵐君；嵐雲；嵐璃；嵐拾葉集；嵐模様</t>
        </is>
      </c>
      <c r="E251" t="inlineStr">
        <is>
          <t>暴風；竜巻；旋風；ストーム；トルネード</t>
        </is>
      </c>
      <c r="F251" t="inlineStr">
        <is>
          <t>激しい嵐；大嵐；ひどい嵐；猛烈な嵐；こんな嵐</t>
        </is>
      </c>
      <c r="G251" t="inlineStr">
        <is>
          <t>嵐が丘；嵐ちゃん；嵐寛寿郎；嵐子；嵐山町</t>
        </is>
      </c>
      <c r="H251" t="n">
        <v>29</v>
      </c>
      <c r="I251" t="inlineStr">
        <is>
          <t>ちょうどそれは全国にいわゆる学園紛争の嵐が吹き始める年でもあった。；船長は、船は嵐のせいでバラバラになって沈んだに違いないと判断した。；これは、嵐のような定常波が強い状況の波のエネルギーにも対応できる。；この人魚が出現すると嵐が起こるとされ、船乗り達には恐れられていた。；ある嵐の翌日、姉妹は眼下の浜辺に若い男性が倒れているのを発見する。；そしてその間に約束の時間を過ぎたとして、嵐は大阪へ帰って行った。；このとき嵐は何日か続いたがそれでも衣は残っていたのできぬかけ石と言われている。；周囲の温度が2度程度低いことからこれは高気圧性の嵐と考えられる。；一度は嵐を回避したものの再び発生していた嵐に突入してしまう。；南部の保守的な社会のなかで抗議の嵐を巻き起こさなければならない。；この絵には、山の中を嵐に吹かれながら馬に乗る旅人が描かれている。；玉嵐は既に十両に昇進していたので、廃業届の対象にはならなかった。；クックが製造したレコードは、鉄道の音から嵐の音まで様々なものがあった。；その代わりに、海王星の北半球では大暗斑に似た新しい嵐が発見された。；同時に迎えが来るので嵐が起きる、広瀬は逃げるように伝えて姿を消す。；木星には独立した嵐が存在し、小さな斑点となって現れることが分かった。；ミュージックビデオはトンネルの中で撮影されたが、外は大嵐だったという。；嵐神は再びイルルヤンカシュに挑むが息子はイルルヤンカシュ側にいた。；彼は、船に再び乗ってメキシコへと向かうつもりだったが、船は嵐で破壊された。；嵐は一時的に第十八戦隊の指揮下に入ると、ラビの戦いに投入された。；非難の嵐から逃げるようにディズレーリはフランス・イタリアの諸都市の旅に出た。；そこへ嵐がやってきて、アランが飛ばされていってしまうのが見える。；嵐のシングル表題曲が全て平仮名表記なのは、この曲が初めてである。；航行中に失われた船は、嵐のために行方不明になった1隻だけだった。；それは西からの嵐が募っている状況下で極めて危険かつ大胆なものであった。；やがて、七月が嵐との一度きりの関係で妊娠してしまったことが発覚。；古く日本では嵐を呼ぶという迷信があり鐘を船に乗せることは避けられた。；それから数年たったある嵐の夜、立派に育ったメイが山小屋に避難した。；そしてその嵐の晩、庭の大木が2階の窓ガラスを突き破って部屋へ侵入。</t>
        </is>
      </c>
      <c r="J251">
        <f>HYPERLINK("https://www.weblio.jp/content/嵐", "词义详情")</f>
        <v/>
      </c>
      <c r="K251">
        <f>HYPERLINK("https://yourei.jp/嵐", "查看例句")</f>
        <v/>
      </c>
    </row>
    <row r="252">
      <c r="A252" t="inlineStr">
        <is>
          <t>荒らす</t>
        </is>
      </c>
      <c r="B252" t="inlineStr">
        <is>
          <t>成功</t>
        </is>
      </c>
      <c r="C252" t="inlineStr">
        <is>
          <t>読み方：あらす
［動サ五（四）］
１乱雑な状態にする。「子供に机の中を—・される」
２建物・土地などを手入れせずにほうっておく。「長く留守にして庭を—・す」
３傷つけたり壊したりする。いため傷つける。「薬品で手を—・す」「戦火が国土を—・す」
４他の領域に侵入して権益を侵す。また、盗み取る。「縄張りを—・す」「留守宅を—・す」
[可能]あらせる</t>
        </is>
      </c>
      <c r="D252" t="inlineStr">
        <is>
          <t>略奪；奪う；強奪；掠奪；奪い取る</t>
        </is>
      </c>
      <c r="H252" t="n">
        <v>29</v>
      </c>
      <c r="I252" t="inlineStr">
        <is>
          <t>武装した兵士が現れてアトランダムに人々の住宅を選んで荒らし回った。；表の戸には錠が下ろしてなく、家の中はずいぶん荒らされておりました。；問題の一枚が荒らされたのなら試験をこのまま開くなんてとてもとても。；車が荒らされでもしたら、今度の旅全体がおじゃんになってしまうのだ。；さらに黒に中央を好形にさせて白は辺で稼ぎ、白40と荒らしに行った。；ページはこれ以上はないほど荒らされた部屋に立ち、何度も深呼吸した。；村には夜になると金色の牝馬がやって来て、畑を荒らされて困っていた。；荒らしは悲嘆にくれる家族にバラバラになった死体の写真を送りつけた。；ただ、ここのずっと北のほうはオニヒトデに荒らされてしまっているが。；しかし俺たちはなにも女子の私物を荒らしにきた変態野郎ではないんだ。；色もよくないし、踏み荒らされて土がむき出しになっている場所もある。；部屋の中は特に荒らされておらず、血痕が飛び散っているわけでもない。；この部屋が荒らされていることに気づいたのは、警察に電話してからだった。；鍵がかかり、ドアチェーンもかけてあり、室内に荒らされた様子はない。；畑を荒らしたと思うと不潔な気がして食べる気になれなかったのだ。；シュウイチの部屋とおまえの部屋も、階下と同じように荒らされていた。；なぜだかそれが彼の眼には暴風雨に荒らされた後の庭先らしく思えた。；せっかく自分が目をつけていた土地を荒らされていたような気がしたのである。；また、セルフコントロール能力が低い者が荒らしを行いやすいとされる。；この男は、金庫破りで全国を荒らし回っていた窃盗団の一員でもあった。；浪江の部屋は荒らされた様子もなく、ただ窓が開き、雨戸が開いていた。；空腹になると村を荒らしまわったので村人の犠牲は増えるばかりだった。；中へ入ってみると、荒らされようは外で見たのよりずっとひどかった。；一つにはこの種は畑を大いに荒らし、人類の利益を直接損なうからでして。；墓が荒らされると一体分の骨格から頭が取り外されている場合もみられる。；墓荒らしどもにまだやられていないものとしては、最初のやつだった。；王の軍は上陸しますと、町を焼き、野を荒らしながら進んで行きました。；以前こんな風にオフィスを荒らされた奴のことを聞いたことがある。；二階は何も荒らされていないし、見たところ何も取られていない。</t>
        </is>
      </c>
      <c r="J252">
        <f>HYPERLINK("https://www.weblio.jp/content/荒らす", "词义详情")</f>
        <v/>
      </c>
      <c r="K252">
        <f>HYPERLINK("https://yourei.jp/荒らす", "查看例句")</f>
        <v/>
      </c>
    </row>
    <row r="253">
      <c r="A253" t="inlineStr">
        <is>
          <t>粗筋</t>
        </is>
      </c>
      <c r="B253" t="inlineStr">
        <is>
          <t>成功</t>
        </is>
      </c>
      <c r="C253" t="inlineStr">
        <is>
          <t>読み方：あらすじ
およその筋道。あらまし。概略。特に、小説・演劇・映画などのだいたいの内容。梗概(こうがい)。「前号までの物語の—」</t>
        </is>
      </c>
      <c r="D253" t="inlineStr">
        <is>
          <t>図；筋；構想；仕組み；大抵</t>
        </is>
      </c>
      <c r="H253" t="n">
        <v>29</v>
      </c>
      <c r="I253" t="inlineStr">
        <is>
          <t>青年時代に多くの映画を見て、その粗筋を学校の友達に語るのを楽しんだ。；まるで有栖川さんが構想中の小説の粗筋を聞いているみたいでした。；有名な物語だからほとんどの人が粗筋を知っているだろう。；彼女はもっと積極的に、次にとるべき行動の粗筋をすでに考え抜いていた。；やがて二人は協力し、父母をめでたく再婚させるというのが粗筋である。；企画開発の段階で、原案や小説等の原作に沿って映像化する箇所の粗筋を作成することになる。；映画のパンフレットに、その映画の粗筋がよく書いてありますね。；自身が挙げた「超有名作」の粗筋ぐらいは知っていたようだ。；最初に問題点を抽出してから粗筋を作られたのですか。；小林さんは昔から、本の題名とか粗筋から話の中身を想像するのが好きです。；その後にヘイヤーが人物と彼らの関係を創作し、粗筋の断片に生命を与えた。；書きかたはあなたの自由だが、粗筋はそれに詳しく書いてあります。；昨夜一つの小説の粗筋ができたのだという。；そこまで、だいたいの粗筋が読めたので、彼女はなにもきかないことにした。；たまたま私を見舞に来た時、綾子は「氷点」の粗筋を中嶋牧師に告げた。；こちらは別に採集された、粗筋がよく似た類話である。；以下ではその発展の粗筋をアリストテレスからボエティウスまで辿る。；こうして粗筋を要約しようとするだけで涙があふれてくる。；昔見た、ドラマの粗筋でも語るかのように。；その小説は粗筋、人物、姓、さらに多くの摂政時代の俗語まで写していた。；江戸時代の赤本では、また違った粗筋の滑稽話になっている。；紙幣の単位はちがっているかもしれないが、たしかこんな粗筋の短篇だった。；粗筋は以下のようなものである。；以下において粗筋を紹介するが、これは多くの版で共通するところを紹介するものであり、細部が異なるバージョンは無数に存在する。；粗筋は次のようなものである。；またアニメで原作の面影を残しているのは数人のレギュラーキャラクターの設定と初期数話の粗筋のみで、内容的にはほぼオリジナル作品と言える。；その生い立ちが一ページほど記事になっているが、活字が大きくて何のことはない、映画の粗筋を読まされているようなものだった。；というわけで僕は企画を持って行く時には二、三枚の粗筋ではなく、膨大な枚数の小説を持ち込むことにしていたのである。；おおむね劇全体の性格や粗筋を予告するように作曲された。</t>
        </is>
      </c>
      <c r="J253">
        <f>HYPERLINK("https://www.weblio.jp/content/粗筋", "词义详情")</f>
        <v/>
      </c>
      <c r="K253">
        <f>HYPERLINK("https://yourei.jp/粗筋", "查看例句")</f>
        <v/>
      </c>
    </row>
    <row r="254">
      <c r="A254" t="inlineStr">
        <is>
          <t>争い</t>
        </is>
      </c>
      <c r="B254" t="inlineStr">
        <is>
          <t>成功</t>
        </is>
      </c>
      <c r="C254" t="inlineStr">
        <is>
          <t>読み方：あらそい
争うこと。いさかい。闘争。けんか。競争。「源平の—」「首位—」</t>
        </is>
      </c>
      <c r="D254" t="inlineStr">
        <is>
          <t>争いごと；争い続け；争い合う；争いたく；争い説話</t>
        </is>
      </c>
      <c r="E254" t="inlineStr">
        <is>
          <t>戦；大会；試合；ゲーム；戦い</t>
        </is>
      </c>
      <c r="F254" t="inlineStr">
        <is>
          <t>後継者争い；権力争い；チャンピオン争い；言い争い；主導権争い</t>
        </is>
      </c>
      <c r="H254" t="n">
        <v>29</v>
      </c>
      <c r="I254" t="inlineStr">
        <is>
          <t>再び化粧が流行した背景にはヨーロッパとイスラーム社会の争いがある。；周王室の領土は東西に分裂し、狭い範囲で互いに争い合う有様であった。；今日も2グループの間で争いが起きるが警官の呼子笛の音に止められる。；江戸時代初期、各藩は隣接する藩との間で境界争いが盛んとなった。；また、国内イベントでも常にチャンピオン争いに絡む活躍を見せてきた。；その後一向一揆は石山本願寺と信長の間で10年に渡って争いを続けた。；旅行の中心地はイギリスとロシアが勢力圏争いをしている極東だった。；飫肥藩や、家督争いになった垂水島津家を警戒してのことだったという。；ただし、実際に部族同士の争いがあったかどうかについては論争がある。；農民との争いを避けるために武士の役目以外では名字・帯刀を禁止された。；しかしそれまでの権力争いと違って、それぞれの後ろには各軍閥勢力がいた。；最終的にバヤズィトが後継者争いに勝利し、新たな皇帝として即位した。；嫡男氏輝がまだ成人していないため、家臣の争いを抑える目的であった。；しかし、間もなく兄弟は分割された遺領を独占するために争い始めた。；首位争いには敗れたがAクラス争いに入り2位は確保するかに思えた。；行為が継続犯であるか状態犯であるかについては判例上も争いがあった。；ビッグ・フットはそれ以上の争いを避けるために白旗を掲げて降伏を告げた。；ジャングラオの総督を務めていた弟との争いに勝利して即位した。；争い事や公事も良くないといわれ、万事に平静を守ることが良いとされる。；しかしその即位によって兄弟同士の争いが起こるなど紛糾していた。；呉の軍は戦争が強く、一時は北の後梁と互角に争い合う程の勢力を誇った。；は後半戦調子を上げてきたフェラーリ勢との争いになった。；その後しばらくはモンゴル部内の分裂があって両者の争いは一時沈静化する。；これには中央の権力争いが深く関係していた。；天使アンジェラとは敵として相争い、その後は共闘する仲となっていく。；三木は、選挙戦は「主義政策よりも候補者の質の争い」になると考えた。；当時のマインツでは市民と貴族の間で争いが繰り返されていた。；国政上の改革派と保守派の争いは、選挙を通じて今日まで続くものである。；しかし惰性的に争いを続けてきた挙句、勝敗のつかないまま終わった。</t>
        </is>
      </c>
      <c r="J254">
        <f>HYPERLINK("https://www.weblio.jp/content/争い", "词义详情")</f>
        <v/>
      </c>
      <c r="K254">
        <f>HYPERLINK("https://yourei.jp/争い", "查看例句")</f>
        <v/>
      </c>
    </row>
    <row r="255">
      <c r="A255" t="inlineStr">
        <is>
          <t>争う</t>
        </is>
      </c>
      <c r="B255" t="inlineStr">
        <is>
          <t>成功</t>
        </is>
      </c>
      <c r="C255" t="inlineStr">
        <is>
          <t>読み方：あらそう
［動ワ五（ハ四）］
１相手にまさろうとして、また、何かを得ようとして張り合う。競争する。「優勝を—・う」「先を—・う」「一、二を—・う名騎手」
２敵対する。戦う。けんかする。いさかいをする。「労使が—・う」「相続問題で兄弟が—・う」
３少しの時間をも得ようとして忙しくする。急を要する意にいう。「手術は一刻を—・う」「寸秒を—・う問題」
４自分の言い分を、正しいとして押し通す。「裁判で—・う」「黒白を—・う」
５抵抗する。こばむ。→争えない
「春雨に—・ひかねてわが宿の桜の花は咲きそめにけり」〈万・一八六九〉
[可能]あらそえる
[用法]あらそう・きそう——「争う」には、「敵と争う」「労使が争う」「兄弟が遺産をめぐって争う」のように、互いに戦う、対立する、いさかいをする意味がある。この場合は「競う」は使えない。◇また、互いに張り合い、勝とうとする意味では両語とも使われるが、「首席を争う」「優勝を争う」など、ある目的のために張り合う場合は、ふつう「争う」が用いられる。◇「競う」は、「腕を競う」「技を競う」「カラオケ大会でのどを競う」「美しさを競う」のように、能力の優劣、物事の程度などを対象とする場合に多く使われる。◇「品質の優劣を争う（競う）」「勝敗を争う（競う）」「争って（競って）新製品を開発する」などの場合は相通じて用いられる。
[下接句] 甍(いらか)を争う・頸木(くびき)を争う・黒白(こくびゃく)を争う・先を争う・年は争えない・軒(のき)を争う・分秒を争う</t>
        </is>
      </c>
      <c r="D255" t="inlineStr">
        <is>
          <t>争うべから；争うべき；争う姿勢を見せ；争う構えを見せ；争う姿勢を示し</t>
        </is>
      </c>
      <c r="E255" t="inlineStr">
        <is>
          <t>反対；戦闘；向かう；議論；抵抗</t>
        </is>
      </c>
      <c r="F255" t="inlineStr">
        <is>
          <t>巡って争う；激しく争う；互いに争う；かけて争う；争う本戦トーナメント</t>
        </is>
      </c>
      <c r="H255" t="n">
        <v>29</v>
      </c>
      <c r="I255" t="inlineStr">
        <is>
          <t>もっともこれらの裁判では私人間効力であるか否かは争われてはいない。；これは週のうち一定の日は領主同士武力で争う事を禁じたものであった。；グループ上位に入ったチームは決勝トーナメントに進出して優勝を争う。；この四人がもし互いに相争うのならば必ず命を失うはずだと書かれている。；関東の諸侯らは袁紹派と袁術派に分かれて互いに争うようになっていた。；争う者は正義も悪も関係無く、全てを無にするまで破壊の限りを尽くす。；本大会は予選を突破した7カ国と開催国であるスウェーデンで争われた。；そうなれば、一番悲しむのは故郷と恋人が争うことになるライラである。；また連盟の1つの議席を複数の代表が争う事態を想定していなかった。；争うべき証言の信用性が十分に証明できないままに判決が出されたと主張している。；スペイン組とフランス組の2チームしか参加せず、直接対決で争われた。；建築確認を通ってしまった場合は当事者が民事で争わなくてはならない。；裁判では、松本知子が夫の麻原に口を出せる存在であったかが争われた。；なおこの試合は強風で開始が遅れたため、競技は1回の飛躍で争われた。；その中において荘氏とははじめは連携し、のちは争って勢力を伸張した。；非常に温厚な性格で人と争うことが全くなく、困った人はすぐに助けていた。；しかしそれぞれが5世紀中頃から覇権を争ったものとは考えられている。；制球力は西武黄金期の投手陣の中でも一二を争うほどの良さと言われた。；これにより、やはり相続請求権を有した他の貴族達と争うようになった。；毎年冬に開催され、県内の郡市町対抗で争われる栃木県を代表する大会。；この大会の決勝ラウンドは総当たり戦で金メダルを争うことになっていた。；そのような時には、ヒゲで他の個体との距離を測りつつ食べては争う。；後継を次男の兼通と三男の兼家が争うが、結局兼通に関白が宣下される。；本間とはプロでもオールスター出場を同じポジションを争うことになる。；一刻を争うニュースやスポーツの編集を支える画期的なシステムである。；彼は事態はもはや一刻ではなく分や秒を争うと皇帝に迫ったという。；男子は50km競歩が実施されず23種目、女子は14種目で争われた。；今大会より男女滑降と回転が新たに実施され、男女6種目で争われた。；権利能力なき社団名義の登記を認めるべきかが裁判上争われたことがある。</t>
        </is>
      </c>
      <c r="J255">
        <f>HYPERLINK("https://www.weblio.jp/content/争う", "词义详情")</f>
        <v/>
      </c>
      <c r="K255">
        <f>HYPERLINK("https://yourei.jp/争う", "查看例句")</f>
        <v/>
      </c>
    </row>
    <row r="256">
      <c r="A256" t="inlineStr">
        <is>
          <t>争って</t>
        </is>
      </c>
      <c r="B256" t="inlineStr">
        <is>
          <t>成功</t>
        </is>
      </c>
      <c r="D256" t="inlineStr">
        <is>
          <t>争って敗れ；争って逃げ出し；争って逃げだし；争っていた事；争っておる</t>
        </is>
      </c>
      <c r="E256" t="inlineStr">
        <is>
          <t>戦って；競って；競い合って</t>
        </is>
      </c>
      <c r="H256" t="n">
        <v>29</v>
      </c>
      <c r="I256" t="inlineStr">
        <is>
          <t>が、相争っている二人の耳には、波の音も風の音も聞えては来なかった。；そんな中、カーレースで争っていた二人は事故で大怪我を負ってしまう。；体力の無さでは、新入部員の中で一・二を争っている二人だったのだ。；それで、人々は、争って、すこしでも残っているのを買おうとしました。；その中において荘氏とははじめは連携し、のちは争って勢力を伸張した。；ときに同州蒲城県の人が土地の境界を争って、決着がついていなかった。；さらに仕事中に負った怪我のため、雇い主のカールと裁判で争っていた。；大の男を相手にして、いつまでも激しく争っていられそうもねえ。；ニュートンは同時代の人々としばしば争っていたことが知られている。；現在は青山院と紅山院の二派に分かれ、諜紙天眼の長の座を争っている。；すると所在の朝鮮人はこれを聞いて争ってその上官を捕縛して送ってきた。；空港の貿易輸出額と比較しても、成田国際空港と日本一の座を争っている。；しかし、残留を争っていた湘南が勝利したため、チームは降格となった。；また、豊富な資金力を背景に近年ではフラメンゴと激しく覇を争っている。；トゥーサンは新しく出てきたパンシナのムラートの指導者とも争っていた。；勝っても負けても、にこにこ笑いながら、勝負を争っていたそうです。；行長と清正とが一番乗りを争って、清正が勝ったと云う話は伝説である。；卵は五色でたいへん珍しかったので、簡狄は妹と争ってこの卵を取った。；でも、このふたりはどちらがこの子の稼ぎを取り続けるのかで争っている。；また、ガラル地方では同じ生息地に住むジュラルドンとよく争っている。；真光教団指導者の正当なる後継を主張して争っていたため分派の意識はない。；他には、フランス時代から争ってきた同世代のカルヴァンも出走した。；その上に人が先を争って押合っていたからである。；その後も福島と控えの一枠を争っていたが、シーズン通じて試合出場はなかった。；上り子たちは大松明の火を自分の松明に争って移し、山上へと向かう。；彼の周りには水夫たちがいて、舵取りの座を巡って互いに争っている。；そうやって争っている2人がいて、それを見ている自分がいて。；一部の競技では、優勝校が西日本の優勝校と王座を争って対戦する。；事件の起るすぐ前には、あなたは被害者とひどくいい争っていた。</t>
        </is>
      </c>
      <c r="J256">
        <f>HYPERLINK("https://www.weblio.jp/content/争って", "词义详情")</f>
        <v/>
      </c>
      <c r="K256">
        <f>HYPERLINK("https://yourei.jp/争って", "查看例句")</f>
        <v/>
      </c>
    </row>
    <row r="257">
      <c r="A257" t="inlineStr">
        <is>
          <t>新た</t>
        </is>
      </c>
      <c r="B257" t="inlineStr">
        <is>
          <t>成功</t>
        </is>
      </c>
      <c r="C257" t="inlineStr">
        <is>
          <t>読み方：あらた
［形動］［文］［ナリ］
１新しいさま。今までなかったさま。「—な局面を迎える」「—な感動を呼ぶ」「—な力がわく」
「冬過ぎて春の来(きた)れば年月(としつき)は—なれども人は古(ふ)り行く」〈万・一八八四〉
２（「あらたに」の形で）改めて行うさま。「認識を—にする」</t>
        </is>
      </c>
      <c r="D257" t="inlineStr">
        <is>
          <t>新たに設けられ；新たな試み；新たな要素；新たな脅威；新たなスタート</t>
        </is>
      </c>
      <c r="E257" t="inlineStr">
        <is>
          <t>初；新しい；新；新規；新鮮</t>
        </is>
      </c>
      <c r="F257" t="inlineStr">
        <is>
          <t>新たな市営野球場；新たに描き下ろさ；新たに静岡県立大学；新たな偽造防止；新たな必殺技</t>
        </is>
      </c>
      <c r="G257" t="inlineStr">
        <is>
          <t>新たなる希望；新たな形態の銀行；新たな資源；新たな護衛艦；新たな地域名表示ナンバープレート</t>
        </is>
      </c>
      <c r="H257" t="n">
        <v>29</v>
      </c>
      <c r="I257" t="inlineStr">
        <is>
          <t>これらが相互に連携して新たなビジネスモデルを構築している例も多い。；デザインが年数回更新され、古いデザインのカードは新たに入手できない。；このとき新たに作曲されたバージョンが現在歌われているものである。；ドア間の7人掛け座席部では新たにスタンションポールを2本設置した。；カトリックでありながら反英でもある新たな国民性の精神が芽生えた。；はアルファロメオと契約し、新たに開幕したF1世界選手権に参戦する。；カジミェシュ宮殿には新たに設立されたワルシャワ大学も入居していた。；工事開始に伴い改札口は分離され、西武側に新たに駅舎が建設された。；数学上の問題が一段落したのち、新たな見解がいくつか提案された。；光が新たに生まれた国の名付けを読者に委ねるシーンで物語は幕を閉じる。；紛失の場合と同様に新たな番号のカードへ切り替え再発行の依頼も検討する。；車内の自動放送も変更され、新たに英語による案内放送が開始された。；サミットの新たなメンバー国を増やすには、全参加国の支持が必要となる。；開発はUnityベースでアセットをメインに新たな九龍城を構築する。；横溝正史は過去に発表した作品を改稿して新たな作品とすることが多くあった。；しかしジャンヌは、この両国間の戦争に新たな概念と視点をもたらした。；黄色で表示されている国が新たに加盟したルーマニアとブルガリア。；このための新たな研究プロジェクト COOLで開発が行われた。；この作品は映画に関する裏話だけでなくキャラクターの新たな設定を作った。；それとともに、町と町を結ぶ新たなライトレール網も計画されている。；また、鋼合金を調べたり、光学向けの新たなガラスを作ったりしている。；漢は新たに獲得した領域に朔方・敦煌などの郡を設け直接統治を開始した。；そして新たに生まれる世界では創造の神として生まれ変わるとされている。；しかしこの名称が新たな問題を引き起こしてしまうこととなる。；これにより、新たな操作が可能となり、特殊ケースの関数が不要になる。；これは新たなプロデューサーのドン・ウォズに依るところが大きかった。；この結果エジプトでは新たに弟のプトレマイオス8世が擁立された。；新たな兵器が採用されるに伴い、老朽化や旧式化した兵器は退役を迎える。；Windowsでは新たなバージョンが登場するたびにGUIを変更してきた。</t>
        </is>
      </c>
      <c r="J257">
        <f>HYPERLINK("https://www.weblio.jp/content/新た", "词义详情")</f>
        <v/>
      </c>
      <c r="K257">
        <f>HYPERLINK("https://yourei.jp/新た", "查看例句")</f>
        <v/>
      </c>
    </row>
    <row r="258">
      <c r="A258" t="inlineStr">
        <is>
          <t>改まる</t>
        </is>
      </c>
      <c r="B258" t="inlineStr">
        <is>
          <t>成功</t>
        </is>
      </c>
      <c r="C258" t="inlineStr">
        <is>
          <t>読み方：あらたまる
［動ラ五（四）］
１新しくなる。古いもの、旧来のものが新しいものと入れ替わる。「年が—・る」「法規が—・る」
２悪い点、不備な点などがよいほうへ変わる。改善される。「性根(しょうね)が—・ってきた」「生活態度が—・らない」
３ふだんとは違った、堅苦しい態度になる。他人行儀な態度をとる。「—・った顔つき」
４（「革まる」とも書く）病状が急に重くなる。「容態が—・る」</t>
        </is>
      </c>
      <c r="D258" t="inlineStr">
        <is>
          <t>なる；化する；動く；変わる；変える</t>
        </is>
      </c>
      <c r="H258" t="n">
        <v>29</v>
      </c>
      <c r="I258" t="inlineStr">
        <is>
          <t>僧三 善鸞様のお心が改まらなくてはかえっておためにもなりますまい。；年が改まってからも今までのとおり時々お宮を呼んで加藤の家に泊めた。；年が改まった明治七年の初め、ぎんは自宅に一人の女性の来訪を受けた。；アトリエだと久美子が改まった気持になるかも知れないからとも言った。；王妃になったからといってお前の行いが改まるとは最初から思っていない。；この傾向が改まるのは、第二次世界大戦が終わった後になってからだった。；私へは改まった挨拶もなく、私の方からも手を差延べようとはしなかった。；もっと単純に素直に作ったら、どんなによく改まることでありましょう。；梅子の用事と云うのを改まって聞いてみると、又例の縁談の事であった。；たとえ人質状態にあろうと、あの毒舌と皮肉家ぶりが改まるわけもない。；が間もなく側の炭車へ腰かけながら、静かに改まった調子で口を切った。；いろいろといいたいことがあるが、さて改まって何といっていいか分らない。；だが、わたしはなにもここまで改まって料理の講釈をしようとは思わない。；改まった畳の上で、お雪は皆なと一緒に、楽しそうに夕飯の膳に就いた。；二階へ上って、叔父と一緒に茶を飲む頃は、正太は改まってもいなかった。；その人混みをぬって歩いている時、不意に内藤が改まった口調で言った。；最初の一字が眼に入ったので、彼は緊張し、自然と声まで改まった。；「改まって言うのも変だが、私から別れの言葉を言いたい」と言った。；案内してきた秘書の女性に、彼は腕時計を見ながら改まった口調で言った。；会ったと言うと改まった感じだが、実際には引越しの手伝いに行ったのだ。；僕からあなたに、改まつて挨拶の手紙を出すのがへんだつたからです。；明治四十五年が大正元年と改まりてよりまだ二ヶ月とは經たぬ程の事也。；彼は改まった眼であらためて向うの寝台の方をみてみなければならなかった。；毎日、日が改まることに、 新しい深傷がこれまでの傷に加えられている。；みんなが席に着くと、野村吉太郎が改まった姿勢で自分と四人を紹介した。；章魚木の島から華の都へと出て来ても、此の傾向は容易に改まりそうもない。；少しは濁っていた人々の心も打ち続く災難の為に改まったのであろう。；彼は改まった挨拶もせずに、「少し油煙がたまるようですね」といった。；過保護な母親みたいな人だと思ってきたが、今回で考えが改まった。</t>
        </is>
      </c>
      <c r="J258">
        <f>HYPERLINK("https://www.weblio.jp/content/改まる", "词义详情")</f>
        <v/>
      </c>
      <c r="K258">
        <f>HYPERLINK("https://yourei.jp/改まる", "查看例句")</f>
        <v/>
      </c>
    </row>
    <row r="259">
      <c r="A259" t="inlineStr">
        <is>
          <t>改めて</t>
        </is>
      </c>
      <c r="B259" t="inlineStr">
        <is>
          <t>成功</t>
        </is>
      </c>
      <c r="C259" t="inlineStr">
        <is>
          <t>読み方：あらためて
［副］
１再び新しく行うさま。もう一度。別の機会に。「後日—書面を出します」
２初めて経験するように感じるさま。事新しく。今さらのように。「親が死んで—ありがたさを知った」</t>
        </is>
      </c>
      <c r="D259" t="inlineStr">
        <is>
          <t>改めて確認；改めて認識；改めて思う；改めて思い知らさ；改めて見る</t>
        </is>
      </c>
      <c r="E259" t="inlineStr">
        <is>
          <t>また；さらに；再び；又；新たに</t>
        </is>
      </c>
      <c r="F259" t="inlineStr">
        <is>
          <t>改めて御挨拶；改めて気付かさ；改めて思い知る；改めて再スタート；改めて見直す</t>
        </is>
      </c>
      <c r="H259" t="n">
        <v>29</v>
      </c>
      <c r="I259" t="inlineStr">
        <is>
          <t>改めて自分の気持ちを確認した彼女は父の治療に協力する決意をする。；翌日には高井が、改めてTwitterにて解散した事を報告している。；この事件を通じて蔣経国と宋美齢との対立関係は改めて明らかになった。；その夜には秀吉本人が家康に秘かに会いにきて、改めて臣従を求めた。；公演事務局ではこの結果を踏まえて、第38回公演の開催を改めて計画。；規模を縮小の上改めて入曽駅周辺の再整備計画が立案されることになった。；全体計画は拒絶され、改めて近い将来土地利用計画から立案がなされる。；それを踏まえて改めて事件を「推理」することは、裁判批判を意味した。；それを知った豊島の住民は改めて香川県の対応に落胆することになる。；小野・緒方ではさらにこれを改めて世界標準の分類体系を採用している。；シャトルの中でエイジ達は改めて決死の覚悟であることを確認し合う。；また、日記の著者が後日になって改めて文書を整理して清書した例もある。；明治に至っても初期にはと名を改めて引き続き行われていた。；敷島部隊はいったんトラック泊地に戻ると、2月1日に改めて出発した。；リュウも自分の求めていた強さを改めて見つめ直し、再度修行の旅に向かう。；こうした建設省の調査を引き継いで日本道路公団が改めて調査に望んだ。；その評判を受け、後に改めて連載が開始され長期にわたって描かれることになる。；貴広は、涼子が幼くして日本を追われた意味を改めて知ったのだった。；日本海軍は水上艦船が航空機に対抗することの至難さを改めて痛感した。；しかし当時はほとんど尊重されず、第一次世界大戦後に国際連盟が改めて定めた。；これが生物にとって真に標準的なものであるかどうかには改めて検討が必要な面もある。；しかし同時に、定敬が降伏しない限り宥免は出来ないことを改めて示した。；勝利を収めて初代王者になると同時にGHCグランドスラムを改めて達成。；明治15年1月に軍人の政治関与禁止を改めて記した軍人勅諭を制定。；一時は死も覚悟したが、復帰後は演じることが好きだと改めて感じているという。；彼らは生前に西部から受けた指導に感謝し、日本の対米自立を改めて誓った。；赦免は刑期満了の他に、本国で改めて投獄・処刑するためにもなされる。；これは、大学南校の一時閉鎖の後に改めて入学するかたちとなったものである。；そんな君の姿を見ながら、多くの国民は沖縄の痛みを改めて自分の痛みと感じたに違いない。</t>
        </is>
      </c>
      <c r="J259">
        <f>HYPERLINK("https://www.weblio.jp/content/改めて", "词义详情")</f>
        <v/>
      </c>
      <c r="K259">
        <f>HYPERLINK("https://yourei.jp/改めて", "查看例句")</f>
        <v/>
      </c>
    </row>
    <row r="260">
      <c r="A260" t="inlineStr">
        <is>
          <t>改める</t>
        </is>
      </c>
      <c r="B260" t="inlineStr">
        <is>
          <t>成功</t>
        </is>
      </c>
      <c r="C260" t="inlineStr">
        <is>
          <t>読み方：あらためる
［動マ下一］［文］あらた・む［マ下二］
１新しくする。古いもの、旧来のものを新しいものと入れ替える。「日を—・める」「第一項は次のように—・める」
２悪い点、不備な点をよいほうへ変える。改善する。「態度を—・める」「悪習を—・める」
３服装や態度をきちんとする。「居ずまいを—・めて拝聴する」
４正しいかどうか詳しく調べて確かめる。吟味する。「罪状を—・める」「財布の中身を—・める」
[補説]1〜3は「革める」、4は「検める」とも書く。電話をかけて相手が不在であると「では、改めます」と言う人がいるが、これはおかしい。「では、改めてお電話します（いたします）」と言う方がよい。平成10年代半ば頃からの言い方か。
→直す［用法］</t>
        </is>
      </c>
      <c r="D260" t="inlineStr">
        <is>
          <t>改めるべき(3%)；改めるべく；改めるよう要求；改めるよう命じられ；改めるよう命令</t>
        </is>
      </c>
      <c r="E260" t="inlineStr">
        <is>
          <t>なる；変更；変化；化する；改造</t>
        </is>
      </c>
      <c r="F260" t="inlineStr">
        <is>
          <t>改めるよう命じ</t>
        </is>
      </c>
      <c r="H260" t="n">
        <v>29</v>
      </c>
      <c r="I260" t="inlineStr">
        <is>
          <t>当初は漫画の主人公の名前だったが、後にペンネームもそれへと改める。；以降、呼称を改めることを繰り返し、書をもって生業とする決意をする。；戦後に大学名を改める際、東邦大学の名称を提案したのは額田であった。；兄と比較されたくないと憤る沙だが、兄の死を告げられると態度を改める。；後期型ではレールを強化し溶接方法を改めることで改善が試みられた。；これによつて大いに改めんと決心したり、上級生上官の命を守ることを。；この頃、ハイラムは自分の名前を非公式にハンクと改めることを決めた。；と云って、服装を改めろと云ったところでこの男が従うわけがない。；ちょうどその頃、江戸ではそれまで使われていた暦を改める動きが起こっていた。；プロジェクト名について議論があるようでしたら別の名に改めることも考慮します。；そして幕府は、受布施派に改めるか天台宗に改宗するか迫ったのである。；そして荷の中身に間違いが無いかどうか、互いに改めることになった。；かつては勝利のために手段を選ばなかったが、教官となってからは考えを改める。；そしてそれをたまたま盗み聞きしていたジャックも考えを改めるようになる。；過去の権威にすがり、何十年にもわたり改めることのなかった翻訳。；彼の考えを改めることができるとしたら、それは神ウルの言葉でしかないであろう。；昭和16年には分離薬筒式を完全弾薬筒式に改める改造が行なわれた。；旧・常設展示室は展示室3に改称し、季節ごとに展示を改める体制に移行した。；しかし、店舗を見る限りドン・キホーテに圧縮陳列を改める様子はない。；仏教界内部からも、この状況を反省し改めるべきだとする活動が様々に行われている。；これは当時悪人扱いだった曹操の評価を改める大議論の契機となった。；初名を惟馨としたが家臣となって藩主の号に近いことを避けて清風に改める。；外国人と結婚して氏を改める例も増え、外国由来の名字を持つ日本人が増えてきている。；初年度は選手登録されるも練習生扱いで、翌より背番号を66に改める。；教官を敬わない学生の風紀を改めるべく海軍式の教育を普及させた。；幼いころより信長次男の織田信雄に仕え、主命で村瀬氏に苗字を改める。；早急に真の意味での経済的効率に基づく評価法に改める必要がある。；は登録名を大友 工司に改めるが、1勝に終わり同年で現役を引退した。；また定直は、介錯した者へは衣類・刀等を改めるべしと金子を与えた。</t>
        </is>
      </c>
      <c r="J260">
        <f>HYPERLINK("https://www.weblio.jp/content/改める", "词义详情")</f>
        <v/>
      </c>
      <c r="K260">
        <f>HYPERLINK("https://yourei.jp/改める", "查看例句")</f>
        <v/>
      </c>
    </row>
    <row r="261">
      <c r="A261" t="inlineStr">
        <is>
          <t>荒っぽい</t>
        </is>
      </c>
      <c r="B261" t="inlineStr">
        <is>
          <t>成功</t>
        </is>
      </c>
      <c r="C261" t="inlineStr">
        <is>
          <t>読み方：あらっぽい
［形］
１言動や性質などが荒々しい。乱暴である。「荷物を—・くほうり投げる」「—・い口調」
２細かい所まで注意がゆきとどかず、大まかである。粗雑だ。「—・い仕上げ」「仕事が—・い」
[派生]あらっぽさ［名］</t>
        </is>
      </c>
      <c r="D261" t="inlineStr">
        <is>
          <t>荒っぽい仕事(2%)；荒っぽい言葉(2%)；荒っぽい口調；荒っぽいやり方；荒っぽい連中</t>
        </is>
      </c>
      <c r="E261" t="inlineStr">
        <is>
          <t>激しい；強烈；乱暴；猛烈；猛</t>
        </is>
      </c>
      <c r="F261" t="inlineStr">
        <is>
          <t>こんな荒っぽい；ちょっと荒っぽい；そんな荒っぽい；少々荒っぽい；荒っぽい手口</t>
        </is>
      </c>
      <c r="H261" t="n">
        <v>29</v>
      </c>
      <c r="I261" t="inlineStr">
        <is>
          <t>折れた足に副木を当てたがっているダニエルを荒っぽく安心させている。；ふざけた真似はやめて早くここから出すように、相当荒っぽく要求した。；甲板上には荒っぽい顔つきの男が十人あまり行ったり来たりしている。；夫人は若いころを、荒っぽい環境で、異常な境遇に過ごしていたそうだ。；こんな荒っぽい伝統があるのかどうか、ぼくたちにはわからなかった。；荒っぽいが優しさの感じられる口調で、私を慰めようとしているようだ。；女たちが魅力を感じる、一種の荒っぽい力強さを彼は思い浮かばせるね。；なぜなら彼女は、異常に荒っぽい声と武骨な話し方をしたからだという。；気風は荒っぽくて、中には背中一面に刺青をしたような荒くれ男もいた。；紙の上を走る鉛筆の様子から見ると、荒っぽい文字で書いたように見えた。；彼のことだから、相当、荒っぽいことをやっているのではあるまいか。；田舎の荒っぽい環境で育った私は、この種のやさしさを知らなかった。；しかし車力には荒っぽい連中が多く、だれもが車を避けて歩いている。；わたしは荒っぽい男でして、つい最近まで荒っぽい生活をしておりました。；近づくと、急に頭を上げて、眉をひそめながら、荒っぽい口調で言った。；早口の上に発音ははっきりとせず、荒っぽさだけが耳に押し寄せてくる。；元々は、あんな荒っぽいことをやる予定はなかったのだと思います。；社会の手は荒っぽい、そしてこの男はその手の細工の著しい見本である。；そんな荒っぽい音を立てて、ドンブリが僕たちのテーブルに置かれた。；四人の男が乗っていて、四人とも日やけした荒っぽい顔をしていた。；古いトンネルを荒っぽく通過したために、体はクタクタであちこち痛む。；柔道部員というと性格が荒っぽそうに思えるけど、そんなことはない。；サッと腕をまわして荒っぽい円を描き、つづいて拳で円形を強く叩いた。；若い頃は、荒っぽいこともやったらしく、左の頬には大きな痕がある。；七ヶ年もこんな荒っぽいことをしていたから、腰を冷やす段ではない。；明らかにあいつは今日なにか荒っぽい出入りをやったんです!；銀河辺境じゃ、荒っぽくやってきたし、おれたちはいつでも本気なんだ。；前回乗ったときは真九郎も気にしなかったが、かなり荒っぽい運転だ。；その腹のドス黒さが、荒っぽい巻き舌によって見事に表現されている。</t>
        </is>
      </c>
      <c r="J261">
        <f>HYPERLINK("https://www.weblio.jp/content/荒っぽい", "词义详情")</f>
        <v/>
      </c>
      <c r="K261">
        <f>HYPERLINK("https://yourei.jp/荒っぽい", "查看例句")</f>
        <v/>
      </c>
    </row>
    <row r="262">
      <c r="A262" t="inlineStr">
        <is>
          <t>あらゆる</t>
        </is>
      </c>
      <c r="B262" t="inlineStr">
        <is>
          <t>成功</t>
        </is>
      </c>
      <c r="C262" t="inlineStr">
        <is>
          <t>［連体］《動詞「あり」の未然形＋上代の可能の助動詞「ゆ」の連体形から。ありうる、の意》あるかぎりの。すべての。「—角度から検討する」「—可能性」
[補説]古く「所有」「所在」などと書いた。</t>
        </is>
      </c>
      <c r="D262" t="inlineStr">
        <is>
          <t>あらゆるもの(6%)；あらゆる種類(3%)；あらゆる点；あらゆる面；あらゆる手段</t>
        </is>
      </c>
      <c r="E262" t="inlineStr">
        <is>
          <t>みんな；広く；全ての；ありとあらゆる；あまねく</t>
        </is>
      </c>
      <c r="F262" t="inlineStr">
        <is>
          <t>あらゆるところ；あらゆる方面；あらゆる角度；あらゆる努力；あらゆる部分</t>
        </is>
      </c>
      <c r="G262" t="inlineStr">
        <is>
          <t>あらゆる想い</t>
        </is>
      </c>
      <c r="H262" t="n">
        <v>29</v>
      </c>
      <c r="I262" t="inlineStr">
        <is>
          <t>また米国人と米国企業は世界のあらゆるところに進出して活動している。；数々の宗教関係者がこれに反発、あらゆる手段を使って映画に反対した。；審理人はあらゆる証拠を考慮して、適当と思われる方法で判断を示した。；平和維持のため緩衝地帯はあらゆる作戦部隊の侵入と行動が禁止される。；これはかつての専制政治とはあらゆる観点から異なったものであった。；現代でも食料・飲み水・農業・輸送などあらゆる面で国民生活を支えている。；次の三つの条件を式にすることで、あらゆる構造を解くことができる。；主体性についてのあらゆる問題が再考察の対象となるのは避けられない。；さらに痙攣やてんかんなどのあらゆる病気を治す力を持っているという。；これらのサービスは、あらゆる人が享受する権利をもつと考えられている。；したがってあらゆる戦略的な行動は戦闘と密接な関係を持っている。；この機構のおかげで、ほとんどあらゆる場所へ降りることが可能となった。；歴史家が歴史を研究・記述する際に用いるあらゆるものが史料である。；苦しみを和らげるために、あらゆる方法を取ることは全く問題がない。；敵に囲まれた空挺部隊の為、あらゆる種類の大砲が必要な場所に送られた。；その後は参加したあらゆるシリーズで勝利を挙げていった。；現在確認されているあらゆる反応のうち、これが破られた例はない。；紀元前111年に制定された法律では再びあらゆる再定住が禁止されている。；戦争を回避するためにあらゆる戦争行為は禁じられなければならない。；また、陸海空と宇宙のあらゆる領域での戦闘が可能な汎用性を併せ持つ。；フリードマンは、あらゆる市場への制度上の規制は排除されるべきと考えた。；当時のパリでは、あるひとりの女優があらゆる階級の男たちを惹きつけていた。；あらゆるものを受容することはエックハルトの中心的な教説のひとつである。；場は時空間のあらゆるところで定義され、波動を引き起こす能力がある。；ただし神話記述のあらゆる細部に象徴的な意味があるわけではない。；多くの種類があって、河川から深海まであらゆる水環境に生息する。；現代ではあらゆる勢力のプロパガンダに触れずに生活することは困難なものとなった。；政府のあらゆる役人は人民の権力のほんの一部を限られた時間のみで享受する。；あらゆる必要なものを含めた組織を編成することです。</t>
        </is>
      </c>
      <c r="J262">
        <f>HYPERLINK("https://www.weblio.jp/content/あらゆる", "词义详情")</f>
        <v/>
      </c>
      <c r="K262">
        <f>HYPERLINK("https://yourei.jp/あらゆる", "查看例句")</f>
        <v/>
      </c>
    </row>
    <row r="263">
      <c r="A263" t="inlineStr">
        <is>
          <t>霰</t>
        </is>
      </c>
      <c r="B263" t="inlineStr">
        <is>
          <t>成功</t>
        </is>
      </c>
      <c r="C263" t="inlineStr">
        <is>
          <t>読み方：あられ
１雲の中で雪に微小な水滴が凍りつき、白色の小さい粒となって降ってくるもの。雪霰(ゆきあられ)と氷霰(こおりあられ)とがある。気象用語では直径5ミリ未満が霰、5ミリ以上が雹(ひょう)。《季冬》「呼かへす鮒売(ふなうり)見えぬ—かな／凡兆」
２料理で、小さく賽(さい)の目に切ること。また、切ったもの。「—に刻む」
３干飯(ほしいい)を煎(い)ったもの。
４「霰餅(あられもち)」に同じ。
５「霰小紋」に同じ。「—地の織物」
６「霰蕎麦(そば)」に同じ。</t>
        </is>
      </c>
      <c r="D263" t="inlineStr">
        <is>
          <t>霰まじり；霰小紋；霰ふる</t>
        </is>
      </c>
      <c r="E263" t="inlineStr">
        <is>
          <t>雹；氷雨；降雹；降霰</t>
        </is>
      </c>
      <c r="F263" t="inlineStr">
        <is>
          <t>大きい霰</t>
        </is>
      </c>
      <c r="G263" t="inlineStr">
        <is>
          <t>霰石；霰釜；霰粒腫；霰税；霰堂</t>
        </is>
      </c>
      <c r="H263" t="n">
        <v>29</v>
      </c>
      <c r="I263" t="inlineStr">
        <is>
          <t>すると突然二人の眼から涙が霰のようにこぼれて、手が震えてきました。；霰の幕はとぎれがちになり、空は太陽の出現を示すように明るくなった。；冬はまあそういう仕事をして夏になると霰との合戦に従事するのです。；霰の幕がすっかり上がってしまったら、一体何があらわれるのだろうか。；冬はマアそういう仕事をして、夏になると霰との合戦に従事するのです。；私は毎年この季節になると、ことにこの霰を見ると幽遠な気がした。；雨、雪、霰などの降水が雲から地上に落下している際にできるものである。；霰のことは次の章に詳しく述べることにしてここには触れない。；しばらくして彼らのもとに届いたのは、霰のような石の雨だった。；今度は霰のように頭上をかすめる残酷な弾丸など気にもかけなかった。；その中でも雨と雪は最も普通なものであるが、雹や霰もさほど珍しくはない。；発達した低気圧が寒冷前線を伴い、雷と霰を伴った横殴りの風雨となる。；これらの雪と霰の中間にあるものを霰状雪と称することにする。；霰の柱が細くなっていくと、その白い巨像はいよいよはっきりと見えてきた。；霰もインド各地で発生し、収穫前のコメやコムギに深刻な打撃となる。；霰のお庭の入口で、彼はそこに転がっている三人の男を見た。；言ふまでもなく馬を打つ策は僕の頭上に霰の如く落ちて來た。；氷晶が多くの液滴を併合して霧氷状のボールとなったものは霰と呼ばれる。；城内で夜を明かそうと進入した仲霰が見た物は、敵軍兵の死骸の山だった。；気象用語としては、雪または霰が地面の半分以上を覆った状態をいう。；万歳の烏帽子にたばしる霰は、そういういかめしい性質のものではない。；風を切ったと思った時、霰のように何か飛んで来た。；光は連続する光線というよりも、菫色の微粒子からなる雨や霰のようだった。；マキビシはむなしく壁や床につき刺さって霰のような音を発しただけであった。；袍についてゐる宝石が霰のやうな音を立てて、きらきらと光るのである。；霰の降るような日にでも山で働いていると汗が出た。；そして虫は霰のように音を立ててポンポンと落ちて来る。；家の裡にいては暗く、反古紙で張った高窓に雪や霰の当る音がした。；いけないや、あいつは花の開いた巴旦杏の樹に霰を降らせるかもしれないからな。</t>
        </is>
      </c>
      <c r="J263">
        <f>HYPERLINK("https://www.weblio.jp/content/霰", "词义详情")</f>
        <v/>
      </c>
      <c r="K263">
        <f>HYPERLINK("https://yourei.jp/霰", "查看例句")</f>
        <v/>
      </c>
    </row>
    <row r="264">
      <c r="A264" t="inlineStr">
        <is>
          <t>表す</t>
        </is>
      </c>
      <c r="B264" t="inlineStr">
        <is>
          <t>成功</t>
        </is>
      </c>
      <c r="C264" t="inlineStr">
        <is>
          <t>読み方：あらわす
［動サ五（四）］
１（現す）今まで見えなかったものを外に出して見えるようにする。実態を明らかにする。「姿を—・す」「正体を—・す」
２（表す）心に思っていること、考えていることなどを、表情・言葉・絵などで示す。表現する。「喜びを顔に—・す」「言葉に—・すのは難しい」
３（表す）ある特定の意味を伝え示す。意味する。「花言葉で黄色いバラが—・すのは嫉妬だ」
４（現す）持っている力をはっきり表に出す。「頭角を—・す」
５（顕す）何かの形で、善行などを広く世間に知らせる。「記念碑に刻してその徳を—・す」
[可能]あらわせる
[下接句]頭角を現す・名は体を表す・馬脚(ばきゃく)を露(あら)わす・化けの皮を現す</t>
        </is>
      </c>
      <c r="D264" t="inlineStr">
        <is>
          <t>意味；言う；代表；説明；表現</t>
        </is>
      </c>
      <c r="F264" t="inlineStr">
        <is>
          <t>表す一般名詞；表す標識；表す用法も混在；表す象形字；表す記号として付与</t>
        </is>
      </c>
      <c r="G264" t="inlineStr">
        <is>
          <t>表すれ</t>
        </is>
      </c>
      <c r="H264" t="n">
        <v>29</v>
      </c>
      <c r="I264" t="inlineStr">
        <is>
          <t>政治的・思想的な立場を表すために右と左の語が用いられる場合がある。；ちなみにこのパターンでは、まもなく列車が到着することを表している。；これ以降はラジオ番組をはじめとした公の場には一度も姿を表していない。；前者は動作の進行・継続を表し、後者は動作の行われた結果や完了を表す。；機械や道具では、各種能力の特性を大きさで表したものが性能である。；歴史的には、戦場での所属を表すものとして使われた軍旗に起源を持つ。；同じ反応を左右逆に と表した場合の平衡定数は と、元の逆数となる。；黒は国民、赤は独立のために流れた血、緑は豊かな自然を表している。；古くバリトンパートを表すのに使われたが、現代ではあまり見られない。；注意すべきは線型写像を表す行列は基底の取り方に依存することである。；角関係とは面と面とが互いに見えているかどうかを表す係数である。；以上を少し単純化して数学的に表すと、次のような方法が考えられる。；一般の平面角の大きさは、単位となる角の大きさの実数倍で表しうる。；これは明視距離の位置で何mmの範囲が視界内に入るかを表している。；また、複数の文字を並べてより複雑な意味を表そうとするものもある。；これは単に呼び方の問題だけではなく、その主題の性格も表している。；足を前後に開き右手を挙げている独特のポーズで表されることが多い。；特に とすればこれは衝突過程でのエネルギー保存の法則を表している。；そしてシャクルトンを加えたことは高い個人的な信頼を表していた。；一部のクロスワードにはカギを文章ではなく絵や図で表すものがある。；このようにフラクタル次元は図形の複雑さを数値で表していると言える。；地震計の観測結果を基に図に表し、断層の位置や動いた方向を解析する。；古代から何らかの境界を表すものとして石がおかれることがあった。；訃報を伝えるような速度でニュース原稿を読み、抗議を表したという。；黄金色の円は月を表し、パラオ人の機が熟し独立国となったことを表す。；黄金色の円は月を表し、パラオ人の機が熟し独立国となったことを表す。；複数の異なる数字がある場合は、その順番が黒マスの順番を表している。；その上で、緑は土地の肥沃さ、白は無垢な生活、黒は戦争を表している。；これは、貴族層を中心に識字率が飛躍的に向上していたことを表している。</t>
        </is>
      </c>
      <c r="J264">
        <f>HYPERLINK("https://www.weblio.jp/content/表す", "词义详情")</f>
        <v/>
      </c>
      <c r="K264">
        <f>HYPERLINK("https://yourei.jp/表す", "查看例句")</f>
        <v/>
      </c>
    </row>
    <row r="265">
      <c r="A265" t="inlineStr">
        <is>
          <t>現す</t>
        </is>
      </c>
      <c r="B265" t="inlineStr">
        <is>
          <t>成功</t>
        </is>
      </c>
      <c r="C265" t="inlineStr">
        <is>
          <t>読み方：あらわす
［動サ五（四）］
１（現す）今まで見えなかったものを外に出して見えるようにする。実態を明らかにする。「姿を—・す」「正体を—・す」
２（表す）心に思っていること、考えていることなどを、表情・言葉・絵などで示す。表現する。「喜びを顔に—・す」「言葉に—・すのは難しい」
３（表す）ある特定の意味を伝え示す。意味する。「花言葉で黄色いバラが—・すのは嫉妬だ」
４（現す）持っている力をはっきり表に出す。「頭角を—・す」
５（顕す）何かの形で、善行などを広く世間に知らせる。「記念碑に刻してその徳を—・す」
[可能]あらわせる
[下接句]頭角を現す・名は体を表す・馬脚(ばきゃく)を露(あら)わす・化けの皮を現す</t>
        </is>
      </c>
      <c r="D265" t="inlineStr">
        <is>
          <t>現すべき；現すまい</t>
        </is>
      </c>
      <c r="E265" t="inlineStr">
        <is>
          <t>意味；言う；出る；示す；わかる</t>
        </is>
      </c>
      <c r="F265" t="inlineStr">
        <is>
          <t>言い現す；實現す；云ひ現す</t>
        </is>
      </c>
      <c r="H265" t="n">
        <v>29</v>
      </c>
      <c r="I265" t="inlineStr">
        <is>
          <t>この姿で本物のゼロの前に現れた後、すぐに元の姿に戻って正体を現す。；他の説では矢の先が下を向いて地面に刺さった形を現しているとされる。；普段は内側に隠れており、スライドを開くと姿を現すようになっている。；そしてその夜、ついに彼らの目の前に地球外生命体が姿を現すのだった。；もしかしたら、人間が見ているところでは姿を現さないのかもしれない。；だが、最初に一声あげただけで、声の主はまったく姿を現そうとしない。；ここから職業が、そのまま身分を現す称号にも使われるようになっている。；金を受け取るために捜査陣の前に姿を現さなければならないからです。；公の場にYOSHIKIが姿を現すのは手術後これが初めてとなった。；その場合、滝神がこないと秋葉は姿を現さない、こちらはそう判断する。；いずれ子供も生まれ、父親となった伊三次が読者の前に姿を現すだろう。；そして片山さんはあまり人の体裁を気にしない性格で、反応に現さない。；そのまま彼女が店に着くまで尾行を続けたが、大倉は姿を現さなかった。；それは現さうとするものが、まだ十分に咀嚼されてゐないのを示してゐる。；彼はまた朝の番組に出演するなど、すぐに公の場に姿を現している。；原作・アニメ共に形や経緯こそ違うが、最後は弥子の前に姿を現している。；病院に犠牲者が姿を現さなくなっただけに事態は悪化している、と言えた。；本能的に手がすっと短剣に触れたのは、女王が姿を現されたときだった。；この方針は軍令部が沖縄航空決戦の決意を現しているとする意見もある。；一昨日の夜にキャスターと戦って以来、ずっと霊体のまま姿を現さない。；確信はあったが、何がどうおかしいのか、明確に現すことができなかった。；自覚があっても治療者を警戒しているうちは交代人格は姿を現さない。；さうして、神樣の言葉すらも、やはり、歌で現されることになりました。；この二日間というもの、船はただの一隻も島の前面に姿を現さなかった。；長い歴史の中で、ときおり人々の前に姿を現しては猛威を振るってきた。；いずれにしてもこの語を用いずに、これだけの感じを現すことは困難であろう。；斧乃木ちゃんが社の中を探りやすいように、あの男の前に姿を現さねば。；なぜなら、彼はそれをはっきりした形に現すことを拒んでいたからだ。；それはドアからすっかり姿を現すと、閉じた目をワタルの方に向けた。</t>
        </is>
      </c>
      <c r="J265">
        <f>HYPERLINK("https://www.weblio.jp/content/現す", "词义详情")</f>
        <v/>
      </c>
      <c r="K265">
        <f>HYPERLINK("https://yourei.jp/現す", "查看例句")</f>
        <v/>
      </c>
    </row>
    <row r="266">
      <c r="A266" t="inlineStr">
        <is>
          <t>著す</t>
        </is>
      </c>
      <c r="B266" t="inlineStr">
        <is>
          <t>成功</t>
        </is>
      </c>
      <c r="C266" t="inlineStr">
        <is>
          <t>読み方：あらわす
［動サ五（四）］《「現す」と同語源》書物を書いて出版する。著作する。「社史を—・す」</t>
        </is>
      </c>
      <c r="D266" t="inlineStr">
        <is>
          <t>出版；発行；表記；執筆；刊行</t>
        </is>
      </c>
      <c r="F266" t="inlineStr">
        <is>
          <t>多く著す</t>
        </is>
      </c>
      <c r="H266" t="n">
        <v>29</v>
      </c>
      <c r="I266" t="inlineStr">
        <is>
          <t>数多くの人々が橋の石材中に表現される社会を著すアイディアを送った。；このことはどんな風に今の私を言ひ著せばいゝのか私にはわからない。；この男の十分にして完全な伝記を著すための素材は存在しないと私は信じる。；日本でも、彼の世界を用いた作品やアンソロジーを著す作家は多数見られる。；主としてアフリカを対象とする民俗学的調査を行い、数多くの著作を著す。；著者の人生を著す中で、出会った人々とのインタビューや人物紹介なども書かれている。；その経験から日本語で最初の本格的な説教学の著書を著す。；同じく幽玄の美を著そうとした藤原俊成とは異なる幽玄を確立したといえる。；小説は多くの場合1人で執筆するものだが、2人以上が共同で小説を著す場合がある。；それは結句、あれに鎧を著せてみた様なものでした、別の姿にしてみた様なものでした。；また、すでに名の売れた作家が2人以上で小説を著す場合もある。；またアリストテレスの著作を自らの体験で検証し注釈書を多数著す。；デルマはパリで音楽を教える傍ら、著名な音楽家の伝記を著す仕事をした。；若い頃、数万の兵と千の馬を手に入れて後世に名を著すことを志し、仲間に笑われた。；この時、現体制の批判書「ソ連とは何か、そしてソ連はどこに行きつつあるか」を著す。；無学な多くの工人たちは、幸にも執著すべき個性を有たなかったであろう。；創刊号の巻頭論文「哲学はいかにして有効さをとりもどし得るか」を著す。；また、残された史料を元に歴史を研究し、その成果を論文や著作として著す人の事も指す。；代表的な著書として『武士の娘』 を著すなど、日本文化を米国に紹介した。；勧請したのは、後に『醤油沿革史』を著する同社社長・田中直太郎である。；宿河原の関山五郎右衛門のように、養蚕技術を本に著す篤農家も現れた。；一方、江戸時代の建築・法制などを研究し、その研究書を著す。；僕のおやぢは、その頃陸軍の大尉だつたので、僕にも軍服をそのまま小さくしたやうな服を著せたものである。；ロンドンに行ったのは主にシェークスピアに関する作品を著す上で関心があったからだったが、その作品は完成されなかった。；その中には後にハングルで最初の小説『洪吉童傳』を著す許筠もいた。；本来は名前が著すように柵であり、主にウッドデッキ等の柵として使われていた。；これが保のこの書肆のために書を著すに至った端緒である。；そこで罪を秋風に著せて思ひ止ることにしたのである。；文章を著す場合でも印綬は明朗にして極端な個性のない表現。</t>
        </is>
      </c>
      <c r="J266">
        <f>HYPERLINK("https://www.weblio.jp/content/著す", "词义详情")</f>
        <v/>
      </c>
      <c r="K266">
        <f>HYPERLINK("https://yourei.jp/著す", "查看例句")</f>
        <v/>
      </c>
    </row>
    <row r="267">
      <c r="A267" t="inlineStr">
        <is>
          <t>現れ</t>
        </is>
      </c>
      <c r="B267" t="inlineStr">
        <is>
          <t>成功</t>
        </is>
      </c>
      <c r="C267" t="inlineStr">
        <is>
          <t>読み方：あらわれ
あらわれること。また、あらわれたもの。「日ごろの努力の—だ」「素朴な地方色の—」</t>
        </is>
      </c>
      <c r="D267" t="inlineStr">
        <is>
          <t>現れ始め；現れやすい；現れにくい；現れなかったら；現れうる</t>
        </is>
      </c>
      <c r="E267" t="inlineStr">
        <is>
          <t>表現；表示；出現；気配；表明</t>
        </is>
      </c>
      <c r="F267" t="inlineStr">
        <is>
          <t>次々と現れ；ともなく現れ；次々に現れ；強く現れ；多数現れ</t>
        </is>
      </c>
      <c r="G267" t="inlineStr">
        <is>
          <t>現れれ；現れよ；現れん；現れろ</t>
        </is>
      </c>
      <c r="H267" t="n">
        <v>29</v>
      </c>
      <c r="I267" t="inlineStr">
        <is>
          <t>上図に現れない次の第三図のケースを問題としていたとする解釈もある。；天災が天の意思の現れだと言う思想もこの時期に形成されたようである。；この記号が現れた場合、その部分のデータが消去されていることを示す。；ありえないことに丹が嘆息すると、白い頭の烏と角が生えた馬が現れた。；特にトンガとロツマの言語に関連するものを含む面が顕著に現れている。；自動車はその歴史のなかで様々な構造が現れ、変遷を繰り返してきた。；以上の傾向はみな程度の差はあれロマン派音楽以前にも現れていた。；海上での伝承が多いが、海のない地方でも河、湖、沼に現れたともいう。；同一局面が4回現れなくても両対局者の合意があれば千日手が成立する。；幼少時から非常に凶暴で喧嘩っ早く目立ちたがり屋な気質が現れていた。；人類史のどの段階で初めて舞台が現れたかは、はっきりとは分かっていない。；進行すると両側性に症状が現れ、左右差はなくなることが多い。；彼の死後、彼を超えるピアニストは現れないだろうと言われている。；この世に人として現れた仏の肉体の死を指すこともある。；男性恐怖症とは対人恐怖の現れのひとつで、恐怖対象が男性であるもの。；同一のデザインが世界中に現れ、バス製造は次第にグローバル化されている。；分と言う時間の単位が市民の生活に現れたのは、鉄道の開通以降のことである。；リストの影響は最初、ドイツ圏よりもフランス、ロシアに色濃く現れた。；しかし、1990年代以降、時評を掲載しない新聞や雑誌も現れている。；GNUが有名になるにつれて、GNUに興味を持つ企業が現れはじめた。；この様な強い力は強い張力と高い融点といった一般的性質に現れている。；一つの形態素が互いに微妙に異なる複数の現れ方をすることがある。；更にその後西の方にも現れたことが記録されている。；さらにママ・オクリョは太陽の島ではなく隣の月の島に現れたともいわれる。；また、創作性は素材の選択または配列のいずれかに現れていれば良い。；肩書きの多いことに現れているように、鷗外は文芸活動の幅も広かった。；しかしフロッピーの代替となる標準メディアがなかなか現れなかった。；その後プロテスタントの教会は分裂・分離を重ねて多くの様々な教派が現れた。；英祖の晩年になると、水面下で行われていた党争は再び表面に現れて来る。</t>
        </is>
      </c>
      <c r="J267">
        <f>HYPERLINK("https://www.weblio.jp/content/現れ", "词义详情")</f>
        <v/>
      </c>
      <c r="K267">
        <f>HYPERLINK("https://yourei.jp/現れ", "查看例句")</f>
        <v/>
      </c>
    </row>
    <row r="268">
      <c r="A268" t="inlineStr">
        <is>
          <t>表れる</t>
        </is>
      </c>
      <c r="B268" t="inlineStr">
        <is>
          <t>成功</t>
        </is>
      </c>
      <c r="C268" t="inlineStr">
        <is>
          <t>読み方：あらわれる
［動ラ下一］［文］あらは・る［ラ下二］
１（現れる）今までなかったものが姿を見せる。「彗星(すいせい)のごとく—・れる」「雲間から太陽が—・れる」
２（表れる）隠れていたものが表面に出てくる。感情・思想などが表面から知られる状態になる。「怒りが顔に—・れる」「彼の考えがよく—・れた文章」
３（現れる）隠れていたものが際立って見えてくる。知れわたる。「真価が世に—・れる」
４（顕れる）よくないことが公になる。発覚する。「悪事が—・れる」</t>
        </is>
      </c>
      <c r="D268" t="inlineStr">
        <is>
          <t>発生；見える；出る；出現；起こる</t>
        </is>
      </c>
      <c r="F268" t="inlineStr">
        <is>
          <t>はっきり表れる</t>
        </is>
      </c>
      <c r="H268" t="n">
        <v>29</v>
      </c>
      <c r="I268" t="inlineStr">
        <is>
          <t>怒りの表現にその人の性格が表れることは、日本語も英語も同じです。；しかし宋代になると描く対象を真実に表現しようとする態度が表れる。；それは自分の顔に表れる感情の闘を青年に見せまいとしたのである。；作曲家の指定に表れる事は稀であるため、編成に含まれる例を示す。；だからできるだけ長い時間をおいて効果が表れるようにしなければならない。；下記のとおり、さまざまな原因で擬陽性・擬陰性が表れる可能性もある。；この前後から、岳の親離れの兆候は様々な場面で表れるようになった。；和名に表れるようにムカデに似た細長い姿をしているが、エビではない。；それは拘禁状態に置かれた者に必ず表れる禁断症状のようなものだ。；紗枝子の表情に不満の色が表れるのが見えたので、急いで話題を変えることにした。；それは宮廷の中、王がその責務から解放される時に表れるだろう。；時に宗教への思いが強く表れるが、特定の宗教には帰依していない。；その不安が自己防衛的に働き、男の言葉に対する拒否反応として表れる。；感情の兆候が表情に表れるのは〇・二五秒からせいぜい〇・五秒ていどだよ。；しかし本作品の本領は、垂直に立てて正面から見た時に最も表れる。；では、もうすぐバスを降りる人間に表れる特徴は、何かないものだろうか。；使っている素材や調味料が異なってはいても、作り手の個性が表れるのではないか。；彼は胸が締めつけられるような気がし、それが表情に表れるのを恐れて顔を背けた。；生きがいの有無が衣服の色に表れるのではないかというのが私の考えである。；それに伴い、作品にもそういった思想の影響が如実に表れるようになっている。；室町時代に入ると河原者の多様な活動が記録に表れるようになる。；むしろ質問した少女の方が驚くほどの動揺が顔に表れる。；秀一はかなりいける口であったが、飲むとすぐ面に表れる方なのだ。；運転曲線とは、機械のある状態での運転点をグラフ化したときに表れる曲線。；死とその結果として表れる死体、それこそが世界のあらゆる地域で実際に起こっていたことなんだ。；波帯の下には紋章の縁から表れる銀の歯車が描かれている。；夏は、若いというだけで輝いて誰もが幸せに見える季節だけれど、冬は幸せな人とそうでない人の差がはっきり表れる。；その頃から、刑務所の現実が彼の作品に表れるようになった。；この両者の姿勢の差が、次のカンナエの戦いで明白な結果となって表れる事となる。</t>
        </is>
      </c>
      <c r="J268">
        <f>HYPERLINK("https://www.weblio.jp/content/表れる", "词义详情")</f>
        <v/>
      </c>
      <c r="K268">
        <f>HYPERLINK("https://yourei.jp/表れる", "查看例句")</f>
        <v/>
      </c>
    </row>
    <row r="269">
      <c r="A269" t="inlineStr">
        <is>
          <t>現れる</t>
        </is>
      </c>
      <c r="B269" t="inlineStr">
        <is>
          <t>成功</t>
        </is>
      </c>
      <c r="C269" t="inlineStr">
        <is>
          <t>読み方：あらわれる
［動ラ下一］［文］あらは・る［ラ下二］
１（現れる）今までなかったものが姿を見せる。「彗星(すいせい)のごとく—・れる」「雲間から太陽が—・れる」
２（表れる）隠れていたものが表面に出てくる。感情・思想などが表面から知られる状態になる。「怒りが顔に—・れる」「彼の考えがよく—・れた文章」
３（現れる）隠れていたものが際立って見えてくる。知れわたる。「真価が世に—・れる」
４（顕れる）よくないことが公になる。発覚する。「悪事が—・れる」</t>
        </is>
      </c>
      <c r="D269" t="inlineStr">
        <is>
          <t>現れる可能性；現れる反射光</t>
        </is>
      </c>
      <c r="E269" t="inlineStr">
        <is>
          <t>発生；見える；出る；登場する；生まれる</t>
        </is>
      </c>
      <c r="F269" t="inlineStr">
        <is>
          <t>初めて現れる；立ち現れる；次々と現れる；突然現れる；しばしば現れる</t>
        </is>
      </c>
      <c r="H269" t="n">
        <v>29</v>
      </c>
      <c r="I269" t="inlineStr">
        <is>
          <t>この時期に、インドで現れる大半の価値規範が形成されたと考えてよい。；ロマン派以降では、上記に加えてさまざまな形式が現れるようになった。；本症はこの動脈硬化が原因で身体にさまざまな症状が現れることを指す。；また行のうちでは、英語名に が現れる科の 背景を緑色 にしている。；リハーサルを見て自分が現れる以前に「面白い」と思ったと話している。；この頃から補助戦力であった航空機を主力にする主張が各国で現れる。；しかし、彼の才能は、特に次の作品群に早熟さとして現れることになる。；夫は夜になると寝所に現れるのみで姿を見ることはできなかった。；パウリ自身もこの評判を知っており、パウリ効果が現れるたびに喜んだ。；なお、干渉縞が現れるためには実験を繰り返し何度も行う必要がある。；この時代に有力勢力として現れる王国のほとんどはアムル系の王国である。；確実なタロット占いの記録が文献に現れるのは18世紀以降のことである。；ゴリツィアの名前が最初に記録に現れるのは1001年のことである。；時計が秒単位を表示するようになった初期の例は、16世紀後半に現れる。；真奈美との別れから6年が過ぎたある日、その本人が正樹の目の前に現れる。；このため、毎日1回から数回決まった時間に決まった場所の上空に現れる。；この傾向は隠岐では弱いが、共通語のiの部分にeが現れる場合がある。；このころから古いポーランド語による記述が多く現れるようになった。；宇宙開闢から10億年の間に、鍵となる銀河バルジが現れるようになる。；神保長職の名が確実な史料に現れるのは天文年間になってからである。；生物が現れる前は、二酸化炭素が多くを占める構成であったと推測されている。；その鏡には、自分の絵姿ではなく、嘲り笑う悪魔の奇っ怪な顔が現れる。；チベット死者の書によれば、死後の4日目に魂の救済に現れるとされる。；倍数の中で 以外は符号の違いだけの組が現れるので、 と表すこともある。；遺伝子の正常な塩基配列を変えると本来起こりえない異常な現象が現れる。；奇数次元の場合の式に現れる二重階乗 は と定義されるものである。；神は人間の姿をとって現れることがあるとする。；ただし各世界の観測者はどの世界にいるのか知らないため、確率的な結果が現れる。；夏羽では背中側が茶色と黒のまだら模様で、頭に白い部分が現れる。</t>
        </is>
      </c>
      <c r="J269">
        <f>HYPERLINK("https://www.weblio.jp/content/現れる", "词义详情")</f>
        <v/>
      </c>
      <c r="K269">
        <f>HYPERLINK("https://yourei.jp/現れる", "查看例句")</f>
        <v/>
      </c>
    </row>
    <row r="270">
      <c r="A270" t="inlineStr">
        <is>
          <t>蟻</t>
        </is>
      </c>
      <c r="B270" t="inlineStr">
        <is>
          <t>成功</t>
        </is>
      </c>
      <c r="C270" t="inlineStr">
        <is>
          <t>読み方：あり
１膜翅(まくし)目アリ科の昆虫の総称。体は小形で、黒色または赤褐色。頭・胸・腹部の間がくびれている。1匹の女王アリ、少数の雄アリ、多数の働きアリで集団生活を営む。地中や樹木に巣を作り、時に巨大な蟻塚を作る。日本にはクロヤマアリ・クロオオアリ・サムライアリなど100種以上が知られる。《季夏》「睡蓮の乾きたる葉に—遊ぶ／年尾」
２木材の先端に作る、先が広がった鳩尾(きゅうび)形。継ぎ手・仕口(しくち)などに用いる。</t>
        </is>
      </c>
      <c r="D270" t="inlineStr">
        <is>
          <t>蟻たち(2%)；蟻鳳；蟻性；蟻喰亭；蟻の這い出る</t>
        </is>
      </c>
      <c r="E270" t="inlineStr">
        <is>
          <t>アリ</t>
        </is>
      </c>
      <c r="F270" t="inlineStr">
        <is>
          <t>鶴澤蟻；兵隊蟻；大蟻；山蟻；蟻食い</t>
        </is>
      </c>
      <c r="G270" t="inlineStr">
        <is>
          <t>蟻田；蟻地獄；蟻酸；蟻の街；蟻輸送</t>
        </is>
      </c>
      <c r="H270" t="n">
        <v>29</v>
      </c>
      <c r="I270" t="inlineStr">
        <is>
          <t>わたしは蟻たちの中に、ほかのやつより大きなのがいることに気づいた。；報告に行つた留守の間に他の蟻の族が幾度となくその周圍にやつて來た。；試みに杖などであばいて見ると、その中には山蟻が一杯群をなしている。；功労馬になってからは一度蟻洞になった時期があったが、回復している。；兵蟻も幼虫とされているが職蟻と違い、通常は他階級には分化できない。；蟻には約二千種の種類があることも、これまでに明らかにされている。；蟻が行列を作っている場面に出くわすとその先に何かがあるのかを感じる。；人間が蟻か何かのように妙にちょこちょこと動くのが滑稽でおもしろい。；蟻の這いでるすきもないような非常警戒網を張りめぐらしてあるんです。；このことは蟻が見つけたものを地面に埋めてくれるからであろうと考えられている。；お前とお太陽さんが氷をとかして、お前と氷とで蟻の足をくじいたのだよ。；そこは珠江の河口にあって、世界じゅうの船が蟻のように集まっていた。；蟻はその身長一分に過ぎざるに、なお高さ三丈の巣を作りてこれに住す。；なんだか自分が蟻のように小さいように思いながら、急いで登った。；このようにして、ホースの表面を這う蟻は2次元的に動くことができる。；そう云う蟻には石燈籠の下や冬青の木の根もとにも出合った覚えはない。；けれども蟻はその小さい体にありつたけの力でもう一度ひつぱつて見る。；蟻のような人間、昆虫のような自動車が生命の営みにせわしそうである。；蟻は何万、何十万といふ程多数のものが自治協同の生活をしてをります。；それッと、役人たちの蟻のような影が中天の陽の下で忙しく動きはじめる。；ぼくたちよりどの程度優れているかも、人間と蟻の比較が当てはまる。；その後、蟻は殺虫剤で殺されるが、すぐに耐性を持った個体が生まれる。；彼はガッカリしてあたりを見ると、まるで蟻のように人が附いて来た。；手で掴まり下の方を覗くと町を歩く人馬がすでに蟻程になって見える。；それから彼女は蟻にも同じ条件で山に穴を掘り進むように頼んだ。；一つのからなんか蟻が出て来ると道が真黒な位どつさりゐましたよ。；毒蟻や毒蜂やその他の虫が、昼となく夜となく一行をなやましました。；この蟻がうようよ集まっているような一群は野営している軍だった。；ひっそり暮らしていた蟻が突然かき乱され、侵入者に怒ったに違いない。</t>
        </is>
      </c>
      <c r="J270">
        <f>HYPERLINK("https://www.weblio.jp/content/蟻", "词义详情")</f>
        <v/>
      </c>
      <c r="K270">
        <f>HYPERLINK("https://yourei.jp/蟻", "查看例句")</f>
        <v/>
      </c>
    </row>
    <row r="271">
      <c r="A271" t="inlineStr">
        <is>
          <t>あり方</t>
        </is>
      </c>
      <c r="B271" t="inlineStr">
        <is>
          <t>成功</t>
        </is>
      </c>
      <c r="C271" t="inlineStr">
        <is>
          <t>読み方：ありかた
１ある物事の、当然そうでなければならないような形や状態。物事の、正しい存在のしかた。「会議の—」「福祉の—」
２現にある、存在のしかた。ありさま。ありがたち。
「その消息(あるかたち)及び地形(くにかた)の—を伺(み)る」〈景行紀〉</t>
        </is>
      </c>
      <c r="D271" t="inlineStr">
        <is>
          <t>あり方そのもの；あり方検討委員会；あり方を大きく；あり方検討会；あり方自体</t>
        </is>
      </c>
      <c r="E271" t="inlineStr">
        <is>
          <t>状態；様子；様；恰好；様相</t>
        </is>
      </c>
      <c r="F271" t="inlineStr">
        <is>
          <t>本来的なあり方</t>
        </is>
      </c>
      <c r="H271" t="n">
        <v>29</v>
      </c>
      <c r="I271" t="inlineStr">
        <is>
          <t>福祉に関連した施設や制度のあり方などについての研究も行われている。；この世のあり方っていうか、そういう大きな設定のような気がするのね。；なぜなら異なった社会では、異なった科学のあり方があり得るからである。；そして、それは「中世の地域に生きる人の一般的なあり方」でもあった。；これを受けて、ソ連軍はこれまでの戦車のあり方を見直すことになった。；こうして次第に細胞という存在とそのあり方が注目されるようになる。；政治のあり方や自己の生き方についての指針を求めるものが多くなった。；神性が表現されるあり方は様々だが、多くの場合、人間の形で表現される。；このため、2000年度からバス交通のあり方の検討が行われてきた。；過去には法務省内でも死刑の存廃やあり方などを議論してきた経緯がある。；特にファッションや音楽愛好のあり方への影響は現在においても大きい。；また、庇のあり方や屋根構造の面などでも二堂との違いがなくなっている。；カルドゥッチは人気のあった講師で、文学や社会のあり方を激しく批判した。；このような国のあり方や文化にまで範囲を広げる交渉は前例の無いことだった。；インドシナでの戦場報道は、その後の報道のあり方を様々な面で変えていった。；植物では維管束などの基本的構造の他、生活環のあり方なども重視される。；二人の仕事はその後の森林管理のあり方に大きく影響を与えた。；一方で、一部のクローンは帝国のあり方に異を唱え反乱同盟に参加していた。；父と三人の娘の生き方を通して、現代の家族のあり方を見つめた作品。；脚本は、戦後日本のあり方を問い続けてきたジェームス三木が担当した。；「交換」という観点から社会のあり方を解きほぐそうとする試みである。；各地方のポケモンリーグはそれぞれ別に存在し、そのあり方も大幅に異なる。；そのようなことからコスプレダンパのあり方についての議論はたえない。；そのような観点で、現在では社会性昆虫のようなあり方を真社会性と呼ぶ。；民放の新規開局が盛んだった時期であり、番組規制のあり方が変更された。；メスバーフ・ヤズディーは殉教的な活動のあり方を承認して次のようにいう。；宗教の熱心な信者にとって、避妊は性の本来のあり方に反するとされる。；常温核融合のあり方は多種多様であり、世界では様々な研究がなされている。；この詩には政治のあり方についての記述もみられ、一種の政体論になっている。</t>
        </is>
      </c>
      <c r="J271">
        <f>HYPERLINK("https://www.weblio.jp/content/あり方", "词义详情")</f>
        <v/>
      </c>
      <c r="K271">
        <f>HYPERLINK("https://yourei.jp/あり方", "查看例句")</f>
        <v/>
      </c>
    </row>
    <row r="272">
      <c r="A272" t="inlineStr">
        <is>
          <t>有難い</t>
        </is>
      </c>
      <c r="B272" t="inlineStr">
        <is>
          <t>成功</t>
        </is>
      </c>
      <c r="C272" t="inlineStr">
        <is>
          <t>読み方：ありがたい
［形］［文］ありがた・し［ク］《あることがむずかしい、の意から》
１人の好意などに対して、めったにないことと感謝するさま。「—・い助言」「—・く頂戴する」
２都合よく事が進んでうれしく思うさま。「—・いことに雨がやんだ」「社にとっては—・くない状況だ」
３またとないくらい尊い。もったいない。「—・い仏様」「—・いお言葉」
４存在しがたい。珍しい。めったにない。
「—・きもの、舅にほめらるる婿」〈枕・七五〉
５むずかしい。困難だ。
「前車の轍(てつ)を見る事は誠に—・き習ひなりけむかし」〈神皇正統記・後醍醐〉
６世に生きることがむずかしい。生活しにくい。
「世の中は—・く、むつかしげなるものかな」〈源・東屋〉
[派生]ありがたがる［動ラ五］ありがたげ［形動］ありがたさ［名］ありがたみ［名］</t>
        </is>
      </c>
      <c r="D272" t="inlineStr">
        <is>
          <t>有難いこと(22%)；有難いもの(5%)；有難い事(3%)；有難い話；有難い御</t>
        </is>
      </c>
      <c r="E272" t="inlineStr">
        <is>
          <t>感謝；神聖；お礼；ありがたい；好ましい</t>
        </is>
      </c>
      <c r="F272" t="inlineStr">
        <is>
          <t>どんなに有難い；こんな有難い；方が有難い；大変有難い；とても有難い</t>
        </is>
      </c>
      <c r="H272" t="n">
        <v>29</v>
      </c>
      <c r="I272" t="inlineStr">
        <is>
          <t>それ故私の方から言ふと神社は有難くならぬ方が多いかも知れませぬ。；おれの用意をしてくれた有難い友人の名前を知らないのが残念だった。；しばらくは物を食うことの有難さで、ほかのことを考える隙もなかった。；さうして下されば、今までなすつたうちで一番有難いことに思ひますが。；それがまたお時に取っては此の上もない有難いことのように思われていた。；同じく、紙の入手が容易になることは僕にとっても有難いことであった。；人間を最も、力の満ちた、快活な時にする朝を私は有難い物に思われた。；その有難い書物にも妾を置いてはいけないと書いては無いかも知れぬ?；苦労してくれたのは有難いけれど、苦労を笠に着られるのは御免なんだ。；この数日ハリーに会っていなかったが、かえって近くにおらず有難かった。；有難えの一言を口にするより先に、思わずこう、手を合わせちまったよ。；有難くお受けしてしばらくすると交換条件のようにして会社が言って来ました。；けれども、それよりさきに別のあることが起ったんだ、有難いことにな。；ただ、有難いことに、そいつも、計画の実行には反対していないらしい。；妙なもので、外国にいると自分の国の言葉が、非常に有難くなるんですよ。；この意味でも、年間三万点に近い新刊書が出ているということは有難い。；即座に警官を呼ばれなかっただけでも有難いと思わなければいけない。；あなたが天鵞絨の靴をはいてるのは何んて有難いことだらう、ジエィン!；私はそれを有難いことであり、また世界の模範でもあると思っております。；私の方も長年やらせていただいて大変宣伝になり有難かったと思っています。；しかし母親にしてやったことは、そちらで多少とも有難いと思っていい。；そしてそんな有難い「心」といふものを持つてゐる自分達の幸福を思つた。；そして有難い事には、それを裏書きしてくれる事実があった事です。；群集は不安の中にもこの有難い場所からもう動かうとはしなかつた。；誰か他の人が病気だと聞くと、つくづく自分の健康が有難く思えます。；厄介者がいなくなるのは有難いくらいです、どうか伴れていって下さい。；まことに有難いことで、これで、解釈は決定したと言っていいと思う。；こういうものを誰も不断に用いるとは有難いことではありませんか。；短くて、謎めいた方が有難そうだということは、文章の上にも言われる。</t>
        </is>
      </c>
      <c r="J272">
        <f>HYPERLINK("https://www.weblio.jp/content/有難い", "词义详情")</f>
        <v/>
      </c>
      <c r="K272">
        <f>HYPERLINK("https://yourei.jp/有難い", "查看例句")</f>
        <v/>
      </c>
    </row>
    <row r="273">
      <c r="A273" t="inlineStr">
        <is>
          <t>ありきたり</t>
        </is>
      </c>
      <c r="B273" t="inlineStr">
        <is>
          <t>成功</t>
        </is>
      </c>
      <c r="C273" t="inlineStr">
        <is>
          <t>読み方：ありきたり
［名・形動］《元からあることの意から》珍しくないこと。ありふれていること。また、そのさま。「—な（の）意見」</t>
        </is>
      </c>
      <c r="D273" t="inlineStr">
        <is>
          <t>同様；平凡；並；一様；均一</t>
        </is>
      </c>
      <c r="H273" t="n">
        <v>29</v>
      </c>
      <c r="I273" t="inlineStr">
        <is>
          <t>若い監督も彼の父の質問をもっとありきたりのことのように取っていたのだ。；フレッシュというにはありきたりに過ぎるが、他に表現しようもないね。；まるで一日ぶりに学校で会った時のような、ありきたりの笑顔をする。；これからやろうとしてることは、そんなありきたりのことじゃないんだ。；ありきたりの、どこにでもあるような普通の生活から解放されるんだ!；あるいはここまでは、ありきたりのことと言つて言えなくはあるまい。；まるで、そうした生活がまったくありきたりのことでもあるかのように。；ありきたりの兵法者なら、これだけですでに気死状態に陥るはずなのに。；毒物を使ったとしても青酸カリのようなありきたりの毒ではないですよ。；乗客たちの間からはごくありきたりの不満ぐらいしか聞かれなかった。；トンガの火はごくありきたりの形で所有され、いろいろに使用されている。；特に症状がありきたりの病気の場合に「偽陰性」は深刻な問題を生じる。；ありきたりの言葉で、彼女を慰めることはできないと思ったからでもある。；ありきたりだ、との声もあるが、千花はこの店の癖のない味が好きだ。；という、ありきたりの結論にまで私を滑りこませようとするのだろうか。；結婚を反対されたための、いわばありきたりの心中であったと記憶している。；ありきたりすぎて、もしかすると冗談だと思われてしまうのではあるまいか。；文面はありきたりのものではあったが、儀礼としての手紙ではなかった。；からだも小作りだし、色の白いだけが取柄のありきたりの顔立ちである。；やつらがいいものを持っているのに、こちらはありきたりの武器しかないんだから。；つまらんありきたりの花じゃが、これがあんたには大きな霊験があるのだ。；今では誰でも抱いているありきたりの感情にすぎなかった。；ありきたりの歌だったけど、その子の運命をよくあらわしていたわ。；しかしそれは所詮みなありきたりの偶発的な出来事でしかありませんでした。；柊子は本好きだったが、いかにもありきたりの名作しか読んでいなかった。；そして、そんなありきたりの植物に興味を持つだろうかと考えて気を紛らせた。；ありきたりのものでは満足できなくなると、人間はそれ以上のものを求めるようになる。；憎悪はかれに対して他人が抱く、ごくありきたりの感情にすぎなかった。；いや、わかっていて、わざとこういうありきたりの記事にしたのかもしれない。</t>
        </is>
      </c>
      <c r="J273">
        <f>HYPERLINK("https://www.weblio.jp/content/ありきたり", "词义详情")</f>
        <v/>
      </c>
      <c r="K273">
        <f>HYPERLINK("https://yourei.jp/ありきたり", "查看例句")</f>
        <v/>
      </c>
    </row>
    <row r="274">
      <c r="A274" t="inlineStr">
        <is>
          <t>有様</t>
        </is>
      </c>
      <c r="B274" t="inlineStr">
        <is>
          <t>成功</t>
        </is>
      </c>
      <c r="C274" t="inlineStr">
        <is>
          <t>読み方：ありさま
１物事の状態。ありよう。「世の中の—」「事故の—」「こんな—では完成しない」
２身分。境遇。
「数ならぬ—なめれば、必ず人笑へに憂きこと出で来むものぞ」〈源・宿木〉
→様子(ようす)［用法］</t>
        </is>
      </c>
      <c r="D274" t="inlineStr">
        <is>
          <t>有様であつ；有様でござい</t>
        </is>
      </c>
      <c r="E274" t="inlineStr">
        <is>
          <t>状態；様子；様；状；具合</t>
        </is>
      </c>
      <c r="F274" t="inlineStr">
        <is>
          <t>たる有様；ひどい有様；こんな有様；そんな有様；みじめな有様</t>
        </is>
      </c>
      <c r="H274" t="n">
        <v>29</v>
      </c>
      <c r="I274" t="inlineStr">
        <is>
          <t>自分の経験を話しながら、この老人が興奮して行く有様は興味があった。；周王室の領土は東西に分裂し、狭い範囲で互いに争い合う有様であった。；彼の古い邸の有様にも何かきわめて詩的で絵のように美しいところがある。；そのため劉の時代の南漢朝廷はほとんど宦官で占められる有様であった。；こう語りおわった時、二人の青年は始めて安心したという有様であった。；何と形容してよいかその時の有様は今なお忘れられないほど愉快であった。；日々の暮らしに追われ慣れない商売や農業を始める有様であった。；義朝勢は風で門が開いたのも為朝勢の突撃と恐れて逃げ惑う有様だった。；ちょうど、おあいがこの村にいて、森の家に通うた時の有様と同じである。；何となれば、そこには全く想像も及ばないほどの奇妙な有様が見られたから。；烏滸とは、馬鹿げていてあるいは滑稽で人の笑いを買う様な有様を指す。；半ば身を立てて四辺を見ると実に何ともいわれない悲惨な有様だ。；そこで多くの民衆は、この事件の有様を河内音頭で知ることが出来た。；客はほとんど満員の有様なので、ようやく庭の隅の方の腰掛に席を取った。；而して既にその有様は今の日本の新しい文明に表われて来ておりはしないか。；病人の数が多くて日々の作業をやる兵士を探すにも難儀する有様であった。；そして室内の有様などには目もくれず、息をはずませながら係長へ云った。；しかし、肝硬変で入院していたものの病室でも酒を飲んでいる有様だった。；詔勅はすべて祈念の言葉であり、御信仰の深まり行く有様ともみられる。；調子のいい言葉をかけて、易々と金を奪う有様は、スリかと思うほどだ。；僕はこう云う文句を読み、何冊かの本が焔になって立ち昇る有様を想像した。；また、遺体の損傷がひどくいかなる姿だったかすらわからない有様となっている。；その時頭は、もちろん敷物の上においたフットボールの球のような有様だ。；この有様を見た与兵衛は一生懸命に川原を下の方へ駈けて行きました。；またペルラの方は、ウェスの有様から殺されてしまったと勘違いし絶望。；神社や仏閣等も数多くその立派な建造物を倒されている有様である。；だもんで、自動車を停めて、ここまで来てみると、この有様なんですのよ。；僕の子供の頃の浅草の奥山の有様を考えると、暫くの間に変ったものです。；松の緑が点在する有様が松島に似ていることから陸の松島と呼ばれている。</t>
        </is>
      </c>
      <c r="J274">
        <f>HYPERLINK("https://www.weblio.jp/content/有様", "词义详情")</f>
        <v/>
      </c>
      <c r="K274">
        <f>HYPERLINK("https://yourei.jp/有様", "查看例句")</f>
        <v/>
      </c>
    </row>
    <row r="275">
      <c r="A275" t="inlineStr">
        <is>
          <t>ありとあらゆる</t>
        </is>
      </c>
      <c r="B275" t="inlineStr">
        <is>
          <t>成功</t>
        </is>
      </c>
      <c r="C275" t="inlineStr">
        <is>
          <t>読み方：ありとあらゆる
［連語］（連体詞的に用いる）「あらゆる」を強めた語。ある限りすべての。ありとある。「—手段を尽くす」</t>
        </is>
      </c>
      <c r="D275" t="inlineStr">
        <is>
          <t>ありとあらゆるもの(8%)；ありとあらゆる種類(3%)；ありとあらゆる手段；ありとあらゆる場所；ありとあらゆる方法</t>
        </is>
      </c>
      <c r="E275" t="inlineStr">
        <is>
          <t>あらゆる；全ての</t>
        </is>
      </c>
      <c r="F275" t="inlineStr">
        <is>
          <t>世界中のありとあらゆる；ありとあらゆる方向；ありとあらゆる情報；ありとあらゆる形；ありとあらゆる可能性</t>
        </is>
      </c>
      <c r="H275" t="n">
        <v>29</v>
      </c>
      <c r="I275" t="inlineStr">
        <is>
          <t>まるでこの小さい村のありとあらゆる人間が海岸に集まったようでした。；地球上ではわれわれの市は港だったから、ありとあらゆる什事をやった。；彼らはありとあらゆる工夫をして、あんたにその金を出させようとする。；千年後には、彼らは人類宇宙のありとあらゆるところに散らばっていた。；彼女はグレゴールがありとあらゆる分別をもっているものと思っていた。；つづけて発射できるように、ありとあらゆる武器に弾丸がこめてあった。；そうなれば、ペルシダーのありとあらゆるものが彼らの意のままになる。；しかも三人は、今までありとあらゆる苦しみに耐えて来た上なのです。；そこで、彼らはありとあらゆる種類の地球動物を自分たちの惑星へ運んだ。；畑や、庭のありとあらゆる緑の植物は、根こそぎだめになってしまった。；ゾンガーは、人間のありとあらゆる種類の武器を手にしていたからだ。；これはどうも、ありとあらゆることに手を染めた人間のようであった。；それゆえ彼はこの探索をありとあらゆる仕方で妨害しようと決心した。；すると、人間が思いつく限りのありとあらゆる悪辣な行為を始めたのよ。；地上のありとあらゆるものと関係することができるんだからね。；ほとんどありとあらゆる形の音楽で、打楽器は枢要な機能を演じている。；食品への不正な物質の混入はありとあらゆる種類の食品で行われていた。；私は彼に物を食べさせるようにするため、ありとあらゆる方法をとったのである。；この飛行機の中のありとあらゆる室を見まわっているえらい人間だ。；人類の歴史の上でも、袋はありとあらゆるところで使われてきた。；そんなわけで「私」はこれまでにありとあらゆる種類の男に犯されてきた。；ありとあらゆるものが私たちを地獄に突き落とそうとしているんだ。；およそこの地球上に住むありとあらゆるものは、この英雄のものとなるであろう。；ありとあらゆる楽器を演奏できることで知られていたからだ。；しかしこの未開の島にある、ありとあらゆる形態の死に自ら接近して行った。；世のありとあらゆる泉よ、その流れをすべてわたしの目に流しこんでおくれ!；ありとあらゆる幸福をひっくるめて、家族の者たちにもたらしてやりたい。；そしてありとあらゆる種類の夢を見たが、シルヴァーの夢だけは見なかった。；PCM音源の登場で、ありとあらゆる音が楽器に出来るようになった。</t>
        </is>
      </c>
      <c r="J275">
        <f>HYPERLINK("https://www.weblio.jp/content/ありとあらゆる", "词义详情")</f>
        <v/>
      </c>
      <c r="K275">
        <f>HYPERLINK("https://yourei.jp/ありとあらゆる", "查看例句")</f>
        <v/>
      </c>
    </row>
    <row r="276">
      <c r="A276" t="inlineStr">
        <is>
          <t>ありのまま</t>
        </is>
      </c>
      <c r="B276" t="inlineStr">
        <is>
          <t>成功</t>
        </is>
      </c>
      <c r="C276" t="inlineStr">
        <is>
          <t>読み方：ありのまま
実際にあるとおり。偽りのない姿。ありてい。「—の話」「—を見せる」</t>
        </is>
      </c>
      <c r="D276" t="inlineStr">
        <is>
          <t>ありのままに話し；ありのままに書い；ありのままに描く；ありのままに話す；ありのままに述べ</t>
        </is>
      </c>
      <c r="E276" t="inlineStr">
        <is>
          <t>そのまま；自然；単純；天然；明白</t>
        </is>
      </c>
      <c r="F276" t="inlineStr">
        <is>
          <t>事実ありのまま；事情をありのまま；感情をありのまま；ありのままに報告；ありのままに写す</t>
        </is>
      </c>
      <c r="G276" t="inlineStr">
        <is>
          <t>ありのまま舎</t>
        </is>
      </c>
      <c r="H276" t="n">
        <v>29</v>
      </c>
      <c r="I276" t="inlineStr">
        <is>
          <t>正直にありのままを描写してどうして非難されることがあるのだろうか。；音楽と同じようにありのままの私でお話出来たら良いなと思っています。；あの男は全く単純に、自分のやることをありのままにいってしまうのだ。；あんたが事件をありのままに話したら、みんなが信用してくれるだろう。；ここでは特にどちらと判断せずにありのままに記しておくこととした。；そしてときどき彼女の美しい姿をありのままに絵に描いてみたく思う。；あえてそのありのままの姿を描き出そうとした詩人は一人もいなかった。；私は私の会計係の毎日ありのままな報告をどんなに喜んでいるか知れない。；誰の目にも見える即物的なありのままの事実として僕は言っているのだ。；いっさいの説明をはぶいてそれをありのままにここに述べることにする。；彼女は、自分自身の姿をありのままに眺めるだけの、余裕と力を感じた。；と叫んだとき、彼は自分のありのままの姿を認めていたのであった。；ありのままを話したりすると、部長は念のためにと社長の耳に伝えかねない。；人のよいファニイは、ただ、事実をありのままに言っているだけなのだ。；三月のあの霧の朝見たその場の光景を、以下ありのままに描写しよう。；そして村長を訪ねてありのままを話して何か手懸りはないかと尋ねてみた。；事件はありのままに書いているのだから、もう何もいうことはない。；そしてその魅力に打たれる以上はそれをありのままに告白するより外はない。；ありのままに書きなさい、と言う先生はたいへん少ないのではないだろうか。；いずれにしても、その手紙は半蔵にあてたありのままな事実の報告らしい。；そのひきつるような体の震えが僕の手にありのままに伝わってきた。；自ら命を断つか、ありのままに運命を受け入れるような者ばかりだった。；フランクはありのままを伝えていいのであれば彼の秘密を全て話すと約束した。；そして、どうしてこんな馬鹿なことをしたか、ありのままを説明するんだ!；ありのままに事物を見ることを恐れてる、気の小さな父親らであった。；もし後でその人が何か聞きに来ましたら、ありのままを答えて下さい。；実は少しも気をつけたりしないで、ありのままを書いてしまったのである。；自己をありのままに肯定する心と、要求の前に自己の欠陥を恥ずる心と。；彼の労働者はすなわちありのままの事実をもってこれに答えた。</t>
        </is>
      </c>
      <c r="J276">
        <f>HYPERLINK("https://www.weblio.jp/content/ありのまま", "词义详情")</f>
        <v/>
      </c>
      <c r="K276">
        <f>HYPERLINK("https://yourei.jp/ありのまま", "查看例句")</f>
        <v/>
      </c>
    </row>
    <row r="277">
      <c r="A277" t="inlineStr">
        <is>
          <t>ありふれる</t>
        </is>
      </c>
      <c r="B277" t="inlineStr">
        <is>
          <t>成功</t>
        </is>
      </c>
      <c r="C277" t="inlineStr">
        <is>
          <t>読み方：ありふれる
［動ラ下一］［文］ありふ・る［ラ下二］（多く「ありふれた」「ありふれている」の形で）どこにでもある。ざらにある。普通であって珍しくない。「—・れた事件」</t>
        </is>
      </c>
      <c r="D277" t="inlineStr">
        <is>
          <t>普通の；一般的な；ありふれた；ありがちな；オーソドックスな</t>
        </is>
      </c>
      <c r="H277" t="n">
        <v>29</v>
      </c>
      <c r="I277" t="inlineStr">
        <is>
          <t>その動物がどんなものだろうと、ありふれたやつではないことは確かだ。；それは黒い装飾のない車であったが、普通ありふれたものではなかった。；資本主義市場を支持する分野からの批判も同様にありふれたものである。；しかし世間一般の例から云つてみるとありふれた珍しくもないことである。；先生の教えることは、ありふれた学校でやるようなことではありません。；インドでは古来から現在まで非標準語での文学はありふれたものである。；こんなありふれた本でさえ増刷を制限しているものだからこの始末です。；これこそがあなたが処理する女性であり、ありふれた女性ではないのです。；それはどこにでもあるような、ありふれた会話に過ぎないのかも知れない。；それはごくありふれたことで、べつだんなんの変わったこともなかった。；しかしクリストフは、その書物がありふれたものかどうか知らなかった。；野獣のような男たちは文明戦の、ごくありふれた倫理さえ無視しました。；中に入れる生物はゴキブリや雑草などありふれたものでも、何でもよい。；ありふれているものとは、多くの人々が手の届く範囲内にあるものである。；しかし、世間一般の例から云ってみるとありふれた珍しくもないことである。；現在は海底に沈んでしまった場所では、ありふれた名前だったかもね。；小惑星の多くは全くありふれたものであり、特に注目すべきものではない。；はじめの二部は高温腐食試験に関するごくありふれた内容のものだった。；軽度のものを含めるとチックは比較的ありふれたものと考えられている。；その表情は、この作業がいかにもありふれたことにすぎないように見せていた。；とうていありえないようなこともごくありふれた出来事なのである。；しかしその後、これはイギリスでは非常にありふれたものであることを知った。；男女関係のそれのようにありふれていないからでもあろうか。；なお、地球上で非常にありふれていながら選択毒性を示す物質も多い。；あたしはこれはありふれたようでも、ずいぶん大きい悲劇だと思うの。；あの夫人は素晴らしい方で、ありふれたタイプの女性ではありません。；なぜ農村でありふれた鳥である鵲を的にするのかの謂れは伝わっていない。；夫婦喧嘩は、喧嘩の中でも最もありふれたものに分類される類のものである。；きわめてありふれたものではあったが、彼は私に自分の身の上を物語った。</t>
        </is>
      </c>
      <c r="J277">
        <f>HYPERLINK("https://www.weblio.jp/content/ありふれる", "词义详情")</f>
        <v/>
      </c>
      <c r="K277">
        <f>HYPERLINK("https://yourei.jp/ありふれる", "查看例句")</f>
        <v/>
      </c>
    </row>
    <row r="278">
      <c r="A278" t="inlineStr">
        <is>
          <t>ある</t>
        </is>
      </c>
      <c r="B278" t="inlineStr">
        <is>
          <t>成功</t>
        </is>
      </c>
      <c r="C278" t="inlineStr">
        <is>
          <t>読み方：ある
《(中国語)》数の2。二つ。</t>
        </is>
      </c>
      <c r="D278" t="inlineStr">
        <is>
          <t>あるまい；ある種；ある公立小学校；ある公立中学校；ある神社</t>
        </is>
      </c>
      <c r="E278" t="inlineStr">
        <is>
          <t>いる；位置；存在する；居る；立つ</t>
        </is>
      </c>
      <c r="F278" t="inlineStr">
        <is>
          <t>可能である；駅である；不明である；有名である；困難である</t>
        </is>
      </c>
      <c r="G278" t="inlineStr">
        <is>
          <t>ある程度；ある意味；あるとき；あるかの；あるじ</t>
        </is>
      </c>
      <c r="H278" t="n">
        <v>29</v>
      </c>
      <c r="I278" t="inlineStr">
        <is>
          <t>会話が可能なまでのレベルにまでマスターしている必要は無いであろう。；朕はこれに同意したこともなければ、今後も決して同意しないであろう。；たとえばイチョウから精子が発見されたのはその代表的なものであろう。；以下の画像の楽器は18世紀フランス様式のものであり、後者に属する。；現在の旅は非常に多様であり、さまざまに分類することが可能である。；僕は帰国するまであんたら二人には会ったことはないが、噂は知っていた。；非常に多作な作家でありながら、作品ごとに独特な設定が為されている。；しかし上京が全くなかったら、失業率が酷いことになっていたであろう。；ナンバリングタイトルのパロディ的な要素を含んでいるタイトルもある。；だが、周囲の色に引きずられて物の色が違って見えては困るであろう。；この大交響曲とは本作のことを指すものであろうと推測されている。；武田の行政機構が領地の拡大にあわせて変化していった一例であろう。；地球上で最も強い加熱面だったであろう表面が冷却面に変わったといえる。；他人より優れているように振舞いたがる人間は後々見劣りするであろう。；そうなった原因はわからないが、おそらく不在期間が長すぎたのであろう。；だってあの人の靴は、あんたのよりサイズが二つほど上なんですもの。；以下は理論値ではなく、ある期間の観測結果からの年間の回数である。；式には、結婚したばかりの作家であり友人の大江と妹ゆかりも参列した。；破壊が始まった一点が震源であり、破壊されてずれた部分が断層となる。；また、印刷された文字にマージナルゾーンが見られるなどの特徴がある。；山鹿素行は風が地表を移動する空気の流れである事には気づいていた。；ドイツ語が公用語であり、ほとんどの住民が日常使っている言語でもある。；ドイツ語が公用語であり、ほとんどの住民が日常使っている言語でもある。；現在の日本のロバは200頭という説もあり、多くとも数百頭であろう。；翌日からあん子は家の中にゐるやう命じられ、雨戸は外から締められた。；主な海外で使用されている震度階級としては以下のようなものがある。；明治三十一年勅令第九十号これは、現代の表記に直すと次の通りである。；各種のマグニチュードの値の間では差異を持つので注意が必要である。；亀田俊和は、この点もまた幕府首脳部を震撼させたであろうとしている。</t>
        </is>
      </c>
      <c r="J278">
        <f>HYPERLINK("https://www.weblio.jp/content/ある", "词义详情")</f>
        <v/>
      </c>
      <c r="K278">
        <f>HYPERLINK("https://yourei.jp/ある", "查看例句")</f>
        <v/>
      </c>
    </row>
    <row r="279">
      <c r="A279" t="inlineStr">
        <is>
          <t>ある</t>
        </is>
      </c>
      <c r="B279" t="inlineStr">
        <is>
          <t>成功</t>
        </is>
      </c>
      <c r="C279" t="inlineStr">
        <is>
          <t>読み方：ある
《(中国語)》数の2。二つ。</t>
        </is>
      </c>
      <c r="D279" t="inlineStr">
        <is>
          <t>あるまい；ある種；ある公立小学校；ある公立中学校；ある神社</t>
        </is>
      </c>
      <c r="E279" t="inlineStr">
        <is>
          <t>いる；位置；存在する；居る；立つ</t>
        </is>
      </c>
      <c r="F279" t="inlineStr">
        <is>
          <t>可能である；駅である；不明である；有名である；困難である</t>
        </is>
      </c>
      <c r="G279" t="inlineStr">
        <is>
          <t>ある程度；ある意味；あるとき；あるかの；あるじ</t>
        </is>
      </c>
      <c r="H279" t="n">
        <v>29</v>
      </c>
      <c r="I279" t="inlineStr">
        <is>
          <t>会話が可能なまでのレベルにまでマスターしている必要は無いであろう。；朕はこれに同意したこともなければ、今後も決して同意しないであろう。；たとえばイチョウから精子が発見されたのはその代表的なものであろう。；以下の画像の楽器は18世紀フランス様式のものであり、後者に属する。；現在の旅は非常に多様であり、さまざまに分類することが可能である。；僕は帰国するまであんたら二人には会ったことはないが、噂は知っていた。；非常に多作な作家でありながら、作品ごとに独特な設定が為されている。；しかし上京が全くなかったら、失業率が酷いことになっていたであろう。；ナンバリングタイトルのパロディ的な要素を含んでいるタイトルもある。；だが、周囲の色に引きずられて物の色が違って見えては困るであろう。；この大交響曲とは本作のことを指すものであろうと推測されている。；武田の行政機構が領地の拡大にあわせて変化していった一例であろう。；地球上で最も強い加熱面だったであろう表面が冷却面に変わったといえる。；他人より優れているように振舞いたがる人間は後々見劣りするであろう。；そうなった原因はわからないが、おそらく不在期間が長すぎたのであろう。；だってあの人の靴は、あんたのよりサイズが二つほど上なんですもの。；以下は理論値ではなく、ある期間の観測結果からの年間の回数である。；式には、結婚したばかりの作家であり友人の大江と妹ゆかりも参列した。；破壊が始まった一点が震源であり、破壊されてずれた部分が断層となる。；また、印刷された文字にマージナルゾーンが見られるなどの特徴がある。；山鹿素行は風が地表を移動する空気の流れである事には気づいていた。；ドイツ語が公用語であり、ほとんどの住民が日常使っている言語でもある。；ドイツ語が公用語であり、ほとんどの住民が日常使っている言語でもある。；現在の日本のロバは200頭という説もあり、多くとも数百頭であろう。；翌日からあん子は家の中にゐるやう命じられ、雨戸は外から締められた。；主な海外で使用されている震度階級としては以下のようなものがある。；明治三十一年勅令第九十号これは、現代の表記に直すと次の通りである。；各種のマグニチュードの値の間では差異を持つので注意が必要である。；亀田俊和は、この点もまた幕府首脳部を震撼させたであろうとしている。</t>
        </is>
      </c>
      <c r="J279">
        <f>HYPERLINK("https://www.weblio.jp/content/ある", "词义详情")</f>
        <v/>
      </c>
      <c r="K279">
        <f>HYPERLINK("https://yourei.jp/ある", "查看例句")</f>
        <v/>
      </c>
    </row>
    <row r="280">
      <c r="A280" t="inlineStr">
        <is>
          <t>或いは</t>
        </is>
      </c>
      <c r="B280" t="inlineStr">
        <is>
          <t>成功</t>
        </is>
      </c>
      <c r="C280" t="inlineStr">
        <is>
          <t>読み方：あるいは
《動詞「あり」の連体形＋副助詞「い」＋係助詞「は」から。本来は、「ある人は」「ある場合は」などの意の主格表現となる連語》
［副］
１同類の事柄を列挙していろいろな場合のあることを表す。一方では。「—歌をうたい、—笛を吹く」
２ある事態が起こる可能性があるさま。ひょっとしたら。「—私がまちがっていたかもしれない」「明日は—雨かもしれない」
［接］同類の物事の中のどれか一つであることを表す。または。もしくは。「みりん、—酒を加える」
[補説]歴史的仮名遣いで「あるひは」と書く習慣は誤り。
[用法]あるいは・または——「多くの主婦が、外で働き、あるいは（または）学習に励んでいる」「明日は雨あるいは（または）雪になるでしょう」のように、二つのうちのどちらかということを表す場合は、「あるいは」「または」の両方が使える。◇「会議は五時終了の予定だが、あるいは、三〇分ほど延びるかもしれない」のような「もしかすると」の意の副詞用法では、「または」は使えない。◇類似の語に「それとも」がある。「それとも」は「進学するか、それとも就職するか、まだ決めていない」のように疑問の形の文をつなぐときに用いる。この場合、「あるいは」も「または」も使えるが、「それとも」が最も話し言葉的である。</t>
        </is>
      </c>
      <c r="D280" t="inlineStr">
        <is>
          <t>或いはまた；或いは又；或いはもっと；或いは寧ろ；或いは単に</t>
        </is>
      </c>
      <c r="E280" t="inlineStr">
        <is>
          <t>また；あるいは；または；もしくは；偶然</t>
        </is>
      </c>
      <c r="F280" t="inlineStr">
        <is>
          <t>時に或いは；或いは東日本旅客鉄道北陸新幹線；或いは時に；或いは称号；或いは正しく</t>
        </is>
      </c>
      <c r="H280" t="n">
        <v>29</v>
      </c>
      <c r="I280" t="inlineStr">
        <is>
          <t>また、或いはそれに近い人物から名前を取って都市の名前にした説がある。；またそうした、品位の保持は人々より尊敬或いは信用を受けるとされる。；現在は極めて希少か、或いは既に絶滅してしまっているといわれている。；大人が作って子供に授与するか、或いは子供達が自ら手作りで製作する。；南アメリカでは栽培状態か、或いはそこから逸出した姿でのみ見られる。；樹から樹へ移動する時でさえ枝伝いに跳躍するか、或いは飛んで移動する。；或いは館の発展に貢献した者などに対して、退任時に授与される称号。；聖堂の間或いは御前会議の間は基本的に3つのドームの下に位置していた。；この序曲群もオリジナル版は散逸或いは破棄されたと考えられている。；或いは西日本は小豆島の産は、この最も大なるものにして、味もまた良い。；昔は天子諸侯皆その下に今の国務大臣或いは顧問官に相当する卿を置いた。；ロシア連邦軍と同等、或いはそれ以上の仕様で輸出しているとされる。；或いは、携帯電話の通信機能抑止装置の導入を検討する大学もあった。；或いは、「動物種の観察」を行うのも動物園の楽しみ方の一つである。；このシステムは1軸或いは異なる複数の軸のジャイロセンサーで構成される。；将軍或いは北条氏からの指名を受けて加冠役を勤めたものとされる。；そのため砲兵が不足或いは十分に展開できていない状況下では重要な攻撃手法となる。；その大部分はシュメール神話に類似、或いはそのままの状態で継承されている。；或いは童謡以外の歌を歌っていても童謡を主なレパートリーとする歌手も指す。；手足欠落或いは不足されていることが観測され研究されている。；耳はローズ耳或いは長い立ち耳、尾は飾り毛の少ない垂れ尾か巻き尾。；清律では一売三找は売買或いは抵当関係と見做され曖昧な扱いであった。；その後彼は病気になって、30歳或いは34歳という若い年齢で死去した。；ベースはモロサス或いは大型のセントハウンドに由来していると推測されている。；或いは「豊日別」が高木神の称号または役職名であったのかもしれない。；卒業或いは兼任メンバーが所属するグループの主催公演へ客演することもある。；全ての客車には出入門が側面につき一つ或いは二つ配置されている。；何が理由なのか、短期的なお金か、或いは長期的な責任と成長によるものなのか?；一部に大阪で稼動している或いは過去に稼動していた車両と同じ愛称を持つ車両が在籍しているのも特徴である。</t>
        </is>
      </c>
      <c r="J280">
        <f>HYPERLINK("https://www.weblio.jp/content/或いは", "词义详情")</f>
        <v/>
      </c>
      <c r="K280">
        <f>HYPERLINK("https://yourei.jp/或いは", "查看例句")</f>
        <v/>
      </c>
    </row>
    <row r="281">
      <c r="A281" t="inlineStr">
        <is>
          <t>歩く</t>
        </is>
      </c>
      <c r="B281" t="inlineStr">
        <is>
          <t>成功</t>
        </is>
      </c>
      <c r="C281" t="inlineStr">
        <is>
          <t>読み方：ありく
［動カ四］
１あちこち歩きまわる。出歩く。
「月のいとあかきに—・きて」〈枕・二七三〉
２車や舟などであちこちをまわる。
「舟に乗りて海ごとに—・き給ふに」〈竹取〉
３動詞の連用形に付いて用いる。
㋐…してまわる。
「人の物ともせぬ所に惑ひ—・けども」〈竹取〉
㋑…して過ごす。
「いとほしと思ひ—・くに」〈宇治拾遺・一〇〉
[補説] 「あるく」と同じく、あちこち移動してまわるのが原義で、徒歩とは限らない。上代から用いられている「あるく」に対し、「ありく」は平安以降、近世ごろまで用いられた。</t>
        </is>
      </c>
      <c r="D281" t="inlineStr">
        <is>
          <t>歩くわけ；歩くしか；歩くあいだ</t>
        </is>
      </c>
      <c r="E281" t="inlineStr">
        <is>
          <t>歩行；歩む；散策</t>
        </is>
      </c>
      <c r="F281" t="inlineStr">
        <is>
          <t>売り歩く；少し歩く；しばらく歩く；さまよい歩く；立って歩く</t>
        </is>
      </c>
      <c r="G281" t="inlineStr">
        <is>
          <t>歩く会；歩く死体；歩くまち・京都レールきっぷ；歩く死骸</t>
        </is>
      </c>
      <c r="H281" t="n">
        <v>29</v>
      </c>
      <c r="I281" t="inlineStr">
        <is>
          <t>スポーツ中以外でも、普通に歩いている時や足を伸ばした時にも起こる。；この爆発で彼のボディーガードの他に近くを歩いていた市民も死亡した。；実際の建物は外にあり、院内から短い通路を歩いて行く形になっている。；公園内にある駐車場から滝までは急な坂道を約800m歩く必要がある。；俺は各地を歴戦して銃弾の雨を歩いてきたが、死を恐れたことはないぞ!；市壁の内側の通路も完全に保存されており、歩いて通ることができる。；なお、歩くときは常に糸を引いており失敗しても地上に落ちることはない。；商人はその馬を放置し、歩いて家まで着いたが、すでに夜になっていた。；そのため足腰が衰えないようにと毎日、杖をついて家の中を歩いていた。；スイスの至る所でハイキングし歩くことに利用出来る特有な地図がある。；上陸の際は、歩いて通ることのできる地形であればどこにでも上陸できる。；しかしながらやや困難ではあるが、後ろに向かって歩くことも可能である。；元々は、人や馬が1時間に歩くことができる距離として定義されていた。；全身が毛深く、油っ気の強い足の裏毛を用いて水上を歩くことが出来る。；馬車などは道の中央を走り、歩行者は道の端を歩くということになった。；また、羽も付いているが人間の歩く早さ程度の速度しか出せないという。；さらに、そのような付属肢があっても、それだけでは歩くことは難しい。；ファン曰く、背中に背負って歩いている姿を目撃したことがあるという。；この山々のルートは鎖場も多く勾配もあり気をつけて歩く場所でもある。；つまり、背中で歩くわけで、実際に見てみるとユーモラスな動きである。；終わらない冬の世界を歩く巨人と、その背に都市を造り生きる人間たち。；歩くにはまだ両腕に杖を必要としていたものの回復した姿を見せた。；中心街のレストランで食事をしたあと、だから歩こうと言ったのだった。；ある種の彫刻では、作品の中や上や周りを歩くことでこれを実現する。；その高さの位置に目に見えない床ができ、空中を自在に歩くことができる。；王子は城からゆっくりと歩いてくるが、妖精と出くわして向きを変える。；ほとんどの哺乳類では、かかとに当たる部分は歩く際に地上につかない。；右も左も分からない土地で戸惑い、不安になりながら街をさまよい歩く。；さらに息子は父親を、ハリーがクラムと歩いていた日に殺したという。</t>
        </is>
      </c>
      <c r="J281">
        <f>HYPERLINK("https://www.weblio.jp/content/歩く", "词义详情")</f>
        <v/>
      </c>
      <c r="K281">
        <f>HYPERLINK("https://yourei.jp/歩く", "查看例句")</f>
        <v/>
      </c>
    </row>
    <row r="282">
      <c r="A282" t="inlineStr">
        <is>
          <t>アルバイト</t>
        </is>
      </c>
      <c r="B282" t="inlineStr">
        <is>
          <t>成功</t>
        </is>
      </c>
      <c r="C282" t="inlineStr">
        <is>
          <t>読み方：あるばいと
［名］(スル)《労働・仕事・研究の意》
１本業や学業のかたわら、収入を得るための仕事をすること。また、その仕事をする人。内職。バイト。「書店で—する」「学生—」
２パートタイム労働法に定める短時間労働者に分類される雇用形態。臨時雇い。パート。バイト。→フリーター
３学問上の作業。業績。</t>
        </is>
      </c>
      <c r="D282" t="inlineStr">
        <is>
          <t>アルバイト先(4%)；アルバイト生活；アルバイト店員；アルバイト学生；アルバイト経験</t>
        </is>
      </c>
      <c r="E282" t="inlineStr">
        <is>
          <t>仕事；労働；雇用；サラリーマン；バイト</t>
        </is>
      </c>
      <c r="F282" t="inlineStr">
        <is>
          <t>様々なアルバイト；さまざまなアルバイト；アルバイト社員；アルバイト従業員；アルバイト紹介所</t>
        </is>
      </c>
      <c r="G282" t="inlineStr">
        <is>
          <t>アルバイトニュース；アルバイト勤務；アルバイト情報サイト；アルバイトタイムス；アルバイト北海道</t>
        </is>
      </c>
      <c r="H282" t="n">
        <v>29</v>
      </c>
      <c r="I282" t="inlineStr">
        <is>
          <t>なお診療外の非医療分野のアルバイトは禁止について言及されていない。；芸歴が長くベテランの域に達しているが現在でもアルバイトをしている。；モデルのアルバイトをしながらリー・ストラスバーグの元で演技を学ぶ。；休みの期間は地元に戻り岩手放送のレコード室でアルバイトを経験した。；落とし玉アルバイト中は街行く人に声をかけて呼び込み、客と対戦する。；またこの頃はレース参戦資金捻出のためにホテルでアルバイトをする。；しかもほとんどは、テレビ画面などとは関係の無いアルバイトである。；大学の授業にはあまり出席せず、新太陽社で編集のアルバイトをしていた。；その頃、大阪の紀伊國屋書店梅田店でアルバイトをしていたこともある。；そのまま大阪に住み、アルバイトをしながら漫画の執筆・投稿を続けた。；高校卒業後は様々なアルバイトをしながら俳優養成所に通っていた。；どのアルバイトも長く続けていれば卒業後に就職しないかと誘われる。；給与体系等は不明だが、アルバイトや貧乏暮らしをしている怪人も多い。；大学や他の病院からアルバイトで来る雇われた医師のこともある。；それ以前には、ヒースロー国際空港でアルバイトをしていた時期もあった。；また、小米朝は子守りの際に明を連れてアルバイトサロンに行っていた。；小柳ルミ子の母校の夜警アルバイトなどをしながら競技生活をつづけた。；その後、映画のプロダクションでアルバイトをしながら映画の手法を学ぶ。；大学卒業後はニューヨークでアルバイトをしながらチャンスを窺っていた。；一方で映画にも興味を持っており、映画製作の現場でアルバイトを続けていた。；アルバイト時代は給料日にラーメンを食べに行くことが楽しみだった。；オスカー時代は仕事がない時にはケータリングのアルバイトなどをしていた。；入団して3年ほどは俳優業だけで生計を立てられず、アルバイトをしていた。；本作の音楽は当時まだ音大生だった東野美紀がアルバイトで作曲を担当した。；警備上の理由により、皇室の在籍者はアルバイトをすることができない。；この時さくらは高校を卒業しておりゲームセンターでアルバイトをしている。；当時は飲食店や写真撮影のアルバイトで貯めた資金で取材をしていた。；そこで裕は学資をかせぎ出すために京都へ行き、アルバイトをはじめた。；転職活動中の六本木でクラブ歌手のアルバイトをしていてスカウトされた。</t>
        </is>
      </c>
      <c r="J282">
        <f>HYPERLINK("https://www.weblio.jp/content/アルバイト", "词义详情")</f>
        <v/>
      </c>
      <c r="K282">
        <f>HYPERLINK("https://yourei.jp/アルバイト", "查看例句")</f>
        <v/>
      </c>
    </row>
    <row r="283">
      <c r="A283" t="inlineStr">
        <is>
          <t>アルミ</t>
        </is>
      </c>
      <c r="B283" t="inlineStr">
        <is>
          <t>成功</t>
        </is>
      </c>
      <c r="C283" t="inlineStr">
        <is>
          <t>「アルミニウム」の略。</t>
        </is>
      </c>
      <c r="D283" t="inlineStr">
        <is>
          <t>アルミ製(22%)；アルミ車(3%)；アルミ板(3%)；アルミフレーム(2%)；アルミパネル</t>
        </is>
      </c>
      <c r="E283" t="inlineStr">
        <is>
          <t>アルミニウム；ニウム；ニューム；軽銀；ニュウム</t>
        </is>
      </c>
      <c r="F283" t="inlineStr">
        <is>
          <t>アルミ鍛造；アルミバン；アルミブロック；アルミ枠；アルミボディ</t>
        </is>
      </c>
      <c r="G283" t="inlineStr">
        <is>
          <t>アルミニウム合金；アルミホイール；アルミ合金；アルミサッシ；アルミナ</t>
        </is>
      </c>
      <c r="H283" t="n">
        <v>29</v>
      </c>
      <c r="I283" t="inlineStr">
        <is>
          <t>後述する姉妹都市の高岡市の影響でアルミ産業の発展も期待されている。；開発時はアルミ製だったが実戦用は繊維強化プラスチックで製造された。；近年では低コスト・高耐久性のあるアルミ複合板が広く使用されている。；シャフトユニットと一体化されたアルミ製スイングアームとなっている。；以前は巨大な石に描いていたが、近年は扱いやすいアルミ板を使うことが多い。；また、モノレールや新交通システムでもアルミ車両を採用した例が多い。；同社で2004年以降に製造された鉄道車両は全てアルミ製となっている。；客用扉は551系以来の標準仕様となるアルミハニカム構造扉を採用した。；入口には装飾されたアルミの方立のある3つの垂直の窓が特徴である。；これらを選ぶと前後ドアのスピーカーグリルがアルミ製のものとなる。；鉄・アルミ製で穴なしのものと、スリット状に穴が開けられているものである。；軽量さが要求される高速船でもアルミが船体材料に選択されることがある。；前面はアルミ車のワイパーカバーを廃止し、形式番号は直接表記とされた。；主に高い所での作業の際に使用するアルミ製ハシゴ・脚立を製造販売している。；なお、検討のみで終わったものの、無塗装アルミ車体とする計画もあった。；またカーボン素材やアルミフレームなどの高価な素材も多用されている。；側窓は二段上昇式で、全車製造当初からアルミ無塗装窓枠を装備している。；また、同年にアルミ車を除くすべての7200系の冷房化が完了した。；アルミ製のトップを採用し構造は458スパイダーのそれを踏襲している。；アルミ製のケースはヒートシンクのような加工があり、よく指が切れる。；重量削減の効果があるのでアルミ製の乗り合いバスや自動車を試作した。；それぞれ後にアルミ車体の中間車2両が挿入されて8両化されている。；銅は、アルミや鉄に次いで金属として3番目の量リサイクルされている。；その後もアルミフレームの自転車を進化させ続け、業界をリードした。；ただし、酢を使うソースなので、作る際はアルミ製のボウルは使わない。；その後、自転車やオートバイ、自動車のアルミ製マークを製造・販売した。；アルミ無塗装の車体で、先頭部の下半分のみが赤く塗装されている。；代わりに、主翼後縁の前方部分は取り外し可能なアルミ板が用いられている。；水筒そのものはアルミ製で表面がフェルトのカバーでおおわれていた。</t>
        </is>
      </c>
      <c r="J283">
        <f>HYPERLINK("https://www.weblio.jp/content/アルミ", "词义详情")</f>
        <v/>
      </c>
      <c r="K283">
        <f>HYPERLINK("https://yourei.jp/アルミ", "查看例句")</f>
        <v/>
      </c>
    </row>
    <row r="284">
      <c r="A284" t="inlineStr">
        <is>
          <t>あれ</t>
        </is>
      </c>
      <c r="B284" t="inlineStr">
        <is>
          <t>成功</t>
        </is>
      </c>
      <c r="C284" t="inlineStr">
        <is>
          <t>［感］感動したり驚いたり、また不審に思ったりしたときに発する語。あら。おや。「—、変だなあ」</t>
        </is>
      </c>
      <c r="D284" t="inlineStr">
        <is>
          <t>あれ以来；あればよい；あれば十分；あれば充分；あれきり</t>
        </is>
      </c>
      <c r="E284" t="inlineStr">
        <is>
          <t>股；生理；月経；陰部；彼処</t>
        </is>
      </c>
      <c r="F284" t="inlineStr">
        <is>
          <t>もしあれ；それだけあれ；あればいつ；やっぱりあれ；栄光あれ</t>
        </is>
      </c>
      <c r="G284" t="inlineStr">
        <is>
          <t>あれから；あれよあれよ；あれらの；あれあれ；あれっきり</t>
        </is>
      </c>
      <c r="H284" t="n">
        <v>29</v>
      </c>
      <c r="I284" t="inlineStr">
        <is>
          <t>古い文書の記述を信用するのであれば、日本の馬は江戸期に小型化した。；装置が比較的小さいため、ある程度の水量さえあれば設置が可能である。；上陸の際は、歩いて通ることのできる地形であればどこにでも上陸できる。；虚数があれば答えのない問題にも答えを与えることができると示している。；取材場所に変化があれば、いつ起きたのかを、取材元へ詳細に尋ねている。；このコーナーは真面目に回答する場合もあれば適当に返すこともあった。；これら5つのうち2つ以上の該当があれば心因性腰背痛の可能性が高い。；以上の傾向はみな程度の差はあれロマン派音楽以前にも現れていた。；だから、ヨワムシとかナキムシとか言ってたけどあれはまるで嘘ですよ。；音声データであれば電話となり、映像データであればテレビ電話となる。；実際、多くのがんでは初期であれば9割以上の5年生存率となっている。；biasの値が変わらない範囲であれば、単純に追加するだけでよい。；ただしインバータ式安定器は日本国内であればどこでも使用できる。；以下の機能のそれぞれを持つものもあれば、持たないものもある。；国民の要件は憲法で定めている場合もあれば法律に委ねている場合もある。；気候型を区分するには各月毎の平均気温と降水量のデータがあればよい。；ただしそれは絶対ではなく、適切な理由があれば複数同時提案も認められる。；それが喜びの源となっている場合もあれば、葛藤の源となっている場合もある。；それ未満であれば尾ビレやその他のヒレをかじられてしまうことがある。；操作されていない時に開いているキイもあれば閉じているキイもある。；ただし、博士課程のための試験は、いかなる人物であれど必ず課される。；同時に多くの人が聞いた例もあれば、隣同士にいて一方にしか聞こえなかった例もある。；放送は終了したが、復活できる機会があれば復活させたいと最終回で語っていた。；逆に問題が悪条件であれば、データに含まれる誤差は大きく成長する。；首都が最大都市である国もあれば、首都と最大都市が異なる国もある。；未反応の化学種が移動できるような系であれば電気分解が継続する。；歌詞の内容を反映した作品もあれば、ほとんどタイトルだけという作品もある。；これには運動を伴うものもあれば、基本的に知的作業のみで行われるものもある。；単に容量が必要なだけであれば、複数枚のメディアに記録すれば良いからである。</t>
        </is>
      </c>
      <c r="J284">
        <f>HYPERLINK("https://www.weblio.jp/content/あれ", "词义详情")</f>
        <v/>
      </c>
      <c r="K284">
        <f>HYPERLINK("https://yourei.jp/あれ", "查看例句")</f>
        <v/>
      </c>
    </row>
    <row r="285">
      <c r="A285" t="inlineStr">
        <is>
          <t>あれ</t>
        </is>
      </c>
      <c r="B285" t="inlineStr">
        <is>
          <t>成功</t>
        </is>
      </c>
      <c r="C285" t="inlineStr">
        <is>
          <t>［感］感動したり驚いたり、また不審に思ったりしたときに発する語。あら。おや。「—、変だなあ」</t>
        </is>
      </c>
      <c r="D285" t="inlineStr">
        <is>
          <t>あれ以来；あればよい；あれば十分；あれば充分；あれきり</t>
        </is>
      </c>
      <c r="E285" t="inlineStr">
        <is>
          <t>股；生理；月経；陰部；彼処</t>
        </is>
      </c>
      <c r="F285" t="inlineStr">
        <is>
          <t>もしあれ；それだけあれ；あればいつ；やっぱりあれ；栄光あれ</t>
        </is>
      </c>
      <c r="G285" t="inlineStr">
        <is>
          <t>あれから；あれよあれよ；あれらの；あれあれ；あれっきり</t>
        </is>
      </c>
      <c r="H285" t="n">
        <v>29</v>
      </c>
      <c r="I285" t="inlineStr">
        <is>
          <t>古い文書の記述を信用するのであれば、日本の馬は江戸期に小型化した。；装置が比較的小さいため、ある程度の水量さえあれば設置が可能である。；上陸の際は、歩いて通ることのできる地形であればどこにでも上陸できる。；虚数があれば答えのない問題にも答えを与えることができると示している。；取材場所に変化があれば、いつ起きたのかを、取材元へ詳細に尋ねている。；このコーナーは真面目に回答する場合もあれば適当に返すこともあった。；これら5つのうち2つ以上の該当があれば心因性腰背痛の可能性が高い。；以上の傾向はみな程度の差はあれロマン派音楽以前にも現れていた。；だから、ヨワムシとかナキムシとか言ってたけどあれはまるで嘘ですよ。；音声データであれば電話となり、映像データであればテレビ電話となる。；実際、多くのがんでは初期であれば9割以上の5年生存率となっている。；biasの値が変わらない範囲であれば、単純に追加するだけでよい。；ただしインバータ式安定器は日本国内であればどこでも使用できる。；以下の機能のそれぞれを持つものもあれば、持たないものもある。；国民の要件は憲法で定めている場合もあれば法律に委ねている場合もある。；気候型を区分するには各月毎の平均気温と降水量のデータがあればよい。；ただしそれは絶対ではなく、適切な理由があれば複数同時提案も認められる。；それが喜びの源となっている場合もあれば、葛藤の源となっている場合もある。；それ未満であれば尾ビレやその他のヒレをかじられてしまうことがある。；操作されていない時に開いているキイもあれば閉じているキイもある。；ただし、博士課程のための試験は、いかなる人物であれど必ず課される。；同時に多くの人が聞いた例もあれば、隣同士にいて一方にしか聞こえなかった例もある。；放送は終了したが、復活できる機会があれば復活させたいと最終回で語っていた。；逆に問題が悪条件であれば、データに含まれる誤差は大きく成長する。；首都が最大都市である国もあれば、首都と最大都市が異なる国もある。；未反応の化学種が移動できるような系であれば電気分解が継続する。；歌詞の内容を反映した作品もあれば、ほとんどタイトルだけという作品もある。；これには運動を伴うものもあれば、基本的に知的作業のみで行われるものもある。；単に容量が必要なだけであれば、複数枚のメディアに記録すれば良いからである。</t>
        </is>
      </c>
      <c r="J285">
        <f>HYPERLINK("https://www.weblio.jp/content/あれ", "词义详情")</f>
        <v/>
      </c>
      <c r="K285">
        <f>HYPERLINK("https://yourei.jp/あれ", "查看例句")</f>
        <v/>
      </c>
    </row>
    <row r="286">
      <c r="A286" t="inlineStr">
        <is>
          <t>あれこれ</t>
        </is>
      </c>
      <c r="B286" t="inlineStr">
        <is>
          <t>成功</t>
        </is>
      </c>
      <c r="C286" t="inlineStr">
        <is>
          <t>読み方：あれこれ
［代］指示代名詞。いろいろな物や事柄をさす。「—を考え合わせる」
［副］いろいろと。あれやこれやと。「—（と）思い悩む」</t>
        </is>
      </c>
      <c r="D286" t="inlineStr">
        <is>
          <t>あれこれ考える；あれこれ想像；あれこれ思い；あれこれ言う；あれこれ言わ</t>
        </is>
      </c>
      <c r="E286" t="inlineStr">
        <is>
          <t>色々；云々；ぐずぐず；色々と；うるさく</t>
        </is>
      </c>
      <c r="F286" t="inlineStr">
        <is>
          <t>あれこれ話し；あれこれ説明；あれこれ口；あれこれ調べ；あれこれ理由</t>
        </is>
      </c>
      <c r="H286" t="n">
        <v>29</v>
      </c>
      <c r="I286" t="inlineStr">
        <is>
          <t>彼女がいちばん恐れていたのは、逆にあれこれと質問されることだった。；全く死んだ妻の事をあれこれと批評されるほど腹の立つことはなかった。；そのあいだ私は心のなかでずっとあれこれと自分の身を飾りたてていた。；しばらくは父親の農地がどこなのか、あれこれ考えたが分からなかった。；だが清潔にきちんとしておくほか、それにあれこれ気を使うことはない。；今となってはもう捕まえるのにあれこれ計画をねる必要もないのである。；もちろんわたくしは漁夫らに、彼らが見たものをあれこれたずねました。；あれこれ用意をしなければならないので、たいへんだと思ったからである。；子供たちの将来をあれこれと考えてまるで国でもつくっているような気持なの。；天気がひどく悪いときには、二人の妹があれこれいって行かせまいとした。；こんなことをあれこれ考えながらわたしはゆっくりと歩いていった。；二人の男は長い間、あれこれと思いの渦に身を任せて黙って坐っていた。；その晩はさすがに駿介も床へ入つてからもあれこれと思ひ續けてゐた。；この点をあれこれ考えるのに、おかげで十五分も損をしてしまいました。；その写真のことをあれこれと聞くのが、わたしにはとても楽しいんですもの。；老人はあれこれ見せたり、説明したりする気分ではなさそうだった。；それで私はただ、彼の行動の筋をあれこれと思いめぐらせるだけであった。；ふたりは一般の話題に移っておたがいにあれこれと質問したり答えたりした。；ジムはこれから先のことをあれこれ考えているうちに、眠りに落ちた。；そこで事があれこれとつながり合って芽を出してくると考えてもいい。；データあれこれの編集はWBCと選手カード除く全てのモードに反映される。；あれこれと目を走らせていたとき、やわらかい声が耳に語りかけてきた。；マクレイ先生は自分で服をあれこれと選んだりは、なさらないそうです。；見た目をあれこれ変えたりして、あんたたちはなんて変わった一族だろう!；真剣にあれこれ想像すると、気分は急速にダウンし、不安になってくる。；汽車の中で彼はそのような話のあれこれを思い出しながら生蕃を眺めていた。；ある日、あれこれしゃべっているうちに、せむしの子は言ったのである。；あれこれと、物のきまりを自分で指図して行かなければならぬのであった。；男は人のよさそうな様子で自分がいかに金持ちかをあれこれ話す。</t>
        </is>
      </c>
      <c r="J286">
        <f>HYPERLINK("https://www.weblio.jp/content/あれこれ", "词义详情")</f>
        <v/>
      </c>
      <c r="K286">
        <f>HYPERLINK("https://yourei.jp/あれこれ", "查看例句")</f>
        <v/>
      </c>
    </row>
    <row r="287">
      <c r="A287" t="inlineStr">
        <is>
          <t>あれだけ</t>
        </is>
      </c>
      <c r="B287" t="inlineStr">
        <is>
          <t>成功</t>
        </is>
      </c>
      <c r="D287" t="inlineStr">
        <is>
          <t>あれだけひどい；あれだけ可愛；あれだけ落ち着い</t>
        </is>
      </c>
      <c r="E287" t="inlineStr">
        <is>
          <t>あんなに；あれほど</t>
        </is>
      </c>
      <c r="H287" t="n">
        <v>29</v>
      </c>
      <c r="I287" t="inlineStr">
        <is>
          <t>地球上であれだけ発達していた情報網も、宇宙の海ではひどく疎になる。；母親があれだけ大声で叫んでいたからには、寝ていたとは考えられない。；どうしてこの子、自分の名前をあれだけ呼ばれて、気づかないんだろう?；だからこそ、あれだけの大きな支持を獲得しえたのではないでしょうか。；普段電話とかではあれだけ楽しそうに裕人くんのことを話してるくせに。；とてもあれだけ飲んだ翌日とは思えない、恐ろしいばかりの食欲である。；代助は多くの出品のうちで、あれだけが好い気持に出来ていると思った。；あれだけの力をもってすることならばどんな浮気も許されるであろう。；しかし金があるからあれだけの女を奴隷にできるというわけでもない。；昨日一日、あれだけの金とエネルギーを使い、結局何をしたというのだ。；F2レースであれだけの成績を収めたのは、技術の蓄積があったからだ。；あれだけの才能が、どうしてわれわれの社会の障害になるわけがある?；詰り、地獄中探してもあれだけの悪魔は手に入らなかつたといふ訳だな?；ぼくは男だから、彼女たちの心はわかっても、あれだけは経験できない。；しかし、あれだけの警官に責められたら、いわずにはいられないだろう。；金銭の利害が人を支配するということをあれだけテーマとしている彼が。；どうしてあれだけの速いボールが投げられるのか不思議な部分がある。；いくら店を持たせたからと言って、あれだけの女はそれだけでは満足しない。；つまり、あれだけに見えるものを歌舞妓社会で築き上げて来たのである。；入る前にあれだけを読んでくれる時間を置いておきたい、音楽と同じように。；あれだけ浮かんでいた「ヒトリムシ」の死体もどこにもなくなっていた。；あれだけの広さの土地に隠せるものといってもたかは知れています。；しかしそれだけで彼があれだけ多くの読者の心を掴んだわけではない。；あれだけの幅のある大きな業績と結果とを残したのは全くその御蔭である。；あれだけ銃声が響いたのに、周因の部屋では騒ぎ一つ起きていないのだ。；だがあれだけの大きさの娘が処女である可能性はまず無視していいね。；日参のおかげで、その期間があれだけで転換の機会が来たと思います。；あれだけかわいいんだし人気もあるんだし、出ない方がおかしいかも。；他の学科の点数がよかったから、まあ、あれだけの成績を収めたのです。</t>
        </is>
      </c>
      <c r="J287">
        <f>HYPERLINK("https://www.weblio.jp/content/あれだけ", "词义详情")</f>
        <v/>
      </c>
      <c r="K287">
        <f>HYPERLINK("https://yourei.jp/あれだけ", "查看例句")</f>
        <v/>
      </c>
    </row>
    <row r="288">
      <c r="A288" t="inlineStr">
        <is>
          <t>あれほど</t>
        </is>
      </c>
      <c r="B288" t="inlineStr">
        <is>
          <t>成功</t>
        </is>
      </c>
      <c r="C288" t="inlineStr">
        <is>
          <t>読み方：あれほど
あの程度。あれくらい。あんなに。副詞的にも用いる。「—の人物はほかにいない」「—注意したのに言うことを聞かない」</t>
        </is>
      </c>
      <c r="D288" t="inlineStr">
        <is>
          <t>あれほど愛し；あれほど強く；あれほどはっきり；あれほど美しい；あれほどひどい</t>
        </is>
      </c>
      <c r="E288" t="inlineStr">
        <is>
          <t>あんなに；あれだけ</t>
        </is>
      </c>
      <c r="F288" t="inlineStr">
        <is>
          <t>あれほど可愛；あれほど堅い；あれほどかたく；あれほどつらい；あれほどやさしく</t>
        </is>
      </c>
      <c r="H288" t="n">
        <v>29</v>
      </c>
      <c r="I288" t="inlineStr">
        <is>
          <t>あれほど頼んでおいたのに、まさか後をつけてきたんじゃないでしょう?；と云ってお父さんはあれほどの学者、したがってお前さんも学者だろう。；だからわしは、船の出る前から、船長にあれほど注意しておいたのじゃ。；あれほど探していなかったんだもの、今頃まで隠れているはずはないよ。；こちらを発つ時にはあれほど堅い約束をして置きながら何と云うことだ。；これがあれほど彼の待ちきれずに待っていたところの幸福な時間であろうか?；当時を追憶して私が思うことは、私はあれほどの狂気のような恋をした。；自分の意の下にあると思った家中のものがあれほどまでに変っていた。；魂の活動が声にあらわれたもののうちで、あれほど元気のあるものはない。；あれほど言ってやったのに、今夜もこんなところまで送って来ているのだ。；もし自分一人だったら、あれほどよくは訪ねて来てくれないかも知れない。；実際あれほど看護されては、全快なさるだろうと私は思ったことでした。；この間の努力は「人生であれほど燃えた1年間はない」程だったという。；なぜあれほど言葉の寡ない嫂が自分にだけそれを話し出したのだろうか。；これがあれほど彼の待ち切れずに待つてゐたところの幸福な時間であらうか?；皇帝は、あれほど賢い男が住む街は保護する価値があると感じたのである。；あれほど長い人生とは、大事な物を失っていく歴史でもあるんだよ。；あれほど見つけ出したいと思っていた男が、今目の前にいるのだった。；あれほどのこともやはり永久不変でありえない人間の恋であったのであろう。；私があれほど止めてもお聞きにならないから、こんなことになったのです。；あれほど慎重に用意しておいた話と、まるでそっくりだからである。；かれの船は偽りの通信であれほど簡単におびき寄せられたのだからな。；あれほどの苦心と喜びとで定めた住居は、もう狭く醜いものに思われた。；いったいどうして、あれほど多くの脱走計画を阻止できなかったのです?；あれほど永い間診ていてくれたのだからと、そういうことも嬉しかった。；軍医があとがたいせつだと言ってあれほど留めたのに、なぜ病院を出た?；ことに、あれほど彼の網膜に灼きついた映像に見誤りがあるはずはない。；あれほど激しい怒りは見たことがなかったような気がするよ。；皆で一緒にと、あれほど言った、うぬ等の舌の根がまだ乾かねえのに!</t>
        </is>
      </c>
      <c r="J288">
        <f>HYPERLINK("https://www.weblio.jp/content/あれほど", "词义详情")</f>
        <v/>
      </c>
      <c r="K288">
        <f>HYPERLINK("https://yourei.jp/あれほど", "查看例句")</f>
        <v/>
      </c>
    </row>
    <row r="289">
      <c r="A289" t="inlineStr">
        <is>
          <t>荒れる</t>
        </is>
      </c>
      <c r="B289" t="inlineStr">
        <is>
          <t>成功</t>
        </is>
      </c>
      <c r="C289" t="inlineStr">
        <is>
          <t>読み方：あれる
［動ラ下一］［文］あ・る［ラ下二］
１風・波・天候などが穏やかでなくなる。「海が—・れる」
２態度・行動などが穏やかでなくなる。乱暴になる。「酒を飲んで—・れる」
３建物・土地などが手入れされずに荒廃する。「庭が—・れる」
４生活や心などがすさんで潤いがなくなる。「生活が—・れる」
５脂気が少なくなって皮膚がかさかさになる。「手が—・れる」
６物事の進行状態がふつうではなくなる。もめる。また、勝負などが予想外の結果になる。「会議が—・れる」「—・れた試合」
７相場が激しく変動する。
８座が白ける。興味がそがれる。
「御遊もはや—・れにけり」〈平家・五〉</t>
        </is>
      </c>
      <c r="D289" t="inlineStr">
        <is>
          <t>荒れるだろ；荒れる可能性</t>
        </is>
      </c>
      <c r="E289" t="inlineStr">
        <is>
          <t>廃れる；しける；荒む；寂れる；時化る</t>
        </is>
      </c>
      <c r="H289" t="n">
        <v>29</v>
      </c>
      <c r="I289" t="inlineStr">
        <is>
          <t>荒れてしまった目は、茶でしかきれいにすることができなかったという。；私は悪人だと言って名乗って世間を荒れ回りたいような気がするのです。；赤城の人が登って来ると必ず山が荒れると、日光ではいっておりました。；強い風で波が荒れるぐらいなら、それへの手段ぐらいは知っています。；陸上に上がることは稀であるが、天候が荒れた日には上がることもある。；かつての荒れているイメージが保護者にあるため進学に影響している。；こうして足かけ五年を送る間に、彼の家は空屋敷のように荒れてしまった。；台風でも来ないかぎり荒れることはない、静かでおだやかな海でもある。；あとで聞くと、その荒れるうちでも今日のなど最も強いものであったそうだ。；小学校までは普通だったのに、中学校で突然荒れる奴は俺のまわりにもいた。；相当古い駅舎が荒れた状態で残っていたが、以前ほど荒れてはいない。；沖が荒れているので、このとおりみんなこの港にはいってきたのだ。；一〇月の天気も大荒れで、ふたりとも一日中、部屋に閉じこもっていた。；沖は神社が荒れているのを残念に思い、天保6年に新たに社殿を建てた。；天候が荒れた時には、内湾や港などの陸地近くで観察されることもある。；建設当初の熱心さが過ぎてしまうと、この砦は荒れるままに任された。；それが屋敷全体の感じを、実際以上に荒れすさんだものに見せていた。；海が荒れる日は葉がきれて岸に寄り、おいおいに潟の上を埋めるらしい。；その後、世代は変わり、第九世に至るまで改修もされず荒れたままであった。；このレースは最終コーナーのあたりで起きたアクシデントで大荒れとなった。；その後戦闘機の機体の破壊が試みられたが、海が荒れていたため不可能であった。；荒れた海に飛び込む儀式があり、それによって力を得た者は証が出来る。；死亡した長男の母親は両親と兄3人の非常に荒れた家庭に育った。；アイルランド語の町の名前は「荒れた川を渡るための浅瀬」の意である。；議会が荒れている間王に仕え、政略に従事した痕跡が作品にうかがえる。；亜美はただ寒そうに小さく震え、不安そうに荒れる空を見上げている。；息子は厳格な父を嫌ってか、かなり荒れた生活を送っていたとされる。；ただし、海が荒れていたために彼は島に上陸することはなかった。；家も勇次と一緒に住んでいた店では無く、荒れ寺に住むようになる。</t>
        </is>
      </c>
      <c r="J289">
        <f>HYPERLINK("https://www.weblio.jp/content/荒れる", "词义详情")</f>
        <v/>
      </c>
      <c r="K289">
        <f>HYPERLINK("https://yourei.jp/荒れる", "查看例句")</f>
        <v/>
      </c>
    </row>
    <row r="290">
      <c r="A290" t="inlineStr">
        <is>
          <t>アレルギー</t>
        </is>
      </c>
      <c r="B290" t="inlineStr">
        <is>
          <t>成功</t>
        </is>
      </c>
      <c r="C290" t="inlineStr">
        <is>
          <t>読み方：あれるぎー
１生体が特定の物質（抗原）に対して抗体を作り、再び同じ抗原が入ってきたときに起こる抗原抗体反応のうち、病的な過敏反応のこと。アレルギー性疾患・アナフィラキシーショックなど。
２ある物事に対する精神的な拒絶反応。「核—」</t>
        </is>
      </c>
      <c r="D290" t="inlineStr">
        <is>
          <t>アレルギー症状(8%)；アレルギー患者；アレルギー対策；アレルギー作用；アレルギー専門医</t>
        </is>
      </c>
      <c r="E290" t="inlineStr">
        <is>
          <t>アレルギー反応</t>
        </is>
      </c>
      <c r="F290" t="inlineStr">
        <is>
          <t>猫アレルギー；抗アレルギー；犬アレルギー；皮膚アレルギー；ペニシリンアレルギー</t>
        </is>
      </c>
      <c r="G290" t="inlineStr">
        <is>
          <t>アレルギー性；アレルギー性鼻炎；アレルギー疾患；アレルギー体質；アレルギー性疾患</t>
        </is>
      </c>
      <c r="H290" t="n">
        <v>29</v>
      </c>
      <c r="I290" t="inlineStr">
        <is>
          <t>それまでアレルギー症状がほとんど・全く無かった場合もあるとされる。；私は当日が一週間ばかり前に迫った頃から神経性のアレルギーにかかった。；新しいものにアレルギーを起こすのはべつにこの業界だけではないもの。；プロファイリングを得意とする彼女だが男アレルギーで男に興味がない。；アレルギーを起こしにくい性質はこの点でも好ましいものとなっている。；アレルギーのシーズンであれば目薬も大量に出まわっているであろう。；アレルギーテストを受けて、結果を楽しみにしたが、これも駄目だった。；嫌い、というよりはほとんどアレルギーだと言っていいかもしれない。；それを吸い込むことでアレルギー症状が引き起こされると言われている。；葉は、おひたしにして食べる事があるが、アレルギーを生じる事がある。；咽喉頭異常感症患者の一部にはアレルギーの関与があるとの説もある。；彼女の場合、生理とアレルギーがかさなったら一日ベッドを出られない。；また、これは、アレルギーの免疫療法治療にも使用できる可能性がある。；研究によりアレルギーを抑制する物質が含まれていることが判明している。；チャーガが抗アレルギー効果のある食材である可能性が明らかになった。；インドのカリナタカ周辺ではアレルギーや創傷の治療に使われてきた。；皮膚アレルギーの一種である接触皮膚炎の原因としてもよく知られている。；アレルギーもまた、進化の過程を通じて獲得された能力と考えられる。；マルビンは、アレルギーを持っていなければ、摂取しても危険ではない。；すべての物に対してアレルギーがあり外に出るのにかなりの重装備を要した。；その症状は、関節炎だったり、アレルギーだったり、さまざまだそうだ。；医者はマスコミに、男は移植のアレルギー症状を起こしたと説明した。；昔から肌が白いが、最近日光アレルギーになったと思われるらしい。；犬よりも猫の方が好きであるが、本人は猫アレルギーである。；とにかく、あの騒ぎ以来あたしは宇宙空間アレルギーなんですからね。；世界の100万人に約30人しかいないとされる非常に稀有なアレルギー。；低アレルゲンで犬のアレルギーを持つ人でも飼育することができる。；またハウスダストにも多く含まれ、時に人にアレルギーを起こすとされる。；なお、毛が抜けないため、イヌアレルギーを持つ人でも飼育が可能である。</t>
        </is>
      </c>
      <c r="J290">
        <f>HYPERLINK("https://www.weblio.jp/content/アレルギー", "词义详情")</f>
        <v/>
      </c>
      <c r="K290">
        <f>HYPERLINK("https://yourei.jp/アレルギー", "查看例句")</f>
        <v/>
      </c>
    </row>
    <row r="291">
      <c r="A291" t="inlineStr">
        <is>
          <t>泡</t>
        </is>
      </c>
      <c r="B291" t="inlineStr">
        <is>
          <t>成功</t>
        </is>
      </c>
      <c r="C291" t="inlineStr">
        <is>
          <t>読み方：あぶく
「あわ」の俗な言い方。</t>
        </is>
      </c>
      <c r="D291" t="inlineStr">
        <is>
          <t>泡だらけ；泡状；泡発生；泡消火；泡菓子</t>
        </is>
      </c>
      <c r="E291" t="inlineStr">
        <is>
          <t>バブル；気泡；水泡；水の泡；シャボン玉</t>
        </is>
      </c>
      <c r="F291" t="inlineStr">
        <is>
          <t>時空泡；口角泡；血泡；小さな泡；白泡</t>
        </is>
      </c>
      <c r="G291" t="inlineStr">
        <is>
          <t>泡盛；泡沫；泡立ち；泡立て；泡鳴</t>
        </is>
      </c>
      <c r="H291" t="n">
        <v>29</v>
      </c>
      <c r="I291" t="inlineStr">
        <is>
          <t>しかし、宇宙のある領域は拡張を止め、それぞれ異なる泡の形態を取る。；コーラに塩や砂を入れると泡が激しく出る現象は昔から知られている。；また、ビールに塩を振りかけた場合にも泡が出てくる事象が観測される。；溜った血の表面には小さな泡がブツブツとできたりこわれたりしていた。；素領域というビールの泡の外と内はどのような構造になっているのか?；そして船の運動は泡の帯のところにいたときと同じようになったように思われました。；他の個体と喧嘩する際もハサミで殴り合い、泡を吹いて倒れた方が負け。；溜つた血の表面には小さな泡がブツブツとできたりこはれたりしてゐた。；泡の上にでも 浮き上がることが出来るように 水に親しく馴れている。；泡に包まれた少女の足は魚のヒレのように見え、まるで人魚のようだった。；最後の波は岸に打ちあげて、白い泡を岸の岩の上に残して退きました。；従って、光速を超えられない文明はこの泡を回避することは出来ない。；突然彼の姿が見えなくなり、彼の姿の消えた辺りへ、泡と渦巻とが現われた。；この領域では、鍋の水が沸騰するのと同じような動きで表面に泡が発生する。；実は、石鹸泡の発色の裏のこれと同じ原理は、蝶の羽に応用されている。；此の石鹸の泡のやうなものは灰色だが、それをこんどは白くしなければならない。；あたかも二竜の長鯨を巻くがごとく黄海の水たぎって一面の泡となりぬ。；その時、カリコ医師が大統領の首の傷のところから泡が出ていることを見つけた。；泡のまわりと下に新しく氷が張ったのでそれは二つの氷のあいだにはさみこめられていた。；猫の背中の火の泡粒や、紙から出る火花がみんなに大変な印象になつたのです。；このようにして玉を発射していき、同色の玉が3つ以上接触すると泡に変わる。；ウェブサイトはそのプロバイダの中に泡のようにして存在している。；光学顕微鏡で多数の泡の集まりのように見えるので海綿状の名がある。；泡が工業分野で有効利用される例として消火器や食品工業などがある。；私、勲章に石鹸の泡が付いているのなんか見た事がないんですもの。；時間が経つと泡がなくなって量の少ないビールになってしまう。；イギリスでは泡の中に発見されるものではもっとも頻繁に見つかるものである場合が多い。；神話によると愛と美の女神であるアプロディテは海に生じた泡から生まれた。；この際、泡と油が接触することにより素材の風味が油に移ると考えられる。</t>
        </is>
      </c>
      <c r="J291">
        <f>HYPERLINK("https://www.weblio.jp/content/泡", "词义详情")</f>
        <v/>
      </c>
      <c r="K291">
        <f>HYPERLINK("https://yourei.jp/泡", "查看例句")</f>
        <v/>
      </c>
    </row>
    <row r="292">
      <c r="A292" t="inlineStr">
        <is>
          <t>淡い</t>
        </is>
      </c>
      <c r="B292" t="inlineStr">
        <is>
          <t>成功</t>
        </is>
      </c>
      <c r="C292" t="inlineStr">
        <is>
          <t>読み方：あわい
［形］［文］あは・し［ク］
１色や味などが際立たず、薄い。「—・い水色」「—・い味付け」⇔濃い。
２形や光などがぼんやりしている。かすかである。「—・く雲がかかる」「—・い冬の日差し」
３執着や関心が少なくてあっさりしている。ほのかである。「—・い恋心」「—・い期待」
４軽薄である。軽々しい。
「なのめなることをだに、少し—・き方に寄りぬるは、心とどむるたよりもなきものを」〈源・澪標〉
[補説]近世以降、シク活用の例もみられる。
「五の交はりの中に淡々とあはしき交はりあり」〈其角十七回〉
[派生]あわさ［名］</t>
        </is>
      </c>
      <c r="D292" t="inlineStr">
        <is>
          <t>淡い光(9%)；淡い色(5%)；淡いピンク(3%)；淡いブルー(3%)；淡い黄色(2%)</t>
        </is>
      </c>
      <c r="E292" t="inlineStr">
        <is>
          <t>明るい；かすか；薄い；弱い；微か</t>
        </is>
      </c>
      <c r="F292" t="inlineStr">
        <is>
          <t>淡い灰色；淡い青色；淡い金色；淡い紫色；淡いグリーン</t>
        </is>
      </c>
      <c r="G292" t="inlineStr">
        <is>
          <t>淡い花色</t>
        </is>
      </c>
      <c r="H292" t="n">
        <v>29</v>
      </c>
      <c r="I292" t="inlineStr">
        <is>
          <t>淡く儚い影と見えるもののより真実の姿はいかにして捉え得るだろうか?；しかし、ごく厚い層になつてゐるとその淡い色が眼に見えるやうになる。；複眼の周りに黒い模様があり、その上には眉のように淡褐色の帯が入る。；けれども光は淡く白く痛く、いつまでたっても夜にならないようでした。；花の色は淡黄からやや白に近く、濃紫色の模様を花びらの中心につける。；次第に半蔵らは淡い雪の溶け流れている街道を踏んで行くようになった。；絞り出された樹液は淡い黄色をしているが空気に触れると黒に変化する。；お負けに味噌汁が淡くってお湯を呑むようで味も何もあったものでない。；冬羽は頬がやや赤みを帯びた褐色になる他、頭部と胸が淡い褐色になる。；星が夜明け前の空に淡く光り、そしてすべてがまだ眠りのなかにあった。；空気は沈んだ灰色をしているのに、彼の髪は淡く光をはらんで見える。；何もかもはっきりと形が見えないで、歩道に落ちた人の影まで淡かった。；その微笑みから、またその様子から、七八年前の彼女が淡く浮んできた。；自分はこの経過に連れて淡くなりつつ変化する嬉しさを自覚していた。；海のあなたの岬には午前の淡い日影を受けた一部落の屋根が連つて居る。；私は泣く泣くも友の存在を影のごとく淡きものになさなければならなかった。；本種の特徴は、毛色が赤一枚であることで、濃赤・赤・淡赤が存在する。；床材は淡いグレーをベースに中央通路部をブルーとした2色の柄である。；葉の形は三角形で淡い緑色で、表面に白い粉を吹いたようになっている。；夏から秋にかけて、葉腋から多数の淡緑色の花が束のように生えてくる。；目を凝らすと枯れかけた夏草の間から、淡く煙が上っているのが見える。；舞台全体は暗く、コクピットのある部分のみ淡い照明が当てられている。；菊太郎君は何うか知らないが、僕一人としては一種の淡い哀愁を感じた。；目をあげると頬のすぐそばに落ちた剣が淡く光を放っていた。；まるで歳三の来るのを待っていたかのように、淡く化粧をしていた。；いまは完全に消えているが、当時の姉の顔には淡くソバカスが散っていた。；主に少年少女の淡い恋愛を主題にした作品とファンタジー作品を展開する。；頭部は中央が前に少し突き出し、淡褐色だが多少緑を帯びることがある。；そして、秋の夜らしく、淡いもやが、一面に町の屋根にかかりました。</t>
        </is>
      </c>
      <c r="J292">
        <f>HYPERLINK("https://www.weblio.jp/content/淡い", "词义详情")</f>
        <v/>
      </c>
      <c r="K292">
        <f>HYPERLINK("https://yourei.jp/淡い", "查看例句")</f>
        <v/>
      </c>
    </row>
    <row r="293">
      <c r="A293" t="inlineStr">
        <is>
          <t>合わす</t>
        </is>
      </c>
      <c r="B293" t="inlineStr">
        <is>
          <t>成功</t>
        </is>
      </c>
      <c r="C293" t="inlineStr">
        <is>
          <t>読み方：あわす
［動サ五（四）］「合わせる」に同じ。「墓前に手を—・す」
［動サ下二］「あ（合）わせる」の文語形。</t>
        </is>
      </c>
      <c r="D293" t="inlineStr">
        <is>
          <t>合わすべき；合わすまい</t>
        </is>
      </c>
      <c r="E293" t="inlineStr">
        <is>
          <t>合併；調整；結合；整理；合成</t>
        </is>
      </c>
      <c r="F293" t="inlineStr">
        <is>
          <t>考え合わす；思い合わす；擦り合わす；つき合わす；触れ合わす</t>
        </is>
      </c>
      <c r="H293" t="n">
        <v>29</v>
      </c>
      <c r="I293" t="inlineStr">
        <is>
          <t>少年に話をしてるうちに知らず知らず少年の思想に調子を合わしていた。；両手は上下に大きく幅を持って、二人一組で円を作るように合わされる。；そこにふたりの男がいれば、互いに顔を合わさないわけにはゆきません。；あのひとはどうして、おれと話す時なかなか目を合わそうとしないのか。；お庄は父親と顔を合わすのを避けるようにして、台所の方へ出て行った。；彼らは何年にもわたって内藤の気まぐれに付き合わされてきていたのだ。；だが、だれもわたしと目を合わそうとせず、まもなく二人は出ていった。；あの説明会に、夜中まで付き合わされた方の身にもなってみてください。；最初に顔を合わした日から、その老人は悪魔のように彼につきまとった。；そんなこともこのニュースとてらし合わして見るといろいろ思われます。；それは弾が出るまで付き合わされるロシアンルーレットのようなものだ。；もちろん、仕事上の話をすることはあるし、目を合わすことだってある。；ハピイは身体を触れ合わすだけで、それ以上のことを一度も要求しない。；直接の担当をした経験はないんだが、先輩編集者に付き合わされてね。；胸の前で合わされた腕の先はまるでおしゃぶりをしているようにも見える。；他人の悪口を言う自分の癖に何事も合わすことだけを気にかけている。；そして娘たちの遊びに極限まで付き合わされたロベルトは死んでしまう。；やぶから出てみたらその愚鈍な鳥とつらをつき合わしているのであった。；到着は、投票台が開かれることになっている、朝の九時に合わされていた。；かつて知らなかったほどひしといっしょに結び合わされたのを感じていた。；江美はまっすぐ俊夫を見つめ、俊夫は江美と視線を合わそうとはしない。；彼はベンジェルン警視と目を合わすと、絶望的な表情で首を横に振った。；しかし彼女と顔を合わしたとき、彼もまた万事終わったという気がした。；しかし皆々言い合わしたように一致している『理由』がないのでもない。；こんな目に合わされちゃ、相手が大久保長安だって黙っちゃいられねえ。；どこにも何のためにも居合わすことは出来はしまいと思いながら。；黙っているのは辛くはなかったが、その視線と眼を合わすのは嫌であった。；しかし、その他の者はすべて、見えない糸でつなぎ合わされているのだ。；正規の学界に所属する学者を集めてその前で三人をつき合わしてみるんだ。</t>
        </is>
      </c>
      <c r="J293">
        <f>HYPERLINK("https://www.weblio.jp/content/合わす", "词义详情")</f>
        <v/>
      </c>
      <c r="K293">
        <f>HYPERLINK("https://yourei.jp/合わす", "查看例句")</f>
        <v/>
      </c>
    </row>
    <row r="294">
      <c r="A294" t="inlineStr">
        <is>
          <t>合わせて</t>
        </is>
      </c>
      <c r="B294" t="inlineStr">
        <is>
          <t>成功</t>
        </is>
      </c>
      <c r="C294" t="inlineStr">
        <is>
          <t>読み方：あわせて
［連語］
１（副詞的に用いて）総計して。全部で。「参加者は—五〇〇名」
２（接続詞的に用いて）その上さらに。同時に。「新年のおよろこびを申し上げ、—皆様の御健康をお祈りいたします」</t>
        </is>
      </c>
      <c r="D294" t="inlineStr">
        <is>
          <t>合わせて約；合わせて設立；合わせて作ら；合わせて踊る；合わせて調整</t>
        </is>
      </c>
      <c r="E294" t="inlineStr">
        <is>
          <t>また；同時に；答え；かつ；一緒に</t>
        </is>
      </c>
      <c r="F294" t="inlineStr">
        <is>
          <t>合わせて拝ん；合わせてカスタマイズ；合わせて最適；合わせて毎時；合わせて調節</t>
        </is>
      </c>
      <c r="H294" t="n">
        <v>29</v>
      </c>
      <c r="I294" t="inlineStr">
        <is>
          <t>音楽に合わせてプレイヤーが何らかのアクションをとることで進行する。；日本国内では合わせて約3000羽程度が生息していると推測されている。；両館合わせて51店舗の日本国内最大規模のレストラン街となっている。；また、メロディ更新に合わせて同時に放送の案内の音声も更新している。；これは、要求に合わせて強弱を変化させる素晴らしい能力を示している。；そこでは金属バットが使われるのでそれに合わせて設計されている。；今後は改良工事の完成に合わせてホームドア整備も計画されている。；合併の際に、両自治体の名称を合わせて新たにつけられた合成町名である。；可部駅もホーム改良に合わせて上下線分離駅となり自由通路を設置する。；これに合わせて久々原駅の新設された下りホームが利用開始された。；これに合わせて、IrDAを使った多様なサービスが展開され始めた。；さまざまなクライアントに合わせて複数提供されるのが普通である。；ルクッルスは現地のものと合わせて5個軍団を中核とする軍を編成した。；CHUNKING拡張と合わせて使用したときにのみ使うことが出来る。；仙台まるごとパスは、開業日に合わせて当線がエリア内に設定された。；キリスト教徒を全部合わせても住民の5割以下に過ぎない現実がある。；これにより史上初の中央・地方双方での1000勝を合わせて達成した。；時代は必然的に変遷するのであり、それに合わせて政治も変わるのである。；作品のテーマに合わせてカメラを変えることでも知られる。；製造された各同位体は、用途に合わせて目的化合物に取り入れて利用する。；その後、試作品のマリオの動きに合わせて作り直したものが採用された。；これらは中川短絡線を経由する名阪特急の編成に合わせているためである。；アメリカでは週末興行成績ランキングと合わせて興行収入も発表される。；臣下のこれこれができますと言ったことに合わせて、職務を行わせる。；設定せず相手のルールに合わせて合流することもできる。；導き出された情報を予報の種類に合わせてまとめ、適切な形式で発表する。；中央競馬もそれに合わせて1966年に現在の色に変更されている。；そのためソテツ類とイチョウ類を合わせてソテツ類とすることもあった。；利用目的に合わせて品種改良が行われた結果多くの野菜が生まれた。</t>
        </is>
      </c>
      <c r="J294">
        <f>HYPERLINK("https://www.weblio.jp/content/合わせて", "词义详情")</f>
        <v/>
      </c>
      <c r="K294">
        <f>HYPERLINK("https://yourei.jp/合わせて", "查看例句")</f>
        <v/>
      </c>
    </row>
    <row r="295">
      <c r="A295" t="inlineStr">
        <is>
          <t>合わせる</t>
        </is>
      </c>
      <c r="B295" t="inlineStr">
        <is>
          <t>成功</t>
        </is>
      </c>
      <c r="C295" t="inlineStr">
        <is>
          <t>読み方：あわせる
［動サ下一］［文］あは・す［サ下二］《合うようにする、一致させる、が原義》
１（「併せる」とも書く）二つ以上のものを一つにする。
㋐二つ以上のものをつけて一つにする。「仏前に手を—・せる」「周辺の町村を—・せて市にする」
㋑心や力などをまとめて一つにする。一致させる。「心を—・せて事に当たる」「力を—・せて頑張る」
㋒付け加える。合計する。「三と四とを—・せると七」「人口は両村を—・せても三〇〇〇人」「今までの業績も—・せて考慮する」
㋓薬や食品などをまぜる。調合する。「二種の薬を—・せる」
２二つのものを釣り合うようにする。
㋐食い違いのないように、他のものに一致させる。また、一致するように物事を行う。「音楽に—・せて歌う」「彼の予定に—・せる」「歩調を—・せる」「口裏を—・せてごまかす」
㋑釣り合うようにする。相応するようにする。調和させる。「環境に—・せた建築物」「洋服に靴を—・せる」
㋒異なる種類の楽器をいっしょに鳴らす。合奏する。「琴に尺八を—・せる」
㋓正しいかどうか、他と比べて調べてみる。照らし合わせる。「答えを—・せる」「原文と—・せる」
３武器を互いに打ち合わせる。転じて、戦う。「チャンピオンとグローブを—・せる」
４対抗させる。戦わせる。「練習試合で昨年の優勝校と—・せる」
５夢と事実との合致を判断する。夢判断をする。
「さま異なる夢を見給ひて、—・するものを召して問はせ給へば」〈源・若紫〉
６夫婦にする。めあわす。
「伊勢の守もろみちのむすめを正明の中将の君に—・せたりける時に」〈大和・三九〉
７比べて優劣を争う。
「詩に歌を—・せられしにも」〈増鏡・おどろの下〉
[下接句]顔が合わせられない・顔を合わせる・口を合わせる・口裏(くちうら)を合わせる・心を合わせる・力を合わせる・調子を合わせる・帳尻(ちょうじり)を合わせる・手を合わせる・鬨(とき)を合わせる・肌を合わせる・腹を合わせる・額(ひたい)を合わせる・間(ま)を合わせる・掌(たなごころ)を合わす・鞭(むち)鐙(あぶみ)を合わす・夢を合わす</t>
        </is>
      </c>
      <c r="D295" t="inlineStr">
        <is>
          <t>合わせると約；合わせるべき；合わせるべく；合わせると計；合わせると河川幅</t>
        </is>
      </c>
      <c r="E295" t="inlineStr">
        <is>
          <t>合併；調整；結合；整理；合成</t>
        </is>
      </c>
      <c r="F295" t="inlineStr">
        <is>
          <t>照らし合わせる；つなぎ合わせる；こすり合わせる；繋ぎ合わせる；足し合わせる</t>
        </is>
      </c>
      <c r="H295" t="n">
        <v>29</v>
      </c>
      <c r="I295" t="inlineStr">
        <is>
          <t>逆に、ある状態をいくつかの状態の重ね合わせに分解することもできる。；音楽に合わせてプレイヤーが何らかのアクションをとることで進行する。；俳優ごとに別々に録音され、様々な部分を編集でつなぎ合わせたようだ。；また、メロディ更新に合わせて同時に放送の案内の音声も更新している。；攻撃的な音楽性に合わせ、歌詞の内容もやはり攻撃的なものが目立つ。；そこでは金属バットが使われるのでそれに合わせて設計されている。；食事にワインを合わせる習慣があり、基本的にはその土地のワインを飲む。；これらの被害を合わせると、1000万円を超えるだろうと語っている。；これに合わせて、IrDAを使った多様なサービスが展開され始めた。；さまざまなクライアントに合わせて複数提供されるのが普通である。；ルクッルスは現地のものと合わせて5個軍団を中核とする軍を編成した。；CHUNKING拡張と合わせて使用したときにのみ使うことが出来る。；仙台まるごとパスは、開業日に合わせて当線がエリア内に設定された。；二人がタイトル戦の舞台で顔を合わせたのは、これが最後となった。；これにより史上初の中央・地方双方での1000勝を合わせて達成した。；時代は必然的に変遷するのであり、それに合わせて政治も変わるのである。；作品のテーマに合わせてカメラを変えることでも知られる。；他の標識に合わせた色・文字体変更がなされたが、形状は変更されていない。；幼い頃から三味線の音を聞き分け、調子を合わせることができたという。；製造された各同位体は、用途に合わせて目的化合物に取り入れて利用する。；その後、試作品のマリオの動きに合わせて作り直したものが採用された。；これらは中川短絡線を経由する名阪特急の編成に合わせているためである。；アメリカでは週末興行成績ランキングと合わせて興行収入も発表される。；こうなったら仏になりましたから、安らかにと手を合わせるしかないです。；これ以後は写真技術の発展はカメラの発展と歩調を合わせることになる。。；パイ・レコードでの契約枚数を合わせるためにリリースされたともされる。；設定せず相手のルールに合わせて合流することもできる。；金属の表面に他の金属を圧延して貼り合わせる技術はといい区別する。；導き出された情報を予報の種類に合わせてまとめ、適切な形式で発表する。</t>
        </is>
      </c>
      <c r="J295">
        <f>HYPERLINK("https://www.weblio.jp/content/合わせる", "词义详情")</f>
        <v/>
      </c>
      <c r="K295">
        <f>HYPERLINK("https://yourei.jp/合わせる", "查看例句")</f>
        <v/>
      </c>
    </row>
    <row r="296">
      <c r="A296" t="inlineStr">
        <is>
          <t>慌ただしい</t>
        </is>
      </c>
      <c r="B296" t="inlineStr">
        <is>
          <t>成功</t>
        </is>
      </c>
      <c r="C296" t="inlineStr">
        <is>
          <t>読み方：あわただしい
［形］［文］あわただ・し［シク］《近世初期までは「あわたたし」》
１物事をしようとしてしきりにせきたてられるさま。落ち着かなくせわしいさま。「—・い年の瀬」
２状況の移り変わりが急で、一定しないさま。「経済界の—・い動き」
[派生]あわただしげ［形動］あわただしさ［名］</t>
        </is>
      </c>
      <c r="D296" t="inlineStr">
        <is>
          <t>慌ただしい足音(8%)；慌ただしい動き(3%)；慌ただしい雰囲気(2%)；慌ただしい日々；慌ただしい気配</t>
        </is>
      </c>
      <c r="E296" t="inlineStr">
        <is>
          <t>忙しい；大急ぎ；多忙；早急；不穏な</t>
        </is>
      </c>
      <c r="H296" t="n">
        <v>29</v>
      </c>
      <c r="I296" t="inlineStr">
        <is>
          <t>その日はまだ客が入り始める前からいつにも増して慌ただしくなった。；イギリスでも戦争勃発が近いと予想され、慌ただしく戦争の準備を進めた。；それからの数日は慌ただしく、荒波に揉まれるようにして過ぎていった。；ちょうどそこへ自動車が停まって、慌ただしく二人の男女が降りてきた。；やはり青木が知らぬところで、何かが慌ただしく動いているのではないか。；彼の周りで慌ただしく動いている数人の男たちは江戸川署の刑事らしい。；その間は特に何事もなく、慌ただしく兵士達の宿舎の手配などで過ぎた。；闇どもはそこに射しこんだ人工照明を逃れて慌ただしく逃げ去っていく。；残されたわたしは主人の遺産を慌ただしく整理しなければなりませんでした。；東京から慌ただしくやってきたせいで疲れが出たのかもしれない。；ただの取材であれば慌ただしく車でまわって夜には京都なり大阪に向かったはずだ。；光太郎の動きは慌ただしくて、その表情の変化を見ることはできなかった。；玉子はここ十日間ばかりの慌ただしさに、何もわからずに流されていた。；それでもポープ軍のセンタービルへ向けた撤退は慌ただしいものだった。；慌ただしげにボルトを操作する彼等の小さな腕の動きも見てとれた。；うっかりと灯をつけずにドアを開けたら中に慌ただしい気配がある。；「誰か、おらんか」 控えの間の小姓たちが慌ただしく飛び出してきた。；そんな人々の間を、ホテルの従業員たちが慌ただしく右往左往している。；とたんに教室は慌ただしくなり、生徒の大半は食堂へと移動していく。；改札口を出ると、東口と西口へ向かう人々が慌ただしく足を進めていた。；夜中の静けさに比べると、朝の慌ただしさはお祭りみたいに感じられた。；慌ただしくコーヒーを飲むよりは、夜にゆっくり会った方がいいに決まってる。；たとひ慌ただしい情景を描くに当つても作者が慌ててはいけない。；そんなことを慌ただしく考えているうちに、顔が赤くなってきた。；女はわずか数分で席を立ち、慌ただしく店を出て行ったという。；そして二幸の横の露路へ大変な慌ただしさで駈けこんでしまった。；ドタドタと慌ただしい足音がして、居間に一人の青年が飛び込んでくる。；かつて光圀がそうであったように、力みを抑えきれぬ慌ただしい出立だ。；僕は催眠術にかかったように、言われたとおり慌ただしく服を脱ぎ始めた。</t>
        </is>
      </c>
      <c r="J296">
        <f>HYPERLINK("https://www.weblio.jp/content/慌ただしい", "词义详情")</f>
        <v/>
      </c>
      <c r="K296">
        <f>HYPERLINK("https://yourei.jp/慌ただしい", "查看例句")</f>
        <v/>
      </c>
    </row>
    <row r="297">
      <c r="A297" t="inlineStr">
        <is>
          <t>慌て者</t>
        </is>
      </c>
      <c r="B297" t="inlineStr">
        <is>
          <t>成功</t>
        </is>
      </c>
      <c r="C297" t="inlineStr">
        <is>
          <t>読み方：あわてもの
落ち着きがなくそそっかしい行いをしでかす人。気の早い人。粗忽者(そこつもの)。</t>
        </is>
      </c>
      <c r="D297" t="inlineStr">
        <is>
          <t>せっかち；粗忽者；そそっかしい人；あわてんぼう；粗忽な人</t>
        </is>
      </c>
      <c r="H297" t="n">
        <v>29</v>
      </c>
      <c r="I297" t="inlineStr">
        <is>
          <t>突然の事態に慌てて寄って来た家来に自分は正気であると伝えたという。；だが、どんなに急いでも慌てても、彼にはどうすることも出来ないのだ。；慌てて消火をしようとしたものの火の勢いが強くて消すことが出来ない。；管制室に入った連中は、内部が消毒されているのを見て慌てて出てきた。；この様子に慌てたホリプロから、ニューヨークへの歌留学を提案された。；最後のビッドをした者がディクレアラーになるわけではないことに注意。；また、次の各号のいずれかに該当する者は、役員となることができない。；これは通信主管庁の業務を他の者が担ってはならないとする原則である。；私は思わず変なことを怒鳴りそうになっては、慌てて口をつぐみました。；一方でや、といった研究者たちはこの主張に懐疑的な見解を示している。；数学の範囲と定義については、数学者や哲学者の間で様々な見解がある。；当時の担当編集者とは、よく映画や漫画以外の本についての話をしていた。；もしおふくろと同様に事故に遭って死んだときには相当に慌てるだろう。；慌てて走ってきたにも関わらず、汗を全くかいていなかったのである。；彼らの中には稀代のエンターテイナーとして歴史に名を残した者もいる。；アラビアの自然哲学者らの中にはピロポノスの考えを継承する者もいた。；この制約の有効性はプログラム著作者の著作権によって保証されている。；前者は中継用基地局の設置者以外の端末から利用される場合もあった。；慌てて友人達は逃げ出そうとするがどういうわけかドアが開かない。；その知らせを聞いたすみ子が慌てて病院に運ぶと無事子供は生まれた。；最近の経営学者・経済学者には、この点を両者の相違としている者も多い。；ゴ集団の中には人類の文化・芸術に興味を示して熟達する者もいた。；大学院に進学した時にはさすがに両親を慌てさせたという。；磯部は慌てて羽交い絞めにして押し止めたが、彼の決意は翻らなかった。；観測者 、 が慣性運動しており、さらに質点 が運動しているとする。；代わりにこれらがゲームをする人の中心的な指示者である。；弟が慌てて兄を店から連れ出そうとするが客たちは二人を挑発する。；本研究は治験者が実際に瞑想を行い、ペアワイズ比較を用いて行われた。；当時は主に先輩や先生のモノマネなどで、共に校内の人気者だったという。</t>
        </is>
      </c>
      <c r="J297">
        <f>HYPERLINK("https://www.weblio.jp/content/慌て者", "词义详情")</f>
        <v/>
      </c>
      <c r="K297">
        <f>HYPERLINK("https://yourei.jp/慌て者", "查看例句")</f>
        <v/>
      </c>
    </row>
    <row r="298">
      <c r="A298" t="inlineStr">
        <is>
          <t>慌てる</t>
        </is>
      </c>
      <c r="B298" t="inlineStr">
        <is>
          <t>成功</t>
        </is>
      </c>
      <c r="C298" t="inlineStr">
        <is>
          <t>読み方：あわてる
［動タ下一］［文］あわ・つ［タ下二］
１思いがけない物事に出会って、ふだんの落ち着きを失う。うろたえる。狼狽(ろうばい)する。「突然の知らせにすっかり—・てた」
２（「あわてて…する」の形で）急いで…する。「—・てて駆けつける」</t>
        </is>
      </c>
      <c r="D298" t="inlineStr">
        <is>
          <t>慌てることなく(5%)；慌てるだろ</t>
        </is>
      </c>
      <c r="E298" t="inlineStr">
        <is>
          <t>驚く；びっくりする；狂う；動揺する；困惑する</t>
        </is>
      </c>
      <c r="F298" t="inlineStr">
        <is>
          <t>少し慌てる</t>
        </is>
      </c>
      <c r="H298" t="n">
        <v>29</v>
      </c>
      <c r="I298" t="inlineStr">
        <is>
          <t>突然の事態に慌てて寄って来た家来に自分は正気であると伝えたという。；だが、どんなに急いでも慌てても、彼にはどうすることも出来ないのだ。；慌てて消火をしようとしたものの火の勢いが強くて消すことが出来ない。；管制室に入った連中は、内部が消毒されているのを見て慌てて出てきた。；この様子に慌てたホリプロから、ニューヨークへの歌留学を提案された。；もしおふくろと同様に事故に遭って死んだときには相当に慌てるだろう。；慌てて走ってきたにも関わらず、汗を全くかいていなかったのである。；慌てて友人達は逃げ出そうとするがどういうわけかドアが開かない。；その知らせを聞いたすみ子が慌てて病院に運ぶと無事子供は生まれた。；大学院に進学した時にはさすがに両親を慌てさせたという。；磯部は慌てて羽交い絞めにして押し止めたが、彼の決意は翻らなかった。；弟が慌てて兄を店から連れ出そうとするが客たちは二人を挑発する。；あの時は、慌ててもいたし、夜のことで、今よりも一層暗かったのだ。；その後のインタビューでは妊娠5か月がわかり慌てて引退したと述べている。；この感情の爆発には、冷静な伊志田氏もつい慌てないではいられなかった。；或る日一人の男が蒼白な顔をして、慌てて社の前に駆けつけました。；驚いた他の出席者が慌ててボルクマンを取り押さえると、霊姿は消えた。；騒ぎに驚いた慰問団の一行が慌てて逃げたため、負傷者は出なかった。；雲間から太陽が覗くと、フランケンシュタインは慌てて海へ姿を消した。；こいつらも充分強いんだから、そんな 慌てる必要はないと思うが。；警官の姿を見たブライアンは慌てて逃走したが、店内に追いつめられた。；そこで慌てて鋤を投げ出し、探ってみると一つの大タイルが下にあった。；劉邦は慌てて脱出したが、劉太公と呂雉が楚軍の捕虜となってしまった。；荷役会社は慌てて警察を呼ぶが、警察が到着する前にその樽は消えてしまう。；便利屋の娘が、人が来ていると伝えると、妻は慌てて台所へ行った。；だから急に声を掛けられても慌てるようなことはせず、当然襤褸も出さない。；銃声が止んだ後外に出てきた2人は慌てる様子もなく同じ車で去った。；ノースウェスタン大学に進学するものと信じていたジェームズは慌てる。；慌てた彼女は後からおばちゃまに訪問したい旨を手紙で伝え、許可をもらう。</t>
        </is>
      </c>
      <c r="J298">
        <f>HYPERLINK("https://www.weblio.jp/content/慌てる", "词义详情")</f>
        <v/>
      </c>
      <c r="K298">
        <f>HYPERLINK("https://yourei.jp/慌てる", "查看例句")</f>
        <v/>
      </c>
    </row>
    <row r="299">
      <c r="A299" t="inlineStr">
        <is>
          <t>哀れ</t>
        </is>
      </c>
      <c r="B299" t="inlineStr">
        <is>
          <t>成功</t>
        </is>
      </c>
      <c r="C299" t="inlineStr">
        <is>
          <t>読み方：あわれ
［名］しみじみ心に染みる感動、また、そのような感情を表す。
１（「憐れ」とも書く）強い心の動き。特に悲哀・哀憐の感情。不憫(ふびん)と思う気持ち。「人々の—を誘った」「—をかける」「そぞろ—を催す」
２かわいそうな状態。無惨な姿。「—をとどめる」
３底知れないような趣。情趣。ものがなしさ。
「心なき身にも—は知られけり鴫(しぎ)立つ沢の秋の夕暮れ」〈新古今・秋上〉
４どうすることもできないような心の動き。感慨。
「—進みぬれば、やがて尼になりぬかし」〈源・帚木〉
５しみじみとした情愛・人情。慈愛の気持ち。
「子ゆゑにこそ、万(よろづ)の—は思ひ知らるれ」〈徒然・一四二〉
［形動］［文］［ナリ］感動を起こさせる状況、しみじみ心を打つもののさまを広く表す。現在では、多く悲哀・哀憐の感情に限定される。
１（「憐れ」とも書く）かわいそうに思われるさま。気の毒だ。惨めだ。「その姿はいかにも—であった」
２しみじみともの悲しく感じるさま。はかなく、また、さびしく思われるさま。「夕暮れは、なんとなく—に思われてしかたがない」
３しみじみと心を打つ風情があるさま。趣があるさま。
「滝の音、水の声—に聞こゆる所なり」〈宇津保・忠こそ〉
４しみじみと心に染みて愛着を感じるさま。いとしいさま。かわいいさま。
「なま心なく若やかなるけはひも—なれば」〈源・空蝉〉
５しみじみとした愛情があるさま。優しいさま。
「見る人も、いと—に忘るまじきさまにのみ語らふめれど」〈かげろふ・上〉
６感服させられるさま。感心だ。殊勝だ。
「—なるもの、孝(けう)ある人の子」〈枕・二九〉
７尊く、ありがたいさま。
「霊山(りゃうぜん)は釈迦仏の御すみかなるが—なるなり」〈枕・二〇八〉
[派生]あわれがる［動ラ五］あわれげ［形動］あわれさ［名］
［感］
１ものに感動したときに発する語。感嘆賞美の場合にも哀傷の場合にも用いる。ああ。
「—、あなおもしろ」〈古語拾遺〉
「—あれをはしたなく言ひそむこそ、いとほしけれ」〈枕・八〉
２願望の気持ちを表す。ぜひとも。
「—、よい所もあれかし」〈虎寛狂・今参〉
３囃子詞(はやしことば)として用いる。
「いで我が駒早く行きこせ待乳山(まつちやま)—待乳山」〈催馬楽・我が駒〉
[補説] 本来、自然に発する感動の声に基づく感動詞として上代から用いられているが、平安時代以後、感動の声を発せさせられるような状況をいう形容動詞用法や、さらに、そのような状況のときの感情、心のありさまを表す名詞用法が生じて広く用いられた。近世以後は主として悲哀・哀憐の感情を表すのに限定される。なお、中世ごろ「あっぱれ」を派生している。</t>
        </is>
      </c>
      <c r="D299" t="inlineStr">
        <is>
          <t>哀れな男(3%)；哀れな女；哀れな姿；哀れな娘；哀れな人間</t>
        </is>
      </c>
      <c r="E299" t="inlineStr">
        <is>
          <t>味；同情；気の毒；悲惨；趣</t>
        </is>
      </c>
      <c r="F299" t="inlineStr">
        <is>
          <t>こんな哀れ；あまりにも哀れ；哀れな孤兒；哀れな死刑囚；哀れなクレンツェ</t>
        </is>
      </c>
      <c r="G299" t="inlineStr">
        <is>
          <t>哀れむ；哀れん；哀れっぽい；哀れっぽく；哀れま</t>
        </is>
      </c>
      <c r="H299" t="n">
        <v>29</v>
      </c>
      <c r="I299" t="inlineStr">
        <is>
          <t>自分で自分にばかり夢中になつてゐて哀れなおれを焦らしてやがるのだ。；自分達四人がこの時のやうに哀れにかなしく感じられたことはなかつた。；そして彼ら夫婦の仲と、寂しい愛とを思った時急に哀れな気がして来た。；そして彼等夫婦の仲と、寂しい愛とを思つた時急に哀れな気がして来た。；一つの哀れな 小さい唄が 世界の 偉大な音楽と 一つになりました。；焚火に手を翳しながら哀れな顔をして周囲の人だかりを見まはして居る。；しかしながら、いくら歩いてもこの上いい知恵の出ないことが哀れです。；こんなに大量のパリの人間が死んでいることに哀れを誘われませんか?；哀れな、子供を失って気の狂った、おきぬのことを思い出したからです。；この哀れな三、四千曲の急をニッポン国家は救ってくれないでしょうか。；哀れな女は、ついに少女の住んでいるところすら知らなかったのです。；哀れな祖母よ、祖母はむろん父のこの言葉を信じなかったに相違ない。；畳にすれば僅か二枚ほどのその哀れな住居の前を人々は不遠慮に歩いている。；それをじっとして聞いているおせいはさすがに父が哀れになった。；こんな激しい熱でゐて自分で體温表を認めてゐるのを春三郎は哀れに思つた。；女に生涯を賭ける人間の哀れさが男二人をそうしたのでもあろうか。；つまり美しい首よりも哀れな醜悪な首の方が却って羨ましいのであった。；こんなことをする父を見ると、私はむしろ、哀れなる父よと言いたくなる。；哀れな女のたましいを草花に宿らせたような伝説は諸国にたくさんある。；田宮自身、この大自然の中にあっては、哀れな悲しい者と自ら思われた。；彼は、これまでかつて人を信ずることの出来なかった、哀れな人間です。；だからこそここを通る哀れな魂は 闇という眼鏡なくてはそれが見えぬ。；私は、その哀れな死んだ人たちをなぐさめますために花となりました。；夫の哀れな状態に耐えられず、デナーリスは枕を夫の顔にかぶせて殺す。；彼はなんといっても、この二人の哀れな女たちを不幸なものにしたのだと感じた。；二三日前に比べると段が落ちて惡くなつたやうだと三藏は哀れに思ふ。；哀れな鉢植えではなく、大地に生きている福寿草を俺は初めて見たのだ。；秀吉は首を見るなり「哀れなる義士かな」と言って男泣きしたと伝わる。；しかしこれでは哀れなスイス人たちを虐殺から救うことはできなかった。</t>
        </is>
      </c>
      <c r="J299">
        <f>HYPERLINK("https://www.weblio.jp/content/哀れ", "词义详情")</f>
        <v/>
      </c>
      <c r="K299">
        <f>HYPERLINK("https://yourei.jp/哀れ", "查看例句")</f>
        <v/>
      </c>
    </row>
    <row r="300">
      <c r="A300" t="inlineStr">
        <is>
          <t>哀れむ</t>
        </is>
      </c>
      <c r="B300" t="inlineStr">
        <is>
          <t>成功</t>
        </is>
      </c>
      <c r="C300" t="inlineStr">
        <is>
          <t>読み方：あわれむ
［動マ五（四）］
１かわいそうに思う。不憫(ふびん)に思う。「—・むようなまなざし」
２賞美する。めでる。あわれぶ。
「花をもてあそび、鳥を—・まずといふ事なし」〈後拾遺・序〉</t>
        </is>
      </c>
      <c r="D300" t="inlineStr">
        <is>
          <t>哀れむべき(23%)；哀れむような目(5%)；哀れむような視線(3%)；哀れむべし</t>
        </is>
      </c>
      <c r="E300" t="inlineStr">
        <is>
          <t>同情；同情する；憐れむ；思いやる；哀憐</t>
        </is>
      </c>
      <c r="H300" t="n">
        <v>29</v>
      </c>
      <c r="I300" t="inlineStr">
        <is>
          <t>喜ぶようにも嘲るようにも哀れむようにも楽しむようにも見えてしまう。；もちろんわたしは人のことを哀れんでいられるような立場ではないのだけれども。；男三 勝気な女だと云うから哀れまれると云うことに、いい感じはしまい。；殺されて行く獅子を哀れむ心を生じるだけの余裕があるであろうか。；そんな上条を見て、土御門元春は哀れむように静かに笑ってこう言った。；そして同病相哀れむ心から私は急いでそこを通り過ぎねばならなかった。；むしろ、その彼こそ本当にかわいそうだと哀れんでいるように見えた。；横に座っている夫は、妻に哀れむような視線を送ると、ゆっくりと語り始めた。；だから心葉先輩も、あんな哀れむような目で、わたしに言ったんだ。；腐野さんはなぜだか、哀れむように目をほそめて僕を見上げていたのだった。；哀れんでいるようでもあり、どこか怒っているようにも見えた。；そう思った翼は鬼の事を哀れむ様な目で見つめていた。；すると真鶴は一瞬黙って、哀れむような口調に変わったではないか。；あたしのことを心から哀れんでくださった、たった一人の方だからよ。；乙女は思い、なぜ哀れまれるのかわからぬままに、胸の鬱屈が歌になった。；その子の王奉世が父の爵位をつぐと、王政君は王奉世をとても哀れんだ。；これを哀れんだ禅師が供養のために堂を建てたのが始まりである。；しかし、そのかわり、のぼるを哀れむ気持が深くなりつつあるようだった。；ヘルメットの奥にある瞳は、レイフォンを哀れんでいるように見えた。；俺が死んだって哀れんでくれる者なんか一人もおらん。；まだむなしい希望を捨てられず、幻聴を聞いてしまう自分を哀れんだ。；それを哀れんだゼウスは家族のよしみで彼らを天に上げたという。；禹はこの者を哀れんで不死の薬を使ったところ、胸の穴が開いたまま甦った。；外へ出られないあたしを哀れんでか、おじさんは詩集を一杯買ってくれた。；でも目は・・・哀れんでるような・・・・酷い視線だった。；こんなことになったあと、娘の母は、娘を哀れんでただ泣き暮らすだけだった。；同情するような哀れむような複雑な表情が顔をよぎっていく。；あまりにも抜けすぎていて、こちらを再度見た時には、哀れんでいるようにすら見えた。；哀れんでくれる隣人もない、君のために義憤を感じてくれる同志もいない。</t>
        </is>
      </c>
      <c r="J300">
        <f>HYPERLINK("https://www.weblio.jp/content/哀れむ", "词义详情")</f>
        <v/>
      </c>
      <c r="K300">
        <f>HYPERLINK("https://yourei.jp/哀れむ", "查看例句")</f>
        <v/>
      </c>
    </row>
    <row r="301">
      <c r="A301" t="inlineStr">
        <is>
          <t>案</t>
        </is>
      </c>
      <c r="B301" t="inlineStr">
        <is>
          <t>成功</t>
        </is>
      </c>
      <c r="C301" t="inlineStr">
        <is>
          <t>読み方：つくえ
１本を読み、字を書き、また仕事をするために使う台。ふづくえ。「—に向かう」
２飲食物を盛った器をのせる台。食卓。
「高坏(たかつき)に盛り—に立てて母にあへつや」〈万・三八八〇〉
[補説]歴史的仮名遣いは、従来「つきすゑ（坏据）」の音変化とし、「つくゑ」とされてきたが、平安初期の訓点に「つくえ」の表記があり、このほうが古い語形とされる。</t>
        </is>
      </c>
      <c r="D301" t="inlineStr">
        <is>
          <t>案配；案里；案作成；案提出；案内記</t>
        </is>
      </c>
      <c r="E301" t="inlineStr">
        <is>
          <t>計画；設計；企画；構想；策</t>
        </is>
      </c>
      <c r="F301" t="inlineStr">
        <is>
          <t>設計案；不信任案；折衷案；具体案；改正案</t>
        </is>
      </c>
      <c r="G301" t="inlineStr">
        <is>
          <t>案外；案じ；案の定；案件；案内人</t>
        </is>
      </c>
      <c r="H301" t="n">
        <v>29</v>
      </c>
      <c r="I301" t="inlineStr">
        <is>
          <t>私の案を立てた父の肖像画もこの点に就いては真を写しては居りません。；コンクリート製での再建案もあったが、市民の求めで木製で再建された。；一方で、第二区線の敷設経路についてもいくつかの案が提示されていた。；この改造案が発表された後、国際エスペラント運動は重大な分裂が続いた。；しかし、この案では上映時間が3時間を超えてしまうという意見が出た。；清と朝鮮以外の関係各国には、朝鮮情勢の安定化案がいくつかあった。；そのため、政府もその報道された内容が政府案と異なるとする声明を発表した。；ここは当初案と比べてルートが大きく北寄りに移動した。；帝国議会に提出された際の憲法改正案の案文は次のようなものである。；当初、広田が南京に派遣されるという案があったが、実行されなかった。；ヘンダーソン基地艦砲射撃に参加する案も検討されたが取りやめとなった。；宇宙編などの強化案は番組初期から検討されていた。；建設的不信任案が可決されたのは、西ドイツ史で初めてのことであった。；初案ではちょうどチェスの駒に形状が似るクリノリンを着せられていた。；真崎大将は移動する車中で平沼騏一郎内閣案などを加藤に話したという。；東京を起点とする東海道案の終点は当初は小牧ではなく三宮であった。；この案はソ連側に提示され、8月16日にソ連はこれに同意する。；この案では東京駅付近へ駅の設置も検討するとされている。；しかし最終的に、リベスキンドの案には大幅な変更が加えられることとなった。；この発議された憲法改正案を国民に提案し、国民の承認を経なければならない。；AFC内委員会が検討している分割案にはいくつかあるが、主な案は東西分割案である。；連合艦隊がこの作戦計画案を関係者に配布したのは、4月28日であった。；この案は欧州で実演されたが、実用的な通信機に開発されることはなかった。；ストーリー案も遷移しており、当時の資料で紹介されたものは以下の2つがある。；パートナーをつけてハードウェアの開発を進める案もでたが実現しなかった。；モロッコが進めている西サハラへ自治権を付与する案への支持を表明した。；そしてこの日の夜に急速に海上封鎖が有力な案になった。；その中で、支線として八街から東金・勝浦への鉄道建設案を展開している。；なお、この案では、国際的な援助が要請される遺産のリストのみが想定されていた。</t>
        </is>
      </c>
      <c r="J301">
        <f>HYPERLINK("https://www.weblio.jp/content/案", "词义详情")</f>
        <v/>
      </c>
      <c r="K301">
        <f>HYPERLINK("https://yourei.jp/案", "查看例句")</f>
        <v/>
      </c>
    </row>
    <row r="302">
      <c r="A302" t="inlineStr">
        <is>
          <t>餡</t>
        </is>
      </c>
      <c r="B302" t="inlineStr">
        <is>
          <t>成功</t>
        </is>
      </c>
      <c r="C302" t="inlineStr">
        <is>
          <t>読み方：あん
１アズキ・インゲンなどの豆を煮てつぶし、砂糖や塩を入れ、さらに加熱して練ったもの。菓子・汁粉などに使う。豆をつぶしたままのものをつぶし餡、皮を取り除いたものをこし餡という。あんこ。「—パン」
２餅(もち)やまんじゅうの中に詰めるもの。1のほか、調味した挽(ひ)き肉・野菜など。
３くず粉やかたくり粉を加えてとろみをつけた汁。「—かけ蕎麦(そば)」
４広く、物の中に詰めるもの。あんこ。</t>
        </is>
      </c>
      <c r="D302" t="inlineStr">
        <is>
          <t>餡パン(5%)；餡入り(3%)；餡マン；餡をくるん；餡状</t>
        </is>
      </c>
      <c r="E302" t="inlineStr">
        <is>
          <t>詰物；詰め物；当てもの；当て物；餡こ</t>
        </is>
      </c>
      <c r="F302" t="inlineStr">
        <is>
          <t>少餡；黄身餡；ずんだ餡；肉マン餡；栗餡</t>
        </is>
      </c>
      <c r="G302" t="inlineStr">
        <is>
          <t>餡かけ；餡餅；餡掛け；餡餅雑煮；餡ころもち</t>
        </is>
      </c>
      <c r="H302" t="n">
        <v>29</v>
      </c>
      <c r="I302" t="inlineStr">
        <is>
          <t>そのうち子供は餡パンを一口食べてからまた思い切れずに前に廻った。；彼はこのノンブルを餡パンのような大きな文字で書くことが好きであった。；六つになる女の子が餡がこぼれて炉の灰の中へ落ちたのを拾って食べた。；前述のように、切れ目を入れて様々な具材や餡を挟んで食べることが多い。；今のような料理にしますとパンの味もあるし餡の味もあるし双方の味で一層好いようです。；大の甘党で、パンの上に餡をのせ砂糖をかけて食べるのが好みだったという。；かつて砂糖が貴重品であった時代には塩餡が用いられていた。；日本でその餡をいつから小豆で作るようになったのか、正確なことはわかっていない。；もちの餡が出て形が崩れないように、鍋は底の広いものを使う。；明るい緑色の餡を白いお餅にからめて、日曜日の午後、みんなで食べた。；なお、とら巻という名の餡を巻いた菓子は、別な地方にも存在している。；また長崎市内などで具入りの餡をレトルトパックに詰めた市販品がある。；しかし餡や皮にあった野趣だけはいつか失われてしまった。；餡はこしあんが基本で、製法についてはどの製造元でもほぼ同一である。；餅を餡でくるんだものが一般だが、豆粉や胡麻などで三色にしたりもする。；口中に纏わりつく餡の甘さを想像するだけで、廉十郎は胸が悪くなる。；バナナも出してくれたが、熟し過ぎていて、餡を嘗めているような気がした。；羊羹の代わりに餡などを入れる等、現代風にアレンジした派生品も存在する。；青森県内の駄菓子屋で当時一回20円程度で引くことができていた餡のくじ。；都鳥君が階下から餡パンみたいなものとコーヒーを運んできた。；皮の中に餡と共にスープが入っていることが特徴として挙げられる。；みやは不美人ではあるが、愛嬌のある餡パンのような顔をしている。；サクサクした皮の中に、しっとりとしてやや歯ごたえのある餡が入っている。；すべての商品が手造りであることが特徴で、餡は機械ではなく、手で練っている。；餡に使う芋は金時芋が一般的だが、紅芋や紫芋を用いた変わり種もある。；餡練りも含め、ひとつひとつすべて手作業で製造されているのが特徴。；しかしなんぼ何でもお膳に餡巻きのせてるのやなんて感心せんで。；元宵はもち米を原料とした団子である点は湯円に似ていて、中の餡には様々な具が入れられる。；thumb|様々な餡の例 常に新商品の開発が続いている。</t>
        </is>
      </c>
      <c r="J302">
        <f>HYPERLINK("https://www.weblio.jp/content/餡", "词义详情")</f>
        <v/>
      </c>
      <c r="K302">
        <f>HYPERLINK("https://yourei.jp/餡", "查看例句")</f>
        <v/>
      </c>
    </row>
    <row r="303">
      <c r="A303" t="inlineStr">
        <is>
          <t>安易</t>
        </is>
      </c>
      <c r="B303" t="inlineStr">
        <is>
          <t>成功</t>
        </is>
      </c>
      <c r="C303" t="inlineStr">
        <is>
          <t>読み方：あんい
［名・形動］
１たやすいこと。わけなくできること。また、そのさま。「—な問題」
２気楽であること。いいかげんなこと。また、そのさま。「人生を—に考える」</t>
        </is>
      </c>
      <c r="D303" t="inlineStr">
        <is>
          <t>安易な道；安易な考え；安易な生活；安易な方法；安易な気持ち</t>
        </is>
      </c>
      <c r="E303" t="inlineStr">
        <is>
          <t>やすい；容易；楽；軽い；やさしい</t>
        </is>
      </c>
      <c r="F303" t="inlineStr">
        <is>
          <t>あまりにも安易；安易すぎる；そういう安易；安易なやり方；やうな安易</t>
        </is>
      </c>
      <c r="H303" t="n">
        <v>29</v>
      </c>
      <c r="I303" t="inlineStr">
        <is>
          <t>といって、安易にいると言っても嘘になる、いないと言っても嘘になる。；安易に人を茶かした歌をつくって当てようなんざ、動機が不純なんだよ。；そうしてぼくの安易な幸福を、ぼくが無関心でいるからだとみてとった。；自身もその方がネタになるならと安易に乗ってしまったと述べている。；それは世界的な流行であり、もっとも安易な製作態度であったともいえる。；安易に彼に同情したり、彼のことをわかったような気分になってはいけない。；絶好調と思えること自体が、安易に自分に酩酊している証拠なのである。；安易に助けを求める男では ないが、意地を張って無理をする奴でもない。；勿論そういう安易労働に多くの社会的効用を期待することは出来ない。；それは彼が安易を見出していると同じ原因が彼に反逆するのであった。；だが、警察に知られた以上、もう安易にここに近づくことはなくなる。；僕には、そうした安易な喜びの中に、なにか恐ろしいものすら感じられた。；自分たちに都合のいいように、安易に筋書きを展開させてはいけない。；けっして安易な気持ちで多重人格の可能性を口にしたわけじゃないんです。；現状に安易に満足する人間に、いったいどんな幸せが訪れるというのだ。；ドクベニタケと非常によく似ており、安易に食べることは推奨されない。；そのため、比較的安易に将軍を使い捨てることができる仕様になっている。；その言葉が事実であろうと、なかろうと、安易に聞き流してはいけない。；しかし戦争末期には資源不足から安易な代用品を選択することも多い。；安易に苦痛から解放したところで、それが充実した人生であるとは限らない。；手紙を出してから、彼はもう凡てのことを投り出したような安易を覚えた。；掃除を終えてすぐ教室に行けば、そこで捕まるだろうと安易に考えていた。；チェコの音楽の解釈でも、民族的な特徴を安易に強調することはない。；しかし、こんなことは安易すぎるし、あまりにも見えすいているだろう。；青年たちもまた、ときどきそのやうな安易な感情にひたることがある。；同じく天上から来た少なからざる魂が似たような安易な選択をしてしまった。；しかし、そうやって分析することができると安易には言えないようにも思われる。；ただ安易に解決可能だと思うことは戒めなくてはならないと思う。；単に民謡的に安易に歌い去っていない個的なところのある歌である。</t>
        </is>
      </c>
      <c r="J303">
        <f>HYPERLINK("https://www.weblio.jp/content/安易", "词义详情")</f>
        <v/>
      </c>
      <c r="K303">
        <f>HYPERLINK("https://yourei.jp/安易", "查看例句")</f>
        <v/>
      </c>
    </row>
    <row r="304">
      <c r="A304" t="inlineStr">
        <is>
          <t>暗雲</t>
        </is>
      </c>
      <c r="B304" t="inlineStr">
        <is>
          <t>成功</t>
        </is>
      </c>
      <c r="C304" t="inlineStr">
        <is>
          <t>読み方：あんうん
１真っ黒な雲。今にも雨や雪が降りだしそうな気配のある暗い雲。「—が垂れ込める」
２戦争などの危機が迫りくる気配。「国際情勢に—が漂う」
３心を覆い閉ざしている苦しみや悩み。「—が一挙にはれる」</t>
        </is>
      </c>
      <c r="D304" t="inlineStr">
        <is>
          <t>暗雲立ち込める；暗雲が漂い始め；暗雲垂れこめる；暗雲模様</t>
        </is>
      </c>
      <c r="E304" t="inlineStr">
        <is>
          <t>黒雲；雨雲；重苦しい空気；暗い雲；暗い見通し</t>
        </is>
      </c>
      <c r="H304" t="n">
        <v>29</v>
      </c>
      <c r="I304" t="inlineStr">
        <is>
          <t>指の向こうの暗雲の中を一羽の白鳥が南に向かって飛んで行った。；この世をばわが世とぞ思う現在の彼にとって、唯一の暗雲はそのことであった。；番号20で、点は急に女の足から離れ、農家の上の暗雲へと向かった。；その強烈な突破は、暗雲から無数の光の筋がこぼれ出たかのようであった。；彼は、まだ自分をふくめて会津藩にかかる暗雲を意識していなかった。；そうしてこの暗雲は三年五年十年かかっても、消えてはゆかない思いがした。；一見平和に見えるが、実際は、国全体を覆う暗雲が垂れ込め始めている。；少し陽が差し始めていた空に急に暗雲が立ち込めて、辺りが薄暗くなった。；うちへ帰り、わたしたちは協力してだんだら蛇と暗雲模様を収穫した。；彼女は、この空が暗雲に侵食される瞬間を見ようと思っていたのに。；京都に暗雲がただよいはじめたのは、梁川星巌が死んだ直後であった。；この暗雲の下を、艦隊はほぼ真西に近い二八〇度で前進をつづけた。；世界が戦乱の暗雲に閉ざされ、多くの人間が深い絶望を味わっていたこと。；兄と弟には父の死に関わる確執があるようで、結婚式に暗雲が立ち込める。；敵と戦う以前に、ルナン軍にはもう暗雲が立ち込めていたのである。；そして内心のすべてが崩壊してるかと思われるような暗雲が、彼のうちに起こってきた。；前からこの二人の間には暗雲が低迷していたのである。；四条大橋を渡る人々が悲鳴を上げながら、暗雲垂れこめる空を指している。；「お呼びですか」 明るい部長室に、暗雲が立ちこめている感じだった。；ますますあたりは暗くなって、早くも夜の気配が暗雲の向こうに迫り来ていた。；今でも、おまえの額が私の方に向いてくれさえすれば、私の心から暗雲は消え去る。；暗雲の黒々とした姿に、驚き感嘆する者はあっても怯える者はない。；ここにきて紙を提出するなんてことは、ただの形式的な儀式で、もう悲しみの暗雲を抜けてきたはずではないのか。；ただ、事の重大さだけが冬の暗雲のようにのしかかってきていた。；語る言葉は死神からのメッセージそっくりに辺りを暗雲渦巻く魔空間化する。；暗雲の塗りこめる空に、針で穴を穿ったように小さな星の光があった。；友人の励ましも嘲笑に聞え、明るい空も暗雲に閉ざされていました。；天空で円を描く暗雲は、まるでカント寺院を中心に渦巻いているようだった。；つつある暗雲を振り払うように、勢いよくカイルロッドは起き上がった。</t>
        </is>
      </c>
      <c r="J304">
        <f>HYPERLINK("https://www.weblio.jp/content/暗雲", "词义详情")</f>
        <v/>
      </c>
      <c r="K304">
        <f>HYPERLINK("https://yourei.jp/暗雲", "查看例句")</f>
        <v/>
      </c>
    </row>
    <row r="305">
      <c r="A305" t="inlineStr">
        <is>
          <t>案外</t>
        </is>
      </c>
      <c r="B305" t="inlineStr">
        <is>
          <t>成功</t>
        </is>
      </c>
      <c r="C305" t="inlineStr">
        <is>
          <t>読み方：あんがい
［名・形動］
１予想が外れること。思いがけないこと。また、そのさま。思いのほか。副詞的にも用いる。「彼女には—な一面がある」「—よくできた」
２非常識で無礼なこと。また、そのさま。
「—なる素野郎(すやらう)め」〈浄・先代萩〉
[用法]案外・意外——「案外」は予想と事態が違っていた場合に使う。「期待していたが、案外つまらない映画だった」「心配していたが、仕事は案外楽だった」など。◇「意外」は「意外に時間が早くたってしまった」「パーティーで意外な人に会った」のように、「意外な」「意外に」の形で、考えていたことと実際が違う場合や、予想できなかったようなことに使う。</t>
        </is>
      </c>
      <c r="D305" t="inlineStr">
        <is>
          <t>案外早く；案外多い；案外うまく；案外いい；案外そんな</t>
        </is>
      </c>
      <c r="E305" t="inlineStr">
        <is>
          <t>意外；意外に；思いがけない；意外と；ひょっとすると</t>
        </is>
      </c>
      <c r="F305" t="inlineStr">
        <is>
          <t>案外しっかり；案外難しい；案外すらすら；案外つまらない；案外そういう</t>
        </is>
      </c>
      <c r="H305" t="n">
        <v>29</v>
      </c>
      <c r="I305" t="inlineStr">
        <is>
          <t>こんなつまらぬと思われるような仕事が案外やられていないものである。；しかしこの一番簡単なことをつい忘れている人が案外多いように思われる。；ところが医者のほうは案外いつも平気でいっしょに笑ってくれたりする。；道を通る人は前方ばかり注意して、案外上を見ないことに彼は気がついた。；定子の事から考えると自分には案外子運があるのかもしれないとも思った。；で例の外国婦人が悲憤を感じたのは案外この点だったのかも知れない。；またあっても交際すると案外つまらないものであるかも知れないと思う。；この人にでも提出したら線香花火の問題も案外早く進行するかもしれない。；本を借りた人間は案外金を借りた程に負担を感じないのが事実ではないかと思う。；尤も煙草盆に関係があったには案外のような又案内のような感がした。；ところが、古来記憶力の弱い名優が案外に多いことは皮肉な現象である。；ふと土門の顔を横眼で見ると、土門は案外つまらなそうな顔をしていた。；こう云った所が、近衛内閣の案外評判の悪くないという事情なのだろう。；ジョルジュ・サンドなんて女は案外こんな顔をしていたのかも知れぬ。；非常によく眠ったような気がして目を覚まして見ると、まだ案外早い。；単に趣味的と見られ易い霜柱の研究なども案外馬鹿には出来ないのである。；子供の方は場合によっては案外試験を気にしていないかも知れない。；それから彼等は日本人が考えているよりも案外利巧な処もあるようである。；こういう場合には、案外、出来た仕事の成績は気にならないものです。；しかし、実は日本語も知っているし、案外話好きでもあったのである。；ところが、案外にも別なことでかの女から無責任になることができた。；降りは案外楽なもので困難の中にも半里ばかりの道を降って川の端に着いたです。；動物の生態を研究してゐる学者は案外簡単な説明を下すかも知れない。；この二つの小都会の性格の相違が案外はつきりして来るかも知れない。；ところが、案外にみな鋭いところがあって、なかなか賛成してくれない。；今日の学生は案外神妙に教授の言説に関心を持っているのではないかと思う。；いたりついて見ると、案外にも門は閉されて、全く人の気配がありません。；彼が案外人の盤外作戦にひっかからないのは、腕に差があるからであろう。；私は、いまの世の中の若い読者たちが、案外に老人であることを知っている。</t>
        </is>
      </c>
      <c r="J305">
        <f>HYPERLINK("https://www.weblio.jp/content/案外", "词义详情")</f>
        <v/>
      </c>
      <c r="K305">
        <f>HYPERLINK("https://yourei.jp/案外", "查看例句")</f>
        <v/>
      </c>
    </row>
    <row r="306">
      <c r="A306" t="inlineStr">
        <is>
          <t>暗記</t>
        </is>
      </c>
      <c r="B306" t="inlineStr">
        <is>
          <t>成功</t>
        </is>
      </c>
      <c r="C306" t="inlineStr">
        <is>
          <t>読み方：あんき
［名］(スル)文字・数字などを、書いたものを見ないでもすらすらと言えるように、よく覚えること。「英単語を—する」「丸—」「—力」</t>
        </is>
      </c>
      <c r="D306" t="inlineStr">
        <is>
          <t>暗記力；暗記しよ；暗記できる；暗記する必要；暗記中心</t>
        </is>
      </c>
      <c r="E306" t="inlineStr">
        <is>
          <t>記憶；覚える；憶える；諳記；覚えこむ</t>
        </is>
      </c>
      <c r="F306" t="inlineStr">
        <is>
          <t>すべて暗記；全部暗記；暗記でき；全て暗記；みんな暗記</t>
        </is>
      </c>
      <c r="G306" t="inlineStr">
        <is>
          <t>暗記パン</t>
        </is>
      </c>
      <c r="H306" t="n">
        <v>29</v>
      </c>
      <c r="I306" t="inlineStr">
        <is>
          <t>結局昨日はあれ以降ずっと部屋に籠もってひたすら暗記ものを勉強した。；なぜ執事がこの昔の問答を暗記しようとあれほど気を使ったのだろうか?；あいつがあの小説の殺し場の文章をそのまま暗記してるのには驚いた。；この中でも北は孟子に興味を持ち、その大部分を暗記するほどになった。；彼がいったように、夜のうちに手紙の文句を暗記してしまうためであった。；唇が、暗記でもしているように、小さく早く動いたが、声は出なかった。；学問とは理解することであって、暗記することでないと今でも思っている。；すでにすっかり暗記していたけれども、彼は今一度その記事に目を通した。；私は自分の説教を暗記するためにあまり骨をおる必要はないと考えた。；彼はまた20世紀以降の連邦選挙のすべての当落を暗記していたという。；よくあるケースの番号はともかく、そのすべてを暗記などしていられない。；したがって詩を作るにはどの字がどの韻に属するかを暗記する必要があった。；もちろん暗記していなかったのだけれど、運良く手帳に控えを取っていた。；私は少しでも彼女の味方になつている論評は今でも悉く暗記している。；これはもちろん、ともかく音だけは暗記していないと役には立たない。；あの人は、私が魔法書を暗記してしまったもので、私を吊り下げたのです。；唐宋八大家などの文学者が活躍して古典の暗記が重視された時代であった。；何度も声に出して読んだので、ほぼ暗記してしまったぐらいであった。；鮪夫がほとんど暗記してしまっているそれはこのような内容だった。；そして、今までに何度も何度もかけてすっかり暗記してしまった番号を押した。；いまでも、その冒頭の数ペエジの文章をそっくりそのまま暗記している。；彼の演説は3時間以上続くこともあったが、彼はそれを暗記していた。；音楽をまなぶ以前は、わたしはさまざまな歌を暗記することができた。；授業内容は受験的な暗記ではなく、なぜそうなったかを考えさせる式のもの。；そうして今でもさまざまの古い物語を暗記しているそうである。；彼は、いつでも自分の文章をすべて暗記しているのだそうである。；彼は、いつでも自分の文章をすべて暗記してゐるのださうである。；歌が衰えて名の暗記を主とすると、是を二つの神と解したのも自然である。；だいたい六組のカードを全て暗記するなんて、できるわけないじゃないか。</t>
        </is>
      </c>
      <c r="J306">
        <f>HYPERLINK("https://www.weblio.jp/content/暗記", "词义详情")</f>
        <v/>
      </c>
      <c r="K306">
        <f>HYPERLINK("https://yourei.jp/暗記", "查看例句")</f>
        <v/>
      </c>
    </row>
    <row r="307">
      <c r="A307" t="inlineStr">
        <is>
          <t>アンケート</t>
        </is>
      </c>
      <c r="B307" t="inlineStr">
        <is>
          <t>成功</t>
        </is>
      </c>
      <c r="C307" t="inlineStr">
        <is>
          <t>読み方：あんけーと
多くの人に同じ質問を出して回答を求める調査法。また、その質問。</t>
        </is>
      </c>
      <c r="D307" t="inlineStr">
        <is>
          <t>アンケート結果(4%)；アンケート用紙(2%)；アンケートハガキ；アンケート葉書；アンケートはがき</t>
        </is>
      </c>
      <c r="E307" t="inlineStr">
        <is>
          <t>調査票；アンケート用紙；質問表</t>
        </is>
      </c>
      <c r="F307" t="inlineStr">
        <is>
          <t>市民アンケート；視聴者アンケート；街頭アンケート；人気アンケート；事前アンケート</t>
        </is>
      </c>
      <c r="G307" t="inlineStr">
        <is>
          <t>アンケートシステム；アンケート商法</t>
        </is>
      </c>
      <c r="H307" t="n">
        <v>29</v>
      </c>
      <c r="I307" t="inlineStr">
        <is>
          <t>実際に連載が決定したのは、アンケートの結果のおかげであったという。；しかし公式アンケートでは彼女のコスプレはあまり支持されなかった。；ただし、アンケート機能・放送ネタなど一部の機能が反映されなくなる。；アンケート項目は数百に及ぶが、中で特徴的なものは次のようなものであった。；またアンケート方法が変更されるなど、ランキングに大幅に手が加えられた。；中継先で行われたアンケートの結果予想や、中継先に関する問題に答える。；東京で働く女性を対象としたアンケートをベースとしたミニドラマを展開する。；開発元ホームページでのアンケート上位3種の魔改造が追加されている。；CMの評価は高くはなく、嫌いなCMのアンケートを取ると上位に入った。；ある都道府県の人に自慢できる物のアンケートを取りベスト30を作成。；読切作品の一部でアンケートを基準にした企画を行うことがある。；また、月に一度、ムックと同様にアンケートを元にしたランキングを発表。；この番組では通常のトーク番組が行う出演者への事前アンケートを一切行わない。；アンケート結果にて本機用のソフトが言及されているのみである。；これはアンケートの回答者に大企業が増えた為だろうと推測された。；写真のほかに各メンバーが決められたテーマに答えるアンケートなどが収録されていることもある。；各種アンケートや利用状況の無人調査が可能であり、各種調査が行われている。；出演する市民は番組ホームページからアンケートに回答する形式で応募。；特定の層1000人に聞いた2択のアンケートの結果を予想するクイズ。；以下は複数の選択肢の中から一つを選ぶ形式のアンケートへの回答。；ファミコンと全く関係ない内容にもかかわらず、アンケートで上位となった。；アンケートハガキの読者投票で1番となった作品が連載権を獲得する。；報告は数年にも及ぶ膨大なアンケートと面接調査をもとにしたものであった。；アンケートでは、その俳優を選んだ理由や印象に残った映画を挙げることも求められていた。；登場キャラクターは前作発売後のWebアンケートを元に決めている。；この他に遊んだゲームについてアンケートに答えることができた。；現在は多くの大学などで実施されている授業評価アンケートだが、課題が多い。；利用者には、改築後の駅舎のデザインを決めるアンケートも行われた。；アンケートサイトも兼ねる事で、商品に交換可能な通貨を用いている。</t>
        </is>
      </c>
      <c r="J307">
        <f>HYPERLINK("https://www.weblio.jp/content/アンケート", "词义详情")</f>
        <v/>
      </c>
      <c r="K307">
        <f>HYPERLINK("https://yourei.jp/アンケート", "查看例句")</f>
        <v/>
      </c>
    </row>
    <row r="308">
      <c r="A308" t="inlineStr">
        <is>
          <t>暗殺</t>
        </is>
      </c>
      <c r="B308" t="inlineStr">
        <is>
          <t>成功</t>
        </is>
      </c>
      <c r="C308" t="inlineStr">
        <is>
          <t>読み方：あんさつ
［名］(スル)主に政治上の立場や思想の相違などから、ひそかに要人をねらって殺すこと。「大統領が—される」</t>
        </is>
      </c>
      <c r="D308" t="inlineStr">
        <is>
          <t>暗殺される(6%)；暗殺計画(4%)；暗殺後(2%)；暗殺しよ(2%)；暗殺者</t>
        </is>
      </c>
      <c r="E308" t="inlineStr">
        <is>
          <t>闇討ち；騙し討ち</t>
        </is>
      </c>
      <c r="F308" t="inlineStr">
        <is>
          <t>要人暗殺；首相暗殺；暗殺対象；天皇暗殺；暗殺実行</t>
        </is>
      </c>
      <c r="G308" t="inlineStr">
        <is>
          <t>暗殺事件；暗殺未遂事件；暗殺未遂；暗殺説；暗殺教団</t>
        </is>
      </c>
      <c r="H308" t="n">
        <v>29</v>
      </c>
      <c r="I308" t="inlineStr">
        <is>
          <t>首相経験者が暗殺されるのは二・二六事件以来であり、戦後初である。；料理好きな面もあり、元暗殺者とは思えない普通の家庭的な暮らしをしている。；しかしいずれも確たる証拠がなく、誰が光緒帝を暗殺したかは不明である。；また暗殺される一年前に出された自伝にも自らの死を予期する記述がある。；初代大統領には暗殺されたアミルカルの弟のルイス・カブラルが就任した。；銀は硫黄や砒素と反応し変色するため、暗殺を未然に防ぐ効果もあった。；理由は明らかでなく、狂気によるとも、暗殺された可能性も指摘されている。；その後内大臣となって宮中にまわったが、直後に二・二六事件で暗殺された。；暗殺は失敗したがニューヨークから追い出すことには成功した。；キング牧師は、暗殺される前の数年間、急進的になったとも言われている。；妃の一人ティイは自身の息子を次王に就けようとし、王の暗殺を計画。；帝位を追われた景泰帝は間もなく崩御したが、暗殺されたとする説もある。；撤収発表と前後して、サマーワ市内や郊外で爆発や市幹部の暗殺が発生した。；暗殺後は一家内のアナスタシア忠誠派を中心に復讐の動きがあったとされる。；しかし蘇我馬子と不和になった天皇は592年に暗殺されてしまった。；これは同年カエサルが暗殺されるより少し前のことであった。；暗殺は実行可能と報告したが、デューイの暗殺は行われなかった。；その年の夏の終わりに、イェール暗殺の仕返しと思われる事件があった。；暗殺されたと明確に記された最初の天皇である。；天皇が暗殺されたのは、確定している例では唯一である。；画像はサンクトペテルブルクでの爆発による皇帝暗殺の様子を描いたもの。；ゴーベルは在任中に暗殺されたアメリカ合衆国唯一の州知事となっている。；または逃亡中に暗殺されたとも言われている。；暗殺のショックからまだ数ヶ月後で見ればゾッとするだけでしかなかったという。；戦局が困難を極める1944年には、複数の東條英機暗殺が計画された。；人手が足りず、昔の窃盗仲間をガリアーノに紹介して暗殺チームに入れた。；田中は交換条件として、ボンドに「死の蒐集家」の暗殺を依頼してきた。；シャロンの作戦は成功したかにみえたが、ジェマイエルは暗殺されてしまう。；パーヴェル1世は貴族層を中心に多くの人々の反感を買い、暗殺が計画された。</t>
        </is>
      </c>
      <c r="J308">
        <f>HYPERLINK("https://www.weblio.jp/content/暗殺", "词义详情")</f>
        <v/>
      </c>
      <c r="K308">
        <f>HYPERLINK("https://yourei.jp/暗殺", "查看例句")</f>
        <v/>
      </c>
    </row>
    <row r="309">
      <c r="A309" t="inlineStr">
        <is>
          <t>暗算</t>
        </is>
      </c>
      <c r="B309" t="inlineStr">
        <is>
          <t>成功</t>
        </is>
      </c>
      <c r="C309" t="inlineStr">
        <is>
          <t>読み方：あんざん
［名］(スル)筆算したり計算器具を使ったりせずに、頭の中だけで計算すること。</t>
        </is>
      </c>
      <c r="H309" t="n">
        <v>29</v>
      </c>
      <c r="I309" t="inlineStr">
        <is>
          <t>寝つきが悪いため、ベッドに横たわりながら暗算をすることが多かった。；何でもよく出来る人間で、四桁の暗算をすらすらできるとも言っていた。；ご存じの通り、こういう人は頭の中に実際に算盤を浮かべて暗算をする。；同じ暗算をしていても脳の中で使っている部分は違うのです。；私は、中学生の時に校内の暗算コンクールで優勝したことがありました。；初級の場合は予備的暗算は筆算を教えるときに計算の理解を容易にする。；暗算がびっくりするほど早く正確だが、この才能は必要から生じたものらしい。；見かけはそうだったが、心は暗算している状態に似た忙しさだった。；これから毎日学校へ出るとして一日往復いくらになるか電車のなかで暗算をする。；筆算式暗算は、頭の中に筆算のイメージを描いて計算することである。；圭一は、暗算し、用意した金では十万円ほど不足であることを知った。；レスも暗算をしてみたが、桁を間違えたのではないかと自身を疑った。；王二はそれを油断なくながめ、暗算して、正確かどうかをたしかめた。；そうではなく、暗算が出来るようになるのに違いないのだ。；計算機は君等の暗算より何万倍も早くなければ価値がない。；筆算の基礎を教える前に予備的暗算を教えておくことが必要である。；後悔をかみしめながら、さっき口にした食品のカロリーを暗算してみる。；しかし、暗算偏重の方法には批判があり筆算中心の水道方式が提唱された。；さて買い待ち全てでいくらになるかと暗算しようとしたところに、目の隅になにかが映った気がした。；一合は約〇・〇四ガロンだから、ほぼ八升だな、と傍で見ている門田は暗算した。；頭の中で作用するアルファ波が、暗算する僕をますます覚醒させる。；加減はだめだが、乗除となると、日本人より暗算がうまいというわけか。；「あんたはいくつだね」 真一は、難しい暗算をするように首をかしげた。；すぐに暗算してみると、ロケットの獲得速度は時速十五キロ以上になりえないとわかった。；この計算は、暗算することも不可能ではないが、ほとんどの人にとっては困難である。；大ざっぱに暗算し、私はかなりの年配の人だろうと思っていた。；そのうち三郎は向こうの玄関の前まで行ってしまうと、こっちへ向いてしばらく暗算をするように少し首をまげて立っていました。；この勘定は、僕が暗算した額より、少なくとも三〇パーセントは高かった。；なぜなら、同じ暗算でも、人によってまったく脳の中で違う部分を使っていることがあるのです。</t>
        </is>
      </c>
      <c r="J309">
        <f>HYPERLINK("https://www.weblio.jp/content/暗算", "词义详情")</f>
        <v/>
      </c>
      <c r="K309">
        <f>HYPERLINK("https://yourei.jp/暗算", "查看例句")</f>
        <v/>
      </c>
    </row>
    <row r="310">
      <c r="A310" t="inlineStr">
        <is>
          <t>暗示</t>
        </is>
      </c>
      <c r="B310" t="inlineStr">
        <is>
          <t>成功</t>
        </is>
      </c>
      <c r="C310" t="inlineStr">
        <is>
          <t>読み方：あんじ
［名］(スル)
１物事を明確には示さず、手がかりを与えてそれとなく知らせること。また、そのような手がかり。サジェスチョン。「—を与える」「将来を—する事件」
２人の感情や考えが、言葉や絵などの間接的な手段によって無意識のうちに強制によらずにある方向に変化する現象。「—にかかる」</t>
        </is>
      </c>
      <c r="D310" t="inlineStr">
        <is>
          <t>暗示する(18%)；暗示的(6%)；暗示される；暗示させる；暗示性</t>
        </is>
      </c>
      <c r="E310" t="inlineStr">
        <is>
          <t>現れ；提案；表示；鍵；気配</t>
        </is>
      </c>
      <c r="F310" t="inlineStr">
        <is>
          <t>被暗示；未来を暗示；重大な暗示；深い暗示；きわめて暗示的</t>
        </is>
      </c>
      <c r="H310" t="n">
        <v>29</v>
      </c>
      <c r="I310" t="inlineStr">
        <is>
          <t>この曲はバンドが仕事を失って就職活動をしていることを暗示していた。；物語全体で他の何かを暗示するように構成されたものは寓喩と呼ばれる。；用語類を曖昧にして暗示的に示すため、必ず確認することが必要である。；誰か友人中に死んだ者でもあって、その暗示が来たのではあるまいか。；青年の言葉によつて与へられた暗示は私にこれだけのことを考へさせた。；どちらの解釈を取るにしても美の感覚を暗示していることとなる。；その非常に暗示的な一言によって、僕は何かしらの反応を期待しました。；空は暗く、それらの地域が既に死に制圧されたことが暗示されている。；このことはそれらが非常に近い場所にあることを暗示していた。；本当の芸術は現在の生活から飛躍した生活を暗示するものでなくてはならない。；目先の品薄感が強いが、将来的に供給が安定する可能性を暗示している。；ボツワナにとっては西に接するドイツの植民地の動向が暗示的であった。；中庭の中とアステカ室の前の池はこの文化が湖を背景にもつことを暗示する。；そのような代行的行動は行動の適切さの判断や時期の判断の権限を暗示している。；権藤の骨の横には、もう一体 みはりと暗示される骨があった・・・。；また、3柱の主要なノルニルが女巨人たちであったことを暗示している。；窓は、飛び散った骨が暗示しているように、おそらく死への門である。；全然恐れていないけれども、全てが終わったことを暗示していた。；デカルトの説の中にも既にそういう意味のことが暗示されている。；その報告書は自然の豊かさと友好的なインディアンの存在を暗示していた。；宗教ではこれを象徴的に暗示的に示すことかできず、単なる一手段に過ぎないという。；その本には自分の過去に起きた事件を暗示するかのようなストーリーが綴られていた。；聖霊の持つ松明が消えかかっていることも同様に死を暗示している。；暗示こそは人に与えられた子等の中、最も優れた娘の一人だ。；また対照的な葉を茂らせた木と枯れた木はキリストの救済を暗示している。；キリスト教国の改造にはユダヤ教の教えを導入すべきであることを暗示した小説だった。；二人が転生したかなでと音無であることを暗示して物語は終わる。；これは地獄門が閉じられる事なく、世界が滅んでしまうことの暗示である。；多くの文化は伝統的な季節学の諺を持っており、作業のときを暗示している。</t>
        </is>
      </c>
      <c r="J310">
        <f>HYPERLINK("https://www.weblio.jp/content/暗示", "词义详情")</f>
        <v/>
      </c>
      <c r="K310">
        <f>HYPERLINK("https://yourei.jp/暗示", "查看例句")</f>
        <v/>
      </c>
    </row>
    <row r="311">
      <c r="A311" t="inlineStr">
        <is>
          <t>暗証番号</t>
        </is>
      </c>
      <c r="B311" t="inlineStr">
        <is>
          <t>成功</t>
        </is>
      </c>
      <c r="C311" t="inlineStr">
        <is>
          <t>読み方：あんしょうばんごう
該当者か否かをコンピューターで照合するための暗証用の数字。現金自動支払機などで使用。</t>
        </is>
      </c>
      <c r="D311" t="inlineStr">
        <is>
          <t>暗証番号入力；暗証番号解読</t>
        </is>
      </c>
      <c r="E311" t="inlineStr">
        <is>
          <t>パスワード；合言葉；合い言葉</t>
        </is>
      </c>
      <c r="H311" t="n">
        <v>29</v>
      </c>
      <c r="I311" t="inlineStr">
        <is>
          <t>後述のカード再発行のことを考えると暗証番号は設定したほうが良い。；暗証番号が漏れたという印象を誰にも与えないようにしたかったのね。；数字のボタンは前述の通り様々な暗証番号がインプットされている。；見ると、扉は操作盤の暗証番号をプッシュしてあけるようになっていた。；設定用コードは暗証番号の設定・変更の場合のみに使用する。；では、暗証番号を0000のままで使い続ける人間がどれほどいるだろうか。；ロビーに入るには、暗証番号その他のデータを記憶させたカードが必要だった。；旧会員はT会員番号と暗証番号を用いることによって、設定が可能である。；メールボックスの戸は暗証番号を知らないと開けられないタイプだ。；もちろん銀行側でも、他人にわかりやすい暗証番号は使わないようにと指導はしている。；しかも都合のいいことに、暗証番号は一般の引き出しのときと共通にしてあった。；データを消すには愛果が設定した暗証番号が必要なんだそうです。；その際、いずれもカード発行時に決めた任意の4桁の暗証番号を求められる。；まさか、そこから銀行の暗証番号を割り出されるなんて思ってもみないからね。；そのかわりに顧客の暗証番号は、ホストコンピュータに記録しておくのだ。；兄が分からないと言うので、鍵の暗証番号もツネコが代わりに設定した覚えがある。；この手で暗証番号を実際に金庫に打ち込んでみないことには、安心はできない。；それをききながら暗証番号を押すと、留守中の電話の内容が伝わってくる。；瑞穂は美佐子に教えられた暗証番号を押し、開いた扉から中に入る。；祥子はため息をついてから、インターホンの暗証番号を押して門を開けた。；と、奇妙なことに、暗証番号のゲートは開いたままになっていた。；廊下には、部屋にはいる三つの入口があるはずで、そのどれも暗証番号は判っている。；暗証番号は、すでに、泥棒の間で情報がやりとりされているかもしれません。；だが銀行に勧められるままにあんまり冗談事に手続きしたので、一度も使わぬうちに暗証番号を忘れてしまったのだ。；おそらく他の四件についても、同様の方法で暗証番号をつかんだにちがいない。；また、人々の夢を現実にする暗証番号の世界観を持っている。；暗証番号は設定されてはいなかったものの、カード裏面にさまざまな情報が記録されることはまったく同じであった。；何の疑いもなくオートロック解除の暗証番号を押して中に入る。；「暗証番号をお忘れですか」 「みたいですね」 そういうしかない。</t>
        </is>
      </c>
      <c r="J311">
        <f>HYPERLINK("https://www.weblio.jp/content/暗証番号", "词义详情")</f>
        <v/>
      </c>
      <c r="K311">
        <f>HYPERLINK("https://yourei.jp/暗証番号", "查看例句")</f>
        <v/>
      </c>
    </row>
    <row r="312">
      <c r="A312" t="inlineStr">
        <is>
          <t>案じる</t>
        </is>
      </c>
      <c r="B312" t="inlineStr">
        <is>
          <t>成功</t>
        </is>
      </c>
      <c r="C312" t="inlineStr">
        <is>
          <t>読み方：あんじる
［動ザ上一］「あん（案）ずる」（サ変）の上一段化。「身の上を—・じる」</t>
        </is>
      </c>
      <c r="D312" t="inlineStr">
        <is>
          <t>考える；検討；考慮；図る；考察</t>
        </is>
      </c>
      <c r="H312" t="n">
        <v>29</v>
      </c>
      <c r="I312" t="inlineStr">
        <is>
          <t>拗者の弟が、兄の身を案じるせりふを吐くとはかつてないことであった。；彼の身を案じる気持など、毛ほども持ち合わせていないにちがいない。；けれど自分のないのちはと、ひそかに妹のあとの半生をなお案じるのだった。；宿泊先のホテルは病状を案じる1万人以上もの大群衆に囲まれてしまう。；そんな彼女が理想とするネギの身を案じるのは当然のことだった。；きえという娘を案じる気持が、平四郎の胸にしっかりと根を張っている。；そんな彼の身を案じる恋人のフィービーが心の支えになっていた。；姫君がどうしておられるのか、案じることさえもなかったのです。；そしてその案じる気持ちから、自分はまだ何かを学べるかもしれない。；ちなみに、一人で楽しむことと、友人を案じることとは全然別のこと。；私が憐れなそのドイツ女のゲルトルートのことを案じるのも、そこですわ。；その艦隊には娘といとこの身を案じるローディア総督も同行していた。；それが今のように、自ら彼女を案じるなど今までなかった事だ。；宮戸彦の身を案じる気持に変りはないが、男具那の心は完全にほぐれた。；母親は息子のこのような振る舞いに腹を立て、息子の将来を案じるようになった。；ちょいと面倒を見ている店の主をそそのかすつもりだから案じるな。；子供の名を呼ぶ母親の声や、家族を案じる父親の声も、ほどなくとぎれた。；妖怪変化の専門家である忍野メメはその話を聞くや翼の身を案じる。；シールズの声にはそのM9部隊の身を案じるような響きがあった。；困った真九郎は空のコップを持ったまま視線を巡らせ、一計を案じる。；もし母が、本当のことを知ったら、ひどく案じると思うからです。；が、そのままお前の身を案じるやうに消毒室の方へ出て行つた。；与市兵衛を案じる母と娘が話をする中、そこに京の祇園町から人が訪れる。；きのうの身はなお、堺の町の運命を案じると、死にきれない焦躁を覚えた。；そんなことを言ってしまったら、妹の身を案じる彼女に追い打ちをかけるようなもんだ。；東京の母が悪いのではないかと母が案じる。；しかし父の方では、何の怪我もなくこうして彼が帰っている事であれば何も大して案じる事もなかった。；すっかり、娘の素行を案じる母親のような気持ちになっていた。；大事な娘が刺客の少年と二人きりでこんな離れで暮らしているとなれば、その身を案じるのは当然だろう?</t>
        </is>
      </c>
      <c r="J312">
        <f>HYPERLINK("https://www.weblio.jp/content/案じる", "词义详情")</f>
        <v/>
      </c>
      <c r="K312">
        <f>HYPERLINK("https://yourei.jp/案じる", "查看例句")</f>
        <v/>
      </c>
    </row>
    <row r="313">
      <c r="A313" t="inlineStr">
        <is>
          <t>安心</t>
        </is>
      </c>
      <c r="B313" t="inlineStr">
        <is>
          <t>成功</t>
        </is>
      </c>
      <c r="C313" t="inlineStr">
        <is>
          <t>読み方：あんしん
［名・形動］(スル)
１気にかかることがなく心が落ち着いていること。また、そのさま。「列車で行くほうが—だ」「—して任せられる」
２⇒あんじん（安心）</t>
        </is>
      </c>
      <c r="D313" t="inlineStr">
        <is>
          <t>安心させる(4%)；安心できる(2%)；安心感；安心下さい；安心しろ</t>
        </is>
      </c>
      <c r="E313" t="inlineStr">
        <is>
          <t>安全；無事；楽；大丈夫；安堵</t>
        </is>
      </c>
      <c r="F313" t="inlineStr">
        <is>
          <t>ご安心；聞いて安心；ホッと安心；安心出来；安心しきってる</t>
        </is>
      </c>
      <c r="G313" t="inlineStr">
        <is>
          <t>安心してください；安心院；安心院盆地；安心しろよ；安心院町</t>
        </is>
      </c>
      <c r="H313" t="n">
        <v>29</v>
      </c>
      <c r="I313" t="inlineStr">
        <is>
          <t>こちらの座席では隣にほかの客が来ることがなく、安心して利用できる。；子どもの様子を常に確認することができ、安心して働くことが出来ます。；当選がきまったら「これでお二人とも安心だね」と言って帰ったそうだ。；しかしここで安心したことで2つのパーティは再び別々になってしまう。；このため壁の中の住民たちはおそらくこれで安心だと感じていた。；そのため、ベビーフードに安心と信頼を置いて、利用しているのである。；自分は安心していたので最後の議席争いに負けてしまったと振り返っている。；硬くはなかったんですけど、ちょっと安心したというのがありましたね。；王子ピエトロは国のみんなを安心させる方法はないものかと考える。；脱出できて安心して、そのまま次の場所に進むのはマナー違反である。；だからアメリカから見ると安心して受け入れられる民間の資金。；これは私が今までにした中でもっとも難しい決断ですが、私は安心している。；それを聞いた奉太郎は「それを聞いて安心した」と心から伝えるのだった。；また、背の低い子どもでも安心して使えるように高さを低くしたものもある。；この人が滞在中は通訳兼世話係を務めてくれたので、少し安心できたという。；これは味方の将兵を安心させるために意図的に行うこともあった。；立札を立て民を安心させ、その一方で城内の兵糧数十余万石を押収した。；この町を出ていく頃には子供が安心して住める町にしてみせると誓う。；それだけで正信は家康が何を考えているのか理解して安心して退出したという。；尋ねてきたのが金蔵と分かり安心するが、1人びくともしない者がいた。；そのことで第一次産業の人たちが安心して京都に住めるような環境も作った。；今、これを外に追いやるのだから、どうして安心できないことがあろうか!；それを聞いてナターシャは、父親を安心させるかのように彼を抱きしめた。；病理診断責任も明確であり、医療の安心・安全は担保されているといえる。；これらの状況の中、医師達や患者全てに安心させる必要がある。；源三が上流の村まで行き殺しはなかったと訊いてきて、トイチは安心する。；それぞれ信用と安心、慎重な判断を示す3つの鍵があしらわれている。；所有することで精神的に安心をもたらす場合、これらは形代とも呼ばれる。；射殺事件は夢だったのかと安心してさっき書いたサインを再び書く。</t>
        </is>
      </c>
      <c r="J313">
        <f>HYPERLINK("https://www.weblio.jp/content/安心", "词义详情")</f>
        <v/>
      </c>
      <c r="K313">
        <f>HYPERLINK("https://yourei.jp/安心", "查看例句")</f>
        <v/>
      </c>
    </row>
    <row r="314">
      <c r="A314" t="inlineStr">
        <is>
          <t>安静</t>
        </is>
      </c>
      <c r="B314" t="inlineStr">
        <is>
          <t>成功</t>
        </is>
      </c>
      <c r="C314" t="inlineStr">
        <is>
          <t>読み方：あんせい
［名・形動］
１安らかで落ち着いていること。また、そのさま。
「従順な—な心になって行くのであった」〈石川達三・蒼氓〉
２病気治療のため、静かに寝ていること。「絶対—」</t>
        </is>
      </c>
      <c r="D314" t="inlineStr">
        <is>
          <t>安静時間(3%)；安静療法(3%)；安静加療(2%)；安静状態；安静度</t>
        </is>
      </c>
      <c r="E314" t="inlineStr">
        <is>
          <t>平和；安心；平穏；落ち着き；平静</t>
        </is>
      </c>
      <c r="F314" t="inlineStr">
        <is>
          <t>日安静；身心安静</t>
        </is>
      </c>
      <c r="H314" t="n">
        <v>29</v>
      </c>
      <c r="I314" t="inlineStr">
        <is>
          <t>駈けつけた医師は安静にして置く以外に手はないと繰り返すだけだった。；それにどうしてあなたをあそこへ入れて安静をあたえる必要があります?；頭を高く持ち上げた状態で数日の安静を保つことで多くは自然回復する。；本来なら、病院のベッドで安静にしていなければならない状態なのである。；安静時間にじっと目をあけて寝ていると、光の中に漂う塵埃が目につく。；彼女は少し快くなって来たようだが、まだ絶対の安静を命ぜられていた。；横になって安静にしているにかぎると、どこかで彼は読んだことがあった。；もっとも彼の場合、歯を抜くことによって安静が得られるわけではない。；処置後に彼女は安静が必要な状態となり、そのまま入院することになった。；自分がどうやら平和とも安静とも無縁な世界の扉をあけてしまったらしいと。；もうしばらく話をせずに、安静にしていた方がいいのではないか?；しかし、日本人にはむしろ精神を集中させて安静をえる方法なのです。；それは病人の安静器がベッドの下に入っているんだと、博士の説明であった。；筋肉の回復のために、それくらいは安静にしておかなくてはならないのだと。；怪我をして体調を崩し、屋敷で安静にしている必要があったというだけだ。；身体を「安静」にしている時、精神は決して「安定」した状態ではない。；私の心の安静をみだした敵だとさえ、あの人のことを思っています。；それと言うのも、唯一心に、私を安静にさしておきたいと思うからなのだ。；安静時や強度の低い運動時には脂肪の方が糖よりも多く使われている。；山浦の治療を受けたとはいえ、本当なら安静にしていなければならない怪我。；彼が安静にしていると、弥生がやってきて傍の椅子に腰を下ろした。；いまは薬をのませ、安静にさせておくよりほかに仕様もありませぬ。；まだ五分五分です、安静にしてください、と言われたその夜、私は夢を見た。；何のために八日間あんなに気をつけて安静にしていたのかと思って。；安静は必要ではなく、少々の痛みくらい我慢して動いたほうがいいと言うんだ。；静謐が、心をかき乱されることのない安静が何よりも今は慕わしかった。；安静時間のようやく終った病棟には雑然とした騒がしさが戻っていた。；病院では彼は安静室で便器の入れ換えなどをする三等助手の仕事をしていた。；いく日かのあいだかれはその手に絶対の安静をあたえなければならなかった。</t>
        </is>
      </c>
      <c r="J314">
        <f>HYPERLINK("https://www.weblio.jp/content/安静", "词义详情")</f>
        <v/>
      </c>
      <c r="K314">
        <f>HYPERLINK("https://yourei.jp/安静", "查看例句")</f>
        <v/>
      </c>
    </row>
    <row r="315">
      <c r="A315" t="inlineStr">
        <is>
          <t>安全</t>
        </is>
      </c>
      <c r="B315" t="inlineStr">
        <is>
          <t>成功</t>
        </is>
      </c>
      <c r="C315" t="inlineStr">
        <is>
          <t>読み方：あんぜん
［名・形動］《中世は「あんせん」とも》危険がなく安心なこと。傷病などの生命にかかわる心配、物の盗難・破損などの心配のないこと。また、そのさま。「家内の—を祈る」「—な隠れ家」「荷物の—な輸送」⇔危険。</t>
        </is>
      </c>
      <c r="D315" t="inlineStr">
        <is>
          <t>安全な場所(4%)；安全上；安全面；安全なところ；安全確認</t>
        </is>
      </c>
      <c r="E315" t="inlineStr">
        <is>
          <t>強い；安心；無事；保証；警備</t>
        </is>
      </c>
      <c r="F315" t="inlineStr">
        <is>
          <t>一番安全；絶対安全；安全地帯；安全衛生；安全な方法</t>
        </is>
      </c>
      <c r="G315" t="inlineStr">
        <is>
          <t>安全保障；安全装置；安全地帯；安全対策；安全確保</t>
        </is>
      </c>
      <c r="H315" t="n">
        <v>29</v>
      </c>
      <c r="I315" t="inlineStr">
        <is>
          <t>やはり安全上の理由からスポーツや車両類の運転でもよく使用される。；そして、信号機が故障していれば安全側の現示を示すようになっている。；安全面から両方ともタンク反対側も物置とし座席を置かない会社も多い。；外交面では、世界の安全と平和のために積極的に貢献する外交を掲げた。；一方海軍はデータを取りながら慎重に開発を進める安全策を主張した。；代わって小さくて安全な夢に彩られた歌が人々の心を惹きつけ始めた。；乗客から完全に分離するため、ホーム上には安全柵が設置されている。；これらの用具を用いることで、燃焼を伴う製品ながら安全に使用できる。；最近社会的トラブルに関係する「安全設計」にこの考え方が適用できる。；終端を開放すれば電流は流れないので安全、と考えるのは適切ではない。；そのため安全に接近するための配偶行動がいろいろと知られている。；地上を走っているため明るく、比較的安全な乗り物と考えられている。；よって、安全のためにナフサのような非反応性の化合物中に保管される。；赤ちゃんが飲むのに安全な保存ができる時間は、以下の表に記載されている。；この安全上の余裕は、列車が移動距離を計算する方法の精度に依存している。；人間は、自分の遺伝子の安全だけを大事にするように進化してきたのではない。；自身の安全を確保した後、勇気を持って積極的に対処する必要がある。；宇宙飛行士を安全・確実に飛行させるために、必要な改良が施されている。；治安も良く、アメリカ国内でも最も安全な都市の一つとされている。；被拐取者の身体の自由と安全、すなわち生命も保護法益とする説もある。；もはや果たすべき目的も叶わず、唯一の望みは安全に脱出することしかない。；そこの氷は崩れそうな状態であり、安全な基地を設営するのは不可能であった。；安全な後方から指揮を受けるなど考えたくもなかったと思われる。；ヘルシンキにいたシベリウスの友人たちは彼の身の安全を案じていた。；安全上の観点から詳細が公表されていないものもある。；安全だという医師もいれば、毎年はやらないという方針の医師もいる。；だから、地震が起きたら、本当はここへ逃げるのが一番安全だったりする。；鉄道が自動車より安全であることの理由として、次のようなことが挙げられる。；しかし、古代・中世にはエーゲ海の航海は決して安全なものではなかった。</t>
        </is>
      </c>
      <c r="J315">
        <f>HYPERLINK("https://www.weblio.jp/content/安全", "词义详情")</f>
        <v/>
      </c>
      <c r="K315">
        <f>HYPERLINK("https://yourei.jp/安全", "查看例句")</f>
        <v/>
      </c>
    </row>
    <row r="316">
      <c r="A316" t="inlineStr">
        <is>
          <t>安全ベルト</t>
        </is>
      </c>
      <c r="B316" t="inlineStr">
        <is>
          <t>成功</t>
        </is>
      </c>
      <c r="C316" t="inlineStr">
        <is>
          <t>読み方：あんぜんべると
１高所で作業する人が転落しないように、しっかりした支点に引っかけるフックの付いたベルト。
２自動車や飛行機などのシートベルト。</t>
        </is>
      </c>
      <c r="H316" t="n">
        <v>29</v>
      </c>
      <c r="I316" t="inlineStr">
        <is>
          <t>それから椅子に体を落ち着け、安全ベルトをかけてその具合を調整した。；右手が非常スイッチをたたくと、金属の安全ベルトが四人を座席に固定した。；ふたりは安全ベルトをかけ、キカハは車をUターンさせて走りだした。；ブレーキは悲鳴をあげ、かれは安全ベルトとハンドルに押しつけられた。；腰をおろして安全ベルトを締めたとき、彼は部屋の中の意外な広さに安堵感を覚えた。；それから安全ベルトをはずし、膝をついて例の蝶ナットに手をのばすのだ。；席につくや安全ベルトも締めず、おれはローターの回転速度を上げた。；ポウルは自分の安全ベルトをしめ、母も用意ができたのを見てから、機体を点検した。；「座席へお戻りになって、安全ベルトを締めてください」と、彼女はいった。；操縦室のドアから一人の乗組員が顔を出して、安全ベルトを締めるように言った。；安全ベルトとヘルメットのために怪我はしてないらしい。；ちらりと周囲を見まわし、乗客が全員きちんと安全ベルトを締めているのを確認する。；これでは安全ベルトで固定でもしなければ、運転者は車内に留まれなかったであろう。；彼は、生まれて初めて、安全ベルトの着用を求められた。；助手席には安全ベルトを斜めにかけたヒロキの顔がのぞいていた。；安全ベルトの使用の結果、落下事故の際に起立性低血圧が起きることがある。；安全ベルトは後部に畳み込まれて使用されていなかった。；彼の安全ベルトが胸を締めつけているのではないかと思って、彼を固定ザイルからはずし、すぐそばの雪の斜面に下ろしてやった。；それからかれも安全ベルトを外して、自分の船室へと降りた。；と私はしめた安全ベルトを思わずゆるめかけた。；全員によく見えるように、安全ベルトの自動装着ボタンを押す。；安全ベルトから下しか残っていない遺体があったとか木の枝に皮膚の切れ端がぶら下がっていたとか妊娠中だった人の体から胎児が飛び出していた等の具体的な記述を読み写真を見て、初めて事故の凄まじさが了解できた。；車に乗り込み、表通りに出ると、村井が安全ベルトを装着しながら訊く。；安全ベルトが無いのも驚きなら、客がずぶ濡れになってもフォローが無いのがカリフォルニア式。；ソロは飛行機が機首を下げ、濃い雲のなかに突っ込むのを見ると、座席の安全ベルトを締めた。；テスト・ドライヴァーのものらしい血と肉の塊りは、千切れた安全ベルトと共に車の残骸より三十メートルほど先に叩きつけられていた。；ひとりでに私の手が安全ベルトをはずしにかかったが、私はベルトを締めることさえ忘れていたのだ。；二人とも、腰には安全ベルトとロープをゆるやかに捲いている。；金切り声をあげ、首をふりむかせることしかできないうちに、かれの安全ベルトははずされていた。</t>
        </is>
      </c>
      <c r="J316">
        <f>HYPERLINK("https://www.weblio.jp/content/安全ベルト", "词义详情")</f>
        <v/>
      </c>
      <c r="K316">
        <f>HYPERLINK("https://yourei.jp/安全ベルト", "查看例句")</f>
        <v/>
      </c>
    </row>
    <row r="317">
      <c r="A317" t="inlineStr">
        <is>
          <t>安定</t>
        </is>
      </c>
      <c r="B317" t="inlineStr">
        <is>
          <t>成功</t>
        </is>
      </c>
      <c r="C317" t="inlineStr">
        <is>
          <t>読み方：あんてい
［名］(スル)
１物事が落ち着いていて、激しい変動のないこと。「心の—を保つ」「物価が—する」
２平衡状態に微小な変化を与えても、もとの状態とのずれがわずかの範囲にとどまること。「—のいい花瓶」
［形動］物理学・化学で、物質が容易に分解・反応・崩壊しないさま。「フロンガスは化学的に—な物質だ」
[補説]近年、俗に「安定の」の形で、定番の、無難な、などの意味で用いられることもある。「安定のメニュー」「安定の着回し服」</t>
        </is>
      </c>
      <c r="D317" t="inlineStr">
        <is>
          <t>安定化(4%)；安定的(3%)；安定供給；安定板；安定度</t>
        </is>
      </c>
      <c r="E317" t="inlineStr">
        <is>
          <t>平均；バランス；調和；均衡；平衡</t>
        </is>
      </c>
      <c r="F317" t="inlineStr">
        <is>
          <t>安定感；生活安定；政治的安定；安定版；安定政権</t>
        </is>
      </c>
      <c r="G317" t="inlineStr">
        <is>
          <t>安定化；安定感；安定的；安定同位体；安定剤</t>
        </is>
      </c>
      <c r="H317" t="n">
        <v>29</v>
      </c>
      <c r="I317" t="inlineStr">
        <is>
          <t>安定したルテチウムの他に放射性同位体にもいくつか特定の用途がある。；それらを原因とした速度低下や切断も少なく、安定した通信が可能である。；安定的な秩序が維持されており、各国は基本的に平和に過ごしている。；そして、最も生産的で安定したクローンが将来の使用のために選択される。；またデジタル化されたため、安定した映像が再生できるようになった。；同時に砂や泥の表面ではあまり安定しない移動方法でもある。；これらの軌道ではラジカルは二量化し、電子が非局在化して安定化する。；化学的には非常に安定した物質であり、一般的な酸や塩基には溶けない。；ただしインバータ式安定器は日本国内であればどこでも使用できる。；停電が発生すると温度が安定するまで数時間かかることがあった。；芳香環は、他の不飽和環構造に比べ安定であると同時に反応性も異なる。；記録は、安定した形で定着・保存された状態にある情報である。；逆に40万円で安定した場合、追加支払をしなければならない場合もある。；そのため、テレビやラジオの受信環境は必ずしも安定しているとは言えない。；このため、国民生活は実質的な収入金額以上に安定しているといえる。；この繰り返し計算を行うことで、照明状態が一定の安定状態に至る。；放送区域内だからといって必ずしも全ての局が安定して受信できる訳ではない。；政府は国家において安定的な支配を維持するための体制である。；生息数は安定していると考えられており、絶滅のおそれは低いと考えられている。；小林新社長が経営安定化とチーム成績向上を迫られた一年となった。；ジョージ・グリーンは、このような流体は安定に存在し得ないと指摘した。；つまり励起子状態は電子と正孔が孤立している状態よりも安定である。；同時に有力商人に運上銀を上納させるなどして、藩財政の安定を図った。；地形や建物による影響が少なく、より安定した風力発電が可能となる。；しかし、通信品質は安定せず、その後もマルコーニ社は改良に苦闘した。；ガリウム化合物はルイス酸と錯体を作ることで安定化することができる。；ただし基本的に単発かつ不定期の仕事であり、安定した収入にはなりにくい。；そのため、幕府の経済政策の主力は米相場を安定させることが中心になった。；独特で安定した画力と構成力をデビュー時から持っていた。</t>
        </is>
      </c>
      <c r="J317">
        <f>HYPERLINK("https://www.weblio.jp/content/安定", "词义详情")</f>
        <v/>
      </c>
      <c r="K317">
        <f>HYPERLINK("https://yourei.jp/安定", "查看例句")</f>
        <v/>
      </c>
    </row>
    <row r="318">
      <c r="A318" t="inlineStr">
        <is>
          <t>あんな</t>
        </is>
      </c>
      <c r="B318" t="inlineStr">
        <is>
          <t>成功</t>
        </is>
      </c>
      <c r="C318" t="inlineStr">
        <is>
          <t>［形動］
１話し手も聞き手もともに知っている人や事物の状態があのようであるさま。あれほど。あれくらい。「—にひどい被害とは思わなかった」「彼はなぜいつも—なのだろう」
２話し手にも聞き手にも見えている人や事物のようす・状態があのようであるさま。「あそこに立っている、—人が僕の好みだ」
[補説]連体形に「あんな」「あんなな」の二形がある。連体形として一般には「あんな」の形が用いられるが、接続助詞「ので」「のに」などに続くときは「あんなな」の形が用いられる。「事態があんななので、どうすることもできない」</t>
        </is>
      </c>
      <c r="D318" t="inlineStr">
        <is>
          <t>あんなこと(11%)；あんなもの(4%)；あんな風(3%)；あんなところ(2%)；あんなふう</t>
        </is>
      </c>
      <c r="F318" t="inlineStr">
        <is>
          <t>あんな事；あんな目；あんな所；なんであんな；あんなもん</t>
        </is>
      </c>
      <c r="G318" t="inlineStr">
        <is>
          <t>あんなふうに；あんない；あんなま；あんなぷる；あんなに一緒だったのに</t>
        </is>
      </c>
      <c r="H318" t="n">
        <v>29</v>
      </c>
      <c r="I318" t="inlineStr">
        <is>
          <t>あんな風に気持が転換できるといいなど思って熱心になることもあった。；僕もぐずぐずしていれば、今ごろはあんな高いところを飛んでいたのだ。；あんな美しい花は、この天国にきましても容易に見ることはできません。；あんなところにいなくてすむように、君といっしょに少し歩きたいんだ。；おとうさんが、あんなきみの悪い目をしているはずがないと思いました。；その癖わしは、あんな奇妙な燭台を家の蔵の中で一度も見たことがない。；つまり、ぼくは捜査の必要上、あんな変装をしていたにすぎないのです。；僕は、せめて死ぬまでの僅かの間でも、あんなものを忘れてしまいたい。；危険だから近寄らんようになさい、何をするか分らんから、あんな奴は。；彼は罪跡をくらます為にあんな便所を借りた男のことを云ったのですよ。；あんな高い山や森があるんだから、川が流れていないわけはないよ。；あんなことをしたために、アメリカ国民の意志を結集させてしまったんだ。；あんな大きなダイヤだから、ぼくが持っていれば、すぐにわかるはずだ。；天体から見ると無いといってもいいような地球の上にまたあんな襞がある。；あんな狭い所から人間が出入りしようとは、誰も考えても見ません。；あんな気障な伝言をたのんで置いた以上行くよりほかに仕様があるまい。；あんな手の込んだ準備をしたり、それだけの金を出すほどではない。；私は、まだ生れて一度も、あんなりっぱな御殿を見たことがありません。；か弱い女にどうしてあんな力が出たのかと、今でも信じられない程だ。；私は私で生活が出来るようになりさえすればあんな偽善はやらない。；あなたがそんな卑怯者と知ったら、僕はあんなことをするのではなかった。；君があんな事を尋ねたのは、あいつの顔が見たかっただけなんだろう?；あんな余計な処まで抜き書きをしなくつたつていいぢやありませんか。；それまでこのホテルの自分の部屋にあんな女の寝姿と一緒に居度くもない。；この映画を見た者はあんなフットボールを二度と見たくないと思うだろう。；いくら酔っぱらったとはいえ、どうしてあんな馬鹿な目にあったのだろう。；こんな事を済ましたあとでは、あんな所へでも行くのが却って好いのだ。；いま考えてみてもあんな明るい写真はたくさんなかつたような気がするくらいである。；その勢いのままクランクインして、それであんなもん作っちゃったんだよ。</t>
        </is>
      </c>
      <c r="J318">
        <f>HYPERLINK("https://www.weblio.jp/content/あんな", "词义详情")</f>
        <v/>
      </c>
      <c r="K318">
        <f>HYPERLINK("https://yourei.jp/あんな", "查看例句")</f>
        <v/>
      </c>
    </row>
    <row r="319">
      <c r="A319" t="inlineStr">
        <is>
          <t>案内</t>
        </is>
      </c>
      <c r="B319" t="inlineStr">
        <is>
          <t>成功</t>
        </is>
      </c>
      <c r="C319" t="inlineStr">
        <is>
          <t>読み方：あない
《「あんない」の撥音の無表記から》「あんない（案内）」に同じ。
「此家(このや)の—を知り居たれば」〈竜渓・経国美談〉</t>
        </is>
      </c>
      <c r="D319" t="inlineStr">
        <is>
          <t>案内板(3%)；案内される(3%)；案内者(3%)；案内書；案内上</t>
        </is>
      </c>
      <c r="E319" t="inlineStr">
        <is>
          <t>情報；報告；指導；連絡；報道</t>
        </is>
      </c>
      <c r="F319" t="inlineStr">
        <is>
          <t>御案内；観光案内；旅客案内；旅行案内；案内看板</t>
        </is>
      </c>
      <c r="G319" t="inlineStr">
        <is>
          <t>案内所；案内役；案内表示；案内標識；案内状</t>
        </is>
      </c>
      <c r="H319" t="n">
        <v>29</v>
      </c>
      <c r="I319" t="inlineStr">
        <is>
          <t>彼らはイブン・バットゥータを案内するために何日も前から待っていた。；また番組の合間で行なわれている番組案内や天気予報も無料で見られる。；現在利用中のユーザーには他社の類似サービスへの案内を行っていた。；ホームには上野芝駅と同じタイプの列車接近案内機が設置されている。；なお、案内標では各ホームを右表のように色で区分して案内している。；楽天は契約を続けていたが、案内でもほとんど強調されていなかった。；ただし、主要駅を中心に一部の駅では優先座席の案内板が設置されている。；また、メロディ更新に合わせて同時に放送の案内の音声も更新している。；フェルプスは、以前に一度だけ関係者に内部を案内したことがあると言う。；また、このときにTBSラジオの周波数や出力の案内もすることがある。；したがって当駅は京浜東北線と横浜線との乗換駅として案内されている。；線内では珍しくアニメーション式の列車接近案内が使用されている。；逆T字方式は、中央案内軌条式の新交通システムと類似した構造を持つ。；以下は、戦前に外国人向けに出版された軽井沢への旅行案内の一部である。；そのため、車内放送では停車時間がわずかな旨の案内が頻繁に行われていた。；他にも、駅到着時の接続列車の案内などは従来通り肉声放送で行われている。；ただし、阪神が主催ゲームを行う場合には、ビジョンで案内されている。；これに合わせ、ホームの改良や案内板の新設等も同時に行われた。；ふたりの子どもは鉄三のあんないで処理所にはいったのではない、といった。；イタリアにはインターチェンジ番号自体がなく、地名のみで案内している。；ただし副駅名としての扱いではないので、案内放送では呼称されていない。；車内の自動放送も変更され、新たに英語による案内放送が開始された。；ホームにはLED列車案内が設置されているが、自動放送は導入されていない。；このため、大半の電停に行き先を案内する接近表示装置が設けられている。；車内放送は自動放送で行われ、車掌による案内放送はあまり行われない。；接する物体どうしが直線相対運動を行う場合は転がり案内が有効である。；上り下りとも同一ホームに発着するため、電車接近表示案内と接近放送が行われる。；主要な駅にあるごあんないカウンターや定期券売り場も設置されている。；さっそくあつし君にあんないしてもらったけど今日は会えませんでした。</t>
        </is>
      </c>
      <c r="J319">
        <f>HYPERLINK("https://www.weblio.jp/content/案内", "词义详情")</f>
        <v/>
      </c>
      <c r="K319">
        <f>HYPERLINK("https://yourei.jp/案内", "查看例句")</f>
        <v/>
      </c>
    </row>
    <row r="320">
      <c r="A320" t="inlineStr">
        <is>
          <t>あんなに</t>
        </is>
      </c>
      <c r="B320" t="inlineStr">
        <is>
          <t>成功</t>
        </is>
      </c>
      <c r="D320" t="inlineStr">
        <is>
          <t>あんなに早く；あんなに美しい；あんなにいい；あんなに大きな；あんなによく</t>
        </is>
      </c>
      <c r="E320" t="inlineStr">
        <is>
          <t>あれほど；あれだけ</t>
        </is>
      </c>
      <c r="F320" t="inlineStr">
        <is>
          <t>なぜあんなに；なんであんなに；何故あんなに；あんなに強く；さっきまであんなに</t>
        </is>
      </c>
      <c r="G320" t="inlineStr">
        <is>
          <t>あんなに愛しあったのに</t>
        </is>
      </c>
      <c r="H320" t="n">
        <v>29</v>
      </c>
      <c r="I320" t="inlineStr">
        <is>
          <t>それで母があんなに父に反対しているのだと考えられるのでございます。；あんなに約束しておきながら、どうして何とも云って来てくれないのか。；私は今までにあんなに明日のことを気にかけない人たちを見たことがない。；その日の午後には、彼はこの丘をあんなに楽しげに越えてきたのだった。；あの時はあんなに熱が高かつたが、胸のむかつきは今ほどではなかつた。；あんなに近よってきたのは、武夫君を発見したからではなかったのです。；どうしてあんなに虫好きであったろうと母が今でも昔話の一つに数える。；吉川のことにあんなに拘泥したのは、他に理由がありはしなかったのか?；あんなに約束しておきながら、どうして何とも云つて来てくれないのか。；とにかくあんなに親切に指導してくれる人は僕の生涯でほかにいなかった。；あんなに帰りたがつてゐる自分の内へ 智恵子は死んでかへつて来た。；でも、あんなに言われたら黙っているよりほかに仕様がないじゃないの。；あのとき自然なんぞをあんなに美しいと思ったのはおれじゃないのだ。；外でみた閑子があんなに世間なみな顔であったことがうれしかったのだ。；あんなに団結ということが必要な軍隊で、この現象は何だったのだろう。；あんなにたくさんの事件にただのひとつの無罪もないものでしょうか?；内ではあんなに従順な兵さんのこの態度は、まったく反逆だったからだ。；私が我慢して叱らないからこそ、あんなになついてるではありませんか。；あんなにコケティツシュでない人気商売の女、見たことはないよ、僕は。；おそらくは、彼があんなにも早く死んでしまったことは、幸いであった。；あんたはぼくにはいつだってあんなにはっきりと話して聞かせたのに!；私がどうしてあんなにも正確に、夜毎のお前の行為を知ることが出来たか。；此処より高い建物は、あんなに離れて居る丸ビルより外には無いんです。；それがまた、あなたをあんなにいらいらさせた問題の解決になるんですよ。；あんなに重荷にしていた財産も、今は持っていてよかったと思っていました。；しかし、私はあなたがあんなに早く秘密を見破ったのには驚いてしまった。；何うも見栄ばかりではあんなに根よく本を持ち廻る事は出来ますまい。；いくら大学だからって、あんなに休んでばかりいていいものでしょうか。；彼らはあんなに完全な人間なのだが、やっぱり愚かしくも人間なのである。</t>
        </is>
      </c>
      <c r="J320">
        <f>HYPERLINK("https://www.weblio.jp/content/あんなに", "词义详情")</f>
        <v/>
      </c>
      <c r="K320">
        <f>HYPERLINK("https://yourei.jp/あんなに", "查看例句")</f>
        <v/>
      </c>
    </row>
    <row r="321">
      <c r="A321" t="inlineStr">
        <is>
          <t>案の定</t>
        </is>
      </c>
      <c r="B321" t="inlineStr">
        <is>
          <t>成功</t>
        </is>
      </c>
      <c r="C321" t="inlineStr">
        <is>
          <t>読み方：あんのじょう
［副］予想していたとおりに事が運ぶさま。果たして。「—失敗した」</t>
        </is>
      </c>
      <c r="D321" t="inlineStr">
        <is>
          <t>やっぱり；いつものように；果たして；例によって；矢張り</t>
        </is>
      </c>
      <c r="H321" t="n">
        <v>29</v>
      </c>
      <c r="I321" t="inlineStr">
        <is>
          <t>案のじょうまたピーピー鳴ってはっきり移動していることを示している。；案の定私は一次で不合格、塾に通っていたこずえちゃんも一次で落ちた。；案のじょう、やや大きな流氷が霧の中からいくつも姿を現わしはじめた。；そして目が覚めたと思ったら案の定もう昼になっていることに気がついた。；いやな予感がしたからだが、案の定、内容は夏羽の死の報らせであった。；案の定、スヴィドリガイロフは明らかに顔をあわせたくないらしいのだ。；何か言いたそうだなと思ったら、案の定彼女は意を決したように口を開いた。；三分ほど待つと、案の定、アズリルは一人分の椅子とお茶を運んできた。；案の定、弟に言われて、それまで泣いていた森は意地になって叫び返した。；念のために電話をかけてみたが案の定奈々子はもうそこを出ていた。；案の定、彼の膝の上には三匹の猫が気持ちよさそうに目を細めている。；案の定、潮の満ちた時に生れ出た子を見て、ヨイはすぐに顔をそむけた。；娘はりんごの美しさに気を取られて、案のじょう道をそれてこれを拾った。；袋から出してみたが、案のじょう、ずいぶんひどい姿の子どもだった。；私が困ったなと思っていると、案の定、「静かにしてくれ」と文句が来た。；だから着替えをせずお店に出ていると、園田課長が案の定寄って来た。；どうせいい話ではないだろうと星が感じると、案の定、前田は言った。；案の定、中には主婦風の女が一人坐っていて、黙って駒井を見あげた。；案の定、奴は僕を追って窓から跳躍し、恐れもせずに飛びかかってきた。；案の定、カメラを持った不審者が、物陰からみんなをマーク していた。；案の定、ロレンスの顔を見るや憤怒の形相になり頭を拳骨で叩いてきた。；自分でも何言ってるんだろうと思ったが、案の定秋葉には効果覿面だ。；案の定、彼らは、たらふく水を飲むと、流れのそばの木蔭で横になった。；案の定、まだ番組を放映している局でも、ニュースなどやっていない。；案の定警部補が指名した人物のほか、マスコミが大勢ついてきていた。；がらりと教室のドアを開けると、案の定まだほとんどの生徒が残っていた。；どうせ夫婦は忙しいにきまっていると思って行ったらやっぱり案の定。；口ではいろいろいっているが、案の定、責任をとるのは嫌いらしい。；しかしコーヒーがなくなったところで、案の定篠原はそのことに触れてきた。</t>
        </is>
      </c>
      <c r="J321">
        <f>HYPERLINK("https://www.weblio.jp/content/案の定", "词义详情")</f>
        <v/>
      </c>
      <c r="K321">
        <f>HYPERLINK("https://yourei.jp/案の定", "查看例句")</f>
        <v/>
      </c>
    </row>
    <row r="322">
      <c r="A322" t="inlineStr">
        <is>
          <t>あんまり</t>
        </is>
      </c>
      <c r="B322" t="inlineStr">
        <is>
          <t>成功</t>
        </is>
      </c>
      <c r="C322" t="inlineStr">
        <is>
          <t>読み方：あんまり
《「あまり」の撥音添加》
［形動］「あまり」に同じ。「—な言葉に腹を立てる」「このまま帰れとは—だ」
［副］
１「あまり1」に同じ。「—うれしくて涙が出た」
２「あまり2」に同じ。「—いい話ではないが」</t>
        </is>
      </c>
      <c r="D322" t="inlineStr">
        <is>
          <t>あんまりいい；あんまりよく；あんまりひどい；あんまりじゃ；あんまり長く</t>
        </is>
      </c>
      <c r="E322" t="inlineStr">
        <is>
          <t>あまり；余り；過剰；やたら；余りに</t>
        </is>
      </c>
      <c r="F322" t="inlineStr">
        <is>
          <t>あんまり強く；あんまりひどく；それじゃあんまり；あんまり大きく；あんまりひどすぎる</t>
        </is>
      </c>
      <c r="H322" t="n">
        <v>29</v>
      </c>
      <c r="I322" t="inlineStr">
        <is>
          <t>あんまり年を取らないうちに、そんな写真も取っておきたいじゃないの。；この病気に襲われた人々の中で、お前ほど楽にすんだ者はあんまりない。；道が悪いから、あんまり人が行かないつて、昨日の馬車屋が云つてたわ。；午後はあんまり気がふさぐので近郊を散歩した、米と油とを買うて戻る。；言葉数が少ないだけ、頭が良過ぎてあんまり余計なことを言わないだけ。；きっとそうかもしれませんよ、あんまりいろいろなものを食べますからね。；あんまり静かなので、全然長いこと我慢していられないくらいなのだ。；お聞きになると、あんまり呆けていないのにお心附きになろうかと思う。；おまえがあんまりオシャベリをするから本当の話でも嘘と思われるのだ。；親子がこんな話をしてゐるのは、あんまり見つともよくありませんよ。；が、黒岩万五は、実を云ふと、あんまり戦争の話はしたくないのである。；あんまり様子が変だから、あの子の留守にお部屋を調べてみたのです。；貴様なんかに聞くことはないが、あんまりうるさいから出て来てやった。；別に隠してゐるわけでもないが、あんまり辻褄の合ふ話でもないんだ。；あんまり力いっぱい駆けているので、男のまわりには湯気がたっていた。；「あんまりきちんと並ばない方がいいや」 どこかの息子の意見がでる。；それだけ、人が何処人だといふことにも、あんまり興味がないんです。；あんまり勉強し過ぎて神経を痛めているのではないかという気がした。；あなたを一人つきりで置いて行くのはあんまり可哀相な氣がしますよ。；おめえがあんまり人を信じすぎたので、ことづてが途中で消えたのだ。；娘 なんにも知らずにいる者を殺すのはあんまり可哀そうでしょう。；どうもあんまり見上げた考えとは言えないようですね、え、どうですかね?；あんまり緊張すると、話ができなくなってしまうときがあるものだ。；それにあんまり誇張して言われるので、感動しないのだろうと思った。；そういえばあの帽子はあんまり僕の気にいるように出来ていました。；あんまり変なところに入つて行つて、却つて困るやうなことはないの?；けれど、あんまり軽くて手ごたえがないので、やがて心配になりました。；だが、樹木などは、あんまり高いので、私には見当がつきませんでした。；僕の説明があんまり短兵急だったから兄さんにはわからなかったんだ!</t>
        </is>
      </c>
      <c r="J322">
        <f>HYPERLINK("https://www.weblio.jp/content/あんまり", "词义详情")</f>
        <v/>
      </c>
      <c r="K322">
        <f>HYPERLINK("https://yourei.jp/あんまり", "查看例句")</f>
        <v/>
      </c>
    </row>
    <row r="323">
      <c r="A323" t="inlineStr">
        <is>
          <t>胃</t>
        </is>
      </c>
      <c r="B323" t="inlineStr">
        <is>
          <t>成功</t>
        </is>
      </c>
      <c r="C323" t="inlineStr">
        <is>
          <t>読み方：い
［音］イ（ヰ）（呉）（漢）
［学習漢字］6年
内臓器の名。六腑(ろっぷ)の一。胃袋。「胃癌(いがん)・胃酸・胃弱・胃腸・胃痛」</t>
        </is>
      </c>
      <c r="D323" t="inlineStr">
        <is>
          <t>胃内容物；胃部；胃作用；胃腔；胃管</t>
        </is>
      </c>
      <c r="E323" t="inlineStr">
        <is>
          <t>腹；お腹；おなか；胃袋；胃腸</t>
        </is>
      </c>
      <c r="F323" t="inlineStr">
        <is>
          <t>甲胃；腸胃；胃石；胃全摘；胃腸管</t>
        </is>
      </c>
      <c r="G323" t="inlineStr">
        <is>
          <t>胃腸；胃癌；胃潰瘍；胃液；胃の腑</t>
        </is>
      </c>
      <c r="H323" t="n">
        <v>29</v>
      </c>
      <c r="I323" t="inlineStr">
        <is>
          <t>体の大部分が胃で構成されており、脳や心臓などの器官は非常に小さい。；船員の長靴や、海に沈んだ人間の遺体まで胃の中で発見された例もある。；胃そのものは死後まもなくに自身の胃液で溶けてしまった可能性が高い。；彼らの最初の興味は、胃がどのようにして働くか、などではあり得ない。；これは羽が鳥のもので、胃の中に脚とともにまだ存在していたことを示す。；その名の通り、本体の大半は胃であったであろうと考えられている。；自転車の部品の一部が胃の中に入ってしまい、数ヶ月入院している。；翌日より胃の上部に生じた癌の治療のためチームを離れ休養に入った。；人間でいえばストレスみたいなもので胃の壁が傷んでいたのでしょう。；胃の内容物から主に昆虫を食べ、甲殻類も食べていたと考えられている。；胃を切除することで残った消化管の吻合方法には以下が考案されている。；袋状を構成する中央部分は胃体と呼ばれ、左に湾曲するC字型である。；一方、泥が少ない川では胃にも泥が含まれず、食味も大幅に改善する。；リリィの呪いの被害者の胃の中には共通して微量の炭が検出されている。；ただ、胃が下がっているだけで何ら自覚症状がない場合は病気ではない。；先端に胃部を持つ長い口柄が唐傘を連想させるためこの名がついた。；面倒な症状や合併症のない、ときどきの胃食道逆流が最も一般的である。；食性は不明だが、胃の内容物から昆虫やクモなどが発見された例がある。；ダーティペアを部下に持った上司全員が胃を壊していたことが発覚する。；ハウエルは人間でも胃のはじめの方の部分はこうした役割を持っていると主張した。；胃と脾臓は共に中国の五行でいうと土に属するため密接な関係を持つ。；胃の持病が原因と伝えられているが、当時は毒殺されたと噂された。；晩年は不遇だったようであり、背中のほか、心臓と胃に持病を抱えていた。；現在までにプラテオサウルスから明確な胃石は発見されていない。；その際に胃内視鏡検査を受けたところ、初期段階の胃癌が発見された。；「秋風やひびの入りたる胃の袋」など、病気を題材にした句も多数ある。；食道の動きから、食物を一度胃に送った後、口に戻していることが分かる。；ナイフの刃先は胃を貫通して、背中の静脈の一歩手前で止まっていた。；彼らはこれで大量の植物を一度に摘み取り、胃に送り込んでいたと思われる。</t>
        </is>
      </c>
      <c r="J323">
        <f>HYPERLINK("https://www.weblio.jp/content/胃", "词义详情")</f>
        <v/>
      </c>
      <c r="K323">
        <f>HYPERLINK("https://yourei.jp/胃", "查看例句")</f>
        <v/>
      </c>
    </row>
    <row r="324">
      <c r="A324" t="inlineStr">
        <is>
          <t>意</t>
        </is>
      </c>
      <c r="B324" t="inlineStr">
        <is>
          <t>成功</t>
        </is>
      </c>
      <c r="C324" t="inlineStr">
        <is>
          <t>読み方：い
［音］イ（呉）（漢）　［訓］こころおもい　おもう
［学習漢字］3年
１心の中の思い。気持ち。考え。「意外・意気・意見・意向・意志・意識・意図・意欲／悪意・鋭意・我意・敬意・決意・故意・好意・合意・辞意・失意・謝意・情意・随意・誠意・善意・他意・注意・敵意・得意・任意・熱意・配意・本意・翻意・民意・用意・留意」
２言葉や物事に含まれる内容。わけ。「意義・意味・意訳／寓意・語意・極意・趣意・深意・大意・文意・来意」
３おもう。「不意」
［名のり］お・おき・おさ・のり・むね・もと・よし
［難読］意気地(いくじ)・新発意(しんぼち)</t>
        </is>
      </c>
      <c r="D324" t="inlineStr">
        <is>
          <t>意を決して(4%)；意符；意氣；意を強く；意圖</t>
        </is>
      </c>
      <c r="E324" t="inlineStr">
        <is>
          <t>考え；気；心；意味；思い</t>
        </is>
      </c>
      <c r="F324" t="inlineStr">
        <is>
          <t>わが意；我が意；逆意；意柴沙；意悲神</t>
        </is>
      </c>
      <c r="G324" t="inlineStr">
        <is>
          <t>意識；意見；意図；意志；意外</t>
        </is>
      </c>
      <c r="H324" t="n">
        <v>29</v>
      </c>
      <c r="I324" t="inlineStr">
        <is>
          <t>権力者の意に従わないかもしれないと少しでも思われた者は排除される。；村の子供たちに読み書きを教えて暮らしていた半蔵は、意を決して上京。；現在では特に子供に金銭を与える習慣及びその金銭の意で用いられている。；意休は確かに助六の諱を、隠さなくてはならない秘密の実名を口にした。；しかし、小村はさまざまな手を打って日英同盟関係の維持に意を注いだ。；「意」とは書の上で作者の個人としての性・精神性が表現されることを言う。；ゼノンの意が単純にこうであったのかは確定的な事ではない。；身表と身無表、語表と語無表の四つに意業を加えて五業という。；また、イギリス外相に感謝の意を伝えるよう、ロンドンに打電している。；町名は「山陽地区を代表する都市となるように」との意で命名された。；江頭は『めちゃイケ』の企画にて矢部に感謝の意を示したこともあった。；和名のアオは緑も含めた古い意味での青の意でオスの色彩に由来する。；同4月14日の本拠地の試合では球団旗を半旗にし、哀悼の意を示した。；それと同時に、連続出場をサポートしてくれたトーリ監督に感謝の意を示した。；しかし一人で続けられたのもリスナーの応援のおかげであったと感謝の意を述べた。；それによって各個体はリーダーの意のままに行動が出来、完全に統制される。；少佐の意のままに動く軍隊であるが、その最終目的は判然としない。；ダートは和訳すれば土であり、日本の競馬で使われている砂の意ではない。；純粋な古道をもって皇道の本領であるとし、仏意も儒意もどちらも斥けた。；立憲制とはいえ議会を掌握するソブーザは意のままに政治を動かした。；最も危険なのは降伏の瞬間であり、降伏の意を示した兵士が射殺されることもあった。；種小名 は「小さな」の意だが、シジュウカラ科の中では大型種である。；なお、十悪業は身・口・意の三業に分類され、身の三業は・・となる。；客商は「他の地域の商人」の意で、対して地元の商人は「座商」という。；行きずりでリカと関係してしまった完治だがリカは全く意に介していなかった。；このプロデビュー時は本人の意に反してベースを担当させられる。；脚とは、漢字の部首で冠の対となり、意符が下部に置かれるものの総称。；笑意軒前の池の岸は、直線的な切石で構成した船着場になっている。；出演者たちがふだん世話になっている人々に感謝の意を伝える模様を放送していた番組。</t>
        </is>
      </c>
      <c r="J324">
        <f>HYPERLINK("https://www.weblio.jp/content/意", "词义详情")</f>
        <v/>
      </c>
      <c r="K324">
        <f>HYPERLINK("https://yourei.jp/意", "查看例句")</f>
        <v/>
      </c>
    </row>
    <row r="325">
      <c r="A325" t="inlineStr">
        <is>
          <t>威圧</t>
        </is>
      </c>
      <c r="B325" t="inlineStr">
        <is>
          <t>成功</t>
        </is>
      </c>
      <c r="C325" t="inlineStr">
        <is>
          <t>読み方：いあつ
［名］(スル)威光や威力で、相手をおさえつけること。「強大な軍備で—する」</t>
        </is>
      </c>
      <c r="D325" t="inlineStr">
        <is>
          <t>威圧感(30%)；威圧的(17%)；威圧するよう(6%)；威圧しよ；威圧力</t>
        </is>
      </c>
      <c r="E325" t="inlineStr">
        <is>
          <t>圧迫；弾圧；抑圧；強圧；抑止力</t>
        </is>
      </c>
      <c r="F325" t="inlineStr">
        <is>
          <t>軍事的威圧；圧倒的な威圧；がたい威圧；強い威圧；凄まじい威圧</t>
        </is>
      </c>
      <c r="G325" t="inlineStr">
        <is>
          <t>威圧行動</t>
        </is>
      </c>
      <c r="H325" t="n">
        <v>29</v>
      </c>
      <c r="I325" t="inlineStr">
        <is>
          <t>彼はその威圧を意識すると、全身の力をもって反発せねばならぬと思った。；画壇人の中でも大観の作品に何らかの威圧を感じてゐる人もあるだらう。；大野忠夫が持っているあのどうしようもない威圧感は父のものであった。；どこの誰が自分の住む家に威圧を感じて当惑する者がいるのであろう。；威圧するように椅子の背に腕をかけて、アナの顔を見降ろしていました。；私の幻想を威圧するために、壁のように動かない灰色の雲の層があった。；ただの剣だったが、見る者を威圧せずにはおかないのはその刃のせいだった。；彼の声には、ある威圧的な響きが籠っていて、それが彼女を恐くさせた。；それは一層高く、堂々としてきたが、しかし威圧するようではなかった。；けれどもその表情は、何か人を威圧する静けさと神秘性とを持っている。；理由の一つは、いかにも武器然とした外観が人々に威圧感を与えること。；それは他の人々を威圧するような思い上った自信が籠っているようであった。；それはどこか、命令することに慣れた、威圧するやうな響きを含んでゐた。；それは何といっても体験的な威圧を感ぜざるを得ない状況であった。；子どもを抱いた彼女を威圧するように、三人の男たちが立っていた。；今まで見た悪魔で、神崎が威圧を感じたのはそいつがはじめてだった。；けれど、彼の言葉には子供を威圧するに充分な力がたしかにあった。；なんだか巨大な甲虫が姿をみせたような、一種いいがたい威圧感があった。；そしてデュラスもまた、威圧されたように身じろぎ一つできないでいた。；向い合っていると、威圧されるような権高なものを感じさせる相手である。；その屋敷は堂々と存在しており、来るものを威圧さえするようだった。；本当に強い選手なら、面と向かったときに、相手を威圧することができる。；彼は最初から威圧的な態度をしてクリストフを親しませないつもりだった。；なかなかの柄であって、われは彼の眉間の皺に不覚ながら威圧を感じた。；のんびりしてはいるものの、聞き流すにはあまりに威圧感の大きい声だ。；威圧的な大剣も、このお伽の国ではただの飾りに過ぎないとわかっていた。；稀に本人がこの悪名の高さを利用して相手を威圧する場合もある。；癖なのか演出なのかはわからないが、威圧感を高めることはたしかである。；ぼくが雑誌を立ち読みしてる間にも、彼らは警戒し周囲を威圧し続けるのだ。</t>
        </is>
      </c>
      <c r="J325">
        <f>HYPERLINK("https://www.weblio.jp/content/威圧", "词义详情")</f>
        <v/>
      </c>
      <c r="K325">
        <f>HYPERLINK("https://yourei.jp/威圧", "查看例句")</f>
        <v/>
      </c>
    </row>
    <row r="326">
      <c r="A326" t="inlineStr">
        <is>
          <t>いい</t>
        </is>
      </c>
      <c r="B326" t="inlineStr">
        <is>
          <t>成功</t>
        </is>
      </c>
      <c r="C326" t="inlineStr">
        <is>
          <t>読み方：いい
池や用水の水門の一種。箱状のものを地中に埋め、戸を開閉して水勢を調節する仕掛け。和歌では「言ひ」に掛けて用いられる。ひ。ひのくち。
「小山田の苗代水は絶えぬとも心の池の—は放たじ」〈後撰・恋三〉</t>
        </is>
      </c>
      <c r="D326" t="inlineStr">
        <is>
          <t>いいまし；いいだろ；いいです；いいます；いいんです</t>
        </is>
      </c>
      <c r="E326" t="inlineStr">
        <is>
          <t>よい；もっとも；良い；妙；正確</t>
        </is>
      </c>
      <c r="F326" t="inlineStr">
        <is>
          <t>方がいい；たらいい；すればいい；どうでもいい；いっていい</t>
        </is>
      </c>
      <c r="G326" t="inlineStr">
        <is>
          <t>いい加減；いいかげん；いいじゃない；いいもの；いいんじゃない</t>
        </is>
      </c>
      <c r="H326" t="n">
        <v>29</v>
      </c>
      <c r="I326" t="inlineStr">
        <is>
          <t>実際、マルクスの作った詩はそれほど出来のいい物ではなかったという。；キミは、とにかく反対なら反対のようにちゃんと言うてくれるからいい。；構成といい、絵といい、とても質の高いもので、こんなの見たこと無い。；あなたの脳をちょうどいい具合に刺激するパズルがあるだけなのです。；数列の最初の項をその数列の初項といい、最後の項を数列の末項と呼ぶ。；久米は「レミさんだけはやめた方がいいと思いますよ」と返したという。；ちゃんと理由のある人なら離婚だろうが何だろうがしていいっていうこと。；いまや彼らは、歌謡界の動向を支配するほどまでになったといっていい。；サルフォード・シティにとっても名前を知ってもらういい機会になった。；したがって「私は公のためなら犠牲になってもいい」とはならない。；ドイツ語では といい、このため古い文献ではプロセントと表記されている。；このことを相補分布しているといい、このような異音を条件異音という。；仏教では親が子を生むのではなく、子が親を選ぶのだといいます。；世界では地域によって、雨の降り方は全くと言っていいほど異なる。；そうしたら、勝手に入ってもっていってもらっていいって言ってましたよ。；自分で説得するから、自分でがんばるから放っておいてくれていいってっ!；金属の表面に他の金属を圧延して貼り合わせる技術はといい区別する。；負けはしたけれどもいいレースをしてくれたと思った。；世界はこんなにも人で溢れているのに、だれでもいいってわけじゃない。；自分は音楽で大儲けしたいのではなく、音楽で生活が成り立てばいい。；こっちへ行けばいいんだと示した点で、池田は大変大きな仕事をしたと思います。；正八品から従七品までを朝官といい、一緒にして京朝官という。；条件を変えてない方を「実験群」といい、変えた方を「対照群」と言う。；どのプロトコールがいいかは一概には言えず、標準治療は存在しない。；どういう笑い方しようとオレがいいっていうんだからいいじゃないか。；このときこの数列は に収束するといい、このことを あるいは と書く。；そうしながら口に唾をためては、穴の付近に、にぃぃ、と垂らしていた。；こんなところでそんな重要なことを言っていいのか!；自覚症状がなければ放置してもいいが、患者が希望すれば治療の対象になる。</t>
        </is>
      </c>
      <c r="J326">
        <f>HYPERLINK("https://www.weblio.jp/content/いい", "词义详情")</f>
        <v/>
      </c>
      <c r="K326">
        <f>HYPERLINK("https://yourei.jp/いい", "查看例句")</f>
        <v/>
      </c>
    </row>
    <row r="327">
      <c r="A327" t="inlineStr">
        <is>
          <t>言い合う</t>
        </is>
      </c>
      <c r="B327" t="inlineStr">
        <is>
          <t>成功</t>
        </is>
      </c>
      <c r="C327" t="inlineStr">
        <is>
          <t>読み方：いいあう
［動ワ五（ハ四）］
１互いに言う。口々に言う。「感想を—・う」
２言い争う。口げんかをする。口論する。「父と—・う」</t>
        </is>
      </c>
      <c r="D327" t="inlineStr">
        <is>
          <t>議論；論争；論議；討論；論じる</t>
        </is>
      </c>
      <c r="H327" t="n">
        <v>29</v>
      </c>
      <c r="I327" t="inlineStr">
        <is>
          <t>それはいかにも二ひきの犬の間に言い合いが始まっているように見えた。；日が暮れかかると、誰も彼も言い合わせたように南東の空に首を向けた。；明らかにまたも税金の話になり、二人の男は言い合いをしているようだ。；何を言い合おうと幕の外のこと、 その幕がおりたらわれらは形もない。；反対側の歩道にいた私の耳にも言い合う声が聞こえてきたほどである。；こんな事を言い合っている場合ではないと知りつつ、思わず尋ねてしまう。；大人たちならば、こんな間の抜けたようなことは言い合わないだろう。；近くで画を見ていた二、三人の見物が皆言い合わせたようにこちらを見た。；しかも、言い合わせたように、両方の寺でその部分だけが切られている。；甲板では、皆わいわい冗談を言い合って、誰も何の恐怖も感じなかった。；しかし、クヌルプの方はもう冗談なんか言い合う気持にはならなかった。；番組冒頭で「言われたら気になることを言い合う番組」と紹介している。；おおかた何かの獣に食われてしまったのだろうと村の人たちは言い合った。；二人はこんなことを言い合うことだけを慰めにして日を送っていた。；そんな風に言い合っているうちに、中庭のホールに辿り着いてしまった。；「そうかなあ」と森村が言ったあとに、言い合わしたような沈黙が来た。；そのころ、夜になると姉と両親の言い合う声が居間から聞こえていた。；三人とも言い合わせたように、着物の裾を指で摘まんで持ち上げていた。；信ずるの信じないのと、口に出して言い合う必要もないほどの夫婦なのだ。；たぶん昼食もとらずに二人はずっと言い合いを続けていたのだろう。；おやすみなさいと言い合い、ふたりはそれぞれの部屋のドアに向かった。；「おれたちあからだが資本だでなあ、大切にしなけれや」と言い合った。；そんなことを何百遍言い合っても、大切な息子も、娘も戻りはしないのだ。；二人が同時に、別々のモノローグを言い合うだけになってしまうんです。；お互いに親友だと言い合った次の瞬間、里人は目の前から姿を消していた。；義理の母が泣いている孫をあやしている横で、自分と妻は言い合いをした。；ドア越しに聞こえるほどだから、かなりの大声で言い合っているのだろう。；途中が心配である、いたいたしいことであると女房たちは言い合っていた。；この時、二人の間にまた言い合いが始まってはと、ゴードンが口を開いた。</t>
        </is>
      </c>
      <c r="J327">
        <f>HYPERLINK("https://www.weblio.jp/content/言い合う", "词义详情")</f>
        <v/>
      </c>
      <c r="K327">
        <f>HYPERLINK("https://yourei.jp/言い合う", "查看例句")</f>
        <v/>
      </c>
    </row>
    <row r="328">
      <c r="A328" t="inlineStr">
        <is>
          <t>言い表す</t>
        </is>
      </c>
      <c r="B328" t="inlineStr">
        <is>
          <t>成功</t>
        </is>
      </c>
      <c r="C328" t="inlineStr">
        <is>
          <t>読み方：いいあらわす
［動サ五（四）］
１言葉に表す。表現する。「気持ちを素直に—・す」
２隠していたことや、心に思っていたことを口に出して言う。白状する。
「いまかく—・しつれば、おなじごと勝ちたるななり」〈枕・八七〉</t>
        </is>
      </c>
      <c r="D328" t="inlineStr">
        <is>
          <t>言い表すなら</t>
        </is>
      </c>
      <c r="E328" t="inlineStr">
        <is>
          <t>いう；言う；云う；発言；話す</t>
        </is>
      </c>
      <c r="H328" t="n">
        <v>29</v>
      </c>
      <c r="I328" t="inlineStr">
        <is>
          <t>この説明の出来ないと云う詞はその感じを的確に言い表したものである。；母の教えは当時の善良なエジプト人女性の理想を言い表したものである。；一つの言葉で矛盾した二つの意味を同時に言い表す表現方法である。；この上どういうふうに言い表したらいいものか、僕にはもう分らなかった。；言葉には言い表すことは出来ないが、という思いがあったのを覚えている。；この大胆な言い表しが極めて自然に受けとられる日が来ることを私は望む。；彼らを言い表すならば一言『悪魔』 彼らの視線は全て一点に集まっていた。；こうした現代の都市を象徴するビル街特有の不安をも言い表している。；この言葉は事実を語っているのでなく、存在の先行的な理解を言い表している。；たとえば中国語で「コカ・コーラ」を言い表すのはとても大変でしょう。；そして、自分の感じている感動をなんとか言い表したくて言った。；ダブルスピークは、矛盾した二つのことを同時に言い表す表現である。；この理由から人間や神々の像は、それらの影であると言い表されることもあった。；これはムチアが、水を得やすい場所であったことを言い表している。；社会的厚生関数の形は社会の客体の言い表しを表現するよう意図する。；最後の語は神をわが友として認識せんとの意味を言い表したのである。；これは、心の中の状態をそのまま見事に言い表しております。；陽子の胸にある釈然としない感じを、どう言い表していいのか分からなかった。；強姦と言わずに暴行と言い表すなんて、逃げていて卑怯だと思います。；彼女をこんなふうに言い表すなんてよほど夢中なのね。；彼らの人生に関係を持っている人々や達成しようとしている目標、その目標を達成させる為に必要とされる犠牲を言い表してもいる。；この空気の流れを、言葉でどう言い表したらいいのだろう。；それは私が子供心に受けた深刻な失望を言い表している。；ウォルシュがこの用語によって実際に言い表したものは不明である。；関係を言葉で言い表しても結局、決定権は心にしかないからな。；この時の私の魂のもだえ、これはよく言い表すことが出来ない。；これほど極端な例えですら言い表すことができないほど巨大な数がグラハム数である。；なんだかこういう状態を言い表すいい諺があったような気がするけれど、なんだっただろうか。；体内に充満した感情を、俺は正確に言い表すことは出来なかった。</t>
        </is>
      </c>
      <c r="J328">
        <f>HYPERLINK("https://www.weblio.jp/content/言い表す", "词义详情")</f>
        <v/>
      </c>
      <c r="K328">
        <f>HYPERLINK("https://yourei.jp/言い表す", "查看例句")</f>
        <v/>
      </c>
    </row>
    <row r="329">
      <c r="A329" t="inlineStr">
        <is>
          <t>いいえ</t>
        </is>
      </c>
      <c r="B329" t="inlineStr">
        <is>
          <t>成功</t>
        </is>
      </c>
      <c r="C329" t="inlineStr">
        <is>
          <t>［感］相手の言葉を丁寧に打ち消したり、反対の気持ちを表したりするときに用いる語。「『食事はおすみですか』『—、まだです』」</t>
        </is>
      </c>
      <c r="D329" t="inlineStr">
        <is>
          <t>いいえ違います；いいえいいえ；いいえそれどころか；いいえ妾</t>
        </is>
      </c>
      <c r="E329" t="inlineStr">
        <is>
          <t>お気になさらず</t>
        </is>
      </c>
      <c r="F329" t="inlineStr">
        <is>
          <t>夫人いいえ；女子いいえ；けいいいえ；少年いいえ；諏訪いいえ</t>
        </is>
      </c>
      <c r="H329" t="n">
        <v>29</v>
      </c>
      <c r="I329" t="inlineStr">
        <is>
          <t>「いいえそんな事じゃありません」と自分も大きな声で負けずに答えた。；いいえ、彼女は私の姿を見てすぐに逃げようとしたのではありません。；いいえ、私は人妻であることを、いつでも公表するつもりだったんです。；いいえ、いくら弟がそう思いたがっても、そんなことはいえませんわ。；いいえ、ブルータスあなたは心の中に危険なご病気をお持ちなのです。；いいえ、主人はそれからは一時間だって病気なんかしたことはなくってよ。；「いいえ」 その声の少し震えているのを、半七は聞き逃がさなかった。；いいえ、貴方はもう、この世にはお出でにならないのかもしれませんわ。；ただ妙な事が書いてあると思つてね、いいえ、ズッと先に私は見さされたの。；「いいえ、何も」 柄にもなく昔話なんかしたせいだと、彼女は思った。；いいえ、結局私の事かもわからないけど、でも私だけの事じやない。；あのひとを愛したいと心から望み、いいえ、愛していた時期もありました。；いいえ、電話で君の話を聞いたくらいじゃ、とても気が休まらないんだ。；いいえ恋じゃございませんわ、でも、 お別れしたくありませんの。；いいえ、その喜びすらさらに大きな幸福の雲間がくれに消えてしまいました。；いいえ、彼女がこちらへ来ないわけにはいかなかったのですよ。；いいえ、私は決して、この緑の風呂敷を、自分のものだとは思っていない。；いいえ、わたしは、そんなことをだまって見ていることはできません。；シュペーアは「いいえ、私はSS隊員ではありませんでした」と答えた。；いいえ、僕はほんとにやらなければならないやうな気がするのです。；女房 いいえ、お美しいお髪一筋、風にも波にもお縺れはなさいません。；いいえそれどころか、自分たちの部屋へ入れることさえ承知しません。；いいえ、私自身でさえ、自身が類似的には犯人だと信じているくらいですわ。；旅の女 いいえ、つらい事は覚悟して来たんですから、なんでもないんですの。；ヴァージリア いいえ、これが最後、どうしてもそんな気になれません。；いいえ、そうしているうちに、あの男はだんだんと動くようになってくるのです。；いいえ、彼らはきっとそんなことをこぼしているんじゃないんです。；いいえ、あまりにも幸福なわかもの、といってもよいでしょうか。；いいえ、失礼ですけれど、それでは五十円だけ納めさせていただきます。</t>
        </is>
      </c>
      <c r="J329">
        <f>HYPERLINK("https://www.weblio.jp/content/いいえ", "词义详情")</f>
        <v/>
      </c>
      <c r="K329">
        <f>HYPERLINK("https://yourei.jp/いいえ", "查看例句")</f>
        <v/>
      </c>
    </row>
    <row r="330">
      <c r="A330" t="inlineStr">
        <is>
          <t>言い換える</t>
        </is>
      </c>
      <c r="B330" t="inlineStr">
        <is>
          <t>成功</t>
        </is>
      </c>
      <c r="C330" t="inlineStr">
        <is>
          <t>読み方：いいかえる
［動ア下一］［文］いひか・ふ［ハ下二］
１同じ事柄を他の言葉で言い表す。言い直す。換言する。「易しい言葉で—・える」
２前に言ったことと別なことを言う。「前言を取り消して—・える」</t>
        </is>
      </c>
      <c r="D330" t="inlineStr">
        <is>
          <t>言い換えるなら(7%)；言い換えることもできる(4%)</t>
        </is>
      </c>
      <c r="E330" t="inlineStr">
        <is>
          <t>置き換える；言いかえる；換言する；パラフレーズ；言い替える</t>
        </is>
      </c>
      <c r="H330" t="n">
        <v>29</v>
      </c>
      <c r="I330" t="inlineStr">
        <is>
          <t>前半部分を三等や次等、後半部分を公民や市民で言い換える表現もある。；もう少し厳密に言い換えると、信じている他者を想定しているからです。；昔そう呼ばれていたものをそうでないように言い換えるのは、僕はきらいだ。；言い換えるなら、彼を動かしているのはそういう種類の邪悪ではない。；悪い言葉で言い換えると、時々なんにも考えていないように見えるひとだ。；言い換えると、我々は意識的にのほか利己主義者であることができない。；言い換えるなら、あの力を 制御して使えるのは、怪物の肉体だけなのだ。；多項式列が二項型であることを、様々な仕方で言い換えることができる。；あるいは電極板の面積 が充分に大きいと言い換えることもできる。；言い換えると彼は我々の正常の眼とは違った眼で自然や自分の作品を見ていたことになる。；言い換えると理論が先行するのではなく、臨床での観察が中心となる。；貧血、言い換えると萎黄病は十代の若い女性によく見られる病気であった。；またライトは有名な言い回しをリポグラムで言い換えることもしている。；文書と会話の両方で「町」と「郡区」を相互に言い換えることができる。；言い換えると、人間の人格は役割における人間の意味を超えたものである。；言い換えるならば、この巨大複合システムは、彼の肉体の一部なのだ。；破壊の力と言い換えることができ、性質は内部から崩す自滅性である。；言い換えると、いずれの場所でも温度が一定である必要はない。；言い換えると、酵素反応の種類と基質の種類とで分類した番号である。；フッサールの意を汲めば、この問題は次のように言い換えることができる。；この時よりカリブ族は居留地からテリトリーへ言い換えるようになった。；言い換えると、各階級は自分より低い階級の人と1枚ずつカードを交換できる。；言い換えると、それに対応するイデアルの元を充分記述することが残っている。；言い換えると、回転数の等位集合でその内部が空でないもののことを言う。；その人間そのものが新しい1つの世界と化す、と言い換えることもできる。；また、ある物体や事柄を別の言葉を用いて言い換えることなども表現という。；言い換えるなら天子様への絶対的な崇敬と献身の観念とでもいえようか。；言い換えると、これはもう、どの時点でも病気であるのと同じだ。；この定義は以下のように同値な条件で言い換えることもできる。</t>
        </is>
      </c>
      <c r="J330">
        <f>HYPERLINK("https://www.weblio.jp/content/言い換える", "词义详情")</f>
        <v/>
      </c>
      <c r="K330">
        <f>HYPERLINK("https://yourei.jp/言い換える", "查看例句")</f>
        <v/>
      </c>
    </row>
    <row r="331">
      <c r="A331" t="inlineStr">
        <is>
          <t>いい加減</t>
        </is>
      </c>
      <c r="B331" t="inlineStr">
        <is>
          <t>成功</t>
        </is>
      </c>
      <c r="C331" t="inlineStr">
        <is>
          <t>読み方：いいかげん
［形動］［文］［ナリ］
１仕事を最後までやり遂げずに途中で投げ出すさま。投げやり。おざなり。無責任。「—なやり方」「—な人」
→出鱈目(でたらめ)［用法］
２相当な程度に達しているので、ほどほどのところで終わってほしいさま。「—に雨もやんでほしい」「冗談は—でやめてくれ」
［副］かなり。相当。「—いやになった」「—飽きがきた」
［連語］程よい程度。手ごろ。適当。「—の湯」「小物をしまうのに—の大きさの箱」
［アクセント］はイーカゲン、はイーカゲン。</t>
        </is>
      </c>
      <c r="D331" t="inlineStr">
        <is>
          <t>いい加減なもの(5%)；いい加減うんざり；いい加減なところ；いい加減な話；いい加減くたびれ</t>
        </is>
      </c>
      <c r="E331" t="inlineStr">
        <is>
          <t>かなり；相当；なかなか；ずいぶん；適当</t>
        </is>
      </c>
      <c r="F331" t="inlineStr">
        <is>
          <t>かなりいい加減；ずいぶんいい加減；いい加減慣れ；いい加減な態度；いい加減な内容</t>
        </is>
      </c>
      <c r="H331" t="n">
        <v>29</v>
      </c>
      <c r="I331" t="inlineStr">
        <is>
          <t>私に取材の矛先を向けて来た時、はじめはいい加減な答え方をしていた。；つまり現在の考えも過去の考えも同じようにいい加減なものなのだ。；君は死体の検査がひどくいい加減だったことに気がついているにちがいない。；自分の命がかかっているのに、いい加減な情報で納得したりはしまい。；いい加減帰ろうとも思うが、ここまで来て 帰ったら負けかな、と思う。；車輪をいい加減に二つ合わせようたってうまくいくもんじゃありません。；黙っている訳にも行かず、私はいい加減なことを云ってお茶を濁した。；その林の方を目指して、いい加減に路を選び、私達は山を降りて行った。；けどもし、ぼくでありたいなら、いい加減に心を起こさないといけない。；それ以下のいい加減な職人が相手にされなくなったのは云う迄もない。；それに縮こまって怯え続けるのは、もういい加減に疲れてしまったのだ。；新約学はけっしていい加減な仕方でイエス研究をやっているのではない。；その気持で二科を見に行って、いい加減なのでいかにも詰りませんでした。；「いい加減にしないか」発したあとに、折田は自分の声だと気がついた。；いやしくも、人を殺すのに、そんないい加減な計画を立てないと思うわ。；いい加減な計画を立て、いい加減な授業をするわけには行かないのだ。；いい加減なごまかしの親切で逢ってやるのは、悪い事だと思ったからだ。；それでも何も答えぬ聡美にいい加減腹が立ち、非難するように言った。；稀ではあるが彼はこんな支離滅裂かついい加減なことを口走ってきた。；哲学の規則の中にも嘘のものもあればいい加減なものもある。；いい加減な話を真に受けて、その先に事を進めていくわけにはいかないのだ。；わたしたちはもういい加減この子に苦労をかけたんですからね!；このような大地形ならば、よほどいい加減な地図でも間違えようがない。；そしてただいい加減上の方の席にいることで、十分満足していた。；人間の記憶がいかにいい加減なものかを、思い知らされた気分だった。；はじめはいい加減なことを言ってると思って気にしなかった。；根性なしの私は、苦しくなると、いい加減のところで手を打ちたくなる。；こう聞いて、なんていい加減なやつなんだと思う人もいるだろう。；いい加減に観賞していても、日々で見えているものが違うことに気づける。</t>
        </is>
      </c>
      <c r="J331">
        <f>HYPERLINK("https://www.weblio.jp/content/いい加減", "词义详情")</f>
        <v/>
      </c>
      <c r="K331">
        <f>HYPERLINK("https://yourei.jp/いい加減", "查看例句")</f>
        <v/>
      </c>
    </row>
    <row r="332">
      <c r="A332" t="inlineStr">
        <is>
          <t>言いそびれる</t>
        </is>
      </c>
      <c r="B332" t="inlineStr">
        <is>
          <t>成功</t>
        </is>
      </c>
      <c r="C332" t="inlineStr">
        <is>
          <t>読み方：いいそびれる
［動ラ下一］［文］いひそび・る［ラ下二］言い出すきっかけを失って、言えずに終わる。言いはぐれる。「お礼を—・れてしまった」</t>
        </is>
      </c>
      <c r="H332" t="n">
        <v>29</v>
      </c>
      <c r="I332" t="inlineStr">
        <is>
          <t>その件は言いそびれたが、それだって出来れば会って話した方がよい。；結局、言いそびれ、彼女が先に帰る時刻になってしまったのだが。；「いいえ、あのう」 けれども私は、自分の名を言いそびれてしまった。；良く分からず、その場で言いそびれたというあたりが、いかにも彼らしい。；先日言いそびれたことをもう一度言ってみようと思ったのだ。；須藤は人事部長に充分な礼を言いそびれたまま、江川のあとをつけはじめた。；はじめに言いそびれると、あとでは、いよいよむずかしくなりますのじゃ。；私は雲が死んだことを言いそびれてしまった。；松尾は、何となく六日前に会ったばかりだということを言いそびれた。；女房のやつも、おれの腕のことは、きみにも大津留にも電話ではつい言いそびれたらしい。；ぼくは、映画についてこないでって言おうと思ったんだけど、言いそびれてしまった。；直子は、すぐ目についたのだが、何となく言いそびれていたのだ。；それがつまり、戦場ヶ原に言いそびれた『本来気にするべき』事柄だった。；早く申し上げなければと思いながら、つい言いそびれて今までかくしておりました。；あの晩餐会の夜に、あなたのせいで言いそびれたことがね。；英治は、口まで出かかったが、照れくさくて、つい言いそびれてしまった。；一度、言いそびれると、妙に気持にひっかかって、口に出しにくくなった。；溝口は煙草を老師に渡す時、女を倒した罪を告白しようとしたが言いそびれてしまった。；このことは日本を去るまえに申しのこしておくべきであったのですが、つい言いそびれてきたことをかねてより心苦しく思っていたのです。；しかし、午前中にクラスの側を離れず歩いていたのはやはり言いそびれた礼を言う頃合を窺っていたためらしい。；規子は平田に電話を替わってほしいということを言いそびれていた。；そして、同じことを以前多可子にも言ったのを思いだし、言いそびれてしまったのである。；そのうちに言いそびれて、伝えぬまま、おまえを養子としてむかえることとなった。；母が死んだという事を、言いそびれて、どうしたらいいか、わからなくて、とにかくここまで案内して来たのだという。；鈴木先生は悪い方ではないのですが、ご自分でとっていることを言いそびれてしまったものですから、どうかして隠そうとなさったに相違ありません。；聞けば答えてくれるのだろうが、待合室にいる人たちのことを考えると、つい言いそびれる。；正しいアドバイスなんだろうけど、ドラッグをやってる人にもわからないかもしれない、とは言いそびれた。；そのため、千晴は隠したというより、自分は保津美の影響でいくつかの作品を読んでいるにすぎないという事実を言いそびれた。；この前畑田を送ってきたときも、言いそびれている。</t>
        </is>
      </c>
      <c r="J332">
        <f>HYPERLINK("https://www.weblio.jp/content/言いそびれる", "词义详情")</f>
        <v/>
      </c>
      <c r="K332">
        <f>HYPERLINK("https://yourei.jp/言いそびれる", "查看例句")</f>
        <v/>
      </c>
    </row>
    <row r="333">
      <c r="A333" t="inlineStr">
        <is>
          <t>言い出す</t>
        </is>
      </c>
      <c r="B333" t="inlineStr">
        <is>
          <t>成功</t>
        </is>
      </c>
      <c r="C333" t="inlineStr">
        <is>
          <t>読み方：いいだす
［動サ五（四）］
１言い始める。口に出して言う。「赤ん坊が片言を—・した」「突拍子もないことを—・す」
２いちばん先に言う。「—・した人が責任をもつ」</t>
        </is>
      </c>
      <c r="D333" t="inlineStr">
        <is>
          <t>言い出すだろ；言い出すかわから；言い出すんです；言い出すかもしれ；言い出すともなく</t>
        </is>
      </c>
      <c r="E333" t="inlineStr">
        <is>
          <t>いう；言う；云う；発言；話す</t>
        </is>
      </c>
      <c r="F333" t="inlineStr">
        <is>
          <t>言い出すかも；突然言い出す；こう言い出す</t>
        </is>
      </c>
      <c r="H333" t="n">
        <v>29</v>
      </c>
      <c r="I333" t="inlineStr">
        <is>
          <t>一時彼は愛と幸福とにいっぱいになって、それを彼女へ言い出しかけた。；ああいう奇妙なことを言い出すようになったのは北野先生がきてからだ。；彼はたしかに何か言い出そうと構えていたのだが、その必要はなかった。；ただこの詞だけを言うために物を言い出したかと思われるくらいである。；そういえば私の周囲を見ても、こう言い出しかねない妻がたくさんいる。；その頃発売されたばかりの家庭用ビデオデッキを買うと彼が言い出した。；あなたにぼくのホテルへ来てくださいと言い出そうと思っていたんです。；身内の者はあっても、その人たちに言い出す勇気を私は持っていません。；一方が言い出すことは何にせよ、他方はこれに反対すると見てよかった。；奇妙なことを言い出しましたが、そう言いながら私は顫えているのです。；先に立ってゆっくりと歩き出しながら、狩人の男は低い声で言い出した。；クニさんがすぐにも抜けると言い出したりする可能性はないのだろうか。；僕にしても、一旦言い出したことを引っ込めるわけにはいかないからね。；彼女がいま言い出そうとしていることが、たちまち予感されたからです。；笹村は持って行った金の問題を言い出す折がなくてそのまま引き退った。；しかし彼の父はもうそろそろ彼の絵を描くことにも叱言を言い出して来た。；それをなぜ母親が今言い出したかというと、次のような背景があった。；もちろん、聞かれもしないのに、自分から言い出すようなことではない。；いちばんはじめに言い出したのが誰だったのか、今となってはわからない。；時々、この人たちは本当に小学生のようなことを言い出すことがあった。；彼は他人の言い出した事だったらけっしてついて来はしないのだから。；もちろん、彼女を訪ねたりすれば、また何を言い出されるか分からない。；実はね、百年くらい前にも、あの子は同じようなことを言い出したのよ。；もしかしたら、あなたが自分でやると言い出すかもしれないと思ってね。；お昼のあとは、だれから言い出したわけでもないが昼寝の時間となった。；彼等は、次にジョクがなにを言い出すか興味があって、黙っているのだ。；こんな所を父に見つかったら喜んで介錯すると言い出しかねませんから。；しかし、そいつをおれたちの方から言い出すわけには行かねえだろう。；日本人の客の一人が「今度はこっちが奢りましょうか」などと言い出す。</t>
        </is>
      </c>
      <c r="J333">
        <f>HYPERLINK("https://www.weblio.jp/content/言い出す", "词义详情")</f>
        <v/>
      </c>
      <c r="K333">
        <f>HYPERLINK("https://yourei.jp/言い出す", "查看例句")</f>
        <v/>
      </c>
    </row>
    <row r="334">
      <c r="A334" t="inlineStr">
        <is>
          <t>言い付ける</t>
        </is>
      </c>
      <c r="B334" t="inlineStr">
        <is>
          <t>成功</t>
        </is>
      </c>
      <c r="C334" t="inlineStr">
        <is>
          <t>読み方：いいつける
［動カ下一］［文］いひつ・く［カ下二］
１命令する。「用事を—・ける」
２告げ口する。「先生に—・けてやる」
３言い慣れている。いつも言って慣れている。「—・けない言葉を使う」
４言って頼む。ことづけする。
「かの人の—・けしことなど、染め急ぐを見るにつけても」〈源・手習〉
５名づける。言いなす。
「妹背(いもせ)など—・けて語らひ侍りけるに」〈後拾遺・雑五・詞書〉
６しかる。厳しく言い聞かせる。
「あのやうなる事を申す程に、—・けて下されい」〈虎明狂・連尺〉</t>
        </is>
      </c>
      <c r="D334" t="inlineStr">
        <is>
          <t>させる；指揮；命令；指導；指示</t>
        </is>
      </c>
      <c r="H334" t="n">
        <v>29</v>
      </c>
      <c r="I334" t="inlineStr">
        <is>
          <t>そうせいと言い付けたのもみんな意地悪い嫁子の指し図だったのであります。；彼女はコニャックを言い付けて、陽の当たるテーブルへ行って坐った。；ひとりのときは、野崎医師の言い付け通りにただぼんやり天井を眺めていた。；下手をすれば妙な言い付け口に聞こえてしまいかねないことだ。；すべて極秘に取り計らうよう、首相様からお言い付けが出ております。；黄はあらかじめ家僕に言い付けて、その石の上に草をたばねて置いたのである。；女房がザルに二銭入れて阿呆に渡し、焼豆腐を買ってくるように言い付ける。；娘はただ、言い付けられたことを果たしてゆくだけだ。；その弾き方は何から何まで先生の言い付け通りである。；言い付けられて出て行ったが、翌朝眠そうにぼんやり入ってきた。；それ程波風立つ気配が表にあらわれぬのは主人太兵衛の言い付けによるものであった。；いかに太夫を張っていても、主人の言い付けに否やはないのだ。；桜子は二度もわたしの言い付けにそむいたのだもの。；頃合いを見て、田岡は小永井に車から採集袋を持って来るように言い付けた。；あんな体で何をする気かは知らないけど、わたしたちの言い付けは聞けないって事でしょうね。；度重なって尚いう事を聞かない男には雇男の腕節の強いのに言い付けて私刑を加えさした。；家の料理人などにもよく言い付けておくんですよ。；奴隷のアヌッスに言い付けて、紙草もたくさんに拵えさせましょうね。；言い付けられて仲居は二階へ慌てて駆け上がった。；今でもめそめそと泣いていることが多いけれど、彼の言い付けに逆らうこともあまりなくなった。；主人からそう言い付けられていますから。；私は、朝飯を十分に食べて腹がくちかったので、その言い付けがカチンときた。；それを見たアルベールは冷たい口調でシャルロットに銃を届けるよう言い付ける。；何かありましたら、この男に言い付けて下さい。；五人ほどの家臣に見張りを言い付けて、去ったきりであった。；どうぞみんなに言い付けて、おれの墓をここへ掘らせてくれ。；しかし一口飲むとひどく咳が出たので、これからは自分が飲みたいと云っても、飲ませてくれては困ると、女に言い付けた。；北丸安国は、気をよくしたのか、店の女の子に言い付けて、コーヒーを入れさせる。；しかし、変な言い付けには慣れているガラッ八は、そのまま宙を飛んで丁子風呂へ行ったことは言うまでもありません。</t>
        </is>
      </c>
      <c r="J334">
        <f>HYPERLINK("https://www.weblio.jp/content/言い付ける", "词义详情")</f>
        <v/>
      </c>
      <c r="K334">
        <f>HYPERLINK("https://yourei.jp/言い付ける", "查看例句")</f>
        <v/>
      </c>
    </row>
    <row r="335">
      <c r="A335" t="inlineStr">
        <is>
          <t>言い伝える</t>
        </is>
      </c>
      <c r="B335" t="inlineStr">
        <is>
          <t>成功</t>
        </is>
      </c>
      <c r="C335" t="inlineStr">
        <is>
          <t>読み方：いいつたえる
［動ア下一］［文］いひつた・ふ［ハ下二］
１人々の口を経て話を後世に伝える。語り伝える。「古くから—・えられてきた物語」
２言葉を取り次ぐ。伝言する。「社長の命令を—・える」
３言い広める。評判を立てる。「—・えられた醜聞」</t>
        </is>
      </c>
      <c r="H335" t="n">
        <v>13</v>
      </c>
      <c r="I335" t="inlineStr">
        <is>
          <t>この要撃の光景をまるで見て来たように言い伝えるものがある。；全ての彼らの作品において、物語を言い伝えるようなコンセプトを持つバンドだと自らを表現している。；さて、プロヴァンスの人たちの言い伝えるところによりますと、プロヴァンスにかつて二人の騎士が住んでおり、どちらも城と家来を持っていました。；その理由として、鎌倉街道という言葉が使われるようになった江戸時代には、地元の道を、鎌倉街道だったと言い伝えるようになったことによると推測する研究者もいる。；手渡された者が、口から口に言い伝えるでな。；その間の機微を、あやまたず人に言い伝えるのは、至難である。；と明るい声が繰返し、木霊のように、藤木さん、藤木さん、と言い伝える声が家の中で幾つも呼びあった。；あの子供の好きなと言い伝える路傍の神様の小さな祠のところへ藁の馬に餅を載せて曳いて行くのは、古めかしい無邪気な風俗だ。；とかく口さがないのは領内の百姓町人どもで、かれらは、御城主が若君の御婚礼をあのようにむたいに急がれるのは、あれは昔からここのお城に言い伝える古いお告げが、いよいよあらわれることになったので、それが怖いからじゃと、みんなそのせいにしていた。；お前は、世間で言い伝えるより千倍も賢く、また、美しい。；伝説が言い伝えることによると、エジプトにおける戦闘の直前に、アムルが宿営するテントに、ハトが営巣し、そこで抱卵した。；小町にふられた男達の、くやしまぎれの言い立てかも知れないが、美女の名を独占している小町に、そうした身体的欠陥をひそかに言い伝えるところが、いかにも民衆の感覚であろう。；このカトリナイトはスー族が「先祖の血が固まったもの」と言い伝える神聖なもので、その採掘権は現在、インディアンのみが占有する。</t>
        </is>
      </c>
      <c r="J335">
        <f>HYPERLINK("https://www.weblio.jp/content/言い伝える", "词义详情")</f>
        <v/>
      </c>
      <c r="K335">
        <f>HYPERLINK("https://yourei.jp/言い伝える", "查看例句")</f>
        <v/>
      </c>
    </row>
    <row r="336">
      <c r="A336" t="inlineStr">
        <is>
          <t>言い直す</t>
        </is>
      </c>
      <c r="B336" t="inlineStr">
        <is>
          <t>成功</t>
        </is>
      </c>
      <c r="C336" t="inlineStr">
        <is>
          <t>読み方：いいなおす
［動サ五（四）］
１同じことをもう一度言う。「大声ではっきりと—・す」
２訂正してもう一度言う。言い改める。「まちがいに気付いてすぐに—・す」
３言葉をかえてもう一度言う。「易しい表現で—・す」</t>
        </is>
      </c>
      <c r="D336" t="inlineStr">
        <is>
          <t>繰り返す；重ねる；反復；折り返す；くり返す</t>
        </is>
      </c>
      <c r="H336" t="n">
        <v>29</v>
      </c>
      <c r="I336" t="inlineStr">
        <is>
          <t>私がとっさに答えることができずにいると、彼はそれを英語で言い直した。；当綱が思わず言い直そうとしたのを遮るようにして、直丸が言った。；今言い直そうとしたくせに俺たちの顔を確認して言い直すのをやめなかったか!?；今言い直そうとしたくせに俺たちの顔を確認して言い直すのをやめなかったか!?；急いで言い直そうとしたとき、電話の向こうの声が明るくなった。；そのすぐあとで、そんな危険なことを押しつけることはできないと言い直す。；安田教子がそれを言い直すのを、彼女は神経を緊張させて聴いていた。；ようやく自分の心情を説明できる言葉を見つけて、僕は言い直した。；私は言い直すべきであろう、今もなお大きく結びついているのではないか、と。；つまり彼の銭湯好きは銭湯が庶民的だからだと、言い直した方がよさそうだ。；夏美は、手をつけるのを忘れていたアイスコーヒーを飲んで、言い直した。；「ああ、僕はいろんなことをやってきたよ」彼は自分で言い直した。；なにを言おうとしていたのかは知らないが、言い直してくる。；この一般性により特異ホモロジー論は圏論の言葉で言い直すことができる。；ならば言い直して、日本の官僚の考えることは首尾が三・七五キロしておらぬ。；いや、冷静に言い直すならば、顔だちや体格が似ているわけではなかった。；どうしていちいち名前を言い直すのかはよく分からなかったが、あれはあの男の子のものなのだ。；わかりやすく言い直すと、前の怒りは感覚物に附着した怒である。；反射的に「まずかったかな」と考えたけど、言い直そうとは思わなかった。；意味の分からずにいる慎にトドのサクラが寂しいんだよ、と母は言い直した。；礼を言い直すために口を開こうとしたが、唇の端が不自然に引き攣れるのを感じた。；「言っておくけど、顔のことじゃないよ」 祐麒は冷静に言い直した。；新庄は口を開き、先ほどの言葉を言い直すように、こう告げた。；もし言い間違えたのだったら言い直すぐらいするはずです。；咄嗟に出掛かった母国語を日本語で言い直したような感じだった。；僕は、それを言い直すつもりで、歩き出すとすぐ俊三に言った。；いわゆるファンの物好き電話でないとわかったらしく係員は多少丁寧に言い直した。；鮎川は少し逡巡したあと、口の中でもごもご呟いてからちゃんと言い直す。；兄弟ともどもテーブルのわきに体裁よく並べてから、扉に向かって言い直す。</t>
        </is>
      </c>
      <c r="J336">
        <f>HYPERLINK("https://www.weblio.jp/content/言い直す", "词义详情")</f>
        <v/>
      </c>
      <c r="K336">
        <f>HYPERLINK("https://yourei.jp/言い直す", "查看例句")</f>
        <v/>
      </c>
    </row>
    <row r="337">
      <c r="A337" t="inlineStr">
        <is>
          <t>言い残す</t>
        </is>
      </c>
      <c r="B337" t="inlineStr">
        <is>
          <t>成功</t>
        </is>
      </c>
      <c r="C337" t="inlineStr">
        <is>
          <t>読み方：いいのこす
［動サ五（四）］
１全部言わないで話を残す。「—・したことを手紙に書く」
２あとに残る人に言い置く。「伝言を—・して帰る」「遺産の分与について—・す」</t>
        </is>
      </c>
      <c r="H337" t="n">
        <v>29</v>
      </c>
      <c r="I337" t="inlineStr">
        <is>
          <t>その場所をあとにするとき、社長が最後に私に言い残した言葉である。；「何か言い残す事はあるか」と尋ねられた彼女は「何も無い」と答えた。；絶望したアグネスは銃を降ろし、試合に行ってくると言い残し家を出る。；言うべきことはすべて言い残した人の、満足げな表情になっていた。；「早い方がいい、君自身のためにも」 そう言い残して、電話は切れた。；また同時に「もし兄が歪んでいたならその手で殺せ」と言い残している。；降板前の最後のシーンでは「これで一安心」と言い残して出演を終えた。；これではいよいよ一緒にいられない、と言い残して馬の頭は逃げて帰ったのです。；一生に一度ぎりだぞと、くれぐれも念を押して言い残されたことがある。；いくら本人がそう言い残しても、客観的にはおまえのせいなんかじゃない。；そう言い残して、彼女は奥の八畳間へと母親の様子を見に出掛けた。；「ちょっと出かけてくるが、すぐ戻る」と妻に言い残して車で出たという。；彼女は座らず、「少し待っててね」と言い残して、校舎に入っていった。；そう言い残して彼女はゆっくりと顔をアルクェイドのほうに向けた。；亡くなるとき何を考えていたんだろう、言い残すことはなかったんだろうか。；何か言い残したことがあるような印象を、その時水上刑事は受けた。；この時も、酔っていて、星を眺めると言い残して塔へ上がったそうなのだ。；家族に何も言い残さなかったその男はいつかこういう日がくることを知っていたにちがいない。；それで初代の唐蔵は、死の直前に源八に跡目を譲ると言い残したのだった。；我ら二人が申し伝えてやるが、何か言い残しておきたいことはないか。；俊行はいつになく緊張した表情で、早く帰るからと言い残して出かけていった。；ポールは1週間、少なくとも2週間後には戻ると言い残して去っていた。；「帰れば、また来られるからな」と言い残しての命令だったといわれる。；同時に、許可が得られた際には改めて発表するとも言い残した。；この際、斬られた武者は、雨の夜この淵を歩くな、と言い残したという。；「火事だけは出すんじゃないわよ」 母親は上野に恐い顔で言い残した。；彼は「直に水爆が四国に向けて発射される」と言い残して死んでしまう。；こんな風に姿を消したのでは、引越先も言い残していないだろう。；タクシーの運転手に数言、言い残してレストラン本館へ石段を下って行く。</t>
        </is>
      </c>
      <c r="J337">
        <f>HYPERLINK("https://www.weblio.jp/content/言い残す", "词义详情")</f>
        <v/>
      </c>
      <c r="K337">
        <f>HYPERLINK("https://yourei.jp/言い残す", "查看例句")</f>
        <v/>
      </c>
    </row>
    <row r="338">
      <c r="A338" t="inlineStr">
        <is>
          <t>言い放つ</t>
        </is>
      </c>
      <c r="B338" t="inlineStr">
        <is>
          <t>成功</t>
        </is>
      </c>
      <c r="C338" t="inlineStr">
        <is>
          <t>読み方：いいはなつ
［動タ五（四）］自分の考えていることを遠慮なく言う。はっきりと言う。「聴衆にむかって—・つ」</t>
        </is>
      </c>
      <c r="D338" t="inlineStr">
        <is>
          <t>主張；宣言；保証；断言；明言</t>
        </is>
      </c>
      <c r="F338" t="inlineStr">
        <is>
          <t>そう言い放つ；きっぱりと言い放つ</t>
        </is>
      </c>
      <c r="H338" t="n">
        <v>29</v>
      </c>
      <c r="I338" t="inlineStr">
        <is>
          <t>そのとき、大手広告代理店で部長職を務める父親はこう言い放ったのだ。；ルイズを戦の道具に使うというなら、王政府を敵に回すと言い放った父。；彼は今になって、以前に村尾課長が冷たく言い放った言葉を思い出した。；膝を揃えて座ったまま、皆うつむいたが、一人が顔を上げて言い放った。；俺がそう言うと、ハルヒはあからさまにバカを見る目をして言い放った。；その後彼がコーニに家を出て行くよう言い放ち、彼女は運河に身を投げた。；さっきまでの気軽さは何処にいったのか、冷たくライダーは言い放った。；そう留吉が、悪党たちを前にして言い放ったのは、この信仰があるからだ。；海兵出身の大尉は、よし、その場に案内しろ、と頼もしげに言い放った。；復活した際には「復活させたことを後悔させてやる」と悟空達に言い放った。；そして正看護師の資格を取るために札幌の病院に就職を決めたと言い放つ。；と、冷たく言い放つわけにもいかないから、「困ったわねえ」と答える。；「ではいいね、わたしの言いたいのはそれだけさ」と、王は言い放った。；「本来の世界は地上だ」なんて言い放つのは、傲慢な物言いに過ぎない。；そう誰かに本気で言い放つことなんて、一生のうち、一度もできないかもしれない。；ですよね、誰だってそう思いますよね、と投げ遣りに言い放ちたくもなった。；すると、不思議そうな顔をしている昇に顔を向け、ばっさりと言い放った。；「今は求人はしておりませんが」 と、受付の女性は冷たく言い放った。；ハッとして相手の顔を見ると、男は悪びれた様子もなく言い放った。；泥棒男と一緒になって不幸になるつもりか、と意休は揚巻に言い放つ。；「おまえのどこが、走りにガッツ入れてるんだよ」と、諒は言い放った。；そんなロベルトにアンナは息子の結婚を認めないのであれば家を出ていけと言い放つ。；俺は残りの二人のメンバーに遠慮なしに言い放たれていた。；何に関してでもきっぱりと言い放つのが不二雄の癖なのだった。；七五三兵衛は楯板から身を乗り出し、敵の背に向け大声で言い放った。；「同情する気はないぞ」 でも、俺、そんな砂姫に冷然とこう言い放って。；私は私の魂は悪しと無下に言い放つのはそれと似た不安な感じがして好ましくない。；「相手が相手なのだから、仕方がないでしょう」 シルバは言い放った。；「ああ、あの子なら、出ていったわよ」ごくかんたんに彼女は言い放った。</t>
        </is>
      </c>
      <c r="J338">
        <f>HYPERLINK("https://www.weblio.jp/content/言い放つ", "词义详情")</f>
        <v/>
      </c>
      <c r="K338">
        <f>HYPERLINK("https://yourei.jp/言い放つ", "查看例句")</f>
        <v/>
      </c>
    </row>
    <row r="339">
      <c r="A339" t="inlineStr">
        <is>
          <t>言い張る</t>
        </is>
      </c>
      <c r="B339" t="inlineStr">
        <is>
          <t>成功</t>
        </is>
      </c>
      <c r="C339" t="inlineStr">
        <is>
          <t>読み方：いいはる
［動ラ五（四）］自分の考えを主張し続ける。「自説を—・って譲らない」</t>
        </is>
      </c>
      <c r="D339" t="inlineStr">
        <is>
          <t>言い張るんです(2%)；言い張るなら；言い張るだろ</t>
        </is>
      </c>
      <c r="E339" t="inlineStr">
        <is>
          <t>主張；要求；断言；明言；誓う</t>
        </is>
      </c>
      <c r="F339" t="inlineStr">
        <is>
          <t>たいと言い張る；しきりに言い張る</t>
        </is>
      </c>
      <c r="H339" t="n">
        <v>29</v>
      </c>
      <c r="I339" t="inlineStr">
        <is>
          <t>私はそうではないと言い張ったが、電話は実を結ばないままに途切れた。；でも彼女は大笑いして、忘れているのはわたしの方だと言い張るんです。；でも、父はその方がからだに良いし、調子も良くなると言い張りました。；なんでも三スーのお金をすぐに使ってしまえと言い張ったようであった。；笑われる覚悟をしていたところにテラさんが自分の記事だと言い張った。；入院は嫌だ、家にいると言い張ったのが、徳次郎の意思だとは思えない。；それでも彼女は二人の間には個人的な関係はなかったと言い張った。；任意同行の要請であるから、本人がいやだと言い張ればそれまでである。；妻がそれほどまでに言い張るのなら、錯覚ではなかったのかもしれない。；おまけに彼は、その女を一度も見たことがないと頑として言い張るんだ。；もし教授がどうしてもと言い張るなら、そのときはくびにしてもらうよ。；「いや違う、俺はうまくいく」と言い張ってるやつもいるがたぶん嘘だ。；あれが事故だと言い張るのなら、彼女が今どこにいるのかを教えてください。；川谷は当初、犯人を説得するために追いかけたと言い張っていたようだ。；もっとも私はこれ等のことを理論から言い張るのではないのです。；妻は絶対に新しい女がいると言い張ったが、僕は最後までそれを否定した。；彼は事件解決後、天童にも罪があったはずだと言い張っていたという。；私たちのことをよく知っている友達さえも、その反対だと言い張るでしょう。；こいつは恋ではないと言い張るのですが、一応夢中の形ですからね。；心の中で言い張ってみたものの、たった五秒後にはため息が漏れていた。；結婚相手の女性の部屋にいたと言い張ってるんですよ、その時刻には。；その娘はお主が姫君に心を寄せるのを恐れるあまり、嘘だと言い張るのだ。；すぐに獄屋へ送って鞠問したが、彼は我来也でないと言い張るのである。；彼女が「知らない」と言い張るのは、悪魔が強情なせいだと考えられた。；本当に会ったんだ、話をしたんだと言い張っても、証拠は何もない。；僕は床に寝ると言い張ったけれど、 それも伊代に却下されてしまった。；ただこの曲にご執心の広告代理店の方が絶対これだって言い張るんですよ。；死んだ恭子がこの橋を渡ると言い張った時、私は妻を先に行かせた。；彼らは、その男だって、ほかのことは何も望んでいないんだと、言い張る。</t>
        </is>
      </c>
      <c r="J339">
        <f>HYPERLINK("https://www.weblio.jp/content/言い張る", "词义详情")</f>
        <v/>
      </c>
      <c r="K339">
        <f>HYPERLINK("https://yourei.jp/言い張る", "查看例句")</f>
        <v/>
      </c>
    </row>
    <row r="340">
      <c r="A340" t="inlineStr">
        <is>
          <t>言い分</t>
        </is>
      </c>
      <c r="B340" t="inlineStr">
        <is>
          <t>成功</t>
        </is>
      </c>
      <c r="C340" t="inlineStr">
        <is>
          <t>読み方：いいぶん
１主張したい事柄。特に、言い訳や異議・非難。「—を通す」「双方の—を聞く」
２口論。口げんか。
「此方の家さへ開けて下さるれば、—する事もござらぬ」〈浮・織留・四〉</t>
        </is>
      </c>
      <c r="D340" t="inlineStr">
        <is>
          <t>主張；態度；意見；解釈；主義</t>
        </is>
      </c>
      <c r="H340" t="n">
        <v>29</v>
      </c>
      <c r="I340" t="inlineStr">
        <is>
          <t>まるでそのひとの夫を殺してきた男の言い分ではないかのようであった。；そこまで分かってるならどうして俺たちの言い分を聞いてくれないんだ。；泣く子のところには鬼が来るぞ、とは今も昔も変わらない親の言い分だ。；どうせ、みんなの知っていることだからというのが野枝の言い分だった。；彼の言い分によると、人間の目には見えない石を売っているらしいのです。；私が2人を止めたのですが、ジョージは自分の言い分を通したんですよ。；言い分はあるだろうし、くれるものをもらってなぜ悪い、の理もあろう。；向こうには向こうの言い分はあるにしても、私には決してそうとは思えない。；お前の言い分では、扉はナイフの柄にかなりの力でぶつかったはずだよな。；先生は双方の言い分を聞いたが、二人ともけんかの原因は口にしなかった。；なんたって伝説のライダーなんだもん、というのが彼女の言い分である。；いつもながら、雨の言い分にはそれなりに説得力があるような気がした。；母親の言い分はもっともで、騒ぎを起こしたのは少年ではなく花村なのだ。；これらの建物を倒した人々は間もなく我々全ての言い分を聞くことになるだろう。；むしろ彼女の言い分のほうが圧倒的に正しいことも理解している。；しかし、今までのあやつの言い分がでたらめだと立証することは難しい。；それゆえわけを話そうから、よく気をつけて私の言い分を聞いてくれ。；それに、滋子さんが彼女の言い分を聞き終わったなら、彼女と話したい。；しかし捜査に当たった警察官のひとり、麻生刑事の言い分は違っていた。；私は、自分の言い分がとくに変っているとはまったく思っていない。；彼が聡子の言い分を理解してくれた様子だったのが、せめてもの救いだ。；もちろん、ごく僅かだが、両方の言い分がともに真実である可能性もある。；一人の女の幸せ勝手に決め付けて、相手の言い分も聞かずに身を引くってさ。；夫人のいい分はあまりに情緒的で社会的に見ても利己的だったからだ。；老人がどこまで本気かは分からないが、彼女の言い分を受け入れてくれたのだ。；もちろん向こうには向こうなりに、もっともらしい言い分があるんだろうが。；セイバーの言い分はもっともなんだが、こっちの精神安定も考えて欲しい。；言葉が湿っていると、すらすら出てくるというのが彼の言い分であった。；屁理屈をつけるのも、こっちにも言い分があると主張するのも難しい。</t>
        </is>
      </c>
      <c r="J340">
        <f>HYPERLINK("https://www.weblio.jp/content/言い分", "词义详情")</f>
        <v/>
      </c>
      <c r="K340">
        <f>HYPERLINK("https://yourei.jp/言い分", "查看例句")</f>
        <v/>
      </c>
    </row>
    <row r="341">
      <c r="A341" t="inlineStr">
        <is>
          <t>言いよどむ</t>
        </is>
      </c>
      <c r="B341" t="inlineStr">
        <is>
          <t>成功</t>
        </is>
      </c>
      <c r="D341" t="inlineStr">
        <is>
          <t>口ごもる；絶句する；反論できない；しどろもどろになる；言葉を詰まらせる</t>
        </is>
      </c>
      <c r="H341" t="n">
        <v>29</v>
      </c>
      <c r="I341" t="inlineStr">
        <is>
          <t>言いよどんだり頭のなかで手さぐりするようなことが、彼女にはなかった。；言いよどんだ口調ではあるが、返事そのものははっきりしている。；部長はキッパリなにかを言いそうな顔になって、だが言いよどんだ。；そのとき母親ははじめて女の子が化粧したいと言いよどんでいるのが解ったのであった。；ただ、ホロはすぐには口を開かず、何度か言いよどんでからようやく口を開いた。；ときどき言いよどんだり、言いやめたりしたが、また言いつづけるのだった。；さっきのふたりの会話では、乗客をどうするかわかっていて、言いよどんだふしがあった。；言いよどんでいると、巡査はちょっとからかうような口調で言った。；女子大生はそう思って言いよどんでいたが、それ以上に彼がひどく真面目に聞いてくることに驚いた。；彼らが言いよどんだ先の言葉を、聞き出さねばならなかった。；わずかに顎を動かし、言いよどみながら数歩歩いてから、ようやくぽつりと言った。；盛んに言いよどんだり、次の文句へ進んでゆく前に、前の句の終わりを何度もくり返したりした。；言いよどんだミランシャの目の前で、畷り泣いている若者達の姿が、子供に変わってい った。；愁二先輩が自殺だったとわかった今なら、彼のことを尋ねたとき、OBが言いよどんでいたのもわかる。；私は少し言いよどむように、その言葉を口にする。；「私は、彼女に用事があって」彼は正直に事情を話すつもりがないのか、言いよどんだ。；「そんなこというなよ」困り果てた顔を高村は浮かべ、言いよどんだ。；だが、この言いよどみ方で、どうも変だと察せられてしまった。；彼は家の者の耳を憚ってか、言いよどむふうにして、ことばを選びながら話している。；言いよどんでぼくの顔に向けた麻子さんの視線を、雨宮君枝は見逃さなかった。；だが、そんな卯月も大学の志望動機を聞かれた時だけは、思わず言いよどんでしまう。；「でもね」と言って由希子はその先の言葉を言いよどんだ。；答えに窮するとすぐに言いよどんでしまう紗音は、ただそれだけの短所のためにいつも損をしていた。；「違うよ」 後ろをついてくる気配がして、浮名は言いよどむ。；男は少し言いよどんで、そして首を振った。；「何が言いたいんだ、おめえは」 おせんはしばし、言いよどんだ。；言いよどむガブリエッラにかわって、チェチリアは静かに一歩前に歩み出た。；言いよどむメイシェンに苛立って、思わず口に出ただけの言葉なのにどうしてそんな嘘になってしまうのか意地の悪い冗談で済む。；具合が悪そうに言いよどみながら、実は香奠の中身が入っていなかった、と切り出したのである。</t>
        </is>
      </c>
      <c r="J341">
        <f>HYPERLINK("https://www.weblio.jp/content/言いよどむ", "词义详情")</f>
        <v/>
      </c>
      <c r="K341">
        <f>HYPERLINK("https://yourei.jp/言いよどむ", "查看例句")</f>
        <v/>
      </c>
    </row>
    <row r="342">
      <c r="A342" t="inlineStr">
        <is>
          <t>言い訳</t>
        </is>
      </c>
      <c r="B342" t="inlineStr">
        <is>
          <t>成功</t>
        </is>
      </c>
      <c r="C342" t="inlineStr">
        <is>
          <t>読み方：いいわけ
［名］(スル)
１そうせざるをえなかった事情を説明して、了解を求めること。弁解。弁明。「遅刻の—」「いまさら—してもおそい」
２（言い分け）言葉を別々の意味に分けて使うこと。
３物事の筋道を説明すること。解説。
「上文の議論のごときは…十九世紀の小説家の—としてはいと拙(つたな)し」〈逍遥・小説神髄〉
４過失・罪などをわびること。謝罪。
「第一伯母へ済まねえといふも尤(もっと)も…義理ある中の—と」〈人・梅児誉美・三〉</t>
        </is>
      </c>
      <c r="D342" t="inlineStr">
        <is>
          <t>言い訳じみ；言い訳すれ；言い訳めい；言い訳しよ；言い訳がましく</t>
        </is>
      </c>
      <c r="E342" t="inlineStr">
        <is>
          <t>説明；解釈；解説；講義；謝罪</t>
        </is>
      </c>
      <c r="F342" t="inlineStr">
        <is>
          <t>苦しい言い訳；どんな言い訳；言い訳がま；適当な言い訳；慌てて言い訳</t>
        </is>
      </c>
      <c r="H342" t="n">
        <v>29</v>
      </c>
      <c r="I342" t="inlineStr">
        <is>
          <t>もう一つの言い訳は、この大人は子供向けの本でも何でも理解できます。；ひとはたいてい、自分に都合の悪いようには言い訳などしないものだよ。；最初に言葉が通じたときだって、ドイツ語できるからとか言い訳してた。；彼はいい訳をするように笑って、ミリアムの手の上に自分の手をおいた。；それでもすべてが嘘ではないのだと、言い訳のように心の中でつぶやく。；車の窓をたたいてやると、若い男が驚いた顔で苦しい言い訳をしていた。；ひどい間違いではないからかまわない、と彼女は心のなかで言い訳した。；客に疑いを持たれたところで、証拠を残さなければ何とでも言い訳は立つ。；友人たちには電話を掛けて、腎臓が悪いから休むと言い訳をしておいた。；エルクスレーベンは特に、女性が教育を受けない言い訳を強く批判した。；しかし4人とも犯人の顔を見ておらず主張は言い訳に過ぎないとされていた。；それに、自分のくせだからというのは、何の言い訳にもならないと思うの。；「自分でも奇妙だとは思うんだよ」 言い訳するように僕は彼女に告げた。；言い訳の為に僕が口を開くより先に坊主先輩が怒鳴り声をあげていた。；もしそうだとすると、私は見るだけは見たのだから、それでいい訳だ。；いや、そんな言い訳めいたことを言わなくても、確実に僕は想像できる。；黙りつづけていると、俺にしても言い訳がないものと思い込んでしまう。；それを叱ると、病気なんだから仕方がないみたいな言い訳をしたんです。；作者のいうところによればそれは「手ほどきの師匠への言い訳」である。；あのエリカをしても、さっきの行動に上手い言い訳はつけられないのだ。；店ではお酒を殺して飲んでいるから、と彼女は言い訳がましく言った。；だから非礼にはあたらないはずだが、それを言い訳にする気はなかった。；しかしまたなんのいい訳でもなしに、それがあの時の私の実感でした。；そうすると妻は、私が怪我をしてはいけないからと言い訳するのです。；井伏 とてもいい訳かもわからないが、上田敏の文章になっていますね。；ですから考えてくださいよ、私を連れて行って何と言い訳をするつもりか。；きみの愛情を他人に与えたことに関してなにか言い訳があるのかね?；政府の指示と命令は、いろいろ言い訳をする前に遂行しなければならない。；ぼくにできる最良のことはなにか適当な言い訳を用意することだったらしい。</t>
        </is>
      </c>
      <c r="J342">
        <f>HYPERLINK("https://www.weblio.jp/content/言い訳", "词义详情")</f>
        <v/>
      </c>
      <c r="K342">
        <f>HYPERLINK("https://yourei.jp/言い訳", "查看例句")</f>
        <v/>
      </c>
    </row>
    <row r="343">
      <c r="A343" t="inlineStr">
        <is>
          <t>言い渡す</t>
        </is>
      </c>
      <c r="B343" t="inlineStr">
        <is>
          <t>成功</t>
        </is>
      </c>
      <c r="C343" t="inlineStr">
        <is>
          <t>読み方：いいわたす
［動サ五（四）］
１上の者から下の者に対して、決定した事柄や命令などを伝える。申し渡す。「出張を—・す」
２裁判所の下す判決・決定・命令の内容を口頭で当事者に告げる。宣告する。「無期懲役を—・す」</t>
        </is>
      </c>
      <c r="D343" t="inlineStr">
        <is>
          <t>言い渡すべき(2%)</t>
        </is>
      </c>
      <c r="E343" t="inlineStr">
        <is>
          <t>させる；宣告；命じる；伝播；指示する</t>
        </is>
      </c>
      <c r="H343" t="n">
        <v>29</v>
      </c>
      <c r="I343" t="inlineStr">
        <is>
          <t>監督はリュウジと目が合っても、後半の出場を言い渡すことはなかった。；帝は悲しみに暮れ、天に最も近い山に薬を持っていくよう使いに言い渡す。；停学を言い渡されても平然とした態度で東京の実家に帰ってしまうほどだった。；林がどうしたことかと尋ねると、忠度から別れの言葉を言い渡されたという。；平凡な生活を送っていたアンナはある日、新たな任務を言い渡される。；通電の前には必ず理由が言い渡され、どんな些細な出来事も理由になった。；一方、左脚は第一審判決が言い渡された時点でも未発見のままだった。；この時に上司に反抗的な態度を取ったため、帰国後に謹慎を言い渡された。；また小宮の独断と偏見で放送中に『番組卒業』を言い渡される者がいる。；中華民国はこれを国際連盟に訴え、日本の満州からの撤退が言い渡される。；従って、戦いの際にクロムウェルの手紙で言い渡されたことは明白である。；これを受けて、Kは全ての疑いが晴れ、改めて無罪判決が言い渡された。；しかし、主張が認められることはなく、どちらの罪でも有罪が言い渡された。；その後に個別に言い渡された量刑判決では、ヘスは終身刑判決を受けた。；そうした著作の準備作業が終わったその日にテヘランへの赴任を言い渡される。；その罪を問われた彼は、3ヶ月間の自宅軟禁処分を裁判所から言い渡される。；このプレーに抗議したマッツァーリ監督には退席処分が言い渡された。；この映画出演が両親に知られ、父に勘当を言い渡されたために家出。；その後、個別に言い渡される量刑判決で彼は懲役10年の判決を受けた。；試し斬りを兼ねて打ち首を言い渡された罪人を処刑するのである。；勝負はほぼ互角だったが、次会う時までにもっと鍛えておくよう言い渡される。；しかし高校受験では歩一人が合格してしまい、夕子に絶交を言い渡される。；再び口を彼女のそれに寄せ、わたしに口づけするように言い渡す。；類義語の久離は、親族一同との関係の断絶を言い渡す場合に用いられる。；源公は御前様にクビを言い渡され、本作では柴又のシーンには出演していない。；しかし試合終了後、カナダ・バンクーバーのチーム移籍を言い渡される。；共犯者との同時審理で共犯者が死刑判決を言い渡された事例は含まない。；判決は、そのような説明をして、死刑を言い渡す理由としている。；殺人の手段として放火罪が成立した場合、死刑が言い渡されることもある。</t>
        </is>
      </c>
      <c r="J343">
        <f>HYPERLINK("https://www.weblio.jp/content/言い渡す", "词义详情")</f>
        <v/>
      </c>
      <c r="K343">
        <f>HYPERLINK("https://yourei.jp/言い渡す", "查看例句")</f>
        <v/>
      </c>
    </row>
    <row r="344">
      <c r="A344" t="inlineStr">
        <is>
          <t>委員</t>
        </is>
      </c>
      <c r="B344" t="inlineStr">
        <is>
          <t>成功</t>
        </is>
      </c>
      <c r="C344" t="inlineStr">
        <is>
          <t>読み方：いいん
国家・公共団体その他の団体において、選挙または指名を受け、特定の事項の調査や処理に当たる人。</t>
        </is>
      </c>
      <c r="D344" t="inlineStr">
        <is>
          <t>委員長(11%)；委員会(6%)；委員等；委員たち；委員候補</t>
        </is>
      </c>
      <c r="F344" t="inlineStr">
        <is>
          <t>選考委員；審査委員；執行委員；審議会委員；運営委員</t>
        </is>
      </c>
      <c r="G344" t="inlineStr">
        <is>
          <t>委員長；委員会活動；委員会等設置会社；委員会設置会社；委員会方式</t>
        </is>
      </c>
      <c r="H344" t="n">
        <v>29</v>
      </c>
      <c r="I344" t="inlineStr">
        <is>
          <t>中学校では帰宅部、高校では剣道部に入っており放送委員も務めていた。；小学校で委員に選ばれたのが嫌でずっと泣いているような内気な性格だった。；次の各号のいずれかに該当する者は、公益委員となることができない。；候補外であったが選考委員の五木寛之の強い推薦があり受賞に至った。；プノンペン支部党委員会の学生運動担当委員になったと書く文献もある。；戦後は全金同盟の委員長に就任するとともに日本社会党の結成に参加。；またその後1994年には日米文化教育交流会議日本側パネル委員就任。；同年、日本宣伝美術協会九州地区委員となり、自宅を小倉事務所とした。；弁護士が行っている仕事のひとつとして、各省庁のハイヤの委員がある。；総合閉会式で大会会長から優勝旗を受けるのは優勝校の正評議委員である。；各郡は通常郡政委員会と呼ばれる立法府があり、委員は選挙で選ばれている。；選考年の前年に発行され、読者・選考委員から推薦された単行本が対象。；かつては規模の大きい加盟国からは欧州委員会委員を2名出していた。；日本相撲協会の業務では、現在は名古屋場所担当の委員を務めている。；懲戒委員会によって下された決定は、完全訴訟が行われる可能性がある。；しかし特別委員を倍数の候補者の中から選定することを近衛に返答した。；連盟は多くの点で委員会から独立して活動した。；区間ごとの平均通過人委員は以下のとおりである。；県庁所在地の場合、県委員会と地区委員会の事務所が同じ建物内にある場合もある。；日本相撲協会に請われて、協会の運営審議委員会委員を死去時まで務めた。；そのために電気軌道委員規定を設定し、委員を選出した。；そしてパンクハーストと娘のクリスタベルが新しい委員会の委員に選ばれた。；第一次世界大戦直後の1920年代には、海軍委員会の委員に就任。；また4年おきに会長・副会長・カウンシルメンバー・委員を選出する。；他の審査委員から賛成の声が上がったこともあり、河野理事長が締めた。；日本現代作曲家連盟初代委員長などを務めた。；広範囲の委員によって書かれたこの報告書は44もの改革を提案した。；同年1月に調査委員会が設置されると、その委員の1人に指名される。；派遣されるのは日本学術会議会員に加え、以前は研究連絡委員会委員も対象であった。</t>
        </is>
      </c>
      <c r="J344">
        <f>HYPERLINK("https://www.weblio.jp/content/委員", "词义详情")</f>
        <v/>
      </c>
      <c r="K344">
        <f>HYPERLINK("https://yourei.jp/委員", "查看例句")</f>
        <v/>
      </c>
    </row>
    <row r="345">
      <c r="A345" t="inlineStr">
        <is>
          <t>言う</t>
        </is>
      </c>
      <c r="B345" t="inlineStr">
        <is>
          <t>成功</t>
        </is>
      </c>
      <c r="C345" t="inlineStr">
        <is>
          <t>読み方：いう
［動ワ五（ハ四）］
言葉を口に出す。心に思っていること、考え・判断などを相手に伝達するために、言葉に出したり、文章に表したりする。
１口を通して言葉として出す。「やっと片言を—・うようになった」
２言葉にして表す。思うことを言葉で表現する。「文句を—・う」「だれもが彼のことをよく—・わない」「これ以上—・うことはない」「出席できない旨を手紙で—・ってきた」
３名づける。称する。…と呼ぶ。「一一月三日を文化の日と—・う」
４世間の人がそのように称する。一般にそう呼ばれている。「縁起がいいと—・われる大安の日」「彼は無類の好人物と—・われている」
１何らかの声や言葉を発する。「わあと—・って泣き出した」
２動物などが声を出す。物が音を発する。音を立てる。「犬がわんわん—・う」「鉄瓶がちんちん—・う」「床がみしみし—・う」
実質的なの意味が弱まったり、なくなったりして、常に他の語に付いて用いられる。
１（「…という」の形で体言に続けて）
㋐同格であることを示す。「ハイジと—・う少女」「世界の中のアメリカと—・う国」「人事部と—・う部署」
㋑「と」の前の事柄を特に取り立てて示して、意味を強める。「人と—・うものはわからないものだ」「おまえと—・うやつは何とひどい人間なのだ」
㋒数量を表す語に付いて、その意味を強める。…に相当する。「何十万と—・うイナゴの大群」
㋓同じ名詞を前後に置いて、それに属するものはすべて、または、その語を強める意を表す。「入り口と—・う入り口は閉鎖された」「店と—・う店はどこも休んでいた」「今日と—・う今日はがまんできない」「特に用事と—・う用事でもないが」
２（「…というと」「…といえば」「…といい…といい」などの形で）話題として取り上げて示す。「今いちばんおもしろい映画と—・えば何でしょう」「大きさと—・い、値段と—・い、ちょうど手ごろだ」
３副詞「こう」「そう」「ああ」「どう」に「いう」「いった」が付いた形で体言に続けて、…のような、…の類の、の意を表す。「ああ—・う場所には近づくな」
４代名詞「これ」「どこ」「なに」に「という」「といった」などが付いた形で、あとに打消しの語句を伴って、特に取り立てて言うほどの…がない意を表す。「これと—・う欠点もない」「これと—・った趣味がない」「どこと—・ってからだに悪いところはない」
５（「…という」「…ということだ」などの形で）話の内容が直接でなく他からの情報にもとづくことを表す。「気象庁の長期予報によると、今年の冬は寒いと—・う」「病状は峠を越したと—・うことなので安心した」
６（「…といっても」「…とはいえ」「…とはいうものの」などの形で）事実は…であると認められるが、しかし…である（でない）意を表す。…であっても。「春と—・っても風はまだ冷たい」「失敗したとは—・え、悲観はしていない」
７接続助詞「から」に「といって」が付いた形で、あとに打消しの語句を伴って、そのような条件・理由であっても必ずしも…でない、の意を表す。「対戦相手が弱いからと—・ってあなどってはいけない」
８（「…といったらない」の形で）程度が、これ以上に…なことはない、極めて…だ、の意を表す。「病弱な上に、年はとるし、心細いと—・ったらない」
９（「そうかといって」「かといって」「といって」などの形で）本心としては拒みたいが、拒むのもまずいという意を表す。「ごちそうしてもらう筋合いではないが、そうかと—・って割り勘というのも不都合だ」
１詩吟を吟ずる。
「漢詩(からうた)、声あげて—・ひけり」〈土佐〉
２求愛する。言い寄る。
「いとねむごろに—・ひける人に、こよひあはむと契りたりけるに」〈伊勢・二四〉
[補説]3の、「こういう」「そういう」「ああいう」「どういう」はまとまった一語として連体詞と考える。
[可能]いえる
[用法]いう・はなす——「言う」は「独り言を言う」「言うに言われない」のように、相手の有無にかかわらず言葉を口にする意で用いるほかに、「日本という国」「こういうようにやればうまく行くというわけだ」など引用的表現にまで及ぶ。◇「話す」は「しゃべる」とともに、「喫茶店で友達と話す」「電話で近況を話す」のように、相手がいる場での言葉の伝達である。「話し方教室」とはいうが、「言い方教室」とはいわない。◇類似の語に「述べる」「語る」があるが、ともにまとまった内容を筋道を立てて発言する意の語であり、「意見を述べる」「紙上で述べる」のように用いたり、「物語」「義太夫語り」のような熟語を生んだりする。</t>
        </is>
      </c>
      <c r="D345" t="inlineStr">
        <is>
          <t>言うべき(3%)；言うなら；言うんです；言うまい；言うんなら</t>
        </is>
      </c>
      <c r="E345" t="inlineStr">
        <is>
          <t>いう；云う；発言；話す；表す</t>
        </is>
      </c>
      <c r="F345" t="inlineStr">
        <is>
          <t>こう言う；なんて言う；たいと言う；俗に言う；はっきり言う</t>
        </is>
      </c>
      <c r="G345" t="inlineStr">
        <is>
          <t>言うまでもなく；言うなれば；言うに事欠いて；言うまでもなかろ；言うだけ野暮</t>
        </is>
      </c>
      <c r="H345" t="n">
        <v>29</v>
      </c>
      <c r="I345" t="inlineStr">
        <is>
          <t>これは、占領後の軍施設に使用することを想定していたと言われている。；特に は のオブジェクト概念を一般化したものだと言うことができる。；私は私で次ぎのように考えざるを得なかったと言おうとしているだけだ。；年齢が高い人よりも低い人の方が、症状が重い人は多いと言われている。；二人は、何か言おうとしたが、もう既に毒の力で舌が自由を失っていた。；音具とは音を出す道具のうち、音が出るが楽器とは言いにくい物のこと。；対して、動作・運用可能な状態で保存されている場合は動態保存と言う。；なにを言おうとしているのか、理解できるまでしばらく時間がかかった。；そのバイオマスは真核生物の数倍から数十倍に達するとも言われている。；が、彼が何を言おうとしているのか、それを理解することは困難だった。；製作される映画は英語のものと現地語のものがほぼ半分ずつと言われている。；そして後にライフル銃を持つとこれほど似合う俳優はいないと言われた。；天皇の称号が実際に用いられ始めたのもこの時代だと言われている。；こちらの言っていることは全て理解しているし、会話するには十分だ。；地元の伝承ではラボックの一人当たりの教会の数では国内最大と言われる。；彼は何か言おうとしたが、歯を食いしばっているため言葉が出なかった。；ニュートン力学の主要な点はすべてこの中に含まれていると言ってもよい。；国家あるいは地域ごとに決められていることから、単に国番号とも言う。；キミは、とにかく反対なら反対のようにちゃんと言うてくれるからいい。；文化大革命による犠牲者の合計数は数百万から数千万とも言われている。；君が何を言おうとしているのか、よくわからないんだ、どうしたの一體?；吉野作造は「何を言ってよいか分からなかったためだ」と批判している。；すぐに戦場の同志たる連合国のために、と言い直しその場を乗り切った。；彼が私と二人きりで何を言おうとしているのか想像がつかなかった。；わたしは何か言おうとしたが、「一時に交代してやるよ」とだけ言った。；民間所有のものを私奴婢と言い、子孫に相続させることが可能であった。；彼女が言おうとすることはまさしくそのなかに著されているようだった。；だが、だれにも彼女がなにを言おうとしていたのかはわからなかった。；清はおしんに礼を言い、竜三の骨を一片胸に抱いて佐賀へ帰っていった。</t>
        </is>
      </c>
      <c r="J345">
        <f>HYPERLINK("https://www.weblio.jp/content/言う", "词义详情")</f>
        <v/>
      </c>
      <c r="K345">
        <f>HYPERLINK("https://yourei.jp/言う", "查看例句")</f>
        <v/>
      </c>
    </row>
    <row r="346">
      <c r="A346" t="inlineStr">
        <is>
          <t>家</t>
        </is>
      </c>
      <c r="B346" t="inlineStr">
        <is>
          <t>成功</t>
        </is>
      </c>
      <c r="C346" t="inlineStr">
        <is>
          <t>読み方：うち
［名］
１（「中」とも書く）ある一定の区域・範囲の中。
㋐仕切られた内側。内部。「家の—」⇔外(そと)。
㋑中心または手前に寄ったほう。「—に切れ込むシュート」
㋒ある範囲に含まれるもの。「会員の—から探す」「これも仕事の—」「苦しい—にも張り合いがあった」
㋓外から見えないところ。うら。「—を探ると、問題があるらしい」
㋔心の中。心。内心。「腹の—を探る」「—に秘めた思い」
㋕ある数量のなか。「三つの—から一つを選ぶ」
㋖ある時間のなか。以内。あいだ。「一瞬の—に消えた」「試合が二日の—に迫る」「若い—に苦労する」
２自分が所属しているものをいう。
㋐（「家」とも書く）自分が一員として属する家。また、他人の家も含めて、一般に家庭・家族をいう。「—が貧乏で苦労した」「—じゅうで出かける」「よその—」
㋑（「家」とも書く）自分の夫、また、妻。「—に相談してからにします」
㋒自分が所属するところ。「—の会社」⇔よそ。
㋓手紙の署名で、妻が夫の名に添えて「内」と書き、代筆であることを示す。
３（「家」とも書く）建物としての家。家屋。「いい—に住んでいる」
４（「裡」とも書く。「…のうちに」の形で）物事の行われる状況を表す。「暗黙の—に理解しあう」「会は成功の—に終わる」
５仏教に関すること。仏教以外、特に儒教を「外(そと・ほか)」というのに対していう。
６ひと続きの時間。特に、現世という限られた時間。
「たまきはる—の限りは平らけく安くもあらむを」〈万・八九七〉
７内面。内輪。うちとけた面。
「外(ほか)には仁義礼智信の五常を守りつつ、—にはまた、花鳥風月、詩歌管絃を専らとし」〈謡・経政〉
８宮中。内裏(だいり)。
「君はまづ—に参り給ひて」〈源・若紫〉
９天皇。
「—の渡らせ給ふを、見奉らせ給ふらむ御心地」〈枕・一二八〉
［代］一人称の人代名詞。わたし。わたくし。自分。関西地方で、多く女性が用いる。「—は嫌やわ」
［アクセント］1〜7はウチ、はウチ。
[用法]うち・なか——ある仕切りで区切られた空間・平面などを表す場合は、「外は寒かったが、部屋の内（中）には暖かく火が燃えていた」のように、「内」も「中」も同じように使うが、「内」のほうがやや文語的な言い方である。◇ある状態にあることを示す「雨の中を歩く」「忙しい中を無理に頼む」などは「内」に置き換えられない。また「中の指」のように順序の中間を示すときも「内」とはいわない。◇「大勢の応募者の内（中）から選ばれた人」のように「内」「中」は、また、ある範囲を示すこともある。この場合、ある時間の範囲内であることを示す「朝、まだ暗い内に出発した」や、事柄がある範囲に含まれることを示す「苦労するのも勉強の内だ」などでは、「内」を「中」で置き換えることはできない。
[下接句]足元の明るいうち・蝙蝠(こうもり)も鳥の内・舌の根の乾かぬうち・自慢高慢馬鹿(ばか)の内・腹も身の内・卑下も自慢の内・目の黒いうち・目高も魚(とと)の内・夜目(よめ)遠目(とおめ)笠(かさ)の内</t>
        </is>
      </c>
      <c r="D346" t="inlineStr">
        <is>
          <t>家じゅう；家当主；家譜；家士；家祖</t>
        </is>
      </c>
      <c r="E346" t="inlineStr">
        <is>
          <t>室；家族；門；屋；館</t>
        </is>
      </c>
      <c r="F346" t="inlineStr">
        <is>
          <t>芸術家；作曲家；落語家；音楽評論家；研究家</t>
        </is>
      </c>
      <c r="G346" t="inlineStr">
        <is>
          <t>家庭；家臣；家督；家で；家康</t>
        </is>
      </c>
      <c r="H346" t="n">
        <v>29</v>
      </c>
      <c r="I346" t="inlineStr">
        <is>
          <t>彼はこれをアイデアにとどめず可能とした軍事家として評価されている。；主人が練習に疲れて家に帰って来て、もう音は聞きたくないという。；再び病気が悪化したという理由もあるが、政治家を目指したからでもある。；ただし、伊能家の状況は必ずしも順風満帆ではなかったとする説もある。；現代でも旧・家臣団が鳴沢家当主の法要に列席するために集まってくる。；江戸時代には家元四家を中心としたプロ組織もでき、興隆の時期を迎えた。；幹部に昇進すれば京都に家を持ち、妻子や妾を迎えることが許された。；当時の名門家では文武両道を旨とし知的教育と並んで体育も奨励された。；著名な作曲家の墓は一か所に集められており、訪れる日本人も多い。；当時のソ連で楽譜が公に出版された唯一の日本人作曲家である。；アルキメデスもすぐには答えられず、いったん家に帰って考えることにした。；モスクを使わず、礼拝は宗教指導者の家に集まって行われることが多い。；国家国民のためにならない政治家が生まれるのは問題だ。；またこれらとは別に家兵などと呼ばれる節度使の私軍を抱えることが多い。；ユーゴー家はロレーヌの農民の出だが、父親はフランス革命以来の軍人。；いずれもバックに政治家や資本家がいて、裁定もしかねる状態であった。；一方で、各国で映画史的な研究が評論家によって精力的に行われていた。；グラミー賞はミュージシャンや音楽評論家から批判を受けることがある。；イギリスでは、批判的な活動家がロンドンにある店舗を爆破し、逮捕された。；州内からはアダムズ家やケネディ家など多くの著名政治家を輩出してきた。；独特の丸い形状の家はハインライン自身が妻と共同で設計したものである()。；被害額は当時にして約2億ドル、家を失った人は10万人に上ったという。；生まれてからしばらく、昼間のうちは親戚の家に預けられて育てられていた。；間に立ったのは布枝の母の弟で、この叔父の妻の実家が武良家の遠縁だった。；その為、沼地の多い中巨摩地域では、舟を所有していた家も多かった。；そしてその場所に巨大な家を建てさせたのである。；この家は偶然にも母の若い頃の友人宅であった。；それを聞いた宣王は急いで孟子の家まで出向き、また会えるでしょうか?；権藤英樹が事務所と使ってる家は千代田区にある旧渡邊洋治建築事務所。</t>
        </is>
      </c>
      <c r="J346">
        <f>HYPERLINK("https://www.weblio.jp/content/家", "词义详情")</f>
        <v/>
      </c>
      <c r="K346">
        <f>HYPERLINK("https://yourei.jp/家", "查看例句")</f>
        <v/>
      </c>
    </row>
    <row r="347">
      <c r="A347" t="inlineStr">
        <is>
          <t>家路</t>
        </is>
      </c>
      <c r="B347" t="inlineStr">
        <is>
          <t>成功</t>
        </is>
      </c>
      <c r="C347" t="inlineStr">
        <is>
          <t>読み方：いえじ
１わが家へ帰る道。「日暮れて—を急ぐ」
２その家の方へ行く道。
「天の川打ち橋渡せ妹(いも)が—止まず通はむ時待たずとも」〈万・二〇五六〉</t>
        </is>
      </c>
      <c r="D347" t="inlineStr">
        <is>
          <t>家路につい(18%)；家路につきまし；家路を急ぎ；家路を急ぐ人々；家路へつい</t>
        </is>
      </c>
      <c r="F347" t="inlineStr">
        <is>
          <t>それぞれ家路；名犬ラッシー家路；乗って家路</t>
        </is>
      </c>
      <c r="H347" t="n">
        <v>29</v>
      </c>
      <c r="I347" t="inlineStr">
        <is>
          <t>私は彼にうなずいて見せて、湯気の立ちはじめた川沿いに家路に向った。；だが、家路につきながらも、大自然の怒りはほとんど気にとめなかった。；つとめを終え、自転車で家路につく人の群れが道の両側をゆききしている。；外を歩いている人はほとんどおらず、彼らは家路に急いでいるふうだった。；道行く人々は誰もが口元を抑えながら、身を低くして家路を急いでいる。；元が用があつて探しに来たのでも無いのだから、その儘家路を急いだ。；元が用があつて探しに來たのでも無いのだから、その儘家路を急いだ。；そうしておいて、将校連は笑いながら、さらに家路をたどったのである。；男の子が家路に着こうと向きを変えると、頬に冷たい風をかんじました。；家路を急いでいたおすみは近道であるその場所をつい通ってしまったのだ。；しかし、家路につき、魚籠を覘けば、やはり大量の砂があるだけだった。；やっと学校が終わったとき、彼は暗い雨の中を大急ぎで家路についた。；いつでもあの坂の上に近いところへ出ると、そこに自分らの家路が見えて来る。；心なしか、本山へ向かう私達はお祭り帰りの家路につく家族を思わせた。；そして四本の線香によく火がついたのを見て、安心して家路についた。；家路も近くなったので、その信号を右とか、突き当たりを左に、とか。；見ると、あたりはすでにたそがれていたので、私は家路にむかいました。；家路につく人は 私を横目で見て笑い 私の心を 恥かしさで充たす。；子供たちがちりぢりにそれぞれ家路へと向かうと、もう空には星が出ている。；張教頭は近所の人たちとともに家路についたが、この話はそれまでとする。；彼女が僕の帰りを待っていると思うだけで、家路を急ぐ心が浮き立つ。；これに乗れば家路につくことができるのだと囁きかけてくるようだ。；涼しすぎる程の風に吹かれながら家路を急いだ時は気持がよかった。；まだかすかに陽が残っているうちに、家路につくことができた。；夜がもっと深くなれば、自分たちはぞれぞれ家路につくだろう。；外が暗くなり始めると、かれらを遊びから引き離して、家路についた。；沙都子と梨花ちゃんとはここで別れ、俺たちは家路につくことにする。；アブドル大公は我を忘れ、やがて冷たい夜風を顔に受けて家路に着いた。；その日、厚志はいくつもの痣と何がしかの自信を得て家路についた。</t>
        </is>
      </c>
      <c r="J347">
        <f>HYPERLINK("https://www.weblio.jp/content/家路", "词义详情")</f>
        <v/>
      </c>
      <c r="K347">
        <f>HYPERLINK("https://yourei.jp/家路", "查看例句")</f>
        <v/>
      </c>
    </row>
    <row r="348">
      <c r="A348" t="inlineStr">
        <is>
          <t>家出</t>
        </is>
      </c>
      <c r="B348" t="inlineStr">
        <is>
          <t>成功</t>
        </is>
      </c>
      <c r="C348" t="inlineStr">
        <is>
          <t>読み方：いえで
［名］(スル)
１帰らないつもりでひそかに家を出ること。「都会にあこがれて—する」「—人」
２外出すること。
「さびしさに—しぬべき山里を今宵の月に思ひとまりぬ」〈詞花・雑上〉
３僧になること。出家。
「世の中を憂しと思ひて—せし我や何にか帰りてならむ」〈万・三二六五〉</t>
        </is>
      </c>
      <c r="D348" t="inlineStr">
        <is>
          <t>家出娘(2%)；家出同然(2%)；家出少年；家出しよ；家出願望</t>
        </is>
      </c>
      <c r="E348" t="inlineStr">
        <is>
          <t>逃亡；失踪；蒸発；出奔；駆け落ち</t>
        </is>
      </c>
      <c r="F348" t="inlineStr">
        <is>
          <t>家出なんか；連れて家出；捨てて家出</t>
        </is>
      </c>
      <c r="G348" t="inlineStr">
        <is>
          <t>家出少女；家出の夜</t>
        </is>
      </c>
      <c r="H348" t="n">
        <v>29</v>
      </c>
      <c r="I348" t="inlineStr">
        <is>
          <t>そのため息子からは不評で、家での料理は基本的に夫人が担当している。；やがて家出から戻ってきたジョディの心は少年から大人へ成長していた。；シューマンが家で作曲しているときにはクララはピアノの練習を控えた。；母 私はもう死んだと思うとんや、家出してから二十年になるんやけえ。；仕方がなくて、家出したことがあったが、なんの解決にもならなかった。；サムの家ではダクトは見えないが、その存在は常に意識せざるを得ない。；あなた様は家出されて死んだと聞いたし、信じざるを得ませんでした。；生まれてからすぐに乳母の下に送られ、その家で一年を過ごしている。；そこに、微かながらも老師の家出の原因が解釈されてはゐないだらうか。；子供たちが家でも簡単に実験をやり直すことができるように考えられている。；姉の塔子は外ではしっかり者だが、家では妹に甘えてばかりのOLさん。；多分の母が亡くなった後、愛人を作って家出していた父が戻って来たのだ。；こんな形で、節子の家出は多くの人にかれこれ言われているのだと思う。；デイヴィスが最後の大統領声明を発したのもこのサザリンの家でだった。；パッとしない生活が続くある晩、家出中の女シン子が竜の部屋に現れる。；落語が好きで、落語家が多く住んでいる根岸に家出していたこともある。；夏、マルグリットはアルマンや友人たちと田舎の家で遊び暮らしている。；このような子供のプチ家出に似た、主婦や夫の家出も少なくないという。；ピアノを得意としており、近所の子供に家でピアノを教えている。；だが、それは春代の家出後だったので、折角の発見が何にもならなんだ。；ある日無断家出をして、郊外にかかっていた娘曲馬団に身を投じたのだ。；あそこには、家出した当時の服なんかを置きっぱなしにしてきていた。；あたしは、家出したときにはまだ幼かった弟や妹たちのことを思い出した。；先輩の顧正誼の家で元末四大家の作に触れたことに感動したからだという。；午後10時、太郎の家では太郎が見つからないことに焦りを感じていた。；しかし、その古木はチップとデールが冬を越すための家でもあったのだ。；お近さんは家出をして、どこへ行こうとしたのか、それは判りません。；タミちゃんの家出は、よく考えてみたら、このノラのようだと思ってね。；また葉タバコの生産が盛んで、ほとんどの家で一反歩ほど栽培されていた。</t>
        </is>
      </c>
      <c r="J348">
        <f>HYPERLINK("https://www.weblio.jp/content/家出", "词义详情")</f>
        <v/>
      </c>
      <c r="K348">
        <f>HYPERLINK("https://yourei.jp/家出", "查看例句")</f>
        <v/>
      </c>
    </row>
    <row r="349">
      <c r="A349" t="inlineStr">
        <is>
          <t>以下</t>
        </is>
      </c>
      <c r="B349" t="inlineStr">
        <is>
          <t>成功</t>
        </is>
      </c>
      <c r="C349" t="inlineStr">
        <is>
          <t>読み方：いか
１数量・程度・優劣などの比較で、それより下の範囲であること。数量では、基準を含んでそれより下をいい、その基準を含まないときは「未満」を使う。「室温を一八度—に保つ」「六歳—は無料」「待遇は世間並み—だ」「あいつの理解力は小学生—だ」⇔以上。
２それより後に述べること。下記。「—省略」⇔以上。
３代表となるものを含んで、それに関連するすべてのもの。「校長—教職員一同」
４「御目見(おめみえ)以下」の略。
[用法]以下・以内・未満——「以下」は、「一〇キログラム以下」「次の各号のいずれかに該当するものは、三万円以下の罰金に処する」（道路交通法）のように用いられる。いずれも数量的限定に用いられ、この場合示された数値を含む。◇「以内」は、「二時間以内」「四〇〇字以内」などと用いられる。法令用語としては、「衆議院が解散されたときは、解散の日から四十日以内に、衆議院議員の総選挙を行ひ」（日本国憲法）、「延べ面積が十平方メートル以内の物置、納屋」（建築基準法）のように用いられる。いずれも示された数値を含む。◇「未満」は、「六歳未満」「一八歳未満おことわり」「科料ハ千円以上一万円未満トス」（刑法）のように用いられる。「以内」と同じように数量的な限定に用いられるが、この場合は示された数値を含まず、それより少ない数値であることを表す。</t>
        </is>
      </c>
      <c r="D349" t="inlineStr">
        <is>
          <t>以下乗員；以下の懲役又は；以下の懲役または；以下の路線系統；以下の懲役若しくは</t>
        </is>
      </c>
      <c r="E349" t="inlineStr">
        <is>
          <t>続いて；代表として；皮切りに；筆頭に；嚆矢として</t>
        </is>
      </c>
      <c r="F349" t="inlineStr">
        <is>
          <t>メートル以下；cc以下；艦長以下；小数点以下；幕下以下</t>
        </is>
      </c>
      <c r="H349" t="n">
        <v>29</v>
      </c>
      <c r="I349" t="inlineStr">
        <is>
          <t>日本国内ではキングレコードから以下の収録メディアが発売されている。；当記事の最初で説明したように、ゲーム機には以下のような種類がある。；他に以下の呼称があるが、これらの中には定義が不明確なものも多い。；日本の株式会社に対応する英語での呼称には、以下のようなものがある。；以下の画像の楽器は18世紀フランス様式のものであり、後者に属する。；以下の表はリチャードが保存していた旅行記録に基づいたものである。；この記事によれば、このバージョンが含む大幅な強化は以下の通りである。；分類方法はさまざまであるが、たとえば以下のように分類する方法がある。；以下の環境はかつて対応されていたが、現在では公式には対応されていない。；そのため、以下に示すような非摂動論的な方法も、並行して用いられる。；パターンには以下のように開始と終了を定義するパターンもある。；その多くは有用なものであるが、中には以下のようなものも存在する。；その他ファミリーコンピュータとは異なる以下の点が評価されている。；多くの主要ウェブブラウザのUIには、以下のような共通の要素がある。；以下は理論値ではなく、ある期間の観測結果からの年間の回数である。；テキサス州の学生は数学で平均より上だが、読むことでは平均以下だった。；以下に、ルールの詳細に立ち入らない範囲で各色の特徴の一部を述べる。；ラバーを獲得したチームには以下のようなラバーボーナスが与えられる。；なお、末期の寝台列車で運用されたものの編成は以下の通りであった。；内蔵するデバイスのスピンドル数で以下のように分類されることもある。；主な海外で使用されている震度階級としては以下のようなものがある。；F1選手権への追加の検討が一度でもなされたレースイベントは以下。；様々なローカルルールが存在するが、以下は基本的なルールの紹介である。；終盤においても以下の欠点があり、利用上の問題点となるときがあった。；しかし、その意味するところはおおむね以下のように解釈されている。；ただし尊重すべき理由があるときはそれ以下の年齢でも認められる場合がある。；以下の書籍の該当頁には、類話の一部が載っているので参照されたい。；他に、以下のようなスタイルで仕様が与えられている言語もある。；そのためC言語では全く同じプログラムを以下のように書くこともできる。</t>
        </is>
      </c>
      <c r="J349">
        <f>HYPERLINK("https://www.weblio.jp/content/以下", "词义详情")</f>
        <v/>
      </c>
      <c r="K349">
        <f>HYPERLINK("https://yourei.jp/以下", "查看例句")</f>
        <v/>
      </c>
    </row>
    <row r="350">
      <c r="A350" t="inlineStr">
        <is>
          <t>意外</t>
        </is>
      </c>
      <c r="B350" t="inlineStr">
        <is>
          <t>成功</t>
        </is>
      </c>
      <c r="C350" t="inlineStr">
        <is>
          <t>読み方：いがい
［名・形動］考えていた状態と非常に違っていること。また、そのさま。「事件は—な展開を見せた」「—に背が高い」
「ベランメーに接近した彼の口の利き方にも—を呼んだ」〈漱石・明暗〉
→案外［用法］
[補説] 現在では「意外に」と同様、「意外と知られていない事実」のように「意外と」の形も用いられる。
[派生]いがいさ［名］</t>
        </is>
      </c>
      <c r="D350" t="inlineStr">
        <is>
          <t>意外なほど(4%)；意外そう(2%)；意外なところ；意外に早く；意外な事実</t>
        </is>
      </c>
      <c r="E350" t="inlineStr">
        <is>
          <t>突然；不意；異様；驚くべき；唐突</t>
        </is>
      </c>
      <c r="F350" t="inlineStr">
        <is>
          <t>意外な結末；意外にあっさり；意外な方向；意外な光景；意外な出来事</t>
        </is>
      </c>
      <c r="G350" t="inlineStr">
        <is>
          <t>意外性；意外にマンゴー</t>
        </is>
      </c>
      <c r="H350" t="n">
        <v>29</v>
      </c>
      <c r="I350" t="inlineStr">
        <is>
          <t>その少女は今まで誰も気に留めていなかったような、意外な人物だった。；成り行きでしーのが説得することになったが、しーのは意外な事を知る。；あるいは意外の幸運に心も躍って道の遠いのも知らずにゆく人もあろう。；同賞審査員の松尾羊一は若者層から意外な支持があったと分析している。；大きな存在だった姉の意外な真実を知った彼女の大人への成長を綴る。；だれも意外なような顔をしながら心の中ではそれを信じようとした。；意外にも、公式なロシア語版が作成されたのはこれが初めてのようである。；初めてその女房の顔を見た時、彼は意外に思ったことを覚えている。；僕はなんの装飾もない僧房を想像していただけにちょっと意外に感じました。；僕は何の装飾もない僧房を想像してゐただけにちよつと意外に感じました。；意外にも、本作が全曲ドイツ語で録音された最初のアルバムとなった。；古代ギリシアでは、意外なことにほとんどトイレには気を配らなかった。；危険な町に潜む武闘家たちを倒していくうちに意外な事実がわかってくる。；意外にも実弟からは好印象であったが、誰も二人が交際していると知らず。；野球場で行われた意外なスポーツとして話題になるのが本大会である。；だが玉手はその手を押さえ、刀が刺さったままで意外なことを物語った。；その新聞にこんな記事が現われるのは意外でもあり当然でもあった。；このような状況にあった新生チックスに意外なところから助け舟が来る。；パワーファイターに見られがちだったが意外にもテクニシャンであった。；その時見えた戸外の物が、ソロドフニコフには意外なやうな心持がした。；広子は年ごろの妹に恋愛問題の起ったことは格別意外にも思わなかった。；後に変則タイプで知られるようになった平は意外にも基本を徹底的に行った。；意外な方向での授業が展開し、レイゴーと生徒たちに交流が生まれる。；が、己にはその返事の容易だったのが、意外だったばかりではない。；意外なことに春の時点では、気象庁もこの猛暑を予測していなかった。；もう一つは、現代の目から見れば意外な事に高速機としてであった。；動きは意外にもすばやく時には岩から離れ泳いで別の岩に移動する。；また、漁意外にも、日常の荷物運搬等に欠かせない生活の足でもあった。；意外なのは空港を訪れた人たちのほうであるが、それが人気の大きな理由となった。</t>
        </is>
      </c>
      <c r="J350">
        <f>HYPERLINK("https://www.weblio.jp/content/意外", "词义详情")</f>
        <v/>
      </c>
      <c r="K350">
        <f>HYPERLINK("https://yourei.jp/意外", "查看例句")</f>
        <v/>
      </c>
    </row>
    <row r="351">
      <c r="A351" t="inlineStr">
        <is>
          <t>いかが</t>
        </is>
      </c>
      <c r="B351" t="inlineStr">
        <is>
          <t>成功</t>
        </is>
      </c>
      <c r="C351" t="inlineStr">
        <is>
          <t>読み方：いかが
《「いかにか」の音変化》
［形動］［文］［ナリ］成り行きや結果を危ぶむさまを表す。どのよう。「その考え方は—なものか」
［副］
１状態・意見などについてたずねるさま。どう。どのように。「御機嫌—」「この件は—いたしましょうか」
２事の成り行きについて疑問をさしはさむ気持ちを表す。どう。どんなもの。「その案は—かと思う」
３相手を誘ったり、相手に勧めたりする気持ちを表す。どうですか。「お一つ—」「あなたも御一緒に—」
４疑問を表す。どのように…か。
「—言ひやるべきと、近う居給ふかぎりのたまひあはせて」〈枕・三五〉
５反語の意を表す。どうして…か。
「かくばかり逢ふ日の稀になる人を—つらしと思はざるべき」〈古今・物名〉
６どう言ったらよいかわからないほどの意で、強調する気持ちを表す。どんなにまあ。さぞかし。
「かかる物に捨てられぬといはれむは、—いみじかるべき」〈落窪・二〉</t>
        </is>
      </c>
      <c r="D351" t="inlineStr">
        <is>
          <t>いかがなものでしょ；いかがなもん；いかがな工合でしょ；いかがでしたろ；いかがさま</t>
        </is>
      </c>
      <c r="E351" t="inlineStr">
        <is>
          <t>如何；如何に；どうですか；どうでしょうか；如何ですか</t>
        </is>
      </c>
      <c r="F351" t="inlineStr">
        <is>
          <t>たらいかがでしょ；工合いかが；いかがな工合；一服いかが；なんかいかが</t>
        </is>
      </c>
      <c r="G351" t="inlineStr">
        <is>
          <t>いかがわし；いかがわしく；いかがわしき；いかがわしかろ；いかがわしけれ</t>
        </is>
      </c>
      <c r="H351" t="n">
        <v>29</v>
      </c>
      <c r="I351" t="inlineStr">
        <is>
          <t>わたし自分の仕事にもどったほうがいいと思いますが、いかがでしょう?；情濃やかなる君にしてこの子を失われた時の感情はいかがであったろう。；今からでも遅くはありませんから、お戻りになられてはいかがでしょう。；そのほうがあの方のためにもなると思うのですけれど、いかがでしょうか?；ともかくこれまで書かれた創作のほうの仕事を発表されたらいかがですか。；「少し強くやってみるようにしてはいかがでしょう」と猟場番はいった。；ところで、またしても二本立てで登場ですが、いかがなものでしょうか?；パードレも時間の余裕があれば一度やって御覧になってはいかがかな。；お答えにくい質問ではないと思いますが、いかがなものでしょうか?；議論の最中であるならあなたも参加してみてはいかがでしょう。；そのようなところへ交じるのは、後に世間の聞えもいかがでしょうか。；本屋はたくさんありますから、帰り間際にお買いになったらいかがです?；わたしはそう思ったのですが、ホームズさんのお考えはいかがですか?；父親の意向というものをこの会議でまったく無視するのはいかがなものか?；彼らのうち何人かにレンズマンのテストを受けさせてはいかがです?；いかがです、お掛けになって、今しばらく、僕らのところにいませんか。；「奥様の具合はいかがですか」 他に話題もなく、わたしはそう尋ねた。；こんどは会衆のほかの人たちがいかがでしょうかと誘いを受けました。；もし道路がまだ安全でしたら、オレンブルグへ送られてはいかがでしよう。；それにしても今夜はここにお泊りになってはいかがでございますか。；だが、ぼくはそれほどのことでもあるまいと思うんですがね、いかがですか?；それとも、お庭のほうへおこしくださいましてはいかがでございましょう?；ですから、わたくしはそこに、娘の住居を定めてはいかがかと存じます。；ご自分が経験されたことの一覧表を作ってみられたらいかがです?；それでもだめだったら、そのときに対策を考えたらいかがでしょう?；ちょっとお店で休憩されてはいかがですか、いうことになったんや。；当時は、少人数バンドの大会をやるのはいかがなものかと言われた。；とにかく、蟹田行のバスが出るまで、私の家で一休みしたらいかがです。；田舎ではすっかり呆けたようにしていらしたけれど東京ではいかがでしょう。</t>
        </is>
      </c>
      <c r="J351">
        <f>HYPERLINK("https://www.weblio.jp/content/いかが", "词义详情")</f>
        <v/>
      </c>
      <c r="K351">
        <f>HYPERLINK("https://yourei.jp/いかが", "查看例句")</f>
        <v/>
      </c>
    </row>
    <row r="352">
      <c r="A352" t="inlineStr">
        <is>
          <t>威嚇</t>
        </is>
      </c>
      <c r="B352" t="inlineStr">
        <is>
          <t>成功</t>
        </is>
      </c>
      <c r="C352" t="inlineStr">
        <is>
          <t>読み方：いかく
［名］(スル)威力をもっておどすこと。「牙(きば)をむいて—する」「—射撃」</t>
        </is>
      </c>
      <c r="D352" t="inlineStr">
        <is>
          <t>威嚇するよう(9%)；威嚇的(8%)；威嚇行動；威嚇音；威嚇効果</t>
        </is>
      </c>
      <c r="E352" t="inlineStr">
        <is>
          <t>脅威；脅し；威；脅かす；脅かし</t>
        </is>
      </c>
      <c r="F352" t="inlineStr">
        <is>
          <t>あげて威嚇；軍事的威嚇；広げて威嚇；威嚇しよ；振り上げて威嚇</t>
        </is>
      </c>
      <c r="G352" t="inlineStr">
        <is>
          <t>威嚇行為；威嚇攻撃；威嚇発砲</t>
        </is>
      </c>
      <c r="H352" t="n">
        <v>29</v>
      </c>
      <c r="I352" t="inlineStr">
        <is>
          <t>そのような状況でも着剣していれば相手に対して威嚇効果が期待された。；戦闘機が接近して威嚇することもなくなったから、戦争にはならないな。；そして言葉遣いにも注意なさらんと、人を威嚇していると思われますぞ。；源氏は友人に威嚇されたことを残念に思いながら宿直所で寝ていた。；これは眼状紋が目立つ姿勢であり、威嚇の意味があると考えられている。；しかし四人の異邦人は、そんな威嚇を意にもかいしていない様子だった。；黙々と足音を忍ばせている動作には、何か威嚇的で不吉なものがあった。；危険を感じると、全身の毛を逆立て体を大きく見せることで威嚇をする。；また手で持たなくても威嚇中は良く噛みついてくるので、注意が必要。；また、用もないのに店に長居する邪魔な来店者への威嚇にも使われていた。；頭部には威嚇から通信までの発光が行えるディスプレイを搭載している。；人の性はこの一連の思考を威嚇的であり、また単なる力の浪費だと判断する。；外敵に襲われた場合などは尾を揺らしながら上げ音を出して威嚇する。；ただし、この争いは相手の殺害が目的ではなく、威嚇を重視したものである。；外敵に襲われると尾を丸めて震わせて尾に注意を向ける威嚇行動を取る。；危険を感じると口を開け喉の皮膚を広げて威嚇する種もいる。；男は爆弾を持っていると威嚇していたが爆発物は発見されなかった。；コブラはトビトカゲと同様に肋骨を広げて威嚇行動を取ることが出来る。；単なる威嚇に過ぎず、イギリスに本気で戦争を起こすつもりはないと考えていた。；そこに赤い爪と舌で威嚇する金の獅子が中央線から半身を現している。；貴様はしきりと威嚇したが、その苦痛その責苦はいったいどこにあるか。；あの威嚇的な低音が、レコードではデリケートな柔かさを持っていない。；上部は分割線の上を歩き、こちらを向いて青い舌と青い爪で威嚇する金の獅子。；しかしその綱の端が例の変な男に手渡されると、彼は威嚇するように唸つた。；また頭の毛は警戒状態になると静電気を帯びて威嚇音を発すると言われている。；互いに自分に自信を持っているので、威嚇に威嚇を重ねているのだ。；威嚇を伴うものを罵声、そうではないものをやじだとする分類もある。；が、そうもいかないので仕方なく、まだ威嚇的な調子の消えない口調で言った。；やることといっても、実際には威嚇程度にしかならないだろう。</t>
        </is>
      </c>
      <c r="J352">
        <f>HYPERLINK("https://www.weblio.jp/content/威嚇", "词义详情")</f>
        <v/>
      </c>
      <c r="K352">
        <f>HYPERLINK("https://yourei.jp/威嚇", "查看例句")</f>
        <v/>
      </c>
    </row>
    <row r="353">
      <c r="A353" t="inlineStr">
        <is>
          <t>医学</t>
        </is>
      </c>
      <c r="B353" t="inlineStr">
        <is>
          <t>成功</t>
        </is>
      </c>
      <c r="C353" t="inlineStr">
        <is>
          <t>読み方：いがく
人体や病気の本態を研究し、病気の予防・治療を行い、健康を維持するための学問。基礎医学・臨床医学・社会医学からなる。</t>
        </is>
      </c>
      <c r="D353" t="inlineStr">
        <is>
          <t>医学的(16%)；医学界(3%)；医学研究(3%)；医学上；医学雑誌</t>
        </is>
      </c>
      <c r="E353" t="inlineStr">
        <is>
          <t>医；医術；医科；医道；刀圭</t>
        </is>
      </c>
      <c r="F353" t="inlineStr">
        <is>
          <t>近代医学；医学関係；医学的知識；ドイツ医学；医学文献</t>
        </is>
      </c>
      <c r="G353" t="inlineStr">
        <is>
          <t>医学者；医学博士；医学生；医学書；医学校</t>
        </is>
      </c>
      <c r="H353" t="n">
        <v>29</v>
      </c>
      <c r="I353" t="inlineStr">
        <is>
          <t>これは明治時代の日本が主にドイツから医学を学んだことの影響である。；これは 医学を学ぶにあたり、より高度な知識が必要となるためである。；またこの絵にみられる実験や観察は医学に大きな発展をもたらした。；歴史以外にも医学、天文学、数学の価値を評価し、建築に関心を示した。；しかし、彼が医学的に完全に健康であったと考えることもまた不可能ではない。；医学的な知識はもちろんのこと、臨床疫学や統計学の知識が求められる。；こうした研究手法は他分野にも輸出され、医学などでも用いられるようになった。；師のカレンは1755年にエディンバラ大学の医学の教授となっていた。；研究や教育のための知識体系としての医学は、次のように分類されている。；その中の幾つかは医学界からは疑わしいとされている物もある。；医学的に標準と考えられる治療法以外の治療法を患者が選択することがある。；なおこれらの伝統医学は各地で現在でも用いられており、現役の医学である。；医学関係の記事に共通のテンプレートのようなものはありません。；その頃佐八郎は東京で医学の勉強をするべく上京を考えていた。；「生理学および医学の分野で最も重要な発見を行った」人物に与えられる。；そのパンデミックの言葉は、医学的にも歴史的にも不適切な使用であった。；はカナダで最も大きな医学歴史の図書館であり、世界で最も広い図書館の一つである。；病気を分類することは容易ではなく、またその分類は医学の変化に伴い頻繁に変更される。；その他のカレッジ機関には、特に医学や関連専門職の専門職団体がある。；適応主義的アプローチは近年では医学や心理学にも応用されつつある。；医学では、いくつかのが抗がん剤や抗ウイルス薬として利用されている。；第二次世界大戦前には日本へ国費で留学生を送り医学を学ばせていた。；近未来を舞台にした小説では、医学や科学の知識を基盤としている。；この研究では、いくつかの潜在的に価値のある医学的応用が強調されているている。；しかし、現在では一般に、医学的背景ではなく、文化的背景で判断される。；成人向けのメディアでは医学的な半陰陽と思われる表現はほぼ皆無である。；少年時代、母親の命をある医師が救ってくれたことから医学の道を志した。；パラケルススは錬金術の知識を医学に応用し、人間の健康を守る薬を求めた。；この説の起源は明らかでないが、医学関係者は否定している。</t>
        </is>
      </c>
      <c r="J353">
        <f>HYPERLINK("https://www.weblio.jp/content/医学", "词义详情")</f>
        <v/>
      </c>
      <c r="K353">
        <f>HYPERLINK("https://yourei.jp/医学", "查看例句")</f>
        <v/>
      </c>
    </row>
    <row r="354">
      <c r="A354" t="inlineStr">
        <is>
          <t>活かす</t>
        </is>
      </c>
      <c r="B354" t="inlineStr">
        <is>
          <t>成功</t>
        </is>
      </c>
      <c r="C354" t="inlineStr">
        <is>
          <t>読み方：いかす
［動サ五（四）］
１いったん息絶えたものを生き返らせる。蘇生(そせい)させる。「溺れた人を人工呼吸で—・す」
２死なないようにする。命を長らえさせる。「魚をいけすに入れて—・しておく」
３有効に使う。活用する。「長年の経験を—・す」「廃物を—・す」「素材を—・して料理する」
４一度消した文や字句などを復活させる。「元の文章を—・す」
[可能]いかせる</t>
        </is>
      </c>
      <c r="D354" t="inlineStr">
        <is>
          <t>活かすべく(4%)；活かすべき</t>
        </is>
      </c>
      <c r="E354" t="inlineStr">
        <is>
          <t>利用する；運用する；活用する；生かす；応用する</t>
        </is>
      </c>
      <c r="H354" t="n">
        <v>29</v>
      </c>
      <c r="I354" t="inlineStr">
        <is>
          <t>したがって当時の海軍では無線装置の機能は十分活かされていなかった。；近年ではハスキーボイスを活かした少年役などで活躍の場を広げている。；この時形成された親近感は、後の物語の展開で活かすことも可能である。；現在のコメディの仕事に、子供時代や仕事上での経験が活かされている。；音楽活動は現在でもつづけており、その才能は舞台でも活かされている。；豊富なソ連旅行の経験を活かし、ロシア地域研究所で修士号を取得した。；機械製品を美しくするためには、もっと人間さが活かされねばならない。；つまり、自然でない営業写真の顔や姿をそのまま活かそうとしたのだ。；それぞれが自分のタレントとしての個性も活かしながら役を演じている。；そこで自分を磨き、今の僕の知識をさらに活かすことを夢見ているのだ。；余裕のある空間を活かしてニューシャトルに関連した展示がなされている。；このシーンはユーモアを活かすため底抜けに明るい笑顔で描かれている。；全日本プロドリフト選手権では車重の軽さを活かした走りを見せている。；このことは、後の惑星間探査機でも飛行計画や軌道の決定に活かされた。；飛び道具技を持ち、上記の特性を活かした通常技のリーチが非常に長い。；これでは非力なエンジンの性能を十分に活かすことができなかったのである。；ああいうものは引用して活かすべきですが、それは出来にくかったから。；とはいっても、豪輔の計画が百パーセント活かされたとは思えなかった。；これらの交通の便を活かし、工業団地の開発などを積極的に行っている。；学年誌での設定に基づくが、すべてが現在も活かされているとは限らない。；数多の柱列を充分活かすだけの直線の延長が足りないとでも説明すべきなのか。；また近年では自身の音楽知識を活かしアーティストとのトークも行っている。；ただ京都のような周囲では、それをまともに活かすこと困難なのなり。；しかし、小型機の爆破訓練はこの後の任務に活かされることとなった。；この時代の多くのオペラは特別の歌手たちの魅力を活かすために書かれていた。；基礎心理学の知見を活かして現実生活上の問題の解決や改善に寄与する。；これだけの巨大技術を手にしながら、人類はそれを活かすことができなかった。；幼い頃から兄と徒競走をしていた為足が速く、ドライブに活かせている。；ここで発表された技術が多くの3DCGソフトの開発に活かされる。</t>
        </is>
      </c>
      <c r="J354">
        <f>HYPERLINK("https://www.weblio.jp/content/活かす", "词义详情")</f>
        <v/>
      </c>
      <c r="K354">
        <f>HYPERLINK("https://yourei.jp/活かす", "查看例句")</f>
        <v/>
      </c>
    </row>
    <row r="355">
      <c r="A355" t="inlineStr">
        <is>
          <t>生かす</t>
        </is>
      </c>
      <c r="B355" t="inlineStr">
        <is>
          <t>成功</t>
        </is>
      </c>
      <c r="C355" t="inlineStr">
        <is>
          <t>読み方：いかす
［動サ五（四）］
１いったん息絶えたものを生き返らせる。蘇生(そせい)させる。「溺れた人を人工呼吸で—・す」
２死なないようにする。命を長らえさせる。「魚をいけすに入れて—・しておく」
３有効に使う。活用する。「長年の経験を—・す」「廃物を—・す」「素材を—・して料理する」
４一度消した文や字句などを復活させる。「元の文章を—・す」
[可能]いかせる</t>
        </is>
      </c>
      <c r="D355" t="inlineStr">
        <is>
          <t>生かすべく(2%)；生かすべき；生かすか殺す；生かす形で直線</t>
        </is>
      </c>
      <c r="E355" t="inlineStr">
        <is>
          <t>励起</t>
        </is>
      </c>
      <c r="F355" t="inlineStr">
        <is>
          <t>最大限生かす；そのまま生かす</t>
        </is>
      </c>
      <c r="H355" t="n">
        <v>29</v>
      </c>
      <c r="I355" t="inlineStr">
        <is>
          <t>天の与えた自然の味を確認し、これを充分に生かすことを考えて欲しい。；戦場で殺さずに、学問の場でその才能を生かさせてやりたかったと思う。；かれらは、生まれてくる子供を生かすか否か決定する権限を持っている。；将来の日本画はこの装飾または想像の美術の上に生かされるべきである。；この二人の経験は本シリーズの多くのストーリー展開に生かされている。；ここへはいったが最後、お前たちを生かすのも殺すのも、わしの自由だ。；今はこちらが知っていて相手が知らないことを、最大限に生かすときだ。；またこの特性を逆手に取って生かしたユニークな作品が多く作成された。；彼女はそれに期待して、わたしを生かさねばならないと考えたのだろうか。；かつて繊維産業が多かったのも豊富な地下水を生かしてのものであった。；父親に怯えているときには、その魔力が十分生かされていたとは思えぬ。；また、この茶の栽培経験は後にコーヒーの栽培に生かされることになった。；生かすも殺すも思うままに、死刑囚の生命を握っているのは国家である。；彼の死後も、彼の開拓した技術はヘリコプターの開発などに生かされた。；そうした選手の心を掌握することが、試合での采配にも生かされている。；ここの人々は山の恵みに目を開かされ、生かされてきたともいえます。；このようにして得られた経験は、後にイタリアの路線の電化に生かされた。；この例は、スミスが故郷で幼い時に見た経験が生かされていると言われる。；そのときは失敗したが、こんどはその経験を生かす必至の策をもっていた。；過去は現在によつて生かされ、現在の立場から新たに獲得されねばならぬ。；自分の高さと強さを生かすことがチームの戦術となっていたんです。；伝統思想を今日に新しく生かす方法を見いだすことができるかどうか。；主流の中にあっては自分は生かされない、と油揚げは考えたのである。；海軍の戦訓を生かすためには、何よりも研究部門を重視すべきである。；思想は、そのような自然言語の潜在的可能性を十分に生かそうとします。；交通の便の良さを生かして以前より企業・大学誘致に力を注いでいる。；しかしその才能を生かす場がないことから、鬱屈とした日々を送っていた。；本来第一に殺すべきであるこの3柱を生かしたのには理由があった。；それは人を生かす力ではなく、殺す道具として作られているのだもの。</t>
        </is>
      </c>
      <c r="J355">
        <f>HYPERLINK("https://www.weblio.jp/content/生かす", "词义详情")</f>
        <v/>
      </c>
      <c r="K355">
        <f>HYPERLINK("https://yourei.jp/生かす", "查看例句")</f>
        <v/>
      </c>
    </row>
    <row r="356">
      <c r="A356" t="inlineStr">
        <is>
          <t>いかなる</t>
        </is>
      </c>
      <c r="B356" t="inlineStr">
        <is>
          <t>成功</t>
        </is>
      </c>
      <c r="C356" t="inlineStr">
        <is>
          <t>読み方：いかなる
［連体］《動詞「いかなり」の連体形から》「いかな」に同じ。「—ことがあろうとも驚かない」</t>
        </is>
      </c>
      <c r="D356" t="inlineStr">
        <is>
          <t>いかなるもの(5%)；いかなる場合(3%)；いかなる理由；いかなる意味；いかなる種類</t>
        </is>
      </c>
      <c r="E356" t="inlineStr">
        <is>
          <t>どんな；どのような；如何なる</t>
        </is>
      </c>
      <c r="F356" t="inlineStr">
        <is>
          <t>他のいかなる；いかなる人間；いかなる国；いかなる状況；いかなる人物</t>
        </is>
      </c>
      <c r="H356" t="n">
        <v>29</v>
      </c>
      <c r="I356" t="inlineStr">
        <is>
          <t>その一方で、彼はチームとはいかなるものかをしっかりと理解している。；しかし、いつの時代にいかなる経緯で移転に至ったものかは不明である。；いかなる産業であれ永久に操業できなくさせる方法も私は知っています。；いかなる実験も、作品が完成する前に行なわれていると考えたためである。；いかなる方法を用いても死ぬことがないことからアンデッドと命名された。；この後、この共通祖先がいかなる生物であるか、多くの提案がなされた。；一体いかなる力が働いてこの二人に運命的な人生のレールが敷かれたのか?；彼が、いかなる方法、いかなる物質を使って作り出したかは不明である。；このような心をもつ限り、いかなる教えも自心は受け付けることはない。；また研究のためいかなる人がそこで研究することを申し込んでも拒否しない。；ただしパーフェクト勝利時の場合はいかなる場合でも優先的にPとなる。；いかなる国家社会においても、大学は最高の研究・教育の機関である。；いかなる文字も、異なる文字体系で記された言語を表記することは難しい。；主系列星の場合はいかなる温度であってもメタンの吸収は見られない。；そしていかなる形態でも動物を使用することに反対している。；これらの生物の角の表面がいかなる状態であったかは化石からは判明していない。；しかしながら彼らをいかなる窓の近くにもおいてはならない。；ホフマンによると、それは「いかなる事態でももたらしうる」力である。；また、いかなる案であってもジュンだけは不動の同行者となっていた。；これらは当時のいかなる水雷艇よりも大型・強力であり、かつ高速であった。；我々の安全を脅かす者はいかなる個人及び集団も容赦なく討ち果される。；そして、いかなる運動の作用も、この四運動に含まれるとしている。；生身の体ではないため、いかなる衝撃を受けようとも死ぬことはない。；初出走後はいかなる理由があっても、変更することはできない。；現在のいかなる科学でも波動の存在を証明できておらず、疑似科学である。；例えば、金、財産に対するいかなる行動も死罪になるようになっている。；また、首相は王意を考慮するいかなる義務も有しないとされる。；ただし、博士課程のための試験は、いかなる人物であれど必ず課される。；つまり、日本はいかなる思想も物もそれを選択する場合に個人の意志では出来ません。</t>
        </is>
      </c>
      <c r="J356">
        <f>HYPERLINK("https://www.weblio.jp/content/いかなる", "词义详情")</f>
        <v/>
      </c>
      <c r="K356">
        <f>HYPERLINK("https://yourei.jp/いかなる", "查看例句")</f>
        <v/>
      </c>
    </row>
    <row r="357">
      <c r="A357" t="inlineStr">
        <is>
          <t>いかに</t>
        </is>
      </c>
      <c r="B357" t="inlineStr">
        <is>
          <t>成功</t>
        </is>
      </c>
      <c r="C357" t="inlineStr">
        <is>
          <t>読み方：いかに
［副］
１状態などについての疑問を表す。どのように。どんなふうに。「人間、—生くべきか」「彼の運命や—」
２程度などについて推量する気持ちを表す。どれほど。どんなに。「—大きな打撃を受けたか誰にもわかるまい」
３（あとに「ても」などの語を伴って）逆接の意味を強める。どんなに。「—苦しくてもがんばる」
４原因・理由などについての疑問を表す。なぜ。どうして。
「—思ひ始めける事にか」〈更級〉
５反語を表す。どうして…か。
「—かかる所にはおはしまさむずる」〈堤・はいずみ〉
［感］人に呼びかけるときに用いる語。おい。もしもし。
「—、祇王御前、ともかうも御返事を申せかし」〈平家・一〉</t>
        </is>
      </c>
      <c r="D357" t="inlineStr">
        <is>
          <t>いかに多く；いかに大きな；いかに生きる；いかにすべき；いかにすれ</t>
        </is>
      </c>
      <c r="E357" t="inlineStr">
        <is>
          <t>いくら；如何；どうにか；どれほど；如何に</t>
        </is>
      </c>
      <c r="F357" t="inlineStr">
        <is>
          <t>いかに美しく；いかに美しい；いかに生くべ；いかに工藝；いかに勇敢</t>
        </is>
      </c>
      <c r="G357" t="inlineStr">
        <is>
          <t>いかにんじん</t>
        </is>
      </c>
      <c r="H357" t="n">
        <v>29</v>
      </c>
      <c r="I357" t="inlineStr">
        <is>
          <t>このような場合に権利・義務関係をいかに処理すべきかが問題とされる。；このように陸台両地域の貿易関係がいかに密接になっているかが分かる。；最前線にいた将校はロンメルにいかに状況が絶望的であるかを報告した。；人間の魂がいかにして神に至るかをディオニュシオスは終始問題にする。；ICプレイヤーの故障をいかにしてなくすかが大きな課題となっている。；事あるごとに自分がいかにヒトラーやナチスと無縁であるかを強調した。；男性と女性との性差を確認し、いかにして赤ん坊が生まれるかを認める。；そのため、ノウハウの財産性をいかに保持するかという点が重要である。；いかに自分に有利で他人に不利な状況を作るかで頭を悩ませることになる。；この場面で彼がいかに重要なキャラクターの一人であることが痛切にわかる。；いかに一致団結して邁進するか、いかにチームのために自分を殺すかだ。；いかに叩き込んだところで消化が出来なければ国民の栄養にはなるまい。；これは PP に属する問題を解くのがいかに困難であるかの証拠である。；これら現業員の質をいかに高めるかについても大きな課題となっている。；女はいかにして女になっていくのか、女にならざるをえないのか。；いかに着ぐるみを人間の体型から遠ざけるかをテーマにデザインされた。；その後彼がいかにして犯罪者の道を歩むことになったのか語られてはいない。；経験的な証拠を異なって解釈することからいかに科学的な論争が巻き起こるか。；いかにして妻を口説いたのかは同僚の間でも大きな謎とされている。；なお、時代の経過とともに建設費がいかに上昇したかは次の例で表される。；既に知られている事実がいかに多くとも、別の解釈の可能性がそこには残っている。；支配者たちは、都市と市場の戦略的状況をいかに活用するかを知っていた。；私が幼い頃プロイセンがいかに貧弱だったかは貴方達も知っているだろう。；よって、いかに胴体を鉄棒に近付けることができるかが重要な点となる。；一方で赤色空軍は搭乗員の練度の低下をいかに防ぐかが問題となっていた。；ルシェロはこの失われやすい臼歯部をいかに磨くかを追求し設計された。；こんなことしなければならないのは日本の作戦指導がいかにまずいかを表している。；この経験から彼はメディアがいかに大切であるかを理解。；大学で研究したことは、いかにしてデータをPEにばらまくかである。</t>
        </is>
      </c>
      <c r="J357">
        <f>HYPERLINK("https://www.weblio.jp/content/いかに", "词义详情")</f>
        <v/>
      </c>
      <c r="K357">
        <f>HYPERLINK("https://yourei.jp/いかに", "查看例句")</f>
        <v/>
      </c>
    </row>
    <row r="358">
      <c r="A358" t="inlineStr">
        <is>
          <t>いかにも</t>
        </is>
      </c>
      <c r="B358" t="inlineStr">
        <is>
          <t>成功</t>
        </is>
      </c>
      <c r="C358" t="inlineStr">
        <is>
          <t>読み方：いかにも
［連語］《「も」は係助詞》
１程度・状態のはなはだしいことを表す。どう考えても。全く。実に。「—残念そうだ」
２相手の考えを強く肯定する意を表す。なるほど。確かに。「—、おっしゃるとおりです」「—、私が本人です」
３まさしく。さも。「—君らしい」「—本物らしくみえる」
４（あとに打消しの語を伴って）どうしても。けっして。
「東国北国のいくさ—しづまらず」〈平家・七〉
５困難であるが実現させたいという気持ちを表す。なんとかして。ぜひ。
「—大事を残さず伝へて平家を討たん」〈謡・鞍馬天狗〉
６状態・手段などを特に限定せず、漠然と認める気持ちを表す。どのようにでも。
「ただ—のたまはするままに」〈和泉式部日記〉
７（「いかにもなる」の形で）死ぬことの遠回しな言い方。
「われ—なりなん後は」〈平家・六〉</t>
        </is>
      </c>
      <c r="D358" t="inlineStr">
        <is>
          <t>いかにも楽し；いかにも嬉し；いかにもうれし；いかにももっとも；いかにもふさわしい</t>
        </is>
      </c>
      <c r="E358" t="inlineStr">
        <is>
          <t>大きく；実際；非常に；まったく；全く</t>
        </is>
      </c>
      <c r="F358" t="inlineStr">
        <is>
          <t>いかにも重；いかにも美しい；いかにも寒；一見いかにも；いかにも屈託</t>
        </is>
      </c>
      <c r="H358" t="n">
        <v>29</v>
      </c>
      <c r="I358" t="inlineStr">
        <is>
          <t>そしていかにも不思議なことには、それがしばしば成功したのであった。；芝居がまたいかにもわたしのあほうさの底が知れないようにできていた。；茫漠とした海の男への繋りをいかにもはっきりと娘は自分の心に感じた。；それはいかにも二ひきの犬の間に言い合いが始まっているように見えた。；節が出京すると云うてくる先生はいかにもそれを待ち楽しんだ様であった。；いかにも、その魔法的効果に至っては、絶大なものに違いありますまい。；いかにも鐘鳴器室で気を失いました際には、鎧通しを握っておりました。；いかにも血なまぐさい事件のあった家らしく、陰惨な空気が満ちていた。；いかにも俺が艦長の命令を自分勝手に変更したようなことになって具合が悪い。；私は答えようもなく、いかにも芸のなさそうな顔をして、黙っていた。；理由の一つは、いかにも武器然とした外観が人々に威圧感を与えること。；いかにも相手を靴のなかまで戦慄させようと、練りに練った文章だった。；いかにもそれが頼りなささうで撲つたとは云へない位のものだつた。；なぜといえば、その老人の顔がいかにも奇妙な顔だったからです。；真偽のほどは定かではないが、いかにも三人の性格をよく捉えた話である。；いかにも、かなしさに咽んでいるようで、ある美しささえ持っています。；いかにも自然なその言いぶりや挙動で、店員は別に怪しみもしなかった。；その顔色は惨として、いかにも危難がその身に迫っているらしく見えた。；給仕の態度はいかにも秘密の味を運んで来たもののようである。；もっと前にお前がこの事をすっかり私に話さなかったのはいかにも不幸な事であった!；それがこどもらの手につかまれるようになっては、いかにもなさけない。；物を喰い喰い道を歩いているところなどを見るといかにも下品である。；するとそれが先方には、いかにも殊勝げに見えたのでございましょう。；それはなにもかもがいかにも軽率な判断に過ぎなかったからとするの他はないのである。；それは一つには家自身のいかにも瀟洒としているためだった。；その前の畑には、いかにも雨に濡れた黄の菜の花が咲き群れていた。；が、当の玄竜はいかにも得意そうににたにたと悦に入っていたのである。；左千夫先生のことを憶うと、私にはいかにも懐かしい気分が湧いてくる。；彼女はとうとう目をつぶったまま、いかにも静かに死んだらしかった。</t>
        </is>
      </c>
      <c r="J358">
        <f>HYPERLINK("https://www.weblio.jp/content/いかにも", "词义详情")</f>
        <v/>
      </c>
      <c r="K358">
        <f>HYPERLINK("https://yourei.jp/いかにも", "查看例句")</f>
        <v/>
      </c>
    </row>
    <row r="359">
      <c r="A359" t="inlineStr">
        <is>
          <t>怒り</t>
        </is>
      </c>
      <c r="B359" t="inlineStr">
        <is>
          <t>成功</t>
        </is>
      </c>
      <c r="C359" t="inlineStr">
        <is>
          <t>読み方：いかり
おこること。いきどおり。立腹。「—がこみあげる」「世間の—を買う」</t>
        </is>
      </c>
      <c r="D359" t="inlineStr">
        <is>
          <t>怒り出し；怒り出す；怒りだす；怒り状態；怒りやすく</t>
        </is>
      </c>
      <c r="E359" t="inlineStr">
        <is>
          <t>苦笑；激怒；呆れ；憤慨；憤り</t>
        </is>
      </c>
      <c r="F359" t="inlineStr">
        <is>
          <t>お怒り；はげしい怒り；強い怒り；やり場のない怒り；激しく怒り</t>
        </is>
      </c>
      <c r="G359" t="inlineStr">
        <is>
          <t>怒りっぽい；怒りっぽく；怒りの声；怒り狂う；怒り狂い</t>
        </is>
      </c>
      <c r="H359" t="n">
        <v>29</v>
      </c>
      <c r="I359" t="inlineStr">
        <is>
          <t>患者らからも怒りや悲しいという声が寄せられたと述べておられました。；怒りが動機ではなく、金銭など利益の取得を目的としたクレームもある。；加えて宮殿外でも一部の民衆や元老院が皇帝への不満と怒りを高めていた。；医師たちが意見をすると激しく怒り、処罰する寸前に至ることもあった。；私の家族は私の身に起こったことについて罪悪感と怒りに耐えていました。；学生組織が青年のエネルギーと怒りを政治的な抵抗に向けた。；他の女と一緒に住むと、そのうちに怒りだし、毒を吐いてしまうでしょう。；恋愛感情や怒りのような高ぶる感情はしばしば火や炎にたとえられる。；これらの兄の無神経な行動にエドゥアルトは激しい怒りを抱いていたという。；結局これはイエズス会から止められたが、藤広の怒りを買う結果となった。；石虎はこれを聞くと、驚きと怒りの余り食べていた料理を吐き捨てたという。；被害者女性がある人物への怒りは消えてないものの新しい職場で働き始めていること。；これをたまたま聴いていた若松孝二監督は、強い怒りを感じたという。；それを聞いたアマテラスは怒り、もうツクヨミとは会いたくないと言った。；そのためロス暴動のような差別への怒りの暴動が頻繁に起きたりする。；しかし、パッツィには怒りを抑えきれなかった過去は特に知られていなかった。；革命の否定を示すこの報が伝わると、民衆の間に怒りが広がった。；シルヴィアがそれを拒否すると彼女の母親は手紙に激しい怒りを書きつづった。；また、怒りの原因を我慢することで起きるのが特徴であるという。；朝鮮戦争中、韓国側に与して国連軍を送ったことでソ連の怒りを買った。；彼は信じられないほどの怒りを抱えていました。；だが本人はそれを極度に嫌っており、タヌキと呼ばれるとすぐに怒り出す。；彼らには理解できない突然の怒りのためである。；園城寺が何によって秀吉の怒りを買ったものかは諸説あって定かではない。；これを聞いた勝頼は怒り、その場で部下に命じて強右衛門を殺した。；他の記録からも晩年の一茶は短気で怒りっぽかったと記されている。；これを言うと戦車隊の者が怒り物議をかもすから体裁よく処理した。；タレントの中川翔子なども画像公開を支持し、犯人への怒りを露わにしていた。；しかし内心では部下に屈辱的な扱いを受けたことに怒りを煮えたぎらせていた。</t>
        </is>
      </c>
      <c r="J359">
        <f>HYPERLINK("https://www.weblio.jp/content/怒り", "词义详情")</f>
        <v/>
      </c>
      <c r="K359">
        <f>HYPERLINK("https://yourei.jp/怒り", "查看例句")</f>
        <v/>
      </c>
    </row>
    <row r="360">
      <c r="A360" t="inlineStr">
        <is>
          <t>遺憾</t>
        </is>
      </c>
      <c r="B360" t="inlineStr">
        <is>
          <t>成功</t>
        </is>
      </c>
      <c r="C360" t="inlineStr">
        <is>
          <t>読み方：いかん
［名・形動］期待したようにならず、心残りであること。残念に思うこと。また、そのさま。「—の意を表する」「万—なきを期する」</t>
        </is>
      </c>
      <c r="D360" t="inlineStr">
        <is>
          <t>遺憾なく(24%)；遺憾なき；遺憾乍；遺憾至極；遺憾きわまる</t>
        </is>
      </c>
      <c r="E360" t="inlineStr">
        <is>
          <t>悪い；残念；気の毒；無残；無念</t>
        </is>
      </c>
      <c r="F360" t="inlineStr">
        <is>
          <t>能力を遺憾なく；才能を遺憾なく；大変遺憾；深く遺憾；遺憾なく示し</t>
        </is>
      </c>
      <c r="G360" t="inlineStr">
        <is>
          <t>遺憾千万；遺憾無く</t>
        </is>
      </c>
      <c r="H360" t="n">
        <v>29</v>
      </c>
      <c r="I360" t="inlineStr">
        <is>
          <t>近代ドイツがその事実を理解しようとしないのは遺憾であると云っている。；これは一般に有用な植物の知識を普及する上に甚だ遺憾のことであつた。；唯僕に云はせれば、未完成の美を認めないのは君の為に遺憾だと思ふね。；頭の中を遺憾なく世の中へ敲きつけて始めて真面目になった気持になる。；又この歌に続く次の二首があつて遺憾なくその日の大観が再現されてゐる。；私は斯ういう不思議な言い現わし方をしなければならぬのを遺憾とします。；夫よりも遺憾であったのは針木以南の連嶺が雲の為に見えなかった事だ。；そうしてそこに鼻の表現の使命が遺憾なく裏書きされているのであります。；然しお秋さんと言葉を交して別れなかつたことはどうしても遺憾である。；自然はその場で、十分に、遺憾なく、それを君に教えてくれるであろう。；其れ等の思ひを遺憾なく云ひ現した日本語の歌があるかどうかと考へた。；あなたが小生の言動をそこまで曲解されてゐるのを遺憾に思ふだけです。；そして奥さんの白い滑かな頬を批たずに帰ったのを遺憾としただろう。；遺憾だとは思ったが、しかたがないので、そのまま筆をとることにした。；大変面白く日本にパヴロフを紹介した人が林髞であったのを遺憾とする。；これらの条項を遺憾なく揃えるためには過去の文学を材料とせねばならぬ。；しかるに今なお層一層上手たらんとしているかに見えるのが遺憾である。；その中の一つとして、ここに書く事が出来る話がないのは遺憾である。；はじめにも終りにもある無理の感が与えられるのを遺憾と思います。；遺憾ながら、彼がそれを信じていなかったという証拠はどこにもない。；それはさうと僕の今の境遇にも、贅沢を云へば多少遺憾な点はあるさ。；あなたにあの珍しい家を見せられないのは夫妻の遺憾とするところでしょう。；そして遺憾ながら彼が欺されたことを認めないわけにゆかなくなった。；色があまりに黒いのと距離が遠いのとで、顔の表情などは遺憾ながら分らない。；遺憾なことにこの小説の翻訳はその内容の性質によって発売を禁ぜられた。；こちらが健康喪失などしたら遺憾どころではないということは全くです。；同時に又他の作家たちの美しさにもやはり注意しないことに多少の遺憾を感じてゐる。；とのことである、司法官としての功績に付ては未しであるのは遺憾である。；もちろん我々は飛行機の損傷を遺憾に思い、容易に修復できるよう望んだ。</t>
        </is>
      </c>
      <c r="J360">
        <f>HYPERLINK("https://www.weblio.jp/content/遺憾", "词义详情")</f>
        <v/>
      </c>
      <c r="K360">
        <f>HYPERLINK("https://yourei.jp/遺憾", "查看例句")</f>
        <v/>
      </c>
    </row>
    <row r="361">
      <c r="A361" t="inlineStr">
        <is>
          <t>粋</t>
        </is>
      </c>
      <c r="B361" t="inlineStr">
        <is>
          <t>成功</t>
        </is>
      </c>
      <c r="C361" t="inlineStr">
        <is>
          <t>読み方：いき
［名・形動］《「意気」から転じた語》
１気質・態度・身なりなどがさっぱりとあかぬけしていて、しかも色気があること。また、そのさま。「—な姿」「—な柄」「—な店」⇔野暮(やぼ)。
２人情の機微、特に男女関係についてよく理解していること。また、そのさま。「—な計らい」⇔野暮。
３花柳界の事情に通じていること。また、花柳界。「—筋」⇔野暮。</t>
        </is>
      </c>
      <c r="D361" t="inlineStr">
        <is>
          <t>粋な計らい；粋な女；粋な姿；粋好み；粋客</t>
        </is>
      </c>
      <c r="E361" t="inlineStr">
        <is>
          <t>いき；乙；浮いた；スマート；おしゃれ</t>
        </is>
      </c>
      <c r="F361" t="inlineStr">
        <is>
          <t>鏡粋；至粋；文粋；生ッ粋；王粋</t>
        </is>
      </c>
      <c r="G361" t="inlineStr">
        <is>
          <t>粋筋；粋狂；粋すじ；粋なり；粋な風来坊</t>
        </is>
      </c>
      <c r="H361" t="n">
        <v>29</v>
      </c>
      <c r="I361" t="inlineStr">
        <is>
          <t>これは面白い話だが、それほど彼の指揮は粋なものであったそうである。；すると奥から衣摺れの音がして三十格好の梵妻らしい粋な女が出て来た。；これは、裸になった時にも礼を失わないように、との粋な計らいである。；今こそ肌にしみが多いが、昔はずいぶん粋な京男だつたらうと思はれる。；藤村先生はあれでなかなか諧謔趣味の粋なところがおありだったらしい。；押し出しを前提としたスタイルの中にも、常に粋な雰囲気が漂っている。；そのような中で、粋に振舞うことが男性のステータスと考えられていた。；顔は見えないが、湯壺のなかで粋な声で源太節を唄っているのがひとり。；粋である状態を説明するとしたら、私はこれしかないと思っている。；こんな家に住んでいる娘の恋人になろうなんて粋興な男がいるでしょうか。；殷雷は和穂の身を守り、鏡粋を相手にしても致命的な攻撃は避けていた。；それとも、あいだを往ったり来たりして、両方の粋を満喫する手もある。；お前はその酔漢を見たとき、どう思つたか、粋客だとは思つたらうね。；技術の粋であるこの環境は、故郷などしのばせるものではないらしい。；連れのひとりは此の時代の江戸の侍にありがちな粋な男であった。；わざと、髪には頭巾はかぶらないで、粋な結びに絞りの布をかけていた。；服装はいつものとおりで、つまりほとんど粋といっていいほどの格好をしていた。；巴里の女の様な粋な美には乏しいが愛と智慧とには富んで居相である。；この女は粋で、はつらつとしたかつてのアリーヌにほとんど似ていない。；とかく大通と言いしても、しゃれや粋な形をするを、通とは言いイせん。；近代文明の粋を集めた自動車に限って幽霊が出現するのは、なぜであろうか。；西洋文明の粋を知ること漸く深くなって、好学の念がいよいよ強くなる。；科学と技術の粋をあつめた大殿堂とでも、いいたいほどの大壮観であった。；その娘は二十歳ぐらいで、深田君の話ぶりによるとなかなか粋な女であるらしい。；なぜなら私達の身の内に今、氏の作中にあるごとき粋は存在しないからだ。；隊長の身なりはひどく粋なもので、えりと袖口には金の房がついていた。；というより、この大男は泉州者の粋を集めたかのような暴れ者である。；細君は赤坂の八百勘で女中をしていた人で、始終粋な丸髷に結っていた。；読む者みなに知らしめん、 ありとあらゆる精霊の粋を集めし人なるを。</t>
        </is>
      </c>
      <c r="J361">
        <f>HYPERLINK("https://www.weblio.jp/content/粋", "词义详情")</f>
        <v/>
      </c>
      <c r="K361">
        <f>HYPERLINK("https://yourei.jp/粋", "查看例句")</f>
        <v/>
      </c>
    </row>
    <row r="362">
      <c r="A362" t="inlineStr">
        <is>
          <t>息</t>
        </is>
      </c>
      <c r="B362" t="inlineStr">
        <is>
          <t>成功</t>
        </is>
      </c>
      <c r="C362" t="inlineStr">
        <is>
          <t>読み方：いき
１口・鼻から空気を吸ったり吐いたりすること。また、吸う空気や吐く空気。「大きく—をする」「—が荒い」
２二人以上で何かをする場合の、相互の気持ちのかねあい。調子。呼吸。「二人の—がぴったりだ」
３芸事の要領・こつ。「名人の—を盗む」
４ゆげ。蒸気。
「飯も焚きたての—の立つやつで」〈藤村・破戒〉
５音声学で、声帯の振動を伴わない呼気。ごくまれには吸気も含む。
６いのち。
「あずの上に駒をつなぎて危(あや)ほかど人妻児ろを—に我がする」〈万・三五三九〉
[下接語]青息吐息・大息・風の息・片息・酒(さか)息・死に息・溜(た)め息・吐息・寝息・鼻息・一息・太息・虫の息</t>
        </is>
      </c>
      <c r="D362" t="inlineStr">
        <is>
          <t>息をつい(5%)；息をのん(2%)；息を吐く；息つく</t>
        </is>
      </c>
      <c r="E362" t="inlineStr">
        <is>
          <t>息子；男子；呼吸；男の子；坊</t>
        </is>
      </c>
      <c r="F362" t="inlineStr">
        <is>
          <t>息絶え；荒い息；深く息；白い息；息庵宗匠</t>
        </is>
      </c>
      <c r="G362" t="inlineStr">
        <is>
          <t>息子たち；息づかい；息苦しい；息苦し；息苦しく</t>
        </is>
      </c>
      <c r="H362" t="n">
        <v>29</v>
      </c>
      <c r="I362" t="inlineStr">
        <is>
          <t>各領域の下に置かれる、比較的息の長い分野研究を行う研究組織である。；高橋の管理馬には息長く現役を続けるものが数々いることでも知られる。；この作品ではジョン・ウェインとの息のあったコミカルな演技を見せた。；作品などが長く生命を保っていることを「息が長い」と言うことがある。；歴代ハイゼットの中で後述する9代目トラックに次いで息の長いモデル。；十字架をはじめとする神の息のかかっているものとニンニクを忌避する。；古くから息はいのちのもっとも明らかなしるしだとされていたわけである。；病状が悪化していた母親は初優勝を見とどけた3日後に息を引き取った。；役者たちは吐く息が白くならないように、口中に氷を含んで演技をした。；その機に乗じて、その息のかかった一党は一網打尽に粛清されたという。；分裂で特に重要なのは、息を止めなくても分裂が変化しない固定性分裂である。；発見時にはまだかすかに息があったが深夜1時30分頃に死亡が確認された。；朝に妻が様子を見に行ったところ、布団の中ですでに息を引き取っていた。；一方で、東方ではオーストリアが息を吹き返して反攻の準備をしていた。；現代の自分の魂のみがその時代の自分の身体へ行くため、現代の体は息もしない。；頻繁には見かけられないが、こちらも息の長い商品となっている。；最初は致命傷には見えなかったが、翌日には傷が元で息を引き取った。；そのためバーティは息がつまりそうな生活を送ったという。；そして神への償いは自分の死をもって果たされると言い息絶えるのだった。；特に浮上中に息を止めることは例え一瞬であっても非常に危険である。；演奏に息を使わないのであればボーカルを兼任する事も可能である。；条件戦で息の長い活躍を続ける馬主孝行なタイプの馬を多く送り出した。；抵抗した中には、浙江を都にして王を名乗った壮息という人物もいた。；日没とともにかの女は息絶え、フーリンは妻のために墓を作って去った。；魔王の兵たちとの戦いで、白の勇者と戦士は何故か息の合った戦いを展開。；しかし、あの時点ではああでもしなかったら、息が詰まりそうだった。；二人が息を潜めていると、カムデン・ハウスに別の何者かが侵入してくる。；他人や自分の息に匂いが感じられることがあるが、これは様々なことが原因で起きうる。；出版から3年半越しに重版が決まるなど息の長いロングヒットとなった。</t>
        </is>
      </c>
      <c r="J362">
        <f>HYPERLINK("https://www.weblio.jp/content/息", "词义详情")</f>
        <v/>
      </c>
      <c r="K362">
        <f>HYPERLINK("https://yourei.jp/息", "查看例句")</f>
        <v/>
      </c>
    </row>
    <row r="363">
      <c r="A363" t="inlineStr">
        <is>
          <t>遺棄</t>
        </is>
      </c>
      <c r="B363" t="inlineStr">
        <is>
          <t>成功</t>
        </is>
      </c>
      <c r="C363" t="inlineStr">
        <is>
          <t>読み方：いき
［名］(スル)
１捨てて顧みないこと。置き去りにすること。委棄。「死体を—する」
２
㋐民法上、夫婦または養子縁組の当事者が、同居・扶助・扶養などの義務を怠ること。悪意によるものは、離婚・離縁の原因とされる。
㋑刑法上、遺棄罪となる行為。</t>
        </is>
      </c>
      <c r="D363" t="inlineStr">
        <is>
          <t>遺棄する(7%)；遺棄死体(4%)；遺棄現場；遺棄船；遺棄事件</t>
        </is>
      </c>
      <c r="E363" t="inlineStr">
        <is>
          <t>放棄；諦め；残す；断念；放置</t>
        </is>
      </c>
      <c r="F363" t="inlineStr">
        <is>
          <t>遺骨遺棄；埋めて遺棄；遺棄容疑；バラバラ死体遺棄</t>
        </is>
      </c>
      <c r="G363" t="inlineStr">
        <is>
          <t>遺棄罪；遺棄致死罪</t>
        </is>
      </c>
      <c r="H363" t="n">
        <v>29</v>
      </c>
      <c r="I363" t="inlineStr">
        <is>
          <t>また、教育や実験目的で飼育されていた個体も遺棄された可能性がある。；日本では1960年代から、遺棄されたと思われる個体の発見例がある。；犯人は死体の遺棄を故意に腐食動物に任せた可能性が出てきたのである。；死体を遺棄したあと、死体の様子を見に来て、屍姦を行うこともあった。；こうした飼育個体の逃亡や遺棄は他の地域でも起こっていた可能性が高い。；べつの場所で殺害されて、ここへ死体を遺棄されたのかもしれません。；日本では流通量が多く、遺棄されたと思われる個体の発見例がある。；樹海の近くまで車で来て、死体が遺棄されたという状況が濃厚になった。；遺棄の事実や処理事業の運営を巡って問題となっているものがある。；こうして多くの命が失われ、その遺体は遺棄されることが多かった。；死体の状況等から、警察は死後、車で現場まで運ばれ遺棄されたと推定した。；だから、少女が友達と別れた直後に、殺されて遺棄された可能性もあります。；自分で意図して遺棄された村を目指しているとはいえ、不安がもたげてくる。；しかしスターゲイザーの被害も甚大だったため遺棄せざるを得なくなった。；虚弱で障害のある子供を遺棄するのはスパルタでは公認の政策であった。；彼の証言がなければ、私たちが大量の子供を遺棄した犯人だと思われたかもしれない。；これは人馬や携帯品に附いて来る虫や様々の遺棄物を餌うためでもあろう。；あの山に祀られている妙見菩薩のすぐそばに、その死体は遺棄された。；その後に身代金を要求しており、4月19日には死体を遺棄していた。；遺棄された武器を売るのが、ガダルカナルでの小さな企業なのである。；慰霊碑へ向かう道の途中には戦車が遺棄されていて、見学することができる。；このため、報告中の中国軍の遺棄死体は水増しされていると見られる。；また日本軍基地設営隊が遺棄した物資や施設は極めて充実したものだった。；もう二十年以上も前のことだが、ぼくは赤ん坊の遺棄死体を見たことがある。；「もしそれが船だとすれば、遺棄された物だな」グライムズがつぶやいた。；しかし遺棄された個体が世界中で定着し、生態系への影響が懸念されている。；遺棄された機体は、県道から五十メートルほど離れた枯れ田の中にあった。；ホシも、おそらくそれを考えて、運んできた遺体を遺棄したものでしょうな。；遺棄されたラフター大佐とマグレガー軍の残党は降伏せざるを得なかった。</t>
        </is>
      </c>
      <c r="J363">
        <f>HYPERLINK("https://www.weblio.jp/content/遺棄", "词义详情")</f>
        <v/>
      </c>
      <c r="K363">
        <f>HYPERLINK("https://yourei.jp/遺棄", "查看例句")</f>
        <v/>
      </c>
    </row>
    <row r="364">
      <c r="A364" t="inlineStr">
        <is>
          <t>異議</t>
        </is>
      </c>
      <c r="B364" t="inlineStr">
        <is>
          <t>成功</t>
        </is>
      </c>
      <c r="C364" t="inlineStr">
        <is>
          <t>読み方：いぎ
１一つの意見に対して、反対または不服であるという意見。異論。異義。「—を唱える」
２法律用語。
㋐法律上の効果を生じさせないために、相手の行為に対して反対・不服の意思を表示すること。
㋑裁判所その他の国家機関の処分に対する不服の意思表示。</t>
        </is>
      </c>
      <c r="D364" t="inlineStr">
        <is>
          <t>異議なく(3%)；異議なし；異議を唱えよ；異議をとなえる者；異議無く</t>
        </is>
      </c>
      <c r="E364" t="inlineStr">
        <is>
          <t>違い；反対；対；差；対立</t>
        </is>
      </c>
      <c r="F364" t="inlineStr">
        <is>
          <t>強く異議；督促異議；少しも異議；請求異議；異議を申したてる</t>
        </is>
      </c>
      <c r="G364" t="inlineStr">
        <is>
          <t>異議申立；異議申立て；異議あり；異議なし採決</t>
        </is>
      </c>
      <c r="H364" t="n">
        <v>29</v>
      </c>
      <c r="I364" t="inlineStr">
        <is>
          <t>この提案には異議も出ているが、多くの研究者はこの方法に従っている。；しかし、この一般的に受け入られている見解にはいくつかの異議がある。；ただし、その完了前に他の社員が異議を述べた場合は、この限りでない。；大友皇子が実際に天皇としての行為を行っていたことへの異議は少ない。；後にアーヴィングが異議を唱えた文章の一つは次のようなものだった。；との異議を想定し、そもそも、この事実が存在したか否かを検討している。；それらは解釈の対象となることがあり、例外や異議の対象となることがある。；彼は、ジェームズが超心理学の研究を支持していることに異議を唱えた。；異議や不明な部分があった場合は、ノートで問い合わせてみてください。；特に異議が出なければこのまま今回の選考を確定したいと思います。；クレオは貴族の末裔である、と称していたことに異議を唱えた内容である。；しかしマックイーンは異議を唱え、それは脚本の中で最高の場面だと語った。；ただし、その宣言前に督促異議の申立てがあったときはこの限りではない。；彼女は夫の遺産を国王に返納することに異議を唱え、裁判所に訴えた。；貧困およびキリスト教社会主義グループでの不平等に異議を唱えていた。；また、漢学に偏重した内容に異議を唱え、国学を学ぶことを認めさせた。；もっとも、加害者と被害者を共に追悼することに異議を唱える者もいる。；国と国との関係において、同裁判について異議を述べる立場にはない。；ヘンリーは1787年に提示されたアメリカ合衆国憲法に異議を唱えた。；国民は結果に異議を申し立てる請願を提出するための7日間を有している。；実際には、理論上に書いたものが本当にソ連と中国で実施されたかどうか異議が唱えられている。；しかしながら、Wachtelの見解には次のような異議がもたれ得る。；何人かのカトリック教徒のドイツ兵がその命令に異議を唱えた。；信仰問題を終わらせるために、議会は主教たちの主張に異議を唱えさえした。；後小松が表現させた北朝正統論に異議がさしはさまれることはなかった。；異議申し出があったとしても、当選人の告示とは別問題であるとした。；しかし、他のメディアはヒルトンの主張の信憑性に異議を唱えている。；それにつれて、これまでは成功を収めていた従来の方法への疑問や異議の声も出始めた。；冨田は異議がある場合は受領後7日以内に正式な裁判を求めることができる。</t>
        </is>
      </c>
      <c r="J364">
        <f>HYPERLINK("https://www.weblio.jp/content/異議", "词义详情")</f>
        <v/>
      </c>
      <c r="K364">
        <f>HYPERLINK("https://yourei.jp/異議", "查看例句")</f>
        <v/>
      </c>
    </row>
    <row r="365">
      <c r="A365" t="inlineStr">
        <is>
          <t>意義</t>
        </is>
      </c>
      <c r="B365" t="inlineStr">
        <is>
          <t>成功</t>
        </is>
      </c>
      <c r="C365" t="inlineStr">
        <is>
          <t>読み方：いぎ
１言葉によって表される意味・内容。「その語の本来の—」
２その事柄にふさわしい価値。値うち。「—ある生活」</t>
        </is>
      </c>
      <c r="D365" t="inlineStr">
        <is>
          <t>意義付け；意義づけ；意義有る；意義あら；意義をなさ</t>
        </is>
      </c>
      <c r="E365" t="inlineStr">
        <is>
          <t>意味；内容；価値；意；義</t>
        </is>
      </c>
      <c r="F365" t="inlineStr">
        <is>
          <t>重要な意義；重大な意義；同意義；深い意義；真意義</t>
        </is>
      </c>
      <c r="G365" t="inlineStr">
        <is>
          <t>意義深く；意義深き；意義深</t>
        </is>
      </c>
      <c r="H365" t="n">
        <v>29</v>
      </c>
      <c r="I365" t="inlineStr">
        <is>
          <t>しかしながら、これらそれぞれが、深い個人的な意義がある作品である。；現在提唱されているRNAエディティングの意義には以下のものがある。；新大阪駅付近の開発が遅れ、建設の意義が薄れたことが主な原因である。；本種もそうであれば、交接した雄が他の雌を探しに行く意義はなくなる。；座高は上半身発達の指標とされたが、その測定の意義は不明確であった。；政治的意義を失った真人姓の氏族は、次第に政界から姿を消していった。；大宝律令の意義に挙げられるのは、中国の方式が基準の制度への転換にある。；その一方で、教育現場などでは一定の意義を有する用語だとも指摘している。；私は教育上の意義を持つ所の学校なるものはその全体の上に一の精神がなければならぬと思ふ。；このため「人新世」の考え方には意義があると捉える学者が増えている。；これらの文書の発見は聖書研究にも大きな意義のあるものである。；長らくアンタッチャブルであった記録を破ったことの意義は非常に大きい。；少ないか多いかでその操作の意義が失われるとは限らない。；このように非常時の備えとしての意義が再認識された路線でもある。；しかし、一般化してからはその意義を失い一般的な気象学と融合していった。；ここで彼にとって地理学が、ますます大きな意義を持つようになっていた。；空軍は月面着陸達成は短期的だけでなく歴史的意義を必要とすると感じた。；それにともなって、シンビルスクの軍事・戦略的意義は失われていった。；これらは本来の意義通り『名義上の職』であり、実務上の権限は無い。；鎮魂祭には新嘗祭に臨む天皇の霊を強化するという意義があるとされる。；これらの区別を行う意義としては、原因疾患が大きく異なる点にある。；一般に、発達課題は次のような意義と特徴を持っているとされる。；ラーマ5世は人道的意義を理由にこれらの奴隷を解放し平民に加えた。；市章に描かれた鹿の角はこの町の狩猟史上の意義を思い起こさせる。；本調査の意義に関する主な質問と質問は以下のとおりである。；日本ハリストス正教会による天皇と為政者への祈りも同様の意義をもつ。；MRI の意義はヘモグロビンの生化学的状態が鑑別できることである。；東宝内部では、ヒットさせることよりも製作する意義を重視する声が多かったという。；視聴率というものを調査する意義は、大きく分けて以下のようなものである。</t>
        </is>
      </c>
      <c r="J365">
        <f>HYPERLINK("https://www.weblio.jp/content/意義", "词义详情")</f>
        <v/>
      </c>
      <c r="K365">
        <f>HYPERLINK("https://yourei.jp/意義", "查看例句")</f>
        <v/>
      </c>
    </row>
    <row r="366">
      <c r="A366" t="inlineStr">
        <is>
          <t>行き</t>
        </is>
      </c>
      <c r="B366" t="inlineStr">
        <is>
          <t>成功</t>
        </is>
      </c>
      <c r="C366" t="inlineStr">
        <is>
          <t>読み方：いき
⇒ゆき</t>
        </is>
      </c>
      <c r="D366" t="inlineStr">
        <is>
          <t>行くべき；行くんです；行くまい；行くんだろ</t>
        </is>
      </c>
      <c r="E366" t="inlineStr">
        <is>
          <t>なる；参加；来る；至る；到着</t>
        </is>
      </c>
      <c r="F366" t="inlineStr">
        <is>
          <t>歩いて行く；連れて行く；入って行く；出て行く；つて行く</t>
        </is>
      </c>
      <c r="G366" t="inlineStr">
        <is>
          <t>行く先；行く末；行く行く；行くね；行く年</t>
        </is>
      </c>
      <c r="H366" t="n">
        <v>29</v>
      </c>
      <c r="I366" t="inlineStr">
        <is>
          <t>そういう仏教芸術の力によって満足を得て行こうとした時代であります。；もし自分に反対する者がいるならトレードで出て行くことになるだろう。；ドイツにいた時だったか、ハンブルクに行こうとしていた時につくった。；これを調和させて、両方有効に使って行こうとするのが仏教の目的です。；また、安彦とは以前は彼のスタジオによく遊びに行っていた仲でもある。；この広場で行った演説は彼の政治活動のなかで最も成功したものだった。；彼女の子供たちは父親が牧師であることが幸いし、無料で学校に行けた。；それでも医者を呼ぶのを嫌って、こっちから医者の家へ行こうと云った。；ユダがドアのほうへ向かい、小さな暗い部屋から出て行こうとしている。；流民が北へ行こうとした時には、これを尽く殺したこともあったという。；ふたりは生まれてから来たこともないほど森の奥に連れて行かれた。；しかし、かつては悪い思い出が多すぎるためあまり行かなかったという。；ある日、その妻が亡くなったと連絡が入ったが、葬儀には行かなかった。；それでもゲーリングは自分が直接英国へ行けば状況は変わると信じていた。；いつだったかいっしょに芝居へ行こうと思ったら、髭も剃っていないの。；失望から学校に行かなくなり、近所の森や山で時間を潰す日々を送った。；ほかにも漫画家の半澤香織と遊びに行って献血に行こうとした事もある。；部屋に戻ると五郎が来ており、シュウが待つ北時計に行くように勧める。；両親の趣味はクラシック音楽で演奏会に連れて行かれることもあった。；さらに、施設も旧九重のものを継承し九重の方が部屋を出て行く形となった。；その途中に大ボスクラスの4体を順次相手にして行かなければならない。；皇后はそのまま連れて行かれて殺され、彼女の一族も数百人が殺された。；感覚を掴んだ頃になると、自主的にトイレに行かせる訓練が必要になる。；西へ行きたがっている者を、自分と同じ方向の、北へ連れて行こうとする。；その代わりに太田川発金山行きの普通が平日の昼間にも多数走っていた。；また、川に戻る山童たちを見に行こうとすると病気になると言われていた。；他に誰も入れない兄弟2人だけの世界は、この後東京に行ってからも続く。；さらにミナス・ティリスへ帰るために同じ道を行くボロミアも選ばれた。；自分の能力が必要とされていると感じて、暦は研究所に行こうとする。</t>
        </is>
      </c>
      <c r="J366">
        <f>HYPERLINK("https://www.weblio.jp/content/行き", "词义详情")</f>
        <v/>
      </c>
      <c r="K366">
        <f>HYPERLINK("https://yourei.jp/行き", "查看例句")</f>
        <v/>
      </c>
    </row>
    <row r="367">
      <c r="A367" t="inlineStr">
        <is>
          <t>行き当たりばったり</t>
        </is>
      </c>
      <c r="B367" t="inlineStr">
        <is>
          <t>成功</t>
        </is>
      </c>
      <c r="C367" t="inlineStr">
        <is>
          <t>読み方：いきあたりばったり
［名・形動］⇒ゆきあたりばったり</t>
        </is>
      </c>
      <c r="H367" t="n">
        <v>29</v>
      </c>
      <c r="I367" t="inlineStr">
        <is>
          <t>かなり大仕掛けな機械だが、行き当たりばったりで細菌を製造する機械。；最も私の心を打ったのは、正にその行き当たりばったりの偶然性だった。；計画もなにもない、行き当たりばったりだったにしては上々の結果だろう。；いままで行き当たりばったりに体を合わせた異性の中で、最高級の者である。；同行者があるからには、行き当たりばったり旅するわけにもいかない。；彼にはいったいなんのことか分からなかったので、行き当たりばったりに返事をした。；行き当たりばったりで馬を得たように記されているのも、書紀の潤色になる。；「あ、それもそうだな」 この姉はいつも行き当たりばったりである。；駒井は行き当たりばったりのように、いちばん手近の横丁へ入って行く。；行き当たりばったりの人生を選んでしまうタイプだという。；彼女は行き当たりばったりに、ただその時その時の気の向くままに行動して来たのだ。；多くの動物は各個体が単独に生活し、行き当たりばったりに他の個体と繁殖を行う。；だから君のような行き当たりばったり主義の人には、よくよくの場合と云うものはない事になる。；今思えば、処女作のタイトルは『行き当たりばったり』とすべきであった。；行き当たりばったりといってたけどそうじゃなかった。；行き当たりばったりで選んだところだが、超硬派で有名であり恐ろしいところと評判。；どう見たって行き当たりばったりに殺しているよ。；初期のコンピュータのCPUの制御回路は行き当たりばったりの方法で設計されていた。；しかし、行き当たりばったりは船のことばかりではなかった。；どう考えても、行き当たりばったりの作戦にしか思えない。；規制は行き当たりばったりに、実施されたり、解除されたりした。；行き当たりばったりに攻撃しても無駄だ、と骨身に沁みたのでる。；モモコのようなストーリーテラーではないから、話は行き当たりばったりだ。；貴様はただ、行き当たりばったりで私の速度についてくるので精一杯だったのに!!；往来で行き当たりばったりの人間に頼んだら、その男はおれの介添人になる義務があるのだ。；行き当たりばったりで就職したのが、何とそれまで予想だにしなかったある都市銀行だった。；アイラビスタが行き当たりばったりに開発されていたので、地域の秩序ある開発に生涯になるのではないかと心配していた。；あなたは行き当たりばったりの人生ですもの。；行き当たりばったりに、集団ごとがただ殺し合い傷つけ合っている。</t>
        </is>
      </c>
      <c r="J367">
        <f>HYPERLINK("https://www.weblio.jp/content/行き当たりばったり", "词义详情")</f>
        <v/>
      </c>
      <c r="K367">
        <f>HYPERLINK("https://yourei.jp/行き当たりばったり", "查看例句")</f>
        <v/>
      </c>
    </row>
    <row r="368">
      <c r="A368" t="inlineStr">
        <is>
          <t>生き生き</t>
        </is>
      </c>
      <c r="B368" t="inlineStr">
        <is>
          <t>成功</t>
        </is>
      </c>
      <c r="C368" t="inlineStr">
        <is>
          <t>読み方：いきいき
［副］(スル)活気があふれていて勢いのよいさま。また、生気があってみずみずしいさま。「—（と）した動き」「—（と）した筆致」</t>
        </is>
      </c>
      <c r="D368" t="inlineStr">
        <is>
          <t>生き生きと描か；生き生きと輝い；生き生きと描い；生き生きと描写；生き生きと働い</t>
        </is>
      </c>
      <c r="E368" t="inlineStr">
        <is>
          <t>元気；新鮮；ありあり；ありありと；まざまざ</t>
        </is>
      </c>
      <c r="F368" t="inlineStr">
        <is>
          <t>実に生き生き；もっと生き生き；まだ生き生き；妙に生き生き；いかにも生き生き</t>
        </is>
      </c>
      <c r="H368" t="n">
        <v>29</v>
      </c>
      <c r="I368" t="inlineStr">
        <is>
          <t>疑いもなく生き生きとした表現ではあったが決して科学的ではなかった。；彼はこの生き生きとした動く思考のなかに政治的問題の解決を見出した。；生き生きした人形たちが毎日違った時刻にムーブメントの中に出てくる。；このような一言が今でも生き生きと自分の頭に深い印象を残している。；それに店で働くあなたの姿はとても生き生きとして幸せそうに見えました。；魅せられたように強い関心をそそられた彼女の顔は生き生きとしてきた。；それは幸福な、生き生きとした瞬間を全然もたないわけではないのです。；彼の顔にはまた肉がつき、生き生きとした健康な色をとり戻していた。；リカ子は私の惨落した姿を見ると急に生き生きと子供のようになり始めた。；その頃の生き生きとした瞬間のいくつかを思いだそうとしたがだめだった。；黄色には瞬時に全てのものを生き生きとさせる魔法の特性があったわ。；従姉妹に宛てた次の手紙にはその生き生きとした楽天性が爆発している。；スポックだけが強い生き生きとした興味を示して映像を見つめていた。；この作品には当時のロンドンが生き生きとユーモラスに描かれていた。；この光景は活動写真とは思えないほど生き生きした印象を残している。；机の上に実のなった豌豆の花があってそれは大変生き生きとしてきれいです。；だがおれが不意に姿を見せると、あの人の目が生き生きして来るのがわかる。；黒一色の服を着て生き生きとしたこの男を取り囲んでいるのは空気なのだ。；彼女は生き生きと美しい顔付きではいってきて、ベッドの上にすわった。；テープに記録する前に、自分の中で脚本を生き生きとさせたいと思います。；それが何時になく生き生きした色彩を帯びているのが彼には快かった。；その中で、一人水を得た魚のように生き生きとしていたのが捨松だった。；しかし、写真ですら、彼の目は生き生きしていて、ものおじしていない。；彼に対する愛情で、母顔は又血色がよくなって、生き生きして来ていた。；そして褐色の髪の毛が、彼の体のもっとも生き生きしているものだった。；まるで誰かに呼ばれたかのように振り返る、生き生きとした女性の像。；世界が生き生きとしたものになるためには障害が不可欠なのである。；私は今まで石にあんなに生き生きした表情を見たことがありません。；しかし車を引く本人だけは、ほかのだれよりも生き生きとしていた。</t>
        </is>
      </c>
      <c r="J368">
        <f>HYPERLINK("https://www.weblio.jp/content/生き生き", "词义详情")</f>
        <v/>
      </c>
      <c r="K368">
        <f>HYPERLINK("https://yourei.jp/生き生き", "查看例句")</f>
        <v/>
      </c>
    </row>
    <row r="369">
      <c r="A369" t="inlineStr">
        <is>
          <t>勢い</t>
        </is>
      </c>
      <c r="B369" t="inlineStr">
        <is>
          <t>成功</t>
        </is>
      </c>
      <c r="C369" t="inlineStr">
        <is>
          <t>読み方：いきおい
［名］
１他を圧倒する力。活気。気勢。「—を増す」「破竹の—」
２社会を支配する力。権力。権勢。「武力を背景に—を振るう」
３自然の活動力。「水の—で流される」「火の—が強い」
４盛んな意気。元気。「一杯飲んで—をつける」
５物事が動くときに加わる速さや強さ。「下り坂で—がつく」「—余って土俵を飛び出す」「筆の—」
６余勢。もののはずみ。なりゆき。調子。「酔った—で言う」「時の—に乗じる」
［副］その時のなりゆきで。必然的に。「その場の雰囲気から—そう答えざるをえなかった」
[下接句]騎虎(きこ)の勢い・旭日(きょくじつ)昇天の勢い・飛ぶ鳥を落とす勢い・破竹(はちく)の勢い・日の出の勢い</t>
        </is>
      </c>
      <c r="D369" t="inlineStr">
        <is>
          <t>勢いよく(17%)；勢い良く(2%)；勢いこん；勢いそのまま</t>
        </is>
      </c>
      <c r="E369" t="inlineStr">
        <is>
          <t>力；勢；強さ；余勢；推進力</t>
        </is>
      </c>
      <c r="F369" t="inlineStr">
        <is>
          <t>ものすごい勢い；すさまじい勢い；凄まじい勢い；激しい勢い；恐ろしい勢い</t>
        </is>
      </c>
      <c r="G369" t="inlineStr">
        <is>
          <t>勢い込ん；勢いづき；勢いづか；勢いづく；勢いづけ</t>
        </is>
      </c>
      <c r="H369" t="n">
        <v>29</v>
      </c>
      <c r="I369" t="inlineStr">
        <is>
          <t>しかしこの圧力はかえって独立派に勢いを与える結果となってしまった。；最近高支持率地域の溶解現象が勢いを増していることが確認されている。；やがて回復するものの、かつてのような勢いある王の姿はみられなかった。；その軽くなった竹筒が元に戻る際に支持台を勢いよく叩き音響を生ずる。；煙突から煙を出しながら走り、勢いがつくと止まることができなくなる。；この頃を境にモデルガン全体の人気が勢いを失っていくこととなる。；また発売当初の勢いは非常に重要で、マスコミなど社会的にも注目される。；本来の意味から転じて、何らかの物の勢いが最も盛んな時期のことを峠という。；上田はこの時のことを「勢いが一番っていう感じだった」と語っている。；ドイツ軍が勢いに乗って開始したエジプトへの進軍は7月中に停滞した。；メイショウドトウが差し返してきた時もこちらには勢いがありました。；逆に火の勢いが強くなると、周囲のものが熱などによって影響を受けやすい。；孫休は学問を好み、諸子百家の書を全て読み尽くすほどの勢いであった。；勢いに乗る反乱軍は、スペイン軍の抵抗を排除しながらクスコに迫った。；前アルバムを制作した勢いを維持した状態であった。；特にナリタブライアンが台頭し、こちらに並びかける勢いを見せていた。；その他の国々も中立・同盟を結びスウェーデンの勢いは頂点に達した。；説得は成功して趙の攻略が容易になり、その勢いのまま趙を制圧する。；続いて松明を持った突撃隊がベルリン市内を行進し、その勢いを示した。；敵の非難は勢いを増し、英雄は一時落胆するが、やがて力強く再起する。；この時代はセレウコス朝が勢いを見せた最後の時代となった。；景勝方は勢いに乗り、中越地方の景虎方の諸城への圧迫を強めていった。；主要な産業は炭鉱で、造船も行われるが、かつてのような勢いはない。；その中にあって孔子紀年は埋没しかねない勢いであったのである。；耳腺の毒液は勢いよく噴出することもあるので、これにも注意を要する。；音声メディアへの追い風が今までにないくらいの勢いがあります。；しかし直線で進路を確保してから猛烈な勢いで加速し、ほぼ同時にゴール。；このため打球の勢いが死にやすいので、内野手には強肩が要求された。；やがて韓馥は袁紹の勢いを恐れ、袁紹の下を去り張邈の下に身を寄せた。</t>
        </is>
      </c>
      <c r="J369">
        <f>HYPERLINK("https://www.weblio.jp/content/勢い", "词义详情")</f>
        <v/>
      </c>
      <c r="K369">
        <f>HYPERLINK("https://yourei.jp/勢い", "查看例句")</f>
        <v/>
      </c>
    </row>
    <row r="370">
      <c r="A370" t="inlineStr">
        <is>
          <t>生きがい</t>
        </is>
      </c>
      <c r="B370" t="inlineStr">
        <is>
          <t>成功</t>
        </is>
      </c>
      <c r="C370" t="inlineStr">
        <is>
          <t>読み方：いきがい
生きるに値するもの。生きていくはりあいや喜び。「—を見いだす」</t>
        </is>
      </c>
      <c r="D370" t="inlineStr">
        <is>
          <t>生きがい論；生きがいセンター；生きがい感；生きがい比率</t>
        </is>
      </c>
      <c r="E370" t="inlineStr">
        <is>
          <t>生き甲斐</t>
        </is>
      </c>
      <c r="G370" t="inlineStr">
        <is>
          <t>生きがいしごとサポートセンター</t>
        </is>
      </c>
      <c r="H370" t="n">
        <v>29</v>
      </c>
      <c r="I370" t="inlineStr">
        <is>
          <t>たとえそのために、君の人生が生きがいのないようなものになってもだ。；その人なりの生きがいということの出てくる元も、そこにあるわけです。；次々に皆かわいい宮様を夫人はお世話することに生きがいを覚えていた。；また彼の生きがいの歴史を調べたうえでの結語のようなものでもない。；労働の時間そのものの中に生きがいがあったら、それは一つの解決ですよ。；考えてみるとおかしいですけれども、人間の生きがいには多様性がある。；もちろん人それぞれが自分流の生きがい論を持つのが本当であろうと思う。；好きな女性を喜ばせるために、自分の生きがいをかけた仕事を棒にふる。；女子高生を相手に射精することが、唯一の生きがいのように思えてきた。；自分の生きがいと思っていた、ただひとりの男に棄てられたのだから。；しかし人間の生きがいというのには、そういう面があるんだと思うのです。；私はイギリスのためになる事をするっていうのを生きがいにしてましてね。；島には生きがいがなく、変化がなく、まさに半分死んだも同様の日々。；どこに生きがいを求めていいかわからないということになってきた。；結論はですな、あなたはなにか生きがいのある行動をすべきである。；やはり動きたくない最大の理由は、老後に向けての生きがいの問題だ。；今くらい生きがいを感じていたことはないのだから、死ぬことはつらいのだ。；いい若いモン その間に、若いモンの生きがいを見つけてみせますから。；彼のことをもらさず収集するというのは、ほとんど私の生きがいなのだ。；生きがいがあったと思うように生きて行きたいと思いますよ。；ところがね、僕は生涯の最上の生きがいを感じたのは、戦争の最中だった。；問 私も生きがいというものは確かに創造的活動にあると思うわけです。；その一瞬の生きがいのために、自分の全生活をストイックなものにしている。；こんな人はスモーキーマウンテンにでも住めば生きがいができるはずだ。；なにやら自分の生きがいが、女子高生との行為だけのような気がしてきた。；こんな生きがいのない体になった私だ、どんなことをするか知れたものじゃないよ。；そういう私なりの生きがい論なるものを、自分なりに考えてみているわけなんです。；私も二十代では物理学を一生続けて行くことを生きがいとしてきた。；そういう世の中にいる方が、生きがいを感じやすいのではないか。</t>
        </is>
      </c>
      <c r="J370">
        <f>HYPERLINK("https://www.weblio.jp/content/生きがい", "词义详情")</f>
        <v/>
      </c>
      <c r="K370">
        <f>HYPERLINK("https://yourei.jp/生きがい", "查看例句")</f>
        <v/>
      </c>
    </row>
    <row r="371">
      <c r="A371" t="inlineStr">
        <is>
          <t>意気込み</t>
        </is>
      </c>
      <c r="B371" t="inlineStr">
        <is>
          <t>成功</t>
        </is>
      </c>
      <c r="C371" t="inlineStr">
        <is>
          <t>読み方：いきごみ
さあやろうと勢いこんだ気持ち。気勢。「仕事への—を感じる」</t>
        </is>
      </c>
      <c r="D371" t="inlineStr">
        <is>
          <t>夢；感情；希望；熱；元気</t>
        </is>
      </c>
      <c r="F371" t="inlineStr">
        <is>
          <t>たいという意気込み；そういう意気込み；大変な意気込み；たいと意気込み；そんな意気込み</t>
        </is>
      </c>
      <c r="H371" t="n">
        <v>29</v>
      </c>
      <c r="I371" t="inlineStr">
        <is>
          <t>何が何でも対日戦争に勝利するというアメリカの意気込みが感じられる。；そしてその意気込みの分だけ、彼の将校団における評判は落ちていった。；以て神の道のためには弁ぜざるを得ずとの、彼の意気込を知るべきである。；のオーディションでは絶対に合格するとの意気込みで参加したという。；親そのものを頭から否定するぐらいの意気込みも必要なのかもしれません。；ある意味ではデビュー・コンサートに近いくらいの意気込みがあるよ。；契約締結後にベストを尽くしてプレイしていきたいと意気込みを語った。；先輩は無駄に意気込みながら生徒会室の扉に向かって歩いていった。；そんな意気込みをもって、これからも臨んでいきたいと思っています。；また安田は製作開始を前に次のようにその意気込みを語っている。；実戦の意気込みでかかって来いと、いわば挑戦をされたようなものだ。；どんな意地悪をされても困らないぞという意気込みが大切だと思うのです。；その様子、彼らの意気込みは、二階席からもはっきり手にとるようにわかった。；観光事業はその意気込みを確実にするためのテコのようなものとしてあったはずだった。；そうしてそこにも二人の間にある意気込の相違を認めた。；彼なら西洋人の意気込みも知っているだろうからというわけで。；彼に調査を命じた時の成瀬にはそういう意気込みが感じられた。；貞包は東海大学の代表としてこれに出席し、大会への意気込みを語った。；その話しぶりは、ここへ来るまでの車の中からの続きらしい意気込みであった。；しかし小林の意気込みに反して選挙の実際は金と違反がまかり通る世界。；自信もあるのだろうが、いまの話をきいてからの意気込みも加わったことは明白だ。；事業のためにや犠牲にする位の意気込で居るんだね。；意気込みと期待に、胸が締めつけられるような緊張感を覚えながら。；映画はテレビドラマに負けたくないとの意気込みが裏目に出てしまったのである。；平次の意気込みを裏切って、そこに待っていたのは失望だったのです。；自分の足で富士山を制覇する、という最初の意気込みはどこに消えたんだ。；自分で一個の社会学のあとを追って行く意気込みでやりたい。；大人も子どもも、外部からの敵を迎え撃てと意気込み、鼻息を荒くした。；激しい病と戦う若者を看護するような意気込みが無い。</t>
        </is>
      </c>
      <c r="J371">
        <f>HYPERLINK("https://www.weblio.jp/content/意気込み", "词义详情")</f>
        <v/>
      </c>
      <c r="K371">
        <f>HYPERLINK("https://yourei.jp/意気込み", "查看例句")</f>
        <v/>
      </c>
    </row>
    <row r="372">
      <c r="A372" t="inlineStr">
        <is>
          <t>意気込む</t>
        </is>
      </c>
      <c r="B372" t="inlineStr">
        <is>
          <t>成功</t>
        </is>
      </c>
      <c r="C372" t="inlineStr">
        <is>
          <t>読み方：いきごむ
［動マ五（四）］進んでしようとして、奮いたつ。はりきる。「—・んで出かける」</t>
        </is>
      </c>
      <c r="D372" t="inlineStr">
        <is>
          <t>熱心な；威勢よく；毅然と；昂然と；本腰を入れる</t>
        </is>
      </c>
      <c r="H372" t="n">
        <v>29</v>
      </c>
      <c r="I372" t="inlineStr">
        <is>
          <t>勿論本人が意気込む分には勝手なので、ぼくからは何も言わないけれど。；多分、緊張していたし、相手を説得しようと意気込んでいたからだろう。；最後の作品だと意気込んでいる三年生達も、これには頭を抱えてしまう。；絶対当てると意気込んでいた例の奥さんの落胆ぶりは想像にあまりある。；美音子はその反応を見て、今度こそ手応えがあっただろうと意気込んだ。；それで今度は自分も立派な家を建ててみせると意気込むわけですよ。；意気込んでいた台員たちは、気勢をそがれて拍子抜けした気持になった。；廃墟となった第四層を擬態材で再開発しようと意気込んでいたときだ。；挑戦前には「現役最強を見せつけたいと思います」と意気込んでの登場。；岡崎は意気込んでいた彼の研究を、中途で放棄しなければならなくなった。；海軍の制度と人事を刷新すると意気込んで部下にその検討をさせた。；これは買うしかないと意気込んでいたら、酉乃に変な眼で見られてしまった。；実験をやってみるぞ、と意気込んだぼくの決心が、それで一瞬鈍った。；今回こそは少しは実のある仕事をしたい、と意気込んでいた。；意気込んだ私の身内から次第次第に力の抜けてゆくのが感じられた。；今、われらは、すべてを自分の手でやって見せようと意気込んでいるんだ。；ああでもない、こうでもない、と自分のほうが意気込んでしまっていたからである。；そのくせ犯人を見つけようと意気込んでいるのは、矛盾した行動のように思える。；たまに意気込んだのがあっても、はたで笑いはしないかとつい腰が挫ける。；と意気込んでいるところに、美波がススッと歩み寄ってきてこう言った。；オランダ側との正式な購入交渉が開始されて栄寿が意気込んだのも当たり前だった。；そこまで意気込んで来たからには何か策がありそうなものだ。；彼女はその質問は無駄だとばかりに意気込んでいた。；敵兵四五万いるが、それをみな殺しにすると、こちらでは意気込んでいる。；今日こそは成功させねばと彼らは意気込んでいる。；鉄太郎始め多くの人々から餞別を貰い、意気込んで東京を発っていった。；たとえ盗まれても、相手の自由にさせてたまるかと意気込んでいるようであった。；「水原君は、まだ亡くなったわけじゃないんですね」 意気込んで尋ねた。；私がカフェにはいっても、決して意気込んだ様子を見せなかった。</t>
        </is>
      </c>
      <c r="J372">
        <f>HYPERLINK("https://www.weblio.jp/content/意気込む", "词义详情")</f>
        <v/>
      </c>
      <c r="K372">
        <f>HYPERLINK("https://yourei.jp/意気込む", "查看例句")</f>
        <v/>
      </c>
    </row>
    <row r="373">
      <c r="A373" t="inlineStr">
        <is>
          <t>行き先</t>
        </is>
      </c>
      <c r="B373" t="inlineStr">
        <is>
          <t>成功</t>
        </is>
      </c>
      <c r="C373" t="inlineStr">
        <is>
          <t>読み方：いきさき
⇒ゆきさき</t>
        </is>
      </c>
      <c r="D373" t="inlineStr">
        <is>
          <t>行き先表示器；行き先別；行き先ごと；行き先案内；行き先表示幕</t>
        </is>
      </c>
      <c r="E373" t="inlineStr">
        <is>
          <t>コース；ルート；ゴール；住所；行方</t>
        </is>
      </c>
      <c r="F373" t="inlineStr">
        <is>
          <t>主な行き先；led式行き先；式行き先標示</t>
        </is>
      </c>
      <c r="H373" t="n">
        <v>29</v>
      </c>
      <c r="I373" t="inlineStr">
        <is>
          <t>これは、かれらがわれわれの行き先を事前に知っていたことを意味する。；ソ連の輸送指揮官に尋ねても行き先はわからない仕組みになっています。；歩いている人たちは、みんな行き先があってそこに向かって歩いている。；残りの上り列車や下り列車の行き先はすべて九州地区の駅となっている。；そう都合良く、佐天の行き先を示すものが部屋の中にあるとは思えない。；僕は行き先を告げずに出てきたので、騒ぎになっているかもしれない。；一応師匠には行き先を伝えているが、他のみんなにはまだだったはず。；そしてエリが誰かを頼っていくとしたら、行き先は私のところしかない。；そうして通り過ぎた道の多くは歪んでいて、行き先は離れていく一方だ。；しばらく進むと、行き先に高原が開けて街道の町メムロンが見えてきた。；その行き先は、もう廃村となってしまった二人の生まれ故郷の村だった。；しかし、その飛行機の行き先がメキシコのアカプルコであることを知る。；あの運転手に、自分の行き先を知られることを恐れているんですよ。；行き先は地獄と定まっていても、おまえさえいっしょでなければ天国さ。；いつものお気楽な哨戒航行だと思っていたら、行き先が戦場だったのだ。；もしそれを知っていたなら、今回の行き先は西宮だったかもしれない。；プレイヤーはミニマップで表示される行き先を指定して街の中を移動する。；このごろはタクシーに乗っても、行き先すら言えないような始末である。；関係がなければ、自分をかどわかした飛行艇の行き先を知るはずがない。；朝比奈さんと古泉は行き先を知っているのか、平気な笑みでついていく。；俺は自転車の行き先をほんの少し変更して、エリオの元へ車輪を回した。；しかし、ある日突然行き先を誰にも告げずに娘と叔母の三人で姿を消す。；ちなみに行き先表示幕の時は当時流行の丸字が使われていた。；本来、街道は行き先の名称を冠したため水戸側では江戸街道と呼ばれた。；行き先の陸が見えないのにどうやって進路がわかるか、というのである。；私の仕事は男爵からハーツに流れた二百万フランの行き先を調べること。；ワープドアの行き先は別の階の場合もあれば、同じ階の場合もある。；ふたりでよく思案して、牢を破ってからの行きさきも考えておかなくては。；だがよく考えてみれば、妻の行き先はもともとわかっているのだ。</t>
        </is>
      </c>
      <c r="J373">
        <f>HYPERLINK("https://www.weblio.jp/content/行き先", "词义详情")</f>
        <v/>
      </c>
      <c r="K373">
        <f>HYPERLINK("https://yourei.jp/行き先", "查看例句")</f>
        <v/>
      </c>
    </row>
    <row r="374">
      <c r="A374" t="inlineStr">
        <is>
          <t>経緯</t>
        </is>
      </c>
      <c r="B374" t="inlineStr">
        <is>
          <t>成功</t>
        </is>
      </c>
      <c r="C374" t="inlineStr">
        <is>
          <t>読み方：いきさつ
物事のこみいった事情。事件の経過。「これまでの—を語る」</t>
        </is>
      </c>
      <c r="D374" t="inlineStr">
        <is>
          <t>経緯ゆえ；経緯記；経緯愚説</t>
        </is>
      </c>
      <c r="E374" t="inlineStr">
        <is>
          <t>話；歴史；話し；由来；過去</t>
        </is>
      </c>
      <c r="F374" t="inlineStr">
        <is>
          <t>歴史的な経緯；どのような経緯；どういう経緯；詳しい経緯；そうした経緯</t>
        </is>
      </c>
      <c r="G374" t="inlineStr">
        <is>
          <t>経緯儀；経緯線；経緯台；経緯台式架台</t>
        </is>
      </c>
      <c r="H374" t="n">
        <v>29</v>
      </c>
      <c r="I374" t="inlineStr">
        <is>
          <t>建設経緯・運行形態・駅一覧・延伸計画などの詳細は以下の項目を参照。；これが失敗に終わった経緯に関してはいくつかの話が伝えられている。；このような経緯があり、後に中距離の普通列車も停車するようになった。；歴史的な経緯から広島市や岡山県とも異なる独自の気質を持つとされる。；そこからカイロネイアの戦いに至るまでの経緯はほとんど知られていない。；技法的観点、素材的観点は伝統的には組成などと通称された経緯がある。；こうした経緯から、現在でもフランスとの緊密な関係を維持している。；オマルがターリバーンの指導者となった経緯については複数の説がある。；しかしこの様な結果になった経緯については大きく異なる見解が出されている。；またこの経緯からロシアではソ連時代からヒマワリを国花としている。；検察によれば、問題となった行為の経緯は次のようであるとされる。；経緯は人により様々であるが、一般的には下記のパターンのいずれかである。；ただし、前述の経緯から徳島線の列車が走る線路も高徳線に所属している。；元々狭い場所に建設された経緯があり、バリアフリー化は困難な状況だった。；この図はあくまで概略であり、より詳細な分類方法と経緯があることに注意。；こうしたシャロンの行動はオスロ合意の経緯をすべて覆すものであった。；ちなみにこうした経緯が郵便貯金の拡大につながったと考えられる。；しかし平成になって、経緯は不明ながら野生イノシシが再定着している。；以上のような経緯で、本形式の電装品はすべて三菱電機で製造された。；下り快速線のホームがやや傾いた状態であるのは、この経緯のためである。；各国の議会の呼称には、それぞれの歴史や経緯が含まれている。；合併経緯からか泉区は仙台市の他区と比べて特別的扱いが多いと見られている。；更に細かい分類方法と経緯があり、この図はあくまで概略である事に注意。；初代司会者の決定の経緯については、資料によって内容が異なっている。；extがLinuxで採用されたのはその経緯があったためである。；独立の経緯以来、インドとの間では緊張関係が継続している。；過去には法務省内でも死刑の存廃やあり方などを議論してきた経緯がある。；以上の経緯のために、入れ替え以前の数字との単純な比較ができなくなっている。；以上の経緯をもってルシファーは悪魔の名となったとされる。</t>
        </is>
      </c>
      <c r="J374">
        <f>HYPERLINK("https://www.weblio.jp/content/経緯", "词义详情")</f>
        <v/>
      </c>
      <c r="K374">
        <f>HYPERLINK("https://yourei.jp/経緯", "查看例句")</f>
        <v/>
      </c>
    </row>
    <row r="375">
      <c r="A375" t="inlineStr">
        <is>
          <t>行き違い</t>
        </is>
      </c>
      <c r="B375" t="inlineStr">
        <is>
          <t>成功</t>
        </is>
      </c>
      <c r="C375" t="inlineStr">
        <is>
          <t>読み方：いきちがい
⇒ゆきちがい</t>
        </is>
      </c>
      <c r="D375" t="inlineStr">
        <is>
          <t>行き違い可能(3%)；行き違い型信号場(2%)；行き違い線；行き違いできる；行き違い待ち</t>
        </is>
      </c>
      <c r="E375" t="inlineStr">
        <is>
          <t>反対；不調；摩擦；確執；不和</t>
        </is>
      </c>
      <c r="F375" t="inlineStr">
        <is>
          <t>行き違い型；単線行き違い；行き違い可能な地上駅</t>
        </is>
      </c>
      <c r="G375" t="inlineStr">
        <is>
          <t>行き違い施設；行き違い駅</t>
        </is>
      </c>
      <c r="H375" t="n">
        <v>29</v>
      </c>
      <c r="I375" t="inlineStr">
        <is>
          <t>行き違いになることはまずないだろうから、鍵は締めていくことにした。；今から思えばお互いに相手を愛しすぎたために起こった心のいき違いだった。；行き違いがない場合の下り列車は進行方向右側の線路を通って通過する。；真理亜が来るのがもう少し遅ければ、行き違いになっていたことだろう。；こんだけ遮蔽物が多いと、行き違いになるのも考えられるんですたい。；向うからはいって来た芸者の一人が、行き違いながら、笑って挨拶をした。；行き違いになったかと思って、タクシーで帰って来ちゃったのよ。；行き違いの為の施設と、異常時に信号を操作する継電器室のみが設置されている。；予定より出てくるのが少し遅れちゃったから、行き違いになってもと思って直接こっちに来たんだ。；ぢや僕一寸寄り道をしてゐたから大方行き違ひにでもなつたんでせう。；初め彼は氣がつかなかつたが、行き違はうとする頃になつて私の姿を見て喫驚した。；行き違いになると何だから、ここで遊びながら待っていれば?；けど、なんの行き違いか、まだ話が伝わっていなかったらしくて。；かつては少し競輪場前寄りにあり行き違いの設備を有していた。；行き違いになったのか本当に学校に来ていないのか、結局土御門とは顔を合わせなかった。；行き違いを弁明しただろうが、福田には言い訳に聞こえたことだろう。；習慣や感覚の違いからくるいき違いも、これまたたくさんある。；それとも何か、信じられないような行き違いがあったのか。；また行き違いについては王寺駅でも可能だが通常はこの駅で行う。；一方、南側は狭い道が続き、行き違いが困難の場所も存在する。；行き違つてから振り返つて見ると後になつて居た人夫が其男と噺をして居る。；隣近所の生活上のちいさな行き違いが、際限ない疑惑へふくらんでいく。；特急通過駅ではあるが、行き違いのために運転停車することがある。；私にもどういう行き違いでこうなってるのか分かりません。；このいき違いはどうすればなくすことができるのだろうか。；行き違いや思いこみ、誤解で、芙美子が悪者になったこともあるだろう。；行き違いがある場合は、上りが2番のりばに入る形を取っている。；ほんのちょっとした行き違いから私は順ちゃんの死を知らずに三十年を過ごしてしまったのだ。；やがてアメリカ兵がフィッシュホルン城へ到着したが、行き違いとなった。</t>
        </is>
      </c>
      <c r="J375">
        <f>HYPERLINK("https://www.weblio.jp/content/行き違い", "词义详情")</f>
        <v/>
      </c>
      <c r="K375">
        <f>HYPERLINK("https://yourei.jp/行き違い", "查看例句")</f>
        <v/>
      </c>
    </row>
    <row r="376">
      <c r="A376" t="inlineStr">
        <is>
          <t>行き詰まる</t>
        </is>
      </c>
      <c r="B376" t="inlineStr">
        <is>
          <t>成功</t>
        </is>
      </c>
      <c r="C376" t="inlineStr">
        <is>
          <t>読み方：いきづまる
［動ラ五（四）］⇒ゆきづまる</t>
        </is>
      </c>
      <c r="D376" t="inlineStr">
        <is>
          <t>留まる；極まる；追い込まれる；詰まる；溜まる</t>
        </is>
      </c>
      <c r="H376" t="n">
        <v>29</v>
      </c>
      <c r="I376" t="inlineStr">
        <is>
          <t>就職難といっても、その頃は世の中が今日ほど行き詰まっていなかった。；殺されたのが肝腎の山本だったので、我々の捜査が行き詰まったんです。；現実現実と言いますけれども、社会の現実はいかにも行き詰まって醜い。；また、書いて行き詰まってからがいちばん思考がまとまるタイプである。；すでに何手か指しており、その途中で手が行き詰まってしまったものらしい。；ときおりこういう風に反対のことをしないと行き詰まってしょうがない。；しかし今のままでは行き詰まるか、取り残される心配が相当濃厚である。；同月には自治州を自治共和国へ昇格させようとする試みも行き詰まった。；どう気持ちを盛り上げてみても、仕事に行き詰まっているのは変わらない。；再び行き詰まったために一度持ち越していた障害に本格的に転向する。；その仕事に行き詰まると、今のピストルを二挺持って上甲板に駈け上る。；実際には金のある人間はもっと少ないから、さらに早く行き詰まる。；これは、読者に、執筆に行き詰まっての自殺だと思わせないためです。；このために建築家は憂鬱症となり、建設は行き詰まってしまったという。；行き詰まったんじゃなくて白河さんの案が良くなくて通らなかっただけです。；レスター・ビットンは、財政的に行き詰まって自殺したことにするんだ。；行き詰まっていた話のターニングポイントになるかもしれなかった。；いや、それまでつづけてきた不倫の関係が行き詰まっていたからかもしれない。；このような行き詰まった状況で、市場は取引時間を大きく短縮した。；魍魎に就いての考察が行き詰まることと、今回の事件と何か関係があるのか?；行き詰まったときなど、声からの連絡を待つようにさえなった。；ほかの脚本家がそうやって行き詰まってるのを、こっちは何度も見ているからな。；国王軍は瞬く間に二の郭を掌握したが、そこで行き詰まってしまった。；行き詰まった取材が急転回したのは、それから二週間ほど経ってからだった。；じゃ単に行き詰まったんだよ、それだけの才能だったってことでいいじゃないか。；これはゲームの展開が行き詰まっている時や、誰も大陸支配に成功していないときに特に有効になる。；私の考えは行き詰まればいつでもここへ落ちて来ました。；過ぐる七年のさびしい嵐は、それほど私の生活を行き詰まったものとした。；広島抗争の取材を重ねて材料は充分に整ったが、その料理法に行き詰まった。</t>
        </is>
      </c>
      <c r="J376">
        <f>HYPERLINK("https://www.weblio.jp/content/行き詰まる", "词义详情")</f>
        <v/>
      </c>
      <c r="K376">
        <f>HYPERLINK("https://yourei.jp/行き詰まる", "查看例句")</f>
        <v/>
      </c>
    </row>
    <row r="377">
      <c r="A377" t="inlineStr">
        <is>
          <t>憤り</t>
        </is>
      </c>
      <c r="B377" t="inlineStr">
        <is>
          <t>成功</t>
        </is>
      </c>
      <c r="C377" t="inlineStr">
        <is>
          <t>読み方：いきどおり
いきどおること。立腹。憤慨。「—を覚える」</t>
        </is>
      </c>
      <c r="D377" t="inlineStr">
        <is>
          <t>憤る読者</t>
        </is>
      </c>
      <c r="E377" t="inlineStr">
        <is>
          <t>怒る；憤慨；憤激；立腹；怨恨</t>
        </is>
      </c>
      <c r="H377" t="n">
        <v>29</v>
      </c>
      <c r="I377" t="inlineStr">
        <is>
          <t>私の胸に湧き上って来たのは、悲しみとも憤りともつかぬ感情であった。；私は憤りの手紙を人に贈つた経験は二十代のはぢめに一度だけであつた。；怖いのと憤りのために、その声はいやが上にも高く大きくなるのである。；しかし彼を利用した祭司の長たちの冷淡もやはり彼を憤らせたであろう。；なかば憤りに似た気持のうちに彼は人々を部屋に招待することをやめた。；おまえが仕方ないと言うならば、おれはかれらのためにも憤らなければ。；この二人と歩いているといつもこうなので、もう憤れっこではあるけどな。；しかしそんなことをどうして今、憤っている目の前の男に言えるだろうか。；二人の大人が云うことに耳を貸さず、むっとした憤りを示して動かない。；私たちはそれに対してはたしてどのような憤りを感じているであろうか。；ただゲームをやっているだけで人格を否定されることに憤りを感じた。；新しい子供がまだ生れ出ていないと、子供の憤りは母親に向けられる。；竹内に違いない、そう思うと彼は一種の不安と憤りとを禁じ得なかった。；しかし彼を利用した祭司の長たちの冷笑もやはり彼を憤らせたであらう。；頭の中を占めるのは、自分が何に憤っていたのかという事だけだった。；これを聞いた隆信は、島津と一戦もせずに講和したことを憤ったという。；慎二は、誰にも告げようのない憤りを、毎日心の中に沈澱させていった。；だが、この時彼の心を支配したものは、悲しみでも憤りでもなかった。；そんなことが許されていいものかと、若い徹は憤りを感じたのだった。；そしてとりわけ田中逮捕に憤りを見せたのが主を逮捕された田中派であった。；こうしたありさまをながめていると、王虎は憤らずにはいられなかった。；そうして質問に答えているうちに、僕はまた理不尽な憤りに襲われていた。；彼の表情の中に当然浮び上ってくるであろう憎悪と憤りとを期待しながら。；戦いは朝廷側の勝利に終わり、これを聞いた王敦は憤りの末に亡くなった。；父が、なんとみっともないことをするのだと憤っていても不思議ではない。；糸を絶られて芸の情熱を遮断されてしまったあの憤らしさはよくわかる。；彼は、それよりも、父が、彼の猫を蹴とばしたことに憤りを感じていた。；悲しみよりも憤りの方が勝っているせいか、ほとんど涙を見せない。；私が他に女を拵えたのを憤って日本刀で頸をかき切って死んだのです。</t>
        </is>
      </c>
      <c r="J377">
        <f>HYPERLINK("https://www.weblio.jp/content/憤り", "词义详情")</f>
        <v/>
      </c>
      <c r="K377">
        <f>HYPERLINK("https://yourei.jp/憤り", "查看例句")</f>
        <v/>
      </c>
    </row>
    <row r="378">
      <c r="A378" t="inlineStr">
        <is>
          <t>いきなり</t>
        </is>
      </c>
      <c r="B378" t="inlineStr">
        <is>
          <t>成功</t>
        </is>
      </c>
      <c r="C378" t="inlineStr">
        <is>
          <t>読み方：いきなり
［名・形動］事の成り行きに任せ、十分に考えないで行動すること。また、そのさま。行き当たりばったり。ゆきなり。
「その日その日に追われながら、—な仕事ばかりして来たのも」〈秋声・仮装人物〉
［副］何の前触れもなく急に事が起きるさま。突然。ゆきなり。「路地から—子供が飛び出した」</t>
        </is>
      </c>
      <c r="D378" t="inlineStr">
        <is>
          <t>いきなりこんな；いきなりそんな；いきなりこう；いきなり飛び出し；いきなり殴ら</t>
        </is>
      </c>
      <c r="E378" t="inlineStr">
        <is>
          <t>急；突然；急に；不意に；急激</t>
        </is>
      </c>
      <c r="F378" t="inlineStr">
        <is>
          <t>いきなりゲラゲラ；いきなり冷水を浴びせ；いきなり殴りかから；いきなり走りだし；いきなり笑いだし</t>
        </is>
      </c>
      <c r="G378" t="inlineStr">
        <is>
          <t>いきなり最終回；いきなり団子；いきなりクライマックス；いきなりステーキ；いきなりマリッジ</t>
        </is>
      </c>
      <c r="H378" t="n">
        <v>29</v>
      </c>
      <c r="I378" t="inlineStr">
        <is>
          <t>また初参加となった中華人民共和国女子がいきなり金メダルを獲得した。；いきなり激しい運動をするのは避け、徐々に運動を習慣づけるのがよい。；いきなり音楽の話から入ったし、音楽ってのは遠慮もなにもないからね。；このいきなりのメジャーデビューは彼にとって良い結果にはならなかった。；父親はいきなりの展開にも拘らず入門を喜んだが、一方で母親は猛反対。；すると、いきなり列の先頭にいる見知らぬ男の子に大声で呼ばれてしまう。；国際大会デビューとなったネーベルホルン杯でいきなり優勝を果たした。；いきなり国際コンクールで賞を受けたことで注目を集めるようになる。；デビューした1989年にいきなりジロ・デ・イタリアでステージ優勝。；初仕事でいきなり命を失いかけながらも、見事成功を収めたドミノ。；に巨人に入団するといきなり10連勝、翌も34勝を挙げ優勝に貢献。；また、のちに立ち姿勢の場合はいきなりでなくても反則となった。；見ればわかるように、日本人同士の会話でいきなりフランスの貨幣が登場する。；いきなり一人目のボスを倒すと、お金かいかさまカードのご褒美がある。；番組はオープニングタイトルなしでいきなり本編がスタートする形になった。；矢部美希はは2006年デビュー時にいきなりセミヌード姿を披露した。；スタート時の初期速度がいきなり20Gの状態で始まる超上級者向けのモード。；新馬戦でいきなり大差勝ちしたが、なかなか2勝目を挙げられなかった。；ところが、いきなりそのパソコンが爆発し、彼女は気を失ってしまう。；作品の舞台が、お城からいきなりアフリカに飛ぶことがよくある。；日下部は柔道を始めて半年後には初めて出た大会でいきなり優勝。；通常時にいきなりBIGに当選した場合は状態突入が確定となる。；香港へ到着した涼は、いきなり全財産の入ったリュックを盗まれてしまう。；広島から出てきたわけの分からん奴が、いきなりヒーローになってしまった。；なお、中隊以上の部隊編成がなされておらず、いきなりその上には課長がいる。；それゆえに一切のシナリオの準備なくいきなりゲームが行えるようになっている。；しめたとばかり真鍋はいきなり手を挙げ「先生違います」と叫んだ。；ゲーム開始直後に数字が一部埋まり、いきなりリーチすることもある。；初めて会話した際にいきなり「お前の試合はしょっぱい」と言われたとのこと。</t>
        </is>
      </c>
      <c r="J378">
        <f>HYPERLINK("https://www.weblio.jp/content/いきなり", "词义详情")</f>
        <v/>
      </c>
      <c r="K378">
        <f>HYPERLINK("https://yourei.jp/いきなり", "查看例句")</f>
        <v/>
      </c>
    </row>
    <row r="379">
      <c r="A379" t="inlineStr">
        <is>
          <t>息抜き</t>
        </is>
      </c>
      <c r="B379" t="inlineStr">
        <is>
          <t>成功</t>
        </is>
      </c>
      <c r="C379" t="inlineStr">
        <is>
          <t>読み方：いきぬき
［名］(スル)
１緊張を解いて、気分転換のためにしばらく休むこと。休息。「—にテレビを見る」「屋上に出て—する」
２室内の換気・通風のために取り付けた装置や開口部。</t>
        </is>
      </c>
      <c r="D379" t="inlineStr">
        <is>
          <t>息抜きできる</t>
        </is>
      </c>
      <c r="E379" t="inlineStr">
        <is>
          <t>停止；中断；休み；休止；休息</t>
        </is>
      </c>
      <c r="H379" t="n">
        <v>29</v>
      </c>
      <c r="I379" t="inlineStr">
        <is>
          <t>あいまの息抜きだろうというのは、一編も書いたことのない人の考えだ。；車も待たせてあるし、ちょうど息抜きがしたいと思っていたところです。；ただ一つ私の息ぬきの出来るところは叔父の元栄のお寺ばかりであった。；この日は彼女の息抜きと夫への奉仕にあてられるべき日だったからである。；受験勉強の息抜きだと思っていた連中も少なくなかったんじゃないですか。；ここらで少しばかり息ぬきをさせてあげるのも悪くないと思いますよ。；夏じゅう働いたのだったら、二週間くらい息ぬきをしてもいいと思うわ。；横には息ぬきの穴もあるし、外から鍵をかけると、中からは絶対に開かない。；鉄道の雑誌を見たり、時刻表を眺めるのは、仕事の息抜きになっている。；それもそのとおりで、狭い部屋と廊下だらけのこの国では息抜きも難しい。；四つ壁に囲まれた単調な生活の息抜きになるし、散歩の距離も延長される。；皆小さなアパートに暮らしていて、喫茶店が唯一の息抜き場所だった。；息抜きしようにもこどもだけで自由に遊べる原っぱや広場がなくなった。；番組中では数回、息抜き的に、料理店のある地域や素材の紹介が入る。；ひょっとすると、この穴は息抜きのためにあけられたのではないか。；バカやって売れているところが、自分たちの息抜きにもなるというのだ。；すこしは息抜きの時間があった方が良いに違いありません。；北朝鮮では仕事が終わった後の息抜きの場がほとんどないことも大きな問題である。；常に気を抜けない集団授業とは違い、個人指導ではちょっと息抜きをしたかったのだ。；無駄話に熱中して勉強にならないことも多いのだが、それはそれで息抜きになる。；仕事が一つ片付いたんで、息抜きに、北海道へ行こうと思いましてね。；真嘉比の野でこうやって膝をついてぼんやりしていることが唯一の息抜きになっていた。；これぐらいの息抜きがなければとてもやってはいられない。；会議というのは、たいていの女子社員にとっては、息抜きの時間である。；兄は立ち上がって伸びをすると、息抜きのつもりか、ブラインドを開けた。；また、息抜のためにも、なかったらやり切れないだろうし、困るだろう。；波瀾が予想される今夜の前には息抜きしておいたほうがいい。；今回の休暇が終わったら次はいつ息抜きができるかわからない。；深夜ではあったが、サロンには息抜きのために十人近い所員がいた。</t>
        </is>
      </c>
      <c r="J379">
        <f>HYPERLINK("https://www.weblio.jp/content/息抜き", "词义详情")</f>
        <v/>
      </c>
      <c r="K379">
        <f>HYPERLINK("https://yourei.jp/息抜き", "查看例句")</f>
        <v/>
      </c>
    </row>
    <row r="380">
      <c r="A380" t="inlineStr">
        <is>
          <t>生き残る</t>
        </is>
      </c>
      <c r="B380" t="inlineStr">
        <is>
          <t>成功</t>
        </is>
      </c>
      <c r="C380" t="inlineStr">
        <is>
          <t>読み方：いきのこる
［動ラ五（四）］他の者が滅んだあとも生きてこの世に残る。「—・った遭難者を救出する」「苛烈な販売競争で—・る」</t>
        </is>
      </c>
      <c r="D380" t="inlineStr">
        <is>
          <t>生き残る可能性；生き残る確率；生き残るべき</t>
        </is>
      </c>
      <c r="E380" t="inlineStr">
        <is>
          <t>持つ；残る；生きる；我慢；生存</t>
        </is>
      </c>
      <c r="H380" t="n">
        <v>29</v>
      </c>
      <c r="I380" t="inlineStr">
        <is>
          <t>この戦いの後はキマイラのみが地上に生き残ることになるとされていた。；このさき生き残るためにはどうしてもどこかと手を組まなければならん。；そこにも猫が生息していたが1936年までには1羽が生き残っていた。；生き残ろうが死んでしまおうが、どうでも良いと言っているかのように。；ドイツ占領下ではほとんどのポーランド人は生き残るために必死だった。；リンダと生きていたこの時代があるから、ここに生き残ることができた。；それこそがこの男を、危険な闇の世界で今まで生き残らせてきたのだろう。；訓練で身につけた能力を発揮すれば、それだけ生き残る確率は高くなる。；このときも生き残ったチェコ貴族の多くがポーランドへと亡命している。；生き残るために必要な勇気を持っているからこそ、生き残っていられる。；戦ってこれ以上の侵攻を防ぐ以外に、我々が生き残る道はないようだ。；わたしたちが生き残るには、ここでセイバーに回復してもらうしかない。；そのほか、肉体のうち、生き残る可能性のあるものは、手だけであろう。；つまりより複雑で高度な文化を持った人間が生き残るように設定してあります。；最晩年までそごう・西武が生き残る道は必ず存在すると語っていたという。；あいつと出会って、なんども衝突して、生き残る為とはいえ肌を重ねた。；この目は、非常に高温の環境で種が生き残る能力のために注目されている。；家族が生き残らなくても、結婚していたら、人生は変わっていたはずだよ。；ヨーロッパで最後に生き残った第二次世界大戦の戦時指導者の一人だった。；奴らの力を手に入れれば、どんな状況になっても生き残ることができる。；パイだけが生き残ることを俺ははじめからひそかに期待していたのだろうか。；死を覚悟することで、むしろ体の底から生き残ろうとする力が湧いてきた。；あの山の中で生き残るくらいなら、いま心臓を抉っちまった方がましだ。；その多くは既に死亡していたが、生き残った者も裸でガス室へ送られていった。；それから、彼は名をパイケアと変えたが、生き残ったのは彼一人だった。；宇宙でただ一人生き残った人間・イチヒコとロボットたちの生活が始まる。；そうだ、これに乗じて、なんとか自分だけ生き残る機会はないだろうか。；まあ、生き残ることが大事なのであって強さは求めていないからいいのだけど。；だから、自分だけは生き残ろう、とそれだけを念じて戦いつづけている。</t>
        </is>
      </c>
      <c r="J380">
        <f>HYPERLINK("https://www.weblio.jp/content/生き残る", "词义详情")</f>
        <v/>
      </c>
      <c r="K380">
        <f>HYPERLINK("https://yourei.jp/生き残る", "查看例句")</f>
        <v/>
      </c>
    </row>
    <row r="381">
      <c r="A381" t="inlineStr">
        <is>
          <t>生き物</t>
        </is>
      </c>
      <c r="B381" t="inlineStr">
        <is>
          <t>成功</t>
        </is>
      </c>
      <c r="C381" t="inlineStr">
        <is>
          <t>読み方：いきもの
１生きているもの。特に、動物。生物(せいぶつ)。「—をかわいがる」
２生命があるかのように、生き生きとして、絶えず変化するもの。「言葉は—だ」</t>
        </is>
      </c>
      <c r="D381" t="inlineStr">
        <is>
          <t>生き物たち(3%)；生き物みたい；生き物係；生き物達；生き物じみ</t>
        </is>
      </c>
      <c r="E381" t="inlineStr">
        <is>
          <t>動物；生命；生物；獣；生体</t>
        </is>
      </c>
      <c r="F381" t="inlineStr">
        <is>
          <t>奇妙な生き物；どんな生き物；あらゆる生き物；大きな生き物；そういう生き物</t>
        </is>
      </c>
      <c r="G381" t="inlineStr">
        <is>
          <t>生き物苦手板</t>
        </is>
      </c>
      <c r="H381" t="n">
        <v>29</v>
      </c>
      <c r="I381" t="inlineStr">
        <is>
          <t>そんなことは考えぬというのが、この世の生き物の間の約束ではないか。；興味と言へば、変つた生き物がゐるから見てやれと言つた眼付きだね。；移動性のある生き物が移動性のない生き物より高い保護を受けられている。；普段は白い狐の姿をしているが、人間やその他の生き物にも化けられる。；その物語では、すべての生き物をひとつがいづつ船に乗せた、とされる。；その第四号の檻の中には、一体どんな生き物が入っていたのだろうか?；真個に足を地につけて、生き物として生き始めたとでも申しましょうか。；主要な登場人物には海の生き物に関連した名前がつけられている。；総合教育は非常に評判が良く、生き物や料理等の体験教育を取り入れている。；海の生き物を集めること自体が大変であり、驚きをもたらすものでした。；上手に飼育することで数ヶ月後に思わぬ生き物が顔を出すこともある。；人間は社会を形成すると共に、極めて脳が発達した感情の生き物でもある。；そいつときたら、この退屈な婦人のやうな生優しい生き物ではなかつた。；つまり、自分の中に住んでいるあらゆる種類の生き物を身体から出してやる。；パンドラの独特な地形、自然、生き物との世界を体験することが出来る。；また、生き物の姿を表現することは宗教的な場所や作品では認められていない。；昭和の終わりごろは川も汚れて生き物が少なくなってきていた。；物の動きはいくらでもあるのだが、生き物のいる気配はまったくないのだ。；生き物を愛し、家の中に虫がいても殺さずに優しく外に放つほどであった。；この能力では生き物を一緒にテレポートさせることはできなかったのである。；空を駆ける事ができ、十二国世界の生き物の中で最も脚が速いとされる。；少年はその部屋に入り、大きな塊のような生き物であるハドルを発見する。；動物や他の生き物の像は、その中に心がないため、会話することができない。；ぼんやり見てゐた私はその時、その中洲の上にふと一つの生き物を発見した。；岩の中には今は絶滅してしまった奇妙な形の生き物たちが刻み込まれている。；ブラジル周辺では非常に俊敏な生き物である事から決まったという。；その姿はトカゲあるいはヘビに似、かつては実在の生き物とされていた。；斎戒は、仲間の生き物にもっと慈悲深くなる動機となるべきものである。；そこにも風があって、白い紙屑が生き物のように街上を走っていた。</t>
        </is>
      </c>
      <c r="J381">
        <f>HYPERLINK("https://www.weblio.jp/content/生き物", "词义详情")</f>
        <v/>
      </c>
      <c r="K381">
        <f>HYPERLINK("https://yourei.jp/生き物", "查看例句")</f>
        <v/>
      </c>
    </row>
    <row r="382">
      <c r="A382" t="inlineStr">
        <is>
          <t>生きる</t>
        </is>
      </c>
      <c r="B382" t="inlineStr">
        <is>
          <t>成功</t>
        </is>
      </c>
      <c r="C382" t="inlineStr">
        <is>
          <t>読み方：いきる
乙川優三郎の時代小説。藩主亡き後、追い腹を禁じられながら生きる武士の苦悩を描く。平成14年（2002）刊行。同年、第127回直木賞受賞。
黒沢明監督・脚本による映画の題名。昭和27年（1952）公開。出演、志村喬、小田切みきほか。事なかれ主義だった公務員が余命宣告を機に、使命感をもって仕事を遂行していく姿を描くヒューマンドラマ。志村演じる主人公がブランコをこぐ場面は特に有名。第26回キネマ旬報ベストテンの日本映画ベストワン作品。ベルリン国際映画祭上院特別賞、第7回毎日映画コンクール日本映画大賞など数々の映画賞を受賞。</t>
        </is>
      </c>
      <c r="D382" t="inlineStr">
        <is>
          <t>生きること(13%)；生きるということ(2%)；生きるべき；生きるか死ぬ；生きる力</t>
        </is>
      </c>
      <c r="E382" t="inlineStr">
        <is>
          <t>いる；ある；持つ；生活；経験</t>
        </is>
      </c>
      <c r="F382" t="inlineStr">
        <is>
          <t>死ぬか生きる；どう生きる；長く生きる；たくましく生きる；以上生きる</t>
        </is>
      </c>
      <c r="G382" t="inlineStr">
        <is>
          <t>生きるために；生きる力；生きる目的；生きる喜び；生きるよろこび</t>
        </is>
      </c>
      <c r="H382" t="n">
        <v>29</v>
      </c>
      <c r="I382" t="inlineStr">
        <is>
          <t>二人は旅の中で出会う様々な人の中に次々と生きる意味を発見して行く。；生きる場所を探しに行くつもりで、日本に帰ってくるつもりはなかった。；そこで生きるとはどういうことなのかを考えながら制作したと語っている。；それは、彼らは実は生きていて、話したり自由に行動したりできるのだ。；その時点では聖天坂への旧道はまた生きていたのではないかと思われる。；実際に長い進化の時間の中で生きたり死んだりするのは個体である。；見栄えのよさが生きることもあって映像収録にも特に積極的であった。；日本人で最初に生きた英語を話すことができたのはジョン万次郎であろう。；第2義の接触によって人は自覚を持って宗教的な生を生きることになる。；私は自分が永遠に生きるのではないかと思うと、空恐ろしい気分になる。；終わらない冬の世界を歩く巨人と、その背に都市を造り生きる人間たち。；思想は人が作るものですから、その人の生きてきた軌跡が入っている。；だが、彼女は全身が骨折し、首が180度回転した状態でも生きていた。；今まで生きた誰よりも多く世界中の人々に福音を語ったといわれる。；ヨブは神の無償の行為の世界の中に生きていることを理解して知っている。；この時から、もはや前を向いて生きるということをしなくなってしまった。；父が生きていれば、きっと活動していただろうと思うとやり切れなかった。；学校という社会の中で他人の自由を大切にし、共に生きることである。；生きているうちによみがえった死人や眠っていた人たちが天に上げられる。；すべてを失い生きる望みも無くした彼は、不思議な老人に声をかけられる。；そんな状況の中で生きる者の中に、格闘技の達人であるリー兄弟がいた。；くちばしは、使うことで磨耗しても、鳥が生きている限り再生していく。；重水の中では魚類も生きることができず、植物の発芽や成長も停止する。；生きているうちにキリストにあって死んだ人々が、まず最初によみがえる。；サバイバルとは、困難な状況や危険な状況にもかかわらず生き続けること。；しかしリンネの分類自体が現在もそのまま生きているわけではない。；自分がコーチになっていろんな球団を巡るようになってあの時の経験が生きた。；寿命はまだよくわかっていないが、飼育下では50年生きた個体もいる。；そして、それは「中世の地域に生きる人の一般的なあり方」でもあった。</t>
        </is>
      </c>
      <c r="J382">
        <f>HYPERLINK("https://www.weblio.jp/content/生きる", "词义详情")</f>
        <v/>
      </c>
      <c r="K382">
        <f>HYPERLINK("https://yourei.jp/生きる", "查看例句")</f>
        <v/>
      </c>
    </row>
    <row r="383">
      <c r="A383" t="inlineStr">
        <is>
          <t>行く</t>
        </is>
      </c>
      <c r="B383" t="inlineStr">
        <is>
          <t>成功</t>
        </is>
      </c>
      <c r="C383" t="inlineStr">
        <is>
          <t>読み方：いく
［動カ五（四）］⇒ゆく</t>
        </is>
      </c>
      <c r="D383" t="inlineStr">
        <is>
          <t>行くべき；行くんです；行くまい；行くんだろ</t>
        </is>
      </c>
      <c r="E383" t="inlineStr">
        <is>
          <t>なる；参加；来る；至る；到着</t>
        </is>
      </c>
      <c r="F383" t="inlineStr">
        <is>
          <t>歩いて行く；連れて行く；入って行く；出て行く；つて行く</t>
        </is>
      </c>
      <c r="G383" t="inlineStr">
        <is>
          <t>行く先；行く末；行く行く；行くね；行く年</t>
        </is>
      </c>
      <c r="H383" t="n">
        <v>29</v>
      </c>
      <c r="I383" t="inlineStr">
        <is>
          <t>そういう仏教芸術の力によって満足を得て行こうとした時代であります。；もし自分に反対する者がいるならトレードで出て行くことになるだろう。；ドイツにいた時だったか、ハンブルクに行こうとしていた時につくった。；これを調和させて、両方有効に使って行こうとするのが仏教の目的です。；また、安彦とは以前は彼のスタジオによく遊びに行っていた仲でもある。；この広場で行った演説は彼の政治活動のなかで最も成功したものだった。；彼女の子供たちは父親が牧師であることが幸いし、無料で学校に行けた。；それでも医者を呼ぶのを嫌って、こっちから医者の家へ行こうと云った。；ユダがドアのほうへ向かい、小さな暗い部屋から出て行こうとしている。；流民が北へ行こうとした時には、これを尽く殺したこともあったという。；ふたりは生まれてから来たこともないほど森の奥に連れて行かれた。；しかし、かつては悪い思い出が多すぎるためあまり行かなかったという。；ある日、その妻が亡くなったと連絡が入ったが、葬儀には行かなかった。；それでもゲーリングは自分が直接英国へ行けば状況は変わると信じていた。；いつだったかいっしょに芝居へ行こうと思ったら、髭も剃っていないの。；失望から学校に行かなくなり、近所の森や山で時間を潰す日々を送った。；ほかにも漫画家の半澤香織と遊びに行って献血に行こうとした事もある。；部屋に戻ると五郎が来ており、シュウが待つ北時計に行くように勧める。；両親の趣味はクラシック音楽で演奏会に連れて行かれることもあった。；さらに、施設も旧九重のものを継承し九重の方が部屋を出て行く形となった。；その途中に大ボスクラスの4体を順次相手にして行かなければならない。；皇后はそのまま連れて行かれて殺され、彼女の一族も数百人が殺された。；感覚を掴んだ頃になると、自主的にトイレに行かせる訓練が必要になる。；西へ行きたがっている者を、自分と同じ方向の、北へ連れて行こうとする。；その代わりに太田川発金山行きの普通が平日の昼間にも多数走っていた。；また、川に戻る山童たちを見に行こうとすると病気になると言われていた。；他に誰も入れない兄弟2人だけの世界は、この後東京に行ってからも続く。；さらにミナス・ティリスへ帰るために同じ道を行くボロミアも選ばれた。；自分の能力が必要とされていると感じて、暦は研究所に行こうとする。</t>
        </is>
      </c>
      <c r="J383">
        <f>HYPERLINK("https://www.weblio.jp/content/行く", "词义详情")</f>
        <v/>
      </c>
      <c r="K383">
        <f>HYPERLINK("https://yourei.jp/行く", "查看例句")</f>
        <v/>
      </c>
    </row>
    <row r="384">
      <c r="A384" t="inlineStr">
        <is>
          <t>幾～</t>
        </is>
      </c>
      <c r="B384" t="inlineStr">
        <is>
          <t>成功</t>
        </is>
      </c>
      <c r="C384" t="inlineStr">
        <is>
          <t>読み方：いく
［接頭］名詞に付く。時には形容詞に付くこともある。また、接尾語が付いて副詞をつくることもある。
１数量の不明・不定の意を表す。「—人」「—日」
２数量の多い意や年月の長い意を表す。「—千万」「—千代」「—久しく」</t>
        </is>
      </c>
      <c r="D384" t="inlineStr">
        <is>
          <t>いくらか</t>
        </is>
      </c>
      <c r="H384" t="n">
        <v>29</v>
      </c>
      <c r="I384" t="inlineStr">
        <is>
          <t>韓国との交流が盛んで過去幾度にもわたりお互いでの交流を深めている。；幾百万の家屋を有する巨大新家族集団地が帝国各地に出現するであろう。；チームは最初の任務でワンダーマンを含む幾人かの死者を出してしまう。；母はそれから幾度か、ねえやの処へ一度つれてゆくつれてゆくと云った。；ネロを含む幾人かの皇帝の像は死後に破壊されたが、後に作り直された。；また、ギルで敵を倒した場合、一部の敵を除いて幾分かHPが回復する。；ブラウンは、授賞式で演奏を行った幾人かの受賞者の内の一人であった。；このシリーズの登場人物の幾人かは実在の人物をモデルにしている。；そこには幾千万もの巡礼者がもたれるように祈りを捧げてきた柱がある。；幾世紀前の建築家らしいその彼は3人の魔女のために家を建てたという。；彼の経歴を通して、デイリーはその分野の幾冊かの本と記事を出版した。；そして任を去ってから幾年も経たずにその像を壊し、その主人を替える。；江戸中期に最盛期を迎え幾度の取締りを経て、上七軒の傘下に置かれた。；荘園の権利は、継続して幾名かの貴族家系の領主の物となっていった。；その後幾度か増改築が行われ、現在の姿となったのは寛政年間の頃である。；捕虜の幾人かは儀式として殺された可能性はあるが、人肉食の証拠は無い。；スポーツ大佐が様々な相手との戦いで幾戦もの勝利を上げるというストーリー。；しかし実際は幾人かに断られた末の5人目だったことを後に知った。；その後幾度の引っ越しでピアノ先生が変わり11歳からチェロを始める。；幾卿はやる気を失い、多くは病気であると称して、仕事をしなかった。；ブエノスアイレスに停泊している間に、当初の隊員の幾人かが隊を離れた。；そしてこの時康有為の実弟を含む同志の幾人かは逮捕処刑されてしまった。；艦船の幾隻かは戦争が始まったときに存在すらしていなかった。；幾十日の間、黒闇の中に体を投げだしていたような状態が過ぎた。；「初ちゃん」はそれから幾日もたたずに柩にはいってしまったのであろう。；その行動はホーソーンなど以前の友人の幾人かを大いに失望させた。；交野市教育委員会では周辺の開発に伴い幾度かの発掘調査を実施している。；さうして一度神に到達した後、幾層の深さを以つて一度捨てた自然を熱愛した。；ああ、初めのうちに読み返した幾通かの手紙は私には何の興味もないものだった。</t>
        </is>
      </c>
      <c r="J384">
        <f>HYPERLINK("https://www.weblio.jp/content/幾～", "词义详情")</f>
        <v/>
      </c>
      <c r="K384">
        <f>HYPERLINK("https://yourei.jp/幾～", "查看例句")</f>
        <v/>
      </c>
    </row>
    <row r="385">
      <c r="A385" t="inlineStr">
        <is>
          <t>育児</t>
        </is>
      </c>
      <c r="B385" t="inlineStr">
        <is>
          <t>成功</t>
        </is>
      </c>
      <c r="C385" t="inlineStr">
        <is>
          <t>読み方：いくじ
［名］(スル)子を養い育てること。子育て。「—休暇」</t>
        </is>
      </c>
      <c r="D385" t="inlineStr">
        <is>
          <t>育児院(4%)；育児室(3%)；育児用；育児法；育児書</t>
        </is>
      </c>
      <c r="E385" t="inlineStr">
        <is>
          <t>養育；子育て；養い；育み；愛育</t>
        </is>
      </c>
      <c r="F385" t="inlineStr">
        <is>
          <t>家事育児；育児手当；育児コンシェルジュ；等育児；育児行動</t>
        </is>
      </c>
      <c r="G385" t="inlineStr">
        <is>
          <t>育児休業；育児休暇；育児放棄；育児雑誌；育児相談</t>
        </is>
      </c>
      <c r="H385" t="n">
        <v>29</v>
      </c>
      <c r="I385" t="inlineStr">
        <is>
          <t>今後も育児指導に訪問することを納得させるだけで、その日は終わった。；部長の妻が育児のことに話題を変えたので、病院の不手際の話になった。；育児院の子供たちを見ているうちに、陽子は告げずにはいられなかった。；どんな育児の本も、必ずとり落しなく触れている一つのことがあります。；家事・育児は協力するからと勧められて大学院へ進み、研究者になった。；板橋の妊娠・出産・育児の様子を撮影した写真や映像が使用されている。；そうしてそれをいまわれわれのもっている育児の知識といい得ます。；前後して、長男の育児の経験をもとにした講演活動も積極的に行っている。；親が離婚した後も、子どもの育児には両親の協力が必要であると考えられる。；アマーリエは自分の子供たちの育児・教育を徹底的に自分自身で行った。；実はそうしなければならないほど育児とは大変な作業なのである。；育児院は市立病院の近くにあって、石狩川の堤防の付近だと聞いていた。；その大都市の特別育児室には、そうした子供がほかに三人いたからだ。；このあたり、育児とか職業生活に対する考えが、日本とは基本的に違う。；幼児の息子の育児をしながら、パリとトネルでは妻がリセで講師をした。；ほら、よく他の動物の匂いがついたら育児放棄するとか聞くじゃない?；しかし、働く母の育児問題で最も大きな難関は小学校入学後であった。；ちょっと気が向いて家事や育児を手伝おうとすればそれはすぐわかる。；われわれの育児の知識は実に大切なその方向と手段を私たちに示してくれるものです。；戦闘能力が低いと判断されたサイヤ人は自宅の育児カプセルで育てられる。；きっと育児の疲れからくる僕へのあてつけだったんだろうな。；再開後は安達は母を介護、よしこさんは育児をしながら活動をしている。；彼はおもちゃをとりに育児室にやられ、やがて、そこで幸福に遊んでいた。；永山は生育時に両親から育児を放棄され、両親の愛情を受けられなかった。；地味だが堅実な育児の本を出版している会社名が、彼の名の右上にあった。；ジョン・グリア孤児院の育児室では、こんなふうにはしていませんことよ。；子供が生まれてからは育児も分担する、当時は珍しいタイプの男性であった。；そう、育児って大変なのね、と同情的に読んでくれるのかもしれない。；子を出産し、育児を行う母親になったギャルのことをギャルママと呼ぶ。</t>
        </is>
      </c>
      <c r="J385">
        <f>HYPERLINK("https://www.weblio.jp/content/育児", "词义详情")</f>
        <v/>
      </c>
      <c r="K385">
        <f>HYPERLINK("https://yourei.jp/育児", "查看例句")</f>
        <v/>
      </c>
    </row>
    <row r="386">
      <c r="A386" t="inlineStr">
        <is>
          <t>育成</t>
        </is>
      </c>
      <c r="B386" t="inlineStr">
        <is>
          <t>成功</t>
        </is>
      </c>
      <c r="C386" t="inlineStr">
        <is>
          <t>読み方：いくせい
［名］(スル)育て上げること。育ててりっぱにすること。「後継者を—する」</t>
        </is>
      </c>
      <c r="D386" t="inlineStr">
        <is>
          <t>育成するため；育成プログラム；育成組織；育成部門；育成牧場</t>
        </is>
      </c>
      <c r="E386" t="inlineStr">
        <is>
          <t>示し；教育；教え；指導；起用</t>
        </is>
      </c>
      <c r="F386" t="inlineStr">
        <is>
          <t>選手育成；若手育成；健全育成；産業育成；青少年育成</t>
        </is>
      </c>
      <c r="G386" t="inlineStr">
        <is>
          <t>育成契約；育成コーチ；育成型期限付き移籍；育成ドラフト；育成シミュレーションゲーム</t>
        </is>
      </c>
      <c r="H386" t="n">
        <v>29</v>
      </c>
      <c r="I386" t="inlineStr">
        <is>
          <t>仙台は馬産に適した地域であったことから藩をあげて育成に努めていた。；そのためアメリカは巨費を投じてアジアやアフリカの専門家を育成した。；かつては資金力に枯渇しており、若手育成を中心としたチームであった。；同年には州中央身体文化研究所のコーチ育成学校を卒業している。；獲得し拡張することは、保持し育成して楽しみを得ることほど重要ではない。；近代以降、多くの文学賞が創設され、作家の発掘と育成に貢献している。；新しい才能の育成と発見および、ロシアにおける出版市場の創出である。；メジロブライトは、そのような改革実行後に育成される最初の世代だった。；リーダー育成により日本の社会に影響ある若者を育てることを目指す。；山形県や秋田県では会社制度に転換したりして後継者を育成し続けている。；藩外からも植物、魚類などを輸入して藩内での育成に努めるるなどした。；各育成施設はそれぞれ独自の歴史を持つ独立した組織であり全国的な統一団体は存在しない。；韓国と中国では、日本と同様に学校の部活動による育成が主流である。；ブリザードYukiを含む複数の主人公から一人を選んで育成する。；こうした後進産業国では政府の強力なリードのもとで産業育成がなされた。；ハンス・フォン・ビューローをはじめとする多くの弟子を育成した。；限られた育成可能な地域で生産が急速に拡大している。；産業振興の一方早くから国民の余暇活動育成への計画が練られていた。；聡明で思いやりのある、多方面で活躍できる女性の育成を目指している。；若手アナウンサー育成の傾向のあるこの番組ならではのチャレンジ企画。；背景には地方産業育成の意図があったと思われるが、国鉄では珍しい事例である。；高度に複雑化した現代社会の健康問題を解決する専門家・研究者の育成を目指している。；子供たちをどう育成していくかが今後の課題である。；また経営者は幹部候補を育成する能力が必要とも述べている。；育成調教が行われた同場では、その動きの良さが評判となった。；軍馬の育成を目的に設計されており、極端な高低差はその名残である。；また、育成改革も行われて6人の登録選手が地元で育成された人ではないといけない。；これを機に航空機を利用し始めた他国の軍でも同等の早期育成制度を創設した。；卒業後に、いかなる企業や組織でも活躍していくことができる力を育成する環境となっている。</t>
        </is>
      </c>
      <c r="J386">
        <f>HYPERLINK("https://www.weblio.jp/content/育成", "词义详情")</f>
        <v/>
      </c>
      <c r="K386">
        <f>HYPERLINK("https://yourei.jp/育成", "查看例句")</f>
        <v/>
      </c>
    </row>
    <row r="387">
      <c r="A387" t="inlineStr">
        <is>
          <t>幾多</t>
        </is>
      </c>
      <c r="B387" t="inlineStr">
        <is>
          <t>成功</t>
        </is>
      </c>
      <c r="C387" t="inlineStr">
        <is>
          <t>読み方：いくた
数量の多いこと。あまた。数多く。「—の困難を切り抜ける」</t>
        </is>
      </c>
      <c r="D387" t="inlineStr">
        <is>
          <t>幾多の好</t>
        </is>
      </c>
      <c r="E387" t="inlineStr">
        <is>
          <t>多い；かなり；たくさん；いっぱい；いくつも</t>
        </is>
      </c>
      <c r="F387" t="inlineStr">
        <is>
          <t>大小幾多；以来幾多</t>
        </is>
      </c>
      <c r="H387" t="n">
        <v>29</v>
      </c>
      <c r="I387" t="inlineStr">
        <is>
          <t>吾々をもっと健康にする前にそこから幾多の示唆を受けることが出来る。；古代王国の後期には、魔法に力により幾多の特殊な都市が作られている。；其のみならず、全然一致されない幾多の思想を同時に味ふ事さへ出來る。；幾多さう云ふ権利を有ちたくても、有つ事が出来ずにゐるので御座います。；固より此種の方法に於て幾多の長所があることを認めざるを得ないと思ふ。；それも一人ではなく幾多の黒の刺客が現れ、ティンに襲い掛かってくる。；弱者の行く可き道にも幾多の懷かしい先輩が我等を待つてゐるのである。；この間、彼は故国にある時またパリーにある時、幾多の恋愛を経験した。；その後、幾多の戦争を繰り返し荒廃と再建を繰り返したと考えられている。；幾多の聖者や賢人達が教えたことですから決して間違いはないのです。；これから先もこの無銘の刀が、幾多の血を吸うべき運命をもつのであろう。；コゼットのそばで幾多の楽しい時間を過ごした石の腰掛けをながめた。；残る幾多のものが彼等の眼に入る折なくして終ったのです。；幾多有る彼の詩の中で特に『鶴』は広く知られるソビエトの歌となった。；実家が貧しかったため、幾多の困難を乗り越えて畳製造販売業を営んだ。；商家に生まれるが元来より僧に興味があり幾多の寺に参禅に行ったようだ。；西武鉄道では幾多のオリジナルキャラクターを駅や電車内で使用している。；交響曲へ合唱を入れるということには幾多の技術上の大きい困難があった。；それに平地では勿論低い山では到底見ることの出来ない幾多の特色がある。；役割をそれぞれ分担し、会社を幾多の困難にも負けず大企業に育て上げた。；独特のスタイルでありながら幾多様々なサウンドを出す職人的な一面もある。；此予定をつけるには此先幾多の糾弾の惨苦に堪へ得なければならない。；一個の神話と、その最後の根本基礎との間には、常に幾多の進化階段あり。；しかしまだその方面で幾多のおもしろい新しい試みができるであろうと思われる。；私は「井戸」の幾多の兄弟や姉妹が今もこの世にあることを示してゆこう。；そしてその通路から幾多の支線が出ていて城を形成していた。；実際彼の意志に共通な幾多のものを私たちは感じている。；ここにはまたこことして、思いやるべき幾多のことがあるのである。；私の前には私の見解と縁遠き幾多の本が思い出されるばかりである。</t>
        </is>
      </c>
      <c r="J387">
        <f>HYPERLINK("https://www.weblio.jp/content/幾多", "词义详情")</f>
        <v/>
      </c>
      <c r="K387">
        <f>HYPERLINK("https://yourei.jp/幾多", "查看例句")</f>
        <v/>
      </c>
    </row>
    <row r="388">
      <c r="A388" t="inlineStr">
        <is>
          <t>いくつ</t>
        </is>
      </c>
      <c r="B388" t="inlineStr">
        <is>
          <t>成功</t>
        </is>
      </c>
      <c r="C388" t="inlineStr">
        <is>
          <t>読み方：いくつ
１個数・年齢の不定・不明なときにいう語。何個。何歳。「—でもいいから、あるだけください」「来年—になりますか」
２（「いくつか」の形で）若干の数。「その品物なら—かある」
３（「いくつも」の形で）多くの数。「駅を—も通り過ぎる」
４（接尾語的に用いて）その数値の下の位の数値を大まかにいう。「彼も三十—になったはずだ」</t>
        </is>
      </c>
      <c r="D388" t="inlineStr">
        <is>
          <t>いくつもならん；いくつも浮かん；いくつか見受けられる；いくつだい；いくつもならべ</t>
        </is>
      </c>
      <c r="E388" t="inlineStr">
        <is>
          <t>幾つ；何歳</t>
        </is>
      </c>
      <c r="F388" t="inlineStr">
        <is>
          <t>その他いくつ；大小いくつ</t>
        </is>
      </c>
      <c r="G388" t="inlineStr">
        <is>
          <t>いくつかの場面；いくつかの空；いくつか；いくつかの夜；いくつの夜明けを数えたら</t>
        </is>
      </c>
      <c r="H388" t="n">
        <v>29</v>
      </c>
      <c r="I388" t="inlineStr">
        <is>
          <t>内容の大部分は後半に放送するいくつかの小さなコーナーで占められる。；これらの国家・地域の他にも、いくつかの独立した集落が存在している。；逆に、ある状態をいくつかの状態の重ね合わせに分解することもできる。；まだ正式公開されていない上記以外の環境やカーネル版もいくつかある。；この反応を行う合成系にはいくつかの種類があることが知られている。；代わっていくつかの機能を備えた新しい楽器が開発されつづけている。；実際には、この条件を完全には満たさない国家もいくつか存在している。；なお、世界にはまだ読み方が分かっていない文字がいくつも残っている。；これらの言語グループにはいくつかの重要な共通の特徴が見られる。；日本語にない音を表記するために、いくつかの専用の文字を使用する。；しかし、このシューハルトの主張はいくつかの理由から否定されている。；安定したルテチウムの他に放射性同位体にもいくつか特定の用途がある。；このように波ができる原因はいくつもあるが、最も一般的な原因は風である。；一方で、第二区線の敷設経路についてもいくつかの案が提示されていた。；清代には目的によっていくつかの両があったが、庫平両が標準とされた。；複数の手法による解析の結果、いくつかの破壊モデルが挙げられている。；このため、当初予定した通信実験ミッションのうちいくつかを断念した。；が具体的な値を取るいくつかの場合についてはさまざまな証明が与えられた。；その後の APL では、いくつかの命令型的な機能が追加されている。；いくつかの刺激がある時、同種のもの同士がひとまとまりになりやすい。；そのためダルマの宗教とも呼ばれる が、これにはいくつかの批判もある。；様々な物質で以下のようないくつかの形態の磁気的な振る舞いが見られる。；しかしXの代替となるシステムを開発しようという試みはいくつかある。；画面は升目状に区切られており、いくつかの種類の駒が配置されている。；これらの島のうち、いくつかは構造的に近くの大陸とくっついている。；これらには現在は、上記サーバ機能のいくつかは標準で含まれている。；百座のうち自分がいくつ登ったか増えていくのを楽しみにしている読者もいる。；ロボットは、現在では次のようにいくつかの意味で用いられている言葉である。；テイラーはそれぞれ異なるマシンに接続したいくつかの端末を持っていた。</t>
        </is>
      </c>
      <c r="J388">
        <f>HYPERLINK("https://www.weblio.jp/content/いくつ", "词义详情")</f>
        <v/>
      </c>
      <c r="K388">
        <f>HYPERLINK("https://yourei.jp/いくつ", "查看例句")</f>
        <v/>
      </c>
    </row>
    <row r="389">
      <c r="A389" t="inlineStr">
        <is>
          <t>いくつか</t>
        </is>
      </c>
      <c r="B389" t="inlineStr">
        <is>
          <t>成功</t>
        </is>
      </c>
      <c r="D389" t="inlineStr">
        <is>
          <t>いくつか見受けられる</t>
        </is>
      </c>
      <c r="H389" t="n">
        <v>29</v>
      </c>
      <c r="I389" t="inlineStr">
        <is>
          <t>内容の大部分は後半に放送するいくつかの小さなコーナーで占められる。；これらの国家・地域の他にも、いくつかの独立した集落が存在している。；逆に、ある状態をいくつかの状態の重ね合わせに分解することもできる。；まだ正式公開されていない上記以外の環境やカーネル版もいくつかある。；しかし戦前にもいくつかのプロレス興行があったことが確認されている。；いくつかの自治体は自治体間の特定の地域の中心地の役割を果たしている。；代わっていくつかの機能を備えた新しい楽器が開発されつづけている。；実際には、この条件を完全には満たさない国家もいくつか存在している。；これらの言語グループにはいくつかの重要な共通の特徴が見られる。；日本語にない音を表記するために、いくつかの専用の文字を使用する。；しかし、このシューハルトの主張はいくつかの理由から否定されている。；安定したルテチウムの他に放射性同位体にもいくつか特定の用途がある。；一方で、第二区線の敷設経路についてもいくつかの案が提示されていた。；清代には目的によっていくつかの両があったが、庫平両が標準とされた。；複数の手法による解析の結果、いくつかの破壊モデルが挙げられている。；このため、当初予定した通信実験ミッションのうちいくつかを断念した。；が具体的な値を取るいくつかの場合についてはさまざまな証明が与えられた。；その後の APL では、いくつかの命令型的な機能が追加されている。；いくつかの刺激がある時、同種のもの同士がひとまとまりになりやすい。；そのためダルマの宗教とも呼ばれる が、これにはいくつかの批判もある。；様々な物質で以下のようないくつかの形態の磁気的な振る舞いが見られる。；しかしXの代替となるシステムを開発しようという試みはいくつかある。；画面は升目状に区切られており、いくつかの種類の駒が配置されている。；これらの島のうち、いくつかは構造的に近くの大陸とくっついている。；これらには現在は、上記サーバ機能のいくつかは標準で含まれている。；ロボットは、現在では次のようにいくつかの意味で用いられている言葉である。；テイラーはそれぞれ異なるマシンに接続したいくつかの端末を持っていた。；イギリス国内およびヨーロッパのいくつかの都市を結んでいる。；いくつかの映画に出演したり、アカデミー賞のプレゼンターにも立った。</t>
        </is>
      </c>
      <c r="J389">
        <f>HYPERLINK("https://www.weblio.jp/content/いくつか", "词义详情")</f>
        <v/>
      </c>
      <c r="K389">
        <f>HYPERLINK("https://yourei.jp/いくつか", "查看例句")</f>
        <v/>
      </c>
    </row>
    <row r="390">
      <c r="A390" t="inlineStr">
        <is>
          <t>幾分</t>
        </is>
      </c>
      <c r="B390" t="inlineStr">
        <is>
          <t>成功</t>
        </is>
      </c>
      <c r="C390" t="inlineStr">
        <is>
          <t>読み方：いくぶん
［名］いくつかに分けたうちの一部分。いくらか。「もうけの—かを分けてやる」
［副］程度が小さいさま。いくらか。少し。「—気がひける」「—できが悪い」</t>
        </is>
      </c>
      <c r="D390" t="inlineStr">
        <is>
          <t>幾分緩和；幾分異なる；幾分似；幾分改善；幾分小さく</t>
        </is>
      </c>
      <c r="E390" t="inlineStr">
        <is>
          <t>少し；かなり；ちょっと；わずか；相当</t>
        </is>
      </c>
      <c r="F390" t="inlineStr">
        <is>
          <t>幾分楽；幾分回復；幾分和らい；幾分緊張；幾分小さい</t>
        </is>
      </c>
      <c r="H390" t="n">
        <v>29</v>
      </c>
      <c r="I390" t="inlineStr">
        <is>
          <t>主人公は失ったことに考えを絞ることで、幾分喜びを得たように見える。；混雑の中を行くために、幾分か時間のゆとりを見て置かねばなりません。；しかし塗装は黒と赤を基調としており、ゲーム中との印象は幾分異なる。；明日もまた天気とみえて雪の上はもはや幾分か堅くなって凍っています。；當時われはその無禮を怒りしが、今思ふに此言は幾分の理なきにあらず。；これは勿論私にも、幾分ながら同情を惹くに足るものには相違なかつた。；船に弱い私も幾分馴れてきたので、そろそろ食堂に出てみようかと思った。；彼は自身の演奏によって、観客の心が幾分動くだろうと信じていたという。；折よく辺りに人もいませんかったので、御馬車の中も幾分見えました。；このアルバムは、2ndアルバムとは幾分違った音楽スタイルとなった。；それに空気より幾分軽い気体だから、上部から送るのでは、効果が薄い。；これは勿論私にも、幾分ながら同情を惹くに足るものには相違なかった。；登場人物たちは漫画のそれよりも幾分か現実の人間に近くなっていると思います。；生れて始めての経験であるから、無理もないことだが幾分醜態だった。；もしこれが幾分にても同君の御参考ともならば幸いだと思うのである。；これを見た私は、幾分か彼の心を動かし得たことを思って愉悦を感じました。；強い藍の香もまた「さはやか」な感じの幾分かをつとめているのである。；内容は同じだがシステムに変更があり、プレイ感にも幾分差異がある。；もっとも中には幾分偶然のおかげであった場合も多いであろう。；そこから幾分此の作には不足な「ニユアンス」が生れて来るに違ひない。；彼女が今夜ここへ呼ばれて来たのも幾分か浮いた心も伴っていないでもなかった。；これは水を排除するために船の底に穴をうがつのに幾分似ていた。；再現部は第1主題の再現から始まるが、幾分変形されて展開的に扱われる。；およそ人の外部に表われたところは、幾分かその内の精神を示すものである。；見ると幾ぶん面やつれのした富美子が彼のあとに従っていました。；私を兵卒にした事情に幾分でも関係のある人間が、皆私には敵と変りがない。；その時の、僕の受けた激動は今でも幾分かは思い出すことができるのです。；郎女の苦しみを、幾分でも分けることが出来ように、と思うからである。；郎女の苦しみを、幾分でも分けることが出来ように、と思ふからである。</t>
        </is>
      </c>
      <c r="J390">
        <f>HYPERLINK("https://www.weblio.jp/content/幾分", "词义详情")</f>
        <v/>
      </c>
      <c r="K390">
        <f>HYPERLINK("https://yourei.jp/幾分", "查看例句")</f>
        <v/>
      </c>
    </row>
    <row r="391">
      <c r="A391" t="inlineStr">
        <is>
          <t>いくら</t>
        </is>
      </c>
      <c r="B391" t="inlineStr">
        <is>
          <t>成功</t>
        </is>
      </c>
      <c r="C391" t="inlineStr">
        <is>
          <t>読み方：いくら
《魚の卵の意》サケ・マスの卵を塩漬けにした食品。日本では、筋子に対し、成熟した卵を一粒ずつ離したものをいう。</t>
        </is>
      </c>
      <c r="D391" t="inlineStr">
        <is>
          <t>いくらでも(5%)；いくら考え；いくら探し；いくら金；いくら呼ん</t>
        </is>
      </c>
      <c r="E391" t="inlineStr">
        <is>
          <t>いかに；どれほど；といえども；いくらなんでも；流石に</t>
        </is>
      </c>
      <c r="F391" t="inlineStr">
        <is>
          <t>いくら食べ；いくらさがし；いくらか金；いくら捜し；いくら頼ん</t>
        </is>
      </c>
      <c r="G391" t="inlineStr">
        <is>
          <t>いくらでも；いくら丼</t>
        </is>
      </c>
      <c r="H391" t="n">
        <v>29</v>
      </c>
      <c r="I391" t="inlineStr">
        <is>
          <t>データが残っていればいくらでも生産が可能だが、少数生産向きである。；外からいくら学んでも自分で考えなければ、物事は本当にはわからない。；そして、兄が帰ってくる度に妹はいくらかの髪を与えることになっている。；他にも量産には至らなかったもののいくらかの試作機が開発されている。；この辺りの大気はおそらく、いくらかの硫酸を含む濃い雲の領域だろう。；これらのいくらかはイギリス国内向けであったが、多くはインドに送られた。；映画では主な登場人物は全員、小説から少なくともいくらか変更されている。；専門家のいくらかは、MPTをプロジェクトや他の資産へ適用している。；秋に帰厩してからは気性面にいくらかの改善が見られ、復帰初戦を勝利。；頭部は破壊可能だが、本体コアを破壊しない限りいくらでも再生する。；これらの語彙のいくらかは中国に逆輸入され中国語とも共通している。；また久留米にいれば長崎からやって来る人と話す機会はいくらもあった。；この公演について地元の新聞がいくらか批判的な評価を寄せている。；フットボールの様々なコードはいくらかの共通要素を共有している。；元老や大臣たちは死んだあとにいくらでも立派な後継ぎが控えている。；このため、原作のゲームと設定が違っているキャラクターがいくらか存在する。；原論文は必要最低限の記述しかないが、ここではいくらか解説を加えている。；死の間際の描写から、死ぬ直前にいくらか正気を取り戻せたようである。；すなわち、いくら時間が経過しても個体数は増加も減少もしない状態となる。；メンバーがいくら連絡しても返事が来ず、そのうち本人からの連絡もなくなった。；単発的な仕事をしたり、家族からいくらかの資金援助は得てはいた。；旧作からいくらかのキャラクターが復活し、キャラクター数はかなり多い。；しかし、この言葉は中国系カナダ人にいくらか軽蔑的ともいわれている。；二人は1832年にパリに引っ越し、いくらか整理された状況で暮らした。；動作させるOSにいくらかの変更を加えることが必要な場合もある。；しかしこの試みは失敗し、同盟もいくらも経たないうちに解散した。；またドームの中でいくら大きな音を立てても、外にもれることはない。；作品の売り上げでいくらかの収入があったとは言え、暮らしは貧しかった。；avexのスタッフは本作の予算を「いくらでもかけていい」とした。</t>
        </is>
      </c>
      <c r="J391">
        <f>HYPERLINK("https://www.weblio.jp/content/いくら", "词义详情")</f>
        <v/>
      </c>
      <c r="K391">
        <f>HYPERLINK("https://yourei.jp/いくら", "查看例句")</f>
        <v/>
      </c>
    </row>
    <row r="392">
      <c r="A392" t="inlineStr">
        <is>
          <t>いくら</t>
        </is>
      </c>
      <c r="B392" t="inlineStr">
        <is>
          <t>成功</t>
        </is>
      </c>
      <c r="C392" t="inlineStr">
        <is>
          <t>読み方：いくら
《魚の卵の意》サケ・マスの卵を塩漬けにした食品。日本では、筋子に対し、成熟した卵を一粒ずつ離したものをいう。</t>
        </is>
      </c>
      <c r="D392" t="inlineStr">
        <is>
          <t>いくらでも(5%)；いくら考え；いくら探し；いくら金；いくら呼ん</t>
        </is>
      </c>
      <c r="E392" t="inlineStr">
        <is>
          <t>いかに；どれほど；といえども；いくらなんでも；流石に</t>
        </is>
      </c>
      <c r="F392" t="inlineStr">
        <is>
          <t>いくら食べ；いくらさがし；いくらか金；いくら捜し；いくら頼ん</t>
        </is>
      </c>
      <c r="G392" t="inlineStr">
        <is>
          <t>いくらでも；いくら丼</t>
        </is>
      </c>
      <c r="H392" t="n">
        <v>29</v>
      </c>
      <c r="I392" t="inlineStr">
        <is>
          <t>データが残っていればいくらでも生産が可能だが、少数生産向きである。；外からいくら学んでも自分で考えなければ、物事は本当にはわからない。；そして、兄が帰ってくる度に妹はいくらかの髪を与えることになっている。；他にも量産には至らなかったもののいくらかの試作機が開発されている。；この辺りの大気はおそらく、いくらかの硫酸を含む濃い雲の領域だろう。；これらのいくらかはイギリス国内向けであったが、多くはインドに送られた。；映画では主な登場人物は全員、小説から少なくともいくらか変更されている。；専門家のいくらかは、MPTをプロジェクトや他の資産へ適用している。；秋に帰厩してからは気性面にいくらかの改善が見られ、復帰初戦を勝利。；頭部は破壊可能だが、本体コアを破壊しない限りいくらでも再生する。；これらの語彙のいくらかは中国に逆輸入され中国語とも共通している。；また久留米にいれば長崎からやって来る人と話す機会はいくらもあった。；この公演について地元の新聞がいくらか批判的な評価を寄せている。；フットボールの様々なコードはいくらかの共通要素を共有している。；元老や大臣たちは死んだあとにいくらでも立派な後継ぎが控えている。；このため、原作のゲームと設定が違っているキャラクターがいくらか存在する。；原論文は必要最低限の記述しかないが、ここではいくらか解説を加えている。；死の間際の描写から、死ぬ直前にいくらか正気を取り戻せたようである。；すなわち、いくら時間が経過しても個体数は増加も減少もしない状態となる。；メンバーがいくら連絡しても返事が来ず、そのうち本人からの連絡もなくなった。；単発的な仕事をしたり、家族からいくらかの資金援助は得てはいた。；旧作からいくらかのキャラクターが復活し、キャラクター数はかなり多い。；しかし、この言葉は中国系カナダ人にいくらか軽蔑的ともいわれている。；二人は1832年にパリに引っ越し、いくらか整理された状況で暮らした。；動作させるOSにいくらかの変更を加えることが必要な場合もある。；しかしこの試みは失敗し、同盟もいくらも経たないうちに解散した。；またドームの中でいくら大きな音を立てても、外にもれることはない。；作品の売り上げでいくらかの収入があったとは言え、暮らしは貧しかった。；avexのスタッフは本作の予算を「いくらでもかけていい」とした。</t>
        </is>
      </c>
      <c r="J392">
        <f>HYPERLINK("https://www.weblio.jp/content/いくら", "词义详情")</f>
        <v/>
      </c>
      <c r="K392">
        <f>HYPERLINK("https://yourei.jp/いくら", "查看例句")</f>
        <v/>
      </c>
    </row>
    <row r="393">
      <c r="A393" t="inlineStr">
        <is>
          <t>いくらでも</t>
        </is>
      </c>
      <c r="B393" t="inlineStr">
        <is>
          <t>成功</t>
        </is>
      </c>
      <c r="D393" t="inlineStr">
        <is>
          <t>いくらでもある(28%)；いくらでもあります(3%)；いくらでも手；いくらでも金；いくらでも時間</t>
        </is>
      </c>
      <c r="F393" t="inlineStr">
        <is>
          <t>いくらでも出し；いくらでも飲む；いくらでも機会；いくらでも我慢；いくらでも想像</t>
        </is>
      </c>
      <c r="H393" t="n">
        <v>29</v>
      </c>
      <c r="I393" t="inlineStr">
        <is>
          <t>君よりももつと重い病気でも、我慢してゐる人間はいくらでもあるんだ。；代助にはこの光のない土の板が、いくらでも水を吸い込む様に思われた。；これから発見しなくちゃならないことが、いくらでもあるんですからね。；極端な例でだけ比較をすればいくらでもこんな変な議論は立つのです。；昔のようにお家がいくらでもあれば、何のことはない事件なのだけれど。；悪が悪でなくなり勝利者だけがいくらでもあとから自己を正当づけ得る。；それだけの金がいま俺の手にあれば、したいことはいくらでもあるさ。；われわれが怪物かどうか、判断する材料はいくらでもあるのではないかな?；そう思うと、言葉は、いくらでも内から湧いて来る様に彼には思われた。；いま彼女を信頼することはできないが、話を聞く理由ならいくらでもある。；それに遺産がちゃんと手にはいるまでにはいくらでも相談する時間はある。；金で片のつくことなら、遠慮することはない、いくらでもいうたがよい。；と自らに言い聞かせたが、いくらでも方策はあったことも承知していた。；働くことは健全なことだし、その気になれば仕事はいくらでもありますよ。；出かける場所はいくらでもあるのに、思うように出かけられないなんて。；物の動きはいくらでもあるのだが、生き物のいる気配はまったくないのだ。；しかし切断した腕だけならば、いくらでも処分の方法があったことだろう。；しかし、彼はあとでいくらでも自己の記録を改訂することができたはずだ。；他の指よりも大きいし、指の腹も広いから切る場所はいくらでもある。；この廃墟の反対側に、もっとましなキャンプの場所がいくらでもあるわ。；ただ単に嫌なにおいというのなら、他にいくらでも種類はあるでしょう。；研究を商売にするのは困難であるが、調査を商売とする企業はいくらでもある。；これまでもっと大きな問題を、いくらでも解決してきたではないか。；移動しながらでも、家に着いてからでも、時間はいくらでもあるのだ。；エロを感じたいものならほかにもいくらでもあるではないか、と言う。；野山にしろ人の中にしろ、追われて身を隠すところは、いくらでもある。；そんな例はいくらでもあるが、まあ一つか二つの例をあげるだけで十分だろう。；小ソレル師の美しい目と生き生きした頬がいくらでも説明しているよ。；金だけのことなら、そんな仕事よりもっと割のいい仕事がいくらでもある。</t>
        </is>
      </c>
      <c r="J393">
        <f>HYPERLINK("https://www.weblio.jp/content/いくらでも", "词义详情")</f>
        <v/>
      </c>
      <c r="K393">
        <f>HYPERLINK("https://yourei.jp/いくらでも", "查看例句")</f>
        <v/>
      </c>
    </row>
    <row r="394">
      <c r="A394" t="inlineStr">
        <is>
          <t>いくらなんでも</t>
        </is>
      </c>
      <c r="B394" t="inlineStr">
        <is>
          <t>成功</t>
        </is>
      </c>
      <c r="C394" t="inlineStr">
        <is>
          <t>読み方：いくらなんでも
［連語］どのような事情があろうとも。理由がどうであれ。「—ひどすぎる」</t>
        </is>
      </c>
      <c r="D394" t="inlineStr">
        <is>
          <t>いくら；といえども；流石に；期待どおり</t>
        </is>
      </c>
      <c r="H394" t="n">
        <v>29</v>
      </c>
      <c r="I394" t="inlineStr">
        <is>
          <t>あんたも変わるとは言っても、いくらなんでも変わり過ぎじゃないのか?；いくらなんでもこの古泉の知り合いがそんなことにはなりそうにないな。；こんなのを二人同時に相手にするのはいくらなんでも分が悪すぎる。；いくらなんでも、そこまで確実にこちらの動きを見抜けるものだろうか?；しかし、いくらなんでも、そうまでそっくりな人間などいるはずはない。；高校生活だって一年足らずで終了するにはいくらなんでも短すぎるだろ。；いくらなんでも、これから一生ここで待っているわけにはいきません。；いくらなんでもそんなに長く父親の看病にあたっているわけにはいかない。；いくらなんでも、そんな恐ろしいことをそれと承知でするはずもない。；いくらなんでも、これで少しは見直してくれるはずだろうな、と思って。；いくらなんでも、第八号棟の中だけの秘密にしておくことはできないよ。；事故があれば、いくらなんでも人を呼ぶなり救急車を呼ぶなりしたはずだ。；このままこの世界におさらばするのでは、いくらなんでも彼が気の毒だ。；いくらなんでもこれは発売に際しては修正を加えなければならないだろうな。；語ったならいくらなんでも妻は私を捨てるだろうと思ったからです。；いくらなんでもそこで止まるとは思わなかった俺は驚き指示をした。；かといって、いくらなんでも、今から現場を変えるわけにはいかない。；いくらなんでもストライクゾーンに直球しか投げなければ打たれるだろ。；それじゃついでに聞くが、いくらなんでも、あれら二人じゃ心もとない。；しかしいくらなんでもこれが十数本も入っているのは不思議だった。；いくらなんでも放っておけないから、その子を家に連れ帰ることになった。；だがいくらなんでもこんな提案、他の家族が承知するとは思えない。；だけどこれは、こんなことは、いくらなんでもやりすぎだと思うのだ。；いくらなんでも乱暴だろうと思ったが、子供たちにはそれが楽しいらしい。；恋愛が始まってもいないのに結婚を考えるなんて、いくらなんでも早過ぎ。；いくらなんでも自宅が襲われることなどないだろうと高を括っていた面がある。；説明はこれで終わりだが、いくらなんでも簡単すぎるかもしれない。；いくらなんでもここまで人の姿を見かけないなんておかしいわ。；いくらなんでもこの男に、さっさと行っちまえとはいえるものじゃない。</t>
        </is>
      </c>
      <c r="J394">
        <f>HYPERLINK("https://www.weblio.jp/content/いくらなんでも", "词义详情")</f>
        <v/>
      </c>
      <c r="K394">
        <f>HYPERLINK("https://yourei.jp/いくらなんでも", "查看例句")</f>
        <v/>
      </c>
    </row>
    <row r="395">
      <c r="A395" t="inlineStr">
        <is>
          <t>池</t>
        </is>
      </c>
      <c r="B395" t="inlineStr">
        <is>
          <t>成功</t>
        </is>
      </c>
      <c r="C395" t="inlineStr">
        <is>
          <t>読み方：いけ
１くぼ地に自然に水がたまった所。また、地面を掘って水をためた所。ふつう湖沼より小さいものをいう。
２硯(すずり)の水をためるところ。海。
[補説]作品名別項。→池</t>
        </is>
      </c>
      <c r="D395" t="inlineStr">
        <is>
          <t>池添；池田城；池周辺；池泉；池速人</t>
        </is>
      </c>
      <c r="E395" t="inlineStr">
        <is>
          <t>心字池</t>
        </is>
      </c>
      <c r="F395" t="inlineStr">
        <is>
          <t>小さな池；ヶ池；調整池；人工池；三宝寺池</t>
        </is>
      </c>
      <c r="G395" t="inlineStr">
        <is>
          <t>池袋；池上；池袋駅；池田家；池谷</t>
        </is>
      </c>
      <c r="H395" t="n">
        <v>29</v>
      </c>
      <c r="I395" t="inlineStr">
        <is>
          <t>このような池はダムまたはフィルダムなどの形態でせき止められている。；イギリスでは火災発生時に消火用水を供給するための池が作られている。；明治時代の初期までの池の形は現在のものとはかなり異なっていた。；池の名に違いはあるが複数の池を設置した点は一致している。；雪から融解した水は水路を作りながら集まり、氷の表面に池を多数作る。；島の最南端の半島にグレート・ソルト池と言う湖に近い大きな池がある。；辺りを散策していた主人公は悲鳴を聞き、池で溺れている女性を発見する。；山頂の池では、売店で購入した麩などを鯉にあげる市民の姿も見られる。；池に映して見ることで、極楽浄土の世界を見るように設計されていた。；全国で普通に見られ、市街地の河川や公園の池などでも観察される。；以来その堀跡の池では、魚は全て隻眼である、という伝説が残っている。；生成された二酸化マンガンは泥状となり、池や滝の周囲に溜まっている。；また2015年にはバンク内の池を撤去してフィールドを造成している。；池に噴水や泉を設置する、というのもひとつの典型的なスタイルである。；これらは淡水産で群体を作らず、浅い池の水草の上などに生息している。；頼盛は都に戻るが、すでに池殿は全焼しており後白河院に保護を求めた。；これが転じて、池や築山のある日本庭園のことを島と呼ぶこともある。；蓮池は第一駐車場のすぐそばにある池で、中央に橋が架けられている。；最近では管理池や海でフライフィッシングを楽しむムーブメントもある。；そして池の周囲を様々な形の岩や石で囲っていることが多い。；結晶池で塩が堆積した後は収穫機等で水平に塩の層を削り取り採塩する。；地形図では、国道上に火山活動によって形成された池も記載されている。；それは大規模な塩水のラグーンまたは池で囲まれた広大な平野である。；現在の敷地は、爺神山と国市池に囲まれた標高の高い場所に位置している。；庭園は豊かな水を利用し、池を配置した素朴な美しさを特徴とする。；それにより畑などの水が不足しないよう池が多い傾向にある。；僧侶は代々池のほとりに居住していたことから「池坊」と呼ばれていた。；通常の洗浄は任意に選択したろ過池を自動工程で洗浄する様になっている。；同じく園外だが池の名称の由来になった三宝寺も細道を挟んで隣接している。</t>
        </is>
      </c>
      <c r="J395">
        <f>HYPERLINK("https://www.weblio.jp/content/池", "词义详情")</f>
        <v/>
      </c>
      <c r="K395">
        <f>HYPERLINK("https://yourei.jp/池", "查看例句")</f>
        <v/>
      </c>
    </row>
    <row r="396">
      <c r="A396" t="inlineStr">
        <is>
          <t>生け花</t>
        </is>
      </c>
      <c r="B396" t="inlineStr">
        <is>
          <t>成功</t>
        </is>
      </c>
      <c r="C396" t="inlineStr">
        <is>
          <t>読み方：いけばな
草木の枝・葉・花を切り取り、花器に挿し、形を整えて鑑賞に供すること。また、挿したもの。立花(りっか)・生花(せいか)・自由花など、種々な様式がある。華道。挿花(そうか)。</t>
        </is>
      </c>
      <c r="D396" t="inlineStr">
        <is>
          <t>生け花教室(3%)；生け花用</t>
        </is>
      </c>
      <c r="E396" t="inlineStr">
        <is>
          <t>生花；フラワーアレンジメント；活花；活け花</t>
        </is>
      </c>
      <c r="H396" t="n">
        <v>29</v>
      </c>
      <c r="I396" t="inlineStr">
        <is>
          <t>枝先の帯化したものをセッカエニシダといい、生け花などに利用される。；テーブルや家具はみな黒檀で、見事な生け花があちこちに飾られている。；知人の紹介で生け花を習っていたことがあり、植物への関心が高い。；この悪臭については、むしろ生け花を挿した後の水で強く臭うとも言う。；第一希望を避けるのは生け花ばかりではありません。；また生け花だけでなく、花を乾燥させたドライフラワーも装飾に使用される。；花持ちがよく、大きな生け花やフラワーアレンジメントなどに用いられる。；つぎの朝早く、お堂はすでに生け花と奉納された提灯で飾り付けられていた。；日本では花材としても使い、夏の御茶事の生け花として飾られたりする。；次は、なぜ生け花をすることができないのか、その謎解きに彼が挑戦することです。；生け花をやっててよかったとこういう時は思う。；センリョウは少なくとも江戸時代初期から栽培され、生け花などに用いられていた。；黙って座っていれば、生け花の師匠と言っても十分通用する。；生け花や、生花業者等が切花などが、長持ちするように施す処理のこと。；専好は利家の屋敷を借りて、秀吉のために生け花を生けようとする。；まず手近なところでたとえば生け花の芸術を考えてみる。；ちょうど、生け花に使用する剣山のような、大きさとは不釣り合いな重さ。；生け花やフラワーアレンジメントなどに利用され、色も紫色のものなどがある。；それにもかかわらず彼女は本国にいたときだれかに聞いていたとみえ、日本の茶の湯や生け花に興味をもっていた。；昔ですが、わずか一年だけ生け花を習ったことがあります。；しかも、生け花を飾るみたいに食堂のテーブルの上に置いた。；前述の女子大生の場合は、一番やりたいことは生け花でした。；京の人々から花を集めた専好は利家の屋敷に向かい、集めた花と松を使い生け花を生ける。；大奥様、僕も離れへ行って、生け花のお手伝いをさせてください。；すみれがキレたのは、西洋生け花みたいだと言ったときだった。；花は装飾に多用され、日本の華道、いわゆる生け花もこの方向で高度に発達したものである。；四畳半のおれの部屋ならいっぱいになる巨大な生け花。；生け花をするときは、汚れても平気な着物でないとね。；ここではまた裁縫、生け花、料理や手芸のコースを母親の会と人々に英語を話す機会同様に提供した。</t>
        </is>
      </c>
      <c r="J396">
        <f>HYPERLINK("https://www.weblio.jp/content/生け花", "词义详情")</f>
        <v/>
      </c>
      <c r="K396">
        <f>HYPERLINK("https://yourei.jp/生け花", "查看例句")</f>
        <v/>
      </c>
    </row>
    <row r="397">
      <c r="A397" t="inlineStr">
        <is>
          <t>行ける</t>
        </is>
      </c>
      <c r="B397" t="inlineStr">
        <is>
          <t>成功</t>
        </is>
      </c>
      <c r="D397" t="inlineStr">
        <is>
          <t>行けるだろ(3%)；行けるかどう；行けるでしょ；行けるんです；行ける可能性</t>
        </is>
      </c>
      <c r="F397" t="inlineStr">
        <is>
          <t>歩いて行ける；生きて行ける；連れて行ける；行けるかもしれ；暮して行ける</t>
        </is>
      </c>
      <c r="H397" t="n">
        <v>29</v>
      </c>
      <c r="I397" t="inlineStr">
        <is>
          <t>百年か千年か、坐り続けたら、何処か別の所へ行けるのではないかしら。；私は多分一人きりになれば、その方はどうやらやつて行ける事と思ひます。；見ている自分が「その絵の中に這入って行ける」ような絵はあるまいか。；自動車で行けるのはホテルまでで、神社前に乗り入れることはできない。；その家は三丁目なんですが、ちようどお宅の前を通つても行けるんです。；この日には外出時の行動数が限られておらず、どの場所へ何回でも行ける。；そこへやがてはもどつて行ける時がくるやうな氣持がほのかにしてゐた。；因業のようだが俺はこれだから兎に角世間並にやって行けるのだと思う。；あの道は、好きでなければ、やって行けるものでないような気がする。；私にこの雑誌を続けて行ける力があるものかないものか見てゐて欲しいと思ひます。；森林公園付近からも行けるが、道路の幅員が狭いため注意が必要である。；また私は自分が世間の誰にも負けないほど寛大にやつて行けるものと思つてる。；家族も多いですし、あれぢやとてもやつて行けるわけがありません。；もう少し飛行機が発達すると或は二、三日で行けるようになるかも知れぬ。；これらの施設に市の中心駅である柏駅から直接行けるようになった。；あなたはこんなに簡単に、わたしたちを捨てて行けるのね、意地悪な子!；フロア内の部屋をすべてクリアすることで上の階へ行けるようになる。；バスは路線が充実しており、乗り継ぎをすれば大体はどこへでも行ける。；人は自分だけよくても成長して行けるものではないのである。；ここでお千代は始めて五十円じゃなかなか楽にやって行けるものじゃない。；この急場は輸入でしのいで行けるといふのも、いかにも君の言ふ通りだ。；だが、この世の中にそれほど打ち込んで行けるほどのものがあるだらうか。；他には乗り物のエンジンや人々が暮らして行ける電力もこれに当たる。；教室や図書館にはバスや自転車ではなく徒歩で行けるカレッジも多い。；僕はどの道を行けば、カビ博士の待っているところへ行けるのかを知らない。；ここでは駅から徒歩で無理なく行けるダムを幾つかご紹介します。；娘 あたしの月給が倍になれば、二人でやつて行けるんだけどなあ。；そしてその境は楽に入つて行ける境涯であるだけ一層危険であると私は思つてゐる。；私はこの辺じゃ顔なじみだから、何の注意も引かずどこへでも行ける。</t>
        </is>
      </c>
      <c r="J397">
        <f>HYPERLINK("https://www.weblio.jp/content/行ける", "词义详情")</f>
        <v/>
      </c>
      <c r="K397">
        <f>HYPERLINK("https://yourei.jp/行ける", "查看例句")</f>
        <v/>
      </c>
    </row>
    <row r="398">
      <c r="A398" t="inlineStr">
        <is>
          <t>異見</t>
        </is>
      </c>
      <c r="B398" t="inlineStr">
        <is>
          <t>成功</t>
        </is>
      </c>
      <c r="C398" t="inlineStr">
        <is>
          <t>読み方：いけん
［名］(スル)
１他の人とは違った考え。異議。異論。「—を唱える」「—を差し挟む」
２「意見2」に同じ。
「おれの方から行ってよく—してやる」〈漱石・それから〉</t>
        </is>
      </c>
      <c r="D398" t="inlineStr">
        <is>
          <t>異見十七(11%)；異見会(7%)；異見書(6%)</t>
        </is>
      </c>
      <c r="E398" t="inlineStr">
        <is>
          <t>反対；抗議；反論；反抗；異議</t>
        </is>
      </c>
      <c r="F398" t="inlineStr">
        <is>
          <t>異見十七ヶ条</t>
        </is>
      </c>
      <c r="H398" t="n">
        <v>29</v>
      </c>
      <c r="I398" t="inlineStr">
        <is>
          <t>それとなく異見をしましても、あなた、笑って取り合いませんのですよ。；もし来ない様だったら、おれの方から行ってよく異見してやると云っています。；もし来ない様だつたら、おれの方から行つてよく異見してやると云つてゐます。；異見会とは、つまり談合会で、今でいう委員会とか何々会議のつもりであろう。；もしこのことに異見があれば、その人は漢文が読めない人である。；しかし、党指導部が立てた選挙戦略の異見問題とあいまって辞職した。；さりながら、よくよく言葉を尋ね、科を求めて、見所の御異見を待つべきをや。；そして、かつて学生思想問題調査委員会で河合と蝋山が示した異見を否定する。；これは愉快な会だったらしく、家中の士も異見会といえば、愉しみにしたそうである。；勢威第一の勝家の言であるから、異見を抱いて居る部将があっても、容易に口に出し難い。；そして、そのことに対する牽制として、この異見書が出されたものであるとする。；だからこの仏像があのやうに称讃されてゐることに対して、わたくしは少しも異見を抱いたわけではない。；この異見十七ヶ条において注目すべき点は、第一条で足利義輝の名を、第十七条で足利義教の名をそれぞれ出しているところである。；黒田家の治績と藩風が大いに挙がったのは、この異見会の功が大きかったといわれている。；さう言ふ唆られる様な情愛を以て、此本の解説であり、一異見ともなる様な文章を書きました。；だからこの異見会には、かたい会規が前提になっていた。；ほとんどの工事は1871年に行われて、この路線の一部分が建設されたものの、様々な異見のため時間損失は甘受されねばならなかった。；封鎖することで、外から襲ってくる野武士イコール異見を遮断できた。；ただ仏祖の旧恩を守って、道を道とするに、どうして片手落ちの異見を受くべきであろうぞ。；編輯をやった戸山がばつの悪そうな顔をしながら、 「異見があったんですが、ましな仕事もするんです」 と云った。；その他の諸像には相当に異見があり、特に四天王に至ってはZ君はほとんど一顧の価値をも認めまいとしたが、しかしわたくしはこの比較的に簡素な四天王にも推服する。；それでゐて俺に鬪爭をすまいぞと異見めいたことを被言ゃるのか?；そのうち父がこの事について私に異見をして、藩地に居れば文武の稽古をすべき身で、そんな所へばかり行っていてはいけない、と戒めた。；信長が突きつけた「異見十七ヵ条」は、義昭の改心が目的ではない。；もっとも私は、かかる問題については何人にも勝って外見に欺かれそうもない人に異見を呈するに当っては、確かに大いに忸怩たるべきであるが。；武田祐吉博士は、地名のよみこまれた歌は、都会人が地方にきてよんだ歌とされましたが、これについては異見もあり、地名の点だけでは定められないといってよいのです。；具体的には従来の公式に「異見」をたて、みづから新意を工夫した千宗易利休より外に答へうるものはないのである。；つまりお雪ちゃんの人生観が、珍しいほどの変り方を示して、生存の否定と、死の讃美に近いところまで行っているのを知りながら、それに異見を加えない弁信の態度が、変っているといえば変っているのです。；扈従の者を伴って京に戻った信長は、「異見十七ヵ条」と称する諫状を義昭に呈出した。</t>
        </is>
      </c>
      <c r="J398">
        <f>HYPERLINK("https://www.weblio.jp/content/異見", "词义详情")</f>
        <v/>
      </c>
      <c r="K398">
        <f>HYPERLINK("https://yourei.jp/異見", "查看例句")</f>
        <v/>
      </c>
    </row>
    <row r="399">
      <c r="A399" t="inlineStr">
        <is>
          <t>意見</t>
        </is>
      </c>
      <c r="B399" t="inlineStr">
        <is>
          <t>成功</t>
        </is>
      </c>
      <c r="C399" t="inlineStr">
        <is>
          <t>読み方：いけん
［名］(スル)
１ある問題に対する主張・考え。心に思うところ。「—を述べる」「—が分かれる」「少数—」「賛成—」
２自分の思うところを述べて、人の過ちをいさめること。異見。「同郷の先輩が—する」</t>
        </is>
      </c>
      <c r="D399" t="inlineStr">
        <is>
          <t>意見具申；意見対立；意見書；意見を異に；意見をのべ</t>
        </is>
      </c>
      <c r="E399" t="inlineStr">
        <is>
          <t>考え；話；言葉；思い；主張</t>
        </is>
      </c>
      <c r="F399" t="inlineStr">
        <is>
          <t>同意見；同じ意見；否定的な意見；御意見；批判的な意見</t>
        </is>
      </c>
      <c r="G399" t="inlineStr">
        <is>
          <t>意見交換；意見聴取；意見広告；意見交換会；意見募集</t>
        </is>
      </c>
      <c r="H399" t="n">
        <v>29</v>
      </c>
      <c r="I399" t="inlineStr">
        <is>
          <t>しかしもしミサイル基地の撤去に同意しなかった場合は意見が分かれた。；レーガン政権内部では中国の激しい抗議に対する対応で意見が分かれた。；医師たちが意見をすると激しく怒り、処罰する寸前に至ることもあった。；しかし、この時期には船の遺物は発見されていないため少数の意見である。；イタリアの社会主義者は戦争を支持すべきか反対すべきかで意見が分かれた。；意見を取り上げてもらえなかった王翦は病気と称し故郷に引きこもった。；これらはコスタリカにとって解決されるべき諸課題であるとの意見もある。；後者のような意見はディーリアス自身の音楽にも頻繁に向けられるものである。；しかし、この案では上映時間が3時間を超えてしまうという意見が出た。；装置完成当初は装置の性能や原子レベルの観測結果に懐疑的な意見もあった。；彼がいつ頃からカエサル派に立ったのか、研究者の間でも意見が分かれている。；天皇の地位に関してはいわれるほど差があるものではなかったとする意見がある。；また国際SIL自体も、方言であるとの意見を排除しないと表明している。；この方式は高速ネットワークの時代にはふさわしくないという意見もある。；このような河合・蝋山の意見が委員会の大勢と対立することは明らかである。；劇団や舞台での経験が声優業にも良い影響を与えているという意見もある。；イマームたちが存命中その近くにいた教友たちの意見の一致である。；さらにはシュトラウスもナチスに利用された被害者だったとする意見もある。；中には、など、公の場で差別的ともとれる意見が述べられることもあった。；ハーフトーンを一般化させたのも、彼の功績であるという意見がある。；加えては1997年に、も2002年に否定的な意見を発表している。；海外では規制されているとして、それらを参考にすべきとの意見もみられる。；こうした動きはコンモドゥスの政治的な作戦と見る向きことであるとする意見が強い。；しかしレオニード・ブレジネフ不在の中で政治局員達の意見は分かれた。；この件に関して、TRONプロジェクト側では異例の意見表示があった。；その芸を邪道とする意見も少なくなかったが、熱心なファンを獲得し続けた。；バンド内で意見の対立が表面化したのは、1969年の前半からだと言われている。；一方で、石器時代の35000年前に暦を創ったらしいとの意見もある。；このような機関砲装備の対空戦車の存在意義を疑問視する意見もある。</t>
        </is>
      </c>
      <c r="J399">
        <f>HYPERLINK("https://www.weblio.jp/content/意見", "词义详情")</f>
        <v/>
      </c>
      <c r="K399">
        <f>HYPERLINK("https://yourei.jp/意見", "查看例句")</f>
        <v/>
      </c>
    </row>
    <row r="400">
      <c r="A400" t="inlineStr">
        <is>
          <t>以後</t>
        </is>
      </c>
      <c r="B400" t="inlineStr">
        <is>
          <t>成功</t>
        </is>
      </c>
      <c r="C400" t="inlineStr">
        <is>
          <t>読み方：いご
１これから先。今からのち。今後。副詞的にも用いる。「—は班別に行動する」「—気をつけます」
２その時よりのち。その後。「三時—は在宅しています」⇔以前。
[用法]以後・以降——「五時以後（以降）、この門は閉まる」「以後（以降）、体力が衰えた」「来月以後（以降）の予定」など、その時を含んで過去・未来を表すことでは相通じて用いられる。◇「以降」は「明治維新以降、日本の近代化は急速に進んだ」など、ある時点からの時の経過に重点を置くことが多い。◇類似の語として「一九五六年以来、彼女はパリにいる」のように、ある時点から現在までずっとの意味を表す「以来」や、「一〇年このかた、彼には会っていない」のように、ある時から今までの意味をもつ「このかた」がある。</t>
        </is>
      </c>
      <c r="D400" t="inlineStr">
        <is>
          <t>以後しばらく；以後毎年；以後ずっと；以後代々；以後連続</t>
        </is>
      </c>
      <c r="E400" t="inlineStr">
        <is>
          <t>後；その後；先；以降；のち</t>
        </is>
      </c>
      <c r="F400" t="inlineStr">
        <is>
          <t>これ以後；明治以後；中期以後；事件以後；中世以後</t>
        </is>
      </c>
      <c r="H400" t="n">
        <v>29</v>
      </c>
      <c r="I400" t="inlineStr">
        <is>
          <t>これ以後、木星を観測して、その位置で年を記録することはなくなった。；選ばれなかった方はこの時点で削除され、以後復元することが出来ない。；この事件は信に大きな精神的打撃を与え、以後門を閉じて篭居していた。；また1961年綱領は以後の複数の改訂で用語の変更などを行っている。；以後、イギリスでタロットと言えば、ほとんどこれを指すほどになった。；以後、儀式の話をしただけで、彼らは白人に逮捕される状況となった。；以後に跨座式を採用して開業した路線はすべてこの方式である。；以後マクドナルドコーポレーションは、世界の至るところに店を開いた。；以後16年間この職に従事しつつ、余暇を利用して執筆活動を続けた。；以後、清の終わりに至るまでこの胥吏体制は続いていくことになる。；これを機に、以後多くのアニメ・吹き替えなどで声優として活躍した。；以後はライセンスを受けたサードパーティーがサポートを続けている。；世良田満氏の子である経氏に始まり、その子重氏と以後子孫繁栄した。；以後このような名目貨幣が丁銀の発行・流通を凌駕するようになった。；常陸国から分離される形で成立し、以後、平安時代まで陸奥と呼ばれた。；以後日本ではほぼすべての小説が翻訳されている。；これらは以後、外国からの干渉は受けない自主独立路線の始まりとなった。；日本ではこれ以後をトルコ語によるイスタンブールの名で呼ぶことが多い。；この種の楽曲集は以後の特撮ヒーロー番組でも発売される定番アイテムとなった。；さらに製造年表記も和暦から西暦に変更され、以後の形式でも採用されている。；ただし、具体的なルートや着工の見通しはそれ以後の決定とされた。；以後、香港・中国映画とアメリカ映画に並行して出演するようになる。；これがきっかけで以後長年、各誌に文芸批評を書き続けることになる。；彼女の死は彼の精神に大きなショックを与え、以後完全に回復することはなかった。；同線は基山駅以後の本線と少しの区間並走した後左手へ分岐していく。；このときのゴールの高さ10フィートは以後変更されることなく現在に至っている。；以後工場誘致は順調に進み、市内各地に大企業の大型工場が進出した。；信長は萱津の戦いで勝利し、これ以後、清洲方との戦いが続くこととなる。；ルベーグ積分以後もさらなる一般化がされた積分法がいくつか存在する。</t>
        </is>
      </c>
      <c r="J400">
        <f>HYPERLINK("https://www.weblio.jp/content/以後", "词义详情")</f>
        <v/>
      </c>
      <c r="K400">
        <f>HYPERLINK("https://yourei.jp/以後", "查看例句")</f>
        <v/>
      </c>
    </row>
    <row r="401">
      <c r="A401" t="inlineStr">
        <is>
          <t>憩い</t>
        </is>
      </c>
      <c r="B401" t="inlineStr">
        <is>
          <t>成功</t>
        </is>
      </c>
      <c r="C401" t="inlineStr">
        <is>
          <t>読み方：いこい
からだや心を休めること。休息。「—のひととき」</t>
        </is>
      </c>
      <c r="D401" t="inlineStr">
        <is>
          <t>憩い場所</t>
        </is>
      </c>
      <c r="E401" t="inlineStr">
        <is>
          <t>休み；休止；休息；休；お休み</t>
        </is>
      </c>
      <c r="F401" t="inlineStr">
        <is>
          <t>市民憩い；憩い場</t>
        </is>
      </c>
      <c r="H401" t="n">
        <v>29</v>
      </c>
      <c r="I401" t="inlineStr">
        <is>
          <t>現在では市民の憩いの場である老松公園もこの敷地を使ったものである。；どこか幼い感じを残している少年は、やはり憩いの家の子どもだった。；また、池の周囲には桜が植えられて地元住民の憩いの場ともなっている。；現在は市民の憩いの場となっており、北浦や筑波山を望むことができる。；住区センターには児童館や老人憩いの場などが併設されている例もある。；上記の通り、城域一帯が現在は公園となり、市民の憩いの場となっている。；中心部には白い湖と呼ばれる美しい湖があり、市民の憩いの場となっている。；私は、憩いの家で行われていることを事実として紹介したに過ぎない。；中庭はここでは、憩いの場というよりももっと別の意味をもっている。；そこだけが今の竜太にとって、この世でたった一つの憩いの場に思われた。；駅跡はバス停となり、駅舎跡には板野町羅漢老人憩いの家が建てられた。；とにかく、この本は読んでくれる総ての皆さんに一時の憩いを与えるよ。；多くの植栽により、多種類の花や木など緑溢れる憩いの場となっている。；産業施設があった場所は住宅地や住民の憩いの場となる予定である。；敷地全体が現在では公園になっており、ラサの人々の憩いの場になっている。；それから数ヵ月後、私はM氏から憩いの家について書くよう依頼された。；今後市民の憩いの場やイベント会場として活用される予定としていた。；前方の森のきれたあたりは、羆にとって恰好の憩い場所のように思えた。；しかし、憩いの家のスタッフに、N自身を異常と見る者は誰もいなかった。；ただ軍事色の強い地であったが、市民に開かれた場所でもあり憩いの場でもあった。；この池を市民の憩いの場として利用するために宝が池公園が作られた。；駅の東側には「こども自然公園」があり、市民の憩いの場となっている。；現在、その広大な敷地は、自然公園として市民の憩いの場となっている。；琵琶湖岸は整備された公園になっており、多くの市民の憩いの場になっている。；大学生の憩いの場でもある 市内には大きな公園がいくつもある。；ダム周辺は市民の憩いの場として整備されており、年間約8万人が訪れる。；そこで憩いの家となるわけだが、それは単に受け入れてくれるというだけではない。；たしかに憩いの家に来てからの瑠美は、徐々にではあるが良くなってきている。；公園外ではあるが、訪れる人々には公園とセットで憩いの場と考えられている。</t>
        </is>
      </c>
      <c r="J401">
        <f>HYPERLINK("https://www.weblio.jp/content/憩い", "词义详情")</f>
        <v/>
      </c>
      <c r="K401">
        <f>HYPERLINK("https://yourei.jp/憩い", "查看例句")</f>
        <v/>
      </c>
    </row>
    <row r="402">
      <c r="A402" t="inlineStr">
        <is>
          <t>移行</t>
        </is>
      </c>
      <c r="B402" t="inlineStr">
        <is>
          <t>成功</t>
        </is>
      </c>
      <c r="C402" t="inlineStr">
        <is>
          <t>読み方：いこう
［名］(スル)ある状態から他の状態へ移っていくこと。「新体制に—する」「—措置」</t>
        </is>
      </c>
      <c r="D402" t="inlineStr">
        <is>
          <t>移行する(18%)；移行後(4%)；移行期間；移行部；移行しよ</t>
        </is>
      </c>
      <c r="E402" t="inlineStr">
        <is>
          <t>変更；変化；移籍；移転；転換</t>
        </is>
      </c>
      <c r="F402" t="inlineStr">
        <is>
          <t>政令指定都市移行；制移行；jr移行；単営局へ移行；モード移行</t>
        </is>
      </c>
      <c r="G402" t="inlineStr">
        <is>
          <t>移行抗体；移行対象；移行上皮癌；移行上皮</t>
        </is>
      </c>
      <c r="H402" t="n">
        <v>29</v>
      </c>
      <c r="I402" t="inlineStr">
        <is>
          <t>その後南アフリカ社会は体制移行期の危機的な混乱を何度も経験した。；その権力は市民革命を経て徐々に制限され、立憲君主に移行していった。；その頃、広島市に地下鉄計画があり、移行しようとしていた節もあった。；またSNSの普及で電子メールや電話からSNSへの移行も起きている。；ほとんどの作品が比較的早い段階 からハイビジョン制作へと移行している。；移調とは音楽の用語で楽曲の調の主音を移行して演奏することである。；その最初のものが、山口県委員会から移行した左派の日本共産党である。；また、実用的知識から科学的な分野への移行を意味することもある。；また、愛媛から期限付き移籍で獲得していた加藤が完全移籍に移行した。；慢性肝炎では肝硬変の移行がないのかを確認することが重要である。；しかし、分類群間の移行段階と考えられる化石はすでに一部得られている。；クラウドサービスを活用した、より手軽な制作環境の提供に移行している。；このころから、中小商店から大型店への人の流れが急速に移行しつつあった。；その為、大幅な性能低下は覚悟の上で4ストロークへの移行が行われたのである。；既に対応機器の発売は終了しており、AVCRECに移行している。；名の知られている単体女優が枠から外れ移行する場合もある。；しかし1943年7月1日には東京市が都制に移行して消滅している。；彼は他の音のオーグメンテーションのようなプロセスを用いる方へ移行する。；アメリカ合衆国では、今でも、メートル法への移行に反対する運動がある。；ディー・エヌ・エーによる球団とスタジアムの一体運営体制へ移行した。；市町村の合併によって、現在以下の地域が指定都市移行を目指している。；これらの間にははっきりした境界はなく、連続的に移行している。；時の経過とともに、INGRESは新しい標準SQLに移行していった。；かくして不平等が制度化され、現在の社会状態へと移行したのだと結論付けた。；同日から、指定都市を指定する政令が施行されて5市が指定都市に移行。；かつての35区が22区に移行した1947年に発足した区である。；そこから隅を中心とした戦いに移行していく。；曲線への移行の背景として、ドライバーに緊張を持続させる意図がある。；両軍のすべての部隊駒が行動を終えた時点で次のターンへ移行する。</t>
        </is>
      </c>
      <c r="J402">
        <f>HYPERLINK("https://www.weblio.jp/content/移行", "词义详情")</f>
        <v/>
      </c>
      <c r="K402">
        <f>HYPERLINK("https://yourei.jp/移行", "查看例句")</f>
        <v/>
      </c>
    </row>
    <row r="403">
      <c r="A403" t="inlineStr">
        <is>
          <t>以降</t>
        </is>
      </c>
      <c r="B403" t="inlineStr">
        <is>
          <t>成功</t>
        </is>
      </c>
      <c r="C403" t="inlineStr">
        <is>
          <t>読み方：いこう
ある時からのち。「平安時代—」「四月—」
→以後［用法］</t>
        </is>
      </c>
      <c r="D403" t="inlineStr">
        <is>
          <t>以降毎年；以降順次；以降急速；以降徐々に；以降累進</t>
        </is>
      </c>
      <c r="E403" t="inlineStr">
        <is>
          <t>以後；将来；今後；先へ</t>
        </is>
      </c>
      <c r="F403" t="inlineStr">
        <is>
          <t>中期以降；近代以降；中盤以降；翌年以降；中世以降</t>
        </is>
      </c>
      <c r="H403" t="n">
        <v>29</v>
      </c>
      <c r="I403" t="inlineStr">
        <is>
          <t>これらの要素は本作で初めて導入され、以降の作品でも踏襲されている。；この形式は一部の例外を除いて、以降のシリーズにも引き継がれている。；工業では高速道路の整備以降は高速周辺での工場誘致が各地で起こった。；ここでは以降の解説を読む上で必要な の文法規則を簡単に説明する。；以降、多くの出版社で青年向けの漫画雑誌を中心に執筆活動をしている。；平成以降に始まった作品の本誌でのリバイバルも行われるようになった。；これ以降、多様な装置が作られたがいずれもモノクロのものであった。；近代以降、多くの文学賞が創設され、作家の発掘と育成に貢献している。；予測器の性能が上昇した2010年代以降のCPUではその影響は小さい。；これにより2006年後半以降の携帯電話でL4が使われる事になった。；人工知能が利用されるようになって以降、法的な問題が顕在化している。；この姿勢はWeb小説のコミカライズが流行した以降も継続している。；しかし、これ以降の時代には主に民衆から支持を得る形で小説が人気を得ていく。；合併により2004年以降に廃止になった自治体は下記の通りである。；第二次世界大戦以降は、主に第一次世界戦争と呼ばれるようになった。；このスタイルは、以降のシリーズでも継承されていくことになる。；鎌倉時代以降になると、音便は口語では盛んに用いられるようになった。；この地がパレスチナと呼ばれるようになったのはこれ以降である。；翌年以降は更に伸びており、この時期大量のソフトが市場に流れ込んでいた。；これらは2001年以降には規模が縮小されるか、完全に閉鎖された。；これらのゲノム解読以降の研究を総称してポストゲノムと呼ぶことがある。；以降、解散などのアナウンスもないまま、YMOは再び活動を停止する。；また日本の映画の音響面も大友作品以降、大きく進化することになった。；以降も『コロコロコミック』の系列誌を中心として作品を発表している。；一九五五年に作家出版社本が出版され、以降標点本として広く流布した。；連載終了以降一度も再現されなかったカラー原稿を初めて収録。；以降、ことあるごとに田中外相と外務官僚の対立が続くようになった。；この運動以降、中国の青年達に共産主義思想への共感が拡大していく。；平成以降に被り物キャラで一時的に復活していたが近年は見られなくなった。</t>
        </is>
      </c>
      <c r="J403">
        <f>HYPERLINK("https://www.weblio.jp/content/以降", "词义详情")</f>
        <v/>
      </c>
      <c r="K403">
        <f>HYPERLINK("https://yourei.jp/以降", "查看例句")</f>
        <v/>
      </c>
    </row>
    <row r="404">
      <c r="A404" t="inlineStr">
        <is>
          <t>意向</t>
        </is>
      </c>
      <c r="B404" t="inlineStr">
        <is>
          <t>成功</t>
        </is>
      </c>
      <c r="C404" t="inlineStr">
        <is>
          <t>読み方：いこう
どうするつもりかという考え。心の向かうところ。思わく。「相手の—を確かめる」「—にそうよう努力する」</t>
        </is>
      </c>
      <c r="D404" t="inlineStr">
        <is>
          <t>意向次第；意向を改めて；意向表明</t>
        </is>
      </c>
      <c r="E404" t="inlineStr">
        <is>
          <t>考え；主張；評価；意見；考え方</t>
        </is>
      </c>
      <c r="F404" t="inlineStr">
        <is>
          <t>強い意向；たいという意向</t>
        </is>
      </c>
      <c r="G404" t="inlineStr">
        <is>
          <t>意向形；意向書</t>
        </is>
      </c>
      <c r="H404" t="n">
        <v>29</v>
      </c>
      <c r="I404" t="inlineStr">
        <is>
          <t>合議制を取ることで各部屋の意向をある程度反映できるように改善した。；これは、事態をうやむやにしたい幕府の意向があったのだと推測される。；自分を神と主張したことのない昭和天皇は、占領当局の意向に同意した。；さらに他の近隣の郡へ拡大の意向はあるのだが、具体化はしていない。；自身は大学院進学も希望していたが、両親の意向もあり家庭に入る。；日本語では相手の意向を直接的に聞くことは失礼に当たるからである。；これには幕府に影響力のあった天海の強い意向があったと伝わる。；ただし、原作者の意向が無視されたため、バローズは複雑な思いだった。；やがてリチャードの意向を受けてヴォーカル専門に活動するようになった。；この急速な昇進には公武に強い権力を保持していた父の強い意向があったためである。；このことには皇帝の養母の孝静成皇后の意向が働いていたようである。；この出願には、当時の県令であった安田定則の意向が大きく関わっていた。；女王の意向を無視した発言を繰り返して政府と対立、議会を紛糾させたのである。；この移住事業にはGHQと駐留アメリカ軍の意向が強く働いたと言われている。；二人の意見は次のチャンスには将軍たちの意向は無視しようということで一致した。；また性同一性障害者特例法に基づき戸籍変更を行う意向もあると発表した。；朝廷はこの件について話し合い、信長に朝廷の何らかの意向が伝えられた。；しかし三木の意向は椎名らの反対で形にすることは出来なかった。；椎名の意向を受けた中曽根幹事長は独禁法改正案の成立断念を示唆した。；これらの内容は、平沼騏一郎などの司法官僚の意向が強く反映されていた。；だが今日は将軍たちの意向がどうあれ決行するつもりだった。；初期作品においては事務所の意向で別名義を使用していた。；古事類苑によると豊臣秀吉の意向であったことが記載されている。；従順だった徳子が両親の意向に逆らったのは、この時だけだったと思われる。；しかし同年8月に選出された徳之島町の新町長は合併反対の意向を示している。；高倉帝は閑院を里内裏としていたが、清盛の意向で八条殿に行幸していた。；これは、制定当時、日本を占領していたGHQの強い意向によるものである。；TNGのシーズン末期ではフォーブスの意向もあり、あまり出演していない。；当初の契約は同年末までとなるが、同社では翌年以降も長期契約を結ぶ意向を明らかにしている。</t>
        </is>
      </c>
      <c r="J404">
        <f>HYPERLINK("https://www.weblio.jp/content/意向", "词义详情")</f>
        <v/>
      </c>
      <c r="K404">
        <f>HYPERLINK("https://yourei.jp/意向", "查看例句")</f>
        <v/>
      </c>
    </row>
    <row r="405">
      <c r="A405" t="inlineStr">
        <is>
          <t>いざ</t>
        </is>
      </c>
      <c r="B405" t="inlineStr">
        <is>
          <t>成功</t>
        </is>
      </c>
      <c r="C405" t="inlineStr">
        <is>
          <t>「いざこざ」の略。
「少しやそっとの—があろうとも縁切れになって溜る物か」〈一葉・にごりえ〉</t>
        </is>
      </c>
      <c r="D405" t="inlineStr">
        <is>
          <t>いざというとき(8%)；いざとなれ(7%)；いざという時(7%)；いざ知ら(7%)；いざとなる(5%)</t>
        </is>
      </c>
      <c r="E405" t="inlineStr">
        <is>
          <t>さあ</t>
        </is>
      </c>
      <c r="F405" t="inlineStr">
        <is>
          <t>いざといえ；酔いざまし；いざ実際；いざとなりゃ；いざこれから</t>
        </is>
      </c>
      <c r="G405" t="inlineStr">
        <is>
          <t>いざり；いざなう；いざなわ；いざない；いざとい</t>
        </is>
      </c>
      <c r="H405" t="n">
        <v>29</v>
      </c>
      <c r="I405" t="inlineStr">
        <is>
          <t>こういう簡単な表現はいざ実行しようとするとそう容易にはいかない。；いざというときはこれだけを持って火焔の中を逃れようと覚悟していた。；いざ、実行する段になると、驚いたことに予想したほどこたえなかった。；またいざとなったとき隙を突くために鏢のように投げて使ったともされる。；いざと言う時に自分を守る制度であるから納得するまで説明を受けたほうが良い。；おれはこれでいざとなると心にもない事はいわないつもりだよ。；地方などではいざ知らず、宮廷関係ではまさにそうだったのである。；いざ関わりあうときは相手を傷つけようとするときがほとんどであった。；いざと言えば裏口へ抜けられる厳重な後方の設備もなければならない。；いざ寝床に入ったところ、娘は若者の頭から足先まで全身を嘗め始めた。；こうすればいいと思っていたことを、いざやってみると思いどおりにはいかない。；いざとなって、制限される身になった場合、慌てても手おくれである。；だがその後工場から「加賀美がやって来た」と連絡が入り、いざ工場へ。；殺して欲いの死にたいのと、口癖にいうていて、いざとなるとその通り。；築地塀で囲まれた氏寺は、いざとなれば砦ともなりうる施設であった。；それにいざとなれば誰でもせきこむのでぢきに間違へてとられてしまふ。；あの娘は美しいけれど、あれでいざとなれば恋人を捨てるんだろう。；この生命があればこそ、いざといふ場合の力がそこに出て来るんぢやないでせうか?；だが、いざとなるとなかなか思いを伝える事が出来ないでいた。；今の若い娘さんたちは、元気があるやうで、みんないざとなると駄目ですよ。；ところが、いざオーディションを行うと壊滅的に歌が下手なことが判明。；但し、いざ書かうと思ふには、何か、書きたくなる動機がなければならん。；しかし、いざ蓋を開けてみて、目的のロング・ランがどこまで成功するか。；いざ旅となれば、私も遠い外国を遍歴して来たことのある気軽な自分に帰った。；みなピストルをとりだして、いざといえば発射する用意をしています。；この通り、自然科学もいざとなるとその思想的根柢に触れざるを得ないのだ。；いざ天幕をたゝみ、荷ごしらえをするとなると、彼は昔の彼にかえった。；いざ戦闘になると好戦的になり、武器は鉈のような小刀と鎖分銅を使う。；だが本番に弱く、いざ試合となると怪我が多く中々結果が出せなかった。</t>
        </is>
      </c>
      <c r="J405">
        <f>HYPERLINK("https://www.weblio.jp/content/いざ", "词义详情")</f>
        <v/>
      </c>
      <c r="K405">
        <f>HYPERLINK("https://yourei.jp/いざ", "查看例句")</f>
        <v/>
      </c>
    </row>
    <row r="406">
      <c r="A406" t="inlineStr">
        <is>
          <t>居酒屋</t>
        </is>
      </c>
      <c r="B406" t="inlineStr">
        <is>
          <t>成功</t>
        </is>
      </c>
      <c r="C406" t="inlineStr">
        <is>
          <t>読み方：いざかや
（昔、酒屋の店先で飲む酒を居酒といったことから）店内にテーブル席、小座敷などを用意し、酒と食べ物を出す店。酒は日本酒を主に、ビール・焼酎など。食べ物はつまみ程度からかなり凝った料理まで、店によりいろいろ。
[補説]店先に赤ちょうちんを下げたり、入り口に縄のれんをかけたりしたので、別名を「赤ちょうちん」「縄のれん」ともいう。大衆向けの安価な店が多い。洋酒を飲ませる店は「バー」、ビールを主に出す店は「ビアホール」という。書名別項。→居酒屋</t>
        </is>
      </c>
      <c r="D406" t="inlineStr">
        <is>
          <t>居酒屋経営；居酒屋兼；居酒屋ベースボール；居酒屋探訪；居酒屋系</t>
        </is>
      </c>
      <c r="E406" t="inlineStr">
        <is>
          <t>酒場；サロン；スナック；パブ；バール</t>
        </is>
      </c>
      <c r="F406" t="inlineStr">
        <is>
          <t>三条木屋町居酒屋；経営する居酒屋；安い居酒屋；洋風居酒屋；とある居酒屋</t>
        </is>
      </c>
      <c r="G406" t="inlineStr">
        <is>
          <t>居酒屋チェーン店；居酒屋兆治；居酒屋えぐざいる；居酒屋タクシー；居酒屋ゆうれい</t>
        </is>
      </c>
      <c r="H406" t="n">
        <v>29</v>
      </c>
      <c r="I406" t="inlineStr">
        <is>
          <t>けれども位置がよかったので、居酒屋は父から子へと代々相伝えていた。；両親はいとこ同士であり、母親の実家は宿付きの居酒屋を経営していた。；狭い居酒屋の中でストーリーは展開され、登場人物は後述の客6名のみ。；入団後は居酒屋でのアルバイトやサッカースクールの講師も務めていた。；お蝶が秋まで住んでゐた掘立小屋は、労働者相手の居酒屋に変つてゐた。；菊之露は沖縄県内の居酒屋を中心とした業務店におかれていることが多い。；周囲には工場が多いが、駅前には少数の売店や居酒屋なども軒を連ねる。；しかし全く仕事がなく、居酒屋のホールでアルバイトを3年間していた。；近くの道路の運転者も炎が見えていて、近くの居酒屋から電話をかけていた。；その他、喫茶店、居酒屋なども経営していたが、いずれも撤退している。；日本の多くの料理店・居酒屋では、5社のうち1社のビールが供された。；その噂は繁蔵の居酒屋に集まった7人の仕事人たちの元にも届いていた。；東二条通り沿いには居酒屋を含め店舗がいたるところに存在している。；また居酒屋での一ヶ月飲食無料を手術代の代わりとした事もある。；クリミア戦争のときは、居酒屋のようなお酒を提供する食堂を経営していた。；その上にまた劇場よりも、居酒屋よりも、もつと面白いところへも往つた。；このことから古代の居酒屋は、富裕層向けに特化した店だったようである。；父ピエトロは、学校で音楽を学び、居酒屋でバイオリンを演奏していた。；オエルはコランタンと話しをする前に居酒屋で食事をするよう勧められる。；紀元前18世紀の古代バビロニアには既に居酒屋が存在していたとされる。；現在の建物は1812年に居酒屋が移転した後に建て替えられたものである。；居酒屋が入居している駅舎が、ホームに接した形で設けられている。；また、六本木の居酒屋で毎週会うなど、その後の交流も多かったという。；居酒屋を経営したこともあったが、後述する自殺直前は無職だった。；以後、期間限定で仕込んだラーメンを十日市の居酒屋で出すことがある。；仙台や東京など東日本の一部居酒屋でも提供されていることがある。；同法人は野球チーム運営のみならず、居酒屋を経営していたが、閉店した。；最初に出演した時点では茨城県土浦市の居酒屋に勤務していた。；駅舎内にはキヨスクや居酒屋が営業しており、駅弁も販売されていた。</t>
        </is>
      </c>
      <c r="J406">
        <f>HYPERLINK("https://www.weblio.jp/content/居酒屋", "词义详情")</f>
        <v/>
      </c>
      <c r="K406">
        <f>HYPERLINK("https://yourei.jp/居酒屋", "查看例句")</f>
        <v/>
      </c>
    </row>
    <row r="407">
      <c r="A407" t="inlineStr">
        <is>
          <t>潔い</t>
        </is>
      </c>
      <c r="B407" t="inlineStr">
        <is>
          <t>成功</t>
        </is>
      </c>
      <c r="C407" t="inlineStr">
        <is>
          <t>読み方：いさぎよい
［形］［文］いさぎよ・し［ク］
１事物・風景などが清らかである。汚れがない。
「—・い朝景色に飽かずに見恍(みと)れている」〈風葉・五反歩〉
２思い切りがよい。未練がましくない。また、さっぱりとしていて小気味がよい。「—・く身を引く」「—・く戦う」
３道に反するところがない。潔白である。「—・い態度を貫く」
「心ノ—・イ」〈日葡〉
[派生]いさぎよさ［名］</t>
        </is>
      </c>
      <c r="D407" t="inlineStr">
        <is>
          <t>潔いもの(3%)；潔い最期(3%)；潔い態度(2%)；潔い感じ</t>
        </is>
      </c>
      <c r="E407" t="inlineStr">
        <is>
          <t>いい；よい；良い；正しい；まとも</t>
        </is>
      </c>
      <c r="H407" t="n">
        <v>29</v>
      </c>
      <c r="I407" t="inlineStr">
        <is>
          <t>しかし、生き残った脱出グループの何人かは降伏を潔しとせず自殺した。；確実なものに賭けることを潔しとはしないような自信をも必要としている。；ここまで決定的に書かれていたら、潔く認めざるをえないじゃないか。；だが、失敗したからといって、人は潔くそれを認めることができない。；佐伯はついに集団のなかの一戦士であることを潔しとはしなかった。；人間は、何かの感情に激すると、臆病者でもかなり潔く死ぬことがある。；北野は、いわば水谷と昼食を共にすることを潔しとしていなかったのだ。；だけど、潔くも悲しいことに認めるなら、サッカーに向いていなかった。；息子も最後の最後になって、潔く自分の罪を認め、責任をとったわけだろう。；しかも文学的に自負する所の強い彼は、仲間からの支援も潔しとしなかった。；しかるに今日では中等店で売るを潔しとせぬような品まで取扱っている。；お父さんはその頃部長職にまで出世していたが潔く会社をやめた。；戦う意志のない者を打ちとって、何の潔いことがありましょうや。；それに比べたら、どちらかを選択する方がよっぽど潔いかもしれない。；敵に降るのを潔しとしない性格の男であれば、これ以上は致し方ない。；潔く死ぬ決心がつくと、初枝は一番仲の良い兄の顔が脳裏に浮かんだ。；脚は出したいんだけどスカートじゃ心配だし、という発想自体潔くない。；彼はそんじょそこらの商人や町人どもを相手に取ることを潔しとしなかった。；それでは、曙覧の潔い志の、無になる機会ばかりが多かつたに違ひない。；彼らはそういう受身の立揚に甘んずることを決して潔しとしないだろう。；そのうえ子爵は自分の会社を息子達に継がせることすら潔しとしなかった。；浜へ行くといって潔く飛び出した父親の頭脳には何の成算もなかった。；彼らにすれば、ただのカード遊びに優秀な頭を悩ますのを潔しとしないのだろう。；俺の方がセールスで勝利したら、氣志團には潔く解散してもらうぜ!!；救出部隊を出動させて仲間を失う可能性よりも、潔い死を選んだのだ。；絶対の高みにある恋のうちには、一種の潔い貞節の盲目さがはいっている。；だが、どこかにそれを受けるのを潔しとしない部分があった。；王侯貴人の業であつてもその流行を潔しとせぬ彼の反骨の表れである。；「この上は潔く、二人で責任を取りましょう」 これはどうも本気みたいだ。</t>
        </is>
      </c>
      <c r="J407">
        <f>HYPERLINK("https://www.weblio.jp/content/潔い", "词义详情")</f>
        <v/>
      </c>
      <c r="K407">
        <f>HYPERLINK("https://yourei.jp/潔い", "查看例句")</f>
        <v/>
      </c>
    </row>
    <row r="408">
      <c r="A408" t="inlineStr">
        <is>
          <t>いささか</t>
        </is>
      </c>
      <c r="B408" t="inlineStr">
        <is>
          <t>成功</t>
        </is>
      </c>
      <c r="C408" t="inlineStr">
        <is>
          <t>読み方：いささか
［形動］［文］［ナリ］
１数量・程度の少ないさま。ほんの少し。わずか。「—な蓄えはある」「—なりともお役に立ちたい」
２かりそめであるさま。ついちょっと。
「—に思ひて来しを多祜(たこ)の浦に咲ける藤見て一夜経ぬべし」〈万・四二〇一〉
３（多く「いささかに」の形で、打消しに呼応して用いる）少しも。
「—に知りたる人もなければ」〈今昔・二七・一五〉
［副］
１少し。わずかばかり。「この問題は—難しい」「—所見を述べる」「気勢に押されて—たじろいだ」
２（あとに打消しの語を伴って）少しも。ちっとも。→いささかも
「—さりげもなく」〈枕・二五〉</t>
        </is>
      </c>
      <c r="D408" t="inlineStr">
        <is>
          <t>いささかなり；いささか驚い；いささかうんざり；いささかくたびれ；いささかあわて</t>
        </is>
      </c>
      <c r="E408" t="inlineStr">
        <is>
          <t>少し；ちょっと；多少；これだけ；若干</t>
        </is>
      </c>
      <c r="F408" t="inlineStr">
        <is>
          <t>いささか謎めいた；いささか不本意；いささか常軌を逸し；いささか食傷気味；いささかも動ずる</t>
        </is>
      </c>
      <c r="H408" t="n">
        <v>29</v>
      </c>
      <c r="I408" t="inlineStr">
        <is>
          <t>少々気が触れてるんじゃないかしらといささか警戒を加えたくなります。；彼はそのあとからついてはいったが、いささか驚いたような風だった。；ところが半年ぐらい前から仙七の様子にいささか変なところがあった。；中に入るとあまりの静けさにあなたはいささか異様な雰囲気を感じる。；一九三〇年、彼女は恋人からいささか必要以上の信頼を得ることに成功した。；天皇にいささかも権力は与えなかったけれども、天皇はたしかに保存された。；さて女主人なるものを一見してシシド君もいささかキモをつぶした様子。；人々は現代とはいささか異なる風習ながらも平穏な生活を送っていた。；その後の私の指導振りにいささか苛酷に過ぎる感のあったのもそのためである。；優美でいささか感動的な響きのある命題によってこの書物は閉じられる。；以前には見られなかった行動であり、いささかショッキングな映像である。；いささか遅れて到着してしまうものの、主人の登場にはどうやら間に合う。；しかもそれが女であると判って、彼もいささか気が咎めないでも無かった。；彼もいささか感ずるところがあってその決心に至ったのであった。；で、私はこれから西洋の文献を探していささか変ったところを紹介しようと思う。；いささかでも国の将来を考える者は決して平然と安心しておられる次第ではない。；彼らはやって来たばかりのこの土地でいささか途方にくれていた。；これなら何も用心することはないと、私はいささか安堵することが出来た。；次の行動を起こすまでいささか時間を要したとしても不思議ではないだろう。；そこでわたしは、このとおり興奮して、いささか向っ腹を立てているんです。；もっとも鞍の上でグラグラするので、私はいささか神経質になっていた。；しかしながらこの一囘の勝利がいささか異様な変化を彼に与えた。；けれども実は彼の攻め来るのをいささか緩和する方便であったことは勿論だ。；部長はこれが本物だといささかの疑いもなく知っていた。；いささか酔って赤くなった英信だけは緊張もしないし、つまらなそうだ。；第二の疑問は、第一の疑問に比べると、いささかその趣を異にしている。；どうしてこの話がそんなに有名であるのかと、いささか不思議にも思う位であった。；さすがの代議士もいささか驚いた気味であったが、何事か考えていた。；そのためもあり、同時期のナムコのゲームの中では知名度がいささか低い。</t>
        </is>
      </c>
      <c r="J408">
        <f>HYPERLINK("https://www.weblio.jp/content/いささか", "词义详情")</f>
        <v/>
      </c>
      <c r="K408">
        <f>HYPERLINK("https://yourei.jp/いささか", "查看例句")</f>
        <v/>
      </c>
    </row>
    <row r="409">
      <c r="A409" t="inlineStr">
        <is>
          <t>いざという時</t>
        </is>
      </c>
      <c r="B409" t="inlineStr">
        <is>
          <t>成功</t>
        </is>
      </c>
      <c r="C409" t="inlineStr">
        <is>
          <t>読み方：いざというとき
非常事態の起こった場合。一大事発生の時。「—に備える」</t>
        </is>
      </c>
      <c r="D409" t="inlineStr">
        <is>
          <t>大切な時期；大事な時期；ここぞという時；一朝有事の際；いざって時</t>
        </is>
      </c>
      <c r="H409" t="n">
        <v>29</v>
      </c>
      <c r="I409" t="inlineStr">
        <is>
          <t>いざという時のために、複数の方式で支えられる設計になっているのだ。；ところがいざという時、あんたが一度でも助けてやったことがあるのかね?；あまり焚き火の近くにいると目が光に慣れていざという時に困るのだそうだ。；すでに十一日以来、彼らとの間で〝いざという時〟の案は練ってあった。；いざという時にはスイッチ一つでダイナマイトを爆発させることが出来る。；アフリカ辺りに置いておいても、いざという時には何の役にも立ちませんからね。；手もとに五百円か千円の金がないと、いざという時に困るであろう。；いざという時、夫にはどこかもう一つ気の弱いところがあるのだ。；でも俺は、いざという時の備えもしておかなければならないんだ。；いざという時には、ここからは屋根の上にも車輌の下にも行けるからだ。；いざという時につかまるのにはガス嚢網くらい安全なものはないんだ。；これではいざという時、文書を送る際、いつ送ったか時刻が書けない。；それは、いざという時の日本の男よりもずっと大きい感じだった。；いざという時の事を考え、レイチェルは窓を静かに開き始めていた。；いざという時はガードレールをぶち破って兵を展開することができる。；いざという時に小隊員の力を借りられるのは大きいだろう。；だから、博士がいざという時の奥の手を握っていると睨んでいるのだ。；剣の柄はやや長めで、いざという時には両手でも扱えるように作られている。；いざという時、浮浪者部隊を味方につけようとしているのだなと推察した。；辰男の方がずっと痩せて色も白いが、いざという時の膂力は強い気がする。；いざという時になったら、年齢の差などは問題にならないという事も知っている。；これは家に用意しておいて、いざという時以外は、濫りに持ち出さぬよう。；いざという時、海に投げ入れても、中の物が損なわれることは先ずない。；いざという時になって故障だったら泣いても泣ききれない。；社会協調性や状況判断力がよく、いざという時には頼りになる犬である。；あの部屋は、車掌がいざという時のために取っておく予備室らしいのですね。；それではいざという時に力を出せず二人を守ることは出来ない。；だがその分、いざという時に頼もしい武器となるだけの重みがあった。；「これはいざという時のために置いておきましょう」彼が言った。</t>
        </is>
      </c>
      <c r="J409">
        <f>HYPERLINK("https://www.weblio.jp/content/いざという時", "词义详情")</f>
        <v/>
      </c>
      <c r="K409">
        <f>HYPERLINK("https://yourei.jp/いざという時", "查看例句")</f>
        <v/>
      </c>
    </row>
    <row r="410">
      <c r="A410" t="inlineStr">
        <is>
          <t>いざとなると/いざとなれば/いざとなったら</t>
        </is>
      </c>
      <c r="B410" t="inlineStr">
        <is>
          <t>无结果</t>
        </is>
      </c>
      <c r="H410" t="n">
        <v>0</v>
      </c>
      <c r="J410">
        <f>HYPERLINK("https://www.weblio.jp/content/いざとなると/いざとなれば/いざとなったら", "词义详情")</f>
        <v/>
      </c>
      <c r="K410">
        <f>HYPERLINK("https://yourei.jp/いざとなると/いざとなれば/いざとなったら", "查看例句")</f>
        <v/>
      </c>
    </row>
    <row r="411">
      <c r="A411" t="inlineStr">
        <is>
          <t>勇ましい</t>
        </is>
      </c>
      <c r="B411" t="inlineStr">
        <is>
          <t>成功</t>
        </is>
      </c>
      <c r="C411" t="inlineStr">
        <is>
          <t>読み方：いさましい
［形］［文］いさま・し［シク］《動詞「いさ（勇）む」の形容詞化》
１意気が盛んで勢いがあり、恐れずに危険や困難に向かっていくさま。勇敢なさま。「強敵に—・く立ち向かう」「—・い英雄の物語」
２大胆で活発なさま。多く、無謀な行為を皮肉っていう。「鬼退治にでも行きそうな—・い格好」「若手から—・い意見が飛び出す」
３活気にあふれ、人を奮い立たせるさま。勇壮なさま。「—・い応援歌」「かけ声も—・く行進する」
４気乗りがしている。積極的な気構えである。
「朝夕君につかへ家をかへりみる営みの—・しからん」〈徒然・五八〉
[派生]いさましがる［動ラ五］いさましげ［形動］いさましさ［名］</t>
        </is>
      </c>
      <c r="D411" t="inlineStr">
        <is>
          <t>勇ましい姿(3%)；勇ましいアキレウス(2%)；勇ましい声；勇ましい言葉；勇ましい騎士</t>
        </is>
      </c>
      <c r="E411" t="inlineStr">
        <is>
          <t>大胆；勇敢；堂々たる；不敵；壮絶</t>
        </is>
      </c>
      <c r="F411" t="inlineStr">
        <is>
          <t>勇ましい名前；勇ましいディオメデス；勇ましい歌；勇ましい恰好；勇ましい息子</t>
        </is>
      </c>
      <c r="G411" t="inlineStr">
        <is>
          <t>勇ましいちびの仕立て屋</t>
        </is>
      </c>
      <c r="H411" t="n">
        <v>29</v>
      </c>
      <c r="I411" t="inlineStr">
        <is>
          <t>家の人たちはみんな、わたしのことをなんて勇ましい子だろうと思うわ!；演習のことをお書きになった勇ましいお手紙、それに心を奪われました。；みんなは勇ましい話だと言うけれど、私には違った話にしか見えなかった。；曙光のなか、勇ましく立ち現れた皇子のお姿は炎のようであったという。；明日は早く起きて学校へ行って勇ましくやりましょうと偽でなく思う。；戦線に立って、日本少女の勇ましさを、敵に見せてやろうと思ったのよ。；その丘の上の公園では、珍しくもまた勇ましい情景がくりひろげられた。；だが、勇ましい言葉に引きかえて、彼の姿の何とみじめであったことか。；それにもともと主義に殉じようなんて勇ましい覚悟があったわけじゃない。；あんなに勇ましい犬の吠え声を わたし今までに聞いたことがありません。；勇ましい足音を立てて部屋に入ってきたのは、今一番会いたくない女だった。；敵の攻撃があったのはその直後のことで、は勇ましく書いている。；赤銅のような肉の色が煙の間から、汗で光々するのが勇ましく見える。；勇ましげな破壊と殺戮の機能の下に、粘着する金属愛が隠れているのです。；まことに軟弱なところのない勇ましい恰好で、きかぬ気の顔をしている。；そして勇ましく戦っているべき、彼も彼女もいまはどこへ行っているのでしょう。；振り返ってみると、それは背が高く、凜々しい眉が勇ましい女性でした。；王のお供には、同じように武装した、百人の勇ましげな諸侯がついていた。；次に彼の歩き振りが、その日常と少しもかわらず勇ましいのを見た。；広大な森を背景にするとひどく小さかったが、またひどく勇ましくも見えた。；勇ましくも空虚な言葉でカムフラージュされてはいるが、ここは牢獄だ。；反抗世界という勇ましいものがあってよさそうなのに、それがないという。；第二の曲に引きつづいて第三の曲では、その魂がふたたび勇ましく自分の道を進んでいた。；歩き方は勇ましく、胸の膨らみがなければ少年と見間違えてしまいそうだ。；かけ声は勇ましいが、実際の剣の筋はといえばさんざんなものだった。；あと二十センチほど背が高ければ、勇ましいようにも見えただろうが。；そして汚いものを腹いっぱい詰めこむことは勇ましさのあらわれなのだ。；あたしのあまりの勇ましさに、仲間の尼さんたちも仰天するのでした。；彼らは勇ましく戦ったが、衆寡敵せず、五分後には、すべて戦いは終った。</t>
        </is>
      </c>
      <c r="J411">
        <f>HYPERLINK("https://www.weblio.jp/content/勇ましい", "词义详情")</f>
        <v/>
      </c>
      <c r="K411">
        <f>HYPERLINK("https://yourei.jp/勇ましい", "查看例句")</f>
        <v/>
      </c>
    </row>
    <row r="412">
      <c r="A412" t="inlineStr">
        <is>
          <t>遺産</t>
        </is>
      </c>
      <c r="B412" t="inlineStr">
        <is>
          <t>成功</t>
        </is>
      </c>
      <c r="C412" t="inlineStr">
        <is>
          <t>読み方：いさん
１死後に残した財産。法律的には、人が死亡当時持っていた所有権・債権・債務も含む全財産をいう。相続財産。
２前代の人が残した業績。「文化—」</t>
        </is>
      </c>
      <c r="D412" t="inlineStr">
        <is>
          <t>遺産問題；遺産管理；遺産分配；遺産群；遺産争い</t>
        </is>
      </c>
      <c r="E412" t="inlineStr">
        <is>
          <t>継承；家督；相続；遺物；遺言</t>
        </is>
      </c>
      <c r="F412" t="inlineStr">
        <is>
          <t>文化的遺産；関連遺産；貴重な遺産；文化遺産；大きな遺産</t>
        </is>
      </c>
      <c r="G412" t="inlineStr">
        <is>
          <t>遺産分割；遺産の商品化；遺産税；遺産と創造性；遺産整理</t>
        </is>
      </c>
      <c r="H412" t="n">
        <v>29</v>
      </c>
      <c r="I412" t="inlineStr">
        <is>
          <t>また、3万年前のアボリジニの遺産が残されている文化的な側面も持つ。；このままでは加田の遺産はハイエナのような親族に全て取られてしまう。；父親は多くの遺産を残したが、エッカートはそれをすぐに使い果たした。；父親の遺産でプレゼントしたから、父親だと思って会いに行っている。；そのためにも正しい遺産の解釈を伝えるガイドの存在が重要になる。；その目的は質の良い遺産を多く持つ田舎の小さな村の観光を促進することにある。；しかしながら先人は、彼らに容易ならざる遺産を残したのであります。；実家からは仕送りはなく、父の遺産と自分の稼いだ金で生活している。；また、結婚前の財産やお金、家族の遺産などは財産分与の対象外となる。；彼の集めたコレクションなどの遺産は、彼の兄弟および愛人に分割された。；外国から、越境遺産の共同提案の可能性が打診されている事例もある。；彼女は夫の遺産を国王に返納することに異議を唱え、裁判所に訴えた。；炭鉱関連の遺産が多数残っており、近代化遺産の面からも注目されている。；植物保護と並外れた歴史的景観の遺産価値は緊急性を増して扱われてきた。；約40万ドルの遺産があったといわれているが、謎に包まれた生涯といっていい。；人と同じ姿かつ感情を持つ兵器は「レスフォールの遺産」と呼ばれていた。；また、遺されたケプラーの妻のために、彼の遺産から金を作るのを助けた。；まだ、日本には自然遺産かつ文化遺産の特徴を持つ遺産は存在していない。；結婚していなかったピゼンデルは、その遺産を全て慈善事業に寄付した。；遺産の全部または一部を割合をもって示し対象とする場合を包括遺贈という。；なお、この案では、国際的な援助が要請される遺産のリストのみが想定されていた。；生涯のパートナーであったダニエル・デフェールが彼の遺産を相続した。；妻によれば、マンションは「母の遺産と私の貯金で購入」したという。；父が亡くなると、彼には少額の遺産と男爵の称号しか残されていなかった。；遺産による豊富な資金を背景に研究に打ち込み、多くの成果を残した。；ここに書かれている遺産名称は、既存の文献にない日本語訳を採用したものです。；その遺産は1918年のオーストリア帝国消滅まで維持されることになる。；マナは不思議な力を持った古代の遺産と関係があるようだが、詳細は分かっていない。；以来現役の橋として利用され、また貴重な文化遺産として親しまれてきた。</t>
        </is>
      </c>
      <c r="J412">
        <f>HYPERLINK("https://www.weblio.jp/content/遺産", "词义详情")</f>
        <v/>
      </c>
      <c r="K412">
        <f>HYPERLINK("https://yourei.jp/遺産", "查看例句")</f>
        <v/>
      </c>
    </row>
    <row r="413">
      <c r="A413" t="inlineStr">
        <is>
          <t>石</t>
        </is>
      </c>
      <c r="B413" t="inlineStr">
        <is>
          <t>成功</t>
        </is>
      </c>
      <c r="C413" t="inlineStr">
        <is>
          <t>読み方：いし
１岩石の小片。岩よりも小さく、砂よりも大きなもの。
２広く、岩石・鉱石のこと。「—の置物」「—の橋」
３土木工事や建築などに使う石材。「山から—を切り出す」
４宝石や、時計の部品に用いる鉱石、ライターの発火合金などの俗な言い方。
５碁石。「—を打つ」
６胆石。結石。
７硯(すずり)石。
８墓石。
９じゃんけんで、握りこぶしで示す形。ぐう。→じゃんけん
10紋所の名。四つ石、丸に一つ石、石畳車(いしだたみぐるま)などがある。
11かたい、冷たい、無情なもののたとえ。「—のように黙りこむ」「—のように動かない」
12劣ったもののたとえ。「数が多ければ玉もあるし—もある」
13石だたみ。敷石。
「ひとりなるわが身の影をあゆまする—のうえ」〈達治・甃のうへ〉
14石御器(いしごき)のこと。茶碗。
「此の—できゅっとやらんせ」〈浄・妹背山〉</t>
        </is>
      </c>
      <c r="D413" t="inlineStr">
        <is>
          <t>石余；石翁；石製；石以上；石取り</t>
        </is>
      </c>
      <c r="E413" t="inlineStr">
        <is>
          <t>岩；岩石；ストーン；石材；石ころ</t>
        </is>
      </c>
      <c r="F413" t="inlineStr">
        <is>
          <t>隕石；千石；百石；大きな石；十石</t>
        </is>
      </c>
      <c r="G413" t="inlineStr">
        <is>
          <t>石炭；石川；石垣；石段；石井</t>
        </is>
      </c>
      <c r="H413" t="n">
        <v>29</v>
      </c>
      <c r="I413" t="inlineStr">
        <is>
          <t>石のころがる山地が帯のように続くところからこの名があると見られる。；また、バクトリア地方から出土した数体の石製女性像が見つかっている。；彼は、そのような多くの石はどこからやって来たのだろうかと考え始めた。；さらにはより大きな音や激しい音を得るために木や石を叩いた可能性も大きい。；見ると、石になっている彼女が小さな紙切れを握っていることに気付く。；他に、海外で発見された隕石を博物館などが保有しているものもある。；石は手に入りやすい硬い材料であり人類最初の材料といわれている。；しかし、袋に入ることなく網石の下をくぐり抜けて逃げる魚も少なくない。；オセロでは一般に樹脂製のものが使われるが囲碁に倣って石と呼ばれる。；古代から何らかの境界を表すものとして石がおかれることがあった。；後に進化し、長柄の穂と反対側の端には石突きが付けられるようになった。；隕石と称して岩石を売る業者があるが、本物である可能性は極めて低い。；片方のプレイヤーは黒い石を、もう一方のプレイヤーは白い石を使う。；石は詳細に調査・記録され、現在は、エディンバラ城に安置されている。；多くの場合は互いの石が接触して戦闘が始まるまでの段階を指す。；墳丘の周囲は「結界石」と呼ばれる石の列によって二重に囲まれている。；だが冥王は再び魔界を支配するべく、世界を司る5つの石を集めていた。；彼らはあなたをその手にのせて運び、足が石に当たらないように守る。；石鹸石を使った近現代のジンバブエ彫刻家は国際的な成功を収めている。；さまざまな地域に隕石のことを語ったと思われる伝承や記録が数多く残されている。；石オノ・マジカルファイヤーを持っているか否かで難易度が大きく変わる。；また駿河田中藩主4万石になっていた弟の酒井忠能は綱吉に改易された。；この場合、挟んだ石はすべて自分の色に変えなければならない。；初期の大型兵器は石などを遠くに飛ばす為この力を利用した。；山の上に畑から出た石を運び、家の基礎と大きな風呂が完成していた。；カットされた別の場面で、ハリーはにあるの前で石を飛ばしている。；互いに死活がはっきりしていない弱い石を意識しながら打ち進める。；安土桃山時代には城建築の際に石を滑らせるための材料として使用していた。；こうした中でもこれまで更新世人類化石として知られていた例も多かった。</t>
        </is>
      </c>
      <c r="J413">
        <f>HYPERLINK("https://www.weblio.jp/content/石", "词义详情")</f>
        <v/>
      </c>
      <c r="K413">
        <f>HYPERLINK("https://yourei.jp/石", "查看例句")</f>
        <v/>
      </c>
    </row>
    <row r="414">
      <c r="A414" t="inlineStr">
        <is>
          <t>医師</t>
        </is>
      </c>
      <c r="B414" t="inlineStr">
        <is>
          <t>成功</t>
        </is>
      </c>
      <c r="C414" t="inlineStr">
        <is>
          <t>読み方：いし
１医術を仕事にする人。医師法の適用を受けて、病気の診察・治療に当たる人。医者。古くは「くすし」「くすりし」といった。
２律令制で、典薬寮(てんやくりょう)の職員。治療と医生(いしょう)の教授をつかさどった者。
３中世、公家や僧侶で医術の知識を持って施療した者。
４江戸幕府の職名。僧体で医療をつかさどった。これに対し、民間では士分・公卿の服装をした古方(こほう)派があった。→奥医師</t>
        </is>
      </c>
      <c r="D414" t="inlineStr">
        <is>
          <t>医師たち(3%)；医師団；医師達；医師会長；医師役</t>
        </is>
      </c>
      <c r="E414" t="inlineStr">
        <is>
          <t>医者；医；ドクター；お医者さん；薬師</t>
        </is>
      </c>
      <c r="F414" t="inlineStr">
        <is>
          <t>若い医師；ウィレット医師；ツムラ医師；トリーヴス医師；野口医師</t>
        </is>
      </c>
      <c r="G414" t="inlineStr">
        <is>
          <t>医師免許；医師法；医師不足；医師国家試験；医師会館</t>
        </is>
      </c>
      <c r="H414" t="n">
        <v>29</v>
      </c>
      <c r="I414" t="inlineStr">
        <is>
          <t>これらの症状が出たり消えたりしても、すぐに医師に連絡する必要がある。；それらの使用物は通常、医師が自身の判断で個人輸入し使用している。；特に医師の少ない地方では、病院存続に関わる問題となってきている。；自由市民は自由市民の医師が診察し、奴隷は奴隷である医師が診察した。；ドイツの医師であるクーゲルマンとは頻繁に手紙のやり取りをしている。；パリは、フランス全土でも医師の密度がもっとも高い街のひとつである。；上記の特定行為を行う際にはオンラインで医師に指示を要請する必要がある。；そのため、より多くの機材や医師を病院に配置することが求められている。；日本では医師以外の者が灸を業として行う場合は灸師免許が必要である。；医師に画像特性や読影などの知識を指導する状況も多々見られている。；米国では最近では医師たちもおよそ半数が代替医療を支持しているという。；さらにそれを医師と共有して、的確な指導を受けることが必要である。；医師免許を取得して初めて医師と呼ばれ、自由診療を行うことができる。；英国の植民地の住民が医師を目指す場合には英国の医大に入学することが多い。；会員の大部分は医師であるが、一部の診療放射線技師も加入している。；私生活では、2004年に皮膚科の医師と結婚したことを公表している。；車を追跡していたマスコミたちと通りすがりの医師が第一発見者となった。；父・好水が医師という職業を千畝に強く薦めたのにはこうした背景がある。；過去には祖先に倣い医師を目指すよう家族に勧められていたという。；インド政府も推奨しているが、現代医学の医師からの批判も起きている。；すでに医師が多くいる地域だったためこれ以上の成功は望めない状況だったという。；医師が、治療効果が無い行為や患者を害する行為を行うことがある。；しかし派遣した医師の交代など人事は医局側に属するのが通例である。；さらに、医師が健康のための食事法について報告するようになった。；安全だという医師もいれば、毎年はやらないという方針の医師もいる。；もう一つは、医師は臨床現場で効果を確認している、という反論である。；その他、その医師の独自の考え方により特殊な治療法が実施されることもある。；そのため、公立・私立を問わず多くの病院で医師の確保が問題となっている。；また順天堂大学の基礎を作った医師・佐藤泰然は忠雄の曾祖父にあたる。</t>
        </is>
      </c>
      <c r="J414">
        <f>HYPERLINK("https://www.weblio.jp/content/医師", "词义详情")</f>
        <v/>
      </c>
      <c r="K414">
        <f>HYPERLINK("https://yourei.jp/医師", "查看例句")</f>
        <v/>
      </c>
    </row>
    <row r="415">
      <c r="A415" t="inlineStr">
        <is>
          <t>意思</t>
        </is>
      </c>
      <c r="B415" t="inlineStr">
        <is>
          <t>成功</t>
        </is>
      </c>
      <c r="C415" t="inlineStr">
        <is>
          <t>読み方：いし
１何かをしようとするときの元となる心持ち。「本人の—に任せる」
２法律用語。
㋐民法上、身体の動作の直接の原因となる心理作用や、ある事実に対する意欲をさす。
㋑刑法上、自分の行為に対する認識をさし、時には犯意と同じ意味をもつ。「犯行の—」
→意志［用法］</t>
        </is>
      </c>
      <c r="D415" t="inlineStr">
        <is>
          <t>意思決定；意思表示；意思統一；意思伝達；意思力</t>
        </is>
      </c>
      <c r="E415" t="inlineStr">
        <is>
          <t>考え；気；心；意味；意</t>
        </is>
      </c>
      <c r="F415" t="inlineStr">
        <is>
          <t>たいという意思；明確な意思；意思疏通；意思を通じあう；意思決定権</t>
        </is>
      </c>
      <c r="G415" t="inlineStr">
        <is>
          <t>意思表示；意思疎通；意思表明；意思能力；意思決定支援システム</t>
        </is>
      </c>
      <c r="H415" t="n">
        <v>29</v>
      </c>
      <c r="I415" t="inlineStr">
        <is>
          <t>天災が天の意思の現れだと言う思想もこの時期に形成されたようである。；つまりオーケストラの全員が一体になって意思を完全に表現するのです。；完全に自分の意思を残した者は少なく、そのごく一部が作中に登場した。；ウィリアムは議会の意思に関係なく首相を任命した最後の王になった。；将来的には本名の藤波怜於南で戦う意思があることも明らかにしている。；時には視線や表情だけでも、楽員に自分の意思を伝えるのに十分だった。；当時の政府及び軍関係者はソ連の対日参戦の意思をこの時点で認識していた。；癌公表前の第3シリーズ出演中の時点で次シリーズの出演意思はなかった。；ソ連が崩壊してCISが成立すると加盟する意思を宣言したが実現しなかった。；同社では呼称を統一する意思はなく、従業員の間でも両方が使用されている。；技術として、参加する単位の数を比較して多数の意思を 集団の意思とする。；また、相手のよくない結果を望む、心の中に生じる意思を意味する。；業団体の意思の統一が図られることが、現状ではかなり難しいと思われる。；日本野球連盟に球団解散の意思を伝えたのは、会見の8時間前であった。；機体の青色は地球の代表として出撃するトレーズの意思を反映したもの。；終戦の混乱によって本人の意思に関係なく、現地に残った人々が存在する。；ハンニバルはそこに神の意思を感じ、遺骨はそのままにされたという。；人間は、自分の性が何であるかを意思とは無関係に認識している。；従って、この見解によっても意思の内容は相当抽象的にならざるを得ない。；僧はいつでも還俗することができ、その意思が妨げられることはない。；自己の意思以外での引退の規定は下記の通りである。；そして権力は集団において意思決定することで行使されると考えた。；しかし曹操は次第に、魏公の九錫を受ける意思を明らかにし始めていた。；まず、末期養子においては当主の意思の確認が困難であったことによる。；のちにベレンコ中尉は、抵抗の意思がないことを示すためだったと証言している。；人物の写真にこの薬剤をかけると、意思を持ったかのようにしゃべりだす。；グレン・ヒューズもトラピーズの再編を含めた別行動の意思を表していた。；条件を満たしている場合でも、本人の意思により宣言しなければ成立しない。；イシュトヴァーンはベーラと対立する貴族を集め、対抗する意思を見せた。</t>
        </is>
      </c>
      <c r="J415">
        <f>HYPERLINK("https://www.weblio.jp/content/意思", "词义详情")</f>
        <v/>
      </c>
      <c r="K415">
        <f>HYPERLINK("https://yourei.jp/意思", "查看例句")</f>
        <v/>
      </c>
    </row>
    <row r="416">
      <c r="A416" t="inlineStr">
        <is>
          <t>意志</t>
        </is>
      </c>
      <c r="B416" t="inlineStr">
        <is>
          <t>成功</t>
        </is>
      </c>
      <c r="C416" t="inlineStr">
        <is>
          <t>読み方：いし
１あることを行いたい、または行いたくないという考え。意向。「参加する—がある」「こちらの—が通じる」
２目的や計画を選択し、それを実現しようとする精神の働き。知識・感情に対立するものと考えられ、合わせて「知情意」という。「—を貫く」「—強固」
３哲学で、個人あるいは集団の行動を意識的に決定する能力。広義には、欲望も含まれる。倫理学的には、道徳的判断の主体あるいは原因となるものをいい、衝動と対立する。
[用法]意志・意思——「意志」は「意志を貫く」「意志の強い人」「意志薄弱」など、何かをしよう、したいという気持ちを表す場合に用いられる。哲学・心理学用語としては「意志」を用いることが多い。◇「意思」は、「双方の意思を汲(く)む」「家族の意思を尊重する」など、思い・考えの意味に重点を置いた場合に用いられる。法律用語としては「意思」を用いることが多い。◇「意志（意思）の疎通を欠く」「意志（意思）表示」などは、話し手の意識によって使い分けられることもある。</t>
        </is>
      </c>
      <c r="D416" t="inlineStr">
        <is>
          <t>意志表示；意志疎通；意志どおり；意志薄弱；意志強固</t>
        </is>
      </c>
      <c r="E416" t="inlineStr">
        <is>
          <t>決心；意思；動機；志；決断</t>
        </is>
      </c>
      <c r="F416" t="inlineStr">
        <is>
          <t>ご意志；強固な意志；御意志；たいという意志；強靭な意志</t>
        </is>
      </c>
      <c r="G416" t="inlineStr">
        <is>
          <t>意志力；意志決定；意志薄弱；意志の勝利；意志と表象としての世界</t>
        </is>
      </c>
      <c r="H416" t="n">
        <v>29</v>
      </c>
      <c r="I416" t="inlineStr">
        <is>
          <t>ただし完全なる星の意志になったのか半神になったのかなど詳細は不明。；また、この時点ですでに巨人や阪神が獲得の意志を広島側に伝えている。；この生きようとする意志は、自己を完全に実現しようとする意志である。；彼は生命あるものすべてには、生きようとする意志が見出されるとする。；特定の動物が神の意志を伝えるという説話は日本神話の中にも見られる。；あんなことをしたために、アメリカ国民の意志を結集させてしまったんだ。；多くの地域で意志と勧誘は同じ形を用いるが、別表現を用いる地域もある。；結婚を自らの意志ではなく決められてしまうことも嫌であった。；彼らは起因主義と呼ばれるより強い立場で、意志の自由を信じている。；軍事的脅威の程度を判断する基礎は軍事力とそれを行使する意志である。；何らかの目的を持って、相手に自分の意志を伝えるために書かれたものが多い。；再婚日を7月4日としたのは家族から独立の意志を示すためと言われている。；ただしこれは敵も自由意志と思考力を有するために実現はしばしば困難である。；任務は国家の意志でありその遂行手段を決定するのも国家である。；意志は底に立つことで外に向かうことができるようになる。；カーネギーは国際関係での平和維持は人々の努力と意志によると信じていた。；心の働きが一定の方向に作用していくこと、意志形成力のこと。；悪意に満ちたその叫びを遠くから聞くだけで、人の意志はくじけてしまう。；その意志を継いだ子孫の勢力を危惧したローマ教皇はフランスの手を借りた。；神の意志に逆らった天皇の葬儀にこのようなものが集められ祓われた。；自分の意志でやったことだから心配しないでと電話を置く梨絵。；後にハースの意志を継いだ弟子たちの手によってエーザー版が出版された。；つまり、日本はいかなる思想も物もそれを選択する場合に個人の意志では出来ません。；患者の意志ではなく看護師の判断によって看護が提供されてしまう。；私たちは、抵抗する集団的意志を確実に組織しなければなりません。；眼球の形状が感情によってさまざまに変化し、外部に自分の意志を伝える。；意志を持たず戦うだけの人形と、それぞれの想いを胸に戦う少年たち。；自身の意志に忠実であるがゆえに、時に頑固になり頭に血が上りやすい。；しかし結局はゼウスの意志を避けることは誰にもできないとして命令に従った。</t>
        </is>
      </c>
      <c r="J416">
        <f>HYPERLINK("https://www.weblio.jp/content/意志", "词义详情")</f>
        <v/>
      </c>
      <c r="K416">
        <f>HYPERLINK("https://yourei.jp/意志", "查看例句")</f>
        <v/>
      </c>
    </row>
    <row r="417">
      <c r="A417" t="inlineStr">
        <is>
          <t>維持</t>
        </is>
      </c>
      <c r="B417" t="inlineStr">
        <is>
          <t>成功</t>
        </is>
      </c>
      <c r="C417" t="inlineStr">
        <is>
          <t>読み方：いじ
［名］(スル)物事の状態をそのまま保ちつづけること。「健康を—する」「現状—」</t>
        </is>
      </c>
      <c r="D417" t="inlineStr">
        <is>
          <t>維持するため(7%)；維持すること(5%)；維持でき(3%)；維持される(3%)；維持しよ</t>
        </is>
      </c>
      <c r="E417" t="inlineStr">
        <is>
          <t>持つ；運営；管理；整備；続く</t>
        </is>
      </c>
      <c r="F417" t="inlineStr">
        <is>
          <t>健康維持；秩序維持；河川維持；維持困難線区；維持管理権原者</t>
        </is>
      </c>
      <c r="G417" t="inlineStr">
        <is>
          <t>維持費；維持員；維持員席；維持管理有料制度；維持リハーサル</t>
        </is>
      </c>
      <c r="H417" t="n">
        <v>29</v>
      </c>
      <c r="I417" t="inlineStr">
        <is>
          <t>このようにして、独自アーキテクチャの維持に次第に限界が見えてきた。；機関とは学校や病院等の部隊を維持運営するための業務を担う組織である。；その姿は今から1000年ほど前までは維持されていたと考えられる。；その後も体制維持および財政再建の努力は行なわれるが成功はしなかった。；安定的な秩序が維持されており、各国は基本的に平和に過ごしている。；また放棄された総構も畑や空き地として再建が可能な形で維持されていた。；地球の大気は惑星規模の生態系を維持するのに重要な役割を果たしている。；タンパク質の生成・分解を調整することによって筋肉の維持に関与する。；こうした経緯から、現在でもフランスとの緊密な関係を維持している。；模倣が試みられたが全て無駄となり、貴腐の利用は秘密のまま維持された。；カーネギーは国際関係での平和維持は人々の努力と意志によると信じていた。；その後は、呼吸器疾患が比較的高い比率を維持する形で推移していった。；ネットワークの状態を追跡し維持する集中監視機能や性能測定機能は存在しない。；ホウ素は主に植物の細胞壁を維持するのに必要である重要な栄養素である。；長くない命に最後まで緊張した精神を維持させる薬だ。；政府は国家において安定的な支配を維持するための体制である。；その目的は、共産党を維持しつつ、経済の停滞を逆転させることだった。；同時に犯罪率が低く治安の良さは世界トップクラスを維持している。；こういった夢は、確かにモチベーションの維持という観点では需要である。；また、松林が維持されたのは伐採の制限があったことを理由とする。；南宋時代に長期政権を維持した他の宰相にも類似の傾向をみることができる。；農業地帯の政治と経済の権力を維持するために、古い選挙区割りに固執した。；ほぼすべての動物の皮膚で共通なのは、体を包み、体の形を維持していることである。；分子は、その物質が持つ特性を維持したまま分割できる最小の単位と言える。；ハーバード大学医学部によると、健康を維持することは偶然ではない。；それでも鉄道の維持を選択する場合は、公的資金の投入が必要となることがある。；鉄道施設を維持管理する甲賀市によると被害額は約3億5千万円という。；心臓は生命の維持に不可欠なので、発生の早い段階で中胚葉から形成される。；人為的破壊が無い限り城壁はかなり長い寿命を維持することができる。</t>
        </is>
      </c>
      <c r="J417">
        <f>HYPERLINK("https://www.weblio.jp/content/維持", "词义详情")</f>
        <v/>
      </c>
      <c r="K417">
        <f>HYPERLINK("https://yourei.jp/維持", "查看例句")</f>
        <v/>
      </c>
    </row>
    <row r="418">
      <c r="A418" t="inlineStr">
        <is>
          <t>意地</t>
        </is>
      </c>
      <c r="B418" t="inlineStr">
        <is>
          <t>成功</t>
        </is>
      </c>
      <c r="C418" t="inlineStr">
        <is>
          <t>読み方：いじ
１気だて。心根。根性。「—が悪い」
２自分の思うことを無理に押し通そうとする心。「—を通す」「—を折る」
３物をむやみにほしがる気持ち。特に、食べ物に執着する心。「—が汚い」「食い—」
４句作上の心の働き。
「—によりて句がらの面白きなり」〈連理秘抄〉</t>
        </is>
      </c>
      <c r="D418" t="inlineStr">
        <is>
          <t>意地わるく(3%)；意地わるい；意地惡；意地きたなく；意地づく</t>
        </is>
      </c>
      <c r="E418" t="inlineStr">
        <is>
          <t>意志；志；虚勢；やせ我慢；空元気</t>
        </is>
      </c>
      <c r="F418" t="inlineStr">
        <is>
          <t>小意地；そんな意地；こうなったら意地；ひどく意地；なかば意地</t>
        </is>
      </c>
      <c r="G418" t="inlineStr">
        <is>
          <t>意地悪く；意地わる；意地悪い；意地っ張り；意地っぱり</t>
        </is>
      </c>
      <c r="H418" t="n">
        <v>29</v>
      </c>
      <c r="I418" t="inlineStr">
        <is>
          <t>木蓮の花の白い女の肌にも似た姿が意地わるい媚のように彼には見えた。；そしてわたし共に対して意地を悪くしていないところを見せるが好いわ。；ゆすらや棗はさほどでもないのを意地きたなでひとつも枝には残さない。；その間にどこまでも意地の悪い霧はいつかほのぼのと晴れかかりました。；晩年にはそれほど偏意地ではなかったが、左に右く洋楽は嫌いであった。；お前が今まで、それをやらなかったのは、意地があったからじゃないのか?；事情を知った大滝は驚くが、意地から団グループとの抗争を受け入れた。；それも意地は意地でも、自分の損得とは関係ない意地がお好みのようで。；彼女は自分の意地があべこべに自身を締めつけて離さないことを感じた。；どうもお意地がわるく六ヶしいものを入れて下すつたんで困りましたよ。；そうして彼はいつも重い意地の悪そうなステッキを手にもっていた。；わたくしは、わざと意地わるく二人の邪魔になるように歩いていった。；僕にもそれ位の意地はあるですから、このことは諒として貰いたいです。；こっちの「我」以上に相手が意地の悪い事をするように見えたからである。；それで張つて來れた意地を、此頃では張り通すことが出來なくなつた。；意地になってわたしがここにきたと、わの人は思いこんでいるのね。；まさか、その期になって、足を傷めているからなどとは意地でもいえない。；女の心の底を探るような、ほとんど意地の悪い目付きで見たのである。；彼はその意地惡さうなお孃さんに一種の異常な魅力のやうなものをさへ感じた。；然しぢろりと横を見た時には意地の張つた女であるといふことを思はしめた。；太郎さんは、何という意地の悪い乞食だろうと思って腹が立ちました。；意地にも我慢にも、これ以上、身体を支えていることがむずかしくなった。；あの時、お君だけは意地にも我慢にも船におられないで、上陸してしまいました。；その娘はお前を見ると今日はを言ふ前にきつと何か意地の悪い仕種を見せるに相違ない。；そんな意地の悪い笑いを彼は今まで知らなかったのでした。；どこまでも、おれたちふたりは意地の悪い運命の眼にみこまれてしまつたのだ。；何故私はあの人の前で意地のわるい顔ばかりしていたのかしら。；けれど意地の悪くなっている私は自然にそうする事を耐えて了った。；若い職人は主婦から注意されるまで意地の強い顔をして座って居る。</t>
        </is>
      </c>
      <c r="J418">
        <f>HYPERLINK("https://www.weblio.jp/content/意地", "词义详情")</f>
        <v/>
      </c>
      <c r="K418">
        <f>HYPERLINK("https://yourei.jp/意地", "查看例句")</f>
        <v/>
      </c>
    </row>
    <row r="419">
      <c r="A419" t="inlineStr">
        <is>
          <t>意識</t>
        </is>
      </c>
      <c r="B419" t="inlineStr">
        <is>
          <t>成功</t>
        </is>
      </c>
      <c r="C419" t="inlineStr">
        <is>
          <t>読み方：いしき
［名］(スル)
１心が知覚を有しているときの状態。「—を取り戻す」
２物事や状態に気づくこと。はっきり知ること。また、気にかけること。「勝ちを—して硬くなる」「彼女の存在を—する」
３政治的、社会的関心や態度、また自覚。「—が高い」「罪の—」
４心理学・哲学の用語。
㋐自分自身の精神状態の直観。
㋑自分の精神のうちに起こることの知覚。
㋒知覚・判断・感情・欲求など、すべての志向的な体験。
５《(梵)mano-vijñānaの訳》仏語。六識・八識の一。目や耳などの感覚器官が、色や声など、それぞれ別々に認識するのに対し、対象を総括して判断し分別する心の働き。第六識。</t>
        </is>
      </c>
      <c r="D419" t="inlineStr">
        <is>
          <t>意識的(2%)；意識下；意識不明；意識現象；意識しすぎ</t>
        </is>
      </c>
      <c r="E419" t="inlineStr">
        <is>
          <t>目的；対象；目標；感覚；当て</t>
        </is>
      </c>
      <c r="F419" t="inlineStr">
        <is>
          <t>対抗意識；ライバル意識；職業意識；苦手意識；無意識</t>
        </is>
      </c>
      <c r="G419" t="inlineStr">
        <is>
          <t>意識不明；意識障害；意識の流れ；意識改革；意識化</t>
        </is>
      </c>
      <c r="H419" t="n">
        <v>29</v>
      </c>
      <c r="I419" t="inlineStr">
        <is>
          <t>現代の若者達は、意識の奥でみんなババを引いてしまったと感じている。；以下、意識という言葉の持つ容易に区別できるいくつかの意味を述べる。；意識する、意識しない、という言葉でこのようなことが表現されている。；しかし、表面上どうであれ、その後も互いに意識はしていたようである。；文章題には、割合を強く意識して考える問題とそうでない問題とがある。；また、プライバシーの問題に強い意識を抱いていることでも知られている。；副大統領候補の人選は大統領候補とのバランスが意識されることが多い。；以下に、意識の仕組みを解明しようとしている仮説提唱者の一部を示す。；もっとも江戸時代後期以降は、この見解が意識された可能性がある。；前述のように、人類は意識を持つよりも先に言語を獲得していた。；これはドイツの地方意識の強さを反映していると指摘される。；実行中は、実施されるべき計画が何であるかを常に意識していなければならない。；意識を持つように人類が進化する以前に、人類は言語を使えるようになった。；ヘーゲルの歴史意識は晩年に至るまで成長を続けて年と共に完成されていく。；高度成長後になると、方言に対する意識に変化が見られるようになった。；意識のない存在は技能の習得や精神的な性質を持つことはできない。；投稿を続けるうちにプロを意識するようになり、高校卒業後に上京。；現在ではあまりこの別を意識することはなくなっている。；よって、法律や契約書もこれを意識しながら読むと、正しく理解できる。；歌詞はブラック・ジョークを意識して書かれたものになっている。；また、宇宙には、物質の宇宙と意識の宇宙があるとする説がある。；名称は国鉄時代のチッキを意識して名づけられたものとのことである。；オニのお面をつけることも役割を意識させる上で有効である。；即ち「が」はゼロを意味し、十の位の空位を意識させるためにも役立つ。；しかし一般にはこの違いは意識されず混同されることが多い。；このような意識はインド側の西ベンガル州でも同様に見られる。；この病気は通常、意識に影響を与えたり発熱を引き起こすことはない。；互いに死活がはっきりしていない弱い石を意識しながら打ち進める。；意識という言葉のもつもうひとつの意味は主観的な経験、現象的な質である。</t>
        </is>
      </c>
      <c r="J419">
        <f>HYPERLINK("https://www.weblio.jp/content/意識", "词义详情")</f>
        <v/>
      </c>
      <c r="K419">
        <f>HYPERLINK("https://yourei.jp/意識", "查看例句")</f>
        <v/>
      </c>
    </row>
    <row r="420">
      <c r="A420" t="inlineStr">
        <is>
          <t>苛め</t>
        </is>
      </c>
      <c r="B420" t="inlineStr">
        <is>
          <t>成功</t>
        </is>
      </c>
      <c r="C420" t="inlineStr">
        <is>
          <t>読み方：いじめ
肉体的、精神的に自分より弱いものを、暴力やいやがらせなどによって苦しめること。特に、昭和60年（1985）ごろから陰湿化した校内暴力をさすことが多い。
[補説]いじめ防止対策推進法では、児童や生徒に対して、同じ学校の他の児童・生徒が行う、心理的または物理的な影響を与える行為で、行為を受けた児童・生徒が心身の苦痛を感じているもの、と定義している。</t>
        </is>
      </c>
      <c r="D420" t="inlineStr">
        <is>
          <t>攻撃する；拷問；揶揄；傷つける；責める</t>
        </is>
      </c>
      <c r="H420" t="n">
        <v>29</v>
      </c>
      <c r="I420" t="inlineStr">
        <is>
          <t>命を宿した自分の身体を苛めることはこの上なく辛いことだっただろう。；最初は後孔を苛める指から逃れたいだけだったのに、もう止められない。；自分こそが、目の前の女の子が苛められている原因そのものであるくせに。；初めから上級を持つと苛められるそうだが、そんなことは一切なかった。；それに苛められていたのは、才人たちが連れてきたティファニアである。；兄の大碓王子には苛められ、他の王子は異母兄弟で、他人と同じだった。；彼女は、病身な父が日本中から苛められているように思えてならなかった。；けれど、一番若い銀平ばかり苛めるのは、いけないということになった。；まさか大事なティガーが苛められているとは、夢にも思わないのだろう。；あなたも彼を苛めてあげて、と言われたが、それは辞退して店を出た。；そういう相手の時は、腕や手首を掴んでから、別のところを苛めてやる。；彼の得意とするところは、自分より弱いものを苛めることにあった。；継子だからとて世間によくある継子苛めをしなさいと言うのではないのだよ。；ヒドイことをいって相手も傷つき自分も苛めたいような気分になってくる。；翔子にとってそれは実際に苛めを受ける以上に避けたい事態のはずだ。；どんな小さな子供だって興味のない人間を苛めたりするものか。；逆に自ら自分を苛めないではいられないようになっている異常な心理からだろうか?；そしてチビ女とは苛められたけど、デカ女と罵倒されることはなかった。；言われるまでもなく、この上理想新聞の記者にまで苛められてはかなわない。；そのほか自分より弱いものを見付けると、ちょっと苛めてみたくなる。；何故かこの人を前にすると、私は苛めてやりたいような気持ちになるのだ。；それをよいことにして復一の変態的な苛め方はだんだん烈しくなった。；が、単なる学生である彼等を、苛める方法は容易に浮かんで、来なかった。；姉は奇妙にわたしを憎んでいて、陰気な方法でわたしを苛めるのです。；が、単なる学生である彼等を、苛める方法は容易に浮かんで、来なかつた。；苛められていたような気もするし、好かれていたような気もする。；罪のない女を、われわれが同居して苛めているように感じることもありました。；今まで苛めていた継母さえ見るに見兼ねると云うんだから酷いではないか。；今まで因縁をふっかけられて苛められたことも一度や二度ではない。</t>
        </is>
      </c>
      <c r="J420">
        <f>HYPERLINK("https://www.weblio.jp/content/苛め", "词义详情")</f>
        <v/>
      </c>
      <c r="K420">
        <f>HYPERLINK("https://yourei.jp/苛め", "查看例句")</f>
        <v/>
      </c>
    </row>
    <row r="421">
      <c r="A421" t="inlineStr">
        <is>
          <t>苛める</t>
        </is>
      </c>
      <c r="B421" t="inlineStr">
        <is>
          <t>成功</t>
        </is>
      </c>
      <c r="C421" t="inlineStr">
        <is>
          <t>読み方：いじめる
［動マ下一］
１弱いものを苦しめ、痛めつける。つらく当たる。さいなむ。「小犬を—・める」「同級生によってたかって—・められる」
２ことさらに厳しく扱う。「トレーニングでからだを—・める」</t>
        </is>
      </c>
      <c r="D421" t="inlineStr">
        <is>
          <t>攻撃する；拷問；揶揄；傷つける；責める</t>
        </is>
      </c>
      <c r="H421" t="n">
        <v>29</v>
      </c>
      <c r="I421" t="inlineStr">
        <is>
          <t>命を宿した自分の身体を苛めることはこの上なく辛いことだっただろう。；最初は後孔を苛める指から逃れたいだけだったのに、もう止められない。；自分こそが、目の前の女の子が苛められている原因そのものであるくせに。；初めから上級を持つと苛められるそうだが、そんなことは一切なかった。；それに苛められていたのは、才人たちが連れてきたティファニアである。；兄の大碓王子には苛められ、他の王子は異母兄弟で、他人と同じだった。；彼女は、病身な父が日本中から苛められているように思えてならなかった。；けれど、一番若い銀平ばかり苛めるのは、いけないということになった。；まさか大事なティガーが苛められているとは、夢にも思わないのだろう。；あなたも彼を苛めてあげて、と言われたが、それは辞退して店を出た。；そういう相手の時は、腕や手首を掴んでから、別のところを苛めてやる。；彼の得意とするところは、自分より弱いものを苛めることにあった。；継子だからとて世間によくある継子苛めをしなさいと言うのではないのだよ。；ヒドイことをいって相手も傷つき自分も苛めたいような気分になってくる。；翔子にとってそれは実際に苛めを受ける以上に避けたい事態のはずだ。；どんな小さな子供だって興味のない人間を苛めたりするものか。；逆に自ら自分を苛めないではいられないようになっている異常な心理からだろうか?；そしてチビ女とは苛められたけど、デカ女と罵倒されることはなかった。；言われるまでもなく、この上理想新聞の記者にまで苛められてはかなわない。；そのほか自分より弱いものを見付けると、ちょっと苛めてみたくなる。；何故かこの人を前にすると、私は苛めてやりたいような気持ちになるのだ。；それをよいことにして復一の変態的な苛め方はだんだん烈しくなった。；が、単なる学生である彼等を、苛める方法は容易に浮かんで、来なかった。；姉は奇妙にわたしを憎んでいて、陰気な方法でわたしを苛めるのです。；が、単なる学生である彼等を、苛める方法は容易に浮かんで、来なかつた。；苛められていたような気もするし、好かれていたような気もする。；罪のない女を、われわれが同居して苛めているように感じることもありました。；今まで苛めていた継母さえ見るに見兼ねると云うんだから酷いではないか。；今まで因縁をふっかけられて苛められたことも一度や二度ではない。</t>
        </is>
      </c>
      <c r="J421">
        <f>HYPERLINK("https://www.weblio.jp/content/苛める", "词义详情")</f>
        <v/>
      </c>
      <c r="K421">
        <f>HYPERLINK("https://yourei.jp/苛める", "查看例句")</f>
        <v/>
      </c>
    </row>
    <row r="422">
      <c r="A422" t="inlineStr">
        <is>
          <t>医者</t>
        </is>
      </c>
      <c r="B422" t="inlineStr">
        <is>
          <t>成功</t>
        </is>
      </c>
      <c r="C422" t="inlineStr">
        <is>
          <t>読み方：いしゃ
病人の診察・治療を職業とする人。医師。「町—」</t>
        </is>
      </c>
      <c r="D422" t="inlineStr">
        <is>
          <t>医者さま；医者たち；医者様；医者ども；医者仲間</t>
        </is>
      </c>
      <c r="E422" t="inlineStr">
        <is>
          <t>医；ドクター；お医者さん；薬師；開業医</t>
        </is>
      </c>
      <c r="F422" t="inlineStr">
        <is>
          <t>若い医者；早く医者；どの医者；代々医者；犬医者</t>
        </is>
      </c>
      <c r="G422" t="inlineStr">
        <is>
          <t>医者裁判；医者の不養生；医者がすすめる専門医</t>
        </is>
      </c>
      <c r="H422" t="n">
        <v>29</v>
      </c>
      <c r="I422" t="inlineStr">
        <is>
          <t>死の病を抱える主人公は医者である父の元で自宅療養を強いられていた。；彼は、自分には単なる医者よりももっとなるべきものがあると考えていた。；偶然にもその精神科医はブランドの友人である医者と知り合いであった。；医者もそうだし、警官も消防士もそうなのだから、作家もそうですよね?；などといったことを聞いたところでお医者は起床し、夢だったと分かる。；しかし長く伝統の続く男子校に女子が入る事をよく思わない者達も多い。；また、医者が死の直前に行った瀉血が症状を悪化させたとも言われる。；その上健康も害しており、当地の医者に心臓病だとの診断を受けていた。；医者が患者へリアルタイムに診療を行う方法と、そうでない方法である。；ヴォツェックは生活費の足しにしようと医者の生命実験体となっている。；霊力に弱い者は降鬼になってしまうが逆に強い者はその影響を受けない。；シャーマンはさらに医者でもあり、どのような病気も治療できるとされた。；長与は、鍼医から医者の名称や医の名称使用と治療を禁止しようとした。；アフリカ時代の経験や医者時代の苦労した経験が作品のあちこちに反映されている。；おそらく毛皮の流出を止めたい者たちが港を封鎖しようとしているのだ。；俺たちの中でミンチのパーツを身につけたい者だけが、その権利を持つ。；万能の薬はラテンに復帰することにあると言ってる面白い者どももいた。；その大勢のうちには自然こちらの娘さんと仲の悪い者も無いとは云えません。；それは不思議なことではあったが、医者に尋ねに行こうと決心させる力があった。；工事には身分の高い者から低い者まで多くの人々が参加している。；医者から「これ以上やったら50歳で歩けなくなりますよ」と言われた。；青年時代には医者志望で、そのための資金稼ぎのためボクサーになった。；病気になったときは医者の承認を得て自分自身で治療した。；おさとが山岡の寵い者になっていたことは、店の者はみんな知っていた。；流石に落語らしく、出てくる医者の名前もおかしな物ばかりが出てくる。；たしかにそれは気の弱い者には夜の眠りをおびやかす悪夢ですらあった。；コンコード遠征隊の指揮者二人が負傷者で馬が無い者となってしまった。；幸い経過が良く一か月後の03月05日に医者の許可がおりて韓国に帰国。；医者は山すそを回るより山を越えた方が早いと言って2人は山に入る。</t>
        </is>
      </c>
      <c r="J422">
        <f>HYPERLINK("https://www.weblio.jp/content/医者", "词义详情")</f>
        <v/>
      </c>
      <c r="K422">
        <f>HYPERLINK("https://yourei.jp/医者", "查看例句")</f>
        <v/>
      </c>
    </row>
    <row r="423">
      <c r="A423" t="inlineStr">
        <is>
          <t>移住</t>
        </is>
      </c>
      <c r="B423" t="inlineStr">
        <is>
          <t>成功</t>
        </is>
      </c>
      <c r="C423" t="inlineStr">
        <is>
          <t>読み方：いじゅう
［名］(スル)他の土地に移り住むこと。特に、開拓・商売などの目的で、海外に居住地を変えること。「南アメリカへ—する」</t>
        </is>
      </c>
      <c r="D423" t="inlineStr">
        <is>
          <t>移住する(8%)；移住後；移住先；移住民；移住地</t>
        </is>
      </c>
      <c r="E423" t="inlineStr">
        <is>
          <t>入植；イミグレーション</t>
        </is>
      </c>
      <c r="F423" t="inlineStr">
        <is>
          <t>大規模な移住；アメリカ移住；集団移住；北海道移住；国外移住</t>
        </is>
      </c>
      <c r="G423" t="inlineStr">
        <is>
          <t>移住者収容所；移住者収容；移住・住みかえ支援機構</t>
        </is>
      </c>
      <c r="H423" t="n">
        <v>29</v>
      </c>
      <c r="I423" t="inlineStr">
        <is>
          <t>フランス語で執筆する作家の中には、フランスへの移住を選ぶ者もいた。；彼らは日本を経由し、アメリカ合衆国を中心に各希望居住地に移住した。；幼いころに南フランスに移住し、父の絵のモデルを務めさせられていた。；この王は戦争に勝利しても、土地の住民をローマに移住させなかった。；こちらは明確にイタリック人の移住より後であることが判明している。；その後西部への移住が進んだので、この砦は1827年に放棄された。；各集団の人口変化や形成時期も推定でき、移住の歴史が反映されているという。；宇宙船を開発し、最初にほかの惑星に移住できるかを競うこともできる。；代父エーペンシュタインはオーストリアに移住していて連絡はつかなかった。；このメーソートに移住したグループは後に現在のタークにも移住した。；主に中間層の約20万人の市民がパリを離れて地方へ向う大移住が起こった。；このため、同一地域内ではなく遠く離れた地域への移住が推進されるようになった。；将軍のに命じて、漢水南部の住民を北部に移住させるように計らった。；海外および移住後のロンドンでの活動は、全て現地時間に基づくものとする。；パスカルが少年の時に、教育熱心な父親は一家を引き連れパリに移住する。；帝国東部地域の開発が進むなか、多くの解放農民がシベリアへと移住した。；リストが1861年にはローマに移住した後、1865年に僧籍に入る。；この初期の頻繁な移住は現代でウォレスの国籍について論争を起こした。；調査によると、この移住は遅くとも17世紀に起こったと考えられている。；後にイタリアに移住したものの、修業時代については不明な点が多い。；曹操は白馬の住民を移住させると、白馬の拠点を放棄して西に敗走した。；この旅行の間、前年にカリフォルニアに移住した兄ジョンと再会した。；移住せざるを得なかったセルビア人は20万人以上と言われている。；そのため、孫休は他の郡への移住を願い出、勅を得て会稽郡に移住した。；米英戦争直後からアメリカ国民は大挙してルイジアナ植民地へ移住した。；職が無いことで南部の白人もシカゴのような都市に移住し雇用機会を求めた。；移住を拒否し、破壊された谷中村の自宅跡に住み続けた元村民もいる。；ハワイへ移住しマンション暮らしをしていたことがわかった。；彼はドイツを離れアメリカに移住する前にドイツ人生物学者の影響を受けていた。</t>
        </is>
      </c>
      <c r="J423">
        <f>HYPERLINK("https://www.weblio.jp/content/移住", "词义详情")</f>
        <v/>
      </c>
      <c r="K423">
        <f>HYPERLINK("https://yourei.jp/移住", "查看例句")</f>
        <v/>
      </c>
    </row>
    <row r="424">
      <c r="A424" t="inlineStr">
        <is>
          <t>萎縮</t>
        </is>
      </c>
      <c r="B424" t="inlineStr">
        <is>
          <t>成功</t>
        </is>
      </c>
      <c r="C424" t="inlineStr">
        <is>
          <t>読み方：いしゅく
［名］(スル)
１しぼんでちぢむこと。また、元気がなくなること。「寒くて手足が—する」「聴衆を前にして—してしまう」
２正常の大きさに達した生体の器官などが、小さく変化して、機能しなくなること。
[補説] 「委縮」で代用することもある。</t>
        </is>
      </c>
      <c r="D424" t="inlineStr">
        <is>
          <t>萎縮する(9%)；萎縮させる(3%)；萎縮症(3%)；萎縮腎；萎縮性</t>
        </is>
      </c>
      <c r="E424" t="inlineStr">
        <is>
          <t>縮小；短縮；圧縮；収縮；憔悴</t>
        </is>
      </c>
      <c r="F424" t="inlineStr">
        <is>
          <t>筋萎縮；皮膚萎縮；視神経萎縮；淡蒼球ルイ体萎縮；網膜萎縮</t>
        </is>
      </c>
      <c r="G424" t="inlineStr">
        <is>
          <t>萎縮効果；萎縮性鼻炎；萎縮的効果；萎縮医療</t>
        </is>
      </c>
      <c r="H424" t="n">
        <v>29</v>
      </c>
      <c r="I424" t="inlineStr">
        <is>
          <t>と、彭の傍にいた女は体が萎縮したようになって其所へ倒れてしまった。；だから、学校へ行っても萎縮してしまって、口をきけないでいたのです。；萎縮したり痕跡器官になったりしているものが驚かされるほど多かった。；普通の下級生なら、萎縮してしまったであろう声と口調と眼差しだった。；が、ならば一方の弁護士とて、こうまで萎縮する必要はなかったはずだ。；魂の四肢は萎縮している、主要な機能は富に滅ぼされてなくなっている。；たしかに使わない筋肉が萎縮するように、使わない能力も弱ってしまう。；傷のために、片方の脚が萎縮して私の腕ぐらいの太さになっている。；リーリンは萎縮した気持ちを落ち着かせると改めてロイの瞳を見つめた。；既に萎縮腎が起きていた父親は、それをやった後で母親にと言った。；みんな誰かに自分を計られるのを恐れて、萎縮してしまっているようだった。；すっかり気後れして萎縮しているはみるを庇うように、翠蓮が間に立つ。；海馬の萎縮は、女性の方が有病率の高い様々な精神疾患と関連している。；寒さとスピードのために私はすっかり萎縮してしまっていた。；文明の肉が社会の鋭どき鞭の下に萎縮するとき、余は常に幽霊を信じた。；これに伴って文学派は萎縮と沈黙を余儀なくされ、事態は沈静化した。；大勢の人にこちらを向かれると私は萎縮して言葉を失ってしまう。；むしろ憐憫の目を向けているような感じがして、私は一層萎縮した。；萎縮した気分で、かれは道を駅の方へ急いだが、急に笑いがこみ上げてきた。；また子どもが保育者のストレスを感じとって萎縮してしまう場合もある。；歯冠が萎縮した形態をしているために、歯の退化現象とも表現される。；肉眼での観察では、彼女の脳がひどく萎縮していることが分かった。；自分の目を気にして萎縮してはいけないとの判断からだ。；多くの花輪や旗を見て近所の子供達がすっかり萎縮していたからだ。；そのロートンの背信が、ローダの感情までも萎縮させてしまったのです。；橋の萎縮は橋蓋部に比べて底部に強いことが特徴である。；当然のことながら、ホロがいなければロレンスは萎縮していたに違いない。；小脳遠心系の萎縮に伴う変化としては第四脳室の拡大が報告されている。；産業的な特性は、こうして行使されないことによって、萎縮が進行する。</t>
        </is>
      </c>
      <c r="J424">
        <f>HYPERLINK("https://www.weblio.jp/content/萎縮", "词义详情")</f>
        <v/>
      </c>
      <c r="K424">
        <f>HYPERLINK("https://yourei.jp/萎縮", "查看例句")</f>
        <v/>
      </c>
    </row>
    <row r="425">
      <c r="A425" t="inlineStr">
        <is>
          <t>衣装</t>
        </is>
      </c>
      <c r="B425" t="inlineStr">
        <is>
          <t>成功</t>
        </is>
      </c>
      <c r="C425" t="inlineStr">
        <is>
          <t>読み方：いしょう
１《上半身につける「衣(きぬ)」と下半身につける「裳(も)」の意から》着物。衣服。「馬子にも—」
２儀式や祭りの場での、多く定式化された衣服。また、芸能で出演者のつける衣服。舞楽・能では、特に装束(しょうぞく)という。「花嫁—」「舞台—」</t>
        </is>
      </c>
      <c r="D425" t="inlineStr">
        <is>
          <t>衣装デザイン；衣装箪笥；衣装箱；衣装代；衣装ダンス</t>
        </is>
      </c>
      <c r="E425" t="inlineStr">
        <is>
          <t>服；着物；服装；衣；衣服</t>
        </is>
      </c>
      <c r="F425" t="inlineStr">
        <is>
          <t>花嫁衣装；派手な衣装；伝統衣装；豪華な衣装；コスプレ衣装</t>
        </is>
      </c>
      <c r="G425" t="inlineStr">
        <is>
          <t>衣装デザイン賞；衣装合わせ；衣装棚；衣装考証；衣装人形</t>
        </is>
      </c>
      <c r="H425" t="n">
        <v>29</v>
      </c>
      <c r="I425" t="inlineStr">
        <is>
          <t>キャラクタの他にも、舞台や衣装は当時の写真や絵画を元に制作された。；映画では大阪店・東京店が撮影に使用され、そごうが衣装提供も行った。；また、展開次第では原作・アニメ版には登場しない姫の衣装も登場する。；子供時代は友達と脚本を書いたり、衣装を作ったりして遊んだという。；予算などのスケールダウンでセットや衣装などの設定変更も生じている。；それらは仕事に使う道具の模造品であったり、衣装やお面なども含まれる。；コンサート衣装のデザイン決めに関わるほどのファッション好きでもある。；これについて福士は当時「海外の選手の衣装を意識した」と語っている。；今作では、マリンの衣装及び告知音を選択できる項目が追加されている。；複数の付属品の衣装があり、それはほぼ現実の人間の衣服に似せている。；この衣装は様々な形のものが存在しており、老若男女問わず着用されている。；イヌイットが着ていたアノラックは現代の衣装にも影響を与えている。；しかし王は国中の職人を集めてすべての衣装を完成させてしまう。；また自分で衣装のデザインが可能であり、それを装備したり販売することも可能。；当時の衣装代は年間で50万から多い年には100万くらいになったという。；特別なイベントでもない限り甲冑や褌等の伝統的衣装を纏うことはない。；映画の衣装・小道具の収集は一部のシリーズ・ファンの趣味にもなっている。；メンバー全員がサングラスと黒い警備員のような衣装を着用している。；衣装と装備品のコーディネイトで戦闘ボイスが変更される場合がある。；北海道のアイヌ民族は江戸時代後期までアイヌ文様を衣装に用い続けた。；OVAでは冬の東北が舞台だったため「ヴァイス」の衣装が変更された。；ジャケットで着用した衣装も初期とはまるで異なるものであった。；なお初期の頃は、手作りのアムロ風衣装でショートコントをやっていた。；衣装などにも過去の偉大な王らの衣装のアイディアを取り入れていた。；このように今では舞台衣装としてのみ存在している着物である。；帽子飾りに良く使われるほか、大量の羽を使用した装飾は舞台衣装に使われることも多い。；後年には、クイーンでこれらの技術を用いて衣装をデザインしている。；衣装は五社監督と相談したものだが、着こなしは岩下自身が工夫したもの。；連載中においては主人公の衣装を公募するなどの企画も行われていた。</t>
        </is>
      </c>
      <c r="J425">
        <f>HYPERLINK("https://www.weblio.jp/content/衣装", "词义详情")</f>
        <v/>
      </c>
      <c r="K425">
        <f>HYPERLINK("https://yourei.jp/衣装", "查看例句")</f>
        <v/>
      </c>
    </row>
    <row r="426">
      <c r="A426" t="inlineStr">
        <is>
          <t>異常</t>
        </is>
      </c>
      <c r="B426" t="inlineStr">
        <is>
          <t>成功</t>
        </is>
      </c>
      <c r="C426" t="inlineStr">
        <is>
          <t>読み方：いじょう
［名・形動］普通と違っていること。正常でないこと。また、そのさま。「この夏は—に暑かった」「—な執着心」「害虫の—発生」⇔正常。
[派生]いじょうさ［名］</t>
        </is>
      </c>
      <c r="D426" t="inlineStr">
        <is>
          <t>異常なほど(2%)；異常なし；異常性；異常な事態；異常行動</t>
        </is>
      </c>
      <c r="E426" t="inlineStr">
        <is>
          <t>特に；非常；非常に；特別；不思議</t>
        </is>
      </c>
      <c r="F426" t="inlineStr">
        <is>
          <t>異常発生；機能異常；異常な事件；異常心理；何らかの異常</t>
        </is>
      </c>
      <c r="G426" t="inlineStr">
        <is>
          <t>異常気象；異常者；異常性格；異常性欲；異常磁気モーメント</t>
        </is>
      </c>
      <c r="H426" t="n">
        <v>29</v>
      </c>
      <c r="I426" t="inlineStr">
        <is>
          <t>このことにより同時に二人の天皇が存在するという異常状態が発生した。；西側の軍関係者はこれはかなり異常な状態であることを感じていた。；このため鉄道事業者ではホームドア異常時に対応した訓練も必要となる。；また、がんなどの異常な細胞と正常細胞を区別することにも利用される。；驚くべきことに、この子マウスは父親マウスと同様に異常行動を示した。；しかし、成長異常の原因となる病気や障害はさまざまなものがある。；さらに最近では腫瘍など形態異常を来たしたアザラシの報告などもある。；しかし、花山は父の血を受け継いだのか、性格に異常なところがあった。；短編集に数十ページにも及ぶ異常に長い後書きをつけるなど話題を呼んだ。；ただし、当時NHKでは、あまりにも異常な人気に戸惑っていたという。；CTでは症状と関係のない脳の異常がわかってしまうからである。；他の動物では骨性ラチリスムと呼ばれる骨格異常が生じることがある。；前者は行動科学上の異常を意味し、後者は病理学上の異常を意味している。；事実欠神発作は非痙攣性であるが脳波異常がありてんかんの一種である。；そのため脳波図を調べたが、まったく異常が無いことが確認された。；これいじょうお金を送ってくるのなんか待っていられないんです。；小脳の筋紡錘への制御に異常が生じて筋トーヌスが下がるとされている。；しかも、対戦した艦艇数から考えると異常ともいえる長さであった。；また、様々な要因によって異常値を含む測定はしばしば得られるものである。；そのころの尾崎は異常なほどに精神状態が不安定な日々を送っていた。；このような異常は、神経の発達にさえ影響を与えることもある。；大テントの中の千人いじょうの見物の顔が、全部うしろをむいたのです。；具体的にいうと形の異常と大きさの異常に分けることができる。；特に異常感覚や神経因性疼痛が多く支持療法が必要となることも多い。；また、体の芯が異常に強く、常に軸がぶれずに堂々とした相撲を取った。；また収録時間も2時間程度もあり、この種の作品としては異常に長い。；その後、渡米し精密検査を受けるが結果は異常なしであったとされる。；白色矮星の異常な暗さが初めて認識されたのは1910年のことである。；具体的には、成長の停止、逆に異常な速度の成長、新種の出現などである。</t>
        </is>
      </c>
      <c r="J426">
        <f>HYPERLINK("https://www.weblio.jp/content/異常", "词义详情")</f>
        <v/>
      </c>
      <c r="K426">
        <f>HYPERLINK("https://yourei.jp/異常", "查看例句")</f>
        <v/>
      </c>
    </row>
    <row r="427">
      <c r="A427" t="inlineStr">
        <is>
          <t>移植</t>
        </is>
      </c>
      <c r="B427" t="inlineStr">
        <is>
          <t>成功</t>
        </is>
      </c>
      <c r="C427" t="inlineStr">
        <is>
          <t>読み方：いしょく
［名］(スル)
１植物を他の場所に移し植えること。植えかえ。「松を—する」
２外国の文物・制度などを自国に取り入れること。
３生物体のある器官や組織の一部を切り取って、同一個体の別の場所または別の個体に移しかえること。「臓器—」
４コンピューターで、ある特定のシステムや環境で動くソフトウエアを、他のシステムや環境でも動くように変更すること。ポーティング。</t>
        </is>
      </c>
      <c r="D427" t="inlineStr">
        <is>
          <t>移植版(8%)；移植すること(2%)；移植作品；移植片；移植可能</t>
        </is>
      </c>
      <c r="E427" t="inlineStr">
        <is>
          <t>臓器移植；移し変える；植え替える；移し植える；自家移植</t>
        </is>
      </c>
      <c r="F427" t="inlineStr">
        <is>
          <t>家庭用移植；角膜移植；アレンジ移植；逆移植；肝臓移植</t>
        </is>
      </c>
      <c r="G427" t="inlineStr">
        <is>
          <t>移植性；移植片対宿主病；移植コーディネーター；移植患者；移植外科</t>
        </is>
      </c>
      <c r="H427" t="n">
        <v>29</v>
      </c>
      <c r="I427" t="inlineStr">
        <is>
          <t>移植対象とタイトルが非常に多いため、ここでは作品の一覧のみを示す。；これらの移植を行った個体は通称リベロエボ等と呼ばれることもあった。；また寛解に入っていない非寛解期に移植をしても失敗する可能性は高い。；彼らが前述の強化細胞を移植しているかどうかは作中では語られていない。；プレイステーション版からアーケード版へと通常の逆の形で移植された。；移植版の一部モードでは、敵の弾の色が一部変更されているステージがある。；東亜プランが開発した製品の中では移植プラットフォーム数が一番多い。；このためストールマンは移植性のあるソフトウェアが必要だと考えていた。；コンシューマー移植版は基本的に初心者向けのシステムを採用している。；この手法の短所は、移植細胞が期待通りに機能しないことが多い事である。；その後もコンシューマゲーム機などへ何度も移植・リメイクされている。；単純に移植、もしくはある程度手を加えて商品化するタイプも出て来ている。；プロジェクトはで動作するのARMバージョンの移植に成功している。；予後の悪いタイプや万が一再発してしまったときは移植医療を検討する。；国内版からそのまま移植されているのではなく、様々な変更が加えられている。；写真の竹は、このときの竹の一部が衣笠キャンパスに移植されたもの。；その成立は、ヨーロッパ近代が移植された明治・大正期のことである。；また、日本国内においては家庭用ゲーム機への移植版も発売されている。；後に家庭用ゲーム機やPC用ゲームとして移植版がリリースされている。；なお、ほかの移植作品とは違い、ほとんどの選手に名前はつけられていない。；根の力は強いが、切れてしまうと根は再生しないため、移植には向いていない。；破壊された機体のパーツの一部は同じく損傷したイライジャ機に移植された。；また、従来の移植ではほとんど変更の無かった基本システムが大幅に変更された。；祖父・茂丸が台湾で関与した蓬萊米をインドに移植することに成功している。；移植するのは角膜であるが、ドナーが提供するのはあくまで眼球である。；ファミコンでのオリジナル版を完全移植した初のバージョンである。；そのほうが移植された人の予後は良好になる傾向があるからである。；当時は移植過程で、牛の脳の成分を一部利用した薬が使用されていたためである。；当初はそれが批判されることは少なく、逆に人為的に移植される例が多かった。</t>
        </is>
      </c>
      <c r="J427">
        <f>HYPERLINK("https://www.weblio.jp/content/移植", "词义详情")</f>
        <v/>
      </c>
      <c r="K427">
        <f>HYPERLINK("https://yourei.jp/移植", "查看例句")</f>
        <v/>
      </c>
    </row>
    <row r="428">
      <c r="A428" t="inlineStr">
        <is>
          <t>衣食住</t>
        </is>
      </c>
      <c r="B428" t="inlineStr">
        <is>
          <t>成功</t>
        </is>
      </c>
      <c r="C428" t="inlineStr">
        <is>
          <t>読み方：いしょくじゅう
１衣服と食物と住居。生活をしていく基礎。
２暮らしを立てていくこと。暮らし向き。生計。「—も思うにまかせない」</t>
        </is>
      </c>
      <c r="D428" t="inlineStr">
        <is>
          <t>衣食住すべて；衣食住全て</t>
        </is>
      </c>
      <c r="E428" t="inlineStr">
        <is>
          <t>風俗；慣わし；生活文化</t>
        </is>
      </c>
      <c r="H428" t="n">
        <v>29</v>
      </c>
      <c r="I428" t="inlineStr">
        <is>
          <t>今の時代の人間は、衣食住が足りているだけでは満足できないからね。；衣食住の技術は勿論、すべて身についた生活の技術をもつてゐました。；この町の衣食住にかんするものはすべて無料であるとわかったことも話した。；衣食住のすみずみまでもその独特な好みが行きわたっていたであろう。；それだけでは衣食住の費用をまかなうことができなかったのである。；音楽で食べられない間の衣食住まで面倒見てくれるだろうね。；なるほど未開地の原地人は、たしかに衣食住に金を払っていないようだ。；文政9年には自らの衣食住の節減や生活費用の切り詰めを行なっている。；無意味な虚飾に満ちたその衣食住を獲得し、維持するために世人は働く。；ご機嫌をとって、衣食住の世話までさせられるのはもういやになった。；現在の日本人の衣食住にいたるまで利休の影響は及んでゐるといつてよい。；だから苦痛を忍んで日本の衣食住の様式におのれを適応させようと努めた。；しかし我我人間は衣食住の便宜を失つた為にあらゆる苦痛を味はつてゐる。；最高級の衣食住と十分な俸禄があれば、余暇の過ごし方が重要になる。；要するに定められたとおりにやっていれば、衣食住と、昇進が約束される。；しかし我々人間は衣食住の便宜を失ったためにあらゆる苦痛を味わっている。；このような表現が衣食住のそれぞれについてあちこちに認められる。；衣食住でも、でしたが、それよりもさらに大きないただきものであったのです。；衣食住費用が月四六〇ドル入ると、年間五五二〇ドルになる。；もし仕事が何も見つからなくても、同盟は最低限の衣食住は保証する。；まず衣食住の中でもいちばんだいじな食物のことから考えてみよう。；しかし我我人間は衣食住の便宜を失った為にあらゆる苦痛を味わっている。；私がいなくなっても妻に衣食住の心配がないのは仕合せです。；税はそのくらいにしてこのほか己のためにするものは衣食住と他の贅沢費になります。；見習いに賃金はなく親方の家に住み込みという形で衣食住が保証された。；旅人は何か労働を要求されるが、衣食住の中で〝衣〟以外は約束されること。；建築ならば衣食住の一つで世の中になくて叶わぬのみか、同時に立派な美術である。；それを基礎にして衣食住の改善発明も行われるし、業務や責任や道徳も生れる。；校舎内は学生らの衣食住の場と化し、非日常空間から日常空間へと変化する様子を記録。</t>
        </is>
      </c>
      <c r="J428">
        <f>HYPERLINK("https://www.weblio.jp/content/衣食住", "词义详情")</f>
        <v/>
      </c>
      <c r="K428">
        <f>HYPERLINK("https://yourei.jp/衣食住", "查看例句")</f>
        <v/>
      </c>
    </row>
    <row r="429">
      <c r="A429" t="inlineStr">
        <is>
          <t>弄る</t>
        </is>
      </c>
      <c r="B429" t="inlineStr">
        <is>
          <t>成功</t>
        </is>
      </c>
      <c r="C429" t="inlineStr">
        <is>
          <t>読み方：いじる
［動ラ五（四）］
１指先や手で触ったりなでたりする。「ネクタイを—・る」
２物事を少し変えたり、動かしたりする。「編成を—・る」
３趣味として楽しむために、あれこれと手を加えたり、操作したりする。仕事などを趣味のように扱っていう場合もある。「盆栽を—・る」「会社では、毎日パソコンを—・っています」
４おもしろ半分に、いじめたり、からかったりする。「先輩が新入社員を—・って楽しむ」
「何にても芸をせよ、と—・る」〈浮・一代男・四〉
[補説]自分のことをいう場合には、軽い自嘲や謙遜の気持ちを、相手のことでは、小ばかにした気持ちを含むことがある。
[可能]いじれる</t>
        </is>
      </c>
      <c r="D429" t="inlineStr">
        <is>
          <t>取る；接する；触れる；取り扱う；当てる</t>
        </is>
      </c>
      <c r="H429" t="n">
        <v>29</v>
      </c>
      <c r="I429" t="inlineStr">
        <is>
          <t>何十人もの人間の影がまわりにあって、じぶんを弄るように見えたであろう。；いかに綾姫とて、意識して男性にそこを弄らせて無心であるわけがない。；号一は手に弄んでゐたスプーンを咄嗟に、彼の方へ差出さうかと思った。；人間を、まるで玩具を弄んでいるかの如く、遊びで傷つけていたのです。；顎を引いて、前髪を少しだけ弄って、ほんのりと大人になってみてから。；弄られることのない特別の場所に運んでいかなければならない。；彼は決してこけおどしのためにピストルを弄んでいるのではないのだ。；柔らかな香りの髪を片手で弄んでいると、やがて秋葉が髪をかきあげた。；あなたの言う『ガス抜き』とやらは、多くの人間の運命を弄んでいます。；ファウスリーゼ自身の愛液でぬめる指が、小さな胸の突起を弄っている。；君もまた、そう思ったからこそ、安心しておれを弄りものにしていたんだろう。；実際連中は、お鶴がいつも私を抱いているので面白ずくによく戯弄った。；秘書は二人から少し離れた場所で、銀のシガレット・ケースを弄んでいた。；海へ連れて行くと、海のほうを見ないで砂弄りをしようとする。；決して、ただ悪しざまに申したり、戯れ口を弄んだ次第ではありませぬ。；きっと、あいつが今まで弄んできた女の念がまとまって出来た奴だ。；一晩も、男に肌を弄られずには済まされないようになってしまっていたのである。；読者たちはアウエンブルッガーが理論を弄んでいると思うに違いなかった。；ただ長い間、私を弄んでおられたとより外には、考えようもありません。；学校へ行くと皆が私を『父なし児』だといって弄りものにします。；独特の映像表現、原作を弄らず、あくまでも追加するだけに留めている。；そんな生活をいとうふうで、実は何となしに弄んでいたのではなかったろうか。；横で事態を見る立場の私達は、この後も弄られていく師匠を見ていくことになる。；近所の女衆に好き勝手に家の中を弄られたくありませんからね。；ぼくは思考を放棄し、空になった琺瑯のカップを、意味もなく弄んでいた。；父竜池は毎に狂歌を弄んだが、藤次郎はこれに反して主に俳諧に遊んだ。；その若い男は、店の前に立ててある松飾りの、松の葉を弄っていた。；人差し指で探り当てた蜜穴の奥を、猫の喉を擽るように弄り続けている。；そこで欺して己が手に入れて散々弄んだ揚句に糟を僕に投げてくれた。</t>
        </is>
      </c>
      <c r="J429">
        <f>HYPERLINK("https://www.weblio.jp/content/弄る", "词义详情")</f>
        <v/>
      </c>
      <c r="K429">
        <f>HYPERLINK("https://yourei.jp/弄る", "查看例句")</f>
        <v/>
      </c>
    </row>
    <row r="430">
      <c r="A430" t="inlineStr">
        <is>
          <t>意地悪</t>
        </is>
      </c>
      <c r="B430" t="inlineStr">
        <is>
          <t>成功</t>
        </is>
      </c>
      <c r="C430" t="inlineStr">
        <is>
          <t>読み方：いじわる
［名・形動］わざと人を困らせたり、つらく当たったりすること。また、そのさまや、そういう人。「—を言う」「—な性格」</t>
        </is>
      </c>
      <c r="D430" t="inlineStr">
        <is>
          <t>意地悪そう(9%)；意地悪な気持ち；意地悪な質問；意地悪な言い方；意地悪な笑み</t>
        </is>
      </c>
      <c r="E430" t="inlineStr">
        <is>
          <t>思い；思；嫌；皮肉；厭</t>
        </is>
      </c>
      <c r="F430" t="inlineStr">
        <is>
          <t>こんな意地悪；どんな意地悪；ひどく意地悪；意地悪そうに；意地悪な継母</t>
        </is>
      </c>
      <c r="G430" t="inlineStr">
        <is>
          <t>意地悪い；意地悪ばあさん；意地悪じいさん；意地悪婆さん；意地悪き</t>
        </is>
      </c>
      <c r="H430" t="n">
        <v>29</v>
      </c>
      <c r="I430" t="inlineStr">
        <is>
          <t>自分がその二人にとんでもない意地悪をしているような気がしたからだ。；悪魔のような角が生えているのが特徴のイジワルな性格をしたデジモン。；たしかに魅力的なところはあるようですけど、意地悪で嫌なひとですわ。；だとしたら佳奈ちゃんは思っていたよりずっと意地悪なのかもしれない。；この不幸な肉体が生んだ第二の結果は、彼が意地悪になったことだった。；私が大人になって先生になるなら、奥さんのような意地悪は致しません。；あたしは三年二組にいたあなたに一度だって意地悪したことないわよね。；昔のことだから覚えてないのか、自分に意地悪をしているのかわからない。；祖母と家鴨たちは、互いに意地悪をしあいながら離れられない仲なのだ。；人の記憶は当てにならない この事を証明する次のような意地悪実験がある。；或日意地悪の職人が番頭と喧嘩をして、仕事を止めて出て行かうとした。；殺すつもりはなくても、意地悪をしようと思ったのではありませんか!；娘のくせにそんな意地悪を言って、つまりおれと話をしたくないんだろう。；私が彼女に視線を向けると、ちょっと意地悪そうな笑みを浮かべている。；このワインを手にした時から、私はひどく意地悪になっているようだ。；私がさっき自分を意地悪な人間だと言ったのはあれは自己誹謗だった。；その顔色には無関心が少し意地悪そうな表情を装っているに過ぎない。；そして学校では、ぶつかりさえすれば、何かの仕方で意地悪をしていた。；おかげで、ビンクはまた、自分が意地悪な人間のような気にさせられた。；また、二人の新しい姉も、お母さまとよく似た意地悪の娘でありました。；あるいはまた、ひどい意地悪をしたがって人を困らせようとばかりした。；あたしは意地悪なんじゃなくて、いたずらっぽいんだってこと信じてよ。；深いしわに両側を囲まれた薄い唇は、意地悪気といってもいいほどだった。；女事務員の声は大きくて意地悪そうで、男の子の声は小さくて頼りない。；男から電話のかかる若いOLは常に年上のOLに意地悪をされるものだ。；しかし、真実は、男性は意図的に意地悪をしているのではありません。；抱え主たちのこの意地悪さも、タイスには少しも意外には思われなかった。；彼女がどうすることも出来ない身分や貧富の差を武器にしての意地悪である。；そしてその眼には、僕にはもうお馴染の、あの意地悪い光が輝いていた。</t>
        </is>
      </c>
      <c r="J430">
        <f>HYPERLINK("https://www.weblio.jp/content/意地悪", "词义详情")</f>
        <v/>
      </c>
      <c r="K430">
        <f>HYPERLINK("https://yourei.jp/意地悪", "查看例句")</f>
        <v/>
      </c>
    </row>
    <row r="431">
      <c r="A431" t="inlineStr">
        <is>
          <t>意地悪い</t>
        </is>
      </c>
      <c r="B431" t="inlineStr">
        <is>
          <t>成功</t>
        </is>
      </c>
      <c r="C431" t="inlineStr">
        <is>
          <t>読み方：いじわるい
［形］［文］いぢわる・し［ク］
１他人に対して悪意のこもった感じである。わざと人を困らせる態度・ようすである。「—・い口調」
２物事が、都合の悪くなる感じである。「—・いことに雨まで降ってきた」</t>
        </is>
      </c>
      <c r="D431" t="inlineStr">
        <is>
          <t>意地悪い目(4%)；意地悪いもの(3%)；意地悪い喜び(2%)；意地悪い言葉；意地悪い楽しみ</t>
        </is>
      </c>
      <c r="E431" t="inlineStr">
        <is>
          <t>嫌；厭；汚い；意地悪；いやらしい</t>
        </is>
      </c>
      <c r="H431" t="n">
        <v>29</v>
      </c>
      <c r="I431" t="inlineStr">
        <is>
          <t>ただ母のことを口にする時の祖母だけは、妙に意地悪くていやであった。；底の石も意地悪く尖っていると思った瞬間、私は流れに足を取られた。；むろん、鉄が意地悪く彼の行く先へ行く先へと目で追いかけているからだ。；「人が言われてるのを聞いただけよ」 彼女は意地悪く笑ってやった。；それをちょっと愉快に思うのが、意地悪い世間というものではないのか?；しかしそういう抵抗のために、人々はいっそう激しく意地悪くせがんだ。；しかし家に帰ってくると、心と反対のことを意地悪くオリヴィエへ語った。；そのまま激しく腰を律動させながら、ひさぎはまた意地悪く尋ねてみた。；「捕まえました」刑事の一人が意地悪く満足げにニヤリと笑って言った。；ただ、ここで偶然藤兵衛と出遇ったので、急に意地悪く出たまでだった。；ラ・ロシュフウコオの時代は過ぎた、と僕は手紙に意地悪く記したものだ。；「あれは本当に偶然だったんですよ、」と私は少し意地悪く言葉を続けた。；意地悪くいえば、予算をとるのが目的の調査書が多いといえないこともない。；そうせいと言い付けたのもみんな意地悪い嫁子の指し図だったのであります。；それが多分夢の中での意地悪い質問となって出て来たのであろう。；人とすれちがう時などには特に意地悪くわざわざガリガリと強い音を出す。；そういう意地悪い言葉を言いたくなる時には、舌を噛んで口に出すまいとした。；食事の間、私たちが何を聞いても、俊夫君は意地悪く何も語りませんでした。；勘当を知らぬはずはないのに、意地悪く大声を出したように思えた。；泣くまいと、さっきから我慢して心にも無い意地悪い事ばかり言っていました。；それをそう意地悪く面と向って言われては口惜し涙も落ちます。；しかし富治には、人間を馬鹿にするように意地悪く笑ったとしか見えなかった。；クリストフは何にも気づかないふうをして、意地悪く面白がっていた。；それを楽しむなんて、なさけないが、ぼくは意地悪い気持になっていた。；薄く形のよい唇なので、こういう笑いをすると実に意地悪く見えた。；ぼくに意地悪くするやつは、誰でもパンパンとうち殺してやるんだ。；そして後のを言う場合には知らず知らず意地悪い厭がらせを言う調子で言っていた。；そして後のを云う場合には知らず知らず意地悪い厭がらせを云う調子で云っていた。；たしかにその笑顔から、意地悪いものを見ることはできなかった。</t>
        </is>
      </c>
      <c r="J431">
        <f>HYPERLINK("https://www.weblio.jp/content/意地悪い", "词义详情")</f>
        <v/>
      </c>
      <c r="K431">
        <f>HYPERLINK("https://yourei.jp/意地悪い", "查看例句")</f>
        <v/>
      </c>
    </row>
    <row r="432">
      <c r="A432" t="inlineStr">
        <is>
          <t>椅子</t>
        </is>
      </c>
      <c r="B432" t="inlineStr">
        <is>
          <t>成功</t>
        </is>
      </c>
      <c r="C432" t="inlineStr">
        <is>
          <t>読み方：いす
《「す（子）」は唐音》
１腰掛けて座るための家具。腰掛け。→倚子(いし)
２官職・役職の地位。ポスト。「大臣の—」
[補説]作品名別項。→椅子</t>
        </is>
      </c>
      <c r="D432" t="inlineStr">
        <is>
          <t>椅子席；椅子ごと；椅子に深く；椅子に座り直し；椅子に縛りつけ</t>
        </is>
      </c>
      <c r="E432" t="inlineStr">
        <is>
          <t>席；座；座席；シート；ベンチ</t>
        </is>
      </c>
      <c r="F432" t="inlineStr">
        <is>
          <t>肘掛椅子；肱掛椅子；回転椅子；丸椅子；大きな椅子</t>
        </is>
      </c>
      <c r="G432" t="inlineStr">
        <is>
          <t>椅子型；椅子山；椅子学</t>
        </is>
      </c>
      <c r="H432" t="n">
        <v>29</v>
      </c>
      <c r="I432" t="inlineStr">
        <is>
          <t>音楽演奏用に作られているため、壁・椅子・扉等にも工夫を入れている。；舞台の左の袖から女性が、右の袖から男性が登場し、中央の椅子に座る。；演奏する際には、立って行う場合と椅子などに座って行う場合がある。；初期のものは、木製で椅子のような構造で移動式で寝室などに置かれた。；椅子の形状がチューリップの花に似ていることからこの名称がつけられた。；その説明できない音は、当時猫が椅子を引っかいている音に例えられた。；椅子にはカバーの布がつけられ、暖炉には火の代わりに花が置かれている。；中には計器類の写真を貼った板の前に椅子を並べただけの装置もある。；ただし、電動車椅子はホーム幅が規定に足りないため不可とされている。；当初椅子はダイニングテーブルに合うような椅子としてデザインされた。；椅子に座るモデルの膝から上の部分が、画面の中心に大きく描かれている。；アーチャー社は続いて椅子の上昇下降が機械的にできるものを開発した。；カラフルな椅子が並べられており、特徴のあるテーブルが配置されていた。；空気椅子は、椅子に腰を掛けているような姿勢で体の状態を維持すること。；テーブルや椅子などは用意されていない為、周囲のベンチを利用する。；スイスでは集中力を高める目的で教室の椅子として使用する学校もある。；ジャケット写真は阿部が赤い椅子の上に立っている写真が起用されている。；後から登場したゲストの場合若干チープな椅子に座らすこともあった。；残った3人はテーブルと椅子の他には何も無い部屋に閉じ込められる。；なお、アニメ版では椅子は円形に並ぶため、戦闘時の椅子の移動はない。；同様に梯子の段や、椅子の部材の一部もスポークと呼ばれる場合がある。；入院中のモスが目を覚ますと、ベッド脇の椅子にウェルズが座っている。；生徒が使用する机と椅子は女子美生用に設計されたオリジナル製品を使用する。；最後は椅子が一つになるため、椅子の後ろ側にいる人が圧倒的に不利になる。；線路の一部は、川の見える位置にある椅子を転がす用途で再利用されている。；なお、運転手の椅子は各編成とも改造前と変わらない緑色である。；一方、日本や朝鮮では椅子をあまり用いない生活様式をしてきた歴史がある。；通路には、椅子や机が置かれており、交流スペースとして活用されている。；椅子が用意され、簡単な飲食等ができる屋根付きベンチが設置されている。</t>
        </is>
      </c>
      <c r="J432">
        <f>HYPERLINK("https://www.weblio.jp/content/椅子", "词义详情")</f>
        <v/>
      </c>
      <c r="K432">
        <f>HYPERLINK("https://yourei.jp/椅子", "查看例句")</f>
        <v/>
      </c>
    </row>
    <row r="433">
      <c r="A433" t="inlineStr">
        <is>
          <t>泉</t>
        </is>
      </c>
      <c r="B433" t="inlineStr">
        <is>
          <t>成功</t>
        </is>
      </c>
      <c r="C433" t="inlineStr">
        <is>
          <t>読み方：いずみ
１《「出水(いずみ)」の意》地下水が自然に地表にわき出る所。また、そのわき出た水。湧泉(ゆうせん)。《季夏》「—への道後(おく)れゆく安けさよ／波郷」
２物事が出てくるもと。源泉。「希望の—」「知識の—」
[補説]作品名別項。→泉</t>
        </is>
      </c>
      <c r="D433" t="inlineStr">
        <is>
          <t>泉水子(4%)；泉さん；泉美；泉繁竹；泉太</t>
        </is>
      </c>
      <c r="E433" t="inlineStr">
        <is>
          <t>流出；噴水；噴泉；湧泉；走井</t>
        </is>
      </c>
      <c r="F433" t="inlineStr">
        <is>
          <t>英泉；小さな泉；塩泉；泉真太郎；池泉</t>
        </is>
      </c>
      <c r="G433" t="inlineStr">
        <is>
          <t>泉水；泉屋；泉岳寺；泉鏡花；泉区</t>
        </is>
      </c>
      <c r="H433" t="n">
        <v>29</v>
      </c>
      <c r="I433" t="inlineStr">
        <is>
          <t>泉色が泥水のようなの濁り湯であったことから、温泉名も泥湯となった。；酒泉の地名の由来となった泉は、鐘楼からすぐ近くの公園の中にあった。；この街には、見る価値のある建築や泉、歴史的な場所などが豊富にある。；洞窟の中の不思議な泉につかり、何にでも化けられる泥の怪物となった。；エレラはカシケと呼ばれる地元の長が、頻繁に泉を訪れていたと述べた。；建造の際には泉自らが工事関係者やトラック運転手に指揮することもあった。；しかし竜が泉を守っていた為派遣された家来たちの大部分がこの竜に殺された。；泉は両親が何歳で亡くなったかは知らないと言うが、両親の名前は知っていた。；この泉を口にしたものは、皆その命が続く限り30歳のままでいられるのだ。；スターロッドが失われた泉は、水がなくなって干からびてしまうようだ。；海水だけでなく、川や泉や雨などにも彼の力が宿っていると言われる。；トイレは敷き詰められたタイルで装飾され、中央には泉が湧き出ている。；西尾の小泉への評価は第二次訪朝あたりから批判的なものに転じた。；尚、開湯当初の泉源は既に涸渇しており、現在は別の泉源を利用している。；池に噴水や泉を設置する、というのもひとつの典型的なスタイルである。；泉の物語に関しては、出所が明確でないものが数え切れない程存在する。；原作と映画にあった、ラストシーンの泉と佐久間の関係も変更されている。；しかしそんな中、また同じくして泉探索をしていたスペイン海軍が乱入。；多くのインディアンが、植民地が泉から引いた水のそばに身を潜めた。；また合水穴は水の源であるので、泉にたとえられることから名づけられた。；泉邸前停留場はこの軌道がクランク状に折れる箇所に設けられていた。；また同年モデルの小泉一十三と結婚し女児をもうけたが3年で離婚している。；泉と同一の戸籍に登録されている伯父と泉との年齢差は8歳だった。；納得せずにはいられなかった泉は、父親に一言別れの挨拶を告げ、立ち去る。；歴史・規模ともに日本を代表する名泉の一つである。；その熱水泉を用いた入浴施設やそれらが集まった地域も一般に温泉と呼ばれる。；初めは泉殿と呼ばれていたらしいがいつからか紫金台寺と呼ばれるようになった。；本人のものと伝承されている墓は愛媛県今治市の小泉にある。；かつて、天然の炭酸水を利用していたことから泉のマークが用いられている。</t>
        </is>
      </c>
      <c r="J433">
        <f>HYPERLINK("https://www.weblio.jp/content/泉", "词义详情")</f>
        <v/>
      </c>
      <c r="K433">
        <f>HYPERLINK("https://yourei.jp/泉", "查看例句")</f>
        <v/>
      </c>
    </row>
    <row r="434">
      <c r="A434" t="inlineStr">
        <is>
          <t>いずれ</t>
        </is>
      </c>
      <c r="B434" t="inlineStr">
        <is>
          <t>成功</t>
        </is>
      </c>
      <c r="C434" t="inlineStr">
        <is>
          <t>読み方：いずれ
［代］不定称の指示代名詞。どれ。どちら。どっち。「—の物も名品ぞろいだ」「合否—の場合も通知します」
［副］
１いろいろな過程を経たうえでの結果をいう。いずれにしても。結局。「その場はごまかせても—ばれるに決まっている」
２あまり遠くない将来をいう。そのうちに。近々。「—改めて伺います」</t>
        </is>
      </c>
      <c r="D434" t="inlineStr">
        <is>
          <t>いずれか一方；いずれ劣ら；いずれわかる；いずれそのうち；いずれおとら</t>
        </is>
      </c>
      <c r="E434" t="inlineStr">
        <is>
          <t>やがて；どれ；間もなく；もうすぐ；程なく</t>
        </is>
      </c>
      <c r="F434" t="inlineStr">
        <is>
          <t>左右いずれ；いずれ遅かれ早かれ；いずれしかるべき；いずれにも該当；いずれもビデオリサーチ調べ</t>
        </is>
      </c>
      <c r="H434" t="n">
        <v>29</v>
      </c>
      <c r="I434" t="inlineStr">
        <is>
          <t>イギリスのいずれの通りよりもより多くのバーやレストランが林立する。；上記のエリアでは、いずれも全国相互対応カード等の片利用が可能である。；また、次の各号のいずれかに該当する者は、役員となることができない。；しかし、いずれが主であるかなど、基準が時代と共に変化してきている。；これらの部隊はいずれもカトル・ブラの戦いで大きな損害を出していた。；古丁銀は以下のものが知られているが、いずれも現存極めて稀少である。；本鉄道は路線延長を申請または計画したが、いずれも実現していない。；いずれも現在の生物学的には意味をなさないものと考えられている。；いずれにしても、題材はギリシア神話やそれに類するものから取られる。；これ以降、多様な装置が作られたがいずれもモノクロのものであった。；時期的には『スター・ウォーズ』のほうが制作開始・公開いずれも早い。；しかしいずれも確実な成功を収めたものとまではいえなかった。；しかしこれらは、いずれも爆発的な人気を得ることはできなかった。；いずれにしてもその変換は、翻訳元と翻訳先の言語に特化したものになる。；多くのカーネルはこの二つのカテゴリのいずれか、あるいは中間である。；しかしいずれの建造物も高さは140mから160m台にすぎなかった。；この場合、いずれも食の最大を迎える前と食の最大を過ぎた後に分類される。；いずれにせよジョルダン標準形の存在を示すときには三角化が必要となる。；いずれもCDとの互換はなく、再生には専用のプレーヤーが必要である。；大学院は法第102条に基づき、下記のいずれかに該当する者が対象となる。；しかし、いずれの手法もその基本は現象などの正確な観察である。；インタプリタは、およそ次のいずれかの動作をするプログラムである。；いずれにしても以上の説明は、大学の学科紹介などからの抜粋である。；この項のいずれの作曲家もスペインの民族音楽と深く結びついている。；株札・花札などは、いずれもこの系統のカルタから変化したものである。；いずれも他馬とのスピードの違いに任せて逃げきるという内容であった。；それぞれ2つの版があり、いずれもハローキティが白雪姫となっている。；いずれの場合も、登校が可能な場合は学校で自習となるケースが多い。；いずれも登場作品の数年前に開発、もしくは実用化が成ったものである。</t>
        </is>
      </c>
      <c r="J434">
        <f>HYPERLINK("https://www.weblio.jp/content/いずれ", "词义详情")</f>
        <v/>
      </c>
      <c r="K434">
        <f>HYPERLINK("https://yourei.jp/いずれ", "查看例句")</f>
        <v/>
      </c>
    </row>
    <row r="435">
      <c r="A435" t="inlineStr">
        <is>
          <t>居座る</t>
        </is>
      </c>
      <c r="B435" t="inlineStr">
        <is>
          <t>成功</t>
        </is>
      </c>
      <c r="C435" t="inlineStr">
        <is>
          <t>読み方：いすわる
［動ラ五（四）］
１ある場所に座って動かないでいる。座りこんだままでいる。また、比喩的に好ましくないものがとどまって動かないでいる。「デモ隊が役所の玄関口に—・る」「梅雨前線が—・る」
２引き続きとどまって、同じ地位にいる。「責任もとらず社長の座に—・る」
３相場が変動しない。</t>
        </is>
      </c>
      <c r="D435" t="inlineStr">
        <is>
          <t>残る；残存；止まる；留まる；残される</t>
        </is>
      </c>
      <c r="H435" t="n">
        <v>29</v>
      </c>
      <c r="I435" t="inlineStr">
        <is>
          <t>それらの中で、ここにある闇はツェルニにずっと以前から居座っていた。；もう一人のスーツの男はついて来ず、メルセデスの中に居座ったままだ。；敵である遠坂が、敵の陣地に居座ってまで話したがる本題とは何なのか。；おそらくその表情は、今後の彼の面持ちの底に、常に居座ることだろう。；過去の功績を使って居座り続ける人がいろいろなレイヤーで多すぎる。；今までも何度かこんな事があったけれど、もう何年も同じ位置に居座っている。；いつ暴徒化するかしれない労働者達も武装したままビル街に居座っていた。；「話はまだあるのよ」 しかし、日美香はその場に居座ったまま言った。；呼んでもいないのに誰かと連れ立ってきて、そのまま居座る人もいる。；梅雨時の雲の様に頭の中に居座っているもやもやは、兄が見せたあの魔法。；芝居に夢中になり過ぎたせいで、ろくに授業にも出ずに何年も居座り続けた。；客でも無いのに店に居座られては迷惑なので、僕は魔理沙を追い出した。；なぜ、鞠恵さんを居座らせるようなことになってしまったんだろうね?；クニコの部屋に居座ることを決め、すぐにわたしはその準備を行った。；私たちが門の前に居座っていると、江利子が入れなくて困るかもしれないし。；大神の身体の中には終わったばかりの勝負の興奮が居座っていた。；この二人は最後までこの位置に居座るだろうと要一は読んでいる。；心の中にずっと居座っていた大きな氷が、徐々に解けていくような感じがした。；でなければ、夜の七時や八時になっても学校に居座り続けていたかもしれない。；このままではペルセルテは実習時間が来るまでこの扉の前に居座りかねない。；日にちも不確定なので、この時期には十五日ほど、彼らは居座るらしい。；大学生になったのだ、居酒屋なんてところにも朝まで居座ることもあった。；僕なんて、殺人現場に居座っていた、と決めつけられているんですよ。；竹芝にある有名ホテルのロビーに、加藤は一時間以上も居座り続けていた。；何も知らない大切な人の側に、全く別の人間が堂々と居座っていたら?；アパートとは道路を挟んだところにある植えこみの陰に居座った。；お茶を持ってきただけのはずがなぜ居座ってしまうのだ。；それならば、なんの愛着もないこの都市に居座る理由もないはずだ。；ただし廣瀬の場合は途中から山口の隣に常時居座るようになっていた。</t>
        </is>
      </c>
      <c r="J435">
        <f>HYPERLINK("https://www.weblio.jp/content/居座る", "词义详情")</f>
        <v/>
      </c>
      <c r="K435">
        <f>HYPERLINK("https://yourei.jp/居座る", "查看例句")</f>
        <v/>
      </c>
    </row>
    <row r="436">
      <c r="A436" t="inlineStr">
        <is>
          <t>異性</t>
        </is>
      </c>
      <c r="B436" t="inlineStr">
        <is>
          <t>成功</t>
        </is>
      </c>
      <c r="C436" t="inlineStr">
        <is>
          <t>読み方：いせい
１男女・雌雄の性が異なること。特に、男性から女性を、女性から男性をさしていう。「—との交際」⇔同性。
２性質が違うこと。また、その性質。
３異性体の関係にあること。</t>
        </is>
      </c>
      <c r="D436" t="inlineStr">
        <is>
          <t>異性間(6%)；異性同士；異性交遊；異性感情；異性カップル</t>
        </is>
      </c>
      <c r="F436" t="inlineStr">
        <is>
          <t>美しい異性；若い異性；立体異性；清純異性；あらゆる異性</t>
        </is>
      </c>
      <c r="G436" t="inlineStr">
        <is>
          <t>異性愛者；異性化；異性愛；異性関係；異性装</t>
        </is>
      </c>
      <c r="H436" t="n">
        <v>29</v>
      </c>
      <c r="I436" t="inlineStr">
        <is>
          <t>青年が異性の一人に向ってお辞儀をしているのを見ることさえ稀である。；相手が異性の場合には愛情評価が高ければ恋人関係になることができる。；異性とだけではなく、同性のプレイヤー同士でも会話することが出来た。；あれを適当に用いればどんな異性の心も思うがままになるということを。；それを見たレントンは異性との関係が自分の人生には足りてないと感じた。；異性としての感情かどうかはさておき、俺はこの人が好きなんだと思う。；この友人とユンヒとの間には異性の感情はまったくないといってよい。；結婚してから、別の異性と寝たりしても干渉はしないようにしようと。；或女は一人の異性を愛するだけでそれ以外の要求を持っていないかも知れぬ。；直彦君のような年齢の男性は、わたしには異性としてなんの魅力もない。；はじめて異性を愛することを知った私は凡てを捧げて彼女を愛しました。；若者にとってはそれを異性に誇示する絶好の機会であったわけであろう。；それは彼が久し振りに受けたに違いないであろう若い異性の感触であった。；あいつにとっては、親父さん以外で一番心を許した異性かもしれないな。；異性から面と向かって、美しいと言われたことがなかったからかもしれない。；同性・異性を問わず性的な接触をした証拠は見つかっていないという。；彼女には単に異性から見られているという以上の、恥じらう理由がある。；自身は純粋なので異性に触れても問題ないとする道徳的完全主義をとった。；義兄弟の縁を結んだ相手には異性としての欲望がわいてこないのである。；子供を欲しい事が、無意識的に動いて、異性を欲しがる処の恋愛である。；以上の意味より転じて、異性や趣味などの好みの範囲を指す場合にも使われる。；異性をあんなに警戒する教会の博士たちには睨まれるかも知れませんがね。；独身のかれは二十二歳の若者が抱く正常な異性への興味ももっています。；この点に、ひとりの異性との恋愛を追及する日本のゲームとの文化差がある。；実際に異性の香を知らぬまでも、禁欲の苦痛を感じずにはいられぬ。；異性の友人とコミュニケーションを行うことはしばしば困難であるとされる。；ボーイフレンド同士より、互いに異性である方がいいとわかっているのさ。；それは二〇歳前後のころ、少数の異性との出会いに対して感じたことだった。；その感じは、どうしても異性に近づいて得られる感じではなかった。</t>
        </is>
      </c>
      <c r="J436">
        <f>HYPERLINK("https://www.weblio.jp/content/異性", "词义详情")</f>
        <v/>
      </c>
      <c r="K436">
        <f>HYPERLINK("https://yourei.jp/異性", "查看例句")</f>
        <v/>
      </c>
    </row>
    <row r="437">
      <c r="A437" t="inlineStr">
        <is>
          <t>移籍</t>
        </is>
      </c>
      <c r="B437" t="inlineStr">
        <is>
          <t>成功</t>
        </is>
      </c>
      <c r="C437" t="inlineStr">
        <is>
          <t>読み方：いせき
［名］(スル)
１婚姻・養子縁組などで、ある人が、ある戸籍から他の戸籍に移ること。転籍。
２所属を他へ移すこと。「他のチームに—する」</t>
        </is>
      </c>
      <c r="D437" t="inlineStr">
        <is>
          <t>移籍すること；移籍後；移籍初年度；移籍期間；移籍車</t>
        </is>
      </c>
      <c r="E437" t="inlineStr">
        <is>
          <t>移転；移行；移管；異動；転移</t>
        </is>
      </c>
      <c r="F437" t="inlineStr">
        <is>
          <t>移籍加入；メジャー移籍；トレード移籍；移籍する事；移籍以降</t>
        </is>
      </c>
      <c r="G437" t="inlineStr">
        <is>
          <t>移籍金；移籍市場；移籍先；移籍リスト；移籍料</t>
        </is>
      </c>
      <c r="H437" t="n">
        <v>29</v>
      </c>
      <c r="I437" t="inlineStr">
        <is>
          <t>移籍直後のチャンピオン・カーニバルでは初出場にして優勝を果たした。；本作品は何度か雑誌の移籍がされているので最終回は何作品か存在する。；なお、黒沢とともに他球団から巨人に移籍した最初の選手となっている。；例えばロベルト・プルッツォはローマに移籍し、大きな成功を手にした。；引退したのか一時的な休業なのか事務所移籍したのかは明らかになっていない。；近年ではbjリーグでプレーした選手がJBLに移籍する傾向も見られる。；しかし、この時期は移籍が禁止されていたため、この年は出場できなかった。；一中分校から発展して東京府立第三中学校が設立されたことで三中に移籍。；そして、入門時に所属した部屋から、他部屋への移籍は原則認められない。；加えて、張本の場合は自身も移籍を希望していたという事情もあった。；そうした中で、シーズン終了後にクラブに移籍志願をしたと報じられた。；退院後の1918年春には志願していた航空隊への移籍が認められた。；なお、杉内は2012年に巨人に移籍した際に背番号18を与えられた。；移籍当時に宣言していた通り、この年限りでローソンはWGPを引退。；掲載作品がこれらの姉妹誌の間で移籍することも多い。；期限付き移籍でプレーしていたチアゴ・ネーヴィスは移籍期間を延長せず。；移籍の噂もあったもののクラブとの契約を延長した。；犬養系とされていた中野正剛の憲政会への移籍もこの時期の事である。；その後、岩手競馬を経て笠松競馬へ移籍したが調教中に骨折をして引退。；広島から期限付き移籍中のDF石川大徳は移籍期間を延長して残留した。；また、移籍された場合、移籍元球団及び、移籍先球団での実績を通算する。；選手も特にプロ化後に多くの選手がベルマーレから移籍した。；なお、他一門に移籍した者の弟子は各移籍先の弟子一覧を参照。；一方、この年に移籍加入した選手達が5月以降レギュラーに成長。；相次ぐ出来事に完全にやる気をなくした隊員達は、次々と他の部隊へ移籍。；近年ではワンステップ車及びノンステップ車が移籍する事例も増加している。；また移籍車も採用されており、仕様的にはバラエティに富んでいる。；その翌年にはに移籍して英語と歴史を教えた。；最終的にOFCは同年6月にオーストラリアのAFC移籍を承認した。</t>
        </is>
      </c>
      <c r="J437">
        <f>HYPERLINK("https://www.weblio.jp/content/移籍", "词义详情")</f>
        <v/>
      </c>
      <c r="K437">
        <f>HYPERLINK("https://yourei.jp/移籍", "查看例句")</f>
        <v/>
      </c>
    </row>
    <row r="438">
      <c r="A438" t="inlineStr">
        <is>
          <t>遺跡</t>
        </is>
      </c>
      <c r="B438" t="inlineStr">
        <is>
          <t>成功</t>
        </is>
      </c>
      <c r="C438" t="inlineStr">
        <is>
          <t>読み方：いせき
１貝塚・古墳・集落跡など、過去の人類の生活・活動のあと。遺物・遺構のある場所。「登呂—」
２昔の建物や歴史的事件などのあった場所。旧跡。古跡。
３先人ののこした領地・官職など。また、その相続人。</t>
        </is>
      </c>
      <c r="D438" t="inlineStr">
        <is>
          <t>遺跡群(3%)；遺跡出土；遺跡調査；遺跡発掘；遺跡名</t>
        </is>
      </c>
      <c r="E438" t="inlineStr">
        <is>
          <t>遺産；史跡；遺物；旧跡；古跡</t>
        </is>
      </c>
      <c r="F438" t="inlineStr">
        <is>
          <t>本遺跡；都市遺跡；重要な遺跡；縄文遺跡；同遺跡</t>
        </is>
      </c>
      <c r="G438" t="inlineStr">
        <is>
          <t>遺跡調査会</t>
        </is>
      </c>
      <c r="H438" t="n">
        <v>29</v>
      </c>
      <c r="I438" t="inlineStr">
        <is>
          <t>石器時代の遺跡から処刑されたと思われる遺体が発見されることもある。；しかし旧石器時代の最末期は遺跡が激減していることが確認されている。；そのため、この地域一帯には新石器時代より重要な遺跡が残されている。；これらは伝承や遺跡の解釈の問題でもあり、すぐには事実と認定できない。；現在の遺跡はほとんどがその計画の後に建設されたものとなっている。；日本考古学が遺跡と遺構を呼び分けはじめたのは30数年前以来である。；この時代に属する遺跡は、日本列島全体で1万箇所以上発見されている。；しかし、前漢代の遺跡から紙の原型とされるものが多数見つかっている。；これまで研究されてきた遺跡からはこの説を支持する確かな証拠が得られていない。；ほぼ同年代の中国戦国時代でも石炭を使用した遺跡が見つかっている。；生物の学名に、遺跡・歴史上の人物の名前が献名されることは稀である。；アオスタには保存状態の良いローマ時代の遺跡が中心部に残っている。；町内に存在する最も古い遺跡は最終氷期の終期頃のものと推定されている。；この遺跡では大量の石器群が発掘され、石器製造所であったと解される。；そして古墳時代の遺跡はこれまで東久留米市内では確認されていない。；この時代から、日本列島に人類が住んだ遺跡や遺物が多く発見されている。；弥生時代の遺跡では、わずかに弥生後期の集落遺跡などが確認されている。；習志野市周辺にも藤崎堀込貝塚などの当時の遺跡が多数確認されている。；古来より大陸との交通の要衝に位置し、時代ごとに様々な遺跡が存在する。；駅移転後も遺跡・覆屋はそのまま残され、県道側から訪問可能である。；リゾート開発の過程で弥生時代の遺跡が発見され、土器が出土している。；その後、SRCにより遺跡公園の地下に運ばれ、再び長い眠りについた。；弥生時代の代表的な遺跡の1つとして有名な吉野ヶ里遺跡を有していた。；この時期の遺跡からは、ローマの貨幣が出土することで有名である。；この遺跡は遺構が豊富であり、比較的探索しやすいと考えられていた。；それらの遺跡から人の手によって加工された石器が多数出土している。；新しい町と古代の町に分けられて、遺跡群は保護されている。；この遺跡から旧石器時代人が製作し使用したとみられる石器群が発見されている。；敷地内の御嶽等は単なる遺跡ではなく、現在に至るまで信仰の対象であった。</t>
        </is>
      </c>
      <c r="J438">
        <f>HYPERLINK("https://www.weblio.jp/content/遺跡", "词义详情")</f>
        <v/>
      </c>
      <c r="K438">
        <f>HYPERLINK("https://yourei.jp/遺跡", "查看例句")</f>
        <v/>
      </c>
    </row>
    <row r="439">
      <c r="A439" t="inlineStr">
        <is>
          <t>依然</t>
        </is>
      </c>
      <c r="B439" t="inlineStr">
        <is>
          <t>成功</t>
        </is>
      </c>
      <c r="C439" t="inlineStr">
        <is>
          <t>読み方：いぜん
［ト・タル］［文］［形動タリ］もとのままであるさま。前のとおりであるさま。語幹だけで副詞的にも用いる。「—として不景気だ」「旧態—たる生活」「台風は—南方洋上にいすわっている」</t>
        </is>
      </c>
      <c r="D439" t="inlineStr">
        <is>
          <t>依然たる(3%)；依然多く；依然続い；依然高い；依然厳しい</t>
        </is>
      </c>
      <c r="E439" t="inlineStr">
        <is>
          <t>依然として；猶；猶も</t>
        </is>
      </c>
      <c r="F439" t="inlineStr">
        <is>
          <t>依然浮い；依然変わら；依然厳しい状況</t>
        </is>
      </c>
      <c r="H439" t="n">
        <v>29</v>
      </c>
      <c r="I439" t="inlineStr">
        <is>
          <t>それは依然ハラハーの体系化のためにの記念的貢献だと認識されていた。；一日私の仕事の依然はかばかしくないのを傍にいて見、その人は云った。；だが煙の散った後では、依然たる猫の姿が、前と同じように坐っていた。；依然として以下に列挙されている減少要因全ての影響を受け続けている。；国の生産物がいかに豊富であろうと、その人口は依然停止しているであろう。；日本は2007年から導入されたが、依然SANEの数は限られている。；女性が学問の道へ進むためには依然、壁の立ちはだかる時代であった。；しかし、こうした努力にも関わらず依然古文書を根拠とする地域もある。；この問題は依然一部の研究者を中心に議論の的となっている。；従ってヴェーバーの試みも依然空間表象の発生を説明することは出来ない。；旧大蔵省に比べ権限は弱くなったものの、依然、強い権限を持っている。；近年研究が進められているが、依然不明なことが多い作家である。；内政面では、都市運営階級と市民階級の間に依然大きな隔たりがあった。；しかし、依然アマチュア制限が敷かれていた南部のチームは例外とされた。；ニューヨークに新居を購入したが、依然活動の拠点はロンドンにおいている。；私は耳をすましたが、裏には依然それらしい音は何もしなかった。；ラングはの地点で依然浮いていたシェルトンの船体を砲撃して処分した。；そのような国家でも、歴史的経緯から依然国教を定めている例がある。；なんとなれば戦争やむも葛藤は依然相結んで解けざることあればなり。；なぜなら、依然オリジナルのオブジェクトを参照しているからである。；しかし、誰が総攻撃を命じたのかという点に関しては依然不明なままである。；出羽ヶ嶽は依然蹲ったなりで、なにを考えているのかわからなかった。；しかし翌972年の春になってもペチェネグ族は依然去ろうとしなかった。；ヴァン・ダンムは依然葉巻を口にしていたが、メグレの視線は避けていた。；しかし依然、明確に説明できるような原因は見つかっていない。；アレクサンドリアには依然アラブの占領まで開いていた学校もあった。；選挙では躓いたものの、スコットは依然広く人気のある国民的英雄であった。；いずれも世界上位に位置するが、首位級の都市と比較すると依然大きな開きがある。；こんな境遇にさすらいつつも、依然彼は彼らしい君子の風を失っていない。</t>
        </is>
      </c>
      <c r="J439">
        <f>HYPERLINK("https://www.weblio.jp/content/依然", "词义详情")</f>
        <v/>
      </c>
      <c r="K439">
        <f>HYPERLINK("https://yourei.jp/依然", "查看例句")</f>
        <v/>
      </c>
    </row>
    <row r="440">
      <c r="A440" t="inlineStr">
        <is>
          <t>以前</t>
        </is>
      </c>
      <c r="B440" t="inlineStr">
        <is>
          <t>成功</t>
        </is>
      </c>
      <c r="C440" t="inlineStr">
        <is>
          <t>読み方：いぜん
１その時よりも前。「一二時—に到着する」⇔以後。
２今より前の時点。現在から見て近い過去。副詞的にも用いる。「—と違って今では」「—会ったことがある」
３ある状態に達する前の段階。「結婚—の住所」「能力—の問題だ」
[補説] 「以」は基準となる数値を含むのが普通であるが、例えば「明治以前」というときに、明治時代を除いて、その前をさす場合もある。</t>
        </is>
      </c>
      <c r="D440" t="inlineStr">
        <is>
          <t>以前よりずっと；以前どおり；以前勤め；以前よりもっと；以前よりいっそう</t>
        </is>
      </c>
      <c r="E440" t="inlineStr">
        <is>
          <t>前；前に；かつて；これまで；先に</t>
        </is>
      </c>
      <c r="F440" t="inlineStr">
        <is>
          <t>近代以前；江戸時代以前；第二次世界大戦以前；明治以前；成立以前</t>
        </is>
      </c>
      <c r="H440" t="n">
        <v>29</v>
      </c>
      <c r="I440" t="inlineStr">
        <is>
          <t>また、安彦とは以前は彼のスタジオによく遊びに行っていた仲でもある。；日本の近代以前の歴史上の戦争を題材とした場合は通常時代劇と呼ばれる。；アフガニスタンの環境問題は過去数十年の政治的混乱より以前からある。；科学が理解される以前は、神が宇宙を創造したと考えるのが自然であった。；各種設定が原作および以前の作品と異なるように変更されている。；この過程はアッティカの多くの以前からの郊外や村も覆い、続いている。；信仰の歴史は古く、ビルマ族が同地に王国を形成する以前から存在した。；これらの要因から攻撃先が変化し、以前ほどは攻撃されなくなった。；これは魚類の進化の多くが大陸移動以前から起こってきたためである。；以前に経済の中心をなしていた農業は産業の工業化により重要度が低下した。；コンゴの名前はコンゴ川と植民地以前に存在したコンゴ王国に由来する。；このアルゴリズムは以前にポール・バランが考案していたものであった。；仏教の影響を受ける以前の神道を「古神道」と呼び区別する場合もある。；ただし、この 50g の両は中華人民共和国以前にも使用例がある。；また、設計のルール化はそれ以前と比較して設計を容易にした。；以前は発泡スチロール製容器が多用されたが、今はほとんど使われない。；江戸時代以前の日本では髷の形を崩さないようにする必要があった。；それ以前のシステムは、磁気テープへのデータの順次保存に依っていた。；以前は、小説と物語の間には明確な区分があるとされてきた。；彼以前にはこのように運動を数的に研究する手法はヨーロッパにはなかったと考えられている。；そのような場合、労働条件は以前よりずっと過酷であるのが普通であった。；日本では、江戸時代以前には暦の計算や測量などの基準を京都に置いていた。；太平洋戦争以前には、フィジーへの日本人移民の導入が試みられていた。；旧暦とは、改暦があった場合のそれ以前に使われていた暦法のことである。；細胞骨格は以前は真核生物細胞のみにある構造だと考えられていた。；ただしこの特徴自体は他国の弩級艦にもそれ以前から採用例がある。；しかしそれ以前には、他の植物が香味料として使われることもあった。；近代以前の日本では、中国経由で伝わった仏教に関わる形で、インドが知られた。；その意味で、第二次大戦以前の古典的な映画理論家達に学ぶべき事は多い。</t>
        </is>
      </c>
      <c r="J440">
        <f>HYPERLINK("https://www.weblio.jp/content/以前", "词义详情")</f>
        <v/>
      </c>
      <c r="K440">
        <f>HYPERLINK("https://yourei.jp/以前", "查看例句")</f>
        <v/>
      </c>
    </row>
    <row r="441">
      <c r="A441" t="inlineStr">
        <is>
          <t>いそいそ</t>
        </is>
      </c>
      <c r="B441" t="inlineStr">
        <is>
          <t>成功</t>
        </is>
      </c>
      <c r="C441" t="inlineStr">
        <is>
          <t>［副］(スル)心が浮き立ち、喜び勇むさま。うれしいことなどがあって、動作がはずむさま。「—（と）出かける」「朝から—（と）している」</t>
        </is>
      </c>
      <c r="D441" t="inlineStr">
        <is>
          <t>いそいそと出かけ；いそいそと迎え；いそいそと出掛け；いそいそと歩い；いそいそと出迎え</t>
        </is>
      </c>
      <c r="E441" t="inlineStr">
        <is>
          <t>楽しく</t>
        </is>
      </c>
      <c r="H441" t="n">
        <v>29</v>
      </c>
      <c r="I441" t="inlineStr">
        <is>
          <t>やがて酒を持ってお陶がいそいそとやってきて、楽しい晩になりました。；それを抱き上げて連れて来ると、親猫はいそいそとあとからついて来る。；そうやっていそいそと出ていく彼女自身の姿が目に見えるようだった。；しかしパンを持っていけば金戸がいそいそと集めに走ってくれるであろう。；常子は、むしろ彼の電話を、期待していた様子で、いそいそと出てきた。；町はずれの旅館のような建物の中に母はいそいそと吸いこまれていった。；まるで点線のように、三行のダルマが同じ方向へいそいそと急いでいる。；いま、男と別れてきたばかりのようにいそいそとした気配が見えた。；エルウィングがいそいそと椅子を持ってテーブルのほうへ歩いてくる。；だからこそ夕方になると、いそいそと自分の部屋に帰って行ったのである。；待ちに待った楽しい旅に出るような、いそいそとした感じさえある。；おやつのためなら、いそいそと駆けていってもよさそうなものなのに。；私はいそいそとこの二人の珍客を伴いて、滝の修行場へと向ったのでした。；戻って来るわたしを見ると、本当にいそいそと門までおりてきます。；授業が終わるのを待って、俺はメモした番号にいそいそと電話を掛けてみた。；辰野ははじめ、妻がいそいそと働きに出はじめたのを、と思って見ていた。；なかなか戻って来なかったが、やがて、何かいそいそして飛んで来た。；校庭の隅では、ラガーシャツを着た男たちがいそいそと掃除をしていた。；それが今朝は、まだ四時過ぎだというのに、いそいそと床を離れている。；男は、かなり気品のある、と同時にいそいそとした足どりで入って来た。；彼女の美しい顔が生々として、音のする方へ、いそいそと歩きはじめた。；ミネの家へくることがあっても、帰りはやはり、いそいそとしていた。；それが今は山田らのかげにかくれてハダシのままいそいそと歩いて行く。；三人がはいって来るのを見ると、息子はいそいそと立ち上がって席を譲った。；しかし今日はその様子もなく、いそいそと食事の用意をしている。；サト子は、解放された思いで、いそいそとベッドの端から腰をあげた。；だが彼の來たことを耳にすると、自分からいそいそと出て來た。；どうしてこの人は今日こんなにいそいそとしているのだろう。；瑤子はいそいそと窓のカーテンを引き、バスルームへ行って湯を出した。</t>
        </is>
      </c>
      <c r="J441">
        <f>HYPERLINK("https://www.weblio.jp/content/いそいそ", "词义详情")</f>
        <v/>
      </c>
      <c r="K441">
        <f>HYPERLINK("https://yourei.jp/いそいそ", "查看例句")</f>
        <v/>
      </c>
    </row>
    <row r="442">
      <c r="A442" t="inlineStr">
        <is>
          <t>忙しい</t>
        </is>
      </c>
      <c r="B442" t="inlineStr">
        <is>
          <t>成功</t>
        </is>
      </c>
      <c r="C442" t="inlineStr">
        <is>
          <t>読み方：いそがしい
［形］［文］いそが・し［シク］《動詞「急ぐ」の形容詞化》
１多くの用事に追われて暇がない。多忙である。「目が回るほど—・い」
２せかせかして落ち着かない。せわしない。「—・い性分だねえ」
[派生]いそがしがる［動ラ五］いそがしげ［形動］いそがしさ［名］
[用法]いそがしい・せわしい——「忙しい（せわしい）日々を過ごす」「飛行機が忙しく（せわしく）離着陸を繰り返す」などでは、相通じて用いられる。◇「忙しい」は「注文が増えて、忙しくなった」のように用いられるほか、「猫の手も借りたいほど忙しい」などの慣用句や、「資金繰りに忙しい」のような比喩的な言い方に及ぶ。これらは「せわしい」に置き換えられない。◇「せわしい」は「せわしいしゃべり方をする」「車の往来がせわしい」のように、主観的で落ち着かないことに重点がある。したがって、「仕事が忙しい」とはいうが、「仕事がせわしい」とは普通いわない。◇類似の語に「せわしない」「あわただしい」「いそがわしい」がある。「せわしない」は「せわしい」の強調形であり、「あわただしい」は不安定で流動的な感じが中心で、「あわただしい年の暮れ」「政局があわただしくなった」などと用いる。「いそがわしい」は文語的で、「せわしい」「あわただしい」に近い。</t>
        </is>
      </c>
      <c r="D442" t="inlineStr">
        <is>
          <t>忙しい時(3%)；忙しい中(2%)；忙しいとき；忙しい仕事；忙しい日々</t>
        </is>
      </c>
      <c r="E442" t="inlineStr">
        <is>
          <t>多用；多忙；落ち着かない；多忙な；せかせか</t>
        </is>
      </c>
      <c r="F442" t="inlineStr">
        <is>
          <t>最も忙しい；とても忙しい；忙しい思い；一番忙しい；非常に忙しい</t>
        </is>
      </c>
      <c r="H442" t="n">
        <v>29</v>
      </c>
      <c r="I442" t="inlineStr">
        <is>
          <t>引退した理由には地元でしていた事業が忙しくなったこともあるという。；出たり入ったりして忙しげにしている彼を気にとめるものはいなかった。；小田切さんと私とは忙しそうに家を出てはこのホテルで会っていました。；それに郡の議会にも出なければならないし、とにかく忙しかったですよ。；だから、わたしはできるかぎりみんなに忙しくしていてもらいたいわけ。；引き船は汽笛を鳴らしながら、忙しそうに川を行ったり来たりしていた。；道では人々が忙しそうに行きかい、急ぎながらも慎重に籠を運んでいる。；この三四年間、日本の文学の面は何と忙しく波立ちつづけて来ただろう。；仲間のもとに戻ると、ジムの頭は突然持ちあがった問題で忙しくなった。；父がちょうど酔って帰って来たので、その世話の方が忙しかったようだ。；今年は結婚年のように皆が結婚するので、私はお祝いに忙しい次第です。；いまこの瞬間も、数十台の機器が忙しく探査と記録にかかりきっている。；マークがとても忙しい毎日を送っていることしか分からないのである。；ことにも実を採り入れる今じぶんは、猫の手さえ借りたい忙しさとなる。；自分が十六だった年も、忙しすぎてそのことを思い出すことはなかった。；忙しい人間なんですが、よくよくでなくちゃアこんなことはありません。；考えてみると、ここのところ忙しかったせいで買い物にも行っていない。；それでも東京の、無駄に気が急いて仕方がないような忙しさとは違った。；事務長は忙しいと見えてその夜はついに葉子の部屋に顔を見せなかった。；そのごに二度三度ミネの家へきた閑子は、いつも忙しがってばかりいた。；博士はそのとき町へ行っていて、たくさんの訴訟事件で忙しかったのよ。；仕事の忙しさを理由に、英幸は、ここ何年も妻と肌を接していなかった。；忙しいのに読まされて腹が立つと云った種類のものが決して少なくない。；足許を、小さな槍のような形の魚たちが忙しげに泳いでゆくのが見えた。；青やら赤のヘルメットをつけた人たちが、忙しそうに走りまわっている。；それからまた網を作るに忙しくて肝腎の魚を忘れるような場合さえある。；つまり私どもが忙しい中で書きづらく感じるのは用事のない手紙である。；十幾日と法皇の御賀の日が定められて六条院の中は用意に忙しくなった。；私の加盟してゐる某社の雑誌が来たので、忙しい中にざつと目を通した。</t>
        </is>
      </c>
      <c r="J442">
        <f>HYPERLINK("https://www.weblio.jp/content/忙しい", "词义详情")</f>
        <v/>
      </c>
      <c r="K442">
        <f>HYPERLINK("https://yourei.jp/忙しい", "查看例句")</f>
        <v/>
      </c>
    </row>
    <row r="443">
      <c r="A443" t="inlineStr">
        <is>
          <t>急ぐ</t>
        </is>
      </c>
      <c r="B443" t="inlineStr">
        <is>
          <t>成功</t>
        </is>
      </c>
      <c r="C443" t="inlineStr">
        <is>
          <t>読み方：いそぐ
［動ガ五（四）］
１早く目的を達するように行動する。早くやろうとする。「完成を—・ぐ」「解決を—・ぐ」「—・いで仕上げる」
２早く行き着こうとする。早く進む。「帰宅を—・ぐ」
３気持ちがせく。「功を—・ぐ」
４準備する。用意する。
「このごろはよろづ忘れて、このことを—・ぐ」〈かげろふ・中〉
[可能]いそげる
[用法]いそぐ・せく——「せくな、いそぐな、あわてるな」は意図的に類義の語を対比させた表現。◇「いそぐ」は、短時間で何かをしようとする意で、時間に重点があり、「せく」は、「あわてる」「あせる」に近く、気持ちに重点がある。だから「心せくままに帰路をいそぐ」の文では、両語の入れ替えは出来ない。◇「いそがば回れ」は、行動の早さを示す「いそぐ」の用法。「せいては事を仕損ずる」は、心が落ち着いていない状態を示す「せく」の用法。◇類似の語に「あせる」がある。思い通りに事が運ばなくて落ち着かない、焦慮する、いらいらする、の意。</t>
        </is>
      </c>
      <c r="D443" t="inlineStr">
        <is>
          <t>急ぐべき；急ぐ様子もなく；急ぐんです；急ぐあまりに；急ぐふう</t>
        </is>
      </c>
      <c r="E443" t="inlineStr">
        <is>
          <t>走る；ダッシュ；早める；突っ走る；急く</t>
        </is>
      </c>
      <c r="F443" t="inlineStr">
        <is>
          <t>そう急ぐ；生き急ぐ；それほど急ぐ</t>
        </is>
      </c>
      <c r="H443" t="n">
        <v>29</v>
      </c>
      <c r="I443" t="inlineStr">
        <is>
          <t>一行はその都市がスペインの植民地かもしれないので急いで身を隠した。；一日の仕事を終え帰路につきつつある彼女等は決して急ごうとはしない。；彼女は階段を駆け下り、靴を落としてしまうが急いで拾って去っていく。；急いでティンバーに戻り、始まった放送を見るとそこには大統領の姿が。；おれは聞いてはみるがいずれにしても急がなければと答えて別れを告げた。；霧に覆われている時は花弁を閉じ、太陽が顔を出すと急いで花弁を開く。；こんな寒い日では誰もが自らのホームに帰ろうと足を急がせるのだろう。；さうして私の心もまた何ものかに促されるやうにその路を急ぐのである。；私は今度の戦争の中で、自分の思ひ立つた仕事を急がなければ成らない。；だが男は船長のイニシャルが刻まれた箱を見つけ、急いで外に出て行く。；二人は人に諌止られないうちに早く死を急ごうとあわてて水際に立った。；これは翌日商人の曳き船をひく仕事をしに目的地へ急ぐ途中だったのだ。；その後、機関室から若干の燃料漏れがあり、急いで被害調査が行われた。；しかし完成した音楽そのものには急いで書いたようなところは全く見られない。；既にその頃から、その変化を見んとする者は急がなければならなかった。；既に見たように、ソ連は自らの目的を急いで達するよう強制されていない。；終わり間近では音楽が早まることで父親が馬を急がせることを表現する。；魍鬼八大将軍がどこか死に急いでいるようにミロク帝が感じたのはこの為。；ポアロは急いで指定されたレストランへ向かうが依頼してきた女性はいない。；急がなければ、シロッコ一人整理する時間を手に入れることもできない。；軽快ないでたちをした運用方士官が水夫を連れて甲板を急ぐのであった。；さまざまな疑問は疑問として彼は解決を急ごうとはしなくなって来た。；矛を収めて国力の培養を急がなければならぬ時期に来ていたからである。；スタジオ内の空気は冷ややかで、誰もが急いでいるように見えました。；橋本は今夜のうちに帰るんだとか号して、しきりに馬を急がせるらしい。；僕はキャシーの手をとって急がせたとたんに、突然あれは転んじゃった。；見れば、長安からの田園の中の道を、馬を急がせてやってくる者がいた。；帰路、ふたたび野中に着くと桜は育っており、喜んだ夫妻は道を急いだ。；急行とは、仕事などを急いでやること、または目的地に急ぐことを指す。</t>
        </is>
      </c>
      <c r="J443">
        <f>HYPERLINK("https://www.weblio.jp/content/急ぐ", "词义详情")</f>
        <v/>
      </c>
      <c r="K443">
        <f>HYPERLINK("https://yourei.jp/急ぐ", "查看例句")</f>
        <v/>
      </c>
    </row>
    <row r="444">
      <c r="A444" t="inlineStr">
        <is>
          <t>依存</t>
        </is>
      </c>
      <c r="B444" t="inlineStr">
        <is>
          <t>成功</t>
        </is>
      </c>
      <c r="C444" t="inlineStr">
        <is>
          <t>読み方：いそん
［名］(スル)《「いぞん」とも》他に頼って存在、または生活すること。「会の運営を寄付金に—する」「—心」</t>
        </is>
      </c>
      <c r="D444" t="inlineStr">
        <is>
          <t>依存する(30%)；依存的(3%)；依存性(2%)；依存症；依存体質</t>
        </is>
      </c>
      <c r="E444" t="inlineStr">
        <is>
          <t>信頼；習慣；信用；頼り；信</t>
        </is>
      </c>
      <c r="F444" t="inlineStr">
        <is>
          <t>強く依存；非依存；時間依存；用量依存；温度依存</t>
        </is>
      </c>
      <c r="G444" t="inlineStr">
        <is>
          <t>依存関係；依存症；依存度；依存型；依存文法</t>
        </is>
      </c>
      <c r="H444" t="n">
        <v>29</v>
      </c>
      <c r="I444" t="inlineStr">
        <is>
          <t>前者は単位の選択により変化しないが、後者は単位に依存して変化する。；ここでいう位格とは、他の存在に依存することなく存在するものをいう。；単独で増殖できないのはこれらを宿主に依存しているためと考えられる。；特にアルフォンスは完全にこの姉からの資金に依存して生活していた。；電源や制御は外部に依存しており、本体は主に駆動部で構成されている。；このヒルベルト空間が実際にどのようなものになるかは系に依存する。；先進国の経済が中東の石油に極端に依存していることが明らかとなった。；経済が未発達なカンボジアでは、食料供給の大部分を川に依存している。；温度依存性を考えない形の関係式は構成方程式と呼ばれることもある。；西側は牧畜業が盛んであり、その経済は観光業と防衛費に依存している。；注意すべきは線型写像を表す行列は基底の取り方に依存することである。；また、重要な点はこの投票システムが暗号技術に依存していない点である。；データの内容に依存しないデータ構造とリスト操作コードを形成可能である。；この特徴付けは、周辺空間 にも依存するものであることに留意する。；世界中の都市、特に重工業に依存している都市は大きな打撃を受けた。；アルコール依存では、その他の向精神薬依存治療をも必要なことがある。；これは量子トンネル確率が位置に依存する性質を利用したものである。；この安全上の余裕は、列車が移動距離を計算する方法の精度に依存している。；それは、あるオブジェクトが依存しているオブジェクトのリストである。；これらの聖歌では、音楽の形式はおもにテキストの構造に依存している。；スタックに強く依存している環境では、追加の操作を備えている場合がある。；難易度はその乱流に含まれている混合長さの尺度の違いに強く依存する。；また、 と のクロス積は基底 の元の順序に依存して と定義される。；時間管理機能はカーネルが管理する時間に依存した処理を行うための機能である。；フォードは海外との貿易に依存することなく一から自動車を生産することだった。；なお、コード中で強調表示されている予約語の記法は処理系に依存する。；このうち脂質に関しては完全に宿主に依存していることが確認されている。；そのような作物は大規模な灌漑に依存する不毛な地域で重要になるだろう。；また、兵装などのエネルギー供給とFCSは接続されたMSに依存する。</t>
        </is>
      </c>
      <c r="J444">
        <f>HYPERLINK("https://www.weblio.jp/content/依存", "词义详情")</f>
        <v/>
      </c>
      <c r="K444">
        <f>HYPERLINK("https://yourei.jp/依存", "查看例句")</f>
        <v/>
      </c>
    </row>
    <row r="445">
      <c r="A445" t="inlineStr">
        <is>
          <t>板</t>
        </is>
      </c>
      <c r="B445" t="inlineStr">
        <is>
          <t>成功</t>
        </is>
      </c>
      <c r="C445" t="inlineStr">
        <is>
          <t>読み方：ばん
〈伴〉⇒はん
〈判〉⇒はん
〈板〉⇒はん
〈絆〉⇒はん
〈蕃〉⇒はん</t>
        </is>
      </c>
      <c r="D445" t="inlineStr">
        <is>
          <t>板状(3%)；板壁(3%)；板ばね；板切れ；板囲い</t>
        </is>
      </c>
      <c r="E445" t="inlineStr">
        <is>
          <t>舞台；ステージ；ボード；掲示板；高座</t>
        </is>
      </c>
      <c r="F445" t="inlineStr">
        <is>
          <t>ガラス板；一枚板；説明板；薄い板；木板</t>
        </is>
      </c>
      <c r="G445" t="inlineStr">
        <is>
          <t>板の間；板橋；板倉；板張り；板戸</t>
        </is>
      </c>
      <c r="H445" t="n">
        <v>29</v>
      </c>
      <c r="I445" t="inlineStr">
        <is>
          <t>神が最高の仕方で書くには何も書かれていない板が最適であるという。；この製造機では金属のリベットを靴底へ打ち込むのに金属の板を用いた。；中には計器類の写真を貼った板の前に椅子を並べただけの装置もある。；ただし、主要駅を中心に一部の駅では優先座席の案内板が設置されている。；右下のアンパパから、無数の歩帯板の列がそれぞれ伸びて歩帯をなす。；この骨板は鱗が変形したものとみられ、鱗板あるいは甲板とも呼ばれる。；ホームには2台以上の大型総合案内板が1987年より設置されている。；登場後にすべての側面窓をポリカーボネート板で覆う改造工事がなされた。；この板は食卓代わりに宿屋等で使われ始め、家庭に広まったとみられる。；これに合わせ、ホームの改良や案内板の新設等も同時に行われた。；ミツバチが利用した空間の形状によっては巣板が傾いていることもある。；枠は上下左右の枠、梁または中棧といわれる横板、裏軸や裏板からなる。；膝を五体板に打ちつけて行うこの行は懺悔の心を最も体で表している。；木道はかつては湿原に横板を介して直接置かれたものがほとんどであった。；カラストンビは現生の頭足類と共通して、一般に下顎板の方が大型である。；跨線橋も設置されているが、現在は板が打ち付けられ閉鎖されている。；そして床にある鉛管工事用の板を外して、そこから何かを取り出した。；以前は巨大な石に描いていたが、近年は扱いやすいアルミ板を使うことが多い。；これは、火室の邪魔板の上の空間が延長された構造となっている。；ここでの距離は色灯式・単灯式信号機に取り付けられる背面板からの距離である。；それぞれの板ごとに独特の表現を用いて参加者を呼んでいた。；玉の板数千枚を金の糸で縫い上げ、これをもって遺体を蓋っている。；温度が均一な板の強制対流のヌセルト数は下記の式で求めることができる。；沿岸には砂泥域が広がっており、板びき網漁業などが行われている。；のちに固体撮像素子が登場し、その後主流は管から板に変わっている。；運転席側の側窓下の位置には青函無線用の板状アンテナを設けている。；ヴァイオリン同様表板と裏板は独立しており、表板は湾曲している。；雄別鉄道線ホームへの案内板は、駅舎内の飲食店に保管・展示されている。；円筒状の回転子に半径方向へ突出するベーンと呼ばれる板がついている。</t>
        </is>
      </c>
      <c r="J445">
        <f>HYPERLINK("https://www.weblio.jp/content/板", "词义详情")</f>
        <v/>
      </c>
      <c r="K445">
        <f>HYPERLINK("https://yourei.jp/板", "查看例句")</f>
        <v/>
      </c>
    </row>
    <row r="446">
      <c r="A446" t="inlineStr">
        <is>
          <t>痛い</t>
        </is>
      </c>
      <c r="B446" t="inlineStr">
        <is>
          <t>成功</t>
        </is>
      </c>
      <c r="C446" t="inlineStr">
        <is>
          <t>読み方：いたい
［形］［文］いた・し［ク］
１肉体に痛みや苦しみを感じるさま。「歯が—・い」「つねられて—・い」
２心に苦痛を感じるさま。精神的につらい。「欠損続きで頭が—・い」
３弱点を攻撃されたり打撃や損害をこうむったりして、閉口するさま。「—・いところに触れられる」「—・い目にあう」「この時期に出費は—・い」
４俗に、さも得意そうな言動がひどく場違いで、見るに堪えないさま。また、状況や立場・年齢にふさわしくない言動が周囲をあきれさせるさま。
５（甚い）程度のはなはだしいさま。多く、連用形を用いる。→甚(いた)く
６（甚い）はなはだしくりっぱなさま。すばらしい。
「新発意(しぼち)の娘かしづきたる家いと—・しかし」〈源・若紫〉
７動詞の連用形に付いて、その動詞の表す状態がはなはだしい意味を示す形容詞をつくる。「あまえいたし」「うもれいたし」など。
[派生]いたがる［動ラ五］いたげ［形動］いたさ［名］</t>
        </is>
      </c>
      <c r="D446" t="inlineStr">
        <is>
          <t>痛い目(8%)；痛いところ(4%)；痛い思い(2%)；痛いだろ；痛い問題</t>
        </is>
      </c>
      <c r="E446" t="inlineStr">
        <is>
          <t>困難；苦しい；悲しい；辛い；つらい</t>
        </is>
      </c>
      <c r="F446" t="inlineStr">
        <is>
          <t>痛いほどよく；少し痛い；痛いほどわかる；耳に痛い；ちょっと痛い</t>
        </is>
      </c>
      <c r="G446" t="inlineStr">
        <is>
          <t>痛いん；痛いたしい；痛いたしく；痛いくらい君があふれているよ；痛いニュース</t>
        </is>
      </c>
      <c r="H446" t="n">
        <v>29</v>
      </c>
      <c r="I446" t="inlineStr">
        <is>
          <t>芝居を見に行ったが実にひどい芝居で、頭が痛くなったといわれました。；それは私たち自身が、これまでの経験で痛いほど知っていることだった。；エレベーターでの移動中に耳がキーンと少し痛くなるほどの高度である。；夕方になったら冷えて来て、わたしの鼻の中が妙に痛くなって来ました。；彼は痛がっていたけれど審判も見ていなかったからお咎めも無かったさ。；だが突然血が動いたのがひどく痛かったと見えて、激しく顔をしかめた。；これはさ程痛かったためではないが、余り不意であったために泣いたのだ。；その間もやはり耳の中にある物は突っ込まれたままでとても痛くて熱い。；自分の手を握った痛いほどの力も、そのまま自分の手に残っているようだ。；だから、私も何うか頭が少し痛くなってお苦しみをわけ持ちたいと思った。；マイクが説明してくれようとしたかねとき、おれは頭が痛くなったのだ。；張三が頭を打たれても李四は痛くも何ともないというのが普通の道理だ。；けれども光は淡く白く痛く、いつまでたっても夜にならないようでした。；自分でも、今夜、痛くなり、薬を返してもらいにきたことにすればいい。；耳が若干動いていたので、少しだけ耳が痛かったのかもしれなかった。；これら5つのうち2つ以上の該当があれば心因性腰背痛の可能性が高い。；その姿を思い描こうとするだけで胸がこんなに痛くなることがあろうとは。；眠っていた間枕にしていた左腕が血の気を失ってちょっとだけ痛かった。；この時丹内は「余りの痛さに折れていることがすぐにわかった」という。；集まってくる視線が痛かったが、どう対応すればいいのかわからない。；本人はテレビ収録が始まりカメラに映ると痛さを忘れてしまうと語る。；私も打たれて見ましたが冷たいのと痛いのとで五、六遍で飛び出しました。；この時、曽根は神永の背中が痛くなるほど叩いて喜びを表現したという。；も少し痛いかと思って少し強く叩いて見たがどうもまだなまぬるかった。；北風が正面からぶつかってくるので、顔が痛くて眼を開けていられない。；よくよく尋ねてみると、プールに入る前からお腹が痛かったのだと言う。；その痛みは大量のモルヒネを投与しても鎮痛できないほどであるという。；かうした指示事項を見てゐると、駿介は頭が痛くなつて來るほどだつた。；僕は目が痛くなったので、目蓋の上から指でマッサージをしながら歩いた。</t>
        </is>
      </c>
      <c r="J446">
        <f>HYPERLINK("https://www.weblio.jp/content/痛い", "词义详情")</f>
        <v/>
      </c>
      <c r="K446">
        <f>HYPERLINK("https://yourei.jp/痛い", "查看例句")</f>
        <v/>
      </c>
    </row>
    <row r="447">
      <c r="A447" t="inlineStr">
        <is>
          <t>偉大</t>
        </is>
      </c>
      <c r="B447" t="inlineStr">
        <is>
          <t>成功</t>
        </is>
      </c>
      <c r="C447" t="inlineStr">
        <is>
          <t>読み方：いだい
［形動］［文］［ナリ］すぐれて大きいさま。りっぱであるさま。「—な業績」「—な人物」
[派生]いだいさ［名］</t>
        </is>
      </c>
      <c r="D447" t="inlineStr">
        <is>
          <t>偉大なる(18%)；偉大な人物；偉大な芸術；偉大な力；偉大な王</t>
        </is>
      </c>
      <c r="E447" t="inlineStr">
        <is>
          <t>大きい；堂々；抜群；大いなる；堂々たる</t>
        </is>
      </c>
      <c r="F447" t="inlineStr">
        <is>
          <t>偉大な功績；偉大な指導；偉大な政治；偉大な発明；偉大な英雄</t>
        </is>
      </c>
      <c r="G447" t="inlineStr">
        <is>
          <t>偉大な生涯の物語；偉大な遺産；偉大なる社会；偉大なる術；偉大な芸術家の思い出に</t>
        </is>
      </c>
      <c r="H447" t="n">
        <v>29</v>
      </c>
      <c r="I447" t="inlineStr">
        <is>
          <t>あなたの偉大な夫が亡くなったことが世界の損失であることを表明する。；イブン・バットゥータは史上最も偉大な旅行家の一人と考えられている。；この大会以後も活躍を続け、偉大な選手の1人に数えられるようになる。；偉大なる知性と特に非常に実践的な能力を持った賢者のイメージである。；彼はオーストラリアで最も偉大な科学者の一人に上げられている。；かれらは偉大な存在であったが、軽はずみな誓言を守るため悪に堕した。；グスタフ3世は母に教わったように偉大な国王になるために努力した。；この嫉妬の激しさは女神の偉大な権威を証明するものだという説がある。；国王は彼を「古今の最も偉大なフランスの芸術家である」と宣言した。；それは祝福された偉大なスティーブンで、彼は数々の発見の役に立った。；あの船には世界有数の偉大な数学者が乗っていて、もちろん彼は犠牲になった。；偉大なるものは、貧しいものより簡単に、白旗を挙げることができます。；偉大な両親のもとに生まれたが、前脚の蹄に左右差がある不安を抱えていた。；彼はまたドイツ語文学における偉大な日記作家のひとりでもある。；衣装などにも過去の偉大な王らの衣装のアイディアを取り入れていた。；彼のように偉大になりたいと努力してきたというのに。；この考えはいつも偉大で、他のあらゆるものより偉大なものである。；仏陀となった偉大な釈迦の姿は、もはや人の手で表現できないと思われていた。；またラッセルは最も偉大なクラッチプレイヤーの一人としても知られた。；あなたはどのくらい偉大な宮殿が神に相応しいとお考えですか?；閣議でもほとんど発言せず、政敵には「偉大なる無能」と呼ばれていた。；彼は広く20世紀のカトリックの偉大な人物の1人と考えられている。；それでも現在、20世紀の偉大なピアニストの一人と評価されている。；ハトについての素晴らしい本であり、彼はその中の偉大な愛好家でした。；エジプトの神々の中で最も古く、最も偉大で、最も多様化した神の一つである。；偉大な女優だから、彼女相手にどう演じるかみんな緊張していた。；しかしラファエロのフレスコ画には、驚くべき単純さと偉大さがあります。；カーマが偉大な政治家であったかどうかは評価が分かれるだろう。；セオデンはかつての偉大で高貴な王の姿に戻り、蛇の舌を追放する。</t>
        </is>
      </c>
      <c r="J447">
        <f>HYPERLINK("https://www.weblio.jp/content/偉大", "词义详情")</f>
        <v/>
      </c>
      <c r="K447">
        <f>HYPERLINK("https://yourei.jp/偉大", "查看例句")</f>
        <v/>
      </c>
    </row>
    <row r="448">
      <c r="A448" t="inlineStr">
        <is>
          <t>委託</t>
        </is>
      </c>
      <c r="B448" t="inlineStr">
        <is>
          <t>成功</t>
        </is>
      </c>
      <c r="C448" t="inlineStr">
        <is>
          <t>読み方：いたく
［名］(スル)
１ゆだね任せること。人に頼んで代わりにやってもらうこと。「販売を業者に—する」
２契約などの法律行為やその他の事務処理を他人に依頼すること。
３客から取引所の取引員に注文を出すこと。</t>
        </is>
      </c>
      <c r="D448" t="inlineStr">
        <is>
          <t>委託すること(3%)；委託先(2%)；委託される；委託者；委託する形</t>
        </is>
      </c>
      <c r="E448" t="inlineStr">
        <is>
          <t>依頼；信頼；信用；頼む；頼る</t>
        </is>
      </c>
      <c r="F448" t="inlineStr">
        <is>
          <t>管理委託；業務委託；販売委託；再委託；運営委託</t>
        </is>
      </c>
      <c r="G448" t="inlineStr">
        <is>
          <t>委託販売；委託放送事業者；委託駅；委託料；委託販売制</t>
        </is>
      </c>
      <c r="H448" t="n">
        <v>29</v>
      </c>
      <c r="I448" t="inlineStr">
        <is>
          <t>かつての国鉄は解体され、官民協力体制の下で委託経営が行われている。；中国でアジア向けローバー車の生産を委託する可能性もあるといわれていた。；かつては個人商店での乗車券が委託販売されていた簡易委託駅であった。；市所有の白ナンバーバスを使用し、運転業務は川井交通に委託している。；車両の製作をJR東日本新津車両製作所に委託したものが一部含まれる。；また同時に、全国紙の地方紙への委託印刷も盛んに行われるようになった。；当駅は直営駅ではなく駅業務はまつうら観光物産協会に委託されている。；通常は、狭義には、自社の業務過程の一部を外部に委託することを指す。；このカードに関わる業務の一部をユーシーカードへ業務委託している。；スポーツ施設の運営を民間に委託しているところでは後者の形がとられている。；中には後述するように複数の鉄道事業者に委託する事例も存在する。；宇都宮ステーション開発はアトレから運営を委託される形となっている。；海軍委託学生は海軍兵学校生より運動系の科目の内容は緩和されていた。；このため現在ではアメリカの二社に再転換を委託している。；参謀本部は、政治的な指導の委託を受けて軍事的な処置をとるものである。；その後、同年度より株式会社チャリ・ロトに民間委託される事になった。；なお、各傘下の地域版の現地での印刷委託は従来同様で変更はない。；BRT用の車両はJR東日本が用意し、ミヤコーバスに運行を委託した。；世界の多くの地域では、親または親から委託を受けた者が新生児を命名している。；製品は三井物産に販売委託され、その販路は海外にまで広がっていた。；運行管理を札幌第一観光バスへ委託するため乗務員は配置されていない。；また以前は特急列車に限りこの委託係員が集札等の業務も行っていた。；また1944年には、東京都からの委託によって糞尿輸送が開始された。；発注側が適切な委託者を選択しなかった場合、以下の問題が生じることがある。；また、廃止後1年間は道銀釧路支店での払い戻し業務等の委託を行った。；アメリカ国内においての流通は、ワーナーミュージックに委託していた。；当初は同人ショップ委託をしなかったために話題にならなかった。；近年ではコストカットのため民間の運送会社への委託も行われている。；政府や自治体が設置した施設の運営を民間に委託するなど官民の積極的な連携が行われている。</t>
        </is>
      </c>
      <c r="J448">
        <f>HYPERLINK("https://www.weblio.jp/content/委託", "词义详情")</f>
        <v/>
      </c>
      <c r="K448">
        <f>HYPERLINK("https://yourei.jp/委託", "查看例句")</f>
        <v/>
      </c>
    </row>
    <row r="449">
      <c r="A449" t="inlineStr">
        <is>
          <t>抱く</t>
        </is>
      </c>
      <c r="B449" t="inlineStr">
        <is>
          <t>成功</t>
        </is>
      </c>
      <c r="C449" t="inlineStr">
        <is>
          <t>読み方：いだく
［動カ五（四）］
１腕でかかえ持つ。だく。「ひしと—・く」「母親の胸に—・かれる」
２かかえるように包み込む。「村々を—・く山塊」「大自然の懐に—・かれる」
３ある考えや感情をもつ。「疑問を—・く」「青年よ大志を—・け」
４しっかり守る。擁護する。
「任那(みまな)を—・き守ること、おこたることなきなり」〈欽明紀〉
[可能]いだける
→抱(かか)える［用法］</t>
        </is>
      </c>
      <c r="D449" t="inlineStr">
        <is>
          <t>抱くべき；抱くこと自体；抱く公卿たち；抱く者達；抱く聖母マリア像</t>
        </is>
      </c>
      <c r="E449" t="inlineStr">
        <is>
          <t>思う；持つ；経験；含む；受ける</t>
        </is>
      </c>
      <c r="H449" t="n">
        <v>29</v>
      </c>
      <c r="I449" t="inlineStr">
        <is>
          <t>しかし今回は、漫画の内容が恋愛ものばかりであることに不満を抱いた。；マーリンも同じように死んでいるのではないかという不安を抱きながら。；でも、彼が車の中で彼女を抱こうとしなかったのは、仕方のないことだ。；二人はその後死ぬまで互いに深い愛情を抱き続けたと言われている。；愛に抱かれ、ここで統一された多様な力は再び外へ向かって広がりゆく。；患者の力ない手がわずかに動いて、新一の肩を抱こうとするように見えた。；小さいころから科学へ興味を抱き、多くのことを読書により学んでいた。；清はおしんに礼を言い、竜三の骨を一片胸に抱いて佐賀へ帰っていった。；原首相に反感を抱く人物が上司におり、それに影響されたとされている。；そこで夫が目にしたのはカルヴァートの腕に抱かれる妻の姿だったのです。；彼の様子を見ますと、常に不満の心を抱いているのが良く分かります。；もちろん強い愛国心を抱いているし、英国民であることは大きな誇りだ。；しかし従兄の沼田藩主・信利がこれに不満を抱いて家督争いが起こった。；困惑を抱きながらも、籐矢は全ての真実を知る決意をし、行動を始めた。；疑念を抱かせない事が不可視インクをうまく使うために重要な点である。；感情の一覧は、様々なことに感じて抱く気持ちを一覧にしたものである。；世界高校野球大会では猪狩守に打撃指導されることに反感を抱いている。；また、プライバシーの問題に強い意識を抱いていることでも知られている。；そして世界創造前に抱いた考えの一部を彼の音楽に織り込んだのであった。；私はその人の手に抱かれている時にね、一番安心していたんですの。；さらに通常の鮮魚輸送のように抱き氷による輸送をすることもできた。；そうしてそれらのものを用いることに悦びを抱こうではありませんか。；富野自身も両親に対して憎悪のような感情を抱いていたと述懐している。；手を握るわけでもないし、送ってきてくれる時も肩ひとつ抱こうとしない。；そのため、現在でもポーランド人は強い反露感情を抱いているとされる。；同社が最も興味を抱いたのはERAの磁気ドラムメモリシステムである。；女を抱こうとする直前の男特有の、あの怒ったような目になっている。；しかしながら、現代の学者たちはこの記述について強く疑問を抱いている。；オルガ姫を見ていると、私は母の懐に抱かれているような安心を覚える。</t>
        </is>
      </c>
      <c r="J449">
        <f>HYPERLINK("https://www.weblio.jp/content/抱く", "词义详情")</f>
        <v/>
      </c>
      <c r="K449">
        <f>HYPERLINK("https://yourei.jp/抱く", "查看例句")</f>
        <v/>
      </c>
    </row>
    <row r="450">
      <c r="A450" t="inlineStr">
        <is>
          <t>致し方ない</t>
        </is>
      </c>
      <c r="B450" t="inlineStr">
        <is>
          <t>成功</t>
        </is>
      </c>
      <c r="D450" t="inlineStr">
        <is>
          <t>仕方ない；必至；不可避；救えない；余儀ない</t>
        </is>
      </c>
      <c r="H450" t="n">
        <v>29</v>
      </c>
      <c r="I450" t="inlineStr">
        <is>
          <t>実際の話、首をくくられるような者はそうされても致し方ないのである。；だから言わぬことではない、と日本から思われても致し方ないではないか。；俊徳丸はそれを必死になって止め、致し方なくさらに嘘を重ねてしまう。；未だこの世に生を受けて十余年の少女であれば致し方ないのであろう。；非常に残念ではありますが、そういう事情であれば致し方ないと思います。；ナシアスは致し方なく、そこまで夫人の供をすることになってしまった。；旅の人がいきなり飛び込んできたのだから、これは致し方ないだろう。；しかしながら、そう思われても致し方ない状態にボクの部屋はなっていた。；そうした私に人生観や人生論への興味がトンと湧かぬのは致し方ない。；我輩としても主を一人にしておくのは不安だったのであるが、致し方ない。；彼の精神病についての理解が古風であるのも、致し方ないことではある。；それも彼には彼の生活があることを思えば、致し方ないことなのかもしれなかった。；敵に降るのを潔しとしない性格の男であれば、これ以上は致し方ない。；FEの重量増加はどうやらこの装備のために致し方ないものであったらしい。；子供の前だから致し方なく親でございという顔をしてるだけよ。；映画で現象の説明をするとなると、どうしても線画が多くなるのは致し方ない。；それも致し方なしと自ら看過できてしまうほどの、忍の衝撃発言だった。；いずれにしても残念千万なことであるが致し方ない。；眼つきの卑し気なのは致し方ないとしても、それを除くとほぼ皇帝に似ている。；先ほど見過ごしてしまったのも、これなら致し方ないかと思えた。；説明なしで、二人が言い合いを始めちゃったんだから致し方ない。；かといって他に行くところもなく、家にいるのはさらに面白くなかったので致し方ない。；致し方なくわたくしは胸のポケットから書類を出した。；インターフォンの向こうにいる人物が黙ってしまったのも、致し方ないことだった。；猫に喋りかけていること自体、眩暈を覚える思いだったが致し方ない。；三人とも致し方ないと頭を下げたが、ナシアスがやんわりと申し出た。；そのちがう点で、君らがわしと、たもとを分つことになっても致し方ない。；さっきからの由乃の行動を見ていれば、致し方ない反応ではある。；今宵一ト夜の命だと思うと可哀想でもあるが、どうも致し方ないとも思われた。</t>
        </is>
      </c>
      <c r="J450">
        <f>HYPERLINK("https://www.weblio.jp/content/致し方ない", "词义详情")</f>
        <v/>
      </c>
      <c r="K450">
        <f>HYPERLINK("https://yourei.jp/致し方ない", "查看例句")</f>
        <v/>
      </c>
    </row>
    <row r="451">
      <c r="A451" t="inlineStr">
        <is>
          <t>致す</t>
        </is>
      </c>
      <c r="B451" t="inlineStr">
        <is>
          <t>成功</t>
        </is>
      </c>
      <c r="C451" t="inlineStr">
        <is>
          <t>読み方：いたす
［動サ五（四）］《「いたる」に対して「いたらせる」の意。敬語として用いられるのは中世以降》
１届くようにする。至らせる。「遠い祖国に思いを—・す」
２そのことがもとで、ある結果、特によくない結果を引き起こす。ある状態に立ち至らせる。「私の不明の—・すところ」
３全力で事を行う。心を尽くす。
「遠く京師を離れていたので、玄機がために力を—・すことができなかった」〈鴎外・魚玄機〉
４
㋐「する」の謙譲語。自己側の動作を低めて言ったり、改まった気持ちで言ったりすることで聞き手に対する敬意を表す。多く「いたします」の形で用いる。「努力を—・す所存です」「御指示どおりに—・します」「私から話を—・します」
㋑「する」の丁寧語。多く「いたします」の形で用いる。「いい香りが—・します」「あと数分—・しますと重大発表が行われます」
「勢の良い扇の音が、はたはたと—・しますと」〈芥川・邪宗門〉
㋒「する」の尊大な言い方。話し手が相手の行為について、自分を高い位置に置いて言う。「何を—・しておる。早く—・せ」「無用の殺生を—・すでないぞ」
５命を差し出す。身をささげる。
「危ふきを見て命を—・す処、兼ねて思ひ定め候ひけるかに依りて」〈太平記・二六〉
６（補助動詞）動詞の連用形やこれに「お」を付けた形、または、漢語サ変動詞の語幹やこれに「御(ご)」を付けた形などに付く。
㋐補助動詞「する」の謙譲語・丁寧語。多く「いたします」の形で用いる。「お静かにお願い—・します」「御一緒—・しましょう」
㋑補助動詞「する」の尊大な言い方。「即刻、返答—・せ」
[補説]平安時代は、主として漢文訓読に用いられた。
[下接句]思いを致す・心を致す・仕(し)を致す・死を致す・信を致す・蒼蠅(そうよう)驥尾(きび)に付して千里を致す</t>
        </is>
      </c>
      <c r="D451" t="inlineStr">
        <is>
          <t>致すべき(4%)；致すべく；致すまい；致すべし；致す所なり</t>
        </is>
      </c>
      <c r="E451" t="inlineStr">
        <is>
          <t>する；行う；やる；作る；実行</t>
        </is>
      </c>
      <c r="F451" t="inlineStr">
        <is>
          <t>お願い致す；お相手致す；進歩致す間敷</t>
        </is>
      </c>
      <c r="H451" t="n">
        <v>29</v>
      </c>
      <c r="I451" t="inlineStr">
        <is>
          <t>自分の指を私に見せて、こんな足に子供のを致したくないと申しました。；だが、あれは儂にはもうまるで遠い昔の夢のような気が致しますのじゃ。；私が大人になって先生になるなら、奥さんのような意地悪は致しません。；此は他によつて自己を新にして、そして自ら新しい運命を致したのである。；わたくし共もそれを楽みに御奉公致して居るようなわけでございました。；つまり三本勝負の上には見苦しい負けかたを致したのでございまする。；その他にも理由はいろいろあるが、あまり長くなるから略する事に致す。；夢の中で走ろうとしても手も足も動かせない時のような気が致しました。；成程人は夫婦とも申しませうが私の気では何とも思つてをりは致しません。；子供を学校にやる事の出来る両親は神に感謝致さねばなりません。；余り酔わないように致せ、これ、女房がまた心配をするそうじゃからな。；小生と致しましては残念ながら、この女を排除する必要はございません。；が、私は初めからどうも妙な気おくれが致していたからでございましょう。；現世以外の或る無形なものの中に、そっと住んでいたい気が致されます。；小説を作るには、作者が最も心を致さなければならないものである。；姉妹ただ二人きりで、私は母と姉を、父とも母とも思って成長致しました。；世の中の持ちつ持たれつという気持も引き出されるような気が致しますが。；私がまた会社に出るのを見ましたらどんなに安心致すか分りません。；私は母が心配なので一度様子を尋ねようと、兄の室を出ようと致しました。；貫一さんが又容してくれやうとも、ええ、どうせ私は思ひは致しません。；私は決して御為にならぬような事を致す人間ではありません。；すると、これを聞いたザヴィエルのほうは、非常にびっくり致しました。；では、念のためにそれなる往来へおちていたとか言う二品を一見致そうぞ。；これは一月程の旅行でしたが、この外一日がけの旅はよく致しました。；どちらに致すも致さないもありはしない、生れてまだ幾月もたたない子。；どちらに致すも致さないもありはしない、生れてまだ幾月もたたない子。；でありますからこの線一つでその絵が生きも死にも致します。；熊本で始めて夜、二人で散歩致しました時の事を今に思い出します。；さうすれば、解決つけるべきものは自ら解決がついて来ると確信致してをります。</t>
        </is>
      </c>
      <c r="J451">
        <f>HYPERLINK("https://www.weblio.jp/content/致す", "词义详情")</f>
        <v/>
      </c>
      <c r="K451">
        <f>HYPERLINK("https://yourei.jp/致す", "查看例句")</f>
        <v/>
      </c>
    </row>
    <row r="452">
      <c r="A452" t="inlineStr">
        <is>
          <t>悪戯</t>
        </is>
      </c>
      <c r="B452" t="inlineStr">
        <is>
          <t>成功</t>
        </is>
      </c>
      <c r="C452" t="inlineStr">
        <is>
          <t>読み方：あくぎ
たちの悪いいたずら。わるふざけ。</t>
        </is>
      </c>
      <c r="D452" t="inlineStr">
        <is>
          <t>悪戯っぽい(5%)；悪戯っぽく(5%)；悪戯好き(4%)；悪戯心(2%)；悪戯者(2%)</t>
        </is>
      </c>
      <c r="E452" t="inlineStr">
        <is>
          <t>いたずら；ふざけ；悪ふざけ；やんちゃ；茶目</t>
        </is>
      </c>
      <c r="F452" t="inlineStr">
        <is>
          <t>そんな悪戯；悪い悪戯；単なる悪戯；幼女悪戯；ちょっとした悪戯</t>
        </is>
      </c>
      <c r="G452" t="inlineStr">
        <is>
          <t>悪戯されて；悪戯シリーズ；悪戯道化師</t>
        </is>
      </c>
      <c r="H452" t="n">
        <v>29</v>
      </c>
      <c r="I452" t="inlineStr">
        <is>
          <t>これじゃ何ともなくともチョット悪戯をしてみたくなる恰好じゃないか。；誰が一体、何んの意趣でそんな悪戯をするのか、全く見当もつきません。；ところがそれは、あらゆる意味で悪戯とは全くかけ離れたものであった。；幼児が悪戯や、いけないと言われたことをしている時につきものの沈黙。；悪戯好のものは太十の意を迎えるようにして共に悲んだ容子を見てやった。；悪戯があまりにもひどく、いっしょに行った連中もそう思ったからである。；もっとも、ほとんどの国では、そもそも悪戯は何らかの犯罪に該当する。；新たに悪戯をすることに、味方の者らは歓喜して天才だと呼号していた。；一方、彼女に悪戯を持ちこんだのは、友人ではなかったかも知れません。；矢とりの女の尻を射るのは時々に遣る悪戯ですが、顔を射るのはひどい。；その右には、判官が一体、これは、誰に悪戯をされたのだか、首がない。；それは兄弟が子供の頃に悪戯をする際に使用した合い言葉であった。；この手紙では、あの悪戯好きの女をかなりやさしく扱ったつもりだった。；最初に見たときは、学生オペレータが残しそうな悪戯書きに似ていた。；お菓子がもらえなかった場合は報復の悪戯をしてもよい、とされている。；そして何か悪戯をすると、きっとその罰に、女の生徒の教室に立たした。；おかしな者が近づいてきたのを、巫山戯た妖精が悪戯しているのだろう。；悪戯好きな桜島は、相手が老人だからと言つて少しも容捨はしないだらう。；ただいまの海竜といい、この辺の海の悪戯には、再再経験もあることだ。；正井のやつ何か容易ならぬ悪戯をしおった様子もあるし、油断がならん。；悪戯の犠牲になった怪我人は絶息したまま仲間の為めに其の家へ運ばれた。；鼻の穴が頭上に存在し、潮吹きで人を驚かせるのが好きな悪戯好きな性格。；本当に好きだったのは悪戯をしたり森を彷徨って鳥の卵を探すことだった。；しかし僕の想像は確実だから、そんな悪戯をすることはめったにない。；何故といつて彼は時々主人を訪ねて来るお客に悪戯をする事を知つてゐたから。；ただ人騒がせの悪戯にしては、余りにご念が入り過ぎているではないか。；きっとまた御隣の別荘の坊ちゃんが、悪戯をなすったのでございますよ。；少年らしい悪戯や失敗の逸話も残されており、同期の団結の中心となった。；運命の残酷な悪戯のせいで、別れた時はまさに幸せが完結する直前だった。</t>
        </is>
      </c>
      <c r="J452">
        <f>HYPERLINK("https://www.weblio.jp/content/悪戯", "词义详情")</f>
        <v/>
      </c>
      <c r="K452">
        <f>HYPERLINK("https://yourei.jp/悪戯", "查看例句")</f>
        <v/>
      </c>
    </row>
    <row r="453">
      <c r="A453" t="inlineStr">
        <is>
          <t>頂</t>
        </is>
      </c>
      <c r="B453" t="inlineStr">
        <is>
          <t>成功</t>
        </is>
      </c>
      <c r="C453" t="inlineStr">
        <is>
          <t>読み方：いただき
《「頂(いただ)き」と同語源》物の最も上の部分。山頂や頭頂などをいう。てっぺん。「塔の—」「—に霜を置く」</t>
        </is>
      </c>
      <c r="D453" t="inlineStr">
        <is>
          <t>頂部(18%)；頂上部(6%)；頂端(3%)；頂芽；頂生</t>
        </is>
      </c>
      <c r="E453" t="inlineStr">
        <is>
          <t>先；端；最高；トップ；先端</t>
        </is>
      </c>
      <c r="F453" t="inlineStr">
        <is>
          <t>殻頂；円頂；扇頂；最頂；山山頂</t>
        </is>
      </c>
      <c r="G453" t="inlineStr">
        <is>
          <t>頂点；頂き；頂戴；頂い；頂く</t>
        </is>
      </c>
      <c r="H453" t="n">
        <v>29</v>
      </c>
      <c r="I453" t="inlineStr">
        <is>
          <t>街の郊外から出発するゴンドラが山の頂のレストランにまで延びている。；頂面は平らになっており、多くの場合人が通行できるようになっていた。；石川県道43号丸山加賀線は当峠の最頂部の交差点が起点となっている。；頂上部のカールの広さの千畳から転じたものであるとする説もある。；この像は複数の素材でできていて、頂上部にプラチナが使われている。；頂部には「相輪」と呼ばれる銅または鉄でできた小塔が取り付けられた。；その杖の頂端を取り、わが高知工業高校の象徴である校章としています。；江戸時代には後円部頂が崩され、広場になっていたとみられている。；粥を受ける最も大きな器は、釈迦の頂骨であるとされ、頭鉢と呼ばれる。；頂嚢の上に分節胞子嚢がどのように配置するかは、種の重要な特徴である。；五脚檣の構成は頂上部に測距儀を載せ、中部に戦闘艦橋を配置していた。；頂部に名古屋城大天守風の屋根を乗せた帝冠様式の意匠が特徴的である。；市名は県北山の頂上にある碾き臼の台の様な形をしている岩に由来する。；IBMが製作した自動制御装置は、第三段の頂上部に設置されている。；鎖の摩擦を小さくするために頂部にある丸太に鎖を巻きつけさせた。；頂芽が損傷等によって活動しなくなった場合には側芽が活動を始める。；頂部は比較的平坦に整地されているがその周りは急斜面になっている。；ここの天井が機関室中段レベルで主機械頂部はこの中段より数10cm上。；ドームは、アーチの頂部を中心として水平に回転させた形状をしている。；地勢上では手取川扇状地の扇頂部から河口部へ至る区間と並行している。；そのうちにようやく霧も薄れ明るい日光の中、頂に着くことが出来た。；南軍の攻撃は決死の抵抗をものともせず、丘の頂部まで一気に駆け上がった。；日本産ウミニナ類の中では、大型で殻頂が欠ける点で他種と区別できる。；頂には羽ばたく翼が付いた杖に、英知を表す二匹の蛇をからみ付いている。；また、運転室の屋根は、単純な曲線ではなく、頂部が平らになっていた。；公園頂上部に設けられた2棟の覆屋の中に発掘調査時の状態で保存されている。；この一覧はアメリカ合衆国で最も高かった歴代のビルを最頂部に到達した年順に掲載する。；山の頂上部とその周辺に郭が存在し、南側斜面に石垣が残っている。；中には階段を使って丘の頂に逃れた者もおり、彼らはそこで討ち死にするまで戦った。</t>
        </is>
      </c>
      <c r="J453">
        <f>HYPERLINK("https://www.weblio.jp/content/頂", "词义详情")</f>
        <v/>
      </c>
      <c r="K453">
        <f>HYPERLINK("https://yourei.jp/頂", "查看例句")</f>
        <v/>
      </c>
    </row>
    <row r="454">
      <c r="A454" t="inlineStr">
        <is>
          <t>いただく</t>
        </is>
      </c>
      <c r="B454" t="inlineStr">
        <is>
          <t>成功</t>
        </is>
      </c>
      <c r="C454" t="inlineStr">
        <is>
          <t>読み方：いただく
［動カ五（四）］
１頭にのせる。かぶる。また、頭上にあるようにする。「王冠を—・く」「雪を—・いた山々」「星を—・いて夜道を行く」
２敬意を表して高くささげる。頭上におしいただく。「宸翰(しんかん)を—・く」
３敬って自分の上の者として迎える。あがめ仕える。「有識者を会長に—・く」
４「もらう」の謙譲語。「激励の言葉を—・く」
５「食う」「飲む」の謙譲語。
㋐与えてくれる人を敬っていう。「もう十分に—・きました」
㋑自分の飲食することをへりくだり、上品にいう。「お酒も少しは—・きます」
[補説]近年、「食う」「飲む」の謙譲語「いただく」を「どうぞ冷めないうちに頂いてください」のように尊敬語として使う人がいる。誤用であるが増えてきている。
６苦労もなく、手に入れる。「今度の試合は—・いたも同然だ」
７《「小言をいただく」の意から》しかられる。小言をくう。また、しそこなう。
「道理で茶番のたんびに—・くはずだあ」〈滑・八笑人・初〉
８（補助動詞）
㋐（動詞の連用形に接続助詞「て」を添えた形に付いて）話し手または動作の受け手にとって恩恵となる行為を他者から受ける意を表す。「これが先生にほめて—・いた作品です」「せっかく来て—・いたのですが、主人は今おりません」「一言声をかけて—・いたらよろしかったのに」
㋑（接頭語「お」または「御(ご)」に動詞の連用形またはサ変動詞の語幹を添えた形に付いて）8㋐に同じ。「これから先生にお話し—・きます」「お読み—・きたい」「御心配—・きまして」「御審議—・きたい」
㋒（動詞の未然形に使役の助動詞「せる」「させる」の連用形、接続助詞「て」を添えた形に付いて）自己がある動作をするのを、他人に許してもらう意を表す。「させてもらう」の謙譲語。「あとで読ませて—・きます」「本日は休業させて—・きます」
[可能]いただける</t>
        </is>
      </c>
      <c r="D454" t="inlineStr">
        <is>
          <t>いただくしか；いただくつもりです；いただくべき；いただくようお願い；いただくわけです</t>
        </is>
      </c>
      <c r="E454" t="inlineStr">
        <is>
          <t>受け取る；下る；貰う；提供される；授与される</t>
        </is>
      </c>
      <c r="F454" t="inlineStr">
        <is>
          <t>来ていただく；見ていただく；知っていただく；読んでいただく；押しいただく</t>
        </is>
      </c>
      <c r="H454" t="n">
        <v>29</v>
      </c>
      <c r="I454" t="inlineStr">
        <is>
          <t>こんな話は、やはり両先生にもきいていただくほうがいいと思うんです。；そういう時代であったことを心得て聞いていただかないといけませんな。；いい人があったら来ていただこうかな、と私は時に思わぬでもなかった。；ここでひとつ金田一先生にいろいろ聞いていただこうじゃありませんか。；怪獣映画としたのは子供にも防災に興味を持っていただこうとしたため。；そこでちょっと私の相談に乗っていただかなくちゃならないのですが。；でもそのことは、私の言葉だけで満足していただかなければなりません。；むろん一応はきちんとしたことはしていただくつもりですけれどもね。；あなたに面倒を見ていただかなくても、彼に力になってもらうから結構。；これはお母さんにこれから程よくもんでいただかなければなりますまい。；お隠しになるのなら、まずそこに裂け目を一つ作っていただかなければ。；やがて遠くにアルプス続きの連山の雪をいただいているのも見えだした。；これを説明するには写真を眺めていただく以外に手がないのである。；さ、お別れの御挨拶を、直ぐにも御一緒に来ていただかねばなりません。；ぼくにはあなたに許していただかなくちゃならんことがたくさんあるんです。；この中にはあんたのお店からいただいたお酒がはいっているんですよ。；いいたくはありませんが、事実を直視していただくべきときのようです。；その後は、寝てもさめても、常にこの金の帽子をいただいておりました。；スターダストではひどい荷重に耐えていただかなくてはなりませんでね。；これを読み終った僧都は、手紙を押しいただいて顔にあて、涙を流した。；いただいている髪は卯の花のように白く、火の光で銀色に光って見えた。；本当、初めてのことばかりで良い経験をさせていただいたと思います。；全くもう何もかも聞いていただかなくてはならない時が来たんでございますよ。；わたくしが読んでいただこうと思ったところは、そこではありませぬ。；この手紙はあなたにも喜びを分けていただく事ができるかと思います。；こいつがどんなものかイメージをつかんでいただくには、少し説明がいる。；父ぎみはあなたにきていただいて、いっしょに住もうといっているんだ。；それで夫人からこちらのお宅を教えていただいてまいったのでございます。；あんたらに、こんな話をするのも、何も楽しんでいただくためじゃない。</t>
        </is>
      </c>
      <c r="J454">
        <f>HYPERLINK("https://www.weblio.jp/content/いただく", "词义详情")</f>
        <v/>
      </c>
      <c r="K454">
        <f>HYPERLINK("https://yourei.jp/いただく", "查看例句")</f>
        <v/>
      </c>
    </row>
    <row r="455">
      <c r="A455" t="inlineStr">
        <is>
          <t>至って</t>
        </is>
      </c>
      <c r="B455" t="inlineStr">
        <is>
          <t>成功</t>
        </is>
      </c>
      <c r="C455" t="inlineStr">
        <is>
          <t>読み方：いたって
［副］《「いたりて」の音変化》程度のはなはだしいさま。きわめて。非常に。「—健康だ」「—陽気な性格」</t>
        </is>
      </c>
      <c r="D455" t="inlineStr">
        <is>
          <t>至って少ない；至ってのんびり；至って粗末なもの；至って不得手；至って古い</t>
        </is>
      </c>
      <c r="E455" t="inlineStr">
        <is>
          <t>よく；最も；非常；非常に；かなり</t>
        </is>
      </c>
      <c r="H455" t="n">
        <v>29</v>
      </c>
      <c r="I455" t="inlineStr">
        <is>
          <t>昨日の少女が、今日もここへ来るなんて可能性は、至って小さいはずだ。；それらのことは、至って複雑にも見えるがまた至って簡単だとも言える。；それはおそらく後に至って何らかの伝染病の形で現われることであろう。；それにその頃は工藝の領域に興味を有つ人が至って少なかったのである。；どこの家の応対も至って愛想がよいが、確定的なことは決して言わない。；PETAのインタビューでは変化を得るに至って感じた理由を述べている。；ルールは至って簡単で、まず棒が競技場内に描かれた円の中に設置される。；しかも土着する者は至って稀で、多くは程なくいずれへか去ってしまう。；文章は至って速いが字は筆の先で小さく書く、ちょっと読みにくかった。；どの顔も、至って人のいい顔をしていたが、笑いを持たぬ顔ばかりであった。；彼は常にロビンスに従うようにして側にいたから、至って静かに笞えた。；それにもかかわらず雪ちゃんは壮健で至って元気のよい子であった。；「だって他に手がないじゃないの」 と八重子は至って平然としている。；そこに思い至って護堂はあやまったのだが、リリアナは首を横に振った。；彼が今に至ってこの種の語を発するは、彼のために惜むべき至りである。；彼の表情を見るに、冗談で言ったわけではないらしく、至って真顔である。；もっとも、外観の奇抜さとは裏腹にその主要機器は至って普通であった。；それが明治三十年に至って復活したのは、どういう動機から来たのか私は知らない。；ここまで課長氏非難の推理を展開しながら、最後に至っての逡巡はなぜか。；しかし、そのスカウトが成功した例は至って少ないこと、上述の通りだ。；ところが今の学生たちは、表面的には至って真面目なように装っている。；しかし現時点では、どれも民事訴訟で、警察が関与するには至ってない。；女に慣れているわけでもなくて、至って不器用な愛し方しかできない男である。；と言っても、所持品はいつもきちんと整頓してあるので、至って簡単だ。；処が新聞の論調を見てさえ、所謂世論なるものは至って冷静なのである。；事ここへ至って膠着状態となり、打開策は容易に見出せそうになかった。；詩人や作家が、至って俗っぽい現実家であることが多いのと似たようなものだ。；雲井氏は至って小柄で、大胆などはどこに宿っているか分らぬ男でした。；また、この時点ではマイルフィックの召喚までには至ってはいなかった。</t>
        </is>
      </c>
      <c r="J455">
        <f>HYPERLINK("https://www.weblio.jp/content/至って", "词义详情")</f>
        <v/>
      </c>
      <c r="K455">
        <f>HYPERLINK("https://yourei.jp/至って", "查看例句")</f>
        <v/>
      </c>
    </row>
    <row r="456">
      <c r="A456" t="inlineStr">
        <is>
          <t>痛手</t>
        </is>
      </c>
      <c r="B456" t="inlineStr">
        <is>
          <t>成功</t>
        </is>
      </c>
      <c r="C456" t="inlineStr">
        <is>
          <t>読み方：いたで
１重い傷。重傷。ふかで。「—を負う」
２大きい被害や損害。大きな打撃。「台風で稲作に—をこうむった」「失恋の—」</t>
        </is>
      </c>
      <c r="D456" t="inlineStr">
        <is>
          <t>痛手を負わせる</t>
        </is>
      </c>
      <c r="E456" t="inlineStr">
        <is>
          <t>重傷；致命傷；大怪我；深手；深い傷</t>
        </is>
      </c>
      <c r="F456" t="inlineStr">
        <is>
          <t>深い痛手；ひどい痛手；大痛手；精神的痛手；たいした痛手</t>
        </is>
      </c>
      <c r="H456" t="n">
        <v>29</v>
      </c>
      <c r="I456" t="inlineStr">
        <is>
          <t>それにはおそらく娘夫妻はもつとかなり広い考え方をしていたでしよう。；ルーシーの死から受けた心の痛手もすこしずつ忘れられるようになった。；機会さえあれば金のために結婚したいとはっきり表明していたではないか?；が、そのくらいのことのために自殺するのは彼の自尊心には痛手だった。；業者側に、業務内容を書類にして保存する義務のないことも痛手だった。；なにかの間違いでそのうちのひとりでも死んだならば、国家の痛手なのだ。；またそれまで反トラスト法のみに適用されていたで確立されたを拡張した。；そこまでの痛手ではなかったはずなのに、なんとしても動かなかった。；お互いの息が抱き合うように、二人は唇を近づけ合っていたではないか。；これは彼が以前勤めていたで使われていたものと似た黄土色の塗装である。；百合香の夫が、彼女を追い出そうとしていると言っていたではないか。；ミトコンドリア・イヴの記憶すら持っていたと自慢していたではないか。；あの参戦の日、イタリア国民はこぞって参戦を歓迎していたではないか。；いつか彼は自由の身になって数千人の大群衆の中央にいたではないか。；彼は仮面をかぶってたではないか、彼は死んだと信じられていたではないか。；その箱の中には、もうひとり小林少年が立っていたではありませんか。；これ以外の手段がこれからも思いつくなら、それは大した痛手ではない。；逆に言えばそこまで理路整然と説明できる人間がいたらいたでかなり嫌です。；私たちはお前がダンス場の王者であった時のことを思い出していたではないか。；彼はその友人が広いロシアで痛手を受けている様子を思い浮かべた。；それが不当である証拠を出すことが不可能なだけよけいな痛手でした。；毎日のように俺に秘密の電話をかけて俺を慰めていたではないか。；人は事故を忘れていき、俺もまた妻をなくした痛手から回復するはずだった。；の外出に駈け落ち騒ぎの痛手も忘れ、うかれ気味に通りを歩い ていた。；知っているとか知っていないとかの以前に、呆気にとられていたではないか。；サンタナは出身で、自分の農場で働いていたで構成された私兵を率いた。；モリエールのごとき人の魂の中にも多くの憂苦が潜んでいたではないか。；仲里のような自意識過剰気味の男には、女に逃げられるのは痛手だろう。；大学の野球の選手で新聞にしょっちゅう名前が出ていたではないか。</t>
        </is>
      </c>
      <c r="J456">
        <f>HYPERLINK("https://www.weblio.jp/content/痛手", "词义详情")</f>
        <v/>
      </c>
      <c r="K456">
        <f>HYPERLINK("https://yourei.jp/痛手", "查看例句")</f>
        <v/>
      </c>
    </row>
    <row r="457">
      <c r="A457" t="inlineStr">
        <is>
          <t>板挟み</t>
        </is>
      </c>
      <c r="B457" t="inlineStr">
        <is>
          <t>成功</t>
        </is>
      </c>
      <c r="C457" t="inlineStr">
        <is>
          <t>読み方：いたばさみ
《板と板との間に挟まれて身動きできない意から》対立する二者の間に立ってどちらに付くこともできず、苦しむこと。「義理と人情との—」</t>
        </is>
      </c>
      <c r="D457" t="inlineStr">
        <is>
          <t>板挟み状態</t>
        </is>
      </c>
      <c r="E457" t="inlineStr">
        <is>
          <t>窮地；苦境；ジレンマ；板ばさみ；ディレンマ</t>
        </is>
      </c>
      <c r="H457" t="n">
        <v>29</v>
      </c>
      <c r="I457" t="inlineStr">
        <is>
          <t>自分は普通の社会と坑夫の社会の間に立って、立派に板挟みとなった。；家庭と恋人のあいだで板挟みになっている彼に安らぎを与えるためにあります。；しなければならないことと、したいこととの板挟みになっていた。；ここに於て幕府はその中間に在って、ほとんど板挟みになったその時である。；このような状況の中で、フランツ・ヨーゼフは妻と母の間で板挟みになった。；誰も、このお嬢さんを板挟みで困らせるようなことはしたくないのだ。；両方の間に板挟みとなった彼は、しばらく口を開き得なかった。；この問題について東京電燈は群馬県と福島県の間で板挟みとなっていた。；その板挟みにあいながら、一日十時間、しっかり勉強したつもりだ。；学校の仲間と姉との間で、板挟みになってしまったわけだ。；どの道、学園都市と敵対勢力の板挟みにされた彼に、もはや明日などない。；板挟み状態となったファレルは、自殺まで考えるほどに追い詰められていた。；だが、そんな二人の板挟みになっている場合ではなかった。；その確信とこの場の虚偽に板挟みにされて悲鳴をあげているのは、むしろ歩のほうなのかもしれない。；そんなことを頼んだら、ギュンターとの板挟みでますます髪が抜けてしまうだろう。；それだけに、自分がこんな形でふたりの男の板挟みになるのが希美は苦痛だった。；で、そんな超高級アメと電気ムチとの板挟み状態から経過すること十五分。；ハッサン・サブリは両者からの板挟みの心労から間もなく死亡した。；僕は石杖さんと妹さんの間で板挟みになりながらも、最後までその頼み事を果たせなかった。；父親とT君との間に板挟みになって、子供心にも、その立場が辛くなるだろうと同情された。；下院は第36期、第37期および第38期でも同じような板挟みに陥った。；だがはじめは板挟みになっていたその担当も、あだちの側に付くことを徐々に決意していく。；彼はそのなかで友情と運動、恋愛の板挟みに悩み苦しみつつも自分の進むべき道を思い定めていくのであった。；度会さんの今の状態では、他者への障害物を務めることは難儀と困難の板挟みだろうし。；なにかの板挟みになるというのは、生まれてはじめてだった。；しかしその愛情故に藩主の臣下としては常に相反する感情に板挟みになった。；だが、彼女はトニオとの愛情との間に板挟みとなり、ついに彼の演奏会に来てしまう。；板挟みになった富野はこれらをまとめ切れず、騒動の責任を取らされて降板させられた。；急がないと、内側からも滾っている熱との板挟みで皮や肉がとろけてしまいそうだった。</t>
        </is>
      </c>
      <c r="J457">
        <f>HYPERLINK("https://www.weblio.jp/content/板挟み", "词义详情")</f>
        <v/>
      </c>
      <c r="K457">
        <f>HYPERLINK("https://yourei.jp/板挟み", "查看例句")</f>
        <v/>
      </c>
    </row>
    <row r="458">
      <c r="A458" t="inlineStr">
        <is>
          <t>痛ましい</t>
        </is>
      </c>
      <c r="B458" t="inlineStr">
        <is>
          <t>成功</t>
        </is>
      </c>
      <c r="C458" t="inlineStr">
        <is>
          <t>読み方：いたましい
［形］［文］いたま・し［シク］《動詞「いた（痛）む」の形容詞化》
１目をそむけたくなるほど悲惨である。痛々しい。「—・い交通事故」「—・い姿」
２迷惑である。
「声をかしくて拍子とり、—・しうするものから、下戸ならぬこそ男(をのこ)はよけれ」〈徒然・一〉
[派生]いたましげ［形動］いたましさ［名］</t>
        </is>
      </c>
      <c r="D458" t="inlineStr">
        <is>
          <t>痛ましいもの(6%)；痛ましい姿(3%)；痛ましい事件(3%)；痛ましい事故(2%)；痛ましい思い</t>
        </is>
      </c>
      <c r="E458" t="inlineStr">
        <is>
          <t>ひどい；気の毒；哀れ；悲惨；凄まじい</t>
        </is>
      </c>
      <c r="F458" t="inlineStr">
        <is>
          <t>あまりにも痛ましい；痛ましい記憶；痛ましい事実；痛ましい状態；痛ましい悲劇</t>
        </is>
      </c>
      <c r="H458" t="n">
        <v>29</v>
      </c>
      <c r="I458" t="inlineStr">
        <is>
          <t>普通の湯治客には何でもないほどの酒と女とが私を痛ましいものにする。；彼女の遺体を実際に見て、私の胸に改めて痛ましさがわきあがってきた。；しかしグランテールはまだそういう痛ましい状態には達していなかった。；そして彼がのがれてきたも一つの住居と痛ましくもごく似寄っていた。；もしそんなことになれば、今のつきあいは痛ましい結果に終ってしまう。；痛ましい事件というものは、美しい者をますます美しくするのであろう。；痛ましかったけれど、私は彼女のそばをついて歩くことしかできなかった。；それほどの大猪だったから、大勢の者を痛ましい火葬へと送ったものだ。；この痛ましい知らせが彼女と同じくらいわたしを悲しませたとはいわない。；老人には老人の痛ましさがあり、幼な子には幼な子の痛ましさがあった。；被害者家族を思えば痛ましいことだが、それはほとんど不可能に近い。；その離散した感じが作者の神経に触れて痛ましい気持を起させたのである。；それがいまでは、誰よりも短命なうえに、また痛ましい目にあおうとは。；多くの利己的な者らと悲惨な者らとに、痛ましくも当面してるのである。；まったく他に超えて痛ましい身の上に、私の父は生まれついたのでした。；「そんなことを口にしてはいけませんよ」 浅見は痛ましい目で窘めた。；教会の塔は痛ましいまでに破壊された姿をさらして闇の中に聳え立っていた。；村上は痛ましそうに閉じられたドアを見つめ、首をたれて自分の席に戻った。；そうでなければ、そういう痛ましい話題に触れられるはずがありませんもの。；そしてその希望はほとんどないという痛ましい不安が、私を襲いました。；ことに痛ましいのは、彼女は生まれつき醜いものでなかったことである。；スーパーの階段を登り降りしながら同じ遊びをしているのが痛ましい。；彼女がこの証言をしたとき、彼女の額には痛ましい懸念と緊張があらわれた。；息子の死を見守る、マリアの運命の長くて痛ましい嘆きを表現している。；薄ら明かりの中に、彼は自分の顔に接してる痛ましい顔を見てとった。；それは今までの、弱々しく、痛ましげな印象とは打って変ったものだった。；そうして今日美が痛ましくも沈んで来たのは、自然への無益な反抗による。；おまけにその子は唖の上に聾と来て居るから見るも痛ましい位である。；しかしそれはなんだか、はっきりしない、痛ましい感じのする微笑だった。</t>
        </is>
      </c>
      <c r="J458">
        <f>HYPERLINK("https://www.weblio.jp/content/痛ましい", "词义详情")</f>
        <v/>
      </c>
      <c r="K458">
        <f>HYPERLINK("https://yourei.jp/痛ましい", "查看例句")</f>
        <v/>
      </c>
    </row>
    <row r="459">
      <c r="A459" t="inlineStr">
        <is>
          <t>傷み</t>
        </is>
      </c>
      <c r="B459" t="inlineStr">
        <is>
          <t>成功</t>
        </is>
      </c>
      <c r="C459" t="inlineStr">
        <is>
          <t>読み方：いたみ
１病気や傷などによる肉体的な苦しみ。「腰に—が走る」「傷の—」
２精神的な苦しみ。悩み。悲しみ。「胸の—をいやす」
３（傷み）器物などの損傷。破損。「家の—がひどい」
４（傷み）食物、特に果実などの腐敗。「—が早い果物」</t>
        </is>
      </c>
      <c r="D459" t="inlineStr">
        <is>
          <t>傷みやすい(12%)；傷みやすく(4%)；傷みが激しく(3%)；傷みが早い(3%)；傷みがひどく</t>
        </is>
      </c>
      <c r="E459" t="inlineStr">
        <is>
          <t>困難；痛み；苦痛；苦しみ；悩み</t>
        </is>
      </c>
      <c r="H459" t="n">
        <v>29</v>
      </c>
      <c r="I459" t="inlineStr">
        <is>
          <t>やはり傷みきった情報を完全に修復するのは望むべくもないのだろうか。；だがさすがに刀の傷み具合が戦いの激しさと持ち手の疲労を感じさせた。；きっと僕は君の心の傷みの奥に入り込んでしまうだろうと思ったからだ。；傷みやすいあの人の心に、血がにじむのを見るやうな気がしさうなので。；この映画のフィルムは保存状態の悪さのため、非常に傷み色あせていた。；新鮮なものは刺身でも食べられるが、傷みが早いので注意が必要である。；彼女は、これは自分の心がいたらないために仏が傷みを与えるのだと思った。；傷みやすい少年の神経は、私の予想以上に、影響されているようにも思われた。；陽射しの下で死体が傷み始め、 どこからともなく黒い烏が集まってきた。；明るくすると傷みが目立つのだろうか、などと思いたくなるほどだ。；傷みやすい食品を鉄道で輸送するために天然氷は欠かせないものになった。；それは、心の奥底から出てくるような、傷みをもった深い声である。；市内中心部の道路はほぼ舗装されているが、舗装の傷みの激しい場所もある。；これほど海に近いのに、よく補修されているのか、目立った傷みなどない。；海からの潮風に曝され続けてきたのだろう建物は、傷みが激しかった。；私どもの家でも、家族して、のべつ同じような胸の傷みは言いあっている。；まず最初に選ばれたのは、わりあい傷みの目だった中西家であった。；ミイラ化した首は次第に傷みがひどくなったので、木製の首をつくったという。；以前から何度も修理しているのだが、どうしても傷みが早かった。；答えも傷みも笑顔も喜びも何もないところだった。；本の傷みや汚れを避けるための、あるいは読んでいる本が何かを周囲に分からせないようにするためにかける。；そのほとんどが手つかずの状態で、食料のなかには傷みかけているのもあった。；シーズンになると大勢の観光客が訪ねてくるから傷みも早い。；注射針の傷みよりも「ところでさあ、」の続きがものすごく気になった。；ラクシが連れて行かれたと知った時、慌てはしなかったが、激しい胸の傷みを覚えた。；子を失うまでは彼もこんな傷みを知らなかったのである。；乳製品を使用しているため、傷みやすい点に注意が必要である。；それでも石垣が傷みやすく、度々補修工事を加える必要があったという。；紙の具合、装丁の傷みなどから、一〇〇年以上は前の古書に見える。</t>
        </is>
      </c>
      <c r="J459">
        <f>HYPERLINK("https://www.weblio.jp/content/傷み", "词义详情")</f>
        <v/>
      </c>
      <c r="K459">
        <f>HYPERLINK("https://yourei.jp/傷み", "查看例句")</f>
        <v/>
      </c>
    </row>
    <row r="460">
      <c r="A460" t="inlineStr">
        <is>
          <t>痛み</t>
        </is>
      </c>
      <c r="B460" t="inlineStr">
        <is>
          <t>成功</t>
        </is>
      </c>
      <c r="C460" t="inlineStr">
        <is>
          <t>読み方：いたみ
１病気や傷などによる肉体的な苦しみ。「腰に—が走る」「傷の—」
２精神的な苦しみ。悩み。悲しみ。「胸の—をいやす」
３（傷み）器物などの損傷。破損。「家の—がひどい」
４（傷み）食物、特に果実などの腐敗。「—が早い果物」</t>
        </is>
      </c>
      <c r="D460" t="inlineStr">
        <is>
          <t>痛み出し；痛みはじめ；痛み出す；痛み始め；痛みだす</t>
        </is>
      </c>
      <c r="E460" t="inlineStr">
        <is>
          <t>困難；苦痛；悲しみ；苦しみ；損害</t>
        </is>
      </c>
      <c r="F460" t="inlineStr">
        <is>
          <t>激しい痛み；鈍い痛み；強い痛み；ひどい痛み；痛みさえ</t>
        </is>
      </c>
      <c r="G460" t="inlineStr">
        <is>
          <t>痛み分け；痛み入る；痛み入り；痛みいり；痛みわけ</t>
        </is>
      </c>
      <c r="H460" t="n">
        <v>29</v>
      </c>
      <c r="I460" t="inlineStr">
        <is>
          <t>スーパースターが攻撃を受けるたびに表情と体の動きで痛みを表現する。；明けに今まで背中の痛みを抱えながらプレイしていたことを公表した。；急な痛みが起き、耐えられないほどになってから、全身に平安が訪れた。；シーズン終了後には慢性的な痛みを抱えてきた右股関節の手術を受けた。；肩の痛みもなかったため再度プロで投げたいとの気持ちが沸いてきたという。；症状がない場合には行われないが、痛みがある場合は対症療法がとられる。；アリックスはほとんど一晩中寝られず、朝になると痛みが強くなった。；一般に痛みや痒みのような自覚症状はないが一部ではこれがみられる。；またこれらの痛みは、異常に対する一種の防御反応とも言えるものである。；その痛みは大量のモルヒネを投与しても鎮痛できないほどであるという。；苦闘する男達の痛みを描くことを基調とした作品を立て続けに発表した。；脳から末梢へ下行性の抑制が働くので、運動により痛み自体が改善する。；予測していた痛みには耐えられるが、思わぬ痛みには身がすくむこともある。；ただし爪が強く湾曲していても、痛みや炎症がなければ治療の必要はない。；すっかりその気になって痛みも忘れた新郎と、いそいそとその場を去る。；当初、首の痛みに対して検査、治療を試みたが痛みの原因が不明であった。；「痛み」を我慢せずに治療・緩和する体制を拡大すると提唱している。；圧力を加えると痛みを伴うことがあるため、歩行が困難になる場合もある。；しかし、ヒツジなどでは腹部の痛みと関連している場合があるといわれる。；痛みを感じないため、戦闘に使用する際は改良が必要とのこと。；誰かをぶん殴りたいと思った時、直接手を下さずに痛みを与えるガス。；ある修道女が庭仕事中に蜂に刺され、痛みに苦しんでいると騒ぎになる。；遺書らしきものが残されており、痛みに耐えかねての自殺と見られる。；翌日の再試合では、腰の痛みを訴えたことから、麻酔注射を打って登板。；肌の薄いところではヒリヒリとした痛みも見られ、腫れる場合がある。；様々なタイプの痛みを含んだ幅の広い症状概念である。；この裏には以前から苦しんでいた背中の痛みの問題があった。；しかし、過剰な刺激を与えた場合には、痛みや苦痛を感じさせる場合もある。；一方たけしは、謎の胸の痛みにこれまでにない苦しさを感じていた。</t>
        </is>
      </c>
      <c r="J460">
        <f>HYPERLINK("https://www.weblio.jp/content/痛み", "词义详情")</f>
        <v/>
      </c>
      <c r="K460">
        <f>HYPERLINK("https://yourei.jp/痛み", "查看例句")</f>
        <v/>
      </c>
    </row>
    <row r="461">
      <c r="A461" t="inlineStr">
        <is>
          <t>悼む</t>
        </is>
      </c>
      <c r="B461" t="inlineStr">
        <is>
          <t>成功</t>
        </is>
      </c>
      <c r="C461" t="inlineStr">
        <is>
          <t>読み方：いたむ
［動マ五（四）］《「痛む」と同語源》人の死を悲しみ嘆く。「恩師の死を—・む」</t>
        </is>
      </c>
      <c r="D461" t="inlineStr">
        <is>
          <t>悼むべき；悼む声明を発表；悼む間もなく</t>
        </is>
      </c>
      <c r="E461" t="inlineStr">
        <is>
          <t>悲嘆；嘆く；弔う；悲歎；悔やむ</t>
        </is>
      </c>
      <c r="H461" t="n">
        <v>29</v>
      </c>
      <c r="I461" t="inlineStr">
        <is>
          <t>私はあの江戸を記念すべき日本固有の建築の死を悼まずにはおられない。；そんな彼女が古屋氏の死を悼んで訪れる場所といったら決まっています。；初七日が過ぎても、死を悼むファンの輪が現場から消える事はなかった。；また関東では、時氏の死を悼んで出家する者が数十人にのぼったという。；ただ、かれが悼んでいるのは、最近に死んでいったおとなたちではない。；もちろんその現場に立ち、感傷的に彼の死を悼むために行ったのではない。；彼らは黒い服を着て、将来核戦争で失われる子供たちを悼んでいると言う。；この事件で亡くなった兵士を悼む追悼碑が公園内に設置されている。；彼の死はまだ限られた数の人にしか伝えられていませんが、深く悼まれています。；村長もそうだったがこの人なども、守衛の死を悼むふうはみじんもない。；死者を悼むというよりは、もっと強い情念みたいなものを発していた。；この思いは、彼の死を悼むの念を、私情的のみならず公情的にも深める。；かれら夫婦は自分の娘の死を悲しむよりも、若旦那の死を深く悼んでいた。；例えば君は、彼の前に死んだ被験者を彼と同じように悼んで涙を流せるの?；のちに人々は、天が領主の死を悼んで泣いたのだと、そう噂しあったのだった。；ここで何か死者を悼む言葉を口にすることは、いかにも嘘っぽい感じがした。；私の中にひそむ子供の私は、永久にその死を悼むことをやめないのだ。；だがわたしの心は今もなお、あの災厄で失われた人々を悼んで嘆いている。；鹿島槍の花たちは死者を悼んであのように長く咲いているのであったろうか。；如白の死を悼んでいる余裕は、彼らには与えられていなかったのだ。；アッシュビーの死を悼んだ件が、彼の不遇の全原因ではないであろう。；もちろんリーダーの死はまわりの人々によって深く悼まれています。；独りで戦い、放れるときは孤独のうちにだれにも悼まれることなく死ぬ。；その後私が帰京して間もなく氏の訃報に接したのは殊に悼む所である。；師コルトーがハスキルの死を悼んだメッセージの録音が残されている。；もちろん、墓なんて用意されないし、死を悼んでくれる者たちは誰一人いない。；オンゴラが以前の妻と家族を今も悼んでいると知っていたので。；そんな所では、だれひとりあなたの死を悼んで泣いてくれる者はいませんよ!；死後には社台グループが以下の追悼コメントを発表し、その死を悼んだ。</t>
        </is>
      </c>
      <c r="J461">
        <f>HYPERLINK("https://www.weblio.jp/content/悼む", "词义详情")</f>
        <v/>
      </c>
      <c r="K461">
        <f>HYPERLINK("https://yourei.jp/悼む", "查看例句")</f>
        <v/>
      </c>
    </row>
    <row r="462">
      <c r="A462" t="inlineStr">
        <is>
          <t>傷む</t>
        </is>
      </c>
      <c r="B462" t="inlineStr">
        <is>
          <t>成功</t>
        </is>
      </c>
      <c r="C462" t="inlineStr">
        <is>
          <t>読み方：いたむ
［動マ五（四）］
１病気や傷などのために、からだに痛みを覚える。痛くなる。「下腹が—・む」「のどがひりひり—・む」
２心に痛いほどの悲しみや苦しみを感じる。せつなく悩む。「遺族の気持ちを思うと胸が—・む」
３（傷む）器物・建物などが、傷ついたり損なわれたりする。「靴が—・む」「本が—・む」「屋根が—・んで雨漏りする」
４（傷む）食物が傷ついたり腐ったりして悪くなる。「生物(なまもの)が—・む」「—・んだ牛乳」
５金銭に関して痛手をこうむる。損をする。「懐が—・む」
６迷惑に思う。苦痛に感じる。
「いたう—・む人の、強ひられて少し飲みたる」〈徒然・一七五〉
［動マ下二］「いた（痛）める」の文語形。
[用法]いたむ・うずく——「歯が痛む（うずく）」「傷口がいたむ（うずく）」の場合は相通じて用いるが、「下痢をして腹が痛む」のような場合にはあまり「うずく」は用いない。「古傷がうずいてならない」のように、ずきずきと脈打つような痛みを感じる場合には「うずく」を用いる。◇「心がいたむ（うずく）」のように、比喩的な使い方でも両語とも用いうるが、「後悔の念がうずく」のように、過ぎた事を悔んだり後ろめたく思ったりする心の苦しみには、「うずく」を用いることが多い。</t>
        </is>
      </c>
      <c r="D462" t="inlineStr">
        <is>
          <t>傷む心</t>
        </is>
      </c>
      <c r="E462" t="inlineStr">
        <is>
          <t>腐敗；腐る；腐れる；饐える</t>
        </is>
      </c>
      <c r="H462" t="n">
        <v>29</v>
      </c>
      <c r="I462" t="inlineStr">
        <is>
          <t>オリジナルの衣服は非常に傷んでいて、一般に公開することはできない。；酒で心が傷むというような事は、そうした身辺の人を見た時でしかない。；しかし自分の身から誘惑の出て行くものほど傷ましいものはありますまい。；傷んでいたのは事実だが、それは今回のことが起こる前からあった傷なのだ。；だが、肌が切りつけられたように傷むのは、寒さのせいばかりではない。；遺体が傷んでいて指紋の採取ができなかっただけに、慎重だったのです。；見知らぬ新婚の夫婦なぞを町で見かけたばかりでも彼の若い心は傷んだ。；どうやら友人の死を傷むというよりは、村人を恨んでいるようだったな。；彼のシャツが傷んでるのを見ると、一言もいわずにもち帰って直してくれた。；鈴野はなにかしら秘密を抱いたようで、独りで胸が傷んでならなかった。；少し袋が傷んでいるところからして、買ってきた物ではないらしい。；人間でいえばストレスみたいなもので胃の壁が傷んでいたのでしょう。；地中に埋められていたせいもあって、死体はまだあまり傷んでいない。；併し自分の身から誘惑の出て行くもの程傷ましいものはありますまい。；大発は錆びてはいるが、三十年経ったにしてはそれほど傷んではいない。；床に落ちたナイフの一つはすでに冷めており、どこも傷んでないようだった。；傷んだ物小屋の羽目板には、新しく繃帯ですぐ手当をしてやりたかった。；だが傷ましいことに、お前のその重い傷ではもうどうもできぬか。；しかしこの〓を話しつづけたトルストイの心ほど傷ましいものはない。；せいぜい絵が傷んでなければいいがと心配した程度のことである。；黄色の液体で、土の匂いとも、傷んだワインのような匂いとも表現される。；しかしこの譃を話しつづけたトルストイの心ほど傷ましいものはない。；手の赤いことや爪が傷んでいるのを気づかせるからジニーは嫌い。；娘の手も足も傷だらけで、身につけた服もあちこちが傷んでいた。；どこかで、よよと、泣いている女の声を、上から傷ましがっているように。；市内では、通りが一部ひどく傷んでいるところもあるが、市の中心部は別である。；彼が物語を書いた時に比べて、ひどくノートが傷んでいることにも触れなかった。；腸が傷んでいるとのことであったが、食事も普通食ですましていた。；あの家が根継ぎ〔傷んだ柱の根元の修理〕をした時に出ましたもんで。</t>
        </is>
      </c>
      <c r="J462">
        <f>HYPERLINK("https://www.weblio.jp/content/傷む", "词义详情")</f>
        <v/>
      </c>
      <c r="K462">
        <f>HYPERLINK("https://yourei.jp/傷む", "查看例句")</f>
        <v/>
      </c>
    </row>
    <row r="463">
      <c r="A463" t="inlineStr">
        <is>
          <t>痛む</t>
        </is>
      </c>
      <c r="B463" t="inlineStr">
        <is>
          <t>成功</t>
        </is>
      </c>
      <c r="C463" t="inlineStr">
        <is>
          <t>読み方：いたむ
［動マ五（四）］
１病気や傷などのために、からだに痛みを覚える。痛くなる。「下腹が—・む」「のどがひりひり—・む」
２心に痛いほどの悲しみや苦しみを感じる。せつなく悩む。「遺族の気持ちを思うと胸が—・む」
３（傷む）器物・建物などが、傷ついたり損なわれたりする。「靴が—・む」「本が—・む」「屋根が—・んで雨漏りする」
４（傷む）食物が傷ついたり腐ったりして悪くなる。「生物(なまもの)が—・む」「—・んだ牛乳」
５金銭に関して痛手をこうむる。損をする。「懐が—・む」
６迷惑に思う。苦痛に感じる。
「いたう—・む人の、強ひられて少し飲みたる」〈徒然・一七五〉
［動マ下二］「いた（痛）める」の文語形。
[用法]いたむ・うずく——「歯が痛む（うずく）」「傷口がいたむ（うずく）」の場合は相通じて用いるが、「下痢をして腹が痛む」のような場合にはあまり「うずく」は用いない。「古傷がうずいてならない」のように、ずきずきと脈打つような痛みを感じる場合には「うずく」を用いる。◇「心がいたむ（うずく）」のように、比喩的な使い方でも両語とも用いうるが、「後悔の念がうずく」のように、過ぎた事を悔んだり後ろめたく思ったりする心の苦しみには、「うずく」を用いることが多い。</t>
        </is>
      </c>
      <c r="D463" t="inlineStr">
        <is>
          <t>痛む足；痛むだろ；痛む体；痛むらしい；痛むらしく</t>
        </is>
      </c>
      <c r="E463" t="inlineStr">
        <is>
          <t>苦しむ；損なう；ひりひり；痛める；ぴりぴり</t>
        </is>
      </c>
      <c r="F463" t="inlineStr">
        <is>
          <t>まだ痛む；ずきずき痛む；ひりひり痛む；ずきずきと痛む；少し痛む</t>
        </is>
      </c>
      <c r="H463" t="n">
        <v>29</v>
      </c>
      <c r="I463" t="inlineStr">
        <is>
          <t>靴のどこが痛むのかいちばん良く承知しているのはこのわたしなのです。；正直、口を開くたびに肩は痛むが、今聞いている話の方がずっと大事だ。；その微笑を見た者は、今なお思い出しても心の痛むのを感ずるのである。；老人が毎日空っぽの船で帰ってくるのを見るたびに、少年の心は痛んだ。；実を言えば子供の頃、初めて精霊力発電の事を知った時には胸が痛んだ。；野獣のような顔をして雨をうらんでいる農夫を見たとき彼の胸は痛んだ。；もうこれまでに、ぼくはあの方の心をあれほど痛ませて来ているのだ!；カテリーナのしわがれた痛んだ声が早くも橋のあたりから聞こえていた。；頭が痛むけれど、今夜はもうこれ以上勉強をしなくてもよいのだった。；それでふと、この布こそが左腕を痛ませているのではないか、と考えた。；悲鳴がハリーの耳を努き、額の傷が焼きごてを当てられたように痛んだ。；そこが切られていて、起きあがろうとすると気を失いそうなほど痛んだ。；死者が増えていくのを気にしているのだろうと思うと胸が痛んだ。；額の傷は骨をやられているのではないかと思うほど激しく痛んだ。；あれで心が痛まない人間は人の心を持っていない疑いが出てくる。；下腹のあたりが灼けつくように痛んだが、いまはそう気にならなかった。；動くと体の節々が痛んで、あの戦いが夢ではなかったと思い知らされた。；むしろ、私と母の会話を部屋で聞かされているはじめのことで心が痛んだ。；まだ体が痛んだが、足は動かせたので、折れていないことがわかった。；さすがに動くと体の節々が痛んだが、そんな事を気にしていられない。；患者 痛むかはひどいですよ、先生、このしかめつ面がわかりませんか!；両肩がひどく痛むに違いないにもかかわらず、体をしゃんと立てていた。；かれは、ただ一人家の中で病臥していた妻のことが哀れに思え胸が痛んだ。；ズブレットをあとに残していくことには、つかのま胸が痛んだだけだった。；起きないうちはわからなかったが、起きて歩いて見ると股根が非常に痛む。；神殿に残されたメトープは北側のものを除きどれも酷く痛んでしまった。；私はあまり心が痛むので、 ゆっくりといとまを告げることもできない。；痛んだバターが用いられることもあり、その場合は異なった風味になる。；その辺りから、荘介の母への気持ちの昂ぶりはタミエの胸をも痛ませた。</t>
        </is>
      </c>
      <c r="J463">
        <f>HYPERLINK("https://www.weblio.jp/content/痛む", "词义详情")</f>
        <v/>
      </c>
      <c r="K463">
        <f>HYPERLINK("https://yourei.jp/痛む", "查看例句")</f>
        <v/>
      </c>
    </row>
    <row r="464">
      <c r="A464" t="inlineStr">
        <is>
          <t>炒める</t>
        </is>
      </c>
      <c r="B464" t="inlineStr">
        <is>
          <t>成功</t>
        </is>
      </c>
      <c r="C464" t="inlineStr">
        <is>
          <t>読み方：いためる
［動マ下一］［文］いた・む［マ下二］野菜や肉などを、少量の油でいりつけて料理する。「野菜をバターで—・める」</t>
        </is>
      </c>
      <c r="F464" t="inlineStr">
        <is>
          <t>加えて炒める；よく炒める</t>
        </is>
      </c>
      <c r="H464" t="n">
        <v>29</v>
      </c>
      <c r="I464" t="inlineStr">
        <is>
          <t>二人前の炒め物が皿の上から消えたのは、わずか数秒のうちのことだった。；生のニンニクを煮たり炒めたりした時の臭いの元となる物質でもある。；鍋や炒め物に使われる他、サンナクチのように生で食べるのも人気が高い。；日本では「鶏肉のカシューナッツ炒め」のように表記されることが多い。；味や香りが薄いため、サラダや天ぷら、炒め物などの料理に適している。；黙っていればこのままつつがなく炒め直し作業は完了し、できたよ〜!；元来は食用油を若干量入れて食材を炒める、焼くなどの用途に使われる。；調理方法はさまざまではあるが、炒める場合とスープに入れる場合が多い。；しかし、台所で水気の多そうな具を炒め始めた母親は、気づかなかったようだ。；注文が来る前に作り置きしてあったのを炒め直しただけと言わんばかりに迅速だった。；そのまま食べたり、サンドイッチや炒め物などの材料にしたりする。；来る前に居酒屋ふうの店を見つけていて、そこの炒め物が美味しそうだったのだ。；中華料理では、肉や魚介と合わせて一緒に炒めるのが一般的である。；他に炒め物やこんにゃくステーキなども存在するなど使用法は幅広い。；シードはまず、油で炒めて「寝た子」を起こしてやらなければならないこと。；奥からは何かを炒めるような音が聞こえてくる。；ベーコン四枚は細く切り、油が落ちるくらいに、焦がさぬように炒める。；先に肉や野菜をカレー粉と炒めてからつゆを加えて煮るとするものもある。；男の一人暮らしでは、どうしても料理は炒め物中心になりがちだ。；パッタイのバリエーションの中には炒めた麺を卵で包んだものも存在する。；台所から炒め物をする音と、油の焦げる香ばしい匂いが流れてくる。；台所仕事をしている最中だったらしく、肉と野菜を炒める匂いが玄関に漂っていた。；一般的なのは、水か湯で少し戻してから加熱し、煮物や炒め物にすることである。；その日の昼間は、一握りの大豆を醤油で炒めたものを食べただけだ。；キャベツ炒めの弁当から顔をあげ、あたしは眼下に広がる町を見下ろす。；炒め物やアウトドア用途で250グラムの小ボトルも用意されていた。；肉を炒める香ばしい匂いはいよいよわたしたちの胃の腑を刺激した。；日本でも葉唐辛子を炒めて食べたり、佃煮にしたりすることもある。；炒め過ぎたベーコンは、やはりバスの排気ガスのような匂いがした。</t>
        </is>
      </c>
      <c r="J464">
        <f>HYPERLINK("https://www.weblio.jp/content/炒める", "词义详情")</f>
        <v/>
      </c>
      <c r="K464">
        <f>HYPERLINK("https://yourei.jp/炒める", "查看例句")</f>
        <v/>
      </c>
    </row>
    <row r="465">
      <c r="A465" t="inlineStr">
        <is>
          <t>痛める</t>
        </is>
      </c>
      <c r="B465" t="inlineStr">
        <is>
          <t>成功</t>
        </is>
      </c>
      <c r="C465" t="inlineStr">
        <is>
          <t>読み方：やめる
［動マ下一］痛む。病気で苦痛を感じる。古い言い方。「頭が—・める」</t>
        </is>
      </c>
      <c r="D465" t="inlineStr">
        <is>
          <t>痛めることなく；痛める可能性；痛めるだろ；痛めることだろ</t>
        </is>
      </c>
      <c r="E465" t="inlineStr">
        <is>
          <t>損傷；苦しむ；痛む；傷つける；損なう</t>
        </is>
      </c>
      <c r="H465" t="n">
        <v>29</v>
      </c>
      <c r="I465" t="inlineStr">
        <is>
          <t>皇帝もまた、息子の不甲斐なさに頭を痛める一人の父親だったのである。；娘たちの一件で心を痛め病を悪化させたカヴァーレ公爵夫人が死去する。；しかし左手を痛めてしまい、一時期演奏活動から引退を余儀なくされた。；このプレーで股関節を痛めた彼は故障者リスト入りしシーズンを終えた。；拳面を痛める可能性のある固い部位を攻撃する場合などにも有効である。；一方で肩を痛めた影響もあり、スローイングには若干不安定な面もある。；こんなふうに樹の下でせつない想いに胸痛めることなんかないんだ、と。；順風満帆と言えるシーズンであったが、この年の夏頃から肩を痛めていた。；滑りを良くするために椿油をたらし紙を痛めないようにすることもある。；キエルも父の死の知らせでおかしくなってしまった母親に心を痛めていた。；晩年は背中を痛めたことが一気に引退を早める要因の一つとなってしまった。；しかし当歳時に痛めていた腰の状態に不安を抱え、デビューは遅れた。；さらにオープン戦中に右肩を痛めたこともあり開幕一軍はならなかった。；むしろ幅の広すぎる靴で足を変形させたり痛めたりするケースが広く見られる。；この人間形成期に、フィンジは3人の兄弟を喪ったことにも心を痛めた。；この年は12勝を挙げるが、その後は肩と肘を痛め、活躍できなかった。；そしてよくお前の心を痛めるようなことを云ったりしたりする。；入学後に肘を痛めてしまったことも重なって、野球生活の転機を迎える。；ナツメとの仲は良く、裏切り者扱いされるナツメの事で心を痛めている。；ふたりは子供ながら世を捨てたような彼の様子に心を痛め、急いでその場を離れた。；は大学4年時に痛めた右肩のリハビリで一・二軍とも公式戦への登板なし。；このことでは、部下の兵士どもをずいぶんと痛めることになりますのでしょうな!；バンドのツアー中に喉を痛めてからはギターで楽曲の制作に専念。；あんな品は、腹を痛めるばかりか、頭のほうまでおかしくするといってな。；片脚を痛めているために、歩き方がこのように見えるともいう。；その時腰を痛め、後遺症でその後も突然の脱力感に襲われることがあった。；この下り坂もなかなか急な上に思ったより長く、無茶をすると膝を痛める。；しかし、春季キャンプで右膝を痛め、手術を受けるため5月に帰国した。；だが、直後に右肩を痛めて故障者リスト入りし、以降の登板は無かった。</t>
        </is>
      </c>
      <c r="J465">
        <f>HYPERLINK("https://www.weblio.jp/content/痛める", "词义详情")</f>
        <v/>
      </c>
      <c r="K465">
        <f>HYPERLINK("https://yourei.jp/痛める", "查看例句")</f>
        <v/>
      </c>
    </row>
    <row r="466">
      <c r="A466" t="inlineStr">
        <is>
          <t>至る</t>
        </is>
      </c>
      <c r="B466" t="inlineStr">
        <is>
          <t>成功</t>
        </is>
      </c>
      <c r="C466" t="inlineStr">
        <is>
          <t>読み方：いたる
［動ラ五（四）］
１ある目的地・場所に行き着く。到達する。「峠を経て山頂に—・る」
２ある時間・時点になる。「今に—・るも連絡がない」「交渉が深夜に—・る」
３ある段階・状態になる。結果が…となる。「大事に—・る」「倒産するに—・る」「事ここに—・ってはやむをえない」
４
㋐広い範囲に及ぶ。行きわたる。「関東全域に—・る」「恩沢—・らざる所なし」
㋑細かいところまで行き届く。「注意が—・らない」「—・らない看護」
５自分の方へやって来る。到来する。「好機—・る」「悲喜こもごも—・る」
６
㋐（「…から…にいたるまで」の形で）ある範囲の両端の事柄を例示して、その範囲のものすべて、の意を表す。「頭の先から足の先に—・るまで」
㋑（「…にいたっては」の形で）中でもそれが極端であることを表す。「腕力に訴えるに—・っては許しがたい」
７極限に達する。きわまる。
「徳の—・れりけるにや」〈徒然・六〇〉
[可能]いたれる</t>
        </is>
      </c>
      <c r="D466" t="inlineStr">
        <is>
          <t>至る可能性；至る支線；至るべし；至る延長約</t>
        </is>
      </c>
      <c r="E466" t="inlineStr">
        <is>
          <t>くる；行く；来る；到着；到達</t>
        </is>
      </c>
      <c r="F466" t="inlineStr">
        <is>
          <t>至るまで様々；至るまで続い；至るまで幅広い；至る都道府県道；至る長距離送電線</t>
        </is>
      </c>
      <c r="H466" t="n">
        <v>29</v>
      </c>
      <c r="I466" t="inlineStr">
        <is>
          <t>そして現在に至るまで南北の線路は分断されたままの状態が続いている。；アメリカ合衆国のポピュラー音楽が今日に至るまで与えた影響は大きい。；グレゴリオ暦はその後数百年かけて各国で採用され、現在に至っている。；その後も何度か製作再開が発表されたが、まだ実現には至っていない。；人間の魂がいかにして神に至るかをディオニュシオスは終始問題にする。；むしろ、元々日本にも生息していたものらしいと考えられるに至っている。；島内の至る所で猫が無防備な姿でいるため、猫好きの人間もよく訪れる。；周辺自治体との合併は検討されてきたが、長い間実現には至らなかった。；これらの中で着手に至ろうとしていたダム計画に久世畑ダム計画がある。；医師たちが意見をすると激しく怒り、処罰する寸前に至ることもあった。；恐怖と恐れと共に人の影にいた彼らが人間との戦争を始め、今に至る。；その使われ方や形式は様々な変遷をへて、現在用いられる形に至っている。；だがトンネル工事という点で問題があったため、実現には至らなかった。；生物資源からの製造も研究されているが、大規模なものには至っていない。；かつては地方振興局が設置されていたが統合・再編されて現在に至る。；ところがとされ、現在ではイスラエル人口の過半を占めるに至っている。；また昔話を題材にした作品も黎明期から現在に至るまで作られている。；候補外であったが選考委員の五木寛之の強い推薦があり受賞に至った。；このような状況から大企業の本社機能の移転などが行われるには至っていない。；統一の動きが何度かあったが、いまのところ実現に至っていない。；現在に至ってもこの3人を超える作家は登場していないとされる。；暴行罪は暴行を加えた者が人を傷害するに至らなかったときに成立する。；暴行を加えた者が人を傷害するに至らなかったときは暴行罪が成立する。；そして、最低ならずとも、これ等の条件のよい地点が選ばれるに至ろう。；この結果、平日のナイターでも多くの観客を動員するまでに至っている。；川の北側には魚市場があり、そこから北へ少し進むと仁万海岸公園に至る。；瀬戸内海は縄文時代から今日に至るまで、多様な漁業の場となってきた。；出﨑が映像化を希望しながら、制作に至らなかった作品がいくつかある。；テレビ用途を見込んで複数の方式が開発されたが、普及には至らなかった。</t>
        </is>
      </c>
      <c r="J466">
        <f>HYPERLINK("https://www.weblio.jp/content/至る", "词义详情")</f>
        <v/>
      </c>
      <c r="K466">
        <f>HYPERLINK("https://yourei.jp/至る", "查看例句")</f>
        <v/>
      </c>
    </row>
    <row r="467">
      <c r="A467" t="inlineStr">
        <is>
          <t>至る所</t>
        </is>
      </c>
      <c r="B467" t="inlineStr">
        <is>
          <t>成功</t>
        </is>
      </c>
      <c r="C467" t="inlineStr">
        <is>
          <t>読み方：いたるところ
［連語］行く先先どこでも。また、あらゆる所。「—で大歓迎」「部屋中—ほこりだらけだ」</t>
        </is>
      </c>
      <c r="D467" t="inlineStr">
        <is>
          <t>至る所微分</t>
        </is>
      </c>
      <c r="E467" t="inlineStr">
        <is>
          <t>あっちこっち；至るところ；そっちこっち</t>
        </is>
      </c>
      <c r="H467" t="n">
        <v>29</v>
      </c>
      <c r="I467" t="inlineStr">
        <is>
          <t>至る所でさまざまなジャンルの作品からのサンプリングが行われている。；その根は至る所にあって、ただ国王の座の下にのみ欠けていたのである。；作者はしかしさういふ感じがしないと見え至る所にこの変化を用ひてゐる。；町の至る所にユダヤ人用の教会や学校、その他関連施設が多数存在する。；朝鮮全土至る所の村や町では、定まった日に五日おきぐらいに市が立つ。；島内の至る所で猫が無防備な姿でいるため、猫好きの人間もよく訪れる。；海は初め全地球を覆っていたから今日至る所で古昔の貝殻が発見される。；つまり長瀞程度の山水ならば、日本国中至る所に存在しているのである。；彼は至る所に彼女の眼を、深い火が燃えている彼女の静かな眼を見てとった。；足下は水たまりが至る所にあって、どうしても靴の中に水が入ってくる。；放課後だというのに、学園の敷地内の至る所に生徒たちの姿が目撃された。；至る所であらゆる無数のドアのところで、掲示の文句がいざなっていた。；医学部教授と国の関係は中世が終わるとともに至る所で変化が起きていた。；東京市内至る所でコレラが発生しており、死者も多数報告されている。；ノルウェーの至る所に凍結した川を渡るアイスロードが無数に存在する。；歴史的に木之本は養蚕業が盛んであり、至る所でクワが栽培されていた。；大昔から同じような詐欺行為が、世界の至る所で繰り返されてきました。；いままであり得なかった組み合わせの会話が至る所で発生していて興味深いな。；至る方向に大空が見え、至る所に自由があり、至る所に人の生活があった。；PVは、回転をテーマとしているため至る所にカメラを配置して撮影された。；この辺りにはむろんのこと、朝鮮には更に多くの同志が至る所にいるのです。；できるだけ多くの注意を惹こうとする浮誇の活動さえ至る所に出現した。；互いに敵対する男を相手に、至る所で一対一の殴り合いが起こっていた。；動植物の長く継続的な観察から至る所で続く生存のための努力を理解できた。；後にアメリカに渡った時にも、私は至る所で神様の問題に出くわした。；このゲームはほぼ至る所で自分の行動に関してプレイヤーをひどい気分にする。；だから収容所の至る所から、今でもときどきナイフが発見される。；この周辺は当時石切場であったため現在も巨大な岩が至る所に放置されている。；一方、ホラコは至る所でホラ話を吹きに回ってしまったおかげで大騒ぎ。</t>
        </is>
      </c>
      <c r="J467">
        <f>HYPERLINK("https://www.weblio.jp/content/至る所", "词义详情")</f>
        <v/>
      </c>
      <c r="K467">
        <f>HYPERLINK("https://yourei.jp/至る所", "查看例句")</f>
        <v/>
      </c>
    </row>
    <row r="468">
      <c r="A468" t="inlineStr">
        <is>
          <t>至れり尽くせり</t>
        </is>
      </c>
      <c r="B468" t="inlineStr">
        <is>
          <t>成功</t>
        </is>
      </c>
      <c r="C468" t="inlineStr">
        <is>
          <t>読み方：いたれりつくせり
《「荘子」斉物論から》配慮が行き届いて、申し分がない。「—の接待」
[補説] 「至り尽くせり」とするのは誤り。</t>
        </is>
      </c>
      <c r="D468" t="inlineStr">
        <is>
          <t>親切；行き届いた；懇切；心尽し；心尽くし</t>
        </is>
      </c>
      <c r="H468" t="n">
        <v>29</v>
      </c>
      <c r="I468" t="inlineStr">
        <is>
          <t>至れり尽くせりで客を持ち上げ、金を使わせるのが彼らの仕事なのだ。；少なくともブッダにとっては至れり尽くせりの宮殿時代は黒歴史らしい。；部屋の中にはテレビもパソコンもゲーム機もあって、至れり尽くせり。；別に傍にいてくれるだけでも十分なのに看病までやってくれるとは、至れり尽くせりだな。；この地区に入った最初の外国人ということで、至れり尽くせりのサービスである。；それが士真の気にかなって、さすがに用意至れり尽くせりと喜んでいたが、昼から夜まで飲み続けているうちに、太守ひとりでは持ち切れなくなって来た。；それにひきかえ、僕のために、おまえがしてくれたことは、なんと至れり尽くせりだったではないか。；彼はふたりの外国人に至れり尽くせりの応対をした。；転任だ引越しだっていえば、ほかの人には手をつけさせないで、至れり尽くせりのお世話してくれるわよ。；妊娠している女に目をつけ、出産まで至れり尽くせりの世話をして、身体が回復するのを待って楽しんだことも何度かある。；「何かご用がありましたら、いつでもお呼び下さい」 至れり尽くせりとはこの事だ。；「至れり尽くせりだね」 「その通りですね」 いや肯定するなよ。；至れり尽くせりとはまさにこの事であった。；誰かに電波でも送られたんじゃないかと疑うほどだが、単に俺の青春ポイントが空っぽだから、それの埋め合わせとして謎の機能が至れり尽くせりしてくれただけかも知れない。；そして侍女から至れり尽くせりの介抱を受けたのである。；しかも通常の銀と同じく加工は割合に容易、金属的な相性も良く、まさに至れり尽くせり。；じつに彼は、かくの如く至れり尽くせりの男である。；それから個室に入り、エステティシャンが至れり尽くせりで手入れをしてくれる。；そんな時、テレビで高齢者の再犯率が高い話を耳にし、刑務所の中が至れり尽くせりで介護まである環境と知る。；それにしてもこの学校は至れり尽くせりだよな、そこの冷蔵庫に残りが入ってるから昼メシに食おう。；人なつこそうな笑顔で何度もお辞儀をし、あちこち走り回って至れり尽くせりの歓迎ぶりである。；と言っても、至れり尽くせりというわけではない。；内部は生徒一人一人に与えられた広い個室のほか、シャンデリアの輝く大食堂まであり、至れり尽くせりである。；家庭孤児は恵まれているとの先入観の結果であろうけれども、実際にこの私の近所の原子野バラックに引き取られている孤児の生活と収容所の至れり尽くせりの設備の中の孤児の生活とを比べてみれば、ララ物資はむしろ家庭孤児に厚く配分せねばならぬと痛感するだろう。；入居初日にこれらの説明を聞かされた栄は笑顔で「まさに至れり尽くせり、夢のような施設」と絶賛した。；至れり尽くせりの千姫の心遣いに対しても、三帆は形だけ礼を述べ、頭を下げるだけであった。；ドア・トゥー・ドアで至れり尽くせりの馬車の旅から、検問手配をかいくぐる逃亡者へと転身したため、衣装や装備も揃える必要があったが、彼女はそれにも時間をかけず、男物の簡素な服を三人分手に入れてきた。；こうして見てくる限り、値段といい機能といい、日本の大衆乗用車は「至れり尽くせりの完成度の高い商品」であった。；そんな恵まれた至れり尽くせりの部隊がこんなところでモタモタして、アホな七面鳥のように散々にたたかれている。</t>
        </is>
      </c>
      <c r="J468">
        <f>HYPERLINK("https://www.weblio.jp/content/至れり尽くせり", "词义详情")</f>
        <v/>
      </c>
      <c r="K468">
        <f>HYPERLINK("https://yourei.jp/至れり尽くせり", "查看例句")</f>
        <v/>
      </c>
    </row>
    <row r="469">
      <c r="A469" t="inlineStr">
        <is>
          <t>労わる</t>
        </is>
      </c>
      <c r="B469" t="inlineStr">
        <is>
          <t>成功</t>
        </is>
      </c>
      <c r="D469" t="inlineStr">
        <is>
          <t>労わるよう(31%)</t>
        </is>
      </c>
      <c r="E469" t="inlineStr">
        <is>
          <t>感謝する；労う；労る</t>
        </is>
      </c>
      <c r="H469" t="n">
        <v>15</v>
      </c>
      <c r="I469" t="inlineStr">
        <is>
          <t>どうやら、年寄りを労わるとかいう習慣とは縁のない世界の住人らしい。；相手の気持ちを理解し、同時に尊敬し、そして労わるような男だ。；その声には、いじらしいものを愛し労わる響きがあった。；熊さんは、情深い男でしたから、道の傍の草一本にも気をつけて、労わるたちでした。；彼女は似つかわしくない労わるような笑みで言った。；死んだ個体の亡骸に対し、周りに集まり鼻を上げて匂いを嗅ぐような動作や、労わるように鼻でなでる等の行動をとった記録がある。；労わるように豆の肩を軽く叩くと、「じゃあな」と軽く手を振って布団部屋から出て行った。；丁卯次郎は犀之介に当時最新鋭の暖房設備を備えた住宅を贈り、自身も大阪から紋別の地に足を運び愛息を労わる事を忘れなかった。；と、吉良は、美濃守に受けとめられて、すうっと、労わるように、抱き下ろされていた。；そして、彼女の傍らのベッドにそっと腰を下ろすと、甘やかすような、労わるような、可愛いくてしようがないというような様子で、彼女の額から髪にかけてゆっくりと撫でるのだった。；清正喜んで、城中に入って、親しく王子を護って帰館し、厚く労わるところがあった。；アブラは、出産で開いた骨盤を元に戻すため、サミアに腰布を巻いて労わるが、「子供が不幸になる」と不安に苛まれるサミアは、養子に出す意思が変わらないことをアブラに伝える。；これに蒯良が「仁愛と信義をもって人民を労わるように」と進言したが、一方の蒯越は「利で誘った上で無道の者を誅し、残りは安撫すべき」と進言した。；力強く、だけど、労わるように。；門人たちが集い労わる。</t>
        </is>
      </c>
      <c r="J469">
        <f>HYPERLINK("https://www.weblio.jp/content/労わる", "词义详情")</f>
        <v/>
      </c>
      <c r="K469">
        <f>HYPERLINK("https://yourei.jp/労わる", "查看例句")</f>
        <v/>
      </c>
    </row>
    <row r="470">
      <c r="A470" t="inlineStr">
        <is>
          <t>異端児</t>
        </is>
      </c>
      <c r="B470" t="inlineStr">
        <is>
          <t>成功</t>
        </is>
      </c>
      <c r="C470" t="inlineStr">
        <is>
          <t>読み方：いたんじ
ある分野で、正統から外れ、特異な存在とみられている人。「球界の—」</t>
        </is>
      </c>
      <c r="D470" t="inlineStr">
        <is>
          <t>異端児扱い(10%)</t>
        </is>
      </c>
      <c r="H470" t="n">
        <v>29</v>
      </c>
      <c r="I470" t="inlineStr">
        <is>
          <t>埼玉県の神官の家系の出で、父親は教育者だから異端児は理解されない。；自分の過去の経歴を知る者から、ますます異端児扱いされるようになった。；厳しい遠野の家を知っている彼女にしてみれば、俺はつまり異端児なるんだろう。；その中では、確かに城野は異端児と言ってよかったかもしれない。；だから日本の企業社会では、この面で少し異端児扱いされている。；もともと、剣を蔑視する魔術師たちの中では、それだけで彼は異端児といえた。；数奇な運命を辿って、出版界の異端児坂本篤のもとに持ち込まれた歌稿。；性格的にはやや自分勝手で誠実さに欠け、鬼の中では「異端児」とされている。；このような演出は彼独特のものであり、「氷上の異端児」と形容されることもある。；異端児による事件を経験したベルの葛藤、覚悟、精神的な成長などが描かれる。；周囲からは異端児扱いされるが、太平洋戦争の推移は新見の見解が現実であったことを証明した。；通常の戦闘機とは違い、ヘリのようなホバリングも可能な、戦闘用航空機の異端児だ。；帝国陸軍の異端児と呼ばれ、アジア主義や日蓮主義の影響を受けた。；ただし、その姿勢は日本柔道界からは異端児と見られることも多く、実績と功績から観れば日本の柔道界では不遇な扱いをされている。；あのアメリカのトランプのように、異端児でございます。；後醍醐は伝統と先例を無視する朝廷の異端児だった。；国内の英語教育関連の学会などからは異端児扱いされているが、ヨーロッパの学会誌に論文が掲載されたりロンドン大学教授の著書に引用されたりなどしている。；バンド名の由来は「音楽界の異端児」とも呼ばれたフランスの作曲家 エリック・サティ。；だからこそ、エルフの一族にあっては彼女は異端児だったのだろうが、その異端ぶりは人間の目から見ると好ましくも思えた。；世間は俺を異端児として見るかもしれへん。；怪談噺・芝居噺を得意とする歴代正蔵の中にあって、爆笑落語を通した異端児であった。；第二の魔女 そして、ファンの楽しみも、キヨシの異端児的ハッスル・プレイのみ。；実際、あなたは、リカルド暗殺以降のマーセナス家にとっては異端児だった。；それまでの落語界ではありえなかったことをいくつか始めており、「落語界の異端児」を自称している。；民友党切っての論客であり、保守本流を泳ぎながらもその過激性から異端児とされる。；時に周りのことを気にもかけないような彼の演技に対するストイックな性格がそれに拍車をかけ、他の役者仲間から「異端児」と呼ばれることも少なくなかった。；部分でありながら完結した全体性を持つこの異端児は、半導体屋のセンスからすればわけの分からないゲテ物に見える。；販売当初はネイキッドブームではあったが奇抜なデザインとチューン次第でレーサーレプリカ並の速さを持っていたため異端児のような扱いをされた。；この能力のため、コールは学校中の生徒や教師から「化け物」と異端児扱いされ、事情を知らない母親ともすれ違っていた。</t>
        </is>
      </c>
      <c r="J470">
        <f>HYPERLINK("https://www.weblio.jp/content/異端児", "词义详情")</f>
        <v/>
      </c>
      <c r="K470">
        <f>HYPERLINK("https://yourei.jp/異端児", "查看例句")</f>
        <v/>
      </c>
    </row>
    <row r="471">
      <c r="A471" t="inlineStr">
        <is>
          <t>市</t>
        </is>
      </c>
      <c r="B471" t="inlineStr">
        <is>
          <t>成功</t>
        </is>
      </c>
      <c r="C471" t="inlineStr">
        <is>
          <t>読み方：いち
１毎日、または一定の日に物を持ち寄り売買・交換すること。また、その場所。市場。「—が立つ」「朝顔—」
２多くの人が集まる所。原始社会や古代社会では、歌垣(うたがき)・祭祀・会合・物品交換などに用いられた場所。
３市街。町。
「野を越え山越え、…シラクスの—にやって来た」〈太宰・走れメロス〉</t>
        </is>
      </c>
      <c r="D471" t="inlineStr">
        <is>
          <t>市境；市中心部；市壁；市政府；市章</t>
        </is>
      </c>
      <c r="E471" t="inlineStr">
        <is>
          <t>町；街；市場；中心地；市街</t>
        </is>
      </c>
      <c r="F471" t="inlineStr">
        <is>
          <t>東京市；本市；江戸市中；京丹後市；日市</t>
        </is>
      </c>
      <c r="G471" t="inlineStr">
        <is>
          <t>市内；市場；市立；市街地；市長</t>
        </is>
      </c>
      <c r="H471" t="n">
        <v>29</v>
      </c>
      <c r="I471" t="inlineStr">
        <is>
          <t>委員会から任命された建築家たちは市の本来の設計には手を加えなかった。；これは孤児であった彼の祖父が市の職員から名付けられたものである。；淡路島全体で一つの市となる構想や動きもあったが、実現しなかった。；運ばれた物資は都の中にある大きな2つの市に送り、人々の生活を支えた。；今日、ライプツィヒ市での戦闘のコースはモニュメントで示されている。；市にあるものを市道、町にあるものを町道、村にあるものを村道という。；このうち錦町から六日市までの区間は大半の路盤が完成していた。；この1分間は全ワルシャワ市の部分的な機能が停止するとも云われる。；工業が盛んであり、市の郊外には多くの重化学工場が立ち並んでいる。；市境を越え、メリーランド州側にも治安の良くないエリアが広がっている。；幼児から小・中学生を対象とした市主催の絵画コンクールも行われている。；同日に告示された「市徽章設定ノ件」には、以下のとおり記されている。；現在は市の施策などで伝統的な名産品の復興などに力が注がれている。；全体的に市が設置した建物はデザインに富んでおりかつ新しい物が多いのも特徴。；県や州に相当する国と市の中間レベルの地方行政単位はない。；ここでは、社民連の前身となる社市連と社会クラブも含めて解説する。；本社は当初大阪市であったが、後に東京に本社機能を移して大阪は支社扱いとなる。；セゲダは禁止されたのは新規の町の建設であって旧市の城壁ではないと答えた。；同日から、指定都市を指定する政令が施行されて5市が指定都市に移行。；この時期の田原を支えたのは市北部で産出する石灰岩の採掘であった。；市中心部の交差点信号機に1 - 17の数字板が設置されている。；市の中心部はさらに1kmほど南西のバスターミナルの付近である。；実際の業務は市の指定管理者が甲迎館の施設管理を含めて行っている。；市街地が広がる市南部を中心に、鉄道網・バス網が整備されている。；もっとも、民営化と前後して大都市近郊の路線の電化も少し行われた。；インドでの中華料理の人気は高く、特に大都市でよく普及している。；法定人口が50万人以上で、なおかつ政令で指定された市のことである。；この施策は比較的余裕がある市の財源を市民に還元する目的もある。；かつて浦和市との合併構想もあり、市北部の一部が浦和市に編入している。</t>
        </is>
      </c>
      <c r="J471">
        <f>HYPERLINK("https://www.weblio.jp/content/市", "词义详情")</f>
        <v/>
      </c>
      <c r="K471">
        <f>HYPERLINK("https://yourei.jp/市", "查看例句")</f>
        <v/>
      </c>
    </row>
    <row r="472">
      <c r="A472" t="inlineStr">
        <is>
          <t>位置</t>
        </is>
      </c>
      <c r="B472" t="inlineStr">
        <is>
          <t>成功</t>
        </is>
      </c>
      <c r="C472" t="inlineStr">
        <is>
          <t>読み方：いち
［名］(スル)
１ものがある所。ものがあるべき場所。また、ある場所を占めること。「—がずれる」「所定の—につく」「青森県は本州の最北端に—する」
２
㋐物事が全体の中で占める場所。「この問題は重要な—を占める」
㋑人が置かれている状態。境遇。立場。「次期会長と目される—にある」</t>
        </is>
      </c>
      <c r="D472" t="inlineStr">
        <is>
          <t>位置する郡；位置する県；位置する小惑星；位置関係；位置する市轄区</t>
        </is>
      </c>
      <c r="E472" t="inlineStr">
        <is>
          <t>ある；ところ；等；場所；所</t>
        </is>
      </c>
      <c r="F472" t="inlineStr">
        <is>
          <t>重要な位置；近い位置；低い位置；正確な位置；位置する中国鉄路総公司ウルムチ鉄路局</t>
        </is>
      </c>
      <c r="G472" t="inlineStr">
        <is>
          <t>位置付け；位置づける；位置情報；位置付ける；位置取り</t>
        </is>
      </c>
      <c r="H472" t="n">
        <v>29</v>
      </c>
      <c r="I472" t="inlineStr">
        <is>
          <t>物質はそうした現象や出来事が起こる場や対象のような位置を占めている。；テレビや新聞などで一般的に使用される震源は震央の位置を示している。；南北が絶対的な位置関係にあるのに対して東西は相対な位置関係にある。；現代では方向の基準は宇宙測地観測局の位置から逆に定義されている。；これ以後、木星を観測して、その位置で年を記録することはなくなった。；南北が絶対的な位置関係にあるのに対して東西は相対的な位置関係にある。；地震計の観測結果を基に図に表し、断層の位置や動いた方向を解析する。；これは量子トンネル確率が位置に依存する性質を利用したものである。；ガロアの遺体は別の共同墓地に葬られ、現在は正確な位置が不明である。；これらは、県の中央部に位置していることから大会等での活用も図られます。；この時期、ガオの東に位置するタケッダは銅生産の中心地となっていた。；また正面にある窓または潜望鏡によって位置を確認することができた。；ボールが無い場所で、相手選手の移動を制限する位置に立つこと。；さらに各方法には変爻の有無や位置を選ぶ操作があり状況変化を表現する。；エンジンの位置は前輪と後輪の間に搭載されるものが一般的である。；西洋の方法での予測が的中し見える位置、時刻ともに正確であった。；また物理的には位置と運動量、あるいは位置と波数の関係になっている。；どちらも一般に長方形で鍵盤が窪んだ場所に位置し本体から突き出ない。；また分解能も低く、文字単位程度でしか位置を取得することができなかった。；また、結合長や位置の固定など様々な拘束条件を付加することもできる。；メモリ上の実行すべき命令の位置はプログラムカウンタで指定される。；こちらは8番と11番のカードの位置は伝統的な配置のままである。；ダイヤモンド産業はイスラエル経済を語るうえで重要な位置を占める。；この4つの都市はいずれも人口の集中するメキシコの中央高原に位置している。；地形的には武蔵野台地のほぼ中央に位置し、関東ローム層に覆われている。；ヒトの場合の主な非対称は心臓と肝臓の位置、及び消化管の配置である。；はその中でも上部に位置する領域で、水深1000mまでが該当する。；しかしその中でもどの系統的位置に来るかはまだ異説が多い。；これら全てのシステムで、媒体は概念的に穴の位置の配列を保持していた。</t>
        </is>
      </c>
      <c r="J472">
        <f>HYPERLINK("https://www.weblio.jp/content/位置", "词义详情")</f>
        <v/>
      </c>
      <c r="K472">
        <f>HYPERLINK("https://yourei.jp/位置", "查看例句")</f>
        <v/>
      </c>
    </row>
    <row r="473">
      <c r="A473" t="inlineStr">
        <is>
          <t>いちいち</t>
        </is>
      </c>
      <c r="B473" t="inlineStr">
        <is>
          <t>成功</t>
        </is>
      </c>
      <c r="C473" t="inlineStr">
        <is>
          <t>読み方：いちいち
１一つ一つの物事。それぞれ。めいめい。「—にわたって立証する」
２（副詞的に用いて）もれなく一つ一つ。ことこまかに。「—難癖をつける」「—構っていられない」</t>
        </is>
      </c>
      <c r="D473" t="inlineStr">
        <is>
          <t>いちいち覚え；いちいちそんな；いちいちもっとも；いちいち驚い；いちいち口</t>
        </is>
      </c>
      <c r="F473" t="inlineStr">
        <is>
          <t>いちいち憶え；いちいちうなずき；いちいち言わ；いちいち頷き；いちいちうるさい</t>
        </is>
      </c>
      <c r="H473" t="n">
        <v>29</v>
      </c>
      <c r="I473" t="inlineStr">
        <is>
          <t>彼女との会話では、いちいちの言葉が特別の意味をもってくるのだった。；いちいちその場に当つて頭を使ふといふやうな性質のものではありません。；まだお疑いがあるならば、近所の者をいちいちお調べくださいというのだ。；もし学校へいちいち手紙を出していたら、どのくらい時間がかかるだろう?；しかしこういうものにいちいち感傷的になっていては生きていけませんよ。；つまり自分のしたことをいちいち一般化して見ずにはいられない。；アルキシーがわたしに話したいちいちがきみょうにわたしを興奮させた。；いちいちその生徒の一生の運命まで考えていたら、きりの無いところである。；学生や市民の出入りをいちいちチェックする必要はもうなくなっていたのだ。；あなたがいわるることは、いちいち私のいおうとするところと同じです。；夕方路地を入った人間をいちいち覚えている人はあるまいから訊いても無駄だ。；食卓でいちいち合掌させて食事をさせるというようなのは私は好まない。；もちろん、いちいちの言葉の生命をはつきり掴むのには暇がかゝります。；僕は今彼のいった言葉をいちいち翻訳しているわけではない。；ある綿密な推論者が、仲間の腹で思ったことをいちいち読み取った話だ。；そんなことにいちいちぼくは向かっ腹を立てたりはしなかった。；しかれどもこれらは、後にいちいち例を挙げて説明するところあるべし。；ほしがったからって、いちいちやっていたら、きりがないじゃないかね。；殿様はいちいちびっくりして、目を丸くして聞いておいでになりました。；かれはわたしに向かってこれまでの細かいことをいちいちたずねた。；いちいち数字をあげて君を退屈させるまでもないが、計算はきわめて簡単だ。；今では原稿用紙をとってもらうことさえいちいち人に頼まねばならぬほどだ。；耳に入る、彼の動作の音は、いちいち打撃となって、彼女の胸に反響した。；いちいち莫迦正直に驚いていては、弱い神経の者は気が狂ってしまう。；そんなことを、今のやつらみたいに、いちいち気にしなかつたんだ。；その外にも特長があったが、ここではいちいち述べないことにする。；英語の新聞を読むとき、いちいち訳さなくても、読めばわかりますから。；彼は、そのこまかな所までいちいちぼくに熱心に指摘してきかすのである。；そうした人たちの教会へ来る時刻から十人十色の癖まで、彼はいちいち承知していた。</t>
        </is>
      </c>
      <c r="J473">
        <f>HYPERLINK("https://www.weblio.jp/content/いちいち", "词义详情")</f>
        <v/>
      </c>
      <c r="K473">
        <f>HYPERLINK("https://yourei.jp/いちいち", "查看例句")</f>
        <v/>
      </c>
    </row>
    <row r="474">
      <c r="A474" t="inlineStr">
        <is>
          <t>一応</t>
        </is>
      </c>
      <c r="B474" t="inlineStr">
        <is>
          <t>成功</t>
        </is>
      </c>
      <c r="C474" t="inlineStr">
        <is>
          <t>読み方：いちおう
［名］
１一度。一回。「—も二応も」
「今—篤(とく)と考えて見まして」〈二葉亭・浮雲〉
２一度行くこと。
「—の新賓なれば感思おさへがたし」〈海道記・序〉
［副］
１十分ではないが、ひととおり。大略。「これで—でき上がりだ」
２ほぼそのとおりと思われるが、念のために。「—見直しましょう」
[補説] 本来は「一往」と書く。</t>
        </is>
      </c>
      <c r="D474" t="inlineStr">
        <is>
          <t>一応聞い；一応もっとも；一応訊い；一応確認；一応きちんと</t>
        </is>
      </c>
      <c r="E474" t="inlineStr">
        <is>
          <t>一つ；仮に；一往</t>
        </is>
      </c>
      <c r="F474" t="inlineStr">
        <is>
          <t>まあ一応；ともかく一応；誰でも一応；ともかくも一応；一応片づい</t>
        </is>
      </c>
      <c r="H474" t="n">
        <v>29</v>
      </c>
      <c r="I474" t="inlineStr">
        <is>
          <t>一応回避手段は存在するが、初心者には理解が難しいものとなっている。；これにより全領域対応型の予定だったバルゴラは一応の完成を見ている。；一応、現在では他の界にある名前は命名を控えるように勧告されている。；両国の外交関係は一応維持されており、一定の経済関係も存在していた。；以下は駅周辺とは言えないが、一応最寄駅であるという意味で記載する。；カモシカや熊の目撃報告が年に数回あるので一応警戒したほうがよい。；完全な時系列ではないが、一応、レーベル、時代などは分けられている。；関沢自身は、肝心な部分ではアクションも一応書いていたと述べている。；RTVでは一応内部規則はあるが、提出されてものは殆どが放送されている。；この草案は日米双方が修正を加えたうえで、4月9日に一応の完成を見た。；現在では、一応通貨としての価値を認められていたと推定されている。；本人は自分を試すテストだと思い、一応報告書の内容を頭に入れたという。；一応曲は終止線のところまで書かれており、曲としては完成している。；最終的にこの事件はフランス側が譲歩することによって一応の解決を見せた。；本人によると、特に反省はしていなかったが一応頭を丸めて行ったとのこと。；この区間については、2013年3月までに一応の整備が完了している。；一応宍道湖大橋は執筆しましたがまだまだ執筆されていないものがあります。；米政府はこれに一応の理解を示したが、市民の怒りは治まらなかった。；一応、コガネグモ科の中で以下のような特徴でくくられた群ではある。；一応枝に数枚の葉があればその特徴が見て取れるから、邪魔な枝や葉を切る。；主に加算のために設計されたが、四則演算全てが一応は可能なものもあった。；魔法の代わりとして超能力のようなものが一応存在している世界となっている。；その時、室内の明かりが全て消えギースは逃亡し、一応の決着を付けた。；人魚は一匹と数えるのが一応正しいとされるが、一人と数える見解もある。；飲食店では一応食事をする事はできるが、しても特に意味はない。；本格的な工事は1998年に開始され、議論も一応の解決をみた。；一応の組織体制を確立したが、組織を運営する人員がいなかった。；分類的には不明確で、一応ダモクレス族であり、散乱円盤天体でもある。；アッシリアとは緊張を孕みながらも一応平和な関係を維持できることになった。</t>
        </is>
      </c>
      <c r="J474">
        <f>HYPERLINK("https://www.weblio.jp/content/一応", "词义详情")</f>
        <v/>
      </c>
      <c r="K474">
        <f>HYPERLINK("https://yourei.jp/一応", "查看例句")</f>
        <v/>
      </c>
    </row>
    <row r="475">
      <c r="A475" t="inlineStr">
        <is>
          <t>一概に</t>
        </is>
      </c>
      <c r="B475" t="inlineStr">
        <is>
          <t>成功</t>
        </is>
      </c>
      <c r="C475" t="inlineStr">
        <is>
          <t>読み方：いちがいに
［副］（多くは打消しの語を伴って用いる）細かい差異を問題にしないで一様に扱うさま。おしなべて。ひとくちに。「—悪いとはいえない」</t>
        </is>
      </c>
      <c r="D475" t="inlineStr">
        <is>
          <t>一概に言えない(4%)；一概に悪い；一概に比較する；一概に言う；一概にいえない</t>
        </is>
      </c>
      <c r="E475" t="inlineStr">
        <is>
          <t>必ずしも；まんざら；あながち</t>
        </is>
      </c>
      <c r="H475" t="n">
        <v>29</v>
      </c>
      <c r="I475" t="inlineStr">
        <is>
          <t>しかし、一概にインド隊を非難することも当たっていないかも知れない。；しかし彼の証言がマイナスだったとばかりは一概にいえないのではないか。；流行によっても大きく左右されるため一概に言えないものも存在する。；ただし、先述の通り が、 ため一概に下記のようになるとは限らない。；いかに下の病といっても、そんな風に一概に断定できるものだろうか。；それも一概に悪いとはいわないが、塩からい、味のないものになってしまう。；あれ程臆病であった私が、死を見ることを一概に怖れなくなっていた。；しかし、このときの彼の感情を一概に非難してしまうのは当たらないと思う。；此の辺の事柄を集めて見ると一概に森主水の言葉を斥ける訳に行かぬ。；知っている範囲では特殊なケースだけれど、一概に例外とはいえないかもしれない。；合気は一概にインチキである、本物である、とは言いにくいものである。；一概に機体が原因と断定することはできない、と原は自らに言い聞かせた。；おれは勝を一概に奸物と見たくないが、小栗の腹には無条件で納得する。；そう一概に云うと明暸なようであるが退いて考えるとなかなかわかりにくい。；よって、美人は一概に外見のみにとらわれて指しているとは言いづらい。；この点においては勿論どちらが勝つて居ると一概にいふ事は出来ぬ。；一概にリツ子が私の日記に脅えて破り捨てたとばかりは考えられない。；と申して、一概に婦人を崇拝したような小説の出るのを願うのではありません。；然うだとすると、一概に極めつけたのは少し分別が足りなかったと思った。；新宿の大きな劇場の前の通りでございましたが、これは一概に無理とは思われない。；して見れば一概に不良傾向だと言ったのは俺が些っと早合点だったよ。；大きく分けて、次の三つがあり、どれが良いとは一概に言えない。；事実また現在のような場合、一概に保険医がわるいとは言いきれまい。；これは体質の相違だろうから、一概に女をわからず屋とするわけにはいかぬ。；これらを一概に整理統一することは非常に困難である。；まあ玉の当たり所にもよるから一概に言うことはできないだろうが、あの傷の状態では全く異常な回復力さ。；一体結婚の礼式は地方によって大変に違って居るから一概に言うことは出来ない。；しかしさう一概に黒と白といふやうには行かないものである。；しかし、それだからといって一概に平俗野卑だというわけにはゆかない。</t>
        </is>
      </c>
      <c r="J475">
        <f>HYPERLINK("https://www.weblio.jp/content/一概に", "词义详情")</f>
        <v/>
      </c>
      <c r="K475">
        <f>HYPERLINK("https://yourei.jp/一概に", "查看例句")</f>
        <v/>
      </c>
    </row>
    <row r="476">
      <c r="A476" t="inlineStr">
        <is>
          <t>一か八か</t>
        </is>
      </c>
      <c r="B476" t="inlineStr">
        <is>
          <t>成功</t>
        </is>
      </c>
      <c r="C476" t="inlineStr">
        <is>
          <t>読み方：いちかばちか
結果はどうなろうと、運を天に任せてやってみること。のるかそるか。「よし、—勝負してみよう」
[補説] ばくちの用語で、「一か罰か」でさいころの目に一が出るかしくじるかの意とか、「丁か半か」の「丁」「半」の字の上部を取ったものとかいう。</t>
        </is>
      </c>
      <c r="D476" t="inlineStr">
        <is>
          <t>一か八かの賭け(9%)；一か八かの勝負(5%)；一か八かやってみる(4%)；一か八かの大勝負；一か八か賭けてみる</t>
        </is>
      </c>
      <c r="E476" t="inlineStr">
        <is>
          <t>思い切って；ギャンブル；危険な賭け；出たとこ勝負で；一か八かの賭け</t>
        </is>
      </c>
      <c r="H476" t="n">
        <v>29</v>
      </c>
      <c r="I476" t="inlineStr">
        <is>
          <t>成功の確率が高いのであれば、一か八かの手術を選ぶかも知れなかった。；弾の軌道に山を張り、一か八かで剣を振った結果ならばむしろ理解できる。；なんにしても、わたしは、この際、一か八かやってみなければならない。；一か八かであったが、少なくともやってみるだけのことはあるだろう。；もちろんそれは、部下を助けるための一か八かのこころみだったのです。；現在では文明が一か八かの勝負などというものを追い払ってしまった。；もっとも、僕もあんな一か八かの回避は二度とやりたくないところだけど。；留守部隊は数千しかおらず、一か八かの賭けをする価値はあるだろう。；重装備の宇宙艦一隻が一か八かで立ち向かって、あんたも聞いたとおりさ。；一か八かの絶対面で賭博している淪落の術であり、奇蹟の術であったのだ。；この男のことは前々から聞かされていたが、一か八かやってみることにした。；そのシーザーが一か八かの作戦を開始するときに言った言葉です。；だが一か八かやってみなくてはならないと覚悟を決めた。；あいつは一か八かの危険をおかしてやらかしたが、きっと成功したろうよ。；下へおりていくことがどんなに危険で困難であろうと、一か八かやってみなくてはなるまい。；ひとたび自宅で安心しきった時、一か八か思い切ったことをするつもりだ。；生まれつきなんでしょうが、彼には一か八かしか出来ないのよね。；そのとき、あなたのことを思い出して、一か八かの作戦を実行しようと決心しました。；こんや関係者一同を集めて、一か八か、ひとつやってみようと思うんです。；もしチャックに一か八かやってみるつもりがあれば、彼と一緒にやりたいと思っていた。；距離が縮まれば、何とか一か八かの手段に出ようと思っていたのだ。；あなたは一か八かで、山登りの経験を生かしてみることにしたのよ。；おそらく登ることのできる獣もいるでしょうが、一か八かやってみなければならない。；実際、此頃では一か八か生命を犠牲にして、何か商売を始めようと考へてもゐた。；どうやら、偶然に俺と出会って、一か八か挑みかかってきたようではないらしい。；一か八か、と彼女を信じて、ルドガーは死体になったつもりで体を弛緩させた。；それは一か八かやってみなければならなかった。；あのゴルトムントには手をやくかもしれないが、一か八かやってみねばなるまい。；だから、少なくとも一人ぐらい一か八かやってみるのがあらわれたって不思議じゃない。</t>
        </is>
      </c>
      <c r="J476">
        <f>HYPERLINK("https://www.weblio.jp/content/一か八か", "词义详情")</f>
        <v/>
      </c>
      <c r="K476">
        <f>HYPERLINK("https://yourei.jp/一か八か", "查看例句")</f>
        <v/>
      </c>
    </row>
    <row r="477">
      <c r="A477" t="inlineStr">
        <is>
          <t>一眼レフ</t>
        </is>
      </c>
      <c r="B477" t="inlineStr">
        <is>
          <t>成功</t>
        </is>
      </c>
      <c r="C477" t="inlineStr">
        <is>
          <t>読み方：いちがんれふ
焦点調整用と撮影用とを一つのレンズで兼ねるレフレックスカメラ。近年は、フィルム面をイメージセンサーに置き換えたデジタル一眼レフカメラが主流となっている。</t>
        </is>
      </c>
      <c r="D477" t="inlineStr">
        <is>
          <t>一眼レフ用(7%)；一眼レフ式デジタルカメラ(2%)；一眼レフデジタルカメラ；一眼レフ型</t>
        </is>
      </c>
      <c r="E477" t="inlineStr">
        <is>
          <t>レフ；一眼レフカメラ；二眼レフ；二眼レフカメラ；レフレックスカメラ</t>
        </is>
      </c>
      <c r="F477" t="inlineStr">
        <is>
          <t>式一眼レフ</t>
        </is>
      </c>
      <c r="H477" t="n">
        <v>29</v>
      </c>
      <c r="I477" t="inlineStr">
        <is>
          <t>私はその言葉を信じて、わざわざ一眼レフを片手に海岸へ向かった。；こうして一眼レフの自動露出システムもほぼ完成を見ることとなった。；見れば愛用の一眼レフを奪われ、好き勝手にいじり回されている様子だ。；いつもの服装に望遠レンズを装着した一眼レフを首から下げて登場。；国産一眼レフの多くが採用したマット式ではなく空中像式である。；現場を見学に来た先生は、よく一眼レフのカメラで作業中の職人たちを撮影していた。；また、ニコン一眼レフで初めてAFの使用に制限が生じる機種にもなった。；かつて地球のどこかに文明の栄えた国があり、そこでもAF一眼レフが作られていた。；一眼レフ向けの標準ズームレンズで一般的なスペックを持つユニット。；その絹子の手には、絹子が以前から欲しがっていた一眼レフのカメラがあった。；一眼レフの取材用カメラを手にしただけの軽装である。；一眼レフのカメラを手にした今もそうだ。；同システムを使用したカメラはコンパクトカメラに限られ、一眼レフの発売はなかった。；見物にきた中国の人々が、国産の一眼レフで写真をとりあっている。；仕方ないからぼくは、誰かに一眼レフのカメラを借りて、小説の内容に合わせた撮影をすることにしよう。；これらの共に一眼レフの胆とも言える部分を撤去したことが、今まで不可能とされたレベルのコンパクト化を可能にした。；カメラ面では一眼レフ相当の技術を搭載。；単に感じただけでなかったのは、一眼レフのカメラのシャッターがおりなくなったことでも説明できよう。；ラジオは望遠レンズをつけた一眼レフ式のデジタルカメラを会社から借用していた。；写真撮影が好きで、小学4年生のときから一眼レフを持ち歩いていた。；機種別ではミラーレスが293万台、一眼レフは237万台であった。；一眼レフは真弓の怒りを反映するような音を立てて、連続してシャッターが切られていった。；写真の趣味がある早川は、カメラだけは、十万円以上する高級一眼レフを持っていた。；日比谷がさまざまな角度で額を支え、彼女が一眼レフのファインダーごしに絵を見た。；真弓は一眼レフのカメラを手にして、北署の捜査本部へ向かった。；ストラップで右手に下げていた一眼レフを、首にかけなおした。；何しろノートパソコンと一眼レフ型デジタルカメラが入っているのだ。；テーブルには一眼レフが置いてあった。；そのような状態を、三脚につけた一眼レフのセルフ・タイマーで撮ればいい。</t>
        </is>
      </c>
      <c r="J477">
        <f>HYPERLINK("https://www.weblio.jp/content/一眼レフ", "词义详情")</f>
        <v/>
      </c>
      <c r="K477">
        <f>HYPERLINK("https://yourei.jp/一眼レフ", "查看例句")</f>
        <v/>
      </c>
    </row>
    <row r="478">
      <c r="A478" t="inlineStr">
        <is>
          <t>一時</t>
        </is>
      </c>
      <c r="B478" t="inlineStr">
        <is>
          <t>成功</t>
        </is>
      </c>
      <c r="C478" t="inlineStr">
        <is>
          <t>読み方：いちじ
１時刻の名。→時(じ)
２ある短い時間。しばらくの間。天気予報では、予報期間の4分の1未満の時間、その現象が連続するときにいう。「都合により—休業する」「曇り、—雨」
３過去のある短い時間・期間。かつて。「彼は—大臣を務めたことがある」「—はどうなるかと心配した」
４その時だけ。その場かぎり。臨時。「—の間に合わせ」
５1回。「—払い」</t>
        </is>
      </c>
      <c r="D478" t="inlineStr">
        <is>
          <t>一時的(17%)；一時中断；一時停止；一時休止；一時中止</t>
        </is>
      </c>
      <c r="E478" t="inlineStr">
        <is>
          <t>時；間；時間；暫く；タイム</t>
        </is>
      </c>
      <c r="F478" t="inlineStr">
        <is>
          <t>一時衰退；一時すぎ；一時過ぎ；一時休業；一時離脱</t>
        </is>
      </c>
      <c r="G478" t="inlineStr">
        <is>
          <t>一時期；一時的；一時間前；一時停止；一時帰国</t>
        </is>
      </c>
      <c r="H478" t="n">
        <v>29</v>
      </c>
      <c r="I478" t="inlineStr">
        <is>
          <t>若干画面が湾曲したテレビも一時流行したが同様にあまり普及しなかった。；静岡県でも定着が一時報告されたが、その後絶滅したと考えられている。；このストライキで一時大規模なファン離れが生じる結果となってしまった。；広辞苑によると、旅とは、住む土地を離れて、一時他の土地に行くこと。；引退したのか一時的な休業なのか事務所移籍したのかは明らかになっていない。；核膜は細胞分裂の際に一時消失することがあるが終期には再形成される。；一時は需要が急増してフル生産体制になり、メーカーは当惑したという。；治療中に一時的に病状が悪化し、その後に完全に回復するような状態を指す。；一時的であるが、同年3月に廃止されて以来約3か月ぶりに復活した。；一時担当を外れていた時期もあったものの1988年春の番組終了まで出演した。；劇場は一時アメリカ軍に接収されたが、長男ヴィーラントに返還された。；これは一時的に強い力を出す時に有効な手段であるからである。；そのため封じられた部分と翻訳を命じられた部分に一時的に分解された可能性がある。；雪や雨は一時的な現象なので、川の持続的な水源は地下水である所が多い。；頭部は一時的に女性の顔にデザインされたことがある。；その頃から映画に興味を持ち始め、一時漫画から離れて映画漬けの日々を送る。；ただ、調査研究を目的とした一時的な定住は各地で行われている。；また、1941年に一時廃止されていた三等寝台車が1956年に復活。；平成以降に被り物キャラで一時的に復活していたが近年は見られなくなった。；呉の軍は戦争が強く、一時は北の後梁と互角に争い合う程の勢力を誇った。；その後、一時復帰するが、数点のデザインを残して番組を去った。；このホームが使用される際のみ、原宿駅は運転取扱駅へと一時的に昇格する。；この頃は、鉱物学の手法的な進歩は一時的に停滞期にあったと言える。；特定の時期にのみ営業をする駅、あるいはイベントなどで一時的に設置されて営業を行う駅。；一時は外国産馬限定の競走が組まれていたこともあるほどである。；なお、全体の工業生産高は一時の底を脱し近年は微増に転じている。；路線バスがバス停に一時停車するだけでも渋滞を引き起こすこともある。；屈辱を味わった彼は、一時はアメリカへの移住を考えたほどだった。；一時はホームレスとなり ホームレス緊急一時宿泊施設に身を寄せていた。</t>
        </is>
      </c>
      <c r="J478">
        <f>HYPERLINK("https://www.weblio.jp/content/一時", "词义详情")</f>
        <v/>
      </c>
      <c r="K478">
        <f>HYPERLINK("https://yourei.jp/一時", "查看例句")</f>
        <v/>
      </c>
    </row>
    <row r="479">
      <c r="A479" t="inlineStr">
        <is>
          <t>著しい</t>
        </is>
      </c>
      <c r="B479" t="inlineStr">
        <is>
          <t>成功</t>
        </is>
      </c>
      <c r="C479" t="inlineStr">
        <is>
          <t>読み方：いちじるしい
［形］［文］いちじる・し［シク］《ク活用の「いちじるし」の変化したもの》はっきりわかるほど目立つさま。明白である。顕著である。めざましい。「—・く身長が伸びる」「—・い進展を見せる」
[補説]古くはク活用であったが、中世ころからシク活用の例も見えはじめ、現代の「いちじるしい」に至る。
[派生]いちじるしさ［名］</t>
        </is>
      </c>
      <c r="D479" t="inlineStr">
        <is>
          <t>著しいもの(4%)；著しい特徴；著しい変化；著しい苦痛；著しい影響</t>
        </is>
      </c>
      <c r="E479" t="inlineStr">
        <is>
          <t>かなり；大きい；重大；目立つ；顕著</t>
        </is>
      </c>
      <c r="F479" t="inlineStr">
        <is>
          <t>特に著しい；老朽化が著しい；成長著しい；著しい対照；著しい場合</t>
        </is>
      </c>
      <c r="H479" t="n">
        <v>29</v>
      </c>
      <c r="I479" t="inlineStr">
        <is>
          <t>同じように慌てて訪れたであろう陽子と比較するとその差は著しかった。；診断基準Eは著しい苦痛あるいは機能の障害であることを要求している。；人口の著しい増加で、予想以上に交通量が増えたのが渋滞の原因である。；そして友に対するその態度の変化の著しきは実に驚くべきほどである。；特にロシアを地盤としたキプチャク・ハン国崩壊後の後継国家に著しい。；その結果、一部の能力のみが突出した著しくバランスが悪い製品となる。；ヨーロッパでもアメリカでも、過去においてそういう傾向が著しかった。；河川では、サケ類が著しく優占していることが大きな特徴となっている。；従って場所によっては1度でもミスをするとクリアが著しく困難になる。；郊外への移転が著しい時期もあったが、最近では都心回帰も見られる。；稲沢市では当駅付近の線路の存在が東西の交通を著しく阻害している。；初回放送時のフィルムは経年劣化が著しい上に所在が不明となっている。；ことに内に人がいて自分が外にいる場合にそれが著しかった。；留学や海外経験のある教員が多いことは南山学園の著しい特色と言える。；発見時に既に断裂し摩耗も著しかったために1行の文字数は不明である。；フランス革命とそれに続く時代はフランスの建築活動を著しく衰退させた。；ユトランド沖海戦は、この時期になされた設計に著しい影響を及ぼした。；遺伝学の研究はショウジョウバエを材料とすることで著しい進歩を見た。；一方で、メモリの速度よりもCPUの速度の向上が著しくなってきていた。；かつては国の史跡だったが、損傷が著しいため県の史跡に変更された。；多くの整体の学校があるが、その教育レベル・教育内容には著しい差がある。；学会がその分野に著しい貢献があった者に授与する称号でもある。；僕等二人の精神状態は二三日と云われぬほど著しき変化を遂げている。；さらに侵食が著しくなると、海蝕洞が崩壊し、大きな谷状の地形となる。；それは東西に分裂したローマ帝国の西の帝国の領域で著しかった。；日本の官庁会計は発生主義の採用が著しく遅れているといわれている。；特にアイルランドやポルトガルでは網にかかる個体の減少が著しい。；作者の他の作品に比較して幻想的要素が希薄で著しく現実的である。；老朽化と損傷が著しく、早急に架け替えが必要な橋も多数存在していた。</t>
        </is>
      </c>
      <c r="J479">
        <f>HYPERLINK("https://www.weblio.jp/content/著しい", "词义详情")</f>
        <v/>
      </c>
      <c r="K479">
        <f>HYPERLINK("https://yourei.jp/著しい", "查看例句")</f>
        <v/>
      </c>
    </row>
    <row r="480">
      <c r="A480" t="inlineStr">
        <is>
          <t>一途</t>
        </is>
      </c>
      <c r="B480" t="inlineStr">
        <is>
          <t>成功</t>
        </is>
      </c>
      <c r="C480" t="inlineStr">
        <is>
          <t>読み方：いちず
［名・形動］
１他を考えないで、一つのことに打ち込むこと。また、そのさま。ひたすら。ひたむき。「—に思いつめる」「学問—の人」
２一つの方法。
「偽って申す条…謀(はかりごと)の—たれば」〈太平記・三〇〉
→ひたすら［用法］</t>
        </is>
      </c>
      <c r="D480" t="inlineStr">
        <is>
          <t>一途な性格；一途な愛；一途なところ；一途な想い；一途な思い</t>
        </is>
      </c>
      <c r="E480" t="inlineStr">
        <is>
          <t>熱心；本気；真剣；真面目；懸命</t>
        </is>
      </c>
      <c r="F480" t="inlineStr">
        <is>
          <t>忠義一途；仕事一途；唯一途；官武一途；純情一途</t>
        </is>
      </c>
      <c r="H480" t="n">
        <v>29</v>
      </c>
      <c r="I480" t="inlineStr">
        <is>
          <t>あなたが私に一途になるようだったら、私はそれに応えてもいいのだし。；運命の恋に一途に憧れる女性が最後にたどり着く真実の愛を描いている。；不貞を働いた妻を一途に愛したことで知られるが、妻からは軽蔑された。；髑髏が我れわれの不幸を嘲り笑うのであると、かれは一途に信じていた。；石炭の産出は減少し続け、鉄道の輸送実績は低下の一途をたどっていた。；これにより物語は「夫への一途で純粋な恋の思いへと集中」してゆく。；何くわぬ顔をしながら、心はいつも一途に千頭家の秘密を追求していたのだ。；以後、目的を失った684部隊の待遇は悪化の一途をたどることになる。；運動は拡大の一途を辿り、一時参加者の数は6万人に達したと言われている。；以降は成績が低下の一途を辿り、を最後にメジャーの舞台から離れた。；野々宮のやつれた姿を見ると、左門は一途に親しさのみを感じるのだつた。；しかし好きになった相手のためなら命すら賭するなど、非常に一途な面を持つ。；世界各地で暴動が発生し、人類は衰退の一途をたどっていったのである。；こんな時、女は一途にこんな考へを持ち、こんなことを言ふものだらうか?；寛延年間にはすでに窮乏していたとされる藩財政は悪化の一途をたどった。；そのようなとき、彼女の盛名の虚しさを一途に嘲殺していたかも知れない。；その結果イタリアは数世紀の間凋落の一途をたどらなければならなかった。；金儲けの一途にしているのではないんだから、ただその柄を同じうするだけだ。；ここには、死を前にしてひたすら赦しを乞う、一途な後悔の念があった。；しかしその好成績も最初の内だけで、2学期からは下降の一途を辿った。；そして左門は慨嘆のあまり一途な若々しさに苦笑を覚えてしまふのだつた。；眼鏡の奥の目をじいいっと細め、美鎖は球体のとび出した箱を見つめた。；しかし2016年頃より、プレミアム会員数は低下の一途を辿っている。；むしろ一途の愛情となつかしさと感謝にあふれる一瞬があった筈だ。；地下鉄の路線が充実してくると高架鉄道の乗客数は減少の一途を辿った。；かつては東日本に辻堂ありといわれた強豪校だが、近年は弱体化の一途。；ページ数は増加の一途をたどり、上下巻に分かれて刊行されるものも現れた。；その上、妹弟子である岳霊珊をいつまでも忘れられない一途な性格の人物である。；しかし、この読みは結局外れ、英独関係は悪化の一途をたどることになる。</t>
        </is>
      </c>
      <c r="J480">
        <f>HYPERLINK("https://www.weblio.jp/content/一途", "词义详情")</f>
        <v/>
      </c>
      <c r="K480">
        <f>HYPERLINK("https://yourei.jp/一途", "查看例句")</f>
        <v/>
      </c>
    </row>
    <row r="481">
      <c r="A481" t="inlineStr">
        <is>
          <t>一大事</t>
        </is>
      </c>
      <c r="B481" t="inlineStr">
        <is>
          <t>成功</t>
        </is>
      </c>
      <c r="C481" t="inlineStr">
        <is>
          <t>読み方：いちだいじ
１放置できない重大な出来事。容易でない事態。「お家の—」
２仏語。仏が衆生救済のためこの世に出現するという重大事。</t>
        </is>
      </c>
      <c r="D481" t="inlineStr">
        <is>
          <t>一大事因縁</t>
        </is>
      </c>
      <c r="E481" t="inlineStr">
        <is>
          <t>事件；イベント；出来事；騒ぎ；騒動</t>
        </is>
      </c>
      <c r="F481" t="inlineStr">
        <is>
          <t>容易ならぬ一大事；なれば一大事</t>
        </is>
      </c>
      <c r="H481" t="n">
        <v>29</v>
      </c>
      <c r="I481" t="inlineStr">
        <is>
          <t>それに万が一広瀬先生が罪に問われるようなことにでもなれば一大事だ。；これは召されないのだが、主家の一大事の裁判だから出て来たのである。；結婚は一生の一大事だということ、美千代にはよくわかっているんだね。；こんな女子だらけの環境で、またヒステリアモードになったら一大事だ。；彼はこの一大事を一家に報告しようとしたのだけれど、言葉が出てこなかった。；しかも今や彼は、この一大事をも、断念しなければならないのであった。；この上、さらに面倒なことでも起ったら、一大事と思案したのであろう。；だが、通してしまったら、二人の者達にとっては一大事に違いないのです。；成功するかどうかが重大なことだったので、失敗したら一大事だぞと心配したからだ。；これは一大事、裁判所から逃げ出したとばかり、町は一斉に動き始めた。；もしこんな息子のいることを夫に知られたら一大事である。；その間に、一大事になってしまったら、いくら後悔しても足りないだろう。；捜索隊が池の中をかきまわして、例の包みが発見されたら一大事だからです。；それでいて雪政は、そんな女の進学先を一大事みたいに取り扱っている。；それが世界の一大事だと思ってるのも、俺たちだけだろうよ。；私たちはぜひとも今度の後生の一大事が助けていただきたいのでございます。；これにはよくよく容易ならぬ一大事があるにちがいない。；これこそが全世界がこの世の初めから待っていた一大事だった。；あの一大事を遅らせようとして、全身の力をすりへらしているのだから。；女子今鳴っている弔いの鉦の音が、その一大事を告げているのではあるまいか!；このままほっておいたら、どんな一大事が起こるかもしれないのだ。；それでも、彼女は一大事を感じて、母親の命じたことだけはした。；女はこれは一大事と、そのまま山の中をあてもなしに逃げ出した。；急は目前、味方の一大事、すでに十数町の近くまでせまってきていた。；そんなタウの自由民がいるわけはないし、いるとしたら一大事だ。；その保護なくしては、今日この一大事績を目にすることはなかったでありましょう。；ふり返れば地下都市、一大事の出来に翻弄されたのがこの三日間でした。；今まで全然氣のつかなかつた一大事を、いま突然教へられたやうな驚きであつたのです。；一生に一度の一大事をできるだけ、恥を少なくして過ごすためにな。</t>
        </is>
      </c>
      <c r="J481">
        <f>HYPERLINK("https://www.weblio.jp/content/一大事", "词义详情")</f>
        <v/>
      </c>
      <c r="K481">
        <f>HYPERLINK("https://yourei.jp/一大事", "查看例句")</f>
        <v/>
      </c>
    </row>
    <row r="482">
      <c r="A482" t="inlineStr">
        <is>
          <t>一段と</t>
        </is>
      </c>
      <c r="B482" t="inlineStr">
        <is>
          <t>成功</t>
        </is>
      </c>
      <c r="D482" t="inlineStr">
        <is>
          <t>一段と高く(3%)；一段と高い(3%)；一段と強く(2%)；一段と大きく；一段と激しく</t>
        </is>
      </c>
      <c r="E482" t="inlineStr">
        <is>
          <t>より；さらに；なお；もっと；更に</t>
        </is>
      </c>
      <c r="F482" t="inlineStr">
        <is>
          <t>一段一段と；更に一段と；一段と美しく；一段と深く；一段と大きな</t>
        </is>
      </c>
      <c r="H482" t="n">
        <v>29</v>
      </c>
      <c r="I482" t="inlineStr">
        <is>
          <t>彼は自分の考えやことばを持ち、一段と熱のある自由な生活をしていた。；それは彼らの目には最初に建てた時よりも一段と美しいとさえ見えた。；艦内の雰囲気は、これまでよりさらに一段と暗くなったように思われた。；かれらはデントンのことを一段と興味ある眼つきで眺めるようになった。；彼らは自分たちに責任があると感じたために事態は一段と悪化した。；それには技術改良を進め、一段と小型・軽量化を進めなければならない。；クサは食品のことだったから、この方が一段と具体的だったともいえる。；ねちねちした声を一段とはりあげ、非難をこめた調子で言うのであった。；前方は一段と広くなっており、高い天井の一部が輝いているようだ。；このまえだいた時から、一段と胸もあつく、背も高くなったではないか?；これにより、一段と安全で正確にフラップを作成することが可能である。；ちょっとした励ましのことばで、また一段と勇気が出るような気がする。；このとき頭痛が一段とひどくなって、もう誰も立っていられなかった。；太平洋というやつは、他のどこの海よりも一段と荒涼さを思わせる海だ。；夫人は幾日かのうちに一段ときれいになったように思われた。；気のせいか、例の白い顔の群れが一段と包囲の輪をちぢめてきたように感じた。；それは、俗界の人でしたらどなたにも一段と興味のあることと存じます。；やがて、廊下よりも一段と明るくなっている大きな部屋に近づいた。；またこの旅が、われわれの心を一段と緊密なものにしてくれることでしょう。；ねえ、君、わしは他のやつらよりも一段と高い領域に生きてるんだ。；特に赤蝋燭は美しく、上にやや開く形は姿を一段と立派にさせます。；私は一段と高い声で、最もおかしい笑劇を見ている人の様に笑った。；そうして話をして見ると、彼女の美しさは一段と風情を増して来るのであった。；その一段一段とあがり框の角が、あたしに突きささるように迫ってきた。；室内へ入ってくる体のこなしが、一段とそのことをハッキリと裏付けた。；それから、一段と騒がしくなり、人の良さそうな声援がいくつも飛んだ。；名古屋の秋葉大権現の神異に至っては、話が更に一段と単純になっている。；とすると、建物のこちら側が一段と高くなっていたとて、なんの不思議があろう。；血色の悪い顔、大きな縁の眼鏡が大きな黒い眼を一段と大きく見せている。</t>
        </is>
      </c>
      <c r="J482">
        <f>HYPERLINK("https://www.weblio.jp/content/一段と", "词义详情")</f>
        <v/>
      </c>
      <c r="K482">
        <f>HYPERLINK("https://yourei.jp/一段と", "查看例句")</f>
        <v/>
      </c>
    </row>
    <row r="483">
      <c r="A483" t="inlineStr">
        <is>
          <t>一度</t>
        </is>
      </c>
      <c r="B483" t="inlineStr">
        <is>
          <t>成功</t>
        </is>
      </c>
      <c r="C483" t="inlineStr">
        <is>
          <t>読み方：いちど
１1回。いっぺん。ひとたび。「—おいでください」「一生に—の体験」
２（副詞的に用いて）いったん。ひとたび。もし。「—食べたら忘れられない味」→一度に</t>
        </is>
      </c>
      <c r="D483" t="inlineStr">
        <is>
          <t>一度っきり；一度考え直し</t>
        </is>
      </c>
      <c r="E483" t="inlineStr">
        <is>
          <t>ひとつ；一旦；一回；同時；一発</t>
        </is>
      </c>
      <c r="F483" t="inlineStr">
        <is>
          <t>少なくとも一度；ぜひ一度；唯一度；是非一度；一週に一度</t>
        </is>
      </c>
      <c r="H483" t="n">
        <v>29</v>
      </c>
      <c r="I483" t="inlineStr">
        <is>
          <t>一度プレーから外れた選手が再びプレーに参加することも可能である。；もっともこの会議は一度も開かれることはなく、単なる名誉職であった。；これ以降はラジオ番組をはじめとした公の場には一度も姿を表していない。；単独で降伏した者は少なく、大部隊が一度に降伏することが多かった。；一度だけの出会いであったがその後二人は長い手紙のやりとりをした。；茶店で一度すれ違っただけだが、そのときの印象を絵に残したとされる。；ただし、一度に実行状態に移ることができるのは一つのプロセスである。；バッチジョブは一度設定されると人間の手を煩わせることなく動作する。；一度クリアしたステージは任意のものを選択し繰り返しプレイできる。；同社製のプールでは2016年時点で一度も事故は発生していないという。；食べ物では卵が好きで一度の食事で15個食べることもあったという。；フェルプスは、以前に一度だけ関係者に内部を案内したことがあると言う。；また彼は一度だけ、チャック・イェーガーの機に同乗したことがあった。；彼は月に一度会いに来るアルテミスを楽しみに待っているとされる。；毎話新しい発明道具が必ず登場し、一度出た道具の再登場はほとんどない。；F1選手権への追加の検討が一度でもなされたレースイベントは以下。；なぜなら一度過去に行けば、もう現代に戻れなくなってしまうからである。；一度倒した敵シンボルは、そのダンジョンを出入りするまで復活しない。；稀に一度は中止にされた作品が時を経て再起動するケースもある。；また、一度当たりを出した後、欲をかいて結果的に失敗することもある。；ただし、一度NPBで引退した後、NPB外球団で復帰した選手である。；一度登場した曲は継続して使用されるかアルバムごとやツアーごとに新たに作曲する。；なお以下は一度も導入経験がない社局を記載し、三重県の一部を含めている。；この年以降の数年間は、年に一度は撮影現場を見学に来ていたという。；一度だけ出版社で働いたこともあり、原稿の断り状を送る作業をしていた。；一度職業を決めると4種類の職業から違う種類に途中変更は効かない。；そのため、2002年に完成していた店舗用のビルは一度も使われなかった。；後にオジーは一度引退するが、その時にランディ宛に手紙を書いている。；なお、コールドゲームで優勝決定となった試合はこれまで一度もない。</t>
        </is>
      </c>
      <c r="J483">
        <f>HYPERLINK("https://www.weblio.jp/content/一度", "词义详情")</f>
        <v/>
      </c>
      <c r="K483">
        <f>HYPERLINK("https://yourei.jp/一度", "查看例句")</f>
        <v/>
      </c>
    </row>
    <row r="484">
      <c r="A484" t="inlineStr">
        <is>
          <t>一同</t>
        </is>
      </c>
      <c r="B484" t="inlineStr">
        <is>
          <t>成功</t>
        </is>
      </c>
      <c r="C484" t="inlineStr">
        <is>
          <t>読み方：いちどう
１そこにいる人々全部。または、仲間の者全体。「有志—」
２同じであること。同一。
「面々の意見—せしかば」〈太平記・四〉
３心を一つにして物事をすること。→一同に
「などか又、おのおの見つかざりつるぞ。—せられけるにや」〈とはずがたり・二〉</t>
        </is>
      </c>
      <c r="D484" t="inlineStr">
        <is>
          <t>一同大いに；一同打ち；一同みな；一同無事；一同唖然</t>
        </is>
      </c>
      <c r="E484" t="inlineStr">
        <is>
          <t>みんな；皆；一座；誰しも；例外なく</t>
        </is>
      </c>
      <c r="F484" t="inlineStr">
        <is>
          <t>家族一同；親戚一同；御一同；われわれ一同；ら一同</t>
        </is>
      </c>
      <c r="H484" t="n">
        <v>29</v>
      </c>
      <c r="I484" t="inlineStr">
        <is>
          <t>まわりに、これを聞いていた一同は、いよいよこれは気が変な娘だわい。；大胆な発想に一同驚いていたところに偶然にも近藤本人が通りかかった。；一同の様子をわざわざ見に来る者、激励に訪れる者も後を絶たなかった。；そんな中で唐突に大介の口から飛び出した組の解散に子分一同は混乱した。；それを見ると一同はただなんという事もなく思いやりのない笑いかたをした。；すでに話すことはできなかったが、紙に書いた言葉で一同を笑わせた。；一同は憤慨するものの、目的も犯人も分からないままに開幕時間が訪れた。；昼少し過ぎに一同はちょうどいい疲れかげんで事務所に帰りついた。；同年5月31日に一同預り願い届が提出され、正式に部屋は閉鎖された。；常界の新たな王となったクロウリーの宣言に、集まった一同は困惑する。；そこで一同は、例の非ユークリッドの空間に通ずる扉を開き、外へでた。；ニーナは芝居を続けなくてよくなったらしいことを確認すると一同の前に現れる。；そして一同はイベント当日を迎え、最終的にランジュが優勝を果たす。；見本市では世界でも大手の出版社とイスラエルの出版社が一同に集まった。；明治21年漢口楽善堂の堂員一同は、次のような活動方針を決定している。；王子は馬と武具甲冑を返し、父母を返してもらい、一同幸せに暮らした。；乗員の一人がゴムの焼ける匂いがすると報告したので一同で火元を探した。；一同が恐怖し混乱するも、翌日には代役を立て上演が再開される。；續いて一同乘り込んだが、君だけは見張をするつて垣の外に殘つたつけね。；最後の場面では一同がコーヒーを飲みに行き、無人となった部屋が映される。；やがて一同は食事のために部屋を出ていくが、コスチャは一人残り仕事を続ける。；知らせを受けた職員一同や村民は現場へと急行し、捜索が開始された。；ひとり残されたファルスタッフは一同が変装した妖精たちに捕えられる。；銃声を聞いた一同が部屋に入ると床に倒れ致命傷を負ったキムがいた。；親戚一同との別れ際における草刈は、普段と様子が異なっていたという。；この事件を重要視した山口組執行部は一同名義で菅谷を絶縁処分とした。；書いた覚えのない手紙に困惑する一同に、夏目から衝撃の事実が伝えられる。；が、幸ひにして、利仁の声は、一同の注意を、その軒の方へ持つて行つた。；一同が障子を開けると、清兵衛の姿はなく、そばが羽織を着て座っていた。</t>
        </is>
      </c>
      <c r="J484">
        <f>HYPERLINK("https://www.weblio.jp/content/一同", "词义详情")</f>
        <v/>
      </c>
      <c r="K484">
        <f>HYPERLINK("https://yourei.jp/一同", "查看例句")</f>
        <v/>
      </c>
    </row>
    <row r="485">
      <c r="A485" t="inlineStr">
        <is>
          <t>一度に</t>
        </is>
      </c>
      <c r="B485" t="inlineStr">
        <is>
          <t>成功</t>
        </is>
      </c>
      <c r="C485" t="inlineStr">
        <is>
          <t>読み方：いちどに
［副］物事が同時に行われるさま。いちじに。いちどきに。「—入れるのは無理だ」「—花が咲く」</t>
        </is>
      </c>
      <c r="D485" t="inlineStr">
        <is>
          <t>一度っきり；一度考え直し</t>
        </is>
      </c>
      <c r="E485" t="inlineStr">
        <is>
          <t>ひとつ；一旦；一回；同時；一発</t>
        </is>
      </c>
      <c r="F485" t="inlineStr">
        <is>
          <t>少なくとも一度；ぜひ一度；唯一度；是非一度；一週に一度</t>
        </is>
      </c>
      <c r="H485" t="n">
        <v>29</v>
      </c>
      <c r="I485" t="inlineStr">
        <is>
          <t>一度プレーから外れた選手が再びプレーに参加することも可能である。；もっともこの会議は一度も開かれることはなく、単なる名誉職であった。；これ以降はラジオ番組をはじめとした公の場には一度も姿を表していない。；単独で降伏した者は少なく、大部隊が一度に降伏することが多かった。；一度だけの出会いであったがその後二人は長い手紙のやりとりをした。；茶店で一度すれ違っただけだが、そのときの印象を絵に残したとされる。；ただし、一度に実行状態に移ることができるのは一つのプロセスである。；バッチジョブは一度設定されると人間の手を煩わせることなく動作する。；一度クリアしたステージは任意のものを選択し繰り返しプレイできる。；同社製のプールでは2016年時点で一度も事故は発生していないという。；食べ物では卵が好きで一度の食事で15個食べることもあったという。；フェルプスは、以前に一度だけ関係者に内部を案内したことがあると言う。；また彼は一度だけ、チャック・イェーガーの機に同乗したことがあった。；彼は月に一度会いに来るアルテミスを楽しみに待っているとされる。；毎話新しい発明道具が必ず登場し、一度出た道具の再登場はほとんどない。；F1選手権への追加の検討が一度でもなされたレースイベントは以下。；なぜなら一度過去に行けば、もう現代に戻れなくなってしまうからである。；一度倒した敵シンボルは、そのダンジョンを出入りするまで復活しない。；稀に一度は中止にされた作品が時を経て再起動するケースもある。；また、一度当たりを出した後、欲をかいて結果的に失敗することもある。；ただし、一度NPBで引退した後、NPB外球団で復帰した選手である。；一度登場した曲は継続して使用されるかアルバムごとやツアーごとに新たに作曲する。；なお以下は一度も導入経験がない社局を記載し、三重県の一部を含めている。；この年以降の数年間は、年に一度は撮影現場を見学に来ていたという。；一度だけ出版社で働いたこともあり、原稿の断り状を送る作業をしていた。；一度職業を決めると4種類の職業から違う種類に途中変更は効かない。；そのため、2002年に完成していた店舗用のビルは一度も使われなかった。；後にオジーは一度引退するが、その時にランディ宛に手紙を書いている。；なお、コールドゲームで優勝決定となった試合はこれまで一度もない。</t>
        </is>
      </c>
      <c r="J485">
        <f>HYPERLINK("https://www.weblio.jp/content/一度に", "词义详情")</f>
        <v/>
      </c>
      <c r="K485">
        <f>HYPERLINK("https://yourei.jp/一度に", "查看例句")</f>
        <v/>
      </c>
    </row>
    <row r="486">
      <c r="A486" t="inlineStr">
        <is>
          <t>一日</t>
        </is>
      </c>
      <c r="B486" t="inlineStr">
        <is>
          <t>成功</t>
        </is>
      </c>
      <c r="C486" t="inlineStr">
        <is>
          <t>読み方：いちじつ
１月の第1日。ついたち。「七月—」
２一つの日数。いちにち。
「彼は—も早く父に逢って話をしたかった」〈漱石・それから〉
３ある日。いちにち。「秋の—、古都を歩く」</t>
        </is>
      </c>
      <c r="D486" t="inlineStr">
        <is>
          <t>一日中(7%)；一日平均；一日おき；一日分；一日ごと</t>
        </is>
      </c>
      <c r="E486" t="inlineStr">
        <is>
          <t>日；太陽日；平均太陽日</t>
        </is>
      </c>
      <c r="F486" t="inlineStr">
        <is>
          <t>丸一日；まる一日；たった一日；きょう一日；十年一日</t>
        </is>
      </c>
      <c r="H486" t="n">
        <v>29</v>
      </c>
      <c r="I486" t="inlineStr">
        <is>
          <t>従って地下川へ訪れるのはプエルト・プリンセサから丸一日仕事である。；そこで鳥の声のレコードを買ってきて、自宅で一日中流し続けていた。；同じ協会がまる一日を担当するが、昼の部と夜の部では出演者が異なる。；時課経には平日の日の出前から晩の一日の流れに沿って収録されている。；おそらくわれわれがいま一日かかるものは半日でやってしまうと思います。；フランス革命の指導者たちが提唱した、一日を十の冪数で分割する方法。；バビロニア人やエジプト人は日の出を一日の始まりの時刻だとしていた。；出演者は一日同じだが、一部と二部で出演順が変更になる場合がある。；同じ協会がまる一日を担当するが昼の部と夜の部では出演者が異なる。；この駅を跨いで運転される列車は少ないが一日数本が設定されている。；丸一日アパートにこもって、好きな漫画を描いていられる日は幸福だった。；一日のうちに異なる雰囲気を持つ様々なビーチに行くことができるのである。；一日に一トラックを割り当て、各アルバムに3ヶ月分のトラックを収録。；今もケーブルテレビ専門のチャンネルがあり、毎日一日中放送している。；夢千代が上村の居室を訪れると一日違いで届いていた自分の手紙があった。；ファンのために一日でも長く土俵に上がる姿勢には感動していた。；なおヨーロッパでは19世紀頃までは公式に正午を一日の始まりにしていた。；この時は一日で良いからメジャーでプレイしたいとしか思っていなかったという。；全てではないが、多くの場合には一日のうちの早い時間帯に開花する。；ゲームは全てのイベントが一日限りで終了する「一日完結型」で進行する。；しかし、21世紀に入っても一日一回以上無感地震が発生している。；しかし一日雑談をして過ごすような仕事で好きだった酒の量が増える。；番組は岡山県と香川県のその日一日のニュースや話題を伝えていた。；そして、平九郎の名は一日にして全国にとどろいたと伝えられている。；内陸性で比較的雨量が少なく、一日の温度変化や季節の温度変化が大きい。；また彼はすでに一日に数時間程度しか正常な活動ができないほど老衰していた。；スケジュールは三部構成となっており、一日ごとに内容が変化する。；一日の間に、月は一つのエリアを通過すると言うわけである。；一日5回食事していたにもかかわらず、1年間の撮影で14kg痩せた。</t>
        </is>
      </c>
      <c r="J486">
        <f>HYPERLINK("https://www.weblio.jp/content/一日", "词义详情")</f>
        <v/>
      </c>
      <c r="K486">
        <f>HYPERLINK("https://yourei.jp/一日", "查看例句")</f>
        <v/>
      </c>
    </row>
    <row r="487">
      <c r="A487" t="inlineStr">
        <is>
          <t>一任</t>
        </is>
      </c>
      <c r="B487" t="inlineStr">
        <is>
          <t>成功</t>
        </is>
      </c>
      <c r="C487" t="inlineStr">
        <is>
          <t>読み方：いちにん
［名］(スル)
１物事の処理・決定のすべてをまかせること。「動議の扱いを議長に—する」
２律令制で、一人の官の限られた任期。</t>
        </is>
      </c>
      <c r="D487" t="inlineStr">
        <is>
          <t>一任すること(6%)；一任される(4%)；一任しよ；一任業務；一任勘定</t>
        </is>
      </c>
      <c r="E487" t="inlineStr">
        <is>
          <t>任せ；人任せ；丸投げ；他力本願；無責任</t>
        </is>
      </c>
      <c r="F487" t="inlineStr">
        <is>
          <t>取引一任；御一任；あなたに一任；一任勘定取引；一任する</t>
        </is>
      </c>
      <c r="H487" t="n">
        <v>29</v>
      </c>
      <c r="I487" t="inlineStr">
        <is>
          <t>二人目の時、彼女がわたしに家事や子供を一任したいといったからです。；いずれにしてもこのテストの実施はそれぞれの生徒に一任されます。；原稿の件については先便で申上げた通りあなたの方の都合に一任します。；長男の恒久に社長の座を継がせて舞台を一任し、自らは経営に専念した。；それは困るのだったが、娘に一任した以上、我慢するほかはなかった。；ここ数日、生徒たちは訓練していたようだが、指導は若宮に一任してある。；架橋位置は上流案と下流案が提唱されたが位置が決まらず県に一任された。；この中には将校もおられるが、この第四陣の引率は小官に一任されている。；そんなに気になるのならば和穂の一件を彼に一任しようと思うが、どうかね?；だがこの時に病を得たために従軍はできず、子の大井政吉に一任した。；一任すると言われても、そう次から次によい方法を案出できるものではない。；観測隊出発まで基地の場所は決まらず、決定は隊長に一任されていた。；男子同様、予選の方式は各大陸のサッカー連盟に一任されている。；すべての審査権は最高責任者が自らに一任していたもんだと思っていたんだが。；現在のロシアでは都市型集落の基準設定は連邦構成主体に一任されている。；血塗られた日本刀とか、返り血を浴びたコートなどの処分を横田に一任。；普通の鍵とどう違うかわからぬが、その辺は専門家に一任してよかろうと思う。；業務を弁護士に一任したうえで、自己破産の申請を準備することとなった。；だから機械装置に閉じ込めて、兄であるフリッツ少尉に管理を一任した。；エンゲルスはこれを徹底的に批判、同盟より新草案の作成を一任される。；しかし女帝はいつもの習慣から、自分が信頼を置く人物に孫の教育を一任した。；直接にわたしのところへ話をもってきたが、決定はデュクロ氏に一任しておいた。；事後処理を弁護士に一任し、法的整理を含め検討を始めるとしていた。；王府の高官たちは交渉をまとめることができず、対応を蔡温に一任した。；妻の選択はわしに一任してくれ、この重大な責任は自分が負うよ。；事故処理は会社に一任することになっているのだろう。；かれらに贈与したこれらの名誉の価値を説明する役目はペリーに一任した。；劉備が益州に入ると荊州に留められ、州の事務を一任される事になった。；あなたは今日から私に治療を一任させていただきたい。</t>
        </is>
      </c>
      <c r="J487">
        <f>HYPERLINK("https://www.weblio.jp/content/一任", "词义详情")</f>
        <v/>
      </c>
      <c r="K487">
        <f>HYPERLINK("https://yourei.jp/一任", "查看例句")</f>
        <v/>
      </c>
    </row>
    <row r="488">
      <c r="A488" t="inlineStr">
        <is>
          <t>市場</t>
        </is>
      </c>
      <c r="B488" t="inlineStr">
        <is>
          <t>成功</t>
        </is>
      </c>
      <c r="C488" t="inlineStr">
        <is>
          <t>読み方：いちば
１一定の商品を大量に卸売りする所。「魚—」「青物—」
２小売店が集まって常設の設備の中で、食料品や日用品を売る所。マーケット。「公設—」</t>
        </is>
      </c>
      <c r="D488" t="inlineStr">
        <is>
          <t>市場向け；市場占有率；市場全体；市場投入；市場開拓</t>
        </is>
      </c>
      <c r="E488" t="inlineStr">
        <is>
          <t>市；マーケット；マート；証券業界；市庭</t>
        </is>
      </c>
      <c r="F488" t="inlineStr">
        <is>
          <t>米国市場；欧州市場；国際市場；ヨーロッパ市場；中古市場</t>
        </is>
      </c>
      <c r="G488" t="inlineStr">
        <is>
          <t>市場町；市場価格；市場規模；市場調査；市場シェア</t>
        </is>
      </c>
      <c r="H488" t="n">
        <v>29</v>
      </c>
      <c r="I488" t="inlineStr">
        <is>
          <t>中古車市場では、極端な多走行車であっても取引が行われる事例がある。；各国の航空機メーカーはこの市場を狙って熱心に新型機の研究を行った。；この機種は教育市場向けモデルのため一般にはほとんど出回っていない。；これは企業デスクトップ市場を得るためのノベルの最初の試みであった。；日本と並ぶ主要市場であるアメリカ合衆国では、現地生産を行っている。；とは市場全体の一部を構成する特定のニーズを持つ規模の小さい市場のこと。；株式会社の株式に相当する投資口を時価で市場で購入することができる。；ここ最近ではNESiCAxLiveのコンテンツが市場の中心である。；アメリカが銀の法定備蓄を開始すると、国際市場での銀価格は急騰した。；どのサイトもまだ市場の優位性も批判的なサポートも得ることができていない。；新しい才能の育成と発見および、ロシアにおける出版市場の創出である。；ただし、近年は市場への供給が減っており、貴重な木材となりつつある。；この他、一般向けモデルをベースにした、教育市場向けのモデルが存在した。；祭りは年数回不定期で開催され、市場とミニコンサートで賑わっている。；新たな市場となったイギリスはオランダのような取引相手の主体となることは無かった。；トランスジェニック技術を採用して市場に出している組織は次のとおりである。；植物を栽培して花や実を収穫し、市場に売却することなどができる。；翌年以降は更に伸びており、この時期大量のソフトが市場に流れ込んでいた。；フリードマンは、あらゆる市場への制度上の規制は排除されるべきと考えた。；市場では、マイナスイオンを発生すると称する様々な商品が販売されている。；また、ロンドン自体が巨大な消費市場であるため、商業活動も活発である。；ゆえに製品発見のために市場投入と同等のコストがかかっては意味がない。；ポケットに入れられる小さなものが若干早く市場に出た。；最終的に、典礼劇は教会堂の外、教会堂の庭や市場へ上演の場を移した。；また、本作の受賞は日本映画産業が国際市場に進出する契機となった。；Itaniumのサポートは一度は計画されたが、市場導入には至っていない。；しかしこれらの分野でも次第にARMに市場を奪われていった。；これは楽市場での交通の自由や種々の特権を認めたものであった。；非市場社会には、価格を形成する自己調節的市場は存在しなかったとする。</t>
        </is>
      </c>
      <c r="J488">
        <f>HYPERLINK("https://www.weblio.jp/content/市場", "词义详情")</f>
        <v/>
      </c>
      <c r="K488">
        <f>HYPERLINK("https://yourei.jp/市場", "查看例句")</f>
        <v/>
      </c>
    </row>
    <row r="489">
      <c r="A489" t="inlineStr">
        <is>
          <t>一番</t>
        </is>
      </c>
      <c r="B489" t="inlineStr">
        <is>
          <t>成功</t>
        </is>
      </c>
      <c r="C489" t="inlineStr">
        <is>
          <t>読み方：いちばん
［名］
１順序・番号の最初。また、最初のもの。「—電車」
２最も優れているもの。また、最も大切なこと。「—の成績」「何よりも健康が—だ」
３歌合わせ・碁・相撲・剣道などの勝負の組み合わせ。一勝負の組み合わせ。「この—が見ものだ」「結びの—」
４謡・能・歌舞などの一曲。「謡を—あげる」
［副］
１この上なく。最も。「君が—上手だ」
２ためしに。思いきって。ひとつ。「できるかどうか、ここで—試してみよう」
［アクセント］と2はイチバン、1はイチバン。</t>
        </is>
      </c>
      <c r="D489" t="inlineStr">
        <is>
          <t>一番上(3%)；一番いい(2%)；一番奥(2%)；一番近い(2%)；一番下</t>
        </is>
      </c>
      <c r="E489" t="inlineStr">
        <is>
          <t>最初；最高；初め；第一；トップ</t>
        </is>
      </c>
      <c r="F489" t="inlineStr">
        <is>
          <t>一番多い；一番大切；一番機；一番大事；一番多く</t>
        </is>
      </c>
      <c r="G489" t="inlineStr">
        <is>
          <t>一番手；一番人気；一番町；一番星；一番槍</t>
        </is>
      </c>
      <c r="H489" t="n">
        <v>29</v>
      </c>
      <c r="I489" t="inlineStr">
        <is>
          <t>この姿が当時の国民に親しまれ、一番印象に残る姿となったといわれる。；おそらく、一番早く人口が20万人に到達した都市であったと思われる。；はマリエン広場の近くにあり、中心部では一番古くからある教会である。；フィリッピーノは後に親友となるだけでなく、彼の一番の協力者となる。；多くの歯を失った老人でも最後まで生えており、その寿命は一番長い。；しかし、囚人の中で一番多かったのは非ユダヤ系ポーランド人であった。；東亜プランが開発した製品の中では移植プラットフォーム数が一番多い。；Osaka Metroの中では文字数も読みも一番長く多い駅である。；彫刻は力が入れられたものの、この時代に一番勢力的だったのは絵画である。；CPUから見て一番遠いキャッシュメモリの事をLLCと呼ぶ事もある。；またそれを一番よく理解をしていたのは、他ならぬレオポルト自身であった。；いろいろ批判はあるだろうけど、一番努力した人だと思いますね。；現在確認されているひみつ道具の中では一番小さいとされている。；車輪の一番内側にはフランジが設けられており、脱線を防ぐ働きをする。；その中でも一番有名だと思われた女性は、ジョセフィン・ベイカーだった。；米内さんに仕えた者は、誰でも自分が一番信頼されているように思いこむ。；タイの最北部に位置することもあって、タイ国内で一番涼しい地域である。；考えもなく口真似することこそは、まさに彼が一番閉口したことであった。；その取組の後に二番しか残っていないときは一番後取り直しとなる。；雲との一番大きな違いは水滴の大きさなどではなく、両者の定義の違いである。；彼らの番組はその内容の過激さからBBCの一番の検閲対象となった。；全員の好意値を総合して一番好意値を稼いだプレイヤーが勝利となる。；作者である藤子不二雄は、自分の作品の中では一番のお気に入りだという。；トランプのスートのうち、どれが一番強いかは一般的には決まっていない。；測定したい値が不明な場合は一番大きな値の端子から接続する。；名古屋市16区の中で人口密度が一番高い区であり、一番面積が小さい。；古葉自身に言わせると、あそこが一番グラウンド全体が見渡せるとの事。；司法書士は前述の通り団体としての活動も資格業の中では一番積極的と言える。；だから、地震が起きたら、本当はここへ逃げるのが一番安全だったりする。</t>
        </is>
      </c>
      <c r="J489">
        <f>HYPERLINK("https://www.weblio.jp/content/一番", "词义详情")</f>
        <v/>
      </c>
      <c r="K489">
        <f>HYPERLINK("https://yourei.jp/一番", "查看例句")</f>
        <v/>
      </c>
    </row>
    <row r="490">
      <c r="A490" t="inlineStr">
        <is>
          <t>一番乗り</t>
        </is>
      </c>
      <c r="B490" t="inlineStr">
        <is>
          <t>成功</t>
        </is>
      </c>
      <c r="C490" t="inlineStr">
        <is>
          <t>読み方：いちばんのり
［名］(スル)
１戦場で、第一番に敵陣や敵城に攻め込むこと。また、その人。
２ある場所に最初に到着すること。また、その人。「甲子園に—したチーム」</t>
        </is>
      </c>
      <c r="H490" t="n">
        <v>29</v>
      </c>
      <c r="I490" t="inlineStr">
        <is>
          <t>さらに重要なのは、自分があの山へ一番のりしたいと思っていることだ。；初七日の朝、誰もこないうちにと私は室さんのアパートへ一番乗りをした。；いきなり呼び出された人間なのに、店には一番乗りで到着してしまった。；ジャクソムはそして認めたのだ、自分があの山に一番のりしたいことを!；しかしリーたちは他の記者に一足遅れ、東京への一番乗りには失敗した。；一番のりしたものは、その船にあったうちもっともよいのがもらえる。；あくる朝は、一番乗りと暗いうちから手あぶりをさげて氷の上へ行く。；人間で敵陣へ一番乗りしたのは意外にも足腰の立たぬ真鍋五千郎であった。；一番乗りだったので、係官はいささか心配そうに渡り廊下を振り返った。；多くのメディア出演もこなしながら、5時半には学校へ一番乗りしていた。；行長と清正とが一番乗りを争って、清正が勝ったと云う話は伝説である。；彼女の躰に一番乗りをし、開発の鋤を加えたのは自分だといい気になっていた。；てっきり一番乗りかと思っていたから先着の人間がいたことは意外だった。；そこにもまた、一番のりの魔力につかれた男の壮絶な姿を見る思いがする。；一番のりが一人娘からで喜んだ父は、少し早いけれど私に合わせて出社した。；一番のりは、やはり、日本の軍隊だったと言わなければならないのである。；いちばん乗りだろうと思って、ドアを開けて入ったら、袋がすでに二つ出されていた。；ウオルドロン隊は隊長の嗅覚のおかげで戦場に一番乗りしつつあった。；ヨーロッパのチームとしては一番乗りでの本大会出場決定となった。；その頃、教育用に割り当てられた広間へ一番乗りするのは直衛だった。；昨日と同じく一番乗りのタイミングで、部室に入るなり元山は声を上げた。；ぼくが今ここに店を出したら、ぼくは戦災後、復興の一番のりをするわけだ。；大空襲で焼野原と化したという東京へ、誰もが一番乗りしたがっていた。；その年の一番乗りを目指すため、スナフキンを先頭に山の頂上へ行進する。；研究室には一番乗りで、自分一人だけのためにコーヒーを淹れた。；この信楽焼の狸に似た黒犬は、トラックにちゃっかり一番乗りしたのだった。；黒い峰々は互いに、空を突き破る一番乗りを遂げようと覇を競っていた。；かれはどうしてもあの山に一番のりがしたかった。；いつもと違って一番乗りで教室にやってきた僕は、教科書を広げて最後の仕上げをしていた。</t>
        </is>
      </c>
      <c r="J490">
        <f>HYPERLINK("https://www.weblio.jp/content/一番乗り", "词义详情")</f>
        <v/>
      </c>
      <c r="K490">
        <f>HYPERLINK("https://yourei.jp/一番乗り", "查看例句")</f>
        <v/>
      </c>
    </row>
    <row r="491">
      <c r="A491" t="inlineStr">
        <is>
          <t>一部</t>
        </is>
      </c>
      <c r="B491" t="inlineStr">
        <is>
          <t>成功</t>
        </is>
      </c>
      <c r="C491" t="inlineStr">
        <is>
          <t>読み方：いちぶ
１全体の中のある部分。一部分。「—の反対派」「長編を—割愛する」⇔全部。
２書物や新聞などのひとまとまり、ひとそろい。また、書物の一冊。
３高校・大学などで、夜間部を指す二部に対して昼間部のこと。</t>
        </is>
      </c>
      <c r="D491" t="inlineStr">
        <is>
          <t>一部区間；一部変更；一部列車；一部車両；一部路線</t>
        </is>
      </c>
      <c r="E491" t="inlineStr">
        <is>
          <t>部；部分；面；分野；要素</t>
        </is>
      </c>
      <c r="F491" t="inlineStr">
        <is>
          <t>ほんの一部；全部または一部；一部機種；一部楽曲；一部修正</t>
        </is>
      </c>
      <c r="G491" t="inlineStr">
        <is>
          <t>一部地域；一部始終；一部事務組合；一部店舗；一部の人</t>
        </is>
      </c>
      <c r="H491" t="n">
        <v>29</v>
      </c>
      <c r="I491" t="inlineStr">
        <is>
          <t>一部の古代宇宙飛行士説論者が江戸時代に起きたと主張する事件である。；州内には31の国が保護する原生地の全体あるいは一部が含まれている。；この形式は一部の例外を除いて、以降のシリーズにも引き継がれている。；同じく、一部の衣服のデザインが保護されることが特に定められている。；この技術の名称として、他に提案され吟味されたものの一部を次に示す。；なお、江戸時代にはフランス式のスートも一部の学者には知られていた。；さまざまな考え方を反映するために一部が統合または分割される。；以下に、ルールの詳細に立ち入らない範囲で各色の特徴の一部を述べる。；一部にはノート型でありながらバッテリーを搭載しない機種も存在する。；大半の作品が毎週更新だが、一部月1更新・隔週更新の作品も存在する。；ただし、一部のATMは紙幣のみで硬貨には対応していないものもある。；沿岸部では冬でも晴天日数が多いが北部の一部は豪雪地帯となっている。；一部オートフォーカスカメラでもこの機構を自動化したものがある。；以下の書籍の該当頁には、類話の一部が載っているので参照されたい。；スペイン語圏では、複数部分からなる姓の一部が省略されることがある。；一部のフォーマットは普及したが他のフォーマットは普及しなかった。；その一部は日本にも輸入された他、日本国産のものも各種登場した。；本シリーズの一部は第1作とその他の東宝特撮作品の世界観を反映した。；また近年ではコース中でゴミを捨てて良い区間が一部に限定されている場合もある。；一部例外もあるが芳文社作品では鼻がなく、竹書房作品では鼻がある。；この当時に描いた漫画の一部は今でも記念館に保存されている。；政治的・文化的にはやや保守化し、一部の人権拡大の要求は軽視された。；朝・夕方の一部列車は草津駅まで延長運転されるようになった。；一部の哲学は、理知的な学問以外の領域とも深く関わっている点に特徴がある。；今日はゲール文字の一部として主に装飾的な目的で使用されている。；一部の人々は計算機科学は数学と関連が深いとみなしているという。；これは一部正しいが全てが正しいと言うわけではない。；そのとき製作した一部の部品は今もオックスフォード科学史博物館にある。；命令の一部の数値は命令コードと呼ばれ、実行すべき処理を指定する。</t>
        </is>
      </c>
      <c r="J491">
        <f>HYPERLINK("https://www.weblio.jp/content/一部", "词义详情")</f>
        <v/>
      </c>
      <c r="K491">
        <f>HYPERLINK("https://yourei.jp/一部", "查看例句")</f>
        <v/>
      </c>
    </row>
    <row r="492">
      <c r="A492" t="inlineStr">
        <is>
          <t>一部分</t>
        </is>
      </c>
      <c r="B492" t="inlineStr">
        <is>
          <t>成功</t>
        </is>
      </c>
      <c r="C492" t="inlineStr">
        <is>
          <t>読み方：いちぶぶん
全体の中のある部分。わずかな部分。「—まだ悪いところがある」</t>
        </is>
      </c>
      <c r="D492" t="inlineStr">
        <is>
          <t>一部；部；部分；分野；要素</t>
        </is>
      </c>
      <c r="F492" t="inlineStr">
        <is>
          <t>小さな一部分；単なる一部分；どの一部分</t>
        </is>
      </c>
      <c r="H492" t="n">
        <v>29</v>
      </c>
      <c r="I492" t="inlineStr">
        <is>
          <t>問題の発見と問題の形成を含む大きな問題処理のうちの一部分をなす。；自分がこの世から消えて無くなった跡に、残っている物の一部分である。；机の上の方へ引いて置いた灯は、暗い庭先の一部分に光りを広げてゐる。；また三上於菟吉氏も書いておられたが僕はその一部分より読まなかった。；かべのいちぶぶんが、電気じかけのガンドウがえしになっているのです。；一部分がフィルムに残り文字の途中で切れてしまう失敗も少なくない。；彼等はすっかり時の経過と、生命の流れの一部分を忘却していたのだ。；中央部の一部分の水田地帯を除いて全体的に山がちな地形となっている。；その話の一部分で片附くことはかたづけて置かうと言ふ計画なのです。；そしてほかのものは、個体群の一部分だけが移動する部分的な渡りを行う。；一部分だけ、あるいは原則だけなら、賛意を表明することも可能である。；俳人どもが集まってともに俳句を作るその場所もまた人生の一部分である。；日本の自然主義は外国の自然主義作家の一部分しか真似てない気がします。；こんな一部分の現象についてでも芸術上に民衆的要素のあることは察せられる。；なおその縁の一部分が穴の空いたざる状になっているものもある。；これはおそらく、建築複合体の小さな一部分であると考えられている。；自分を教育するもっともすぐれた方法は、革命の一部分になることだ。；河川交通が減退しても、川は郡の一部分と他の部分との障害であった。；また同時に、文書の一部分を文書内の他の箇所から参照する手段を提供している。；コピーは画面上の指定する一部分をスタンプと同様に使う機能である。；わずかにその一部分、ひとりかふたりの巨像を見上げるばかりであった。；それらは一般的な自由または幸福追求の権利の一部分をなしている。；あなたは私の一部分にならなくてはならんと云ふのでせう。；あらゆる經過はその一部分を成すものに過ぎないことは云ふまでもない。；人類に対する濃厚なる同情は、以て宗教の一部分と名づく可からざるか。；名称は、いわき市の一部分であり、かつて自治体名でもあった平に因む。；こうしていることが生であるなら『死』といわれている現象も生の一部分です。；壮快という感じがその気分の一部分を占めていて、それが万人に共通する。；いずれもイベントに関連する人物や場所のテーマ曲の一部分である。</t>
        </is>
      </c>
      <c r="J492">
        <f>HYPERLINK("https://www.weblio.jp/content/一部分", "词义详情")</f>
        <v/>
      </c>
      <c r="K492">
        <f>HYPERLINK("https://yourei.jp/一部分", "查看例句")</f>
        <v/>
      </c>
    </row>
    <row r="493">
      <c r="A493" t="inlineStr">
        <is>
          <t>一抹</t>
        </is>
      </c>
      <c r="B493" t="inlineStr">
        <is>
          <t>成功</t>
        </is>
      </c>
      <c r="C493" t="inlineStr">
        <is>
          <t>読み方：いちまつ
《絵筆のひとなすり・ひとはけの意から》ほんのわずか。かすか。「—の不安が残る」</t>
        </is>
      </c>
      <c r="D493" t="inlineStr">
        <is>
          <t>一抹の寂し(6%)；一抹の淋し(2%)；一抹の山の端線；一抹の暗い</t>
        </is>
      </c>
      <c r="E493" t="inlineStr">
        <is>
          <t>かすか；ほんの少し；ほんのわずか；ごくわずか；ほんのちょっと</t>
        </is>
      </c>
      <c r="H493" t="n">
        <v>29</v>
      </c>
      <c r="I493" t="inlineStr">
        <is>
          <t>私は感謝したい気持で一杯だったが、やはり一抹の寂しさが残り続けた。；以前の父の目には悲しみがあったが、いまはそんなものは一抹もない。；捜査を間違えたのではないかと、一抹の不安が心のなかでうずいていた。；それを思へば女と生れた身の消し難い一抹の哀愁をおぼえさせられます。；それにもうひとつ、平四郎は依頼主の清助にも一抹の疑いを残していた。；買収云云のことがまだ彼等の念頭に一抹の疑団を残して居るのであつた。；しかし、本当はどうだかな、と私が一抹の疑惑を抱いたのは事実である。；日本では果たしてどうなのだろうか、と一抹の不安がリタの胸を掠めた。；しかし眼の前の絵の口の辺りには、一抹の残酷さが漂っているではないか。；遠くから見ると吉野紙のようでもありまた一抹の煙のようでもある。；三人とも同じようにニヤニヤしているものの、一抹の不安は隠し切れない。；医師達には一抹の不安があったが、患者は元気をとり戻していた。；そうはわかっていても、私の心の底には一抹の悲哀が広がっていた。；それはあまりに遠く、あまりにかすかで、一抹のもやとしか見えなかった。；ほぼ全て、という点に一抹の不安は残ったが、手がかりにはなるだろう。；そう打ち消しながら、私はまだ、一抹の疑念を捨て切れないでいたのだ。；一抹の防犯効果を狙って、電気を終日つけっぱなしにしているのだろう。；肩のあたりに一抹の怨みが漂っているようだけれど、眼は裸のままである。；省みて民謡を有たない生活に一抹の淋しさを思わないわけにはゆきませぬ。；しかし、そんな一抹の不安も、最近受けた病院の検査で完全に一掃された。；けれども、心のどこかに、一抹の期待が無かったといえば嘘になる。；たしかにそれはうれしいが、どこかに一抹の淋しさをともなってもいる。；調子は道化ておりますが、顔に漂う一抹の哀愁は覆うべくもありません。；お孝は、自分の恋人の、こうした一連の動きを見て一抹の不安を感じ始めた。；とはいえ、あたしの中に一抹の不安な感情があったことは否めません。；出来るだけに、まさにその点で彼に一抹のためらいはあったらしい。；だが、もはや顔形を見るためのほんの一抹の光も残っていなかった。；及川氏の場合もそうである可能性が高いが、しかし一抹の期待は抱きたくなる。；しかし心のどこかでは、一抹の不安があったことを告白しておく。</t>
        </is>
      </c>
      <c r="J493">
        <f>HYPERLINK("https://www.weblio.jp/content/一抹", "词义详情")</f>
        <v/>
      </c>
      <c r="K493">
        <f>HYPERLINK("https://yourei.jp/一抹", "查看例句")</f>
        <v/>
      </c>
    </row>
    <row r="494">
      <c r="A494" t="inlineStr">
        <is>
          <t>一面</t>
        </is>
      </c>
      <c r="B494" t="inlineStr">
        <is>
          <t>成功</t>
        </is>
      </c>
      <c r="C494" t="inlineStr">
        <is>
          <t>読み方：いちめん
１物体の一つの面。
２物事のある一つの側面。ある観点。副詞的にも用いる。「—の真理」「勤勉である—、多趣味の持ち主」「こわそうにみえて、—とてもやさしい」
３辺り一帯。ある場所全体。「—の花畑」「火花があたり—に飛び散る」
４初めて会うこと。一度の面会。
「我に対して—の識なく一語の交りなき」〈一葉・別れ霜〉
５新聞の第1ページ。フロント。「夕刊の—を飾る記事」
６鏡・硯(すずり)・碁盤・太鼓・琴など、面をもつものの一つ。→面(めん)</t>
        </is>
      </c>
      <c r="D494" t="inlineStr">
        <is>
          <t>一面トップ；一面火の海；一面観音さま；一面観世音；一面真っ白</t>
        </is>
      </c>
      <c r="E494" t="inlineStr">
        <is>
          <t>一部；面；全体；側面；一帯</t>
        </is>
      </c>
      <c r="F494" t="inlineStr">
        <is>
          <t>十一面；茶目な一面；子煩悩な一面；只一面；広庭一面</t>
        </is>
      </c>
      <c r="H494" t="n">
        <v>29</v>
      </c>
      <c r="I494" t="inlineStr">
        <is>
          <t>なお、現在でも巨人が勝利したときは一面に持ってきている場合が多い。；然しそこには根本的に異なった一面の存在することを忘れてはならない。；信仰への全面的な恭順がバクティの重要な一面であると考えられている。；だが、ムアッザムはそれに反対するなど、父とは違う一面を持っていた。；年齢設定を問わず、勝利後には跳び上がってはしゃぐ一面も持っている。；そこで見た一面の焼け野原・終戦体験が昭一青年に大きな影響を与えた。；駅に戻ると町は一面ガラスに包まれたような光景になっていた。；息子や娘を会場に連れて来ることがあるなど、子煩悩な一面も見せる。；ストーンズとは違う一面をみせたビルの作品は、多くの人々の注目を集めた。；コメント等から師匠と同じように、弟子想いな人物である一面が窺える。；その表面に分生子形成細胞である紡錘形のフィアライドを一面につける。；現在は下北沢でレンタルスタジオを経営するなど実業家の一面も持つ。；同時に我夢が心の奥底に持っていた鬱屈とした一面の化身であるともいえる。；ゴシック小説もまた一面では当時の大衆の好みを反映したものである。；安定してきた試合内容とは裏腹にラフファイトに弱い一面を見せてしまう。；近年では、車体一面に広告を掲載しているラッピング車両も多く存在している。；千手観音像の中には十一面ではなく、一面や二十七面の作例もある。；このニュースは翌日の新聞の一面を飾り、バンドは意図せずして大きな宣伝効果を得た。；点数ではなく順位によるその評価法は、競技麻雀に新たな一面を開いた。；この説明は一面の真理ではあるが、必ずしもすべてを説明しているわけではない。；この頃からサガットはかつての復讐に燃えていた頃とは違った一面も見せている。；その一方、複数の男性に言い寄られる恋多き女という意外な一面も持つ。；外交面では好戦的な一面も見せたが、周辺の遊牧国家とは親善を図った。；柄は、時計を模したものが一面に散りばめられたものになっている。；部室には壁一面に布スクリーンが張ってあり、24時間上映可能である。；現在の校区にあたる地域は、従来は一面に農地が広がる農村地帯だった。；このときヴァン・ダイクが計画していた絵画の下絵が壁一面分だけ現存している。；思慮分別もある城主ではあったが、物静かな一面も持っていたという。；救荒植物としての一面を持ち、江戸時代には栽培すらされていた地域もある。</t>
        </is>
      </c>
      <c r="J494">
        <f>HYPERLINK("https://www.weblio.jp/content/一面", "词义详情")</f>
        <v/>
      </c>
      <c r="K494">
        <f>HYPERLINK("https://yourei.jp/一面", "查看例句")</f>
        <v/>
      </c>
    </row>
    <row r="495">
      <c r="A495" t="inlineStr">
        <is>
          <t>一目</t>
        </is>
      </c>
      <c r="B495" t="inlineStr">
        <is>
          <t>成功</t>
        </is>
      </c>
      <c r="C495" t="inlineStr">
        <is>
          <t>読み方：いちもく
［名］(スル)
１ただちょっと見ること。一見。「—して状況を把握する」
２ひとめに見渡すこと。一望。
「洛陽の平原は—の中に落ちて」〈蘆花・思出の記〉
３碁盤上の一つの目。また、1個の碁石。
４網や網状になったものの一つの目。→目(もく)</t>
        </is>
      </c>
      <c r="D495" t="inlineStr">
        <is>
          <t>一目見(21%)；一目置かれる(3%)；一目置い(3%)；一目おい；一目おか</t>
        </is>
      </c>
      <c r="E495" t="inlineStr">
        <is>
          <t>一覧；一見；一瞥；垣間見；片鱗</t>
        </is>
      </c>
      <c r="F495" t="inlineStr">
        <is>
          <t>一目千本；一目で確認；一目逢いたい；一目見れ；一目見る</t>
        </is>
      </c>
      <c r="G495" t="inlineStr">
        <is>
          <t>一目惚れ；一目瞭然；一目ぼれ；一目置く；一目均衡表</t>
        </is>
      </c>
      <c r="H495" t="n">
        <v>29</v>
      </c>
      <c r="I495" t="inlineStr">
        <is>
          <t>わたしは一目見てそれと知ったが、それは記憶の上の閏土ではなかった。；当時は、何も見ずに建物が描けていた為、友人からも一目置かれていた。；また階級別に髪の色を染め分け、一目で階級がわかるようになっている。；制服を着て、警察のマスコットであることが一目で分かるようになった。；公開された両作品は大評判となり、一目見ようと人々が教会に殺到した。；きちんと義務を果たしているかどうかを一目でわかるようにするためである。；僕はその三郎の写真顔を一目見ると、あらゆる秘密が分った様な気がした。；境内からは「一目千本」と呼ばれる中千本と上千本の桜がよく見える。；どこかといっても手前の斜面は一目で見下ろせる、真正面のは急すぎる。；中国人は日本のこの主張を気にとめ、一目置いていたと言って良いという。；彼はこのマニ地方ではどこに行っても評判がよく、一目置かれていた。；彼の三人目の妻にも一目会いたいと願い、妻に宛てて多くの詩を詠んだ。；彼らの姿を一目でも見ると手の武器を捨てて逃げるのであった。；実際やっているのをごらんになれば、一目で納得されるだろうと思う。；私は一目見て、それが、鎌倉の海岸にいた子供の一人であることを感じた。；その部屋の扉を開けば、設計室前の廊下を一目で見渡すことができる。；それは、一目見るだけで寒さに震え上ってしまいそうな様子でした。；僕は彼女を一目見たときに何処かで見たような女だと思った。；艦隊を一目見ようとする人たちのために臨時列車も運行されたという。；それだけを一目で見た机博士は、猫女の腰から上が見えないことを残念に思った。；誰がトップなのか一目で分かるようにという理由で1919年に初登場。；彼女を一目見たときから、主人公にとって気になる存在となっている。；リンカーンはこの試合に負けたが、彼らに一目置かれるようになった。；一目見ただけで、彼女が忘れられない存在になってしまったのだ。；私は一目見ると、それが明らかに北海道の風景である事を知った。；残念なのは大司馬の姿を最期に一目見ることが叶わずに死ぬことです。；我々がそこで見たものは、一目みるだけで恐ろしい光景であった。；ドライバーや車室内の様子が一目でわかるように設置されている。；お前様の顔を一目見た時から、お前様の覚悟を見てとりました。</t>
        </is>
      </c>
      <c r="J495">
        <f>HYPERLINK("https://www.weblio.jp/content/一目", "词义详情")</f>
        <v/>
      </c>
      <c r="K495">
        <f>HYPERLINK("https://yourei.jp/一目", "查看例句")</f>
        <v/>
      </c>
    </row>
    <row r="496">
      <c r="A496" t="inlineStr">
        <is>
          <t>一目散に</t>
        </is>
      </c>
      <c r="B496" t="inlineStr">
        <is>
          <t>成功</t>
        </is>
      </c>
      <c r="C496" t="inlineStr">
        <is>
          <t>読み方：いちもくさん
（多く「一目散に」の形で副詞的に用いる）わき目もふらずに走ること。一散(いっさん)。「—に逃げる」「—に駆けだす」</t>
        </is>
      </c>
      <c r="D496" t="inlineStr">
        <is>
          <t>一目散に駈け出し；一目散に走りだし；一目散に駈けだし；一目散に逃げ出したく</t>
        </is>
      </c>
      <c r="E496" t="inlineStr">
        <is>
          <t>一直線；まっしぐら；一散；逸散</t>
        </is>
      </c>
      <c r="F496" t="inlineStr">
        <is>
          <t>めざして一目散；向って一目散；向けて一目散</t>
        </is>
      </c>
      <c r="H496" t="n">
        <v>29</v>
      </c>
      <c r="I496" t="inlineStr">
        <is>
          <t>そこで二人はもうグーとも云はず、まん円になって一目散に逃げました。；さっきの修理技師が一目散に走って、こっちへ戻ってくるところだった。；何やしらん、一目散に走ってきたら急に酔いがまわってきたみたいやな。；そこで二人はもうグーとも云わず、まん円になって一目散に逃げました。；私はもう一目散に海岸へ逃げて帰ると、舟に跳び乗って漕ぎ出しました。；ジプシーどもは法の手が及ぶのを待ったりせずに、一目散に逃げ出した。；助けてやろうとした村田健は、こちらに背を向けて一目散に逃げている。；その人影の隠れた御米蔵をめざして、米友は一目散に駆けて行きました。；そして彼らは、足のつづくかぎり一目散に逃げて來たというのであった。；何だか自分の最後の姿を見せ附けられたようで彼は一目散に走って行った。；本来なら、もう今ごろは階段に出て、一目散に走り下りているはずなのに。；そして月の光で君の姿が見えると彼は一目散に林の中へかくれてしまった。；二時になって五時間目が終わると、もうみんな一目散に飛びだしました。；おしっこがしたいのかな、と思って車を降りたらあなたに向かって一目散。；一目散に駆けていって、子どもは店のまえの両親のところへたどり着いた。；竜はフォクシーにとびかかられて、一目散に逃げていってしまったんだ。；他の委員たちのように一目散に逃げたりせず、彼を待っていてくれたものらしい。；そして玄関の戸を激しくたたいて、一目散に逃げ戻ってくるのである。；門が見えると 弟も妹も自分の手を離れて一目散にかけて行つた。；気がつくと、おれの脚足は本町の住吉屋に向って一目散に駆けていた。；と万歳でもやってのけたいくらい、大笑いをしながら、一目散に走った。；女の子の手をはなすと、彼女は兎のように一目散に走って行ってしまった。；僕は握っていた櫛をそこへほうりつけて、一目散にまた逃げて帰った。；メグレは彼が不意に一目散に逃げようとするような男ではないと判断していた。；彼は少しも早くその場を逃れようと、一目散にかけ出すのであった。；そのあいだに船は彼を乗せて、濃霧のなかをガラツへ一目散に走った。；白衣の人物には何が何やら分らぬうちにサッと立って靴をつかんで一目散。；玄関を出ると、庭の悲惨な状況を見ないようにして、一目散に車まで走った。；その話を聞き一目散で清水に向かうと銘刀は大岩の上に置いてあった。</t>
        </is>
      </c>
      <c r="J496">
        <f>HYPERLINK("https://www.weblio.jp/content/一目散に", "词义详情")</f>
        <v/>
      </c>
      <c r="K496">
        <f>HYPERLINK("https://yourei.jp/一目散に", "查看例句")</f>
        <v/>
      </c>
    </row>
    <row r="497">
      <c r="A497" t="inlineStr">
        <is>
          <t>一様</t>
        </is>
      </c>
      <c r="B497" t="inlineStr">
        <is>
          <t>成功</t>
        </is>
      </c>
      <c r="C497" t="inlineStr">
        <is>
          <t>読み方：いちよう
［名・形動］
１全部同じようすであること。また、そのさま。同様。「皆—に神妙にしている」
２世間によくあること。ありふれていること。また、そのさま。普通。「尋常—な行動とは思えない」</t>
        </is>
      </c>
      <c r="D497" t="inlineStr">
        <is>
          <t>一様性；一様収束する；一様構造；一様乱数；一様に明るい</t>
        </is>
      </c>
      <c r="E497" t="inlineStr">
        <is>
          <t>統一；均一；均等；一律；画一</t>
        </is>
      </c>
      <c r="F497" t="inlineStr">
        <is>
          <t>みんな一様；みな一様；一様収束；非一様；一様流</t>
        </is>
      </c>
      <c r="G497" t="inlineStr">
        <is>
          <t>一様分布；一様収束；一様空間；一様連続性；一様ノルム</t>
        </is>
      </c>
      <c r="H497" t="n">
        <v>29</v>
      </c>
      <c r="I497" t="inlineStr">
        <is>
          <t>これらの天体の最も長寿命な軌道分布は非一様であると予測されている。；本形式の形態は一様ではなく、注文主によってわずかずつ異なっていた。；第二職業の味を占めたものも、占めないものも、一様にポーッとなった。；陰函数定理はこのような病的な性質の種類を扱う一様な方法を提供する。；彼等の眼は一様に人にものを味わせる職業者の持つ没我の色に枯れている。；胎脂は一様に分布しておらず、むしろ細胞スポンジの形で存在している。；体は一様に緑灰色で、腹面は黄白色をしており、特に目立つ模様はない。；みんな一様にやや倒れそうに傾いているのが、煙のように見えたのだ。；市の標高は全体に渡り一様で、そのため昔から歴史的に農業が盛んである。；これは、電子の分布がより一様でなくなる確率が高くなるからである。；たとえば、一様な正の背景電荷上を運動する電子からなる流体を考える。；このようにフィラリア症と一口に言っても、その症状は一様ではない。；この睡眠パターンの提唱者たちが薦める睡眠時間の長さは一様ではない。；この組み合わせのときコイルの中心軸上の磁場の一様性が最大となる。；この位相は擬距離の族によって生成されているため、一様化可能である。；なぜなら地球から観測できる天の川の中の星の分布が一様に見えたからである。；若い女性はみな、いちように髪を染めたり、パーマをかけたりしていた。；実験単位が一様ではないより複雑な実験では、行の統計量も分析に使われる。；ただし区分の仕方は観点や状況によって大きく変わるため、一様ではない。；その後には絶望感にも近い深い悲しみが一様にアメリカ国民を襲った。；また、何らかの物体の表面に一様に薄く付着した状態を指す場合もある。；背中の色は一様に灰色だが、日光の下では褐色に見えるかもしれない。；そこで彼らは勝手な会話を中止し、みないちように声のする方へのび上った。；腹面は一様に白く、頭部・体・対鰭の下面には顕著な黒い感覚孔が開く。；月曜朝の第一時間目には、どの教室にもいちように修身科がおかれていた。；出迎えた三人の面には、熱狂的な歓喜の色が、いちように現われていた。；子供の年齢が一様に分布している子供の集団があるとする。；それを目にした高官や将軍連は、いちように眉をひそめ、目をそらした。；陰陽道自体が時代毎に多様化したのに伴いその儀礼も一様ではない。</t>
        </is>
      </c>
      <c r="J497">
        <f>HYPERLINK("https://www.weblio.jp/content/一様", "词义详情")</f>
        <v/>
      </c>
      <c r="K497">
        <f>HYPERLINK("https://yourei.jp/一様", "查看例句")</f>
        <v/>
      </c>
    </row>
    <row r="498">
      <c r="A498" t="inlineStr">
        <is>
          <t>一律</t>
        </is>
      </c>
      <c r="B498" t="inlineStr">
        <is>
          <t>成功</t>
        </is>
      </c>
      <c r="C498" t="inlineStr">
        <is>
          <t>読み方：いちりつ
［名・形動］
１一つの音律。→律4
２同じ節。単一の調子。
３物事の調子が一様で変化がないこと。また、そのさま。「—な速度」「千篇—」
４すべてが同じで例外がないこと。また、そのさま。「両者を—に扱う」「—に二割引きで売る」「—な料金」</t>
        </is>
      </c>
      <c r="D498" t="inlineStr">
        <is>
          <t>一律化；一律料金；一律禁止；一律に神宮所管；一律ニ</t>
        </is>
      </c>
      <c r="E498" t="inlineStr">
        <is>
          <t>同様；一緒；統一；同等；同一</t>
        </is>
      </c>
      <c r="F498" t="inlineStr">
        <is>
          <t>関係なく一律；千遍一律；すべて一律</t>
        </is>
      </c>
      <c r="H498" t="n">
        <v>29</v>
      </c>
      <c r="I498" t="inlineStr">
        <is>
          <t>すでに述べたように、一律関税化に反対しているのは日本だけではない。；一律に同じ物を贈ることもあれば、香典の額に応じて変えることもある。；全国一律の価格を原則とする日本の外食チェーンでは初の試みとなる。；全ての街で仲間を生き返らせる費用や宿泊費が一律の値段となっている。；ここにあって可見のイメージはすべて手なずけられて、一律に戦いでいる。；災害は法律で定義される場合もあるがその対象や規模は一律ではない。；ほとんどの自社発行カードの利用限度額には一律に制限を設定していない。；選出定員は州の人口や面積などに関係無く各州一律2名とされている。；そのため、全国一律の最低賃金制度が労働側から求められたのである。；私はそれに對して一律にかう答へた、そんなことは全然無意味だらうと。；下々の公家衆は一律に現在の十倍、上の衆はそれぞれに吟味の上定める。；今までの沈滞した一律的な文学は、明るい伸々とした世界に出て来た。；けれども、それが各地方一律であったかどうかは疑問であった。；したがって一律に「残り湯は洗濯に使用できません」と表記している。；このため、イスラエルは一律に犯罪化する法律を制定したのである。；政府は階級にかかわらず一律10パーセントとする事に同意した。；また、この年の夏からは小児運賃を一律50円にする施策も行なわれた。；本来、法科大学院は一律に同一の修業年限であるべきであるとされる。；この時期の管区は、一律に区分されていないことを特徴とした。；この運動は政府が一律給付金を再支給するまで続けるとしている。；慈善団体なわけじゃないんだし、全国一律のサービスを本当に維持できるわけ?；単に区画整理を一律に行うだけでは洪水や地震などの被害を拡大させる危険もある。；サイズは、長いものや短いものがあるが、太さは一律M12である。；一律強制による高能率は発揮されるが、想像力はほとんど必要ではない。；一党の意見が一律に受け入れられないように、二党の意見も一律には受け入れられない。；それ以前は市だと9区以上、村は規模に関係なく一律9区と基準が定められていた。；複雑な乱数生成器の場合、かかる時間は一律に2倍ないしそれ以上になる。；当時、満洲貴族は一夫多妻制であり、親王や郡王の妻は一律にと呼ばれた。；カメラマンの指示で一律にそうしているのは明らかだった。</t>
        </is>
      </c>
      <c r="J498">
        <f>HYPERLINK("https://www.weblio.jp/content/一律", "词义详情")</f>
        <v/>
      </c>
      <c r="K498">
        <f>HYPERLINK("https://yourei.jp/一律", "查看例句")</f>
        <v/>
      </c>
    </row>
    <row r="499">
      <c r="A499" t="inlineStr">
        <is>
          <t>一流</t>
        </is>
      </c>
      <c r="B499" t="inlineStr">
        <is>
          <t>成功</t>
        </is>
      </c>
      <c r="C499" t="inlineStr">
        <is>
          <t>読み方：いちりゅう
１その分野での第一等の地位。第一級。「—の評論家」「—ホテル」
２他とは違う独特の流儀。「彼—の論法」
３芸道などの一つの流派。
４（「一旒」とも書く）旗やのぼりの1本。ひとながれ。
「—の信号旗を掲ぐ」〈竜渓・浮城物語〉
５同族。血統を同じくするもの。
「この—のみ絶えずして十余代に及べり」〈神皇正統記・村上〉</t>
        </is>
      </c>
      <c r="D499" t="inlineStr">
        <is>
          <t>一流ホテル(4%)；一流大学(3%)；一流会社；一流馬；一流選手</t>
        </is>
      </c>
      <c r="E499" t="inlineStr">
        <is>
          <t>派；レギュラー；一軍；一派；エリート</t>
        </is>
      </c>
      <c r="F499" t="inlineStr">
        <is>
          <t>彼一流；当代一流；世界一流；当時一流；一流商社</t>
        </is>
      </c>
      <c r="G499" t="inlineStr">
        <is>
          <t>一流伝授</t>
        </is>
      </c>
      <c r="H499" t="n">
        <v>29</v>
      </c>
      <c r="I499" t="inlineStr">
        <is>
          <t>彼はドイツで一流の医師であり、後にベルリンで教授を務めた人物である。；鎌倉時代末期には天台密教の一流派である西山流の本拠地となっている。；ニューヨークは戦争の傷跡を見せずに、世界の一流都市へと成長した。；幾人かの一流気球家がこの計画に協力したが、ワイズもその一人である。；彼は一流の映画監督を目指しており、周りからは天才少年と呼ばれていた。；これらの戦績を見る限り、一流という位置づけができる選手ではあった。；ある分野を切り開いてきた女性が、一流になるまでの苦労や仕事への思いを語る。；英機を一流の軍人として育て常日頃から軍人の心構えを説いて聞かせた。；宿泊客はほとんどが西洋人で、大阪・神戸の一流財界人も利用していた。；そして、おまえさんが育てた者の中から天下一流の絵描きが必ず出る。；国の黒川真武博士を中心に以下の数10人の一流の学者で調査団が構成された。；芹人は祖父が理事長を務めるこの学園で、一流の紳士となるため学んでいく。；同時に、当時の一流歌手の人たちがどれだけ努力を重ねているのかも知ることができたという。；そしてリボーが勝ったことがあるただ1頭の一流馬がオワーズだった。；これからは一流の騎手になって、オペラオーに認められるようになりたい。；その依頼を機に、ネイサンは一流の詐欺師達を集結させ会社を立ち上げた。；そのためこの年もイギリスから一流馬の参戦はなかった。；しかし値段は高いが性能は一流で世界でもトップクラスの性能を誇る。；多くの一流時計メーカー同様、企業存続のための、止むを得ない選択だった。；世界一流のアーチストが講師のバレエ上級者向けのレッスン番組である。；その後もイギリスから本物の一流馬がやってくることはなかった。；元良が提供した心理学は、当時の一流の学問を反映したものである。；また1945年以前の一流大学ではユダヤ人の教授や講師は僅かしか認められていなかった。；マックスは、世界一流の料理長を招いて実際に食べ比べてみることにした。；アメリカの野球選手は立派に一流の社会人として成功している。；一流芸能人や政治家などを観客にした落語会は100回以上続いた。；第一流のモデルを完璧に構成されたスタジオで撮影するというスタイルを完成させた。；天皇賞を勝った古馬の一流馬にとって、有馬記念は新たな目標となった。；静岡県域を中心に根を下ろした工藤氏の一流で、岡部氏の近類という。</t>
        </is>
      </c>
      <c r="J499">
        <f>HYPERLINK("https://www.weblio.jp/content/一流", "词义详情")</f>
        <v/>
      </c>
      <c r="K499">
        <f>HYPERLINK("https://yourei.jp/一流", "查看例句")</f>
        <v/>
      </c>
    </row>
    <row r="500">
      <c r="A500" t="inlineStr">
        <is>
          <t>一連</t>
        </is>
      </c>
      <c r="B500" t="inlineStr">
        <is>
          <t>成功</t>
        </is>
      </c>
      <c r="C500" t="inlineStr">
        <is>
          <t>読み方：いちれん
１関係のあることのひとつながり。「—の事件」
２穴に糸やひもなどを通してつらねたもののひとつながり。「数珠—」
３（一聯）漢詩で、一つの対句。
４全判の洋紙1000枚。</t>
        </is>
      </c>
      <c r="D500" t="inlineStr">
        <is>
          <t>一連隊；一連の作品群</t>
        </is>
      </c>
      <c r="E500" t="inlineStr">
        <is>
          <t>連続；立て続け；一式；連なり；続けざま</t>
        </is>
      </c>
      <c r="F500" t="inlineStr">
        <is>
          <t>第一連；呼ばれる一連；こうした一連；一連の対空戦闘；一連の造園設計</t>
        </is>
      </c>
      <c r="H500" t="n">
        <v>29</v>
      </c>
      <c r="I500" t="inlineStr">
        <is>
          <t>梶田の一連の著作が対象とされる該当論文等と詳細に比較、検討された。；剣術では一連の動作をまとめた形の習得から開始するのが一般的である。；血液型と性格の関係に懐疑的な立場で一連の論文や著作を発表している。；今日では夜想曲と言えばショパンの一連の作品が最もよく知られている。；毎日の生活に必要で基本的な一連の身体的動作群を日常生活活動という。；この頃にはベルリンの街を題材とした一連の大作を多く発表している。；ここから始まる一連の結婚が彼の旅を特徴的なものにしている。；この一連の作品をまんがはじめて物語シリーズなどと呼ぶことがある。；自殺するまでの一連の過程で、複数の防犯カメラに彼らの姿が映っていた。；焼く技術と作る技術は一連のものとして同時に日本に入ってきたものである。；血液型と性格の関係に懐疑的な立場で一連の論文や著作を発表した。；これは「ソクラテス問題」として知られる一連の問題を発生させている。；この朝経の一連の働きによって細川の版図は大幅に拡大することになった。；この一連の政策がどれだけの成果を収めたかは評価が分かれる。；その後、彼はロンドン王立学会に一連の手紙で彼の観察を発表した。；これらは独立したものではなく、それぞれが関連し合って一連の研究を形作る。；科学者が常に従っているような決まった一連の手順などというものは無い。；現代の写真処理は1840年から最初の20年の一連の改良を基底とする。；この一連の手順はラグランジュの未定乗数法を用いることで実現できる。；一連の議論の間、議会の外では援助法案の成立を側面から支援する動きが現れた。；このような関心に答える一連の知識体系を、メディアリテラシーという。；一連の段とリンクで構成された機器だが、実物が製作されることはなかった。；この一連の事件はゲーム業界の歴史において最悪の出来事となった。；しかしこうした一連の改革にもかかわらず、失業者は増加し続けた。；したがって、一連の給油操作がすべて自動販売化されているわけではない。；これら一連の戦争の結果、ローマの地中海世界における覇権が確立した。；また、大阪事件もこうした一連の事件の延長線上に位置づけられている。；一連の原発事故報道が評価され2012年度の日本新聞協会賞を受賞した。；は定義の内側では典型的には次のような一連にコンパイルされる。</t>
        </is>
      </c>
      <c r="J500">
        <f>HYPERLINK("https://www.weblio.jp/content/一連", "词义详情")</f>
        <v/>
      </c>
      <c r="K500">
        <f>HYPERLINK("https://yourei.jp/一連", "查看例句")</f>
        <v/>
      </c>
    </row>
    <row r="501">
      <c r="A501" t="inlineStr">
        <is>
          <t>何時</t>
        </is>
      </c>
      <c r="B501" t="inlineStr">
        <is>
          <t>成功</t>
        </is>
      </c>
      <c r="C501" t="inlineStr">
        <is>
          <t>読み方：いつ
［代］不定称の指示代名詞。
１時に関して、不定・疑問の意を表す。「—いかなる時も」「—来るのだろう」
２いつもの時。平常。「—の年よりも初雪が降るのが早かった」</t>
        </is>
      </c>
      <c r="D501" t="inlineStr">
        <is>
          <t>何時何処；何時問；何時どこ；何時誰；何時お帰り</t>
        </is>
      </c>
      <c r="F501" t="inlineStr">
        <is>
          <t>何時も何時；いつ何時；何時まで經つて；いったい何時；さう何時</t>
        </is>
      </c>
      <c r="G501" t="inlineStr">
        <is>
          <t>何時の間にか；何時でも；何時か；何時の間に；何時しか</t>
        </is>
      </c>
      <c r="H501" t="n">
        <v>29</v>
      </c>
      <c r="I501" t="inlineStr">
        <is>
          <t>何時まで経つてもちつとも開けて行かない海岸から遠い傾いた町なんだ。；雨に滴を拂らつて逃げまどふ烏の姿を私は何時までもふりかへつて見た。；少年の心は何時までもいまはこの方に次には反対の決心の方に傾いていた。；帝展が来ると私の何時も思ふのは文学にも帝展が欲しいといふ事である。；何時まで経っても研究のための実験であり技術を磨くための練習であった。；太夫の方ぢや何時もの冗談と思ふから、笑つてばかりゐて相手にしない。；そんなわけで、私が家にかえった時、何時だか全然わかりませんでした。；彼女が黙って聞いていると、男は調子にのって何時までも喋りつづけた。；何時彼らが団結してガウアワイスに抵抗してくるか知れないからである。；姉が余り饒舌るので、彼は何時までも自分のいいたい事がいえなかった。；彼等さえ一度は赤化しても必ず何時かはその主張を抛つ時が来るであろう。；唯何時ものように上官の話を聞く時のように注目していたに過ぎない。；あの分では何時までたっても自分の家持ちになることは出来まい。；誕生の際、正確に湯にとりあげたのは何時の頃よりか知られてゐない。；で此の場合にも彼は何時か、自分が飛出さうと思ふ社會に就いて考へた。；何時までに薔薇の館に行かなくては、なんて忙しい気持ちは今日はない。；宛も、海へ行く場合、私が何時も溺れることを確信して行くのと同様に。；何時までこんな思春期の感情に支配されていなければならないのでしょうか。；何時の頃から、彼がこのような考えに取り憑かれたのかははっきりしない。；青年が、何時までも黙っているので、美奈子の心は、妙に不安になった。；けれども、彼の頭は何時までも何処へも到着する事が出来なかった。；その黄昏の散歩の時に、何時とはなく、一人の男が現われて来たのだ。；何時だからなにをしようと、自己の意志で動きまわることはできない。；それはよかつたが、何時まで待つて居ても組のものが出て来ない。；それ等のいろんな事から云つて、この争ひは何時まで続くかしれない。；私が彼女を殴へりつけたという事実だけが、何時までも残っているのだ。；それはよかったが、何時まで待っていても組のものが出て来ない。；何時誰から聞いたのだつたか覚えないが、かういふことを聞いたことがある。；それは自分が渡米してからも、何時までもその人々の口に上ったからである。</t>
        </is>
      </c>
      <c r="J501">
        <f>HYPERLINK("https://www.weblio.jp/content/何時", "词义详情")</f>
        <v/>
      </c>
      <c r="K501">
        <f>HYPERLINK("https://yourei.jp/何時", "查看例句")</f>
        <v/>
      </c>
    </row>
    <row r="502">
      <c r="A502" t="inlineStr">
        <is>
          <t>いつか</t>
        </is>
      </c>
      <c r="B502" t="inlineStr">
        <is>
          <t>成功</t>
        </is>
      </c>
      <c r="C502" t="inlineStr">
        <is>
          <t>読み方：いつか
１日の数の五つ。5日間。
２月の第5の日。
３正月5日。《季新年》「水仙にかかる埃(ほこり)も—かな／たかし」
４5月5日。端午(たんご)の節句の日。
「—まで水澄みかぬるあやめかな／桃隣」〈炭俵〉</t>
        </is>
      </c>
      <c r="D502" t="inlineStr">
        <is>
          <t>いつか自分；いつか必ず；いつか僕；いつかこんな；いつかあなた</t>
        </is>
      </c>
      <c r="E502" t="inlineStr">
        <is>
          <t>かつて；やがて；将来；そのうち；後日</t>
        </is>
      </c>
      <c r="F502" t="inlineStr">
        <is>
          <t>いつか一緒；いつか機会；いつかこういう；どいつか；いつかそのうち</t>
        </is>
      </c>
      <c r="G502" t="inlineStr">
        <is>
          <t>いつかしら；いつかどこかで；いつか君が；いつかこの恋を思い出してきっと泣いてしまう；いつかできるから今日できる</t>
        </is>
      </c>
      <c r="H502" t="n">
        <v>29</v>
      </c>
      <c r="I502" t="inlineStr">
        <is>
          <t>いつか自分の描いたキャラクターや物語をアニメ化するのが夢だという。；東京に戻っても二人はケンカばかりだがいつからか互いを意識し始める。；太古の昔に奴隷達が、いつか自分達を救ってくれると信じた伝説の戦士。；それ等のアフォリズムは僕の気もちをいつか鉄のように巌畳にし出した。；いつかはそのような強い男になりたいと思ったことが全ての始まりだったという。；いつかまた別の章があれば多分それでビルは戻ってくるだろう。；いくいつかの路線では延伸や下記のようなLRT路線化の計画がある。；彼女はペガサスがいつか自分の元を訪れて光を与えてくれると信じていたのだ。；しかしこれはまたいつか報告する機会を待つことにしましょう。；大多数の人々はいつかこの権利を行使することを願いながら戦後を生きた。；いつかは自分もフランスに行きたいとフランス語の勉強をする。；失ったものは帰ってくるのだろうか、いつか思いは実を結ぶのだろうか、と。；そしてこの頃から、彼はいつか中国大陸に行きたいと思うようになる。；父は息子に、いつかこの工場を所有することになるのだと告げた。；総士は存在が消滅しながらも、いつか竜宮島へ戻ると一騎と約束をした。；その鯖を利用して、いつからか各家庭にて棒寿司が作られるようになった。；我々は我々の一生の中にいつかクリストと一しよにゐるであらう。；いつかは映像化も視野に入れた押井の強い思い入れのある企画であった。；日本語を勉強し、いつか日本に戻ってくることをファンに伝えた。；いつか水をメインに据えた作品をしっかりやりたいと思っていた。；いつかもう一度会う日、再びおまえの愛を得る事が出来るか否か。；母親は作曲家であり、いつか息子が彼女の志を継ぐことを望んでいた。；彼自身は、この発明がいつか世界的に普及することを確信していた。；しかし、監視装置や防護装置などの付加機能も、いつかは必ず故障する。；当初は男声合唱団で、いつからか少年の児童合唱も加わるようになった。；仕事でインタビューしてから田原俊彦のファンで夢はいつか共演することだった。；すると猿がもう一匹いつか同じ枝の上にゆらりと腰をおろしている。；いつからかベニーは、人が血を流す映画を見ても刺激を感じなくなっていた。；するといつか僕の影の左右に揺れてゐるのを発見した。</t>
        </is>
      </c>
      <c r="J502">
        <f>HYPERLINK("https://www.weblio.jp/content/いつか", "词义详情")</f>
        <v/>
      </c>
      <c r="K502">
        <f>HYPERLINK("https://yourei.jp/いつか", "查看例句")</f>
        <v/>
      </c>
    </row>
    <row r="503">
      <c r="A503" t="inlineStr">
        <is>
          <t>一括</t>
        </is>
      </c>
      <c r="B503" t="inlineStr">
        <is>
          <t>成功</t>
        </is>
      </c>
      <c r="C503" t="inlineStr">
        <is>
          <t>読み方：いっかつ
［名］(スル)一つにまとめること。また、まとめたもの。「—して購入する」「—審議」「かな漢字—変換」</t>
        </is>
      </c>
      <c r="D503" t="inlineStr">
        <is>
          <t>一括管理(4%)；一括購入(2%)；一括発注；一括して管理；一括して扱う</t>
        </is>
      </c>
      <c r="E503" t="inlineStr">
        <is>
          <t>統合；総合；統括；集約；包括</t>
        </is>
      </c>
      <c r="F503" t="inlineStr">
        <is>
          <t>一括請負；一括調達；一括契約；一括受託；大量一括</t>
        </is>
      </c>
      <c r="G503" t="inlineStr">
        <is>
          <t>一括制御；一括交付金；一括償却資産；一括借上；一括払</t>
        </is>
      </c>
      <c r="H503" t="n">
        <v>29</v>
      </c>
      <c r="I503" t="inlineStr">
        <is>
          <t>またその後に事業の規模の変更があってもあくまで当初の一括の扱いとなる。；両線で一体的に運行されていることから本稿ではこれらを一括して解説する。；なお、この納入は村請により村単位で一括して行われたと言われている。；大口利用者に対する一括発売のための発券作業に使用されることもある。；この銅鏡を含めた出土品は一括して国の重要文化財に指定されている。；データ処理業務は毎日バッチ形式で一括処理するのが一般的であった。；また、空調装置の室外機は200系と同様に天井車端に一括配置された。；この買収は工場だけでなく、労働者の一括受け入れも含んでいた。；島には古代祭祀遺構があり出土品は一括して国宝に指定されている。；文字と画像を一括して出力するシステムが求められていた。；春秋時代と戦国時代を合わせて春秋戦国時代と一括して扱われる事も多い。；先頭に一括連結して運転することを重連と呼ぶことが一般的である。；両線で一体的に運行されていることから、本項目ではこれらを一括して解説する。；このことから、これらを一括して更新する国産拳銃が開発されることになった。；北方領土問題で日本はロシアに4島一括返還を求め続けるべきとしている。；個々の建設現場の保険関係の処理を本社で一括して行う場合等が想定される。；第三世代になると、貸出記録などの情報もOPACで一括管理し始める。；構内の信号扱い・進路制御も松山運転所の信号扱所で一括して行われる。；企画・撮影・編集・加工・エンコード・配信を一括で行う業務形態をとっている。；この仕組みを利用して大学は関東鉄道から6000枚を一括して購入する。；百姓・町人を始めとする上記以外の諸身分は、一括して「平民」とされた。；年表一覧では、ウィキペディア内にあるテーマ別の年表を一括表示する。；アナウンサー関係の業務は、基本的に専門部署を設けて一括して行っていた。；後者はもみを同一品種ごとに一括して処理する方式で施設の利用効率が高い。；中には判断が分かれるであろう件もあるが、本作では一括して殉職と扱われている。；建築契約が売り主で実際の建築が他業者だと、一括下請けが前提の契約になる。；これらの要素は「てにをは」の名で一括され、後に一つの研究分野となった。；ここでは今までに示したような軍公式名称が与えられていないミサイルを一括して扱う。；英国放送協会は、ラジオ・テレビを一括運営するイギリスの公共放送局。</t>
        </is>
      </c>
      <c r="J503">
        <f>HYPERLINK("https://www.weblio.jp/content/一括", "词义详情")</f>
        <v/>
      </c>
      <c r="K503">
        <f>HYPERLINK("https://yourei.jp/一括", "查看例句")</f>
        <v/>
      </c>
    </row>
    <row r="504">
      <c r="A504" t="inlineStr">
        <is>
          <t>いつからか</t>
        </is>
      </c>
      <c r="B504" t="inlineStr">
        <is>
          <t>成功</t>
        </is>
      </c>
      <c r="H504" t="n">
        <v>29</v>
      </c>
      <c r="I504" t="inlineStr">
        <is>
          <t>いつからか俺たちは、短い言葉で自分を表現しなければならなくなった。；いつからか、心のどこかで彼には死んで欲しくないとずっと思っていた。；東京に戻っても二人はケンカばかりだがいつからか互いを意識し始める。；いつからか浮き出ていた額の汗を拭ってから、食事に集中しようとする。；それが彼の正体なのだと、いつからかそう考えるようになっていた。；いつからかここにいたように、 いつまでもここにいるのだろう。；その鯖を利用して、いつからか各家庭にて棒寿司が作られるようになった。；当初は男声合唱団で、いつからか少年の児童合唱も加わるようになった。；いつからかベニーは、人が血を流す映画を見ても刺激を感じなくなっていた。；いつからか人々は二本杉峠を利用するようになり、古峠は廃道となった。；いつからか指名料がついていたのはちょっと不思議に思った。；初めは泉殿と呼ばれていたらしいがいつからか紫金台寺と呼ばれるようになった。；いつからか妻は自分のもとを訪れなくなっていた。；もう覚えていない、いつからかそれが篤が煙草を吸うときのスタイルだった。；二人の間では、いつからか恵美のこと以外は話題に上らなくなった。；そう言えばパウラも、いつからか涙を流すということをしなくなっていた。；いつからかはわからないが、死霊の気配や生霊の残像なども感付いた。；それに、いつからか若松屋に許して、女房もおなじになっているお高でもある。；いつからか、悪人を喰う鬼神となったが、もともとは産土の神であった。；ところがいつからか、昭夫には手に負えない存在になってしまった。；いつからか魔術師が身を護る術の総称になってしまったがね。；いつからか私はそう思うようになった。；この石塔も元は百萬屋敷内にあったが、いつからか当寺に移されたとされる。；でもいつからか、僕自身もまた、強い男に成長することを要求されるようになった。；悔しいことに、母親の言った嘘と自分の考えとが、いつからか一緒になっていたようだ。；だからだろう、いつからか、ぼくはそれを当たり前ととらえてしまっていた。；いつからかは不明だが、2018年の8月から会議を行っていた。；いつからか見かけなくなったが、昔はたまにそんなのが街なかを歩いていたりした。；自分の心の底には、いつからかそれはひそんでいたのだ。</t>
        </is>
      </c>
      <c r="J504">
        <f>HYPERLINK("https://www.weblio.jp/content/いつからか", "词义详情")</f>
        <v/>
      </c>
      <c r="K504">
        <f>HYPERLINK("https://yourei.jp/いつからか", "查看例句")</f>
        <v/>
      </c>
    </row>
    <row r="505">
      <c r="A505" t="inlineStr">
        <is>
          <t>一気に</t>
        </is>
      </c>
      <c r="B505" t="inlineStr">
        <is>
          <t>成功</t>
        </is>
      </c>
      <c r="C505" t="inlineStr">
        <is>
          <t>読み方：いっきに
［副］
１途中で休まずに物事をするさま。いっぺんに。「—駆け抜ける」
２《近世上方語》すぐに。じきに。
「乗るなら早う乗らんせ、—出すさかひ」〈滑・膝栗毛・六〉</t>
        </is>
      </c>
      <c r="D505" t="inlineStr">
        <is>
          <t>一気に飲み干し；一気に駆け；一気に飲ん；一気に飲み干す；一気に書き上げ</t>
        </is>
      </c>
      <c r="E505" t="inlineStr">
        <is>
          <t>すぐに；一瞬；直ちに；次々に；ただちに</t>
        </is>
      </c>
      <c r="F505" t="inlineStr">
        <is>
          <t>階段を一気に；そこから一気に；直線で一気に；ビールを一気に；一気に沈静</t>
        </is>
      </c>
      <c r="H505" t="n">
        <v>29</v>
      </c>
      <c r="I505" t="inlineStr">
        <is>
          <t>じわじわくる馬には強いが、一気にこられてなす術がありませんでした。；伸び悩んでいた個人契約数が一気に伸び始めたのはこの頃からである。；しかし、この裁判を機にインド民衆の間に独立の気運が一気に高まった。；ただし一気に体力ゲージの半分以上を奪うような連続技はほとんどない。；宙に浮いていた教会土地財産の売却を一気に進めることもできるはずだった。；一連の攻撃から得た勝利は、戦争の潮流を一気にアメリカ側に引き寄せた。；しかし守備面での負担が軽減されたこともあって打撃面が一気に開花。；この文書は同地の住民たちに大受けしたようで、彼の人気は一気に高まった。；また、堤防が崩壊して一気に堤防内に水があふれ出すことを破堤という。；アクションステージでは水の中に落ちてしまうと一気に太ってしまうので注意。；大きな体をしており、一気に一山越えて手桶をついたので、その跡がある。；ゲーム部分はほぼそこから一気に開発が進められた。；いずれにせよ成虫になるときには、翅が一気に伸びて成虫の姿になる。；地方戦全国大会で3位以内に入ると一気にGPライセンスが取得できる。；敵の本拠地に一気に乗り込んで倒そうと考える向こう見ずさも見せた。；この宗教平和を境にプロテスタントは勢力を一気に拡大した。；下唇と上唇で閉鎖を作り、一気に開放することによって起こる破裂の音。；この発言により天龍派と反天龍派との内部対立が一気に表面化する形となった。；思川を渡るとあたりは一気に田園地帯となり、その中を行くと思川駅に至る。；しかし後方待機策から短い直線で先行勢を一気に捉え、初戦勝利を挙げた。；作曲はハイドンの家でほとんど一気になされたと言われる。；一説によると、幕末期と明治期を比べると、一気に数倍に増えたという。；しかし、近年、その残りわずかな地域が、一気になくなる例が増えている。；ただ、1860年に妻の経営する工場が破綻、経済事情が一気に悪化する。；この作品が全30巻を数える長期連載となり、一気に人気漫画家となった。；こうして1952年以降のオート三輪は巨大化・長大化が一気に進んだ。；ただし、ケネス・アローと同時受賞と知ると一気に落胆したとされている。；やや縺れはしたものの、富岡が勝ち、この対局を境に一気に研究が進んだ。；大量のエネルギーが一気に解放すると核兵器として利用され核爆発を起こす。</t>
        </is>
      </c>
      <c r="J505">
        <f>HYPERLINK("https://www.weblio.jp/content/一気に", "词义详情")</f>
        <v/>
      </c>
      <c r="K505">
        <f>HYPERLINK("https://yourei.jp/一気に", "查看例句")</f>
        <v/>
      </c>
    </row>
    <row r="506">
      <c r="A506" t="inlineStr">
        <is>
          <t>一挙に</t>
        </is>
      </c>
      <c r="B506" t="inlineStr">
        <is>
          <t>成功</t>
        </is>
      </c>
      <c r="C506" t="inlineStr">
        <is>
          <t>読み方：いっきょ
１1回の行動、動作。一つの企て。
２（多くあとに「に」を伴って副詞的に用いて）一度にかためて物事をやること。ひといき。いっぺん。「—に仕上げる」「—に劣勢を挽回する」
３（「一挙して」の形で）すみやかに物事がはかどること。
「自分は実に—してその本塁に迫ったような心地がしたので」〈花袋・春潮〉</t>
        </is>
      </c>
      <c r="D506" t="inlineStr">
        <is>
          <t>一挙に解決する；一挙に四階昇進；一挙に殲滅する；一挙に粉砕する；一挙に解決しよ</t>
        </is>
      </c>
      <c r="E506" t="inlineStr">
        <is>
          <t>一気に；直ちに；次々に；すぐさま；どっと</t>
        </is>
      </c>
      <c r="H506" t="n">
        <v>29</v>
      </c>
      <c r="I506" t="inlineStr">
        <is>
          <t>これはすぐに、いくつかの問題を一挙に解決することが明らかになった。；それで、朱美の中では一挙に特殊な例が一般的な例に格上げされたのだ。；また一挙に敵に殲滅的打撃を与える決戦兵器ができなければなりません。；この事件の全貌と隠された意味とが、一挙に彼の前に立ち現われたのだ。；議論を一挙に終結してしまいたいと言う意思が強くつき上げてきたらしい。；轟 じゃ、その婿があの人と財産を一挙に手に入れると言うわけですね。；ところが或る人間の一切の希望を一言で一挙に粉砕するとなると事は別です。；この最後の短い訂正で、すべてが一挙に明白になってくれるはずである。；ゆきなやんでいた秀頼上洛のことが一挙に解決したのはその直後である。；破壊すべきものを一挙に破壊してしまうのさ、それだけのことだよ。；全篇のストーリーを一挙に真実化するのがホントのトリックではないか。；といっても、実際には一挙に宗匠的生活を捨て切れたわけではないであろう。；だが勝負が終わった次の瞬間、道策が一挙に緊張を失って深々と息をついた。；放送開始前からラインナップが第3弾の作品まで一挙に公表されていた。；彼らを石器時代から一挙に二十世紀の世界に移行させることができるのだ。；自分の心の中にある疚しいものを、一挙にほじり出されたような気がした。；この戦力をまとめて侵攻させれば、一挙にキロン城に至るはずであった。；彼の心の底深く沈潜していたものが一挙に噴出した勢いが感じられた。；あれだけ印刷された文章ホリックだったのが一挙に十分の一になった。；同サービスは、これらの問題を一挙に解決することで急成長した。；彼が一挙に二段ずつ階段をかけあがっていったからだった。；そうすれば監視人たちも笑いだし、事は一挙に解決ということになるだろう。；この際一挙に満州国をつくろうという一派との間に小さな衝突があった。；地元の新規採用者を加え、従業員は八〇〇余名と一挙にふくれあがった。；それは、抑圧され続けてきたものが一挙に爆発する時の様子に似ていると思うのだ。；一挙に4形式を製作したのは色々なタイプを製作し運用試験を行うためであった。；勝算は人類に不利な一〇〇対一から、一挙に人類に有利な六〇対四〇に転じた。；わずか一日の内に、一挙にこれだけの片をつけてのけたのである。；十分に準備して、一挙に決戦を強いるのが今回の大方針であるはずであった。</t>
        </is>
      </c>
      <c r="J506">
        <f>HYPERLINK("https://www.weblio.jp/content/一挙に", "词义详情")</f>
        <v/>
      </c>
      <c r="K506">
        <f>HYPERLINK("https://yourei.jp/一挙に", "查看例句")</f>
        <v/>
      </c>
    </row>
    <row r="507">
      <c r="A507" t="inlineStr">
        <is>
          <t>一見</t>
        </is>
      </c>
      <c r="B507" t="inlineStr">
        <is>
          <t>成功</t>
        </is>
      </c>
      <c r="C507" t="inlineStr">
        <is>
          <t>読み方：いちげん
１初めて会うこと。特に、旅館や料理屋などの客がなじみでなく、初めてであること。また、その人。「—さんはお断りしています」
２遊里で、遊女に初めて会うこと。初会。
「—に馴れ馴れしきことながら」〈浄・万年草〉</t>
        </is>
      </c>
      <c r="D507" t="inlineStr">
        <is>
          <t>一見する(10%)；一見すれ；一見矛盾；一見平凡；一見いかにも</t>
        </is>
      </c>
      <c r="E507" t="inlineStr">
        <is>
          <t>らしい；どうも；どうやら；見ること；一覧</t>
        </is>
      </c>
      <c r="F507" t="inlineStr">
        <is>
          <t>一見紳士；一見無害；一見きわめて平凡；一見ごく普通；一見優男</t>
        </is>
      </c>
      <c r="G507" t="inlineStr">
        <is>
          <t>一見さん；一見識；一見理沙</t>
        </is>
      </c>
      <c r="H507" t="n">
        <v>29</v>
      </c>
      <c r="I507" t="inlineStr">
        <is>
          <t>一見すると島式交換形だが、駅舎側のホームには線路が敷かれていない。；非常に個性的なものが多く、一見武器とは思えないものもいくつかある。；一見不可能に見えることも再現したり、実験したりしてみせるのが特徴。；この事実は、一見すると自然選択説の予想と矛盾するように感じられる。；一見ただの木馬のようだが、その名の通り乗って空を飛ぶことができる。；このため、彼の政治は一見大らかに見えて要所を抑えたものとなった。；形状は一見すると裁縫用の針に似ているが、先端は鋭く尖ってはいない。；これらのパラメータが、一見単純な成長システムに奥行きを与えている。；打撃が課題とされ、入団当初の一見しての非力さは解消されていた。；しかし、一見して尾崎とはわからないほど外見は荒れ果てていたという。；多面待ちの中には、一見しただけでは待ちの判別が難しいものが多数ある。；流砂は圧力がかかって崩壊するまでは、一見普通の地面のように見えている。；一見複雑に見えるが、実際にプレーしてみると比較的単純である。；一見すると挟みにくそうな形状であるが、力はそこまで弱いわけではない。；一見するとシマウマのようにも見えるため「シマウマ号」とも称される。；その一方、隷書以降の文字は一見して字源を知ることが困難になった。；そのためこれらの種では単独で稔性があり、一見では自家和合性に見える。；車体も6200系と同一であり、一見しただけでは見分けがつかなかった。；一見すると両種は大きく異なっているが、いくつかの共通点をもつ。；一見すると補助ロケットのように見えるが、姿勢制御のために機能する。；日本手話は、一見日本語と同じように見えるが、独自の要素を持っている。；院内学級とは一見似ているが、その目的も援助も若干異なっている。；その結果、一見しただけでは原因を見つけられないバグを作成する危険がある。；一見して同じに見えるものでも国によって体積が異なる場合がある。；そのため、一見するとハヤテやナギよりも交友関係はないように見える。；一見したところショパンに雰囲気がよく似ていると指摘される。；精神科医の夫ビルと結婚し、3人の子供がいる一見普通の生活を送っていた。；一見安定した現実は両者の対立のなかでのみ生じる。；そのためMRワゴンは一見コンパクトな車体に見えて広い室内を実現していた。</t>
        </is>
      </c>
      <c r="J507">
        <f>HYPERLINK("https://www.weblio.jp/content/一見", "词义详情")</f>
        <v/>
      </c>
      <c r="K507">
        <f>HYPERLINK("https://yourei.jp/一見", "查看例句")</f>
        <v/>
      </c>
    </row>
    <row r="508">
      <c r="A508" t="inlineStr">
        <is>
          <t>一向に</t>
        </is>
      </c>
      <c r="B508" t="inlineStr">
        <is>
          <t>成功</t>
        </is>
      </c>
      <c r="D508" t="inlineStr">
        <is>
          <t>一向に構わ(2%)；一向に進ま；一向にわからない；一向に面白く；一向に減ら</t>
        </is>
      </c>
      <c r="E508" t="inlineStr">
        <is>
          <t>さらに；更に；一切；少しも；露</t>
        </is>
      </c>
      <c r="F508" t="inlineStr">
        <is>
          <t>まだ一向に；一向に埒があか；一向に動ずる；一向に収まる気配；一向に縮まら</t>
        </is>
      </c>
      <c r="H508" t="n">
        <v>29</v>
      </c>
      <c r="I508" t="inlineStr">
        <is>
          <t>閉鎖花とは名の如く閉鎖した花で一向に色のある普通の花弁を出さない。；そして又コンチニの宮が何処にあるかと云ふ事も、一向に分らなかつた。；しかし一向に機体やその一部・浮遊物などを発見する事は出来なかった。；私は冷たい儘をよりよしとなして数杯飲んだが一向に反応を感じなかった。；いや今まで何故私の友人達は一向に博士にならなかったのだろうか。；だが、今にして思い廻らしてみても一向にそのことの覚えはありません。；そう覚悟を定めていたが一向に師匠のところからは呼びにくる気配もなかった。；ところが1911年に会社は設立したが一向に工事は行われなかった。；土はよく肥えているのに、穀物など一向に生えそうな様子はありません。；恋人であるカレンと結婚しても、彼の荒くれた生活は一向に変わらない。；肺気腫で入院していたが、一向に症状が回復しなかったとの事である。；九州でもあるいはそうでないかと思うが、自分はまだ一向に聴いていない。；彼は妻との離婚を考えているというが、一向にその気配がなかった。；Mホテルに来てからの子爵の様子には一向に変ったようすがなかった。；毎日五人か十人、而も一向にこちらの事にはお察しのつかぬ人たちだつた。；店の婆さんに聞くと、山葡萄は棚にしたら一向に實がならぬさうである。；酒の飲み方がどういう風に変ったかは、書物を読んでみても一向に書いてはない。；今日でも大きく成長を続けてはいるが、依然として一向に実が生らない。；しかし声をからして何度叫んでみても、主人は一向に返事をしてくれません。；坊の娘は何処でお月さまをおがんでいるのか、一向に姿を見せなかった。；ある程度の時間が経過したにも関わらず駅に到着する気配が一向にないのである。；しかし、その約束は一向に履行されなかったので、周訪は大いに怒った。；貯えの金も次第に薄くなって行くのに、一向に店の買手がつかなかった。；しかし私の姿は見えないのであろう、一向に私の上げている手には気附かない。；商人が何とか歌うように命じても責め立てても、一向に歌おうとしない。；王は数々の医者に治療をさせるが、一向に王女の病気は治らなかった。；その一方で、ジョシュは一向に自身の映画を完成させられずにいた。；その契約書の内容がどんなものであるかを、彼らはしかし一向に知らないのだった。；尊を想い3年が過ぎたが使者は一向に来ず、玉倚姫は病に倒れてしまう。</t>
        </is>
      </c>
      <c r="J508">
        <f>HYPERLINK("https://www.weblio.jp/content/一向に", "词义详情")</f>
        <v/>
      </c>
      <c r="K508">
        <f>HYPERLINK("https://yourei.jp/一向に", "查看例句")</f>
        <v/>
      </c>
    </row>
    <row r="509">
      <c r="A509" t="inlineStr">
        <is>
          <t>一刻も早く</t>
        </is>
      </c>
      <c r="B509" t="inlineStr">
        <is>
          <t>成功</t>
        </is>
      </c>
      <c r="D509" t="inlineStr">
        <is>
          <t>一刻も早く逃げ出し；一刻も早く会いたい；一刻も早く立ち去り；一刻も早く遠ざかり；一刻も早くヘリウム</t>
        </is>
      </c>
      <c r="E509" t="inlineStr">
        <is>
          <t>早く；直ちに；即；大急ぎで；速やかに</t>
        </is>
      </c>
      <c r="F509" t="inlineStr">
        <is>
          <t>もう一刻も早く；ともかく一刻も早く；どうか一刻も早く；せめて一刻も早く</t>
        </is>
      </c>
      <c r="H509" t="n">
        <v>29</v>
      </c>
      <c r="I509" t="inlineStr">
        <is>
          <t>まるで一刻も早く僕の後方や前方の森から離れようとするかのようにね。；その人たちのために、あなたは一刻も早くここを出なければなりません。；山に一刻も早く入りたかったが、その日、かれは家から外へ出なかった。；みんなが一刻も早くエヴァンズの話を聞きたがったのは、当然のことだ。；で、彼は、自分が今何処に寝ているかを、一刻も早く知る必要があった。；それよりもサイモンの目がどうなっているか、一刻も早く知りたかった。；誰もが一刻も早く自分達の陛下と上官の無事な姿を見たいと願っていた。；一刻も早く解放され、各自の家族のもとに戻りたいと誰もが願っていた。；落ちて行く深い谷から一刻も早く浮かびあがらなければならぬと思った。；だから一刻も早くマルスの端末装置のボタンを押したほうが勝ちとなる。；わたしは一刻も早くそんなことをやめて牛を殺してしまえばよいと思った。；私は少し嬢さんに話があるからと、一刻も早くその様子を聞きたげなり。；別にどこに行く当てもなく、私は一刻も早くアパートに帰りたかった。；もしそうなら、ここから、一刻も早く逃げ出した方がいいのではないか。；これ以上の犠牲を出さないためにも、一刻も早い双方の和解が待たれる。；私は一刻も早く、兄の身体を医者に見せなければならないと気がつきました。；彼は悠然と構えてはいたが、実は一刻も早く妻の顔が見たいのだった。；だから一刻も早くキャンプへ帰って彼らを安心させなければならない。；銭十一文のちりぢりにならぬうち、一刻も早く拾い集めなければならぬ。；きっと何か状況を変える策があるんだ、そう思うと一刻も早く知りたかった。；ともかく一刻も早くレベルの高い全日本選手権で戦っておきたいと思った。；彼は一刻も早くお師匠さまを救ってくれと、そればかりを繰り返していた。；死んだ人のことを思うと、一刻も早く犯人を見つけてあげたい気がします。；そんなとき、私たちは一刻も早くそこから離れて、ほっとするのでした。；彼に必要なのは、一刻も早くつぎのようなことをかぎ出すことだけだった。；そのため、毒は強くないとは言えども、一刻も早い治療が必要である。；心配した両親が一刻も早く帰って来いとチケットを送ってくれたのだ。；レイチェルはこの列車の状況を一刻も早く掴むために行動を開始していた。；乗った者が外からは見えない屋根つきの舟で、一刻も早く邸に戻りたいらしい。</t>
        </is>
      </c>
      <c r="J509">
        <f>HYPERLINK("https://www.weblio.jp/content/一刻も早く", "词义详情")</f>
        <v/>
      </c>
      <c r="K509">
        <f>HYPERLINK("https://yourei.jp/一刻も早く", "查看例句")</f>
        <v/>
      </c>
    </row>
    <row r="510">
      <c r="A510" t="inlineStr">
        <is>
          <t>一切</t>
        </is>
      </c>
      <c r="B510" t="inlineStr">
        <is>
          <t>成功</t>
        </is>
      </c>
      <c r="C510" t="inlineStr">
        <is>
          <t>読み方：いっさい
［名］全部。すべて。ことごとく。「会の—をとり仕切る」「—を忘れてやり直す」
［副］（あとに打消しの語を伴って）全然。まったく。いっせつ。「謝礼は—受け取らない」「今後—干渉しない」</t>
        </is>
      </c>
      <c r="D510" t="inlineStr">
        <is>
          <t>一切なく；一切行わ；一切なかった；一切関係；一切登場</t>
        </is>
      </c>
      <c r="E510" t="inlineStr">
        <is>
          <t>さらに；全て；まるで；全体；まったく</t>
        </is>
      </c>
      <c r="F510" t="inlineStr">
        <is>
          <t>一切認め；一切存在；一切禁止；一切無く；今後一切</t>
        </is>
      </c>
      <c r="G510" t="inlineStr">
        <is>
          <t>一切合切；一切衆生；一切経山；一切衆生悉有仏性；一切経音義</t>
        </is>
      </c>
      <c r="H510" t="n">
        <v>29</v>
      </c>
      <c r="I510" t="inlineStr">
        <is>
          <t>客は購入後に袋を開けるまで、組番は一切わからないようになっている。；航空機に伴う一切の仕事はマッカーサー上陸後、数日後に禁止となった。；しかし公式記録にこうした妨害をうかがわせる記録は一切残っていない。；基本的には客がゲームを行った結果に応じたサービスを一切行ってはならない。；しかし、神戸本線で行われているような競合対策は一切行われていない。；その後、新製品は一切発表されることなく、事実上の完全撤退となった。；テレビ・ラジオでの活動含め、一切の芸能活動を休止することとなった。；支援する学生からパンが投げ込まれたが、それには一切手をつけなかった。；ヒトラーの自動車を運転する姿の記録が一切ないのとは対照的である。；冒頭の編集句を除いて、言葉が発せられた状況の描写や解説は一切ない。；また、ライブを一切行わないことを信条にしているバンドも存在する。；ちなみに、これらのツアーではビートルズの楽曲は一切演奏されていない。；一切の処理をコンピューター同士が対等に通信を行うのが特徴である。；気がつくと2時間半経過しており、その間の記憶は一切失われていたという。；映像作品では一切表現されていないが、自由の民の言語を話すこともできる。；りそな銀行の前身行の一つである大和銀行とは一切の関連を持たない。；当初、桑田は前作以上に大ヒットすることは一切想定していなかったという。；裕福な家庭だったが、自分のことには一切お金を使おうとしなかった。；一方で禅宗の影響で、動物性の材料を一切用いない精進料理が発達した。；公式の場で斉唱する場合であっても、国王自身が歌唱することは一切ない。；本作などの世界観や設定を一切用いていないパラレルワールドの作品。；いずれの場合も部分放棄となるが、部分的な払戻は一切行われない。；一切の消滅的な事物を放下した者はそのすべてを神のうちで再び受け取る。；マズダクの教えは、一切の平等を説く社会的抗議運動だったと思われる。；日本のアメリカ軍軍人向けラジオ局のFENとは一切関係がなかった。；周囲の資産家たちはみな妻に迎えたいと画策したが、彼女は一切拒絶した。；これも左手を一切使用せず運転可能とするための工夫である。；セ・リーグの同シリーズは、制度導入当初から一切中継していない。；作戦は、ミッドウェー島上陸日を6月7日と決定して一切を計画した。</t>
        </is>
      </c>
      <c r="J510">
        <f>HYPERLINK("https://www.weblio.jp/content/一切", "词义详情")</f>
        <v/>
      </c>
      <c r="K510">
        <f>HYPERLINK("https://yourei.jp/一切", "查看例句")</f>
        <v/>
      </c>
    </row>
    <row r="511">
      <c r="A511" t="inlineStr">
        <is>
          <t>逸材</t>
        </is>
      </c>
      <c r="B511" t="inlineStr">
        <is>
          <t>成功</t>
        </is>
      </c>
      <c r="C511" t="inlineStr">
        <is>
          <t>読み方：いつざい
人並み以上にすぐれた才能。また、その人物。逸才(いっさい)。「門下の—」</t>
        </is>
      </c>
      <c r="D511" t="inlineStr">
        <is>
          <t>天才；才人；エリート；秀才；優秀な人材</t>
        </is>
      </c>
      <c r="F511" t="inlineStr">
        <is>
          <t>超逸材</t>
        </is>
      </c>
      <c r="H511" t="n">
        <v>29</v>
      </c>
      <c r="I511" t="inlineStr">
        <is>
          <t>わたしは二〇一一年以降もテレビを見続けることができる逸材ですよ?；そして大学や高校の逸材は原則として地元チームに入るようになった。；元チーム・メイトのデルモン・ヤングと同程度の高評価を得ている逸材。；この時点でミルリーフは10年に1頭の逸材と評価されるようになった。；講師陣に数十年に一人の逸材と言わせたと言われる実力を兼ね備える。；その長打力は完成すれば王以上の逸材と期待されたが未完に終わった。；地元で育った逸材はそのチームに入るのが自然だというようになる。；禁軍の乍将軍がどれほどの逸材だか、軍に関係するもので知らぬ者はない。；今まで何人もの同業者を見てきたが、その中にはこれほどの逸材はいなかった。；その理由は、クラブが可能な限り早く逸材を手元に置きたいと希望するから。；芸能関係者の間で注目の的となり、都内の大手事務所が獲得を狙う逸材。；当時、26期にはデビュー直後から才能を開花させた逸材が多く存在した。；五十年に一度の逸材が簡単に死ぬようでは、この先大した未来はない。；ほかの都市でも、近県の逸材を集めてチームを作る気概があっていい。；だが、彼女の性格から部活のダークホースになる逸材だと注目されている。；彼らは後に同誌最高の作家との評価を得た逸材たちであった。；この調子では今後もどんな逸材が現れるか判ったものではない。；甲子園出場経験はなかったものの巨人も獲得意欲を示していた程の逸材であった。；パリまでの道中で話に聞いたところによれば、まさに久々の逸材なのだという。；若手の逸材歌手を積極的に登用し、出演者の相対的な若返りに成功した。；さて、そういう逸材の中に、次の話の主人公となるカルノーがいた。；顔が仕上がるのは今からだといった未完成の逸材は少なくなった。；ピッチャーの小野和幸はプロのスカウトから注目されるほどの逸材だった。；外部から逸材を発掘してくる、その点だけは宰平と同じであった。；なぜおまえほどの逸材が、ソフト部に入ってくれなかったんだ!?；学生時代は柔道の選手で国際強化選手に指名されたこともある逸材だったそうだ。；そこまでの逸材ならば何故学生などやっている?；少年の時から談林俳諧を学び、十八歳で宗匠の身分を許されたほどの逸材。；僕の見た中で世界最強にコンピュータと相性のいい逸材だよ。</t>
        </is>
      </c>
      <c r="J511">
        <f>HYPERLINK("https://www.weblio.jp/content/逸材", "词义详情")</f>
        <v/>
      </c>
      <c r="K511">
        <f>HYPERLINK("https://yourei.jp/逸材", "查看例句")</f>
        <v/>
      </c>
    </row>
    <row r="512">
      <c r="A512" t="inlineStr">
        <is>
          <t>一昨日</t>
        </is>
      </c>
      <c r="B512" t="inlineStr">
        <is>
          <t>成功</t>
        </is>
      </c>
      <c r="C512" t="inlineStr">
        <is>
          <t>読み方：いっさくじつ
昨日の前日。おととい。</t>
        </is>
      </c>
      <c r="D512" t="inlineStr">
        <is>
          <t>一昨日以来；一昨日電話；一昨日着い；一昨日笹野新三郎；一昨日出発</t>
        </is>
      </c>
      <c r="F512" t="inlineStr">
        <is>
          <t>昨日一昨日；一昨日頃；ほんの一昨日</t>
        </is>
      </c>
      <c r="H512" t="n">
        <v>29</v>
      </c>
      <c r="I512" t="inlineStr">
        <is>
          <t>最後に電話をかけたのは一昨日の朝で、そのとき彼女はまだ部屋にいた。；新木場駅前で僕たちが同じように集まったのはつい一昨日のことである。；すると彼には一昨日ここを訪れた時からの隔りがたちまち消えてしまう。；今度は僕の方から君を呼ぶことになったが、一昨日の様な偽物じゃない。；一昨日の病院の事件だけが、他の五件にない条件を含んでいるのである。；その話によると一昨日は少年の父親は一日部屋にいたというのである。；一昨日の夜を通した雨のなごりも、薄い皮一枚張つたやうに道が乾いた。；昨日や一昨日と同じように、何も変わらぬ一日だったと思いたかった。；これは東京で発刊されている新聞で、しかも一昨日六日の夕刊であった。；あんたたちがやめてと言うまで、一昨日あったことを全部話してやる。；実は母は一昨日死んだのですけれども、どうしても死んだとは思えません。；というのも一昨日の事件のことは、見事なまでに隠蔽されていたからだ。；だから優子は一昨日から二晩続けて、ひとりで過ごす夜を体験していた。；一昨日の成果はとにかく、われわれとして望みうる最大のものでした。；一昨日の午後そこへつれて行って入院させて、きのうも見にゆきましたが。；いや、私が腹を切られて病院に行ったのは一昨日のことかもしれない。；考えてみれば一昨日宿に入ってから私は一歩も外に出ていない。；第一昨日からその部屋へ這入った者は一人もないとの答えであった。；里の両親が一昨日から遊びにきていて、明日帰ることになっている。；私がたばこの包みのなかに見つけた手紙は一昨日のものにちがいありません。；御存じのとおり一昨日の晩はホテルでこの夏最後のダンスの会がありました。；今日の暖かさは特別で、昨日も一昨日も、日中でも寒かったそうである。；ところが、その水車小屋には、一昨日からひとりの男が張りこんでいた。；一昨日の晩であったかKさんが始めて家へ来てしみじみ話して行った。；たしかに昨日も一昨日も人の居ない処をせっせと歩いていたんだが。；たしかに昨日も一昨日も人の居ない処をせっせと歩いてゐたんだが。；そうして一昨日叔父が妹をだまして相川の処へつれて行ったのだそうです。；一昨日なら金があったのに、学生帽を買うことに気がつかなかったとは!；一昨日、海へ行った時も、二人で林の中へ入って行くのを見たもの。</t>
        </is>
      </c>
      <c r="J512">
        <f>HYPERLINK("https://www.weblio.jp/content/一昨日", "词义详情")</f>
        <v/>
      </c>
      <c r="K512">
        <f>HYPERLINK("https://yourei.jp/一昨日", "查看例句")</f>
        <v/>
      </c>
    </row>
    <row r="513">
      <c r="A513" t="inlineStr">
        <is>
          <t>一昨年</t>
        </is>
      </c>
      <c r="B513" t="inlineStr">
        <is>
          <t>成功</t>
        </is>
      </c>
      <c r="C513" t="inlineStr">
        <is>
          <t>読み方：いっさくねん
昨年の前年。おととし。</t>
        </is>
      </c>
      <c r="D513" t="inlineStr">
        <is>
          <t>一昨年頃；一昨年以来；一昨年ごろ；一昨年秋；一昨年夏</t>
        </is>
      </c>
      <c r="G513" t="inlineStr">
        <is>
          <t>一昨年三月；一昨年十一月；一昨年十二月；一昨年六月；一昨年十月</t>
        </is>
      </c>
      <c r="H513" t="n">
        <v>29</v>
      </c>
      <c r="I513" t="inlineStr">
        <is>
          <t>「いや一昨年のことなのですがね」 彼は私の方へ体を向けたのであった。；一昨年辺りから舞台に出始め、その頃から劇団の人気も急上昇して来た。；一昨年も参加していないということは、一度も参加していないことになる。；このうちの六名が病死をしてしまい、一昨年からは四名になってしまった。；一昨年母がなくなってからここには父と弟夫婦と妹とが暮している。；年ちゃんは、一昨年の夏、田舎へいったときのことを思い出しました。；もう一人の仲間は卯之吉といったが、一昨年の暮に死んじまったそうだ。；去年だか一昨年だかに児童相談所が来た時がまさにそうだったんだろ?；陸の孤島、麻布十番に登場したのは一昨年の一一月のことでありました。；実をいえば、一昨年の上野・下平の係争もはっきりとは解決していない。；おれは一昨年の暮れからちょくちょくこの家のごやっかいになっててね。；一昨年、イゼルローン要塞を攻略して以来、そう考えつづけてきたのだ。；昨年も一昨年もその前もまたその前も、京都で一人お花見をしたのだった。；一昨年中によんだ何冊かのものについてもやはり同じことを感じます。；さう思へば、一昨年の秋それを踊つた時から、いつもの元気はなかつた。；これは一昨年巴里に行った時、羅馬まで遠征して掘り出して来たのです。；一昨年の秋、他ならぬこの僕の口から、君はそれを聞かされたはずだ。；その大橋さんが初めて私の家に遊びに来たのが一昨年の元日だった。；そうして母は一昨年の夏以来この世の人ではなくなっている。；横尾校長の話では、一昨年昭和十八年に判決は終っていたとのことであった。；一昨年の冬に同じことを訊かれたら、喜んで答えていたと思うけどね。；御殿場から歩いてこの広大の野原を横断したのは一昨年の秋であった。；六月二十二日はドイツが一昨年はじめてロシアへ進撃を開始した日である。；黒田が江戸で住み暮すようになったのは、一昨年の春ごろからだそうな。；一昨年の秋、瑞枝と柳川に旅行した押し出しのよい重役風の男はだれか。；しかし、上海氏が愛したそれらの風景も一昨年までのことであった。；私は一昨年書きかけていた小説を今の心持で書き直して完成させるつもりです。；そして一昨年は半年間ある雑誌でつかさんと連載対談の仕事をした。；去年も一昨年も夏の間には一度だって山へは行かなかったぞ。</t>
        </is>
      </c>
      <c r="J513">
        <f>HYPERLINK("https://www.weblio.jp/content/一昨年", "词义详情")</f>
        <v/>
      </c>
      <c r="K513">
        <f>HYPERLINK("https://yourei.jp/一昨年", "查看例句")</f>
        <v/>
      </c>
    </row>
    <row r="514">
      <c r="A514" t="inlineStr">
        <is>
          <t>一種</t>
        </is>
      </c>
      <c r="B514" t="inlineStr">
        <is>
          <t>成功</t>
        </is>
      </c>
      <c r="C514" t="inlineStr">
        <is>
          <t>読み方：いっしゅ
１
㋐一つの種類。ひといろ。
㋑同類の中で、少し異なるもの。「イルカはクジラの—である」
２ある意味で、ほぼ同類と思われるもの。「彼は—の天才である」
３（副詞的に用いて）どことなく、また、ちょっと他と異なっているさま。「—独特の書体」「—異様な雰囲気」</t>
        </is>
      </c>
      <c r="D514" t="inlineStr">
        <is>
          <t>一種異様；一種特別；一種独特；一種不思議；一種奇妙</t>
        </is>
      </c>
      <c r="E514" t="inlineStr">
        <is>
          <t>ある種；ある意味；なんと言うか</t>
        </is>
      </c>
      <c r="F514" t="inlineStr">
        <is>
          <t>一種異樣；一種名状すべから；一種の自己催眠；一種名状しがたい；一種免許状</t>
        </is>
      </c>
      <c r="G514" t="inlineStr">
        <is>
          <t>一種独特；一種異様</t>
        </is>
      </c>
      <c r="H514" t="n">
        <v>29</v>
      </c>
      <c r="I514" t="inlineStr">
        <is>
          <t>やでのリデル三姉妹を連れてのボート遊びは、一種の習慣となっていた。；また装飾とは別に武器が持つ一種の機能美に美術的価値が見出される。；代表的なてこの一種で、古くから巨石などを動かすのにも使われてきた。；この関係を時間とエネルギーの不確定性関係の一種とみなす場合もある。；主に米国で使用される名称で、後述するテーブル筐体もこの一種とされる。；ヘロンの説明によると、弓の材料は「角と木の一種」が用いられていた。；これは行政立法の一種ではあるが、国会への抑制手段とまでは言えない。；電源を切っても記憶内容が保持される不揮発性メモリの一種でもある。；後者の場合であっても一種のコミックリリーフとして活躍する場合もある。；ソーシャル・ネットワーキング・サービスの一種に分類される場合もある。；和名ではナミテントウ一種を指して単にテントウムシと呼ぶ場合もある。；反強磁性体の一種で、磁化の特性が突然進んで突然飽和してしまうもの。；尚、現在では一種とされるシャチであるが、複数の種に分割する見解もある。；ただし、一つの地域に存在する草食動物と言っても一般的に一種だけではない。；通常は名詞とは異なる品詞と見なすが、名詞の一種とされることもある。；現地の住民の間ではパトワと呼ばれるクレオールの一種が使われる。；また、鋼索で車両を支持し運転するものも鉄道の一種としている。；この意味で序曲はストーリー性があり、一種の標題音楽となっている。；取得条件には、該当する一種の免許状を取得している必要がある。；国家を一種の社団と解するならば、国民はその社員と解されることになる。；突風の一種で、規模が小さく寿命が短い割に、猛烈な風を伴うのが特徴。；時代が下ると、高級な碁石は「玉」と呼ばれる一種の宝石から作られた。；円筒埴輪の一種で、基台の上に朝顔のような器がついた形状からその名がある。；戦争映画は、映画の一種で、歴史上の戦争を題材としたものを指す。；この小説は即座に一種の古典となり、いくつかのSF映画に着想を与えた。；リュミエールらが撮影したその他の映像も一種の記録映画と言える。；鳥瞰図は一種の透視図でもあるが、視点の位置を一層高度にしたもの。；電磁波を発しながら目標に向かって自動的に動くホーミング機雷の一種。；ノートや黒板などでも手軽に遊べることから広く普及している遊びの一種。</t>
        </is>
      </c>
      <c r="J514">
        <f>HYPERLINK("https://www.weblio.jp/content/一種", "词义详情")</f>
        <v/>
      </c>
      <c r="K514">
        <f>HYPERLINK("https://yourei.jp/一種", "查看例句")</f>
        <v/>
      </c>
    </row>
    <row r="515">
      <c r="A515" t="inlineStr">
        <is>
          <t>一周</t>
        </is>
      </c>
      <c r="B515" t="inlineStr">
        <is>
          <t>成功</t>
        </is>
      </c>
      <c r="C515" t="inlineStr">
        <is>
          <t>読み方：いっしゅう
［名］(スル)ひとまわりすること。ひとめぐり。「場内を—する」「世界—旅行」</t>
        </is>
      </c>
      <c r="D515" t="inlineStr">
        <is>
          <t>一周する(28%)；一周波数；一周できる；一周期；一周約</t>
        </is>
      </c>
      <c r="E515" t="inlineStr">
        <is>
          <t>回転；回り；回る；廻り；循環</t>
        </is>
      </c>
      <c r="F515" t="inlineStr">
        <is>
          <t>同一周波数；世界一周；琵琶湖一周；半島一周；一周自動車</t>
        </is>
      </c>
      <c r="H515" t="n">
        <v>29</v>
      </c>
      <c r="I515" t="inlineStr">
        <is>
          <t>また観光シーズンには琵琶湖一周列車が団体貸切の形で運転されている。；脚を出したまま右旋回して東京湾上を一周し、無事ゆっくりと着陸した。；何度か登攀を試みて不成功に終わったあげく、一同は島の一周を試みた。；彼女には、幸福の旅路をちょうど一周しおえたような気がするのだった。；だが、舟ができたのだから、次の計画はこれで島を一周することであった。；一周を海に囲まれているが、海岸線は崖や磯になっている部分が多い。；但し十四五分で一周と云つて、すぐに思ふほど、狹いのでもないのです。；変だなと思い思い、さらに風のごとく一周して来て見てもゴールはない。；島を一周するコンパクト・ロードが開通して交通の便がかなり良くなった。；そして見える限りでは、それが室内をぐるりと一周しているのがわかった。；軌道距離が長いせいで、銀河系の周りを一周するのに30億年もかかる。；端まで来たらそこから十字型の縁に沿って反時計まわりに一周する。；その後鞄一つでヨーロッパを一周し、各地の演劇を見て回ったという。；先生が月を一周する計画をもち出したのは、ちょうどこのころでした。；そしてニュージーランドを船で一周し、これが島であることを証明した。；また湖岸にはサイクリングロードが整備されており、ほぼ湖を一周する。；周囲は道路に囲まれているが、一周するのに自転車で約20分かかる。；上記の更新を1つ1つの訓練データで行い、訓練データ集合を一周する。；中央に大きな湖があり、その周囲を一周するようにステージが設けられている。；好環境下で増殖しているときには、細胞周期を2時間程度で一周させる。；最初の輪を一周したんだから、今のぼくらは逆向きになってるんだ。；目の前に来て座った二人の子が、まるで世界一周をして来たかのように見えた。；戦後は民間航空に戻り、同乗者を乗せてスイス一周飛行などを行った。；垂天池沼東部にはベンチと机があり、沼を一周する道が整備されている。；周辺に一周する散策路が整備されており、貸しボートと民宿が数軒ある。；しかし、サーキットを一周したところでエンジンが焼きついてしまった。；彼は世界で最初に南北アメリカ大陸を全部船で一周した人物となった。；団体扱いの列車では同年4月1日の「九州一周の旅」から運用を開始した。；開聞岳の周囲を一周できる遊歩道の東側の入口部分にあるトンネルである。</t>
        </is>
      </c>
      <c r="J515">
        <f>HYPERLINK("https://www.weblio.jp/content/一周", "词义详情")</f>
        <v/>
      </c>
      <c r="K515">
        <f>HYPERLINK("https://yourei.jp/一周", "查看例句")</f>
        <v/>
      </c>
    </row>
    <row r="516">
      <c r="A516" t="inlineStr">
        <is>
          <t>一瞬</t>
        </is>
      </c>
      <c r="B516" t="inlineStr">
        <is>
          <t>成功</t>
        </is>
      </c>
      <c r="C516" t="inlineStr">
        <is>
          <t>読み方：いっしゅん
一度またたきをするほどの、きわめてわずかな時間。刹那(せつな)。副詞的にも用いる。「—の出来事」「—目を疑った」</t>
        </is>
      </c>
      <c r="D516" t="inlineStr">
        <is>
          <t>一瞬前；一瞬早く；一瞬遅れ；一瞬一瞬；一瞬息</t>
        </is>
      </c>
      <c r="E516" t="inlineStr">
        <is>
          <t>すぐに；瞬間；一時；一気に；直ちに</t>
        </is>
      </c>
      <c r="F516" t="inlineStr">
        <is>
          <t>一瞬まえ；一瞬はっと；一瞬立ちすくん；一瞬おくれ；一瞬沈黙</t>
        </is>
      </c>
      <c r="G516" t="inlineStr">
        <is>
          <t>一瞬の夏；一瞬の風になれ；一瞬しかない</t>
        </is>
      </c>
      <c r="H516" t="n">
        <v>29</v>
      </c>
      <c r="I516" t="inlineStr">
        <is>
          <t>観客は一瞬何が始まったのかと唖然としている間に次の場面が始まる。；人間の眼からは、この動作が一瞬のうちに行われているように見える。；あわただしい生活だが、そんな日常が何よりも大切で楽しい一瞬だった。；主人公の高校からの親友であるミキは一瞬驚くが、特に気にしなかった。；本種は棒の投げられた方向に向かって走り、カモを一瞬だけ警戒させる。；最大の特徴は、主人公が念力で人を一瞬で殺すことが出来る事である。；瞼を開き目を合わせた者の記憶を一瞬で消してしまう能力を持つと言われている。；なんと、警備陣の一瞬の隙をついて信子夫人が誘拐されてしまったのだ!!；恋人と二人でいて、なんか平穏な付き合いの中での、一瞬の覚醒する時。；一度だけ怒りが頂点に達したことあったが、一瞬にして収まっている。；祖父は孫の姿に一瞬は驚くも、その頭を撫でて光円の名を聞き、涙を流す。；クリミア戦争中の英仏間に存在した緊密な協力関係は一瞬にして消滅した。；特に浮上中に息を止めることは例え一瞬であっても非常に危険である。；常に一球一球を一瞬一瞬を大切にするという意味が込められている。；クレバスからはすべてを一瞬で凍らせる超低温のガスが噴き出していた。；これで、共に過ごす、残りの一瞬一瞬を大切にすることができるんだ。；だからあなたの持っている一瞬一瞬を大切にしましょう。；その気になれば、一瞬で全多元宇宙を消滅させるほどのパワーを持つ。；艦は激しい水柱に包まれて一瞬で沈没してしまい、梶岡少将も戦死した。；この場合は別に電源が必要となることが多いが、時刻合わせは一瞬で完了する。；最後はアレグロで第2部の動きが再度繰り返され、一瞬のうちに終わる。；一瞬の切れでは見劣りしても「スピードを持続できる」馬に適している。；これらすべての関係が、エルファバの頭の中で一瞬のうちに繋がった。；そのため、2神が共に館にいるのは昼と夜の境目の一瞬だけである。；解像度が変化すると画面制御技術上の関係で画面表示が一瞬乱れてしまう。；一連の出来事は、目撃者の報告通りで、特に船が沈没したのは一瞬だった。；一瞬ワウト・プルスが追走しようとしたが、フルームはついてこれない。；この能力を利用し、転倒状態から一瞬で起き上がることが可能である。；また、体の一部を一瞬で刃状に変化させて攻撃するなど、独特な技も併せ持つ。</t>
        </is>
      </c>
      <c r="J516">
        <f>HYPERLINK("https://www.weblio.jp/content/一瞬", "词义详情")</f>
        <v/>
      </c>
      <c r="K516">
        <f>HYPERLINK("https://yourei.jp/一瞬", "查看例句")</f>
        <v/>
      </c>
    </row>
    <row r="517">
      <c r="A517" t="inlineStr">
        <is>
          <t>一緒</t>
        </is>
      </c>
      <c r="B517" t="inlineStr">
        <is>
          <t>成功</t>
        </is>
      </c>
      <c r="C517" t="inlineStr">
        <is>
          <t>読み方：いっしょ
《「一所」から》
１一つにまとめること。ひとまとめ。「荷物を—にする」「人の分も—に扱う」
２区別のないこと。同一。「—の着物」「意見が—になる」
３ともに同じことをすること。「—に遊ぶ」
４（ふつう「御一緒する」の形で用いて）「連れ立つ」「ともに行く」を、同行する相手を敬っていう語。「そこまで御—させてください」
５同時に行われること。「—に買った物」「着いたのは—だ」</t>
        </is>
      </c>
      <c r="D517" t="inlineStr">
        <is>
          <t>一緒に暮らし(2%)；一緒に来；一緒に連れ；一緒に遊ん；一緒に暮し</t>
        </is>
      </c>
      <c r="E517" t="inlineStr">
        <is>
          <t>合併；集まり；集合；同一；一律</t>
        </is>
      </c>
      <c r="F517" t="inlineStr">
        <is>
          <t>御一緒；みんな一緒；一緒に暮さ；一緒に参りましょ；一緒に住んでる</t>
        </is>
      </c>
      <c r="G517" t="inlineStr">
        <is>
          <t>一緒にいて；一緒くた；一緒に暮らしたい；一緒にいたかった；一緒にいこう</t>
        </is>
      </c>
      <c r="H517" t="n">
        <v>29</v>
      </c>
      <c r="I517" t="inlineStr">
        <is>
          <t>一緒の場所にいることが必ずしも一緒にやっているということではない。；両親は映画好きで、テレビの洋画劇場を親と一緒によく見ていたという。；一緒に住んだのは、東京でのわずか10ヶ月にも満たない期間であった。；宣弘社の渡辺邦彦は、同社時代に一緒に野球をしていたと証言している。；十日えびすと二十日正月が一緒になって現在の形になったと考えられる。；実は彼女と僕は一緒にあるプロジェクトをするはずだったんだ。；また雪が屋根から落ちるときに、茅も一緒に落ちてしまうことがある。；よって飼育下では一緒に飼う動物の大きさに注意しなければならない。；一緒に飲みに行き、夢を聞いている中でアナウンサーになりたいと思っていた。；子どもと大人が一緒の楽しめる企画が集められており、内容は毎年変わる。；研究結果として懸垂式と一緒にまとめられたものが、日本跨座式である。；他の女と一緒に住むと、そのうちに怒りだし、毒を吐いてしまうでしょう。；一部のステージは複数のキャラクターが一緒に割り当てられている。；しかしやがて一緒に遊ぶようになり、共有や交流の中に楽しさを見出す。；記者に妻リナや幼い子らなどと一緒にいる写真をよく撮らせていた。；宇宙の支配者は雨の降る惑星の小さな小屋に猫と一緒に住んでいた。；見つけた犬はその犬とポラロイド写真で一緒に写らなければならない。；透明色も使えないためキャラクター絵の周囲に背景も一緒に描く必要がある。；女は実を取って食べ、一緒にいた男にも渡したので、彼も食べた。；その店を訪れた容疑者の知人に「彼と一緒に走ったよ」事を話したという。；相乗りとは、一台の乗り物に複数人数が一緒に乗り合わせることをいう。；さらに水を飲むときに一緒に空気を飲み込むと、放屁の原因になった。；そんな時、死期が近いという父親の呼びかけで一緒に暮らすことになる。；つながって一緒になっているもの、という意味となったわけである。；まあだからね、民がさ、夫婦が姓が一緒だ別だなんて言うこともないんだよ。；この白梅酢を赤じそと一緒に漬け込んで赤くなったものが赤梅酢である。；添い寝をしたり、一緒に遊んだりと22世紀の子供らしい生活を送った。；姉妹仲は非常に良く、好きな時代劇をよく一緒に見たりしている。；同い年でデビューの時期もほぼ同じであり、現場で一緒になることが多かった。</t>
        </is>
      </c>
      <c r="J517">
        <f>HYPERLINK("https://www.weblio.jp/content/一緒", "词义详情")</f>
        <v/>
      </c>
      <c r="K517">
        <f>HYPERLINK("https://yourei.jp/一緒", "查看例句")</f>
        <v/>
      </c>
    </row>
    <row r="518">
      <c r="A518" t="inlineStr">
        <is>
          <t>一生</t>
        </is>
      </c>
      <c r="B518" t="inlineStr">
        <is>
          <t>成功</t>
        </is>
      </c>
      <c r="C518" t="inlineStr">
        <is>
          <t>読み方：いっしょう
１生まれてから死ぬまでの間。終生(しゅうせい)。生涯。「幸せな—を送る」「事業に—を捧げる」「—を棒にふる」「—忘れられない出来事」
２やっと生き延びること。一命。「九死に—を得る」
３（「一生の…」の形で）生きている間に一度しかないようなこと。生涯にかかわる重大なこと。「—の願い」「—の不覚」</t>
        </is>
      </c>
      <c r="D518" t="inlineStr">
        <is>
          <t>一生けんめい(3%)；一生忘れ；一生分；一生独身；一生後悔する</t>
        </is>
      </c>
      <c r="E518" t="inlineStr">
        <is>
          <t>人生；生涯；寿命；ライフ；一命</t>
        </is>
      </c>
      <c r="F518" t="inlineStr">
        <is>
          <t>短い一生；一生後悔；男子一生；一生遊んで暮らせる；一生ケンメイ</t>
        </is>
      </c>
      <c r="G518" t="inlineStr">
        <is>
          <t>一生の仕事；一生けん命；一生のお願い；一生面；一生物</t>
        </is>
      </c>
      <c r="H518" t="n">
        <v>29</v>
      </c>
      <c r="I518" t="inlineStr">
        <is>
          <t>一生できる仕事がしたい気持ちで探した職は自身の好きな動物の道へ。；馬歯は一生を通じて硬い草を食べ続けるため上下に長い形状をしている。；穴の中から滅多に外には出ず、一生を一人で暮らすことも珍しくはない。；その名前や見た目の通り、一生に一度最高の真珠を作ると言われている。；個人が一生の間に国に支払う額と国から受け取る額を世代別に推計する。；今度は一生刑務所暮らしか、FBIと取引するかどちらかしかなかった。；その後は、短い滞在が何度かあったものの、一生をポーランドで過ごした。；一部の種では植物体本体の葉が退化し、一生を原糸体に頼って生活する。；そこには一生に一度しか来ることのできない秘密の美容サロンである。；これより、作曲と教育の二足の草鞋を履いて一生をすごすこととなった。；宮廷での栄達を望んで各方面に運動したが、こちらは一生成らなかった。；多くの場合は無症状であり、長期間あるいは一生気づかれないこともある。；基本的には一生に1回であることが多いが、2回以上罹患する人もいる。；北海道の個体は海を下ることがなく、一生淡水で過ごすといわれている。；インドの多くの人々は一生に一度、この巡礼路を歩くことを夢と考えている。；ただ、当時タレント業を一生の生業とする意識は全くなかったという。；ジョルジュ・バタイユとの出会いが岡本の一生を変えたと述懐している。；柳生新陰流に生涯をかけた男、柳生宗矩の愛と戦いの一生を描いた作品。；写真の普及に努めたその一生は、そのほとんどを写真に捧げたといってよい。；本人いわく二度と結婚せずに、一生一人で生きていくと語っている。；それは彼女がシンガーであることに一生を捧げると覚悟しているからである。；このように食品添加物は、毎日・一生食べても安全な範囲でのみ使用される。；名ばかり知られているが、一生その姿を見ない人も多いと思われる。；コクランを知る人は、この敗北が彼女の一生を悩ませたと語っている。；恒星の一生におけるHR図上での移動は次のようになるとされている。；ところがその子はディオファントスの一生の半分しか生きずに世を去った。；古くから「一生に一度の願いを聞いてくださる」と、尊崇を集めている。；しかし、一生のうちに一度しか産卵しない種は明らかにこの段階は存在しない。；カーニーは何もしなくても一生贅沢に生きていけたが、軍隊を職業に選んだ。</t>
        </is>
      </c>
      <c r="J518">
        <f>HYPERLINK("https://www.weblio.jp/content/一生", "词义详情")</f>
        <v/>
      </c>
      <c r="K518">
        <f>HYPERLINK("https://yourei.jp/一生", "查看例句")</f>
        <v/>
      </c>
    </row>
    <row r="519">
      <c r="A519" t="inlineStr">
        <is>
          <t>一生懸命</t>
        </is>
      </c>
      <c r="B519" t="inlineStr">
        <is>
          <t>成功</t>
        </is>
      </c>
      <c r="C519" t="inlineStr">
        <is>
          <t>読み方：いっしょうけんめい
［名・形動］《「一所懸命」から》
１命がけで事に当たること。また、そのさま。「—に働く」「—探しまわる」
２引くに引けないせっぱ詰まった場合。瀬戸際。
「—の敵(かたき)を防ぐ」〈風来六部集・放屁論〉</t>
        </is>
      </c>
      <c r="D519" t="inlineStr">
        <is>
          <t>一生懸命働い；一生懸命考え；一生懸命勉強；一生懸命やる；一生懸命働く</t>
        </is>
      </c>
      <c r="E519" t="inlineStr">
        <is>
          <t>熱心；本気；真剣；真面目；懸命</t>
        </is>
      </c>
      <c r="F519" t="inlineStr">
        <is>
          <t>一生懸命練習；一生懸命やってる；一生懸命やり；一生懸命思い出そ；一生懸命働け</t>
        </is>
      </c>
      <c r="H519" t="n">
        <v>29</v>
      </c>
      <c r="I519" t="inlineStr">
        <is>
          <t>私は、今度こそ失敗がないようにと、それこそ一生懸命でございました。；食事は気取らない簡単なものだったが、夫人が一生懸命作ったのだろう。；伯爵も出てきてみんな一生懸命で火を消し止めたのは午前二時であった。；彼はそんなことには気もつかず、なおその先を一生懸命に考えていた。；庭では二人の少年が未だ組んだり離れたりして一生懸命になっていた。；それでわしは今まで、お前が一生懸命になってるのを黙って見ていた。；君はこんなに一生懸命の献身を、どうしてだと不思議に思ってるんだろ?；海の中に落ちた水兵は一生懸命に片手を挙げ、何かおお声に叫んでいた。；俺は一生懸命振り払おうと全身でもがいたんだけどどうしても落ちない。；子供心にも重い責任を感じて一生懸命になって、毎日お復習を怠らない。；はははははは、我々のこうして話している間も一生懸命に作っているのです。；でも、何故それがそんなに一生懸命にならなければならない問題なの。；何方も一生懸命だったと見えて、二人とも合格採用ということになった。；お千代 今もお聞きの通りの次第で、兄も一生懸命の場合でございます。；それは何か白い小さな紙包を握りつぶして一生懸命に隠そうとしている。；女子少年 私は一生懸命に耳の貝で海を聞き、眼の貝で海を見ていたのよ。；わたくしも一生懸命で、できるだけのお世話をしたいと思つていますの。；これほど一生懸命に、竜になりたい竜になりたいと思いつめているんだぜ。；一生懸命できる唯一のことが絵であり、昔から絵が自分の土台になる。；聞きながらもその場合場合の記憶を呼び起そうと一生懸命にあせっていた。；応援に行くことが出来ませんけれど、一生懸命遠くから声援を送ります。；演じている時は彼女が本当にいるように一生懸命演じているわ。；ここまでずっとリップとその連れとは黙々として一生懸命に登ってきた。；一生懸命に止めようと努力すると、気が遠くなって野原の真中に倒れた。；それからの金さんは酒も博奕もやめて一生懸命仕事に精を出すようになった。；こちらが知ってることを作家が知らないと思って、一生懸命書いている。；私は一生懸命その墨画を真似たがどうも先生ほどの墨色は出なかった。；そこから脱出しなければならないと、一生懸命にもがいておりました。；するとあんまり一生懸命になるもんだから足許が変に便りなくなって来る。</t>
        </is>
      </c>
      <c r="J519">
        <f>HYPERLINK("https://www.weblio.jp/content/一生懸命", "词义详情")</f>
        <v/>
      </c>
      <c r="K519">
        <f>HYPERLINK("https://yourei.jp/一生懸命", "查看例句")</f>
        <v/>
      </c>
    </row>
    <row r="520">
      <c r="A520" t="inlineStr">
        <is>
          <t>一色</t>
        </is>
      </c>
      <c r="B520" t="inlineStr">
        <is>
          <t>成功</t>
        </is>
      </c>
      <c r="C520" t="inlineStr">
        <is>
          <t>読み方：いっしき
［名］
１一つの色。ひといろ。いっしょく。
２華道で、一種類の花木を生けること。「万年青(おもと)を—にいける」
３物事の一種類。また、同じ種類。ひとしな。
「しわい人でつひに孫どもに何を—くれられたことが御座らぬ」〈虎寛狂・財宝〉
［名・形動］（「一式」とも書く）いちずであること。また、そのさま。
「真面目—な文句」〈漱石・明暗〉</t>
        </is>
      </c>
      <c r="D520" t="inlineStr">
        <is>
          <t>一色塗り；一色地区；一色海岸；一色氏；一色道庵</t>
        </is>
      </c>
      <c r="E520" t="inlineStr">
        <is>
          <t>同様；一様；均一；均等；一律</t>
        </is>
      </c>
      <c r="F520" t="inlineStr">
        <is>
          <t>赤一色；富田一色；灰色一色；墨一色；茶色一色</t>
        </is>
      </c>
      <c r="G520" t="inlineStr">
        <is>
          <t>一色町；一色範氏；一色家；一色義直；一色義貫</t>
        </is>
      </c>
      <c r="H520" t="n">
        <v>29</v>
      </c>
      <c r="I520" t="inlineStr">
        <is>
          <t>甲板に一人の背の高い男が立って、闇一色の陸地のほうを眺めていた。；青も赤も黄色も眼中にない、かれの目にはもう一色になっているのだ。；ところが一歩外へ出ると、どこまでも灰緑色一色に塗りつぶされている。；塗装は先頭部分のライトブルー一色から、側窓の上下でライン状になる。；灰一色の空の下に、それは今朝から、いやそれは昨日からつづいてゐる。；またロンドン地下鉄路線図では、この統合された路線は一色で表現された。；成長速度の速い松が選ばれ、多くの地域で松一色の山林ができている。；寒色の青一色では暗く重く見えることから腕と脚は銀が配置された。；驚く一色道庵は、声を立てる暇もなく、その縁の上へ引上げられました。；上一色の町域をJR総武線が通過しているが域内に鉄道駅は存在しない。；その一色をも逃すまいとして、私はどんなに緊張して居りますでしょう。；雪一色の美に寄せて、そのときもう胸に抱いていた復古の精神を吐いている。；近年、これらの駅の大半は改装されて、単一色のプレートになっている。；背後の空は、既に迫る夜のために豊かにされ又暗くされた青一色。；毛色に制限は無いが、ホワイト地に一色の斑があるものが好まれている。；空は青一色で、そのなかを美しいデボネア機がすべるように飛んでいった。；モノクロでしか確認できないが、全身を一色で塗られていたようである。；車体は陸上自衛隊のものと異なりオリーブドラブ一色で塗装されている。；背景は常に一色に塗られ、たまに装飾的な要素が描かれることがある。；その女は頭のてっぺんから足のさきまでピンク一色だったのである。；本文は描き下ろし漫画も含めてWebに合わせて青一色で印刷されている。；艦尾に搭載された水上偵察機も含めて全体を赤一色で塗りつぶされている。；しかし当時は科学的助言も一般社会からの圧力も徹底的除去一色だった。；この生地一色しか有りませんが洗ってクタクタにならなければ幸せです。；肥料に用いられた魚の骨と石ころと一緒に、同じ一色に土にまみれている。；突然の雨により画面が青一色になったのがきっかけとされる。；驚く一色道庵は、聲を立てる暇もなく、その縁の上へ引上げられました。；オスの成体は眼の周囲や側頭部の斑紋が消失し、黒や黒褐色一色になる。；彼と落語論を交わすうちに自分の生き甲斐が落語一色になっていった。</t>
        </is>
      </c>
      <c r="J520">
        <f>HYPERLINK("https://www.weblio.jp/content/一色", "词义详情")</f>
        <v/>
      </c>
      <c r="K520">
        <f>HYPERLINK("https://yourei.jp/一色", "查看例句")</f>
        <v/>
      </c>
    </row>
    <row r="521">
      <c r="A521" t="inlineStr">
        <is>
          <t>一緒に</t>
        </is>
      </c>
      <c r="B521" t="inlineStr">
        <is>
          <t>成功</t>
        </is>
      </c>
      <c r="D521" t="inlineStr">
        <is>
          <t>一緒に仕事；一緒に食事；一緒に行動；一緒に生活；一緒に旅行</t>
        </is>
      </c>
      <c r="E521" t="inlineStr">
        <is>
          <t>同時に；と共に；合わせて；並んで；いっしょに</t>
        </is>
      </c>
      <c r="F521" t="inlineStr">
        <is>
          <t>一緒に東京；一緒に映画；一緒に写真；一緒に出て；一緒に練習</t>
        </is>
      </c>
      <c r="G521" t="inlineStr">
        <is>
          <t>一緒に暮らしたい；一緒にいたかった；一緒にいこう</t>
        </is>
      </c>
      <c r="H521" t="n">
        <v>29</v>
      </c>
      <c r="I521" t="inlineStr">
        <is>
          <t>この頃、兄と一緒にバンドを組んだライブをやっていたこともあった。；また、そのキャラクターが装備している武器も一緒に表示されている。；一緒に敵の騎兵大隊までもが日差しを浴びて広がっているではないか!!；一般的には、薄める為の水を入れる水瓶と一緒に設置されることが多い。；一回ぐらい一緒に散歩しましょうという願いが叶わなかったのが残念です。；弟子入り後一年経たずして、一緒に本を出すようになったとのこと。；娘・雪子はオニババと一緒に虐待するか、相手にしないかのどちらかだ。；丸山茂樹と仲が良く日本にいた頃はよく一緒にテレビに出ていた。；当時アメリカにいた姉と一緒に勉強する道も示してくれた。；実際にドナルドとの共演作品では一緒にどこかへ出かけている設定のものが多い。；映画と一緒に旅回りの芝居をしていたが、覚えていなかったという。；それと同時に、神を信じない人と一緒に仕事をすることはできないと表明している。；夏の間、いくつかの群が一緒に行動し同じ海岸へ集まることがある。；各キャラには好感度が設定されており、一緒に練習する事などで上昇する。；コーヒーや紅茶と一緒に薬を飲んでいけないと言われている理由は主にここにある。；私はそういう監督と一緒に仕事がしたいと思っているの。；時には複数の家族が自分たちの亡くなった家族を一緒に埋葬した。；慈英と一緒に読売クラブのユースチームに所属し、サッカーをしていた。；結局その晩は複雑な気持ちを抱いた4人が一緒に鍋を囲むことになる。；そして、彼の姉妹は私たちと一緒にここにいるのではないか?；大熊からも「一緒に優勝を目指そう」と声をかけられ翻意するに至った。；今まで私が一緒に仕事をした女性の中では傑出しています。；彼女もまた娘と一緒にデンマークに連れ去られ幽閉される事となった。；ゲームでの出演では、ガッちゃんと一緒に出演していることが多い。；当日朝も選手や監督とコーチ、前監督も一緒に円陣を組んで出陣しました。；リーヴァイはファニーの育ち盛りの家族と一緒に生活することとなった。；ケニーとはよく一緒にツアーで回ってて、その時に歌ってくれた。；班超は歴史家の家に生まれ、幼い頃は兄と一緒に歴史を学んでいた。；一方、ガブはまた狩の予定が入り、バリーと一緒に行動することになる。</t>
        </is>
      </c>
      <c r="J521">
        <f>HYPERLINK("https://www.weblio.jp/content/一緒に", "词义详情")</f>
        <v/>
      </c>
      <c r="K521">
        <f>HYPERLINK("https://yourei.jp/一緒に", "查看例句")</f>
        <v/>
      </c>
    </row>
    <row r="522">
      <c r="A522" t="inlineStr">
        <is>
          <t>一心</t>
        </is>
      </c>
      <c r="B522" t="inlineStr">
        <is>
          <t>成功</t>
        </is>
      </c>
      <c r="C522" t="inlineStr">
        <is>
          <t>読み方：いっしん
１多くの人々が心を一つにすること。同心。
２心を一つの事に集中すること。また、その心。専念。「会いたい—で探し続ける」
３仏語。
㋐あらゆる現象の根源にある心。
㋑浄土真宗で、真実の信心。</t>
        </is>
      </c>
      <c r="D522" t="inlineStr">
        <is>
          <t>一心斎(6%)；一心流；一心三観；一心不亂；一心館</t>
        </is>
      </c>
      <c r="E522" t="inlineStr">
        <is>
          <t>集中；夢中；専念；埋没；一心不乱</t>
        </is>
      </c>
      <c r="F522" t="inlineStr">
        <is>
          <t>たくない一心；たいという一心；一億一心；犬童一心；陸一心</t>
        </is>
      </c>
      <c r="G522" t="inlineStr">
        <is>
          <t>一心不乱；一心同体；一心寺；一心太助；一心会</t>
        </is>
      </c>
      <c r="H522" t="n">
        <v>29</v>
      </c>
      <c r="I522" t="inlineStr">
        <is>
          <t>おそらくは一心を集中して、言うべきことの準備をしているのであろう。；子を思う最後の一心が、死んだ身体へ乗りうつったとしか思えなかった。；しきりと玉をはじく彼女の様子はそれに一心を集中しているようだった。；そんなに一心に見つめられると、私の体は堪えられそうもありませんわ。；日本では一般的に一心二葉が最高級、一心三葉は準高級品とされている。；何かに一心になると、おとなのように、ほかのことは考えませんからね。；交通違反のお目こぼしをしてもらいたい一心で警察に駆けこんだのだな。；一心に追っているつもりなのだが、どうしてもひきはなされてしまった。；彼の一心をもって寺ができたため、一心寺という名になったといわれる。；恐怖に戦いている金次郎は、助かりたい一心で源作の言う通りになった。；自分を信用してもらいたい一心からの自大主義的なふるまいに過ぎない。；久保田さんは何気なくそれに眼を止めたが、次には一心に見つめ初めた。；一心の子どもの将来を考えてのことでもあるし、単なるエゴじゃないんだ。；傍視も揮らずに一心になって草の路を追っている菊江の耳に物の気配がした。；何か一心に思い詰めたような決心の色が明らかに眉宇の間に現われている。；彼は一心になっているので自分の近いたのに気もつかぬらしかった。；息子と別れたくない一心で、モーリーンは自殺を決意したのであった。；仕事にかかると二人の妹は口もきかず、僅かな時間をも惜んで一心だつた。；お豊は、この時も一心ですから、少しもこの人に気がつきませんでした。；仕事の断え間になると、彼は昼間でも一心になってそれに耽っていた。；中央にいる手品師が視点を定めてしっかりと一心に前を見つめている。；ここに至って、彼の帷幕というものは、まったく一心一体になっていた。；三浦は、私がそばに近づいても気づかぬほどに、一心に読み耽っている。；第一心から愛に動かされないでいかほどのこともできるものではない。；その小さなカエルは、明らかに、モードの方を、一心に見つめています。；一心になって始めた人たちより、自分が偉いかのように言う人もあるやろ。；そして、彼女の口は新一の耳に何事か一心に囁きつづけるのであった。；三年この方、そうならないようにと思う一心からあそこにいたのですけれど。；なお一心にながめていますと、不意に青年のからだが水に沈みます。</t>
        </is>
      </c>
      <c r="J522">
        <f>HYPERLINK("https://www.weblio.jp/content/一心", "词义详情")</f>
        <v/>
      </c>
      <c r="K522">
        <f>HYPERLINK("https://yourei.jp/一心", "查看例句")</f>
        <v/>
      </c>
    </row>
    <row r="523">
      <c r="A523" t="inlineStr">
        <is>
          <t>一斉に</t>
        </is>
      </c>
      <c r="B523" t="inlineStr">
        <is>
          <t>成功</t>
        </is>
      </c>
      <c r="D523" t="inlineStr">
        <is>
          <t>一斉に歓声；一斉に姿を消し</t>
        </is>
      </c>
      <c r="E523" t="inlineStr">
        <is>
          <t>同時に；一緒；いっぺんに；ワッと；いっせいに</t>
        </is>
      </c>
      <c r="F523" t="inlineStr">
        <is>
          <t>みんな一斉に；皆一斉に；みな一斉に</t>
        </is>
      </c>
      <c r="H523" t="n">
        <v>29</v>
      </c>
      <c r="I523" t="inlineStr">
        <is>
          <t>そして次の瞬間にそれらは一斉に息を潜めて私の心の中に静まり返った。；議員たちは勅許状をテーブルの上に置くと一斉にローソクを吹き消した。；日本では一斉に建築される建て売り住宅などに用いられている場合もある。；自然公園で冬を越し、春になると一斉に飛び立つ姿はまるで絵画のよう。；エイリアンの数が少なくなると編隊を崩して一斉に攻撃を仕掛けてくる。；次の瞬間、バスの乗客たちが一斉に勝見の方を見つめていたことに気づく。；その様子を見た少年たちはこれまでの不満を爆発させ、一斉に反乱を起こす。；端厳な品位を、一生に一度の熱情の美しさが一斉に内から輝かしたのだ。；皆が一斉にその方を見たので、彼等は少してれたように、次の歌が澱んだ。；ライブでは途中でファンが一斉にタオルを投げ上げるのが恒例となっている。；値段は旧版と同じだが、カードは全216種類が一斉に復刻されていた。；その時、森の中に隠れていたインディアンたちが一斉に銃撃を始めた。；翌12日に新聞各社が一斉に報道して世間に知られるようになった。；部屋のなかに残つてゐた生徒も中庭で遊んでゐた生徒も一斉に集まつて来た。；デヴォンシャイア公園の住民が一斉に夏期休暇に出かけているかのようだ。；彼等は子路が走って来るのを見ると、話をやめて一斉に子路の方に顔を向けた。；樹木によっては、一定の季節に一斉に全ての葉を放棄するものがある。；地上部隊の南への進撃が一斉に開始される中、フランスはついに降伏を決定した。；ロケットへの点火は中隊本部の指令装置より電気的かつ一斉に行われた。；人類が一斉に姿を消した設定であるため、遺体の腐敗などの問題も無視されている。；と、小勢と見てとったか平家が一斉に橋を押し渡ろうと進みはじめた。；彼らは一斉に手を上げて無事の到着を祝すための奇妙な叫び声を挙げるのであった。；バスが停止したのを見ると、テロリストは四方から一斉に発砲を開始した。；動きかけていた生徒の視線が又一斉にそこへ集って行った。；この時、志賀潔をはじめとする研究所の職員全員が一斉に辞表を提出。；最後は一斉に電話が鳴って、紳助らが逃げ出すというオチになっている。；自動窓は、乗務員室からの操作で全ての窓を一斉に昇降することが可能である。；玄関の呼鈴がけたたましく鳴つたので、女中たちは一斉に眼をさました。；オーバードライブで三回攻撃すると全員で一斉に攻撃を行う技が発動する。</t>
        </is>
      </c>
      <c r="J523">
        <f>HYPERLINK("https://www.weblio.jp/content/一斉に", "词义详情")</f>
        <v/>
      </c>
      <c r="K523">
        <f>HYPERLINK("https://yourei.jp/一斉に", "查看例句")</f>
        <v/>
      </c>
    </row>
    <row r="524">
      <c r="A524" t="inlineStr">
        <is>
          <t>いっそ</t>
        </is>
      </c>
      <c r="B524" t="inlineStr">
        <is>
          <t>成功</t>
        </is>
      </c>
      <c r="C524" t="inlineStr">
        <is>
          <t>［副］《「いっそう（一層）」の音変化という》
１中途半端な状態を排して思いきったことを選ぶときに用いる。とやかく言わないで。むしろ。いっそのこと。「そんな絵なら—掛けないほうがましだ」
２予想に反した事を述べるときに用いる。かえって。反対に。「近ごろは角帽をかぶった学生のほうが—異様だ」
３好ましいものをあきらめ、意に添わないことを選ぶときに用いる。どうせ。
「一木もやどりのたよりならねば、—にぬれた袖笠」〈浮・一代男・一〉
４まったく。たいそう。
「大屋さんのおかみさんへ—追従(ついしょう)ばかりいって」〈滑・膝栗毛・発端〉</t>
        </is>
      </c>
      <c r="D524" t="inlineStr">
        <is>
          <t>いっそ死ん(2%)；いっそひと思い；いっそ早く；いっそさっぱり；いっそすがすがしい</t>
        </is>
      </c>
      <c r="E524" t="inlineStr">
        <is>
          <t>ひどく；大変；ずいぶん；たいへん；至って</t>
        </is>
      </c>
      <c r="F524" t="inlineStr">
        <is>
          <t>もういっそ；ならばいっそ；いっそあの；くらいならいっそ；それよりいっそ</t>
        </is>
      </c>
      <c r="G524" t="inlineStr">
        <is>
          <t>いっそセレナーデ；いっそくとび</t>
        </is>
      </c>
      <c r="H524" t="n">
        <v>29</v>
      </c>
      <c r="I524" t="inlineStr">
        <is>
          <t>女主人は女中のことばを聞いて、いっそ死んでしまいたいと思いました。；いっそ本当に何か起こってくるまで待っていたほうがよくはないかしら。；いっそ科学の発達しない時代のことならそのつもりで読むから面白い。；あたしはいっそ、誰かがあたしを殺そうとしていてくれたらいいと思う。；こんな情けない運命だと知ったら、いっそ生まれて来ない方がよかった!；事実、彼は、いっそのこと、それがなければよかったのにと思っていた。；するとアメリカ人はいっそ内証でアメリカへお譲りにならぬかと言った。；そのとき以来、あの人を、いっそ私の手で殺してあげようと思いました。；いっそ病気を云い立てにして今度の芝居を休んでしまおうと思っていた。；新形式がいるんで、もしそれがないんなら、いっそ何にもないほうがいい。；いっそはっきりした罪を犯したほうがまだしも楽に自分を赦せると思う。；そうしていっそ二つのうちで後の方を冒したらどんなものだろうかと考えた。；遅れてアウトになるくらいなら、いっそその方がさっぱりしていていい。；これがもし芝居だとすると、いっそ辛辣すぎるというほかないのである。；いっそ、その商家の娘と結婚したほうがいいんじゃないんでしょうかね!；こんなことなら、いっそ死んでしまった方がよかったと思ったくらいだった。；縁あってこちらに来たものだから、いっそこちらで暮すもよいかも知れぬ。；それならばと光代はあどけなく、いっそ私を連れて行って下さいますか。；いっそ彼といっしょに死にたかったと思ってはいないだろうか?；ではいっそ夜までこのままにして置き、夜になってからしょびいて行くか?；もしそうなら返しておくれ、いや、いっそのこと大佐にさし上げなさい。；いっそ一思いにあの女の方から惚れ込んでくれたならなどと思っても見た。；もしできたら、いっそ逃げてしまいたいと思っていたことでしょう。；ルイスは、いっそのことなにかが起こってほしいとまで思うようになった。；で、彼は、こういうことは、いっそないほうがよかったろうにと考えた。；いっそひと思いに命が果ててくれたほうがいいと自分に言い聞かせた。；いっそのこと、あたしがメグと結婚して家庭のなかに安全にしておきたいわ。；それだったら、いっそ、われわれの仲間うちでくいあいでもしましょう。；今から思えば私たちもいっそ死んで居た方がよかったのです。</t>
        </is>
      </c>
      <c r="J524">
        <f>HYPERLINK("https://www.weblio.jp/content/いっそ", "词义详情")</f>
        <v/>
      </c>
      <c r="K524">
        <f>HYPERLINK("https://yourei.jp/いっそ", "查看例句")</f>
        <v/>
      </c>
    </row>
    <row r="525">
      <c r="A525" t="inlineStr">
        <is>
          <t>一層</t>
        </is>
      </c>
      <c r="B525" t="inlineStr">
        <is>
          <t>成功</t>
        </is>
      </c>
      <c r="C525" t="inlineStr">
        <is>
          <t>読み方：いっそう
［名］
１ひとかさね。
２数層の建物のいちばん下。
［副］
１程度がいちだんと進むさま。ひときわ。ますます。「寒さが—厳しくなる」「末っ子をより—かわいがる」
２むしろ。かえって。いっそのこと。
「何を見てもつまらなく、—消えて了(しま)いたい」〈横光・火の点いた煙草〉</t>
        </is>
      </c>
      <c r="D525" t="inlineStr">
        <is>
          <t>一層強く；一層深く；一層よく；一層大きく；一層激しく</t>
        </is>
      </c>
      <c r="E525" t="inlineStr">
        <is>
          <t>より；もっと；更に；ぐっと；一段と</t>
        </is>
      </c>
      <c r="F525" t="inlineStr">
        <is>
          <t>第一層；さらに一層；方が一層；一層はげしく；一層暗く</t>
        </is>
      </c>
      <c r="H525" t="n">
        <v>29</v>
      </c>
      <c r="I525" t="inlineStr">
        <is>
          <t>次に、第一層の上でもっとも低い位置に球を並べていって第二層を作る。；一層構造と二層構造のタイプがあり、それぞれ保温できる時間が異なる。；彼が1809年に歿したときには、その第一層さえ完成していなかった。；数千個の体細胞からなる一層の細胞層があり、内部は中空になっている。；選挙のシーズンになるとこの傾向は一層に強くなる傾向にある。；州が体育館を建設したため、学校は、スポーツに一層、力を入れている。；より一層早く到着するために車体も小さくなりさらに乗り心地は悪くなった。；だがこの一件は逆にナチ党への得票を一層減らしただろうと見られている。；晩年には老衰で政治的な活動は少なくなり、立憲君主化が一層進展した。；また、二人の娘を妻として与えたので、一層両者は接近するようになった。；また、火事等の後放棄されるビルが多く、事態を一層悪化させている。；葉が薄く見えるのは、葉身の細胞層が一層から成っているためである。；決勝では通常の問題に加えてVTR問題も加わって一層難易度が高くなった。；最近では、フランスとドイツは、より一層のEU統合を最も支持している。；変声期になると声が出なくなり、より一層狂言に身が入らなくなった。；ド・ロッチルトの動きは、急成長するナパ・ワインに一層の格を与えた。；さらに価値の高い武器を作るにはイベントを起こして一層高度な技術を獲得する必要がある。；だがこれらの言葉はブランディアの苦い思いを一層強くさせただけであった。；もし、そうでないと、私はあなたの大言壮語を一層非難するであろう。；フィールドをすり鉢状に囲むように一層式のスタンドが設けられている。；とは言うものの、前級の雛形をベースに一層の進歩を遂げた形式となった。；大聖堂は今日よりも一層巨大に見えていただろうと思われる。；後者は、5Gとの連携で一層実現しやすくなると期待されている。；だが、この合意がのちに事態を一層悪化させることとなった。；両方とも比較的男性に一層多いことが知られている。；一層抽象的な方法が要求され、同一の構造を持つ証明が遂行された。；この事件以降、スロベニアは一層反セルビア色を明確にしていく事になった。；西洋の娯楽品の入手は非常に厳しかったが、それも一層困難化した。；より一層の性能向上を意図して、ひとつの軸の回転方向を他の軸と逆向きにしたものも存在する。</t>
        </is>
      </c>
      <c r="J525">
        <f>HYPERLINK("https://www.weblio.jp/content/一層", "词义详情")</f>
        <v/>
      </c>
      <c r="K525">
        <f>HYPERLINK("https://yourei.jp/一層", "查看例句")</f>
        <v/>
      </c>
    </row>
    <row r="526">
      <c r="A526" t="inlineStr">
        <is>
          <t>一掃</t>
        </is>
      </c>
      <c r="B526" t="inlineStr">
        <is>
          <t>成功</t>
        </is>
      </c>
      <c r="C526" t="inlineStr">
        <is>
          <t>読み方：いっそう
［名］(スル)
１すっかり払いのけること。一度に払い去ること。「悪習を—する」「不安を—する」
２野球で、出塁中のランナー全員をホームインさせること。「走者—の二塁打」</t>
        </is>
      </c>
      <c r="D526" t="inlineStr">
        <is>
          <t>一掃する(19%)；一掃される(4%)；一掃しよ(3%)；一掃できる；一掃せよ</t>
        </is>
      </c>
      <c r="E526" t="inlineStr">
        <is>
          <t>払う；駆逐；追い払う；追い出す；放逐</t>
        </is>
      </c>
      <c r="F526" t="inlineStr">
        <is>
          <t>滞貨一掃；早く一掃；一掃するため；一掃する目的；一掃する必要</t>
        </is>
      </c>
      <c r="H526" t="n">
        <v>29</v>
      </c>
      <c r="I526" t="inlineStr">
        <is>
          <t>彼はまた、その地域を一掃するために完全な反撃が開始されたと述べた。；反乱は一掃されたが、反乱に加担した者への処断は残酷なものとなった。；次に町に来た時に二つのギャングが残っていれば、すべてを一掃する。；南ドイツを中心に勢力が残っていたカトリック系の宗教勢力も一掃された。；が、有害なる意見は、跡方もなく一掃されて居ることを忘れてはならない。；画面を埋め尽くす邪魔なものを爆発で一掃しながら目的地へ向かう。；それらの目的は日本から国家主義と軍国主義を一掃することとされている。；国民公会は古い施設を一掃し基礎から再建しなければならなかった。；同夜、原子力チームが施設を一掃できるように1号機は停止させられた。；同日、彼の部隊はに拠点を置いていたドイツ軍部隊を一掃している。；敵の創造物はほとんど一掃され、ゴンドールの南にも東にも平和が戻った。；軍と保守派は革命派の一掃を考えており、民衆の反乱を必要としていたのである。；その後の1683年には鄭氏政権が降伏し、国内の反清勢力は一掃された。；これにより、13世紀までにインド国内の仏教はほぼ完全に一掃された。；これにより、彼に敵対するマラーターの武将らはほぼすべて一掃された。；それを一掃してしまったんだから有難い英断ではあったと思います。；しかし昔の風景は一掃されており、大きな工場に変わっていた。；また、圧倒的な安定政権が一気に一掃された、世界での珍しい例の一つとなった。；その他、オプションを消費する事で画面内の敵を一掃できる特殊弾も存在する。；これを一掃しなければ、わが国の発展の障碍となることは明らかです。；僕は第四階級が階級一掃の仕事のために立ちつつあるのに深い同情を持たないではいられない。；これをもってクーデターを目指す勢力は陸軍内から一掃された。；しかし、目標を全て一掃したと報告して攻撃を終えることとした。；原野を手作業やのようなフレイル式地雷除去装置で一掃する必要がある。；パットンは強制的な解雇は行わないことを約束して、その不安を一掃した。；この事件を切っ掛けに国政の壟断を狙っていた陸海軍の将校は一掃された。；勇猛なる一撃をもって、立ちどころにさような形勢を一掃したであろう。；私が彼らを一掃したのは全く正当なことで、そうしなければ逆にこっちが殺されていたんだ。；新政府は左翼勢力を一掃して政権基盤を強固なものにすることに成功した。</t>
        </is>
      </c>
      <c r="J526">
        <f>HYPERLINK("https://www.weblio.jp/content/一掃", "词义详情")</f>
        <v/>
      </c>
      <c r="K526">
        <f>HYPERLINK("https://yourei.jp/一掃", "查看例句")</f>
        <v/>
      </c>
    </row>
    <row r="527">
      <c r="A527" t="inlineStr">
        <is>
          <t>一帯</t>
        </is>
      </c>
      <c r="B527" t="inlineStr">
        <is>
          <t>成功</t>
        </is>
      </c>
      <c r="C527" t="inlineStr">
        <is>
          <t>読み方：いったい
１あたり全体。「九州—」
２ひと続き。ひとすじ。
「—の冬雲が浮んで」〈藤村・破戒〉</t>
        </is>
      </c>
      <c r="D527" t="inlineStr">
        <is>
          <t>一帯陣地</t>
        </is>
      </c>
      <c r="E527" t="inlineStr">
        <is>
          <t>地域；地方；エリア；区域；地帯</t>
        </is>
      </c>
      <c r="F527" t="inlineStr">
        <is>
          <t>あたり一帯；周辺一帯；地域一帯；辺り一帯；地方一帯</t>
        </is>
      </c>
      <c r="H527" t="n">
        <v>29</v>
      </c>
      <c r="I527" t="inlineStr">
        <is>
          <t>そのため、この地域一帯には新石器時代より重要な遺跡が残されている。；このことからも元々この一帯をさした使われ方をされていたことが良く分かる。；鏡とは、メソアメリカ一帯で儀式に使用された黒曜石の鏡のことを示す。；この辺り一帯が沼地で、全国の白鳥伝説との関連が取り上げられている。；近代の都市整備で一帯を埋めていた中世の建物が撤去され、再発見される。；この一帯は大学も含めて北九州市から国際交流ゾーンと指定されている。；市の最も重要な史跡は旧市街にあり、一帯はかつて城壁で囲まれていた。；温泉一帯は、江戸時代には湯村といい、明治に入ると吉岡村に改称した。；コロラド州の大部分の住民はこの都市化の進んだ一帯に暮らしている。；当駅は福生市の北部に位置しており、周辺一帯は主に住宅地となっている。；現在は小さな境内であるが、裏山一帯は往時の願成就院の敷地であった。；北側の川に挟まれた一帯は下鴨神社などがある昔からの住宅街である。；インドのマハラシュトラ州を中心にデカン高原一帯で多く信仰されている。；周辺一帯では、越後平野の稲作を中心とした農業地帯が広がっている。；やがて西武園線が左にそれ、住宅街ながら緑の多い一帯を北に進む。；後に漢中は、郡の役所が置かれた南鄭を中心とした一帯の名称となる。；井口から相当離れた鵜沼を井口と一帯として岐陽と呼ぶのも無理がある。；その一帯ではドイツ語と低地ソルブ語の両方が使用されている。；その後200年余りに渡って現在の南部地方一帯で食べられてきた。；戦国時代前半には上総国西部から中部一帯を領有する大勢力となった。；またマイアミ一帯はハリケーンが頻繁に上陸することでも知られる。；町一帯は標高が高く、中心駅の河口湖駅は標高857mに位置している。；一帯に残る館跡、城跡等は松平氏遺跡として国の史跡に指定されている。；これは、武蔵国でもこの一帯が水に恵まれていたためであると考えられている。；南に残ったケララ一帯ではドラヴィダ人によるサンガム文化が発達した。；宮本武蔵駅付近一帯が宮本武蔵の生誕地とする説があることから命名された。；開発の進む北部一帯は交通網が整備されている。；それは軽井沢高原一帯を占める広大な官牧であったと考えられている。；やがて一帯が飽和状態となり、空気中の水分が霧となって発生する。</t>
        </is>
      </c>
      <c r="J527">
        <f>HYPERLINK("https://www.weblio.jp/content/一帯", "词义详情")</f>
        <v/>
      </c>
      <c r="K527">
        <f>HYPERLINK("https://yourei.jp/一帯", "查看例句")</f>
        <v/>
      </c>
    </row>
    <row r="528">
      <c r="A528" t="inlineStr">
        <is>
          <t>一体</t>
        </is>
      </c>
      <c r="B528" t="inlineStr">
        <is>
          <t>成功</t>
        </is>
      </c>
      <c r="C528" t="inlineStr">
        <is>
          <t>読み方：いったい
［名］
１一つのからだ。また、同一のからだのようになっていること。同体。「—を成す」「夫婦は—」「三位(さんみ)—」
２一つにまとまっていること。「クラスが—となる」
３一つの体裁(ていさい)・様式。「書の—」
４仏像・彫像などの一つ。「菩薩像—」
５（多く「一体に」の形で副詞的に用いて）全体にならしていうさま。総じて。概して。「—に今年は雪が多い」「日本人は—に表情に乏しい」
［副］
１強い疑問や、とがめる意を表す。そもそも。「—君は何者だ」
２もともと。元来。
「—生徒が全然悪いです」〈漱石・坊っちゃん〉</t>
        </is>
      </c>
      <c r="D528" t="inlineStr">
        <is>
          <t>一体化(8%)；一体的(4%)；一体どんな(3%)；一体どういう(2%)；一体性</t>
        </is>
      </c>
      <c r="E528" t="inlineStr">
        <is>
          <t>一般；通常；広く；いったい；たいてい</t>
        </is>
      </c>
      <c r="F528" t="inlineStr">
        <is>
          <t>一体構造；一体なぜ；一体感；一体鋳鋼製；一体鋳鋼台車</t>
        </is>
      </c>
      <c r="G528" t="inlineStr">
        <is>
          <t>一体型；一体に；一体感；一体全体；一体圧延車輪</t>
        </is>
      </c>
      <c r="H528" t="n">
        <v>29</v>
      </c>
      <c r="I528" t="inlineStr">
        <is>
          <t>この技法で描いた絵画は壁や天井と一体化し、ほぼ永続的に保存される。；ただしスティックと一体化していないボタンも持つ製品が大半である。；側面の出入台付近には行先表示器と一体枠で号車番号表示器を設置した。；ただし二つの性格は不可分に一体となっているというのがその主張である。；このため、学研都市線とJR東西線はほぼ一体の運行形態となっている。；ほとんどは撮影部と録画部が一体化したカムコーダ様式のものである。；このとき、この作品は絵画と賛は一体のものとして鑑賞の対象とされる。；更に西側の岩子島のものも、この島と一体化していたものと考えられている。；グレートブリテン島など大陸周辺の島もことごとく大陸と一体化していた。；袖仕切りは01系に準じた仕切りと荷棚の端が一体になったものである。；西口が新設され、東西に分断された街の一体化と交通渋滞の緩和を図る。；前述の通り溶接とは、2つ以上の部材を溶融・一体化させる作業である。；日本では所有と運営が一体の場合も多いが、海外は所有と運営の分離が一般的である。；開業当初からある建物で、2000年に建てられた新館と一体化している。；全列車が西神・山手線に直通運転しており、一体的に運行されている。；各車にブレーキ関係の機器を一体箱化したブレーキ制御装置を搭載する。；合わせて二人の陵を一体的に整備する事で従来の陵より小さく作る事も発表した。；これには、プレートが完全にスキー板と一体となっている場合も含む。；主翼は胴体と一体となった中央翼と左右の片持ち翼で構成される。；県境を跨いで市街地が連続し、一体化した人口集中地区を形成している。；ただし、三の間と小間の間には間仕切りはなく、一体の空間になっている。；ディー・エヌ・エーによる球団とスタジアムの一体運営体制へ移行した。；Forth の環境はコンパイラと対話形式のシェルが一体化している。；またこの主翼の主桁は左右一体構造で作られた頑丈なものであった。；国内線航空券は、航空券と搭乗券が一体になったものが使用されている。；主に刀を持つ敵と戦うために作られた、攻防一体の武器である。；上部構造物はたかつき型と同じく3層構造で、格納庫と一体化している。；柄の部分を別部材で構成した別柄型のものと、全体を一体成型にしたものがある。；健康な心と体は、人間と神の一体性を認識することによって達成されると考えられた。</t>
        </is>
      </c>
      <c r="J528">
        <f>HYPERLINK("https://www.weblio.jp/content/一体", "词义详情")</f>
        <v/>
      </c>
      <c r="K528">
        <f>HYPERLINK("https://yourei.jp/一体", "查看例句")</f>
        <v/>
      </c>
    </row>
    <row r="529">
      <c r="A529" t="inlineStr">
        <is>
          <t>一旦</t>
        </is>
      </c>
      <c r="B529" t="inlineStr">
        <is>
          <t>成功</t>
        </is>
      </c>
      <c r="C529" t="inlineStr">
        <is>
          <t>読み方：いったん
《「旦」は朝の意》
［名］
１一度。「—は中止と決まっていた」
２しばらくの間。一時。
「—の楽しみにほこって、後生を知らざらん事の悲しさに」〈平家・一〉
３あの時一度。
「—の御心をそむき」〈曽我・七〉
［副］
１ひとたび。一度。「—怒りだすと、手がつけられない」
２ひとまず。一時的に。「—帰国する」
［アクセント］はイッタン、はイッタン。</t>
        </is>
      </c>
      <c r="D529" t="inlineStr">
        <is>
          <t>一旦松前藩領；一旦離れ；一旦途絶え；一旦途切れ；一旦打ち切ら</t>
        </is>
      </c>
      <c r="E529" t="inlineStr">
        <is>
          <t>ひとつ；一度；いったん；一回；とりあえず</t>
        </is>
      </c>
      <c r="F529" t="inlineStr">
        <is>
          <t>もって一旦；直線で一旦；一旦湯煮；一旦沈静；一旦収公</t>
        </is>
      </c>
      <c r="H529" t="n">
        <v>29</v>
      </c>
      <c r="I529" t="inlineStr">
        <is>
          <t>この状況は一旦火災が発生すると、各々以下のような問題を発生させる。；ただし、ETCXを利用する場合も料金所では一旦停止する必要がある。；大学卒業後に一旦就職し、しばらくたってから大学院に入学する人も多い。；一旦審判員がボールを保持し、指示があるまでゲームは再開されない。；一旦粉にしてから使う用途の主なものには次のようなものがある。；トイレとホームの屋根は繋がっておらず一旦屋根のない部分を通る必要がある。；その後全国リーグの発足で一旦消滅したが1989年から再開されている。；今後については一旦休止してこれまでの活動の検証を行なうとしている。；東京ディズニーランドの入園料分まで達したのを受け、企画も一旦終了。；湘南台延伸後は一旦減少に転じた時期があったが、再度増加に転じている。；初代から8代目で38年の日本での歴史に一旦は幕を閉じることとなった。；逆に、一旦乾くと水に浸けても滲まないことで保存に適した方法だった。；また両鉄道路線とも一旦神奈川県を経由しないと当駅に至ることはできない。；害虫のネコブセンチュウが一旦発生すると防除することができなくなる。；ただし、この場合は攻略途中だったシナリオのデータは一旦初期状態に戻る。；当然ながら倒す対象のシートに乗員がいる場合は一旦降りる必要がある。；隼鷹は第三次攻撃隊を収容したのち、一旦北上して破損機の修理を実施。；そのため、同様に一旦出場して養老鉄道の乗車券を用意する必要があった。；従って一旦海に流されれば、生存できる可能性はほとんどないといえる。；一旦発症するとほとんどの抗生物質が効かないため、治療は困難である。；改札口から外に出るためには階段を一旦下ってから上り直す構造となっている。；中国放送では一旦放送を終了していたが、2007年4月17日から再開。；同年末には土曜競馬スタート以来派遣を続けた『勝馬』も一旦撤退した。；発車時刻が近づくと一旦すべての客用ドアを開けた後客用ドアを閉めて出発する。；翌年の1999年12月18日に映画化された、一旦シリーズは終了した。；この路線は一旦廃止され、後に復活したが、以降はEdy使用不可である。；東小泉駅の旅客営業開始に伴い一旦廃止となったが、1955年に復活。；他方、一旦は定着したかに見えても、その状態が続くとも限らない。；そのため、一旦は別物である可能性が高いとみなして扱うほうが安全である。</t>
        </is>
      </c>
      <c r="J529">
        <f>HYPERLINK("https://www.weblio.jp/content/一旦", "词义详情")</f>
        <v/>
      </c>
      <c r="K529">
        <f>HYPERLINK("https://yourei.jp/一旦", "查看例句")</f>
        <v/>
      </c>
    </row>
    <row r="530">
      <c r="A530" t="inlineStr">
        <is>
          <t>一致</t>
        </is>
      </c>
      <c r="B530" t="inlineStr">
        <is>
          <t>成功</t>
        </is>
      </c>
      <c r="C530" t="inlineStr">
        <is>
          <t>読み方：いっち
［名］(スル)
１二つ以上のものがぴったり一つになること。くいちがいなく同じであること。合致。「意見の—をみる」「指紋が—する」「満場—」
２ごく普通の道理。
「気遣ひいたすも—なれば」〈浮・禁短気・四〉</t>
        </is>
      </c>
      <c r="D530" t="inlineStr">
        <is>
          <t>一致する(26%)；一致団結；一致すれ；一致点；一致協力</t>
        </is>
      </c>
      <c r="E530" t="inlineStr">
        <is>
          <t>対応；契約；約束；偶然；承認</t>
        </is>
      </c>
      <c r="F530" t="inlineStr">
        <is>
          <t>とも一致；完全に一致；ぴたりと一致；完全一致；一致和合</t>
        </is>
      </c>
      <c r="G530" t="inlineStr">
        <is>
          <t>一致協力；一致派；一致の定理；一致信条；一致の原理</t>
        </is>
      </c>
      <c r="H530" t="n">
        <v>29</v>
      </c>
      <c r="I530" t="inlineStr">
        <is>
          <t>アメリカでは議会の多数党と大統領の所属政党が一致するとは限らない。；このように対象期間と受賞年が一致していないため注意が必要である。；現在では、学部組織と大学院の研究教育組織は必ずしも一致していない。；そのため商品価格とブランド価値は必ずしも一致するとは限らない。；実験の結果はかつての結果と一致しており、 元素の登録が申請された。；この線と実際の絵を比較すると、窓やテーブルの角のラインが一致している。；彼が確定したポーランド公国領は現在のポーランド領とほぼ一致する。；中国と日本の利害は一致するように見えるが良いニュースは聞こえて来ない。；いかに一致団結して邁進するか、いかにチームのために自分を殺すかだ。；両者の秩序は、同じ実体の二つの側面を示すから、一致するとしている。；池の名に違いはあるが複数の池を設置した点は一致している。；そのため市区の人口と経済活動の規模が一致するとは限らなくなった。；拓郎ほどその生き様と歌がぴったり一致しているアーティストはいない。；魚介類は多獲される時期を示し、必ずしも旨くなる時期とは一致しない。；それはレーザービームのように一致し、みんな同じ方向を向いていた。；名詞だけ見る限り所属クラスが不明確な場合でも一致を確かめれば分かる。；始めの測定結果は、量子論に基づく計算値との間で非常に良い一致を示した。；これは上記のような文法上の定義と概ね重なるが、必ずしも一致しない。；番組タイトルと内容が一致しなくなっていった面はあったと思う。；このやり方で計算されたイオン化エネルギーは実験と定性的に一致する。；これは後の東京15区、即ち市制施行時の東京市の範囲とほぼ一致する。；しかし彼がすべての年代のための作者であるという自己像には一致していなかった。；神は、幸福と徳の一致である「最高善」を可能にするために要請される。；イマームたちが存命中その近くにいた教友たちの意見の一致である。；西武でも黄色を主体とした塗装を採用していたが、これは偶然の一致である。；の始点と終点が一致するときはそのことを強調して とも表記する。；歴史的にみると、すべて友会徒がすべての証言に同時に一致したわけではない。；プラズマ周波数の測定値は、多くの材料で理論値とよく一致している。；がそれ自身エルミートならば、これは上で述べた平方根の概念と一致する。</t>
        </is>
      </c>
      <c r="J530">
        <f>HYPERLINK("https://www.weblio.jp/content/一致", "词义详情")</f>
        <v/>
      </c>
      <c r="K530">
        <f>HYPERLINK("https://yourei.jp/一致", "查看例句")</f>
        <v/>
      </c>
    </row>
    <row r="531">
      <c r="A531" t="inlineStr">
        <is>
          <t>一定</t>
        </is>
      </c>
      <c r="B531" t="inlineStr">
        <is>
          <t>成功</t>
        </is>
      </c>
      <c r="C531" t="inlineStr">
        <is>
          <t>読み方：いちじょう
［名］確かにそれと決まっていること。
「往生は—と思へば—、不定(ふぢゃう)と思へば不定なり」〈徒然・三九〉
［副］まちがいなく。必ず。きっと。
「かほどの大男のことなれば、—武勇も人に超えつろう」〈芥川・きりしとほろ上人伝〉</t>
        </is>
      </c>
      <c r="D531" t="inlineStr">
        <is>
          <t>一定時間(6%)；一定数；一定程度；一定条件；一定規模</t>
        </is>
      </c>
      <c r="E531" t="inlineStr">
        <is>
          <t>いつも；常に；必ず；いつでも；決まって</t>
        </is>
      </c>
      <c r="F531" t="inlineStr">
        <is>
          <t>一定時間無敵状態；一定の關係；一定の確率；一定数集める；一定ピッチ型</t>
        </is>
      </c>
      <c r="G531" t="inlineStr">
        <is>
          <t>一定以上；一定量；一定の成果；一定の評価；一定額</t>
        </is>
      </c>
      <c r="H531" t="n">
        <v>29</v>
      </c>
      <c r="I531" t="inlineStr">
        <is>
          <t>これは国家や階級などの一定の社会集団が保有する政治的な観念である。；分岐器は、通常はある一定の方向に列車を進入させるようになっている。；しかし実際には陸奥国の郡数は時代によって増減しており一定ではない。；一定時間毎にチームの全員が出走し、チームごとのゴールタイムを競う。；この分類は一定しておらず、あくまでも一例であることに注意してほしい。；以降、FIFAは一定の自治が行われている地域の協会も認可している。；裁判所は、一定の広範な条件の下で、世界の全ての国に開かれていた。；光電子の放出は物質に一定の振動数以上の光を照射した時のみ発生する。；一定圧力下で常温の水をゆっくり加熱すると、ある温度で蒸気に変わる。；文化を享受するには一定の教養が必要であり、少数者のものであった。；へたりは荷重がほぼ一定でかかり続けるような場合にも発生する。；この地で発達した根底には一定の期間で発生するナイル川の洪水があった。；ブロックがこうした主張を行う背景には一定の経験がある。；どのような存在であるかについては様々な描写があり、一定しない。；中に入ると、一定時間出られない代わりにアイテムが手に入る。；経過が一定ではなく様々なパターンをとることが分かる。；アメリカなどでは、音声通話は一定時間まで定額であるのが一般的である。；多くの物質にとって、与えられた温度での電気抵抗 R は一定である。；ハンカチ落としは一定の条件を付けてプログラミングの問題に応用される。；この繰り返し計算を行うことで、照明状態が一定の安定状態に至る。；そのため、小中学生を中心に一定のシェアを獲得することに成功した。；最近では法治を重視する政策の下、一定の役割を果すようになってきている。；さすれば外交方針が一定し人心の不安は自然と鎮静することができる。；ただしこれは、全ての星が放つ真の明るさは一定という前提に立っていた。；一音多声のメリスマ型で一定のリズムを持たないので難しい方に入る。；オーム性材料でできた物体の一定の抵抗値の定義をオームの法則と呼ぶ。；さらに、一定の地域で多店舗を展開するエリアフランチャイジーも存在する。；は、最も初等的には、場所をとり一定の量をもつもののことである。；とは違い、熱平衡状態においてもパラメータ は物質中で一定ではない。</t>
        </is>
      </c>
      <c r="J531">
        <f>HYPERLINK("https://www.weblio.jp/content/一定", "词义详情")</f>
        <v/>
      </c>
      <c r="K531">
        <f>HYPERLINK("https://yourei.jp/一定", "查看例句")</f>
        <v/>
      </c>
    </row>
    <row r="532">
      <c r="A532" t="inlineStr">
        <is>
          <t>いつでも</t>
        </is>
      </c>
      <c r="B532" t="inlineStr">
        <is>
          <t>成功</t>
        </is>
      </c>
      <c r="C532" t="inlineStr">
        <is>
          <t>読み方：いつでも
［副］どんな時でも。常に。「—いいから連絡を下さい」「—身につけている」</t>
        </is>
      </c>
      <c r="D532" t="inlineStr">
        <is>
          <t>いつも；ずっと；常に；必ず；一定</t>
        </is>
      </c>
      <c r="H532" t="n">
        <v>29</v>
      </c>
      <c r="I532" t="inlineStr">
        <is>
          <t>その身体を使っていつでもどこでも好きな絵を描いて遊んでいる。；また、戦闘時は必ず基本武器カードが場に出ており、いつでも使用可能。；歌手として成功後もいつでも戻れるように美容師の資格を更新し続けた。；映画からいつでも撤退する気でいるのは小屋を持とうとしないので判るよ。；これでメスはオスから追加の支援なしでいつでも受胎できるようになる。；ダンバーはいつでも電話に出られる状態であると視聴者にアピールした。；一方実数の範囲ではその定義からいつでも が の最小の数になっている。；このカードがあれば番組放送中いつでもスタジオ内に参加することができた。；もし何か退屈になって歌が唄いたくなったらいつでも準備はできてる。；前作と異なり、移動中であればいつでもセーブができるようになった。；荒木の枕元にはトランクがあり、いつでも逃げられる準備がされていた。；また、プレイ中いつでも他のキャラクターに交代することができる。；表示されるパスワードを記録すればいつでもそのキャラを使用可能である。；解散できるのは庶民院のみであり、首相はいつでも解散を要請できる。；オンライン版は個人やグループ単位でいつでも申込・受験が可能である。；いいえ、私は人妻であることを、いつでも公表するつもりだったんです。；だけどいつでもオレはジョージアにいて、平和のために桃を食べるのさ。；もちろん困ったことや分からないことがあればいつでもスタッフは相談に応じてくれる。；生葉を利用するときは、必要に応じていつでも枝を切りとって収穫する。；これにより、プログラムはいつでもマシン間を移動することができる。；性格はいつでも変更可能だが、職業はゲームをある程度進めないと変更できない。；イベントに関しても特定の条件を満たしさえすればいつでも発生する。；優先国の撤回はいつでも可能であるが、議会への説明が必要とされている。；人気の朝食ではあるが、一日にいつでも買って食べることができる。；これを使うとゲーム中いつでもセーブを行いその場所から再開することができる。；ザ・コレクティブは、いつでもどこでも参加できるプロジェクトである。；他のWTO加盟国・地域は今後、いつでも同制度に加わることができる。；また旅券を有する彼らはいつでもポーランドへ帰ることもできた。；陣中でいつでも甲冑を身に付けられる状態のままくつろぐ際などに取った。</t>
        </is>
      </c>
      <c r="J532">
        <f>HYPERLINK("https://www.weblio.jp/content/いつでも", "词义详情")</f>
        <v/>
      </c>
      <c r="K532">
        <f>HYPERLINK("https://yourei.jp/いつでも", "查看例句")</f>
        <v/>
      </c>
    </row>
    <row r="533">
      <c r="A533" t="inlineStr">
        <is>
          <t>一転</t>
        </is>
      </c>
      <c r="B533" t="inlineStr">
        <is>
          <t>成功</t>
        </is>
      </c>
      <c r="C533" t="inlineStr">
        <is>
          <t>読み方：いってん
［名］(スル)
１ひと回りすること。また、ひっくり返ること。1回転。「氷上で滑って—した」
２ありさまががらりと変わること。また、がらりと変えること。「楽しい旅行のはずが、—悲しみの旅路となった」「相場が—する」「心機—」</t>
        </is>
      </c>
      <c r="D533" t="inlineStr">
        <is>
          <t>一転機；一転化；一転して不振；一転して窮地；一転瞬</t>
        </is>
      </c>
      <c r="E533" t="inlineStr">
        <is>
          <t>回転；回る；旋回；転倒；ターン</t>
        </is>
      </c>
      <c r="F533" t="inlineStr">
        <is>
          <t>先行策から一転；心気一転；一転して守勢；くるりと一転；一転して劣勢</t>
        </is>
      </c>
      <c r="H533" t="n">
        <v>29</v>
      </c>
      <c r="I533" t="inlineStr">
        <is>
          <t>その中には深い仲になった女性もいたが、結婚してからは一転して妻一筋。；そのことが船村や会社の耳に入り、一転して整理対象の候補となった。；こうしてラスティは、捜査する側から一転して被疑者となってしまった。；これを否定するために、一転して納品の事実を公表することとなった。；しかし四人組が逮捕されると一転して彼らを批判する詩を発表した。；しかし、後漢になると、一転して再び文字が重視されるようになった。；それに伴い、前近代までと一転して盛んに研究されるようになった。；しかし、会長職についた安藤は、一転して研究会の発展に力を尽くした。；また、戦争が終わると一転して戦後恐慌と呼ばれる不景気に見舞われた。；この夏には去年と一転して日焼けをし、また秋頃に髪をばっさり切った。；近鉄から指名された3年前とは一転して、上記の実績を背景に入団を決めた。；は前年までの活躍とは一転し不調に苦しみ、昇格と降格を繰り返した。；勝利に湧いていた第六戦隊の空気は、一転して沈痛なものになったという。；政治将校に狙撃の才能を認められたことで、ヴァシリの立場は一転する。；次シーズンも引き続きレギュラーを務めたが、クラブは前半の好調から一転。；しかしこの年、世祖が崩御して睿宗が即位すると、一転して冷遇された。；その上、県は1974年には一転して公的一元化に反対の意思を表明した。；しかし一次大戦後に一転して偏見に彩られた批判的な著作が急増した。；そしてついに天正5年、これまでの態度を一転、後北条氏と和を結んだ。；マシンは一転して2年前の性能に逆戻りしたかのような戦闘力に苦労する事となった。；戦後の日本は一転して防衛を放棄し、いわば半主権国家となった。；時代を経るにつれ、ケンムンは一転して危険で忌避すべき存在となった。；しかし生徒7人が逮捕・補導されると、校長は一転して事実を認めた。；しかし、チャンピオンを獲得したことを知らされると一転して笑顔になった。；父が祖父の財産の話をすると校長は一転して入学を許可。；ところが、1973年以降は一転して輸送量は減少することになった。；しかし、これらの勢力が議会開設後に一転して政府と一体になって選挙干渉に転じた。；現役時代のイメージから一転して、コミカルな内容になることが多い。；上流付近では、一転して険しい峠となっており、道路は激しく蛇行している。</t>
        </is>
      </c>
      <c r="J533">
        <f>HYPERLINK("https://www.weblio.jp/content/一転", "词义详情")</f>
        <v/>
      </c>
      <c r="K533">
        <f>HYPERLINK("https://yourei.jp/一転", "查看例句")</f>
        <v/>
      </c>
    </row>
    <row r="534">
      <c r="A534" t="inlineStr">
        <is>
          <t>いつとなく</t>
        </is>
      </c>
      <c r="B534" t="inlineStr">
        <is>
          <t>成功</t>
        </is>
      </c>
      <c r="C534" t="inlineStr">
        <is>
          <t>読み方：いつとなく
１いつのまにか。いつとはなく。「—雨風もおさまった」
２いつという期限もなく。いつまでも。
「少輔—臥したりければ」〈落窪・二〉</t>
        </is>
      </c>
      <c r="D534" t="inlineStr">
        <is>
          <t>ない；ありません；ございません；足りない；乏しい</t>
        </is>
      </c>
      <c r="H534" t="n">
        <v>29</v>
      </c>
      <c r="I534" t="inlineStr">
        <is>
          <t>お前さんのような飲んだくれにはその時にならなけりゃあ分らないのさ。；しかし、いつの時代にいかなる経緯で移転に至ったものかは不明である。；米国では理論だけの研究はほとんどなく理論と実証の往復が重視される。；まだ正式公開されていない上記以外の環境やカーネル版もいくつかある。；レストランでは、これらの全てを注文しなければならないわけではない。；アルゴリズムは最終的に必ず停止しなければならないとする定義もある。；表面にマグネタイトを形成する方法が一般的だがまったく充分ではない。；日本でいつごろから地図の作成が行われたかは明らかになっていない。；俺は俺のそうしたものを窓のなかへ吸いとられているのではなかろうか。；とは言うものの、先にも述べたように味の全く分らぬ者はまずなかろう。；それを自分が事業で成功して、 証明しなきゃならないと思ったんです。；このように真理概念は特定の言語に相対的に定義されなければならない。；そうしてこの矛盾は何とかして融和させねばならぬものではなかろうか。；またあの背の高いお嫌ひな人が君でなくってはならなかったらどうする。；子どものときでさえ、あいつはぼくを手ばなさなきゃならなかったんだ。；でも主人は地位を維持しようと思うなら、我慢しなきゃならないんです。；わたしは彼とでなけりゃ取り引きをするなっていわれてきてるんだから。；いやむしろ、あなたがそれに与えた解釈は真の命題でなければならない。；あたしを慕っているどこかの人からでももらったのかもしれなくってよ。；実際には何度も観測されてはいたが惑星とは認識されていなかった。；まさかお前さんがそんなことを思うだろうとは、わたし思わなくってよ。；夢であろうとなかろうと、私はかつて知っており、その時も知っていた。；なぜそんな目に会った人たちは、助けを求めなけりゃならないのかしら?；その時僕たちはどうしても北の方に行かなきゃいけないようになるんだ。；このあたりのことをよく知っている人間をだれかつかまえなきゃならん。；それでも何とかしなけりゃあならないから、出来るだけは働きましたよ。；けれどもこれらはごく普通の場合でなくってまあ例外というてよろしい。；プログラムが正しいことを確認するには、それを証明しなければならない。；もっとも、このルールがいつごろできたものかのかは分かっていない。</t>
        </is>
      </c>
      <c r="J534">
        <f>HYPERLINK("https://www.weblio.jp/content/いつとなく", "词义详情")</f>
        <v/>
      </c>
      <c r="K534">
        <f>HYPERLINK("https://yourei.jp/いつとなく", "查看例句")</f>
        <v/>
      </c>
    </row>
    <row r="535">
      <c r="A535" t="inlineStr">
        <is>
          <t>いつの間にか</t>
        </is>
      </c>
      <c r="B535" t="inlineStr">
        <is>
          <t>成功</t>
        </is>
      </c>
      <c r="C535" t="inlineStr">
        <is>
          <t>読み方：いつのまにか
わからないうちにある状態になるさま。いつとはなしに。「火は—消えていた」</t>
        </is>
      </c>
      <c r="D535" t="inlineStr">
        <is>
          <t>いつの間にか消え；いつの間にかすっかり；いつの間にか忘れ；いつの間にかやん；いつの間にかうとうと</t>
        </is>
      </c>
      <c r="E535" t="inlineStr">
        <is>
          <t>かすかに；気がつくと；知らぬ間；気がついたら；知らないうち</t>
        </is>
      </c>
      <c r="F535" t="inlineStr">
        <is>
          <t>いつの間にかまどろん；いつの間にか薄れ</t>
        </is>
      </c>
      <c r="H535" t="n">
        <v>29</v>
      </c>
      <c r="I535" t="inlineStr">
        <is>
          <t>いつの間にか逃げたらしいと云うのですが、わたくしは本当にしません。；彼の肩に取り付いていた二つの鳥は、いつの間にか姿を消してしまった。；また破壊された派出所がその巻中にいつの間にか直っていることもある。；声のする方を見ると、いつの間にか女房が私と肩を並べて歩いている。；気がついて見ると、いつの間にか、呼吸がたいへん楽になっていました。；それがどうも不思議で、いつの間にか二人の姿が消えてしまいました。；眇目の男はいつの間にか戻って来て、二人のうしろに立っていたのである。；気がついて見ると、いつの間にか私達は公園を出て街の往来に出ていた。；そうしていつの間にか、そんな事をやって見たい気持ちになっている。；そして母の顔全体が、いつの間にかその周囲にはっきりとあらわれた。；こんな調子で、二人はいつの間にか十年の知己のようになってしまった。；疲れが出たのだろう、私はいつの間にかぐっすりと睡り込んでしまった。；上のような話をしているうち、父親のほうがいつの間にか寝入ってしまう。；それらの人々はいつの間にかいろいろのものの奴隷になっている。；それがいつの間にか習慣といつたものになつてしまつたのであらう。；どこから出たかと思う様に、一人の車屋がいつの間にか予の前にきている。；気が付いて見ると、僕の着物の裾もいつの間にか草の露にひたされていた。；お花さんもお礼さんもいつの間にか僕の頭の中から消えてしまった。；船へ帰ると、五人の男もかの女客もいつの間にか無事に戻っていた。；城主は若者の申し出を断ったが、いつの間にか娘は姿を消してしまった。；気がつくと、警官ばかりか司令室にいたすべての人間がいつの間にか消えている。；部落では、いつの間にか彼をとは呼ばずにと呼ぶようになっていた。；部屋の中は夕方の仄明るさから夜の闇へいつの間にか移行していた。；いつの間にか障壁がとれて、もう昔の通り、君僕の会話になっていた。；先方では逆に、いつの間にか私の後をつけているらしい様子なのよ。；最終回前話では全員いつの間にか結婚し、子供がいることが明らかになった。；さう思つて庭を見ると、いつの間にか三人は庭の明地に來て居つた。；車のわだちのあとに生えてゐたおばこ草もいつの間にかなくなつた。；いつの間にか、自分で自分の催眠術にかかって、眠ってしまっていたのだ。</t>
        </is>
      </c>
      <c r="J535">
        <f>HYPERLINK("https://www.weblio.jp/content/いつの間にか", "词义详情")</f>
        <v/>
      </c>
      <c r="K535">
        <f>HYPERLINK("https://yourei.jp/いつの間にか", "查看例句")</f>
        <v/>
      </c>
    </row>
    <row r="536">
      <c r="A536" t="inlineStr">
        <is>
          <t>いっぱい</t>
        </is>
      </c>
      <c r="B536" t="inlineStr">
        <is>
          <t>成功</t>
        </is>
      </c>
      <c r="C536" t="inlineStr">
        <is>
          <t>読み方：いっぱい
［名］(スル)勝負に1回敗れること。「—を喫する」</t>
        </is>
      </c>
      <c r="D536" t="inlineStr">
        <is>
          <t>いっぱいでし；いっぱいつい；いっぱいになりまし；いっぱいいっぱい；いっぱい入れ</t>
        </is>
      </c>
      <c r="E536" t="inlineStr">
        <is>
          <t>多く；よく；多数；しばしば；一本</t>
        </is>
      </c>
      <c r="F536" t="inlineStr">
        <is>
          <t>部屋いっぱい；顔いっぱい；視界いっぱい；画面いっぱい；空いっぱい</t>
        </is>
      </c>
      <c r="G536" t="inlineStr">
        <is>
          <t>いっぱい機嫌；いっぱいきげん</t>
        </is>
      </c>
      <c r="H536" t="n">
        <v>29</v>
      </c>
      <c r="I536" t="inlineStr">
        <is>
          <t>このところ、弟との思い出が次から次へといっぱい浮かんできましたね。；元々は、両手を左右にいっぱい伸ばしたときの幅に由来する身体尺である。；セダンは幅いっぱいに広がった独特のテールライトで容易に識別できた。；そしてバンドが驚いたことに、そこは彼らを見に来た若者でいっぱいであった。；これがさらに建物の幅いっぱいに伸びた水平なラインシャフトを動かした。；コンサートの舞台の袖をいっぱいを使って動いて歌うことが多い。；明かりに向かって洞窟の幅いっぱいの通路が入口まで達している。；すると演奏中の画面が再びいっぱいに戻るが、完奏扱いにはならなかった。；自然と共に生きる人間の豊かさを画面いっぱいに描きこんでいる。；いっぱいになったコンテナは、処分のためプログレス補給船に運ばれる。；とっても心配性で、大事なものを口いっぱいに入れて歩く癖がある。；彼女は顔が真っ青であったが、しかし神経いっぱいになって起ち上がった。；部屋が鉄板製のダクトでいっぱいになり、他の用途では使用できない。；被害は大事に至らず、11月いっぱいまで呉海軍工廠で修理を実施した。；選手・スタッフが自分を信じてついてきてくれていることに喜びと感謝の気持ちでいっぱいです。；また、当初、調査の結果は1982年いっぱいで提出される予定であった。；そうして村中の家全てで同じことをし、そりいっぱいに荷物を積み込む。；ゲージがいっぱいになるまでためてから発射すると、得点倍率が向上する。；歩脚と腹肢は短く、いっぱいに伸ばしても背中側からは見えない。；また、この設計により舷側いっぱいに舷側砲を装備できるようになった。；ただし、容量がいっぱいになればそれ以上セーブすることはできない。；目がいっぱいあるように見え、それを見た一つ目小僧が退散するのだという。；そのため数字がいっぱいになると、新しいアルファベットがふられていく。；なお、D1は2012年いっぱいでのサポート停止がアナウンスされた。；映画放送後には「水野晴郎の映画がいっぱい」というコーナーもあった。；彼の闇のエリアには常にディテールと興味をひく物でいっぱいであるからだろうか。；しかしその年いっぱいでバンドは解散、ギャラガーはソロ活動を開始した。；表面はカードいっぱいに画像が印刷されていた。；先生も各種異星人からなり、ホシゴジラなどタチの悪い先生がいっぱい。</t>
        </is>
      </c>
      <c r="J536">
        <f>HYPERLINK("https://www.weblio.jp/content/いっぱい", "词义详情")</f>
        <v/>
      </c>
      <c r="K536">
        <f>HYPERLINK("https://yourei.jp/いっぱい", "查看例句")</f>
        <v/>
      </c>
    </row>
    <row r="537">
      <c r="A537" t="inlineStr">
        <is>
          <t>一般</t>
        </is>
      </c>
      <c r="B537" t="inlineStr">
        <is>
          <t>成功</t>
        </is>
      </c>
      <c r="C537" t="inlineStr">
        <is>
          <t>読み方：いっぱん
［名・形動］
１広く全体に共通して認められ、行き渡っていること。また、そのさま。全般。「—の傾向」「—に景気が悪い」
２
㋐ありふれていること。あたりまえ。普通。「—の会社」「—市民」
㋑多くの普通の人々。世間。「—に公開する」
３特に違いが認められないこと。また、そのさま。同一。同様。
「私は彼女と同じい罪を犯したも—だ」〈犀星・性に眼覚める頃〉</t>
        </is>
      </c>
      <c r="D537" t="inlineStr">
        <is>
          <t>一般的(33%)；一般化(3%)；一般向け；一般公開；一般路線</t>
        </is>
      </c>
      <c r="E537" t="inlineStr">
        <is>
          <t>通常；ほぼ；広く；いったい；一体</t>
        </is>
      </c>
      <c r="F537" t="inlineStr">
        <is>
          <t>広く一般；一般視聴者；一般書；一般映画；一般公募</t>
        </is>
      </c>
      <c r="G537" t="inlineStr">
        <is>
          <t>一般県道；一般人；一般に；一般社団法人；一般市民</t>
        </is>
      </c>
      <c r="H537" t="n">
        <v>29</v>
      </c>
      <c r="I537" t="inlineStr">
        <is>
          <t>特に は のオブジェクト概念を一般化したものだと言うことができる。；表面にマグネタイトを形成する方法が一般的だがまったく充分ではない。；テレビや新聞などで一般的に使用される震源は震央の位置を示している。；この機種は教育市場向けモデルのため一般にはほとんど出回っていない。；一般に俳優ひとりが欠けるだけでも舞台や撮影が成立しなくなってしまう。；刊行間隔の分類では、最も一般的なものは毎日刊行される日刊紙である。；そのため、他種別の列車と同じく通勤形車両を用いるのが一般的である。；草丈が高いものと低いものがあり、一般には低いのものが多く用いられる。；その他にも特有の性質により自動車一般とは異なる危険性を持っている。；コラード系は日本では明確に区別されず一般にケールと呼ばれている。；一般的にこの分野では統計物理学と呼ばれる強力な手法が使われる。；推理小説のなかではもっとも一般的でかつ古典的なジャンルである。；早期にこれらの適切な一般療法を施し、悪化させないことが重要である。；一般のブランコの紐を長くし台を極限まで小さくしたものと解してよい。；この他、一般向けモデルをベースにした、教育市場向けのモデルが存在した。；その題材は一般に流布していたもので、作者不明なのが普通である。；これは、分子内の結合や官能基の種類を特定するために一般に使用される。；地雷が勝った場合は爆発したとみなし撤去されるのが一般的である。；ここでは現在市販されている二輪のオートバイとして一般的なものを示す。；同大学では専門の植物学だけでなく、自然科学一般を英語で教えた。；エンジンの位置は前輪と後輪の間に搭載されるものが一般的である。；どちらも一般に長方形で鍵盤が窪んだ場所に位置し本体から突き出ない。；なお、斬首より軽いとされるのが銃殺、その下が一般的な絞首刑である。；一般には脂っぽい食感に由来する名称と解釈されているが、異説もある。；アメリカなどでは、音声通話は一定時間まで定額であるのが一般的である。；踏切の道路標識でも汽車および一般的な鉄道車両マークで定義している。；一般的な区分は何通りかあるが、ここではその一例を挙げる。；その名前もギリシア語に由来するものではないというのが一般的な見解である。；一般に海は生物相が豊富であり、海水に起源のある湖は豊富な生物相を持つ。</t>
        </is>
      </c>
      <c r="J537">
        <f>HYPERLINK("https://www.weblio.jp/content/一般", "词义详情")</f>
        <v/>
      </c>
      <c r="K537">
        <f>HYPERLINK("https://yourei.jp/一般", "查看例句")</f>
        <v/>
      </c>
    </row>
    <row r="538">
      <c r="A538" t="inlineStr">
        <is>
          <t>一般的</t>
        </is>
      </c>
      <c r="B538" t="inlineStr">
        <is>
          <t>成功</t>
        </is>
      </c>
      <c r="C538" t="inlineStr">
        <is>
          <t>読み方：いっぱんてき
［形動］特殊な事物・場合についてでなく、広く認められ行き渡っているさま。普遍的。「—な考え方」</t>
        </is>
      </c>
      <c r="D538" t="inlineStr">
        <is>
          <t>一般的に用いられる；一般的に受け入れられ；一般的傾向；一般的かつ；一般的性質</t>
        </is>
      </c>
      <c r="E538" t="inlineStr">
        <is>
          <t>代表的；典型的；平凡；当たり前；尋常</t>
        </is>
      </c>
      <c r="F538" t="inlineStr">
        <is>
          <t>一般的見解；世間一般的；一般的原則；一般的規則；一般的呼称</t>
        </is>
      </c>
      <c r="G538" t="inlineStr">
        <is>
          <t>一般的用語；一般的形式；一般的適応症</t>
        </is>
      </c>
      <c r="H538" t="n">
        <v>29</v>
      </c>
      <c r="I538" t="inlineStr">
        <is>
          <t>一般的には、様々な意味で人間自身が最も人間の関心を引くようである。；一般的に人が立っていられないほどの急流で行われるので難易度が高い。；その活動が実り1995年頃から一般的にも広く知られるようになった。；個人で撮影した画像を自宅のプリンターで印刷することが一般的になった。；一般的にゲーム用の回線では速度よりも低遅延性や安定性が重要となる。；コインの状態のグレードは、日本では一般的に以下のように分類される。；日本では一般的に一心二葉が最高級、一心三葉は準高級品とされている。；一般的には、指揮の練習や楽曲の予習にはピアノなどの鍵盤楽器を使う。；チューリングテストが一般的に言う知性を試験できない理由は二つある。；一般的に DOS とは、空間的および時間的に平均されたものを言う。；欧米では一般的には、日本人ほどには家族の遺体にこだわりを持たない。；特に指定しない場合は一般的には算術平均のことを単に平均という。；しかし一般的にはより広く帰納などを含んだ様々な推論が利用される。；一般的に「司法試験」というと、この第二次試験のみを指すことが多い。；一般的にメソッド俳優と言われるが、ブランドはこれを否定している。；このモードでは一般的に表面形状などの分布は測定されない。；一般的に和食やコーヒー、喫茶などの用途には軟水がよいとされている。；日本では一般的には下記の表の様に区分されることが多い。；一般的には、10年程度までは貯蔵期間が長いほど上質になるとされる。；一般的には米国の株価暴落がそのまま世界恐慌につながったとされている。；ヴィクトリア朝時代に成立し、現代まで一般的に用いられている表記法。；一般向けの天気情報では一般的に晴れは「太陽」のマークで示している。；このころは業界では評価されるが、一般的には無名の状態であった。；当時は常時接続が一般的ではなかったのが原因だといわれている。；次のような理由で、一般的には分散学習のほうが効率的だと言われている。；なお表意文字は、一般的に概念と同時に音も表していることが一般的である。；GPLは最も一般的に使用されるフリーソフトウェアライセンスである。；日本では一般的には政権を担っている政党を指して用いられている。；オニールのスペースコロニーと言った場合、一般的にこのモデルを指す。</t>
        </is>
      </c>
      <c r="J538">
        <f>HYPERLINK("https://www.weblio.jp/content/一般的", "词义详情")</f>
        <v/>
      </c>
      <c r="K538">
        <f>HYPERLINK("https://yourei.jp/一般的", "查看例句")</f>
        <v/>
      </c>
    </row>
    <row r="539">
      <c r="A539" t="inlineStr">
        <is>
          <t>一変</t>
        </is>
      </c>
      <c r="B539" t="inlineStr">
        <is>
          <t>成功</t>
        </is>
      </c>
      <c r="C539" t="inlineStr">
        <is>
          <t>読み方：いっぺん
［名］(スル)すっかり変わること。また、変えること。「態度が—する」</t>
        </is>
      </c>
      <c r="D539" t="inlineStr">
        <is>
          <t>一変する(15%)；一変させる(3%)；一変数(3%)；一変せしめ；一変いたし</t>
        </is>
      </c>
      <c r="E539" t="inlineStr">
        <is>
          <t>変貌；一転；大きな変化；急変；激変</t>
        </is>
      </c>
      <c r="F539" t="inlineStr">
        <is>
          <t>ガラリと一変；形勢一変；実一変；態度一変；一変数函数</t>
        </is>
      </c>
      <c r="G539" t="inlineStr">
        <is>
          <t>一変数関数</t>
        </is>
      </c>
      <c r="H539" t="n">
        <v>29</v>
      </c>
      <c r="I539" t="inlineStr">
        <is>
          <t>この大戦が終われば商売の方針を一変しなければならないと考えていた。；対仏戦争終了後、ヨーロッパのみではなく各国植民地の地図は一変した。；真珠湾攻撃はこれまでの戦争の状況を一変させる画期的な戦闘となった。；この種の船の登場によって、沖合工事産業の方向がそれまでと一変した。；状況が一変するのはメイオルティスが第八世界に侵攻してからである。；こうした状況を一変させたのが、インターネットの普及と急速な発展である。；ところが、主人公がキャプテンに選ばれた翌日、学校は一変してしまう。；その他にも、いろいろなイベントや舞台への出演機会が増えて生活が一変した。；しかし前述の通り、退田文書などが発見されたことで状況は一変する。；また田中社長本人はこの日を境にレスラーへの態度を一変させてしまったという。；彼の日常はその日を境に一変し、自分の体が次第に鉄化していくのに困惑する。；世界の文明形態は原子エネルギーの利用により一変するにきまっている。；しかし、同年シーズン終了後のヤクルトへの移籍を機にイメージを一変。；ところが、武田氏当主武田信虎が国内統一を達成すると状況が一変する。；そのような中、ヨーロッパで発生したある事件を聞き付け人生が一変。；教団と交流があった著名人の多くは事件後一変してオウム批判に転じた。；他の地獄のように、元来の地獄の様子が一変するほどの手は加えられていない。；ところが、その時の日本は幕府使節団が予想もしていない状況に一変していた。；しかし、モデルや女優の仕事になると一変、物怖じしないプロの顔となる。；しかし、帰国後のサイードはそれまで優しかったのとは態度を一変させた。；その勧めもありクラスでこの話を聞かせると、子どもたちの様子が一変する。；しかし、とりわけ重要なのはテクストの基礎が一変してしまったことである。；この様な拉致事件への消極的な政治対応が一変する事件が起こった。；しかし彼の運命は、宴席中に告げられた島原の乱の勃発により一変する。；病院に運ばれ、目を覚ましたとき、彼の目に映る世界は一変していた。；だが、ある日ミアが木の穴から、謎の手紙を見つけたことで状況が一変する。；これまでの石森の作品とは一変、ファンタジー色の強い作品となっている。；彼が刀を持ったとたんスタジオの空気が一変したという。；彼はこの時から従来の生活態度を一変し、人生の第二期に入った。</t>
        </is>
      </c>
      <c r="J539">
        <f>HYPERLINK("https://www.weblio.jp/content/一変", "词义详情")</f>
        <v/>
      </c>
      <c r="K539">
        <f>HYPERLINK("https://yourei.jp/一変", "查看例句")</f>
        <v/>
      </c>
    </row>
    <row r="540">
      <c r="A540" t="inlineStr">
        <is>
          <t>一遍</t>
        </is>
      </c>
      <c r="B540" t="inlineStr">
        <is>
          <t>成功</t>
        </is>
      </c>
      <c r="C540" t="inlineStr">
        <is>
          <t>読み方：いっぺん
１一回。一度。「—乗ってみたい」→一遍に
２ひとわたり。一部始終。
「理趣分をこそ—読み侍りしか」〈発心集〉
３（名詞の下に付き、接尾語的に用いて）表面のみで、内実のこもらないさまを表す。「通り—のあいさつ」「義理—」</t>
        </is>
      </c>
      <c r="D540" t="inlineStr">
        <is>
          <t>一遍よく；一遍きり；一遍母</t>
        </is>
      </c>
      <c r="E540" t="inlineStr">
        <is>
          <t>ひとつ；一度；一旦；一回；一発</t>
        </is>
      </c>
      <c r="G540" t="inlineStr">
        <is>
          <t>一遍上人；一遍聖絵；一遍上人絵伝；一遍上人立像</t>
        </is>
      </c>
      <c r="H540" t="n">
        <v>29</v>
      </c>
      <c r="I540" t="inlineStr">
        <is>
          <t>立つ前にもう一遍様子を見て、それから東京を出やうと云ふ気が起つた。；立つ前にもう一遍様子を見て、それから東京を出ようと云う気が起った。；一遍の異母弟でその弟子ともいわれる聖戒がその報恩のために作成した。；けれども、さいちゃんとは一遍いっしょに呑んで見たいとは思うていた。；そうして最後に残った絵だけをもう一遍陳列してみたらどんなことになるか。；そやけど、あんたさんかて一遍ここへこうしてあがって坐って見さしま。；最後までじっと我慢して、一遍もお返ししようなんて思わないのかね?；一遍ああいう胸もすくような男の児ぶりになってみたいとよく思ったものでした。；今日はもう鎖国が実に完全になったから私とてももう一遍行くことは出来ない。；私はもう一遍給仕をする考えで、兄さんの鼻の先へ手を出したのです。；一遍の遷化後ほどなくして取材・制作された経緯から、資料的価値も高い。；一遍でも外国へ行った作家は、こういう思い出を持っていはしないだろうか。；そんなに念つてもゐるのだから一遍君の処を訪ねさしてくれ給へ。；するともう身体の痛みもつかれも一遍にとれてすがすがしてしまいました。；西来、『戦旗』のためにもう一遍十枚位のものを書くべしとのことなり。；その文句をもう一遍いってごらん、みんなが聴いとくと為になるからさ。；日本の芸術がフランスを一と廻わりして後にもう一遍日本へ帰って来たのである。；だから、その一遍で解決出来ない自分が情なくて、つらかったんですね。；皆が時間に敏感でなかったら、アメリカの機能は、一遍に止まってしまう。；一遍の起した時衆教団に、芸能に優れた者が集まったものが起源とされる。；一遍に教えてくれればいいものを、少しずつしか教えてくれなかったんだ。；組合を認めて、代表を出させて、年に一遍正直な決算報告書を見せるんだ。；そんな事を言はずに、一遍浮木の森の曲輪城まで私に従いて来てみなさい。；その時気持が一遍に明るくなったことが忘れられません。；もう一遍よく煙草を調べると、ヒースはまたヴァンスの方を振り返った。；こんな經驗はあの永い東京生活のなかで、一遍だつて味はつたことがない。；剣のメンテに来てくれるとしても、せいぜい十日に一遍がいいところだろう。；穴吹はもう一遍最初から細かな状況を話させられ、刑事が調書を作った。；だって、磯村くんはまだ一遍も人を愛したことがなかったからです。</t>
        </is>
      </c>
      <c r="J540">
        <f>HYPERLINK("https://www.weblio.jp/content/一遍", "词义详情")</f>
        <v/>
      </c>
      <c r="K540">
        <f>HYPERLINK("https://yourei.jp/一遍", "查看例句")</f>
        <v/>
      </c>
    </row>
    <row r="541">
      <c r="A541" t="inlineStr">
        <is>
          <t>一方</t>
        </is>
      </c>
      <c r="B541" t="inlineStr">
        <is>
          <t>成功</t>
        </is>
      </c>
      <c r="C541" t="inlineStr">
        <is>
          <t>読み方：いっぽう
［名］
１一つの方面。一つの方向。「—が海に面する町」「—交通」
２二つあるうちの一つ。片方。「—の足に体重をかける」「—の意見だけでは決められない」
３（副助詞的に用いて）もっぱらその方向・方面にかたよること。…するばかり。だけ。「太る—」「蓄える—の人」
４（接続助詞的に用いて）…する反面。…と同時に。「根気強い—、短気なところもある」
［接］関連するもう一つのほうについて言うと。話かわって。「君は渡したという。—、彼は受け取っていないという」
→片方［用法］</t>
        </is>
      </c>
      <c r="D541" t="inlineStr">
        <is>
          <t>一方通行；一方その頃；一方向；一方当事者；一方循環</t>
        </is>
      </c>
      <c r="E541" t="inlineStr">
        <is>
          <t>正常；尋常；ノーマル；並大抵；ノルマル</t>
        </is>
      </c>
      <c r="F541" t="inlineStr">
        <is>
          <t>どちらか一方；いずれか一方；活躍する一方；活動する一方；増加する一方</t>
        </is>
      </c>
      <c r="G541" t="inlineStr">
        <is>
          <t>一方通行；一方向；一方ならず；一方向性関数；一方的措置</t>
        </is>
      </c>
      <c r="H541" t="n">
        <v>29</v>
      </c>
      <c r="I541" t="inlineStr">
        <is>
          <t>一方でや、といった研究者たちはこの主張に懐疑的な見解を示している。；一方で、地盤の特性により思わぬところで揺れが大きくなる場合がある。；その一方で、メーカー側などでは80年前後保存が可能とする指摘もある。；一方で湖沼の面積が大きくなると風浪の影響によって生物は少なくなる。；一方、彼のピアノからは小さな音しか出なかったという批判もあった。；その一方でパスタはイタリア各地で好まれ、様々な形で調理されている。；片方のプレイヤーは黒い石を、もう一方のプレイヤーは白い石を使う。；一方、ファン・ゴッホの絵画は少しずつ評価されるようになっていた。；こうして正義が確定される一方、中唐になると注疏批判の動きが生じた。；一方で、細胞膜はすべての細胞に必須の要素ではないとも推測されていた。；狭義では、複数枚の紙が一方の端を綴じられた状態になっているもの。；その一方で教育・組み込み向けなどへの営業展開もなされていた。；その一方で、多くの人が描かなくなる年齢を過ぎても活動的に絵を描く人々が居る。；その一方で、ある種の事態を表現する動詞や形容詞の文字も存在した。；一方で、諸星はジャンルを越えた多くの著名人の作品に影響を与えている。；一方、東アジアの韓国や中国では4コマが定着したスタイルとなっている。；一方では、合計372万人のチリ人が、2011年に他の国を訪問した。；一方では子どものゲームは非常に幸運ベースである傾向がある。；の異なる元 に対して、 または のうちの何れか一方のみが に属する。；一方でこれらの地域を離れ、欧米などへの移民となるケースも増加している。；第一次世界大戦の勃発後にはカピチュレーションの一方的な廃止が宣言されている。；一方、日本や中国を題材にした作品では普通の人間である。；一方で、石器時代の35000年前に暦を創ったらしいとの意見もある。；一方、この年に移籍加入した選手達が5月以降レギュラーに成長。；一方でこの独占は、国からも目をつけられる程のものであった。；一方、狭義の著作権概念は英米法の諸国で用いられる著作権概念である。；生活するうえでの利便性が増した一方で、中心市街地の空洞化を招いた。；一方、創作の可能性も指摘されている出典不詳の妖怪も何体か描いている。；だが、その一方で動力分散方式の列車に移行しつつある国もある。</t>
        </is>
      </c>
      <c r="J541">
        <f>HYPERLINK("https://www.weblio.jp/content/一方", "词义详情")</f>
        <v/>
      </c>
      <c r="K541">
        <f>HYPERLINK("https://yourei.jp/一方", "查看例句")</f>
        <v/>
      </c>
    </row>
    <row r="542">
      <c r="A542" t="inlineStr">
        <is>
          <t>一方通行</t>
        </is>
      </c>
      <c r="B542" t="inlineStr">
        <is>
          <t>成功</t>
        </is>
      </c>
      <c r="C542" t="inlineStr">
        <is>
          <t>読み方：いっぽうつうこう
１車両などの通行を道路の一方向に限って許すこと。一方交通。
２ある一方からの伝達が行われて、その逆の伝達が行われないこと。「話が—だ」</t>
        </is>
      </c>
      <c r="D542" t="inlineStr">
        <is>
          <t>一方通行路(3%)；一方通行区間；一方通行道路；一方通行達；一方通行化</t>
        </is>
      </c>
      <c r="E542" t="inlineStr">
        <is>
          <t>一通；一方向；単方向；シンプレックス；単一方向</t>
        </is>
      </c>
      <c r="F542" t="inlineStr">
        <is>
          <t>北行一方通行；南行一方通行；車線一方通行；時計回り一方通行；細い一方通行</t>
        </is>
      </c>
      <c r="H542" t="n">
        <v>29</v>
      </c>
      <c r="I542" t="inlineStr">
        <is>
          <t>言われるまでその可能性に気づかなかった一方通行は小さく舌打ちした。；彼の事を良く知る黄泉川ですら、一方通行の動きを予測するのは難しい。；場合によっては一日一方向、翌日は逆方向の一方通行となることがある。；のろのろとした動きだが、そもそも一方通行は杖をついている身である。；この一方通行を前に、今こうして呼吸してる事そのものが奇跡なンだよ。；あの少年より、一方通行の方が妹達にずっと近い所に立っているのだから。；橋をわたると、一方通行のため河岸をそのまま行くことができなかった。；一組が出て行けば次の一組という風に、外への一方通行の最中なのだ。；誰がなんと言った所で、一方通行は一万人以上の人間を殺した虐殺者だ。；私は次の角を左に折れ、ベリドールという細い一方通行の通りに入った。；圧倒的優位に見えて、実は追い詰められていたのは一方通行の方だった。；確かに一方通行と未元物質の激突で街並みはメチャクチャになっていた。；まるで信じられないものでも見るかのように、一方通行は上条の顔を見た。；それ以外の道路は細い路地であり、その多くが一方通行に指定されている。；目的を果たすためには、スパイ達も一方通行の後を追わなくてはならない。；それが彼女の顔の手前でピタリと止まった時、一方通行の動きも止まった。；しかし、今の一方通行を見て、その一人だけで終わると信じられるか。；駅前は南から北に向かう一方通行の道路で、全体的にマンションが多い。；圧倒的な光景が広がっていても、彼女はまっすぐに一方通行の元へと近づいた。；一方通行は地面に着いた後、先に落ちていた拳銃を拾って反撃に出ている。；マスコミの発達はいいことだが、それは画一的で一方通行になりやすい。；映画や音楽といった一方通行のメディアは料理で言えばコースのようなもの。；一方通行は一人で杖をついて暗い路上を歩きながら、ぼんやりと思う。；自分自身でも明確な答えを出さないまま、一方通行は更に黒い翼を振るう。；図書室の裏手は外壁に囲まれ一方通行、しかも木が生えていて道が狭い。；だが、一方通行が何かをしようとしている、という事がすでに危険なのだ。；腕の中の幼い少女をもう一度抱き寄せた一方通行の唇が、ほんのわずかに動く。；人間のように、人間のような、人間の瞳で真っ直ぐに一方通行の顔を見て。；倒れたままの一方通行は、現実問題として起き上がる事もできなかった。</t>
        </is>
      </c>
      <c r="J542">
        <f>HYPERLINK("https://www.weblio.jp/content/一方通行", "词义详情")</f>
        <v/>
      </c>
      <c r="K542">
        <f>HYPERLINK("https://yourei.jp/一方通行", "查看例句")</f>
        <v/>
      </c>
    </row>
    <row r="543">
      <c r="A543" t="inlineStr">
        <is>
          <t>いつまでも</t>
        </is>
      </c>
      <c r="B543" t="inlineStr">
        <is>
          <t>成功</t>
        </is>
      </c>
      <c r="C543" t="inlineStr">
        <is>
          <t>読み方：いつまでも
［副］
１ある事柄が終わるときの限度がないさま。末長く。「—お幸せに」
２どこまでも。あくまでも。
「—辞退仕りまする」〈虎寛狂・素襖落〉</t>
        </is>
      </c>
      <c r="D543" t="inlineStr">
        <is>
          <t>いつまでもじっと；いつまでもこう；いつまでもぐずぐず；いつまでも忘れられ；いつまでも若く</t>
        </is>
      </c>
      <c r="E543" t="inlineStr">
        <is>
          <t>ずっと；続けて；長期；長い間；長らく</t>
        </is>
      </c>
      <c r="F543" t="inlineStr">
        <is>
          <t>いつまでも睡れなかつ；いつまでもグズグズ；いつまでもめそめそ；いつまでもつづか；いつまでも根気よく</t>
        </is>
      </c>
      <c r="H543" t="n">
        <v>29</v>
      </c>
      <c r="I543" t="inlineStr">
        <is>
          <t>けれどもこういう欲求をいつまでも同じ強い調子で持ちすぎていました。；いつまでも自分の村から離れたくないような気がしたのでありました。；しかし、その石の青い色は、いつまでも子供の目の中に残っていました。；いつまでもオレの陰にくすぶっていないで今のままの自分に戻ってくれ。；このままいつまでも夏が続くように思えた、もっとも夏らしかった一日。；そして地球と一緒に、 太陽と一緒に、 いつまでも生きて行くだろう!；わたしはそれをいつまでも待っていたが遂に見ることが出来なかった。；その晩は、いつまでもいつまでも起きていた、誰も寝ようとしなかった。；いつまでも実家の世話になるわけにいかず北海道小樽中学の教師となった。；唯いつまでも分離して見えるのは、その外面的な形態の関係だけである。；私は脱ぎ捨てられた着物のようになって、いつまでも床の上に倒れていた。；しかし、いつまでも、男はそうしていることができないのを知っています。；一台一台の車の音がひとつにかさなり、いつまでも連続してつづいている。；船の姿が見えなくなるまで、いつまでも、いつまでも手を振っていた。；城の黒い紗ははがされ、ふたりはいつまでもいっしょに幸せに暮らした。；お国が話してくれなければ、わたし達はいつまでも知らずにいるのでした。；親がいつまでも物の解ったつもりで居るが、大へんな間違いであった。；ても恨めしい雪の湖ではあると、わたくしはいつまでも眺め入っています。；銀器の水がいつまでも腐らないことは経験的に古くから知られていた。；口を固定しないと横から空気が抜けるのでいつまでも先に行けない。；いつまでもここの家を立去らないで、おれを守ってくれるに相違ないのだ。；そうするとさ、いつまでも振り返って、こっちに手を振ってる奴とかさ。；女の美しさをいつまでも胸に抱いているには、その女と交渉を持たないことだ!；が、機関大尉が、いつまでも追って来る彼等を待っているはずはなかった。；わたしとしてはこの二人の名をいつまでも記憶しなければならない。；煙客翁はまるで放心したように、いつまでもこの画を見入っていました。；私の、いつまでも姿の若いのは、生きた旅人の命を吸い取るからである。；ウィキペディアの外部へのリンク先は、いつまでもあるとは限りません。；だが私達の関係が、いつまでもその程度に止まっている筈はなかった。</t>
        </is>
      </c>
      <c r="J543">
        <f>HYPERLINK("https://www.weblio.jp/content/いつまでも", "词义详情")</f>
        <v/>
      </c>
      <c r="K543">
        <f>HYPERLINK("https://yourei.jp/いつまでも", "查看例句")</f>
        <v/>
      </c>
    </row>
    <row r="544">
      <c r="A544" t="inlineStr">
        <is>
          <t>いつも</t>
        </is>
      </c>
      <c r="B544" t="inlineStr">
        <is>
          <t>成功</t>
        </is>
      </c>
      <c r="C544" t="inlineStr">
        <is>
          <t>読み方：いつも
［名］普通の場合。ふだん。平生。「—は歩いて通学している」「—のとおり」
［副］いつと限定しないさま。どんな場合でも。常に。「—威勢がいい」
[用法]いつも・つねに——「いつも（常に）机に向かっている」「いつも（常に）笑顔(えがお)を絶やさない」の場合には相通じて用いるが、「いつも」は「いつもの所で会う」のように、それまでと同じ、の意味でも使われる。◇「常に」は堅い言い方で、「三角形の内角の和は常に二直角である」のように普遍的真理を表したり、「常に努力を怠ってはならない」のような言い回しに用いたりする。◇また、類似の語に「しょっちゅう」「しじゅう」があり、「しょっちゅう（しじゅう）忘れ物をする」のように用いられる。ともに、頻繁に行われる意であるが、「いつも」や「常に」を使うと、ほとんど例外なく、必ずといってよいほど、の意になる。</t>
        </is>
      </c>
      <c r="D544" t="inlineStr">
        <is>
          <t>いつもなら；いつも同じ；いつもいつも；いつもこう；いつもこんな</t>
        </is>
      </c>
      <c r="E544" t="inlineStr">
        <is>
          <t>通常；常に；必ず；一定；いつでも</t>
        </is>
      </c>
      <c r="F544" t="inlineStr">
        <is>
          <t>いつもよりずっと；いつもより少し；どうしていつも；いつも変ら；いつも感じる</t>
        </is>
      </c>
      <c r="G544" t="inlineStr">
        <is>
          <t>いつも通り；いつも一緒に；いつもいっしょ；いつもそばに；いつものところ</t>
        </is>
      </c>
      <c r="H544" t="n">
        <v>29</v>
      </c>
      <c r="I544" t="inlineStr">
        <is>
          <t>僕はいつもそれを007の映画の主題歌を書くようなものと考えていた。；ただし小さいと不便なこともあるため、いつも住んでいるわけではない。；彼はいつも素麺の空き箱を机代わりにして記録に精を出していたという。；国王一家をはじめ、国民が皆漫画好きでいつも漫画を読んで笑っている国。；この日はいつもの関東ローカルでなく、山形テレビでも放送されていた。；暁さんは私の役者道にいつもいてくれて、必ず助けてくれる神様だった。；地球を征服しようとしているが、いつもピントのずれた行動をしている。；姜詩と妻は、いつも長い距離を歩き、母に水と魚を与えてよく仕えた。；スージーとカルビンの関係は、いつも衝突ばかりで解決することがない。；いつも警察と喧嘩ばかりしてるが犯人の残忍さに腹が立ってきた。；乾山によれば光琳は絵にこそ自分の天分があるといつも言っていたという。；ただしいつも何かあるとギロロが助けてくれるため好感を抱いている。；ダンスの好きな皇后は冬宮での大舞踏会やパーティをいつも開きたがった。；部屋にいると彼はいつも、床に広げた地図の上を這いまわっていた。；村上の仕事をいつも見ていて、しかも後々まで覚えていたのだという。；ところがこの日、モリエールはいつもに増して朝から元気がなかった。；また娘や息子に迷惑がかからないように人生を終えるといつも言っていた。；その試合の先には、いつもと変わらない剣の日々が続いていた。；現役を引退した当日、長嶋家はいつもと変わらぬ1日であったという。；稲尾の球威がいつもほどではないにしても追い込まれてからだからね。；夫婦仲はあまりよくなく出かけるときはいつも父親とだけだった。；いつも彼の写真を作戦室に掲げて、今度はどういう手に出るか。；年に2回彼と対戦するが、彼の目にはいつも勝利への執念が宿っているよ。；しかし、余の戦いはいつもこんな風に始まり、敗北に終わるのだよ。；しかし旦那の様子はいつもと変わらず、元気のない新吉を心配する。；安は、彼女がいつもハイヒールを履いていたこともよく記憶している。；ちなみに彼自身この漫画のファンで、いつも読んでは爆笑していたという。；朝の眩しさから逃れるため、寝る時はいつも黒い目隠しをして寝ていた。；服装は弁護士になってからはいつも青系のスーツに赤系のネクタイ。</t>
        </is>
      </c>
      <c r="J544">
        <f>HYPERLINK("https://www.weblio.jp/content/いつも", "词义详情")</f>
        <v/>
      </c>
      <c r="K544">
        <f>HYPERLINK("https://yourei.jp/いつも", "查看例句")</f>
        <v/>
      </c>
    </row>
    <row r="545">
      <c r="A545" t="inlineStr">
        <is>
          <t>偽る</t>
        </is>
      </c>
      <c r="B545" t="inlineStr">
        <is>
          <t>成功</t>
        </is>
      </c>
      <c r="C545" t="inlineStr">
        <is>
          <t>読み方：いつわる
［動ラ五（四）］
１事実や自分の本心を隠し、真実を曲げて言ったり、したりする。「身分を—・る」「病気と—・る」
２だます。あざむく。「人を—・る」「己を—・る」
→騙(だま)す［用法］
[可能]いつわれる</t>
        </is>
      </c>
      <c r="D545" t="inlineStr">
        <is>
          <t>乗せる；計る；嘘をつく；ごまかす；欺瞞</t>
        </is>
      </c>
      <c r="H545" t="n">
        <v>29</v>
      </c>
      <c r="I545" t="inlineStr">
        <is>
          <t>どの女のためよりも、ただ女房の身を思うのが私の偽らぬ心なのである。；そのために買った槌を、私には壁の修理をする道具だと偽っていたのだ。；なぜなら犯人は自分の身長を偽れないことを自分で知っていたからです。；口は偽ることができても心が目を通して語るときは偽ることができない。；そのため彼は学校では出身を偽る、父親は死んだ等と嘘をついていた。；弁護士と偽って捜査官が何かを聞き出そうとしているのかもしれない。；は隠したり偽ったりすることができない現実との対立を表している。；このように船籍を偽ったり、他藩の船を利用しながら抜荷は続いていた。；弟が大学を卒業するまで我慢しよう、それが相子の偽らぬ本心であった。；心に皮肉も欲してゐたが、述懐は彼の偽らぬ素直な心のひとつであつた。；性を偽ったまま寧温を続けることに限界がやって来るのはわかっていた。；しかし、それが国王の偽らざる本心であることを王女はよく知っていた。；みじめな穴を言葉で飾り立て、そこが真のゴールだと自分を偽っている。；さうして、他を偽らざる点に於てそれを尤も道徳的なものと心得てゐた。；人を右から左へ動かして、しかも出身を偽らせてまで荒稼ぎをしていた。；彼らは天国さえも彼らを偽るかと思われる時に、お互いに信じあっていた。；結婚したさに女が妊娠を偽るのは世の中にも無いことではなかった。；そうして、他を偽らざる点に於てそれを尤も道徳的なものと心得ていた。；階級を偽ってまで、実戦に投入しなければならない理由があったのだ。；氏名や所属部隊を偽る者が多かったので身元が確定できない者も多かった。；この業界に身を置いて二〇年を越えるわたしの偽らざる印象である。；桜が大切な家族なら、言葉で偽るような真似だけはしちゃいけない。；なるほどそれは左門のかねて懐いてゐた偽らぬ思ひのひとつであつた。；今、自分を偽ることの方が、彼女への誠実になることを彼は理解した。；米インターセプト誌によると、カイルは勲章の数を偽っていたとされる。；水商売の女という意識が、のちのちの面倒を考えて姓を偽ったのである。；同様に鼻はその本人の真底の意志を少しも偽らずに表明しているものであります。；彼女は病気と偽って男の同情を誘い、金を巻き上げる常習犯だったのだ。；狐がとり憑いていると偽って祈祷し、それで金をせしめていたのである。</t>
        </is>
      </c>
      <c r="J545">
        <f>HYPERLINK("https://www.weblio.jp/content/偽る", "词义详情")</f>
        <v/>
      </c>
      <c r="K545">
        <f>HYPERLINK("https://yourei.jp/偽る", "查看例句")</f>
        <v/>
      </c>
    </row>
    <row r="546">
      <c r="A546" t="inlineStr">
        <is>
          <t>移転</t>
        </is>
      </c>
      <c r="B546" t="inlineStr">
        <is>
          <t>成功</t>
        </is>
      </c>
      <c r="C546" t="inlineStr">
        <is>
          <t>読み方：いてん
［名］(スル)
１位置・住所などを変えること。「事務所を—する」「—通知」
２法律で、権利の主体が一方から他方へ移ること。また、移すこと。「物権の—」</t>
        </is>
      </c>
      <c r="D546" t="inlineStr">
        <is>
          <t>移転する(9%)；移転後(4%)；移転前；移転計画；移転新築</t>
        </is>
      </c>
      <c r="E546" t="inlineStr">
        <is>
          <t>動き；伝える；移り；動かす；移る</t>
        </is>
      </c>
      <c r="F546" t="inlineStr">
        <is>
          <t>再移転；本拠地移転；本社移転；統合移転；機能移転</t>
        </is>
      </c>
      <c r="G546" t="inlineStr">
        <is>
          <t>移転登記；移転の自由；移転価格税制；移転価格；移転罪</t>
        </is>
      </c>
      <c r="H546" t="n">
        <v>29</v>
      </c>
      <c r="I546" t="inlineStr">
        <is>
          <t>国鉄公式では移転開業前の駅が開業した1901年を開業日としている。；茶屋町への本社屋移転を機に設定された初代のマスコットキャラクター。；運用の変更に伴い車両基地の改修・新設・移転などを実施する場合もある。；移転前の駅は現行の駅よりも南側の像がある広場付近に南北に建っていた。；同支店は現在、マンハッタン島の別の場所に移転して営業を行っている。；既存店が建物・駐車場の拡張のため同じ街道沿いの近隣地に移転することも多い。；本社移転と同時に日本テレビタワーに新設した送出マスターに更新した。；甲陽学院高等学校が現在地に移転してからは当校の生徒も対象となった。；このような状況から大企業の本社機能の移転などが行われるには至っていない。；やがて自己資金で開発できる環境が整うと、本社を埼玉県上尾市へ移転。；本拠地の変遷は先述の通りであるが、他に下記のような移転計画があった。；翌年に岡山駅まで路線が延伸されると同時に、現在の場所へ駅が移転した。；翌年に有年駅まで路線が延伸されると同時に、現在の場所へ移転した。；札幌移転後、大半の選手別応援歌を除いて応援スタイルがやや変わった。；駅移転後も遺跡・覆屋はそのまま残され、県道側から訪問可能である。；郊外への移転が著しい時期もあったが、最近では都心回帰も見られる。；これを契機に前述の岡田屋も店舗を近畿日本四日市駅前に移転している。；かつて市の中心部にあった裁判所や保健所も、旧美里村域へ移転した。；本社は三重県四日市市にあったが後に事務所は大阪に移転した。；なお、駅移転後もトイレだけは以前の駅位置に残されている。；以前は御影堂の東後方にあったが、昭和44年春、現在地に移転された。；現在の1番線のホーム下は移転用の仮設線路を設けていた為に未完成のままだった。；そのため近年では県外の工業団地に移転する企業が相次いでいる。；これを受けて県と旧建設省は統合移転地の検討を開始した。；東大阪市役所が駅北側にあったが、2003年に荒本駅近くに移転した。；一方ダムや遊水池建設に伴う住民移転などの犠牲も河川事業の拡大に伴い増加した。；ほとんどの大学の運営は東郊ののより大きな近代的なキャンパスに移転している。；なお、他基地で実施されている移転補償については実施していない。；旧本社・南本館にあったマイスタジオの名称は汐留移転後も使用されている。</t>
        </is>
      </c>
      <c r="J546">
        <f>HYPERLINK("https://www.weblio.jp/content/移転", "词义详情")</f>
        <v/>
      </c>
      <c r="K546">
        <f>HYPERLINK("https://yourei.jp/移転", "查看例句")</f>
        <v/>
      </c>
    </row>
    <row r="547">
      <c r="A547" t="inlineStr">
        <is>
          <t>糸</t>
        </is>
      </c>
      <c r="B547" t="inlineStr">
        <is>
          <t>成功</t>
        </is>
      </c>
      <c r="C547" t="inlineStr">
        <is>
          <t>読み方：いと
１天然、または人造の繊維を細長く引きのばしてよりをかけたもの。織物糸・縫い糸・編み物糸など。「—をつむぐ」
２細長く1のようになっているもの。「クモの—」
３琴または三味線などの弦楽器の弦(げん)。「—を張る」
４琴・三味線のこと。「—竹」
５釣り糸。「—を垂れる」
６（比喩的に）物事を結びつけるもの。「記憶の—をたぐる」「運命の—」
７糸引き納豆をいう女房詞。</t>
        </is>
      </c>
      <c r="D547" t="inlineStr">
        <is>
          <t>糸胞(5%)；糸降り；糸くず；糸屑；糸疣</t>
        </is>
      </c>
      <c r="E547" t="inlineStr">
        <is>
          <t>紐；弦；リボン；緒；絃</t>
        </is>
      </c>
      <c r="F547" t="inlineStr">
        <is>
          <t>鋼糸；白い糸；木綿糸；凧糸；花糸</t>
        </is>
      </c>
      <c r="G547" t="inlineStr">
        <is>
          <t>糸子；糸状；糸魚川；糸杉；糸目</t>
        </is>
      </c>
      <c r="H547" t="n">
        <v>29</v>
      </c>
      <c r="I547" t="inlineStr">
        <is>
          <t>その関係で最近では布・糸ともにカラフルな色合いの物も出てきている。；なお、歩くときは常に糸を引いており失敗しても地上に落ちることはない。；さらに穴の口からより多くの糸を伸ばしてシート状にするものもある。；後の著書において、排斥事件は自らが裏で糸を引いていたと述べている。；糸は巣を作る際や動物体を基質に固定するなど、それぞれに用途がある。；糸を使う際は、自分も手を負傷しない為に指だしの特殊な手袋を着用する。；紀元前に使われていた似た物として、籠や糸の織物などが存在していた。；それは相手の剣に自分の剣が糸で引かれているようなかんじだろうか。；そして遂に張り詰めていた緊張の糸が切れ、ある事件が起こってしまう。；網はドーム状の幕状部分を上下に引き回された糸で支えたものである。；糸で吊られたタイトルが出る事もあるなど出現形態もいくつかある。；また、足の基部に足糸腺を持つものでは、足糸を分泌して体を固定する。；その代わりに、糸が土台に付着する部分の狭い範囲に粘液がついている。；実際には糸を風に流し、対岸に引っかけてからこれを強化して枠糸とする。；その網は立体的に張られた糸の集団で、普通は面になった部分を持たない。；この穴に杭を立てて糸を張って直交する基準線を出したと考えられている。；かぎ針は棒針より短く、先端に糸を引っ掛けるために鉤状になっている。；細い糸で作られた網を空中に渡し、そこに飛んできた野鳥を捕らえる。；今回の事件の糸を引いた黒幕へ戦いを挑むためにどこへともなく去って行った。；その他に糸を使って幼虫が巣を造るもの、蛹を固定するものなどがある。；もし紐が切れてしまった場合には軸穴に入る太さのタコ糸で代用すればよい。；糸と呼ばれる弦の場合絹が使用され、原料としては春繭が良いとされる。；足糸を出して砂泥や岩などに自分の体を固定する。；辛抱の糸が切れたおしんは川の上流にある実家に向かい吹雪の中を歩き出す。；ある男が滝壺のそばで休んでいると、無数の糸が脚に絡みついてきた。；多くの場合、糸だけではなく、餌の葉などをその外側につけている。；玉の板数千枚を金の糸で縫い上げ、これをもって遺体を蓋っている。；かつては田に長い糸を張り、糸に沿って手で稲の苗を一本ずつ植えていた。；彼のデザインには糸や生地を一から作るオリジナリティーがあった。</t>
        </is>
      </c>
      <c r="J547">
        <f>HYPERLINK("https://www.weblio.jp/content/糸", "词义详情")</f>
        <v/>
      </c>
      <c r="K547">
        <f>HYPERLINK("https://yourei.jp/糸", "查看例句")</f>
        <v/>
      </c>
    </row>
    <row r="548">
      <c r="A548" t="inlineStr">
        <is>
          <t>意図</t>
        </is>
      </c>
      <c r="B548" t="inlineStr">
        <is>
          <t>成功</t>
        </is>
      </c>
      <c r="C548" t="inlineStr">
        <is>
          <t>読み方：いと
［名］(スル)
１何かをしようとすること。「早期開催を—する」
２何かをしようと考えている事柄。おもわく。もくろみ。「相手の—をくむ」</t>
        </is>
      </c>
      <c r="D548" t="inlineStr">
        <is>
          <t>意図的(12%)；意図通り；意図せざる結果；意図どおり；意図せず偶然</t>
        </is>
      </c>
      <c r="E548" t="inlineStr">
        <is>
          <t>考え；気；心；思う；意味</t>
        </is>
      </c>
      <c r="F548" t="inlineStr">
        <is>
          <t>たいという意図；政治的な意図；企画意図；何らかの意図；どういう意図</t>
        </is>
      </c>
      <c r="G548" t="inlineStr">
        <is>
          <t>意図不明；意図的再植術；意図運動</t>
        </is>
      </c>
      <c r="H548" t="n">
        <v>29</v>
      </c>
      <c r="I548" t="inlineStr">
        <is>
          <t>どの解釈がチューリングの意図したものなのかについては議論があった。；また何らかの人間の活動で意図されず生産されてしまうことがある。；日本人が観ても気恥ずかしさを感じないことを意図した作品となった。；制作当初や早い時期から意図していたものとして、次のものが挙げられる。；これらのプレイヤーの真の意図の問題を追跡して請うことは不可能である。；一方で、メーカーの意図しないリサイクルがなされていた事例もある。；建物を画一的にするために材料を統一するという意図がしばしば見られた。；以上3つがその計画であり、警察を軍隊の代わりにすることを意図していた。；これは十字軍の名で語られていないが、意図するものがあった可能性がある。；値型におけるパフォーマンス向上を意図した複数の機能が追加された。；これは、彼のキャラクターをより際立たせる意図があったからである。；意図しないものから、音楽表現の為に意図的に行うものまで含む。；これは、10年経っても飽きのこないデザインを意図したものであった。；現地政府はその中に治安攪乱の意図を持った者がいないか心配した。；弱みを見せず強さを際立たせる意図があったのではとの意見もある。；これらの行為は、その意図・行動・効果などの面からまさしく広告と言える。；立体的な像を原則避ける習慣には、偶像崇拝を避ける意図があるとされる。；テンポラリファイル等の置き場等として使われることが意図されている。；観光的な意図をもって博覧会が開催されるようになったのは、昭和以降である。；ソ連側には単純な国境紛争で無い政略的意図があったとも言われる。；聖書を読むことで神の意図を知ることができるとされていた。；一方、自身の意図を理解しない選手に対しては厳しく当たることもあった。；また、それと併せて皇親の地位を明確化する意図があったとも言われている。；ここにおいてキェルケゴールが意図しているのは、次のようなことである。；この銅銭らの発行は発行の利益金などや財政権を取るための政府の意図があった。；複雑に配置されたふきだしも、元の意図を尊重した翻訳をすることができる。；背景には地方産業育成の意図があったと思われるが、国鉄では珍しい事例である。；これには、ウイグルとの関係を良好に保つ意図があったとも言われている。；アクセルロッドはゲーム理論からの批判を意図的に無視し続けているという。</t>
        </is>
      </c>
      <c r="J548">
        <f>HYPERLINK("https://www.weblio.jp/content/意図", "词义详情")</f>
        <v/>
      </c>
      <c r="K548">
        <f>HYPERLINK("https://yourei.jp/意図", "查看例句")</f>
        <v/>
      </c>
    </row>
    <row r="549">
      <c r="A549" t="inlineStr">
        <is>
          <t>井戸</t>
        </is>
      </c>
      <c r="B549" t="inlineStr">
        <is>
          <t>成功</t>
        </is>
      </c>
      <c r="C549" t="inlineStr">
        <is>
          <t>読み方：いど
１地下深く掘り、地下水を汲みあげるようにしたもの。「—が涸(か)れる」「掘り抜き—」→井
２「井戸茶碗」の略。</t>
        </is>
      </c>
      <c r="D549" t="inlineStr">
        <is>
          <t>井戸毅；井戸跡；井戸枠；井戸ほり；井戸底</t>
        </is>
      </c>
      <c r="E549" t="inlineStr">
        <is>
          <t>井；井泉；掘井戸；掘り井戸</t>
        </is>
      </c>
      <c r="F549" t="inlineStr">
        <is>
          <t>共同井戸；古い井戸；深井戸；ポンプ井戸；釣瓶井戸</t>
        </is>
      </c>
      <c r="G549" t="inlineStr">
        <is>
          <t>井戸水；井戸端会議；井戸掘り；井戸側；井戸ばた</t>
        </is>
      </c>
      <c r="H549" t="n">
        <v>29</v>
      </c>
      <c r="I549" t="inlineStr">
        <is>
          <t>美しい女が井戸で水を汲んでいたので、水をわけてもらって船に戻った。；また平安時代に小野篁が井戸を通って地獄に通ったとされる伝説も有名。；現在日本では、伝統的な井戸を新しく設置する事は少なくなってきている。；モデルとなった大井路は医療の町ではなく大きな井戸がある街だった。；いくつかの井戸は石の壁に囲まれているが、多くは金網で保護されている。；人の影が井戸の中にあるのを見て、仰ぎ見るや、驚いてお椀を落とした。；住吉神社の西にはその際の産湯に使われたとされる井戸が残っている。；平野部には数十メートルを超える井戸が多数存在し、揚水を行っている。；その際、康正の妻・玉尾の方は娘の初瀬を抱いてこの井戸に身を投げた。；また、流域の井戸の水質も悪化し、飲んではいけない基準を超えていた。；井戸は前のシーンに戻れ、使わないと回収できない重要アイテムもある。；井戸は、見るべき作品が2誌から生まれなかったためだと述べている。；井戸や貯水槽は、守備兵に淡水を供給するために塔の中に設置されていた。；集落跡には井戸があり、漁師の一時的な住居や放牧に利用されてきた。；駐車場の南東側の脇に井戸が存在したが現在は残っていない。；古来より神聖視されてきた井戸で如何なる時にも枯れないと伝えられる。；内陸では水が金と同じ程の価値を持ち、井戸は厳しく警備されている。；倒れれば冬でも井戸へ連れて行かれ、水を浴びせられる厳しさであった。；また、栽培の普及には井戸の手代の伊達金三郎の活躍もあったと伝わる。；再び井戸へ行くと今度は硬貨を落とさず、前の2枚の硬貨も戻ってきた。；翌年も正直者は1枚だけ硬貨を貰うが、また井戸の中へ落としてしまう。；バダルが誤って古井戸に落ちかかると、井戸の底に男性がいるのが判明。；いくつかの物は井戸の底から見つかっており頭が無かった。；しかし、思った以上に底が深く井戸のようになっているため中に入ることができない。；隕石の中にあった球体の内部に居た何者かが、井戸の中に居るのだ。；このようなケースは稀で、多くの場合、洗う作業は井戸周りや川で行われた。；さらに隠し井戸を造って水を確保するという苦労を長年続けていた。；ザムザムとは別に、カアバの内部に水の出ない縦穴あるいは井戸がある。；行政がこれに従い問題の井戸を閉鎖したため、流行の蔓延を防ぐ事が出来た。</t>
        </is>
      </c>
      <c r="J549">
        <f>HYPERLINK("https://www.weblio.jp/content/井戸", "词义详情")</f>
        <v/>
      </c>
      <c r="K549">
        <f>HYPERLINK("https://yourei.jp/井戸", "查看例句")</f>
        <v/>
      </c>
    </row>
    <row r="550">
      <c r="A550" t="inlineStr">
        <is>
          <t>緯度</t>
        </is>
      </c>
      <c r="B550" t="inlineStr">
        <is>
          <t>成功</t>
        </is>
      </c>
      <c r="C550" t="inlineStr">
        <is>
          <t>読み方：いど
地球上のある地点の南北の位置を表す座標の一。赤道を零度として、それと平行に南北に地球を横に切る線の目盛り。南北おのおの90度まで測り、北へ測るのを北緯、南へ測るのを南緯という。⇔経度。</t>
        </is>
      </c>
      <c r="D550" t="inlineStr">
        <is>
          <t>緯度地域(5%)；緯度地方；緯度帯；緯度経度；緯度観測</t>
        </is>
      </c>
      <c r="E550" t="inlineStr">
        <is>
          <t>含み；パラレル；緯線；ラチチュード</t>
        </is>
      </c>
      <c r="F550" t="inlineStr">
        <is>
          <t>中緯度；同緯度；同じ緯度；緯度線；緯度方向</t>
        </is>
      </c>
      <c r="H550" t="n">
        <v>29</v>
      </c>
      <c r="I550" t="inlineStr">
        <is>
          <t>また観測者の緯度がすでに判っている場合は、時刻を得ることができる。；この時期には南半球の中緯度地域では一晩中南の空に観測することができた。；しかし低緯度になるときは新たに見える星が増えるため対応できない。；距離を求めるには両地点での経度・緯度をもとにして計算を行う必要がある。；この緯度の地方で、春を明るくする植物の1つであると言われている。；ただし、より低緯度で観測された例もいくつかあり、近年増えている。；これは特定の緯度帯範囲の中間点を持つ種のみを数えるものである。；このため、ハウスは観測地点の緯度や時刻に大きく左右される性質がある。；さらに、緯度や経度を調整すれば任意の場所の内部を見ることも可能。；太陽放射の量は各地点の太陽の高度、すなわち季節と緯度により変わる。；中緯度地帯に位置する広大な陸地でモンスーンの影響が大きい特徴がある。；古代ギリシアでも夏至の日の太陽の出ている時間を緯度の測定に使っていた。；夜に北極星の高度を測れば、それがほぼ現在地の緯度を示すことになる。；緯度は北緯42度付近であり、日本での同緯度地域は北海道南部である。；観測者の緯度が大きくなると、天の北極の高度も同じだけ大きくなる。；いずれにしても標準緯度では東西方向の長さが正しく表現される。；特徴的な緯度や便利な縦横比の場合については個別名が付けられている。；水路の地図を作り、海岸沿いの主要な港と要塞の経度、緯度を測定した。；緯度で見ると北カリフォルニアと呼ばれる地域の北半分に一致する。；緯度の高い地域に生息する種では氷の張った水面下での活動が観察されている種もいる。；日本に同緯度の都市はなく、北欧のストックホルムとほぼ同緯度である。；第二に、緯度を太陽の傾きだけでなく星の観測結果も用いて決定したことである。；低緯度地帯では分布が少なく、同様の環境ではマングローブ林となっている。；同じ緯度の地点を結んだ線は緯線と呼ばれ、赤道に平行な同心円になる。；日本は中緯度地方にあるため、春・夏・秋・冬の四季の違いがはっきりと現れる。；ユリシーズ以前には、太陽は低緯度からしか観測されていなかった。；緯度と海水面の高さの変化は、自然の沈降現象に大きく関与している。；なお、低緯度であることから米国本土のような夏時間は実施されなかった。；緯度についてはまったく分からず、島や海岸線はどこにも見えない。</t>
        </is>
      </c>
      <c r="J550">
        <f>HYPERLINK("https://www.weblio.jp/content/緯度", "词义详情")</f>
        <v/>
      </c>
      <c r="K550">
        <f>HYPERLINK("https://yourei.jp/緯度", "查看例句")</f>
        <v/>
      </c>
    </row>
    <row r="551">
      <c r="A551" t="inlineStr">
        <is>
          <t>移動</t>
        </is>
      </c>
      <c r="B551" t="inlineStr">
        <is>
          <t>成功</t>
        </is>
      </c>
      <c r="C551" t="inlineStr">
        <is>
          <t>読み方：いどう
［名］(スル)ある場所から他の場所へ移ること。「次の会場へ—する」「—図書館」</t>
        </is>
      </c>
      <c r="D551" t="inlineStr">
        <is>
          <t>移動する(18%)；移動させる(3%)；移動できる(2%)；移動中；移動手段</t>
        </is>
      </c>
      <c r="E551" t="inlineStr">
        <is>
          <t>動き；移転；移行；渡り；伝える</t>
        </is>
      </c>
      <c r="F551" t="inlineStr">
        <is>
          <t>大移動；時間移動；向かって移動；移動性；移動時間</t>
        </is>
      </c>
      <c r="G551" t="inlineStr">
        <is>
          <t>移動体通信；移動通信；移動の自由；移動販売；移動度</t>
        </is>
      </c>
      <c r="H551" t="n">
        <v>29</v>
      </c>
      <c r="I551" t="inlineStr">
        <is>
          <t>地上を移動すると事件が起こる危険があるため動くことができないのだ。；そこから南西方向と南東方向の二方向に分かれて遠くまで移動を続けた。；また乗用車と比較しても環境負荷や移動時間の正確性などで有利である。；この軌道の近日点は太陽の周りを周回する形でゆっくりと移動している。；主にカナダインディアンが湖沼の移動に使っていたためこの名称がある。；この情報の移動は水素結合が共有結合性を含んでいる時にしか起きない。；より多くの数量が対応するように変化した場合、曲線は右方に移動する。；その後も隣接の地区とで管轄県の移動があり、2005年に7県となる。；駒は移動方向を変えることもできるし、異なる複数の駒を進めてもよい。；何百万人もの農民が工業化された都市に移動し、国は急速に発展した。；移動を容易にするために、飛行士らはジェット戦闘機の使用を要求した。；UFOが消えたり現れたりすることを空間移動ではなく時間移動と解釈する。；山鹿素行は風が地表を移動する空気の流れである事には気づいていた。；マップによっては移動中に敵モンスターとの戦闘が発生することがある。；例えばブロックを近くに運んできたり遠くへ移動させたりすることができる。；春川芽生もニコモになって所属した事務所内で後に声優部へ移動している。；本作では移動手段が徒歩と城へ帰還する呪文やアイテム以外にも追加された。；主人公たちと同時に船も移動先の城や町の近くへ移動する。；ボールが無い場所で、相手選手の移動を制限する位置に立つこと。；これは進化の過程で、遺伝子が細胞核へ移動したからだと考えられている。；キャラクター同士の中心点を結ぶ直線を軸と呼び、この軸が移動するためである。；接地場所を移動することは出来ないが、その場所で回転することは許される。；ここは当初案と比べてルートが大きく北寄りに移動した。；レール上を移動する列車砲は自力では移動できないので自走砲ではない。；ねじの山と谷の間隔と移動量は以下のようにピッチとリードで表される。；そしてほかのものは、個体群の一部分だけが移動する部分的な渡りを行う。；マーキュリーは翼の生えた靴を履き、高速で移動すると言われている。；この時期は移動して生きていたので住居はテントや掘立小屋程度のものだった。；移動式電話は、かつての自動車電話やその後に登場した携帯電話などである。</t>
        </is>
      </c>
      <c r="J551">
        <f>HYPERLINK("https://www.weblio.jp/content/移動", "词义详情")</f>
        <v/>
      </c>
      <c r="K551">
        <f>HYPERLINK("https://yourei.jp/移動", "查看例句")</f>
        <v/>
      </c>
    </row>
    <row r="552">
      <c r="A552" t="inlineStr">
        <is>
          <t>異動</t>
        </is>
      </c>
      <c r="B552" t="inlineStr">
        <is>
          <t>成功</t>
        </is>
      </c>
      <c r="C552" t="inlineStr">
        <is>
          <t>読み方：いどう
［名］(スル)
１職場での地位、勤務などが変わること。また、転・退任などの人事の動き。「総務課へ—する」
２物事に、前の状態と違った動きが起こること。
「昨日と何も—がないというのかね」〈啄木・病院の窓〉
３保険契約で、保険期間の中途で契約内容について変更が生じたとき、保険会社に通知して契約条件を変更すること。また、現行のものと違う内容の保険契約に移ること。</t>
        </is>
      </c>
      <c r="D552" t="inlineStr">
        <is>
          <t>異動後(3%)；異動先；異動命令；異動届；異動辞令</t>
        </is>
      </c>
      <c r="E552" t="inlineStr">
        <is>
          <t>変更；変化；移籍；移転；移行</t>
        </is>
      </c>
      <c r="F552" t="inlineStr">
        <is>
          <t>専科異動；支社へ異動；人事異動；広域異動；東京オフィスへ異動</t>
        </is>
      </c>
      <c r="H552" t="n">
        <v>29</v>
      </c>
      <c r="I552" t="inlineStr">
        <is>
          <t>同時に社会部の記者に異動することになったと本人から発表があった。；サンテレビへの移籍当初は報道部に所属したが、後に社会情報部へ異動。；たゞ沖には大きな重い動波が西の方から寄せて來て、風を豫告してゐた。；これに伴い大橋は京都局に異動となり、自身も同年秋から産休入りした。；一部の部隊は作戦指揮下と戦略指揮下の間を何度か異動した。；地方放送局長への異動の話が出た時に、沖縄を希望したらその通りになった。；報道部への異動後には記者となり、司法関係を主に担当していた。；入社から2年経過後に、その努力が社内で認められて設計部門に異動。；大船での制作の半数が同時期に京都から異動した酒井欣也監督作品だった。；から技術営業職へ異動すると、の秋からシンガポールに駐在している。；ユニリーバは自己成長を目的とした従業員の異動・転勤を行っている。；生徒によっては、配属された組で一定の活動後に他の組へ異動する場合がある。；各都道府県警の異動公示の際や新聞・テレビなどの報道に用いられる。；ただし、以前から予定されていたスポーツ実況については異動後も担当した。；アナウンサーとして活動した期間は短く、一時は制作系の部署に異動。；国家公務員の身分であることから、数年おきに全国規模の異動がある。；これらの階級は妖霊の性質に基づいた固定的なもので、階級が異動することはない。；異動後も時折取材VTRや中継のリポーターとして出演することがある。；どう喝されたこの課長は人事異動で別の部署に異動させられることとなった。；翌日、神咲雫は営業部から新設のワイン事業部への異動を命じられた。；その後飛行船部門に異動したが彼は初めそれを降格と受け取った。；近年は刑事畑の者が就く傾向があり、次の異動では刑事部長に就任する例が多い。；こちらは、単なる異動の発表であり、理由は記載されていない。；その後、2014年6月30日付で制作部から報道制作局報道部へ異動。；しかし後に異動となり、攻略記事のリーダーだったMW岩井が後任となる。；異動後は、中国地方・広島県内向けの番組を主に担当している。；まもなくエーリヒ・レーダーの海軍総司令部へ異動し陸上勤務になった。；ちなみに報道部異動後の冨岡の席は、制作部時代にいた場所のすぐ後ろであった。；司祭は未決勾留期間後に、再び解放されたが、別の教区に異動された。</t>
        </is>
      </c>
      <c r="J552">
        <f>HYPERLINK("https://www.weblio.jp/content/異動", "词义详情")</f>
        <v/>
      </c>
      <c r="K552">
        <f>HYPERLINK("https://yourei.jp/異動", "查看例句")</f>
        <v/>
      </c>
    </row>
    <row r="553">
      <c r="A553" t="inlineStr">
        <is>
          <t>従兄弟</t>
        </is>
      </c>
      <c r="B553" t="inlineStr">
        <is>
          <t>成功</t>
        </is>
      </c>
      <c r="C553" t="inlineStr">
        <is>
          <t>読み方：いとこ
父または母の兄弟姉妹の子。おじ・おばの子。
[補説]自分との年齢の上下関係や性別によって「従兄」「従弟」「従姉」「従妹」などとも書く。</t>
        </is>
      </c>
      <c r="D553" t="inlineStr">
        <is>
          <t>従兄弟同士(3%)；従兄弟たち(3%)；従兄弟姉妹；従兄弟関係；従兄弟同志</t>
        </is>
      </c>
      <c r="E553" t="inlineStr">
        <is>
          <t>従兄；いとこ；従弟；従妹；従姉</t>
        </is>
      </c>
      <c r="F553" t="inlineStr">
        <is>
          <t>我が従兄弟</t>
        </is>
      </c>
      <c r="H553" t="n">
        <v>29</v>
      </c>
      <c r="I553" t="inlineStr">
        <is>
          <t>一方で従兄弟である山浦光則が処刑されるのは定勝の死後のことになる。；彼はマーショーン・リンチの従兄弟であり彼らは同じ高校に入学した。；当時現役だった大相撲力士・高見山の従兄弟ということで話題になった。；この年には従兄弟の平徳子が中宮となったのに伴い、中宮権亮となった。；ブラジル出身でスペイン国籍を取得したマルコス・セナは従兄弟である。；オールボーBKに所属するアンデルス・デュエとは従兄弟の関係である。；母の父は南北戦争で活躍したジョン・セジウィック大将の従兄弟である。；が、この戦いで従兄弟のトラシンをマロリーの軍勢に殺されてしまった。；貞親失脚後に跡を継いで政所執事となった伊勢貞宗とは従兄弟にあたる。；大道寺周勝の子とするのが通説であるが、弟や従兄弟とする説もある。；子の小八郎は幼いため従兄弟の植誠が養子となって家督を相続した。；同じチームに所属していた高永昌は従兄弟で、同じ小・中・高校の先輩でもある。；大方の予想に反して即位した雅仁親王は、経宗と従兄弟の関係にあった。；教秀の次は養父・経直の実子である従兄弟の経茂が第8代当主となった。；第11代当主となっていた従兄弟の親著から家督を引継ぎ、当主となった。；ただし系図には名前が記されておらず、甥や従兄弟の可能性もある。；文宣帝・高洋をはじめ北斉の皇帝はほとんどが叔父か従兄弟にあたる。；に同じダイエーに在籍していたケビン・ミッチェルは従兄弟にあたる。；前の説によれば袁術の従兄弟、後の説によれば袁術の兄にあたる。；国王暗殺首謀者は国王の従兄弟オルレアン公であることも白日の下となる。；父粂市は実業家、母いつは永井家の出身で、永井荷風は従兄弟にあたる。；同じ頃、姉クセニア大公女と従兄弟アンドレイ大公が二人の元を訪れた。；実業家、政治家の渋沢敬三と政治家の阪谷希一は母方の従兄弟にあたる。；足利尊氏の母清子は父方の叔母であり、尊氏とは従兄弟の関係であった。；母は蘇我馬子の娘・蘇我法提郎女で大臣・蘇我入鹿とは従兄弟に当たる。；彼を殺したのは被害者の一人の従兄弟であった。；尚、この両名はともに長尾景為の玄孫であり、三従兄弟 の関係にある。；またある作品では、高名な従兄弟の名前がたった1カ所だけ出てくる。；兄弟達と同様、従兄弟である藤原頼長の側近となり、その家司を務める。</t>
        </is>
      </c>
      <c r="J553">
        <f>HYPERLINK("https://www.weblio.jp/content/従兄弟", "词义详情")</f>
        <v/>
      </c>
      <c r="K553">
        <f>HYPERLINK("https://yourei.jp/従兄弟", "查看例句")</f>
        <v/>
      </c>
    </row>
    <row r="554">
      <c r="A554" t="inlineStr">
        <is>
          <t>愛しい</t>
        </is>
      </c>
      <c r="B554" t="inlineStr">
        <is>
          <t>成功</t>
        </is>
      </c>
      <c r="C554" t="inlineStr">
        <is>
          <t>読み方：かなしい
［形］［文］かな・し［シク］
１心が痛んで泣けてくるような気持ちである。嘆いても嘆ききれぬ気持ちだ。「友が死んで—・い」⇔うれしい。
２人に1のような気持ちを起こさせる物事のさま。「—・い知らせ」「—・いメロディー」
３（愛しい）
㋐心に染みていとしい。かわいくてならない。
「柵(くへ)ごしに麦食(は)む小馬のはつはつに相見し児(こ)らしあやに—・しも」〈万・三五三七〉
㋑心に染みておもしろい。強く心を引かれる。
「あしひきの八つ峰(を)の雉(きぎし)鳴きとよむ朝明(あさけ)の霞(かすみ)見れば—・しも」〈万・四一四九〉
㋒すばらしい。みごとである。
「—・しくせられたりとて、見あさみけるとなん」〈著聞集・一七〉
４
㋐しゃくにさわるさま。悔しい。
「物も覚えぬ腐り女に、—・しう言はれたる」〈宇治拾遺・七〉
㋑我慢できないほど恐ろしい。つらい。
「先立つだにも—・しきぞかし」〈平家・三〉
㋒ひどく貧しい。
「釜の下へたく物さへあらず。さても—・しき年の暮れや」〈浮・胸算用・三〉
[派生]かなしがる［動ラ五］かなしげ［形動］かなしさ［名］かなしみ［名］
[補説]古くは、いとしい、かわいい、すばらしい、嘆かわしい、心が痛むなど、物事に感じて切に心の動くさまに広く使われたが、近代では、主に心の痛む意に用いられるようになった。</t>
        </is>
      </c>
      <c r="D554" t="inlineStr">
        <is>
          <t>愛しい人(7%)；愛しいもの(5%)；愛しい男(4%)；愛しい妻(2%)；愛しい娘(2%)</t>
        </is>
      </c>
      <c r="E554" t="inlineStr">
        <is>
          <t>美しい；大切；愛する；綺麗；可愛い</t>
        </is>
      </c>
      <c r="F554" t="inlineStr">
        <is>
          <t>愛しい存在；愛しい思い出；愛しい少女；愛しい彼女；可愛しい</t>
        </is>
      </c>
      <c r="G554" t="inlineStr">
        <is>
          <t>愛しいかけら</t>
        </is>
      </c>
      <c r="H554" t="n">
        <v>29</v>
      </c>
      <c r="I554" t="inlineStr">
        <is>
          <t>やがて肉体は女性でも自身を男性として愛してくれる女性と同棲に至る。；女の童に就いて私はいつも限りない愛しい心の立ち帰ることを感じます。；妻とは死別しているが今なお愛し続けており、再婚は全く考えていない。；聴衆が愛したのは音楽的能力ではなく、彼女の提供した楽しみであった。；自宅に帰ると三上から「愛しているからやらせろ」と何度も電話が入る。；そこで、愛しい男が心臓を串刺しにされるところをよく見ておるがいい。；サムはあの後別の女性と結婚してからもドナを愛し続けてきたと語る。；これには亡くなった母をまだ愛していた彼には度が過ぎていた。；なにより大切な、生命よりも愛しいものを誰かに奪われたらどうしますか。；これを捨てなかったんだなと思ったら、なんだかルイズを愛しく感じた。；愛しい彼の手が触れていったものすべてが彼の存在を映しだしている。；永久の別れになった愛しい人よ、陽のあたる岸で私を待っていておくれ。；歴代藩主も学問を好み古典を愛し、これらの遺風が継承されていった。；それでもニューヨークのファンは「弱いメッツ」を愛していたのである。；今まで愛していると言われ続けた少女が、突然、嫌いだと言われた顔ですよ。；主人公藤山は愛している美しい家族のことを考えながら死を迎える。；彼女は夫を愛してやまず、夫が側にいないと病気になってしまうほどだった。；私は、君が自分を愛しているよりももっと深く君を愛している最愛のものだ。；両親は音楽を愛し、家は芸術家が集まる一種のサロンのようになっていた。；それにロクセットの音楽を愛してくれている人が世界中に何百万人もいる。；二人が去ったあと、誰が愛しいネロの面倒をみてくれるのだろうかと。；その見るからに電波なお人は、俺の愛しい彼女に間違いないのであった。；独身を通し、子供がいない彼女は猫とお茶とケーキを愛した生涯を終えた。；愛ちゃんを愛しく思うからこそ、僕は彼女の体調を心配しているんです。；半自伝的性格を持ち、作者が生涯で最も愛した小説と言われている。；特に清の文人皇帝である乾隆帝は董其昌の書画を愛したことで知られる。；それでもやっぱり、とても主観的なレベルで僕はキリストを愛してる。；クレッグは、それほど間を置かず彼女が自分を愛し始めることを信じていた。；やがて、山崎からリュウは今も一人の女性を愛し続けていると告げられる。</t>
        </is>
      </c>
      <c r="J554">
        <f>HYPERLINK("https://www.weblio.jp/content/愛しい", "词义详情")</f>
        <v/>
      </c>
      <c r="K554">
        <f>HYPERLINK("https://yourei.jp/愛しい", "查看例句")</f>
        <v/>
      </c>
    </row>
    <row r="555">
      <c r="A555" t="inlineStr">
        <is>
          <t>営む</t>
        </is>
      </c>
      <c r="B555" t="inlineStr">
        <is>
          <t>成功</t>
        </is>
      </c>
      <c r="C555" t="inlineStr">
        <is>
          <t>読み方：いとなむ
［動マ五（四）］《形容詞「いとなし」の動詞化》
１忙しく物事をする。怠ることなく励む。「社会生活を—・む」
２生活のための仕事をする。経営する。「旅館を—・む」
３神事・仏事などを行う。「法要を—・む」
４準備する。用意する。
「食ひ物、下人どもにも—・ませず、夫婦手づから自らして召させけり」〈宇治拾遺・一五〉
[可能]いとなめる</t>
        </is>
      </c>
      <c r="D555" t="inlineStr">
        <is>
          <t>営む裕福な家庭</t>
        </is>
      </c>
      <c r="E555" t="inlineStr">
        <is>
          <t>する；行う；指揮；経営；指導</t>
        </is>
      </c>
      <c r="H555" t="n">
        <v>29</v>
      </c>
      <c r="I555" t="inlineStr">
        <is>
          <t>この村で継続的な定住が営まれていたのかどうかもはっきりしていない。；モンスターが人間と同じくして生活を営んでいるのも特徴の一つである。；ここでどんな生活が営まれていたのか、私には想像もつかなかっただろう。；十日前には荘厳な式が営まれたが、今日は僕ひとりだけのお葬式だった。；同じく以前は酒造も営まれていたが、醤油とほぼ同時期に消滅している。；水田と畑で農業が営まれ、地区の中心の街道沿いに商店がいくつかある。；沿川ではこの綺麗な水を利用したわさび栽培などの農業が営まれている。；そのほか、商業で交易商人であったり職人的な仕事を営んだりしている。；儀式・法要などが営まれる日は、日程および時間を変更する場合がある。；小規模の国境貿易が行われているが、住民のほとんどが農業を営んでいる。；戦後は自動車販売業を営む傍ら、イギリス国内のクラブレース等に参戦。；円滑に社会を営むために人間にはそれぞれ役割が与えられなければならない。；漫画のキャラクターの葬儀が本物の寺院で営まれるのは初めてのことである。；この時期に、マリの主要な都市群は、一歩進んだ都市生活が営まれていた。；父は薬局を営んでおり、父の仕事を手伝いながら科学への興味を育んだ。；大坂生れで豆腐屋を営んでいたが芸事が好きで独自に講談の世界に入る。；実家でボウリング場を営む両親のもとに二人姉妹の長女として生まれた。；中期になると建物跡が確認でき、竪穴建物が営まれていたことがわかる。；そういう現代の嵐の中に私たちの生は営まれているのである。；そのあいだにも、窓の向こうでは、港の生活が次々と営まれていた。；逆に漁村に住む者は、オフシーズンには牧畜や都市生活を営む人もいる。；郡名はかつて同地域で生活を営んでいた先住民族の名に由来する。；それぞれの家の主だった部屋は料理をしたり日常生活を営むために使われている。；元々は製紙業を営んでいた土地で、その時代の建造物が今でも残っている。；両国国技館前で電飾看板商を営んでいた父のもとに次男として生まれた。；フェズの旧市街では105種類の手工業が営まれていると言われている。；その葬式は一週間の後、青山墓地に営まれたが、この日にも雨が降った。；実家は淡路島の洲本市街地で堀井ガラス店というガラス屋を営んでいた。；神との親子関係とミサを精神的な基盤とし、社会の中で観想生活を営む。</t>
        </is>
      </c>
      <c r="J555">
        <f>HYPERLINK("https://www.weblio.jp/content/営む", "词义详情")</f>
        <v/>
      </c>
      <c r="K555">
        <f>HYPERLINK("https://yourei.jp/営む", "查看例句")</f>
        <v/>
      </c>
    </row>
    <row r="556">
      <c r="A556" t="inlineStr">
        <is>
          <t>挑む</t>
        </is>
      </c>
      <c r="B556" t="inlineStr">
        <is>
          <t>成功</t>
        </is>
      </c>
      <c r="C556" t="inlineStr">
        <is>
          <t>読み方：いどむ
［動マ五（四）］
１こちらから戦い・けんかなどをしかける。挑戦する。「論争を—・む」「決闘を—・む」
２ある対象に立ち向かっていく。「処女峰に—・む」「新記録に—・む」
３異性に言い寄る。関係を迫る。「酔った勢いで—・まれる」
４張り合う。競争する。
「この盛りに—・み給ひし女御更衣、あるはひたすら亡くなり給ひ」〈源・朝顔〉
[可能]いどめる</t>
        </is>
      </c>
      <c r="D556" t="inlineStr">
        <is>
          <t>挑むべく；挑むべき；挑むような視線；挑むような眼；挑むような光</t>
        </is>
      </c>
      <c r="E556" t="inlineStr">
        <is>
          <t>見る；抵抗；努力；対抗；挑戦</t>
        </is>
      </c>
      <c r="H556" t="n">
        <v>29</v>
      </c>
      <c r="I556" t="inlineStr">
        <is>
          <t>最初に軽いものに成功すると、より困難なものに挑みたくなるのである。；個人とは別に他のプレイヤーと力をあわせてステージに挑むこともできる。；プレイヤーは様々な戦略、プレイスタイルでゲームに挑むことができる。；決してこのような絶望的な戦いを挑み、捨石となって死ぬことではない。；その町で出会った桜子をはじめ多くの人の支えで勝負に挑んでいく。；そこで準決勝では開き直って何も考えずに挑んだことで、決勝に進めた。；試合前に襲撃を受けた為にブライアンが一人で試合に挑む事になり苦戦。；現在も八宝斉の傍若無人な行動に怒って戦いを挑むなど仲はかなり悪い。；寿女は何がなし、この連之助へ挑みかかりたいような気持ちにさせられる。；様々な自然環境に挑んできた古今東西の冒険者たちを紹介していた番組。；この試合でブラジル代表は初めて白のホームユニフォームを着て挑んだ。；再び一族の者共が戦いを挑みかけて来ることがあろうとは、思えなかった。；今回の事件の糸を引いた黒幕へ戦いを挑むためにどこへともなく去って行った。；その後制作されたPVでも自ら撮影に挑み、約半年近くをかけて完成する。；常に不可能に挑み、高い理想を追ってきた人間ではなくなるのです。；王子は挑みかかる大浪の上に、勇敢にもいつも頭を出しておられました。；こうしてオフェリアはパンに与えられた3つの試練に挑むことになった。；屈敵の手段がないとわかっている米国に戦争を挑もうというのである。；この割烹に来るという情報を得て、野杉はまた交渉に挑もうとしていた。；秋には3頭立てのフォワ賞を勝っていよいよ最大目標の凱旋門賞に挑む。；彼はブランショとは似て非なる方法で文学の限界、言語の限界に挑んだ。；あの言葉がなければ、僕も雄二もあんな勝負は挑まなかっただろう。；嵐神は再びイルルヤンカシュに挑むが息子はイルルヤンカシュ側にいた。；マシンもGTと同じレクサス・IS350をベースとした車両で挑んだ。；日本の素材を取り込んだ服作りに挑んだイノベイターといえば三宅である。；秋は牝馬限定の競走がないため菊花賞に挑み、途中まで逃げて大敗した。；僕たちは自衛や犯人を探るのに忙しくて、全然その謎に挑まなかったし。；なぜおれは、自分一個がめざされ挑まれているように感ぜざるを得ぬのか。；向こうも完全には自分を忘れてはいないことを幸いに、イアンに勝負を挑む。</t>
        </is>
      </c>
      <c r="J556">
        <f>HYPERLINK("https://www.weblio.jp/content/挑む", "词义详情")</f>
        <v/>
      </c>
      <c r="K556">
        <f>HYPERLINK("https://yourei.jp/挑む", "查看例句")</f>
        <v/>
      </c>
    </row>
    <row r="557">
      <c r="A557" t="inlineStr">
        <is>
          <t>田舎</t>
        </is>
      </c>
      <c r="B557" t="inlineStr">
        <is>
          <t>成功</t>
        </is>
      </c>
      <c r="C557" t="inlineStr">
        <is>
          <t>読み方：いなか
１都会から離れた地方。「—から町に出てくる」
２田畑が多く、のどかな所。人家が少なく、静かでへんぴな所。「便利になったとはいっても、まだまだ—だ」
３生まれ故郷。郷里。父母や祖父母のふるさとについてもいう。「うちの—は四国の港町です」
４（名詞に付き、接頭語的に用いて）素朴・粗暴・やぼなどの意を表す。「—料理」「—風(ふう)」「—侍」</t>
        </is>
      </c>
      <c r="D557" t="inlineStr">
        <is>
          <t>田舎者(8%)；田舎娘(2%)；田舎風；田舎育ち；田舎出</t>
        </is>
      </c>
      <c r="E557" t="inlineStr">
        <is>
          <t>出身；国；地方；里；故郷</t>
        </is>
      </c>
      <c r="F557" t="inlineStr">
        <is>
          <t>田舎料理；ド田舎；田舎源氏；田舎じみ；田舎貴族</t>
        </is>
      </c>
      <c r="G557" t="inlineStr">
        <is>
          <t>田舎道；田舎家；田舎暮らし；田舎者；田舎医者</t>
        </is>
      </c>
      <c r="H557" t="n">
        <v>29</v>
      </c>
      <c r="I557" t="inlineStr">
        <is>
          <t>そこで心配だが田舎から出てきたばかりの中間を使いにやろうと決める。；主な舞台が田舎ということもあり、人だけではなく動物も多数登場する。；母の小与は実家の田舎で留加をつれて暮らすことを決意し、町を去った。；田舎の教会にいたが、ニューヨークに行けという神の導きを聞いたと言う。；木ぎれや骨などを彫って作った部品が町でもまた田舎でも見つかっている。；夏、マルグリットはアルマンや友人たちと田舎の家で遊び暮らしている。；一般に、都会ではない場所、人口や住宅の少ない地域が田舎とされている。；アイルランドの西の端に所在しているとされるド田舎の小さな島。；当時、田舎では電力が供給されているのはごく一部だったのである。；若干狭い片側一車線が確保された田舎の県道といった雰囲気の道である。；市域は主に農業に利用されており、このため田舎の様子を呈している。；以前の人民党の支持基盤である西部の田舎や鉱業地域にも支持者がいた。；また、移動の殆どを自動車に依存する田舎では、家計に大きな影響が出た。；これは、ヨーテボリが彼には田舎の僻地であるように思えたからであった。；ある田舎のレストランで一人の女と一人の男が派手に乱闘を始める。；この観光客は田舎の伝統的な生活と手の付けられていない自然が関心を呼んでいる。；大学卒業後の1962年実験劇団に田舎の喫茶店のマダム役で出演した。；主人公の安西マコは地元の田舎から東京に引っ越してきた15歳の少女。；アンダーソンの故郷は、クイーンズランド州内の広大な田舎地域にある。；また、田舎の人を馬鹿にする差別語でもあるので乱用してはならない。；その点、歴史的な田舎で信じられていた民間宗教とは異なっている。；空ミツ子と炎タケルはタケルの田舎の両親から結婚を反対されていた。；分水嶺の後ろには、田舎の丘の森に分たれた千々の湖の網が広がっている。；公共交通機関の発達していない田舎などでは特に一人当たりの所有率が一般的に高い。；都市住民は田舎住民よりも、子供をあまり持たない傾向がある。；田舎の空気と南海岸の静けさの中、メタスタージオは健康を回復した。；ただし、現在ではかなり田舎の山間部でなければ見るのは難しいかも知れない。；その目的は質の良い遺産を多く持つ田舎の小さな村の観光を促進することにある。；夏になっても特に賑わうこともないある田舎の海辺の町を舞台にしたストーリー。</t>
        </is>
      </c>
      <c r="J557">
        <f>HYPERLINK("https://www.weblio.jp/content/田舎", "词义详情")</f>
        <v/>
      </c>
      <c r="K557">
        <f>HYPERLINK("https://yourei.jp/田舎", "查看例句")</f>
        <v/>
      </c>
    </row>
    <row r="558">
      <c r="A558" t="inlineStr">
        <is>
          <t>稲妻</t>
        </is>
      </c>
      <c r="B558" t="inlineStr">
        <is>
          <t>成功</t>
        </is>
      </c>
      <c r="C558" t="inlineStr">
        <is>
          <t>読み方：いなずま
《稲の夫(つま)の意。稲の結実期に多く起こるので、これによって稲が実ると考えられていた》
１空中電気の放電によって生じる電光。また、それが雲に反映したもの。稲光(いなびかり)。稲魂(いなだま)。いなつるび。「—が走る」《季秋》「—やきのふは東今日は西／其角」
２動作の非常にすばやいことや、時間のきわめて短いことのたとえ。「—のごとく飛び去る」
３「稲妻形(がた)」の略。
４「稲妻折れ釘(くぎ)」の略。
５紋所の名。1を図案化したもの。稲妻菱や四つ稲妻菱など。
６《形が1に似るところから》蔵などの鍵。
「—でくゎらくゎらくゎらと蔵を明け」〈柳多留・五六〉
７《1の形や輝きから》金屏風(きんびょうぶ)のこと。
「—を拝借に行く暑い事」〈柳多留・一六〉
８江戸時代、遊女などが、かんざしを多く挿していること。
「—をさせてふり向く仲の町」〈柳多留・二九〉</t>
        </is>
      </c>
      <c r="D558" t="inlineStr">
        <is>
          <t>稲妻座；稲妻丹左；稲妻状；稲妻型；稲妻みたい</t>
        </is>
      </c>
      <c r="E558" t="inlineStr">
        <is>
          <t>雷；電光；落雷；雷電；雷光</t>
        </is>
      </c>
      <c r="F558" t="inlineStr">
        <is>
          <t>細い稲妻</t>
        </is>
      </c>
      <c r="G558" t="inlineStr">
        <is>
          <t>稲妻小僧；稲妻雷五郎；稲妻強盗；稲妻二郎；稲妻がタトラの上を走り去り</t>
        </is>
      </c>
      <c r="H558" t="n">
        <v>29</v>
      </c>
      <c r="I558" t="inlineStr">
        <is>
          <t>して見るとそれは稲妻のようなもの、我々のままにならぬものなのである。；探査機が惑星の夜側を通過した際の観測から、稲妻の光も観測された。；稲妻が走るたびに、怒りに燃えた海竜が接近してくるのが見てとれた。；まるで稲妻のように、探し求めて得られないでいたものを思いだしたのだ。；この武器からは60フィート先の相手に向けて稲妻を放つことができる。；しかしその時一閃の稲妻が頭上を走り、自分が斬った者の顔を照らした。；川の岸にもう少しというところで、稲妻があたり一面を照らしました。；稲妻は光ではなくて、何かもっとちがった命の源ででもあったのでしょうか。；夜の九時から深夜まで、風が市内を吹き荒れ、空は稲妻で引き裂かれた。；あのとき私の頭にある考えが稲妻のようにきらりとひらめいたんです。；この月のはじめ頃にくらべれば、決してひどい稲妻と雷鳴ではなかった。；二枚の翼は彼女の前で打ち合わされ、遠い稲妻のような音をひびかせた。；今しも天井を走った稲妻が、突然その男の姿をくっきりと照らしだした。；稲妻が光らなかったので、玄関の段に立っている何者かの足は見えなかった。；ときどき稲妻がきらめき、それでかれはまわりを見分けることができた。；ゆっくりとした稲妻のように、あちこちで小さく曲がりながら動いていく。；この時初めて昨夜の約束を稲妻のように思い出したのである。；屋外には暗い空を仰いで稲妻のような探海燈の光を望む町の人達がある。；空には大きな雲が走り、遠くに稲妻が光って、まもなく嵐になると告げていた。；しかし稲妻の光のなかに、そのおだやかな顔をはっきりと見ることができた。；背が高くて脚のひょろ長い、額に稲妻のような星がある鹿毛であった。；夏の稲妻をテーマに、男の立場から彼女への熱い気持ちを歌った曲。；理由は、「稲妻チームはランブルしかゴールしていない」からであった。；それは見る間に、衝撃音が響く度に稲妻の光跡のように広がっていく。；ヴォルデモートがいなければハリーは額に稲妻型の傷を受ける事もなかったろう。；その頃エレド・ウェスリンに稲妻が走り、西から風が吹き始めていた。；その無気味な煙りの中には、ときどき稲妻のようなものが光っていた。；多くの点から、両刃斧が稲妻を表したものであることは明らかである。；彼はこの答案を稲妻のごとく頭の奥に閃めかして、得意の余り踴躍した。</t>
        </is>
      </c>
      <c r="J558">
        <f>HYPERLINK("https://www.weblio.jp/content/稲妻", "词义详情")</f>
        <v/>
      </c>
      <c r="K558">
        <f>HYPERLINK("https://yourei.jp/稲妻", "查看例句")</f>
        <v/>
      </c>
    </row>
    <row r="559">
      <c r="A559" t="inlineStr">
        <is>
          <t>稲光</t>
        </is>
      </c>
      <c r="B559" t="inlineStr">
        <is>
          <t>成功</t>
        </is>
      </c>
      <c r="C559" t="inlineStr">
        <is>
          <t>読み方：いなびかり
「稲妻1」に同じ。《季秋》「くらがりの手足を照らす—／誓子」</t>
        </is>
      </c>
      <c r="D559" t="inlineStr">
        <is>
          <t>稲光りのよう</t>
        </is>
      </c>
      <c r="E559" t="inlineStr">
        <is>
          <t>雷；稲妻；電光；落雷；雷電</t>
        </is>
      </c>
      <c r="H559" t="n">
        <v>29</v>
      </c>
      <c r="I559" t="inlineStr">
        <is>
          <t>雨音は徐々に激しくなり、時間を切断するような稲光が世界を白くする。；だが、そのトビが稲光の形をして光り輝いたとは、どういう意味なのか?；その稲光が照らし出される瞬間以外は、窓の外は全て夜の闇が支配している。；この部屋には床下に仕掛けがあり、見学者は雷鳴や稲光に驚いたという。；雲の下に、低く雷がころがって白い布をふるような、いなびかりだった。；ここへ稲光と雷鳴が加わったらおれは自殺するだろうなあ、と村田は思う。；洞窟の中にも稲光の白い灯がまばらに光っているが、静かで怪物の姿はなかった。；その周りに、細い稲光のような光が幾筋も幾筋も走り抜けていた。；稲光が走り、外に立っているふたりの姿が闇の中に浮きあがった。；さい前よりまゆのあたりに幾たびもいなびかりをさせて聞きいたりしが。；稲光と雷鳴と篠つく雨が半刻ばかりで止み、外はそのまま、夜になった。；断続的な稲光の瞬間に、数メートル先までの足もとを確認するしかなかった。；満天の星の下にも、 稲光の嵐の中にも、 すべて同時に立つことができる。；その稲光で白く照らし出された親父のその表情は、俺の目に焼きつく。；それは、秋のいなびかりか、真冬のオーロラのような光をはなちました。；なんの光なのかわからないのだが窓の外がぱしぱしと稲光のように青白く光る。；天井近くでは、稲光のような赤や青の光がちらちらと瞬いていた。；全ての元である渦の中で、閃く稲光のように発生する何らかの方向性。；空中の何もないところから一筋の稲光がふりそそぎ、男の頭上を直撃する。；ある日、彼はその話を聞かされたのだったが、それはほんの一瞬の稲光にすぎなかった。；だが人々は、それを先端の石の部分から稲光を出して攻撃するウッコの武器であると信じていた。；そのときまた稲光が走ったが、もう遠くへいったとみえて、たいした音はしなかった。；岩尾根を渡る冷たい風、あるいは地を這い、天に登る稲光のまばゆい金。；雨はまだ降りつづいているが、ありがたいことに、稲光は間遠になっている。；雷鳴がいなびかりの直後にどんと響きわたり、わたしは体を硬直させた。；昨年インドのスリナガルで見た稲光がちょうどこんな風であった。；激しい稲妻と稲光に天の底が破れ、そこから雨が降り注いでいるかのようだった。；二度、三度と、稲光が走ったあと、雨が屋根を激しく打ちはじめた。；時折室内を照らし出す稲光のほうがよほど明るかったが、ないよりはましだ。</t>
        </is>
      </c>
      <c r="J559">
        <f>HYPERLINK("https://www.weblio.jp/content/稲光", "词义详情")</f>
        <v/>
      </c>
      <c r="K559">
        <f>HYPERLINK("https://yourei.jp/稲光", "查看例句")</f>
        <v/>
      </c>
    </row>
    <row r="560">
      <c r="A560" t="inlineStr">
        <is>
          <t>否めない</t>
        </is>
      </c>
      <c r="B560" t="inlineStr">
        <is>
          <t>成功</t>
        </is>
      </c>
      <c r="C560" t="inlineStr">
        <is>
          <t>読み方：いなめない
［連語］《「いな（否）む」の可能動詞「いなめる」の未然形＋打消しの助動詞「ない」》
１断ることができない。「せっかくの招待とあれば—◦ない」
２否定できない。「経験不足であることは—◦ない」</t>
        </is>
      </c>
      <c r="D560" t="inlineStr">
        <is>
          <t>否定できない</t>
        </is>
      </c>
      <c r="H560" t="n">
        <v>29</v>
      </c>
      <c r="I560" t="inlineStr">
        <is>
          <t>具体的な政治の場面での影響は残り続けたと指摘できる面も否めない。；だから、不意に敬礼されたぼくが一瞬奇妙な気分になったのは否めない。；あの頃、誰も彼もが程度の差こそあれ栄養失調であったことは否めない。；旧八日市市域選出の県会議員は市の規模と比較して少ないのは否めない。；この三日間、自分の心が動物達よりも深雪に向いていたことは否めない。；ジャンヌ・ドゥ・フランスが神聖な妻の座を失ったことは否めないのだ。；怒りの言葉の裏に、大切にされないことへの恨みがあるのは否めない。；かくて彼らは何と弁解しても写実の路を歩こうとしている事は否めない。；けれど、いつ帰れるのかを思うと気持ちが重たくなるのは否めなかった。；しかし、これが第一勧銀・興銀との統合へとつながったことは否めない。；昨夜の良一の横暴を、よい口実にしようとしている自分を否めなかった。；すなわち、場合によっては検査の過程で砕けてしまう可能性が否めない。；日本はどうもアジアの人を低く見る傾向にあることは否めない。；だが、日一日と、誰も彼もが死に近づいていることを否めなかった。；立派だと思わないわけでもないが、無理してるな、という感じも否めない。；情けない、と思う一方で、胸のうちがふわふわしてしまうのは否めない。；しかし今から振り返ってみると、あの時点でかなり無理をしていたことは否めない。；しかし、どう見ても墨家のあり方の方が異様であったことは否めない。；跡取り娘じゃない一般の娘も、同じような傾向があるのは否めない。；しかし、その人選が、〈最後に一人残った名前〉であることは否めない。；それで彼らを憎んでいた節があることは、今にして思えば否めない事実であろう。；しかしこのナイフが、私の退職決断に大きな影響を持ったことは否めない。；殺してはいけないという気持ちが、力に歯止めをかけたのは否めない。；決して散らかっているわけではないのだが、しかし乱雑な印象は否めない。；ガンディーはインド独立の一つの転換点となった要素は否めない。；だが、それが子どもに悪い影響を及ぼすことも否めなくなってきた。；そのことが仕事の面で有利に働いていることは否めない。；大統領は、決断すべき時点にいよいよ差しかかってきたのを否めなかった。；不知哉丸の成長に、三河諸党の愛護があったことは高氏にも否めない。</t>
        </is>
      </c>
      <c r="J560">
        <f>HYPERLINK("https://www.weblio.jp/content/否めない", "词义详情")</f>
        <v/>
      </c>
      <c r="K560">
        <f>HYPERLINK("https://yourei.jp/否めない", "查看例句")</f>
        <v/>
      </c>
    </row>
    <row r="561">
      <c r="A561" t="inlineStr">
        <is>
          <t>犬</t>
        </is>
      </c>
      <c r="B561" t="inlineStr">
        <is>
          <t>成功</t>
        </is>
      </c>
      <c r="C561" t="inlineStr">
        <is>
          <t>読み方：いぬ
［名］
１食肉目イヌ科の哺乳類。嗅覚・聴覚が鋭く、古くから猟犬・番犬・牧畜犬などとして家畜化。多くの品種がつくられ、大きさや体形、毛色などはさまざま。警察犬・軍用犬・盲導犬・競走犬・愛玩犬など用途は広い。
２他人の秘密などをかぎ回って報告する者。スパイ。「官憲の—」
３人をののしっていう語。
「請ふらくは君わが家の—に語れ」〈今昔・九・三〇〉
［接頭］名詞に付く。
１卑しめ軽んじる意を表す。「—侍」
２むだで役に立たない意を表す。「—死に」
３よく似てはいるが、実は違っているという意を表す。「—蓼(たで)」
[補説]書名別項。→犬
[下接語]秋田犬・御伽(おとぎ)犬・飼い犬・甲斐(かい)犬・狩り犬・紀州犬・小犬・狛(こま)犬・里犬・地犬・柴(しば)犬・喪家の狗(いぬ)・鷹(たか)犬・土佐犬・野犬・野良犬・負け犬・尨(むく)犬・山犬</t>
        </is>
      </c>
      <c r="D561" t="inlineStr">
        <is>
          <t>犬たち(2%)；犬ども；犬種；犬士；犬みたい</t>
        </is>
      </c>
      <c r="E561" t="inlineStr">
        <is>
          <t>部下；配下；手足；スパイ；側近</t>
        </is>
      </c>
      <c r="F561" t="inlineStr">
        <is>
          <t>大きな犬；白い犬；黒い犬；雌犬；白犬</t>
        </is>
      </c>
      <c r="G561" t="inlineStr">
        <is>
          <t>犬神；犬養；犬塚；犬山；犬歯</t>
        </is>
      </c>
      <c r="H561" t="n">
        <v>29</v>
      </c>
      <c r="I561" t="inlineStr">
        <is>
          <t>人間・猫・犬たちの未来を掛けた戦いはいずれどうなるのであろうか。；現在も会社のシンボルマークにブルドッグ犬のイラストが使われている。；犬の正体はナポレオンが動物主義を教え込んだという仔犬たちであった。；たとえば、次の世に犬に生まれる者の中有はすでに犬の形をしている。；韓国には患者の手術後の回復のために犬肉を差し入れる習慣がある。；事故の多くは、犬に咬まれたり、階段などで転倒したりするものである。；犬の王国が舞台ということで、本作ではペコたち犬の亜人類が登場する。；なお自分の犬は園内に連れて入れないので、入園前に預けることになる。；なぜなら犬や猫といった動物も知覚を持つことは明らかだからである。；またタイトルや歌詞に犬が頻繁に登場することも特徴である。；なお、人間以外の動物でも繁殖用の犬や馬などで稀に同様の症状が確認される。；人間が一切登場せず、猫や犬が人間のように生活している設定。；見つけた犬はその犬とポラロイド写真で一緒に写らなければならない。；頭部が両耳のある犬の顔の形に似ていることからの名称である。；例えば、犬を数十匹飼うと土地利用が変わったとする判決も出ている。；犬は誠実でフレンドリーですが、猫はクールで信頼するのは難しいです。；高等生物において犬ほど短期間に多様な分化が成功した種は存在しない。；戦中・戦後の食糧難の時代に犬を食べたという証言・報道は多数ある。；実験にオスではなくメスの犬が選ばれたのは、排泄姿勢の問題からである。；猫や犬などの動物に似た、皮膚を覆う体毛や尻尾などの特徴を備えた人々。；そんなタケトが帰宅すると、ベッドに朝出会った犬が寝っ転がっていた。；また、この機能で遊びに来た犬が飼える犬種に追加されるようになっている。；アナウンサーを目指す生徒たちに発声練習を指導する、犬顔の講師。；スイス国内での犬肉の流通は禁止されているが、消費する事自体は黙認されている。；ペットの犬が言うことを聞かない場合などに、専門の調教を行うことがある。；作中に登場する犬のキャラクター「スヌーピー」がとくに知られている。；プライベートでは動物の福祉にも力を入れ、保護した猫や犬と暮らしている。；武家方町方ともに、江戸の町では犬は稀にしか見ることができない。；愛称はLes Doguesであり、エンブレムにも犬が描かれている。</t>
        </is>
      </c>
      <c r="J561">
        <f>HYPERLINK("https://www.weblio.jp/content/犬", "词义详情")</f>
        <v/>
      </c>
      <c r="K561">
        <f>HYPERLINK("https://yourei.jp/犬", "查看例句")</f>
        <v/>
      </c>
    </row>
    <row r="562">
      <c r="A562" t="inlineStr">
        <is>
          <t>稲</t>
        </is>
      </c>
      <c r="B562" t="inlineStr">
        <is>
          <t>成功</t>
        </is>
      </c>
      <c r="C562" t="inlineStr">
        <is>
          <t>読み方：いな
「いね」の変化した語。複合語として用いられる。「—穂」「—田」《季秋》</t>
        </is>
      </c>
      <c r="D562" t="inlineStr">
        <is>
          <t>稲藁(2%)；稲光り；稲わら；稲魂；稲右衛門</t>
        </is>
      </c>
      <c r="E562" t="inlineStr">
        <is>
          <t>米；飯；ご飯；御飯；八木</t>
        </is>
      </c>
      <c r="F562" t="inlineStr">
        <is>
          <t>小稲；穎稲；稲穂見；稲核；稲生武</t>
        </is>
      </c>
      <c r="G562" t="inlineStr">
        <is>
          <t>稲作；稲垣；稲荷；稲葉；稲田</t>
        </is>
      </c>
      <c r="H562" t="n">
        <v>29</v>
      </c>
      <c r="I562" t="inlineStr">
        <is>
          <t>この箱から長い柄が出ていて、それで稲の列の間を押して行くのである。；朝枝の馬が、汗だくで苦労して農民が作った稲をお前は馬に喰わすのか。；李氏朝鮮以前の時期には、稲に種を直接振り撤く直播法が行われていた。；最も生産されているものはソルガムで、稲とトウジンビエがそれに続く。；お祭りや稲の植え付けの際に田のあぜに旗を立てていたからと言う説。；稲干場・芝草地が多く所在し、稲や葉がおおくあったことによるという。；外に遊覧に出た際、ある者が一握りの未熟な稲を持っているのを見かけた。；私どもの考へでは、今が稲むら生活の零落の底では無いか、と思はれる。；今年も、此杖に附いて居るとほり、稲の花が咲くだらうと言ふ徴である。；これを受けて朝廷は続く者を勧奨するためにこの稲を仲嗣に与えることとした。；稲の神「さ」が田圃に「おり」てくることを語源とする説が有力である。；稲佐橋営業所統合以前からメインの路線として運行されていた系統である。；雑稲は国分二寺稲や救急料など特定の目的をもって設置されたものである。；稲の殻を取り去るには木造で石を重りにした一種の踏み槌が使用される。；なお、本作は稲船がカプコンで制作した最後のゲームソフトとなった。；財物も稲粟も、非常に高い利子率が設定されているのが特徴的である。；祭祀の事前には、土地を定めて主となる稲だけでなく粟も作られる。；何らかの理由で一時的に稲以外の作物を育てている田を転作田と呼ぶ。；の代謝生産物に稲を伸長させる作用があることを発見し学会に発表。；だが、時期から見ると、冬から春に変る時に、稲花の様子を示す祭りである。；これにより稲を栽培し、三年に一度休耕させて大きな利益を生み出した。；稲の収穫量はあまり多くなく、ほとんどがインレー地帯で消費される。；稲や麦は肥料を多く与えると、背が高くなりすぎて倒れやすくなる性質がある。；特にそのうちの出挙本稲の部分のみを限定して指す場合もある。；木槌の伝説で有名な稲生武太夫が心身を鍛練した場所だと伝えられている。；自身の署名に稲籾の図柄を組み合わせた独特のマークを用いたことで知られる。；稲の栽培には水田や畑が利用され、それぞれの環境や需要にあった品種が用られる。；物語の始まるほぼ1年前にオープンしたジュネス系列ジュネス八十稲羽店。；稲畑もこれに加わっており、日本初の映画撮影にもかかわっている。</t>
        </is>
      </c>
      <c r="J562">
        <f>HYPERLINK("https://www.weblio.jp/content/稲", "词义详情")</f>
        <v/>
      </c>
      <c r="K562">
        <f>HYPERLINK("https://yourei.jp/稲", "查看例句")</f>
        <v/>
      </c>
    </row>
    <row r="563">
      <c r="A563" t="inlineStr">
        <is>
          <t>居眠り</t>
        </is>
      </c>
      <c r="B563" t="inlineStr">
        <is>
          <t>成功</t>
        </is>
      </c>
      <c r="C563" t="inlineStr">
        <is>
          <t>読み方：いねむり
［名］(スル)座ったり腰かけたりしたままで眠ること。「授業中に—する」「—運転」</t>
        </is>
      </c>
      <c r="D563" t="inlineStr">
        <is>
          <t>居眠りしてる；居眠り防止；居眠り病；居眠り半分；居眠り大将</t>
        </is>
      </c>
      <c r="E563" t="inlineStr">
        <is>
          <t>寝；眠る；寝る；睡眠；うとうと</t>
        </is>
      </c>
      <c r="F563" t="inlineStr">
        <is>
          <t>うとうとと居眠り；うつらうつらと居眠り；りこくりと居眠り；居眠りなんか；坐って居眠り</t>
        </is>
      </c>
      <c r="G563" t="inlineStr">
        <is>
          <t>居眠り磐音；居眠り床屋問題</t>
        </is>
      </c>
      <c r="H563" t="n">
        <v>29</v>
      </c>
      <c r="I563" t="inlineStr">
        <is>
          <t>どうかすると女は読み掛けた本の上に俯伏しになって居眠りをしている。；すると一人の老人が居眠りしてゐる頭をひよいひよいと立て直してゐた。；泣いているのかもしれないが、ただ居眠りをしているだけかもしれない。；そんなことをやっているうちに、どうやら居眠りをしてしまったらしい。；ベンチでいねむりをするやつが大勢いたので、おれもその仲間に入った。；夜もふけていたが、風伯はそんなところで居ねむりをしていたのである。；僕の座っていた場所からは、彼女が居眠りしているように見えたからである。；人間にも船にも邪魔をされずに、日向で何時間も居眠りすることもできた。；中で運転手が欠伸をし、居眠りをしながら客が戻ってくるのを待っている。；馬は居眠りでもはじめたかのやうに首を垂れてとぼとぼと脚を運んでゐた。；居眠りすまいと大声でプリュターク英雄伝を読んでいる灯台守のそばに。；なかには動けなくなってコクリコクリ居ねむりをはじめたものもあった。；途中一度居眠りをし、二度トイレに行き、三度コーヒーをお代わりした。；女中は洗濯物をしたり居眠りをしたりして、なかなか家を空けなかった。；彼はこの家に来て、はじめて本当の快い眠りをとることが出来たのである。；実は不覚にも現業室で居眠りしていたところを、台長に起こされたのだ。；その腋の下に頭を突っ込むような格好で、幼い男の子が居眠りしていた。；居眠りした俺が悪いにしても、起こしてくれても良かったじゃないか。；老人は南側の壁によりかかって、満足そうに居眠りしながら微笑していた。；店の中には誰もいないで、奥の方に番頭が一人居眠りをしています。；利吉はその異常現象が起きた瞬間岩かげに入っていねむりをしていた。；気をつけないと、あのまま椅子で居眠りをしてしまうかもしれない。；こうぶつぶついうと、彼はまた自分の膝を抱えて居眠りを始めている。；その向こうでは一人の青年が、窓に顔を伏せるようにして居眠りをしている。；居眠りには一定の体のくせがあるらしく、決して逆方向には傾かない。；そうしないと、勤務中に居眠りしてチョコレート・ハリーに怒鳴られる。；この会議に出席している者の中には、堂々と居眠りをこいている者もいる。；それで、歩きながら居眠りして夢を見るなんてことがあると思うか?；銀河に覚えがないとすればそれは居眠りをしていたからであろう。</t>
        </is>
      </c>
      <c r="J563">
        <f>HYPERLINK("https://www.weblio.jp/content/居眠り", "词义详情")</f>
        <v/>
      </c>
      <c r="K563">
        <f>HYPERLINK("https://yourei.jp/居眠り", "查看例句")</f>
        <v/>
      </c>
    </row>
    <row r="564">
      <c r="A564" t="inlineStr">
        <is>
          <t>居残る</t>
        </is>
      </c>
      <c r="B564" t="inlineStr">
        <is>
          <t>成功</t>
        </is>
      </c>
      <c r="C564" t="inlineStr">
        <is>
          <t>読み方：いのこる
［動ラ五（四）］
１他の人の帰ったあとまで残る。「会場に一人だけ—・る」
２決められた時間よりもあとまでとどまる。残業する。「—・って仕事をかたづける」</t>
        </is>
      </c>
      <c r="D564" t="inlineStr">
        <is>
          <t>残る；残存；止まる；留まる；残される</t>
        </is>
      </c>
      <c r="H564" t="n">
        <v>29</v>
      </c>
      <c r="I564" t="inlineStr">
        <is>
          <t>官では真鍋のことから、土地に居残った幕士等の上に嫌疑をかけてきた。；おれは居残っていてもよかったのだが、そうする気にもならなかった。；といって荷物の始末には二人のうちどちらか一人居残らねばならない。；そんなわけで、その夜も彼は日比谷の一角にある中学校に居残っていた。；居残って仕事をすると言っておきながら、真紀と二人で横浜を歩いていた。；通常は指名制だが、申し出があれば自身で居残りを希望することも出来る。；敦は生まれて初めて、自分の方が「居残った」感覚を得ることが出来た。；前の幕から居残つてゐる連中には待ちくたびれて手を鳴すものもある。；一生懸命なのは女に会うために居残りをしたくないことだけだった。；つい昨日も、この夏はニューヨークに居残ることにする、と言ったものだ。；前の幕から居残っている連中には待ちくたびれて手を鳴すものもある。；私は内心事件の成行きに未練があったけれど、一人居残る訳にも行かぬ。；居残っていたのは、劇の衣装作りを担当しているグループの子たちだった。；車に居残った彼の姿が見え、逃げている途中で聞こえた爆発音が耳に響く。；私がかうして居残つてゐるのも、自分だけの事を考へるからぢやない。；その他の人々もみな居残って、唯一人出て行こうとするものはなかった。；もしも人が居残っていたら、そのときは警察へ通報されてもかまわない。；彼は船内に戻ると、居残っていた連中を呼びあつめて事情を説明した。；自分は毎年のようにこの年の夏も東京に居残りはしまいか。；夜の九時すぎでもあり、刑事課の部署には彼らふたりしか居残っていない。；入学してから三週間目だから、まだ居残って特別の用事があるはずもない。；少なくとも一人だけは、女の方だけは、ここに居残っているはずだ。；私はたまたま急ぎの仕事を抱えていましたので、居残っていました。；居残って神曲の練習をしている生徒がいてもなんら不思議ではない。；また、この回の放送では終盤の居残りクイズのコーナーで不手際が発生。；その後もシービスケットは東海岸に居残り、その存在を知らしめ続けた。；拠なくこのおれも、あいつと一緒に越ガ谷に、居残ることになったのだ。；女はこん度は母と共に京に居残って、父だけが任国に下ることになった。；ここは自由村といって国民党軍の若干が居残って開いた村であります。</t>
        </is>
      </c>
      <c r="J564">
        <f>HYPERLINK("https://www.weblio.jp/content/居残る", "词义详情")</f>
        <v/>
      </c>
      <c r="K564">
        <f>HYPERLINK("https://yourei.jp/居残る", "查看例句")</f>
        <v/>
      </c>
    </row>
    <row r="565">
      <c r="A565" t="inlineStr">
        <is>
          <t>命</t>
        </is>
      </c>
      <c r="B565" t="inlineStr">
        <is>
          <t>成功</t>
        </is>
      </c>
      <c r="C565" t="inlineStr">
        <is>
          <t>読み方：みょう
〈名〉⇒めい
〈命〉⇒めい
〈明〉⇒めい
〈冥〉⇒めい</t>
        </is>
      </c>
      <c r="D565" t="inlineStr">
        <is>
          <t>命を落とし；命刻；命を守るため</t>
        </is>
      </c>
      <c r="E565" t="inlineStr">
        <is>
          <t>目；命令；生；指示；生命</t>
        </is>
      </c>
      <c r="F565" t="inlineStr">
        <is>
          <t>長寿命；自ら命；少彦名命；姫命；全生命</t>
        </is>
      </c>
      <c r="G565" t="inlineStr">
        <is>
          <t>命じ；命名；命中；命じる；命ぜ</t>
        </is>
      </c>
      <c r="H565" t="n">
        <v>29</v>
      </c>
      <c r="I565" t="inlineStr">
        <is>
          <t>なお、命の木の実はこの時は食べてはいけないとは命令されてはいない。；渡ることさえ危険なときもあり、橋から転落し命を落とした者さえいる。；幸い命に別状はなかったものの、世間に与えた衝撃は非常に大きかった。；勝静の命で方谷が行ってきた藩政改革が幕府に評価された結果であった。；そこを無法者の一員アンドローグに見られてしまうが、彼の命は助けた。；ビーバーが環境を大きく変えることで多くの命を森に呼び込んでいる。；既存のコンテナの外側を包むことで長寿命化するタイプも研究されている。；その事実が明らかになったとき、GODの手にかかって姉妹は命を落とす。；熱傷や放射線被曝で皮膚の産生機能が失われると命を落とすこともある。；長くない命に最後まで緊張した精神を維持させる薬だ。；選手たちの多くは戦場にかり出され、命を落とす者も少なくなかった。；残忍な性格で惑星の命、特に植物のエネルギーを好んで吸収して生きている。；乗組員からは反対もあったが、艦長の命により翌日水葬が執り行われた。；彼らには食糧も援軍もなく、もはや命はないものと諦めざるをえなかった。；エヴァが飲んだ睡眠薬は危険性が低いものであり、命に別状はなかった。；「皮膚呼吸を妨げると命に関わる」といった説が広がっているとされる。；共に旅をしていた父親のエドモンがこの地で病に倒れて、命を落としたためである。；まず腹膜炎で命に関わるような状態となり、その回復に2年を要した。；信仰のために自分の都合や仕事や学業などの事情、ひいては命を放棄すること。；アウレリアヌスは彼らの命を助けて、反乱した二人にイタリアでの重要な地位を与えた。；そこで健磐龍命は鬼八の体をばらばらに切り、それぞれを離れた場所に埋めた。；山門と本堂は徳川家光の命により1641年に建てられたものとされる。；何でそんな命縮めるようなことわざわざしなくちゃいけないのか。；駿河の今川氏からの後援無しに家命を保てないほど弱体化してしまった。；兄弟は、兄・命清の他に姉一人と妹三人がいた。；息子・ジギーへの最後の言葉は、「お金は命を買えない」だったという。；彼らはこれによって自分たちの命がなくなることを自覚した上での攻撃であった。；中には彼の命の危険さえ感じる物騒なものもあった。；このとき、アイヌ船員ら数名は抑留地で命を落とし帰らぬ人となった。</t>
        </is>
      </c>
      <c r="J565">
        <f>HYPERLINK("https://www.weblio.jp/content/命", "词义详情")</f>
        <v/>
      </c>
      <c r="K565">
        <f>HYPERLINK("https://yourei.jp/命", "查看例句")</f>
        <v/>
      </c>
    </row>
    <row r="566">
      <c r="A566" t="inlineStr">
        <is>
          <t>命取り</t>
        </is>
      </c>
      <c r="B566" t="inlineStr">
        <is>
          <t>成功</t>
        </is>
      </c>
      <c r="C566" t="inlineStr">
        <is>
          <t>読み方：いのちとり
１生命、または地位・財産などを失う決定的な原因になる事柄。「—の病気」「失言が—となる」
２相手の命を奪うほどの美女または美男をいう語。
「堺町の名物—め、何の生まれ替はりてあの美しさ」〈浮・椀久二世〉</t>
        </is>
      </c>
      <c r="D566" t="inlineStr">
        <is>
          <t>命取りになりかね(7%)</t>
        </is>
      </c>
      <c r="H566" t="n">
        <v>29</v>
      </c>
      <c r="I566" t="inlineStr">
        <is>
          <t>命取りになるほどの原因がどこにあるか、それが突き止められないのだ。；肺の病気が命取りになって、裁判のまえに病院で亡くなったのである。；女性スキャンダルひとつでも場合によっては命取りになりかねないのだ。；無理な危険を冒せば、この地では簡単に命取りになってしまうだろう。；これが命取りになるか、命を救うか、それは石尾自身にも分らなかった。；建物が増築に次ぐ増築で迷路のように複雑だったことが命取りとなった。；自分の命取りになることですから、部下に命じて必死で探していたと思われます。；ファブリツィオはこの命取りの食事をはじめようとしていたところだった。；すなわち命取りの胃がんは腹の中で刻々大きくなりつつあったのである。；腹に拳銃の弾が入っていれば、内臓損傷で命取りになることもある。；パイロットっていうのはほんの一瞬の油断が命取りになる仕事じゃない?；私は彼をそのままにしておくと千坂の命取りになるとおもった。；誰かがどこかでひとつでもしくじれば、全員の命取りになりかねない。；一瞬のスキが命取りになり全身の神経がすべて相手に集中され尽くされていた。；手術が成功したかに見えたんだが、肺炎を併発したのが命取りでね。；無理に開かせようとすれば、こちらの命取りにもなりかねない。；もうスピード夫人とラルフが再会しても、命取りにはならないだろう。；普通の人間なら、すぐに病院行きだし、下手をすると命取りになりかねない。；遊ぶ金惜しさに、あの娘を欺したのが、私の命取りになったのですからね。；孫子の兵法に反する最たることだが、これが将来命取りになるであろう。；情け心が生命取りになりかねないことを七掬脛はよく承知していた。；一八八二年三月末、彼の命取りとなった病気の最初の徴候が現われる。；本物の魔法は、何が起こるか予測がつかないし、命取りになることだってあるのだ。；その純粋な性格が、いずれあなたの命取りになるかもしれない。；あなたはあの男に、あんな命取りの物件の保管をお頼みになったのですか。；隠れ家で彼の目にしたものが、やつらの命取りになることはおおいにあり得る。；槍の男はそれに一瞬気を取られ、それが命取りとなった。；何人かの医師が診察した結果、当時は命取りの病とされた肺炎であることが判明した。；周志開もその例外ではなかったが、彼にはその油断が命取りとなってしまった。</t>
        </is>
      </c>
      <c r="J566">
        <f>HYPERLINK("https://www.weblio.jp/content/命取り", "词义详情")</f>
        <v/>
      </c>
      <c r="K566">
        <f>HYPERLINK("https://yourei.jp/命取り", "查看例句")</f>
        <v/>
      </c>
    </row>
    <row r="567">
      <c r="A567" t="inlineStr">
        <is>
          <t>祈り</t>
        </is>
      </c>
      <c r="B567" t="inlineStr">
        <is>
          <t>成功</t>
        </is>
      </c>
      <c r="C567" t="inlineStr">
        <is>
          <t>読み方：いのり
１神仏に請い願うこと。祈祷(きとう)。祈願。「—を捧げる」
２能の働事(はたらきごと)の一。山伏や僧（ワキ）が鬼女（シテ）を降伏するさまを演じるもの。小鼓(こつづみ)・大鼓(おおつづみ)・太鼓・笛で奏する。「道成寺」「葵上」などにみられる。祈働(いのりはたらき)。
３狂言の型の一。山伏が印を結び、数珠(じゅず)をもんで祈るもの。</t>
        </is>
      </c>
      <c r="D567" t="inlineStr">
        <is>
          <t>祈ります(3%)；祈りたい；祈りまし；祈り続け；祈りつづけ</t>
        </is>
      </c>
      <c r="E567" t="inlineStr">
        <is>
          <t>感謝；祝福；祈祷；願；祈願</t>
        </is>
      </c>
      <c r="F567" t="inlineStr">
        <is>
          <t>短い祈り；御祈り；ひざまずいて祈り；長い祈り；祈りなさい</t>
        </is>
      </c>
      <c r="G567" t="inlineStr">
        <is>
          <t>祈り〜サムシンググレートとの対話〜；祈り〜未来への歌声；祈りが言葉に変わる頃；祈りの丘絵本美術館；祈りの幕が下りる時</t>
        </is>
      </c>
      <c r="H567" t="n">
        <v>29</v>
      </c>
      <c r="I567" t="inlineStr">
        <is>
          <t>古代ハワイのすべての行為と同様に、祈りと目的をもって行われていた。；そこには幾千万もの巡礼者がもたれるように祈りを捧げてきた柱がある。；それぞれの必須の祈りの前には、手と顔の洗浄を行わなければならない。；ベスは自分の祈りのせいで彼に災いが降りかかったのだと自分を責める。；この像は彼が祈りを捧げる姿を模ったもので紀元前25世紀に作られた。；そうではなくて、祈りを欠いた行動が何の解決ももたらせないのです。；私は神様に、私たちみんなを一緒にいさせてくださるように祈りました。；そして、己の暗視の内容を民に告げ、己のための祈りと生贄を要求した。；祈りの会や黙想会は、現代でも教会と関連施設で活発に開催されている。；他の誰でもなく私があの祈りを書いたことを確信しているよ。；形式の古いラーガほど感情は抑制され、神への献身や祈りが中心となる。；豹の皮の服を着ており、あらゆる人間や動物が彼に祈りを捧げていた。；姫を助けようとする者が現れないなか、彼女は熱心に神に祈り助けを求める。；このことから海の神に祈りを捧げた場所であると考えられている。；デッサウ侯は古いタイプの将軍で、戦闘の前には祈りを欠かさなかった。；基本となる祈り方が定められていて、珠の数・形状もそれに沿って作られている。；神の恩寵を目の当たりにした一行は、跪いて神に祈りを捧げるのだった。；そのような場面は、大きな祈りのシーンであり、喜び歌うシーンではない。；得点後には天に向かって指を指し、同年5月に亡くなった弟に祈りを捧げた。；この祈りは神の前に謙遜の姿勢で立って行わなければならない。；しかし、祈りの話は信仰やロマン派主題を単純に捏造したに過ぎない。；キリスト教において、祈りは信仰生活の中心をなす宗教行為のひとつである。；この祈りを選んだ場合は昼にのみ使用することができる。；西側の外壁であるため西壁とも呼ばれ、祈りの場所となっている。；これらに加えていくつかの祈りが一日の中で行われる。；以上、祈りを勧める場合はいずれも手を合わせることを指導している。；イントロの間、彼女は祈りを捧げるように瞼を閉じて佇立するのである。；これは、朝の祈りの後、村の通りで開催された朝の会議である。；今まで犯してきた罪の贖罪と亡き家族の為に祈りの日々を送っている様である。</t>
        </is>
      </c>
      <c r="J567">
        <f>HYPERLINK("https://www.weblio.jp/content/祈り", "词义详情")</f>
        <v/>
      </c>
      <c r="K567">
        <f>HYPERLINK("https://yourei.jp/祈り", "查看例句")</f>
        <v/>
      </c>
    </row>
    <row r="568">
      <c r="A568" t="inlineStr">
        <is>
          <t>祈る</t>
        </is>
      </c>
      <c r="B568" t="inlineStr">
        <is>
          <t>成功</t>
        </is>
      </c>
      <c r="C568" t="inlineStr">
        <is>
          <t>読み方：いのる
［動ラ五（四）］《動詞「の（宣）る」に接頭語「い（斎）」が付いてできた語》
１神や仏に請い願う。神仏に祈願する。「家内安全を—・る」「—・るようなまなざし」
２心から望む。願う。「成功を—・る」「無事を—・る」
[可能]いのれる</t>
        </is>
      </c>
      <c r="D568" t="inlineStr">
        <is>
          <t>祈るような気持ち(3%)；祈るような思い；祈るべき；祈ることしかでき；祈るような姿勢</t>
        </is>
      </c>
      <c r="E568" t="inlineStr">
        <is>
          <t>思う；期待；希望；求める；望む</t>
        </is>
      </c>
      <c r="F568" t="inlineStr">
        <is>
          <t>切に祈る；心から祈る；祈るばかりです；合わせて祈る；祈るようなまなざし</t>
        </is>
      </c>
      <c r="H568" t="n">
        <v>29</v>
      </c>
      <c r="I568" t="inlineStr">
        <is>
          <t>それまでに、この異常な状況から脱出できることを祈らずにはおれない。；それにしてもドイツの頑張りがそれまで続くようにと祈らざるを得ない。；この八十歳にも近い老人は、何をかくまで熱心に祈っているのであろう。；いずこかの地で、この瓦版を七五郎が手にすることを其角は祈っていた。；私は祖母なぞのよく云ふ神に祈ると云ふのはかう云ふ時なのだと思つた。；彼が祈っているのを見たことはなかったし教会には殆ど来なかった。；私は強ひて思ふまい、また強ひて祈るまい、私の感謝の道は別にあらう。；最後に、彼らの心が与えうるかぎりのやさしい返事をくださいと祈った。；母親たちは子供に怪我が無いようにと祈るような気持ちで送り出している。；「私には祈らなければならない人がいるんです」 ふと、彼女が言った。；全体祈ってゐるのだらうか畑を作ってゐるのだらうかと私は何べんも考へた。；これは聖アントニウスに祈ると治癒できると信じられてきたからである。；お父さまの御返事が、わたしを惨めにさせないようにと祈っております。；私たちは私たちのことを考えて祈ってくれた皆さんに感謝したいです。；しかし彼の声はもはや祈らずしても常にかち得るところの声ではない。；そしてまた竹青のことを言って祈ったが、その日も残る鴉はいなかった。；その度に私は彼が武勲を著わしてくれることを祈らずにはいられなかった。；ここで市民は長く続いたスパルタとの戦争の勝利を祈って女神を祭った。；お師匠さまと一つになって、わたしを祈るとも呪うとも勝手にしなされ。；誰が赦すものかと思いながら祈っているのだから、神さまも驚いたろう。；あたしの赤ちやんが男の子であるやう、聖子姉さまも祈つてゐて下さい。；何か相手の方からいい機会を与えてくれればいいと、ひそかに祈っていた。；あの祈は探索を急いておりましたので、充分なご説明もできませんでした。；もし許可があれば、獅子が家の中に入って踊り、家のために幸運を祈る。；また、いま信頼をもって祈る わたしたちの願いを聞き入れてください。；金代には祈県と改称されたが、元朝が成立すると再び祁県とされている。；彼らは「打ち合う岩」のあいだを無事進むことができるよう神に祈った。；どうかこの子が、いい人間になるようにと、心で祈っていられました。；それ以来山頂に神旗を掲げ豊作などを祈ったのが始まりとされている。</t>
        </is>
      </c>
      <c r="J568">
        <f>HYPERLINK("https://www.weblio.jp/content/祈る", "词义详情")</f>
        <v/>
      </c>
      <c r="K568">
        <f>HYPERLINK("https://yourei.jp/祈る", "查看例句")</f>
        <v/>
      </c>
    </row>
    <row r="569">
      <c r="A569" t="inlineStr">
        <is>
          <t>威張る</t>
        </is>
      </c>
      <c r="B569" t="inlineStr">
        <is>
          <t>成功</t>
        </is>
      </c>
      <c r="C569" t="inlineStr">
        <is>
          <t>読み方：いばる
［動ラ五（四）］威勢を張って偉そうにする。えばる。「部下に—・る」「手柄を—・る」
[可能]いばれる</t>
        </is>
      </c>
      <c r="D569" t="inlineStr">
        <is>
          <t>威張るんです</t>
        </is>
      </c>
      <c r="E569" t="inlineStr">
        <is>
          <t>睥睨する；いばる；権勢を振るう；肩をそびやかす；権勢を誇る</t>
        </is>
      </c>
      <c r="H569" t="n">
        <v>29</v>
      </c>
      <c r="I569" t="inlineStr">
        <is>
          <t>この男はひどく威張った態度で、我々をごみくずか何かのように眺めた。；さすがに威張るだけあって三枝と芳枝とは一度もアウトにならなかった。；そういうことを威張っていえるのも、落第をした経験があるからである。；病院に営業に行くと、馬鹿な医者が威張っているのが我慢出来ないという。；あの頃のタカちゃんは怒ってるか威張ってるかどっちかやったからなあ。；負けながら威張るのが、最大の威張り方だと、やに下っているんだろう。；この家では猫が主人の様にふるまい、牝鶏が主人の様に威張っています。；ご自分でも分かってるでしょうけど、最近のあなたは威張りすぎてるわよ。；会社では威張り散らしている彼も、ここでは嘲笑の対象でしかなかった。；そしてそれはやはり様々の原因があることで威張れないと思います。；そうかといって威張っていないぞというところを見せようとするのでもない。；彼は馬鹿にされされ、自分だけはえらくなった気で威張っていました。；昨夜は大事なものを貸してやったのだからというような顔で威張っている。；お父さんが学務委員などをして威張っているから、先生が俺を憎むのだ。；三人目に入って来たのは、胸を張ったいかにも威張りくさった人物だった。；それまで乗った外国の航空機のお嬢さんなんか肩いからして威張ってる。；日本人たちを連れてきたのは俺なんだぞと威張ることもできる。；そうですよ、夫は決して主人顔して威張りちらすことはありませんでした。；予覚があたったのを誰かに威張ってやりたいような気持ちであった。；と例によって独り言で威張っていたが、その日の内に忘却してしまった。；ところが今それらが成人して朝顔の葉の上に、雑草の間に威張っている。；そこへくるとトラックのばあい、荷物は荷物や、威張るはずがないでしょ。；所長はちょうど書類の山にかこまれて威張りくさっているところだった。；級の上にいるものを見て、なんだ点取がと云って威張っていたくらいである。；だから、あたし、心のうちではいつもお母さんに威張っていましたの。；誇るでもなく威張るでもなく佇む彼女は、泣きそうな顔をしていたと思う。；するとその潰れた屋根の間から、髭を生やした軍人が威張って出て来た。；わたしはその連中を取り巻きにして威張っているいやな子供だったわけですが。；製煙機械としての人間の能力はあまり威張れたものではないらしい。</t>
        </is>
      </c>
      <c r="J569">
        <f>HYPERLINK("https://www.weblio.jp/content/威張る", "词义详情")</f>
        <v/>
      </c>
      <c r="K569">
        <f>HYPERLINK("https://yourei.jp/威張る", "查看例句")</f>
        <v/>
      </c>
    </row>
    <row r="570">
      <c r="A570" t="inlineStr">
        <is>
          <t>違反</t>
        </is>
      </c>
      <c r="B570" t="inlineStr">
        <is>
          <t>成功</t>
        </is>
      </c>
      <c r="C570" t="inlineStr">
        <is>
          <t>読み方：いはん
［名］(スル)法規・協定・契約などにそむくこと。違背。「ルールに—する」「選挙—」</t>
        </is>
      </c>
      <c r="D570" t="inlineStr">
        <is>
          <t>違反する(12%)；違反容疑(3%)；違反事件；違反すれ；違反罪</t>
        </is>
      </c>
      <c r="E570" t="inlineStr">
        <is>
          <t>犯罪；反抗；破る；反する；侵害</t>
        </is>
      </c>
      <c r="F570" t="inlineStr">
        <is>
          <t>ドーピング違反；規律違反；条違反；校則違反；覚醒剤取締法違反</t>
        </is>
      </c>
      <c r="G570" t="inlineStr">
        <is>
          <t>違反行為；違反点数；違反切符；違反者講習；違反建築物</t>
        </is>
      </c>
      <c r="H570" t="n">
        <v>29</v>
      </c>
      <c r="I570" t="inlineStr">
        <is>
          <t>スイスのこの行為は重大な中立違反であるとして国際的な非難を受けた。；重大な違反とされたにもかかわらず、罰金その他の制裁は一切なかった。；憲法裁判所は法律が憲法に違反しているか否かを審査する権限を有する。；点滅式ライトの使用自体は道路交通法等に違反するものではありません。；日ソどちらが先に条約に違反したかを巡っては、様々な主張・見解がある。；石田の随筆の内容は、当時の酒税法に違反する内容であったためである。；プロセッサは動作を監視し、規則に違反したプログラムを停止させる。；同年10月に女性が、不正アクセス禁止法違反などの疑いで逮捕された。；そして厳しい処罰を要求し、違反とは関連のないことにまで判断が影響する。；以下に述べる服務上の義務規定に違反した場合は、懲戒処分の対象となる。；FARC戦闘員への逮捕命令は一時停止されるが、合意違反は処罰される。；法令に違反し、裁判の判決で、刑罰に服することとなった者を収容する。；規律違反の処分は、事実に基づいて慎重におこなわなくてはならない。；出演資格に違反したときは、出演停止もしくは入賞の取り消しがなされる。；義務に違反した都市は同盟から追放されることが明記された。；一般的に戦争犯罪と呼ばれる行為とは、戦時国際法に違反する行為を指す。；また個別的理由も可能であるが、雇用契約の重大な違反に限定される。；この無違反申立ての制度はWTOのもとに設置されたにも引き継がれていく。；また、地方公共団体は、法令に違反してその事務を処理してはならない。；彼は、これらの規範のいずれかに違反している試みを非科学的なものと捉えた。；日本内地では純粋な治安維持法違反で死刑判決を受けた人物はいない。；彼の髪の毛は長すぎたし、腕の太さほどもある軍規違反履歴書を持ってきた。；ただし競技規則には違反を問わないケースも明記されている。；また、その違反時の厳罰対象は外様だけではなく譜代も同じであった。；新契約の販売目的を告げずに契約者宅を訪問することは特定商取引法違反である。；合わせて、歩型違反を判定する靴底の「電子チップ導入」も提案された。；違反した者には50万円以下の罰金が科せられる等を主張している。；記事によれば、薪灰などの販売でも違反であると示唆されている。；こちらも罰則規定があり、違反すると対局料の減額などの処分を受ける。</t>
        </is>
      </c>
      <c r="J570">
        <f>HYPERLINK("https://www.weblio.jp/content/違反", "词义详情")</f>
        <v/>
      </c>
      <c r="K570">
        <f>HYPERLINK("https://yourei.jp/違反", "查看例句")</f>
        <v/>
      </c>
    </row>
    <row r="571">
      <c r="A571" t="inlineStr">
        <is>
          <t>鼾</t>
        </is>
      </c>
      <c r="B571" t="inlineStr">
        <is>
          <t>成功</t>
        </is>
      </c>
      <c r="C571" t="inlineStr">
        <is>
          <t>読み方：いびき
睡眠中、呼吸に伴って鼻や口からうるさい音を出すこと。また、その音。気道、特に軟口蓋(なんこうがい)の振動によって出る。「—をかく」</t>
        </is>
      </c>
      <c r="D571" t="inlineStr">
        <is>
          <t>鼾をかきはじめ(3%)；鼾をかき始め；鼾息；鼾睡；鼾聲</t>
        </is>
      </c>
      <c r="E571" t="inlineStr">
        <is>
          <t>いびき；歯ぎしり；寝言</t>
        </is>
      </c>
      <c r="F571" t="inlineStr">
        <is>
          <t>大きな鼾；軽い鼾；高い鼾；すぐに鼾；かすかな鼾</t>
        </is>
      </c>
      <c r="H571" t="n">
        <v>29</v>
      </c>
      <c r="I571" t="inlineStr">
        <is>
          <t>すぐ軽い鼾が聞こえて来たが、彼の姿勢はいささかも崩れていなかった。；すると右手の絵馬堂から快よさそうな鼾の声が二人の耳へ聞こえて来た。；ああして豚のようによく眠り、大きな口をあけて鼾をかくことができる。；お前は、小さい時から大鼾きをかく子であった事を忘れてはいけない。；あの時、いさは鼾をかいていたから、てっきり眠っていると思っていた。；藤上はただ弁護士を付けろとだけ繰り返し、大鼾をかいて寝てしまった。；そして、そのまま雷の音のような鼾をかいて寝入ってしまったのである。；不思議なことに、鼾は離れてきくより身近できいたほうが苦にならない。；キャンピオンのベッドは隣にあって、四五分の後には彼の鼾がきこえた。；さう云つてゐるうちに爺さんはもう鼾の音をさせてゐるのだつた。；家斉は、大鼾をかいているが、いままでの鼾と違って、声が異様である。；婆やの断続する大鼾の絶え間に、柱に掛けられた時計が時を刻んでいた。；それにもかかわらず、彼は、眠ったかと思うと、もう鼾をかいている。；いやことによると鼾ではなくほんとうに魘されていたのかもしれない。；混乱したまま耳を傾けているうちに、聞きなれた小太郎の鼾がしはじめた。；鼾をかいて眠りつづけ、意識がもどったときは手足の自由が麻痺していた。；彼の隣に、ヒステリーで彼を生涯苦しめた妻が鼾をかいて眠っていた。；弥兵衛は疲れたような鼾を聞かせて、死んだようにぐっすりと眠っていた。；それでも吉田君は気持がよさそうにぐうぐうと鼾を立てながら眠っている。；ほかの家族はぐっすり眠っているらしく、小さな鼾ばかりが聞こえてくる。；私の前に老人の男が一人高い鼾をかいて横になつてゐた。；暗闇の中なので、はっきりとはわからないが、男の大きな鼾がきこえる。；意地の悪い婆さんは長椅子に腰を下ろして安らかに鼾をかいております。；汽車は鼾を物ともせず、同じような響をたてて、丘の間を走ってゆく。；こんなとこへ放ったらかされてるのに、グーグー鼾をかいて寝てるがな。；開け放した座敷の向うに爺さんが一人鼾をかいて寝ているだけである。；二人は、船室の絨毯の上に横になると、すぐ鼾をかいて眠ってしまった。；夜廻りの足音がまた近づいて来たので、二人はそっと離れて、空鼾を立てた。；そのとき実際、自分の言葉を遮る鼾の音が聞えたからでございます。</t>
        </is>
      </c>
      <c r="J571">
        <f>HYPERLINK("https://www.weblio.jp/content/鼾", "词义详情")</f>
        <v/>
      </c>
      <c r="K571">
        <f>HYPERLINK("https://yourei.jp/鼾", "查看例句")</f>
        <v/>
      </c>
    </row>
    <row r="572">
      <c r="A572" t="inlineStr">
        <is>
          <t>衣服</t>
        </is>
      </c>
      <c r="B572" t="inlineStr">
        <is>
          <t>成功</t>
        </is>
      </c>
      <c r="C572" t="inlineStr">
        <is>
          <t>読み方：いふく
からだにまとうもの。着物。衣装。</t>
        </is>
      </c>
      <c r="D572" t="inlineStr">
        <is>
          <t>衣服類；衣服を改めて；衣服箱；衣服令；衣服を剥ぎ取ら</t>
        </is>
      </c>
      <c r="E572" t="inlineStr">
        <is>
          <t>服；着物；衣；衣装；洋服</t>
        </is>
      </c>
      <c r="F572" t="inlineStr">
        <is>
          <t>白い衣服；粗末な衣服；黒い衣服；着用する衣服；赤い衣服</t>
        </is>
      </c>
      <c r="H572" t="n">
        <v>29</v>
      </c>
      <c r="I572" t="inlineStr">
        <is>
          <t>裸の人物よりも衣服を着用した人物のほうがイメージが強いからである。；同じく、一部の衣服のデザインが保護されることが特に定められている。；フードは何かから頭を守るために着用され、元々は機能的な衣服だった。；和服の特徴を表す言葉を中心に、衣服の様式を表す言葉をここに集めた。；衣服デザインが美術誌のカバーストーリーとなったのは前代未聞であった。；これは衣服に別の尿検体等を隠し持つことがないようにするためである。；この命令では、白い衣服の場合は十字の周囲を黒にすることとされた。；さらにタイトルロゴや一部の衣服・武器のデザインも原作と異なっている。；僧衣から派生したが、特に衣服の柄や生地の趣味にその影響が見られる。；本作は、舞台となった時代の衣服や装飾などを丹念に調べた上で製作された。；これらの技法を用いた衣服や旗は葛飾北斎の作品などに見ることができる。；水に濡れた食器や衣服は、乾燥機を使わなくても自然に乾くからである。；当初、動物の飼育は、食肉および衣服製作のために行われたと思われる。；複数の付属品の衣装があり、それはほぼ現実の人間の衣服に似せている。；さらには、衣服等を着用していた場合でも、露出と評価される場合がある。；衣服は成長して着用できなくなれば、親族間等で使い回しされていた。；アバターとは仮想上のキャラクターまたは衣服等のパーツのことである。；一種のパンツで面積的には裸に近いが、意識は衣服を着ているのと同じである。；また紡績技術も発達し簡易な道具を用いた衣服の製作を行っていた。；また、清から伝わった蝦夷錦などの衣服を当初はアイヌを介し輸入した。；侲子たちは官奴がその役にあたるとされており青紺色の衣服をまとう。；画中のベラスケスの黒い衣服の胸には赤い十字の紋章が描かれている。；衣服のほんの小さな一片でも回転部に接触すると簡単に巻き込まれてしまう。；本体にクリップが一体化されたデザインで、簡単に衣服等に取り付けられる。；名前は江戸時代中期から見られ、その由来は貴族の衣服の萌黄色に近いため。；容疑者の衣服に先端部分を引っ掛けて絡め取る事で相手の行動を封じる。；日常的に陸上で身につけている衣服を着たまま、水の中で泳ぐことを言う。；特にこれらの生贄では、装飾された衣服に包まれたミイラも発見されている。；衣服には金色の縦縞が描かれ、正面中央や顔の左右には文字が記入される。</t>
        </is>
      </c>
      <c r="J572">
        <f>HYPERLINK("https://www.weblio.jp/content/衣服", "词义详情")</f>
        <v/>
      </c>
      <c r="K572">
        <f>HYPERLINK("https://yourei.jp/衣服", "查看例句")</f>
        <v/>
      </c>
    </row>
    <row r="573">
      <c r="A573" t="inlineStr">
        <is>
          <t>今</t>
        </is>
      </c>
      <c r="B573" t="inlineStr">
        <is>
          <t>成功</t>
        </is>
      </c>
      <c r="C573" t="inlineStr">
        <is>
          <t>読み方：いま
［名］（副詞的にも用いる）
１過去と未来との境になる時。現在。ただいま。
㋐時間の流れをとらえた瞬間。この時。「—はちょうど一〇時だ」「—は手が離せない」「—考えているところだ」
㋑近い過去から近い未来へ継続している現在の時。目下。「—は学生です」「—も変わらない友情」「桜は—花盛りだ」
２現代。現今。今の世。「—は科学万能の時代だ」「—の若者」「—はやりのファッション」
３ごく近い未来。もうすぐに。やがて。じきに。「—終わるから待っていてくれ」「—行きます」
４ごく近い過去。少し前に。いましがた。さっき。「—の人は誰かしら」「—帰ったところだ」
５さらに。そのうえ。もう。副詞的に用いる。「—一度考えてみる」「—しばらくの間」「—ひとり参ります」
［接頭］主として人を表す名詞に付く。
１現在の、当世の、という意を表す。「—小町」「—浦島」
２新しい、という意を表す。「—参り」</t>
        </is>
      </c>
      <c r="D573" t="inlineStr">
        <is>
          <t>今大会；今なお；今ここ；今ごろ；今まさに</t>
        </is>
      </c>
      <c r="E573" t="inlineStr">
        <is>
          <t>現在；実際；今日；現代；ちょうど</t>
        </is>
      </c>
      <c r="F573" t="inlineStr">
        <is>
          <t>今までずっと；今でもまだ；今思い出し；今でもはっきり；今輔</t>
        </is>
      </c>
      <c r="G573" t="inlineStr">
        <is>
          <t>今度；今回；今後；今夜；今年</t>
        </is>
      </c>
      <c r="H573" t="n">
        <v>29</v>
      </c>
      <c r="I573" t="inlineStr">
        <is>
          <t>駅構内・駅舎は広大であるが今では使われず閉鎖されている区画が多い。；制定過程に外国人が関与した点については、議論が今もなお続いている。；このように多くの研究があるものの、明確な起源は今なお判明していない。；でも、今、自分でやりたいこともあって、それが僕の目標でもあるんだ。；その姿は今から1000年ほど前までは維持されていたと考えられる。；その時の持ち手がついているため、今のような形になったとも言われている。；今までの日本のSF映画は、子供を対象として簡単に作られすぎていた。；かつての難所越えの遺構でもあったが今ではその面影もなくなっている。；そのような急激な変化は今も続いているが、常にそうだったわけではない。；恐怖と恐れと共に人の影にいた彼らが人間との戦争を始め、今に至る。；そして、彼こそ今まで待ち望んできた真実の恋の相手ではないかと考える。；まだ無数の未発見の矮小銀河が存在し、今も頻繁に新しく発見されている。；こうした現象を引き起こす進化の様式は、今では共進化と呼ばれている。；今まで生きた誰よりも多く世界中の人々に福音を語ったといわれる。；今もケーブルテレビ専門のチャンネルがあり、毎日一日中放送している。；マルクスが小学校教育を受けたという記録は今のところ発見されていない。；しかし、問われるたびに違った答えを話したため、今なお混乱がある。；浅野川電気鉄道を前身とすることから今でも浅電の愛称で呼ばれている。；この言語は今では様々なコンピュータで使用可能となっている。；またそれが残っている場合でも、今生きている素材のように扱うことは出来ない。；写真はオーストラリア・シャーク湾で今も生きているストロマトライト。；一方、現在バーブ教を称する一派はとも呼ばれ今もイランに残るという。；各都市ごとに発展してきた歴史をもつことから今でもそれぞれの地名が残り使われている。；今また、彼は悪と戦争から手を引くことはないと証明している。；彼らの説は完全に受け入れられたわけではなく、この問題は今も議論が続いている。；コンクリートの土台や鉄骨などは、今も当時の場所に残されている()。；この点から都市計画が提案されており、計画は今も進められている。；以前は発泡スチロール製容器が多用されたが、今はほとんど使われない。；両賞を連続受賞した作家は今のところカードしかいない。</t>
        </is>
      </c>
      <c r="J573">
        <f>HYPERLINK("https://www.weblio.jp/content/今", "词义详情")</f>
        <v/>
      </c>
      <c r="K573">
        <f>HYPERLINK("https://yourei.jp/今", "查看例句")</f>
        <v/>
      </c>
    </row>
    <row r="574">
      <c r="A574" t="inlineStr">
        <is>
          <t>居間</t>
        </is>
      </c>
      <c r="B574" t="inlineStr">
        <is>
          <t>成功</t>
        </is>
      </c>
      <c r="C574" t="inlineStr">
        <is>
          <t>読み方：いま
家族がふだんいる部屋。居室(きょしつ)。</t>
        </is>
      </c>
      <c r="D574" t="inlineStr">
        <is>
          <t>居間兼寝室；居間兼食堂；居間兼客間；居間兼用；居間兼台所</t>
        </is>
      </c>
      <c r="E574" t="inlineStr">
        <is>
          <t>茶の間；居室；リビングルーム；リヴィングルーム</t>
        </is>
      </c>
      <c r="F574" t="inlineStr">
        <is>
          <t>居間兼；広い居間；御居間；小さな居間；兼居間</t>
        </is>
      </c>
      <c r="H574" t="n">
        <v>29</v>
      </c>
      <c r="I574" t="inlineStr">
        <is>
          <t>そのあとは書見をするために居間に入るか時には庭へ散歩に出かけます。；ずっと曇り空であったが、太陽が雲の合い間から顔を出したのであろう。；その合い間に女性たちは食べるもんも食べないで、節約するんだそうだ。；最初に女御の居間のほうへ訪ねて行って、話しているうちに夜がふけた。；これから私の居間でお茶でも入れて、ゆっくりとお話しいたしましょう。；父の居間へ入ってゆくと、母が一人だけ眠そうな顔をして坐っていた。；私の部屋はこのアパートの二階にあり、居間と寝室の二室を有している。；その二階が熊谷の居間であることを知るには、たった一と目で十分でした。；彼らの間のだれが、自分の居間では褌一枚にならなかったと言えるか。；十時ごろお着替えをしておりて行くと、パパとママが居間で待っていた。；エルシを脇に伴い居間に戻って来たときには違った男になっていた。；私は、撮影の合い間を見て元自衛官のこの新人男優にも話を聞いてみた。；しばらく御自身のお居間でお寝みになってから起きて新夫人の文をお書きになった。；二階の奥の居間に、はなやかな女の蒲団が二つしいてあるのを見つけた。；今生きている者の目の黒い間にすべてのことが起こる、というのです。；二階にあるいちばん良い部屋を二室、自分の居間と寝室に改めました。；椅子を立った節子は、グラスを持ったまま居間を端から端まで歩いた。；居間のとなりに長四畳があってそこに父の大きいデスクが置いてある。；ここは宿の娘の居間ときまっていて、丸窓の障子は夏も閉じられてあった。；これは両親と自分との居間の楣間に掲げられたままで長い年月を経た。；彼は久しい間、彼の友である二人の愛書家に蔵書を見せる約束があった。；たくさんのことが起こったが、それはほんの短い間のことだったのだ。；けれども、また、この心のゆるみで久しい間の疲れが一ときに出て來た。；主人は六畳の居間に、例の通り大きな瀬戸物の丸火鉢を抱え込んでいた。；だから村重が教勢拡張に寄与したのは、比較的短かい間のことであった。；同時にまた彼女の居間の壁には一週に必ず一枚ずつ新しい油画がかかり出した。；女王の耳には人声や音楽の合い間に静かな水の音が聞こえている。；私の目の黒い間は、東京で教育して立派に大學まで修業させて見せるから。；たとえほんの短い間でも、現実を支配するほど強いのではないかしら?</t>
        </is>
      </c>
      <c r="J574">
        <f>HYPERLINK("https://www.weblio.jp/content/居間", "词义详情")</f>
        <v/>
      </c>
      <c r="K574">
        <f>HYPERLINK("https://yourei.jp/居間", "查看例句")</f>
        <v/>
      </c>
    </row>
    <row r="575">
      <c r="A575" t="inlineStr">
        <is>
          <t>今一</t>
        </is>
      </c>
      <c r="B575" t="inlineStr">
        <is>
          <t>成功</t>
        </is>
      </c>
      <c r="C575" t="inlineStr">
        <is>
          <t>読み方：いまいち
［副］《「今一つ」から》少しだけ不足しているさま。もう一息。「—迫力がない」「調子は—だ」</t>
        </is>
      </c>
      <c r="D575" t="inlineStr">
        <is>
          <t>今一歩(53%)；今一瞬(5%)；今一押</t>
        </is>
      </c>
      <c r="E575" t="inlineStr">
        <is>
          <t>鈍い；今一つ；冴えない；物足りない；野暮な</t>
        </is>
      </c>
      <c r="G575" t="inlineStr">
        <is>
          <t>今一生</t>
        </is>
      </c>
      <c r="H575" t="n">
        <v>29</v>
      </c>
      <c r="I575" t="inlineStr">
        <is>
          <t>気が強くて性格の良い美人は、今一歩のところで運を逃すことが多い。；しかし、残念ながら長編を支え得る物語作りの点で、今一歩の感があった。；今一押しすれば、勝利はこちらのものになるのは明らかだった。；ただし、製品的には酷似したデザインのものが多かったため人気は今一だった。；明らかに、係官にも今一歩、つき進むことの出来ないものがあったのである。；それは外でもございませんが、今一人志村をお連下さいませんか。；今一雨来たならば、あの花がぽたぽた落ちるであろう、といったのである。；あなたはぼくが気が狂っているのではないかと今一瞬思われたようだけど別に変なことではないんですよ。；家の中ではランプが今一張ついた、これが八幡神社の入口である。；チンパンジーの社会が今一歩平和な社会へと近づくためには、どんな解決策をとればよいのだろう。；「今一歩」の時のエンディングでのみ登場する前作のキャラクターも存在する。；この次に今一歩進めて具體的消極的となるには、法律より外ない。；白状の序に今一歩進んで言へば、己はあの唇に接吻する事も厭ではなかつた。；既にアフリカ航路を開拓しインドまで今一歩に迫っていたポルトガルはこれを拒否する。；今一部屋もあったらと、私たちは言い暮らしてきた。；父親のことを訊こうと今一瞬思ったのだが、腹が立ったついでに訊くのを忘れてしまっていた。；併しどうしても分からぬので、今一應尋ねて先方の腹を探つてみようと決心した。；そうしてあなたは、今一歩を進めて、もう一度私を会長に推薦して下さることが出来ないでしょうか。；もしこの男の着米が今一歩早かったならば、船は決してリヴァプールの港を見ることが出来なかっただろうに。；譲は今一思ひに出ないとまた暫く出られないと思つた。；讓は今一思いに出ないとまた暫く出られないと思った。；お鳥が最終電車に間に合はないほどの時刻に歸つて來たことが、今一囘あつた。；今一休和尚の言った言葉を考えていたのだが、あの位はっきり考えられたのだから、俺の頭は確かにはっきりしている。；とうとう、真珠姫に今一歩届かないまま、終点へと到着してしまった。；まさに今一歩のところだったのである。；今一歩進めて見れば、三種祝詞に属した神と言ふ事になる。；米国側の放送等からみても、敵は苦悩している状況であるから「今一押し」の感が少くない。；直線では伸びる気配はあったものの今一歩本来の伸びを欠いてウオッカの7着に敗れた。；そして憧れていた人に見えるのも今一瞬の後である。</t>
        </is>
      </c>
      <c r="J575">
        <f>HYPERLINK("https://www.weblio.jp/content/今一", "词义详情")</f>
        <v/>
      </c>
      <c r="K575">
        <f>HYPERLINK("https://yourei.jp/今一", "查看例句")</f>
        <v/>
      </c>
    </row>
    <row r="576">
      <c r="A576" t="inlineStr">
        <is>
          <t>今頃</t>
        </is>
      </c>
      <c r="B576" t="inlineStr">
        <is>
          <t>成功</t>
        </is>
      </c>
      <c r="C576" t="inlineStr">
        <is>
          <t>読み方：いまごろ
１だいたい今と同じ時期や時刻。今時分。「去年の—」
２時間に遅れたとき、意外なときなどに、あきれた気持ちをこめて用いる語。今時分。今どき。「—行っても売り切れだよ」</t>
        </is>
      </c>
      <c r="D576" t="inlineStr">
        <is>
          <t>今頃どう；今頃どこ；今頃何；今頃こんな；今頃そんな</t>
        </is>
      </c>
      <c r="F576" t="inlineStr">
        <is>
          <t>今頃生き；今頃気づい；今頃こんな所；今頃どうして；今頃そんなこと</t>
        </is>
      </c>
      <c r="H576" t="n">
        <v>29</v>
      </c>
      <c r="I576" t="inlineStr">
        <is>
          <t>あれほど探していなかったんだもの、今頃まで隠れているはずはないよ。；自分は十年も前に読み始めた本をやっと今頃になって訳了したのである。；今頃、気が付いて、大慌てでこちらに向かっているのではないだろうか。；私あなたにお目にかからなかったら今頃はどうなっていたことでしょう。；だって今頃は友人もぼくも脱走計画を決行していたかもしれないからね。；今頃、誰がここを訪れたのだろうと訝っていると、聞き慣れた声がした。；今頃はあなたはもう東京の明るい町を歩いてゐらつしやるでせうね。；「おまえは今頃なんでこんな所に忍んでいたのだ」 お冬は黙っていた。；今頃はロンドンに向けて送られているはずの家族の上に思いが及んだ。；その死んだ照子が、今頃自動車に乗って、町を走っている筈はないのだ。；もつと早く起きて今頃は山にかかつてゐなければならぬ頃だと思つた。；カルの部下となつてゐたあの八人は今頃はエライ制敗を受けてるだらう。；明日の今頃は大いに言えるかも知れないし、逆に言えないかも知れません。；その中に親友が一人いました、でなきゃ今頃ひどいことになっています。；しかし瓔子が何故今頃になってそれを持ち出さなければならなかったか。；事によると今頃は塔を引摺りながら天まで上って行ったかも知れない。；まさかあんな格好で、今頃、家伝書の勉強をしに行ったのではあるまい。；さっきまでは何ともなかったのに、今頃になって躯が反応を始めたようだ。；津田がお延を愛しているかいないかが今頃どうして問題になるのだろう。；奴は今頃町にいて、たぶんこの情報をはしこい胴元に売っているだろう。；古書店の主人は今頃小料理屋のおかみとどんな話をつけているだろうか。；だとしたら、今頃になって何のためにこんなメールを送ってくるのか?；そして、ふと彼は谷口は今頃どこでなにしているのだろうかと考えた。；あの紅茶をのんだら、今頃はもう死体となつているところだつたでしよう。；もしコニーがいなかったら、今頃どうなっていたか考えるだけで震える。；私は辛うじて持っているが、今頃手に入れるのはまず出来ない相談だろう。；あとのもう一人は、今頃やはりナカと同じ田圃に出ている竹爺の女房だ。；きみが男だったら、今頃レッドルース病院へ運ばれているところですよ。；今頃はまだ一人か二人たりないのではないかと思っていたが。</t>
        </is>
      </c>
      <c r="J576">
        <f>HYPERLINK("https://www.weblio.jp/content/今頃", "词义详情")</f>
        <v/>
      </c>
      <c r="K576">
        <f>HYPERLINK("https://yourei.jp/今頃", "查看例句")</f>
        <v/>
      </c>
    </row>
    <row r="577">
      <c r="A577" t="inlineStr">
        <is>
          <t>今更</t>
        </is>
      </c>
      <c r="B577" t="inlineStr">
        <is>
          <t>成功</t>
        </is>
      </c>
      <c r="C577" t="inlineStr">
        <is>
          <t>読み方：いまさら
［副］
１もっと早ければともかく、今となっては遅すぎる、という意を表す。今ごろになって。「—何を言っているんだ」
２今新しく。今改めて。「—注意するまでもない」
３初めて。
「—の人などのある時」〈徒然・七八〉
［形動ナリ］
１今になってはだめだ。
「—なり、心やすきさまにてこそ」〈源・浮舟〉
２今初めてであるさま。目新しいさま。
「—に若々しき心地する御簾(みす)の前かな」〈源・朝顔〉</t>
        </is>
      </c>
      <c r="D577" t="inlineStr">
        <is>
          <t>今更どうする；今更こんな；今更驚く；今更言う；今更説明</t>
        </is>
      </c>
      <c r="E577" t="inlineStr">
        <is>
          <t>今さら</t>
        </is>
      </c>
      <c r="F577" t="inlineStr">
        <is>
          <t>今更どう；今更悔；今更申す；今更後悔；今更事新しく</t>
        </is>
      </c>
      <c r="G577" t="inlineStr">
        <is>
          <t>今更らしい</t>
        </is>
      </c>
      <c r="H577" t="n">
        <v>29</v>
      </c>
      <c r="I577" t="inlineStr">
        <is>
          <t>これもみんな八橋のお庇であると、お光は今更のように有難がっていた。；年も三十を越しているから、今更自分を振り捨てて行く気遣はまずない。；と、私の頭には今更のやうに人間の一生の果敢なさが感じられて來た。；実に大変な人と友達になってしまったと今更ながら当惑せざるを得なかった。；生れてもいない昔のことを今更何と言っても仕方あるまいに、そこが酒の上だ。；まだいろいろあつたやうにも思はれるが、今更どうすることも出來ない。；かう云ふものが出来たのだな、と私は今更驚きながら橋の方へ行ってみた。；今更、戦って見たところで、とりこめられてたちまちやられそうである。；宗助も今更妻からそれを聞かせられる必要は少しも認めていなかったのである。；宗助も今更妻からそれを聞かせられる必要は少しも認めてゐなかつたのである。；彼は今更のように悲しくなって、思わず涙をぽたぽたと膝の上に落した。；知り合いが見送りに来ていないかと、首藤は今更ながら岸を探してみた。；しかしわたしは画架に向うと、今更のように疲れていることを感じた。；そして私は今更ながら言葉と存在との間の密接な関係を思はずにはゐられません。；しかし思い出してみても今更どうにもならないし、どうかする必要もなかった。；何といって見た所で、済んでしまったことだ、今更どうなるものじゃない。；それに、今更花婿になるからといって、恥しがる柄でもないじゃないか。；そんなことを考えながら、今更の如く先生の達識を思い見るのである。；今更のやうに近所の者が頼まれて夜通しにも行くといふことに成つた。；今更泣いて騒ぐくらいなら貴様は一体誰に頼まれて犬の夫人になったのだ?；理窟と感情との密に相関係するは前にもいへり、今更繰り返すを用ゐず。；三平は此の様子を見て、吃驚しましたが、今更止める訳にも行きません。；棺を詰めるのは花にしてくれといつて置くのを忘れたから今更仕方が無い。；そして、拙い言葉で今更のやうに女の貞操に就いて、娘を諫めたりした。；私は今更ら人間と自然との恐ろしい力を感得せざるを得なかつた。；棺を詰めるのは花にしてくれといって置くのを忘れたから今更仕方がない。；足許から鳥が立ったような心理状態になったが、今更何とも方法がない。；瑠璃子は、今更ながら、自分の父を頼もしく思わずにはいられなかった。；それと同時に、今更のように思い浮かんだのは震災十四周年の当日である。</t>
        </is>
      </c>
      <c r="J577">
        <f>HYPERLINK("https://www.weblio.jp/content/今更", "词义详情")</f>
        <v/>
      </c>
      <c r="K577">
        <f>HYPERLINK("https://yourei.jp/今更", "查看例句")</f>
        <v/>
      </c>
    </row>
    <row r="578">
      <c r="A578" t="inlineStr">
        <is>
          <t>戒める</t>
        </is>
      </c>
      <c r="B578" t="inlineStr">
        <is>
          <t>成功</t>
        </is>
      </c>
      <c r="C578" t="inlineStr">
        <is>
          <t>読み方：いましめる
［動マ下一］［文］いまし・む［マ下二］
１まちがいをしないように前もって注意する。教えさとす。「気を緩めないよう—・める」
２してはいけないと命ずる。禁止する。「肉食を—・める」
３同じ過ちを犯さないようにしかる。「嘘をついた子供を—・める」
４警戒する。
「町々を—・めて歩く巡査の靴音」〈藤村・新生〉
５（縛める）自由がきかないようにしばる。「盗人を荒縄で—・める」
６忌み嫌う。
「人の—・むる五月(さつき)は去(い)ぬ」〈宇津保・藤原の君〉</t>
        </is>
      </c>
      <c r="D578" t="inlineStr">
        <is>
          <t>注意；警告；忠告；制する；叱る</t>
        </is>
      </c>
      <c r="H578" t="n">
        <v>29</v>
      </c>
      <c r="I578" t="inlineStr">
        <is>
          <t>無理をすることを戒める意味もあるようだが、その方はわたしは今知らぬ。；過ぎ去った日々はもう帰ってこないと涙を抑え己を戒めるのであった。；驚きながらもその手を取ったエドガーは、どうかしていると自分を戒める。；まだ十六歳ではないか、と自分を戒めることもないわけではなかった。；そういうことで学問をやってもアカンぞ、と戒めるためにいったんですね。；表面で従っておいて後からあれこれ言うのは、古人の戒めるところである。；または隠し婆さんに連れて行かれるといって、小児を戒める親がまだ多い。；そんなとき、誰かが王を戒める役目にならねばならないと思うんだ。；村で生まれ育った少年のまわりで、特に強くそう戒めるのは父方の祖母だった。；今から考えてみるとあの事故はぼくを戒めるために計画された業の仕業だったと思っている。；あなたは又日々百人の奴隷らがあなたを戒めることにもついに馴れっこになることができます。；恥ずべきこのわたくしは、己をムチ打ちの刑で戒めることにいたします!；だがそれを素直に喜んでいいのだろうかと、自分を戒める心理がどこかにある。；日本の女に欧米の例を引いて結婚を避ける風を戒める人のあるのは大早計である。；王府から贅沢品所持を戒める通達をいくら発布してもまるで効果がない。；感情に流されてはならないと戒めるものが心の中にあった。；酒筒やサイコロは村人の酒や博打を戒めるためのものだと考えられる。；東京での鯨飲馬食は体力を削っているらしい、と自分を戒める思いだった。；黒い汚濁は外界から伸びていて、男を戒める鎖のようでもあった。；自らの心を戒めるように香苗は急いで唇を引き結んだ。；これは「口無し」に通じ、ここにも第三者の口出しを戒めるものがある。；これは日本の女性にありがちな粗食・小食を戒める言葉でもあった。；「馬鹿なことをするなよ、ニール」彼は私に戒めるようにささやいた。；秋葉山から火事は、人を戒める立場のものが自ら過ちを犯してしまうこと。；孔子は彼が勇敢であること、大胆であることを戒めることが多かった。；弁護してくれるはずの大矢班長が先頭にたって私の心を戒めることにかかっていたからである。；若さに任せての奔放な行為は、それを諫め戒める者がいなかったからである。；「まだ断定はできないがね」 村上は若い江川を戒めるように言った。；それでもリディアは、少しずつエドガーに気を許してしまいそうな自分を戒める。</t>
        </is>
      </c>
      <c r="J578">
        <f>HYPERLINK("https://www.weblio.jp/content/戒める", "词义详情")</f>
        <v/>
      </c>
      <c r="K578">
        <f>HYPERLINK("https://yourei.jp/戒める", "查看例句")</f>
        <v/>
      </c>
    </row>
    <row r="579">
      <c r="A579" t="inlineStr">
        <is>
          <t>未だ</t>
        </is>
      </c>
      <c r="B579" t="inlineStr">
        <is>
          <t>成功</t>
        </is>
      </c>
      <c r="C579" t="inlineStr">
        <is>
          <t>読み方：いまだ
［副］
１今になってもまだ実現していないさま。「—はっきりしない事故原因」
２以前のままであるさま。「周囲の山々は—冬の装いである」
[補説]漢文訓読で「未」を「いまだ…ず」と読むことから、打消しの語を伴って用いられることが多い。「いま」は「今」、「だ」は「だに」の「だ」とも、副詞をつくる接尾語「だ」ともいわれる。</t>
        </is>
      </c>
      <c r="D579" t="inlineStr">
        <is>
          <t>未だ知ら；未だ全く；未だはっきり；未だ考へない；未だ不明な点</t>
        </is>
      </c>
      <c r="E579" t="inlineStr">
        <is>
          <t>なお；尚；依然として；いまだ；いまだに</t>
        </is>
      </c>
      <c r="F579" t="inlineStr">
        <is>
          <t>未だ発展途上；未だ知るべから；未だ確認；未だ曽て；未だ嘗つて</t>
        </is>
      </c>
      <c r="G579" t="inlineStr">
        <is>
          <t>未だ嘗て；未だ未だ；未だしも</t>
        </is>
      </c>
      <c r="H579" t="n">
        <v>29</v>
      </c>
      <c r="I579" t="inlineStr">
        <is>
          <t>同号では検討は続けているとも書かれているが、未だ実現はしていない。；一方で窒素酸化物の濃度は多くの国で未だ大きな低下は見られていない。；時間を直線に喩えると、未来は時間線の中で未だ起きていない部分を指す。；未だ開発が継続されている命令群であり、さらなる拡張が予定されている。；また、各集落は投降してきたばかりで、未だ人心は安定しておりません。；これは合同数問題の一部であるが、これさえも未だ証明されていない。；しかし未だ企画は承認されておらず流れてしまうとギャラも払えない。；どう見積もっても、強いAIに向けての実際の進歩は未だ限定的である。；未だ実現に至っていない制度であるが、今後の普及が期待される。；アウトブレイクとなることは稀であるが、未だ世界各地で起こっている。；捕えた船の船長が未だ赦免の期限は切れていないと語ったからである。；しかし田沢湖の水質は目標に未だ届かず、回復の努力が続けられている。；日本の対人口医師数が他の先進国の平均に追いついたことは未だかつてない。；いくらか調査が行われたが、遺体は見つからず、その後は未だ不明である。；しかしエンコードには未だ再生時間の数倍の時間がかかっていた。；しかしながら、ルワンダ虐殺への参加の程度は未だ明らかとなっていない。；DTIME や他の計算資源の表現能力の関係は未だよく分かっていない。；地元の人々はロザリアの魂が体に帰ってきていると信じているが結論は未だ出ていない。；老いながらも未だ現役であり、得意の忍術はさらに磨きがかかっている。；サクソ自身がどのような名を冠していたかについては未だ分かっていない。；時代・地域によっても多様であり、未だ解明されていない部分が多い。；破壊が進んでいて、本来の規模については未だよく分かっていない。；ジョンは自らの所領を維持しなければならず、未だ王ではなかった。；飼育下で飼い主を狙って撃つような事故は未だ起こったことが無いらしい。；ただし未だ、尖閣のように国家として領土要求をしている訳ではない。；恒常的に新しい種が発見されるが、発見されても未だ分類されていないものもある。；これも早川殿が未だ出産できる年齢ではなかったためとされている。；それらは我々の目に触れないところで行われるため、詳細は未だ判明しない部分も多い。；さまざまな説が唱えられているが未だ原因は不明である。</t>
        </is>
      </c>
      <c r="J579">
        <f>HYPERLINK("https://www.weblio.jp/content/未だ", "词义详情")</f>
        <v/>
      </c>
      <c r="K579">
        <f>HYPERLINK("https://yourei.jp/未だ", "查看例句")</f>
        <v/>
      </c>
    </row>
    <row r="580">
      <c r="A580" t="inlineStr">
        <is>
          <t>未だに</t>
        </is>
      </c>
      <c r="B580" t="inlineStr">
        <is>
          <t>成功</t>
        </is>
      </c>
      <c r="C580" t="inlineStr">
        <is>
          <t>読み方：いまだに
［副］今になってもまだ。今もなお。「—雨が降っている」「—忘れられない」
[補説] 「今だに」と書くのは誤り。</t>
        </is>
      </c>
      <c r="D580" t="inlineStr">
        <is>
          <t>未だに破ら；未だに多く；未だにはっきり；未だに忘れ；未だに信じ</t>
        </is>
      </c>
      <c r="E580" t="inlineStr">
        <is>
          <t>なお；尚；依然として；未だ；いまだに</t>
        </is>
      </c>
      <c r="F580" t="inlineStr">
        <is>
          <t>未だに覚え；未だに不明確；未だに確認；未だに根強く；未だに慣れる</t>
        </is>
      </c>
      <c r="H580" t="n">
        <v>29</v>
      </c>
      <c r="I580" t="inlineStr">
        <is>
          <t>これは力の底が未だに分からない良守そのものを表しているとも言える。；だが、ここに来て自分の願いを叶えられた者は未だにいないのだという。；ヤロスラーヴナは捕虜となった自分の夫と息子を未だに待ち続けていた。；年齢に反して未だに魅力的な肉体と長いブルネットの髪を維持している。；誰がこの文書を作成し掲示したのかは未だに明らかになってはいない。；グライダーパイロットの初等訓練のために未だに広く使われ続けている。；賦役の形態は最近まで米国に存在し、またカナダでは未だに存在している。；この男性の正体は未だに不明であるが、夫の家茂である可能性が強い。；舗装は完了しているものの、多くの区間は未だに狭隘道路のままである。；未開の地と言われどのような種が住んでいるか未だにすべて確認されていない。；しかし一人あたりの生活支出は未だにイラン・イラク戦争前よりも低い。；このような貿易にあたっての法令上の障壁撤廃は未だに完了していない。；クフがどの程度の期間エジプトを統治したのかは未だに明白ではない。；インターネットやテレビが視聴不可能な国や地域が未だに多く存在している。；そしてこの若い捕手はこの試合で未だに破られていない記録を作った。；アリスティド政権の多くの者が未だに裁判を受けずに投獄されている。；その一方で未だに事件当時のことを語りたがらないメンバーも多くいるという。；なお、アースロプレウラもこの様な特徴をもつのかは未だに不確実である。；このことは南北戦争の歴史家によって未だに議論されているところである。；オーストラリアでは未だにこの名称が使われていることもある。；チェトニックについては歴史上の都合もあり、未だに一部に支持がある。；ルーダキーの生涯については、未だに明らかになっていない部分が多い。；日本では小説の翻訳は未だにないが、短編は幾つか翻訳されている。；しかし複雑な時代を背景に起きたこの怪事件の真相は未だに謎のままである。；このように、ツメバケイの分類は目レベルから未だに確定していない。；現在まで多数が良好な状態のまま現存しており、一部は未だに使用されている。；未だに完成していないこの建物の建設開始は1230年であった。；それが正確に何を指しているのか未だに謎のままである。；夫の没後に2つのオペラを作曲したが、どちらも未だに上演されていない。</t>
        </is>
      </c>
      <c r="J580">
        <f>HYPERLINK("https://www.weblio.jp/content/未だに", "词义详情")</f>
        <v/>
      </c>
      <c r="K580">
        <f>HYPERLINK("https://yourei.jp/未だに", "查看例句")</f>
        <v/>
      </c>
    </row>
    <row r="581">
      <c r="A581" t="inlineStr">
        <is>
          <t>今時</t>
        </is>
      </c>
      <c r="B581" t="inlineStr">
        <is>
          <t>成功</t>
        </is>
      </c>
      <c r="C581" t="inlineStr">
        <is>
          <t>読み方：いまどき
１今の時世。現代。現今。当世。「—の若い人には好まれまい」「—奇特な人がいたものだ」
２今ごろ。今時分。「—何の電話だろう」</t>
        </is>
      </c>
      <c r="D581" t="inlineStr">
        <is>
          <t>今時珍しい(6%)；今時そんな(2%)；今時こんな；今時めずらしい；今時あんな</t>
        </is>
      </c>
      <c r="E581" t="inlineStr">
        <is>
          <t>現在；今；今日；現代；最近</t>
        </is>
      </c>
      <c r="G581" t="inlineStr">
        <is>
          <t>今時流行らない</t>
        </is>
      </c>
      <c r="H581" t="n">
        <v>29</v>
      </c>
      <c r="I581" t="inlineStr">
        <is>
          <t>あの人は若いときずいぶん遊んだみたいだから今時でない知識がある。；今時の世の中にこんな種類の青年を考えることはあまりふさわしくない。；ある日客ありし時に子供を顧みて物語るは、今時の者はどうも不性なり。；アスファルトに絵を描いたりする子供は今時ちょっと珍しいのではないか。；今時向うからさうして來るなどといふことはあるもんぢやありません。；お文が言ったように、こいつは確かに、今時珍しいおとぎ話でもあった。；今時の大学生にしてはモラルがあるな、とぼくは適当に感心しておいた。；僧三 なにしろ今時の若いお弟子たちとは心がけが違っていましたからね。；今時めずらしい太い黒縁の眼鏡をかけて新聞を読んでいる五十前後の男。；他人がボランティアのように面倒みているとすれば今時奇特な女性である。；今時の若い連中にも五月病なんてものが残っているとは驚きだった。；今時、青白い文士などはやらないわよ、それとも家にいるのがいやなの?；今時下りの特急に乗っていて、どうやって明日までに明石へ行く気だ。；九人家族は今時珍しいけど、これも学校中の人間を調べるとなると大変だ。；今時こんな事を聞いてお芝居のようだと、編輯室の一同で笑いました。；老いたる男 はて、さて、今時この都に鷲の鳥はおぢやるまいと思うたが。；そして今時の黄石公は不性だから、居宅へ張良が逢ひに行くとはどうだ。；それは今時の若い人が、携帯電話のメモリーに登録しているような人数だ。；別に、会社をいやがっている今時の若いもんのことを言っているわけではない。；若い客 今時結婚する女も、今時生れて来る子供も可哀さうだからさ。；投網を持ってる家は、今時、村には二軒しかないと、宗吉は自慢だった。；さうして大學を出ても、今時なかなかいい口なんぞあるもんぢやない。；もっとも犯罪おかした夫に同行する、貞淑な妻は今時少ないだろうけれど。；でもさ、今時、学校が何の根拠もなしに生徒呼び出すとは思えないよなぁ。；なぜって僕は今時の若い主婦連にはたいして信用をおいてないんでね。；今時、小学校でもこんなものはめったに見ることができないだろう。；今時、カップルが時間を過ごすような店は市内からほとんど姿を消していた。；戦後まもなく建てたアパートなので、今時のように台所は室内に内蔵されていない。；そして今時のしゃれ者が着こんでいるトップ・モードの服を着た。</t>
        </is>
      </c>
      <c r="J581">
        <f>HYPERLINK("https://www.weblio.jp/content/今時", "词义详情")</f>
        <v/>
      </c>
      <c r="K581">
        <f>HYPERLINK("https://yourei.jp/今時", "查看例句")</f>
        <v/>
      </c>
    </row>
    <row r="582">
      <c r="A582" t="inlineStr">
        <is>
          <t>今に</t>
        </is>
      </c>
      <c r="B582" t="inlineStr">
        <is>
          <t>成功</t>
        </is>
      </c>
      <c r="C582" t="inlineStr">
        <is>
          <t>読み方：いまに
［副］
１近い将来に関する推量または決意を表す。そのうち。いずれ必ず。「この空では—雨が降る」「—やっつけてやる」
２（多くあとに打消しの語を伴って用いる）以前の事柄が今に至るまで変わらないさま。今もなお。いまだに。
「考え続けて居るが—少しも解決の手掛が出来ぬ」〈子規・墨汁一滴〉</t>
        </is>
      </c>
      <c r="D582" t="inlineStr">
        <is>
          <t>今にきっと(2%)；今に至つて；今に伝えられ；今にどんな；今になお</t>
        </is>
      </c>
      <c r="E582" t="inlineStr">
        <is>
          <t>もう；近く；やがて；間もなく；まもなく</t>
        </is>
      </c>
      <c r="F582" t="inlineStr">
        <is>
          <t>古より今に；今に始ま；今に面白い；今に大きく</t>
        </is>
      </c>
      <c r="H582" t="n">
        <v>29</v>
      </c>
      <c r="I582" t="inlineStr">
        <is>
          <t>今君は云ふことをやめてゐるが、今にまた新しく云ひだすだらうと思ふ。；さう云ふ記憶は今になつて見るとどれ一つ懐しさを与へないものはない。；日本の少女だって今にアメリカの少女に負けないようになりましょう?；この分だと、今に町じゅうの人が家のまわりに集まってくるでしょうよ。；父の願いは女として生きて欲しかったのかもしれないと今になって思う。；なまなか昔を知ったからとて、今に望むのはまったく無理な注文である。；今にわしの言ったことは実現されて、われわれの王国は建設されるだろう。；僕は今にこの小説のようなことが確かに出来るだろうと思っている。；君なんかも今に何か書くようなことがあってもそれだけは注意し給え。；今に孫たちがわたしの童話を読んでみるような時もやって来ましょう。；今に他の女がわたしと入れ代って、此室へせっせと通って来るでしょう。；システムキッチンだってマンションだって今に私のために買ってくれる。；今に突然燈りがつくにちがひない、と野々宮は自分の心に言ひきかした。；今に火をふいて焼けてしまうぞ、山の下に立った時私は心の中で叫んだ。；今に又なんかの折、すこしはましな書評でもおめにかけたいものです。；今になつて考へて見ると彼女の中には思想は全くなかつたのである。；今に一度にひっくり返すユーモアが用意されているのだろうと考えたのだ。；今に何か起こるだろうと思っていたと、だれにきいてもそういうぐらいだから。；今に君に恐ろしいことが起こりそうで、僕は不安で不安でたまらないんだ!；厳しかったのはそれだけ親身であったのだと今になってはっきりと知った。；弥生だって、今に金を払うと約束しながらまだ一銭も払ってくれてない。；今に覆面を被った男達が列車に飛び乗って来ないかと不安になってくる。；それさへも今になつては何処のどの辺であつたかわからない。；していながら、今になぜ、このような悲哀に似た感情が心に残るのか。；今になつて思つてみれば、それは生きようとする要求に外なりませんでした。；この士官は今に侍従武官に任命せられるだろうと皆が評判していたのである。；この士官は今に侍従武官に任命せられるだらうと皆が評判してゐたのである。；いや、わたしがどんなに調子のいい人間か、今におわかりになりますよ。；こんな風だったら、今にあなたは身体一つになっておしまいなさいますよ。</t>
        </is>
      </c>
      <c r="J582">
        <f>HYPERLINK("https://www.weblio.jp/content/今に", "词义详情")</f>
        <v/>
      </c>
      <c r="K582">
        <f>HYPERLINK("https://yourei.jp/今に", "查看例句")</f>
        <v/>
      </c>
    </row>
    <row r="583">
      <c r="A583" t="inlineStr">
        <is>
          <t>今にも</t>
        </is>
      </c>
      <c r="B583" t="inlineStr">
        <is>
          <t>成功</t>
        </is>
      </c>
      <c r="C583" t="inlineStr">
        <is>
          <t>読み方：いまにも
［副］目前に何かが起こりそうなさま。すぐにも。今まさに。「—笑いだしそうな表情」「—壊れるかもしれない」</t>
        </is>
      </c>
      <c r="D583" t="inlineStr">
        <is>
          <t>今にも泣き出しそう(3%)；今にも倒れそう(2%)；今にも消え；今にも泣きそう；今にも死にそう</t>
        </is>
      </c>
      <c r="E583" t="inlineStr">
        <is>
          <t>もう；近く；やがて；間もなく；まもなく</t>
        </is>
      </c>
      <c r="F583" t="inlineStr">
        <is>
          <t>今にも死に；今にも折れ；もう今にも；今にも壊れ；今にも泣きださん</t>
        </is>
      </c>
      <c r="H583" t="n">
        <v>29</v>
      </c>
      <c r="I583" t="inlineStr">
        <is>
          <t>なんだか今にもそのピストルの口が僕の方にきそうな気配を感じたのだ。；今にも嵐になりさうな空の下を悲痛に叩きつけられた巨人が歩いてゐた。；この会が今にも解散する時には分ることだろうと辛抱しているのである。；今にも嵐になりそうな空の下を悲痛に叩きつけられた巨人が歩いていた。；今にも落ちそうに見えるが実はなかなかしっかりしているのであった。；頭がガランドウになって、今にも眼がまわりそうに胸が悪くなって来た。；だが、一度ならず彼女は今にもエセックスに同意しそうな気配を見せた。；私は今にも変がありそうな病室を退いてまた先生の手紙を読もうとした。；人々は手に汗を握って龍介の片手が今にも振下ろされるかと待っていた。；大きな不幸が今にも落ちかかって来るような、不吉な予想が私を囚えた。；今にもバタンと前に倒れそうなのに、眼は不思議にかがやいていました。；視線に籠った必死の表情の中には、今にも飛びかかりそうな勢があった。；そして、今にも呼吸を引きとらうとする人間を、呼び返す騒ぎであつた。；将来に希望を繋ぐには朽ちかけて来た命の綱が今にも切れそうである。；今にも降りだしそうな冷え冷えしたものが朝から空気のなかに顫えていた。；すると、空二は今にも背髄の方から一種の痙攣が始まりさうな気がした。；しかも僕の生命は、今君の云ったように今にも終るかもしれないのだ。；この小さな身体が手の囲いの中で、今にも消えてしまいそうな感じだった。；彼女は今にもドアが破れはしないかと気が気でなかったに違いない。；この二人の男の間で、今にもなにか恐ろしいことが起きそうでした。；新吉はこの部屋へ今にも訪ねて来る約束のリサに会い度くなってしまった。；ぼくは、今にも、巨人の腕につかまれるかと思うと、死にそうだったよ。；その点を忘れて、今にも実現されるように思ったら、大きな間違いである。；そしてその聴診器の端から今にもぴゅっと水を噴き出しそうな気がした。；私は今にも革舟が顛覆するかと思ったので、死物狂いになって努力した。；その改修工事には今にも外れそうなリアウォールの改築も含まれていた。；そのうちに、手塚さんの顔が、今にも泣きだしそうにゆがんで来ました。；そして今にも入るかと思った第二報はいつまで経っても音沙汰がなかった。；張はもう今にも射殺されるだろうと思って、生きた心地はしませんでした。</t>
        </is>
      </c>
      <c r="J583">
        <f>HYPERLINK("https://www.weblio.jp/content/今にも", "词义详情")</f>
        <v/>
      </c>
      <c r="K583">
        <f>HYPERLINK("https://yourei.jp/今にも", "查看例句")</f>
        <v/>
      </c>
    </row>
    <row r="584">
      <c r="A584" t="inlineStr">
        <is>
          <t>今のところ</t>
        </is>
      </c>
      <c r="B584" t="inlineStr">
        <is>
          <t>成功</t>
        </is>
      </c>
      <c r="D584" t="inlineStr">
        <is>
          <t>目下；目下のところ；現段階；差し当たり；差し当たって</t>
        </is>
      </c>
      <c r="H584" t="n">
        <v>29</v>
      </c>
      <c r="I584" t="inlineStr">
        <is>
          <t>年記のある作品は今のところ次の二つの作品しか確認されていない。；しかし今のところ圭子と接触のあった人間も、ほかには思い当たらない。；比較的個体数は多いが、今のところ年何回発生しているのか定かでない。；今のところ別に仲がいいわけじゃないし、全然話したこともない。；しかし今のところ目だった効果はあげていないようです。；メインボーカルが決まっておらず今のところ全員で務めている。；しかし今のところ優子はまだ、その答えを見出すに至ってはいなかった。；幸いにもまだ今のところ日本は戦場と化してはいない。；今のところ目を醒ましたのは、その少女と槌神五月だけということだった。；それが、水倉りすかの抱えている、今のところどうしようもない、心傷。；関門所は背後に遠くなり、街道には今のところ人の行き来もない。；第一、ここが比較的安全なのだとしても、それは今のところそうだというだけの話である。；今のところ元のデータを閲覧する手段はこれのみとなる。；今のところ目開いて二十分で家を出る、そんな生活してます。；父の名は源三郎景憲であるとも言われるが確証は得られておらず今のところは不明である。；今のところ日本で処分するより外に方法がないのだから、なんとか骨を折って見てくれ。；今のところ日本では全くの不適格者ばかりで、なんとも情ない状況にあります。；しかし北急も、三星銀行も、今のところ表に出ているのではない。；だが、今のところ街はまだ眠りのなかにあった。；今のところあたりが九個、はずれが九個見つかっている。；今のところ年に何回発生しているのか定かではない。；今のところ下の表の5つのパターンがある。；これまで学術調査がほとんど行われていない6号墳は、今のところ墳形は不明である。；今のところ人の気配はまったくない。；結果は特に問題はなく、ただし、医者は「今のところ」という言葉を使って結果を報告した。；「今のところそうとしか考えられない」 日下部は断定を避けた。；医者にもよく相談しているし、牛乳もちゃんと調合されたものをのんでいて、今のところ薬というのもないのではないでしょうか。；今のところ日本での国内版発売予定は無く、輸入DVDにより視聴が可能である。；今のところ余は、おぬしをどうこうしようという明確な意図を持ち合わせてはおらぬ。</t>
        </is>
      </c>
      <c r="J584">
        <f>HYPERLINK("https://www.weblio.jp/content/今のところ", "词义详情")</f>
        <v/>
      </c>
      <c r="K584">
        <f>HYPERLINK("https://yourei.jp/今のところ", "查看例句")</f>
        <v/>
      </c>
    </row>
    <row r="585">
      <c r="A585" t="inlineStr">
        <is>
          <t>今まで</t>
        </is>
      </c>
      <c r="B585" t="inlineStr">
        <is>
          <t>成功</t>
        </is>
      </c>
      <c r="C585" t="inlineStr">
        <is>
          <t>読み方：いままで
［副］今の時まで。現在まで。「—仕事をしていた」「—行ったことがない所」</t>
        </is>
      </c>
      <c r="D585" t="inlineStr">
        <is>
          <t>今までずっと；今までこんなに；今まで気付か；今までついぞ；今までさんざん</t>
        </is>
      </c>
      <c r="E585" t="inlineStr">
        <is>
          <t>以前；これまで；それまで；従来；ここまで</t>
        </is>
      </c>
      <c r="H585" t="n">
        <v>29</v>
      </c>
      <c r="I585" t="inlineStr">
        <is>
          <t>ここで今までの話では扱われなかった人とロボットの関係の問題が扱われる。；今まで観てきたプロレスとはまったく違う空間が広がっていたんですよね。；明けに今まで背中の痛みを抱えながらプレイしていたことを公表した。；今までのミュージカル仕立てからストーリー性のある内容に変更された。；むしろ今まで平行植物であると知られずに傍らにあったようなものである。；今までのニュースとはまったく違う番組にするし、組織も新しく作る。；今までの日本のSF映画は、子供を対象として簡単に作られすぎていた。；今までも常にそうだったし、これからもそうなのではないかと恐れています。；コード感をキーボード的なものに任せたということが今までと違うかな。；今まではミックスだけ、別のエンジニアさんを立てていたこともあって。；なお今までの三本のベルトは修繕作業を行った後に馬場家に返還された。；今まで獲得した全国タイトルは、全国男子チーム最多の計36回である。；そして、彼こそ今まで待ち望んできた真実の恋の相手ではないかと考える。；ここでは今までに開催されたシリーズものの興行の名前を掲載する。；今まで生きた誰よりも多く世界中の人々に福音を語ったといわれる。；今まで経験してきたことを発揮するときがいよいよ来たんです。；パンチの破壊力だけなら俺が今まで戦った相手の中でも最強クラスだ。；今までのFPSの中でも一人一人の兵士の存在に力を入れられた作品。；女性アナウンサーが実況やリポートを担当した事例は今まで一度もない。；また、22時台には今までと同様に当駅止まりの快速が設定されている。；今まで放置されていた河川内部にまで改修が入ることが多くなったためである。；主電動機も生産が困難となったことから今までの約半分の出力のものにされた。；今までに多くの駅名が変更されており、数回に亘って改名された駅もある。；ただ音楽を制作するってだけじゃないし、それは今までと変わらない。；予算成の都合上、海外企画の前後などに今までの総集編が放送されていた。；八重はびっくりしてなぜ今まで出てこなかったのかと桜丸に問う。；これは私が今までにした中でもっとも難しい決断ですが、私は安心している。；また新設された連絡通路は今までに比べてラグジュアリーな空間となっている。；「今までにない、全く新しいゲーム」を触れ込みに宣伝活動が行われた。</t>
        </is>
      </c>
      <c r="J585">
        <f>HYPERLINK("https://www.weblio.jp/content/今まで", "词义详情")</f>
        <v/>
      </c>
      <c r="K585">
        <f>HYPERLINK("https://yourei.jp/今まで", "查看例句")</f>
        <v/>
      </c>
    </row>
    <row r="586">
      <c r="A586" t="inlineStr">
        <is>
          <t>今や</t>
        </is>
      </c>
      <c r="B586" t="inlineStr">
        <is>
          <t>成功</t>
        </is>
      </c>
      <c r="C586" t="inlineStr">
        <is>
          <t>読み方：いまや
［副］《「いま」＋強意の間投助詞「や」から》
１今こそ。今まさに。「—決断の時」
２今にも。「—沈もうとしている」
３今では。今はもう。「—一流の作家だ」
［連語］《「や」は疑問の係助詞》今…か。今…するか。
「雪のうちに春はきにけり鶯(うぐひす)のこほれる涙—とくらむ」〈古今・春上〉</t>
        </is>
      </c>
      <c r="D586" t="inlineStr">
        <is>
          <t>今や遅し；今やすっかり；今やはっきり；今やかれ；今や全く</t>
        </is>
      </c>
      <c r="E586" t="inlineStr">
        <is>
          <t>現在；もう；今；近く；やがて</t>
        </is>
      </c>
      <c r="F586" t="inlineStr">
        <is>
          <t>しかして今や；而して今や；然るに今や；今や遅しと待ち構え；今や遅しと待ちかね</t>
        </is>
      </c>
      <c r="H586" t="n">
        <v>29</v>
      </c>
      <c r="I586" t="inlineStr">
        <is>
          <t>レオナルドは今や結婚しており、仕事を終えて妻のいる家に帰ってくる。；彼等は今やわが幹部政治家をほぼ薬籠中のものとすることに成功しそうです。；チキンティッカマサラは今やイギリスで最も人気の料理のひとつである。；フランスで黙殺された作品が今やロンドンで演奏されるようになった。；ニット縫製の分野では今や当たり前となった新機構や新機能を開発した。；トゥーリンの提案した石の橋は味方にとって今や災いとなってしまった。；我等は今や、超階級の政治の要望せらるべき時代を迎えているのである。；今や世界で著名となった自閉症の作家東田直樹も以前連載をしていた。；かつては迫害の被害者であった者たちが今や、自ら迫害者となっていた。；其後風は勢を増しつつあったが、今や最大の狂暴を以て吹きつけている。；後に教会建物が拡張されたため、今や彼の墓は教会の建屋内にある。；今やPerfumeは、新しい事を媒介していくメディアとなっている。；今や個人は友人たちが何をしているか絶え間なくアクセスして見ることができる。；同様に、今や再建された保守的な統治体系を締約国が保護すると決まった。；今や床の上には、佐々の身体がただ一つ残っているばかりとなった。；と、千早館の本屋は、今やあからさまなる姿を見せて二人の前に立った。；オランダに残された主要な領土は、今や東インドネシアの植民地になった。；今やこの用語は新技術のマーケティングにおいて幅広く使用されている。；今や店の周りの畑で年間150種以上の野菜やハーブを自ら栽培している。；今や港は、米を下し魚を積み込む日本の通商戎克で、一杯になっている。；今や彼はこれが神の為し給う所なる事に初めて気がついたのである。；イギリスは今やモロ城を占領したので、町への攻撃も湾への攻撃も自由にできた。；これらの今や忘れ去られた小衝突は、冷戦時代のごく初期の戦いであった。；口と鼻とは既に跡方もなく、今や二つの大きな目が灰になろうとしている所であった。；今や三友人は彼の友でなく神もまた彼の友ではない。；彼等はかくの如くにして、彼等の登竜門が今や目前に開かれたるを感じたり。；トーマスを加えた一行は今やソ連に支配されたハンブルクへ危険な旅を続ける。；その恐怖が今や蔽うことのできない厳然たる事実となって現われたのであった。；ところで、ネリーはというと彼女は今やこの家のアイドルになっていたのだ。</t>
        </is>
      </c>
      <c r="J586">
        <f>HYPERLINK("https://www.weblio.jp/content/今や", "词义详情")</f>
        <v/>
      </c>
      <c r="K586">
        <f>HYPERLINK("https://yourei.jp/今や", "查看例句")</f>
        <v/>
      </c>
    </row>
    <row r="587">
      <c r="A587" t="inlineStr">
        <is>
          <t>意味</t>
        </is>
      </c>
      <c r="B587" t="inlineStr">
        <is>
          <t>成功</t>
        </is>
      </c>
      <c r="C587" t="inlineStr">
        <is>
          <t>読み方：いみ
［名］(スル)
１言葉が示す内容。また、言葉がある物事を示すこと。「単語の—を調べる」「愛を—するギリシャ語」
２ある表現・行為によって示され、あるいはそこに含み隠されている内容。また、表現・行為がある内容を示すこと。「慰労の—で一席設ける」「—ありげな行動」「沈黙は賛成を—する」
３価値。重要性。「—のある集会」「全員が参加しなければ—がない」</t>
        </is>
      </c>
      <c r="D587" t="inlineStr">
        <is>
          <t>意味する(20%)；意味不明；意味で用いられる；意味で使われる；意味深い</t>
        </is>
      </c>
      <c r="E587" t="inlineStr">
        <is>
          <t>いう；考え；気；心；内容</t>
        </is>
      </c>
      <c r="F587" t="inlineStr">
        <is>
          <t>どういう意味；同じ意味；広い意味；重要な意味；大きな意味</t>
        </is>
      </c>
      <c r="G587" t="inlineStr">
        <is>
          <t>意味ありげ；意味不明；意味論；意味深；意味あい</t>
        </is>
      </c>
      <c r="H587" t="n">
        <v>29</v>
      </c>
      <c r="I587" t="inlineStr">
        <is>
          <t>一般的には、様々な意味で人間自身が最も人間の関心を引くようである。；これらの名前が何の意味かは色々な解釈があるが明確には分からない。；また、語彙的な意味を持つものとそうでないものに分けることができる。；このことは壁そのものに対して西側からは何も出来ないことを意味していた。；いずれも現在の生物学的には意味をなさないものと考えられている。；ロボットは、現在では次のようにいくつかの意味で用いられている言葉である。；しかし、その意味するところはおおむね以下のように解釈されている。；パースは記号のこのような三つの意味の差異を以上の三項で呼び分ける。；文は客観的な思想を含むが、文の真理値がその文の意味なのだとする。；山頂部は仏の世界と考えられるようになり、特別な意味を持つようになった。；これらの意味と日本語における「神」は厳密には意味が異なるとされる。；目で見たり、触れて感じたりすることのできないことを意味する。；社名でありブランドであるソニーを意味する英語の「」に由来している。；つまり「時間」を時刻の意味で使ってしまう用法は正しい用法ではない。；だが、あとで口に残る何とも云えない味に、じきに胸が悪くなって来た。；このうち「倫」字の意味とする場合、更に以下の四つの説があるという。；日本語の複合語は、難しい語でも、表記を見れば意味が分かる場合が多い。；日本からのポルトガルの排斥はその意味からも非常に重要なポイントである。；私が改めて文六教祖の訓戒を身にしみて思い味ったのは当然であったろう。；これはAIMDがより小さな系あるいはより短い時間に制限されることを意味する。；現代と比べて娯楽が少ない当時、旅の持つ意味ははるかに大きかった。；ここでいう軌道とは、古典力学における軌道とは意味の異なるものである。；気味の悪い味を口に残したまま外に出ると、紙包みを玄関の軒に見つけた。；現代の機械化された農業は2つの意味で化石燃料に依存している。；ひとつひとつの数に与えられている意味、意味付け、にも影響している。；これは、哺乳類が恐竜を捕食していた例もあったことを意味している。；写真は少なくともこの意味で確かに撮影者の創作物であり、表現の手段である。；事実的な意味で経済が政治とどのように関わっているのかには4つの主要な考え方がある。；係り結びをどう用いるかによって、文全体の意味に明確な違いが出た。</t>
        </is>
      </c>
      <c r="J587">
        <f>HYPERLINK("https://www.weblio.jp/content/意味", "词义详情")</f>
        <v/>
      </c>
      <c r="K587">
        <f>HYPERLINK("https://yourei.jp/意味", "查看例句")</f>
        <v/>
      </c>
    </row>
    <row r="588">
      <c r="A588" t="inlineStr">
        <is>
          <t>移民</t>
        </is>
      </c>
      <c r="B588" t="inlineStr">
        <is>
          <t>成功</t>
        </is>
      </c>
      <c r="C588" t="inlineStr">
        <is>
          <t>読み方：いみん
［名］(スル)個人あるいは集団が永住を望んで他の国に移り住むこと。また、その人々。現在では「移住」「移住者」の語を用いることが多い。「多くの日本人が新天地を求めて—した」</t>
        </is>
      </c>
      <c r="D588" t="inlineStr">
        <is>
          <t>移民たち；移民船；移民局；移民法；移民計画</t>
        </is>
      </c>
      <c r="E588" t="inlineStr">
        <is>
          <t>渡り；亡命；移入；移住者；遊走</t>
        </is>
      </c>
      <c r="F588" t="inlineStr">
        <is>
          <t>ユダヤ人移民；中国人移民；イタリア移民；ドイツ移民；新移民</t>
        </is>
      </c>
      <c r="G588" t="inlineStr">
        <is>
          <t>移民問題；移民労働者；移民団；移民排斥；移民受け入れ</t>
        </is>
      </c>
      <c r="H588" t="n">
        <v>29</v>
      </c>
      <c r="I588" t="inlineStr">
        <is>
          <t>各国では人口の都市への集中が見られた一方で、海外移民も増加した。；英語に習熟していない移民もその一つの原因であると考えられている。；その後のユダヤ人移民の影響で、アメリカでは赤いボルシチが普及した。；その後ドイツ・イタリア・スペインなどからの移民を中心として発展した。；後に州内を横切った大陸横断自動車道もさらに多くの移民を連れてきた。；このため特に移民一世では、国籍の離脱・変更をしなかった者も多かった。；日本は対米移民の制限を定めた日米紳士協定の維持を約束していた。；ブリスベンは世界の大都市の中で26番目に移民人口が多い都市である。；南部以外でこの時期に民主党を支持したのは北部の移民たちだった。；アデレードは自由移民のための計画された植民地の中心として建設された。；またトルコからのアルメニア国内への移民の中で使っている者もいる。；これらの日語学校は基本的には移民たちの寄付で運用されていた。；これは明治・大正期の移民が伝えた当時の姿が継承されているためと推測される。；かつて日本から移民が渡った地であり、日本語で布市とも称した。；なお、グアテマラはラテンアメリカで最初に日本人が移民した国である。；一方でこれらの地域を離れ、欧米などへの移民となるケースも増加している。；イギリスの委任統治領となった後も、ユダヤ人の移民は増加し続けた。；この時代のアメリカへの移民の中には、ケネディ家の先祖も含まれていた。；中国人移民を受け入れているが一部移民と国民の間で摩擦が発生している。；この町にヨーロッパ系移民が移り住んだのは1800年代半ば頃である。；他に重要な収入としては、イタリアからの援助と移民からの送金がある。；現在の上海人の8割以上は、北の江蘇省と南の浙江省からの移民である。；初期の移民は単身の出稼ぎが多く、や苦力と呼ばれて重労働に従事した。；この観点から、移民希望者を一定数に制限している国家が多い。；住民の大半は北欧とドイツから移民してきた人々の子孫である。；また緑色の点はイタリア系移民が密集している場所を意味している。；イタリア移民が多いので第二のイタリアと認識されることもあった。；オーストラリアやアメリカ合衆国、カナダへ移民した人々の間でも使われている。；また文字に関しては中原からの移民がもたらした漢字を使用していた。</t>
        </is>
      </c>
      <c r="J588">
        <f>HYPERLINK("https://www.weblio.jp/content/移民", "词义详情")</f>
        <v/>
      </c>
      <c r="K588">
        <f>HYPERLINK("https://yourei.jp/移民", "查看例句")</f>
        <v/>
      </c>
    </row>
    <row r="589">
      <c r="A589" t="inlineStr">
        <is>
          <t>芋</t>
        </is>
      </c>
      <c r="B589" t="inlineStr">
        <is>
          <t>成功</t>
        </is>
      </c>
      <c r="C589" t="inlineStr">
        <is>
          <t>読み方：いも
１植物の根や地下茎が肥大して、でんぷんなどの養分を蓄えているものの総称。ヤマノイモ・サトイモ・サツマイモ・ジャガイモなど。《季秋》「—の露連山影を正しうす／蛇笏」
２（多く接頭語的に用いて）都会風でない、やぼなものをあざけっていう語。「—侍」「—歌手」</t>
        </is>
      </c>
      <c r="D589" t="inlineStr">
        <is>
          <t>芋類(3%)；芋屋；芋洗い；芋壺；芋太</t>
        </is>
      </c>
      <c r="E589" t="inlineStr">
        <is>
          <t>レッドネック</t>
        </is>
      </c>
      <c r="F589" t="inlineStr">
        <is>
          <t>切り干し芋；ヤム芋；子芋；生芋；芋状</t>
        </is>
      </c>
      <c r="G589" t="inlineStr">
        <is>
          <t>芋川；芋粥；芋焼酎；芋畑；芋煮会</t>
        </is>
      </c>
      <c r="H589" t="n">
        <v>29</v>
      </c>
      <c r="I589" t="inlineStr">
        <is>
          <t>桃水の槍玉にあげられる何人かの作家の中の一人が、この芋之助だった。；彼女もいっしょに食事をしたが、食べているのは生の肉と生のヤム芋だ。；芋から見れば片輪者であり化け物であろうが人間が見るとやはり美しい。；五日目には、芋ほどの大きさになり、もうその籠箱には入らなくなった。；「ほう、こんな所に芋があるのかなあ」それは新しい発見でありました。；やがて芋が煮えたというので、姉もおとよさんといっしょに降りてくる。；背後から照らされる光に、ごろごろした芋の上に落ちる私の影が見える。；千葉県では明日から、葱一本も芋一つも畑からじか売りはしないという。；さうして寒さは又小春にかへつて人々は岡の畑に芋を掘つて居るのである。；ある地方にて元日に芋の頭を食するは、人の頭になるを祝する意である。；第三は何でも芋か何かといっしょに煮られたように記憶している。；たなの上には、大根や、芋などがざるの中にいれて、のせてありました。；東京へ近づくにしたがって、列車の中は芋を洗うような混雑ぶりである。；芋畑には真横から西日があたり、芋の葉が土の上に長い影を落していた。；すると、彼女の死体からは様々な種類の芋が発生し、人々の主食となった。；結局、それは茸を洗うのや、芋の皮を剥いたりするのと同じことだった。；この建物の裏で三人の十五、六の少年がしきりに芋や胡瓜を刻んでいた。；今日もまた芋ですかいと聞いてみたら、いえ今日はお豆腐ぞなもしと云った。；生の状態では出荷されず一度蒸して芋の良否を判別してから出荷される。；芋をもって自からおるものでなければ、謎の女に近づいてはならぬ。；芋から発芽した芽や光に当たって緑色になった皮などに有害物質を含む。；山の畠の何本かの芋に限られた私の生は、果して生きるに価するだろうか。；じやが芋は明らかに冬越しの霜をかぶつたもので、半分は腐つた味がする。；手にあの青年の芋のぬくもりが残っていなければ、夢だと思ったかもしれない。；種の中には幹の付け根や根の部位が厚くなって芋になっているものがある。；が、もう芋に飽いているのは、一口か二口食ったら下に置くことでわかる。；芋類を切断し地中に埋めると、再生し食料が得られることが背景にある。；入り口の脇で売っている芋菓子の甘い香りを嗅ぎながら、駅の外に出る。；芋を掘るには深い穴を掘らねばならないので、なるべく斜面の所を探す。</t>
        </is>
      </c>
      <c r="J589">
        <f>HYPERLINK("https://www.weblio.jp/content/芋", "词义详情")</f>
        <v/>
      </c>
      <c r="K589">
        <f>HYPERLINK("https://yourei.jp/芋", "查看例句")</f>
        <v/>
      </c>
    </row>
    <row r="590">
      <c r="A590" t="inlineStr">
        <is>
          <t>妹</t>
        </is>
      </c>
      <c r="B590" t="inlineStr">
        <is>
          <t>成功</t>
        </is>
      </c>
      <c r="C590" t="inlineStr">
        <is>
          <t>読み方：いも
１男が女を親しんでいう語。主として妻・恋人をさす。⇔兄(せ)。
「秋さらば見つつ偲(しの)へと—が殖ゑし屋前(やど)の石竹(なでしこ)咲きにけるかも」〈万・四六四〉
２男の側から姉または妹をよぶ語。⇔兄(せ)。
「言問はぬ木すら—と兄(せ)とありといふをただ独(ひと)り子にあるが苦しさ」〈万・一〇〇七〉
３女どうしが友人や妹を親しんでいう語。
「風高く辺(へ)には吹けども—がため袖さへ濡(ぬ)れて刈れる玉藻ぞ」〈万・七八二〉</t>
        </is>
      </c>
      <c r="D590" t="inlineStr">
        <is>
          <t>妹たち(2%)；妹さん(2%)；妹婿；妹娘；妹分</t>
        </is>
      </c>
      <c r="E590" t="inlineStr">
        <is>
          <t>妹さん；妹君</t>
        </is>
      </c>
      <c r="F590" t="inlineStr">
        <is>
          <t>番目の妹；同母妹；末妹；半妹；異父妹</t>
        </is>
      </c>
      <c r="G590" t="inlineStr">
        <is>
          <t>妹達；妹子；妹背；妹役；妹の死</t>
        </is>
      </c>
      <c r="H590" t="n">
        <v>29</v>
      </c>
      <c r="I590" t="inlineStr">
        <is>
          <t>まだその時には彼女がモーリス・ルブランの妹とは知らなかったという。；その中にはわずか4歳で衰弱死した妹・節子の小さな骨片が入っていた。；音楽一家で幼い頃から妹たちとともに音楽のエリート教育を受けていた。；両親が働いていたロンドンで生まれ、7分後に生まれた双子の妹がいる。；父親の眼の治療のためと、ボルヘスおよび妹のノラの進学のためである。；ナポレオン自身も妹ポーリーヌに気に入られていたことが知られている。；この歌は妃の一人で宇多の妹である釣殿宮綏子内親王にあてた歌である。；ここでは兄から見た妹を「をなり」、妹から見た兄を「えけり」と呼ぶ。；かねてから問題視されていたのが、王妹マーガレット王女の結婚問題だった。；斎藤利三と明智光秀の年齢差を考えると、妹ではなく姉だとする説もある。；この時に一年間程、茶々の世話をしたのが、信長の妹のお犬の方である。；本作の主人公であるジュドー・アーシタの妹で本作のヒロインの一人。；しかし翌年に太子は同母妹の軽大娘皇女との道ならぬ恋に落ちてしまった。；ヴァラールの一人イルモはかれの弟であり、ニエンナはかれの妹である。；それは1959年に妹の結婚式に出席して以来46年ぶりのことであった。；長男はアメリカ合衆国で技術者となっており、妹の政治活動には反対している。；母の死と妹との別れは幼いヘンリーの心に深い傷を残した。；藤村は自分の父親も妹と関係を持っていたことなどを知る。；留学の後に藩の役目を辞し、妹に婿養子を迎えさせて家督を放棄する。；両親が不在のことが多かったため、彼と妹たちは乳母に育てられた。；彼女はこの時アレクサンドロスが妻とした皇女スタテイラの妹である。；ヘーゲルの妹はブラザーコンプレックスと言っていいほど兄を深く愛していた。；その中で、妹の政権運営に関与しない方針を明らかにしている。；ここには妹のアッタヴァンティ侯爵夫人がやってきて兄の解放を祈っていた。；彼の仕事を援助した唯一の人間はレイアウトを担当した彼の妹のキャサリンだけだった。；家に帰ると両親は出かけており、フィービーの部屋で妹と再会する。；幼いジュンソが父親に連れられて新生児室にいる妹を見に来る。；今溺れさせられている妹とこれから殺されてしまう3人組のどちらを助けるか?；その後妹は2015年に結婚してアメリカで暮らしている。</t>
        </is>
      </c>
      <c r="J590">
        <f>HYPERLINK("https://www.weblio.jp/content/妹", "词义详情")</f>
        <v/>
      </c>
      <c r="K590">
        <f>HYPERLINK("https://yourei.jp/妹", "查看例句")</f>
        <v/>
      </c>
    </row>
    <row r="591">
      <c r="A591" t="inlineStr">
        <is>
          <t>いや</t>
        </is>
      </c>
      <c r="B591" t="inlineStr">
        <is>
          <t>成功</t>
        </is>
      </c>
      <c r="C591" t="inlineStr">
        <is>
          <t>［感］
１驚いたり感嘆したりしたときに発する語。やあ。「—、これはすごいね」
２人に呼びかけるときや言い始めるときに発する語。
「—申し、ちと申し上げたい事がござる」〈虎寛狂・附子〉</t>
        </is>
      </c>
      <c r="D591" t="inlineStr">
        <is>
          <t>いやはや；いやな顔；いやもう；いやな予感；いやむしろ</t>
        </is>
      </c>
      <c r="E591" t="inlineStr">
        <is>
          <t>嫌；嫌い；イヤ；嫌だ；嫌いだ</t>
        </is>
      </c>
      <c r="F591" t="inlineStr">
        <is>
          <t>いやそれどころか；いやな臭い；いやなにおい；いやな匂い；いやなやつ</t>
        </is>
      </c>
      <c r="G591" t="inlineStr">
        <is>
          <t>いやらしい；いやがる；いやあ；いやしくも；いやがらせ</t>
        </is>
      </c>
      <c r="H591" t="n">
        <v>29</v>
      </c>
      <c r="I591" t="inlineStr">
        <is>
          <t>おせいは何んともいえない淫りがましいいやなことをいう人だと思った。；いやむしろ、あなたがそれに与えた解釈は真の命題でなければならない。；しかし書かねば此文章のまとまりがつかぬ、いやでも書かねばならない。；僕はその部屋に這入る時ほどいやだと思ったことはまたとありません。；すると我々凡人はいやが上にも訓練を受ける覚悟をしなければなりません。；なに一度の事だからと打ち消して見ても、いやな心地は容易に消えない。；私が可愛いと思っている山も、登って見たら存外いやになるかも知れぬ。；誰もが望まぬままに破局に向かっていくと知る者は神以外にはいやしない。；明らさまに言うと、その時私は君をいやに高慢ちきな若者だと思った。；そうすれば、あの男のいやな処だって、だんだんに許せるようになるよ。；いやだいやだと思いながら自分と他人とを苦しめているのが堪えられない。；それでも多少の小ぜり合いや戦闘は避けることができなかった。；いや、一度などはふとしたはずみに天使の来たのを感じたことさへある。；いや、どうかすると、私には女の方が得をしてゐる場合が多いやうに見える。；いや、むしろそのために世間は一層私に同情してくれたのに相違ございません。；とも子 まあいやだ、誰がひとの食べかいたものなんか食べるもんですか。；もし、案に相違していやな山だったら、下りて来るまでの話である。；何か物をすることは、何もしずにいることよりもいっそういやなことだと思われた。；これにはいやになったが、私はその日を、サミセンガイを研究して送った。；いやに詳細をきわめるようだが、実は本の中から受取が出て来たのだ。；お兼も妾になれとむりやり口説くいやな客から逃れてきたのだという。；華族の娘と一緒になるのはいやで、粋筋に通じた下町娘を好んだという。；いや、今もなお当時の憎悪は彼の心の奥底に消し難い反響を残している。；そこで、そんなことをするのはいやなことで、れいぎにそむいたことだ。；我々は何も知らない、いやそう云う我々自身の事さえも知らない。；使 いや、わたしには神仏よりも、もっとあなたがたが恐ろしいのです。；いや、むしろ、己はあの男に同情していると云っても、よいくらいだ。；だからあの映画やりながら、いやだな、いやだなと思いながらでね。；これは、ラリーの過去のいやな経験によるものかもしれないと推測される。</t>
        </is>
      </c>
      <c r="J591">
        <f>HYPERLINK("https://www.weblio.jp/content/いや", "词义详情")</f>
        <v/>
      </c>
      <c r="K591">
        <f>HYPERLINK("https://yourei.jp/いや", "查看例句")</f>
        <v/>
      </c>
    </row>
    <row r="592">
      <c r="A592" t="inlineStr">
        <is>
          <t>嫌</t>
        </is>
      </c>
      <c r="B592" t="inlineStr">
        <is>
          <t>成功</t>
        </is>
      </c>
      <c r="C592" t="inlineStr">
        <is>
          <t>読み方：いや
《「否(いや)」と同語源》
［形動］［文］［ナリ］
１欲しないさま。したくないさま。きらいだ。「—なものは—だ」「ピアノのレッスンがだんだん—になる」
２不愉快なさま。「—な顔一つせず手伝う」「会合で—な思いをする」「—な天気」→いやに
[派生]いやがる［動ラ五］いやさ［名］
［接頭］《近世上方語》名詞に付いて、いやな、いとわしい、の意を表す。「—客」「—勤め」
「茨木屋にて御存じの—男にあひ申し候」〈浮・一代男・七〉</t>
        </is>
      </c>
      <c r="D592" t="inlineStr">
        <is>
          <t>嫌な予感(4%)；嫌な顔(3%)；嫌な音；嫌な感じ；嫌がる</t>
        </is>
      </c>
      <c r="E592" t="inlineStr">
        <is>
          <t>嫌い；不快；憎悪；厭；不愉快</t>
        </is>
      </c>
      <c r="F592" t="inlineStr">
        <is>
          <t>嫌つて；たら嫌；気嫌；嫌ひなの；嫌ひで</t>
        </is>
      </c>
      <c r="G592" t="inlineStr">
        <is>
          <t>嫌悪；嫌わ；嫌う；嫌疑；嫌がらせ</t>
        </is>
      </c>
      <c r="H592" t="n">
        <v>29</v>
      </c>
      <c r="I592" t="inlineStr">
        <is>
          <t>それでもここへ来て見たら、急にまたこの部屋が嫌になったんですもの。；最初は、恥ずかしくて嫌だったが今は毛は必要ないと思うようになった。；もう一つは人類の未来と引き換えに、最も嫌だと思う死に方をすること。；彼女は自分の悲しみを王室の宣伝に利用されるのが嫌であったという。；インド出身とからかうととても嫌そうにしていたと友人が語っている。；蛇も自分の内容の一部だと見られる樣になつてこそ、嫌ひでなくなるのだ。；体が大きかったために男子とよく練習させられたのは嫌なことだったという。；また嫌がる人や心を閉ざしている相手に対して魔法は効力を発揮しない。；小学校で委員に選ばれたのが嫌でずっと泣いているような内気な性格だった。；九日付の手紙をS先生に見せたのも一つは俺は隠して事をするのが嫌だからだ。；ニューヨークは音楽という面では愛していたけど、生活するのは嫌だった。；嫌でも目に入るこの建物は囚人たちにとっては恐怖の象徴であったという。；またひどい目に会うのは嫌ですから、誰かほかのものにお頼みなさい。；結婚を自らの意志ではなく決められてしまうことも嫌であった。；少しずつロックを嫌いになり始めている自分が嫌になっていた。；上位のプレイヤーほど、嫌な動きのハンターに対処しなければならない。；当時は人前で話すことが苦手で、立候補は嫌だったと鈴木は述べている。；出来上がったばかりの頃は嫌で嫌でしょうがなかったんですけどね。；甲田は黙つてそれを見てゐて、もう此学生と話してるのが嫌になつた。；しかし中戸川氏の小説に出て来る女は嫌でもおならをする必要がある。；原田は過酷な撮影だった本作が嫌で、映画を一度も観ていないという。；そのため、やらされている感が強く、跳ぶ練習は本当に嫌だったという。；実際、叩かれて嫌だが男として我慢せざるを得ないと答えた者がいる。；機関士の中には「故障するのが嫌で乗りたくなかった」と語る者までいた。；当初はアリヤは嫌だとつっぱねていたが、ついに根負けして許可を出す。；私はひげのない顔は嫌やだとたつた今書きましたけれど、好きな顔があります。；ただし初の人妻役は凌辱作品であったこともあり、本当に嫌だったという。；大変忘れっぽく、嫌なことはもちろん重要なこともすぐ忘れてしまう。；少女はこれを嫌だと思っていたが、大学生が大勢いたために抵抗できなかった。</t>
        </is>
      </c>
      <c r="J592">
        <f>HYPERLINK("https://www.weblio.jp/content/嫌", "词义详情")</f>
        <v/>
      </c>
      <c r="K592">
        <f>HYPERLINK("https://yourei.jp/嫌", "查看例句")</f>
        <v/>
      </c>
    </row>
    <row r="593">
      <c r="A593" t="inlineStr">
        <is>
          <t>いやいや</t>
        </is>
      </c>
      <c r="B593" t="inlineStr">
        <is>
          <t>成功</t>
        </is>
      </c>
      <c r="C593" t="inlineStr">
        <is>
          <t>［感］強く驚いたり感嘆したりしたときに用いる語。「—、実におみごとです」</t>
        </is>
      </c>
      <c r="D593" t="inlineStr">
        <is>
          <t>仕方なく；やむなく；しぶしぶ；やむを得ず；渋々</t>
        </is>
      </c>
      <c r="H593" t="n">
        <v>29</v>
      </c>
      <c r="I593" t="inlineStr">
        <is>
          <t>彼女は椅子から立って壁に背を貼りつけ、子供のようにいやいやをした。；いやいや己のこの生活にたいして何か言うことのあろうはずはないのだ。；しかし、弥生ちゃんはいやいやと首を激しく振ってその場から動かない。；はっきりいいづらいのだが、いやいややっているみたいなところがある。；ガブリエルはマーガレットと呼ばれた女性がいやいやあけた席に座った。；いやいや、毎年、見ているのであろうが、私の心にしみた事は無かった。；いやいや、見つかつたなら、川に身を投げて死ぬわけがどうしてあらう。；いやいやをするように首を振っていた礼子の身体が、やがて反応し始めた。；好きでもない作品を仕事だからといやいや訳したわけでは決してありません。；彼女はあらゆるものにいやいやをして頭を振り、彼はじっと眼をつぶった。；いやいや、それにしては、あの人々に何の邪気も殺気も感じられないが。；いやいや、ひょっとしたら女房への不憫さの涙であったかも知れないね。；いやいや、この男の思いはそんなに遠くまで飛びはしませんでした。；いやいや彼女が最初計画したよりもはるかにうまくいったのだ。；いやいや、こんだは県の仕事で来たんではねえから命令では無えつうんだ。；近くを通った猟犬の気が向く限り、空の上をいやいや追い回されるのだ。；ただその役割をいやいやつとめてゐることだけは明らかだつた。；いやいやお前はあの男と俺に隠れて窃りと箏を弾こうとしていた筈だ。；もしそうだったら死ぬほど光栄だけど、でもそんなのいやいやいやーん!；いやいや権九郎じいやだって警官と一緒にいま死体をみているはずだ。；「いやいや、そうでもありませんよ」 と、田中はわざと笑ってみせた。；辛くない仕事でも、それをいやいやしているのは、楽ではありません。；いやいや、すでに、部屋全体が埋め尽くされようとしているではないか。；が、いやいや、そんなことはないと門田はすぐに心の中で首を振った。；いやいや弦三は、確かに、あの呪いにみちた悪魔の声をきいたのだった。；いやいや、 これほどの娼館の女主人ともなれば、声だけでも一味違う。；そんなふうに感じてはいたが、けしていやいや聞いていたわけではなかった。；いやいや、いっそう不幸な世界にいることはまちがいないと思われた。；肉の切れや味のない水を二口三口いやいや飲み込むのも、やっとのことだった。</t>
        </is>
      </c>
      <c r="J593">
        <f>HYPERLINK("https://www.weblio.jp/content/いやいや", "词义详情")</f>
        <v/>
      </c>
      <c r="K593">
        <f>HYPERLINK("https://yourei.jp/いやいや", "查看例句")</f>
        <v/>
      </c>
    </row>
    <row r="594">
      <c r="A594" t="inlineStr">
        <is>
          <t>嫌がらせ</t>
        </is>
      </c>
      <c r="B594" t="inlineStr">
        <is>
          <t>成功</t>
        </is>
      </c>
      <c r="C594" t="inlineStr">
        <is>
          <t>読み方：いやがらせ
相手の嫌がることをしたり言ったりして、わざと困らせること。また、その言行。「—を言う」「—電話」</t>
        </is>
      </c>
      <c r="D594" t="inlineStr">
        <is>
          <t>嫌がらせ攻撃；嫌がらせ電話；嫌がらせ目的；嫌がらせみたい；嫌がらせキャンペーン</t>
        </is>
      </c>
      <c r="E594" t="inlineStr">
        <is>
          <t>責める；苦しめる；悩ます；いたぶる；苛める</t>
        </is>
      </c>
      <c r="F594" t="inlineStr">
        <is>
          <t>執拗な嫌がらせ；陰湿な嫌がらせ；単なる嫌がらせ；ひどい嫌がらせ；さまざまな嫌がらせ</t>
        </is>
      </c>
      <c r="G594" t="inlineStr">
        <is>
          <t>嫌がらせメール</t>
        </is>
      </c>
      <c r="H594" t="n">
        <v>29</v>
      </c>
      <c r="I594" t="inlineStr">
        <is>
          <t>彼らはその部屋に何度も出たり入ったりしてテンプルに嫌がらせをする。；自分を排除しようとしているサントス一族への、単純な嫌がらせなのか。；やつがやったことはひどく気味が悪くても、ただの嫌がらせにすぎない。；嫌がらせを受けなくてはならない理由が、わたしにはまるでわかりません。；でも別に健一としても嫌がらせでこんなことをしてるわけではなかった。；彼はまた、スタッフが間違った代名詞を使って嫌がらせをしたと言った。；ある日、福祉施設の子供がひどい嫌がらせを受けたという噂を耳にした。；あるいは松島詩織のほうから先に、周囲の人間に嫌がらせをしたとする。；あの二人は、渋々ですが、過去に、嫌がらせをしたことを認めましたよ。；ハンバーガーというアメリカ文化への嫌がらせとしか思えない味だった。；電話を切った僕は、番号を記憶している嫌がらせ先に次々と電話をかけていく。；ぼくはそれまで自分に嫌がらせをされて涙を流したことはない。；これは自動システムによるサイトへの嫌がらせを防ぐことを目的としている。；それにいくら嫌がらせをされても、ぼくはこの夢見山中学校が好きなんだ。；すると途端に、同じ部屋子だった者の嫌がらせを受けるようになった。；特別に嫌がらせしてるんじゃなく、 この人は前あった時も似たような顔だった。；ジュウが嫌がらせとの関連を口にすると、香里は意外そうな顔をしていた。；嫌がらせでよくメディアなどで取り上げられるセクハラは有名である。；吟子が現れたと知るや学生達はすぐ机を叩き、床を鳴らして嫌がらせをする。；また多くの監督から嫌がらせを受けていたともいわれている。；わざわざ除けたぐらいだから、嫌がらせ程度の効果はあるのかもしれない。；これは海軍側から嫌がらせを止めるように苦情が来るまで続けられた。；本気で私の祝辞を求めているとは思えないから、やはり嫌がらせなのだろう。；意図せぬ嫌がらせになってしまう心配はしなくて良いはずだ。；金で解決できないと悟るとあらゆる嫌がらせをしてきたんだよ?!；嫌がらせとはどんなふうにでもいえるものだと、呆れ返る思いがした。；また、ホープリーは匿名の市民より多数の嫌がらせの手紙を受け取った。；一連の嫌がらせは自分たち幸福クラブの活動であると、広瀬奈緒は認めた。；みんながいっせいに、偶然に嫌がらせを実行するなんてことありえません。</t>
        </is>
      </c>
      <c r="J594">
        <f>HYPERLINK("https://www.weblio.jp/content/嫌がらせ", "词义详情")</f>
        <v/>
      </c>
      <c r="K594">
        <f>HYPERLINK("https://yourei.jp/嫌がらせ", "查看例句")</f>
        <v/>
      </c>
    </row>
    <row r="595">
      <c r="A595" t="inlineStr">
        <is>
          <t>嫌がる</t>
        </is>
      </c>
      <c r="B595" t="inlineStr">
        <is>
          <t>成功</t>
        </is>
      </c>
      <c r="C595" t="inlineStr">
        <is>
          <t>読み方：いやがる
［動ラ五（四）］いやだという気持ちを外に表す。「人が—・る仕事を引き受ける」「蛇を—・る」
→嫌う［用法］</t>
        </is>
      </c>
      <c r="D595" t="inlineStr">
        <is>
          <t>嫌がること(8%)；嫌がるよう(7%)；嫌がるだろ(3%)；嫌がる人(2%)；嫌がるかもしれ</t>
        </is>
      </c>
      <c r="E595" t="inlineStr">
        <is>
          <t>嫌；嫌い；憎悪；嫌悪；嫌う</t>
        </is>
      </c>
      <c r="F595" t="inlineStr">
        <is>
          <t>とても嫌がる</t>
        </is>
      </c>
      <c r="H595" t="n">
        <v>29</v>
      </c>
      <c r="I595" t="inlineStr">
        <is>
          <t>本人は当初嫌がっていたものの、周囲の勧めもあり一度は決意していた。；利用されるのを嫌がってたら、いつまでたっても関係はつかないからな。；その顔は少しも嫌がるところがなく、むしろどこか明るい表情であった。；何て言うか・・・私の記憶が戻るのを嫌がってるような・・・そんな表情。；すぐに戻らねばならぬことを頭で理解しても、身体の方が嫌がっていた。；私がそんな、嫌がらせみたいな人の嫌がることをするわけがないですよ。；自分が知っている仕事のノウハウを他の社員に教えるのをとても嫌がる。；本当に嫌なのではなかったし、嫌がっているとは思われたくなかった。；勝っても何も得られないし、Fクラス相手に時間をくうのも嫌がるはず。；誰もが嫌がるその仕事だが、彼にとっては趣味と実益を兼ねた物だった。；そしてラルフがキスしたように感じたが、自分は少しも嫌がっていない。；青爾は、と言えば、そういう暮らしを嫌がっているふうでもなかったよ。；だから女たちは、自分が母性のない女と思われることを極度に嫌がった。；彼女は嫌がるそぶりもみせず、むしろ積極的に股間に手を伸ばしてきた。；ただしスーブー本人は、その話に触れられることを極端に嫌がっている。；むしろ彼は私と美晴の仲が進展するのを嫌がっているようにも感じられた。；母は嫌がるだろうが、やはり弟は彼女が好きだったのだと思うのだ。；いつもながら彼女は私が嫌がるやりかたで全てを正確にやってくれる。；本気で嫌がっている人には、絶対にアホなちょっかいかけたりしないし。；ああいう連中は、三面記事に自分の写真や名前が載るのを嫌がるからな。；どう考えても両者は互いに嫌がっているとしか思えないのである。；警備を大幅に強化しなければならないことを嫌がったためだった。；ほかのバイトの娘が嫌がるような仕事も、ほとんど彼女が引きうけていた。；前を走る馬が跳ね上げる砂が眼にかかるのを嫌がる馬に用いられる。；自宅まで来てくれましてね、わたしの話を嫌がらずに何でも聞いてくれました。；ところが出版社は、そうやって彼が好きなようにするのを嫌がったの。；警察が調べているという噂が出るのを、もっとも嫌がるだろうからである。；いくら私が嫌がったところで、夫が猫を持って帰ってくれるとは思えなかった。；もし嫌がったら、もう一つ、二つ、仕掛けないとならないところでした。</t>
        </is>
      </c>
      <c r="J595">
        <f>HYPERLINK("https://www.weblio.jp/content/嫌がる", "词义详情")</f>
        <v/>
      </c>
      <c r="K595">
        <f>HYPERLINK("https://yourei.jp/嫌がる", "查看例句")</f>
        <v/>
      </c>
    </row>
    <row r="596">
      <c r="A596" t="inlineStr">
        <is>
          <t>嫌気</t>
        </is>
      </c>
      <c r="B596" t="inlineStr">
        <is>
          <t>成功</t>
        </is>
      </c>
      <c r="C596" t="inlineStr">
        <is>
          <t>読み方：いやき
［名］(スル)
１「いやけ1」に同じ。
「嗚呼(ああ)考え込めば裁縫(しごと)も—になって来る」〈露伴・五重塔〉
２相場が思うとおりに動かなかったり、悪い情報が出たりして生じる悲観的な気持ち。また、そのような気持ちになること。いやけ。「—売り」「—筋(すじ)」「テロ事件を—して売り注文が先行する」</t>
        </is>
      </c>
      <c r="D596" t="inlineStr">
        <is>
          <t>嫌気がさして(14%)；嫌気的(3%)；嫌気条件下；嫌気環境；嫌気発酵</t>
        </is>
      </c>
      <c r="E596" t="inlineStr">
        <is>
          <t>嫌い；苦手；嫌悪；反感；嫌う</t>
        </is>
      </c>
      <c r="F596" t="inlineStr">
        <is>
          <t>嫌気的な環境</t>
        </is>
      </c>
      <c r="G596" t="inlineStr">
        <is>
          <t>嫌気的；嫌気性細菌；嫌気性菌；嫌気呼吸；嫌気性生物</t>
        </is>
      </c>
      <c r="H596" t="n">
        <v>29</v>
      </c>
      <c r="I596" t="inlineStr">
        <is>
          <t>蓬莱のほうがましだと思ったのかな、それとも単に嫌気がさしたのかな。；ことによったら、昨日の僕の飲みっぷりに嫌気がさしたのかも知れない。；つまり男のほうでは熱愛してたけれど、女のほうでは嫌気がさしてきた。；自分が役立たずであることに嫌気がさしてくるまでにどれくらいかかるか?；主観時間で一時間もたった頃には、誰もが疲れ、嫌気がさしてきていた。；不自然な関係に嫌気がさして、別れたい、と口にしたことは何度かある。；暗い電灯の下に並んだ家族を見たら、大抵の男は嫌気がさすに違いない。；死者を責めるようなニュース内容に嫌気がさして、僕はテレビをきった。；学ぶ時は繰り返し繰り返して、嫌気を起こさずにこれを習熟するがよい。；これらはいずれも動物の腸管の嫌気的な環境に寄生するアメーバである。；台湾野球の八百長に嫌気がさした日本人選手の送別会をしたことがある。；しかし仕事に嫌気がさしたアレックスは、警官をやめると彼女に伝える。；追放先で結婚したが、その地に嫌気がさし、妻を連れて北京に戻った。；まさか今度抑えつけられて嫌気がさしたわけでもないでしょう。；そして家も安全ではないことに考えが及び、自分の置かれた立場に嫌気がさした。；あまりの効率の悪さに私も嫌気がさし始めた九三年九月中旬のある日だった。；映画撮影に嫌気がさし、ステージへ戻ったエルヴィスの姿を記録した。；すぐ嫌気がさしてきましたから、邸へ遺書をのこして逃げてきたわけです。；そんな毎日に嫌気がさし、転職雑誌を買うのが習慣になりつつあったあの頃。；水田の土壌から発見されたにもかかわらず生育には絶対嫌気が要求される。；何となしに野鄙な処があるので、栄一は云ふ事の出来ぬ嫌気を感じた。；で、伊兵衛と一緒に苦労するのが少し、嫌気になってきたのかも知れない。；ここの連中は頭がイカれているが、おれは都会にもいや気がさしてる。；そんな生活に嫌気がさした皇は、ある日中国へ留学に行きたいと両親に告げた。；亘はそう考え、そんなことしかすぐには連想できない自分に嫌気がさした。；旅をする者は、街道でのおせっかいやきにとくに用心しなくてはいけない。；幻影達の部下というか仲間のろくでなしたちもここの生活に嫌気がさしていた。；いつまでも、壇の下でいいように使われるのは、もう嫌気がさしてたはずや。；退屈な日々に嫌気がさしていたある日、発掘所内部から敵の奇襲があった。</t>
        </is>
      </c>
      <c r="J596">
        <f>HYPERLINK("https://www.weblio.jp/content/嫌気", "词义详情")</f>
        <v/>
      </c>
      <c r="K596">
        <f>HYPERLINK("https://yourei.jp/嫌気", "查看例句")</f>
        <v/>
      </c>
    </row>
    <row r="597">
      <c r="A597" t="inlineStr">
        <is>
          <t>卑しい</t>
        </is>
      </c>
      <c r="B597" t="inlineStr">
        <is>
          <t>成功</t>
        </is>
      </c>
      <c r="C597" t="inlineStr">
        <is>
          <t>読み方：いやしい
［形］［文］いや・し［シク］
１身分・社会的地位が低い。「—・い身」
２品位に欠けている。下品だ。「—・い言葉遣い」「根性が—・い」
３貧しい。みすぼらしい。「服装が—・い」
４飲食物や金銭に対して貪欲である。さもしい。「口が—・い」「金に—・い」
５つたない。とるに足りない。
「なにがし（＝私）が—・しきいさめにて、すきたわめらむ女に心おかせ給へ」〈源・帚木〉
[派生]いやしげ［形動］いやしさ［名］</t>
        </is>
      </c>
      <c r="D597" t="inlineStr">
        <is>
          <t>卑しいもの(7%)；卑しい者(3%)；卑しい人間(3%)；卑しい身分(3%)；卑しい女</t>
        </is>
      </c>
      <c r="E597" t="inlineStr">
        <is>
          <t>低い；小さい；薄い；粗末；ささやか</t>
        </is>
      </c>
      <c r="F597" t="inlineStr">
        <is>
          <t>そんな卑しい；どんな卑しい；こんな卑しい；卑しい職業；卑しい事</t>
        </is>
      </c>
      <c r="H597" t="n">
        <v>29</v>
      </c>
      <c r="I597" t="inlineStr">
        <is>
          <t>こんな連中を相手に商売するのは自分の職業を卑しくするというもんだ。；意味を理解できるはずもないが、卑しい言葉であることは察しがついた。；なぜ、宗教というものはこういった卑しい側面をもっているのだろうか。；けれども士族階級のものは算盤を手にすることさえ卑しんだものである。；身分の卑しい者が高貴な人のために働くのは当然のことだからである。；その爲には彼はかなり手段を選ばない位にまで卑しくさへなつてゐる。；たいへん立派な着物をきて反つて品の下つた卑しい感じのする少女がある。；之を見るもの、上なるを高しとせざるべく、下なるを卑しとせざるべし。；私の心にはどうしてこのように卑しい醜いものが住んでいるのだろう?；この顔が、外国人に好かれるのかなと、妙な気がした、卑しい顔だつた。；それは卑しいことであり、少なくとも悪い趣味であるといわれるであろう。；一体、どういう奴か、この品は卑しくなさそうだが無礼そのものの女は。；であれば、即ち何を顧みて自分を卑しくし自分を小にしようかである。；このような行為は相手を侮辱すると共に、己をも卑しくするものである。；東京の真夏には、卑しい街と一緒に自分が汚れていくような恐怖があった。；卑しさを積極的に活用し、成果をあげているという認識まで持っていた。；僕を食い物につられて仕事をする卑しい人間のように思って欲しくない。；私はたまたま街に出ても行き遇う人はみな卑しく、恐ろしく感じられた。；この一連の出来事を窺っていた卑しい男は、その赤玉をもらい受ける。；では、そうした卑しい人間の中傷から己れを守る術はあるのだろうか。；そんな卑しい、下劣なことなどしていないと、喉元まで出かかっていた。；卑しい奴隷めが口をきいてもお叱りにならないでくださいましょうか?；残ったのは、気の抜けたような悲しみと、卑しい自分への軽蔑だけだった。；何か滑稽な卑しいことでもしてるかのように、自分から真赤になっていた。；我々はこの際他人の不幸を喜ぶような卑しい快活に住していてはならない。；キャンヴァスに描かれた顔は前よりいっそう卑しいものになっているだろうか?；世の中には卑しい、汚れた恋をするお嬢さんがいくらあるか知れません。；だが、やりようが卑しいからといって、脅威にならないわけではないのだ。；夫には理解が出来ずマユミを卑しいメス犬でも見るような眼で見た。</t>
        </is>
      </c>
      <c r="J597">
        <f>HYPERLINK("https://www.weblio.jp/content/卑しい", "词义详情")</f>
        <v/>
      </c>
      <c r="K597">
        <f>HYPERLINK("https://yourei.jp/卑しい", "查看例句")</f>
        <v/>
      </c>
    </row>
    <row r="598">
      <c r="A598" t="inlineStr">
        <is>
          <t>癒す</t>
        </is>
      </c>
      <c r="B598" t="inlineStr">
        <is>
          <t>成功</t>
        </is>
      </c>
      <c r="D598" t="inlineStr">
        <is>
          <t>癒すべく；癒すべから</t>
        </is>
      </c>
      <c r="E598" t="inlineStr">
        <is>
          <t>直す；治る；治す；直る；落ち着かせる</t>
        </is>
      </c>
      <c r="H598" t="n">
        <v>29</v>
      </c>
      <c r="I598" t="inlineStr">
        <is>
          <t>だが鳥はおらず、目の前にいる男の病を癒すこともできない自分がいた。；もし王が泉の水で癒されれば、そのときは王自身が泉の心に支配される。；書物の与えてくれる知識は、彼の精神の飢えを癒す血であり肉であった。；現在は拠点をハワイに移し、癒しをテーマに世界に向けて活動している。；それでもいまは、人が癒しを必要としていた本当の意味を知った気がする。；私はブラームスの傷痕がそんなに簡単に癒されたとは思わないのである。；それは兄の死後、父に癒しがたい心の痛みを与えることになったのだった。；男性はかくてこの苦痛の不満を癒すべき報償を女性に要求するに至った。；やがて真牛の経を聞くと心が癒されると貧しい者の間で評判を呼んだ。；まず霊の自由を獲得すれば、病を癒すことぐらいは何でもありません。；時が経っても癒されず命が尽きても尽きない、そんな悲しみはないのだ。；あるいは彼の母であるガンガーが息子の喉を癒したとも言われている。；まずその悪い病気を癒してしまった上でなければ、どうにもならない。；それで、彼女がいつもより強力な癒しの魔法をかけていることが分かった。；その傷は、これから婦人が自分自身で癒していかなくてはならないものだ。；こんなにお手軽に、こんなに簡単に癒されてしまうものだったのかしら。；白い狐が湯で傷を癒しているのを僧の大雲が偶然見かけたと云われている。；少なくとも今の生活が疲れを癒すためだけにあることは僕も充分承知している。；かつては川中島の戦いで負傷した武将が傷を癒したと伝えられている。；血漏の女は今日も癒されつつあり、ヤイロの娘は今日も復活しつつある。；しかし一方で、ゲームと同様に、漫画もまた彼の孤独を癒す手段になる。；その疲れを癒すために、もう一度、あんな風に人間の命を奪ってみたい。；そして、一人になったススムはその時、その悲しみをどう癒すのだろう?；悪鬼の霊を逐い出すことは病気を癒すことよりもはるかに根本的である。；この病を癒してくれぬ以上は何千万人いるも、おらぬと同様である。；打撃は打撃であったが、それは僅かの時間で癒されそうな気がした。；多くの集団に、そうやって増幅された能力を持つ貴重な癒し手が生まれた。；どちらの提案も結局は通過せず、二人の間の溝が癒されることはなかった。；もう一人は、伝蔵の三十一年間の苦労を大幅に癒してくれた人物だった。</t>
        </is>
      </c>
      <c r="J598">
        <f>HYPERLINK("https://www.weblio.jp/content/癒す", "词义详情")</f>
        <v/>
      </c>
      <c r="K598">
        <f>HYPERLINK("https://yourei.jp/癒す", "查看例句")</f>
        <v/>
      </c>
    </row>
    <row r="599">
      <c r="A599" t="inlineStr">
        <is>
          <t>いやというほど</t>
        </is>
      </c>
      <c r="B599" t="inlineStr">
        <is>
          <t>成功</t>
        </is>
      </c>
      <c r="C599" t="inlineStr">
        <is>
          <t>読み方：いやというほど
１それ以上いらないというくらい。あきるほど。「その話は—聞かされた」
２ひどく。「—腰を打つ」</t>
        </is>
      </c>
      <c r="D599" t="inlineStr">
        <is>
          <t>まともに；正面から；思い切って；思い切り；存分に</t>
        </is>
      </c>
      <c r="H599" t="n">
        <v>29</v>
      </c>
      <c r="I599" t="inlineStr">
        <is>
          <t>それが原因で喧嘩になることもあったが、負けたことがなかったという。；こういった映像表現の発生した背景には、初期の写真技術があげられる。；おせいは何んともいえない淫りがましいいやなことをいう人だと思った。；形状が日本列島に似ており、独自の文化が発達しているといわれている。；台風の多い日もしくは風の強い日といわれるが、必ずしも事実ではない。；日本で枝豆が食べられるようになったのは17世紀ごろといわれている。；しかし書かねば此文章のまとまりがつかぬ、いやでも書かねばならない。；この行為から、執筆作業に対しての気持ちが入っていく面もあるという。；古代の哲学者たちはしばしば現代でいう論理学者や数学者を兼ねていた。；人はこの場合の私を余り強過ぎたからだといおうとするかも知れない。；僕はその部屋に這入る時ほどいやだと思ったことはまたとありません。；すると我々凡人はいやが上にも訓練を受ける覚悟をしなければなりません。；いやむしろ彼の中にあるある物は、その事実である事を、祈りさえした。；代わりのボール代だけでも半年間で10万円を超えることになったという。；なに一度の事だからと打ち消して見ても、いやな心地は容易に消えない。；学校や兵舎でも公式な告知や発表文でも広く使われて周知されていった。；私が可愛いと思っている山も、登って見たら存外いやになるかも知れぬ。；そのため、外来諸教と融合しやすい性格を有することになったともいう。；しかし、その単純な対立構図はより理由が鮮明になり熱を帯びていった。；多くの巨人は古い時代の神の信仰が残ったものともいわれている。；こういった系を構築するうえでの問題はTDDFTでより複雑である。；相手認証とはある人が他の人に自分が確かに本人であると納得させるをいう。；いずれも雷に関連する名前であり、雷の精だったのではないかといわれる。；彼はさらに行列式と積の関係についても後少しのところまでいっている。；したがって、閏秒が実施される年であってもその年を閏年とはいわない。；ペンも紙もなかったため、これらを頭の中ですべて思い浮かべていった。；誰もが望まぬままに破局に向かっていくと知る者は神以外にはいやしない。；まあいうたら子供の流行歌手ですよってな、多くは期待しませんでした。；単独島国のオーストラリアではオーストラリア国外のことを海外という。</t>
        </is>
      </c>
      <c r="J599">
        <f>HYPERLINK("https://www.weblio.jp/content/いやというほど", "词义详情")</f>
        <v/>
      </c>
      <c r="K599">
        <f>HYPERLINK("https://yourei.jp/いやというほど", "查看例句")</f>
        <v/>
      </c>
    </row>
    <row r="600">
      <c r="A600" t="inlineStr">
        <is>
          <t>いやに</t>
        </is>
      </c>
      <c r="B600" t="inlineStr">
        <is>
          <t>成功</t>
        </is>
      </c>
      <c r="C600" t="inlineStr">
        <is>
          <t>［副］《形容動詞「いや（嫌）だ」の連用形から》
１状態が異常であるさま。妙に。変に。「何だか—静かな晩だ」
２程度がはなはだしいさま。非常に。ひどく。「この本は—難しい」</t>
        </is>
      </c>
      <c r="D600" t="inlineStr">
        <is>
          <t>いやになるほど(11%)；いやに長い(4%)；いやになるほど；いやに早い；いやに冷たい</t>
        </is>
      </c>
      <c r="E600" t="inlineStr">
        <is>
          <t>ひどく；大変；ずいぶん；たいへん；妙に</t>
        </is>
      </c>
      <c r="F600" t="inlineStr">
        <is>
          <t>いやに軽い；いやに暗い；いやに低い</t>
        </is>
      </c>
      <c r="H600" t="n">
        <v>29</v>
      </c>
      <c r="I600" t="inlineStr">
        <is>
          <t>皆同じ様なことを云い思いして居るのかと思うといやになってしまった。；イギリスの女靴はイギリス女の体がいやに細長いようにとんがって長い。；知らずに気をよくして欲しがっているかと思っているのかと、いやになる。；彼自身の力ではどうしようもないことは、いやになるほどわかっていた。；そのときになってフロイドは、真下の風景がいやに明るいのに気づいた。；海外をまわってみると、老人の観光旅行客がいやに多いのに驚かされる。；あまり単調で立派でもなければ美術的でもないのを見るといやになってしまった。；そのくせ、自分が何かを見た人間のように、いやに落着いているのを感じた。；あん時だつて、着物を出しかけていやになつてしまつたんですもの。；あれがゐないとなると、もう、何も、かも、いやになつてしまひました。；どこに行ってもつまりは失望しなければならないのかと思うといやになってしまった。；どうしてこんなにも、すこしの風さえ吹いてくれないんだろうといやになる。；僕もまだ十六に切りならない妹の為にもう結婚のことをそろそろ心配しなければならないと思うといやになるよ。；目つきだけがいやに鋭い他は、これといって特徴のないただの四十男だった。；とはいうものの一週間も通って、少しも験が見えないと、いやになるもんだ。；ところが、今僕がタクマ少年と歩いている廊下なんだが、それがいやに長い。；船長、あの時僕は、流血船の吃水がいやに深いのに気がついたんです。；そのあとまた学校からと学生からとレポートが来て、いやになる。；僕は人生を愛しているんだ、あまりにも人生を愛しすぎた、いやになるくらい愛しすぎたんだ。；六十になっても、いやになるほど元気な人があってよ。；この手紙だつて今日のうちには着かないと思ひますと、いやになつて仕舞ひます。；来週中せわしい思いをしなければならない事を思うといやになる。；彼の傍にもう一人、目の光がいやに冷たい痩せた男がいた。；いつの間にかテーブルの上に銅の皿が置かれていて、いやに赤い色の炎が揺れていた。；何か云はうと思ひますけれども、何を云つても駄目なのでいやになつて仕舞ひました。；とにかくやることなすこと金儲けのためのようで、いやになるくらいです。；いやに近い距離からの声だったので、その方角を見やって、私は仰天した。；かつていくども棒で、いやになるほどたたきのめされたことをいっているのだろう。；あんな殺風景な椅子でする位なら仕ない方がましだいやになる。</t>
        </is>
      </c>
      <c r="J600">
        <f>HYPERLINK("https://www.weblio.jp/content/いやに", "词义详情")</f>
        <v/>
      </c>
      <c r="K600">
        <f>HYPERLINK("https://yourei.jp/いやに", "查看例句")</f>
        <v/>
      </c>
    </row>
    <row r="601">
      <c r="A601" t="inlineStr">
        <is>
          <t>嫌味</t>
        </is>
      </c>
      <c r="B601" t="inlineStr">
        <is>
          <t>成功</t>
        </is>
      </c>
      <c r="D601" t="inlineStr">
        <is>
          <t>嫌味たっぷり；嫌味をいわ；嫌味っぽく；嫌味ったらしく；嫌味な奴</t>
        </is>
      </c>
      <c r="E601" t="inlineStr">
        <is>
          <t>皮肉；風刺；諷刺；厭味；嫌み</t>
        </is>
      </c>
      <c r="F601" t="inlineStr">
        <is>
          <t>嫌味たらしい；こんな嫌味</t>
        </is>
      </c>
      <c r="H601" t="n">
        <v>29</v>
      </c>
      <c r="I601" t="inlineStr">
        <is>
          <t>そんなことしていながら、家にいるときは母に嫌味ばかり言ってました。；筵旗のように救いようのない嫌味な男にはこのような言葉は使われない。；こんな時ならば、離婚のことで嫌味を言われる心配もないというものだ。；味方相手に嫌味をいっている暇があるなら、本当のことを話してください。；その様子は彼女の邪慳な様子よりもなおいっそう嫌味なものであった。；若い女性が同じこと言ったら嫌味かつっぱりに思われるかもしれない。；両親に自分は美人だと言われ育てられてきたため、高慢で嫌味な性格。；老いてますます盛大な人もありますが、これはやはり嫌味を伴いやすい。；初日から遅刻したら、あの女王様にどんな嫌味を言われるかわからない。；前者よりはるかに精練されてるとともに、またより嫌味なものであった。；「いいとこのお嬢様なんだね」って嫌味しか言えない自分も嫌になった。；「絵になるかならないか知らないけどさ」 と良介が声に嫌味を交えた。；それは結構だけれど、へんなところで熟練してしまって嫌味にもなる。；「ちょっとおたずねしますが」と治夫は例の嫌味の口調で会話を始めた。；それほど彼の言うことは自分の耳にさえ嫌味に皮肉に聞えた。；お綱は、恋だなんて嫌味なことを、いいもしなければ思いもしない。；その気取った所作が、見る者に嫌味を感じさせないくらい板についていた。；その嫌味な態度がいよいよ団平に似てくるような気がする。；いや、これは皮肉でも嫌味でもなんでもなく、僕は今本心でそう思う。；あのときの瞳で軽い嫌味を言ってくれたらどんなに楽だったろう?；皮肉や嫌味を先に口にすることで、男同士の間の力関係が微妙に違ってくる。；人間が野心を持たないで、無心で物を造るとき、その作品は嫌味がない。；謙虚で丁寧で腰低いだろ、最初は嫌味かと思ったけど、ありゃ性格だな。；こっちは嫌味のつもりで言っているのに、まったく通じていない。；頬を撫でるのは嫌味なほどに爽やかな風、頭上には明るく、真っ青な空。；夜は真っ暗だからどうにもならないし、やれば明らかに嫌味になりますよ。；けれど『そんなに嫌味な笑い方じゃなかったんだな』と美甘子は気づいた。；どうしてこんな嫌味なやつのことを、本気で心配したんだろう。；しかし、あとで笛小路がその話をもち出して嫌味をいうもんですから。</t>
        </is>
      </c>
      <c r="J601">
        <f>HYPERLINK("https://www.weblio.jp/content/嫌味", "词义详情")</f>
        <v/>
      </c>
      <c r="K601">
        <f>HYPERLINK("https://yourei.jp/嫌味", "查看例句")</f>
        <v/>
      </c>
    </row>
    <row r="602">
      <c r="A602" t="inlineStr">
        <is>
          <t>嫌らしい</t>
        </is>
      </c>
      <c r="B602" t="inlineStr">
        <is>
          <t>成功</t>
        </is>
      </c>
      <c r="C602" t="inlineStr">
        <is>
          <t>読み方：いやらしい
［形］［文］いやら・し［シク］
１態度・ようすなどが不愉快でいやみな感じである。いとわしい。「おべっかばかり使って—・い」
２好色らしい感じである。「—・い目つき」
[派生]いやらしげ［形動］いやらしさ［名］</t>
        </is>
      </c>
      <c r="D602" t="inlineStr">
        <is>
          <t>嫌らしい笑み(4%)；嫌らしいもの(3%)；嫌らしい音(3%)；嫌らしい笑い(2%)；嫌らしい顔</t>
        </is>
      </c>
      <c r="E602" t="inlineStr">
        <is>
          <t>嫌；不快；厭；不愉快；汚い</t>
        </is>
      </c>
      <c r="H602" t="n">
        <v>29</v>
      </c>
      <c r="I602" t="inlineStr">
        <is>
          <t>嫌らしい程に強い『大人』になるものだと、勝手にそう思っていたのだ。；しかも、なんて嫌らしい奴だといわんばかりの態度を見せなくてはならない。；あいつのここ数日の嫌らしい笑顔は、これを見越してあったんだろう。；嫌らしい偶然の符合は、そんな過去の段階で発生していたことになる。；私は一同が演奏場に入ってきた瞬間に、両人とも嫌らしい人だと思いました。；野呂が柄にもなくこんな微笑をうかべると、まったく嫌らしい感じです。；ほかにもいろいろと、嫌らしいことをたくさんされているんです。；父は病院の名を出すのが、嫌らしかつたが、なんとも仕方がなかつた。；セルベラの笑みは毒気のないものだが、僕の笑みはかなり嫌らしいものだ。；あれこれ嫌らしい搦手を得意とするが、直接の攻撃力では他の色に劣る。；「愛しあうことは嫌らしいことじゃないよ」と夫は不意に真顔になる。；やや人間のそれに似た顔には、人を小馬鹿にしたような嫌らしい笑みが刻まれていた。；遠目には正方形に見える体格の男が、煙草を投げ捨てて嫌らしく笑った。；そんなことは不潔で嫌らしいと、萌はどうして口にしなかったのか。；得意先に嫌らしいほどへりくだった口をきく裏返しなのか、店では横柄だ。；年とった亭主のなかでもいちばん見っともなく、いちばん嫌らしいやつだがね。；所狭しと並べられる障害物の配置が嫌らしく、高い反射神経を問われる。；混雑した店の喧噪の中、泉には女の咀嚼する嫌らしい音が聞こえた。；最後の作品で城ヶ崎先輩のカリスマぶりに嫌らしく水がさせれば良いと思った。；私はどうもおなじ部屋にひとがいるのが嫌らしい。；何と嫌らしいことかと人々がこれを非難し、政府もこれに征を掛けることにしたのです。；わたしがあなたを知ってるとわかったあとで、彼女は嫌らしい笑い方をしながらいったわよ。；にやにやと笑って嫌らしく肩を叩かれて褒められるよりも、ずっとましだ。；というより、先生が自分以外の人間と話すのが嫌らしい。；嫌らしい音をたてて、サンドイッチにされた警官の腰は両断されてしまったのである。；会社の中であっても、どうしても上下関係が顔を出してしまって嫌らしくなるのが普通です。；そして乱暴な女は私の顔や身体を嫌らしい目つきで睨み付けるのよ。；人妻を見たいために、子供に毒を飲ませるような嫌らしい男にはちょっと見えない。；田舎芝居の新派の女形が愁嘆するような、なんとも嫌らしい真似をする。</t>
        </is>
      </c>
      <c r="J602">
        <f>HYPERLINK("https://www.weblio.jp/content/嫌らしい", "词义详情")</f>
        <v/>
      </c>
      <c r="K602">
        <f>HYPERLINK("https://yourei.jp/嫌らしい", "查看例句")</f>
        <v/>
      </c>
    </row>
    <row r="603">
      <c r="A603" t="inlineStr">
        <is>
          <t>いよいよ</t>
        </is>
      </c>
      <c r="B603" t="inlineStr">
        <is>
          <t>成功</t>
        </is>
      </c>
      <c r="C603" t="inlineStr">
        <is>
          <t>読み方：いよいよ
［副］
１持続的に程度が高まるさま。ますます。より一層。「—雨が激しくなる」
２不確定なものが確定的になるさま。まさしく。「昇進は—明らかだ」「—もって彼が怪しい」
３待望していた物事が成立したり実現したりするさま。とうとう。ついに。「新社屋が—完成する」「—試合開始だ」
４重大な事態に至ろうとしているさま。いざ。「—の時は加勢を頼むよ」</t>
        </is>
      </c>
      <c r="D603" t="inlineStr">
        <is>
          <t>いよいよ深く；いよいよ強く；いよいよ激しく；いよいよ大きく；いよいよこれから</t>
        </is>
      </c>
      <c r="E603" t="inlineStr">
        <is>
          <t>初めて；ようやく；ついに；遂に；漸く</t>
        </is>
      </c>
      <c r="F603" t="inlineStr">
        <is>
          <t>いよいよひどく；いよいよますます；いよいよわから；いよいよ近づい；いよいよ驚い</t>
        </is>
      </c>
      <c r="H603" t="n">
        <v>29</v>
      </c>
      <c r="I603" t="inlineStr">
        <is>
          <t>あいつもいよいよ原稿を買う段になると、一つ一つ字を勘定するからね。；会員たちは、いよいよ全員でのクーデターが始まるのだと思ったという。；そしてモンスターの書が魔法の書を欲した理由がいよいよ明らかになる。；さて今までは他人のことばかりいつてきたが今度はいよいよ監督の番である。；これはいよいよ始まったかと思って門の前へ出て見たが、火は見えず。；まわりに、これを聞いていた一同は、いよいよこれは気が変な娘だわい。；手にすることがなくなって、父も母も心の思いはいよいよ乱れるのである。；今まで経験してきたことを発揮するときがいよいよ来たんです。；いよいよ太平洋を西から東へ、一万四千キロの横断飛行が始るのである。；兄には妻がありかつ年をとっている兄であるといよいよむずかしい。；いよいよおとよさんがおれを思ってるに違いなけりゃ、どうせばよいか。；電光形に正しく先頭の後を登って行くといよいよ初めての下りがきた。；そんな日々を過ごしていたが、いよいよ上京する日が近づいてくる。；当時のフランス世論ではここでいよいよ対独戦争の可能性が強くなる。；こう思うと自分がどれだけ花前に勝っているか、いよいよわからなくなる。；それよりも気になるのは食糧事情であり、配給はいよいよ微力となった。；明日はいよいよ伐採という日の深夜に、美しい娘が上人のもとを訪れた。；いよいよ変だと思うから大声で喚いてドンドンやったが、成るほど夢か。；そして陸軍に宇垣大将にいよいよ大命が下されるとの情報が入ってきた。；いよいよ時間がきたので、反対側に居る先生が、それッと合図をした。；そこで尻尾を振って居たが、いよいよ行くというまでに決心がつかなかった。；何度も負傷したが屈する事無く戦い続け、その名声はいよいよ高まった。；怪塔王の部屋は、いよいよこの階段を一つのぼれば、そこにあるのです。；夜はいよいよ暗くなり、星影も空に深く沈んでゆくように思われた。；おれもいよいよ肺病ときまれば詩人生活だ、それよりほかにみちはない。；秋には3頭立てのフォワ賞を勝っていよいよ最大目標の凱旋門賞に挑む。；するとこの問題はいよいよ特殊の場合について研究することを要する。；そこでいよいよマルコは父親も承知してくれたので旅立つことになりました。；だんだん近づくにつれて、その桃色の花は、いよいよ巨大に見えてきた。</t>
        </is>
      </c>
      <c r="J603">
        <f>HYPERLINK("https://www.weblio.jp/content/いよいよ", "词义详情")</f>
        <v/>
      </c>
      <c r="K603">
        <f>HYPERLINK("https://yourei.jp/いよいよ", "查看例句")</f>
        <v/>
      </c>
    </row>
    <row r="604">
      <c r="A604" t="inlineStr">
        <is>
          <t>意欲</t>
        </is>
      </c>
      <c r="B604" t="inlineStr">
        <is>
          <t>成功</t>
        </is>
      </c>
      <c r="C604" t="inlineStr">
        <is>
          <t>読み方：いよく
［名］(スル)
１進んで何かをしようと思うこと。また、その心の働き。「—あふれる人材を求める」「研究—に燃える」
「衝動はこれに能動的に働きかけて認識し、情感し、—する」〈倉田・愛と認識との出発〉
２哲学で、種々の動機の中から選択した目標に、積極的に働く意志活動。狭義には、主観的、特殊的な意志活動、すなわち任意・気随の意。</t>
        </is>
      </c>
      <c r="D604" t="inlineStr">
        <is>
          <t>意欲的な作品；意欲的な試み；意欲的な設計；意欲低下；意欲満々</t>
        </is>
      </c>
      <c r="E604" t="inlineStr">
        <is>
          <t>思い；夢；希望；熱心；念</t>
        </is>
      </c>
      <c r="F604" t="inlineStr">
        <is>
          <t>購買意欲；学習意欲；強い意欲；戦闘意欲；たいという意欲</t>
        </is>
      </c>
      <c r="G604" t="inlineStr">
        <is>
          <t>意欲作</t>
        </is>
      </c>
      <c r="H604" t="n">
        <v>29</v>
      </c>
      <c r="I604" t="inlineStr">
        <is>
          <t>膨大な体系であってもその背後に実践的な意欲・試みが反映されていた。；このような保護者の存在は、指導者などの意欲を大きく削ぐ原因となる。；家の広さが無限にあったら集めたい欲を抑え切れないと発言している。；当時からICカード化にも意欲を見せていたが、この時は断念している。；しかし、その意欲がどのくらい強固なものであったかは、別問題である。；就農意欲のある高校卒業程度の者を対象とした2年間の養成部門を持つ。；LG電子もまた、より高機能な端末の開発に挑戦する意欲を見せている。；新作漫画の執筆意欲は見せていたものの作品発表はなされていない。；しかし意欲的に治療に取り組んで回復し、ほぼ抑え込むことに成功した。；また、ショワズールには新技術を積極的に利用しようとする意欲があった。；いずれも、代替わりした経営者の意識・意欲がポイントであるといえる。；また巡航ミサイルを中心とする戦略兵器の削減に意欲的であるとされる。；現在も日本の生活を主なテーマに意欲的な活動が続いている。；祖母は口には出さないけれど、長生きしたい欲があったのではないかと思う。；未完で終わったことについては、続編を描くことへの意欲を見せている。；公式サイトによれば、以下の分野・領域の図書刊行にも意欲的だとされる。；新しい着物を買ったばかりなので、それを披露したい欲もあった。；これに刺激を受けたのか再びレーシング生活に戻る意欲を見せているとの情報もある。；ドラティ在任中は、最も意欲的な録音活動が行われた時期と言われている。；原作の演芸会を中核にして日本人の戦争への態度を問う意欲的な作品である。；意欲的な設計がなされた本型は大型の水中翼を装備していた。；楠田はこの出会いが英語・英会話の再学習意欲につながったと語っている。；意欲的な設計ではあったが成績は大きく低迷し、予選不通過もしばしばであった。；また、自ら学ぶ意欲を喚起するシステムの構築なども行われている。；このことから、学習意欲面における二極化傾向が見られることとなった。；北方領土問題解決に関し、大統領就任当初から意欲的な姿勢を示していた。；チェス等の棋譜では意欲的な注目すべき手を示すのに用いられる。；もスーパースターズと契約して試合には出たが、すでに意欲を喪失していた。；すでにいくつかの調査で新しい包装のほうが消費意欲と評価を向上させることが発見されていた。</t>
        </is>
      </c>
      <c r="J604">
        <f>HYPERLINK("https://www.weblio.jp/content/意欲", "词义详情")</f>
        <v/>
      </c>
      <c r="K604">
        <f>HYPERLINK("https://yourei.jp/意欲", "查看例句")</f>
        <v/>
      </c>
    </row>
    <row r="605">
      <c r="A605" t="inlineStr">
        <is>
          <t>依頼</t>
        </is>
      </c>
      <c r="B605" t="inlineStr">
        <is>
          <t>成功</t>
        </is>
      </c>
      <c r="C605" t="inlineStr">
        <is>
          <t>読み方：いらい
［名］(スル)
１人に用件を頼むこと。「—を引き受ける」「執筆を—する」
２他人を当てにすること。頼み。「—心が強い」</t>
        </is>
      </c>
      <c r="D605" t="inlineStr">
        <is>
          <t>依頼する(9%)；依頼される(2%)；依頼主；依頼状；依頼内容</t>
        </is>
      </c>
      <c r="E605" t="inlineStr">
        <is>
          <t>仕事；求め；要求；求める；任務</t>
        </is>
      </c>
      <c r="F605" t="inlineStr">
        <is>
          <t>ほしいと依頼；制作依頼；原稿依頼；調査依頼；欲しいと依頼</t>
        </is>
      </c>
      <c r="G605" t="inlineStr">
        <is>
          <t>依頼者；依頼心；依頼書；依頼表現</t>
        </is>
      </c>
      <c r="H605" t="n">
        <v>29</v>
      </c>
      <c r="I605" t="inlineStr">
        <is>
          <t>企業が自社で調査せずに同社のような第三者へ依頼する調査方法をいう。；さらに、晩年になっても友人に昔の作品を処分するよう依頼している。；父王と違い、しばしば議会に戦費の支出を依頼しなければならなかった。；そのような中で依頼が来たのが日本の帝国ホテル新館設計の仕事であった。；伯爵はボヘミア王であると認めてマスクを取り、依頼の内容を語り出す。；その後、TV版が制作されることになり、再び高畑の元へと依頼が来る。；この小説をきっかけとして、大きな脚本の依頼が入ってくることになった。；この時期、ルビンからの出演依頼がイーストウッドの生活を支えていた。；サマセット・モームに執筆を依頼し短い作品を連載したところ評判になった。；これは蔣介石が友人の呉稚暉に息子の教育係を依頼する意味があった。；依頼を受けた万次は、凜と共に逸刀流との戦いに身を投じることになる。；それどころか、小銃の取得に全力を挙げるように依頼されたのであった。；最後にフランスに依頼したのが、プロヴァンス級戦艦の輸出仕様であった。；紛失の場合と同様に新たな番号のカードへ切り替え再発行の依頼も検討する。；価格は非公開で、オーナーの依頼により複数台が製造されることもある。；出版社はトールキンの腕前に満足し、本のカバーのデザインも依頼した。；現在は学内だけでなく外部大会や地域活動、依頼演奏も行っている。；乗車時に運転手に依頼すれば、特定の目的地に到着した際に教えてはくれる。；なお、選挙期間中の電話による投票依頼は公職選挙法で認められている。；また、私的な依頼による行動も外部からの信頼を失うため、禁止された。；VTR中では、本題の依頼と別の依頼とを組み合わせて放送することもある。；自社で製作する場合と、専門の会社に製作を依頼することもある。；ソニーから携帯電話での漫画配信を依頼されるがほとんど収入になるものではなかった。；これを浅草の商人に販売を依頼した事で「浅草海苔」の名前が付いた。；その様子に感動した人達の中にいた地元の人形創作グループから指導を依頼される。；依頼を受けた2人は、ともに西部の熱心な信奉者として知られていた。；この曲のベースはグレッグ・レイクに依頼して弾いてもらっている。；これがきっかけで、漫画の仕事の依頼が来るようになった。；この際、司馬懿は長男の司馬師を中護軍に転任させるよう依頼している。</t>
        </is>
      </c>
      <c r="J605">
        <f>HYPERLINK("https://www.weblio.jp/content/依頼", "词义详情")</f>
        <v/>
      </c>
      <c r="K605">
        <f>HYPERLINK("https://yourei.jp/依頼", "查看例句")</f>
        <v/>
      </c>
    </row>
    <row r="606">
      <c r="A606" t="inlineStr">
        <is>
          <t>以来</t>
        </is>
      </c>
      <c r="B606" t="inlineStr">
        <is>
          <t>成功</t>
        </is>
      </c>
      <c r="C606" t="inlineStr">
        <is>
          <t>読み方：いらい
１その時よりこのかた。それより引き続き。「正月—ずっと禁煙している」
２こののち。今後。以後。「—慎みます」</t>
        </is>
      </c>
      <c r="D606" t="inlineStr">
        <is>
          <t>以来初めて；以来約；以来ずっと；以来続い；以来はじめて</t>
        </is>
      </c>
      <c r="E606" t="inlineStr">
        <is>
          <t>これから</t>
        </is>
      </c>
      <c r="F606" t="inlineStr">
        <is>
          <t>時以来；あれ以来；創設以来；開業以来；とき以来</t>
        </is>
      </c>
      <c r="H606" t="n">
        <v>29</v>
      </c>
      <c r="I606" t="inlineStr">
        <is>
          <t>集団を形成するようになる有史以来、人類が繰り返してきたものである。；首相経験者が暗殺されるのは二・二六事件以来であり、戦後初である。；石油が発見されて以来、州経済は石油産業の状況に大きく依存してきた。；それ以来、燃料電池は他の多くのアプリケーションにも使用されている。；日本では明治の梅謙次郎以来その歴史は長いが、あまり支持されていない。；以来、再打上げの噂があるが現在の政治情勢ではその可能性は極めて低い。；本形式は登場以来需要の変化に対応するため、頻繁に編成が組みかえられた。；古代以来の各時代や社会と建築の関係、工法の発達などを研究する。；古代以来の哲学者たちがそれをどのように理解し説明してきたか、次に挙げる。；家康の重臣のほとんどは三河以来の代々仕えてきた家臣たちであった。；顔の浮かぶ特定の個人に向けて映画を作るという経験はそれ以来のことだった。；一方で先史時代以来使われた素材の多くも、現在も変わらず使われ続けている。；この称号は、設立以来、現役のイギリスの君主によって保持されてきた。；ユーゴー家はロレーヌの農民の出だが、父親はフランス革命以来の軍人。；これに大きな衝撃を受けた諭吉は、それ以来、英語の必要性を痛感した。；独立の経緯以来、インドとの間では緊張関係が継続している。；有事法制の研究は戦後、防衛庁が設置されて以来、長年の懸案であった。；それ以来、アイルランドは記録的な金利で長期債を売却することができた。；このシリーズ以降、FOMA発売以来使われてきた初代ロゴが無くなる。；本系列においても03系以来となる車両制御情報管理装置を搭載している。；それ以来、時宗・一向宗の僧が遊行に用いるようになり全国に広まった。；写真の誕生以来、自然科学者などの多くの学者や芸術家が写真に関心を示してきた。；そして1986年に統一標準規格が発表されて以来非常に多くの改正が行われた。；天皇杯でも東京ガス時代の1997年以来となるベスト4へ進出した。；以来、他の西鉄の鉄軌道線と接続する駅がない孤立路線となっている。；これ以来複数のバージョンがリリースされている。；これは、約1000人分の座席数で、登場以来最混雑列車に使用されていた。；分離元鉄道事業者の社長は設立以来初めてのことであった。；折田の功績を顕彰するための像は1940年以来過去3回製作されている。</t>
        </is>
      </c>
      <c r="J606">
        <f>HYPERLINK("https://www.weblio.jp/content/以来", "词义详情")</f>
        <v/>
      </c>
      <c r="K606">
        <f>HYPERLINK("https://yourei.jp/以来", "查看例句")</f>
        <v/>
      </c>
    </row>
    <row r="607">
      <c r="A607" t="inlineStr">
        <is>
          <t>いらいら</t>
        </is>
      </c>
      <c r="B607" t="inlineStr">
        <is>
          <t>成功</t>
        </is>
      </c>
      <c r="C607" t="inlineStr">
        <is>
          <t>読み方：いらいら
［副］(スル)
１思いどおりにならなかったり不快なことがあったりして、神経が高ぶるさま。いらだたしいさま。「連絡がとれず、—する」
２陽光などが強く照りつけるさま。じりじり。
「—と畳のはしへ射し入っている日影を見つめて」〈三重吉・桑の実〉
３とげなどが皮膚に刺さる感じを表す。ちくちく。「のどが—する」
「刺(とげ)に手を触れて見ると、—と指をさす」〈漱石・草枕〉
［名］神経が高ぶって、落ち着きを失っている状態。「—がつのる」
［アクセント］はイライラ、はイライラ。</t>
        </is>
      </c>
      <c r="D607" t="inlineStr">
        <is>
          <t>いらいらする(9%)；いらいらさせる(3%)；いらいらしはじめ；いらいらさせられる；いらいらしてる</t>
        </is>
      </c>
      <c r="E607" t="inlineStr">
        <is>
          <t>不満；ストレス；葛藤；苛立ち；イライラ</t>
        </is>
      </c>
      <c r="F607" t="inlineStr">
        <is>
          <t>かなりいらいら；たまらなくいらいら；内心いらいら；いらいらする気持</t>
        </is>
      </c>
      <c r="H607" t="n">
        <v>29</v>
      </c>
      <c r="I607" t="inlineStr">
        <is>
          <t>それはわたし自身の不幸よりもっとわたしをいらいらさせたように思う。；その日の夕方ほどいらいらして待ったことは、生れてから初めてだった。；これから自分がいなくなることにいらいらしているのはあきらかだった。；こいつはお客様が相当いらいらしているところからみて重大な事件だぜ。；王は前よりも早くいらいらした調子に部屋を歩いて無意識にまどによる。；彼はいらいらしたが、今いわれたことは本当には違いないとは思った。；しかし、そうしながらも、いらいらと窓のほうに顔を向けつづけている。；そして同時に公爵夫人ズーニの靴がいらいらと床を叩いているのを見た。；あらゆる役人は、平静らしく見えるときでさえもいらいらしているのだ。；すこし気の重いようなときは、きっといらいらした気持ちにさせるからだ。；ドアをしめてくれ、と寝台にかがみこんでいた男がいらいらして言った。；彼女も僕の目のなかにいらいらした気持ちをちゃんと読み取っていた。；何だかやたらにいらいらして夜はなにも出来ない様な心持になって居た。；それがどうして今度ばかりは今までよりもいらいらするのだろうと彼は思った。；ときおり町角まで行ってみては、通りをいらいらした気持で眺めてみた。；前にもいったように、わたしは自分の舟に乗りたくて多少いらいらしていた。；私は一人でいて彼の名を思い浮かべただけでも、もういらいらし初める。；ときどきはぼくもこんなふうに、お父さんをいらいらさせると見えますね。；彼はこの二人の声にいらいらして、足をじっとさせていることができなかった。；わたしは、その悲鳴が変にいらいらさせるものだということを感じていた。；小さな事に氣をとられて、いらいらばかりしてゐる自分のやうな女は。；彼女が誰かを愛するかも知れないと思うことは彼をいらいらさせた。；田島にだけは何かいいたいことがあるように思われていらいらした。；この日はこうした街上の混雑が、普段よりも一倍わたしをいらいらさした。；セヴォーラが頭を上げて、主人が窓のところでいらいらしているのを見た。；彼は、少女が退屈して、立ち上りはしないかと思うといらいらしてくる。；そのため若い二人がひどくいらいらしていたことは申すまでもない。；それがまた、あなたをあんなにいらいらさせた問題の解決になるんですよ。；そして、主人の帰りをいらいらして待っているこの若い夫人の困惑ぶりは?</t>
        </is>
      </c>
      <c r="J607">
        <f>HYPERLINK("https://www.weblio.jp/content/いらいら", "词义详情")</f>
        <v/>
      </c>
      <c r="K607">
        <f>HYPERLINK("https://yourei.jp/いらいら", "查看例句")</f>
        <v/>
      </c>
    </row>
    <row r="608">
      <c r="A608" t="inlineStr">
        <is>
          <t>イラスト</t>
        </is>
      </c>
      <c r="B608" t="inlineStr">
        <is>
          <t>成功</t>
        </is>
      </c>
      <c r="C608" t="inlineStr">
        <is>
          <t>「イラストレーション」の略。</t>
        </is>
      </c>
      <c r="D608" t="inlineStr">
        <is>
          <t>イラスト入り；イラスト担当；イラスト等；イラスト付き；イラスト化</t>
        </is>
      </c>
      <c r="E608" t="inlineStr">
        <is>
          <t>絵；映像；図；画；画像</t>
        </is>
      </c>
      <c r="F608" t="inlineStr">
        <is>
          <t>カバーイラスト；パッケージイラスト；描き下ろしイラスト；イメージイラスト；キャラクターイラスト</t>
        </is>
      </c>
      <c r="G608" t="inlineStr">
        <is>
          <t>イラストレーション；イラストリアス；イラスト集；イラストレータ；イラストレイテド・ロンドン・ニュース</t>
        </is>
      </c>
      <c r="H608" t="n">
        <v>29</v>
      </c>
      <c r="I608" t="inlineStr">
        <is>
          <t>ゲームソフト宣伝用イラスト等でも大きく取り上げられたこともあった。；姫を図案化した少女のイラストに背表紙に赤文字でタイトルが書かれた。；同社の電撃文庫MAGAZINEにてイラストが掲載されることがある。；AIに自然言語で指定したイラスト生成させるサービスも登場している。；現在も会社のシンボルマークにブルドッグ犬のイラストが使われている。；子供の頃は少年漫画が好きでイラストを学級新聞などに描いていたという。；文字と写真・イラストなどの図形により各種情報を提供する雑誌状の番組。；完全オリジナル・フルボイスで、原作イラストが忠実に再現されている。；チェッカーズ時代にはチケットのイラストのデザインを担当した事もある。；かつての製品パッケージには小林信夫によるイラストが使用されていた。；似顔絵や、イラストはプロ級の腕前で週刊ゴングでは連載も持っていた。；キャラクターのイラストは基本的に各作品のイラストレーターが担当している。；森博嗣が小説家としてデビューした後も複数作品でイラストを手がけている。；俳優業の傍ら、イラスト・文筆などの創作活動も並行して行なっている。；カラーイラストではコピックを多用することが多いが最近はCGも使用。；連載終了後も本誌の広告の企画コーナーでイラストがたびたび掲載されていた。；そのような可愛らしいキャラクターのイラスト全般を指す場合もある。；この時は映像ではなく簡単なイラストで再現された。；オープニング映像は実写とイラストを組み合わせたものになっている。；のように路線ごとに形が異なり、イラストは大幅に簡略化された。；また、こうした歴史を、詳細を極める数多くのイラストに残している。；現在では肩書きを主にイラストレーターとし、漫画やイラスト提供を行う。；ボスが倒されるシーンはグラビアではなくイラストで記載されている。；三国志大戦にはイラストレーターのほか漫画家もイラストを描いている。；高速バス・貸切バスはふくのイラストが描かれたデザインの塗装である。；イラスト左から、従動車が原動車と同じ回転方向を得るオープンベルト。；イラストの活動の他にも、アーティストへの作詞活動も行っている。；また時期よってにはイラストなどが入れられていた。；富士見ファンタジア文庫で出版されていた際は七瀬葵がイラストを担当した。</t>
        </is>
      </c>
      <c r="J608">
        <f>HYPERLINK("https://www.weblio.jp/content/イラスト", "词义详情")</f>
        <v/>
      </c>
      <c r="K608">
        <f>HYPERLINK("https://yourei.jp/イラスト", "查看例句")</f>
        <v/>
      </c>
    </row>
    <row r="609">
      <c r="A609" t="inlineStr">
        <is>
          <t>いらっしゃる</t>
        </is>
      </c>
      <c r="B609" t="inlineStr">
        <is>
          <t>成功</t>
        </is>
      </c>
      <c r="C609" t="inlineStr">
        <is>
          <t>［動ラ五（四）］《動詞「いらせらる」（下二段）が変化して五段（四段）活用化したもの》
１「行く」「来る」「居る」の尊敬語。おいでになる。「休日にはどこへ—・るのですか」「先生が—・った」「明日は家に—・いますか」
２（補助動詞）
㋐（動詞の連用形に接続助詞「て」を添えた形に付いて）「ある」「いる」の尊敬語。「原稿を書いて—・る」
㋑（形容詞の連用形に接続助詞「て」を添えた形、また形容動詞の連用形に付いて）補助動詞「ある」「いる」の尊敬語。「いつもお若くて—・る」「ご健康で—・る」
[補説]連用形が丁寧の助動詞「ます」に続くときには、「いらっしゃいます」の形をとる。また、語源は「入らせらる」であるから、「居らっしゃる」と書くのは誤り。</t>
        </is>
      </c>
      <c r="D609" t="inlineStr">
        <is>
          <t>いらっしゃるんです(5%)；いらっしゃるでしょ(4%)；いらっしゃるんでしょ；いらっしゃるらしい；いらっしゃるはずです</t>
        </is>
      </c>
      <c r="E609" t="inlineStr">
        <is>
          <t>いる；ある；である；くる；行く</t>
        </is>
      </c>
      <c r="F609" t="inlineStr">
        <is>
          <t>覚えていらっしゃる；考えていらっしゃる；持っていらっしゃる；知っていらっしゃる；いらっしゃるかもしれ</t>
        </is>
      </c>
      <c r="H609" t="n">
        <v>29</v>
      </c>
      <c r="I609" t="inlineStr">
        <is>
          <t>風は通しても横になっていらっしゃる背中はかなり暑いことでしょうね。；あなたはさっきのことではもう怒ってはいらっしゃらないでしょう、ね?；第一の被害者が殺害されたとき、あなたはここにいらっしゃらなかった。；ところが、あなたはそれになんの意味も認めていらっしゃらんでしょう?；あなたはここでも、廊下を歩いたりいろいろしていらっしゃるわけです。；あなたが私に逢いたがっていらっしゃることが、私の心を打ったのです。；お姉さまはあの時のことはもう全くおぼえていらっしゃらないでしょう。；あなたは、私が有罪だとお考えになってはいらっしゃらないでしょうね。；あなたが私に、弱いと知っていらっしゃる私に助けをお求めなさるなら。；それを、あなたはお判りになってはいらっしゃらなかったのでしょうか。；あなたはお職業柄で女の心を御承知でいらっしゃるはずでございますからね。；あなたは私が遊びに行きたがっているとでも思っていらっしゃるのでしょう。；「何年もここにいらっしゃったような気がしますわ」と、彼女はいった。；鎌倉まで、いらっしゃるといってそのまま東京へお帰りになったのです。；お出かけになっていらっしゃる間に、放送が進むといいなっと思います。；もう生きてはいらっしゃらないとあきらめていましたなどと口々にいう。；この方が過去、手先を使う仕事にしばらく従事していらっしゃったこと。；もしその辺を心配している方がいらっしゃったら、どうぞご安心下さい。；唯円 でもお師匠様も心ではあなたに会いたくっていらっしゃるのです。；ところが睡っていると思った先生が起きてお仕事をしていらっしゃった。；御自分のお子様にさえお名前から一字も取ってはいらっしゃらないのに。；そんな古いマントルを着ていらっしゃれば下男か何かと思われますもの。；これはきっと仏さまの道を深く信じていらっしゃる功徳に違いありません。；こんなになっても、きっとお酒の事ばかり考えていらっしゃるんだから。；それで、あなたはこの手紙にかいているようなこと思っていらっしゃるの。；ご承知のようにあの方はメルフォード修道院にはいらっしゃらなかった。；あなた方はそれでたくさんだと思っていらっしゃるかも知れません。；そのくせ貴方自身も心の中では妾の百倍も泣いていらっしゃるくせにね。；あんなのに、つれていらっしゃらなくたってよかったのじゃないのかしら。</t>
        </is>
      </c>
      <c r="J609">
        <f>HYPERLINK("https://www.weblio.jp/content/いらっしゃる", "词义详情")</f>
        <v/>
      </c>
      <c r="K609">
        <f>HYPERLINK("https://yourei.jp/いらっしゃる", "查看例句")</f>
        <v/>
      </c>
    </row>
    <row r="610">
      <c r="A610" t="inlineStr">
        <is>
          <t>入り</t>
        </is>
      </c>
      <c r="B610" t="inlineStr">
        <is>
          <t>成功</t>
        </is>
      </c>
      <c r="C610" t="inlineStr">
        <is>
          <t>読み方：いり
１外から、ある場所や社会などにはいること。「仲間—」「楽屋—」
２ある物の中にはいっていること。また、その分量やはいりぐあい。「客の—がいい」「ユズ—豆腐」
３日や月がしずむこと。「日の—」
４（「要り」とも書く）入用。入費。かかり。「物—」
５収入。あがり。みいり。「—が少ない」「—のいい仕事」
６ある時期・期間などにはいる最初の日。はじまり。「彼岸の—」「土用の—」</t>
        </is>
      </c>
      <c r="D610" t="inlineStr">
        <is>
          <t>入るとすぐ；入るべき；入るべから；入るべく；入ると間もなく</t>
        </is>
      </c>
      <c r="E610" t="inlineStr">
        <is>
          <t>入学；陥る；乗り入れる；入って行く；飛び込む</t>
        </is>
      </c>
      <c r="F610" t="inlineStr">
        <is>
          <t>攻め入る；筋模様が入る；分け入る；入ると直ぐに；入ると神仏分離</t>
        </is>
      </c>
      <c r="H610" t="n">
        <v>29</v>
      </c>
      <c r="I610" t="inlineStr">
        <is>
          <t>明治に入ると、近代的な会社・企業組織などの考えが日本にも伝わった。；この入浴方法が一般化したのは江戸時代に入ってからと考えられている。；アフターマーケットでは様々な物が手に入るので好みの物に交換できる。；ソウルでの大怪我の後は腕も細くなり左手に力が入らない状態であった。；帰還カプセルの中には小惑星由来と考えられる物質が大量に入っていた。；スラヴ人たちは、それぞれ異なる時期に段階的にこの地域に入ってきた。；私は格子の前に集まっている人々をつきのけて中に入ろうと試みました。；また寛解に入っていない非寛解期に移植をしても失敗する可能性は高い。；石鹸の入ったお湯は貴重だったため、そのまま何度も再利用されていた。；従って、他人の部屋へ入ろうと思えば、誰でも容易に入ることが出来た。；志願期を終えた後でようやく養成の正式な第一段階である修練期に入る。；企画展示室に入らなかったものはエントランスホールに展示されたりする。；ほとんどは国際式と同じであるが、前線はいずれも点や十字が入らない。；なお、本線に入らずに出た場合の通行料金は100円と設定されている。；すると車はなぜか墓地の中には入らず、イラつくように周囲をうろつく。；そのため、烏丸のことになると播磨でさえもほとんど目に入らなくなる。；その肥満体ぶりから当時の日本では既製品のベルトが手に入らなかった。；担当編集者によると、荻原の原稿はあとからの校正がほとんど入らない。；これは瓶入りのコーヒー牛乳を店頭で販売した初めての例であるという。；それからこちらに出て来てさあこれから入ろうといって川の中へ入ったです。；クーメイによれば21世紀に入った後ではその値の成長は鈍化している。；編集コースに参加したがあまり身が入らず、漫画原作などを執筆していた。；またフューリーのような量産には入らなかった試作車の多くも担当した。；アニメのアフレコの際に絵がほとんど入らないことに苦言を呈している。；なお1963年頃には丸に2本の線入りの「急」表示のものも存在した。；ネクタイは赤をベースに黒や白のラインが入ったものとなっている。；石は手に入りやすい硬い材料であり人類最初の材料といわれている。；僧は都の漢陽に入ることを禁止された上、賎民階級に身分を落とされた。；また、アイテムなども手に入ることがあるが経験値やお金は手に入らない。</t>
        </is>
      </c>
      <c r="J610">
        <f>HYPERLINK("https://www.weblio.jp/content/入り", "词义详情")</f>
        <v/>
      </c>
      <c r="K610">
        <f>HYPERLINK("https://yourei.jp/入り", "查看例句")</f>
        <v/>
      </c>
    </row>
    <row r="611">
      <c r="A611" t="inlineStr">
        <is>
          <t>入り口</t>
        </is>
      </c>
      <c r="B611" t="inlineStr">
        <is>
          <t>成功</t>
        </is>
      </c>
      <c r="C611" t="inlineStr">
        <is>
          <t>読み方：はいりぐち
《「はいりくち」とも》はいるための所。いりぐち。</t>
        </is>
      </c>
      <c r="D611" t="inlineStr">
        <is>
          <t>入り口付近(3%)；入り口近く；入り口脇；入り口部分；入り口側</t>
        </is>
      </c>
      <c r="E611" t="inlineStr">
        <is>
          <t>口；最初；始め；当初；入り</t>
        </is>
      </c>
      <c r="F611" t="inlineStr">
        <is>
          <t>駅入り口；トンネル入り口；境内入り口；公園入り口；狭い入り口</t>
        </is>
      </c>
      <c r="H611" t="n">
        <v>29</v>
      </c>
      <c r="I611" t="inlineStr">
        <is>
          <t>秘密の階段がある場所や街の入り口には一部の敵を除いて出現しない。；入り口が幾つかあっても、最終的に到達する場所は同じ一つの場所なのだ。；中央奥の階段が鶴見線の駅の入り口で、線路は道路と平行に伸びている。；公園入り口の柵は05系の前面の一部がデザインされている物もあった。；当時使用されていた空気遮断器が博物館入り口付近に展示されている。；など「西部」への入り口となった場所があることから選ばれた言葉だった。；公園は駅西側の住宅街につながっており、駅の西側入り口も兼ねている。；塔の入り口で彼らと再会したラトクは、協力して内部を探ることにした。；南の公園入り口から入ると左手の外周壁の外側に長方形の建物がある。；街の入り口付近に商業施設が開業するなど、今後の発展が期待される。；現在は東青山駅から徒歩10分ほどの場所に大阪側入り口が残っている。；中央の入り口は鉄の柵で閉鎖されているため、現在使用することはできない。；入り口のデザインはアールヌーヴォー建築で有名なギマールが設計した。；入り口では人間達が大きな網を張って竜達が飛び出してくるのを待ち構えていた。；現在、セント・ブライズ教会の西側入り口に記念銘板が設置されている。；入り口から店舗への通路では、麺類の歴史や豆知識なども展示されていた。；駅入り口はホーム両端裏からホーム中央部へのスロープになっている。；入り口には扉が付けられることはなく、通常は開けたままである。；この地点から見て、カフェテリアの横側入り口は、階段の下方にあった。；文化的には洞窟は死後の世界や異世界への入り口と見なされた例が多い。；入り口付近に引かれている黄色のラインはこの境界を表している。；が、入り口で誰かが宣伝マンをやらないと中に入ってきてくれない。；北方面からの出口と北方面への入り口しかないハーフICとなっている。；壁に囲まれたメディナの中にあり、その入り口の門は遠くからでも目にできる。；それはここが旧市街からヘーガー地区への入り口にあたっていたためである。；ダムの最下部に入り口がありそこに入ると資料が展示してある。；大きい方の鋏は、体を殻に引っ込めた時に入り口に蓋をするのに使われる。；駅舎はなく、ホーム中央の入り口近くに短い上屋が設置されている。；躙り口入って左側奥に四尺の出床、その右手やや奥に勝手からの入り口。</t>
        </is>
      </c>
      <c r="J611">
        <f>HYPERLINK("https://www.weblio.jp/content/入り口", "词义详情")</f>
        <v/>
      </c>
      <c r="K611">
        <f>HYPERLINK("https://yourei.jp/入り口", "查看例句")</f>
        <v/>
      </c>
    </row>
    <row r="612">
      <c r="A612" t="inlineStr">
        <is>
          <t>慰留</t>
        </is>
      </c>
      <c r="B612" t="inlineStr">
        <is>
          <t>成功</t>
        </is>
      </c>
      <c r="C612" t="inlineStr">
        <is>
          <t>読み方：いりゅう
［名］(スル)退こうとする人をなだめて、思いとどまらせること。「辞意を表明した会長を—する」</t>
        </is>
      </c>
      <c r="D612" t="inlineStr">
        <is>
          <t>慰留する(7%)；慰留される(5%)</t>
        </is>
      </c>
      <c r="F612" t="inlineStr">
        <is>
          <t>強く慰留</t>
        </is>
      </c>
      <c r="H612" t="n">
        <v>29</v>
      </c>
      <c r="I612" t="inlineStr">
        <is>
          <t>いちばん父を慰留する可能性のある人はもうこの世にいないのよ。；黒崎教授と二人がかりで慰留したのですが翻意していただけませんでした。；形ばかりではなく、強く慰留されたが、翻意する気にはなれなかった。；グレイ監督は何度も降板しようとしたが、製作スタジオに慰留された。；しかし意致は時を置いて再登用され、その後の辞意も慰留されている。；志賀が解職願いを出すと、かれらは慰留してなお御内証係をつづけさせた。；同年限りでの引退を考えたが、クラブからの強い慰留を受けて再起を期した。；もし慰留されても、わたしがたおれるのはもう時間の問題なのだ。；その前には作家廃業を考え、筒井康隆に相談して慰留されたという。；また橋本蔵相辞任の際、保田も辞意表明をしたが慰留された形となった。；一応、主任が慰留したらしいけど、ま、あの子なんてどうでもいいもんね。；シーズン終了後には辞表を提出したが、会長の慰留を受け続投が決まった。；何人かの人から、慰留の話をする席へ、彼は次々に誘い出された。；結婚を機に引退するつもりだったものの、ホクレンに慰留されて競技継続を決めた。；最初に里志が言った、俺が新入部員の慰留につとめるとは意外だ、と。；その後も二、三の人々から慰留の声がかかってきたが、孝允の決心は変わらない。；スタッフは慰留につとめたが、彼は仕事を降りてしまった。；廃藩置県を目前にした政府は一旦慰留し、7月の実行を待ってこれを認めた。；それで、校長をはじめとする教師たちの慰留にも耳をかさなかった。；前年末にペレイラとの契約に合意できずこの年も外国人ストライカーの慰留に失敗。；近く店じまいするなら副社長や支配人がホステスを慰留するわけがない。；千秋楽に引退発表を考えていたそうだが慰留され、現役続行となった。；しかし張禹をとても尊敬する成帝は強く慰留したため、再度政務に戻った。；佐々木が慰留されると本気で思っているとしたら、笑止千万である。；だが製作サイドからの慰留を受け、最終的に第8部終了と同時に降板した。；山田も本気とは言えなかったが、球団に懸命に慰留されて現役続行を決める。；教師の慰留をうけて一時は収まったが、6月末に事態は再び紛糾した。；西園寺からも慰留があったため、原は内閣を継続することとした。；人事部長と二人で慰留したが、片山の気持ちを変えられなかった。</t>
        </is>
      </c>
      <c r="J612">
        <f>HYPERLINK("https://www.weblio.jp/content/慰留", "词义详情")</f>
        <v/>
      </c>
      <c r="K612">
        <f>HYPERLINK("https://yourei.jp/慰留", "查看例句")</f>
        <v/>
      </c>
    </row>
    <row r="613">
      <c r="A613" t="inlineStr">
        <is>
          <t>衣料</t>
        </is>
      </c>
      <c r="B613" t="inlineStr">
        <is>
          <t>成功</t>
        </is>
      </c>
      <c r="C613" t="inlineStr">
        <is>
          <t>読み方：いりょう
衣服や下着類。また、衣服の材料となる布など。</t>
        </is>
      </c>
      <c r="D613" t="inlineStr">
        <is>
          <t>衣料店(4%)；衣料用(3%)；衣料切符(3%)；衣料館；衣料産業</t>
        </is>
      </c>
      <c r="E613" t="inlineStr">
        <is>
          <t>服；着物；衣；衣装；衣服</t>
        </is>
      </c>
      <c r="F613" t="inlineStr">
        <is>
          <t>婦人衣料；高級衣料；衣料関係；衣料配給所；衣料専門店</t>
        </is>
      </c>
      <c r="G613" t="inlineStr">
        <is>
          <t>衣料品店；衣料会館；衣料用洗剤；衣料品スーパー</t>
        </is>
      </c>
      <c r="H613" t="n">
        <v>29</v>
      </c>
      <c r="I613" t="inlineStr">
        <is>
          <t>クリンツイは周辺の産業の中心地であり、特に衣料の生産が盛んである。；そういうときにも対応できるジャージは、優れた衣料なのかもしれない。；今では多くの人々が協同組合を作って石鹸や衣料作りの仕事をしています。；衣料、雑貨を営業し、近代に入って呉服類を中心に営業を継続拡張した。；衣料系も強く、昭和の時代からバスを使って来る買い物客が多かった。；また、電化製品や衣料ブランドの分野でも多くのファンを有している。；つまり、束帯、直衣などより古くから日本に存在した衣料が起源である。；通路や店舗の内部は、衣料やバッグや靴や人間の肉体の一部が散乱していた。；衣料の模様などバラエティに富んでいるようだが、べつに買う気もない。；創業当時から続く衣料事業を中心に、飲食事業や不動産事業を展開する。；うちで使っていた色の黒い料理人と通じて、外聞が悪くなって自殺したのだ。；自活力のない老人はここで養われ、衣料をも支給されるとのことであった。；物離れが悪く、衣料や雑貨に至るまでなかなか捨てることができない。；この雑誌は女性の衣料だけでなく、国内の建築にまで流行に影響を与える能力があったとされている。；北アメリカ自由貿易協定が締結された後、衣料は生産されなくなった。；衣料切符その他のことの必要から私たちはここへ寄留いたしました。；また、マイアミの衣料などを扱うSteamのオーナーの一人でもある。；主にオリジナル衣料の企画・デザイン、実店舗と通販での販売を行う。；こうした最新技術により、今後ニット衣料は多様化していくと思われる。；炬燵がけのつぎはぎの絞りも、若い時の多江の衣料であったであろうか。；この後、1960年代以降から衣料の大量消費の時代が始まることになる。；チェコでは約400人の北朝鮮出身の女性が衣料や皮革産業で働いている。；同年には衣料製造のポプラを立ち上げるも結局は撤退した。；自身がデザインするスポーツ衣料ブランドを持っている。；かつては男性ものの衣料にも用いられたが、現在は小物類以外にはほとんど用いられない。；米国陸軍を退役して、ニューヨークの衣料業界でマネージャー業に入る。；カジュアル衣料を扱う店も数店あり、若者の姿もよく見られる。；雪のくる前にと、冬の衣料をとりに東京へいき、一週間もせぬうちに、またここに戻ってきた。；また葉や茎から取れる繊維は衣料や日用品に加工されて使われていた。</t>
        </is>
      </c>
      <c r="J613">
        <f>HYPERLINK("https://www.weblio.jp/content/衣料", "词义详情")</f>
        <v/>
      </c>
      <c r="K613">
        <f>HYPERLINK("https://yourei.jp/衣料", "查看例句")</f>
        <v/>
      </c>
    </row>
    <row r="614">
      <c r="A614" t="inlineStr">
        <is>
          <t>医療</t>
        </is>
      </c>
      <c r="B614" t="inlineStr">
        <is>
          <t>成功</t>
        </is>
      </c>
      <c r="C614" t="inlineStr">
        <is>
          <t>読み方：いりょう
医術・医薬で病気やけがを治すこと。治療。療治。</t>
        </is>
      </c>
      <c r="D614" t="inlineStr">
        <is>
          <t>医療関係(2%)；医療現場(2%)；医療分野；医療サービス；医療系</t>
        </is>
      </c>
      <c r="E614" t="inlineStr">
        <is>
          <t>診療</t>
        </is>
      </c>
      <c r="F614" t="inlineStr">
        <is>
          <t>医療チーム；医療設備；医療専門家；医療情報；医療関連</t>
        </is>
      </c>
      <c r="G614" t="inlineStr">
        <is>
          <t>医療機器；医療センター；医療費；医療施設；医療用</t>
        </is>
      </c>
      <c r="H614" t="n">
        <v>29</v>
      </c>
      <c r="I614" t="inlineStr">
        <is>
          <t>現在では、非破壊検査や医療を目的とした利用も盛んに研究されている。；ヨーロッパでは医療への活用が多数試され、その効果が発表されている。；医療を受けてきたことが原因で、真の病気となっていることも少なくない。；ハムおよびその周辺地域では以下の施設が医療サービスを提供している。；英語が第二公用語であるため、医療関係でも英語圏との結びつきが強い。；第3次レベルは最も高度な医療を提供する総合・専門病院が該当する。；医療の分野で実際に応用されているパーシャルアゴニストの例を示す。；なお診療外の非医療分野のアルバイトは禁止について言及されていない。；現在は医療・健康・福祉・情報・教育を軸とする都市型大学になっている。；モデルとなった大井路は医療の町ではなく大きな井戸がある街だった。；また、新興工業国でも、医療や教育などのサービス供給が不足している。；しかし、そういった区別とは関係なく行われるのが各種医療面接である。；しかし無料で医療が受けられる範囲は、法定の範囲に限定されている。；医療機関の質は悪くないが、医療サービスの質はあまり良いとは言えない。；さらに、労働者はもはや医療と教育のために雇用者に依存していなかった。；とりわけ教育や医療などの公共サービスを充実させるよう提言している。；司令官用の金色の制服ではなく、科学・医療部門用の青の制服を着用する。；その一方で宣教師達は教育・医療に従事しアユタヤー王朝に貢献した。；牢内では服役者の医療に努め、また劣悪な牢内環境の改善なども訴えた。；またゲノミクスは医療の分野に新たな治療法を提供してきている。；また職員の中にも海外医療協力経験者、希望者も多くさまざまな活動も盛ん。；各センターごとに研究所と病院を設け、研究活動のほかに医療活動も行なう。；予後の悪いタイプや万が一再発してしまったときは移植医療を検討する。；施設改修完了後は入院医療に特化したため、外来診療は行っていない。；倫理は、医療提供者と患者によって行われる医療上の決定に影響を与える。；この苦痛を伴う方法は、参政権論者や医療専門家から非難を浴びた。；このことで民間の健康保険が無い市民でもその大半が医療を受けられるようになった。；しかしその後は医療サービス産業が大きな役割を果たすようになって安定してきた。；第5地区にはドブロスやアンナが勤務していた病院がある医療地区であった。</t>
        </is>
      </c>
      <c r="J614">
        <f>HYPERLINK("https://www.weblio.jp/content/医療", "词义详情")</f>
        <v/>
      </c>
      <c r="K614">
        <f>HYPERLINK("https://yourei.jp/医療", "查看例句")</f>
        <v/>
      </c>
    </row>
    <row r="615">
      <c r="A615" t="inlineStr">
        <is>
          <t>入り用</t>
        </is>
      </c>
      <c r="B615" t="inlineStr">
        <is>
          <t>成功</t>
        </is>
      </c>
      <c r="C615" t="inlineStr">
        <is>
          <t>読み方：いりよう
［名・形動］
１必要であること。また、そのさま。にゅうよう。「旅行に—な品をそろえる」
２必要な費用。入費。いりめ。
「余りがあれば塾舎の—にすることにして居ました」〈福沢・福翁自伝〉
３大切なこと。重要。
「さあここが—の所でござります」〈鳩翁道話・三〉</t>
        </is>
      </c>
      <c r="D615" t="inlineStr">
        <is>
          <t>入り用なもの(8%)；入り用なんです(2%)；入り用なとき</t>
        </is>
      </c>
      <c r="E615" t="inlineStr">
        <is>
          <t>必要；要求；需要；必須；入用</t>
        </is>
      </c>
      <c r="F615" t="inlineStr">
        <is>
          <t>ご入り用</t>
        </is>
      </c>
      <c r="H615" t="n">
        <v>29</v>
      </c>
      <c r="I615" t="inlineStr">
        <is>
          <t>それではスプリングさんは、今のところ入り用のものがないわけですか?；私は金と充分な権限は持っておりますが、もうひとつ他のものが入り用です。；金が入り用なんで買ってくれ、と、向こうから売り込んできたそうです。；いつもは寺に預けているがすぐに入り用になると思って塒に置いていたんだ。；大きな酒屋で小僧が入り用だというから、そこへ龍雄をやってはどうだ。；すなわち子供を可愛がる為に、馬の沓の入り用であった神なのであります。；竹の入り用があると山を越えて、出雲の方から買って来るそうです。；けれどもジョージは悪い仕事をするために貴女が入り用だったのです。；綿入れでも袖無しでも、入り用と思ったら遠慮せずに状を寄こすのだぞ。；で婆やに言伝てをしておいて、お入り用の荷物だけ造って持って来ました。；あんたはたくさん土地を持っておられるが、わしに入り用なのはほんのすこしです。；わたし達もあんたに入り用なことはちゃんとしてあげます。；なによりもわたしに入り用なものは、フランスの地図であった。；寂しいところではありますが、入り用なものだけはみな間にあいましたよ。；商売人はみんな結婚していたから、わたしにも妻が入り用だった。；それが、こんなに早く入り用になるとは思ってもみなかった。；どこかに逃げないといけないが、そのために金は入り用だ。；医者に見せるために、まとまったお金が入り用になったんですよ。；ほんとに先生は、お金が入り用になると、すぐ手に入れることができたのです。；なぜ欲しいか、それが何のために入り用か、そうしたことは何も判らなかった。；あなたのりっぱな娘さんを入り用だと思う公達はなさそうだね。；あなたはあれが入り用だったんでしょう、私はフェドーラから聞いて知っているんですよ。；あなたにはもうなんのお入り用もないではありませんか。；ちょうどこのうちの人たちはよそへ行くところらしいから、きっと馬が入り用だろう。；「ポートレートがご入り用の節は、私にご用命を」 ほどなく電車が来た。；これからきっとクラがたくさん入り用になるだろうと思った。；指紋がご入り用でしたら、その辺にある茶碗かコップを持って行って下さい。；この帯に合うはきものが入り用になったら、このわたしにご用命を。；急いでそのほうを、 途中入り用のものを渡す処へ連れてゆこう。</t>
        </is>
      </c>
      <c r="J615">
        <f>HYPERLINK("https://www.weblio.jp/content/入り用", "词义详情")</f>
        <v/>
      </c>
      <c r="K615">
        <f>HYPERLINK("https://yourei.jp/入り用", "查看例句")</f>
        <v/>
      </c>
    </row>
    <row r="616">
      <c r="A616" t="inlineStr">
        <is>
          <t>威力</t>
        </is>
      </c>
      <c r="B616" t="inlineStr">
        <is>
          <t>成功</t>
        </is>
      </c>
      <c r="C616" t="inlineStr">
        <is>
          <t>読み方：いりょく
１他を押さえつけ服従させる、強い力や勢い。「砕氷船が—を発揮する」「—のあるパンチ」「金の—」
２法律で、人の意思を制圧するに足る有形・無形の勢力をいう。威力業務妨害罪・競売入札妨害罪を構成する行為など。</t>
        </is>
      </c>
      <c r="D616" t="inlineStr">
        <is>
          <t>威力不足；威力向上；威力増大；威力抜群；威力を目の当たり</t>
        </is>
      </c>
      <c r="E616" t="inlineStr">
        <is>
          <t>力；押し；権力；権限；権威</t>
        </is>
      </c>
      <c r="F616" t="inlineStr">
        <is>
          <t>大威力；絶大な威力；十分な威力；大きな威力；凄まじい威力</t>
        </is>
      </c>
      <c r="G616" t="inlineStr">
        <is>
          <t>威力業務妨害；威力業務妨害罪；威力に訴える論証</t>
        </is>
      </c>
      <c r="H616" t="n">
        <v>29</v>
      </c>
      <c r="I616" t="inlineStr">
        <is>
          <t>化学兵器がその威力のほどを広く知らしめたのが第一次世界大戦だった。；なお、基本的に威力は低いが、エネルギーを消費しない通常攻撃もある。；これでは当初予定していた威力を下回った爆発しか起きなくなってしまう。；的中と矢の威力を高めるため、技術の発展と道具の改良がなされてきた。；または威力を用いて人の業務を妨害することを内容とする犯罪である。；しかし門数が増えても元々の威力や射程が劣るため、有効ではなかった。；この場合は当然ながら、通常砲弾に比べて威力の面では妥協する事になる。；同じ系統の魔法でも、その威力ごとにいくつかの段階が存在する場合がある。；改正毎に法律の統制範囲は拡大し、以後日本の敗戦まで威力を発揮した。；逆に特攻推進派からは対策次第では十分な威力があるとの分析が出されている。；ハリセンの威力の大きさを表現する目的で、非常に巨大に作ることもある。；海兵隊では使用法だけでなく当たった際の威力を体験する訓練も行われている。；また、この威力をもって副次的な対艦・対地攻撃任務も想定されていた。；大型の機体で搭載量に優れ、目標へのピンポイント攻撃で威力を発揮する。；中版は出だしが無敵になり、強版は中版の性能に加えて高威力になる。；戦力は以前の個体からさらに威力を増した電撃と、角を使った突進攻撃。；更に日本の火縄銃は朝鮮の弓より威力や命中率の点で数倍優れていた。；また、くしゃみでも人間やテーブル等を吹き飛ばしてしまう威力がある。；武器の威力や金属の輝きは武器に神秘性を与え呪術的な要素となった。；高貫通力かつ高威力でもあるため、採用する軍や警察が増えている。；受けた敵は耐えられず、ひとたまりもなく爆発してしまうほどの威力をもつ。；レベルが上がることで威力や攻撃範囲などの性能が向上する。；また兵卒は軍隊の威力を背景に邏卒に対抗したためといわれている。；弩は朝鮮を経由して日本へは古くから導入されたが、威力向上の改良が行われた。；そうした威力が評価されて人気の武器となり、剛勇の士の得物となる。；この威力のある速球に加えて、縦割れの大きなカーブも武器としていた。；握り込んで使用することで手拳を保護し、また殴打の威力を増大させる。；ジャンプ中で回転攻撃となり普通の攻撃より少しだけ威力が高い。；結局威力の修正は行われなかったが、この変更で公式掲示板は落ち着いた。</t>
        </is>
      </c>
      <c r="J616">
        <f>HYPERLINK("https://www.weblio.jp/content/威力", "词义详情")</f>
        <v/>
      </c>
      <c r="K616">
        <f>HYPERLINK("https://yourei.jp/威力", "查看例句")</f>
        <v/>
      </c>
    </row>
    <row r="617">
      <c r="A617" t="inlineStr">
        <is>
          <t>いる</t>
        </is>
      </c>
      <c r="B617" t="inlineStr">
        <is>
          <t>成功</t>
        </is>
      </c>
      <c r="C617" t="inlineStr">
        <is>
          <t>読み方：いる
［動ラ五（四）］
１人や物がある場所・範囲・状態などに移る。はいる。
㋐外から中に移動する。「道が山あいに—・る」「葷酒(くんしゅ)山門に—・るを許さず」
㋑移り動いて物の陰に隠れる。太陽や月が沈む。「日が山の端に—・る」
㋒特定の環境に身を移す。「渦中に—・る」「仏門に—・る」
㋓時が進行して、ある時刻・季節になる。「土用に—・る」
㋔心・目・耳などの感覚を通じて対象をとらえる。「目に—・るものすべてが珍しい」
㋕しだいに移ってある状態に達する。ある状態にまで深くはいっていく。「話が佳境に—・る」「悦に—・る」
㋖内部にくぼみ、裂け目が生じる。「茶碗にひびが—・る」
㋗いっぱい含まれる。こもる。「念の—・った仕事ぶり」
２動詞の連用形に付いて、その動作や状態の程度が非常に深い、また、その動作に徹したり、その状態にすっかりなってしまったりする意を表す。「ぐっすり寝—・る」「心に染み—・る」「恥じ—・る」「恐れ—・ります」
３（「いらせ給ふ」「いらせらる」などの形で）「来る」「行く」「居る」の意を表す。
「御輿(みこし)の—・らせ給ふほどなど」〈大鏡・道長上〉
［動ラ下二］「い（入）れる」の文語形。
[補説]1は文語的な言い方で、現代語ではふつう「はいる」を用いる。しかし、「気にいる」「堂にいる」「有卦(うけ)にいる」など慣用的な表現の中では現在でも多く用いられる。
[下接句] 石を抱(いだ)きて淵(ふち)に入る・有卦(うけ)に入る・悦(えつ)に入る・笑壺(えつぼ)に入る・気に入る・鬼籍(きせき)に入る・興(きょう)に入る・見参(げんざん)に入る・神(しん)に入る・大声(たいせい)里耳(りじ)に入らず・手に入る・堂に入る・堂に升(のぼ)り室(しつ)に入らず・念が入る・門に入る・病(やまい)膏肓(こうこう)に入る</t>
        </is>
      </c>
      <c r="D617" t="inlineStr">
        <is>
          <t>いるらしい；いるらしく；いるわけです；いるはずです；いるテレビ中継局</t>
        </is>
      </c>
      <c r="E617" t="inlineStr">
        <is>
          <t>ある；存在する；必要な；居る；ございます</t>
        </is>
      </c>
      <c r="F617" t="inlineStr">
        <is>
          <t>行っている；知っている；残っている；述べている；似ている</t>
        </is>
      </c>
      <c r="G617" t="inlineStr">
        <is>
          <t>いるよ；いるす；いるか座；いるま野農業協同組合；いるはーと</t>
        </is>
      </c>
      <c r="H617" t="n">
        <v>29</v>
      </c>
      <c r="I617" t="inlineStr">
        <is>
          <t>つまり国家行為が法律に規定されていれば十分であるとの考え方である。；データが残っていればいくらでも生産が可能だが、少数生産向きである。；まだ正式公開されていない上記以外の環境やカーネル版もいくつかある。；しかし、比較的新しい学問なのでその定義ははっきりと確定していない。；そして、信号機が故障していれば安全側の現示を示すようになっている。；幼いころに南フランスに移住し、父の絵のモデルを務めさせられていた。；そんな風に思ったが、いやそんなに深く考えることはいらなかったのだ。；あなたは初めはわしといっしょに毎日船を見にいらしたではありませんか。；しかし、いつどのように活動が変化するかを予測することは非常に難しい。；その姿は今から1000年ほど前までは維持されていたと考えられる。；そのためには女子の金メダリストがいれば有利だと考えていたという。；こんなところに、お眼を瞑つて倒れていらつしやるのがあなたでせうか?；無数の顔のうちには明らかに恐怖のいろを悔いにかえている者もみえた。；いわゆる電子ガジェット類に機能の一つとして付属している場合もある。；引き伸ばし機がいつ頃発明されたのかははっきりとはわかっていない。；コピーコントロールCDでは、登場当初から多くの問題点を抱えていた。；これを満たしていれば、自分の手牌がどのような形であるかは関係ない。；燃料が余分にいりますし、通信もどこかで中継してやらないといけない。；かわりに主流となっていたものが電子ゲームと呼ばれるものであった。；AGが増加していればそれだけで代謝性アシドーシスの存在を意味する。；初期は少年誌で活動していたが、後に青年誌でも執筆するようになった。；そのため、通常の管理をしていれば、日本の夏でも耐えることができる。；以下の環境はかつて対応されていたが、現在では公式には対応されていない。；当時の担当編集者とは、よく映画や漫画以外の本についての話をしていた。；光伝送技術の導入に積極的なインテル社は、将来の採用を構想している。；ほぼ完成していたとされるが、それを発売中止にしての正式発売となった。；恐怖と恐れと共に人の影にいた彼らが人間との戦争を始め、今に至る。；皇帝がローマ王を兼ねていれば共同王となった嫡子は皇太子でしかない。；ナンバリングタイトルのパロディ的な要素を含んでいるタイトルもある。</t>
        </is>
      </c>
      <c r="J617">
        <f>HYPERLINK("https://www.weblio.jp/content/いる", "词义详情")</f>
        <v/>
      </c>
      <c r="K617">
        <f>HYPERLINK("https://yourei.jp/いる", "查看例句")</f>
        <v/>
      </c>
    </row>
    <row r="618">
      <c r="A618" t="inlineStr">
        <is>
          <t>炒る/煎る</t>
        </is>
      </c>
      <c r="B618" t="inlineStr">
        <is>
          <t>无结果</t>
        </is>
      </c>
      <c r="H618" t="n">
        <v>0</v>
      </c>
      <c r="J618">
        <f>HYPERLINK("https://www.weblio.jp/content/炒る/煎る", "词义详情")</f>
        <v/>
      </c>
      <c r="K618">
        <f>HYPERLINK("https://yourei.jp/炒る/煎る", "查看例句")</f>
        <v/>
      </c>
    </row>
    <row r="619">
      <c r="A619" t="inlineStr">
        <is>
          <t>要る</t>
        </is>
      </c>
      <c r="B619" t="inlineStr">
        <is>
          <t>成功</t>
        </is>
      </c>
      <c r="C619" t="inlineStr">
        <is>
          <t>読み方：いる
［動ラ五（四）］《「入(い)る」と同語源》費用・品物・時間などが必要になる。入用である。「資本が—・る」「暇が—・る」「お世辞は—・らない」</t>
        </is>
      </c>
      <c r="D619" t="inlineStr">
        <is>
          <t>要るだろ(2%)；要るんです；要るまい；要るでしょ；要るらしい</t>
        </is>
      </c>
      <c r="E619" t="inlineStr">
        <is>
          <t>必要な；必要がある；要する；欠かせない；不可欠な</t>
        </is>
      </c>
      <c r="F619" t="inlineStr">
        <is>
          <t>要るかもしれ；なんか要る；たくさん要る</t>
        </is>
      </c>
      <c r="H619" t="n">
        <v>29</v>
      </c>
      <c r="I619" t="inlineStr">
        <is>
          <t>もし私が自分の生活状態に一一名を附けるなら無数の名が要るであろう。；自分も老人たちも、どちらも同じく要らない存在だと思ったに違いない。；連中は三人だから、一人が一つの馬に乗るとすれば、三匹要る訳になる。；けれども彼はそんなことに少しも同情などは要らないと云つた風に見えた。；私の云はなくてはならないことを盡すには少し烈しい言葉が要るのです。；登録に許可が要らないことからストーカー行為に利用される危険はある。；心にそれ一つの準備さえ出来ていたら、他には何も要らないのだと思った。；年とった女中を一人だけおいていて、力の要る仕事をしてもらっています。；真ん中の廊下からこの廊下に入って来るための扉は、普通なら要らない。；都合良く生きていることしか望まれていない、そうでなければ要らない。；忘却を出る門が再び夢へと導くものならば、私にはそんな門は要らない。；あなたの命を助けたのも、奴らにまだ女手が要ると思っただけのことさ。；それで上演時間一時間の長編では、七万二千枚の原画が要ることになる。；要らないものなら、其間は何うされたつて差支へないぢやありませんか。；たしかに連中とは気持ちが通じて、言葉が要らないようなところがあるわ。；それまでにはわしがこの芝居に要るだけの小道具を調べておくからね。；汽車で寿司と交換したと言ったら、また要らぬ疑いを受けそうだからだ。；そんな時期に美しい女性と結婚することになってさぞ金が要ったでしょう。；この辺の家は前から手伝が要るはずなんだが、今急に暇になるわけがない。；肉と血をもち、地球各所でわれわれの利害を代表する協力者が要るんだ。；何にも要らないような気がして、そして無性と誰かに会いたくなって来た。；云われた母は、何に要るのかと思ったがきき返すことは許されていない。；一人の人間が完全に消え去るために、他になんの手続きも要らなかった。；私は今まで会ってきた全ての人間を、要る人間要らない人間にわけてきた。；私は今まで会ってきた全ての人間を、要る人間要らない人間にわけてきた。；行かなくなる少し前に、先生は日本の大学に西洋人の教授は要らんかね。；この船の中では船長以下が僕の命令通りに動きますから、心配は要りません。；昔だったらこんな山をかけ登るに、なんの雜作も要らなかったお前だが。；なに、あの金が今要るという訳でもないんだから心配するには及びません。</t>
        </is>
      </c>
      <c r="J619">
        <f>HYPERLINK("https://www.weblio.jp/content/要る", "词义详情")</f>
        <v/>
      </c>
      <c r="K619">
        <f>HYPERLINK("https://yourei.jp/要る", "查看例句")</f>
        <v/>
      </c>
    </row>
    <row r="620">
      <c r="A620" t="inlineStr">
        <is>
          <t>衣類</t>
        </is>
      </c>
      <c r="B620" t="inlineStr">
        <is>
          <t>成功</t>
        </is>
      </c>
      <c r="C620" t="inlineStr">
        <is>
          <t>読み方：いるい
着るもの。着物。衣服。</t>
        </is>
      </c>
      <c r="D620" t="inlineStr">
        <is>
          <t>衣類等；衣類用；衣類箱；衣類その他；衣類を脱ぎすて</t>
        </is>
      </c>
      <c r="E620" t="inlineStr">
        <is>
          <t>服；着物；衣；衣装；衣服</t>
        </is>
      </c>
      <c r="F620" t="inlineStr">
        <is>
          <t>わずかな衣類；高価な衣類</t>
        </is>
      </c>
      <c r="G620" t="inlineStr">
        <is>
          <t>衣類用洗剤；衣類用漂白剤</t>
        </is>
      </c>
      <c r="H620" t="n">
        <v>29</v>
      </c>
      <c r="I620" t="inlineStr">
        <is>
          <t>これは人類が衣類を身につけ始めてすぐのことであったと考えられている。；モデル時代には女性用衣類を身につけてショーに出演したこともあった。；私の前任者は彼等のために何の対策もしていないし、衣類や食料も無い。；特別の衣類やその他の装置については、終わりの無いテストが行われた。；衣類や身の回りの品の収納あるいは旅行用の荷物入れなどに用いられた。；企業や学校などでは衣類や靴、清掃用具等を収納するために利用される。；かかる衣類は、それがどんなによく出來てゐても、避けなければならぬ。；濡れた腰巻のまま、岸に置いた衣類を引抱えて後をも見ずに走り出した。；この法案は3月に、衣類ではなく自転車の照明を求める形に修正された。；一人の兵士が、女の衣類をいれた包を抱えて、その後からついて行った。；私は衣類の入れ替えと称して茶箱の中に彼を入れ、自動車で運びました。；合成繊維など熱に弱い素材を用いた衣類の取り扱いには注意が必要である。；あの水槽は血に染つた衣類を引き出すのに格好な場所ではないかと云つた。；ファッション関連商品、つまり主に衣類の販売推進のために姿を提供する。；カンボジア製の衣類は日本にも2000年代以降多く輸出され始めている。；その箱は、外から見たところでは他の船乗衣類箱と同じようだった。；その時、彼等はスワデシの光で彼等の衣類戸棚を檢査し始めるであらう。；探索者はそれらが間違いなく一世紀半前の衣類であると見て身を震わせた。；食料、衣類を準備し、船体の検査が行われ、必要ならば修理が行われた。；室内の隅に入り込んでくるだけでなく、衣類や布団の隙間にも潜り込む。；また達雄が血の付いた衣類を隠しているのを発見し、これを焼却する。；針は衣類に穴が開くくらいの粗雑なものでしかなく、中国から買って来ていた。；また、飲食や衣類の販売もしており、出演バンドが自ら販売している。；ただ店にある五円にも足りない商品と、少しの衣類としかなかった。；もちろん、より高額の衣類を脱がせるために貯金することも可能である。；ユダヤ人商人はローレンスで次第に数を増し、衣類や小売店に特化した。；市場内には多数の小売店が店を構えており、衣類や文具などを扱う店もある。；例の大きな船員衣類箱は私たちの中のだれ一人も開けてあるのを見た者はかつてなかった。；救助を求めるために衣類を燃やして陸上へ合図したが、反応は無かった。</t>
        </is>
      </c>
      <c r="J620">
        <f>HYPERLINK("https://www.weblio.jp/content/衣類", "词义详情")</f>
        <v/>
      </c>
      <c r="K620">
        <f>HYPERLINK("https://yourei.jp/衣類", "查看例句")</f>
        <v/>
      </c>
    </row>
    <row r="621">
      <c r="A621" t="inlineStr">
        <is>
          <t>居留守</t>
        </is>
      </c>
      <c r="B621" t="inlineStr">
        <is>
          <t>成功</t>
        </is>
      </c>
      <c r="C621" t="inlineStr">
        <is>
          <t>読み方：いるす
家にいながら、不在をよそおうこと。「—を使う」</t>
        </is>
      </c>
      <c r="H621" t="n">
        <v>29</v>
      </c>
      <c r="I621" t="inlineStr">
        <is>
          <t>そんなことを考えていたら、居留守を使うのがかわいそうに思えてきた。；佐藤秘書役に何度電話をかけても居留守を使われて、出てこないんです。；友だちから電話かかってきても居留守使っていたくらい、全然ダメなの。；それが居留守を使ったためだったと知れたら、何の申しひらきもできない。；一方サイモンは家に電話してみたが両親に居留守を使われてしまう。；居留守を使っている様子だったが、少女にはそれ以上どうすることもできなかった。；たぶんわたくしが居留守というものをあまり好きではないからです。；本当に誰もいないのか居留守を使っているのか、何度か呼んでも誰も出てくる気配はない。；それとも、寝たふりをしているのか、亮子のように居留守を使っているのか。；彼は自分を名指しの顧客筋の来客にも居留守を使ってデスクに居続けた。；歩くときはいつもそうするように、うつむきぎみに歩いているすがたを。；その雨をも風をも分け合っているすがたをお高はうらやましく感じた。；僕はまだ本を読みたかったがお客様は神様だ、居留守を使うわけにも行くまい。；呼び出し音が止まったら、そのまま居留守を決めこむつもりなのである。；その日の午後、知美から電話があった時には、法子は居留守を使った。；舅と姑の前で母がかちかちになって遠慮しているすがたを見なくてすむ。；居留守を使っているのなら、この電話の呼び出し音が彼女の耳に届くはずだ。；私は、その方に対しては居留守など使えぬお方に命じられて来たのだ。；借金のいいわけするのが嫌だからといって、女を使って居留守を使うとは何事か。；居留守を使っているのでないとすれば、さっきの電話も外からかけてきたということか。；だとすると、逃げたか、あるいは居留守を使っているのかもしれない。；それは臣下との語らいというよりは茶友を迎えているすがただった。；何かの不都合があって居留守を使っているのかもしれない。；本当に居ないのか、居留守を使っているのか、合鍵はジョンに渡したままだった。；ぼくのときでこりて、居留守を使われるのがこわかったからですよ。；だからいやな奴が来ると、居留守を使って開けないのね。；居留守で逃げ切れるなんて思ってるんじゃねえだろうなッ?!；そもそも孔明、本当に出かけているのか、それとも居留守して観察していたのか。；清水は居留守も使わなかったし、うるさそうな感じも出さなかった。</t>
        </is>
      </c>
      <c r="J621">
        <f>HYPERLINK("https://www.weblio.jp/content/居留守", "词义详情")</f>
        <v/>
      </c>
      <c r="K621">
        <f>HYPERLINK("https://yourei.jp/居留守", "查看例句")</f>
        <v/>
      </c>
    </row>
    <row r="622">
      <c r="A622" t="inlineStr">
        <is>
          <t>入れ替える</t>
        </is>
      </c>
      <c r="B622" t="inlineStr">
        <is>
          <t>成功</t>
        </is>
      </c>
      <c r="C622" t="inlineStr">
        <is>
          <t>読み方：いれかえる
［動ア下一］［文］いれか・ふ［ハ下二］はいっているものを取り出し、かわりのものを入れる。また、入れ場所をかえる。「メンバーを—・える」「気持ちを—・える」</t>
        </is>
      </c>
      <c r="D622" t="inlineStr">
        <is>
          <t>入れ替える激しい</t>
        </is>
      </c>
      <c r="E622" t="inlineStr">
        <is>
          <t>変更；変化；交換；改造；動く</t>
        </is>
      </c>
      <c r="H622" t="n">
        <v>29</v>
      </c>
      <c r="I622" t="inlineStr">
        <is>
          <t>一次側と二次側を入れ替えることで逆回転することも可能である。；たとえ呪力を使っても、大量の空気を入れ替えるのは容易なことではない。；昼間は地下に基地を隠し、夜になると地上の本物の団地と入れ替える。；他人と身体を入れ替えるなんて酔狂なことをする者はいないですよ。；項の順序を入れ替える際、負号を常に3に付属させることが重要である。；集団戦闘ではこの相性を加味して、隊列を入れ替えることが重要となる。；吸収した能力は、メニューの一番下に配置した能力と入れ替えることになる。；そうした場合は別の車両に入れ替えるといった措置が取られることがある。；したがって、頂点の左右を入れ替えると全く同じ問題であることがわかる。；こうして操作キャラクターやチーム編成を自由に入れ替えることができる。；従って、カードを入れ替えることで全く異なる布を織ることができた。；美沙子さんの細い腰に手をまわし、そのまま身体の上下を入れ替える。；その代わりに桁に印をつけて順序を入れ替えるという方法を取っている。；プレイヤーはこのうちの四つを回転させることで位置を入れ替えることができる。；その結果全代議員を入れ替えることになり、ハートもその一人に選ばれた。；また、ブロック単位に移動する場合もカードを入れ替えるだけで済む。；だがそれと入れ替えるように、山の低い部分から再び白色に染まっていく。；象と馬の配置は入れ替えることができ、ゲーム開始時に決められる。；また年初の小倉競馬場開催と年末の中京開催を入れ替えることになった。；自分を殺そうとした相手と心を入れ替える能力を持ち、数千年の時を生き続けている。；人工関節に入れ替える手術を無事に終え、院内でリハビリを続けていた。；それで、戦っている方の角が傷付くと、もう片方の角と入れ替えるという。；何回か水を入れ替える頃には、プレハブ小屋の中は大分綺麗になっていた。；今からでは選手もスタッフも入れ替えることはできない。；連中は、セットの中の曲を入れ替えるのが昔と大違いに大変だってこと分かっちゃないだろう。；デッキをいくつかのパケットに分割し入れ替えることを、カットという。；その打開策として布製のケースに入れ替える方法を取っている場合もある。；選手を入れ替えることはできず、残りの試合ではチームの選手が1人少なくなる。；インピングとは鳥の通常の羽を明るい色のついた人造の羽と入れ替える習慣である。</t>
        </is>
      </c>
      <c r="J622">
        <f>HYPERLINK("https://www.weblio.jp/content/入れ替える", "词义详情")</f>
        <v/>
      </c>
      <c r="K622">
        <f>HYPERLINK("https://yourei.jp/入れ替える", "查看例句")</f>
        <v/>
      </c>
    </row>
    <row r="623">
      <c r="A623" t="inlineStr">
        <is>
          <t>入れ物</t>
        </is>
      </c>
      <c r="B623" t="inlineStr">
        <is>
          <t>成功</t>
        </is>
      </c>
      <c r="C623" t="inlineStr">
        <is>
          <t>読み方：いれもの
１物を入れる器物。容器。うつわ。
２棺(ひつぎ)をいう忌み詞。</t>
        </is>
      </c>
      <c r="D623" t="inlineStr">
        <is>
          <t>箱；ケース；器；容器；コンテナ</t>
        </is>
      </c>
      <c r="F623" t="inlineStr">
        <is>
          <t>小さな入れ物</t>
        </is>
      </c>
      <c r="H623" t="n">
        <v>29</v>
      </c>
      <c r="I623" t="inlineStr">
        <is>
          <t>彼には、水のように入れ物次第で形を変えるようなところがありました。；最初からテラリウムを作る目的で製作された入れ物やそのセットもある。；頭の上には、水がたっぷり入った古い型の陶器の入れ物を運んでいます。；別の入れ物で水を汲み入れても、こぼしてしまうこともあると思います。；形代とは、主に人の形を模して紙などで作った塊の入れ物の事だとされる。；父親の残していったもので、この家にある鍵のかかる入れ物はこれだけだった。；ぼくは、先頭のやつと二番目のやつがなにかのいれ物をもってくるのを見た。；僕の体はどこかから間に合わせに借りてきた一時的な入れものみたいに感じられた。；一般的には上面が広く開いている入れ物のうち、深めの形状のものを指す。；この四つの哀れな入れものに、彼女の全財産が入っているのだろうか?；入れ物が変わったぐらいじゃ料理の価値は変わらないのよっ。；早くそれらのえものの入れものを作って、家へ持って帰らなければなりません。；いっぱいに湯を入れた大きな真鍮の入れ物を両手で抱えていた。；となると五年前は別の入れ物で彼に届けられていた可能性が強い。；なにか、手のひらに収まるくらいの大きさの、ガラス製の入れ物だった。；ブリッジは、氷の壁でできたただの入れ物とたいして変わらなくなっていた。；何か入れ物が必要だったので、箱か袋をさがそうと下の方にある引き戸を開けた。；だから新しいもっと大きな入れ物が必要になってるんだ。；天井の高さは建物の内部の直径と同じで、巨大な球を入れる入れ物のような形になっている。；少年は、うれしそうにして、金魚をいれ物にいれて、家へはいりました。；ボンボン屋の店先に置いてある、キャンディを盛っておく入れ物なのだ。；飲み水を運ぶ入れ物を見つけるのは、たやすいことではありませんでした。；入れ物が壊れても、内部におさめられたポートレートには何の被害もない。；「木の入れものがいいんですわ」 と、鉱物をとり上げて助手がいった。；入れ物となる空間に複数の構造が考えられるときには、構造ごとに異なる空間があると考えることが自然であることも少なくない。；様々な色があり、ムードを設定したり装飾に合わせたり入れ物のデザインを拡張できる。；それで次にはこの藁製の入れ物の名を、村々で何というかも尋ねて見る必要がある。；医者のそばを通ると、その医者はおれの顔の近くにある入れ物に何か書類をさしこみさよならと手を振った。；そのとき彼は玩具のそばにある何本かの笛と、小さな竪琴の入れ物に気づいた。</t>
        </is>
      </c>
      <c r="J623">
        <f>HYPERLINK("https://www.weblio.jp/content/入れ物", "词义详情")</f>
        <v/>
      </c>
      <c r="K623">
        <f>HYPERLINK("https://yourei.jp/入れ物", "查看例句")</f>
        <v/>
      </c>
    </row>
    <row r="624">
      <c r="A624" t="inlineStr">
        <is>
          <t>入れる</t>
        </is>
      </c>
      <c r="B624" t="inlineStr">
        <is>
          <t>成功</t>
        </is>
      </c>
      <c r="C624" t="inlineStr">
        <is>
          <t>読み方：いれる
［動ラ下一］［文］い・る［ラ下二］
１外側にあるものを、ある範囲内、内側の場所に移す。
㋐外から中に移し置く。また、はいらせる。「冷蔵庫に—・れる」「部屋に風を—・れる」
㋑支払うべきものを納める。「家賃を—・れる」
㋒組織・集団などの一員とする。法律的に認めて、家族などの構成員とする。「寮に—・れる」「大学に—・れる」「籍に—・れる」
２
㋐ある範囲・数量に含める。「計算に—・れる」「私を—・れて五人」
㋑まぜる。「麦を—・れたご飯」
３間にはさむ。
㋐はめ込む。「窓枠にガラスを—・れる」「行間に—・れる」
㋑差しはさむ。「会議の途中で休憩を—・れる」「疑いを—・れる余地はない」
４ある作用を加える。「文章に手を—・れる」「腐敗した政治にメスを—・れる」「テープにはさみを—・れる」「刻み目を—・れる」
５
㋐（容れる）認めて受け入れる。認めてやる。聞きいれる。「要求を—・れる」「人を—・れる度量がない」
㋑そうすることによって、受け入れてもらうように頼む。「詫びを—・れる」
６気持ちなどを集中させる。
㋐（多く「身をいれる」「気をいれる」の形で）熱心に物事に打ち込む。「練習に気を—・れる」「力を—・れる」
㋑（多く「念をいれる」の形で）手落ちのないよう、十分注意する。「戸締まりには念を—・れなさい」
７投票する。「一票を—・れる」
８（「淹れる」「点れる」とも書く）湯を差して、茶などを出す。「コーヒーを—・れる」
９電流を通じさせたり、操作を加えたりして、電気・あかりなどをつける。また、作動させる。始動する。「スイッチを—・れる」「エンジンを—・れる」
10相手に連絡する。「電話を—・れる」「第一報を—・れる」
[下接句]足を入れる・新しい酒を古い革袋に入れる・息を入れる・一札(いっさつ)入れる・肩を入れる・活を入れる・瓜田(かでん)に履(くつ)を納(い)れず・間(かん)髪(はつ)を容(い)れず・勘定に入れる・気を入れる・気合いを入れる・嘴(くちばし)を容(い)れる・腰を入れる・探りを入れる・朱(しゅ)を入れる・精を入れる・底を入れる・力を入れる・茶々を入れる・手に入れる・手を入れる・泣きを入れる・縄を入れる・念には念を入れよ・念を入れる・年季を入れる・肌を入れる・半畳を入れる・筆を入れる・仏作って魂入れず・本腰を入れる・身を入れる・耳に入れる・メスを入れる・焼きを入れる・世に入れられる・詫(わ)びを入れる</t>
        </is>
      </c>
      <c r="D624" t="inlineStr">
        <is>
          <t>入れるべき；入れるべく；入れる大き；入れるよう指示；入れるよう要求</t>
        </is>
      </c>
      <c r="E624" t="inlineStr">
        <is>
          <t>聞く；提出；送る；収容；加える</t>
        </is>
      </c>
      <c r="F624" t="inlineStr">
        <is>
          <t>運び入れる；突き入れる；導き入れる；入れるよう要請；入れるよう命じ</t>
        </is>
      </c>
      <c r="H624" t="n">
        <v>29</v>
      </c>
      <c r="I624" t="inlineStr">
        <is>
          <t>開始時に各穴に何個の石を入れるかという初期配置は様々な形があり得る。；いったん口に入れた果物の種や皮などを再度口から出す行為は印象が悪い。；母は対局が行われたNHKのスタジオから、すぐに二上に電話を入れた。；酒販店が母体の店舗では、酒の販売に力を入れているところも存在する。；圧倒的な強さを手に入れるも本来の人の良さがなくなってしまう。；作品の中で自身の画力を自虐的に扱うシーンを入れる事も度々であった。；他に誰も入れない兄弟2人だけの世界は、この後東京に行ってからも続く。；目の中に入れろと言われれば本当に入れかねないほどの溺愛ぶりだった。；この舞台で初めて女優としての喜びを知り、以降女優業に本腰を入れる。；特に低車高化については力を入れ、実寸大模型を製作し研究が行われた。；しかしそれも後にレモン水や香料を入れた水をかけるようになっていった。；これらは主にパンにトッピングしたり具として中に入れたりして使用する。；子供だけを日本に帰国させて学生寮がある高等学校に入れる保護者もいる。；フォックスはバス以外のシーンを入れることを条件に企画を進めた。；入れたままでサイコロを振ることができる、専用の箱も市販されている。；低いから労働者は生産物と同じ価値の物を手に入れられない。；また、罫線や文字を入れることで表そのものを作成することも出来る。；メーカーについて、どちらの一覧に入れるかは主要分野により決めます。；本船も上空に到着して求めていた水と緑の豊かな惑星を手に入れる事が出来た。；次のアメンホテプ1世はカルナック神殿の拡張などの内政に力を入れた。；また、大学入学後にはもう一つの趣味であった剣道にも力を入れた。；初期の車両は先頭車の正面脇に「ひげ」を入れていたが、後に廃止された。；特に冬には手軽に手に入れることができるため、年賀状に使うこともある。；古い時代には、懐中に入れて暖を取るものとして温石が利用されていた。；上記ゲームをプレイする場合は店に一言断りを入れておくなどの注意が必要である。；この倉の中に、憎い相手の名前を書いた紙を入れると、赤い紙が出てくる。；その中に生物を入れると窒息して死んでしまうことにちなんでいる。；ただし、観客を入れない場合は準備日料金となり1日650万円である。；これと同時期に、パチンコ玉を入れる容器が小さいものに変更されている。</t>
        </is>
      </c>
      <c r="J624">
        <f>HYPERLINK("https://www.weblio.jp/content/入れる", "词义详情")</f>
        <v/>
      </c>
      <c r="K624">
        <f>HYPERLINK("https://yourei.jp/入れる", "查看例句")</f>
        <v/>
      </c>
    </row>
    <row r="625">
      <c r="A625" t="inlineStr">
        <is>
          <t>色</t>
        </is>
      </c>
      <c r="B625" t="inlineStr">
        <is>
          <t>成功</t>
        </is>
      </c>
      <c r="C625" t="inlineStr">
        <is>
          <t>読み方：いろ
［名］
１
㋐光の波長の違い（色相）によって目の受ける種々の感じ。原色のほか、それらの中間色があり、また、明るさ（明度）や鮮やかさ（彩度）によっても異なって感じる。色彩。「—が薄い」「暗い—」「落ち着いた—」
㋑染料。絵の具。「—を塗る」「—がさめる」
㋒印刷・写真で、白・黒以外の色彩。「—刷り」
２人の肌の色。人の顔の色つや。「抜けるように—の白い人」
３
㋐表情としての顔色。「驚きの—が見える」「不満が—に出る」
㋑目つき。目の光。「目の—を変えて怒りだす」
４
㋐それらしい態度・そぶり。「反省の—が見られない」
㋑それらしく感じられる趣・気配。「秋の—の感じられる昨今」「敗北の—が濃い」
㋒愛想。「—よい返事」
５（「種」とも書く）種類。「—とりどり」「三(み)—選び出す」
６華やかさ。華美。「大会に—をそえる」
７音・声などの響き。調子。「琴の音(ね)の—」「声(こわ)—」
８
㋐情事。色事。「—を好む」「—に溺れる」
㋑女性の美しい容貌。「—に迷う」
㋒情人。恋人。いい人。「—をつくる」
９古代・中世、位階によって定められた衣服の色。特に、禁色(きんじき)。
「昔、公おぼして使う給ふ女の、—許されたるありけり」〈伊勢・六五〉
10喪服のねずみ色。にび色。
「女房なども、かの御形見の—変へぬもあり」〈源・幻〉
11婚礼や葬式のとき上に着る白衣。
「葬礼に—を着て供して見せ」〈浄・博多小女郎〉
12人情。情愛。
「東人(あづまうど)は…げには心の—なく、情おくれ」〈徒然・一四一〉
［形動ナリ］
１女性の髪などがつややかで美しいさま。
「髪、—に、こまごまとうるはしう」〈枕・二〇〇〉
２好色なさま。
「この宮の、いとさわがしきまで—におはしますなれば」〈源・浮舟〉</t>
        </is>
      </c>
      <c r="D625" t="inlineStr">
        <is>
          <t>色鮮やか；色使い；色つき；色あざやか；色ガラス</t>
        </is>
      </c>
      <c r="E625" t="inlineStr">
        <is>
          <t>恋人；外観；カラー；色彩；愛人</t>
        </is>
      </c>
      <c r="F625" t="inlineStr">
        <is>
          <t>赤い色；明るい色；桜色；赤茶色；赤紫色</t>
        </is>
      </c>
      <c r="G625" t="inlineStr">
        <is>
          <t>色彩；色合い；色白；色素；色濃く</t>
        </is>
      </c>
      <c r="H625" t="n">
        <v>29</v>
      </c>
      <c r="I625" t="inlineStr">
        <is>
          <t>そのような文化もあり、生物の和名には肉の色が採用されることが多い。；色による能力差はないが、同色でも倒した時の得点が異なる場合はある。；だが、周囲の色に引きずられて物の色が違って見えては困るであろう。；さきほどと同じように、挟んだ相手の色の石を裏返して自分の色に変える。；また路線や列車の識別を狙って、路線ごとに異なる色を採用する例もある。；種別色は高野線では長らく赤であったが、本線では当初から緑色である。；具体的には色に興味がある人は色が付いた夢を見る、などである。；近鉄難波線の各駅はホームの柱がそれぞれ違う色で塗り分けられている。；用語については、独特の用語を用いて、軍事色を薄めているものがある。；これは主に絵文字で使われているが、普通の文字でも色を使うことができる。；アメリカ合衆国では早くから色灯を組み合わせた警報機が採用されていた。；子供は多少色のあるものを着るが、成人は決められた色のものしか着ない。；現代の青に相当する色として、日本では伝統的には藍や縹を用いてきた。；しかし実際には三波長形は演色性の面では一般形と高演色形の中間である。；また、色調は一般に白色のものが多いが黒色など色付きのものもある。；その後、現在に至るまでに様々な色のJRマークが車両に掲出されている。；そのため色彩学では面色と表面色という色の見え方の違いが重要とされている。；そのため、独立した複数の色を合成する事で人間に別の色を感じさせる事ができる。；他の標識に合わせた色・文字体変更がなされたが、形状は変更されていない。；日焼けした部分と、そうでない部分の皮膚の色が大きく違っている。；段級位制や色帯制が導入されると同時に、練習体系の合理化も進んだ。；つまり、色を表す言葉の数によって、虹の色の区切り方が違うのである。；カバーの背表紙の色は作者自身や作品のイメージから決められる。；この場合、挟んだ石はすべて自分の色に変えなければならない。；青は、ヒスイ輝石には存在せず、主にオンファス輝石の色によっている。；一般的に春に桜色と表現される白色や淡紅色から濃紅色の花を咲かせる。；瞑想しながら体の感覚がなくなるような不思議な感覚や不思議な色や光を見る。；これらの用途では様々な色や模様のものが用いられる。；企業や団体などの組織を象徴する色をコーポレートカラーと言う。</t>
        </is>
      </c>
      <c r="J625">
        <f>HYPERLINK("https://www.weblio.jp/content/色", "词义详情")</f>
        <v/>
      </c>
      <c r="K625">
        <f>HYPERLINK("https://yourei.jp/色", "查看例句")</f>
        <v/>
      </c>
    </row>
    <row r="626">
      <c r="A626" t="inlineStr">
        <is>
          <t>色合い</t>
        </is>
      </c>
      <c r="B626" t="inlineStr">
        <is>
          <t>成功</t>
        </is>
      </c>
      <c r="C626" t="inlineStr">
        <is>
          <t>読み方：いろあい
１色彩のぐあい。色の加減。色調。「着物の—」
２物事の感じやぐあい。傾向。「事件は迷宮入りの—をおびてきた」
３顔の色つや。顔色。
「—心地よげに、声いたう枯れてさへづりゐたり」〈源・玉鬘〉</t>
        </is>
      </c>
      <c r="D626" t="inlineStr">
        <is>
          <t>色；外観；カラー；色彩；趣</t>
        </is>
      </c>
      <c r="F626" t="inlineStr">
        <is>
          <t>淡い色合い；さまざまな色合い；様々な色合い；明るい色合い；深い色合い</t>
        </is>
      </c>
      <c r="H626" t="n">
        <v>29</v>
      </c>
      <c r="I626" t="inlineStr">
        <is>
          <t>その関係で最近では布・糸ともにカラフルな色合いの物も出てきている。；赤・黄・緑など様々な色合いを持つ為、童謡では色を錦と表現している。；色は白であることが多いが、様々な色合いのものも見ることが出来る。；第2次世界大戦頃まで最も多く使用されていた色合いはカーキ色である。；そのまわりには純金の塊やさまざまな色合いの宝石が山と積まれている。；なお、こうした色合いの変化はカラー写真でも同様に起こる場合もある。；キンギョとも似た部分をもつが、鱗が小さいため色合いはかなり異なる。；またアイコンが前バージョンと比較して、金属的な色合いに変化している。；彼はうとうとしながら、緑や青や黄に燃える炎の色合いに見とれていた。；赤い色合いの除去はタバードの本来の色が緑色であることを明らかにした。；こちらでは深い色合いで、ベリー系の香りが強いワインになることが多い。；また、色合いを変えるためにこれらの金属の合金が用いられる場合もある。；色合いやコントラストに本来と異なる像が現れることを意図する手法である。；色は赤・紫から黄色など様々だが、総じて派手な色合いのものは少ない。；それは、とりどりの色合いの緑のガラスを寄せてつくったものだった。；黄色の花をつけるミモザと色合いが似ていることから名付けられたといわれる。；実際は、青いのが二冊ありますが、その色合いは本質的に違う青なのです。；時とすると生活がよろこばしい色合いを帯びそうになることがある。；このため商業・サービス業中心の大都市としての色合いが強く出ている。；しかしその演奏はそれよりもいかに探さと色合いとに富んでいたことだろう!；単純に空の色といっても、その色合いは天候や時間帯によって様々である。；上のようなイメージは観光のために誇張されているものという色合いが濃い。；翅の表は虹青色をしているが、裏は地味な黒と茶色の色合いをしている。；明以降の青花は輸入が途絶えたために色合いが元代とは変ってゆく。；指の形から色合いから、ほんものそっくりにできている義手だったのです。；この号を境にメーカー側の意向に迎合する色合いが急激に増していた。；花は独特の色合いで美しいが、雑草のため市販されることはほとんどない。；定期的な活動を行うための固定された集団ではなく、仲間集団的な色合いが強い。；デビュー以降は長さや色合いに変化はあるが、一貫して明るい髪色。</t>
        </is>
      </c>
      <c r="J626">
        <f>HYPERLINK("https://www.weblio.jp/content/色合い", "词义详情")</f>
        <v/>
      </c>
      <c r="K626">
        <f>HYPERLINK("https://yourei.jp/色合い", "查看例句")</f>
        <v/>
      </c>
    </row>
    <row r="627">
      <c r="A627" t="inlineStr">
        <is>
          <t>いろいろ</t>
        </is>
      </c>
      <c r="B627" t="inlineStr">
        <is>
          <t>成功</t>
        </is>
      </c>
      <c r="C627" t="inlineStr">
        <is>
          <t>読み方：いろいろ
フィリピン中央部、ビサヤ諸島最西端のパナイ島の都市。同島南東岸、ハロ川の河口に位置し、港湾をもつ。対岸にギマラス島とネグロス島が浮かび、古くから開け、1930年代まで交易の拠点として発展。サンペドロ要塞、モロ教会をはじめ、歴史的建造物が多く残っている。</t>
        </is>
      </c>
      <c r="D627" t="inlineStr">
        <is>
          <t>いろいろな意味；いろいろな形；いろいろな種類；いろいろ話；いろいろな話</t>
        </is>
      </c>
      <c r="E627" t="inlineStr">
        <is>
          <t>様々；多様；色々；種々；あれこれ</t>
        </is>
      </c>
      <c r="F627" t="inlineStr">
        <is>
          <t>いろいろ話し；もっといろいろ；ずいぶんいろいろ；実にいろいろ；いろいろ面白い</t>
        </is>
      </c>
      <c r="H627" t="n">
        <v>29</v>
      </c>
      <c r="I627" t="inlineStr">
        <is>
          <t>旗の上に掲げられた赤のSchwenkelにはいろいろな解釈がある。；その後何年にもわたり新聞やいろいろな定期刊行物へ詩を発表し続けた。；ストレッチの分類方法にはいろいろあるが、以下が一般的とされている。；彼が考えている以上に、私にいろいろなものを与えてくれた人だった。；毒性試験には上に挙げた各種毒性に応じていろいろなものが用いられる。；頭部に大きな斑点が付いていて、いろいろな柄のキノコが特徴的である。；退行の原因にはいろいろあるが、固着と大きな関係があるとされている。；いろいろなサイズの鉛筆に備え、多くの削り穴があいているものもある。；更に、町中のいろいろな物が少女のような姿となって現れたのである。；その男には名前がなく、いろいろな惑星でそれぞれ違う名前で呼ばれている。；ケルンにどのように駅を造るかなどがいろいろと議論の対象となっていた。；なお激減の原因はいろいろ指摘されてはいるが、特定できる段階にはない。；いろいろな分類のしかたがあるが次のように列挙することも可能であろう。；これは比較的簡単な形に得られ、いろいろな局面で現れる重要な量である。；いろいろな面でリエルが恐れていた最悪の事態が現実のものとなった。；現在は、地形や気候に合わせていろいろな形状や大きさのものがある。；彼らにはいろいろな能力があり、移動中や戦闘中に桃太郎をサポートする。；これにより敵を破壊しやすくなり、いろいろな方向に撃てるようになる。；数理物理学が何から構成されるかについては、いろいろな考え方がある。；いろいろ尋ねていると、彼女が子供の時に捕まった詳細を思い出した。；トヨタもヤマハもいろいろなことを共に学んだといえるのではないか。；以後、様々な種類の接着剤がいろいろな用途に使われるようになった。；いろいろなものの上に積み上げられた箱や袋に入っていない嗅ぎ煙草。；そのため安全に接近するための配偶行動がいろいろと知られている。；作によって途中で死ぬ仲間が出ており、展開がいろいろ変わってくる。；いろいろうまくいかないことだらけで晋也さんも大変だったと思う。；このモジュールを複数並べて、いろいろな幅のバーやスペースを表現する。；無色を含めていろいろな色のものがあり、靴の色に合わせて選ぶ事ができる。；いろいろ批判はあるだろうけど、一番努力した人だと思いますね。</t>
        </is>
      </c>
      <c r="J627">
        <f>HYPERLINK("https://www.weblio.jp/content/いろいろ", "词义详情")</f>
        <v/>
      </c>
      <c r="K627">
        <f>HYPERLINK("https://yourei.jp/いろいろ", "查看例句")</f>
        <v/>
      </c>
    </row>
    <row r="628">
      <c r="A628" t="inlineStr">
        <is>
          <t>色付く</t>
        </is>
      </c>
      <c r="B628" t="inlineStr">
        <is>
          <t>成功</t>
        </is>
      </c>
      <c r="C628" t="inlineStr">
        <is>
          <t>読み方：いろづく
［動カ五（四）］
１果実などが熟してきて色がつく。「柿の実が—・く」
２草木の葉が赤や黄に変色する。紅葉する。「銀杏(いちょう)並木が—・く」
３性に目覚める。色気づく。「—・く年ごろ」
［動カ下二］「いろづける」の文語形。</t>
        </is>
      </c>
      <c r="H628" t="n">
        <v>29</v>
      </c>
      <c r="I628" t="inlineStr">
        <is>
          <t>赤く色付いた木々の間に、何か白くて人の形をしたものが見える。；さらに上を見ると、どの壁にも色付きガラスの丸窓があった。；枇杷の実が次第に色付いて、無花果の葉裏にはもう鳩の卵ほどの実がなつて居た。；後十時間たてば、街はざわめき店は色付いて腕を広げるだろう。；映像はモノクロで始まり、シーンが進むにつれて色付いてゆく演出が用いられている。；オレンジに色付いた日だまりだけが静かに細長い机に坐っている。；冬に枝が美しい赤に色付くので、これを花材にする。；ほぼすべての少女写真では、被写体の名前が写真の角に色付きインクで記されている。；暖地では冬でも色付いた葉が残ることがある。；彼が肩に触れ唇を重ねたとき、私は目を開けて夕焼けと夜の中間の、中途半端に色付いた空を確かめたこと。；オレンジに色付きはじめた大気の中に、銀色の携帯が弧を描いて消えていった。；秋の紅葉のように色付いた艶のある声だろうか。；鰤などの冬の魚の漁が盛んになり、熊が冬眠に入り、南天の実が赤く色付くころ。；顔も手足も真黒く日に焼けているが地肌は酒で色付いている胸部を除いては、白い方である。；色付き文字や、ウィンドウ内でのマウスイベントのサポートなどの重要な機能も備わっている。；ガラスの開きのついた棚には、高価なワインやブランデーが並び、色付きガラスのグラスも用意されている。；通常は軽くて角張り大きくて白く色付いた種子が出来る。；収穫前の田畑はいづれも豊かに、黄に、褐色に、飴色に色付いてゐた。；黄色いトマトが密かに赤く色付いて変わってゆく様を乙女の姿に重ね合わせたということが本作のタイトルの由来の一つとされている。；建物側面の窓には普通のガラスがはめ直されたが、集められた色付きガラスの破片は新しいステンドグラスを作るために使われ、これは祭壇の上の東側の壁に今もある。；実は最初白または薄いピンクであるが、日光を充分に浴び完熟すると真っ赤に色付く。；また、自分の出番を待っている間、ヘプバーンは色付き粘土で魅力的な小さな像を作って時間を潰していたという。；色分れした色帯のうち、外側の赤色は他の色と重なり合わないため、内側の赤や黄色系のところだけが色付いて見えることが多い。；羽化の前日になると成虫の体色が色付き始め、雌雄が判るようになる。；色付きでない領域は不正なバイトの組み合わせである。；滝のまわりの紅葉も、アパートの庭の木々も色付いて、秋がしんしんと深まってゆく。；五十六七、すっかり月代が色付いて、鼻も眼も口も萎びた、剽軽な感じのする親爺です。；色付いた葉が散りはじめると、重ね着が増え、暖房が入り、秋も終わりに近づく。；上流部は名勝・最上峡があり、春や秋には船下りで色付く最上峡の絶景を楽しめる。</t>
        </is>
      </c>
      <c r="J628">
        <f>HYPERLINK("https://www.weblio.jp/content/色付く", "词义详情")</f>
        <v/>
      </c>
      <c r="K628">
        <f>HYPERLINK("https://yourei.jp/色付く", "查看例句")</f>
        <v/>
      </c>
    </row>
    <row r="629">
      <c r="A629" t="inlineStr">
        <is>
          <t>色直し</t>
        </is>
      </c>
      <c r="B629" t="inlineStr">
        <is>
          <t>成功</t>
        </is>
      </c>
      <c r="C629" t="inlineStr">
        <is>
          <t>読み方：いろなおし
１結婚式が終わったあとで、または披露宴の途中で、花嫁が式服を脱いで別の色模様のある衣服に着替えること。近世、婚礼のときは衣服・調度・室内の装飾など白色で統一したものを、式後3日目で平常の色のものに変えたことに由来。色変わり。
２出産後101日目に、赤子も産婦もそれまでの白小袖を色小袖に着替えること。色変わり。
３着物の染め直し。</t>
        </is>
      </c>
      <c r="H629" t="n">
        <v>25</v>
      </c>
      <c r="I629" t="inlineStr">
        <is>
          <t>色直しの時間が長びいて、会場の空気がだらけてきた気がした。；どうやらいきなり席を外したのは、見合い中に色直しでもするつもりだったのだろう。；いわば今回の校訂は、元服に際してのお色なおしというところだろうか。；桜子は、夫人が白小袖の百日を済ませ、色直しの日を迎えるまでは、鄭重に扱われた。；披露の席に出て、その列車を駅まで見送った或る夫人の話によると、新婦の華美な色直しは二度にわたって行なわれ、さらに旅行に出るときは目を瞠るばかりのモダンな洋装であったという。；屋敷に現れたときの白装束も、花婿側から贈る色直しの衣裳も、同じ人間が着ているはずなのだが、なんだか新しい服がやって来たという感じである。；式典終了後、明仁天皇・美智子皇后が当駅から乗車するため、これに合わせて駅舎等の色直しがされた。；三々九度の盃さえすめば、もうあと色直しとかその他改まったことはやらない。；スポットが次第にこちらに移り、色直しした新婦が猫背の媒酌人夫人に手をあずけて近づいてきた。；小槌屋に仕立てを頼んで置いた色直しの衣裳も、同じ日に出来て届けられたが、雪子はそんなものを見ても、これが婚礼の衣裳でなかったら、と、呟きたくなるのであった。；そして四日目、初めて、色直しの衣裳にかえて、登子も足利家の北ノ方となった新妻の身をやっと自分に見るのであった。；第三日までは、どちらも白小袖をつけて、他人で過し、第三夜に、褥をひとつにしてから、色直しといって、色のある衣服にあらためて祝いの式をし、舅姑をはじめ一家一族体面の礼をとる。；事実、三日めになり、桐姫が純白の衣装から色物にかえて、いわゆる色なおしをしたときには、その輝かんばかりの美しさに、婚儀に参列した者たちはみんな息を呑んだという。；既に断絶した有栖川宮の継承者であると称する偽殿下は、相棒の妃殿下と共に旧軍の軍服に身を包み、束帯に御色直しをした結婚式を挙行して箔付けをし、外国の政治家と会食した写真を携えて、出資金を集めていた。；現に雪子の色直しの衣裳なども、七・七禁令に引っ懸って新たに染めることが出来ず、小槌屋に頼んで出物を捜させたような始末で、今月からはお米も通帳制度になったのであった。；「色直しの着付けを済まして、御不浄へいらしったようですが、それっきり見えません」界隈でよく知られた、名人の髪結、額から右の眼へかけて赤い痣のあるお鶴が、その醜い顔を歪めておろおろしております。；怪し気ながら、紋付を脱いで、色直しということになります。；式次第が進み、保子が色直しに立った。；その間、濃姫はほとんど厠にも立てずにじっとすわり、三日目に白装を色ものの衣裳にかえ、いわゆる色なおしをして織田家の侍女たちのあいさつを受け、それがおわってようやく濃姫は儀式上の花嫁であることから解きはなたれた。；宗太郎は、今日から義父となった麻生源右衛門と共に、客の一人一人に挨拶をして廻り、色直しをすませた七重も、いつの間にか酌をしている。；怪し氣乍ら、紋付を脱いで、色直しといふことになります。；弟子の中に美しき男ありて、たがいに相惚れ、親さいわいのこととよろこび、その弟子を婿にとり、婚礼の杯すんで色直しから、床杯までめでたく納める。；新郎は色直しもせず、ずっと出ずっぱり。；文久3年3月3日、御髪置・御色直しの儀が行われる。；貝桶、色直しの長持、厨子棚、担唐櫃、屏風、行器などかずかずの調度も、のこらず持参し、股肱の若い武者七騎が、随従した。</t>
        </is>
      </c>
      <c r="J629">
        <f>HYPERLINK("https://www.weblio.jp/content/色直し", "词义详情")</f>
        <v/>
      </c>
      <c r="K629">
        <f>HYPERLINK("https://yourei.jp/色直し", "查看例句")</f>
        <v/>
      </c>
    </row>
    <row r="630">
      <c r="A630" t="inlineStr">
        <is>
          <t>異論</t>
        </is>
      </c>
      <c r="B630" t="inlineStr">
        <is>
          <t>成功</t>
        </is>
      </c>
      <c r="C630" t="inlineStr">
        <is>
          <t>読み方：いろん
他と違った意見や議論。異議。「—を唱える」</t>
        </is>
      </c>
      <c r="D630" t="inlineStr">
        <is>
          <t>異論も多い；異論が出さ；異論も多く；異論も出さ；異論が多く</t>
        </is>
      </c>
      <c r="E630" t="inlineStr">
        <is>
          <t>反対；抗議；反論；異議；否や</t>
        </is>
      </c>
      <c r="F630" t="inlineStr">
        <is>
          <t>異論が無い</t>
        </is>
      </c>
      <c r="H630" t="n">
        <v>29</v>
      </c>
      <c r="I630" t="inlineStr">
        <is>
          <t>このことで繁殖力が増加するとされているが、この主張には異論もある。；しかしこれには異論もあり、は年間であるとの見積もりを発表している。；なお下記のそれぞれの項目の内容については異論もある事に注意されたい。；チエホフがすぐれた作家であつたことはほとんど異論のない事実である。；光が善良な子であると云ふことにはあなたも異論がおありにならないでせう。；もっともこのこと自身には誰も異論はないと思うが、困難はその実行にある。；演劇に於ける脚本の位置といふ問題は、今日まで殆ど異論がありません。；チェホフがすぐれた作家であつたことはほとんど異論のない事實である。；異論のあるのに無理を通すようなことは秀吉は敢てせぬところである。；両者が一応全く別のものであることに就いてはもはや何人にも異論はあるまい。；こうなったら私がこの訴訟に異論の余地のない証拠を提出するまでだ。；魚に高血圧があるかどうかは知らぬが、イロンがそうでなかったのは確かだ。；しかしこの定式をマルクス主義の定式としてしまうことには異論も多い。；イロンさまか、そのご婦人がたのお一人以外の者は池に入れさせてはならん。；また、異論のある人物を集めて合意が形成されていないと主張する例が見られる。；それにきみにはあまりイロンの金がかかってないことを忘れるなよ。；イロンの奴隷たちは明らかにあまりよい待遇は受けていないようだ。；部屋は貴族や戦士でいっぱいで、わたしが初めに見た連中の中にはイロンがいた。；しかしこの像が薬師三尊よりも前のものであることは異論がなかろう。；心の中のイロンな葛藤が上手く表現できなくて、ふてくされていたのだ。；もちろん含まれているものと除外されているものには異論もある。；中国の武術をいくつかに分類する方法があるが、いずれも異論がある。；人は芸術が魔法だと云うかも知れぬが、僕には少し異論がある。；彼らの立場が本当に対立するものだったかについては異論もある。；ゴーティエが初めてこの言葉を書いたわけではないと異論を唱える者もいる。；いずれにしても万葉調が驚くべきものだという点では誰も異論はないはずです。；両親はヴェネツィア出身の画家の家系であるとされるが、異論もみられる。；彼らはイロンの屋敷の構内や、その他の場所で見た戦士とは違う服装をしていた。；異論をはさむ余地のないまでに、証明しなくてはならなかったのです。</t>
        </is>
      </c>
      <c r="J630">
        <f>HYPERLINK("https://www.weblio.jp/content/異論", "词义详情")</f>
        <v/>
      </c>
      <c r="K630">
        <f>HYPERLINK("https://yourei.jp/異論", "查看例句")</f>
        <v/>
      </c>
    </row>
    <row r="631">
      <c r="A631" t="inlineStr">
        <is>
          <t>岩</t>
        </is>
      </c>
      <c r="B631" t="inlineStr">
        <is>
          <t>成功</t>
        </is>
      </c>
      <c r="C631" t="inlineStr">
        <is>
          <t>読み方：いわ
１地殻を形づくっている堅い物質。
２石の大きなもの。岩石。いわお。「一念—をも通す」
３（「錘」「沈子」とも書く）
㋐漁網を沈めるためにつけるおもり。
㋑船のいかり。
「—下ろすかたこそなけれ伊勢の海のしほせにかかる蜑(あま)の釣り舟」〈千載・雑上〉</t>
        </is>
      </c>
      <c r="D631" t="inlineStr">
        <is>
          <t>岩棚(4%)；岩だらけ；岩かげ；岩質；岩層</t>
        </is>
      </c>
      <c r="E631" t="inlineStr">
        <is>
          <t>石；岩石；ストーン；石ころ；磐</t>
        </is>
      </c>
      <c r="F631" t="inlineStr">
        <is>
          <t>安山岩；お岩；巨大な岩；黒い岩；岩面</t>
        </is>
      </c>
      <c r="G631" t="inlineStr">
        <is>
          <t>岩手県；岩崎；岩壁；岩山；岩場</t>
        </is>
      </c>
      <c r="H631" t="n">
        <v>29</v>
      </c>
      <c r="I631" t="inlineStr">
        <is>
          <t>そこでは、彼らは岩の陰や他の生物の内部にまで潜り込んで隠れている。；月と太陽が洞窟から出ようとしたとき大きな岩が邪魔をして出られない。；これは後に海岸近くの岩の上などに生息するものであることがわかったという。；近くに帆の形をした大きな岩「船帆石」があったことから付いたという。；岩に着生するものも着生植物と言えなくはないが、含めない見解もある。；主要大陸北西部に位置するどこまで行っても砂と岩しか無い、広大な砂漠。；主に夜行性であり、日中は岩の下や岩の間などに潜んでいることが多い。；岩の手前は眼鏡岩寺の境内となっており、公園としても整備されている。；現在のの表面を形成している岩の大部分は、当時は海の底に堆積していた。；岩の隙間にはえるものを採取するために、岩を割ってしまう者さえいる。；地元警察署は同島の岩であっても傷付けることは犯罪であるとしている。；一方、他のファンはガラスのドアに岩や瓶を投げて入場しようとした。；岩の上には特殊な地衣類が生えているので岩の色が青くなっている。；温泉名の由来は、兜の形をした岩が崩れたことで温泉が発見されたことによる。；岩の上部には、加工当時にはなかったとみられる多くの雑木が生えている。；岩の上にはえるものは、特に崖に出る性質が強いもののみを挙げた。；初期の撮影で背落ちの撮影をした際に後頭部を岩で打ち、病院に搬送された。；でもNASAが撮影した火星の写真に岩に宇宙人が座っている写真は好き。；しかしアーサーのみ移送先が変更されてしまい、変な岩の大ホールに出る。；そして池の周囲を様々な形の岩や石で囲っていることが多い。；この中からは地球化学で と呼ばれる、地球上には存在しない岩種が発見された。；その後湧き水は姫の水、岩はきぬかけ岩と呼ばれるようになった。；この岩はエイラト石と呼ばれ、しばしばイスラエルの国の石とも言われる。；岩の中央には杉の枝、両側には松の枝という配置をすることが多い。；アヴェロン県は広大で多様な地質からなる古い岩の高原で構成される。；足糸を出して砂泥や岩などに自分の体を固定する。；「蛾の山」の映画化「岩棚に立つ女」が企画されたが、実現していない。；水の用途は様々で、採掘現場から土や余分な岩を取り除くのにも使われた。；また干潮時には岩の列中ほどに附属する弁天島まで歩いて渡ることができる。</t>
        </is>
      </c>
      <c r="J631">
        <f>HYPERLINK("https://www.weblio.jp/content/岩", "词义详情")</f>
        <v/>
      </c>
      <c r="K631">
        <f>HYPERLINK("https://yourei.jp/岩", "查看例句")</f>
        <v/>
      </c>
    </row>
    <row r="632">
      <c r="A632" t="inlineStr">
        <is>
          <t>祝う</t>
        </is>
      </c>
      <c r="B632" t="inlineStr">
        <is>
          <t>成功</t>
        </is>
      </c>
      <c r="C632" t="inlineStr">
        <is>
          <t>読み方：いわう
［動ワ五（ハ四）］
１めでたい物事を喜ぶ。ことほぐ。「新年を—・う」「全線開通を—・う」
２将来の幸運を祈る。祝福する。「二人の前途を—・って乾杯する」
３
㋐祝福して贈り物をする。「結婚する友人に時計を—・う」
㋑祝福して飲食する。「正月に屠蘇(とそ)を—・う」
４（斎う）身を慎み、けがれを避けて神を祭る。
「祝部(はふり)らが—・ふ社のもみち葉も標縄(しめなは)越えて散るといふものを」〈万・二三〇九〉
５（斎う）神の力を借りて守る。
「家にして恋ひつつあらずは汝(な)が佩(は)ける太刀になりても—・ひてしかも」〈万・四三四七〉
６大切にする。かしずく。
「わたつみのかざしにさすと—・ふ藻も君がためには惜しまざりけり」〈伊勢・八七〉
[可能]いわえる</t>
        </is>
      </c>
      <c r="D632" t="inlineStr">
        <is>
          <t>祝うパーティ；祝うべき；祝うべく；祝うめでたい</t>
        </is>
      </c>
      <c r="E632" t="inlineStr">
        <is>
          <t>祝賀；悦ぶ；奉祝；慶賀；祝す</t>
        </is>
      </c>
      <c r="H632" t="n">
        <v>29</v>
      </c>
      <c r="I632" t="inlineStr">
        <is>
          <t>それは二日前に誕生したカドモス七世の初の王子を祝ってのものだった。；これは毎年、町の主要な輸出物ロブスターを祝って行われるものである。；今日では祭や教会の集まりでその歴史的遺産と生活の喜びを祝っている。；本当なら友人たちとロンドンで年の瀬を祝っていたはずだったのだが。；私たちは仕事の成功を祝って乾杯したが、そのあとホリーは私にいった。；関ヶ原にて勝利した際にはそれを祝って「勝」と改名させたほどである。；そして、預言者の誕生日を祝うことを禁止にすべきだと結論付けている。；自分かほかのだれかがこの勝利を祝ってシャンパンのグラスを挙げる。；二人の出発を祝ってやったこの日に、ひとつの不愉快な事件がおきた。；これは開港を祝したものか独立記念日を祝うものかははっきりしていない。；金のせいばかりではなく、みんなこころよく平野の復帰を祝ってくれた。；またこどもの日と男の子の成長を祝う端午の節句は同日だが別物である。；その日を祝う人は、夕方に教会に行くか、休日をとって朝にも教会に行く。；しかも、ジョンは、ぼくたちを祝って下さいというではありませんか。；私のはいっている第一寮の者全員と院長が、私の誕生を祝ってくれました。；都の事業の成功を祝ってなどとは、お世辞にもいいたくないという顔だ。；これはこの国で初めてその名を持った祝日を公式に祝う機会となった。；そして三人は三人で、商人が無事に助かったことを祝ってやりました。；いったい同人連中は本気でぼくのことを祝ってくれているんですか。；イギリスGPではスターリング・モスの地元初優勝を祝う余裕も見せた。；学生歌は学生たちが何かを祝って集まる際に好んで歌う歌のことである。；翌日は彼女の門出を祝って、汁粉をこしらえようと考えていたのである。；その前にお目にかかりますが、あなたは私に何を祝って下さいますか?；州内では市民の歴史遺産を祝って多くの民族祭が開催されている。；ヴェンツェルはなどの多くの写本を作成することでこの結婚を祝った。；昔の人はちょうどそのころに年の始めを祝ったのであった。；その一つが芋場畑に落下したので、それを祝ったのが立石権現とされる。；梨花ちゃんがぽん、と俺の頭に手を乗せ、俺の逆転勝利を祝ってくれた。；どうやら同僚や部下は心から自分の昇進を祝ってくれたわけでもないらしい。</t>
        </is>
      </c>
      <c r="J632">
        <f>HYPERLINK("https://www.weblio.jp/content/祝う", "词义详情")</f>
        <v/>
      </c>
      <c r="K632">
        <f>HYPERLINK("https://yourei.jp/祝う", "查看例句")</f>
        <v/>
      </c>
    </row>
    <row r="633">
      <c r="A633" t="inlineStr">
        <is>
          <t>違和感</t>
        </is>
      </c>
      <c r="B633" t="inlineStr">
        <is>
          <t>成功</t>
        </is>
      </c>
      <c r="C633" t="inlineStr">
        <is>
          <t>読み方：いわかん
しっくりしない感じ。また、ちぐはぐに思われること。「初めて会う人なのに—もなくうちとける」</t>
        </is>
      </c>
      <c r="D633" t="inlineStr">
        <is>
          <t>違和感なく(4%)；違和感を覚えさせ；違和感無く；違和感を感じさせる；違和感を抱かせる</t>
        </is>
      </c>
      <c r="E633" t="inlineStr">
        <is>
          <t>不一致；変な感じ；ちぐはぐな感じ</t>
        </is>
      </c>
      <c r="F633" t="inlineStr">
        <is>
          <t>奇妙な違和感；かすかな違和感；強烈な違和感；微妙な違和感；小さな違和感</t>
        </is>
      </c>
      <c r="H633" t="n">
        <v>29</v>
      </c>
      <c r="I633" t="inlineStr">
        <is>
          <t>これがビル群の中に建っているため、遠くから見ると若干違和感がある。；ただし、駅間距離の短縮は違和感のない範囲でこれまで同様に存在する。；手術は成功したように思われたが、だんだんと違和感を覚えはじめる。；何か忘れてはいけないものを忘れたような生活に甲児は違和感を覚えていた。；周囲の人間たちは彼らの存在になんの違和感も持っていない模様。；そのため現在では違和感のない日本語バージョンと呼ばれるようになった。；ゲーム自体もそうだし、だから歌も違和感のあるものにしたかった。；子ども心に、日本人だが日本人になりきれていない違和感も覚えていたという。；ゴシック様式ケルン大聖堂の建築再開も違和感のあるものでは無かった。；もともとチームで動いていたので、組織の中に入ることに違和感はないという。；違和感のない通話を実現するだけでなく、ハウリングを防ぐ効果もある。；女性は幼い頃から親に従い信仰をしてきたが、徐々に違和感を感じたという。；子供のころから男性であることに違和感を覚えていたという。；そういった光景を何度も目にし、多様性のなさに違和感を覚えたという。；には、春季キャンプ中に右肩の違和感を訴えたため開幕を二軍で迎えた。；宇宙生まれなので、初めて地球に来た時は、地球の空気に違和感を覚えていた。；一方で、この頃は殴ることに特別な違和感を持っていなかったとも述べている。；乙女が去ってから一年後、圭介は違和感を覚えながら日々を過ごしていた。；彼の創作した部分も違和感なく全体に収まっているとの評価である。；この様な場合であれば、見た目の違和感は最小限に抑えることができる。；人間は50歳を過ぎると味覚が低下し、違和感を覚えることが多くなる。；インディアンたちはこういった違和感について次のように述べている。；幼少時から男子であることに違和感を感じ、中学校から女子の制服で登校。；自分の変化に違和感を覚え、現実に戻る前に預言者・オラクルを訪問する。；オンライン会議では15 fps程度あれば違和感を覚えないとされる。；アナは何らかの違和感を抱きつつも特に気にすることはなかった。；はじめのころは切るとそこにあったものが無くなるという違和感があった。；だが、オープン戦で肩に違和感を覚えて登録抹消され、開幕二軍で迎えた。；場面や状況の捉え方により客側に違和感を与え得るとされる。</t>
        </is>
      </c>
      <c r="J633">
        <f>HYPERLINK("https://www.weblio.jp/content/違和感", "词义详情")</f>
        <v/>
      </c>
      <c r="K633">
        <f>HYPERLINK("https://yourei.jp/違和感", "查看例句")</f>
        <v/>
      </c>
    </row>
    <row r="634">
      <c r="A634" t="inlineStr">
        <is>
          <t>いわば</t>
        </is>
      </c>
      <c r="B634" t="inlineStr">
        <is>
          <t>成功</t>
        </is>
      </c>
      <c r="C634" t="inlineStr">
        <is>
          <t>読み方：いわば
山などの、岩の多い場所。また、登山で、岩登りの対象となるような岩がむき出しになっている所。</t>
        </is>
      </c>
      <c r="D634" t="inlineStr">
        <is>
          <t>いわば無意識；いわば受動的；いわば本能的；いわば正反対；いわばまア</t>
        </is>
      </c>
      <c r="E634" t="inlineStr">
        <is>
          <t>要するに；あたかも；恰も；言わば；詰まり</t>
        </is>
      </c>
      <c r="H634" t="n">
        <v>29</v>
      </c>
      <c r="I634" t="inlineStr">
        <is>
          <t>いわば万人のいわば万人のためのオートクチュールの誕生ともいえた。；この状態では、いわば患者は過去の記憶に支配された状態といえる。；いわばサニタリーショーツとガードルの両機能を合わせもつともいえる。；こうしてインドはいわば帝国の維持機関としての役割を担うことになった。；流通面はいわば兄弟会社のポリドール株式会社に委託する形となった。；いわば棘皮動物は体腔内に外海の水を直接に流し込んでいる動物である。；いわば、存在しない方が良い生命があることになるからである。；いわば巨大な肥だめが人が多数乗降する駅のすぐ直近にあったわけである。；これは、いわば英雄の権威付けのためになされた習慣である。；当時の顔料には多くの鉛が含まれ、鉛中毒はいわば画家の職業病だった。；いわば、白苔といって白いミルク粕のようなものが付着した状態である。；いわば、都市労働者の就業は基本的に国によって保障されていたのである。；いわば一会をもって九会を代表する構成といえる。；その際に蓋をし、いわば具材を蓋の代わりにして炊きあげるのが一般的である。；いわば本作の、もうひとりの主人公とも言うべき人物である。；いわば、プレイするだけでリプレイが自動的に作成されるわけである。；前衛攻撃を担当し、いわば対エース・パイロットを主とする機体といえる。；ひとつは番長といい、戦闘の得意ないわば主人公タイプのキャラクターである。；いわば、連載漫画の打ち切りに近い終わり方になっているともいえる。；その下に位置するのが、文書・秘書職系であり、いわば一般職である。；外観的特徴に百式との共通点が多く、いわば兄弟機とも言える機体である。；家屋はいわばそうした家族のための器と考えることが出来る。；努力もしたんだろうが、いわばもう生まれつきでできたんだわ。；いわば第八世界は闇界や冥界と同じ位置づけの世界なのである。；大宮の中心部とは反対側であった西側は、当時はいわば駅裏として扱われていた。；準一は、日本のいわば影の歴史に光を当てた先駆的存在といえる。；これは湯の沈澱物のことであり、いわば温泉成分を濃縮した存在とも言える。；そしていわば逆輸入されるかたちで明治末に鑑賞花として流行した。；岡田本部長の権限は、いわば一つの映画会社の社長の立場に匹敵する。</t>
        </is>
      </c>
      <c r="J634">
        <f>HYPERLINK("https://www.weblio.jp/content/いわば", "词义详情")</f>
        <v/>
      </c>
      <c r="K634">
        <f>HYPERLINK("https://yourei.jp/いわば", "查看例句")</f>
        <v/>
      </c>
    </row>
    <row r="635">
      <c r="A635" t="inlineStr">
        <is>
          <t>いわゆる</t>
        </is>
      </c>
      <c r="B635" t="inlineStr">
        <is>
          <t>成功</t>
        </is>
      </c>
      <c r="C635" t="inlineStr">
        <is>
          <t>読み方：いわゆる
［連体］《動詞「い（言）う」の未然形＋上代の受身の助動詞「ゆ」の連体形から》世間一般に言われる。俗に言う。よく言う。「—独身貴族」「これこそ、—瓢箪(ひょうたん)から駒というものだ」</t>
        </is>
      </c>
      <c r="D635" t="inlineStr">
        <is>
          <t>いわゆる普通；いわゆる平成の大合併；いわゆる特殊部落；いわゆるエタ；いわゆる科学</t>
        </is>
      </c>
      <c r="F635" t="inlineStr">
        <is>
          <t>いわゆるギャルゲー；世にいわゆる；いわゆる西洋；いわゆる幽霊；いわゆる高級</t>
        </is>
      </c>
      <c r="G635" t="inlineStr">
        <is>
          <t>いわゆる従軍慰安婦；いわゆるa級戦犯</t>
        </is>
      </c>
      <c r="H635" t="n">
        <v>29</v>
      </c>
      <c r="I635" t="inlineStr">
        <is>
          <t>いわゆる電子ガジェット類に機能の一つとして付属している場合もある。；対応ソフトウェアには、いわゆるコピーガードは一切掛けられていない。；いわゆる「萌え系4コマ」の中で最も長く連載が続いていた作品である。；これは赤と緑を十分に区別できないいわゆる「赤緑色盲」の状態である。；このような系では、いわゆるバンド理論などは正しい結果を与えなくなる。；いわゆるYouTuber活動を主体に、ほぼ毎日更新を行っている。；連合諸国にいわゆる民主主義はドイツ至上主義に反対する立場である。；この方針に怒ったのがこれまでの地方選挙で力をつけてきたいわゆる地方派系である。；いわゆる「希土類元素」に含まれているが、このように全く珍しくない。；いわゆる恐竜の子孫だとされ、飛翔するようになった鳥類ですら泳げる。；古くから食べられていたのは、白湯を掛けたもの、いわゆる湯漬けである。；かつては両側で上り線、下り線両者に接続した、いわゆる中線であった。；郡司は中央官僚ではなく、在地の有力者、いわゆる旧豪族が任命された。；ここに復活した帝国は、大空位時代を経ていわゆる神聖ローマ帝国となる。；戦後はいわゆるローカル線などにも広く設定されていった。；車両側面では屋根を高くし、いわゆる張り上げ屋根タイプとした。；現代の日本では特に本項で述べるいわゆる本将棋が普及している。；ただし不測の事態においてはいわゆるシュートといわれる技術で対応する。；いわゆるパソコン通信も、TTYによる通信方法を応用したものである。；これが原因で医者からはいわゆる暴飲暴食を止められており糖尿病を指摘されている。；いわゆる「南部地方」と呼ばれる地域は、ほとんどが旧盛岡藩領である。；またこの頃より、歌番組以外のいわゆるバラエティ番組への出演も増加した。；これが他地方から来た人を相手にする場合となると、いわゆる標準語を使用することとなる。；JSPはいわゆるWEBサイトの表示に特化したコンポーネントである。；ダム本体がステンレスなどのいわゆる鋼で形成されているダム。；これはキー局以外の、いわゆる地方局では初の試みとされている。；その後の運動は、いわゆる全共闘運動ではないと主張している。；いわゆる「闇の社会」では骨噛みの特殊な習俗が継承されているとの推測もある。；いわゆる廊下橋で、屋根と壁が取り付けられ、通行が外から見えないようにされていた。</t>
        </is>
      </c>
      <c r="J635">
        <f>HYPERLINK("https://www.weblio.jp/content/いわゆる", "词义详情")</f>
        <v/>
      </c>
      <c r="K635">
        <f>HYPERLINK("https://yourei.jp/いわゆる", "查看例句")</f>
        <v/>
      </c>
    </row>
    <row r="636">
      <c r="A636" t="inlineStr">
        <is>
          <t>印鑑</t>
        </is>
      </c>
      <c r="B636" t="inlineStr">
        <is>
          <t>成功</t>
        </is>
      </c>
      <c r="C636" t="inlineStr">
        <is>
          <t>読み方：いんかん
１印判。印(いん)。判。はんこ。
２あらかじめ市区町村長や取引先などに届け出て、その真偽を照合するときに使う実印の印影。「—書」
３江戸時代、照合のために関所や番所に届け出ておく捺印(なついん)手形。</t>
        </is>
      </c>
      <c r="D636" t="inlineStr">
        <is>
          <t>印鑑照合；印鑑条例；印鑑票；印鑑入れ；印鑑製造</t>
        </is>
      </c>
      <c r="E636" t="inlineStr">
        <is>
          <t>印；封印；判；シール；刻印</t>
        </is>
      </c>
      <c r="G636" t="inlineStr">
        <is>
          <t>印鑑証明；印鑑登録；印鑑登録証；印鑑登録証明書</t>
        </is>
      </c>
      <c r="H636" t="n">
        <v>29</v>
      </c>
      <c r="I636" t="inlineStr">
        <is>
          <t>あの印鑑は、主人が死んでからは、しばらく家に出して来てあったの。；父親が息子に手紙をやるのに本名の印鑑をつかうなどいうことはないはずです。；一般の夫婦でも、妻が独自の印鑑を持っている例は少なそうである。；わざと違う印鑑を持ってきて、それを指摘させ、あっさりと引き上げる。；早い話が銀行の通帳や印鑑の類まで、どこに何があるのかも分からなかったのだ。；しかし江戸時代には花押の使用例は少なくなり、印鑑の使用例が増加していった。；印鑑を入れた小さな袋を手首にかけ、庭から切ったカンナの花束を抱えて。；彼女は旧姓に戻ったから、僕の手元には割と立派な印鑑が二つ残った。；やはり家には壺や印鑑、多宝塔が置かれ、文鮮明の写真が飾られていた。；その活字の隅に、印鑑が押してあるのは、それを教えた教官の名前であった。；お急ぎのようだし、今度おついでのときに印鑑をお持ちください。；印鑑を送ってくれと知らせたら、両親は自分が生きているとわかるはずだと、思った。；駅前の印鑑屋でわざわざ彼が注文して作らせたものだった。；その判は、まぎれもなく、竹村が、会社へ持っていっている印鑑だった。；中には印鑑ではなく、煙草が一本だけ収まる構造になっている。；預金通帳も、印鑑やキャッシュ・カードと一緒にちゃんとしまってあった。；洋服にも靴にも何の見覚えもなかったが、この印鑑だけには見覚えがあった。；栄吉は彼の前にいろいろな改正の印鑑を取り出して見せた。；するとこの二つの印鑑の照合は、先刻からの嫌疑を確定的なものとしました。；それから上着のポケットを探って、黒い印鑑入れのようなものを取り出した。；印鑑が、うちのものは少し変った字体になっているのだが、間違いなく押してある。；日米生活の相違は印鑑の用不用の相違で万事が想像されます。；時々、書類の端に印鑑を押しながら、別の書類に目を向け、側に立つ男性へ指示を出す。；自分の姓の印鑑は一つしか持っていなかった。；父の印鑑を持ち出して、いつの間にやら家の電話を抵当にして金を借りていた。；最初から通帳類と印鑑を要求していたら、なぜ必要なのかと老婆も疑っただろう。；彼女が印鑑を押したときの心情が痛いくらいに私にはわかる。；署名者の大半は印鑑による捺印で、血判は数えるほどしかなかったのだ。；いってから印鑑を送り、その土地は県に登記するので、問題は私の手を離れたと喜びました。</t>
        </is>
      </c>
      <c r="J636">
        <f>HYPERLINK("https://www.weblio.jp/content/印鑑", "词义详情")</f>
        <v/>
      </c>
      <c r="K636">
        <f>HYPERLINK("https://yourei.jp/印鑑", "查看例句")</f>
        <v/>
      </c>
    </row>
    <row r="637">
      <c r="A637" t="inlineStr">
        <is>
          <t>インキ</t>
        </is>
      </c>
      <c r="B637" t="inlineStr">
        <is>
          <t>成功</t>
        </is>
      </c>
      <c r="C637" t="inlineStr">
        <is>
          <t>読み方：いんき
⇒インク</t>
        </is>
      </c>
      <c r="D637" t="inlineStr">
        <is>
          <t>インキ壺(9%)；インキ瓶(3%)；インキつぼ；インキ反発性；インキボール</t>
        </is>
      </c>
      <c r="E637" t="inlineStr">
        <is>
          <t>インク</t>
        </is>
      </c>
      <c r="F637" t="inlineStr">
        <is>
          <t>黒インキ；インキ反発；用インキ；赤いインキ；青いインキ</t>
        </is>
      </c>
      <c r="G637" t="inlineStr">
        <is>
          <t>インキュベーション；インキュバス；インキン；インキュベート；インキュナブラ</t>
        </is>
      </c>
      <c r="H637" t="n">
        <v>29</v>
      </c>
      <c r="I637" t="inlineStr">
        <is>
          <t>個人のものはペンでもインキでもこうまで悪くなっていることは稀です。；ちょうど文字の上を、太いインキの線のようなさけめが走っているのだ。；それは不思議なインキで書いたもので、その眼鏡でなければ見えません。；ということは、その瓶に残っていたのは赤インキではないかと思われる。；その眺めは発光インキで描いた様式化された旭日にどことなく似ていた。；そこにはインキの滲んだような門燈の点いている昔風な屋敷門があった。；いつもならノートとインキ壺を持って、八番の教室にはいる時分である。；彼は立ちあがって数滴の水をインキつぼのなかに注がねばならなかった。；なお、金・銀などの特別な色は、始めから調合されたインキで表現する。；するとフーケはペンとインキをとって、典獄の見ている前で書き始めた。；インキで書かれた文字が雨に打たれたページのようだった。；其所にはインキの滲んだやうな門燈の点いてゐる昔風な屋敷門があつた。；辰男はその声を聞くと同時に、ペンを筆筒に収めてインキ壺に蓋をした。；その黒色はインキ壺の崇高なる黒色と何らかの関係を有したことがない。；そこで おぢいさんは、その 赤インキを、町へ 売りに出かけました。；彼は立ちあがって数滴の水をインキの中に注がなければならなかった。；それにしてもうまいところへ隠しインキの現像薬を隠したものである。；白い水兵服の胸の所が、赤インキをこぼした様に、真赤に染まっていた。；裏模様が特殊なインキで印刷されたひと組のカードだ。；机と椅子とはこれを使ってよいですが、ペンとインキと吸取紙は自弁です。；しかし一箇所具合の悪いところがあったから、インキで消した。；すると手紙の文字はもうインキが消えかかっていました。；いずれもインキ反発性物質としてシリコーンゴムで非画像部を形成している。；印刷用途によっては水あり用インキで地汚れを起こさず印刷できる分野もある。；一枚の紙が此のインキのついた床の上に載せられる。；だから、清書の途中でインキが切れ、字がかすれたりすると不快になる。；地名が赤いインキで囲んであれば、それは新しいところへ行った合図である。；何か赤インキの中へ手を突込んだのと一向変りがなく感ぜられるのであった。；まだインキに汚れていないあの美しい銀色の活字の魅力がどれほどであったことか。</t>
        </is>
      </c>
      <c r="J637">
        <f>HYPERLINK("https://www.weblio.jp/content/インキ", "词义详情")</f>
        <v/>
      </c>
      <c r="K637">
        <f>HYPERLINK("https://yourei.jp/インキ", "查看例句")</f>
        <v/>
      </c>
    </row>
    <row r="638">
      <c r="A638" t="inlineStr">
        <is>
          <t>陰気</t>
        </is>
      </c>
      <c r="B638" t="inlineStr">
        <is>
          <t>成功</t>
        </is>
      </c>
      <c r="C638" t="inlineStr">
        <is>
          <t>読み方：いんき
［名・形動］
１万物生成の根本となる二気の一。陰の気。⇔陽気。
２気分・雰囲気・天候などが、晴れ晴れしないこと。また、そのさま。「なんとなく—な人」「—な会」⇔陽気。
[派生]いんきさ［名］</t>
        </is>
      </c>
      <c r="D638" t="inlineStr">
        <is>
          <t>陰気な顔(4%)；陰気くさい(3%)；陰気な声(2%)；陰気な感じ；陰気くさく</t>
        </is>
      </c>
      <c r="E638" t="inlineStr">
        <is>
          <t>暗い；重い；薄暗い；憂鬱；重苦しい</t>
        </is>
      </c>
      <c r="F638" t="inlineStr">
        <is>
          <t>暗く陰気；暗い陰気；こんな陰気；陰気な空気；陰気な雨</t>
        </is>
      </c>
      <c r="G638" t="inlineStr">
        <is>
          <t>陰気臭く；陰気臭</t>
        </is>
      </c>
      <c r="H638" t="n">
        <v>29</v>
      </c>
      <c r="I638" t="inlineStr">
        <is>
          <t>北向きの狭い軒から青葉の影が陰気にさしている十二畳の一部屋である。；この家は外形から見て陰気なばかりでなく中に入ると更に陰気であった。；大きなからだを猫背に曲げて陰気な顔をしていつでも非常に急いでいる。；そしてこんな陰気な思いをせずに住むことが出来るような気がした。；大阪の商業的活動と、この陰気な場所との対照は、極端なものであった。；御覧の通り、どこかの鍵穴から覗いた陰気な室内の光景が現われました。；それはまるで自分だけの陰気な世界へ閉じこもってしまったように見えた。；そこでほぼ週に一回くらいの割で、ねっとりと陰気な喧嘩が始まるのだ。；フォルテが居なくなった後は陰気な曲調以外の音楽も好むようになった。；どんな雑沓の日でも、この陰気な抜け道を利用する者はごく稀であった。；それから第三に、あの地の底からでも湧いて来る様な陰気な作り声じゃ。；窓の外は陰気な霧に包まれたり、時とすると薄日が幽かに射したりした。；こういう人達と一緒に、どちらかと言えば陰気な山の中で私は時を送った。；都市はこれまでと違って暗くなっても陰気な場所ではなくなった。；僕の書く人物が陰気だとあなたは言うが、それは僕のせいではない。；部屋から部屋へと通過したあげく、まもなく暗い陰気な大部屋へと出た。；彼はあなたから聞いて知っていたとみえ、頷きながら陰気に微笑しました。；私は今も決して、陰気な女でもなければ憂鬱な羞みやでもないつもりだ。；船がこの陰気な小さい入江にはいると、不思議に風がなくなってしまった。；母親の女主人は浪乃といって、三十五六の少し陰気ではあるが立派な婦人。；前夜、いん気に考えこんでいた男とは、似ても似つかないように見えた。；その陰気な空気に触れた時、宗助は世の中と寺の中との区別を急に覚った。；これは完全だけれども極めて陰気に、しかもテンポは緩やかに行われた。；それを自分だけが陰気な穴の中で聞いているような気がする。；前にも増して陰気になって、一日中おらくにものを云わないことさえある。；神学的には彼は清教徒であったが、彼には陰気なところが少しも無かった。；彼の目的は、やや陰気な部外者の目の前で展開するアメリカを撮影すだった。；全く、恐ろしく陰気だった者が、さも幸福そうな顔に変わるのであった。；そして神秘な陰気な宮殿にでもあるような階段を幾度も上り下りした。</t>
        </is>
      </c>
      <c r="J638">
        <f>HYPERLINK("https://www.weblio.jp/content/陰気", "词义详情")</f>
        <v/>
      </c>
      <c r="K638">
        <f>HYPERLINK("https://yourei.jp/陰気", "查看例句")</f>
        <v/>
      </c>
    </row>
    <row r="639">
      <c r="A639" t="inlineStr">
        <is>
          <t>隠居</t>
        </is>
      </c>
      <c r="B639" t="inlineStr">
        <is>
          <t>成功</t>
        </is>
      </c>
      <c r="C639" t="inlineStr">
        <is>
          <t>読み方：いんきょ
［名］(スル)
１官職・家業などから離れて、静かに暮らすこと。また、その人。民法旧規定では、戸主が生前に家督を相続人に譲ることをいう。「社長のポストを譲って—する」「御—さん」
２俗世を離れて、山野に隠れ住むこと。また、その人。
３江戸時代の刑罰の一。公家・武家で、不行跡などを理由に当主の地位を退かせ、俸禄をその子孫に譲渡させた。</t>
        </is>
      </c>
      <c r="D639" t="inlineStr">
        <is>
          <t>隠居後(4%)；隠居生活；隠居さん；隠居さま；隠居料</t>
        </is>
      </c>
      <c r="E639" t="inlineStr">
        <is>
          <t>引退；撤退；後退；退職；翁</t>
        </is>
      </c>
      <c r="F639" t="inlineStr">
        <is>
          <t>御隠居；ご隠居；譲り隠居；女隠居；強制隠居</t>
        </is>
      </c>
      <c r="G639" t="inlineStr">
        <is>
          <t>隠居寺；隠居処；隠居屋敷；隠居家；隠居絵具師</t>
        </is>
      </c>
      <c r="H639" t="n">
        <v>29</v>
      </c>
      <c r="I639" t="inlineStr">
        <is>
          <t>その後はイギリスとスイスを往復しながらの隠居生活を過ごしている。；永禄9年以降は実質的にも隠居し息子達に多くの戦を任せるようになる。；このため1930年に李堈は隠居に追い込まれ、子の李鍵が公となった。；次いで、長堅の死亡を隠して隠居願いを提出し、養子を迎えることにした。；意知の死後に失脚して隠居した意次の跡は、意知の長男・意明が継いだ。；既に家督を譲った隠居を老中に起用するのは大変異例なことであった。；その直後の同年5月14日、父の隠居により60歳にして家督を継いだ。；ただし1度隠居した身で、また高齢のためか幕政には関与していない。；自由の身となった彼らは、隠居の身ながら幕政、藩政に影響を与えた。；日本では、江戸時代には隠居がするものであり、若者の着用は病人に限られた。；文化元年7月5日、父が病を理由に隠居したため、その跡を継いだ。；しかし、同年のうちに隆景が主な家臣を連れて備後国三原へ隠居した。；享保12年、父が病気を理由に隠居したため、その跡を継いで藩主となった。；文化3年、三男の熈に家督を譲って隠居し、以後は執筆活動に従事する。；文久2年12月9日、父が病を理由に隠居したため、その跡を継いだ。；元々隠居制度は日本にしか存在しないものである。；綱憲は事件後の2年後に病気を理由に家督を長男の吉憲に譲って隠居した。；武州文書によると、この頃、氏政は実質的にも隠居をすると宣言している。；この事件の責任を問われ源太左衛門、造酒、清兵衛は隠居を余儀なくされた。；隠居には、大内氏の継承を巡る陶隆房との意見の相違があったとも言われる。；弘化4年8月16日、病気を理由に次男の俊方に家督を譲って隠居した。；永禄10年、病気のために家督を真田信綱に譲って隠居したとされている。；そして9月には隠居付奥茶道すなわち前藩主島津重豪付の勤務を命じられる。；しかし、この年に安宅再勤の内命が出され、隠居ながら再び老中になる。；そしてその権限や所領・家臣は「御隠居様」氏政がそのまま管轄していった。；そしてここに隠居所を築き、隠居生活を送りながら政務を見たといわれる。；隠居名への改名を除いて、それ以降他の名を襲名することはない。；綱宗自身はその後、品川の大井屋敷に隠居し芸術に傾倒していったといわれる。；しかし、間も無く病のために家督を子の岡本宣綱に譲って京都へ上り隠居。</t>
        </is>
      </c>
      <c r="J639">
        <f>HYPERLINK("https://www.weblio.jp/content/隠居", "词义详情")</f>
        <v/>
      </c>
      <c r="K639">
        <f>HYPERLINK("https://yourei.jp/隠居", "查看例句")</f>
        <v/>
      </c>
    </row>
    <row r="640">
      <c r="A640" t="inlineStr">
        <is>
          <t>印刷</t>
        </is>
      </c>
      <c r="B640" t="inlineStr">
        <is>
          <t>成功</t>
        </is>
      </c>
      <c r="C640" t="inlineStr">
        <is>
          <t>読み方：いんさつ
［名］(スル)原稿に従って印刷版を作り、その版面にインクなどをつけて文字・図形を多数の紙や布などに刷りうつすこと。また、その技術。印刷版の種類により凸版印刷・平版印刷・凹版印刷などがある。「ポスターを—する」「—所」「—物」</t>
        </is>
      </c>
      <c r="D640" t="inlineStr">
        <is>
          <t>印刷屋(3%)；印刷工場(2%)；印刷用；印刷版；印刷できる</t>
        </is>
      </c>
      <c r="E640" t="inlineStr">
        <is>
          <t>感想；プリント；刷り；摺る；刷る</t>
        </is>
      </c>
      <c r="F640" t="inlineStr">
        <is>
          <t>活字印刷；商業印刷；印刷方法；印刷可能；印刷費</t>
        </is>
      </c>
      <c r="G640" t="inlineStr">
        <is>
          <t>印刷所；印刷会社；印刷機；印刷業；印刷技術</t>
        </is>
      </c>
      <c r="H640" t="n">
        <v>29</v>
      </c>
      <c r="I640" t="inlineStr">
        <is>
          <t>実際に印刷イメージが作られている版と紙が直接触れないのが特徴である。；この大著を印刷するための版は空襲で失われてしまっていたためである。；個人で撮影した画像を自宅のプリンターで印刷することが一般的になった。；店の名前やロゴマークが印刷される物が多くを占めるため価値がある。；ドイツでもすべての文章がフラクトゥールで印刷されたわけではない。；印刷に改良を加えた活版印刷技術の発明者といわれ、広く知られている。；このため印刷版などは廃棄されずに保管されていることがほとんどである。；また、印刷された文字にマージナルゾーンが見られるなどの特徴がある。；郵便局や年賀状印刷メーカーによると、以下のような用途で用いられる。；個人用のプリンターで印刷したものの場合、既にこの処理は行われている。；イーストマン・コダックメーカーであり、現在は商業印刷の大手である。；たとえばドイツで印刷されたものにはXの文字が記載されていた。；この効果は印刷分野や画像処理分野では特に注意を要するものである。；すべての紙幣に初代国王アブゥドル・ラーマンの肖像が印刷されている。；この印刷機で、彼は生徒のために自由な読み物とクラスの新聞を印刷した。；現代では人気キャラクターの印刷された袋がよく使われる。；北宋に入ると木版印刷は広く普及し、多くの本が印刷されるようになった。；そのような欠点を解決した印刷発行式の食券販売機が広く普及した。；この秘密が活字による印刷のアイデアだったのではないかと言われている。；これらの技術の普及により、地図の更新・印刷は手軽なものとなっている。；また同時に、全国紙の地方紙への委託印刷も盛んに行われるようになった。；口で話す言葉は常に文字に印刷した言葉より重要である。；後記を除き、「天」部分に柄が印刷された箇所にまとめて掲載されている。；地方ごとに印刷拠点を持つ方式は、日本の全国一般紙と同様である。；「印刷」とは版と捺される対象の両者に力を加えて印影を得る手法である。；印刷と出版の二つを見るという意味を込めて『二見書房』と命名された。；ドイツとオーストリアの印刷終了が遅れたのは使用頻度が高かったためである。；それらを分かりやすくするために地形図を薄く印刷している事が多い。；株式会社電算プロセスに導入され、時刻表の印刷がさらに高速化された。</t>
        </is>
      </c>
      <c r="J640">
        <f>HYPERLINK("https://www.weblio.jp/content/印刷", "词义详情")</f>
        <v/>
      </c>
      <c r="K640">
        <f>HYPERLINK("https://yourei.jp/印刷", "查看例句")</f>
        <v/>
      </c>
    </row>
    <row r="641">
      <c r="A641" t="inlineStr">
        <is>
          <t>陰湿</t>
        </is>
      </c>
      <c r="B641" t="inlineStr">
        <is>
          <t>成功</t>
        </is>
      </c>
      <c r="C641" t="inlineStr">
        <is>
          <t>読み方：いんしつ
［名・形動］暗くてじめじめしていること。陰気で晴れ晴れしないこと。また、そのさま。「—な土地」「—ないたずら」</t>
        </is>
      </c>
      <c r="D641" t="inlineStr">
        <is>
          <t>陰湿ないじめ(5%)；陰湿な嫌がらせ(2%)；陰湿地；陰湿な空気；陰湿なイジメ</t>
        </is>
      </c>
      <c r="E641" t="inlineStr">
        <is>
          <t>暗い；重い；陰気；憂鬱；汚い</t>
        </is>
      </c>
      <c r="H641" t="n">
        <v>29</v>
      </c>
      <c r="I641" t="inlineStr">
        <is>
          <t>彼の赤いトランクスが、陰湿になりがちなイメージを避けさせてくれた。；しかし、このあたりには、そのような陰湿なものは何一つないのだった。；やや陰湿なタイプで下ネタの方向に話が行くことが多いが、悪い子ではない。；特に空気を入れるため口をつけさせるところが陰湿であり、見事な計算でした。；「もっと陰湿なものだと僕は思っていた」 それは栄介も感じている。；薄汚いひどく陰湿な感じのする店だったが、料理はすてきにうまかった。；ひとつには一年A組の少女たちが総じて陰湿な行動を嫌っていること。；問題は日常の中に深く潜んで、陰湿なものになりそうな気がする。；下町の愛した美しい妻は、陰湿な諍いの末に他の男のもとへはしった。；写真を見て薄笑いをしていたが、そのうち低く陰湿なきしり声で笑い出した。；学界の実力者であるキタに対する批難は陰湿に形を変えて私に集中した。；かなり陰湿ないやがらせといえるが、実際に危害を加えてくることはない。；しかし関口はそう云う陰湿な男にやや近しいものを感じるから始末に悪い。；それがうまくいかない場合に、職場全体の雰囲気を陰湿なものにしてしまいます。；もう少し平沢との間で数を重ね、陰湿な関係をつくった方がよかったかもしれない。；町会を敵に回すというのは、陰湿ないじめが行なわれることを意味する。；あるのは自由・平等・民主主義の仮面を被った陰湿な差別主義だけです。；東方には陰湿で邪悪なものどもの温床となっている沼地が広がっている。；軍人の家系のサラブレッドの矢吹にはわからない陰湿な事情もあった。；そしてこのまま状況が推移すれば陰湿な結果に行き着くことは目に見えているのだ。；ひどい言い言だったが、不思議と陰湿さは感じられなかった。；彼らは勉強ではかなわないうっぷんを、陰湿な村八分で晴らそうとした。；それよりはずっと陰湿で、あきらめの悪いひ弱な男だろうと思った。；そんな陰湿な犯罪者の相手は皆瀬の好みではないのだろう。；仕事そのものよりも陰湿な人間関係にエネルギーをすりへらしてしまうのだ。；こいつらがどんなに陰湿な性格かはよく知っている。；うちの親父の陰口によると、ずいぶんと陰湿で乱暴な人だったらしい。；そしてあのように危険で陰湿な報復をしようとしたのだ。；一方で周囲の人間からは、表面上の穏健さとは裏腹な陰湿さを指摘されている。</t>
        </is>
      </c>
      <c r="J641">
        <f>HYPERLINK("https://www.weblio.jp/content/陰湿", "词义详情")</f>
        <v/>
      </c>
      <c r="K641">
        <f>HYPERLINK("https://yourei.jp/陰湿", "查看例句")</f>
        <v/>
      </c>
    </row>
    <row r="642">
      <c r="A642" t="inlineStr">
        <is>
          <t>印象</t>
        </is>
      </c>
      <c r="B642" t="inlineStr">
        <is>
          <t>成功</t>
        </is>
      </c>
      <c r="C642" t="inlineStr">
        <is>
          <t>読み方：いんしょう
［名］(スル)
１人間の心に対象が与える直接的な感じ。また、強く感じて忘れられないこと。「鮮やかな—を与える」「—が薄い」「第一—」
「静かに物象を眺め、自然を—するほどの余裕もなかった」〈倉田・愛と認識との出発〉
２美学で、対象が人間の精神に直接与える感覚的あるいは情熱的な影響。</t>
        </is>
      </c>
      <c r="D642" t="inlineStr">
        <is>
          <t>印象的(9%)；印象付ける；印象記；印象を強く；印象化石</t>
        </is>
      </c>
      <c r="E642" t="inlineStr">
        <is>
          <t>感じ；感情；気分；イメージ；感触</t>
        </is>
      </c>
      <c r="F642" t="inlineStr">
        <is>
          <t>強烈な印象；印象付け；好印象；深い印象；強く印象</t>
        </is>
      </c>
      <c r="G642" t="inlineStr">
        <is>
          <t>印象的；印象づけ；印象づける；印象深い；印象主義</t>
        </is>
      </c>
      <c r="H642" t="n">
        <v>29</v>
      </c>
      <c r="I642" t="inlineStr">
        <is>
          <t>攻撃に成功した時より、失敗した時のほうが印象に残りやすいからでは?；準備が足りず、自分だけのために練習しているような印象を受けました。；マルクト広場周辺には印象的な古い建物が保存あるいは再建されている。；この鳥は、台湾に特徴的な鳥として多くの日本人には強い印象を与えた。；この姿が当時の国民に親しまれ、一番印象に残る姿となったといわれる。；これは彼にとってイギリスでの音楽生活への深い印象を刻むものだった。；音抜けが良く印象に残りやすいことから多用されたことが見受けられる。；矢作によればその姿は「昨日の馬とは別馬のような印象」だったという。；いったん口に入れた果物の種や皮などを再度口から出す行為は印象が悪い。；茶店で一度すれ違っただけだが、そのときの印象を絵に残したとされる。；当日の日記には日本の芸術について深い印象を覚えた旨が記された。；被疑者が連行される場面を放送することも犯人の印象を植え付けやすい。；国や文化などによって違いはあるが、一般的な印象は次のようなものである。；投げられるプーチンの姿は印象的で、その写真や映像は世界中に報道された。；また名前から受ける印象と実際の湯の温度が異なっている。；その中でも特に印象が残るとされることが多い題材が「昔話・伝説」である。；物語の冒頭で、膕から火を吐き、馬のように竿立つ姿が印象的であった。；若きシメオンはこの著作の中に自分に深い印象を与える教えを見いだした。；それほどRSシリーズがバス業界に与えた印象が強かったのである。；この時対戦したマラドーナのプレーに深い印象を受けてという。；コース料理の場合など、最後に食べたものが最も印象に残りやすい。；表情豊かで生き生きした眼差しが人々に強い印象を与え多くの崇拝者がいた。；誰が見てもあの子が本命と直感したほど煌めく笑顔が印象的でした。；九寨溝を強く印象付けるもののひとつに、独特の青い水があげられる。；ポーテはその音楽が厳粛で浪漫的、そして面白いほど印象的だと記した。；特に、壁などの色に用いられた独特の白が印象的である。；その印象的な音は多くの和歌にも詠まれまた数多くの浮世絵の題材とされてきた。；山縣有朋や井上馨も北海道を視察して屯田兵を重視すべきとの印象を得た。；体には一つの大きな疵があって印象に残った様子である。</t>
        </is>
      </c>
      <c r="J642">
        <f>HYPERLINK("https://www.weblio.jp/content/印象", "词义详情")</f>
        <v/>
      </c>
      <c r="K642">
        <f>HYPERLINK("https://yourei.jp/印象", "查看例句")</f>
        <v/>
      </c>
    </row>
    <row r="643">
      <c r="A643" t="inlineStr">
        <is>
          <t>飲食</t>
        </is>
      </c>
      <c r="B643" t="inlineStr">
        <is>
          <t>成功</t>
        </is>
      </c>
      <c r="C643" t="inlineStr">
        <is>
          <t>読み方：いんしょく
［名］(スル)飲むことと食べること。のみくい。また、飲み物と食べ物。「検診の前に—しないように」「—店」「—物」</t>
        </is>
      </c>
      <c r="D643" t="inlineStr">
        <is>
          <t>飲食店(17%)；飲食代(3%)；飲食街(2%)；飲食物(2%)；飲食事業</t>
        </is>
      </c>
      <c r="F643" t="inlineStr">
        <is>
          <t>飲食可能；飲食ブース；飲食業者；店内飲食；飲食関連</t>
        </is>
      </c>
      <c r="G643" t="inlineStr">
        <is>
          <t>飲食物；飲食業；飲食店街；飲食店経営；飲食施設</t>
        </is>
      </c>
      <c r="H643" t="n">
        <v>29</v>
      </c>
      <c r="I643" t="inlineStr">
        <is>
          <t>猫との接触が可能な場所と飲食スペースが分離されている店舗もある。；近年は欧米に似た惣菜の販売や店内飲食を主な業とする店舗も見られる。；また、ゲーム・音楽関連の事業のみならず飲食店の経営も行っている。；多くは持ち帰りで利用されるが、店内での飲食の場合も利用可能である。；事業の主要な部分は飲食事業であるが、建装事業も同時に手がけている。；ホテルへの派遣の場合、宿泊費や飲食費等は一般に客側の負担となる。；椅子が用意され、簡単な飲食等ができる屋根付きベンチが設置されている。；喫茶店が他との差別化により飲食以外のサービスを提供した事が始まり。；簡易な椅子や机などを用意し、客が店で買った商品を飲食することができる。；すなわち飲食を提供する場所を指定して飲食すれば適用対象とはならない。；また居酒屋での一ヶ月飲食無料を手術代の代わりとした事もある。；また飲食分野の公式スポンサーが提供するレストランなども設置されている。；それで、秋に集まって紅葉を観賞しながら飲食する行事が定着している。；売店は球場入口正面にのみ設置、限られた種類の飲食を販売していた。；その中で飲食店の立ち上げから運営までの流れを吸収した。；また、飲食や衣類の販売もしており、出演バンドが自ら販売している。；創業当時から続く衣料事業を中心に、飲食事業や不動産事業を展開する。；チョコレートやワイン、コーヒーの飲食でなりやすいと言われている。；糞尿の池で蛆虫や糞尿を飲食するが、それすら満足に手に入らず苦しむ。；店頭販売だけでなく、住宅や飲食店への配送を行うことを特徴とする。；また、同一店舗内または同一区域内で客に飲食させるための場所があること。；に基づき、他市の捷運路線同様に駅構内や車内での飲食は禁止されている。；飲食系およびデザイン・芸術系学部は台湾屈指の大学とみなされている。；保存には専用の容器を用意し、また飲食をする場所に持ち込むべきではない。；古代でも現代でも、飲食用に使われる場合がほとんどである。；名古屋を中心に居酒屋やレストランなど各種飲食店を出店している。；したがって、入水・飲食・トイレは禁止とされているのは言うまでもない。；霊薬とは、飲食すれば不老不死となるといわれた宗教上の薬である。；異常な飲食物にもかかわらず、タッラールはスリムで身長は並であった。</t>
        </is>
      </c>
      <c r="J643">
        <f>HYPERLINK("https://www.weblio.jp/content/飲食", "词义详情")</f>
        <v/>
      </c>
      <c r="K643">
        <f>HYPERLINK("https://yourei.jp/飲食", "查看例句")</f>
        <v/>
      </c>
    </row>
    <row r="644">
      <c r="A644" t="inlineStr">
        <is>
          <t>院生</t>
        </is>
      </c>
      <c r="B644" t="inlineStr">
        <is>
          <t>成功</t>
        </is>
      </c>
      <c r="C644" t="inlineStr">
        <is>
          <t>読み方：いんせい
大学院・棋院・少年院など、院のつく所で指導・教育を受けている者。</t>
        </is>
      </c>
      <c r="D644" t="inlineStr">
        <is>
          <t>院生室(6%)；院生たち(5%)；院生達(4%)；院生時代(2%)；院生師範</t>
        </is>
      </c>
      <c r="E644" t="inlineStr">
        <is>
          <t>大学院生</t>
        </is>
      </c>
      <c r="F644" t="inlineStr">
        <is>
          <t>女子院生</t>
        </is>
      </c>
      <c r="H644" t="n">
        <v>29</v>
      </c>
      <c r="I644" t="inlineStr">
        <is>
          <t>手前の院生室には、大きなゼミ用テーブルの隅にテレビが置かれている。；常に院生達のあいだに溶けこんで生活していることも評判がよかった。；自身の手が塞がっていたなら、他にふたりいる院生に頼めばよいのだから。；春から院生がここを耕していたが、畑になるまでにはあと数年はかかるだろう。；私は院生であり、即興詩人としてローマでもいくらか名を知られていた。；ゲドはいっしょに来た院生たちより一足先に隠者の塔から解放された。；院生達は、その肉の匂いに、塀の向うの人間らしい生活を見ていたのです。；院生リーグで46連勝を含む71勝8敗という圧倒的な成績で入段した。；こうしたこともあって、中学1年生時に日本棋院東京本院の院生になる。；院長室の真むかいには院生達が居住している第五学寮の建物がある。；貧弱そうな院生一人だけでは支えられないのは明らかである。；それが院生のいたずらであることくらい、とうの昔にわかっていたろうから。；学部に縛られない学際的な研究の機会を院生に与えているプログラムである。；院生室でプログラムを走らせていると、通路でドアの鍵を開ける音が聞こえた。；しかし日本の院生のレベルの高さにも衝撃を受けた。；けれども、そういう院生に、この呼び出しの長は語って聞かせたものだった。；ゲドが床に伏していた間、院生は誰ひとり彼を見舞うことを許されなかった。；行院生の中でもずば抜けて背の高く、誰よりも大声でお経を怒鳴る若者であった。；それとも、その院生の考えてることがわかった、つまりテレパシーですか?；日本棋院の院生研修で、所定の期間の成績が1位となった者が採用される。；しかしこうした言葉を使っている院生はまずいない。；この部屋の院生が入ってくる可能性があるわけだが、自分が使っている部屋だったらノックはしない。；行助はこの本で少年院生の精神障害者のことを知ったのである。；試験には日本棋院の院生と、そうでない者の両方が参加する。；小中学生の代表選手も多く、出場後に院生となった者も少なくない。；日本棋院の外来試験を受けたが入段することはできず、日本棋院の院生となる。；少年のくせに下腹が突きでていたので、河豚とあだ名がついている院生だった。；通路のドアの音が聞こえ、続けて院生室のドアが開く。；また同時に、学生・院生の論文執筆を支援するためのレファレンスも行なう。</t>
        </is>
      </c>
      <c r="J644">
        <f>HYPERLINK("https://www.weblio.jp/content/院生", "词义详情")</f>
        <v/>
      </c>
      <c r="K644">
        <f>HYPERLINK("https://yourei.jp/院生", "查看例句")</f>
        <v/>
      </c>
    </row>
    <row r="645">
      <c r="A645" t="inlineStr">
        <is>
          <t>引退</t>
        </is>
      </c>
      <c r="B645" t="inlineStr">
        <is>
          <t>成功</t>
        </is>
      </c>
      <c r="C645" t="inlineStr">
        <is>
          <t>読み方：いんたい
［名］(スル)役職や地位から身を退くこと。スポーツなどで現役から退くこと。「スター選手が—する」「—興行」</t>
        </is>
      </c>
      <c r="D645" t="inlineStr">
        <is>
          <t>引退すること(2%)；引退後(2%)；引退レース；引退状態；引退届</t>
        </is>
      </c>
      <c r="E645" t="inlineStr">
        <is>
          <t>隠居；退職；退任；退役；リタイア</t>
        </is>
      </c>
      <c r="F645" t="inlineStr">
        <is>
          <t>競走馬引退；同年限りで引退；引退生活；事実上引退；一時引退</t>
        </is>
      </c>
      <c r="G645" t="inlineStr">
        <is>
          <t>引退試合；引退セレモニー；引退式；引退相撲；引退表明</t>
        </is>
      </c>
      <c r="H645" t="n">
        <v>29</v>
      </c>
      <c r="I645" t="inlineStr">
        <is>
          <t>初優勝時のメンバーで最後の現役選手だった角富士夫が現役を引退した。；のちの新聞記事では、この年に妻を失ったことを機に引退したとしている。；この事件の影響で限りで現役を引退し、から監督に専任することとなった。；当時の琢磨自身もF1を引退する考えはまったくないことを表明していた。；バイエルン・ミュンヘンとの契約が切れた2008年限りで現役を引退。；そして退団や引退が大量に出てしまい、残留した選手が二人のみとなった。；会見翌日以降、一般ニュースも紳助引退のニュースを大きく取り上げた。；しかし、父は選手としてプレーを続けたが後に膝の故障が基で現役を引退した。；藤巻は数年で引退したため、長く杉浦の元に残ったのは斉藤だけだった。；この年をもって現場からも完全に引退することとなった。；紳助の引退で、出演番組の放送についての対応はテレビ局毎に分かれた。；引退では以前から興味のあった教育の分野に進むと宣言。；また、2003年からチームを牽引してきた中村憲剛が現役を引退した。；ジェイミー・キャラガーがこのシーズンを持っての引退を表明した。；引退騎手でデビュー年が同じ場合は、引退年の早かった順に記載する。；関取に昇進することはできず、2010年1月場所限りで現役引退した。；移籍当時に宣言していた通り、この年限りでローソンはWGPを引退。；そして、現役を引退してからも、サッカーに関わり続けることと思います。；引退の動機のひとつとして、16尺土俵の問題があったと言われている。；群馬ダイヤモンドペガサスに所属していたラミレスが現役を引退した。；みらい役の吉田理保子は声優を引退しているため、声は付いていない。；これは1985年に引退するまで彼のお気に入りのステージギターであった。；自己の意思以外での引退の規定は下記の通りである。；その後、岩手競馬を経て笠松競馬へ移籍したが調教中に骨折をして引退。；のちにフリーアナウンサーになり、結婚を機に一時引退したが、復帰。；三浦の引退により、横浜大洋ホエールズに所属した選手が全員引退した。；なお同学年で同じ所属の冨田洋之も同じ時期に引退を表明している。；シューハートは翌年設立されるベル研究所で引退するまで研究に従事した。；試合後のインタビューで戦前言われていた引退説を否定した。</t>
        </is>
      </c>
      <c r="J645">
        <f>HYPERLINK("https://www.weblio.jp/content/引退", "词义详情")</f>
        <v/>
      </c>
      <c r="K645">
        <f>HYPERLINK("https://yourei.jp/引退", "查看例句")</f>
        <v/>
      </c>
    </row>
    <row r="646">
      <c r="A646" t="inlineStr">
        <is>
          <t>インテリ</t>
        </is>
      </c>
      <c r="B646" t="inlineStr">
        <is>
          <t>成功</t>
        </is>
      </c>
      <c r="C646" t="inlineStr">
        <is>
          <t>「インテリゲンチア」の略。</t>
        </is>
      </c>
      <c r="D646" t="inlineStr">
        <is>
          <t>インテリ層(6%)；インテリ風(2%)；インテリ女性(2%)；インテリ青年；インテリ階級</t>
        </is>
      </c>
      <c r="E646" t="inlineStr">
        <is>
          <t>頭脳；知識人；読書人；ハイブラウ；ハイブロー</t>
        </is>
      </c>
      <c r="F646" t="inlineStr">
        <is>
          <t>青白きインテリ；インテリ系；いわゆるインテリ；若いインテリ；インテリ臭い</t>
        </is>
      </c>
      <c r="G646" t="inlineStr">
        <is>
          <t>インテリジェンス；インテリゲンチャ；インテリジェント；インテリアデザイン；インテリゲンツィア</t>
        </is>
      </c>
      <c r="H646" t="n">
        <v>29</v>
      </c>
      <c r="I646" t="inlineStr">
        <is>
          <t>きっとインテリに卑小な劣等感を持っているのだろうと俺は思っている。；お前のような立派なインテリが、どうしてそんな残酷なことをしたんだ。；労働者を信用して、インテリを信用しないというのなら話が分るんだが。；落ち着いたインテリ紳士風の将校が言うので、私の一存で境内へ入れた。；メキシコのインテリといるとき、極端に言えば、私は東京にいたのである。；この二冊を読むような人は、それこそ最高度のインテリということだった。；大学を中退したインテリやくざで金の計算に強いのを買われて出世した。；当時の落語家の中では珍しいインテリ出身であり、協会の幹部候補だった。；それはあまりインテリ向きに出来ていないという事実を見落してはならぬ。；顔の前に垂らした長い前髪が特徴の、インテリな雰囲気を漂わせた青年。；処が誰もインテリなる範疇をそういう身分だとも職業だとも考えていないだろう。；これは、どちらかと申しますと、インテリ好みのコースでございます。；格好にはあまり構わない感じだが、なかなかインテリ風の印象だった。；インテリが悪いのか、青年たちが悪いのか、むろんいずれが悪いのでもない。；林家三平は結婚する前に相手にインテリであることを示す為に次のようにいった。；生きて行きたいと思ったら、インテリになるほかに道はないんだ。；自然は荒廃し民衆は無知であり、インテリは又芸術の高貴さを知らない。；だが、そう言って息子の不甲斐なさを責めるには、父はインテリ過ぎた。；こんな有名インテリ悪党が条件ならば、探すのは限りなくゼロになろう。；彼等のことごとくはインテリであり知識欲が旺盛な人たちばかりだった。；ちょっとインテリっぽいと言うとおかしいが、頭の良さそうな子である。；インテリ好みの奈々子はこういう種類の男を頭から軽蔑するくせがある。；地元のインテリたちとはよく顔を合わせるが、想像がつくように数が足りない。；インテリにはインテリだけのことがなくてはならぬ、と彼は思っているのである。；そこにこそ初めて本当にマルクス主義的なインテリ理論が展開されることになる。；わたしの知るかぎりインテリ女性で厚化粧をしている人に出会ったことはありません。；彼は大学院出のインテリ写真家であり、事実、なかなかの理論家である。；せいぜい十二、三人ほどだが、みんな相当のインテリらしい人品である。；やっぱりこの国では、西洋ほどインテリは珍重されないのではないか。</t>
        </is>
      </c>
      <c r="J646">
        <f>HYPERLINK("https://www.weblio.jp/content/インテリ", "词义详情")</f>
        <v/>
      </c>
      <c r="K646">
        <f>HYPERLINK("https://yourei.jp/インテリ", "查看例句")</f>
        <v/>
      </c>
    </row>
    <row r="647">
      <c r="A647" t="inlineStr">
        <is>
          <t>インフレ</t>
        </is>
      </c>
      <c r="B647" t="inlineStr">
        <is>
          <t>成功</t>
        </is>
      </c>
      <c r="C647" t="inlineStr">
        <is>
          <t>「インフレーション」の略。⇔デフレ。</t>
        </is>
      </c>
      <c r="D647" t="inlineStr">
        <is>
          <t>インフレ期待(2%)；インフレ政策；インフレ対策；インフレ時代；インフレ状態</t>
        </is>
      </c>
      <c r="E647" t="inlineStr">
        <is>
          <t>インフレーション；通貨膨張</t>
        </is>
      </c>
      <c r="F647" t="inlineStr">
        <is>
          <t>激しいインフレ；急激なインフレ；悪性インフレ；高いインフレ；累積的インフレ</t>
        </is>
      </c>
      <c r="G647" t="inlineStr">
        <is>
          <t>インフレ率；インフレターゲット；インフレーション理論；インフレ抑制；インフレ目標</t>
        </is>
      </c>
      <c r="H647" t="n">
        <v>29</v>
      </c>
      <c r="I647" t="inlineStr">
        <is>
          <t>世界的な経済危機と1920年代のインフレで製磁会社の数は減少した。；このための政府紙幣が大量に発行されたことが原因でインフレが起った。；戦後のインフレ、財産税などで持ち切れなかったのも多かったのだろう。；しかし、首相はインフレに対する戦いを自身はやめないことも宣言した。；こういう程度の作品と作家とで、出版インフレは通過したのであった、と。；ティケット一枚にインフレの数十億単位を支払えるものはいないはずだ。；一方、1942年ごろからアメリカではインフレ傾向が明確になってきた。；インフレの防止のため均衡予算を主張し、GHQ経済科学局も支持した。；近年では記録のインフレと安全面への配慮から、同様の研究は少なくなってきた。；もちろんこれは過去数年間のイギリスのインフレによるものと説明される面もある。；総裁が発行する紙幣は乱発気味で第二病棟はインフレ状態になっていた。；して見ればインフレ政策にも増税策にも終局的には反対し得ない計算になるのである。；ペルーやメキシコから送られた銀がインフレの原因という説もある。；当時日本はオイルショックの影響でインフレと不況の真っ只中であった。；兄が関わっているゲーム業界も、他の業種ほどにはインフレの影響を受けなかった。；韓国の農業経済とインフレ論に関する著書や翻訳本を多数出版した。；日本では、明治以降の資本主義経済化の下で局地的なインフレが見られた。；すると今度のも、インフレを促進するつもりのデザインなのかしら。；東京がそんなインフレになつたら、私たちは死ぬばかりですね。；両者を比較した場合、賦課方式の利点の一つに、インフレ時の問題がある。；そしてその多くは商人であって戦後のインフレにも強かった。；そういう極端なインフレも、アメリカがお金を貸すことで抑止される。；インフレの動向は、企業が財やサービスの需要にどのように反応するかによる。；発行数量が多すぎたため、一部ではインフレで実質的価値が消滅したのもあった。；この結果、デノミの直後からすさまじいインフレが発生することになった。；予想を上回ってインフレが進行した分が、失業率を低下させることになる。；銀自由化の提唱者は、インフレの影響を恐れた銀行や債券保有者から反対された。；しかし日々進行するインフレによって、その価値は瞬く間に低下していった。；最新作まで続く資金面でのインフレがはっきりと現れるのはこの作品からである。</t>
        </is>
      </c>
      <c r="J647">
        <f>HYPERLINK("https://www.weblio.jp/content/インフレ", "词义详情")</f>
        <v/>
      </c>
      <c r="K647">
        <f>HYPERLINK("https://yourei.jp/インフレ", "查看例句")</f>
        <v/>
      </c>
    </row>
    <row r="648">
      <c r="A648" t="inlineStr">
        <is>
          <t>隠蔽</t>
        </is>
      </c>
      <c r="B648" t="inlineStr">
        <is>
          <t>成功</t>
        </is>
      </c>
      <c r="C648" t="inlineStr">
        <is>
          <t>読み方：いんぺい
［名］(スル)人の所在、事の真相などを故意に覆い隠すこと。「証拠を—する」「—工作」</t>
        </is>
      </c>
      <c r="D648" t="inlineStr">
        <is>
          <t>隠蔽するため(7%)；隠蔽しよ(6%)；隠蔽される；隠蔽種；隠蔽性</t>
        </is>
      </c>
      <c r="E648" t="inlineStr">
        <is>
          <t>隠し；カバー；隠す；被；覆い</t>
        </is>
      </c>
      <c r="F648" t="inlineStr">
        <is>
          <t>隠蔽事件；隠蔽する因果孤立；損失隠蔽；隠蔽色；隠蔽政策</t>
        </is>
      </c>
      <c r="G648" t="inlineStr">
        <is>
          <t>隠蔽体質；隠蔽行為；隠蔽捜査</t>
        </is>
      </c>
      <c r="H648" t="n">
        <v>29</v>
      </c>
      <c r="I648" t="inlineStr">
        <is>
          <t>アイルランドは著者の名前をしばらく隠蔽する理由があると感じていた。；彼は1994年の空軍が隠蔽の主張を調査した時にインタビューされた。；報告によると、それらの本はほとんど決まって隠蔽があったと主張していた。；別居は隠蔽されたか、まだ別々の世帯が関与していなかったようである。；主張を評価する困難さの例として、報告では隠蔽の調査を挙げている。；この調査方法の変更は、過去に隠蔽が行われていたことを示唆するものである。；建物からは事件隠蔽を企図した放火と見られる火災の痕跡が確認された。；自殺を隠蔽して死体を絞首台にかける案も検討されたが、それは中止された。；犯人は盗品を除外して蔵書目録を作成するなどして犯行を隠蔽していた。；しかしながら一般的な見解によれば、そのような隠蔽は無かったとされている。；そして事件を隠蔽するために、更にこの場の三人をも消し去ろうとしたのか。；ソ連はドイツの隠蔽と公表するも、亡命政府はこの発表の受け入れを拒否。；隠蔽力が高く、黒いアンダーコートの上からでも重ね塗りの必要がない。；各モジュールはそういった設計上の決定を他から隠蔽するよう設計される。；対日関係の隠蔽については薩摩側を始めとした日本側からの協力もあった。；視界は薄緑色に染まったが、外部からはほぼ完全に隠蔽されたはずだ。；艦隊を構成する膨大な量の鉄金属を隠蔽することは不可能だった。；本技術は軍の機密事項であり、詳細な情報は軍内部で隠蔽されたままとされる。；犯人が死体を捨てたり隠蔽したりする場所が、なぜ川であったり海や山であるのかと。；このため、全ての部隊の作戦が最大の隠蔽とスピードで達成されなければならない。；一部では「進学したいなら警察には言うな」と隠蔽工作を行う学校もあった。；またイベントサイト上でも主催者がだれかわからないなど隠蔽性も批判を呼んだ。；政府からは国家機密扱いとされており、彼らの行った事件報道は隠蔽されている。；顔を見ている間に構音抑制を行った実験では、言語隠蔽効果は見られなかった。；とすることで、ある程度情報を隠蔽しつつ分岐させることができる。；隠蔽は宮野社長の指示であると知った佐野は、なす術をなくしたのだった。；多数の人びとが一度に死亡したため、事実の隠蔽は不可能でした。；あなたは正しい感情の隠蔽術を学んでいないのだから。；さらに、集団の枠組みの中に、事案を隠蔽しようとする力が働きかねない。</t>
        </is>
      </c>
      <c r="J648">
        <f>HYPERLINK("https://www.weblio.jp/content/隠蔽", "词义详情")</f>
        <v/>
      </c>
      <c r="K648">
        <f>HYPERLINK("https://yourei.jp/隠蔽", "查看例句")</f>
        <v/>
      </c>
    </row>
    <row r="649">
      <c r="A649" t="inlineStr">
        <is>
          <t>引用</t>
        </is>
      </c>
      <c r="B649" t="inlineStr">
        <is>
          <t>成功</t>
        </is>
      </c>
      <c r="C649" t="inlineStr">
        <is>
          <t>読み方：いんよう
［名］(スル)人の言葉や文章を、自分の話や文の中に引いて用いること。「古詩を—する」</t>
        </is>
      </c>
      <c r="D649" t="inlineStr">
        <is>
          <t>引用する(10%)；引用される(6%)；引用しよ；引用数；引用部分</t>
        </is>
      </c>
      <c r="E649" t="inlineStr">
        <is>
          <t>提示；クレジット；引き合い；援用；典拠</t>
        </is>
      </c>
      <c r="F649" t="inlineStr">
        <is>
          <t>被引用；広く引用；直接引用；多数引用；引用楽句</t>
        </is>
      </c>
      <c r="G649" t="inlineStr">
        <is>
          <t>引用句；引用符；引用管理ソフトウェア；引用元；引用分析</t>
        </is>
      </c>
      <c r="H649" t="n">
        <v>29</v>
      </c>
      <c r="I649" t="inlineStr">
        <is>
          <t>この言葉はアンネ・フランクの代表的な言葉としてよく引用されている。；晩年の詩のいくつかでは、過去の自作からの引用が積極的に行われている。；キプリングは現代の政治的、社会的問題の議論でもしばしば引用される。；ハンプティ・ダンプティは日本では漫画作品に引用されている例がある。；引用は権利者に無許可で行うことができ、これは著作権侵害にならない。；ゲーリングの引用は正確ではなかったが、意味するところは同じであった。；これはサローの仕事で最も広く知られ、引用されたものの一つである。；新約聖書内には、旧約から引用する際、この訳を用いている場合が多い。；上述で引用したナイジェリアの例に加えて、以下のような例が挙げられる。；同じ外部リンク1のページのある他プログラム例のメイン部分を引用する。；そのほかにもマネ作品を引用、再解釈したと考えられる作品がある。；また、この法則が引用される時も、引用される数字には多少幅が出ている。；今日、地理学分野では、世界で最も多く論文が引用される学者である。；その論文は、ウィクリフの著書の最終章とフスの論文からの引用だった。；件名とは公布文でその法令を引用する際に用いられる名称のことです。；記事本文には引用・参観されていないものの、記事に関係がある文献の一覧。；以下の引用は、1855年版の作曲家自身のプログラムに基づく翻訳である。；同様の表現をナポレオン・ボナパルトがしたと誤って引用されることがある。；このため、原作からはタイトルを引用しただけで、全く違う内容と言ってもよい。；そうしなければ、脚本家のスピーチを引用しているだけであると考えていた。；著作は現存せず、その仕事は後世の他の学者の引用によって現在に知られる。；予告だけでなく、過去の放送の一部から引用しているときもある。；その一方で『平家物語』をそのまま引用したと思われる矛盾した記述もある。；プロセス・ルールの将来予測は、ムーアの法則を引用されることが多い。；自分の著作の引用部分についてもあらさがしの調子で批判を行った。；記述のスタイルは、はじめに綱文を記し、その後に史料を原文で引用する。；体系的な哲学書ではなく、自らの経験や古典の引用を元にした考察を語っている。；ただし、引用書の大半が亡佚してしまった今となっては、資料的価値が高い。；その中で最も引用される情報は1254年生まれというものである。</t>
        </is>
      </c>
      <c r="J649">
        <f>HYPERLINK("https://www.weblio.jp/content/引用", "词义详情")</f>
        <v/>
      </c>
      <c r="K649">
        <f>HYPERLINK("https://yourei.jp/引用", "查看例句")</f>
        <v/>
      </c>
    </row>
    <row r="650">
      <c r="A650" t="inlineStr">
        <is>
          <t>飲用</t>
        </is>
      </c>
      <c r="B650" t="inlineStr">
        <is>
          <t>成功</t>
        </is>
      </c>
      <c r="C650" t="inlineStr">
        <is>
          <t>読み方：いんよう
［名］(スル)飲むのに用いること。また、ある程度継続して飲むこと。「この井戸は—に適さない」「薬用酒を—している」「—水」</t>
        </is>
      </c>
      <c r="D650" t="inlineStr">
        <is>
          <t>飲用する(12%)；飲用される(4%)；飲用可能(3%)；飲用泉；飲用乳</t>
        </is>
      </c>
      <c r="E650" t="inlineStr">
        <is>
          <t>取る；飲む；上がる；仰ぐ；汲む</t>
        </is>
      </c>
      <c r="F650" t="inlineStr">
        <is>
          <t>広く飲用；コーヒー飲用；加えて飲用；飲用する場合；飲用すること</t>
        </is>
      </c>
      <c r="G650" t="inlineStr">
        <is>
          <t>飲用みりん</t>
        </is>
      </c>
      <c r="H650" t="n">
        <v>29</v>
      </c>
      <c r="I650" t="inlineStr">
        <is>
          <t>あのひどく濁った水が飲用になるのだろうかと、ふたりは首をかしげた。；形態は飲用ではなく、生茶葉ないし干茶を用いたサラダ風の料理である。；そのまま飲用されることもあれば、カクテルなどに利用される場合もある。；そこは飲用泉の近くであって、農夫たちはしていた仕事を中止して彼を眺めた。；ワインは世界で最も多くの地域で飲用されているアルコール飲料の一つである。；泉を日々の飲用に使っていた初期の開拓者は「沈む泉」と呼んでいた。；飲み過ぎても二日酔いせず、むしろ適度の飲用は健康に良いとされる。；慢性的な胃腸の弱い状態などではお茶代わりに飲用する場合もある。；但し、飲用の際には煮沸が必要とされているので、注意が必要である。；既に緑茶の飲用は、インフルエンザ対策として効果があるとされている。；カフワの飲用自体ではなくカフェハネの存在が問題と考える者もいた。；飲用も可能であるため、温泉を使用した料理も出されている。；イギリスで販売されている直接飲用の清涼飲料水の表示は下記。；馬主である円城が調教師に栄養ドリンクの飲用を依頼したとも報道された。；現在も、名水の飲用について安全を保障するものではないとしている。；アメリカでは先住民が自生種を茶のように飲用したこともある。；一般には食べすぎたときや炭酸飲料の飲用後に生理現象として生じる。；また外国人は少量のアルコール飲料を個人的な飲用のために輸入することができる。；飲用を目的とする井戸設置者等に対して、以下の3項目を求めている。；打田伍長も上陸の直後に、真水は飲用以外に使わないよう厳命されていた。；また過去には飲用の猪口等が設置されていて、四分六分の湯の飲用が可能であった。；茶やコーヒーなどの飲用は禁止されていない。；プロトアネモニンを含む植物の微量の飲用は昔から行われていた。；父親が乳製品メーカーに勤めていたため、子供時代は乳飲料を水の様に飲用していた。；上水道とは、一般に飲用可能な水の公共的な供給設備一般を指す。；古くから飲用等にも利用されてきた清澄な水である。；これは、水兵がこのアルコール燃料を飲用するのを防止するためであった。；この水を利用しているため、パナマ市では上水道の水はそのまま飲用可能である。；カバとは胡椒科の植物で、これを粉にして水に溶き、飲用としている。</t>
        </is>
      </c>
      <c r="J650">
        <f>HYPERLINK("https://www.weblio.jp/content/飲用", "词义详情")</f>
        <v/>
      </c>
      <c r="K650">
        <f>HYPERLINK("https://yourei.jp/飲用", "查看例句")</f>
        <v/>
      </c>
    </row>
    <row r="651">
      <c r="A651" t="inlineStr">
        <is>
          <t>引力</t>
        </is>
      </c>
      <c r="B651" t="inlineStr">
        <is>
          <t>成功</t>
        </is>
      </c>
      <c r="C651" t="inlineStr">
        <is>
          <t>読み方：いんりょく
二つの物体が互いに引き合う力。質量をもつすべての物体の間に働く万有引力、電荷どうしの間に働く電気力、分子の間に働く分子間力などがある。⇔斥力。</t>
        </is>
      </c>
      <c r="D651" t="inlineStr">
        <is>
          <t>引力圏(3%)；引力光線；引力相互作用；引力作用；引力機械</t>
        </is>
      </c>
      <c r="E651" t="inlineStr">
        <is>
          <t>引き；魅力；引；重力；重要性</t>
        </is>
      </c>
      <c r="F651" t="inlineStr">
        <is>
          <t>地球引力；不思議な引力；クーロン引力；無引力空間；情念引力</t>
        </is>
      </c>
      <c r="H651" t="n">
        <v>29</v>
      </c>
      <c r="I651" t="inlineStr">
        <is>
          <t>私は理由も知らずに引力に吸い寄せられたように立ち上がって傍に行った。；光の直進も引力も星の公転もみんなまやかしもののような気がするんだ。；この奇妙な引力の中で、あの人形は平田を狂わせているのかもしれない。；その一番上の紙には大きな文字で「引力ロマンチスト」と書かれていた。；さて一般に、惑星には太陽の引力の他に惑星間の引力も作用している。；引力の可能性を外すために、バガトとそのチームは簡単な実験を行った。；私と電話の向こうの女はたがいの沈黙で引力のように引きつけ合っている。；しかしこの引力はチョコレートのみでは説明されるわけではなかった。；その引力が青い壁にかすかな線を残し、リングワールドがひかれていく。；いわばこれらの苦しみや不安が二人を引きよせる引力ともなっているのです。；また、アインシュタインはこの概念を用いて引力を理解したとの説がある。；斥力とは物質同士が遠ざけあう力のことであり、引力の反対の力である。；短いものを、一息に、その衝動の引力でもって書いてしまうこともある。；距離は未知で、自由に落下している引力の場を測定する方法はないかい?；葉は引力に抵抗しているように、向きを変え、身を翻しながら落ちてゆく。；宇宙船のは月の引力によって軌道を変え、地球へ帰還する軌道に乗った。；目標にかなり近いところにいるゆえ、月引力によってささえられている。；引力が山ほど与えたものと、根こそぎ奪っていったものを天秤にかける。；でもそれを迷惑だとは思わせない、不思議な引力のようなものが彼女にはある。；それは地球とちがい、月の世界では引力がたいへん小さいせいだった。；引き合う相手が女の子というのはどうなのだ、引力的には私らしいのかい?；惑星や衛星の引力と運行をすべて計算し、それを利用して飛行する。；三メートルでは〇・一一と、急に引力が小さくなっていきます。；今日の主役である引力がそれら全部を知っているとはとても思いがたかった。；それが地球に接近してくるうちに、引力作用がほぼゼロであることが分かった。；その地点で試掘機は厚さ八百キロに及ぶ地殻の引力の中心に到達したわけだ。；地球の引力範囲で落ちた林檎はどうしても地球へ落ちるに決まっているでは無いか。；地球の引力は太陽と同じ大きさであるが反対方向である。；故にもし遠隔作用があるとすればそれは引力に於てしかあり得ないわけである。</t>
        </is>
      </c>
      <c r="J651">
        <f>HYPERLINK("https://www.weblio.jp/content/引力", "词义详情")</f>
        <v/>
      </c>
      <c r="K651">
        <f>HYPERLINK("https://yourei.jp/引力", "查看例句")</f>
        <v/>
      </c>
    </row>
    <row r="652">
      <c r="A652" t="inlineStr">
        <is>
          <t>ウーロン茶</t>
        </is>
      </c>
      <c r="B652" t="inlineStr">
        <is>
          <t>成功</t>
        </is>
      </c>
      <c r="C652" t="inlineStr">
        <is>
          <t>読み方：うーろんちゃ
《「ウーロン」は中国語》中国福建省や台湾などの特産の半発酵茶。生葉を発酵途中で釜煎(かまい)りをし、よくもんだのち乾燥させる。いれた茶は紅茶に似るが、緑茶の風味をとどめ香気が強い。</t>
        </is>
      </c>
      <c r="D652" t="inlineStr">
        <is>
          <t>ウーロン茶割り(2%)；ウーロン茶飲料</t>
        </is>
      </c>
      <c r="E652" t="inlineStr">
        <is>
          <t>烏龍茶</t>
        </is>
      </c>
      <c r="F652" t="inlineStr">
        <is>
          <t>熱いウーロン茶；温かいウーロン茶</t>
        </is>
      </c>
      <c r="H652" t="n">
        <v>29</v>
      </c>
      <c r="I652" t="inlineStr">
        <is>
          <t>「あんたらも飲みなよ」 めぐみと姉が同じようにウーロン茶を選んだ。；一本の缶ウーロン茶が春逢の精いっぱいの感謝の気持ちだったのである。；「生まれてきて良かったな」僕はウーロン茶に軽く口をつけて、言った。；ウーロン茶も最初から断わりを入れて飲むなら、私の対応も変わっていた。；コンパに行って女の人がビールではなくウーロン茶を注文したら諦めます。；女の子二人と私の彼氏はアルコールをやめてウーロン茶を頼んでいた。；冷蔵庫に飲み物だけは入れてあったので、缶のウーロン茶を出してきた。；カレーパンとウーロン茶を抱えて廊下を歩きながら、真九郎は考えた。；十日前に蓋を開けたやつだが、ウーロン茶は腐らないものだろうか。；それでも、どこか黴臭いような味のするウーロン茶を半分ほど飲んだ。；こんなに早く男がウーロン茶を飲むとは思っていなかった。；俺の提案する中華喫茶は本格的なウーロン茶と簡単な飲茶を出す店だ。；ウーロン茶を飲んでいたつもりが、いつのまにか水割りに手を出していた。；中からはカップラーメン二ケースと、ペットボトルのウーロン茶が五本。；そして彼女の前にビールを、わたしの前にウーロン茶を置いた。；冷蔵庫からウーロン茶を取り出して大きなボトルごと口につけて飲む。；ぼくの前にカクテルが置かれて、巫女子ちゃんの前にウーロン茶が置かれた。；運ばれてきたウーロン茶をほとんど意識せずに飲みほしていた。；ラベルはウーロン茶で、色も似ていたが、中身が違うことは明らかだった。；いつものことなので、真九郎はウーロン茶を飲みながら平然と対応。；だいたい、あんな手口じゃ毒入りウーロン茶が誰の手に渡るかわからない。；被害者がウーロン茶を買った正確な日時を割り出せなかったことも響いた。；池は手に持ったウーロン茶を一飲みしてから答える。；といって、水割りに見せかけてウーロン茶を飲めといっているのではない。；我々の坐っているテーブルに黒いスーツ姿の男がやってきてグラス入りのウーロン茶を置いた。；昼飯はどうしよう、とウーロン茶が胃の底で波打つのを感じながら考える。；彼が倒れた路上か、彼が問題のウーロン茶を買ったコンビニですよ。；テーブルの上に、ウーロン茶の入ったふたつのグラスが置かれた。；扉の内側に半分ほど残ったウーロン茶のペットボトルが一本。</t>
        </is>
      </c>
      <c r="J652">
        <f>HYPERLINK("https://www.weblio.jp/content/ウーロン茶", "词义详情")</f>
        <v/>
      </c>
      <c r="K652">
        <f>HYPERLINK("https://yourei.jp/ウーロン茶", "查看例句")</f>
        <v/>
      </c>
    </row>
    <row r="653">
      <c r="A653" t="inlineStr">
        <is>
          <t>ううん</t>
        </is>
      </c>
      <c r="B653" t="inlineStr">
        <is>
          <t>成功</t>
        </is>
      </c>
      <c r="C653" t="inlineStr">
        <is>
          <t>［感］
１言葉がすぐ出てこないときに発する語。ええと。「—、何だっけ」
２感動を覚えたとき、また苦しんだり力んだりしたときに発する語。「—、みごとだなあ」「—、もうだめだ」
３相手の言葉を打ち消すときの語。いや。「—、まだ来ていないよ」</t>
        </is>
      </c>
      <c r="H653" t="n">
        <v>29</v>
      </c>
      <c r="I653" t="inlineStr">
        <is>
          <t>ううん、名儀変更しなくてはという話題が家族の間で出ていたのは本当だ。；ううん、言っただけじゃない、あたしの荷物を勝手にまとめはじめた。；ううん、別に馬鹿にしてるわけじゃないんだから、誤解しないで欲しいなあ。；ううん、『血』なんてアナクロな概念を使って説明しちゃいけないわね。；「ううん」 「行くぞ」 とDは背を向けて、ドアの方へと歩き出した。；「ううん、なんでもないわ」 かの女は軽く首を左右にふってみせた。；ううん・・・・そこまでいかないと逆に不自然じゃないかなあ。；ううん、そう簡単に片付けてしまうわけにもいかないような気が僕にはするのです。；ううん、どの世界にも、周りには受け入れられないような独特の観念がある。；ううん、ニュースでやってる以上の情報は、入ってきてないわよ。；章介 ううん、引退したいにも、後を継いでくれるものがおらんじゃないか。；ううん、相撲用語に差し手を殺すというのがありますが、それですかね。；ううん何でもないと答えながら、わたしは、混乱した頭の中をまとめようとした。；ううん、あたしは母さまみたいなフェアリードクターになりたいんだもの。；ううん、主役が舞台が終わったあと、外をふらふら歩いているわけがない。；「これがどうしたの」 孫は、「ううん」と大きく首を振ったのです。；「ううん」と否定はしたもののなんといったらいいかわからない。；ううん、話はしなかったんだけど、残さずにご飯も食べてくれて。；ううん、大学を出るまではおとなと認めたくないかもしれないから、あと十年。；ううん、きっと逃げずに舞台に立つことを選んだときから。；「ううん、なんでもないわ」セ・ネドラはふたたび髪をとかしはじめた。；ううん、ただ待つだけでなくて、一緒にそのときに向かって歩もうとしているんだ。；「ううん」と言ったユキオくんは、そのまま家に入ってしまいました。；ううん、おかあさんは名を捨てて博士をとったのだから、どちらでも同じことだわ。；ううん、淋し過ぎて、ひとりの女の人だけでは不安なのね、きっと。；ううん、尾崎の若先生は、状況に焦って気持ちが閉じているんだわ。；ううん考えすぎよ、と舞は、自分の想像を否定するように、左右後方を確認した。；「ううん、おっさんの方」 人って限定されていたから、猫には用がない。；ううん、むしろ馬鹿の方が日々は楽しいのかもしれない。</t>
        </is>
      </c>
      <c r="J653">
        <f>HYPERLINK("https://www.weblio.jp/content/ううん", "词义详情")</f>
        <v/>
      </c>
      <c r="K653">
        <f>HYPERLINK("https://yourei.jp/ううん", "查看例句")</f>
        <v/>
      </c>
    </row>
    <row r="654">
      <c r="A654" t="inlineStr">
        <is>
          <t>上</t>
        </is>
      </c>
      <c r="B654" t="inlineStr">
        <is>
          <t>成功</t>
        </is>
      </c>
      <c r="C654" t="inlineStr">
        <is>
          <t>読み方：うえ
［名］
１位置関係で、基準とするものより高い方、高い所をいう。
㋐立体的に見て、高い所。高い場所。「一段—に上る」⇔下(した)。
㋑紙などの平面で、縦の方向で自分より遠くに離れている所。「横線より—にある点」⇔下(した)。
㋒室内。座敷。「—におあがり」
㋓順序から見て、連続する先の部分。「—に述べた事柄は…」
㋔音の高い部分。「—の音が出ない」⇔下(した)。
２物の表面。「雪の—を滑る」
３外側。「上着の—にコートを着る」⇔下(した)。
４程度・地位・年齢・能力・数量などが勝っていること。また、その人。「成績が僕より—だ」「二歳—の人」「—からの指示」「—の学校に進む」⇔下(した)。
５ある物事に関すること。「仕事の—で苦労が多い」「酒の—の失敗」「帳簿の—では黒字だ」
６ある事柄と他の事柄とを関係させていう時に用いる。
㋐…に加えて。「ねだんが安い—に、品質が優れている」
㋑…したのち。…した結果。「相談した—で返事する」「知的探検家の努力の—に現代科学は築かれている」
㋒…するため。「勉学を続けて行く—に必要な学費」
㋓（「うえは」の形で）…からには。「かくなる—はやむをえない」
７高い地位を占めている場所、または人々。
㋐高貴な人、特に主上の御座所に近い所。禁中。殿上(てんじょう)の間。
「—にさぶらふをのこども歌奉れと仰せられける時に」〈古今・秋上・詞書〉
㋑主上。天皇。後世では将軍・大名をもさす。
「—も聞こしめし、めでさせ給ふ」〈枕・二三〉
㋒貴婦人。特に奥方。
「離れ給ひし元の—は」〈竹取〉
８付近。ほとり。
「石(いは)走る垂水(たるみ)の—のさわらびの萌え出づる春になりにけるかも」〈万・一四一八〉
［接尾］
１名詞に付いて、自分または相手の目上の近親者に対する尊敬の意を表す。現代では、手紙やあらたまった場合などに用いる。「父—様」「姉—」
２貴人の妻の呼び名に付いて、尊敬の意を表す。
「紫の—にも御消息ことにあり」〈源・若菜上〉
３目上の人を表す語に付いて、尊敬の意を表す。
「故院の—の、今際(いまは)のきざみにあまたの御遺言ありし中に」〈源・若菜上〉
[下接語]兄上・姉上・雲の上・此(こ)の上・坂上・其(そ)の上・父上・年上・母上・真上・身の上・目上・床上</t>
        </is>
      </c>
      <c r="D654" t="inlineStr">
        <is>
          <t>上つて；上甲板；上科；上つた；上野国</t>
        </is>
      </c>
      <c r="E654" t="inlineStr">
        <is>
          <t>政府；先輩；体制；当局；年上</t>
        </is>
      </c>
      <c r="F654" t="inlineStr">
        <is>
          <t>地球上；関係上；名目上；性質上；構造上</t>
        </is>
      </c>
      <c r="G654" t="inlineStr">
        <is>
          <t>上記；上昇；上げる；上陸；上り</t>
        </is>
      </c>
      <c r="H654" t="n">
        <v>29</v>
      </c>
      <c r="I654" t="inlineStr">
        <is>
          <t>日本の近代以前の歴史上の戦争を題材とした場合は通常時代劇と呼ばれる。；上記コードをウェブブラウザ上で実行すると、以下の結果が表示される。；ここでは以降の解説を読む上で必要な の文法規則を簡単に説明する。；母は対局が行われたNHKのスタジオから、すぐに二上に電話を入れた。；上の分類とは別に、火山体周辺で起こるものを特別に分ける場合がある。；これは厚い大気の層に阻まれた地球上の岩石には見られないものである。；衛生上の知識に関連する学問分野として次に挙げるものが知られている。；北海道ではストーンサークルが多く発掘され考古学上議論を呼んでいる。；カードの上にはボタンの他にテキストやグラフィックをおくことができた。；現在ではインターネットを利用した電子メディア上で表現されるものもある。；終盤においても以下の欠点があり、利用上の問題点となるときがあった。；歴史上、彼は多くの反権威主義的な業績を残したと受け止められている。；これは上に挙げたさまざまな集団の存在に気づかないために起こる誤認による。；この事件は近年のアメリカ史上最大の生物兵器による攻撃だと言われる。；しかしF1ドライバーの参戦は少なく、ほとんど名目上のものであった。；人類の歴史上、身体の装飾行為がいつ始まったのかは定かではない。；承認後、最終的な文章には編集上のわずかな変更しか加えることができない。；現在ではインターネットに代表される電子メディア上で表現されるものもある。；Pythonはインタプリタ上で実行することを前提に設計している。；メモリ上の実行すべき命令の位置はプログラムカウンタで指定される。；この族は元素を分類する上で最も重要な方法と考えられている。；多くの発明がそうであるように、ピアノもそれまでにあった技術の上に成立している。；このようなイメージはメモリ上のスタックの実際の構造とはあまり関係ない。；このアクションはmacOS専用であり、他のOS上では実行できない。；初回放送時のフィルムは経年劣化が著しい上に所在が不明となっている。；この中からは地球化学で と呼ばれる、地球上には存在しない岩種が発見された。；そのため、箱の上に布製の括り枕を取り付け高さを上げた枕が使用された。；ほとんどのワードはスタック上でのその効果の観点から定義される。；これらのうちのいくつかは、歴史的あるいは管理上の理由から複数の設備を持っている。</t>
        </is>
      </c>
      <c r="J654">
        <f>HYPERLINK("https://www.weblio.jp/content/上", "词义详情")</f>
        <v/>
      </c>
      <c r="K654">
        <f>HYPERLINK("https://yourei.jp/上", "查看例句")</f>
        <v/>
      </c>
    </row>
    <row r="655">
      <c r="A655" t="inlineStr">
        <is>
          <t>植木</t>
        </is>
      </c>
      <c r="B655" t="inlineStr">
        <is>
          <t>成功</t>
        </is>
      </c>
      <c r="C655" t="inlineStr">
        <is>
          <t>読み方：うえき
庭や鉢などに植えてある木。また、植えるための木。</t>
        </is>
      </c>
      <c r="D655" t="inlineStr">
        <is>
          <t>植木市(3%)；植木屋(2%)；植木寅夫；植木師；植木棚</t>
        </is>
      </c>
      <c r="E655" t="inlineStr">
        <is>
          <t>盆栽；庭木；鉢植え</t>
        </is>
      </c>
      <c r="F655" t="inlineStr">
        <is>
          <t>植木氏；植木奉行；植木秀資；植木環状陣地；植木溜め</t>
        </is>
      </c>
      <c r="G655" t="inlineStr">
        <is>
          <t>植木鉢；植木等；植木職；植木枝盛；植木町</t>
        </is>
      </c>
      <c r="H655" t="n">
        <v>29</v>
      </c>
      <c r="I655" t="inlineStr">
        <is>
          <t>その時わたしは、台の上に置いてある植木の名前を知りたいと思った。；翌朝、庭へ出てみると納屋の前の植木棚の下に一匹の子猫が死んでいた。；しかし今はどの家も人気がなく、庭の植木だけが旺盛に生い茂っている。；外側の部屋に入ると、そこでは秘書が植木に水をやっているところだった。；植木の中から飛び出してきて、腕部の五〇口径ライフルを発砲してくる。；それにしてもどうして植木師などの中に、彼女、お八重はいるのであろう?；わては、これから得意先へ植木を持って行て、ちょっとかかりまんね。；私はそれを村の男が植木か何かを載せて縁日へでも出掛けるものと想像した。；一つの大きな植木と、様々な花の鉢が白いタイル張りの床を彩っている。；植木の葉の合理性とその故の美がもっとよくわかるようにすること。；この植木市には時々見覚えの合歓の若木などが売りに出ている事がある。；それ以来、植木市の時期には必ず雨が降るようになったと伝えられる。；植木はその間に床の下を掃いて畳を敷けば善いやうにしてくれて居た。；わしは得意先へ植木を持って行くような顔して、ポイと表へ出るわ。；そして、孝吉が、屋根の植木台から見たのは、この木の頂でありました。；植木に夢中になって、八五郎の哲学などは、どうでもよかったのでしょう。；病棟がいくつも立ち並び、敷地の中には植木の並ぶ公園のような庭がある。；植木に夢中になつて、八五郎の哲學などは、どうでもよかつたのでせう。；芳雄は農家の生まれなので、植木を見るとついかまいたくなると言った。；植木鉢とは植木や草・花など様々な植物を植えるための容器の総称である。；手入れの行き届いた植木が、音もなく風に揺れ、小鳥が枝を渡っていた。；植木や藤棚やベンチが並んでいる光景を、初めて見るような気がした。；石垣に囲まれた庭の奥に白髪の老人がいて、植木に水をやっていた。；数百の植木師が野に放たれて、野の樹の手入れをしてゐる見たいだ。；村名は古くから当地方は植木の里と称していたことに由来する。；道沿いの家の窓辺には洗濯物が下がり、軒下には植木が並べられている。；山本は全国三大植木産地の一つで、植木・花卉栽培が盛んになっている。；向うの植木の影からわざわざ顔をつき出して、私の方を覗いた女給があった。；植木ばちには、人間の頭の骨が植わっていて、歯をむき出しています。</t>
        </is>
      </c>
      <c r="J655">
        <f>HYPERLINK("https://www.weblio.jp/content/植木", "词义详情")</f>
        <v/>
      </c>
      <c r="K655">
        <f>HYPERLINK("https://yourei.jp/植木", "查看例句")</f>
        <v/>
      </c>
    </row>
    <row r="656">
      <c r="A656" t="inlineStr">
        <is>
          <t>飢える</t>
        </is>
      </c>
      <c r="B656" t="inlineStr">
        <is>
          <t>成功</t>
        </is>
      </c>
      <c r="C656" t="inlineStr">
        <is>
          <t>読み方：うえる
［動ア下一］［文］う・う［ワ下二］
１食物がなくて空腹に苦しむ。ひどく腹が減る。「大飢饉(ききん)で多くの人が—・える」
２望み求めている物事が得られないので、それを強く求める。「愛情に—・えている」
３（「気がうえる」の形で）気力が乏しい。気が弱くなる。
「気が—・えきって来ると、笹村は私(そっ)と逭(に)げるように宿の門を出た」〈秋声・黴〉</t>
        </is>
      </c>
      <c r="D656" t="inlineStr">
        <is>
          <t>飢えるだろ</t>
        </is>
      </c>
      <c r="E656" t="inlineStr">
        <is>
          <t>餓える；饑える</t>
        </is>
      </c>
      <c r="H656" t="n">
        <v>29</v>
      </c>
      <c r="I656" t="inlineStr">
        <is>
          <t>外国ですと身体に故障のない限りは決して飢えるという恐れがありません。；その肉体は不老不死に近く、鬼を食べなくても飢えるだけで死にはしない。；「だがあんたは、ここにいたって飢える心配はないよ」と彼女は言った。；一緒にいれば満たされて、離れていれば飢えるようなものなんだと。；血に飢えることもないし、肉を貪る必要もないのに、狼のふりをしてきた。；前の場合には子供たちは愛情に飢えるようになり、後の場合には刺激過剰になる。；われわれはどこへも行けず、へたをするとまた飢えるかもしれない。；飢えることもなく、外敵に襲われることもなく、大切に育てられたはずの獣。；食物のないこの土地では、わたしたちは毎日神殿に通うか、飢えるかよ。；そのことが文字に飢える理由になったのは間違いない。；したがって、パンの出張販売に依存している一二〇名の生徒が飢えることになる。；ここまでは他都市の攻略戦と変わらない展開だったが、飢える兵士達は殺した市民を食べはじめた。；夫の遺産と老齢年金のおかげで、ともかく飢えることなく生きていられる。；じわじわと少しずつ飢えるか、いっぺんに飢えるかの違いしかないんだ。；あんたは安全な家の中で寝てて、とにかく飢えることなくご飯が食べられるんじゃない。；肉体の快楽に飢える者も、肉体の快楽を売り物にする者も、みんな私の敵。；飢えることがあっても、それは横暴な人間を養うためではなかった。；そこで玉汗が言うに、三人でここでこうしていたのでは、近く飢えるにきまっている。；今はぼんやりさびしいのが、後には飢えるようにさびしくなるかもしれない。；東京内から出て行って買って来ることも出来ず、東京都民はただ飢える外なくなったのだ。；飢える心配がなくなって、女が男に求める役割が変わった。；飛行機に乗りさえすれば飢えることもないだろう。；狂おしく飢える欲を隠しきれずにオトコノコたちを眺めているわけではない。；インディアンたちは飢えるまで放っておかれた自分たちの食料を管理局まで取りにきていた。；子供が拷問され、両親は飢えるがままにされたんでしたね。；それがいやなら、出ていって飢えるより仕方がなかった。；実業家が飢えることはアメリカが飢えることでもあります。；平原のインディアンたちは生活の柱を奪われ、保留地で飢えることとなった。；彼も子供たちも、ここで飢えるようなことは、まずあるまい。</t>
        </is>
      </c>
      <c r="J656">
        <f>HYPERLINK("https://www.weblio.jp/content/飢える", "词义详情")</f>
        <v/>
      </c>
      <c r="K656">
        <f>HYPERLINK("https://yourei.jp/飢える", "查看例句")</f>
        <v/>
      </c>
    </row>
    <row r="657">
      <c r="A657" t="inlineStr">
        <is>
          <t>植える</t>
        </is>
      </c>
      <c r="B657" t="inlineStr">
        <is>
          <t>成功</t>
        </is>
      </c>
      <c r="C657" t="inlineStr">
        <is>
          <t>読み方：うえる
［動ア下一］［文］う・う［ワ下二］
１草木を育てるために、種子や苗を地中に埋める。「山に木を—・える」
２小さいものや細いものをはめ込む。植え込む。「ブラシに毛を—・える」「活字を—・える」
３細菌などを育てる所に、もとになるものを移し入れる。「痘苗(とうびょう)を—・える」
４思想・教義などを、しっかりと教え込み、根付かせる。「倫理観を—・える」
[補説]室町時代以降はヤ行にも活用した。→植ゆ</t>
        </is>
      </c>
      <c r="D657" t="inlineStr">
        <is>
          <t>植えるしかない</t>
        </is>
      </c>
      <c r="E657" t="inlineStr">
        <is>
          <t>植栽；植え付け；植えつけ；埋め込む；挿す</t>
        </is>
      </c>
      <c r="H657" t="n">
        <v>29</v>
      </c>
      <c r="I657" t="inlineStr">
        <is>
          <t>どこに植えるのか知らぬが、二キロはちょっと多すぎるような気もした。；境内には桜を植えるなどして、多くの人々が集う場として提供してきた。；約700本の桜が植えられており、毎年春にはさくら祭りが開催される。；日本では古くから栽培されてきたが、現在ではまれに庭などに植えられる。；主に暖地の海岸に多く自生するが、公園や道路沿いなどにも植えられる。；植木鉢の大きさは、植える植物体の大きさや数にほぼ対応して決められる。；桜川地区もその関係で桜を植えた事に由来しているとも伝えられる。；また、前館内には開園当時に植えられたヤシなど十数種が現存している。；私の妻と私は何種類ものハーブや花、他の植物をベランダに植えている。；植える傍から植えたことを忘れてしまって、育てることだけは忘れない。；初夏に花を下垂させて美しいことから、庭に植えて観賞用に栽培される。；誰もこれを庭に植える人はないが、しかしそう見限ったもんでもない。；珍しい植物を失敬して帰って、自分の家の庭に植える気なのだなと解釈した。；園内には約3500本の桜をはじめ、様々な四季の花が植えられている。；根を張る必要がありますしその上、土は平らにならしてから植えられた。；そうしたものを植えるいい場所があるなら、アンの畑はそこにあるはずだ。；また公共の公園や街道筋さらには学校の校庭などに植えられることも多い。；かといって、根がついているわけでもないから、庭に植えることもできない。；しらかば大通りとも呼ばれる区間には歩道の脇に白樺が植えられている。；西側や南側には風や雪に備えて杉を中心に背の高く丈夫な木が植えられていた。；このうち観賞用として最も多く植えられているのがソメイヨシノである。；ところで、もうわたくしは、自分でその木を植えることはできません。；かつては田に長い糸を張り、糸に沿って手で稲の苗を一本ずつ植えていた。；また正門の正面にはクスノキが植えられており、シンボル視されている。；ただ、あなたが珠芽を植える時には僕の教えたとおりにやるだけのことです。；そのため、植えられた樹木は強い根を張るクロマツが主体となっている。；これは譲り葉と云って縁起が良いとされるから、だから庭に植えるんじゃ。；そのため、切り倒して他の木を植えることは理屈にかなったことである。；むろんタネは自分で植えるためではなく、闇市で一稼ぎする目的だった。</t>
        </is>
      </c>
      <c r="J657">
        <f>HYPERLINK("https://www.weblio.jp/content/植える", "词义详情")</f>
        <v/>
      </c>
      <c r="K657">
        <f>HYPERLINK("https://yourei.jp/植える", "查看例句")</f>
        <v/>
      </c>
    </row>
    <row r="658">
      <c r="A658" t="inlineStr">
        <is>
          <t>魚</t>
        </is>
      </c>
      <c r="B658" t="inlineStr">
        <is>
          <t>成功</t>
        </is>
      </c>
      <c r="C658" t="inlineStr">
        <is>
          <t>読み方：いお
うお。さかな。
「荒海の怒れる—のすがた」〈源・帚木〉</t>
        </is>
      </c>
      <c r="D658" t="inlineStr">
        <is>
          <t>魚たち；魚津市；魚支吾；魚群；魚籠</t>
        </is>
      </c>
      <c r="E658" t="inlineStr">
        <is>
          <t>鱗；フィッシュ；魚肉；魚族；銀鱗</t>
        </is>
      </c>
      <c r="F658" t="inlineStr">
        <is>
          <t>大きな魚；魚支；熱帯魚；食用魚；小さな魚</t>
        </is>
      </c>
      <c r="G658" t="inlineStr">
        <is>
          <t>魚類；魚介；魚屋；魚雷発射管；魚雷艇</t>
        </is>
      </c>
      <c r="H658" t="n">
        <v>29</v>
      </c>
      <c r="I658" t="inlineStr">
        <is>
          <t>これは顔を鳥や魚につつかれないようにするためだったとみられている。；春が旬の魚とイメージされているが、本当に味が良いのは秋・冬である。；このようなことから川には魚が多く、周囲の人たちの漁場になっている。；竹や木材などを使って、魚などが入りやすく、出にくい構造に作った籠。；かつては、ラスボラ属に分類されていた魚の総称として用いられていた。；しかし、袋に入ることなく網石の下をくぐり抜けて逃げる魚も少なくない。；中国広東州でも、コイ科の魚や他種を合成して巧みに人魚が作成された。；海に囲まれているため魚介類も豊富で、魚やエビなどを使った料理も多い。；また、海水魚は塩湖に生息する魚も含めて塩水魚と呼ばれることもある。；なお、近縁の数亜科にまたがる種類の魚をまとめてプレコと呼んでいる。；幼生は目が普通の魚と同様に左右に分かれて付いており、体も平たくない。；日本は周りを海に囲まれていることもあり、世界有数の魚大国である。；魚臭さを抑える技術も開発され海外への輸出も多くなるとみられる。；そのため生体を見たことがない人には赤っぽい魚として認識されている。；以来その堀跡の池では、魚は全て隻眼である、という伝説が残っている。；そのため、コリドラスのいくつかの種は他の魚の擬態の対象となっている。；更に温和なので他魚との混泳も同程度のサイズの魚となら問題ない。；最初魚の名前もわからない竜三だったが、おしんに従い仕事を覚えていく。；リは空気を呼吸し、ヒトの頭部・腕・生殖器と魚の下半身を持つという。；定住型は主に魚を餌とし、大抵は十数頭の家族群を形成して生活する。；は、人の胸から下が魚になったような姿をしているとされる。；魚を薄く精巧に切った「平作り」などについて次のように記述している。；夏から秋には海岸域で全長10cm足らずの若魚を見ることができる。；現在は、地場の魚の特産化や高級化で活気がある漁港が数多く存在する。；番組の後半には、週代わりで魚を使った料理と釣具を紹介するコーナーもある。；資源量を維持するため親魚から採卵した卵を孵化し稚魚放流が行われる。；この場合、網を打ったらすぐに魚を網のあるほうに追い込まなければならない。；現在作られているしょっつるはハタハタに限らず色々な魚で作られている。；他には、2000年代に入り奇形魚が生まれるようになってきている。</t>
        </is>
      </c>
      <c r="J658">
        <f>HYPERLINK("https://www.weblio.jp/content/魚", "词义详情")</f>
        <v/>
      </c>
      <c r="K658">
        <f>HYPERLINK("https://yourei.jp/魚", "查看例句")</f>
        <v/>
      </c>
    </row>
    <row r="659">
      <c r="A659" t="inlineStr">
        <is>
          <t>迂回</t>
        </is>
      </c>
      <c r="B659" t="inlineStr">
        <is>
          <t>成功</t>
        </is>
      </c>
      <c r="C659" t="inlineStr">
        <is>
          <t>読み方：うかい
［名］(スル)回り道をすること。遠回りすること。「がけ崩れのため—する」「—路」</t>
        </is>
      </c>
      <c r="D659" t="inlineStr">
        <is>
          <t>迂回する(26%)；迂回ルート；迂回運行；迂回運転；迂回経路</t>
        </is>
      </c>
      <c r="E659" t="inlineStr">
        <is>
          <t>遠回り；寄り道；回り道</t>
        </is>
      </c>
      <c r="F659" t="inlineStr">
        <is>
          <t>大迂回；迂回作戦；迂回コース；北へ迂回；迂回するバイパス道路</t>
        </is>
      </c>
      <c r="G659" t="inlineStr">
        <is>
          <t>迂回融資；迂回献金；迂回生産</t>
        </is>
      </c>
      <c r="H659" t="n">
        <v>29</v>
      </c>
      <c r="I659" t="inlineStr">
        <is>
          <t>彼はアメリカの北を迂回する北西航路をついに発見したことに興奮する。；その攻撃においては基本的に敵の正面を避けて迂回することが原則となる。；かつて出口を求める話もあったが開設されず、迂回する形での移動となる。；東風平駅から稲峰駅までの区間を迂回する路線などが設定されていた。；このため、この区間を国道47号や国道13号で迂回する車も多かった。；そのため、わざわざ迂回をして当駅を経由しているように見える。；この迂回を解消するため戦後国鉄では短絡線の建設を計画していた。；静岡市街を通過する国道1号現道の交通を迂回させることが目的で建設された。；当初は三島市街を南へ迂回する形でバイパスの機能を果たしていた。；この時、外側の堀を掘るために上を通っていた県道が迂回させられた。；迂回先から本路線に復帰すると、終点まで他路線との重複区間となる。；この迂回は建設当時の政治的駆け引きにより生まれたものだといわれている。；そこで中学校南側を迂回して国道204号に直結する現ルートに変更された。；全線開業は1994年でリヨン地域の東側を迂回する形で建設された。；当時はそこに川が流れており見物客は川を迂回して向かわなければならなかった。；再び山に入り、南に大きく迂回してから、東に流れてグアイレ川に合流する。；JR中央線付近を通過し、国道20号を南側に迂回する形状になっている。；他のバス路線は市の主軸を結ぶことを目的とし、中央の市内中心部を迂回する。；しかし、この道路はバイパスを利用して市中心部を迂回している。；そのため、この区間を迂回する4車線のバイパス道路として建設された。；国道317号青影トンネルが狭いため、それを迂回するには有用な路線。；第101SS重戦車大隊は迂回突破を阻止することに成功したのである。；都市域を迂回する有料道路の料金を減額するなどの措置の事例もある。；細浦方には一般道への出入口も整備され、非常時の迂回運行等で活用される。；実際には迂回する箇所もあるため、20km以上歩くことになる。；このため、車両は栃木県道210号柏倉葛生線を迂回する必要がある。；中社エリアは迂回コースはあるものの急斜面が比較的多いゲレンデである。；朝倉市に入ると秋月地区を通るが、城下町は迂回するルートになっている。；近年は混雑のため駅の入場制限が行われたときの迂回先として が案内されている。</t>
        </is>
      </c>
      <c r="J659">
        <f>HYPERLINK("https://www.weblio.jp/content/迂回", "词义详情")</f>
        <v/>
      </c>
      <c r="K659">
        <f>HYPERLINK("https://yourei.jp/迂回", "查看例句")</f>
        <v/>
      </c>
    </row>
    <row r="660">
      <c r="A660" t="inlineStr">
        <is>
          <t>嗽</t>
        </is>
      </c>
      <c r="B660" t="inlineStr">
        <is>
          <t>成功</t>
        </is>
      </c>
      <c r="C660" t="inlineStr">
        <is>
          <t>読み方：うがい
［名］(スル)水や薬液などを口に含んで、口やのどをすすぐこと。含嗽(がんそう)。「食塩水で—する」「—薬」</t>
        </is>
      </c>
      <c r="D660" t="inlineStr">
        <is>
          <t>嗽茶碗(4%)</t>
        </is>
      </c>
      <c r="E660" t="inlineStr">
        <is>
          <t>含嗽</t>
        </is>
      </c>
      <c r="H660" t="n">
        <v>29</v>
      </c>
      <c r="I660" t="inlineStr">
        <is>
          <t>嗽いをするような秘かな水音に包まれその中に今も千鶴子がいるのだった。；局長はいま嗽をしているが、かまわないからお入りなさいと秘書は云った。；彼女等があまり手間取るので滝も、袋を降して口を嗽いだり汗を拭つたりした。；そして着がえや朝の嗽いをすまして見えた俊基を、別の亭へ案内して行った。；時どき嗽ひをしながら、しばらく手術椅子の上で安静にしてゐた。；とでも催促してゐるやうな気がして好意を感じながら首を振つて、其処で嗽ひをした。；夫れはその当時私は知らなかったが、そうして見ると彼の大きな茶椀は女郎の嗽茶椀であったろう。；自宅に帰ると、成瀬は手と顔を洗い、嗽をしただけで応接室に引きこもった。；それからテエブルの上にあつた消毒用の水薬で嗽ひをしました。；彼は浴衣に着がえると、顔と手を洗い、嗽をしてから、台所に続く食堂まで来た。；安心して高笑いがこみ上げて来るので、湯口に口をあてて荒っぽく嗽いをした。；高い天井が嗽をするみたいにそれを撥ね返した。；が、その景色が眼にはいると、お蓮は嗽いを使いがら、今までは全然忘れていた昨夜の夢を思い出した。；自分が嗽に立って台所へ出た時、奈々子は姉なるものの大人下駄をはいて、外へ出ようとするところであった。；朝、眼がさめると良寛さんは、庵の裏の小さい泉へいつて、口を嗽ぎ顔を洗つた。；他の一人は嗽をさせる。；嗽をしていた水を呑み込むところだった。；私は青木の顔を偸見ると、彼は額に皺を寄せた儘わざと音を立てて不味そうにお茶で口を嗽いしていた。；にが笑いをして成信は起き、少しばかりふらふらするが、嗽ぎ口の廊下から井戸のほうへと出ていった。；孝二は外から帰ってきて嗽をした。；温泉附近の路が酷くくずれている、宿の前で嗽いをした筧の水などは、埋没してしまっている。；サンドウィッチや弁当を食べた後谷川の水で口を嗽ぎさえすれば一日奔走しておっても決して水を飲むに及びません。；そして、清水をくんで手洗、嗽口をすまし、あらためて席へもどってくる。；そしてそのような、長い、眠られぬ夜の間に、床頭台に置かれた壜の中で、嗽の水が次第に凍って行くのだ。；米国は水道の栓をひねり、もう一度嗽をし、結局一度も病人のそばに寄ることなく帰っていった。；乳は真鍮の嗽い茶碗へいくら絞っても出て来なかった。；少し吐いたとみえて、嗽い茶碗や濡手拭が丸盆の上にあった。；乳は真鍮の嗽ひ茶碗へいくら絞つても出て来なかつた。；一時癒った嗽がまた出はじめた。</t>
        </is>
      </c>
      <c r="J660">
        <f>HYPERLINK("https://www.weblio.jp/content/嗽", "词义详情")</f>
        <v/>
      </c>
      <c r="K660">
        <f>HYPERLINK("https://yourei.jp/嗽", "查看例句")</f>
        <v/>
      </c>
    </row>
    <row r="661">
      <c r="A661" t="inlineStr">
        <is>
          <t>伺う</t>
        </is>
      </c>
      <c r="B661" t="inlineStr">
        <is>
          <t>成功</t>
        </is>
      </c>
      <c r="C661" t="inlineStr">
        <is>
          <t>読み方：うかがう
［動ワ五（ハ四）］《「窺う」と同語源。目上の人のようすをうかがいみる意から、その動作の相手を敬う謙譲語となる》
１「聞く」の謙譲語。拝聴する。お聞きする。「おうわさはかねがね—・っております」
２「尋ねる」「問う」の謙譲語。「この件について御意見をお—・いします」
３「訪れる」「訪問する」の謙譲語。「明朝、こちらから—・います」
４神仏の託宣を願う。「御神託を—・う」
５《「御機嫌をうかがう」の意から》寄席などで、客に話をする。また、一般に、大ぜいの人に説明をする。「一席—・う」
[可能]うかがえる
[補説]最近、「伺う」の意味は、3の「訪れる」のみとして、1の「聞く」、2の「尋ねる」の意では使わない人が増えている。</t>
        </is>
      </c>
      <c r="D661" t="inlineStr">
        <is>
          <t>伺うべき；伺うようです；伺うつもりです</t>
        </is>
      </c>
      <c r="E661" t="inlineStr">
        <is>
          <t>行く；聞く；質問；訪れる；頼む</t>
        </is>
      </c>
      <c r="H661" t="n">
        <v>29</v>
      </c>
      <c r="I661" t="inlineStr">
        <is>
          <t>大切なことだから、じきじき先生に伺って見ることにしようじゃないか。；周作人のことをお訊ねですが、先生には到着の御挨拶に伺ったきりです。；もっと早く伺うつもりでしたけれど、ついあちらが長くなってしまって。；私が今まで機嫌を伺ってきたのは、神様ではなく、会社の客たちだった。；徹さんからそれを伺って、何か、いても立ってもいられませんでしたわ。；用もねえのにお閻魔さまのごきげんなんぞ伺わなくたっていいんですよ。；私は仕事のことで伺ったのだが、それには絶対秘密が必要なのです。；もし伺ったら、あまりお酒を飲まないように、と言ってくださいませね。；その殿はどうお考えであろう、と、一ばん側近の老人に伺っているのだ。；日本国内でもすでにチームを立ち上げて複数の土地を確保して進出を伺っている。；この映画では今は失われた市場での半日の様子を伺うことができる。；両社の脇には多数の絵馬が奉納され、信仰を集めていることを伺わせる。；今も婆やを貴嬢の処へ上げてお昼の副食物を伺おうと思っていた処です。；長年、訓練に携わっている方の貴重なご意見を伺うことができました。；今は混乱なさっているでしょうから、その辺は改めて伺わせてもらいます。；すぐに伺うべきでしたが、宮仕えのつらさで休暇をとるのが遅れました。；そして内院へ伺ってみると、二夫人は抱き合って、なお哭き濡れていた。；ここにはどのぐらいご滞在のおつもりか、伺ってもよろしいでしょうか?；あなたのお気持ちを伺っただけで、わたくしの決心もきまるんですから。；金の出所がはっきりしなかったものですから、こうして伺ったわけでして。；ふとしたことからそれを読んだのが、こちらへ伺う原因になりました。；袿姿の立派なお写真を見て、式に伺われなかったのを残念がりました。；彼らは国民の価値観を揺るがす強大な計画を実行に移す時を伺っていた。；現にあの水以来、彼は殆ど毎日蘆屋のお宅へ伺っているではありませんか。；私が扇谷さんのお宅に挨拶に伺うのには、もう一つの理由があった。；芝居のお話にお宅に伺うとたいていは、芝居よりも食うことの話になった。；土谷は合田を恐れており、探しにくると窓から外を伺っていたという。；お宅の前を通ったら、ベイツの奥様のご機嫌を伺わずには帰れませんわ。；ちょうどそのとき、ドリトル先生のことを伺って、きていただきました。</t>
        </is>
      </c>
      <c r="J661">
        <f>HYPERLINK("https://www.weblio.jp/content/伺う", "词义详情")</f>
        <v/>
      </c>
      <c r="K661">
        <f>HYPERLINK("https://yourei.jp/伺う", "查看例句")</f>
        <v/>
      </c>
    </row>
    <row r="662">
      <c r="A662" t="inlineStr">
        <is>
          <t>迂闊</t>
        </is>
      </c>
      <c r="B662" t="inlineStr">
        <is>
          <t>成功</t>
        </is>
      </c>
      <c r="C662" t="inlineStr">
        <is>
          <t>読み方：うかつ
［名・形動］
１うっかりしていて心の行き届かないこと。また、そのさま。「そんな大事なことを見落とすとは—だった」「—にも口を滑らす」
２回り遠くて実情にそぐわないこと。実際の役に立たないこと。また、そのさま。
「彼の級友に…坐禅をするものがあった。当時彼は其—を笑っていた」〈漱石・門〉
[派生]うかつさ［名］</t>
        </is>
      </c>
      <c r="D662" t="inlineStr">
        <is>
          <t>迂闊なこと(7%)；迂闊な話；迂闊千万；迂闊な返事；迂闊な発言</t>
        </is>
      </c>
      <c r="E662" t="inlineStr">
        <is>
          <t>不用意；不謹慎；不始末；軽はずみ；不心得</t>
        </is>
      </c>
      <c r="H662" t="n">
        <v>29</v>
      </c>
      <c r="I662" t="inlineStr">
        <is>
          <t>これが禁止されるのも当然だし、迂闊に実験できないことも当然だった。；彼女は迂闊なことを口にしてしまったと後悔したのか、唇を噛んでいた。；僕は何も・・・・・何・・も・・・ ・・・・・・・・迂闊だった。；父はよく言えば大らかだったけれど、悪く言えば迂闊なところがあったの。；前方に立つ二人はこちらが見えず、迂闊に動くことが出来なくなっている。；迂闊に希望的な観測を言えば、翌日まで生きていられるかわからない。；もし迂闊にこの人と恋仲などになりましたら、妾のようにされましょう。；こうなることが予想できるから迂闊に人を近づかせたくなかったのだ。；迂闊に本当のことを言ったらそのあとどうなるんだろうとそればかりを考えた。；私は迂闊にもその時まで、女が一人で住んでいるとは思ってもいなかった。；迂闊に口を出すわけにも行かないので、主人夫婦は唖のように黙っていた。；迂闊な話ですが、僕は今までこうした問題を考えたことはありませんでした。；それがみんなに知られていれば、甲田の側は迂闊なことはできないはずだ。；彼らと迂闊な交渉を行わないように、一つ、教えておくことがありますの。；私は迂闊にも、まだ一度も手首の傷痕のことを彼に話していないのでした。；「迂闊なことはできないものだな」 しみじみと口にして足跡を眺めた。；法律に明るい相手だけに、迂闊なことは口に出せない、と自重している。；かの塔の上には登る人が多いので、迂闊に取出しにゆくことは出来ない。；迂闊者だから、大事の面箱に黒式尉の面なぞ入れて舞台に上ったのだ。；俺は自身の迂闊さを呪ったが、ことここに到ってはすでに手遅れだった。；このとき、不審を覚えなかった佐々木は迂闊としかいいようがなかった。；割った一輪挿しは首に当てたままで、迂闊に刺激できない布石は二重だ。；家には金目のものはないと安心していた自分の迂闊さを彼は呪った。；迂闊には答えられない質問を、昨日会ったばかりの男にしようとしているからだ。；迂闊に泊めてやって、どんな禍いを招くようなことになるかも知れない。；留美かもしれない、と彼は思ったが、迂闊に声をかけるわけにはいかない。；迂闊に近づけばどんなトラブルに巻き込まれるか分かったものではない。；すると今までそれを考えなかった自分が、ひどく迂闊であったように思えて来た。；二体ばかりが囲みから出てきた時には、迂闊なとしか思わなかった。</t>
        </is>
      </c>
      <c r="J662">
        <f>HYPERLINK("https://www.weblio.jp/content/迂闊", "词义详情")</f>
        <v/>
      </c>
      <c r="K662">
        <f>HYPERLINK("https://yourei.jp/迂闊", "查看例句")</f>
        <v/>
      </c>
    </row>
    <row r="663">
      <c r="A663" t="inlineStr">
        <is>
          <t>浮かぶ</t>
        </is>
      </c>
      <c r="B663" t="inlineStr">
        <is>
          <t>成功</t>
        </is>
      </c>
      <c r="C663" t="inlineStr">
        <is>
          <t>読み方：うかぶ
［動バ五（四）］
１物が液体の表面や中間、または空中に存在する。浮く。「雲が—・ぶ」「ボートが湖水に—・ぶ」「太平洋に—・ぶ島」⇔沈む。
２物が液体の表面や空中などに、底から離れて上がる。浮く。浮かび上がる。「沈没船から油が—・ぶ」⇔沈む。
３心の中に上ってくる。意識に出てくる。「名案が—・ぶ」「彼のおもかげが—・ぶ」
４表面に出てくる。「苦悩の表情が—・ぶ」「涙が目に—・ぶ」
５物がその姿かたちを目立たせる。「霧の中に木立が黒く—・んでいる」
６よくない境遇から脱する。よい方に事態が向かう。→浮かばれる
「小夜さんが其気になりゃ、小夜さんも幸福(しあわせ)だし、君も—・ぶ」〈二葉亭・其面影〉
７陽気になる。浮く。
「心配気な、—・ばない顔色をして」〈啄木・赤痢〉
８死者の霊が慰められて安らかになる。成仏する。→浮かばれる
「流れ出(いづ)る涙に今日は沈むとも—・ばむ末を猶(なほ)思はなむ」〈山家集・下〉
９気持ちなどが動いて定まらない。落ち着かない。うわついている。
「女の宿世は、いと—・びたるなむあはれに侍る」〈源・帚木〉
10根拠がない。いいかげんである。
「都にはいと—・びたる事ども、心のひきひき言ひしろふ」〈増鏡・三神山〉
→浮く［用法］
［動バ下二］「うかべる」の文語形。</t>
        </is>
      </c>
      <c r="D663" t="inlineStr">
        <is>
          <t>浮かぶ小さな島；浮かぶ白い；浮かぶノルウェー領；浮かぶ黒い；浮かぶ甑島列島</t>
        </is>
      </c>
      <c r="E663" t="inlineStr">
        <is>
          <t>発生；生まれる；起こる；生じる；起きる</t>
        </is>
      </c>
      <c r="F663" t="inlineStr">
        <is>
          <t>浮かぶ小さな；浮かぶノルウェー領ブーベ島</t>
        </is>
      </c>
      <c r="H663" t="n">
        <v>29</v>
      </c>
      <c r="I663" t="inlineStr">
        <is>
          <t>するといままでに考えてもみなかったことが次々と頭に浮かびはじめた。；女は母親のふりをして、浮かばれずにいる子供たちの霊を呼んでいます。；しかし母がそれを打ち掛けた姿は、今想像してもまるで眼に浮かばない。；針がすっかり沈んでしまって少しも浮かばないと運命は凶であるという。；それがどんな意味を持っているのか、まったく頭に思い浮かばなかった。；彼の顔を見ても、当然のことだろうが、いつもの微笑は浮かばなかった。；こんな気分の時に、会いに行く女の一人も思い浮かばないのが悪いのか。；この施設は大学の浮かぶ教室であるコーラルシーに隣接することになる。；今、考えたところで、なんの解決も浮かばないことだけはわかっている。；いまにそのときの光景が眼に浮かびますが、僕はそれを取り出しました。；覗きこんでいる人々の額には、油汗が珠のように浮かび上ってきました。；考えは浮かばないけれど、わたしにはあと数日の限りがあるから大丈夫。；自負するわけではないが外交に明るい役人は自分以外に思い浮かばない。；落ちて行く深い谷から一刻も早く浮かびあがらなければならぬと思った。；このまま彼らを放っておいたのでは、母は決して浮かばれないだろう。；その場所に行ったら、何か良い考えが浮かばんかと思っておるだけだ。；あたかも眠りの底からまず彼のもとへ魂が浮かびあがってくるかのように。；毎日数題ずつ作っていったのだが、素材の着想が浮かばない日もあった。；でもどう考えてみても彼女がいなくなる理由は思い浮かばなかった。；そのイメージを一言で表現するなら、悪夢以外の言葉は思い浮かばない。；これからどうしようかと思ったが、なにも具体的な考えが浮かばない。；震える手で花を受け取ったおばさんの目にたちまち涙が浮かびあがった。；他のことは思い出せるのに、どうしても彼のことだけが頭に浮かばない。；ポケットに入っていた鍵を見た士の脳裏に、突然ある洋館が思い浮かぶ。；目には涙が浮かび、口は、いまにも泣きだしそうにぴくぴく動いている。；何も思い浮かばなかったが、たしかに何かあるにちがいないと感じた。；するとそのとき、今まで一度も頭に浮かばなかったことに気がついた。；そしてそれらをあまり見つめてるために、娘の姿がもう浮かばなくなった。；けれどもなかなか明瞭にそのことが意識の表面には浮かび出ませんでした。</t>
        </is>
      </c>
      <c r="J663">
        <f>HYPERLINK("https://www.weblio.jp/content/浮かぶ", "词义详情")</f>
        <v/>
      </c>
      <c r="K663">
        <f>HYPERLINK("https://yourei.jp/浮かぶ", "查看例句")</f>
        <v/>
      </c>
    </row>
    <row r="664">
      <c r="A664" t="inlineStr">
        <is>
          <t>浮かべる</t>
        </is>
      </c>
      <c r="B664" t="inlineStr">
        <is>
          <t>成功</t>
        </is>
      </c>
      <c r="C664" t="inlineStr">
        <is>
          <t>読み方：うかべる
［動バ下一］［文］うか・ぶ［バ下二］
１浮かぶようにする。浮かばせる。「船を水に—・べる」⇔沈める。
２外面に表す。表面に表し出す。「喜色を満面に—・べる」「涙を—・べる」
３思い起こす。意識に上らせる。「記憶に—・べる」「念頭に—・べる」
４暗記する。
「古今の歌二十巻をみな—・べさせ給ふを御学問にはせさせ給へ」〈枕・二三〉
５苦境から救う。世に出してやる。浮かばせる。
「沈める輩(ともがら)をこそ多く—・べ給ひしか」〈源・明石〉
６十分に心得る。熟知する。
「傍に居たる禅門、—・べたる体(てい)をなし」〈咄・醒睡笑・三〉</t>
        </is>
      </c>
      <c r="D664" t="inlineStr">
        <is>
          <t>浮かべることなく</t>
        </is>
      </c>
      <c r="E664" t="inlineStr">
        <is>
          <t>いう；意味；考える；浮遊；浮べる</t>
        </is>
      </c>
      <c r="F664" t="inlineStr">
        <is>
          <t>想い浮かべる；思ひ浮かべる；ほほえみを浮かべる</t>
        </is>
      </c>
      <c r="H664" t="n">
        <v>29</v>
      </c>
      <c r="I664" t="inlineStr">
        <is>
          <t>深い哀しみの表情を浮かべて離婚を表明した国王の会見は話題になった。；ブラウンはあまりに心配していたから、彼のことを頭に浮かべなかった。；私のお母さんが、このところ似たような表情を浮かべることがあるのだ。；わたしは絶望の念をいだきながら、こんな光景を心に浮かべたのである。；縛られた政府の権威が集中してるような名状し難い微笑を浮かべていた。；顔に安堵の表情を浮かべたのは、マークが近づいてきたのを見た時だ。；沈黙のあとで、父は、今度はしいて笑いを浮かべながら話しだしました。；彼女はそれを理解すると、涙の中から少し軽蔑したような笑いを浮かべた。；ただ小さなグラチア一人が、涙を浮かべるほどその音楽に感動していた。；私はさう思ふと、私自身もまた一種の微笑を浮かべずにはゐられなかつた。；何故、このような映像を頭の中に浮かべるようになってしまったのか。；私は明るい顔は好きですがいつも冷笑を浮かべた狡猾な顔は好きません。；二十二 恐れて心配の色を浮かべた理学博士の秘密演説は左の如く続いた。；私は笑いを浮かべつつも涙を伴うことなくしてこれらの言葉を読むことができない。；俺が壁面に確保を取ったのを見て、さすがにほっとした表情を浮かべる。；僕はなんということもなしに複製で見たエル・グレコの絵を浮かべました。；しかし自分の新らしく移った住居については何の影像も浮かべ得なかった。；ゲッベルスの日記によるとヒンデンブルクは眼に涙を浮かべていたという。；どこをどう突っついたら、そんな考えを浮かべることができるのだろう。；病人はまだ眼尻に涙のたまったままの顔で、唇に笑みを浮かべていた。；かれは唇にかすかな笑いを浮かべながら階段を下りていった。；ベルト・モリゾの表情の軽く笑みを浮かべているのが印象的である。；若者はそんな表情を浮かべたが、何もいわずに黙って聞いている。；生徒は目に涙を浮かべて助けを求めたが、ロムニーは髪を切り続けたという。；舟を浮かべて海や山へ行く交通路であり、釣りや狩りの場でもあった。；女は男に視線を戻すと、口元に笑みを浮かべて、興味ないよ、と答えた。；別々に旅を続ける二人は、それぞれ穏やかな表情を浮かべるのであった。；彼は遠い幼年時代の夢から現在までの全過去を、ふたたび眼の前に浮かべた。；吸盤を自分の背中につければ、自分の体を空中に浮かべることもできる。</t>
        </is>
      </c>
      <c r="J664">
        <f>HYPERLINK("https://www.weblio.jp/content/浮かべる", "词义详情")</f>
        <v/>
      </c>
      <c r="K664">
        <f>HYPERLINK("https://yourei.jp/浮かべる", "查看例句")</f>
        <v/>
      </c>
    </row>
    <row r="665">
      <c r="A665" t="inlineStr">
        <is>
          <t>受かる</t>
        </is>
      </c>
      <c r="B665" t="inlineStr">
        <is>
          <t>成功</t>
        </is>
      </c>
      <c r="C665" t="inlineStr">
        <is>
          <t>読み方：うかる
［動ラ五（四）］試験などに合格する。及第する。「検定試験に—・る」⇔落ちる。</t>
        </is>
      </c>
      <c r="D665" t="inlineStr">
        <is>
          <t>受かるかもしれ；受かるだろ</t>
        </is>
      </c>
      <c r="E665" t="inlineStr">
        <is>
          <t>通る；合格；パス；及第</t>
        </is>
      </c>
      <c r="H665" t="n">
        <v>29</v>
      </c>
      <c r="I665" t="inlineStr">
        <is>
          <t>調教師試験に受かる保証があるわけでもないし目指すなら今のうちかなと。；確かに芸高には受からなかったが、しかしチェロの試験は合格したのだ。；もし真和志塾に受かっていたらきっと朝薫と毎日議論をしていただろう。；受かって学帽を持って帰ったらそれを手に取って頭にかぶせてくれたよ。；私のほうが高校に受かったものだから、よけいに頭にきたのかもしれない。；受かるはずがないと自身は思っていたのに合格の電話をもらった。；大学に無事受かった直後の若者ほど世間をなめている人間はいないのだった。；どんなに自信があるからといって、試験に受かるとはきまっていないのだ。；受かっても落ちてもいないのに流れる涙を不思議に感じたと当時を振り返っている。；するとボストンなどいくつかの地区では短波の方が強く受かったのである。；たとえ高位で受かっても、お前がそこから這い上がるのはひどく厳しい。；ともかくここは徴兵検査に受からないような人のいるところじゃないんです。；家に帰ると、私が受かったかどうか父親から電話があったということだった。；・高校の受験番号を見間違えて、受かっているのに泣いて帰った事がある。；ただ大学へ受かれば母が喜ぶし、もう受験勉強をしなくて済むと思った。；父からは「一発で受かるようになるまで受けるな」と言われていた。；あっさりと試験に受かったわたしは、送られてきた書類を見て青くなった。；何人かは入ってくると、試験は受かったのかどうか私に尋ねた!；試験に受かってから、太郎はパチンコに関する本を三冊、買って読んだ。；お前は頭は悪いが、力が強いから、試験に受からねえとも限らない。；受かりすぎた胴の金を安全な張り方に分散しようとする方法だった。；機関員の息子が受かったとなれば、皆がシンとなるようなことだった。；そこに受かりさえすれば、賢一から何らかのたよりがありそうな気がした。；たぶんあの人の言うとおり、裕弥だけが受かって哲彦は落ちていたわ。；ところがどういうわけか私はそこの会社に受かってしまった。；だからもしあたしが大学に受かれば、一緒に東京にいけることになる。；なんといっても新生に受かればまた先生のレッスンを受けられるのだ。；学年で上位五番くらいに入っていなければ、第七は受からなかった。；「試験に受かったら、何かねだってもいいんだぞ」と彼は上機嫌で言った。</t>
        </is>
      </c>
      <c r="J665">
        <f>HYPERLINK("https://www.weblio.jp/content/受かる", "词义详情")</f>
        <v/>
      </c>
      <c r="K665">
        <f>HYPERLINK("https://yourei.jp/受かる", "查看例句")</f>
        <v/>
      </c>
    </row>
    <row r="666">
      <c r="A666" t="inlineStr">
        <is>
          <t>うきうき</t>
        </is>
      </c>
      <c r="B666" t="inlineStr">
        <is>
          <t>成功</t>
        </is>
      </c>
      <c r="C666" t="inlineStr">
        <is>
          <t>読み方：うきうき
［副］(スル)楽しさで心がはずむさま。うれしさのあまり落ち着いていられないさま。「—と遠足に出かける」「朝から—している」</t>
        </is>
      </c>
      <c r="D666" t="inlineStr">
        <is>
          <t>うきうきするよう(2%)；うきうきと弾ん；うきうきと楽し</t>
        </is>
      </c>
      <c r="F666" t="inlineStr">
        <is>
          <t>妙にうきうき；何となくうきうき；みんなうきうき；ひどくうきうき</t>
        </is>
      </c>
      <c r="H666" t="n">
        <v>29</v>
      </c>
      <c r="I666" t="inlineStr">
        <is>
          <t>満足な結果を手に入れた彼女は、うきうきとその場を後にしようとする。；彼は一日の始まりのこのうきうきした歌をたのしむことができなかった。；こんな何となくうきうきした部屋にはいつでも日がよくあたって居た。；女と会うのだから、ほんとうはうきうきとしていなければならないのだ。；新学期に入って一ヶ月ちょっと、残念ながらうきうきした記憶は皆無だ。；うきうきと玄関のドアを開けると、そこには若い女の子が立っていた。；この業界のうきうきした空気を、自然に演出しているのかもしれない。；彼はうきうきしているらしく、抑えきれない微笑が口もとに浮かんでいる。；そんな風にうきうきと街を行く人々の装いは、随分と厚着になっている。；こんなことは生まれてはじめてなので、ふたりはうきうきしていた。；わたし、竜太さんと一緒に住む日が近くなって、只うきうき喜んでいたの。；そのときのバートのように、ひとが興奮でうきうきするのを見たことがない。；いつになくうきうきしていたので、こんなこともできたのだった。；女子はチョコレートの包みを手にうきうきしているし、男子も緊張している。；こんなことは生まれてはじめてなので、二人はうきうきしていた。；ほかの三人とちがって、王子はうきうきしているように見えました。；元気でうきうきしている少年たちは、自分のやったのと同じことをやっていた。；「われわれは、彼を射止めたですよね」と、うきうきした調子でいった。；けれども、おかしなことに、一同はかなり心をうきうきさせていたのです。；それを持ってうきうきした気分で、安全な居心地のよい居間に戻った。；ルイスはほとんどのゲームで勝ったので、うきうきした気分で家に帰ってきた。；けれどもヘプジバーはけっしてこんなうきうきした夢は持っていなかった。；うきうき考えながら病院の玄関を入ると、前から魚住が歩いて来るのが見えた。；うきうきして、じっとしていられなくなってしまうような歌だ。；化粧がうまくいったので、すこしうきうきした気持ちになっていた。；心がうきうきして焼酎がいつもの倍ほども旨く感ぜられたくらいです。；帽子をかぶってもどってきたとき、彼女はうきうきしていた。；何だか子供が遊びを始めるときみたいに、うきうきしているんです。；しかし、今の心境は、あの時のうきうきした気分とはかけ離れていた。</t>
        </is>
      </c>
      <c r="J666">
        <f>HYPERLINK("https://www.weblio.jp/content/うきうき", "词义详情")</f>
        <v/>
      </c>
      <c r="K666">
        <f>HYPERLINK("https://yourei.jp/うきうき", "查看例句")</f>
        <v/>
      </c>
    </row>
    <row r="667">
      <c r="A667" t="inlineStr">
        <is>
          <t>浮く</t>
        </is>
      </c>
      <c r="B667" t="inlineStr">
        <is>
          <t>成功</t>
        </is>
      </c>
      <c r="C667" t="inlineStr">
        <is>
          <t>読み方：うく
［動カ五（四）］
１物が底や地面などから離れて水面や空中などに存在する。うかぶ。「からだが海面に—・く」⇔沈む。
２表面に現れ出る。「赤潮のため魚が大量に—・いた」「肌に脂が—・く」
３しっかり固定しない状態になる。落ち着かず、ぐらつく。「柱が—・いている」「歯が—・く」「おしろいが—・く」
４ある集団の中で仲間との接触が薄くなる。遊離する。「仲間から—・いた存在」
５気分が晴れやかになる。うきうきする。「—・かない顔で返事をする」
６模様などが下地から離れて上に出ているように見える。「牡丹(ぼたん)を—・かせた帯」
７時間・経費などが予定よりも少なくてすみ、余りが出る。「費用が—・く」
８心などがうわついている。
㋐確実さがなく、軽薄である。「—・いた考え」
㋑恋愛や情事に関係する。「—・いたうわさが絶えない」
９根拠がない。不確実である。
「何の—・きたる事にか侍らむ」〈源・少女〉
[可能]うける
［動カ下二］浮かべる。浮かばせる。
「こもりくの泊瀬(はつせ)の川に船—・けて」〈万・七九〉
[用法]うく・うかぶ——「川面(かわも)に浮く（浮かぶ）白鳥」のように相通じて用いられる。◇「浮く」は、浮力などが働いて底や地面から離れて上へ移動することに表現の重点があり、「浮かぶ」は、物が底や地面から離れて水面や空中に見えることに表現の重点がある。「宙に浮く」と「宙に浮かぶ」の表現しようとするものは同じではない。◇「浮く」は、「家の土台が浮く」「一人、社内で浮いている」のように、基盤・母体から離れる意にも用い、この場合「浮かぶ」を用いることはない。◇「浮かぶ」は、「名案が浮かぶ」「容疑者が浮かぶ」など、奥に潜んで見えなかったものが何かをきっかけとして表面に現れる意にも用い、この場合「浮く」では置き換えられない。</t>
        </is>
      </c>
      <c r="D667" t="inlineStr">
        <is>
          <t>浮くような台詞；浮くようなひびき；浮くような感覚</t>
        </is>
      </c>
      <c r="E667" t="inlineStr">
        <is>
          <t>浮かぶ；漂う；漂流；浮遊；浮ぶ</t>
        </is>
      </c>
      <c r="H667" t="n">
        <v>29</v>
      </c>
      <c r="I667" t="inlineStr">
        <is>
          <t>この下には水の流れがあり、島が池に浮いていることが確認されている。；ところが近づいてみると、彼はいつになく浮かない顔色をしているのだ。；ぼくはベッドに思念を集中し、それが宙に浮くところを頭の中に描いた。；やられたなと思ってまわりを見ると、何匹も水の中に浮いているんだ。；浮くというよりも、空中に場所を移したと言ったほうが適切かもしれない。；捕手はボールを基本的には下から見ているので急に浮いてきたりする。；縁にある円環状の構造があって、円環の中央に小さなものが浮いている。；空中に浮いた紫色の泥玉の下に虫がぶら下がったような外見をしている。；ワタルは彼女の服をつかんだまま、自分の両足が床から浮くのを感じた。；坊城が知らぬ間に一尺ばかりスキーが浮いたといって得意になっている。；拭くあとからすぐにふつふつと玉の汗が浮いて出るのが駿介にも見えた。；シャーロック・ホームズはその朝あきらめたような浮かぬ顔をしていた。；そう思うことが私にできなくなったとき、今度は私が宙に浮く番に違いない。；研修会の最終日の宴席でも、彼は一人浮かない顔をして酒を飲んでいた。；ほぼ人型の外観をしているが、足が無いため常に浮いているのが特徴。；宙に浮く美鎖のゴーストスクリプトはなんのコードも用意していない。；むこうの風船は、ちょうど君の目の高さぐらいのところに浮いているね。；雪ちゃんもついて来て入り口の柱へもたれて浮かぬ顔でボンヤリしている。；差し向かいでのんでいた友人も、ご同様と見えて、浮かぬ顔をしている。；七五三兵衛が広間で浮かぬ顔をしていたのは、そのことを案じたからだ。；会社の事務員をして二人の子供を女手で育てゝいるが、浮いた噂もない。；しかしブドウ酒の表面に浮くうすい膜のはいっていたのは一つだけだぜ。；けれどももしや船と船との間に、浮かみ上っているのではあるまいか。；宙に浮いていた教会土地財産の売却を一気に進めることもできるはずだった。；アトラクションに乗っても、食事をしても、彼女はずっと浮かない表情。；また、葉や茎に浮袋を形成して水面に浮くようになっているものもある。；水の深さがちょうど体が浮くほどだから、体を意識しなくなるわけだ。；ここのところ浮かない表情をしていたアルフィンだが、きょうは違った。；われながらよくもまあ、あんな歯の浮くような台詞が言えたものである。</t>
        </is>
      </c>
      <c r="J667">
        <f>HYPERLINK("https://www.weblio.jp/content/浮く", "词义详情")</f>
        <v/>
      </c>
      <c r="K667">
        <f>HYPERLINK("https://yourei.jp/浮く", "查看例句")</f>
        <v/>
      </c>
    </row>
    <row r="668">
      <c r="A668" t="inlineStr">
        <is>
          <t>請け合う</t>
        </is>
      </c>
      <c r="B668" t="inlineStr">
        <is>
          <t>成功</t>
        </is>
      </c>
      <c r="C668" t="inlineStr">
        <is>
          <t>読み方：うけあう
［動ワ五（ハ四）］
１責任をもって引き受ける。「翻訳を—・う」
２確実であると保証する。「品質を—・う」</t>
        </is>
      </c>
      <c r="D668" t="inlineStr">
        <is>
          <t>保証；断言；引き受ける；保証する；言い放つ</t>
        </is>
      </c>
      <c r="H668" t="n">
        <v>29</v>
      </c>
      <c r="I668" t="inlineStr">
        <is>
          <t>それが演奏される時には少しの欠点も見つからないものと請け合えます。；潰瘍になりかかってはいるが入院の必要はなく、薬で治ると請け合った。；わたしたち二人は互いに相手から解放されたと請け合ってくれたんだ!；ぼくたちは、それをできると凶悪ファミリーに請け合ってしまったのだ。；そんな警戒をせずとも最後まで手助けすると請け合ったであろうに。；島の者は、そうだ、ここの山のどこかには不老不死の薬があると請け合った。；そして普通なら感激することのほとんどない私も、これの成功は請け合うよ。；でも、あたしが帰ってから、だれも来ないか、それは請け合えないわ。；坂井は十日もしたら完成すると請け合って、もう一度工場を視察して帰った。；普通は天狗に攫われるのだと云っていましたが、嘘か本当か請け合われません。；「タバーマンの行動をよしとしてる者は誰もいないよ」ポルが請け合った。；しかし、請け合っておくが、きみの役割は純粋に技術的なものだ。；彼はあすじゅうにいっさい準備をととのえると請け合って帰っていった。；すると安野がその連中は、町には入らせないと請け合ってくれた。；きみには何も危害を加えないし、請け合うけど、本当のことを言えば有利になる。；あなた方のどなたかが父と会われてそれを請け合って下さればいい。；お前が結婚した女だと思っているその女は、おれが請け合うが、処女の若い娘なんだぜ。；レントゲン写真を見て、医師は骨に異常がないことを請け合った。；クリフォードのような性質はそんな負債を請け合うことはできない。；「英虞の国府にはあとで報告をする」 清貫は心配ないと請け合った。；真由のためらいが何を意味しているのかも深く考えず、気楽に請け合っていた。；しかし彼女に危害が及ぶようなことは決してありません、と請け合うことはできません。；皇帝の連れの女性が、人と出会う気づかいは何もないと皇帝に請け合っていたのだろうが。；しかし命は今晩にも請け合わぬと医者が云うから、家の者は泣くばかりで何もできない。；訪問者が予告無しに到着した時、リバーは準備ができていると請け合った。；最初に請け合った通りに、彼は何でも構わず話してくれた。；このぼくよりもはるかに気が狂っていると請け合うぜ。；「姿勢調整のことは心配しないで」ペギーはわたしに請け合った。；ひとり謙信だけは、請け合った以上、骨になるまで義理を通す人物である。</t>
        </is>
      </c>
      <c r="J668">
        <f>HYPERLINK("https://www.weblio.jp/content/請け合う", "词义详情")</f>
        <v/>
      </c>
      <c r="K668">
        <f>HYPERLINK("https://yourei.jp/請け合う", "查看例句")</f>
        <v/>
      </c>
    </row>
    <row r="669">
      <c r="A669" t="inlineStr">
        <is>
          <t>受け入れ</t>
        </is>
      </c>
      <c r="B669" t="inlineStr">
        <is>
          <t>成功</t>
        </is>
      </c>
      <c r="C669" t="inlineStr">
        <is>
          <t>読み方：うけいれ
１人や物を迎え入れたり、引き取ったりすること。「新入生の—態勢」
２承知すること。承諾。承認。「要請の—に難色を示す」</t>
        </is>
      </c>
      <c r="D669" t="inlineStr">
        <is>
          <t>受け入れられる(7%)；受け入れがたい；受け入れ先；受け入れざる；受け入れなけれ</t>
        </is>
      </c>
      <c r="E669" t="inlineStr">
        <is>
          <t>迎え；扱い；受け取り；待遇；出迎え</t>
        </is>
      </c>
      <c r="F669" t="inlineStr">
        <is>
          <t>快く受け入れ；受け入れられる素地；受け入れられる可能性；受け入れざるを得；受け入れられれ</t>
        </is>
      </c>
      <c r="G669" t="inlineStr">
        <is>
          <t>受け入れて；受け入れよ；受け入れ態勢；受け入れれ；受け入れろ</t>
        </is>
      </c>
      <c r="H669" t="n">
        <v>29</v>
      </c>
      <c r="I669" t="inlineStr">
        <is>
          <t>今後、受け入れた人々の社会統合をより成功させるためにも重要なこと。；町はキリスト教を公式の宗教として受け入れた最初の町の一つとなった。；しかし受け入れられなかったため、事業費問題の解決には至らなかった。；そのため、これらの説は現代の研究者たちには受け入れられていない。；大日本軌道側も電車化を受け入れたが、結局実現はみることはなかった。；全線開通前からCMやドラマ・映画等の撮影を積極的に受け入れている。；これは、錠前が特定の形状の鍵のみしか受け入れないことに例えられる。；この仕事は、一応すべての人の常識にうけ入れられる性質をもっている。；彼は欺瞞を受け入れない強さを持っていたから若者のヒーローだった。；このような考え方が当時の啓蒙主義的な気風のなかで広く受け入れられた。；ただし初期キリスト教に拡大する前、当初は大型彫刻を受け入れていた。；だからアメリカから見ると安心して受け入れられる民間の資金。；この陰謀論は広く受け入れられ、ドイツ国民は自身を被害者とみなした。；しかし王の要求は受け入れられず国王と議会が軍事的に対立することになった。；そのためプロレスを題材としたこの作品も世間に受け入れられやすかった。；わたしの耳は唯その言葉の切れ端しを鮮かにうけ入れたばかりであった。；ただし、歌手のキャラクターは広く受け入れられている部分もある。；イラク側もこれを受け入れ、1998年頃までは大きな混乱はなかった。；また、ある国で受け入れられた作品が他国でも人気になるとは限らなかった。；ローマ教皇インノケンティウス13世はこの宣言の受け入れを拒否した。；とくにオランダではシューマンの作品が受け入れられ、高い評価を得た。；彼らの説は完全に受け入れられたわけではなく、この問題は今も議論が続いている。；もしそんなことを受け入れたら、それはもはやブラックメタルではないよ。；ヴォーン・ウィリアムズは彼からの提案をほとんど受け入れていた。；もっともこれは自然選択説がすぐに受け入れられたからではない。；これがかえってギリシアやローマに受け入れられていく素地となっていった。；リタもまた少しずつではあるが運命をうけ入れていくしかなかった。；彼らの語る騎士道や愛は詩の内容として、盛んに受け入れられていく。；ただしこの説は広く受け入れられるには至っていない。</t>
        </is>
      </c>
      <c r="J669">
        <f>HYPERLINK("https://www.weblio.jp/content/受け入れ", "词义详情")</f>
        <v/>
      </c>
      <c r="K669">
        <f>HYPERLINK("https://yourei.jp/受け入れ", "查看例句")</f>
        <v/>
      </c>
    </row>
    <row r="670">
      <c r="A670" t="inlineStr">
        <is>
          <t>受け入れる</t>
        </is>
      </c>
      <c r="B670" t="inlineStr">
        <is>
          <t>成功</t>
        </is>
      </c>
      <c r="C670" t="inlineStr">
        <is>
          <t>読み方：うけいれる
［動ラ下一］［文］うけい・る［ラ下二］
１受けて入れる。「水を器に—・れる」
２人や物を迎え入れたり、引き取ったりする。「留学生を—・れる」「海外の文化を—・れる」
３人の意見や要求などを認める。「主張を—・れる」</t>
        </is>
      </c>
      <c r="D670" t="inlineStr">
        <is>
          <t>受け入れるべき；受け入れるよう説得；受け入れるよう促し；受け入れるよう求め</t>
        </is>
      </c>
      <c r="E670" t="inlineStr">
        <is>
          <t>利用；受ける；取る；入れる；承認</t>
        </is>
      </c>
      <c r="F670" t="inlineStr">
        <is>
          <t>受け入れるしかない；黙って受け入れる；喜んで受け入れる；快く受け入れる</t>
        </is>
      </c>
      <c r="H670" t="n">
        <v>29</v>
      </c>
      <c r="I670" t="inlineStr">
        <is>
          <t>議会は最終的にその解決を受け入れる前に、会議の合法性を問題にした。；現在は外貨獲得のためか団体旅行客を一部受け入れるようになっている。；受け取った者には、法的に問題のないことを知って受け入れるものもいた。；本センターは広く在日韓国・朝鮮人からの相談等を受け入れるとしている。；Jリーグを引退した選手を受け入れるなどスポーツ事業の展開も始めている。；舞台はヨーロッパ最大であり450人程度を受け入れることができる。；特にいわゆる船井系を受け入れる人たちにはそのような傾向が強いと思える。；この愛とは、神がそのように創造した世界を受け入れることと言ってもよい。；訓練生を受け入れる負担が大きいことは、厚生労働省版でも同様である。；客は提供された妻の容姿や年齢にかかわらず、受け入れることが求められた。；海外姉妹校の生徒を受け入れる際は、普通科のクラスに受け入れている。；しかし結局の所はBCF理論は学会の受け入れる所にはならなかった。；その後もヨーロッパの留学生を受け入れるなど、国際化を推進している。；また、各小中学校には障害者を少数だが、受け入れる教室を持っている。；しばらくの間、彼は現実を受け入れることができなかったという。；彼は不条理を受け入れることが生き続ける唯一の方法としている。；住民は数年家から離れて、別の家を与えてもらうことを受け入れることになる。；これは消滅した別のプロリーグであるWHAの選手を受け入れるためである。；トランスジェンダーの学生を2020年度より受け入れることになった。；人々は抗う術を知らず、その災いを受け入れるしかない状態であった。；私たちが二線級の劣った扱いを受け入れることを望んでいた。；彼らは新しい思想と社会の変化を受け入れる傾向がある。；ゲンは死を受け入れることができず、友子にミルクを飲ませようとする。；一度境内に入ってしまえば、外の事情は一切考慮しない、誰でも受け入れる。；話を聞いた大殿は、その申し出を異様な笑みを浮かべつつ受け入れる。；EPAを活用して、外国人労働力を受け入れる初めての事例となる。；時とともにフォカスを受け入れる人々も現れてきていたようである。；アールモシュは兄の支配を受け入れることで自身の公国を保持した。；それによって観客も彼らの服装や持ち物を受け入れるようになった。</t>
        </is>
      </c>
      <c r="J670">
        <f>HYPERLINK("https://www.weblio.jp/content/受け入れる", "词义详情")</f>
        <v/>
      </c>
      <c r="K670">
        <f>HYPERLINK("https://yourei.jp/受け入れる", "查看例句")</f>
        <v/>
      </c>
    </row>
    <row r="671">
      <c r="A671" t="inlineStr">
        <is>
          <t>請け負う</t>
        </is>
      </c>
      <c r="B671" t="inlineStr">
        <is>
          <t>成功</t>
        </is>
      </c>
      <c r="C671" t="inlineStr">
        <is>
          <t>読み方：うけおう
［動ワ五（ハ四）］
１日限・報酬を取り決めた上で仕事を引き受ける。「建築工事を—・う」
２責任を持って引き受ける。「対外折衝はいっさい私が—・う」</t>
        </is>
      </c>
      <c r="D671" t="inlineStr">
        <is>
          <t>請け負う情報通信建設会社</t>
        </is>
      </c>
      <c r="E671" t="inlineStr">
        <is>
          <t>担当する；担う；負う；引き受ける；誓う</t>
        </is>
      </c>
      <c r="H671" t="n">
        <v>29</v>
      </c>
      <c r="I671" t="inlineStr">
        <is>
          <t>私たちの仕事は、会社が請け負った現場へ行けと指示されるだけである。；神様みたいな存在だから、彼に請け負ってもらって本当に感謝している。；輸送だけでなく他社が所有する機体の運航や整備を請け負う会社もある。；教会使用人は、教会の周りやその周辺のエリアの様々な仕事を請け負う。；俺は実験からは手を引いたが、代わりに臨床の雑用を一手に請け負った。；軍が自前の兵站組織を持たなかった時代には軍の兵站を請け負っていた。；オリジナルボタンの製作や好みのボタンへの付け替えを請け負う店もある。；金で殺しを請け負う人間の一人や二人は知っているはずだった。；しかしどうせ、傷の手当ては闇医者か組織の仲間が請け負っているのだ。；本田宗一郎も伊藤が下請けを請け負わないのを見て見ぬふりをしていた。；国際プロは1968年の中継開始以降、TBSが中継を請け負っていた。；しかし今回の仕事を請け負ってから、彼はそのような連絡を一切受けていない。；夏の間は、アメリカに来たばかりの零と蕾の英語の家庭教師を請け負う。；銀を取り戻すため、オレイユの仕事を請け負った黒はロシアへと向かう。；明治二十八年に横浜二号ドックで潮留工事を請け負ったときのことだ。；このように村全体で年貢を請け負うことから村請制度と呼ばれていた。；その処分を請け負った業者に、どんなものがあったか問い合わせてみたのだ。；ここの紹介で請け負った仕事だったので、作業完了したことを報告し鍵を返す。；どの取調官も胸を叩いて明朝までには連絡すると請け負ってくれた。；死んでゆくのは、しょせん将来、請け負った仕事で失敗をやらかす奴だ。；建築業者としては映画館や、東京吉本系の寄席の建築などを請け負った。；そして小国の防御戦争を請け負ったりして組織の維持を図っていたと思われる。；その後は軍用のマスケット銃の製造を政府から請け負うようになった。；御用達は、格式ある家や組織の利用を請け負う行為及びその業者を指す語。；ただし輸出を請け負っているのはトカラ海域を本拠とする七島衆である。；母は王宮関連の仕事を請け負うことに異様な情熱を燃やしていたのだという。；いえね、部屋代の徴収はうちで請け負ってますから、催促はしたんです。；また、雑誌の編集役も請け負って小松崎茂や坂井三郎らとも交流している。；平時は主に高知漁業組合の仕事を請け負ったが、救難活動にも従事した。</t>
        </is>
      </c>
      <c r="J671">
        <f>HYPERLINK("https://www.weblio.jp/content/請け負う", "词义详情")</f>
        <v/>
      </c>
      <c r="K671">
        <f>HYPERLINK("https://yourei.jp/請け負う", "查看例句")</f>
        <v/>
      </c>
    </row>
    <row r="672">
      <c r="A672" t="inlineStr">
        <is>
          <t>承る</t>
        </is>
      </c>
      <c r="B672" t="inlineStr">
        <is>
          <t>成功</t>
        </is>
      </c>
      <c r="C672" t="inlineStr">
        <is>
          <t>読み方：うけたまわる
［動ラ五（四）］《上位者から命令などを「受け」「いただく」の意の「受け賜る」から》
１「受ける」の謙譲語。謹んで受ける。お受けする。「大役を—・る」
２「聞く」の謙譲語。謹んで聞く。拝聴する。「ありがたいお話を—・りました」
３「伝え聞く」の謙譲語。「—・るところによりますと」
４引き受ける意の謙譲語。謹んでお引き受けする。「御用命—・る」</t>
        </is>
      </c>
      <c r="D672" t="inlineStr">
        <is>
          <t>聞く；受け入れる；聴く；引き受ける；承認する</t>
        </is>
      </c>
      <c r="H672" t="n">
        <v>29</v>
      </c>
      <c r="I672" t="inlineStr">
        <is>
          <t>その一部は上記の承平5年と元久2年の伝承を指していると考えられる。；ただ 承りまするだけで、それがしかし何より私には結構でございます。；奴隷は早くも王子の手の間に駈けつけて、御用を承ろうとしています。；永平寺では承陽殿入口の扉を常に少し開けておくことが慣例となっている。；だんだんお話を承って居りますうちに、私もすっかり頭が下りましてな。；如水承ると云って、左馬介を殺さずして、長男の新六郎を殺してしまった。；ベエコンもいまは女王と伯爵の間の仲介役を承ることとなったわけである。；成人すると張承から、何時しか自分と同じ職に就くだろうと評価された。；かえって仏の責めを受けるようなことだと殿から承って驚きました。；それでもわたしは、いつも思いの外に多くのことを洩れ承ったのである。；作品はアートギャラリーで展示されているほかに、製作依頼も承っている。；嘘か真実かは解りませんが、此の事は私が彼の土地へ参ったとき承りました。；田舎暮しで何にも分らず、十五日のことは突然ラジオで承った次第でした。；承喜は音楽にも造詣が深く、特にリズム感覚が非常に敏感で優れていた。；事務員が用を承っていた相手の男も、やっぱりリビエラへ行くのであった。；光盛は承安2年の生まれなので、両者の婚姻は承安元年以前と見られる。；いま霊国と承りましたが、霊国は宣伝使の集まる楽園ではございませぬか。；計らず殿を承った米友は、街道の左右を見て広い田場所だなあと思いました。；あなたのお声もほのかに承ることができましたからもういいのです。；現在の建物は承元4年の再建で、興福寺に現存する中で最も古い建物である。；今日は、皆で博士の話を承ろうというので、集まってきたんです。；義経が宋へ去った隙に、モンゴル軍は承暉に攻撃され窮地に陥っていた。；米友は今、名も知れぬ一行の殿を承って、茫然として進み行くばかりです。；承安元年には娘を後任の太政大臣で後に関白になる松殿基房に嫁がせる。；死後、承和元年には、子・常嗣が父に続いて遣唐大使に任命されている。；兄の張承は既に功績を立て別に爵位を得ていたので、張休が爵位を継承した。；その後御具合がお悪いと承りましたが、どんな事で御座りますか?；一般に承平・天慶の両元号の期間に発生した事からこのように呼称されている。；私は三十年の間、陛下の御前に伺候して、ご命令を承りつけております。</t>
        </is>
      </c>
      <c r="J672">
        <f>HYPERLINK("https://www.weblio.jp/content/承る", "词义详情")</f>
        <v/>
      </c>
      <c r="K672">
        <f>HYPERLINK("https://yourei.jp/承る", "查看例句")</f>
        <v/>
      </c>
    </row>
    <row r="673">
      <c r="A673" t="inlineStr">
        <is>
          <t>受け継ぐ</t>
        </is>
      </c>
      <c r="B673" t="inlineStr">
        <is>
          <t>成功</t>
        </is>
      </c>
      <c r="C673" t="inlineStr">
        <is>
          <t>読み方：うけつぐ
［動ガ五（四）］前の人が残した仕事などを引き受けて行う。また、ある人の性質や意志などを引き継ぐ。継承する。「伝統工芸を—・ぐ」「母親の気性を—・ぐ」</t>
        </is>
      </c>
      <c r="D673" t="inlineStr">
        <is>
          <t>受け継ぐべき；受け継ぐべく；受け継ぐ可能性</t>
        </is>
      </c>
      <c r="E673" t="inlineStr">
        <is>
          <t>継承；相続；継ぐ；襲う；世襲</t>
        </is>
      </c>
      <c r="F673" t="inlineStr">
        <is>
          <t>代々受け継ぐ；色濃く受け継ぐ</t>
        </is>
      </c>
      <c r="H673" t="n">
        <v>29</v>
      </c>
      <c r="I673" t="inlineStr">
        <is>
          <t>両者は遥か昔から対立しており、その戦いは現代まで受け継がれてきた。；なれなければ、本物の伯爵の不思議な力を受け継ぐ敵に勝てないからだ。；それを受け継ぐ形で1996年4月から開始されたのがこの番組である。；子供もいなかったし、わたしが彼の全財産を受け継ぐことになるわけよね。；しかし、花山は父の血を受け継いだのか、性格に異常なところがあった。；西戎の国では父親が死ぬと、生母以外の妻は息子が受け継ぐと申します。；この設計は一式中戦車など後に開発された戦車にも受け継がれている。；数年前に父が叔父から受け継ぎ、何も知らないまま社長室に飾っていた。；子は父親の方からも母親の方からも、均等に半分ずつ遺伝子を受け継ぐ。；親の思いを子が受け継いで末永く事業が続くことを願っての遺書だった。；これらの有利さをたのしむためにわたしはそれを受け継ぐ覚悟をした。；それを後に受け継いでいかなきゃいけないっていうのはあると思うんで。；これは及川平治の学習過程論を受け継ぎそれを定式化したものであった。；地球上に生物が誕生したときから、生殖細胞は連綿と受け継がれている。；この構成ではいくつものよい性質をもとの半ノルム空間から受け継ぐ。；その才能を確実に受け継いだ息子もそれにちなみブルヒータと呼ばれる。；彼らの音楽のスタイルは地元の様々なバンドに受け継がれている。；これらは移民初期に地球人がもっていた未来技術を受け継いだものである。；このような父の性格はヴェルヌ作品の登場人物にも受け継がれることになる。；また、作品中で主人公たちは師匠から修行を受け様々な技を学び受け継ぐ。；後の作品に受け継がれていない独自のシステムが多いのが特徴。；センウセルト1世は父王の政策を受け継いで国内の基盤整備に尽力した。；ヴァイオリンの新しい旋律に受け継がれてから、経過的な展開部に入る。；確かに、その瓶詰めの夢を受け継ぐ者は、ついに現れることはなかった。；現在はCNRの所有から離れ、いくつものオーナーに受け継がれている。；問題は、そのうちのどの部分を受け継ぐかは運任せである、という点だ。；元で科挙が開始された時も進士科のみで、明・清もそれを受け継いだ。；必ず1体ずつでしか攻めて来ないが、情報の受け継ぎや共有があるとされる。；これらの変更点はすべて以降のシリーズにも受け継がれている。</t>
        </is>
      </c>
      <c r="J673">
        <f>HYPERLINK("https://www.weblio.jp/content/受け継ぐ", "词义详情")</f>
        <v/>
      </c>
      <c r="K673">
        <f>HYPERLINK("https://yourei.jp/受け継ぐ", "查看例句")</f>
        <v/>
      </c>
    </row>
    <row r="674">
      <c r="A674" t="inlineStr">
        <is>
          <t>受付</t>
        </is>
      </c>
      <c r="B674" t="inlineStr">
        <is>
          <t>成功</t>
        </is>
      </c>
      <c r="C674" t="inlineStr">
        <is>
          <t>読み方：うけつけ
［名］(スル)
１申し込み・文書などを受け取ること。「願書の—」「—した順に呼ぶ」
２（受付）来訪者・参集者の用件などを聞いて、取次をする所。また、その係。「病院の—」</t>
        </is>
      </c>
      <c r="D674" t="inlineStr">
        <is>
          <t>受付係(3%)；受付窓口；受付カウンター；受付開始；受付時間</t>
        </is>
      </c>
      <c r="E674" t="inlineStr">
        <is>
          <t>認め；許可；承認；同意；賛成</t>
        </is>
      </c>
      <c r="F674" t="inlineStr">
        <is>
          <t>予約受付；申込受付；電話受付；応募受付；総合受付</t>
        </is>
      </c>
      <c r="G674" t="inlineStr">
        <is>
          <t>受付嬢；受付期間；受付ける；受付けよ；受付システム</t>
        </is>
      </c>
      <c r="H674" t="n">
        <v>29</v>
      </c>
      <c r="I674" t="inlineStr">
        <is>
          <t>一般開放もしており、受付時間内であれば誰でも利用することができる。；また、会員制度移行の申込を受付していたが、ポイントは移行できない。；のちに、仕事で訪ねた百貨店の受付を担当する女性と知り合い結婚した。；混雑期には開園してすぐに満席となり予約受付が終了する場合もあった。；ちなみに、上記の事情から本棟には演芸場の受付を設けていなかった。；事前に登録された沿岸船舶向けに、24時間受付・伝送が行われている。；夕方になり「僕」はとなりの歯医者の受付の女の子と駅まで一緒に帰る。；姿勢を安定させるため、会社の受付係の女性社員が背後から彼を支えていた。；応募受付時間も同様に番組スタートから終了後15分までの間だった。；以下の店舗にデジタル・フォトエキスプレス受付の機械が設置されている。；男性と女性で受付電話番号が違い、どちらも先着1名が電話で参加する。；願書受付は本人が直接提出することを原則とし、郵便では受け付けない。；そのため受付機関の相互の関係やそれらの機関が負うべき義務などが明確でない。；旧館時代には無料駐車場があり、車の鍵を受付に預けることで利用できた。；また、外部の人でも総合受付でミールチケットを購入する事で食べられる。；受付係の連絡は911のスタッフが午前10時38分に受け取っている。；受付で所持金を専用のメダルに換金したうえでミニゲームに挑戦できる。；基本的には 3on3 のチームの3人と受付の男の4人で話が展開する。；しかし病院には、勇と千晶の他には受付にも病室にも人の気配は無かった。；同制度は一時受付終了となったが、2009年から再開されている。；その際に姓が必要となり家族がいないことから「ソロ」の名を受付係に付けられた。；それまでのシリーズで1階にあった受付が交通課の入口前に移動している。；業務終了の午後10時まで回復せず、翌日から通常通り受付業務が再開された。；しかし攘夷思考の強い五卿は諸隊を支持しており受付なかった。；遠隔地在住や用事で訪問不可能な場合には祈祷受付を郵送で行っている。；また、役員席に座らず、受付やホールの出入り口での警備を買って出る。；なお、受付を終了する時期は改めてホームページ等で通知するとしている。；対象施設ではエントリー受付を行い、抽選に当選した場合のみ利用できる。；いつもなら、彼女がドアの鍵を開け、受付の準備を済ませている時間だった。</t>
        </is>
      </c>
      <c r="J674">
        <f>HYPERLINK("https://www.weblio.jp/content/受付", "词义详情")</f>
        <v/>
      </c>
      <c r="K674">
        <f>HYPERLINK("https://yourei.jp/受付", "查看例句")</f>
        <v/>
      </c>
    </row>
    <row r="675">
      <c r="A675" t="inlineStr">
        <is>
          <t>受付係</t>
        </is>
      </c>
      <c r="B675" t="inlineStr">
        <is>
          <t>成功</t>
        </is>
      </c>
      <c r="D675" t="inlineStr">
        <is>
          <t>窓口；受付；受け付け；受付け；接待係</t>
        </is>
      </c>
      <c r="H675" t="n">
        <v>29</v>
      </c>
      <c r="I675" t="inlineStr">
        <is>
          <t>ホールを横切っていくと、ダナ人の受付係がこちらに気づいて挨拶した。；これはうちの受付係や、周辺にいたスタッフからも確認したから間違いはない。；姿勢を安定させるため、会社の受付係の女性社員が背後から彼を支えていた。；松前がそこからロビイに入ると、夜間受付係の警官から呼びとめられた。；受付係の連絡は911のスタッフが午前10時38分に受け取っている。；その際に姓が必要となり家族がいないことから「ソロ」の名を受付係に付けられた。；名乗り出たのは、編集室の受付係も兼ねる、編集総務の女子社員だった。；社長の受付係はもちろん彼女を呼びとめたりしないし、彼女が来たことを告げた様子もない。；このまえ来た時には黒い髪のハンサムな受付係が座っていた席は今はからっぽだった。；あるいはどちらの受付係も新しく入ったばかりで、弁護士の名前をよく知らなかったとか。；そしてまた、あの受付係はじつにおしゃべりが好きそうな男性なのだ。；姿勢を安定させるため、会社の受付係の女性が背後からザプルーダーを支えていた。；「お連れ様は八時ごろ、おひとりでお出かけになりました」と受付係は答えた。；受付係に代わって別の女子社員が出てきた。；自然と、昨日、差し入れの受付係のところで出会った二人の女性が目に浮んだ。；退屈そうにしている受付係の前を通って中に入ると、本当に変なものばかりが陳列されていた。；PAT機器は、一つの公的な電話番号を持つ会社における受付係と似ている。；夜間受付係は編物から顔を上げず、宿帳に記入しろとも言わなかった。；受付係の女が相手の名前を告げたらしい。；人間の受付係に取って代わる電話応答システムは、そのような代替の一例です。；受付係の書生は近ごろきたばかりで、すこしうすのろなところもあるのです。；どう言ったらいいものかと戸惑いながら、メイは受付係に言った。；市民協会の受付係の二人が最初の犠牲者となった。；一部の町や城にいる出退勤受付係に会話すると、バーストタイムが適用される。；ここでは富永夫人が受付係と看護婦代理の仕事を同時に請け負っているのである。；すでに入口で受付係に招待状を渡してしまっている。；彼女はその2曲をリリースする際、受付係としても働いていた。；きみだって旦那と別れた後、子供をかかえて病院の受付係じゃ生活が苦しいだろう。；患者はホテルで受付係として働き、仕事中に中国人の感染者と接触したとみられる。</t>
        </is>
      </c>
      <c r="J675">
        <f>HYPERLINK("https://www.weblio.jp/content/受付係", "词义详情")</f>
        <v/>
      </c>
      <c r="K675">
        <f>HYPERLINK("https://yourei.jp/受付係", "查看例句")</f>
        <v/>
      </c>
    </row>
    <row r="676">
      <c r="A676" t="inlineStr">
        <is>
          <t>受け付ける</t>
        </is>
      </c>
      <c r="B676" t="inlineStr">
        <is>
          <t>成功</t>
        </is>
      </c>
      <c r="C676" t="inlineStr">
        <is>
          <t>読み方：うけつける
［動カ下一］［文］うけつ・く［カ下二］
１申し込みや依頼などに応じて処理をする。「申請を—・ける」
２相手の言い分や願いなどを聞き入れる。「友人の忠告を—・けない」
３ある動作・作用に対応して受け入れる。「胃が食物を—・けない」</t>
        </is>
      </c>
      <c r="D676" t="inlineStr">
        <is>
          <t>認める；受け取る；受け入れる；受容；受け容れる</t>
        </is>
      </c>
      <c r="H676" t="n">
        <v>29</v>
      </c>
      <c r="I676" t="inlineStr">
        <is>
          <t>このような心をもつ限り、いかなる教えも自心は受け付けることはない。；過剰予約とは、用意できる最大数を超えて予約を受け付けることである。；多くのアルゴリズムは任意長の入力を受け付けるよう設計されている。；階段を降りた所に玄関があり、右手に弔問客を受け付ける詰め所があった。；ああいう人間がああいう状態にある時には、何を言ったって受け付けるはずがない。；あたしの説を聞く前に何か質問があれば受け付けるわよ。；制作が事前に他劇団の制作と連絡を取り、時間を区切って受け付ける。；その中でも一番集中しているのは誰がどうみても質問を受け付ける側であるはずのフォロンだった。；直系の男の子孫が絶えた場合には傍系子孫の入会を受け付ける規定もある。；近年のインターネット普及に伴い、ネット上で注文を受け付ける業者も多い。；図書館の財源は議会から支給され、個人からの寄付や贈与も受け付ける。；これはつまり、何か処理をしている最中に他からも要求を受け付けるということである。；インターネットと電話でのみ契約を受け付けるのが特徴。；そして最後に、その相談を受け付けるか否かの返事をする。；沖縄地区での予約はエアードルフィンで受け付けることとなっていた。；誰かが言葉をかけているらしいが、いまの山代にはそれを受け付ける気持はなかった。；ソケットは、コネクションを受け付ける前にバインドされる必要がある。；つくばでは9時から21時、大阪では24時間体制で電話を受け付ける。；あんな妙な客を受け付けるからいかんのだ!；番組最後の投稿コーナーは番組公式のTwitterで受け付ける。；台湾内外からの華人の投稿を受け付けるが、文字は繁体字に限っている。；事実上誰のコメントも受け付けるが、それらコメントをどう扱うかは内容による。；しかし、記者からの質問を受け付けることなく会見は打ち切られた。；加入者のうち希望する者に対して購読を受け付ける他、書店でも販売している。；学校やグループなどから解説ツアーの申し込みを受け付ける。；曲が流れている間に次の曲のリクエストを受け付けるため、リスナーにも音楽知識とスピードが要求された。；追加で受注を受け付けることになり、商品が2022年1月に発送された。；また、学校入学希望者には、体験入学を受け付けるなどしている。；すぐ隣で戦略の指示を与えようなどと思ったところで、コントロールを受け付けるはずがない。</t>
        </is>
      </c>
      <c r="J676">
        <f>HYPERLINK("https://www.weblio.jp/content/受け付ける", "词义详情")</f>
        <v/>
      </c>
      <c r="K676">
        <f>HYPERLINK("https://yourei.jp/受け付ける", "查看例句")</f>
        <v/>
      </c>
    </row>
    <row r="677">
      <c r="A677" t="inlineStr">
        <is>
          <t>受け止める</t>
        </is>
      </c>
      <c r="B677" t="inlineStr">
        <is>
          <t>成功</t>
        </is>
      </c>
      <c r="C677" t="inlineStr">
        <is>
          <t>読み方：うけとめる
［動マ下一］［文］うけと・む［マ下二］
１自分の方に向かってくるものを支えて、その進行や攻撃を止める。「ボールを—・める」
２事柄の意味をしっかりと理解する。自分の問題として認識する。「忠告を謙虚に—・める」</t>
        </is>
      </c>
      <c r="D677" t="inlineStr">
        <is>
          <t>受け止めるべき(2%)；受け止めるしかない；受け止めるべく</t>
        </is>
      </c>
      <c r="E677" t="inlineStr">
        <is>
          <t>受ける；封鎖；凍結；捕らえる；受けとめる</t>
        </is>
      </c>
      <c r="F677" t="inlineStr">
        <is>
          <t>重く受け止める；しっかりと受け止める；そのまま受け止める；柔らかく受け止める</t>
        </is>
      </c>
      <c r="H677" t="n">
        <v>29</v>
      </c>
      <c r="I677" t="inlineStr">
        <is>
          <t>鈴木はこの実際を正面から受け止め理論を構成しようとしたのである。；それをあんまり重大に受け止めるのは間違いの入り口なのかもしれない。；私はこの選出を謙虚に受け止め、それに伴う責任の重さを認識している。；この形式の有利な点はエンジンが衝撃を受け止めてくれることである。；これは近い内の南北統一を断念したものと多くの人から受け止められた。；単なる自殺より決闘の方が名誉ある行為と受け止められるはずであった。；このため当時は今井の証言が有力なものであるとは受け止められなかった。；近づくとたちまち鮮明になり、白い服装の女性が私の視線を受け止める。；歴史上、彼は多くの反権威主義的な業績を残したと受け止められている。；ガス・クッション方式の椅子が大きく沈み込んで彼の身体を受け止める。；雪のように斜面となっているタイプや平面で受け止めるタイプがある。；カリグラはまるで島全土が自分に服従したかのようにこれを受け止めた。；剣は受け流すものだが、楯は受け止めることを第一に考えたほうがいい。；普通なら人生がひっくり返りそうな出来事も、受け止めることができた。；攫者は常に打者の後に立ちて投者の投げたる球を受け止めるを務めとす。；そうしたこともあって、彼の釈明は額面通りには受け止められていない。；シリーズが進むにつれて相手を受け止めるその度量が大きくなっている。；立ち上がって自分を見下ろす戦士の怒りの視線を真っ向から受け止める。；二人の女性は銃声を聞いたが、それほど深刻に受け止めていなかった。；ドゥームはキャラクターを描く人間からも好意的に受け止められている。；上流から流れてきた少女と犬二頭を受け止めるなど、たやすいことである。；余りにも残酷な運命を受け止められなかったレナは映画館を飛び出した。；その一方で外部の調査機関の判断があれば結果は真摯に受け止めるとも述べた。；そのこと以上に重いものを受け止める余裕など、町の者には既にない。；とはいえ調査は受けたことは重く受け止め今後は誤解のないようにしたい。；少年は、空に向かって大きく手を伸ばし、身体全体で光を受け止める。；しかし多くの宇宙論研究者はこの説明には説得力がないと受け止めている。；だけど俺はそれを受け止めることなく、見事なまでにスルーしてしまった。；この出来事はアメリカ国民の間で衝撃を持って受け止められた。</t>
        </is>
      </c>
      <c r="J677">
        <f>HYPERLINK("https://www.weblio.jp/content/受け止める", "词义详情")</f>
        <v/>
      </c>
      <c r="K677">
        <f>HYPERLINK("https://yourei.jp/受け止める", "查看例句")</f>
        <v/>
      </c>
    </row>
    <row r="678">
      <c r="A678" t="inlineStr">
        <is>
          <t>受け取り</t>
        </is>
      </c>
      <c r="B678" t="inlineStr">
        <is>
          <t>成功</t>
        </is>
      </c>
      <c r="C678" t="inlineStr">
        <is>
          <t>読み方：うけとり
１受け取ること。「荷物の—に行く」
２（受取）金銭・品物などを受け取った証拠として相手に渡す書き付け。受取証。領収証。「家賃の—を書く」
３引き受けた仕事。与えられた仕事。
「それくれえな—ぐれえ、何でもなえじゃなえか」〈木山捷平・うけとり〉
４物事を自分の考えで、こうこうだと認めること。理解。のみこみ。
「他人の記した帳簿を見ても甚だ—が悪い」〈福沢・福翁自伝〉</t>
        </is>
      </c>
      <c r="D678" t="inlineStr">
        <is>
          <t>受け取りまし(3%)；受け取りたい；受け取り役；受け取り拒否；受け取りやすい</t>
        </is>
      </c>
      <c r="E678" t="inlineStr">
        <is>
          <t>受け入れ；引き受け；受容；受領；受諾</t>
        </is>
      </c>
      <c r="F678" t="inlineStr">
        <is>
          <t>受け取り難い；受け取りサービス</t>
        </is>
      </c>
      <c r="G678" t="inlineStr">
        <is>
          <t>受け取り分</t>
        </is>
      </c>
      <c r="H678" t="n">
        <v>29</v>
      </c>
      <c r="I678" t="inlineStr">
        <is>
          <t>けれどもあの時には人々の心にそれは特殊なものとしてうけ取られていた。；私たちはこの相違を絵画と線画における空間解釈の違いと受け取りたい。；当初、実際に受け取りを決意したロラの中には非難された者もあった。；手塚は受け取りこそしなかったが、二人の行為に大いに勇気づけられた。；パレスチナはこれも、事前の連絡が無かったとして受け取りを拒否した。；この舟宿におえんが単身で金をうけ取りにくるよう伊之助は言ったのだ。；一般的に受け取り側に対して恨みや不満を持っている人物が送ることが多い。；差別につながると言われても、『そういう受け取り方があるんだな』と。；店舗受け取り限定でオリジナルのデコレーションケーキを作っている。；レイラはそれを受け取りながらも、必ず帰ってきて欲しいと答えた。；するとヘカテーが供物を受け取りに現れるので、薪の山から戻って来る。；書類を受け取りに行った先でヨランダに銃で撃たれ出血多量により死亡。；彼は受け取りはしたが、生涯身につける事はなかったという。；ヘプバーンはそれを困ったように受け取り、最初の台本の方がいいと言った。；所有する土地に対する補償交渉に一切応じず補償金の受け取りも拒否した。；瀬左衛門も武士の魂の刀であればとこれを受け取り、二人は結婚する事になった。；このように、城受け取りを円滑に進めるための下準備が速やかに行われた。；このため、事前に電話で注文をしておき、指定の時間に受け取りにいく人も少なくない。；今、貴殿からの書を受け取り、この思いを隠しておく事も無くなった。；また万人は己のものを受け取り、己のものを奪われない。；ある日、潔瑜からの手紙を受け取り、子どもができたことを知る英雄。；しかし入学の日、学長に入学状の受け取りを拒否されてしまい愕然。；巻十二の「泊瀬六代」では頼朝に直接六代助命の許し文を受け取りにいく。；そこへ主君若狭之助が現れ口上を受け取り、力弥は役目を終えて帰った。；その後彼は契約を結び、一家のために料理を行って報酬を受け取り、学校に通った。；テンジは手を受け取り、いつもの笑い声を上げて山へ帰って行った。；基本的に、消化できるレベルになってから各クエストを受け取り可能になる。；その為、地域や意味の受け取り方・考え方などにより、歌の意味に違いが見られる。；そんな高木からの手紙を受け取り、実は最後に魔法を使ったのは高木だと記されていた。</t>
        </is>
      </c>
      <c r="J678">
        <f>HYPERLINK("https://www.weblio.jp/content/受け取り", "词义详情")</f>
        <v/>
      </c>
      <c r="K678">
        <f>HYPERLINK("https://yourei.jp/受け取り", "查看例句")</f>
        <v/>
      </c>
    </row>
    <row r="679">
      <c r="A679" t="inlineStr">
        <is>
          <t>受け取る</t>
        </is>
      </c>
      <c r="B679" t="inlineStr">
        <is>
          <t>成功</t>
        </is>
      </c>
      <c r="C679" t="inlineStr">
        <is>
          <t>読み方：うけとる
［動ラ五（四）］
１受けて取る。渡されたものを受け収める。「手紙を—・る」
２人の言葉や行動などを自分なりの判断で解釈する。また、納得する。「話を額面どおりに—・る」「善意に—・る」
３責任をもって引き受ける。担当する。
「帝隠れさせ給ひしかば、神功皇后御世を—・らせ給ひ」〈平家・五〉</t>
        </is>
      </c>
      <c r="D679" t="inlineStr">
        <is>
          <t>受け取るべき；受け取るべく；受け取る権利および</t>
        </is>
      </c>
      <c r="E679" t="inlineStr">
        <is>
          <t>来る；理解；受ける；得る；使う</t>
        </is>
      </c>
      <c r="H679" t="n">
        <v>29</v>
      </c>
      <c r="I679" t="inlineStr">
        <is>
          <t>彼女は映画の仕事の為に、100万ドルを受け取ったと伝えられている。；責任を果たすのを避けようとしてるみたいに受け取られてしまいがちだ。；しかし、国民の中には必ずしもそうは受け取らない者も少なくなかった。；こう云ったらあなたはそれを満足な報道として受け取られるでしょうか。；コンピュータは通常処理の最中に外部からの情報を受け取る必要が生じた。；コーンウォリスがクリントンからの命令を受け取ったのはこの頃である。；いまから言っておくが、おまえの辞表だけは何があっても受け取らない。；プログラムは国のいくつかの地域でよく受け取られたが、不評もあった。；僕の遺伝子を早紀が受け取れば本当の僕が生まれてくるかもしれません。；これらは他人から見れば何の変哲もない写真と受け取られることも多い。；新聞がまともに受け取るとは思わないので秘密にしておいたと彼は言った。；顔を上げることもない香里の様子からは、そうとしか受け取れなかった。；アプリケーションはそのメッセージを受け取って対応した処理を行う。；実際、托鉢で受け取ったものはすべて食さなければならないとされている。；駅夫は、それが何のためかわからずに、受け取つた切符を見つめてゐる。；この人はたぶん、あんたのお金一万ルーブルは受け取らないでしょうよ。；エッフェルディンクから出した手紙はもう受け取られたことと思います。；今思い出して見ると、やっぱりどうあっても他人の事としか受け取れない。；スキャンダル性が低下すれば受け取る側のドラマ性も低下せざるを得ない。；全国の作業所に影響を与えることなので、指導書は受け取っていない。；わたしの愛情はそんなふうにして受け取らるべきものでないとわたしは思った。；あくまで受け取ろうとすれば両手を地面に縫いつけられていただろう。；この時点で多くの研究者は彼の考えを真面目に受け取ることをしなくなった。；カリスマが批判された場合は、それをカリスマの聖性の証明と受け取る。；この概念は受け取られなかった贈り物に適用されるときにも当てはまる。；清兵衛は金を持ったまま高木の元へ帰るが高木も頑として受け取らない。；ルイジアナ州の納税者は全国平均よりも多くの補助金を受け取っている。；自分の書きたいものを書いた結果が、そのように受け取られているだけです。；それでもあなたは二十ドルを受け取れたんだから運がよいほうですよ。</t>
        </is>
      </c>
      <c r="J679">
        <f>HYPERLINK("https://www.weblio.jp/content/受け取る", "词义详情")</f>
        <v/>
      </c>
      <c r="K679">
        <f>HYPERLINK("https://yourei.jp/受け取る", "查看例句")</f>
        <v/>
      </c>
    </row>
    <row r="680">
      <c r="A680" t="inlineStr">
        <is>
          <t>受け身</t>
        </is>
      </c>
      <c r="B680" t="inlineStr">
        <is>
          <t>成功</t>
        </is>
      </c>
      <c r="C680" t="inlineStr">
        <is>
          <t>読み方：うけみ
１攻撃されて、もっぱら防ぐ立場にあること。「鋭い追及にあって—に回る」
２他から働きかけられるだけで、こちらからは積極的に出ない、消極的な態度・ようす。「—の学習は自分のためにならない」
３柔道で、投げられたり倒されたりした際、けがをしないように腕で床を打ったりして衝撃をやわらげて倒れる方法。「—をとる」
４文法で、主語が他からの動作・作用を受ける意を表す言い方。文語では、動詞の未然形に助動詞「る」「らる」（古くは「ゆ」「らゆ」）、口語では助動詞「れる」「られる」を付けて言い表す。受動態。</t>
        </is>
      </c>
      <c r="D680" t="inlineStr">
        <is>
          <t>受け身形(2%)；受け身一方；受け身表現</t>
        </is>
      </c>
      <c r="E680" t="inlineStr">
        <is>
          <t>劣勢；消極的；控えめ；受動；後手</t>
        </is>
      </c>
      <c r="H680" t="n">
        <v>29</v>
      </c>
      <c r="I680" t="inlineStr">
        <is>
          <t>この頃は主に、責め役の男性と組んでの受け身役で舞台を構成している。；私はしばらく学校を休み、受け身形が終わってまた学校に行きはじめた。；受け身にならざるを得ない政府部内の記者クラブほど、その傾向が強い。；「これでおまえさんも受け身の立場になったわけだ」 と、彼はいった。；受け身になり、そのためにさらに劣勢に追い込まれていたにちがいない。；受け身になってて何もしないなんて、そんな消極的な性格でも態度でもない。；雨もその近くに倒れはしたが、受け身を取った分だけ次の行動は早かった。；秋を受け身にしか眺めていない人と、秋に積極的に参加する人とのちがいを知った。；受け身になることで小さな恍惚感を手に入れることができる人こそ幸いである。；そんな場合、日本人ならば受け身形で「誰かに見られている」と表現する。；このままだと背から落ちるが、彼なら受け身をとるだろう、と風見は思う。；姉妹の中で唯一攻撃魔法を身に付けない受け身型の能力を覚える。；そこを受け身でとらえて殴ろうとしたところに先生が来て制止された。；今の段階では、受け身で警戒している以外に手は無いのだった。；将来を考えたら、日本人はかつてのように受け身ではいけません。；それでも、しっかり受け身をとった令さまは見上げたことにほぼ無傷。；胸に赤い染みが広がるに連れて男の体は傾き、受け身も取らずに床に倒れた。；受け身の性格なので、「弾さんでないと無理かな」と依頼される仕事が多い。；日本的な受け身の姿勢は韓国人にはなかなか理解され難いのである。；また、吹っ飛ばされている最中にガード操作を行うと空中で受け身を取る。；従来の生徒が受け身の授業から、双方でのやり取りの授業に変わってきている。；これはガチマッチやガチドライブ、地上受け身を出すときにも使用する。；なお、技をかけられた側は通常の受け身とは逆に、顎を出す形で受ける必要がある。；僕は受け身になりきったまま、爪先ばかり見るように風立った路を歩いて行った。；一貫して受け身の姿勢を保ちつつ外部から加えられる力に応えるのだ。；初めわたしはほとんど受け身にまわって、相手をこちらの望む位置につかせようとした。；受け身で勝ちつづけて来て、突如変身したあたりが大山流の勝負術である。；そのまま受け身の取れない角度で落とされて左肩を外されることになる。；生まれて初めて受け身でいることに不満を感じたのだ。</t>
        </is>
      </c>
      <c r="J680">
        <f>HYPERLINK("https://www.weblio.jp/content/受け身", "词义详情")</f>
        <v/>
      </c>
      <c r="K680">
        <f>HYPERLINK("https://yourei.jp/受け身", "查看例句")</f>
        <v/>
      </c>
    </row>
    <row r="681">
      <c r="A681" t="inlineStr">
        <is>
          <t>受け持つ</t>
        </is>
      </c>
      <c r="B681" t="inlineStr">
        <is>
          <t>成功</t>
        </is>
      </c>
      <c r="C681" t="inlineStr">
        <is>
          <t>読み方：うけもつ
［動タ五（四）］自分の仕事として引き受けて行う。担当する。担任する。「一年生を—・つ」「この地区の配達を—・つ」</t>
        </is>
      </c>
      <c r="D681" t="inlineStr">
        <is>
          <t>受け持つ生徒達</t>
        </is>
      </c>
      <c r="E681" t="inlineStr">
        <is>
          <t>担当する；担う；負う；引き受ける；背負う</t>
        </is>
      </c>
      <c r="H681" t="n">
        <v>29</v>
      </c>
      <c r="I681" t="inlineStr">
        <is>
          <t>それ以外の事件を受け持つことは、なるべく避けるようにしてきました。；ほかのどんな仕事を受け持っても、私には味気なく思えることでしょう。；ぼくが受け持つことになった生徒は三十一名でその大半は女子学生だった。；新しくできるワイン工場の広告のシステム アプローチを受け持ったの。；おそらく自分が受け持った患者の顔や声は忘れない人間なのだろう。；確かにこうしたことは、医者の受け持つべきことの限界を越えていた。；どちらも外国人女性で、それぞれが週の後半と前半を受け持っている。；音楽演出を高畑が受け持ったのも、宮崎に余裕がなくなったためである。；実際に建設が決定した場合は桃園市内区間の監督事項を本局が受け持つ。；筑紫さんが自由に意見を述べられるように君が進行役を受け持つことになる。；彼の受け持つ事件が彼を英国の端から端へと引き廻したのは過去のことである。；ロングストリートの受け持つこの部分は理論的に最も弱い所であった。；TESSの地上からの運用は、アメリカの8つの施設が受け持っている。；数十種の新聞が、最も熱心にその役割を受け持ったことはいうまでもなかった。；その当時、受け持っていた生徒は四年間教えてきた生徒たちであった。；この場でその役割を受け持つことができるのは、わたししかいない。；大気海洋研究所が受け持っている大学院の専攻の一覧は次の通りである。；殺してしまった彼らの死を受け持っているから、自分の死は受け持てない。；車両の整備はピトキン車両基地で受け持っているため整備設備はない。；妹が歌って、兄が作曲と伴奏を受け持って、きょうだいで音楽活動する。；その他にアーヴェン・デヴォアと共同で人間行動クラスを受け持っていた。；構体両端部を閉じる構造を形成して強度上重要な部分を受け持っている。；消防部長が受け持っていた城の消防隊の監視室で火災報知器が作動した。；貨車も有していたほか、鈴川と大宮の間では郵便輸送を受け持っていた。；この二人が彼等になり代わって連絡その他の仕事を受け持つ。；また、受け持った生徒には数学の公式をまとめたプリントを配布していた。；受け持ったクラスには、今朝痴漢にあっていた男の子が在籍していた。；瞬が押し子と攻め手一体を同時に操り、残りが一人一体ずつ受け持つ。；これは、その地域を受け持つ郵便局がスコッツデールにあるからである。</t>
        </is>
      </c>
      <c r="J681">
        <f>HYPERLINK("https://www.weblio.jp/content/受け持つ", "词义详情")</f>
        <v/>
      </c>
      <c r="K681">
        <f>HYPERLINK("https://yourei.jp/受け持つ", "查看例句")</f>
        <v/>
      </c>
    </row>
    <row r="682">
      <c r="A682" t="inlineStr">
        <is>
          <t>受ける</t>
        </is>
      </c>
      <c r="B682" t="inlineStr">
        <is>
          <t>成功</t>
        </is>
      </c>
      <c r="C682" t="inlineStr">
        <is>
          <t>読み方：うける
［動カ下一］［文］う・く［カ下二］
１自分の方に向かってくるものを、支え止めたり、取って収めたりする。受け止める。受け取る。「ミットでボールを—・ける」「雨水を桶(おけ)に—・ける」
２差し出されたものを自分の方に取り入れる。手に収め入れる。もらう。「杯を—・ける」「賞を—・ける」「援助を—・ける」
３（享ける）他から与えられる。身に授かる。また、系統・血筋などを引く。「この世に生を—・けてこの方」「母方の血を—・けて文才がある」「寵愛を—・ける」
４（承ける）あとを継ぐ。受け継ぐ。「先代の跡を—・ける」「前任者の意を—・けて企画を発展させる」
５自分に向けられた行為・働きかけに対処して応じる。引き受ける。受け入れる。「挑戦を—・けて立つ」「注文を—・ける」「真(ま)に—・けてはいけない」「調査結果を—・けて是正する」「多発する事故を—・けて対策を講じる」
６他からの働き・作用が身に加えられる。
㋐こうむる。「被害を—・ける」「嫌疑を—・ける」「ショックを—・ける」
㋑それに身をさらす。「頰に風を—・ける」「西日をまともに—・ける」
７ある方角に面している。「南を—・けた明るい部屋」
８代金を払って取り戻す。「質ぐさの時計を—・ける」
９文法で、文中において、ある語句が他の語句から文法的な働きをこうむる。修飾される。「係助詞『ぞ』を—・けて文末が連体形になる」
10人気・好評を得る。「大衆に—・けた音楽」
11俗に、おもしろく感じられる。笑える。「この漫画で、自分が特に—・た場面はこれだ」
[下接句]意を受ける・血を受ける・真(ま)に受ける・神は非礼を受けず・天の与うるを取らざれば反(かえ)って其の咎(とが)めを受く・人身(にんじん)を受く</t>
        </is>
      </c>
      <c r="D682" t="inlineStr">
        <is>
          <t>受けるべき；受ける可能性；受けるべく；受けるよう勧め；受けるよう命じ</t>
        </is>
      </c>
      <c r="E682" t="inlineStr">
        <is>
          <t>される；られる；思う；行う；経験</t>
        </is>
      </c>
      <c r="F682" t="inlineStr">
        <is>
          <t>受けるダメージ量；受ける権利及び；受けるよう指示</t>
        </is>
      </c>
      <c r="H682" t="n">
        <v>29</v>
      </c>
      <c r="I682" t="inlineStr">
        <is>
          <t>そうすることは自分からわざわざ苦痛を受けようとしていることなのだ。；障害側の全体ではなく、傷害を受けた神経の支配筋だけが影響を受ける。；それはおまえが受けようとしている教育の必要な一部をなしているからだ。；さらに現代では、イギリスの植民地文化にも大きな影響を受けている。；野球も米国の強い影響を受けて、人気スポーツのひとつに数えられる。；インド仏教が密教化したのは、周辺の宗教から影響を受けた結果である。；また一次試験を日本語ではなく英語で受けることも可能になった。；また、記録の仕方によっても人や社会が影響を受けるとする考察もある。；アルバムはブルースの影響を強く受けた前2作の路線を引き継いでいた。；そのため、車両自体の寿命を迎える前に大量淘汰を受けることとなった。；また、フランス語の影響を大きく受けた英語でも、同様の読み方をする。；水の雲は惑星内部から供給される熱を受けて、雷のエネルギーを蓄積する。；そのため、街灯などの影響を受けにくい夜間に暗くなる場所で栽培する。；江戸時代には、将軍から偏諱を受けることが決まっていた大名家もある。；の用いる S式は括弧を大量に使用するため、批判を受けることもある。；どんなことであっても、何度も同じ刺激を受ければ人間は慣れていくもの。；中国国内の孔子廟の多くは文化大革命時に破壊されたり損傷を受けている。；敬虔なカトリックの一族だったため迫害を受けることが多かったという。；ただ姉弟からこういう質問を受けようと予期していなかっただけである。；しかし無料で医療が受けられる範囲は、法定の範囲に限定されている。；すなわち仏がその悟りの奥深広大なるを自ら楽しんで受けることをいう。；またこれを受けて数学者もさらに高速な行列乗算プログラムを公表した。；このような作風に高橋留美子は大いに影響を受けたと後に述べている。；これらの地域はその後も強く中国文化の影響を受けることとなった。；UTF-16では欠落があっても影響を受けるのはその文字だけである。；現役引退後もニューヨークで週に数回英語のレッスンを受けているという。；更には、これら商業作品の強い影響を受けた自主制作作品も含まれる。；もしお前が拒絶してあえてわしの怒りを受けようと言うなら、そう言え!；それを受けてまずジェームズ・ゴスリンがC++の拡張言語を提出した。</t>
        </is>
      </c>
      <c r="J682">
        <f>HYPERLINK("https://www.weblio.jp/content/受ける", "词义详情")</f>
        <v/>
      </c>
      <c r="K682">
        <f>HYPERLINK("https://yourei.jp/受ける", "查看例句")</f>
        <v/>
      </c>
    </row>
    <row r="683">
      <c r="A683" t="inlineStr">
        <is>
          <t>動かす</t>
        </is>
      </c>
      <c r="B683" t="inlineStr">
        <is>
          <t>成功</t>
        </is>
      </c>
      <c r="C683" t="inlineStr">
        <is>
          <t>読み方：いごかす
［動サ五（四）］「うごかす」の音変化。
「余り体を—・さないから、その所為かも知れません」〈紅葉・金色夜叉〉</t>
        </is>
      </c>
      <c r="D683" t="inlineStr">
        <is>
          <t>動かすべから；動かすべき；動かすことすらでき；動かすべく；動かす毎</t>
        </is>
      </c>
      <c r="E683" t="inlineStr">
        <is>
          <t>影響；変更；変化；決定；形成</t>
        </is>
      </c>
      <c r="F683" t="inlineStr">
        <is>
          <t>突き動かす；ゆり動かす；動かすべからざる真理；動かすべからざる事実；動かすことさえでき</t>
        </is>
      </c>
      <c r="H683" t="n">
        <v>29</v>
      </c>
      <c r="I683" t="inlineStr">
        <is>
          <t>男 お前も己が一度も歎願に動かされた事のないのを知っているだろう。；しっかりと座席に体を固定し、足で翼を動かして操縦する構造であった。；子供がいかにも幸福そうに眠ってるのを見ると、彼女の心は動かされた。；・アタックツーショベルパーツを上から回転させるように動かして攻撃。；肩に乗るなどして操作するが、多少は離れても動かすことはできる模様。；ギボンズとの業務から大きく複雑なビジネスの動かし方を学んでいった。；代表的なてこの一種で、古くから巨石などを動かすのにも使われてきた。；この目と耳の方は、ただ架空の出来事だけでは動かされないというのに。；動かされない身体の痛みとだるさを、そして彼女は急に感じたのだった。；札の配置は競技中に、相手に宣言することで自由に動かすことができる。；この動きと革命の権利という言葉に動かされ、奴隷を解放する者もいた。；二つの心がひとつになつてそれが何ものにも動かされないやうになる戀!；朱桓が後方にあるのを見ると、最後まで兵を動かす決心がつかなかった。；この原因は、飛行士が体を動かしたことによるものであると考えられた。；信仰心に動かされた男性たちがやってきて、彼らの学校で教育を始めた。；鳥は飛ぶときに、どんなふうに翼を動かそうなんて考えてないでしょう。；いま天下を動かそうとしているのは、草莽の中の名もない男たちなのだ。；しかしそれは少しもプレンダギャストとその仲間の心を動かさなかった。；しかしどれほど多くの人々が、この作品の僅かな時間に心動かすことか。；それとももっと大きな人間的なものが女の身の中に動かされるのでしょうか。；体を動かそうとしたが力が入らず、仕方ないので目だけで周囲を探った。；絵の回転機能ではイラストを描く際に好きな角度に画像を動かして描ける。；彼女の左肘は幼い時に患った関節炎が元で自由に動かすことができない。；プレイヤーは各ユニットを動かして、攻撃や回復などの行動を行う。；ふきの声の聞こえてくる方へ頭を動かそうとしてみたが、それもできない。；何も動かしていない状態では穴は開かないようになっている。；FOP患者は体を動かす場合に特に気をつけなければならないことがある。；なにしろ何百というガラスを毎日二度ずつ動かさなければならなかった。；彼らは桜町天皇の女御であった二条舎子や幕府を動かして圧力をかけた。</t>
        </is>
      </c>
      <c r="J683">
        <f>HYPERLINK("https://www.weblio.jp/content/動かす", "词义详情")</f>
        <v/>
      </c>
      <c r="K683">
        <f>HYPERLINK("https://yourei.jp/動かす", "查看例句")</f>
        <v/>
      </c>
    </row>
    <row r="684">
      <c r="A684" t="inlineStr">
        <is>
          <t>動き</t>
        </is>
      </c>
      <c r="B684" t="inlineStr">
        <is>
          <t>成功</t>
        </is>
      </c>
      <c r="C684" t="inlineStr">
        <is>
          <t>読み方：うごき
１動くこと。また、動くようす。「雲の—が速い」「計器の針の—に注意する」
２状態・情勢・内容などが変わること。変動。変化。「相場の—」「世の中の—」</t>
        </is>
      </c>
      <c r="D684" t="inlineStr">
        <is>
          <t>動き始め；動きはじめ；動きまわる；動きませ；動きやすい</t>
        </is>
      </c>
      <c r="E684" t="inlineStr">
        <is>
          <t>手；活躍；行動；運動；態度</t>
        </is>
      </c>
      <c r="F684" t="inlineStr">
        <is>
          <t>不穏な動き；素早い動き；激しい動き；新しい動き；複雑な動き</t>
        </is>
      </c>
      <c r="G684" t="inlineStr">
        <is>
          <t>動き出す；動きだし；動き回る；動きだす；動き回り</t>
        </is>
      </c>
      <c r="H684" t="n">
        <v>29</v>
      </c>
      <c r="I684" t="inlineStr">
        <is>
          <t>阿仁地方に鉄道を開業させる動きができたのは1920年頃の話である。；これらの動きには学生野球界は強く反対したものの、結局は認められた。；この時代を代表する動きはドイツではじまった薔薇十字団の活動である。；競走後も日ごとに動きが良化し、厩舎内でも特に優れた馬と見られ始めた。；新たな観客層獲得のため、試験的に鑑賞料金を変更する動きも見られる。；そのため、損益確定が早い一般酒に力を入れる動きが泡盛業界には多い。；この動きから従来の農業とは異なる様々な農業の形態が生まれた。；これら演武用の武器は房や動きを良く見せる効果をもたせたものが多い。；またコンサートなど大型イベントの開催も行うなどの動きもある。；淡路島全体で一つの市となる構想や動きもあったが、実現しなかった。；しかし、新しい波といえるほどの動きは長らく見られないままとなった。；また、上記のような男性に求められる役割を見直す動きも生まれつつある。；その動きは文芸・美術・音楽・演劇などさまざまな芸術分野に及んだ。；動作中の他のソフトウェアからは、仮想記憶機構の内部の動きは見えない。；統一の動きが何度かあったが、いまのところ実現に至っていない。；こうして正義が確定される一方、中唐になると注疏批判の動きが生じた。；古くは日常生活の中で時刻を知る方法は太陽の動きなどであった。；その後、試作品のマリオの動きに合わせて作り直したものが採用された。；しかし古賀らの動きは音楽界の主流派の非協力という形で抵抗を受ける。；シャッター速度の変化は対象とカメラの動きの反映の度合いを変える。；成人年齢と参加者の年齢の乖離にそなえ名称を変更する動きも出ている。；律令制導入の動きが本格化したのは、660年代に入ってからである。；また、下段は線路をイメージしており、速度に応じて動きが変化する。；リズムとは本来音楽用語であるが、転じて様々な時間の動きを表すものを表す。；ここでは、現在に至るまでの間に特に目立った動きについて取り上げる。；他の大名からも積極的な支援の動きは見られなかった。；これはあなたがアメリカの動きに関して判断しなければならない場合と同様である。；日本でも、ドイツの動きに刺激されて、民俗学の名称への疑問が起きている。；しかし江戸時代後期以降、これらにも独自の文字を割当てる動きが見られた。</t>
        </is>
      </c>
      <c r="J684">
        <f>HYPERLINK("https://www.weblio.jp/content/動き", "词义详情")</f>
        <v/>
      </c>
      <c r="K684">
        <f>HYPERLINK("https://yourei.jp/動き", "查看例句")</f>
        <v/>
      </c>
    </row>
    <row r="685">
      <c r="A685" t="inlineStr">
        <is>
          <t>動く</t>
        </is>
      </c>
      <c r="B685" t="inlineStr">
        <is>
          <t>成功</t>
        </is>
      </c>
      <c r="C685" t="inlineStr">
        <is>
          <t>読み方：いごく
［動カ五（四）］「うごく」の音変化。
「いくら言訳を云っても、坐り込んで—・かないんだもの」〈漱石・道草〉</t>
        </is>
      </c>
      <c r="D685" t="inlineStr">
        <is>
          <t>動くわけ；動くべき；動くまい；動く黒い</t>
        </is>
      </c>
      <c r="E685" t="inlineStr">
        <is>
          <t>行く；機能；変化；異なる；行動</t>
        </is>
      </c>
      <c r="F685" t="inlineStr">
        <is>
          <t>どう動く；ゆれ動く；素早く動く；大きく動く；ゆっくりと動く</t>
        </is>
      </c>
      <c r="G685" t="inlineStr">
        <is>
          <t>動く標的；動くゲイとレズビアンの会；動く絵文字；動く特異点；動く城のフィオ</t>
        </is>
      </c>
      <c r="H685" t="n">
        <v>29</v>
      </c>
      <c r="I685" t="inlineStr">
        <is>
          <t>地上を移動すると事件が起こる危険があるため動くことができないのだ。；この広場内には情報展示も行われており、中には動いているものもある。；海軍に所属するものもあったが、多くは独自の利益のために動いていた。；しかし、女性がいなければ政治も戦争も動かなかったことも事実である。；動いているものに反応するので、死んだものや動かないものは食べない。；そして使われなくなったブレーキは時々動かなくなって作業が停止した。；エーテルが常に地球と同じ方向に動いているとは考えにくいからである。；足の指は、手の指に比べて非常に短く、手の指ほど自由には動かせない。；次の項目は燃料の供給停止だったが、燃料レバーも動かなくなっていた。；彼はヒットを打たれたと思ってマウンドから動こうともしなかったのだ。；校舎はそれ自体が意思らしきものを持っていて、勝手に動くこともある。；このように、物語が大きく動いている最中に制作された映画作品である。；本作品では何の目的で動いているのかは最後まで謎のままであった。；これで紙に絵を描くと、その絵が紙から飛び出して本物と同じように動く。；プログラムが実行時にどう動くかをよく理解することは困難である。；少なくとも飼育下では同じ場所で動かずにじっとしていることが多い。；目は地上から火星の生物を見ることができ、心臓は永久に動くとされる。；一同は命に従ったが、なかのふたりだけはその場を動こうとしなかった。；同時に市内中の義勇軍と市民軍は指定された場所の占拠と確保に動いた。；目的は迷路の上空を動いているUFOを制限時間内にすべて破壊する事。；無生物になった生物は自分の意思で動く事が出来ないが、喋る事ができる。；船が動かせない場所では沿道を自転車で移動したり徒歩で移動したりした。；捕食するのは生き餌に限られ、死んで動かないものは基本的に食べない。；これは、人が無意識に光のある方向に動くことを応用したものである。；ここに至り同盟は自ら解体し全国的な通信社を新たに創設する方向へ動いた。；製作された試作品は張り子のように眼と口は描かれたもので動かなかった。；ある日、弟が病死するとそれまで正確に動いていた時計が遅れ出した。；身体能力や技術は高くなかったが、予測能力が高くて声で周りを動かせた。；操縦桿は根元部分が固定されグリップ部分だけが動く方式となっている。</t>
        </is>
      </c>
      <c r="J685">
        <f>HYPERLINK("https://www.weblio.jp/content/動く", "词义详情")</f>
        <v/>
      </c>
      <c r="K685">
        <f>HYPERLINK("https://yourei.jp/動く", "查看例句")</f>
        <v/>
      </c>
    </row>
    <row r="686">
      <c r="A686" t="inlineStr">
        <is>
          <t>兎</t>
        </is>
      </c>
      <c r="B686" t="inlineStr">
        <is>
          <t>成功</t>
        </is>
      </c>
      <c r="C686" t="inlineStr">
        <is>
          <t>読み方：う
ウサギの古名。
「露を待つ—の毛もいかにしをるらむ月の桂の影を頼みて」〈拾遺愚草・上〉</t>
        </is>
      </c>
      <c r="D686" t="inlineStr">
        <is>
          <t>兎さん；兎狩り；兎面；兎みたい；兎肉</t>
        </is>
      </c>
      <c r="E686" t="inlineStr">
        <is>
          <t>ウサギ；コニー；ラビット；アナウサギ；ナキウサギ</t>
        </is>
      </c>
      <c r="F686" t="inlineStr">
        <is>
          <t>小兎；家兎；養兎；赤兎；戦兎</t>
        </is>
      </c>
      <c r="G686" t="inlineStr">
        <is>
          <t>兎も角；兎角；兎も角も；兎唇；兎にも角にも</t>
        </is>
      </c>
      <c r="H686" t="n">
        <v>29</v>
      </c>
      <c r="I686" t="inlineStr">
        <is>
          <t>しかしこれら一切の努力は物語にある兎の無駄な努力のようなものである。；今まで兎もすると眠りかけさうになつたその目がはつきりと開いてきた。；すると森の方から兎が飛んできて切り株に首をぶつけて死んでしまった。；羽兎は愛麗が国を救うことができる者と言い、彼女の中へと姿を消した。；兎のおとうさまももう帰っていて、その晩は様々のご馳走がありました。；兎はとてもいないと思ったので、銃を元の通り肩に懸けて二三歩往った。；タイでも月には兎が住んでいるという伝承があり、絵画などにも見られる。；我々が猫・犬・兎・などを一緒に馴らすのは日常普通のことである。；しかし兎だけは、どんなに苦労しても何も採ってくることができなかった。；博士の顔には、何は兎もあれ、事件依頼者の無事を喜ぶ色が浮かんでいた。；けれども、兎の目を保有していた彼女は、猟夫の職業の性質を知っていた。；播磨 そちの口から云はれずば、母を兎もかくも屋敷へ連れてまゐれ。；私にもこのごろはやつと兎と狐の足跡のみ分けがつくやうになりました。；また他の人にしても、そんな事に兎や角言ふものはありますまいよ。；これは漢代に月へ兎がいるという神話が伝わっていたという証拠である。；次になお一層困難なことは、兎を怒らせたり、悲しませたりすることだ。；なんのためにあなたは木兎のように 洞穴や岩の隙間にもぐっているのです。；兎のお父さんやお母さんがびっくりして起きてあかりをつけました。；ラーン河の向うには兎の喜びさうな、日あたりのいい小高い丘があります。；木兎はいつ見てもきちんと止り木につかまつて正面を向いてゐるだけだつた。；栗色の兎がずっと離れた、萩の根元に一匹いて、源女の方を窺っていた。；そこで、僕は兎の実験を中止して、犬について行って見ることにした。；そのために、兎の味方の幾人かは彼を見すてて、亀の方につきました。；蛇と木兎とがその後どうなつたか、それは誰も知つてゐるものはございません。；同じように野からは陽炎が立ち、兎が草の間から飛び出したりした。；この伝説によれば、晴れた夜には月の中に兎が乗っているのが今も見えるという。；見れば耳長く毛は真白に、眼紅に光ありて、一目尋常の兎とも覚えぬに。；兎は臭覚と視覚との連絡を持たないが犬の両感覚神経には統一がある。；そして、緑色のところだけを、尻の上で丸まっている兎にくれてやる。</t>
        </is>
      </c>
      <c r="J686">
        <f>HYPERLINK("https://www.weblio.jp/content/兎", "词义详情")</f>
        <v/>
      </c>
      <c r="K686">
        <f>HYPERLINK("https://yourei.jp/兎", "查看例句")</f>
        <v/>
      </c>
    </row>
    <row r="687">
      <c r="A687" t="inlineStr">
        <is>
          <t>牛</t>
        </is>
      </c>
      <c r="B687" t="inlineStr">
        <is>
          <t>成功</t>
        </is>
      </c>
      <c r="C687" t="inlineStr">
        <is>
          <t>読み方：ぎゅう
客引きや護衛をしながら夜鷹などについて歩く男。また、遊女屋で客引きをする若い男。妓夫太郎。
「—が夜鷹を大勢連れて来ていて」〈鴎外・ヰタ‐セクスアリス〉
[補説] 「牛」とも書く。</t>
        </is>
      </c>
      <c r="D687" t="inlineStr">
        <is>
          <t>牛小屋；牛たち；牛ども；牛骨；牛みたい</t>
        </is>
      </c>
      <c r="E687" t="inlineStr">
        <is>
          <t>雄；牛肉；ウシ；雌牛；ビーフ</t>
        </is>
      </c>
      <c r="F687" t="inlineStr">
        <is>
          <t>黒牛；ジャッカル牛；鉄牛；牛園；土牛</t>
        </is>
      </c>
      <c r="G687" t="inlineStr">
        <is>
          <t>牛肉；牛込；牛車；牛馬；牛尾</t>
        </is>
      </c>
      <c r="H687" t="n">
        <v>29</v>
      </c>
      <c r="I687" t="inlineStr">
        <is>
          <t>日本には古代から牛が導入され、千数百年にわたり広く利用されてきた。；このような環境下では牛は貴重な財産であり、神聖視されることもある。；米国農務省は問題となった牛についての情報をほとんど公開していない。；牛たちは良く育ったが、彼が同じ山にばかりいるので仕事を外された。；それなのに、この付近一帯に牛の姿は一頭も見かけないのも不思議だった。；大都市で毎日牛のパレードが行なわれるのはフォートワースのみである。；牛同士を戦わせる闘牛が盛んで、シーズンには島全体が熱気に包まれる。；これは世界でもっとも厳格な牛の個体管理であるといわれている。；牛ではウイルス蔓延を防ぐために病牛は治療はせず数週で死亡する。；主にインドで信仰されているヒンドゥー教では牛を神聖視している。；紗那沼周辺など比較的平地が多く、牧場では馬だけでなく牛も飼われた。；なお、挙兵時には劉秀は貧しく馬を買うことができず牛に乗っていた。；大根と牛肉ばかり食していたため、やがて国中に牛がいなくなった。；これに対し朝廷では星主を左都之官、王子を牛都之官に変えた。；またこれは脚癖の悪い牛にも使われることもある。；家畜生産量でも国内で最大級であり、牛が最も収益を上げる生産物である。；ひとつは牛が水を飲むとき鼻の穴で水が跳ね返ったようすを見て、というもの。；この黒牛に恐れをなしたりすると、呪詛の効力が失われるとされる。；当時は移植過程で、牛の脳の成分を一部利用した薬が使用されていたためである。；画像は二人の女性を伴った「牛跳び」の壁画でこの宮殿を飾っていたもの。；牛之助暗殺から半年足らずで死去したため、その死は牛之助の呪いともいわれた。；この牛達は明らかに奉納行事における生贄として用意されたものである。；ある日、男が牛で食べ物を山に運んでいる途中、天之日矛と出会った。；牛の歩みのようにゆっくりと移動することからこの呼び名がある。；シェションクはまた、聖牛アピスのための社を建設するように命令している。；その時の生活は牛の行くまま動くままとなる。；また、牛黄が上薬に分類されているのに対し蟾酥は下薬に分類されている。；同じく牛欄村という村は、元々は糜竺所有の荘園・牧場であったという。；現在、牛肉食はインドでもところどころで受け入れられるようになってきた。</t>
        </is>
      </c>
      <c r="J687">
        <f>HYPERLINK("https://www.weblio.jp/content/牛", "词义详情")</f>
        <v/>
      </c>
      <c r="K687">
        <f>HYPERLINK("https://yourei.jp/牛", "查看例句")</f>
        <v/>
      </c>
    </row>
    <row r="688">
      <c r="A688" t="inlineStr">
        <is>
          <t>失う</t>
        </is>
      </c>
      <c r="B688" t="inlineStr">
        <is>
          <t>成功</t>
        </is>
      </c>
      <c r="C688" t="inlineStr">
        <is>
          <t>読み方：うしなう
［動ワ五（ハ四）］
１（「喪う」とも書く）今まで持っていたり、備わっていたりした大事なものをなくす。「職を—・う」「友情を—・う」
２普通の状態でなくなる。安定した状態でなくなる。「気を—・う」「バランスを—・う」
３（「喪う」とも書く）かけがえのない人をなくす。死に別れる。「戦争で父を—・う」
４手に入れかけて、のがしてしまう。取り逃がす。「機会を—・う」
５競技・ゲームなどで、相手に得点を入れられる。「守りのミスから三点を—・った」
６手段や方法などをなくす。どうしたらよいかわからなくなる。「人生の指針を—・う」「解決の道を—・う」
７（「…たるを失わない」の形で）…であることができる、十分にその資格がある、の意を表す。
「富岡先生もその一人たるを—・わない」〈独歩・富岡先生〉
８消滅させる。
「深き心もなき人さへ罪を—・ひつべし」〈源・御法〉
９こわしてなくす。ほろぼす。
「寝殿を—・ひて、異(こと)ざまにも造りかへむ」〈源・宿木〉
10殺す。
「召し出だして—・はん」〈平家・六〉</t>
        </is>
      </c>
      <c r="D688" t="inlineStr">
        <is>
          <t>失うことなく；失うまい；失うかもしれ；失う可能性；失うべき</t>
        </is>
      </c>
      <c r="E688" t="inlineStr">
        <is>
          <t>敗北；喪失；落とす；忘れる；敗れる</t>
        </is>
      </c>
      <c r="F688" t="inlineStr">
        <is>
          <t>失う重傷を負い；失うという悲劇；失うまいと努め；失うくらいなら；失うという不幸</t>
        </is>
      </c>
      <c r="H688" t="n">
        <v>29</v>
      </c>
      <c r="I688" t="inlineStr">
        <is>
          <t>得られるものに比べ失わなければならない事のほうがはるかに大きいから。；第一次世界大戦で敗れたドイツはルワンダを含む全ての植民地を失った。；しかしこの政府でも政権は安定せず、統制を失った経済は再び崩壊した。；この大著を印刷するための版は空襲で失われてしまっていたためである。；このため一時日本では2インチVTRが再生可能な環境が失われていた。；その日に失われた三隻の主力艦はいずれもビーティーの指揮下にあった。；しかし物語が進むにつれて、次第に二人の精神から境界が失われていく。；庵野の父親は若い頃の事故で左足の膝から下を失っており義足であった。；これにより、この地に古くから続いていた町名が失われることになった。；のちの新聞記事では、この年に妻を失ったことを機に引退したとしている。；資格回復の裁判がされると、罷免の裁判によって失った資格を回復する。；そのために僕は影と記憶を失い、そして今心を失おうとしているのだ。；この原則を崩すと、単位系を導入する意味の多くが失われるからである。；この四人がもし互いに相争うのならば必ず命を失うはずだと書かれている。；エーコーは悲しみのあまり姿を失い、ただ声だけが残って木霊になった。；しかし、そうだとすると彼はその後の教会でのキャリアを失うはずである。；植民地にされて独立を失ってしまった土地の人々は、とてもみじめである。；多くの歯を失った老人でも最後まで生えており、その寿命は一番長い。；もう一つの問題は国家が国民からの信頼を失っている点にある。；つまり、私を失えば彼の損失となるような、そんな女になればいいのだ。；ニュースは敗戦・占領下で自信を失っていた日本国民に大きな力を与えた。；彼はそれがポルカと、今は失われた子守歌であったと自伝で述べている。；人間の力をエネルギー源とする武器は、使用のたびにエネルギーを失う。；すべてを失い生きる望みも無くした彼は、不思議な老人に声をかけられる。；出産時に母を失うが、子供時代の名前ダニーは母親がつけたものである。；さらに、以前より患っていた内障眼が悪化し視力もほとんど失っていた。；一方で、レンカやチョルティのようにその言語を失っている集団もある。；失ったものは帰ってくるのだろうか、いつか思いは実を結ぶのだろうか、と。；お互いに攻撃しあい、先にヒットポイントをすべて失った方が敗北となる。</t>
        </is>
      </c>
      <c r="J688">
        <f>HYPERLINK("https://www.weblio.jp/content/失う", "词义详情")</f>
        <v/>
      </c>
      <c r="K688">
        <f>HYPERLINK("https://yourei.jp/失う", "查看例句")</f>
        <v/>
      </c>
    </row>
    <row r="689">
      <c r="A689" t="inlineStr">
        <is>
          <t>後ろ</t>
        </is>
      </c>
      <c r="B689" t="inlineStr">
        <is>
          <t>成功</t>
        </is>
      </c>
      <c r="C689" t="inlineStr">
        <is>
          <t>読み方：うしろ
１人や物の正面とは反対の側。また、その方向。
㋐後方。背後。「—を向く」「—へ順に送る」「駅の—の公園」⇔前。
㋑背中。「敵に—を見せる」
２表からは見えない所。物の裏側になっているところ。「カーテンの—」「—で糸を引く」⇔前。
３順序のあとの方。また、最後のところ。「行列の—につく」「物語の—の方でどんでん返しがある」⇔前。
４過去のこと。「—を振り返らず前向きに生きる」
５
㋐舞台に出て役者の着付けを直したりする者。後見(こうけん)。
㋑舞台の後方で黒衣を着て控え、役者に台詞(せりふ)をつける者。
㋒舞台の陰で役者の所作につれて歌ったり、演奏したりすること。また、その音楽。下座音楽。
６物事の過ぎ去ったのち。特に、人が去ったり、死んだりした、それから先。
「世を去りなむ—の事、知るべきことにはあらねど」〈源・椎本〉
７下襲(したがさね)のしり。裾(きょ)。
「御衣(おんぞ)の—ひきつくろひなど」〈源・紅葉賀〉</t>
        </is>
      </c>
      <c r="D689" t="inlineStr">
        <is>
          <t>後ろ側；後ろ脚；後ろ半分；後ろ寄り；後ろ襟</t>
        </is>
      </c>
      <c r="E689" t="inlineStr">
        <is>
          <t>後；背；裏；背中；背後</t>
        </is>
      </c>
      <c r="F689" t="inlineStr">
        <is>
          <t>一番後ろ；後ろからつい；一歩後ろ；大きく後ろ；右後ろ</t>
        </is>
      </c>
      <c r="G689" t="inlineStr">
        <is>
          <t>後ろ盾；後ろ向き；後ろ手；後ろめた；後ろめたい</t>
        </is>
      </c>
      <c r="H689" t="n">
        <v>29</v>
      </c>
      <c r="I689" t="inlineStr">
        <is>
          <t>手や尻を後ろに突いてしまった場合はその地点までの距離が記録となる。；まだこの当時は架線柱に見立てた枠が後ろに流れるだけのものであった。；しかしながらやや困難ではあるが、後ろに向かって歩くことも可能である。；最後も後ろからダンスインザムードが来たとき、もう一度伸びてくれた。；また同時に停留所名を自動表示するLEDも運転席の後ろに設置された。；ただし で始まる場合は後ろに を重ねた上で が付され、 の形になる。；死亡時には首の後ろにあったコブが野球ボール大にまで大きくなっていた。；点火台の後ろにはオーケストラ団が並んでいて有名バンドに続き演奏した。；is式の構文が拡張され、型の後ろに変数名を宣言できるようになった。；この場所は雄が後ろからのしかかって交尾する際に刺激される部分である。；額から長い冠羽が突き出ており、目の後ろには細くて白い飾り羽もある。；フランス軍の投射兵は活用されることなく、前衛の後ろに置かれていた。；駐車場はなく駅舎より美濃太田方向のホームの後ろ側に駐輪場がある。；犯人とみられる人物はその後ろから来た車で逃亡している。；しかしそれまでの権力争いと違って、それぞれの後ろには各軍閥勢力がいた。；修飾語はいくつかの例外を除いて基本的に被修飾語の後ろに置かれる。；この場合、何か特定の指示を表す1ないし数文字を後ろに伴って使われる。；最終曲の後ろに収録する方法と、1曲目の前に収録する方法である。；後ろについている数は最初に発表された年を表している。；通常は頭上にあるヘッドバンドが首の後ろ側に位置している方式。；後ろから見た時のわかりやすさを基準に他のキャラクターの選定も行われた。；旧ソ連ではAKの後ろに四酸化二窒素の量を示す数字をつけて表される。；一方ゲーリングはその後ろで国民に向けて次のように放送した。；先行選手は残り1周半程度から後ろの選手を引き連れてダッシュをする。；側面方向幕が都営時代のまま前扉の後ろについているのが特徴である。；額角はないが複眼の後ろに小さな棘があり、尾の上にも小さな棘がある。；運転席後ろに運転士の所属基地と氏名を表記した名札が掲示されている。；これらは基本的に文章の終止を表すため、その後ろに句点を用いない。；養子の場合にはもとの姓を家族名の後ろにつけた。</t>
        </is>
      </c>
      <c r="J689">
        <f>HYPERLINK("https://www.weblio.jp/content/後ろ", "词义详情")</f>
        <v/>
      </c>
      <c r="K689">
        <f>HYPERLINK("https://yourei.jp/後ろ", "查看例句")</f>
        <v/>
      </c>
    </row>
    <row r="690">
      <c r="A690" t="inlineStr">
        <is>
          <t>後ろ盾</t>
        </is>
      </c>
      <c r="B690" t="inlineStr">
        <is>
          <t>成功</t>
        </is>
      </c>
      <c r="C690" t="inlineStr">
        <is>
          <t>読み方：うしろだて
１《2が原義》陰にあって力を貸し、助けること。また、その人。後ろ見。「有力な—をもつ」
２背後を守る盾。後ろを防ぐもの。〈運歩色葉〉</t>
        </is>
      </c>
      <c r="D690" t="inlineStr">
        <is>
          <t>支；支え；サポート；援助；補助</t>
        </is>
      </c>
      <c r="F690" t="inlineStr">
        <is>
          <t>有力な後ろ盾；強い後ろ盾；軍事的後ろ盾；政治的後ろ盾</t>
        </is>
      </c>
      <c r="H690" t="n">
        <v>29</v>
      </c>
      <c r="I690" t="inlineStr">
        <is>
          <t>しかし私は、何の後ろ盾もなしに犯人と交渉することに不安を感じていた。；もっと壮大な可能性に立ち向かえるだけの後ろ盾を手にいれたのだから。；実験ひとつにしても、組織の後ろ盾なくして実現できるものではない。；こんな自転車操業を続けていく才能も後ろ盾もないことに気づいてはいた。；そうなればテレオの村には後ろ盾がいるのだから、彼らが黙ってはいない。；シャクルトンは自分が行う遠征の後ろ盾になってくれそうな人を探し始めた。；派閥の後ろ盾があるわけではないし、この世界に来たのは父よりも後だった。；ソ連の後ろ盾で共産党が権力を奪取する以前に首相および大統領を務めた。；二人の兄が後ろ盾になっているだけに、特に福建省出身者は王を恐れていた。；生まれ落ちたときから後ろ盾を定められた、女王候補とはわけが違うんだ。；なんだか自分たちの背中に、大きな後ろ盾ができたような気がする。；この騒動はワシントンの支持者がその後ろ盾に集まって失敗に終わった。；戦争は国民の後ろ盾がなければできるものではないことを今後のためにも知る必要がある。；徐渭自身は罪に問われなかったとはいえ、有力な後ろ盾を失い生活は困窮。；たった一人で何の後ろ盾もなく生きてきたあたしのことを?；何の後ろ盾もなくただ己の能力のみを頼りに生きてきた伝説の博徒。；彼にはたしかに才能があったが、家名も富も後ろ盾ももってはいなかった。；GCCはアメリカが後ろ盾となり、各国にアメリカ軍兵器を輸出した。；そして彼女達は強力な会社の後ろ盾があって達成したのである。；後ろ盾も頭も文句なしで、私たちのなかでいちばんの将来有望株なのよ。；弾圧をしようものならアメリカの後ろ盾を失ってしまいかねない。；官位も役職もさしたる後ろ盾もなく、突然姿が消えても誰も頓着しない。；イギリスとの間には日英同盟が締結され、日露戦争の後ろ盾となった。；自ら大陸軍と命名した強大な軍事力を後ろ盾にする軍事独裁政権であった。；この結婚はティティスの後ろ盾となり、彼の政治的キャリアを後押しした。；玄霧先生は今年の夏からの勤務で、葉山のように後ろ盾はないって話。；一連の会議はパワーズコート子爵夫人テオドシアの後ろ盾を得て実現した。；誰からも命令されず、なんの後ろ盾もないまま、星の海に一人で挑もうとしていた。；後ろ盾を失った石田は同日夜の後援会会合で立候補断念を明らかにした。</t>
        </is>
      </c>
      <c r="J690">
        <f>HYPERLINK("https://www.weblio.jp/content/後ろ盾", "词义详情")</f>
        <v/>
      </c>
      <c r="K690">
        <f>HYPERLINK("https://yourei.jp/後ろ盾", "查看例句")</f>
        <v/>
      </c>
    </row>
    <row r="691">
      <c r="A691" t="inlineStr">
        <is>
          <t>後ろ向き</t>
        </is>
      </c>
      <c r="B691" t="inlineStr">
        <is>
          <t>成功</t>
        </is>
      </c>
      <c r="C691" t="inlineStr">
        <is>
          <t>読み方：うしろむき
１背中や物の後ろ側をこちらに向けていること。⇔前向き。
２後ろに向かうこと。「—に倒れる」
３時代の流れや望ましい方向に対して逆の方へ向いていること。考え方などが消極的なこと。「—の政策」⇔前向き。</t>
        </is>
      </c>
      <c r="D691" t="inlineStr">
        <is>
          <t>後ろ向きに背負い式；後ろ向きに歩か；後ろ向き帰納法；後ろ向き研究</t>
        </is>
      </c>
      <c r="E691" t="inlineStr">
        <is>
          <t>否定的；消極的；控えめ；悲観；弱気</t>
        </is>
      </c>
      <c r="H691" t="n">
        <v>29</v>
      </c>
      <c r="I691" t="inlineStr">
        <is>
          <t>彼女は後向になって蝋燭を一つ占領して鏡台に向いつつ何かやっていた。；台座の周囲を何度か歩き、うしろ向きに歩いて彼は像から離れていった。；先に立ってうしろ向きに歩いているのは、やさしそうな男の先生だった。；開業後は後ろ向きの座席の場合は割引運賃を適用するなど工夫している。；男の人なんかもう信じられない、などと後ろ向きの気分にはならなかった。；船長は両手でロラン夫人をささえるために後ろ向きになっておりていた。；また水を噴射する際の反動を利用して後ろ向きに空を飛ぶこともできる。；だが父がこちらを見ながら、今も後ろ向きに川を進んでいるのは確かだった。；先生が後ろ向きになって黒板に字を書いていると、妙な音がしました。；ブランデーはびっくりした表情のまま椅子から後ろ向きに転がり落ちた。；やがて衝立ての陰から後ろ向きに出てきたスポックが皆の方へ顔を向けた。；ハリーはなんだか、とても速く、後ろ向きに飛んでいるような気がした。；最初は前向きに回転しているが、途中で後ろ向きの回転に変わる物が多い。；うしろ向きで鍵をしめていた男の体へのしかかり、しがみついて倒した。；はしごにまだしがみついていたなら、後ろむきに落ちていたことだろう。；そうすれば、時間の進行もまた、後ろ向きになるかもしれないじゃないか。；ジントは自分の考えが次第に後ろ向きになっていくのを自覚していた。；だが、より入り口に近い机の前には、髪の長い女が後ろ向きに座っていた。；でも、今は、そんな後ろ向きな議論をしているときじゃないでしょう?；後ろ向きや顔を伏せているなど、人物の顔が見えないイラストが多い。；正臣が湯の中で結子の身体を後ろ向きに抱きあげ、自分の膝の上に乗せた。；一行がこのようにだらだらな理由はその仕事が後ろ向きな仕事だからであった。；その光のなかに、髪を無造作にたばねた伊豆宮が後ろ向きに立っている。；研究を進めているときには前を向いているが、論文を書くときは後ろ向きになる。；日本の馬は頭の方から馬房に入って行かず、尻の方から後むきに入れられる。；両手を腰の後ろで握ると、南の窓に向かってゆっくり後ろ向きに歩いていく。；雄一は短い廊下をごろごろと後ろ向きに回転し、居間にまで戻ってきた。；その川渡しの人間は一人が横向きで、一人が後ろ向きになつて居る。；今まで後ろ向きになっていた陽白もこちらを向いています。</t>
        </is>
      </c>
      <c r="J691">
        <f>HYPERLINK("https://www.weblio.jp/content/後ろ向き", "词义详情")</f>
        <v/>
      </c>
      <c r="K691">
        <f>HYPERLINK("https://yourei.jp/後ろ向き", "查看例句")</f>
        <v/>
      </c>
    </row>
    <row r="692">
      <c r="A692" t="inlineStr">
        <is>
          <t>後ろめたい</t>
        </is>
      </c>
      <c r="B692" t="inlineStr">
        <is>
          <t>成功</t>
        </is>
      </c>
      <c r="C692" t="inlineStr">
        <is>
          <t>読み方：うしろめたい
［形］［文］うしろめた・し［ク］《「後ろ目痛し」からという》
１自分に悪い点があって、気がとがめる。やましい。「親友を裏切ったようで—・い」
２自分の目が届かず、不安である。心もとない。気がかりだ。
「我なからむ世など—・し」〈落窪・二〉
３油断がならない。気が許せない。
「是ほど—・う思はれ参らせては」〈平家・二〉
[補説]2が原義で、古くはやましい気持ちを含まなかった。
[派生]うしろめたげ［形動］うしろめたさ［名］</t>
        </is>
      </c>
      <c r="D692" t="inlineStr">
        <is>
          <t>後ろめたい気持ち(13%)；後ろめたいこと(10%)；後ろめたい思い(9%)；後ろめたい気分(8%)；後ろめたいよう(6%)</t>
        </is>
      </c>
      <c r="E692" t="inlineStr">
        <is>
          <t>心配；不安；残念；恥ずかしい；不名誉</t>
        </is>
      </c>
      <c r="F692" t="inlineStr">
        <is>
          <t>どこか後ろめたい；ちょっと後ろめたい；少し後ろめたい；ひどく後ろめたい；多少後ろめたい</t>
        </is>
      </c>
      <c r="H692" t="n">
        <v>29</v>
      </c>
      <c r="I692" t="inlineStr">
        <is>
          <t>本当にそうだと自分でも思っていて、後ろめたい思いは少しもなかった。；何も悪いことをしていないのに後ろめたいのはどういうわけなのだろう?；人形遊びにも似た後ろめたさに、ボタンを外す指が震えたりしたもんだ。；父は、路傍に子供を埋めたことに、後ろめたさを感じていたのだと思う。；さとるはお金を稼いでいないことを異常なまでに後ろめたく思っている。；急に道徳的なことを言い出したのも、後ろめたさがあるせいに違いない。；言葉もない孝史に向かって、男はわずかに後ろめたそうな顔をしてみせた。；私は、後ろめたい気持ちをことさらに無視して、そう自分を納得させた。；「また外に出るんだろ」 ネビルは三人の後ろめたそうな顔を見つめた。；モデムは何日も前に、後ろめたい気持ちで再びパソコンに接続していた。；後ろめたい気持が、距離を現実の何倍にも引き伸しているかのようだった。；あっちはもうちょっと、なんというか、後ろめたそうな顔なんだけどさ。；やはり、残る家族のことを考えれば、後ろめたい思いがあったのだろう。；客を欺くことに後ろめたさを感じるようでは、この仕事はやっていけない。；そもそも人の後ろめたい秘密をさらけ出すことで金をもらってるんだ。；後ろめたいことを腹に抱えている人間なら、ねぐらに戻って息を潜める。；あれほど嫌っていた馬を育てている自分の業が後ろめたかったのだ。；「お命を頂きます」 心の中にある後ろめたさが、その言葉を言わせた。；しゃくりあげる少年を見て、育ての父はさすがに後ろめたそうな顔をした。；自分ひとり解放されることがさすがに後ろめたかったようである。；カイゼルは自省こそしなかったが、多少の後ろめたさを禁じえずにいた。；それはやはり、どこかで後ろめたい気持ちがあるからに違いなくて。；後ろめたくない者だけがこの門をくぐれ、とでも言われているようだ。；それとも見られたほうの心の中に後ろめたさでもあったのか。；それに私はあの人のことで後ろめたいという感情を一度も抱いたことはないんだ。；昨日までの戦友ふたりを一瞬のうちに射殺した後ろめたさなど影も形もない。；しかしこれほど後ろめたいことをさせられるとは思わなかった。；こいつ一人で危険な真似をさせるのが後ろめたく感じるなんて、どうかしてる。；レイフォンに聞かず、他の誰かから知ろうとしたのも後ろめたいからだ。</t>
        </is>
      </c>
      <c r="J692">
        <f>HYPERLINK("https://www.weblio.jp/content/後ろめたい", "词义详情")</f>
        <v/>
      </c>
      <c r="K692">
        <f>HYPERLINK("https://yourei.jp/後ろめたい", "查看例句")</f>
        <v/>
      </c>
    </row>
    <row r="693">
      <c r="A693" t="inlineStr">
        <is>
          <t>渦</t>
        </is>
      </c>
      <c r="B693" t="inlineStr">
        <is>
          <t>成功</t>
        </is>
      </c>
      <c r="C693" t="inlineStr">
        <is>
          <t>読み方：うず
１螺旋(らせん)形に巡る、激しい水の流れ。空気などについてもいう。うずまき。
２めまぐるしく動いて入り乱れている状態。「争いの—に巻き込まれる」
３真上から1を見たような模様。
[補説]書名別項。→渦</t>
        </is>
      </c>
      <c r="D693" t="inlineStr">
        <is>
          <t>渦をまい(3%)；渦流；渦陽；渦をなし；渦記</t>
        </is>
      </c>
      <c r="E693" t="inlineStr">
        <is>
          <t>螺旋；渦巻き；渦巻；らせん；スパイラル</t>
        </is>
      </c>
      <c r="F693" t="inlineStr">
        <is>
          <t>大きな渦；理渦；小さな渦；雷渦；黒い渦</t>
        </is>
      </c>
      <c r="G693" t="inlineStr">
        <is>
          <t>渦巻く；渦巻き；渦中；渦巻；渦巻銀河</t>
        </is>
      </c>
      <c r="H693" t="n">
        <v>29</v>
      </c>
      <c r="I693" t="inlineStr">
        <is>
          <t>川の中央頃には二つも三つも、水が少しの音もたてずに渦を卷いてゐた。；彼はシイラの残骸を船の外に投げ、水に渦ができるかどうかを観察した。；かれはあらゆる艱難の中をも、巴渦の中をも、恐怖の中をも通つて来た。；渦の中心からピラミッドが現れ、その中から巨大な金色の像が出現した。；なお、機械を用いずとも、類似の渦流を手で発生させることは可能である。；前者では腕や器物の周囲に渦を生じて外部の空気が流れ込む可能性がある。；もうぼうぼうの頭が雨に濡れて渦を巻き、肩は雨で重そうに垂れていた。；流体のある位置にそれらが急に集められる場合に、渦を生じることが多い。；土器には独特の渦をもった幾何学模様をもつものがあり広く知られている。；その後幾週か降伏後の混乱はいろいろの形をとって私たちの周囲に渦を巻いた。；薄い日の光は明窓から射して、軒から外へ泄れる煙の渦を青白く照した。；説明では右上に見える雲の渦がターゲットのストームだと説明される。；またこの世間の巴渦の唯中に深く自分が浸つてゐると思つたこともあつた。；いつかは本当に人生の巴渦の中に浸つたといふ気のする時が来るであらう。；これとよく似た渦で、もっと大きなのが庭の上なぞにできることがあります。；家の中に夜が渦を巻いている、そして何かがじっと思いを潜めている。；その先には川の曲がるところがあって、そこはいつも渦が巻いている所だ。；眼に見えるものと云っては、渦を巻いて飛んでいる鴉の群だけである。；翼の前後方向の長さが大きいものは、大迎角時に渦を発生させる効果がある。；海の水が石臼の中心の穴を通って流れ込み始めると、巨大な渦が生まれた。；こういった熱狂の渦の中、黄禹錫は国民的英雄に祭り上げられていった。；小さな嵐でも竜巻状の渦流が小さな範囲に重大な被害をもたらすことがある。；梵天が寝ていて、渦が見える状態があることが必須条件となっている。；翼から空気の流れが剥がれ渦が生じて、失速する現象をストールという。；理想的な流線型から逸脱することは渦流の原因となりエネルギーを消費する。；日本海北東で雲が渦を巻いている低気圧はこのあと東に進み発達する。；渦の中心が周囲より低圧であることは流線曲率の定理を使って理解できる。；この中でドーヴェは、熱帯低気圧が気流の回転渦であることを主張した。；だらりと下げた両の手は塞かれて注ぐ渦の中に指先を浸すばかりである。</t>
        </is>
      </c>
      <c r="J693">
        <f>HYPERLINK("https://www.weblio.jp/content/渦", "词义详情")</f>
        <v/>
      </c>
      <c r="K693">
        <f>HYPERLINK("https://yourei.jp/渦", "查看例句")</f>
        <v/>
      </c>
    </row>
    <row r="694">
      <c r="A694" t="inlineStr">
        <is>
          <t>薄明るい</t>
        </is>
      </c>
      <c r="B694" t="inlineStr">
        <is>
          <t>成功</t>
        </is>
      </c>
      <c r="C694" t="inlineStr">
        <is>
          <t>読み方：うすあかるい
［形］［文］うすあかる・し［ク］かすかに明るい。「雲が切れて—・い空」</t>
        </is>
      </c>
      <c r="D694" t="inlineStr">
        <is>
          <t>薄明るい空(5%)；薄明るい部屋(3%)；薄明るいうち(2%)；薄明るい外光(2%)；薄明るい中(2%)</t>
        </is>
      </c>
      <c r="H694" t="n">
        <v>29</v>
      </c>
      <c r="I694" t="inlineStr">
        <is>
          <t>海の空は薄明るくなって、自ら季節の移るべきを示しているのであろう。；部屋の中は薄明るく、わずかにあけてある窓から朝の光が射しこんでいる。；その穴の向こうには渾沌の漆黒とは違う薄明るい世界が広がっていた。；ロイエンタールは、心の奥の薄明るい鏡にむかって人しれず笑いかけた。；途中で夜が白み、昨夜の老人の家についたころには、薄明るくなっていた。；が、彼等の帰って来た時にはおのずからあたりも薄明るくなっている。；僕は薄明るい外光に電燈の光のまじつた中をどこまでも北へ歩いて行つた。；僕は薄明るい外光に電灯の光のまじった中をどこまでも北へ歩いて行った。；僕は薄明るい外光に電燈の光のまじった中をどこまでも北へ歩いて行った。；薄明るい照明の下に、一ダースほど、ガラスのケースが配置されている。；三三白望の山に行きて泊れば、深夜にあたりの薄明るくなることあり。；べッドの頭のほうに薄明るい光があって、海の音はその方向から聞こえている。；だから、隙間から差し込む強い陽の光が、内部を薄明るく照らしていた。；もう外は薄明るいはずだが、部屋の端々に落ちた闇の色が薄まる気配はない。；薄明るい中を走つて来て、角の街燈に火を入れて行く人もあつた。；突きあたりの台所の豆電球の光が、廊下を薄明るく照らし出している。；陽はまだ出てないが、夜はしりぞき、薄明るさが押し寄せてきていた。；お庄はその少し手前のところで俥を降りて、そこから薄明るい店へ入って行った。；空の方がかえって薄明るく、その下に屋根が黒々と沈んでいた。；雲の陰に月があるのか、あたりが薄明るくなり、岩のまわりの水もかなり退いて来た。；気がついた時はすでにベッドの中にいて、早い朝の日光が寝室を薄明るくしていた。；表はもう薄明るくなっていたが、店の奥には暁けの灯の影が微かにゆらめいていた。；すると眼が慣れたせいか、だんだんあたりが思ったより、薄明るく見えるようになった。；ふたたび高地へと出たとき、先程の薄明るい拡がりがはっきり見えてきた。；氣が附いて見ると、入口の階段の所が薄明るくなつて來ていた。；日没を過ぎても空は薄明るく、都市にはいつまでも活気が満ちているように思われる。；薄明るい諦念と共に生への執着を断って、砂のように無に帰っていく。；すぐにそう判断できたのは、空洞全体が薄明るいからだった。；月と星の光が雪に映つて、物を見分ける位の薄明るさになる。</t>
        </is>
      </c>
      <c r="J694">
        <f>HYPERLINK("https://www.weblio.jp/content/薄明るい", "词义详情")</f>
        <v/>
      </c>
      <c r="K694">
        <f>HYPERLINK("https://yourei.jp/薄明るい", "查看例句")</f>
        <v/>
      </c>
    </row>
    <row r="695">
      <c r="A695" t="inlineStr">
        <is>
          <t>薄い</t>
        </is>
      </c>
      <c r="B695" t="inlineStr">
        <is>
          <t>成功</t>
        </is>
      </c>
      <c r="C695" t="inlineStr">
        <is>
          <t>読み方：うすい
［形］［文］うす・し［ク］
１厚みが少ない。「板を—・く削る」⇔厚い。
２物の濃度や密度などが少ない。
㋐色や光などが濃くない。「—・い紅色」⇔濃い。
㋑雲・液体などの密度、濃度が高くない。「—・い霧」「—・い紅茶」⇔濃い。
㋒味があっさりしている。「塩味が—・い」⇔濃い。
㋓物の密度が低い。まばらである。「頭髪が—・くなった」⇔濃い。
３物事の程度がはなはだしくない。
㋐気持ち・感情の度合いが弱い。「情が—・い」「感銘が—・い」
㋑利益が少ない。「利鞘(りざや)が—・い」
㋒病気などの症状が軽い。「痛みが—・い」
㋓関係などが浅い。「なじみが—・い」「縁が—・い」
㋔可能性があまりない。「当選する見込みは—・い」⇔濃い。
㋕財産がとぼしい。
「身のまはりは—・し」〈鳩翁道話・二〉
４囲碁で、石の配置のしかたが堅固でない。⇔厚い。
５芸能界・興行界で、客の入りが悪い。また、ふところぐあいが寂しい。
[派生]うすげ［形動］うすさ［名］うすみ［名］</t>
        </is>
      </c>
      <c r="D695" t="inlineStr">
        <is>
          <t>薄い唇(4%)；薄い膜；薄い板；薄い色；薄い雲</t>
        </is>
      </c>
      <c r="E695" t="inlineStr">
        <is>
          <t>低い；小さい；細い；かすか；弱い</t>
        </is>
      </c>
      <c r="F695" t="inlineStr">
        <is>
          <t>非常に薄い；薄い胸；薄い緑色；薄い布；薄い灰色</t>
        </is>
      </c>
      <c r="H695" t="n">
        <v>29</v>
      </c>
      <c r="I695" t="inlineStr">
        <is>
          <t>この頃から学校では、以前よりも更に存在感が薄い生徒になったという。；実はこの私も若い時にはちょうどお前と同じように名利の念に薄かった。；トーク番組とは縁の薄いゲストが多く登場しているのも特徴となっている。；さらに、アンモニアの雲の下には薄い水の雲が存在すると予想される。；裏板は本棚の裏側に貼る薄い板で、横からの衝撃を吸収する役割を持つ。；もしくはオレンジは薄いため海上で識別しにくいためとも言われている。；メインの5人は、全員胸が薄いというのが、本作品では最も重要な特徴。；副本線も引込線も色が薄く、この頃は殆ど使用されていないようである。；エッチングパーツは、主に薄くて形状の複雑な部分の再現に用いられる。；具体的には、背中側が濃く、腹側が薄い色をしているのがこれである。；しかしドイツ国民にはヒンデンブルク伝説はどんどん影が薄くなっていた。；背中側はモフモフとしたグレー又は薄い群青色をしており、腹側は白い。；乾燥すると辛みは薄くなるが、そのまま口に入れるのは大変危険である。；層は薄く穴があけられており、熱が浸透しやすいように作られている。；葉が薄く見えるのは、葉身の細胞層が一層から成っているためである。；僕はと言えば、そんな有利な立場にもかかわらず朝子には興味が薄かった。；ざるではなく木で作られた長方形の浅い箱状の器に薄く均一に盛られる。；このシナリオは根拠の薄いもので、出版直後から多くの反論を受けていた。；肩書きこそ隊長であるものの、やや頼りなく他の隊員からの信頼は薄い。；濃い緑がその時代の領土、薄い緑がルーマニアが領有したことのある地域。；なお、半球ではなく薄い小型の円盤を取り付けた形で登場する場面もある。；魚を薄く精巧に切った「平作り」などについて次のように記述している。；日本以外の国では必要性が薄いことから非常に珍しい塗装でもある。；腹部前端付近が薄く伸びて、足の上を覆うようになっているものが多い。；記紀と比して重要性は薄いとされてきたが、現在では再評価されつつある。；あまりに影が薄かったため、知季がそこにいた記憶さえ残っていない。；色の濃い地域が九州中四国地方に、色の薄い地域が東日本を中心に広がる。；前面以外は装甲が比較的薄い傾向にあり弱点になっていることが多い。；唇は薄くあまり頑丈ではないが、筒のように前に突き出すことができる。</t>
        </is>
      </c>
      <c r="J695">
        <f>HYPERLINK("https://www.weblio.jp/content/薄い", "词义详情")</f>
        <v/>
      </c>
      <c r="K695">
        <f>HYPERLINK("https://yourei.jp/薄い", "查看例句")</f>
        <v/>
      </c>
    </row>
    <row r="696">
      <c r="A696" t="inlineStr">
        <is>
          <t>薄型</t>
        </is>
      </c>
      <c r="B696" t="inlineStr">
        <is>
          <t>成功</t>
        </is>
      </c>
      <c r="D696" t="inlineStr">
        <is>
          <t>薄型化(21%)；薄型ディスプレイ(3%)；薄型モニタ(2%)；薄型ケース；薄型ノートパソコン</t>
        </is>
      </c>
      <c r="G696" t="inlineStr">
        <is>
          <t>薄型ブラウン管</t>
        </is>
      </c>
      <c r="H696" t="n">
        <v>29</v>
      </c>
      <c r="I696" t="inlineStr">
        <is>
          <t>他に特徴的なのは、あちこちに装飾用の薄型モニタが設置されている事か。；ぼんやりとさまよわせた視線の先に、装飾用の薄型モニタがあったのだ。；なお、元から金属製の芯が入ってない、薄型の学生鞄も販売されていた。；薄型で軽いので、私はいつもそれをポケットに入れて重宝していた。；本作から薄型のマキシCDケースからアルバムCDケースに移行される。；骸骨の顔になった吉十郎は、どこへいったのか、もうすがたが見えません。；昼間用と同様に薄型のスリムタイプと通常の厚さのものとがある。；途端に、あちこちの柱に張りつけられた様々な薄型モニタに光が点いた。；これに対しては、設置者側の対応や機器メーカー側も薄型の販売機を開発し導入している。；表面にフィルムが貼られた薄型の豆腐パッケージのような構造をしている。；極く小さな薄型断面の対象形の主翼の翼型は高速飛行向けに設計されていた。；このため後継モデルはデュプレックスLCDを止めてでも薄型化を行っている。；薄型ケースを使用しているのは本作のみである。；ヒーターはビニール類の袋に収められている薄型のものであり、使い捨て。；彼女はファミレス店内の壁に据え付けられた巨大薄型モニタに目をやった。；光学ドライブも搭載しているが、約22mmの薄型設計としている。；サイズは幅が60mmと薄型で軽量であり、それをエンジンに直結している。；葉子の手にしたマガジン式フィルム用の薄型カメラに、人々の視線が集中した。；普及型より大幅に薄型化され、ファッション性も考慮された最新式のCADだ。；そういうすがたで町から町へと、踊りながら、飴を売ってあるくのである。；全17曲が収録されており、CDケースは薄型のスリム・ケースを使用している。；こうすがたを揃えて厳粛に回れば、さすがにみな頼みがいある侍に見えた。；巻物をまとめるように、超薄型の本体が円筒の側面に巻き取られる。；液晶パネルの形状的な最大の特徴は、薄型である点である。；当時世界最薄とされたアルミメッキ鋼板製薄型燃料タンクが採用された。；PSP-1000から軽量・薄型化され、テレビ出力も可能となった。；また同様の理由でレイアウト上、軸方向の薄型化が必須である。；超薄型にもかかわらずおサイフケータイやFOMAハイスピードに対応している。；さらにランプ全体を薄型でシャープな造形とする事でスポーティさを表現した。</t>
        </is>
      </c>
      <c r="J696">
        <f>HYPERLINK("https://www.weblio.jp/content/薄型", "词义详情")</f>
        <v/>
      </c>
      <c r="K696">
        <f>HYPERLINK("https://yourei.jp/薄型", "查看例句")</f>
        <v/>
      </c>
    </row>
    <row r="697">
      <c r="A697" t="inlineStr">
        <is>
          <t>薄暗い</t>
        </is>
      </c>
      <c r="B697" t="inlineStr">
        <is>
          <t>成功</t>
        </is>
      </c>
      <c r="C697" t="inlineStr">
        <is>
          <t>読み方：うすぐらい
［形］［文］うすぐら・し［ク］ほのかに暗い。「—・い部屋」
[派生]うすぐらさ［名］</t>
        </is>
      </c>
      <c r="D697" t="inlineStr">
        <is>
          <t>薄暗い部屋(6%)；薄暗い廊下(5%)；薄暗い中(3%)；薄暗いところ；薄暗い照明</t>
        </is>
      </c>
      <c r="E697" t="inlineStr">
        <is>
          <t>暗い；陰気；うす暗い；ほの暗い；闇黒</t>
        </is>
      </c>
      <c r="F697" t="inlineStr">
        <is>
          <t>薄暗い場所；薄暗い路地；薄暗い空間；薄暗いなか；薄暗い家</t>
        </is>
      </c>
      <c r="H697" t="n">
        <v>29</v>
      </c>
      <c r="I697" t="inlineStr">
        <is>
          <t>その奥に人がいるのかいないのか、薄暗の明りの中ではわからなかった。；少年はまだガスのともっていない薄暗い通りを歩いて、家に帰りかけた。；一軒の薄暗いみすぼらしいバーが目についたので、そこへ入って行った。；雨のせいか階段の下は薄暗く、まるで深い穴の縁に立っているようだった。；アニメでは、非常に薄暗く重々しい雰囲気が原作以上に強調されている。；翌る朝ガラツ八が、その報告を持つて來たのは、まだ薄暗いうちでした。；翌る朝ガラッ八が、その報告を持って来たのは、まだ薄暗いうちでした。；部屋の中は薄暗くとも、外には壮絶な青さの天空が広がっているはずだ。；そうしてそれから一時間の間、僕は薄暗の中に考えながら坐っていた。；視界は薄暗く、朝だというのにビルの窓から蛍光灯の輝きが濡れていた。；角田が鍵を開けて中に入ると、電気が止められている店内は薄暗かった。；村岸の家の表戸が開いたのは、ようやく薄暗くなってきた七時頃であった。；もう薄暗くなつて來た或る夕方、みんなして酒庫へ酒の給送をしてゐた。；彼女はその薄暗い中に青貝を鏤めた古代の楽器や古代の屏風を発見した。；周囲は薄暗くなっているが、屋敷の障子や窓からの光で敷地内は明るい。；少年がいった通り、空に雲がひろがり、地上は徐々に薄暗くなって来た。；そのまま間接照明のみに照らされて少し薄暗くなった廊下を歩いて行き。；時計塔の中は薄暗く、まるでこの世が消滅したような静寂に満ちていた。；彼は妻の言葉を聞きながら、薄暗くなってゆく窓の外をぼんやり眺めていた。；まだ朝の九時頃だつたが、空は薄暗くて、あたりもよく見えなかつた。；外はもう薄暗くなりはじめ、廊下へ出ると、少し寒いような感じだった。；薄暗い中に私が口に吸った煙草の火の光りで、その眼付がちらと見えた。；辺りが薄暗くて今まで彼等はそんなに近い所に人がいようとは知らなかった。；薄暗くなって行く中を嵐と雪との中にまじって狂うように駆けて行く。；二頭の竜が穴の上に翼を広げたので急にあたりが薄暗くなった。；やつとのことで家に帰りついたときは、もう薄暗くなつてゐました。；自分のほうを見ていつにない顔を赤くしたらしいのが薄暗い中にも自分にわかった。；昨夜は妙に薄暗かった部屋も、今夜は普通に明るく電気が点けられていた。；それは引き続いた二つの室で、第一のは薄暗く、第二のは真っ暗である。</t>
        </is>
      </c>
      <c r="J697">
        <f>HYPERLINK("https://www.weblio.jp/content/薄暗い", "词义详情")</f>
        <v/>
      </c>
      <c r="K697">
        <f>HYPERLINK("https://yourei.jp/薄暗い", "查看例句")</f>
        <v/>
      </c>
    </row>
    <row r="698">
      <c r="A698" t="inlineStr">
        <is>
          <t>薄まる</t>
        </is>
      </c>
      <c r="B698" t="inlineStr">
        <is>
          <t>成功</t>
        </is>
      </c>
      <c r="C698" t="inlineStr">
        <is>
          <t>読み方：うすまる
［動ラ五（四）］薄い状態になる。濃度が落ちる。「香りが—・る」「容疑が—・る」</t>
        </is>
      </c>
      <c r="D698" t="inlineStr">
        <is>
          <t>弱まる；薄れる；薄くなる；薄れていく；薄らぐ</t>
        </is>
      </c>
      <c r="H698" t="n">
        <v>29</v>
      </c>
      <c r="I698" t="inlineStr">
        <is>
          <t>どうもジロクにいるあいだに血が薄まってしまったような気がしますよ。；それはまるで、氷が溶けて薄まったアイスティーのようにも感じられた。；この村の人々は、血は薄まっていてもその多くが追放ラノン人の子孫なのだ。；たぶん第一回路が薄まりつつあるのだろうと私は想像した。；あの薄まっていた自らの汗の理由がここにある気がした。；そのころには毒も薄まってるから、村人も水鬼が退治されたって思うのさ。；けれどその感動すら薄まってしまうほどの体験をしたのだ。；濃いはずの血がさらさらと薄まる感覚に、また仁平は奇声をあげかける。；あっという間に意識が薄まり、視界が黒から赤に充血していくのがわかる。；もう外は薄明るいはずだが、部屋の端々に落ちた闇の色が薄まる気配はない。；皇帝の色である黄色が次第に薄まっているのは、それを視覚的に示したものである。；谷を伝わって内陸部に回り込むのには時間がかかり非常に薄まった。；その後、貴族文化は中国的な要素が薄まり、日本独自の発達をとげていった。；紙の質やインクの薄まり具合から見ても、相当古いもののようだ。；恭子も、話を聞くだけでも日々のストレスが薄まっていく気がした。；その邪気は、異常事態勃発当時に較べて、かなり薄まってはきています。；そして、そのぶん効果が薄まったのか、報告される被害の程度がやけに軽い。；全身の痛みがひどいせいか、足の痛みはかなり薄まっている。；第4部ではSF要素は薄まり、インドを舞台とした秘境ものになっている。；霊体になっている時は気配が薄まるのか、あれだけ強力な魔力も全然感じられなかった。；毒を飲まされた後、川に捨てられたことで川の水を大量に摂取し毒が薄まったのである。；香水壺には、開始以来の香水が薄まりながら伝えられているとされる。；少しずつ闇が薄まってきて、視界がはっきりとしてくる。；煙が薄まってきたとき、ようやく彼らは船内に遺体が横たわっているのを発見した。；薄まったアイスコーヒーはもう、コーヒーの味などしないけれど外にでていく気になれない。；室内の空気が薄まるような息苦しさを感じながらも、真九郎は一歩も退く気はなかった。；現在は劇画調が薄まり、アニメ絵への接近が感じられる絵柄が増えている。；コーラ色だった色相も適度に薄まって、人間の尿らしい色合いになった。；このロクマリアの薄まった大気の中で、いままでのように生きていくことは出来ぬ。</t>
        </is>
      </c>
      <c r="J698">
        <f>HYPERLINK("https://www.weblio.jp/content/薄まる", "词义详情")</f>
        <v/>
      </c>
      <c r="K698">
        <f>HYPERLINK("https://yourei.jp/薄まる", "查看例句")</f>
        <v/>
      </c>
    </row>
    <row r="699">
      <c r="A699" t="inlineStr">
        <is>
          <t>薄める</t>
        </is>
      </c>
      <c r="B699" t="inlineStr">
        <is>
          <t>成功</t>
        </is>
      </c>
      <c r="C699" t="inlineStr">
        <is>
          <t>読み方：うすめる
［動マ下一］［文］うす・む［マ下二］薄くする。濃度や密度を低くする。「ウイスキーを水で—・める」</t>
        </is>
      </c>
      <c r="D699" t="inlineStr">
        <is>
          <t>割る；水割り；和らげる；弱める；希釈</t>
        </is>
      </c>
      <c r="H699" t="n">
        <v>29</v>
      </c>
      <c r="I699" t="inlineStr">
        <is>
          <t>一般的には、薄める為の水を入れる水瓶と一緒に設置されることが多い。；用語については、独特の用語を用いて、軍事色を薄めているものがある。；どちらも水で磨くのが基本だが、薄めたアルコールを用いる方法もある。；けれどどうやっても、家にこもった冷淡さを薄めることはできなかった。；展開後に何とか見える程度まで水などで薄めて使うのがコツであるとされる。；帰途の難路が、彼らの望郷心をいささか薄めているといってよいだろう。；飲むのに抵抗がある場合には、水やお茶などで薄めると飲みやすくてよいという。；砂糖を水で薄めたものであるため、思ったほど甘味を感じない場合もある。；とことんのところまで色も彫りも薄めず描写して行く力は大きいものですね。；つまり薄められた毒は、人々に同じ様な具合に次第に利いて来たのであります。；ジャーナリズムが文学を暴力的に水で薄めてしまうようなことはなかった。；薄められた血は、上手くすれば巧みに人間 社会への侵入を果たすはずだ。；胎土を水で薄めたものであるが吸収性の高い石膏型へと注ぎ込まれる。；古代では、ワインを水で薄めたものは、女性も子供も飲んでいた。；足下が霧に埋められて、高度感がないことも、一同の高所恐怖感を薄めた。；それを無理に消し薄めることも亦疲れの種子の一つになりましょう。；最終的に、田中の草案から政治色を薄める修正を行い綱領が成立した。；両刃の剣などと聞こえはよいが、そんなこと書いて手前らへの毒薄めてなるか。；残りは水で薄めて、見ただけじゃわからないようにしてきた。；一般的にはライ麦比率が高いパンほど薄めにスライスした方が食べやすい。；そうすれば胸の中にある違和感や不安を、少しは薄めることができるのではないか。；一般の愛好者も増えた近年では、そのまま薄めずに使用できる製品も増えている。；フランスを始めとするヨーロッパやロシアなどでは、基本的に水で薄めて飲む習慣は無い。；さらに、その血を薄めるかのように流れだしたものがあった。；しかし、そのことは、彼のパイへの愛着を薄めるものでは全くなかった。；これらの部品は、薄めて液状にした粘土であるを用いて結合される。；半年ばかり経つうちに一日の量はようやく効力を薄めて来ました。；この悲しみを少しでも薄めるために、先輩たちががんばってるんだと再確認する。；静寂が怖くなりつけっ放したテレビも、私の感情を薄めてはくれなかった。</t>
        </is>
      </c>
      <c r="J699">
        <f>HYPERLINK("https://www.weblio.jp/content/薄める", "词义详情")</f>
        <v/>
      </c>
      <c r="K699">
        <f>HYPERLINK("https://yourei.jp/薄める", "查看例句")</f>
        <v/>
      </c>
    </row>
    <row r="700">
      <c r="A700" t="inlineStr">
        <is>
          <t>埋める</t>
        </is>
      </c>
      <c r="B700" t="inlineStr">
        <is>
          <t>成功</t>
        </is>
      </c>
      <c r="C700" t="inlineStr">
        <is>
          <t>読み方：うずめる
［動マ下一］［文］うづ・む［マ下二］《四段活用の「うづむ」が変化して、室町時代ごろから用いられた》
１土の中などに物を入れ込んで外から見えないようにする。うめる。「金塊を—・める」
２物に覆われて外から見えない状態にする。うずまるようにする。「マフラーに首を—・める」
３ある場所を、物や人でいっぱいにする。「スタンドを—・めた大観衆」
４低い所やくぼんだ所などに物を詰めてふさぐ。うめる。「壕(ごう)を—・める」
５損失や不足などを補う。うめる。「赤字を—・める」「余白を—・める」
→埋(う)める［用法］</t>
        </is>
      </c>
      <c r="D700" t="inlineStr">
        <is>
          <t>埋めるべく(3%)；埋めるべき；埋める夥しい；埋めるよう命じ</t>
        </is>
      </c>
      <c r="E700" t="inlineStr">
        <is>
          <t>カバー；埋葬；占める；満たす；注ぐ</t>
        </is>
      </c>
      <c r="H700" t="n">
        <v>29</v>
      </c>
      <c r="I700" t="inlineStr">
        <is>
          <t>他の多くの動物は、行の終わりに残ったスペースを埋めるために役立つ。；この関係で7・8は窓が一部埋められて小型のものに変更されている。；近代の都市整備で一帯を埋めていた中世の建物が撤去され、再発見される。；そのかわり、間を埋めるプロジェクトは色々と準備されているとのこと。；臼井駅跡はホーム跡が残っていたが、現在は一部を残して埋められている。；編成端部側の貫通扉は埋められ、列車愛称表示器が取り付けられている。；盧武鉉が司法試験に合格したとき、夫のひざに顔を埋めて泣いたという。；夫の棺を墓とは別の場所に埋め、友人たちの前で結婚指輪を投げ捨てる。；埋めた場所のうちの1カ所が、現在のセンターの宿舎敷地だったという。；さらに内側の3つの穴の列には動物の骨を埋めるのに使われていた。；Aの遺体をまだ埋めていないことを知った森はすぐに埋めるよう坂口に要請。；側面は一部が埋められているが、種車の窓や扉は多くが再用された。；そしてロボット大統領は地球上をロボットで埋め尽くす考えを発表。；しかし生まれたのは男の子であったため、由比ヶ浜の砂に埋められる。；遺体は鍾乳洞の自然の穴に埋めたが、今日まで正確な場所は分かっていない。；この期間を埋める形で、特別番組として放送されたのがこの番組である。；誰が何といってもこの土地は我々が生まれ育ち埋められる巣であり墓なのだ。；アニメ版のソロモン攻略戦では、敵の正面を埋め尽くす描写がなされた。；多くのものが砂泥中に体を埋め、水管を泥の上に出して生活している。；湖を現在の水深まで埋めるために約720年必要であると推定されている。；建築本体を地中に埋めた作品など、風景や環境に配慮した建築が多い。；柄の下部は球根状に太くなり、それを深海底の泥に埋めて定着している。；五助は主君の命を守り、取った吉継の首を戦場から離れた場所に埋めた。；大森健作が抜けたあとの左CBを、移籍後すぐ安定したプレーで埋めた。；このため一部の窓を埋め家庭用室外機のような外観の冷房装置を搭載した。；トーマス・グラヴェセンが移籍した穴を埋めることを期待されていた。；あまり気にせず大きいものから埋めていければ百科事典的によいと思います。；このケースでは特定の場所に缶を埋める事で情報のやり取りを行った。；自然豊かな村や谷は、4月になると杏の花でピンク色に埋め尽くされる。</t>
        </is>
      </c>
      <c r="J700">
        <f>HYPERLINK("https://www.weblio.jp/content/埋める", "词义详情")</f>
        <v/>
      </c>
      <c r="K700">
        <f>HYPERLINK("https://yourei.jp/埋める", "查看例句")</f>
        <v/>
      </c>
    </row>
    <row r="701">
      <c r="A701" t="inlineStr">
        <is>
          <t>薄れる</t>
        </is>
      </c>
      <c r="B701" t="inlineStr">
        <is>
          <t>成功</t>
        </is>
      </c>
      <c r="C701" t="inlineStr">
        <is>
          <t>読み方：うすれる
［動ラ下一］［文］うす・る［ラ下二］
１しだいに薄くなる。「色が—・れる」「霧が—・れる」
２程度が弱くなる。衰える。「視力が—・れる」「興味が—・れる」</t>
        </is>
      </c>
      <c r="D701" t="inlineStr">
        <is>
          <t>薄れるだろ</t>
        </is>
      </c>
      <c r="E701" t="inlineStr">
        <is>
          <t>冷却；収まる；沈静；冷える；移ろう</t>
        </is>
      </c>
      <c r="H701" t="n">
        <v>29</v>
      </c>
      <c r="I701" t="inlineStr">
        <is>
          <t>次第に意識が薄れていく中でも彼女は学校のことを心配していたという。；ただの夢ならどんどん薄れるはずだが、これは私の記憶でもあるのだ。；そうなると、わたしまで坊っちゃんへの関心が薄れるようになりました。；が、彼女を陵辱するうちにその気が薄れ、結局出来ずにホテルを去った。；そうすることでいくらか、それらが人間であった当時の印象が薄れる。；そこで彼が何をしてゐたか、その記憶はふしぎなほど薄れてしまつてゐる。；新大阪駅付近の開発が遅れ、建設の意義が薄れたことが主な原因である。；加えて南極観測への関心も薄れ、南極海はかつてほど注目されていない。；それまでに不必要に言葉をもらしたら、小部屋の効果が薄れるのだろう。；朝には見た夢を忘れても、夜の苦しみと悲しみが薄れることはない。；それでは元の意味合いが薄れるし、何よ りこれは六年前の自分の物だ。；最近の自分はそのハングリーさが薄れてきたと自覚するようになっていた。；日本でも家系図に系譜を記す習慣があったが、近年では薄れてきている。；もちろん金額がどれだけ大きくても、悲しみが薄れるわけではないのだが。；世界が暗く閉ざされていく感覚があるものの、意識が薄れるわけではない。；虎雄の現役当時とは違い、自民党入党への抵抗も薄れていたと見られる。；しかし、このころの建築は宗教動機が薄れたデザインになっている。；そのため次第に外藩部では清朝の支配を受け入れていた要因自体が薄れていった。；出来事の記憶自体は薄れても、自分の顔と心への嫌悪が薄れることはない。；それがまた薄れ消えて行かないうちに、私は急いで書きとめておかうと思ふ。；あれほど強かった政治への執心も今は全く薄れ消えたかに思われた。；ただし大型個体では帯模様が薄れ全身が赤褐色になることもある。；身分違いと薄れゆく視力という障害を超え、二人は結ばれるが・・・。；守は薄れて行く意識の中で、幽に彼の身体が宙に持上げられるのを感じた。；後には本来の目的が薄れ、猿楽師の収益のため行われるようになった。；台風への警戒心を薄れさせる弊害があることから使用をやめたものだとされる。；私は遠く薄れゆく雲を見送つておいて、ふたたび眼を枝の上の石榴に移した。；そのうちにようやく霧も薄れ明るい日光の中、頂に着くことが出来た。；西高にめったに足を運ぶことはないが、その記憶が薄れることはない。</t>
        </is>
      </c>
      <c r="J701">
        <f>HYPERLINK("https://www.weblio.jp/content/薄れる", "词义详情")</f>
        <v/>
      </c>
      <c r="K701">
        <f>HYPERLINK("https://yourei.jp/薄れる", "查看例句")</f>
        <v/>
      </c>
    </row>
    <row r="702">
      <c r="A702" t="inlineStr">
        <is>
          <t>右折</t>
        </is>
      </c>
      <c r="B702" t="inlineStr">
        <is>
          <t>成功</t>
        </is>
      </c>
      <c r="C702" t="inlineStr">
        <is>
          <t>読み方：うせつ
［名］(スル)車や人が右に曲がって進むこと。道路が右に折れているさまにもいう。「次の交差点を—する」⇔左折。</t>
        </is>
      </c>
      <c r="D702" t="inlineStr">
        <is>
          <t>右折する(15%)；右折レーン(4%)；右折車線(4%)；右折専用；右折すれ</t>
        </is>
      </c>
      <c r="F702" t="inlineStr">
        <is>
          <t>小回り右折；右折矢印；右折方法；右折線；右折左折</t>
        </is>
      </c>
      <c r="H702" t="n">
        <v>29</v>
      </c>
      <c r="I702" t="inlineStr">
        <is>
          <t>途中で大きく右折しており、トレースにはやや注意が必要な道でもある。；二台は二十メートル程先の交差点を激しくタイヤを鳴らしながら右折した。；長野市と比較して右折信号のある交差点が少ないことも要因とされる。；おれは何気ない風に交差点を左へ折れ、二〇メートルほど進んで右折した。；スタート地点からゴール地点までを右折だけで移動しスピードを競う。；両岸に交差点があり、当橋梁上に両交差点の右折車線が設置されている。；レストランを出て、再び国道を走り、右折して広い真っ直ぐの道に出た。；「わかってる」妻の車は公園をまくように右折して病院の陰に消えた。；赤信号での右折車は、他の車・人の流れを優先させなければならない。；さきのT字交差点で右折して入ってくる車が、何台もつづいている。；なお開運橋東五差路は菜園通りから当線への右折が終日禁止されている。；都市のすぐ下手で川は右折し、すぐに絶壁が両都市を視界から隠した。；赤信号での右折車両は、他の交通の流れを優先させなければならない。；日本の矢印式信号機は特に右折する車両の多い交差点に設置されることが多い。；踏切から凄い速度で出現した車が、タイヤを軋ませながら右折してきた。；一方通行と右折左折禁止の表示に誘導されるように車は進んでいった。；そこを右折するように地図では示されていたため、私は従い、一〇三号に入る。；フィリピンでは、禁止標識がなければ赤信号での右折は許可されている。；バスは対向車をやりすごしたあと、ゆっくりと旋回するように右折した。；両者は揉み合いとなったが、デモ隊は進行を続け、木屋町通を右折した。；まるで一成が右折しようとするのを待って、路傍から飛び出してきたようだ。；中野の話によると、彼は交差点を右折しようとしたのだという。；川に沿った道は僅かに右折してなだらかな丘に続いていた。；信号は赤だったが、青海一丁目と表示された交差点を強引に右折した。；料金所手前で右折して路線バス専用ロータリーに入り、乗客扱いを行う。；エリダナ中央駅から西へ二駅の所にある新カルナ駅西口を出てすぐに右折。；それを回避するため右折優先ルールが生まれたとされている。；白の軽は環状八号線を世田谷方面に向かって走り、第一京浜を右折した。；その脇に重ねた七、八人の死体の山へ、海人は右折する車のなかから視線を送った。</t>
        </is>
      </c>
      <c r="J702">
        <f>HYPERLINK("https://www.weblio.jp/content/右折", "词义详情")</f>
        <v/>
      </c>
      <c r="K702">
        <f>HYPERLINK("https://yourei.jp/右折", "查看例句")</f>
        <v/>
      </c>
    </row>
    <row r="703">
      <c r="A703" t="inlineStr">
        <is>
          <t>嘘</t>
        </is>
      </c>
      <c r="B703" t="inlineStr">
        <is>
          <t>成功</t>
        </is>
      </c>
      <c r="C703" t="inlineStr">
        <is>
          <t>読み方：うそ
１事実でないこと。また、人をだますために言う、事実とは違う言葉。偽(いつわ)り。「—をつく」「この話に—はない」
２正しくないこと。誤り。「—の字を書く」
３適切でないこと。望ましくないこと。「ここで引き下がっては—だ」
[用法]うそ・いつわり——「嘘偽りは申しません」のように同義重複で用いたり、「嘘（偽り）を言う」のようにほとんど同義で用いられる。◇「嘘も方便」「嘘から出た実(まこと)」「そう来なくては嘘だ」「嘘のように晴れ上がる」のような慣用句や慣用表現の「嘘」は「偽り」に置き換えることはできない。◇「偽り」は「嘘」よりも意識的、作為的で、改まった言い方。「偽り」はまた、「彼の言動には偽りが多い」「偽りの愛」のように言葉以外に行動や態度で欺く場合にも用いられる。◇類似の語に「虚偽」がある。「偽り」と同義で、「虚偽の申告をする」のように、多く文書などに用いられる。</t>
        </is>
      </c>
      <c r="D703" t="inlineStr">
        <is>
          <t>嘘をつい(12%)；嘘じゃない；嘘みたい；嘘偽り；嘘いつわり</t>
        </is>
      </c>
      <c r="E703" t="inlineStr">
        <is>
          <t>偽；うそ；虚偽；偽り；虚</t>
        </is>
      </c>
      <c r="F703" t="inlineStr">
        <is>
          <t>言えば嘘；いえば嘘；みんな嘘；真っ赤な嘘；どんな嘘</t>
        </is>
      </c>
      <c r="G703" t="inlineStr">
        <is>
          <t>嘘っぱち；嘘八百；嘘発見器；嘘吐き；嘘の皮</t>
        </is>
      </c>
      <c r="H703" t="n">
        <v>29</v>
      </c>
      <c r="I703" t="inlineStr">
        <is>
          <t>犯人は嘘を書いているわけではないのだから決してアンフェアではない。；そうして自分の意識が再生産され続けるよう嘘を張り巡らせたのだった。；結局このシーズンは前年の打撃が嘘のように本塁打は僅か2本となった。；嘘の公式発表をするのと並行してマッカーサーは脱出の準備を進めていた。；嘘をつく人の言うことが信用できるかどうかは、ややこしい問題を生む。；現実と区別されるのは、嘘や真実を組み合わせてできたものである。；最後にはデーブ本人が登場し、番組の内容が全て嘘であると認めて終わる。；「嘘をつかないこと」は幸福になるための都合の良い手段にすぎない。；俊徳丸はそれを必死になって止め、致し方なくさらに嘘を重ねてしまう。；真実のように嘘をつき、関わった人の運命を変えると言われ忌み嫌われる。；根も葉もない嘘であったが、当初の複数犯人説を信じ続ける者がいた。；ここまで来て離婚してませんなんて文春さんによくも嘘言えたもんだ。；だから、ヨワムシとかナキムシとか言ってたけどあれはまるで嘘ですよ。；もしこれで嘘をついていることが判明した場合、舌を抜かれてしまうという。；大石の嘘から自分を北白河陽子と思い始めた真美子を連れて日本へ戻る。；事件後はそれまでが嘘のように企業からの連絡はなくなっていた。；両親はニコールに巡礼したと言っていたが、それは両親の嘘であった。；彼は刑事に嘘の自白をすると、ロキシーは彼に捧げる歌を心の中で歌う。；後に、イギリス諜報機関から入手したこの情報は嘘であったことが判明した。；嘘から始めた喧嘩だったが、ふたりはだんだん本気になっていく。；さて、彼は本当のことを言っているか、それとも嘘をついているか?；そして、わざと嘘を言っているのでない限り、その予言は必ず真実となる。；彼がついた嘘は現実になる・現実に存在することがある。；だが自分の信じていたものすべてが嘘だったことを知ったまゆは絶望に陥っていた。；その嘘は彼が最も大事にしている作品の中にもあった。；するとフレッチャーは絶対に嘘をつけないようになってしまった。；ただし、一部の嘘予告のネタに近い作品が実際にリリースされている。；ローダは自分が最後にクロードを見たことについても嘘をついていた。；そして、ガチャ子のアイディアで未来に帰る嘘の口実を作る事になった。</t>
        </is>
      </c>
      <c r="J703">
        <f>HYPERLINK("https://www.weblio.jp/content/嘘", "词义详情")</f>
        <v/>
      </c>
      <c r="K703">
        <f>HYPERLINK("https://yourei.jp/嘘", "查看例句")</f>
        <v/>
      </c>
    </row>
    <row r="704">
      <c r="A704" t="inlineStr">
        <is>
          <t>嘘つき</t>
        </is>
      </c>
      <c r="B704" t="inlineStr">
        <is>
          <t>成功</t>
        </is>
      </c>
      <c r="C704" t="inlineStr">
        <is>
          <t>読み方：うそつき
嘘を言うこと。嘘をつく人。</t>
        </is>
      </c>
      <c r="D704" t="inlineStr">
        <is>
          <t>嘘つき呼ばわり(4%)；嘘つき野郎；嘘つきじゃない；嘘つき村；嘘つき四剣士</t>
        </is>
      </c>
      <c r="E704" t="inlineStr">
        <is>
          <t>偽者；与太郎；嘘吐き；贋者</t>
        </is>
      </c>
      <c r="F704" t="inlineStr">
        <is>
          <t>みんな嘘つき；みな嘘つき</t>
        </is>
      </c>
      <c r="G704" t="inlineStr">
        <is>
          <t>嘘つき女；嘘つきみーくんと壊れたまーちゃん；嘘つき解散；嘘つきバービー；嘘つきアーニャの真っ赤な真実</t>
        </is>
      </c>
      <c r="H704" t="n">
        <v>29</v>
      </c>
      <c r="I704" t="inlineStr">
        <is>
          <t>長い文化の歴史の中で、人間たちはあまりにも嘘つきになってしまった。；もちろん村一番の嘘つきである彼のことを鵜呑みにすることはできない。；夏美は嘘つきだが、身体を張っておれになにかを証明しようとしたのだ。；詩人にしてもそのほかのだれにしろ、なんという嘘つきばかりなのだろう。；嘘つきだといわれても、それを証明するなにものも加藤にはなかった。；嘘つきというと政治家と結びつける人があるが、これに私は異論がある。；わしがそれを知らずとも、お前の顔にすでに嘘つきと書いてあるのが証拠だ。；そして、見事優勝し「嘘つき王」の称号を手にするのは、一体誰なのか。；ただし、以下のような強嘘つき文 の場合やはりパラドックスが起こる。；いや、この時くらい、嘘つきの希望が我々を迷わすことはないのである。；大へんな嘘つきなのに本人はその嘘を嘘だとは夢にも考えていない。；我々は嘘つきの言うことの正反対を確かな事と見なすことができようから。；嘗て嘘つきや革命の敵と告発するジロンド派に用いられた手段を用いた。；ここでもわれわれは「言葉」という嘘つきに欺されていたのではないか。；ただし、今回私が御招待する七人のうち、一人だけは嘘つきと縁がない。；「嘘じゃないだろうな」 朝からずっと嘘つき呼ばわりされてるみたい!；ひとりは嘘を全くつかない正直者でもうひとりは口を開けば嘘ばかりの嘘つきだった。；といって、男がこわがっていないという人があったら、それは嘘つきだ。；しかし、諸君の心を破壊する嘘つきのレンズに耳を傾けてはなりません。；あのご婦人は、お友達のことを嘘つきだと、君に話したのでしたね。；ちょっと驚きはしたが、どうせまた嘘つきアーニャの法螺話だと思った。；その闇の中の系図で、時々鋭い感覚を持った天性の嘘つきが復活しました。；このテーマを強調するため、味方サイドにも大きな嘘つきを一人投入。；もし感じたと云うものがあれば、莫迦か嘘つきかだとも信じていた。；彼が僕のことを全く恥知らずの嘘つきだと考えたことは明らかだった。；もし清市が今帰ってしまったら、あたしは警官に嘘つきだと思われてしまう。；俺に別れてえ訳というのも、そのことからじゃねえか、この嘘つきめ。；人間は嘘つきの二重人格者であることが、これからもよくわかります。；もしも、てめーんとこの鏡が嘘ツキ野郎だとしたら、女王様は許さんぞ。</t>
        </is>
      </c>
      <c r="J704">
        <f>HYPERLINK("https://www.weblio.jp/content/嘘つき", "词义详情")</f>
        <v/>
      </c>
      <c r="K704">
        <f>HYPERLINK("https://yourei.jp/嘘つき", "查看例句")</f>
        <v/>
      </c>
    </row>
    <row r="705">
      <c r="A705" t="inlineStr">
        <is>
          <t>歌</t>
        </is>
      </c>
      <c r="B705" t="inlineStr">
        <is>
          <t>成功</t>
        </is>
      </c>
      <c r="C705" t="inlineStr">
        <is>
          <t>読み方：うた
１拍子と節をつけて歌う言葉の総称。また、それを歌うこと。神楽歌・催馬楽(さいばら)・今様(いまよう)から、現今の唱歌・民謡・歌謡曲などまで種類が多い。
２一定の音節数によって語の調子を整えた感情の表現。長歌・短歌・旋頭歌(せどうか)や近代詩などの総称。
３（歌）和歌。特に、短歌をさしていう。「—の道」
４（唄）三味線を伴奏とする「うたいもの」の称。長唄・端唄(はうた)・小唄・地唄など。
[補説]2で、近代詩の場合には「詩」とも書く。
[下接語] 東(あずま)歌・後(あと)歌・糸繰り歌・田舎歌・稲刈り歌・稲扱(こ)き歌・今様歌・伊呂波(いろは)歌・祝い歌・牛追い唄・牛方唄・臼(うす)歌・江戸唄・大歌・置き唄・踊り歌・替え歌・返し歌・神楽歌・懸け歌・陰唄・数え歌・片歌・門付(かどづけ)歌・賀の歌・歌舞伎(かぶき)唄・神歌・上方唄・唐歌・杵(きね)歌・木遣(や)り歌・口説き歌・組歌・久米(くめ)歌・下座(げざ)唄・恋歌・小唄・小歌・腰折れ歌・琴歌・木挽(こび)き歌・子守歌・在郷(ざいごう)歌・棹(さお)歌・防人(さきもり)の歌・座敷歌・戯(ざ)れ歌・騒ぎ歌・地歌・仕事歌・地搗(つ)き歌・芝居唄・三味線歌・祝儀歌・巡礼歌・畳句(じょうく)歌・田植え歌・田歌・田打ち歌・立(たて)唄・茶摘み歌・継ぎ歌・付け歌・鼓唄・紡ぎ歌・連ね歌・手鞠(てまり)歌・鳥追い歌・長唄・長歌・長持(ながもち)歌・端(は)唄・白鳥の歌・鼻歌・浜歌・流行(はや)り歌・引き歌・鄙(ひな)歌・百首歌・琵琶(びわ)歌・風俗(ふぞく)歌・船歌・祝(ほぎ)歌・盆歌・盆踊り歌・前歌・馬子唄・鞠(まり)歌・短(みじか)歌・持ち歌・本(もと)歌・大和(やまと)歌・童(わらべ)歌
[補説]2016年に実施した「あなたの言葉を辞書に載せよう。2016」キャンペーンでの「歌」への投稿から選ばれた優秀作品。◆国境をこえて人と人をつなぐ声の手紙。アキさん◆一瞬で過去の自分にタイムスリップできる鍵。ぽんちょびさん◆想いを伝える手段。ほーがさん◆嬉しいとき、楽しいとき、悲しいとき、落ち込んだときなど、わたしたちの感情に寄り添ってくれるもの。RUMIさん◆音痴の地獄。takuroさん◆希望やパワー・空想・妄想・情景が浮かぶ歴史年表。心の履歴書。人類にとって共通・共有出来る五線譜。メスカリートさん◆言葉を旋律に乗せ、さらにそれを人の声で発することにより、言葉の力を途方もなく増幅するもの。yatakusaさん◆人生の節目の思い出になくてはならないもの。その記憶を鮮明に蘇らせてくれる装置。ピンキーさん</t>
        </is>
      </c>
      <c r="D705" t="inlineStr">
        <is>
          <t>歌舞妓；歌風；歌はれ；歌調；歌詩</t>
        </is>
      </c>
      <c r="E705" t="inlineStr">
        <is>
          <t>曲；楽曲；歌唱；唄；歌謡</t>
        </is>
      </c>
      <c r="F705" t="inlineStr">
        <is>
          <t>古歌；此歌；頌歌；挿入歌；愛唱歌</t>
        </is>
      </c>
      <c r="G705" t="inlineStr">
        <is>
          <t>歌詞；歌う；歌い；歌唱；歌わ</t>
        </is>
      </c>
      <c r="H705" t="n">
        <v>29</v>
      </c>
      <c r="I705" t="inlineStr">
        <is>
          <t>最後に総合得点を発表し、ゲストが中央に移動して、歌コーナーとなる。；歌や踊りを披露を通して明治時代の魅力を伝えるために活動をしている。；またそれぞれの部隊が独自に部隊歌を作曲、制定している場合もある。；それまで歌だけのステージに芝居を加える舞台公演の第一号であった。；それ以前にはテレビと同様に歌が含まれたものが使用されていた。；以下の歌の中にも伊勢物語の中でも重要な段で登場するものも多い。；本業柄、ストーリー上で歌を歌うキャラクターに起用されることも多い。；この歌は農民を中心とする民衆が権力者に対抗した収穫人戦争に由来する。；拓郎ほどその生き様と歌がぴったり一致しているアーティストはいない。；かなり芸術的な詩なので、どちらかというと歌つきの演奏が多い。；彼がよく歌ったとされるプロバンス語の歌はまったく残っていない。；ポトツカ夫人が見舞いに訪れており、病床の彼のために歌を歌っている。；歌のセットは作られず、バンド前に全歌手が椅子に座っていた。；以来自らの歌だけでなく著名アイドル歌手に対する楽曲の提供を行う。；歌が好きで、数千人に及ぶ観衆を集めコンサートを開くのが趣味であった。；中国語の歌は、メロディーに歌詞をつける際に声調はあまり重視されない。；歌手が自分の持ち歌の中で歌唱しながら手話を同時に行う例がある。；満月は堀江由衣の歌をイメージしたキャラだと作者がコメントしている。；音楽の授業では、詩に曲をつけさせたり、遠藤が作曲した歌を歌ったりした。；これを撞除法と言い、また歌の頭の文字から通称で見一と呼ばれる。；歌詞が文学的なタンゴは歌がつけられた演奏になる傾向にある。；新古今和歌集に収録された当歌は、後に『百人一首』に採録されている。；また、哀歌はエルサレム陥落を嘆いたとされる歌をまとめたものである。；入祭の歌は義務ではないが、歌わない場合は入祭唱を唱えなければならない。；しかし、皆さんそれぞれにご自分の好きな歌があるじゃないですか。；ただ、それは歌から始まったのではないかと考えられている。；歌には詩がある、なんてことをまるで考えちゃいないんだよ。；この曲は、歌謡曲経由で、再びキリスト教賛美歌に使用されるに至った。；この時に城の四方から項羽の故郷である楚の国の歌が聞こえてきた。</t>
        </is>
      </c>
      <c r="J705">
        <f>HYPERLINK("https://www.weblio.jp/content/歌", "词义详情")</f>
        <v/>
      </c>
      <c r="K705">
        <f>HYPERLINK("https://yourei.jp/歌", "查看例句")</f>
        <v/>
      </c>
    </row>
    <row r="706">
      <c r="A706" t="inlineStr">
        <is>
          <t>歌う</t>
        </is>
      </c>
      <c r="B706" t="inlineStr">
        <is>
          <t>成功</t>
        </is>
      </c>
      <c r="C706" t="inlineStr">
        <is>
          <t>読み方：うたう
［動ワ五（ハ四）］
１音楽的な高低・調子などをつけて発声する。「歌を—・う」「ピアノに合わせて—・う」
２（「詠う」とも書く）詩歌を作る。また、詩歌に節をつけて朗読する。「望郷の心を—・った詩」
３鳥などがさえずる。鳴く。「花咲き鳥—・う」
４（謳う）
㋐多くの人々が褒めたたえる。謳歌する。「太平の世を—・う」
㋑ある事を盛んに言いたてる。また、明記して主張する。「国民主権を—・った憲法」→謳(うた)われる
[補説]1で、謡曲をうたう場合は多く「謡う」と書く。
[可能]うたえる</t>
        </is>
      </c>
      <c r="D706" t="inlineStr">
        <is>
          <t>歌うたい；歌うべき；歌うような声；歌うような調子；歌うような口調</t>
        </is>
      </c>
      <c r="E706" t="inlineStr">
        <is>
          <t>歌唱；唱える；うたう；唄う；詠む</t>
        </is>
      </c>
      <c r="F706" t="inlineStr">
        <is>
          <t>合わせて歌う；乗せて歌う；歌うたう；歌うよう指示</t>
        </is>
      </c>
      <c r="G706" t="inlineStr">
        <is>
          <t>歌うヘッドライト；歌う白骨；歌う革命；歌うたいのバラッド；歌う女・歌わない女</t>
        </is>
      </c>
      <c r="H706" t="n">
        <v>29</v>
      </c>
      <c r="I706" t="inlineStr">
        <is>
          <t>でもそれを歌うと全然別の話で、僕はそのせいで周りの目が気になった。；ゲストが歌手の場合、そっくりさんたちはその人の持ち歌を歌っていた。；命にかかわる可能性があるにもかかわらず歌ってしまっていたと語られた。；なんと先程会った男性が、自分が書いた詞に曲をつけて歌っていたのだ。；以前のように歌えなくなってきていたが、歌姫たる行動で知られていた。；彼女の声の才能は、教会の合唱団で歌い始めたときに最初に気づかれた。；しかし、やがては息子の作になる曲を孫のピアノ伴奏で歌う幸せも得た。；その前、イギリスのテレビに出演し、本当に歌うのではないと説明した。；歌うときのスタイルは左手を上下に振る独特な方法で音程をとっている。；その際に、お父さんはウクレレを弾いている真似をしながら歌っていた。；ところが喉の病気が原因で、思い切り歌うことが出来ない身体であった。；しかし、さびしさをそのままさびしいと歌ったのみでは歌の評価は低い。；また、この頃より、封印していた初期の曲の一部を再び歌うようになる。；新たに曲を出したこともあり、ライブで『花』を歌わない時期もあった。；海外に輸出されたアニメの主題歌を現地語吹き替えで歌っている例もある。；彼女が歌えなくなったことについて、いろいろな噂が流れたためらしい。；本業柄、ストーリー上で歌を歌うキャラクターに起用されることも多い。；これにはイアンの書く絶望や孤独を歌った歌詞も大きく貢献している。；日本以外では、概ねフランス版の曲をベースに、各言語で歌われている。；歌えないのなら番組には出ないと、スタジオから出て行ってしまった。；彼は少女が詩を詠ったから、自分もほんとうに歌でも歌おうかと思った。；だがソロ活動や近年のステージではギターを弾きながら歌うこともある。；歌えない、と言った方が事実に近いが、あまりふれたくない話題である。；その後もKeyのゲームやそのアニメ化作品の主題歌を多数歌っている。；ジュリアンは、相手がまたこれを歌おうとするのかと思ってぞっとした。；陽気に童心を歌ったこの歌は、今も国境や世代の壁を越えて広がっている。；彼がよく歌ったとされるプロバンス語の歌はまったく残っていない。；またコンサートでもこれらの楽器を演奏しながら歌っていた。；ポトツカ夫人が見舞いに訪れており、病床の彼のために歌を歌っている。</t>
        </is>
      </c>
      <c r="J706">
        <f>HYPERLINK("https://www.weblio.jp/content/歌う", "词义详情")</f>
        <v/>
      </c>
      <c r="K706">
        <f>HYPERLINK("https://yourei.jp/歌う", "查看例句")</f>
        <v/>
      </c>
    </row>
    <row r="707">
      <c r="A707" t="inlineStr">
        <is>
          <t>疑い</t>
        </is>
      </c>
      <c r="B707" t="inlineStr">
        <is>
          <t>成功</t>
        </is>
      </c>
      <c r="C707" t="inlineStr">
        <is>
          <t>読み方：うたがい
うたがうこと。怪しいと思うこと。疑念。不審。「—がかかる」「贈賄の—で逮捕される」</t>
        </is>
      </c>
      <c r="D707" t="inlineStr">
        <is>
          <t>疑いもなく(6%)；疑いなく(2%)；疑いたくなる；疑い始め；疑いなし</t>
        </is>
      </c>
      <c r="E707" t="inlineStr">
        <is>
          <t>不明；疑問；不安定；不審；予感</t>
        </is>
      </c>
      <c r="F707" t="inlineStr">
        <is>
          <t>お疑い；そんな疑い；信じて疑い；そういう疑い；疑いも無く</t>
        </is>
      </c>
      <c r="G707" t="inlineStr">
        <is>
          <t>疑い深く；疑い深；疑いぶかい；疑いぶかく；疑い無く</t>
        </is>
      </c>
      <c r="H707" t="n">
        <v>29</v>
      </c>
      <c r="I707" t="inlineStr">
        <is>
          <t>これも同じ汚職事件に関与した疑いで逮捕される直前の出来事であった。；そのため本人から、わざとやっているのではと疑いをかけられている。；主の戦争を戦うことが許された、疑いようのないキリストの戦士なり。；絵画製作のために自分や友人の子供のわいせつな写真を撮影した疑い。；この作品は破壊工作員の疑いをかけられた青年が主人公の物語である。；これがパリの聴衆のために書かれたことの直接の結果であることは疑いない。；これは後にNSAの盗聴用バックドアが含まれている疑いがかけられた。；またジョンソンが同性愛者なのではないかという疑いを完全に否定した。；オセアニアにも産するが、これは、帰化したものであるとの疑いがある。；単幕化の要請はより緊迫化したドラマ構成を要求しているのは疑いなかった。；あるいは疑い例の基準で定義された自律神経症状を自覚した時とされている。；以下は本事故同様にパイロットが意図的な操縦で墜落させた疑いがある事故。；同社の社長ら幹部が関与していた疑いが指摘されている。；教会から異端の疑いを受けながらも彼は帝国の支持を得ていた。；彼が体を分割して複数の場所に同時に現れられる神仙であることは疑いようもない。；ただ彼がハイドンの弦楽四重奏曲に学び、影響を受けたことは疑いない。；両性具有の疑いがあるということがGAみちにて公表されたことがある。；しかし周囲からあらぬ疑いをかけられることを避ける手立てはなかったのである。；反乱の疑いのあるものは政治犯収容所S21などに収容され虐殺された。；今はそれが疑いのないことだと分かるようになった。；しかし遺体の爪が変色していたので毒殺または服毒自殺の疑いもある。；なお埼玉県警はその後の捜査でこの男を動物愛護法違反の疑いで逮捕した。；不幸にして軍が敗れたとはいえ、その誠の心は天地にただして疑いは一切ない。；海の民の蹂躙により豊かな都市がいくつも崩壊されたのには疑いようがない。；この検討会議が終わると、森は「成功疑いない」と宣言したという。；同年10月に女性が、不正アクセス禁止法違反などの疑いで逮捕された。；このため事件への関与の疑いを残したまま統一教会は捜査対象から外された。；それらは犯人が犯行に利用した疑いがある車両だと断定された。；周期表の考えは発表当初は疑いの目で見るものも多かった。</t>
        </is>
      </c>
      <c r="J707">
        <f>HYPERLINK("https://www.weblio.jp/content/疑い", "词义详情")</f>
        <v/>
      </c>
      <c r="K707">
        <f>HYPERLINK("https://yourei.jp/疑い", "查看例句")</f>
        <v/>
      </c>
    </row>
    <row r="708">
      <c r="A708" t="inlineStr">
        <is>
          <t>疑う</t>
        </is>
      </c>
      <c r="B708" t="inlineStr">
        <is>
          <t>成功</t>
        </is>
      </c>
      <c r="C708" t="inlineStr">
        <is>
          <t>読み方：うたがう
［動ワ五（ハ四）］
１本当かどうか怪しいと思う。不審に思う。うたぐる。「—・う余地がない」「自分の目を—・う」
２事柄・事態を推測する。うたぐる。「にせ札ではないかと—・われる」
３本当かどうか不安に思う。危ぶむ。「効果を—・う」
[可能]うたがえる</t>
        </is>
      </c>
      <c r="D708" t="inlineStr">
        <is>
          <t>疑うべき(3%)；疑うべく(2%)；疑うべから；疑うなら；疑うことなく</t>
        </is>
      </c>
      <c r="E708" t="inlineStr">
        <is>
          <t>思う；推測；問う；推察；懐疑</t>
        </is>
      </c>
      <c r="F708" t="inlineStr">
        <is>
          <t>もはや疑う；疑うことなかれ；疑う能わ；疑うなかれ；疑う余地なし</t>
        </is>
      </c>
      <c r="H708" t="n">
        <v>29</v>
      </c>
      <c r="I708" t="inlineStr">
        <is>
          <t>一瞬、目を開いているつもりで実は閉じたままなのではないかと疑った。；わたしはかれらがまた人の犬をなにか悪事に使うのではないかと疑った。；彼は当時はその体験を疑っていたが、先入観は持たないでいたと述べた。；実弘らはかつての仲間であった龍造が裏で糸を引いているのではと疑う。；多くの人々が女王と結婚するためにダドリーが妻の死を企てたと疑った。；そのため、彼の弟子は根本的に音楽のルールを疑うタイプの人間が多い。；そしてその女と云うことが疑えなくなった時、自分は少しがっかりした。；多くの民衆は松永久秀の策動が背景にあったことを信じて疑わなかった。；ヨーロッパの中世では広く神の存在が信じられ、神を疑う人は稀であった。；夫が人形のために女の声色を使っていたことも、疑う余地はありません。；中には本当は中国にすら行っていないのではないかと疑う学者もいる。；このことがあって以来、地動儀の正確性を疑うことはなくなったという。；それにこの場合、最高度の報復能力がロボット船にあることも疑えない。；実際、自分自身以外の人物は全てボットではないかと疑うこともできる。；私は之を決して高く評価はしないが、とにかく芸術であることは疑えない。；いくつかのメタ分析と研究は自我消耗効果の大きさと存在を疑っている。；疑えば、そういうことをやりそうな冗談好きの友人はいくらでもいた。；それでもお乳母さんはまだ疑うような顔をして、首をかしげていました。；実際、陪審員は全員起訴されていない他のメンバーも疑っていたという。；また、市民の一部はカプアのローマ軍が敗北したのではないかと疑った。；私は全く無感動のまま、これはどうしたことだろうと自分の心を疑ってみた。；そのため、両者は別の時代に由来するのではないかと疑われたこともあった。；このボールは今でもで見ることができ、疑う余地のない卵形をしている。；半分疑っておられるが、やはり一族の宝石を渡して金に換えさせている。；そんなことをしたら、かえって疑って逃げてしまうじゃありませんか。；夢でも見ているのではないかと、わが目わが耳を疑う外はなかった。；兄の返事がなんだかあいまいなので、お光は少し疑うような眼色を見せた。；妻は寝ぬそうな表情でそんなことを言うのは私を疑っているからなのねと泣き出す。；そして人びとは誰一人それを疑おうともせずひたむきに音楽を追っている。</t>
        </is>
      </c>
      <c r="J708">
        <f>HYPERLINK("https://www.weblio.jp/content/疑う", "词义详情")</f>
        <v/>
      </c>
      <c r="K708">
        <f>HYPERLINK("https://yourei.jp/疑う", "查看例句")</f>
        <v/>
      </c>
    </row>
    <row r="709">
      <c r="A709" t="inlineStr">
        <is>
          <t>疑わしい</t>
        </is>
      </c>
      <c r="B709" t="inlineStr">
        <is>
          <t>成功</t>
        </is>
      </c>
      <c r="C709" t="inlineStr">
        <is>
          <t>読み方：うたがわしい
［形］［文］うたがは・し［シク］
１真実かどうか疑いたくなるようすである。信用できない。「—・い説」
２はたしてそうなるかどうか不確かである。「目標達成は—・い」
３普通でない。怪しい。不審である。「—・い振る舞い」
→怪(あや)しい［用法］
[派生]うたがわしげ［形動］うたがわしさ［名］</t>
        </is>
      </c>
      <c r="D709" t="inlineStr">
        <is>
          <t>疑わしいもの(8%)；疑わしい点(3%)；疑わしい人物(2%)；疑わしいところ；疑わしい場合</t>
        </is>
      </c>
      <c r="E709" t="inlineStr">
        <is>
          <t>妙；不明；変；分からない；臭い</t>
        </is>
      </c>
      <c r="F709" t="inlineStr">
        <is>
          <t>かも疑わしい；かなり疑わしい；非常に疑わしい；大いに疑わしい；甚だ疑わしい</t>
        </is>
      </c>
      <c r="H709" t="n">
        <v>29</v>
      </c>
      <c r="I709" t="inlineStr">
        <is>
          <t>さらに包囲されたいずれかの都市で病気が起きたことはかなり疑わしい。；法律はあまりにも過酷だったのでこれが適用されたかどうかは疑わしい。；しかしそう考えるだけの確かな根拠があるかどうか自分には疑わしい。；平生の陵の行為の一つ一つがすべて疑わしかったことに意見が一致した。；伝承によると初代別当は孝霊天皇の時おかれたとあるがこれは疑わしい。；トリーが招待したのはたしかに疑わしい人たちばかりだとは思えないね。；実際に忍者がこの刀を使っていたかどうか、疑わしいとする考察がある。；しかしそれができたとしたところでどれだけの手がらになるかは疑わしい。；今回は自分の疑わしい点を善意に解釈して、運命の女神のせいにしよう。；麓にあるその家は古い木造で、人が住んでいるのかどうか疑わしかった。；この時代のこれよりも大きな入植地が発見されるかどうかは疑わしい。；しかし、それだけで帰郷の理由の全部が尽きていたかどうかは疑わしい。；心というものがいったいどういう存在なのか、疑わしかったからである。；所が、色といい格好といい、どうも本当の牡蠣であるかどうか疑わしい。；この青年のふるまいには、何ひとつ疑わしいところはなかったのだから。；そう思えば思うほど、お孝にも幾つか疑わしい記憶がよみがえってきた。；彼がはたしてこういう連中の絵を見ていたかどうかさえ大いに疑わしいのだ。；無益な試みをやってみたあとのこととて、それができるかは疑わしかった。；そのため、実際に王として統治していたか疑わしいと考える研究者もいる。；果して彼らの絵を見たことがあるのか、それさえ僕は疑わしいと思う。；そして、男が疑わしそうな顔をするのを見ると、つづけていいました。；「教えてくれるならの話ですが」 疑わしそうな声で彼はいい返した。；「教えてくれるならの話ですが」疑わしそうな声でかれはいい返した。；実際に避難できたかどうかも疑わしく、混乱を抑えることも困難である。；だが、それが陸地にまで達することができるかどうかは、疑わしかった。；リジーの証言は一貫性がなく、彼女の行動には疑わしいところがあった。；彼女の足取りや身辺捜査から、彼以外に疑わしき人物は出て来なかった。；しかも、その時代でさえ、それを強く感じていたかどうかは疑わしい。；もちろん形式だけのことで、どこまで実行されていたかは疑わしい。</t>
        </is>
      </c>
      <c r="J709">
        <f>HYPERLINK("https://www.weblio.jp/content/疑わしい", "词义详情")</f>
        <v/>
      </c>
      <c r="K709">
        <f>HYPERLINK("https://yourei.jp/疑わしい", "查看例句")</f>
        <v/>
      </c>
    </row>
    <row r="710">
      <c r="A710" t="inlineStr">
        <is>
          <t>歌声</t>
        </is>
      </c>
      <c r="B710" t="inlineStr">
        <is>
          <t>成功</t>
        </is>
      </c>
      <c r="C710" t="inlineStr">
        <is>
          <t>読み方：うたごえ
歌をうたう声。</t>
        </is>
      </c>
      <c r="D710" t="inlineStr">
        <is>
          <t>歌声合成；歌声ライブラリ；歌声酒場；歌声列車</t>
        </is>
      </c>
      <c r="F710" t="inlineStr">
        <is>
          <t>甘い歌声；力強い歌声；低い歌声；パワフルな歌声；優しい歌声</t>
        </is>
      </c>
      <c r="G710" t="inlineStr">
        <is>
          <t>歌声は風にのって；歌声よおこれ</t>
        </is>
      </c>
      <c r="H710" t="n">
        <v>29</v>
      </c>
      <c r="I710" t="inlineStr">
        <is>
          <t>合成音声の歌声をより自然に聞こえさせる目的で用いられることもある。；魂のこもったような私の歌声は、彼女の歌を聴きながら育ったからだわ。；また自らとスタッフで結成したバンドの歌声をラジオで披露することもあった。；そしてそれらを歌った歌手本人がスタジオで歌声を披露していた。；切ない歌声と日記のような歌詞が若い女性の支持を得たと見られる。；するとどこからか耳をつんざくほどのしゃがれ声の歌声が聞こえてきた。；会場はしばらく静まり返っていたが、舞台袖から歌声が聞こえてきた。；何処からともなく聞こえてきた歌声に惹かれてドレミファ城にやってきた。；それは最初の戦いの時から聞こえてきた不思議な歌声だった。；リチャードの声もカレンの歌声と非常に相補的なものだと評価されていた。；この曲は彼の少ししゃがれた高い歌声を始めて録音した曲になる。；しかしクラシック音楽の体系の中では歌声は大きく7つに分類される。；アリアーヌがさらに地下室に向かって下っていくと、歌声が大きくなる。；彼の美声を一度聴けばその歌声に酔いしれない者はいないと言われている。；なお、KEIKOが病気発症以降、歌声が公開されたのは初めてとなる。；毎年ファン感謝デーにはギターと自慢の歌声をファンに披露している。；演技力のみならず、出演作の中で披露する歌声も高い評価を受けている。；アリはおそらく、その特徴的な歌声と歌唱力で最も知られていると言える。；知識人たちにはうたごえの店を鼻でせせら笑うか肩をすくめる習慣がある。；この曲にはフレディ・マーキュリーの生前最後の歌声が含まれている。；そして、いろいろなジャンルの曲を彼女の歌声で聴きたいという声もある。；声の分類は人間の歌声を評価して声域に選定していくことである。；瀬古は歌声に魅了されてカクテルの味なんて殆どおぼえていなかった。；教王たちが歌声のする館の主にもてなしを求めると許された。；彼女は歌声が低かったので、男性にも女性にも聞こえたのである。；その歌声はラジオで共演した沢田知加子にローレライの様だと評された。；甲斐はそれには気づかないようすで、しんと、うた声に聞きいっていた。；また彼の歌声からは、当時の時代に対する熱い反逆の息吹も見えてくる。；フラヴィオ・デルイゾラの歌声に導かれる奥深いブラジルへの旅である。</t>
        </is>
      </c>
      <c r="J710">
        <f>HYPERLINK("https://www.weblio.jp/content/歌声", "词义详情")</f>
        <v/>
      </c>
      <c r="K710">
        <f>HYPERLINK("https://yourei.jp/歌声", "查看例句")</f>
        <v/>
      </c>
    </row>
    <row r="711">
      <c r="A711" t="inlineStr">
        <is>
          <t>転寝</t>
        </is>
      </c>
      <c r="B711" t="inlineStr">
        <is>
          <t>成功</t>
        </is>
      </c>
      <c r="C711" t="inlineStr">
        <is>
          <t>読み方：うたたね
［名］(スル)眠るつもりもないまま、うとうとと眠ること。仮寝。「テレビを見ながら—する」</t>
        </is>
      </c>
      <c r="H711" t="n">
        <v>29</v>
      </c>
      <c r="I711" t="inlineStr">
        <is>
          <t>私は疲れたので砂地の上に横になり転寝していたと説明した。；転寝といふものは、少し為ると一時は存外精神を恢復させるものである。；主人の寝部屋の外で転寝をしている家来共のためには、鬱陶しい夜であった。；姉は寄り付かず、妹は嫌な夢を見るために転寝ばかりする、低い天井の住処。；五六日経った午後、連日の労れから、私はいつか座蒲団を枕に転寝をした。；昼食後一時間位、転寝をする事があるが、これをすると頭の工合の大変よいように思う。；その時分から酒を飲んだから酔って転寝でもした気でいたろう。；飲み終えた後、今度はヘッドフォンをつけずに転寝をした。；宇治の橋姫を言っているではないかと、さっきから転寝をしておいでになった宮のお心は騒いだ。；どうして、元気な人ですからね、今時行火をしたり、宵の内から転寝をするような人じゃないの。；八の転寝は鯨の背で打つ博奕にも負けないかも知れない。；アニメ最終回でも、転寝をしている軀の部屋に堂々と入り、原作でも自由に出入りしている。；やはり転寝の形であった竜之助はその声で覚めると、その見えない眼にパッと鬼火が燃えました。；きょうの午後には女がまたいつものように転寝をしたので、男はそっと抜け出して、森の中を散歩した。；きっと転寝でもしておいでなさるんだよ。；転寝はかぜを引くと、二階へ床を取りに行った時、女房は、石のように固くなって愛吉が膝を揃えて畏っていたのを見た。；彼女が、自分の持っているこうした財産には全く無とんじゃくで、来る日も、来る日も、ここで転寝をして過ごしていたとは、惜しいことだ。；わずかな転寝だったが、夢は見た。；晩酌の酒をのみすぎて、居間で転寝をしていた小兵衛は、井戸端で水をかぶる音に目ざめた。；百姓が夕方野良から帰つてみると、玄知は花の下で狗ころのやうに鼾を掻きながら転寝をしてゐた。；根戸はしっかりと、今しがた転寝をしていたのだろう籐椅子の肘当てを握りしめていた。；泊まりはなし、の不文律はあるものの、夕食後から深夜まで並んで転寝するぐらいは日常茶飯事。；外の奉公人たちは一日の用事を済ましてから皆風呂に入ることを怠らないのに、彼女は夜になれば女中部屋で転寝をして、そのまま寝間着にも着換えずに寝てしまう。；と、おきねはおもったのか、それとも、無人になったので、小兵衛が転寝をしている部屋へあらわれたのか、そこのところは、いまもって小兵衛にはよくわからぬ。；転寝もせずに、どうしたか?；モトは縁側で転寝をし、幼い頃の夢を見た。；見習弟子はもう二十一歳になっていて白い乳房を子供にふくませて転寝しているお君を見ては、固唾をのみ、空しく胸を燃していた。；その日の午後晩く、畳の上にごろっと横になって転寝をしていると、宿屋の女中が、お客さまです、と言って襖を明けた。；あれまア、こんな所で転寝さして、風邪引くでねえかと傍さ寄ると、俺もう少しで腰さ抜かす所だったゞ。</t>
        </is>
      </c>
      <c r="J711">
        <f>HYPERLINK("https://www.weblio.jp/content/転寝", "词义详情")</f>
        <v/>
      </c>
      <c r="K711">
        <f>HYPERLINK("https://yourei.jp/転寝", "查看例句")</f>
        <v/>
      </c>
    </row>
    <row r="712">
      <c r="A712" t="inlineStr">
        <is>
          <t>家</t>
        </is>
      </c>
      <c r="B712" t="inlineStr">
        <is>
          <t>成功</t>
        </is>
      </c>
      <c r="C712" t="inlineStr">
        <is>
          <t>読み方：うち
［名］
１（「中」とも書く）ある一定の区域・範囲の中。
㋐仕切られた内側。内部。「家の—」⇔外(そと)。
㋑中心または手前に寄ったほう。「—に切れ込むシュート」
㋒ある範囲に含まれるもの。「会員の—から探す」「これも仕事の—」「苦しい—にも張り合いがあった」
㋓外から見えないところ。うら。「—を探ると、問題があるらしい」
㋔心の中。心。内心。「腹の—を探る」「—に秘めた思い」
㋕ある数量のなか。「三つの—から一つを選ぶ」
㋖ある時間のなか。以内。あいだ。「一瞬の—に消えた」「試合が二日の—に迫る」「若い—に苦労する」
２自分が所属しているものをいう。
㋐（「家」とも書く）自分が一員として属する家。また、他人の家も含めて、一般に家庭・家族をいう。「—が貧乏で苦労した」「—じゅうで出かける」「よその—」
㋑（「家」とも書く）自分の夫、また、妻。「—に相談してからにします」
㋒自分が所属するところ。「—の会社」⇔よそ。
㋓手紙の署名で、妻が夫の名に添えて「内」と書き、代筆であることを示す。
３（「家」とも書く）建物としての家。家屋。「いい—に住んでいる」
４（「裡」とも書く。「…のうちに」の形で）物事の行われる状況を表す。「暗黙の—に理解しあう」「会は成功の—に終わる」
５仏教に関すること。仏教以外、特に儒教を「外(そと・ほか)」というのに対していう。
６ひと続きの時間。特に、現世という限られた時間。
「たまきはる—の限りは平らけく安くもあらむを」〈万・八九七〉
７内面。内輪。うちとけた面。
「外(ほか)には仁義礼智信の五常を守りつつ、—にはまた、花鳥風月、詩歌管絃を専らとし」〈謡・経政〉
８宮中。内裏(だいり)。
「君はまづ—に参り給ひて」〈源・若紫〉
９天皇。
「—の渡らせ給ふを、見奉らせ給ふらむ御心地」〈枕・一二八〉
［代］一人称の人代名詞。わたし。わたくし。自分。関西地方で、多く女性が用いる。「—は嫌やわ」
［アクセント］1〜7はウチ、はウチ。
[用法]うち・なか——ある仕切りで区切られた空間・平面などを表す場合は、「外は寒かったが、部屋の内（中）には暖かく火が燃えていた」のように、「内」も「中」も同じように使うが、「内」のほうがやや文語的な言い方である。◇ある状態にあることを示す「雨の中を歩く」「忙しい中を無理に頼む」などは「内」に置き換えられない。また「中の指」のように順序の中間を示すときも「内」とはいわない。◇「大勢の応募者の内（中）から選ばれた人」のように「内」「中」は、また、ある範囲を示すこともある。この場合、ある時間の範囲内であることを示す「朝、まだ暗い内に出発した」や、事柄がある範囲に含まれることを示す「苦労するのも勉強の内だ」などでは、「内」を「中」で置き換えることはできない。
[下接句]足元の明るいうち・蝙蝠(こうもり)も鳥の内・舌の根の乾かぬうち・自慢高慢馬鹿(ばか)の内・腹も身の内・卑下も自慢の内・目の黒いうち・目高も魚(とと)の内・夜目(よめ)遠目(とおめ)笠(かさ)の内</t>
        </is>
      </c>
      <c r="D712" t="inlineStr">
        <is>
          <t>家じゅう；家当主；家譜；家士；家祖</t>
        </is>
      </c>
      <c r="E712" t="inlineStr">
        <is>
          <t>室；家族；門；屋；館</t>
        </is>
      </c>
      <c r="F712" t="inlineStr">
        <is>
          <t>芸術家；作曲家；落語家；音楽評論家；研究家</t>
        </is>
      </c>
      <c r="G712" t="inlineStr">
        <is>
          <t>家庭；家臣；家督；家で；家康</t>
        </is>
      </c>
      <c r="H712" t="n">
        <v>29</v>
      </c>
      <c r="I712" t="inlineStr">
        <is>
          <t>彼はこれをアイデアにとどめず可能とした軍事家として評価されている。；主人が練習に疲れて家に帰って来て、もう音は聞きたくないという。；再び病気が悪化したという理由もあるが、政治家を目指したからでもある。；ただし、伊能家の状況は必ずしも順風満帆ではなかったとする説もある。；現代でも旧・家臣団が鳴沢家当主の法要に列席するために集まってくる。；江戸時代には家元四家を中心としたプロ組織もでき、興隆の時期を迎えた。；幹部に昇進すれば京都に家を持ち、妻子や妾を迎えることが許された。；当時の名門家では文武両道を旨とし知的教育と並んで体育も奨励された。；著名な作曲家の墓は一か所に集められており、訪れる日本人も多い。；当時のソ連で楽譜が公に出版された唯一の日本人作曲家である。；アルキメデスもすぐには答えられず、いったん家に帰って考えることにした。；モスクを使わず、礼拝は宗教指導者の家に集まって行われることが多い。；国家国民のためにならない政治家が生まれるのは問題だ。；またこれらとは別に家兵などと呼ばれる節度使の私軍を抱えることが多い。；ユーゴー家はロレーヌの農民の出だが、父親はフランス革命以来の軍人。；いずれもバックに政治家や資本家がいて、裁定もしかねる状態であった。；一方で、各国で映画史的な研究が評論家によって精力的に行われていた。；グラミー賞はミュージシャンや音楽評論家から批判を受けることがある。；イギリスでは、批判的な活動家がロンドンにある店舗を爆破し、逮捕された。；州内からはアダムズ家やケネディ家など多くの著名政治家を輩出してきた。；独特の丸い形状の家はハインライン自身が妻と共同で設計したものである()。；被害額は当時にして約2億ドル、家を失った人は10万人に上ったという。；生まれてからしばらく、昼間のうちは親戚の家に預けられて育てられていた。；間に立ったのは布枝の母の弟で、この叔父の妻の実家が武良家の遠縁だった。；その為、沼地の多い中巨摩地域では、舟を所有していた家も多かった。；そしてその場所に巨大な家を建てさせたのである。；この家は偶然にも母の若い頃の友人宅であった。；それを聞いた宣王は急いで孟子の家まで出向き、また会えるでしょうか?；権藤英樹が事務所と使ってる家は千代田区にある旧渡邊洋治建築事務所。</t>
        </is>
      </c>
      <c r="J712">
        <f>HYPERLINK("https://www.weblio.jp/content/家", "词义详情")</f>
        <v/>
      </c>
      <c r="K712">
        <f>HYPERLINK("https://yourei.jp/家", "查看例句")</f>
        <v/>
      </c>
    </row>
    <row r="713">
      <c r="A713" t="inlineStr">
        <is>
          <t>内</t>
        </is>
      </c>
      <c r="B713" t="inlineStr">
        <is>
          <t>成功</t>
        </is>
      </c>
      <c r="C713" t="inlineStr">
        <is>
          <t>読み方：うち
［名］
１（「中」とも書く）ある一定の区域・範囲の中。
㋐仕切られた内側。内部。「家の—」⇔外(そと)。
㋑中心または手前に寄ったほう。「—に切れ込むシュート」
㋒ある範囲に含まれるもの。「会員の—から探す」「これも仕事の—」「苦しい—にも張り合いがあった」
㋓外から見えないところ。うら。「—を探ると、問題があるらしい」
㋔心の中。心。内心。「腹の—を探る」「—に秘めた思い」
㋕ある数量のなか。「三つの—から一つを選ぶ」
㋖ある時間のなか。以内。あいだ。「一瞬の—に消えた」「試合が二日の—に迫る」「若い—に苦労する」
２自分が所属しているものをいう。
㋐（「家」とも書く）自分が一員として属する家。また、他人の家も含めて、一般に家庭・家族をいう。「—が貧乏で苦労した」「—じゅうで出かける」「よその—」
㋑（「家」とも書く）自分の夫、また、妻。「—に相談してからにします」
㋒自分が所属するところ。「—の会社」⇔よそ。
㋓手紙の署名で、妻が夫の名に添えて「内」と書き、代筆であることを示す。
３（「家」とも書く）建物としての家。家屋。「いい—に住んでいる」
４（「裡」とも書く。「…のうちに」の形で）物事の行われる状況を表す。「暗黙の—に理解しあう」「会は成功の—に終わる」
５仏教に関すること。仏教以外、特に儒教を「外(そと・ほか)」というのに対していう。
６ひと続きの時間。特に、現世という限られた時間。
「たまきはる—の限りは平らけく安くもあらむを」〈万・八九七〉
７内面。内輪。うちとけた面。
「外(ほか)には仁義礼智信の五常を守りつつ、—にはまた、花鳥風月、詩歌管絃を専らとし」〈謡・経政〉
８宮中。内裏(だいり)。
「君はまづ—に参り給ひて」〈源・若紫〉
９天皇。
「—の渡らせ給ふを、見奉らせ給ふらむ御心地」〈枕・一二八〉
［代］一人称の人代名詞。わたし。わたくし。自分。関西地方で、多く女性が用いる。「—は嫌やわ」
［アクセント］1〜7はウチ、はウチ。
[用法]うち・なか——ある仕切りで区切られた空間・平面などを表す場合は、「外は寒かったが、部屋の内（中）には暖かく火が燃えていた」のように、「内」も「中」も同じように使うが、「内」のほうがやや文語的な言い方である。◇ある状態にあることを示す「雨の中を歩く」「忙しい中を無理に頼む」などは「内」に置き換えられない。また「中の指」のように順序の中間を示すときも「内」とはいわない。◇「大勢の応募者の内（中）から選ばれた人」のように「内」「中」は、また、ある範囲を示すこともある。この場合、ある時間の範囲内であることを示す「朝、まだ暗い内に出発した」や、事柄がある範囲に含まれることを示す「苦労するのも勉強の内だ」などでは、「内」を「中」で置き換えることはできない。
[下接句]足元の明るいうち・蝙蝠(こうもり)も鳥の内・舌の根の乾かぬうち・自慢高慢馬鹿(ばか)の内・腹も身の内・卑下も自慢の内・目の黒いうち・目高も魚(とと)の内・夜目(よめ)遠目(とおめ)笠(かさ)の内</t>
        </is>
      </c>
      <c r="D713" t="inlineStr">
        <is>
          <t>内彦；内側；内出血；内市街；内腔</t>
        </is>
      </c>
      <c r="E713" t="inlineStr">
        <is>
          <t>中；内部；内側；インナー；インサイド</t>
        </is>
      </c>
      <c r="F713" t="inlineStr">
        <is>
          <t>範囲内；公園内；地域内；地区内；括弧内</t>
        </is>
      </c>
      <c r="G713" t="inlineStr">
        <is>
          <t>内部；内側；内閣；内心；内外</t>
        </is>
      </c>
      <c r="H713" t="n">
        <v>29</v>
      </c>
      <c r="I713" t="inlineStr">
        <is>
          <t>州内には31の国が保護する原生地の全体あるいは一部が含まれている。；近年では学校生徒だけでなく一般市民も利用可能な学校内プールもある。；この頃、戒律の解釈問題で教団内に対立が起こり、分裂しそうになった。；春川芽生もニコモになって所属した事務所内で後に声優部へ移動している。；この内、同じコースで開催され続けているのはモナコGPのみである。；太陽系内においても、火星には生命が存在する可能性が指摘されている。；日本国憲法の解釈は、それぞれの機関が権限の範囲内で行なっている。；それが非常に多くのカーネル内のキャッシュミスの原因になっている。；クロアチアは帝国内の他地域と比較しても体制側に協力的だった。；セントヘレンズ山は州内で現在も活動を続けている唯一の火山である。；これは、分子内の結合や官能基の種類を特定するために一般に使用される。；個人間で行うものから組合やギルド等の特定のグループ内で行うものがある。；アルバム制作終了後、私はコントロール室内に入って全テイクを聴いた。；そして要素内にある属性は、互いに属性名が異なっていなければならない。；ロシアは要請に応じてタジキスタン内のロシア軍基地の使用準備を開始した。；放送区域内だからといって必ずしも全ての局が安定して受信できる訳ではない。；作品内では味方キャラクターからも馬鹿にされている。；しかしながら、これらの集団内での話し手の数は年々減少する傾向にある。；小説家一覧Wikipedia内に記事が存在する人物を中心とする。；北陸3県を対象とする番組および番組内の企画として以下のようなものがある。；州内には林野局の管理する9つの国有林の全体あるいは一部が含まれている。；過去には法務省内でも死刑の存廃やあり方などを議論してきた経緯がある。；この内いくつかの会話は録音されており、事件捜査に使用された。；のちに路面電車や鉄道にも拡大され、長崎県内の10社局が参加した。；ただし漫研内ではほとんど描いておらず、麻雀ばかりしていたと語っている。；さらに近年の線内利用者の増加に対応するため、以下の変化がもたらされた。；およびモクレレ航空、アイランドエアーなどが州内路線を運行している。；しかし、王国内の各地の諸侯は王権のこれ以上の拡大に危惧を抱いた。；学生新聞のように、小さなコミュニティ内で発行される無料紙もある。</t>
        </is>
      </c>
      <c r="J713">
        <f>HYPERLINK("https://www.weblio.jp/content/内", "词义详情")</f>
        <v/>
      </c>
      <c r="K713">
        <f>HYPERLINK("https://yourei.jp/内", "查看例句")</f>
        <v/>
      </c>
    </row>
    <row r="714">
      <c r="A714" t="inlineStr">
        <is>
          <t>打ち上げ</t>
        </is>
      </c>
      <c r="B714" t="inlineStr">
        <is>
          <t>成功</t>
        </is>
      </c>
      <c r="C714" t="inlineStr">
        <is>
          <t>読み方：うちあげ
１空高く上げること。「気象衛星の—」
２
㋐芝居や相撲などの興行を終えること。
㋑事業や仕事などを終えること。また、その終了を祝う宴。
３「打ち上げ花火」の略。
４能楽の囃子(はやし)や歌舞伎の鳴り物の手法の一つで、演奏に一段落つけるために調子を一段高めて奏するもの。
５簾(すだれ)を巻き上げて出入りするようにつくった駕籠(かご)。打ち上げ簾。打ち上げ乗り物。</t>
        </is>
      </c>
      <c r="D714" t="inlineStr">
        <is>
          <t>完成；スタート；終わる；発射；切る</t>
        </is>
      </c>
      <c r="F714" t="inlineStr">
        <is>
          <t>機打ち上げる</t>
        </is>
      </c>
      <c r="H714" t="n">
        <v>29</v>
      </c>
      <c r="I714" t="inlineStr">
        <is>
          <t>その中にはヴァンデンバーグ空軍基地での打ち上げ運用も含まれていた。；打ち上げの模様がはじめて中継放送され、自信の程を世界にあらわした。；これは、元々は弾道ミサイル打ち上げ用に設計・開発されたものである。；皮肉な事にこのロケットはいくつかのアメリカの衛星も打ち上げている。；移管後の初めての打ち上げとなる13号機では、以下の点が変更された。；打ち上げる単位ごとに筒が縛られ、それがあちこちに置かれているのだ。；打ち上げは、プロアマどちらでも大半の興行で伝統的に行なわれている。；最近では火葬しない遺体をそのまま打ち上げるサービスも始めている。；これら最初期の人工衛星は、すでに科学探査目的で打ち上げられていた。；各花火師が製作した10号玉を一発ずつ打ち上げそのデザインを楽しむ。；審査の現場では、注入後すぐに花火を打ち上げるわけではないのだから。；C型の1段目のモータケースを延長し、打ち上げ能力を大幅に強化した。；また、モスクワでの宇宙飛行士の訓練を受けて打ち上げを目指してきた。；異なる種類のロケットを打ち上げる為の設備の準備は完了している。；欧州宇宙機関が打ち上げる装置のほとんどはこのセンターで試験を受ける。；ロケットによる打ち上げは現代でも宇宙に到達する最も主要な手段である。；元は2011年の打ち上げ予定であったが、度々延期されたものである。；また、軍事衛星打ち上げ・運用においても中心的な役割を果たしている。；この計画は同日の打ち上げで1回の飛行を行っただけで終了した。；それを打ち上げるとしたらたぶん月ロケットと同じくらいの規模になるだろう。；またある例として、海岸に打ち上げられる波にも同じようなことが見られる。；しかも今回は二機連続で打ち上げるから特別な改修もした。；記載の場所以外でも、打ち上げに上空を飛ぶロケットを見ることは可能。；LE-7の開発が難航したため予定より2年遅れての打ち上げであった。；多くはロケット本体を取り囲むように配置され、打ち上げ時に点火する。；開発期間は4年半であり、打ち上げは計画当初の予定通りに行われた。；このプロジェクトでは複数の探査機械を2回に分けて打ち上げる予定である。；打ち上げ後から観測開始までのスケジュールおよび進捗を以下に示す。；ここは旧ソ連時代からロシアの全ての有人宇宙船の打ち上げに使われている。</t>
        </is>
      </c>
      <c r="J714">
        <f>HYPERLINK("https://www.weblio.jp/content/打ち上げ", "词义详情")</f>
        <v/>
      </c>
      <c r="K714">
        <f>HYPERLINK("https://yourei.jp/打ち上げ", "查看例句")</f>
        <v/>
      </c>
    </row>
    <row r="715">
      <c r="A715" t="inlineStr">
        <is>
          <t>打ち明ける</t>
        </is>
      </c>
      <c r="B715" t="inlineStr">
        <is>
          <t>成功</t>
        </is>
      </c>
      <c r="C715" t="inlineStr">
        <is>
          <t>読み方：ぶちあける
［動カ下一］
１中のものをすっかり出してしまう。
「文さんのお弁当は—・けてお仕舞い」〈二葉亭・浮雲〉
２隠しごとをせず、すっかり話す。うちあける。
「にしゃあ心安いから—・けて言ってもえいが」〈滑・続膝栗毛・一一〉</t>
        </is>
      </c>
      <c r="D715" t="inlineStr">
        <is>
          <t>打ち明けるべき</t>
        </is>
      </c>
      <c r="E715" t="inlineStr">
        <is>
          <t>告白；白状；自白；明かす；告白する</t>
        </is>
      </c>
      <c r="F715" t="inlineStr">
        <is>
          <t>これから打ち明ける</t>
        </is>
      </c>
      <c r="H715" t="n">
        <v>29</v>
      </c>
      <c r="I715" t="inlineStr">
        <is>
          <t>このように個人的な事情を打ち明けるつもりなどまったくなかったのに。；それに私を信用して何もかも打ち明けて、いま私の前で眠っているのだ。；しかし彼は自家の信用を維持するために誰にもそれを打ち明けなかった。；自ら好んでそんなことを打ち明けられるのには何か理由があるでしょう。；本来は決して耳に入れないようなことも、そっと打ち明けることがある。；さらに百合子はスウェーデンの日々のことを本にする計画を打ち明ける。；話そうと思って来たことを、二人の前に打ち明けることも出来なかった。；僧職にある身が誰にこんなことを打ち明けていいか、誰を信じていいか。；なぜだかはっきりとはわからないが、打ち明けるのは今だと悟ったのだ。；他人を信じられなくなった少女は誰にも心の傷を打ち明けられない。；不意に現れたこの問題を誰にも打ち明けることができなかったのだ。；当時は家族などにもその被害を打ち明けることができなかったと語っている。；打ち明けねばならないことなのだけれども、友達にもまだ話はしない。；相談したり打ち明けたりするものを持っていないような様子だった。；誰にも打ち明けられないし、ある理由で警察にもあまり言いたくない。；恋された人の知らぬ前に恋した人の心を自分はその人から打ち明けられた。；兄夫婦にその話を打ち明けると、夫婦は相談の末、十両の金をくれた。；すると彼は外の人にはまだ誰にも打ち明けていないと明言しました。；この際、奇妙なことにパメラはセシリアにもこの計画を打ち明けていた。；それまで打ち明けるわけにはいきませんけど、ある筋から聞いたんですのよ。；いつの時代でも、女性たちが弁護してきたことを打ち明けるのである。；彼女は兄にこのことを打ち明け、その兄が家族にこのことを話した。；打ち明けるにしても、それにはきちんとした計算があってのことだ。；当時の恋人と別れた後、本当の年齢を打ち明けると仕事を解雇された。；昨夕の事を打ち明けてこれこれであったと話してしまえばそれまでである。；しかし相手が知っているからといって、真実を打ち明けるわけにはいかない。；これほど、身の下話を打ち明けるのに理想的な相手はいないものね。；打ち明けるわけにはいかないが、確固とした根拠を握っているんでね。；そこで松太郎は、出来るだけ勿体を付けて自分の計画を打ち明けて見た。</t>
        </is>
      </c>
      <c r="J715">
        <f>HYPERLINK("https://www.weblio.jp/content/打ち明ける", "词义详情")</f>
        <v/>
      </c>
      <c r="K715">
        <f>HYPERLINK("https://yourei.jp/打ち明ける", "查看例句")</f>
        <v/>
      </c>
    </row>
    <row r="716">
      <c r="A716" t="inlineStr">
        <is>
          <t>打ち上げる</t>
        </is>
      </c>
      <c r="B716" t="inlineStr">
        <is>
          <t>成功</t>
        </is>
      </c>
      <c r="C716" t="inlineStr">
        <is>
          <t>読み方：ぶちあげる
［動ガ下一］［文］ぶちあ・ぐ［ガ下二］
１大言壮語する。「壮大な構想を—・げる」
２奪う。
「海道筋の御器(ごき)の実を—・げ」〈浄・丹波与作〉
３熱中する。のぼせる。
「あの野郎、この頃血道を—・げて居るぜ」〈滑・浮世床・初〉</t>
        </is>
      </c>
      <c r="D716" t="inlineStr">
        <is>
          <t>完成；スタート；終わる；発射；切る</t>
        </is>
      </c>
      <c r="F716" t="inlineStr">
        <is>
          <t>機打ち上げる</t>
        </is>
      </c>
      <c r="H716" t="n">
        <v>29</v>
      </c>
      <c r="I716" t="inlineStr">
        <is>
          <t>その中にはヴァンデンバーグ空軍基地での打ち上げ運用も含まれていた。；打ち上げの模様がはじめて中継放送され、自信の程を世界にあらわした。；これは、元々は弾道ミサイル打ち上げ用に設計・開発されたものである。；皮肉な事にこのロケットはいくつかのアメリカの衛星も打ち上げている。；移管後の初めての打ち上げとなる13号機では、以下の点が変更された。；打ち上げる単位ごとに筒が縛られ、それがあちこちに置かれているのだ。；打ち上げは、プロアマどちらでも大半の興行で伝統的に行なわれている。；最近では火葬しない遺体をそのまま打ち上げるサービスも始めている。；これら最初期の人工衛星は、すでに科学探査目的で打ち上げられていた。；各花火師が製作した10号玉を一発ずつ打ち上げそのデザインを楽しむ。；審査の現場では、注入後すぐに花火を打ち上げるわけではないのだから。；C型の1段目のモータケースを延長し、打ち上げ能力を大幅に強化した。；また、モスクワでの宇宙飛行士の訓練を受けて打ち上げを目指してきた。；異なる種類のロケットを打ち上げる為の設備の準備は完了している。；欧州宇宙機関が打ち上げる装置のほとんどはこのセンターで試験を受ける。；ロケットによる打ち上げは現代でも宇宙に到達する最も主要な手段である。；元は2011年の打ち上げ予定であったが、度々延期されたものである。；また、軍事衛星打ち上げ・運用においても中心的な役割を果たしている。；この計画は同日の打ち上げで1回の飛行を行っただけで終了した。；それを打ち上げるとしたらたぶん月ロケットと同じくらいの規模になるだろう。；またある例として、海岸に打ち上げられる波にも同じようなことが見られる。；しかも今回は二機連続で打ち上げるから特別な改修もした。；記載の場所以外でも、打ち上げに上空を飛ぶロケットを見ることは可能。；LE-7の開発が難航したため予定より2年遅れての打ち上げであった。；多くはロケット本体を取り囲むように配置され、打ち上げ時に点火する。；開発期間は4年半であり、打ち上げは計画当初の予定通りに行われた。；このプロジェクトでは複数の探査機械を2回に分けて打ち上げる予定である。；打ち上げ後から観測開始までのスケジュールおよび進捗を以下に示す。；ここは旧ソ連時代からロシアの全ての有人宇宙船の打ち上げに使われている。</t>
        </is>
      </c>
      <c r="J716">
        <f>HYPERLINK("https://www.weblio.jp/content/打ち上げる", "词义详情")</f>
        <v/>
      </c>
      <c r="K716">
        <f>HYPERLINK("https://yourei.jp/打ち上げる", "查看例句")</f>
        <v/>
      </c>
    </row>
    <row r="717">
      <c r="A717" t="inlineStr">
        <is>
          <t>打ち合わせ</t>
        </is>
      </c>
      <c r="B717" t="inlineStr">
        <is>
          <t>成功</t>
        </is>
      </c>
      <c r="C717" t="inlineStr">
        <is>
          <t>読み方：うちあわせ
［名］(スル)
１前もって相談すること。下相談。「仕事の—をする」
２衣服の、前身頃(まえみごろ)の重なったりする部分。うちあい。「コートの—が浅い」
３雅楽で、打ち物だけの合奏。
４地歌や箏曲(そうきょく)で、同一または類似した旋律を半拍または1拍ずつずらして合奏すること。また、同じ拍数の、別の2曲を合奏すること。
５能で、両手を大きく左右に広げてから前ではたと打ち合わせる型。
６物と物とがうまく合うようにすること。似合うこと。
「宮仕の極(きま)りがてら、すりこぎと聞こへしもとに—の夫婦とはなりける」〈鶉衣・摺鉢伝〉</t>
        </is>
      </c>
      <c r="D717" t="inlineStr">
        <is>
          <t>打ち合わせ通り；打ち合わせどおり；打ち合わせ済み；打ち合わせなし；打ち合わせ会</t>
        </is>
      </c>
      <c r="E717" t="inlineStr">
        <is>
          <t>相談；審議；話し合い；ミーティング；打合せ</t>
        </is>
      </c>
      <c r="F717" t="inlineStr">
        <is>
          <t>作戦打ち合わせ；簡単な打ち合わせ；最終打ち合わせ；入念な打ち合わせ；細かい打ち合わせ</t>
        </is>
      </c>
      <c r="G717" t="inlineStr">
        <is>
          <t>打ち合わせよ</t>
        </is>
      </c>
      <c r="H717" t="n">
        <v>29</v>
      </c>
      <c r="I717" t="inlineStr">
        <is>
          <t>そのためスタッフ間では公演期間中から事前の打ち合わせを綿密に行う。；べリンダと打ち合わせた通り、私はふたりを東の方に連れて行きました。；これは時平と天皇があらかじめ打ち合わせをしていたことであるという。；ここに来るまでの間に、ふたりで最後の打ち合わせをしておいたのだ。；これはかねてわたしとの間に打ち合わせてあった成功の合図であった。；前から二人は、母の誕生日に母の元へ行くべく打ち合わせていたのである。；美術設定は、監督や演出家との綿密な打ち合わせを経た上で作成される。；六時になったら、打ち合わせの時間をこっちから、七時に変更してくれ。；あとで考えると、たぶん『遠い崖』の出版の打ち合わせだったのだろう。；これから研究室に行ってコイプ教授と打ち合わせをしなければならない。；岡崎は脚本の前段階から映画の打ち合わせに参加し、楽曲制作を行った。；これは阿波三好氏の三好康長と打ち合わせた上で行われたものであった。；宿役人一同の寄り合いのことで小使いはその打ち合わせに来たのだ。；彼らもまた、今や踊り手たちの調子に合わせて両手を打ち合わせている。；検死審の打ち合わせに、医者のところまで出かけなければならんのです。；わたしたちは打ち合わせが終わるのを首を長くして待っていた。；人形の方の作者たちの間の最初のうち合せでは、さう言ふ桜丸だつたに相違ない。；打ち合わせ中に、関係者から話を聞きながらその場で作ってしまうことが多い。；そして二人で攻撃目標を打ち合わせていると、やっと建物から人影が現われた。；石垣は脚本の打ち合わせにも出席し、芝居の見せ方などに意見を出している。；軍議のために用意された部屋で、一同は今回の作戦を打ち合わせた。；もはや期日の打ち合わせをするほどにこの話は進んできています。；あなたの部屋窓に明かりが見えたので、仕事の打ち合わせですと言いました。；東京に戻り企業との打ち合わせの中で、とも子の撮った写真が採用される。；九月の十日前後に、もう一回京都で最後の打ち合わせ会を開きます。；打ち合わせでなかった行動をよくとるため、しもばやしも困らせている。；毎月数回の会議と打ち合わせを中心としており、各校の学生間の交流を図る。；打ち合わせの際は、話のプロットを1ページ漫画形式にして用意している。；よく打ち合わせをしとこう、お互いに仕事のじゃまをしないようにね。</t>
        </is>
      </c>
      <c r="J717">
        <f>HYPERLINK("https://www.weblio.jp/content/打ち合わせ", "词义详情")</f>
        <v/>
      </c>
      <c r="K717">
        <f>HYPERLINK("https://yourei.jp/打ち合わせ", "查看例句")</f>
        <v/>
      </c>
    </row>
    <row r="718">
      <c r="A718" t="inlineStr">
        <is>
          <t>内側</t>
        </is>
      </c>
      <c r="B718" t="inlineStr">
        <is>
          <t>成功</t>
        </is>
      </c>
      <c r="C718" t="inlineStr">
        <is>
          <t>読み方：うちがわ
１ある物や仕切りの、中のほう。内部。内面。「—から鍵(かぎ)を掛ける」⇔外側。
２ある範囲の中で、中心または手前に寄ったほう。「—のコースを走る」⇔外側。
３その事柄と関係のある側。内部。「事件を—から見る」⇔外側。</t>
        </is>
      </c>
      <c r="D718" t="inlineStr">
        <is>
          <t>内側線；内側面；内側部分；内側眼窩；内側核</t>
        </is>
      </c>
      <c r="E718" t="inlineStr">
        <is>
          <t>中；内；内部；インナー；インサイド</t>
        </is>
      </c>
      <c r="F718" t="inlineStr">
        <is>
          <t>内側から施錠；内側縦束；内側眼窩野；内側楔状骨；内側膝状</t>
        </is>
      </c>
      <c r="G718" t="inlineStr">
        <is>
          <t>内側側副靭帯；内側側頭葉；内側翼突筋；内側広筋；内側翼突筋神経</t>
        </is>
      </c>
      <c r="H718" t="n">
        <v>29</v>
      </c>
      <c r="I718" t="inlineStr">
        <is>
          <t>また、太陽系の内側を通過したのはこの時が初めてである可能性がある。；非常口の扉は内側からは開き、外側からは開けられない構造にしてある。；工事終了後は改札の内側・外側にそれぞれ独立した地下道となっている。；海の近くに位置するが、湾の内側にあるため風の影響はそれほどない。；競馬場の馬場の内側にも来場者用の駐車場を設置している所も見られる。；初列風切の内側半分が生え変わると、最も外側の三列風切が抜け始める。；当駅の前後区間は複々線だが、内側線を走行する列車のみが停車可能。；脂質二重層は、外側の小葉と内側の小葉の2つの層で構成されている。；なお、コーナーだけでなく直線部分も内側に傾斜しているのが一般的である。；このように、外側から内側へ向けて徐々に床高を高くする特異な構造である。；体の内側を除く全身は、皮膚が変化した骨状の板で形成された甲皮で覆われる。；車輪の一番内側にはフランジが設けられており、脱線を防ぐ働きをする。；ハドルの中は絶えず移動しており、外側にいる個体が内側へ移動していく。；門の内側にユダヤ人が住んでいたためにユダヤ門とも呼ばれた。；内側の赤い線がI-610で、この内側に中心市街地が形成されている。；ダートコースの内側には調教用のウッドチップコースが設けられている。；このため、トラックの内側では次に滑走する選手が常に周回している。；内側のホーム・線路は東所沢電車区への入出庫や当駅発着の列車が使用する。；内側は多目的スペースとなっており、使用目的に応じて換装が可能である。；三日月の湾の内側では珊瑚礁や干潟がこの湾に守られる形で存在している。；前面が耐熱ガラス製で内側が見えるようになっているものが一般的。；日本語以外の利用者もたくさんいますのでぜひこれの内側に記述してください。；二の丸は本丸と同じく広瀬川の内側にあるが、土地は平坦な場所である。；は定義の内側では典型的には次のような一連にコンパイルされる。；玄関扉は建物の内側から外側へ押し開く構造の開き戸が比較的多い。；ロッシュ限界の内側では小天体は成長せず、入ってきた天体は破壊される。；そこで、外に残った細胞群を外胚葉、内側に入った細胞群を内胚葉と呼ぶ。；コーナー部分はおよそ30度、直線が2ないし4度内側に傾斜している。；まず第一の性質、それは欲望であり、内側に引きこもる働きを持っている。</t>
        </is>
      </c>
      <c r="J718">
        <f>HYPERLINK("https://www.weblio.jp/content/内側", "词义详情")</f>
        <v/>
      </c>
      <c r="K718">
        <f>HYPERLINK("https://yourei.jp/内側", "查看例句")</f>
        <v/>
      </c>
    </row>
    <row r="719">
      <c r="A719" t="inlineStr">
        <is>
          <t>内気</t>
        </is>
      </c>
      <c r="B719" t="inlineStr">
        <is>
          <t>成功</t>
        </is>
      </c>
      <c r="C719" t="inlineStr">
        <is>
          <t>読み方：うちき
［名・形動］気が弱く、人前では、はきはきしない性格。また、そのさま。「—な人」</t>
        </is>
      </c>
      <c r="D719" t="inlineStr">
        <is>
          <t>内気な性格(7%)；内気そう(3%)；内気な少女；内気な娘；内気者</t>
        </is>
      </c>
      <c r="E719" t="inlineStr">
        <is>
          <t>臆病；羞恥；弱気；小心；気弱</t>
        </is>
      </c>
      <c r="F719" t="inlineStr">
        <is>
          <t>内気で内向；内気で人見知り；内気な性分；内気でおとなしい；内気で臆病</t>
        </is>
      </c>
      <c r="H719" t="n">
        <v>29</v>
      </c>
      <c r="I719" t="inlineStr">
        <is>
          <t>震えは外気の寒さからくるものなのか、内気の寒さからくるものなのか。；人としては彼女は内気の一歩手前まで控えめであるとしばしば言われる。；小学校で委員に選ばれたのが嫌でずっと泣いているような内気な性格だった。；彼は内気だったのでそれまで誰れにも自分の詩は見せなかったのだ。；小さい頃からピアノが趣味の、どちらかといえば内気な人だったようです。；考えてみると、大器は幼いときから内気で一人で家にいるのが好きだった。；本の話をしていないと、途端に内気な性格に戻ってしまうようだった。；十何年の獄中生活が、わしをこんな内気な男にしてしまったのですよ。；友達もいないし内気な性格もわざわいして、クラスの中で孤立していた。；内気な兄ヨーゼフ・ベネディクトとは反対に社交的で明るい性格だった。；内気な性格から宮の御方自身は匂宮からの文に返事を出そうともしない。；でもあの作品が、内気な私を外へと引っ張り出してくれた気がします。；二人とも引っ込みがちに内気なふうになるのも道理であるなどと思われた。；少し内気な性格であるため小学生の頃は、あまり学校に行っていなかった。；にもかかわらず、どこか内気でおどおどしている感じがするのは不思議だ。；しかも、あの内気な烏丸さんが、自分から部長たちに曲を見せるなんて。；あそこではじめて、彼が内気な胸の思いを口ごもりながら打明けたのだ。；クリストフは大して気にも留めずに、それは例の内気のせいだと思った。；だが、相手はいつまでたっても内気で、なんの行動にも移そうとはしない。；アメリカ婦人でもこのひとは内気な日本人に似ているところがあるのかもしれなかった。；結局、彼女の背中を押したのは、勇気ではなく内気さと羞恥心だった。；そのくせ、彼は内気な性格で、刺激を積極的に求めようとしなかった。；声優を目指したきっかけは内気で引っ込み思案な性格を変えたいためであった。；そういう点三枝子は母の血をひいて、内気で引っ込み思案な娘であった。；広告は本当に内気で正直であるならば成立しないし、又本当に嘘ならば効果はない。；成績はきわめて優秀だったが生涯を通じて非常に内気な性格であったといわれる。；息子さんは、内気な少年ですが、すぐに、そんなに問題はないとわかった。；もう三十をよほど越した人であったが、内気なような皮膚の美しい人であった。；彼女は、妙に内気で、平凡で、少し退屈すぎる女であることがわかった。</t>
        </is>
      </c>
      <c r="J719">
        <f>HYPERLINK("https://www.weblio.jp/content/内気", "词义详情")</f>
        <v/>
      </c>
      <c r="K719">
        <f>HYPERLINK("https://yourei.jp/内気", "查看例句")</f>
        <v/>
      </c>
    </row>
    <row r="720">
      <c r="A720" t="inlineStr">
        <is>
          <t>打ち切る</t>
        </is>
      </c>
      <c r="B720" t="inlineStr">
        <is>
          <t>成功</t>
        </is>
      </c>
      <c r="C720" t="inlineStr">
        <is>
          <t>読み方：うちきる
［動ラ五（四）］
１物事を中途でやめにする。中止する。「交渉はこれで—・る」
２強く切る。断ち切る。
「弓—・り杖につき」〈平家・四〉
[可能]うちきれる</t>
        </is>
      </c>
      <c r="D720" t="inlineStr">
        <is>
          <t>打ち切るべき</t>
        </is>
      </c>
      <c r="E720" t="inlineStr">
        <is>
          <t>置く；停止；中止；ブロック；解消</t>
        </is>
      </c>
      <c r="H720" t="n">
        <v>29</v>
      </c>
      <c r="I720" t="inlineStr">
        <is>
          <t>だれか別の人に変えるか、それとも護衛そのものを打ち切ってもらうか。；刑期をつとめあげてきたやつもいれば、鎖を打ち切ってきたやつもいる。；したがって現在は開発環境のサポートを打ち切られている状態にある。；その結果、ジョーンズの番組を放送していたいくつかの局が打ち切った。；結局、この件はもう少し考えさせてくれと答えて秀馬は話を打ち切った。；もし失敗したら、さらに半年早く番組が打ち切られていた可能性もあった。；同年夏に活動を再開したが、ポニーキャニオンから契約を打ち切られる。；監視をいったん打ち切って、別の方向を模索した方が賢明かもしれない。；その後はソビエト連邦の崩壊に伴う混乱のために運用予算が打ち切られた。；途中で打ち切られた局や、しばらくの間放送する他系列ネットの局がある。；得るところなく質問を打ち切ろうとしたとき、彼は妙なことを言い出した。；日本ではこの年限りで、残念ながらNHKBSでの放映が打ち切られた。；尤も人々は次のように云ってこの問題を打ち切って了うかも知れない。；ただし放送期間短縮を受けて唐突に物語が打ち切られたわけではない。；シリーズ化する予定であったが、2作目が興行不振となり打ち切られた。；定員に達するか入場時間になった時点で当日分の販売は打ち切られる。；同年末に移籍期間を満了し、同時に仙台との契約も打ち切られ退団した。；このステージも上位2名が確定した時点でステージが打ち切られる。；まもなく国内の馬産が復活したため数年で打ち切られている。；ミスター・デヴィス、この話はこのくらいで打ち切ることにしましょう。；「話は後にして、食事にしてくれないか」 彼は話を打ち切るために言った。；そしてバンドは再び、契約しているレーベルから契約を打ち切られた。；しかしすぐに「しばらくお待ちください」と放送を打ち切られてしまう。；無綫電視もそれまで放送していた番組を打ち切って新たな番組を放送して対抗した。；おれの表情を読んだジジイは、今日はここまでといって講義を打ち切った。；しかし、局側の都合でわずか4年半後の2001年9月で打ち切られた。；この再パッケージ化された番組は、最初のシーズンの途中で打ち切られたり。；その結果、外国人宣教師の援助を打ち切る必要はないことを決定した。；両親は中退したことに不満を持っており、経済的な援助を打ち切られてしまう。</t>
        </is>
      </c>
      <c r="J720">
        <f>HYPERLINK("https://www.weblio.jp/content/打ち切る", "词义详情")</f>
        <v/>
      </c>
      <c r="K720">
        <f>HYPERLINK("https://yourei.jp/打ち切る", "查看例句")</f>
        <v/>
      </c>
    </row>
    <row r="721">
      <c r="A721" t="inlineStr">
        <is>
          <t>打ち消し</t>
        </is>
      </c>
      <c r="B721" t="inlineStr">
        <is>
          <t>成功</t>
        </is>
      </c>
      <c r="C721" t="inlineStr">
        <is>
          <t>読み方：うちけし
１そうではないと言うこと。否定。
２文法で、1の意を表す言い方。文語では助動詞「ず」「じ」「まじ」、口語では助動詞「ない」「ぬ」「まい」などを付けて言い表す。</t>
        </is>
      </c>
      <c r="D721" t="inlineStr">
        <is>
          <t>反対；否定；抗う；否認；否む</t>
        </is>
      </c>
      <c r="F721" t="inlineStr">
        <is>
          <t>慌てて打ち消す</t>
        </is>
      </c>
      <c r="H721" t="n">
        <v>29</v>
      </c>
      <c r="I721" t="inlineStr">
        <is>
          <t>博士に相談しても彼は簡単に事実を打ち消すばかりで取りつく島がない。；この想像は彼の気持を少し救いはしたが、彼は自分でそれを打ち消した。；なに一度の事だからと打ち消して見ても、いやな心地は容易に消えない。；お染も知れ切った事をいうような顔をして、すぐ打ち消すように答えた。；疑問もあまりにも多くありすぎると互いに打ち消し合ってしまうのだった。；なにかに打ち消されるように、ただ平らかな面がどこまでも続いていく。；しかし私にはあの人の話が与えた効果を打ち消す技倆がありませんでした。；体験を固定化させようとするあれら三つの主題はどれも打ち消されてしまう。；そしてムラムラしてくると、それを打ち消すように仕事を始めたという。；だからもう、いろんな推測が出ても、それを打ち消す手段もないやねえ。；だが、遺産を破壊するはずのエネルギーは完全に打ち消されてしまった。；それにもかかわらず、その気持ちを強く打ち消そうとする力が働いている。；まるで外から聞こえてくる音楽を打ち消そうとするかのようだった。；いや、生じてもそれを自分の心の中で打ち消す、自信と意志の強さがある。；そのだらしのない格好が、打ち消しようのない明白な証拠となっていた。；あの少年の右手はありとあらゆる異能の力を打ち消す効果があるらしい。；外力を大きくしていくと、それを打ち消すために摩擦力も上昇していく。；一錠飲むだけで、脳の中の悲しみのもとになる物質を打ち消してしまう薬。；もちろん、かれらの喘ぎは近づいてくる列車の音に打ち消されてはいたが。；鉄のような自己訓練によって、彼は一時的にそれを打ち消すことができた。；秘かな心の下で最後の「死」の怖れに触れては、それを打ち消していた。；その考えを打ち消そうとした明日美は、また別の可能性に思い至った。；中間周波数に強い信号があると、受信したい信号を打ち消すことがある。；もし、2つの波が逆相である場合、波は互いに打ち消しあうことになる。；そんなことがあるはずはないと何度も打ち消したけれども心は晴れなかった。；さっきから打ち消しこらえていたものが、ぎりぎりのところに来ている。；まるで、認めたくないことを無理やり打ち消す私の心のきしみのようだ。；必死に現実を打ち消そうとする千秋の肺で、熱と新建材の煙が爆発する。；頭の中のスクリーンに映る映像を打ち消してくれるものはなにもなかった。</t>
        </is>
      </c>
      <c r="J721">
        <f>HYPERLINK("https://www.weblio.jp/content/打ち消し", "词义详情")</f>
        <v/>
      </c>
      <c r="K721">
        <f>HYPERLINK("https://yourei.jp/打ち消し", "查看例句")</f>
        <v/>
      </c>
    </row>
    <row r="722">
      <c r="A722" t="inlineStr">
        <is>
          <t>打ち消す</t>
        </is>
      </c>
      <c r="B722" t="inlineStr">
        <is>
          <t>成功</t>
        </is>
      </c>
      <c r="C722" t="inlineStr">
        <is>
          <t>読み方：うちけす
［動サ五（四）］
１そうではないと言う。否定する。「辞任のうわさを—・す」
２消し去る。聞こえなくする。「こがらしの音に声が—・される」
３「消す」を強めていう語。
「彦右衛門火を—・しながら」〈露伴・いさなとり〉
[可能]うちけせる</t>
        </is>
      </c>
      <c r="D722" t="inlineStr">
        <is>
          <t>反対；否定；抗う；否認；否む</t>
        </is>
      </c>
      <c r="F722" t="inlineStr">
        <is>
          <t>慌てて打ち消す</t>
        </is>
      </c>
      <c r="H722" t="n">
        <v>29</v>
      </c>
      <c r="I722" t="inlineStr">
        <is>
          <t>博士に相談しても彼は簡単に事実を打ち消すばかりで取りつく島がない。；この想像は彼の気持を少し救いはしたが、彼は自分でそれを打ち消した。；なに一度の事だからと打ち消して見ても、いやな心地は容易に消えない。；お染も知れ切った事をいうような顔をして、すぐ打ち消すように答えた。；疑問もあまりにも多くありすぎると互いに打ち消し合ってしまうのだった。；なにかに打ち消されるように、ただ平らかな面がどこまでも続いていく。；しかし私にはあの人の話が与えた効果を打ち消す技倆がありませんでした。；体験を固定化させようとするあれら三つの主題はどれも打ち消されてしまう。；そしてムラムラしてくると、それを打ち消すように仕事を始めたという。；だからもう、いろんな推測が出ても、それを打ち消す手段もないやねえ。；だが、遺産を破壊するはずのエネルギーは完全に打ち消されてしまった。；それにもかかわらず、その気持ちを強く打ち消そうとする力が働いている。；まるで外から聞こえてくる音楽を打ち消そうとするかのようだった。；いや、生じてもそれを自分の心の中で打ち消す、自信と意志の強さがある。；そのだらしのない格好が、打ち消しようのない明白な証拠となっていた。；あの少年の右手はありとあらゆる異能の力を打ち消す効果があるらしい。；外力を大きくしていくと、それを打ち消すために摩擦力も上昇していく。；一錠飲むだけで、脳の中の悲しみのもとになる物質を打ち消してしまう薬。；もちろん、かれらの喘ぎは近づいてくる列車の音に打ち消されてはいたが。；鉄のような自己訓練によって、彼は一時的にそれを打ち消すことができた。；秘かな心の下で最後の「死」の怖れに触れては、それを打ち消していた。；その考えを打ち消そうとした明日美は、また別の可能性に思い至った。；中間周波数に強い信号があると、受信したい信号を打ち消すことがある。；もし、2つの波が逆相である場合、波は互いに打ち消しあうことになる。；そんなことがあるはずはないと何度も打ち消したけれども心は晴れなかった。；さっきから打ち消しこらえていたものが、ぎりぎりのところに来ている。；まるで、認めたくないことを無理やり打ち消す私の心のきしみのようだ。；必死に現実を打ち消そうとする千秋の肺で、熱と新建材の煙が爆発する。；頭の中のスクリーンに映る映像を打ち消してくれるものはなにもなかった。</t>
        </is>
      </c>
      <c r="J722">
        <f>HYPERLINK("https://www.weblio.jp/content/打ち消す", "词义详情")</f>
        <v/>
      </c>
      <c r="K722">
        <f>HYPERLINK("https://yourei.jp/打ち消す", "查看例句")</f>
        <v/>
      </c>
    </row>
    <row r="723">
      <c r="A723" t="inlineStr">
        <is>
          <t>打ち込む</t>
        </is>
      </c>
      <c r="B723" t="inlineStr">
        <is>
          <t>成功</t>
        </is>
      </c>
      <c r="C723" t="inlineStr">
        <is>
          <t>読み方：ぶちこむ
［動マ五（四）］
１たたき込む。うちこむ。「腹にパンチを—・む」「ミサイルを—・む」
２ほうり込む。投げ入れる。「牢屋に—・む」
３刀などを帯びる。「腰に長どすを—・む」</t>
        </is>
      </c>
      <c r="D723" t="inlineStr">
        <is>
          <t>打ち込むといふこと；打ち込むべく</t>
        </is>
      </c>
      <c r="E723" t="inlineStr">
        <is>
          <t>打つ；叩く；暮れる；ぶつ；殴る</t>
        </is>
      </c>
      <c r="H723" t="n">
        <v>29</v>
      </c>
      <c r="I723" t="inlineStr">
        <is>
          <t>彼は鉄が肉を貫いてゆくのを感じ、それが深く打ち込まれる音を聞いた。；充分に完全にするために私はさらに仕事に打ち込まなければならない。；直前まで彼が立っていた場所に大槌を打ち込んだ様な窪みが生じている。；渾身の力で打ち込んでくるものの、少年の意識は彼を捉えてなどいない。；この製造機では金属のリベットを靴底へ打ち込むのに金属の板を用いた。；彼が仕事に打ち込んでいる間に友人たちは年を取り、死んでいったからだ。；彼女の手にはまだ、男の首筋に針を打ち込んだときの感触が残っていた。；これをまず第一に念頭に、しっかりと打ち込んでおかなければいけない。；それはつまり、金具を打ち込むポイントが限られることを意味している。；そのくせゲームに打ち込む孫の背中を、ときどき心配そうに覗いている。；大手出版社に勤める森悟は、すべてを犠牲にして仕事に打ち込んできた。；仏道一筋に打ち込んでいる雲水の姿にぼくは驚くほどの美しさを感じた。；打ち込んだ後では検査ができないため使った釘の箱を見て確認するしかない。；そういう打ち込み方を、つまり、生き方を今日まで私はしてきた人間だ。；そういう打ち込み方を、つまり、生き方を今日まで私はして来た人間だ。；いつかはおれの跡をついで海に打ち込んでくれる男だと見ている。；会社の仕事に全霊を打ち込むことも、それはそれで私には世捨てであった。；彼はイギリスのステンドグラス美術の伝統の復活に打ち込むようになった。；物事にふけりやすい葉子は身も魂も打ち込んでその仕事に夢中になった。；さらには自身の背中の内側や、骨盤に針を打ち込んであるとも述べている。；蓋が持ちやすいように蓋に穴を開けて削った竹串等を打ち込む方法がある。；からまでは故障が重なり、までは二軍でも打ち込まれることが多かった。；裏ステージは専用ページにキーワードを打ち込むことで入ることが出来る。；渾身の力で打ち込んでくるものの、敵の意識は彼を捉えてなどいない。；型を手本に与えておいてその中に精神を打ち込んで働けない法はない。；取引番号を入力すると説明し加害者が言う数字を一桁ずつ打ち込ませる。；もともと仕事熱心な男だったが、さらに仕事に打ち込んでいるように見える。；内容としては、打ち込み系の曲が大きく増えている点が大きな特徴である。；十時にはまた昼座があり、午後には夜のお勤め、夕座に打ち込むのだ。</t>
        </is>
      </c>
      <c r="J723">
        <f>HYPERLINK("https://www.weblio.jp/content/打ち込む", "词义详情")</f>
        <v/>
      </c>
      <c r="K723">
        <f>HYPERLINK("https://yourei.jp/打ち込む", "查看例句")</f>
        <v/>
      </c>
    </row>
    <row r="724">
      <c r="A724" t="inlineStr">
        <is>
          <t>打ち出す</t>
        </is>
      </c>
      <c r="B724" t="inlineStr">
        <is>
          <t>成功</t>
        </is>
      </c>
      <c r="C724" t="inlineStr">
        <is>
          <t>読み方：うちだす
［動サ五（四）］
１
㋐太鼓などを打ちはじめる。「鐘を—・す」
㋑（「撃ち出す」とも書く）鉄砲などを打ちはじめる。また、弾丸などを打って出す。「大砲を—・す」
２金属などを裏から打って模様を表に出す。「唐草模様を—・した飾り金具」
３芝居・相撲などで、その日の興行が終わった合図に太鼓を打つ。「観客を送る太鼓を—・す」
４主張などをはっきり示す。提案する。「具体策を—・す」
５コンピューターのデータを紙に印刷する。プリントアウトする。「会議の資料を—・す」
６はっきりと口に出す。
「実の女の口よりえ言はぬ事を—・して言ふゆゑ」〈難波土産・発端〉
[可能]うちだせる</t>
        </is>
      </c>
      <c r="D724" t="inlineStr">
        <is>
          <t>打出す；彫り上げる；空押し；彫りあげる</t>
        </is>
      </c>
      <c r="H724" t="n">
        <v>29</v>
      </c>
      <c r="I724" t="inlineStr">
        <is>
          <t>このため、最終的に決定した計画では次のような考え方が打ち出された。；攻撃は光の塊ではなく、小さな金属の塊を無数に高速で打ち出すもの。；この事故の原因はスパローを下に打ち出す力が足りないことにあった。；彼は心臓がこんなにはげしく打ち出そうとは思いもかけなかったのである。；私は一時に五百発の弾丸を打ち出す銃をお目にかけることにいたしましょう。；飛ぶと言うよりも、打ち出されるような軌道で風見は宙に身を躍らせた。；ボールを打ち出す場所からカップまでの距離が、1ホールの距離である。；このような課題の中で打ち出されたのが「地元密着」という方針だった。；その結果、一条天皇の時代の例を基準とする方針が打ち出されている。；また、宣伝には更にスペクタクルな広告戦略が打ち出され展開された。；また、さまざまな政策を打ち出すときにおぬしに意見を求めることになるだろう。；最後のエンドウ豆は打ち出されて屋根裏部屋の窓の下に飛んでいった。；一方、東京都庁は休業要請を打ち出そうとしており、国と都が対立した。；スロープの方向を変えることでボールを打ち出す方向を変えられる。；そのためタイ政府は国家規模で対策を打ち出すとしている。；以上のデータを踏まえて、当面の捜査方針が次のように打ち出された。；特に戦国時代の分国法にはそうした考え方が強く打ち出されている。；妻の露な泣き声が祁答院から感情を打ち出す機会を奪ったのかも知れない。；加えて、スタッフとの協力のもと、新たな一面を打ち出すことも出来たと述べた。；以降のムラトは、自身の権力を確立すべく積極的な政策を打ち出すようになる。；なぜ操作に対抗するような方策が打ち出されて来ないのだろう。；このような中、人間側は勇者を擁立して魔王を討伐する計画を打ち出す。；この相互利用は阪急・阪神経営統合に伴うサービスとして打ち出された。；気合いとともに打ち出される気弾は数名の大の男をばたばたとなぎ倒す。；脳内には、ただ白い光となって打ち出される剣尖のイメージだけが存在した。；大統領らは対抗策を打ち出さんとするが、真の敵の存在にはまだ気付いていなかった。；残酷性はたがいの手を敵の血で汚す白兵戦のほうがより強く打ち出される。；振り向いたその瞬間に、彼をかすめて灼熱の魔術が打ち出されて行った。；と思う間もなく、あたし達の体は弓で打ち出されたかのような勢いで宙に飛び出した。</t>
        </is>
      </c>
      <c r="J724">
        <f>HYPERLINK("https://www.weblio.jp/content/打ち出す", "词义详情")</f>
        <v/>
      </c>
      <c r="K724">
        <f>HYPERLINK("https://yourei.jp/打ち出す", "查看例句")</f>
        <v/>
      </c>
    </row>
    <row r="725">
      <c r="A725" t="inlineStr">
        <is>
          <t>打ち解ける</t>
        </is>
      </c>
      <c r="B725" t="inlineStr">
        <is>
          <t>成功</t>
        </is>
      </c>
      <c r="C725" t="inlineStr">
        <is>
          <t>読み方：うちとける
［動カ下一］［文］うちと・く［カ下二］
１警戒心がなくなり、隔てなく親しむ。気を許す。「初対面の相手と—・ける」
２気楽にくつろぐ。「家庭的な—・けた集まり」
３油断する。
「誰とか知らむと、—・け給ひて」〈源・夕顔〉
４氷などがとける。
「鶯(うぐひす)の涙のつらら—・けて古巣ながらや春を知るらむ」〈新古今・春上〉</t>
        </is>
      </c>
      <c r="D725" t="inlineStr">
        <is>
          <t>打ち明ける；親しむ；親しくなる；馴染む；仲良くなる</t>
        </is>
      </c>
      <c r="H725" t="n">
        <v>29</v>
      </c>
      <c r="I725" t="inlineStr">
        <is>
          <t>ふたりの若者はこんなふうにして、お互いになかなか打ち解けなかった。；こうした打ち解けた様子の見える時に源氏はいっそう美しいのであった。；兄の方は多少遠慮がちだったけど、それでも十分打ち解けた表情だった。；街の様子もさることながら、そこにいる人間とも打ち解けられなかった。；打ち解けて語ると言っても心の底を互いに披瀝するようなことはなかった。；長左衛門さんの方でもこの兄妹の顔をみれば打ち解けて話などをしていた。；しかし以前のような打ち解けた談話をすることはもうできなくなった。；芳雄も前より打ち解けて、典子のことを昔と少しも変わらないと言った。；千秋の話題を共有したせいか、杳子の表情も初めよりは打ち解けている。；このくらいならなぜいるうちに、もっと母子らしく打ち解けないだろう。；彼は少年時代の特徴であった打ち解けない性質をまだ多分に持っていました。；約束の時間に来ていれば、とっくに打ち解けた話もできていたはずだ。；僕が手にしている時より、それはずっと打ち解けた雰囲気に見えた。；部屋からおりてきても、彼は打ち解けず、ものもあまり言わなかった。；以前は俺を白い目で見ていたのだが、最近かなり打ち解けてきた。；人物の好悪が激しい兄と異なり、誰とでも打ち解ける性格をしている。；以後はキョーコ達とも打ち解けて部室で一緒に遊んでいたりしている。；今の服装を見る限りでは、打ち解けすぎてかえって心配なぐらいだ。；麻理子が打ち解けてこなかったのはそのためだったのかもしれない。；同僚とも打ち解けた話をせず、酒を飲みに行くなどということもなかった。；すこしは打ち解けてくれるようになったのだと解釈していた。；儀式が終わるとようやく打ち解けたゾフィーはいろいろと語り始める。；打ち解けてきたというよりは、ハイペースで飲むビールのせいだろう。；うれしくはあったが、父や母に打ち解けることはやはりできなかった。；ああして打ち解けた結果は、いったいどういうことになりましょう?；しかも打ち解けぬものが夫人の心にあって品よく艶な趣なのである。；勿論、すぐ打ち解けないだろうとは思っていましたが、予想以上だったんです。；始めの頃に比べて、霧島巡査は少しだけ打ち解けてきたみたいだった。；そんな日々が、またしばらく続いて、彼は少しずつ妻や娘と打ち解けていった。</t>
        </is>
      </c>
      <c r="J725">
        <f>HYPERLINK("https://www.weblio.jp/content/打ち解ける", "词义详情")</f>
        <v/>
      </c>
      <c r="K725">
        <f>HYPERLINK("https://yourei.jp/打ち解ける", "查看例句")</f>
        <v/>
      </c>
    </row>
    <row r="726">
      <c r="A726" t="inlineStr">
        <is>
          <t>内幕</t>
        </is>
      </c>
      <c r="B726" t="inlineStr">
        <is>
          <t>成功</t>
        </is>
      </c>
      <c r="C726" t="inlineStr">
        <is>
          <t>読み方：うちまく
１内側に張る幕。特に、陣所で外幕(とまく)の内側に張った幕。半幕。小幕(こまく)。
２外からは見えない内輪の事情。内情。内実。「政界の—を暴く」「—をさらけ出す」</t>
        </is>
      </c>
      <c r="D726" t="inlineStr">
        <is>
          <t>内幕話(4%)；内幕物；内幕暴露</t>
        </is>
      </c>
      <c r="E726" t="inlineStr">
        <is>
          <t>仔細；子細；内部情報</t>
        </is>
      </c>
      <c r="H726" t="n">
        <v>29</v>
      </c>
      <c r="I726" t="inlineStr">
        <is>
          <t>あの人は人が新聞でだけしか知っていないようなことの内幕を知っているのよ。；そればかりでなく、その喧嘩の内幕に就いても、奇妙なことが発見された。；緻密な取材に基づいて様々な業界の内幕を活写した作品群でよく知られる。；いったいどうしておれたちが、この恐喝団の内幕を知ったと思ってるんだ。；第一に田舎出の人々は、東京普通の内幕が十分に判らないのである。；京で官人社会の内幕を見て来た小次郎には、それがすぐにわかるのであった。；それに、お加代さんの話の運びようは、こっちの内幕を心得てのことだ。；美術家同志というものはあんまり内幕を知り過ぎていて反っていけない。；僕はその忠実な観客の一人だっただけにその内幕には激しいショックをおぼえた。；ジュリヤンがこういう内幕を知ったのは、ずっとあとのことである。；あらゆる事件の内幕に通じていて、最後の断を下すのが好きだった。；この種の事件の内幕を知ると、話の種になりますからね。；中国勤務の長かった彼は内幕を知っていたのであろう。；漸時親しくなるに連れて、彼女の家の内幕が次第に解かって参りました。；彼らの内幕や経歴をかなりよく知っている私が言うから、信用してくれてよろしい。；一空さま、手近なところで、和泉屋の内幕から調べていこうと考えていた。；社会の内幕や人情の秘密が、みな分かるようになりてきます。；本当は作品の成立の内幕など発表すべきではないのだ。；巡査達の内幕を彼らが承知していたとは、思えないのだ。；私は何も好き好んで、皇室やハイソサエティの内幕を暴露したのではない。；大殿には大臣入鹿でさえ入って行けない見えない幕が垂れていた。；若主人が家に一切の事をする様になってあまりしらなかった内幕に立ち入って見ると、父親の名で小千の金が借りてある。；つまり彼女のいつもの癖で、自分の家庭の内幕を私に知られるのが嫌さに、わざと何でもないような素振りを見せていたのです。；此間お前の親爺に會つた時にもあの家の内幕を一寸微見かしてゐたよ。；ことに経理室の内幕などは、全く曾田自身が想像していたところと一致するところが多かった。；我々が内幕を全部知っているのに対し、女は何も知らない。；そいつに会えたら、いろいろ内幕が分ると思うんだが、正体不明だ。；しかし、新しい世紀にでもならなければ、安心してこの事件の内幕を発表することはできない。；私はソンナ内幕を聞いているうちに、コイツは物騒な船に乗ったもんだと思った。</t>
        </is>
      </c>
      <c r="J726">
        <f>HYPERLINK("https://www.weblio.jp/content/内幕", "词义详情")</f>
        <v/>
      </c>
      <c r="K726">
        <f>HYPERLINK("https://yourei.jp/内幕", "查看例句")</f>
        <v/>
      </c>
    </row>
    <row r="727">
      <c r="A727" t="inlineStr">
        <is>
          <t>打ち破る</t>
        </is>
      </c>
      <c r="B727" t="inlineStr">
        <is>
          <t>成功</t>
        </is>
      </c>
      <c r="C727" t="inlineStr">
        <is>
          <t>読み方：うちやぶる
［動ラ五（四）］
１強い力でたたき壊す。「ドアを—・る」
２（「討ち破る」とも書く）相手を攻めて負かす。撃破する。「大敵を—・る」
３
㋐「破る」を強めていう語。「沈滞を—・る」
㋑捨て去る。
「如何なる用事をも事情をも打捨て—・って、飛で帰りたく」〈独歩・帰去来〉
[可能]うちやぶれる</t>
        </is>
      </c>
      <c r="D727" t="inlineStr">
        <is>
          <t>打ち破るべく；打ち破る功績を挙げ</t>
        </is>
      </c>
      <c r="E727" t="inlineStr">
        <is>
          <t>撃破；倒す；越える；解決する；破る</t>
        </is>
      </c>
      <c r="H727" t="n">
        <v>29</v>
      </c>
      <c r="I727" t="inlineStr">
        <is>
          <t>まず最初に部屋へ入るため扉の鍵を壊すか打ち破るかしないといけない。；あなたは私の第三の解答を打ち破る、第四の解答を持っておられますか。；何となれば、神が中立であった間は、われわれはあなた方を打ち破った。；だから彼はそのような推定を打ち破ろうとしたが、その甲斐はなかった。；絶望的な戦いの中で、闇を打ち破り光をもたらしたのはだれなのか。；だけど、すぐにも北宮がドアを打ち破って入ってくるのは目に見えていた。；新たな要因が加わらない限り、敵の作戦を打ち破るのは不可能だといえた。；必死な力を出していま自分を取り巻いているものを打ち破らなければならぬ。；この書はヨーロッパにおいてドイツ陸軍を打ち破ることを主張している。；これはわれわれが敵に遭遇してこれを打ち破るまで続くものとする。；ピュロスは自身の軍だけでローマ軍を打ち破ったことに満足していた。；流行的な気分を打ち破って澄んだ心を表わさなければいけないんです。；勇敢な戦士や魔術師たちが前に出て戦い、そいつらを打ち破っていった。；それを打ち破るように、相部屋の少女アーフィンが散歩から戻ってきた。；誰もがこの閉塞した時代を打ち破ってくれる英雄の登場を秘かに望んでいた。；そんな気まずい雰囲気を打ち破ってくれたのは、護堂の携帯電話だった。；そんな簡単に信じてくれたら、運命はもっと簡単に打ち破れている。；ある家では、乱暴にも女中部屋の窓を打ち破って闖入した者があった。；他人の意志力を打ち破るのには、その暴力ごときが最も効果があるのだ。；だから軍事力の最高の運用法は、敵の策謀を未然に打ち破ることである。；その難物が、過去を振り返っていた俺の安寧を打ち破る声を張り上げた。；軍隊は完全に打ち破られ、ペーローズ1世の遺体は発見されなかった。；玄児の云ったように、この椅子で硝子が打ち破られたのかもしれない。；過去の自分の記録を今の自分が打ち破るために頑張ることから企画名がつけられた。；「退避する」 そんな厚志でなければ敵を打ち破ることはできぬだろう。；後の紀元前589年の鞍の戦いには上軍の将に昇格し、斉を打ち破った。；そしてそれが一つの独創性となり、歴史や伝統を打ち破る力ともなってゆく。；全ての根源である能美を打ち破るしか、彼女を取り戻す方法はないのだ。；この主張を打ち破るためには数多くの例を引用することができる。</t>
        </is>
      </c>
      <c r="J727">
        <f>HYPERLINK("https://www.weblio.jp/content/打ち破る", "词义详情")</f>
        <v/>
      </c>
      <c r="K727">
        <f>HYPERLINK("https://yourei.jp/打ち破る", "查看例句")</f>
        <v/>
      </c>
    </row>
    <row r="728">
      <c r="A728" t="inlineStr">
        <is>
          <t>宇宙</t>
        </is>
      </c>
      <c r="B728" t="inlineStr">
        <is>
          <t>成功</t>
        </is>
      </c>
      <c r="C728" t="inlineStr">
        <is>
          <t>読み方：うちゅう
１あらゆる存在物を包容する無限の空間と時間の広がり。
㋐哲学では、秩序ある統一体と考えられる世界。コスモス。
㋑物理学的には、存在し得る限りのすべての物質および放射を含む空間。
㋒天文学では、あらゆる天体の存在する空間。銀河系外星雲を小宇宙、それらを包含する空間として大宇宙ということもある。
２宇宙空間、特に太陽系空間のこと。「—旅行」
[補説] 「淮南子(えなんじ)」斉俗訓によれば、「宇」は天地四方、「宙」は古往今来の意で、空間と時間の広がりを意味する。
[補説]2016年に実施した「あなたの言葉を辞書に載せよう。2016」キャンペーンでの「宇宙」への投稿から選ばれた優秀作品。◆人類を電子顕微鏡下の塵のような存在だと教えてくれる空間。ざのぴすさん◆私たちの悩みを小さく見せてくれるもの。フラッシュさん◆見上げれば空に広がり、目を閉じれば自分の内に広がるもの。大福ちゃんさん◆少年時代、いつかは、その果てまで冒険したいと夢見る未知の世界。mokaちゃんさん◆頭の上に広がっていると思いがちだけど、本当は右にも左にも前にも後ろにも足元にもひろがる「全て」。たんたこさん◆「夢」「希望」「未来」この世界における未知がつまった場所である。かとやんさん◆神々の世界。spoooookyさん◆ロボットの戦場。おおもりさん</t>
        </is>
      </c>
      <c r="D728" t="inlineStr">
        <is>
          <t>宇宙的；宇宙艇；宇宙全体；宇宙用；宇宙航行</t>
        </is>
      </c>
      <c r="E728" t="inlineStr">
        <is>
          <t>天地；宇宙空間；万物；コスモス；コスモ</t>
        </is>
      </c>
      <c r="F728" t="inlineStr">
        <is>
          <t>外宇宙；平面宇宙；宇宙科学研究所；広大な宇宙；宇宙超人</t>
        </is>
      </c>
      <c r="G728" t="inlineStr">
        <is>
          <t>宇宙人；宇宙飛行士；宇宙服；宇宙軍；宇宙開発</t>
        </is>
      </c>
      <c r="H728" t="n">
        <v>29</v>
      </c>
      <c r="I728" t="inlineStr">
        <is>
          <t>人類や文明の起源は宇宙人であるとする古代宇宙飛行士説も唱えられた。；宇宙での戦いをイメージした固定画面型のシューティングゲームである。；現代では方向の基準は宇宙測地観測局の位置から逆に定義されている。；これは世界や宇宙の始まりと終わりを考えることと同じことになる。；神の命令がこの宇宙において最後の結果を支配していると信じている。；宇宙・航空に目をつけたのは、1950年代前半の渡米のころとされる。；ゼウスは全宇宙の支配を護る為に防衛戦を展開しなければならなかった。；しかし宇宙全体で見ると、実は液体の状態で存在している量は少ない。；宇宙の手と呼ばれる存在が支えているとも言われるが、その正体は不明である。；循環宇宙論の中で、1つの宇宙が誕生し消滅するまでの期間と言われる。；次に宇宙および地上のプラズマの代表的な例とその特性値をあげる。；このような構造を採用した施設を宇宙劇場と呼ぶことがある。；宇宙の誕生から現在までの経過時間は様々な方法やモデルに基づいて計算されている。；なお、哲学的に言えば、物質は宇宙を構成する諸存在のうちの1つである。；この過程の細かい部分は宇宙の物質の量と種類によって変わってくる。；ソクラテス以前の哲学者の多くは、自然と宇宙を自ら思索の対象とした。；そして、図書館に収められる本の1つ1つが通常の宇宙を含む世界である。；過程の詳細は判明していないが、他にも元素合成を起こす宇宙の現象がある。；後の時代、繰り返し生成・消滅している宇宙という考え方が成立したという。；宇宙刑事シリーズ終了を受けて本作品では宇宙指向で制作されている。；宇宙防衛勇者隊に再編成されたGGGは三つ巴の戦いを繰り広げていく。；だが初めて人間を宇宙に送ったのは、またしてもソ連であった。；このような金属をつくる元素は宇宙の誕生とともに生成された訳ではない。；宇宙環境下における細胞は地上での実験では見られない挙動を示す。；航空機や宇宙機の外装には熱衝撃に強い高機能素材が使われている。；現在までに撮影された中で最も深い宇宙の画像である。；これらの揺らぎが現在の宇宙に見られる全ての構造の種となる。；宇宙開闢から10億年の間に、鍵となる銀河バルジが現れるようになる。；万物は宇宙の中心点である中心火の周囲を決まった軌道を通って周行するものとされた。</t>
        </is>
      </c>
      <c r="J728">
        <f>HYPERLINK("https://www.weblio.jp/content/宇宙", "词义详情")</f>
        <v/>
      </c>
      <c r="K728">
        <f>HYPERLINK("https://yourei.jp/宇宙", "查看例句")</f>
        <v/>
      </c>
    </row>
    <row r="729">
      <c r="A729" t="inlineStr">
        <is>
          <t>団扇</t>
        </is>
      </c>
      <c r="B729" t="inlineStr">
        <is>
          <t>成功</t>
        </is>
      </c>
      <c r="C729" t="inlineStr">
        <is>
          <t>読み方：うちわ
《「打ち羽」の意という》
１あおいで風を起こす道具。ふつう、細く削った竹の骨に紙や絹を円形に張って作る。《季夏》「もてなしの—の風のやや及ぶ／汀女」
２軍配団扇(ぐんばいうちわ)のこと。
３紋所の名。1を図案化したもの。丸に団扇、桑名団扇などがある。</t>
        </is>
      </c>
      <c r="D729" t="inlineStr">
        <is>
          <t>団扇型；団扇代わり；団扇づか；団扇骨；団扇をはたはた</t>
        </is>
      </c>
      <c r="E729" t="inlineStr">
        <is>
          <t>ファン；扇；扇子；扇面</t>
        </is>
      </c>
      <c r="F729" t="inlineStr">
        <is>
          <t>白い団扇；大きな団扇；絵団扇；長い団扇；絹団扇</t>
        </is>
      </c>
      <c r="G729" t="inlineStr">
        <is>
          <t>団扇太鼓；団扇問屋</t>
        </is>
      </c>
      <c r="H729" t="n">
        <v>29</v>
      </c>
      <c r="I729" t="inlineStr">
        <is>
          <t>それでも見物人は額から汗を流し、手にした団扇を盛んに動かしている。；しかし、すぐに用談に入るわけではなく、三人で団扇を使って話をした。；団扇を持っている方の手も、別な人間の手が蛍を追っているように見えた。；三千代は今湯から帰った所だと云って、団扇さえ膝の傍に置いていた。；風の正体はやはり、と言うべきか、彼女の手に持たれた団扇が原因だった。；ことに美禰子が団扇をかざしている構図は非常な感動を三四郎に与えた。；或時何とはなしにこの団扇の絵をつくづくと見た所が非常に驚いた。；昨晩と同じ大柄な花模様の浴衣を着て、手には団扇を持っているだろう。；明らかに肉筆の中の団扇に描かれているのは安永年間の大谷鬼次である。；三千代は今湯から帰つた所だと云つて、団扇さへ膝の傍に置いてゐた。；「三吉帰ったかい」 こう言いながら、お種も団扇を持って入って来た。；窓をいっぱいにあけ、団扇を手にして窓の外にぱたぱたと埃を追い出す。；足に真紅の靴ははいたまま、手に持った白紗の団扇をゆっくり使っている。；この丸亀では様々な団扇が出来まして雑なのから手を入れたのまで作ります。；これらの団扇は使い工合が頃合で、どの家庭にも薦めたい品であります。；風はそれだけでは足りなくて、二人は団扇を手にしてせわしなくあおいだ。；そういえば奥さんは団扇で旦那さんに風を送っていたようである。；役者絵の描かれた団扇で、そこには春章の名が小さく書き込まれている。；私は頭へ火を点しながら団扇を持って隣家の軒下へ立って泣いていた。；美術的な価値に重きをおいた団扇もアメリカに盛んに輸出された。；ふと、団扇を使う手が止まり、老人は笑顔を改めて椅子から身を起こした。；日本の国々で用いる団扇の八割までがこの町で出来るのであります。；ツクツクさんはといえば、相変わらず団扇でそよそよと風を送っていた。；ごらんなさい、わたしどもの家には白い団扇が一本も残っていません。；しかも鰻は千葉から来るのだと、団扇片手の若い衆が妙な顔をして答えた。；私が寐ているときは団扇で、あるかなしかの風をそっと送り続けます。；奥山百合がその手の爪を切り、お小僧の俊也は団扇で風を送っている。；右手の白い団扇をゆっくりと動かし顔に風を送っている。；団扇を拾つて、顔をあげた時に、先生の顔には、今までにない表情があつた。</t>
        </is>
      </c>
      <c r="J729">
        <f>HYPERLINK("https://www.weblio.jp/content/団扇", "词义详情")</f>
        <v/>
      </c>
      <c r="K729">
        <f>HYPERLINK("https://yourei.jp/団扇", "查看例句")</f>
        <v/>
      </c>
    </row>
    <row r="730">
      <c r="A730" t="inlineStr">
        <is>
          <t>内訳</t>
        </is>
      </c>
      <c r="B730" t="inlineStr">
        <is>
          <t>成功</t>
        </is>
      </c>
      <c r="C730" t="inlineStr">
        <is>
          <t>読み方：うちわけ
金銭の総額、物品の総量に対し、その内容を項目別に書き記すこと。明細。「部門別支出の—」</t>
        </is>
      </c>
      <c r="D730" t="inlineStr">
        <is>
          <t>分類；区別；区分；種別；格付け</t>
        </is>
      </c>
      <c r="F730" t="inlineStr">
        <is>
          <t>主な内訳；費用内訳；軽貨物車内訳</t>
        </is>
      </c>
      <c r="G730" t="inlineStr">
        <is>
          <t>内訳書標準書式</t>
        </is>
      </c>
      <c r="H730" t="n">
        <v>29</v>
      </c>
      <c r="I730" t="inlineStr">
        <is>
          <t>線内の各区間の昼間時の1時間毎の運転本数の内訳は以下のようになる。；これがアマーティの財産の内訳であることはきっと間違いないだろう。；作者の明らかな作品の時代ごとの内訳は以下のようになっている。；そのうち一子は性別不明であり、子女の内訳は四男か三男一女ともなる。；各国家のユニットの所属している部隊を指す言葉でその内訳は多岐にわたる。；出場できるチーム数の各大陸の内訳はFIVBランキングを元に決定される。；別の説では135人が犠牲になったとされるが、その内訳は不明瞭である。；出場できるチームの数の各大陸の内訳はFIBAランキングを元に決定される。；ただし、家を建てた時は、費用をどこから出したかの内訳を申告する。；その同日付で除籍廃車となるまで生き残った10両の内訳は以下の通り。；全体事業費は、292億円であり、その内訳は、次のようになっている。；その内訳は次に示す通りであるが、具体的な社名は記されていない。；現在予算が承認されている8隻の内訳は対潜型6隻、対空型2隻である。；寄付の大半は1万円以内のものであったなど、内訳も明らかにされた。；最終期まで営業を続けた店舗は全て高知市内にあり、その内訳は以下の通り。；洋書が五冊、新子は内訳は見なかったが、合計は二十三円五十銭だった。；しかしその内訳だが、過去に男は一人だけだという女もちゃんといて六人である。；きみたちは相談をして、必要と思うものの予備的な費用の内訳を作りたまえ。；この覚え書きのうちには三百フラン余りの明らかな二つの内訳がのっていた。；地震の犠牲者は60000人以上であり、その主な内訳は以下である。；アマチュア無線用の周波数割り当ての内訳の元になる指示が書かれている。；村田はおれの経験値内訳を知らないし、今のところのレベルも不明なはずだ。；その内訳は、ほとんどが極左の革命思想を持つ団体であることが多い。；進出機の内訳は以下のようであったと推測される。；三人の内訳は男二人に女一人、いずれもジーパンをはいている。；また一手部隊の内訳は規模の大小の違いはあるものの旗本部隊の構成と大きな違いはない。；この時のアンティゴノスの軍の内訳はポリュビオスが詳しく記録している。；すなわち費用内訳が明示されない旅行は基本的に企画旅行である。；パチンコとパチスロの内訳はメンバーが自由に決めることができるように変更された。</t>
        </is>
      </c>
      <c r="J730">
        <f>HYPERLINK("https://www.weblio.jp/content/内訳", "词义详情")</f>
        <v/>
      </c>
      <c r="K730">
        <f>HYPERLINK("https://yourei.jp/内訳", "查看例句")</f>
        <v/>
      </c>
    </row>
    <row r="731">
      <c r="A731" t="inlineStr">
        <is>
          <t>打つ</t>
        </is>
      </c>
      <c r="B731" t="inlineStr">
        <is>
          <t>成功</t>
        </is>
      </c>
      <c r="C731" t="inlineStr">
        <is>
          <t>読み方：うつ
［動タ五（四）］
１物を他の物に向けて強く当てる。
㋐たたく。ぶつ。「平手で—・つ」「滝に—・たれる」
㋑勢いよくぶつける。「後頭部を強く—・つ」
㋒たたいて鳴らす。打ち合わせて、音を立てる。「柱時計が一二時を—・った」「太鼓を—・つ」
㋓たたいて移動させる。当てて飛ばす。「ホームランを—・つ」
㋔強く刺激する。「鼻を—・つ消毒薬のにおい」
㋕心に強い感動を与える。「雄渾(ゆうこん)な筆致が読者を—・つ」
２（1のようにして）物事をしたり、物を作ったりする。
㋐鍬(くわ)などで耕す。「田を—・つ」
㋑たたいて、平たくのばしたり、鍛えたりして作る。「そばを—・つ」「箔(はく)を—・つ」「太刀を—・つ」
㋒キーをたたいて信号を送る。発信する。また、印字する。「電報を—・つ」「タイプを—・つ」「携帯でメールを—・つ」
㋓布・綿・わらなどをたたいて、つやを出したり、やわらかくしたりする。「わらを—・つ」
３
㋐広がるように投げる。「投網を—・つ」
㋑まいて散らす。まきかける。「庭に水を—・つ」
㋒目標めがけて投げる。「つぶてを—・つ」
４（1のようにして）しっかりと取り付ける。
㋐たたいて、中へ入れ込む。「くいを—・つ」「梁(やな)を—・つ」
㋑さし入れる。突きさす。「鍼(はり)を—・つ」「注射を—・つ」
㋒付け留めて高く掲げる。「高札を—・つ」
㋓しるしをつける。「目盛りを—・つ」「読点を—・つ」
㋔しっかりと全体に張る。「掛け軸の裏を—・つ」
㋕ひも・糸などを組み合わせて、よる。「緒を—・つ」
㋖縄で縛る。縄をかける。「縄を—・たれた罪人」
５ある事を行う。
㋐相撲・芝居などの興行をする。「芝居を—・つ」
㋑碁・ばくちなど、勝負事をする。「ばくちを—・つ」
㋒手段・方策を施す。「ストを—・つ」「手金を—・つ」「逃げを—・つ」
㋓そのような動作をする。「寝返りを—・つ」
㋔参拝をする。また、巡礼をする。「西国を—・つ」
６動きが規則正しく繰り返される。「磯—・つ波」「脈—・つ」
７火打ち石を強くぶつけて火をだす。
「をりをりに—・ちて焚(た)く火の煙あらば心ざす香をしのべとぞ思ふ」〈貫之集〉
８《鞭(むち)でたたくところから》馬を走らせる。
「佐々木判官時信は一里計(ばか)り引きさがりて、三百余騎にて—・ちけるが」〈太平記・九〉
９幕などを張る。
「生田の川のつらに、女、平張(ひらば)りを—・ちてゐにけり」〈大和・一四七〉
[可能]うてる
［動タ下二］《「打たれる」意から》
１負ける。圧倒される。
「ことの葉は強(こは)く見ゆれどすまひ草露には—・つるものにざりける」〈源順集〉
２誓いを守らず神仏の罰を受ける。
「いかに和僧、起請(きしゃう)には—・てたるぞ」〈平家・一二〉
３承服できる。合点がいく。
「小気味の悪い女郎ぢゃと、さすがの武士も—・てぬ顔」〈浄・天の網島〉
[補説]江戸時代には「うてる」という下一段形も行われた。
[用法]うつ・たたく——ほぼ同様の動作を表すが、「打つ」は「合図の太鼓を打つ」「時の鐘を打つ」「釘を打つ」のように、意志的な動作に重点をおいて用いられる場合がある。◇「たたく」は動作そのものを示す。「ボールをたたく」といえば、「打つ」よりも打撃の姿、勢いなどを想起させる。また、「太鼓をたたく」「鉦(かね)をたたいて経を読む」など、繰り返し打ち続けることをいうことが多い。◇類義語の「殴る」は怒り・興奮などの感情を込めて強く打つ場合に用いる。「ぶつ」もほぼ同じだが、「殴る」にくらべて、怒り・興奮は浅く、打つ力も弱い。「そんなにぶたないでよ」のような用法もあり、この場合「殴る」に置き換えることはできない。◇「はたく」は、平たいもので打つ感じが強く、払いのけるような動作を伴うことが多い。「ほこりをはたく」「蠅(はえ)をはたく」などと用いる。</t>
        </is>
      </c>
      <c r="D731" t="inlineStr">
        <is>
          <t>打つべき；打つべく；打つような音；打つかる；打つ買う</t>
        </is>
      </c>
      <c r="E731" t="inlineStr">
        <is>
          <t>衝突；ヒット；一撃；叩く；ノック</t>
        </is>
      </c>
      <c r="F731" t="inlineStr">
        <is>
          <t>打つてあつ；打つ蹴る</t>
        </is>
      </c>
      <c r="G731" t="inlineStr">
        <is>
          <t>打つて</t>
        </is>
      </c>
      <c r="H731" t="n">
        <v>29</v>
      </c>
      <c r="I731" t="inlineStr">
        <is>
          <t>三連星と同じく地に甘いためこちらも打たれることが少なくなっている。；セルビアの法律と文化はローマとビザンツの基礎の上に打ち建てられた。；それぞれの聖剣にはそれを打った場所と打った人の名前が付けられている。；鐸は柄を持ちもう一方の手にもった打器で鐸を打ち鳴らして音をだした。；つまり打ち手のレベルやテクニックによって目に見えて差が開きやすい。；相手に打たれることを恐れない精神こそがガッティの最大の武器であった。；とはいうものの、打たれた敵が頭等から血を流していることがある。；また、全て避けられることになっているとは言え打太刀からも技を打つ。；私は、グループを作って気持ちを前向きにしている人たちに胸を打たれた。；ほかにも点を上に打ったり下に打ったりすることで同綴語を区別した。；名称・地域によっては、お互いの右手を打つ場合と打たない場合がある。；名称・地域によっては、お互いの右手を打つ場合と打たない場合がある。；この試合では二番・村松有人に三塁打を打たれてそのまま降板している。；ちなみにこの時は引退試合と打って変わって、観客から大声援を受けた。；ただしこの形は黒が有利という結論が出ており、現在では打たれない。；恋愛もうまくいかず、絶望に打ちひしがれたドリューは自殺を決意する。；清水時代後期とは打って変わり、この年のアラウージョは活躍を見せた。；それまでの成功とは打って変わって、2008年は我慢の年となった。；この頃、タイプをかなりのスピードで打つことが出来るようになっていた。；これに家康は心を打たれ、久三郎や捕らえていた者たちを赦したという。；四線と五線の交点であり、通常打たれる隅の着点としては最も位が高い。；絶対に打たれるはずのないひざ元へのスライダーを門田さんに打たれた。；これに江戸時代に入ると日本独特と云われる大筒抱え打ちの業が加わった。；家の裏に古タイヤを吊るし、毎日左右で50回ずつ打たせて練習させた。；これでは二葉亭が一世一代の芝居を打とうとしても出る幕がないだろう。；ノビは囲碁用語で、すでに打たれた自分の石に隣接させて打つ手を指す。；向こうは社名を入れることで手を打ったんじゃないのかな、今にして思えば。；上記の事故がきっかけで11年間のアメリカ生活に終止符を打ち、帰国。；その後も五番を打ってまで6年連続でベストナイン捕手を獲得し続ける。</t>
        </is>
      </c>
      <c r="J731">
        <f>HYPERLINK("https://www.weblio.jp/content/打つ", "词义详情")</f>
        <v/>
      </c>
      <c r="K731">
        <f>HYPERLINK("https://yourei.jp/打つ", "查看例句")</f>
        <v/>
      </c>
    </row>
    <row r="732">
      <c r="A732" t="inlineStr">
        <is>
          <t>撃つ</t>
        </is>
      </c>
      <c r="B732" t="inlineStr">
        <is>
          <t>成功</t>
        </is>
      </c>
      <c r="C732" t="inlineStr">
        <is>
          <t>読み方：ぶつ
［動タ五（四）］《「うつ」の音変化》
１たたく。なぐる。また、ぶつける。「子供のおしりを—・つ」「転んでひざを—・つ」
２演説する、語る意などを強めていう語。「一席—・つ」
３博打(ばくち)をする。
「飲むも可(よ)し、—・つも可し、買うも可しだが」〈鏡花・婦系図〉
[可能]ぶてる</t>
        </is>
      </c>
      <c r="D732" t="inlineStr">
        <is>
          <t>撃つべき；撃つべく；撃つよう命じ；撃つべし；撃つ毎</t>
        </is>
      </c>
      <c r="E732" t="inlineStr">
        <is>
          <t>攻撃；発射；射撃；放出；放つ</t>
        </is>
      </c>
      <c r="F732" t="inlineStr">
        <is>
          <t>発撃つ；狙って撃つ；向けて撃つ；相撃つ；本当に撃つ</t>
        </is>
      </c>
      <c r="H732" t="n">
        <v>29</v>
      </c>
      <c r="I732" t="inlineStr">
        <is>
          <t>敵がからだのどこかを見せるたびに、三人のうちの一人が撃つのである。；どうやって撃つか教えてあげるから、自分でも一つ買うように勧めたわ。；当たると自機の操作が反対になってしまう弾などを撃って攻撃してくる。；私は彼らによって首と尻を撃たれたが、それはもはや過去のことである。；この時過去の自分から反撃を受けて撃たれ、再生できないまま死亡した。；その後ドワイヤーは自分の口の中に向け銃を撃ち、床に崩れて死亡した。；前後逆に構えて撃った際には、偶然後ろに敵がいて倒したこともある。；頭部を撃ってのピストル自殺と考えられるが、詳細は不明のままである。；ブラッドフォード少佐は明らかに降伏後に撃たれた者の中に入っていた。；撃とうと思ったときには、既に次の目標を見た方が良い、ということだ。；彼らの銃が火を噴いたとき、そこに銃で撃たれた死体が横たわっていた。；ある若者が魔法にかかった鳥を撃ったら実に劇的な結果になった話である。；撃ち続けると何回か違うボーナスブロックに変化して元のパーツに戻る。；ある時点で生徒の母親に遭遇しているが、彼女は撃たれずに済んでいる。；多くの関係者がこの男性たちが群衆や兵士を最初に撃ったと主張する。；それに、自分で自分を撃ったのだとしたら、ピストルはどこにあるんだ?；「ピストルが物をいうまで撃つのはやめたほうがいい」かれは意見した。；それをもとに猟銃で撃ち落された鳥を回収するのも仕事のひとつである。；森のシカを撃つのも牧草地の牛を撃つような気持ちになると述べている。；しかし、アメリカ軍が視界に入ってもこちらからは撃たないことと決めた。；敵を撃ちはじめてから倒すまでの時間の長さで分類することができる。；そしてベンチに何かいるのを見つけ、鳥だと思って近づいて鉄砲を撃つ。；壁にかかっているチューブの一つに向けて、メグレが拳銃を撃ったのだ。；人々は怖れをなしたか、450丁もの銃で撃ちとめたとしたといわれる。；しかし時々銃に弾が入ったままになっていて、誤って床に撃つこともある。；タルボット博士は自宅で銃で撃たれ、その夜にその傷がもとで死亡した。；マーシさん、もしまた右手をポケットに入れたら、確実に腕を撃つわよ。；その小さな目標を撃つことができれば、その砲は永久に沈黙するだろう。；店内にいた老紳士が撃たれた4人に触れると傷が完全に癒えたのである。</t>
        </is>
      </c>
      <c r="J732">
        <f>HYPERLINK("https://www.weblio.jp/content/撃つ", "词义详情")</f>
        <v/>
      </c>
      <c r="K732">
        <f>HYPERLINK("https://yourei.jp/撃つ", "查看例句")</f>
        <v/>
      </c>
    </row>
    <row r="733">
      <c r="A733" t="inlineStr">
        <is>
          <t>討つ</t>
        </is>
      </c>
      <c r="B733" t="inlineStr">
        <is>
          <t>成功</t>
        </is>
      </c>
      <c r="C733" t="inlineStr">
        <is>
          <t>読み方：うつ
［動タ五（四）］《「打つ」と同語源》
１攻撃する。敵を攻めて滅ぼす。征伐する。「かたきを—・つ」「不義を—・つ」
２武器を用いて、傷つけたり殺したりする。「首を—・つ」
[可能]うてる</t>
        </is>
      </c>
      <c r="D733" t="inlineStr">
        <is>
          <t>討つべく(10%)；討つべし(3%)；討つべき(2%)；討つよう命じ；討つよう進言</t>
        </is>
      </c>
      <c r="E733" t="inlineStr">
        <is>
          <t>攻撃；襲う；掛かる；撃つ；攻める</t>
        </is>
      </c>
      <c r="F733" t="inlineStr">
        <is>
          <t>かたきを討つ；相討つ；追い討つ；敵討つ</t>
        </is>
      </c>
      <c r="H733" t="n">
        <v>29</v>
      </c>
      <c r="I733" t="inlineStr">
        <is>
          <t>困難さに追い討ちをかけたのが燃料不足に直面したための遅れであった。；味方が残らず討たれて最後の一人になるまでも決して後へは退きません。；そして最も気の早い者は、戦友が助けに来てくれる前に討たれてしまう。；しかし知らねば、この男は妹の敵を討つために妹を殺すところだったのだ。；その部下たちを使って信長を討とうというのが、そもそも無理であった。；この戦闘では刀、脇差などを紛失しながらも無刀で三人を討ったという。；だが追撃してはしらせる場合にも、一人も敵を討つことができなかった。；首府ではワスカルは祭司の意見を聞いて敵を迎え討つ態度を取っていた。；そのようにして、邪魔な国を討った後は、その国が自分の領土になる。；理由は持国が成氏に寝返ろうとした所を家純に討たれたと言われている。；「柱」は自分で死ぬこともこの世界の民に討たれることも許されないこと。；ヨシュアは太陽の動きをギブオンの上で止め、それを利用して敵を討つ。；その後師匠の仇を討つために青城派では長く辟邪剣譜の研究が行われた。；さらにトクセウスも兄弟の仇を討つべきか躊躇しているうちに殺された。；しかし討たねばならぬ父の敵から助けられるということは、苦痛であった。；反乱に至るまでに鬼王丸は貞盛の父を滅ぼし、彼の一族の多くを討った。；神が任命した国王を討つことは当然討つ者ハムレットの死を意味する。；武帝は前記大月氏と結び、この共同の敵を討つことを提案しようとした。；そんな状況に追い討ちをかけたのが1897年の金本位制復帰であった。；大方、自分を討ちに帰ってきたのだと、彼は小さくなって震えていた。；この時、範満や道灌は龍王丸を討つことも考慮していたとみられている。；わが殿が羽柴殿を討って、見事天下の主になられたのなら話は別じゃ。；人の世に満ちた罪を贖うために自ら罪を背負って娘の桜花に討たれた。；さういふわけで、その弟は仇敵を討つための旅をしてゐたのである。；小源太は無事に一族の敵を、お品は父の敵を討つことができた。；かたきを討てば討ったで、またしても被害者の立場に追いやられるとは。；朝鮮で討たれた貴田孫兵衛統治は、塩漬けにされて名護屋へ輸送された。；だからあなたはお波さんのために敵を討ったんじゃあないの?；義持は激怒して満祐を討とうとするが、幕府の重臣達はこれに反対した。</t>
        </is>
      </c>
      <c r="J733">
        <f>HYPERLINK("https://www.weblio.jp/content/討つ", "词义详情")</f>
        <v/>
      </c>
      <c r="K733">
        <f>HYPERLINK("https://yourei.jp/討つ", "查看例句")</f>
        <v/>
      </c>
    </row>
    <row r="734">
      <c r="A734" t="inlineStr">
        <is>
          <t>うっかり</t>
        </is>
      </c>
      <c r="B734" t="inlineStr">
        <is>
          <t>成功</t>
        </is>
      </c>
      <c r="C734" t="inlineStr">
        <is>
          <t>［副］(スル)
１ぼんやりして注意が行き届かないさま。「—（と）秘密をしゃべる」「—して大事な物を置き忘れた」
２心をひかれて他に注意の向かないさま。うっとり。
「擦寄って、—と見惚(みと)れて居る」〈鏡花・婦系図〉</t>
        </is>
      </c>
      <c r="D734" t="inlineStr">
        <is>
          <t>うっかりする(7%)；うっかり口(3%)；うっかり忘れ；うっかり手；うっかりそんな</t>
        </is>
      </c>
      <c r="E734" t="inlineStr">
        <is>
          <t>つい；ぼんやり；誤って；思いがけず；ついつい</t>
        </is>
      </c>
      <c r="F734" t="inlineStr">
        <is>
          <t>うっかり見落とし；うっかり歩け；うっかりもらし；うっかり触る；うっかり見のがし</t>
        </is>
      </c>
      <c r="G734" t="inlineStr">
        <is>
          <t>うっかり八兵衛；うっかり失効；うっかりペネロペ</t>
        </is>
      </c>
      <c r="H734" t="n">
        <v>29</v>
      </c>
      <c r="I734" t="inlineStr">
        <is>
          <t>大人の多くはそんなものに興味を持たないために、うっかりとしている。；でも、うっかりしてこの敵の土地にはいってしまった時には恐かったわ。；こういう仕掛けがあることは予想すべきだったのにうっかりしていた。；私がうっかりしていたので、こんな悲しいことになってしまったんです。；私は荷物の始末を忘れて、雪江さんの出て行った跡をうっかり見ていた。；あの人にはいやな野心ばかりしかないんだから、うっかり出来やしない。；そして「決して入るな」と言われた地下室にうっかり足を運んでしまう。；たいてい、うっかりしてる油断の隙間にそれが現われて、すぐに消えた。；そして刃もよくついていてうっかりすると、指さきを切ったのであります。；とうっかりしてると先生の跫音と間違えさせられることがある程なのです。；あんな女にウッカリした事はしゃべれません、あれは人間じゃありません。；これはスペシャルの内容をうっかり話してしまうことを避けるためであった。；それらの言葉は父に向けてはうっかり言えない言葉に違いない。；頭が混乱していたために知らないはずになっていたことをウッカリ忘れたのであろうか。；三月になれば入学試験もある事を考えるとうっかりしては居られない。；うっかり連中の仲間入りをして芝居見物には出かけられないと言っている。；だが誰もが地球は丸いのだと唱えるので、君はうっかり騙されてしまう。；彼の振る舞いや個性の中にあるものを、誰もがうっかり見過ごしていた。；フラグをうっかり忘れた場合の安全を考慮してデフォルトが選ばれている。；ちょっとだけ、ついうっかり何かを言ってしまうだけでいいんです。；でも、こうしたことは、ちょっとうっかりすると、よくあるものですね。；そんな先輩連の真似をツイうっかりでも学ぶと、非道い眼に会わされた。；そんなことを考えると、うっかりマスクを人にすすめることも出来ない。；うっかりしていると、足が辷って、横ざまに水に浮き相な気がするのだ。；うっかりしておったのですが、変な奴だと思っていられたようです。；ウッカリ大事なものをなくしてしまっていたことに突然気づいたような気持ち。；あんな奴の相手になるには、うっかりしたことは出来ないからね。；うっかり吐いた嘘のために、気の遠くなるほど思いなやんでいたのである。；堀先生は授業に熱心であるから、うっかり復習を怠るわけにはいかない。</t>
        </is>
      </c>
      <c r="J734">
        <f>HYPERLINK("https://www.weblio.jp/content/うっかり", "词义详情")</f>
        <v/>
      </c>
      <c r="K734">
        <f>HYPERLINK("https://yourei.jp/うっかり", "查看例句")</f>
        <v/>
      </c>
    </row>
    <row r="735">
      <c r="A735" t="inlineStr">
        <is>
          <t>美しい</t>
        </is>
      </c>
      <c r="B735" t="inlineStr">
        <is>
          <t>成功</t>
        </is>
      </c>
      <c r="C735" t="inlineStr">
        <is>
          <t>読み方：うつくしい
［形］［文］うつく・し［シク］
１色・形・音などの調和がとれていて快く感じられるさま。人の心や態度の好ましく理想的であるさまにもいう。
㋐きれいだ。あでやかだ。うるわしい。「若く—・い女性」「琴の音が—・く響く」
㋑きちんとして感じがよい。「—・い町並み」「—・い文章」
㋒清らかでまじりけがない。好ましい。「—・い友情」
２妻子など、肉親をいとしく思うさま。また、小さなものを可憐に思うさま。かわいい。いとしい。愛すべきである。
「妻子(めこ)見ればめぐし—・し」〈万・八〇〇〉
「なにもなにも、小さきものはみな—・し」〈枕・一五一〉
３りっぱである。見事だ。
「かの木の道の匠(たくみ)の造れる、—・しきうつは物も」〈徒然・二二〉
４（連用形を副詞的に用いる）きれいさっぱりとしている。
「—・シウ果テタ」〈日葡〉
「—・しくお暇(いとま)取り、二度(ふたたび)在所へ来るやうに」〈浄・歌念仏〉
[補説] 本来親しい間柄、特に親子・夫婦などの間のいたわりの愛情を表したが、のちに小さいものへの愛情を主にいうようになり、さらに一般的に心や感覚に喜びを与えるもののようすをいうようになった。
[派生]うつくしげ［形動］うつくしさ［名］
[用法]うつくしい・きれい——「美しい（きれいな）人」「きれいな（美しい）花」のように相通じて用いられるが、現代の口頭語としては「きれいだ（です）」が優勢である。「なんてきれいなのでしょう」が普通で、「なんて美しいのでしょう」はやや改まった言い方になってしまう。◇「美しい」は、「日本の美しい自然」「美しい心」などのように、心を打つ内面的な好ましさについて用いることが多く、「美しい友情」を「きれいな友情」とは普通はいわない。◇「きれい」は、「きれいに掃除する」「きれいに食べる」とかのように、外面的な清潔さ・鮮やかさの意が強い。「きれいな空気」を「美しい空気」とはいわない。◇類義語「麗(うるわ)しい」は、「美しい」に近いが文章語的。感情や、人と人との間柄の美しさなどを表して、「彼女は御機嫌麗しい」「麗しい師弟愛」のように用いられる。</t>
        </is>
      </c>
      <c r="D735" t="inlineStr">
        <is>
          <t>美しいもの(4%)；美しい女(3%)；美しい顔(2%)；美しい娘(2%)；美しい花</t>
        </is>
      </c>
      <c r="E735" t="inlineStr">
        <is>
          <t>良い；見事；綺麗；素晴らしい；艶</t>
        </is>
      </c>
      <c r="F735" t="inlineStr">
        <is>
          <t>非常に美しい；とても美しい；一番美しい；もっとも美しい；美しい風景</t>
        </is>
      </c>
      <c r="G735" t="inlineStr">
        <is>
          <t>美しい男；美しい世界；美しい国；美しい村；美しい星</t>
        </is>
      </c>
      <c r="H735" t="n">
        <v>29</v>
      </c>
      <c r="I735" t="inlineStr">
        <is>
          <t>しかしこの世の物とは思えない美しさで周りの人間たちを魅了していく。；費用を受け取った住民たちは自分たちの町を美しく飾り立てたのである。；この本の主要なテーマの一つは数学自身が持っている「美しさ」である。；奇岩怪石と水の美しさゆえ、台湾の中でも特に人気のある観光地である。；外観は機能的な無駄のなさから美しさを見出せるようにデザインされた。；機能優先のものから、美しくデザインされた装飾のものまで様々である。；枝は少なく、ほとんどの個体はまっすぐ伸びて美しく整った樹形になる。；エンジンの音も美しく、これも信じられないような素晴らしい音だった。；その美しさから信夫橋は東の錦帯橋と称されていたほどの名橋であった。；しかし絹織物などで意図的に美しい模様を発生させて用いる例もある。；母親の目は涙で濡れていたが、いくら泣こうと彼女はいつも美しかった。；彼女は、彼女のパワーだけでなく、年をとらない美しさでも有名でした。；そこは、美しすぎるほどに美しく、日常の全てから解放される夢の楽園。；そこは、美しすぎるほどに美しく、日常の全てから解放される夢の楽園。；これは、我々の世界を記述する理論の美しさと単純さと対立するようである。；死んでいる筈なのに彼女は美しく、旅に出る支度をするように彼に告げた。；トレーナーの明るい感情に触れているキルリアほど美しく成長していく。；彼は目の前の美しき不死者を創造した賢者が実在することを知っていた。；自動車の美しさを競うコンテストや展示会も世界的な規模で開催される。；これは自然の物象を美の基準として書の美しさを表現したものである。；あの美しかった姉がこのようになろうとは想像もできませんでした。；花が美しく、香りがよいことから、古くから栽培されたものと考えられる。；それは男の記憶に生き続ける恋人が、今も変わらず美しかったからである。；彼の才能は豊かで思考は鋭く、その文体は独自性と美しさで特筆される。；技の美しさにもウェイトが置かれていて、美しさを競うという面もある。；語り手のフランス語の美しさが要求されオネゲルの出世作とされている。；刈り込みにも強く花が美しいことから栽培が盛んで、園芸種は多数ある。；眼下の地帯は戦争の影響をほとんど示しておらず、きわめて美しかった。；だが私は美しき作が多く作られることに興味を感じているのではない。</t>
        </is>
      </c>
      <c r="J735">
        <f>HYPERLINK("https://www.weblio.jp/content/美しい", "词义详情")</f>
        <v/>
      </c>
      <c r="K735">
        <f>HYPERLINK("https://yourei.jp/美しい", "查看例句")</f>
        <v/>
      </c>
    </row>
    <row r="736">
      <c r="A736" t="inlineStr">
        <is>
          <t>写し</t>
        </is>
      </c>
      <c r="B736" t="inlineStr">
        <is>
          <t>成功</t>
        </is>
      </c>
      <c r="C736" t="inlineStr">
        <is>
          <t>読み方：うつし
１書画などを写しとること。模写。また、その書画。
２書類などの控えとして書き写したり複写したりした文書。謄本(とうほん)。コピー。「証書の—」
３写真や映画などにとること。「大—」「二重—」
４模造品。「天目(てんもく)の—」</t>
        </is>
      </c>
      <c r="D736" t="inlineStr">
        <is>
          <t>写しとる；写し霊場；写しだし；写し得；写し身</t>
        </is>
      </c>
      <c r="E736" t="inlineStr">
        <is>
          <t>コピー；写本；複製；写；偽物</t>
        </is>
      </c>
      <c r="F736" t="inlineStr">
        <is>
          <t>引き写し；丸写し；鏡写し；一緒に写し；まる写し</t>
        </is>
      </c>
      <c r="G736" t="inlineStr">
        <is>
          <t>写し出し；写し取る；写し出す；写し絵；写し取り</t>
        </is>
      </c>
      <c r="H736" t="n">
        <v>29</v>
      </c>
      <c r="I736" t="inlineStr">
        <is>
          <t>私の案を立てた父の肖像画もこの点に就いては真を写しては居りません。；原因や理由は不明であるが世界の一般のプロレスとは鏡写しの動きを取る。；これらの特徴は、後述する戸籍の附票の写しを使用する際に活用される。；獏もその一人で、それぞれ皆がタイトル書きや台本の写しを行っていた。；ジョン・エルフィストーンが写したものが大英図書館に保存されている。；長期連載だけに、相談の内容や相談者も時世を写して大きく変化している。；その中から、鳥の意匠を写しとったものが、公園のロゴにもなっている。；これによる の埋め込み像を の任意の射影変換で写した像を鎖と呼ぶ。；上田の写した明治期大阪の写真は当時を知る貴重な資料となっている。；このような間違いの引き写しは江戸時代の他の和算書にも見られる。；申込には日本でも一般的な個人資料および日本国旅券の写しが要求される。；そこにはジーグリスヴィルの橋の上で写した、セリの横顔が残っていた。；後のシーボルト事件はこの禁制の地図の写しを持ち出したことにあった。；出演者は、カメラに背を向けて、顔を鏡越しに写しながらトークを行う。；公判では写真界の有力者たちが「重ね写し」する手法について証言した。；それは男性が恋人に必死で謝罪している姿を写したものであった。；幕末には法導寺善が反転で円を直線に写して簡略化する手法を導入した。；屏風絵の扇ごとの写しで、右隻第五扇が欠失して十一幅が現存している。；またこの際にも法華大乗経二千部を写して宝塔に安置したと記されている。；放送週の阪神の試合や練習の模様を写した映像から、選手の「顔」に注目。；アメリカの批准日は条約の写しがワシントンに届いた数日後であった。；証拠の中に女性がエレベータに入るところを写した監視カメラの映像がある。；これは当時の多数の映画と同様、街の風景をただ写したものである。；またムワタリが西方のの一都市であるの王と結んだ条約の写しが発見されている。；あるポスターには笑顔の男性経営者を写してこんなコピーがついた。；その報告書の内容に関する関心の高さから、その写しが世界中に出回った。；但し、証拠資料の判物・書状のある場合はその写しを掲げて補っている。；多くの場合姿見などに全身を写し、刃筋や姿勢が正しいか確認しながら行われる。；そして歌詞の写しみせ、妻を売るという話も金を稼ぐためだったといった。</t>
        </is>
      </c>
      <c r="J736">
        <f>HYPERLINK("https://www.weblio.jp/content/写し", "词义详情")</f>
        <v/>
      </c>
      <c r="K736">
        <f>HYPERLINK("https://yourei.jp/写し", "查看例句")</f>
        <v/>
      </c>
    </row>
    <row r="737">
      <c r="A737" t="inlineStr">
        <is>
          <t>写す</t>
        </is>
      </c>
      <c r="B737" t="inlineStr">
        <is>
          <t>成功</t>
        </is>
      </c>
      <c r="C737" t="inlineStr">
        <is>
          <t>読み方：うつす
［動サ五（四）］《「移す」と同語源》
１文書・絵などを元のとおりに書き取る。まねてそのとおりに書く。転写する。模写する。「手本を—・す」「友達のレポートを—・す」
２ある物をまねてそのとおりの形につくる。模造する。「竜安寺(りょうあんじ)の石庭を—・した庭」
３見聞したことを文章や絵で表現する。描写する。「情景を—・す」
４写真や映画に撮る。撮影する。「花を—・す」
[可能]うつせる</t>
        </is>
      </c>
      <c r="D737" t="inlineStr">
        <is>
          <t>写すべき</t>
        </is>
      </c>
      <c r="E737" t="inlineStr">
        <is>
          <t>撮影；描く；描写；模倣；複製</t>
        </is>
      </c>
      <c r="F737" t="inlineStr">
        <is>
          <t>描き写す；ありのままに写す</t>
        </is>
      </c>
      <c r="H737" t="n">
        <v>29</v>
      </c>
      <c r="I737" t="inlineStr">
        <is>
          <t>もちろん、彼の目的は女性たちを写すことにあったわけだから当然だが。；したがってそれは原語の音をそのまま写すだけに止めておいたわけです。；普通に模写説は我々の心が鏡の如く物を写すと考えると理解されている。；そこでも二本ばかり写された筈だが、それも今は見あたらない様である。；すなわち重大なのは内なる真実であって、写すと写さないの別ではない。；この画家こそは彼女の面影を如実に写すことができる唯一の人であろう。；その写真には前に言った通り、二人の人が写されているのであります。；前にも述べておいたが、ここに写すのはこれらの手紙の全部ではない。；その水は画家の心を写すかのように時代と共に色や形を変えていった。；何を写すかとなれば、やはり松陰先生の書き遺されたものがよいと思う。；「なぜ写真を写すんですか」 前方を見つめたままの姿勢で圭子が言う。；この時に各地で写された経書は、各地の文字が使われていたと考えられる。；友達に囲まれた私の顔が、そこにはっきりと写されていたのである。；言われてみると、写真に写された石は、ますます人の顔らしく見えてくる。；こんなものが写されているのなら秀吉にも見えないように した方が良いだろう。；森野の祖母は、写真に写すと良さそうな場所を説明しながら玄関を開けた。；すなわち、写される人間が動いたのではなく、カメラのほうが動いたのだ。；このカメラに役を設定して写すと、写った人はその役の服装に変わる。；私はこの写真は写された者全員に手渡されたものとばかり思っていたのに。；オレは絶対にこのテスト範囲を写さないぞと、彼は心で何度もつぶやいた。；写生文家自身までが写さるる狂的な人間と同一になるを避けるのである。；写真では会長の体に、はっきりと尻っ尾が生えているのが写されているのです。；彼もまた、その位置ならカメラに写されるはずがないと考えていた。；その鏡は今までとはまるで違ったものを写すのだと思いました。；その上、当然のことながら二人とも稿本を写させてくれと言い出した。；といって、映画は本来カメラが捕えた動きをしか写すことはできない。；そこに写されていたのは、死んだ篠田を自ら掘り出している斎藤の写真。；それらの中にはいつ成立したのか、いつ写されたのかが不明のものも少なくない。；鏡は自分の姿を写すために使われるが、その原理上、正面しか写らない。</t>
        </is>
      </c>
      <c r="J737">
        <f>HYPERLINK("https://www.weblio.jp/content/写す", "词义详情")</f>
        <v/>
      </c>
      <c r="K737">
        <f>HYPERLINK("https://yourei.jp/写す", "查看例句")</f>
        <v/>
      </c>
    </row>
    <row r="738">
      <c r="A738" t="inlineStr">
        <is>
          <t>移す</t>
        </is>
      </c>
      <c r="B738" t="inlineStr">
        <is>
          <t>成功</t>
        </is>
      </c>
      <c r="C738" t="inlineStr">
        <is>
          <t>読み方：うつす
［動サ五（四）］
１位置や地位を変える。他の所へ持っていく。また、中身を別のものに入れ替える。「住まいを—・す」「首都を—・す」「庶務課に—・す」「小皿に—・す」
２目の向きや関心の対象を変える。「視線を—・す」「別の相手に心を—・す」
３時を過ごす。時間を経る。「時を—・さず決行する」
４伝染させる。「風邪を—・される」
５色や香りを他の物にすりつけて染み込ませる。「花をすって布地に色を—・す」
６物事を別の段階に進める。「計画を実行に—・す」
７（遷す）神仏の座所を動かす。また、分けて他の所に祭る。「伏見稲荷を—・して守護神とする」
８物の怪(け)を寄坐(よりまし)にのりうつらせる。
「物の怪にいたう悩めば、—・すべき人とて」〈能因本枕・三一九〉
９高貴の人を流罪にする。
「いかでか我が山の貫首をば、他国へは—・さるべき」〈平家・二〉
[可能]うつせる</t>
        </is>
      </c>
      <c r="D738" t="inlineStr">
        <is>
          <t>移すべき；移すべく；移すべし</t>
        </is>
      </c>
      <c r="E738" t="inlineStr">
        <is>
          <t>移転；動く；伝える；変わる；動かす</t>
        </is>
      </c>
      <c r="H738" t="n">
        <v>29</v>
      </c>
      <c r="I738" t="inlineStr">
        <is>
          <t>この勝利で勢いを得たクレオメネスは自らの計画を実行に移そうとした。；これを違った国のことばで移そうとするのはかなり無理なことである。；犯人に連絡して、我々の捜索前に死体をどこかへ移そうとするでしょう。；電子頭脳をロボットに移し、ロボットの姿で活躍したエピソードもある。；従来は工作機械事業が主力であったが、自動車部品事業に主力を移した。；後にメタリカも拠点をサンフランシスコに移し、人気を確立していった。；有効な訓練計画を立て実行に移す任務がシュトイベン男爵に与えられた。；ここから五百メートルほどある殺人の現場から死体をほかへ移そうとした。；司法会議の指揮・監督を受け、司法会議の方針を実施に移す任務がある。；通船の発着所は、一時は女鳥羽川の千歳橋付近に移されたこともあった。；当初は現在の位置よりも少し下の方にあったが、昭和40年頃に移された。；世代を超えて受け継がれ、いまはこの身の内に宿を移そうとしている。；ペンギンは新しい展示施設に移されているが、プールは保存されている。；その直後にオスカープロモーションに移籍し、活動の拠点を東京に移す。；分岐命令に続く命令を実行してから分岐先に制御を移す分岐方法である。；代わりに、葬祭の場は墓より少し離れた場所に場所の関係で移された。；このツアーの反響がバンドの拠点をアメリカに移す決意をさせたようである。；従来はクマツヅラ科に入れられてきたが、現在はシソ科に移されている。；現在のメープルウッドに本社を移したのは1906年のことであった。；その後、他の場所に移そうとした市に住民らが相談し、井戸は保存された。；江戸時代初期に郡の再編成が行われ北部の地域が香取郡に移された。；その為にABSOLUTE計画をそのまま実行に移すことは出来なかった。；彼らがそれを持ち続けて次にどう移していってくれるか。；その後生活拠点を日本に移し、多くの日本のミュージシャンと交流を持った。；町の中心は丘の近くに置かれたが、カエサルの指示で現在の場所に移された。；この命令を信じ、第百二十二連隊のように虐殺を実行に移した部隊もあった。；きっとヴォルデモートが、自分の考えを行動に移そうとしているのだろう。；なお、この頃からポジションを代表と同じボランチに移すようになった。；記録メディアの製造拠点を早くから海外に移したことでも広く知られている。</t>
        </is>
      </c>
      <c r="J738">
        <f>HYPERLINK("https://www.weblio.jp/content/移す", "词义详情")</f>
        <v/>
      </c>
      <c r="K738">
        <f>HYPERLINK("https://yourei.jp/移す", "查看例句")</f>
        <v/>
      </c>
    </row>
    <row r="739">
      <c r="A739" t="inlineStr">
        <is>
          <t>映す</t>
        </is>
      </c>
      <c r="B739" t="inlineStr">
        <is>
          <t>成功</t>
        </is>
      </c>
      <c r="C739" t="inlineStr">
        <is>
          <t>読み方：うつす
［動サ五（四）］《「移す」と同語源》
１反射や投影などによって物の形や姿を他の物の表面に現す。「鏡に姿を—・す」
２映像をスクリーンやブラウン管などの上に現し出す。映写する。「スライドを—・して見せる」
３ある物事の影響を他のものに現し示す。反映する。「当時の世相をよく—・している歌謡曲」
[可能]うつせる</t>
        </is>
      </c>
      <c r="D739" t="inlineStr">
        <is>
          <t>映す小さな；映す価値無し</t>
        </is>
      </c>
      <c r="E739" t="inlineStr">
        <is>
          <t>考える；示す；表す；発射；反映</t>
        </is>
      </c>
      <c r="H739" t="n">
        <v>29</v>
      </c>
      <c r="I739" t="inlineStr">
        <is>
          <t>いまのぼく自身の鏡で世の中を映しているのではないような気がするんだ。；ガラスのようになんの感情も映さない黒い目が静かにおれを見つめている。；翌日、彼女は初めて、不安げに注意しながら自分の姿を鏡に映してみた。；彼女が幾度となく己が姿を映してみたこの鏡の正面に僕は立ちどまった。；勝手に開く扉、夜でも昼と変わらぬ部屋、様々な情報が映されている壁。；そしてそのあいだに席を立って、心配そうに鏡に自分の鼻を映して見た。；漆を光らせた自動車の車体は今こちらへ歩いて来る白の姿を映しました。；そして、鏡や磨き上げられたテーブルの表面にその姿を映しだしていた。；犯人が、カメラに映されずに社長室に入ることなんて、できるんですか?；ビデオの最後は、初めに映されていた扉が閉じられる映像で締められる。；ハリーの向かい側の壁にかかった鏡のようなものは部屋を映してはいない。；花に於ては花自体の物体色が取りも直さず太陽の光線が映す色光である。；階段であることを伝えるため同行した記者の足と一緒に映している。；チチ同様に長く髪を伸ばした道着姿だが、顔は画面には映されなかった。；僕の心の表面は、通っていくものを映す青白い小川のように流れて行く。；安重根は片手に鏡、片手にカンテラを取り上げて黙って顔を映して見る。；魔法のかかった天井はハリーの気分を映して、惨めな灰色の雨雲だった。；作家は自分の顔を映しながら鏡を磨く、彼の鏡師のやうなものであります。；湖の向こう側の斜面にはネミの町があって、青い湖に姿を映していた。；私のこの髪と衣はどんな色でも光りでもそのまま映して同じ色に輝きます。；また、同居している生活の様子を映すようなスタイルの先駆けになった。；着物をすっかりぬいで、大きな鏡に自分の裸身を映して見ることである。；マドレーヌ氏はその鏡を取って、それに映して自分の髪の毛をながめた。；これまで無表情に見えたかれの眼はいま火を映してキラキラ輝いていた。；大佐藤が逃亡する姿を映したテレビ放送は皮肉にも高視聴率を獲得した。；は実際の表面を映すために飛び散っているダスト等を加工処理した画像。；人は自分の思ひを自然に映して、それぞれの景色の中に居住してゐる。；池に映して見ることで、極楽浄土の世界を見るように設計されていた。；尤も自分でも急に立つのは気が映して、進退に迷っていたところだった。</t>
        </is>
      </c>
      <c r="J739">
        <f>HYPERLINK("https://www.weblio.jp/content/映す", "词义详情")</f>
        <v/>
      </c>
      <c r="K739">
        <f>HYPERLINK("https://yourei.jp/映す", "查看例句")</f>
        <v/>
      </c>
    </row>
    <row r="740">
      <c r="A740" t="inlineStr">
        <is>
          <t>うっすら</t>
        </is>
      </c>
      <c r="B740" t="inlineStr">
        <is>
          <t>成功</t>
        </is>
      </c>
      <c r="C740" t="inlineStr">
        <is>
          <t>読み方：うっすら
［副］《「うすら」の音変化》濃さ・明瞭度・厚さなどの程度がわずかであるさま。ほのかに。かすかに。うすく。「—（と）赤みが差す」「—（と）記憶に残っている」「雪が—（と）積もる」</t>
        </is>
      </c>
      <c r="D740" t="inlineStr">
        <is>
          <t>うっすらと汗(4%)；うっすらと目(3%)；うっすらと涙；うっすらと笑み；うっすらと雪</t>
        </is>
      </c>
      <c r="E740" t="inlineStr">
        <is>
          <t>薄く</t>
        </is>
      </c>
      <c r="F740" t="inlineStr">
        <is>
          <t>うっすらと明るく；うっすらと白く；うっすらと煙；うっすらと赤い；うっすらと化粧</t>
        </is>
      </c>
      <c r="H740" t="n">
        <v>29</v>
      </c>
      <c r="I740" t="inlineStr">
        <is>
          <t>全く見えないのではなく、光の加減で人の顔はうっすらとわかるらしい。；すべてを終えてダーニクが手渡した花にはうっすらと露さえ光っていた。；姫には見えなかったが、このとき彼はうっすらと妙な笑いを浮かべていた。；男は、自分の死の後で肉体がどこに運ばれてゆくかをうっすら思い出した。；やがて、桜の森の彼方に、うっすらと人の形のようなものが見えてきた。；手術の腫れはうっすらと残っていたが、美枝子は鏡の中の顔に満足した。；うっすらと目を開けて、無理に笑みを作ろうとしているのが、分かった。；自分の頬にうっすら百合の花の香が残っていることも、何としたことだろう。；巨大な灯台が怪物のように横たわっているのが、うっすらと見えていた。；視えない筈のセイバーの剣は、俺の血でうっすらと浮かび上がっていた。；話がどこに向かっているか、ハリーはうっすらと先が見えたような気がした。；鱗の青より鮮やかな空の向こう、二つの月がうっすらと白く輝いている。；主がいなくなって数ヶ月たった研究室にはうっすらと埃がつもっている。；さんさんと降っていた陽の光がうっすらと弱まったような気がしたからだ。；肩の下あたりには、畳の跡もうっすらと残っているのが眼についた。；そんな事をうっすらと思ってしまえば もうここにはいられなかった。；窓ガラスにはうっすらと、霧とも飛沫ともつかないものがかかってきた。；気づいたときには、窓の外の空がうっすらと明るくなってきていた。；うっすらと緊張した面持ちの自分が映るガラス越しに、その人物を見た。；その額にはうっすらと汗がうかんでいて、力仕事をしていたのは明白だ。；彼女の固く閉じられている瞼がふるえ、眼尻にうっすらと涙が出ていた。；田川の記憶では3歳の頃は、うっすらと光と色を感じ取れていたという。；うっすらと涙を浮かべている昭の白い顔を見ると、そうするしかなかった。；日下部はうっすらとではあるが人影に似た白い後ろ姿を目撃していた。；木の枝越しに見上げると、空全体にうっすらと灰色の雲が広がっている。；寝苦しさでうっすらと汗を掻いていた体が、ここにきて本当に汗を掻く。；窓からは雨に霞む海の向こうにいくつかの島がうっすらと見わたせた。；「きれいにしてあげよっか」 うっすらと紅をひいた唇が近づいてきた。；床にうっすら土埃が積もっているが、足跡が残るほどの量ではないのだ。</t>
        </is>
      </c>
      <c r="J740">
        <f>HYPERLINK("https://www.weblio.jp/content/うっすら", "词义详情")</f>
        <v/>
      </c>
      <c r="K740">
        <f>HYPERLINK("https://yourei.jp/うっすら", "查看例句")</f>
        <v/>
      </c>
    </row>
    <row r="741">
      <c r="A741" t="inlineStr">
        <is>
          <t>訴え</t>
        </is>
      </c>
      <c r="B741" t="inlineStr">
        <is>
          <t>成功</t>
        </is>
      </c>
      <c r="C741" t="inlineStr">
        <is>
          <t>読み方：うったえ
１訴えること。「—を起こす」
２裁判などを申し立てること。ある者が他の者または行政庁を相手として、民事訴訟・行政事件訴訟を起こして特定の権利主張をし、その当否について裁判所の審判を求める申し立て。→公訴</t>
        </is>
      </c>
      <c r="D741" t="inlineStr">
        <is>
          <t>訴えられ(5%)；訴え出(2%)；訴えかける；訴え続け；訴えたい</t>
        </is>
      </c>
      <c r="E741" t="inlineStr">
        <is>
          <t>裁判；訴訟；デモ；告訴；陳情</t>
        </is>
      </c>
      <c r="F741" t="inlineStr">
        <is>
          <t>ほしいと訴え；直接訴え；泣いて訴え；繰り返し訴え；涙ながらに訴え</t>
        </is>
      </c>
      <c r="G741" t="inlineStr">
        <is>
          <t>訴えよ；訴えれ；訴えの提起；訴えの利益；訴えの変更</t>
        </is>
      </c>
      <c r="H741" t="n">
        <v>29</v>
      </c>
      <c r="I741" t="inlineStr">
        <is>
          <t>しかし内容を問題視した原作者から名誉毀損で訴えられることもあった。；彼は残りの人生を通して社会改革を訴え続けなければならないと確信していた。；一般的には、母体が子宮の張りを訴えなければ差支えないとされている。；その中で中国国民党批判と共に日本の統治政策の再評価を訴えている。；ジューコフは新国境での防衛上の不利を訴え、旧国境での防衛を重視した。；上の1件に限らず、週刊新潮は、訴えられることの大変多い雑誌である。；牢内では服役者の医療に努め、また劣悪な牢内環境の改善なども訴えた。；古代ローマでは、個々の市民が自ら訴えを提起しなければならなかった。；隼人は、黒潮邸の秘密を警察に訴えに行くがまったく相手にされない。；試合だけでなく、自分の言葉と思想で自分の存在をファンに訴えかけた選手であった。；翌日の再試合では、腰の痛みを訴えたことから、麻酔注射を打って登板。；経済建設を重視し、穏健な改革を訴え、都市市民らの支持を集めたとされる。；周囲が裁判所に訴え出ても、それを裁判所が認めることはない。；ただし、李鵬も総理就任の活動報告で、価格改革の必要性を訴えていた。；ところが、身の危険を感じた呂巽によって先に親不孝の罪で訴えられた。；これを俊介が非常識だと断ると和音は腹痛を訴えて突然倒れてしまった。；ダイビングの第一線から引退した後は、イルカと人間との共存を訴えた。；おそらくミッチェルは、患者の満腹感の訴えを無視するように指導していた。；難を逃れた成氏は両者の処分を幕府に訴えたが実現しなかった。；このイギリスでの演奏旅行の時、ヨハンはしばしば体調不良を訴えた。；日興と改宗した住僧らは住職たちの不当な迫害を幕府に訴えて対抗した。；裁判所が訴えを却下する頃には、マイブリッジは既に別の後援を得ていた。；帰宅後、彼女は激しい頭痛を訴え、ニューヨーク市内の病院に入院した。；各局とも見聞きするだけの放送から使う、参加する放送であることを訴えた。；ナースは患者の訴えの変化を評価し、ERにおける治療順位を決定する。；自分の皿に割れたガラスが混ざっていると訴えたこともあった。；ヘーリオスは、怒ってゼウスに訴えたので、ゼウスは船に雷を落とした。；同年末には、大下と鐵子はそれぞれ家庭裁判所に離婚の訴えを出した。；追放中の詩は個人的な感情を詠い、心に切々と訴えかけるようなものが特に多い。</t>
        </is>
      </c>
      <c r="J741">
        <f>HYPERLINK("https://www.weblio.jp/content/訴え", "词义详情")</f>
        <v/>
      </c>
      <c r="K741">
        <f>HYPERLINK("https://yourei.jp/訴え", "查看例句")</f>
        <v/>
      </c>
    </row>
    <row r="742">
      <c r="A742" t="inlineStr">
        <is>
          <t>訴える</t>
        </is>
      </c>
      <c r="B742" t="inlineStr">
        <is>
          <t>成功</t>
        </is>
      </c>
      <c r="C742" t="inlineStr">
        <is>
          <t>読み方：うったえる
［動ア下一］［文］うった・ふ［ハ下二］《「うるた（訴）う」の音変化》
１物事の善悪、正邪の判定を求めて裁判所などの機関に申し出る。申し立てる。告訴する。「警察に—・える」
２有識者などに物事の是非の判断を求めて、申し出る。「同級生の乱暴を先生に—・える」
３他人の理解・同情・救いなどを強く期待して不満・不平・苦しみなどを言い知らせる。「腹痛を—・える」「空腹を—・える」
４強い手段を用いて事を解決しようとする。「腕力に—・える」
５感覚や感情に働きかける。「良識に—・える」</t>
        </is>
      </c>
      <c r="D742" t="inlineStr">
        <is>
          <t>訴えるべき；訴えるべく；訴えるような眼；訴えるような表情；訴えるような調子</t>
        </is>
      </c>
      <c r="E742" t="inlineStr">
        <is>
          <t>望む；起訴；告発；願う；祈る</t>
        </is>
      </c>
      <c r="F742" t="inlineStr">
        <is>
          <t>切々と訴える；ほしいと訴える；直接訴える；訴えるような口調；訴えるしかない</t>
        </is>
      </c>
      <c r="H742" t="n">
        <v>29</v>
      </c>
      <c r="I742" t="inlineStr">
        <is>
          <t>典型的にはカーテンが目の前に降りて行くように暗くなると患者は訴える。；自身の精神的苦痛を訴えると同時に、歴代担当編集者を実名で批判した。；医師が行う処方通りに使用する限り、強い依存症状を訴える患者は居ない。；戦争の悲惨さを訴える部分もあるが、松林宗恵の独特の戦争観が伝わる。；そうではなく、両サイドは自由と平等のどちらかの核となる価値へ訴える。；ペレストロイカが始まると、文学者の立場から改革を訴えるようになる。；乳幼児は頭痛を訴えることが不可能なため、発見が遅れる可能性がある。；奉公人は主人を訴えることが許されず、封建的主従関係であったという。；分裂して勢力争いを続けるハプキドー各派の統一を訴えるためである。；さればと云って、これ、どこへ訴えりゃええか、わからねえですからよ。；いわゆる三歳児神話のような話に関連して不安を訴える者もいる。；内容は先軍路線の継承と食糧問題の解決を訴えるものであった。；嗅覚に訴える効果は充分な成長を経ないと関心を引き起こしがたい。；夢の中で髪の生えない娘のことを訴えると、にわかに宮の髪が生えはじめた。；痒いというより痛痒さを訴える人が多く、激痛であるという人さえいる。；この原則を回避して直接、将軍や幕閣に訴える行為を直訴と呼んだ。；この事件の判決では個人が州の了解なしに連邦裁判所に州を訴える権利があるとした。；ラリーは無実を訴えるが、町の人々はラリーを疑い距離を置くようになる。；他方では、死刑制度の廃止が成立した場合の懸念を訴える者も少なくない。；医師不足など、日本の医療政策の問題点を訴える講演活動を行っている。；つまり、実際に車の中で女が焼け死ぬ光景を見たい、と大殿に訴える。；吻合部は手術前より狭くなっているため食が進まないと訴える患者も多い。；裁判に訴える権利と法の遡及的な適用の禁止が認められた。；彼は、伝統的な信仰を盛んにし、国民の愛国心に訴える方法で支持を得たのである。；また「メディアの危機を訴える市民ネットワーク」事務局の一人でもある。；言語によってでしか、私たちは社会や社会にいる他人に何かを訴えることはできない。；なお、国王・国家・宗教指導者などを訴えることも実質的にできない。；アメリカでは1980年代後半から黒人の地位向上を訴える政治的な曲が増加した。；この事件は黒人奴隷貿易の残酷さを世の中に訴える事件となった。</t>
        </is>
      </c>
      <c r="J742">
        <f>HYPERLINK("https://www.weblio.jp/content/訴える", "词义详情")</f>
        <v/>
      </c>
      <c r="K742">
        <f>HYPERLINK("https://yourei.jp/訴える", "查看例句")</f>
        <v/>
      </c>
    </row>
    <row r="743">
      <c r="A743" t="inlineStr">
        <is>
          <t>うっとうしい</t>
        </is>
      </c>
      <c r="B743" t="inlineStr">
        <is>
          <t>成功</t>
        </is>
      </c>
      <c r="C743" t="inlineStr">
        <is>
          <t>読み方：うっとうしい
［形］［文］うったう・し［シク］
１心がふさいで晴れ晴れしない。気分が重苦しい。「難題をかかえて—・い気分だ」「—・い梅雨空」
２邪魔になってうるさい。煩わしい。「髪の毛がのびて—・い」
[派生]うっとうしがる［動ラ五］うっとうしげ［形動］うっとうしさ［名］</t>
        </is>
      </c>
      <c r="D743" t="inlineStr">
        <is>
          <t>うっとうしいもの(3%)；うっとうしい存在(2%)；うっとうしい気分(2%)；うっとうしい前髪；うっとうしい天気</t>
        </is>
      </c>
      <c r="E743" t="inlineStr">
        <is>
          <t>暗い；重い；嫌；不快；不愉快</t>
        </is>
      </c>
      <c r="H743" t="n">
        <v>29</v>
      </c>
      <c r="I743" t="inlineStr">
        <is>
          <t>雨の多いうっとうしい天気が続き、目的の日はゆっくりと接近してきた。；男をうっとうしがらせることは決してないだろうことを知り抜いている。；俺の家なんか、両親がともに働いてなくて毎日家に居てうっとうしいんだよな。；雑音のせいか疲れているせいか、他人の声がうっとうしくて仕方なかった。；そして獣はゆっくりと顎を上げ、うっとうしそうに人間達に鼻先を向けた。；別に髪の長さがうっとうしくて、そういう気分になるわけではない。；うっとうしいけど、しのぎの邪魔にならなければ、相手の存在を認める。；だから大丈夫だと思っているのですが、うっとうしい時もありますね。；うっとうしい顔を見るために、わざわざ無駄な力を使うことはないと思ったからだ。；彼女は心の中のうっとうしさを運動不足のせいにしていたのだ。；いまにも雨の落ちてきそうな梅雨空が広がった、うっとうしい天気だった。；女なら誰でもそのときに思う、「うっとうしい」という気持だけである。；うっとうしくもあったが、苦笑して許すことができる程度ではあった。；うざいから、うっとうしいから嘘でだまして遠ざけているわけではない。；みな、うっとうしい制服を脱ぎ捨て、晴ればれとした顔を見せています。；そう気づく間も、空気はいちだんとうっとうしさを増してきたようである。；君は僕のような立場になったことがないからわからないだろうけど、加藤はうっとうしい。；うっとうしいことだと思ったとき、直丸が部屋に入ってきた。；ただでさえ居心地の悪い学校がさらにうっとうしいものになるのは御免である。；今日は、雨こそ降っていないが、相変らずのうっとうしい梅雨空である。；そのうっとうしさが一人の宣教師の理性を狂わせてしまう小説だった。；うっとうしさが消え、ようやく快晴を見た思いにひたったに違いない。；恨みがましい霊と眠そうな霊は、私のことを明らかにうっとうしがっていた。；いずれにしても男にとって、女はうっとうしい存在になってきた。；あなたが思っているより、うっとうしいことなのかも知れない。；どうでもいいが、うっとうしいので腕を引っ張るのは止めて欲しい。；うっとうしい前髪の隙間から、雨の瞳がこちらをじっと見ていた。；あれほどうっとうしい女なのに、抱えてみるとバカみたいに軽かった。；伸びかけのうっとうしい髪をまとめるのにちょうどいいスタイルだと思ったから採用したのだ。</t>
        </is>
      </c>
      <c r="J743">
        <f>HYPERLINK("https://www.weblio.jp/content/うっとうしい", "词义详情")</f>
        <v/>
      </c>
      <c r="K743">
        <f>HYPERLINK("https://yourei.jp/うっとうしい", "查看例句")</f>
        <v/>
      </c>
    </row>
    <row r="744">
      <c r="A744" t="inlineStr">
        <is>
          <t>うっとり</t>
        </is>
      </c>
      <c r="B744" t="inlineStr">
        <is>
          <t>成功</t>
        </is>
      </c>
      <c r="C744" t="inlineStr">
        <is>
          <t>［副］(スル)
１美しいものなどに心を奪われて、ぼうっとしているさま。また、気抜けしたさま。「音楽に—と聞きほれる」「—（と）したまなざし」
「好い加減に頭が疲れて、皆—した心持になって黙って了う」〈風葉・青春〉
２気を失うさま。
「迷倦(めくらみ)を覚え、—として路傍に昏睡し」〈青木輔清訳・万国奇談〉</t>
        </is>
      </c>
      <c r="D744" t="inlineStr">
        <is>
          <t>うっとりするよう(5%)；うっとりと眺め(2%)；うっとりと目；うっとりと眼；うっとりと見とれ</t>
        </is>
      </c>
      <c r="E744" t="inlineStr">
        <is>
          <t>惚れ惚れ；ウットリ；ホレボレ</t>
        </is>
      </c>
      <c r="F744" t="inlineStr">
        <is>
          <t>思わずうっとり；ついうっとり；眼をうっとり；うっとりと耳；うっとりするほど美しい</t>
        </is>
      </c>
      <c r="H744" t="n">
        <v>29</v>
      </c>
      <c r="I744" t="inlineStr">
        <is>
          <t>それをうっとりと眺めあげている子供たちの顔の美しさといったらない。；彼女はこういう種類の会話に一種異様なうっとりするほどの喜びを感じた。；その間を進む時に濡れた草が立てる音に、彼はうっとりとするのだった。；そのあいだ、外記はうっとりとした眼をあげて黙って天井を眺めていた。；妙に音楽にでも誘われたような柔しくうっとりとしたような声であった。；彼女はその中で、冬枯れの草の根の様にうっとりとして横になって居た。；面喰らっているようではあるが、うっとりと酔ったような顔をしている。；幸いなことに彼女は元々見る人をうっとりさせるような美少女だった。；なんだか私にはよく分らないけれども私はそれにうっとりと見入っている。；うっとりとしたものは僕の内側にも、僕の歩いて行く川岸にもあった。；そういうなりをした彼女は、まったくうっとりするほど美しいものでした。；私も士官の話には耳もかさず、ただうっとりと彼女の顔に見とれていた。；空の太陽までが、うっとりとしてあなたに見とれているではありませんか。；お君はうっとりとそれを眺めていると、内からお絹の弱い声が聞えた。；彼はうっとりとそれを見あげていると、だしぬけに声をかけられて驚いた。；彼女の腰と足の機械的な動きは、うっとりするほど見事な物だった。；が、それも去ると、私はうっとりと活字になった自分の名に眺め入った。；合さりがちな眼瞼をうっとりと開いて、はいって来た彼の顔を見上げた。；しかし、体は武蔵の手に凭れたままうっとりと眸はまだ遠くを見ていた。；考えこんでるのか、うっとりしてるのか、どちらとも分らない様子だった。；彼女は上空でうっとりと夢みる生活を営んでいるとしか思われなかった。；そして自分もみなと同じようにうっとりとして聞いていたことに気づいたのだった。；うっとりしながら彼女の前に跪くと、彼女はその頭に手を置きました。；彼女はうっとりと目を閉じ白く細い頸をゆっくりと上下させていた。；私は自分の体がそっと愛撫されてでもいるようにうっとりとした気分になった。；あまり美しく、あまり上品なようすなので、みなうっとりしてしまった。；あたし、だんだんさわやかな、うっとりした気分になってゆきましたの。；たぶんこの人は何も言わず、うっとりとされるがままになっているのね、と。；心に余裕のある大異は、うっとりとそれらの声を聞きながら食事をしていた。</t>
        </is>
      </c>
      <c r="J744">
        <f>HYPERLINK("https://www.weblio.jp/content/うっとり", "词义详情")</f>
        <v/>
      </c>
      <c r="K744">
        <f>HYPERLINK("https://yourei.jp/うっとり", "查看例句")</f>
        <v/>
      </c>
    </row>
    <row r="745">
      <c r="A745" t="inlineStr">
        <is>
          <t>うつ病</t>
        </is>
      </c>
      <c r="B745" t="inlineStr">
        <is>
          <t>成功</t>
        </is>
      </c>
      <c r="C745" t="inlineStr">
        <is>
          <t>読み方：うつびょう
憂鬱な気分が毎日続き、興味や喜びが感じられなくなる精神疾患。気分障害の一つ。不眠や過眠、食欲不振や過食、頭痛、倦怠感(けんたいかん)などの身体症状を伴い、病状が進行すると、自分には価値がないと感じたり罪悪感をもつようになり、自殺を考えることもある。抑鬱症。孤立の病。大うつ病性障害。
[補説]広義には気分変調症（持続性抑鬱障害）なども含まれる。また、双極性障害（躁鬱病）の鬱の病相をいうこともある。</t>
        </is>
      </c>
      <c r="D745" t="inlineStr">
        <is>
          <t>うつ病エピソード；うつ病治療；うつ病性障害；うつ病発症；うつ病センター</t>
        </is>
      </c>
      <c r="E745" t="inlineStr">
        <is>
          <t>憂鬱；欝；意気消沈；憂欝；沈鬱</t>
        </is>
      </c>
      <c r="F745" t="inlineStr">
        <is>
          <t>重いうつ病；型うつ病；軽症うつ病；重うつ病；典型的なうつ病</t>
        </is>
      </c>
      <c r="G745" t="inlineStr">
        <is>
          <t>うつ病九段</t>
        </is>
      </c>
      <c r="H745" t="n">
        <v>29</v>
      </c>
      <c r="I745" t="inlineStr">
        <is>
          <t>あるいは自分の家族の一人がウツ病だと信じたくないのかも知れない。；不安をかかえた母親に育てられた子どもは、うつ病になりやすいのです。；またうつ病を抱えており、友人からの電話に出ないことも多かったと言う。；兄の死や結婚に失敗したことなどから何年もの間うつ病に苦しんだ。；またベンゾジアゼピン系はうつ病の原因となったり悪化させることがある。；また母親は長男Eの家庭内暴力や妹の自殺などによってうつ病になった。；それ故にうつ病の急性期には適切な治療方法として利用するのは難しい。；両親を早く失い、親族を自殺で失い、うつ病に悩まされる人生を送った。；特定の年齢の集団がうつ病から免除されることはなさそうである。；男性より女性のほうが2倍ほどうつ病になりやすいとされている。；彼がどうしてうつ病になったかは、まだ充分に掴み切れてはいない。；直木賞とったからって浮かれていると、うつ病で入院することになるよ。；更年期に伴って発症したうつ病に対しての効果は評価が定まっていない。；五十代の人々の自殺の増加はそのままうつ病の増加と考えていい。；不安やうつ病の人は、正しい決断を下すのに苦労することがよくある。；複数のメディアは、ゲームの不安やうつ病の描写を肯定的にレビューした。；作家であるブルックはうつ病を患い、作品もしばらくの間発表していない。；その後、カナダに帰国後もうつ病やPTSDに悩まされ続けていたという。；特にうつ病では、激励をしてしまうことは、むしろ医学上の禁忌である。；この頃に地元の女性とデートを始めたが、彼のうつ病は悪化した。；イギリスでは、2014年に難治性のうつ病に対する使用が承認された。；以上のような気分がある人がいればウツ病の疑いがある。；これらの患者がうつ病など他の精神疾患を併発している場合もある。；神経化学的な睡眠とうつ病の直接的な関係が原因である可能性もある。；特にあなたのは初老性ウツ病といって人生の変り目にかかり易いものです。；これは、うつ病とストレスで、食欲が何故変化してしまうのかを説明する。；一方、家族から引き継いだ負の遺産としてはうつ病や自殺の傾向がある。；うつ病では自信のなさは、身体にのみへの関心ではない。；うつ病に対する場合と同様、周囲のこの病に対する理解が必要である。</t>
        </is>
      </c>
      <c r="J745">
        <f>HYPERLINK("https://www.weblio.jp/content/うつ病", "词义详情")</f>
        <v/>
      </c>
      <c r="K745">
        <f>HYPERLINK("https://yourei.jp/うつ病", "查看例句")</f>
        <v/>
      </c>
    </row>
    <row r="746">
      <c r="A746" t="inlineStr">
        <is>
          <t>うつ伏せ</t>
        </is>
      </c>
      <c r="B746" t="inlineStr">
        <is>
          <t>成功</t>
        </is>
      </c>
      <c r="D746" t="inlineStr">
        <is>
          <t>伏せる；身を伏せる；腹ばいになる；腹ばう</t>
        </is>
      </c>
      <c r="H746" t="n">
        <v>29</v>
      </c>
      <c r="I746" t="inlineStr">
        <is>
          <t>気がついて見ると、自分のすぐ側に、あの青年がうつ伏せに倒れていた。；首から上が存在しない人間の身体がうつ伏せに倒れているのだった。；建物のなかでは、机にうつ伏せになったり、床に横たわったりしている。；ベッドの上に、ミキが手首を切ってうつ伏せになっているのを発見する。；わたしは、食堂の床にうつ伏せにねていて、頭は、左の前腕にのせていた。；山田さんが持っていた鍵を使って開けてみると女の子はうつ伏せで倒れていた。；背広を着た若い男が、床にうつ伏せになって、倒れていたのであった。；そんなにあわてないでいいのよ、と彼女はうつ伏せになったんです。；ベッドに寝そべることはできるが、仰向けにもうつ伏せにも寝られない。；ルイス・ウーは集中治療装置にうつ伏せたまま、長い休息をとっていた。；春美はうつ伏せのまま黙っていたが、やがてゆっくりと彼を見上げた。；敏夫の目に、部屋の中央でうつ伏せになっている人の形が飛び込んで来た。；わっ、と思った時にはもう、大男は床にうつ伏せになって痙攣していた。；全高の低いシルエットのため、パイロットはうつ伏せになって搭乗する。；知り尽した夫の身体が、ほかの女の上にうつ伏せとなっているのだ。；そしてその檻の中にうつ伏せに寝ているのは、猛獣でもなんでもない。；ベッドにうつ伏せになっているので顔は見えないが、明らかに日本の女性だった。；死体は草の間にうつ伏せになって、木の間からの陽光が斑に当っていた。；ハリーは自分の体がうつ伏せに草の上に落ちるのを感じた。；そこの床にはうしろの頭蓋骨を打ち碎かれた老婆がうつ伏せに倒れてゐた。；地面に両膝をつくとそのまま砂の上にうつ伏せになってしまった。；滝神は体を返してうつ伏せになると、こちらへ向かって這い始めた。；死体はベランダに面した八畳の応接コーナーの床の上にうつ伏せに倒れていた。；どこか遠い所で彼の名を呼んでいるのがかすかに聞えたが、そのままうつ伏せに倒れた。；裸でうつ伏せになると、そのほくろはとてもセクシーな印象を放っていた。；彼女はうつ伏せになり、三、四人の男に肩や腰や足をもませているのであった。；布団をかぶってうつ伏せになって殺されているのを、高校生の娘が発見した。；死体はうつ伏せですがその横顔ははっきりと見ることができます。；死体は部屋に入ってすぐのところで、床にうつ伏せの状態で大の字になっていた。</t>
        </is>
      </c>
      <c r="J746">
        <f>HYPERLINK("https://www.weblio.jp/content/うつ伏せ", "词义详情")</f>
        <v/>
      </c>
      <c r="K746">
        <f>HYPERLINK("https://yourei.jp/うつ伏せ", "查看例句")</f>
        <v/>
      </c>
    </row>
    <row r="747">
      <c r="A747" t="inlineStr">
        <is>
          <t>うつむく</t>
        </is>
      </c>
      <c r="B747" t="inlineStr">
        <is>
          <t>成功</t>
        </is>
      </c>
      <c r="C747" t="inlineStr">
        <is>
          <t>読み方：うつむく
［動カ五（四）］顔が下の方へ傾く。下を向く。「恥ずかしげに—・く」⇔仰向(あおむ)く。
［動カ下二］「うつむける」の文語形。</t>
        </is>
      </c>
      <c r="D747" t="inlineStr">
        <is>
          <t>うつむくしか(2%)</t>
        </is>
      </c>
      <c r="E747" t="inlineStr">
        <is>
          <t>落ち込む；うなだれる；気が滅入る；肩を落とす；凹む</t>
        </is>
      </c>
      <c r="H747" t="n">
        <v>29</v>
      </c>
      <c r="I747" t="inlineStr">
        <is>
          <t>祖父は片手を額にあてたが、うつむいたまま、その場から動かなかった。；そして少しうつむき勝にして上眼で人を見て話すくせのあるのをも知った。；いつも忘れてくるのかと思ってただすと、泣きそうになってうつむいた。；うつむいて水に沈んでいる腹に手をあてて、その手をじっと見つめている。；うつむいて足元ばかり見ていた私の視界の中に、何かが落ちて転がった。；そんな反抗心が顔色にでたような気がして、淑夜はあわててうつむいた。；赤ん坊が眠ったのか、さとは莚の上にうつむいて、土に何か書いていた。；しかし生徒たちは顔を赤くしてうつむいてしまい講演は中止となった。；しかし手毬はしっかりと胸に押しあててうつむいていたのであります。；ホロはうつむきがちで、フードの下に顔が隠れていて表情がわからない。；先の言葉が出ず、うつむいて肩が大きく上下して、必死に涙と戦っている。；彼女はそんなクラスの様子を上目づかいに見わたしてから深くうつむいた。；誰かに見られたらどうしようと思って、水守はうつむきかげんに歩いた。；あるとき、何があったのか自分でも忘れたがうつむきかげんで歩いていた。；とらえようのない思念がうつむいた頭の中でから廻りするだけであった。；友美はうつむき、目を伏せて何か考えていたが、不意にその顔を上げた。；私と大西は六個の黄色い玉をあいだにはさんでしばらくうつむいていた。；こうやって黙ってうつむいていると、妹は母にとても顔が似ていた。；夏季はただうつむいて奥さんと主人が何か話しているらしい声を聞いていた。；うつむいてしまった少女を見ながら、ジョウンは心の中で自分を叱った。；うつむいた滑らかな額の下に丸みのある小ぢんまりした鼻の先が見える。；けれど、真純はどう答えたらいいのかわからず、無言でうつむいていた。；ぼくはうつむくと、下の彼にだけ聞こえるような声でそれに答えてやった。；ナッカは火馬の民の戦士たちの後について、少しうつむいて歩いている。；都はあわてて口に手をやってうつむき、しばらくは肩で笑っていた。；膝を揃えて座ったまま、皆うつむいたが、一人が顔を上げて言い放った。；「私を忘れることなんて簡単じゃない」君はただうつむいてそう言った。；おれは、それまでうつむいていたその人の顔を、初めて正面から見た。；残された私はどういう態度をとっていいか分からなくうつむいた。</t>
        </is>
      </c>
      <c r="J747">
        <f>HYPERLINK("https://www.weblio.jp/content/うつむく", "词义详情")</f>
        <v/>
      </c>
      <c r="K747">
        <f>HYPERLINK("https://yourei.jp/うつむく", "查看例句")</f>
        <v/>
      </c>
    </row>
    <row r="748">
      <c r="A748" t="inlineStr">
        <is>
          <t>移り変わり</t>
        </is>
      </c>
      <c r="B748" t="inlineStr">
        <is>
          <t>成功</t>
        </is>
      </c>
      <c r="C748" t="inlineStr">
        <is>
          <t>読み方：うつりかわり
事態や状況が時のたつにつれて変わってゆくこと。「季節の—」</t>
        </is>
      </c>
      <c r="D748" t="inlineStr">
        <is>
          <t>変更；変化；移行；転換；変わり</t>
        </is>
      </c>
      <c r="H748" t="n">
        <v>29</v>
      </c>
      <c r="I748" t="inlineStr">
        <is>
          <t>後方に置かれると手も足も出なくなるので、展開の移り変わりが激しい。；運用計画もこれに対応して移り変わり運用を計画して実行しなければならない。；劇中では季節の移り変わりはあるものの、歳は重ねないことになっている。；この杉たちもここでこうやって辺りの移り変わりを見守ってきたのだ。；そして歴史の移り変わりのなかで、殺人法は少しずつ変化してきた。；移り変わりの特徴からこの尾椎は尾の中央に近い部位である可能性が高い。；もはや直美の感情の移り変わりに規則性がないことはハッキリしていた。；時代の移り変わりを肌で実感している他の人間に棲む欲望たちが羨しい。；しかし、その移り変わりは今のオカンにはどうでもいいことかもしれない。；移り変わりの激しい現代を反映して私たちの身のまわりには新語が氾濫。；春と秋は季節の移り変わりの時期で、一般に穏やかで涼しい気温になる。；このような恋愛が最後に成就したこと自体が時勢の移り変わりを示している。；空の色の移り変わりを肌に反映させ、なまめかしく頬を輝かせていた。；おまえたちはわたしの四季の移り変わりに注目したことがあるか。；中間の値は各段階の間の移り変わりでの経済について用いられる。；こうして夜明け前から坐っていると自然の移り変わりがよくわかる。；この事実が、時の移り変わりと、そして彼の心境の変化を物語っている。；粋な状況の変化ではあったが、あまりにも激しい移り変わりだった。；果てしのない季節の移り変わりを見、地球を歩く神々の足音を感じた。；月の表情は微妙に移り変わり、見ているだけで神秘的な気持ちになってくる。；歴史の移り変わりを見ると、移民が引きつづいて行なわれていることがわかる。；他方で、そのような植物群集の移り変わりから、遷移の理論が発展した。；カフェの料理は季節の移り変わりに合わせてメニューも変わっていくのが特徴。；ブランド統一から現在への移り変わりについては、auの項で詳述する。；ひとはなぜ季節の移り変わりをこのようにも好んで語るのか。；樹があったときは、季節の移り変わりを樹が教えてくれた。；暗く沈むこの部屋にいても外の移り変わりはよくわからない。；いまでは、死の柩は、だれも恐れはしないたんなる移り変わりである。；移り変わりの激しい芸能界では1つのことだけやっていては生き残れない!!</t>
        </is>
      </c>
      <c r="J748">
        <f>HYPERLINK("https://www.weblio.jp/content/移り変わり", "词义详情")</f>
        <v/>
      </c>
      <c r="K748">
        <f>HYPERLINK("https://yourei.jp/移り変わり", "查看例句")</f>
        <v/>
      </c>
    </row>
    <row r="749">
      <c r="A749" t="inlineStr">
        <is>
          <t>写る</t>
        </is>
      </c>
      <c r="B749" t="inlineStr">
        <is>
          <t>成功</t>
        </is>
      </c>
      <c r="C749" t="inlineStr">
        <is>
          <t>読み方：うつる
［動ラ五（四）］《「移る」と同語源》
１写真に姿・形が現れる。写真が撮れる。「にやけた顔で—・っている」
２下にある文字や絵が、紙などを通して、透けて見える。「裏のページの絵が—・って読みにくい」</t>
        </is>
      </c>
      <c r="F749" t="inlineStr">
        <is>
          <t>赤く写る；暗く写る；共に写る</t>
        </is>
      </c>
      <c r="H749" t="n">
        <v>29</v>
      </c>
      <c r="I749" t="inlineStr">
        <is>
          <t>ただ自分が彼らの眼にどう写るであろうかと思うと、早く帰りたくなる。；もしカメラが故障していれば、この人間の後の動物は写らないはずだよ。；世界向けのものは両者の顔が写ったオーソドックスなものが採用された。；写真には三人しか写っていないが、撮ったときほかに何人かいたはずだ。；撮影された画像には、月のようなクレーターだらけの地形が写っていた。；ジャケット写真に初めてメンバーがはっきり写っている写真が使われた。；子供の頃の、父も含めた家族全員がピアノのそばで写っている写真だった。；また、撮影された画像では、明らかに尾が分断された様子も写っている。；この一般的な傾向は無論出版界の一般的な情熱となって鮮かに眼に写る。；政治家たちのスキャンダルが写っていることを確認したのちに焼却する。；この映像には爆発時の火の玉からキノコ雲までがはっきりと写っている。；右側に写っている緑色の屋根の建物は、JR時代に建てられた駅舎です。；舟の中の二人の運命が夢のような静けさを取って彼女の心に写った。；メンバーの大野智が描いた絵画が各仕様のジャケット写真に写っている。；バーの棚の奥は鏡が張られていて、私はそこに彼が写っているのを見ていた。；背後は障子張りになっていて、それに竹の影が写るようになっている。；かすかながら白壁に写った左手の血の紋様でそれと察しられるのである。；つまり、証明されていないが霊などが写っているとされる媒体を指す。；このカメラに役を設定して写すと、写った人はその役の服装に変わる。；夕食のテーブルの上に12個のウミガメの卵が入った皿が写っていた。；それが殆ど鏡の三分の一程の大きさに拡大されて写っているのです。；左上に途中まで建設されて延長計画が放棄された道路が写っている。；見つけた犬はその犬とポラロイド写真で一緒に写らなければならない。；その銀色のキラキラする釦の一つの中には静三の顔が小さく写っていた。；実際の戦闘のほとんどは、この写真に写っていない外部で行われた。；日本盤では、静かな表情の少年だけが写ったデザインに差し替えられた。；見てゐるものゝ眼に、この河底の人生は、異様に写らないではなかつた。；写真に撮れば、どこからどう見ても幸せそうに写る家族の光景だろう。；これらはしばしば写真に写っている女性の同意や承認を得ずに行われることがある。</t>
        </is>
      </c>
      <c r="J749">
        <f>HYPERLINK("https://www.weblio.jp/content/写る", "词义详情")</f>
        <v/>
      </c>
      <c r="K749">
        <f>HYPERLINK("https://yourei.jp/写る", "查看例句")</f>
        <v/>
      </c>
    </row>
    <row r="750">
      <c r="A750" t="inlineStr">
        <is>
          <t>移る</t>
        </is>
      </c>
      <c r="B750" t="inlineStr">
        <is>
          <t>成功</t>
        </is>
      </c>
      <c r="C750" t="inlineStr">
        <is>
          <t>読み方：うつる
［動ラ五（四）］
１位置が変わる。
㋐場所や地位・配置などが変わる。「新居に—・る」「営業部に—・る」
㋑（遷る）移転する。「都が—・る」
２
㋐関心の対象が変わる。「興味がほかに—・った」
㋑物事や人の性質・傾向・状態などが変わる。「次の議題に—・る」「すぐさま行動に—・る」
３時間が過ぎる。「時代が—・る」
４色やにおいなどが他の物に染みつく。「石鹸(せっけん)のにおいが—・る」
５病気や物の勢い・傾向などが他に及ぶ。「風邪が—・る」「火が隣家に—・った」「父の癖が子供にも—・る」
６時が経過して色があせる。色がさめる。
「花の色は—・りにけりないたづらに我が身よにふるながめせしまに」〈古今・春下〉
７花や葉が散る。
「今日だにも庭を盛りと—・る花消えずはありとも雪かとも見よ」〈新古今・春下〉
８霊魂などがのりうつる。
「物の怪(け)、生霊(いきすだま)などいふもの、多く出で来て、さまざまの名のりする中に、人にさらに—・らず」〈源・葵〉
[可能]うつれる</t>
        </is>
      </c>
      <c r="D750" t="inlineStr">
        <is>
          <t>移るべき；移るべく；移る過渡期</t>
        </is>
      </c>
      <c r="E750" t="inlineStr">
        <is>
          <t>行く；流れる；移転；移行；動く</t>
        </is>
      </c>
      <c r="F750" t="inlineStr">
        <is>
          <t>引き移る；とび移る；引移る；跳び移る；次に移る</t>
        </is>
      </c>
      <c r="H750" t="n">
        <v>29</v>
      </c>
      <c r="I750" t="inlineStr">
        <is>
          <t>自分が未来に移らず、精神だけでそれができても夢中になるだろうがね。；味方キャラクターが行動可能となった場合、具体的な行動の選択に移る。；単に車両を移ろうとしているのではなく、梯子に手を掛けているようだ。；その際に、ポーランド人の住民の大部分がポーランドに移ったとされる。；果たしてそうなのか否か、私が経験した二通り目の恋愛の場面に移ろう。；すると悪魔は像の方へ移ると考えられており、儀式の後に像が破壊された。；ただし、一度に実行状態に移ることができるのは一つのプロセスである。；彼女はこれが終わったら、玉を数える作業の方に移らなければならない。；こんなことではだめだとわかってはいるのだが、行動に移れないのだ。；その動きを見て、ダークエルフたちはふたたび魔法攻撃に移ろうとした。；何個集団かの山椒魚の子たちは、隣りの海岸に移らねばならなくなった。；一つの世界での問題を解決し、次の世界へと移っていく形で物語が進んでいく。；しかし、文化の中心地は次第にフランスをはじめ北方の国へ移っていった。；高校3年生のときに父が謎の自殺をしたので、母の郷里の名古屋に移る。；この日のために用意した最高の依童に、なぜ竜がのり移らなかったのか?；やがてそれは止まったようだが、次の行動にはなかなか移らなかった。；秀吉が伊勢長島城に移った織田信雄を祝いに赴いた際にも同行している。；その後、政治の中心が東京に移るとともに東京で洋学中心に展開された。；たった一羽の鶯が、よほど前から一処を移らずに、鳴き続けているのだ。；鶯を聞くといふからもうこの頃は中六番町に移られてゐたことであらう。；彼の下にいた研究者の一部はパロアルト研究所へと移っていった。；このため老朽化した歩道橋を撤去して更新しない大量撤去時代に移っている。；例えば、意識への影響があった場合も、それが行動に移らないことが多い。；ちょうど、夜半を過ぎてから行動に移ろうと思っていたところだったのだ。；さてまあちゃん以外に、過去ぼくが飼ったことのある動物の話に移ろう。；上に掲げた第一の歌には「山ぢさの花にか君が移ろひぬらむ」とある。；これらの研究者の中には有機半導体の研究から移ったものもいる。；ここで当初は草刈藤太の邸に滞在し、間もなく井上聞多の実家に移った。；こちらに移ってからは全ての修正はこの開発ブランチで行われる。</t>
        </is>
      </c>
      <c r="J750">
        <f>HYPERLINK("https://www.weblio.jp/content/移る", "词义详情")</f>
        <v/>
      </c>
      <c r="K750">
        <f>HYPERLINK("https://yourei.jp/移る", "查看例句")</f>
        <v/>
      </c>
    </row>
    <row r="751">
      <c r="A751" t="inlineStr">
        <is>
          <t>映る</t>
        </is>
      </c>
      <c r="B751" t="inlineStr">
        <is>
          <t>成功</t>
        </is>
      </c>
      <c r="C751" t="inlineStr">
        <is>
          <t>読み方：うつる
［動ラ五（四）］《「移る」と同語源》
１姿・形・影などが、反射や投影によって、他の物の上に現れる。「鏡に—・った顔」「障子に—・る人影」
２映像がスクリーンやブラウン管などの上に現れる。「電波障害でテレビがよく—・らない」
３色や物の配合がよく、つりあいがとれている。また、付属的なものが本体と調和する。「あの人には赤がよく—・る」「その背広にはストライプのネクタイがよく—・る」
４人の目にある印象を与える。映ずる。「初めての人には奇異に—・る風習」</t>
        </is>
      </c>
      <c r="D751" t="inlineStr">
        <is>
          <t>映るだろ；映るかもしれ；映るらしい；映るでしょ；映るものすべて</t>
        </is>
      </c>
      <c r="E751" t="inlineStr">
        <is>
          <t>写真；画像；フォト；影像；ブロマイド</t>
        </is>
      </c>
      <c r="F751" t="inlineStr">
        <is>
          <t>よく映る；大きく映る；はっきり映る</t>
        </is>
      </c>
      <c r="H751" t="n">
        <v>29</v>
      </c>
      <c r="I751" t="inlineStr">
        <is>
          <t>確かにここにある自分のからだが、人の目に映らなくなってしまうのだ。；いや、仲間と言ってもこのリーダーの目にはそうは映らなかっただろう。；時とすると一人でそっと、鏡に映る自分の顔に見惚れることさえあった。；ロヴォルとその協力者たちがもう一台の投映器をほとんど完成している。；魂だけとなったゼルダ姫は、人々の目に映らない存在になってしまった。；猫の持ち主の番号がわからなくちゃ、おれだって映話のかけようがない。；この純全觀念に映つて來る自然が、宇宙の大原因に進むには階段がある。；あっちにあるぼくたちの二次投映器は超エネルギーから出来上っている。；それだのにそこに映っているのは確かにだれか見も知らぬ人の顔だ。；その後から二人の老人がしよぼしよぼと尾いてゆくのがお町の眼に映つた。；この鏡に映る影と、人間の想像とのあいだに何か不思議な関係がある。；お金もらうところじゃないんだもん、映ってないところで泣くんだから。；コマの背景に描かれたテレビの画面に当時の番組が映っている場面は多い。；国王夫妻の姿は鏡に映っており、反対方向すなわち絵の前方に立っている。；おかみさんは前のほうからやってくれるから、影は決して映らないのさ。；あれほど目立つ少女が映らないのだから、おそらく意図的なものだろう。；結果が目に映らないまま、歩き続けることは滅多に出来るものじゃない。；然るに来てみると、彼の眼に映つた此の中学は目茶苦茶なものであつた。；普通の医師の目にはどうみてもただの心臓発作としか映らないはずだ。；当番組放送中のスタジオに人形が置いてあり、画面に映ることも多い。；建物の配置や寸法、水面に映る姿などは現実と異なる調整がされている。；催眠中には、瞳に映った一ミリほどの文字でも読むことができるのです。；少年の友だちは少女の姿が鏡に映らないことを目撃し、吸血鬼だと知る。；あなたは、クレーンとぼくにこの投映器の操作法を教えてくれませんか?；向こう側の闇を覗いてしまった瞳には、この世界など虚像としか映らん。；本人はテレビ収録が始まりカメラに映ると痛さを忘れてしまうと語る。；かれはその種の芸術に於て、かれの眼に映つた人生を描かうとした。；子供たちにかかる大人の態度、いいかえれば指導者の態度がどう映るか。；食事の際には常に後ろ姿が映るため、どのような食べ方かは不明である。</t>
        </is>
      </c>
      <c r="J751">
        <f>HYPERLINK("https://www.weblio.jp/content/映る", "词义详情")</f>
        <v/>
      </c>
      <c r="K751">
        <f>HYPERLINK("https://yourei.jp/映る", "查看例句")</f>
        <v/>
      </c>
    </row>
    <row r="752">
      <c r="A752" t="inlineStr">
        <is>
          <t>空ろ</t>
        </is>
      </c>
      <c r="B752" t="inlineStr">
        <is>
          <t>成功</t>
        </is>
      </c>
      <c r="C752" t="inlineStr">
        <is>
          <t>読み方：うつろ
［名・形動］
１（「洞ろ」とも書く）内部がからであること。また、そのさま。空洞。うろ。からっぽ。「中は—になっている巨木」
２心が虚脱状態であること。また、そのさま。表情などに生気のないさま。「—な目つき」
３むなしいこと。また、そのさま。「慰めの言葉も—に響く」</t>
        </is>
      </c>
      <c r="D752" t="inlineStr">
        <is>
          <t>空ろな目(12%)；空ろな眼(6%)；空ろな表情(3%)；空ろな感じ；空ろな視線</t>
        </is>
      </c>
      <c r="E752" t="inlineStr">
        <is>
          <t>空虚；うつろ；空っぽ；虚ろ；上の空</t>
        </is>
      </c>
      <c r="H752" t="n">
        <v>29</v>
      </c>
      <c r="I752" t="inlineStr">
        <is>
          <t>目を空ろに見開いたまま、男のからだから体温が急速に失われていった。；それが現実の事だったのか、それともやっぱり空ろな夢だったのか。；敵ながらその人亡しと聞くと何か大きな空ろを抱かせられたのである。；仲間の死を目のあたりにした衝撃からか、声に抑揚がなく、空ろである。；夢を見ているような空ろな笑みを浮かべて、リザンは自分の部屋に向かった。；これらの声も今はもう彼の耳には空ろに響いているだけだった。；が、ペチカの連中は誰もこのヘロのことなぞは相手にしていなかった。；暫くの間、それが誰であるかも分らぬような、空ろな視線で見詰めていた。；以前の関係に戻ったように、空ろな目で、兄である男を見上げた。；気の抜けたビールを飲み干そうとする秀幸の目は、どこか空ろだった。；今港の中につないであるこの船の姿は、空ろな一つの大ホテルにしか過ぎなかった。；彼女は夫につられて反射的に腰を上げたが瞳は完全に空ろだった。；女は警官隊の近づくのも知らず、空ろな眼で、じっと灰色の壁を見つめて坐っていた。；二人は彫像がなくなって、空ろになった通路を、奥へ進んでいった。；空港で見た人々の顔と同じように空ろな表情だった。；そしてその空ろの箱の中に私達は何か入つてゐるのを見た。；レインはベッドに横になったまま、空ろな眼で天井を見ていた。；世界の美も苦悩の指でたたかれると、いかに空ろな音をたてることぞ!；東洋側に面した西海岸にはアジアで出来たヘロが多く入ってくる。；何分も過ぎてから、中央計算機の空ろな反響のない声が、また聞こえてきた。；空ろな目はテーブルの上の一通の手紙に注がれたままだ。；彼の方を見ないでいると、かえってその存在が私の空ろな心の中で巨大に膨らんでいくようだ。；そのかわり、右手前方から、荷馬車が走る音が空ろに聞こえてきた。；昔ギロリと睨まれたあの目とは打って変った寂しい空ろのものだった。；倭建の一行が近づいたので顔を上げたが、その表情は空ろだった。；机の上に投げ出されたオオカミと小豚の頭が、空ろな目で天井を見上げている。；ときどき、空ろな目で空を見上げているのは、火事を待ち受けている証拠だ。；焦点のあっていない、空ろな表情になり、ふらふらとそばに近寄ってきた。；それとも、夜風が空ろな谷間を 吹き下ろしているに過ぎないのか?</t>
        </is>
      </c>
      <c r="J752">
        <f>HYPERLINK("https://www.weblio.jp/content/空ろ", "词义详情")</f>
        <v/>
      </c>
      <c r="K752">
        <f>HYPERLINK("https://yourei.jp/空ろ", "查看例句")</f>
        <v/>
      </c>
    </row>
    <row r="753">
      <c r="A753" t="inlineStr">
        <is>
          <t>器</t>
        </is>
      </c>
      <c r="B753" t="inlineStr">
        <is>
          <t>成功</t>
        </is>
      </c>
      <c r="C753" t="inlineStr">
        <is>
          <t>読み方：うつわ
１物を入れるもの。入れ物。容器。「—に盛る」
２人物や能力などの大きさ。器量。「人の上に立つ—ではない」
３道具。器械。〈和英語林集成〉</t>
        </is>
      </c>
      <c r="D753" t="inlineStr">
        <is>
          <t>器種；器形；器台；器類；器面</t>
        </is>
      </c>
      <c r="E753" t="inlineStr">
        <is>
          <t>容器；鉢；コンテナ；槽；ボウル</t>
        </is>
      </c>
      <c r="F753" t="inlineStr">
        <is>
          <t>消火器；表示器；通信器；新兵器；探知器</t>
        </is>
      </c>
      <c r="G753" t="inlineStr">
        <is>
          <t>器用；器官；器量；器械；器物</t>
        </is>
      </c>
      <c r="H753" t="n">
        <v>29</v>
      </c>
      <c r="I753" t="inlineStr">
        <is>
          <t>側面の出入台付近には行先表示器と一体枠で号車番号表示器を設置した。；編成端部側の貫通扉は埋められ、列車愛称表示器が取り付けられている。；非常に手の込んだ器である殷代青銅器のうち、多くのものは酒器である。；予測器の性能が上昇した2010年代以降のCPUではその影響は小さい。；南大阪線の現存する全車両の制御器は日立製作所製で統一されている。；この実験によりいずれかの数値が1以上でないと消火器と認められない。；ただしインバータ式安定器は日本国内であればどこでも使用できる。；当初は既存の器を利用していたが、後に専用の花器が製作されるようになった。；ホテルの客室などに置ける小型の脱臭用オゾン発生器も販売されている。；表示器の設置していないドア上部には広告枠とドア開閉予告灯が設置してある。；また義持は弟らが将軍職に耐えうる器ではない事なども考えていたとされている。；なお、消火器の設置が義務付けられている自動車は以下の通りである。；なお側面の表示器は6105Fから位置が若干右側に変更されている。；これは従来の処刑器よりも苦痛を与えないとされた。；LED式案内表示器は、客室端部に天井から吊るす形で設置されている。；これは、ボートが魚の上を通過すると魚と変換器の間の距離が変化するためである。；そのため車載器にはあらかじめ設置する車両の情報を登録しなければならない。；なお固定抵抗器の色による表示は JIS C 5062で定義される。；反射型は液晶が表示器として使用され始めた頃からの比較的古い技術である。；これらの表示器は2000系と同一で、書体はすべてゴシック体である。；パンを入れる盃状の器をシボリウムと言い、皿状のものはパテンと呼ぶ。；吸収器でアンモニアを水が吸収しているアンモニア水溶液がつくられる。；窓上部には行先表示器・運行番号表示器と車両番号表記を配している。；円筒埴輪の一種で、基台の上に朝顔のような器がついた形状からその名がある。；皮膚以外にも消化管や、造血器に障害を起こすことが知られていた。；また、3代目駅舎の各ホームには電照式の接近表示器も設置された。；は先行実験器である大型電子陽電子加速器 に接続する形で建造されている。；事務室に駅管理表示器があり、列車の入線状況等を把握することができる。；制御器をはじめとする機器は新品としたが、機器・部品の有効活用が行われた。</t>
        </is>
      </c>
      <c r="J753">
        <f>HYPERLINK("https://www.weblio.jp/content/器", "词义详情")</f>
        <v/>
      </c>
      <c r="K753">
        <f>HYPERLINK("https://yourei.jp/器", "查看例句")</f>
        <v/>
      </c>
    </row>
    <row r="754">
      <c r="A754" t="inlineStr">
        <is>
          <t>腕</t>
        </is>
      </c>
      <c r="B754" t="inlineStr">
        <is>
          <t>成功</t>
        </is>
      </c>
      <c r="C754" t="inlineStr">
        <is>
          <t>読み方：うで
１人や猿の、肩から手首までの部分。また、手の部分も含めていう。「—が長い」「—を組む」
２物事をする能力。技量。うでまえ。「—の見せ所」
３腕の力。腕力。転じて、武力にもいう。「—にものを言わせる」
４道具などで、横に突き出た部分。腕木(うでぎ)。「クレーンの—」
５動物の前足や、タコ・ヒトデなどの物をつかむ働きをする器官。
[補説]古くは肩からひじまでを「かいな」、ひじから手首までを「うで」と区別した。「かいな」は相撲用語として現代でも用いる。肩からひじまでは「二の腕」ともいう。
[下接語]片腕・利き腕・五十腕・四十腕・凄(すご)腕・二の腕・細腕・右腕・痩(や)せ腕・両腕</t>
        </is>
      </c>
      <c r="D754" t="inlineStr">
        <is>
          <t>腕をつかん；腕部；腕環；腕自慢；腕をしっかり</t>
        </is>
      </c>
      <c r="E754" t="inlineStr">
        <is>
          <t>手；力；技術；能力；技</t>
        </is>
      </c>
      <c r="F754" t="inlineStr">
        <is>
          <t>長い腕；細い腕；白い腕；たくましい腕；肩に腕</t>
        </is>
      </c>
      <c r="G754" t="inlineStr">
        <is>
          <t>腕前；腕力；腕組み；腕を組んで；腕輪</t>
        </is>
      </c>
      <c r="H754" t="n">
        <v>29</v>
      </c>
      <c r="I754" t="inlineStr">
        <is>
          <t>ソウルでの大怪我の後は腕も細くなり左手に力が入らない状態であった。；このように1本の腕だけで完全に再生できる種は6種が確認されている。；心配して駆けつけた博士の腕の中でいつまでも泣き続けるさくらだった。；表家業は腕が良いとそれなりに評判のようで、よく治療客が訪れている。；その腕には彼女が自殺した時に使った注射の痕がそのまま残っていた。；高里の病室に入った広瀬は、高里の傍らに何者かの気配と白い腕を見る。；腕部はプロトタイプザクを基本としているが、そのほかの外観は異なる。；腕は胴体部からやや自由に動くことが出来て、運動や摂食の際に役立つ。；萼の周りには羽状の腕が多く配置されており、萼の中央には口がある。；これは腕の高さから固い床に落下させても壊れないように設計されていた。；可変式の「腕」を有しており、作業および戦闘用に用いることができる。；まもなくして彼のギターの腕を買い、クオリーメンへの加入を認めた。；腕部が破壊されても、カスター側の腕部が無事であれば動作は可能。；絵の腕は大人も驚く出来だったが、あまり外向的な子供ではなかったという。；ブレスレットはピンを調整することで腕周りを調整することができる。；筋線維は首からの物は下に走り、その後腕の方に向かって横に走る。；腕を自切することもでき、欠けた腕はしばらくすると元通りに再生する。；そして自らの腕の皮を剥がして金属骨格になった腕を見せて正体を明かす。；当身技の大部分は、腕や脚でもって掛けられるが、頭部もときに使われる。；また、家庭で測定を行う場合は高い側の腕で測定を行うことが推奨されている。；リは空気を呼吸し、ヒトの頭部・腕・生殖器と魚の下半身を持つという。；同形態ではバックパックが頭部に被さり、長い腕部クローが展開される。；二腕二脚だが、鱗や鰓を持つなどの特徴があるものは水棲人とも呼ばれる。；採寸は顧客が立った状態で肩の高さで腕を組んだ姿勢で行われた。；投げる腕と対角のコースを突く直球をクロスファイアと呼ぶことがある。；日常的に腕の力だけで移動する彼女の手は、大きく描かれている。；長い腕と3本の爪が特徴で形状は左右非対称、いびつな姿をしている。；腕が自由であることは、手に持つ剣と盾で戦えることを示しているようである。；寒色の青一色では暗く重く見えることから腕と脚は銀が配置された。</t>
        </is>
      </c>
      <c r="J754">
        <f>HYPERLINK("https://www.weblio.jp/content/腕", "词义详情")</f>
        <v/>
      </c>
      <c r="K754">
        <f>HYPERLINK("https://yourei.jp/腕", "查看例句")</f>
        <v/>
      </c>
    </row>
    <row r="755">
      <c r="A755" t="inlineStr">
        <is>
          <t>腕前</t>
        </is>
      </c>
      <c r="B755" t="inlineStr">
        <is>
          <t>成功</t>
        </is>
      </c>
      <c r="C755" t="inlineStr">
        <is>
          <t>読み方：うでまえ
巧みに物事をなしうる能力や技術。手並み。技量。うで。「洋裁の—が上がる」「—を披露する」</t>
        </is>
      </c>
      <c r="D755" t="inlineStr">
        <is>
          <t>機能；技術；腕；能力；技</t>
        </is>
      </c>
      <c r="F755" t="inlineStr">
        <is>
          <t>お腕前；みごとな腕前；立派な腕前；相当な腕前；すばらしい腕前</t>
        </is>
      </c>
      <c r="H755" t="n">
        <v>29</v>
      </c>
      <c r="I755" t="inlineStr">
        <is>
          <t>この町に来てから本気に誰ッかが見ていた腕前の話がききてもんだわ。；旅館の息子というだけあって鎌田の料理の腕前もなかなかのものだった。；もちろん不可能ではないが、相当のレベル・装備と腕前を要求される。；悪魔ながら、彼は何という不可思議な腕前を持っていたことであろうか。；拳銃一発であれだけの傷を与えうるとは、よほどの腕前といわねばならない。；もし故郷にいるのなら、町のお祭りで腕前を披露してやれるのにと思った。；過去に様々なバンドでの活動がありギターの腕前はプロ級である。；飛んでくる矢を小太刀で叩き落すほどの腕前で、やはり弟子が多かった。；とても剣道の指南などをするほどの腕前があった人ではないのであります。；実際に料理を作らせてみなくても、それで腕前のほどが分かるのだ。；似顔絵や、イラストはプロ級の腕前で週刊ゴングでは連載も持っていた。；その腕前はプロ級と言われており、演奏はほとんどが暗譜であったという。；両艦は、陸軍の観衆の前で海軍の誇る艦砲射撃の腕前を披露してみせた。；SNSでは料理の腕前もかなりレベルが高いのではと評価が挙がっている。；出版社はトールキンの腕前に満足し、本のカバーのデザインも依頼した。；腕前というよりは偶然のおかげで、弾丸は首狩族の先頭の男に命中した。；始めたきっかけは仕事のためであったが、シングルの腕前となった。；「操作はとても簡単よ」アンジェリナは技術上の腕まえをみせて言った。；家久はその腕前を喜び、それぞれ矢の落ちた場所に杉の木を植えさせた。；この観測の力と決心の力とは、他人には真似られないフリーダの腕前なのだ。；ただし、結婚後は料理をするようになり、現在では中々の腕前とのこと。；この本に納めた三種のものでも充分に同君の腕前を語ることが出来よう。；若い頃はプロを目指したこともあると言う腕前だったという。；高校2年生の終わりごろにはテニス部で一番の腕前であったとのこと。；ビリアードの腕前はプロであり、その世界で彼女の名は相当に知られていた。；この左膳の腕前は、誰よりも源三郎が一番よく知っているところであります。；何人にも容易に出来ない腕前を見せること、直ちに美しさを保障はしない。；これまでに示した腕前からすると、別の場所でもっと効果をあげるかもしれない。；彼女は見事な野球の腕前を見せ、コマンチ団の子供たちに受け入れられる。</t>
        </is>
      </c>
      <c r="J755">
        <f>HYPERLINK("https://www.weblio.jp/content/腕前", "词义详情")</f>
        <v/>
      </c>
      <c r="K755">
        <f>HYPERLINK("https://yourei.jp/腕前", "查看例句")</f>
        <v/>
      </c>
    </row>
    <row r="756">
      <c r="A756" t="inlineStr">
        <is>
          <t>雨天</t>
        </is>
      </c>
      <c r="B756" t="inlineStr">
        <is>
          <t>成功</t>
        </is>
      </c>
      <c r="C756" t="inlineStr">
        <is>
          <t>読み方：うてん
雨の降る天気。また、雨の降る日。雨降り。</t>
        </is>
      </c>
      <c r="D756" t="inlineStr">
        <is>
          <t>雨天時(23%)；雨天体操場(6%)；雨天順延(5%)；雨天用；雨天等</t>
        </is>
      </c>
      <c r="E756" t="inlineStr">
        <is>
          <t>雨；悪天候；降雨；荒天；雨降り</t>
        </is>
      </c>
      <c r="F756" t="inlineStr">
        <is>
          <t>雨天予備カード</t>
        </is>
      </c>
      <c r="G756" t="inlineStr">
        <is>
          <t>雨天決行</t>
        </is>
      </c>
      <c r="H756" t="n">
        <v>29</v>
      </c>
      <c r="I756" t="inlineStr">
        <is>
          <t>屋外であるが屋根があるので風がなければ雨天でも濡れずに利用できる。；しかしそれからは雨天がつづいて街のなかの水は急にはなくならなかった。；が、今度は自動車の客が、雨天の節は雨ざらしにならねばならなかった。；雨天では日中もしばしば活動し、岸辺に上陸して動き回る姿も見られる。；雨天体操場事件は、翌日になると、もう全校生徒の噂の種になっていた。；ただ二箇所ほど道路上を川が流れているので、雨天などでは要注意である。；雨天の際は運休としたが、運転日の途中から雨になった日には苦情が出た。；天候は最も明確な例であり、晴天時と雨天時の混雑具合の開きは大きい。；雨天時などはコースを変えたり車を使うこともあるようである。；なお雨天時にはグラウンドではなく共楽館で公演が行われる予定であった。；これは雨天時にも減速・停止を確実に行うために採用されている。；霧の深い峠としても知られており、明け方や雨天時には注意が必要である。；その雨天の暗さが、一度は目を開けたはずの冬木を油断させたのであろう。；雨天の散歩、この文字も部屋の内で考へてゐる分には美しい文字だ。；この堂は今も校庭の隅に残っており雨天のときに使われている。；他の通りは排水溝が設けられているだけで、雨天には泥だらけの状態となった。；雨天時や降雪時でも各種競技の練習に利用できる屋根付きグラウンド。；現在は本開催と雨天時の練習の一部にも使用されている。；ブーツフェティシズムの一種だが、雨天用の長靴に特に強い関心を示す。；春の雪解けの時期や雨天の日は水量が多くなり、滝の迫力がさらに増す。；また、完全屋外施設である事から雨天時は閉園となる可能性が大きい。；果然雨天順延となつて私の旅行日程にもまた一日の狂ひが生じて来た。；自分はもう天剣を持っていないんだということも忘れて、馬鹿なことをやりました。；なお雨天の場合は一度もタイヤを交換せずに完走することがルール上は可能である。；中継予定の試合が雨天などで中止になった場合には、以下のいずれかのパターンで対応する。；また基本的に晴天・雨天関係なく決行され、中止になったのは一度だけである。；雨天時は、放送にて教室で行われるが、小雨では運動場で行うこともある。；後には、いつでもふり続く雨天の籠居を言ふやうになつた。；おかげで私は雨天用のミイラのような格好になってしまった。</t>
        </is>
      </c>
      <c r="J756">
        <f>HYPERLINK("https://www.weblio.jp/content/雨天", "词义详情")</f>
        <v/>
      </c>
      <c r="K756">
        <f>HYPERLINK("https://yourei.jp/雨天", "查看例句")</f>
        <v/>
      </c>
    </row>
    <row r="757">
      <c r="A757" t="inlineStr">
        <is>
          <t>疎い</t>
        </is>
      </c>
      <c r="B757" t="inlineStr">
        <is>
          <t>成功</t>
        </is>
      </c>
      <c r="C757" t="inlineStr">
        <is>
          <t>読み方：うとい
［形］［文］うと・し［ク］
１親しい間柄でない。疎遠だ。「二人の仲は—・くなった」「去る者は日々に—・し」
２（「…にうとい」の形で）そのことについての知識や理解が不十分である。「その方面の事情に—・い」
３親しみが持てない。わずらわしく思う。
「かつ見れど—・くもあるかな月影のいたらぬ里もあらじと思へば」〈古今・雑上〉
４不案内である。関心がない。
「後の世のこと心に忘れず、仏の道—・からぬ、心にくし」〈徒然・四〉
５愚かである。間が抜けている。
「女郎狂ひするほどの者に、—・きは一人もなし」〈浮・胸算用・二〉
[派生]うとさ［名］</t>
        </is>
      </c>
      <c r="D757" t="inlineStr">
        <is>
          <t>疎い人(3%)；疎い者；疎い私；疎いところ；疎い俺</t>
        </is>
      </c>
      <c r="E757" t="inlineStr">
        <is>
          <t>よそよそしい；他人行儀；水臭い；余所余所しい</t>
        </is>
      </c>
      <c r="F757" t="inlineStr">
        <is>
          <t>世事に疎い；まったく疎い；疎い灯</t>
        </is>
      </c>
      <c r="H757" t="n">
        <v>29</v>
      </c>
      <c r="I757" t="inlineStr">
        <is>
          <t>地球上であれだけ発達していた情報網も、宇宙の海ではひどく疎になる。；要するに彼らは世間に疎いだけそれだけ仲の好い夫婦であったのである。；世の中の事象に疎かったわたしは何の疑問も持たずに行動できたのだろう。；新聞で読んだが最近の子供は集団生活に疎くてすぐ間違いを起こすという。；疎開地は結果として完成したばかりの飛行場と一体となった感があった。；わしはここの法律に疎くて、どこから手をつけていいのかわかりそうにない。；まだ次の車輛は入線しておらず、人々が疎な行列をつくって待っていた。；彼女は彼のことを実務には全く疎いお馬鹿さんくらいに考えていた。；文学だの音楽だのにはからきし疎いおれでも、名前くらいは知っている。；僕自身はテレビを観ないし新聞を読むこともないので、時事問題に疎い。；馬喰町時代の椿岳の画は克明に師法を守って少しも疎そかにしなかった。；だから遊びに疎い二人でも、だいたいのところは事前に理解していた。；いくら貴族の生活に疎いからといって、それくらいのことはわかる。；その限りで、私と子供たちの間が前よりも疎くなっていたとは決して思いません。；プレイヤーであっても領域外の情報に関しては意外に疎いのが普通だった。；適当にごまかせればいいいのだろうが、そういう手管に彼女は疎かった。；普通の人が自分の身体に対する注意に甚だ疎であるのは実に愚な事である。；そのため九十郎を討ち取ることを、疎そかにしたことは事実であった。；経済事情に疎い由布だが、金の価値は、家や土地に比して下落している。；出版側と購読側は疎結合されており、相手の存在を知る必要もない。；私はポワロによくいうのだが、こんなに世のなかの消息に疎い人はない。；沙耶と違って彼女は、新しい身体を使って戦う術に疎かったのかもしれない。；ブランドにとことん疎い男性刑事たちは全員それを疑おうともしない。；ロシアの文化に疎い彼女にはそれを信じない理由がなかった。；君が余りにも天下の情勢に疎いのに驚いて肝心な話をするのを忘れていた。；エッカートは野球とは全く縁がなくまた野球界の事情にも疎い人物であった。；宮坂は度の強い近視眼鏡の奥で睫毛の疎い眼を学徒らしく瞑目していた。；国政に疎いわれわれのような者がいても、お役に立てそうにはありませんからな。；普通人の自己の身體に對する注意が甚だ疎であるのは實に愚な事である。</t>
        </is>
      </c>
      <c r="J757">
        <f>HYPERLINK("https://www.weblio.jp/content/疎い", "词义详情")</f>
        <v/>
      </c>
      <c r="K757">
        <f>HYPERLINK("https://yourei.jp/疎い", "查看例句")</f>
        <v/>
      </c>
    </row>
    <row r="758">
      <c r="A758" t="inlineStr">
        <is>
          <t>うとうと</t>
        </is>
      </c>
      <c r="B758" t="inlineStr">
        <is>
          <t>成功</t>
        </is>
      </c>
      <c r="C758" t="inlineStr">
        <is>
          <t>［副］(スル)眠けを催して浅い眠りに落ちるさま。「仕事中につい—してしまった」</t>
        </is>
      </c>
      <c r="D758" t="inlineStr">
        <is>
          <t>うとうとと眠り(3%)；うとうとしはじめ(2%)；うとうととまどろん；うとうと眠り；うとうととしかけ</t>
        </is>
      </c>
      <c r="E758" t="inlineStr">
        <is>
          <t>居眠り；仮眠；うつらうつら；一睡；うたた寝</t>
        </is>
      </c>
      <c r="F758" t="inlineStr">
        <is>
          <t>ついうとうと；少しうとうと；しばらくうとうと；いつかうとうと；うちにうとうと</t>
        </is>
      </c>
      <c r="G758" t="inlineStr">
        <is>
          <t>うとうとし</t>
        </is>
      </c>
      <c r="H758" t="n">
        <v>29</v>
      </c>
      <c r="I758" t="inlineStr">
        <is>
          <t>彼は今うとうとと眠りかけたが、ふと向うから馬の鈴の音が聞えて来た。；疲れていたのでうとうととは来るが、しかしこれではすぐに目が覚める。；おそらく自分たちの汚れた手で敵をうとうというつもりにちがいない。；うとうとと眼を閉じたまま妻の痛みはいくらか落着いてくるようだった。；再び眠りに落ちてうとうとしながら、古い昔に死んだ故郷の人の夢を見た。；うとうとしていたら、外から名前を呼ばれて、今、起きてしまったのだ。；うとうとしていた浄美が突然はっきりとこんなことをいうのでございます。；うとうとと眠りかけている耳もとに、遠くの監房の扉を開く音が聞える。；それでもうとうとしておりますと、不意に怪物に抱きあげられました。；うとうとと眠りかけてゐる耳もとに、遠くの監房の扉を開く音が聞える。；そのくせ、昼間でも、物を考えてるうちに、うとうとすることがあった。；だが、興奮して疲労を覚えたのか、そのうちうとうとと眠ってしまった。；舵九郎は、大八の親兵衛を左手におさえ、右手の石でうとうとしている。；うとうとするとこのだいじな品物のうちどれかをなくした夢をみました。；気のせいかと思ってうとうととしかけるとまた、その声が聴こえてくる。；床に入って考えて、いろいろ考えて、うとうととなって電気を消してねた。；うとうとしていた章一は、片頬に温な緊縛を覚えたのでふと眼を開けた。；しばらくは気が張っていたが、次第にうとうとしてきて目を閉じた。；たぶん、煖房が熱すぎる車室の中でしばらくうとうとしていたのだろうか?；うとうとしていると、ぼんやりと何かが部屋に入ってきたような気がしました。；うとうととして、ふと気がついて時叶を見ても、五分も眠ってはいない。；そしてそのままの無関心な状態が、彼女をうとうととした眠りに導いた。；楽しくないのでついつい飲みすぎ、私は疲れもあってうとうとしていた。；その夜はうとうとぐらいしたかもしれないが、ふたたび眠ったとは思えない。；ぼんやりしている内に知らず知らず、うとうとしかけていたかもしれない。；そしてうとうとと、夢とも現とも分らない状態に沈んでゆきました。；彼はうとうとしながら、緑や青や黄に燃える炎の色合いに見とれていた。；そうねえ、元気がなくて、うとうとしていて、変な譫言ばかり言うのよ。；ちょっとの間うとうととしていた季和は、その物音に気が注いて起きた。</t>
        </is>
      </c>
      <c r="J758">
        <f>HYPERLINK("https://www.weblio.jp/content/うとうと", "词义详情")</f>
        <v/>
      </c>
      <c r="K758">
        <f>HYPERLINK("https://yourei.jp/うとうと", "查看例句")</f>
        <v/>
      </c>
    </row>
    <row r="759">
      <c r="A759" t="inlineStr">
        <is>
          <t>うどん</t>
        </is>
      </c>
      <c r="B759" t="inlineStr">
        <is>
          <t>成功</t>
        </is>
      </c>
      <c r="C759" t="inlineStr">
        <is>
          <t>読み方：うどん
カンボジア中南部、コンポンスプー州の都市。首都プノンペンの北西約40キロメートルに位置する。プノンペン遷都以前の1620年から1866年までクメール王国の王都。ウドンの丘の上にチェイ＝チェッタ2世をはじめ、歴代の王が建てた仏塔が残っている。</t>
        </is>
      </c>
      <c r="D759" t="inlineStr">
        <is>
          <t>うどんやそば；うどん用；うどん好き；うどん料理；うどんスープ</t>
        </is>
      </c>
      <c r="F759" t="inlineStr">
        <is>
          <t>干しうどん；平打ちうどん；夜泣きうどん；日本三大うどん；タヌキうどん</t>
        </is>
      </c>
      <c r="G759" t="inlineStr">
        <is>
          <t>うどん店；うどん粉；うどんこ病；うどん玉；うどんすき</t>
        </is>
      </c>
      <c r="H759" t="n">
        <v>29</v>
      </c>
      <c r="I759" t="inlineStr">
        <is>
          <t>でも、わたしもうどんなことがあってもあなたのそばははなれませんわ。；うどん・そば・おにぎり等の食べられる食堂を併設し人気を得ていった。；これから又現場へ戻るんだが、うどんでも一杯食つて行かうと思つてなあ。；親子丼などの丼もの以外に、うどんにも力を入れているのが特徴である。；別に女が給仕するわけじゃなし、うどんを食って帰るだけの話だからね。；主要な登場人物は全員とも香川県の特産であるうどんを好物としている。；先輩に似た誰かはテーブルに座ってうどんをつるつると食べている。；ご飯と汁物のうどんやそばのセットのような席では、作法は問われない。；或る一軒のお汁粉屋が開いていたので、甘酒とくず餅とうどんを食べる。；うどんもそばも一杯二銭であったが、これが最大の珍味なのである。；きっと離乳食として母が与えてくれたうどんの味を俺が覚えていたのだろう。；温かいうどんのせいか、夫の額には汗が滲み、頬には赤みがさしている。；そして十五分ほど並んでうどんを買い、二人はテーブルで食べ始めた。；客は店に入ってすぐにそれらを取ってきて、食べながらうどんが出てくるのを待つ。；そこで、僕も、うどん反対だと言っているうちに、委員になってしまった。；うどんに浮かべてある葱がもあっと匂い立ったようなものだった。；買ってあったうどんの賞味期限を確かめると、もう四日も前に切れていた。；これらの書籍・記事に触発されたうどん遠征記なども書籍化された。；うどんを食べている時と、寝ている時だけ静かにしていられる。；昼食のうどんを食べようとすると、清は働かず食べるのかと激しく口激。；本編に登場するうどんのおいしそうな描写には、その影響が出ている。；由布は、うどんのくる間、隣りテーブルの女の方を見るともなくみていた。；彼の父親はうどんの方がいいと言うので西田さんから田舎者は困るといって馬鹿にされていた。；うどんと比較してコシは非常に弱く、表面は滑らかでつるりとしている。；うどん・焼きそば・ラーメンなど麺類を主とした商品を取り扱っている。；せやから、わいはうどんを克服しようと思うてこないなことをしてしまうんや。；山吹がうどんを食べ終わった頃、彼女は質問してみることにした。；米粉や小麦粉を使用したうどんやすいとんも古くから食べられていた。；モチーフは香川名物でもあり、クラブ名の由来にもなっているうどん。</t>
        </is>
      </c>
      <c r="J759">
        <f>HYPERLINK("https://www.weblio.jp/content/うどん", "词义详情")</f>
        <v/>
      </c>
      <c r="K759">
        <f>HYPERLINK("https://yourei.jp/うどん", "查看例句")</f>
        <v/>
      </c>
    </row>
    <row r="760">
      <c r="A760" t="inlineStr">
        <is>
          <t>促す</t>
        </is>
      </c>
      <c r="B760" t="inlineStr">
        <is>
          <t>成功</t>
        </is>
      </c>
      <c r="C760" t="inlineStr">
        <is>
          <t>読み方：うながす
［動サ五（四）］
１物事を早くするようにせきたてる。また、ある行為をするように仕向ける。催促する。「—・されてようやく席を立つ」「注意を—・す」
２物事の進行をすみやかにさせる。促進する。「新陳代謝を—・す」「町の発展を—・す」
[可能]うながせる</t>
        </is>
      </c>
      <c r="D760" t="inlineStr">
        <is>
          <t>促すべく；促す標識</t>
        </is>
      </c>
      <c r="E760" t="inlineStr">
        <is>
          <t>要求；求める；要請；刺激；注文</t>
        </is>
      </c>
      <c r="H760" t="n">
        <v>29</v>
      </c>
      <c r="I760" t="inlineStr">
        <is>
          <t>第二次世界大戦の勃発後、ドイツへの帰還を促されるがこれを拒否した。；このことは後の未知の地への探検行を促した点で重要な出来事となった。；さうして私の心もまた何ものかに促されるやうにその路を急ぐのである。；プロ野球に復帰を促されるも肩を壊してしまった事を理由に一度は拒否。；このような行動は社会の変化を促し、次世代の教育にもつながっている。；それに促されて、少年もその父もその姉もおなじく急いで帰ろうとする。；おかみさんは息子のような従業員に促されて、急に安心したようだった。；主に対向車等の第三者に自車の存在を明らかにし注意を促す機能を持つ。；陳発科は笑顔で応じ、雷台に上がると李剣華にかかってくるよう促した。；コウに脱出を促されたが、脱出装置は最初から積み込んではいなかった。；此の月の始め、俺は知らない道を歩く興味に促されて此道を通つた。；島の鳥にはバンドが付けられ、市民はこの活動に参加するよう促されている。；善星はこれを聞いて苦得にこの件を告げ食事に注意するように促した。；冬には今の立ち位置に不満があることを表し、会長からは移籍を促された。；このような自然の地形が、道路網の発達を促したとも言われている。；これは江戸市場の発展を促そうとする幕府の政策とも合致するものであった。；当初から、これらのほとんどの鉄道会社との最終的な合併が促されていた。；思考を促すような西洋の小説が続々とロシア語に翻訳されるようになった。；その後は緻密な鉄道網によってこの地域の産業・商業の発展が促された。；ただし正義派高官の処刑については幕府が促した為とされる資料もある。；アメリカ軍はそれを映像化しアメリカ軍兵士に注意を促している。；また、社会で生きていく上での自立と自律を促すことも重要視している。；オーキシンとは、主に植物の成長を促す作用を持つ植物ホルモンの一群。；彼は人間の自発的な成長を促すための環境を整えるのが教育の役割だとした。；続いてバラク・オバマに投票する意思を表明し、若年層に投票を促した。；ギリシャは数カ国から将来の適用承認を中止するように促されている。；かくして社会の状態は数学の発達を促さないでは止まなくなっている。；既存ユーザーは優待価格でのDreamweaverへの移行を促した。；ファン・システンスは菫色の服を着た若者に促されて自分も腰を下ろした。</t>
        </is>
      </c>
      <c r="J760">
        <f>HYPERLINK("https://www.weblio.jp/content/促す", "词义详情")</f>
        <v/>
      </c>
      <c r="K760">
        <f>HYPERLINK("https://yourei.jp/促す", "查看例句")</f>
        <v/>
      </c>
    </row>
    <row r="761">
      <c r="A761" t="inlineStr">
        <is>
          <t>鰻</t>
        </is>
      </c>
      <c r="B761" t="inlineStr">
        <is>
          <t>成功</t>
        </is>
      </c>
      <c r="C761" t="inlineStr">
        <is>
          <t>読み方：うな
「うなぎ」の略。「—どん」</t>
        </is>
      </c>
      <c r="D761" t="inlineStr">
        <is>
          <t>鰻飯(4%)；鰻売り；鰻料理；鰻のぼり；鰻江川</t>
        </is>
      </c>
      <c r="E761" t="inlineStr">
        <is>
          <t>ウナギ</t>
        </is>
      </c>
      <c r="F761" t="inlineStr">
        <is>
          <t>大きな鰻；八つ目鰻；鹿児島鰻；土用鰻；鰻針</t>
        </is>
      </c>
      <c r="G761" t="inlineStr">
        <is>
          <t>鰻丼；鰻谷；鰻重；鰻の寝床；鰻登り</t>
        </is>
      </c>
      <c r="H761" t="n">
        <v>29</v>
      </c>
      <c r="I761" t="inlineStr">
        <is>
          <t>もぞりもぞりと鰻が蚯蚓を食べはじめるが、ここであわせてはいけない。；空では白鰻のやうな雲も、みんな飛んで行き、大三は汗をたらしました。；所が倶楽部へでも行くかと思ひの外、誠吾は鰻が可からうと云ひ出した。；わたしはフライパンに乗せられた生きた鰻のようにみじめな心境だった。；だが間もなく彼らは革製の大きな鰻頭みたいなものを四つ持ちだしてきた。；おそらく鰻の眼を刺すように、自分の眼にも錐を突き立てたのでしょう。；空では雲が白鰻のやうに光ったり、白豚のやうに這ったりしてゐます。；彼女は蛇を見ると足がすくんだし、鰻の蒲焼さえも食べる気がしなかった。；するとまた翌年の洪水に、勢のつよい鰻がくたくたになって流れてきた。；むかしは鰻を食うのと駕籠に乗るのとを平民の贅沢と称していたという。；脂肪をあまり好まぬ人には鰻の蒲焼きよりもこの方が舌に合うかも知れぬ。；だから本来なら鰻なんて豪勢なものはメニューに出てくるはずもない。；大きな鰻頭のような形をした土の塊、それは墓でしかなかった。；またお社の前の池の鯉鮒鰻ばかりを片目だというわけはないのであります。；岡持にはかなり大きい鰻が四、五本ぐらい蜿くっているのを、私は見た。；私は、そういうヌルッとした顔つきの女性は鰻に似ているとも思っている。；私は鰻を養殖している人が投稿しているのかと思ったが、そうではなかった。；僕はお父様に連れられて鰻屋へ一度行って、鰻飯を食ったことしか無い。；片眼の夫がどこかに忍んでいて、この鰻もその人の手で割かれたのではないか。；鰻売りの又六が町駕籠へ乗り、文蔵宅へあらわれたのは七ツ前であった。；実際、それはどこかの沼か池の主とでもいいそうな大鰻であった。；この点既に日本とは大分変っているが、それよりも鰻の方がもっとわかりよい。；棟居はもちろんであるが、桐子もかなりの量の鰻飯を残さずに平らげた。；普通の人なら彼の鰻で気絶してからは来なくなるのが当然だ。；しかも鰻は千葉から来るのだと、団扇片手の若い衆が妙な顔をして答えた。；家は代々農家であったが、父親が鰻を商売にして成功を収めたと言われている。；日暮にかけておいた天竺針には、朝になるときっと鰻や鯰がかかっている。；三匹とも全身が鰻のようにつるりとした皮膚で覆われていた。；これらはよほど主動的であるが、それでも鰻のほうで気がなければ成立しない。</t>
        </is>
      </c>
      <c r="J761">
        <f>HYPERLINK("https://www.weblio.jp/content/鰻", "词义详情")</f>
        <v/>
      </c>
      <c r="K761">
        <f>HYPERLINK("https://yourei.jp/鰻", "查看例句")</f>
        <v/>
      </c>
    </row>
    <row r="762">
      <c r="A762" t="inlineStr">
        <is>
          <t>うなずく</t>
        </is>
      </c>
      <c r="B762" t="inlineStr">
        <is>
          <t>成功</t>
        </is>
      </c>
      <c r="C762" t="inlineStr">
        <is>
          <t>読み方：うなずく
［動カ五（四）］《「項(うな)突く」の意》承諾や同意などの気持ちを表すために、首を縦に振る。「係員の説明にいちいち—・きながら聞き入る」
[可能]うなずける</t>
        </is>
      </c>
      <c r="D762" t="inlineStr">
        <is>
          <t>うなずくしか</t>
        </is>
      </c>
      <c r="E762" t="inlineStr">
        <is>
          <t>認める；受け入れる；頷く；同意する；容れる</t>
        </is>
      </c>
      <c r="F762" t="inlineStr">
        <is>
          <t>黙ってうなずく；小さくうなずく；軽くうなずく；ままうなずく；深くうなずく</t>
        </is>
      </c>
      <c r="H762" t="n">
        <v>29</v>
      </c>
      <c r="I762" t="inlineStr">
        <is>
          <t>さらにしばらくのあいだ彼らの多くの者は、うなずきながら言っていた。；彼女はうなずいたが、そんなことをしても意味はないだろうといった。；上から望んで、原の中心をなしていた、あの池であろうとうなずかれた。；記者の疑いの眼がそれからそれへ飛んで行く理由もうなずかれるであろう。；黒馬はその言葉がわかったかどうか、うなずくように頭を振っています。；半七は黙ってその報告を聞いていたが、やがて思い出したようにうなずいた。；と、紋也はうなずいて見せたが、すぐに次のように意外のことをいった。；ギリングスにうなずいて座席に腰をおろすと、何も考えないようにした。；しかし宋江の真心には深く感じたもののようでついに素直にうなずいた。；彼女は入口のほうをちらりと見てから、メノリに軽くうなずいてみせた。；母親は頭を重々しくゆっくりとうなずかせながら、黙って同意していた。；ダングラールは、もうなにも言うべきことはないと、うなずいて見せた。；ザムザ氏は大きな眼をしてただ何度かうなずいて見せるだけだった。；女の子は笑ってうなずいてみんなに挨拶を返しながら舞台の前の方へ出て来ました。；無言で自らにうなずくように、片手で訳もなく髭の先をまさぐっていた。；この前のあなたのお手紙にあらわれていたあなたの心の態度もうなずかれます。；ぼくはうなずき、自分の机の一番上の引出しにしまってある、と答えた。；それがどれくらいの悲しみになるのか分らなかったが、子供は深くうなずいた。；二人はKの言葉を聞いたが、ただうなずいただけで、いき過ぎてしまった。；夫人は、にこやかな表情のまま、大きい良人の方は見ないでうなずいた。；彼女はうなずき、視線をうしろのコーヒー・テーブルのほうに向けた。；よく言った言葉だと私はそれをきいたとき私にうなずいた。；だが三人のうなずいたのは、まさかそんな陶酔気分をいったのではあるまい。；ヘターはうなずくと、苦しんでいる母馬の頭にしっかり腕を巻きつけた。；私と年が近いせいだろうか、彼女の話には、うなずくことが多かった。；ひとつうなずいたぼくは、必死になって、口の中のにぎりめしを噛んだ。；殷雷たちから文句の声が上がるが、殷雷鏡はうなずいて言葉を続けた。；紫の上は見ぬふりをしながら、ひそかに心の中でうなずかれる所があった。；ヨセフは自分の息子の目の中の自分の髯づらに挨拶するようにうなずいた。</t>
        </is>
      </c>
      <c r="J762">
        <f>HYPERLINK("https://www.weblio.jp/content/うなずく", "词义详情")</f>
        <v/>
      </c>
      <c r="K762">
        <f>HYPERLINK("https://yourei.jp/うなずく", "查看例句")</f>
        <v/>
      </c>
    </row>
    <row r="763">
      <c r="A763" t="inlineStr">
        <is>
          <t>唸る</t>
        </is>
      </c>
      <c r="B763" t="inlineStr">
        <is>
          <t>成功</t>
        </is>
      </c>
      <c r="C763" t="inlineStr">
        <is>
          <t>読み方：うなる
［動ラ五（四）］《「う」は擬声語》
１力を入れたり苦しんだりするときに、長く引いた低い声を出す。うめく。「痛くてうんうん—・る」
２獣が低く力の入った声を出す。「犬が—・る」
３鈍く低い音を長く響かせながら出す。「モーターが—・る」「風が—・る」
４謡曲・浄瑠璃などを、のどをしぼるように低音でうたったり語ったりする。「義太夫を—・る」
５感嘆のあまり、思わず、1のような声を出す。ひどく感心する。「満員の観衆を—・らせる」
６内に満ちている力が、あふれ出るばかりになる。「腕が—・る」「金が—・るほどある」</t>
        </is>
      </c>
      <c r="D763" t="inlineStr">
        <is>
          <t>唸るような声(8%)；唸るような音(4%)；唸るような余韻；唸るような震動</t>
        </is>
      </c>
      <c r="E763" t="inlineStr">
        <is>
          <t>望む；尊敬；感心；賞賛；崇拝</t>
        </is>
      </c>
      <c r="F763" t="inlineStr">
        <is>
          <t>小さく唸る；ごうごうと唸る；一声唸る；轟々と唸る；唸るしかない</t>
        </is>
      </c>
      <c r="H763" t="n">
        <v>29</v>
      </c>
      <c r="I763" t="inlineStr">
        <is>
          <t>これまでにときどきそういう人と料理に出会って唸らされたことがある。；ウウウーと唸る声は夫の死後八年の今でも私の耳の底に響いて聞えます。；唸るほどの金を持っているにもかかわらず迫り来る死の影に脅えている。；しばらくの間があり、窓がモーター音を唸らせゆっくりと下りていった。；床の下かと思われるあたりで獣の唸るような奇怪な悲しげな声が洩れた。；実際のところ、もったいぶって唸るほど理解できてはいなかったのだが。；人の耳には、ただ犬がウーと唸っているようにしか聞こえないはずだから。；男性の次は女性歌手で、やっぱり泣くような唸るような声で歌っている。；馬どももさっきから唸るのをやめて、地べたにじっとすわりこんでいた。；林が町で夜食をしてから旅館へ帰ると、微かな唸声が隣室に聞えていた。；そんな彼らの話を聞いて、俺はうーんと唸って腕組みをほどいて言った。；どうなることかと固唾をのんだとき、妹尾は唸るような低い声で言った。；ほうの耳には、この牢座敷の壁や床が唸っているかのように聞こえた。；黒猫は唸るのはやめたが、まだ敵意を持って私の様子を観察していた。；小屋の裏から雨縁も這い出てきて、長い首を高くもたげて再び低く唸った。；ふとサラ金の看板が目に入り、ここには金が唸っているのだろうなと思った。；納得できそうでできないのか、ホロは低く唸ってから、そっぽを向いた。；縁の下に恐ろしい大きな穴が掘ってありまして、その中で唸ってる者がある。；男はなんとか自分の住んでいる小屋に這い着くと、ベッドの上で唸っていた。；「のんきなことを言っている場合ではないぞ」 男が上を見上げて唸った。；下の準備完了しました〟 「ではいくとするか」船長は唸るように言った。；男は唸っている犬のような低い声をたてはじめ、広い肩を硬ばらせた。；ただ夜更には動物園の猛獣の唸声がすると、女中たちはこわがりました。；規則的に、高音域の音型の様に唸るような弦の音を響かせ演奏を支える。；その点だけが、ただ米友を、眼を円くして唸らせるだけのものでした。；その苦しみを少しでも軽くする唯一の方法として大きな唸き声を出しつづけた。；まずとても低い声からはじめゆっくりと吠え、最後に何度か短く唸る。；両手で頭を抱えて唸っていたリーナがいきなりテーブルに突っ伏した。；唸るような音は、しだいに大きくなり、耳をつんざくようになってきた。</t>
        </is>
      </c>
      <c r="J763">
        <f>HYPERLINK("https://www.weblio.jp/content/唸る", "词义详情")</f>
        <v/>
      </c>
      <c r="K763">
        <f>HYPERLINK("https://yourei.jp/唸る", "查看例句")</f>
        <v/>
      </c>
    </row>
    <row r="764">
      <c r="A764" t="inlineStr">
        <is>
          <t>自惚れ</t>
        </is>
      </c>
      <c r="B764" t="inlineStr">
        <is>
          <t>成功</t>
        </is>
      </c>
      <c r="C764" t="inlineStr">
        <is>
          <t>読み方：うぬぼれ
うぬぼれること。また、その気持ち。おのぼれ。「—が強い」</t>
        </is>
      </c>
      <c r="D764" t="inlineStr">
        <is>
          <t>夢中になる；憚る；舞い上がる；高ぶる；増長する</t>
        </is>
      </c>
      <c r="H764" t="n">
        <v>29</v>
      </c>
      <c r="I764" t="inlineStr">
        <is>
          <t>人々は諸君の考えたことまでも知っている、知っていると自惚れている。；自分は強いと自惚れたら、もうそれは弱くなっている証拠なんだからね。；そのたびに、私は自分の目に狂いがなかったと自惚れることにしている。；そして、彼女の方でも私を愛し続けてることと、内心では自惚れていた。；これはいくらお前が自惚れて見たところで認めなければならぬ筈だ。；自惚れに聞こえるかもしれないが、それははっきりわかっていることだ。；僕の存在の淋しさを君にシンクロさせたのは僕の勝手な自惚れの筈でした。；だから、まさか私には同じ要求はしまいと自惚れるわけにはいかない。；あの人はぼくが同意すると自惚れるほどおめでたいと思っているのですか。；もの凄い自惚れ屋でもあり、戦闘の手を止めて相手を嘲笑しさえもする。；もっともこれは、吉田とのことで調子に乗っている自惚れかもしれないが。；これまでの例からすると、大成功した自惚れが、大失敗の原因になっている。；彼女は自分がポワロ氏より一点勝ちこしだと自惚れているようすであった。；いや、楽観しすぎたきらいはあっても、自惚れてだけはいないつもりだ。；そのことがなければ、私はひどく自惚れたブス女になっていたと思うからだ。；もっと自惚れられるような活躍をして、人を助けることだってできた。；己の作品の前には何びとも慴伏すると思うほど鴎外は自惚れていたろうか。；だが君を敗北させたのは他でもない、君自身のその自惚れだよ!；仕事への熱心さを、自分への関心だと感じたその男は、自惚れるにも程がある。；決して自惚れるわけではないが、女の受けは悪くないほうだと自負している。；自惚れではなく、彼は私のことを愛してくれているんだと思う。；こんなことが起こるのも、みんな人間が自惚れが強いせいなんだ!；自惚れではなく、彼の描く少女は本当に自分そっくりだと思った。；その匂いは、確かに私に似合うと、私は多少自惚れないでもなかった。；あるいは島民と同じ目で眺めていると自惚れているのかも知れぬ。；それを自分にばかり示されるものだと思っているのは、あいつの自惚れに違いない。；しかも多分に自惚れが強く根拠の無い自信だけは人一倍持ち合わせている。；騎士だ騎士だと自惚れていては、時代に負けるとおしえているのです。；自惚れているわけではないが、方代が自分を愛していたことだけは確かだった。</t>
        </is>
      </c>
      <c r="J764">
        <f>HYPERLINK("https://www.weblio.jp/content/自惚れ", "词义详情")</f>
        <v/>
      </c>
      <c r="K764">
        <f>HYPERLINK("https://yourei.jp/自惚れ", "查看例句")</f>
        <v/>
      </c>
    </row>
    <row r="765">
      <c r="A765" t="inlineStr">
        <is>
          <t>自惚れる</t>
        </is>
      </c>
      <c r="B765" t="inlineStr">
        <is>
          <t>成功</t>
        </is>
      </c>
      <c r="C765" t="inlineStr">
        <is>
          <t>読み方：うぬぼれる
［動ラ下一］［文］うぬぼ・る［ラ下二］《自分自身に惚(ほ)れる意》実際以上に自分がすぐれていると思い込んで得意になる。「有能だと—・れる」</t>
        </is>
      </c>
      <c r="D765" t="inlineStr">
        <is>
          <t>夢中になる；憚る；舞い上がる；高ぶる；増長する</t>
        </is>
      </c>
      <c r="H765" t="n">
        <v>29</v>
      </c>
      <c r="I765" t="inlineStr">
        <is>
          <t>人々は諸君の考えたことまでも知っている、知っていると自惚れている。；自分は強いと自惚れたら、もうそれは弱くなっている証拠なんだからね。；そのたびに、私は自分の目に狂いがなかったと自惚れることにしている。；そして、彼女の方でも私を愛し続けてることと、内心では自惚れていた。；これはいくらお前が自惚れて見たところで認めなければならぬ筈だ。；自惚れに聞こえるかもしれないが、それははっきりわかっていることだ。；僕の存在の淋しさを君にシンクロさせたのは僕の勝手な自惚れの筈でした。；だから、まさか私には同じ要求はしまいと自惚れるわけにはいかない。；あの人はぼくが同意すると自惚れるほどおめでたいと思っているのですか。；もの凄い自惚れ屋でもあり、戦闘の手を止めて相手を嘲笑しさえもする。；もっともこれは、吉田とのことで調子に乗っている自惚れかもしれないが。；これまでの例からすると、大成功した自惚れが、大失敗の原因になっている。；彼女は自分がポワロ氏より一点勝ちこしだと自惚れているようすであった。；いや、楽観しすぎたきらいはあっても、自惚れてだけはいないつもりだ。；そのことがなければ、私はひどく自惚れたブス女になっていたと思うからだ。；もっと自惚れられるような活躍をして、人を助けることだってできた。；己の作品の前には何びとも慴伏すると思うほど鴎外は自惚れていたろうか。；だが君を敗北させたのは他でもない、君自身のその自惚れだよ!；仕事への熱心さを、自分への関心だと感じたその男は、自惚れるにも程がある。；決して自惚れるわけではないが、女の受けは悪くないほうだと自負している。；自惚れではなく、彼は私のことを愛してくれているんだと思う。；こんなことが起こるのも、みんな人間が自惚れが強いせいなんだ!；自惚れではなく、彼の描く少女は本当に自分そっくりだと思った。；その匂いは、確かに私に似合うと、私は多少自惚れないでもなかった。；あるいは島民と同じ目で眺めていると自惚れているのかも知れぬ。；それを自分にばかり示されるものだと思っているのは、あいつの自惚れに違いない。；しかも多分に自惚れが強く根拠の無い自信だけは人一倍持ち合わせている。；騎士だ騎士だと自惚れていては、時代に負けるとおしえているのです。；自惚れているわけではないが、方代が自分を愛していたことだけは確かだった。</t>
        </is>
      </c>
      <c r="J765">
        <f>HYPERLINK("https://www.weblio.jp/content/自惚れる", "词义详情")</f>
        <v/>
      </c>
      <c r="K765">
        <f>HYPERLINK("https://yourei.jp/自惚れる", "查看例句")</f>
        <v/>
      </c>
    </row>
    <row r="766">
      <c r="A766" t="inlineStr">
        <is>
          <t>鵜呑み</t>
        </is>
      </c>
      <c r="B766" t="inlineStr">
        <is>
          <t>成功</t>
        </is>
      </c>
      <c r="C766" t="inlineStr">
        <is>
          <t>読み方：うのみ
《ウが魚をまるのみにするところから》
１食物をかまずにのみ込むこと。まるのみ。「飯を—にする」
２物事の真意をよく理解せずに受け入れること。「宣伝文句を—にする」</t>
        </is>
      </c>
      <c r="D766" t="inlineStr">
        <is>
          <t>入れる；受け入れる；受容；応じる；応ずる</t>
        </is>
      </c>
      <c r="H766" t="n">
        <v>29</v>
      </c>
      <c r="I766" t="inlineStr">
        <is>
          <t>もちろん村一番の嘘つきである彼のことを鵜呑みにすることはできない。；普通なら聞いただけで嘘とわかるような冗談すら鵜呑みにするタイプだぜ?；あるいは子供の頃に聞いて、いないという返事を鵜呑みにしていたのか。；それに、楽のような子供の言うことを鵜呑みにするのは危ないとも思う。；と言うより、島の者たちの言うことを鵜呑みにして捜査した可能性が高い。；あたしがお父さんの話を鵜呑みにしているとでも思ってたのかしら!；俺には先輩の言葉を鵜呑みできるものが、何一つだってありはしない。；鵜呑みにして蛇の世界に入って知らないふりをして眠っていられるのだろうか。；あまりに胡散臭い流れであり、とても鵜呑みにできるものではあるまい。；このまま鵜呑みにしたりして、あとで副作用の心配はないのだろうか?；機械の判断を鵜呑みにして、想像力を放棄しているところがあるのだ。；同盟だってどこの誰ともわからない者の情報を鵜呑みにして行動したくないはずだ。；そうしてその鵜呑みにしたことを、よいこととして守ってゆくものはない。；各種の情報を総合して、この教師の言葉を私は鵜呑みにできない。；彼らの言葉を鵜呑みにするつもりはないけど、彼らの人格は信用してもいい。；かれはまだはっきり金田一耕助の意見を鵜呑みにすることはできなかった。；七五三兵衛が景の言うことを鵜呑みにしたのは、そういうことだったのか。；死体を見つけたというモデルの話を鵜呑みにしているだけなんだ。；女王神セフィスはまだ幼いためセルヴィの言葉を鵜呑みにしている状態だ。；不在だとおっしゃっても、それを鵜呑みにしてしまうわけにもいきません。；それを鵜呑みにしていてもあまり意味はないかもしれない。；誰かの言ったことを、そのまま鵜呑みにして生きてはいけないんだ。；かといっておれの言葉を鵜呑みにしているわけでもない。；どんなに逼迫した芝居をしてみせても、それを鵜呑みにするわけにはいかない。；どんなによいことを鵜呑みにさせておいても、それが彼の一生を支配してゆく力はない。；いったいこんな話を鵜呑みにする人がいるとお思いですか?；なんの疑問も許されず、先輩の話を鵜呑みにするしかなかった。；リディアは、彼のこういうせりふを鵜呑みにしてはいけないと知っている。；やつと食べてしまつた後では、腹は大名を鵜呑みにした蟇のやうに膨れてゐた。</t>
        </is>
      </c>
      <c r="J766">
        <f>HYPERLINK("https://www.weblio.jp/content/鵜呑み", "词义详情")</f>
        <v/>
      </c>
      <c r="K766">
        <f>HYPERLINK("https://yourei.jp/鵜呑み", "查看例句")</f>
        <v/>
      </c>
    </row>
    <row r="767">
      <c r="A767" t="inlineStr">
        <is>
          <t>奪う</t>
        </is>
      </c>
      <c r="B767" t="inlineStr">
        <is>
          <t>成功</t>
        </is>
      </c>
      <c r="C767" t="inlineStr">
        <is>
          <t>読み方：うばう
［動ワ五（ハ四）］
１他人の所有するものを無理に取り上げる。「金品を—・う」「自由を—・う」「地位を—・う」
２取り去る。取り除く。「命を—・う」「地表の熱を—・う」「雪で通勤の足が—・われる」
３注意・関心などを強く引きつける。夢中にさせる。「観客の目を—・う華麗な演技」「あまりの美しさに心を—・われる」
４競技などで得点する。また、獲得する。「三振を—・う」「タイトルを—・う」
[可能]うばえる</t>
        </is>
      </c>
      <c r="D767" t="inlineStr">
        <is>
          <t>奪うべく；奪うべき；奪うべから；奪う可能性；奪うことあたわ</t>
        </is>
      </c>
      <c r="E767" t="inlineStr">
        <is>
          <t>略奪；奪取；取り上げる；強奪；掠奪</t>
        </is>
      </c>
      <c r="F767" t="inlineStr">
        <is>
          <t>奪うかもしれ；奪うなど優勢；奪うなど活躍；奪うという事件；奪うという計画</t>
        </is>
      </c>
      <c r="H767" t="n">
        <v>29</v>
      </c>
      <c r="I767" t="inlineStr">
        <is>
          <t>他のプレイヤーは旗を持っている人に接触すれば旗を奪うことができる。；あたしは何も持ってなかっったから、誰もあたしから何も奪えなかった。；不愉快に思いながらも夫人はもういつかのように奪おうとはしなかった。；一人の男がもう一人の男を愛するあまり、その男の恋人を奪おうとする。；そして自分が、茜から森を奪おうとしていることも十分に承知していた。；わたしの力であればラーゼフォンはいつでもおまえたちの手から奪えた。；移動中に他の武将に話したり襲撃を仕掛けアイテムを奪うことも可能。；その夫を奪おうとしている自分が、ひどく残酷に思われてならなかった。；死んだ仲間の骨を守るため、仲間の骨を奪おうとする者を次々と殺害する。；ザンドラマスが陛下の命を奪おうとする理由に心あたりがおありですか?；サッダームと対立して治安局長官の地位を奪われたくなかったのである。；もともと独立していた状態の国家が、その独立を奪われてしまうことがある。；奪うも殺すも自由だが、同時に奪われても殺されても文句は言えない。；また、師の轟鉄を殺害して奪ったとされる巨大な数珠を首に掛けている。；他人からその存在と生活と平和と太陽に浴する地位とを奪おうとした。；同じ目を出すと他プレイヤーから絵を奪うことになるため、盛り上がる。；一つの作品を指揮するときには、音楽の刺激的な力に心を奪われてしまいます。；課長は、けっして、生活権を奪おうなどと思ってしたことではないこと。；糧食は敵のものを奪えばよいとしても、軍を維持するには費用もかかる。；レギュラーを奪われたくないため指を骨折した状況で試合出場したこともある。；ただし一気に体力ゲージの半分以上を奪うような連続技はほとんどない。；墓がまだ仕上がっていない間に、葬儀が終わった直後にその墓を奪った。；民間伝承上の妖怪の背景となっていた事物の現代性を大きく奪っている。；かつて、我はお前たちの群れから奪おうとしたのだが、失敗してしまった。；一人の男がもう一人の男を愛する余り、その男の恋人を奪おうとする。；この男がセ・ネドラの命を奪おうとし、ブランドを殺した張本人なのだ。；歯は犯人が突棒を掴んで抵抗したり逆に奪おうとするのを防ぐ役割も持つ。；彼らが結婚するときにはまず、ひそかに情を通じて女を奪い去ってゆく。；ハクもまた名を奪われ、自分が何者であったのかを思い出せずにいた。</t>
        </is>
      </c>
      <c r="J767">
        <f>HYPERLINK("https://www.weblio.jp/content/奪う", "词义详情")</f>
        <v/>
      </c>
      <c r="K767">
        <f>HYPERLINK("https://yourei.jp/奪う", "查看例句")</f>
        <v/>
      </c>
    </row>
    <row r="768">
      <c r="A768" t="inlineStr">
        <is>
          <t>馬</t>
        </is>
      </c>
      <c r="B768" t="inlineStr">
        <is>
          <t>成功</t>
        </is>
      </c>
      <c r="C768" t="inlineStr">
        <is>
          <t>読み方：うま
《「馬」の字音「マ」から変化したものという。平安時代以降「むま」と表記されることが多い》
１奇蹄(きてい)目ウマ科の哺乳類。体は一般に大形で、顔が長く、たてがみがあり、長い毛の尾がある。力強く、走ることが速い。古くから家畜とされ、農耕・運送・乗用・競馬などに用いられ、肉は食用。東洋種の蒙古馬(もうこうま)・朝鮮馬、日本在来種の木曽馬・北海道和種、西洋種のアラブ（アラビア馬）・サラブレッド・ペルシュロンなどがある。こま。
２踏み台。脚立(きゃたつ)。
３競馬。
４将棋で、桂馬または成角(なりかく)の略称。
５《「付け馬」の略》料理屋などで、勘定の未払いを取り立てるために客の家までついて行く者。
６動植物などの同類の中で、大きなものの意を表す語。「—すげ」「—ぜみ」
[補説]作品名別項。→馬</t>
        </is>
      </c>
      <c r="D768" t="inlineStr">
        <is>
          <t>馬たち；馬ども；馬産；馬公；馬群</t>
        </is>
      </c>
      <c r="E768" t="inlineStr">
        <is>
          <t>ウマ；サラブレッド；ロバ；牡馬；ポニー</t>
        </is>
      </c>
      <c r="F768" t="inlineStr">
        <is>
          <t>活躍馬；競走馬；遊馬；所有馬；大司馬</t>
        </is>
      </c>
      <c r="G768" t="inlineStr">
        <is>
          <t>馬鹿；馬場；馬力；馬主；馬上</t>
        </is>
      </c>
      <c r="H768" t="n">
        <v>29</v>
      </c>
      <c r="I768" t="inlineStr">
        <is>
          <t>仙台は馬産に適した地域であったことから藩をあげて育成に努めていた。；古い文書の記述を信用するのであれば、日本の馬は江戸期に小型化した。；特に毎日王冠は数多くの実力馬が勝ってきていることでも知られている。；馬歯は一生を通じて硬い草を食べ続けるため上下に長い形状をしている。；競走後も日ごとに動きが良化し、厩舎内でも特に優れた馬と見られ始めた。；あの馬には、普通では考えられない結果を出す力があったんですよ。；上記のほか、以下の条件のいずれかに該当する馬にも出走資格が与えられる。；これらは馬にまたがり、羽飾りをつけること以外は出鱈目なものである。；また、ここでは日本に輸入された馬に対してアスタリスクをつけている。；一般に1シーズンの間、この3競走すべてに優勝した馬を三冠馬と呼ぶ。；馬は羽生の玉に迫っている駒で、金は谷川の玉を守っている駒であった。；地名の由来は、ある武士の馬がこの付近で足を骨折したためといわれている。；この絵には、山の中を嵐に吹かれながら馬に乗る旅人が描かれている。；馬に乗ったリソフチツィを題材に描いたこの絵に関して多くの議論がある。；重量については記録はないが運搬には馬が必要だったといわれている。；飼われている馬では、訓練次第でこれを意図的にさせることができる。；逆に全く競走成績の伴わなかった馬が種牡馬として大成することもある。；この洞窟には馬の頭を持つデーメーテール像が祀られていたと伝えられている。；人間を馬として扱うのがポニープレイであり、まれに男性の場合もある。；一説には馬から降りて戦うことが多かったとも言われている。；スタートで折り合いを欠いたが、先行馬の背後に収まる好位に位置した。；このほか、馬やタカラガイなども北アフリカから主に輸入されていた。；どう乗っても勝てるんなら、楽に勝とうと思って馬をちょっと抑えたんです。；よって、馬にかかる負担を考慮すれば出走可能な競走は大きく限定されることになった。；老馬は風雪をついて進み、ついに雪子たちの元へと五郎を連れてきたのだった。；馬の首から上が人間の上半身に置き換わったような姿をしている。；しかし、この時の馬と鷹はどれも信長が気に入らずに返却されている。；また、メフィストと契約してウサギ・馬・花に変身する能力を得たことも。；従って最初期の騎兵とは、馬を持っていた自由民のことだった。</t>
        </is>
      </c>
      <c r="J768">
        <f>HYPERLINK("https://www.weblio.jp/content/馬", "词义详情")</f>
        <v/>
      </c>
      <c r="K768">
        <f>HYPERLINK("https://yourei.jp/馬", "查看例句")</f>
        <v/>
      </c>
    </row>
    <row r="769">
      <c r="A769" t="inlineStr">
        <is>
          <t>うまい</t>
        </is>
      </c>
      <c r="B769" t="inlineStr">
        <is>
          <t>成功</t>
        </is>
      </c>
      <c r="C769" t="inlineStr">
        <is>
          <t>読み方：うまい
「右方(うほう)の舞」に同じ。⇔左舞。</t>
        </is>
      </c>
      <c r="D769" t="inlineStr">
        <is>
          <t>うまいこと(10%)；うまいもの(6%)；うまい具合(4%)；うまいぐあいに；うまい話</t>
        </is>
      </c>
      <c r="E769" t="inlineStr">
        <is>
          <t>いい；良い；立派；上手；好い</t>
        </is>
      </c>
      <c r="F769" t="inlineStr">
        <is>
          <t>なかなかうまい；実にうまい；一番うまい；こんなうまい；うまい考え</t>
        </is>
      </c>
      <c r="G769" t="inlineStr">
        <is>
          <t>うまいいい；うまいもん横丁；うまいっしょ；うまいものはうまい；うまいっしょクラブ</t>
        </is>
      </c>
      <c r="H769" t="n">
        <v>29</v>
      </c>
      <c r="I769" t="inlineStr">
        <is>
          <t>角の初期位置に玉が来るため、角をうまく移動させることが必要になる。；イパーブのスイッチをうまく入れられなかった場合は深刻な事態となる。；たいていの場合にうまくいっていると考えられる構成を以下に説明します。；物事にはうまく行く場合とそうでない場合があるのを心得ていたからだ。；考えてみますと、この映画を輸入した会社の宣伝がうまかったんですね。；あんなうまい酒は、あとにも先にもわたしは飲んだことがありませんよ。；うまくできたら大いに、失敗しても叱らないことが重要であるとされる。；決勝ではレースをうまくまとめており、課題はやはり予選の速さである。；これは最も人間との対話がうまかったプログラムに与えられる賞である。；この会社は最初からうまくいかず、リッターは信頼できないことが判明。；下の屋根まであまり距離がないから、うまくったえば地面に下りられる。；ところでエディソンはそうしている中にうまい考えを実行に移しました。；二人は血のうまさを、いささかでも暗示することを恐れているのだった。；食べたいと思っていたものだけに、口の中で蕩けるようなうまさだった。；私は数人の紳士に言い寄ったが、彼らの誰ともうまくいきませんでした。；事がうまく運ばなかった場合はERM加入は状況を悪化させるだろう。；幼いころから遊んでいた従兄がいたが、これは歌がなかなかうまかった。；そのため両者の関係は必ずしもうまく行っていなかったとされる。；この対策はうまくいき、女真の間での抗争は極めて激しいものとなった。；柳沢は英語のうまさではトヨタ社内で三本の指に入るとされる男である。；すると父親がうまやにはいって来て、静かに向こう側のドアを開けた。；彼らは自分達が使え道具をこの問題の解決にうまく使っているところである。；なぜ商売に失敗ばかりしたのかと不思議なほど、二人とも口はうまかった。；学校ではよくゲームのキャラクターの絵を描いていて絵がうまかったという。；この結婚はうまく行かず、事実上の別居状態が長い間続くことになった。；たとえば自動車好きがそうで、彼は自動車の故障を直すのがうまかった。；商売が身についたというべきか、こうした場合のとりなしはうまかった。；結婚は両者が若すぎたためうまくいかず、1216年に結婚は解消された。；恋愛もうまくいかず、絶望に打ちひしがれたドリューは自殺を決意する。</t>
        </is>
      </c>
      <c r="J769">
        <f>HYPERLINK("https://www.weblio.jp/content/うまい", "词义详情")</f>
        <v/>
      </c>
      <c r="K769">
        <f>HYPERLINK("https://yourei.jp/うまい", "查看例句")</f>
        <v/>
      </c>
    </row>
    <row r="770">
      <c r="A770" t="inlineStr">
        <is>
          <t>埋まる</t>
        </is>
      </c>
      <c r="B770" t="inlineStr">
        <is>
          <t>成功</t>
        </is>
      </c>
      <c r="C770" t="inlineStr">
        <is>
          <t>読み方：うずまる
［動ラ五（四）］
１物に覆われて外から見えない状態になる。「火山灰に—・る」「本に—・る」
２穴や、欠けていたものなどがふさがる。「空席が—・る」
３ある場所が、物や人でいっぱいになる。「広場は聴衆で—・った」</t>
        </is>
      </c>
      <c r="D770" t="inlineStr">
        <is>
          <t>没する；埋められる；埋もれる；埋没する；沈没する</t>
        </is>
      </c>
      <c r="H770" t="n">
        <v>29</v>
      </c>
      <c r="I770" t="inlineStr">
        <is>
          <t>CGモードが完全に埋まらないのは、このためであるとも言われている。；この道具を使うと、土の中や床の中に埋まっている物を見ることができる。；夜遅い時間のようだったが、それでも座席が埋まるくらいの乗客はいた。；この通りの下に、いや町の下全体にヘルクラネウムが埋まっているのだ。；これを使うと土の中や床の中に埋まっている物を見ることができる。；しまひには字の埋まつた原稿紙が厚くなればなるほど憂鬱になつて來た。；約一〇メートル向こうの泥の中に、異物が埋まっているのが探知された。；整理するために床に並べたら、きっと教室の床中が埋まるに違いない。；ようやく解放されたビーバーが見たのは谷が埋まるほどの巨大なダム。；元の生活に戻ったケリーだったが、心に空いた隙間が埋まることはない。；午後、私ははじめて谷の小屋を下りて、雪の中に埋まった村を一周りした。；この地面の下には想像もできないほど恐ろしいものが埋まっているのでしょう。；宮の前にはさすがに草は生えていないが、落葉で埋まるばかりになってる。；よく考えてみれば、機関部とそれだけで地下の空間が全て埋まるわけがない。；水の上に差し出された両端を支える二本の棚柱は池の中に埋まっていた。；ロビントンは、そのテーブルがぜんぶ埋まったのかどうか覚えていない。；その代わりに自分の意識の全てがそれで埋まり、溢れていくのがわかった。；あんなだらしない恰好で半ば砂に埋まっていたのでは無理もございません。；この点が全て埋まる、すなわちダメが全て詰まった石は相手に取られる。；それが直前になってキャンセルされ、だから日程が埋まらなかったのね。；神秘部に、小さなガラスの球で埋まった棚がたくさんある部屋があるんだ。；これらの街々はカフェで埋まっていて、この時刻にはどれも満員である。；大量の金が今もたっぷり山奥に埋まっていると思い、そこに腰をすえた。；はずみで海底に深い穴ができ、堆積物の中にほど埋まった後急停止した。；呼吸ができるようになるとすぐ、私は埋まった雪の中で脚を動かそうとした。；隙を見せてなお、絶対に埋まらない実力の壁こそが、素人とプロの違い。；或る夕方、私は再びそのヴィラまで枯葉に埋まった山径を上って行った。；多くのピラミッドは保存状態が悪かったり、砂に埋まってしまっている。；開式にはまだ間があるが、すでに大部分の座席は埋まっているようだ。</t>
        </is>
      </c>
      <c r="J770">
        <f>HYPERLINK("https://www.weblio.jp/content/埋まる", "词义详情")</f>
        <v/>
      </c>
      <c r="K770">
        <f>HYPERLINK("https://yourei.jp/埋まる", "查看例句")</f>
        <v/>
      </c>
    </row>
    <row r="771">
      <c r="A771" t="inlineStr">
        <is>
          <t>生まれ</t>
        </is>
      </c>
      <c r="B771" t="inlineStr">
        <is>
          <t>成功</t>
        </is>
      </c>
      <c r="C771" t="inlineStr">
        <is>
          <t>読み方：うまれ
１生まれること。出生(しゅっしょう)。誕生。「昭和の—」
２生まれた所。出生地。「—は東京」
３その人の生まれた家柄。素性。「医者の家の—」
４生まれたときからの性質。天性。
「お常は、亡兄全次郎には似もつかず、心やさしき—なれば」〈逍遥・当世書生気質〉</t>
        </is>
      </c>
      <c r="D771" t="inlineStr">
        <is>
          <t>生まれ育ち；生まれ育つ；生まれた家；生まれかわる；生まれた者</t>
        </is>
      </c>
      <c r="E771" t="inlineStr">
        <is>
          <t>元；門；生；誕生；系統</t>
        </is>
      </c>
      <c r="F771" t="inlineStr">
        <is>
          <t>ドイツ生まれ；イギリス生まれ；フランス生まれ；新しく生まれ；明治生まれ</t>
        </is>
      </c>
      <c r="G771" t="inlineStr">
        <is>
          <t>生まれつき；生まれながら；生まれ故郷；生まれ変わり；生まれつい</t>
        </is>
      </c>
      <c r="H771" t="n">
        <v>29</v>
      </c>
      <c r="I771" t="inlineStr">
        <is>
          <t>この未来仏の概念は過去七仏から発展して生まれたものと考えられている。；この動きから従来の農業とは異なる様々な農業の形態が生まれた。；この期間に生まれた音楽は現代まで継承されているものも多い。；さいとう自身は43歳になるまで和歌山で生まれたことを知らなかった。；これは主に伝説と歴史に対するプラントの関心から生まれたものであった。；生まれた当初は体も小さく、競走馬になれるのかすらも危ぶまれていた。；前年に生まれ18日後に死亡した兄「正八」の名をそのままつけられた。；言語がいつどのように生まれたのか分かっておらず、複数の仮説が存在する。；世界の多くの地域では、神聖な山として山に対する信仰が生まれている。；またテティスから生まれてくる子供の運命についても示唆されている。；しかしこの名称がいつ生まれたか正確な時代は不明である。；光が新たに生まれた国の名付けを読者に委ねるシーンで物語は幕を閉じる。；一般には、人間が生まれてから死ぬまでの時間のことを寿命という。；ザラスシュトラがいつどこで生まれたのか詳細は分かっていない。；これらの神々の最後に生まれてきたのがイザナギ・イザナミの二神である。；しかもそれは、文学・芸術的な用語として生まれたのではなかった。；なぜ学生刑事が生まれてきたのかを理解していない!；江戸時代に入って一家が生まれたが、それを最後に源氏賜与は途絶えた。；グラナドスと妻アンパロとの間には男女3人ずつ6人の子供が生まれた。；こうして天と山と海の神の血を引く存在が生まれたとされる。；こうして、いくつかの古代ゲームが各地で発展して様々な伝統ゲームが生まれていった。；生まれてからしばらく、昼間のうちは親戚の家に預けられて育てられていた。；このほかの地域では大規模な帝国は生まれなかった。；これらの番組を指す一般的な呼称も生まれなかった。；この用法が生まれたのがドイツ文化圏であったのは偶然ではない。；自然発生的に生まれて、それをハードメーカーが放任的に傍観してきた。；厳しい思想統制が行われる中で、考証学と呼ばれる新しい分野が生まれた。；科挙に合格することは非常に困難であり、毎年数百人の落第者が生まれていた。；バビロン捕囚期以降、神が多数の霊に仕えられているとする観念が生まれた。</t>
        </is>
      </c>
      <c r="J771">
        <f>HYPERLINK("https://www.weblio.jp/content/生まれ", "词义详情")</f>
        <v/>
      </c>
      <c r="K771">
        <f>HYPERLINK("https://yourei.jp/生まれ", "查看例句")</f>
        <v/>
      </c>
    </row>
    <row r="772">
      <c r="A772" t="inlineStr">
        <is>
          <t>生まれつき</t>
        </is>
      </c>
      <c r="B772" t="inlineStr">
        <is>
          <t>成功</t>
        </is>
      </c>
      <c r="C772" t="inlineStr">
        <is>
          <t>読み方：うまれつき
１生まれながらにして備わっている能力・性質・容姿など。天性。「足が速いのは—だ」
２（副詞的に用いて）生まれながらにして。生来。「—人がいい」</t>
        </is>
      </c>
      <c r="D772" t="inlineStr">
        <is>
          <t>生まれつき体；生まれつき病弱；生まれつき耳；生まれつき臆病；生まれつき頭</t>
        </is>
      </c>
      <c r="E772" t="inlineStr">
        <is>
          <t>元来；天然；生まれながら；生れつき；根っから</t>
        </is>
      </c>
      <c r="F772" t="inlineStr">
        <is>
          <t>生まれつき好奇心；生まれつき非常；生まれつき鋭敏；生まれつき色素；生まれつき脳</t>
        </is>
      </c>
      <c r="H772" t="n">
        <v>29</v>
      </c>
      <c r="I772" t="inlineStr">
        <is>
          <t>学園都市で能力開発を受ける前から持っていた生まれつきの能力である。；生まれつき穏やかで学問に通じていたが、短慮な一面もあったとされる。；彼女は生まれつき右腕がひじから先がほとんどない状態で生まれている。；成長する過程でそうなるのか、生まれつきそうなるのかはわからない。；この目的を達するためには、生まれつきの違いはまったく関係がない。；生まれつき肌が浅黒く、髪も目も黒かった彼を、人々はそう呼んでいた。；リップは生まれつき酒好きだったので、すぐにまた一杯やりたくなった。；生まれつきのばかでもないんですから、わたしにだって想像はつくんです。；我々赤色人は生まれつき女性に親切な人種だが、男はやっぱり男なのだ。；生まれつき、多くの小児は遠視である事が普通で、特別なことではない。；生まれつき肌が浅黒く、髪も目も黒かった彼を、人々はそう呼んでいる。；彼らはいつも法律を無視するし、生まれつき外国人が嫌いなんです。；ことに痛ましいのは、彼女は生まれつき醜いものでなかったことである。；もともと容貌は、本人にはなんの責任もない生まれつきのものである。；商売で身につけた技術というより、生まれつきのそういう表情らしかった。；専門的な知識は持っていないんだし、生まれつき想像力がないんですからね。；この恐怖は我々の中に刻みこまれていて、生まれつきのものなんだよ。；英雄の中には生まれつきの名前ではなく、後に得られる称号で記録される者も多い。；人間のなかでわたしほど生まれつき虚栄心の少ない者はないと思う。；君を見ていると、 俺自身の生まれつきの本性までもわからなくなってくる。；老人に生まれつきの才能があることは一見して明らかだった。；生まれつきの善人ならきっとそんなこと、関係ないんだと思うけどね。；彼女には生まれつき他の子供にはない特別な力「魔界能力」があった。；さて、二か月後には、ぼくは生まれつきのロック少年のようになっていた。；生まれつきでな、目に見えている相手からの飛び道具なんざ通じねえんだ。；両目は生まれつき潰れており、黒犬は生涯一度も光を感じる事がない。；彼は、生まれつき豪勇で事があったときには情緒に左右されなかった。；私も生まれつきセント・クレアのように呑気だったらいいと思いますわ。；わしは生まれつきいくらか激しやすくて、じれてくるとつい乱暴もする。</t>
        </is>
      </c>
      <c r="J772">
        <f>HYPERLINK("https://www.weblio.jp/content/生まれつき", "词义详情")</f>
        <v/>
      </c>
      <c r="K772">
        <f>HYPERLINK("https://yourei.jp/生まれつき", "查看例句")</f>
        <v/>
      </c>
    </row>
    <row r="773">
      <c r="A773" t="inlineStr">
        <is>
          <t>生まれる</t>
        </is>
      </c>
      <c r="B773" t="inlineStr">
        <is>
          <t>成功</t>
        </is>
      </c>
      <c r="C773" t="inlineStr">
        <is>
          <t>読み方：うまれる
［動ラ下一］［文］うま・る［ラ下二］
１子が母親の胎内から出る。また、卵からかえる。出生する。誕生する。「子猫が四匹—・れる」「商家に—・れる」
２新しく作り出されて、世に出る。物事が新たにできる。「最近—・れたばかりの制度」
３ある状況・感情などが生じる。「次から次へと疑問が—・れる」
４死後、この世に再び現れる。生まれ変わる。仏教思想に基づいていう語。
「あるいは聖徳太子の—・れ給へると申し」〈大鏡・道長上〉</t>
        </is>
      </c>
      <c r="D773" t="inlineStr">
        <is>
          <t>生まれる可能性；生まれる半世紀も前</t>
        </is>
      </c>
      <c r="E773" t="inlineStr">
        <is>
          <t>発生；誕生；起こる；発生する；現れる</t>
        </is>
      </c>
      <c r="H773" t="n">
        <v>29</v>
      </c>
      <c r="I773" t="inlineStr">
        <is>
          <t>成績優秀であるからといっても必ず良い産駒が生まれるとは限らない。；これにより高い人気を得、同誌から多くの作家が生まれることになった。；たとえば、次の世に犬に生まれる者の中有はすでに犬の形をしている。；長男と次男は財津が生まれる前に他界していたため、3人兄弟で育った。；こういったことから数多くの熱狂的ファンが生まれることになった。；国家国民のためにならない政治家が生まれるのは問題だ。；最初の子どもが生まれるのは結婚して3年というのが平均的だった。；他には、2000年代に入り奇形魚が生まれるようになってきている。；人間はその進化の7つの時期に応じて、それぞれ異なる惑星に生まれるという。；そして新たに生まれる世界では創造の神として生まれ変わるとされている。；より発生の進んだ形で孵化するものや、成体に近い姿で生まれるものもある。；医師である父親がインターン勤務で山梨県にいた関係で山梨市に生まれる。；挟んだ敵の数に応じて生まれるヨッシーの大きさが異なった。；おしんはこれから生まれる子のために1年奉公に出ることを承知する。；そうすると卵が生まれるのでその卵を割ると、複製されたものが出てくる。；この時に初めて27時で番組を分割する2部制の概念が生まれる。；一発勝負の第3代表決定戦でゴールデンゴールが生まれる可能性があった。；以上は、近代キャンプが生まれる前に行われていた野外生活である。；生命は非生命からどのようにして生まれるか?；アフリカのある村で、一人の赤ん坊キリクが自分の意志で生まれる。；インド警察に勤務していたスコットランド系の父のもとにミャンマーで生まれる。；恒星は、周囲より僅かに物質の密度が高い領域である分子雲から生まれる。；生まれるとすぐに、他の神々からの嫉妬を恐れた母に捨てられた。；俳優で歌手の中村雅俊と女優の五十嵐淳子の間に長男として生まれる。；ここから日本では、女形という女性役を専門に演じる俳優が生まれる。；父の李当戸は彼が生まれる数か月前に早世し、李陵は李当戸の遺腹の子である。；この2つのシステムは結合し、こうして政府と階級が生まれる。；すなわち割引因子が十分に高い場合に協調が生まれる可能性がある。；六朝時代にはこの傾向は更に進み、清官と濁官と言うものが生まれる。</t>
        </is>
      </c>
      <c r="J773">
        <f>HYPERLINK("https://www.weblio.jp/content/生まれる", "词义详情")</f>
        <v/>
      </c>
      <c r="K773">
        <f>HYPERLINK("https://yourei.jp/生まれる", "查看例句")</f>
        <v/>
      </c>
    </row>
    <row r="774">
      <c r="A774" t="inlineStr">
        <is>
          <t>海</t>
        </is>
      </c>
      <c r="B774" t="inlineStr">
        <is>
          <t>成功</t>
        </is>
      </c>
      <c r="C774" t="inlineStr">
        <is>
          <t>読み方：うみ
１地球上の陸地でない部分で、全体が一続きになって塩水をたたえている所。地球表面積の4分の3を占め、約3億6000万平方キロメートル。海洋。「川が—に注ぐ」「—に浮かぶ船」⇔陸(りく)。
２陸地の中で、広くくぼんで水をたたえている場所。大きな湖沼。みずうみ。「余呉の—」
３ある事物が大量に集まっている所。一面に広がっていること。「血の—」「あたり一面火の—となる」
４硯(すずり)の、水をためておく所。⇔陸(おか)。
[補説]作品名別項。→海</t>
        </is>
      </c>
      <c r="D774" t="inlineStr">
        <is>
          <t>海面上；海棲；海没；海進；海霧</t>
        </is>
      </c>
      <c r="E774" t="inlineStr">
        <is>
          <t>大洋；外洋；大海；海原；遠洋</t>
        </is>
      </c>
      <c r="F774" t="inlineStr">
        <is>
          <t>浅い海；暗い海；多島海；深い海；広い海</t>
        </is>
      </c>
      <c r="G774" t="inlineStr">
        <is>
          <t>海外；海軍；海上；海賊；海底</t>
        </is>
      </c>
      <c r="H774" t="n">
        <v>29</v>
      </c>
      <c r="I774" t="inlineStr">
        <is>
          <t>海からは離れているため名港線の駅のような防潮扉は設置されていない。；北極付近の湖や海に、大量の液体が存在していることが明らかになった。；海で数年かけて大きくなり、また産まれた川に戻り産卵した後死亡する。；日本では東京湾に明治と大正に建設された複数の海堡が存在している。；県の北側から東側にかけては海に面しており、多くの港が設置されている。；降海型は残留型よりもはるかに体が大きく、雄は産卵の際に有利である。；このために、マカオの人々は伝統的に海に目を向けて生計を立ててきた。；塩釜の風景を模すための塩は、難波の海の北の塩を運んだと伝えられる。；九州某県を舞台にした戦いはやがて海を越えて世界にまで飛び火する。；海上での伝承が多いが、海のない地方でも河、湖、沼に現れたともいう。；「川」は、山や海よりも前に若瀬川あたりからあまり使われなくなった。；最後は下関駅の先で海の下に潜って、再び地上に出るとそこは九州である。；一周を海に囲まれているが、海岸線は崖や磯になっている部分が多い。；海に囲まれているため魚介類も豊富で、魚やエビなどを使った料理も多い。；この他、明治以降の埋め立ての進行で市域は海に向かって拡大している。；春から夏にかけて海霧が発生しやすく、秋から冬にかけては晴天が続く。；水を主成分とする海は地球誕生後まもなく形成され、現在まで継続している。；日本は周りを海に囲まれていることもあり、世界有数の魚大国である。；北に進み階段を下れば、海が広がる砲台跡の長崎ノ鼻の先端に到着する。；倒れた木は海に落ち、その破片は人々に幸せをもたらすものとなった。；カッシーニが到着する前は、これが炭化水素の海であると考えられていた。；湖沼は、周囲を陸に囲まれ海と直接連絡していない静止した水の塊である。；これは海の彼方から運ばれてきたのでウルトラマリンと呼ばれ珍重された。；これらの数字は、カスピ海など外洋と接続していない海は含まれない。；というのも、もともと海であったところを埋め立てて造られた駅である。；最近では管理池や海でフライフィッシングを楽しむムーブメントもある。；従って一旦海に流されれば、生存できる可能性はほとんどないといえる。；日本語では「海」の一字が含まれるが、必ずしも海に限ったものではない。；多くの個体は銀化を経て海に下るが、中には銀化せずに川に留まる個体もいる。</t>
        </is>
      </c>
      <c r="J774">
        <f>HYPERLINK("https://www.weblio.jp/content/海", "词义详情")</f>
        <v/>
      </c>
      <c r="K774">
        <f>HYPERLINK("https://yourei.jp/海", "查看例句")</f>
        <v/>
      </c>
    </row>
    <row r="775">
      <c r="A775" t="inlineStr">
        <is>
          <t>生み出す</t>
        </is>
      </c>
      <c r="B775" t="inlineStr">
        <is>
          <t>成功</t>
        </is>
      </c>
      <c r="C775" t="inlineStr">
        <is>
          <t>読み方：うみだす
［動サ五（四）］
１子や卵を母胎から外に出す。産む。「母馬が子を—・そうとして息む」
２新しいもの、今までなかったものを作り出す。また、新しいことを考え出す。「新商品を—・す」「余暇を—・す」「奇抜なアイデアを—・す」
３もうけを作り出す。「商売も軌道にのって利益を—・す」
４産みはじめる。「雌鶏(めんどり)が成長して卵を—・した」</t>
        </is>
      </c>
      <c r="D775" t="inlineStr">
        <is>
          <t>生み出す可能性；生み出すべく</t>
        </is>
      </c>
      <c r="E775" t="inlineStr">
        <is>
          <t>建設；設立；制作；出す；製作</t>
        </is>
      </c>
      <c r="H775" t="n">
        <v>29</v>
      </c>
      <c r="I775" t="inlineStr">
        <is>
          <t>他にも彼女の周囲にはその能力で生み出された怪物が姿を見せることがある。；神を生み出す神話は王が神の息子であり継承者であると主張している。；この緊張関係は、逆説的に新たな文化を生み出すきっかけとなっている。；自由な個々人の経済的活動が国家や民衆に最大の利益を生み出すとする。；完全なる一者から段階を経て世界が流出して生み出されたとする思想。；演奏時間が極端に長い長編作品が数多く生み出されたのもこのころである。；「健康な生物」がそれを生み出したから尿が健康だと言われるのである。；その中で今も語り継がれる名勝負や名シーンも数多く生み出されている。；上記の表現のうち、いくつかは笠雄二郎が生み出した独特の表現である。；曲を生み出すために、苦しみながらも暗い森で走ることがあるという。；住宅に隣接してエネルギーを生み出していると思われる施設がある。；第二次世界大戦以降、戦闘機を中心に数多くの航空機を生み出してきた。；一方、黒い蛇の正体は、白い蛇を排除するべく生み出された蛇のコピー。；これがのちの相対性理論を生み出すきっかけになったといわれている。；様々な地方で生産されていたことが多様なデザインを生み出すことにつながった。；外国人労働者を生み出す要因には近隣国との経済格差などがあげられる。；結果予期とは、ある行動がある結果を生み出すという推測のことである。；大戦時には1000人以上が生み出されたが、そのほとんどが戦死した。；その力はワインを生み出すだけでなく、望むときに食物をも生み出した。；ラインホルド・ニーバーは、人間の不安が悪を生み出すと説明している。；最初は穏やかだが、新しい戦いと人を脅かす危険を生み出す世界である。；その翻訳は、成功を生み出す忠実さや正確さを備えていたからである。；多くの彫刻家は、芸術を生み出す新たな手法および素材を模索している。；さらに、このブレイクを曲中に次々と変化させていく技術を生み出した。；同時に劇作にも関心を持ち、のちに独自の芸術を生み出す原動力となる。；こうして都市では労働者という新しい社会階層を生み出すことになった。；すなわち、技術を使って何かを生み出す組織のための経営学である。；彼女は何かを生み出そうとするエネルギーをたくさん持っている。；このため男性の裸体像よりも女性の裸体像が多い状況が生み出された。</t>
        </is>
      </c>
      <c r="J775">
        <f>HYPERLINK("https://www.weblio.jp/content/生み出す", "词义详情")</f>
        <v/>
      </c>
      <c r="K775">
        <f>HYPERLINK("https://yourei.jp/生み出す", "查看例句")</f>
        <v/>
      </c>
    </row>
    <row r="776">
      <c r="A776" t="inlineStr">
        <is>
          <t>産む</t>
        </is>
      </c>
      <c r="B776" t="inlineStr">
        <is>
          <t>成功</t>
        </is>
      </c>
      <c r="C776" t="inlineStr">
        <is>
          <t>読み方：うむ
［動マ五（四）］
１胎児や卵を母体から外に出す。出産する。分娩する。「卵を—・む」
２物事を新たに生じる。新しく作り出す。「利が利を—・む」「名作を—・む」
３ある事態・判断を生じさせる。「疑惑を—・む」「いろいろなうわさを—・む」
[補説]出産に関する「産む」以外は、広く「生む」が用いられる。
[可能]うめる</t>
        </is>
      </c>
      <c r="D776" t="inlineStr">
        <is>
          <t>産むべき；産む可能性；産む鵞鳥を絞め殺す；産む産まない</t>
        </is>
      </c>
      <c r="E776" t="inlineStr">
        <is>
          <t>建設；設立；制作；製作；作る</t>
        </is>
      </c>
      <c r="F776" t="inlineStr">
        <is>
          <t>案ずるより産む；個産む；卵産む</t>
        </is>
      </c>
      <c r="H776" t="n">
        <v>29</v>
      </c>
      <c r="I776" t="inlineStr">
        <is>
          <t>「どんな女でも良いから夫の子を産んで欲しい」旨の言葉も残している。；なお、自由人である主人が奴隷女に産ませた子供は法律上奴隷であった。；自分が産めなかった、だから他人に自分の子供を産ませようとしたのだ。；しかし結婚はしたくないので、子供を産むだけの女性を雇うことにする。；でも、ちゃんとこの子供を産もうとはっきり思ったのは、この時だった。；それでも産む決心をするが、信じられないほどの困難が待ち受けていた。；前述の理由から子供を産むことができなかったため、大の子供好きである。；地の一族の子供を産む事は、女性の身体に非常に大きな負担をかける。；その情況で後先も考えず子供を産もうとする神経がそもそも分からない。；子供を産ませまいとする悪の鬼神がタケルに取り憑いたのかもしれない。；メルキオルは行末どうなるか気にもかけずに、毎年妻に子供を産ました。；何故なら、その混合は、運動の感覚に少しも変更を産まないからである。；これは母マリーがイレーヌを産むときに診断されたのと同じ病気だった。；近い将来、彼女は喜んで法子の子の兄弟を産もうと言うに違いなかった。；彼女は闇たる自分自身から光を分離し息子たる神ルシファーを産んだ。；例えば骨盤の傷跡により女性が産んだ子供の数を推測することができた。；大きな木の根と根の間に植物で巣を作り、青または紫色をした卵を産む。；だが、真王の命を受けて育てられている王獣は、なぜか、子を産まない。；これに加うるに、夫のない婦人が全部子供を産まないとは思われない。；このころ、現地の女性に子供を産ませるも、手切れ金を渡して解決する。；王妃が子どもを産まないなら他に王子を産んでくれる女の人が必要だろう?；ウマノスズクサ科の植物を食べるが、雌は食草に一個しか卵を産まない。；解剖結果から1回に1個の卵を年に数回に分けて産むと考えられている。；木に巣を作る鳥の多くは青や緑がかった、しばしば斑点のある卵を産む。；夫を持って子を産まないのは自分の個人的権威を失うことにすぎない。；しかし健は「俺の子供に賭けてみるから産んでくれ」とは言わなかった。；父親が産ませるつもりだった、ふたりめの息子でないことは確かだ。；このときはじめて大君が自分の子を産んだことや出家したことを知る。；また地面に近い藪の中に巣を作る鳥は、斑点のある卵を産むことが多い。</t>
        </is>
      </c>
      <c r="J776">
        <f>HYPERLINK("https://www.weblio.jp/content/産む", "词义详情")</f>
        <v/>
      </c>
      <c r="K776">
        <f>HYPERLINK("https://yourei.jp/産む", "查看例句")</f>
        <v/>
      </c>
    </row>
    <row r="777">
      <c r="A777" t="inlineStr">
        <is>
          <t>生む</t>
        </is>
      </c>
      <c r="B777" t="inlineStr">
        <is>
          <t>成功</t>
        </is>
      </c>
      <c r="C777" t="inlineStr">
        <is>
          <t>読み方：うむ
［動マ五（四）］
１胎児や卵を母体から外に出す。出産する。分娩する。「卵を—・む」
２物事を新たに生じる。新しく作り出す。「利が利を—・む」「名作を—・む」
３ある事態・判断を生じさせる。「疑惑を—・む」「いろいろなうわさを—・む」
[補説]出産に関する「産む」以外は、広く「生む」が用いられる。
[可能]うめる</t>
        </is>
      </c>
      <c r="D777" t="inlineStr">
        <is>
          <t>生む可能性；生むべき；生む力；生む条件</t>
        </is>
      </c>
      <c r="E777" t="inlineStr">
        <is>
          <t>建設；設立；制作；製作；与える</t>
        </is>
      </c>
      <c r="F777" t="inlineStr">
        <is>
          <t>生むかもしれ</t>
        </is>
      </c>
      <c r="H777" t="n">
        <v>29</v>
      </c>
      <c r="I777" t="inlineStr">
        <is>
          <t>このことはその後のエクアドルとの関係に強い緊張を生むことになった。；嘘をつく人の言うことが信用できるかどうかは、ややこしい問題を生む。；この配置は翌朝戦闘が再開された時に重大な結果を生むことになった。；弟の教通も対抗して娘・生子を入内させるが皇子を生むことはなかった。；水からエネルギーを生む新しい技術は革命を起こしうるものだった。；次第に集団であることが知られ始め、様々な軋轢を生むこととなった。；その後、このトンネルはこの地域の都市伝説を色々と生むようになった。；またこの論争に女性学の学者も参加して、他に類書を生むこととなった。；このような植物は金を生む樹として「金生樹」と呼ばれるほどであった。；パリに戻ったジュリアは夫の意志に反し、堕胎せずに生むことを決める。；また実際の武器が誤解や歴史的偶然によって伝説を生む場合がある。；政府による禁止は常に計算されたよりも多くの被害を生むものだ。；またストローの太さは液体を汲み上げるために必要な吸引力の差を生む。；またイスラームを軽んじたために、多くの反発を生むことにもなった。；天使は彼女を非難し、神の意志により息子を生む事が出来ると告げた。；当初は文章中心の成人向け雑誌に発表され、すぐに専門の雑誌を生むに至る。；このドミノ効果で郡南部の住人は別の都市を生むための住民投票に動いた。；これらは、まるで身体の内側から湧き上がるような自覚的な渇望を生む。；同じ変換結果を生む複数の規則は次のように簡略に連続記述できる。；党の度重なる方針転換は少なくない離脱者を党内で生む事となった。；これが間もなく州南部では最も利益を生む産業になった。；不安の輪の残酷な回転が結果的に火の鋭さ、そして輝かしい生命を生む。；闇を見通す猫の能力にならい、この特性は本兵器の名前を生むこととなった。；価格は割高となり、技術的・経済的な停滞を生む可能性が指摘されている。；創発主義は処理系の複雑さが新たな物理的現象を生むことを提唱している。；これは、一定の場合に限って公信力を認めたのと同様の効果を生むこととなる。；すると神がそれに応えたので、女たちは子供を生むようになった。；また経済の発展による庶民の台頭は、学問の担い手を生むこととなった。；アンナは子供を生むが、その子は洗礼を受けるまもなく死んでしまう。</t>
        </is>
      </c>
      <c r="J777">
        <f>HYPERLINK("https://www.weblio.jp/content/生む", "词义详情")</f>
        <v/>
      </c>
      <c r="K777">
        <f>HYPERLINK("https://yourei.jp/生む", "查看例句")</f>
        <v/>
      </c>
    </row>
    <row r="778">
      <c r="A778" t="inlineStr">
        <is>
          <t>有無</t>
        </is>
      </c>
      <c r="B778" t="inlineStr">
        <is>
          <t>成功</t>
        </is>
      </c>
      <c r="C778" t="inlineStr">
        <is>
          <t>読み方：うむ
１あることとないこと。あるなし。「在庫の—を問い合わせる」
２承諾することと断ること。承知と不承知。「事ここに立ち至ればもはや—はあるまい」
３仏語。存在するものと存在しないもの。また、存在することと存在しないこと。</t>
        </is>
      </c>
      <c r="D778" t="inlineStr">
        <is>
          <t>有無をいわ(2%)；有無等；有無以外；有無を調べる検査</t>
        </is>
      </c>
      <c r="E778" t="inlineStr">
        <is>
          <t>いるかいないか；有る無し</t>
        </is>
      </c>
      <c r="H778" t="n">
        <v>29</v>
      </c>
      <c r="I778" t="inlineStr">
        <is>
          <t>古くから心臓の鼓動を生命活動の有無の判断に用いたのは当然と言える。；以下のコーナーが実施されるか否かは投稿の有無および源石次第である。；当然ながら標的の生命反応の有無を確認するセンサーも搭載されている。；しかし、男女合わせたら治療の有無と生存との関連がなくなってしまう。；これは視覚障害の有無に関係なく利用できるおもちゃであることを示す。；古典的な呼吸不全の分類では外呼吸のうち換気障害の有無を重要視する。；義足の場合では一般に、膝関節の有無で活動レベルに大きな違いが出る。；さらに各方法には変爻の有無や位置を選ぶ操作があり状況変化を表現する。；なお2023年以降の当イベントの開催の有無なども明らかになっていない。；日本の店舗では、サイズの大小やチップの有無に関係なく歌が歌われる。；各分掌組織の名称・役割・設置の有無は学校により異なることがある。；可罰的違法性の有無は個別具体的な事案ごとの判断とならざるを得ない。；このプログラムでは、再使用の有無よりも、治療継続性が重視されている。；当駅を通過する列車は追い抜きの有無にかかわらず通過線を経由する。；パラレル問題の場合、声の調子で分岐の有無を見分ける方法が存在する。；加入者の電話加入権所有の有無に関わらず同一料金で貸し出されている。；かつては営業能力の有無が社員の出世の分け目となることもあった。；そのため路線名の有無に関わらず2号線などの番号で呼ばれることが多い。；鉄道の場合、列車の種類ないしは予定の有無により発行される場合がある。；これにより利用者の食事の有無にかかわらず負担額が同一となった。；表面の防錆油塗布の有無や管端形状についても、必要に応じて指定可能。；憲法訴訟でも、以上のような事実の有無の審理がされることは変わりがない。；第二次大戦時の本艦との相違は3番主砲塔の有無と水上機施設であった。；英語などと同様に、発声の有無は音素的に対立するが、帯気はそうではない。；地形防御力は、仕掛けられた土地のエリアの独占度や店の有無で変動する。；アッガイをベースに再設計された機体であるが、ステルス機能の有無は不明。；従ってその武道の実力は勿論、経験の有無は全く允許基準に考慮されない。；さらに匿った僧侶も有無を言わせずに処刑したと言われている。；そこで全国の戸を土地所有の有無によって主戸と客戸に区分して有産の客戸を主戸に編入した。</t>
        </is>
      </c>
      <c r="J778">
        <f>HYPERLINK("https://www.weblio.jp/content/有無", "词义详情")</f>
        <v/>
      </c>
      <c r="K778">
        <f>HYPERLINK("https://yourei.jp/有無", "查看例句")</f>
        <v/>
      </c>
    </row>
    <row r="779">
      <c r="A779" t="inlineStr">
        <is>
          <t>梅</t>
        </is>
      </c>
      <c r="B779" t="inlineStr">
        <is>
          <t>成功</t>
        </is>
      </c>
      <c r="C779" t="inlineStr">
        <is>
          <t>読み方：うめ
《「梅」の字音「メ」から変化したものという。平安時代以降「むめ」と表記されることが多い》
１バラ科の落葉高木。葉は卵形で縁に細かいぎざぎざがある。早春、葉より先に、白・淡紅・紅色などの香りの強い花を開く。実は球形で、6月ごろ黄熟し、酸味がある。未熟なものは漢方で烏梅(うばい)といい薬用に、また梅干し・梅酒などに用いる。中国の原産で、古くから庭木などにし、品種は300以上もあり、野梅(やばい)系・紅梅系・豊後(ぶんご)系などに分けられる。松や竹とともにめでたい植物とされ、花兄(かけい)・風待ち草・風見草・好文木(こうぶんぼく)・春告げ草・匂い草などの別名がある。《季春》「二もとの—に遅速を愛すかな／蕪村」
２梅の実。実梅。《季夏》
３襲(かさね)の色目の名。表は白、裏は蘇芳(すおう)。うらうめ。
４紋所の名。梅の花・裏梅・向こう梅など。</t>
        </is>
      </c>
      <c r="D779" t="inlineStr">
        <is>
          <t>梅幸(2%)；梅玉；梅ガ；梅八；梅王丸</t>
        </is>
      </c>
      <c r="E779" t="inlineStr">
        <is>
          <t>李；プラム</t>
        </is>
      </c>
      <c r="F779" t="inlineStr">
        <is>
          <t>楊梅；愛梅；老梅；臥龍梅；梅壺</t>
        </is>
      </c>
      <c r="G779" t="inlineStr">
        <is>
          <t>梅田；梅津；梅毒；梅子；梅川</t>
        </is>
      </c>
      <c r="H779" t="n">
        <v>29</v>
      </c>
      <c r="I779" t="inlineStr">
        <is>
          <t>そして、戦前は2万本といわれた梅の木は戦後は半分以下まで減少した。；中には様々な梅などがあり、花の時期になると人々のにぎわいを見せる。；近梅祭の由来は近畿大学の近と、学園花である梅を合わせたものである。；男性でも応募可能であるが、現在まで梅大使に男性がなったことはない。；五十を過ぎた立派な人がきちんとした衣冠姿で手に梅の一枝を持って言った。；健康情報については、梅とは関連のない話題についても取り上げていた。；それらの地域では桜だけでなく梅や花桃の花も同時に咲くことが多い。；なお、日本画で写生のために梅の枝とメジロを描くのとは意味が異なる。；梅の実に付いている茎は竹串などで取り除き、傷のある実があれば除く。；今日の見方では、許梅の言葉は神でなければわからないような事ではない。；よく引き合いに出されて比較されるのは、梅派と程派の違いである。；梅の形をした最中の皮の中身には、よく練った小倉餡が詰められている。；境内には約100本の梅の木が植えられており、梅の名所となっている。；近所の奥さんに頼まれてかっぽれを教えたのが梅后流かっぽれの始まり。；坂を登りきった場所の北側にある梅旧院には松尾芭蕉の供養塔がある。；市が3年前に訪れた村は、川のせせらぎ梅の香りに包まれた平和な村だった。；高山ダムが完成すると約3800本の梅がダムの底に水没することになる。；出梅は暦には載らなかったが、「小暑後の最初の壬の日」とされていた。；その先の山林には梅の名所で知られる田浦梅林があり、春頃には賑わう。；日本酒を主力としているが、乙類焼酎や梅みつワインも製造している。；太宰府天満宮に植えられた梅のなかではいちばん先に咲き始めるとされる。；最盛期の江戸時代には約10万本の梅の木が成育していたとされる。；その中でも、松・竹・梅の三者が前記理由で特に頻繁に取り上げられていくのである。；梅玉と合わせて、ここに福助の後に襲名する名は完全に分離される形となった。；万葉集においては梅の歌118首に対し桜の歌は44首に過ぎなかった。；この際、梅屋敷にあったとされる梅の古木も一緒に移植されたと言う。；桜のほか階段上の境内には梅の木などが植えられ、季節ごとの花を咲かせている。；江戸時代には歌川広重が蒲田の梅を描いており、蒲田梅屋敷と呼ばれた。；尚絅学院大学女子短期大学部のカレッジマークは梅をイメージしている。</t>
        </is>
      </c>
      <c r="J779">
        <f>HYPERLINK("https://www.weblio.jp/content/梅", "词义详情")</f>
        <v/>
      </c>
      <c r="K779">
        <f>HYPERLINK("https://yourei.jp/梅", "查看例句")</f>
        <v/>
      </c>
    </row>
    <row r="780">
      <c r="A780" t="inlineStr">
        <is>
          <t>埋め込む</t>
        </is>
      </c>
      <c r="B780" t="inlineStr">
        <is>
          <t>成功</t>
        </is>
      </c>
      <c r="C780" t="inlineStr">
        <is>
          <t>読み方：うめこむ
［動マ五（四）］物の全部または一部を、中に入れ込む。「石材を土中に—・む」</t>
        </is>
      </c>
      <c r="D780" t="inlineStr">
        <is>
          <t>組み込む；植える；植え付け；植えつけ；組み入れる</t>
        </is>
      </c>
      <c r="H780" t="n">
        <v>29</v>
      </c>
      <c r="I780" t="inlineStr">
        <is>
          <t>体壁の組織中に砂粒などを埋め込む種が多いことからこの名でよばれる。；葉は一枚も動かず、ふと自分が道路に埋め込まれてしまったように感じる。；下記はパイプライン内にどのように埋め込まれているのかを示す例である。；埋め込み対象となる 要素の実体となる画像はサイズ・種類等を問わない。；また携わる業務に必要な知識はあらかじめ埋め込まれているようである。；いずれの場合も、埋め込み長さ、出の長さを間違えないように注意する。；本当にあったことなのか、単に私の細胞に埋め込まれた人工記憶なのか。；俺の神経そのものが四メートルの巨体に、びっしりと埋め込まれていた。；ほかにも、半埋め込み式の中距離ミサイルの装備などの特徴が見られる。；それらでは多くの感覚器は体表に細かく埋め込まれたようになっている。；その後裸にしたふたりの遺体を、賃貸住宅の基礎へ埋め込んだとしている。；これによる の埋め込み像を の任意の射影変換で写した像を鎖と呼ぶ。；輝鉄を埋め込んでいる箇所によっても効果が異なり次のように分類される。；このことは特に考えている曲線が埋め込まれていることを意味する。；また、他のシステムや製品で自由にソフトウェアを埋め込むことを許可する。；当時一定の需要があった分割形式や暗号・埋め込み形式の各種にも対応していた。；天井に埋め込んで設置するため天井面がフラットになるという特徴がある。；URLにセッションIDや時刻を埋め込むことで実現されることが多い。；金塊はあちこちに埋め込まれていたが砂の中から探し出すのは困難であった。；今日、オットーが事故死したとされる場所には馬蹄が埋め込まれている。；一階の壁に爆弾が埋め込まれている可能性は考えなくて良さそうだ。；そのとき、埋め込み方法の時刻 での相対誤差 は次の公式で与えられる。；埋め込まれたケースを扱うために理論は発達してきている。；これは金の鞘の下に十字架が描かれた釘が埋め込まれている事とも一致する。；よく見ると、絵には人物の歯に埋め込まれた文字列が明らかになる。；特徴的な4本の列柱状の柱と2本の壁に埋め込まれた半柱で支えられている。；インプラントが埋め込まれており自らの意志で死を選択できるようになっている。；テーブルやデスクと一体になった水槽や、壁に埋め込む水槽などもある。；セ・ネドラはドアをくぐって床に埋め込まれた湯気の立つ浴槽を眺めた。</t>
        </is>
      </c>
      <c r="J780">
        <f>HYPERLINK("https://www.weblio.jp/content/埋め込む", "词义详情")</f>
        <v/>
      </c>
      <c r="K780">
        <f>HYPERLINK("https://yourei.jp/埋め込む", "查看例句")</f>
        <v/>
      </c>
    </row>
    <row r="781">
      <c r="A781" t="inlineStr">
        <is>
          <t>埋め立てる</t>
        </is>
      </c>
      <c r="B781" t="inlineStr">
        <is>
          <t>成功</t>
        </is>
      </c>
      <c r="C781" t="inlineStr">
        <is>
          <t>読み方：うめたてる
［動タ下一］［文］うめた・つ［タ下二］川や海などに土砂を入れて埋め、陸地にする。「沼を—・てて宅地にする」</t>
        </is>
      </c>
      <c r="D781" t="inlineStr">
        <is>
          <t>造る；手を加える</t>
        </is>
      </c>
      <c r="H781" t="n">
        <v>29</v>
      </c>
      <c r="I781" t="inlineStr">
        <is>
          <t>その代わり、城への砲撃を続けながら城の堀を埋め立てる作戦に出た。；このあたりを埋め立てるとき、碁盤の目のように埋め残された海面だった。；さらに生分解性であり、使用後にそのまま埋め立てることもできる。；次に再度埋葬を行なって今度は完全に埋め立てる。；この西堤防西側の海を埋め立てる工事はかねてより計画されていたが、それが完了したのは戦後の1951年のことである。；富津岬を中心に7000haを一手に埋め立てる壮大な計画を発表。；ビーチプロジェクトでは約 のルロイ湾とペラム湾を、 の砂で埋め立てることとされた。；そのため夏季にはやぶ蚊が大量発生するなど環境悪化の原因になるため、明治末以来この大堀を埋め立てる計画がいくつか立てられた。；そして埋め立てる前に、明らかに通常の地質調査とは異なる秘密の調査を行なっていたとされていて、当時、ここの封鎖に関わっていた自衛隊員たちがそれを何人も証言している。；山を削りだして海を埋め立てるように、逆位相の波をぶつけてあげれば消えてしまいます。；男にふられて生じた自由をべつの男で埋め立てる。；横浜市に残る最後の自然海岸を埋め立てることから、その代替となる海浜公園も建設する。；地籍調査が進んでいない地域の場合、土地の境界がはっきりしないため、周辺の地権者が埋め立てるなど転用している事例が多い。；あるいは二人の少年の失踪は、あすの朝までに評判となって、あの古井戸も埋め立てる前に捜索されるかも知れない。；もともとイタリア系住民が住んでいた島の部分とスラヴ系住民の住む対岸の集落の間にある海峡を埋め立てることによって、両者の一体化はさらに進んだ。；それで強力なものであり、実現には非常な困難を伴うが、しかしその困難さは、富士山を掘り崩して、駿河湾を埋め立てる困難さと同じ性質のものである。；その後、有機水銀を含んだヘドロを浚渫し埋め立てるなどの再生事業により浄化され、現在では魚介類を食しても安全上問題ないほどに環境が回復している。；江戸時代から江戸・東京のごみを埋め立てる最終処分場としての役割を、1655年から一貫して抱えていたのが現在の江東区であった。；海面を埋め立てる形で国道378号が開通するまでは、ホームの下にすぐ波が打ち寄せるほど線路と海岸が近接した「日本一海に近い駅」だった。；その他、建立に際して池を埋め立てるために走谷の加茂健豆美命神社の裏手から土取りをした時に出土したと伝わる石棺が境内に置かれている。；さらに、廃駅にする場合、地下空間を空洞にしたまま放置することは危険であるが、建造物を破壊してから埋め立てることは困難を極めることも問題になっている。；大正末期から昭和前期にかけて千波湖の東側を埋め立てる工事が行われ、現在の千波湖の姿となる。；「私、欲しい本があるのよ」 とりあえず二人の間の気まずさを埋め立てるものを見出して、寛子がホッとしたような声を出した。；沙田ニュータウンは、海を埋め立てるかたちで形成されており、両側から埋立が行われた結果、現在では湾の中央部にあった比較的深い部分が、城門川の延長として残っている。；その誤差を量で埋め立てるように弾幕を厚くした。；未開の土地が良く売れ、湿地を埋め立てるための排水がチェックされないことも多く、政府がそれを奨励することも多かった。；その後、市の中心となる大規模都市公園の必要性や市の施設用地の確保などのため、昭和46年度より清洞寺岩から出山を結ぶ中海を埋め立てることとなった。；その後の数十年間でこの集落は拡大され、数百年間にわたって、多くの岩や石灰岩を用いたsascabと呼ばれる一種の建材によって島の周囲を埋め立てることによって島の規模を拡大し、700年以上漁労や交易をおこなうひとつの中心的な基地のように使われてきた。；同年発表された新空港案は石垣島東部の白保集落沖合いのサンゴ礁を埋め立てるもので地元や自然保護団体から強い反対を受け、1989年に撤回された。</t>
        </is>
      </c>
      <c r="J781">
        <f>HYPERLINK("https://www.weblio.jp/content/埋め立てる", "词义详情")</f>
        <v/>
      </c>
      <c r="K781">
        <f>HYPERLINK("https://yourei.jp/埋め立てる", "查看例句")</f>
        <v/>
      </c>
    </row>
    <row r="782">
      <c r="A782" t="inlineStr">
        <is>
          <t>梅干</t>
        </is>
      </c>
      <c r="B782" t="inlineStr">
        <is>
          <t>成功</t>
        </is>
      </c>
      <c r="C782" t="inlineStr">
        <is>
          <t>読み方：うめぼし
１青梅を塩漬けにし、赤ジソの葉を加えて色づけし、日に干してから漬け液に戻した保存食品。酸味が強く、古くから食品の防腐用などに重用。うめぼしづけ。
２土用の日、塩漬けした青梅を日に干すこと。《季夏》「—にすでに日蔭や一むしろ／碧梧桐」</t>
        </is>
      </c>
      <c r="D782" t="inlineStr">
        <is>
          <t>梅干一つ；梅干婆さん；梅干大；梅干仁丹；梅干入り</t>
        </is>
      </c>
      <c r="F782" t="inlineStr">
        <is>
          <t>梅干婆</t>
        </is>
      </c>
      <c r="H782" t="n">
        <v>29</v>
      </c>
      <c r="I782" t="inlineStr">
        <is>
          <t>私の所ではやっと梅干を少し作ったが、それ以外に余裕はないという。；それから、床下から出た瓶は新らしくて梅干の匂ひがすると言つたらう。；幾つかのむすびが中の梅干を花模様にして一枚のせんべいになっているのだ。；五つ子の母親の悪阻でも、これだけの梅干をたべることはまずあるまい。；彼女はほんの足休めに寄ったものと見えて、梅干で茶を飲んでいた。；茶と梅干を運んできて、なぜか目を避けようとする禿に尾崎はきいた。；女中は竹の皮包の握飯に、梅干かなにかを添えて持って来たものです。；ある時やるものが無くて梅干をやったら、斯様なものと顔をしかめる。；大きなツブの揃った何十年も経たかと思われる梅干がまだ六ツ残っていた。；けれどもその時は梅干のことなどは忘れたように話さなかった。；煙草一本、梅干一個で、情報を売ってくれていたのであります。；天草式十字凄教の歴史と技術の粋を集めた梅干は、市販品とは出来が違う。；二人で縁端に坐っていると、女中が蒲団を持って来たり、朝茶や梅干を運んだりした。；そして三原堂で買った梅干あめを懐中にしてお宮の家の店先から窺いた。；おかずとしては梅干一つを弁当の中央に入れたものがよく見られた。；大きなのは頭にかぶり、小さなのはけばをおとして梅干を包んでもらふ。；もうあんなことはしていないのよ、店はしまって、ちょいと梅干が並んでいるだけよ。；なぜなら、犯人は加納さんに大急ぎで梅干をたべさせる必要がありました。；梅干布などというものもあって、これは島田で作っていただきます。；お勝手をごそごそやって、朝の味噌汁の残りを掛けて、梅干で食べたのよ。；いくら噛んでも飲み込めないというので、今度は梅干を渡してやる。；青洲の黒子があるのと丁度同じ場所に、梅干ほどの塊ができている。；梅林堂など、日本各地で和菓子屋や梅干屋などの店舗名に使用されている。；わたしはその久一のところへ梅干をおみやげにもって行きます。；茶の葉もないので、べんとうの梅干を入れて熱い湯を母へ飲ませる。；それが梅干しか入っていない握り飯に格下げされたのだから不運としか言いようがない。；すると中心から梅干が一個出て来るそうだ。；今もそうであるが朝は梅干に砂糖をかけて出した。；梅干はいつも持ってゆくことにしているが、それ以外の日本食を持参したのは初めてである。</t>
        </is>
      </c>
      <c r="J782">
        <f>HYPERLINK("https://www.weblio.jp/content/梅干", "词义详情")</f>
        <v/>
      </c>
      <c r="K782">
        <f>HYPERLINK("https://yourei.jp/梅干", "查看例句")</f>
        <v/>
      </c>
    </row>
    <row r="783">
      <c r="A783" t="inlineStr">
        <is>
          <t>埋める</t>
        </is>
      </c>
      <c r="B783" t="inlineStr">
        <is>
          <t>成功</t>
        </is>
      </c>
      <c r="C783" t="inlineStr">
        <is>
          <t>読み方：うずめる
［動マ下一］［文］うづ・む［マ下二］《四段活用の「うづむ」が変化して、室町時代ごろから用いられた》
１土の中などに物を入れ込んで外から見えないようにする。うめる。「金塊を—・める」
２物に覆われて外から見えない状態にする。うずまるようにする。「マフラーに首を—・める」
３ある場所を、物や人でいっぱいにする。「スタンドを—・めた大観衆」
４低い所やくぼんだ所などに物を詰めてふさぐ。うめる。「壕(ごう)を—・める」
５損失や不足などを補う。うめる。「赤字を—・める」「余白を—・める」
→埋(う)める［用法］</t>
        </is>
      </c>
      <c r="D783" t="inlineStr">
        <is>
          <t>埋めるべく(3%)；埋めるべき；埋める夥しい；埋めるよう命じ</t>
        </is>
      </c>
      <c r="E783" t="inlineStr">
        <is>
          <t>カバー；埋葬；占める；満たす；注ぐ</t>
        </is>
      </c>
      <c r="H783" t="n">
        <v>29</v>
      </c>
      <c r="I783" t="inlineStr">
        <is>
          <t>他の多くの動物は、行の終わりに残ったスペースを埋めるために役立つ。；この関係で7・8は窓が一部埋められて小型のものに変更されている。；近代の都市整備で一帯を埋めていた中世の建物が撤去され、再発見される。；そのかわり、間を埋めるプロジェクトは色々と準備されているとのこと。；臼井駅跡はホーム跡が残っていたが、現在は一部を残して埋められている。；編成端部側の貫通扉は埋められ、列車愛称表示器が取り付けられている。；盧武鉉が司法試験に合格したとき、夫のひざに顔を埋めて泣いたという。；夫の棺を墓とは別の場所に埋め、友人たちの前で結婚指輪を投げ捨てる。；埋めた場所のうちの1カ所が、現在のセンターの宿舎敷地だったという。；さらに内側の3つの穴の列には動物の骨を埋めるのに使われていた。；Aの遺体をまだ埋めていないことを知った森はすぐに埋めるよう坂口に要請。；側面は一部が埋められているが、種車の窓や扉は多くが再用された。；そしてロボット大統領は地球上をロボットで埋め尽くす考えを発表。；しかし生まれたのは男の子であったため、由比ヶ浜の砂に埋められる。；遺体は鍾乳洞の自然の穴に埋めたが、今日まで正確な場所は分かっていない。；この期間を埋める形で、特別番組として放送されたのがこの番組である。；誰が何といってもこの土地は我々が生まれ育ち埋められる巣であり墓なのだ。；アニメ版のソロモン攻略戦では、敵の正面を埋め尽くす描写がなされた。；多くのものが砂泥中に体を埋め、水管を泥の上に出して生活している。；湖を現在の水深まで埋めるために約720年必要であると推定されている。；建築本体を地中に埋めた作品など、風景や環境に配慮した建築が多い。；柄の下部は球根状に太くなり、それを深海底の泥に埋めて定着している。；五助は主君の命を守り、取った吉継の首を戦場から離れた場所に埋めた。；大森健作が抜けたあとの左CBを、移籍後すぐ安定したプレーで埋めた。；このため一部の窓を埋め家庭用室外機のような外観の冷房装置を搭載した。；トーマス・グラヴェセンが移籍した穴を埋めることを期待されていた。；あまり気にせず大きいものから埋めていければ百科事典的によいと思います。；このケースでは特定の場所に缶を埋める事で情報のやり取りを行った。；自然豊かな村や谷は、4月になると杏の花でピンク色に埋め尽くされる。</t>
        </is>
      </c>
      <c r="J783">
        <f>HYPERLINK("https://www.weblio.jp/content/埋める", "词义详情")</f>
        <v/>
      </c>
      <c r="K783">
        <f>HYPERLINK("https://yourei.jp/埋める", "查看例句")</f>
        <v/>
      </c>
    </row>
    <row r="784">
      <c r="A784" t="inlineStr">
        <is>
          <t>恭しい</t>
        </is>
      </c>
      <c r="B784" t="inlineStr">
        <is>
          <t>成功</t>
        </is>
      </c>
      <c r="C784" t="inlineStr">
        <is>
          <t>読み方：うやうやしい
［形］［文］うやうや・し［シク］《「礼(うや)」を重ねて形容詞化した語》相手を敬って、礼儀正しく丁寧である。「神前で—・く頭を下げる」
[派生]うやうやしげ［形動］うやうやしさ［名］</t>
        </is>
      </c>
      <c r="D784" t="inlineStr">
        <is>
          <t>恭しい態度(21%)；恭しい手つき(13%)</t>
        </is>
      </c>
      <c r="E784" t="inlineStr">
        <is>
          <t>丁寧；洒落；丁重；慇懃；鄭重</t>
        </is>
      </c>
      <c r="H784" t="n">
        <v>29</v>
      </c>
      <c r="I784" t="inlineStr">
        <is>
          <t>床の傍まで来ると、スーラーブは、恭しく右手を胸に当てて頭を下げた。；侍女が恭しい態度でデルクの名前を呼び、案内のために先に部屋を出る。；恭しくタバサに頭を下げ、ワインの壜とグラスをテーブルの上に置いた。；僕はそんな気持を抱きながら、それでも恭しく一礼すると、席を離れた。；女が男の体に向って恭しくぬかずき接吻を与えるというあの儀式である。；タイタス どうだ、お前、俺からの口上を皇帝に恭しくお伝へ出来るか?；若殿はじめ二人の武士はそのまま縁から腰を上げ、恭しく老人に一礼した。；用意された個室に、恭しく案内され、しかも上座に座らされてしまった。；新婦の房に入らんとて恭しく座を起たんとし、一発高く屁を放ってけり。；そして誰もいないのを確認すると、塀の内側から國子に恭しく頭を垂れた。；持って来たのは一巻の巻物、恭しく額に押しあてたがやがて正雪の前へ置いた。；だが、給仕の男が恭しくグラスを捧げて来た時にはもう夫人の気が変って居る。；景に対するのとは打って変わって、至って恭しげな態度で琴姫に告げた。；そうしてその机の上へ、恭しそうに青磁の香炉や金襴の袋を並べ立てた。；運転手が恭しくドアを開け、彩乃ちゃんはその車に乗り込もうとしている。；石井が大量の酒を社に供え部隊を代表して恭しく神前で柏手を打った。；なるほど外国に行けば婦人は一見、恭しく扱ってもらえるようにみえる。；自分がこんなに馬鹿にされている校長や、教頭に恭しくお礼を云っている。；侍女は恭しく礼をして、慌てて振り向いた側近も、慌ててそれに倣った。；禿頭は恭しく両手にいただき、通路に用意してあった小テーブルの前に腰を下ろした。；友会徒は今も公式にはしかし通常は恭しくこうした点については立場が分かれている。；ピサロは恭しくこれを迎えて船の中を案内し、さまざまの機械の用法を説明した。；辛慶忌は質素で恭しい性格であったが、馬や馬車だけは豪奢であった。；俺は恭しく、差し出された妹の手の上に、丁寧に折り畳んだ新聞を置いた。；彼は何故ともなくこの威厳のある大女の前に恭しく一礼した。；それが天の岩戸と恭しく呼ばれるようになったのは、この事件があってから後のことだろう。；その下男は初めの態度と打って変って恭しくなっていた。；丁重な人には丁重にすべきではあるが、原沢はとくに恭しくされるのが好きだ。；しかも、この直後から三人の総帥は前にも増して恭しくなった。</t>
        </is>
      </c>
      <c r="J784">
        <f>HYPERLINK("https://www.weblio.jp/content/恭しい", "词义详情")</f>
        <v/>
      </c>
      <c r="K784">
        <f>HYPERLINK("https://yourei.jp/恭しい", "查看例句")</f>
        <v/>
      </c>
    </row>
    <row r="785">
      <c r="A785" t="inlineStr">
        <is>
          <t>敬う</t>
        </is>
      </c>
      <c r="B785" t="inlineStr">
        <is>
          <t>成功</t>
        </is>
      </c>
      <c r="C785" t="inlineStr">
        <is>
          <t>読み方：うやまう
［動ワ五（ハ四）］相手を尊んで、礼を尽くす。尊敬する。「師と—・う」
[可能]うやまえる
[用法]うやまう・あがめる——「敬う」は、対象を高位のもの、上位のものとして礼を尽くす意で、「神仏を敬う」などのほか、「老人を敬う」「恩師を敬う」のように身近な相手にも向けられる。◇「崇(あが)める」は「神（祖先）を崇める」のように、絶対的な存在を拝むようにする意。◇類似の語に「尊ぶ」がある。「尊ぶ」は対象の価値を認めて大切にする意で、「神（祖先）を尊ぶ」のほか、「各人の自由意志を尊ぶ」「拙速を尊ぶ」のように抽象的なものに関しても広く用いる。</t>
        </is>
      </c>
      <c r="D785" t="inlineStr">
        <is>
          <t>敬うべき(10%)</t>
        </is>
      </c>
      <c r="E785" t="inlineStr">
        <is>
          <t>望む；尊敬；感心；礼拝；賞賛</t>
        </is>
      </c>
      <c r="H785" t="n">
        <v>29</v>
      </c>
      <c r="I785" t="inlineStr">
        <is>
          <t>女性的な思考とは、女に備わっているからこそ敬うべきものであるのに。；それにしては彼等が私を信じ私を敬い私を慕うこの感情をどうしよう?；この地に伝説の美しい鳳凰が山に降りたことに敬って名前をつけたのが由来。；あの二人には、ボスである自分を敬うとする意思がハナクソほどもない。；ヨブがあなたを敬うのは、あなたが彼の一族や財産を守っているからです。；また、地元の人が敬い親しんだ山から祖父と付けられたともいわれる。；彼がルンペンたちの間で敬われていたわけが判るような気にはならないかね。；物を愛し敬うのは心と離れぬ物を見るからでなくてはならぬ。；そのお方のお屋敷でお手伝していたのはもちろん敬うべきことである。；だれかがこしらえた神を自分の神として敬うことなどわたしにはできない。；また、貴人だけでなく、女性が男性を敬って呼ぶ言葉としても使われた。；無恤も幼い時から自分を可愛がってくれた兄をますます敬ったという。；だから、彼らがわたしと別様であればあるだけ彼らを愛し彼らを敬う。；見苦しい行為を行い、一般的な自然の姿を気にしたり敬うことをしなかった。；騎士の時代、槍合わせの場数がおおいほど、騎士は敬われたものである。；そこの下男が、人間にものいうよりも馬を敬っていたのが思い出される。；常に主を敬っているならば、道理を用いて討議をするのが当然である。；日本人にとって神は超自然的な物であり、畏れられると共に敬われもした。；ただ、彼らの意識の中では国王というものは敬わなければならないものなのだ。；おそらく彼には、恐れたり敬ったりする具体的な対象が身近にないのであろう。；神を信じていないわけではないがあまり敬ってはいない。；ほかに三名の頭目もいたが、たしかおまえが一番敬われていたっけね。；だが畏敬する人物を敬い、自分の行動を節するのは自然のものである。；このふたりの兄弟は、いたって仲がよく、互いに敬いあっていました。；神に対する敬いを忘れて天に至ろうとする傲慢な人間に対し、天は怒り。；あっちの流義では、 不思議な客を待っていて、敬ってくれるのだ。；彼のいうところでは昔のエジプト人は猫を神様として敬っていたそうである。；本当の仏性とはこのことかと自ら考えるくらいあらゆるものを敬い過ぎるようである。；誰もがウォルのことを本当の王さまだと認めて敬うようにしなきゃならない。</t>
        </is>
      </c>
      <c r="J785">
        <f>HYPERLINK("https://www.weblio.jp/content/敬う", "词义详情")</f>
        <v/>
      </c>
      <c r="K785">
        <f>HYPERLINK("https://yourei.jp/敬う", "查看例句")</f>
        <v/>
      </c>
    </row>
    <row r="786">
      <c r="A786" t="inlineStr">
        <is>
          <t>紆余曲折</t>
        </is>
      </c>
      <c r="B786" t="inlineStr">
        <is>
          <t>成功</t>
        </is>
      </c>
      <c r="C786" t="inlineStr">
        <is>
          <t>読み方：うよきょくせつ
［名］(スル)
１道などが曲がりくねっていること。「谷から谷へ—している道」
２物事が順調に運ばないで、こみいった経過をたどること。「—を経てやっと解決する」</t>
        </is>
      </c>
      <c r="D786" t="inlineStr">
        <is>
          <t>紆余曲折経</t>
        </is>
      </c>
      <c r="E786" t="inlineStr">
        <is>
          <t>折れる；行ったり来たり；曲折；捻る；二転三転</t>
        </is>
      </c>
      <c r="F786" t="inlineStr">
        <is>
          <t>こうした紆余曲折；様々な紆余曲折；さまざまな紆余曲折；巡って紆余曲折</t>
        </is>
      </c>
      <c r="H786" t="n">
        <v>29</v>
      </c>
      <c r="I786" t="inlineStr">
        <is>
          <t>紆余曲折のある道、人生の、あるいは人生を考える道・哲学の道である。；紆余曲折の後、再昇格を確実にしたチームにシーズン終わりに戻ってきた。；そんな彼女とメンバーが紆余曲折を経て、お互いに成長していく姿を描く。；実際はもっと紆余曲折はあったのであるが、結局筋はそういうことらしい。；しかし、その攻略作戦の計画作成からその実行までには紆余曲折があった。；ツービートへの改名後、それでもヒットまでにはまだ紆余曲折があった。；ミサオノキに対応する学名が現在のとされるまでには紆余曲折があった。；搭載システム、搭載兵器に関しても紆余曲折がありはっきりしていない。；ただし後述するように現在の形になるまでには紆余曲折があった。；父の死をきっかけに、医者になることを決意し紆余曲折を経て学業を再開。；それが様々に紆余曲折し、現在のような大長編になってしまいました。；こうした紆余曲折の末、マーシャルは援助計画の発表に臨んだのである。；紆余曲折の末にようやく大成功に到達したと思われたカンナであった。；生産の経緯は戦局の悪化と陸軍上層部の方針の揺れから紆余曲折した。；シンシナティの市政選挙が現在の形になるまでには紆余曲折があった。；やはり、かなりの紆余曲折を経て、文字通り曲折して出てくるのである。；このような紆余曲折を経て、同医院は1990年6月1日に開設された。；街道はそこで東に曲がり、紆余曲折してよどんだ川にそってのびていた。；導入には紆余曲折があり、当時は各種メディアに取り上げられることも多かった。；この状態に至るまでには、紆余曲折があり女性運動家の活動の影響が大きい。；このような紆余曲折を経て出来あがったのがこの小説だ。；党大会から紆余曲折を経ながらも、植民計画が実行へと動き出してゆく。；大河を元気付けたくて、紆余曲折の末に結局実乃梨とともに優勝できた。；受賞後にすぐ連載される筈だったが紆余曲折の末、1年後に連載開始。；だが、ダム・発電所建設を行うに当たり、幾つかの紆余曲折があった。；その屋敷の廊下と来ては、巾広く紆余曲折し、全体の長さ半町はあろうか?；国内では紆余曲折あった日本の参加だが、参加してすぐに重要な議論を本格化させることになる。；途中紆余曲折を経て、1895年3月21日に全線を開通させるに至る。；こうした紆余曲折から、完成までに約3年半の期間が費やされている。</t>
        </is>
      </c>
      <c r="J786">
        <f>HYPERLINK("https://www.weblio.jp/content/紆余曲折", "词义详情")</f>
        <v/>
      </c>
      <c r="K786">
        <f>HYPERLINK("https://yourei.jp/紆余曲折", "查看例句")</f>
        <v/>
      </c>
    </row>
    <row r="787">
      <c r="A787" t="inlineStr">
        <is>
          <t>裏</t>
        </is>
      </c>
      <c r="B787" t="inlineStr">
        <is>
          <t>成功</t>
        </is>
      </c>
      <c r="C787" t="inlineStr">
        <is>
          <t>読み方：うら
１
㋐二面ある物の、表面と反対側の面。裏面(りめん)。うしろ。「写真の—に撮影年月日を記す」「紙の表と—を間違える」⇔表。
㋑物体の、こちらからは見えない向こう側の面。「月の—」
㋒物体の、下になっている面。「足の—」「靴の—を張り替える」
２物の正面と反対になる側。また、その陰になっているところ。「たんすの—」「舞台の—」⇔表。
３
㋐建物の後ろになる側。「昨夜—でぼやがあった」⇔表。
㋑建物の後ろ側にある出入り口。裏口。「—のドアにかぎをかける」「—から入る」⇔表。
４衣服の内側につける布。裏地。「—がすりきれる」⇔表。
５
㋐表向きでない面。人の目にふれない面。「表と—では態度が違う」「—で何を考えているのかわからない」⇔表。
㋑公表をはばかるような事情。隠されている事柄。内情。「彼の言うことには何か—がある」「芸能界の—」
㋒好ましくないことが表面に現れずに行われるところ。「—で金を動かす」「—で教唆している人物がいるに違いない」
６普通と反対のこと。逆。「世間の考えそうなことの—を行く」
７主だっていないこと。中心でないこと。「—作」「—街道」「—番組」
８「裏千家」の略。
９二度あるものの、あとのほう。
㋐野球で、後攻チームが攻撃する時。「九回—の攻撃」⇔表。
㋑同じ遊女と二度遊ぶこと。また、二度目に来た客。→裏を返す
10裏づけ。証拠。
11論理学で、「pならばqである」に対して、仮定と結論をともに否定した「pでなければqでない」という形式の命題。最初の命題が真でも、裏命題は必ずしも真ではない。
12連歌・俳諧で、句を書きつける懐紙の裏の面。特に初折（1枚目）の裏をいう。
13内部。奥。うち。
「天地(あめつち)の底ひの—に我(あ)がごとく君に恋ふらむ人はさねあらじ」〈万・三七五〇〉
[下接語]上げ裏・麻裏・浅葱(あさぎ)裏・足裏・内裏・襟裏・表裏・額裏・楽屋裏・変わり裏・木裏・口裏・毛裏・芸裏・初(しょ)裏・裾(すそ)裏・総裏・袖(そで)裏・手の裏・天井裏・胴裏・通し裏・共裏・名残の裏・二の裏・抜け裏・軒裏・羽(は)裏・葉裏・舞台裏・真裏(まうら)・紅(もみ)裏・屋根裏・路地裏</t>
        </is>
      </c>
      <c r="D787" t="inlineStr">
        <is>
          <t>裏木戸；裏書き；裏ジャケット；裏路地；裏向き</t>
        </is>
      </c>
      <c r="E787" t="inlineStr">
        <is>
          <t>後；背；背中；後ろ；背後</t>
        </is>
      </c>
      <c r="F787" t="inlineStr">
        <is>
          <t>駅裏；極秘裏；葉裏；銀座裏；平和裏</t>
        </is>
      </c>
      <c r="G787" t="inlineStr">
        <is>
          <t>裏切り；裏手；裏面；裏口；裏切ら</t>
        </is>
      </c>
      <c r="H787" t="n">
        <v>29</v>
      </c>
      <c r="I787" t="inlineStr">
        <is>
          <t>ホームを結ぶ連絡橋に隣接して駅裏からの跨線人道橋が設置されている。；世界中の人々の壮絶人生やあの物語の裏にあった感動の結末などを紹介。；全身が毛深く、油っ気の強い足の裏毛を用いて水上を歩くことが出来る。；しかしこの企業、裏ではかなり強引な商いを行うことでも知られていた。；駅は一方にのみ開かれており、駅裏への自由通路は設けられていない。；全てのアフリカ諸国が平和裏に独立を獲得できたわけではない。；しばしば古いものは表面を削って再利用されたり裏を使ったりされた。；滝の多くは水槽の裏にあるが、一部は来場者に見える形で設置されている。；多くの場合書籍の裏、値段の前にCxxxxといった形で記されている。；ゾウの足の裏は非常に繊細であり、そこからの刺激が耳まで伝達される。；教授はベッドの中にいて、マーカー夫人は家の裏で仕事をしている。；駅裏右上に撤退した広島燃料興業の工場への専用線が残されている。；枠は上下左右の枠、梁または中棧といわれる横板、裏軸や裏板からなる。；前述の通りリーチを掛けて和了った場合にのみ裏ドラの権利が得られる。；なお、大会ルールにより9回裏の攻撃を行わず試合は引き分けとなった。；駅裏にはストックヤードがあるが、既に使用されていない様子である。；ただし水面のような液体の表面は、表と裏の両方から接触可能である。；駅裏は上の貨物が停車している辺りに若干のストックヤードがあった。；残ったカードは裏向きのまま、山札にしてプレイヤーの中央に置く。；共産党の支配地域の拡大は裏を返せば国民党の支配地域の減少を意味する。；繁栄の裏ではスレイマン時代に始まった宮廷の弛緩から危機が進んでいた。；事件には裏で関与した「黒幕」がいたのではないかとする説がある。；平和は一般に、裏ドラがもっとも乗りやすい手役であるとされている。；道路に面した表側は店であることが多く、裏の方に住まいや蔵などを設けた。；しかしその裏で英仏の関係は徐々に悪化し始めていた。；このような恋愛の裏でもう1つの大きなテーマとして同性愛が展開する。；生前松田は、原田家の裏の家を借りて住んでいた時期があるとのこと。；のちには江戸で作られるようになったが、なお信州裏と呼ばれた。；提供される寿司はカリフォルニアロールのような裏巻きが多くを占めている。</t>
        </is>
      </c>
      <c r="J787">
        <f>HYPERLINK("https://www.weblio.jp/content/裏", "词义详情")</f>
        <v/>
      </c>
      <c r="K787">
        <f>HYPERLINK("https://yourei.jp/裏", "查看例句")</f>
        <v/>
      </c>
    </row>
    <row r="788">
      <c r="A788" t="inlineStr">
        <is>
          <t>裏返し</t>
        </is>
      </c>
      <c r="B788" t="inlineStr">
        <is>
          <t>成功</t>
        </is>
      </c>
      <c r="C788" t="inlineStr">
        <is>
          <t>読み方：うらがえし
１物の裏を返して表にすること。また、その状態。「シャツを—に着る」
２反対の立場、逆の観点から見ること。また、現れ方が正反対であること。「意味を—に考える」「嫉妬(しっと)は愛情の—の表現である」</t>
        </is>
      </c>
      <c r="D788" t="inlineStr">
        <is>
          <t>裏返しにほかなら；裏返し忠臣蔵</t>
        </is>
      </c>
      <c r="H788" t="n">
        <v>29</v>
      </c>
      <c r="I788" t="inlineStr">
        <is>
          <t>あまり俺の前と後と、手の裏返したようなことだけはいってくれるなよ。；何かおかしいと思ってよく見たら、後ろ前ではなくて裏返しなのだった。；それはマリオに人生を託したいけれどできない彼女の心の裏返しなのだ。；さきほどと同じように、挟んだ相手の色の石を裏返して自分の色に変える。；賢蔵さんの性格をすっかり裏返しにしたような人じゃないかと思うんです。；不要になった書類を裏がえして、いたずら書をしていた時のことである。；かなりの時間をかけた後に彼は死体を裏返し、背中の血痕も洗い流した。；それだけやってしまうともうすることがなかったので裏返しの服を調べてみた。；すだれを裏がえしにしてな、上下のあるやつだったら逆さにするんだぜ。；「持ってないかもしれない」 彼女は、ポケットを裏返しにしはじめた。；一番近いと思われるのは、生物を袋に見立てて裏返した状態だろうか。；裏返しになって内側から眺めている自分の内臓のように感じていた。；胃の腑が裏返しになったようで、何度も深呼吸しなければならなかった。；残りのカードは裏返しに積んでおき、この回のプレイには使用しない。；九州などでは外側に付いている脂が内側になるように裏返してあるものも多い。；なお、全てのカードは裏返しで配置されるため選ぶことはできない。；男の子はジグソーパズルを裏返しにしたまま完成させたのであった。；床の上には、ポケットを裏返しにしたまま、衣類がほうり出されている。；そんな切迫感の裏返しで、いわば、お仲間を探していたんだと僕は思う。；彼らは、ウサギの皮を食べずに残し、裏返して内側の肉を食べて消費する。；しかしそれは、名を見つけてほしかった期待への裏返しかもしれない。；物質をくるりと裏返して反物質にすることは理論的に不可能だとされている。；階段は、途中の踊り場まではそのまま使えたが、その先は裏返しになる。；胸にメダルをかけているので、彼は身をかがめてそれを裏返してみた。；すると松井さんは、家を出る時に靴下を裏返しにはいておくんですね。；五年生は二時に大広間に入り、裏返しにされた試験問題の前に座った。；裏返しにして畳んだ道路マップや非常用品が膝の上にこぼれ落ちてくる。；サーベラスのあの強さは、彼が抱える〈心の傷〉の裏返しでもあるのだ。；H 警察への不信感を新聞が十分に取り上げてこなかった裏返しではないか。</t>
        </is>
      </c>
      <c r="J788">
        <f>HYPERLINK("https://www.weblio.jp/content/裏返し", "词义详情")</f>
        <v/>
      </c>
      <c r="K788">
        <f>HYPERLINK("https://yourei.jp/裏返し", "查看例句")</f>
        <v/>
      </c>
    </row>
    <row r="789">
      <c r="A789" t="inlineStr">
        <is>
          <t>裏返す</t>
        </is>
      </c>
      <c r="B789" t="inlineStr">
        <is>
          <t>成功</t>
        </is>
      </c>
      <c r="C789" t="inlineStr">
        <is>
          <t>読み方：うらがえす
［動サ五（四）］
１表と裏とを逆にする。「畳を—・す」
２物事を逆の立場から見る。「—・して言えば」</t>
        </is>
      </c>
      <c r="D789" t="inlineStr">
        <is>
          <t>逆転；反転；覆す；顛倒；ひっくり返す</t>
        </is>
      </c>
      <c r="H789" t="n">
        <v>29</v>
      </c>
      <c r="I789" t="inlineStr">
        <is>
          <t>かれは自分の身体が両手で箱をゆっくり裏返すのを見つめていた。；うつ伏せに倒れているその一人を足で裏返すと、面が半分に欠けている。；カードを裏返すことで、攻撃や強化などの効果を得ることができる。；ポケットを裏返すようにさえしてみたが、結局なにも出てこない。；相手の石を自分の石で挟んだときは、相手の石を裏返すことで、自分の石にする。；そうして、僕の密室を裏返すことで、それを成し遂げようとした訳なんだ。；写真を裏返すと、まるで三歳ぐらいの子が書いたとしか思えない下手な字が並んでいた。；ポケットを裏返すよう命じられた先生は命令に従った。；FlipFlapはカバーケースを裏返すために追加された機能をもたらす。；四郎の身体が、くるりと裏返され、四郎は背から地面の上に落とされていた。；いきなり裏返されると、まさに犬の格好をさせられたのだ。；男への愛が裏返されて、彼女は、彼をそんな風に夢想しなくてはならなかったのだろう。；佐山は契約書を裏返すと、調査書の表紙を机代わりにして一文を書いた。；ところがそれを裏返すと、掌だけはこれまた薄暮の中に妙に白くみえるのだ。；裏返すと朱色のろうの封印があり、そこから強い匂いが上がっている。；百と十は裏返すと下のようになっている。；手に取り上げて裏返すと、生湿りの苔臭い土が一面に付いているではありませんか。；寝つきが悪く、カセットを裏返さなければならなかったことは、まだ数回しかない。；ついに、先生がやって来てポケットを裏返すように命じた。；それは閉じられた人間の身体を断ち割り外部に内部を侵出させることがこの世を裏返す行為だからです。；裏返すと、そこにはひと回り小さな手書きの文字で、妹の名前が書いてあった。；当然そうだろうと捜査員が裏返すと、「再一九二」とあった。；書類を裏返すぐらいの余裕を与えたつもりだ。；言われた通りに渋々ポケットを裏返すと、そこからはMP3プレーヤーが出てきた。；いっぺん脱いでもう一度裏返すと、彼は親切に着るのを手伝ってくれた。；彼は画面上の裏返されたカードの山を見つめることにした。；Pは余裕を残して攻撃を止め、裏返された亀のように仰天している女の腹に湯を掛けてやった。；裏返すと、同じ材質の裏張りがもう一枚出てきて、その中に薄い洋紙に書かれた手紙が出てきた。；全く信じないのか、或いは裏返さなくとも視えるのかどちらかだ。</t>
        </is>
      </c>
      <c r="J789">
        <f>HYPERLINK("https://www.weblio.jp/content/裏返す", "词义详情")</f>
        <v/>
      </c>
      <c r="K789">
        <f>HYPERLINK("https://yourei.jp/裏返す", "查看例句")</f>
        <v/>
      </c>
    </row>
    <row r="790">
      <c r="A790" t="inlineStr">
        <is>
          <t>裏切る</t>
        </is>
      </c>
      <c r="B790" t="inlineStr">
        <is>
          <t>成功</t>
        </is>
      </c>
      <c r="C790" t="inlineStr">
        <is>
          <t>読み方：うらぎる
［動ラ五（四）］
１味方に背いて敵方につく。「同志を—・る」
２約束・信義・期待などに反する。「信頼を—・る」「おおかたの予想を—・る」</t>
        </is>
      </c>
      <c r="D790" t="inlineStr">
        <is>
          <t>裏切るだろ；裏切るような真似；裏切るような行為</t>
        </is>
      </c>
      <c r="E790" t="inlineStr">
        <is>
          <t>売る；反する；密告；背く；見捨てる</t>
        </is>
      </c>
      <c r="F790" t="inlineStr">
        <is>
          <t>裏切るかもしれ；決して裏切る</t>
        </is>
      </c>
      <c r="H790" t="n">
        <v>29</v>
      </c>
      <c r="I790" t="inlineStr">
        <is>
          <t>誰のために私はこの世でたった一つの心を裏切ってしまったんでしょう。；なにかを命じられて日本に来て、裏切るかうまく行かなかったのだろう。；私を愛して下さいますならば、この私の確信を裏切らないで下さいませ。；彼は妻の死によって裏切られた彼の愛を、二人の娘達の上に向け直した。；己れの期待を裏切られ、己れの予想を愚弄されたと感じたのであろうか?；自己の上に輝ける真を得るためには、真を裏切らぬ事をなさねばならぬ。；つらい立場だとわかっているので、夫を裏切るようなことはしていない。；そして一度だって裏切ったり、相手の顔に泥を塗ったりはしなかったよ。；俺は、自分でもどうかしていると思うけど、あいつの信用を裏切れない。；帝が衝撃を受けたのは、信頼していた部下に次々と裏切られたからだ。；男は自分を裏切った女を殺し、女は自分の物を盗んだ女を殺す、という。；この無鉄砲な悪党が今まで裏切られたことは一時たりともなかったのに。；しかしその家に近づいた私の眼は私の空想を小気味よく裏切ってくれた。；女が恋人を犯人と信じた場合、死んでも彼女は恋人を裏切るものじやない。；そしてそれは、彼女が今まで持ち続けていた希望が裏切られたからだった。；しかし、階段を上がってくる足音がするだろうという期待は裏切られた。；善良で正直な人間を裏切ることはできないし、あんただって同じだろう。；ペンギンは彼を裏切らない忠誠と理解のある部下のチームを持っている。；彼女はそんな小さな赤い煙突に裏切られた自分を可哀相に思って泣いた。；いかに美的鑑賞が進む日が来ても裏切られる場合は決してないでしょう。；その人がいかなる事情にせよ教会を裏切るなどとは信じられないことである。；命は助けると言われていたはずの小物被告たちは裏切られた形となった。；「読者の期待をいい意味で裏切って」いきたいと考えて執筆されている。；彼女の処女らしい興奮と羞恥とは、物の見事に裏切られてしまつたのだ。；もっと言えば、味方を裏切ろうとしていたのは、むしろ、あなたの方だ。；われわれは、すくなくとも仲間に裏切られることはないと確信していた。；これのどこが問題かといいますと、人の信頼を大きく裏切ることです。；でも、夫を裏切るようにわたしに要求する権利はだれにもありません。；こうやってあなたと会うことさえ、父の信頼を裏切ることになるのよ。</t>
        </is>
      </c>
      <c r="J790">
        <f>HYPERLINK("https://www.weblio.jp/content/裏切る", "词义详情")</f>
        <v/>
      </c>
      <c r="K790">
        <f>HYPERLINK("https://yourei.jp/裏切る", "查看例句")</f>
        <v/>
      </c>
    </row>
    <row r="791">
      <c r="A791" t="inlineStr">
        <is>
          <t>裏口</t>
        </is>
      </c>
      <c r="B791" t="inlineStr">
        <is>
          <t>成功</t>
        </is>
      </c>
      <c r="C791" t="inlineStr">
        <is>
          <t>読み方：うらぐち
１建物の裏側にある出入り口。勝手口。⇔表口。
２正当でない手段で物事をすること。隠れて、こっそり行うこと。「—入学」</t>
        </is>
      </c>
      <c r="D791" t="inlineStr">
        <is>
          <t>裏口からこっそり；裏口入学金；裏口営業；裏口からそっと；裏口近く</t>
        </is>
      </c>
      <c r="G791" t="inlineStr">
        <is>
          <t>裏口上場；裏口座</t>
        </is>
      </c>
      <c r="H791" t="n">
        <v>29</v>
      </c>
      <c r="I791" t="inlineStr">
        <is>
          <t>彼女は木小屋の内にある中央の土間を通り抜けて裏口の方へも出て見た。；田舎風の屋造のことで、裏口から狭い庭を通って、表の方へ抜けられる。；だからシッドがあわてて裏口から姿を消したのは不必要なことだった。；彼は裏口から入ったのですが、この裏口は戸締りしてありませんでした。；彼は二三時間私の家で過ごして、いつもの通り裏口から静かに帰っていった。；セットには崖の途中などに突然開いている裏口のような穴が存在することもある。；それとほとんど同時に、裏口の戸もあいて、そこからも数名の制服警官。；入口の庭が広く取ってあって、台所の側から直に裏口へ通り抜けられる。；その奥が勝手になって、裏口から露路へ出られるようになっている。；裏口も玄関も鍵をかけたはずだけど、どうやって部屋にもどったの?；二三日後の或夕方、又一人の別の土民青年が私の家の裏口からはいって来た。；ところが、被告は、裏口のドアの鍵を持っていらしたのでございますね。；用意ができると、提灯に火をつけて、昨夜はいって来た裏口の方から出た。；裏口の方へ廻されたが、お庄はそこからも入り得ずにやがて逃げて帰った。；十二三の男の子が裏口から入つて来たが、またすぐに出て行つた。；おれの身よりは、その馬のほうを先に、裏口の方へ曳いて行ってくれ。；下駄をつつかけて、裏口へ出て行くと、肌を射すやうな冷い空気だつた。；見ておりますと、裏口からはいっておしまいになったんでございます。；いざと言えば裏口へ抜けられる厳重な後方の設備もなければならない。；それがこっちの裏口と向い合っている真中の一軒へ入って来た若い夫婦であった。；死去のすぐ前に弟が屋敷の裏口の鍵を送ってよこしたからですよ。；彼は決められていたように、二度その家の前を往復してみて、裏口へまわった。；「裏で支度をしているところでさ」と、萩野はそっと裏口の方を指した。；やや少時すると戻って来て、こんどは玄関とは反対の裏口から庭へ廻った。；そして何か遠くにあるものを求めるやうな気持で静に裏口を出た。；金は裏口の右土臺下の穴へ入れて置くがよい、その上で折を見て子供は返す。；屋は手ぜまなので、裏口から主の部屋へ入って行く沓音までよく聞える。；その条溝は裏口の幕の下に続いて、まだそこから外に伸びているようであった。；金は裏口の右土台下の穴へ入れておくがよい、その上で折を見て子供は返す。</t>
        </is>
      </c>
      <c r="J791">
        <f>HYPERLINK("https://www.weblio.jp/content/裏口", "词义详情")</f>
        <v/>
      </c>
      <c r="K791">
        <f>HYPERLINK("https://yourei.jp/裏口", "查看例句")</f>
        <v/>
      </c>
    </row>
    <row r="792">
      <c r="A792" t="inlineStr">
        <is>
          <t>裏付け</t>
        </is>
      </c>
      <c r="B792" t="inlineStr">
        <is>
          <t>成功</t>
        </is>
      </c>
      <c r="C792" t="inlineStr">
        <is>
          <t>読み方：うらつけ
１衣服などに裏をつけること。また、つけたもの。
「—の上(かみ)に麻の袴(はかま)を着るもあり」〈浮・一代女・三〉
２「裏付け草履」の略。</t>
        </is>
      </c>
      <c r="D792" t="inlineStr">
        <is>
          <t>裏付けられる(7%)；裏付け捜査(2%)；裏付け取材；裏付け資産；裏付けなし</t>
        </is>
      </c>
      <c r="E792" t="inlineStr">
        <is>
          <t>示す；証拠；安全；証明；確認</t>
        </is>
      </c>
      <c r="F792" t="inlineStr">
        <is>
          <t>強固な裏付け；製陶磁器から裏付け；裏付けられ</t>
        </is>
      </c>
      <c r="G792" t="inlineStr">
        <is>
          <t>裏付け調査；裏付けよ</t>
        </is>
      </c>
      <c r="H792" t="n">
        <v>29</v>
      </c>
      <c r="I792" t="inlineStr">
        <is>
          <t>上記のエピソードは、皆、彼の勉強に裏付けられた自信の現れでもある。；これは当時の政権が大規模な輸送を行う能力を持っていたことを裏付けている。；これは1964年に行われた文章のコンピュータ解析でも裏付けられた。；これは、この地震の原因が水噴火であるとする説を裏付けているとされる。；モートンは金に裏付けされない不換紙幣の発行を容認する立場をとった。；その事は後に長きに渡りテレビ・ラジオでの理論派解説の裏付けとなっている。；高い格付けを得るために、この療法を裏付けとするケースが極めて多い。；マルティン・ハイデッガーの晩年の著作はその点を特に裏付けていた。；歴史的な痕跡は旧石器時代にこの地で人が生活していたことを裏付けている。；その権威性に裏付けられて多くの古代国家では神政政治が発達した。；いくつかの限られた研究がアルコール依存症に有効であること裏付けている。；そこには自叙伝的な記述も書かれてあり、他の資料からも裏付けられている。；それは印章の反対側に紐や袋のマークが印されていることも裏付けになる。；これらの主張は、いかなる対照群の研究によっても裏付けられていない。；各種書籍の編集者が団本人に確認を取っていなかったことを裏付けている。；裏付けとなる証拠が無いことから、その由来には強い疑義が向けられている。；このことは、同じ場所で発見された他の動物たちの骨の状態からも裏付けられている。；歴代の上王の中には史実性の裏付けの無い伝説上の人物も含まれる。；ケプラーの法則の発見は、地球含む惑星の形が真円ではないことを裏付けた。；武器の傷をうけた痕跡のある人骨の存在などは、戦争の裏付けである。；結果は上昇に必要な速度は実現可能であることを裏付けた。；これは1940年の報告で工事中の測定値が報告されていることでも裏付けられる。；このことはその地域が現在でもオーダム語でと呼ばれていることから裏付けられる。；この報告の正確さは、他の研究によっても裏付けられているという。；それは、この会所が江戸幕府の崩壊まで継続し続けたことが裏付けている。；また「昭和の大修理」で明らかになった新事実もそれを裏付けている。；しかし、有効な記録の残る文献による裏付けもないため真偽は不明である。；その後深い学識に裏付けられたKartschokeの対訳本が現れた。；その後行われた地上からの光学的な観測でもこのカオス的な運動は裏付けられた。</t>
        </is>
      </c>
      <c r="J792">
        <f>HYPERLINK("https://www.weblio.jp/content/裏付け", "词义详情")</f>
        <v/>
      </c>
      <c r="K792">
        <f>HYPERLINK("https://yourei.jp/裏付け", "查看例句")</f>
        <v/>
      </c>
    </row>
    <row r="793">
      <c r="A793" t="inlineStr">
        <is>
          <t>占う</t>
        </is>
      </c>
      <c r="B793" t="inlineStr">
        <is>
          <t>成功</t>
        </is>
      </c>
      <c r="C793" t="inlineStr">
        <is>
          <t>読み方：うらなう
［動ワ五（ハ四）］《「うら（占）」＋接尾語「なう」から》現れた兆しや形象などによって人の運勢、将来の成り行き、物事の吉凶などを判断する。また、単に先行きを判断する意にも用いる。「易者に—・ってもらう」「今年のペナントレースを—・う」
[可能]うらなえる</t>
        </is>
      </c>
      <c r="D793" t="inlineStr">
        <is>
          <t>吉凶を占う；運勢を占う；卜する</t>
        </is>
      </c>
      <c r="H793" t="n">
        <v>29</v>
      </c>
      <c r="I793" t="inlineStr">
        <is>
          <t>私なりに占ってみたのですが、ご主人は現在軽い病気を抱えていますね。；それでほとんど同じことを占った相人に価値をお認めになったのである。；占うことを自分の好きでやる、例の愁いのある額をしている男であった。；新しい年に初めて迎える客によって一族の一年の運命が占われるからだ。；そこで天皇は日置部らの祖・建岡君にこの神がどこにいるかを占わせた。；私はそれが始終気にかかって、何かで占ってみなければいられないんです。；この新京でもね、町の外へ行くと中国の人々がいまでも占っていましてよ。；彼女の話が本当かどうかはともかく、占う方法がまた変わっていた。；それから占ってもらう者の名を口にして指に思いを集中させる。；イタリアでは誕生日になると、100歳以上生きられるかどうかを占う。；原因を占ってみたところ二人の神官を共葬したためでないかと出た。；生絹はそれが自分を占うていて顔色にあらわれたものと見るより外はなかった。；占った当人の張は、もうそんなことはきれいに忘れてしまったらしい。；木や竹製の蛤型をしており、これを2つ同時に投げて裏表で吉凶を占う。；で、バスで行ったらいいのか、電車で行ったらいいのか 占ってほしいんよ。；宮のために今年は重く謹慎をあそばされねばならぬ年と占われていた。；祈祷の後には選び取りがおこなわれ幼児の将来の職業や才能を占われる。；この後に行われるミラノ〜サンレモを占うレースとも言われている。；そう、この二人、結婚運・・・というか将来を占ってもらいにきたのである。；好きかきらいか占うなら、ほとんどの人が〝好き〟からはじめるだろう。；やはり〈変動因子〉であるあなたの行動を完全に占うことは不可能です。；客に箱の中の砂に手で触れさせ、その時、砂についた跡で、過去や未来を占う。；昔は3つの松明の燃え方でその年の米の出来具合を占ったという。；すれちがった相手に声をかけて、その日の運を占う盲目のマッサージ師。；遠くまで出かけたのは、この先数ケ月を占う急所の一局と読んだからである。；あんまり不思議な夢だから、易者にでも占ってもらおうかと思ったさ。；戦争を始めるときは天を祭り、牛を殺してその蹄を見て開戦の吉凶を占う。；そうしたらお前たちの言う、探し物とやらを占ってやってもいいぞ?；あの人が初めっから占ってたようになってしまったわ。</t>
        </is>
      </c>
      <c r="J793">
        <f>HYPERLINK("https://www.weblio.jp/content/占う", "词义详情")</f>
        <v/>
      </c>
      <c r="K793">
        <f>HYPERLINK("https://yourei.jp/占う", "查看例句")</f>
        <v/>
      </c>
    </row>
    <row r="794">
      <c r="A794" t="inlineStr">
        <is>
          <t>恨み</t>
        </is>
      </c>
      <c r="B794" t="inlineStr">
        <is>
          <t>成功</t>
        </is>
      </c>
      <c r="C794" t="inlineStr">
        <is>
          <t>読み方：うらみ
１他からの仕打ちを不満に思って憤り憎む気持ち。怨恨(えんこん)。「あいつには—がある」「—を晴らす」
２（憾み）他と比べて不満に思われる点。もの足りなく感じること。「技巧に走りすぎた—がある」
３残念に思う気持ち。心残り。未練。「—の雨」「あの結果を—に思う」
４悲しみ。嘆き。
「行く者の悲しみ、残る者の—」〈奥の細道〉</t>
        </is>
      </c>
      <c r="D794" t="inlineStr">
        <is>
          <t>恨み骨髄；恨みを持つ者；恨み重なる；恨みを晴らすべく；恨み続け</t>
        </is>
      </c>
      <c r="E794" t="inlineStr">
        <is>
          <t>思い；思；憎悪；悪意；仇</t>
        </is>
      </c>
      <c r="F794" t="inlineStr">
        <is>
          <t>深い恨み；個人的な恨み；深く恨み；強い恨み；恨み晴らさでおく</t>
        </is>
      </c>
      <c r="G794" t="inlineStr">
        <is>
          <t>恨みがましい；恨みつらみ；恨みがましく；恨みごと；恨みっこ</t>
        </is>
      </c>
      <c r="H794" t="n">
        <v>29</v>
      </c>
      <c r="I794" t="inlineStr">
        <is>
          <t>我々はこんなに惨めな居住地にいるお前達を恨みに思う必要はないのだ。；このことから人に恨みを買ったり、誤解されたりすることも多かった。；我々は日本に恨みを持っていますが、それを忘れようと努力をしています。；しかし、その経歴や怨霊になった恨みの理由などは全く伝わっていない。；ゴッサム大学を解雇された恨みをはらすために恐怖ガスを利用している。；そして先祖の記憶がチュールに人間生物への恨みと殺害の指示を告げる。；理由は廃嫡されたことに対する恨みが主なものであったと考えられる。；新田は営業への恨みからねじ六への転注の謎を追求しようと動き始めた。；霊能者を自称して女王に取り入ったはガルに個人的な恨みを持っていた。；リジーは父親が土地の取得で誰かの恨みを買ってしまったのだろうと推測していた。；同年には有名な女優であった孫維世も江青の個人的恨みから虐殺された。；当然、各方面から相当の恨みも買い暴力団に事務所を荒らされたりした。；かねてからの病とその心痛から夕霧に恨みの歌を遺して死亡してしまう。；恨みの多くの底にあるのは、たばこ価格の低下が続いたことだった。；これに恨みを抱いた娘の施剣翹が、後に孫伝芳を射殺することになった。；長政がそれを恨みに思ったため、その讒言により改易されたとしている。；これはトトメス3世が彼女に恨みを抱いた場合には起こりえない。；蕭宝玄はこの事で恨みを抱き、ひそかに蕭宝巻を打倒する計画を立てた。；隻腕にされた恨みから斬りかかる兄と、身を守るために仕込みを抜く弟。；彼は敵対心が取り分け強い時さえ恨みを抱くにはあまりに寛大であった。；一般的に受け取り側に対して恨みや不満を持っている人物が送ることが多い。；実際は脱走したと思われる 丹は秦に対し深い恨みを抱くようになった。；既存の宗教・政治勢力を覆したため恨みを買う要素は大いにあったと思われる。；このために恨みを買い民衆の襲撃にあって家を焼かれている。；理由はやはり前述の通り、廃嫡されたことに対する恨みが主なものであろう。；父親の運送会社を拡張したため、ライバル会社の恨みを買っていたのである。；もう一つは彼らが弱い者の恨みを晴らす、からくり人であるということ。；本作は、夫に裏切られた妻が恨みの念を夫と浮気相手にぶつける物語。；しかも最後は破門されており、正蔵に対し恨みを強く残していたのである。</t>
        </is>
      </c>
      <c r="J794">
        <f>HYPERLINK("https://www.weblio.jp/content/恨み", "词义详情")</f>
        <v/>
      </c>
      <c r="K794">
        <f>HYPERLINK("https://yourei.jp/恨み", "查看例句")</f>
        <v/>
      </c>
    </row>
    <row r="795">
      <c r="A795" t="inlineStr">
        <is>
          <t>恨む</t>
        </is>
      </c>
      <c r="B795" t="inlineStr">
        <is>
          <t>成功</t>
        </is>
      </c>
      <c r="C795" t="inlineStr">
        <is>
          <t>読み方：うらむ
［動マ五（四）］
１ひどい仕打ちをした相手を憎く思う気持ちをもちつづける。「冷たい態度を—・む」
２自分の思うようにならない状況に不満や悲しみを持ちつづける。「世の中を—・む」
３（憾む）望みどおりにならず、残念に思う。「機会を逸したことが—・まれる」
［動マ上二］
１1に同じ。
「世の中はいかに苦しと思ふらむここらの人に—・みらるれば」〈古今・雑体〉
２ぐちを言う。
「花散らす風の宿りは誰か知る我に教へよ行きて—・みむ」〈古今・春下〉
３無念を晴らす。仕返しをする。
「入道相国朝家を—・み奉るべき事必定と聞こえしかば」〈平家・三〉
[補説]中世までは上二段活用、近世になって四段活用に転じた。</t>
        </is>
      </c>
      <c r="D795" t="inlineStr">
        <is>
          <t>恨むべき(3%)；恨むなら；恨むだろ；恨むことなく</t>
        </is>
      </c>
      <c r="E795" t="inlineStr">
        <is>
          <t>後悔；惜しむ；悔恨；怨む；悔いる</t>
        </is>
      </c>
      <c r="F795" t="inlineStr">
        <is>
          <t>どうして恨む</t>
        </is>
      </c>
      <c r="H795" t="n">
        <v>29</v>
      </c>
      <c r="I795" t="inlineStr">
        <is>
          <t>別に俺達はお前を恨んじゃいねえし、お前のせいだと思っちゃいねえさ。；恨むに決まっている、彼らは自分たちを信じて味方してくれたのだから。；恨まれこそすれ、そう笑顔を向けられるような存在じゃないはずですが。；私はお竹さんから袖にされても、少しもお竹さんを恨んではいなかった。；彼は、自分を施設に預けた母を知らず知らず恨んでいたのかもしれない。；今までに米友は、なにも不動様に恨まれるようなことをした覚えがない。；そうして何の罪にも問われず、誰にも気づかれず、恨まれることもない。；あなたを殺そうとしたくらいですから、誰かに恨まれてるんじゃないの?；罪は罪じゃが、俺やおぬしは、父のことを少しも恨んではなりもはんど。；街の人々は、お父さまが恨まれているから襲撃されたんだと言っているの。；このふたりの悪党しか、彼女の存在を恨んでいるものはいないのだから。；それから、夫人は恨むというよりは抗議するような憤りをみせて叫んだ。；実在感のない人に恨まれたと知っても、身に迫るような恐怖はなかった。；王二のひどい扱いを恨んでいるのは、その息子たちだけではなかった。；だからわたしのこと恨んだりするのはやめて、静かに眠ってちょうだい。；自分だけが救われたと悔いるのか、 自分以外が汚れていると恨むのか。；やりたくもない社長をやらされて、恨まれなくてもいい人から恨まれて。；といって私は今になってこの九州時代を決して恨んではいません。；「あのことではもうあなたを恨んでいません」 ロドルフは黙っていた。；あの女を恨んでる奴は世界中に大勢いるし、相当な高値が付くでしょう。；しかし彼女は夫の虚偽を責めるよりもむしろ夫の淡泊でないのを恨んだ。；彼女は、自分を利用した江美を全然恨んでなんかいないと電話で言っていた。；どうやら友人の死を傷むというよりは、村人を恨んでいるようだったな。；時期が同じだった為に恨まれての犯行ではないかとも言われている。；で、学校を出なかったのは自分の責任で、誰を恨む資格もありません。；自分を置いて去っていった親を恨んでもいいはずなのに、恨みなどはない。；ステファニーは息子の死の一件で自分を恨んでいると思っていたためである。；うちのものはどれだけ恨んでたことだか、云へたもんぢやアなかつた。；一部編集者には恨まれていたし、また仲間の作家からは嫌われとった。</t>
        </is>
      </c>
      <c r="J795">
        <f>HYPERLINK("https://www.weblio.jp/content/恨む", "词义详情")</f>
        <v/>
      </c>
      <c r="K795">
        <f>HYPERLINK("https://yourei.jp/恨む", "查看例句")</f>
        <v/>
      </c>
    </row>
    <row r="796">
      <c r="A796" t="inlineStr">
        <is>
          <t>羨ましい</t>
        </is>
      </c>
      <c r="B796" t="inlineStr">
        <is>
          <t>成功</t>
        </is>
      </c>
      <c r="C796" t="inlineStr">
        <is>
          <t>読み方：うらやましい
［形］［文］うらやま・し［シク］《「うらやむ」の形容詞化》他人の能力や状態をみて、自分もそうありたいと願うさま。また、他人をねたましく思うさま。「兄弟の多い人が—・い」「—・い御身分」
[派生]うらやましがる［動ラ五］うらやましげ［形動］うらやましさ［名］</t>
        </is>
      </c>
      <c r="D796" t="inlineStr">
        <is>
          <t>羨ましいと思う(3%)；羨ましいです(2%)；羨ましい限り(2%)；羨ましい気；羨ましい話</t>
        </is>
      </c>
      <c r="E796" t="inlineStr">
        <is>
          <t>うらやましい；羨む；妬ましい；ねたましい；嫉ましい</t>
        </is>
      </c>
      <c r="F796" t="inlineStr">
        <is>
          <t>実に羨ましい；ちょっと羨ましい；少し羨ましい；とても羨ましい；何とも羨ましい</t>
        </is>
      </c>
      <c r="H796" t="n">
        <v>29</v>
      </c>
      <c r="I796" t="inlineStr">
        <is>
          <t>そして男の涙の頬を伝わって流れるのを見て、その涙を羨ましく思った。；表情はわからないが、どう考えても羨ましそうにしているように見える。；それが羨ましい、とこの名を告げぬ浪人も思うたことがあるに違いない。；わたしはただ、自分の生き方を見つけた彼の姿を羨ましいと思っていた。；年上の仲間たちが持っていていつも自分が羨ましがって見ていたものだ。；あちらの友人たちの方が自分に親身になってくれているようで羨ましい。；口惜しいことに、われわれは羨ましそうな顔をしているに違いないのだ。；わたしは自分の仕事に喜びと満足とを感じていられる幸福な人々が羨ましい。；あんまり羨ましそうな口調でいうので、ぼくはその兵隊にいってやった。；かつては自分もそんな時期があったはずなのに、と少女が羨ましくなった。；腕が動く度になんとかリュウシの制服の袖がヒラヒラするのが羨ましい。；もし、ほかの者がやったんなら、羨ましくてまっ青になったところだよ。；他人が遊んで居るのが、羨ましい位なら、初めから労働しないのが善い。；ロンドンの街を歩いていると、羨ましくてならないことがひとつある。；ああ云うのが幸福に生れて来た人間だと云って羨ましがるのです。；私はそんな君を同じ男として羨ましいと思う一方で、不安を覚えるのだ。；つまり美しい首よりも哀れな醜悪な首の方が却って羨ましいのであった。；そんな子たちは、きっと家では自由を与えられていた羨ましい子たちなのだ。；好きな女の子と一つ机になった者を、ぼくは羨ましく思うことがよくあった。；たとえてみれば、月にいちばん近い星のように羨ましいものに思われたのだ。；子供の頃は社長の娘が羨ましかったが、社長の娘も楽じゃないのだ。；地に足がついているミルトンを、フルールは正直羨ましいと感じていた。；二人には子供はおらず、よそのうちの子供を羨ましがるほどであった。；俺を一つの通路として俺の先に行つた烏を羨ましがつてゐるのである。；わたくしはもうほかの女たちの持つてゐるものを羨ましいとは思ひませんでした。；そのはかないような幸福の時間がその時のお文には羨ましくてならなかった。；毛糸の帽子を被った老人は、そうですかと言い、羨ましそうな顔をした。；わたしが羨ましかったのは、単に彼女の手先の器用さのみではなかった。；あの恐ろしい物語の主人公ダンテスさえ羨ましく思わねばならぬとは。</t>
        </is>
      </c>
      <c r="J796">
        <f>HYPERLINK("https://www.weblio.jp/content/羨ましい", "词义详情")</f>
        <v/>
      </c>
      <c r="K796">
        <f>HYPERLINK("https://yourei.jp/羨ましい", "查看例句")</f>
        <v/>
      </c>
    </row>
    <row r="797">
      <c r="A797" t="inlineStr">
        <is>
          <t>羨む</t>
        </is>
      </c>
      <c r="B797" t="inlineStr">
        <is>
          <t>成功</t>
        </is>
      </c>
      <c r="C797" t="inlineStr">
        <is>
          <t>読み方：うらやむ
［動マ五（四）］《「心(うら)病(や)む」の意》
１他の人が恵まれていたり、自分よりもすぐれていたりするのを見て、自分もそうありたいと思う。「人も—・む仲」
２他人のすぐれた才能や恵まれた状態を不満に思う。「同輩の出世を—・む」</t>
        </is>
      </c>
      <c r="D797" t="inlineStr">
        <is>
          <t>羨むべき(10%)；羨むべし</t>
        </is>
      </c>
      <c r="E797" t="inlineStr">
        <is>
          <t>嫉妬；羨望；憧れる；嫉視；妬む</t>
        </is>
      </c>
      <c r="H797" t="n">
        <v>29</v>
      </c>
      <c r="I797" t="inlineStr">
        <is>
          <t>現在は日本の大相撲ほどの国民的な関心事ではないため、羨む声がある。；しかし臼淵や林の若い死を、どのような意味でも羨むことは許されない。；いまとなってはクラリッサ・ダロウェイのような女たちを羨みはしない。；子どもはおそらく狩猟のような気持でそれを羨みまた真似たものであろう。；ヘアトンは身分こそ落ちても、私はあいつを一日に二十回も羨むんだよ。；女性たちが編物やレースかがりをするのを、わたしはよく羨んだものだ。；横に付いたオカマたちが男同士の夫婦の会話を羨ましげな顔で聞いていた。；だからみんな、自然とラエーフスキイのことを羨んでいるにちがいない。；年下の少年の特別待遇を羨むのではなく、自分の疑問を素直に口にした。；実は政治家の3世である彼と婚約し、誰もが羨む結婚をしようとしていた。；当時百円の月給取と云へば、勿論人に羨まれる身分だつたのに相違ない。；まだ薔薇いろの頬の所有者、私は彼のさういふ貧血性の美しさを羨んだ。；こういう山の中にいると、スイスやライン河を羨むこともないからね。；夫婦仲は周囲も羨むほど睦まじいものであったとされ、羨望の的であった。；まだ薔薇いろの頬の所有者、私は彼のそういう貧血性の美しさを羨んだ。；私がこれからシンガポール航空に乗ると聞いて、彼はずいぶん羨んでいた。；女性は彼のために夢中になり、男性は彼を伊達者と呼んでひそかに彼を羨んだ。；事実自分が生まれてから見た幾百幾千の人で、ああ幸福な人だと羨んだ人がどこにいる。；君は、君よりはるかに忙しい部課長も羨むような机も与えられている。；次第に本物に似てくるようになるなら、芸術もたしかに羨む価値のあるものとなる。；私はどんなに其等の人の健康を羨んで見てゐたか知れなかつた。；見物していたたくさんの人達は王成の鶉をほめて羨まない者はなかった。；今、羨むほどのものを持っている者も、先には憐れまれる側になりかねない。；何かを達成したこともなければ、人から羨まれたこともない。；今までにも、高級マンションに住む人々を羨んだことはあった。；そしてイギリスはヨーロッパ中から羨まれる政治的先進国になっていたのであった。；リロイの漆黒の瞳は、まるで羨むように平凡な街の営みを見つめている。；フランス人にいわせたら、日本人の方が幸福だと、羨むかも知れない。；それでもこの一家は近所からは羨まれる方の一家だつた。</t>
        </is>
      </c>
      <c r="J797">
        <f>HYPERLINK("https://www.weblio.jp/content/羨む", "词义详情")</f>
        <v/>
      </c>
      <c r="K797">
        <f>HYPERLINK("https://yourei.jp/羨む", "查看例句")</f>
        <v/>
      </c>
    </row>
    <row r="798">
      <c r="A798" t="inlineStr">
        <is>
          <t>売上げ</t>
        </is>
      </c>
      <c r="B798" t="inlineStr">
        <is>
          <t>成功</t>
        </is>
      </c>
      <c r="C798" t="inlineStr">
        <is>
          <t>読み方：うりあげ
商品などを売って得た代金の総額。売上高。売上金。「—が伸びる」</t>
        </is>
      </c>
      <c r="D798" t="inlineStr">
        <is>
          <t>売上げ金；売上げ不振；売上げ増；売上げ高；売上げ伝票</t>
        </is>
      </c>
      <c r="E798" t="inlineStr">
        <is>
          <t>利益；上り；上がり；売り上げ；売上</t>
        </is>
      </c>
      <c r="F798" t="inlineStr">
        <is>
          <t>総売上げ；迫る売上げを記録；年間売上げ；レコード売上げ；累計売上げ</t>
        </is>
      </c>
      <c r="H798" t="n">
        <v>29</v>
      </c>
      <c r="I798" t="inlineStr">
        <is>
          <t>それは昨日の売上げだから一日と書いて下さい、それだけでいいんです。；ビデオ価格はいくらか不明だが、ビデオ売上げは4億円以上と見られる。；店は小さく、年間の総売上げが三千ターラーになるかならないかだった。；一開催での売上げが四億八千万平均であって、これはマシなほうだそうだ。；店からは一日おきくらいに幸太郎か伊助が来て、売上げの報告をして行く。；しかし皆、お気の毒ではあるが、それぞれに売上げで食べていた女達だ。；売上げをみると、なんと一票、すなわち百円しか売れていないのである。；プラスチック爆弾を製造する材料と一致する売上げのあったことが判明した。；それで成功しないと、なんのことはない、店の売上げをちよろまかした。；実際、主人が病気で店に出られなくなると、途端に売上げが落ちるという。；彼女は二枚目三枚目と順調に売上げを伸ばし続け超売れっ子になっていた。；これではいつまでも、売上げ成績が良くならないのも当然だった。；それでも売上げは落ち続け、やがてクラークは映画製作から手を引いた。；シングル・アルバム通じて自身最大の売上げを記録している。；どこの会社でもそうしているように、すべて売上げ成績は点数制度によった。；彼女の店は月にして約二万円の売上げがあり、儲けは七八千円位だそうである。；しかし売上げは伸びず、1994年を最後に、静かに販売を終了した。；その一つが最近売上げを伸ばし、新たに工場を拡げることになった。；かれはレストランを経営していたのだが、店の売上げを管理するのにたいへんな苦労をしていた。；具体的に売上げやファンの数で評価してもらえるような仕事を。；社員の数は五割増えただけなのに、売上げは五倍になったのである。；広告の文の五年間分の資料になり、その五年で売上げを十倍にした。；「それは会社の売上げ高ですか」 男は苦笑しながら首を横にふった。；彼女は私が勤めていた銀行の支店に、いつも父親の店の売上げを預けに来ていた。；彼らはこの新しい支店で毎日三百円の売上げを予想しました。；どんな作品でも、マーケットに出すまでは売上げの予測はできない。；ここは田舎であって、売上げの変動が激しいということが言いたいのだろう。；これは、歩合制のホステスを中心にした、売上げ目当てのクラブである。；この日は、ダービーの一レースだけで、百億円を越す売上げがある筈だ。</t>
        </is>
      </c>
      <c r="J798">
        <f>HYPERLINK("https://www.weblio.jp/content/売上げ", "词义详情")</f>
        <v/>
      </c>
      <c r="K798">
        <f>HYPERLINK("https://yourei.jp/売上げ", "查看例句")</f>
        <v/>
      </c>
    </row>
    <row r="799">
      <c r="A799" t="inlineStr">
        <is>
          <t>売り切れ</t>
        </is>
      </c>
      <c r="B799" t="inlineStr">
        <is>
          <t>成功</t>
        </is>
      </c>
      <c r="C799" t="inlineStr">
        <is>
          <t>読み方：うりきれ
商品が売れてしまって、残っていない状態。</t>
        </is>
      </c>
      <c r="D799" t="inlineStr">
        <is>
          <t>売り切れ状態；売り切れ店</t>
        </is>
      </c>
      <c r="E799" t="inlineStr">
        <is>
          <t>品切れ；欠品</t>
        </is>
      </c>
      <c r="F799" t="inlineStr">
        <is>
          <t>全て売り切れ；うちに売り切れ；全部売り切れ</t>
        </is>
      </c>
      <c r="G799" t="inlineStr">
        <is>
          <t>売り切れれ</t>
        </is>
      </c>
      <c r="H799" t="n">
        <v>29</v>
      </c>
      <c r="I799" t="inlineStr">
        <is>
          <t>限定生産分がわずか数ヶ月で売り切れ、現在では入手困難になっている。；これは少したくさん刷り過ぎたので、なかなか売り切れないようである。；待っているうちに売り切れちゃってたら目も当てられないからね。；たちまち売り切れそうなので、私はあわてて自分用に一区画を予約する。；しかし私たちを含めて五十人ほど入ると、もう店を閉めて売り切れだという。；人気があっていつも売り切れなら、なぜこの日だけ、一つ空いていたのか?；それはすぐに売り切れ、一時間後には、撮影する人が各所にみられた。；買えなかった客は他の店へ走り、そこもまた売り切れに追い込まれた。；パンを買うのはこの頃朝八時、夕四時、そして朝は十五分ぐらいでうり切れ。；ロンドンのバービカン・ホールでの公演は売り切れたと伝えられる。；多くの店は売り切れ次第終了となるが、材料を再補充する店はその限りではない。；人気のある源七鯉や源太鍾馗がはやばや売り切れても不思議ではない。；怪我人が多く出ただろうから、外傷用の薬は昨日のうちに売り切れたのだろう。；このツアーはロシアの多くの都市で売り切れの大成功となった。；宿の煙草も売り切れ、彼は外の自動販売機へ煙草を買いに行った。；後に回して売り切れにでもなったら目も当てられないからな。；一か月前に一万部刷ったんですが、もう売り切れてしまいましてね。；家の在庫は全部で32軒あり、売り切れてしまうとそれ以上家を建てられない。；午後になると、これらの商品が売り切れとなる店も現れた。；売り切れないところを見ると、日本人の多くは貧しくて買う金がないにちがいない。；中には五個まとめて買っていく社もあり、二〇個は安田の目の前で瞬く間に売り切れた。；売り切れたところで赤字であることに変わりはないのだが。；インドでは公開と同時にチケットが一ヶ月先まで売り切れた。；そうしたらえらい評判がよくて、その号はあっという間に売り切れた。；作品の掲載された雑誌があっという間に売り切れてしまったことが見出しになっていた。；十日にならぬ中に売り切れてしまったという。；「こんな日に限って売り切れててね」歩きだした大島が唇を尖らせた。；店には、同じメニューを求める客が数多く訪れ、売り切れになった。；早い時間に売り切れてしまう商品もあるため、欲しいものを確実に手に入れるためには時間の余裕を見て会場に到着しなければならない場合もある。</t>
        </is>
      </c>
      <c r="J799">
        <f>HYPERLINK("https://www.weblio.jp/content/売り切れ", "词义详情")</f>
        <v/>
      </c>
      <c r="K799">
        <f>HYPERLINK("https://yourei.jp/売り切れ", "查看例句")</f>
        <v/>
      </c>
    </row>
    <row r="800">
      <c r="A800" t="inlineStr">
        <is>
          <t>売り切れる</t>
        </is>
      </c>
      <c r="B800" t="inlineStr">
        <is>
          <t>成功</t>
        </is>
      </c>
      <c r="C800" t="inlineStr">
        <is>
          <t>読み方：うりきれる
［動ラ下一］［文］うりき・る［ラ下二］商品が全部売れてしまう。「コンサートのチケットはすぐに—・れた」</t>
        </is>
      </c>
      <c r="D800" t="inlineStr">
        <is>
          <t>はける；捌ける；さばける</t>
        </is>
      </c>
      <c r="H800" t="n">
        <v>29</v>
      </c>
      <c r="I800" t="inlineStr">
        <is>
          <t>しかしながらウートは売り切れるまで正確な在庫を提供することはない。；当列車はその性格から、特に上り列車の指定券は発売直後に売り切れる場合が多い。；しかしそれが十里行って売切れるか、二十里行って売り切れるかわからなかった。；想定以上に売れた為、発売翌週には売り切れるCDショップが続出した。；切符がすぐに売り切れる程の人気を博し、人形町末廣の廃業まで続いた。；夏祭りで一番早く売り切れるのはメロンって決まってるんだぜ?!?!；安価であったが需要を満たすには量が足りず、たちまち売り切れるのを常とした。；どこで売っているのか知らないが魚の餌を売っている店で品物が売り切れると、手に入らない事もある。；島民にも人気が高く、特に売れ筋の商品は定期船到着前に売り切れることもある。；その結果、このツアーはチケットがすぐに売り切れるという人気ツアーになった。；ウートは商品が売り切れるか新商品が販売開始にならない限り販売数量を公開しない。；物販スペースでは、その都度イベント開催記念商品が発売されるが早い時間で売り切れる事もある。；発売後、一時は売り切れるなどの人気からオンラインに対応するアップデート版の開発が発表された。；このため、原則として売り切れることなく24時間いつでも販売・購入できるようにしたものである。；入須に任せた二十部が本当に売り切れるという保証もないいま、覚悟を決めるときが来たようだ。；そのおかげで売り切れるということはないのだが、時々、つぶれるのではないかと心配になる。；追加生産するまでそれらが売り切れるとは思ってもいなかったが、発売当日に57台全部と用意していたフィルムも全部売り切れた。；いずれの車種も発売直後にすぐに売り切れるため、コレクターの間では高価で取引されているものも存在する。；なお、同イベントのチケットは販売開始3分で売り切れるほどの人気となった。；一時間もしないのに売り切れるのだ。；ショップチャンネルでは、新しい色を登場させる度に、直ぐに売り切れる状態となっている。；国民経済計算の統計上の需給が一致しているからと言って現実の経済で計画通りに全ての財・サービスが売り切れる状態が成り立っているわけではない。；発売後五分で売り切れるといわれるリサイタルなのに、たまたまチケットがあまってしまったのだという。；そのため、一般発売前に席が売り切れることがあった。；すぐに売り切れるということで時間との勝負のため企画が終始急いだり、売れ残りが人数分足りなく食べられない人も続出した。；A定食は三時間目には売り切れるから、確実に食べたい時は一時間目の終わりと同時に食堂に赴くことになる。；その後、生産数を決めて販売するようにしているが、販売開始後に瞬時に売り切れる事が多い。；毎日券売機で購入する手間が省けるため、当日で売り切れることが多々あった。；売り切れるお菓子屋が続出で、お嬢さんたちは行列して買って行く。</t>
        </is>
      </c>
      <c r="J800">
        <f>HYPERLINK("https://www.weblio.jp/content/売り切れる", "词义详情")</f>
        <v/>
      </c>
      <c r="K800">
        <f>HYPERLINK("https://yourei.jp/売り切れる", "查看例句")</f>
        <v/>
      </c>
    </row>
    <row r="801">
      <c r="A801" t="inlineStr">
        <is>
          <t>売り出し</t>
        </is>
      </c>
      <c r="B801" t="inlineStr">
        <is>
          <t>成功</t>
        </is>
      </c>
      <c r="C801" t="inlineStr">
        <is>
          <t>読み方：うりだし
１売りはじめること。
２新しい商品などを市場に出すこと。「新製品の—」
３一定の期間に限って、商品を特別に安く、または景品をつけて売ること。「歳末の—」
４知名度が高まっていくこと。また、その人。「最近—中の歌手」
５売って得た金。
「年を重ねしうちに、—も残らぬ程になって」〈浮・織留・二〉</t>
        </is>
      </c>
      <c r="D801" t="inlineStr">
        <is>
          <t>売り出し中(10%)；売り出したい；売り出し方</t>
        </is>
      </c>
      <c r="E801" t="inlineStr">
        <is>
          <t>セール；バーゲン；値引き；安売り；特売</t>
        </is>
      </c>
      <c r="F801" t="inlineStr">
        <is>
          <t>いま売り出し；最近売り出し；めきめきと売り出し；近ごろ売り出し；安く売り出し</t>
        </is>
      </c>
      <c r="H801" t="n">
        <v>29</v>
      </c>
      <c r="I801" t="inlineStr">
        <is>
          <t>そろそろ春蒔き用のタネもいろいろ売り出している頃なんじゃないかね。；AVアイドル的な売り出し方だったので活動初期はソフトな作品が多い。；男の腕の下であえいでいるのは、最近めきめき売り出し中の若い女優だ。；彼はラマスフィールドの売り出しでガラス食器をセットで買ったんです。；何か豪快で安そうなものがぎっしりと並んで際限もなく売り出している。；腸詰屋では売り出してある犬肉料理の一つ一つに書いてある文字であった。；それをカマに改造して売り出して、人のために役立てようとしているんだ。；朝廷が、名目上の官職に値段をつけて、売り出したことはすでに述べた。；そして2008年に命名権を売り出したために現在の名前に変更されている。；おせんちゃんが売り出したのも、師匠が一枚絵にかいてからのこと。；過去に一度、関東地方で売り出した時期もあったが、人気が得られずに撤退。；現在地が同じプレイヤー同士でアイテムの購入や売り出しができる。；さて、この佐七がにわかにぱっと売り出したのは、文化十二年春のこと。；東京辺で生粋の「蕎麦の味」を売り出したらどうかとも思う位であります。；詳しくは知らないが綾の作品以外にも色々なものを売り出しているらしい。；六年前に滝が手がけて売り出した、ポップス系のトップ・スターである。；これは完成前の1995年に売り出した際の公募価格と同額であった。；何でもな、あの工場の土地を不動産会社に売り出してるんだそうだ。；売り出し中の建築家ならとにかく、これは彼が五十五歳のときの話である。；この公演で大阪で売り出していた笠置シヅ子が東京デビューした。；このゴマ油をとる機械を最近売り出した三星の広告コピーは傑作だった。；季節ごとに様々な菓子を売り出して八丁堀の人々に重宝されている店だった。；自分を自分で売り出してゆく方法、というのを彼なりに実行した。；他社が三十三銭のところを二十九銭で売り出したのである。；我々は当時いわゆる『気鋭の学者』として売り出しているところだった。；あの頃はなんだって三人で売り出してしまうのである。；その頃は売り出したばかりで他にほとんど建物がなかったから、宣伝のためもあったんでしょう。；しかしその売り出しは失敗に終わってしまい、これ以降は表舞台から身を引く形になってしまった。；そこには目下売り出し中のコメディアン達が何人か出演している。</t>
        </is>
      </c>
      <c r="J801">
        <f>HYPERLINK("https://www.weblio.jp/content/売り出し", "词义详情")</f>
        <v/>
      </c>
      <c r="K801">
        <f>HYPERLINK("https://yourei.jp/売り出し", "查看例句")</f>
        <v/>
      </c>
    </row>
    <row r="802">
      <c r="A802" t="inlineStr">
        <is>
          <t>売り出す</t>
        </is>
      </c>
      <c r="B802" t="inlineStr">
        <is>
          <t>成功</t>
        </is>
      </c>
      <c r="C802" t="inlineStr">
        <is>
          <t>読み方：うりだす
［動サ五（四）］
１売りはじめる。「指定券を九時に—・す」
２新しい商品などを市場に出す。「新型車を—・す」
３宣伝したり、景品をつけたりして大いに売る。「特別価格で—・す」
４無名だった人が、世間に名を広める。有名になる。「女優として—・す」</t>
        </is>
      </c>
      <c r="D802" t="inlineStr">
        <is>
          <t>売り込む</t>
        </is>
      </c>
      <c r="H802" t="n">
        <v>29</v>
      </c>
      <c r="I802" t="inlineStr">
        <is>
          <t>女房の顔色見てなんかいたら、男になって売り出すことは出来はしないわよ。；あれだって、網川自身がルポを書いて売り出すための下準備だったんだ。；売れないのは彼にそれだけの魅力と売り出そうという情熱がないからよ。；新しい革新的なITを売り出す際のマーケティング手法を提案している。；後に明治初年頃より、新聞が売り出されるようになると淘汰されていった。；売り出されたばかりの本が置かれている場所から斜め後ろに約6歩。；三益の後に売り出すのは、能勢のつもりでゐたが、これは駄目と定った。；局は、アイデンティティを売り出すためにこの言葉を使用しはじめた。；この時、なんとか、この娘を次の企画で売り出さなければと考えた。；その事が後に歌謡曲路線で売り出される結果となってしまったと述懐している。；彩加も常磐線沿線の系列店と協力し田中の作品を売り出そうと動き始める。；アルバムは2014年にラドーンレコードで日本の店舗に売り出された。；バローを売り出すのに充分な情報さえ押さえてあればいいわけだし。；当時これらの書籍は一般に売り出されてもいたが少なく、かつ高価なものであった。；一つの花を売ってしまうとほかの花を売り出す仕度をしなければならなかった。；また現在の店舗では「百姓市」が開かれ野菜等が売り出されている。；デビュー時はギャル系であっても肌は白く、清楚系として売り出された。；まんじゅう屋では、翌日売り出すまんじゅうを蒸している最中であった。；ただし、彼はこの発明を市場で大々的に売り出すつもりはなかった。；あたしらは金を払ってあの人たちが作ったものを買って、薄い利益を乗せて売り出すんだ。；北村は卒業と同時に自分を売り出すことを考えていたのだ。；この仕組預金は、一見すると定期預金的な商品として売り出されている。；まれに両方の曲をB面曲とした両B面シングルとして売り出す場合もある。；男でも冷え性の人がいるのか、こちらの方は長袖が、すでに売り出されていた。；稀なことではあったが、かれの考案した枕の一つが社で採用され市場に売り出されていた。；そのために娘のカリスは布生地を染料で染めて売り出すことを考えた。；当初、乳酸発酵を利用したものを複数売り出すが、何れも成功しなかった。；翌朝売り出される乗車券を入手しようとしている人たちであった。；売り出されたこけら落とし公演のチケット1550枚はすぐに完売した。</t>
        </is>
      </c>
      <c r="J802">
        <f>HYPERLINK("https://www.weblio.jp/content/売り出す", "词义详情")</f>
        <v/>
      </c>
      <c r="K802">
        <f>HYPERLINK("https://yourei.jp/売り出す", "查看例句")</f>
        <v/>
      </c>
    </row>
    <row r="803">
      <c r="A803" t="inlineStr">
        <is>
          <t>売り手</t>
        </is>
      </c>
      <c r="B803" t="inlineStr">
        <is>
          <t>成功</t>
        </is>
      </c>
      <c r="C803" t="inlineStr">
        <is>
          <t>読み方：うりて
１品物を売る側の人。売り主。⇔買い手。
２取引所で、売りの側に立つ会員や取引員。⇔買い手。</t>
        </is>
      </c>
      <c r="D803" t="inlineStr">
        <is>
          <t>売り手市場(9%)；売り手側(3%)</t>
        </is>
      </c>
      <c r="E803" t="inlineStr">
        <is>
          <t>商人；店員；酒屋；ベンダー；店番</t>
        </is>
      </c>
      <c r="H803" t="n">
        <v>29</v>
      </c>
      <c r="I803" t="inlineStr">
        <is>
          <t>売り手は二匹八両二歩と云っているのであるが、二歩はたしかに負ける。；売り手の犯人を釈放しているくせに、買い手のおれに電話をかけて来る。；送料や箱代は売り手がもってくれるから、犬の値だけでよろしいそうだ。；十五分くらいたってようやく売り手と買い手との間に合意が成立した。；おそらく売り手は店の品をかき集めて持ち出した乾物商だったのだろう。；売り手はいくつかのダムゾグの置いてある彼の家へ、それを持って帰るのである。；鉱石の形態で、売り手と買い手の直接交渉により値段が決定されている。；この売り手市場に商機を見て新たに自動車会社を起業する者が幾つか生じた。；空前の売り手市場と言われた時期、就職活動に奔走する若者達の姿を描く。；たった数日で何百人もの売り手が出現し、価格は1組あたり数ドルにまで下降した。；売り手の男は二人の疑問に笑って答えてくれた。；調理にはまず、売り手が近隣から集めた男児の尿に卵を浸して火にかける。；特にクラブやバー、キャバレーなどは売り手のさじ加減でどうにでもなる。；しかし泣きをみたのは、それ以上に売り手のB氏の方だろう。；例として、信用やブランドなどが売り手の利益に大きく影響する場合が挙げられる。；売り手に聞いてみると主に薬の材料だという。；どこの市場でも、売り手の多くは干上がりかけたような、かみさん連だ。；新たにNP株を売ってくれるのは新たな空売りの売り手だけである。；昨日なら十五対一でも売り手があったのに、だんだんに差が少なくなってきて、いまでは三対一でもどうですかな?；淘宝網は、売り手と買い手がお互いを評価する信用評価システムも導入した。；商品のすべてを見たいと思わない買い手はいないが、商品のすべてを見せたいと思う売り手もいない。；売り手の販売量と収益性間にあるトレードオフがその原因である。；彼はパソコンの本当の価値は売り手ではなく顧客が見つけるべきものと結論付けた。；売り手はウィッシュに商品を掲載し、消費者に直接販売することが可能である。；そこにはすでに上役の権威を捨てた、売り手としての阿りすらあった。；かれやなんらの友情も知らぬもの、友を売りてわが利を得んとするものか。；固定価格契約では、売り手が価格を決定するための事前準備に時間がかかる場合がある。；昔は売り手市場だったが、いまはその逆で買い手市場である。；店にはいつもの売り手がいつもの場所に陣取っていた。</t>
        </is>
      </c>
      <c r="J803">
        <f>HYPERLINK("https://www.weblio.jp/content/売り手", "词义详情")</f>
        <v/>
      </c>
      <c r="K803">
        <f>HYPERLINK("https://yourei.jp/売り手", "查看例句")</f>
        <v/>
      </c>
    </row>
    <row r="804">
      <c r="A804" t="inlineStr">
        <is>
          <t>売り場</t>
        </is>
      </c>
      <c r="B804" t="inlineStr">
        <is>
          <t>成功</t>
        </is>
      </c>
      <c r="C804" t="inlineStr">
        <is>
          <t>読み方：うりば
１商品・切符などを売る場所。「家具—のフロアが変わる」
２売るのにちょうどよい機会。売り時。「今が絶好の—」</t>
        </is>
      </c>
      <c r="D804" t="inlineStr">
        <is>
          <t>売り場面積(6%)；売り場構成；売り場づくり；売り場担当；売り場拡張</t>
        </is>
      </c>
      <c r="F804" t="inlineStr">
        <is>
          <t>食料品売り場；定期券売り場；呉服売り場；直営売り場；乗車券売り場</t>
        </is>
      </c>
      <c r="H804" t="n">
        <v>29</v>
      </c>
      <c r="I804" t="inlineStr">
        <is>
          <t>乗車券売り場は駅舎の中にはなく、駅舎から南に離れた建物の中にある。；だったら婦人服売り場でどうしてこっちの人に知らん顔をしていたんだ。；ドアを開いて売り場に出ると、先ほどの店員が揉み手して近づいてきた。；わたしはこれまでデパートのお惣菜売り場で働いていたが、もうやめた。；一部の店舗では売り場の中に本格的なレストランを併設している場合もある。；いま売り場に展示されているのは、現金問屋から運ばれた安物ばかりだ。；果たして朝比奈さんが俺を連れて行ったのも地下の食料品売り場だった。；結局、娘はその売り場で、キャラクターの付いた子供向けの時計を選んだ。；実際、どこかの万年筆売り場をお邪魔するときは今もよく使っている。；主要な駅にあるごあんないカウンターや定期券売り場も設置されている。；閉店時点で売り場として使用していたのは地下1階から4階までである。；売り場は白を基調とした開放感がある内装で通路も広くとられている。；巫女さんの中の一番下のことで、売り場におられるような人ですね。；また、売り場の改装に合わせて従来のコーナーを大規模化した店舗もあった。；開業当初は定期券売り場があったが、後に駅事務所内へ統合された。；駅舎内には乗車券売り場やラオスの出入国審査場などが設けられている。；今でもよくデパートのオモチャ売り場で遊ぶ子供たちの姿を見かけます。；ユニット名は書店の売り場で見つけた二冊の漫画のタイトルを組み合わせたもの。；日暮里・舎人ライナーでは唯一の定期券売り場が2階に設置されている。；総菜屋に列をつくっている最後尾の女に、果物売り場はどこかと訊ねた。；観賞魚売り場は他の売り場より天井高が高くなっており往時を偲ばせる。；靴下売り場は六階だったのだが、まず地下入り口から入ったのが失敗だった。；はじめて七階の売り場に入ったときからその男たちはいたのだ。；別の売り場からハンカチやタオルを持ってきて、さっそく作業にかかる。；無精ひげの彼が再び万年筆売り場に来たのは、それから三日後のことだった。；ターミナル駅とはいえ、地方都市なので、売り場も限定されるのだろう。；ふらふらと進むうちに一周してしまい、我にかえって野菜売り場に戻る。；デパートの売り場は、客のそういう自意識の構造と深い共犯関係にある。；このクラシック売り場で、実はとても面白いレコードを見つけたのだ。</t>
        </is>
      </c>
      <c r="J804">
        <f>HYPERLINK("https://www.weblio.jp/content/売り場", "词义详情")</f>
        <v/>
      </c>
      <c r="K804">
        <f>HYPERLINK("https://yourei.jp/売り場", "查看例句")</f>
        <v/>
      </c>
    </row>
    <row r="805">
      <c r="A805" t="inlineStr">
        <is>
          <t>売り物</t>
        </is>
      </c>
      <c r="B805" t="inlineStr">
        <is>
          <t>成功</t>
        </is>
      </c>
      <c r="C805" t="inlineStr">
        <is>
          <t>読み方：うりもの
１売ろうとする品物。商品。
２商売で、客足を引き寄せるのに役立つもの。「アフターサービスが—の店」
３いちばん得意な技芸・技術。「強肩が—の外野手」</t>
        </is>
      </c>
      <c r="D805" t="inlineStr">
        <is>
          <t>売り物になら(4%)；売り物にしよ；売り物買い物；売り物件</t>
        </is>
      </c>
      <c r="E805" t="inlineStr">
        <is>
          <t>看板；名物；アトラクション；プロダクト；売物</t>
        </is>
      </c>
      <c r="H805" t="n">
        <v>29</v>
      </c>
      <c r="I805" t="inlineStr">
        <is>
          <t>父のやった門飾りの売り物なども流れの方へ属したやり方でありました。；売り物ではないため、外国人が目にしたり購入することはとても難しい。；「ああいうことを売りものにしたくないんだ」と発言したこともあった。；一方は商人に使われる組で、一口にいえば売り物専門で貿易目的である。；奴はこれまで独身ということを売り物にして女をひっかけてきたんです。；これらの施設では散歩などを売り物にしている旭山動物園などもある。；最初は売り物にするつもりだったのだが、試しに使ってみて気が変わった。；祐子自身が若さを売り物にしてきたからこそ身に染みてわかっていた。；インチキを売り物にしている香具師なんかを見ると、腹が立ちましたよ。；とるにたらん下らん奴らに、金のために官職を売り物にするとは何事だ。；警察にマークされているにもかかわらず、あえて制服を売り物にしている。；たとえうしろ暗いことはしていないにしても、ヌードが売り物の女たちだ。；酒を飲みながら将棋を指すことのできるのが、この店の売りものであった。；だれがそんなものを売りものにするのかわからないが、ぬかれていた。；理由はあのひとに見返られた女を売りものにしたくないからでした。；やくざ記事が売り物の週刊誌の広告にも、新田のことは出ていなかった。；かなり広いが、何の設備もない殺風景が売りもののような部屋だった。；それを売りものにしようとしていた、長篇小説の作家が急逝したのである。；「売り物はこのふたりです」椅子から立ちあがった人の気配を感じる。；あんたよか良い女が、それこそ山ほど手前の体を売り物にしてる。；売り物というよりは、展示品やレイアウトの一部といった雰囲気だった。；だから私はこの家が売り物に出ていたのを幸い自分から買って調べてみる気になったのです。；本当は俺が金もらいたいくらいなのに、売り物をただで使ったと言われてな。；きっとどこかに、バーの売り物があるとかなんとか持ちかけたんでしょう。；そのことを売りものにして、アメリカの兵器会社が他国へ輸出しているのだ。；別にその絵を売り物にしようと考えているわけではなかった。；歩道にテーブルをだしている飲食店は、油で揚げたパンが売り物である。；厭なのは心の傷ではなく売り物の体につけられている傷だった。；空き・売り物件と謳っているとは思えないほど物が残っているのは何故か?</t>
        </is>
      </c>
      <c r="J805">
        <f>HYPERLINK("https://www.weblio.jp/content/売り物", "词义详情")</f>
        <v/>
      </c>
      <c r="K805">
        <f>HYPERLINK("https://yourei.jp/売り物", "查看例句")</f>
        <v/>
      </c>
    </row>
    <row r="806">
      <c r="A806" t="inlineStr">
        <is>
          <t>売る</t>
        </is>
      </c>
      <c r="B806" t="inlineStr">
        <is>
          <t>成功</t>
        </is>
      </c>
      <c r="C806" t="inlineStr">
        <is>
          <t>読み方：うる
［動ラ五（四）］
１代金と引き換えに品物や権利などを相手に渡す。「商品を—・る」「土地を—・る」⇔買う。
２自分のことを世間に知られるようにする。また、有名になる。「顔を—・る」「名を—・る」「味で—・る店」
３自分の利益のために、味方を裏切って敵の利益のために働く。「仲間を—・る」「国を—・る」
４相手に行動させるよう仕掛ける。また、押しつける。「恩を—・る」
５別の目的に利用する。口実にする。
「ぬけ参りの者に御合力と、御伊勢様を—・りて」〈浮・永代蔵・二〉
[可能]うれる
［動ラ下二］「う（売）れる」の文語形。
[下接句]油を売る・男を売る・恩を売る・顔を売る・国を売る・喧嘩(けんか)を売る・媚(こび)を売る・名を売る・情けを売る・身を売る・羊頭(ようとう)を掲げて狗肉(くにく)を売る</t>
        </is>
      </c>
      <c r="D806" t="inlineStr">
        <is>
          <t>売るべき；売る女たち；売るようなまね；売る売ら</t>
        </is>
      </c>
      <c r="E806" t="inlineStr">
        <is>
          <t>販売；営業；扱う；取引；商売</t>
        </is>
      </c>
      <c r="F806" t="inlineStr">
        <is>
          <t>高く売る；作って売る；売るほど赤字；売るような真似</t>
        </is>
      </c>
      <c r="H806" t="n">
        <v>29</v>
      </c>
      <c r="I806" t="inlineStr">
        <is>
          <t>装備生産は、店で売られている物より性能の良いものが作成可能である。；ぼくはヴァイオリンを売ろうかと思っていたところへきみが声をかけた。；また、その途中で手に入れたアイテムを売ることでも得ることができる。；他に露店等にて他のプレイヤーが売っている物を買うことで手に入る。；もう少し値があがるのを待ってから売ろうと思っていた物件なんだがな。；どうせ金が足りなければ僕の小さな本の版権でも売つて払ひをするから。；彼らは自分たちの一番価値のある財産を売ったり他のことをすることができた。；労働者は自らの労働力を商品化し、資本家にそれを売って生活している。；顎がないことが度々取り上げられることがあり、本人も売りにしている。；危険なので外国人相手の販売のみで国内では売っていないらしい。；病院経営で裕福な両親が株を売って数千万円をつくり、選挙資金とした。；だが、クロックが金がないというと王に売った船をもらうことにした。；そのクラスで自分の書いた文章を売ったことがあるのは彼ら二人だけだった。；彼の最初に実現したモデルは赤いオーバーコートで、400着も売った。；日本以外で実際にこの製品が売られているのを見かけたという報告はない。；これは地方の軍閥が勝手に外国に漁業権を売ったことにも原因がある。；画家をめざす青年・岡野瞬は東京の路上で自分の描いた絵を売っていた。；彼は一匹の小猿をつれていて、それを人に売ろうとしているのだった。；本作ではコンピュータがこのようなチートをしないことを売りにしている。；商業的には、ガラス質、もしくは一部結晶化された状態で売られている。；ただし多くの家庭でまだ使われており、互換用の機器が売られてもいる。；落ち込んでいると、今度は母がこの家を売ろうとしていることに気づく。；彼の家族は、これが別に役に立つものとも思えぬのに、売ろうとしない。；彼らはマカー族に助けられたが奴隷として扱われアメリカ人に売られた。；インディーズでありながら1300万枚を売りあげた大ヒット作である。；隕石と称して岩石を売る業者があるが、本物である可能性は極めて低い。；これは既に廃盤のモデルだが、東南アジアなどでは今でも売られている。；あんたが農奴が必要だというから、わしはそれを売ろうというのですよ。；しかし、これをもってこの号をすべての年齢層に売ろうとしたわけではない。</t>
        </is>
      </c>
      <c r="J806">
        <f>HYPERLINK("https://www.weblio.jp/content/売る", "词义详情")</f>
        <v/>
      </c>
      <c r="K806">
        <f>HYPERLINK("https://yourei.jp/売る", "查看例句")</f>
        <v/>
      </c>
    </row>
    <row r="807">
      <c r="A807" t="inlineStr">
        <is>
          <t>潤い</t>
        </is>
      </c>
      <c r="B807" t="inlineStr">
        <is>
          <t>成功</t>
        </is>
      </c>
      <c r="C807" t="inlineStr">
        <is>
          <t>読み方：うるおい
１適度の水分を含むこと。しめり。「肌の—を保つ」
２落ち着きのある味わい。精神面で、ゆとりがみられること。情味。「心の—」「—のある文章」
３金銭的に余裕ができること。豊かになること。「暮らしに—が生まれる」
４恵み。恩恵。「天来の—を受ける」</t>
        </is>
      </c>
      <c r="D807" t="inlineStr">
        <is>
          <t>潤いはじめ；潤いなき</t>
        </is>
      </c>
      <c r="E807" t="inlineStr">
        <is>
          <t>艶；水分；湿気；湿度；つや</t>
        </is>
      </c>
      <c r="H807" t="n">
        <v>29</v>
      </c>
      <c r="I807" t="inlineStr">
        <is>
          <t>いま私はそのねがいが熱と潤いとを帯びて心のなかに高まるのを感ずる。；それは彼女の生活にいくらかでも潤いを与えてくれるはずだった。；潤いのある歌と、味いのある歌と、そこにどういう差があるかと考えて見た。；眼の少し疲れた時には、眼薬を一滴、眼の中に落して、潤いを持たせる。；私はいま、かつてない過酷な環境で潤いのない生活を送っております。；潤いとさわやかさをイメージした瑠璃色のロゴマークも新たに導入した。；この頃のあなたのお手紙は輝きと潤いと喜びで私の心をたたきます。；生活に潤いが出たせいか、病気まで吹き飛んでしまったようでした。；春がもたらした潤いを夏が溶かし、冬の季節風が風化させてしまったのだ。；肩へゆたかに黒髪を散らし、大きな潤いのある眸子をもった娘であった。；そうして味いのある歌に潤いが無いということも考えられない。；中から取出されたのは、胴に珠のような潤いをもった肩衝の茶入だった。；イギリスには多い花だが、荒涼としたシェトランド島では貴重な潤いである。；それは参覲交代の大名の行列から来る余沢の潤いであるとのことです。；潤いをおびたバラ色の肌は、眠気で重たい眼も、開かせずにはおかない。；そうかと言って田舎の都会らしい潤いにすらも乏しいではないか。；わけても誘惑的に見えているものは、潤いを持ったふくよかな口であった。；男ばかりの学園生活の中、生徒たちに活気と精神的な潤いを与える為に設けられた制度。；彼らは涙の川に浸かるために日常生活に潤いを与えてくれるものを必要としているんだ。；ようやく出た声は、喉を通過する間に潤いを窄り取られたみたいに嗄れ切っていた。；潤いも、力もない筆を動かしているという気がすることがある。；そのことが、いよいよ川筋の風景を潤いのないものにしていた。；予は是等の歌を、潤いのある歌、味いをもって勝った歌として推奨したい。；池は変形の星型をしていて、この桂園に潤いと変化を持たせている。；いつか心はすさみ、荒々しい潤いのないものに陥ってしまうでありましょう。；成長すればするほどに知る、無味簡素な現実に潤いを持たせてくれる最後の存在。；どんなに潤いのない不幸な性格の者でも、十六歳のときにはまずこういったことから始める。；それどころか、むしろ顔は爽やかに、肌はしっとりと潤いを増している。；少し前までは、これで十分に潤いが生じていたのだ。</t>
        </is>
      </c>
      <c r="J807">
        <f>HYPERLINK("https://www.weblio.jp/content/潤い", "词义详情")</f>
        <v/>
      </c>
      <c r="K807">
        <f>HYPERLINK("https://yourei.jp/潤い", "查看例句")</f>
        <v/>
      </c>
    </row>
    <row r="808">
      <c r="A808" t="inlineStr">
        <is>
          <t>潤う</t>
        </is>
      </c>
      <c r="B808" t="inlineStr">
        <is>
          <t>成功</t>
        </is>
      </c>
      <c r="C808" t="inlineStr">
        <is>
          <t>読み方：うるおう
［動ワ五（ハ四）］
１ほどよい水分を帯びる。水分が行き渡る。湿る。「慈雨で田畑が—・う」
２利益や恩恵を受ける。「地域が—・う」
３豊かになる。ゆとりができる。「ふところが—・う」</t>
        </is>
      </c>
      <c r="D808" t="inlineStr">
        <is>
          <t>濡れた；湿った；潤った；潤っている；水分を含む</t>
        </is>
      </c>
      <c r="H808" t="n">
        <v>29</v>
      </c>
      <c r="I808" t="inlineStr">
        <is>
          <t>とにかく、おまえの懐は十分潤っている、てことだけ覚えておくといい。；指が、触れるまでもなく潤っているに違いないあたりをうごめいている。；間もなく空が雲に覆われて雨が降り出し、田畑は潤って人々は救われた。；都市が成長すると新しく住宅やビルが必要とされ、建設業界も潤った。；神とキリストの御霊の愛に潤うて、愛の生涯を送る者が基督者である。；そうすればあとがきエピソードの泉がいつも潤ってくれるわけです。；開業間もない製紙各社は不況に苦しんでいたが、この注文で潤っている。；しかしこの男を潤わせたのは何よりも器用な両脚が備わっていたことである。；「まだ終わってない」 喉はそれなりに潤ったはずなのに、声が掠れた。；それがやがて他人を潤おす本になるのだと思われます。；すでに私も潤って、そこから溶けだしそうになっているというのに。；そのため、東京だけではなく地方の雇用・経済をさらに潤わせることに成功した。；遠坂の言葉とは裏腹に、彼女の秘所はまだ潤っていないように見える。；するとたちまちのうちに大雨が降り国中が潤ったのであった。；愛情のしるしで潤っていたことに、村上は気づいてくれただろうか。；延長でもっとも潤うのは、著作物の商品化と著作権の管理にあたる者である。；これだけ潤っているのは、静子が抱かれたいと願っている証拠だろう。；あの遺跡の水濠も同じように湧き水で潤っていたのかもしれない。；また全集で潤った新潮社の佐藤義亮はこの建立に多額の寄付をしている。；胸の動悸が早くなるにつれて、組んでいる足のその奥が潤っていくのがわかる。；記録によれば地味は肥え、洪水も旱魃もなくて、百姓たちは潤っている。；そのことで、三条西家は潤っている面もなきにしもあらずであった。；この施業案により公有林の経営をなし、村の収入が大幅に潤うことになった。；複数の企業が競合しても多くの企業が潤うような市場であれば、十分な利益を得ることができる。；言われてみれば、髪が湿り気を帯びているし肌も潤っている。；外の資本のホテルで村が潤うと思うのは大間違いだぞ。；まだ夏とは呼べない頃なのに、今年は梅雨入りも早く大気はすでに潤っていた。；しかし脚の間の水の量は変わらず、それは二十代の頃よりも粘度を帯び潤う速度を増した。；大規模で継続的な公共投資は、地方の雇用・経済をさらに潤わせることになった。</t>
        </is>
      </c>
      <c r="J808">
        <f>HYPERLINK("https://www.weblio.jp/content/潤う", "词义详情")</f>
        <v/>
      </c>
      <c r="K808">
        <f>HYPERLINK("https://yourei.jp/潤う", "查看例句")</f>
        <v/>
      </c>
    </row>
    <row r="809">
      <c r="A809" t="inlineStr">
        <is>
          <t>うるさい</t>
        </is>
      </c>
      <c r="B809" t="inlineStr">
        <is>
          <t>成功</t>
        </is>
      </c>
      <c r="C809" t="inlineStr">
        <is>
          <t>読み方：うるさい
［形］［文］うるさ・し［ク］
１物音が大きすぎて耳障りである。やかましい。「隣の話し声が—・い」
２注文や主張や批評などが多すぎてわずらわしく感じられる。細かくて、口やかましい。「—・い小姑(こじゅうと)」「規則が—・い」「ワインにはなかなか—・い」
３どこまでもつきまとって、邪魔でわずらわしい。また、ものがたくさんありすぎて不愉快なさまにもいう。しつこい。「ハエが—・くつきまとう」「この写真はバックが—・い」
４いやになるほどにすぐれている。
「御心とどめて物宣ふにこそあめれ。—・き人の幸ひなりや」〈宇津保・沖つ白浪〉
５いやになるほどに、こまごまといきとどいている。
「れいの—・き御心とはおもへども、えさは申さで」〈源・夕顔〉
６技芸がすぐれている。
「織女(たなばた)の手にも劣るまじく、その方も具して、—・くなむはべりし」〈源・帚木〉
[補説]古くは、いきとどいて完全であるさまを、わずらわしく感じる意と、よしとする意の両面からいった。
[派生]うるさがる［動ラ五］うるさげ［形動］うるささ［名］
[用法]うるさい・やかましい——「人々の叫ぶ声がうるさい（やかましい）」「窓を打つ風の音がうるさい（やかましい）」「ブルドーザーの音がうるさい（やかましい）」のように、不快に感じる声・物音・騒音などには相通じて用いられる。◇「蚊のブーンという羽音がうるさい」など、必ずしも大きな音ではないが、わずらわしく感じられるときは「うるさい」が用いられる。◇また、「うるさい」は「規制がうるさい」「世間がうるさい」「髪が長すぎて、うるさい」「装飾がごてごてとうるさい」など、音以外の不快なものにも用いられる。◇「親がうるさい（やかましい）」「味にうるさい（やかましい）」「時間にうるさい（やかましい）」など、「あれこれ言う」の意味では相通じて使われるが、「やかましい」のほうががみがみ言う度合いが強い感じである。</t>
        </is>
      </c>
      <c r="D809" t="inlineStr">
        <is>
          <t>うるさいこと(7%)；うるさい奴；うるさいやつ；うるさい音；うるさい連中</t>
        </is>
      </c>
      <c r="E809" t="inlineStr">
        <is>
          <t>難しい；面倒；迷惑；厄介；賑やか</t>
        </is>
      </c>
      <c r="F809" t="inlineStr">
        <is>
          <t>あまりうるさい；あんまりうるさい；いろいろうるさい；ちょっとうるさい；少しうるさい</t>
        </is>
      </c>
      <c r="G809" t="inlineStr">
        <is>
          <t>うるさいうるさいうるさい；うるさい黙れ</t>
        </is>
      </c>
      <c r="H809" t="n">
        <v>29</v>
      </c>
      <c r="I809" t="inlineStr">
        <is>
          <t>このうるさいことをはばかって出て来ないでおられる私とは思われない。；それでうるさがるようならこれはもう早く切れてしもうが勝ってもンよ。；そんなことさえしてくれなければ、何もうるさいことなんかないのにさ。；原作が子供たちをうるさがって腹を立てているのを見たことがありますよ。；しかし口のうるさい世間の人がそれをそのままに見逃がす筈がなかった。；うるさくなれば、金を出すのはこちらだから得になることは一つもない。；そして澄江に会ふことが、ただうるさいと思ふばかりのことなのである。；そのとき、背後からひどくうるさい馬のひづめの音が近づいてきました。；ちょっと前に、バイクの音がうるさいって文句言ってきたことがあって。；うるさくして追い出されたくなかったからだが、理由はほかにもあった。；貴様なんかに聞くことはないが、あんまりうるさいから出て来てやった。；風が吹きつけてくるたびに、生駒はうるさそうに手をあげて顔を覆った。；あなたはみんながうるさくて、気が落ちつかないにちがいありませんわ。；この居心地のよい部屋はうるさいほどの趣味のよさで統一されている。；任務以外の時間はうるさいことを言わず隊員の自由に過ごさせていた。；それ以上、うるさく訊くこともあるめえが、何にも知らぬと云ってくれ。；うるさくて忙しい町の暮らしをしていた私には、いい保養になりました。；女は時々私の愛撫をうるさがったが、私はそんなことは顧慮しなかった。；けれど一つは皆がゴオドのことでうるさく彼に言つたからでもあつた!；私が遠野の屋敷に帰ってきていた理由は、一重に父がうるさかったからだ。；うるさいわね、日本のムービーなんてみんなおなじにしか見えないわよ。；ただひとつうるさいのは、かれらが杢助から眼を放さないことであった。；雨も本降りになってきたようで、裏のトタン屋根がうるさく鳴っている。；エジプト隊はアフリカ木琴とアフリカ太鼓をうるさく打ち鳴らしている。；山の獣や樹や川や鳥はうるさくはなかったがな、と彼は思いました。；うるさい二匹の犬は私がそれを飲み終るまでも側に附いて眺めて居た。；この子がいないでもなげかれるし、この子がいてうるさくてもなげきだ。；しかしあくまで約束にうるさいだけで、勉強しろとは言われなかった。；ただこのことでダグラス夫人にうるさく質問することだけはやめて下さい。</t>
        </is>
      </c>
      <c r="J809">
        <f>HYPERLINK("https://www.weblio.jp/content/うるさい", "词义详情")</f>
        <v/>
      </c>
      <c r="K809">
        <f>HYPERLINK("https://yourei.jp/うるさい", "查看例句")</f>
        <v/>
      </c>
    </row>
    <row r="810">
      <c r="A810" t="inlineStr">
        <is>
          <t>麗しい</t>
        </is>
      </c>
      <c r="B810" t="inlineStr">
        <is>
          <t>成功</t>
        </is>
      </c>
      <c r="C810" t="inlineStr">
        <is>
          <t>読み方：うるわしい
［形］［文］うるは・し［シク］
１精神的に豊かで気高く、人に感銘を与えるさま。心あたたまり、うつくしい。「—・い母性愛」「—・しい友情の発露」
２形・色・容姿などが、目に快く映るさま。うつくしい。「—・い女性」「見目(みめ)—・い」「—・い歌声」
３機嫌・顔つきが晴れ晴れしているさま。「本日も御機嫌—・しくいらっしゃる」
４乱れたところがなく、整っているさま。
㋐うつくしく、みごとである。壮麗である。
「畳(たた)なづく青垣、山籠れる大和し—・し」〈記・中・歌謡〉
㋑人の性格・行動などが、きちんとしていてよい。折り目正しく、きちょうめんである。
「夜ごとに十五日づつ—・しう通ひ住み給ひける」〈源・匂宮〉
㋒端正である。形が整っている。
「いみじう気高げにおはする女の—・しく装束(さうぞ)き給へるが」〈更級〉
５正式のものである。本格的である。
「—・しくは、ただくるくると巻きて、上より下へ、わなの先を差しはさむべし」〈徒然・二〇八〉
６うつくしく、いとしい。かわいらしい。
「山吹は日に日に咲きぬ—・しと吾(あ)が思(も)ふ君はしくしく思ほゆ」〈万・三九七四〉
７人と人との間柄が良好なさま。仲がよい。親しい。また、むつまじい。
「昔、男、いと—・しき友あり」〈伊勢・四六〉
[補説]元来、「うつくし（い）」は、かわいい、愛すべきだ、の意を表し、「うるわし（い）」は、整った、端正な美を表した。「うつくし（い）」が「きれいだ」となるのに対し、「うるわし（い）」は「りっぱだ」に近づく。
[派生]うるわしげ［形動］うるわしさ［名］</t>
        </is>
      </c>
      <c r="D810" t="inlineStr">
        <is>
          <t>麗しいもの(4%)；麗しい光景；麗しいお姿；麗しい女；麗しい花</t>
        </is>
      </c>
      <c r="E810" t="inlineStr">
        <is>
          <t>いい；よい；美しい；良い；見事</t>
        </is>
      </c>
      <c r="H810" t="n">
        <v>29</v>
      </c>
      <c r="I810" t="inlineStr">
        <is>
          <t>私は十日に彼女と会いましたけれど、その時もご機嫌麗しかったですよ。；麗しき友人は編集者をしており、担当の小説家との関係に疲弊していた。；麗しき木の緑の葉のごとく、あるものは落ち、あるものはふたたび生ず。；目の前の桃髪少女には、そんな麗しい気持ちはどうやら存在しないようだ。；それは年の比が十六七で、その麗わしいことは儔のない麗しさであった。；女の人達には麗しい人がゐなくて、椅子に組んだ足ばかり私はながめてゐた。；容姿、美貌の麗しい女性はパトリキの有力者達のものと決められていた。；燭は麗しといえどここもまた観ずれば刃なき戦場なりといえないことはない。；我が麗しのマスターは、根っこの部分で遠い入口を見つめ始めたようだ。；中にいたのは歳六・七歳ほどの麗しい幼い姫であった。；どんなに麗しい姿形をしていても、厳密な意味で『女』ではないのだ。；みめ麗しい美少女が、やせ過ぎの少年をノックアウトしたところだった。；三四十人の麗しい女が公主を扶けて入ってきてかわるがわる拝をした。；なにしろ麗しく貴やかなアーヴの統率者になるかもしれない少女である。；雛菊はどの一本をとってみても他の雛菊とその麗しさにおいて変りはない。；意地悪な表情をしているはずなのに、つい見とれてしまうほど麗しい。；容姿の妙なる美しさをもつ女性のことを「麗し女」と呼んだのが、それです。；美を友として世を送った人のみが麗しい往生をすることができる。；城兵五百の歓喜と涙のひとみに、その煙と空は、いかに麗しく見えたろうか。；愛し愛さるることは、若い時には麗しい奇蹟のような気がするものだ。；そのうちの一人は件の通り、腰まで届く長い金髪が麗しい美女である。；息子と娘が一人ずついるが、彼らは見た目も青髪の麗しき空間種族だ。；その麗しい顔から、一部のファンの中では顔面国宝と言われている。；僕はその後、名前の挙がった彼の麗しき友人たちにも酒を餌にして確かめた。；照子と英一との姉弟愛の深く麗しかつた事は今思ひ出しても涙が出る。；多くは不満げな様子だったが、麗しの王佐閣下に命じられては仕方がない。；彼女は驚き走り回ったあと、すぐにその矢を自分の部屋の床に置くと麗しい男の姿に戻った。；無論、実際よりもなお麗しくなお立派なものにして憬慕するのである。；それは十五、六の麗しい女で、その後には一人の婢がつきそっていた。</t>
        </is>
      </c>
      <c r="J810">
        <f>HYPERLINK("https://www.weblio.jp/content/麗しい", "词义详情")</f>
        <v/>
      </c>
      <c r="K810">
        <f>HYPERLINK("https://yourei.jp/麗しい", "查看例句")</f>
        <v/>
      </c>
    </row>
    <row r="811">
      <c r="A811" t="inlineStr">
        <is>
          <t>憂い/愁い</t>
        </is>
      </c>
      <c r="B811" t="inlineStr">
        <is>
          <t>无结果</t>
        </is>
      </c>
      <c r="H811" t="n">
        <v>0</v>
      </c>
      <c r="J811">
        <f>HYPERLINK("https://www.weblio.jp/content/憂い/愁い", "词义详情")</f>
        <v/>
      </c>
      <c r="K811">
        <f>HYPERLINK("https://yourei.jp/憂い/愁い", "查看例句")</f>
        <v/>
      </c>
    </row>
    <row r="812">
      <c r="A812" t="inlineStr">
        <is>
          <t>憂える/愁える</t>
        </is>
      </c>
      <c r="B812" t="inlineStr">
        <is>
          <t>无结果</t>
        </is>
      </c>
      <c r="H812" t="n">
        <v>0</v>
      </c>
      <c r="J812">
        <f>HYPERLINK("https://www.weblio.jp/content/憂える/愁える", "词义详情")</f>
        <v/>
      </c>
      <c r="K812">
        <f>HYPERLINK("https://yourei.jp/憂える/愁える", "查看例句")</f>
        <v/>
      </c>
    </row>
    <row r="813">
      <c r="A813" t="inlineStr">
        <is>
          <t>嬉しい</t>
        </is>
      </c>
      <c r="B813" t="inlineStr">
        <is>
          <t>成功</t>
        </is>
      </c>
      <c r="C813" t="inlineStr">
        <is>
          <t>読み方：うれしい
［形］［文］うれ・し［シク］
１物事が自分の望みどおりになって満足であり、喜ばしい。自分にとってよいことが起き、愉快で、楽しい。「努力が報われてとても—・い」「—・いことに明日は晴れるらしい」⇔悲しい。
２相手から受けた行為に感謝しているさま。ありがたい。かたじけない。「あなたの心遣いが—・い」
３（俗な言い方で）かわいい。にくめない。「何と—・い男じゃないか」
[派生]うれしがる［動ラ五］うれしげ［形動］うれしさ［名］</t>
        </is>
      </c>
      <c r="D813" t="inlineStr">
        <is>
          <t>嬉しいこと(12%)；嬉しいです(4%)；嬉しいんです；嬉しいだろ；嬉しい事</t>
        </is>
      </c>
      <c r="E813" t="inlineStr">
        <is>
          <t>いい；よい；良い；幸福；明るい</t>
        </is>
      </c>
      <c r="F813" t="inlineStr">
        <is>
          <t>本当に嬉しい；どんなに嬉しい；たら嬉しい；こんな嬉しい；一番嬉しい</t>
        </is>
      </c>
      <c r="H813" t="n">
        <v>29</v>
      </c>
      <c r="I813" t="inlineStr">
        <is>
          <t>子供らは自分の家に何でも欲しいものがあるのが嬉しくてならなかった。；まだ誰も知っては居ませんが、二人はもうそんな嬉しい仲だったのです。；けれどもやっぱり自分の子だと見えて、どこか嬉しそうな様子が見えた。；彼女がわたしを見てあまり喜んだので、こちらも嬉しくなってしまった。；それならば、なぜ彼女をあそこで見かけたのがそれほど嬉しかったのか?；明らかに嬉しかったのはそんな優れた仲間に自分が高く評価されたことだ。；もっともな話で、妹の価値を理解しているのが、私も嬉しく思いました。；わたしに何か言われて詩を想うように嬉しそうな眼で上眼遣いに考える。；彼は自分に与えられた重要な立場にすっかり嬉しくなり得意になった。；余り嬉しくってじっと黙って眺めているだけでは我慢が出来ませんでした。；隣の社の境内から朝日が静かに射しているのも嬉しいことの一つだった。；この話をした男だつて、世の中には外にもつと嬉しいことがたんとある。；女は最初それを嬉しく思って安心していたが、後になっては変だと感じた。；私はそれを茶棚の隅に置いて、自分のもちものにすることが嬉しかった。；よく見覚えておきなさいと、御自分でなさりながら、嬉しそうだったわ。；私はもう無罪の判決を嬉しいと感じる気力もない程疲れ切っていました。；僕は彼女といるのが嬉しかったし、自分が彼女を愛していると考えていた。；お前がほかの家の出だったなら 俺もいまの働きをもっと嬉しく思うのだが。；隼斗が自分の屋敷を訪れてくれるだけで、十分に嬉しかったからである。；前の男の子のときと違って、彼が私のからだに興味を持つのも嬉しかった。；父親が戦死したため父親を知らずに育ってきたので余計に嬉しかったのだ。；嬉しくもなさそうであったが、と言って、別段嫌でもなさそうであった。；御飯だけだと思っていたので、酒とは意外であったが、彼は嬉しかった。；その嬉しさが出た時、自分は風も雨も海嘯も母も兄もことごとく忘れた。；何年も前からフォローしているブランドだったため、嬉しかったという。；そして、私は彼女はどんなに嬉しいことだらうとありありと心に描いた。；元さんはサーカスを見るのは始めてであると本当に嬉しいようであった。；キリトさんが好きなことする手助けができて嬉しかったんだと思います。；しかしそれより彼はもうその嬉しい仕事の想像に気を取られてゐた。</t>
        </is>
      </c>
      <c r="J813">
        <f>HYPERLINK("https://www.weblio.jp/content/嬉しい", "词义详情")</f>
        <v/>
      </c>
      <c r="K813">
        <f>HYPERLINK("https://yourei.jp/嬉しい", "查看例句")</f>
        <v/>
      </c>
    </row>
    <row r="814">
      <c r="A814" t="inlineStr">
        <is>
          <t>売れ行き</t>
        </is>
      </c>
      <c r="B814" t="inlineStr">
        <is>
          <t>成功</t>
        </is>
      </c>
      <c r="C814" t="inlineStr">
        <is>
          <t>読み方：うれゆき
商品などが売れてゆくようす。売れるぐあい。「—が悪い」</t>
        </is>
      </c>
      <c r="D814" t="inlineStr">
        <is>
          <t>売れ行き不振(3%)；売れ行きが悪く；売れ行きが芳しく；売れ行きがよく；売れ行きが良く</t>
        </is>
      </c>
      <c r="E814" t="inlineStr">
        <is>
          <t>景気；商い；商況</t>
        </is>
      </c>
      <c r="F814" t="inlineStr">
        <is>
          <t>良好な売れ行き；大変な売れ行き</t>
        </is>
      </c>
      <c r="H814" t="n">
        <v>29</v>
      </c>
      <c r="I814" t="inlineStr">
        <is>
          <t>バンドの音楽は売れ行きが悪く、グループはファンを獲得できなかった。；これも高い売れ行きとなり、イギリス、アメリカの新聞にも連載される。；これではあまり売れ行きがよくなかったのもわかるような気がする。；絵も悪くなかったが、それでも予想しなかったほどの売れ行きでした。；日本では初の本格的な翻訳集で、売れ行きは上々であった模様である。；フランスでは関連グッズの売れ行きを含めて一種の社会現象となっている。；レコードの売れ行きは当時最も売れた流行歌を上回るほどだったという。；これはラジオ誕生以前の楽譜の売れ行きとしては最高の数字であった。；季節や天候による売れ行きのちがいを見きわめるのが大変だったという。；新聞や雑誌に次々と好意的な書評が出るようになって売れ行きは加速した。；このアルバムは批評家からの評判は得たものの売れ行きは芳しくなかった。；チケットの売れ行きの悪さからチームの移転や売却の噂も流れた。；日本では東京・銀座の老舗レコード店で1万枚に達する売れ行きを記録。；しかし4thアルバム以降は、以前ほどの売れ行きは見せなくなった。；その中で複数の芸人がチケットの売れ行きが良くないことを明かしていた。；あまりにも高い価格をつけすぎて、売れ行きが悪くならないようにする必要がある。；このバンドは演奏能力が不足していることでも知られ、売れ行きは不調だった。；最も売れ行き多く、したがって多く輸入されているのは黒蝦色の羅紗です。；アモスコの売れ行きがぱったり止ったのもちょうどそのころからだった。；その内にどう云ふ拍子だつたか、話題が当時評判だつた或小説の売れ行きに落ちた。；この本はのような批評家からは批判されたものの、売れ行きは好調であった。；あなたとこの前会って一年ほどしてから、売れ行きがぴたりと止まったんです。；売れ行きは好調ではあったが、この頃は学習塾で国語の講師も務めていた。；日本でも販売されたが、売れ行きが悪いため2000年に輸出終了。；政権党内の有力者や成長株のパーティー券は高く、また売れ行きもよい。；そしてその後の作品の売れ行きは大変良いものであった。；この三色をどう並べても売れ行きが同じ、というわけではないらしい。；この本は、アメリカとヨーロッパで200万部以上の売れ行きを記録している。；DVDの売れ行きが良ければ制作会社が発表するだろうともしている。</t>
        </is>
      </c>
      <c r="J814">
        <f>HYPERLINK("https://www.weblio.jp/content/売れ行き", "词义详情")</f>
        <v/>
      </c>
      <c r="K814">
        <f>HYPERLINK("https://yourei.jp/売れ行き", "查看例句")</f>
        <v/>
      </c>
    </row>
    <row r="815">
      <c r="A815" t="inlineStr">
        <is>
          <t>売れる</t>
        </is>
      </c>
      <c r="B815" t="inlineStr">
        <is>
          <t>成功</t>
        </is>
      </c>
      <c r="C815" t="inlineStr">
        <is>
          <t>読み方：うれる
［動ラ下一］［文］う・る［ラ下二］
１商品などが買われる。「高値で—・れる」「よく—・れる新製品」
２世間に知られる。有名になる。「業界で顔が—・れている」
３人気があって、もてはやされる。「最近—・れている小説家」</t>
        </is>
      </c>
      <c r="D815" t="inlineStr">
        <is>
          <t>売れるだろ(3%)；売れるかもしれ；売れるかどう；売れるものなら；売れる売れない</t>
        </is>
      </c>
      <c r="E815" t="inlineStr">
        <is>
          <t>広く知られる；名声を得る；高い評価を得る；知名度を上げる；よく売れる</t>
        </is>
      </c>
      <c r="F815" t="inlineStr">
        <is>
          <t>よく売れる；多く売れる；必ず売れる；もっと売れる；以上売れる</t>
        </is>
      </c>
      <c r="H815" t="n">
        <v>29</v>
      </c>
      <c r="I815" t="inlineStr">
        <is>
          <t>発売と同時に製品の確保と出荷調整に苦労するほど売れる状態となった。；当然春になれば自分たちの作った米も同じように高く売れると考えていた。；大量に売れるから大量に作ることのみに頭を使っているに過ぎません。；少し世間に認められたと言っても、まだそう絵が売れる画家でもない。；聞く気がおありなら、あなたの本を売れるものにする方法を話しましょう。；ペーパーバックの場合は各作品で50万部以上が売れるのが通常だった。；もし僕たちがその気になれば、一時間後に三十万フランで商会を売れる。；あれが何万部も売れるのだから、女性はきっとこういう言葉に弱いのだろう。；俺は自分の書いたものが売れるとは思わなかったが、売れたのである。；売れるまでにどれくらいの期間が必要なのか、見当もつかないしな。；売れる商品を取っておいて、あとで食べようなどと考えたこともない。；それ以前に三系列に売れる車を供給してやらなければならない。；そうすれば研究所の負担は軽くなり、売れるクルマの開発に専念できる。；まるで絵が売れるのも、その仲介を頼むのも当然事のような顔をしている。；私はこの原稿が、いますぐにでも大雑誌に売れるような気がした。；それだから、あれだけの男があれだけに売れるような働きが出来たのであります。；特価販売などすると、その日だけはよく売れるが、他の日はずっと減る。；天気の日なら一〇〇枚は売れるとのこと、最高七〇〇枚位のこともあるという。；マムシの生きたのを町に持ってゆけば一匹幾百円かで売れるという。；結成時よりメンバー全員が売れるまではと一軒家で共同生活をしている。；ただし、こちらでは他の本も売れるという効用への期待も述べられていた。；君の国へ持って行ったら五百万円ぐらいには売れるだろう。；ああして三味線を習わせて、一番高く売れる時期を待っていたのだよ。；手間賃を割って値をおとしても、売れる数は少なくなるばかりであった。；マクミラン社はこの小説が売れるとは期待せず、ほとんど宣伝しなかった。；彼はTVに出ている人間だから、その著書は、したがって売れるのである。；只、Mの字がよく売れることだけは間違いないと思っただけであった。；なくて困るというものではないが、作れば世界中に売れる品のはずである。；その後、徐々にアメリカでも売れるようになりやがて全世界に広まった。</t>
        </is>
      </c>
      <c r="J815">
        <f>HYPERLINK("https://www.weblio.jp/content/売れる", "词义详情")</f>
        <v/>
      </c>
      <c r="K815">
        <f>HYPERLINK("https://yourei.jp/売れる", "查看例句")</f>
        <v/>
      </c>
    </row>
    <row r="816">
      <c r="A816" t="inlineStr">
        <is>
          <t>うろうろ</t>
        </is>
      </c>
      <c r="B816" t="inlineStr">
        <is>
          <t>成功</t>
        </is>
      </c>
      <c r="C816" t="inlineStr">
        <is>
          <t>［副］(スル)
１あてもなくあちこち歩き回るさま。「道に迷って—する」
２どうしたらよいかわからずに困りはてているさま。「突然の訃報に接して—（と）するばかりだ」
→まごまご［用法］</t>
        </is>
      </c>
      <c r="D816" t="inlineStr">
        <is>
          <t>うろうろする(8%)；うろうろしてる(2%)；うろうろ歩い；うろうろ歩きまわり；うろうろうろうろ</t>
        </is>
      </c>
      <c r="E816" t="inlineStr">
        <is>
          <t>散歩；散策；徘徊；うろつく；逍遥</t>
        </is>
      </c>
      <c r="F816" t="inlineStr">
        <is>
          <t>しばらくうろうろ；あちこちうろうろ；いつまでもうろうろ；あまりうろうろ；いつもうろうろ</t>
        </is>
      </c>
      <c r="H816" t="n">
        <v>29</v>
      </c>
      <c r="I816" t="inlineStr">
        <is>
          <t>洗濯部屋をうろうろしてしみが残りはしないかと気をもんでいましたわ。；赤ん坊を抱いた女と、大きな男が部屋中をうろうろしている窓もあった。；授業の始まっている学校の回りを、ただうろうろしていただけであった。；私同様食事に出て来た外人たちは、うろうろしながら笑っているだけだ。；こいつはその時からこのへんでうろうろして、わしらを待っていたんだ。；こんな時間にこんな路地をうろうろしている奴がいる確率は万に一つだ。；中をうろうろしているうちに、わたしは友香ちゃんの姿を見つけていた。；しかしいつまでもこんなところでうろうろしているわけにはいかない。；友はその故郷の停車場でいきなり私のうろうろしてゐるのをつかまへた。；上陸して港の暗い広場をうろうろしていると宿の客引きに声をかけられる。；イーデンはまだうろうろしている様子だが、これもいずれ帰るであろう。；私はただ、部屋の中をうろうろ行ったり来たりしているしかできなかった。；そんなやつが汗の臭いをさせてうろうろしていたら邪魔になるだけだ。；家の傍を離れられず、しばらく建物の周囲をうろうろしていたらしい。；いい現場監督ほど大事にされるから、仕事探してうろうろしてないもの。；どういうわけか、答は意識の手の届くすぐ外をうろうろしているのだが。；へんな男がうろうろしていたり、あやしげな男女が徘徊したりしていた。；部屋に戻ると、ビールの空缶を手に、彼女はうろうろと探し物を始めた。；アルドはなす術もなく、ただ手を握りしめて雪の中をうろうろしていた。；彼は絶えず四辺をうろうろして、しばしば彼女の手に接吻するのだった。；狭い台所つきの部屋に、赤ん坊を背負った日本の女がうろうろしていた。；拘置所のまわりには、二十何人もの新聞記者がうろうろしているんでね。；自分の本をもらっても、彼は長いことほかの玩具の間をうろうろしていた。；それでも彼等は毎日根気よくやって来ては庭先や台所口をうろうろする。；こんなところでうろうろしているところを、博士に見られたらたいへんだ。；インスキップはおれの通信を待ちこがれてうろうろしていたに違いない。；心臓が停止するたびに、私はまったく死と生の間をうろうろするのであった。；だが途中で道に迷い、うろうろしている間に歩哨に見つかってしまった。；犬麻呂らしい男が、血の付いた刀を持ったままうろうろしているとな。</t>
        </is>
      </c>
      <c r="J816">
        <f>HYPERLINK("https://www.weblio.jp/content/うろうろ", "词义详情")</f>
        <v/>
      </c>
      <c r="K816">
        <f>HYPERLINK("https://yourei.jp/うろうろ", "查看例句")</f>
        <v/>
      </c>
    </row>
    <row r="817">
      <c r="A817" t="inlineStr">
        <is>
          <t>上書き</t>
        </is>
      </c>
      <c r="B817" t="inlineStr">
        <is>
          <t>成功</t>
        </is>
      </c>
      <c r="C817" t="inlineStr">
        <is>
          <t>読み方：うわがき
［名］(スル)
１封書・書物・箱などの表面にあて名・表題・名称などを書くこと。また、その文字。表書き。「荷物に—する」
２コンピューターのファイルや記録メディアにデータを記録する際、もとのデータの上に新しいデータを書き込むこと。または、文字入力の際に、もとの文章の上に新たに書き込むこと。オーバーライト。重ね書き。</t>
        </is>
      </c>
      <c r="D817" t="inlineStr">
        <is>
          <t>上書きする(18%)；上書きされる(8%)；上書きできる；上書き処理；上書きモード</t>
        </is>
      </c>
      <c r="H817" t="n">
        <v>29</v>
      </c>
      <c r="I817" t="inlineStr">
        <is>
          <t>だれもそばにいないときに、自分で開くようにと、上書きがしてあった。；すでに値が入っている場合は当然ながら上書きされるため注意が必要。；新たに加えられた設定は上書きされ、登場人物や状況をさらに改変する。；例えば歴史が上書きされた場合、未来からはその結果しか観測出来ません。；最初の音声は上書きされ、事故前後の2時間の内容のみ記録されていた。；また移動によって既存のページを上書きしてしまうことはありません。；その封筒の上書きも定規で引いたような規格正しい文字で書かれている。；ちょうどそこにあるその怪文書の上書きとおなじような書きかたでした。；思いのほか美しい字で上書きがしてあり、裏には伊勢女とのみ記されている。；立つ位置が少し変わったことでお爺さんを覆っていた光の影が上書きされる。；だが、あんな上がきでもつて、マカリッチさんのところへつくでせうか。；無論封筒の上書きが男の字だったから、こんなことになったのでした。；もし既に同じファイル名が存在している場合に上書きしてしまう。；前から強い衝撃を受けた、というイメージが魔法式の変数を上書きしたのだ。；未来人組織は俺の思惑どおり、俺の知る正しい歴史で上書きしてくれたのだ。；逆にモスクワでは公式人口850万人が1040万人に上書きされた。；プログラムが暴走したり誤って自身を上書きする様子も観察できた。；Bobが預金を引き出して口座を変更した時、データは上書きされない。；無論、他人の証言を寄せ集めて上書きした記憶には矛盾が生じる。；上書きの筆跡に見おぼえがあって、どこからきたものか、すぐにわかった。；魔法を中和する為には、魔法式を上書きする術式を作用させなければならない。；その二つに関しては、またいずれ元の正しい歴史に上書きする必要があるだろう。；上書きは男の子が自分の名前で自分で書いてよこしたんだが、中身は女房なんだ。；証拠のビデオはポールがこっそり別のもので上書きをしてあった。；ビデオテープとは異なり間違って上書きされないようになっている。；新たなバージョンがきちんと機能するようなら、これは以前のバージョンに上書きされる。；「だんなさまからですよ」夫人は、手紙の上書きを見やりながらいった。；リベンジという単語が攻撃的でいい印象ではないのなら、上書きでもいい。；相手の能力値の言葉は、魔法によって上書きされると以後使用不可能となる。</t>
        </is>
      </c>
      <c r="J817">
        <f>HYPERLINK("https://www.weblio.jp/content/上書き", "词义详情")</f>
        <v/>
      </c>
      <c r="K817">
        <f>HYPERLINK("https://yourei.jp/上書き", "查看例句")</f>
        <v/>
      </c>
    </row>
    <row r="818">
      <c r="A818" t="inlineStr">
        <is>
          <t>浮気</t>
        </is>
      </c>
      <c r="B818" t="inlineStr">
        <is>
          <t>成功</t>
        </is>
      </c>
      <c r="C818" t="inlineStr">
        <is>
          <t>読み方：うわき
［名・形動］(スル)
１一つのことに集中できず心が変わりやすいこと。また、そのさま。移り気。「—な性分で何にでも手を出す」
２（性愛の対象として）特定の人に心をひかれやすいこと。また、そのさま。多情。「—な人」
３配偶者・婚約者などがありながら、別の人と情を通じ、関係をもつこと。「旅先で—する」
４心が浮ついて、思慮に欠けること。また、そのさま。
「分別—になられ、備へことごとく違(たが)ひ候」〈甲陽軍鑑・二七〉
５浮かれて陽気になるさま。また、そうなりやすい気質。
「（芝居ナドニ）一切の嫁子—になりて」〈浮・一代女・四〉</t>
        </is>
      </c>
      <c r="D818" t="inlineStr">
        <is>
          <t>浮気相手(5%)；浮気性；浮気女；浮気現場；浮気癖</t>
        </is>
      </c>
      <c r="E818" t="inlineStr">
        <is>
          <t>不倫；気まぐれ；お天気；移り気；多情</t>
        </is>
      </c>
      <c r="F818" t="inlineStr">
        <is>
          <t>軽い浮気；浮気旅行；浮気願望；浮気防止；浮気症</t>
        </is>
      </c>
      <c r="G818" t="inlineStr">
        <is>
          <t>浮気者；浮気調査；浮気娘；浮気なぼくら；浮気はやめた</t>
        </is>
      </c>
      <c r="H818" t="n">
        <v>29</v>
      </c>
      <c r="I818" t="inlineStr">
        <is>
          <t>つぎに、浮気な女には他に男がいて、それを見つけたので別れたという。；また、彼に見捨てられた時や彼が浮気した時は彼に抵抗することがある。；木村さんが浮気なことも知ってたし、あたし一人でないことも知ってた。；酒場に勤めていた時、まるで浮気をしなかったかどうかを私は知りたい。；あれだけの力をもってすることならばどんな浮気も許されるであろう。；外の男は私のようにともかく女の浮気を許して平然としていないからだ。；この裁判の中でアーチーの浮気を確信したウェンディは離婚を宣言した。；伝えられるところによると、彼女はそのエージェントと浮気をしていた。；婚約解消の理由は明らかにされていないが浮気が原因とみられている。；例えば人間が浮気をするのもパウチカムイが取り憑いたためだとされる。；さらに自分以外の学生との浮気現場を目撃し彼との別れを決意する。；またダーンリー卿は美しい女性に目がなく、浮気にも走るようになった。；主に女の浮気者への蔑称として使われるが、男にも使われることがある。；ある日彼女は、夫・直之が東京出張と称して浮気をしていることを知る。；しかし夫が浮気したことから離婚し、子供たちを連れて実家に戻った。；しかも夫は彼女を捨てて浮気相手の元へと去ってしまうのだった。；さらに、浮気は多くの結婚生活を維持するのに役立っているとしている。；そして浮気をしないのが、久須美に対する感謝の一つの表現だと考えた。；彼はそれに非常に浮気な男であって、半年の間に四五人の女の子を誘惑した。；これこそ浮気な女が愛情こまやかな女に勝っている唯一の点である。；紙ひと重の違いだが、因縁のつけようじゃ浮気をしたも同然なんだからね。；私がただ一時的な浮気で、そうしたことを言っているのだと解釈しているのだね。；僕も叔父さんから注意されたように、だんだん浮気になって行きます。；男は浮気性の妻を殺害して遺体を長期間、水に漬け、屍蝋にしたという。；浮気やそして頽廃が人を生かすに足るほどの頼りになりうるのだらうか。；事件で浮気関係が露呈したことで他の仲間らからも叩かれて孤立した。；ところが浮気の確かな証拠は別の場所に明確に描かれている。；しかしリウィアはこうした浮気にも夫を責めることもなく耐えていた。；その後小平は結婚したが、浮気相手である女性に子供を産ませていた。</t>
        </is>
      </c>
      <c r="J818">
        <f>HYPERLINK("https://www.weblio.jp/content/浮気", "词义详情")</f>
        <v/>
      </c>
      <c r="K818">
        <f>HYPERLINK("https://yourei.jp/浮気", "查看例句")</f>
        <v/>
      </c>
    </row>
    <row r="819">
      <c r="A819" t="inlineStr">
        <is>
          <t>上着</t>
        </is>
      </c>
      <c r="B819" t="inlineStr">
        <is>
          <t>成功</t>
        </is>
      </c>
      <c r="C819" t="inlineStr">
        <is>
          <t>読み方：うわぎ
１上下に分かれた衣服のうち、上半身に着るもの。
２衣服を重ね着したときのいちばん上に着るもの。
３女官が正装のとき、打ち衣(ぎぬ)の上、唐衣(からぎぬ)や小袿(こうちぎ)の下に着る衣。うわがさね。</t>
        </is>
      </c>
      <c r="D819" t="inlineStr">
        <is>
          <t>上着をつかん；上着なし；上着を脱ぎすて</t>
        </is>
      </c>
      <c r="E819" t="inlineStr">
        <is>
          <t>コート；外套；上衣；オーバー；襲</t>
        </is>
      </c>
      <c r="F819" t="inlineStr">
        <is>
          <t>白い上着；短い上着；長い上着；赤い上着；青い上着</t>
        </is>
      </c>
      <c r="H819" t="n">
        <v>29</v>
      </c>
      <c r="I819" t="inlineStr">
        <is>
          <t>上着は男女間で多少デザインに違いがあり、金ボタンの数などが異なる。；彼の上着のポケツトは彼等の同人雑誌へ発表する彼の原稿を隠してゐた。；彼は返事を口の中でしながら、それでも上着のボタンを外しにかかった。；あなたもあの上着を着て、鼻だけ見えるようにしてベルを鳴らしなさい。；二、三日経ってこの上着を手に入れたとき、推論が確信に変わりました。；そして肩の張つた短上着を着ているズングリした男がその左手に坐つた。；彼の上着には腰のあたりに釦が二つ並んでいて、胸は開いたままであった。；図書館でも男のひとは上着はぬげますが、女は帯しめたままですからね。；マイケル とにかく近所の人じゃないらしい、上着を顔にかぶっている。；警官はまだ煙の出ている銃を受け取って上着のポケットに入れた。；その後方で、黄色い服の男性が青い上着の男性に視線を投げかけている。；吸収後は主に吸収した相手の特徴、あるいは上着を身につけている。；制服は、緑の上着、黒のズボンと白い羽根飾りのついた緑の帽子である。；醸造者はこの目的のために大きなポケットのある上着を持っていた。；その頃のサッシュは上着の上から襷掛け或は腰に巻いて着用されていた。；これ以降、前開きの上着と脚衣の組み合わせが西洋男性服の基本となる。；チーチーは先生のそばにかけ寄って、上着の下にかくれてしまいました。；体操服は学校指定のものに限り、冬季はその上に学校指定の上着を着る。；彼の上着のポケットには、充填されたピストルが入ったままになっていた。；上着はナコルルのように前合わせの着物ではなく、腰にも帯はつけていない。；その中の何人かは、上着に銀のボタンやモールの飾りがついている。；連れの日本人はその連れのドイツ女の青い上着を小脇にかかえて歩いていた。；また、転じて現在主流となっている背広型軍服の上着もそう呼ばれている。；自分の上着のボタンや、子供のおもちゃをアルミニウムで作ってもいた。；脚は上着やチョッキよりも色の薄い、きっちりしたズボンに入っている。；両手を私の洋服の上着のポケットの中へ突っ込んで彼は私の方へ近づいてきた。；薄い革製の上着を羽織ってはいるが、外套ではなく色も薄い茶色だった。；上の項で説明したとおり、準正装の上着として誕生したのが小袿である。；施先生が靴を捜してくれ、婦長さんが鉄兜や上着を見つけてきてくれた。</t>
        </is>
      </c>
      <c r="J819">
        <f>HYPERLINK("https://www.weblio.jp/content/上着", "词义详情")</f>
        <v/>
      </c>
      <c r="K819">
        <f>HYPERLINK("https://yourei.jp/上着", "查看例句")</f>
        <v/>
      </c>
    </row>
    <row r="820">
      <c r="A820" t="inlineStr">
        <is>
          <t>噂</t>
        </is>
      </c>
      <c r="B820" t="inlineStr">
        <is>
          <t>成功</t>
        </is>
      </c>
      <c r="C820" t="inlineStr">
        <is>
          <t>読み方：うわさ
［名］(スル)
１そこにいない人を話題にしてあれこれ話すこと。また、その話。「同僚の交遊関係を—する」
２世間で言いふらされている明確でない話。風評。「変な—が立つ」</t>
        </is>
      </c>
      <c r="D820" t="inlineStr">
        <is>
          <t>噂される；噂どおり；噂ばなし；噂好き；噂のたね</t>
        </is>
      </c>
      <c r="E820" t="inlineStr">
        <is>
          <t>音；評判；名声；噂話；デマ</t>
        </is>
      </c>
      <c r="F820" t="inlineStr">
        <is>
          <t>お噂；そういう噂；妙な噂；こんな噂；黒い噂</t>
        </is>
      </c>
      <c r="G820" t="inlineStr">
        <is>
          <t>噂の真相；噂の眞相；噂の刑事トミーとマツ；噂の女；噂の二人</t>
        </is>
      </c>
      <c r="H820" t="n">
        <v>29</v>
      </c>
      <c r="I820" t="inlineStr">
        <is>
          <t>噂によれば、喧嘩ばかりして元いた学校を追い出されてしまったらしい。；妻の荘月明は既に亡くなっているが、自殺ではないかとも噂されている。；しかし現在では歴史家によって次の理由からその噂は否定されている。；このため、実際の起草者は幕府側の人物であったとの噂が立てられた。；こうした噂は既にレオーンの出生直後から広く流布していたようである。；巨人の発表はこの噂が事実であったことを意味し、社会に大きな衝撃を与えた。；そのため、大阪時代には川村龍一が正体であると噂されたことがある。；香港やマカオではしばしば食人事件が噂され、盛んに作品に翻案された。；三度目の勝負の日には、噂を聞きつけてたくさんの観衆が集まっていた。；絶対音感を持っていると噂されたことがあるが、本人がこれを否定している。；噂にあったから驚きはしなかったが、そんな話が出れば試合に集中できない。；第31回のデビュー年にも出場が噂されていたが、惜しくも出場が敗れた。；その他ルクレツィアに関するこのような噂には次のようなものがある。；この頃ルシアが偽物に置き換えられたのではないかという噂が存在する。；また当時の噂は四不動が主体で、目黄の扱いが曖昧だったことも覗える。；この付け鼻は銀や金で作られたものであるという噂が後世に広まった。；以来、再打上げの噂があるが現在の政治情勢ではその可能性は極めて低い。；民衆の間に伝えられている話や噂は非常に多数あり、その数は数千にもおよぶ。；またこの頃は宗全が和平を望んでいるという噂が頻繁に流れたという。；例えば空襲の焼け跡で牛女が動物の死骸を貪っていたとする噂があった。；まず、誰かに資産があると噂が立つと、何らかの罪によって告訴される。；このような噂やその他の政治的な謀略によって、植民の計画は頓挫した。；この頃、アンリ3世には子を産ませる能力がないとの噂が広まっていた。；そのためハイドリヒは自らをユダヤ系と噂をする者を次々と告訴した。；ときを同じくして人々の間では悪魔の噂が絶えずささやかれるようになっていた。；兵卒たちはこれを聴いて以来、陳勝を見ては恐れ、噂をしあうのだった。；移籍の噂もあったもののクラブとの契約を延長した。；なお、ペロンの妻で英雄的存在のエヴァ・ペロンとの関係も噂された。；ヴィクトリアはビスマルクが噂に聞くより紳士的であったことに驚いたという。</t>
        </is>
      </c>
      <c r="J820">
        <f>HYPERLINK("https://www.weblio.jp/content/噂", "词义详情")</f>
        <v/>
      </c>
      <c r="K820">
        <f>HYPERLINK("https://yourei.jp/噂", "查看例句")</f>
        <v/>
      </c>
    </row>
    <row r="821">
      <c r="A821" t="inlineStr">
        <is>
          <t>上回る</t>
        </is>
      </c>
      <c r="B821" t="inlineStr">
        <is>
          <t>成功</t>
        </is>
      </c>
      <c r="C821" t="inlineStr">
        <is>
          <t>読み方：うわまわる
［動ラ五（四）］ある基準数量を超える。予定量以上になる。「昨年を—・る人出」⇔下回る。</t>
        </is>
      </c>
      <c r="D821" t="inlineStr">
        <is>
          <t>上回る約；上回る可能性；上回る大ヒット；上回る大き；上回る速さ</t>
        </is>
      </c>
      <c r="E821" t="inlineStr">
        <is>
          <t>超える；越える；オーバー；勝る；越す</t>
        </is>
      </c>
      <c r="F821" t="inlineStr">
        <is>
          <t>遙かに上回る；さらに上回る；若干上回る；やや上回る；上回る合格率</t>
        </is>
      </c>
      <c r="H821" t="n">
        <v>29</v>
      </c>
      <c r="I821" t="inlineStr">
        <is>
          <t>設定された成績基準を上回らなければ参加を希望することはできない。；これは当時最速の列車であった日本の新幹線の最高営業速度を上回った。；最終的に同クラブではを上回り外国人最多となる228試合に出場した。；それでも14歳以下の人口は今もなお65歳以上の人口を上回っている。；その範囲の総生産額は約97兆円でカナダを上回る規模ともなっている。；中国は双方においてかつての植民地大国であるイギリスを上回っている。；ソ連は、主要軍備の保有量と工業生産力においてドイツを上回っていた。；トキ900形式よりの改造車は上回りの構造はこれに準じて新製された。；その他、現在のところ付随車が電動車を上回る構成の編成は存在しない。；戦後の日本では出版ブームが起き、紙の需要は供給能力を大きく上回った。；集団戦闘を想定し性能を上回る敵機に対抗する運用を主眼としている。；この853はベースの850を上回る数が生産されるヒット作となった。；映像は前作を大きく上回り、移動範囲が広がって謎解きの複雑さも増した。；また旭川市はダム完成後もさらに人口が増加し建設当時の予測を上回っていた。；得失点差で両チームは並んだものの総得点で上回るアーセナルが優勝した。；既に中国事業は会員数83万人と、日本国内の会員数76万人を上回る。；これはアメリカで最大数の民族であり本国イングランドの人口を上回っていた。；アメリカでは前作を上回ったとは言え48位という結果に終っている。；この頭数は、当初の計画が予定していたものを上回って推移している。；これは多くの妻を持ったことで有名なヘンリー8世の6回を上回る数である。；追加された武器の多くはオリジナル版の最強装備を上回る強力な武具である。；しかしこれはアメリカ側の予想をはるかに上回る額であった。；シーズンポイントがこれを上回れば、そのチームとの契約を継続・延長できる。；この事業で島内で確認された猫は当初の想定を大きく上回る211頭であった。；プレーした累計日数や一回でもプレーした連続日数が規定を上回れば獲得。；その付近ではテーベの重力は公転の遠心力をわずかに上回るのみである。；試験で確認された運用限界や性能は、控えめに設定されていた計画値を上回った。；道路構造が高規格であり、最高速度を上回る速度で走っている車両も多い。；歌の効果もあって、オーメダルは前年を上回る超ヒット商品となった。</t>
        </is>
      </c>
      <c r="J821">
        <f>HYPERLINK("https://www.weblio.jp/content/上回る", "词义详情")</f>
        <v/>
      </c>
      <c r="K821">
        <f>HYPERLINK("https://yourei.jp/上回る", "查看例句")</f>
        <v/>
      </c>
    </row>
    <row r="822">
      <c r="A822" t="inlineStr">
        <is>
          <t>上向く</t>
        </is>
      </c>
      <c r="B822" t="inlineStr">
        <is>
          <t>成功</t>
        </is>
      </c>
      <c r="C822" t="inlineStr">
        <is>
          <t>読み方：うわむく
［動カ五（四）］
１上のほうを向く。あおむく。⇔下向く。
「こころもち—・いて首を伸ばし」〈康成・禽獣〉
２物事の状態などがよくなっていく。「調子が—・く」⇔下向く。</t>
        </is>
      </c>
      <c r="D822" t="inlineStr">
        <is>
          <t>増加；向上；改善；上昇；上がる</t>
        </is>
      </c>
      <c r="H822" t="n">
        <v>29</v>
      </c>
      <c r="I822" t="inlineStr">
        <is>
          <t>しかし、適正階級で試合をするようになってからは戦績が上向いている。；わざと五つの女の子を膝の上に抱き寄せて、若い妻は上向いていた。；瑞希は、優亜の頬を両手で挟んで上向かせると、唇にそっとキスをした。；後半戦に入っても、打撃の調子が上向かず、9月2日に登録抹消となった。；しかし経営は上向かず本業を圧迫することとなり、倒産の一因となった。；されるままに顔を上げた子供は、かくんと上向いて喉を曝した。；かれは壜の底を上向かせると、中味を口の中へひとしきり流しこんだ。；多少は気分が上向いてきた証拠なのかもしれない。；このときの俺は、妹の機嫌が上向いた理由を、好意的に解釈していたのである。；翌は打撃が上向かず、都市対抗スタメンは補強選手に取って代わられた。；ふたりの唇が一つに合わさった時、わたしの涙は、彼女の上向いた顔に落ちていた。；懸念された両肩の状態は7月上旬のスペイン合宿以降上向いてきたという。；しかし同社は翌年から急に業界の経営が上向いた。；しかし営業成績は上向かず、8月に久能木社長以下役員全員が辞任した。；ゆり絵が、キスして、という感じで目をつぶり、顔を上向かせたからだ。；機体は尾輪を地につけたまま、やや上向いて見るまにわれわれの眼前を離れていった。；二本の指で支えられ、ピンと上向いた煙草からは、紫の煙りが上っていた。；彼女はやや顔を上向かせて、そっと倒れかかって来た。；下を向いていたものが、猛夫が身を震わすごとに硬く上向いてくる。；彼は戦闘機を上向かせ、誘導弾を視界に捕捉したのち水平飛行にもどった。；しかし状態が上向くことはなく、8月27日に再び登録抹消された。；大場雅子の顎の先に指をかけ、その顔を上向かせると、彼はいきなり唇を合わせた。；その後ブロンコスの成績が上向いてきたためチケット販売も増加。；こうやって色は出したが、17勝36敗と成績は上向かなかった。；しかし成績が上向かず、シーズン途中でティフ・ニーデルと交代となってしまった。；ちょっと上向いているほうがいいという説もあるんです。；右肘の状態が上向かないため左投げにも挑戦していたが、は再び右投げ一本での現役復帰を目指した。；法子の首が〝なにかしら〟とばかり上向くのを待って、肩を抱きながら唇を重ねた。；夏近くになると余裕ができ、利益率も上向くようになった。</t>
        </is>
      </c>
      <c r="J822">
        <f>HYPERLINK("https://www.weblio.jp/content/上向く", "词义详情")</f>
        <v/>
      </c>
      <c r="K822">
        <f>HYPERLINK("https://yourei.jp/上向く", "查看例句")</f>
        <v/>
      </c>
    </row>
    <row r="823">
      <c r="A823" t="inlineStr">
        <is>
          <t>上役</t>
        </is>
      </c>
      <c r="B823" t="inlineStr">
        <is>
          <t>成功</t>
        </is>
      </c>
      <c r="C823" t="inlineStr">
        <is>
          <t>読み方：うわやく
自分より上位の役目・職務についている人。上司。</t>
        </is>
      </c>
      <c r="D823" t="inlineStr">
        <is>
          <t>上役たち(3%)；上役や同僚(2%)；上役人(2%)；上役らしい人；上役ども</t>
        </is>
      </c>
      <c r="E823" t="inlineStr">
        <is>
          <t>上位；リーダー；主任；所長；ボス</t>
        </is>
      </c>
      <c r="H823" t="n">
        <v>29</v>
      </c>
      <c r="I823" t="inlineStr">
        <is>
          <t>イワンはよほど前から妻が上役に様子を売っているのを気に掛けている。；傍らのものが顔をあげ、上役の声の指さすあたりをあわてて探していた。；しかも私が上役にめぐまれていないことは、万人が認めるところだった。；それでも別にクビになるでもなし、上役から注意を受けるでもなかった。；自分の知っていることは部下も知っていると思うのが上役というものなのだ。；旦那さまみたいな上役人になると、それさえ返上しなければなりません。；その代わり、優秀なA型人間を部下に迎えたときの上役は楽なものである。；家の門は城からの使者もくぐれば上役がくぐることもある場所である。；上役と関係しながら、それを隠して真田と結婚するつもりだったのか。；大勢の下役達がしてゐる事を上役の者が知る事が出来ないやうに出来てゐるのだ。；かれらは心の底で、今度は上役たちがまちがっていると思っているのだった。；上役の加治木警部が橋の上に正座し、両手さえついているのを見てである。；それは別に上役のご機嫌を取ろうなどという下心あってのことではない。；イワンは余程前から妻が上役に様子を売つてゐるのを気に掛けてゐる。；彼はあまりに多くの部下や上役に自分が頼っていると感じていた。；徴兵検査が不合格になると私はY町の瓦斯会社の上役の娘と結婚した。；したがって彼らをして堕落せしめたのは実に上役の罪であると私は思います。；ブラウンが大マストを立てているあいだに、例の上役が注意をあたえた。；それが上役に聞え、お訊ねを受けたといって大層、立腹しているのです。；今日は会社の上役に呼ばれていると言って家を出て来た。；ことに、まさに彼の上役がここにいるという事情が、彼を面くらわせた。；自分の恋人を上役に抱かせるような真似もしたといっていたね。；この人もきっと会社の人で、上役が旅行をするのを見送りに来たのに違いない。；「あなたたちの上役のところへ連れてってくれたまえ」と彼は言った。；上役の伯父ばかりでなく、だれしもが馬鹿にされているように思った。；上役に一人でも自分を認めてくれる者があると心強く、自信がでてくるものだ。；彼女は庭番に、上役が下級の者をさがらする時のような合い図をした。；上役の送り込んできた使いの連中は、多分その席には座らないだろう。；上役に目をかけられていると思うと、どんなに利用されても感奮しますからね。</t>
        </is>
      </c>
      <c r="J823">
        <f>HYPERLINK("https://www.weblio.jp/content/上役", "词义详情")</f>
        <v/>
      </c>
      <c r="K823">
        <f>HYPERLINK("https://yourei.jp/上役", "查看例句")</f>
        <v/>
      </c>
    </row>
    <row r="824">
      <c r="A824" t="inlineStr">
        <is>
          <t>植わる</t>
        </is>
      </c>
      <c r="B824" t="inlineStr">
        <is>
          <t>成功</t>
        </is>
      </c>
      <c r="C824" t="inlineStr">
        <is>
          <t>読み方：うわる
［動ラ五（四）］植えてある。植えられる。「みごとな松の木が—・っている庭」
[補説] 「植える」が行為を表すのに対し、「植わる」はその結果や状態を表す。「植わっている」の形で使われることが多い。</t>
        </is>
      </c>
      <c r="H824" t="n">
        <v>29</v>
      </c>
      <c r="I824" t="inlineStr">
        <is>
          <t>このあたりには八手の木が一本植わっているほかに、物を隠す陰がない。；かつてはごつごつした溶岩のような土地にどうやって植わったのだろう。；現在の庭にはチャイコフスキーの頃にはなかった多くの花が植わっている。；その屋敷の中にはあまり家がなくて、花や木が一めんに植わっていた。；植木屋は自分の家の庭に植わっている木だけ売るものではないからである。；この地方では畑に植わっている期間は六か月もかからなかったからである。；庭園の入口の反対側、いちばん目立つ場所に、その例外が植わっていた。；隣の畑にはりんご《・・・》が植わっていて、これが散歩場になっている。；それで、それが植わっている場所は街灯あと野と呼ばれるようになりました。；沿道に桜が植わっており、春は桜のトンネルとなる名所で知られている。；チベットは元来樹のないところであるが、そこには良い樹が植わっている。；それはずいぶん広いお屋敷で、庭にはいっぱい木が植わっている。；チベットは元来樹のないところであるが、そこにはよい樹が植わって居る。；よく見れば、張り出した屋根にはびっしり芝が植わっているのがわかる。；子供らは、いろいろの花が植わっている庭へ持っていきました。；植木ばちには、人間の頭の骨が植わっていて、歯をむき出しています。；花をつけた草木がぎっしりと植わった小さな庭に向かって、窓が開いていた。；僕等の室の建物に沿うて、二、三間の間を置いて桐の苗木が植わっている。；松などが植わった日本の庭があり、奥に和風の二階屋が佇んでいる。；緩やかに湾曲して伸びる壁の手前に、巨大な樹が等間隔で植わっている。；溝に沿って植わっている桑の実を食い荒し、長い棒で七面鳥の番をした。；元々は社殿の前に植わっていたが、境内整備に合わせて移植された。；彼女の夫は地元では裕福な名士だそうだが、釘の植わった屋敷の塀も長い。；ぼくは柵門を開けて、両側にカエデが植わっている長い小径に入った。；特に周辺を含め八重桜が多く植わっており、春の開花シーズンに多くの人々が訪れる。；前庭に植わった樹木の枝が、重く濡れた葉でしなり、鼻先で揺れている。；小屋の上には、すぐ脇に植わっている木の技が張り出している。；隣に手跡指南の看板があがって、南天の木が植わっているからすぐわかる。；常照皇寺には光厳天皇がお手植えと伝えられる九重桜が植わっている。</t>
        </is>
      </c>
      <c r="J824">
        <f>HYPERLINK("https://www.weblio.jp/content/植わる", "词义详情")</f>
        <v/>
      </c>
      <c r="K824">
        <f>HYPERLINK("https://yourei.jp/植わる", "查看例句")</f>
        <v/>
      </c>
    </row>
    <row r="825">
      <c r="A825" t="inlineStr">
        <is>
          <t>うん</t>
        </is>
      </c>
      <c r="B825" t="inlineStr">
        <is>
          <t>成功</t>
        </is>
      </c>
      <c r="C825" t="inlineStr">
        <is>
          <t>読み方：うん
［音］ウン（呉）（漢）
１香草の名。ヘンルーダ。「香」
２昔、1を本にはさんで防虫に用いたところから、書籍のこと。「閣・窓・台」
[補説] 「芸(げい)」は別字。</t>
        </is>
      </c>
      <c r="D825" t="inlineStr">
        <is>
          <t>うんともす；うんじゃ；うんだい；うんだから；うんつく</t>
        </is>
      </c>
      <c r="E825" t="inlineStr">
        <is>
          <t>ヘエ；ハイハイ；コックリ；ホイホイ；コクリ</t>
        </is>
      </c>
      <c r="F825" t="inlineStr">
        <is>
          <t>うんうんと；思うん；ちゅうん；死んじゃうん；ヘルメルうん</t>
        </is>
      </c>
      <c r="G825" t="inlineStr">
        <is>
          <t>うんと；うんうん；うんぬん；うんこ；うんちく</t>
        </is>
      </c>
      <c r="H825" t="n">
        <v>29</v>
      </c>
      <c r="I825" t="inlineStr">
        <is>
          <t>うん、やっぱり彼女の面には悲しみの色がうかんでいる、と彼は思った。；黙って放って置くと、それきりお前はうんともすんとも言って来なかった。；それに、この頃では、大分疲れてうんで来てゐるらしく私には思はれた。；ヘルメルうん、やっと自分の部屋にはいってもいいお許しが出たのかい?；父にうんと言わせるために口添えしてくれるとさえ約束してくれたのです。；黒田さんが子供をうんで死んでしまったときいて、いろいろな感に打たれた。；「うん、そうだ、おれは銃を持っていた」奇妙な子どもっぽい声だった。；グランジュ うん、だから、そこがこの本の興味だと、君は云つてゐる。；うん、それからは、もっといいことが、もっときれいなものがくるんだ。；「うまいかい」 「うん」彼は皿の上に顔をつけたまま私を上目で見た。；何でも斯ういう際は多少の不便を忍んでもすぱりと越して了うんですな。；んでも、そこばさ、何んとかウマクやって行くことば考えたらッて思うんだ。；「うん、よほど楽になった」 彼はそういって、私の顔をじっと見た。；「うん」 彼はうしろ向きのまま、深くうなずいてゆっくり腕を組んだ。；が、露柴はうんとか、ええとか、好い加減な返事しかしてくれなかった。；仲仕のやうなうんと食ふ者には特に用意して斯ういふ米を向けるのである。；その時広田さんは急にうんと言って、何か思い出したようである。；「うん、あれにあの男はすべてをかけているんだ」とラムジー氏が言った。；それどころか妻の方でも、自分がうんだ私生児のために彼に向って願った。；それもお前が娘なら、うん、初心の娘なら、そういう別れ方もいいだろう。；お辻 うん、跡に直ぐ、松本てえ人が大きな食堂を建てるんですつてさ。；さて、君もここへ泊まるとなると、うん、皆に紹介しておいたほうがいいな。；うん、やっぱりぼくは、外宇宙から来た、ある敵の仕業と考えたいな。；見ればわかるだろうと考えて、うんなるほどと言っていた。；報復するぞとちょっと脅かしてやれば、娘はきっとうんと言うにちがいない。；だからむやみに腹がたっていらいらして、ひとがみな嫌いになっちゃうんだ!；それがバラのようでもあり、うん、望みどおりどんなにおいでもするんだ。；二頭筋が瘤になるほど力をいれてみたが、ドアはうんともすんともいわない。；日本ではキネマの女優が自動車をうんてんする真似をする。</t>
        </is>
      </c>
      <c r="J825">
        <f>HYPERLINK("https://www.weblio.jp/content/うん", "词义详情")</f>
        <v/>
      </c>
      <c r="K825">
        <f>HYPERLINK("https://yourei.jp/うん", "查看例句")</f>
        <v/>
      </c>
    </row>
    <row r="826">
      <c r="A826" t="inlineStr">
        <is>
          <t>運</t>
        </is>
      </c>
      <c r="B826" t="inlineStr">
        <is>
          <t>成功</t>
        </is>
      </c>
      <c r="C826" t="inlineStr">
        <is>
          <t>読み方：うん
［音］ウン（呉）（漢）　［訓］はこぶめぐるめぐらす
［学習漢字］3年
１定まったとおりにめぐり行く。「運行・運航・運動」
２はこぶ。「運河・運送・運賃・運搬・運輸／海運・水運・陸運」
３物事を円滑に動かして働かせる。「運営・運転・運用」
４めぐりあわせ。「運勢・運命／悪運・開運・気運・機運・幸運・国運・社運・衰運・天運・悲運・不運・武運・命運」
[補説] 「耕運機」の運は「耘(うん)」（草をとる）の代用字。
［名のり］かず・やす・ゆき</t>
        </is>
      </c>
      <c r="D826" t="inlineStr">
        <is>
          <t>運よく(7%)；運行本数(5%)；運悪く(5%)；運良く(3%)；運わるく</t>
        </is>
      </c>
      <c r="E826" t="inlineStr">
        <is>
          <t>定め；付；運命；付き；幸せ</t>
        </is>
      </c>
      <c r="F826" t="inlineStr">
        <is>
          <t>不運；金運；番付運；客運；運炭</t>
        </is>
      </c>
      <c r="G826" t="inlineStr">
        <is>
          <t>運行；運動；運転；運用；運命</t>
        </is>
      </c>
      <c r="H826" t="n">
        <v>29</v>
      </c>
      <c r="I826" t="inlineStr">
        <is>
          <t>日中の1時間ごとの運行本数の平均的なパターンは以下のとおりである。；決勝では運が味方しなかったものの予選レースでは年間3勝を挙げた。；尚、両運化改造後はまれに単行で別所温泉まで運行されることもあった。；この一路線の一時間あたりの運行本数は関東私鉄において最大であった。；場所後再十両に昇進したが、番付運が悪く東十両12枚目に置かれた。；現在では、運よく残された僅かな作品が一部の礼拝堂に存在するのみである。；必ず見ることができる現象ではなく、見ることができると運が良いとされている。；このため、運の悪かった出演者は、発言することすらできないとされる。；路線数は市外線のほうが多いが、運行本数的には市内線のほうが多い。；自分が運がいいと思ったエピソードを送ってもらっていた。；その店に運良く雇ってもらうことになったが、やがてこの店も解雇になる。；稲垣浩は「長谷川一夫さんほど運の強い人はないと思う」と語っている。；そのため今後観客を入れてのレースが再開されても運行本数が減る。；このため今後観客を入れてのレースが再開されても運行本数が減る。；平日日中1時間あたりの基本的な運行本数は以下のようになっている。；運とは、その人の意思や努力ではどうしようもない巡り合わせを指す。；そのため、この区間はほかの区間と比べ運行本数が多い区間となる。；運良く孵化できた稚魚も、成長するまでに大部分が親に食べられてしまう。；右手を挙げている猫は金運を招き、左手を挙げている猫は人を招くとされる。；このため、知力が重視された回もあれば体力や運に強く影響された回もある。；そのためバスが主要な交通手段として発達しており、運行本数が多い。；そのため、勝敗には純粋な実力のみでなく、運の要素が絡む性質がある。；占いや、神社・寺院のおみくじは、この運を予言する力があるとされる。；ロータスには働き口がなかったが、運良くブラバムで最初の職を得た。；この大川支線は運行本数が非常に少なく、朝と夕方しか運行されていない。；相対速度とは、ある運動物体から見た他の運動物体の速度である。；この間、福山藩は船運の航路確保のため積極的に堆積土砂対策に務めた。；運の要素が関係するゲームも多いが、純粋に運のみで勝敗が決定することはない。；精神保健福祉法に定められている入院形態のうちでは最も運用例が少ない。</t>
        </is>
      </c>
      <c r="J826">
        <f>HYPERLINK("https://www.weblio.jp/content/運", "词义详情")</f>
        <v/>
      </c>
      <c r="K826">
        <f>HYPERLINK("https://yourei.jp/運", "查看例句")</f>
        <v/>
      </c>
    </row>
    <row r="827">
      <c r="A827" t="inlineStr">
        <is>
          <t>運営</t>
        </is>
      </c>
      <c r="B827" t="inlineStr">
        <is>
          <t>成功</t>
        </is>
      </c>
      <c r="C827" t="inlineStr">
        <is>
          <t>読み方：うんえい
［名］(スル)団体などの機能を発揮させることができるように、組織をまとめて動かしていくこと。「大会を—する」「—委員会」</t>
        </is>
      </c>
      <c r="D827" t="inlineStr">
        <is>
          <t>運営する(23%)；運営者；運営委員；運営母体；運営主体</t>
        </is>
      </c>
      <c r="E827" t="inlineStr">
        <is>
          <t>管理；運転；経営；作業；指導</t>
        </is>
      </c>
      <c r="F827" t="inlineStr">
        <is>
          <t>組織運営；チーム運営；企画運営；学校運営；大会運営</t>
        </is>
      </c>
      <c r="G827" t="inlineStr">
        <is>
          <t>運営される；運営管理；運営委員会；運営費；運営側</t>
        </is>
      </c>
      <c r="H827" t="n">
        <v>29</v>
      </c>
      <c r="I827" t="inlineStr">
        <is>
          <t>しばらくはソ連との結びつきの強い高崗が独自の地方運営を行っていた。；その他に運営の責任感から来るものか家の権利書まで持ち出そうとした。；国王は名称の利用を認めただけで学会の運営は国王とは独立していた。；なお競技時間は区分以外にも、大会運営に応じてに変更されることがある。；機関とは学校や病院等の部隊を維持運営するための業務を担う組織である。；実際には学生部長伊東延吉と事業部長紀平正美が中心となって運営する。；同社が運営するプレイバイメールのゲーム管理者の一人として活動する。；によって運営されており、中国のメディア企業であるの協賛を得ている。；この場合、自治体の財政状態に楽団の運営も左右されがちになっている。；このことを運営者がSNS上で明らかにしたことで批判が起こった。；また5年ごとに会議を開き、条約の運営状況を検討することを定めている。；本記事では、かつてこの路線を運営していた渥美電鉄についても述べる。；本記事では、かつてこの路線を運営していた多摩鉄道についても述べる。；したがってこれらの鉄道の運営者は法律的には鉄道事業者とは呼べない。；エンターテインメント産業とほぼ同じ事業形態で運営が行われている。；また、空港の運営者とターミナルビルの運営者とは異なる場合もある。；マルクスは組織運営の問題や思想上の対立でしばしば論敵をつくった。；紫熊祭で行われる企画、運営および全ての準備は学生の手で行われている。；議員である有力者が議会運営のために作った名望家政党が初期の政党である。；日本では所有と運営が一体の場合も多いが、海外は所有と運営の分離が一般的である。；また各運営事業者もそれぞれ自社のホテル群を自社流に分類している。；これら公式大会の大会運営には日本の統括団体であるJHFが当たっている。；大学におけるイベントの企画運営、学生の生活サポートを主な活動としている。；特に、電子フォーラムにおいて、その運営に当たる者を指すことがある。；また記者の派遣については、開設・運営局以外から行われることも少なくない。；同研究所はこれらの施設の管理・運営も行っている。；本記事では、かつてこの路線を運営していた各務原鉄道についても述べる。；従って公共性が高い団体・組織によって供され運営されることが多い。；世界には、運営が民営化され、事業として成り立っているケースもある。</t>
        </is>
      </c>
      <c r="J827">
        <f>HYPERLINK("https://www.weblio.jp/content/運営", "词义详情")</f>
        <v/>
      </c>
      <c r="K827">
        <f>HYPERLINK("https://yourei.jp/運営", "查看例句")</f>
        <v/>
      </c>
    </row>
    <row r="828">
      <c r="A828" t="inlineStr">
        <is>
          <t>運河</t>
        </is>
      </c>
      <c r="B828" t="inlineStr">
        <is>
          <t>成功</t>
        </is>
      </c>
      <c r="C828" t="inlineStr">
        <is>
          <t>読み方：うんが
給排水、灌漑(かんがい)、船舶の航行などのために、陸地を掘り開いてつくった人工の水路。</t>
        </is>
      </c>
      <c r="D828" t="inlineStr">
        <is>
          <t>運河沿い(3%)；運河建設；運河網；運河会社；運河計画</t>
        </is>
      </c>
      <c r="E828" t="inlineStr">
        <is>
          <t>堀；水路；水道；海峡；チャネル</t>
        </is>
      </c>
      <c r="F828" t="inlineStr">
        <is>
          <t>エムス運河；新しい運河；用運河；式運河；小運河</t>
        </is>
      </c>
      <c r="G828" t="inlineStr">
        <is>
          <t>運河駅；運河パーク；運河ルネサンス；運河区；運河時代</t>
        </is>
      </c>
      <c r="H828" t="n">
        <v>29</v>
      </c>
      <c r="I828" t="inlineStr">
        <is>
          <t>運河計画は後の本多忠政の時代に船場川を改修して実現することになる。；多くの作家が運河とそこにおける生活を題材にして小説や詩を残した。；市壁の南をゴーテ川が流れ、この頃には運河でライネ川と結ばれていた。；また鉄門を中心とした運河の整備も行われたとの記録が残っている。；現在のクロー平野には複数の運河が流れるが、その中では最古に属する。；運河建設の指揮はイギリス工兵隊のジョン・バイ中佐のもとで行われた。；はじめ火星の運河の存在を支持する立場であったが後に運河の存在を否定した。；車両を製造している兵庫工場の周辺には山陽本線支線と兵庫運河がある。；結局、現在まで運河の開削は行われていないが、構想や研究は続いている。；オハイオ州の運河建設計画は他州ほど経済的な失敗にはならなかった。；また、ストラスブールからパリ方面やスイス方面へ運河も整備されている。；灌漑は必要とされず、ウルにあった運河網は輸送に使用されていたであろう。；大西洋と太平洋とを結ぶ運河は、パナマ地峡の発見後すぐに構想された。；そのサイズの船が航行できるよう、運河の改良がこれ以後各地で進められた。；この膨大な需要は、運河周辺に様々な産業を立地させることになった。；しかし、現在は運河は埋め立てられており、道路として使用されている。；この過程で運河建設のために各国から労働者が導入された。；その後彼がコーニに家を出て行くよう言い放ち、彼女は運河に身を投げた。；生みの親ではなく、運河人と呼ばれる下層階級の間で育てられて成長した。；水が過剰な時には当然ながら既存運河に対して水を連続的に流したままにする。；船越の地名は島であったときの運河状態の際に船が通っていた名残りといわれる。；運河周辺には、戦車などこの戦争の残骸が記念碑として残されている。；この運河は中国の主要河川2本をつなぐことで秦の南西進出を支えた。；イェータ運河は、19世紀初期に建設されたスウェーデンの運河である。；さらにストライキで端を発した運河労働者らエジプト住民にも反英行動が広がった。；信号次第では、この運河から京浜運河に出る事が一時的になる場合がある。；近くの湖まで運河を掘り、そこから海に出ることができるようになったのである。；これらの都市の多くはユーフラテス川とティグリス川の運河沿いにあった。；川用の船はさらに上流の運河との合流点まで行くことができる。</t>
        </is>
      </c>
      <c r="J828">
        <f>HYPERLINK("https://www.weblio.jp/content/運河", "词义详情")</f>
        <v/>
      </c>
      <c r="K828">
        <f>HYPERLINK("https://yourei.jp/運河", "查看例句")</f>
        <v/>
      </c>
    </row>
    <row r="829">
      <c r="A829" t="inlineStr">
        <is>
          <t>運休</t>
        </is>
      </c>
      <c r="B829" t="inlineStr">
        <is>
          <t>成功</t>
        </is>
      </c>
      <c r="C829" t="inlineStr">
        <is>
          <t>読み方：うんきゅう
［名］(スル)《「運転休止」「運行休止」「運航休止」の略》交通機関が運転や運行を休止すること。</t>
        </is>
      </c>
      <c r="D829" t="inlineStr">
        <is>
          <t>運休する(11%)；運休中(3%)；運休日；運休時；運休区間</t>
        </is>
      </c>
      <c r="E829" t="inlineStr">
        <is>
          <t>運行休止；運転休止</t>
        </is>
      </c>
      <c r="F829" t="inlineStr">
        <is>
          <t>休日運休；長期運休；区間運休；終日運休；すべて運休</t>
        </is>
      </c>
      <c r="H829" t="n">
        <v>29</v>
      </c>
      <c r="I829" t="inlineStr">
        <is>
          <t>なお休校日は運休しているが、学校側の希望で運行している場合もある。；以前は鉄道の運行の中心だったが、2006年から鉄道は運休している。；ただし曜日により運休となったり運行区間を変更したりする列車もある。；また朝に休日運休の渚滑発上渚滑行の途中無停車列車が設定されていた。；太平洋戦争の末期にはソ連軍の攻撃もあり、路線の一部が運休となった。；雨天の際は運休としたが、運転日の途中から雨になった日には苦情が出た。；妻とは運休した新幹線で隣に座っていたことがきっかけで知り合った。；そのため、供用開始後に長期運休と改善工事を余儀なくされたこともある。；この日に合わせて、列車の運休を伴う工事や調整を行うこともある。；いずれも予約制で、予約がなく始発地に乗客がいない場合は運休となる。；本系統は、全日運行されるものの、学校休校日運休となる便も存在した。；また、昼間に大規模に列車を運休してリフレッシュ工事を行う路線もある。；昼間に大規模に列車を運休してリフレッシュ工事を行う路線もある。；海岸沿いを走行するため、風の影響を受けやすく、しばしば運休する。；この区間では2002年度の上半期に月一回の保守運休を行っていた。；震災以後は運休していたが、2012年10月9日より運行を再開した。；本番組では、遅延・運休発生時に該当路線を読み上げるのみである。；路線ごとに分けて記述するが、土曜・休日と年末年始はすべて運休する。；これらの工事は2003年夏に11週間もの間運休させて行われた。；しかし新設区間でも問題は起きており、遅延や運休が起こっている。；また、これに付随して運行されるとしていた臨時バスはすべて運休となった。；西部地区では閑散線の動植物園経由パールシー便や九文高校便が運休する。；またJR西日本はローカル線で日中に保線を行う際に列車を運休する。；かつては祝日も運転していたが令和2年のダイヤ改定で運休となった。；また第二次世界大戦時には深刻な被害を受け、長期間の運休を余儀なくされた。；日中運休だった時期があるが、現在は日中も運行している。；有田鉄道の最末期は、休日は列車を全便運休としバス代行便のみとした。；サンディの対応でも事前に鉄道やバスの運休予告などを実施し功を奏した。；これにより遅れが発生したが、運休となったのは1本だけであった。</t>
        </is>
      </c>
      <c r="J829">
        <f>HYPERLINK("https://www.weblio.jp/content/運休", "词义详情")</f>
        <v/>
      </c>
      <c r="K829">
        <f>HYPERLINK("https://yourei.jp/運休", "查看例句")</f>
        <v/>
      </c>
    </row>
    <row r="830">
      <c r="A830" t="inlineStr">
        <is>
          <t>運行</t>
        </is>
      </c>
      <c r="B830" t="inlineStr">
        <is>
          <t>成功</t>
        </is>
      </c>
      <c r="C830" t="inlineStr">
        <is>
          <t>読み方：うんこう
［名］(スル)
１惑星・衛星・彗星(すいせい)などが、その軌道上を運動すること。「地球の—」
２電車やバスなどが決まった路線をたどって行くこと。「列車の—」
３物事が進んでいくこと。
「穂先の—がねっとりと竦(すく)んで仕舞(しま)ったのかと思うと」〈漱石・子規の画〉</t>
        </is>
      </c>
      <c r="D830" t="inlineStr">
        <is>
          <t>運行する(10%)；運行される(8%)；運行開始(4%)；運行区間；運行形態</t>
        </is>
      </c>
      <c r="E830" t="inlineStr">
        <is>
          <t>航走</t>
        </is>
      </c>
      <c r="F830" t="inlineStr">
        <is>
          <t>往復運行；定期運行；毎日運行；共同運行；運行時間</t>
        </is>
      </c>
      <c r="G830" t="inlineStr">
        <is>
          <t>運行管理；運行会社；運行路線；運行間隔；運行ダイヤ</t>
        </is>
      </c>
      <c r="H830" t="n">
        <v>29</v>
      </c>
      <c r="I830" t="inlineStr">
        <is>
          <t>ほとんど全郡でバス路線を運行しており、多くの都市にもバス便がある。；また、道路の建設やバス・モノレールの運行ができるようになっている。；定められた時刻通りに列車を運行することは鉄道事業の出発点である。；平日夕方の下り方向では運行されず、後述する通勤快速が代わりとなる。；座席指定で運賃のほかに料金が必要な列車が下記のとおり運行されている。；現在両都市を結んでいるイラワヤ線はおよそ2時間で運行されている。；このため、学研都市線とJR東西線はほぼ一体の運行形態となっている。；当初は2013年1月26日までの運行としていたが3月9日まで延長。；名古屋鉄道が過去にホームライナーに相当する列車を運行していた。；鉄道ではかつてはヒジャーズ鉄道が運行されていたが現在は廃止になっている。；プロ野球・Jリーグ・コンサート等の大規模イベント時に運行されている。；これらの法則は、天体の運行などの観測結果をよく説明することができた。；こうしたことから、あまり運行頻度が高くない路線を中心に用いられている。；停車駅や運行区間など詳しくは、各種別および各路線の記事を参照のこと。；彼は彗星は惑星の間を直線軌道で運行していると信じていた。；この駅から西へ向かって運行が再開されたのは、1989年になってからである。；各学校の通学区域が広いため21台のスクールバスが運行されている。；横浜市営バスにより、当駅を経由・発着する路線バスが運行されている。；これまでに運行されたものは以下のとおりである。；東西ドイツ国境や高速鉄道などは両方を通って普通に運行されていた。；窓上部には行先表示器・運行番号表示器と車両番号表記を配している。；主要都市には地下鉄及び市電、またエレクトリーチカが運行されている。；市内ではJR九州が3路線、西鉄が2路線の計5路線が運行されている。；他の多くの都市は市内と地域の公共輸送機関を運行している。；スカイライナー経由で運行する座席指定有料特急列車の列車愛称である。；戦争中に一旦廃止となり、戦後1947年に運行を再開している。；江ノ島線内では過去に運行されていた湘南急行と停車駅が同一となっている。；およびモクレレ航空、アイランドエアーなどが州内路線を運行している。；以前は8両編成で運行されていたが、原則10両編成で運転された。</t>
        </is>
      </c>
      <c r="J830">
        <f>HYPERLINK("https://www.weblio.jp/content/運行", "词义详情")</f>
        <v/>
      </c>
      <c r="K830">
        <f>HYPERLINK("https://yourei.jp/運行", "查看例句")</f>
        <v/>
      </c>
    </row>
    <row r="831">
      <c r="A831" t="inlineStr">
        <is>
          <t>うんざり</t>
        </is>
      </c>
      <c r="B831" t="inlineStr">
        <is>
          <t>成功</t>
        </is>
      </c>
      <c r="C831" t="inlineStr">
        <is>
          <t>［副］(スル)
１物事に飽きて、つくづくいやになるさま。「あまりの長話に—する」
２期待が外れてがっかりするさま。げんなり。「あの作家がこんな文を書くとは—してしまう」</t>
        </is>
      </c>
      <c r="D831" t="inlineStr">
        <is>
          <t>うんざりするよう(3%)；うんざりしてる；うんざりしかけ；うんざりする程</t>
        </is>
      </c>
      <c r="E831" t="inlineStr">
        <is>
          <t>大概；倦怠；ご免；ウンザリ；食傷</t>
        </is>
      </c>
      <c r="F831" t="inlineStr">
        <is>
          <t>もううんざり；いい加減うんざり；いささかうんざり；少々うんざり；いいかげんうんざり</t>
        </is>
      </c>
      <c r="H831" t="n">
        <v>29</v>
      </c>
      <c r="I831" t="inlineStr">
        <is>
          <t>自分の世話をみるのにフィリップがうんざりしてくるのではあるまいか?；板倉屋に呼ばれて出て来たときから彼らはウンザリした顔をしていた。；女性との接触で回復するのではないかと願う母親にうんざりしている。；わたしたちがムルマンスクにうんざりしていることを、百も承知なのだ。；それにしても後ろの子達、なんなのかしらとキャスターはウンザリした。；よく知りもしないことを使って称賛されたがる連中に私はうんざりなんです。；くる日もくる日も戦わねばならないのには、われわれもうんざりしていた。；およそこれほど単調でうんざりするような作業は想像もできなかった。；別のところへ移ってもきっとこんなふうに退屈なのだろうなとうんざりした。；その上、私は私の信仰する教えで手荒に扱われることにうんざりしている。；本人も、きっとそんな質問は耳タコで、うんざりしているにちがいない。；きみは、おれを最もうんざりさせるものはなにかを知っているかね。；明らかにうんざりするようなこの男の話を敬遠しようという腹なのだ。；甲府の両親からは早く結婚するようにとうるさく言われうんざりしていた。；きみはもう方々で何度も同じ話をさせられてうんざりしているんじゃあないか?；「麻衣」 声をかけてから、事務所の中を見てウンザリした表情をする。；教室の中で、ピアノに向かって指揮をするのは、もうウンザリだった。；大きな家のなかに一人きりでいることにうんざりしたからです。；「そんなものはしまっておけ」ベルガラスがうんざりしたように言った。；一度はいいけれど、各地で毎晩おなじことを聞かされるとウンザリする。；でも、いろいろうんざりさせられることがあって、やめてしまったんです。；個室にはいると、メイフィールドは疲れてうんざりしているようだった。；そのひとりよがりの絶望感には、そばにいるだけでうんざりさせられた。；彼が興味をもっているものは、ミルドレッドにはうんざりするものだった。；そんな紙面を見ると、ある種の人々の感情はなんだかうんざりしてしまう。；思い出すたびに、自分のことながらウンザリとしてしまうような私でした。；「あんたみたいな男は、もううんざりだわ」 女も嵩にかかっていった。；そこで彼はただ、うんざりしたような顔にせせら笑いを浮かべていた。；少女は、この人間との関わりに再びウンザリし、と自分の行動を省みた。</t>
        </is>
      </c>
      <c r="J831">
        <f>HYPERLINK("https://www.weblio.jp/content/うんざり", "词义详情")</f>
        <v/>
      </c>
      <c r="K831">
        <f>HYPERLINK("https://yourei.jp/うんざり", "查看例句")</f>
        <v/>
      </c>
    </row>
    <row r="832">
      <c r="A832" t="inlineStr">
        <is>
          <t>運送</t>
        </is>
      </c>
      <c r="B832" t="inlineStr">
        <is>
          <t>成功</t>
        </is>
      </c>
      <c r="C832" t="inlineStr">
        <is>
          <t>読み方：うんそう
［名］(スル)人や物を目的の所に運ぶこと。運搬。「救援物資をトラックで—する」</t>
        </is>
      </c>
      <c r="D832" t="inlineStr">
        <is>
          <t>運送船(8%)；運送店(7%)；運送業(3%)；運送費；運送用</t>
        </is>
      </c>
      <c r="E832" t="inlineStr">
        <is>
          <t>輸送；交通；運び；運ぶ；渡す</t>
        </is>
      </c>
      <c r="F832" t="inlineStr">
        <is>
          <t>ミリガン運送；貨物運送；トラック運送；合同運送；船舶運送</t>
        </is>
      </c>
      <c r="G832" t="inlineStr">
        <is>
          <t>運送屋；運送業；運送業者；運送事業；運送艦</t>
        </is>
      </c>
      <c r="H832" t="n">
        <v>29</v>
      </c>
      <c r="I832" t="inlineStr">
        <is>
          <t>すでに二百万部の印刷を終え、全国の雑誌流通センターに運送されている。；東篠崎町で小さな運送店を開いている伯父のところで働くことになった。；運送業界では同様の賃金規則を持つ会社があるので影響がありそうだ。；もしかすると、何かの魚を運送するために使われたロープかもしれない。；珠美が運送してきたのだと理解するも、何が起こっているのかわからない。；ただ敵の潜水艦や飛行機で運送船を沈められることが多くなると困るだろう。；現在は運送には用いられておらず、観光客向けの船が運行されている。；初めのうち、この、運送サービスの商売はそこそこにうまくいっていた。；中部運輸局から新城市北部でのタクシー運送も認められることになった。；運送業務での利用は少なく、個人のレジャー目的のものがほとんどである。；ほかにも運送負荷を下げるために生産段階から軽い梱包材を採用できる。；まもなくそこへ後から朝の運送車が追いついて近くの町まで乗せて行ってくれた。；ロンドン市内中心部からさまざまな空港への運送を行っている。；側面には有名な運送会社のロゴが描かれており、誰も怪しむ者はない。；私が腰かけている椅子の横に、担架を載せた患者運送車が置いてある。；そのため、トゥーンタウン交通運送委員会を設置し乗り物が開発された。；地域の公共バス網である「」は、運送センターに中央拠点を置いている。；飼育および運送などは他のネズミザメ科のサメと同じように大変難しい。；ご承知のようにわれわれの会社は、ずっと貨物運送を専門にやってきました。；そして、あと一方の壁ぎわには、細い金帯のついた運送用の箱が並んでいた。；契約に際しては、どこからどこまでの運送なのかを明確にしておく必要がある。；日用品が高いうえに運送が困難なので、この島では生活が高くつく。；彼は当時、地中海・ソマリア間を中心に様々な貨物を海上運送していた。；この地を選んだのは、 など主に運送面での利点が大きかったためとされる。；乗車券には運送の内容の相違と相互対応して多くの種類がある。；国際的な貨物運送の部門でこの路線はあまり重要な役割を離さない。；中迫運送店の事務所には、女の事務員と、体の大きな男の姿が見えた。；これが成功して大正14年には「青木運送」を設立して海運業にも進出。；しかしここ二年ほどはバイク便の宅配運送業にずっと従事していた。</t>
        </is>
      </c>
      <c r="J832">
        <f>HYPERLINK("https://www.weblio.jp/content/運送", "词义详情")</f>
        <v/>
      </c>
      <c r="K832">
        <f>HYPERLINK("https://yourei.jp/運送", "查看例句")</f>
        <v/>
      </c>
    </row>
    <row r="833">
      <c r="A833" t="inlineStr">
        <is>
          <t>運賃</t>
        </is>
      </c>
      <c r="B833" t="inlineStr">
        <is>
          <t>成功</t>
        </is>
      </c>
      <c r="C833" t="inlineStr">
        <is>
          <t>読み方：うんちん
《近世まで「うんぢん」とも》旅客や貨物を運ぶ料金。運送賃。</t>
        </is>
      </c>
      <c r="D833" t="inlineStr">
        <is>
          <t>運賃計算(3%)；運賃体系；運賃収入；運賃収受；運賃値上げ</t>
        </is>
      </c>
      <c r="E833" t="inlineStr">
        <is>
          <t>船賃；車代；車賃；運送料；交通費</t>
        </is>
      </c>
      <c r="F833" t="inlineStr">
        <is>
          <t>普通運賃；航空運賃；旅客運賃；区間運賃；低運賃</t>
        </is>
      </c>
      <c r="G833" t="inlineStr">
        <is>
          <t>運賃表；運賃制度；運賃表示器；運賃改定；運賃表示機</t>
        </is>
      </c>
      <c r="H833" t="n">
        <v>29</v>
      </c>
      <c r="I833" t="inlineStr">
        <is>
          <t>座席指定で運賃のほかに料金が必要な列車が下記のとおり運行されている。；同一の区間で設備と運賃に格差をつけた複数の便が運行されている例がある。；鉄道の場合、かつての運賃に差を付けた等級制度からきているものが多い。；運賃は基本的に区間制と距離制を地域事情に応じて併用している。；孤立路線ではあるものの、運賃体系は他の名鉄の路線と同様となっている。；JR東日本ではICカードを利用して乗車した際は別の運賃が適用される。；旅客運賃収入が増加した時期もあったが最近では減少している。；同時に線内運賃も千葉線・本線やJR東日本の幹線に比べ高水準である。；運賃は一般的に移動距離に応じたステージ制で計算される。；これらの路線は那覇市外でも運賃は那覇市内均一運賃扱いとなっている。；運賃は対象の2駅のうち高額となる駅の定期券を購入した場合に適用される。；逆に当駅で下車する場合は運賃や乗車券は回収箱に入れることになる。；運賃収入に占める人件費の割合が大きいことも、導入理由の一つとなった。；押上駅と隣接しており、運賃計算上は当駅と同一の駅として扱われる。；だが、すべての列車に冷房が搭載されたことで運賃が統一された。；また、この年の夏からは小児運賃を一律50円にする施策も行なわれた。；運賃は通勤線化される前より、他の東急各線とは別体系となっている。；路線定期運行の場合は路線延長や運賃料金について認可制になっている。；格安航空路線では別料金となることもあるが、多くが運賃に含まれている。；このように距離ごとに細かく運賃を設定している国は少ない。；都区内地域外へ乗り入れる路線は乗車区間に応じた運賃が適用される。；全列車ワンマン運転を実施しているが、車内での運賃収受は行っていない。；このため通常便に比べて運賃がやや高めに設定されている。；その植民地政府も艀などを所有する海運アライアンスに運賃を搾取された。；有人駅で下車する場合、一部を除き駅改札口で運賃を支払うことが多い。；厳密に規定を適用すると入場した駅から改めて運賃相当額を支払う必要がある。；移譲に際して、3年間は路線・便数・運賃を維持する契約を結んでいる。；中長距離では同じ県内の大井川鐵道に次ぐ割高な運賃設定となっている。；当駅は川崎市内にあるが、運賃区分上は横浜市内の駅として扱っている。</t>
        </is>
      </c>
      <c r="J833">
        <f>HYPERLINK("https://www.weblio.jp/content/運賃", "词义详情")</f>
        <v/>
      </c>
      <c r="K833">
        <f>HYPERLINK("https://yourei.jp/運賃", "查看例句")</f>
        <v/>
      </c>
    </row>
    <row r="834">
      <c r="A834" t="inlineStr">
        <is>
          <t>運転</t>
        </is>
      </c>
      <c r="B834" t="inlineStr">
        <is>
          <t>成功</t>
        </is>
      </c>
      <c r="C834" t="inlineStr">
        <is>
          <t>読み方：うんてん
［名］(スル)
１大きな機械を作動させること。「発電機を—し始める」
２列車や自動車などを操作して走らせること。
３資金などをうまく運用し活用すること。やりくりすること。「会社の—に充てる金」
４天体や時間が、巡り回ること。運行。
「地球も正則(きまりどお)り—して」〈逍遥・当世書生気質〉</t>
        </is>
      </c>
      <c r="D834" t="inlineStr">
        <is>
          <t>運転手(27%)；運転する(8%)；運転される(4%)；運転開始；運転区間</t>
        </is>
      </c>
      <c r="E834" t="inlineStr">
        <is>
          <t>運営；作業；実行；操作；働き</t>
        </is>
      </c>
      <c r="F834" t="inlineStr">
        <is>
          <t>高速運転；連結運転；区間運転；急行運転；h運転</t>
        </is>
      </c>
      <c r="G834" t="inlineStr">
        <is>
          <t>運転席；運転士；運転室；運転免許；運転者</t>
        </is>
      </c>
      <c r="H834" t="n">
        <v>29</v>
      </c>
      <c r="I834" t="inlineStr">
        <is>
          <t>また列車の運転する区間や異なる路線への直通列車の設定を検討する。；運転出来ない若年層を考慮すると平均ではほぼ1人に1台の状態である。；基本的に8両編成で運転されているが、一部は10両編成で運転される。；通常期の昼間時の1時間毎の運転本数をまとめると以下のとおりになる。；デッキとコンパートメント席を除き運転開始当初から禁煙とされていた。；この際、同区間は単線として運転され、列車は1番線ホームに発着した。；移動して運転する事が出来る蒸気機関で農業などで使用された。；上記の急行とは停車駅が異なり、宇治線内でも急行運転を実施していた。；みやこ路快速・快速・区間快速・普通の4種別の列車が運転されている。；運転関係社員は前述の男性用制服と同じ紺色の制服を着用する。；乗車時に運転手に依頼すれば、特定の目的地に到着した際に教えてはくれる。；朝・夕方の一部列車は草津駅まで延長運転されるようになった。；このほか、観光シーズンなどには臨時列車として以下の列車が運転された。；そのため、多様な停車パターンの多数の列車種別が運転されている。；速度に応じて徐々に電圧を上げれば実感的な運転ができるわけである。；また、朝の下り方面と夕方以降は快速「ラビット」 も運転されている。；そのほかの列車は快速と同じく都営新宿線内は各駅停車で運転されている。；概ね郡山駅で系統は分割されているが、朝夕の一部列車は直通運転する。；また、通過運転を行う区間では、到着放送の結びに到着駅名の再案内を行う。；ダイヤ乱れによる運用変更などにより上り列車が運転される場合もある。；また、鋼索で車両を支持し運転するものも鉄道の一種としている。；廃止以降も「あいづ」の愛称名で繁忙期を中心に運転が行われていた。；回送列車や臨時列車は通過待ちのため当駅で運転停車する事がある。；これらを運転中に編成落としをしたり、分離運転したりする。；機関車により推進して運転する時に用いるための運転台を備えている車両もある。；このホームが使用される際のみ、原宿駅は運転取扱駅へと一時的に昇格する。；自動車の最初期の段階からすでに運転を誤る事故が発生した。；車両は全列車221系で運転され、4両または6両編成で運転されている。；ほぼ終日設定されており、日中は1時間あたり4本が運転されている。</t>
        </is>
      </c>
      <c r="J834">
        <f>HYPERLINK("https://www.weblio.jp/content/運転", "词义详情")</f>
        <v/>
      </c>
      <c r="K834">
        <f>HYPERLINK("https://yourei.jp/運転", "查看例句")</f>
        <v/>
      </c>
    </row>
    <row r="835">
      <c r="A835" t="inlineStr">
        <is>
          <t>運転手</t>
        </is>
      </c>
      <c r="B835" t="inlineStr">
        <is>
          <t>成功</t>
        </is>
      </c>
      <c r="C835" t="inlineStr">
        <is>
          <t>読み方：うんてんしゅ
一般に、電車・自動車などを運転する人。</t>
        </is>
      </c>
      <c r="D835" t="inlineStr">
        <is>
          <t>運転手さん(3%)；運転手兼ガイド；運転手君の話；運転手冬木；運転手風情</t>
        </is>
      </c>
      <c r="E835" t="inlineStr">
        <is>
          <t>ドライバー；御者；機関士；馭者；運転者</t>
        </is>
      </c>
      <c r="F835" t="inlineStr">
        <is>
          <t>運転手兼；中年の運転手；自動車運転手；大西運転手；初老の運転手</t>
        </is>
      </c>
      <c r="H835" t="n">
        <v>29</v>
      </c>
      <c r="I835" t="inlineStr">
        <is>
          <t>また、社長専用車はあったが運転手は付けず、自ら運転していたという。；夫婦は旅の疲れから行き先を運転手に伝えるとすぐにそのまま眠りに落ちた。；運転手の拘束時間や連続運転時間が基準を超えていたことが分かった。；駐車した運転手は駐車後に気が変わり車から離れていたため無事であった。；アイリーンは運転手が口論の末に彼女をバスから押し出したと主張した。；一方の運転手は信号は青だったと証言し、もう一方の運転手は死亡。；父はバスの運転手をしていたが、生活は必ずしも豊かではなかった。；その他に記者会見、イベント等の進行役や選手バスの運転手も務めている。；運転手は馬車とともに移動しなければならないためその地に残った。；事故車両を含め4台のスキーバスを運行したが、運転手は7人であった。；一部の鉄道・軌道業者では運転手を社内呼称として用いる業者もある。；事故で亡くなった運転手にこの賞が授与されるのは初となる。；彼の父は第一次世界大戦で馬車の運転手をしていたが、戦死した。；通常の傾き位置では光は直接反射して夜間に運転手の眼に入ることになる。；いずれにしても運転手とブルームを操作する係員が2人一組で乗務する。；生徒で満員の場合は運転手の判断で途中のバス停に停車しない場合があった。；なお、運転手の椅子は各編成とも改造前と変わらない緑色である。；運転手にとっては走行中の安全だけでなく、乗降中の安全も重要となる。；その後、運転手の仲間に発炎筒を持ってこさせ、現場の先に置いたという。；その目的は責任がある鉄道運転手の団体の間で意思疎通を向上させるためである。；また、運転手たちには回収された人間の心を見抜いている描写がある。；事故を起こした運転手はアレックスで、助手席にはマイカも乗っていた。；運転手はブレーキをかけたが動作せず、バスは上り坂を後退し始めた。；中継基地では燃料と食事が支給され、運転手は休息することができた。；そこへ偶然、退学してトラックの運転手になっていた市野が通りかかる。；タクシーの運転手などの仕事をしていたが、音楽活動も続けていた。；その師匠・松鶴の内弟子時代が長く、また師匠の専用運転手を務めていた。；その際、右エンジンが走行していた乗用車を直撃し、運転手は即死した。；運転をする人や、運転することを職業とする人を運転手と言う。</t>
        </is>
      </c>
      <c r="J835">
        <f>HYPERLINK("https://www.weblio.jp/content/運転手", "词义详情")</f>
        <v/>
      </c>
      <c r="K835">
        <f>HYPERLINK("https://yourei.jp/運転手", "查看例句")</f>
        <v/>
      </c>
    </row>
    <row r="836">
      <c r="A836" t="inlineStr">
        <is>
          <t>うんと</t>
        </is>
      </c>
      <c r="B836" t="inlineStr">
        <is>
          <t>成功</t>
        </is>
      </c>
      <c r="C836" t="inlineStr">
        <is>
          <t>［副］
１数量の多いさま。たくさん。どっさり。「—稼いで仕送りしてやる」
２程度がはなはだしいさま。また、他と比べて差の大きいさま。非常に。ずっと。「前より—体重が減った」</t>
        </is>
      </c>
      <c r="D836" t="inlineStr">
        <is>
          <t>うんと力；うんと金；うんと若い；うんと高く；うんと勉強</t>
        </is>
      </c>
      <c r="E836" t="inlineStr">
        <is>
          <t>多く；よく；しばしば；たくさん；大変</t>
        </is>
      </c>
      <c r="F836" t="inlineStr">
        <is>
          <t>うんと飲ん；うんと遠く；うんと働い；うんと高い；うんと言う</t>
        </is>
      </c>
      <c r="H836" t="n">
        <v>29</v>
      </c>
      <c r="I836" t="inlineStr">
        <is>
          <t>今年こそ白いのをうんととって来て手柄を立ててやらうと思ったのです。；かれはあたしに、あたし自身のことをうんとたくさん教えてくれたのよ。；お望みとあらばあの方のよかった点だけをうんと話してあげましょう。；金でもあって闇のものでもうんと食ってれば抵抗力もあったろうからな。；卵がうんと入っているように見せて、そんな色を着けたのかも知れない。；わたしも昔それを抑圧するためにうんとがんばって見たことがあるのだ。；目を閉じて横の方へうんと投げて、どの見当で音がするか当ててみる。；はじめはうんと言わなかったが、とうとう行く決心をし、彼らに言った。；うんと詰めこんだあとのように胸がいっぱいに詰まっている感じなのだ。；うんと力を入れて開けたら日本女がびっくりした程ひどい音がした。；牛丸君の家は旧家だから、金がうんとあると思われたのかもしれないな。；「おれたちは、その槍をうんと作らなければならないのだ」彼がいった。；彼は、はじめのうちむっつりしていたが、なすべき仕事はうんとあった。；前より、うんと文が長くなっていて、その上達ぶりにびっくりしました。；今年こそ白いのをうんととって来て手柄を立ててやろうと思ったのです。；ぼくたちは命を助けてもらったのだから、まだきみたちにうんと借りがある。；そのほかのことは、ほかの人からうんとあの人に言ってもらうつもりですわ。；そういう人にうんと働いて貰わないと世の中の方向が妙な風に進んでしまう。；そこにはまだ明らかにされていない深遠な問題がうんとあるのです。；この機械はシータの作用範囲をうんと拡げて作った最初の機械だったんだ。；アメリカに帰る前にロンドンでうんと面白い思いさせてあげるよ!；あたしを無事にかれのもとに返してくれたら、うんと褒美をあげましょう。；事実は大和の女郎花の中にも、袖を濡らしたがっている奴がうんとある。；もしあの主教さえまともなら、おれはうんと言いたい気持になるだろう。；一俵掛けて、兄弟してうんと力を入れた時は、二人とも顔が真紅に成る。；「うんとたたきこんでやりなさい」 またさっきの同じ声の主が言った。；とにかくうんと食わせていたわってやってくれ、明日もまた山かけるぞ。；おれが一言、うんといいさえすれば、明日にでも女と金がおれのものになる。；然し行くと、日雇一円五十銭ずつ出されるので、ひどいのがうんと来る。</t>
        </is>
      </c>
      <c r="J836">
        <f>HYPERLINK("https://www.weblio.jp/content/うんと", "词义详情")</f>
        <v/>
      </c>
      <c r="K836">
        <f>HYPERLINK("https://yourei.jp/うんと", "查看例句")</f>
        <v/>
      </c>
    </row>
    <row r="837">
      <c r="A837" t="inlineStr">
        <is>
          <t>運動</t>
        </is>
      </c>
      <c r="B837" t="inlineStr">
        <is>
          <t>成功</t>
        </is>
      </c>
      <c r="C837" t="inlineStr">
        <is>
          <t>読み方：うんどう
［名］(スル)
１物が動くこと。物体が時間の経過とともに空間的位置を変えること。「振り子の—」「天体—」⇔静止。
２からだを鍛え、健康を保つために身体を動かすこと。スポーツ。「肥満防止のために—する」「—競技」
３ある目的を達するために活動したり、各方面に働きかけること。「選挙—」「労働—」「委員になるため—する」
４物事の状態が、時とともに変わること。
「彼の西洋の文明も今正(まさ)に—の中に在て日に月に改進するものなれば」〈福沢・文明論之概略〉
５生物体が能動的に起こす動き。動物の筋肉運動や鞭毛(べんもう)運動、植物の膨圧運動など。</t>
        </is>
      </c>
      <c r="D837" t="inlineStr">
        <is>
          <t>運動能力；運動量；運動性能；運動場；運動施設</t>
        </is>
      </c>
      <c r="E837" t="inlineStr">
        <is>
          <t>活動；行動；動き；スポーツ；動作</t>
        </is>
      </c>
      <c r="F837" t="inlineStr">
        <is>
          <t>社会主義運動；回避運動；激しい運動；プロレタリア文学運動；左翼運動</t>
        </is>
      </c>
      <c r="G837" t="inlineStr">
        <is>
          <t>運動会；運動量；運動神経；運動性；運動部</t>
        </is>
      </c>
      <c r="H837" t="n">
        <v>29</v>
      </c>
      <c r="I837" t="inlineStr">
        <is>
          <t>アクチュエータは基本的にエネルギーを与えることで運動を発生させる。；アメリカ合衆国の新形式主義運動も現代のソネットへの関心に貢献した。；この改造案が発表された後、国際エスペラント運動は重大な分裂が続いた。；話者の子孫たちを中心にするグループが言語復興運動をおこなっている。；野球を好んでしている描写はあるが、基本的に運動能力は極めて低い。；さりながら、競技運動の目的は単純で狭いが、柔道の目的は複雑で広い。；ここから逆に、恒星がどのような運動をしているかを分析することができる。；運動も得意であり、学校の外では「広場の王様」とあだ名されたという。；「完全なる神は完全なる運動を造られる」と考えられていたのだった。；観測者 、 が慣性運動しており、さらに質点 が運動しているとする。；その嚆矢とも言えるのがイギリスで起こったラファエル前派の運動である。；昭和初期の『詩と詩論』運動はこの状況に対抗して発生したものである。；任意の物理系の温度はその系を構成する粒子の運動と関連している。；しかし、これらのジェットは光速よりも速く運動しているわけではない。；支持者と参加者たちはこれを大きな出来事で運動の勝利であると考えている。；粘弾性緩和の原因は各温度で高分子鎖の分子運動 が異なるためである。；運動以外のエネルギーを電力に変換する発電には以下のようなものがある。；彼以前にはこのように運動を数的に研究する手法はヨーロッパにはなかったと考えられている。；マズダクの教えは、一切の平等を説く社会的抗議運動だったと思われる。；プトレマイオスは地球の運動を他の天体の運動と分離したのである。；しかし、惑星の運動は太陽のように簡単には解決できなかった。；このために行う胸郭運動を呼吸運動と呼び、これをやめることはできない。；結果として、観測者に対して相対運動する時計は進み方が遅れて見える。；この結果、たとえば単純なボールの投げ上げ運動でも、その軌道は複雑になる。；一方、このような円盤面内運動でなく水車のような回転をする翼も存在する。；この運動以降、中国の青年達に共産主義思想への共感が拡大していく。；安静時や強度の低い運動時には脂肪の方が糖よりも多く使われている。；しかしこの行動はハンガリーなどで領土回復運動が高まるきっかけとなった。；これには運動を伴うものもあれば、基本的に知的作業のみで行われるものもある。</t>
        </is>
      </c>
      <c r="J837">
        <f>HYPERLINK("https://www.weblio.jp/content/運動", "词义详情")</f>
        <v/>
      </c>
      <c r="K837">
        <f>HYPERLINK("https://yourei.jp/運動", "查看例句")</f>
        <v/>
      </c>
    </row>
    <row r="838">
      <c r="A838" t="inlineStr">
        <is>
          <t>運動場</t>
        </is>
      </c>
      <c r="B838" t="inlineStr">
        <is>
          <t>成功</t>
        </is>
      </c>
      <c r="C838" t="inlineStr">
        <is>
          <t>読み方：うんどうじょう
運動競技をするために設けられた広場。グラウンド。</t>
        </is>
      </c>
      <c r="D838" t="inlineStr">
        <is>
          <t>運動場内；運動場等；運動場跡地；運動場へ行つて；運動場になつて</t>
        </is>
      </c>
      <c r="E838" t="inlineStr">
        <is>
          <t>公園；庭園；園；フィールド；グラウンド</t>
        </is>
      </c>
      <c r="F838" t="inlineStr">
        <is>
          <t>総合運動場；広い運動場；屋外運動場；多目的運動場；南運動場</t>
        </is>
      </c>
      <c r="G838" t="inlineStr">
        <is>
          <t>運動場前</t>
        </is>
      </c>
      <c r="H838" t="n">
        <v>29</v>
      </c>
      <c r="I838" t="inlineStr">
        <is>
          <t>それは南窓から見える大運動場の向こうにある新校舎から流れてきた音だ。；それはまるで深夜の小学校の運動場での不思議なにぎわいと同じことだ。；校舎と運動場は別に設置されており、道路を挟んで北側に運動場がある。；犬の運動場の面倒をみていたスコットランド産の小さいケッチのことを。；竹林を背にした館の広さは、中級の小学校の運動場ぐらいのものだった。；これらの土地等に付属する施設も含めて運動場と称することもある。；しかしここの運動場はさまざまな年齢の子が遊べるようになっていた。；彼は皆と一緒になって運動場の向うを眺めているうちに、怖くなってきた。；階段を降りた処に運動場へ出る扉があって、それには錠をおろしてあった。；竜太たちは二十メートル程の渡り廊下を歩いて、広い屋内運動場に出た。；運動場の左手の板壁にかかった大きな柱時計は、九時二十分を指している。；授業時間の間、運動場の下の四角な室のなかに、幽閉されてた彼等です。；窓の外は運動場に面した廊下で時々そこを通う下の組の生徒もある。；学校の運動場には大きなさくらの木があって、きれいに花が咲きました。；このような学校では運動場での体育などのときも裸足で生活する例が多い。；本丸の跡が運動場になっており、そこに県下の十数校が集まるのである。；散歩をすることで精神安定が図れるように庭園型運動場も整備されている。；ひょっとしたら一晩中、中学の運動場でがんばっていたのかもしれない。；財産区は独自の議会を持ち、地区内の道路や運動場整備を行っている。；学校の運動場がすぐ海に続いていたので、隙な時間にはよくその海岸を散歩した。；以前、鬱蒼とした森だったそこには、運動場ほどもある広場ができていた。；徳島県立池田高等学校辻校が駅を運動場と校舎ではさむ形となっている。；試験の当日にはどの生徒も運動場でも本を読んだりしている。；運動場を過ぎて理科実験室の横手の古い池のある青桐の木の下であった。；トイレは運動場内に小便器と大便器が一つずつ付いた小屋が設置されていた。；それが運動場の上に来たときには、お日さまも見えなくなってしまいました。；体育館は地下に設置されており、体育館屋上部分が運動場となっている。；彼はときどき教壇の方から眼を運動場のはてにある遠い緑の塊りに対けていた。；広い運動場に集っている生徒のなかへ、お島の洋服姿が現れて行った。</t>
        </is>
      </c>
      <c r="J838">
        <f>HYPERLINK("https://www.weblio.jp/content/運動場", "词义详情")</f>
        <v/>
      </c>
      <c r="K838">
        <f>HYPERLINK("https://yourei.jp/運動場", "查看例句")</f>
        <v/>
      </c>
    </row>
    <row r="839">
      <c r="A839" t="inlineStr">
        <is>
          <t>云々</t>
        </is>
      </c>
      <c r="B839" t="inlineStr">
        <is>
          <t>成功</t>
        </is>
      </c>
      <c r="C839" t="inlineStr">
        <is>
          <t>読み方：うんぬん
［名］(スル)《「うんうん」の連声(れんじょう)》
１引用した文や語句のあとを省略するときに、以下略の意で、その末尾に添える語。「この件について法的に問題がある—との指摘があった」
２あれこれ批評すること。とやかく言うこと。口をはさむこと。「軽々しく—すべき事柄ではない」
３言うに言われない事柄・事情。
「被告玉との間に、何か—のあったには」〈木下尚江・良人の自白〉
４（「…と云々」の形で）…という話である。…ということである。文末を間接話法で結ぶのに用いる語。</t>
        </is>
      </c>
      <c r="D839" t="inlineStr">
        <is>
          <t>云々する(10%)；云々以前</t>
        </is>
      </c>
      <c r="E839" t="inlineStr">
        <is>
          <t>など；とか；その他；色々；あれこれ</t>
        </is>
      </c>
      <c r="F839" t="inlineStr">
        <is>
          <t>すと云々；就いて云々；才能云々；す云々；死相云々</t>
        </is>
      </c>
      <c r="H839" t="n">
        <v>29</v>
      </c>
      <c r="I839" t="inlineStr">
        <is>
          <t>その上でお前は始めて生活と生存との矛盾を云々するの資格を得るのだ。；私は一度も作家一般におとして自分の将来を云々したことはなかった。；彼女はそれを確信したが、そんなことを云々している余裕はなかった。；自分外国ゆきの話をしたら、母上、そんなことだろうと思って居た云々。；それ故従って目下の社会情勢に適応した事を云々する資格もない訳です。；多くの作家のように、自分の作品を云々する言葉も勇気も勿論なかったのだ。；彼等にはさう婦人の貞操を云々と云へる資格のある人はない筈である。；もう入る・近づく云々の話ではなく、地元の人は話をしようともしないという。；といってもこれは制度の改正や規則云々でできることではない。；私のことを云々するすべての者のうちで、彼はまだいちばん賢明です。；その詩を讃めると同時に、子供の世話を頼もうかと思っている云々と。；お使いに、森長さんからもお話がありましたが云々と云っていたそうです。；きわめて敬虔なことを云々する者は、多少迷信的な言葉を発するものだ。；又そうでなければ、吾々は範疇を云々する理由を失うて了うわけである。；これにもやはり左手云々の但書がタイプライターで叩いてあった筈だ。；夫 「故ら相手に苦痛を与へんとする言動を犯したる時云々」の項です。；先生の気にする財産云々の掛念はその時の私には全くなかった。；文面はこの話の冒頭に掲げて置きました「一度お伺い云々」のあれです。；しかし過去のことを云々してもそれは大して役にたちはしない。；よく人は釣堀で、その腕の熟練さを云々してゐるが、私は釣堀は嫌ひだ。；評者は君の芸術が、それを失くした時、一層面白い云々、と述べていた。；尾崎は、世相が、彼等を流行児にしたのであって、云々と云っています。；よくなって自分の仕事をして居られるのに行かないのはどうもと、義務を云々する。；わたくしはあなたの女の手紙は云々とお書きになったあの御文章を承知いたしています。；私は、敗戦の結果、はじめて日本人の自己反省を云々しだしたのではない。；歌に、みちのくの千曳の石とわが恋は荷ふはすをりに中やたへせん云々と。；こんなことになったのも、何だか自分の責任のような気がする云々と走りがきしていた。；元来後学僕の如きものは先生の翻訳を云々する資格のないものに違ひない。；日本語のローマ字化を云々する人々があるけれども、あれはおかしい。</t>
        </is>
      </c>
      <c r="J839">
        <f>HYPERLINK("https://www.weblio.jp/content/云々", "词义详情")</f>
        <v/>
      </c>
      <c r="K839">
        <f>HYPERLINK("https://yourei.jp/云々", "查看例句")</f>
        <v/>
      </c>
    </row>
    <row r="840">
      <c r="A840" t="inlineStr">
        <is>
          <t>運搬</t>
        </is>
      </c>
      <c r="B840" t="inlineStr">
        <is>
          <t>成功</t>
        </is>
      </c>
      <c r="C840" t="inlineStr">
        <is>
          <t>読み方：うんぱん
［名］(スル)物品を運び移すこと。「建築材を—する」</t>
        </is>
      </c>
      <c r="D840" t="inlineStr">
        <is>
          <t>運搬する(15%)；運搬用(7%)；運搬車(2%)；運搬人；運搬できる</t>
        </is>
      </c>
      <c r="E840" t="inlineStr">
        <is>
          <t>輸送；運び；運ぶ；渡す；携帯</t>
        </is>
      </c>
      <c r="F840" t="inlineStr">
        <is>
          <t>荷物運搬；物資運搬；死体運搬；木材運搬；酸素運搬</t>
        </is>
      </c>
      <c r="G840" t="inlineStr">
        <is>
          <t>運搬船；運搬中；運搬費；運搬橋；運搬業</t>
        </is>
      </c>
      <c r="H840" t="n">
        <v>29</v>
      </c>
      <c r="I840" t="inlineStr">
        <is>
          <t>行徳道は、行徳川の整備以前に塩を運搬に利用されていたとされる街道。；二脚と異なり一人で運搬が難しくなるため、数名での運用が前提となる。；主な役割は超神に妖怪出現を知らせることと緊急時の超神の運搬である。；多くは市などへの野菜や果実の運搬・販売などに多く使用されている。；また、漁意外にも、日常の荷物運搬等に欠かせない生活の足でもあった。；ウマよりも低速であるが力は強いため牛車は重量物の運搬に用いられた。；そのため、山地の河川では洪水時に大量の砂礫を運搬することができる。；地方の女性などが頭の上に籠をのせて運搬することもある。；運搬時に落ちた石は「落城」に通じ縁起が悪いとされ捨てられた説がある。；この大仏は江戸の鋳物師に発注したが、船で運搬中に嵐で沈んでしまう。；運搬時はすぐに使用出来ない状態で、正当な目的である必要がある。；江戸表からの交通は陸運とは別に、水運による物資運搬が展開していた。；運搬用というのは主に牛車用であるが、古来中国などではそれに限らない。；修羅は、重い石材などを運搬するために用いられた木製の大型橇である。；長大な銃身は運搬時には機関部より分離して銃全体を二分割することが可能である。；索道が完成するまでは、並走する村道に牛や馬を使って運搬していた。；各線の上野方には荷物運搬用のエレベーターと跨線橋が残されている。；物語の大筋には関係しない手紙を運搬するイベントなどもある。；勤務中は警備業務用車両・運搬関係車両から離れてはならない。；まず大型重機や建設用資材を運搬するための工事用道路の建設から着手した。；特定有害廃棄物の運搬、輸出入の制限、処理などを規制するための法律。；また、築城工事の最終段階で木曽材の運搬役を秀吉から命じられている。；地域によって生態学的な境界があり、荷物の運搬方法を変える必要があった。；彼らは租税の運搬等の職役を負担させられたが、その負担は重かった。；ヨーハン3世は大砲を自軍で運搬したが、一つは重すぎて船で運んだ。；全体の構成は十年式擲弾筒と同様だが、分解しない状態で運搬される点が異なる。；近代以前は主要な輸送機関として、さまざまなものを運搬するために使用されていた。；本来は土木工事・運搬作業用であるが、戦闘用としても改良・利用されている。；気体のメタンが液体になると体積は約になるため、運搬には適している。</t>
        </is>
      </c>
      <c r="J840">
        <f>HYPERLINK("https://www.weblio.jp/content/運搬", "词义详情")</f>
        <v/>
      </c>
      <c r="K840">
        <f>HYPERLINK("https://yourei.jp/運搬", "查看例句")</f>
        <v/>
      </c>
    </row>
    <row r="841">
      <c r="A841" t="inlineStr">
        <is>
          <t>運命</t>
        </is>
      </c>
      <c r="B841" t="inlineStr">
        <is>
          <t>成功</t>
        </is>
      </c>
      <c r="C841" t="inlineStr">
        <is>
          <t>読み方：うんめい
１人間の意志を超越して人に幸、不幸を与える力。また、その力によってめぐってくる幸、不幸のめぐりあわせ。運。「—のなせる業」「—をたどる」
２将来の成り行き。今後どのようになるかということ。「国家の—」
[補説]作品名別項。→運命</t>
        </is>
      </c>
      <c r="D841" t="inlineStr">
        <is>
          <t>運命的(2%)；運命づけられ；運命そのもの；運命付けられ；運命学</t>
        </is>
      </c>
      <c r="E841" t="inlineStr">
        <is>
          <t>縁；定め；業；運；幸せ</t>
        </is>
      </c>
      <c r="F841" t="inlineStr">
        <is>
          <t>数奇な運命；過酷な運命；どんな運命；悲惨な運命；恐ろしい運命</t>
        </is>
      </c>
      <c r="G841" t="inlineStr">
        <is>
          <t>運命共同体；運命の日；運命論；運命的；運命の糸</t>
        </is>
      </c>
      <c r="H841" t="n">
        <v>29</v>
      </c>
      <c r="I841" t="inlineStr">
        <is>
          <t>細胞運命の決定は、未分化細胞がより専門的な細胞種になる過程である。；運命学の星の内容を仏教用語を使って表現した阿含宗独特のものである。；この先の彼ら一行の運命はサウロンの第一紀での活動にある通りである。；アッシリアの遠征は開始の時点で失敗する運命にあるとみなされている。；全ての人の運命がそうであるように、我々はいずれまた会うでしょう。；運命とは、人の意思や想いをこえて人に幸・不幸を与える力を意味する。；この研究は、胚発生の初期段階では予定運命が決定していないことを示す。；この雑誌の運命は実際は、第一号からすでにあやしいものだったのである。；そのときから彼らの結婚生活の絶望的な運命は決定づけられていたという。；かくして「命」の語が寿命や運命をも意味するようになったわけである。；このような一族内での不協和音が尼子家の運命を左右することとなる。；その時、神はこの孫の運命のためにムハンマドに哀悼の意を捧げました。；この時点をもってMC88000は消え行く運命となったのである。；このうち、個人の運命を見るときに主に使われるのはナクシャトラである。；バンドはクラブや大学をライブして回り、彼らの運命を復活させようとした。；懸命に運命と戦った馨の姿に礼子は心を打たれ、子供の出産を決意する。；またテティスから生まれてくる子供の運命についても示唆されている。；両者ともその栄光と同じように大きく、突然の失墜を被る運命であった。；そして、それらの運命的な人物たちに自身の内面性や死を投影させた。；この事件は2つの意味でユーゴスラビア代表の運命を大きく揺さぶった。；こうした点において、インドの他の地域とは異なる運命に置かれた国である。；そして、オーリーオーンはアルテミスと運命的な出会いをするのである。；本映画では、警官の訊問場面以降の沖野の運命が新たに描かれている。；この闘いが原田と彼の友人、家臣たちの運命を変えていくことになる。；結局ヴァグラムでオーストリアの主軍が敗北した事でこの戦争の運命は決定した。；アニメファンに忘れ去られたキャラクターは消えてしまう運命なのだった。；私のただひとつの願いは私のかつての部下たちが私と同じ運命を免れることにある。；帰無仮説は「棄てられる運命にあるように選ぶ」ことからこの名がある。；これがバスケットボールとの出会いであり、彼の運命を変えることとなった。</t>
        </is>
      </c>
      <c r="J841">
        <f>HYPERLINK("https://www.weblio.jp/content/運命", "词义详情")</f>
        <v/>
      </c>
      <c r="K841">
        <f>HYPERLINK("https://yourei.jp/運命", "查看例句")</f>
        <v/>
      </c>
    </row>
    <row r="842">
      <c r="A842" t="inlineStr">
        <is>
          <t>運用</t>
        </is>
      </c>
      <c r="B842" t="inlineStr">
        <is>
          <t>成功</t>
        </is>
      </c>
      <c r="C842" t="inlineStr">
        <is>
          <t>読み方：うんよう
［名］(スル)
１そのもののもつ機能を生かして用いること。活用。「法規の—を検討する」
２自衛隊で、行動の意で使う。「陸海空すべての部隊—の権限が新設された統合幕僚監部へ移った」</t>
        </is>
      </c>
      <c r="D842" t="inlineStr">
        <is>
          <t>運用する(7%)；運用される(5%)；運用開始；運用上；運用能力</t>
        </is>
      </c>
      <c r="E842" t="inlineStr">
        <is>
          <t>使用；利用；運営；使う；指揮</t>
        </is>
      </c>
      <c r="F842" t="inlineStr">
        <is>
          <t>共通運用；試験運用；車両運用；運用試験；特急運用</t>
        </is>
      </c>
      <c r="G842" t="inlineStr">
        <is>
          <t>運用方法；運用離脱；運用会社；運用益；運用基準</t>
        </is>
      </c>
      <c r="H842" t="n">
        <v>29</v>
      </c>
      <c r="I842" t="inlineStr">
        <is>
          <t>コンピュータ生成解剖学モデルは教育や運用の両方の目的で使用される。；対して、動作・運用可能な状態で保存されている場合は動態保存と言う。；それ以外は天神大牟田線で運用されている車両が終日共通で運用される。；それに伴い、この時点で本系列の運用区間は以下のように変更された。；現在運用されている電車の制御装置はほぼすべてが日立製作所製である。；運用の変更に伴い車両基地の改修・新設・移転などを実施する場合もある。；一般人からすると形状が奇妙だったり開発・運用が秘密だったりする。；なお、末期の寝台列車で運用されたものの編成は以下の通りであった。；軌道高度は、地上との輸送機往復を考慮して、低軌道で運用されている。；これらの国々では核ミサイルが運用されているものと考えられている。；朝ラッシュ時は5編成が、そのほかの時間は4編成が運用に入っている。；一方の既存線は、上下4車線を下り一方向として運用することになった。；静態保存の状態から動作・運用可能な状態に復元することも行われる。；彗星の発見数が増加してくると、この方法の運用に綻びが生じてきた。；開業時に用意された車両は2006年までにすべて運用を終えた。；ここまで長い運用は当初から予定されたものではなかった。；ほとんど地下区間での運用となることから、大半の編成が冷房準備車だった。；当初想定されていた戦車の運用法では大量の戦車による集団戦を行う予定であった。；この運用線区広域化の過程では、さまざまな改造・対策が実施された。；各系列の詳細・使用線区・運用などについてはそれぞれの記事を参照のこと。；建設や完成後の運用にも様々な問題が生じ、その解決策を模索することとなる。；ほとんどの国々では、以上の5つを全て組み合わせて運用されている。；なおズームカーの運用は繁忙期には通常の21m車での運用に変更される。；これに伴い前者は、日比谷線直通電車だけで運用されるようになった。；現在までに運用を離脱した編成と時期は以下の通り。；そのため、運用車両には普段はない「茂原」行きの表示が用意されている。；ダイヤ乱れによる運用変更などにより上り列車が運転される場合もある。；鉄道運行計画では、車両運用という形で車両の使用計画が立てられている。；ただ、運用や行先の変更が主で、線内での時刻変更は基本的にない。</t>
        </is>
      </c>
      <c r="J842">
        <f>HYPERLINK("https://www.weblio.jp/content/運用", "词义详情")</f>
        <v/>
      </c>
      <c r="K842">
        <f>HYPERLINK("https://yourei.jp/運用", "查看例句")</f>
        <v/>
      </c>
    </row>
    <row r="843">
      <c r="A843" t="inlineStr">
        <is>
          <t>柄</t>
        </is>
      </c>
      <c r="B843" t="inlineStr">
        <is>
          <t>成功</t>
        </is>
      </c>
      <c r="C843" t="inlineStr">
        <is>
          <t>読み方：から
１草木のみき・茎。「粟—(あわがら)」「黍—(きびがら)」
２矢の篦(の)。矢がら。
３道具の柄(え)。〈和名抄〉</t>
        </is>
      </c>
      <c r="D843" t="inlineStr">
        <is>
          <t>柄部；柄じゃない；柄組；柄付き；柄尻</t>
        </is>
      </c>
      <c r="E843" t="inlineStr">
        <is>
          <t>人；手；気；性；人物</t>
        </is>
      </c>
      <c r="F843" t="inlineStr">
        <is>
          <t>場所柄；職業柄；商売柄；長い柄；仕事柄</t>
        </is>
      </c>
      <c r="G843" t="inlineStr">
        <is>
          <t>柄頭；柄谷；柄本；柄物；柄本明</t>
        </is>
      </c>
      <c r="H843" t="n">
        <v>29</v>
      </c>
      <c r="I843" t="inlineStr">
        <is>
          <t>柄の部分が別部材でできている別柄型のものと一体成型のものとがある。；鐸は柄を持ちもう一方の手にもった打器で鐸を打ち鳴らして音をだした。；柄の中ほどと刃部の上側に穴が設けられ、両者にロープが通してあった。；頭部に大きな斑点が付いていて、いろいろな柄のキノコが特徴的である。；また、小型で柄付きのものは布製の靴を水洗いするためにも用いられる。；花にも同じ柄が出る場合が多いので、花物として評価を受けるものもある。；本業柄、ストーリー上で歌を歌うキャラクターに起用されることも多い。；このほかブラシが柄と並行に付いたものなど、多くの商品が存在する。；手に乗るほどの大きさの柄の付いた中空の球の中に、小さな玉を入れてある。；分生子柄の先端が仮軸状に伸びて新たな胞子形成部位を作る場合もある。；柄には拳を撃ち合いから守る役割をもつ部品を取り付けたものが多い。；柄は長さ120センチメートルで、装飾された樺の樹皮で包まれていた。；球果と枝とを結ぶ柄についても長いものから短いものまで種類は様々である。；そのような小穂がほとんど柄がなくて軸につき、密着して並んでいる。；柄が長いため太刀のように自在に扱うには、相当に慣れが必要である。；エノキタケも光のある場所では、柄が短くしっかりした傘を持つ姿になる。；はじめは分生子柄の先端に穴を生じて、柄の延長方向に分生子が作られる。；万が一柄が破損、紛失しても現場の適当な木の枝や金属棒で代用できる。；柄の下部は球根状に太くなり、それを深海底の泥に埋めて定着している。；柄の部分で合体させることが可能な2本のトマホークを武器として戦う。；柄は近年ではプラスチック製やグラスファイバー製の柄も珍しくない。；胞子嚢柄の延長部が胞子嚢内部に伸びている場合、これを柱軸という。；床材は淡いグレーをベースに中央通路部をブルーとした2色の柄である。；僧衣から派生したが、特に衣服の柄や生地の趣味にその影響が見られる。；胞子嚢柄が古くなると、途中の側面から小さい枝を出すこともある。；柄は木や鹿角が使われたが、現在はほとんどがプラスチック製である。；それぞれ胞子形成部とそれを支える菌糸の柄の形状で区別されている。；後記を除き、「天」部分に柄が印刷された箇所にまとめて掲載されている。；葉身の主軸には翼があり、側羽片は4-7対で3角状の卵形で柄がある。</t>
        </is>
      </c>
      <c r="J843">
        <f>HYPERLINK("https://www.weblio.jp/content/柄", "词义详情")</f>
        <v/>
      </c>
      <c r="K843">
        <f>HYPERLINK("https://yourei.jp/柄", "查看例句")</f>
        <v/>
      </c>
    </row>
    <row r="844">
      <c r="A844" t="inlineStr">
        <is>
          <t>絵</t>
        </is>
      </c>
      <c r="B844" t="inlineStr">
        <is>
          <t>成功</t>
        </is>
      </c>
      <c r="C844" t="inlineStr">
        <is>
          <t>読み方：え
〈会〉⇒かい
〈回〉⇒かい
〈廻〉⇒かい
〈絵〉⇒かい
〈壊〉⇒かい</t>
        </is>
      </c>
      <c r="D844" t="inlineStr">
        <is>
          <t>絵付け；絵札；絵看板；絵模様；絵文書</t>
        </is>
      </c>
      <c r="E844" t="inlineStr">
        <is>
          <t>映像；図；画；絵画；画像</t>
        </is>
      </c>
      <c r="F844" t="inlineStr">
        <is>
          <t>萌絵；千絵；表紙絵；一枚絵；押絵</t>
        </is>
      </c>
      <c r="G844" t="inlineStr">
        <is>
          <t>絵本；絵柄；絵師；絵具；絵図</t>
        </is>
      </c>
      <c r="H844" t="n">
        <v>29</v>
      </c>
      <c r="I844" t="inlineStr">
        <is>
          <t>彼は壁に自分の作品だけを展示し他人の絵を並べてほしくないと望んだ。；幼いころに南フランスに移住し、父の絵のモデルを務めさせられていた。；学校では勉強をしながらも、動物や自然などの様々な絵を描いていた。；この抗議は教師がもう一度絵を描くようにと励ますまで二日半続いた。；江戸時代以降に日本で描かれた達磨大師の絵なども赤い衣で描かれている。；茶店で一度すれ違っただけだが、そのときの印象を絵に残したとされる。；ホッパーは子供時代から優秀で、5歳のときには既に絵の才能を示した。；この線と実際の絵を比較すると、窓やテーブルの角のラインが一致している。；ただし飛脚の絵は会社の社章でもあるので用途を限定して使用されている。；そのため彼は、基本的に絵の研究をするためにこれら自画像を描いていた。；カード交換が終わったら実際にカードをプレイし、絵札の争奪戦を行う。；絵が得意で個展を開いたり、かつて経営していたカフェにも飾っていた。；またこの絵にみられる実験や観察は医学に大きな発展をもたらした。；一部のクロスワードにはカギを文章ではなく絵や図で表すものがある。；とりわけスケッチが好きであり、彼女は生涯にわたって絵を描き続けた。；この絵には、山の中を嵐に吹かれながら馬に乗る旅人が描かれている。；馬に乗ったリソフチツィを題材に描いたこの絵に関して多くの議論がある。；ただし、丁は降伏せずに自殺しており、この絵は想像で描かれたもの。；乾山によれば光琳は絵にこそ自分の天分があるといつも言っていたという。；絵の購入者には、自分は風景を売ったが人物はおまけだと言っていた。；絵の腕は大人も驚く出来だったが、あまり外向的な子供ではなかったという。；そのため、「絵がないとわからないじゃない」と思いながら収録していた。；自由に絵を描くことが許されない中で、龍子は作品を発表し続けた。；絵だけではすぐあきられるので、これに語りをつけたものが人気を博した。；また1634年の角倉船の絵馬にはトランプをしている男女の絵がある。；その一方で、多くの人が描かなくなる年齢を過ぎても活動的に絵を描く人々が居る。；大学では既存の広告や有名な小説の押絵などを使用した。；また時間があったときはユトリロは自身の描いた絵を売ろうとした。；戦争中でも、どこに行くにしても絵の道具一式を持参するほどだった。</t>
        </is>
      </c>
      <c r="J844">
        <f>HYPERLINK("https://www.weblio.jp/content/絵", "词义详情")</f>
        <v/>
      </c>
      <c r="K844">
        <f>HYPERLINK("https://yourei.jp/絵", "查看例句")</f>
        <v/>
      </c>
    </row>
    <row r="845">
      <c r="A845" t="inlineStr">
        <is>
          <t>エアコン</t>
        </is>
      </c>
      <c r="B845" t="inlineStr">
        <is>
          <t>成功</t>
        </is>
      </c>
      <c r="C845" t="inlineStr">
        <is>
          <t>「エアコンディショナー」「エアコンディショニング」の略。</t>
        </is>
      </c>
      <c r="D845" t="inlineStr">
        <is>
          <t>エアコン付き；エアコン等；エアコン吹き出し口；エアコン用；エアコンパネル</t>
        </is>
      </c>
      <c r="E845" t="inlineStr">
        <is>
          <t>冷房；空調；クーラー；冷房装置；空調設備</t>
        </is>
      </c>
      <c r="F845" t="inlineStr">
        <is>
          <t>用エアコン；ルームエアコン；マニュアルエアコン；後席エアコン；式エアコン</t>
        </is>
      </c>
      <c r="G845" t="inlineStr">
        <is>
          <t>エアコンディショナー；エアコンディショニングシステム；エアコンヤター</t>
        </is>
      </c>
      <c r="H845" t="n">
        <v>29</v>
      </c>
      <c r="I845" t="inlineStr">
        <is>
          <t>君にエアコンを調べさせたのは、あそこから循環させたと思ったからだ。；普通教室の多くは2棟にあり、エアコンが全ての教室に設置されている。；エアコンを入れているのなら、ドアを開けていては冷気が逃げてしまう。；部屋の扉を開けっ放しにしたからエアコンの風が廊下に漏れているのだ。；さらにエアコンが止まっているらしく、家の中全体がひどく蒸していた。；暗くなった部屋、一瞬聞こえてそれきり消えてしまったエアコンの動作音。；かつてドイツは夏といえども涼しい日が多く、エアコンは必要なかった。；燃料電池でエアコンだけでも作動させようとしたが、これも死んでいた。；主に自動車用エアコンなどを生産している群馬を代表する電機メーカー。；第一校舎、第二校舎含め、ほぼすべての教室にエアコンが設置されている。；なおこの共同プロジェクトでサーブはエアコンの開発を担当している。；また園内はエアコン設備がなく、オアシス部分と管理室を保護している。；三重県内の県立高校としては最初に全普通教室にエアコンが設置された。；自宅にはより低い温度が設定できるように業務用のエアコンを設置している。；後者は白黒のツートンで、車体は古くエアコンが無い場合が殆どである。；上の階の一等に乗ったわけだが、エアコンがきいていて、なかなか快適。；どうにも教室内の空気が寒々しいのはエアコンがないせいでもなさそうだ。；エアコンが普及するまで官公庁や病院、デパートなどで一般に見られた。；夏になるとエアコンを動かすための発動機が生徒玄関脇に設置される。；エアコンは、本館のほぼ全ての教室、別館の一部教室に設置されている。；いかに列車の中がエアコンがきいていたとしても、体に毛布は掛けていた。；また、原因物質を分解する空気清浄機能のついたエアコンも存在する。；夏だというのにひんやりしていたのは、エアコンが効いているせいだった。；おまけに僕たちの住まう爺さんの館では現在エアコンが稼動していない。；これはコの字型形態で簡易取付けが可能なカセット型エアコンであった。；エアコンが設置されたのは1990年代に入ってからの事だった。；女は、そう言うとエアコンのリモコンを取り出してスイッチを入れた。；うちのビルは古くてね、各部屋に業務用の巨大なエアコンが置いてあるんだよ。；買いに来たのはいいが、そこがエアコン売場であることにも気がつかない。</t>
        </is>
      </c>
      <c r="J845">
        <f>HYPERLINK("https://www.weblio.jp/content/エアコン", "词义详情")</f>
        <v/>
      </c>
      <c r="K845">
        <f>HYPERLINK("https://yourei.jp/エアコン", "查看例句")</f>
        <v/>
      </c>
    </row>
    <row r="846">
      <c r="A846" t="inlineStr">
        <is>
          <t>永遠</t>
        </is>
      </c>
      <c r="B846" t="inlineStr">
        <is>
          <t>成功</t>
        </is>
      </c>
      <c r="C846" t="inlineStr">
        <is>
          <t>読み方：えいえん
［名・形動］
１いつまでも果てしなく続くこと。時間を超えて存在すること。また、そのさま。「—に残る名曲」「—のスター」「—に語り伝える」
２哲学で、それ自身時間の内にありながら、無限に持続すると考えられるもの。また、数学的真理のように、時間の内に知られても時間とかかわりなく妥当すると考えられるもの。</t>
        </is>
      </c>
      <c r="D846" t="inlineStr">
        <is>
          <t>永遠性(3%)；永遠なるもの；永遠に生き；永遠の若；永遠亭</t>
        </is>
      </c>
      <c r="E846" t="inlineStr">
        <is>
          <t>常；無限；永久；永い；恒久</t>
        </is>
      </c>
      <c r="F846" t="inlineStr">
        <is>
          <t>永遠なるサルミスラ；永遠なるサルミスラ；永遠の乙女ディードリット；永遠に不滅；永遠に真昼</t>
        </is>
      </c>
      <c r="G846" t="inlineStr">
        <is>
          <t>永遠の命；永遠の愛；永遠の別れ；永遠回帰；永遠のライバル</t>
        </is>
      </c>
      <c r="H846" t="n">
        <v>29</v>
      </c>
      <c r="I846" t="inlineStr">
        <is>
          <t>永遠の若さをもつとされるのはヴィクトリア朝時代に入ってからである。；悪であるこの世と善である永遠の世界を対立させて考える二元論である。；私は自分が永遠に生きるのではないかと思うと、空恐ろしい気分になる。；この限りにおいて個人と世界の間には永遠なる断絶が存在するのである。；同書で彼は世界の永遠性を提案するあらゆる主張を体系的に打ち砕いた。；大陸の西部は永遠に続くかと思われるくらい広大な広野が続く世界である。；この島には病気も死も存在せず、永遠の若さと美しさを保つことができる。；少し早くくれば会えたはずなのに、永遠に会えなくなってしまったのだ。；永遠の地獄の存在を否定し、万人が天国に行くと主張するグループもある。；芸術の源泉は、芸術家の主観にあるのではなく永遠のイデアの中にある。；この作品では、「永遠」は世界の現実を人々に気づかれずに改変できる。；永遠の平安への流れに乗った者が、というような考えをおこすだろうか。；永遠の火によって弟王が竜王国の王に選ばれるが、兄の兄王はそれに反発。；これは同時に復讐する機会を永遠に失ったことに対する怒りに近かった。；永遠の夜の中で生活していた男は、朝が来るということを忘れていたのだ。；地球に戻ったのは、永遠の若さを手に入れていた男爵だけであった。；老化することなく永遠に生き続けることが日常となった世界を舞台にしている。；そこはあらゆる観点から見て永遠の場所であるが到達しがたい。；前者は理念、後者は現実となり、理念は現実が目指す永遠の目標となる。；そのため、日本の王朝は永遠であり、万世一系であると考えられていた。；ここから、王はオシリスとなって再生復活し、永遠に富むと考えられた。；具体的なゴールは設定されておらず、その気になれば永遠に続けることもできる。；それらは静穏とロシアの自然の永遠の美を反映しているのである。；最終解放は我々の外交政策にとって重要かつ永遠の目標であるのだと。；死は眠るようなものであり、その眠りが永遠に覚めないというだけである。；シリウスは現在、太陽以外の最も明るい恒星だが、それは永遠ではない。；苦労して上っても美女は下に移動しており、永遠に出会うことは無い。；時の列車が壊れてしまうと、時の中を永遠にさまようと言われている。；聘定式で結ばれた結婚の絆が、永遠の関係へと変えられたことが示される。</t>
        </is>
      </c>
      <c r="J846">
        <f>HYPERLINK("https://www.weblio.jp/content/永遠", "词义详情")</f>
        <v/>
      </c>
      <c r="K846">
        <f>HYPERLINK("https://yourei.jp/永遠", "查看例句")</f>
        <v/>
      </c>
    </row>
    <row r="847">
      <c r="A847" t="inlineStr">
        <is>
          <t>映画</t>
        </is>
      </c>
      <c r="B847" t="inlineStr">
        <is>
          <t>成功</t>
        </is>
      </c>
      <c r="C847" t="inlineStr">
        <is>
          <t>読み方：えいが
フィルムに連続的に写しとった映像を、映写機でスクリーンに映し出し、目の残像現象を利用して形や連続した動きを再現するもの。古くは活動写真といった。シネマ。キネマ。ムービー。「—を撮る」「—に出る」「音楽—」</t>
        </is>
      </c>
      <c r="D847" t="inlineStr">
        <is>
          <t>映画館(7%)；映画化(3%)；映画デビュー；映画出演；映画制作</t>
        </is>
      </c>
      <c r="E847" t="inlineStr">
        <is>
          <t>活動；写真；フィルム；膜；ムービー</t>
        </is>
      </c>
      <c r="F847" t="inlineStr">
        <is>
          <t>監督映画；劇場映画；映画初出演；映画ファン；映画上映</t>
        </is>
      </c>
      <c r="G847" t="inlineStr">
        <is>
          <t>映画化；映画祭；映画プロデューサー；映画製作；映画版</t>
        </is>
      </c>
      <c r="H847" t="n">
        <v>29</v>
      </c>
      <c r="I847" t="inlineStr">
        <is>
          <t>映画公開後に発表された小説は、脚本と同時進行で書かれた部分もある。；映画でもしばしば披露する他、来日時には日本語で挨拶することもある。；製作される映画は英語のものと現地語のものがほぼ半分ずつと言われている。；映画をジャンル分けする際の明確な定義というものがある訳ではない。；翌年に同じ枠でドラマの続編も放送され、2009年には映画化された。；アメリカでは映画のジャンルとして野球映画が継続して制作されている。；当時の担当編集者とは、よく映画や漫画以外の本についての話をしていた。；全線開通前からCMやドラマ・映画等の撮影を積極的に受け入れている。；この作品以降、特殊効果が映画の重要な要素として扱われるようになる。；テレビ会社が映画を制作すると、上述のようなお金の流れは生じない。；この映画のフィルムは保存状態の悪さのため、非常に傷み色あせていた。；その後映画の魅力にとりつかれ、映画業界の仕事に興味を持ち始める。；映画同様東京に比較的近いという理由からロケ地撮影されるドラマが多い。；その後、映画化された際に、この10話を含めた修正を行ったという。；映画用のカメラは、一般に映像の撮影のみを行い、音声の録音は行わない。；様々な理由から物語の詳細は小説と映画では異なっている。；日本初の合作映画となるはずであったが、未編集のまま公開されなかった。；これは今日でも映画館を劇場と呼称したりすることからも窺える。；映画という名称が広く使われるようになるのは大正後期になってからである。；二人の共演が決まっていた映画『戦争と平和』の撮影準備中のことだった。；映画と一緒に旅回りの芝居をしていたが、覚えていなかったという。；テレビは映画や音楽を部分的に含み、ラジオも音楽と重なる部分がある。；景気が良かったら、もっとお金のかかる大作を映画化するんだろうけど。；喘息持ちで外で遊べなかったせいで子供の頃から映画に親しんでいた。；ホメーロスの描く物語とこの映画のストーリーにはごくわずかな共通点しかない。；米国・韓国・中国のドラマ・映画にも耽溺しているといわれる。；また、特定の小説や映画などの世界を再現するものも登場する。；顔の浮かぶ特定の個人に向けて映画を作るという経験はそれ以来のことだった。；戦後の監督作品では、映画の中の小道具や看板のデザインを自ら手がけている。</t>
        </is>
      </c>
      <c r="J847">
        <f>HYPERLINK("https://www.weblio.jp/content/映画", "词义详情")</f>
        <v/>
      </c>
      <c r="K847">
        <f>HYPERLINK("https://yourei.jp/映画", "查看例句")</f>
        <v/>
      </c>
    </row>
    <row r="848">
      <c r="A848" t="inlineStr">
        <is>
          <t>映画館</t>
        </is>
      </c>
      <c r="B848" t="inlineStr">
        <is>
          <t>成功</t>
        </is>
      </c>
      <c r="C848" t="inlineStr">
        <is>
          <t>読み方：えいがかん
映画を上映し観客に見せる常設の施設。映画劇場。</t>
        </is>
      </c>
      <c r="D848" t="inlineStr">
        <is>
          <t>映画館チェーン；映画館経営者；映画館上映；映画館通い；映画館総覧</t>
        </is>
      </c>
      <c r="E848" t="inlineStr">
        <is>
          <t>テアトル；常設館</t>
        </is>
      </c>
      <c r="F848" t="inlineStr">
        <is>
          <t>映画館経営；古い映画館；場末の映画館；本所映画館；一般映画館</t>
        </is>
      </c>
      <c r="H848" t="n">
        <v>29</v>
      </c>
      <c r="I848" t="inlineStr">
        <is>
          <t>彼女は芸術性を失った現在の映画に失望し映画館を再開できないと語る。；その結果、この映画はアメリカにある多くの映画館で上映されなかった。；この作品は映画館で再公開されたり、ソフトでリリースされることが多い。；このように、映画との関わりが深い街であるが、市内には映画館がない。；が映像提供しティ・ジョイの映画館でライブビューイングが実施された。；本作から映画館で限定のジャンボカードダスが配布されるようになった。；日本でも模倣されて映画館によっては注意書きが書かれることもあった。；全国5都市及び韓国・中国にてカフェや映画館を13店舗経営している。；中には映画館などないにも関わらず中止を発表する地方まで現れた。；映画館や博物館、展示会などでのVODシステムなどに導入されている。；大阪の十三にある映画館・第七藝術劇場の復活を記念して作られた。；館名は映画館があった場所が中村区牧野町だったことに由来している。；道頓堀の南東に位置し、演芸場や映画館などがある娯楽街になっている。；縄手通り沿いには映画館があったが、現在はマンションになっている。；シネコンには従来型の映画館にない新技術を導入した劇場もある。；このときの模様は、日本および台湾の計40カ所の映画館に生中継された。；村人たちにとって、その映画館は村の外に通じるたった一つの窓だった。；小学生の時に初めて訪れた映画館が本渡第一映劇であると語っている。；映画館は、不特定数の観客に対して映画を専門的に上映する劇場・施設。；翌日、今度は自分の父を見るために一人で映画館へ脚を運んだ。；これは今日でも映画館を劇場と呼称したりすることからも窺える。；なお7日公演については下記の映画館でライブビューイングが行われた。；かつては劇場や映画館向けの業務用機器に著名な製品が多かった。；ただし、当時ドルビーデジタルに対応した映画館はごく少数しかなかった。；日本のハードコアバンドの映画が商業映画館で上映されたのは初めてである。；そのような建物の中には、ジョン・ヘイル邸に位置する地元の映画館がある。；この時期は、映画館など各会場で1日に数作品程のペースで上映していた。；これをプログラム映画館にしようという試みが企画されている。；従来館が既に撤退していた海老名には大きすぎる映画館だと考えられていたからである。</t>
        </is>
      </c>
      <c r="J848">
        <f>HYPERLINK("https://www.weblio.jp/content/映画館", "词义详情")</f>
        <v/>
      </c>
      <c r="K848">
        <f>HYPERLINK("https://yourei.jp/映画館", "查看例句")</f>
        <v/>
      </c>
    </row>
    <row r="849">
      <c r="A849" t="inlineStr">
        <is>
          <t>永久</t>
        </is>
      </c>
      <c r="B849" t="inlineStr">
        <is>
          <t>成功</t>
        </is>
      </c>
      <c r="C849" t="inlineStr">
        <is>
          <t>読み方：とわ
［名・形動］《古くは「とば」とも》いつまでも変わらないこと。また、そのさま。とこしえ。永遠。えいきゅう。「—の別れ」</t>
        </is>
      </c>
      <c r="D849" t="inlineStr">
        <is>
          <t>永久運動；永久不滅；永久性；永久直列；永久連結</t>
        </is>
      </c>
      <c r="E849" t="inlineStr">
        <is>
          <t>常；永遠；無限；永い；恒久</t>
        </is>
      </c>
      <c r="F849" t="inlineStr">
        <is>
          <t>永久貸与；永久橋；永久服役；永久影；永久ラント平和令</t>
        </is>
      </c>
      <c r="G849" t="inlineStr">
        <is>
          <t>永久欠番；永久凍土；永久追放；永久磁石；永久保</t>
        </is>
      </c>
      <c r="H849" t="n">
        <v>29</v>
      </c>
      <c r="I849" t="inlineStr">
        <is>
          <t>いかなる産業であれ永久に操業できなくさせる方法も私は知っています。；目は地上から火星の生物を見ることができ、心臓は永久に動くとされる。；永久の別れになった愛しい人よ、陽のあたる岸で私を待っていておくれ。；絵画は本来あるべきだった場所に永久に展示されることとなった。；一旦「国父」とされた人物の全てが永久に名声を維持するわけではない。；無期または永久の失格処分を受けた選手は任意引退と同様の扱いとなる。；Machicoは「永久味方宣言」を好きな曲・難しい曲に挙げている。；オリジナルのトロフィーはUSGA博物館図書館に永久展示されている。；この速度以上に加速すれば永久に地球から離れていくことができる。；そのため、初期の映画の多くは、燃えたり腐食したりして永久に失われた。；国際的な賞を多数受賞し、作品は世界の主要美術館に永久所蔵されている。；つまり文化要素は全て、それ自身を永久に存続させる方向へと進化するのである。；毛乳頭が完全に破壊されると、そこからは永久に毛が生えてこない。；かつて、妖魔の王の一人である夜の君は永久の夜で世界を闇に閉ざしていた。；関東軍は満州防衛の為、ソ連との国境に14の永久要塞を建設していた。；爵位は皇帝から王へ降格となりますが、子孫へ永久に伝えられるでしょう。；つまり、死後、墓とした土地を永久に占有できるかどうかで区別する。；古くは単純に外部からエネルギーを供給しなくても永久に運動を続ける装置と考えられていた。；スペイン側も、1635年2月16日に対日交易の永久閉鎖を決定した。；しかし、系が維持されている限り時間の固定されたパターンで永久に変化することがある。；つまり地球上から月の裏側を直接観測することは永久にできない。；この場面で彼は米国民に永久に記憶されることとなる。；ボールズ8はエドワーズ空軍基地の北ゲート近くに永久展示されている。；君の工学は君自身を益せずして国家と社会と民衆とを永久に益したのであります。；そのような独裁体制はのちに永久化の土台と化してしまうからである。；同ハッカーチームはサイトをすみやかかつ永久に閉鎖することを求めている。；アナテマは教会と神の保護下からの永久の追放を含む最も過酷な罰であった。；そのため、どの様な作品も永久にパブリックドメインになることはないとした。；その都市の神殿が、その神の永久の住まいであると信じられていた。</t>
        </is>
      </c>
      <c r="J849">
        <f>HYPERLINK("https://www.weblio.jp/content/永久", "词义详情")</f>
        <v/>
      </c>
      <c r="K849">
        <f>HYPERLINK("https://yourei.jp/永久", "查看例句")</f>
        <v/>
      </c>
    </row>
    <row r="850">
      <c r="A850" t="inlineStr">
        <is>
          <t>影響</t>
        </is>
      </c>
      <c r="B850" t="inlineStr">
        <is>
          <t>成功</t>
        </is>
      </c>
      <c r="C850" t="inlineStr">
        <is>
          <t>読み方：えいきょう
［名］(スル)《影が形に従い、響きが音に応じるの意から》
１物事の力や作用が他のものにまで及ぶこと。また、その結果。「環境に—を及ばす」「大勢に—しない」「—力」
２影と響き。また、物事の関係が密接なこと。
「夫(そ)れ感化の速かなる事、—の如し」〈中村訳・西国立志編〉</t>
        </is>
      </c>
      <c r="D850" t="inlineStr">
        <is>
          <t>影響力(3%)；影響を強く受け；影響を受けやすい；影響を与える可；影響を受けやすく</t>
        </is>
      </c>
      <c r="E850" t="inlineStr">
        <is>
          <t>結果；決定；形成；効果；規定</t>
        </is>
      </c>
      <c r="F850" t="inlineStr">
        <is>
          <t>多大な影響；強い影響；大きく影響；強く影響；重大な影響</t>
        </is>
      </c>
      <c r="G850" t="inlineStr">
        <is>
          <t>影響下；影響評価；影響汎関数</t>
        </is>
      </c>
      <c r="H850" t="n">
        <v>29</v>
      </c>
      <c r="I850" t="inlineStr">
        <is>
          <t>その背景にはカースト制度に基づくが深く影響している点が挙げられる。；アメリカ合衆国のポピュラー音楽が今日に至るまで与えた影響は大きい。；当然ながら、どの組み合わせを選んだかは最終的な仕上がりに影響する。；このことはブレスト合同が不完全なものに終わる結果にも影響があった。；さらに現代では、イギリスの植民地文化にも大きな影響を受けている。；インド仏教が密教化したのは、周辺の宗教から影響を受けた結果である。；また、記録の仕方によっても人や社会が影響を受けるとする考察もある。；アルバムはブルースの影響を強く受けた前2作の路線を引き継いでいた。；また、フランス語の影響を大きく受けた英語でも、同様の読み方をする。；そのため、街灯などの影響を受けにくい夜間に暗くなる場所で栽培する。；一方で湖沼の面積が大きくなると風浪の影響によって生物は少なくなる。；予測器の性能が上昇した2010年代以降のCPUではその影響は小さい。；このような作風に高橋留美子は大いに影響を受けたと後に述べている。；更には、これら商業作品の強い影響を受けた自主制作作品も含まれる。；中央銀行はこの通貨量を調整する権限を持つため大きな影響力を持つ。；ロック界でもっとも影響力のあったミュージシャンの一人として知られる。；仏教の影響を受ける以前の神道を「古神道」と呼び区別する場合もある。；後期に入るとハイドンとヨハン・ゼバスティアン・バッハの影響が強い。；この変革の背景には社会環境の変化が大きな影響を与えたと考えられている。；また、日本国家の形成に影響を与えたとされている宗教である。；その影響もあるのであろうか、この時期日本人の訪問者が増加した。；劇団や舞台での経験が声優業にも良い影響を与えているという意見もある。；一方で、諸星はジャンルを越えた多くの著名人の作品に影響を与えている。；吉備国は畿内勢力と同盟関係を築いて日本列島の統一期に影響を与えた。；その分野の歴史や他の学問への影響、方法論などはさまざまである。；このことが後のプレスリーの音楽性に大きな影響を与えたとされる。；また、詩が小説に先行していることも、その文章に大きな影響を与えている。；それに伴い、様々な宗教的影響も反映されている点が最大の特徴ともなっている。；出演料の高騰は新人声優の登用など、この後の業界構造に影響を与えた。</t>
        </is>
      </c>
      <c r="J850">
        <f>HYPERLINK("https://www.weblio.jp/content/影響", "词义详情")</f>
        <v/>
      </c>
      <c r="K850">
        <f>HYPERLINK("https://yourei.jp/影響", "查看例句")</f>
        <v/>
      </c>
    </row>
    <row r="851">
      <c r="A851" t="inlineStr">
        <is>
          <t>営業</t>
        </is>
      </c>
      <c r="B851" t="inlineStr">
        <is>
          <t>成功</t>
        </is>
      </c>
      <c r="C851" t="inlineStr">
        <is>
          <t>読み方：えいぎょう
［名］(スル)
１利益を得る目的で、継続的に事業を営むこと。また、その営み。特に、企業の販売活動をいう。「年中無休で—する」「—マン」
２得意先を回って顔つなぎをし、商品の紹介、売り込みをすること。また、新しい得意先を開拓すること。「担当地区の—に行く」「新ビルに出店する企業に—をかける」
３法律で、継続的に同種の営利行為を行うこと。また、その活動のために供される土地・建物などの財産をいう。</t>
        </is>
      </c>
      <c r="D851" t="inlineStr">
        <is>
          <t>営業所(3%)；営業部長(2%)；営業エリア(2%)；営業開始；営業用</t>
        </is>
      </c>
      <c r="E851" t="inlineStr">
        <is>
          <t>仕事；販売；事業；企業；扱う</t>
        </is>
      </c>
      <c r="F851" t="inlineStr">
        <is>
          <t>貨物営業；営業本部；営業運行；営業路線；営業期間</t>
        </is>
      </c>
      <c r="G851" t="inlineStr">
        <is>
          <t>営業運転；営業時間；営業部；営業マン；営業キロ</t>
        </is>
      </c>
      <c r="H851" t="n">
        <v>29</v>
      </c>
      <c r="I851" t="inlineStr">
        <is>
          <t>高知県の屋台は不許可営業を行っているのではないかと見る業者もある。；営業路線の詳細は「路線」の節を、その他の詳細は以下の各記事を参照。；同年中に三国芦原線と勝山永平寺線の残る区間も正式に営業を再開した。；同支店は現在、マンハッタン島の別の場所に移転して営業を行っている。；末期には日本国内の店舗は長野県を除き営業エリアが明確に分けられていた。；食事類を提供する喫茶店を営業する場合は飲食店営業の許可が必要である。；それ以前は東京 - 名古屋・新大阪間の通し運転列車のみ営業していた。；埼玉県内を主な営業地域としているため、直接の海外拠点は保有していない。；その一方で教育・組み込み向けなどへの営業展開もなされていた。；衣料、雑貨を営業し、近代に入って呉服類を中心に営業を継続拡張した。；現在、観光用人力車の営業が行われている地域は以下の通りである。；この期間には通常営業時は入ることができなかった操舵室や車両甲板が公開された。；営業用列車はさらに、下記のようにいくつかに区分されている。；廃車された編成および代替で営業開始した2000系の編成は以下の通り。；現代の日本では、午後あるいは夕方から深夜12時前後までの営業が一般的。；通常は観測用機器は取り外され、観測は通常の営業列車で行われる。；これは日本で最初に開業した営業用の地下路線である。；鉄道事業法に基づく日本のケーブルカー営業路線は下記の通りである。；都市生活者の生活習慣に合わせ、深夜まで営業している店舗も多い。；同じ場所に新店舗を建設して2018年12月1日に営業再開した。；乗合バス事業は東京都区部の大半と青梅市を主な営業エリアとする。；同時に営業終了日まで従来通り営業を継続していた。；営業外列車や臨時列車によってはこれ以外の区間・路線を走行する場合がある。；メキシコでは、ハンバーガーを販売している屋台が多く営業している。；再編後も運行管理と営業エリア分けでは引き続き境界となっている。；会社は政府の許可を得た翌日の3月14日に営業を開始する。；同時に新会社の営業エリアに合わせて全国14路線で管理局界の変更が行われた。；特急列車はすべて通過するが、その他の営業列車はすべて停車する。；特定の時期にのみ営業をする駅、あるいはイベントなどで一時的に設置されて営業を行う駅。</t>
        </is>
      </c>
      <c r="J851">
        <f>HYPERLINK("https://www.weblio.jp/content/営業", "词义详情")</f>
        <v/>
      </c>
      <c r="K851">
        <f>HYPERLINK("https://yourei.jp/営業", "查看例句")</f>
        <v/>
      </c>
    </row>
    <row r="852">
      <c r="A852" t="inlineStr">
        <is>
          <t>営業部</t>
        </is>
      </c>
      <c r="B852" t="inlineStr">
        <is>
          <t>成功</t>
        </is>
      </c>
      <c r="D852" t="inlineStr">
        <is>
          <t>営業部員(9%)；営業部次長(2%)；営業部所属；営業部販売；営業部内</t>
        </is>
      </c>
      <c r="F852" t="inlineStr">
        <is>
          <t>法人営業部；本社営業部；山形営業部；支社営業部；局営業部</t>
        </is>
      </c>
      <c r="H852" t="n">
        <v>29</v>
      </c>
      <c r="I852" t="inlineStr">
        <is>
          <t>どうやら営業部の中で、誰かと売上成績のトップ争いをしているらしい。；最初の4年間は営業部に所属し、試合のチケットの販売にあたっていた。；入口にはさっきの営業部員と、二人の女子社員が並んで立っていた。；このビルは店舗ではなく、七階と八階をアカネの営業部が使用している。；だから営業部や制作部の連中には、いつも軽視され続けてきたのだ。；東日本・西日本の営業部に分かれ、15程度のエリアで構成されている。；所長を七年やったあと、彼は前年の四月に本社の営業部次長に昇進した。；「営業部」には女性の客が来ていて、営業部員にいろいろとたずねていた。；噂どおりだとすると、次の異動は営業部の課長級を中心に行なわれるようであった。；玄関に出て行くと、営業部の部下が二人並んで立っていた。；少なくともいま、『不二通商』営業部に幹部社員は一人もいないのである。；最初は営業部に配属になり、創立間もなかった同社の契約拡大に奔走した。；翌日、神咲雫は営業部から新設のワイン事業部への異動を命じられた。；サーカス団は今では立派な就職先で、営業部や業務部は大半が大卒だ。；受付の女性や営業部の人々、みんなから、あらためてお悔みを言われた。；その中で、営業部主任ともいえる立場にあるのが咲山老人であった。；旧大正銀行本店が大阪中央営業部となるなどの組織変更が行われている。；営業部にすれば、技術開発部が単なる金食い虫にしか思えないからだ。；ところが商人、つまり営業部員たちは、提出される作品の安全性を要求する。；編輯室はまだ総勢が残つてゐたが、営業部はすでに退けたあとだつた。；営業部の人たちはともかく、制作部にはへんてこな人ばかりいた。；宣伝用新聞の編集を引受けるために入社したかれが、営業部の仕事ができるはずもなかった。；けれど、それには営業部の連中の協力がありませんとね。；営業部第三課にいて優秀な働きをすることがわからない。；その証拠に、以前から工場を勤めあげて事務所へ移った連中は、例外なく営業部員にされている。；康子が、前日の夕方に営業部の女性や同期の人々に、声をかけてくれていたのだ。；それまで営業部海外課の数名で担当していたが、2012年に海外営業部を新設した。；そこで捜査員が営業部の責任者に、栗山はその日どこを回ったのかと聞いた。；それで映機営業部でビデオの研究を始めたが、映画会社では研究にも限界があった。</t>
        </is>
      </c>
      <c r="J852">
        <f>HYPERLINK("https://www.weblio.jp/content/営業部", "词义详情")</f>
        <v/>
      </c>
      <c r="K852">
        <f>HYPERLINK("https://yourei.jp/営業部", "查看例句")</f>
        <v/>
      </c>
    </row>
    <row r="853">
      <c r="A853" t="inlineStr">
        <is>
          <t>英語</t>
        </is>
      </c>
      <c r="B853" t="inlineStr">
        <is>
          <t>成功</t>
        </is>
      </c>
      <c r="C853" t="inlineStr">
        <is>
          <t>読み方：えいご
インド‐ヨーロッパ語族のゲルマン語派に属する言語。現在、大ブリテンと北アイルランドのほか、アメリカ・カナダ・インド・オーストラリア・香港(ホンコン)などで使われ、国際的な傾向が強くなっている。語彙の面で、フランス語からの影響が大きく、ドイツ語・オランダ語などと親近関係にある。この語族の言語の中では、最も孤立語的な傾向を示す。</t>
        </is>
      </c>
      <c r="D853" t="inlineStr">
        <is>
          <t>英語読み；英語詞；英語で書か；英語学校；英語以外</t>
        </is>
      </c>
      <c r="F853" t="inlineStr">
        <is>
          <t>流暢な英語；全て英語；すべて英語；英語バージョン；全編英語</t>
        </is>
      </c>
      <c r="G853" t="inlineStr">
        <is>
          <t>英語版；英語名；英語教育；英語教師；英語表記</t>
        </is>
      </c>
      <c r="H853" t="n">
        <v>29</v>
      </c>
      <c r="I853" t="inlineStr">
        <is>
          <t>このうち第3版が英語へ翻訳され、主な議論はその版の内容で行われた。；製作される映画は英語のものと現地語のものがほぼ半分ずつと言われている。；ただし英語新聞も割合こそ減少しているものの部数自体は増加している。；日本の株式会社に対応する英語での呼称には、以下のようなものがある。；イギリス領ソマリランドの時代には、英語が学校や政府で支配的だった。；また一次試験を日本語ではなく英語で受けることも可能になった。；後に、この伝承がイギリスに伝わって英語のという表現の語源となった。；手紙や電話は検閲を受け、英語以外の言語で電話をすることは禁止された。；原語が英語でないが、多くの人に英語だと誤解されている言葉もある。；また、フランス語の影響を大きく受けた英語でも、同様の読み方をする。；英語に習熟していない移民もその一つの原因であると考えられている。；アイルランド語の女性名 は と英語化されるが、地名とは関係が無い。；英語でバロック音楽の語が用いられたのは1940年になってからである。；ただ燃やしているチラチラ見える中には、英語の物もあったと思います。；英語が使われるようになってから と呼ばれるようになった。；英語をはじめとした多くの言語で、をそのまま翻字した語が採用されている。；現役引退後もニューヨークで週に数回英語のレッスンを受けているという。；社名でありブランドであるソニーを意味する英語の「」に由来している。；高橋の作品の多くは英語や他のヨーロッパ言語に翻訳されている。；は英語で書かれているものの、民法などの幾つかの法律はフランス語である。；イスタンブール出身者はだが英語ではイスタンブライト が使われている。；また、イギリス植民地であったことから英語は広く使われている。；車内の自動放送も変更され、新たに英語による案内放送が開始された。；また、自動放送装置を搭載しており、日本語と英語に対応している。；Wは古来の文字ではないので英語やドイツ語からなどの外来語で使用する。；工場などで働く場合、英語との接触がかなり増えることになるケースがある。；同大学では専門の植物学だけでなく、自然科学一般を英語で教えた。；英語のは、共和政ローマ時代に護民官が保持していた権限 に由来する。；英語ではこのようなさまざまな闘争の局面を warfare と呼ぶ。</t>
        </is>
      </c>
      <c r="J853">
        <f>HYPERLINK("https://www.weblio.jp/content/英語", "词义详情")</f>
        <v/>
      </c>
      <c r="K853">
        <f>HYPERLINK("https://yourei.jp/英語", "查看例句")</f>
        <v/>
      </c>
    </row>
    <row r="854">
      <c r="A854" t="inlineStr">
        <is>
          <t>英字</t>
        </is>
      </c>
      <c r="B854" t="inlineStr">
        <is>
          <t>成功</t>
        </is>
      </c>
      <c r="C854" t="inlineStr">
        <is>
          <t>読み方：えいじ
英語を書き表す文字。「—新聞」</t>
        </is>
      </c>
      <c r="D854" t="inlineStr">
        <is>
          <t>英字表記(20%)；英字併記；英字ロゴ；英字誌；英字記号</t>
        </is>
      </c>
      <c r="E854" t="inlineStr">
        <is>
          <t>字；文字；アルファベット；レター；字母</t>
        </is>
      </c>
      <c r="G854" t="inlineStr">
        <is>
          <t>英字紙；英字コード</t>
        </is>
      </c>
      <c r="H854" t="n">
        <v>29</v>
      </c>
      <c r="I854" t="inlineStr">
        <is>
          <t>裏には意味のわからない数字と英字の記号があったり、なかったりする。；かつて本州と九州に存在した店舗は北海道と同様の英字表記であった。；そして、すらりと伸びた足を組むと、机の上の英字雑誌に目を落とした。；所属車両の判別等のため、営業所ごとに英字の略記号が設けられている。；彼女の方は、英字の雑誌を読んでいて、十津川たちを、見ようとしない。；タイトルの英字表記は、すべてローマ字に基づいたものとなっている。；それ以降は、以下のように末尾に英字1字をつける形で改版されている。；英字の系統番号が付されていないものはりゅーと利用不可となっている。；しかしのちには無限の愛とも説明されており、英字での綴りは不確定である。；バースデーを祝う英字のついた大きなケーキがみなのまん中に出された。；thumb|駅舎かつて英字の看板が付いていたが、現在は撤去されている。；なお、英字スペルが同じである猫種のマンチカンとは全く関連がない。；英字記号の次の数字は年式を表し、製造年の西暦の下1桁が用いられる。；左側のベルトコンベアからは表面に数字や英字が記された箱が複数運ばれてくる。；記事は項目ごとに数字・英字・五十音・記号の順に並べています。；依頼は項目ごとに数字・英字・五十音・記号の順に並べています。；犬種名は英字スペルにしたがってサー・ティプと表記されることもある。；海外の大學先生宛のアドレスの英字も、細い毛筆で美しく書かれている。；そして6代目となる2020年度より完全に英字表記へ統一された。；そのため内部にはペンキで塗装されたり、英字が彫られた跡が残されている。；実際の分類は英字1字または2字と、それに続く数字で行なわれる。；いくつの英字から成り立っているか、指を折って勘定してごらんなさい。；全ての停留所に英字と2桁の数字を組み合わせた番号が振られている。；日本語版の説明書の最後のページに、キャスト名が英字で掲載されている。；表記は英字ではあるが、globe初の日本語タイトルがついた。；thumb|北口かつて英字の看板が付いていたが、現在は撤去されている。；駅の風景と同化してしまいそうな、英字だらけの灰色のシャツ。；表記の歴史は長く、近代の明治に英字表記が定まっていなかった時代からと紹介されてきたことに始まる。；埼京線用のものとは異なり英字・ローマ字表記はすべて大文字である。</t>
        </is>
      </c>
      <c r="J854">
        <f>HYPERLINK("https://www.weblio.jp/content/英字", "词义详情")</f>
        <v/>
      </c>
      <c r="K854">
        <f>HYPERLINK("https://yourei.jp/英字", "查看例句")</f>
        <v/>
      </c>
    </row>
    <row r="855">
      <c r="A855" t="inlineStr">
        <is>
          <t>映写</t>
        </is>
      </c>
      <c r="B855" t="inlineStr">
        <is>
          <t>成功</t>
        </is>
      </c>
      <c r="C855" t="inlineStr">
        <is>
          <t>読み方：えいしゃ
［名］(スル)映画・スライドなどをスクリーンに映すこと。「八ミリを—する」</t>
        </is>
      </c>
      <c r="D855" t="inlineStr">
        <is>
          <t>映写室(16%)；映写幕(16%)；映写する(8%)；映写される(4%)；映写設備</t>
        </is>
      </c>
      <c r="E855" t="inlineStr">
        <is>
          <t>放出；突出；投影；投射；射影</t>
        </is>
      </c>
      <c r="F855" t="inlineStr">
        <is>
          <t>スクリーン映写式；映写隊；映写式による映画；フィルム映写；映写ホール</t>
        </is>
      </c>
      <c r="G855" t="inlineStr">
        <is>
          <t>映写技師；映写装置</t>
        </is>
      </c>
      <c r="H855" t="n">
        <v>29</v>
      </c>
      <c r="I855" t="inlineStr">
        <is>
          <t>この目的のために記録された映像などは演習後に映写場にて再生される。；そしてここに、今までに知られているさまざまな惑星の軌道を映写する。；みんながこの機械類をよく知るため、例をすこし映写してみてくれないか?；しかも卓蔵はまだ放心したように映写幕のほうを見詰めているのである。；約一万年前の世界が、おじさんの器械の映写幕の中に見えているのだ。；どのような世界がスクリーンの上に映写されるのか、彼は淡く気になった。；映写中に、機械の故障で、突然フィルムの回転が止まることがあります。；映写幕面の上に、例の一人の怪人がやはりじっとこっちを睨んでいる。；帆村は、側路に取った別の小型の映写幕装置へ両眼をぴったりあてていた。；ところが、飛行中に映写したというので、えらい評判になったんです。；ただし映写時にはアナモルフィックレンズを使用して横に広げて投影する。；近くの宿屋では、秘密映画の映写会、シロクロのショウが行われていた。；映写会でも足を滑らせた観客が、映写台を押し潰してしまい中止になった。；彼等の秘密映写は、いつも当り前の上流人の家庭ばかりで行われるのではない。；早めに行くに限ると考えて映写開始十五分前の朝っぱらに映画館へ到着した。；まるで、頭の中で、映像フィルムが、映写を待ち構えていたようだった。；竜太はどの映画館でも二階の、映写室の下を指定席にしていた。；映写幕が彼の眼の前で踊り、明るくなったり、暗くなったりした。；三本目の作品のタイトルが映写されるなかを、哲也は席を立った。；映写幕が云ふ 見物ひとり居ないのに 横ッ腹の窓から映つたりしやがつて。；映画の変更が必要とされないかぎり、循環装置によって連続映写ができる。；いなかの館とは映写の光力が違うし、それに写真が新しいから傷んでいない。；ロビーも薄暗いくらいだったが、映写中の所から出て来ると、まぶしい。；この映画では光の線条が映写幕上で音楽に合わせて踊りをおどる。；この映画はタイトルからエンドマークまで実際の映写時間は一時間四十分ぐらいだ。；こうしたものは黒板や映写面やプラカードなどの設置にも適している。；べラーがそれを映写して、フロワカ族のことを知った可能性もある。；「では、あと五分で映写します」 ファンの音が少し大きくなった。；そうして、林のようなものが映写幕の中にはいって来た。</t>
        </is>
      </c>
      <c r="J855">
        <f>HYPERLINK("https://www.weblio.jp/content/映写", "词义详情")</f>
        <v/>
      </c>
      <c r="K855">
        <f>HYPERLINK("https://yourei.jp/映写", "查看例句")</f>
        <v/>
      </c>
    </row>
    <row r="856">
      <c r="A856" t="inlineStr">
        <is>
          <t>衛生</t>
        </is>
      </c>
      <c r="B856" t="inlineStr">
        <is>
          <t>成功</t>
        </is>
      </c>
      <c r="C856" t="inlineStr">
        <is>
          <t>読み方：えいせい
健康の維持と向上を図るとともに、疾病の予防と治療につとめること。</t>
        </is>
      </c>
      <c r="D856" t="inlineStr">
        <is>
          <t>衛生上(6%)；衛生面(6%)；衛生管理(6%)；衛生的(5%)；衛生環境(2%)</t>
        </is>
      </c>
      <c r="E856" t="inlineStr">
        <is>
          <t>保健；養生；摂生；健康法</t>
        </is>
      </c>
      <c r="F856" t="inlineStr">
        <is>
          <t>安全衛生；非衛生；衛生試験所；地方衛生；衛生行政</t>
        </is>
      </c>
      <c r="G856" t="inlineStr">
        <is>
          <t>衛生局；衛生状態；衛生学；衛生的；衛生材料</t>
        </is>
      </c>
      <c r="H856" t="n">
        <v>29</v>
      </c>
      <c r="I856" t="inlineStr">
        <is>
          <t>軍としては衛生管理のために何らかの形で関わるのは当然と思っている。；衛生上の知識に関連する学問分野として次に挙げるものが知られている。；北九州市に本社を置くTOTOはトイレ等衛生機器のトップ企業である。；多摩川衛生組合が組織されるまでは町が独自にごみ処理を行なっていた。；衛生仮説ともいわれるこの説は現在もっとも有力な説となっている。；キリスト教圏でも衛生上の理由も兼ねて行われている場合がある。；後述のように、衛生面などで問題点や課題を指摘する意見も多い。；今日では衛生面での不安を考慮され使用禁止となっている。；またグループ全体で環境衛生施設管理事業、警備業などを展開している。；その中で、1930年代にはスラム街での営業規則や衛生法が制定された。；旧東京都立衛生研究所の調査でも毒性は無いとの結論に達している。；明治時代以前の日本では衛生という概念に基づく事実は極めて少ない。；道に生えてる草も衛生面や猫にとって毒で良くない場合がある。；環境という言葉は当時は環境衛生程度の理解しか一般的にはなかった頃のことです。；また路上で水飴や煎餅を売り歩いていたことで衛生上の問題も指摘された。；現在の先進国では衛生上の理由から使い捨て式が主流になっている。；アフリカは栄養・医療・衛生面でさまざまな問題を抱えている。；そうした施設では温泉での水着やタオル類の使用は衛生面での問題になりやすい。；協会では技術はもちろんの事、消毒衛生を義務付けるのが一番の目的。；衛生環境を整備しなければならないのはもちろんである。；一時的ではあったが地域衛生センターがヘシッシュ・リヒテナウに置かれていた。；集落や都市では水の汚染が激しい場合もあるので、衛生面の配慮も必要である。；その解散後は、隣接するハムから第22衛生連隊がアーレンに移動した。；衛生面から着られるほか、その下の服が傷付いたり汚れたりすることを防ぐ目的でも着られる。；衛生要員・宗教要員が敵の権力内に陥った場合は捕虜にはならず特別の保護を受ける。；主な医療的問題は、単純な個人衛生と飛行後の起立性低血圧が発生しただけだった。；そのため、建設当初は衛生関係者から精神病の原因になるなどの批判が寄せられた。；また、環境・社会・行動衛生、職業衛生、食品衛生も重要な分野である。；と畜場は、食肉を生産する食品工場であり、衛生的な管理が求められる。</t>
        </is>
      </c>
      <c r="J856">
        <f>HYPERLINK("https://www.weblio.jp/content/衛生", "词义详情")</f>
        <v/>
      </c>
      <c r="K856">
        <f>HYPERLINK("https://yourei.jp/衛生", "查看例句")</f>
        <v/>
      </c>
    </row>
    <row r="857">
      <c r="A857" t="inlineStr">
        <is>
          <t>衛星</t>
        </is>
      </c>
      <c r="B857" t="inlineStr">
        <is>
          <t>成功</t>
        </is>
      </c>
      <c r="C857" t="inlineStr">
        <is>
          <t>読み方：えいせい
１惑星の周りを楕円軌道を描いて公転している天体。地球に対する月など。「人工—」
２あるものを中心として、その周辺にあって従属関係にあるもの。「—都市」</t>
        </is>
      </c>
      <c r="D857" t="inlineStr">
        <is>
          <t>衛星打ち上げ；衛星本体；衛星群；衛星兵器；衛星追跡</t>
        </is>
      </c>
      <c r="E857" t="inlineStr">
        <is>
          <t>サテライト；オービター；オービタ；軌道船；人工衛星</t>
        </is>
      </c>
      <c r="F857" t="inlineStr">
        <is>
          <t>小さな衛星；大きな衛星；試験衛星；小衛星；大型衛星</t>
        </is>
      </c>
      <c r="G857" t="inlineStr">
        <is>
          <t>衛星軌道；衛星通信；衛星都市；衛星写真；衛星国</t>
        </is>
      </c>
      <c r="H857" t="n">
        <v>29</v>
      </c>
      <c r="I857" t="inlineStr">
        <is>
          <t>降着過程は衛星が完全に形成した後数千年に渡って続いた可能性が高い。；衛星をこの軌道に投入する際には次のような手順をとるのが普通である。；ガニメデはこのような特徴を持つことが知られている唯一の衛星である。；この時期には宇宙での有人実験のほか衛星の放出などが盛んに行われた。；外側を回る別の衛星には彼女の夫であるエピメテウスの名が付いている。；土星の4つの衛星を発見したほか、惑星観測で様々な功績を残している。；皮肉な事にこのロケットはいくつかのアメリカの衛星も打ち上げている。；これらの衛星が円形の影を木星表面に落としている光景はよく見られる。；それから4世紀の間に、地上からの観測でさらに衛星9個が発見された。；月やガリレオ衛星など大型の衛星にも金属核が存在する可能性が高い。；しかし新衛星の発見を論文として報告したのはラッセルの方が先であった。；球から離れた形状をした衛星としては初めて発見されたものである。；中核都市を惑星に見立て、周辺に衛星のように存在することからの呼称。；また広島県版でも、衛星・ラジオ面にてハーフサイズで掲載されている。；これらを、小型の衛星に搭載するための研究、設計や開発業務を行う。；最後まで残った冥王星の特徴的な点は、巨大な衛星カロンと大気である。；マントルとは、惑星や衛星などの内部構造で、核の外側にある層である。；これらの衛星は低密度であるため、衛星表面と自身のヒル球の端は近い。；もしこれが正しい場合、破壊は惑星・衛星形成の初期段階で発生したはずである。；この時の振動レベルは衛星の規程値以下であり、衛星に問題はなかった。；その後、現実でもほぼ同一位置に衛星が発見されたため、一部で話題になった。；発見されている中では内側から2番目の軌道を公転する衛星である。；ただし、ガス惑星の衛星に生命が発生する可能性は考慮に入れる必要がある。；なお、アドラステアは現在木星の別の衛星の名称として使用されている。；また、北欧群の他の7つの衛星とサブグループスカジ群を形成している。；ただし、個々の衛星の名称はマリウスが提案したものが使われている。；比較的大型な衛星ヴァンスの存在はこれらの特性をかなり左右するかもしれない。；それ以来、数多くの小さな衛星が土星のより近くに発見されている。；衛星の場合は命名規則が厳しいが、発見者の希望が考慮されることがある。</t>
        </is>
      </c>
      <c r="J857">
        <f>HYPERLINK("https://www.weblio.jp/content/衛星", "词义详情")</f>
        <v/>
      </c>
      <c r="K857">
        <f>HYPERLINK("https://yourei.jp/衛星", "查看例句")</f>
        <v/>
      </c>
    </row>
    <row r="858">
      <c r="A858" t="inlineStr">
        <is>
          <t>映像</t>
        </is>
      </c>
      <c r="B858" t="inlineStr">
        <is>
          <t>成功</t>
        </is>
      </c>
      <c r="C858" t="inlineStr">
        <is>
          <t>読み方：えいぞう
１光線の屈折または反射によって作られた像。
２映画やテレビの画面に映し出された画像。
３心の中に一つのまとまった姿として描き出された像。心象。イメージ。
[補説]曲名別項。→映像</t>
        </is>
      </c>
      <c r="D858" t="inlineStr">
        <is>
          <t>映像化(3%)；映像制作会社；映像表現；映像技術；映像メディア</t>
        </is>
      </c>
      <c r="E858" t="inlineStr">
        <is>
          <t>写真；絵；像；イメージ；図</t>
        </is>
      </c>
      <c r="F858" t="inlineStr">
        <is>
          <t>エンディング映像；インタビュー映像；中継映像；ダイジェスト映像；本編映像</t>
        </is>
      </c>
      <c r="G858" t="inlineStr">
        <is>
          <t>映像作家；映像化；映像ソフト；映像特典；映像信号</t>
        </is>
      </c>
      <c r="H858" t="n">
        <v>29</v>
      </c>
      <c r="I858" t="inlineStr">
        <is>
          <t>こういった映像表現の発生した背景には、初期の写真技術があげられる。；池谷仙克によると、酒を飲んでも映像論を語るようなことはしなかった。；この部分に別の映像を合成することで、様々な映像効果を演出できる。；かつてはレーザーディスクの映像再生機能を使用しているゲームもあった。；その後も現在に至るまで多くの目撃例があり、写真や映像も撮影されてきた。；サンプル本を読んだ岩上は本作に魅力を感じ映像化したいと考えはじめた。；またデジタル化されたため、安定した映像が再生できるようになった。；こうなると機械は映像やロボット工学の技術も導入しなければならなくなる。；宮崎駿が空飛ぶ映像が好きなことから本作には数多くの飛行機が登場する。；この楽曲は国立新美術館で開催中の同展覧会場の映像にも使用された。；この映像は今後の計画検討の際などに利用される予定である。；音声データであれば電話となり、映像データであればテレビ電話となる。；Eテレ版では楽曲および映像をOP・ED共に新規作成したものとなる。；リアスクリーンは明室環境での比較的小画面での映像投射に適している。；投げられるプーチンの姿は印象的で、その写真や映像は世界中に報道された。；同時にユニテルや放送局による映像収録も積極的に行われるようになる。；映画用のカメラは、一般に映像の撮影のみを行い、音声の録音は行わない。；兵庫県は様々な景色を持つため、多くの映像産業に積極的に協力している。；映像機器とは、映像を表示したり、記録したりすることを目的にした機器。；ゴジラを題材とした玩具、書籍、映像・音楽媒体は多数発売されてきた。；カメラで撮影した映像を、カメラの後方に設置したディスプレイで表示する。；映像は戦後の混乱期の雰囲気を描いたモノクロームとなっている。；新潮社がメディアミックスで映像製作に携わる初めてのケースとなった。；連続して変化する絵や物により発生する仮現運動を利用した映像手法である。；アメリカ軍はそれを映像化しアメリカ軍兵士に注意を促している。；ヒッチコックはキャリアを通じて、さまざまな映像合成技術を使用した。；開催当日のイベント映像やアニメ映像の一部を公開した。；夫婦が銃殺される前後の映像もテレビ中継を通じて世界中に放映された。；しかし、この時の中継映像では戸田の足が先に出たように見えた。</t>
        </is>
      </c>
      <c r="J858">
        <f>HYPERLINK("https://www.weblio.jp/content/映像", "词义详情")</f>
        <v/>
      </c>
      <c r="K858">
        <f>HYPERLINK("https://yourei.jp/映像", "查看例句")</f>
        <v/>
      </c>
    </row>
    <row r="859">
      <c r="A859" t="inlineStr">
        <is>
          <t>英文</t>
        </is>
      </c>
      <c r="B859" t="inlineStr">
        <is>
          <t>成功</t>
        </is>
      </c>
      <c r="C859" t="inlineStr">
        <is>
          <t>読み方：えいぶん
１英語で書かれた文章。「—講読」
２「英米文学」「英米文学科」の略。「—専攻」</t>
        </is>
      </c>
      <c r="D859" t="inlineStr">
        <is>
          <t>英文表記(4%)；英文和訳；英文社名；英文解釈；英文名称</t>
        </is>
      </c>
      <c r="F859" t="inlineStr">
        <is>
          <t>英文欄；英文翻訳；英文ロゴ；英文ライナーノーツ；英語英文</t>
        </is>
      </c>
      <c r="G859" t="inlineStr">
        <is>
          <t>英文学；英文学者；英文学科；英文法；英文字</t>
        </is>
      </c>
      <c r="H859" t="n">
        <v>29</v>
      </c>
      <c r="I859" t="inlineStr">
        <is>
          <t>英文ではlaboratoryといったが本格的な研究所を立ち上げた。；日本人には日本語に英訳を付けて、一部の外国人には英文のみで送った。；こうなると、無理をして英文雑誌の発行をつづけなくてもよさそうだ。；ある時何かの試験の時に余の隣に居た人は答案を英文で書いて居たのを見た。；それ以来英文を書く時には、いつもこの手を用いていたのであった。；教壇で英文を読む担任の安田寛以外、口を開く者は誰一人としていない。；対象となるのは、その年に出版された外交問題を題材とする英文書籍。；全国ウォーカー誌の中で唯一、都市名の英文表記がすべて大文字である。；対訳版の英文は独自に作ったものであり翻訳しながら校正に努力した。；また英文で作成するために時間がかかることがあり余裕を持った依頼が必要である。；失敗が後進の参考になるなら、私には英文和訳よりももっと材料がある。；また、クラウン生産分ではメーカー名の英文表示もそのままであった。；よくよく見れば、それは二つの英文が交互にパターン表示されたものだった。；つまり上記の英文はシカゴおよびシカゴ市民を馬鹿にした発言である。；とりあえず彼とは、英文の資料翻訳を仲介にしてつきあったほうがよい。；ところが、虎三郎はいつのころからか、英文の勉学もはじめているのだ。；近年では海外からの観光客のため英文のメニューを用意している店舗もある。；奇とすべきは、五百が六十歳を踰えてから英文を読みはじめた事である。；単行本表紙や扉絵などに書かれる英文の副題も異なる表記となっている。；それには英文で、ビルマとインドの国境線であることが記されていた。；通常は上記のように記述するが、より英文に近い以下のようなコードも記述できる。；日本にいる外国人からだが、英文やロシア語のファン・レターも来ている。；自由通信社社長を務め、また、明治42年に英文通信社を設立している。；多くの日本人は1分間に100語以上の速さで英文を読むことができない。；その時、天の啓示のように、僕の頭の中にある一つの英文がうかんだ。；その証拠にメモ用紙に英文を書いて見せてもあまりよく通じない。；英文の手紙は誰かに代筆してもらうこともできたはずなのに、それもしなかった。；イタリア側は一項目ずつ英文とイタリア文を正確に整理し終えた。；立て直した直後は、画面上に英文が表示されている間無敵状態になる。</t>
        </is>
      </c>
      <c r="J859">
        <f>HYPERLINK("https://www.weblio.jp/content/英文", "词义详情")</f>
        <v/>
      </c>
      <c r="K859">
        <f>HYPERLINK("https://yourei.jp/英文", "查看例句")</f>
        <v/>
      </c>
    </row>
    <row r="860">
      <c r="A860" t="inlineStr">
        <is>
          <t>英雄</t>
        </is>
      </c>
      <c r="B860" t="inlineStr">
        <is>
          <t>成功</t>
        </is>
      </c>
      <c r="C860" t="inlineStr">
        <is>
          <t>読み方：えいゆう
１才知・武勇にすぐれ、常人にできないことを成し遂げた人。「—を気取る」「国民的—」
２「英雄家(えいゆうけ)」の略。
「花族も—も面(おもて)をむかへ肩をならぶる人なし」〈平家・一〉
[補説]曲名別項。→英雄</t>
        </is>
      </c>
      <c r="D860" t="inlineStr">
        <is>
          <t>英雄的(10%)；英雄たち(3%)；英雄視；英雄王；英雄譚</t>
        </is>
      </c>
      <c r="E860" t="inlineStr">
        <is>
          <t>神；ヒーロー；カリスマ；風雲児；革命児</t>
        </is>
      </c>
      <c r="F860" t="inlineStr">
        <is>
          <t>英雄的行為；登場する英雄；英雄的行動；英雄扱い；英雄像</t>
        </is>
      </c>
      <c r="G860" t="inlineStr">
        <is>
          <t>英雄伝説；英雄戦争；英雄主義；英雄時代；英雄都市</t>
        </is>
      </c>
      <c r="H860" t="n">
        <v>29</v>
      </c>
      <c r="I860" t="inlineStr">
        <is>
          <t>同期の友人の証言では、英雄は大学ではボート部に所属していたという。；韓国では子供から老人まで幅広い層に尊敬されている国民的英雄である。；英雄が独裁的統治者となったこの出来事は多方面に様々な衝撃を与えた。；出身国のフィンランドでは知らぬ人はいないほどの国民的英雄でもあった。；ただ、戦闘の最前線に置かれて戦果を挙げ、英雄となる例は少なくない。；戦国時代の英雄九戸政實を題材とした小説であり、話の舞台にも登場する。；古代より多くの戦死者はそれぞれの部族や民族で勇士や英雄とされた。；許心美はトラン県では英雄視されておりの市内には銅像が建てられている。；タイでは小学校の教科書にも登場するほどの民族の英雄である。；彼は国家の英雄としてロンドンのセント・ポール大聖堂に埋葬された。；グスタフ2世アドルフは、プロテスタント勢力の英雄となったのである。；なお、ペロンの妻で英雄的存在のエヴァ・ペロンとの関係も噂された。；熊襲征討・東国征討を行ったとされる日本古代史上の伝説的英雄である。；彼は中国の民間信仰のなかで最も活躍する英雄の一人である。；こういった熱狂の渦の中、黄禹錫は国民的英雄に祭り上げられていった。；ボーマルシェはこの件について、自身を英雄のごとく劇的に描いている。；神の十賢者による全宇宙の危機を12人の英雄が救ってから約400年。；この叙事詩に登場する主人公にして、中世ドイツにおける最大の英雄王。；この範囲では人間の中の英雄と見ることができる。；戦時中では決死の攻撃をした者が軍神として英雄視される事もあった。；テティスが英雄ペーレウスと結婚した経緯についてはいくつかの説がある。；一時的に英雄的に表現されるキャラクターも最後には無残に殺される場面が多い。；アンキセスの子がローマの元となった都市を築いた英雄アイネイアースである。；河西回廊の伝説には必ずと言っていいほど、漢の英雄の霍去病が登場する。；これは神々と英雄達の伝説のパロディーで、サテュロスが合唱を務めた。；中国では治水の英雄・開拓の英雄とされており教科書にも掲載される存在である。；腱の名前はギリシア神話に登場する英雄アキレウスから取られている。；その活躍からイタリアでは国民的な英雄として人気がある。；PFLPは岡本を英雄視しており、身の回りの世話など支援を続けている。</t>
        </is>
      </c>
      <c r="J860">
        <f>HYPERLINK("https://www.weblio.jp/content/英雄", "词义详情")</f>
        <v/>
      </c>
      <c r="K860">
        <f>HYPERLINK("https://yourei.jp/英雄", "查看例句")</f>
        <v/>
      </c>
    </row>
    <row r="861">
      <c r="A861" t="inlineStr">
        <is>
          <t>栄養</t>
        </is>
      </c>
      <c r="B861" t="inlineStr">
        <is>
          <t>成功</t>
        </is>
      </c>
      <c r="C861" t="inlineStr">
        <is>
          <t>読み方：えいよう
１生物体が体外から物質を取り入れ、成長や活動に役立たせること。無機物のみを取り入れる独立栄養と、有機物も取り入れる従属栄養に分けられる。
２栄養となる個々の物質。栄養素。また、それを含む食物。「—を取る」</t>
        </is>
      </c>
      <c r="D861" t="inlineStr">
        <is>
          <t>栄養源(5%)；栄養状態(4%)；栄養補給(3%)；栄養葉(2%)；栄養的</t>
        </is>
      </c>
      <c r="E861" t="inlineStr">
        <is>
          <t>栄養素；養い；養分；滋養；栄養分</t>
        </is>
      </c>
      <c r="F861" t="inlineStr">
        <is>
          <t>栄養食品；栄養細胞；栄養障害；栄養液；栄養供給</t>
        </is>
      </c>
      <c r="G861" t="inlineStr">
        <is>
          <t>栄養失調；栄養価；栄養分；栄養学；栄養士</t>
        </is>
      </c>
      <c r="H861" t="n">
        <v>29</v>
      </c>
      <c r="I861" t="inlineStr">
        <is>
          <t>いかに叩き込んだところで消化が出来なければ国民の栄養にはなるまい。；ただし、栄養関係が不明であり、寄生であるかどうかはわかっていない。；多くの植物はこの時期から葉を伸ばし、栄養を蓄えてから繁殖を始める。；猫缶には一般食に分類されるものと、総合栄養食に分類されるものがある。；分科会は現在の猫の栄養に関する情報を考慮してそれらの範囲を決定した。；この義体には下唇が無いので栄養パックの交換などで必要な栄養を補う。；椎骨動脈が栄養する器官には、脳底動脈以降を含めて以下のものがある。；鉱物を栄養源とし、生物同様に成長・脱皮する度に戦闘能力が強化される。；栄養的にも優れ、特にビタミンCが豊富に含まれていることが知られている。；生物の栄養供給の形は、食う・食われるの形だけをとるものではない。；また、中国などから流入する栄養塩類などの動態の研究が行われている。；夏の間は栄養葉が完全に展開し、8 - 9月ごろに胞子葉が出てくる。；形は栄養葉と基本的には同じだが、小葉の幅が狭く、ややまばらに出る。；このとき、卵の持つ栄養で子供が成長して生まれるものは卵胎生と呼ばれる。；雄はその後、栄養を雌の皮膚から伸びた血管を通じて得るようになる。；国立栄養研究所の指導の下で、学校給食が出されていた時期もあった。；一方で、他の食肉に比べて、犬肉の栄養が格段に優れているわけではない。；吸収栄養は寄生性の種に限らず、自由遊泳性で捕食と併用する種もある。；食品は安全・栄養・経済・実用・嗜好などの価値で評価・分析できる。；硝子体動脈は眼動脈の枝であり、水晶体や眼杯の内部の組織を栄養する。；このタイプのものは草や葉などいわゆる栄養価の低い植物を主に食べるために進化した。；母子栄養は、パートナーと子どもとの間の人間関係に大きく影響しうる。；アフリカは栄養・医療・衛生面でさまざまな問題を抱えている。；それが理由によりこれらの元素は植物の主要栄養元素と呼ばれている。；生物の体は、それ以外のさまざまな生物にとって有益な栄養源である。；生命は、成長や増殖に必要なエネルギー源を外部から栄養の形で得る。；栄養の吸収が良くない事が原因の一つとも考えられる。；栄養とは本来こうした営みを指す語であり、栄養素とは区別すべき語である。；産卵のために栄養が疲弊していないので旬のものより美味いとも言われる。</t>
        </is>
      </c>
      <c r="J861">
        <f>HYPERLINK("https://www.weblio.jp/content/栄養", "词义详情")</f>
        <v/>
      </c>
      <c r="K861">
        <f>HYPERLINK("https://yourei.jp/栄養", "查看例句")</f>
        <v/>
      </c>
    </row>
    <row r="862">
      <c r="A862" t="inlineStr">
        <is>
          <t>英和</t>
        </is>
      </c>
      <c r="B862" t="inlineStr">
        <is>
          <t>成功</t>
        </is>
      </c>
      <c r="C862" t="inlineStr">
        <is>
          <t>読み方：えいわ
１英語と日本語。
２「英和辞典」の略。</t>
        </is>
      </c>
      <c r="D862" t="inlineStr">
        <is>
          <t>英和学校(14%)；英和女学校(12%)；英和学舎(6%)；英和対訳辞書(3%)；英和予備校(3%)</t>
        </is>
      </c>
      <c r="F862" t="inlineStr">
        <is>
          <t>奈良英和；山梨英和；東京英和；名古屋英和；佐藤英和</t>
        </is>
      </c>
      <c r="G862" t="inlineStr">
        <is>
          <t>英和辞書；英和対訳袖珍辞書；英和大</t>
        </is>
      </c>
      <c r="H862" t="n">
        <v>29</v>
      </c>
      <c r="I862" t="inlineStr">
        <is>
          <t>市河先生の英和を引いてみたら、次のようなていねいな注釈が出ている。；なお、それまで英和は沙希が芸能活動をしていることを一切知らなかった。；さらにそのためには、まず英和・和英の辞書を作らなくてはならない。；その後青山英和学校も仕合に出掛けたることありしかど年代は忘れたり。；英和学舎だけでなく同時期の大阪の米国聖公会ミッションも順調であった。；それをもとに、弁護士に英和二通の正式な契約書を作ってもらい、それに全員でサインする。；結婚に至った経緯は、佳子が英和の実家に押し掛けたことだった。；降伏後は東京で2年半獄中生活を送り、「英和対訳辞書」を完成させる。；旅行には英和・和英の辞書を持参したが、使ったのは一回だけ。；珠樹の親しい友達だと名乗った男は、私の仏英和時代の上級生の兄であることがわかった。；小学校を中退し、横浜郵便局に勤務しながら横浜英和学校で英会話を学んだ。；一九一五年12歳 仏英和小学校を卒業、同高等女学校本科へ進学。；異人屋敷にある横浜英和学校に入学したいのです。；JAPANが運営していた、国語・英和・和英などの辞書検索サービス。；聖職のかたわら、米国聖公会支援のもと設立された奈良英和学校で教える。；なかでも、「海外にたいして」の配慮から解説には英和両文を用いている。；英語の書物を読むには英和の字書で済むが、英語の会話を学ぶには和英の字書がなくてはならぬ。；それは日本ではじめての本格的な和英・英和をかねた辞書の編集と聖書の和訳で、それがもう一つの建物で行われているのでした。；そして、横浜英和学校に入れたのだろうか。；私と妹とは六つちがいだから、妹が「仏英和」の幼稚園に入った時、私はもう同じ学校の六年だったが、子供扱いされて育った私は妹と一つか二つちがいの仲間の感じだった。；そのへんのつぼをきちんと押さえてもらうためには、英和の訳ではなくて、和英の訳でなければ無理だろう。；英和の辞書を片手に日本語訳のないレコードを聴いていた。；さらに、電子通信英和・和英辞典というように特定分野の技術用語だけを集めた辞書もいろいろあります。；仏英和に入るとまず外国語はフランス語と英語とあるから、どっちか選べ、と言われる。；妻の鄭英和も米国人であり、夫の拉致後は精神に変調をきたした。；英和は、モスクワオリンピックの代表候補だったが、ボイコットで出場は出来なかった。；私が仏英和高等女学校の小学部の六年になった時、妹の杏奴が同じ幼稚園に入ることになった。；スラング辞典はべつとして、ふつうの英和には出ていないのが多い。；峰村英和がさっぱりした味覚の白ワインを持参してきたのも、彼女のそうした好みを知っているからに違いない。</t>
        </is>
      </c>
      <c r="J862">
        <f>HYPERLINK("https://www.weblio.jp/content/英和", "词义详情")</f>
        <v/>
      </c>
      <c r="K862">
        <f>HYPERLINK("https://yourei.jp/英和", "查看例句")</f>
        <v/>
      </c>
    </row>
    <row r="863">
      <c r="A863" t="inlineStr">
        <is>
          <t>ええ</t>
        </is>
      </c>
      <c r="B863" t="inlineStr">
        <is>
          <t>成功</t>
        </is>
      </c>
      <c r="C863" t="inlineStr">
        <is>
          <t>［感］
１肯定・承諾の意を込めて応答するときに発する語。はい。「—、一緒に帰りましょう」
２話の始めや途中で、すぐ言葉が出ないときに発する語。ええと。「—、なんと申しますか」
３驚き・不審などを感じたときに発する語。えっ。「—、人が殺されたんですって」
４怒ったりいらだったりしたときに発する語。「—、めんどうだ」</t>
        </is>
      </c>
      <c r="D863" t="inlineStr">
        <is>
          <t>ええやろ；ええとこ；ええええ；ええ加減；ええまあ</t>
        </is>
      </c>
      <c r="F863" t="inlineStr">
        <is>
          <t>方がええ；ほうがええ；ノラええ；どうでもええ；夫人ええ</t>
        </is>
      </c>
      <c r="G863" t="inlineStr">
        <is>
          <t>ええん；ええじゃないか；ええねん；ええんや；ええやん</t>
        </is>
      </c>
      <c r="H863" t="n">
        <v>29</v>
      </c>
      <c r="I863" t="inlineStr">
        <is>
          <t>ぼくはそんなに不信用なんですかと聞くと、ええと言って笑っている。；ええ、お屋敷の屋根から落ちたって、何も声をあげたりしないんだから!；大阪で働くいう気いがあるのんやったら、僕とこでなにしてもええぜ。；女子ええ、ええ私共二人はいつまでも一緒に居ることが出来ますとも。；それはそれでええとして、青年の方が令嬢を朝早く迎えに行ったいうんは?；向う側の椿が眼に入った時、余は、ええ、見なければよかったと思った。；たとい又何であるにしたかて話してええことと悪いこととあるやないか。；どけえ逃げやがったか、はええところ眼をつけておくんなせえまし!；もう少し熟さしてからの方がええと思ふやうな葉まで採つてしまふんぢや。；だいたい発足した時から、遠いがええかとわしは念を押したはずだ。；妙念 ええどんな顔をしていた、お前はそれからどうしたのだ。；ええ、私は悪魔主義者ではないので、私たちの音楽には絶対に入れません。；労働者の味方なんかせんで、もっと自分のことを考えるがええよ。；「ええ、まだハンストをやっていますよ」 と、別の警察の人が言った。；そこで皆さんがやらなかったのです、ええと、夫れから最う一つあります。；分らないながらただへええと受けていると、叔母はすぐ後を話した。；もう直き結婚しやはる人が、自活の方法講じんかてええやありませんか。；ガル博士 ええ、ロボットは肉体的な痛みを実際に感じることはありません。；午後の二時に東京駅で待っているよ、と言うと、また、ええとうなずく。；ええ、他の仁にはまずとにかく、私だけにはまったくでございました。；そんな、あんたのいうように清い恋やったら交際してもええやないか。；貫一さんが又容してくれやうとも、ええ、どうせ私は思ひは致しません。；「ええ、ぼくはごくじょうぶです」 こうわたしはびっくりして答えた。；ええ、それはあいつらのことですから、やりかねないことでございますよ。；「ええ、そうです」 私はそう答えて、彼のほうに椅子を押しやりました。；僕は顔を真赤にして「ええ」と白状するより仕方がありませんでした。；第2回の「ええもんみせたろか」は、原作が刊行される前に放映された。；アメリカ人が無理やったら、フランス人でもええし、ドイツ人でもええ。；「ええ」 彼女の返事はいつもの通り簡単でそうして落ちついていた。</t>
        </is>
      </c>
      <c r="J863">
        <f>HYPERLINK("https://www.weblio.jp/content/ええ", "词义详情")</f>
        <v/>
      </c>
      <c r="K863">
        <f>HYPERLINK("https://yourei.jp/ええ", "查看例句")</f>
        <v/>
      </c>
    </row>
    <row r="864">
      <c r="A864" t="inlineStr">
        <is>
          <t>ええと</t>
        </is>
      </c>
      <c r="B864" t="inlineStr">
        <is>
          <t>成功</t>
        </is>
      </c>
      <c r="C864" t="inlineStr">
        <is>
          <t>［感］次に言う事柄や言葉を考えているときに発する語。「—、なんだったかな」</t>
        </is>
      </c>
      <c r="D864" t="inlineStr">
        <is>
          <t>ええとそれから；ええと思；ええとそうして</t>
        </is>
      </c>
      <c r="E864" t="inlineStr">
        <is>
          <t>えーっと；そうさな</t>
        </is>
      </c>
      <c r="H864" t="n">
        <v>29</v>
      </c>
      <c r="I864" t="inlineStr">
        <is>
          <t>ええと、なんでございましたら、車でその辺をご案内いたしましょうか?；ええと、あれは月曜日の晩ですから、まだたった二日にしかなりません。；ええと、それは親にも兄弟にも感じたことがない気持ちでしょうね。；危険があっても儂の手術を受けて死ぬのならええと、向うの方が熱心なのや。；ええと、これから捜査会議をするから指示があるまで外出はしないで。；森成さんはええと答えたばかりで、別にはかばかしい返事はしなかった。；ええと、わたしが持っていくその伝言は、重要なものなのでしょうか?；ええと、どう言えばいいのでし一度か言われたことがあります。；机の隣にゐる男が「ええと、今年は昭和何年でしたかしら」と私に訊ねる。；自分さえよかったら他人はどうなってもええと考えとる人間はこの会場にひとりもおらんはずや。；われわれはここから、ええと三十二光年以上はなれたある惑星にゆくべきだと。；ええと、どこかに系図を書いておいたんだけど分らなくなっちゃった。；ええと、話をきけば、君は警官だそうだから、警視総監にしてあげよう。；ええと、この筒をつないだようなのが月飛行モジュールというんですね。；ポンド君にシリング君に、ええとそれから下のやつはなんといいましたかな?；ええと、なんだっけ、何のために降りる者を当てようとしたんだったかな。；できたばかりの小さな会社らしくて、ええと株式会社エヌ・ユー・エイチ。；ええと、仕方ない、そんならまあ私の作った花でも見て行って下さい。；ええと、ほかには誰か、アーサー・ウィーズリー氏はご存知でしょうな?；「ええと」どうしようかと思い、「今日が初めてなんです」と答えた。；ええとそれで、青騎士伯爵の子孫も、そういう能力が薄くなってるんだよ。；野良に出てるみんなの者に、もう戻るがええと知らして下さるためだ。；ええと、金属に関係ある名前だと聞いたな、あんたならゴールドか。；ええと、この写真の子なんですけど、ここのスタジオに出入りしてるのを見たことありませんか?；ええと、場所はよくわからないけど、たぶんソロモン諸島のどこかに接近中。；それやったら少しくらい嫁の仕事も手伝ったらええと思いまへん?；「ええと、空きはないみたいですねえ」 書類に目を通し、講師は言った。；ええと、三本ある滝のうちの、向かっていちばん左側だったかな?；つまり直弟子の、ええと慧行だとかがまだ生きているうちですね。</t>
        </is>
      </c>
      <c r="J864">
        <f>HYPERLINK("https://www.weblio.jp/content/ええと", "词义详情")</f>
        <v/>
      </c>
      <c r="K864">
        <f>HYPERLINK("https://yourei.jp/ええと", "查看例句")</f>
        <v/>
      </c>
    </row>
    <row r="865">
      <c r="A865" t="inlineStr">
        <is>
          <t>笑顔</t>
        </is>
      </c>
      <c r="B865" t="inlineStr">
        <is>
          <t>成功</t>
        </is>
      </c>
      <c r="C865" t="inlineStr">
        <is>
          <t>読み方：えがお
にこにこと笑った顔。笑い顔。</t>
        </is>
      </c>
      <c r="D865" t="inlineStr">
        <is>
          <t>笑顔で迎え；笑顔でこう</t>
        </is>
      </c>
      <c r="E865" t="inlineStr">
        <is>
          <t>笑い；微笑；笑み；笑；にっこり</t>
        </is>
      </c>
      <c r="F865" t="inlineStr">
        <is>
          <t>いい笑顔；優しい笑顔；無邪気な笑顔；にこやかな笑顔；爽やかな笑顔</t>
        </is>
      </c>
      <c r="G865" t="inlineStr">
        <is>
          <t>笑顔をみせて；笑顔の花；笑顔のかたち；笑顔のまんま；笑顔のゲンキ</t>
        </is>
      </c>
      <c r="H865" t="n">
        <v>29</v>
      </c>
      <c r="I865" t="inlineStr">
        <is>
          <t>いつも頭に付けているひまわりと明るい笑顔が特徴的な女子高生である。；しかし実の笑顔は見られないまま、実は遠くの街の病院に入院してしまう。；さらに表情を認識して、笑顔を確認したら自動で撮影する機能もある。；笑顔を大切にし、チームの誰よりもベンチで声を出して選手を鼓舞する。；標準の笑顔ではないミニフィグが採用されたのはこれが初めてである。；世界中の悲しんでいる人に笑顔と希望を届けるため終止符を求めている。；笑顔には、自然な笑顔と不自然な笑顔があると指摘されることがある。；この頃には、トレードマークであった笑顔もあまり見られなくなっていた。；演技が終わった後の大きなガッツポーズと笑顔がファンに強い印象を残した。；その笑顔を見て、零治は次のパーティには美咲を連れていくと決意する。；樹里が見えるリンゴちゃんと公園で遊んで笑顔をくれた神様に感謝する。；青年の最期のメッセージを思い出した沙良はふと笑顔を取り戻していた。；陳発科は笑顔で応じ、雷台に上がると李剣華にかかってくるよう促した。；このシーンはユーモアを活かすため底抜けに明るい笑顔で描かれている。；読者視聴者の妄想像に応えるために笑顔を見せる仕事となることも多い。；しかし、いつも笑顔の一には誰も予測出来ない秘められた過去が存在した。；アニメでその際に笑顔でアテナと兄の名を呼んで散るという追加がされた。；クリア戦が終わった後はわずかな笑顔を見せてまたどこかへ旅立って行った。；シングルでは初めてレコードジャケットに笑顔の写真が使用された。；イギリスから帰国の度に、笑顔バスに同伴して幼稚園などを訪問している。；振袖姿の女性6人が母親や祖母たちに付き添われて笑顔を見せていた。；そうだこのドレスは女の子を笑顔にするために作っていたんだ。；ワインが優勝したときの家族やチームのメンバーの笑顔を見ることが大好きである。；彼はロボットの悪質な笑顔が好きであり、それをビュッセマに見せた。；母親いわく「生まれて3日目で看護師さんを笑顔にさせていた」という。；また、グラウンドでは一切笑顔を見せない独特の風格に人気があった。；また笑顔のように頬まで大きく割けた口と、そこに生えた鋸状の牙が特徴。；テムジンの心の支えは子供たちの笑顔であり、その夢は子供たちの幸福である。；諸隊側の資料には、解隊を了承した為、使者は笑顔で帰ったとの記述がある。</t>
        </is>
      </c>
      <c r="J865">
        <f>HYPERLINK("https://www.weblio.jp/content/笑顔", "词义详情")</f>
        <v/>
      </c>
      <c r="K865">
        <f>HYPERLINK("https://yourei.jp/笑顔", "查看例句")</f>
        <v/>
      </c>
    </row>
    <row r="866">
      <c r="A866" t="inlineStr">
        <is>
          <t>描く</t>
        </is>
      </c>
      <c r="B866" t="inlineStr">
        <is>
          <t>成功</t>
        </is>
      </c>
      <c r="C866" t="inlineStr">
        <is>
          <t>読み方：えがく
［動カ五（四）］
１物の形を絵や図にかき表す。「田園の風景を—・く」
２物事のありさまを文章や音楽などで写し出す。描写する。表現する。「下町の生活を—・いた小説」
３物事のありさまを心に思い浮かべる。「夢に—・く」
４物の動いた跡が、ある形をとる。「波紋を—・く」
[可能]えがける</t>
        </is>
      </c>
      <c r="D866" t="inlineStr">
        <is>
          <t>描くべき；描く丸妻</t>
        </is>
      </c>
      <c r="E866" t="inlineStr">
        <is>
          <t>表現；示す；記述；書く；描写</t>
        </is>
      </c>
      <c r="F866" t="inlineStr">
        <is>
          <t>描くミステリー長編；描く青春群像劇；描く一代記ドラマ；描く中国歴史ドラマ；描くコメディタッチ</t>
        </is>
      </c>
      <c r="H866" t="n">
        <v>29</v>
      </c>
      <c r="I866" t="inlineStr">
        <is>
          <t>描きたい対象を強調してわかりやすく表現することを目的としている。；ところが作品の現実のなかでは、描こうとする対象に足をとられすぎた。；床に置いて描くことはインディアンの砂絵の影響などによると言われる。；学校では勉強をしながらも、動物や自然などの様々な絵を描いていた。；キリスト教美術においてはモーセは通常老人の姿に描かれることが多い。；その結果、漫画を描いた背景には「アニメ化されたから」と答えている。；画像は14世紀の模本でアジア・アフリカ・ヨーロッパが描かれている。；この頃は、武術よりも漫画に興味を持ち、自分で漫画を描くほどだった。；川と子供を描く作家として注目を浴び、確かな自然観が支持されている。；まるで自分が描こうとしていた絵の中に入ってしまったかのようだ。；不出来でも何でも、とにかく自分の絵を描こうとしているように見える。；さらに船首には鳥の頭や怪獣の絵を描き、川の神への魔よけとしている。；最も単純な方法は、観測できた天体の等高度円を地球上に描くことである。；地蔵菩薩を描いた絵画なども伝わっており、画才にも優れた人物だった。；作中には関東地方及び神奈川県を舞台とするような描写が描かれている。；多くは小説の進行に伴って、主人公およびその周辺の人物の成長が描かれる。；このような観点に立って、昭和文学の一側面を描こうと思うのである。；そのため彼は、基本的に絵の研究をするためにこれら自画像を描いていた。；未完成のこの作品には、多くの人々に囲まれた聖母子が描かれている。；その小説の多くはヨーロッパに住んでいるか旅しているアメリカ人を描いている。；この作家は、自分の肉体のふれたものでなくては、描こうとしなかった。；紙幣表面は窓や門が描かれているのに対して、裏面は橋が描かれている。；他のエンタープライズとは異なり、航行する様子が描かれたことはない。；これによって、他のブーメランにはない複雑な軌道を描くことができる。；有人宇宙飛行を描いた切手が発行されるのはこれが初めてのことであった。；コミック化の際に作品解説として数ページが新たに描き下ろされている。；家族に向けた手紙には地図を描いて送り、学んだことをフランス語で記録した。；描こうと思っても、どんなのかわからないから描きようもなかったの。；これにはキリストの昇天とイエスの生涯から10の場面が描かれている。</t>
        </is>
      </c>
      <c r="J866">
        <f>HYPERLINK("https://www.weblio.jp/content/描く", "词义详情")</f>
        <v/>
      </c>
      <c r="K866">
        <f>HYPERLINK("https://yourei.jp/描く", "查看例句")</f>
        <v/>
      </c>
    </row>
    <row r="867">
      <c r="A867" t="inlineStr">
        <is>
          <t>駅</t>
        </is>
      </c>
      <c r="B867" t="inlineStr">
        <is>
          <t>成功</t>
        </is>
      </c>
      <c r="C867" t="inlineStr">
        <is>
          <t>読み方：うまや
律令制で、諸道の30里（約16キロ）ごとに置かれた施設。駅馬を置き、駅使に食料・人馬を供する駅長・駅子(えきし)がいた。財源として駅田が給与された。えき。→駅(えき) →駅制</t>
        </is>
      </c>
      <c r="D867" t="inlineStr">
        <is>
          <t>駅である(15%)；駅周辺(2%)；駅業務；駅付近；駅裏</t>
        </is>
      </c>
      <c r="E867" t="inlineStr">
        <is>
          <t>停車場</t>
        </is>
      </c>
      <c r="F867" t="inlineStr">
        <is>
          <t>主要駅；両駅；簡易委託駅；常備駅；分岐駅</t>
        </is>
      </c>
      <c r="G867" t="inlineStr">
        <is>
          <t>駅間；駅前；駅名；駅員；駅構内</t>
        </is>
      </c>
      <c r="H867" t="n">
        <v>29</v>
      </c>
      <c r="I867" t="inlineStr">
        <is>
          <t>このような駅の場合、JRの乗車券類の発売に制限が生じる場合がある。；一部駅では旧オリジナル発車メロディを現在も引き続き使用している。；これは東西線の西端駅でJR東日本と共同使用する中野駅も同様である。；かつては駅周辺に遊園地が存在していたが、現在は住宅地になっている。；電話やインターネットでの予約も可能だが換券は駅などで行う必要がある。；また駅ビル内や駅ビル脇の通路からは湘南モノレールの駅に通じている。；開業当時、代々木村に駅がなく人口が多かったことが背景と見られる。；この先百合ヶ丘駅手前まで津久井道と歩道一つを挟んで完全に並行する。；再開発前から駅と行幸道路の間では、駅行と駅発のバスが別の道路を通る。；現在の駅はその先の上り勾配の途中にあり、駅のすぐ西側はトンネルである。；しかし一部の主要駅では一世代前のものが使われている駅もある。；他にも、駅到着時の接続列車の案内などは従来通り肉声放送で行われている。；藤沢駅は市役所等行政施設の最寄り駅であり、市の中心となる駅である。；中小私鉄は主にJRの駅から離れた都市とJR駅を結ぶ役割のものが多い。；この区間は互いに隣同士の駅が見えるほど駅間距離が短い。；一部の駅の出札窓口でも専用の処理機を使う事で利用することができた時期もある。；このほか、駅の名称が新宿区に関係している駅がいくつか存在する。；設備改良の主な内容の始まった駅とその年は次の通り。；なお、ICOCAエリア内の以下の駅では駅構内でチャージができない。；また、通常時には入場券のような同一駅での入・出場はできない。；旧仙台藩と旧盛岡藩との旧・藩境を越えて新幹線駅併設の北上駅に入る。；これらは阪神の駅だけではなく、阪神甲子園球場にも設置されている。；この駅から西へ向かって運行が再開されたのは、1989年になってからである。；これは同線の駅の多くがJR型配線であるためその識別であると思われる。；西武鉄道では一部の駅をのぞいて独自の発車メロディを使用している。；この案では東京駅付近へ駅の設置も検討するとされている。；このホームが使用される際のみ、原宿駅は運転取扱駅へと一時的に昇格する。；ただし、一部の駅ではオレンジカード対応券売機が設置されていない。；井の頭線で唯一戦後に開業した駅であり、最も新しい駅でもある。</t>
        </is>
      </c>
      <c r="J867">
        <f>HYPERLINK("https://www.weblio.jp/content/駅", "词义详情")</f>
        <v/>
      </c>
      <c r="K867">
        <f>HYPERLINK("https://yourei.jp/駅", "查看例句")</f>
        <v/>
      </c>
    </row>
    <row r="868">
      <c r="A868" t="inlineStr">
        <is>
          <t>駅員</t>
        </is>
      </c>
      <c r="B868" t="inlineStr">
        <is>
          <t>成功</t>
        </is>
      </c>
      <c r="C868" t="inlineStr">
        <is>
          <t>読み方：えきいん
鉄道の駅の従業員。</t>
        </is>
      </c>
      <c r="D868" t="inlineStr">
        <is>
          <t>駅員配置駅(3%)；駅員さん；駅員たち；駅員室；駅員不在</t>
        </is>
      </c>
      <c r="F868" t="inlineStr">
        <is>
          <t>若い駅員；日中のみ駅員；駅員配置時間帯</t>
        </is>
      </c>
      <c r="G868" t="inlineStr">
        <is>
          <t>駅員無配置駅</t>
        </is>
      </c>
      <c r="H868" t="n">
        <v>29</v>
      </c>
      <c r="I868" t="inlineStr">
        <is>
          <t>駅員は言って、その朝に自分がこの駅から警察を呼んだのだと説明した。；開業当初は駅員が配置されていたが、戦後間もなく無人駅となっている。；駅員募集は毎年のように行われており、数多くの人数を受け入れている。；両ホームの行き来は出来ず必要がある時は駅員への連絡が必要となる。；二人は隅のほうへ彼を連れて行き、駅員には聞こえないくらいの声で言った。；昼間帯のみの駅員配置だった時期もあるが、現在は終日配置となっている。；考えがそこまで及んだ時、事務室のドアが開き、若い駅員が顔を出した。；改札口は普段は閉められており、電車が来た時に駅員が開けて改札する。；しかし駅員は、特にいやそうな響きを声に含ませることなく答えた。；利用客は少ないが終日駅員が配置されており運転扱いも行われている。；発車標や自動放送の設備は無く、列車の案内は駅員が放送で案内する。；改札階とホームの間のフロアは駅員の宿泊施設およびその他設備がある。；開業当初は駅舎があり、駅員も配置されていたが、すぐに無人駅となった。；駅は田んぼの中にあったが、配置された駅員が駅舎で切符を販売した。；駅舎にはかつて駅員が配置されていたが、現在は無人化されている。；新井駅が管理しており、えちごトキめき鉄道の駅員は配置されていない。；ホームに出てきた駅員も、のんびりしたムードで水撒きなどをしている。；駅舎の二階はもともとが駅員宿舎で、黒金夫婦はそこで寝起きしている。；当駅では列車の分割併合があり、そのための駅員が配置されていた。；大野祭りなどのイベントが開催される際には臨時に駅員が配置される。；じつはそのことが、若い駅員の間で話題になっていたのだというのだ。；その際に警察の捜査で、駅員は犯人の男性としてある水兵の写真を選んだ。；かつては下り列車の一部が折り返しており駅員が配置されていた。；また、駅員がホームに終日待機し乗換放送やホームの監視を行っている。；使用当日に駅員か券売機で購入するのが条件で、車内での購入はできない。；シアーズは他の駅員にこの腕時計を儲けがでる程度の低価格で販売した。；南改札側のみ駅員が配備されているほか、エレベーターが設置されている。；わたしが、列車の行先を駅員にきいている、ほんのわずかな間のことです。；また監視に集中することから、車掌と駅員の間での敬礼は行われない。</t>
        </is>
      </c>
      <c r="J868">
        <f>HYPERLINK("https://www.weblio.jp/content/駅員", "词义详情")</f>
        <v/>
      </c>
      <c r="K868">
        <f>HYPERLINK("https://yourei.jp/駅員", "查看例句")</f>
        <v/>
      </c>
    </row>
    <row r="869">
      <c r="A869" t="inlineStr">
        <is>
          <t>液晶</t>
        </is>
      </c>
      <c r="B869" t="inlineStr">
        <is>
          <t>成功</t>
        </is>
      </c>
      <c r="C869" t="inlineStr">
        <is>
          <t>読み方：えきしょう
液体と結晶との中間状態にある物質。液体の流動性と結晶の規則性とをあわせもち、光学的異方性を示す。透明な電極で挟んで、時計・パソコン・テレビ・携帯電話などの画面表示に用いる。液状結晶。</t>
        </is>
      </c>
      <c r="D869" t="inlineStr">
        <is>
          <t>液晶演出(3%)；液晶式(3%)；液晶上；液晶分子；液晶搭載</t>
        </is>
      </c>
      <c r="F869" t="inlineStr">
        <is>
          <t>tft液晶；型液晶；モノクロ液晶；qvga液晶；igzo液晶</t>
        </is>
      </c>
      <c r="G869" t="inlineStr">
        <is>
          <t>液晶画面；液晶テレビ；液晶パネル；液晶モニター；液晶表示</t>
        </is>
      </c>
      <c r="H869" t="n">
        <v>29</v>
      </c>
      <c r="I869" t="inlineStr">
        <is>
          <t>雑誌等では、大きな顎が液晶上を被っているが通常時は格納されている。；目の部分にはペーパー液晶が採用され喜怒哀楽を表現することができる。；こちらも液晶出目や煽り演出等でガセ演出か否かを判断することになる。；命名は発見順になされており、液晶の状態を反映したものではない。；液晶に移行されたこともあり、発売期間が約半年間と短命でもあった。；その過程で、ダイドー独自枠や液晶を2台搭載した機種などを発売した。；ふと深谷の腕ですさまじい速さで明滅していた時計の液晶を思い出した。；液晶の保護ガラスは割れていたが、スイッチを押してみると電源は点く。；反射型は液晶が表示器として使用され始めた頃からの比較的古い技術である。；その他、サブ液晶にバックライトが付いていないことなどが挙げられる。；このバナナ液晶の拡がりは大きく、現在では欧米でも盛んになっている。；RCAの発表以前には、液晶の研究は日本では殆ど行われていない。；取り出して液晶を確かめると、そこに映るのは本名が半分不明の同級生。；変わったところでは『鉄拳R』の液晶演出部分の基板にも使われている。；カイラルな液晶を通過する光は、その回転に沿って偏光の向きが回転する。；液晶パネルの液晶部分に全く変更がなくても全体性能の改良が実現されるからである。；普段は液晶の左右に隠されているパトランプ役モノが搭載されている。；その間にも、液晶に表示された数字はまたひとつ小さくなった。；透過型液晶は後方からのバックライトの光の透過率を制御して映像を作る。；しかし、香奈はしばらくその液晶を見つめたまま何も言わなかった。；STN自体は液晶のモードの一つであるが、一般には表示方式と理解されている。；通常ルートに入った場合は液晶上に銀色または赤色の球が落ちてくる。；液晶の画面には、岩をかんで崩れるように落ちてくる滝が映っている。；テレビ画面に、液晶を用いたディスプレイを使用したテレビである。；大画面液晶と大容量のHDDを搭載した横置きに対応した本体が特徴の分離型モデル。；通常時は液晶出目に加えて背景でも内部モード状態や前兆期待度を示唆する。；先ほどの衝撃で、ゴーグル内の表示用集積液晶が破れてしまったのだ。；一方、李から液晶について教えを請われた際には、小林は断ったという。；また、同社の端末としては初となる「高色再現性液晶」を搭載している。</t>
        </is>
      </c>
      <c r="J869">
        <f>HYPERLINK("https://www.weblio.jp/content/液晶", "词义详情")</f>
        <v/>
      </c>
      <c r="K869">
        <f>HYPERLINK("https://yourei.jp/液晶", "查看例句")</f>
        <v/>
      </c>
    </row>
    <row r="870">
      <c r="A870" t="inlineStr">
        <is>
          <t>エキス</t>
        </is>
      </c>
      <c r="B870" t="inlineStr">
        <is>
          <t>成功</t>
        </is>
      </c>
      <c r="C870" t="inlineStr">
        <is>
          <t>《(オランダ)extract（抽出物、の意）から》
１薬物や食品の有効成分を水・アルコール・エーテルなどに浸して抽出し濃縮したもの。
２物事の最も本質的な部分。精髄。粋(すい)。エッセンス。</t>
        </is>
      </c>
      <c r="D870" t="inlineStr">
        <is>
          <t>エキスパンション；エキス寒天培地；エキスポート；エキス入り；エキス顆粒</t>
        </is>
      </c>
      <c r="E870" t="inlineStr">
        <is>
          <t>実；ポイント；心臓；核；本質</t>
        </is>
      </c>
      <c r="F870" t="inlineStr">
        <is>
          <t>麦芽エキス；植物エキス；胎盤エキス；plエキス；乾燥エキス</t>
        </is>
      </c>
      <c r="G870" t="inlineStr">
        <is>
          <t>エキスパート；エキスポ；エキスプレス；エキスパンドブック；エキスパートシステム</t>
        </is>
      </c>
      <c r="H870" t="n">
        <v>29</v>
      </c>
      <c r="I870" t="inlineStr">
        <is>
          <t>氷か冬のエキスでできているような黒衣の若者も、薬を探しにきたのだ。；植物や動物から絞り出す成分そのものを指してエキスと言う場合もある。；しかし最後に幼いルーが食べていた麦芽エキスが好物だったと判明する。；ただ悲しいことに、それが如何なる花のエキスだか彼自ら知らなかった。；つまりは、そのエキスみたいなもので、作りたいものが作れるのですよ。；食材の風味とエキスを含んだ油が美味とされ、具とともに油も食される。；伝統的な製法ではジュニパーのエキスを浸透させた藁の上で熟成させる。；日本でも、過去にはヒト胎盤由来のエキスを使った外用剤が使われていた。；たぶん毎夜の連続発射で一茶のエキスが薄かったためではあるまいか。；肉エキスにしても、この濃度はたとえば土壌中の濃度としては高すぎる。；それ故、副腎エキスには、治療薬としての大きな期待がかけられていた。；本作ではドラゴンボールの力ではなく人間の魂のエキスを集めて若返りに成功した。；これも、家内のために買つて来た肉汁のエキスと、葡萄入りのパンです。；この注射器にはいったエキスは、わたし以外の人間には未知のもの。；かつては日本でも、しもやけの薬として実から取れるエキスが使用された。；植物エキスには、フィトンチッドと呼ばれる植物成分が含まれている。；醗酵した塩水や醤油に様々な野菜エキスの混じった匂いが充満している。；以降はピッコロたちとの戦いを避けながら、人間の生体エキスを吸収していった。；ネズミの脳味噌のエキスと言ってもただのネズミじゃないんですよ。；やっぱりあのエキスのせいでいくらか味がよくなるのかな。；この植物の花から製造されるエキスは、中耳炎など耳の感染症の治療に効果的である。；空気のエキスもできていて、この皮内テストをしてみると、大きく赤く脹れた。；この副腎エキスには、強心作用と止血作用があることもわかっていた。；だから、文字どおり山羊の毛のエキスを飲むことになるわけである。；近年では梅エキスを使った健康食品やサプリメントの製造・販売にも進出している。；海外では、ヒト胎盤由来のエキスを使った外用剤が製造されている。；そこへ慌しくやつて来たのは力強の相撲好きのエキスであつた。；闇の魔力は魔法の生き物のエキスを使い、強力な力を使えるようにするものだった。；また、同研究所らは果皮エキスが糖化反応を抑制することも見出している。</t>
        </is>
      </c>
      <c r="J870">
        <f>HYPERLINK("https://www.weblio.jp/content/エキス", "词义详情")</f>
        <v/>
      </c>
      <c r="K870">
        <f>HYPERLINK("https://yourei.jp/エキス", "查看例句")</f>
        <v/>
      </c>
    </row>
    <row r="871">
      <c r="A871" t="inlineStr">
        <is>
          <t>液体</t>
        </is>
      </c>
      <c r="B871" t="inlineStr">
        <is>
          <t>成功</t>
        </is>
      </c>
      <c r="C871" t="inlineStr">
        <is>
          <t>読み方：えきたい
物質が示す状態の一。一定の体積をもつが、流動性があり、どのような形の器にも入るもの。→気体→固体</t>
        </is>
      </c>
      <c r="D871" t="inlineStr">
        <is>
          <t>液体状態；液体アンモニア；液体培地；液体化；液体メタン</t>
        </is>
      </c>
      <c r="E871" t="inlineStr">
        <is>
          <t>液；汁；流体；体液；液状</t>
        </is>
      </c>
      <c r="F871" t="inlineStr">
        <is>
          <t>赤い液体；黒い液体；液体状；白い液体；熱い液体</t>
        </is>
      </c>
      <c r="G871" t="inlineStr">
        <is>
          <t>液体酸素；液体水素；液体窒素；液体式；液体変速機</t>
        </is>
      </c>
      <c r="H871" t="n">
        <v>29</v>
      </c>
      <c r="I871" t="inlineStr">
        <is>
          <t>北極付近の湖や海に、大量の液体が存在していることが明らかになった。；しかし宇宙全体で見ると、実は液体の状態で存在している量は少ない。；いずれも液体状ではあるが、かなり粘性が高く流動性の低いものが多い。；ただし水面のような液体の表面は、表と裏の両方から接触可能である。；これは上行結腸では内容物がまだ液体であるからであると説明されている。；液体を入れておいたり、加熱したり、物を溶かしたりするのに使用する。；液体の状態で飛び散ると体の一部が床などに吸い込まれる危険がある。；世界各地でそれぞれ、液体を携行するための数々の工夫が行われていた。；液体の水が存在できるのはヘラス盆地など限られた場所のみである。；これらの液体を数年間保存して熟成させた後、使用することが多い。；またストローの太さは液体を汲み上げるために必要な吸引力の差を生む。；そのため、この液体が目に入ったり飲んだりすると一時的に痛みが出ることがある。；惑星内部にも液体状の構造が存在する可能性が示唆される。；核は地球の内核と外核のように、固体と液体に分離していると見られている。；この点が液体に酸素を溶かし込んで供給するシステムとの大きな違いである。；これはある時点の液体内の二体相関の空間的平均を表している。；触ると死んだ振りをして、この時に脚の関節から黄色い液体を分泌する。；従って、氷の下に液体の海が星全体に広がっていることでしか説明できないとしている。；空調の分野では、水などの液体を使ってある場所から別の場所へ熱を移動させる。；一方、固体から液体に変わる融点は気化ほど周囲圧力の影響を受けない。；ここで入場者は小型のインコにカップに入った液体の飼料を食べさせる。；常温で液体の油脂は油を指し、一方で脂肪と呼ぶとき固体のこともある。；このような種類の液体はトルートンの規則が成立しない例外となる。；また、内部に数千万年にわたって液体の水を保持することができる。；果肉はワインの主要な要素であり、液体の割合が最も高い部分である。；このようなさらなる加熱は液体の海をより長い時間存在することを可能にする。；この方法の大きな問題は液体フッ素の保存と外圧かけたときの放出である。；彼らは液体の水の存在下で生成される鉄や銅の硫化物を確認した。；また、液体状の物質しか摂らず、ある程度の体外消化を行うものも多い。</t>
        </is>
      </c>
      <c r="J871">
        <f>HYPERLINK("https://www.weblio.jp/content/液体", "词义详情")</f>
        <v/>
      </c>
      <c r="K871">
        <f>HYPERLINK("https://yourei.jp/液体", "查看例句")</f>
        <v/>
      </c>
    </row>
    <row r="872">
      <c r="A872" t="inlineStr">
        <is>
          <t>餌</t>
        </is>
      </c>
      <c r="B872" t="inlineStr">
        <is>
          <t>成功</t>
        </is>
      </c>
      <c r="C872" t="inlineStr">
        <is>
          <t>読み方：え
えさ。「小鳥の—」「生き—」</t>
        </is>
      </c>
      <c r="D872" t="inlineStr">
        <is>
          <t>餌やり；餌箱；餌生物；餌代；餌料</t>
        </is>
      </c>
      <c r="E872" t="inlineStr">
        <is>
          <t>飼料；好餌；誘惑物</t>
        </is>
      </c>
      <c r="F872" t="inlineStr">
        <is>
          <t>主な餌；生餌；餌を欲しがる；餌やり体験；餌漁り</t>
        </is>
      </c>
      <c r="G872" t="inlineStr">
        <is>
          <t>餌付け；餌場；餌取；餌付く；餌木</t>
        </is>
      </c>
      <c r="H872" t="n">
        <v>29</v>
      </c>
      <c r="I872" t="inlineStr">
        <is>
          <t>飼育下でも雑食性の種類は植物質と動物質の餌を適度に与えた方がよい。；その意味で霊長類も餌を要求するときなど相手の気を引く目的で手を叩く。；例えば、同じ地域に生息し、同じ餌を求める二種の動物があるとする。；動物が移動能力を持つのは、餌を取らなければならないからである。；定住型は主に魚を餌とし、大抵は十数頭の家族群を形成して生活する。；その周辺には、餌を取り込むための筋肉が発達しているのが通例である。；これに餌となる有機物を投入し、そこに生えてくる菌を探す方法である。；この索餌活動の日周期性は餌となる生物の活動時間帯と深い関連がある。；成虫の餌はマツの若い枝であり、材から脱出するとこれを食べに向かう。；餌を求めて1日に100キロメートル以上も移動することが知られている。；放し飼いされているところや、餌を与えたり触れたりできるところも多い。；この脚は餌をつかんだり、他の個体を排除したりするのに用いる。；ストレスは散歩やストレス解消の餌を与えることで下げることができる。；彼らの目は巨大だったので、薄暗い深い水の中で餌を探していた可能性が高い。；罠にかかった動物の肉や、餌として用いられていれば魚の肉も食べる。；餌を摂る量が落ちた時に与えるので、毎日飲ませているわけではない。；水中性のものは他の水生昆虫や魚、オタマジャクシなどを餌としている。；営巣時期以外は大きな群れをなし、耕作地で探餌行動をとることも多い。；多くのナマコがデトリタスを主な餌とし、触手でそれらを集めて食べる。；しかし狩人たちは牝熊が餌を探しに出かけている間に赤子を連れ去った。；これらは深海では懸濁物が少ないことで餌の範囲を広げたものと考えられる。；また奈良公園の鹿は餌をもらう際にお辞儀をすることでも著名である。；さらに口は開くと下を向き、湖底の餌をついばんで食べやすくなっている。；餌は数種類のコケであり、それらを与えることで飼育することもできる。；しかし、後者は餌を食べに出歩くと必ず同じ岩の表面の同じ箇所に帰ってくる。；隊列をなして餌運びをする働きアリの列の外側を、兵アリが守っている。；しかし、何らかのきっかけで紐を引くと扉が開き、餌をとることができる。；また、知能が高いため餌を食べるための複雑な過程をこなすことができる。；口に発達した硬質の口器はなかったため、餌は柔軟であったと推測される。</t>
        </is>
      </c>
      <c r="J872">
        <f>HYPERLINK("https://www.weblio.jp/content/餌", "词义详情")</f>
        <v/>
      </c>
      <c r="K872">
        <f>HYPERLINK("https://yourei.jp/餌", "查看例句")</f>
        <v/>
      </c>
    </row>
    <row r="873">
      <c r="A873" t="inlineStr">
        <is>
          <t>会釈</t>
        </is>
      </c>
      <c r="B873" t="inlineStr">
        <is>
          <t>成功</t>
        </is>
      </c>
      <c r="C873" t="inlineStr">
        <is>
          <t>１応対すること。あつかい。もてなし。「ひどい—を受けた」
２組み合わせて趣を添えること。また、そのもの。取り合わせ。「—にパセリを添える」
３（「会釈」とも書く）芸能の型。また、手法。
㋐能で、相手役に向き直って応対する型。
㋑能の囃子(はやし)の一。
㋒狂言に奏する囃子。狂言アシライ。
㋓長唄で、間拍子(まびょうし)に合わせて、自由な形で即興演奏する手法。
４連句の付合(つけあい)手法の一。前句の事物を取り入れた付け方。→七名八体(しちみょうはったい)</t>
        </is>
      </c>
      <c r="D873" t="inlineStr">
        <is>
          <t>会釈する(8%)；会釈し合う；会釈しあう</t>
        </is>
      </c>
      <c r="E873" t="inlineStr">
        <is>
          <t>理解；わかる；挨拶；同情；分かる</t>
        </is>
      </c>
      <c r="F873" t="inlineStr">
        <is>
          <t>小さく会釈；軽い会釈；かるく会釈；黙って会釈；まま会釈</t>
        </is>
      </c>
      <c r="H873" t="n">
        <v>29</v>
      </c>
      <c r="I873" t="inlineStr">
        <is>
          <t>そのつど、相手もこちらを知っているかのような顔で会釈を返してきた。；それでたちまちファブリツィオは会釈してもいいのだと思ってしまった。；そして前を通るとき、ちょっと少年に会釈をして自分の椅子に腰を下した。；これだけ幾度も会釈をされているというのに無視していた格好になる。；遠慮も会釈もなしに伸びをするこの生命の力は見て美しいものである。；黙って会釈をしたが、それ以上顔を見合わしかねて身動きもしなかった。；それから三歩ばかり手前に来たときもう一度会釈して、大声に挨拶した。；支那服で祭壇に立ってはじめて私の顔を見て一寸かすかに会釈しました。；おれが小さく会釈すると、男は部屋に引っ込んでドアをバタンと閉じた。；そして店の者一同へ鷹揚な会釈をあたえながら奥へ案内されて行きました。；たゞ美奈子の顔を、外ながら知っている二三人が軽く会釈した丈だった。；だが菊岡は意外な豪胆さを発揮し、ぺこりと会釈しただけで話を続けた。；行き交う人たちの中にも、この老人に会釈する者はごく稀だったから。；会釈する妹を横眼にじろりと視たばかりで、師冬は無言で奥へ通って行った。；彼のことを覚えていた彼女は、ごく軽く会釈し奥へ入っていった。；達也は友人たちに目配せして席を立ち、真由美に向かって軽く会釈した。；事実、そのうちの一人と目が合ったので会釈したのだが、何の反応も示さない。；たゞ美奈子の顔を、外ながら知つてゐる二三人が軽く会釈した丈だつた。；侯爵夫人はボンフォン氏にばかにしたような会釈をすると、出ていった。；それがおれの顔を見ると、媚の多い眼を挙げて、慇懃におれへ会釈をした。；さっきから半九郎がそこにいるのを知りながら、彼は何の会釈もしなかったのである。；彼は会釈をしてから、確かに少し間が悪そうに食事をはじめた。；思うほどの会釈もならないうちに余は早く釣台の上に横えられていた。；男は大様に会釈したが、その儘私共が歩いて来た道の方へ行ってしまった。；律之助が振返ると、しなびたような老人が立っていて、彼に会釈をした。；「おまえさんがお師匠さんでございますか」と、女は改めて会釈した。；僧はほとんど顔が帯にくっつくくらい丁寧な会釈をしてから、こう言った。；彼は鳥打帽子に手をかけて私たちに会釈すると、隣のテーブルに腰をおろした。；アリスが初対面のように会釈すると、フィールデンがそばに来て尋ねた。</t>
        </is>
      </c>
      <c r="J873">
        <f>HYPERLINK("https://www.weblio.jp/content/会釈", "词义详情")</f>
        <v/>
      </c>
      <c r="K873">
        <f>HYPERLINK("https://yourei.jp/会釈", "查看例句")</f>
        <v/>
      </c>
    </row>
    <row r="874">
      <c r="A874" t="inlineStr">
        <is>
          <t>エステ</t>
        </is>
      </c>
      <c r="B874" t="inlineStr">
        <is>
          <t>成功</t>
        </is>
      </c>
      <c r="C874" t="inlineStr">
        <is>
          <t>「エステティック2」の略。</t>
        </is>
      </c>
      <c r="D874" t="inlineStr">
        <is>
          <t>エステ大公(5%)；エステ嬢(3%)；エステiqサプリ(3%)；エステファン；エステ辺境伯</t>
        </is>
      </c>
      <c r="F874" t="inlineStr">
        <is>
          <t>中国エステ；フェイシャルエステ</t>
        </is>
      </c>
      <c r="G874" t="inlineStr">
        <is>
          <t>エステート；エステ家；エステル結合；エステバン；エステル化</t>
        </is>
      </c>
      <c r="H874" t="n">
        <v>29</v>
      </c>
      <c r="I874" t="inlineStr">
        <is>
          <t>ちーちゃんの勧めでエステに来たが実は予定と違う場所の店に来ていた。；家から一キロ離れたエステに行こうとする時、私はスッピンで家を出る。；東京・新橋の中国エステ店で私についたのが、実は蒙古族の女性だった。；待合室に出ていたエステ嬢は、私についたアモイの女が一人だけだった。；私さあ、エステなんかしたの何年かぶりだけど、気持ちよかったよねえ。；美容室やエステに行くときは汚れてもいいように専用の服がある。；ガラス張りの店の入口にある看板には「韓国式エステ」と書かれている。；大人になり、お金が出来てまずしたことはエステでやる脱毛ですね。；怒羅権はこのエステにも『面倒見てやるから金を出してくれ』と言ってきた。；エステの広告か何かだろうと紗織は無視したが、康子は手を出した。；エステに行くのに男を連れていく人はいないであろう。；イヴの日はエステに行き、一時間半もみっちりとお手入れをしてきたのだ。；ブランドショップもエステも結婚前の若い子に占拠されている日本とは大違いだ。；十一時を過ぎたころ、隣りのベッドに寝ていたエステ嬢が起きてきた。；エステのヤクザは、横山社長は「恨みを買っていたんや」と話している。；エステは、マッサージなどを中心としたサービスを行う店舗である。；これに懲りてお金を貯めエステに通った結果、足の毛はようやくなくなった。；エステへ行っても、まだ若くスリムな女の子が、全身コースを選んでいる。；ジムやエステに通うのは面倒だが、お風呂なら毎日入るのも苦にならない。；今村は、自分が通っている風俗店もエステと同じようなものだと嘯いていた。；それは都心のビルの中にオープンしたばかりの店で、大手の大衆的エステではない。；先の女子学生のように歌舞伎町のエステで働くケースは稀である。；デビュー以前はエステ系の仕事に従事していた。；また男子従業員がいるふうでもなく、エステ嬢二人が様子を見に顔を見せただけだった。；痩身や脱毛をはじめとした、全身の美容、すなわちエステを目的とした店。；これのせいで、背中が開いた服は着られないし、温泉にもサウナにもエステにも行けない。；高校生ぐらいの男の子ならみんなレズビアンエステ、って興味を持つの?；たまたまエステで盗み聞きしたヤクザの話は、ほとんど事実から外れていない。；乙武クンと食事をしたのは、エステ・マシンを使い出してちょうど一週間目だった。</t>
        </is>
      </c>
      <c r="J874">
        <f>HYPERLINK("https://www.weblio.jp/content/エステ", "词义详情")</f>
        <v/>
      </c>
      <c r="K874">
        <f>HYPERLINK("https://yourei.jp/エステ", "查看例句")</f>
        <v/>
      </c>
    </row>
    <row r="875">
      <c r="A875" t="inlineStr">
        <is>
          <t>枝</t>
        </is>
      </c>
      <c r="B875" t="inlineStr">
        <is>
          <t>成功</t>
        </is>
      </c>
      <c r="C875" t="inlineStr">
        <is>
          <t>読み方：え
草木のえだ。「梅が—」「下—(しずえ)」
「槻(つき)の木のこちごちの—の春の葉の」〈万・二一〇〉</t>
        </is>
      </c>
      <c r="D875" t="inlineStr">
        <is>
          <t>枝先(2%)；枝ぶり；枝角；枝状；枝ごと</t>
        </is>
      </c>
      <c r="E875" t="inlineStr">
        <is>
          <t>小枝；ブランチ；樹枝</t>
        </is>
      </c>
      <c r="F875" t="inlineStr">
        <is>
          <t>楊枝；初枝；太い枝；細い枝；側枝</t>
        </is>
      </c>
      <c r="G875" t="inlineStr">
        <is>
          <t>枝分かれ；枝豆；枝道；枝雀；枝野幸男</t>
        </is>
      </c>
      <c r="H875" t="n">
        <v>29</v>
      </c>
      <c r="I875" t="inlineStr">
        <is>
          <t>節部では維管束が輪になり、それから枝へ入る維管束や葉跡が分出する。；それぞれの枝の先にフィアライドと呼ばれる分生子形成細胞が数個並ぶ。；外側核からの線維は顔面神経頬枝となって頬筋と頬唇筋を支配している。；森林の低木の枝先などに糸を引いてぶら下がっているのがよく見られる。；人に半裸になって手に枝を持ってもらい、趙公明の様子を演じてもらう。；そのような場合、それが葉であれば、枝との接点に芽があるはずである。；小さな木の枝のような姿の草もあるが、それとは異なった姿の植物も数多い。；足に鋭い爪があり、それを引っ掛けて木の幹や枝の上を走ることができる。；中柱は中ほどに短い枝を1本残しており、これは茶入袋掛けとなっている。；ヤードという言葉は、まっすぐな枝または棒が語源であるとされている。；樹木の上に木の枝や草の茎、樹木の細い根などを組み合わせた巣を作る。；球果と枝とを結ぶ柄についても長いものから短いものまで種類は様々である。；現在でも幹と枝だけになった白骨林の姿が山腹に広がっているという。；また、枝からの葉の付き方がモミとは若干異なっていることで識別できる。；生葉を利用するときは、必要に応じていつでも枝を切りとって収穫する。；万が一柄が破損、紛失しても現場の適当な木の枝や金属棒で代用できる。；多くの場合、枝先に葉が集中する傾向があり、単葉で車輪状に互生する。；成虫の餌はマツの若い枝であり、材から脱出するとこれを食べに向かう。；根元からも枝を出し、水に浸ったところからは根を下ろして株が増える。；胞子嚢柄が古くなると、途中の側面から小さい枝を出すこともある。；枝先の葉の付け根に、白、ピンク色など様々な花色の美しい花をつける。；なお、日本画で写生のために梅の枝とメジロを描くのとは意味が異なる。；先端部の分岐した枝の側面のあちこちに粒のような胞子のうをつける。；左脚には前枝と後枝がありその片方のみがブロックされることがある。；岩の中央には杉の枝、両側には松の枝という配置をすることが多い。；木の枝先などで小さな昆虫類・クモ類・木の実など、草の種子を食べる。；そこでこの祝日では、ナツメヤシなどのヤシ科の植物の枝が祝別される。；スプレイーとは先が分かれた枝との意味で、小枝の先に多数の花を付ける。；また冬には、枝先にやや黄色味を帯びた白い五弁の小花を咲かせる。</t>
        </is>
      </c>
      <c r="J875">
        <f>HYPERLINK("https://www.weblio.jp/content/枝", "词义详情")</f>
        <v/>
      </c>
      <c r="K875">
        <f>HYPERLINK("https://yourei.jp/枝", "查看例句")</f>
        <v/>
      </c>
    </row>
    <row r="876">
      <c r="A876" t="inlineStr">
        <is>
          <t>エチケット</t>
        </is>
      </c>
      <c r="B876" t="inlineStr">
        <is>
          <t>成功</t>
        </is>
      </c>
      <c r="C876" t="inlineStr">
        <is>
          <t>読み方：えちけっと
礼儀作法。</t>
        </is>
      </c>
      <c r="D876" t="inlineStr">
        <is>
          <t>エチケット違反(2%)；エチケット読本</t>
        </is>
      </c>
      <c r="E876" t="inlineStr">
        <is>
          <t>法；礼；礼儀；儀礼；作法</t>
        </is>
      </c>
      <c r="G876" t="inlineStr">
        <is>
          <t>エチケットブラシ；エチケットライオン</t>
        </is>
      </c>
      <c r="H876" t="n">
        <v>29</v>
      </c>
      <c r="I876" t="inlineStr">
        <is>
          <t>このエチケットを無視して関心を拡大するには特別な自信を必要とする。；名刺エチケットへのこの注意は、相手の敬意を示すことを意図している。；ポストの名声は1922年に最初のエチケットの本を出してからだった。；エチケットというのは、どこかやせ我慢に支えられているところがある。；だが作家は読者のことをもっと考えるのがエチケットというものだ。；私は、すべてのエチケットの基本は健康にありと考えている。；ここへ来てから『家庭ヘラルド』のエチケット欄を勉強してはいるけどさ。；現代青年のエチケットつて、あんな形式的なもんぢやないわ。；そういうエチケットがあるのかどうかは知らないが、そういうことを言われたのは初めてだったからである。；酒場でのエチケットも同様であり、一にも二にも健康である。；理由があったとはいえ、エチケットからすると私が悪い。；これはエチケット違反であり、宮廷の高位貴族たちの反発を買った。；考えて見れば、ドアノックなんて単なるエチケットなんですよね。；術者が表を見て下さいと言うまでは、表を見ないことが奇術家同士のエチケットです。；金のないのは仕方のないことだが、エチケットを守らないのは教養の不足だからである。；あの男の意見をきくわけにはいかないかな、エチケット上はどうかなという意味だが?；他人の道具に手を触れないのは、奇術家同士のエチケットだ。；それを外国流のエチケットだなどとは常識外れの発言である。；あちらの大学院に行ったことがあるらしいから、一応エチケットも心得ている。；客の顔に見覚えがあっても、知らぬふりをしているのがエチケットであり、サービスである。；年齢を問うのはエチケットに反するそうだから私は我慢をしたが、このころ二十八にはなっていたと思う。；ただそれを表現しないエチケットなのである。；彼女の後ろに身長の高い紳士が、エチケットの本のように、淑やかに立っていた。；この場合、エチケットは彼らに新年の挨拶も送らないことである。；女からそう言ってやるのは、男への思いやりであり、エチケットであると考えていたからである。；わたしは、思わずエチケットを忘れて叫びそうになった。；客に、お茶もふるまわないで帰しては、アラブ流のエチケットに反する。；だが今の彼にとって、エチケットはちっぽけな問題にすぎなかった。；ところで、おれは今ちょっとしたエチケットの演習をしてみようとおもう。</t>
        </is>
      </c>
      <c r="J876">
        <f>HYPERLINK("https://www.weblio.jp/content/エチケット", "词义详情")</f>
        <v/>
      </c>
      <c r="K876">
        <f>HYPERLINK("https://yourei.jp/エチケット", "查看例句")</f>
        <v/>
      </c>
    </row>
    <row r="877">
      <c r="A877" t="inlineStr">
        <is>
          <t>えっ</t>
        </is>
      </c>
      <c r="B877" t="inlineStr">
        <is>
          <t>成功</t>
        </is>
      </c>
      <c r="C877" t="inlineStr">
        <is>
          <t>［感］
１驚いたり、疑ったりしたときに発する語。え。「—、うそだろう」
２問い返すときに発する語。え。「—、何かおっしゃいましたか」
３力を入れるときに発する声。えい。
「そこ立って失せう、—」〈狂言記・絹粥〉</t>
        </is>
      </c>
      <c r="D877" t="inlineStr">
        <is>
          <t>えったら；えっへん；えっこない；えっこし；えっとぉ</t>
        </is>
      </c>
      <c r="F877" t="inlineStr">
        <is>
          <t>お許しえって下ん；甘えっ児；帰えってくる；えっとー</t>
        </is>
      </c>
      <c r="G877" t="inlineStr">
        <is>
          <t>えっちらおっちら；えってん；えっちゃん；えっさっさ；えっちゅう</t>
        </is>
      </c>
      <c r="H877" t="n">
        <v>29</v>
      </c>
      <c r="I877" t="inlineStr">
        <is>
          <t>俺と、結婚してくれえええええええええええええええええええええっ!；甘えっ児で、世の中は自分の都合どおりになるように思ってるんだもの。；これもみんな部屋代にへえってるんだぜ、まったく日本にいるみてえだ。；あっちの名前はやめてこっちの名前にしたほうがずえったいにいいですよ。；一口の生水は実に人間一匹の生命と取換えっこをしなければ得られない。；えっとですね、吸血種は傷を受けてもたいていは治癒してしまうんです。；誰もいい点を採ろうとして教えっこしたりしたのではなかったと思える。；えっと、見かけたことは見かけたけど、それだってきょうが初めてだよ。；愛する以上は命と取り代えっこをするくらいに愛せずにはいられない。；この植物は花と葉っぱの色を変えったり、根を強くしたりしてきた。；帰えって来る人が淋しいだろうと、電気をつけて、紫の布をかけておく。；「ああ、えっと、外の車の中です」鵜飼は玄関ホールの方を振り返った。；彼女と彼が「えっ」と声を発したのは、六人部の奇妙な体験の件である。；と、とととと突然なに言いだすんだおまえっ、それぐらい自分でとる!；「あの、ちょっと、言うことがあって来たんだけど」 えっ、何だろう。；しづ子がいつかえっても、おやつが食べられるようにしておいたのである。；さっき馬で出て行った男の子が鼻を鳴らしながら帰えって来た。；熱病にかかってなかったら、忠告どおりにした、と言うんだろう、えっ?；それで今度は、酋長の所へ案内してくれたまえっていうつもりなんでしょう?；えっと、何を言っているのかは本編を読んでいただければ分かると思います。；あ、えっと、守衛さんが、見たことがある顔だって言ったんでしょう。；「子供がいるのよ」 「えっ」 聖の予想通りの反応に、私は満足した。；途端に自分で混乱して、えっ、えっ、と間抜けた驚きの声を上げている。；せえったら、ばさまが気いつけてニンニクかめと云ってくれと云いました。；そして、それを知った時、私の心に思いがけない願いが甦えってきました。；えっとね、国道沿いに真っ直ぐ西に行くと、途中で川にぶつかるでしょ。；ええっとつまり、そいつは初めから物質化できる怪物だったってコト?；種牡馬「流月」が出現して、沈んだ周吉の家にふたたび笑いが甦えった。；だがな、あいつ腹の中じゃ支部なんてくそくらえって思ってやがるんだ。</t>
        </is>
      </c>
      <c r="J877">
        <f>HYPERLINK("https://www.weblio.jp/content/えっ", "词义详情")</f>
        <v/>
      </c>
      <c r="K877">
        <f>HYPERLINK("https://yourei.jp/えっ", "查看例句")</f>
        <v/>
      </c>
    </row>
    <row r="878">
      <c r="A878" t="inlineStr">
        <is>
          <t>閲覧</t>
        </is>
      </c>
      <c r="B878" t="inlineStr">
        <is>
          <t>成功</t>
        </is>
      </c>
      <c r="C878" t="inlineStr">
        <is>
          <t>読み方：えつらん
［名］(スル)書物・新聞・書類・ウェブページなどの内容を調べながら読むこと。「選挙人名簿を—する」「サイト—者」</t>
        </is>
      </c>
      <c r="D878" t="inlineStr">
        <is>
          <t>閲覧できる(14%)；閲覧する(14%)；閲覧室(11%)；閲覧可能(7%)；閲覧数</t>
        </is>
      </c>
      <c r="E878" t="inlineStr">
        <is>
          <t>読；検査；審査；検証；視察</t>
        </is>
      </c>
      <c r="F878" t="inlineStr">
        <is>
          <t>図書閲覧；空中写真閲覧；閲覧出来る；中央閲覧；館内閲覧</t>
        </is>
      </c>
      <c r="G878" t="inlineStr">
        <is>
          <t>閲覧履歴；閲覧制限；閲覧不能</t>
        </is>
      </c>
      <c r="H878" t="n">
        <v>29</v>
      </c>
      <c r="I878" t="inlineStr">
        <is>
          <t>パスワードなどもなく一般の人々が自由に閲覧できるようになっている。；こうした情報を得たくない場合は閲覧を中止することをおすすめします。；これに伴い、ガラス越しで放送中の様子を閲覧する事が可能となった。；一般閲覧室へ続く正面玄関ではなく、建物西側にある専用の入口から入る。；上記の他、イラスト等が閲覧できるギャラリーモードが搭載されている。；図書館・資料館では閲覧コーナーに投影機が備えられているケースが多い。；話題の出来事などについての情報を手軽に読める形で閲覧者に提供する。；誰でも閲覧が可能だが、一部登録メンバーのみが使用できるサービスもある。；また、将軍は評定会議には出席せず、決定事項を閲覧するのみであった。；これらの本は厳重に管理され、簡単に閲覧することはできないとされている。；こういった機能は後のデジタルカメラの閲覧ソフトに継承され発展していった。；ライプツィヒ館とフランクフルト館にそれぞれ大きな閲覧室が存在する。；ケータイ小説とは、携帯電話を使用して執筆し閲覧される小説である。；現在は市川の脚本の無料閲覧化などの資料保護活動も行っている。；ただし、閲覧環境によっては製作者の意図通りに表示されない可能性がある。；このブラケット脚本は出版されたことがないが、2箇所で閲覧可能である。；中には、閲覧変換以外に様々なサービスを行っているところもある。；合同練習室や音楽関係の書籍の閲覧ができる情報サロンも併設された。；同版をもとにボン大学が電子版を公開しており、ウェブ上で閲覧できる。；また本作では他国情報は忍者などを使わなくても自由に閲覧できる。；特定の環境に左右されずに全ての環境でほぼ同様の状態で文章や画像等を閲覧できる特性を持っている。；胎盤と臍帯の画像不快感を催す恐れがあるため閲覧にはご注意ください。；より多くの人々が単に閲覧するだけでなく書き込むことで参加するようになってきた。；新聞・雑誌・本などの閲覧、上野図書館からの書籍借り出しも許可された。；ある場所で、今まで見てきたスクリーンチャットを閲覧することもできる。；ホームページ上で権利上不可となる一部を除きその週の紙面が閲覧できる。；また螺旋階段が設置されており、それを使って上下の閲覧室に行くことができる。；閲覧は無料で、閲覧者の現在地に近い記事を表示する機能などがある。；取り寄せた資料は、指定された閲覧室で閲覧しなければならない場合もある。</t>
        </is>
      </c>
      <c r="J878">
        <f>HYPERLINK("https://www.weblio.jp/content/閲覧", "词义详情")</f>
        <v/>
      </c>
      <c r="K878">
        <f>HYPERLINK("https://yourei.jp/閲覧", "查看例句")</f>
        <v/>
      </c>
    </row>
    <row r="879">
      <c r="A879" t="inlineStr">
        <is>
          <t>得手</t>
        </is>
      </c>
      <c r="B879" t="inlineStr">
        <is>
          <t>成功</t>
        </is>
      </c>
      <c r="C879" t="inlineStr">
        <is>
          <t>読み方：えて
１巧みで、得意とすること。最も得意とするところ。えて物。えて吉。「人にはそれぞれ—不得手がある」
２「得手勝手」の略。
「—のお方が、今宵一夜はおれが物、一寸側を離さぬと」〈浄・傾城酒呑童子〉
３相手がそれと了解できるものをさしていう語。例の所。例の物。例の人。えて物。えて吉。
「—へ行って、ももんじいで四文二合半(しもんこなから)ときめべい」〈滑・浮世風呂・三〉
４《猿が「去る」に通じるのを忌むところから》猿。えて公。えて吉。</t>
        </is>
      </c>
      <c r="D879" t="inlineStr">
        <is>
          <t>得手不得手(16%)；得手勝手(11%)；得手吉(3%)；得手物；得手じゃない</t>
        </is>
      </c>
      <c r="E879" t="inlineStr">
        <is>
          <t>上手；巧み；特技；巧妙；器用</t>
        </is>
      </c>
      <c r="F879" t="inlineStr">
        <is>
          <t>それぞれ得手</t>
        </is>
      </c>
      <c r="H879" t="n">
        <v>29</v>
      </c>
      <c r="I879" t="inlineStr">
        <is>
          <t>それは彼女の得手の踊りではなくて、いわば一人劇のようなものだった。；動物の目から見ればやはり人間は得手勝手なものに見えるであろう。；さらに、東部や南部では、ウクライナ語が不得手とする人も少なくない。；しかし、彼女だけが得手勝手なことをやってよいという法はなかった。；それぞれ得手不得手はあるが、そのくらいのことならどこでも同じだろう。；ところが、この場合に限っては、走るのが得手でなくてよかったのだ。；ちょいとの間、黙っていねえな、こういう話はおれのほうが得手なんだから。；「心」は人生論ふうの感想で、こういうのは私の最も不得手の領域である。；これもあまりしゃべるのが得手なたちではないらしい、野ぶとい声だ。；エテ公ども前にして、どんな理由であれ、弾が出なかったらそれで死ぬんだよ!!；どちらの役目も選手の得手不得手を知っていなければ話にならない。；全員がデーモンの特性を再現するルールを備えているので得手不得手がある。；しばしば言及したことだが、わたしは走るのが得手ではない。；その一方で、順位戦は不得手とする傾向があり、昇級に恵まれなかった。；強豪には得手不得手があるため、どのゲームで戦うかなど戦略も必要になる。；もしお祝い下さるお心があったら、私はそういう事は不得手で分りません。；まして、エテ男氏のような、三十キロぐらいしかない体では大変であろう。；それが士大夫の義務だとはいえ、戦車に乗り武器をあやつるのは得手ではない。；人にはそれぞれ得手不得手があるし、持って生まれた体の特徴は仕方がない。；歌をうたうほかになにか得手を作っておかなきゃあならないんだ。；ピアノでの即興演奏の不得手を克服するためにギターを手にする。；英語の不得手を克服するため、大学2年時にノルウェーへ半年間留学した。；犬種によって得意分野が様々なように、人間も得手不得手があって当然だ。；どんな名コックにも、得意なものと、比較的得手でないものがある。；もともと走ることが得手ではないとはいえ、妙におぼつかない足取りだった。；もともとムード作りなどということは、この連中の得手ではなかった。；頭の中で思いめぐらすのは得手だが、陣頭に立って兵を導くのはだめだからね。；「この、エテ公よう」日本語でいい、女はだが笑顔をつくっていた。；反対にシューマン、ブルックナーなどは不得手のほうじゃないですか。</t>
        </is>
      </c>
      <c r="J879">
        <f>HYPERLINK("https://www.weblio.jp/content/得手", "词义详情")</f>
        <v/>
      </c>
      <c r="K879">
        <f>HYPERLINK("https://yourei.jp/得手", "查看例句")</f>
        <v/>
      </c>
    </row>
    <row r="880">
      <c r="A880" t="inlineStr">
        <is>
          <t>会得</t>
        </is>
      </c>
      <c r="B880" t="inlineStr">
        <is>
          <t>成功</t>
        </is>
      </c>
      <c r="C880" t="inlineStr">
        <is>
          <t>読み方：えとく
［名］(スル)物事の意味を十分理解して自分のものとすること。「芸の奥義を—する」</t>
        </is>
      </c>
      <c r="D880" t="inlineStr">
        <is>
          <t>会得すること(4%)；会得できる；会得される；会得させる；会得しよ</t>
        </is>
      </c>
      <c r="E880" t="inlineStr">
        <is>
          <t>感じ；理解；わかる；範囲；感謝</t>
        </is>
      </c>
      <c r="F880" t="inlineStr">
        <is>
          <t>自ら会得；十分会得；会得出来る；会得する</t>
        </is>
      </c>
      <c r="H880" t="n">
        <v>29</v>
      </c>
      <c r="I880" t="inlineStr">
        <is>
          <t>この次の長いものでは、それを統一してゆくことが会得されたようです。；お光には女が本当に処女であるらしいことははじめから会得されていた。；その小型艇の操作を会得するには二、三の質問をするだけで充分だった。；さらに元は他人の幻想構造であった巨大化の能力も構造を持つ形で会得。；そうして我々はまざまざとその味わいを会得することができたのである。；それでもみんなが主人に属するものだ、ということはたちまち会得した。；腹話術では、人形との小さい会話を多くする程、受けることを会得した。；事実、自斎と同じ剣妙を会得した者は天下に三人よりなかったのである。；回避するには後述の、仮面の軍勢の使う虚化を会得しなければならない。；これはデフォー自身の商人としての体験からも自然会得した方法であった。；あるいはまた古法帖などからして会得したところもあるかも知れぬ。；この間の呼吸を会得するには、自分自身を省みるだけで充分であろう。；会得したのが数年前で兄に会ったのが半年前なら、当然そういう計算になる。；それでは決して人の下に立つ道は会得されないのであります。；この2匹は飯綱の法を会得しており、本物の書状を持って飛脚を追った。；私は当時それを当時の心理なりに解釈して、よく会得されなかった。；いろいろに工夫して生活して、生活の術を会得してゆくのも面白いと思います。；これは、わかりきっていたようなものの、一層明確な会得のしなおしです。；ドアにかかった鍵を開ける技術はこれまでの蒐集経歴で会得していた。；たてつけの悪い扉を開けるときの力の入れ加減を二人だけが会得している。；絵の心というようなものを、会得することができたように思います。；女はこの二度目の詞の出ないうちに、男が何を云ふのであるかを会得して居た。；進歩したる人にあらねば真の強さは忍耐にあることを会得し得ぬ。；その経験から繊細でテクニカルなボールタッチを会得したと考えられる。；ここで白内障の手術を会得し、世間一般に知られていない穿瞳術も発明した。；神経の緊張をゆるめる術を会得することは、私に特に必要でしょうと思います。；御供番は藩主護衛役で武芸に秀でた者が選ばれ、武芸十八般を会得した。；どうしたらかれを楽しませることができるかを完全に会得した。；人間の心に会得することの出来ない程の、みじめな事ではないか。</t>
        </is>
      </c>
      <c r="J880">
        <f>HYPERLINK("https://www.weblio.jp/content/会得", "词义详情")</f>
        <v/>
      </c>
      <c r="K880">
        <f>HYPERLINK("https://yourei.jp/会得", "查看例句")</f>
        <v/>
      </c>
    </row>
    <row r="881">
      <c r="A881" t="inlineStr">
        <is>
          <t>エネルギー</t>
        </is>
      </c>
      <c r="B881" t="inlineStr">
        <is>
          <t>成功</t>
        </is>
      </c>
      <c r="C881" t="inlineStr">
        <is>
          <t>読み方：えねるぎー
１物事をなしとげる気力・活力。精力。「仕事で—を消耗する」「若い—」
２物体が物理的な仕事をすることのできる能力。力学的エネルギー（運動エネルギーと位置エネルギー）のほか、光・電気・熱・化学・原子などの各エネルギーがある。さらに相対性理論によれば、質量そのものもエネルギーの一形態である。
３「エネルギー資源」の略。
[補説]英語ではエナジー（energy）。</t>
        </is>
      </c>
      <c r="D881" t="inlineStr">
        <is>
          <t>エネルギー準位；エネルギー消費；エネルギー量；エネルギー供給；エネルギー体</t>
        </is>
      </c>
      <c r="E881" t="inlineStr">
        <is>
          <t>力；熱；元気；油；温度</t>
        </is>
      </c>
      <c r="F881" t="inlineStr">
        <is>
          <t>必要なエネルギー；超エネルギー；低エネルギー；高いエネルギー；大きなエネルギー</t>
        </is>
      </c>
      <c r="G881" t="inlineStr">
        <is>
          <t>エネルギー効率；エネルギー資源；エネルギー密度；エネルギー政策；エネルギー問題</t>
        </is>
      </c>
      <c r="H881" t="n">
        <v>29</v>
      </c>
      <c r="I881" t="inlineStr">
        <is>
          <t>アクチュエータは基本的にエネルギーを与えることで運動を発生させる。；物体間で仕事を通じて移動する以外のエネルギーの移動形態を熱という。；このエネルギー評価内で最も計算コストが高いのが非結合部分である。；このときエネルギーの測定は摂動が加わってない状態で行われている。；この関係を時間とエネルギーの不確定性関係の一種とみなす場合もある。；水の雲は惑星内部から供給される熱を受けて、雷のエネルギーを蓄積する。；武器に限らず、道具が効果を発揮するにはエネルギーが必要である。；ここで区切りの位置は比較的エネルギーの高さに大きな差がある位置を示す。；人間の力をエネルギー源とする武器は、使用のたびにエネルギーを失う。；この反応では、中性子を発生させずにエネルギーを生成することができる。；各バンドに対応してそれぞれ異なるバンド端エネルギー と異なる が存在する。；電子配置と電子のエネルギー準位には縮退が起こることが知られている。；当然の事ながら、リサイクル素材の再利用にはエネルギーが必要である。；これが、ミセル形成のためのエネルギー的な駆動力の基礎をなしている。；また一点に力が集中するため、エネルギー自体は小さくてもあまり問題はない。；相関エネルギーの概念はウィグナーによってそれ以前に研究されていた。；そのため実際には変換の際に損失があるため二次側でエネルギーが減少する。；あるいは若者の暴発しがちなエネルギーをさして馬鹿という例もある。；光のエネルギー は光子の持つエネルギーの倍数の値のみを取り得る。；群速度はしばしばエネルギーや情報が伝わる速度と考えられている。；運動以外のエネルギーを電力に変換する発電には以下のようなものがある。；トンネル抜け前後で粒子のエネルギーは変わらないが確率振幅は減少する。；は系のエネルギーがマクロにみて 以下である状態の数である。；とりわけ、電気のエネルギーが熱エネルギーに変わることに注目した。；そのため一部のエネルギーが消えてしまったように見え、研究者の間で混乱が生じた。；すなわち温度とはエネルギーが自然に移動していく方向を示す指標であるといえる。；また、その時のパルスの持つエネルギーの大きさをエネルギー耐量と呼ぶ。；他の物理量と同様に、エネルギーは任意の時刻で正確に測定できる。；特に、力学系からエネルギーが失われて熱へと変化する現象は多い。</t>
        </is>
      </c>
      <c r="J881">
        <f>HYPERLINK("https://www.weblio.jp/content/エネルギー", "词义详情")</f>
        <v/>
      </c>
      <c r="K881">
        <f>HYPERLINK("https://yourei.jp/エネルギー", "查看例句")</f>
        <v/>
      </c>
    </row>
    <row r="882">
      <c r="A882" t="inlineStr">
        <is>
          <t>絵の具</t>
        </is>
      </c>
      <c r="B882" t="inlineStr">
        <is>
          <t>成功</t>
        </is>
      </c>
      <c r="C882" t="inlineStr">
        <is>
          <t>読み方：えのぐ
絵に色をつけるための材料。ふつう日本画・水彩画・油絵用の、水・油などで溶くものをいうが、広くはパステル・クレヨンなども含めていう。顔料。</t>
        </is>
      </c>
      <c r="D882" t="inlineStr">
        <is>
          <t>絵の具箱(5%)；絵の具皿；絵の具層；絵の具代；絵の具だらけ</t>
        </is>
      </c>
      <c r="E882" t="inlineStr">
        <is>
          <t>ペンキ；塗料；顔料；絵具；ペイント</t>
        </is>
      </c>
      <c r="F882" t="inlineStr">
        <is>
          <t>白い絵の具；青い絵の具；黒い絵の具；泥絵の具；赤絵の具</t>
        </is>
      </c>
      <c r="H882" t="n">
        <v>29</v>
      </c>
      <c r="I882" t="inlineStr">
        <is>
          <t>また、絵を描くことが最大の趣味で、自分で絵の具を作ったりしていた。；まず、描き始めの一点を決め、そこから隣へ隣へと絵の具を広げていく。；そうして口の代りに赤い絵の具で唇の絵が格好よく描いてあるのでした。；また日本絵の具の性質をいかに活用すべきかもここに暗示せられている。；それは、完成した絵画の上に、新たな絵の具を塗りつけるようなものだ。；たとえて言うなら、青い絵の具がついた筆を洗ったあとの水のような色だ。；そして、小さな箱にはいっている、絵の具と筆で、顔の変装をしました。；布の色がさまざまで絵の具箱の中に閉じこめられたような気になる。；こいつに絵の具を塗っておまえの選んだ男の代わりに入れればいいんだよ。；絵の具を持っていたから、次のクラスの生徒だということはわかった。；ただ絵の具をなすりつけているだけで、詩なんかどこにもありゃしない。；その姿をしっかりと見つめて、僕はカンバスに絵の具を乗せていった。；ふとぼくは学校の友だちの持っている西洋絵の具を思い出しました。；絵の具を混ぜているうちに、どこに自分が手をつけていたか忘れてしまうのは。；なるほど安い絵の具でかいた絵ならそんなこともあるかもしれない。；この新緑を絵に描くとしたら、100種類の緑の絵の具が必要だろう。；当然の事ながら、絵の具と同じく絵の質感が左右される重要な画材である。；水に絵の具が広がるようにぼんやりと人形のようなドーレムがいくつも見えてきた。；絵の具の成分に、時代と矛盾する新しい化学物質が含まれていたのだ。；画家たちは写真にはない絵の具の特性、例えば色彩をフルに活用した。；ある場所につける一点の絵の具が濃すぎても薄すぎても顔がいびつに見えた。；手にしているのは、絵の具を練るとき、こて代わりに使う柄つきの小刀だ。；況んや絹や絵の具に比べて、比較にならぬ安価な物たるに於てをやである。；そのよく出来た絵の上に絵の具を塗りたくって台無しにしてしまえばいい。；光治は、まったくこれは、絵の具や筆がよくないからだと思いました。；絵の具チューブから絞り出したような濃い霧で、山の上部が覆われている。；筆や絵の具皿と思われるものがいくつも泥に沈んでいる。；彼は、自分が機械的に絵の具をつけたり削ったりしているのを意識し始めた。；シャツのお腹のあたりには絵の具のようなオレンジ色の染みが付いている。</t>
        </is>
      </c>
      <c r="J882">
        <f>HYPERLINK("https://www.weblio.jp/content/絵の具", "词义详情")</f>
        <v/>
      </c>
      <c r="K882">
        <f>HYPERLINK("https://yourei.jp/絵の具", "查看例句")</f>
        <v/>
      </c>
    </row>
    <row r="883">
      <c r="A883" t="inlineStr">
        <is>
          <t>海老</t>
        </is>
      </c>
      <c r="B883" t="inlineStr">
        <is>
          <t>成功</t>
        </is>
      </c>
      <c r="C883" t="inlineStr">
        <is>
          <t>読み方：えび
１十脚目に属する甲殻類のうち、短尾下目（カニ類）と異尾下目（ヤドカリ類）を除くすべての種の総称。海水または淡水にすむ。体は頭胸部と腹部に区別される。頭胸部は1枚の甲殻で覆われ、二対の触角、五対の歩脚をもつ。腹部は7節からなり、五対の遊泳脚がある。歩行するイセエビ・ザリガニ、遊泳するクルマエビ・サクラエビ・シバエビなどがある。食用、魚類のえさとして重要。
２「海老錠(じょう)」の略。</t>
        </is>
      </c>
      <c r="D883" t="inlineStr">
        <is>
          <t>海老団治(3%)；海老丸；海老床；海老ヶ；海老みたい</t>
        </is>
      </c>
      <c r="E883" t="inlineStr">
        <is>
          <t>蝦；シュリンプ；鰕；蛯</t>
        </is>
      </c>
      <c r="F883" t="inlineStr">
        <is>
          <t>手長海老；海老松；海老せんべい；大きな海老；海老絞</t>
        </is>
      </c>
      <c r="G883" t="inlineStr">
        <is>
          <t>海老原；海老茶；海老蔵；海老名市；海老名駅</t>
        </is>
      </c>
      <c r="H883" t="n">
        <v>29</v>
      </c>
      <c r="I883" t="inlineStr">
        <is>
          <t>頭を両腕で保護しながら体を海老のように曲げて、爆発の衝撃に備えた。；野菜に火が通り始めたところで、そこに水切りしておいた海老を入れた。；私は海老をくわえたまま、すぐ隣に立った彼の上着の脇に手を差し込む。；息が止まったような気がして腹を抱え海老のように身体を曲げた。；これらの海老は殆ど地元で消費されるため、ほとんど市場には出回らない。；乾海老の上等なのは尾がクルクルと巻き込んで決して長くなっていない。；太古、にのぞみ、海老がつれたのではないかと想像されるが真意は不明。；なぜかというと、故郷の味を再現せんと台所でつくった海老料理に当たったのだった。；死んだ番頭の中川海老松はそのとき四十三歳、虎造は三十五になっていた。；そこでジャックは、海老籠のようなものが地面に並べられているのを目にした。；やがて老人は長い杖をついて立ち上がったが、腰は海老のように曲がっていた。；海老と野菜の妙め物ができあがると、フライパンから大きな皿に移した。；なにかを捜しているのだろうか、男は海老のように体を曲げていた。；ただし、番組ロゴに描かれているのは天麩羅ではなく赤い海老である。；今度は腹でバランスをとり、鼻と尾の両方を空中にあげて、海老ぞりになった。；まさか海老料理を食べに来るのが目的というわけでもあるまい。；大きな海老が長い角を細かい砂の上に落として身動きもせずに眠っている。；私はそれを見るためには、身体を海老のように折り曲げていなければならなかった。；私は黙って、さっき彼女が食べた海老の擂り身団子を口へと運んだ。；海老のように身体を動かし、水の溜まってない場所へと移動する。；風にさからひながら、子供の走るかつかうが海老のやうに見える。；海老反った二対の金色が、陽の光を浴びて朝の輝きを放ち始めていた。；おかげで、以後虎造は海老をたべると必ず腹痛を起こしたというのだが。；もうひとつは、海老のように身体を丸め、片手だけを伸ばしていた。；何故ならご飯の上に載っているのは、海老ではなくてイカの天ぷらなのだ。；以前、田舎町での歓迎会で出たことのある生きた海老の料理である。；但しそれを他チームのサポーターが茶化して「海老」と呼ぶことがある。；それは海老丸といったあの男の声に似ているようであった。；敷布もない薄い敷蒲團に海老のやうに縮まつてゐる姿が可愛らしかつた。</t>
        </is>
      </c>
      <c r="J883">
        <f>HYPERLINK("https://www.weblio.jp/content/海老", "词义详情")</f>
        <v/>
      </c>
      <c r="K883">
        <f>HYPERLINK("https://yourei.jp/海老", "查看例句")</f>
        <v/>
      </c>
    </row>
    <row r="884">
      <c r="A884" t="inlineStr">
        <is>
          <t>絵本</t>
        </is>
      </c>
      <c r="B884" t="inlineStr">
        <is>
          <t>成功</t>
        </is>
      </c>
      <c r="C884" t="inlineStr">
        <is>
          <t>読み方：えほん
１絵を主にした子供向きの本。
２江戸時代、絵を主にした通俗的な本。絵草紙。
３絵をかくための手本。絵手本(えでほん)。
「本朝名木の松の—を集めらる」〈浄・反魂香〉
[補説]書名別項。→絵本</t>
        </is>
      </c>
      <c r="D884" t="inlineStr">
        <is>
          <t>絵本シリーズ；絵本さん；絵本太功記；絵本作品；絵本画家</t>
        </is>
      </c>
      <c r="E884" t="inlineStr">
        <is>
          <t>ピクチャーブック</t>
        </is>
      </c>
      <c r="F884" t="inlineStr">
        <is>
          <t>原作絵本；写真絵本；創作絵本；月刊絵本；絵本版</t>
        </is>
      </c>
      <c r="G884" t="inlineStr">
        <is>
          <t>絵本百物語；絵本太閤記；絵本館；絵本小夜時雨；絵本美術館</t>
        </is>
      </c>
      <c r="H884" t="n">
        <v>29</v>
      </c>
      <c r="I884" t="inlineStr">
        <is>
          <t>しかし、こうした現代的な絵本に批判的な意見がなかったわけではない。；日本では絵本作品の多くを村上春樹が翻訳していることでも知られている。；最近では、このエピソードを紹介する子供のための絵本も出版された。；ケータイ絵本も配信しており、人気の犬のキャラクターなどが登場する。；以上全てが「絵本の中で展開される世界」という点で本作と共通である。；ドイツ語の絵本の翻訳を行うほか、自らいくつもの児童小説を書いている。；現在は放送作家としての活動の傍ら、舞台脚本・絵本原作なども務める。；そのとたんに体が小さくなってしまい、絵本の世界に入ってしまう。；以後も絵本やノベライズを含む中沢作品のほぼ全てを一手に引き受ける。；同作品のサウンドトラック、映画を絵本化した作品も発表されている。；フランス語の原作絵本から日本語に翻訳されて出版されている。；退社後は他の出版社とも仕事をし、数多くの推理小説や絵本を紹介した。；ながいあいだあのえほんのなかでふくしゅうのときをまっていたのです!；その素朴でいながら独特の雰囲気に絵本愛好家の間では知られる作家である。；この映画のテーマは結婚式の前の場面で登場する絵本『』と関連している。；日本の自然を題材にした記録絵本『大きな木の下で』では文章を担当。；松居も紙も印刷も赤羽の絵本を活かし切れず満足な出来ではないと考えていた。；チックルはいたずらが過ぎたために絵本の世界に封印されていたのだった。；絵本の登場人物は、必ず何か食べていたり、お茶をしているのが特徴のひとつ。；主人公自身の回想、そして仲間の物語についてもそれぞれ絵本が出来る。；各ステージの合間に絵本のようなビジュアルシーンが用意されている。；絵本のみを対象とした賞だが、受賞の基準はフェニックス賞に同様である。；下記以外に、3冊の絵本に登場したキャラクター達も再び登場する。；この時期に発売された絵本ソフトはテレビ画面に表示されるボタンも黄色で示されているものがある。；本編には書かれていない別ストーリーを書いた絵本も存在する。；この絵本は挿絵が実際の舞台での写真で構成され、1冊500円であった。；絵本にはスターによる朗読や未発表のテイクを収録したCDが付属した。；キャラクター絵本が十数冊ソニー・マガジンズから発売されている。；絵本執筆のきっかけは、機関誌を見た福音館書店からの依頼だったという。</t>
        </is>
      </c>
      <c r="J884">
        <f>HYPERLINK("https://www.weblio.jp/content/絵本", "词义详情")</f>
        <v/>
      </c>
      <c r="K884">
        <f>HYPERLINK("https://yourei.jp/絵本", "查看例句")</f>
        <v/>
      </c>
    </row>
    <row r="885">
      <c r="A885" t="inlineStr">
        <is>
          <t>獲物</t>
        </is>
      </c>
      <c r="B885" t="inlineStr">
        <is>
          <t>成功</t>
        </is>
      </c>
      <c r="C885" t="inlineStr">
        <is>
          <t>読み方：えもの
１漁猟でとったもの。
２他人から奪い取って手に入れたもの。</t>
        </is>
      </c>
      <c r="D885" t="inlineStr">
        <is>
          <t>獲物袋；獲物を追って；獲物を捕らえる際</t>
        </is>
      </c>
      <c r="E885" t="inlineStr">
        <is>
          <t>的；狙い；収穫；標的；ターゲット</t>
        </is>
      </c>
      <c r="F885" t="inlineStr">
        <is>
          <t>小さな獲物；主な獲物；獲物ぶくろ；獲物を狙う猛禽；獲物を狙う肉食獣</t>
        </is>
      </c>
      <c r="H885" t="n">
        <v>29</v>
      </c>
      <c r="I885" t="inlineStr">
        <is>
          <t>現生のシャチのように獲物を突く機能があったと小西らは提唱している。；普段は深い洞窟の奥に潜み、暗くなってから獲物を求めて外に出てくる。；元来活動はあまり活発ではなく、じっとして獲物が通るのを待っている。；魚食性のワニのように獲物を待ち伏せて生活していたと考えられている。；植物質を摂取するのは獲物の少ない環境に対する適応と考えられている。；獲物を追っているうちに、家来たちから離れ、森の中で迷ってしまった。；その体のほとんどは暗闇と憎悪でできており、獲物が恐怖するのを喜ぶ。；戦闘は全て拳銃を用い、基本的にクラスでチームを組んで獲物を狩る。；そのため彼らは武装している人間のみを襲い、非武装の人間を獲物としない。；頭部や顎の力が弱く、獲物の骨などは噛み砕くことができないため残す。；浅瀬で翼を傘の様に広げてその中に頭部を隠し、水中の獲物を捕食する。；糞石の分析により、主な獲物は魚類であったらしいことが判明している。；犬の役目は獲ものの所在を示すだけにあるのだから、今はむしろ邪魔だった。；開発による生息地の破壊や、獲物の減少等により生息数は減少している。；また互いに矢を交換することで、獲得した獲物の所有者を分散させている。；また他の鳥類から獲物を横取りしたり、動物の死骸を食べることもある。；猟犬の血が入っていることから、獲物を嗅ぎつける能力に恵まれていた。；脚には太い毛が多く生えていて、捕えた獲物を逃さない役割を果たす。；そして、クレッグは、次の獲物を探しに出かけることに決めたのだった。；キツネザル類などの大型の獲物を、2頭で協力して捕らえることもある。；集団で狩りをするため、アフリカのあらゆる動物を獲物とすることができる。；また、道具を自ら作って獲物を捕るカレドニアガラスなども有名である。；単独で行動し、地上をピョンピョンと跳ねて獲物を探す様子が見られる。；大きな耳介は放熱と、砂の中の獲物を探すのに役立つと考えられている。；ツノメドリ類のように獲物を加えて離さないように太い嘴を持つ種もいる。；飼育下の観察例では、父親が幼獣に獲物を吐き戻して与えた例がある。；これは大きく危険な獲物を倒すために集団で狩りをする動物では明らかである。；倒した獲物は他の動物に邪魔されないように、茂みの中などへ運んでから食べる。；あと獲ものとのあいだを走っているのは犬だけになった。</t>
        </is>
      </c>
      <c r="J885">
        <f>HYPERLINK("https://www.weblio.jp/content/獲物", "词义详情")</f>
        <v/>
      </c>
      <c r="K885">
        <f>HYPERLINK("https://yourei.jp/獲物", "查看例句")</f>
        <v/>
      </c>
    </row>
    <row r="886">
      <c r="A886" t="inlineStr">
        <is>
          <t>偉い</t>
        </is>
      </c>
      <c r="B886" t="inlineStr">
        <is>
          <t>成功</t>
        </is>
      </c>
      <c r="C886" t="inlineStr">
        <is>
          <t>読み方：えらい
［形］［文］えら・し［ク］
１普通よりもすぐれているさま。
㋐社会的地位や身分などが高い。「会社の—・い人」
㋑人間として、りっぱですぐれている。「苦労しただけあって、—・い人だ」
２物事の状態が普通ではないさま。
㋐程度がはなはだしい。ひどい。「今日は—・く寒い」「—・い混雑だった」
㋑予想外である。ひどく困ったさまである。「—・い目にあった」
㋒苦しい。つらい。しんどい。「歩きどおしでからだが—・い」
[派生]えらがる［動ラ五］えらさ［名］</t>
        </is>
      </c>
      <c r="D886" t="inlineStr">
        <is>
          <t>偉い人(16%)；偉いもの(4%)；偉い先生(2%)；偉い方；偉いさん</t>
        </is>
      </c>
      <c r="E886" t="inlineStr">
        <is>
          <t>大；高い；大きい；広い；大き</t>
        </is>
      </c>
      <c r="F886" t="inlineStr">
        <is>
          <t>一番偉い；いちばん偉い；より偉い；どんな偉い；そんなに偉い</t>
        </is>
      </c>
      <c r="H886" t="n">
        <v>29</v>
      </c>
      <c r="I886" t="inlineStr">
        <is>
          <t>一日か二日でいやになったら、毎日働いている子が本当に偉いと思うよ。；天保時代ですらこの方面では今よりも偉かったと思わずにはいられない。；彼はどの男よりも自分が偉れたものを持っていると思える種類の男だった。；おれが責任などと偉そうなことを言える人間かどうかはともかくとして。；私はあるときある偉い僧正からこんなことを言われたことがございます。；町でふんぞり返っている奴が何人その晩餐に来たかで客の偉さもわかる。；もちろん病院を大きくしたから偉いといっているわけではありません。；そしてこれらの偉い人物は、誰一人京都から出はしなかつたぢやないか。；これが俳優の場合、所謂変な偉くなり方をすることが多い最大原因です。；はじめのころはもちろん人に超えてこの師の童貞を偉としていたのである。；だからどんな偉い本でも、大切な本でも資料という資格をしか与えない。；どこが偉いのかよくわからぬが、話す言葉や生徒を見る目があたたかい。；ただ、私は今でも、それほど偉かったのかどうかわからないと思います。；どんなにマルクスが偉くてもマルクスの生きていた時代ではありません。；この宿は「植民地の偉い人たちが皆、頻繁に利用した」と言われている。；医者である自分は偉くて、患者なんて下の人間だって思ってるんだろうな。；それはバスの音で、謙遜をよそおった偉そうな奇妙な調子を帯びていた。；彼は心の中の「偉がり屋殿」のために馬車を駆っているのではないのか?；それから、私に末は偉い学者にならなければいけないよと言いました。；ただ天皇の存在の欠点は、その偉さを天下の者は知らないことであった。；たったそれだけのことでどうしてそんなに偉そうにしなければいけないのよ。；いつまでも先生のあとにばかりついているような人間は偉くなれん。；だからあんたらは普段から四民のうえに立って偉そうにしてるんだろ。；子路が今までに会った人間の偉さは、どれも皆その利用価値の中にあった。；すぐに人よりも自分が偉いものであるかのように思い上がりたくなる。；そんなに働きながら森君にまけない位よく出来るのだから全く偉いと思う。；世界で一ばん偉いひとにならなければ、いけないと、そう言って教えた。；すると犬顔が、スクリーンの横に立つ黒いスーツの男に偉そうに訊いた。；しかしみんなに先生と言われるだけあって、たしかに偉い人であった。</t>
        </is>
      </c>
      <c r="J886">
        <f>HYPERLINK("https://www.weblio.jp/content/偉い", "词义详情")</f>
        <v/>
      </c>
      <c r="K886">
        <f>HYPERLINK("https://yourei.jp/偉い", "查看例句")</f>
        <v/>
      </c>
    </row>
    <row r="887">
      <c r="A887" t="inlineStr">
        <is>
          <t>選ぶ</t>
        </is>
      </c>
      <c r="B887" t="inlineStr">
        <is>
          <t>成功</t>
        </is>
      </c>
      <c r="C887" t="inlineStr">
        <is>
          <t>読み方：えらぶ
［動バ五（四）］
１多くの中から目的や基準にかなうものを取り出す。選択する。よる。えらむ。「贈り物を—・ぶ」「すぐれた作品を—・ぶ」「フォアボールを—・ぶ」
２抜き出してその職に任ずる。選び出す。「議長に—・ばれる」
３（あとに打消しの語を伴って用いる）区別する。えり好みする。「目的のためには手段を—・ばない」
４（「撰ぶ」とも書く）著作を集めて書物を作る。撰する。「歌集を—・ぶ」
[可能]えらべる</t>
        </is>
      </c>
      <c r="D887" t="inlineStr">
        <is>
          <t>選ぶべき(2%)；選ぶだろ；選ぶオールタイム；選ぶ歴史上最も；選ぶしかない</t>
        </is>
      </c>
      <c r="E887" t="inlineStr">
        <is>
          <t>選出；選択；選定；選抜；選考</t>
        </is>
      </c>
      <c r="H887" t="n">
        <v>29</v>
      </c>
      <c r="I887" t="inlineStr">
        <is>
          <t>フランス語で執筆する作家の中には、フランスへの移住を選ぶ者もいた。；ヒルカノスは彼が権力を握った時に選んだ名前であると考えられている。；メニューでプレイしたいゲームを選ぶ事で自由に変更することが出来た。；文化功労者以外の者でも必要と認められる場合には選ばれることがある。；各家庭が教育では英語系とフランス語系どちらかを選ぶことができる。；ゲストが歌手のとき以外の番組でかける曲は極力新人歌手を選んでいる。；この時に誰を選ぶかによって、会話などイベントの内容が変わってくる。；対戦の形式は3種類あり、そこから更に勝利条件等を選ぶことができる。；コミューン指導者たちは各々死を決意してそれぞれの死を選んでいった。；放送上のキャラクターを最初から陰性と陽性に分けて選んだものでした。；信仰のために死を選んだ最初期の例は古代のユダヤ教にみることができる。；そのためかマドレーヌだけは好きな役を勝手に選ぶ権利が保証されていた。；当然ながら、どの組み合わせを選んだかは最終的な仕上がりに影響する。；統一機関を設けないときは、参加企業の一つを選んで代わりをさせた。；主にマッドサイエンティストは、以下の目的を選ぶことが特徴とされる。；しかし、軍人は国民に選挙で選ばれたわけではない、ただの官吏である。；ドイツなどでは、かなり若いころに2つの経路のうちどちらを選ばせる。；選ばれなかった方はこの時点で削除され、以後復元することが出来ない。；さらにミナス・ティリスへ帰るために同じ道を行くボロミアも選ばれた。；これは、その年のニュースに最も影響を与えた個人や団体を選ぶものである。；これらの報告を受けた北海道は財政負担の低いほうを選ぶとバス転換を主張。；それは排卵へ進む最も発達した卵胞を一つだけ選ぶために重要な様である。；たいていの場合は以下の4つの選択肢からどれかを選ぶように依頼される。；こうした状況では、優れた指揮能力を持つ者を執政官に選ぶ必要があった。；なお、この日に限って同じ検索キーワードを何度でも選ぶことができた。；複数の志望校の中から奨学金が得られる大学を選ぶのは自然な行為である。；ひかりは自分こそ選ぶ権利など最初からないのをわかっていなかったと語る。；結局、新たな首都にはその当時は重要ではなかったアテネが選ばれた。；自分が選んだ手が良いか悪いかを延々と考える羽目になるからである。</t>
        </is>
      </c>
      <c r="J887">
        <f>HYPERLINK("https://www.weblio.jp/content/選ぶ", "词义详情")</f>
        <v/>
      </c>
      <c r="K887">
        <f>HYPERLINK("https://yourei.jp/選ぶ", "查看例句")</f>
        <v/>
      </c>
    </row>
    <row r="888">
      <c r="A888" t="inlineStr">
        <is>
          <t>襟</t>
        </is>
      </c>
      <c r="B888" t="inlineStr">
        <is>
          <t>成功</t>
        </is>
      </c>
      <c r="C888" t="inlineStr">
        <is>
          <t>読み方：えり
１衣服の首回りの部分。また、そこにつける縁どりの布。
２首の後ろの部分。首筋。えりくび。
３上着、下着を重ねて着て、一つに前を合わせること。「三つ—」
４掛け布団の、首のあたる部分にかける細い布。
[下接語]赤襟・裏襟・上(うわ)襟・折り襟・角(かく)襟・掛け襟・狭(せま)襟・立ち襟・竪(たて)襟・伊達(だて)襟・突き襟・詰め襟・共襟・抜き襟・撥(ばち)襟・半襟・広襟・坊主襟・丸襟・三つ襟</t>
        </is>
      </c>
      <c r="D888" t="inlineStr">
        <is>
          <t>襟をつかん；襟付き；襟垢；襟頸；襟なし</t>
        </is>
      </c>
      <c r="E888" t="inlineStr">
        <is>
          <t>首；カラー；衿</t>
        </is>
      </c>
      <c r="F888" t="inlineStr">
        <is>
          <t>白襟；白い襟；右襟；黒襟；奥襟</t>
        </is>
      </c>
      <c r="G888" t="inlineStr">
        <is>
          <t>襟元；襟巻；襟章；襟足；襟もと</t>
        </is>
      </c>
      <c r="H888" t="n">
        <v>29</v>
      </c>
      <c r="I888" t="inlineStr">
        <is>
          <t>それによるとこれまで頭部と考えられていた部分は主として襟である。；室町時代になると、小袖の襟を前に下げた形で用いられるようになった。；彼の顏が夜着の襟にかくれて見えないことを彼女はもの足りなく思つた。；所属する機体の多くに、袖や襟のような装飾が施されているのが特徴。；襟とズボンのラインが消えベルトレスラインのみになった他は変更なし。；首を絞めるような襟のついた服の着用や髭剃り、首振り動作などがある。；左右には白襟紋つきの子供の母達や教師たちが虔しやかに居並んでいる。；俯きながらも青年の凝視を感じる令嬢は、着物の襟などを気にしている。；雇用者から提供される制服や作業服の襟色に青が多いことに由来する。；大きめな襟と大きな4つのポケットが付いたシンプルなデザインだった。；順手と逆手で相手の両襟を掴んで腕を十字にして相手の頸部を絞める技。；冬季には高級将校の間ではコートの襟に毛皮をつけるのが流行ったという。；黒い暖かそうな外套の襟を立てていたが、赤く濁った眼で僕を見返した。；制服は設立当初から変わらずセーラー服であり、冬服の白襟が特徴的である。；台襟の付いた立折襟やボタンダウン、胸ポケット付きのものもみられる。；他制服よりもブレザーの丈が長く、着用時には襟を出さなければいけない。；襟章については右襟がブランクのものでこれもSDのものと共通である。；左の釣り手と右の引き手で相手の両襟を掴んでからの払腰を得意にしている。；これは上衣襟部分に汚れが付着しないようにするためのものである。；襟布は国境部隊を除き基本的に付けないものと推測される。；また、当初襟には階級章が付いていたが、1987年1月に廃止された。；消化管の襟より後方の部分にはその側面背側に鰓孔が対をなして並んでいる。；上部の字は肩幅、下部の字は袖があり、前襟を斜めに合わせた形に象る。；左手で相手の左前襟を取り、右手で相手の右肩越しに後ろ帯をとって絞める。；襟に白い3本線の縁取りがあり、左右の角には六光星の白い刺繍が入っている。；スカートの模様も襟の模様と同じ赤いギンガムチェックとなっている。；外套の襟を立てて、その中に頬から下を、ふかく埋めているのである。；それで純之進は布団の襟に顔を隠して、後には寝た振をしていたのであった。；カラーとネクタイが無くて襟の合せ目からシャツと胸の肉の覗く和服姿。</t>
        </is>
      </c>
      <c r="J888">
        <f>HYPERLINK("https://www.weblio.jp/content/襟", "词义详情")</f>
        <v/>
      </c>
      <c r="K888">
        <f>HYPERLINK("https://yourei.jp/襟", "查看例句")</f>
        <v/>
      </c>
    </row>
    <row r="889">
      <c r="A889" t="inlineStr">
        <is>
          <t>エリート</t>
        </is>
      </c>
      <c r="B889" t="inlineStr">
        <is>
          <t>成功</t>
        </is>
      </c>
      <c r="C889" t="inlineStr">
        <is>
          <t>読み方：えりーと
社会や集団で、指導的、支配的役割を受け持つ層。選良。「—意識」</t>
        </is>
      </c>
      <c r="D889" t="inlineStr">
        <is>
          <t>エリートコース(4%)；エリートたち(3%)；エリート集団(2%)；エリート部隊(2%)；エリート社員(2%)</t>
        </is>
      </c>
      <c r="E889" t="inlineStr">
        <is>
          <t>レギュラー；一軍；天才；一流；才人</t>
        </is>
      </c>
      <c r="F889" t="inlineStr">
        <is>
          <t>エリート軍人；エリート大学；エリート階層；政治エリート；エリート街道</t>
        </is>
      </c>
      <c r="G889" t="inlineStr">
        <is>
          <t>エリート意識；エリート主義；エリート教育；エリート・モデル・マネジメント；エリートアカデミー</t>
        </is>
      </c>
      <c r="H889" t="n">
        <v>29</v>
      </c>
      <c r="I889" t="inlineStr">
        <is>
          <t>フランス語は主に地元のエリートや種族の首長の子供たちに教えられた。；文書を所有して知識を得ることはエリートだけの独占ではなくなった。；このようにして選抜的な社会的エリート育成システムがとられている。；政治エリートは国家を指導する政府と行政機関を構成する人々である。；迫力のある演技で、韓国フィギュア界では敵がいないほどの超エリート。；そのような配置を行うと明るい肌のエリートがそのような地位を独占した。；このようにして極めて選抜的な社会的エリート育成システムがとられている。；すなわち、エリート大学という評価を受け、多くの研究資金を得ている。；哲学を学び、成績優秀で父の期待するエリート・コースに乗るかに見えた。；これは、エリート階層が自らの利益を正当化するための論理なのである。；アマチュア時代は数多くのタイトルを獲得したエリートボクサーである。；彼ら下級貴族にはエリート騎馬隊に昇格する教育の機会が与えられていた。；この不平等さはエリートと土地なし農民の間に強い緊張状態をもたらしている。；ヒーロー像がエリート少年から野性的な少年に変わったためと考えられる。；自身もかつては赤服であり、現在はエリート指揮官の証である白服である。；主人公はエリートであったため、入部直後から期待されている選手であった。；以降ドイツにおいて髑髏はエリート部隊の意味合いを持つようになった。；兄の崇は東京で国立国会図書館に勤務する、エリート官僚の卵であった。；決闘が流行した時代の大学生はエリート階級であり、紳士予備軍だった。；一方、後者の希望したSSルーンはドイツのエリート部隊の象徴であった。；基本的に、エリートは意思決定に大きな役割を果たしていると主張している。；高校ではオールアメリカンチームに選出されるなどエリート街道を歩んだ。；彼の指導の下、党・経済エリートの逮捕が行われ、後に銃殺された。；これによって官僚の中心は貴族から高学歴エリートへと変貌していった。；国防・スポーツ省と共同で立ち上げた育成計画・エリート支援プログラム。；そこで警護部隊以外にもエリート部隊の称号として与えられるようになった。；魔法資格の取得者は確実に就職に有利であり、エリート候補生となる。；ただし、グランゼコールを含む一部のエリート大学はこの限りでない。；そこでは一人のエリート族の裁判が行われようとしていた。</t>
        </is>
      </c>
      <c r="J889">
        <f>HYPERLINK("https://www.weblio.jp/content/エリート", "词义详情")</f>
        <v/>
      </c>
      <c r="K889">
        <f>HYPERLINK("https://yourei.jp/エリート", "查看例句")</f>
        <v/>
      </c>
    </row>
    <row r="890">
      <c r="A890" t="inlineStr">
        <is>
          <t>得る</t>
        </is>
      </c>
      <c r="B890" t="inlineStr">
        <is>
          <t>成功</t>
        </is>
      </c>
      <c r="C890" t="inlineStr">
        <is>
          <t>読み方：うる
［動ア下二］《本来は下二段動詞「う」の連体形》
１「え（得）る」に同じ。「うるところが多い」「承認をうる」
２動詞の連用形に付いて、…することができる、可能である、の意を表す。「できうるかぎりの努力」「ストライキは回避しうる」→える
[補説] ふつう連体修飾語として用いるが、改まった表現や古めかしい表現には終止法としても用いられる。</t>
        </is>
      </c>
      <c r="D890" t="inlineStr">
        <is>
          <t>得るべく；得る可能性；得るあらゆる；得るだら</t>
        </is>
      </c>
      <c r="E890" t="inlineStr">
        <is>
          <t>持つ；獲得；経験；優勝；勝利</t>
        </is>
      </c>
      <c r="F890" t="inlineStr">
        <is>
          <t>なり得る；起こり得る；なし得る；知り得る；持ち得る</t>
        </is>
      </c>
      <c r="H890" t="n">
        <v>29</v>
      </c>
      <c r="I890" t="inlineStr">
        <is>
          <t>本を読む場合はページをめくる事によって次々と情報を得る事が出来る。；政治的地位を得れば必ずこのことが考えられねばならなかったのである。；これは企業デスクトップ市場を得るためのノベルの最初の試みであった。；卒業後クリニックに勤めたのも資金を得るためである側面もあるとされる。；これは環境の影響や考え得る測定誤差をはるかに超える値であるとされた。；その予測し得る破滅を回避すべく、海洋性植物の研究が進められていく。；兵士達の中には出来得れば戦わずして捕虜になる道を選んだ者も多かった。；この制約はすでに確かめられているが、取り得る値は決定できていない。；直接測定とは対象と基準量となるものを直接比較させて測定量を得ることである。；この結果はゲオルク・カントールには得ることができなかったものである。；その安心さえ得れば、あとは夫をどのようにでも抑えられると思っていた。；スイッチバックの短所は、以下の様な多くの制限を受け得ることである。；そのため、乗車当日になると目的の列車の座席が無い場合もあり得る。；しかしこれらは、いずれも爆発的な人気を得ることはできなかった。；どのサイトもまだ市場の優位性も批判的なサポートも得ることができていない。；手札を正しく交換し、高い役を作り多くの配当を得ることを目的とする。；大統領は首相その他の大臣の任命・指名に関して議会の同意を得る必要がある。；しかし、これ以降の時代には主に民衆から支持を得る形で小説が人気を得ていく。；Oshoによれば、人間の究極的な目的は光明を得ることであるという。；そこで、火を認め得れば必ず人があり、人のあるところには必ず火がある。；もしくは、レーザーなどで用いられる同状態を得るための構造のこと。；着任早々に功績を挙げ、やがて仲間からの信頼も得るようになった亮子。；つまり、このことはラマルクの用不用説を強く支持する根拠となり得る。；光のエネルギー は光子の持つエネルギーの倍数の値のみを取り得る。；誘導員となるには、誘導員試験に合格し、誘導員資格を得る必要がある。；予選2位以内に入ることで非常に有利な条件を得ることができるシステムである。；渋に此の如き猟夫の有つたことを伝ひ得れば彼の為めには十分である。；彼らは一族のために、教会においても高い地位を得ることができた。；鉱業においては鉱石を電気分解して金属を得る電解精錬が行われている。</t>
        </is>
      </c>
      <c r="J890">
        <f>HYPERLINK("https://www.weblio.jp/content/得る", "词义详情")</f>
        <v/>
      </c>
      <c r="K890">
        <f>HYPERLINK("https://yourei.jp/得る", "查看例句")</f>
        <v/>
      </c>
    </row>
    <row r="891">
      <c r="A891" t="inlineStr">
        <is>
          <t>円</t>
        </is>
      </c>
      <c r="B891" t="inlineStr">
        <is>
          <t>成功</t>
        </is>
      </c>
      <c r="C891" t="inlineStr">
        <is>
          <t>読み方：まる
《「まろ」の音変化》
［名］
１まるい形。円形。また、球形。「該当する項目を—で囲む」
２答案などに正解または合格・優良の評価の意味でつけるまるい印。「正しい答えに—をつける」「図画で三重—をもらう」
３
㋐句点。文の終わりにつける「。」の符号。
㋑半濁点。「ぱ」「ピ」などの「゜」の符号。
４数字の零を読み上げるときにいう語。「一(いち)—三(さん)—（＝10時30分）に到着」
５金銭のこと。会話で親指と人差し指とで輪をつくって示すこともある。
６
㋐《甲羅が円形であるところから》主に関西で、スッポンのこと。
「鯛と烏賊のつくり合せや、—の吸物に」〈里見弴・多情仏心〉
㋑料理に使う骨付きのドジョウ。また関西で、ウナギのこと。
７城郭の内部。近世の城郭で内郭・外郭の外周をいい、その位置から本丸、二の丸、三の丸などと称する。「—の内」
８円形の紋所の名。円形単独のもののほか、薄(すすき)の丸、鶴の丸など他の模様と組み合わせたものもある。
９完全で、欠けたところのないこと。また、全部を包含していること。まるごと。「リンゴを—のままかじる」
「—に一夜さ添ひ果てず」〈浄・無間鐘〉
10
㋐重さの単位。一丸は50斤で、約30キロ。
㋑和紙を数える単位。一丸は、半紙では6締め、奉書紙では10束。
11江戸の吉原遊郭で、遊女の揚代が倍額になる日。正月や節句の日など。丸の日。
［接頭］
１数詞に付いて、その数が欠けることなく満ちている意を表す。「—一日」「—一月(ひとつき)」
２名詞に付いて、完全にその状態である、の意を表す。全体。そっくり。「—もうけ」「—焼け」
［接尾］《「まろ（麻呂）」から転じて》
１人名、特に稚児に用いる。「石童—」「牛若—」
２船の名に用いる。「海神—」
３刀・楽器その他の器物の名に用いる。「蜘蛛切(くもきり)—」
４犬や馬などの名に用いる。「常陸(ひたち)—」「木下—」
[下接語] 角(かど)丸・北の丸・黒丸・三の丸・樽(たる)丸・手丸・出丸・問(とい)丸・唐丸・胴丸・西の丸・二重丸・二の丸・日の丸・本丸・丸丸・真ん丸</t>
        </is>
      </c>
      <c r="D891" t="inlineStr">
        <is>
          <t>円部(3%)；円環；円墳；円五十；円以上</t>
        </is>
      </c>
      <c r="E891" t="inlineStr">
        <is>
          <t>輪；丸；円形；循環；サークル</t>
        </is>
      </c>
      <c r="F891" t="inlineStr">
        <is>
          <t>千円；一円；億円；百円；十円</t>
        </is>
      </c>
      <c r="G891" t="inlineStr">
        <is>
          <t>円盤；円滑；円柱；円筒；円筒形</t>
        </is>
      </c>
      <c r="H891" t="n">
        <v>29</v>
      </c>
      <c r="I891" t="inlineStr">
        <is>
          <t>江戸時代には側円と呼ばれ明治になって楕円と呼ばれるようになった。；また、回転した点の軌跡が円の一部である円弧の場合を指すことも多い。；日本でも古代から赤い真円で太陽を表すことは一般的ではなかったと思われる。；最も単純な方法は、観測できた天体の等高度円を地球上に描くことである。；文楽人形を意識して制作したとされ、制作費は1千万円とされている。；黄金色の円は月を表し、パラオ人の機が熟し独立国となったことを表す。；連珠盤の価格は将棋盤とほぼ同じで数千円から数百万円までさまざま。；ただし当時の花火はまだ真円には開かず、また入りも単色に限られていた。；力の方向は、円運動の場合には物体が運動している円の中心を向いている。；ルールは至って簡単で、まず棒が競技場内に描かれた円の中に設置される。；希少な人形である場合、数十万円などの高値で取引される場合もある。；一皿数百円の価格設定で寿司ネタの質が相対的に高い店は対面型が多い。；中に入ると円信閣と名づけられた前室があり、ここを通って堂内に入る。；価格はA2サイズでも数千円程度、小さいものだと数百円程度の物も存在する。；このことは、複素平面上の直線と円はほぼ同等であることを表している。；そして l はその円からの時空面上での距離を記述することになる。；脚本まで完成していたが、円谷一社長の急死によって頓挫してしまった。；旗のデザインは、緑の地に、中央からやや旗竿寄りに赤い円が描かれている。；小円とは回転体の断面の円、大円は小円の中心がなす円のことである。；後に円がデザインに加わるが、これは世界と人々を象徴している。；その一銭・五十銭および一円の黄銅貨はいずれも現在通用停止となっている。；阪妻プロの映画は、松竹の買い取り価格が一尺あたり二円四十銭だった。；そのため円は楕円の特殊な場合であると考えることもできる。；幕末には法導寺善が反転で円を直線に写して簡略化する手法を導入した。；鉄道施設を維持管理する甲賀市によると被害額は約3億5千万円という。；地図を表示する場合は、この円も同時に表示し利用者への参考としているものが多い。；円が複数組み合わされた形状や、さらに複雑な形状のものもある。；ケプラーの法則の発見は、地球含む惑星の形が真円ではないことを裏付けた。；また、等速円運動では質点の加速度の向きは、常に円の中心向きである。</t>
        </is>
      </c>
      <c r="J891">
        <f>HYPERLINK("https://www.weblio.jp/content/円", "词义详情")</f>
        <v/>
      </c>
      <c r="K891">
        <f>HYPERLINK("https://yourei.jp/円", "查看例句")</f>
        <v/>
      </c>
    </row>
    <row r="892">
      <c r="A892" t="inlineStr">
        <is>
          <t>縁</t>
        </is>
      </c>
      <c r="B892" t="inlineStr">
        <is>
          <t>成功</t>
        </is>
      </c>
      <c r="C892" t="inlineStr">
        <is>
          <t>読み方：えに
《「えん（縁）」の「ん」を「に」で表記したもの》えん。ゆかり。ちなみ。和歌では「江に」に掛けて用いることが多い。
「みをつくし恋ふるしるしにここまでもめぐり逢ひける—は深しな」〈源・澪標〉</t>
        </is>
      </c>
      <c r="D892" t="inlineStr">
        <is>
          <t>縁種(3%)；縁取り(2%)；縁取ら；縁部；縁なし</t>
        </is>
      </c>
      <c r="E892" t="inlineStr">
        <is>
          <t>家；間；際；関係；側</t>
        </is>
      </c>
      <c r="F892" t="inlineStr">
        <is>
          <t>前縁；後縁；林縁；全縁；法縁</t>
        </is>
      </c>
      <c r="G892" t="inlineStr">
        <is>
          <t>縁起；縁談；縁者；縁故；縁戚</t>
        </is>
      </c>
      <c r="H892" t="n">
        <v>29</v>
      </c>
      <c r="I892" t="inlineStr">
        <is>
          <t>これらのほとんどは、かつてはカラス属に近縁だろうと考えられていた。；羽縁が白い羽がササの葉に見え、和名の由来になったと考えられている。；近縁の化学物質であっても別のグループに分類されている場合がある。；その縁で福林正之にも紹介され、坂井の著書が出版されることになった。；近年では縁なし畳と同様、見栄えの良さから様々な場所に使用されている。；縁あって入った球団の指導者は何をしていいかいけないかを選手に教えるべき。；日没時刻は、太陽の縁が西の地平線の下に沈んだ瞬間として定義される。；近縁種を見分けるには背びれと側線の間にある鱗の列がポイントとなる。；複数の研究から、現存する最も近縁な種はミノバトと示唆されている。；しかしその後ふたたび、スズメ小目に近縁である可能性も指摘されている。；子供には・若木がおり、いずれも鳥と縁のある一族であると伝えられている。；古くはチドリ科 と近縁だと考えられたこともあったが、特に近縁ではない。；カッコウ目も に含まれるが、エボシドリ目とそれ以上には近縁でない。；彼女はどこもすぐに暇を出されるので、奉公先に縁がないとのことだった。；なお、近縁の数亜科にまたがる種類の魚をまとめてプレコと呼んでいる。；更に最高司令室は、スーパーレーザー・デッシュの縁に位置していた。；キヌバネドリ目と近縁な目との系統関係は次のようになっている。；縁と再会した後は15年前に巴を斬殺した罪に再び苛まれることとなる。；ほとんどの種で葉縁は全縁であるが、ユリノキ属では大きな陥入がある。；古代断層の多くはプレートの縁よりもプレートの中にあると見られている。；またペルシャの伝説に登場する巨鳥、シームルグとも近縁のものである。；マスクの白い縁取りの目の部分が尖っていないタイプの戦闘員もいる。；近縁種も含めサバ科の仲間でも特に前後に細長い体型で、左右に平たい。；姉と日本人男性の拉致事件を若宮が演劇化したことが縁であるという。；さらに近縁種のユウレイボヤでもゲノムプロジェクトが行われている。；これらは赤花の園芸品種であったが、近縁の品種であったと考えられている。；当寺に多くの日蓮の遺文が遺されているのはその縁であると言われている。；最も近縁な種はわずかに古い時代に生息したである。；没後も團の名を被せたコンサートが開かれるなど、八丈島との縁は深い。</t>
        </is>
      </c>
      <c r="J892">
        <f>HYPERLINK("https://www.weblio.jp/content/縁", "词义详情")</f>
        <v/>
      </c>
      <c r="K892">
        <f>HYPERLINK("https://yourei.jp/縁", "查看例句")</f>
        <v/>
      </c>
    </row>
    <row r="893">
      <c r="A893" t="inlineStr">
        <is>
          <t>宴会</t>
        </is>
      </c>
      <c r="B893" t="inlineStr">
        <is>
          <t>成功</t>
        </is>
      </c>
      <c r="C893" t="inlineStr">
        <is>
          <t>読み方：えんかい
酒食を共にし、歌や踊りを楽しむ集まり。えん。うたげ。</t>
        </is>
      </c>
      <c r="D893" t="inlineStr">
        <is>
          <t>宴会場；宴会料理；宴会用；宴会施設；宴会係</t>
        </is>
      </c>
      <c r="E893" t="inlineStr">
        <is>
          <t>会；集まり；パーティー；宴；パーティ</t>
        </is>
      </c>
      <c r="F893" t="inlineStr">
        <is>
          <t>盛大な宴会；大きな宴会；招いて宴会；集めて宴会；豪華な宴会</t>
        </is>
      </c>
      <c r="G893" t="inlineStr">
        <is>
          <t>宴会芸；宴会部長；宴会ゲーム</t>
        </is>
      </c>
      <c r="H893" t="n">
        <v>29</v>
      </c>
      <c r="I893" t="inlineStr">
        <is>
          <t>宴会料理では大きなボールで作った物を客が取り分けるスタイルもある。；絵画は背の高いキリスト像を中心に宴会が行われていることを示している。；いまあちらの野原で、その宴会が開かれているのでないかと思いました。；その他、吾妻鏡には宴会が行われた、荷物が置かれたなどの記述もある。；ある時朝鮮ホテルで、自分が主人役になつて、宴会を開いた事があつた。；昨晩だって旅川があの宴会に加わらなかったのは別に腹が立ちもしない。；家を出るに出られなくなった一行は宴会をはじめ、襲撃者は困惑する。；後には力士たちの宴会の図や稽古場風景などが描かれるようになった。；皇帝は湖面の氷に穴を開けて魚を捕り、その魚を用いて宴会を開いていた。；地主である女性によって開催された宴会には、多くの酒と食物があった。；そして、これで宴会へつれていってもらえるものとばかり思っていました。；特に宴会後の午後遅くになると睡眠が必要だと感じられるようになる。；宴会は下のようだったが、僕は二階のとっつきのごく小さな室へ案内された。；そこは通路であると同時に宴会の座を設ける場所としても利用される。；何年も後、ベルシャザルは宴会を開き、手の指が現れて壁に文字を書いた。；今の民間の宴会は、神事の直会以後の形をとつてやつて居るのである。；ペトラなどの遺跡ではこのような宴会用の施設が発見されている。；取引が成功した商人は、神への感謝と成功の誇示をするために宴会を主催した。；それはマウントバーノンの宴会室のために作られ、まだ見ることができる。；ウォルシンガムは絶望から離れるために宴会を開いているのだと主張する。；混雑した宴会場面のヴェロネーゼの描写は下から上を見るようになっている。；丞相公孫弘と宴会の席で会う時には、冠を被らないでいることもあった。；狩猟や酒、宴会を好み、亡くなった時には酒が原因との意見が大勢を占めた。；秋の紅葉シーズンに「観楓会」と呼ばれる宴会が実施される習慣がある。；これに対してヴィスマールでは 2年ごとに宴会が行われるだけである。；帝政は彼らを政治的に抑圧し、また宴会騒ぎで彼らを道徳的に怒らせた。；そこでは会稽の吏が宴会をしていたが、朱買臣には目もくれなかった。；建物の全長を使って、1つの巨大な宴会用テーブルが置かれたこともあった。；そして、こんどこそ、宴会へつれていってもらえるものと思っていました。</t>
        </is>
      </c>
      <c r="J893">
        <f>HYPERLINK("https://www.weblio.jp/content/宴会", "词义详情")</f>
        <v/>
      </c>
      <c r="K893">
        <f>HYPERLINK("https://yourei.jp/宴会", "查看例句")</f>
        <v/>
      </c>
    </row>
    <row r="894">
      <c r="A894" t="inlineStr">
        <is>
          <t>円滑</t>
        </is>
      </c>
      <c r="B894" t="inlineStr">
        <is>
          <t>成功</t>
        </is>
      </c>
      <c r="C894" t="inlineStr">
        <is>
          <t>読み方：えんかつ
［名・形動］
１物事が滞らず、すらすら運ぶこと。また、そのさま。「会の—な運営」
２かどばらず滑らかなこと。また、そのさま。
「家の外ではきわめて—な人として通っていたが」〈藤村・家〉
[派生]えんかつさ［名］</t>
        </is>
      </c>
      <c r="D894" t="inlineStr">
        <is>
          <t>円滑化(15%)；円滑に行うため(2%)；円滑に進めるため(2%)；円滑な交通(2%)；円滑な運営(2%)</t>
        </is>
      </c>
      <c r="E894" t="inlineStr">
        <is>
          <t>順調；なめらか；なだらか；スムーズ；流暢</t>
        </is>
      </c>
      <c r="F894" t="inlineStr">
        <is>
          <t>安全かつ円滑；円滑かつ迅速；円滑化取組報告書；円滑な意思疎通；円滑な物流</t>
        </is>
      </c>
      <c r="H894" t="n">
        <v>29</v>
      </c>
      <c r="I894" t="inlineStr">
        <is>
          <t>それでもこれらの女性達は軍宿営地の運営を円滑にする役割を果たした。；発電設備の建設と運転を円滑にすることを目的として以下の対策をする。；テヨンの開発タイトルを日本で円滑に発売する目的で2011年に設立。；そのような場合には、大統領が望む政策を円滑に実行することは困難となる。；横浜市会には円滑な議会活動を補助するために、議会局が置かれている。；円滑に社会を営むために人間にはそれぞれ役割が与えられなければならない。；しゃべってコンシェルの技術を応用し、円滑な会話が可能となっている。；警備所にはこれらを円滑にチェックして中に入れる工夫も求められる。；バスなどの公共交通機関の円滑な交通を優先する規則も日本よりも厳しい。；また冷却水の供給が円滑に行われなかったことで燃料がメルトダウンした。；そのため、占領地域等における円滑な統治のために本会議は開催された。；具体的には、金融の円滑化を図る環境の整備にかかわる政策を所管する。；シンクロメッシュを円滑に行い、運転操作を容易にするための機構である。；党則では、党の国会活動を円滑処理する為に国会対策委員会を設置する。；そのため、これを円滑に進める目的で両団体の間で組織統合の話が進められた。；円滑な予選会運営のため、第11回から事前ビデオ審査が行われている。；斉脩の御簾中が将軍の娘であることから、幕府との関係は円滑に運んだ。；秤量所での交通を円滑にするため、電子バイパス方式を導入した州が多い。；被告またはその代理人への連絡を円滑に行うために要求されている。；円滑に調査を行うためマンション管理者への協力を要請している。；日本では道路標識は道路における交通の安全と円滑を図るために設けられる。；もっとも、桜町天皇と兼香の間が常に円滑ではなかったとする見方もある。；また砂糖作りの奨励も行い、取引を円滑化するため砂糖為替法を定めた。；他に幾人かの王位継承権者がいたが、権力の移管は円滑に進められた。；これにより回転の伝達が円滑になり、また歯にかかる力が小さくなる。；しかしそれにこだわりすぎたり、円滑なプレーの進行を妨げてはならない。；作戦会議を前に予想されるヒトラーの質問に円滑に答えられるように行われた会議だった。；この戦い以降、現地兵の徴募が円滑に進むようになったのである。；一般道路との円滑な合流を期するために出口専用の信号機が設置されている。</t>
        </is>
      </c>
      <c r="J894">
        <f>HYPERLINK("https://www.weblio.jp/content/円滑", "词义详情")</f>
        <v/>
      </c>
      <c r="K894">
        <f>HYPERLINK("https://yourei.jp/円滑", "查看例句")</f>
        <v/>
      </c>
    </row>
    <row r="895">
      <c r="A895" t="inlineStr">
        <is>
          <t>縁側</t>
        </is>
      </c>
      <c r="B895" t="inlineStr">
        <is>
          <t>成功</t>
        </is>
      </c>
      <c r="C895" t="inlineStr">
        <is>
          <t>読み方：えんがわ
１「縁(えん)6」に同じ。
２魚のひれの基部にある骨。担鰭骨(たんきこつ)のこと。また、カレイやヒラメの背びれ・しりびれの付け根にある肉。</t>
        </is>
      </c>
      <c r="D895" t="inlineStr">
        <is>
          <t>縁側近く；縁側に近い；縁側伝い；縁側へ出て見る</t>
        </is>
      </c>
      <c r="E895" t="inlineStr">
        <is>
          <t>縁；ベランダ；バルコニー；ヴェランダ；廻廊</t>
        </is>
      </c>
      <c r="F895" t="inlineStr">
        <is>
          <t>広い縁側；まま縁側；日当たりのいい縁側；縁側に出て雨戸；縁側に近いところ</t>
        </is>
      </c>
      <c r="H895" t="n">
        <v>29</v>
      </c>
      <c r="I895" t="inlineStr">
        <is>
          <t>彼は両手を前に伸ばして、縁側だと思う方向に、そろそろと歩きだした。；奥の部屋の方に居る自分のところへ縁側づたいに挨拶に来た時の彼女の眼。；二階の縁側のガラス戸のすぐ前に大きな楓が空いっぱいに枝を広げている。；お母さんは困った顔をして靴をまたそこへ置き、縁側に腰をおろした。；時には彼は独りで座敷の外へ出て二階の縁側から見える港の空を望んだ。；俥が宿へ着いたとき、三階の縁側には母の影も兄の姿も見えなかった。；品物を父の寐ている部屋の縁側へ並べて傷がないかしらべたりしました。；神谷はなにかと彼女を慰めながら、縁側の向こうの狭い庭を眺めていた。；その時客の足音が縁側にして、案内も待たずに兄の誠吾が這入って来た。；五六分もたつと、朝倉先生は手紙を書き終えて、自分も縁側に出て来た。；そしてそこの縁側の手摺にもたれて立ち、独語のようにわたしへ言った。；誰もなんともいわないで、縁側の上に釘付にされたように立っていた。；ある日二階の縁側に立って南から西の空に浮かぶ雲をながめていた。；夫は食事をしたくないと云ひ、縁側でぼんやり庭の木を眺めてゐた。；下の縁側からは、母親と妹がすぐそばで寝ているので、とても出られない。；その時にチエ子さんはお縁側を見ると一匹の虻が死んで落ちておりました。；二階の縁側に立って自分の通るのをじっと見下していたのは彼女だ。；振り仰ぐと五十人あまりの女が縁側から余を眺めて笑っているのだ。；が、更に驚いたのはこの頃ふと架上の書を縁側の日の光に曝した時である。；節子は庭から縁側に上って、昼飯の支度をするために勝手の方へ行った。；そこは二方に縁側がついていて、さっぱりした明るいところであった。；「お母ちゃま、何」 かけ上って来た行雄を私は縁側にしっかり抱いた。；広い縁側の長椅子の上に長々と横になつてゐる人間たちを眺めやつた。；その部屋の縁側へ出て、いつものやうに馬耳は籐椅子に腰をおろした。；子供は二人とも聞くか聞かぬかに向うの縁側の方へ走つて行つた。；この子供は時々縁側から上って来て、皆の見ている前で母親の懐を探った。；ふと気がついて見ると私のすぐ眼の前の縁側の端に一枚の浅草紙が落ちている。；縁側から見ますと、向いの右手に御隠殿の急な坂の片端が見えるのでした。；縁側に踞まってぼんやり庭を眺めている時など、それが浮んできました。</t>
        </is>
      </c>
      <c r="J895">
        <f>HYPERLINK("https://www.weblio.jp/content/縁側", "词义详情")</f>
        <v/>
      </c>
      <c r="K895">
        <f>HYPERLINK("https://yourei.jp/縁側", "查看例句")</f>
        <v/>
      </c>
    </row>
    <row r="896">
      <c r="A896" t="inlineStr">
        <is>
          <t>沿岸</t>
        </is>
      </c>
      <c r="B896" t="inlineStr">
        <is>
          <t>成功</t>
        </is>
      </c>
      <c r="C896" t="inlineStr">
        <is>
          <t>読み方：えんがん
１陸地の、海・川・湖などに沿った部分。「地中海—の国々」
２海・川・湖などの、陸地に沿った部分。「—での漁業」</t>
        </is>
      </c>
      <c r="D896" t="inlineStr">
        <is>
          <t>沿岸地方；沿岸国；沿岸部；沿岸地帯；沿岸都市</t>
        </is>
      </c>
      <c r="E896" t="inlineStr">
        <is>
          <t>岸；岸辺；岸べ</t>
        </is>
      </c>
      <c r="F896" t="inlineStr">
        <is>
          <t>日本海沿岸；黒海沿岸；バルト海沿岸；瀬戸内海沿岸；アドリア海沿岸</t>
        </is>
      </c>
      <c r="G896" t="inlineStr">
        <is>
          <t>沿岸警備隊；沿岸地域；沿岸域；沿岸漁業；沿岸砲</t>
        </is>
      </c>
      <c r="H896" t="n">
        <v>29</v>
      </c>
      <c r="I896" t="inlineStr">
        <is>
          <t>島はどれも沿岸近くに位置し、湖の中心部近くには全く存在しない。；日本沿岸でも、1980年代半ば以降では大きな上昇率が観測されている。；大西洋沿岸のほぼすべての地域には有史以前から人類が居住していた。；沿岸の地域は特に内陸の地域に比べて熱帯低気圧の影響を受けやすい。；古くはヨーロッパ沿岸河川、北米大西洋沿岸でも商業的に生産されていた。；仙台市の南東に隣接する太平洋沿岸の都市で、市内には仙台空港がある。；さらに伊勢路に入ると二手に分かれて、沿岸と街道筋の測量を行った。；クイーンズランド州沿岸では日帰りのボートツアーを企画する都市も多い。；北部の沿岸低地地方は文化的であり、人口の大部分はこの地域に居住している。；三陸地方沿岸に鉄道を敷設する構想が生まれたのは、1896年である。；津波による水の圧力は非常に大きく、沿岸の広い地域に被害を与える。；戦前の日本本土に構築された全ての要塞はこうした沿岸要塞であった。；事前に登録された沿岸船舶向けに、24時間受付・伝送が行われている。；シドニー湾沿岸には少なくとも4万年前からアボリジニが定住していた。；日本列島など大陸沿岸の島々には旧石器時代から人間が居住していた。；しかしカーブル川沿岸の別の集落や、カーピシーなどへの比定説もある。；ムーランの地名はアリエ川沿岸に点在する風車小屋に由来するとされる。；北日本沿岸からカリフォルニア州までの北太平洋沿岸に広く分布する。；日本海沿岸を通過するルートをとるが、数々のトンネルを通過する。；沿岸には砂泥域が広がっており、板びき網漁業などが行われている。；中国南部沿岸には、倭寇と呼ばれる海上の無法者たちが襲撃を重ねていた。；この変態の過程で、沖合から沿岸に向かって接岸回遊を行うものもいる。；そして、8月29日にこの都市の近くのメキシコ湾沿岸に再上陸した。；市内中心部の被害はある程度抑えられたものの、沿岸集落は壊滅的被害となった。；黒海沿岸に位置しており、ロシアの中では比較的温暖な地方である。；冬期も繁殖地沿岸に留まることが多く、あまり長距離の渡りは行わない。；なお、東京湾の東沿岸でも、とりわけ千葉市内は分布密度が高いとされる。；内航海運も沿岸に立地する工業地帯の多い日本では大きな存在である。；この2都市を除けば人口10万を超える都市は北極海沿岸には存在しない。</t>
        </is>
      </c>
      <c r="J896">
        <f>HYPERLINK("https://www.weblio.jp/content/沿岸", "词义详情")</f>
        <v/>
      </c>
      <c r="K896">
        <f>HYPERLINK("https://yourei.jp/沿岸", "查看例句")</f>
        <v/>
      </c>
    </row>
    <row r="897">
      <c r="A897" t="inlineStr">
        <is>
          <t>延期</t>
        </is>
      </c>
      <c r="B897" t="inlineStr">
        <is>
          <t>成功</t>
        </is>
      </c>
      <c r="C897" t="inlineStr">
        <is>
          <t>読み方：えんき
［名］(スル)期日や期限を延ばすこと。「開催を来月に—する」「公開をさらに一週間—する」</t>
        </is>
      </c>
      <c r="D897" t="inlineStr">
        <is>
          <t>延期する(7%)；延期される(4%)；延期派；延期論；延期しよ</t>
        </is>
      </c>
      <c r="E897" t="inlineStr">
        <is>
          <t>見合わせ；伸ばす；見送り；遅延；猶予</t>
        </is>
      </c>
      <c r="F897" t="inlineStr">
        <is>
          <t>無期限延期；再延期；公開延期；登録延期；開催延期</t>
        </is>
      </c>
      <c r="H897" t="n">
        <v>29</v>
      </c>
      <c r="I897" t="inlineStr">
        <is>
          <t>しかし、肩を故障して手術する事になりWWEでの復帰が延期となった。；しかし、そのアルバムのリリースは、後に大幅に延期されることとなる。；徴兵は17歳の時に行われ、進学の場合を除き延期は認められていない。；コロナ禍の事情で延期中止が続いていた中で、久々のツアーを開催した。；延期を求められた時点で各号機の状態は下記のようになっていた。；地震のシーンが多いテレビ番組は放送を中止または延期するなどした。；当初は2020年リリース予定となっていたが、後に延期が発表された。；また、当初は4月10日発行予定であったが開通が伸びて延期されていた。；ところが7月7日になってインタビューの延期を示唆し始めたという。；ただし、6号機は設計の遅れをこの延期で取り戻すことが出来たという。；同時に大統領選挙の延期を発表したほか、内務大臣を新首相に任命した。；このため同時期に予定されていた訪米は翌年に延期、訪韓は中止になった。；完了した問題の数と延期の尺度の間には非常に強い逆相関があった。；成宗の時代に再び派遣が計画されたが、日本の政情不安のため延期となる。；元は2011年の打ち上げ予定であったが、度々延期されたものである。；鈴木は公開を一年延期しようと提案したが、宮崎と安藤はこれを否定。；当日は授業は延期され、学生は、様々な活動に参加することになる。；そして完成日を2009年12月2日に延期するという発表が行われた。；日程が出産間近に予定されていたコンサートは約半年の延期となった。；当初は2004年秋公開予定だったものの約半年延期となって公開された。；富井も一旦は胸像制作を受諾したが、あとになって延期を申し出ている。；この事故の影響で福岡オリンピック構想で行われるイベントが延期となった。；同ツアーの仙台公演でもライブ前に路上で倒れ、ライブが延期となる。；計画されている一部のLGVについては無期限延期にすると発表した。；二・三部以下の入替戦は延期等により大学グラウンドでの開催実績もあり。；コッポラが何百万フィートに及ぶ映像を編集したことで何度も公開が延期された。；後に旧民法がこれを変えたことは、延期論の理由の一つとなった。；これに対して政治団体の男性が博物館に電話をかけ無期限延期を要求した。；そのため死刑は確定していたものの執行は長く延期となっていた。</t>
        </is>
      </c>
      <c r="J897">
        <f>HYPERLINK("https://www.weblio.jp/content/延期", "词义详情")</f>
        <v/>
      </c>
      <c r="K897">
        <f>HYPERLINK("https://yourei.jp/延期", "查看例句")</f>
        <v/>
      </c>
    </row>
    <row r="898">
      <c r="A898" t="inlineStr">
        <is>
          <t>演技</t>
        </is>
      </c>
      <c r="B898" t="inlineStr">
        <is>
          <t>成功</t>
        </is>
      </c>
      <c r="C898" t="inlineStr">
        <is>
          <t>読み方：えんぎ
［名］(スル)
１見物人の前で芝居・曲芸・歌舞や、体操などの技を行って見せること。また、その技。「模範—」
２本心を隠して見せかけの態度をとること。「ことさらに仲のよさを—する」</t>
        </is>
      </c>
      <c r="D898" t="inlineStr">
        <is>
          <t>演技指導(2%)；演技力；演技賞；演技経験；演技研究所</t>
        </is>
      </c>
      <c r="E898" t="inlineStr">
        <is>
          <t>出演；演奏；プレー；公演；芝居</t>
        </is>
      </c>
      <c r="F898" t="inlineStr">
        <is>
          <t>素晴らしい演技；見事な演技；最優秀演技；自然な演技；演技研修</t>
        </is>
      </c>
      <c r="G898" t="inlineStr">
        <is>
          <t>演技者；演技派；演技構成点；演技性人格障害；演技の三冠</t>
        </is>
      </c>
      <c r="H898" t="n">
        <v>29</v>
      </c>
      <c r="I898" t="inlineStr">
        <is>
          <t>この経験から声優は声よりも演技が重要だと考えるようになったという。；代表作とされるこの作品での演技は俳優仲間にも評判が良かったという。；主演のジェームズ・ディーンの演技が話題を呼び、大ヒットを記録した。；その他、韓国・中国・オランダ・スウェーデンなどでも演技している。；物語を語るのに演技よりも歌やダンスを使用し、全ての曲に意味を持たせた。；以前に行ったような演技の繰り返しを避けることが重視された。；モデルのアルバイトをしながらリー・ストラスバーグの元で演技を学ぶ。；一方で、読んだ書物の登場人物になりきって演技を試みる癖があった。；スタッフ会議や演技指導の際には、皆がルーカスに目を合わせている。；でも父は自分が努力したり演技に苦しんだりする姿を誰にも見せませんでした。；軍曹の台詞の一部は彼が手がけ、また一部の演技は彼のアドリブである。；トアはなんとか大会までにオリジナルの演技を完成させようとする。；またその一方でカルト的な内容の作品でエキセントリックな演技を見せた。；英語の家庭教師を務めたによると、誰もが彼女の演技に大笑いしたという。；笑いの要素が好きで演技にも感動させられると語っていた。；その演技力と存在感は高い評価を受け、また、新たなファンを獲得した。；オリヴァーの件にしても、人々に感動を与えたのは彼の演技だった。；両親共に役者で、彼女が幼いときはアトランタで演技学校を経営していた。；ブランドはこの演技でプライムタイム・エミー賞助演男優賞を受賞した。；自身の監督作品の中では初の演技部門での受賞となった。；演技終了前から2万人の観客のスタンディング・オベーションを受ける。；子供の頃から演じることに興味をもち、演技のクラスを取っていた。；子供のころから歌やピアノの才能を発揮していたが、後に演技の道を進むようになる。；当時は劇場の役者への演技指導や、施設のプロデュースを行っていた。；ただしこのとき、実際の演技として伎楽が上演されたかどうかは不明。；マイアベーアからは作品の中の演技に合唱を効果的に用いる術を得ている。；前者は分かりやすいものの、実際の演技では実施が難しいとされる。；現在ではニューヨークの大学で演技の講師もしている。；それに加えて、演技経験もなかったので、必ず落選すると本人は信じていた。</t>
        </is>
      </c>
      <c r="J898">
        <f>HYPERLINK("https://www.weblio.jp/content/演技", "词义详情")</f>
        <v/>
      </c>
      <c r="K898">
        <f>HYPERLINK("https://yourei.jp/演技", "查看例句")</f>
        <v/>
      </c>
    </row>
    <row r="899">
      <c r="A899" t="inlineStr">
        <is>
          <t>縁起</t>
        </is>
      </c>
      <c r="B899" t="inlineStr">
        <is>
          <t>成功</t>
        </is>
      </c>
      <c r="C899" t="inlineStr">
        <is>
          <t>読み方：えんぎ
《「因縁生起」の略》
１吉凶の前触れ。兆し。前兆。「—がよい」
２物事の起こり。起源や由来。
３社寺・宝物などの起源・沿革や由来。また、それを記した書画の類。「信貴山(しぎさん)—絵巻」
４仏語。因縁によって万物が生じ起こること。</t>
        </is>
      </c>
      <c r="D899" t="inlineStr">
        <is>
          <t>縁起絵巻(3%)；縁起譚；縁起并流記；縁起書；縁起文</t>
        </is>
      </c>
      <c r="E899" t="inlineStr">
        <is>
          <t>気配；合図；記号；目印；兆候</t>
        </is>
      </c>
      <c r="F899" t="inlineStr">
        <is>
          <t>伽藍縁起；寺縁起；寺社縁起；華厳縁起；幻想郷縁起</t>
        </is>
      </c>
      <c r="G899" t="inlineStr">
        <is>
          <t>縁起担ぎ；縁起もの；縁起棚；縁起説；縁起直し</t>
        </is>
      </c>
      <c r="H899" t="n">
        <v>29</v>
      </c>
      <c r="I899" t="inlineStr">
        <is>
          <t>赤い紙に各種縁起の良い対句を書いたものをいい、家の入口などに貼る。；そのため、覚えやすい又は縁起の良い電話番号は高値で取引されている。；一の位と十の位を足して10になる数字を縁起が良いと言って好んでいる。；縁起を担いで、先発した日から次の先発までの間はひげを剃らなかった。；モンゴル人は縁起の良い言葉や仏教的な言葉を選んで子供を名付ける。；運搬時に落ちた石は「落城」に通じ縁起が悪いとされ捨てられた説がある。；神社縁起によると創建は成務天皇二十一年とされるが、実際の年代は不明。；「千種の花」などの縁起の良いイメージからきた瑞祥地名であるという。；秋頃に見られた時には、サケを招く縁起の良い魚と見なされる事もある。；縁起が良さそうな地名や鉄道駅名が験担ぎの対象になることもある。；なお開業日は八の字が重なる日は縁起が良いとのことで、特に選ばれた日であった。；円仁の開基とする縁起もあるが、文献の多くが失われていて定かではない。；建立の由来を述べる縁起類にも異本が多くあり、内容は必ずしも同一ではない。；珍しいものとしては縁起を担いでか鶴の骨で製作したとされるものまである。；龍も同様に風水によれば非常に縁起の良い想像上の動物として知られている。；冬でも葉が落葉せずに枝に残ることから、日本では神が宿る縁起木とされている。；長い名前や縁起のいい名前をモチーフにした話は他にもある。；七福神の中では大黒天が袋を持っており、縁起が良いとされている。；縁起にあるように、先ず寺院建立の基礎となる宝塔石を探すこととなった。；縁起が良い鳥として危害が加えられないため、人をそれほど恐れない。；若水を汲む時には「黄金の水を汲みます」など縁起の良い言葉を唱えた。；全問正解者または全問不正解者が出ると、その年は縁起が良いとされる。；この意図を達成するために、仏教思想を参照し、「縁起」の概念を使用した。；その希少性により日本各地で縁起のいい動物として信仰の対象となっている。；成立は正中2年-元徳元年の間で後述する縁起絵巻に先行して成立した。；すなわち、この思想は仏教思想の根本たる縁起の説とは真っ向から対立する。；この場所が縁起がよいとして建設を開始するも、必ず途中で寺院は崩れてしまっていた。；陰陽道では奇数を縁起のよい陽の数とし、その極値が9であることによる。；しかしさらに烏の啼く声を聞き、いよいよ縁起の悪さに胸騒ぎを覚える。</t>
        </is>
      </c>
      <c r="J899">
        <f>HYPERLINK("https://www.weblio.jp/content/縁起", "词义详情")</f>
        <v/>
      </c>
      <c r="K899">
        <f>HYPERLINK("https://yourei.jp/縁起", "查看例句")</f>
        <v/>
      </c>
    </row>
    <row r="900">
      <c r="A900" t="inlineStr">
        <is>
          <t>縁起物</t>
        </is>
      </c>
      <c r="B900" t="inlineStr">
        <is>
          <t>成功</t>
        </is>
      </c>
      <c r="C900" t="inlineStr">
        <is>
          <t>読み方：えんぎもの
１縁起を祝うための品物。社寺や境内で参詣人に売る、だるま・招き猫や酉(とり)の市の熊手(くまで)など。
２しめ飾り・門松など正月祝賀用の品物。</t>
        </is>
      </c>
      <c r="D900" t="inlineStr">
        <is>
          <t>縁起物語(2%)</t>
        </is>
      </c>
      <c r="H900" t="n">
        <v>29</v>
      </c>
      <c r="I900" t="inlineStr">
        <is>
          <t>中華人民共和国では縁起物として人気があり、日本から輸出されてきた。；大阪では「牛は倒れん」と建築祝いの縁起物とされており名声を得た。；日本では縁起物とされ結納品などにも用いられ寿留女と表記される。；博物館で鎌倉から信長の時代へかけての色々の縁起物の繪卷物を見た。；四国の店舗などでは額に入れて縁起物として飾ってあるお店がある。；その一方で前述のように縁起物とされ、フクロウの置物も存在する。；この他、親から子へ次々と増えて成長することから縁起物としても重用されている。；縁起物として、紅白となるよう白いだるまを作ることも行われてきた。；彼は、『富雄君に縁起物のお土産を買って送るよ』と言ったそうです。；この時代の武士のあいだに流行した縁起モノである。；この理由は、前述した様に縁起物であるため、割り切れる数字を避けてのことである。；また各候補の選挙事務所には、字は違うが発音が同じ縁起物が持ち込まれる場合が多い。；遊女屋には大切な縁起物であり、毎年、新しいのを内所の縁起棚に飾る。；破魔矢とは、正月の縁起物や神具として神社・寺院で授与される矢である。；古くよりハレを意味する縁起物であり日本の伝統的な旗である。；市には縁起物の熊手やお多福の面、八つ頭を笹の葉に通したものが売られた。；この魚を縁起物にしている地域もある。；縁起物である招き猫においては、三毛猫がモデルにされることが多い。；日本国内で縁起物として、いくつかの企業が商品化している。；後に、一年の好運を射止める縁起物として初詣で授与されるようになった。；またラーンナー地域では縁起物とされ、しばしば宴会や祝いの席で提供される。；日本の室町時代末期には、獏の図や文字は縁起物として用いられた。；まだお二つですから、羽根突きはなさいませんでしょうけれど、縁起物ですものね。；一つの店には達磨や招き猫などの縁起物や、子供のための風車や面などが並べられている。；だるまや招き猫の置物と同様に縁起物として室内の装飾などに用いられる。；この縁起物は神社から授与されるもので「吉兆」とも呼ばれる。；これは厄除けの縁起物で食べるためのものではない。；なお、この菓子がねじられているのは元々しめ縄の形を表現したものであり縁起物とされていた。；確率の決定が記憶の力による物だとすれば、縁起物が確率を操作する力を持つのも当然なのかも知れない。</t>
        </is>
      </c>
      <c r="J900">
        <f>HYPERLINK("https://www.weblio.jp/content/縁起物", "词义详情")</f>
        <v/>
      </c>
      <c r="K900">
        <f>HYPERLINK("https://yourei.jp/縁起物", "查看例句")</f>
        <v/>
      </c>
    </row>
    <row r="901">
      <c r="A901" t="inlineStr">
        <is>
          <t>婉曲</t>
        </is>
      </c>
      <c r="B901" t="inlineStr">
        <is>
          <t>成功</t>
        </is>
      </c>
      <c r="C901" t="inlineStr">
        <is>
          <t>読み方：えんきょく
［形動］［文］［ナリ］言いまわしが穏やかでかど立たないさま。露骨でなく、遠まわしに言うさま。「申し出を—に断る」「—な表現」</t>
        </is>
      </c>
      <c r="D901" t="inlineStr">
        <is>
          <t>婉曲的(19%)；婉曲な表現(5%)；婉曲な言いまわし；婉曲な言い方；婉曲な語法</t>
        </is>
      </c>
      <c r="F901" t="inlineStr">
        <is>
          <t>婉曲的な表現</t>
        </is>
      </c>
      <c r="G901" t="inlineStr">
        <is>
          <t>婉曲法；婉曲語法；婉曲話法</t>
        </is>
      </c>
      <c r="H901" t="n">
        <v>29</v>
      </c>
      <c r="I901" t="inlineStr">
        <is>
          <t>また害虫は導管の婉曲部の水で遮られて下の槽に達することはできない。；これらでは置き去り刑を婉曲的に「島の総督への任命」と表現していた。；これほど何の衒いも婉曲もなく、己の嫉妬心を口にした女は初めてだった。；もつと金がほしいのを婉曲に言つてゐると疑はれさうだからである。；甚だ婉曲にですが、この辺の消息を立派に洩してあったではありませんか。；その意味を婉曲に伝えるためには、なんと言えば、よいのであろう?；そして十日以内に出てゆくようにとの婉曲な通告が伝えられた。；婉曲にいったところで無駄だと知って、彼はぶっきらぼうにいった。；婉曲なる詩の時代はまた生々しい散文の時代であったことは注意すべきである。；ボーセアン夫人が婉曲に述べたことを、じつにずけずけと言やあがった。；さらに冗長さは、曖昧に言ったり、婉曲的に言ったりする時にも使われる。；また美諡でも、実際に皇帝を婉曲に批判している可能性を持つ。；「考えておく」 という返事は、昔は、拒絶の意志の婉曲な表示だった。；ことに女たちは言いまわしに気をつけて婉曲な表現を用いた。；それは長い伝統に洗練された、婉曲な、なめらかな言葉ばかりだった。；婉曲的表現になっているのは被害に遭った女性に対する配慮である。；山下は滝が婉曲に彼を良からとおざけようとしていることを悟ったらしい。；その婉曲さのなかに、相手をばかにした気持を含ませている。；しかし、守旧派が多数を占める藩庁は婉曲にこれを拒否する返書を送った。；いま風の、とってつけたような“婉曲語”は彼の語彙のなかにはない。；転じて、言葉によって婉曲的にわからせる事についてもなぞなぞという。；トルーマンは、非常に婉曲にではあるが、老将軍の引退をほのめかしたのだ。；婉曲な表現は使わず、「死にかかっている」という直截な言葉を使用した。；結局一四九一年に至って審査が決定し、彼は婉曲に拒否された。；相手に想いを伝えようとするときにはなるべく婉曲な表現を用いる。；彼は婉曲な言いまわしや、上品な機知など持ちあわせない男であった。；彼の心は、独特の婉曲な回転の仕方をはじめていった。；そんな状態には手を焼いた、などという言葉は、婉曲な表現というものだ。；やさしく婉曲に注意してもらうと、誰でも気持よくそれに耳を傾けることが出来る。</t>
        </is>
      </c>
      <c r="J901">
        <f>HYPERLINK("https://www.weblio.jp/content/婉曲", "词义详情")</f>
        <v/>
      </c>
      <c r="K901">
        <f>HYPERLINK("https://yourei.jp/婉曲", "查看例句")</f>
        <v/>
      </c>
    </row>
    <row r="902">
      <c r="A902" t="inlineStr">
        <is>
          <t>円形</t>
        </is>
      </c>
      <c r="B902" t="inlineStr">
        <is>
          <t>成功</t>
        </is>
      </c>
      <c r="C902" t="inlineStr">
        <is>
          <t>読み方：えんけい
まるい形。</t>
        </is>
      </c>
      <c r="D902" t="inlineStr">
        <is>
          <t>円形広場；円形状；円形断面；円形都市；円形ドーム</t>
        </is>
      </c>
      <c r="E902" t="inlineStr">
        <is>
          <t>円；輪；丸；循環；サークル</t>
        </is>
      </c>
      <c r="F902" t="inlineStr">
        <is>
          <t>卵円形；大きな円形；小さな円形；完全な円形；巨大な円形</t>
        </is>
      </c>
      <c r="G902" t="inlineStr">
        <is>
          <t>円形闘技場；円形脱毛症；円形競技場；円形章；円形校舎</t>
        </is>
      </c>
      <c r="H902" t="n">
        <v>29</v>
      </c>
      <c r="I902" t="inlineStr">
        <is>
          <t>形状は円形が多いが、これは蓋が穴の中に落ちないようにするためである。；主に紡錘形のタイプと円形のタイプとそれ以外の形のタイプに分かれる。；は公園北東隅の110丁目と5番街の交差点に位置する円形広場である。；これらの衛星が円形の影を木星表面に落としている光景はよく見られる。；多くは円形で中心部に方形の穴が開けられた有孔貨幣であることが多い。；車体は箱形で全体的に丸みを帯びており、円形の側窓が特徴的である。；円形であったといわれるが、現在はっきりしている範囲では楕円形である。；先頭の形状が従来の円形から角形になり、車両の形状が大きく変更される。；円形をした山頂部には木が生えておらず、矮性低木があるばかりである。；ビルに隣接する円形ホールは、各種セミナー会場等に利用されている。；いずれも形は円形で中央に正方形の穴が開いている円形方孔の形式である。；なお十二支を円形に並べると三合局となる十二支は正三角形を構成する。；また自身も黒地に大きく白い円を描くなど円形を題材にした多くの作品を描いた。；例えば円形電流の中心付近に発生する磁場を求める場合がそうである。；半円形の劇場は141年の地震で崩壊したのちに再建されたものと考えられている。；上から見ると円形で、土を盛って周囲のグラウンドよりも高くなっている。；円形の踏み台で、何もない空中に固定し、その上に乗ることができる。；円形に羽根を付けたデザインの専用ヘッドマークも新調の上装着された。；この様な状況から、円形になるよう放射状に署名する形式は登場した。；イメージサークルとは、レンズを通った光が結像する円形の範囲のこと。；すべての方向に沈み込んで円形や楕円形上になっている構造をと呼ぶ。；円形のガラスの箱に入れられた花が3つ、その上に置かれている。；この時点で、22と24は側窓上に半円形の飾り窓の跡が残っていた。；口を含む端はほぼ円形の面をなすことが多く、これを口盤という。；化石そのものは円形でなめらかなもので、硬い組織からなる部分はない。；折りたたまれた外側は大きな円形の一枚図のページと文章のみのページになっている。；外周がグラウンドに近い形状のものと円形になっているものがある。；その輪は円形となり、時間経過に伴い指数関数的に直径が大きくなる。；戦闘時はPCや敵は円形を3分割したマスの中のどれかにいると扱われる。</t>
        </is>
      </c>
      <c r="J902">
        <f>HYPERLINK("https://www.weblio.jp/content/円形", "词义详情")</f>
        <v/>
      </c>
      <c r="K902">
        <f>HYPERLINK("https://yourei.jp/円形", "查看例句")</f>
        <v/>
      </c>
    </row>
    <row r="903">
      <c r="A903" t="inlineStr">
        <is>
          <t>演芸</t>
        </is>
      </c>
      <c r="B903" t="inlineStr">
        <is>
          <t>成功</t>
        </is>
      </c>
      <c r="C903" t="inlineStr">
        <is>
          <t>読み方：えんげい
公衆の前で演じられる落語・漫才・講談・浪曲・曲芸・奇術その他、庶民的な演劇・音楽・舞踊などの芸。「—会」</t>
        </is>
      </c>
      <c r="D903" t="inlineStr">
        <is>
          <t>演芸番組(9%)；演芸会(8%)；演芸界(3%)；演芸館(2%)；演芸場(2%)</t>
        </is>
      </c>
      <c r="E903" t="inlineStr">
        <is>
          <t>発表；舞台；演奏；プレー；ステージ</t>
        </is>
      </c>
      <c r="F903" t="inlineStr">
        <is>
          <t>素人演芸；演芸コーナー；演芸大会；演芸大賞；演芸種目</t>
        </is>
      </c>
      <c r="G903" t="inlineStr">
        <is>
          <t>演芸ブーム；演芸家；演芸おんせん；演芸ひろば；演芸図鑑</t>
        </is>
      </c>
      <c r="H903" t="n">
        <v>29</v>
      </c>
      <c r="I903" t="inlineStr">
        <is>
          <t>それでラジオは演芸放送の時間になると必ず切っておくことにしている。；これら演芸・芝居の小屋のうち、萬歳館だけがまず映画館化に向かった。；後に演芸も行われるようになり、ほぼレギュラーと同じ構成になっている。；もともとその国にはその国らしい演芸的発声法があつて然るべきである。；これらは明治の東京の演芸、近代落語に一つの方向性を示したと言える。；馬見所にはこの時代では最新の電気燈がつき、各種の演芸も披露された。；その教条ぶりが参加する演芸関係者からの絶好のいじりの対象となった。；また、落語以外にも講談など寄席で行われる演芸ついても研究していた。；その後、文化放送の演芸番組で演出を勤めてからフリーの演出家となる。；広島の演芸館や巡業をなかりだったが、1936年頃幸楽が死去し解消。；在阪放送局主催の若手を対象にした演芸の賞では最も歴史ある大会である。；一時新興キネマの演芸部に入ったこともあったがすぐに演芸部の解散。；ビルの七階だか八階に出来た演芸場へ落語を聞きに行った時のことである。；彼らはすべて、疑いなく戸外の演芸が行なわれる場所にいくところだった。；以前は演芸などの催しでにぎわったが、現在では神事のみ行われている。；ぼくは、テレビ演芸は小屋演芸とは違う、これでいいんだと言ったんです。；それは演芸移動本部の企画相談所へこつちの希望を云つてやらう。；演芸会そのものの事は、別にくだくだしく申上げる必要はございません。；その演芸様式は後にグループ名から取ってボーイズ芸と呼ばれるようになった。；自信のないことを自覚している演芸ほど見ていて苦しいものはない。；日本の諸芸能のうち、演芸など大衆芸能的なものの起源とされている。；日本の曲独楽は演芸として独楽を専門に使う点で世界に他に例がない。；そしてそこで相談をまとめると、電車に乗って神楽坂演芸場へ出掛けた。；滑稽芸は狂言や笑いを扱う演芸になり、独自の芸能文化を築いていった。；近々、演芸界へ再登場するのは、すでに社の上層部では決定ずみである。；新角座では演芸だけでなく、演劇など様々なプログラムを提供するとしていた。；原作の演芸会を中核にして日本人の戦争への態度を問う意欲的な作品である。；途中のある場所で演芸をするのは亦、歌舞妓狂言の一部を発達させて居る。；旅行などのロケを伴う賞品は後日の演芸コーナーでその模様が放送される。</t>
        </is>
      </c>
      <c r="J903">
        <f>HYPERLINK("https://www.weblio.jp/content/演芸", "词义详情")</f>
        <v/>
      </c>
      <c r="K903">
        <f>HYPERLINK("https://yourei.jp/演芸", "查看例句")</f>
        <v/>
      </c>
    </row>
    <row r="904">
      <c r="A904" t="inlineStr">
        <is>
          <t>園芸</t>
        </is>
      </c>
      <c r="B904" t="inlineStr">
        <is>
          <t>成功</t>
        </is>
      </c>
      <c r="C904" t="inlineStr">
        <is>
          <t>読み方：えんげい
果樹・野菜・花卉(かき)などを植え育てること。また、その技術。</t>
        </is>
      </c>
      <c r="D904" t="inlineStr">
        <is>
          <t>園芸用(11%)；園芸店(3%)；園芸的(2%)；園芸協会(2%)；園芸分野</t>
        </is>
      </c>
      <c r="F904" t="inlineStr">
        <is>
          <t>園芸書；園芸名；日本園芸；園芸業者；園芸家</t>
        </is>
      </c>
      <c r="G904" t="inlineStr">
        <is>
          <t>園芸家；園芸植物；園芸種；園芸部；園芸学</t>
        </is>
      </c>
      <c r="H904" t="n">
        <v>29</v>
      </c>
      <c r="I904" t="inlineStr">
        <is>
          <t>少年の頃から植物が好きで、ロンドンのSyonで園芸の訓練を受けた。；サンザシ属は園芸と果実の利用のために古くから家庭で栽培されてきた。；そのため、園芸に初めて接した人には読み方がわかりにくい言葉も多い。；江戸時代の日本は世界的に見ても園芸が非常に発達した地域であった。；農業は稲作が主で施設園芸も行われ、花・イチゴなどが生産されている。；これらのユニークな資源を利用して、日本は豊かな園芸製品を開発した。；現在は産業構造の変化に伴い、ハウス農業や園芸業にも力を入れている。；この考え方は熱帯地域にある墓地の園芸手法にも取り入れられている。；現象の原因としては環境の破壊と園芸用の採取が挙げられている例が多い。；主に園芸用品、農業用を中心とした熱機器、住宅機器などを扱っている。；江戸時代初期に日本に持ち込まれて以降、園芸用として栽培されている。；また趣味であった園芸においても自らの体験を交えた作品を発表している。；ドクダミは園芸用にも栽培されており、またさまざまな園芸品種がある。；ヨーロッパの中世の間に修道院は庭の設計そして激しい園芸の技術の伝統を続けた。；八重咲きの花は、普通の花より派手になるので、園芸的には重視される。；父親は知識のある園芸家であったが経営はうまくいかなかった。；日本で刊行されてきた園芸事典の多くは食用種の学名を としてきた。；鉄道に勤務しながら独学で園芸を学んだのち品種改良の研究に従った。；栄養葉の表面の中央に白い斑が入るものが、園芸的に利用されている。；海外の植物を輸入して、顧客に販売した最初の園芸商のひとつである。；父親は書籍や芸術品の収集家でもあり、母親は熱心な園芸愛好家であった。；彼はまた、ロッドメル及び地域園芸文化協会の会計および会長も勤めた。；園芸花木であるため、自然樹形とは異なる特徴的な樹形をしている。；園芸業を営んでいたが、1919年ころより独学で絵画の制作を始める。；日本では山野草園芸は歴史が浅く、自然保護への意識も低い傾向がある。；日本でも園芸用にいくつかの種が流通しており、クロホウシ等は有名である。；その他、料理・園芸・健康・語学・趣味分野の実用書籍・ムックも多い。；専門分野は樹木学や園芸学であったが、民俗学などの分野の著作も残した。；庭園のシリーズを、伝統的な園芸を試み遺跡内および周囲に植栽していく。</t>
        </is>
      </c>
      <c r="J904">
        <f>HYPERLINK("https://www.weblio.jp/content/園芸", "词义详情")</f>
        <v/>
      </c>
      <c r="K904">
        <f>HYPERLINK("https://yourei.jp/園芸", "查看例句")</f>
        <v/>
      </c>
    </row>
    <row r="905">
      <c r="A905" t="inlineStr">
        <is>
          <t>演劇</t>
        </is>
      </c>
      <c r="B905" t="inlineStr">
        <is>
          <t>成功</t>
        </is>
      </c>
      <c r="C905" t="inlineStr">
        <is>
          <t>読み方：えんげき
観客を前に、俳優が舞台で身ぶりやせりふで物語や人物などを形象化し、演じて見せる芸術。舞台装置・照明・音楽など視覚・聴覚上の効果を伴う総合芸術。芝居。劇。</t>
        </is>
      </c>
      <c r="D905" t="inlineStr">
        <is>
          <t>演劇的(3%)；演劇活動(2%)；演劇集団；演劇祭；演劇ユニット</t>
        </is>
      </c>
      <c r="E905" t="inlineStr">
        <is>
          <t>ドラマ；脚本；芝居；上演；劇</t>
        </is>
      </c>
      <c r="F905" t="inlineStr">
        <is>
          <t>新しい演劇；演劇関係；学生演劇；演劇鑑賞；演劇運動</t>
        </is>
      </c>
      <c r="G905" t="inlineStr">
        <is>
          <t>演劇学；演劇界；演劇科；演劇人；演劇作品</t>
        </is>
      </c>
      <c r="H905" t="n">
        <v>29</v>
      </c>
      <c r="I905" t="inlineStr">
        <is>
          <t>母に連れられて演劇を見た帰りにカメラマンから声をかけられたという。；他の事務所や劇団からの移籍者も多く、特に演劇系からの移籍者が多い。；森川智之が座長をつとめていた演劇ユニットで何度か舞台に立っていた。；本作のエピソードの多くは、実在する演劇の内容がベースになっている。；ライブでは歌やダンスのほかにアクロバットや演劇を交えることもある。；そのため今日でもこの時代を題材にした映画や演劇などで耳にすることがある。；フロリダ国際大学に進学して、ここから演劇に関わるようになっていく。；またテオフィロスは学問や演劇・建築活動などにも深い関心があった。；以降は劇団四季以外の演劇・コンサートも行われるようになっている。；年間を通じ音楽・演劇などさまざまな分野の公演を開催している。；初期は本名で活動し、現在でも演劇を演出する時は本名の名義で行っている。；また、小学校の学習発表会などで演劇を発表する際にも脚本が使用される。；その動きは文芸・美術・音楽・演劇などさまざまな芸術分野に及んだ。；演劇においては音楽家が舞台上で演奏することを求められるものもある。；演劇を始め、テレビドラマ・映画とジャンル問わず幅広く活躍している。；芸術肌でもあり、人や風景を絵に描いたり演劇にも積極的に参加したりしている。；ベケットの作品に対してグラスは実験的演劇のための作品を書いている。；法政大学でアメリカ演劇を専攻したことがきっかけで俳優の道に進む。；但し並行して劇団四季以外の演劇・コンサートも引き続き開催されている。；それらの劇場はコンサートや演劇の公演などに使われている。；晩年は高齢となったこともあり、活動の主体を演劇から朗読に移していた。；岐阜女子商業高校在学中に演劇を始め、主に脚本と役者を担当していた。；ジャコビアン期の演劇で風刺劇の他に人気があったのは復讐劇であった。；演劇・ダンスなど空間を用いる表現分野では、闇は演出・構成に用いられている。；ただし父とは会ったことがなく、演劇関係者であった義父の元で育つ。；その際、教師らに褒められた嬉しさから演劇を楽しいと思うようになった。；演劇においても古来伝わるものに大陸の文化を加えて独自に発展していった。；は国際的な演劇祭で、ヨーロッパの演劇祭では重要なもの中の一つに含まれている。；また、この時に野沢那智と白石冬美の目に留まったことで演劇界へ進出。</t>
        </is>
      </c>
      <c r="J905">
        <f>HYPERLINK("https://www.weblio.jp/content/演劇", "词义详情")</f>
        <v/>
      </c>
      <c r="K905">
        <f>HYPERLINK("https://yourei.jp/演劇", "查看例句")</f>
        <v/>
      </c>
    </row>
    <row r="906">
      <c r="A906" t="inlineStr">
        <is>
          <t>演習</t>
        </is>
      </c>
      <c r="B906" t="inlineStr">
        <is>
          <t>成功</t>
        </is>
      </c>
      <c r="C906" t="inlineStr">
        <is>
          <t>読み方：えんしゅう
［名］(スル)
１慣れるために繰り返し習うこと。練習。「—問題」
２実戦や非常時を想定して行う訓練。「実弾—」「消防—」
３大学・大学院などで、教授の指導のもと学生が研究・発表・討議を行うことを主眼とした、少人数の授業の形式。ゼミナール。ゼミ。</t>
        </is>
      </c>
      <c r="D906" t="inlineStr">
        <is>
          <t>演習場(3%)；演習中(3%)；演習地(2%)；演習および；演習用</t>
        </is>
      </c>
      <c r="E906" t="inlineStr">
        <is>
          <t>練習；稽古；セミナー；ゼミ；練兵</t>
        </is>
      </c>
      <c r="F906" t="inlineStr">
        <is>
          <t>予行演習；防空演習；艦隊演習；訓練演習；射撃演習</t>
        </is>
      </c>
      <c r="G906" t="inlineStr">
        <is>
          <t>演習林；演習問題；演習弾；演習召集；演習中止</t>
        </is>
      </c>
      <c r="H906" t="n">
        <v>29</v>
      </c>
      <c r="I906" t="inlineStr">
        <is>
          <t>またソ連から提供された演習場で航空部隊や機甲部隊の演習を実施した。；近代兵器を装備した自衛隊が、日本海沿岸一帯で大演習を展開していた。；言うまでもなく全ての対立は演習上の攻撃であることが目的であった。；大規模かつ定期的な多国間演習として以下のようなものが行われている。；またカリグラが非合理的な演習に軍隊を派遣していたとも述べている。；大学機関では講義や演習不可能な学科をポリテクニックで教授している。；試験に数年かけ、続いて複数の国の艦隊の潜水艦が演習に携わった。；教務部のほか教授14人を置き、教授、演習の指導及び調査研究を行う。；そのほかの時期は様々な大西洋艦隊およびNATOの演習に参加した。；毎年の演習に参加し、しばしば海軍士官学校生を乗せた夏の巡航を行った。；ただし演習、教育等のために特に出場を命じられることがある。；マクドノーは秋まで地中海を巡航し、艦隊演習および訓練活動を行った。；それは、ここでイーゼンブルク軍兵士の演習が行われたためである。；戦前には当駅から陸軍中宮演習場との間に専用線が敷設されていた。；このため、大量の爆薬が消費される演習地などでは環境汚染が発生している。；どのような形式であっても、布袋劇の演習には舞台が必要である。；その境界線内にその当時は米軍の空爆演習区域だった竹島も含まれていた。；射程はとされていたが、1971年の実射演習ではの射程を記録している。；NATOの対潜水艦戦演習に参加し、9月21日には北極圏を横断した。；その後も1925年まで艦隊にあり、航空戦力として演習等に参加した。；演習中と動員時にのみ貸与され、兵士の自宅には備えられなかった。；理学部では、すべての学科で演習または実験・実習が必修となっている。；真珠湾に到着後はハワイ水域での多くの訓練演習および作戦活動に従事した。；それまでも演習に何度か応召されていたが、赤紙が出たのはこれが初めてであった。；生徒は、希望進路や興味に応じた演習科目や発展講座を選ぶことができる。；両用戦能力の向上のために、アメリカ海兵隊との共同演習も実施してきていた。；東郷は旅順封鎖の期間中も演習を行い、十分に艦隊の練度を上げていた。；また大正元年度大演習では、日中に水雷戦隊を運用する可能性が認識された。；多くは、演技や演習につながるようなレクリエーション型のゲームである。</t>
        </is>
      </c>
      <c r="J906">
        <f>HYPERLINK("https://www.weblio.jp/content/演習", "词义详情")</f>
        <v/>
      </c>
      <c r="K906">
        <f>HYPERLINK("https://yourei.jp/演習", "查看例句")</f>
        <v/>
      </c>
    </row>
    <row r="907">
      <c r="A907" t="inlineStr">
        <is>
          <t>円周</t>
        </is>
      </c>
      <c r="B907" t="inlineStr">
        <is>
          <t>成功</t>
        </is>
      </c>
      <c r="C907" t="inlineStr">
        <is>
          <t>読み方：えんしゅう
１円を形づくる線。円のまわり。
２円を描くようにして動くこと。
「互ひに手を取り—して踊る」〈航米日録・三〉</t>
        </is>
      </c>
      <c r="D907" t="inlineStr">
        <is>
          <t>円周上(19%)；円周状(4%)；円周方向(4%)；円周部；円周率</t>
        </is>
      </c>
      <c r="E907" t="inlineStr">
        <is>
          <t>周囲；周辺；周回；外回り；周囲長</t>
        </is>
      </c>
      <c r="F907" t="inlineStr">
        <is>
          <t>飛行円周；半円周；巨大な円周；全円周；大きな円周</t>
        </is>
      </c>
      <c r="G907" t="inlineStr">
        <is>
          <t>円周群；円周角；円周角の定理；円周率の歴史；円周率の日</t>
        </is>
      </c>
      <c r="H907" t="n">
        <v>29</v>
      </c>
      <c r="I907" t="inlineStr">
        <is>
          <t>円だと感じることができないほどの大きさの円周状の廊下なのではないか。；そこへ駈けつけた四郎助の馬は、砂塵をひいてその外側に円周を描いた。；あの内側でも円周状に緩衝地帯があって、そこはだれも住んでいない。；一方で となるような円周上全体で定義された微分可能関数 は存在しない。；なお、突破に成功したら、この地点で連隊本部を中心に円周防御を行う。；これは円周とホモトピー同値であり同じ基本群を持つことが知られている。；湾の円周五丁もあろうか、その中央と思われる辺に小さな島が浮き出ていた。；フォン・ミーゼス分布は、円周上に定義された連続型の確率分布である。；どちらの陣地も、孤立することを考慮し、円周防御陣地を構築していた。；これを避けるために内回り・外回りと呼んで円周上の方向を区別することがある。；伝統的なチンロン球のサイズは直径約13cm・円周約40cmである。；彼は無限の円周の中心、数学上の一点であるにすぎず、すなわち無なのだ!；このパフォーマンスは、円周上に楽器を並べた装置で作られている。；扇の外側は円周が長いため、たくさんの搭乗口を設置することが可能である。；五マイルの円周内にしても、大多数の人々は無関心ですごしていた。；前輪は向きを変える事が出来て、軌道が無くても円周状に走行できるものもあった。；電子がもっと大きな半径の円周上を動いている可能性も考える。；ここに四神を配置する場合は天を示す円周に立つように描かれており、天に居ることを示している。；そして黄色の円周部にはさらに小さな赤の円が衛星のように。；柱の円周は、大人5人が手を伸ばして抱えても届かないくらいの大きさである。；十人の子供たちが腕を広げてやっと届くという円周なのだから当然であろう。；を中心とする円周上に点 があり、 と は直交するものとする。；円周上の1点は正弦波の波一つの山であったり、谷であったりする。；それぞれ、小円の円周と面積に大円の円周を掛けた値になっている。；それは実に三万四千九百二十キロメートルの円周を描いて地球を一周してきたものだった。；それは実に三万四千九百二十キロメートルの円周を描いて地球を一周してきたものであった。；これらのラインを円周状に配置することで、「水と緑の交流の輪」を表現している。；ずべてを消滅させる点と、円周を描く動きが止まらなくなりました。；はいつて来るもののコースと出て行くもののコースとで円周を形づくる恰好になる。</t>
        </is>
      </c>
      <c r="J907">
        <f>HYPERLINK("https://www.weblio.jp/content/円周", "词义详情")</f>
        <v/>
      </c>
      <c r="K907">
        <f>HYPERLINK("https://yourei.jp/円周", "查看例句")</f>
        <v/>
      </c>
    </row>
    <row r="908">
      <c r="A908" t="inlineStr">
        <is>
          <t>演出</t>
        </is>
      </c>
      <c r="B908" t="inlineStr">
        <is>
          <t>成功</t>
        </is>
      </c>
      <c r="C908" t="inlineStr">
        <is>
          <t>読み方：えんしゅつ
［名］(スル)
１演劇・映画・テレビなどで、台本をもとに、演技・装置・照明・音響などの表現に統一と調和を与える作業。
２効果をねらって物事の運営・進行に工夫をめぐらすこと。「結婚式の—」「—された首班交代劇」</t>
        </is>
      </c>
      <c r="D908" t="inlineStr">
        <is>
          <t>演出家(3%)；演出面；演出部；演出効果；演出法</t>
        </is>
      </c>
      <c r="E908" t="inlineStr">
        <is>
          <t>公演；修正；上演；加工；アレンジ</t>
        </is>
      </c>
      <c r="F908" t="inlineStr">
        <is>
          <t>新演出；派手な演出；蜷川幸雄演出；演出手法；液晶演出</t>
        </is>
      </c>
      <c r="G908" t="inlineStr">
        <is>
          <t>演出者；演出助手；演出空間；演出空間仮設電気設備指針；演出家出演</t>
        </is>
      </c>
      <c r="H908" t="n">
        <v>29</v>
      </c>
      <c r="I908" t="inlineStr">
        <is>
          <t>本番組の形式を模しての演出が行われることも多く、以下に一例を示す。；この部分に別の映像を合成することで、様々な映像効果を演出できる。；初期は本名で活動し、現在でも演劇を演出する時は本名の名義で行っている。；発光色の差異が上記の兵器性能の違いを表現する演出とみることもできる。；最初は監督は自分には合わないと考えたが演出より面白いと感じる。；また、苔や敷石などを濡らすことで表情を作り庭を演出する効果もある。；また、CGを作品の中に多く取り入れ、演出面でも新たな試みがなされた。；この表現の発想をしたのはその回の絵コンテと演出を担当した今川である。；演劇・ダンスなど空間を用いる表現分野では、闇は演出・構成に用いられている。；まれにこの演出すら発生しないまま商品購入状態の初期画面にされる場合もある。；テレビ第2シリーズをベースに独自演出を加えた形になっている。；改札口部分の巨大なドーム空間は、地下とは思えない空間を演出している。；そのため、独特な演出を抑えたコメディタッチのドラマが主に制作された。；キャラクターに好物を設定して個性を演出するのはその一例である。；このコーナーではPVの映像を演出に至るまで丁寧に再現している。；背景・技などの演出・セリフなどでしか登場しないキャラクターは除外する。；新人の失敗というストーリーは放送のための演出と考えるのが妥当である。；ゲームのストーリー性や演出を多様化させることにも繋がった。；しかし、トールキンは単に演出として資料の表面を利用しただけではない。；アメリカへの輸出を想定して撮影されたため、本格的な絡みのある演出となった。；パイロットのみならず、劇場版や最終巻などの主要回の演出を全て務め上げた。；当初、フェスティバルで行われた演出の多くは、好意的な評価を得ていた。；どうしても、そういう演出が出来ないというなら断ってくれていい。；決勝戦は他のカップ戦では見られない独特の演出が行われている。；また、ドラマの演出にバラエティ番組のような効果音を取り入れた。；ヒッチコックはこれらのシリーズで合わせて18話のエピソードを演出した。；同番組に見られたような過激な演出は抑えられ、作風はライトである。；演出姿勢として自らの画に集中し、役者がどう演技するかは拘らなかった。；演出を重視した結果、ゲームは決められた展開で進行する。</t>
        </is>
      </c>
      <c r="J908">
        <f>HYPERLINK("https://www.weblio.jp/content/演出", "词义详情")</f>
        <v/>
      </c>
      <c r="K908">
        <f>HYPERLINK("https://yourei.jp/演出", "查看例句")</f>
        <v/>
      </c>
    </row>
    <row r="909">
      <c r="A909" t="inlineStr">
        <is>
          <t>援助</t>
        </is>
      </c>
      <c r="B909" t="inlineStr">
        <is>
          <t>成功</t>
        </is>
      </c>
      <c r="C909" t="inlineStr">
        <is>
          <t>読み方：えんじょ
［名］(スル)困っている人に力を貸すこと。「資金を—する」「国際—」</t>
        </is>
      </c>
      <c r="D909" t="inlineStr">
        <is>
          <t>援助金；援助国；援助計画；援助活動；援助しよ</t>
        </is>
      </c>
      <c r="E909" t="inlineStr">
        <is>
          <t>支；協力；助け；支え；改善</t>
        </is>
      </c>
      <c r="F909" t="inlineStr">
        <is>
          <t>軍事援助；財政援助；相互援助；緊急援助；技術援助</t>
        </is>
      </c>
      <c r="G909" t="inlineStr">
        <is>
          <t>援助物資；援助行動；援助付き雇用；援助交際撲滅運動</t>
        </is>
      </c>
      <c r="H909" t="n">
        <v>29</v>
      </c>
      <c r="I909" t="inlineStr">
        <is>
          <t>さらに幕府からの援助もほとんど受けることができず被害は拡大した。；官職から退いた後は、友人の経済的な援助を支えに生活していたという。；ポイント・サリンス国際空港の建設にはアメリカの資金援助が行われた。；プロテスタント諸国の教会からの援助は続いていて交流も盛んである。；イスラエルはこのため、フランスより多くの軍事援助を受け取っている。；領主の援助を得てオランダに遊学、敬虔主義的な教育を受けたとされる。；援助計画を成功させるためにはアメリカ国民の理解が必要である。；日本は最大の援助国の一つであるが、近年は援助額がやや減少気味である。；また、自国の在外機関や軍の救難部隊の援助を求めることは困難である。；プレイヤーは、MARZの組織から援助を受けられない土地で孤立する。；アメリカの武器貸与法でアメリカからソ連への大量の物資援助も行われた。；民間からも難民を助ける会などのNGOが現地で援助活動をしていた。；民政移管後は政軍関係の再構築をアメリカ合衆国の援助下で行っている。；この書簡を使ってイギリスの援助を求めたが、イギリスはこれを黙殺した。；目的が変化したのに伴い、援助の方法も軌道修正が図られたといえる。；また6月にアメリカは国民党政府に向けて対中軍事援助法案を採択した。；一方アメリカはフランスとインドシナ三国に軍事援助を開始した。；ヨーロッパへの援助はアメリカのためにも必要であった。；これを改善させるためには、アメリカからの援助が必要である。；私立大学のほうが、学資援助を得る可能性がわずかに高くなっている。；叔父はフィリップスの創業者の祖父でマルクスの財政援助者でもあった。；こうした紆余曲折の末、マーシャルは援助計画の発表に臨んだのである。；しかし、独自会計が立ち行かず、自治体に援助を要請するケースもある。；一連の議論の間、議会の外では援助法案の成立を側面から支援する動きが現れた。；その中には、資金や技術援助を与えるための調査も含まれる。；その一方で、このリストにはドイツが援助対象として挙がっていない。；これは、領主が家臣に封建的援助を求めることができるのと同様なことであった。；完全な国営ではなく、アラブ首長国連邦などからの資金援助を受けている。；一方アメリカ側も援助の規模について独自の調査をしていた。</t>
        </is>
      </c>
      <c r="J909">
        <f>HYPERLINK("https://www.weblio.jp/content/援助", "词义详情")</f>
        <v/>
      </c>
      <c r="K909">
        <f>HYPERLINK("https://yourei.jp/援助", "查看例句")</f>
        <v/>
      </c>
    </row>
    <row r="910">
      <c r="A910" t="inlineStr">
        <is>
          <t>炎症</t>
        </is>
      </c>
      <c r="B910" t="inlineStr">
        <is>
          <t>成功</t>
        </is>
      </c>
      <c r="C910" t="inlineStr">
        <is>
          <t>読み方：えんしょう
生体が微生物の侵入や物理的・化学的刺激などを受けて、発熱・発赤・はれ・痛みなどの症状を呈すること。</t>
        </is>
      </c>
      <c r="D910" t="inlineStr">
        <is>
          <t>炎症性疾患(3%)；炎症細胞(3%)；炎症性サイトカイン(2%)；炎症部位；炎症応答</t>
        </is>
      </c>
      <c r="E910" t="inlineStr">
        <is>
          <t>発赤；腫れる</t>
        </is>
      </c>
      <c r="F910" t="inlineStr">
        <is>
          <t>抗炎症；性炎症；非炎症；慢性的な炎症；炎症状態</t>
        </is>
      </c>
      <c r="G910" t="inlineStr">
        <is>
          <t>炎症性腸疾患；炎症性筋疾患；炎症性乳癌；炎症性ミオパチー</t>
        </is>
      </c>
      <c r="H910" t="n">
        <v>29</v>
      </c>
      <c r="I910" t="inlineStr">
        <is>
          <t>逆にアイシングを選択して炎症が悪化することはほとんどないとされる。；処置の必要はないが、二次的に炎症が発生した場合には消炎が行われる。；Type 1はバンドが認められないことから非炎症状態と考えられる。；特徴的であるのは筋内鞘主体に炎症細胞浸潤を認めるということである。；ただし爪が強く湾曲していても、痛みや炎症がなければ治療の必要はない。；唇を長時間開けたままにするため、口の端が炎症を起こすことがある。；に含まれており刺激性があるほか、皮膚に炎症を引き起こす恐れがある。；皮膚の弱い人は植物体も触れると炎症を発生させる場合があるという。；消化管の炎症を惹き起こす原因には、非感染性のものも数多く存在する。；STIRで高信号であっても病理学的に炎症細胞浸潤があるとは限らない。；風邪の場合は、炎症により鼻の粘膜が過敏になっているために発生する。；顔がほてり、鼻や頬の血管が炎症を起こし、真っ赤になるように見える。；他のすべての界面活性剤と同じく、皮膚や眼などに炎症を起こす可能性がある。；皮膚や目などが水溶液に接触した場合は、激しい刺激を受け、炎症を生じる。；この他にも爪やピンセットで掻き出すと、炎症を起こす可能性がある。；特に膜の表面に炎症が見られるものを上強膜炎と呼ぶこともある。；セレクチンが炎症やがんの進行に関与している可能性が明らかになってきている。；長時間、あるいは繰り返し使用すると肌の荒れや炎症を起こすこともある。；好酸球性多発血管炎性肉芽腫症は全身の動脈に炎症が生じる病気である。；あるいは発熱を生じるほどでないため、熱をそれほど持たない炎症も存在する。；これは化学的刺激により組織が炎症を起こした結果の変化であると考えられている。；炎症が発生していた為、そのままDL入りしてシーズンを終えた。；外耳は耳介と外耳道でできていて、様々な原因で炎症を起こす場合がある。；この頃彼女は胆管の炎症など健康面での問題を抱えていた。；小腸にみられる変化は非炎症性であることが多いが、大腸では炎症性である。；皮膚や目に接触すると炎症を発生することがある。；皮膚に炎症を起こした15人の子供が病院に運ばれている。；したがって細菌性の炎症に伴う痰と膿とは本質的には同じものである。；かなり稀な症例であり、皮膚の炎症性萎縮性変化が見られる点が特色である。</t>
        </is>
      </c>
      <c r="J910">
        <f>HYPERLINK("https://www.weblio.jp/content/炎症", "词义详情")</f>
        <v/>
      </c>
      <c r="K910">
        <f>HYPERLINK("https://yourei.jp/炎症", "查看例句")</f>
        <v/>
      </c>
    </row>
    <row r="911">
      <c r="A911" t="inlineStr">
        <is>
          <t>演じる</t>
        </is>
      </c>
      <c r="B911" t="inlineStr">
        <is>
          <t>成功</t>
        </is>
      </c>
      <c r="C911" t="inlineStr">
        <is>
          <t>読み方：えんじる
［動ザ上一］「えん（演）ずる」（サ変）の上一段化。「白雪姫を—・じる」</t>
        </is>
      </c>
      <c r="D911" t="inlineStr">
        <is>
          <t>演じる俳優たち</t>
        </is>
      </c>
      <c r="H911" t="n">
        <v>29</v>
      </c>
      <c r="I911" t="inlineStr">
        <is>
          <t>少年役を演じたのはこのオーディションが初めての経験だと語っていた。；女性役を主とし、さまざまなタイプのキャラクターの声を演じている。；ホームズはまた、多くの俳優に演じられた架空人物の一人に数えられる。；チャップリンはすぐに小さな放浪者を演じ始め、自分の映画を監督した。；登場人物に設定の変更はないが、演じる俳優はテレビ版と違っている。；演じられているキャラクターを好きになった経験がある人には理解できると思います。；主に中年役や老人役、滑稽な役や屈強な男の役を演じることが多かった。；前年の撮影現場では病気を隠して役を演じきり、何とか無事に撮影を終えた。；本編はぬいぐるみのリカちゃんがそれぞれの物語の主人公を演じている。；子供の役であっても台詞がある場合には大人の俳優がそれを演じる。；なお、大河ドラマで三英傑のうち二人以上演じたのは西田が唯一である。；舞楽が演じられる際には、その中にさらに3間四方の敷舞台が置かれた。；それまで脇役しか演じたことのなかった藤田が初めて主役に抜擢された。；子供の頃から演じることに興味をもち、演技のクラスを取っていた。；すれ違いになった夫婦を描いたシリアスなドラマで木梨は夫役を演じた。；いずれも3人の愛を演じるキャストの名前がそのまま役名になっている。；以後は脇役として黒澤作品への出演を続け、癖の強い悪役なども演じた。；基本は音楽であるが、歌と台詞が付いて演じられることから演劇の要素をも持つ。；第1作でカバ夫を演じた肝付兼太は第2作以降はパーやんを演じている。；この映画ではナチスのプロパガンダであるサッカー試合に出場する捕虜を演じた。；演じたものの音声の一部が加工されて放送されていることも多い。；後にテレビアニメで雷役を演じる檜山修之は名もない兵士役であった。；なお、後年のOVAでは全キャラクターが声優によって演じられている。；それに伴い小橋もいくつかのキャラクターをその場限定で演じることがあった。；私が自由に演じていいことになっているんですね。；ただしディナーショーなどの場では従来のように男役も演じている。；ほとんどありとあらゆる形の音楽で、打楽器は枢要な機能を演じている。；本人によると、出演作品の世界観や演じる役にのめりこみやすいタイプ。；他の俳優が演じる役も、自分が解釈した通りに演じることを求めた。</t>
        </is>
      </c>
      <c r="J911">
        <f>HYPERLINK("https://www.weblio.jp/content/演じる", "词义详情")</f>
        <v/>
      </c>
      <c r="K911">
        <f>HYPERLINK("https://yourei.jp/演じる", "查看例句")</f>
        <v/>
      </c>
    </row>
    <row r="912">
      <c r="A912" t="inlineStr">
        <is>
          <t>演説</t>
        </is>
      </c>
      <c r="B912" t="inlineStr">
        <is>
          <t>成功</t>
        </is>
      </c>
      <c r="C912" t="inlineStr">
        <is>
          <t>読み方：えんぜつ
［名］(スル)
１大勢の前で自分の意見や主張を述べること。「税制について—する」「選挙—」
２道理や意義を説き明かすこと。
「宿老畏まって一々に是を—す」〈太平記・一一〉</t>
        </is>
      </c>
      <c r="D912" t="inlineStr">
        <is>
          <t>演説会；演説家；演説原稿；演説口調；演説内容</t>
        </is>
      </c>
      <c r="E912" t="inlineStr">
        <is>
          <t>話；メッセージ；講義；講演；辞</t>
        </is>
      </c>
      <c r="F912" t="inlineStr">
        <is>
          <t>就任演説；一般教書演説；テレビ演説；政談演説；ラジオ演説</t>
        </is>
      </c>
      <c r="G912" t="inlineStr">
        <is>
          <t>演説者；演説文；演説の日</t>
        </is>
      </c>
      <c r="H912" t="n">
        <v>29</v>
      </c>
      <c r="I912" t="inlineStr">
        <is>
          <t>この広場で行った演説は彼の政治活動のなかで最も成功したものだった。；彼が成功した後、ハノーヴァーの町は独立記念日の演説を彼に依頼した。；彼は優れた演説家であるだけでなく、赤軍の組織化にも才能を発揮した。；彼は人気のある演説家で、そして地方の精力的な民主党活動家であった。；この演説は多くのベルリン市民やドイツ国民の心に残ることとなった。；この演説に感動した一高生の何人かは荷物をまとめて一高を去ったという。；以降は演説などは行わず、新聞上での評論活動を主な活動としている。；就任演説では市民と経済の自由を擁護することを最重要課題として掲げた。；彼の演説は3時間以上続くこともあったが、彼はそれを暗記していた。；当時の僕は演説すること以外に党の同志との接触手段をもたなかったからだ。；その演説は、彼の側についての状況を説明することを意図していた。；美濃部議員の釈明演説が新聞に掲載されると、攻撃はかえって増幅した。；大隈は全国を鉄道で大規模な遊説旅行を行い、駅ごとに演説を行った。；これらの主張はほぼそのままの形でマーシャル演説に反映された。；ロザリンは全米各地を演説に回っていた数ヶ月の間にも表彰を受けた。；私の初演説はみんなが静聴してくれたがゆえに失敗だったと言える。；戦前から政治演説会や国民大会が数多く行なわれた場所でもある。；このときのロベスピエールの演説は印刷されて市中で民衆から歓迎された。；その演説は理論構成もしっかりし、表現力も豊かで一級品といわれた。；日本中で演説会をして回って、2年をかけて5000円の寄付を集めた。；トルーマン演説以来、議員たちの間から400を超える質問が噴出した。；教書演説が発表された日に、そう言ったこと自体が配慮に欠けていた。；彼の演説の才能は系統的な自己規律と習慣的な訓練を必要とした。；それを見計らって浅沼は自民党の選挙政策についての批判演説を続けた。；吃音症のために、アルバートは公式な場での演説を非常に苦手としていた。；ラジオ放送で国民への演説も行ったが、これはあまり成功したとは言えなかった。；そして選挙当日、立候補者の演説を聞いた後、投票をして決められる。；その後、議場へ戻り演説を再開したが体調面での不安が報道された。；この時の演説にはそれまでの首相が触れていたドイツ再統一の言葉が触れられていなかった。</t>
        </is>
      </c>
      <c r="J912">
        <f>HYPERLINK("https://www.weblio.jp/content/演説", "词义详情")</f>
        <v/>
      </c>
      <c r="K912">
        <f>HYPERLINK("https://yourei.jp/演説", "查看例句")</f>
        <v/>
      </c>
    </row>
    <row r="913">
      <c r="A913" t="inlineStr">
        <is>
          <t>沿線</t>
        </is>
      </c>
      <c r="B913" t="inlineStr">
        <is>
          <t>成功</t>
        </is>
      </c>
      <c r="C913" t="inlineStr">
        <is>
          <t>読み方：えんせん
鉄道の線路や幹線道路に沿った所・地域。「—の住民」</t>
        </is>
      </c>
      <c r="D913" t="inlineStr">
        <is>
          <t>沿線住民(5%)；沿線自治体(4%)；沿線地域(3%)；沿線人口；沿線風景</t>
        </is>
      </c>
      <c r="F913" t="inlineStr">
        <is>
          <t>鉄道沿線；小田急沿線；道路沿線；つくばエクスプレス沿線；沿線案内</t>
        </is>
      </c>
      <c r="G913" t="inlineStr">
        <is>
          <t>沿線火災；沿線地図</t>
        </is>
      </c>
      <c r="H913" t="n">
        <v>29</v>
      </c>
      <c r="I913" t="inlineStr">
        <is>
          <t>沿線は工場が多く、旅客列車はそれらの工場への通勤客が主に利用する。；次の秋津駅までの間は直線が続き、沿線は住宅街や畑がほとんどである。；他にも元警察官を数人入社させることで沿線の警備を行うこととした。；住宅街の中を走っているほか、沿線には名刹が多く駅名にもなっている。；海側からの強風等に備え、沿線には防風林が整備されている箇所が多い。；ただし指定後に沿線の自治体が合併したために上記のような性格を持たないものもある。；この沿線は鉄道網の空白地域であったため、路線整備の効果も高かった。；沿線でイベントが開催される際にヘッドマークを装着することがある。；沿線に複数の高等学校があり、高校生の通学利用が8割と大半を占める。；これについては沿線住民の一部から駅の移転誘致を希望する声が挙がった。；鉄道界と沿線の注目のうちに運転を開始したが、故障が続出した。；沿線途中は農村地帯で田園風景が広がるが、通勤・通学での利用が多い。；その年代の住民は京成線沿線に多く住んでおり、高齢化が進んでいる。；一ファンの様々な視点で、八高線沿線のことなどを写真つきで執筆している。；それらの開発は、鉄軌道沿線に限定せず、バス路線沿線も開発を行った。；沿線人口も多く生活路線となっており、県内の重要路線でもある。；さらに沿線住民の貴重な交通アクセスとしても利用され始めた。；曜日や沿線でのイベントなどを考慮し、数か月後まで運行計画が立てられる。；この提案は突然のことであり、沿線自治体の関係者を困惑させた。；客用ドア横の号車番号表示は沿線の風物のイラストが号車ごとに描かれていた。；沿線での行事や伝統的な祭りが開催される場合でも臨時列車を運転する場合がある。；名称の「フラワー長井線」は、沿線に花の名所が多いことからきている。；近年は沿線の宅地開発が進み、大阪方面への通勤・通学路線となっている。；店舗は同駅近隣から増えていった経緯があり、東上線沿線に老舗店が多い。；沿線に22駅が設置されており、これは日本の国道の中で最多である。；沿線は拠点駅周辺を除くと住宅地となっている区間が多い。；依然沿線には住宅街が広がっているが、徐々に田圃が見られるようになる。；しかし沿線市民の反発は非常に強いものとなった。；環境基準の達成状況は、特に幹線道路の沿線で改善が進んでいない状況にある。</t>
        </is>
      </c>
      <c r="J913">
        <f>HYPERLINK("https://www.weblio.jp/content/沿線", "词义详情")</f>
        <v/>
      </c>
      <c r="K913">
        <f>HYPERLINK("https://yourei.jp/沿線", "查看例句")</f>
        <v/>
      </c>
    </row>
    <row r="914">
      <c r="A914" t="inlineStr">
        <is>
          <t>演奏</t>
        </is>
      </c>
      <c r="B914" t="inlineStr">
        <is>
          <t>成功</t>
        </is>
      </c>
      <c r="C914" t="inlineStr">
        <is>
          <t>読み方：えんそう
［名］(スル)音楽を奏すること。「タンゴを—する」</t>
        </is>
      </c>
      <c r="D914" t="inlineStr">
        <is>
          <t>演奏する(12%)；演奏される(5%)；演奏活動(3%)；演奏旅行；演奏時間</t>
        </is>
      </c>
      <c r="E914" t="inlineStr">
        <is>
          <t>出演；プレー；公演；芝居；演技</t>
        </is>
      </c>
      <c r="F914" t="inlineStr">
        <is>
          <t>ギター演奏；ライブ演奏；音楽演奏；一緒に演奏；演奏機会</t>
        </is>
      </c>
      <c r="G914" t="inlineStr">
        <is>
          <t>演奏家；演奏者；演奏所；演奏法；演奏会用序曲</t>
        </is>
      </c>
      <c r="H914" t="n">
        <v>29</v>
      </c>
      <c r="I914" t="inlineStr">
        <is>
          <t>彼をはじめとした一族が作曲した作品は現在でも広く演奏されている。；社交ダンスも盛んで、そのための音楽も良く演奏されていたようである。；それは家庭でのカルテット演奏会から育って大きくなった社交場だった。；この楽器では普通の状態では自由に半音階を演奏することはできない。；細野は1970年代に多くのアーティストの作品で演奏に参加している。；そのため、最初から3台のピアノを用意して演奏をしたこともあった。；彼のチェロ音楽は全て演奏しているが、ひとつたりとも悪い曲はない。；これはLPやCD時代の演奏技術の編集にも大いに影響を与えている。；この時彼の演奏を聴いたアメリカの興行師がアメリカ演奏旅行を提案した。；アメリカと日本とイギリスは作曲と演奏でも、博士号を授与している。；しかしこの時期のコルトレーンの演奏は決して評判の良いものではなかった。；この演奏会ではオラトリオと交響曲が演奏されるのが定番となっていた。；この時期にショパンがピアノ以外の楽器を演奏したという証拠がある。；イブン・スィーナーの音楽論の基礎は当時実際に演奏されていた音楽にあった。；この年よりサポートメンバーを加えて演奏されるのが通常のスタイルとなった。；ちなみに、アルベルトも音楽好きでヴァイオリンの演奏が趣味であった。；初期のクリームは、多くの曲を演奏してみせるタイトなバンドであった。；オーケストラの指揮もしなければ、公に楽器を演奏することもないのである。；その腕前はプロ級と言われており、演奏はほとんどが暗譜であったという。；移調とは音楽の用語で楽曲の調の主音を移行して演奏することである。；現在バリトンという楽器は非常に珍しいため演奏される機会は少ない。；このほかにも、過去のフジテレビで使われた演奏曲も使われている。；卒業時にはピアノを演奏したと伝えられるが曲目は不明である。；歌詞が文学的なタンゴは歌がつけられた演奏になる傾向にある。；更にロシア音楽やフランス音楽の演奏でも一定の評価を得ている。；スタジオ録音で数分だった曲をライブでは10分以上かけて演奏することもあった。；過去に演奏されたスタイルと、現在も演奏されているスタイルの双方を掲載している。；さらにはロンドンでオルガンの演奏コンクールに参加し、第1位を得た。；主に宗教儀式やヒーリングのために演奏していたと考えられている。</t>
        </is>
      </c>
      <c r="J914">
        <f>HYPERLINK("https://www.weblio.jp/content/演奏", "词义详情")</f>
        <v/>
      </c>
      <c r="K914">
        <f>HYPERLINK("https://yourei.jp/演奏", "查看例句")</f>
        <v/>
      </c>
    </row>
    <row r="915">
      <c r="A915" t="inlineStr">
        <is>
          <t>遠足</t>
        </is>
      </c>
      <c r="B915" t="inlineStr">
        <is>
          <t>成功</t>
        </is>
      </c>
      <c r="C915" t="inlineStr">
        <is>
          <t>読み方：えんそく
［名］(スル)
１学校で、運動や見学を目的として、教師の引率で行う日帰りの小旅行。《季春》
２遠い所まで出かけること。
「家弟をつれて多摩川の方へ—したときに」〈独歩・武蔵野〉</t>
        </is>
      </c>
      <c r="D915" t="inlineStr">
        <is>
          <t>遠足気分；遠足会；遠足略してファミえん；遠足地；遠足前夜</t>
        </is>
      </c>
      <c r="E915" t="inlineStr">
        <is>
          <t>遠征；修学旅行；ハイキング；回遊；行楽</t>
        </is>
      </c>
      <c r="F915" t="inlineStr">
        <is>
          <t>炊事遠足；学校遠足；楽しい遠足；長途遠足；遠足略し</t>
        </is>
      </c>
      <c r="H915" t="n">
        <v>29</v>
      </c>
      <c r="I915" t="inlineStr">
        <is>
          <t>私は子供の遠足と同じやうに竹の皮の握り飯をぶらさげてゐたのである。；翌日に遠足を控えた子どもが、興奮のあまり妙な言動をするのと一緒だ。；神戸で我々は曳き網をする可く数日滞在し、私は数度田舎へ遠足をした。；遠足の前の晩に、酔った客を連れて帰ってきて大騒ぎをしたこともある。；ジェザリーが倒れたので、残った者の遠足はますます暗いものになった。；子供の頃に遠足で行った湖の広さとキャンプファイヤーの炎の美しさ。；一九四七年六月六日 私は遠足に行く子供のやうな感動をもつて病院をでた。；近くの住民らしく、家へもどっては卵など運んで、一寸見には遠足気分。；それから遠足に途中まで行ったが目まいがしたからとて戻って来たとのこと。；昨日の夜、遠足の前の日みたいに興奮してしまってよく眠れなかったのだ。；それらはみな、子供の足にはちょうどいい遠足の一里前後のところにあった。；だけど同級生がそのもらったのを遠足に持ってきて得意そうに噛んでいた。；遠足という言葉から一つのイメージしか浮かべない人間の方が珍しい。；子供の頃、遠足に行って精も根も使いはたした時のようなかったるさだ。；なお、この防衛省専用道路は地元の学校の遠足のルートにもなっている。；丸つけが終わったら息子の遠足の弁当の用意をしなければならない。；遠足にはそのためだけにお母さんが参加していたくらいだった。；いっしょにいたのは両親ではなく先生だったから、たぶん小学校の遠足だろう。；子供の頃遠足で来たことがあるのに、さういふ記憶はどこにも残つてゐない。；わが国では遠足の光景を「目に見えるように」書くといい点がもらえる。；子どもの遠足じゃあるまいし、もう少し気のきいた旅があっただろう。；遠足で訪れる団体が持参した弁当を食べる場所は別に設けられている。；馬車は楽しい遠足にでもいくみたいに軽やかに街の門をくぐりぬけました。；荷物を運んで町へ行き来するのを、かれらは遠足のように考えているらしい。；両親に遠足の模様をきかれてぼくは、熱心にセナールの森の話をした。；雄二はそれを服のポケットに入れたまま、学校の遠足に出かけて行きました。；ささやかな遠足は終わり、一同はわがほうの死者一人を運んで家にもどった。；昼間、公園なり、田舎の景色のいいところなりへ、遠足することもある。；学校での引率を伴った遠足などでは弁当の持ち込みは許可されていた。</t>
        </is>
      </c>
      <c r="J915">
        <f>HYPERLINK("https://www.weblio.jp/content/遠足", "词义详情")</f>
        <v/>
      </c>
      <c r="K915">
        <f>HYPERLINK("https://yourei.jp/遠足", "查看例句")</f>
        <v/>
      </c>
    </row>
    <row r="916">
      <c r="A916" t="inlineStr">
        <is>
          <t>円高</t>
        </is>
      </c>
      <c r="B916" t="inlineStr">
        <is>
          <t>成功</t>
        </is>
      </c>
      <c r="C916" t="inlineStr">
        <is>
          <t>読み方：えんだか
外国為替相場で、円貨が外国通貨に対して相対的に価値が高いこと。⇔円安。</t>
        </is>
      </c>
      <c r="D916" t="inlineStr">
        <is>
          <t>円高対策(2%)；円高傾向；円高時代</t>
        </is>
      </c>
      <c r="G916" t="inlineStr">
        <is>
          <t>円高ドル安；円高圧力；円高基調</t>
        </is>
      </c>
      <c r="H916" t="n">
        <v>29</v>
      </c>
      <c r="I916" t="inlineStr">
        <is>
          <t>私たちの部屋に置かれたテレビでは円高のニュースを放送している。；円高の頃、海外とくにアメリカで、ダンピングの批判が日本に集中した。；一九八〇年代以前から「円高」は言われ、日本企業はそれに怯えていた。；これは円高の影響で値下げ傾向にあった輸入盤CDなどへの対抗策である。；円高がここまで進行する前であるならば、二十億円をこえる金額である。；夏には円高に対応するため、北米地域の現地生産の強化を決めました。；販売先の約5割が海外であるため、経営には円高や円安に大きく左右される。；円高のゴールド・ラッシュとかを取材したテレビ番組のひとこまである。；また、円高を緩和するには、市場に円を大量に流通させるべきだと主張している。；加えて円高の影響もあり年間予算が前年の3倍に増加した。；また円高を背景に日本企業による国外企業や不動産などの買収も進んだ。；円高のニュースのあとで、画面に、「急行列車の中で殺人」の文字が出た。；自動車輸出は円高を反映して、採算的には厳しい状況が続いた。；円のドルに対する価値は2倍以上となり、異常な円高時代を迎えた。；一九八五年の秋からのさらなる円高も、日本という生産の現場は乗りきった。；円安方向へ進んでいた実効為替レートも再び円高方向へとシフトした。；このため円ドル相場は80円台を回復し、円高にも一応の歯止めがかかった。；まれにみる外来演奏家ラッシュも円高の影響といえばそれまでじゃないか。；あくまで貿易黒字が対外貸付より大きくならないように円高が進むのである。；これが行われるようになっている背景には円高の進行や海外での労働力事情などといった点が存在する。；日本との関係では円高誘導発言をした事で知られる。；製造業は円高のために生産縮小と海外への工場移転が続いた。；一ドル二四〇円が一三〇円になるという円高を日本は克服した。；以上のように、日本からアメリカ合衆国に直接完成品を送ることは出来ない他、円高対策のためにも他の国を経由することになった。；それよりも急激な円高対策の方が先であると考えて、引き上げたかたちになった。；そのときの円高は、その時点では過去最高値となるものだった。；円高の衝撃を受けて大揺れに揺れている。；男のアナウンサーが円高の見通しを告げたあと、画面に女のアナウンサーが映った。；すなわち、円高が起きた直後には貿易黒字の拡大が起きやすい。</t>
        </is>
      </c>
      <c r="J916">
        <f>HYPERLINK("https://www.weblio.jp/content/円高", "词义详情")</f>
        <v/>
      </c>
      <c r="K916">
        <f>HYPERLINK("https://yourei.jp/円高", "查看例句")</f>
        <v/>
      </c>
    </row>
    <row r="917">
      <c r="A917" t="inlineStr">
        <is>
          <t>演壇</t>
        </is>
      </c>
      <c r="B917" t="inlineStr">
        <is>
          <t>成功</t>
        </is>
      </c>
      <c r="C917" t="inlineStr">
        <is>
          <t>読み方：えんだん
講演や演説をする人が上がる壇。</t>
        </is>
      </c>
      <c r="D917" t="inlineStr">
        <is>
          <t>演壇上(2%)</t>
        </is>
      </c>
      <c r="H917" t="n">
        <v>29</v>
      </c>
      <c r="I917" t="inlineStr">
        <is>
          <t>みんなは南に面した大きなニュース・ヴィデオの下に演壇を建てていた。；初期は奴隷が披露される演壇が中心にあり、奴隷売買に備えられていた。；ひとりの女性が座席間の通路を演壇へと歩み寄るのに気づいたからである。；議長のそばで演壇についている男は、その騒ぎに知らんぷりをしていた。；二つの手榴弾が演壇に投げられたと言われ、演壇のほぼ全員が負傷した。；演壇の上には机がそのまま置かれていて、そこに本が二、三冊のっていた。；何を云うんだったと思ったときはもう演壇に立ってみんなを見下していました。；ハントの馬車は午後1時少し過ぎた頃に集会に到着し、演壇に向かった。；しかし演壇から見て、客席に老人がぎっしり並んでいるのは迫力がある。；ひょいと片肱あげて一段高い演壇から降り、舞台の奥へ戻ってしまった。；相変らず演壇の上に立っている机には、二、三冊の書物がのっていた。；気がついた伸子が演壇の方を見たら、いつかそこも空になっていた。；私が陳氏に立って敬意を示している間に演壇にはもう次の論士が立っていました。；国民公会の演壇では、人が目をまわしそうな激しい言葉がとびだしていた。；千人近い研修生が坐っていて、職員の紹介をうけた後、演壇に立った。；演壇の上では、革命のシンボルである赤帽子が灰色にぬられて置いてあった。；しかし、興奮したアイヌたちは演壇の中央で学生たちと揉み合いになった。；交替に演壇に上がって演説するのと違って、銘々が自分の席でしゃべる。；これは単純に古い演壇を拡張して広くしたものである。；これを見た政府党の議員も自分の席から猛然と演壇へ走った。；演壇に立った田中は全員をにらみつけるようにして話し始めた。；あとで美佐子先生に聞くと、演壇のうえで終始仏頂面を通していたという。；美由紀はやや緊張しながら、演壇につづく短い階段をあがっていった。；太閤さんは背が低いので演壇から首がかろうじて出るばかりである。；演壇の上には尾崎行雄氏が衝立つて、物に怯えた魚のやうな表情をしてゐる。；演壇に身体を支えているかれの両手が震えていた。；直ぐに導かれて演壇に立つたのだが、可成りの教室が聽衆で一杯であつた。；その後ろからウタリ協会の男たちも続き、つぎつぎに演壇に駈け上がった。；照明に照らし出された演壇に、ひとりの男が立っているのが見える。</t>
        </is>
      </c>
      <c r="J917">
        <f>HYPERLINK("https://www.weblio.jp/content/演壇", "词义详情")</f>
        <v/>
      </c>
      <c r="K917">
        <f>HYPERLINK("https://yourei.jp/演壇", "查看例句")</f>
        <v/>
      </c>
    </row>
    <row r="918">
      <c r="A918" t="inlineStr">
        <is>
          <t>縁談</t>
        </is>
      </c>
      <c r="B918" t="inlineStr">
        <is>
          <t>成功</t>
        </is>
      </c>
      <c r="C918" t="inlineStr">
        <is>
          <t>読み方：えんだん
候補者を挙げてする結婚や婿養子縁組みの話。</t>
        </is>
      </c>
      <c r="D918" t="inlineStr">
        <is>
          <t>縁談相手；縁談が進められ；縁談そのもの；縁談が持ち上がるたび；縁談が持ちかけられ</t>
        </is>
      </c>
      <c r="E918" t="inlineStr">
        <is>
          <t>お見合い話</t>
        </is>
      </c>
      <c r="F918" t="inlineStr">
        <is>
          <t>良い縁談；ご縁談；よい縁談；有利な縁談</t>
        </is>
      </c>
      <c r="H918" t="n">
        <v>29</v>
      </c>
      <c r="I918" t="inlineStr">
        <is>
          <t>わたくしの縁談はそれからすべるように順調に進行したのでございます。；「でも縁談はご相談なさいますわ」 と一番上の貴子さんは笑っていた。；梅子の用事と云ふのを改まつて聞いて見ると、又例の縁談の事であつた。；波子の縁談が急速に一家の話題となつたのは、この時からのことであつた。；あんな大きな声で縁談の話をする人は初めてだと、みんな言ってたそうです。；実は鶴子は方々から縁談があるけれど、何処へも行かないと言っている。；梅子の用事と云うのを改まって聞いてみると、又例の縁談の事であった。；いずれにしても縁談は滑るように進行して、結婚の吉日が切迫して来た。；こう双方の母親が乗気となっては、この縁談がまとまらないわけはない。；次に提案された何人かのイタリアの諸侯との縁談も成立しなかった。；が、叔父に縁談を持ちかけて来たものは私の祖母たちばかりではなかった。；父は枝島の娘と縁談があったのを、自分からすすんでいまの母を娶った。；節子の縁談のことで訪ねて来た兄の話頭を自分の上に向けて貰おうとした。；農協の職員でそろそろ縁談があってもいいのに、いつまでこうなのだろう。；自分が紫の帯上でいたずらをしたのは縁談のきまった二三日後である。；一つは教授があいだに立っている話で、この縁談のほうの娘は非常な美人である。；今年二十四歳になる中山敏子には、終戦後二回ほど、縁談がありました。；そんなわけで、舐め筆の娘との縁談も無論お流れになってしまいました。；いったい汝生は人に好かれるたちで、十五六のころからよく縁談があった。；精三 しかし、今の話と総子さんの縁談と一体何の関係があるのかね。；親同士が決めた縁談で、清とマサコは祝言の当日まで顔を合わせていない。；しかしこの縁談は、二人、特に娘が若すぎると思ったに反対された。；のみならず、美貌を失ったことで縁談もお流れになってしまったのである。；けれども、渠は目下誰かの縁談に就いて、配慮しつつあるのではないか。；嘘にも縁談のことは若い人の血汐を躍らせねばならぬものであります。；もしや近衛家と伊達家との間に、第二の縁談が組まれているのだろうか。；彼は病院に居た時には相應の口から數次縁談があつたのであつた。；兄はまた、その縁談の纏まることを希望しているとも書いてよこした。；父が言い出したことというのは、神尾主膳への縁談の一件でありました。</t>
        </is>
      </c>
      <c r="J918">
        <f>HYPERLINK("https://www.weblio.jp/content/縁談", "词义详情")</f>
        <v/>
      </c>
      <c r="K918">
        <f>HYPERLINK("https://yourei.jp/縁談", "查看例句")</f>
        <v/>
      </c>
    </row>
    <row r="919">
      <c r="A919" t="inlineStr">
        <is>
          <t>延長</t>
        </is>
      </c>
      <c r="B919" t="inlineStr">
        <is>
          <t>成功</t>
        </is>
      </c>
      <c r="C919" t="inlineStr">
        <is>
          <t>読み方：えんちょう
［名］(スル)
１長さや期間を延ばすこと。また、延びること。「会期を—する」⇔短縮。
２足し合わせた全体の長さ。「—二万キロに及ぶ航空路線」
３ひと続きのもの。つながるもの。「仕事を遊びの—とする人」
４数学で、線分を、それを含む直線上の両方向または一方向へ、より長く延ばすこと。
５哲学で、物体が空間を占める存在の様式。延長を物体の本性として物そのものに帰属させる立場（デカルト）と、純粋直観の形式として主観に帰属させる立場（カント）とがある。広がり。
６「延長戦」の略。「同点のまま—に入る」</t>
        </is>
      </c>
      <c r="D919" t="inlineStr">
        <is>
          <t>延長する(7%)；延長される(2%)；延長約；延長上；延長運転</t>
        </is>
      </c>
      <c r="E919" t="inlineStr">
        <is>
          <t>展開；維持；続ける；継続；長さ</t>
        </is>
      </c>
      <c r="F919" t="inlineStr">
        <is>
          <t>路線延長；期間延長；契約延長；再延長；期限延長</t>
        </is>
      </c>
      <c r="G919" t="inlineStr">
        <is>
          <t>延長線；延長オプション；延長コード；延長運行；延長引き分け再試合規定</t>
        </is>
      </c>
      <c r="H919" t="n">
        <v>29</v>
      </c>
      <c r="I919" t="inlineStr">
        <is>
          <t>ただし、大幅な遅延が発生した場合は延長運転を取りやめることがある。；本鉄道は路線延長を申請または計画したが、いずれも実現していない。；また、移籍元クラブが契約を延長しない場合には移籍金が発生しない。；ホーム延長工事後、再び石田側に一部駅施設がかかる部分が発生した。；当初は2013年1月26日までの運行としていたが3月9日まで延長。；当初の計画は1年間であったものが、最終的には4年間に延長された。；天皇杯では2回戦で草津に勝利したが、3回戦で鹿島に延長の末敗れた。；この時の東西自由通路の規模は幅6メートル、延長90メートルだった。；当面は2045年までの予定とされるが、さらに延長される可能性もある。；保存用のキャップを兼ねた短いものと、延長専用の長いものがある。；京都市電西大路線が西大路九条駅から延長されたのに合わせて開業した。；なお、寺尾堀は現在の小樽市銭函方面まで延長する計画もあったという。；また、定期列車も大垣駅発着で延長運転が行われていた時期があった。；延長部分の屋根構造に関しては、延長ホームの工事着手前から議論されていた。；これは、火室の邪魔板の上の空間が延長された構造となっている。；朝・夕方の一部列車は草津駅まで延長運転されるようになった。；更に2006年には、長さを延長するなどの規格改正が行われている。；期限付き移籍でプレーしていたチアゴ・ネーヴィスは移籍期間を延長せず。；しかし一般的には、大進化も小進化の延長として理解できると考えられている。；移籍の噂もあったもののクラブとの契約を延長した。；C型の1段目のモータケースを延長し、打ち上げ能力を大幅に強化した。；キールが大幅に延長されており、アーガマとはほぼ別の艦構造となっている。；広島から期限付き移籍中のDF石川大徳は移籍期間を延長して残留した。；橋梁延長100メートル以上の国道・県道を中心に上流側から記載する。；延長計画に関しては、モノレール建設当初より計画されているものである。；技術の高度化に伴い、3年制への教育期間の延長が模索されている。；回送時の航続距離はあり、空中給油が可能であるためさらに延長できる。；南口はJR発足後の1989年に地下通路を延長して新設、整備された。；葉柄の延長になる軸から、左右に小葉がいくつか並ぶものを羽状複葉という。</t>
        </is>
      </c>
      <c r="J919">
        <f>HYPERLINK("https://www.weblio.jp/content/延長", "词义详情")</f>
        <v/>
      </c>
      <c r="K919">
        <f>HYPERLINK("https://yourei.jp/延長", "查看例句")</f>
        <v/>
      </c>
    </row>
    <row r="920">
      <c r="A920" t="inlineStr">
        <is>
          <t>園長</t>
        </is>
      </c>
      <c r="B920" t="inlineStr">
        <is>
          <t>成功</t>
        </is>
      </c>
      <c r="C920" t="inlineStr">
        <is>
          <t>読み方：えんちょう
幼稚園・動物園など園という名称がつく施設の長。</t>
        </is>
      </c>
      <c r="D920" t="inlineStr">
        <is>
          <t>園長さん(2%)；園長代理；園長室；園長はん；園長印</t>
        </is>
      </c>
      <c r="F920" t="inlineStr">
        <is>
          <t>植物園長；幼稚園園長；動物園長；学園長；名誉園長</t>
        </is>
      </c>
      <c r="H920" t="n">
        <v>29</v>
      </c>
      <c r="I920" t="inlineStr">
        <is>
          <t>園長さんはあなたの一件があってから、少しだけ考えを改めたようです。；園長はんには私からも謝ってあげるよって、何かほかのもんにしていな。；その作業を終えると、園長・八巻の他に三人いる職員たちは全員帰宅した。；その後ハイチで新たに設立されたカパイシャンの植物園の園長となった。；この上品で敬虔そうな老園長が嘘をつく人物だとは、とても思えなかった。；亡くなるまでアストロパークの名誉園長を務めたことから命名に至った。；そうすれば、まだ知られていない園長の半面生活が曝露するかも知れない。；この日は普段の運転手が休みだったため、70代の男性園長が運転していた。；園長の身体は、爬虫館の前から調餌室へ搬ばれたと考えていいであろう。；動物園の園長を祖父に持つ前川一家は、全員動物の名前で呼びあっていた。；男は園長の息子で、父親から園長をやれとの遺言に来たのだという。；「園長さんが失踪されたそうで御心配でしょう」 と帆村は挨拶をした。；新園長となっての初めての仕事は、パンダフレーム切手贈呈式への出席。；こんな下らないことで『永晴学園』の園長・八巻に迷惑はかけられない。；そして数日前、何者かが園長の自宅に侵入し、土地の権利書を盗んで行った話。；父親のウィリアム・エイトンの後を継いで、王立植物園の園長を務めた。；だが大人である園長・八巻は、子供たちほど楽天的でも心穏やかでもない。；一瞬何が起きたのか理解できずにいた園長・八巻は、やがて空になった手を見て顔を覆う。；この事件は園長は新婚旅行中で、事務官が独断で処理したことに発する。；園長になって間もない私の話を聞かせてほしいというのだ。；食事がどんどん粗末になるのを見ては、ああ園長はまたなにかに失敗したなって思った。；もはや閉園せざるを得なかった園長だが、そこで思い出したのだ。；園内には園長自らが製作した木彫りの像が多数展示されていた。；園長・八巻は刑事の後ろ姿を見送りながら、複雑な思いで溜め息をついた。；大学を出てから、ある幼稚園に二年いたが、園長と意見が合わずに辞めた。；その当時、園長と男性幹部職員2名、看護婦と夫人との写真が残されている。；そして八巻がここの園長になったのは六年前、二十四歳の時になる。；しかし、これは園長が見張をしていないと、命がけの遊びになりかねませんでした。；国民の誰もが、園長さんのようになる可能性は常にある。</t>
        </is>
      </c>
      <c r="J920">
        <f>HYPERLINK("https://www.weblio.jp/content/園長", "词义详情")</f>
        <v/>
      </c>
      <c r="K920">
        <f>HYPERLINK("https://yourei.jp/園長", "查看例句")</f>
        <v/>
      </c>
    </row>
    <row r="921">
      <c r="A921" t="inlineStr">
        <is>
          <t>煙突</t>
        </is>
      </c>
      <c r="B921" t="inlineStr">
        <is>
          <t>成功</t>
        </is>
      </c>
      <c r="C921" t="inlineStr">
        <is>
          <t>読み方：えんとつ
１燃料を燃焼させるための通風の役をし、その際に発生する煤煙(ばいえん)を空中に排出するための筒状の設備。けむ出し。煙筒。
２料金を着服するなどの目的で、タクシーの運転手が空車の標示のまま客を乗せて走ること。</t>
        </is>
      </c>
      <c r="D921" t="inlineStr">
        <is>
          <t>煙突掃除；煙突後方；煙突状；煙突建設；煙突付近</t>
        </is>
      </c>
      <c r="E921" t="inlineStr">
        <is>
          <t>煙管；煙筒；チムニー；煙出し；烟突</t>
        </is>
      </c>
      <c r="F921" t="inlineStr">
        <is>
          <t>高い煙突；後部煙突；大きな煙突；本煙突；太い煙突</t>
        </is>
      </c>
      <c r="G921" t="inlineStr">
        <is>
          <t>煙突効果；煙突男；煙突の見える場所；煙突掃除人癌；煙突ミサイル</t>
        </is>
      </c>
      <c r="H921" t="n">
        <v>29</v>
      </c>
      <c r="I921" t="inlineStr">
        <is>
          <t>両艦はオリジナルの設計が四本の煙突だったものを二本へと改修された。；近隣の小学校の校長は療養所の煙突から煙が出るのが恐ろしいと言った。；煙突から煙を出しながら走り、勢いがつくと止まることができなくなる。；煙突のファンネルも2本とも残っているが、一般には展示されていない。；吹雪型との違いは主に煙突の形状の違いや、主砲のタイプの違いである。；後の改善工事で多くの日本の空母が装備した下向き煙突に変更された。；煙突上部には1本の棒が立てられているが、その棒を触ると減点になる。；煙突にも弾片が当たり、ボイラーの吸気口すべてが大きな被害を受けた。；煙突はペチカの特性上ほとんど煤がつかないので掃除はほぼ必要がない。；艦の中央に大型の煙突を1本備えており、艦橋構造物とは独立している。；シフト配置を採用していたために、2本煙突の間は前後に広く離れていた。；これらは艦橋前方と1番煙突の両舷および後檣の前後に装備されている。；以前は前方の煙突があるため甲板は短く、航空機の発艦に問題が生じていた。；ラジエタは旧来のシリーズよりも非常に長く、煙突近くまで伸びている。；なお、煙突側が前位となるように改造された際にも除煙板は装備されなかった。；扉の付いた鉄の箱に煙突が取り付けられた構造が薪ストーブの基本的な形態である。；D51 232・345も保存されているがパイプ形煙突となっている。；何でもこれを建てているときに関東大震災があり、エントツが揺れたそうだ。；船体中央部に2本煙突が立つが、その間隔は前後に大きく離されていた。；しかし、嚮導駆逐艦の煙突先端の太い帯の表示は継続して行われた。；日本の煙突は、200m以上で資料等で確認出来たもののみを掲載した。；艦の構造としては艦橋と煙突の間の甲板上に機雷庫が設けられていた。；駆動用の動力は蒸気機関で、機械室の屋根には大きな煙突が立っていた。；榛名は2本の煙突間の空間が、他の同型艦よりもやや広いのも特徴である。；煙突後方にはカタパルトとデリックを装備した大型の三脚マストがある。；本級の次のカノーパス級以降は、煙突はすべて中心線上に置かれるようになった。；しかし、えんとつ掃除屋のルビッチだけは星の存在を信じていたのだった。；煙突はこの上部構造物に収められていて、天井部に開口部があるだけである。；欲しい品物を書いた紙を煙突の上の穴に入れると、その品物が数日後に届く。</t>
        </is>
      </c>
      <c r="J921">
        <f>HYPERLINK("https://www.weblio.jp/content/煙突", "词义详情")</f>
        <v/>
      </c>
      <c r="K921">
        <f>HYPERLINK("https://yourei.jp/煙突", "查看例句")</f>
        <v/>
      </c>
    </row>
    <row r="922">
      <c r="A922" t="inlineStr">
        <is>
          <t>鉛筆</t>
        </is>
      </c>
      <c r="B922" t="inlineStr">
        <is>
          <t>成功</t>
        </is>
      </c>
      <c r="C922" t="inlineStr">
        <is>
          <t>読み方：えんぴつ
筆記用具の一。木の軸に、黒鉛の粉末と粘土を混ぜ高熱で焼き固めた芯(しん)を入れたもの。1565年に英国で考案。江戸初期にオランダから幕府に献上され、商品として輸入されたのは明治10年（1877）前後。</t>
        </is>
      </c>
      <c r="D922" t="inlineStr">
        <is>
          <t>鉛筆書き(2%)；鉛筆を走らせる；鉛筆製造；鉛筆型；鉛筆をなめなめ</t>
        </is>
      </c>
      <c r="E922" t="inlineStr">
        <is>
          <t>ペンシル；木筆</t>
        </is>
      </c>
      <c r="F922" t="inlineStr">
        <is>
          <t>太い鉛筆；細い鉛筆；赤い鉛筆；短い鉛筆；鉛筆素描</t>
        </is>
      </c>
      <c r="G922" t="inlineStr">
        <is>
          <t>鉛筆削り；鉛筆削り器；鉛筆爆弾；鉛筆部隊；鉛筆転がし</t>
        </is>
      </c>
      <c r="H922" t="n">
        <v>29</v>
      </c>
      <c r="I922" t="inlineStr">
        <is>
          <t>見事なカードで、赤と金で印刷されており、七四番に鉛筆書きがあった。；それには鉛筆でではあるがごくはっきりと次の謎のような表が書いてあった。；その孵化った奴が鉛筆位の大きさになると、群をなして川を溯るんだよ。；いろいろなサイズの鉛筆に備え、多くの削り穴があいているものもある。；そしてすぐこっちへもどってきたが、手には紙と鉛筆とを持っていた。；鉛筆より先にコントローラーを持っていたのではないかと語るほどである。；教室では先生の指図に応じて、本を開いたり、鉛筆を動かしたりはした。；そして紙の上には、あなたの名前が鉛筆ではっきり書いてありました。；ディスプレイ上に生成される絵は鉛筆描き風にも筆描き風にもできる。；こういう様に紙の上に鉛筆で引いたところの線がそれぞれ事実の上に出現した。；次に、穴から風速を表す距離で、穴のすぐ上に鉛筆のマークを付けます。；こんな顔だったなどと言って鉛筆でかいて見せるものも出て来た。；日本では鉛筆は、17世紀初頭に徳川家康が最初に使用したといわれる。；待ち始めてから不図気がつくと、テーブルの上に紙と鉛筆が置いてあった。；私は鉛筆と紙を借り、次の日のプランを立てるために腹ン這いになった。；はじめに、此の様なことを鉛筆で書きつけたが、妙に頭がしびれて来た。；慣れないせいか、字は、なるほど鉛筆書きの時ほどうまく書けていない。；このころから学校では徐々に鉛筆が使われはじめるようになった。；小さい頃に親が箸や鉛筆など右で持つようにしようとしたが、できなかった。；鉛筆を下す前にその中からこれこそはと思われる一つを選み取らねばならぬ。；それはメモ帳から破り取ったもので、鉛筆で次のような絵が描かれていた。；また紙に偽造硬貨で線を引くと、鉛筆で書いたような跡が残ることがある。；正三角形の鉛筆は、主に幼児に鉛筆の持ち方を指導するために使われる。；鉛筆での筆記の際には、筆圧が必要以上に強いと芯が折れることがある。；君たちは地獄の港までも紙と鉛筆を持って行くつもりなんだろう。；一時朝鮮に戻って結婚し、1940年に荒川区町屋で鉛筆工場を開いた。；その燃え殻の紙には、鉛筆で書いた文字の痕が光って残っていました。；いくつかはゴルフボールのようであり、いくつかは鉛筆のようである。；彼は絶えず鉛筆とメモ用紙を持ってヒトラーの言葉をメモに取っていた。</t>
        </is>
      </c>
      <c r="J922">
        <f>HYPERLINK("https://www.weblio.jp/content/鉛筆", "词义详情")</f>
        <v/>
      </c>
      <c r="K922">
        <f>HYPERLINK("https://yourei.jp/鉛筆", "查看例句")</f>
        <v/>
      </c>
    </row>
    <row r="923">
      <c r="A923" t="inlineStr">
        <is>
          <t>塩分</t>
        </is>
      </c>
      <c r="B923" t="inlineStr">
        <is>
          <t>成功</t>
        </is>
      </c>
      <c r="C923" t="inlineStr">
        <is>
          <t>読み方：えんぶん
１物の中に含まれている食塩の量。しおけ。
２海水中に溶けている塩類の量。ふつう海水1キログラム中のグラム数（パーミル）で表す。平均海水で約35パーミル。陸水中で塩類の量は、1キログラム中のミリグラム数（mg/l）で表す。</t>
        </is>
      </c>
      <c r="D923" t="inlineStr">
        <is>
          <t>塩分を多く；塩分をふくん；塩分量；塩分摂取；塩分耐性</t>
        </is>
      </c>
      <c r="E923" t="inlineStr">
        <is>
          <t>塩；塩気；鹹味；しょっぱさ</t>
        </is>
      </c>
      <c r="F923" t="inlineStr">
        <is>
          <t>余分な塩分；含まれる塩分；土壌塩分；適度な塩分；海面塩分</t>
        </is>
      </c>
      <c r="G923" t="inlineStr">
        <is>
          <t>塩分町；塩分濃度差発電</t>
        </is>
      </c>
      <c r="H923" t="n">
        <v>29</v>
      </c>
      <c r="I923" t="inlineStr">
        <is>
          <t>ケルト人が塩分を含んだ鉱泉を知っていたかどうかは明らかではない。；砂には塩分が含まれており、路面に付着した氷に定着しやすくされている。；塩分が非常に強いため、室内の浴槽では加水希釈を伴って使用している。；また塩分が多すぎる場合も、極端な好塩菌しかその環境では生きられない。；温泉名の由来ともなった、塩分が多く含まれることが特徴である。；あ、でもそれってニワトリが塩分の採り過ぎで病気になったりしないの?；馬は沼地の発散する塩分を含んだ激しい香りを、いっぱいに呼吸していた。；一方で、尿には塩分が含まれているため、脱水が速く進む可能性がある。；怪物の血だと思わなければその適度な塩分は意外に美味なのだった。；塩田があったことによるとも、田に塩分が含まれていたことによるともいう。；そいつらは植物から塩分をとっていたとしか考えられない。；塩分の強い潟湖であるポモリエ湖はブルガス諸湖の北端に位置している。；この集落の発展は、古くから塩分を多く含んだ水源と結びついていた。；ただ注意が必要なのは、海洋に温度と塩分を与えるのが表面だけである点である。；実際、この湖は水が塩分を含んでいないことを除けば海とほとんど変わりがない。；この地下水には多量の塩分が含まれており、灌漑用途には不向きである。；島は土地が堅く塩分を含んでいて、そのカチカチな表面は褐色をしている。；駱駝草は塩分を含んでいるので駱駝以外の動物は食べないと言われる。；命も大事だが、健康のために、塩分をへらしている人も多いだろう。；塩分を含んだ風の中では人はさう容易く死ぬものではないと見える。；保存料を使用しない代わりに、一般的な食肉加工品と比較して塩分が高い。；大きな村落だが、そのあたりは土壌が塩分をふくんで荒地となっている。；彼はリングワールド上で唯一の、塩分を必要とする人種かもしれない。；このため食べ過ぎなければ、気にする程の塩分摂取の問題はない。；この工業用水を小倉は「塩分が入っていて美味しかった」と語っている。；なお、塩分が低すぎると保存性が悪くなりカビ発生の原因になる。；一方で塩分やカプサイシンも多く含むことによる害も指摘されている。；しかし塩分の濃い物や、あまりにも偏った餌の与え方はさけるべきである。；これで一応の解決にはなるが、食肉となる動物は、塩分をどうしていたのだろう。</t>
        </is>
      </c>
      <c r="J923">
        <f>HYPERLINK("https://www.weblio.jp/content/塩分", "词义详情")</f>
        <v/>
      </c>
      <c r="K923">
        <f>HYPERLINK("https://yourei.jp/塩分", "查看例句")</f>
        <v/>
      </c>
    </row>
    <row r="924">
      <c r="A924" t="inlineStr">
        <is>
          <t>遠方</t>
        </is>
      </c>
      <c r="B924" t="inlineStr">
        <is>
          <t>成功</t>
        </is>
      </c>
      <c r="C924" t="inlineStr">
        <is>
          <t>読み方：えんぽう
遠くの方。遠い所。「—からの客」「—へ旅立つ」</t>
        </is>
      </c>
      <c r="D924" t="inlineStr">
        <is>
          <t>遠方信号機；遠方此方；遠方監視；遠方視；遠方下流</t>
        </is>
      </c>
      <c r="E924" t="inlineStr">
        <is>
          <t>遠く；碧落</t>
        </is>
      </c>
      <c r="F924" t="inlineStr">
        <is>
          <t>遠方信号；こんな遠方；無限遠方；ひどく遠方；遠方より来たる</t>
        </is>
      </c>
      <c r="G924" t="inlineStr">
        <is>
          <t>遠方誘発地震</t>
        </is>
      </c>
      <c r="H924" t="n">
        <v>29</v>
      </c>
      <c r="I924" t="inlineStr">
        <is>
          <t>この際には使用武器がグレネードに固定され、より遠方の敵を攻撃可能。；また、彼女は遠方の夫にパリの政治的状況について手紙で知らせていた。；背景では多くの場所で赤い炎が燃え上がり、それが遠方まで続いている。；遠方まで続く風景はまた、夫妻の支配する広大な領土を示唆している。；するとそのとき、遠方に大きな姿をしたものが木の中で動いているのを見た。；そのため、ディーはヘイゼルを遠方の治療施設へ連れて行くことにした。；中には大野市や敦賀市などの遠方の地域から通う生徒もいるほどである。；特にレーダーから測定対象までの距離が遠方にある場合、減衰が大きい。；当事者等が遠方、疾病などの理由で出頭が困難な場合などに活用される。；道はまっすぐであったから、遠方でもその姿を見ることができた。；趙孟頫は朝廷で仕事をしていたため、夫婦で遠方まで旅行することがあった。；われわれは肉体ぐるみ人間を遠方へ連れて行くことはめったにござらぬ。；遠方監視制御および制御目標電圧値の手動調整も一般的におこなわれる。；彼等は手を廻して、遠方の生れたばかりの貧乏人の子を買って歩いた。；遠方信号機は停止を現示することはないため、停止の赤色灯は存在しない。；また各校まで通えない遠方在住者のためには通信講座が用意されている。；その家は、遠方なので、電車とバスに乗らなければなりませんでした。；朝は晴れていることが多いため、遠方にキューバを眺めることができる。；距離は90億光年より遠方にあり、宇宙誕生から40億年より前である。；さらにと連絡を取るために部隊を派遣、北の遠方に配置された。；また、過去の記録を見ると台湾などさらに遠方まで回遊していたと思しい。；建物も狭く規模も小さいが、遠方の生徒は自家用車や電車で通学できる。；遠方には鉱山のすぐそばで褐炭を燃やすための火力発電所の煙が見える。；強化部に所属する生徒および遠方の生徒が入寮することができる。；また遠方で受信できた場合に近距離であれば必ず受信できるとも限らない。；江戸や京都の博物家と比較して、遠方への採薬を頻繁に行っている。；認められたいばかりでなしに、地平線の遠方を見たかったからです。；そのため散乱円盤天体は太陽系の中でも極めて低温で遠方の天体である。；こうしたことから、全琮の名は遠方にも聞こえることとなったという。</t>
        </is>
      </c>
      <c r="J924">
        <f>HYPERLINK("https://www.weblio.jp/content/遠方", "词义详情")</f>
        <v/>
      </c>
      <c r="K924">
        <f>HYPERLINK("https://yourei.jp/遠方", "查看例句")</f>
        <v/>
      </c>
    </row>
    <row r="925">
      <c r="A925" t="inlineStr">
        <is>
          <t>円満</t>
        </is>
      </c>
      <c r="B925" t="inlineStr">
        <is>
          <t>成功</t>
        </is>
      </c>
      <c r="C925" t="inlineStr">
        <is>
          <t>読み方：えんまん
［名・形動］
１物事のようすや人柄などが、調和がとれていて穏やかなこと。また、そのさま。「—な夫婦」「話が—に収まる」
２まるく満ちていること。特に、顔などが豊かで福々しいこと。また、そのさま。「—な相好(そうごう)」
３完全に満ち足りていること。すべて備わっていること。また、そのさま。
「元来家に子を養うて—なりとは」〈福沢・福翁百話〉
４功徳などが十分に満ち足りること。願いなどが十分に満たされること。
「一度参詣の輩(ともがら)は、所願成就—すと承る」〈平家・七〉</t>
        </is>
      </c>
      <c r="D925" t="inlineStr">
        <is>
          <t>円満な家庭(3%)；円満なる(3%)；円満な人格；円満退社；円満な関係</t>
        </is>
      </c>
      <c r="E925" t="inlineStr">
        <is>
          <t>満足；平和；丸；完璧；無傷</t>
        </is>
      </c>
      <c r="F925" t="inlineStr">
        <is>
          <t>常識円満；円満な夫婦；無事円満；完全円満；円満山広</t>
        </is>
      </c>
      <c r="G925" t="inlineStr">
        <is>
          <t>円満寺；円満解決；円満具足；円満退社；円満院門跡</t>
        </is>
      </c>
      <c r="H925" t="n">
        <v>29</v>
      </c>
      <c r="I925" t="inlineStr">
        <is>
          <t>驚いたことに、彼は今まで見せたこともないような円満な笑顔で答えた。；円満に動くと云う語があるとすれば、こんな場合に用いられるのだろう。；なぜなら彼の妻と彼の母とのあいだが円満にいっていないからである。；それから後は二人の気分と同じように、二人の会話も円満に進行した。；移籍の際、双方の事務所が揉めることなどは一切なく円満移籍であった。；ムードメーカーでもあるし、彼女がそこにいるだけで会議も円満に進む。；不幸にして子供には恵まれなかったが、夫婦仲は円満と言って良かった。；もっとも、横須賀の花柳界では人気があったが家庭生活は円満であった。；けれども、それはそれで、はたからみれば結構円満な仲にみえたのです。；これでなければ小にしては店、大にして国でも円満に発達して行けないと思う。；たまたま円満な家庭との評を得たのはその無意識な結果に過ぎないのです。；それほどの円満な結婚生活をおびやかしたものは一人の女性の出現であった。；われわれはただ、事件を円満に解決したいと思っているだけなんだ。；キングレコード側も本人の意向を理解した上での円満な契約終了となった。；世のこと人のことは、とかく円満にばかりはいかないものとみえます。；それに成功した連中には妙に家庭の円満を欠くのや子供の好くないのが多い。；雄ちゃんが会社を辞めた時、円満退職じゃないなってことはわかってた。；さうして高天原はこの神々によつて完全に円満に構成せらるるのである。；ハタから見たら円満のようでも、内情知ったら不平のない奴あるもんか。；家庭は円満で、一家は以前ルターが暮らしていた修道院の建物に住んでいた。；このアルバムも失敗に終わり、リリース後にバンドは円満解散した。；受話器をとり、遠慮なく話すべきことを話して、問題は円満に解決した。；円満な家庭のモデルのようであった羽室家に、なにかの異変が生じている。；子供さえ生れれば二人のあいだも円満に行くだろうと考えていた。；道義を本として温情をもって円満にこれを解決する制度を設けるべきだ。；するとこれを聞いた室は改心して再び円満な夫婦となった、という。；大川と蓉子とは彼が二十九、彼女が二十三の年に円満な家庭を作るに至った。；ワイラーとの間には子供が出来なかったが、夫婦仲は円満であった。；頼家の仏果円満を願うがために母政子の尼が建立したものであるという。</t>
        </is>
      </c>
      <c r="J925">
        <f>HYPERLINK("https://www.weblio.jp/content/円満", "词义详情")</f>
        <v/>
      </c>
      <c r="K925">
        <f>HYPERLINK("https://yourei.jp/円満", "查看例句")</f>
        <v/>
      </c>
    </row>
    <row r="926">
      <c r="A926" t="inlineStr">
        <is>
          <t>遠慮</t>
        </is>
      </c>
      <c r="B926" t="inlineStr">
        <is>
          <t>成功</t>
        </is>
      </c>
      <c r="C926" t="inlineStr">
        <is>
          <t>読み方：えんりょ
［名］(スル)《3が原義》
１人に対して、言葉や行動を慎み控えること。「—なくいただきます」「年長者への—がある」「この部屋ではタバコは—してください」
２辞退すること。また、ある場所から引き下がること。「せっかくですが出席を—します」「君は—してくれ」
３遠い将来のことを思慮に入れて、考えをめぐらすこと。遠謀。「深謀—」
４江戸時代、武士や僧に科した刑罰の一。軽い謹慎刑で、自宅での籠居(ろうきょ)を命じたもの。夜間のひそかな外出は黙認された。</t>
        </is>
      </c>
      <c r="D926" t="inlineStr">
        <is>
          <t>遠慮すること(3%)；遠慮なし；遠慮勝ち；遠慮する必要；遠慮無く</t>
        </is>
      </c>
      <c r="E926" t="inlineStr">
        <is>
          <t>拒否；考慮；拒絶；辞退；振る</t>
        </is>
      </c>
      <c r="F926" t="inlineStr">
        <is>
          <t>御遠慮；不遠慮；遠慮なんか；そんな遠慮；さすがに遠慮</t>
        </is>
      </c>
      <c r="G926" t="inlineStr">
        <is>
          <t>遠慮がち；遠慮会釈；遠慮なし；遠慮深く；遠慮深い</t>
        </is>
      </c>
      <c r="H926" t="n">
        <v>29</v>
      </c>
      <c r="I926" t="inlineStr">
        <is>
          <t>ついでに今まで遠慮していたあちこちの集会へも顔を出して見たかった。；つまりはわたくしの子供も同じことですから、決して遠慮はありません。；彼の態度はそれ以前よりも遠慮のないやや傲慢なものへと変化していた。；いきなり音楽の話から入ったし、音楽ってのは遠慮もなにもないからね。；それが、どんな人間であっても自分はそれに遠慮して手を引くのではない。；なんなら遠慮なしに、家へ来ていたらどうだと、そういうに極っている。；歌詞は女性の権利拡大を遠慮せずに、攻撃的なメッセージで訴えている。；が、その病氣は若いものに向つては少し遠慮すべき性質のものであつた。；そのためお互いが不都合な状況になると遠慮無く諍いを起こしてしまう。；今までどなたも心よく応じてくれましたからお坊様も遠慮は無用ですよ。；畳にすれば僅か二枚ほどのその哀れな住居の前を人々は不遠慮に歩いている。；誰に遠慮することもひいきすることもなく、堂々と自分の意見を述べた。；築山だけは周りに遠慮したものでしょうか、型ばかりに設えてあります。；彼女は今や何の遠慮も気兼もなく彼女の恋を楽しみ得る身の上であった。；その年になってもまだ彼は継母の前で酒をやることを遠慮している。；このへんは、まあ、いいほうかも知れないが、どうも少し遠慮している。；また、郭解が出歩くと皆が遠慮し彼を避けたが、避けずにいる者がいた。；まだ、誰に遠慮もなく逢えるのに、どうしてそう二人になるんでしょう。；しかしSは遠慮して皿に肉をとってやらないと食べなかったという。；路で逢っても、こちらから言葉をかけるのは遠慮すべきものかも知れない。；信頼できる情報であれば、遠慮せずに記事にそれを記載しましょう。；それに今夜は父も東京から帰つて居る事だから実際遠慮して激しく叩かぬ。；それは一緒にゐる逸子への遠慮も多少は手伝つてゐたに相違なかつた。；内角へのシュートを遠慮しながら投げてくる投手は特に得意だったという。；彼はパラケルススに負うところが多いと言っているが遠慮無く批判もした。；そうだ、俺はそう思ってえんりょなく内のようすを探ろうとしたのであった。；子供ながら、それ以上質問を続けることは、父親に遠慮するらしく見えた。；しばらく遠慮をしていた両岸の旅客もようやく渡ることができました。；そこで私たちは遠慮して脇道に入り、粗末な木のベンチに腰をおろした。</t>
        </is>
      </c>
      <c r="J926">
        <f>HYPERLINK("https://www.weblio.jp/content/遠慮", "词义详情")</f>
        <v/>
      </c>
      <c r="K926">
        <f>HYPERLINK("https://yourei.jp/遠慮", "查看例句")</f>
        <v/>
      </c>
    </row>
    <row r="927">
      <c r="A927" t="inlineStr">
        <is>
          <t>尾</t>
        </is>
      </c>
      <c r="B927" t="inlineStr">
        <is>
          <t>成功</t>
        </is>
      </c>
      <c r="C927" t="inlineStr">
        <is>
          <t>読み方：お
１動物のしりから細長く突き出た部分。魚の尾びれ、鳥の尾羽をいうこともある。しっぽ。「犬が—を垂れる」
２ある物の後方から、細長く伸びたり垂れたりしたもの。「凧(たこ)の—」「彗星の—」
３山裾の、なだらかに延びた部分。「山の—」
４物事の終わりの部分。
「永く—を引っ張る呼び声が聞こえた」〈啄木・葬列〉</t>
        </is>
      </c>
      <c r="D927" t="inlineStr">
        <is>
          <t>尾状；尾輪；尾柄；尾けら；尾張</t>
        </is>
      </c>
      <c r="E927" t="inlineStr">
        <is>
          <t>尻尾；テール；テイル；尻っぽ；尾っぽ</t>
        </is>
      </c>
      <c r="F927" t="inlineStr">
        <is>
          <t>一尾；垂れ尾；長く尾；七尾；砲尾</t>
        </is>
      </c>
      <c r="G927" t="inlineStr">
        <is>
          <t>尾行；尾張；尾崎；尾張国；尾部</t>
        </is>
      </c>
      <c r="H927" t="n">
        <v>29</v>
      </c>
      <c r="I927" t="inlineStr">
        <is>
          <t>彼はまたこの彗星の尾が常に太陽と反対側に伸びていることを確認した。；尾の短い鳥翼類の系統のうち、最初に多様化を遂げたのが反鳥類である。；脚は短く、長く先の尖った翼とツバメのように二股に分かれた尾を持つ。；実際に5月19日にはハレー彗星の尾の外側の部分を地球が通過した。；初期の後装砲は砲尾で燃焼ガスが漏れて砲兵の傍で爆発する事があった。；長い尾を使って泳いだとされるが、やはり泳ぐのも得意でなかったという。；特有の黒い線が前足にあり、名前の由来となる先端が黒い短い尾を持つ。；毒は有していないが、巨象をも絞め殺してしまう強力な尾を具えている。；尾を通過することは計画されていたものではなく予想外だった。；その他の種でも胴や尾を含めた長さと同じくらいのものが多かった。；この三尾は、現在の滋賀県高島市にある三尾里にあたると推定されている。；発達した脚部と尾の筋力と構造はティラノサウルスにも似ているとされる。；ムナグロと羽色などが酷似するが翼や尾が長く、その分やや大型に見える。；また極端に長い尾の持ち主は竜脚類中でもディプロドクス類に限られる。；脳幹のうちもっとも尾側の部分であって、吻側に橋、尾側に脊髄がある。；メスは尾をまっすぐに伸ばしても総排泄口の一部が背甲よりも内側にある。；一方でボルネオ島など南方系の個体では尾の先端が白い個体もいる。；観測者の報告では彗星の明るさは約0等で尾の長さは80度に達した。；四肢は完全に鰭状に変化しており、尾は短く、水生生活に適応していた。；雄の背中は尾も含め光沢のある青で、尾の基部には左右に白斑がある。；この時、尾を切ると十拳剣の刃が欠け、尾の中から鋭い大刀が出てきた。；過去の調査例によると約千尾のハリセンボンの針の数の平均は369本であった。；一般に動物は様々な理由で尾を損傷することがある。；頸と足が長く、飛翔時に足が尾を越えることで、他のカモと区別できる。；ネコ科で唯一の尾の先に房状の毛が生えているが、その役割はわかっていない。；魚のうろこをうろこ引きや出刃包丁で魚の尾から頭に向かってかき取る。；また解剖学的には、他のサルでは尾のある部分にヒトは尾てい骨を持つ。；蝶番で接続された翼と尾を使って鳥のように飛ぶとされている。；戦車のように体を覆う装甲と、先端に大きな骨塊のついた尾をもつ。</t>
        </is>
      </c>
      <c r="J927">
        <f>HYPERLINK("https://www.weblio.jp/content/尾", "词义详情")</f>
        <v/>
      </c>
      <c r="K927">
        <f>HYPERLINK("https://yourei.jp/尾", "查看例句")</f>
        <v/>
      </c>
    </row>
    <row r="928">
      <c r="A928" t="inlineStr">
        <is>
          <t>おい</t>
        </is>
      </c>
      <c r="B928" t="inlineStr">
        <is>
          <t>成功</t>
        </is>
      </c>
      <c r="C928" t="inlineStr">
        <is>
          <t>［感］
１呼びかけたり、注意を促したりするときに発する語。主に男性が同輩・目下に対して用いる。「—、待たないか」
２呼びかけられて軽く答えるときの語。「—、合点、承知の助」
３やや驚いたときに発する語。おや。おお。
「—、この君にこそ」〈枕・一三七〉
４思いついたときなどに発する語。おお。
「—、さりさりとうなづきて」〈源・玉鬘〉</t>
        </is>
      </c>
      <c r="D928" t="inlineStr">
        <is>
          <t>おいてくれ(3%)；おいた方；おいたら；おいてください；おいて下さい</t>
        </is>
      </c>
      <c r="E928" t="inlineStr">
        <is>
          <t>衰え；老い；老け；老化；老衰</t>
        </is>
      </c>
      <c r="F928" t="inlineStr">
        <is>
          <t>放っておい；入れておい；残しておい；言っておい；つけておい</t>
        </is>
      </c>
      <c r="G928" t="inlineStr">
        <is>
          <t>おいしい；おいら；おいおい；おいし；おいしく</t>
        </is>
      </c>
      <c r="H928" t="n">
        <v>29</v>
      </c>
      <c r="I928" t="inlineStr">
        <is>
          <t>かつての夫と妻は距離をおいたまま、身じろぎもせず互いを見つめ合う。；上記において としているので、球体は必ず中心の点 は含むことに注意。；でもそれ以上考えても浮かんでこなかったから、数日放っておいた。；両選手はピスト中央に4mの距離をおいて構えの姿勢から試合を開始する。；帳とメッセージの各文字を、事前に決めておいた方法で組み合わせていく。；党大会決定の実行に責任をおい、対外的に党を代表し、全党を指導する。；極端な場合、水が無くても湿ったもので包んでおいた方がましである。；地図は手紙に入れておいたのでそれを持って、必ず来てください。；しかしながら彼らをいかなる窓の近くにもおいてはならない。；また、サーバに保存しておいて、必要があるときだけ出力することもある。；机の上においていた条約文書は、副本は残っていたが、原本が消えていた。；を呼んで、「この品を大事に取っておいてくれ」と言って自分の耳を渡した。；彼のいう生産は農業を念頭においており、その意味で重農主義と呼ばれる。；この「心の教育」とは、総合的な人間力の形成を主眼においたものである。；また神女を聞得大君の元に組織化し、各地のノロをその統制下においた。；ただし、フランスは条約を準備した功績により常に代表を1人おいている。；液体を入れておいたり、加熱したり、物を溶かしたりするのに使用する。；本作ではアコースティック・ギターやハーモニカなどを中心においている。；各建物は20メートルから30メートルの間隔をおいて分布している。；テレビや新聞のニュースで触れられない情報の存在も常に念頭においておく必要がある。；美術的な価値に重きをおいた団扇もアメリカに盛んに輸出された。；都をタルノヴォに定め、ブルガリア人のほか周辺民族も統治下においた。；訝った李鏡殊は食べずに隠しておいたが、娘の浪奸がそれを食べてしまう。；さらにロシア軍の一軍をフリードリヒ2世に送り、その指揮下においた。；米国をはじめとする各国も時期をおいて中華人民共和国との外交関係の回復を行っていった。；ニューヨークに新居を購入したが、依然活動の拠点はロンドンにおいている。；中央の職制は幕府のそれをほぼ模倣し、藩主の下に家老のほか諸役をおいた。；オプティマは事前にセットしておいたものの中から選択する。；この学校は英語に重点をおいたプログラムを展開している。</t>
        </is>
      </c>
      <c r="J928">
        <f>HYPERLINK("https://www.weblio.jp/content/おい", "词义详情")</f>
        <v/>
      </c>
      <c r="K928">
        <f>HYPERLINK("https://yourei.jp/おい", "查看例句")</f>
        <v/>
      </c>
    </row>
    <row r="929">
      <c r="A929" t="inlineStr">
        <is>
          <t>甥</t>
        </is>
      </c>
      <c r="B929" t="inlineStr">
        <is>
          <t>成功</t>
        </is>
      </c>
      <c r="C929" t="inlineStr">
        <is>
          <t>読み方：おい
自分の兄弟姉妹の息子。「叔父—の間柄」⇔姪(めい)。</t>
        </is>
      </c>
      <c r="D929" t="inlineStr">
        <is>
          <t>甥たち；甥御；甥姪；甥達；甥孫</t>
        </is>
      </c>
      <c r="E929" t="inlineStr">
        <is>
          <t>猶子；甥御；甥御さん</t>
        </is>
      </c>
      <c r="F929" t="inlineStr">
        <is>
          <t>叔父甥；若い甥；幼い甥；義甥；伯父甥</t>
        </is>
      </c>
      <c r="G929" t="inlineStr">
        <is>
          <t>甥っこ</t>
        </is>
      </c>
      <c r="H929" t="n">
        <v>29</v>
      </c>
      <c r="I929" t="inlineStr">
        <is>
          <t>俺なんかせいぜい年の離れた弟か甥っ子扱いしかされていない気がするぜ。；義理の弟の甥っ子なんだが、東京の大学出てたのにこんな所で働いている。；男子がいなかったため、家督は養嗣子になっていた甥の秀保に継がせた。；ところが甥っ子達は、外で遊んでいたために全身泥だらけであった。；船を出発させようとドナルド船長は甥っ子たちに碇を上げるよう命じる。；おまえはいつも、おれの甥っ子だってんで甘ったれてたんじゃないのか?；兄がおり、2021年現在は兄夫婦と甥っ子2人の5人で暮らしている。；甥のウダイとは険悪な仲であったとされ、事あるごとに対立していたとされる。；翌年から甥の息子一家が泉と同居生活をして、泉が死去するまで面倒を看た。；みんなは仕事にいき学校にいき、居間には甥っこだけが寝ています。；その甥は結婚式場を飛び出し、廊下でラジオで結果を知ったという。；この書物の中でガウェインはアーサー王の甥にして優秀な武将として活躍。；甥っ子は身体が弱くて、すぐに熱を出すので妹はいつもかかりきりだ。；この際の経験が後の政治家の歩みを決める出来事になったとも先述の甥が語っている。；そんな中でも乳母の甥・三善康信から定期的に京都の情報を得ている。；信長はこれに怒り、信元の甥である家康に信元を殺すように命じた。；しかしその死亡記事が出た後、生まれたのは1791年だと甥が書いている。；もう三十を過ぎた甥っ子たちは後ろ脚を担当した。；市警にいる甥っ子という人物が本当に存在するかどうかもあやしいもんだ。；この時期に、法律や兵学についての著作に励み、子や甥の教育にも努めた。；トーマスは甥に、自由貿易と反国家主義的な政治見解を教えたようである。；法律的には、甥・姪の子供やいとこは傍系4親等であり結婚可能である。；が、甥っ子の調子のいいのはいつものことで、どこまで信じていいやらわかったものではない。；三上の父親は実の息子を勘当し、甥っ子を養子にしていた。；死に臨み末期養子として甥の高和を立てたが認められず、改易となった。；三好康長は連携を強めるために秀吉の甥を養子としてもらった。；小さい頃、一度会ったことがある父親の甥っ子だという。；ジョフロワ1世は第4回十字軍に従軍した同名の有名な歴史家の甥である。；私を、甥っ子の母親と思ったからではないかと言う。</t>
        </is>
      </c>
      <c r="J929">
        <f>HYPERLINK("https://www.weblio.jp/content/甥", "词义详情")</f>
        <v/>
      </c>
      <c r="K929">
        <f>HYPERLINK("https://yourei.jp/甥", "查看例句")</f>
        <v/>
      </c>
    </row>
    <row r="930">
      <c r="A930" t="inlineStr">
        <is>
          <t>追いかける</t>
        </is>
      </c>
      <c r="B930" t="inlineStr">
        <is>
          <t>成功</t>
        </is>
      </c>
      <c r="C930" t="inlineStr">
        <is>
          <t>読み方：おいかける
［動カ下一］［文］おひか・く［カ下二］
１先に行くものに追いつこうとして、あとから追う。おっかける。「先発隊を—・ける」「流行を—・ける」
２（「おいかけて」の形で、副詞的に用いる）ある事をしたあとに、続けて事を行う。また、ある事に続いてさらに事が起こる。「とりあえず事件発生の一報を入れ、—・けて詳細を伝える」</t>
        </is>
      </c>
      <c r="D930" t="inlineStr">
        <is>
          <t>追いかけるべき</t>
        </is>
      </c>
      <c r="E930" t="inlineStr">
        <is>
          <t>求める；追う；追跡；追求；後続</t>
        </is>
      </c>
      <c r="F930" t="inlineStr">
        <is>
          <t>慌てて追いかける；走って追いかける；見つけて追いかける；急いで追いかける</t>
        </is>
      </c>
      <c r="H930" t="n">
        <v>29</v>
      </c>
      <c r="I930" t="inlineStr">
        <is>
          <t>これを追いかけるように、百四十台のトラックの列が荷物を運んできた。；その様子を見ていた少女たちのそのあとを追いかけ捕まえる事が出来た。；船と記録機器を急いで用意して、あとから追いかけることにしましょう。；その中の主人公が、どんな武装をしてあなたを追いかけるか知れません。；これでゆっくりとではあるが追いかけるイギリス艦隊との距離を離した。；血の匂いは雨に流されて、追いかける事ができなくなってしまったから。；急いで直也の背中を目で追いかけると、彼は遠くに行ってしまっている。；王が棒きれを追いかけるなんて、そんな突飛なことはありっこなかった。；が、たちまち一人が逃げ、その一人を追いかけると、他の二人も逃げた。；それでマフィオ叔父と相談した結果、私も追いかけることにしたのです。；八郎はその後を追いかけたが錦戸太郎の墓までくると消えてなくなった。；するとあちこちから懐中電灯の光が集まってきて、彼を追いかけ始めた。；ボールを追いかけるのに夢中で、走ってきた車に気づかなかったのだ。；僕は夢中になって追いかける間に何度もその姿を見失おうとしました。；これ以上、この事件を追いかける意味があるとは思えなくなっていた。；そしてそれを追いかけるように怪しい光が島の反対側に消えていった。；絶えずKのあとを追いかけるのが、すでに彼らの習慣になっていたのだ。；少女と犬が玄関の方へ逃げ、それを義父が追いかけるのを僕は窓から見た。；口ではああ言っていたが、遠坂もあの少女を追いかける気はないのだろう。；暗号が青になり彼が歩き始めて、私は追いかけることができませんでした。；さすがにそこまで追いかける気にはなれず、新田は小屋へ戻って服を着た。；三人を追いかけるのはまったく時間の無駄にしかならないだろう。；場面は変わり、イーサンはデビーが逃げていくのを見て追いかけていく。；いつでも彼のあとを追いかけることが、すでにこの男たちの習慣となっていた。；ある日、少年は窓の外で透明な少女とそれを追いかける怪物の姿を目にする。；この艦隊はしばらくピクを追いかけたが、捕獲することはできなかった。；彼が出発すると、追いかけて使者がきて、家族全員の死を順に知らせる。；家を飛び出した愛良を追いかけてきた開陸の行動に愛良は彬水を見る。；ただし事件レポーターが芸能分野の話題を追いかけたりすることもある。</t>
        </is>
      </c>
      <c r="J930">
        <f>HYPERLINK("https://www.weblio.jp/content/追いかける", "词义详情")</f>
        <v/>
      </c>
      <c r="K930">
        <f>HYPERLINK("https://yourei.jp/追いかける", "查看例句")</f>
        <v/>
      </c>
    </row>
    <row r="931">
      <c r="A931" t="inlineStr">
        <is>
          <t>追い越す</t>
        </is>
      </c>
      <c r="B931" t="inlineStr">
        <is>
          <t>成功</t>
        </is>
      </c>
      <c r="C931" t="inlineStr">
        <is>
          <t>読み方：おいこす
［動サ五（四）］
１後ろから行って、先行するものを抜いてその前に出る。追い抜く。「前の車を—・す」
２劣っていたものが上位のものを抜いて、まさったものになる。「先進国に追いつき—・す」
[補説]道路交通法では、後車が車線を変えて前車の前に出るのを「追い越す」、車線を変えずに先行車の前に出るのを「追い抜く」としている。</t>
        </is>
      </c>
      <c r="D931" t="inlineStr">
        <is>
          <t>抜く；追い越し；通りすぎる；追い抜く；抜き去る</t>
        </is>
      </c>
      <c r="H931" t="n">
        <v>29</v>
      </c>
      <c r="I931" t="inlineStr">
        <is>
          <t>それほど早くそれは追い越され、内容を失ってしまっていたのであった。；このままでいけば先輩が卒業する前に先輩の身長を追い越せそうだった。；それより前にも追い越されたかも知れませんが、それは思いだせません。；こんな形の舟を追い越す波が、舟の中へはいってくるのは当然である。；その女は歩いているのだから、当然バスのほうが追い越すことになる。；追い越されたなら、今度は僕があいつから教えてもらえばいいだけの話だ。；僕は気が急いでいたが、ほかの避難者たちを追い越さない程度に足を運んだ。；後から来た軍人さんに追い越されたことが、少し悔しかったのだろう。；ここでは延滞どころか、対象変化を追い越す運動が認められるのである。；今後この同じ方面である人々は私の後に続き、ある人々は私を追い越すであろう。；彼はマクラーレンに続いて走行したが、追い越すことはできなかった。；しかし、彼は追い越されたことを素直に認めようとはしませんでした。；バスが追い越す時、君は当然のように窓から歩道の女の顔を見るんだ。；後輩にも追い越されて会社での私の立場といったら新入社員よりも下なんです。；トラックの前に軽自動車がいて、トラックはそれを追い越そうとしたのである。；新しい時代の人たちは古代芸術家と競うだけでなく追い越すように努力した。；今では富士市の4大祭りを追い越すほどの大きな祭りとなっている。；これらの惑星は地球に最も近いときに地球に追い越される。；「先生、女子組を追い越そうや」 四列縦隊に並んだ一番前の生徒が言う。；人でもどちらかの脚をもう一方の脚が追い越さないように歩行すれば実感できる。；人間体時での走行速度はマシン・デ・ラ・ムですら追い越すほど速い。；気性面では前にほかの馬がいると追い越そうとするなど負けん気が強かった。；ダンプカーは、宇津木の車を追い越すと、急な動きで前に切りこんできた。；気がつけば、アルシェイラ・アルモニスは彼女に追い越されていたのだ。；それは、クラスで一番足の速い橋本くんが僕を追い越そうとしたときのことだ。；ともすればその影を追い越そうかという勢いで、おようは歩き続けた。；自身の目標は「知識を吸収して他者を追い越すこと」と述べている。；田中が後ろから近づいてくるのを見ると、先発組は追い越させる。；それがさらに伸びて、今まさに自転車を追い越そうとしたタクシーに絡みついた!</t>
        </is>
      </c>
      <c r="J931">
        <f>HYPERLINK("https://www.weblio.jp/content/追い越す", "词义详情")</f>
        <v/>
      </c>
      <c r="K931">
        <f>HYPERLINK("https://yourei.jp/追い越す", "查看例句")</f>
        <v/>
      </c>
    </row>
    <row r="932">
      <c r="A932" t="inlineStr">
        <is>
          <t>追い込む</t>
        </is>
      </c>
      <c r="B932" t="inlineStr">
        <is>
          <t>成功</t>
        </is>
      </c>
      <c r="C932" t="inlineStr">
        <is>
          <t>読み方：おいこむ
［動マ五（四）］
１広い所にいるものを、追い立ててある場所に入れる。「牛を柵の中に—・む」
２相手を苦しい立場に立たせる。追い詰める。「窮地に—・む」「辞任に—・む」
３最後の段階で、全力を出してがんばる。「期日までに—・んで完成させる」
４競走で、後方にいたものが、決勝点近くになって、先行するものに迫る。「ゴール直前で一気に—・む」
５印刷の組み版で、前の行や前ページに続けて活字を組む。「一行—・む」
６機器を調整して、できる限り精度や性能を高めること。</t>
        </is>
      </c>
      <c r="D932" t="inlineStr">
        <is>
          <t>追い込むべく；追い込む活躍を見せ</t>
        </is>
      </c>
      <c r="E932" t="inlineStr">
        <is>
          <t>追う；導く；駆る；逐う；押す</t>
        </is>
      </c>
      <c r="H932" t="n">
        <v>29</v>
      </c>
      <c r="I932" t="inlineStr">
        <is>
          <t>代わりに、誰からも文句が出なくなるまで自分を追い込むようになった。；もし矢代が犯人なら、そんな風に自分を追い込むことをするでしょうか?；その気になればプレイヤーの腕一つで街一つを壊滅に追い込む事さえ可能。；そのため、常に追い込んだ方が力を発揮するのではとファンに噂されている。；それらは外から末脚で追い込んできたが、粘り切って決勝線に到達する。；稲尾の球威がいつもほどではないにしても追い込まれてからだからね。；スペインとの関係はローリーをのっぴきならない立場に追い込んでいた。；人間を自ら事故にあうような状況に追い込むのは、実に容易なことだ。；さらに日本語が分からない中での緊張感のある生活でどんどん追い込まれていった。；この場合、網を打ったらすぐに魚を網のあるほうに追い込まなければならない。；このため1930年に李堈は隠居に追い込まれ、子の李鍵が公となった。；同様の動きが帝国各地で発生し、カンタクゼノスは窮地に追い込まれた。；海軍が開戦決意へみずからを追い込むのは、昭和十六年十月末であった。；しかし、世界中のイスラム教徒から抗議が殺到して中止に追い込まれた。；団結していたドイツはマルクス主義によって深刻な分裂に追い込まれた。；やがて教授となるも、授業中の発言を巡って休職・退官に追い込まれる。；しかしその激情ゆえに最後は主君と対立し疎まれ、自殺に追い込まれた。；うまくすれば一人ぐらい退場に追い込むことができるかもしれない。；どう考えても番内が二人を同時に窮地に追い込むための手段としか思えない。；レースでは後方から追い込むも前が残る展開となり4着に敗れた。；これらの船が船縁などを叩いて音を出し、群れを湾に追い込んで捕らえる。；こうしてスンダとウパスンダの支配を自滅へと追い込むことに成功した。；おまえの父を殺した私を追い込むおまえが、父よりも劣っているとでもいうか?；これは議会内の自由主義勢力の激しい反発を招き、廃案に追い込まれた。；その間は毎年のように存続すべきかどうか議論されて、廃止の危機に追い込まれていた。；これが後にメキシコGPを中止に追い込んだ理由の一つとなった。；対策を十分に練ったため、討伐軍は次第に九尾の狐を追い込んでいった。；また、年金を失ったことで突然に金が必要な状況に追い込まれたとも推測される。；飲み会とかで盛り上げてくれる面白い女子を半泣きアクメに追い込んだ!</t>
        </is>
      </c>
      <c r="J932">
        <f>HYPERLINK("https://www.weblio.jp/content/追い込む", "词义详情")</f>
        <v/>
      </c>
      <c r="K932">
        <f>HYPERLINK("https://yourei.jp/追い込む", "查看例句")</f>
        <v/>
      </c>
    </row>
    <row r="933">
      <c r="A933" t="inlineStr">
        <is>
          <t>おいしい</t>
        </is>
      </c>
      <c r="B933" t="inlineStr">
        <is>
          <t>成功</t>
        </is>
      </c>
      <c r="C933" t="inlineStr">
        <is>
          <t>読み方：おいしい
［形］《味がよい意の女房詞「いしい」に接頭語「お」の付いたもの》
１食べ物の味がよい。美味だ。「うまい」に比べて丁寧・上品な感じが強い。「魚の—・い店」「山の空気が—・い」
２自分にとって都合がよい。具合いがよい。好ましい。「そんな—・い話が、あるはずがない」
→旨(うま)い［用法］
[派生]おいしがる［動ラ五］おいしげ［形動］おいしさ［名］</t>
        </is>
      </c>
      <c r="D933" t="inlineStr">
        <is>
          <t>おいしいもの(13%)；おいしい料理(2%)；おいしいです；おいしいところ；おいしい物</t>
        </is>
      </c>
      <c r="E933" t="inlineStr">
        <is>
          <t>うまい；美味しい；利点がある；有益な；美味い</t>
        </is>
      </c>
      <c r="F933" t="inlineStr">
        <is>
          <t>一番おいしい；こんなにおいしい；こんなおいしい；いちばんおいしい；おいしい話</t>
        </is>
      </c>
      <c r="G933" t="inlineStr">
        <is>
          <t>おいしいごはん；おいしい季節；おいしい生活；おいしいうたファミリー；おいしい給食</t>
        </is>
      </c>
      <c r="H933" t="n">
        <v>29</v>
      </c>
      <c r="I933" t="inlineStr">
        <is>
          <t>買ったものは食べたことはないけれど、どう見てもおいしそうではない。；一番おいしいお菓子を子供が最後まで残しておくのに似た気持もあった。；ただ料理して食べたら、大変おいしかったことだけは覚えているという。；たとえば、目の前においしそうな実がたわわになった木があったとする。；最初に口にしたとき、この昼食はとてもおいしく感じたような気がする。；彼女はもう大変おいしそうに、パン入りのミルクを食べているのでした。；この魚はこれまで私が食べた魚のうちでもっともおいしい魚のひとつである。；それが涙が出るほどおいしかったんだけど、お店だからそうなんだってね。；ある家の食堂の方からは、おいしそうな御馳走の匂がしているのでした。；おいしい商品を作っていても知られていない小さなメーカーに光を当てる。；これほどおいしい魚は食べたことがなかったように思われたからだ。；そしてそれはいままでに食べたことがないほどにおいしい味でした。；夜に咲輝が帰ってきたら、おいしかったといってみようと伊央は思った。；ビールをおいしく感じなかったのは、はじめてのことといっていいだろう。；運動のせいばかりではあるまい、たしかにご馳走もおいしいようである。；おいしい食べものをもらった子供のように、すっかり満足そうであった。；暖かい部屋で飲むコーヒーをよりおいしく体と心にしみこませるために。；この部分のおいしさは、誰もが知っていて誰もがここを狙っている。；その味は口にした誰もが「おいしい」と声を揃えるほどの美味とのこと。；なぜなら私の前に置かれたのは、おいしそうな料理の入ったお鍋ではない。；いかにもおいしそうに見えますし、見た眼に美しいし、快い眺めでした。；茶の葉は変りないのに、彼女が入れると、香りがよく出ておいしかった。；ビールやおいしい食事をしてくれた町の人も、二、三人はありました。；食べ物はどれもこれも、体の中にしみとおっていくほどのおいしさです。；薄い木の皮が鰹節そっくりでおいしそうなので、口に入れたこともあった。；あれは一日の内に何度か温度を変化させると、早くおいしくなるらしいんだね。；そしてそこにあったおいしそうな品々は、今でも眼の前に見えるほどです。；この子の前では私はいつもおいしくものを食べている気がした。；薄い切り身は、まわりも中心も均等に火が通ってしまっておいしくない。</t>
        </is>
      </c>
      <c r="J933">
        <f>HYPERLINK("https://www.weblio.jp/content/おいしい", "词义详情")</f>
        <v/>
      </c>
      <c r="K933">
        <f>HYPERLINK("https://yourei.jp/おいしい", "查看例句")</f>
        <v/>
      </c>
    </row>
    <row r="934">
      <c r="A934" t="inlineStr">
        <is>
          <t>追い出す</t>
        </is>
      </c>
      <c r="B934" t="inlineStr">
        <is>
          <t>成功</t>
        </is>
      </c>
      <c r="C934" t="inlineStr">
        <is>
          <t>読み方：ぼいだす
［動サ四］追い出す。たたき出す。
「あんでもさう言って—・してしまへちゃあ」〈滑・続膝栗毛・一一〉</t>
        </is>
      </c>
      <c r="D934" t="inlineStr">
        <is>
          <t>追い出すべく；追い出すべき</t>
        </is>
      </c>
      <c r="E934" t="inlineStr">
        <is>
          <t>追放；払う；駆逐；一掃；除籍</t>
        </is>
      </c>
      <c r="H934" t="n">
        <v>29</v>
      </c>
      <c r="I934" t="inlineStr">
        <is>
          <t>噂によれば、喧嘩ばかりして元いた学校を追い出されてしまったらしい。；あの子をうちから追い出そうとするようなやつは、だれでも殺してやる。；その前にも一人来たが、その男は奥さんの気に入らなくて追い出された。；彼女は実家の人々に対し、追い出されて来た理由を正直に話したろうか?；見えなかった侵入者の家族を屋敷から追い出すことに成功するグレース。；これらの理由から、共産中国は勝利した後に彼らを中国から追い出した。；母親の実家は、母親の姉に入婿して、一人の母は追い出されたのでした。；歯を食いしばって、自分の心に流れこんでくる意識を追い出そうとする。；そうすれば、あの連中、いやでも私を追い出さなければならなくなるよ。；そんな母を部屋から追い出すのにかなり時間を食ってしまい、今に至る。；他の兵士らは村から追い出されて、逃げ出すよりほかに仕方がなかった。；といって、それを追い出すためにもう一度戸をあけるわけにはいかない。；また返礼をしない個体は仲間からの援助を失い、群れから追い出される。；あの人をこの家から追い出しなすった方が賢明じゃございませんかしら?；そこで伯爵は全員を城から追い出すよう、わたしにお命じになったのです。；お前の方では、おれを追い出してやったと、思っているらしいが、違う。；両親は彼を養うことができず、彼は10代のときに家から追い出された。；こうしなければ追い出すことのできない別の苦痛のことも思わない。；おそらく、彼のことを、店子を追い出しにきた人間だと思ったのだろう。；皇帝の信任を受けた李訓・鄭注は牛派・李派双方を朝廷から追い出した。；わたしが追い出されるのは誰のせいだか、ちゃんとわかっていますよ。；仁助を追い出すことになるし、死んだ泉に気をつかったからでもあった。；そこでその治療は悪魔払いなどのやり方で悪魔を追い出すことであった。；これは石を投げた学生が警官を町から追い出した後のことだった。；義勇軍は重大な戦闘なしにプロシア軍を国境から追い出すことができた。；そもそも私は、父の為を思ってリナさんを追い出そうとしているのだから。；百合香の夫が、彼女を追い出そうとしていると言っていたではないか。；疫病のことをわたしに知られたら追い出されると思って黙っていたのだろう。；人が我々の仲間を森や山から追い出す時、いつでも陰に商人がいた。</t>
        </is>
      </c>
      <c r="J934">
        <f>HYPERLINK("https://www.weblio.jp/content/追い出す", "词义详情")</f>
        <v/>
      </c>
      <c r="K934">
        <f>HYPERLINK("https://yourei.jp/追い出す", "查看例句")</f>
        <v/>
      </c>
    </row>
    <row r="935">
      <c r="A935" t="inlineStr">
        <is>
          <t>追いつく</t>
        </is>
      </c>
      <c r="B935" t="inlineStr">
        <is>
          <t>成功</t>
        </is>
      </c>
      <c r="C935" t="inlineStr">
        <is>
          <t>読み方：おいつく
［動カ五（四）］
１追いかけて先に出たものに行き着く。「先発隊に—・く」
２能力・技術などが目標とするものに達する。「先進国の技術に—・く」
３（多く「おいつかない」の形で用いる）間に合う。取り返しがつく。埋め合わせがつく。おっつく。「今さら後悔しても—・かない」</t>
        </is>
      </c>
      <c r="D935" t="inlineStr">
        <is>
          <t>追いつくだろ；追いつくべく；追いつくまい；追いつく可能性；追いつく粘りを見せ</t>
        </is>
      </c>
      <c r="E935" t="inlineStr">
        <is>
          <t>追い付く；追い着く；追付く；追っ付く</t>
        </is>
      </c>
      <c r="F935" t="inlineStr">
        <is>
          <t>すぐ追いつく；ようやく追いつく；とても追いつく；走って追いつく</t>
        </is>
      </c>
      <c r="H935" t="n">
        <v>29</v>
      </c>
      <c r="I935" t="inlineStr">
        <is>
          <t>けれど男性の方でも速度が出てきたのか追いつくことは出来そうにない。；かれは二人の男をほんの一瞬見ただけで、急いで友人たちに追いついた。；おれたちはその場に止まって、やつらが追いついて来るまで待っていた。；二人が一行に追いついたのは、坂を下りきった橋の袂のところであった。；相手は、まだなかなか自分の思っているところまで追いついてくれない。；しかし看板は上がったものの仕事は追いついて来なかったのだそうだ。；これは消すのが追いつかないだけであり、許可されていることではない。；おれが追いつくまでにワイオはレベル・6への坂を途中まで行っていた。；敵との間にかなりの距離があったが、いつ追いつかれるかの不安があった。；それを言葉にしてゆくのだが、思考の速度に手の速度が追いつかないのだ。；彼女が逃げこんだ道の三分の一ぐらいのところで、彼は女に追いついた。；どちらの扉から出るにしても、途中でこの男に追いつかれてしまうだろう。；時代が何周もしてようやくラジオに追いついたというか、戻ったというか。；追いつくことはできないが、歩いてしまえば差は広がるばかりだからだ。；逃げたところで機雷はついてくるし、いつかは追いつかれるというのに。；あとで追いつくからと、毛布だけ受け取ってクラスたちを先に行かせた。；二百メートル東の信号が赤になったので、すぐに追いつくことができた。；巨大な肉食獣に追いつかれる前に、そこへ達することができるだろうか?；私が追いつくのを待って、美鳥の方が扉に右手を伸ばし、手前に開いた。；この最後のカパラ機に追いついたのは海岸とこの島との中間であった。；わたしたちがどこに落ちついても、噂と質問は追いついてくるでしょう。；だれも超光に追いつく者はないのを確認して、淑夜は馬の首を西に向けた。；そこで勢いよく波を切って、だんだんと奴隷船に追いついてゆきました。；そして彼に追いつこうとすることだけが、僕にできるすべてであった。；あの兄さんに追いついて、死ぬまで離れまい、と覚悟していたのでした。；バスティ族に追いつかれる前に、かなり遠くまで逃げのびられるだろう。；今見ている倍の高さが目の前にあるはずなのに、肉眼が追いつかないのだ。；ハリーは何がなんだか分からないまま二人に追いつこうと走ってついていった。；それに追いつこうと波の中で懸命に努めている男の頭だけが見えていました。</t>
        </is>
      </c>
      <c r="J935">
        <f>HYPERLINK("https://www.weblio.jp/content/追いつく", "词义详情")</f>
        <v/>
      </c>
      <c r="K935">
        <f>HYPERLINK("https://yourei.jp/追いつく", "查看例句")</f>
        <v/>
      </c>
    </row>
    <row r="936">
      <c r="A936" t="inlineStr">
        <is>
          <t>於いて</t>
        </is>
      </c>
      <c r="B936" t="inlineStr">
        <is>
          <t>成功</t>
        </is>
      </c>
      <c r="C936" t="inlineStr">
        <is>
          <t>読み方：おいて
［連語］《動詞「お（置）く」の連用形に接続助詞「て」の付いた「おきて」の音変化》（「…において」の形で用いる）
１場所を表す。…で。…にて。「東京に—大会を挙行する」
２時間を表す。…のときに。「過去に—そうであったことが現在もそうとは限らない」
３場合・事柄を表す。…に関して。…について。…にあって。「技術に—劣る」「人にはなんでもないことが、彼に—は苦痛であった」
４（係助詞「は」を伴って）仮定条件を表す。…の場合には。
「還幸なからんに—は」〈平家・一〇〉</t>
        </is>
      </c>
      <c r="D936" t="inlineStr">
        <is>
          <t>於いて無料公開；於いて我等；於いて初土俵；於いて元服；於いて薨去</t>
        </is>
      </c>
      <c r="H936" t="n">
        <v>29</v>
      </c>
      <c r="I936" t="inlineStr">
        <is>
          <t>彼はいくつかの政治的危機に於いて重要なキーパーソンのままであった。；以下は一部であり、これ以外の多数の市町村に於いても制定されている。；しかし、その時点に於いては救済が約束されている訳では無いと考える。；執筆時点に於いて、基礎的な法医学的検査が行われているところである。；布袋劇では舞台上の人形操作と演出が上演に於いて重要な地位を占める。；そのため、北海道に於いてのスポーツ新聞の中では最も古い歴史を持つ。；これを受けて経済産業省などに於いて普及促進政策の検討が進められた。；現代戦闘に於いては、これに使われる兵器もその必要に応じて変化している。；刑務所に於いて彼の拘留期間は告発されることなく繰り返し延長された。；演奏と教育の両面に於いて、日本の声楽界発展の基礎を築いた一人である。；又、彼れは斯学に於いて数学を用いることに夫れは無益だと反対した。；特に著名人に於いてはその立場が私なのか公なのかでしばしば論争が起こる。；また、実際には個体群の中に於いてどの個体も同じ意味を持つとは限らない。；古くは首席卒業者を官報に於いて告示していたが、全部は明かではない。；スタート順は、グラベルのイベントに於いては重要なファクターとなる。；唐代に於いてはこのような土地を狭郷と呼び、規定の半分が給付される。；彼らの作品のいくつかはベスレム博物館に於いて見ることができる。；バンドはアメリカに於いてビートルズに並ぶ人気を博すこととなった。；決勝に於いては前半は互角の結果を残したものの、後半は負け続けてしまった。；フアレスの名は現在メキシコに於いて様々な場所に残されている。；それ以外にも与板中島に於いて西洋砲術の訓練が実施されるなどした。；ヨハネス8世は三度結婚したが、いずれに於いても子供は生まれなかった。；ノトケルなどの初期に於いては、次の様な構造が一般的に見られる。；中国古典に於いて、柔と剛を初めて唱えたのは『易経』であるとされる。；ジャガーは初期に於いてオールダムの監督下にあって幸福であった。；黄経などの見かけの位置の変化の説明に於いては、周天円の回転方向はどちらでもあっても良い。；以降、町とキャッスルは観光や地域雇用に於いて積極的な連携を行っている。；これが日本香堂ならびに線香業界に於いて、最大のヒット商品となった。；また近年の活動に於いては国内の若手ミュージシャンとの演奏活動も行っている。</t>
        </is>
      </c>
      <c r="J936">
        <f>HYPERLINK("https://www.weblio.jp/content/於いて", "词义详情")</f>
        <v/>
      </c>
      <c r="K936">
        <f>HYPERLINK("https://yourei.jp/於いて", "查看例句")</f>
        <v/>
      </c>
    </row>
    <row r="937">
      <c r="A937" t="inlineStr">
        <is>
          <t>おいでになる</t>
        </is>
      </c>
      <c r="B937" t="inlineStr">
        <is>
          <t>成功</t>
        </is>
      </c>
      <c r="C937" t="inlineStr">
        <is>
          <t>読み方：おいでになる
［動ラ五（四）］
１「行く」「来る」「居る」の尊敬語。いらっしゃる。「日曜日は教会へ—・るそうです」「もう—・るころだろうとお待ちしておりました」「明日はお宅に—・りますか」
２（補助動詞）動詞・形容詞の連用形に接続助詞「て」を添えた形に付いて、…ている、の意の尊敬を表す。「調べものをして—・る」「ご機嫌よくて—・る」</t>
        </is>
      </c>
      <c r="D937" t="inlineStr">
        <is>
          <t>おいでになる宮；おいでになるおつもり；おいでになる兵部卿；おいでになる中宮；おいでになる御殿</t>
        </is>
      </c>
      <c r="E937" t="inlineStr">
        <is>
          <t>来社</t>
        </is>
      </c>
      <c r="H937" t="n">
        <v>29</v>
      </c>
      <c r="I937" t="inlineStr">
        <is>
          <t>どんな時にもあの方がおいでになったらと、残念に思われることが多い。；やっとしてから出ておいでになった宮のお姿は美しくごりっぱであった。；恋愛結婚でなければいやであると思っておいでになるふうなのであった。；もちろん先生は、クラブの会員のことはよく知っておいでになりました。；しかし、あなたがたがふたたびここへおいでになる機会はありますまい。；以前の八の宮の住んでおいでになった所に終日おいでになったのですよ。；中宮は童女を庭へおろして虫籠に露を入れさせておいでになるのである。；好意を受けてもらおうと思ったことにも無関心でおいでになるのですね。；お医者様のおいいつけに、逆らうようなことばかりしておいでになって!；あなた方は陸稲の枯れたことに就いて相談においでになったのでしょう。；あの方がおいでになりますときは、そのまわりはすべて天国となります。；してみるとこれから世の中に出られるという方々が何人かおいでになる。；しかもあなたが今晩ここへおいでになると聞いてすべてを手配しました。；兵部卿の宮はお帰りになってもすぐに西の対へおいでになれなかった。；そして時々それを手に握っておいでになるということがよく噂されている。；わたしはそこへ帰るのですが、あなたもいっしょにおいでになりませんか。；小皇子はいかなる美なるものよりも美しいお顔をしておいでになった。；それゆえ、御息所とは少しはなれたところに、宮はおいでになっていた。；あの山のお寺にいらしていた光源氏の君さまがおいでになったのでしょ。；あれからまた戻っておいでになり、珍しくゆっくりお飲みになりましたよ。；それから『おいでになった』と言ったけど、誰のことかは言わなかった。；「窓のところへおいでになって」 ふたりは東に面した窓ぎわに行った。；板倉家の観菊の会へあなたがおいでになることを、私は知っていました。；それであなたはわれわれの掘り出し物を見物においでになったんですね。；お二人が書斎からお出になって、玄関へおいでになるのを聞きました。；祭司たちは、いつかはあなたさまがおいでになると、語っておりました。；源氏はどう自分の昔を思っているであろうと恥じておいでになった。；今度、英国へおいでになった時には、見付からなかったんでございます。；いつでもご自分でいいとお思いになったときにおいでになってかまいません。</t>
        </is>
      </c>
      <c r="J937">
        <f>HYPERLINK("https://www.weblio.jp/content/おいでになる", "词义详情")</f>
        <v/>
      </c>
      <c r="K937">
        <f>HYPERLINK("https://yourei.jp/おいでになる", "查看例句")</f>
        <v/>
      </c>
    </row>
    <row r="938">
      <c r="A938" t="inlineStr">
        <is>
          <t>追い抜く</t>
        </is>
      </c>
      <c r="B938" t="inlineStr">
        <is>
          <t>成功</t>
        </is>
      </c>
      <c r="C938" t="inlineStr">
        <is>
          <t>読み方：おいぬく
［動カ五（四）］
１先に出たものに追いつき、さらにその先に出る。追い越す。「最後の一〇〇メートルで—・く」
２劣っていたものが目標とする相手に追いついて、さらにまさる。「先進国の生産高を—・く」</t>
        </is>
      </c>
      <c r="D938" t="inlineStr">
        <is>
          <t>抜く；追い越し；通りすぎる；追い越す；抜き去る</t>
        </is>
      </c>
      <c r="H938" t="n">
        <v>29</v>
      </c>
      <c r="I938" t="inlineStr">
        <is>
          <t>出会った当初から見上げていたし、今後も追い抜くことは不可能だろう。；車についた男の一人もやはり追い抜かれて、今や私と並んで歩いていた。；そいつの動きはゆっくりしたもので、わたしは楽に追い抜くことができた。；加島が立ち止まっている間に、他の人々は次々に彼を追い抜いていった。；だがそんな一歩などわけもなく追い抜かれることも、よく知っている。；すると、私の後から同じ電車で降りた人が、二三人追い抜いて行きました。；だからわたしは二人を追い抜いて階段を跳び上り、次の踊りの場へ行くの。；追い抜いて行く車のあげる排気煙が、何となく非現実的なものに見える。；階段で追い抜いた乗客たちがホームへ次々に現われるのが癪にさわった。；とがめより低いくらいの高さにあった頭が、一気にとがめを追い抜いた。；走行速度に差があるため、追い抜きの際に接触事故が起きることもある。；キスショットは階段の途中で僕を追い抜き、そして結局四階まで昇った。；まもなく出発するであろう明智軍団に追い抜かれては何にもならない。；そいつは非常にゆっくり動いたから、走れば簡単に追い抜くことができた。；ギュンターがどんどん遅れるため、多くの僧が彼等を追い抜いていった。；スポーツでならともかく、勉強で兄貴を追い抜くなんて俺には無理だった。；麦わら帽子をかぶった子供が二人、わたしを追い抜いて走っていった。；まさかと思われるほどのスピードで女は彼の車を追い抜いた。；しかしその車に道の向うで追い抜かれたばかりでしたからね。；どんどん追い抜いてやってはくるが、グリンモリーには届きそうもない。；当駅を通過する列車は追い抜きの有無にかかわらず通過線を経由する。；追い抜いて行くやつらの、妙な顔をながめるのもちょっとした楽しさだ。；思わず顔を上げて、そして、自分を追い抜いていくそいつらを見た。；羽生、屋敷に気を取られていたら、もう次の新人が追い抜こうとしている。；この時間帯に途中駅で快速に追い抜かれる列車は設定されていない。；信子の中に、ミキが自分を追い抜いて行くことへの不安がないわけではない。；ホルベク号は艦隊の風上に上がって、そのまばらな列を追い抜き始めた。；左のトラックを一気に追い抜くと斜めに車体をその前方へとすべり込ませた。；そのつぶやきを聞きとりそうな感じで、江川がさっと追い抜いて行った。</t>
        </is>
      </c>
      <c r="J938">
        <f>HYPERLINK("https://www.weblio.jp/content/追い抜く", "词义详情")</f>
        <v/>
      </c>
      <c r="K938">
        <f>HYPERLINK("https://yourei.jp/追い抜く", "查看例句")</f>
        <v/>
      </c>
    </row>
    <row r="939">
      <c r="A939" t="inlineStr">
        <is>
          <t>老いる</t>
        </is>
      </c>
      <c r="B939" t="inlineStr">
        <is>
          <t>成功</t>
        </is>
      </c>
      <c r="C939" t="inlineStr">
        <is>
          <t>読み方：おいる
［動ア上一］［文］お・ゆ［ヤ上二］
１年をとる。老齢になる。「—・いてますます意気軒昂(けんこう)」
２年をとって心身の働きが衰える。「以前にくらべると、さすがの彼も—・いた感が深い」
３草木が枯れかかる。
「大荒木の森の下草—・いぬれば駒もすさめずかる人もなし」〈古今・雑上〉
４季節が終わりに近づく。
「野べに春—・いたり」〈宇津保・春日詣〉</t>
        </is>
      </c>
      <c r="D939" t="inlineStr">
        <is>
          <t>老いるということ(5%)</t>
        </is>
      </c>
      <c r="E939" t="inlineStr">
        <is>
          <t>老化；衰える；加齢；高齢化；老ける</t>
        </is>
      </c>
      <c r="H939" t="n">
        <v>29</v>
      </c>
      <c r="I939" t="inlineStr">
        <is>
          <t>女はもう自分だけなら、このまま静かに老いるのも好いと考えていた。；そのため、何歳になっても老いることない体になってしまったのだ。；いや、老いるということそのものが、実は成熟なのだとは知らなかった。；これが家族に囲まれて楽しく老いるということかもしれないのです。；長年の禁欲生活のうちに老いることを恐れた妻はアガスティヤに迫る。；自分が老いると、世界までが老いたように感じるから不思議じゃ。；夫婦は対というとおり、一方が失われると急に心細く、老いるもののようであった。；老いるランプの黄色い光で、机の上に本が重ねてあるのが見えた。；心のどこかで老いることを恐れる気持なしには覗きこめない鏡。；老いるといふことと若いといふことと同じであるといふことを知つたことである。；二人とも老いることが許されなかったんです。；あの丹念な手入れだけが、老いることを阻止してきたのであろうか。；この季節になると長く地の上を領していた冬が老いる。；もちろん女房だけではなく、僕だっていずれ老いるのだということも忘れているわけではない。；それまで、老いることを死より怖れていたのに、於継はそんなことを考えていた。；将軍さまのお手がつくなら万々歳ですが、たいていの女は老いるまで女だけの世界にいるのでございますよ。；胸の核が傷つき、砕け、奪われないかぎり、老いることも死ぬこともない。；地上で生まれた者はどのように老いるのか。；だから子供を作って種の保存に努めようとは考えないし、老いることも恐れない。；かれらはこの世にいるあいだ老いることがない。；このように老いることができればといつも思っていた。；それも老いるということとかかわりあいがあるような気がした。；あの都の人は、とても清らかで美しく、老いることもないのです。；私たちはおそらく老いやすい世代なのだが、節子はまだ自らの老いることを拒否している。；いったい老いるということはどういうことなのでしょうか。；ただ、父王が老いるとともに、王位争いが激しくなることだけは確かであった。；いや、老いる前にどこかで野たれ死ぬかもしれない。；老いるものは前の立場に立ち、若き者は後の立場に立つ。；これを食べると三百年間、老いる事が無いのです。</t>
        </is>
      </c>
      <c r="J939">
        <f>HYPERLINK("https://www.weblio.jp/content/老いる", "词义详情")</f>
        <v/>
      </c>
      <c r="K939">
        <f>HYPERLINK("https://yourei.jp/老いる", "查看例句")</f>
        <v/>
      </c>
    </row>
    <row r="940">
      <c r="A940" t="inlineStr">
        <is>
          <t>お祝い</t>
        </is>
      </c>
      <c r="B940" t="inlineStr">
        <is>
          <t>成功</t>
        </is>
      </c>
      <c r="C940" t="inlineStr">
        <is>
          <t>読み方：おいわい
「いわい1・2」の美化語。</t>
        </is>
      </c>
      <c r="D940" t="inlineStr">
        <is>
          <t>お祝いごと；お祝いメッセージ；お祝い申し上げ；お祝い気分；お祝い用</t>
        </is>
      </c>
      <c r="E940" t="inlineStr">
        <is>
          <t>式；会；祭；吉；儀式</t>
        </is>
      </c>
      <c r="F940" t="inlineStr">
        <is>
          <t>お祝い騒ぎ；お祝い申しあげ</t>
        </is>
      </c>
      <c r="H940" t="n">
        <v>29</v>
      </c>
      <c r="I940" t="inlineStr">
        <is>
          <t>けれども彼はこのようなお祝いの言葉を人に述べてもらいたくなかった。；今年は結婚年のように皆が結婚するので、私はお祝いに忙しい次第です。；彼女がまだ出ていかないうちに、召使たちもお祝いを言いにやって来た。；そしてあなたの名をかいた箸でたべて十分お祝いしていいわけでしょう?；隠れ家ではお祝いをするきっかけを見つけては頻繁にお祝いをしていた。；本編中で設定した主人公の誕生日用にお祝いのセリフも用意されている。；そして休みの日とか皇室のお祝いの日には客が三百人にもなったそうです。；これからお二人の新たな家庭のスタートをお祝いする会を開きたいと思います。；裕人様に感謝の気持ち&amp;お祝い言葉を伝えることができたのですよね〜?；でも今では、お悔やみのかわりに、お祝いを言うべきだとわかりました。；昨日は妻の五十回目の誕生日だったものですから、そのお祝いもかねて。；私の友人は六十歳が多かったのでもう少し若い友人達がお祝いをしてくれた。；お祝いとして各3千部限定で、金帯のつけられた両著書も店頭に並んだ。；おれの生きかえったお祝いに、みやげにこうして持ってきてやったのだ。；彼はお祝いにどこかへ行って朝までドンチャン騒ぎをしようって言ったわ。；われわれは、彼女の一〇〇歳の誕生日に、お祝いの会を計画していたのに。；まだ彼女が出て行かないうちに、もう召使たちがお祝いにやって来た。；人々は私の身分のことをもう知っていて、お祝いをいってくれた。；それにしてもこんな日にお祝いなんてのはどう考えてもおかしい。；こちらも国家遺産に指定されお祝いの席でよく振る舞われるお酒である。；お生まれになったのをお祝いする洗礼の式を、盛大にすることにしました。；樺山侯爵家で、一年に一度必ず催すことになっているお祝いの夜だった。；「まるで誰かの名の日のお祝いといった様子だな」とポッジオが言った。；それから、お祝いですからもちろん、費用のことは私におまかせ下さい。；お祝いのカードを送るから忘れないように、手帳に書いておくんだと言った。；姉さんの命名日のお祝いに手紙を差し上げなかったことをお許し下さい。；その会は、文春の直木賞受賞者の戸板康二さんのお祝いの会なのだった。；だから彼女は心の底からお祝いをいうことができるのだった。；郷里へ行って父母に話すと、それはいいとお祝いの金を出してくれた。</t>
        </is>
      </c>
      <c r="J940">
        <f>HYPERLINK("https://www.weblio.jp/content/お祝い", "词义详情")</f>
        <v/>
      </c>
      <c r="K940">
        <f>HYPERLINK("https://yourei.jp/お祝い", "查看例句")</f>
        <v/>
      </c>
    </row>
    <row r="941">
      <c r="A941" t="inlineStr">
        <is>
          <t>負う</t>
        </is>
      </c>
      <c r="B941" t="inlineStr">
        <is>
          <t>成功</t>
        </is>
      </c>
      <c r="C941" t="inlineStr">
        <is>
          <t>読み方：おう
［動ワ五（ハ四）］
１背中や肩にのせる。背負う。「重い荷を—・う」
２身に受ける。また、自分で引き受ける。かぶる。「責任を—・う」「恨みを—・う」
３傷を受ける。「重傷を—・う」「損害を—・う」
４お陰をこうむる。「先輩のご指導に—・うところが大きい」
５後ろに位置させる。背景とする。「後ろに山を—・う」
６借金する。
「その人は、わが金(こがね)を千両—・ひたる人なり」〈宇治拾遺・一〉
７名としてもつ。名前に適合する。
「名にし—・はばいざ事とはむ都鳥わが思ふ人はありやなしやと」〈伊勢・九〉
８ふさわしいさまである。適応する。
「文屋康秀(ふんやのやすひで)は、ことば巧みにて、そのさま身に—・はず」〈古今・仮名序〉
[可能]おえる
[用法]おう・せおう——「負う」は文語的。話し言葉では多く「背負う」を使う。◇「負う」「背負う」には抽象的に負担する意味もあり、「責任を負う」「罪を負う」「一家を背負って働く」などと使われるが、「背負う」のほうが具体的動作を表す度合いが強い。傷・痛手については「負う」を用い、「背負う」は使わない。◇類似の語に「担(にな)う」「担(かつ)ぐ」がある。ともに、肩で重みを受けるようにして物を運ぶ意。「大きな荷を担う」「おみこしを担ぐ」、また、抽象的に「役割を担う」「次代を担う」などとも使う。</t>
        </is>
      </c>
      <c r="D941" t="inlineStr">
        <is>
          <t>負うべき(5%)；負う可能性；負うところ大；負う者たち</t>
        </is>
      </c>
      <c r="E941" t="inlineStr">
        <is>
          <t>背負う；依る；依拠；借る；背負い込む</t>
        </is>
      </c>
      <c r="H941" t="n">
        <v>29</v>
      </c>
      <c r="I941" t="inlineStr">
        <is>
          <t>けど今の桜は俺たちの手に負えないし、剣を作るのは以前からの約束だ。；これだけの傷を負えば誰だって助からないくらいのことはわかるからな。；状況を検討してみればみるほど、よけい手に負えないものに思えてきた。；だって手に負えない牛の代わりにすてきなやぎを手に入れたのだからね。；自分には手に負えない加筆修正が必要な記事をここに列挙してください。；記事の執筆者は内容が古くならないように適宜更新していく義務を負う。；手に負えそうになければ逃げるし、勝てそうなら攻撃することに決める。；また、その部分の皮膚は骨より弱いので裂けるなどの怪我を負いやすい。；私は少年のころ大変にいたずらな手に負えないところのある子供だった。；少くとも私なんかは自分で自分の行動に責任なんか負えない人間なんだわ。；ひどい損傷を負った旧式艦には修理するほどの意味がなかったためである。；これ以上濃くなった としたら、もう今の簡易な分析では手に負えない。；この間、城攻めや野戦に多く参加したため、体のあちこちに傷を負った。；自分の生んだ子なら責任を負いますが、あの子の責任までは負えません。；この世界は現存在が責任を負えず、選んだ訳でもない事物に満ちている。；夫は殴打され重傷を負い失神したのを殺害したと思ったが妻を絞殺した。；どれももう、僕たちの手には負えないし、僕も命をかける気にはなれない。；もっと正確に表現すれば、ぼく程度の読心力では手に負えなかったのだ。；世間からいえば、主人の播磨は手に負えない暴れ者であるかも知れない。；この主張は疑問ではあるが、深刻な傷を負わせることがあるのは確かである。；初めはとても手に負えないように見えた問題に手がかりが見つかった。；多少強くても、自分の手に負えないほどではないと思っていたのだ。；子供もわたしらの手に負えなくなってきたから、あれに世話してもらおう。；回路やマトリクス調整に損傷があったら、自分の手には負えないだろう。；人を乗せない場合は20貫目くらいまで荷駄を負わせることが許された。；これはどうやらおれの手に負えない状況になってきた、とパットは思った。；状況はもはや、あなたの手には負えなくなってしまっていたのだよ。；ただ食事をしただけで援助しろとのたまう輩もいるから始末に負えない。；また、都市の発展とビジョンの仕事に対して全体的な責任を負っている。</t>
        </is>
      </c>
      <c r="J941">
        <f>HYPERLINK("https://www.weblio.jp/content/負う", "词义详情")</f>
        <v/>
      </c>
      <c r="K941">
        <f>HYPERLINK("https://yourei.jp/負う", "查看例句")</f>
        <v/>
      </c>
    </row>
    <row r="942">
      <c r="A942" t="inlineStr">
        <is>
          <t>追う</t>
        </is>
      </c>
      <c r="B942" t="inlineStr">
        <is>
          <t>成功</t>
        </is>
      </c>
      <c r="C942" t="inlineStr">
        <is>
          <t>読み方：おう
［動ワ五（ハ四）］
１
㋐先に進むものに行き着こうとして急ぐ。あとをついて行く。追いかける。「母親のあとを—・う幼な子」「逃走者を—・う」「機影をレーダーで—・う」
㋑目標となるものに至り着こうとする。また、あるものを得ようとする。追い求める。「理想を—・う」「世の流行を—・う」「掘り出し物を—・って古本屋をまわる」
２
㋐順序に従って進む。「順を—・って話す」「話の筋を—・ってみる」
㋑時間が経過するのに従って変化する。「日を—・って忙しくなる」
３無理にその場所・地位などを去らせる。追い払う。追い立てる。「地位を—・われる」「子犬が—・っても—・ってもついてくる」「蠅(はえ)を—・う」
４（「…に追われる」の形で）せきたてられて余裕のない状態である。「生活に—・われる」「仕事に—・われる」
５せきたてて先に進ませる。「牛を—・う生活」
６目的の場所を目ざして進む。
「和泉の灘(なだ)より小津のとまりを—・ふ」〈土佐〉
７貴人の行列の先払いをする。先追う。
「容儀をいつくしく整へ、御さきに—・ひて」〈継体紀〉
[可能]おえる
[下接句] 顎(あご)で蠅(はえ)を追う・頭の上の蠅を追う・跡を追う・頤(おとがい)で蠅を追う・巻(かん)を追う・先を追う・去る者は追わず・鹿(しか)を逐(お)う・中原(ちゅうげん)に鹿を逐う・二兎(にと)を追う・日を追って</t>
        </is>
      </c>
      <c r="D942" t="inlineStr">
        <is>
          <t>追う毎；追うべき；追うべく</t>
        </is>
      </c>
      <c r="E942" t="inlineStr">
        <is>
          <t>見る；求める；監視；探す；追跡</t>
        </is>
      </c>
      <c r="F942" t="inlineStr">
        <is>
          <t>追うのに忙しく</t>
        </is>
      </c>
      <c r="G942" t="inlineStr">
        <is>
          <t>追う男</t>
        </is>
      </c>
      <c r="H942" t="n">
        <v>29</v>
      </c>
      <c r="I942" t="inlineStr">
        <is>
          <t>そんな彼は近々行われる銀行合併のための諸問題の対策に追われていた。；あの男が何のために自分達をカメラで追おうとしていたのかはわからない。；警部もあとを追おうとしたが、それよりも気になるのは俊助たちのこと。；ウースター将軍は自ら残り200名を率いてイギリス部隊の後を追った。；困難さに追い討ちをかけたのが燃料不足に直面したための遅れであった。；追えば限りなく逃げるし、といって、待っていても寄ってきてくれない。；私、そいつが女中さんを殺した犯人と思い、必死であとを追おうとした。；イギリス軍は彼等を追って来て植民地軍の主力と対することになった。；その後を追った主人公たちだが、既にマナの女神は消滅した後であった。；ぼくは制装を操作して追おうとしたが、制装を着用していないのである。；藩主の座から追われた松平定敬は国許には帰らず箱館まで戦争を続けた。；その途中で家に隠れていた隊員が追ってきて、オート三輪へ乗り込んだ。；このドラマでは、金ら実行犯側から見た事件の流れを追ったものであった。；武士を追っていた者は驚きながら長者の元に帰り、事の次第を伝えた。；草彅がギターに興味を持ち始めた段階から本人のその様子を追っている企画。；背中から生えた翼による人間の目では追えないほどの速度での移動も可能。；エディは自分の能力の限界や仲間の犠牲に苦悩しながら犯人を追っていく。；そのあとを追うように兄も世を去るとついに時計は止まってしまった。；ハビタブルゾーンは主星の進化に伴って時間を追うごとに変化していく。；しかし最初の命令のゼウス殺しに失敗し追われる身となってしまう。；今の少年の、一連の動作を目で追えた者が、一人もいなかったせいである。；追われる身で二人がどのように活動を続けていたのかは不明。；その動きを眼で追おうとしていると、もうひとつの扉の動きに気を取られた。；だが雨にうたれて彩は発熱し、後を追ってきた優一に二人は助けられる。；母に聞かれて自分が主人を殺して追われていることを伝えた。；美由紀が後を追おうとしたとき、警備に立っていた制服警官がきいてきた。；それぞれの理由で帝国に敵対している者たちを仲間にし、帝国軍を追う。；更生して警官になった主人公は何者の意図によるのか、その秘密を追う。；そして、老衰した動物の展示、障害を追った動物の展示もタブーである。</t>
        </is>
      </c>
      <c r="J942">
        <f>HYPERLINK("https://www.weblio.jp/content/追う", "词义详情")</f>
        <v/>
      </c>
      <c r="K942">
        <f>HYPERLINK("https://yourei.jp/追う", "查看例句")</f>
        <v/>
      </c>
    </row>
    <row r="943">
      <c r="A943" t="inlineStr">
        <is>
          <t>応援</t>
        </is>
      </c>
      <c r="B943" t="inlineStr">
        <is>
          <t>成功</t>
        </is>
      </c>
      <c r="C943" t="inlineStr">
        <is>
          <t>読み方：おうえん
［名］(スル)
１力を貸して助けること。また、その助け。「選挙運動の—に駆けつける」「—演説」
２競技・試合などで、声援や拍手を送って選手やチームを励ますこと。「地元チームを—する」「—団」</t>
        </is>
      </c>
      <c r="D943" t="inlineStr">
        <is>
          <t>応援する(14%)；応援団；応援歌；応援メッセージ；応援活動</t>
        </is>
      </c>
      <c r="E943" t="inlineStr">
        <is>
          <t>支；協力；助け；支え；助</t>
        </is>
      </c>
      <c r="F943" t="inlineStr">
        <is>
          <t>相互応援；公式応援；応援グッズ；応援大使；応援してる</t>
        </is>
      </c>
      <c r="G943" t="inlineStr">
        <is>
          <t>応援歌；応援演説；応援ソング；応援席；応援団長</t>
        </is>
      </c>
      <c r="H943" t="n">
        <v>29</v>
      </c>
      <c r="I943" t="inlineStr">
        <is>
          <t>オウエンと労働組合指導者との間で見解の相違が存在していたのである。；後に対談で彼のことを認めており、応援もしている旨の発言をしている。；またポストシーズンでは他地域のアナウンサーが応援に来ることもある。；紅白内で本番組のレギュラーが応援ゲストとして出演する演出もあった。；地下アイドルを応援するファンには独特の文化が形成されている事もある。；宣伝活動を支援してくれる応援し隊・小石台学園広報部を一般から募集。；突如行われたこれらの応援は新聞や雑誌などに次のように報じられた。；札幌移転後、大半の選手別応援歌を除いて応援スタイルがやや変わった。；郷土の市場の人達は相撲協会を解雇された自身を変わらず応援していた。；この他、応援しているチームが負けたら罰ゲームという形式も存在する。；オウエンは今まで、いかにも知っているような口振りでいたのだった。；ただし、協同村建設の夢はオウエンの志となってその後も胸中に残った。；辞めようと思ったこともありますが、応援してくれる人の声が励みになる。；日本における野球応援などで応援団がバスドラムを使用することがある。；かつて過ごした京都に本拠地が近かったため南海ホークスを応援していた。；翌年も「応援ありがとうございました」と書かれた限定版が発売された。；しかし一人で続けられたのもリスナーの応援のおかげであったと感謝の意を述べた。；オウエンは満1歳から歩けるようになれば子供をすぐに学院に収容した。；ロンドンの墓地に立つオウエンの記念碑には次のように刻まれた。；この時期の彼らを熱心に応援していたのが、DJのジョン・ピールだった。；最近では自然とライバルであるはずの若い選手を応援する気持ちになっていたという。；臨時バス運行時には、東武バスウエストから応援バスが入ることがある。；そのあとで、所長であるオブ・オウエンのほうを向いて指示を待った。；映画化の記念に著名なクリエイター達から応援メッセージが送られた。；母からは「あなたは歌手に向いていると思う」と応援してくれた。；これは重大ニュース発生で他支局の応援に出た場合でも同様である。；オウエンはあぶり出しのため住宅地への放火を命じ、辺りは炎に包まれる。；足利義昭が三好三人衆に襲撃された際は応援を出し、これを信長に賞された。；このため東京のファンには馴染み深い移転前の応援スタイルが使われる場合がある。</t>
        </is>
      </c>
      <c r="J943">
        <f>HYPERLINK("https://www.weblio.jp/content/応援", "词义详情")</f>
        <v/>
      </c>
      <c r="K943">
        <f>HYPERLINK("https://yourei.jp/応援", "查看例句")</f>
        <v/>
      </c>
    </row>
    <row r="944">
      <c r="A944" t="inlineStr">
        <is>
          <t>応急</t>
        </is>
      </c>
      <c r="B944" t="inlineStr">
        <is>
          <t>成功</t>
        </is>
      </c>
      <c r="C944" t="inlineStr">
        <is>
          <t>読み方：おうきゅう
急場にとりあえず間に合わせること。急場しのぎ。「—の修理」</t>
        </is>
      </c>
      <c r="D944" t="inlineStr">
        <is>
          <t>応急的(14%)；応急対策(6%)；応急復旧(4%)；応急タンカー(3%)；応急治療</t>
        </is>
      </c>
      <c r="E944" t="inlineStr">
        <is>
          <t>非常；事変；当座；危急；変事</t>
        </is>
      </c>
      <c r="F944" t="inlineStr">
        <is>
          <t>応急策；応急補修；応急指揮；応急医療；応急派兵</t>
        </is>
      </c>
      <c r="G944" t="inlineStr">
        <is>
          <t>応急修理；応急手当；応急措置；応急手当て；応急救護</t>
        </is>
      </c>
      <c r="H944" t="n">
        <v>29</v>
      </c>
      <c r="I944" t="inlineStr">
        <is>
          <t>専門学校の建物のなかで戦争奴隷の子供たちに応急治療がほどこされた。；これはプロ野球選手カードの印刷が追い付かず応急に取った措置である。；発射機には戦場で応急的に作られたものが使われる事もあった。；「あなたの知りたいとおっしゃる応急患者はこれだけよ」彼女は言った。；これについては、尾輪柱を100mm延長することで応急的に対処した。；市町村における応急業務の例としては、以下のようなものが挙げられる。；私は応急の手当をしますから、直ぐ東京から、専門の方をお呼び下さい。；建設業における応急業務の例としては、以下のようなものが挙げられる。；それを香港の居住地区から出すには大きな気閘を応急作業で作らなければいけなかった。；収容しきれませんから、応急のテント村をつくって間に合わせたものです。；防衛上の必要から、応急臨時の国境を作り、戦闘終了後に確定することにした。；室内は応急灯だけとなり、人々の不安にみちた横顔へ深い影を彫りつけた。；吸引装置など応急手術にも対応可能な機器が配置されている。；「甲板士官、指をやられましたね」 寝ていた応急員の水兵がそう言った。；その中を鉄のファイルボックスみたいな応急自動車が赤十字をつけて走る。；この後十数年に渡り、仮橋をかけて応急処理でしのぐ期間が続いた。；応急の手当が終ると、意識も案外しっかりしていることが確認された。；この数日、交代で設営班を支援して基地外の応急補修作業に出ていたのだ。；緊急評議員会を開いて応急の対策を検討しなければならなかった。；余は翌日、羽生助役にこの旨を話して、応急善処をはかる考えであった。；その一方でスペアタイヤは応急用となるなど多少コストダウンした部分もある。；基本機能が、おそらく応急的にではあるが回復したのだ。；現実の最急務として、アメリカは最応急の手当てをしようとしている。；ジョンはこの時間を使って前檣のかわりにする応急のマストを船の前部に立てた。；城木が応急治療室の出口から見ると、はじめはなんの変化もないように思われた。；要塞の規模は臨時応急的なもので、守備隊の人数は約80名ほどであった。；明治以来、軍楽兵たちの戦闘配置は応急員ということになっている。；この復旧された駅舎は、応急復旧のままで60年余りが過ぎることになった。；応急員が、被害箇所は水がいっぱいで恐らくダメだろうと言うので戻ることにした。</t>
        </is>
      </c>
      <c r="J944">
        <f>HYPERLINK("https://www.weblio.jp/content/応急", "词义详情")</f>
        <v/>
      </c>
      <c r="K944">
        <f>HYPERLINK("https://yourei.jp/応急", "查看例句")</f>
        <v/>
      </c>
    </row>
    <row r="945">
      <c r="A945" t="inlineStr">
        <is>
          <t>横行</t>
        </is>
      </c>
      <c r="B945" t="inlineStr">
        <is>
          <t>成功</t>
        </is>
      </c>
      <c r="C945" t="inlineStr">
        <is>
          <t>読み方：おうぎょう
［名］(スル)
１「おうこう（横行）1」に同じ。
２「おうこう（横行）2」に同じ。
「斯かる—の行状(ふるまひ)も」〈人・恩愛二葉草〉</t>
        </is>
      </c>
      <c r="D945" t="inlineStr">
        <is>
          <t>横行するよう(3%)；横行濶歩；横行闊歩；横行する時代；横行し始め</t>
        </is>
      </c>
      <c r="E945" t="inlineStr">
        <is>
          <t>成功；発展；繁栄；振興；繁昌</t>
        </is>
      </c>
      <c r="F945" t="inlineStr">
        <is>
          <t>群盗横行</t>
        </is>
      </c>
      <c r="G945" t="inlineStr">
        <is>
          <t>横行小管；横行闊歩</t>
        </is>
      </c>
      <c r="H945" t="n">
        <v>29</v>
      </c>
      <c r="I945" t="inlineStr">
        <is>
          <t>あの暗殺の横行するラテン諸国には霧の日がなくてしあわせだと思うよ。；それにアメリカでもやはり詐欺行為は横行しているとおれは思うんだ。；三、八八六の業者は三四三に淘汰され軍事的反動出版ばかりが横行した。；歩脚は大まかには横行性、つまり4対の歩脚全部の先端がやや前を向く。；このため隠し部屋を備えた家が建てられたり魔女狩りが横行したりしていた。；このように、マルクス主義を歪曲することが今までになく横行している。；しかし当時飲酒や賭けが横行していたリーグはほどなく解体してしまう。；過去のある時代には犀のようなものが時を得顔に横行したこともあったのである。；警察さえ手を出せない無法地帯カーオスタウンでは犯罪が横行していた。；これらの要因が一因となって偽造を誘発し偽札が横行することとなった。；キリスト教の中には人生観の中で詩人を代表する様な人々が多数横行しているとき。；ツーリストトラップが横行している観光スポットを意味することもある。；然し此の滑稽は、他の形に於て、我々の日常に極めて普通に横行している。；然し此の滑稽は、他の形に於て、我々の日常に極めて普通に横行してゐる。；同行為が横行しやすいゲームでは、利用者離れが発生するケースも見られる。；しかし密漁が横行し、刺し網を使った商業漁業の禁止も守られていない。；教皇庁でこのような無法が横行し始めた事に人々はショックを受けた。；あたかも仏の寺の中で大強盗、大悪魔が横行跋扈して居るような訳である。；これに呼応して各地でも反乱が勃発し、強盗略奪も横行するようになった。；以下のような手法で事実上の混合診療が横行しているとされる。；世界中ではモラルの低下から凶悪犯罪が横行し、世界は大混乱に陥っていた。；しかし治世後半から長富は浪費癖が出て、藩内では賄賂政治が横行した。；邸を横行する黒いものの形を確と見覚えて置かねばならん。；アメリカでは西部開拓期は過ぎ、ギャングが横行する時代になる以前。；戦時では法の支配が及ばない範囲が増える為、犯罪的な判断が横行する。；賄賂の横行は子や孫たちにおよび、部下の反乱の噂は絶えなかった。；監獄へ行く前よりも一層多くの悪辣と薄情とが父の心を横行して居りました。；この頃は書道がひどく流行して来て、世の中に悪筆が横行している。；平和運動の名のもとに事実上のヘイトスピーチが横行している実態がある。</t>
        </is>
      </c>
      <c r="J945">
        <f>HYPERLINK("https://www.weblio.jp/content/横行", "词义详情")</f>
        <v/>
      </c>
      <c r="K945">
        <f>HYPERLINK("https://yourei.jp/横行", "查看例句")</f>
        <v/>
      </c>
    </row>
    <row r="946">
      <c r="A946" t="inlineStr">
        <is>
          <t>黄金</t>
        </is>
      </c>
      <c r="B946" t="inlineStr">
        <is>
          <t>成功</t>
        </is>
      </c>
      <c r="C946" t="inlineStr">
        <is>
          <t>読み方：おうごん
１こがね。きん。「—の仏像」
２金銭。貨幣。特に、大判の金貨。「—崇拝」
３価値のある貴重なもの。「—の日々」「—の脚」</t>
        </is>
      </c>
      <c r="D946" t="inlineStr">
        <is>
          <t>黄金時代(2%)；黄金豹；黄金色；黄金製；黄金メダル</t>
        </is>
      </c>
      <c r="E946" t="inlineStr">
        <is>
          <t>足；金；丸；お金；銭</t>
        </is>
      </c>
      <c r="F946" t="inlineStr">
        <is>
          <t>黄金町；黄金魔人；黄金御殿；黄金樹；黄金聖衣</t>
        </is>
      </c>
      <c r="G946" t="inlineStr">
        <is>
          <t>黄金時代；黄金期；黄金仮面；黄金聖闘士；黄金律</t>
        </is>
      </c>
      <c r="H946" t="n">
        <v>29</v>
      </c>
      <c r="I946" t="inlineStr">
        <is>
          <t>彼は影響力を持った多くの人々に黄金を作ることができると確信させた。；しかし黄金を持っていなかったため暗い館に入れられるという物語もある。；王妃が外出するには輿を用い、室内に入れば黄金製の椅子に座っている。；この功績により、同年9月26日にドイツ黄金十字章を授与されている。；その後、銀の鞘の上に黄金の鞘をつけたのはカール4世だと考えられる。；この地区には先植民地期の黄金製の美術品を集めた黄金博物館がある。；多くの若者の目は海外を見ており、日本はいまだに黄金の国と言われている。；それを完成させるのに必要な限りの黄金を送って頂きたいのです。；青や赤を使った極彩色の建物、黄金の仏像などタイ風の寺院建築である。；ラジオの黄金時代には、そのプログラムは今日のテレビのような多様さを見せた。；王はデストールに悪魔の力で世界中の黄金を手にしたいという願いを伝えた。；生まれた時から黄金の剣を持っており、その剣を振り回したという。；成熟すると皮が金色にみえることから「黄金のなす」ともいわれている。；そして、これを聞いた高麗国の大興王から黄金三百両が貢上されたという。；かつての黄金時代で使用されていたとみられる人型兵器。；絵画や像では、彼女はしばしば黄金の皿の上に自分の眼球を載せた姿で描かれる。；江戸時代に地元でははじめて黄金が出たところと言い伝えていた。；伝説によれば、自らを銀の小銃に込めた黄金の弾丸で撃ち抜いたという。；黄金の弓が一度放たれると、目標となった者はどこへ隠れても射殺される。；寺院の敷地内にある墓地には、大きな黄金の観音像が建てられている。；オブジェは設定が存在しないため、黄金聖衣と比べて原作に近い形に。；紀元前2世紀の賦の黄金時代には、優れた賦作家の多くが楚から現れた。；過去には現在の黄金陸橋ではなくもう少し南の長良橋経由であった。；また、その巣は黄金で出来ており卵の代わりに瑪瑙を産むとも考えられた。；この絵の中で、ダナエの両脚の間を流れる黄金の雨はゼウスの象徴である。；通常はおうごんの丘のしんかん以外その姿を見ることはできない。；サハラ交易により塩・黄金・奴隷といった物資がここを経由し運ばれた。；立体芸術のなかで一番有名なのはツタンカーメン王の黄金の仮面であろう。；同交易網の全期間が、この地域の多様なアニミズム社会の黄金時代であった。</t>
        </is>
      </c>
      <c r="J946">
        <f>HYPERLINK("https://www.weblio.jp/content/黄金", "词义详情")</f>
        <v/>
      </c>
      <c r="K946">
        <f>HYPERLINK("https://yourei.jp/黄金", "查看例句")</f>
        <v/>
      </c>
    </row>
    <row r="947">
      <c r="A947" t="inlineStr">
        <is>
          <t>王様</t>
        </is>
      </c>
      <c r="B947" t="inlineStr">
        <is>
          <t>成功</t>
        </is>
      </c>
      <c r="C947" t="inlineStr">
        <is>
          <t>読み方：おうさま
１王を尊敬、または敬愛していう語。
２
㋐同類の中で第一のもの、最高のもののたとえ。「ドリアンは果物の—だ」
㋑絶対的な権力・勢力をもつもののたとえ。「消費者は—だ」</t>
        </is>
      </c>
      <c r="D947" t="inlineStr">
        <is>
          <t>王様役；王様達；王様みたい；王様像；王様然</t>
        </is>
      </c>
      <c r="E947" t="inlineStr">
        <is>
          <t>王；国王；キング；王族；王家</t>
        </is>
      </c>
      <c r="F947" t="inlineStr">
        <is>
          <t>寿王様；馬鹿王様；この女王様；おお王様；酒を飲む王様</t>
        </is>
      </c>
      <c r="G947" t="inlineStr">
        <is>
          <t>王様と私；王様ゲーム；王様の耳はロバの耳；王様のレストラン；王様ランキング</t>
        </is>
      </c>
      <c r="H947" t="n">
        <v>29</v>
      </c>
      <c r="I947" t="inlineStr">
        <is>
          <t>王様はこの画を一眼御覧になつてあまりの美しさにお驚きになりました。；かつて地球にはパメラ王と呼ばれる世界を平和に治めている王様がいた。；王様が椅子から立って、ツカツカと三人の前に近づいてこられたのです。；その王様の娘さんはロンドンの或病院で看護婦として働いていられます。；何者かがこの窓を破って王様を攫って行ったのだと誤解させたいのだ。；王様や大臣達は彼らが面積とは何であるか知らないのに驚きました。；今の王様であることが、王様の全てであり、それが民衆の自然の感情だ。；加十はもはや王様でも何でもない、一個の刑事被告人に過ぎぬのである。；そして、その次の王様も死んでしまつたことはあたりまへのことです。；王様の力でもどうすることもできないほどの力を持っているように思えました。；馬からすぐに下りれたら、今ごろはもう王様の、前へ行つてた筈なんぢや。；そんなに大切な王サマなら、箱に入れて城の奥にしまっておけばいい。；だがアルフは、何かを隠している様子の王様に何か引っかかりを覚えた。；またこの石を動かした者は、ハワイ全体の王様になるなどといわれてきた。；運動も得意であり、学校の外では「広場の王様」とあだ名されたという。；ことによるとアフガニスタンの王様がまた来たのかと思ったのかも知れない。；勉強が完成した後で、医療を行う許可を王様から受けることになる。；王様は第三王女と彼を結婚させようとしたが、彼女はそれを拒絶した。；この王国は王様が死ねばもはやどこにも存在しなくなるものである。；王様も、なるほどこれは人民共のいう通り裸かも知れないと思われた。；けれどもお父様の王様は、もう姫の云うことを本当になさいませんでした。；それはとにかく、一体だれが何の目的でこんなところへ王様を隠したのだろう。；王子は、命を懸けて自分を助けてくれた女の子を王様に紹介することにした。；王様はこの画をひとめ御覧になつて、あまりの美しさにお驚きになりました。；それにしても、一体何の必要があって王様はここを脱け出されたのであろう。；王様は大変腹を立てたが一度出した言葉を違えることはできない。；週の頭に、その週の後半に冒険に向かう場所が王様から発表される。；王様になって、この島を治めて、そして日本の国旗が立てられるんだよ。；ある日王様が庭を散歩していられます所へ、王子と老女とが出て参りました。</t>
        </is>
      </c>
      <c r="J947">
        <f>HYPERLINK("https://www.weblio.jp/content/王様", "词义详情")</f>
        <v/>
      </c>
      <c r="K947">
        <f>HYPERLINK("https://yourei.jp/王様", "查看例句")</f>
        <v/>
      </c>
    </row>
    <row r="948">
      <c r="A948" t="inlineStr">
        <is>
          <t>王子</t>
        </is>
      </c>
      <c r="B948" t="inlineStr">
        <is>
          <t>成功</t>
        </is>
      </c>
      <c r="C948" t="inlineStr">
        <is>
          <t>読み方：おうじ
１王の息子。⇔王女。
２親王宣下のない皇族の男子。
３大切に思う男性。大事にされている男児。「我が家の—」
４その団体や分野などで実力・人気があり、容貌(ようぼう)もすぐれた若い男性。「クラスの—様」</t>
        </is>
      </c>
      <c r="D948" t="inlineStr">
        <is>
          <t>王子さま(3%)；王子たち(2%)；王子役；王子達；王子くん</t>
        </is>
      </c>
      <c r="E948" t="inlineStr">
        <is>
          <t>皇子；大公；プリンス</t>
        </is>
      </c>
      <c r="F948" t="inlineStr">
        <is>
          <t>根子王子；若い王子；第一王子；兄王子；第二王子</t>
        </is>
      </c>
      <c r="G948" t="inlineStr">
        <is>
          <t>王子製紙；王子駅；王子朝；王子権現；王子町</t>
        </is>
      </c>
      <c r="H948" t="n">
        <v>29</v>
      </c>
      <c r="I948" t="inlineStr">
        <is>
          <t>ここの王子の顔は建立者のスーリヤヴァルマン2世を模しているという。；夭逝した王子の他に男子のなかった兄カール15世の死により即位した。；背景には王子のウィリアムがいては海軍命令系統に不都合だからとされる。；別居の際の条件でダイアナは王子二人と隔週の週末に会うようになった。；前作までと設定が変わり、主人公の王子は11歳の少年になっている。；これは、彼が王子であったことが大きく影響していると思われる。；実は自分も最近の王子の様子がおかしいのに気がついている。；王子はその場に残り、「ぼく」は飛行機の修理をするために戻っていった。；この謎は王子が王女のもとへ来るまでに体験した出来事を下敷きにしている。；黄金のリンゴの木のところに火の鳥がいるのを王子は見つけて捕らえる。；王殺害の嫌疑は逃げた王子達にかかり、マクベスが次の国王に指名される。；そこに王子の母親が現れ、明日行われる舞踏会で花嫁を選ぶよう命じる。；ダイアナはなるべく二人の王子を普通の子供のように育てたかった。；時間がかかり過ぎたら、王子の呪いを解く方法も通じなくなるだろう。；これに対し朝廷では星主を左都之官、王子を牛都之官に変えた。；王子はラプンツェルと子供たちを伴って国に帰り、皆で幸せに暮らす。；サウジアラビアのバドル・ビン・サウード王子が過去に所有していた。；継承権は第一王子にあり、したがって第一王子がファラオになる。；アンリ王子はカトリーヌのためにダンスと馬上槍試合を披露している。；たとえ玉将が取られても王子が存在する場合は王子が取られるまで試合を続行する。；顧師言は日本の王子と対戦して、鎮神頭の妙手で勝ったとされている。；王子と王女は仮面舞踏会にいくと言い含められていたので驚いたようである。；ヒヒの姿となって人間の心を失いつつあるカシム王子には残された時間は限られている。；その混乱の最中、ラウディア国王は息子たち3王子にそれぞれ命を出す。；王子は自分の星から地球に直行しているため、他の小惑星のエピソードは無い。；また、それとは逆に、按司に特別の功績があった場合には、王子位に昇格した。；闇に包まれたどこかの国で、ゴーマン王子がオカマ魔女を相手に戦っていた。；後に658年には文忠をに引き立てて、中侍には王子の金文王を任命した。；王子は結局ルナと結婚して新王に即位し、娘のカナも7歳になった。</t>
        </is>
      </c>
      <c r="J948">
        <f>HYPERLINK("https://www.weblio.jp/content/王子", "词义详情")</f>
        <v/>
      </c>
      <c r="K948">
        <f>HYPERLINK("https://yourei.jp/王子", "查看例句")</f>
        <v/>
      </c>
    </row>
    <row r="949">
      <c r="A949" t="inlineStr">
        <is>
          <t>王者</t>
        </is>
      </c>
      <c r="B949" t="inlineStr">
        <is>
          <t>成功</t>
        </is>
      </c>
      <c r="C949" t="inlineStr">
        <is>
          <t>読み方：おうじゃ
《「おうしゃ」とも》
１王である人。王。
２同類のもののうち最も実力のある者。「—の貫禄を見せる」
３王道で天下を治める君。→覇者(はしゃ)1</t>
        </is>
      </c>
      <c r="D949" t="inlineStr">
        <is>
          <t>王者決定戦；王者組；王者チーム；王者決定トーナメント；王者時代</t>
        </is>
      </c>
      <c r="E949" t="inlineStr">
        <is>
          <t>王；チャンピオン；名人；キング；大家</t>
        </is>
      </c>
      <c r="F949" t="inlineStr">
        <is>
          <t>初代王者；ライト級王者；フェザー級王者；バンタム級王者；フライ級王者</t>
        </is>
      </c>
      <c r="G949" t="inlineStr">
        <is>
          <t>王者栄耀；王者の剣；王者の王；王者の休日</t>
        </is>
      </c>
      <c r="H949" t="n">
        <v>29</v>
      </c>
      <c r="I949" t="inlineStr">
        <is>
          <t>しかし、復帰したショーンはこれを認めずに互いに王者を主張し合った。；また正妻の嫉妬を受けることで王者の資質を証明することになるという。；彼はイギリスだけではなくヨーロッパの流行界に王者として君臨する。；前に出てくる王者の攻めを左右の動きで封じ込め、世界上位進出を決めた。；基本的にはそれぞれの実施団体で独立して王者を認定する。；勝利を収めて初代王者になると同時にGHCグランドスラムを改めて達成。；翌年からタイトル化され初代王者にアントニオ猪木が認定された。；山陽公は王者の礼で葬られることになったが、その諡が問題になった。；なぜそのまま正王者決定戦ではなくあえて暫定王者決定戦になったのかは不明。；実際、WWE公式HPの各タイトル歴代王者には名前が復活している。；この結果に、地元でありながら王者とペップにはブーイングの嵐が起こる。；この大会には12か国が出場し、アメリカ合衆国が初代王者となった。；実際に女子ジュニア王者がユニフォームを理由に引退した例がある。；この各階級での王者を経てプロへ進んだ者もいる。；歴代出場者・王者はほぼ全て一般人のため特記のない限り記載しない。；第1回大会は1965年6月6日に開幕し東洋工業が初代王者に輝いた。；試合後のインタビューで当時の日本王者内藤大助に王座統一戦を要求した。；ただし、向山以外の他の王者は、東洋・日本を含めて誰もついてこなかった。；主にこれらは伝説上の王者達が欲した夢とされている。；また本年から開催された全日本選手権では他の追随を許さず初代王者に輝いた。；そのためドリーム王者時代が一番苦しい時期であったと本人は後に振り返る。；MAキックから一瞬にして王者が全員いなくなり、新団体に流出してしまった。；次走は春の短距離王者決定戦・高松宮記念に出走、1番人気に支持された。；現役時代はWKA世界ライト級王者などの複数のタイトルを獲得した。；鷲はその姿から鳥の王者とされ、信仰の対象にもなった。；WBC王者とのタイトル統一戦も交渉されたが、カルザゲの怪我で実現しなかった。；一気に注目を浴びる人気選手となり、日本ライト級王者まで上り詰める。；鶴田はこの技で最初の日本人AWA世界ヘビー級王者となっている。；それ以外は、すべて前王者に勝利してのタイトル移動。</t>
        </is>
      </c>
      <c r="J949">
        <f>HYPERLINK("https://www.weblio.jp/content/王者", "词义详情")</f>
        <v/>
      </c>
      <c r="K949">
        <f>HYPERLINK("https://yourei.jp/王者", "查看例句")</f>
        <v/>
      </c>
    </row>
    <row r="950">
      <c r="A950" t="inlineStr">
        <is>
          <t>応じる</t>
        </is>
      </c>
      <c r="B950" t="inlineStr">
        <is>
          <t>成功</t>
        </is>
      </c>
      <c r="C950" t="inlineStr">
        <is>
          <t>読み方：おうじる
［動ザ上一］「おうずる」（サ変）の上一段化。</t>
        </is>
      </c>
      <c r="D950" t="inlineStr">
        <is>
          <t>応じるべき；応じるべく</t>
        </is>
      </c>
      <c r="E950" t="inlineStr">
        <is>
          <t>受ける；反応；入れる；対応する；認める</t>
        </is>
      </c>
      <c r="H950" t="n">
        <v>29</v>
      </c>
      <c r="I950" t="inlineStr">
        <is>
          <t>そして電子の属する軌道の種類に応じて、電子も分類されて呼称される。；このような元素の増加に伴い、特性に応じた分類や系統立てが行われた。；写真の出来に応じて現像するか否かをコマごとに決めることはできない。；なお競技時間は区分以外にも、大会運営に応じてに変更されることがある。；この要求に応じるためサンゴバン社と協力し専門のチームが編成された。；基本的には客がゲームを行った結果に応じたサービスを一切行ってはならない。；このように、定石の選択は局面に応じて適切になされなければならない。；道具にはその使用する目的・分野に応じて様々なものが存在する。；しかし、結局は資金を融資してもらう条件で説得に応じることとなった。；自由な行為・選択があることに伴い、それに応じた責任が発生する。；それらがなされていれば、居住者の能力に応じての対応がやりやすい。；複数の敵をまとめて蹴り落とすと、敵の数に応じて得点に倍率がかかる。；消息不明になって以降に外国メディアの取材に応じるのは初とみられる。；他の者が指揮した戦いで敗れたのち、彼は秦王政の要請に応じて出陣した。；上記以外は競走場で定められたものを必要に応じて購入する。；今日では反応の種類に応じて多くの種類の触媒が開発されている。；進行方向に応じた座席の転換はできず、集団見合式と集団離反式がある。；キャラクターには必要に応じて外見的特徴や内面的特徴が設定される。；するとその彼等の声に応じるかのやうに扉を叩する音が静かに響いて来た。；畳の大きさも、使用される「間」の大きさに応じて異なることになる。；そのため、目的に応じて、この二つの行動を計画的に行わなければならない。；固体化合物は様々なので、それに応じて多様な方法が調合に用いられる。；メリマンは片手を上げてあいさつしたが、応じる勇気は誰にもなかった。；ただ個体レベルでは動作の種類に応じて左右のどちらかの手足を使う傾向がある。；大隈は帰化法の採用には応じたものの、条約改正交渉の継続を主張した。；この作品はジョセフ・ケッセルズの頼みに応じて書かれたものだった。；口金の形状には多数の種類があり、電球の用途に応じ選択されている。；日本のマスコミ向けのインタビューでは日本語で応じることが出来た。；患者本人は少なくとも場の文脈に応じた行動を取ることが難しい。</t>
        </is>
      </c>
      <c r="J950">
        <f>HYPERLINK("https://www.weblio.jp/content/応じる", "词义详情")</f>
        <v/>
      </c>
      <c r="K950">
        <f>HYPERLINK("https://yourei.jp/応じる", "查看例句")</f>
        <v/>
      </c>
    </row>
    <row r="951">
      <c r="A951" t="inlineStr">
        <is>
          <t>往診</t>
        </is>
      </c>
      <c r="B951" t="inlineStr">
        <is>
          <t>成功</t>
        </is>
      </c>
      <c r="C951" t="inlineStr">
        <is>
          <t>読み方：おうしん
［名］(スル)患者やその家族の求めに応じて、医師が患者の家に行って診察すること。「週一回—してもらう」→宅診→訪問診療</t>
        </is>
      </c>
      <c r="D951" t="inlineStr">
        <is>
          <t>往診料(2%)；往診鞄；往診用；往診先；往診かばん</t>
        </is>
      </c>
      <c r="H951" t="n">
        <v>29</v>
      </c>
      <c r="I951" t="inlineStr">
        <is>
          <t>村へ帰って二、三の患者を往診して家へ帰ると、もう六時近くであった。；村の医者は往診から帰ったところで、そのまま早速自転車で来てくれた。；なぜ他の人よりその女のためになら主人が往診をしなければならないのです?；医療機関ではなく自宅や施設などを訪れて行う診察や治療を往診という。；そこへ俥屋が走ってきたがやっぱりその医者も往診に出たあとだった。；済まないが、この薬を作ってしまったら、往診の約束がひとつあるのだ。；午後に往診に呼ばれた先できわめて剣呑なことになってしまったからである。；第一、その時間は、昨日からちゃんと往診の予定になっていたのだそうだ。；外来から往診と朝の九時から夜の八時すぎまでほとんど休む暇もなかった。；いずれにしても、往診に来て、実際に郁美の具合が悪かったことはない。；一度彼は、シンガーさんをいつもの往診につれて行ったことがあった。；内地の田舎では、往診してくれる医者には、酒を出す習慣の所があってな。；まだ何軒か往診しなければ、解放された気分で「屋敷」へ行けなかった。；本音を言うと、他人の往診なんてしてる場合じゃないんだろうけどね。；慎重に慎重を重ねてほぼ確信できるまで往診を控えさせていた。；すると、一週間後に、今度は電話があって、家まで往診に来てくれと言う。；次の日、往診の帰りに少し遠回りをして再び講義所の前を通って見る。；兄貴は往診の途中それに気がついて行って見ると男が一人来ていた。；細江は両施設を月一で往診し、本格的な肺結核療養所の建設を熱望した。；医者の所へ通うのはめんどくさいが〝病院ホテル〟は往診と同じである。；房一にはそんな相沢みたいな家から往診をたのまれやうとは意外であつた。；主に山間部や積雪のある地域での医師の往診用などとして販売された。；しかしわたくしは往診の途上では少しもこれに想ひ及ばなかつたのである。；佐藤医師が往診の行きか帰りに、犯人に襲われたことは間違いない。；往診を頼む、あるいはとにかく容態を話して例のものかどうかを尋ねる。；それから医者が往診用に持つような愛用の革の鞄をテーブルに置いた。；彼はそのとき、今日が自分にとつてのはじめての往診だといふことを思ひ出した風だつた。；父親は少年を往診に連れて行って絶えず自然に触れることができるようにした。；獣医師は配置されておらず、恩賜上野動物園の獣医師が往診に来ている。</t>
        </is>
      </c>
      <c r="J951">
        <f>HYPERLINK("https://www.weblio.jp/content/往診", "词义详情")</f>
        <v/>
      </c>
      <c r="K951">
        <f>HYPERLINK("https://yourei.jp/往診", "查看例句")</f>
        <v/>
      </c>
    </row>
    <row r="952">
      <c r="A952" t="inlineStr">
        <is>
          <t>旺盛</t>
        </is>
      </c>
      <c r="B952" t="inlineStr">
        <is>
          <t>成功</t>
        </is>
      </c>
      <c r="C952" t="inlineStr">
        <is>
          <t>読み方：おうせい
［名・形動］活動力が非常に盛んであること。また、そのさま。「—な好奇心」</t>
        </is>
      </c>
      <c r="D952" t="inlineStr">
        <is>
          <t>旺盛な食欲(5%)；旺盛であり；旺盛な創作；旺盛な好奇心；旺盛な需要</t>
        </is>
      </c>
      <c r="E952" t="inlineStr">
        <is>
          <t>盛ん；積極的；活発；快活；精力的</t>
        </is>
      </c>
      <c r="F952" t="inlineStr">
        <is>
          <t>食欲旺盛；元気旺盛；サービス精神旺盛；士気旺盛；独立心旺盛</t>
        </is>
      </c>
      <c r="H952" t="n">
        <v>29</v>
      </c>
      <c r="I952" t="inlineStr">
        <is>
          <t>古代にはイサウリア人と呼ばれる独立心旺盛な山岳民族が居住していた。；このように旺盛な活動を続けた彼であったが、晩年には困難もあった。；当時旺盛であった社会的ダーウィニズムの影響の強い思想を特徴とする。；六十一で元気旺盛、酒毎日五六合やり朝はビール二本のむとの話、驚く。；村は貧しかったが、結束が強く独立心旺盛で集団化に応じていなかった。；彼はまた旺盛な制作活動に戻ったが批判も聞かれるようになった。；一つにはそうやって翌日の食欲が旺盛であるようにしたのであった。；消えそうな少女は私の旺盛な生命の気に触れたがっているのだ。；食欲旺盛で、放置しておくと木が一本まる裸にされてしまうこともある。；幼いころから好奇心旺盛で、植物標本を集めたり、実験したりしていた。；ビルの娘サマンサは、独立心旺盛で初めて小説を出版することになる。；今から二十何年前の非文化旺盛時代が坐ろになつかしまれる位である。；その頬にも今までこんな旺盛な生命の色が燃えていなかった。；日本精神は現代において最も旺盛にはたらいているというべきであろう。；教学的精神が最も旺盛なのは、勿論のこと現代の日本に於てである。；デビュー以降、旺盛な執筆で女流のみならず日本のSF全体を牽引した。；これ以降旺盛に作品を作り、ほぼ毎年本を出版することとなった。；武将として最も優れた性格と思われるのはその攻撃精神が旺盛なところであった。；吹奏楽出身である事も関係して、吹奏楽のための作品を旺盛に残している。；彼等は金探鉱者を相手に穀物を売ることのできる旺盛な市場を見出した。；それを作家の芸術的立場に立つて批判すれば製作能力の旺盛なものがあるのである。；若者のような旺盛な元気で、猟犬のあとを追って馬をのりまわしている。；非常に好奇心旺盛で、複雑で奇妙なゲームを考え出して兄弟と遊んでいた。；旺盛な建設需要に対応するため、合板の製造量は年々拡大し続けている。；「月の手」、「氷の家」などを発表しながら旺盛な創作活動をしている。；旺盛な需要に対応するため、大型長尺の車両が多く配置されている。；また最近でもパイオニア精神が旺盛で、多岐に渡る新商品が軒を連ねる。；生活力が旺盛になって、滋養物を充分にとると、若くなるらしいのだな。；地下には直根または側根を生じて、根部の発達は旺盛である。</t>
        </is>
      </c>
      <c r="J952">
        <f>HYPERLINK("https://www.weblio.jp/content/旺盛", "词义详情")</f>
        <v/>
      </c>
      <c r="K952">
        <f>HYPERLINK("https://yourei.jp/旺盛", "查看例句")</f>
        <v/>
      </c>
    </row>
    <row r="953">
      <c r="A953" t="inlineStr">
        <is>
          <t>応接</t>
        </is>
      </c>
      <c r="B953" t="inlineStr">
        <is>
          <t>成功</t>
        </is>
      </c>
      <c r="C953" t="inlineStr">
        <is>
          <t>読み方：おうせつ
［名］(スル)訪れた人を招き入れて、その相手をすること。「次々と訪れる客に—する」</t>
        </is>
      </c>
      <c r="D953" t="inlineStr">
        <is>
          <t>応接セット(31%)；応接用(5%)；応接所(3%)；応接テーブル；応接掛</t>
        </is>
      </c>
      <c r="E953" t="inlineStr">
        <is>
          <t>応対；接待；もてなし；優遇；厚遇</t>
        </is>
      </c>
      <c r="F953" t="inlineStr">
        <is>
          <t>応接椅子；応接台；応接机；応接ぶり；豪華な応接</t>
        </is>
      </c>
      <c r="G953" t="inlineStr">
        <is>
          <t>応接間</t>
        </is>
      </c>
      <c r="H953" t="n">
        <v>29</v>
      </c>
      <c r="I953" t="inlineStr">
        <is>
          <t>十畳の間と六畳の控えの間、ほかに応接セットなど置いた別間があった。；向い側の壁に沿って長イスがあるのは社長室へ通す客の応接用であった。；手前は何も置いてない空間だが、暖炉近くには応接用の椅子とテーブル。；心配しているはずの連中は、応接セットに集まってバカ笑いをしていた。；社長が憮然とした顔で応接セットの一番いい椅子に腰をおろしていた。；この応接コーナーは運命鑑定の客が見えたとき、鑑定室に利用している。；例えば、応接館と呼称される、宮廷訪問者への対応をする機関が存在した。；応接セットが並べられたコーナへ移動して、三人で話をすることになった。；今の連中も、いずれ落ちて来るのだろうが、こう頻繁では応接の暇がないね。；和尚はいつものとおり、慈念の学校へいっている間は客の応接に忙しい。；三番目の兄が出て応接して見ると、その女は彼にこんな事を訊いた。；玄関ホールに、簡単な応接セットは置いてあるが、二人は立ったままだった。；「顧問室」があったが、そこには応接セットが置かれているだけである。；ゆっくりと応接の長椅子に向かうと、二人の前の椅子に腰を落とした。；多い日は七、八人も客があり、母は毎日、訪問客の応接に忙しくなった。；傍らには誰が何の目的で使うのかは分からないが、一組の応接セットが置いてある。；確かに広い部屋で、ベッドの他に応接セットが置かれ、トイレもついている。；勧められて、美音子は応接セットのソファのひとつへと、腰を下ろした。；スピーカーを置いてあるのは絨氈を敷いて応接セットを据えた方である。；ところがその駄獣が、明らかに佐野たちを見下すような態度で応接した。；衝立で仕切った窓寄りに、大隈弁護士の大きな机と応接セットがあった。；入り口のそばには一階にもあったような応接セットが置かれていた。；三十畳ほどの広さの応接室にも、応接セットの他には、何もない感じだった。；その応接部分の向こう側には、白木のツインベッドが並んで置かれている。；また、朝鮮通信使の立ち寄る場所であり、応接の為の施設も備えられた。；ただし、来客時には客に対して正装して懇切に応接していたようである。；死体はベランダに面した八畳の応接コーナーの床の上にうつ伏せに倒れていた。；現在のように、論文が沢山書かれるようになると、読む方も応接に暇がない。；応接セットのテーブルを磨くのに専念していて、葵のほうを見てはいない。</t>
        </is>
      </c>
      <c r="J953">
        <f>HYPERLINK("https://www.weblio.jp/content/応接", "词义详情")</f>
        <v/>
      </c>
      <c r="K953">
        <f>HYPERLINK("https://yourei.jp/応接", "查看例句")</f>
        <v/>
      </c>
    </row>
    <row r="954">
      <c r="A954" t="inlineStr">
        <is>
          <t>応対</t>
        </is>
      </c>
      <c r="B954" t="inlineStr">
        <is>
          <t>成功</t>
        </is>
      </c>
      <c r="C954" t="inlineStr">
        <is>
          <t>読み方：おうたい
［名］(スル)相手になって、受け答えすること。「どんな客にも巧みに—する」「電話の—がうまい」</t>
        </is>
      </c>
      <c r="D954" t="inlineStr">
        <is>
          <t>応対する(10%)；応対ぶり；応対しよ；応対役</t>
        </is>
      </c>
      <c r="E954" t="inlineStr">
        <is>
          <t>対応；迎え；サービス；扱い；受け入れ</t>
        </is>
      </c>
      <c r="F954" t="inlineStr">
        <is>
          <t>丁寧な応対；出て応対；丁重な応対；どんな応対；肯定的な応対</t>
        </is>
      </c>
      <c r="H954" t="n">
        <v>29</v>
      </c>
      <c r="I954" t="inlineStr">
        <is>
          <t>応対にはどこまでも健三を独立した人と認めるような言葉ばかり使った。；こんな応対がなかなか面白いので、私も君の来るのを待つようになった。；けれど、その日現れた客には、彼らもいささか応対に困ったようだった。；また彼女との応対に現われた彼の態度は、弟のそれであって兄のではない。；たいてい、かかってくる仕事の電話に応対し続けて時間を費やしていた。；パーカーはレイモンド君が私と応対している間に引きさがってしまった。；まるで弟のことなど忘れてしまったように、明るい声で応対している。；ただ、次から次へとお客さんが来るので、僕も応対はしなかったんです。；誰か客が来て、先生の御新造様が静かに応対しているような声がした。；自分と兄とは常にこのくらい懸隔のある言葉で応対するのが例になっていた。；副社長が応対したそうだが、もちろん悪いような返事はしなかったという。；工場作業員など、客と応対することがない職業では認めていることが多い。；ちょうど私が応対いたしましたので、そのときの様子はよく覚えております。；しかし客と応対する主人の精神的な働きもそれに劣るものではない。；ときどき訪れる人びとと応対するのに彼がいたほうが都合がよいからだった。；しかし、それは自分の応対次第で何とか切りぬけられる、と考えていた。；客の方は客の方でまた架山のそういう気持の動き方を承知の上での応対であった。；一人の子供でも、なおざりにしない応対をする、それが栄ちゃんだった。；翼はそれには応対せずに今の現状を把握しているのかを聞いてみた。；まあ、マヌカンの中にも実に気持ちのいい応対をしてくれる人もいる。；僕が訪ねて行っている間に客が来て、その応対に出なければならないことがある。；最初に飛び出したのは、若い男の声と、それに応対する安永の声であった。；そこで帰るついでに立ち寄ると、そこの仲介人は丁寧に応対してくれた。；応対に疲れた皇帝は、各地方の人馬に対し順番に上京するよう命令した。；ある程度決められた範囲で人に応対する接客業は好きだったという。；天井近くを見上げながら応対していると、棚の端にいる例の老人の姿が目に入った。；第2作ではママが電話に出たときに「バカボン家です」と応対している。；どんな立派な団体でも、最初に応対に出るのは、一人の人間ですよ。；本の買い取りの時を除いて、客への応対は俺にやらせることが多い。</t>
        </is>
      </c>
      <c r="J954">
        <f>HYPERLINK("https://www.weblio.jp/content/応対", "词义详情")</f>
        <v/>
      </c>
      <c r="K954">
        <f>HYPERLINK("https://yourei.jp/応対", "查看例句")</f>
        <v/>
      </c>
    </row>
    <row r="955">
      <c r="A955" t="inlineStr">
        <is>
          <t>横断</t>
        </is>
      </c>
      <c r="B955" t="inlineStr">
        <is>
          <t>成功</t>
        </is>
      </c>
      <c r="C955" t="inlineStr">
        <is>
          <t>読み方：おうだん
［名］(スル)
１横に断ち切ること。⇔縦断。
２横切ること。「道路を—する」
３大陸や大洋を東西の方向に通り過ぎていくこと。「アメリカ大陸を—する」⇔縦断。
４異なる分野・種類などを超えてつながること。「省庁—で取り組む」→横断的</t>
        </is>
      </c>
      <c r="D955" t="inlineStr">
        <is>
          <t>横断する(30%)；横断的(4%)；横断飛行；横断道路；横断しよ</t>
        </is>
      </c>
      <c r="E955" t="inlineStr">
        <is>
          <t>通過；通る；経過；超える；交差点</t>
        </is>
      </c>
      <c r="F955" t="inlineStr">
        <is>
          <t>分野横断；無着陸横断；アメリカ横断；横断研究；横断輸送ネットワーク</t>
        </is>
      </c>
      <c r="G955" t="inlineStr">
        <is>
          <t>横断幕；横断的；横断面；横断歩道橋；横断山脈</t>
        </is>
      </c>
      <c r="H955" t="n">
        <v>29</v>
      </c>
      <c r="I955" t="inlineStr">
        <is>
          <t>以上に見た経緯と連動して、名古屋港横断道路の構想は激しく変化した。；その後2つの路線はそれぞれ北と西とに進路を変え、当市内を横断する。；企業の枠を超えて職種ごとに設定された労働市場で横断的な賃金である。；互いのホームは跨線橋で連絡しており、線路の横断は不可とされている。；下りホームへは線路下を横断するためトンネルからアクセスする。；道路を横断する交通が特に多くなり、交通事故が発生しやすい地点である。；大陸や島は一般に、縦断は南北方向、横断は東西方向の通り抜けを指す。；名古屋港港域部および人為的に造成されたふ頭を横断する橋梁群である。；また、大西洋横断路線とヨーロッパ路線でサービスも以下のように異なる。；草津市の旧草津川を横断する箇所ではかつて砂川大橋が架橋されていた。；ブーム終息以後も様々な音楽性を横断しながら独創的な活動を行っている。；線路を横断して二つのホームを結ぶ通路が設けられている。；中央部を相模川・相模湖・中央本線・国道20号・中央道が横断している。；パングボーンは横断に成功したが、経済的な利益を得ることはできなかった。；なお、東京地下鉄で荒川を横断する路線は東西線と千代田線だけである。；また、歩行者がこの交差点で当県道を横断することは禁止されている。；横断する道路が相生通りで写真中央上部にある建物が中央放送局。；タコツボの壁を横断する形でコミュニケーションを取っていなかった。；以下のような文字は章を横断して同じ意味で使われる。；この時期にはロッキー山脈を越えて大陸を横断する駅馬車の路線も開設された。；谷の上を線路が横断する部分に設置されているので、高架駅のような雰囲気がある。；有名誌の依頼によって彼はヨーロッパおよびアメリカを横断した。；東西を横断するコースもあるが、代表的な南北嶺の縦走コースは下記の通り。；太平湖まで車を利用し、太平湖を遊覧船で横断するのが一般的である。；東京都のほぼ中央に位置し、中央本線が東西に横断している。；また、車椅子利用者が横断できるよう、エレベーターが設置されている。；特徴的なのは、各セクションの枠を横断して新たなアニメ表現を開拓したこと。；途中でドイツの商船に拾われてインド洋を横断し、イエメンに上陸した。；忠敬らは天草周辺の街道を測ったあと、九州を横断して大分で越年した。</t>
        </is>
      </c>
      <c r="J955">
        <f>HYPERLINK("https://www.weblio.jp/content/横断", "词义详情")</f>
        <v/>
      </c>
      <c r="K955">
        <f>HYPERLINK("https://yourei.jp/横断", "查看例句")</f>
        <v/>
      </c>
    </row>
    <row r="956">
      <c r="A956" t="inlineStr">
        <is>
          <t>横断歩道</t>
        </is>
      </c>
      <c r="B956" t="inlineStr">
        <is>
          <t>成功</t>
        </is>
      </c>
      <c r="C956" t="inlineStr">
        <is>
          <t>読み方：おうだんほどう
車道を横断する歩行者のために、道路標識や道路標示で歩行範囲を定めてある道路区域。</t>
        </is>
      </c>
      <c r="D956" t="inlineStr">
        <is>
          <t>横断歩道を渡り始め；横断歩道を渡りかけ；横断歩道を渡り終える；横断歩道部分</t>
        </is>
      </c>
      <c r="H956" t="n">
        <v>29</v>
      </c>
      <c r="I956" t="inlineStr">
        <is>
          <t>横断歩道を渡る時には信号が青になった直後の他は渡る勇気がない。；ひとつは横断歩道の白い部分にあり、すぐに目につくほど赤く残っていた。；横断歩道部分では、歩行の障害にならないよう低いブロックが使われる。；信号のついた横断歩道があって、道は先にもまっすぐにつづいている。；さらに周囲の連中も、横断歩道を渡ってくる二人の少女を振り返った。；また、駅からバスターミナルへ向かう際は横断歩道を渡る必要があった。；点滅を始めた横断歩道を走るでもなく、せかせかと渡り終えていたのだ。；交差点の横断歩道の前に、会社へ向かう途中らしい女性が立っている。；おれは人の波に紛れるように横断歩道を渡り、喫茶店の前を通りすぎた。；横断歩道に向かって走る車の運転手には、双葉と赤信号が見えなかった。；家に閉じ籠ってばかりいると、横断歩道の渡り方まで忘れてしまいそうだ。；信号が変わると横断歩道を渡り、駅に着いて二人はホームに上がる。；自分たちが横断歩道で待っているところへ通りを渡ってくる二人の女子の姿が見えた。；ちょうど信号が青に変った横断歩道を渡って区役所通りのほうへ消えていく。；横断歩道は二十メートル先にあるのだが、遠回りをしたくないらしい。；じっと下を見つめていると白い横断歩道がするすると流れて行くように思えた。；彼は横断歩道の縁に立って、車の流れが切れるのを待つふりをした。；横断歩道の手前で信号待ちをしていると、頭にぽつりと感じるものがあった。；着信がなく、そのまま横断歩道を渡ろうとしていたらどうなっていた事か。；静枝は、広い通りに出ると、横断歩道のほうへと歩きかけてためらった。；信号が青に変わったのちも、横断歩道を渡ることはできなかった。；横断歩道で手を上げている歩行者がいても無視して止まらずに進む。；ちょうど直前の横断歩道で、人の列が寸断されていたおかげだった。；さらに、西側階段の先で横断歩道を渡ると駅前大通りの両岸に到達する。；横断歩道を渡っている人波のなかに、こちらに向って手を振っている女がいる。；俺はまっすぐ前だけを見て、横断歩道を渡り、今度こそ帰路についた。；タクシーの左脇を抜けて、一台のバイクが横断歩道のすぐ手前に止まった。；小蓮の背中を押しながら横断歩道を渡り、西武新宿駅へ向けて足を進めた。；そのまま街を歩いていると、遠くの横断歩道に両儀の姿を見かけた。</t>
        </is>
      </c>
      <c r="J956">
        <f>HYPERLINK("https://www.weblio.jp/content/横断歩道", "词义详情")</f>
        <v/>
      </c>
      <c r="K956">
        <f>HYPERLINK("https://yourei.jp/横断歩道", "查看例句")</f>
        <v/>
      </c>
    </row>
    <row r="957">
      <c r="A957" t="inlineStr">
        <is>
          <t>横着</t>
        </is>
      </c>
      <c r="B957" t="inlineStr">
        <is>
          <t>成功</t>
        </is>
      </c>
      <c r="C957" t="inlineStr">
        <is>
          <t>読み方：おうちゃく
［名・形動］(スル)
１すべきことを故意に怠けること。できるだけ楽をしてすまそうとすること。また、そのさま。「—を決め込む」「—なやりかた」「—して連絡しない」
２わがままで、ずうずうしいこと。ずるいこと。また、そのさま。
「中には—で新しそうなのを選って穿く人もある」〈鴎外・百物語〉</t>
        </is>
      </c>
      <c r="D957" t="inlineStr">
        <is>
          <t>横着者(10%)；横着な奴；横着な事；横着千万；横着物</t>
        </is>
      </c>
      <c r="E957" t="inlineStr">
        <is>
          <t>怠惰；怠慢；不誠実；不精；鈍ら</t>
        </is>
      </c>
      <c r="H957" t="n">
        <v>29</v>
      </c>
      <c r="I957" t="inlineStr">
        <is>
          <t>ただの空想にしちゃ、どうも口のきき方が横着すぎると思っていたんだ。；横着でしないわけぢやないでせうが、さういふ張合がないんでせうね。；物を否定する霊どもの中で、 己の一番荷厄介にしないのは横着物だ。；家にいて、ヨコのものをタテにもしない父の横着な性質は母が育てたのだ。；そして此の頃ではだんだん横着になって来て酒の力で自分を欺くことを覚えた。；彼女の姿を今日も自分の眼の前に予期していた彼は横着であった。；横着な奴隷どもはすぐ出て行け、そしてこの喧嘩からは手をひくのだ!；これまではそのぶしょう、横着をきめこんでもそれで通ることであった。；自分で買いにいくべきものを、横着をするから、そんなことになったのです。；横着だともいえますが、英雄でなければやれないことでしょうね。；横着な事をして世間から嫌われたという事もあったでありましょう。；そして、言ってしまうと、不思議に彼のいつもの横着さが甦って来た。；別に横着したわけではなくて、口を開いたら本当に出てきてしまいそうだったからだ。；自分は時々この木のおうちゃくなるに、人間同様腹をたてることあり。；小さい目が面白げに、横着らしく、又親しげに相手の顔を見詰めてゐる。；官僚式に出来上った彼の眼には、健三の態度が最初から頗る横着に見えた。；私はかなり横着者ですが、生れてから、まだこんなに驚いたことはありません。；その態度にも今までの横着な、図々しい感じが全くなくなっていた。；それにしても、と私は思う、補給作業中に翼の修理までするとは横着な奴だ。；主人は留守、門番は横着に寝込んで、開けてくれそうもなかったのです。；横着なのも横着なのだが、自分では贅沢を楽しんでいるつもりなのだ。；彼は通いの家政婦の賃金が高い上に横着だといってこぼしている時だった。；欲しい本を見つけるのが大変だ、などとぼやくのは、横着もいいとこだ。；「弟が何とかするであろうよ」と、市之助は相変らず横着を極めていた。；だつて余り馬鹿馬鹿しいんですもの、一体兄さんは横着で怠け者なのよ。；彼女はいまだかつて小林のように横着な人間に接した例がなかった。；私は次第に横着な考え方に麻痺して行ったかの如くであった。；人間は、自分たちの横着の責任を猫の機能的欠陥にすりかえてしまったのだ。；ちっとやそっと身体が悪くてもけっして休むような横着はしなかった。</t>
        </is>
      </c>
      <c r="J957">
        <f>HYPERLINK("https://www.weblio.jp/content/横着", "词义详情")</f>
        <v/>
      </c>
      <c r="K957">
        <f>HYPERLINK("https://yourei.jp/横着", "查看例句")</f>
        <v/>
      </c>
    </row>
    <row r="958">
      <c r="A958" t="inlineStr">
        <is>
          <t>横転</t>
        </is>
      </c>
      <c r="B958" t="inlineStr">
        <is>
          <t>成功</t>
        </is>
      </c>
      <c r="C958" t="inlineStr">
        <is>
          <t>読み方：おうてん
［名］(スル)
１横倒しになること。「乗用車が—する」
２水平飛行中の飛行機が、胴体を軸として、左または右に回転すること。</t>
        </is>
      </c>
      <c r="D958" t="inlineStr">
        <is>
          <t>横転する(10%)；横転事故(5%)；横転沈没；横転時；横転性能</t>
        </is>
      </c>
      <c r="F958" t="inlineStr">
        <is>
          <t>急横転；横転する事故</t>
        </is>
      </c>
      <c r="H958" t="n">
        <v>29</v>
      </c>
      <c r="I958" t="inlineStr">
        <is>
          <t>ウィロー通りと呼ばれる場所に向かうと車が事故を起こし横転していた。；そんなある日、彼らの馬車は街道上で自動車に煽られて横転してしまう。；二人で車に乗っていたところ、ギャングの争いに巻き込まれて車が横転。；横転車両の部分から列車は切断され、うち前方部分はそのまま発車した。；ふたりは横転しながら移動し、床にへばりついている敵に銃口を向けた。；相手の車が横転したとき、自分の車がどうかなったのではないか、と思った。；前転しないで横転し、相手を首を刈って後方に倒して極める方法もある。；発見当時、横転などはしておらず、通常の着地のような状態だったという。；また車体上部にはハッチを持ち、車体が横転した際の脱出に使用可能である。；もっともその乳房を手にしたとたんに、体が痺れて横転していたのだ。；それを見た後でも、横転したバンをあっさり起こしてしまうのには驚いた。；自転車ごと右へ横転しそうになるのを、足を地面につきながらなんとか回避する。；バレルロールは、使用すると一定時間機体を横転させ攻撃を回避する。；右の通路を、しばらく行くと、一台の小型電気自動車が横転していた。；マイクの運転する車は激しく横転したものの、二人は命に別条はなかった。；車椅子ごと横転して女たちをあわてさせたかったのかもしれない。；横転を避けるには、部長の身体を解放しなくてはならなかった。；彼のラルトはトラックを横切って横転し、安全柵に激突後して停止した。；こうすれば船首は風上を向き、横波を受けて横転する危険は避けられる。；ごくかすかな横転でも、この遠距離では大きな影響が出てくるのは間違いない。；横転する物体には、その軸心点とそこから上方に伸びる想像上の線がある。；そして、不意に打たれた腕を胸に抱くようにしながら、板の間に横転した。；彼はゴロリと横転し、両手で自分を支えて、私にむかってあぐらをかいた。；議員本人は、突き出ていた前歯を宙にまきちらしながら、床に横転した。；翌朝は、リアムの部隊が乗る車に仕掛けられた爆弾が爆発し、横転する。；相手を右に横転させ、右手または右前腕部で相手の後頭部を押して絞める。；このとき、彼は、横転させた車に乗っていた人がどうなったのだろうかは考えなかった。；このメッセージを2回繰り返したところで、スタジオのカメラが横転。；一台は横転し、一台はボンネットが開き、エンジン部から火が吹き上がった。</t>
        </is>
      </c>
      <c r="J958">
        <f>HYPERLINK("https://www.weblio.jp/content/横転", "词义详情")</f>
        <v/>
      </c>
      <c r="K958">
        <f>HYPERLINK("https://yourei.jp/横転", "查看例句")</f>
        <v/>
      </c>
    </row>
    <row r="959">
      <c r="A959" t="inlineStr">
        <is>
          <t>応答</t>
        </is>
      </c>
      <c r="B959" t="inlineStr">
        <is>
          <t>成功</t>
        </is>
      </c>
      <c r="C959" t="inlineStr">
        <is>
          <t>読み方：おうとう
［名］(スル)問いかけや呼びかけに答えること。受け答え。「三号車—せよ」「質疑—に移る」</t>
        </is>
      </c>
      <c r="D959" t="inlineStr">
        <is>
          <t>応答する(9%)；応答性(5%)；応答速度；応答なし；応答メッセージ</t>
        </is>
      </c>
      <c r="E959" t="inlineStr">
        <is>
          <t>答え；反応；返事；返し；答える</t>
        </is>
      </c>
      <c r="F959" t="inlineStr">
        <is>
          <t>自動応答；確認応答；炎症応答；細胞応答；損傷応答</t>
        </is>
      </c>
      <c r="G959" t="inlineStr">
        <is>
          <t>応答スペクトル；応答関数；応答型異言；応答率</t>
        </is>
      </c>
      <c r="H959" t="n">
        <v>29</v>
      </c>
      <c r="I959" t="inlineStr">
        <is>
          <t>この質問と応答は翌年以降のエイプリルフール企画でも使用されている。；最近では応答に方向キーのついたリモコン式のものを用いる場合もある。；はの一種で、応答者がコンピュータでないことを確認するために使われる。；Factoid型質問応答の基本的な処理の流れは、以下のようになる。；線路脇には質問器と地上応答器を、車上には車上応答器を設置しておく。；すなわちプロダクトバックログの項目は要求の変化に応答して変化する。；通信セッションはアプリケーション間で起こる要求と応答で構成される。；同期IPCでは通信の一方が応答可能になるまでもう一方がブロックされる。；ブレーキシステムも電車で実績のある応答性の高い電気指令式を採用した。；その後の数十年の間に、多くの疾患が自己免疫応答と関連付けらてきた。；グランパスとの連絡は何度も試みられたが応答はなく、喪失が宣言された。；まずは主題に声部が順次応答してフーガを思わせるような形で開始する。；デッドロックが発生するとプログラムは応答不能の状態となることが多い。；システムの振幅応答が変化すると位相特性も変化するし、逆も同様である。；十分な業務マニュアルが無く、応答事例の蓄積・整理ができてなかった。；最終行は3桁の応答コードの直後にスペースをつけ、テキストを続ける。；会話に参加できる人はプッシュトークボタンを押して応答し、話し始める。；TSP-1のレベルは損傷応答や発生過程で上昇することが知られている。；そのような光合成を行う種では、光に応答する為の眼点を備える場合が多い。；その結果、水溶性のものに比べ持続性の長い応答に関わる傾向が見られる。；熱分析とは、物質の温度を制御しながら、その応答を分析する手法の総称。；このモデルでは、IgG3が応答の初期に現れることを示唆している。；処理された全てのDSIリクエストはリプライメッセージで応答される。；主人公達の呼びかけには応答が無く、搭乗者がどのような状況にあるのかは不明。；しかし乗員は何ら緊急事態は報告せず、指示には全て肯定応答していた。；ブレーキシステムも電車で実績のある応答性の高い電気指令式を使用している。；閾下応答は興奮性の変化した状態であり電気緊張ともいわれる。；なぜなら、それぞれの色は錐体応答間でも高い相関があるからである。；一方で、応答性の良さや構造の単純さ故に直通ブレーキも改良が続けられた。</t>
        </is>
      </c>
      <c r="J959">
        <f>HYPERLINK("https://www.weblio.jp/content/応答", "词义详情")</f>
        <v/>
      </c>
      <c r="K959">
        <f>HYPERLINK("https://yourei.jp/応答", "查看例句")</f>
        <v/>
      </c>
    </row>
    <row r="960">
      <c r="A960" t="inlineStr">
        <is>
          <t>往復</t>
        </is>
      </c>
      <c r="B960" t="inlineStr">
        <is>
          <t>成功</t>
        </is>
      </c>
      <c r="C960" t="inlineStr">
        <is>
          <t>読み方：おうふく
［名］(スル)
１行きと帰り。行って帰ること。ゆきかえり。「—には三時間以上かかる」「駅まで自転車で—する」「—乗車券」
２手紙などのやり取り。「書簡を—する」
３交際すること。ゆきき。「彼とは親しく—している」</t>
        </is>
      </c>
      <c r="D960" t="inlineStr">
        <is>
          <t>往復する(13%)；往復運行(3%)；往復運動；往復運転；往復設定</t>
        </is>
      </c>
      <c r="E960" t="inlineStr">
        <is>
          <t>行き帰り；往復路</t>
        </is>
      </c>
      <c r="F960" t="inlineStr">
        <is>
          <t>往復増発；往復分；往復体制；往復飛行；往復運賃</t>
        </is>
      </c>
      <c r="G960" t="inlineStr">
        <is>
          <t>往復乗車券；往復ビンタ；往復はがき；往復葉書；往復書簡集</t>
        </is>
      </c>
      <c r="H960" t="n">
        <v>29</v>
      </c>
      <c r="I960" t="inlineStr">
        <is>
          <t>米国では理論だけの研究はほとんどなく理論と実証の往復が重視される。；往復の場合は一日乗車券がセットされるので他の列車も終日利用できた。；通勤列車は毎日勤務先と家との間を往復する大量の住民を運んでいる。；改札はホームごとに独立しており、入場後のホーム同士の往復は不可能。；駅舎と改札口はホームごとにあるが、入場後のホーム同士の往復は可能。；この任意の商品は両者の間を往復するだけで、実質的には移動しない。；仕事がなくなったため、以降高校と寮を往復するだけの日々を送った。；父は湯浅屋支配人の仕事があるため、東京と松阪を往復する生活をした。；軌道高度は、地上との輸送機往復を考慮して、低軌道で運用されている。；また、決まった区間を往復する列車では、両端の駅を表示する場合がある。；平日・土曜日のみ新津駅と当駅を結ぶ区間列車も1往復設定されている。；この往復路で女・子供・老人を含めた数百人のナバホの民が死んだ。；全列車通過扱いとなる直前まで特急「白鳥」2往復のみが停車していた。；前103年の戦いは大敗に終わり、その後双方から使者の往復が行われた。；往復の交通は、旅行申込時に指定した航空便・列車しか利用出来ない。；戦時下にありながら、東京・京都間の往復など、自由な生活が許されていた。；さらに2003年6月1日からは米原発着列車が2往復設定されている。；のちに事業費を圧縮するために両道路は統合されて往復6車線の道路となった。；駅舎は設置されず、地上とホームはエレベーターで往復可能。；一部の普通列車は通過し、廃止直前、当駅には2往復しか停車しなかった。；北は清水経由、子は子飼橋経由で、原則往復とも同じ番号を表示する。；チームもなかなか波に乗れず、2位と3位を往復するばかりの状態だった。；ちなみに最晩年の「メトロライナー」は平日1往復の運転となっていた。；このため両機は予備機なしで0泊3日の往復飛行をこなすこととなった。；また、毎日朝には大阪駅 - 吹田駅間の列車が1往復設定されている。；廃止直前には、営業期間中でも普通列車が2往復しか停車しなかった。；石油を輸送する貨物列車は1日2往復、根岸駅との間に設定されている。；慎重な飛行をして何度も母艦の上を往復した後、今度は一度で見事に着艦を成功させた。；当駅にはほとんどの列車が停車するため通過本線を利用する旅客列車は1往復のみである。</t>
        </is>
      </c>
      <c r="J960">
        <f>HYPERLINK("https://www.weblio.jp/content/往復", "词义详情")</f>
        <v/>
      </c>
      <c r="K960">
        <f>HYPERLINK("https://yourei.jp/往復", "查看例句")</f>
        <v/>
      </c>
    </row>
    <row r="961">
      <c r="A961" t="inlineStr">
        <is>
          <t>欧米</t>
        </is>
      </c>
      <c r="B961" t="inlineStr">
        <is>
          <t>成功</t>
        </is>
      </c>
      <c r="C961" t="inlineStr">
        <is>
          <t>読み方：おうべい
欧州と米国。</t>
        </is>
      </c>
      <c r="D961" t="inlineStr">
        <is>
          <t>欧米各国(3%)；欧米視察；欧米系；欧米各地；欧米文化</t>
        </is>
      </c>
      <c r="F961" t="inlineStr">
        <is>
          <t>欧米版；欧米式；欧米留学；欧米語；欧米流</t>
        </is>
      </c>
      <c r="G961" t="inlineStr">
        <is>
          <t>欧米では；欧米人；欧米列強；欧米化；欧米系島民</t>
        </is>
      </c>
      <c r="H961" t="n">
        <v>29</v>
      </c>
      <c r="I961" t="inlineStr">
        <is>
          <t>近代的な欧米の図書館制度を日本に最初に紹介したのは福沢諭吉である。；この欧米での高評価を受けて、日本国内でもその画風が評価され始めた。；細かい区分から大きな区分へと表記していく欧米式とは逆の順序になる。；欧米で出版された作品をアフリカで再販するという宣伝を掲載している。；その後欧米の気球メーカー製の機体が輸入される様になり、一般化する。；これはタイの歴史上における最初の欧米勢力との接触と考えられている。；日露両陣営には欧米と南米諸国から数多くの観戦武官が派遣されていた。；タングラムを遊んでいたとされる19世紀の欧米の著名人は何人かいる。；この経緯から欧米では今も囲碁用語の多くに日本語がそのまま使われている。；特に欧米では頻繁に、また日本でもしばしば狩猟用のおとりに用いられる。；イタリアの精神界のみならず、欧米の思想界に大きな影響を与えた。；この点は、物理化学研究の伝統を持つ欧米とは大きく異なった状況にある。；日本人や欧米人には姓と思われているが、正確には姓とは異なる。；欧米からオレンジが導入されるのは明治時代に入ってからの事である。；欧米ではこの用途で用いられる画像はボタンと呼ぶことが多い。；こうした仕様は、安全性が重視される欧米市場を意識したものだった。；ヒッピー的な自然回帰を志向する傾向は、古くから欧米に存在していた。；この頃から、欧米から伝来した写真術に興味を持ち、写真を撮影している。；日本では1873年に、欧米の機械を導入した初の洋紙工場が設立された。；一方でこれらの地域を離れ、欧米などへの移民となるケースも増加している。；与党を支持するロシアに対し、欧米は大規模な不正があったとしている。；欧米など日本以外では座席は固定式のものが多く、座席を回転できない車両が多い。；日本の音楽業界ではシングルの発売が先行するケースが多く欧米と異なる。；欧米に多い内開きの玄関に対してのみ有効で、外に開く日本では使えない。；当時のイタリアもまた欧米における学生運動が展開されていた時期であった。；日本の会話では、欧米に比べると、こうした話し方は少ないようである。；例え欧米系白人の血の方が濃くても黒人に分類されるという考えである。；日本では一般に春の行事であるが、欧米では、一般に秋の行事である。；また日本でも欧米型の企画画廊やアートディーラーが増加しつつある。</t>
        </is>
      </c>
      <c r="J961">
        <f>HYPERLINK("https://www.weblio.jp/content/欧米", "词义详情")</f>
        <v/>
      </c>
      <c r="K961">
        <f>HYPERLINK("https://yourei.jp/欧米", "查看例句")</f>
        <v/>
      </c>
    </row>
    <row r="962">
      <c r="A962" t="inlineStr">
        <is>
          <t>応募</t>
        </is>
      </c>
      <c r="B962" t="inlineStr">
        <is>
          <t>成功</t>
        </is>
      </c>
      <c r="C962" t="inlineStr">
        <is>
          <t>読み方：おうぼ
［名］(スル)募集に応じること。「コンクールに—する」「—者」</t>
        </is>
      </c>
      <c r="D962" t="inlineStr">
        <is>
          <t>応募する(9%)；応募作品(3%)；応募資格(3%)；応募総数(2%)；応募できる</t>
        </is>
      </c>
      <c r="E962" t="inlineStr">
        <is>
          <t>申請；志願；エントリー；申し込み；申込</t>
        </is>
      </c>
      <c r="F962" t="inlineStr">
        <is>
          <t>応募し合格；応募可能；応募書類；一般応募；応募特典</t>
        </is>
      </c>
      <c r="G962" t="inlineStr">
        <is>
          <t>応募券；応募ハガキ；応募方法；応募はがき；応募期間</t>
        </is>
      </c>
      <c r="H962" t="n">
        <v>29</v>
      </c>
      <c r="I962" t="inlineStr">
        <is>
          <t>そこれはほかの公開放送番組の応募で実施されていたものと同様である。；出場応募用紙を入手した際にはまだ正式なバンド名が決まっていなかった。；その後はレッスンに行ったり雑誌のメンバー募集に応募したりしていた。；芸能人が出した全てのアイデアは考えた本人の名前で実際に応募していた。；また、当番組が放送されていない地方の在住者から応募が来ることもある。；また、試合開始前に試合が中止となった場合は応募自体も中止となる。；唯一応募のあった東急を代表企業とするグループが落札者に決定した。；その後はマークを集めてキャンペーンに応募する形態に変更された。；応募案は全て超高層建築であるが、磯崎案だけは100m以下であった。；このバンドのベース募集にマッギーが応募したことで彼らは出会った。；応募してきた男性には堀内はオリジナルのニックネームをつけて呼んでいた。；かつては男子限定であったが、1992年度以降は女子も応募が可能である。；この賞は選考委員が各自ノミネートを行うため、個人の応募ができない。；名前は全157件に及ぶご応募の中からSNS投票などで選ばれた。；就職活動において、企業等が独自で応募用紙を作成している場合がある。；以前は往復はがきでの応募があったが平成28年度を最後に廃止されている。；ちなみに田中のコーナーの出演者は番組ウェブサイトで応募が可能だった。；その当時は杉良太郎が全国から研究生を募集しており、応募して合格。；出演する市民は番組ホームページからアンケートに回答する形式で応募。；応募した人の中からスタッフによる電話及び面談取材の上選ばれる。；応募作のどれもがデザインを要約するモットーの提出を求められた。；カール首相が組織した建築設計競技には世界から233件の応募があった。；一部のイベントでは事前応募制としたこともあった。；稀に、応募の寄稿者が個別受賞者と似た方法で表彰に選出されることがある。；助監督募集を聞いて試験に参加し、200人が応募する中で合格であった。；憲兵になるには志願によったが、給与が高いことから応募は多かった。；その際でも番組からの出演依頼はしておらず、出演者自ら応募してくるとのことである。；審査の結果、応募数が208名と最も多かった「千代田線」が選ばれた。；プロ・アマは問わず、他誌で描いている漫画家でも応募が可能である。</t>
        </is>
      </c>
      <c r="J962">
        <f>HYPERLINK("https://www.weblio.jp/content/応募", "词义详情")</f>
        <v/>
      </c>
      <c r="K962">
        <f>HYPERLINK("https://yourei.jp/応募", "查看例句")</f>
        <v/>
      </c>
    </row>
    <row r="963">
      <c r="A963" t="inlineStr">
        <is>
          <t>横暴</t>
        </is>
      </c>
      <c r="B963" t="inlineStr">
        <is>
          <t>成功</t>
        </is>
      </c>
      <c r="C963" t="inlineStr">
        <is>
          <t>読み方：おうぼう
［名・形動］権力や腕力にまかせて無法・乱暴な行いをすること。また、そのさま。「—な振る舞い」</t>
        </is>
      </c>
      <c r="D963" t="inlineStr">
        <is>
          <t>横暴ぶり(3%)；横暴な振る舞い(2%)；横暴な態度；横暴振り；横暴な振るまい</t>
        </is>
      </c>
      <c r="E963" t="inlineStr">
        <is>
          <t>圧迫；制圧；弾圧；抑圧；虐待</t>
        </is>
      </c>
      <c r="H963" t="n">
        <v>29</v>
      </c>
      <c r="I963" t="inlineStr">
        <is>
          <t>電話をかけてきたのは男性の社会的横暴をいつも教室で述べるKさんだ。；新しい家に移って来た年は、彼等の父親の横暴振りは殊の外ひどかった。；たとえ犬だとしても、横暴な飼い主の言うことなんて聞いてやるもんか。；横暴でうぬぼれの強い王の利己心を満足させるために建てられたものです。；これこそ、よこしまな精神がふるう横暴の第一の基礎となるものである。；どんなに横暴で無茶苦茶でも大妖狐は彼女のたった一人の父親なのだ。；自分は塔の一族の横暴なやり口に納得できずに彼らと話し、その後戦ったと。；森は決して他人の言葉に聞く耳持たない横暴な女ではない。；彼女たちはその時、ぼくまでが横暴な男性であるかのような顔つきをする。；そんな処で横暴にふるまえる車持ちの商人となれば、かなりのものであろう。；まだ逮捕されそうな動きはないが、警察は横暴だと聞いている。；貴族には横暴な者が多いため、不満を抱いている平民も少なくない。；横暴な男が身の内に抱く疚しさと寂しさが滲み出たような一節である。；建築デザインの腕は確かだが、若干横暴で自惚れ屋な一面を見せる。；誰にも何の相談もなしに部の企画を勝手に決めちゃうなんていくらなんでも横暴です!；日本の植民地政策の失敗の一つはこのような“横暴”を行ったことだ。；和人の保護を受けた場合はどうだ、彼らの横暴は目に見えている。；それを男にはできないのよ、と頭からきめこんでしまうのは、女の横暴だ。；だって、王子がいい気になって、ますます横暴になったら困るもの。；彼もまた、教会の横暴から故郷を守りたく行動を起こしていたうちの一人なのだから。；度を越えて横暴なため、監督が彼に殴りかかりそうになりました。；横暴な運転をする人は昔からいましたが少数でした。；性格は横暴であり、家来たちのいうことなどは、ほとんどきこうともせぬ。；俺は顔をひきつらせながらも、結局、妹の横暴に抗うことはできなかった。；フローラ・ゴーフォースは、その島に隠遁し、横暴な生活を送っている。；フランスの息のかかった領主ルカノールは横暴を繰り返していた。；少数の彼等は横暴にも思われる見舞客の言葉に耐えていた。；夫の横暴、我がまま、愛情のなさ、誠意のなさに不満をもっていたと言う。；俺が言いたいのは、なぜお客様にこんな横暴をしちゃうのかってことです!</t>
        </is>
      </c>
      <c r="J963">
        <f>HYPERLINK("https://www.weblio.jp/content/横暴", "词义详情")</f>
        <v/>
      </c>
      <c r="K963">
        <f>HYPERLINK("https://yourei.jp/横暴", "查看例句")</f>
        <v/>
      </c>
    </row>
    <row r="964">
      <c r="A964" t="inlineStr">
        <is>
          <t>応用</t>
        </is>
      </c>
      <c r="B964" t="inlineStr">
        <is>
          <t>成功</t>
        </is>
      </c>
      <c r="C964" t="inlineStr">
        <is>
          <t>読み方：おうよう
［名］(スル)原理や知識を実際の事柄に当てはめて用いること。「習ったことを実生活に—する」「—力」</t>
        </is>
      </c>
      <c r="D964" t="inlineStr">
        <is>
          <t>応用する(7%)；応用される(4%)；応用できる(3%)；応用例；応用分野</t>
        </is>
      </c>
      <c r="E964" t="inlineStr">
        <is>
          <t>使用；利用；運用；適用；要請</t>
        </is>
      </c>
      <c r="F964" t="inlineStr">
        <is>
          <t>広く応用；重要な応用；応用物理学科；応用問題；対応用</t>
        </is>
      </c>
      <c r="G964" t="inlineStr">
        <is>
          <t>応用科学；応用化学科；応用化学；応用言語学；応用技術</t>
        </is>
      </c>
      <c r="H964" t="n">
        <v>29</v>
      </c>
      <c r="I964" t="inlineStr">
        <is>
          <t>動物、植物を問わず、更には人間の社会生活にまで広く応用されている。；この性質を応用した液晶ディスプレイなどの製品が広く普及している。；また、他にも単純な性質を多く持っているため、様々な場面で応用される。；また初歩から応用までを所載した技術解説書としては以下の書籍がある。；これは、人が無意識に光のある方向に動くことを応用したものである。；航空機の揚力発生等、流体機械の広い範囲でその特性が応用されている。；表面を寄木にして材料を積層にすることで、などの床材にも応用できる。；ゲーム理論を応用した警備研究は、警備ゲーム理論の研究が中心となる。；代数的グラフ理論は動的系や複雑性を含む多くの分野に応用されている。；数学内の「形式体系」を研究し応用できる範囲は、数学や計算機である。；科学の実用技術や社会への応用が志向され、科学は宗教から分離し始めた。；応用感情は輪において隣接する2つの基本感情の組み合わせからなる。；そのせいで、広義リーマン積分は応用上の利用が難しいものとなっている。；教育心理学は、教育的な視点から心理学を応用しようとする学問である。；基本技のなかには基本動作およびその応用形が組み込まれている。；他のスポーツで様々な動きを吸収し、それが野球の動きにも応用できているという。；また、様々なポピュラー音楽でも応用され新しいジャンルが生まれた。；理論を応用し、社会的要請に応えることが目的の学部とは異なる面がある。；生物学へのゲーム理論の応用は、経済学にとっても重要な意味があった。；警備政策やセキュリティもゲーム理論の主要な応用分野の一つである。；しゃべってコンシェルの技術を応用し、円滑な会話が可能となっている。；この効果の応用例は記録メディアの一種である光磁気ディスクである。；ハンカチ落としは一定の条件を付けてプログラミングの問題に応用される。；このような操作は、単一分子エレクトロニクスに応用することができる。；なおこれは、ゲーム理論を政治学に応用した最初の著作の一つである。；折り紙の応用、または研究にはいくつもの数学的課題が含まれている。；FPGAを使っているため、DES以外の暗号解読にも応用可能である。；また翻訳や意思決定など高度なスキルを必要とする分野への応用も進んでいる。；特にフタロシアニンは応用分野での消費量が多く、大量に生産されている。</t>
        </is>
      </c>
      <c r="J964">
        <f>HYPERLINK("https://www.weblio.jp/content/応用", "词义详情")</f>
        <v/>
      </c>
      <c r="K964">
        <f>HYPERLINK("https://yourei.jp/応用", "查看例句")</f>
        <v/>
      </c>
    </row>
    <row r="965">
      <c r="A965" t="inlineStr">
        <is>
          <t>往来</t>
        </is>
      </c>
      <c r="B965" t="inlineStr">
        <is>
          <t>成功</t>
        </is>
      </c>
      <c r="C965" t="inlineStr">
        <is>
          <t>読み方：おうらい
［名］(スル)
１行ったり来たりすること。行き来。「車が激しく—する」
２人や乗り物が行き来する場所。道路。「—で遊ぶ」
３互いに行ったり来たりすること。交際。「足しげく—する間柄」
４感情や考えが、心中に現れたり消えたりすること。去来。
「いろいろな人たちのことがわたしの胸を—した」〈藤村・千曲川のスケッチ〉
５手紙などのやりとり。また、往復書簡。
６書簡文の模範文例集。→往来物
７「往来物」の略。</t>
        </is>
      </c>
      <c r="D965" t="inlineStr">
        <is>
          <t>往来する(10%)；往来できる；往来可能；往来沿い；往来切手</t>
        </is>
      </c>
      <c r="E965" t="inlineStr">
        <is>
          <t>通り；合併；交通；接触；交際</t>
        </is>
      </c>
      <c r="F965" t="inlineStr">
        <is>
          <t>親しく往来；戦場往来；広い往来；要人往来；暗い往来</t>
        </is>
      </c>
      <c r="G965" t="inlineStr">
        <is>
          <t>往来危険罪；往来手形；往来妨害；往来制限；往来止</t>
        </is>
      </c>
      <c r="H965" t="n">
        <v>29</v>
      </c>
      <c r="I965" t="inlineStr">
        <is>
          <t>そのため、往来の人々がこの喧嘩を見物するために大勢集まったという。；建物間には連絡橋が設けられ、自由に往来ができるようになっている。；ただし1961年夏まではベルリン市内での東西の往来は自由であった。；その後、この地には多くの勢力が往来し混沌の世界へと向かっていく。；名古屋高速の路線は都心との交通往来が激しい地域間に建設されている。；隣接している自治体のうち、千葉県印西市とは直接的な往来はできない。；北海学園大学には夜間部もあるために夕方 - 夜も学生の往来が多い。；また当時、人々の南北間の往来も、盛んではなかったものの可能ではあった。；往時から野麦街道が東西に通っていたため往来の盛んなところだった。；文久2年、五十人組に参加し京都と江戸の間を往来して国事に奔走した。；クランク状の道は上野広小路など将軍が往来した道にあるものと同様である。；遠近の者達はこれを不思議に思い、多くの者が往来しながら見入った。；この分けられた2つの世界は隕石などを使って往来することが可能。；第17条 南と北は民族構成員の自由な往来と接触を実現する。；駅使は、天皇から駅鈴を付与されて緊急で重要な任務を帯びて往来した。；しかしその間にも、公私にわたる使者の往来はあったものと見られている。；ただしこの地域の緊張は薄く、両国国民は国境を自由に往来している。；エレベーターのように牌が卓上と卓の下を往来することからこう呼ばれる。；この指揮所では船の往来の監視と救難信号の監視を行っている。；日本へ往来する船を作ることが出来、その船は晴海埠頭に発着する。；アンカーブロック内に設置されたエレベーターを利用して島との往来が可能である。；現在、町を走る車の大多数が、地下に造られた道路網を往来している。；島の奥地からの材木の輸送や、流域の集落への往来に使用されている。；天正7年から天正9年の3年間、亀山城と往来していたと思われている。；ボートピア名古屋の開業により築地口周辺は人の往来が多くなっている。；以後列車の定期運行は行われておらず、また旅客列車が往来したこともない。；この両者の往来のために架けられた私設の橋が名称の由来である。；人の往来の激しい場所に、封筒などの袋に入った矢部の持ち金を放置。；いつしか霧が海や空を覆うように蔓延して人々の往来を妨げることになる。</t>
        </is>
      </c>
      <c r="J965">
        <f>HYPERLINK("https://www.weblio.jp/content/往来", "词义详情")</f>
        <v/>
      </c>
      <c r="K965">
        <f>HYPERLINK("https://yourei.jp/往来", "查看例句")</f>
        <v/>
      </c>
    </row>
    <row r="966">
      <c r="A966" t="inlineStr">
        <is>
          <t>横領</t>
        </is>
      </c>
      <c r="B966" t="inlineStr">
        <is>
          <t>成功</t>
        </is>
      </c>
      <c r="C966" t="inlineStr">
        <is>
          <t>読み方：おうりょう
［名］(スル)他人または公共の物を不法に自分の物とすること。「公金を—する」</t>
        </is>
      </c>
      <c r="D966" t="inlineStr">
        <is>
          <t>横領事件(4%)；横領しよ(2%)；横領容疑；横領者；横領疑惑</t>
        </is>
      </c>
      <c r="E966" t="inlineStr">
        <is>
          <t>略奪；泥棒；盗み；窃盗；掠奪</t>
        </is>
      </c>
      <c r="F966" t="inlineStr">
        <is>
          <t>背任横領；詐欺横領；財産横領；資金横領；拾得金横領</t>
        </is>
      </c>
      <c r="H966" t="n">
        <v>29</v>
      </c>
      <c r="I966" t="inlineStr">
        <is>
          <t>こちらでは、横領者はローマの通りで自分の召使に殺されたとしている。；私は、ほかの重役のように会社の金を勝手に横領出来る立場になかった。；あるいは、駐車場に最初に駈けつけた室生刑事が横領したことにするか。；その、横領だ何だと云う部分は警官としても聞き捨てなりませんからな。；わたしははじめ、君が前にいた会社の金を横領しているのではないかと思った。；民の血税を横領する役人の笑顔など見たくもない、と唾を吐きたくなる。；道場を横領するには、お蓮様と組んで、あれを向うにまわさねばならぬ。；また同役員の話には、横領の件と不適切会計の件の間に矛盾があるという。；横領問題の後始末と融資問題の処理は、彼を会社に縛りつけようとした。；しかしその管理が不十分であり、所領を横領される等の事件が相次いだ。；また軍の物資を横領していた副総兵の張充実らを弾劾して罷免させた。；もし本当に議員が公金を横領しているならば、その在処を明かすがいい。；檀家のない寺に横領するだけ金があると云うのがまず怪訝しいでしょうが。；母が父を殺して財産を横領しようと企てていることは、兄の勇も知っている。；金策に苦労していたことが横領や収賄につながったと言われている。；事実がどうかは別にして、蔵臼が父親の財産を横領している可能性は極めて高い。；この女に会って、横領の証拠になる帳面を、警察へ渡すように説得する。；五十年ほど前に、イギリスの法廷で奇妙な鯨の横領物回復訴訟があった。；学院を横領できれば充分であって、流血などを生じては後味が悪すぎる。；その際の費用は百翼長である舞と相談して、隊費から横領した。；その候補は間もなく大阪に去って行ったが、それが横領事件を裏書きしているように人々は思った。；さっさと横領かなにかが判明して退学にならないものかと毎日祈っています。；何といっても、連れの女は、会社の金を三千万円横領しているのだ。；部長や次長の横領金のおこぼれは、あまり粕谷には廻ってこないらしい。；殺された人は、会社のお金を横領して、恋人といっしょに外国へ逃げるところでした。；だが1991年に政府の資金を横領したことで非難を浴びた。；たとえ実際に不正横領があったとしても、それを現代風に解釈してはならない。；その原因は裏口入学の金を横領していたためとも噂された。；しかし、その金のうち250万円を横領して自分の趣味に使った。</t>
        </is>
      </c>
      <c r="J966">
        <f>HYPERLINK("https://www.weblio.jp/content/横領", "词义详情")</f>
        <v/>
      </c>
      <c r="K966">
        <f>HYPERLINK("https://yourei.jp/横領", "查看例句")</f>
        <v/>
      </c>
    </row>
    <row r="967">
      <c r="A967" t="inlineStr">
        <is>
          <t>終える</t>
        </is>
      </c>
      <c r="B967" t="inlineStr">
        <is>
          <t>成功</t>
        </is>
      </c>
      <c r="C967" t="inlineStr">
        <is>
          <t>読み方：おえる
［動ア下一］［文］を・ふ［ハ下二］
１続けてきたことを済ませる。終わらせる。「学業を—・える」「収穫を—・える」⇔始める。
２続いてきたことが終わる。「仕事が—・えたら、つきあうよ」</t>
        </is>
      </c>
      <c r="D967" t="inlineStr">
        <is>
          <t>終えるとすぐ；終えると同時に；終えると間もなく；終えると高等教育</t>
        </is>
      </c>
      <c r="E967" t="inlineStr">
        <is>
          <t>行う；完成；置く；実行；達成</t>
        </is>
      </c>
      <c r="F967" t="inlineStr">
        <is>
          <t>話し終える；書き終える；食べ終える；聞き終える；語り終える</t>
        </is>
      </c>
      <c r="H967" t="n">
        <v>29</v>
      </c>
      <c r="I967" t="inlineStr">
        <is>
          <t>志願期を終えた後でようやく養成の正式な第一段階である修練期に入る。；早い時期に留学を終えて日本に帰国した卒業者は日本で運動の指導に当たった。；仕事を終えて自宅に戻ると、決まってそれらの樹と話をするという。；これが私に与えられた運命で、このまま私に生涯を終えろと言うのならッ!；チャージャーで訓練を終えた兵は大西洋での対潜水艦任務に従事した。；もしあいが先に死ねば、イクルは悲しみの中で人生を終えることになる。；そのままシーズンを終えることとなり、思い通りの活躍が出来なかった。；日程を終える頃には、激しく名残惜しさを感じるようにさえなっていた。；最後に私たちが撮影を終える約9日前に、私は家に帰りますと言った。；開業時に用意された車両は2006年までにすべて運用を終えた。；前年の撮影現場では病気を隠して役を演じきり、何とか無事に撮影を終えた。；イエスはこう言い終えると天にあげられ、神の右の座についたという。；船体をおおまかに完成させ進水を終えた後に行われることが一般的である。；そのため、1931年に解散を決議してその運動を終えることになった。；放送日当日の昼か夕方に収録が行われ、編集作業を終えた後に放送されていた。；一方で、使命を終えて事実上、管理が行われなくなった道も存在する。；女王になるための訓練をすべて終えた後に「アミダラ」の称号を授かる。；また娘や息子に迷惑がかからないように人生を終えるといつも言っていた。；笑い終えるまでに一定の時間がかかり、そのあいだのギル本体は無防備。；これは勝利で終えた戦いを象徴し、戦勝記念の一環である要素が反映している。；いずれも1990年代後半までに本体、対応ソフトとも販売を終えた。；契約の細部の見直しなどを終えてからイラクでの監督活動を再開した。；武器を捨て、白旗を揚げて我々の元に来るならば、我々は戦いを終える。；終盤の10月4日に膝痛で登録抹消されるとそのままシーズンを終えた。；ウィリアムズは人生を終えるまで、公的な事情に深い関心を持ち続けた。；ここに至って上方落語は復興期を終え、次の時代へ向かうこととなる。；戦いを終えたなるみ達は高等部へ進学し、1学期を終了する目前だった。；一連の配偶行動の中で、雌は交尾を終えると時々雄を食べる場合がある。；すべてのタイトルの可能性が消滅、1月を1勝4分4敗の成績で終えた。</t>
        </is>
      </c>
      <c r="J967">
        <f>HYPERLINK("https://www.weblio.jp/content/終える", "词义详情")</f>
        <v/>
      </c>
      <c r="K967">
        <f>HYPERLINK("https://yourei.jp/終える", "查看例句")</f>
        <v/>
      </c>
    </row>
    <row r="968">
      <c r="A968" t="inlineStr">
        <is>
          <t>おお</t>
        </is>
      </c>
      <c r="B968" t="inlineStr">
        <is>
          <t>成功</t>
        </is>
      </c>
      <c r="C968" t="inlineStr">
        <is>
          <t>［感］
１物事に感動したときに発する語。「—、きれいだ」
２意外なことに驚いたり不審に感じたりしたときに発する語。「—、驚いた」
３急に思い出したり思い当たったりしたときに発する語。「—、そうだ」
４承諾したり力強く応答したりするときに発する語。「—、合点だ」
５神事で霊を迎えたり送ったりするときに祭官の発する語。また、神楽で、曲の終わったときに唱える語。</t>
        </is>
      </c>
      <c r="D968" t="inlineStr">
        <is>
          <t>おおわが(4%)；おお信徒；おおざっぱな；おおご主人さま；おお御主人様</t>
        </is>
      </c>
      <c r="F968" t="inlineStr">
        <is>
          <t>おお神さま；おお寒い；おお父上；おお汝；おおみそか</t>
        </is>
      </c>
      <c r="G968" t="inlineStr">
        <is>
          <t>おおよそ；おおい；おおわ；おおかた；おおわれ</t>
        </is>
      </c>
      <c r="H968" t="n">
        <v>29</v>
      </c>
      <c r="I968" t="inlineStr">
        <is>
          <t>おお、多くの者はお前に対して沈黙を守る事を余儀なくされているのだ。；おお、あの尾根の蔭には人がいる、それは恐ろしいような興奮であった。；おお此の瞬間を境にして、俺は地獄に落ちねばならなかったのだ。；おお、僕があの人を愛してるってことは、あの人も自分で承知しているのさ!；「おお此身は」と思った時に、自分の顔に触れた袖は袖ではないものであった。；「おお、それでこの子の返事がわかった」とお父さんが笑いながら言った。；おお 私はそんなことをいってなにか挨拶をしたらしい。；おお、ここを私に教えてくれたあのお上さんは何といい人だろう!；可憐なおおような姫君に薫は期待のはずれた気はせず深い愛を覚えた。；しかし世話女房式な、おお、どこまでも世話女房式な女であった。；おお私は、あのかわいそうなお妃が馬車に乗って通られるところを見たよ!；ところがその爺は、おお、さうぢやつたか、あの時の太郎ぢやつたか?；非常におおざっぱに捉えると、力の大きさは以下のようになるだろう。；おお、私はそれを温めようとて、思わずも手をそれに触れるのである。；「おお、あれは何だ」 そのとき丁坊の眼に入ったものはなんであったか?；おお、そこには蝋燭の灯影に照し出されて、一人の青年が倒れていた。；おお、どんなことがあっても、どんなことがあってもおれは婆あを許しはせんぞ!；おお、月を見てなんの感じも起こさない地中海よ、お前は決して動かない。；「おお、逃げんか、逃げんかいうてな」 かやはなおも歯を出して笑う。；おお、お前たちすらも動かじと思うその場所から動かされる日が近いのを知っているか。；おお、なぜわたしはマチアの言うことを聞かなかったのであろう。；おお何とあなたの目は近いところにあるのでしょう。；「おお、あいつ等は、もう気が狂いかけたのか」 僕は、暗然となった。；「おお、これァ何だッ」 妙なものがお千の寝床の向う側に落ちていた。；おお夫れから最う一つ、是非とも何か一つの事を、熱心にお考え下さいますよう。；天に輝く星を眺めておお涼しいこととでも思ってるのであろう。；しかし近年は「おおぬま」「こぬま」の読み方をする者が増えている。；まあ大きくなりましたね、おお、よく似てゐるわね、うちの子に。；「家がある、おお、家がある」 焦生が前に立ってその家の門口へ行った。</t>
        </is>
      </c>
      <c r="J968">
        <f>HYPERLINK("https://www.weblio.jp/content/おお", "词义详情")</f>
        <v/>
      </c>
      <c r="K968">
        <f>HYPERLINK("https://yourei.jp/おお", "查看例句")</f>
        <v/>
      </c>
    </row>
    <row r="969">
      <c r="A969" t="inlineStr">
        <is>
          <t>大～</t>
        </is>
      </c>
      <c r="B969" t="inlineStr">
        <is>
          <t>成功</t>
        </is>
      </c>
      <c r="C969" t="inlineStr">
        <is>
          <t>読み方：おお
［形動ナリ］大きいさま。たっぷりしたさま。
「夏影のつま屋の下に衣裁(きぬた)つ我妹(わぎも)裏設(うらま)けてあがため裁たばやや—に裁て」〈万・一二七八〉
［接頭］名詞に付く。
１大きい、広い、数量が多い、などの意を表す。「—男」「—海原」「—人数」
２物事の程度がはなはだしい意を表す。「—急ぎ」「—地震」
３極限・根本などの意を表す。「—みそか」「—もと」
４序列が上位・年長であることを表す。「—先生」「—番頭」「—旦那」「—女将(おかみ)」
５おおよそ・大体の意を表す。「—ざっぱ」「—づかみ」
６尊敬・賛美の意を表す。「—御所」「—江戸」</t>
        </is>
      </c>
      <c r="H969" t="n">
        <v>0</v>
      </c>
      <c r="J969">
        <f>HYPERLINK("https://www.weblio.jp/content/大～", "词义详情")</f>
        <v/>
      </c>
      <c r="K969">
        <f>HYPERLINK("https://yourei.jp/大～", "查看例句")</f>
        <v/>
      </c>
    </row>
    <row r="970">
      <c r="A970" t="inlineStr">
        <is>
          <t>大雨</t>
        </is>
      </c>
      <c r="B970" t="inlineStr">
        <is>
          <t>成功</t>
        </is>
      </c>
      <c r="C970" t="inlineStr">
        <is>
          <t>読み方：おおあめ
大量に降る雨。「—注意報」⇔小雨(こさめ)。</t>
        </is>
      </c>
      <c r="D970" t="inlineStr">
        <is>
          <t>大雨時；大雨等；大雨被害；大雨による浸水被害；大雨洪水注意報</t>
        </is>
      </c>
      <c r="E970" t="inlineStr">
        <is>
          <t>土砂降り；どしゃ降り；豪雨；猛烈な雨；集中豪雨</t>
        </is>
      </c>
      <c r="F970" t="inlineStr">
        <is>
          <t>顕著な大雨；局地的な大雨；ひどい大雨；大規模な大雨</t>
        </is>
      </c>
      <c r="G970" t="inlineStr">
        <is>
          <t>大雨特別警報；大雨注意報；大雨洪水警報；大雨情報</t>
        </is>
      </c>
      <c r="H970" t="n">
        <v>29</v>
      </c>
      <c r="I970" t="inlineStr">
        <is>
          <t>地面の下からあまり出てくる事はないが、大雨の時には外に出てくる。；信号機は大雨の中でも正確に点灯するものだ という考えからであった。；大雨の中多勢の襲撃に守備兵は怖じ気づいて天満方面へ逃げてしまった。；また上流域などの大雨時も、増水により危険であるため使用中止となる。；大雨が降った場合、これが一気に流れ下って土石流となる可能性がある。；そんなある日、大雨で純の友人・チンタの家の畑が大きな被害を受ける。；更に儀式の最中に大雨となり、貴族の中には途中で帰ってしまった者が多くいた。；橋が崩落した原因は橋の支持材が大雨により損傷していたことである。；しかしこの夜の大雨で苻堅が到着する前に、この計画は発覚してしまった。；日常行動において大雨の可能性がある場合、以下のような情報を利用できる。；これは、しばしば大雨で下部が水没するためであると推定されている。；大雨でパレードが台無しになったが、このイベントは印象的なものだった。；そしてあるときの大雨のさい不通になって以来運行されなくなったという。；九州・四国で大雨による被害が発生し、後に局地激甚災害に指定された。；そしてこのときの大雨は関東地方の多くの田畑に甚大な被害をもたらした。；大雨のたびに流されたため、馬の鞍の形をした橋をかけたことに由来するという。；結果、大雨が降った時に雨水を処理できなくなり洪水被害の原因になった。；近年では、昭和51年に大雨で堤防が決壊し、大きな被害を出している。；するとたちまちのうちに大雨が降り国中が潤ったのであった。；日本列島には上陸はしなかったが、前線を刺激して各地に大雨の被害を出した。；また日本海側の前線の影響で北海道や東北地方北部でも大雨となった。；繁殖時は淡水から離れ海に移動するが、移動には大雨が必要である。；また、大雨や雪に遭ったため、士卒の多くが死に、慕容熙は軍を引いた。；当日は長崎地方に大雨・雷警報が出ていたが、1万人の観客が会場を埋めた。；今後は過去の大規模な大雨災害があった地域から優先的に改善基準に移行するという。；アマゴーサキャニオンを除き、水は稀に来る大雨の後しか流れない。；前日には台風の影響から大雨が降り、当日の馬場状態は「重」となった。；大雨による降水はその地域の水環境に大きな影響力を持っている。；決勝は大雨の中ペースカーが先導する中スタートし、数周後に中止が決定した。</t>
        </is>
      </c>
      <c r="J970">
        <f>HYPERLINK("https://www.weblio.jp/content/大雨", "词义详情")</f>
        <v/>
      </c>
      <c r="K970">
        <f>HYPERLINK("https://yourei.jp/大雨", "查看例句")</f>
        <v/>
      </c>
    </row>
    <row r="971">
      <c r="A971" t="inlineStr">
        <is>
          <t>多い</t>
        </is>
      </c>
      <c r="B971" t="inlineStr">
        <is>
          <t>成功</t>
        </is>
      </c>
      <c r="C971" t="inlineStr">
        <is>
          <t>読み方：おおい
［形］［文］おほ・し［ク］
１数や量がたくさんある。物事がたびたび起こる。「商店が—・い」「交通事故が—・い」「—・いの少ないのと文句をつける」⇔少ない。
２全体の中で占めている割合が大きい。「子供に—・い病気」→多かり→多く
[補説] 「多し」は、中古には訓点語系に用いられ、和文系統には、連用形「多く」を除いて「多かり」の系列が用いられた。
[派生]おおさ［名］
[下接句]気が多い・命長ければ恥多し・歓楽極まりて哀情多し・好事魔多し・花の命は短くて苦しきことのみ多かりき</t>
        </is>
      </c>
      <c r="D971" t="inlineStr">
        <is>
          <t>多いため(2%)；多い地域；多い傾向；多い順；多い地形</t>
        </is>
      </c>
      <c r="E971" t="inlineStr">
        <is>
          <t>多くの；たくさん；大量；沢山；膨大</t>
        </is>
      </c>
      <c r="F971" t="inlineStr">
        <is>
          <t>場合も多い；非常に多い；方が多い；圧倒的に多い；ほうが多い</t>
        </is>
      </c>
      <c r="G971" t="inlineStr">
        <is>
          <t>多いい</t>
        </is>
      </c>
      <c r="H971" t="n">
        <v>29</v>
      </c>
      <c r="I971" t="inlineStr">
        <is>
          <t>そのような文化もあり、生物の和名には肉の色が採用されることが多い。；ただし後述の派生版にはこの4枚の新カードが含まれていない事が多い。；中古車市場では、極端な多走行車であっても取引が行われる事例がある。；また総務、制作などの部門とは採用枠が別に設けられていることも多い。；ただし、不特定または多数人の生命・身体・財産であるとする説もある。；登場人物は男女を問わず手袋・眼鏡を着用しているキャラクターが多い。；杉村自身も手紙の多さに驚き、笠の人気の高さに感動したと述べている。；それがその生涯に多かれ少なかれ影響を与えたことだけは言えると思う。；しかし、かつては悪い思い出が多すぎるためあまり行かなかったという。；前者はポーランドに近い西部に多く、後者はロシアに近い東部に多かった。；特別部門の例は数多いが、年に1部門より多かったことは数回しかない。；台風の通過・被害が多いが、九州のほかの県と比べると少ない方である。；休刊と称していても、実際には復活せずそのまま廃刊となることも多い。；各藩の城下町だった地域には、現在も武家屋敷等が残っている所が多い。；携帯電話の多機能性を活用して通信以外の用途へ使用する研究が進みつつある。；獣肉を食べることを禁じられていた仏教徒の多い国ではより重視される。；恋多き存在だと昔から何度も聞いていたし、それは今も変わらないだろう。；総攻撃を突破した後にボスが出現するという構成を取るステージが多い。；そして、優秀な人間が多ければ多いほど、成功の可能性はより高くなる。；ハブの中には多機能なものもあるが、主要な機能は以下の二つである。；細胞が単列に並んでいるものが多いが、多列に並んでいるものもいる。；また、セキュリティホールの多さと対応の遅さもこの時期に表面化した。；印刷物には文字だけでなく挿し絵などの図版も必要とされることが多い。；農業中心の社会ではローマ暦のように春を年初とみなす場合が多かった。；飾りが多ければ多いほど往復を繰り返すための体力がある証拠でもある。；通常のトラフィックは中継されるのに数時間待たされることが多かった。；一方、マーラーはその一徹な性格から周囲の反発を買うことも多かった。；この形であれば多変数の の場合にも意味を持たせることができる。；そのようなコースでは適当な言語のコンパイラを実際に作らせることが多い。</t>
        </is>
      </c>
      <c r="J971">
        <f>HYPERLINK("https://www.weblio.jp/content/多い", "词义详情")</f>
        <v/>
      </c>
      <c r="K971">
        <f>HYPERLINK("https://yourei.jp/多い", "查看例句")</f>
        <v/>
      </c>
    </row>
    <row r="972">
      <c r="A972" t="inlineStr">
        <is>
          <t>大いに</t>
        </is>
      </c>
      <c r="B972" t="inlineStr">
        <is>
          <t>成功</t>
        </is>
      </c>
      <c r="C972" t="inlineStr">
        <is>
          <t>読み方：おおいに
［副］《形容動詞「大いなり」の連用形から》非常に。はなはだ。たくさん。「—感謝している」「今夜は—飲もう」</t>
        </is>
      </c>
      <c r="D972" t="inlineStr">
        <is>
          <t>大いに喜ん；大いに驚い；大いに楽しん；大いに役立つ；大いによろこび</t>
        </is>
      </c>
      <c r="E972" t="inlineStr">
        <is>
          <t>多く；よく；特に；最も；非常</t>
        </is>
      </c>
      <c r="F972" t="inlineStr">
        <is>
          <t>大いに嘆き悲しん；大いに物議を醸し；大いに賞めて；大いに面目をほどこし；大いに我が意</t>
        </is>
      </c>
      <c r="H972" t="n">
        <v>29</v>
      </c>
      <c r="I972" t="inlineStr">
        <is>
          <t>長期戦となっておれば、日本の国境線は大いに変わっていたと言われる。；うまくできたら大いに、失敗しても叱らないことが重要であるとされる。；彼らそれぞれのレストランが大いにボストンの食の地位を向上させた。；南北朝時代には大いに音韻の学問が発達したが、現存する著作は少ない。；これはLPやCD時代の演奏技術の編集にも大いに影響を与えている。；このような作風に高橋留美子は大いに影響を受けたと後に述べている。；助はこの話を大いに不思議に思ったけれど、残っていた膾を湖に捨てさせた。；なおこの技術はコンパクトカメラでも大いに活用されたものである。；築城には義父となった秀吉の意向が大いに働いていると言われている。；手塚は受け取りこそしなかったが、二人の行為に大いに勇気づけられた。；このように文化的にも政治的にもギリシアが大いに発展した時代でもあった。；その一方で、歩協が城に攻めかかると出撃してその軍を大いに破った。；人生初めての鉄道畑以外の仕事であったが、研究者達を大いに励ましたという。；カールは老帝から大いに信頼され、次のような評価を受けている。；このためか角倉家は大いに発展し、東南アジアにまで進出するに至る。；これから我々がどんな面白いショーをお見せするか、大いにご期待を請う。；そのことも茶漬けという食形態の定着に大いに関係したと推測される。；マディソンはその勉強好きを「大いにあの人」に負っていたと言っていた。；これは従来の馬を駆動力とした脱穀よりも安くつき、大いに成功した。；この学位授与はゲッベルスの知識人としてのプライドを大いに満足させた。；これを大いに喜んだ義満は将軍になった後も毎年赤松屋敷を訪ねてこれを見たという。；この時オットーはハンガリーの人々に注目され、大いに人気を集めたという。；このペンシルバニア鉄道での経験は後の成功に大いに役立っている。；金属を持たない触媒として近年大いに注目されている分野である。；これはファンに大いに喜ばれ、これを模したエアソフトガンも発売された。；ゴアの政策のおかげでインターネットの発展は大いに促進された。；第27王朝はペルシア支配の時代であり、エジプト人は大いに反発した。；大勝利にローマ兵達は大いに溜飲を下げたが、マリウスの戦いはまだ続いていた。；既存の宗教・政治勢力を覆したため恨みを買う要素は大いにあったと思われる。</t>
        </is>
      </c>
      <c r="J972">
        <f>HYPERLINK("https://www.weblio.jp/content/大いに", "词义详情")</f>
        <v/>
      </c>
      <c r="K972">
        <f>HYPERLINK("https://yourei.jp/大いに", "查看例句")</f>
        <v/>
      </c>
    </row>
    <row r="973">
      <c r="A973" t="inlineStr">
        <is>
          <t>覆う</t>
        </is>
      </c>
      <c r="B973" t="inlineStr">
        <is>
          <t>成功</t>
        </is>
      </c>
      <c r="C973" t="inlineStr">
        <is>
          <t>読み方：おおう
［動ワ五（ハ四）］
１あるものが一面に広がりかぶさってその下のものを隠す。「雲が山の頂を—・う」「落ち葉に—・われた道」
２表面にある物を広げて、その物を外界からさえぎられた状態にする。「ベールで顔を—・う」「目を—・うばかりの惨状」
３すみずみまで行き渡って、いっぱいに満たす。「あたりは闇(やみ)に—・われた」「場内を—・う熱気」
４本当のことがわからないように、つつみ隠す。
「お師匠様の名によって、おのれの非を—・おうとするのは」〈倉田・出家とその弟子〉
５全体をつつみ含む。「これを、ひと言で—・えば…」
６広く行き渡らせる。
「威をあまねく海内(かいだい)に—・ひしかども」〈太平記・一一〉
[可能]おおえる
[用法]おおう・かくす——「おおう」は、表面に何かを広げて、中の物を隠したり、保護したりする動作。「布団をシーツでおおう」◇「隠す」は他人の目に触れないようにすることに重点があり、「両手で顔を隠す」は、両手で顔をおおって顔が見えないようにすること。◇見つからないようにしまい込んだりするのも「隠す」。「おおう」という方法で「隠す」のが「おおいかくす」で、この場合「かくしおおう」とはならない。◇類似の語に「かぶせる」がある。「かぶせる」は「帽子をかぶせる」「ふとんをかぶせる」のように上に何かをのせて、下の物を見えないようにしたり、保護したりすること。</t>
        </is>
      </c>
      <c r="D973" t="inlineStr">
        <is>
          <t>覆うべく；覆う黒い；覆うたれ；覆う白い；覆う薄い</t>
        </is>
      </c>
      <c r="F973" t="inlineStr">
        <is>
          <t>すっぽりと覆う；覆う大型鱗；覆う背甲；覆うほど発達；覆う厚い</t>
        </is>
      </c>
      <c r="H973" t="n">
        <v>29</v>
      </c>
      <c r="I973" t="inlineStr">
        <is>
          <t>周囲はほぼパーティションで覆われており独立した部屋状になっている。；黒色の毛に覆われており、たいていは胸・腰のあたりに白い模様がある。；ブルーメンインゼル・ジーベンベルゲンは夏には花の美しさで覆われる。；Aの元恋人でもあったCは殺害が行われる間手で目を覆っていたという。；プー・パンと呼ばれる山が県の西部にあり、山は厚い森に覆われている。；靴はそれ以外の履物に比べ覆う面が多いため、足を保護する効果が高い。；これらの気門の形は種類によって異なり、保護用の剛毛に覆われている。；皮とは生物の表面を覆う組織であり、人類は特に動物の皮を利用してきた。；山は雪で覆われることが多いものの、その雪は雨によってすぐに消える。；それが私の自首一つですっかり覆えされてしまうのだと気がつきました。；幼鳥は親と同じくらいの大きさになるまで白っぽい産毛に覆われている。；判読困難なものがあるが、ほぼ全ての表面がこれらの文章で覆われている。；この地形は、暗い堆積物に覆われたクレーターであると考えられている。；駅舎はないが、ホームにプラスチック製の屋根で覆われた待合所がある。；そして壁と扉に覆われた閉じた室でその内部に間仕切りが無かった。；烏と名前がついているが、猛禽類と似た羽毛に覆われているものが多い。；他の鬼と違い、額の鬼面が肥大化し顔全体を覆うデザインとなっている。；軌道部分を含めたホーム全体が開業当時からの上屋で覆われている。；ホーム全体が1955年に営業を再開した当時からの上屋で覆われている。；江戸時代の絵図によると、当時は三保半島のすべてが松で覆われていた。；登場後にすべての側面窓をポリカーボネート板で覆う改造工事がなされた。；その羽毛は体の大部分を覆っており、口吻の先端近くから発生している。；王室や教会を除いては、床を覆うことができないほど貴重なものとされた。；霧に覆われることが多く、また常に吹いている風の影響で木は生えていない。；これはベルン中央駅の西側入口となる線路上を覆った歩行者通路である。；また、男性用の貞操帯は陰茎を覆うための特殊な構造をもつ場合がある。；大気汚染は深刻で特に首都北京は風次第でしばしばスモッグに覆われる。；表情も大事であるが、顔の下半分がほとんど覆われていると表情も読めない。；雄はその名の通り喉が赤い羽毛で覆われるが、この特徴は雌には無い。</t>
        </is>
      </c>
      <c r="J973">
        <f>HYPERLINK("https://www.weblio.jp/content/覆う", "词义详情")</f>
        <v/>
      </c>
      <c r="K973">
        <f>HYPERLINK("https://yourei.jp/覆う", "查看例句")</f>
        <v/>
      </c>
    </row>
    <row r="974">
      <c r="A974" t="inlineStr">
        <is>
          <t>大売出し</t>
        </is>
      </c>
      <c r="B974" t="inlineStr">
        <is>
          <t>成功</t>
        </is>
      </c>
      <c r="C974" t="inlineStr">
        <is>
          <t>読み方：おおうりだし
商店で、ある特定の期間、値引きや福引きなどの催しをして商品を大量に販売すること。「中元—」</t>
        </is>
      </c>
      <c r="H974" t="n">
        <v>29</v>
      </c>
      <c r="I974" t="inlineStr">
        <is>
          <t>私は歳暮大売出しと大きな門をつくった内の三省堂に本をかいによった。；それは、新聞折り込みの大売出しの広告で、日づけは、四日前のだった。；彼は諸支払の合計を新聞に入つて来た呉服屋大売出しの広告紙の裏に記して見る。；ところが、町の化粧品やさんで、大売出しをやつてゐました。；まつりといっても別に何かを祭るわけではなく、要するに商店街の大売出しだ。；そこらの看板も大売出しの標示も英語だけというのが多かった。；空には軽気球がうかんでいて、百貨店の大売出しの広告文字がぶらさがっていた。；十二月も半ばを過ぎると、どこのデパートも年末の大売出しで忙しい。；街の大売出しの騒音がそれと二重になる。；日本で初めて「バーゲン」という語を用いて大売出しを行ったのも2代目代三郎の時代である。；大売出しの景気付けの音楽が聞えていた。；私の店では一ヶ年を通じて、毎日毎日が大売出しである。；商店街はすでに松飾りも済んで、暮の大売出しのビラが派手に並んでいる。；ちょうど夏のスポーツシャツや海水着の大売出しの日で、そうした売場には若い客がむらがっておった。；そこで私は大売出しに就いて、従来一度も計画したり、また実行した例はないけれど、日常絶えず売上げ高の平均増大に就いて考慮をめぐらして来た。；あるすてきにきれいな女の子のアパートに入って行ったら、眼の前にぶらさがっていたのは「大売出し」の赤い旗であった。；で、古道具屋を呼んで払い下げにしたらしいが、お吉のように骨董屋の大売出しで買った者はその中に盗品ではないものがあった場合、返してやることになったのだと通之進は説明した。；ファン・ヒューリックは、細胞レベルに至るまで気にくわぬ男だが、遺伝子の一部に異常なまでの軍事的才能が間借りしていることは事実なので、この男を大売出しにかけるわけにもいかなかった。；商店街の大売出しの費用を、商社時代の顔を生かして、いくつかの大会社に協賛広告の形で出させた。；大売出しの計画はもとより結構であろう。；疑いもなく、今日は冬物大売出しの日である。；その店はいま、在庫一掃の大売出しをしている。；以前のような全市的な大売出しは見られないものの、現在でもえびす講の時期になると西宮神社には多くの参拝者が詰めかける。；商店街は赤と白の幕を軒のあたりに引きまわし、福引券付大売出しをやっていて、賑やかだった。；「大売出し」と白く染めぬいた赤い旗が、雪に立てられ、初荷の馬が走るのも、いかにも街に来た感じだ。；毎年桃の節句前の2月25日に行われた白酒の大売出しでは江戸中から人が押し寄せ、風物詩となった。；それは、まるで桜祭大売出しの看板を掲げ、クラリネットを吹き、太鼓を打ち鳴らして街をいくチンドン屋の一隊のようである。；以前は三木地区で大売出しを催したときは混雑ができるほど繁華な商店街であったが、現在はシャッター街になっている。；平素に製造全能率、販売全能率を挙げつつあるならば、決してそこに大売出しを企てるべき余力が生じて来ぬ。</t>
        </is>
      </c>
      <c r="J974">
        <f>HYPERLINK("https://www.weblio.jp/content/大売出し", "词义详情")</f>
        <v/>
      </c>
      <c r="K974">
        <f>HYPERLINK("https://yourei.jp/大売出し", "查看例句")</f>
        <v/>
      </c>
    </row>
    <row r="975">
      <c r="A975" t="inlineStr">
        <is>
          <t>大方</t>
        </is>
      </c>
      <c r="B975" t="inlineStr">
        <is>
          <t>成功</t>
        </is>
      </c>
      <c r="C975" t="inlineStr">
        <is>
          <t>読み方：おおかた
［名］
１物事や事柄の大体。大部分。あらかた。「—は理解できた」「給料の—が食費に消える」
２普通の物事。世間一般。世間一般の人。「—のご希望に添いたい」
［副］
１だいたい。大部分。あらかた。「仕事は—かたづいた」
２恐らく。たぶん。「—寝坊でもしたのだろう」
３（多く、話を切り出すときに用いて）大づかみに言えば。だいたい。およそ。そもそも。
「—、この京のはじめを聞ける事は」〈方丈記〉
４（否定の語を伴って）いっこう。全然。
「人を遣りて見するに—逢へるものなし」〈徒然・五〇〉
［形動ナリ］普通であるさま。一般的なさま。ひととおり。
「世にある人の有様を、—なるやうにて聞き集め、耳とどめ給ふ」〈源・末摘花〉</t>
        </is>
      </c>
      <c r="D975" t="inlineStr">
        <is>
          <t>大方そんなこと；大方忘れ；大方こんな；大方想像；大方洞</t>
        </is>
      </c>
      <c r="E975" t="inlineStr">
        <is>
          <t>多く；主；ほとんど；一般；主に</t>
        </is>
      </c>
      <c r="F975" t="inlineStr">
        <is>
          <t>大方御；大方散り；大方そんなことだろ</t>
        </is>
      </c>
      <c r="G975" t="inlineStr">
        <is>
          <t>大方殿；大方広仏華厳経；大方町；大方山；大方四万十道路</t>
        </is>
      </c>
      <c r="H975" t="n">
        <v>29</v>
      </c>
      <c r="I975" t="inlineStr">
        <is>
          <t>別に一冊となして大方に示さんとの望みは著者はじめよりこれを有せず。；それが今まで聞えなかったのは、大方風の加減か何かだったのでしょう。；芝居を書くといふことのうちには、芝居を観る楽みも大方含まれてゐる。；奥さんは大方極りが悪いのだろうといって、ちょっと私の顔を見ました。；私の字のかかれる時には大方の時心の底にはこの美の力が発動して居る。；大方、その時はもう死骸について何か話をしてあったかも知れませんね。；もちろんあなたや大方の批評家たちから見れば棒ふり剣術にちがいない。；兄がこの近所に学校の後輩の家があるといつたが、大方それだらうか。；大方逃げる奴の亡びてしまふ所だから、そんな名が付いてゐるのだらう。；教場へ出て何の事じゃ、大方そのせいで雑所様に叱られたものであろう。；大方胡麻の蠅も気が強えと云つたら、面を見たばかりでも知れべいわさ。；「大方こんなことだと思っていました」と刑事は驚いた様子もなく言った。；芝居を書くと云ふことのうちには、芝居を見る楽しみも大方含まれてゐる。；昨夜は気がつかなかったが、大方外に立てかけられてあったのであろう。；日本の著名な山岳の頂上は、大方佛者等によつて開かれたものであつた。；さうだ、私はそれについての人間に関した部分の事を大方忘れてゐた。；王仁の消えて失くなることは先ずもって大方の希望であったに相違ない。；能登守の一行も御番所へ着いた時分には、大方その席が満ちていました。；大方女は、男にどれほどの熱意があるかを試してみようとしたのであろう。；鏡花の初期の作は、後になつて大方その箱の中から取り出して読んだ。；わたしの体のまっ黒になったのも、大かたそのせいかと思っています。；ビルダドでなく、彼が大方のおしゃべりや命令をやっているようだった。；しかしこのグループが最初であることについては大方の合意が得られている。；私はもうこれで言わねばならぬ大方のことを申し上げたつもりです。；又、大方の女というものがどういうものであるかも知悉した積りでいた。；郊外の空き家になった日本人家屋は、大方が天井や床が剥がされていた。；大方、自分を討ちに帰ってきたのだと、彼は小さくなって震えていた。；彼女は、もし出来たら、その箱をあけてみようと、大方決心していました。；大方昨日も私の帰りを待ちかねて、此処らまで迎えに出ていたのであろう。</t>
        </is>
      </c>
      <c r="J975">
        <f>HYPERLINK("https://www.weblio.jp/content/大方", "词义详情")</f>
        <v/>
      </c>
      <c r="K975">
        <f>HYPERLINK("https://yourei.jp/大方", "查看例句")</f>
        <v/>
      </c>
    </row>
    <row r="976">
      <c r="A976" t="inlineStr">
        <is>
          <t>大型</t>
        </is>
      </c>
      <c r="B976" t="inlineStr">
        <is>
          <t>成功</t>
        </is>
      </c>
      <c r="C976" t="inlineStr">
        <is>
          <t>読み方：おおがた
［名・形動］
１形が大きいこと。また、そのものや、そのさま。「—の魚」⇔小形。
２（大型）内容・規模が他のものより大きいこと。また、そのさま。「—の台風」「—の新人」「—バス」⇔小型。
３（大形）大きな形の模様。大きな柄(がら)。
「思い切ったる—の裕衣(ゆかた)に」〈一葉・にごりえ〉
[補説]1は多く「大形」とするが、「大型犬」などは「大型」と書くこともある。</t>
        </is>
      </c>
      <c r="D976" t="inlineStr">
        <is>
          <t>大型化(8%)；大型トラック；大型機；大型店；大型種</t>
        </is>
      </c>
      <c r="E976" t="inlineStr">
        <is>
          <t>大柄；大振り；大形；大ぶり；ビッグサイズ</t>
        </is>
      </c>
      <c r="F976" t="inlineStr">
        <is>
          <t>大型トレーラー；大型哺乳類；大型タンカー；大型スクリーン；大型空母</t>
        </is>
      </c>
      <c r="G976" t="inlineStr">
        <is>
          <t>大型船；大型商業施設；大型犬；大型車両；大型船舶</t>
        </is>
      </c>
      <c r="H976" t="n">
        <v>29</v>
      </c>
      <c r="I976" t="inlineStr">
        <is>
          <t>これまでの科学調査の結果に、大型爬虫類の存在を肯定するものはない。；またコンサートなど大型イベントの開催も行うなどの動きもある。；スカートが当初より大型タイプとなり、パンタ台の形状も変化している。；大型の店舗は駅の近辺よりもこれらの主要道路沿いに集中している。；ホームには2台以上の大型総合案内板が1987年より設置されている。；業務用エアコンは、大型のものや各種原動機を使用したものが存在する。；この新市域にイスラエルは大型のユダヤ人入植地を次々と建設している。；陸棲種では腹甲が大型になり、水棲種では腹甲が小型になる傾向がある。；鳥取県産の木材を使用し、大型ガラスを利用した採光を特徴としている。；家庭用の数本用の小型のものから、大型の数十本入るものまである。；熱効率は良いので必要な出力が得られるまでエンジンを大型化することができる。；この場合には軌道を大型の鉄道車両が走行していることになる。；この問題は、オランダがバス船と呼ばれる大型漁船を投入することで解決した。；一般の旅客輸送はトロトロや大型の都市間バスなどが主体となっている。；時を同じくしてシネマスコープの導入にともない映画は大型化。；内臓などを除かず魚を丸ごと用いたり、大型の魚は切断する場合もある。；大型の口を持つ魚食性の種類と、小さな口の小動物食性の種類がいる。；初期の大型兵器は石などを遠くに飛ばす為この力を利用した。；このころから、中小商店から大型店への人の流れが急速に移行しつつあった。；オスとメスの大きさは同じか、多くの種ではメスのほうが大型化する。；ここでは大型彫刻への資源集中が大きな政治的影響力を有していた可能性がある。；各車両一部座席を撤去し、大型の荷物を置くことができる荷物スペースを設置している。；かつては駅舎と大型の待合所を設けていたが、ともに解体された。；しかし、大型の蒸気機関については現代でも積極的に利用されている。；楽箏のものは小さく低いが、大音量を求める近代のものは大型になっている。；機器内部に封入された気体で冷却するもので、主に大型機器に用いられる。；多くの哺乳類と同様に頸椎の数は7個であるが、それぞれが大型かつ長い。；大地はジャストシステムが開発・販売していた、大型のDTPシステム。；またエジプトなどから大型のウシガエルも移入されて養殖されている。</t>
        </is>
      </c>
      <c r="J976">
        <f>HYPERLINK("https://www.weblio.jp/content/大型", "词义详情")</f>
        <v/>
      </c>
      <c r="K976">
        <f>HYPERLINK("https://yourei.jp/大型", "查看例句")</f>
        <v/>
      </c>
    </row>
    <row r="977">
      <c r="A977" t="inlineStr">
        <is>
          <t>狼</t>
        </is>
      </c>
      <c r="B977" t="inlineStr">
        <is>
          <t>成功</t>
        </is>
      </c>
      <c r="C977" t="inlineStr">
        <is>
          <t>読み方：おおかみ
１《「大神」の意》食肉目イヌ科の哺乳類。中形で、吻(ふん)が長く、耳は立ち、先がとがり、尾が太い。ヨーロッパ・アジア・北アメリカに分布。春から夏にかけて家族単位で暮らし、冬には群れをつくって共同で狩りをし、大形のシカなども襲う。亜種にヨーロッパオオカミやシンリンオオカミ、別種に絶滅したニホンオオカミなどがある。《季冬》→日本狼
２優しそうに装っているが、実際は恐ろしい人。「送り—」
３《「狼に衣」のことわざから》破戒僧。
「—へ犬のついてる御殿山」〈柳多留・二四〉</t>
        </is>
      </c>
      <c r="D977" t="inlineStr">
        <is>
          <t>狼たち；狼面衆；狼ども；狼吠山；狼群</t>
        </is>
      </c>
      <c r="E977" t="inlineStr">
        <is>
          <t>ウルフ；オオカミ</t>
        </is>
      </c>
      <c r="F977" t="inlineStr">
        <is>
          <t>狼面；賢狼；雌狼；黒狼；灰色狼</t>
        </is>
      </c>
      <c r="G977" t="inlineStr">
        <is>
          <t>狼藉；狼男；狼煙；狼狽え；狼人間</t>
        </is>
      </c>
      <c r="H977" t="n">
        <v>29</v>
      </c>
      <c r="I977" t="inlineStr">
        <is>
          <t>そこで狼に育てられた少年の住む、インドの森について書いたのだった。；イワンが2番目の道を選んで進むと、灰色狼が現れて馬を殺してしまう。；このかかわりは本種の作出の際に狼の血が加えられたことだけではない。；但し狼に育てられていた所を見たという目撃証言がない点も共通である。；その星を発見した少年・九狼は星を9つに分け、それぞれを刀にした。；狼の野郎共は何んの事はねえ、舌なめずりをして喉をぐびつかせたのよ。；少女が狼の化身であることを知ったロレンスは、彼女を旅の供に迎えた。；雨の日も雪の日も野外で生活し、泥棒や狼から羊を命がけで守っていた。；しかし、途中でロザリーンは姿を隠し、少年は狼を見て村へとんで帰る。；白い狼が わたしの胸で、わたしの腹で、 うをう うをうとほえてゐる。；これは雪狼突撃隊の存在が初めて公に確認された機会でもあった。；イワンが悲しんで歩いていると先ほどの狼が現れて馬の代わりをするという。；いくつかの神話では、リュカーオーンは狼に変身したと伝えられている。；狼が眠っているのを見て、彼らは腹の中から赤ずきんと祖母を救い出す。；ナコルルのせいで親が死んだ子狼をレラが育てたという設定になっている。；ある日、老和尚は崖にある小道を歩いていたところ、一匹の狼に出会った。；その時ドアをノックする音が聞こえると、ママに化けた狼が立っていた。；釜茹でにされ死んだ狼を子豚は料理すると、そのまま食べてしまった。；長老衆と呼ばれる妖狼族は人型ではなく大型の狼の姿をしている。；数頭でかかれば泥棒だけでなく、狼をも殺すことができるともいわれている。；この星座を狼とみなすようになったのはルネサンス期以降のこととされる。；狼を神使とする狼信仰の神社で、神犬の数を75匹とする特徴を持つ。；この狼はルプス・ジガンティクスと称し、最も兇猛な種属であると云う。；それは人間の概念ではなく、狼の概念で物事を見るからであろう。；なお、その際は本来の効用もしっかり発揮され、狼にも変身していた。；契約では、作品上重要な役割を担う狼は、ソ連側が用意することになっていた。；ベレンは狼に偽装したままモルゴスの玉座の下に逃げこむように入った。；それらは、3種の動物宗教、熊・いのしし・狼で見られるようになった。；ストーリーは小狼を操作して主に原作に沿って進むが、オリジナルの展開になることもある。</t>
        </is>
      </c>
      <c r="J977">
        <f>HYPERLINK("https://www.weblio.jp/content/狼", "词义详情")</f>
        <v/>
      </c>
      <c r="K977">
        <f>HYPERLINK("https://yourei.jp/狼", "查看例句")</f>
        <v/>
      </c>
    </row>
    <row r="978">
      <c r="A978" t="inlineStr">
        <is>
          <t>大柄</t>
        </is>
      </c>
      <c r="B978" t="inlineStr">
        <is>
          <t>成功</t>
        </is>
      </c>
      <c r="C978" t="inlineStr">
        <is>
          <t>読み方：おおがら
［名・形動］
１体格が普通より大きいこと。また、そのさま。「—な人」⇔小柄(こがら)。
２模様や縞柄(しまがら)が普通より大きいこと。また、そのさま。「—なネクタイ」⇔小柄(こがら)。</t>
        </is>
      </c>
      <c r="D978" t="inlineStr">
        <is>
          <t>大柄な男(8%)；大柄な体格(4%)；大柄な女(3%)；大柄な身体；大柄な体躯</t>
        </is>
      </c>
      <c r="E978" t="inlineStr">
        <is>
          <t>大型；太い；上手；失礼；傲慢</t>
        </is>
      </c>
      <c r="F978" t="inlineStr">
        <is>
          <t>大柄な騎士；大柄なボディ；若い大柄；比べて大柄；大柄な老人</t>
        </is>
      </c>
      <c r="H978" t="n">
        <v>29</v>
      </c>
      <c r="I978" t="inlineStr">
        <is>
          <t>また当時の人の中では大柄であったため、非常に目立つ人物でもあった。；「われわれは街から撤退を始めた」大柄なリヴァ人が低い声で報告した。；これはあの大柄で人の好さそうな貨幣一円銀貨があった時分の話である。；この類では比較的大柄で、それに青みを帯びた葉が美しいので栽培される。；大柄の女が着たものと見えて、小男の私には寸法も打ってつけであった。；女の片手は、きつすぎるような青い服を着た大柄な若者の腕にかかっていた。；朝顔形の鼻孔をした大柄な顔付きで肩までかかる黒い髪をたらしていた。；二十一だとかいつたが少し大柄であつたので二つ三つは隠して居るかと思はれた。；また大柄であり、父が太子であった頃から既に大人の体格をしていた。；一人は皺だらけの小さな老人で、あとの一人は大柄のやせた男である。；案内されて入ってきたのは、見るから正直そうな大柄な女であった。；体は大柄で、こんな大女じゃとても優雅な踊りなどできないだろうと思った。；彼の前には蒼い長手な顔の紫色の唇をした大柄な女の姿が浮んでいた。；大柄というほどでもないのだが、スクリーンの上では存分に大きく見えた。；大柄な少年の場合には、両手をそれぞれ九回ずつ打つきまりになっていた。；この二人は他の仲間よりも少し背が高く、やや大柄だが、決して品は悪くない。；ドアの内側には、大柄な、青い服の、無感覚に見える巡査が立っていた。；普通種の中ではやや大柄ではっきりした色彩なのでわかりやすい。；その女たちのなかに、大柄で力が強くて顔の左側に深い傷のあるやつがいたかね?；そこには三十前後の眼つきの鋭い大柄な男がおりました。；さらにフルートは、大柄なパンディオン騎士に向かって両手を伸ばした。；一番大柄な騎士がさらに前に進み出て、ギーシュたちに杖を突きつけた。；主にイベント時に出現する大柄な人型の敵で鎖鎌を引きずっている。；大柄で流線型をしており、他の大型メジロザメ類と区別することは難しい。；この型のもので大柄なのはキバナヘイシソウで、葉の高さは1m近くなる。；その男は非常に肥満した大柄の男で、老人でもなければ、若くもなかった。；一人は、てきぱきした言葉使いをする、眼付のしっかりした大柄な女だった。；その男は大柄のたくましい男で、頭部にはきれいにかみそりをあてている。；相手は五十を二つ三つ越した色の黒い大柄な男である。</t>
        </is>
      </c>
      <c r="J978">
        <f>HYPERLINK("https://www.weblio.jp/content/大柄", "词义详情")</f>
        <v/>
      </c>
      <c r="K978">
        <f>HYPERLINK("https://yourei.jp/大柄", "查看例句")</f>
        <v/>
      </c>
    </row>
    <row r="979">
      <c r="A979" t="inlineStr">
        <is>
          <t>大きい</t>
        </is>
      </c>
      <c r="B979" t="inlineStr">
        <is>
          <t>成功</t>
        </is>
      </c>
      <c r="C979" t="inlineStr">
        <is>
          <t>読み方：おおきい
［形］《形容動詞「おおきなり」の形容詞化。室町時代以後使われた》
１ある物の形・容積・面積などが、広い空間・場所を占めている。「—・い箱」「からだの—・い人」⇔小さい。
２量・数が多い。「質量が—・い」「声が—・い」「一〇より小さく一より—・い数」⇔小さい。
３程度がはなはだしい。「懸隔が—・い」「—・く右にそれる」⇔小さい。
４規模が並を超えている。「—・い事業」「—・い病院」「—・い台風」⇔小さい。
５範囲が広い。「問題を—・く三つに分ける」
６心が広い。度量がある。包容力がある。「人物が—・い」⇔小さい。
７重要である。価値がある。「—・い事件」「あそこで点をとっておいたのが—・い」⇔小さい。
８年齢が上である。成長している。「—・い兄さん」「—・くなったら医者になりたい」⇔小さい。
９大げさである。「できもしないのに—・い口をきく」
10いばっている。偉そうだ。「—・い顔をする」
[派生]おおきさ［名］
[用法]おおきい・おおきな——「大きい」には「大きい家」「あの家は大きい」「大きくなる」「大きかった」のように活用があるが、「大きな」は「大きな家」「大きな打撃を受けた」のように体言の前にしか使わない。◇「大きい顔」と「大きな顔」とでは、前者は事実としての広さ、大きさを表しているが、後者は「大きな顔をする」のように主観的・心理的な判断を表す傾向がある。◇「大きな希望がわいてくる」「大きな過ちを犯した」など、抽象的な事柄を表す名詞にかかるときは、「大きい」よりも「大きな」を使うことが多い。これも「大きな」の上記のような特徴による。</t>
        </is>
      </c>
      <c r="D979" t="inlineStr">
        <is>
          <t>大きいもの(4%)；大きいため(3%)；大きい方；大きい場合；大きい声</t>
        </is>
      </c>
      <c r="E979" t="inlineStr">
        <is>
          <t>大；大きな；高い；重要；巨大</t>
        </is>
      </c>
      <c r="F979" t="inlineStr">
        <is>
          <t>非常に大きい；かなり大きい；差が大きい；一番大きい；方が大きい</t>
        </is>
      </c>
      <c r="G979" t="inlineStr">
        <is>
          <t>大きい圏；大きい帰納次元；大きいい；大きいく；大きいいい</t>
        </is>
      </c>
      <c r="H979" t="n">
        <v>29</v>
      </c>
      <c r="I979" t="inlineStr">
        <is>
          <t>その結果同じ画像をGIFにした場合よりサイズが大きくなってしまう。；ただし、と同様に、現在のは初期のものから非常に大きく変化している。；アメリカ合衆国のポピュラー音楽が今日に至るまで与えた影響は大きい。；全てのベクトルのように大きさと方向を持ち、これら両方が重要である。；中には装飾に耳たぶを伸ばして大きくする目的を持たせた文化圏もある。；事件が大きければ大きいほど、それだけ彼の功績は大きくなるのである。；プログラムが大きくなると、ビルドの完了を待っている時間が長くなる。；冬芽の大きさ、色や毛の生え具合は種を区別する上で大切な情報である。；海で数年かけて大きくなり、また産まれた川に戻り産卵した後死亡する。；実は、分割の大きさを極限で とすれば積分を定義するのに十分である。；石油が発見されて以来、州経済は石油産業の状況に大きく依存してきた。；さらにはより大きな音や激しい音を得るために木や石を叩いた可能性も大きい。；幸い命に別状はなかったものの、世間に与えた衝撃は非常に大きかった。；降海型は残留型よりもはるかに体が大きく、雄は産卵の際に有利である。；一方で、地盤の特性により思わぬところで揺れが大きくなる場合がある。；また、フランス語の影響を大きく受けた英語でも、同様の読み方をする。；物体の変形や破壊などに対する負担の大きさを検討するのに用いられる。；ここでの教育において特に影響が大きかったのはキケロの思想であった。；全体と同じ大きさを持つことの何がそこまで不合理なのでしょうか?；死亡時には首の後ろにあったコブが野球ボール大にまで大きくなっていた。；表水層と深水層との間には水温躍層と呼ばれる温度変化の大きい層がある。；一般の平面角の大きさは、単位となる角の大きさの実数倍で表しうる。；これは駅間距離の短さも手伝って日中の生活需要も大きいためである。；南米諸国の所得格差は、他の大陸を含めて最も大きいと考えられている。；それ以外の点も含めて、日本における写真の普及に果たした役割は大きい。；その後、S波が到達した後は主要動と呼ばれる比較的大きい揺れとなる。；しかしながら、素数間の間隔には平均よりもはるかに大きいものもある。；車両とホームとの隙間が大きい駅では可動式ステップを設置している。；威力が大きければ大きいほど、あなたの肉体にかかる負担も増加します。</t>
        </is>
      </c>
      <c r="J979">
        <f>HYPERLINK("https://www.weblio.jp/content/大きい", "词义详情")</f>
        <v/>
      </c>
      <c r="K979">
        <f>HYPERLINK("https://yourei.jp/大きい", "查看例句")</f>
        <v/>
      </c>
    </row>
    <row r="980">
      <c r="A980" t="inlineStr">
        <is>
          <t>大きな</t>
        </is>
      </c>
      <c r="B980" t="inlineStr">
        <is>
          <t>成功</t>
        </is>
      </c>
      <c r="C980" t="inlineStr">
        <is>
          <t>読み方：おおきな
［形動］《形容動詞「おおきなり」の連体形「おおきなる」の音変化》
１容積・面積が広い空間・場所を占めるさま。「—箱」「—池」⇔小さな。
２数・量が多いさま。「—音」⇔小さな。
３程度がはなはだしいさま。「—格差」⇔小さな。
４規模が並を超えているさま。また、範囲の広いさま。「—計画」「問題の—とらえ方」⇔小さな。
５重大・重要なさま。「—原因となっている」⇔小さな。
６年長であるさま。「—息子」⇔小さな。
７大げさであるさま。また、いばっているさま。「—ことを言う」「—態度」
→大きい［用法］
[補説] 「声の大きな人」のように、述語としても用いられるので、形容動詞と認められる。連体形だけが用いられる。</t>
        </is>
      </c>
      <c r="D980" t="inlineStr">
        <is>
          <t>大きな影響(5%)；大きな声(3%)；大きな音；大きな役割；大きな特徴</t>
        </is>
      </c>
      <c r="E980" t="inlineStr">
        <is>
          <t>大きい；たくさん；充分；大幅；重大</t>
        </is>
      </c>
      <c r="F980" t="inlineStr">
        <is>
          <t>非常に大きな；かなり大きな；もっと大きな；大きな成功；大きな衝撃</t>
        </is>
      </c>
      <c r="G980" t="inlineStr">
        <is>
          <t>大きな夢；大きな月；大きなお世話；大きな人形；大きな物語</t>
        </is>
      </c>
      <c r="H980" t="n">
        <v>29</v>
      </c>
      <c r="I980" t="inlineStr">
        <is>
          <t>他のソ連国民同様、第二次世界大戦は一家に大きな苦しみをもたらした。；このようなことが見られることが日本では大きな問題になっている。；さらに現代では、イギリスの植民地文化にも大きな影響を受けている。；しかしここで知遇を得たジョセフ・ベル教授からは大きな影響を受けた。；この頃、戦局の悪化は日本国内にも大きな被害を与えるようになっていた。；ニュースは敗戦・占領下で自信を失っていた日本国民に大きな力を与えた。；大きな契約や結婚、IDカードなど以外には通称を用いるのが普通である。；またこの絵にみられる実験や観察は医学に大きな発展をもたらした。；運ばれた物資は都の中にある大きな2つの市に送り、人々の生活を支えた。；この事件が競技中に起きたことから、全スポーツ界に大きな衝撃が広がる。；特に南部のサラーラには経済特区や大きなコンテナ港が設置されている。；電話通信には目に見えないところで大きな変化も起きている。；中央銀行はこの通貨量を調整する権限を持つため大きな影響力を持つ。；イラク側もこれを受け入れ、1998年頃までは大きな混乱はなかった。；しかし政府の統計ではこの年に大きなインフレーションは起こっていない。；日本でもPlayStationに大きな遅れをとることとなった。；これはゲームにおいてより大きな手と多くのプレイヤーの参加を許す。；この変革の背景には社会環境の変化が大きな影響を与えたと考えられている。；国のGDPと比較しても、過半数の国よりも大きな規模を有している。；この年にドイツが統一されたため、世界史の大きな転換点となった。；現代の科学者は、大きな科学共同体の中で生かされているような面がある。；この調子で損失が続けば、その数は極めて大きなものとなるだろう。；ツアーは大きな収益を上げたが、ステージ外の問題に悩まされていた。；第一次世界大戦は空前の戦死傷率を記録して、社会に大きな傷跡を残した。；ただし、多くの場合そこまで大きなハッシュテーブルは必要としない。；このことが後のプレスリーの音楽性に大きな影響を与えたとされる。；こっちへ行けばいいんだと示した点で、池田は大変大きな仕事をしたと思います。；また、詩が小説に先行していることも、その文章に大きな影響を与えている。；このとき中国は大きな不正会計事件で世界の注目を浴びていた。</t>
        </is>
      </c>
      <c r="J980">
        <f>HYPERLINK("https://www.weblio.jp/content/大きな", "词义详情")</f>
        <v/>
      </c>
      <c r="K980">
        <f>HYPERLINK("https://yourei.jp/大きな", "查看例句")</f>
        <v/>
      </c>
    </row>
    <row r="981">
      <c r="A981" t="inlineStr">
        <is>
          <t>多く</t>
        </is>
      </c>
      <c r="B981" t="inlineStr">
        <is>
          <t>成功</t>
        </is>
      </c>
      <c r="C981" t="inlineStr">
        <is>
          <t>読み方：おおく
《形容詞「おおい」の連用形から》
［名］
１たくさん。多くのもの。「—を望まない」
２大部分。「ファンの—は女性だ」
［副］ふつう。一般に。たいてい。「初心者は—こうした誤りをおかす」</t>
        </is>
      </c>
      <c r="D981" t="inlineStr">
        <is>
          <t>多く見られる；多く存在；多く含ま；多く用い；多く含む</t>
        </is>
      </c>
      <c r="E981" t="inlineStr">
        <is>
          <t>よく；ほとんど；主に；ほぼ；多数</t>
        </is>
      </c>
      <c r="F981" t="inlineStr">
        <is>
          <t>より多く；多く見；最も多く；非常に多く；あまり多く</t>
        </is>
      </c>
      <c r="H981" t="n">
        <v>29</v>
      </c>
      <c r="I981" t="inlineStr">
        <is>
          <t>このようなことから川には魚が多く、周囲の人たちの漁場になっている。；多くのRPGには全ての攻撃技の基本となる通常攻撃が実装されている。；北米やオーストラリアなど多くの国でそれに準じた処分が行われている。；多くの川では漁業も盛んであり、重要な食料供給源の一つとなってきた。；細野は1970年代に多くのアーティストの作品で演奏に参加している。；また多くの宗教で霊と呼ばれる形態の生物の存在を想定している。；海水はその表面に波が立っていることが多く、これは主に風の作用である。；以降、多くの出版社で青年向けの漫画雑誌を中心に執筆活動をしている。；また、低価格で信頼性が高いことから医療機器分野でも多く使用された。；アフリカから多くの黒人が大西洋を越えて新大陸へ奴隷として運ばれた。；しかし通常の使用には問題がなく、多くのカメラがこの方式を採用している。；その多くは有用なものであるが、中には以下のようなものも存在する。；その小説の多くはヨーロッパに住んでいるか旅しているアメリカ人を描いている。；多くの主要ウェブブラウザのUIには、以下のような共通の要素がある。；そのため、より多くの機材や医師を病院に配置することが求められている。；しかし、後には独自の拡張・工夫が、特に効率の面で多くなされている。；近代以降、多くの文学賞が創設され、作家の発掘と育成に貢献している。；これは魚類の進化の多くが大陸移動以前から起こってきたためである。；代数的グラフ理論は動的系や複雑性を含む多くの分野に応用されている。；キースの怒りと悲しみは、多くのロック・ファンの心情を代弁していた。；それが非常に多くのカーネル内のキャッシュミスの原因になっている。；英語をはじめとした多くの言語で、をそのまま翻字した語が採用されている。；兵庫県は様々な景色を持つため、多くの映像産業に積極的に協力している。；北宋に入ると木版印刷は広く普及し、多くの本が印刷されるようになった。；これはゲームにおいてより大きな手と多くのプレイヤーの参加を許す。；濃い黄色または琥珀色は、より多くの水を飲む必要があることを示している。；日本には多くのトルコ友好協会があり、交流が積極的に行われている。；競技に使用されるトラックは、多くの場合競技専用に開発された車両が使用される。；一方で、諸星はジャンルを越えた多くの著名人の作品に影響を与えている。</t>
        </is>
      </c>
      <c r="J981">
        <f>HYPERLINK("https://www.weblio.jp/content/多く", "词义详情")</f>
        <v/>
      </c>
      <c r="K981">
        <f>HYPERLINK("https://yourei.jp/多く", "查看例句")</f>
        <v/>
      </c>
    </row>
    <row r="982">
      <c r="A982" t="inlineStr">
        <is>
          <t>大口</t>
        </is>
      </c>
      <c r="B982" t="inlineStr">
        <is>
          <t>成功</t>
        </is>
      </c>
      <c r="C982" t="inlineStr">
        <is>
          <t>読み方：おおくち
《「おおぐち」とも》
１大きな口。大きく開けた口。「—を開けて笑う」
２おおげさなことをいうこと。偉そうにいうこと。「—をたたく」「—を利く」
３売買や取引などで、金額が多いこと。「—の寄付」⇔小口(こぐち)。
４茶道具の一。柄のない片口(かたくち)状の置き水指し。
５「大口袴(ばかま)」の略。
６猥談(わいだん)。
「まして色の道…—いふより外(ほか)はなし」〈浮・一代女・一〉</t>
        </is>
      </c>
      <c r="D982" t="inlineStr">
        <is>
          <t>大口径砲(5%)；大口需要(3%)；大口径化(3%)；大口顧客；大口屋</t>
        </is>
      </c>
      <c r="F982" t="inlineStr">
        <is>
          <t>大口融資；大口径機関砲；大口径弾；大口開け；大口径レンズ</t>
        </is>
      </c>
      <c r="G982" t="inlineStr">
        <is>
          <t>大口取引；大口城；大口袴；大口市；大口屋暁雨</t>
        </is>
      </c>
      <c r="H982" t="n">
        <v>29</v>
      </c>
      <c r="I982" t="inlineStr">
        <is>
          <t>大口電力供給のみならず一般供給においても供給区域の拡大がみられた。；セブンイレブンは立ち上げの際から取引を行っている大口の得意先である。；クレイは部下と支社を守るため今日中に大口の契約を取ることを約束する。；大口利用者に対する一括発売のための発券作業に使用されることもある。；この砲は西部戦線で進行した、自走砲の大口径化の一つの結果であった。；するとチャックは大口をあいて、鼻目金の落ちるほど笑い出しました。；その中には教会の大口支援者であるエドワード・バルクの名前もある。；日本海軍の大口径砲志向への背景にもある種の類似したものがあった。；大口径望遠鏡で見ると多くの銀河が集中している場所であることが分かる。；ところで昔、大口が谷中の方で開いていたという薬屋の店はどうなったろう。；一般に小口資金は大口の資金に比べて運用対象が限られている。；また大口径砲のケースメイト式搭載にも問題があることが判明した。；武器のことはほとんど知らなかったが、大口径の銃を必要とすることは分かった。；許可される口径は9mm以下であるか、限られた少数の大口径であること。；大口径弾は主に車両や航空機に搭載された機関砲から発射される。；前端が大口径になってしまう超望遠レンズなどで主に採用されている。；これらの機能を実現するための共通の課題は、主鏡のさらなる大口径化である。；しかし、戦艦クラスの大口径砲では諸外国でも同様に故障が発生している。；ただし、大口顧客との契約単価はこれよりも大幅に安価なことが多い。；大口径の望遠鏡で観測すると数百個の恒星が存在することが分かる。；背後には巨大な夜の空間が、いつでも僕をのみこめるよう、大口を開けている。；この病院は現在もこの街の住民の最も大口の雇用者の一つである。；また、鉱業面でも需要が急速に伸び、釜石鉱山は大口需要者であった。；彼はかねてより大口径弾を用いる長距離射撃競技の愛好家の1人だった。；建設費の目処もつき再申請してようやく大口線が開通したのは8月のことであった。；重機関銃と類似する面もあるが、より大型・大口径の砲弾を使用する。；そんな中、会社の経営に関わる大口の取引を失いかねない最大の危機が鈴木建設を襲う。；だが兄の快蔵が若くして亡くなったため、正式な大口家の後継ぎと決定する。；武装も火力を重視した大口径砲を装備しており、携帯弾数は少ない。</t>
        </is>
      </c>
      <c r="J982">
        <f>HYPERLINK("https://www.weblio.jp/content/大口", "词义详情")</f>
        <v/>
      </c>
      <c r="K982">
        <f>HYPERLINK("https://yourei.jp/大口", "查看例句")</f>
        <v/>
      </c>
    </row>
    <row r="983">
      <c r="A983" t="inlineStr">
        <is>
          <t>多くとも</t>
        </is>
      </c>
      <c r="B983" t="inlineStr">
        <is>
          <t>成功</t>
        </is>
      </c>
      <c r="D983" t="inlineStr">
        <is>
          <t>よく；ほとんど；主に；ほぼ；多数</t>
        </is>
      </c>
      <c r="H983" t="n">
        <v>29</v>
      </c>
      <c r="I983" t="inlineStr">
        <is>
          <t>このようなことから川には魚が多く、周囲の人たちの漁場になっている。；多くのRPGには全ての攻撃技の基本となる通常攻撃が実装されている。；北米やオーストラリアなど多くの国でそれに準じた処分が行われている。；多くの川では漁業も盛んであり、重要な食料供給源の一つとなってきた。；細野は1970年代に多くのアーティストの作品で演奏に参加している。；また多くの宗教で霊と呼ばれる形態の生物の存在を想定している。；海水はその表面に波が立っていることが多く、これは主に風の作用である。；以降、多くの出版社で青年向けの漫画雑誌を中心に執筆活動をしている。；また、低価格で信頼性が高いことから医療機器分野でも多く使用された。；アフリカから多くの黒人が大西洋を越えて新大陸へ奴隷として運ばれた。；しかし通常の使用には問題がなく、多くのカメラがこの方式を採用している。；その多くは有用なものであるが、中には以下のようなものも存在する。；その小説の多くはヨーロッパに住んでいるか旅しているアメリカ人を描いている。；多くの主要ウェブブラウザのUIには、以下のような共通の要素がある。；そのため、より多くの機材や医師を病院に配置することが求められている。；しかし、後には独自の拡張・工夫が、特に効率の面で多くなされている。；近代以降、多くの文学賞が創設され、作家の発掘と育成に貢献している。；これは魚類の進化の多くが大陸移動以前から起こってきたためである。；代数的グラフ理論は動的系や複雑性を含む多くの分野に応用されている。；キースの怒りと悲しみは、多くのロック・ファンの心情を代弁していた。；それが非常に多くのカーネル内のキャッシュミスの原因になっている。；英語をはじめとした多くの言語で、をそのまま翻字した語が採用されている。；兵庫県は様々な景色を持つため、多くの映像産業に積極的に協力している。；北宋に入ると木版印刷は広く普及し、多くの本が印刷されるようになった。；これはゲームにおいてより大きな手と多くのプレイヤーの参加を許す。；濃い黄色または琥珀色は、より多くの水を飲む必要があることを示している。；日本には多くのトルコ友好協会があり、交流が積極的に行われている。；競技に使用されるトラックは、多くの場合競技専用に開発された車両が使用される。；一方で、諸星はジャンルを越えた多くの著名人の作品に影響を与えている。</t>
        </is>
      </c>
      <c r="J983">
        <f>HYPERLINK("https://www.weblio.jp/content/多くとも", "词义详情")</f>
        <v/>
      </c>
      <c r="K983">
        <f>HYPERLINK("https://yourei.jp/多くとも", "查看例句")</f>
        <v/>
      </c>
    </row>
    <row r="984">
      <c r="A984" t="inlineStr">
        <is>
          <t>大げさ</t>
        </is>
      </c>
      <c r="B984" t="inlineStr">
        <is>
          <t>成功</t>
        </is>
      </c>
      <c r="C984" t="inlineStr">
        <is>
          <t>読み方：おおげさ
［名］《「おおけさ」とも》
１大きな袈裟。
２刀などで袈裟がけに人を斬ること。
「肩先より背骨まで、—に切り放せば」〈浄・浪花鑑〉
［形動］［文］［ナリ］物事を実質以上に誇張するさま。また、誇張されたさま。おおぎょう。「—に驚いてみせる」「—な飾りつけ」</t>
        </is>
      </c>
      <c r="D984" t="inlineStr">
        <is>
          <t>大げさな身振り；大げさな身ぶり；大げさな言葉；大げさな表現；大げさすぎる</t>
        </is>
      </c>
      <c r="E984" t="inlineStr">
        <is>
          <t>大きい；余り；過剰；やたら；オーバー</t>
        </is>
      </c>
      <c r="F984" t="inlineStr">
        <is>
          <t>大げさな手振り；大げさな物言い；大げさに痛；大げさに考えすぎ；大げさな悲鳴</t>
        </is>
      </c>
      <c r="H984" t="n">
        <v>29</v>
      </c>
      <c r="I984" t="inlineStr">
        <is>
          <t>またそれは彼の言葉のうちの一種の大げさな調子でもわかることだった。；女の子達が大げさな言葉を使っても、あたし、決して笑ったりしないわ。；大げさで、たいしたことでもないのにすぐ相談にきたがるくせがあった。；そう言ったからといって、私は大げさだと非難されることはあるまい。；特に自分の好きな男と衝突したとき、女のあげる悲鳴は大げさだった。；玉岡一郎が妹の家まで車で十分、と言ったのは別に大げさではなかった。；これほどの大げさな砦を築かなくては守れない敵とはなんだというんだ?；何人かは大げさな身振りで手を触れ、笑いながら大声で願い事を言った。；気どり屋とは、わけもわからずわどさ大げさに物事を伝える人間である。；身体工合から自然とでてくる以上にやや大げさに芝居がかってうなった。；大げさに聞こえるかもしれないが、もう教室に居場所は無いと覚悟した。；そして遠くから、早くこっちへ来るようにと大げさな身ぶりで合図した。；大げさな言葉を操る言葉は低く、どこまでも通り抜けていきそうだった。；彼は別に大げさな態度を見せたり、愉快そうに笑ったりするわけでもない。；しかし、大げさな装備をしたにもかかわらず、なんということもなかった。；だが妻の言ったことは本当であり、決して大げさとは思わなかった。；大げさに言えば、彼が次になにをはじめるかが楽しみで生きている。；そんな大ゲサな、子供の夢みたいなことを、本気に考えてはいけない。；大げさに思えなくもないが、しかしそれが一番いいかもしれないな。；あの時で五十二歳だったはずだが、大げさではなく一まわり以上若く見えた。；マザー・ジョンストンは、大げさな芝居をしながらドアをあけに行った。；危険に身をさらしたとはいえ、その危険の度合を大げさに考えていたのだ。；大げさなことじゃありませんが、無意識のうちに覚悟している部分はある。；でもあなたはおそらく助手たちの不作法を大げさに考えすぎているんだわ。；あるいは、溝というほどの大げさなものではなかったのかもしれない。；あの男はろくでもない公訴を大げさに騒ぎたてているだけなのだ。；作業台の下へもぐりこむのかなと思ったくらい、その動作は大げさであった。；そんな状態で歳をとっていくほど恐ろしいこともないような気がするんだけど大げさかな。；彼らの感情が理解できるのは、興奮して感情表現が大げさになった時だけだ。</t>
        </is>
      </c>
      <c r="J984">
        <f>HYPERLINK("https://www.weblio.jp/content/大げさ", "词义详情")</f>
        <v/>
      </c>
      <c r="K984">
        <f>HYPERLINK("https://yourei.jp/大げさ", "查看例句")</f>
        <v/>
      </c>
    </row>
    <row r="985">
      <c r="A985" t="inlineStr">
        <is>
          <t>大声</t>
        </is>
      </c>
      <c r="B985" t="inlineStr">
        <is>
          <t>成功</t>
        </is>
      </c>
      <c r="C985" t="inlineStr">
        <is>
          <t>読み方：おおごえ
大きな声。⇔小声。</t>
        </is>
      </c>
      <c r="D985" t="inlineStr">
        <is>
          <t>大声で笑い出し；大声で笑いだし；大声あげ；大声でさけん；大声で泣き出し</t>
        </is>
      </c>
      <c r="E985" t="inlineStr">
        <is>
          <t>声高；大音声；やかましい音；大音量</t>
        </is>
      </c>
      <c r="F985" t="inlineStr">
        <is>
          <t>大声叱呼；大声疾呼；大声でわめきちらし；大声で呶鳴り；大声で泣き喚い</t>
        </is>
      </c>
      <c r="G985" t="inlineStr">
        <is>
          <t>大声疾呼</t>
        </is>
      </c>
      <c r="H985" t="n">
        <v>29</v>
      </c>
      <c r="I985" t="inlineStr">
        <is>
          <t>六人のうちのひとりが言ったことに、全員が大声で笑って反応したのだ。；様々な役を演じてきたが、政治家など大声でわめくような役が多かった。；電車の中では新吉の向い側に乗っていた二人の男が大声で話していた。；まず大声自体が異様であるのに加えて、合掌礼そのものがやはり珍しい。；それでびっくりしたままに思わず大声あげて叫び出したのであった。；あまりの光景に、清盛は大声で人を呼んだが、誰も来ることはなかった。；乳母が驚いて大声をだすと、後の方にいた二人の婢も驚いて走って来た。；それほど疲れるのだが、しかし、大声で話ができるのはこの部屋だけだ。；しかし息子はなを云ひ残した事を大声に母親に通じさせようとして云ふ。；外に出られない状況下でオグルビーは次第に錯乱して大声を出し始めた。；民衆が大声で同意を示すのは古代以来のローマの習慣であった。；だがよく見るとその背後に、陳真の名前を大声で呼ぶ民衆の姿がある。；海の中に落ちた水兵は一生懸命に片手を挙げ、何かおお声に叫んでいた。；そして、乗客に衝撃防止姿勢をとるよう客室乗務員が大声で呼びかけた。；そして門の外へ出たかと思うと崩れるように大声を出して笑った。；すると、いきなり列の先頭にいる見知らぬ男の子に大声で呼ばれてしまう。；彼は大声を上げて正一の名を呼びながら、ガタガタと蓋の裏を叩いて見た。；この家のなかに、人の邪魔になるほどの大ごえも立てずに人々は生きて来た。；今日はいびられる心配はなかったので、一年生も安心して大声が出せた。；今君が大声でポチを呼ぶと、あやしい奴がかくれてしまうかもしれない。；いよいよ変だと思うから大声で喚いてドンドンやったが、成るほど夢か。；その音で外に出てきた学長に対して大声で辞職する旨を叫んだという。；すると海から光輝く子供が生まれ、三界全体に轟くほどの大声で泣いた。；自分の意見は、たとえそれが上司であっても大声で直言したと伝えられる。；この様子をながめた姫は、よほど面白かったとみえて大声を上げて笑い出す。；伝三郎は少し耳が遠いので、納得させるには大声を出さねばならぬ。；酒を飲むと、僕は非常にくだらない事でも、大声で言えるようになる。；ワトスンは大声で叫んでみるが、滝の轟音が帰ってくるだけであった。；就中海軍の将校たちの大声に何か話しているのは肉体的に不快だった。</t>
        </is>
      </c>
      <c r="J985">
        <f>HYPERLINK("https://www.weblio.jp/content/大声", "词义详情")</f>
        <v/>
      </c>
      <c r="K985">
        <f>HYPERLINK("https://yourei.jp/大声", "查看例句")</f>
        <v/>
      </c>
    </row>
    <row r="986">
      <c r="A986" t="inlineStr">
        <is>
          <t>大御所</t>
        </is>
      </c>
      <c r="B986" t="inlineStr">
        <is>
          <t>成功</t>
        </is>
      </c>
      <c r="C986" t="inlineStr">
        <is>
          <t>読み方：おおごしょ
１すでに引退して表面に出ないが、その世界で大きな勢力をもっている人。また、その道の大家として大きな勢力をもつ人。「政界の—」
２親王の隠居所。また、隠居した親王の尊称。
３将軍の隠居所。また、隠居した将軍の尊称。江戸時代、特に徳川家康・家斉(いえなり)をいう。→小御所(こごしょ)</t>
        </is>
      </c>
      <c r="D986" t="inlineStr">
        <is>
          <t>大御所さま(9%)；大御所様(6%)；大御所的存在；大御所徳川家康；大御所俳優</t>
        </is>
      </c>
      <c r="E986" t="inlineStr">
        <is>
          <t>長老；第一人者；最高峰；重鎮；老大家</t>
        </is>
      </c>
      <c r="F986" t="inlineStr">
        <is>
          <t>大御所作家；大御所歌手；大御所夫人；大御所声優</t>
        </is>
      </c>
      <c r="G986" t="inlineStr">
        <is>
          <t>大御所政治</t>
        </is>
      </c>
      <c r="H986" t="n">
        <v>29</v>
      </c>
      <c r="I986" t="inlineStr">
        <is>
          <t>しかし、これは大御所様のお傍から離れられぬのではございませぬか?；それでは大御所さまのこのたびの試みのおこころにもそむくことになる。；この苦しみのため、彼は大御所の死さえ、夢うつつにきいたほどである。；大御所が変幻の忍者をつかっていることは最初からわかっていたことだ。；勘当をお受けとは申しながら、大御所さまのお子ではございませんか。；名はどうでもいいが、今、大御所になっている歌手だから聞けば驚く。；大御所の命で、長らく姫の身辺に身を置くうち、彼の心には変化が生じた。；岡田は最初、監督・今井正と脚本は大御所の八木保太郎で企画していた。；さらに大御所は、しばしば大久保邸に赴いて、遊んでゆくようになった。；この二家は大御所がお美代の方の腹に生ませた姫を輿入れさせている。；大御所・徳川吉宗が歿して後、幕府の政治も大きく変りつつあるらしい。；たまたま日経の文化欄を近代批評の大御所である小林秀雄が読んでいた。；その数日がすぎても、大御所の動きはなく、お福のもとに何の沙汰もない。；大御所さまに向ってさえ人くさしと思っていないかに見える結城中納言だ。；これへ峰姫が大いに怒り、大御所であった家斉へこの事件を申し述べた。；これらの人々はいずれも、のちに各界の大御所となる人たちである。；先生は、十七年間も、大御所にお仕えなされたおん身ではありませんか。；大御所になってからも、絵の師匠に弟子入りしたりしている。；折から家康の参着を知って、機嫌を伺いに大御所の前に出たのだった。；三条西実条が江戸へ直行してきたのは、大御所が在府していたからである。；しかし政治的影響力を持ち続けたため大御所と呼ばれた。；いかにあなたが大御所のご地位にあろうと、血の中に立っている全軍が承知しない。；しかし、おれが大御所さまから殺すことを命じられた女忍者はまだほかにおる。；天海にあてて将軍より大御所へとりなしてくれるようにと文をもって依頼して来た。；石翁が二晩も城に詰めているなら、まず、大御所の危篤は確実とみてよい。；ことに大御所が病床についてからは、御平癒祈願と称するお詣りが多い。；御分配するまでもなく、大御所様の御遺産は当然全部将軍家のものである。；ゲスト声優に大御所俳優を起用したのはこれが初めてであり、丹波哲郎を起用した。；大御所の認めていることでもあるし、彼の江戸建設は思いきって大規模で急速だった。</t>
        </is>
      </c>
      <c r="J986">
        <f>HYPERLINK("https://www.weblio.jp/content/大御所", "词义详情")</f>
        <v/>
      </c>
      <c r="K986">
        <f>HYPERLINK("https://yourei.jp/大御所", "查看例句")</f>
        <v/>
      </c>
    </row>
    <row r="987">
      <c r="A987" t="inlineStr">
        <is>
          <t>おおざっぱ</t>
        </is>
      </c>
      <c r="B987" t="inlineStr">
        <is>
          <t>成功</t>
        </is>
      </c>
      <c r="C987" t="inlineStr">
        <is>
          <t>読み方：おおざっぱ
［形動］
１細部にまで注意が届かず、雑であるさま。「—な仕事ぶり」
２細部にわたらず、全体を大きくとらえるさま。おおまか。「—な見積もりを出す」</t>
        </is>
      </c>
      <c r="D987" t="inlineStr">
        <is>
          <t>暇；粗末；露骨；雑；大まか</t>
        </is>
      </c>
      <c r="H987" t="n">
        <v>29</v>
      </c>
      <c r="I987" t="inlineStr">
        <is>
          <t>わたしはそのときの印象のままに、おおざっぱに書いているのである。；非常におおざっぱに捉えると、力の大きさは以下のようになるだろう。；うんとおおざっぱに言えば、その為に植物にある能力が、休眠なんです。；おおざっぱに試算しただけでもNRCはこれだけのマイナス経営である。；地図を見れば、大阪湾はおおざっぱに言って楕円形を成しているのが分かる。；そのほかにラブコメディが出始めた頃で、おおざっぱに言うとその四つくらい。；おおざっぱに見積っただけでも、バラカズまでは三十マイル以上ある。；地図とはいっても、このあたりの地形をおおざっぱに記した簡単なもので、範囲もせまい。；おおざっぱに見れば、その生物の生活と深く関わりがあるので、動物的なもの・植物的なものそれぞれに特徴的な発達が見られる。；要因はおおざっぱに、論理的なものと物理的なものに分けられる。；しかし、細かなことは気にしないでおおざっぱに作るといい。；おおざっぱに勘定しても、東京都内にはざっと三、四千店くらいの業者がいた。；国際、と呼び得る領域のなかで英語に自分を託するとは、きわめておおざっぱに言って、以上のようなことだ。；大きな帽子を頭にのせ、そこから溢れた髪はおおざっぱに編みこんで背中に垂らしている。；四個で百二十円ではあるが、このへんは、都合のよいようにおおざっぱに考えるのである。；各国の主として営利目的に利用される一般的な会社、組合の形態をおおざっぱに整理したものである。；一人の給仕が、エンピツでおおざっぱに書いてあるホーム・レストランの明日のメニューの原稿を持ってきたのだ。；王宮はおおざっぱに北から寺院やかつて公官庁が存在した外側部分、国王のオフィスである中間部分、国王の家族が居住する内側部分となっており、宮殿の北側を「前」と表現するなど北向きを意識して建てられた宮殿である。；焼失面積をおおざっぱに勘定してみると、十五年強に一度は江戸全体が焼けてしまっている。；記憶装置には各種のものがあるが、ここでは半導体メモリとそうでないものにおおざっぱに二分する。；おおざっぱにいえば、佐和木夫婦より一日遅れの到着である。；これをおおざっぱに簡略化した占いの一種が、サン・サイン占星術といえる。；おおざっぱに言うと、すり鉢の底の部分に高所得者が、縁の部分に低所得者が住んでいる。；おおざっぱに説明すると下記の違いがある。；怪物たちは大雑把《おおざっぱ 》ですが、いくつかの種類に分かれています。；それはおおざっぱに言えば、レプラが進行して毛が溶けて抜け落ちた小型の雄のティランノサウルスに似ていた。；おおざっぱに言えば、星のような物質またはエネルギーを右辺に代入すれば、その物質の周りの時空がどういう風に曲がっているかを読みとることができる式である。；そしてその始まりは、おおざっぱに言って、クルツの出張所から一マイル半程下流の所だった。；働いてみたら、意外といいかげんと言うか、おおざっぱと言うか。</t>
        </is>
      </c>
      <c r="J987">
        <f>HYPERLINK("https://www.weblio.jp/content/おおざっぱ", "词义详情")</f>
        <v/>
      </c>
      <c r="K987">
        <f>HYPERLINK("https://yourei.jp/おおざっぱ", "查看例句")</f>
        <v/>
      </c>
    </row>
    <row r="988">
      <c r="A988" t="inlineStr">
        <is>
          <t>大筋</t>
        </is>
      </c>
      <c r="B988" t="inlineStr">
        <is>
          <t>成功</t>
        </is>
      </c>
      <c r="C988" t="inlineStr">
        <is>
          <t>読み方：おおすじ
物事の内容のだいたいのところ、また、基本的なところ。あらまし。大略。「話の—をつかむ」「—で合意に達する」</t>
        </is>
      </c>
      <c r="D988" t="inlineStr">
        <is>
          <t>大筋合意(2%)；大筋で起訴事実</t>
        </is>
      </c>
      <c r="E988" t="inlineStr">
        <is>
          <t>図；大抵；大体；概ね；輪郭</t>
        </is>
      </c>
      <c r="F988" t="inlineStr">
        <is>
          <t>商大筋</t>
        </is>
      </c>
      <c r="H988" t="n">
        <v>29</v>
      </c>
      <c r="I988" t="inlineStr">
        <is>
          <t>大筋は変わってないが部分的にはかなり神波脚本と変わっているという。；他にもいくつかバリエーションはあるけど、大筋は似たようなものです。；ログファイルに記載される内容は、大筋で次に挙げる通りとなっている。；春公演と夏公演では、物語の大筋は共通であるものの、多少の違いがある。；アニメと原作で、大筋にはあまり影響しないが異なった設定がいくつかある。；大筋としては以上であるが、それ以外の企画を実施することもあった。；もちろん、大筋は私が書いてもおなじであることはいうまでもない。；いずれも大筋のストーリーは同じだが結末や各人物の背景が異なる。；大筋は同じだが、異なる2つの伝承があり、その他にも民間伝承がある。；かつては泥打ちが行われていたが、現在は大筋では変化はない。；ストーリーも大筋の流れは似ているものの結末は大きく異なったなものになった。；大王もこれに大筋で応じ、こうして皇帝の頭越しに和平交渉が開始される。；彼女の話は大筋のところでは私の知っている通りだった。；私にはそのようにしか考えられないし、大筋でこの考えに反対する人間はいないだろう。；地方により伝説の細かな部分は異なるが大筋では以下の通りである。；TVコードに伴ういくつかの変更点はあるが、物語の大筋に大きな変更はない。；こまかいところにちがいはあるかもしれないが、大筋はつかんでいるだろう。；大筋は創設者である立川談志が考えたとする話が広く知られている。；交代人格が語る虐待の記憶は、大筋では事実だと、わたしは信じています。；そのため大筋では原作通りだが、最後に目賀博士が犯人であったと明らかになる。；テキストによって多少の相違があるが、大筋は次のようになっている。；しかし大筋のところ、こういうことを一應は考えてみる必要がある。；物語の大筋には関係しない手紙を運搬するイベントなどもある。；林屋辰三郎も大筋では喜田説に同意するが、継体は暗殺されたと主張した。；続けて復一説として別の話も掲載されており大筋は同じだが多少の違いがある。；僕は大筋だけはすでに見当がついているが、それでもまだ不明なところはたくさんある。；わたしは彼らが事実の大筋に関して何か変更を加えているのではないかなどとは考えたくない。；ユニット結成の発表時点で企画は大筋に進行していたが、ユニット名が未定だった。；ただし「大筋では合っており、事実と信じてよい記事も多い」とも述べている。</t>
        </is>
      </c>
      <c r="J988">
        <f>HYPERLINK("https://www.weblio.jp/content/大筋", "词义详情")</f>
        <v/>
      </c>
      <c r="K988">
        <f>HYPERLINK("https://yourei.jp/大筋", "查看例句")</f>
        <v/>
      </c>
    </row>
    <row r="989">
      <c r="A989" t="inlineStr">
        <is>
          <t>大勢</t>
        </is>
      </c>
      <c r="B989" t="inlineStr">
        <is>
          <t>成功</t>
        </is>
      </c>
      <c r="C989" t="inlineStr">
        <is>
          <t>読み方：おおぜい
多くの人。多人数。副詞的にも用いる。「—の出席者」「—で見学する」⇔小勢(こぜい)。</t>
        </is>
      </c>
      <c r="D989" t="inlineStr">
        <is>
          <t>大勢頭部；大勢集まる；大勢集め</t>
        </is>
      </c>
      <c r="E989" t="inlineStr">
        <is>
          <t>グループ；群；集団；大部分；群れ</t>
        </is>
      </c>
      <c r="F989" t="inlineStr">
        <is>
          <t>女官大勢頭部；にも大勢；大勢のひとびと；大勢集つて；大勢つめかけ</t>
        </is>
      </c>
      <c r="G989" t="inlineStr">
        <is>
          <t>大勢待；大勢三転考</t>
        </is>
      </c>
      <c r="H989" t="n">
        <v>29</v>
      </c>
      <c r="I989" t="inlineStr">
        <is>
          <t>この家には大勢の人々が訪れ、超自然的な存在の働きを確信したという。；ああいうものは一軒作だけじゃ商売にならない、大ぜいでやらなければ。；以後においては数回アジア遠征を試みているが、大勢は変わらなかった。；周りには大勢の人間がいたが、そんなことは全く気にならなかったという。；トールは大勢の巨人に追われるがハンマーで巨人たちを殺害してしまう。；おおぜいの人が彼に会い、会ったあとには、もう会いたくないと言った。；いや、両側の通路や後ろのほうにさえも、おおぜい立っている人がある。；インドアな子供で大勢で外で遊ぶより1人で絵を描くことが好きだった。；そのため、往来の人々がこの喧嘩を見物するために大勢集まったという。；ロシア第1軍が救助に向かおうと試みたときには既に大勢は決していた。；私はウサギを本当に探していた大勢の人々への、深い責任を感じています。；その上に上がると、木の屋根の下の台におおぜいの人々が立っていた。；しかし地下にはまだ労働者の子供たちが大勢残されていたのだ。；ほかのおおぜいの人々と共に東に向かってまっしぐらに進んでいるのだ。；ときには島には大ぜいの蛮人の群れがいて、ぼくたちはかれらと戦った。；こんな小さな村に、こんなに大ぜいの人が住んでいるとは意外でした。；客が大ぜいいたが、婦人たちには一人も知った顔がなく、興味もなかった。；夏目先生のお弟子と見られている人がかなりおおぜいいるようである。；前の日のことがあるので、もう、おおぜいの見物人が集まっていました。；おはるには大勢の愛人がいたが、愛人のひとりであったKが逮捕された。；公式バトラー以外にも強いリンクバトラーは大勢いると語る闇のリーグ。；わたしたちがそこへ着いたとき、おおぜいの人間がもう集まっていた。；自分は大ぜいの女と寝たことがあるし、それを思いだせないわけでもない。；軍部は公園に大勢の市民が自由に出入りすることに抵抗もあったと言われている。；教師が一人で、大勢の児童・生徒・学生に対して授業をするというもの。；これは、昔ながらの大勢で食べるスタイルを重視しているためである。；今回は朝廷の命令なしに、義家個人の力で関東の武士を大勢動員した。；男たちは大ぜい一緒の時もあったが、たいていの場合は一人だった。；しかし内戦の影響で町にも被害が出て、内戦時は大勢の難民が流入した。</t>
        </is>
      </c>
      <c r="J989">
        <f>HYPERLINK("https://www.weblio.jp/content/大勢", "词义详情")</f>
        <v/>
      </c>
      <c r="K989">
        <f>HYPERLINK("https://yourei.jp/大勢", "查看例句")</f>
        <v/>
      </c>
    </row>
    <row r="990">
      <c r="A990" t="inlineStr">
        <is>
          <t>大空</t>
        </is>
      </c>
      <c r="B990" t="inlineStr">
        <is>
          <t>成功</t>
        </is>
      </c>
      <c r="C990" t="inlineStr">
        <is>
          <t>昭和59年（1984）2月に打ち上げられた科学衛星EXOS-C(エクソスシー)の愛称。宇宙科学研究所（現JAXA(ジャクサ)）が開発。1982年から1985年にかけて実施された中層大気に関する国際観測計画（MAP）への参加に伴い、高度10〜100キロメートル程度の中層大気の構造と組成の解明、磁気圏の観測を行った。ロケットとの分離直後に接触事故が生じ、バッテリー容量が5分の1に低下する障害に見舞われたが、その後約4年間にわたって慎重に観測が続けられた。昭和63年（1988）に運用終了。</t>
        </is>
      </c>
      <c r="D990" t="inlineStr">
        <is>
          <t>大空艇；大空ゆかり；大空高く；大空魔；大空ひばり</t>
        </is>
      </c>
      <c r="E990" t="inlineStr">
        <is>
          <t>空；天；宙；天上；天空</t>
        </is>
      </c>
      <c r="F990" t="inlineStr">
        <is>
          <t>青い大空；高い大空；たる大空；暗い大空；つた大空</t>
        </is>
      </c>
      <c r="G990" t="inlineStr">
        <is>
          <t>大空港；大空町；大空翼；大空のサムライ；大空直美</t>
        </is>
      </c>
      <c r="H990" t="n">
        <v>29</v>
      </c>
      <c r="I990" t="inlineStr">
        <is>
          <t>そこには星に覆われた山が霧のたちこめる大空へむかって伸びている。；大空で太陽は、すべてを見たけれど、干渉しようとはしなかったのです。；見渡す大空が先ず雪に埋められたように何所から何所まで真白になった。；少年は、天使が、いよいよ大空に上ってしまったのだろうと思いました。；至る方向に大空が見え、至る所に自由があり、至る所に人の生活があった。；これは自然の森のように、木々の上に広がる大空を表現したものである。；無数の星をもっている大空は、大きな時計の文字板と見なすことができる。；その上、若者の多くは大空での生活をロマンチックと考えているのだ。；だが、「鳥」には、蛇にはない翼ゆえに大空を自由に飛びかう力がある。；コンサートでファンと共に大空の下で大合唱を行うことを想定した曲。；やがて点のように見えていた帆柱の頭も、大空の下に消え失せてしまった。；そのとき、私には大空を落下する無数の青い破片を想像することもできた。；海のかなたの大空を見上げたとき、女の子の眼はきらきらと輝きました。；大空をもって、がっしりと止まった屋根とし、その中を太陽が回っている。；大空に月と日が姿を現わしてこのかた紅の美酒にまさるものはなかった。；宇宙航空船は電光のように大空を横切って、まっすぐに上へあがって行く。；長い間大空を落ちている間に、角が取れて滑かになったんだろうと思った。；頭の上にはただ大空があって、足の下には海があるだけです。；目を見張るようなスピードで、主人を乗せた幻獣は大空に舞い上がった。；さらにまた、その音をもとめるような一点の孤影が大空をめぐっていた。；二六六 大空に天輪がめぐり始めてから、紅の酒ほどよいものは見られない。；現在は修理中だが、早く直してこれに乗り、大空を駆け巡りたいとしている。；もう空襲のおそれもなかつたし、今こそ大空は深い静謐を湛へてゐるのだ。；その大空の何処かを、鋭く風を切って、飛行機が近づいて来る気配があった。；朝は必ず来ます 闇は消え あなたの声は 金色の流れとなって 大空を渡るでしょう。；もう空襲のおそれもなかったし、今こそ大空は深い静謐を湛えているのだ。；大空の下で大きく息をするのもいいし、一人で自分の心を見つめるのにもいいんです。；霧にけぶる大空から、翼をもった異様な形のものが急降下してくるではないか!；実際、両手を羽搏いたらきっと大空へ舞い上がれる、とそんな気がした。</t>
        </is>
      </c>
      <c r="J990">
        <f>HYPERLINK("https://www.weblio.jp/content/大空", "词义详情")</f>
        <v/>
      </c>
      <c r="K990">
        <f>HYPERLINK("https://yourei.jp/大空", "查看例句")</f>
        <v/>
      </c>
    </row>
    <row r="991">
      <c r="A991" t="inlineStr">
        <is>
          <t>大台</t>
        </is>
      </c>
      <c r="B991" t="inlineStr">
        <is>
          <t>成功</t>
        </is>
      </c>
      <c r="C991" t="inlineStr">
        <is>
          <t>読み方：おおだい
１株式相場で、100円を単位とした値段の区切りをいう。10円を単位とした「台」に対する語。「八〇〇円に—替わりした」
２金額・数量などで、大きな区切りや目安になる境目。「二兆円の—を突破した予算」</t>
        </is>
      </c>
      <c r="D991" t="inlineStr">
        <is>
          <t>大台所(6%)；大台山系；大台ガ；大台城；大台風</t>
        </is>
      </c>
      <c r="G991" t="inlineStr">
        <is>
          <t>大台町；大台ケ原；大台ヶ原山；大台町佐原；大台野</t>
        </is>
      </c>
      <c r="H991" t="n">
        <v>29</v>
      </c>
      <c r="I991" t="inlineStr">
        <is>
          <t>そして、甲も乙も、自分たちのとった大だいを一尾ずつ料理をしました。；私は三十の大台にもう少しで乗るので、今年あたりはどうしても結婚したかったのです。；は出場試合数が大幅に増加し、本塁打も2年連続で20の大台を超えた。；ただし、大台印刷の場合は別に締切が設定されていることも多い。；残された四日間で、俺はさらにレベルをひとつ上げ、70の大台に乗せた。；そのためにももっと馬を増やして、百頭の大台に乗せたかった。；夏目漱石がロンドンから帰国したのは一九〇三年、そして五十の大台を目の前にして亡くなったのが一九一六年。；身長も、一八〇の大台には僅かに足りないようだが、高い方だ。；イタリアでも自殺者は急増しつつあるとはいえ、まだ年間四千人の大台に乗ったばかり。；カナダ選手権では参考記録ながらも総合得点で300点の大台を突破した。；これに奉納金が加わるのだから、百の大台に乗るんじゃないか。；日本車の輸出は八一年に初めて六百万台の大台を超え、その三分の一以上の二百三十万台が米国に輸出されている。；これは伊藤園が発売してきた歴代の紅茶ブランドの中でも初めての大台突破となった。；室戸台風、伊勢湾台風と並んで昭和の三大台風の一つに数えられる。；枕崎台風、伊勢湾台風と並んで昭和の三大台風の一つに数えられる。；ここ二年ほどその100万人のラインも割り込み、一九七三年は大台の回復が目標になっていた。；大台が原に向かう登山道の途中に、江戸時代の湯治場であった五色湯跡がある。；その結果、2007年には年間旅客数が1000万人の大台に乗った。；一万円の大台に達したのは、その三年前の一九八四年一月である。；ハコ三十万のレートでは負け続けても一千万の大台に達することはむずかしい。；さらにその後8m00cmも成功させ、初めて8mの大台に到達した。；こんなに早く大台に乗るとは思わなかった。；その結果、2015年度には入館者数が初めて30万人の大台を突破した。；姉の真美は早いもので、もう三十の大台に乗っている。；オフには年俸が1億1100万円となり、初めて1億円の大台を超えた。；唯一選手が大台の記録を達成した場合、ビジョンに表示、花束が手渡される。；今年で年齢が三桁の大台に乗ると噂される、外見的には半ば生きた化石みたいな老人である。；そしてついに、今ので二桁の大台に乗ったところだった。；実際、戦場で部下に撃たれて死んだ士官は、この一五〇年間で、一万の大台に達するであろう。</t>
        </is>
      </c>
      <c r="J991">
        <f>HYPERLINK("https://www.weblio.jp/content/大台", "词义详情")</f>
        <v/>
      </c>
      <c r="K991">
        <f>HYPERLINK("https://yourei.jp/大台", "查看例句")</f>
        <v/>
      </c>
    </row>
    <row r="992">
      <c r="A992" t="inlineStr">
        <is>
          <t>大手</t>
        </is>
      </c>
      <c r="B992" t="inlineStr">
        <is>
          <t>成功</t>
        </is>
      </c>
      <c r="C992" t="inlineStr">
        <is>
          <t>読み方：おおて
１城の正面。また、正門。追手(おうて)。⇔搦(から)め手。
２取引所で、多額の売買をする人や会社。大手筋。
３同種の企業の中で、特に規模の大きい会社。大手筋。「—の私鉄」
４敵の正面を攻撃する軍勢。追手。⇔搦め手。
「—、搦め手二手にわかって攻めのぼる」〈平家・九〉</t>
        </is>
      </c>
      <c r="D992" t="inlineStr">
        <is>
          <t>大手門(4%)；大手メーカー(4%)；大手柄；大手航空会社；大手出版社</t>
        </is>
      </c>
      <c r="E992" t="inlineStr">
        <is>
          <t>大企業；大手企業；一流企業；大資本；国際企業</t>
        </is>
      </c>
      <c r="F992" t="inlineStr">
        <is>
          <t>国内大手；大手出版社；大手広告代理店；大手電力会社；大手商社</t>
        </is>
      </c>
      <c r="G992" t="inlineStr">
        <is>
          <t>大手町；大手私鉄；大手門；大手術；大手銀行</t>
        </is>
      </c>
      <c r="H992" t="n">
        <v>29</v>
      </c>
      <c r="I992" t="inlineStr">
        <is>
          <t>大手の総合商社を除けば、これらの業務全てを行っているわけではない。；ERPIは大手5スタジオと契約することで市場を独占しようと考えた。；イーストマン・コダックメーカーであり、現在は商業印刷の大手である。；その中で大手自動車メーカーのゼネラルモーターズが、彼に声をかけた。；同じ現象は日本でも発生し独立プロの多くが大手の傘下となった。；また、同ショッピングセンター周辺には大手家電量販店等も並んでいる。；現代の大手サービス群がこの時代に提供を開始している。；大手証券会社の野村證券は大和銀行の証券部が分離・独立して誕生した。；大手の大軌が競合線を運行するとなれば吉野鉄道は存続の危機である。；沖縄県では大手の企業であるため、文化事業等の協賛にも寄与している。；新日本製鐵株式会社は、かつて存在した日本の大手鉄鋼メーカーである。；父は大手の呉服商や織物工場を営み、戦前はかなり裕福な家庭で育った。；大手メーカーのみならず県内の中小メーカーからも発売されている。；ハリウッドの大手スタジオも発声映画ではほとんど利益を上げられなかった。；出演者の中から大手カンパニーのミュージカル俳優を多数輩出していた。；これは、大手書店のランキングで上位に掲載されることを目的とした行為である。；大手印刷会社に納品されるが、当時はほとんど使われなかったという。；オランダでは現地の家電大手フィリップスがMSX機を販売していた。；同年春には大手加盟先との契約が終了し、150店を超える店舗の閉鎖を進めていた。；株式会社は、かつて日本の東京都大田区に本社を置いていた大手航空会社。；大手の映画会社が、本格的なポルノ映画に着手するのは世界にも例がない。；BI、ETLなどの情報統合・情報活用分野でも大手の一角に躍り出た。；その後大手食品メーカーから冷凍食品が発売されたことで全国的に有名になった。；日本の大手メーカー製品の入手も比較的容易であるが、国内の物とは内容物が異なる。；それで、彼が斥候に行くときには大ていそういういでたちをしました。；新聞・雑誌でも、戦前は大手各紙がスポーツ記事では最も大きい取り上げ方をしていた。；大手メーカーでも家庭用ミシン関連部門は非常に厳しい経営状況であり存続が常に問題視されている。；現在では西武系に限らず、大手百貨店の主要店には比較的多く出店している。；そういえば、宗達は、大てい、太い、ずぼりとした線で括っております。</t>
        </is>
      </c>
      <c r="J992">
        <f>HYPERLINK("https://www.weblio.jp/content/大手", "词义详情")</f>
        <v/>
      </c>
      <c r="K992">
        <f>HYPERLINK("https://yourei.jp/大手", "查看例句")</f>
        <v/>
      </c>
    </row>
    <row r="993">
      <c r="A993" t="inlineStr">
        <is>
          <t>大通り</t>
        </is>
      </c>
      <c r="B993" t="inlineStr">
        <is>
          <t>成功</t>
        </is>
      </c>
      <c r="C993" t="inlineStr">
        <is>
          <t>読み方：おおどおり
町なかの幅の広い道路。本通り。</t>
        </is>
      </c>
      <c r="D993" t="inlineStr">
        <is>
          <t>大通り沿い；大通り一丁目；大通りぞい；大通り界隈；大通り延伸部</t>
        </is>
      </c>
      <c r="E993" t="inlineStr">
        <is>
          <t>大道；メインストリート；広小路；大路；目抜き通り</t>
        </is>
      </c>
      <c r="F993" t="inlineStr">
        <is>
          <t>ハリウッド大通り；駅前大通り；モンパルナス大通り；ルノワール大通り；賑やかな大通り</t>
        </is>
      </c>
      <c r="H993" t="n">
        <v>29</v>
      </c>
      <c r="I993" t="inlineStr">
        <is>
          <t>街の中心となるのは独立大通りで、官公庁などの政府関係の建物が立つ。；歴史的中心地では、主要大通りの両側にこれらの様式の教会や建物が並ぶ。；パリ南部にある13区南部に位置しており、イタリア大通り沿いにある。；同大通り沿いの建物は、過去十年ほどで高層ビルやホテルに改装された。；とは民衆が集まって行進を行ったマニラ市内の大通りの名称の略である。；ほぼ中間のところで南北に走行するサンミシェル大通りと交叉している。；家は庭に囲まれていたが、その西側は大通りから三〇ヤードと離れていない。；ブカレスト市内の道路は大容量の大通りが中心部から郊外へ延びている。；そして、そこの大通りにとまっている自動車のほうへ歩いていきます。；町内中央を南北に多町大通りが、また東西に一八通りが通っている。；町の中心部を囲む大通りは、古い城壁の跡にその建設の構想を与えた。；さらに、西側階段の先で横断歩道を渡ると駅前大通りの両岸に到達する。；橋を渡りきって、石原の大通りを二人が肩を並べて歩いているときのことだった。；メインの大通りにはアン王女の長男グロスター公に因んで名付けられた。；大通りのうちでもっとも主要な道路を指す言葉は、地域によって多様である。；大通りはすべて中央の広場に集中し、そこにはカジノが建てられた。；大通りは南北方向の鉄道本線に沿った一組の道路である。；京都駅を北に降りてまず目に入る大通りであり、京都タワーに面している。；駅から中央通りに向かって歩いていくと大通りの手前に街頭テレビが設置されている。；衝動はいたずらに内訌するばかりだった、彼は急いだ、大通りを南へと。；やがて、あまりにぎやかではないが、自動車のよく通る大通りにでました。；美しい桜並木の大通り「恋咲き通り」と学園の巨大な桜で有名な田舎町。；アンネ・リスベットは、お屋敷を出て、広い大通りを歩いていきました。；ルーアンの大通りの一つであるジャンヌ・ダルク通りの上手に位置する。；ザ・ストリートと言った場合は、その街で主要な大通りを意味することがある。；この地区は南北方向に走るアンダーヒル道路をその大通りとして設計された。；ブカレスト市内の大通りのひとつには彼に名が付けられている。；また駅舎のシュフラン大通りに面する側には食堂が設けられていた。；東西に走る大通りを挟んで、最初の聖域とその北側に2番目の聖域がある。</t>
        </is>
      </c>
      <c r="J993">
        <f>HYPERLINK("https://www.weblio.jp/content/大通り", "词义详情")</f>
        <v/>
      </c>
      <c r="K993">
        <f>HYPERLINK("https://yourei.jp/大通り", "查看例句")</f>
        <v/>
      </c>
    </row>
    <row r="994">
      <c r="A994" t="inlineStr">
        <is>
          <t>オートバイ</t>
        </is>
      </c>
      <c r="B994" t="inlineStr">
        <is>
          <t>成功</t>
        </is>
      </c>
      <c r="C994" t="inlineStr">
        <is>
          <t>《(和)auto＋bicycleから》ガソリン機関による動力で走る二輪車。自動二輪車。単車。モーターバイク。バイク。
[補説]英語ではmotorcycle;motorbike</t>
        </is>
      </c>
      <c r="D994" t="inlineStr">
        <is>
          <t>オートバイ用(2%)；オートバイ事故；オートバイ乗り；オートバイ製造；オートバイ好き</t>
        </is>
      </c>
      <c r="F994" t="inlineStr">
        <is>
          <t>用オートバイ；小型オートバイ；日本製オートバイ；オートバイ兵；大型オートバイ</t>
        </is>
      </c>
      <c r="G994" t="inlineStr">
        <is>
          <t>オートバイメーカー；オートバイレース；オートバイ用エンジン；オートバイのエンジン；オートバイ用品</t>
        </is>
      </c>
      <c r="H994" t="n">
        <v>29</v>
      </c>
      <c r="I994" t="inlineStr">
        <is>
          <t>なお、この時に彼が乗ったオートバイにはブレーキがついていなかった。；座席下にエンジンを収納するオートバイは基本的にこの駆動形式である。；主に川崎重工業製オートバイをカスタム化して製造販売を行なっている。；エンジンが剥き出しのオートバイではスーツが汚れてしまうためである。；コンビ名の由来は、結成当初に堤下が乗っていたオートバイの名前から。；ここでは現在市販されている二輪のオートバイとして一般的なものを示す。；頭部デザインはオートバイに乗るのに適したものにするための変更であった。；主に自動車・オートバイ向けのアルミホイールを製造・販売している。；しかし第一次世界大戦は、オートバイが戦闘に使用された最初の例となった。；警察で一般的に用いられるオートバイは黒バイなどと呼ばれ区別されている。；第一次世界大戦以降はより高速な自動車やオートバイが活用されるようになった。；これには市場の大きさの違いと、オートバイの持つ趣味性が多分に影響している。；インドや中国ではオートバイはほとんどが実用目的で使われている。；また、航空機だけではなく自動車やオートバイの風洞実験も行われている。；オートバイの構造は、その歴史のなかで様々な形態が現れ、変遷してきた。；旧車とは、過去に製造された自動車やオートバイなどの車両を指す語である。；アメリカの場合、オートバイよりも自転車の方が着用義務が厳しい。；配達は主に同社少年部所属の社員見習いの者が自転車やオートバイで行った。；オートバイの前輪が、複数の赤と青のマークの間を通らなければならない。；このモデルは販売価格が100万円を超えた初の国産オートバイである。；オートバイ部門では新たな主任技師を迎えて新規車種の開発をはじめた。；このオートバイにはエドワード・ヒルデブランドが乗って4位となった。；また、オートバイや自動車、船や飛行機、潜水艦などの製造を行っている。；オートバイでは横置きの場合に並列3気筒と呼ばれることもある。；TLとはスズキが製造販売していたスポーツタイプの大型オートバイである。；オートバイを基に製作された車両を利用したものはサムロークアンと呼ばれている。；見た目の発想は忍者をオートバイに乗せて子供受けを狙ったとのこと。；比較的近年はオートバイ用の改造部品として製造、販売されていた。；近代には自転車やオートバイの部品であるリム・チェーンの製造も栄えた。</t>
        </is>
      </c>
      <c r="J994">
        <f>HYPERLINK("https://www.weblio.jp/content/オートバイ", "词义详情")</f>
        <v/>
      </c>
      <c r="K994">
        <f>HYPERLINK("https://yourei.jp/オートバイ", "查看例句")</f>
        <v/>
      </c>
    </row>
    <row r="995">
      <c r="A995" t="inlineStr">
        <is>
          <t>大幅</t>
        </is>
      </c>
      <c r="B995" t="inlineStr">
        <is>
          <t>成功</t>
        </is>
      </c>
      <c r="C995" t="inlineStr">
        <is>
          <t>読み方：おおはば
［名・形動］
１普通より幅の広いこと。また、そのさま。⇔小幅。
「—な洋紙に墨黒々と書いて」〈藤村・破戒〉
２布地で、幅の広いもの。和服地では、小幅の2倍の約92センチ幅のもの。洋服地ではダブル幅（約140センチ）のものをいう。→小幅(こはば) →中幅(ちゅうはば)
３数量・価格などの変動の開きが大きいこと。また、そのさま。「—な（の）値上げ」「列車が—に遅れる」</t>
        </is>
      </c>
      <c r="D995" t="inlineStr">
        <is>
          <t>大幅な変更；大幅な改良；大幅な赤字；大幅な削減；大幅な増加</t>
        </is>
      </c>
      <c r="E995" t="inlineStr">
        <is>
          <t>大きな；大きい；重大</t>
        </is>
      </c>
      <c r="F995" t="inlineStr">
        <is>
          <t>大幅な所要時間短縮；大幅な貿易黒字；大幅な軽量化；大幅に軽量化；大幅なスペックアップ</t>
        </is>
      </c>
      <c r="G995" t="inlineStr">
        <is>
          <t>大幅アップ；大幅下落；大幅上昇</t>
        </is>
      </c>
      <c r="H995" t="n">
        <v>29</v>
      </c>
      <c r="I995" t="inlineStr">
        <is>
          <t>アニメは原作と違いストーリーが大幅に変更されたものになっている。；この記事によれば、このバージョンが含む大幅な強化は以下の通りである。；側面窓は従来車に比べて天地方向に大幅に拡大され、高さ1mとなった。；その為、連載誌と単行本では大幅に台詞や展開が異なる場合も存在する。；そのため両者は構造も大気中の効率も大幅に異なり、区別して扱われる。；その結果、教育の無料化と非識字率の大幅な低下といった成果を上げた。；ただし、大幅な遅延が発生した場合は延長運転を取りやめることがある。；第一次世界大戦に入ると溶接能力の大幅な向上が強く求められるようになった。；ストーリーはFC版に基づいているが、大幅な要素の追加・変更が行われた。；原作小説がまだ連載中であった頃に制作されたため、結末が大幅に異なる。；前述のように、7次車までと8次車以降でデザインが大幅に異なっている。；時間と空間の捉え方も2人の見解が大幅に相違しており、互いに衝突していた。；この朝経の一連の働きによって細川の版図は大幅に拡大することになった。；なお、後述する副都心線改造工事では乗務員室内は大幅に改造されている。；しかし金銭面での待遇は大幅に下がったため、生活に苦慮したともいう。；これはそれまでの既知の最古のベッドよりも大幅に古いものだった。；一方、泥が少ない川では胃にも泥が含まれず、食味も大幅に改善する。；そのため大幅にダイヤが乱れた際は当駅で折り返しを行う場合がある。；製造技術と音響学の知識の両方が洗練され、楽器の演奏性が大幅に向上した。；舞台は前作の峠から町へと大きく広がり、登場する人物なども大幅に増加。；続投したキャラクターは一部を除き声優の大幅な刷新が施されている。；ここに収容される者は自由が大幅に制限されていた。；その為、大幅な性能低下は覚悟の上で4ストロークへの移行が行われたのである。；大幅なダイヤ乱れ時には次の列車が到着するまでの時間が表示されることもある。；C型の1段目のモータケースを延長し、打ち上げ能力を大幅に強化した。；大幅なリニューアルが行われながらも現在まで続く長寿アニメとなる。；このため、日本との貿易ではモーリタニアは大幅な黒字を計上している。；地図の重ね合わせは紙の地図では時間がかかった処理を大幅に短縮することが可能になった。；この発明はすぐに自転車に使用され、乗り心地と速度の大幅な向上をもたらした。</t>
        </is>
      </c>
      <c r="J995">
        <f>HYPERLINK("https://www.weblio.jp/content/大幅", "词义详情")</f>
        <v/>
      </c>
      <c r="K995">
        <f>HYPERLINK("https://yourei.jp/大幅", "查看例句")</f>
        <v/>
      </c>
    </row>
    <row r="996">
      <c r="A996" t="inlineStr">
        <is>
          <t>大まか</t>
        </is>
      </c>
      <c r="B996" t="inlineStr">
        <is>
          <t>成功</t>
        </is>
      </c>
      <c r="C996" t="inlineStr">
        <is>
          <t>読み方：おおまか
［形動］［文］［ナリ］細かいことにこだわらずに物事を済ませるさま。また、緻密(ちみつ)でないさま。おおざっぱ。「—な見積もりを立てる」「万事に—な仕事ぶり」
[派生]おおまかさ［名］</t>
        </is>
      </c>
      <c r="D996" t="inlineStr">
        <is>
          <t>大まかな流れ(3%)；大まかな分類；大まかなストーリー；大まかな内容；大まかな形</t>
        </is>
      </c>
      <c r="E996" t="inlineStr">
        <is>
          <t>一般；広く；大きい；広い；一体</t>
        </is>
      </c>
      <c r="F996" t="inlineStr">
        <is>
          <t>大まかな目安；大まかなあらすじ；大まかなプロット；大まかな指針；大まかな概要</t>
        </is>
      </c>
      <c r="H996" t="n">
        <v>29</v>
      </c>
      <c r="I996" t="inlineStr">
        <is>
          <t>リーグに参加した選手達の動きは、大まかには以下のようなものになる。；複数の路線で使用された形式が多く、下記の分類は大まかなものである。；多数の派生型が運用に就いているが、大まかには次のように分類される。；同資料によると、BASEの各用語の大まかな定義は以下の通りである。；また、その仮説を立てた大まかな理由もある程度明確にしておくとよい。；生物の社会を大まかに分ければ、種内の社会と種間の社会に分けられる。；土地は、大まかに2種類に分類でき、通常地形と特殊地形に区別される。；大まかにGPLをモデルにしてはいるが、実質的な内容はかなり異なる。；アルバムは半自伝的で、大まかにはパーソンズとの関係に基づいていた。；バルト海が大まかに現在の形となったのは3800年前と考えられている。；非常に多様な地域であるが、大まかには北部と南部に分けることができる。；展示生物は生息地域別に分類されており、大まかには以下のとおりである。；ロードマップ手法の活用は、大まかに以下の3段階から構成されている。；これらは以前からの体系と大まかな点では一致するものである。；以下にサザン鉄道の塗装の例と最初に適用された大まかな時期を示す。；物語の重要部分や大まかなところは、アニメーションが挿入されている。；大まかに東西の二つに分かれており、意見の相違もあって対立することも多い。；この層の気候は熱帯で、現在のブラジルの気候に大まかに対応している。；レイアウトとは、背景や人物などを含めた大まかな画面設計図である。；このモデルでは大まかに言えば、宇宙はいつでも同じように見えることになる。；従来、四肢動物の大まかな分類は、側頭窓の形態によって行われていた。；一般的な沖積層は、大まかに分けて下位より以下のような構造をしている。；ここには本プロジェクトの、現時点までの大まかな流れと状況を記します。；しかし、大まかに似ている程度で、旋律が完全一致しているわけではない。；戦闘の大まかな流れは以上のようになるが、そのほかにも付属的な要素が存在する。；大分バス運行各路線の系統番号を大まかに分類すると次のようになる。；大まかなシステムは前作とほぼ同じだが、一方で変更・廃止された要素も存在する。；このイベントの起きる時間と場所を見つける事が大まかな流れとなる。；コミュニティバスの実際の運営方式は、大まかに以下のように分類できる。</t>
        </is>
      </c>
      <c r="J996">
        <f>HYPERLINK("https://www.weblio.jp/content/大まか", "词义详情")</f>
        <v/>
      </c>
      <c r="K996">
        <f>HYPERLINK("https://yourei.jp/大まか", "查看例句")</f>
        <v/>
      </c>
    </row>
    <row r="997">
      <c r="A997" t="inlineStr">
        <is>
          <t>大水</t>
        </is>
      </c>
      <c r="B997" t="inlineStr">
        <is>
          <t>成功</t>
        </is>
      </c>
      <c r="C997" t="inlineStr">
        <is>
          <t>読み方：おおみず
大雨などのため、川や湖などの水があふれて陸地を浸すこと。洪水。</t>
        </is>
      </c>
      <c r="D997" t="inlineStr">
        <is>
          <t>大水系；大水窟；大水更に神寂び；大水蛇</t>
        </is>
      </c>
      <c r="E997" t="inlineStr">
        <is>
          <t>洪水；氾濫；大洪水；出水；越流</t>
        </is>
      </c>
      <c r="G997" t="inlineStr">
        <is>
          <t>大水上命；大水神社；大水口宿禰；大水上神；大水戸町</t>
        </is>
      </c>
      <c r="H997" t="n">
        <v>29</v>
      </c>
      <c r="I997" t="inlineStr">
        <is>
          <t>その川は、大水にやられた森の中を通っていて、木はみんな枯れている。；今から二十五年程前の大水の際にも、これを見た者が二、三人もあった。；が、その時の大水は僕の記憶に残っているのでは一番水嵩の高いものだった。；キリストの生れる何千年か前に、この地球に大変な大水の出たことはあった。；そしてどうして一日のうちに大水を自由に動かし得るかそういうことまで話してくれた。；それまで同川は時々大水を起こし、南北の交通を遮断したり橋を流したりした。；どこにもここにも、たいへんなよろこびが、大水のようにあふれました。；あの大水が見ているうちに行衛知れずになったのは正しく神の奇蹟なのじゃ!；そこでの一家の生活は、大水に根太ごと浮いた一軒の家に似ていた。；が、その時の大水は僕の記憶に残っているのではいちばん水嵩の高いものだった。；或年の大水に田畑が荒らされてから村を出て他に移った者が多い。；たまたま大水が出て酢川の水が近くの淡水の川にまじることがあった。；川原のあらわれる日照りのときもあるが、大水が押し流れることもある。；大水にでもなったらどうしようかと、少し気にしてしまった。；長鼻の動物の巨大さ、ゆっくりと歩くだけで水溜に大水が跳ねて地に響く。；木の上に登って助けてくれというのは、たいてい大水の場合に限るようです。；下手人たちはこれ幸いと大水で死んだように見せ掛けたに違いない。；ある時大水が出て二人の子の姿が見えなくなり、母はそれを悲しんで死んで鳥となった。；大水の川の中を流される無数の雨蛙の運命と同じものかも知れぬ。；愛は大水も消すことができない 洪水もおぼれさせることができない。；が、幸いどの大水も床の上へ来たことは一度もなかった。；これが日本になると、「上は大火事、下は大水」という表現になります。；また、大水が出ると橋は撤去されるため渡河は不可能であった。；大水が引いて、ふたりの足がまたかわいた地面に着くと、人間の姿に戻ったのでした。；この橋は大水の際は、橋の損壊を防ぐために橋の渡り板を撤去できる構造になっていた。；ある日、いつものように花を売って帰ると、大水が出て川が渡れない。；その川が大水になっていて、わたることができません。；しかし、たとえどんな大水だったにしろ、それが地球全体を浸す筈はないからね。；雨の降るのにしかも大水の中を牽くのであるから、無造作には人を得られない。</t>
        </is>
      </c>
      <c r="J997">
        <f>HYPERLINK("https://www.weblio.jp/content/大水", "词义详情")</f>
        <v/>
      </c>
      <c r="K997">
        <f>HYPERLINK("https://yourei.jp/大水", "查看例句")</f>
        <v/>
      </c>
    </row>
    <row r="998">
      <c r="A998" t="inlineStr">
        <is>
          <t>大晦日</t>
        </is>
      </c>
      <c r="B998" t="inlineStr">
        <is>
          <t>成功</t>
        </is>
      </c>
      <c r="C998" t="inlineStr">
        <is>
          <t>読み方：おおつごもり
樋口一葉の小説。明治27年（1894）発表。大みそかを背景に、女中奉公をしている薄幸の娘お峰の哀感を描く。</t>
        </is>
      </c>
      <c r="D998" t="inlineStr">
        <is>
          <t>大晦日スペシャル；大晦日特番；大晦日ダイヤ；大晦日年越し；大晦日当日</t>
        </is>
      </c>
      <c r="F998" t="inlineStr">
        <is>
          <t>同年大晦日；大晦日深夜；大晦日深夜から元旦</t>
        </is>
      </c>
      <c r="H998" t="n">
        <v>29</v>
      </c>
      <c r="I998" t="inlineStr">
        <is>
          <t>大晦日には市内の企業などが雪と氷でできた小さな町を作る催しがある。；それで一九九二年の大晦日から正月二日まで出雲に滞在することにした。；地域ごとに異なる部分も多いが、大晦日の出来事とする点では違いが無い。；門松がお粗末なのだが並んでゐる以外は、何処にも大晦日の気分は無い。；だが大抵の年は三十日の夜に終わるが、今日は一日遅れの大晦日になった。；との2部構成で中継を行い、史上初となる大晦日の世界戦開催となった。；大晦日の出店というよりも、どちらかと言えばお祭りの屋台とかに近い。；それでも磯村くんは、大晦日の日に木川田くんの家へ電話をしたのです。；以来大晦日のタイムズ・スクエアでは本作が再生されるようになっている。；大日山の影には不動様のお堂もあり、大晦日の夜籠りがここで行われた。；大晦日には、それぞれ参加者を迎え入れた教会で深夜の祈りが持たれる。；大晦日にはちょうど昨日帰ったという加藤の家を音信るることができた。；節分の夜・大晦日の夜に、門の戸を叩く者のある事は、古今に例が多い。；大晦日だし、まだろくな情報が警察からも提供されてないんでしょう。；クリスマスが終わってしまって、あとは大晦日を待つだけの半端な時間。；そして翌日の大晦日には日の暮れるのをまちかねてまた清月に出かけた。；大晦日から三日までのつもりだったが、とくに準備するものもない。；それは去年の大晦日に二人が予想した以上に、困難で悲しい日々であった。；ン、へへ、家内の言うとおり、こいつは去年の大晦日に買って来たんだ。；そこで彼は、何年か前から、大晦日の夜はひそかに外出することにしていた。；また本作のヒットで大晦日の第42回NHK紅白歌合戦にも初出場を果たす。；大晦日の夜は、若い元気な連中は、皆繁華街に出かけ、盛んに酒をのむ。；毎年大晦日にその年のシーズンがまとめて放送されている。；この年の大晦日に行われた第47回NHK紅白歌合戦では審査員を務めた。；以前は年始に行われていたが、1999年より大晦日に行われている。；こんなふうにして、その年もつまり、ちょうど大晦日の夜のことでありました。；これが大晦日の公開放送になったのはそれから二年後のことである。；今日は大晦日だというのに、どこか別の女の子の所で過ごすつもりなんだろうか。；大晦日だからって、手の空いてない警官がいないわけじゃないでしょ。</t>
        </is>
      </c>
      <c r="J998">
        <f>HYPERLINK("https://www.weblio.jp/content/大晦日", "词义详情")</f>
        <v/>
      </c>
      <c r="K998">
        <f>HYPERLINK("https://yourei.jp/大晦日", "查看例句")</f>
        <v/>
      </c>
    </row>
    <row r="999">
      <c r="A999" t="inlineStr">
        <is>
          <t>大昔</t>
        </is>
      </c>
      <c r="B999" t="inlineStr">
        <is>
          <t>成功</t>
        </is>
      </c>
      <c r="C999" t="inlineStr">
        <is>
          <t>読み方：おおむかし
非常に遠い昔。太古。</t>
        </is>
      </c>
      <c r="D999" t="inlineStr">
        <is>
          <t>大昔からずっと；大昔以来；大昔からとり廻し；大昔からあつ</t>
        </is>
      </c>
      <c r="E999" t="inlineStr">
        <is>
          <t>古く；太古；その昔；古い時代；遠い昔</t>
        </is>
      </c>
      <c r="F999" t="inlineStr">
        <is>
          <t>遠い大昔；はるか大昔</t>
        </is>
      </c>
      <c r="H999" t="n">
        <v>29</v>
      </c>
      <c r="I999" t="inlineStr">
        <is>
          <t>そうして見ると彼は、霧の奥から迷い出てきた大昔の人間のようだった。；女房のお産がすむまで戦争を待ってくれてえ侍が大昔からいたと思うか。；まるで他人の身に大昔起こった伝説でも聞いているような気分だった。；はるか大昔にこんな物語が作られていたのかと思うと、感心させられる。；その事件が起こったのは大昔のことなのに、どうしてそう断言できるの?；確かに昔は、いや大昔は、甲板の上に大地と建物がたくさんあったのだ。；大昔はパンと酒との製造工程はあるところまでは一緒であったようである。；その石段の一部は大昔のもので、短い廊下は全部修復したものであった。；大昔から同じような詐欺行為が、世界の至る所で繰り返されてきました。；それも大昔の先祖の体験ではなく、今の自分自身の体験だと主張するんだ。；大昔から現在まで、現実の世界では同一商品が様々な価格で売られている。；そんな大昔のことが何で気になったのか、それはやっぱり解らなかった。；大昔から自分たちの庭だった土地が、和人の手を離れて戻ってくると言う。；女の立場のかなしさは日本の女の大昔からうけついできている不幸である。；かれは、宗教的な名称をおびた大昔の帆船のほとんどをそらんじていた。；極く平凡な大昔の田舎では、遠い所に我々の世界とは違つた世界がある。；このとき、この場所にも大昔の人びとの生活の場があることを知った。；大昔に、現在とは別の場所から移動してきたのだといわれている。；それゆえ、大昔の英語の慣用句が「古典的な」英語と呼ばれるのである。；大昔にこんな複雑な仕組みの金庫が作られていたなんて知らなかった。；その三つの山っていうのは大昔三人の姉妹だったのだと言います。；大昔は、神はこの地上で、人間とおなじようにして住んでいたものなのである。；大昔の魔法使いの手ででもなけれは払拭できないような不思議な寒さである。；大昔、観光地化しようとしたらしくてな、ところどころに案内板がある。；大昔の話であるが、不倫が発覚した女優さんがこう言ったことがある。；丘の頂上には、村の長老でさえ由来を知らない大昔の建物の跡がある。；トロイの木馬に乗りこんだ大昔の連中も同じように震えたのだろうか?；大昔の録音を再生したものだから、たえず波か雨のような雑音が入る。；大昔から、村の決め事は御三家が合議して決めるんだといわれてます。</t>
        </is>
      </c>
      <c r="J999">
        <f>HYPERLINK("https://www.weblio.jp/content/大昔", "词义详情")</f>
        <v/>
      </c>
      <c r="K999">
        <f>HYPERLINK("https://yourei.jp/大昔", "查看例句")</f>
        <v/>
      </c>
    </row>
    <row r="1000">
      <c r="A1000" t="inlineStr">
        <is>
          <t>概ね</t>
        </is>
      </c>
      <c r="B1000" t="inlineStr">
        <is>
          <t>成功</t>
        </is>
      </c>
      <c r="C1000" t="inlineStr">
        <is>
          <t>読み方：おおむね
［名］だいたいの趣旨。あらまし。「—は了承した」
［副］（概ね）その状態が大部分を占めるさま。だいたい。おおよそ。「会員は—女性だ」</t>
        </is>
      </c>
      <c r="D1000" t="inlineStr">
        <is>
          <t>概ね同じ；概ね町村制施行；概ね一致する；概ね同地域；概ね高評価</t>
        </is>
      </c>
      <c r="E1000" t="inlineStr">
        <is>
          <t>約；およそ；図；大抵；大体</t>
        </is>
      </c>
      <c r="F1000" t="inlineStr">
        <is>
          <t>概ね過ごしやすい；概ね東の方向；概ね同区域；概ね好評価；概ね閑静な住宅</t>
        </is>
      </c>
      <c r="H1000" t="n">
        <v>29</v>
      </c>
      <c r="I1000" t="inlineStr">
        <is>
          <t>日本以外でも分類は異なる場合もあるものの用途は概ね同一である。；ここを軸に縦二十三条、横七十八条の概ね碁盤の目状に町割がなされた。；これは上記のような文法上の定義と概ね重なるが、必ずしも一致しない。；上記の伊奈町以外では、現在の行政区画では概ね以下の区域に相当する。；ここでは、概ね主なコーナーで記載した要素を含むものを掲載する。；これを機に概ね半年毎にいくつかの期に分けられる長期シリーズとなっている。；概ね郡山駅で系統は分割されているが、朝夕の一部列車は直通運転する。；時代によって職種などは変化したが、概ね以下のような組織になっていた。；出産後は一時出演しない時期もあったが、概ね月1回以上は出演している。；その結果、現在では概ね、 のいずれか又はその混合の形態となっている。；上記の7町以外では、現在の行政区画では概ね以下の区域に相当する。；カナダに類似の法律はないが、概ね米国と同じ設定で受信している。；計画書に記載されていた海軍の要求値は、概ね以下の様なものであったとされる。；気相中を音が伝わる場合、概ね分子量が小さい物質ほど速い傾向を示す。；擬宝珠橋も現存せず、概ね鳥取県立鳥取西高等学校の前に位置していた。；概ね東京旧市内で高台に比べ低地を多く占める旧区分を下町としている。；概ね東京旧市内で低地に比べ高台を多く占める旧区分を山手としている。；上記の1町1村以外では、現在の行政区画では概ね以下の区域に相当する。；国際クラス分類と国内での分類の対応は概ね次のとおり。；列強のうち主要国との交渉は概ね終了し、あとは小国を残すだけになった。；KKCの商法は多くのコースがあるが、概ね以下のようなものである。；失敗の原因は概ね次のとおりのことが指摘されている。；作品ごとに細かい変更はあるものの、概ね以下のようになっている。；貿易風と呼ばれ北半球では概ね北東の風、南半球では概ね南東の風である。；地域によっては複数の呼称が存在するが、概ね以下のように名称が分布している。；現在放送されている料理番組は、概ね以下のような種類に大別できる。；トレニタリアに設定されている列車種別は、概ね以下のようなものがある。；行事は年により変更になることもあるが、概ね以下の日程で行われている。；その死因は概ね顎から頭に向けて銃弾が2発発射されたもので有った。</t>
        </is>
      </c>
      <c r="J1000">
        <f>HYPERLINK("https://www.weblio.jp/content/概ね", "词义详情")</f>
        <v/>
      </c>
      <c r="K1000">
        <f>HYPERLINK("https://yourei.jp/概ね", "查看例句")</f>
        <v/>
      </c>
    </row>
    <row r="1001">
      <c r="A1001" t="inlineStr">
        <is>
          <t>大物</t>
        </is>
      </c>
      <c r="B1001" t="inlineStr">
        <is>
          <t>成功</t>
        </is>
      </c>
      <c r="C1001" t="inlineStr">
        <is>
          <t>読み方：おおもの
１大きな形のもの。また、価値のあるもの。「—を釣り上げる」⇔小物(こもの)。
２その方面で大きな勢力・影響力をもっている人物。また、器量の大きい、すぐれた人物。「財界の—」「—の相」⇔小物。</t>
        </is>
      </c>
      <c r="D1001" t="inlineStr">
        <is>
          <t>大物政治家(5%)；大物選手；大物たち；大物アーティスト；大物プロデューサー</t>
        </is>
      </c>
      <c r="E1001" t="inlineStr">
        <is>
          <t>巨人；権威；著名人；有名人；偉人</t>
        </is>
      </c>
      <c r="F1001" t="inlineStr">
        <is>
          <t>ら大物；大物芸能人；大物忌；そんな大物；大物スター</t>
        </is>
      </c>
      <c r="G1001" t="inlineStr">
        <is>
          <t>大物主神；大物主；大物俳優；大物議員；大物主命</t>
        </is>
      </c>
      <c r="H1001" t="n">
        <v>29</v>
      </c>
      <c r="I1001" t="inlineStr">
        <is>
          <t>しかし大物であり角界の大先輩である天龍源一郎とは別の部屋に入った。；大半の釣り人が求めるほぼあらゆる分野の魚の大物が豊富に生息している。；その時に出演した映画の監督で、後に大物になった者も少なくない。；同じく大物政治家で首相を数期務めたムダール・バドラーンは兄に当たる。；ニュルンベルク継続裁判の中では最大の大物が集められた裁判と言われる。；シャルケのトップチームに昇格後は次の大物選手になる存在と評された。；大物にも物怖じしない慎吾君がどういったツッコミを入れるのか考える。；捜査が進むに連れ、財界の大物らも事件に関与している可能性が浮上する。；あの車、見うしないはしないから安心しな、だが、あいつは大ものかい?；なお、まれに日本の大物ゲームクリエイターが登場し話題となっている。；ファーラーは大物舞台人としては初めて映画に出演した人物だという。；下記で挙げるのはほんの一部で、これ以外にも大物ゲストの登場が多々ある。；一度も来日公演が行われていない大物アーティストの一人である。；他にも大物選手獲得に向けて幾つかの交渉の席を持ったが、いずれも成立しなかった。；また、大物海賊の部下だからという理由で懸賞金が高くなる場合もある。；一方で蔣介石はドイツ大物軍人を中国に招待する希望を持っていた。；だが、この事件の裏には、勝又の後ろでさらに糸を引く大物の存在があった。；大臣裁判は継続裁判の中では最大の大物を集めた裁判であった。；でも、ベリーを演じたいと言ってきた俳優の中には中堅や大物がいたんだ。；レーベルを支えて生きた大物たちが次々とレーベルを去っていった。；当時のシチリアは大物マフィアですらこのレベルの生活をしていた。；本作中に登場する役満を含めた大物手や特徴的な手を統一して勝打と呼称する。；その他、ゲストキャラクターにも数々の大物声優を惜しみなく起用している。；その網にかかったのは、大ものも大もの、怪人四十面相なのですからね。；その子どもの話によれば、ある大物が彼を呼んでいるというのだ。；後半のスタジオライブでは、その後の大物アーティストが多数出演していた。；二人の師はともに高芙蓉の流れを受けた江戸篆刻界の大物であった。；また、五島慶太や根津嘉一郎のような大物にも疑いの目が向けられた。；やがて庶民院内でも大物政治家と見做されるようになっていった。</t>
        </is>
      </c>
      <c r="J1001">
        <f>HYPERLINK("https://www.weblio.jp/content/大物", "词义详情")</f>
        <v/>
      </c>
      <c r="K1001">
        <f>HYPERLINK("https://yourei.jp/大物", "查看例句")</f>
        <v/>
      </c>
    </row>
    <row r="1002">
      <c r="A1002" t="inlineStr">
        <is>
          <t>大家</t>
        </is>
      </c>
      <c r="B1002" t="inlineStr">
        <is>
          <t>成功</t>
        </is>
      </c>
      <c r="C1002" t="inlineStr">
        <is>
          <t>読み方：おおや
１貸家の持ち主。家主。⇔店子(たなこ)。
２母屋(おもや)。
３本家(ほんけ)。</t>
        </is>
      </c>
      <c r="D1002" t="inlineStr">
        <is>
          <t>大家たち；大家連；大家内；大家先生；大家彦左衛門</t>
        </is>
      </c>
      <c r="E1002" t="inlineStr">
        <is>
          <t>権限；権威；チャンピオン；王者；名人</t>
        </is>
      </c>
      <c r="F1002" t="inlineStr">
        <is>
          <t>三大家；諸大家；ご大家；御大家；某大家</t>
        </is>
      </c>
      <c r="G1002" t="inlineStr">
        <is>
          <t>大家さん；大家友和；大家令；大家志津香；大家健</t>
        </is>
      </c>
      <c r="H1002" t="n">
        <v>29</v>
      </c>
      <c r="I1002" t="inlineStr">
        <is>
          <t>以て天下の芸術の代表の大家たることを知るべしと言わなければならぬ。；大家さんと彼女が話をしているところを私は一度も見たことがない。；ああいう連中の中には、立派な人種誌学者や東洋語の大家がいるからね。；大家さんはまだ住んでるらしいから、ちょっと様子を見てきてくれる?；その他、科学から出でて哲学や宗教に入った大家は少くないのであります。；三大家は単に書法に優れていただけでなく、学者であり、官僚であった。；彼一人で十八世紀のクラシックの大家全体以上のページを取っていた。；されど君もまだ歳若ければ、此の如き大家を非難すべきにあらざるべし。；隣りの大家に見つからぬようにしなくてはならぬようになってきた。；なんと、大家が言うには奈緒子の家賃3か月分を既に受け取ったとの事。；現地に着くと、その従姉妹の娘であるという蒼葉梢が大家を務めていた。；一階に住んでいる大家さんはご家族みんなが風邪で倒れていると聞きました。；しかしその大家の論文をよく読んでみなければうっかりその人の非難はできない。；だから本人が目の前にいるうちに大家さんに電話したのだ。；そして驚くべきことに、批評された相手は当代第一の歌の大家なのである。；たまたま結婚していて、大家さんもそれを知っているから隠れて会うしかないのだ。；文壇の大家小家はことごとく雨をついてその葬式について行ったという。；いやな噂が聞えているために、大家の井戸屋にも嫁に来るものがない。；アパートとはいっても、大家さんの家の離れみたいなもんだもの。；朝基が諸大家に師事できたのには、こうした当時の時代背景があった。；ただ、大家さんと彼女は、どちらかというと、仲が悪いみたいだった。；その点では一二の大家先生の方が、遙に雑俗の屎臭を放つてゐると思ふ。；信長だの秀吉てえ人々はかういふ智恵の闇商人を善用した大家なんだな。；これら四大家の山水画は、後の明・清時代にも正統派絵画の規範とされた。；いやこういう大家になると、いろいろの秘密があるものと見える。；研究の大家たちは自分の研究が正しく取り扱われていないと思うかも知れない。；テレビの横にはいつも、韓国にいた時から好きだったいけ花をしつらえている。；フランドルの大家の作品がルブランを刺激し、新しい技法を試みさせた。；さういふ大家さんも、たまにはゐて下さらないと、困る人は困りますわ。</t>
        </is>
      </c>
      <c r="J1002">
        <f>HYPERLINK("https://www.weblio.jp/content/大家", "词义详情")</f>
        <v/>
      </c>
      <c r="K1002">
        <f>HYPERLINK("https://yourei.jp/大家", "查看例句")</f>
        <v/>
      </c>
    </row>
    <row r="1003">
      <c r="A1003" t="inlineStr">
        <is>
          <t>公</t>
        </is>
      </c>
      <c r="B1003" t="inlineStr">
        <is>
          <t>成功</t>
        </is>
      </c>
      <c r="C1003" t="inlineStr">
        <is>
          <t>読み方：おおやけ
《「大宅(おおやけ)（大きな家）」の意から、皇居・天皇・朝廷、さらに公共の意に転じた語》
［名］
１政府。官庁。また、国家。「—の機関」「—の費用」
２個人の立場を離れて全体にかかわること。社会。公共。世間。「—のために尽くす」⇔私(わたくし)。
３表だつこと。表ざた。「—の場に持ち出す」「事件が—になる」
４天皇。皇后。または中宮。
「おほかたの御心ざま広う、まことの—とおはしまし」〈栄花・月の宴〉
５朝廷。
「—の宮仕へしければ」〈伊勢・八五〉
［名・形動ナリ］ものの見方・扱い方などが偏っていないこと。また、そのさま。公平。公正。
「詞うるはしく、論—なり」〈難波物語〉</t>
        </is>
      </c>
      <c r="D1003" t="inlineStr">
        <is>
          <t>公位；公試；公妃；公文書館；公王</t>
        </is>
      </c>
      <c r="E1003" t="inlineStr">
        <is>
          <t>周知；明るみ；公共性</t>
        </is>
      </c>
      <c r="F1003" t="inlineStr">
        <is>
          <t>信長公；国公；収公；女公；おチャ公</t>
        </is>
      </c>
      <c r="G1003" t="inlineStr">
        <is>
          <t>公園；公式；公演；公表；公爵</t>
        </is>
      </c>
      <c r="H1003" t="n">
        <v>29</v>
      </c>
      <c r="I1003" t="inlineStr">
        <is>
          <t>わが公に大政に参与するよう命じておきながら大事の決定にも相談せず。；これ以降はラジオ番組をはじめとした公の場には一度も姿を表していない。；以降は呼吸補助器を携行しながら、公の場にも積極的に顔を出していた。；結成以来初めて、6人のメンバーが公の場で一堂に会することとなった。；調律などの都合上基本的な演奏はできるが、公の場で演奏することはない。；ブランドの公民権運動への参加はキングの死より何年も前から始まっていた。；自分が性的少数者であると公にしていない人は「クローゼット」という。；後にこれが愛人宅における腹上死だったことが公になり大騒動になった。；オーケストラの指揮もしなければ、公に楽器を演奏することもないのである。；したがって「私は公のためなら犠牲になってもいい」とはならない。；あるとき、この近隣の地域を支配していたジェモメスゥ公が狩に出かけた。；当時のソ連で楽譜が公に出版された唯一の日本人作曲家である。；この聴聞会は公に放送され、南アフリカの社会に重大な衝撃をもたらした。；KEWPIEという名称が公に記載されたのはこれが最初だといわれている。；ツツは、自分の地位を使って社会的不公正と見做したことを公に批判した。；その1人である川戸貞吉がこの事実を本に書き、公の知るところになった。；中には、など、公の場で差別的ともとれる意見が述べられることもあった。；このため1930年に李堈は隠居に追い込まれ、子の李鍵が公となった。；健康上の理由などからしばしば公の活動から退くことがあった。；しかし、海外に事件が報道され、公に公表せざるをえなくなった。；室戸など遠洋漁業中心の港では、風評を恐れて被曝は公にならなかった。；この時の姿が公の前に立った最後の姿となった。；これが公の場に姿を見せた最後の機会となった。；後に東晋の時代になって、山陽公の末裔を捜索する詔勅が出されている。；公は家に帰り、父の指替の刀を取ってすぐにかの家に至った。；歴代の公爵・公妃はいずれもナント大聖堂か近郊の修道院に埋葬されてきた。；バーティ夫妻は残されたメアリー公女を引き続き娘として取り扱った。；それまでの公の本拠地の代わりにナントにブルターニュ公爵城が建てられた。；このため公の場では女装した状態で出席させられている。</t>
        </is>
      </c>
      <c r="J1003">
        <f>HYPERLINK("https://www.weblio.jp/content/公", "词义详情")</f>
        <v/>
      </c>
      <c r="K1003">
        <f>HYPERLINK("https://yourei.jp/公", "查看例句")</f>
        <v/>
      </c>
    </row>
    <row r="1004">
      <c r="A1004" t="inlineStr">
        <is>
          <t>おおよそ</t>
        </is>
      </c>
      <c r="B1004" t="inlineStr">
        <is>
          <t>成功</t>
        </is>
      </c>
      <c r="C1004" t="inlineStr">
        <is>
          <t>読み方：おおよそ
［名・形動］
１だいたいのところ。あらまし。「計画の—を説明する」
２ひととおりであること。普通。
「ひととせはいたく—にこそおもしろしと見え給ひしか」〈宇津保・楼上上〉
［副］
１細部にこだわらず概略を判断するさま。だいたい。大ざっぱに。およそ。「—一〇年ぐらい前」「事情は—見当がつく」
２話を切り出すときの言葉。全体的にみて。一般に。いったい。そもそも。「—国家としての独立を望まない者はいまい」
→大体(だいたい)［用法］</t>
        </is>
      </c>
      <c r="D1004" t="inlineStr">
        <is>
          <t>おおよそ同じ；おおよそ一致する；おおよそわかる；おおよそ等しい；おおよそ比例する</t>
        </is>
      </c>
      <c r="E1004" t="inlineStr">
        <is>
          <t>ほとんど；約；ほぼ；程度；ぐらい</t>
        </is>
      </c>
      <c r="H1004" t="n">
        <v>29</v>
      </c>
      <c r="I1004" t="inlineStr">
        <is>
          <t>何歳年をとったかでおおよそのプレイ時間が分かるようになっている。；また、これらの合計値からそのキャラクターのおおよその強さがわかる。；おおよそは原作に沿った筋書きとなっているが、いくつか相違点がある。；そこからこの人物名の祖形はおおよそガシャルとなることが推定される。；放送時間はその年の編成の都合に左右されていたが、おおよそ3時間強。；全体は3幕に分けられており、扱われるテーマはおおよそ次の通りである。；おおよそ、生物の種類と命名規約との対応関係は以下のようになっている。；それぞれの番号は、高速道路の起点からのおおよその距離を示している。；おおよそ興味ある分布に相当するグラフ構造は既知であると仮定される。；ここからおおよそ北西に流れ、北緯54度を超えると南に向きを変える。；これはおおよそ「神経学的定型」が当初持っていたのと同じ意味を持つ。；このような立場からの見解はおおよそ次のようなものである。；ホームが短いため、おおよそ4両より長い編成の場合ドアカットを行う。；哲学以外の大抵の学問は、分野名を聞いただけでおおよその内容が察せる。；アフリカの角に明確な境界はないが、おおよそ次のような範囲である。；主張は著書、雑誌記事などによればおおよそ次のとおりであった。；ただ分割式自転車は、おおよそ走行面では優れているものが多い。；これらの名称によってその塔頭の来歴をおおよそ分類することができる。；乗車券の大きさは各社局ほぼ同一であり、おおよそ以下の5種類になる。；参加神社ごとに細部は異なるが、祭事はおおよそ以下の流れで催される。；この島に人が住み始めたのは、おおよそ紀元前2000年頃とされている。；おおよそ南に行くほど先端が二つに分かれる傾向があるとも言う。；最初の刊行予定日からおおよそ1年ほど刊行が遅れた経緯がある。；体全体がおおよそ黒い、または黒と白であるため、その部分はよく目立つ。；こうしてこれらは現在おおよそ新石器時代のものであるとみなされている。；速度を落とした際に各選手のおおよそのコース取りが決定する。；諸書に記されたエイメの後半生は、おおよそ以下のようにまとめられる。；両説の間には数十年の差があるが、おおよそ400年前に造られたと見られる。；これらの4つであれば、いずれもおおよそ妥当と評価できるであろう。</t>
        </is>
      </c>
      <c r="J1004">
        <f>HYPERLINK("https://www.weblio.jp/content/おおよそ", "词义详情")</f>
        <v/>
      </c>
      <c r="K1004">
        <f>HYPERLINK("https://yourei.jp/おおよそ", "查看例句")</f>
        <v/>
      </c>
    </row>
    <row r="1005">
      <c r="A1005" t="inlineStr">
        <is>
          <t>大喜び</t>
        </is>
      </c>
      <c r="B1005" t="inlineStr">
        <is>
          <t>成功</t>
        </is>
      </c>
      <c r="C1005" t="inlineStr">
        <is>
          <t>読み方：おおよろこび
［名］(スル)非常に喜ぶこと。「合格して—する」</t>
        </is>
      </c>
      <c r="D1005" t="inlineStr">
        <is>
          <t>大喜びでし(2%)</t>
        </is>
      </c>
      <c r="E1005" t="inlineStr">
        <is>
          <t>幸福；明るい；喜び；幸せ；楽しい</t>
        </is>
      </c>
      <c r="H1005" t="n">
        <v>29</v>
      </c>
      <c r="I1005" t="inlineStr">
        <is>
          <t>あの子だってマヨネーズが食べられるようになれば大喜びにちがいない。；久しく幼い子はいなかったからと、女たちは大喜びで世話をしてくれた。；それどころか、かれがきて何かを取るのを見るとみな大喜びをしている。；私たちがお屋敷に戻る道々、村の人たちはその格好を見て大喜びでした。；やっともう心配はないと医者が発表した時には、人々は大喜びをした。；どうしたはずみか顔がよく似たので、当人よりは両親のほうが大喜びだ。；滋一学期の成績を学校で聞いて来たとて、大喜びで玄関に入るなり言う。；私は以前に一度お目にかかっただけだが、窓ごしに大喜びで手招きした。；打った本人は大喜びしていたが、当時の達川晃豊監督は唖然としていた。；女の子が生まれたというので、五人の息子を持つ父母は大喜びであった。；この話で、三人とも大喜びするだろうと期待していることは明らかであった。；自分たちの作りあげたこの重い筏が動くのを見て、みんな大喜びだった。；ほんとうの家が持てそうだとこの子が大喜びしたのも不思議ではない。；それまで規則があり、猫も飼うことが出来なかった母は大喜びだった。；雪玉を転がすとどんどん大きくなるのを知って、女の子は大喜びだった。；ウッドハウス氏ですら、前は渋っていたのに、今は大喜びで迎えていた。；先生御自身は、新しい経験をするので、子どものように大喜びでした。；そこへたとえ電話ででも弟子入り志願者がついたというので、大喜び。；自分たちの商売になるのなら、誰であろうと大喜びで武装してやる連中なのだ。；このナマアシの流行でいちばん大喜びしているのは男性たちだと思う。；どえらいことをやったもんだなあ、だが、おもてはみな大喜びだったぜ。；伝兵衛は大喜びでそれを腰の魚籠へ入れたが、魚籠は魚で一ぱいになった。；彼女は肌衣がお尻に触れないくらいにそっくり返って大喜びでした。；あの女は嫌いだし、女の狡猾・陰険なたくらみが失敗して大喜びだった。；論争を熱心に聞いていた旅の武器商が、大喜びで用意した品であった。；狼は大喜びで走って来てみると、それは誰かが落した大きな人形でした。；仔鹿たちは大喜びで母の腹の下にもぐりこみ、盛んに乳を飲みはじめた。；パパは自分が先によばれたということぐらいで大喜びする小人ではない。；よって、「今度はたしかに男なり」と申したれば、一家大喜びであった。</t>
        </is>
      </c>
      <c r="J1005">
        <f>HYPERLINK("https://www.weblio.jp/content/大喜び", "词义详情")</f>
        <v/>
      </c>
      <c r="K1005">
        <f>HYPERLINK("https://yourei.jp/大喜び", "查看例句")</f>
        <v/>
      </c>
    </row>
    <row r="1006">
      <c r="A1006" t="inlineStr">
        <is>
          <t>大らか</t>
        </is>
      </c>
      <c r="B1006" t="inlineStr">
        <is>
          <t>成功</t>
        </is>
      </c>
      <c r="C1006" t="inlineStr">
        <is>
          <t>読み方：おおらか
［形動］［文］［ナリ］
１心がゆったりとして、こせこせしないさま。おおよう。「気持ちを—にする」「—な話しぶり」
２（多らか）分量が多いさま。たくさん。
「打ち蒔きの米(よね)を—にかきつかみて」〈今昔・二七・三〇〉
[派生]おおらかさ［名］</t>
        </is>
      </c>
      <c r="D1006" t="inlineStr">
        <is>
          <t>大きい；広い；豊か；大まか；寛大</t>
        </is>
      </c>
      <c r="H1006" t="n">
        <v>29</v>
      </c>
      <c r="I1006" t="inlineStr">
        <is>
          <t>単独で降伏した者は少なく、大部隊が一度に降伏することが多かった。；小型大出力、起動時間の短さ、整備性の良さ等が評価された結果である。；アフリカから多くの黒人が大西洋を越えて新大陸へ奴隷として運ばれた。；西洋中世に何度も大流行したペストの際にも、ペスト除けに利用された。；アラビアの自然哲学者らの中にはピロポノスの考えを継承する者もいた。；一国の首相や大統領が女性である国も次第に増えてきている。；これにより、国内3大タイトルを全て獲得した5つ目のクラブとなった。；これは、メドベージェフ大統領が死刑の廃止を支持していた背景がある。；都市部の中小企業に就職したかれらの豊富な労働力が日本経済を支えた。；大の軍事ファンであり、その中でも特に戦車が好きなようである。；首相は連邦議会議員であることを要するが、大統領はこの限りではない。；ユーゴスラビア時代に存在した首相は存在せず、大統領が閣議を主催した。；しかし古賀らの動きは音楽界の主流派の非協力という形で抵抗を受ける。；既に年長大であり、夫はいない、弟がいて彼女を助けていたとの伝承がある。；大統領および8人の副大統領と21人の閣僚で閣僚評議会が形成される。；この頃までに近代日本語が多くの文筆家らの努力で形成された。；しかしスピノザは貴族の友人らから提供された年金が十分にあった。；キリスト教の絵画にはUFOらしきものが描かれていることがある。；地方行政は中央集権体制がとられており、各県知事は大統領が任命する。；こうした国民の不満を吸収したのがエリツィンら急進改革派である。；ラリー・ウォールによれば、プログラマの三大美徳とは次の通りである。；日本では重松清らがヤングアダルト世代向けの作品を手がけている。；また補佐官ら周辺も同じように事故と考え、予定通り小学校へ入った。；このほか、フランス語の母語話者が大勢力を持つ国としてはカナダがある。；この期間の蓄積がなかったら今の自分はいないと語っている。；一般に大統領は議会の法案への拒否権を持つが、法案の提出権はない。；以下の明治3年の例では小・大・大・小・大・小・大・小・大・小・小・大・小の順となっている。；現代も残る大戦車競技場が建設されたのもこの頃と言われる。；インドの民衆に伝わると国民的反発を各地で呼び、大暴動が勃発。</t>
        </is>
      </c>
      <c r="J1006">
        <f>HYPERLINK("https://www.weblio.jp/content/大らか", "词义详情")</f>
        <v/>
      </c>
      <c r="K1006">
        <f>HYPERLINK("https://yourei.jp/大らか", "查看例句")</f>
        <v/>
      </c>
    </row>
    <row r="1007">
      <c r="A1007" t="inlineStr">
        <is>
          <t>丘</t>
        </is>
      </c>
      <c r="B1007" t="inlineStr">
        <is>
          <t>成功</t>
        </is>
      </c>
      <c r="C1007" t="inlineStr">
        <is>
          <t>読み方：おか
１小高くなった土地。山よりも低く、傾斜もなだらかなもの。丘陵。
２（名詞の上に付いて、複合語をつくり）かたわら、局外からの見方や立場のものである意を表す。「—目」「—ぼれ」「—焼き」</t>
        </is>
      </c>
      <c r="D1007" t="inlineStr">
        <is>
          <t>丘のあいだ；丘高校；丘公園；丘状；丘県</t>
        </is>
      </c>
      <c r="E1007" t="inlineStr">
        <is>
          <t>丘陵；岡；ヒル；高岡；高丘</t>
        </is>
      </c>
      <c r="F1007" t="inlineStr">
        <is>
          <t>ヶ丘；小丘；小さな丘；低い丘；白丘</t>
        </is>
      </c>
      <c r="G1007" t="inlineStr">
        <is>
          <t>丘陵地；丘上；丘を越えて；丘小学校；丘疹</t>
        </is>
      </c>
      <c r="H1007" t="n">
        <v>29</v>
      </c>
      <c r="I1007" t="inlineStr">
        <is>
          <t>または自然の地形を利用して、既存の小さな丘を用いることもあった。；市内にはいくつかの丘があるがその多くは人工的に築かれたものである。；町の中の丘を占領していた民兵は次に何をすべきか議論していた。；北には丘が迫り、停留場はその際にはりつくようにして設けられている。；やがて南側で丘が決壊し、ダーウェント川が南西へ流れるようになった。；羊が丘周辺では旧石器時代に形成されたとみられる遺物も発見された。；中脳蓋は中脳水道の背側部分で左右一対の上丘、下丘の四丘体からなる。；三隈三丘に数えられるものの一つで侵食によって形成された残丘である。；龍頭山と呼ばれる丘が公園となっており、山頂部には釜山タワーがある。；街の中心にカールトン・ヒルと呼ばれる小高い丘があり街を一望できる。；当初は城に滞在していたが、新たに滞在用の居館を丘の中腹に建設している。；墓地の中央、丘の上には、最大かつ最もボリュームのある墓地があります。；男女神社前の丘にはこれを記念する碑が建てられている。；駅のすぐ北側は丘であり、愛知環状鉄道線はトンネルで通り抜けている。；この丘にローマ貴族の多くが邸宅を建て、初代皇帝も居住したことによる。；ではエルサレム神殿が建てられた丘はモリヤ山であると言われている。；市街近くの丘には軍人墓苑があり、記念碑や博物館が建てられている。；アルキタスの中心からやや東にはずれた地点には2つの中央丘が存在する。；町の中心は丘の近くに置かれたが、カエサルの指示で現在の場所に移された。；古代の街があった丘のふもとにある平原に、古代には墓地が設けられていた。；岸からはいくつかの丘が隆起しており、リスボンには高い丘や深い谷がある。；メイ夫人の家から4分の1マイルばかり進んだところが丘の頂上であった。；カトマンズの中心部から西に3kmほど離れた丘の上にたっている。；これが現在の神殿の丘であり、その西側の土留壁が現在の嘆きの壁である。；こののちローマは領域を拡大させ、七つの丘を都市の領域とした。；その間にドイツ軍は街の東側の丘からの別の攻撃を組織した。；丘見は、以後の作品では小説形式ではなくストーリーのみの原案形式で執筆した。；県内の北部は丘状の地形で覆われているが、県内のほとんどは平地である。；これらの丘の最も東のものはサライブルヌの上のトプカプ宮殿の場所である。</t>
        </is>
      </c>
      <c r="J1007">
        <f>HYPERLINK("https://www.weblio.jp/content/丘", "词义详情")</f>
        <v/>
      </c>
      <c r="K1007">
        <f>HYPERLINK("https://yourei.jp/丘", "查看例句")</f>
        <v/>
      </c>
    </row>
    <row r="1008">
      <c r="A1008" t="inlineStr">
        <is>
          <t>お母さん</t>
        </is>
      </c>
      <c r="B1008" t="inlineStr">
        <is>
          <t>成功</t>
        </is>
      </c>
      <c r="C1008" t="inlineStr">
        <is>
          <t>（おかあさん）サトウ・ハチローの詩集。昭和36年（1961）から昭和38年（1963）にかけて全3巻を刊行。昭和33年（1958）から昭和38年（1963）まで放映されたテレビドラマ「おかあさん」のタイトルバック用に書かれた、母をテーマとする詩を集めたもの。
（お母さん）《原題、(チェコ)Maminka》チェコの詩人、サイフェルトの詩集。1954年刊行。マミンカ。</t>
        </is>
      </c>
      <c r="D1008" t="inlineStr">
        <is>
          <t>お母さんたち；お母さんみたい；お母さん役；お母さん達；お母さんやぎ</t>
        </is>
      </c>
      <c r="E1008" t="inlineStr">
        <is>
          <t>母；母親；ママ；母さん；母様</t>
        </is>
      </c>
      <c r="F1008" t="inlineStr">
        <is>
          <t>やさしいお母さん；なつかしいお母さん；優しいお母さん；木島お母さん；昨日お母さん</t>
        </is>
      </c>
      <c r="G1008" t="inlineStr">
        <is>
          <t>お母さんといっしょ；お母さんの勉強室</t>
        </is>
      </c>
      <c r="H1008" t="n">
        <v>29</v>
      </c>
      <c r="I1008" t="inlineStr">
        <is>
          <t>私は学校が終わったら家に帰って来るものだと、お母さんは信じてるの。；そうして何とした事だ、赤ン坊のお母さんの姿もどこにも見えないのだ。；正ちゃんのお母さんは、正ちゃんが、よく眠ってくれたので喜びました。；とね あたし、だんだん、あんたのお母さんみたいな気がして来るのよ。；第一、そんなことはお母さんだつて望んではいらつしやらないでしよう。；「あれが俺れの親父でこれがお母さんや」といって両親を紹介している。；少年は、お母さんに聞いてみて、すぐにも外へ出ていこうと思いました。；窪田さんは山崎のお母さんの家にして、日と時間を決めて帰って行った。；お母さんは婆やから茶碗を受取ると八っちゃんの口の所にもって行った。；年ちゃんは、早くお家に帰って、お母さんのお顔を見たいと思いました。；私の脚本が上演された時、私はその切符を彼女のお母さんにもあげました。；これが夫の子なら、この子のお母さんさえ承知なら私は喜んで育てるわ。；床の上で雑誌を読んでいると、障子の外からお母さんの声がしました。；青年 それで、お母さんは、僕を早く結婚させようと思つておいでです。；なにかまちがいがあったのでなければいいがと、お母さんは心配しました。；そんな夜、お母さんは木こりに子供を森の中に捨ててくるように提案する。；かね子は、全神経をお母さんの足音の消えていく方へ集めていました。；僕は泣きながらも、お母さんを見たら、その眼に涙が一杯たまっていた。；世の中のお母さんは、すべて、この子供の心をよく知らなければならない。；仕事から帰ったお母さんが、良ちゃんをつれて本屋さんへやってきました。；そしたらお母さんは、百合絵は手紙のほうが好きなのよ、と答えたのね。；お母さんが車のなかに忘れていたものを、私は夕方になって取りに来たのだから。；その家は、彼女とお母さんとの、さびしい二人ぎりの生活でありました。；また、お母さんのためなら、一身を犠牲にしても厭わないと感じている。；はじめさんのお母さんからそこの番頭さんになにか託けがあったのである。；お前のお母さんは、まさかお前を自慢するわけにもいかないでしょう。；お母さんは昔ピアノを習っていて最近また練習しはじめたという設定。；しかしお母さん、私が彼を読みはじめた時には彼はもう死んでいなかったのです。；母を始め出て行ったみんなと、千田のお母さんと娘の礼ちゃんとが来たのだ。</t>
        </is>
      </c>
      <c r="J1008">
        <f>HYPERLINK("https://www.weblio.jp/content/お母さん", "词义详情")</f>
        <v/>
      </c>
      <c r="K1008">
        <f>HYPERLINK("https://yourei.jp/お母さん", "查看例句")</f>
        <v/>
      </c>
    </row>
    <row r="1009">
      <c r="A1009" t="inlineStr">
        <is>
          <t>お返し</t>
        </is>
      </c>
      <c r="B1009" t="inlineStr">
        <is>
          <t>成功</t>
        </is>
      </c>
      <c r="C1009" t="inlineStr">
        <is>
          <t>読み方：おかえし
［名］(スル)《「御」は、返す相手を敬う意》
１「返し2」に同じ。「お祝い金の半額相当の品を—する」
２「返し3」に同じ。「この—はさせてもらうぜ」
３「返し5」に同じ。「50円の—です」</t>
        </is>
      </c>
      <c r="D1009" t="inlineStr">
        <is>
          <t>お返しする(10%)；お返しいたし(3%)；お返し申し；お返ししよ；お返し致し</t>
        </is>
      </c>
      <c r="E1009" t="inlineStr">
        <is>
          <t>変更；変化；返し；転換；変わり</t>
        </is>
      </c>
      <c r="F1009" t="inlineStr">
        <is>
          <t>早くお返し；全部お返し；いつかお返し；少しでもお返し</t>
        </is>
      </c>
      <c r="H1009" t="n">
        <v>29</v>
      </c>
      <c r="I1009" t="inlineStr">
        <is>
          <t>石の小鳥をあげるとお返しに、その子が描いた母親の絵を見せてくれた。；それとも卒業後もこちらで働いてお返ししたほうがよろしいでしょうか?；この米のエネルギーを最も有効にこの世の中にお返ししなくちゃいけない。；あたしも結果がどうなるかなど考えずに、うんとお返しをしてあげたの。；源氏は自分が犯した罪を、そっくりそのままお返しされたわけだからな。；お返しにカークはそんな二人の表情は気付かなかったような振りをした。；一度誰かの家に行けば、必ずそのお返しをしなければならないからである。；でもとにかく、お返しすることだけは、しなければならないことでした。；さしあたってお返しするのは、千五百ドルとちょっとしかございません。；お三人みんなに借りをお返しすることができぬこともあるかと思ったまでです。；もとのように着物が着られるように、わたくしの着物をお返し下さい。；それが、いままで、君がぼくにしてきてくれたことへのお返しなのだ。；私の意見や好みを聞いても、お返しに自分のことを話そうとはしない。；お返しにこっちが要求しているのは、ぼくが知る必要のある情報だけなのに。；笑い飛ばせばいいものだし、ぼくもお返しにほら話を書いてやりました。；おじさんから受けたご恩は、お金だけではとてもお返しできぬものです。；ぼくたち人類が、地上に誕生する以前の、静かな地球をお返ししましょう。；しかし、何もそのお返しをあなたにおねだりするわけではありませんよ。；お返しに微笑み返したけれど、絶対引きつった笑顔になっていると思う。；しかし私は、さあ、お返しをしてやるぞというように、低い声で笑った。；彼女は、クロスを無料で治療した自分へのお返しに、食事に誘っただけ。；そして今の地位財産を貴方のお手にお返し申上げなければなりません。；わたしはせいいっぱいのお返しの気持ちを込めて、こう言ったのだった。；二人の友は、伯爵にご馳走になった昼食のお返しをしようとはしなかった。；なにぶん急な話なんで、ほんの一部しかお返しできませんがお収め下さい。；かれが突きを入れると、お返しに針金のような指がこちらの首をしめてきた。；最後までじっと我慢して、一遍もお返ししようなんて思わないのかね?；それ故、姫を中納言殿へお返しして、自分は検非違使庁へ名乗って出た。；あたし、とってもたくさんもらったのに、お返しがしてないんですもの。</t>
        </is>
      </c>
      <c r="J1009">
        <f>HYPERLINK("https://www.weblio.jp/content/お返し", "词义详情")</f>
        <v/>
      </c>
      <c r="K1009">
        <f>HYPERLINK("https://yourei.jp/お返し", "查看例句")</f>
        <v/>
      </c>
    </row>
    <row r="1010">
      <c r="A1010" t="inlineStr">
        <is>
          <t>おかげ</t>
        </is>
      </c>
      <c r="B1010" t="inlineStr">
        <is>
          <t>成功</t>
        </is>
      </c>
      <c r="C1010" t="inlineStr">
        <is>
          <t>読み方：おかげ
１他から受けた力添え・恩恵。また、神仏の助け。加護。「—をこうむる」
２ある物事がもたらす結果。また、他から受けるよくない影響。「熟睡した—で気分がいい」「長雨の—で作物はさんざんだ」</t>
        </is>
      </c>
      <c r="D1010" t="inlineStr">
        <is>
          <t>おかげで何とか；おかげでだいぶ；おかげで助かりまし；おかげでどうにか；おかげ踊り</t>
        </is>
      </c>
      <c r="E1010" t="inlineStr">
        <is>
          <t>後援；お陰；後ろ盾；お陰様；お引き立て</t>
        </is>
      </c>
      <c r="G1010" t="inlineStr">
        <is>
          <t>おかげです；おかげん；おかげでした；おかげ横丁；おかげ杯</t>
        </is>
      </c>
      <c r="H1010" t="n">
        <v>29</v>
      </c>
      <c r="I1010" t="inlineStr">
        <is>
          <t>今回は、あの人がこれを指摘してたおかげでこれにも気付くことができた。；また人間には自分と立場の異なる人にも共感する能力があるおかげでもある。；孫韶のおかげで、他の部署の軍を遠征に回すことができるようになった。；最初に金田さんと出会えたおかげでいい野球人生を送ることができました。；これだけ早く100試合出場を達成できたのは、サポーターのおかげだ。；おかげでストラップをつけて肩にかけて演奏するとヘッド落ちしやすい。；パイエケス人のおかげでオデュッセウスは故郷へと帰国することができた。；その後も活動を続けられるのは、本作での路線変更のおかげだと書いている。；このおかげで、モルゾフは巨大な権力を自分の手に集中させることができた。；そして、母親の存在があったおかげで、ヘッセは立ち直ることができた。；彼女のおかげで野球に身が入るようになったんでしょう。；両親に寵愛されていたおかげでマイセン辺境伯の相続人に指名されていた。；一方、ホラコは至る所でホラ話を吹きに回ってしまったおかげで大騒ぎ。；家庭用は多数の隠しキャラクターのおかげもあって大ヒットした。；この習性のおかげでイヌは訓練が容易で、古くからヒトに飼われてきた。；多くの銀行や企業があり、好景気のおかげでホテルの開業が相次いでいる。；そのおかげで僕らも刺激を受けて、曲全体ががらりと雰囲気を変えた。；そのおかげで側面からしか撃てない砲兵は攻撃を止めなければならなかった。；この制度のおかげで1945年には中佐に昇進する者すら存在した。；しかし日本で各種の和刻本が刊行されたおかげで、完全な散佚を免れた。；当時、通りや建物の特別なレイアウトのおかげで完璧な都市であった。；この方程式のおかげでロケットの推進の理論的考察ができるようになった。；彼らが参加したおかげで音楽が「次のレベル」に達したとジョンは評価している。；このおかげでウォークの記述する歴史は、その大部分がたいへん正確である。；これのおかげでローマの住むローマ市民は公衆浴場を利用することができた。；勇気を出した友達のおかげで、私も勇気を出すようになった。；観光客のおかげでナタールはブラジルの主要観光地の一つとなっていった。；そのおかげで、プログラム全体の制御構造が単純化して意味が明瞭になる。；しかし帝国軍はそれ以上の失敗を繰り返したおかげで勝てただけだ。</t>
        </is>
      </c>
      <c r="J1010">
        <f>HYPERLINK("https://www.weblio.jp/content/おかげ", "词义详情")</f>
        <v/>
      </c>
      <c r="K1010">
        <f>HYPERLINK("https://yourei.jp/おかげ", "查看例句")</f>
        <v/>
      </c>
    </row>
    <row r="1011">
      <c r="A1011" t="inlineStr">
        <is>
          <t>おかげ様で</t>
        </is>
      </c>
      <c r="B1011" t="inlineStr">
        <is>
          <t>成功</t>
        </is>
      </c>
      <c r="D1011" t="inlineStr">
        <is>
          <t>後援；お陰；後ろ盾；お陰様；お引き立て</t>
        </is>
      </c>
      <c r="H1011" t="n">
        <v>29</v>
      </c>
      <c r="I1011" t="inlineStr">
        <is>
          <t>実際には、すべての生物で細胞がこの様な構造が見られるわけではない。；この様なハイパー核を研究する事で主に以下の情報を得る事が出来る。；しかし、原料のひとつである酵母をどの様に表示するのかの規定は無い。；今回は、あの人がこれを指摘してたおかげでこれにも気付くことができた。；また人間には自分と立場の異なる人にも共感する能力があるおかげでもある。；スイッチバックの短所は、以下の様な多くの制限を受け得ることである。；孫韶のおかげで、他の部署の軍を遠征に回すことができるようになった。；この二つの施設を挟む様にして国道58号と国道330号が通っている。；この様にイスラームとの距離のおき方は成立以来の懸念材料であった。；この様に、観念的には物質の概念と存在概念と分離することは難しい。；最初に金田さんと出会えたおかげでいい野球人生を送ることができました。；この様な場合は溶融塩を電気分解することで単体金属を得ることができる。；これだけ早く100試合出場を達成できたのは、サポーターのおかげだ。；この機構のおかげで、ほとんどあらゆる場所へ降りることが可能となった。；しかしこの様な結果になった経緯については大きく異なる見解が出されている。；また、過去作品や家庭用作品には以下の様な譜面が設定されていた。；日本では一般的には下記の表の様に区分されることが多い。；おかげでストラップをつけて肩にかけて演奏するとヘッド落ちしやすい。；突然に激しい様から以下のように固有名称としてよく用いられている。；パイエケス人のおかげでオデュッセウスは故郷へと帰国することができた。；その後も活動を続けられるのは、本作での路線変更のおかげだと書いている。；研究者の岡田博有は以下の様に日本における堆積学の歴史を分けている。；このおかげで、モルゾフは巨大な権力を自分の手に集中させることができた。；そして、母親の存在があったおかげで、ヘッセは立ち直ることができた。；彼女のおかげで野球に身が入るようになったんでしょう。；この様な特徴を持つチェンバロは北ヨーロッパの広い地域で製作されていた。；両親に寵愛されていたおかげでマイセン辺境伯の相続人に指名されていた。；一方、ホラコは至る所でホラ話を吹きに回ってしまったおかげで大騒ぎ。；またアメリカ軍は以下の様に桜花の今後の発展も予測していた。</t>
        </is>
      </c>
      <c r="J1011">
        <f>HYPERLINK("https://www.weblio.jp/content/おかげ様で", "词义详情")</f>
        <v/>
      </c>
      <c r="K1011">
        <f>HYPERLINK("https://yourei.jp/おかげ様で", "查看例句")</f>
        <v/>
      </c>
    </row>
    <row r="1012">
      <c r="A1012" t="inlineStr">
        <is>
          <t>お菓子</t>
        </is>
      </c>
      <c r="B1012" t="inlineStr">
        <is>
          <t>成功</t>
        </is>
      </c>
      <c r="D1012" t="inlineStr">
        <is>
          <t>お菓子作り(7%)；お菓子屋さん；お菓子づくり；お菓子を食べれ；お菓子みたい</t>
        </is>
      </c>
      <c r="F1012" t="inlineStr">
        <is>
          <t>甘いお菓子；おいしいお菓子；好きなお菓子；美味しいお菓子；小さなお菓子</t>
        </is>
      </c>
      <c r="G1012" t="inlineStr">
        <is>
          <t>お菓子の家；お菓子系雑誌；お菓子系；お菓子系グラビア；お菓子の魔女</t>
        </is>
      </c>
      <c r="H1012" t="n">
        <v>29</v>
      </c>
      <c r="I1012" t="inlineStr">
        <is>
          <t>ちょうどその時ボールガール夫人がお茶とお菓子とを持ってやってきた。；まんがを読んでいるとお菓子を食べ過ぎてしまうので今の体型になった。；毒入りお菓子事件が発生し子どもを持つ主婦たちは不安に陥っていた。；プレゼントは一般的にはお菓子や本であるが、悪い子には木の棒が届く。；メグはもう蕎麦粉のお菓子を紙に包み、パンを大きなお皿に重ねていた。；もう店をやめますから、お別れにお菓子をつくってあげましょう、って。；お菓子がないからと言って、よいパンをよくないとするわけにはゆきません。；筑後地域の学校・企業・行政との提携によるお菓子の開発を行っている。；当初は、ゲスト登場の際にゲストが好みとしているお菓子の紹介もされていた。；果物には食物繊維が多く含まれるが、お菓子にはわずかしか含まれない。；中学生の頃までは、お菓子作りばかりをしてパティシエを目指していた。；自宅で食べるようなお菓子類とは少し異なった観点から選定する必要がある。；お菓子がもらえなかった場合は報復の悪戯をしてもよい、とされている。；彼らはおばあさんのポケットにお菓子がないかと見にきたのである。；お茶と一緒に出たお菓子は、桜の花の形で、可愛らしい籠に入っていた。；房子は家の外では媚態を見せずにお菓子や映画に満足し子供に返っていた。；母親からは日本のお菓子やプロテインなど様々なものを送ってもらっている。；果物の他にマシュマロやチョコレート等のお菓子が使われることもある。；そのためにまた、どこのうちにも、お菓子や果物があるようになりました。；と何故か今までお菓子を買い出しに行っていたナンバー3が戻ってきた。；さらに、母は学校から帰ったらうんとお菓子をあげますよと約束してくれた。；西澤家に居候することになってお菓子を好きなだけ食べられるようになった。；ドーレイが車を駐めた消火栓の前で、お菓子屋をやっている男がいてね。；父はこの工場で作られたお菓子を、世界中の子供たちに届けていた。；料理は非常に下手だが、お菓子作りに関してはその限りではないもよう。；お菓子作りを楽しんでいたマオ達は、突如出現した謎の触手に襲われる。；坂本の栄泉堂へお菓子を買いにいったら、帰りが一緒になりましたの。；それはお菓子やお金をもらったよりも、うれしく思ったに違いない。；塾ではお菓子を食べていただけで全然勉強していなかったので第一志望校に不合格。</t>
        </is>
      </c>
      <c r="J1012">
        <f>HYPERLINK("https://www.weblio.jp/content/お菓子", "词义详情")</f>
        <v/>
      </c>
      <c r="K1012">
        <f>HYPERLINK("https://yourei.jp/お菓子", "查看例句")</f>
        <v/>
      </c>
    </row>
    <row r="1013">
      <c r="A1013" t="inlineStr">
        <is>
          <t>おかしい</t>
        </is>
      </c>
      <c r="B1013" t="inlineStr">
        <is>
          <t>成功</t>
        </is>
      </c>
      <c r="C1013" t="inlineStr">
        <is>
          <t>［形］［文］をか・し［シク］
１（「可笑しい」と当てても書く）普通とは違うところがあって笑いたくなるさま。
㋐珍妙な言動・状況などがおもしろくて、思わず笑いたくなる。こっけいである。「この漫画は実に—・い」
㋑どこか不釣り合いで、嘲笑(ちょうしょう)したくなる。ばかばかしい。「彼が代表だなんて—・くって」
２普通とようすが違うのに気づいて疑わしく思うさま。
㋐普通ではないところが感じられる。変である。変わっている。「どうもからだの調子が—・い」
㋑言動や状況が不審である。いぶかしい。怪しい。「なんとなくそぶりの—・い男」
３普通とは違った格別の趣のあるさま。
㋐興味をそそられる。
「—・しき事にもあるかな…興ある事申したり」〈竹取〉
㋑景色などが興趣がある。風情がある。
「夕月夜の—・しきほどに出だし立てさせ給ひて」〈源・桐壺〉
㋒かわいらしい。
「うへにさぶらふ御猫は…いみじう—・しければ」〈枕・九〉
㋓美しい。魅力がある。また、りっぱである。
「—・しの御髪(みぐし)や」〈源・若紫〉
「身貧しけれど、よき人は、方異(かたこと)に操(みさを)に、—・しうぞある」〈落窪・四〉
㋔じょうずである。
「琴いと—・しうなつかしう弾き臥し給へり」〈落窪・一〉
→面白(おもしろ)い［用法］
[派生]おかしがる［動ラ五］おかしげ［形動］おかしさ［名］おかしみ［名］</t>
        </is>
      </c>
      <c r="D1013" t="inlineStr">
        <is>
          <t>おかしいです(2%)；おかしいじゃない；おかしいんじゃ；おかしいところ；おかしいんです</t>
        </is>
      </c>
      <c r="E1013" t="inlineStr">
        <is>
          <t>妙；奇妙；変；面白い；変わった</t>
        </is>
      </c>
      <c r="F1013" t="inlineStr">
        <is>
          <t>少しおかしい；方がおかしい；どこかおかしい；ほうがおかしい；何かおかしい</t>
        </is>
      </c>
      <c r="H1013" t="n">
        <v>29</v>
      </c>
      <c r="I1013" t="inlineStr">
        <is>
          <t>彼らが少し頭がおかしいとしたら事をお終いにするのは非常に楽だろう。；それ以後、事業の話は聞いた者皆の頭をおかしくしてしまったのである。；同じ事でも西洋の事は西洋人がやっているとやはり自然でおかしくない。；男の人の裸姿なんか見ればまっかになっておかしくなってしまいますわ。；牧夫たちも同じように自分たちの面倒はみられそうなのがおかしかった。；こいつはあの男が法律を破ってもおかしくないような大仕事だと思うがね。；おかしいと思ったので、ぼくは窓をやぶって、うちの中にはいってみた。；それを、ただ、声を聞かせたばかりで行ってしまったのは、おかしいね。；世の中全部を一つのものと考えてそれが神様だなんてちょっとおかしいよ。；今までの考え方はおかしいというので魔法使のことは問題にならない。；ピンハネはおかしいと支部長に文句を言っただけで除名排除されたのだ。；もし次のことが実現されたと考えるなら、事柄は最もおかしくなります。；ところが、橋をわたっていくらも行かずに、馬の調子がおかしくなった。；机の中に通帳を見つけるが、そこにはおかしいところは見られなかった。；わたしにもとうとう家族ができたなんて、なんだかおかしくないかしら?；それが自分にはあたかも彼女が尻で怒を見せているようでおかしかった。；とりたての生の木の実ばかり食べていたので、腹具合がおかしくなった。；それとも、二人で一人になったと感じていた私自身がおかしいのだろうか。；そういえば、車室にはいって来た時の態度からして、とてもおかしい!；武士はおかしくもあれば驚きもして見るともなしに小僧に眼をやった。；もう少し時間をおかないと、彼に気がおかしくなったかと思われてしまう。；それに、あなたもそのことを考えてみれば、きっとおかしくなりますよ。；だが、不思議なことに、私はそれを少しもおかしいとは感じなかった。；姿を消していた剛志が現れるも、様子がおかしく、何かをされたらしい。；するとその季節に合わなかったのが、おかしかったのでございましょう。；突然おかしくなって、自分でもわけがわからないことをしでかすのです。；またそんなことのあった直後に人を殺すのもおかしいでしょう。；本人は若い時の写真だって云ってましたが、どうもおかしいですよ。；ゾロほどではないが方向音痴であり、その感覚もおかしいところがある。</t>
        </is>
      </c>
      <c r="J1013">
        <f>HYPERLINK("https://www.weblio.jp/content/おかしい", "词义详情")</f>
        <v/>
      </c>
      <c r="K1013">
        <f>HYPERLINK("https://yourei.jp/おかしい", "查看例句")</f>
        <v/>
      </c>
    </row>
    <row r="1014">
      <c r="A1014" t="inlineStr">
        <is>
          <t>犯す</t>
        </is>
      </c>
      <c r="B1014" t="inlineStr">
        <is>
          <t>成功</t>
        </is>
      </c>
      <c r="C1014" t="inlineStr">
        <is>
          <t>読み方：おかす
［動サ五（四）］
１法律・規則・倫理などに反した行為をする。「罪を—・す」「誤りを—・す」
２女性に対して力ずくで肉体関係を強制する。「暴漢に—・される」
３権威あるものに逆らう。
「今はよも上(かみ)を—・さんと好み、乱を起こさんとする者はあらじ」〈太平記・一六〉
[可能]おかせる</t>
        </is>
      </c>
      <c r="D1014" t="inlineStr">
        <is>
          <t>犯すべから(4%)；犯す可能性；犯すまい</t>
        </is>
      </c>
      <c r="E1014" t="inlineStr">
        <is>
          <t>働く；違反；乱暴；破る；襲う</t>
        </is>
      </c>
      <c r="H1014" t="n">
        <v>29</v>
      </c>
      <c r="I1014" t="inlineStr">
        <is>
          <t>その人の身体を犯されると何故その人の生命までいけなくなるのだろう。；われわれの犯す様々な罪は、神に背を向けているところから生まれます。；第三に彼らは殺人罪に問われるような危険は犯さないでございましょう。；彼女がまさか犯そうとする罪を予想せしめるようなものは何もなかった。；この「人間が犯した罪」とは何なのか具体的には明らかにされていない。；むしろ現実に面と向かう勇気のない者が犯すことのほうが多いと思うんだ。；奇妙なのは、女を犯そうとしている男が一度も振り向かなかったことだ。；「神は決して罪を犯さない」 これも多くの人が信じていることである。；彼らをして罪を犯させたものは何よりもゆがんだ自尊心だったといえる。；お坊さんなら何が罪かを知っているし、罪を犯すことはないだろうから。；もしそれを犯そうとすると、熱気のために気が遠くなるばかりであった。；白純里緒自身の為に、これ以上彼に殺人を犯させてはいけないんだから。；それにまたこんな罪を犯すではありませんか、私は悲しくてなりません。；もし、第2の男がいるのだとしたら、その男もわたしを犯すのだろうか?；なぜ、かれは、こういう殺人を犯さなければならんと思ったのでしょう?；前に言ったように、きみは全てを承知の上で、大罪を犯そうとしている。；罪を犯した者もカアバに入れば罪をとがめられることはなかったという。；このように世代分類のみに頼ると抗菌薬選択のミスを犯す可能性がある。；少年たちはいずれも過去に凶悪犯罪を犯すなどの暗い過去を持っていた。；しかし、こんな恐ろしい罪を犯そうとは夢にも思ったことはありません。；母は間違いのないうちにと思っているが、間違いは既に犯されている。；彼のもつ世界を、たとえ恋人である女であっても犯すことはできない。；それをすることは罪を犯すことのやうに皆のものが考へて居るらしい。；世の中には罪を犯さない人間と犯してしまう人間がいるんじゃないんです。；西川が最初に罪を犯し牢獄に入ることとなったのは14歳の時であった。；いままでに君を邪魔して、吸血の罪を犯させなかったことが五度もある。；勝美は本気で七瀬の肉体を求め、彼女を犯そうと考えていたからである。；最初から罪を犯すことそのものを目的にする人なんて、いやしないんです。；自分の犯そうとしていることの重大さをはじめて知った思いであった。</t>
        </is>
      </c>
      <c r="J1014">
        <f>HYPERLINK("https://www.weblio.jp/content/犯す", "词义详情")</f>
        <v/>
      </c>
      <c r="K1014">
        <f>HYPERLINK("https://yourei.jp/犯す", "查看例句")</f>
        <v/>
      </c>
    </row>
    <row r="1015">
      <c r="A1015" t="inlineStr">
        <is>
          <t>冒す</t>
        </is>
      </c>
      <c r="B1015" t="inlineStr">
        <is>
          <t>成功</t>
        </is>
      </c>
      <c r="C1015" t="inlineStr">
        <is>
          <t>読み方：おかす
［動サ五（四）］《「犯す」と同語源》
１他者の権利・権限などを損なう行為をする。侵害する。「所有権を—・す」「思想の自由を—・してはならない」
２他国の土地に不法に入り込む。侵入する。侵略する。「国境を—・す」「領海を—・す」
３（「冒す」とも書く）物事に害を与える。また、病気が心身を損なう。「霜に—・される」「酸に—・されにくい物質」「癌(がん)が全身を—・す」
[可能]おかせる</t>
        </is>
      </c>
      <c r="D1015" t="inlineStr">
        <is>
          <t>冒すべから(3%)；冒すべき(2%)；冒すまい</t>
        </is>
      </c>
      <c r="E1015" t="inlineStr">
        <is>
          <t>影響；作用；響く；敢行；傷つける</t>
        </is>
      </c>
      <c r="H1015" t="n">
        <v>29</v>
      </c>
      <c r="I1015" t="inlineStr">
        <is>
          <t>しかし自分が何ゆえに身の危険を冒してまで、今回の襲撃に参加したか。；その内の一人が、危険を冒して彼の様子を最後まで見届けていたのです。；晩年のブルックナーは多くの尊敬を得ていたが、死の病に冒されていた。；タブーを冒すことに怯えているだけだった時の表情ではなくなっていた。；この毒に冒されたら、多くの場合は尊厳ある死を迎えることはできない。；自分でも少しは危険を冒しても会ってみたいと考えておられるようすでした。；おれの目には、とても病に冒されているようには見えなかったんだが!；彼はまたその雨を冒して坂を上下したが、その日もとうとう見えなかった。；二度とおなじことが起こる危険を冒そうとしないのも、無理はあるまい。；クリストフが冒した危険のことを考えると、気持が悪くなるほどだった。；ただし癌細胞に冒された組織がどうして必要なのか、それがわからない。；彼らの信仰規則を冒した者を懲らしめる許しがほしいというのであった。；そのリスクを冒してまでも彼らを殺さなければならない理由とは何だろう。；それだけの危険を冒してもなお、L3点到達は何時間も後のことなのだ。；たとえ金はあっても商人がこのような危険を冒すとは考えられない。；文香はどんな危険を冒しても、京都行きを実現させるのだと心に誓った。；インディオたちは、これ以上の危険を冒すよりもすぐ出発する様子です。；よし、こうなればもう危険を冒しても、なんとか鍵を手に入れてやろう。；どんな危険を冒しても、吾々はボートの舳をまっすぐに上陸地に向けた。；というわけで、僕は昼間の脱出という危険を冒そうとしているのだった。；いずれにしても、彼が来るとなれば、大変な危険を冒すことになりますね。；彼は病気に冒された三千代をただの昔の三千代よりは気の毒に思った。；ここでこの最初の會話に於てわたしが大失敗を冒したことを付け加へたい。；鏡の秘密を共有する危険を冒してでも、一成の作品がそこにほしかった。；彼女のような女性のためなら、男はみな千回でも死の危険を冒すことだろう。；でも、もしわたしの計画が図に当たれば、危険を冒す価値はありますよ。；二人は十時すぎ雨を冒して、追分の通りへ出て、角の蕎麦屋へはいった。；わたしたちが何のために危険を冒してここへ来たと思っているの?；フランス艦隊はイギリス艦隊と戦うリスクを冒すよりも避ける方を選んだ。</t>
        </is>
      </c>
      <c r="J1015">
        <f>HYPERLINK("https://www.weblio.jp/content/冒す", "词义详情")</f>
        <v/>
      </c>
      <c r="K1015">
        <f>HYPERLINK("https://yourei.jp/冒す", "查看例句")</f>
        <v/>
      </c>
    </row>
    <row r="1016">
      <c r="A1016" t="inlineStr">
        <is>
          <t>侵す</t>
        </is>
      </c>
      <c r="B1016" t="inlineStr">
        <is>
          <t>成功</t>
        </is>
      </c>
      <c r="C1016" t="inlineStr">
        <is>
          <t>読み方：おかす
［動サ五（四）］《「犯す」と同語源》
１他者の権利・権限などを損なう行為をする。侵害する。「所有権を—・す」「思想の自由を—・してはならない」
２他国の土地に不法に入り込む。侵入する。侵略する。「国境を—・す」「領海を—・す」
３（「冒す」とも書く）物事に害を与える。また、病気が心身を損なう。「霜に—・される」「酸に—・されにくい物質」「癌(がん)が全身を—・す」
[可能]おかせる</t>
        </is>
      </c>
      <c r="D1016" t="inlineStr">
        <is>
          <t>侵すべから(11%)</t>
        </is>
      </c>
      <c r="E1016" t="inlineStr">
        <is>
          <t>入る；占領；侵攻；侵入；侵略</t>
        </is>
      </c>
      <c r="H1016" t="n">
        <v>29</v>
      </c>
      <c r="I1016" t="inlineStr">
        <is>
          <t>だってあなたたちはすでに毒想念に侵されてしまっているんですものね。；だが日本が国力のないときに国を開けば、外国人に国を侵されてしまう。；これではかえって、天皇の尊厳性を侵すことになりはしないでしょうか。；この毒に侵された肉体は、いかなる治療法を用いても回復することはない。；一人の人の敷地内にできた穴は、すぐ大きくなって隣りまで侵すのです。；そもそも誰かのテリトリーを僕が侵していた場合だって充分ありうる。；どんな力をもってしても侵すことのできない絶対的な空間だった。；しかしいずれにしても、両者が侵しがたい交流を持っているのは間違いない。；そうすれば兵を収めていくさをやめ、決して侵すようなことはせぬ。；クラブ茜は患者組織の一端で、ホステスたちは皆石人病に侵されていた。；娘の胸を侵す疑惑に、それでも母親はまったく気づいていないのだろうか。；しかしすぐに大きな波が寄せて来て、僕のアトリエの一部を侵してしまう。；叔父の語る所によると、彼は大分前から肺を侵されているとのことである。；其内に二隻の飛行機が風を侵して飛び初めたので僕達は場内に引返した。；そして彼女の生活地はどんどん危機に侵されて行くことになる。；霧を浴びた彼の肉体は、濃硫酸に侵されたようにひどく焼けただれていた。；苦痛がスミスの傷だらけの顔を侵していくのを彼女は見てとった。；朝から元気だったので安心していたのだが、桜は熱に侵されているのと変わらない。；当初は安全と思われていた釜山も、実際にはウイルスに侵されていた。；そういう面で、何処の国からも侵されない自由な地域なのである。；皮膚に接触した場合には激しい薬傷を生じ、煙を吸入すると肺を侵す。；竹茂村だけではない、わたしもすでに竹の花に侵されているのかもしれない。；煙が皮膚を抜け、筋肉に達し、そして神経を侵そうとしているのがわかる。；だから、彼の領域を侵すことは誰にもできないし、近づくことすらできない。；その条約を侵して自国の王に迷惑をかけるようなマーゴ人はいないだろう。；さらに精密検査を行った結果、末期の胃癌に侵されていたことが判明した。；それらの作品はコレラに侵された捕虜仲間の布団の下に隠していた。；その権利を、自分たちは侵してしまったような気が、ふと始にはする。；おそらく自分の職域を侵されでもしたように感じたにちがいない。</t>
        </is>
      </c>
      <c r="J1016">
        <f>HYPERLINK("https://www.weblio.jp/content/侵す", "词义详情")</f>
        <v/>
      </c>
      <c r="K1016">
        <f>HYPERLINK("https://yourei.jp/侵す", "查看例句")</f>
        <v/>
      </c>
    </row>
    <row r="1017">
      <c r="A1017" t="inlineStr">
        <is>
          <t>おかず</t>
        </is>
      </c>
      <c r="B1017" t="inlineStr">
        <is>
          <t>成功</t>
        </is>
      </c>
      <c r="C1017" t="inlineStr">
        <is>
          <t>読み方：おかず
《数々取り合わせる意から。もと女房詞》副食物。お菜(さい)。</t>
        </is>
      </c>
      <c r="D1017" t="inlineStr">
        <is>
          <t>おかず類；おかず料理；おかず媼さん；おかず代；おかず缶</t>
        </is>
      </c>
      <c r="E1017" t="inlineStr">
        <is>
          <t>菜；惣菜；お菜；副食；副食物</t>
        </is>
      </c>
      <c r="F1017" t="inlineStr">
        <is>
          <t>好きなおかず</t>
        </is>
      </c>
      <c r="G1017" t="inlineStr">
        <is>
          <t>おかずクラブ；おかず横丁</t>
        </is>
      </c>
      <c r="H1017" t="n">
        <v>29</v>
      </c>
      <c r="I1017" t="inlineStr">
        <is>
          <t>頭の中では晩のおかずのことばかり考えているので、大変困っています。；様々なおかずが並ぶその店は毎日の家事が面倒な生徒たちに人気がある。；王の死は埋葬の瞬間に初めて宣告され間をおかずに新王万歳が叫ばれる。；あいだに人をおかずに直接老大人と土地を買う話などできるものではない。；育ちざかりの子供が一日に三十エンのおかずしか食べていないのである。；他のパンチャンと同様に、韓国では無料で食べられているおかずである。；おかずの方をそのどんどん焼きみたいなパン皮で包んで食べるのである。；そうして、自分のおかずを猫にやってから、あとで自分が食べますねん。；家庭の食事は、メイン料理を意味する飯と菜と呼ばれるおかずからなる。；昨日の夕食のとき、おかずが足りなくて苦労したのを思い出したからである。；普段はおかずの量が多いため、純粋の米の味を噛みしめることがないのだ。；でも最後のチャンスに、行っておかずにはいられないという気持がある。；そこでは晩のおかずの色を出してはいけないのは、あたりまえのことです。；これでもおかずにしてお上がりなさいといって、ほうり込んでおきなよ。；マクダフ わたしのことなら、 しまっておかずに、すぐに出したまえ。；レコードが終わると、彼は間をおかずに再びレコードをかけ始めた。；それを見た新婚カップルは、手にしていた器からおかずをつまみあげた。；その日は半刻あまりして帰ったが、五日と間をおかずにまた訪ねた。；そのおかずに代っていつから料理なんてものが出しゃばってきたのか。；実家が近いらしく、母親がおかずを持って訪れることも珍しくない。；だから、そういうときは、不安を不安のままにしておかずに調べに行くんだ。；そうしてオカズはガラスのケースに一皿ごとに入れられてある。；わたしたち、おかずとご飯をいっしょに食べることができなかったんだよ。；時間はすっかり夕食時で、そこここの家からおかずの匂いが漂ってきている。；昔のことで白いご飯に、手の込んだおかずが食べられたのは男だけ。；父も母も夕食を食べ終わったのに、佳江のおかずはまだ半分以上残っている。；すると諸葛均は二人が出てから、あまり間をおかず使いに出たに違いない。；父が大の酒好きであることを知っていた叔父は、有合せのおかずで酒を出した。；そのままを食べるほか、様々なおかずとあわせて食べることも多い。</t>
        </is>
      </c>
      <c r="J1017">
        <f>HYPERLINK("https://www.weblio.jp/content/おかず", "词义详情")</f>
        <v/>
      </c>
      <c r="K1017">
        <f>HYPERLINK("https://yourei.jp/おかず", "查看例句")</f>
        <v/>
      </c>
    </row>
    <row r="1018">
      <c r="A1018" t="inlineStr">
        <is>
          <t>おかみさん</t>
        </is>
      </c>
      <c r="B1018" t="inlineStr">
        <is>
          <t>成功</t>
        </is>
      </c>
      <c r="C1018" t="inlineStr">
        <is>
          <t>読み方：おかみさん
庶民が他人の妻や料理屋の女主人などを親しんで、また敬っていう語。</t>
        </is>
      </c>
      <c r="D1018" t="inlineStr">
        <is>
          <t>おかみさんたち(3%)；おかみさん連中；おかみさん達；おかみさん風；おかみさん会</t>
        </is>
      </c>
      <c r="E1018" t="inlineStr">
        <is>
          <t>女；女性；妻；室；夫人</t>
        </is>
      </c>
      <c r="F1018" t="inlineStr">
        <is>
          <t>おかみさん連；隣りのおかみさん</t>
        </is>
      </c>
      <c r="H1018" t="n">
        <v>29</v>
      </c>
      <c r="I1018" t="inlineStr">
        <is>
          <t>あなたの態度はおかみさんのいったことを裏書きしているように思えます。；初のおかみさんの子は、血のように赤く、雪のように白い男の子でした。；しかし、おかみさんはすぐにそれを忘れてしまったように、床に入った。；私はその人のおかみさん姿も見たし、それから母親になった姿も見た。；ふと近所のおかみさんの顔が少し驚きを含んで僕の方を振向いていた。；第十一の巻に現われた通りを裏から見たおかみさんの返答であります。；おかみさんはベッドをきれいにしているし、テーブルも磨き上げてある。；おかみさんが子どもを生んだら、その子をわしにくれなければいけない。；おかみさんは、あなたが嘘をついているなんて主張はしませんでした。；おかみさんから返事が来て、棟領はもうこの世を去つたことがわかつた。；では、おかみさんにやらせたらよさそうなもんだが、それはさせないんだ。；いったいあのおかみさんは、あれでも部屋だと思ってるんでしょうか?；自分はおかみさんがまだ自分と話そうと思っているような感じをもったのだ。；それをおかみさんが台所の窓から眼をほそくして半日でも見ていたりした。；蜘蛛のおかみさんはくやしがって、まるで火がついたように泣きました。；蜘蛛のおかみさんはくやしがって、まるで火がついたやうに泣きました。；おかみさんは委細承知で、帯の間から用意したお金を出して渡してくれる。；ご亭主さんはいなくて、おかみさんひとり、お店の掃除をしていました。；おかみさんもまた、すぐ彼女のことを、この子は安心できると思った。；漁師がなかにはいってみますと、おかみさんは玉座にすわっていました。；おかみさんの話にもあったとおり、怪しい男は二階に住んでいるらしいのだ。；みすやの針は宿のおかみさんに頼んで置いたから買はぬことにした。；その男は確かにあの村田平造であると長屋の大工のおかみさんが言った。；少なくとも自分はまだどこかのおかみさんがこんな服を着て働いているのを見たことがない。；あのまたおかみさんという人も、あんまり眼がなさ過ぎるじゃないか。；相撲の社会はあまり思い出したくないが、おかみさんには一度会いたい。；あの娘は、とデンプスタのおかみさんは思った、まだねんねえなんだね。；「おまえさんの名はなんというのかね、おかみさん」と彼がたずねた。；そんなとき近所のおかみさん達もやつて来て加勢するのであつた。</t>
        </is>
      </c>
      <c r="J1018">
        <f>HYPERLINK("https://www.weblio.jp/content/おかみさん", "词义详情")</f>
        <v/>
      </c>
      <c r="K1018">
        <f>HYPERLINK("https://yourei.jp/おかみさん", "查看例句")</f>
        <v/>
      </c>
    </row>
    <row r="1019">
      <c r="A1019" t="inlineStr">
        <is>
          <t>拝む</t>
        </is>
      </c>
      <c r="B1019" t="inlineStr">
        <is>
          <t>成功</t>
        </is>
      </c>
      <c r="C1019" t="inlineStr">
        <is>
          <t>読み方：おがむ
［動マ五（四）］
１神仏などに、手を合わせ、頭を下げて祈る。「初日の出を—・む」
２「見る」の謙譲語。お目にかかる。また、珍しい物、大事な物などを拝見・拝観する。「お顔を—・みに伺います」「秘宝を—・ませていただいた」「彼女の顔を—・みたい」
３懇願する。嘆願する。「金を貸してくれと—・まれた」
[可能]おがめる</t>
        </is>
      </c>
      <c r="D1019" t="inlineStr">
        <is>
          <t>拝むべき</t>
        </is>
      </c>
      <c r="E1019" t="inlineStr">
        <is>
          <t>礼拝；崇拝；願う；祈る；参拝</t>
        </is>
      </c>
      <c r="F1019" t="inlineStr">
        <is>
          <t>あげて拝む；合せて拝む</t>
        </is>
      </c>
      <c r="H1019" t="n">
        <v>29</v>
      </c>
      <c r="I1019" t="inlineStr">
        <is>
          <t>が不幸にして中村君の保証しただけの美しいのを拝む事は出来なかつた。；こんなものは少し大袈裟に言えば私などは拝んだこともないものだった。；その話が世間に伝わって、それを拝みに来る者がだんだんに殖えて来た。；両手を自由に動かすことが出来たら、手を合わせて拝んだことであろう。；神として拝んだかもしれないし、逆に恐れて逃げ隠れしたかもしれない。；僕は香を上げ花を上げ水を注いでから、前に蹲って心のゆくまで拝んだ。；いやいやながらだったが、彼女は後ろと前の洞窟だけを拝ませてくれた。；お前ら、今まで百円なんてえ札束を、一度でも拝んだことがあったかね。；その落日を、祖母が手を合わせて拝むものですから、僕も真似をしてね。；言われなくても、明日はタクヤ君の顔を拝むだけにしておこうと思った。；成の細君は前の人がしたように銭を案の上に置いて、香を焚いて拝んだ。；「いったい何を拝んでいるのかね」 毎日のことなのに、と聖が笑った。；私は、赤い停止棒をふっている仲間に向かい片手で拝んで、後を追った。；このお寺では像の後ろにまわってこのワッハッハ顔を拝むことができる。；わざわざ既存の神社に行かずとも、俺など一晩中拝み続ける自信があるぞ。；一回の布施が十万銭、その正体を拝むまでには幾十万銭に及ぶのであった。；聖書の十戒には神が偶像を拝んではならないと命じられたと書いてある。；と云うか、娘が失踪してしまっちゃ、箱を拝んでる暇なんてないですよ。；男の人の裸姿なんか、私に拝ませないように、なんとか才覚できないの。；それに一度も顔を拝んだことのないやつのために、身体を張りたくはないね。；和尚さんは、ときどき訪ねてくる特別の人だけに扉をひらいて拝ませた。；でも近所にあるからといって、拝みに行くわけじゃありませんからね。；中には住民が十人以上もかたまって慄えたり拝んだりしている家もあった。；口で礼を言うしかない婆やんが、必死に腰を屈めて拝む格好をしていた。；弱い子供を助けてくれ、病気で寝ている子はアンモを拝むと治るという。；同時に、この隠居にまで拝むような眼で見られる自分の身を煩く思った。；処刑されるまでは堂々と拝んでいたんだから、隠れとは言わないでしょう。；水は、籠城兵にとれば、生命の水だから、拝んで使っているほどだった。；彼らの口に入ることはおろか、拝むことさえできない代物だったはずだ。</t>
        </is>
      </c>
      <c r="J1019">
        <f>HYPERLINK("https://www.weblio.jp/content/拝む", "词义详情")</f>
        <v/>
      </c>
      <c r="K1019">
        <f>HYPERLINK("https://yourei.jp/拝む", "查看例句")</f>
        <v/>
      </c>
    </row>
    <row r="1020">
      <c r="A1020" t="inlineStr">
        <is>
          <t>お粥</t>
        </is>
      </c>
      <c r="B1020" t="inlineStr">
        <is>
          <t>成功</t>
        </is>
      </c>
      <c r="D1020" t="inlineStr">
        <is>
          <t>お粥さん</t>
        </is>
      </c>
      <c r="E1020" t="inlineStr">
        <is>
          <t>粥；白粥</t>
        </is>
      </c>
      <c r="H1020" t="n">
        <v>29</v>
      </c>
      <c r="I1020" t="inlineStr">
        <is>
          <t>お粥なら近所の人が持って来たのがあるといいかけて、麻太郎は黙った。；誰もいないので入ってみると、テーブルの上にお粥のお椀が置いてあった。；ここではこういうお粥めいた水を飲んで生きているのだ、とわたしは思った。；上から乗っかってきた後家さんの中は、病気の朝のお粥みたいでした。；お粥はもっと後になってからと決まっていたからだった。；女は一鉢のお粥を持って来てくれました、そうして翌日の昼まで私は眠ってしまいました。；僕がとうとうお皿一杯のお粥をすっかり食べたから。；入院後、最初の一週間、彼女はお粥に少し口をつけるだけでほとんど食べなかった。；お恵みが足りないためか、お粥が多過ぎるせいか、分らないけれど。；お粥を食べるよりどんなに美味しいだろうといって大概はお悦びになります。；そしてさらにその次の日には、米のお粥の中に牛肉のかなり大きな片がはいっているのを持って来た。；食卓を通り過ぎる時、一人の先生がお粥の鉢を手にとつて味はつてゐるのを見た。；琥珀さんはお粥を持ってきた後、屋敷の仕事に戻っていった。；お祖母さんは、お父さんは、お粥で大きくなったんだと言うのです。；兵士はもう機械の掃除を終えて、お粥を缶から出して小鉢の中にそそいだ。；ただ、インデックスの側にあるちゃぶ台の上にお粥が置いてあった。；食べ物ではお粥が唯一苦手であったが、韓国旅行を経て苦手でなくなった。；そして丁度とろ火にかけたお粥の様な愛着をお久美さんに持って居たのである。；そして納屋へお粥を食べに行ったとき、あたしがきれいな髪をしていると言ったんです。；翼はお粥を飲み込むと愛に向いて笑みを浮かべて深く頷いた。；御飯も乾飯に稀飯といって固い御飯とお粥のようなものと二色出ます。；それは、お粥にゆで小豆を散らして、塩で風味をつけたものであった。；パンか馬鈴薯かお粥でも持ってきて、あそこへおいといてくれればいいだよ。；昔しの早飛脚が着いた時に先ずお粥を与えなければならん。；ただ、品川の茶店でお粥を作ってもらって弟に食べさせました。；ずっと看病をしていたエレンがお粥の皿を下げてくれた。；サラダの後は、俺には飯の代わりにお粥が用意されていた。；その外に色々のお粥もありますけれどもこれだけの法によって工風したら何でも出来ない事はありません。；パンの他に雑穀のお粥も作られ、副食の役割を果たしていた。</t>
        </is>
      </c>
      <c r="J1020">
        <f>HYPERLINK("https://www.weblio.jp/content/お粥", "词义详情")</f>
        <v/>
      </c>
      <c r="K1020">
        <f>HYPERLINK("https://yourei.jp/お粥", "查看例句")</f>
        <v/>
      </c>
    </row>
    <row r="1021">
      <c r="A1021" t="inlineStr">
        <is>
          <t>お代わり</t>
        </is>
      </c>
      <c r="B1021" t="inlineStr">
        <is>
          <t>成功</t>
        </is>
      </c>
      <c r="C1021" t="inlineStr">
        <is>
          <t>読み方：おかわり
［名］(スル)「代わり4」に同じ。「御飯をもう一杯—する」</t>
        </is>
      </c>
      <c r="D1021" t="inlineStr">
        <is>
          <t>お代わり自由(4%)；お代わりいかがです</t>
        </is>
      </c>
      <c r="H1021" t="n">
        <v>29</v>
      </c>
      <c r="I1021" t="inlineStr">
        <is>
          <t>途中一度居眠りをし、二度トイレに行き、三度コーヒーをお代わりした。；対して男へのサービスは、あったところでご飯お代わり自由とかだ。；お代わりは無料らしいが、店員に申し出てまで飲みたいとは思わなかった。；ホテルの女主人が現れて、にこやかに飲み物のお代わりを尋ねたのだ。；とりわけ、夫のグラスにもお代わりが注がれるのを見た時には、そうだった。；ボルカンはさっきから水ばかりをお代わりして、店員に嫌な顔をされている。；コーヒーのお代わりをもらって、それからやっと少しだけ仕事がはかどった。；飲む気はないがお茶のお代わりを取りに行くのだ。；定食のライスはお代わり自由なんだけどよ、二回もお代わりしてたよ。；二人のうちの一人が、ウイスキーのお代わりをしたのであろう。；気持ちはわかるだけに、複雑な思いで、お代わりの来ないままの彼の皿を眺めていた。；ホットケーキをひとつ取り、あとはお代わり自由のコーヒーで時間を潰す。；癌のやっかいなことは外科手術で切り取ってもすぐお代わりが芽を出す。；そこでコーヒーをお代わりしながら何時間も過ごし、あの手紙を取り出しては何度も読んだ。；私は、娼婦たちと一緒に涙のうちにお代わりの酒をしこたま飲んだ。；私が断わると、お代わりのコーヒーを持ってくるように命じた。；ぼくたちがどうでもいい学校の話をしているあいだに、ダイはしっかりとお代わりをした。；呼ばれる前に、お代わりはいかがですか、と聞きに来るべきだったかもしれない。；お茶を二杯お代わりして、ドテ焼きの串を五本食べ、シゲルは店を出た。；カクテルはあまり血の味もせず、お代わりをしても酔えなかった。；女の子が三人のところに冷酒のお代わりを運んで来た。；もっとも達三ははじめて食べる翔子の料理だといって感激しお代わりまでした。；その前にとりあえずはということでビールのお代わりを頼んだ。；僕はコートを脱ぎ、コーヒーのお代わりをウェイトレスに注文した。；食事を終えてからも、お茶を何度もお代わりし、なおしばらくはのんびりしている。；やっと最初の一杯が空になると、仁吉が素早く椀にお代わりをよそった。；お代わりのジントニックが運ばれてきたが、榎本はじっと目を凝らしている。；さっきの女将が足音もなく脇に立ち、カップに飲み物のお代わりを注いだ。；中浜さんは、ねじり鉢巻きの男を呼んで、生ビールのお代わりを頼んだ。</t>
        </is>
      </c>
      <c r="J1021">
        <f>HYPERLINK("https://www.weblio.jp/content/お代わり", "词义详情")</f>
        <v/>
      </c>
      <c r="K1021">
        <f>HYPERLINK("https://yourei.jp/お代わり", "查看例句")</f>
        <v/>
      </c>
    </row>
    <row r="1022">
      <c r="A1022" t="inlineStr">
        <is>
          <t>沖</t>
        </is>
      </c>
      <c r="B1022" t="inlineStr">
        <is>
          <t>成功</t>
        </is>
      </c>
      <c r="C1022" t="inlineStr">
        <is>
          <t>読み方：おき
１海または湖などで、岸から遠く離れた所。「—に出る」
２広々とした田畑や野原の遠い所。</t>
        </is>
      </c>
      <c r="D1022" t="inlineStr">
        <is>
          <t>沖海戦；沖繩；沖波；沖約；沖地震</t>
        </is>
      </c>
      <c r="E1022" t="inlineStr">
        <is>
          <t>沖合；遠海</t>
        </is>
      </c>
      <c r="F1022" t="inlineStr">
        <is>
          <t>海岸沖；島沖；岬沖；東方沖；台湾沖</t>
        </is>
      </c>
      <c r="G1022" t="inlineStr">
        <is>
          <t>沖縄県；沖合；沖縄本島；沖縄戦；沖田</t>
        </is>
      </c>
      <c r="H1022" t="n">
        <v>29</v>
      </c>
      <c r="I1022" t="inlineStr">
        <is>
          <t>アイヌ語研究者の山田秀三は利尻島の沖にあるためついた名としている。；西アフリカ沖で魚網のために死んでしまう個体などがわずかにいる。；この木は幕末には品川沖の外国船の偵察に利用されたといわれている。；東京からの帰沖時には、沖縄のために永住も覚悟して妻子を伴っていた。；また、アイルランドの東の沖にあるランベイ島にも小さな個体群がある。；それから40年後、ベーリング海沖を漂流している謎の船が発見される。；時を前後し、鹿島灘沖の日本海溝で強い磁力を帯びた岩塊が発見された。；沖は、真反対の方位に対応する十二支同志の関係で衝突の意味がある。；その影響で海岸線は現在よりも沖に移動していた。；またここから両藩による干拓工事が進み、河口が沖側へ移っていった。；沖がトラブルに巻き込まれたため、代役として上がったのが理由だった。；江戸時代の記録では1673年に松前藩主所有の船が島の沖で遭難したという。；礁湖を伴うサンゴ礁も南部で多く、北部でも沖などで発達している。；アラスカ沖では数十万羽の群れが目撃されることもある。；貨報の処理についての後継機には、国鉄は沖のOKITACを採用した。；このような経緯もあり、翌年に出された答申は泉州沖を最適とした。；続く数ヶ月間、ワイオミングは南カリフォルニア沖で訓練に従事する。；テキサスは艦隊へ復帰すると、ニューイングランド海岸沖での訓練を再開した。；遊泳域内は遠浅に設計されているため、沖側の限界近くまで大人なら足が着く。；沖波は救助作業により本隊と離れてしまい単独で撤退を開始する。；第一次世界大戦と第二次世界大戦では、マルタ沖では海戦が度々勃発した。；またシーラという国がカーンスーの沖にあり、ここも黄金に富むという。；その後、タイタン事件、火星沖の本土決戦にも参加したが最後まで健在。；その後、すでに安全な場所でなくなった呉軍港から徳山沖に疎開した。；韓国を目指していたが能登半島沖まで流されたものである。；パンガイモツ沖の停泊地とヌクアロファ湾がはっきりと記されている。；現在、海岸の責任者は着岸して死んだクジラは沖へ曳航することにしている。；イルカの群れが周辺に定着したこともあり、極めて稀にだがクジラが沖に見られることもある。；かつては3キロメートルほど沖まで続く遠浅の海が広がっていた。</t>
        </is>
      </c>
      <c r="J1022">
        <f>HYPERLINK("https://www.weblio.jp/content/沖", "词义详情")</f>
        <v/>
      </c>
      <c r="K1022">
        <f>HYPERLINK("https://yourei.jp/沖", "查看例句")</f>
        <v/>
      </c>
    </row>
    <row r="1023">
      <c r="A1023" t="inlineStr">
        <is>
          <t>補う</t>
        </is>
      </c>
      <c r="B1023" t="inlineStr">
        <is>
          <t>成功</t>
        </is>
      </c>
      <c r="C1023" t="inlineStr">
        <is>
          <t>読み方：おぎなう
［動ワ五（ハ四）］
１足りないところを埋めて満たす。補足する。「欠員を—・う」「もう少し説明を—・いたい」
２損害や罪などの埋め合わせをする。「欠損を—・う」「彼の誠実さは他の欠点を—・って余りある」
[可能]おぎなえる</t>
        </is>
      </c>
      <c r="D1023" t="inlineStr">
        <is>
          <t>補うべく(3%)；補うべき</t>
        </is>
      </c>
      <c r="E1023" t="inlineStr">
        <is>
          <t>カバー；埋める；カヴァー；カバーする；補完する</t>
        </is>
      </c>
      <c r="H1023" t="n">
        <v>29</v>
      </c>
      <c r="I1023" t="inlineStr">
        <is>
          <t>植物の体組成は動物のそれとは大幅に異なるためそれを補う必要がある。；半球形のリフレクターが残り半分を補って球になろうとしているようだ。；むしろ、正反対の意味とは両者がいつもあい補っているものなのである。；だがその日の大倉は睡眠不足を補わなければならない別の理由があった。；成功すれば、損害を補って余りある収入をもたらしてくれるはずである。；僕は自分の経験と研究に基づいて、これに足りないところを補おうと思う。；ガンダムの移動手段を補うためにさらなる飛行用ユニットが開発された。；君がふつうの能力しか持っていないなら、勤勉がその不足を補うだろう。；あるいは、脅迫され要求されていた金の不足をそれで補ったかもしれん。；われわれは衣に包まれた体から推測してそこに厚味のある色を補おうとする。；なお、再編成令には新会社の商号は記載されていないが下表では補った。；ブラッグは教育設備の不足を補うため、自ら器具製作者に弟子入りした。；その上、自然の水が不足すれば直ちに人の手が水を補っているらしい。；他人に話すことで自分の不安定さを少しでも補おうとしているのだ。；これではその身体を支えられないのであるが、それを補っているのが根である。；彼女の的確なアドバイスは、足りない部分をいつも補ってくれています。；MSの航続距離の不足や火力の不足を補うためのユニットの一つである。；どのような言語体験によって補われるかに、私は重大な関心を持っている。；まだ育成で自分の力が足りない部分があるので、練習で補って上を目指します。；顔だちはさほどととのっていないが、一種の温かみがそれを補っていた。；わずかな観光客の流れが島にも到着し始めて、塩の経済を補った。；旧いものを捨てるなら、優れた新しいもので補わなければならないのに。；しかし室のほぼ中央に設けられた突き上げ窓からの光がこれを補って余りある。；堤の崩れに板の段を補って、そこから桃畑に下りられるようになっている。；これを補うためにはもはや小額紙幣をさらに増刷する以外にはなかった。；アンパニヒで得られるの毛は不足しており、輸入によって補われている。；ロンドンでは新聞への美術評論の執筆や美術教師として収入を補った。；どこかしら物足りなさを補わなければ、納得することが出来ないのである。；この義体には下唇が無いので栄養パックの交換などで必要な栄養を補う。</t>
        </is>
      </c>
      <c r="J1023">
        <f>HYPERLINK("https://www.weblio.jp/content/補う", "词义详情")</f>
        <v/>
      </c>
      <c r="K1023">
        <f>HYPERLINK("https://yourei.jp/補う", "查看例句")</f>
        <v/>
      </c>
    </row>
    <row r="1024">
      <c r="A1024" t="inlineStr">
        <is>
          <t>お決まり</t>
        </is>
      </c>
      <c r="B1024" t="inlineStr">
        <is>
          <t>成功</t>
        </is>
      </c>
      <c r="C1024" t="inlineStr">
        <is>
          <t>読み方：おきまり
「決まり4」に同じ。</t>
        </is>
      </c>
      <c r="D1024" t="inlineStr">
        <is>
          <t>習慣；日常；慣習；通例；定番</t>
        </is>
      </c>
      <c r="H1024" t="n">
        <v>29</v>
      </c>
      <c r="I1024" t="inlineStr">
        <is>
          <t>白塗りの顔や必要以上に濃い化粧などをするのがお決まりになっている。；後はお決まりのパターンで、お前らの考え方はどんどん先鋭化していく。；いつもお決まりのジーンズをはいているわたしとはあまりにも対照的だ。；それはいつの世も変わらない、そんな場合に撮られるお決まりの物だった。；ラスプーチンの女の口説きかたにはお決まりのパターンがありました。；台本にでも書かれているかのようなお決まりの文句に、思わず笑みが溢れる。；タイプされたお決まりの文句の一番下に、たった今記されたばかりの数字があった。；今日はどういったものをお探しでしょうか、というお決まりの台詞を口にした。；僕がお決まりの会話だけでは喜ばないと思ったのだろうか。；こいつが俺の部屋で作業をするときの、お決まりのポーズだった。；どうしてそれをなどと、お決まりの台詞をリウイは言うつもりはなかった。；御自身のお心だってお決まりにならないのでしょう。；途中で歌が何回か入り、最後はメンバー全員で大合唱するのがお決まりである。；そして警察の捜査をあざ笑うかのように第二第三の殺人事件が発生するのがお決まりの。；税が徴収される場所ではお決まりの値切りや哀願の声も聞こえてくる。；すべてが日本の責任であり、自分たちは被害者だというお決まりのパターンなのだ。；ロビーに入るとすぐのところに控えていた翡翠が、お決まりの挨拶をしてくれる。；二人で酒を飲み、その後はお決まりどおりホテルへ行った。；源氏は今もこの女王に恋を持っているのであるが、結婚も不可能な神聖な職にお決まりになった事を残念に思った。；振り向いちゃ駄目とか、そういうお決まりの引っ掛けとかもありません。；かれらはグライムズのお決まりの儀式を遂行する間、そこに立ちどまった。；テレビではお決まりの有識者たちが、ヒステリックに宮崎を分析し始めた。；しかし途中で空腹になりゲストの挑戦開始から数分遅れて食べ始めるくだりがお決まりになっている。；彼らもじゃんけんの後に彼ら自身のお決まりネタを言っている。；そのためにヤケクソになった男に、お決まりの酒とバクチの日々がはじまる。；後に空中から両拳で敵を攻撃したり、地面を殴って着地することがお決まりとなる。；お決まりの話だが、作家には妻子があり、そこらがすっきりしないらしい。；番組の最後には、司会の明石家さんまが自身の持ち歌を披露するのがお決まりとなっている。；ひととおり話を終えた石原教授は、お決まりの台詞を口にした。</t>
        </is>
      </c>
      <c r="J1024">
        <f>HYPERLINK("https://www.weblio.jp/content/お決まり", "词义详情")</f>
        <v/>
      </c>
      <c r="K1024">
        <f>HYPERLINK("https://yourei.jp/お決まり", "查看例句")</f>
        <v/>
      </c>
    </row>
    <row r="1025">
      <c r="A1025" t="inlineStr">
        <is>
          <t>お客さん</t>
        </is>
      </c>
      <c r="B1025" t="inlineStr">
        <is>
          <t>成功</t>
        </is>
      </c>
      <c r="C1025" t="inlineStr">
        <is>
          <t>読み方：おきゃくさん
「客」を敬っていう語。「お客様」のややくだけた言い方。また、役に立たない人、また、勝負ごとなどでくみしやすい相手の意にも使われる。「いい—にされる」→客(きゃく)</t>
        </is>
      </c>
      <c r="D1025" t="inlineStr">
        <is>
          <t>お客さんたち(5%)；お客さん達；お客さん用；お客さんみたい；お客さんがた</t>
        </is>
      </c>
      <c r="E1025" t="inlineStr">
        <is>
          <t>客；得意；ゲスト；顧客；お客</t>
        </is>
      </c>
      <c r="F1025" t="inlineStr">
        <is>
          <t>お客さんなんか；小さいお客さん；珍らしいお客さん</t>
        </is>
      </c>
      <c r="H1025" t="n">
        <v>29</v>
      </c>
      <c r="I1025" t="inlineStr">
        <is>
          <t>客は購入後に袋を開けるまで、組番は一切わからないようになっている。；あの人のように頭を使う仕事をしているお客さんは他にもいますから。；この口調で見るとこの御客さんはやはり金田君の世話になる人と見える。；別れた奥さんがお客さんにサービスするのを見るだけだって悲しいんだ。；原料の種類も七種に限らず、客の求めに応じて減じたり増したりできる。；私は後日、一度その楽食へ外国人のお客さんを連れて行ったことがある。；これはヤクルトの長所を顧客に説明し普及する必要があったためである。；間口を広く、お客さんを選ばないようなアニメにしたいと思っています。；すると中浮になっていた御客様は出て来ない訳には行きませんでした。；こっちのお客さんが嫌なやつばかりなのもそのせいなのだろうと思っていた。；顧客が単一の価格であらゆるサイズを購入できることを特長としている。；だけどめったにお客さんが来なくて、商売には全然なっていなかったわ。；十時を過ぎてから、どういうわけかぱったりお客さんが来なくなったの。；目の見えないお客さんははじめてだから、どうしようかと思ってたの。；お客さんが来てくれたということがたいへんな出来事なのだと感じられた。；おつまみが楽しみだなんて、お客さんたちに言われるようになるとはね。；この光景を見ていた観客の中には婦人客も多く、また清の皇族もいたという。；ただ、次から次へとお客さんが来るので、僕も応対はしなかったんです。；この方には一寸用があるんだから、荷物は君からお客さんに上げて呉れ!；その時まで、母は台所に行ったり、お客さんと話をしたりしていたのだ。；沿線は工場が多く、旅客列車はそれらの工場への通勤客が主に利用する。；お客さんたちは左右に走りまわったり、一つところに集まったりしている。；御客座にはほかにも境内にあった坂本神社の祭神などが合祀されている。；こんなんじゃいつまでたってもお客さん気分が抜けないじゃないか。；ですから、私はこの御客様のためにも来る日も来る日も御飯たきばかり。；この前は一人御客を川に落してしまいましたが、今日はそんなことはない。；御承知の通り、当方にお客さんが見えることは滅多にありませんのでね。；人気商売ですから、恋愛の話が出れば出るほどお客さんは減りますよね。；幕の間から客席を見ると、思ったよりずっと大勢のお客さんが入っていた。</t>
        </is>
      </c>
      <c r="J1025">
        <f>HYPERLINK("https://www.weblio.jp/content/お客さん", "词义详情")</f>
        <v/>
      </c>
      <c r="K1025">
        <f>HYPERLINK("https://yourei.jp/お客さん", "查看例句")</f>
        <v/>
      </c>
    </row>
    <row r="1026">
      <c r="A1026" t="inlineStr">
        <is>
          <t>起きる</t>
        </is>
      </c>
      <c r="B1026" t="inlineStr">
        <is>
          <t>成功</t>
        </is>
      </c>
      <c r="C1026" t="inlineStr">
        <is>
          <t>読み方：おきる
［動カ上一］［文］お・く［カ上二］
１横になっていたものがからだを起こす。立ち上がる。「転んでもすぐ—・きる」
２眠りから覚める。また、目を覚まして床(とこ)を離れる。「毎朝五時に—・きる」
３寝ないでいる。目をさましている。「明け方まで—・きていた」
４何事かが発生する。起こる。「事故が—・きてからでは遅い」「混乱が—・きる」</t>
        </is>
      </c>
      <c r="D1026" t="inlineStr">
        <is>
          <t>起きる可能性；起きるかもしれ；起きる確率；起きるかも知れ；起きる様々な事件</t>
        </is>
      </c>
      <c r="E1026" t="inlineStr">
        <is>
          <t>くる；来る；出来；発生；立つ</t>
        </is>
      </c>
      <c r="F1026" t="inlineStr">
        <is>
          <t>早く起きる；跳ね起きる；はね起きる；これから起きる；とび起きる</t>
        </is>
      </c>
      <c r="H1026" t="n">
        <v>29</v>
      </c>
      <c r="I1026" t="inlineStr">
        <is>
          <t>一部の古代宇宙飛行士説論者が江戸時代に起きたと主張する事件である。；これは酵素の立体構造に変化が起きているからであると考えられている。；夕食で二人はイギリスの北米植民地で起きている反乱について議論した。；この情報の移動は水素結合が共有結合性を含んでいる時にしか起きない。；これは直前に起きたツーソン銃撃事件を受けての提案によるものである。；特に複数のチームで開発を行っていると名前の衝突が起きやすい。；今日も2グループの間で争いが起きるが警官の呼子笛の音に止められる。；揚力が生じているとき周囲の空気にはどこかで必ず逆向きの運動が起きる。；街の成長は主に港の施設や他の設備が徐々に改善されていった半島部で起きた。；過去のそれより小さい距離で起きた事象を我々は観測できていない。；またSNSの普及で電子メールや電話からSNSへの移行も起きている。；ISSに非常事態が起きた際の脱出用救命ボートの役割を果たしている。；この事件が競技中に起きたことから、全スポーツ界に大きな衝撃が広がる。；複数の波源からの波では、位相関係を調整できるときのみ干渉が起きる。；キリスト教やイスラム教などでも、大きな事件が起きたこともあった。；本編のとあるルートの後から約一年後の時間軸で起きた事件が書かれている。；電話通信には目に見えないところで大きな変化も起きている。；下に記述するのは、日本国内で起きたことを年表形式で記述したものである。；同時に迎えが来るので嵐が起きる、広瀬は逃げるように伝えて姿を消す。；それ以外の要因でも起きており、気圧差や風によるものを気象潮という。；インド各地で起きている血塗れの惨劇はエスカレートするばかりである。；これらの女性への性暴力の犯罪の大半がラッシュアワーに起きている。；郊外に人流をつくろうとしたことから矛盾が起きたためである。；インド政府も推奨しているが、現代医学の医師からの批判も起きている。；一方で、やはり文明崩壊、そして人肉食は起きたと主張する学者もいる。；保険が適用されるような重大事故となると問題が起きることがある。；しかしこのパリ会談は直前に起きたU2型機事件で失敗に終わった。；あるいはそのとき東北で赤潮現象が起きていたのだろうと考察される。；ジャージー規則によって、アメリカやフランスでも同様の問題が起きた。</t>
        </is>
      </c>
      <c r="J1026">
        <f>HYPERLINK("https://www.weblio.jp/content/起きる", "词义详情")</f>
        <v/>
      </c>
      <c r="K1026">
        <f>HYPERLINK("https://yourei.jp/起きる", "查看例句")</f>
        <v/>
      </c>
    </row>
    <row r="1027">
      <c r="A1027" t="inlineStr">
        <is>
          <t>置き忘れる</t>
        </is>
      </c>
      <c r="B1027" t="inlineStr">
        <is>
          <t>成功</t>
        </is>
      </c>
      <c r="C1027" t="inlineStr">
        <is>
          <t>読み方：おきわすれる
［動ラ下一］［文］おきわす・る［ラ下二］
１物を置いたままにして、持ってくるのを忘れる。「カメラをバスに—・れてきた」
２物をどこに置いたか、その場所を忘れる。</t>
        </is>
      </c>
      <c r="D1027" t="inlineStr">
        <is>
          <t>失う；落とす；忘れる；紛失；忘却</t>
        </is>
      </c>
      <c r="H1027" t="n">
        <v>29</v>
      </c>
      <c r="I1027" t="inlineStr">
        <is>
          <t>置き忘れてきたことに気づいたのは、家に帰ってきてすぐのことだった。；そんなもの、私は何万年も前に置き忘れてきてしまったような気がする。；そう言えば、置き忘れられた歌のかけらを探しておるとか言っとったな。；遠い記憶の彼方に、なにかとても大事なことを置き忘れている気がする。；私は置き忘れているのを知っていながら帰りを急ぐ母のあとを追った。；今朝はずっと応接間の方にいたから、昨夜のうちに置き忘れたのだろう。；一輛きりの置き忘れられたような貨車に男たちが荷物を運びこんでいる。；その同じ日に宅の女中が電車の中へだいじの包みを置き忘れて来たのである。；大急ぎで近代化してきて、置き忘れてきた文化はたくさんあると思うけど。；さっきまでの快活さは、門のところに置き忘れてでもきたようだった。；すると、その部屋に前の客が置き忘れていったらしいこの本が残っていました。；置き忘れられた水素原子だけが星々の間の空間にひとりただよっている。；もっとも、そのレコードは、その日のうちにどこかへ置き忘れてしまった。；この扇は僕のここへ来る前に誰かの置き忘れて行ったものだった。；あまり安心したためか、ねずみ小僧の脅迫状とやらも置き忘れていった。；最近都心の方で、駅のトイレに警官が銃を置き忘れる事件が起きていたのだ。；頭をどこかへ置き忘れて来たやうな、肉体ばかりになつたやうな気が三千代はした。；それで主人が自身に行ってみると、蛇と見えたのは置き忘れた名刀であった。；これだけきれいに片付けておいて、写真を一枚だけ置き忘れるわけがない。；これは現場の証拠の時計は、故意に置き忘れられたのだという見方です。；まるで大事なものをどこかに置き忘れてきてしまったようだ。；この青い髪のご主人さまも、同じように笑顔を置き忘れてきた少女であるからだった。；歩き出した圭一は、ふと原稿をタクシーの座席に置き忘れたことに気づいた。；相手の車に乗せてもらったのだが、作文をその車の中に置き忘れてきてしまった。；それはソウレ自身がとうに棄て去ったもの、置き忘れてきたものだった。；確かに持ってでたはずなのに、玄関マットの上に置き忘れてしまったみたい。；吾々には、置き忘れても日記を他人に見られるといふ不安はなかつた。；田中さんが置き忘れていったものを、紀子さんがしばらく持っていたのね。；まるで部屋の隅に置き忘れられた置物みたいだ、と彼女は自分のことを感じた。</t>
        </is>
      </c>
      <c r="J1027">
        <f>HYPERLINK("https://www.weblio.jp/content/置き忘れる", "词义详情")</f>
        <v/>
      </c>
      <c r="K1027">
        <f>HYPERLINK("https://yourei.jp/置き忘れる", "查看例句")</f>
        <v/>
      </c>
    </row>
    <row r="1028">
      <c r="A1028" t="inlineStr">
        <is>
          <t>奥</t>
        </is>
      </c>
      <c r="B1028" t="inlineStr">
        <is>
          <t>成功</t>
        </is>
      </c>
      <c r="C1028" t="inlineStr">
        <is>
          <t>読み方：おう
［常用漢字］　［音］オウ（アウ）（呉）（漢）　［訓］おく
〈オウ〉
１おくまった場所。「胸奥・堂奥・内奥」
２意味が深い。おく深い。「奥義(おうぎ・おくぎ)／蘊奥(うんおう・うんのう)・深奥・秘奥」
３陸奥(むつ)国。「奥羽・奥州」
[補説]原義は部屋の西南の隅。
〈おく〉「奥書(おくがき)・奥底・奥地／大奥・山奥」
［名のり］うち・おき・すみ・ふか・むら
［難読］奥津城(おくつき)・陸奥(むつ・みちのく)</t>
        </is>
      </c>
      <c r="D1028" t="inlineStr">
        <is>
          <t>奥向き；奥ふかく；奥儀；奥光；奥ふかい</t>
        </is>
      </c>
      <c r="E1028" t="inlineStr">
        <is>
          <t>後尾</t>
        </is>
      </c>
      <c r="F1028" t="inlineStr">
        <is>
          <t>いちばん奥；右奥；左奥；正面奥；画面奥</t>
        </is>
      </c>
      <c r="G1028" t="inlineStr">
        <is>
          <t>奥様；奥方；奥さま；奥底；奥州</t>
        </is>
      </c>
      <c r="H1028" t="n">
        <v>29</v>
      </c>
      <c r="I1028" t="inlineStr">
        <is>
          <t>現代の若者達は、意識の奥でみんなババを引いてしまったと感じている。；ふたりは生まれてから来たこともないほど森の奥に連れて行かれた。；写真奥に見える工場内に列車が入っている時には扉が閉まっている事が多い。；この他トイレがあり、手前に男子用、奥に大便用の便器が置かれていた。；いずれの分野も一朝一夕で身につくものではなく、奥の深い趣味と言える。；南御門から入ると正式な入口である式台があり、奥に玄関が建っていた。；エレベーターは改札を入り、トイレの奥に各ホームとを結ぶ所にある。；基地の北側からはその奥に洗浄線などが見え、その奥に検車庫が見える。；中央奥の階段が鶴見線の駅の入り口で、線路は道路と平行に伸びている。；エレベーターは改札奥から地下1階を経てホームまで設置されている。；このステージは画面の奥の方に小さく見える敵兵も倒すことができる。；内2線は両側にホームがあるものの、一番奥のホームは現在使われていない。；神社の裏にある小さな洞窟の奥に不思議な卵状の乗り物があった。；手前の線から出てきた車両がスイッチバックして奥の方に入って行くことがある。；奥中央に見えるのは拾翠亭現在の京都御苑の南西部に旧九条邸はあった。；奥の北壁には四神のうちの玄武が描かれ、天井には星辰が描かれている。；側面図から手前の点より目線側に奥の点が映っていることがわかる。；手前や奥に移動するなど移動や回避の幅が広がっている。；眼は小型で眼窩の奥の方にあり、藪の中で眼が傷つきにくくなっている。；奥の二人の兵士の足元にあるコンクリートの帯が軍事境界線を表している。；小さな子供が鼻水をすすった際に耳の奥へ溜まってしまう場合がある。；それほどディフェンスは重要なファクターであり奥の深いものである。；駅の東側には川が流れており、その奥には山が広がっている。；この窟の天井の高いホールに入ると、奥にあるストゥーパが目に入る。；駅舎側のホームが上り側列車発着・通過、奥のホームが下り側列車発着・通過である。；また舌の奥に指を入れたりして吐き気を催すことを「嘔吐反射」という。；途中まではコンクリートで被覆されているが、その奥は素掘りであった。；この命令は英蘭軍の戦線は尾根ではなくその奥の村にあると想定していた。；階段はホームの新松戸方向端にあり、階段横の通路の奥にエレベーターがある。</t>
        </is>
      </c>
      <c r="J1028">
        <f>HYPERLINK("https://www.weblio.jp/content/奥", "词义详情")</f>
        <v/>
      </c>
      <c r="K1028">
        <f>HYPERLINK("https://yourei.jp/奥", "查看例句")</f>
        <v/>
      </c>
    </row>
    <row r="1029">
      <c r="A1029" t="inlineStr">
        <is>
          <t>億</t>
        </is>
      </c>
      <c r="B1029" t="inlineStr">
        <is>
          <t>成功</t>
        </is>
      </c>
      <c r="C1029" t="inlineStr">
        <is>
          <t>読み方：おく
［音］オク（呉）
［学習漢字］4年
１数の単位。万の一万倍。「一億・千億」
２数のきわめて多いこと。「億兆・億万／巨億」
［名のり］はかる・やす
［難読］億劫(おっくう)</t>
        </is>
      </c>
      <c r="D1029" t="inlineStr">
        <is>
          <t>億円(22%)；億ドル(13%)；億年(7%)；億五(2%)；億人(2%)</t>
        </is>
      </c>
      <c r="F1029" t="inlineStr">
        <is>
          <t>一億；数億；千億；百億；二億</t>
        </is>
      </c>
      <c r="G1029" t="inlineStr">
        <is>
          <t>億万長者；億ション；億兆；億人；億計王</t>
        </is>
      </c>
      <c r="H1029" t="n">
        <v>29</v>
      </c>
      <c r="I1029" t="inlineStr">
        <is>
          <t>太陽の回転に伴って太陽内部には数十億アンペアの電流が発生している。；この空間までの現在の距離であるは、約450億光年と推定されている。；新薬を研究開発し、発売するために必要なコストは数百億円といわれる。；皇后との間には億計天皇と弘計天皇の父である磐坂市辺押磐皇子を得た。；後にこれらは何千億個もの恒星が集まった銀河であることが明らかになった。；当時の記録では、駆除のため捕獲した数だけで360億匹を超えたという。；この事件で人類は数十億人が死亡したといわれている。；これらはおおよそ3億2300万年前よりも前か後かで分けられる。；基地局の撤去には数十億の資金が必要であるとYOZANは公式発表している。；地球から約120億万キロに位置する4つの月がある第四惑星に住む宇宙人。；翌2008年にも状況の好転はなく、負債額は1344億円にも達した。；損害額の合計は約634億ドルで、調査開始時の2倍以上に増加している。；石油収入150億ドルのうち100億ドルが使途不明のまま消えていく。；化石海水は、数千万年 - 数億年前に形成されたと見られている。；州内の大型産業の中でも航空機産業は年間110億ドルを売り上げている。；アメリカ合衆国を例に挙げると、その市場規模は約330億ドルだという。；ポリス在籍期とソロ活動のアルバムの売り上げは一億枚を超えている。；ソチオリンピックの開催関連費用は、当初の予算では120億ドルだった。；彼が使った工作資金はいまの標準でいうと数百億円ですってね。；また、校舎などを約105億円の総事業費をかけPFI方式で全面改築。；これを受けた北海道は億単位の新たな負担は難しい。；特に被害者が裕福である場合が多かったため、被害規模は数億円に及ぶと見られている。；この主張のおかげで彼は、おそらく年間数億円の収入を逃していると見られる。；これは辛うじて生存している数十億人の人々のことを意味した。；請願駅として誕生したため、総事業費約137億円は地元が負担した。；その後、千万の次を億とし、十億、百億と続けていく方法が考案された。；後に億、兆などが作られたが、その意味する位は一定しなかった。；そこで彼らは、恐らく何億年も前から影の中にあったであろう土壌を採集した。；尚、同様に数億年間そのままの形態でいる生き物にゴキブリやワニがいる。</t>
        </is>
      </c>
      <c r="J1029">
        <f>HYPERLINK("https://www.weblio.jp/content/億", "词义详情")</f>
        <v/>
      </c>
      <c r="K1029">
        <f>HYPERLINK("https://yourei.jp/億", "查看例句")</f>
        <v/>
      </c>
    </row>
    <row r="1030">
      <c r="A1030" t="inlineStr">
        <is>
          <t>置く</t>
        </is>
      </c>
      <c r="B1030" t="inlineStr">
        <is>
          <t>成功</t>
        </is>
      </c>
      <c r="C1030" t="inlineStr">
        <is>
          <t>読み方：おく
［動カ五（四）］
１人や物をある位置・場所にとどめる。
㋐そこに位置させる。「要所に見張りを—・く」「手をひざに—・く」
㋑ある状態にすえる。「目的を—・く」「重点を—・く」
㋒心をそこにとどめる。「信を—・く」「念頭に—・く」
２人をある立場につかせる。
㋐雇う。抱える。「タイピストを—・く」
㋑同居させる。「下宿人を—・く」
３ある場所に残す。残しとどめる。「家族を郷里に—・いて働く」
４新たに設ける。設置する。「事務所を—・く」
５時間的、空間的に間を隔てる。「一日—・いて行く」「一軒—・いた隣」
６その状態を続けさせる。そのままにする。「この肉は明日まで—・くと腐る」「ただでは—・かない」
７預け入れる。差し出す。「抵当を—・く」「質に—・く」
８算木などの用具の位置を決めて、計算する。占いをする。「そろばんを—・く」
９蒔絵(まきえ)や箔(はく)を施しつける。「金箔を—・く」
10相手に対して心を配る。気がねをする。→気が置けない
「我に心—・き、ひき繕へる様に見ゆるこそ」〈徒然・三七〉
11露・霜などが降りる。「草に—・く露」
12（補助動詞）多く動詞の連用形、または、それに助詞「て」を添えた形に付く。
㋐今後の用意のために、あらかじめ…する。「話だけは聞いて—・こう」「この程度のことは勉強して—・くべきだ」「名前は仮にAとして—・こう」
㋑その状態を続けさせる。そのままにする。「窓を開けて—・く」「言わずに—・く」
[可能]おける
[下接句]朝雨馬に鞍(くら)置け・一目置く・重きを置く・風上(かざかみ)に置けない・眼中に置かない・木にも草にも心を置く・気が置けない・奇貨(きか)居(お)くべし・草木にも心を置く・算を置く・歯牙(しが)の間(かん)に置く・下にも置かない・質(しち)に置く・借金を質に置く・隅に置けない・赤心(せきしん)を推(お)して人の腹中(ふくちゅう)に置く・算盤(そろばん)を置く・泰山(たいざん)の安きに置く・念頭に置く・間を置く・胸に手を置く</t>
        </is>
      </c>
      <c r="D1030" t="inlineStr">
        <is>
          <t>置くべき；置くサッカークラブチーム；置くラグビーユニオンクラブ；置くべし</t>
        </is>
      </c>
      <c r="E1030" t="inlineStr">
        <is>
          <t>配置；与える；停止；中止；残す</t>
        </is>
      </c>
      <c r="F1030" t="inlineStr">
        <is>
          <t>置く総合物流企業；置く貸切バス事業；置く石州瓦；置くプロスポーツチーム；置く四国旅客鉄道</t>
        </is>
      </c>
      <c r="H1030" t="n">
        <v>29</v>
      </c>
      <c r="I1030" t="inlineStr">
        <is>
          <t>それに彼女は僕との関係に今まで以上の距離を置こうとしているようだ。；どのカードをどの位置に置くのかはプレイヤーが自由に決める事ができる。；それらのほとんどは韓国に開発拠点を置き、中国で生産されたものだった。；イギリスの場合、「」の方が人を前に置く表現よりも一般に都合が良い。；初期のものは、木製で椅子のような構造で移動式で寝室などに置かれた。；駅舎内に待合室とトイレが設置されているが、券売機は置かれていない。；市の立つ日だから三軒屋へゆく前買いものをして置こうとして出かけた。；買った本を自宅に置いたまま、職場や旅行先でも読める新たなサービス。；律令制下に置かれた郡であるが、その領域は現在よりもずっと広かった。；装置本体は冷房ダクトとの位置関係から、トイレ前に床置きされている。；大掾は国司の一人で、大・上・中・下に分けたうち大国にだけ置かれる。；ここで自然ではあるが、問題文では触れられていない次の仮定を置く。；このため参宿の距星を別の星に置くなどの措置が取られるようになった。；刑務所ではラジオを置く・新聞を取る・労働はせずに快適に暮らしていた。；この他トイレがあり、手前に男子用、奥に大便用の便器が置かれていた。；彼は母のすべてを深く心に刻みつけて置こうとするかのようであった。；彼は妻の失踪宣告をせず、法的に死亡した状態に置こうとはしなかった。；当然のことながら彼らに統治能力はなく、摂政が置かれることになった。；地球の公転を基礎に置く太陽暦を発達させた古代文明にエジプトがある。；日本の国産兵器の能力に全幅の信頼を置く人間ばかりではないからである。；その後、1892年までに全ての首長国がイギリスの保護下に置かれた。；今後の製品の性能向上を念頭に置いてシステムバスの仕様を変更している。；郷里の環境に身を置くことで、ミホの神経症状は次第に回復していった。；傍らには白い百合が置かれているが、天使が百合を携えている場合もある。；リトアニアは独ソ戦末期までドイツ軍の占領下に置かれることとなった。；当時の技術ではCPUとは別にROMを置く方がコストが掛かっていた。；例えば僕のそばに置いてもっとシゴいたほうが良かったかもしれない。；両社の場所は異なるものの、いずれも福岡市博多区に本社を置いている。；さらに守護代も小守護代を置いて、二重三重の支配構造を形成していった。</t>
        </is>
      </c>
      <c r="J1030">
        <f>HYPERLINK("https://www.weblio.jp/content/置く", "词义详情")</f>
        <v/>
      </c>
      <c r="K1030">
        <f>HYPERLINK("https://yourei.jp/置く", "查看例句")</f>
        <v/>
      </c>
    </row>
    <row r="1031">
      <c r="A1031" t="inlineStr">
        <is>
          <t>屋外</t>
        </is>
      </c>
      <c r="B1031" t="inlineStr">
        <is>
          <t>成功</t>
        </is>
      </c>
      <c r="C1031" t="inlineStr">
        <is>
          <t>読み方：おくがい
建物の外。家屋の外。戸外。「—に出る」⇔屋内。</t>
        </is>
      </c>
      <c r="D1031" t="inlineStr">
        <is>
          <t>屋外展示(3%)；屋外型；屋外イベント；屋外施設；屋外ステージ</t>
        </is>
      </c>
      <c r="E1031" t="inlineStr">
        <is>
          <t>表；野外；戸外；露天；室外</t>
        </is>
      </c>
      <c r="F1031" t="inlineStr">
        <is>
          <t>屋外博物館；屋外劇場；屋外飼育；屋外広場；屋外設置</t>
        </is>
      </c>
      <c r="G1031" t="inlineStr">
        <is>
          <t>屋外広告；屋外広告物；屋外駐車場；屋外便所；屋外広告物法</t>
        </is>
      </c>
      <c r="H1031" t="n">
        <v>29</v>
      </c>
      <c r="I1031" t="inlineStr">
        <is>
          <t>屋外であるが屋根があるので風がなければ雨天でも濡れずに利用できる。；屋外による収録が主であるが、番組末期は室内での収録が行われていた。；屋外に出ることはなく、子供時代は読書と絵を描くことに関心があった。；室内で食べると臭気がなかなか消えないので、屋外で食べることが多い。；また、資料展示室に隣接した屋外ではクジャクが飼育・展示されている。；屋外の作業を想定した技術のため、道具ははさみや筆など最小限となる。；日本のように屋外に大量の自動販売機が設置されている国は他に類をみない。；屋外の敵であってもその敵の巣を破壊すれば二度と出現しなくなる。；これはミュラー邸前での屋外演奏を想定したものと推測されている。；屋外でも室内でも行われるが、かつてはオリンピックで行われていた。；年に数回、屋外に設置された40mの線路を走行する実演が行われている。；屋外でのファッション写真の撮影は、彼の作品が最も早い一例である。；建物や自動車の窓では、室内を冷房した際に屋外側に結露が発生する。；現在、再演されているイベントには屋外での歴史に基づいた演劇などがある。；これらの飛散物が、屋外のあらゆる物体や人に衝突して被害を発生させる。；なお、屋内式であっても変電設備は屋外や屋上に設けられることが多い。；舞台が屋外であるため、地形に由来する固定トラップが多く用意されている。；屋外に設置される椅子には、耐雨性・耐光性なども求められる場合がある。；屋外に林業で利用した機械類や森林鉄道の機関車が展示されている。；また、ベラルーシ初の鉄道の屋外博物館である鉄道技術博物館がある。；本作では屋外、屋内共にステージ毎の専用のBGMが用意されている。；屋外用ではアブやブユなどにも効果を発揮する製品も登場している。；いずれも屋外から放送の様子が見えるオープンスタジオとなっているのが特徴。；前者の型は、輝度が高く大型に製造できることから屋外での利用に向いている。；屋外では日本で唯一となる構造物上に設置された空中バンクである。；豚は気温制御された建物で飼育されており、一切屋外に出ないこともある。；また、完全屋外施設である事から雨天時は閉園となる可能性が大きい。；これは自然選択および進化が屋外で詳細に観察された初めてのケースといわれている。；で毎年開かれる屋外コンサートは、その種の無料イベントで最大のものの一つである。</t>
        </is>
      </c>
      <c r="J1031">
        <f>HYPERLINK("https://www.weblio.jp/content/屋外", "词义详情")</f>
        <v/>
      </c>
      <c r="K1031">
        <f>HYPERLINK("https://yourei.jp/屋外", "查看例句")</f>
        <v/>
      </c>
    </row>
    <row r="1032">
      <c r="A1032" t="inlineStr">
        <is>
          <t>奥様</t>
        </is>
      </c>
      <c r="B1032" t="inlineStr">
        <is>
          <t>成功</t>
        </is>
      </c>
      <c r="C1032" t="inlineStr">
        <is>
          <t>読み方：おくさま
１他人の妻を敬っていう語。
２女主人を敬っていう語。使用人などが使う。「—の用事で参りました」
[補説]古くは、公家・大名などの妻の敬称だったが、のちに武家・富商などにもいうようになり、現在では広く一般に用いられる。</t>
        </is>
      </c>
      <c r="D1032" t="inlineStr">
        <is>
          <t>奥様方；奥様風；奥様然；奥様役；奥様がた</t>
        </is>
      </c>
      <c r="E1032" t="inlineStr">
        <is>
          <t>女；女性；妻；室；夫人</t>
        </is>
      </c>
      <c r="F1032" t="inlineStr">
        <is>
          <t>若奥様；千里眼奥様；若い奥様；美しい奥様；立派な奥様</t>
        </is>
      </c>
      <c r="G1032" t="inlineStr">
        <is>
          <t>奥様運び；奥様ジャーナル；奥様女中；奥様は顔が二つ；奥様なんでも大学</t>
        </is>
      </c>
      <c r="H1032" t="n">
        <v>29</v>
      </c>
      <c r="I1032" t="inlineStr">
        <is>
          <t>全く道ならぬ奥様の恋とは言いながら、思の外のあわれも有ましたので。；お君さんがそんななんでございますか、まあ死ぬんでございますか奥様。；奥様は手文庫から二十両の金を出して、わたくしにお渡しになりました。；ゆっくりと階段を上がって行くと、アデリンが一人で奥様の部屋にいた。；奥様から慰めてあげていただきたいと私はお願いに出たのでございます。；国元の奥様のことを考えながら、その悩みをお忘れになりたい為めにね。；出迎えの女中の態度で、この家の奥様であることを私はたしかめました。；しかし奥様が自動車へお乗りになったのはあの日一日だけではありませんな。；大奥様とご一緒に、わたくしもこちらの方は、お暇をいただきたいんです。；いま分かったぞ、重大な訳があったので大奥様があの男を大目に見た。；奥様のお赦しさえあれば、御一緒に写真だけでも入れて欲しいのです。；わたくしは直接には奥様とお呼びしてかげでは晶子さんと呼び慣はした。；でも、まだお目にかかりませんけれど、奥様にお悪くはないでしょうか。；ご自分の勝手で病気を招いた点で、私は奥様を当然に非難しました。；俺は強引に進めるような事はせず、大奥様が死ぬまで待つことにした。；お袖 この間お目にかかった時も、大奥様は泣いていらっしゃいました。；さあ、奥様今回だけはしきたりを破って一緒にお食事なさいませんか。；あのダイヤは私が盗んで、ちょっと奥様のポケットを拝借したんですわ。；園子は私の背中で、奥様や御主人に向って大いに愛想笑いをしたらしい。；今まではりつめていた気が奥様のやさしいお言葉で急にゆるんだのだった。；奥様がどうおなりになったかということを、どうほかの人に話ができましょう。；奥の方はご飯たきが一人、奥様付きが一人、それにあたしが先生付き。；奥様に言はせると、今の住職が敬之進の為に尽したことは一通りで無い。；近い例は今尾の奥様、押出しはよし、容貌はよし、御教育もあるとやら。；こんな手紙を書いても決して奥様を慰められやうとは思ひません。；もしそれとも旦那様が居らぬなら奥様でも出て来て呉れと云ふのでよ。；大奥様が全て教えてくれたが、お前様には言いたくないそうだ。；奥様は身元を確認する必要がありますが、ほかに面倒はありません。；階段を上がって通された素敵な部屋からは、大奥様自作の庭園が見えた。</t>
        </is>
      </c>
      <c r="J1032">
        <f>HYPERLINK("https://www.weblio.jp/content/奥様", "词义详情")</f>
        <v/>
      </c>
      <c r="K1032">
        <f>HYPERLINK("https://yourei.jp/奥様", "查看例句")</f>
        <v/>
      </c>
    </row>
    <row r="1033">
      <c r="A1033" t="inlineStr">
        <is>
          <t>奥さん</t>
        </is>
      </c>
      <c r="B1033" t="inlineStr">
        <is>
          <t>成功</t>
        </is>
      </c>
      <c r="C1033" t="inlineStr">
        <is>
          <t>読み方：おくさん
他人の妻を敬っていう語。「おくさま」よりややくだけた言い方。</t>
        </is>
      </c>
      <c r="D1033" t="inlineStr">
        <is>
          <t>奥さんたち；奥さん連中；奥さん達；奥さんらしい人；奥さんがた</t>
        </is>
      </c>
      <c r="E1033" t="inlineStr">
        <is>
          <t>女；女性；妻；室；夫人</t>
        </is>
      </c>
      <c r="F1033" t="inlineStr">
        <is>
          <t>若い奥さん；美しい奥さん；きれいな奥さん；立派な奥さん；隣りの奥さん</t>
        </is>
      </c>
      <c r="G1033" t="inlineStr">
        <is>
          <t>奥さんお買い得です；奥さんごいっしょに</t>
        </is>
      </c>
      <c r="H1033" t="n">
        <v>29</v>
      </c>
      <c r="I1033" t="inlineStr">
        <is>
          <t>教室で彼のうしろの席にいたのが、ついには奥さんになったこの女性だ。；この奥さんの年をとっているのもあるいはそんなためではないでしょうか?；実際どうかしているのですね、奥さんにお逢いして知らずにいるなんて。；劉 しばらく、君のゐないところで、奥さんに話したいことがあるんだ。；お師匠さんの奥さんだけれど、お師匠さんじゃないから大丈夫と考えた。；その時奥さんを起そうかと思ったが、医者がそれには及ばないと云った。；別れた奥さんがお客さんにサービスするのを見るだけだって悲しいんだ。；一時間半ぐらいして戻ってみると奥さんの姿がどこにも見当りません。；少なくともあなた方は店頭で私を奥さんと呼ばないように注意して下さい。；その前にも一人来たが、その男は奥さんの気に入らなくて追い出された。；独身男から、奥さんが病気だと、電話がかかって来るのもないと限らぬ。；奥さんはかうなるまでにも、一度少く別れてゐられたのださうであつた。；今の奥さんにはぼくの立場がよくわかつていたゞけると思つたからです。；奥さんが社交の修業を必要とするように言ったのもその辺に含蓄がある。；私が大人になって先生になるなら、奥さんのような意地悪は致しません。；若い女はすぐに立去ったが、奥さんは先生とわたしに茶をついでくれた。；女中は暇をとる時、こゝの奥さんは何が楽しみで生きているのかと泣いた。；街で見かけた気になる奥さんの夫を訪問するバラエティー番組である。；念吉 奥さんは、今、飯の用意をしてゐますが、僕ぢやわかりませんか。；しかし、奥さんと御相談なさらずにお決めになつてもよろしいのですか?；奥さん連が、なんのことはない、みんな生れながらのお百姓ぢやないか。；尚お奥さんの里はお父さんも兄さんも医学博士で、病院を経営している。；私のところへ来て、博士も奥さんもケチで困ると言ったことがありました。；頃合いを見て戻ってみますと、奥さんはもうお帰りだとのことでした。；秀才の奥さんはチラリと阿Qの顔を見て彼が感動したかどうかを窺った。；奥さんが降りて行った後に、先生とわたしは差向いで二時間ほども話した。；行つても、奥さんの花壇へ近寄ることに不思議な抵抗をおぼえはじめた。；そんな風にして、少年は奥さんの花壇へも自由に入れる身分になつた。；二時ごろまで寝てて、奥さんが全部ちゃんとやってくれるんだから。</t>
        </is>
      </c>
      <c r="J1033">
        <f>HYPERLINK("https://www.weblio.jp/content/奥さん", "词义详情")</f>
        <v/>
      </c>
      <c r="K1033">
        <f>HYPERLINK("https://yourei.jp/奥さん", "查看例句")</f>
        <v/>
      </c>
    </row>
    <row r="1034">
      <c r="A1034" t="inlineStr">
        <is>
          <t>屋上</t>
        </is>
      </c>
      <c r="B1034" t="inlineStr">
        <is>
          <t>成功</t>
        </is>
      </c>
      <c r="C1034" t="inlineStr">
        <is>
          <t>読み方：おくじょう
１屋根の上。
２ビルなどで、屋根にあたる所を平らにつくり、利用できるようにした場所。「—のビアガーデン」</t>
        </is>
      </c>
      <c r="D1034" t="inlineStr">
        <is>
          <t>屋上駐車場；屋上テラス；屋上部分；屋上看板；屋上階</t>
        </is>
      </c>
      <c r="F1034" t="inlineStr">
        <is>
          <t>校舎屋上；デパート屋上；本社屋上；建物屋上；館屋上</t>
        </is>
      </c>
      <c r="G1034" t="inlineStr">
        <is>
          <t>屋上緑化；屋上遊園地；屋上ヘリポート；屋上の狂人；屋上屋を架す</t>
        </is>
      </c>
      <c r="H1034" t="n">
        <v>29</v>
      </c>
      <c r="I1034" t="inlineStr">
        <is>
          <t>このためクハ1602の屋上にもパンタグラフ搭載の準備がされていた。；自治体が屋上の緑化を推進させるため地域により助成制度を設けている。；新校舎正面の屋上には、LEDで発光する校章と時計が設置されている。；実家に住んでいた頃は屋上に設置されていたプレハブ小屋を自室としていた。；当初、前述の屋上に設置された大型冷房装置は建物の東側に設置されていた。；シングル発売時には松坂屋上野店等の屋上にてイベントを行っていた。；斉藤の故郷である宇都宮市のオリオン通りにあるビルの屋上で撮影した。；デパートの屋上では屋上遊園地や駐車場などに利用されているものもある。；日立製作所の本社があった新丸ビルの屋上で行われていた記録もある。；体育館は地下に設置されており、体育館屋上部分が運動場となっている。；なお、屋内式であっても変電設備は屋外や屋上に設けられることが多い。；屋上の赤い看板は現在は無地であるが、かつては西友の看板であった。；北棟の崩壊により、北棟の屋上に設置されていた通信アンテナも破壊された。；屋上には15メートルの鉄塔が備わっており、これは現在も変わらない。；大瀬の証言によれば警視庁の屋上で撮影を行ったこともあるという。；だがそこは西新宿の雑居ビルの屋上にある、屋根もないような貧乏団体。；屋上の天文台にある望遠鏡を使用し天体観望会を定期的に開催している。；なお1号館3階には今は板で覆われているが屋上への階段がある。；それぞれが屋上のヘリコプターを目指し戦闘の末に高層ビルから脱出する。；病院の屋上から響く応援団の練習の声は臼田の夏の風物詩となっている。；当施設の駐車場は、現在閉鎖中の屋上駐車場を除いて542台利用可能である。；捜査員が調べたところ、同高校の屋上で被害者の腐乱死体を発見した。；屋上にはゴライアスが封印されていたワイバーン城が設置されている。；トロイカ同様、建物の屋上にある為より高さを感じることができた。；車体中央部壁の面に排気管を立ち上げる屋上排気方式を標準とした。；テレビが普及してから屋上にはテレビの受信アンテナが設置されることは多い。；レッドは壁を突き破って彼に突進し二人は隣の建物の屋上に着地した。；屋上の畑でジャガイモなどを、池ではフナやメダカなどを飼育している。；このうち241編成は改造と同時に屋上の通風器が全て撤去された。</t>
        </is>
      </c>
      <c r="J1034">
        <f>HYPERLINK("https://www.weblio.jp/content/屋上", "词义详情")</f>
        <v/>
      </c>
      <c r="K1034">
        <f>HYPERLINK("https://yourei.jp/屋上", "查看例句")</f>
        <v/>
      </c>
    </row>
    <row r="1035">
      <c r="A1035" t="inlineStr">
        <is>
          <t>臆病</t>
        </is>
      </c>
      <c r="B1035" t="inlineStr">
        <is>
          <t>成功</t>
        </is>
      </c>
      <c r="C1035" t="inlineStr">
        <is>
          <t>読み方：おくびょう
［名・形動］ちょっとしたことにも怖がったりしりごみしたりすること。また、そのような人や、そのさま。「—な子猫」「—者」</t>
        </is>
      </c>
      <c r="D1035" t="inlineStr">
        <is>
          <t>臆病風(4%)；臆病そう(2%)；臆病な性格；臆病な男；臆病な人間</t>
        </is>
      </c>
      <c r="E1035" t="inlineStr">
        <is>
          <t>細心；内気；弱気；小心；気弱</t>
        </is>
      </c>
      <c r="F1035" t="inlineStr">
        <is>
          <t>臆病神；臆病窓；臆病風に吹かれて；臆病な小動物；臆病な自尊心</t>
        </is>
      </c>
      <c r="G1035" t="inlineStr">
        <is>
          <t>臆病もの；臆病なライオン；臆病な狼</t>
        </is>
      </c>
      <c r="H1035" t="n">
        <v>29</v>
      </c>
      <c r="I1035" t="inlineStr">
        <is>
          <t>当時の私はその原因が、全く私の臆病に根ざしているのだと思いました。；私は甚助の子供の気持より、はるかに単純で臆病なのを知るのであった。；二十歳の年、この臆病なロシアの皇太子は生涯にただ一度の恋愛をした。；ただし、臆病なところもあり自分より体が大きい犬は苦手な傾向がある。；連中は臆病なものですから、外国人であるあなたをまずよこしたのです。；彼は性に対して異常に臆病で、恐怖心さえも抱いていたような節がある。；臆病な点も含めてハリネズミのあらゆる特徴を持つ一トンほどの巨大な獣。；彼の臆病は有名だったし、彼に罪があるわけでもないから、それで通った。；われわれの臆病なる小さな心臓は老人の意のままに高く低く鼓動した。；一種の臆病心は影のようにジョヴァンニの胸から飛び去ってしまった。；最初にやってきたのは、非常におびえた臆病そうなウサギの夫婦でした。；臆病な小鳥たちも、まだ人を恐れないで、よく私になついてゐたものだ。；彼らの臆病さはその建築様式や様々なもののデザイン面にもあらわれている。；強いて性質をためて本来臆病の者が剛の者の真似をするにも及ばない。；そうして、胸のうちでその返事の仕様をあれかこれかと臆病らしく考えていた。；けれども成績の良い子供であるという教師たちの評判が私を妙に臆病にさせた。；子供の時分にこの臆病な私の胆玉を脅かしたものの一つは雷鳴であった。；野生下では臆病で人間から逃げるが、飼育下では人間に懐くこともある。；彼女は、臆病な私に様々な警告を与へながら次第に馬の速度をはやめた。；でも、わたくしは習慣の奴隷になっていましたし、臆病にもなっていました。；探偵の姿はあったが、青年は臆病さの一部を失ってしまったらしいと言った。；僕は僕の決意を言いきったし、おどし文句に屈するほど臆病でもないぞ。；但し性格は臆病で、実際に人が咬まれた確実な例は報告されていない。；同じように地震もまた臆病な子供の私をひどくおびえさせたものの一つである。；義経はそんなものをつければ兵が臆病風にふかれて退いてしまうと反対。；病気だとか怪我だとか云う事に非常に臆病になって来て居る。；問題は解決を要求してゐた、彼は臆病からのばしのばししてゐたのだ。；けれどもこれが必ずしも先生の臆病とばかりは云はれないのである。；臆病な性格で戦う力も弱いが強力な進化を遂げると言われている。</t>
        </is>
      </c>
      <c r="J1035">
        <f>HYPERLINK("https://www.weblio.jp/content/臆病", "词义详情")</f>
        <v/>
      </c>
      <c r="K1035">
        <f>HYPERLINK("https://yourei.jp/臆病", "查看例句")</f>
        <v/>
      </c>
    </row>
    <row r="1036">
      <c r="A1036" t="inlineStr">
        <is>
          <t>奥深い</t>
        </is>
      </c>
      <c r="B1036" t="inlineStr">
        <is>
          <t>成功</t>
        </is>
      </c>
      <c r="C1036" t="inlineStr">
        <is>
          <t>読み方：おくぶかい
［形］［文］おくぶか・し［ク］《「おくふかい」とも》
１表・入り口から奥までが遠い。また、奥に入り込んでいる。奥まっている。「—・い山中」
２意味が深い。深みがある。「—・い言葉」</t>
        </is>
      </c>
      <c r="D1036" t="inlineStr">
        <is>
          <t>奥深いところ(22%)；奥深いもの(5%)；奥深い山(3%)；奥深い所(2%)；奥深い場所</t>
        </is>
      </c>
      <c r="E1036" t="inlineStr">
        <is>
          <t>深い；立派な；深遠；高尚な；深遠な</t>
        </is>
      </c>
      <c r="F1036" t="inlineStr">
        <is>
          <t>もっとも奥深い；最も奥深い；一番奥深い；非常に奥深い；奥深い味</t>
        </is>
      </c>
      <c r="H1036" t="n">
        <v>29</v>
      </c>
      <c r="I1036" t="inlineStr">
        <is>
          <t>身体の奥深いところで泥をかぶっていたなにかの記憶がもぞりと動いた。；ひとつの考えが、頭の最も奥深い部分で具体的な形をとりはじめていた。；思えば人間の心の奥深いところは誰にも分らないのでございましょう。；いずれにしても、誰よりも自分の心の奥深くに住んでいる人間である。；作品上での謎が実際の歴史との関係が深く、奥深い作品となっている。；森の奥深く、まわりに誰もいないと確信した時だけやる秘密の遊びだ。；護衛兵たちは、この森をかなり奥深くまで入ったところで立ち止まった。；簑田にとっては野球の奥深さを考えさせられるきっかけになったという。；すなわち仏がその悟りの奥深広大なるを自ら楽しんで受けることをいう。；中国世界がときに底なし沼のように奥深いのもまたそのせいであろう。；きっと奥深い山の中に、一人で犬にかこまれて暮らしているのではないか。；私は本人から、その女の胸の一番奥深くにあることをすっかり聞いたんだよ。；体の奥深くから湧きだして来る不安感で、寝ていることができなかった。；公子は、夫の生きている世界が非常に奥深いものであることを知っていく。；似たような事は時々あり、人間の心の奥深く流れるやさしさなのでしょう。；奥深いしかも世に知られないそれらの事実は、表面には現われていなかった。；ふたりは会って挨拶をかわしたのち、奥深い後堂にはいって席についた。；敵国奥深く侵入し、多数の敵城を後方に背負っているのが、重地である。；舌に残った血の味が、彼女の奥深いところにある『何か』を揺さぶった。；ふだんは警戒して森の奥深くにしかいない彼らも、この季節だけは別。；心の奥深く、その暗い暗い暗い場所から、冷たい声が這い上がってくる。；すでに電波の到達しようのない船内の奥深くに入りこんでしまったのだ。；門を守ってそれでよしとされるほど、そこは王宮の奥深い場所にある。；其処には薄つすらした靄がかかつて池の周囲の灯の光を奥深く見せてゐた。；かつて己が戦士であった記憶は女たちの心の奥深くにだけ、静かに燃え続けた。；自分の奥深くにあるものに、彼は決して注意を向けようとしなかった。；安定感があるのに転ぶのは、心の奥深くに暗部を抱えているからである。；そこにはうっすらした靄がかかって池の周囲の燈の光を奥深く見せていた。；日本語は難しいが、時として予想もつかない奥深さを垣間見せてくれる。</t>
        </is>
      </c>
      <c r="J1036">
        <f>HYPERLINK("https://www.weblio.jp/content/奥深い", "词义详情")</f>
        <v/>
      </c>
      <c r="K1036">
        <f>HYPERLINK("https://yourei.jp/奥深い", "查看例句")</f>
        <v/>
      </c>
    </row>
    <row r="1037">
      <c r="A1037" t="inlineStr">
        <is>
          <t>遅らす</t>
        </is>
      </c>
      <c r="B1037" t="inlineStr">
        <is>
          <t>成功</t>
        </is>
      </c>
      <c r="C1037" t="inlineStr">
        <is>
          <t>読み方：おくらす
［動サ五（四）］
１「遅らせる」に同じ。「時間を—・して開演する」
２あとに残していく。置き去りにする。
「生ひたたむありかも知らぬ若草を—・す露ぞ消えむ空なき」〈源・若紫〉
［動サ下二］「おくらせる」の文語形。</t>
        </is>
      </c>
      <c r="D1037" t="inlineStr">
        <is>
          <t>延期；伸ばす；遅延；猶予；保留</t>
        </is>
      </c>
      <c r="H1037" t="n">
        <v>29</v>
      </c>
      <c r="I1037" t="inlineStr">
        <is>
          <t>この楽曲は故意にアメリカ合衆国でのラジオ・リリースが遅らされている。；天候が悪く道も整備されていなかったので、進行を遅らされていた。；接近する兵士達はひどくぬかるんだ道路とお粗末な地図のために遅らされた。；ぼくはその時が来るのを少しでも遅らそうとカレーをゆっくりゆっくり食べ始めた。；で、わたしはこっちへ着いてからも、わざと四、五日訪問を遅らしたのです。；諸君が石英鉱山での仕事を意識して遅らしていることを本官は知っている。；砦の状態は完全に監視されていたので、動きを知られないように出発は夜半まで遅らされた。；犯人が死体を隠そう、発見を遅らそうとしたとは思えないです。；母は春ごろからこの娘を外国へ連れて行く気でいたが、夏の領地整理のため時期を遅らしてしまったのだ。；そしてかれは部隊がいらだっているのを感じ、ここで多くのことが遅らされていることを知った。；私が出掛けて行く時間を遅らすと、彼の女は心配して外の生け垣へもたれて立っていたりした。；少しでも読み終わりを遅らすしか、いまのところ手はない。；気がついてみると、会社でも麻雀や酒で帰宅を遅らす連中が減りはじめていた。；もし時を遅らさずに助ける事が出来なければ、死んでしまふのだ。；脳もその機能の若干を回復し、死期もずっと遅らされるんだ。；夏はまるで暇などないし、農家の仕事というものはとても三日も遅らしてはいられない。；この遅れのためにスティール隊はさらに距離を稼げたが、雨のために動きが遅らされた。；彼女がテナルディエへ送金を遅らしはじめたのはこの時だった。；こうしたすべての重大な理由からしてこれ以上ぐずぐずすることは不可能であり、すべてのものの利益のためにも出発の時刻を遅らすことはできなかった。；ただし、部屋代を一日でも遅らしたら出て行ってもらいましょ。；いったいどんな恥じらいの気持ちがあって、私たちの完全な了解の時期が遅らされたのでしょうか?；この動きは浅瀬周辺の土地の多くで所有権が混乱していたことと、所有者達が登録地域に指定されることに自発的に同意しなかったために遅らされた。；こんな屈辱的なあしらいを受けるためにわざわざ一時間以上も出発を遅らしたことに激しい憤懣を彼は感じた。；文明の歩みはこの取り返しのつかない不幸によっておそらく数年遅らされた。；ザッカーがみんなに報告をすることを遅らそうと決心したのはわかるが、それは、われわれに前もって話をしたかったからだとばかり思っていた。；結局、犯人は九時に自由な人間として、店を出ていけなかった、どうしても死体の発見を遅らす必要があった。；しかし棺車の進みを遅らすことはできなかった。；しかし、一と船遅らすとなるとたいへんですね。；僕の眼はいちはやくその物体を認めたのだけれど、なんだか正体を見きわめることを遅らそうとするもののようであった。</t>
        </is>
      </c>
      <c r="J1037">
        <f>HYPERLINK("https://www.weblio.jp/content/遅らす", "词义详情")</f>
        <v/>
      </c>
      <c r="K1037">
        <f>HYPERLINK("https://yourei.jp/遅らす", "查看例句")</f>
        <v/>
      </c>
    </row>
    <row r="1038">
      <c r="A1038" t="inlineStr">
        <is>
          <t>送り状</t>
        </is>
      </c>
      <c r="B1038" t="inlineStr">
        <is>
          <t>成功</t>
        </is>
      </c>
      <c r="C1038" t="inlineStr">
        <is>
          <t>読み方：おくりじょう
１商品発送の際に、荷送人が荷受人に対して作成する発送貨物の明細書。仕切り状。
２船積書類の一。外国貿易で、荷送人が荷受人に対して作成する明細書で、商品名・数量・価格・運賃・保険料・引渡条件などの諸明細を記載した商用文書。インボイス。仕切り状。</t>
        </is>
      </c>
      <c r="D1038" t="inlineStr">
        <is>
          <t>勘定；愛想；書き出し；書き付け；書付</t>
        </is>
      </c>
      <c r="H1038" t="n">
        <v>29</v>
      </c>
      <c r="I1038" t="inlineStr">
        <is>
          <t>現在における商品送り状や、管理の申し送り状のような機能を果たした。；当直将校に会い、七名分の送り状をわたし、私はそこで六名と別れた。；発払用の送り状の構成は次の通りだが、一部の控えが省略されているものもある。；宛先を見てゆくと、中に花屋の送り状とメッセージカードがあった。；それは、あの宅配便の送り状に書かれていた文字のぎこちなさを見れば明らかだ。；しかし身代わりを立てるなら、送り状に自分の名前を書かせるのは矛盾してないだろうか?；送り状をつけずに材木の代金を送り返せば、こちらの気持ちは伝わるだろう。；彼は一旦テーブルにつみ上げた本を、一冊ずつその送り状とてらし合せ始めた。；番号は、送り状に印刷されていたのを見て。；江知佳さんの生首を発見する前に、あなたは送り状に記された堂本の名前を目にしているはずだ。；ぼくは、仕事場の住所と電話番号が記載された送り状を持って、飛び出した。；差出人がわからないように送り状をはがしたのも、パニックに陥ったせいですか?；送り状の記載では、悪性伝染病用の抗体となっており、直送と指定されていた。；ふたりは送り状の公文書を受けとると、林冲をひきたてて開封府を出た。；また、これとは別に互いの寺同士でも寺送り一札と呼ばれる送り状が取り交わされている。；あなたは、あの送り状の名前を、知っているんですね?；送り状は本物で、正規の通関手続きも、間違いなくおこなわれていた。；送り状を見ると、送り主は彼が何作か著書を出している青洋社。；取引形態に関わらず、通関時には船荷証券や送り状との整合性が求められる。；大河が書いてきた送り状は、一見しただけでは何語かもわからないくらいに達者な筆記体で書かれているのだ。；宅配便を装い、送り状の文字が判読できないので住所を教えてくれと電話をかけた。；送り状の名前にこだわっているのは、父親に指摘された理由がすべてではなくて、そのことと関連性のある、もっと重要な事実に手が届きそうな気がしてならないからだった。；K工業所から「ムーンリバー」へ電飾が送られるたびに発行された送り状である。；カバーレター、挨拶状、添え状、送り状といった呼び方をされる場合もある。；仕入先に迷惑がかからないよう、箱の送り状はすべて剥がされて保管された。；宅急便の送り状は、一部ノーカーボン紙の複写式で綴りになっている。；昼にはまだ間のあるころに孟州の町へ到着、すぐその足で州役所へ出頭し、東平府よりの送り状を提出した。；公文書の袋をあけて送り状を読んだとき、一同は、 「ありがたや」 と声をあげた。；生ものでなければ、このまま放置して出かけてしまえと思いつつ、送り状を確認する。</t>
        </is>
      </c>
      <c r="J1038">
        <f>HYPERLINK("https://www.weblio.jp/content/送り状", "词义详情")</f>
        <v/>
      </c>
      <c r="K1038">
        <f>HYPERLINK("https://yourei.jp/送り状", "查看例句")</f>
        <v/>
      </c>
    </row>
    <row r="1039">
      <c r="A1039" t="inlineStr">
        <is>
          <t>贈り物</t>
        </is>
      </c>
      <c r="B1039" t="inlineStr">
        <is>
          <t>成功</t>
        </is>
      </c>
      <c r="C1039" t="inlineStr">
        <is>
          <t>読み方：おくりもの
人に贈る物。進物(しんもつ)。プレゼント。</t>
        </is>
      </c>
      <c r="D1039" t="inlineStr">
        <is>
          <t>贈り物をしよ</t>
        </is>
      </c>
      <c r="E1039" t="inlineStr">
        <is>
          <t>与え；授与；付与；プレゼント；土産</t>
        </is>
      </c>
      <c r="F1039" t="inlineStr">
        <is>
          <t>すばらしい贈り物；ささやかな贈り物；小さな贈り物；立派な贈り物；豪華な贈り物</t>
        </is>
      </c>
      <c r="H1039" t="n">
        <v>29</v>
      </c>
      <c r="I1039" t="inlineStr">
        <is>
          <t>ゲーム開始直後には、城の王から以下の3つの贈り物のうち1つを選ぶ。；しかし用意した贈り物を見た王の役人やイスラム教徒の商人は笑い出した。；音楽の遊びがあって贈り物に纏頭に六条院にのみよくする華奢が見えた。；われわれにこの機会が訪れたことは、多分、天からの贈り物なのだろう。；拉致された女性たちはその場で戦闘員に贈り物のように交換された。；ただし、『冬の贈りもの』はデータ更新と同時に無料で追加されたもの。；この修道院は、貧者に気前よく贈り物を与えることでよく知られていた。；こういう贈り物熱の中には実は無関心があり、また抑制された怒りがある。；かれらは、その贈り物の馬の口の中を、つまり歯を調べる注意を怠った。；名前はなかったが、それが誰からの贈りものか、彼女にはすぐにわかった。；あまり資力が無い患者はこのような豊かな贈り物をすることはできなかった。；贈りものは価値の理解できる相手に対してでなければ意味をなしません。；かれはもう一つ、もう一人の女性からの贈り物のことを思い出した。；彼らは3000年後に人類から助けられるため、贈り物をするのだという。；かの女はいまおくり物を検査するために、小屋の中へはいって行った。；キリストの十字架は人類の個々の人へそれぞれに血の贈り物であった。；しかしジムは自分たちの下りに予期しない贈りものがあったのに気づいた。；彼女は息子に、イナンナの提案や贈り物を拒否するように忠告している。；しかしそれは、恋を失った二人の生命をもってつくられる贈り物なのである。；六条院からも贈り物があって、勅使の頭中将の背景の大きさが思われた。；ジェイムズ2世は王付き砲手を持ち、大陸から砲の贈り物を受け取った。；海からの贈り物は300万部以上を売り上げ、45の言語に翻訳された。；ジェーンは贈り物を返した上、王と2人きりにならないよう警戒していた。；りんを大切に思っているようで、定期的に着物など贈り物を届けている。；つまりあの黒真珠は、ある皇帝からの贈りものだったからなのである!；この贈りものを手放しで喜ぶ頭の構造を要一は持ちあわせていなかった。；ところがこの健康こそ、自然が我々に与えた最も美しく最も豊かな贈り物なのだ。；プーチンがこのような贈り物をもっと多く受け取るといいのですがね。；将来も俺の妻にならないようだから、贈り物も辞退してしかるべきだ。</t>
        </is>
      </c>
      <c r="J1039">
        <f>HYPERLINK("https://www.weblio.jp/content/贈り物", "词义详情")</f>
        <v/>
      </c>
      <c r="K1039">
        <f>HYPERLINK("https://yourei.jp/贈り物", "查看例句")</f>
        <v/>
      </c>
    </row>
    <row r="1040">
      <c r="A1040" t="inlineStr">
        <is>
          <t>送る</t>
        </is>
      </c>
      <c r="B1040" t="inlineStr">
        <is>
          <t>成功</t>
        </is>
      </c>
      <c r="C1040" t="inlineStr">
        <is>
          <t>読み方：おくる
［動ラ五（四）］
１
㋐物や情報などを、先方に届くようにする。「荷物を—・る」「信号を—・る」「視線を—・る」
㋑人を、ある役割をもたせて差し向ける。派遣する。「刺客を—・る」「企業に人材を—・る」
㋒管轄を移す。「身柄を検察庁に—・る」
２
㋐行く人・去る人に付き従ってある所まで一緒に行く。「駅まで車で—・る」
㋑去って行く人に別れを告げる。見送る。「遠征する選手を駅で—・る」「卒業生を—・る」
㋒遺体に付き従って墓地まで行き葬る。また、死者を見送る。葬送する。「旧友を悲しみのうちに—・る」
３時を過ごす。「失意の日々を—・る」
４順々に先に移動させる。「手渡しでバケツを—・る」「バントで走者を次の塁に—・る」
５送り仮名をつける。「活用語尾を—・る」
[可能]おくれる</t>
        </is>
      </c>
      <c r="D1040" t="inlineStr">
        <is>
          <t>送るべき；送るべく；送るよう命じ；送るよう要請；送るよう求め</t>
        </is>
      </c>
      <c r="E1040" t="inlineStr">
        <is>
          <t>くれる；出す；与える；派遣；入れる</t>
        </is>
      </c>
      <c r="F1040" t="inlineStr">
        <is>
          <t>送るといふこと</t>
        </is>
      </c>
      <c r="H1040" t="n">
        <v>29</v>
      </c>
      <c r="I1040" t="inlineStr">
        <is>
          <t>後にシューマンは長い手紙を書いてリストに送ってこの件を水に流した。；これは送られてきた画像の波長を適切に補正していなかったからである。；この頃、ビスマルクが妻に送った手紙も将軍たちへの不満の記述が多い。；履歴書と写真を番組に送ることが条件であり、住む場所はどこでも可能。；私が心をこめて整えてきたこの家で、幸せな生活を送ろうと考えている。；失望から学校に行かなくなり、近所の森や山で時間を潰す日々を送った。；家康は返礼として次男・於義丸を秀吉の養子にするために大坂に送った。；手紙のなかには都合がついたらコツプと皿とを幾つかづつ送つてほしい。；最晩年の1996年には寝たきりとなり、療養生活を送るようになった。；私は悪いことは何もやっていませんから、普通の銀行からでも送れます。；またフラットベッドタイプで自動原稿送り装置を装備したものもある。；あまりの出来の良さに驚いた同社からは、大量の資料が送られてきたという。；許可されない者が許可されていないコンテンツを送らない様に保護している。；和風はさながら彼の意を体したかの如くに彼を英国の岸辺へ吹き送つた。；この時の贈答品は主に、新しい年を迎える為に必要な物を送ることが多い。；ハイムは釈放されたが、彼の兄弟二人は強制収容所に送られて死去した。；イギリスでは国内で処理しきれないため、トルコなど国外に送っている。；そしてそれ等が皆なその自分々々の生活気分に浸されて世を送つてゐる。；さうか、あの友達もこの宿に泊つて旅の時を送つて行つたのかと思つた。；この猫の数を維持しつつ地域の管理下に置き、猫はそこで一生を送る。；具体的には中南米のプランテーションで生産された砂糖が送られてきた。；しかし彼の家族は、特許収入で以後安定した生活を送ることができた。；彼が首の筋肉に命令を送ろうとするより早く、すでに決着はついていた。；輸出文学をアメリカに送ろうとして失敗した例が現実にあるのですものね。；仕事がなくなったため、以降高校と寮を往復するだけの日々を送った。；他人に迷惑をかけない人生を送れたらそれが一番いいと思ってるんだ。；時にはすでに亡くなった子供のところにまで送られてくる例もある。；最初に金田さんと出会えたおかげでいい野球人生を送ることができました。；彼自身の視覚論は内送理論だったようであるが、詳細は伝わっていない。</t>
        </is>
      </c>
      <c r="J1040">
        <f>HYPERLINK("https://www.weblio.jp/content/送る", "词义详情")</f>
        <v/>
      </c>
      <c r="K1040">
        <f>HYPERLINK("https://yourei.jp/送る", "查看例句")</f>
        <v/>
      </c>
    </row>
    <row r="1041">
      <c r="A1041" t="inlineStr">
        <is>
          <t>贈る</t>
        </is>
      </c>
      <c r="B1041" t="inlineStr">
        <is>
          <t>成功</t>
        </is>
      </c>
      <c r="C1041" t="inlineStr">
        <is>
          <t>読み方：おくる
［動ラ五（四）］《「送る」と同語源》
１感謝や祝福などの気持ちを込めて、人に金品などを与える。贈り物をする。「記念品を—・る」「はなむけの言葉を—・る」
２官位や称号などを与える。「位階を—・る」
[可能]おくれる</t>
        </is>
      </c>
      <c r="D1041" t="inlineStr">
        <is>
          <t>贈るべき；贈るべし；贈る青春ラブコメ</t>
        </is>
      </c>
      <c r="E1041" t="inlineStr">
        <is>
          <t>くれる；与える；上げる；授与；述べる</t>
        </is>
      </c>
      <c r="H1041" t="n">
        <v>29</v>
      </c>
      <c r="I1041" t="inlineStr">
        <is>
          <t>私は憤りの手紙を人に贈つた経験は二十代のはぢめに一度だけであつた。；若夫婦へ贈る為に、わざわざ老人が東京から買って提げて来たのである。；この賞は大会の成績等には一切関係なく、出場校に贈られることはない。；後にその者が再び贈ろうとすると、前の魚を持って来て意思を伝えた。；そのとき兄が彼女に馬を贈ろうとは、思いもつかなかったことである。；これは竹村と云ふ姉の家へ贈る弁当の焚出しをして居るからなのでした。；翌日、餞別を贈りに行こうとする時子をタキが説得して手紙を書かせる。；一律に同じ物を贈ることもあれば、香典の額に応じて変えることもある。；だが私には用もなささうだから、外国の友達へ贈ることにしようなどと思ふ。；このとき男は時に美しくて高価な品物を贈るようにしなければならない。；ノベルティは、消費者が商品を購入する際などに伴い贈られる物である。；先生にプレゼントを贈ろうと、最初に言い出したのは誰かわかりますか。；転じて、運動会や大会等でも敢闘精神豊かな選手に贈られることが多い。；わたしは諸国の王を代表して、ひとつの称号を彼に贈りたいと思う。；このクリスマスに挨拶状を贈る習慣は古くからあったとされている。；そこで宋江は、急いで盆いっぱいの金銀を持ってこさせて贈ろうとした。；卒業時に最も成績優秀だった生徒にはアイルランド大使特別賞が贈られる。；その時知事からは千元贈ろうとしたが、母は自分の娘は売女ではない。；既に番組が終わっていたはずの当番組から花が贈られていた。；芸人の博多大吉が昔からのファンでライブの度によく花を贈っている。；社長在任中に贈ったゴルフセットは、三千組とも四千組ともいわれている。；制作する番組は、テレビ番組に贈られる各賞を毎年のように受賞する。；又光子が他へ嫁する場合には相当の持参金を贈ると云うような事であった。；後のお歳暮ワインを贈る企画で再び登場し、ワインを受け取っている。；反乱の平定や朝鮮での功績から明朝廷はその遺族に対して封贈を行った。；毎年末に協会は、同年に公開された映画を投票によって選出し、賞を贈る。；自分でも穏やかとは言い切れないが1/2の笑顔くらいは贈れたと思う。；何か贈り返せばよいが、用意していた旅費も底をついてしまっている。；而して記念のために今は吾れに用なき「深夜の市長」の仮面を君に贈る。</t>
        </is>
      </c>
      <c r="J1041">
        <f>HYPERLINK("https://www.weblio.jp/content/贈る", "词义详情")</f>
        <v/>
      </c>
      <c r="K1041">
        <f>HYPERLINK("https://yourei.jp/贈る", "查看例句")</f>
        <v/>
      </c>
    </row>
    <row r="1042">
      <c r="A1042" t="inlineStr">
        <is>
          <t>遅れ</t>
        </is>
      </c>
      <c r="B1042" t="inlineStr">
        <is>
          <t>成功</t>
        </is>
      </c>
      <c r="C1042" t="inlineStr">
        <is>
          <t>読み方：おくれ
１他よりあとになること。他に劣ること。負けること。「流行—」
２予定された進度、決められた時刻・期限などよりおくれること。おそくなること。また、その度合い。「仕事の—を取り戻す」「列車の—が出る」
３（後れ）ひるむこと。気後れ。
「忽ち—の出でて」〈紅葉・不言不語〉
４「後れ毛」の略。
「髪の—のはらはらはら、ともに乱るるわが心」〈浄・女腹切〉</t>
        </is>
      </c>
      <c r="D1042" t="inlineStr">
        <is>
          <t>遅れがち；遅れてしまう；遅れて到着；遅れてやってき；遅れてしまい</t>
        </is>
      </c>
      <c r="E1042" t="inlineStr">
        <is>
          <t>預け；遅延；減速；後れ；滞り</t>
        </is>
      </c>
      <c r="F1042" t="inlineStr">
        <is>
          <t>日遅れ；一瞬遅れ；大きく遅れ；分遅れ；ヶ月遅れ</t>
        </is>
      </c>
      <c r="G1042" t="inlineStr">
        <is>
          <t>遅れネット；遅ればせながら；遅れれ；遅れ込め制御；遅れネット局</t>
        </is>
      </c>
      <c r="H1042" t="n">
        <v>29</v>
      </c>
      <c r="I1042" t="inlineStr">
        <is>
          <t>全国に公演回数が増加していることから、漫画制作がさらに遅れている。；この理由は標準治療の拒否や、遅れが原因であると推測されるとしている。；従って予定されている全ての放送内容は時間遅れで全て放送される。；ゼロックスはPARCで開発された技術の価値に気づくのが遅れていた。；ある日、弟が病死するとそれまで正確に動いていた時計が遅れ出した。；カリフォルニアは他州にくらべて予算や教師のレベルで遅れを取っている。；なお、仮称二号水戦の開発は三二型の審査の遅れを受けて中止されている。；供用開始当初はトイレのみの施設であり、売店は1年遅れて開設された。；サヴォイアは遅れて同盟に加わったため、大きな役割は果たさなかった。；この区間はアクセス道路の問題と地元住民の反対により整備が遅れている。；元々楽曲の製作が遅れていた為オープニングの製作が遅れていた。；このような観測の難しさから、水星の理解は他の惑星と比べて遅れた。；そのため強い熱と濃い煙に妨げられ、救助隊員たちの救出活動は遅れた。；日本の参加が他国と比べて遅れた理由は、いくつか指摘されている。；日本でもPlayStationに大きな遅れをとることとなった。；結果として、観測者に対して相対運動する時計は進み方が遅れて見える。；しかし、これで執政官への立候補が遅れたのではないかとも考えられている。；しかし実際には一部は完全にはできておらず、これらは4月中に遅れて完成した。；イスラエルは軍事攻撃を予想していなかった為に対応が遅れたといわれている。；またフランスの国内事情により、航空機の開発も遅れがちであった。；すなわちスロットル操作に対するエンジンの出力上昇に遅れが生じやすい。；ドイツとオーストリアの印刷終了が遅れたのは使用頻度が高かったためである。；それより少し遅れて核磁気共鳴分光法も用いられるようになった。；サターン5型ロケットと月着陸船の開発は、もともと作業が遅れていた。；平坦な平野部でトンネルがなく工事は容易と思われたが工事は遅れがちであった。；そして3日遅れてパリとロンドンを結ぶ初の国際航空便が生まれた。；机に設置する大きなものは少し遅れて開発された。；少し遅れてペトラルカ的恋愛詩や牧歌などもドイツ文学に導入された。；このモデルも3ドアより約1か月遅れた10月20日より販売された。</t>
        </is>
      </c>
      <c r="J1042">
        <f>HYPERLINK("https://www.weblio.jp/content/遅れ", "词义详情")</f>
        <v/>
      </c>
      <c r="K1042">
        <f>HYPERLINK("https://yourei.jp/遅れ", "查看例句")</f>
        <v/>
      </c>
    </row>
    <row r="1043">
      <c r="A1043" t="inlineStr">
        <is>
          <t>遅れる</t>
        </is>
      </c>
      <c r="B1043" t="inlineStr">
        <is>
          <t>成功</t>
        </is>
      </c>
      <c r="C1043" t="inlineStr">
        <is>
          <t>読み方：おくれる
［動ラ下一］［文］おく・る［ラ下二］
１他のものよりあとになる。取り残される。「前の走者に—・れまいとして必死に走る」「流行に—・れる」「勉強が人より—・れる」
２進み方が標準・基準より遅くなる。「今年は開花が—・れている」「時計が—・れている」⇔進む。
３決められた時刻・期限よりあとになる。また、それに間に合わない。「出発時間が—・れる」「門限に—・れる」
４（後れる）親しい人に先立たれる。自分だけが生き残る。「妻に—・れる」
５（後れる）気おくれがする。臆する。
「—・れた様子もなく」〈鴎外・雁〉
６他の人に及ばない。
「和歌のかたや少し—・れ給へりけむ」〈大鏡・伊尹〉</t>
        </is>
      </c>
      <c r="D1043" t="inlineStr">
        <is>
          <t>遅れる可能性；遅れること約；遅れること数；遅れることわずか</t>
        </is>
      </c>
      <c r="E1043" t="inlineStr">
        <is>
          <t>後れる</t>
        </is>
      </c>
      <c r="F1043" t="inlineStr">
        <is>
          <t>大きく遅れる；以上遅れる；さらに遅れる；日遅れる；遅れれば遅れる</t>
        </is>
      </c>
      <c r="H1043" t="n">
        <v>29</v>
      </c>
      <c r="I1043" t="inlineStr">
        <is>
          <t>脳がその機能のうちのあるものを回復させて、死が訪れるのが遅れるんだ。；このうち、遅れることなく移住や逃亡を果たした者はわずかであった。；そして交通のために後の車が遅れると、見えてくるまで速力を遅らせた。；治療を受け、休養に入ったため、大幅にデビューが遅れることとなった。；この事故によりヨーロッパ・ツアーは開始が6週間遅れることとなった。；自分が遅れると旗手の負担が増えて、一年全体が次々と倒れてしまう。；話をするので足が遅れることも 歩むために話がとぎれることもなかった。；ゲーム開発の結果生じた技術的な難題により計画が遅れることになった。；この事件は、この地区の国立公園指定が遅れる原因ともなったと言われる。；改修終了は2012年春とされたが、後に2ヶ月遅れることが報告された。；また、もし帰館が遅れるようになるならば、何か不幸な事態に合ったのだ。；どうしたものか向うの方が少しあとになって立ったのだけれどもそんなに遅れる訳はない。；運行スケジュールは遅れることが多く、あってないようなものである。；また遅れることでシャルル九世の怒りが爆発するのを見越しての発言だった。；しかも十時前に来ることはあっても、十時に遅れることはない。；機関車メーカーの合従連衡があったアメリカに遅れること15年であった。；乳幼児は頭痛を訴えることが不可能なため、発見が遅れる可能性がある。；洋行をするとかえって生れた国の時勢に遅れるような気がする位だ。；あまりに飛騨行きの遅れることは彼の事情が許さなかったからで。；朝の出社に遅れることはあっても、夕方の帰りを急ぐことはなかった。；幸いすぐにレースに復帰したがこの影響でレース最終盤で遅れる。；余裕を多めにとったダイヤであるため、バスが大幅に遅れることは少ない。；遅れるなどとあったら、授業の一環としてしごかれてしまうだろう・・・。；時計の狂いが大きく1日で1分遅れるので常に1分進めて合わせている。；これにより、彼らの地球への帰還は予定より1日遅れることとなった。；最終的にフレンチ・インディアン戦争の後まで開拓が遅れることになった。；花時期は日本シュンランより一月ほど遅れるために夏ランとの呼称もある。；またしばしば練習に遅刻することがあり、大事な試合の日に遅れることもあった。；ここの会社に電話をかけて、少し遅れるからといってやれば?</t>
        </is>
      </c>
      <c r="J1043">
        <f>HYPERLINK("https://www.weblio.jp/content/遅れる", "词义详情")</f>
        <v/>
      </c>
      <c r="K1043">
        <f>HYPERLINK("https://yourei.jp/遅れる", "查看例句")</f>
        <v/>
      </c>
    </row>
    <row r="1044">
      <c r="A1044" t="inlineStr">
        <is>
          <t>桶</t>
        </is>
      </c>
      <c r="B1044" t="inlineStr">
        <is>
          <t>成功</t>
        </is>
      </c>
      <c r="C1044" t="inlineStr">
        <is>
          <t>読み方：おけ
《2が原義》
１（桶）細長い板を縦に円形に並べて底をつけ、たがで締めた筒形の容器。「手—」「洗い—」
２（麻笥）紡いだ麻糸を入れる容器。檜(ひのき)の薄板を曲げて作る。
「娘子(をとめ)らが—に垂れたる続麻(うみを)なす長門の浦に」〈万・三二四三〉</t>
        </is>
      </c>
      <c r="D1044" t="inlineStr">
        <is>
          <t>桶屋(3%)；桶廻間；桶町；桶売り；桶いっぱい</t>
        </is>
      </c>
      <c r="E1044" t="inlineStr">
        <is>
          <t>水槽；バケツ；甕；タブ；手桶</t>
        </is>
      </c>
      <c r="F1044" t="inlineStr">
        <is>
          <t>肥桶；木桶；洗い桶；大桶；大きな桶</t>
        </is>
      </c>
      <c r="G1044" t="inlineStr">
        <is>
          <t>桶狭間；桶屋；桶川；桶川市；桶川駅</t>
        </is>
      </c>
      <c r="H1044" t="n">
        <v>29</v>
      </c>
      <c r="I1044" t="inlineStr">
        <is>
          <t>古くは桶茶と呼ばれていたところから庶民のものであったと想定される。；男は一言も口をきかないで、彼女の持っている桶の柄に手をかけていた。；その桶は彼女の身体よりも大きく、中にすわっても楽なくらいであった。；すると男は子供の所へ行って、無言のまま桶の柄を持ってやったのである。；なお、彼の父とされる市兵衛は尾張国のただの桶屋であったといわれる。；署長は自分が酒桶の前の広場へ蟹のやうになって倒れてゐるのを見た。；日本神話の天岩戸の場面でも桶を伏せて音を鳴らしたと伝えられている。；彼女はほとんど一杯になった桶を引き上げて、それを草の上に置いた。；水溜めの木桶にも、使い残りの水がごくわずかしか残っていなかった。；すると、母のゐる方へ向つて桶が一つ、よちよち歩いて来るではないか。；桶屋さんの人たちも、あの子をとてもかわいがっていたのだそうです。；そこには石板で蓋をされた石桶があり、中から水を求める声がした。；特殊な魚だけを別により分けて、残ったのを桶一杯ずつ砂の上に積み上げた。；君の鋳物などは最後は水桶の中で型の泥を割って像を出すのである。；あるとき、川上より一本の白羽の矢が流れつき、水桶に止まったのです。；木の髄を桶に入れて大量の水を注ぎしばらく置くと、底に粉が沈殿する。；私が水桶の柄を持ってやった時のことを、まだ覚えていますか。；甑とは米を蒸す木桶のことで、山の形から名付けられたと考えられる。；肩に載せて居るのは重い桶で、その中にあるものは薬酒と見えます。；近寄ってみると、大きな水桶を持ったごく小さな子供であることがわかった。；桶をかついできた棒は肩の上にのせたまま、戦勝柱に身をもたせています。；桶が今言つた通りなので男でも湯屋に金盥を持つて行く人が相當にあります。；彼女は桶を地面に置き、髪の中に手を差し入れて、静かに頭をかき初めた。；捜査範囲はすぐに狭まり、最後に洗濯桶の前の小さな台だけが残った。；さらにいま一つの濾し桶を用意して、五戸の用水に不足がないようになった。；それは鮎を飯の中に入れ酢をかけたるを桶の中に入れておもしを置く。；祭りの前日、女たちは紙に名前を書いた札を桶の中に入れることになっていた。；持ち手と桶の接続部分に仏陀と思われる彫像が取り付けられている。；屋根の上に並んだ水桶は、煙筒みたいに見えるが、日本家には煙筒は無い。</t>
        </is>
      </c>
      <c r="J1044">
        <f>HYPERLINK("https://www.weblio.jp/content/桶", "词义详情")</f>
        <v/>
      </c>
      <c r="K1044">
        <f>HYPERLINK("https://yourei.jp/桶", "查看例句")</f>
        <v/>
      </c>
    </row>
    <row r="1045">
      <c r="A1045" t="inlineStr">
        <is>
          <t>お子さん</t>
        </is>
      </c>
      <c r="B1045" t="inlineStr">
        <is>
          <t>成功</t>
        </is>
      </c>
      <c r="C1045" t="inlineStr">
        <is>
          <t>読み方：おこさん
相手を敬ってその子供をいう語。「お子様」のややくだけた言い方。</t>
        </is>
      </c>
      <c r="D1045" t="inlineStr">
        <is>
          <t>お子さんたち(8%)；お子さん方；お子さん達；お子さんがた</t>
        </is>
      </c>
      <c r="E1045" t="inlineStr">
        <is>
          <t>子；子供；子ども；赤ん坊；幼児</t>
        </is>
      </c>
      <c r="F1045" t="inlineStr">
        <is>
          <t>いいお子さん</t>
        </is>
      </c>
      <c r="H1045" t="n">
        <v>29</v>
      </c>
      <c r="I1045" t="inlineStr">
        <is>
          <t>そこには中央にご主人夫婦、その前に二人のお子さんが座っていました。；わたくし、あのお子さんには、お父さまのお心があると思っていますの。；お子さんがいまでは大きくなって、もう結婚しているにちがいありません。；虫が心臓に近づいていって、お子さんはきっと殺されてしまいますよ。；それにあのお子さんときたら、まるでこの子に生きうつしなんですもの。；お宅のお子さんたちの声が喧しくて、宅がなにかと申しますものですから。；さっきこのお子さんが通りで大勢の子供たちを相手に石を投げあっていたんですよ。；スアビズメ夫妻の二人の子を見て、将軍のお子さんだと思ったのでしょう。；心にかかっておられるのはご自分のお子さんの性質のことかと思ったこともあります。；さっきあなたのそばにいたあの娘さんは、あれは誰のお子さんなんですか?；すでに結婚してお子さんがいる方なら、容易にイメージは浮かぶでしょう。；奥さんが始めから終ひまであのお子さんの事を言つてお泣きになるんでせう。；そのお子さんが唯一の親友にしていた猫も、やはり交通事故で死んだんだ。；先生のお子さん方には、先生の家よりよいところはないんですよ。；後から奥さんやお子さんのことを訊いたりして、御機嫌を取ったじゃないか?；あなたが母親になったときは、お子さんにひとつの感情を教えてやってください。；三人のお子さんがテディアム・コーブを離れて暮らしてることですか?；その点はお子さんたちに感謝されたほうがよろしいと、私は答えた。；お子さんとなら、また何だって早くお止めにならなかったのです。；ことにお子さんたちの将来を考えるとき、私はそれを希望します。；初女さんが洗礼を受けたのはお子さんが小学校に入学した後だった。；もう一人お子さんがいらっしゃるというようなことはないのでしょう?；お子さんの姿は全くみえなかったといってるんですがねえ。；今回の放送前に、調整室にいるお子さんたちを実際に見ました。；わしが行けば、お子さんたちが大喜びするだろうといわれてな。；彼は赤ん坊を見たいといい、とても体格のよいお子さんですといった。；四人のお子さんも立派に成人した後だったから、まあ幸せだったといえるだろう。；こちらにわかる範囲で六人のお子さんをおもちですが、ほかに何人いるのですか?；働き者だけど休日には必ずお子さんを遊びに連れて行ってあげます。</t>
        </is>
      </c>
      <c r="J1045">
        <f>HYPERLINK("https://www.weblio.jp/content/お子さん", "词义详情")</f>
        <v/>
      </c>
      <c r="K1045">
        <f>HYPERLINK("https://yourei.jp/お子さん", "查看例句")</f>
        <v/>
      </c>
    </row>
    <row r="1046">
      <c r="A1046" t="inlineStr">
        <is>
          <t>起こす</t>
        </is>
      </c>
      <c r="B1046" t="inlineStr">
        <is>
          <t>成功</t>
        </is>
      </c>
      <c r="C1046" t="inlineStr">
        <is>
          <t>読み方：おこす
［動サ五（四）］
１横になっているものを立たせる。「からだを—・す」「倒木を—・す」「転んだ子を—・す」
２目を覚まさせる。「寝入りばなを—・される」
３今までなかったものを新たに生じさせる。「風力を利用して電気を—・す」「波を—・す」
４新しく物事を始める。興す。「事業を—・す」
５
㋐自然が働きや動きを示す。「噴火を—・す」「地滑りを—・す」
㋑平常と異なる状態や、好ましくない事態を生じさせる。ひきおこす。「革命を—・す」「事故を—・す」
㋒静かな状態を刺激して、ある影響をもたらす。「ブームを—・す」
６ある感情・欲望を生じさせる。また、からだの働きがある状態を示す。「やる気を—・す」「里心を—・す」「拒絶反応を—・す」「食中毒を—・す」
７表面に現れるようにする。
㋐土を掘り返す。「畑を—・す」
㋑へばりついている状態のものをはがす。「芝を—・す」「敷石を—・す」
㋒伏せてあるカード・花札などをめくって表を出す。
㋓隠されていた状態から表に出す。「伏せ字を—・す」
８速記や録音の音声などを文字化する。また、文章を書いたり文書を作ったりする。「講演の録音を原稿に—・す」「稿を—・す」「伝票を—・す」
[可能]おこせる
[下接句] 願(がん)を起こす・事を起こす・甚助(じんすけ)を起こす・寝た子を起こす・身を起こす・虫を起こす</t>
        </is>
      </c>
      <c r="D1046" t="inlineStr">
        <is>
          <t>起こす可能性；起こすかも；起こすべき；起こすまい；起こすべく</t>
        </is>
      </c>
      <c r="E1046" t="inlineStr">
        <is>
          <t>生じる；セット；育成；挙げる；もたらす</t>
        </is>
      </c>
      <c r="F1046" t="inlineStr">
        <is>
          <t>惹き起こす；助け起こす；叩き起こす；起こすかもしれ；起こすかも知れ</t>
        </is>
      </c>
      <c r="H1046" t="n">
        <v>29</v>
      </c>
      <c r="I1046" t="inlineStr">
        <is>
          <t>しかしこの際も文王は慎重な態度を取り具体的な行動を起こさなかった。；特に、雪起こしが観測された場合は冬の始まりであると言い習わされる。；この方法でトランジットを起こさない惑星が発見される事例も存在する。；しかし鎮圧に向かった兵士は次々に反乱を起こして労働者側についた。；女がまた呻きながら身を起こそうとしたが、今度はそれを止めなかった。；アレルギーを起こしにくい性質はこの点でも好ましいものとなっている。；この地震は津波を起こすほどのものではなく、被害は報じられていない。；当時勃発した米英戦争のために、議会では何の行動も起こされなかった。；また、実の両親から生活費の援助が少ないと訴えを起こされた事もある。；ただし低確率でアイテム出現の代わりに爆発を起こすアイテムがある。；それでも、日本独自の設計が多い本型は、大きな問題を起こさなかった。；彼女はまるで気でも遠くなったように、やはり身を起こそうとしなかった。；それは雄二と結託して試験召喚戦争を起こそうとした僕でさえも同感だ。；人工的に原子核の崩壊を起こすには加速器などを用いなくてはならない。；しかしわざと事故を起こそうと思えば、どうとでもできる自由時間だな。；長州藩からは下級の身分から身を起こした人物が多く運動に参加した。；ローマ帝国との国境を越えたゲルマン諸族は各地で混乱や衝突を起こした。；反応を起こす刺激にエクスポージャーする心理療法にもつながっている。；すると、ロボットは進化し革命を起こすとの新たなメッセージが告げられる。；今後、何か行動を起こそうとするたびに一々葛藤している余裕はないぞ。；ある夜、私の機はプラットで訓練中に、衝突でエンジン火災を起こした。；ここへ来て騒ぎを起こそうとするとは、いったい、どういう了簡なんだ!；どのくらいそうしていたか、だれかが自分を助け起こそうとするのを感じた。；過程の詳細は判明していないが、他にも元素合成を起こす宇宙の現象がある。；発見時の彼は外傷性の脳損傷を起こしており、呼吸もしていなかった。；反乱を起こした市民を組織化するために、公安委員会 が市内に組織された。；そして、完治の言葉を思い出したリカはパニック発作を起こしてしまう。；これに激高した民衆が文明12年に徳政一揆を起こして関所を破壊した。；その一部も毎回少しずつ場所がずれていき、やがて食を起こさなくなる。</t>
        </is>
      </c>
      <c r="J1046">
        <f>HYPERLINK("https://www.weblio.jp/content/起こす", "词义详情")</f>
        <v/>
      </c>
      <c r="K1046">
        <f>HYPERLINK("https://yourei.jp/起こす", "查看例句")</f>
        <v/>
      </c>
    </row>
    <row r="1047">
      <c r="A1047" t="inlineStr">
        <is>
          <t>厳か</t>
        </is>
      </c>
      <c r="B1047" t="inlineStr">
        <is>
          <t>成功</t>
        </is>
      </c>
      <c r="C1047" t="inlineStr">
        <is>
          <t>読み方：おごそか
［形動］［文］［ナリ］重々しくいかめしいさま。礼儀正しく近寄りにくいさま。「—に式が進む」</t>
        </is>
      </c>
      <c r="D1047" t="inlineStr">
        <is>
          <t>厳かな声(4%)；厳かな雰囲気(2%)；厳かな口調(2%)；厳かな儀式；厳かな神</t>
        </is>
      </c>
      <c r="E1047" t="inlineStr">
        <is>
          <t>堂々；堂々たる；荘厳；厳粛；尊厳</t>
        </is>
      </c>
      <c r="F1047" t="inlineStr">
        <is>
          <t>厳かな声音</t>
        </is>
      </c>
      <c r="H1047" t="n">
        <v>29</v>
      </c>
      <c r="I1047" t="inlineStr">
        <is>
          <t>わたしといとこは厳かな儀式を見守るように、先生の次の動作を待った。；特別の仕事に自分は従事しているという厳かな気があるからそうなのである。；それは驚くほど厳かな場面であって、私の心に奇妙な感じを起させた。；尋有はこの期になっても屈しない兄の厳かな眉にむしろ驚くのだった。；敵将の首を実検するには厳かな作法と礼をもってするのが慣わしである。；それが高等法院の公な厳かなる行為と呼ばれるものだったのである。；しかしそれは一種の反動で、厳かな日本化の道は後戻りはせぬであろう。；「とうとう来たぞ」私は頭上の彼にむかって、大声で厳かに宣言した。；彼はその厳かな物語の悲壮な凄みに心打たれながら、読みつづけていった。；眼の下には夢で見たとおりのルフィノ寺院が暁闇の中に厳かな姿を見せていた。；「あの少女は陛下の友だと名乗ってくれました」 厳かな口調だった。；ブロッサムも姉弟ゲンカもともに番組終了直後の時期に解散している。；その姿を良秀は、驚きや悲しみを超越した、厳かな表情でただ眺めていた。；奥に、古いながらも頑丈そうな、そして厳かな装飾のされた重い扉があった。；死の白い厳かな手がマシュウの上に置かれ、彼を特別に取り立てたのだった。；やがて厳かなコラールが登場し、明るい雰囲気となりつつ再現部に移行する。；父娘ゲンカを繰り返し、娘を連れて実家を飛び出す事態に発展した。；母は彼がこれまで見かけたこともないほど、忙しそうなまた厳かな様子をしていた。；その怪しくも厳かな音を、オルタンスは一生忘れることができなかった。；母親の頭には、鳥の羽根をつけた東洋風の頭布のようなものが厳かに揺れていた。；しかしカーミラは近江の存在など忘れたかのように厳かな表情で語りはじめた。；「時が来た」 右手をかるく掲げながら、厳かな声でラムゼーが言った。；厳かな低音の声で祈りは続いたのだが、最後には悲鳴と絶叫に変わっていた。；結局、いつもの痴話ゲンカになってしまったことに安堵すらしている。；俺は椅子の上で再び姿勢を正し、少女の厳かな声音に耳をそばだてた。；それはまさに古代ギリシャの神殿群のような厳かさをまとう時である。；これらは王宮跡に違いなく、厳かな儀式が執り行われる宮殿だったであろう。；そのような願いでこの厳かな祈請の筵の邪魔をいたすは憚り、罪である。；厳かなるべき女性をたわむれに 悩まさんとたくらむ男の孤独なること!</t>
        </is>
      </c>
      <c r="J1047">
        <f>HYPERLINK("https://www.weblio.jp/content/厳か", "词义详情")</f>
        <v/>
      </c>
      <c r="K1047">
        <f>HYPERLINK("https://yourei.jp/厳か", "查看例句")</f>
        <v/>
      </c>
    </row>
    <row r="1048">
      <c r="A1048" t="inlineStr">
        <is>
          <t>怠る</t>
        </is>
      </c>
      <c r="B1048" t="inlineStr">
        <is>
          <t>成功</t>
        </is>
      </c>
      <c r="C1048" t="inlineStr">
        <is>
          <t>読み方：おこたる
［動ラ五（四）］
１すべきことをしないでおく。なまける。また、気をゆるめる。油断する。「学業を—・る」「注意を—・る」
２病気がよくなる。快方に向かう。
「発作が、夏が来ると共に、漸く—・り出したのを喜こんだ」〈芥川・忠義〉
「読経、修法(ずほふ)などして、いささか—・りたるやうなれば」〈かげろふ・上〉
３過ちを犯す。
「みづから—・ると思ひ給ふること侍らねど」〈栄花・浦々の別〉
４中断する。休む。
「（水ガ）—・る間(ま)なく洩りゆかば、やがて尽きぬべし」〈徒然・一三七〉
[可能]おこたれる</t>
        </is>
      </c>
      <c r="D1048" t="inlineStr">
        <is>
          <t>怠ることなく(5%)；怠るまい；怠るなら；怠るべから；怠ることなかれ</t>
        </is>
      </c>
      <c r="E1048" t="inlineStr">
        <is>
          <t>適当な；無責任な；怠惰な；投げやりな；サボる</t>
        </is>
      </c>
      <c r="H1048" t="n">
        <v>29</v>
      </c>
      <c r="I1048" t="inlineStr">
        <is>
          <t>その一つを怠っては双方ともにその目的を達することが困難であります。；なぜなら、私はそのために私の義務のどれをも怠ってはならないからだ。；彼は美角夫人の前で血を漲らせながら、かなりの注意を怠らずに語った。；それに、この平和な時代にあっても、塔の監視を怠っているのでもない。；この銀行は法に要求されるアメリカ合衆国内国歳入庁への報告を怠った。；戦闘が終って、すぐに出発していないのは、前進を怠ったためではない。；ほとんど隠退した後も最晩年まで自宅でのダンスの習練を怠らなかった。；ガリオンはこの奇妙な場所では警戒を怠ってはならないことを知っていた。；いつも注意を怠らず、耳にはいることは何もかも私に知らせてください。；尤も新聞は同時に吾々に一つの希望を与えることを怠ってはいなかった。；船長たるものがこれだけの重大な手続きを怠っているとは驚きですな。；上さんは願をかけて仏にお礼参りを怠つてゐるやうなすまなさを感じた。；注意を怠るととんでもないミスをしでかしていることが少なくなくてね。；夏の陣の怠戦と言っても、聞けばそれは見解次第のことだそうではないか。；両隣とすぐ前の人の盃の空き具合には注意を怠らなければそれで十分だ。；これはこの町の利己心が奥様に差上げるのを怠っているものなのですが。；子供心にも重い責任を感じて一生懸命になって、毎日お復習を怠らない。；特に自分の行為や感情についてはその警戒を怠らないつもりであった。；それはやはりできるだけ多様な子孫を残す努力を怠らないことだろう。；そんなことがあったあとでも、わたしは自分の務めを怠ってはこなかったよ。；道場には怠たらず通っていて、勘も体力も少しずつもどって来てはいる。；隣のビルにまで伝わるとは考えられなかったが、注意を怠ることは出来ない。；随分楽にはなったと順子は車の中で言っていたのだが、体は怠そうだった。；そして山荘のほうへは病む女王の容体を聞きにやることを怠らなかった。；今までは毎日欠かしたことのない托鉢を、ときどきに怠る日さえあった。；かれらは、その贈り物の馬の口の中を、つまり歯を調べる注意を怠った。；明らかに救助が可能な状況なら、それを怠ったことで厳重注意を受ける。；仲根は張り込み中の刑事のように、そのふたりから注意を怠らなかった。；信長は機動軍団の活用に備えて、道の拡張と補修を怠らなかったという。</t>
        </is>
      </c>
      <c r="J1048">
        <f>HYPERLINK("https://www.weblio.jp/content/怠る", "词义详情")</f>
        <v/>
      </c>
      <c r="K1048">
        <f>HYPERLINK("https://yourei.jp/怠る", "查看例句")</f>
        <v/>
      </c>
    </row>
    <row r="1049">
      <c r="A1049" t="inlineStr">
        <is>
          <t>行い</t>
        </is>
      </c>
      <c r="B1049" t="inlineStr">
        <is>
          <t>成功</t>
        </is>
      </c>
      <c r="C1049" t="inlineStr">
        <is>
          <t>読み方：おこない
１物事をすること。振る舞い。行為。行動。
「万が一君にどんな間違った—があったとしても」〈里見弴・多情仏心〉
２日常の生活態度。身持ち。品行。行状。「—を慎む」「平素の—が物を言う」
３仏道の修行。また、勤行(ごんぎょう)。
「阿闍梨(あざり)などにもなるべきものにこそあなれ。—の労は積もりて」〈源・若紫〉
４近畿地方を中心に、年頭または春先に行われる祈祷(きとう)行事。主に寺堂などで行われるが、元来は農事祈願の神事。</t>
        </is>
      </c>
      <c r="D1049" t="inlineStr">
        <is>
          <t>行いたい；行いやすい；行いやすく；行い勝利；行い得る</t>
        </is>
      </c>
      <c r="E1049" t="inlineStr">
        <is>
          <t>活動；行動；態度；行；行為</t>
        </is>
      </c>
      <c r="F1049" t="inlineStr">
        <is>
          <t>行いオン・オフロード両用；行いつつ乗組員；行い高い評価を得；行いづらく；行い易い</t>
        </is>
      </c>
      <c r="H1049" t="n">
        <v>29</v>
      </c>
      <c r="I1049" t="inlineStr">
        <is>
          <t>導入までに数度社会実験を行いながら他路線も含めて検討が進められる。；新聞の製作は、まず記者が取材を行い記事を書くところから始まる。；映画用のカメラは、一般に映像の撮影のみを行い、音声の録音は行わない。；本研究は治験者が実際に瞑想を行い、ペアワイズ比較を用いて行われた。；簡単なプログラムでシミュレーションを行い、答えを導くこともできる。；後に会社側でもボーリング調査等を行い、問題ないことを表明した。；アーミッシュでは独自の農業を行いほぼ完全な自給自足の生活を送っている。；ただし、自民党や民主党の支援者も同様の行為を行い、逮捕されている。；これと同じ期間に議会は363の提案を行い、そのうち206件が成立した。；ドゥーエの構想は空軍で攻撃を行い、地上で防御を行うというものであった。；写真撮影や表面温度の観測を行い、惑星表面の特徴的な地形を数多く知らしめた。；プロトコルが異なる機器同士で通信を行いたい場合は、のような機器を使用する。；挑戦者決定戦のみ三番勝負で行い、先に2勝したものが挑戦者となる。；国際連合総会は様々な機関の選出を行い、最も重要な選出事案に以下がある。；そこでが編集を行い、同年にスウェーデン語版が出版されている。；経営は専務である妻と二人三脚で行い、店舗は妻の実家の軒先を借りていた。；また、各国のAV企業へ技術供与を行い、JVCのブランドを確立した。；植物に関する研究も行い著作もあったとされるが、失われ現在では残っていないとされる。；この行い故にタンタロスは劫罰を受けたともされるが、以下の別説もある。；実際に行いたい処理をブロックで記述する。；古代アテナイでは王を追放して市民が政治を行い、デモクラティアと呼ばれた。；開催当日は午前中に再度自転車の検査を受けた後で練習を行い、レースに備える。；毎年30億ドル以上の対外軍事援助を行い、合同軍事演習も実施している。；小水力発電は系統連系を行い、売電に使い利益を生むことも可能である。；海賊からの手紙を受け取る代表者を決めるために選挙を行い、大統領となる。；選手権者と挑戦者とで五番勝負を行い、勝った者が新しい選手権者となった。；オンラインで予選を行い、予選の通過者が訓練コースに参加。；大谷は調査を行いながら、その結果などを発表していった。；また、日本の着物が好きで、来日すると必ず着付けを行い買ってしまうという。</t>
        </is>
      </c>
      <c r="J1049">
        <f>HYPERLINK("https://www.weblio.jp/content/行い", "词义详情")</f>
        <v/>
      </c>
      <c r="K1049">
        <f>HYPERLINK("https://yourei.jp/行い", "查看例句")</f>
        <v/>
      </c>
    </row>
    <row r="1050">
      <c r="A1050" t="inlineStr">
        <is>
          <t>行う</t>
        </is>
      </c>
      <c r="B1050" t="inlineStr">
        <is>
          <t>成功</t>
        </is>
      </c>
      <c r="C1050" t="inlineStr">
        <is>
          <t>読み方：おこなう
［動ワ五（ハ四）］
１物事をする。なす。やる。実施する。「儀式を—・う」「合同演習を—・う」「四月五日に入学式が—・われる」
２仏道を修行する。勤行(ごんぎょう)する。
「いみじう額(ぬか)づき—・ひて寝たりしかば」〈更級〉
３処理する。指図する。
「世の人の飢ゑず、寒からぬやうに、世をば—・はまほしきなり」〈徒然・一四二〉
４（「…におこなう」の形で）処する。付する。
「死罪に—・はるべかりし人の」〈平家・二〉
[補説]一定の手順を経て、または慣習・方式に従って何かをするのがもとの意。現在もその含みが残る。
[可能]おこなえる</t>
        </is>
      </c>
      <c r="D1050" t="inlineStr">
        <is>
          <t>行うべき；行うべく；行う事業者</t>
        </is>
      </c>
      <c r="E1050" t="inlineStr">
        <is>
          <t>する；やる；受ける；指揮；経営</t>
        </is>
      </c>
      <c r="F1050" t="inlineStr">
        <is>
          <t>行うisoとiec；行う独立栄養生物；行う上下分離方式；行う信用乗車方式；行う事業所ごと</t>
        </is>
      </c>
      <c r="H1050" t="n">
        <v>29</v>
      </c>
      <c r="I1050" t="inlineStr">
        <is>
          <t>生物が電気的にコミュニケーションを行うことを指すために使っている。；加熱は火を使って行われるのが普通だが、直接に火にかけない例もある。；北米やオーストラリアなど多くの国でそれに準じた処分が行われている。；また、日本の学生リーグの場合は各地方毎での総当たり戦が行われる。；予選は優勝クラブ予選と上位クラブ予選の二つのルートで行われる。；実際にはこの作業を1発ごとに行う必要はなく、数発に一度行えばよい。；実際にはこの作業を1発ごとに行う必要はなく、数発に一度行えばよい。；確定診断には脳組織の検査が必要であるが、これは死後にしか行えない。；九州では全ての県に空港があるなど全国に空港の建設が行われた。；何のために呪法を行おうとしていたのかはすでにどうでもいいらしい。；平成以降に始まった作品の本誌でのリバイバルも行われるようになった。；リフレッシュを行う行アドレスを指定するには、次のような方法がある。；彼は四人兄弟の三人目で、幼いガガーリンの世話は姉が行うこともあった。；他の都市・国もウィーン同様の状況だったので演奏旅行も行えなくなった。；電話やインターネットでの予約も可能だが換券は駅などで行う必要がある。；このため、南部メソポタミアでは灌漑なしで農業を行うことはできない。；後の一連の政策を行えたのはこの事件なくしては無理だったとする意見もある。；個人用のプリンターで印刷したものの場合、既にこの処理は行われている。；そこを通過して関所破りを行おうとした者は厳罰に処せられたのである。；また、ゲームを行うごとに新規カードが払い出されるようになっている。；文字が発明されてからの通信の多くは手紙という方式で行われるようになった。；ゲームの分類というのは、メーカーの意図どおりに行われるとは限らない。；このような状況から大企業の本社機能の移転などが行われるには至っていない。；地元としてはこの鉄道に大いに期待し、多大な支援活動を行おうとした。；ただしそれには多額の資金と労力が必要となるため、容易には行えない。；一切の処理をコンピューター同士が対等に通信を行うのが特徴である。；なお、干渉縞が現れるためには実験を繰り返し何度も行う必要がある。；その後最初に決まった対戦カードからの正式な試合順を決める抽選を行う。；しかしそれは、神が行おうとした愚行と同じことでしかなかったことだと。</t>
        </is>
      </c>
      <c r="J1050">
        <f>HYPERLINK("https://www.weblio.jp/content/行う", "词义详情")</f>
        <v/>
      </c>
      <c r="K1050">
        <f>HYPERLINK("https://yourei.jp/行う", "查看例句")</f>
        <v/>
      </c>
    </row>
    <row r="1051">
      <c r="A1051" t="inlineStr">
        <is>
          <t>怒る</t>
        </is>
      </c>
      <c r="B1051" t="inlineStr">
        <is>
          <t>成功</t>
        </is>
      </c>
      <c r="C1051" t="inlineStr">
        <is>
          <t>読み方：いかる
［動ラ五（四）］
１腹を立てる。おこる。憤慨する。「烈火のごとく—・る」
２激しく動く。荒れ狂う。「波が—・る」
３角張って、ごつごつしている。角立つ。「—・った肩」
→おこ（怒）る［用法］
[補説] 本来、「角立つ」のをいう語。感情が角立てば、腹を立てる意にもなる。この意には、現在「おこる」が用いられるが、これは「起こる」と同源で、勢いが盛んになる意から、気持ちの高ぶるのをいうようになったものらしい。
[可能]いかれる</t>
        </is>
      </c>
      <c r="D1051" t="inlineStr">
        <is>
          <t>怒るだろ(5%)；怒るべき；怒るでしょ；怒るんです；怒るまい</t>
        </is>
      </c>
      <c r="E1051" t="inlineStr">
        <is>
          <t>切れる；叱責；叱咤；叱る；立腹</t>
        </is>
      </c>
      <c r="F1051" t="inlineStr">
        <is>
          <t>怒るかもしれ；そんなに怒る；すぐ怒る；怒れば怒る；もう怒る</t>
        </is>
      </c>
      <c r="H1051" t="n">
        <v>29</v>
      </c>
      <c r="I1051" t="inlineStr">
        <is>
          <t>神の怒を忘れた多くの愛の説は神の愛をも人間的なものにしてしまつた。；神の怒を忘れた多くの愛の説は神の愛をも人間的なものにしてしまった。；この叔父たちは怒って席を立ってフランスへ帰国してしまったほどだった。；もっとも家の中には誰一人姿をあらわしませんから怒る人もないのです。；その為に自分はいわゆる神の怒にふれることを覚悟しなければならない。；それを怒った国王はその国独自の処刑方法で若者を罰することにした。；僕は先刻の和尚さんが来たら又怒るだろうと思って気が気ではなかった。；けれども、父は、他処の父親が息子を怒りつけるようには怒らなかった。；普段は陽気な性格だが、一旦怒ると手が付けられなくなるところがある。；とつぜんあなた方をおつれ申したら、兄は何といって怒るかしれません。；その後の伝吉の一生はほとんどこの怒のために終始したと云ってもよい。；この際にヒムラーは銃の撃ち方が下手すぎるせいだと怒っていたという。；試合の大会でも空手の先生と父に怒られないかと考え試合をしていた。；それが自分にはあたかも彼女が尻で怒を見せているようでおかしかった。；怒ってばかりいては、部下が上司の気を使うだけの人間になってしまうと。；ところがそこで私は彼女を怒らせてしまうような馬鹿をやってしまったんだ。；ほかの者なら誰をお怒りになってもいいが、僕は怒らないでください!；美人だとお聞きしてますが、と私が言いましたらさらに怒られまして。；もしあからさまに与えてしまうと怒って家を出て行ってしまうとも言われる。；まさか、信雄のお母さんがあそこまで怒るとは予想できなかったんだぜ。；神の怒を考えることなしに神の愛と人間的な愛との区別を考え得るであろうか。；妾は怒つておれが死んでやらうといふので池に飛込んだといふ話がある。；わがままなところもあり怒らせると暴れまわって手がつけられなくなる。；それが心からの願いであれば怒ったり悲しい表情をすることはないからと。；子供が濡れた靴ではいってこようものなら、真っ赤になって怒るくせに。；フィッシュベックはその部隊が志願兵士官の下に置かれたことに怒った。；妻からは「あなたは邪魔だから台所に来ないで」と何度も怒られたという。；私はどう考えて見ても、自分が軍医を怒らせたとは思えませんでした。；神将は彼が恐れないのを見ると、怒ったの怒らないのではありません。</t>
        </is>
      </c>
      <c r="J1051">
        <f>HYPERLINK("https://www.weblio.jp/content/怒る", "词义详情")</f>
        <v/>
      </c>
      <c r="K1051">
        <f>HYPERLINK("https://yourei.jp/怒る", "查看例句")</f>
        <v/>
      </c>
    </row>
    <row r="1052">
      <c r="A1052" t="inlineStr">
        <is>
          <t>起こる</t>
        </is>
      </c>
      <c r="B1052" t="inlineStr">
        <is>
          <t>成功</t>
        </is>
      </c>
      <c r="C1052" t="inlineStr">
        <is>
          <t>読み方：おこる
［動ラ五（四）］
１今までなかったものが新たに生じる。おきる。「静電気が—・る」「さざ波が—・る」
２
㋐自然が働きや動きを示す。おきる。「地震が—・る」「洪水が—・る」
㋑平常と異なる状態や、好ましくない事態が生じる。おきる。「事件が—・る」「戦争が—・る」
３ある感情・欲望が生じる。また、からだの働きがある状態を示す。おきる。「疑いが—・る」「仏ごころが—・る」「発作が—・る」
４大ぜいの人が出てくる。大挙する。
「大衆(だいしゅ)—・って西坂本より皆おっかへす」〈平家・一〉</t>
        </is>
      </c>
      <c r="D1052" t="inlineStr">
        <is>
          <t>起こる可能性；起こるかもしれ；起こるかわから；起こるべき；起こる確率</t>
        </is>
      </c>
      <c r="E1052" t="inlineStr">
        <is>
          <t>くる；来る；出来；発生；出る</t>
        </is>
      </c>
      <c r="F1052" t="inlineStr">
        <is>
          <t>これから起こる；湧き起こる；よく起こる；しばしば起こる；同時に起こる</t>
        </is>
      </c>
      <c r="H1052" t="n">
        <v>29</v>
      </c>
      <c r="I1052" t="inlineStr">
        <is>
          <t>地上を移動すると事件が起こる危険があるため動くことができないのだ。；スポーツ中以外でも、普通に歩いている時や足を伸ばした時にも起こる。；したがって独立して何度かの地衣類化が起こったのだと考えられている。；よって確実に起こると予測される事象はごく限られたものとなっている。；物質はそうした現象や出来事が起こる場や対象のような位置を占めている。；またこの事件の直後の6億年前には最後の大規模な陸地形成が起こった。；何が起ころうと僕はあなたと涼宮さんについていくことしかできません。；その他、管轄地域内で起こった事件、事故などの報告などが可能である。；そしてさらにずっと多くのことが、やがて起ころうとしていたのである。；工業では高速道路の整備以降は高速周辺での工場誘致が各地で起こった。；未来学とは未来に起こりそうなことを想定する学問・技術・実践である。；その中でも特に生物が死に至るまでの間に起こる機能低下やその過程を指す。；このような場所にいてはまたどのような恐ろしいことが起ころうも知れぬ。；その一方で、保有国が強く反対する事態がしばしば起こるのも事実である。；この人魚が出現すると嵐が起こるとされ、船乗り達には恐れられていた。；皆既日食が起こると空がかなり暗くなり星の観測も可能な状態になる。；今は何が起ころうとも、彼は旅の目的地まで行かなくてはならなかった。；これらの羽化時の事故は一般に大型個体ほど起こりやすい傾向にある。；これは実際にはおよそ1万年ごとに起こり、可能性の範疇の話ではない。；しかし、今宵事件が起ころうとしているのは大阪ではなく名古屋である。；そこでモータリゼーションで発生した問題への対応の動きが起こっている。；そして今、起ころうとしてるのは出来ないことの方であるとも感じていた。；しかしながら、いまとなっては、なにが起ころうと問題にはなりません。；そしてネギを中心に彼の周囲にいる生徒達にも変化が起ころうとしていた。；そのあとでなにが起ころうとも、それはあとで考えればよいことだった。；上の分類とは別に、火山体周辺で起こるものを特別に分ける場合がある。；何か恐ろしいことが自分の上に起ころうとしているような気がした。；俺たちのこの素晴らしい物語は、皆がいなければ起こらなかったことだ。；なお、これ以前から村の中で起こった小さな事件などを解決しているらしい。</t>
        </is>
      </c>
      <c r="J1052">
        <f>HYPERLINK("https://www.weblio.jp/content/起こる", "词义详情")</f>
        <v/>
      </c>
      <c r="K1052">
        <f>HYPERLINK("https://yourei.jp/起こる", "查看例句")</f>
        <v/>
      </c>
    </row>
    <row r="1053">
      <c r="A1053" t="inlineStr">
        <is>
          <t>驕る</t>
        </is>
      </c>
      <c r="B1053" t="inlineStr">
        <is>
          <t>成功</t>
        </is>
      </c>
      <c r="C1053" t="inlineStr">
        <is>
          <t>読み方：おごる
［動ラ五（四）］地位・権力・財産・才能などを誇って、思い上がった振る舞いをする。「勝利に—・る」</t>
        </is>
      </c>
      <c r="D1053" t="inlineStr">
        <is>
          <t>驕ることなく(11%)；驕るなかれ(4%)；驕るまい(4%)</t>
        </is>
      </c>
      <c r="E1053" t="inlineStr">
        <is>
          <t>憚る；高ぶる；増長する；うぬぼれる；自惚れる</t>
        </is>
      </c>
      <c r="H1053" t="n">
        <v>29</v>
      </c>
      <c r="I1053" t="inlineStr">
        <is>
          <t>まだ未熟な部分も多いですが、まっすぐで驕ったところのない人物です。；当時、驕王の命数が尽きつつあることを理解していた者は多かったろう。；これと云うのも、一体、以前から自分の心が驕っていたのだろうかしらん。；むしろいやがらせに快感を覚えてゐるほど心が驕つてゐるだけなのである。；そうです、いよいよ驕敵アメリカを根こそぎやっつける時が来たのです。；それは玄蕃允が何かにつけて、勝家の寵に驕っている風があることだった。；同じほどに愛されているのであるが権家の娘であることに驕っている心からそう思われたのであろう。；秋になったというものの、赫々たる驕陽は依然として天地に充ちている。；李斎もまた、驕王の朝が大きく傾き、沈みつつあることを分かっていた。；我らの信仰の強さを、驕った指導者たちに見せつけねばなりません。；しかしかれ自身の態度はいつも恭謙で、富貴に驕ることがなかったとされる。；源氏は若さと美と権力を手にして驕った。；詩仏は穏やかで物事に頓着しない性格で少しも驕ることがなかった。；わたしには人に驕る心はなく、人を恐れる気持もありません。；驕るにはあらず寧ろ天真流露、自ら知らずして自ら得ている人に近い。；天驕航空は、中華人民共和国内モンゴル自治区に本拠地を置く航空会社。；が、それを驕った為に途中で執筆役を解任されてしまった。；手にした武器に舞い上がって驕るタイプのほうがまだ良かった。；馬融は400人の弟子を抱える大学者であるが、驕貴な性格であった。；毎日、貧乏な子供の家庭を訪ねて廻るのも、驕つた気持でするのとはまた別ですからね。；門弟とあたかも友人のように接して少しも驕ることがなかった。；生半可な奴では自分には及ばないはずだと驕ってもいた。；それが今ここへ来て米友の仕業を見れば、まさしくこれは別の世界に驕っている人と思わないわけにはゆきませんでした。；戦功に驕ったか、君は軍の意思統一を乱し戦意を害う行動を示した。；宗族にも富貴に驕ることないよう求め、宗族で法を犯す者は無かったという。；かの無敵の驕れる宇宙艦隊の、一隻また一隻が破壊されていった。；驕った言い方になるが、この世界はもはや俺のものだった。；是を以て曽子の家には驕子あること无く仲尼の門には罵る者あること无し。；そしてただ、 錦の御旗 それのみが、彼らの上に、驕ッた耀きを放っていた。</t>
        </is>
      </c>
      <c r="J1053">
        <f>HYPERLINK("https://www.weblio.jp/content/驕る", "词义详情")</f>
        <v/>
      </c>
      <c r="K1053">
        <f>HYPERLINK("https://yourei.jp/驕る", "查看例句")</f>
        <v/>
      </c>
    </row>
    <row r="1054">
      <c r="A1054" t="inlineStr">
        <is>
          <t>奢る</t>
        </is>
      </c>
      <c r="B1054" t="inlineStr">
        <is>
          <t>成功</t>
        </is>
      </c>
      <c r="C1054" t="inlineStr">
        <is>
          <t>読み方：おごる
［動ラ五（四）］《「驕る」と同語源》
１程度を超えたぜいたくをする。「—・った生活」「口が—・っている」
２自分の金で人にごちそうする。物などを人に振る舞う。「先輩に—・ってもらう」
[可能]おごれる</t>
        </is>
      </c>
      <c r="D1054" t="inlineStr">
        <is>
          <t>ご馳走；ごちそう；おごり；奢り；おごる</t>
        </is>
      </c>
      <c r="H1054" t="n">
        <v>29</v>
      </c>
      <c r="I1054" t="inlineStr">
        <is>
          <t>さうしてみんなに酒を奢つては自分はオレンヂエエドばかり飮んでゐた。；無職になってからというもの、誰かと食事をすると必ず奢られてしまう。；俺は生まれてこの方、誰かにものを奢ってあげたことなんて一度もないよ。；奢ってやったのだからこれぐらいは言う権利あるだろ、とも思うが。；近所の女房でも呼んで奢ったのだろう、ぐらいにしか考えなかった。；海の幸に恵まれたヴェネチアの市民は、口が奢っているのかもしれない。；女の子に奢るときでも会社のツケに致したり、領収書をもらったりする。；容疑者に奢ってもらうわけにはいかないとその目は語っていた。；それに依れば奢る者より質素な者の方が神の意に適っているのです。；機関掃除の給料が出たので、三人ともに奢ろうと思っていたのだが。；奢る事をいっそういましめて、もっと壮大な気持ちになろうではないか。；ここの客は妖精に酒を奢ってやる習慣でもあるのだろうか?；次に顔を合わせた時にはアイスでも奢ってやらなきゃな、と森崎は思った。；そんなお金があるならきつねうどんにしてオレに奢ったりしてくれないのか!?；抱かれたくないことに変わりはないが、食事ぐらいなら奢られてもいい気になった。；娘の姿に戻った玉瑛のために、無名が馬車を奢っていたのである。；それでたまにマリー相良が食事を奢ってやったりしているに違いない。；それから友達の処へ泊って、牛を奢ってね、トランプをして遊んでいたんだ。；逆にお邪魔虫が奢ってもらったりしたら、かえって気にしちゃう。；お大名様方は釣夜具だとか申しますが、それほど奢った訳ではない。；エンジンも専用のものが奢られ、初代と同じロングストロークに戻された。；おかげで毎回俺が奢るハメになるんだが、もう慣れたしあきらめたね。；が、初之助は心奢ることもなく、馬のくつわを取っていた時と変わらぬ態度であった。；その友人は私に奢っておいてから、これは二杯以上飲まぬ方が身のためだと言った。；それでは単に見ず知らずの人間に奢ったのと同じ結果といえる。；おっちゃんは私に酒を奢らそうとして醜女好みを強調していたのだ。；俺はここんとこずっとデートの度にアキラちゃんに奢ってもらっているんだぜ。；そしてその帰り、必ず間藤はコーヒーを奢られていたようである。；同年、サーキットユースに対応した装備を奢ったSPモデルも発売された。</t>
        </is>
      </c>
      <c r="J1054">
        <f>HYPERLINK("https://www.weblio.jp/content/奢る", "词义详情")</f>
        <v/>
      </c>
      <c r="K1054">
        <f>HYPERLINK("https://yourei.jp/奢る", "查看例句")</f>
        <v/>
      </c>
    </row>
    <row r="1055">
      <c r="A1055" t="inlineStr">
        <is>
          <t>押さえ込む</t>
        </is>
      </c>
      <c r="B1055" t="inlineStr">
        <is>
          <t>成功</t>
        </is>
      </c>
      <c r="C1055" t="inlineStr">
        <is>
          <t>読み方：おさえこむ
［動マ五（四）］
１相手を押さえて動けなくする。また、物事が表面に出ないようにする。「ひったくりを—・む」「社外への発表を—・む」
２柔道で、「押さえ込み」の技をかける。</t>
        </is>
      </c>
      <c r="D1055" t="inlineStr">
        <is>
          <t>固定；抑制；抑える；抑圧；鎮める</t>
        </is>
      </c>
      <c r="H1055" t="n">
        <v>29</v>
      </c>
      <c r="I1055" t="inlineStr">
        <is>
          <t>押さえ込んでいた怒りが蓋の隙間からちろちろ舌を出している瞳だった。；実際、今までにも教師をも押さえ込むような活動をしたことだってある。；押さえ込んでいたものに火がついて、ずっと爆発し続けてるみたいだった。；鉛は銀とまったく反対の性質を持っていて、魔法を押さえ込む力がある。；大きな一誠の手を引かせようとしたが、反対に押さえ込まれてしまった。；すべてをつかんでから襲撃を仕掛け、確実に村を押さえ込むつもりらしい。；三本の隠し腕に押さえ込まれていては、うしろに吹き飛ぶこともできない。；リディアが彼女と話したときも、強い意志で感情を押さえ込んでいた。；その場に押さえ込まれたが、それ以前にもはや身動きすることができない。；あるけどないふりをして、中に押さえ込んでいるだけではないか。；鼻と口から血を流して倒れた恭二を、見知らぬ若い男が押さえ込んでいた。；彼と会って昔話をしたい気持もあったが、私はじっとその気持を押さえ込んだ。；毎日、心の中から這い出そうとする怪物を必死に押さえ込む夢を見る、と。；僕はその噴水を自分の口で押さえ込むようにして、音をたてて飲んでいきました。；身を起こそうとすると、さらに強くソファの背もたれに押さえ込まれた。；老人はもう片方の手でその左肩の付け根の部分をしっかりと押さえ込んだ。；足の下でデュアガーが身もがいたが、押さえ込んだ前足は微動だにしない。；憎めばその味方を否定する事になると、懸命に自らの泥を押さえ込んでおる。；わたしは、猫男に押さえ込まれたまま、力が尽き果てようとしていた。；ようやく笑いを押さえ込んだ時にはめっきりとお腹が痛くなっていた。；それをああも完璧に押さえ込まれてしまったら、確かに立つ瀬がない。；深雪が魔法を暴走させるのは、兄の魔法を押さえ込んでいる副作用だった。；いつの間にか言えないような状態に押さえ込まれてしまっている。；だか、アキトの手は、しっかりとそこを押さえ込んでしまっていた。；わたしは懸命に、ガタガタと震え出しそうになる自分の身体を押さえ込んだ。；テッサは肩をぶるぶると震わせて、怒りを押さえ込むよりほかなかった。；だがダークエルフを押さえ込んでいたガラードは火傷一つおっていない。；チャクラはあわててその羽を押さえ込むと、歌でもうたうような調子でいった。；宿直していた重侯は屏風で夫人を押さえ込んで、屏風越しに刺し殺した。</t>
        </is>
      </c>
      <c r="J1055">
        <f>HYPERLINK("https://www.weblio.jp/content/押さえ込む", "词义详情")</f>
        <v/>
      </c>
      <c r="K1055">
        <f>HYPERLINK("https://yourei.jp/押さえ込む", "查看例句")</f>
        <v/>
      </c>
    </row>
    <row r="1056">
      <c r="A1056" t="inlineStr">
        <is>
          <t>押さえる</t>
        </is>
      </c>
      <c r="B1056" t="inlineStr">
        <is>
          <t>成功</t>
        </is>
      </c>
      <c r="C1056" t="inlineStr">
        <is>
          <t>読み方：おさえる
［動ア下一］［文］おさ・ふ［ハ下二］
１
㋐物が動かないように、押しつけて力を加える。「手で着物の裾を—・える」「文鎮で紙を—・える」
㋑出入り口に手などを押し当てておおう。「傷口を—・える」「耳を—・える」
２対象の動きを封じる。
㋐動いたり逃げたりしないように、しっかりつかまえる。「犬を—・える」「賊を—・える」
㋑勢いを増す傾向にあるものを防ぎ止める。おしとどめる。食い止める。「敵の侵略を—・える」
㋒自分の支配下に置いて、自由な動きがとれないようにする。抑圧する。「反対派を—・える」
３（抑える）
㋐ある水準以上には高まらないようにする。「値段を手ごろなところで—・える」
㋑スポーツで、相手の勢いをとどめる。「8回までヒット3本に—・える」「強豪を相手に前半を0点に—・える」
㋒感情・欲望などが高ぶるのをとどめる。抑制する。「—・えた演技」「怒りを—・える」
４自己に属するものとして確保する。また、差し押さえる。「制空権を—・える」「証拠を—・える」「財産を—・えられる」
５大切なところをしっかり理解する。把握する。「要点を—・える」
６相手から杯を差されたとき、それをとどめて相手に飲ませる。
「文六殿返盞(へんさん)申す、と言ひければ、こは母が—・へまし、間(あひ)をいたしてあげません」〈浄・堀川波鼓〉
[下接句]勘所(かんどころ)を押さえる・首根っ子を押さえる・差しつ押さえつ・瓢箪(ひょうたん)で鯰(なまず)を押さえる・目頭(めがしら)を押さえる</t>
        </is>
      </c>
      <c r="D1056" t="inlineStr">
        <is>
          <t>制限；禁止；制御；限定；防ぐ</t>
        </is>
      </c>
      <c r="H1056" t="n">
        <v>29</v>
      </c>
      <c r="I1056" t="inlineStr">
        <is>
          <t>思わず口に出てしまいそうになることばを押さえることをおぼえたのよ。；バカげているとは思ったが、機の速度を押さえるにはこれしかなかった。；それを押さえるようにして、左手をズボンの後のポケットに入れている。；「げ」 と思わず声が出てしまった口を押さえることすら忘れてしまう。；当時のことを思うと、ぼくはある種の感動を押さえることができない。；中国では紙と、そこに書かれた文字が魔を押さえるという考えがあるの。；他プレイヤーの動向を気にしながら重要な路線を押さえる必要がある。；しかし扶佐子は、ねえ、と押さえるようにいっただけで何にもいわない。；腰を引く私を押さえるようにして、彼女は初めて私のペニスを口に含んだ。；バカなことを考えている自覚はあるのだが、思わず肩をそっと押さえる。；心に浮かんできた侮蔑的な返事を押さえるのは、造作もないことだった。；のんびりしていた空気が一気に吹き飛び、真九郎は自然と胸を押さえる。；そっと上から押さえると、合わせた襟の下でパリッとかすかな音がした。；これじゃとり押さえるまでには二、三マイルも沖へ出ることになりましょう。；彼の身体を、亀井と、両側から押さえるようにして、ダムの傍へ行った。；女性のようにこれといって押さえる場所がないせいかもしれない。；その石の表面に触れたい欲望を、僕はかろうじて押さえることが出来た。；カメラはもう一台あって、こちらはべータカムで全体の情景を押さえる。；その真次郎がいると、どうして園山を押さえる助けになるのであろうか。；顔面が真っ赤になるほど力を込めて指を押さえると、かすかな音がした。；アイマスクをした直後に、やつらは決まって手で目を押さえるはずだ。；いかなる言葉ももはや老人の怒りを押さえることはできなかった。；戦争に勝って日本を占領する、当然、その中心である東京を押さえる。；そのために内相に座り、司法権を押さえるのは自らの役割と考えていた。；その足へ手を伸ばさないよう自分を押さえるには、多少の努力を必要とした。；なぜならそれが彼を押さえることができる唯一のものだからだ。；他人の体にできた傷を、ぎゅっと押さえることで、自分の体に移動させる。；残りの四人の刑事は、一階の入口と、裏手を押さえる形で、配置された。；痛みに腹を押さえる約一名をあっさり無視し、鏡花はスラスラ先に進む。</t>
        </is>
      </c>
      <c r="J1056">
        <f>HYPERLINK("https://www.weblio.jp/content/押さえる", "词义详情")</f>
        <v/>
      </c>
      <c r="K1056">
        <f>HYPERLINK("https://yourei.jp/押さえる", "查看例句")</f>
        <v/>
      </c>
    </row>
    <row r="1057">
      <c r="A1057" t="inlineStr">
        <is>
          <t>抑える</t>
        </is>
      </c>
      <c r="B1057" t="inlineStr">
        <is>
          <t>成功</t>
        </is>
      </c>
      <c r="C1057" t="inlineStr">
        <is>
          <t>読み方：おさえる
［動ア下一］［文］おさ・ふ［ハ下二］
１
㋐物が動かないように、押しつけて力を加える。「手で着物の裾を—・える」「文鎮で紙を—・える」
㋑出入り口に手などを押し当てておおう。「傷口を—・える」「耳を—・える」
２対象の動きを封じる。
㋐動いたり逃げたりしないように、しっかりつかまえる。「犬を—・える」「賊を—・える」
㋑勢いを増す傾向にあるものを防ぎ止める。おしとどめる。食い止める。「敵の侵略を—・える」
㋒自分の支配下に置いて、自由な動きがとれないようにする。抑圧する。「反対派を—・える」
３（抑える）
㋐ある水準以上には高まらないようにする。「値段を手ごろなところで—・える」
㋑スポーツで、相手の勢いをとどめる。「8回までヒット3本に—・える」「強豪を相手に前半を0点に—・える」
㋒感情・欲望などが高ぶるのをとどめる。抑制する。「—・えた演技」「怒りを—・える」
４自己に属するものとして確保する。また、差し押さえる。「制空権を—・える」「証拠を—・える」「財産を—・えられる」
５大切なところをしっかり理解する。把握する。「要点を—・える」
６相手から杯を差されたとき、それをとどめて相手に飲ませる。
「文六殿返盞(へんさん)申す、と言ひければ、こは母が—・へまし、間(あひ)をいたしてあげません」〈浄・堀川波鼓〉
[下接句]勘所(かんどころ)を押さえる・首根っ子を押さえる・差しつ押さえつ・瓢箪(ひょうたん)で鯰(なまず)を押さえる・目頭(めがしら)を押さえる</t>
        </is>
      </c>
      <c r="D1057" t="inlineStr">
        <is>
          <t>抑えるべく；抑えるべき；抑えるツボと考え；抑える間もなく</t>
        </is>
      </c>
      <c r="E1057" t="inlineStr">
        <is>
          <t>制限；制御；限定；邪魔；ブロック</t>
        </is>
      </c>
      <c r="F1057" t="inlineStr">
        <is>
          <t>極力抑える</t>
        </is>
      </c>
      <c r="H1057" t="n">
        <v>29</v>
      </c>
      <c r="I1057" t="inlineStr">
        <is>
          <t>また色当たりのコストも他の印刷方法と比べて低く抑えることができる。；ただし建設費用を抑えるためにこのトンネルの一部は単線のままである。；魚臭さを抑える技術も開発され海外への輸出も多くなるとみられる。；価格を抑えるために、中心の長い部分だけにイタチの毛を使う場合もある。；嫡男氏輝がまだ成人していないため、家臣の争いを抑える目的であった。；なお、建造費と維持費を抑えるため、商船の設計方法が導入されている。；これを抑えるため、新しいサービスを積極的に導入して利用を促進している。；おそらく彼のエネルギーがジムを抑えるのに使われていたからだ。；こうした洪水を抑えるため、古来より各文明は様々な手段を講じてきた。；スズでできた缶に保存すれば、この反応の進行を抑えることができる。；また桁の高さの分だけ橋脚の高さを抑えることができるため、経済的である。；サイズの変更は、価格帯を抑えることでより多くの商品が購入されることを意図している。；逃亡農民の数を抑えるための対策もなされ、農奴制への移行が顕著になった。；それを避けるためにファイルを圧縮し、サイズを抑えることが必要になる。；頃から打撃の衝撃を抑えるためにマウスピースを使用していた。；これは調査により、切羽を抑えるジャッキが緩んでいたことが判明した。；浴槽の設置方法もまたぐ高さを抑える半埋め込み式が最も安全である。；複数枚の板を組み合わせて扉を構成することもあり、これは塔の高さを低く抑えるために用いられる。；ポールは、何でも自分でやろうとするミラを抑えるのに必死だったという。；基本的には大斎の日には一日一度十分な食事をとり、あとの2回は僅かに抑える。；また、絵画の修復の際に絵具の剥離を抑えるために用いられる場合もある。；制作費を抑えるため同じシーンが数回使われている。；これにより受光面に到達する光の動きを抑えることで手ぶれを軽減させる。；側塔がケーブルを受けることで主塔やアンカレイジの規模を抑えることができた。；このコストを抑える試みをした実装手法がいくつか存在している。；逆に全幅を抑えるためにエンジンの設計が制約されることもある。；これも宗教勢力を抑えるための策だったとされる。；朝廷や幕府から大義名分をもらうことで悪評を抑えることができる。；たったひとりのバッターを抑えるために新しいボールを覚えなければならなかったんです。</t>
        </is>
      </c>
      <c r="J1057">
        <f>HYPERLINK("https://www.weblio.jp/content/抑える", "词义详情")</f>
        <v/>
      </c>
      <c r="K1057">
        <f>HYPERLINK("https://yourei.jp/抑える", "查看例句")</f>
        <v/>
      </c>
    </row>
    <row r="1058">
      <c r="A1058" t="inlineStr">
        <is>
          <t>幼い</t>
        </is>
      </c>
      <c r="B1058" t="inlineStr">
        <is>
          <t>成功</t>
        </is>
      </c>
      <c r="C1058" t="inlineStr">
        <is>
          <t>読み方：いとけない
［形］［文］いとけな・し［ク］《「ない」は意味を強める接尾語》おさなくて小さいさま。あどけない。「—・い子」
[派生]いとけなげ［形動］いとけなさ［名］</t>
        </is>
      </c>
      <c r="D1058" t="inlineStr">
        <is>
          <t>幼い時(4%)；幼い子供(4%)；幼いとき(3%)；幼い息子；幼い娘</t>
        </is>
      </c>
      <c r="E1058" t="inlineStr">
        <is>
          <t>若い；小さい；未練；無邪気な；幼稚</t>
        </is>
      </c>
      <c r="F1058" t="inlineStr">
        <is>
          <t>幼いころ；まだ幼い；幼い子ども；ごく幼い；幼い少年</t>
        </is>
      </c>
      <c r="H1058" t="n">
        <v>29</v>
      </c>
      <c r="I1058" t="inlineStr">
        <is>
          <t>その本の裏表紙には母親が撮影した幼いころの兄弟の写真を使っていた。；幼い頃の記録は不明確であるが、父親に理解されず苦しんだようである。；多忙な両親のために、幼い頃から自分と弟の食事を作ることも多かった。；幼い頃から動物の収集家であっただけでなく、熱心な観察者でもあった。；たとえ昔は友と信じていた相手でも、そのころの私たちはまだ幼かった。；幼いころに南フランスに移住し、父の絵のモデルを務めさせられていた。；幼いころから科学や自然に興味を持ち、植物採集に頻繁に出かけていた。；彼はまだ幼く見えたし、私は彼が思春期にあることを思いもしなかった。；音楽一家で幼い頃から妹たちとともに音楽のエリート教育を受けていた。；多くの物語を読むとともに幼い時から物語を作ることを目指していた。；両親は遠藤が幼い頃に離婚しており、実父の記憶はほとんどないという。；幼くして両親に連れられロンドンに渡り、この地で父親は文官を務めた。；あるいはそれは、幼き日に見た納戸の女だったのかもしれませんけれど。；彼は幼い頃より毒物が人体に与える影響について強い興味を抱いていた。；しかし、彼の代には零落し、幼くして父を失い母の手一つで育てられた。；幼かった頃の自分を、ふたりがまるで実の娘のように愛してくれたことを。；彼は四人兄弟の三人目で、幼いガガーリンの世話は姉が行うこともあった。；幼かった僕は布団の中で体を硬くして、それが終わるのをじっと待った。；そのため彼が幼くして第9代リンカーン伯爵位を継承することになった。；驚くと普段の飄然とした顔が幼くなって普通の少女らしくなるからだ。；幼い頃に父が死亡して母も他家に嫁いだため、祖母の劉氏に育てられる。；幼い頃から入門するまで、テレビや映画はほとんど見てこなかったという。；現代、特に先進国では幼いうちに一本を切断し5本指とすることが多い。；これは我々のほとんどが幼い子供時代からやっていることです。；清水信一は幼いころから不思議な霊力を持っていたと伝えられている。；あの頃は幼くて、お互いが異性なのだという事を考える事さえなかった。；今年で十五になるのだが、年より二つも三つも幼く見えてしまう体つき。；この例は、スミスが故郷で幼い時に見た経験が生かされていると言われる。；私の体は今よりもずっと幼く、隣に座るその人は私よりずっと大人の男性。</t>
        </is>
      </c>
      <c r="J1058">
        <f>HYPERLINK("https://www.weblio.jp/content/幼い", "词义详情")</f>
        <v/>
      </c>
      <c r="K1058">
        <f>HYPERLINK("https://yourei.jp/幼い", "查看例句")</f>
        <v/>
      </c>
    </row>
    <row r="1059">
      <c r="A1059" t="inlineStr">
        <is>
          <t>幼馴染</t>
        </is>
      </c>
      <c r="B1059" t="inlineStr">
        <is>
          <t>成功</t>
        </is>
      </c>
      <c r="D1059" t="inlineStr">
        <is>
          <t>幼馴染である(9%)；幼馴染であり(3%)；幼馴染同士；幼馴染達；幼馴染ヤズミン・カーン</t>
        </is>
      </c>
      <c r="E1059" t="inlineStr">
        <is>
          <t>旧友；長い付き合い；昔なじみ；竹馬の友；昔馴染み</t>
        </is>
      </c>
      <c r="H1059" t="n">
        <v>29</v>
      </c>
      <c r="I1059" t="inlineStr">
        <is>
          <t>朔が思いを寄せている幼馴染の小夜は、今では大成の恋人となっている。；佐藤日向の幼馴染・内田鳥彦は顔が良く、女が次から次へと寄ってくる。；隣に住んでいて、勉強もスポーツも得意な幼馴染の松田武彦のことが好き。；仁太を中心に幼馴染六人組で結成した何でも平和目的とするグループ。；リサは二人が幼少期に脱出した施設に残してきた幼馴染に似ていた。；生まれた町が田中亮一と同じであるため、幼馴染のような関係がある。；金比羅神社は主人公が幼馴染に告白されたシーンの神社として知られる。；その頃の幼馴染に盧綰と樊噲がおり、共に後の反秦活動に参加している。；そこには同じ学校の予科生である弟の涼太や幼馴染の七央も来ていた。；場所後の8月8日、出身地の青森県出身の幼馴染と結婚したことを発表。；高校2年になった主人公である真一のもとに幼馴染である月が来た。；妹や幼馴染と普通の学生生活を送っていた聡介はある夜金髪の少女と出会う。；そこで、二人は輝の幼馴染であった鹿島藍をはじめとする人々と出会う。；またアムロの家の向かいに住むハヤト・コバヤシとは幼馴染であった。；しかし幼馴染の頼みも無下にできず、その日は一緒に帰ることとなる。；しかし、ライトを含めた5人は幼馴染であったこと以外の記憶を失っていた。；幼いころ、幼馴染の一墨に告白したがその答えをなぜか覚えていない愛生。；そんなある日幼馴染の広介がシュウのことで意味深な言葉をかける。；幼馴染のふたりは今年の夏も両家族合同で海辺の別荘を訪れていた。；もう一つのヒントはカルヴィンのモデルでもある空軍兵士の幼馴染だった。；幼馴染だったモリーと結婚した主人公はヴィッキーと出会い、浮気する。；事務所所属前は脚本や演出をしていた幼馴染と共に女性のみの舞台のコントをしていた。；幼馴染の二人は、7年前のある事件をきっかけに袂を分かっていた。；しかし、この再会をきっかけに幼馴染の2人の時間が再び動き始める。；被告の男の一家と長男の一家は遠縁の親戚同士であり男と長男は幼馴染であった。；犯人を取り押さえたアメリカ人3名は友人であり、幼馴染でもあった。；その後一時は幼馴染である俳優ハンク・ウォーデンと同居したこともあった。；その日も学校を休んで、京都の幼馴染の家に遊びに来ていた。；青木勝とは幼稚園の頃からの幼馴染であり、常に行動を共にしている親友。</t>
        </is>
      </c>
      <c r="J1059">
        <f>HYPERLINK("https://www.weblio.jp/content/幼馴染", "词义详情")</f>
        <v/>
      </c>
      <c r="K1059">
        <f>HYPERLINK("https://yourei.jp/幼馴染", "查看例句")</f>
        <v/>
      </c>
    </row>
    <row r="1060">
      <c r="A1060" t="inlineStr">
        <is>
          <t>納まる</t>
        </is>
      </c>
      <c r="B1060" t="inlineStr">
        <is>
          <t>成功</t>
        </is>
      </c>
      <c r="C1060" t="inlineStr">
        <is>
          <t>読み方：おさまる
［動ラ五（四）］《「治まる」と同語源》
１一定の範囲の中にきちんと入る。「押し入れに—・る」「予算の範囲に—・る」
２その場所に落ち着く。
㋐受け入れられた状態になる。「食べた物が胃に—・る」「元の鞘(さや)に—・る」
㋑当然と思われる所に身を置いて落ち着く。「猫がいすの上に—・っている」
㋒その地位・境遇などに、満足したようすで落ち着く。「社長のいすに—・る」
３落ち着いて、穏やかな状態になる。争いや動揺がしずまる。治まる。「インフレが—・る」「ごたごたが丸く—・る」
４（納まる）金品が受け取るべき所に入る。納入される。「会費が—・っていない」「国庫に—・る」
５承服する。納得する。「とことん話してやっと—・る」
６現れていたものがなくなる。消える。薄らぐ。「汗が—・る」</t>
        </is>
      </c>
      <c r="D1060" t="inlineStr">
        <is>
          <t>納まるまい(3%)；納まるべき(2%)</t>
        </is>
      </c>
      <c r="E1060" t="inlineStr">
        <is>
          <t>収まる；収納される</t>
        </is>
      </c>
      <c r="H1060" t="n">
        <v>29</v>
      </c>
      <c r="I1060" t="inlineStr">
        <is>
          <t>これでも仕事が済めばこれを着て帝劇の三階ぐらいへ納まるんだからね。；可能性がない訳じゃないんでしょうが、何か納まりが悪いじゃないですか。；それなのに自分は、単なる管理職に納まってしまうつもりになっていた。；これ以上大きくなったら、肩の上にしっくり納まることはできなくなる。；もともとはそこに石の柱が納まっていたが、それが折られたのは夏の話だ。；この戦略では、天使の到達しうる領域は円錐形の中に納まることになる。；K氏のコレクションに私の作品が納まるだけでも意義のあることなのだ。；通常成人するまでには納まるが、大人になってから発症することもある。；胸には他の鬼と連絡出来る様になのか、トランシーバーが納まっていた。；一時アメリカに流れ出たが、今ではボルドー市の図書館に納まっている。；だが全員興奮が納まらずジャックのホイッスルの音に耳を貸さなかった。；一旦納まった時、さっき悲鳴をあげた青山さんが「しまった」と叫んだ。；だが、おきのどくだが、そのくらいのことで、おれの虫は納まらないぞ。；通俗小説に納まる俗物性に我慢のならない彼等の作家精神こそ重大なのだ。；少なくてもこの九人は、ちゃんとした庭のある家へ納まらなくてはいけねえ。；クローン人間が生まれて今に至るデータが、全て納まっているんだぞ。；君が早く見切りをつけて、ここに納まったのは賢明だったといつも思うよ。；包みから出て来たのは、古びた黒い木の額縁に納まった写真であった。；一番太いところがはいると、後はスムーズに伊央の身体の中に納まった。；だが彼を首藤殺しの犯人の位置におくと、まことに具合よく納まるのである。；あの絵は偉い人のところに納まっているのだから、取返せるものではない。；手帳は手帖とも表記され、手の中に納まるような小さな記録本のこと。；とこうにべもなくいい切ったでは、お前達にしても納まりがつくまい。；なるほど他のものを持っていってもどうしても納まりがつかないことがよく分る。；細い、親指と人差し指の円のなかに納まってしまうほど細い手首だった。；俺はそのカードがきちんと納まる場所を求めて記憶の棚をずっと先まで見て行った。；育てるのも、特に女でなくてもいいから、女は家に納まっている必要がない。；な一面が評価されたらしく、こんな妙な部隊の隊長に納まってしまったのである。；あの親分さんがそうするならとその場は納まり、裏ででかい金が動く。</t>
        </is>
      </c>
      <c r="J1060">
        <f>HYPERLINK("https://www.weblio.jp/content/納まる", "词义详情")</f>
        <v/>
      </c>
      <c r="K1060">
        <f>HYPERLINK("https://yourei.jp/納まる", "查看例句")</f>
        <v/>
      </c>
    </row>
    <row r="1061">
      <c r="A1061" t="inlineStr">
        <is>
          <t>収まる</t>
        </is>
      </c>
      <c r="B1061" t="inlineStr">
        <is>
          <t>成功</t>
        </is>
      </c>
      <c r="C1061" t="inlineStr">
        <is>
          <t>読み方：おさまる
［動ラ五（四）］《「治まる」と同語源》
１一定の範囲の中にきちんと入る。「押し入れに—・る」「予算の範囲に—・る」
２その場所に落ち着く。
㋐受け入れられた状態になる。「食べた物が胃に—・る」「元の鞘(さや)に—・る」
㋑当然と思われる所に身を置いて落ち着く。「猫がいすの上に—・っている」
㋒その地位・境遇などに、満足したようすで落ち着く。「社長のいすに—・る」
３落ち着いて、穏やかな状態になる。争いや動揺がしずまる。治まる。「インフレが—・る」「ごたごたが丸く—・る」
４（納まる）金品が受け取るべき所に入る。納入される。「会費が—・っていない」「国庫に—・る」
５承服する。納得する。「とことん話してやっと—・る」
６現れていたものがなくなる。消える。薄らぐ。「汗が—・る」</t>
        </is>
      </c>
      <c r="D1061" t="inlineStr">
        <is>
          <t>収まるべき；収まるだろ；収まる大き；収まるまい</t>
        </is>
      </c>
      <c r="E1061" t="inlineStr">
        <is>
          <t>冷却；沈静；冷える；薄れる；納まる</t>
        </is>
      </c>
      <c r="F1061" t="inlineStr">
        <is>
          <t>手のひらに収まる；すっぽりと収まる；すっぽり収まる；ぴったり収まる；うまく収まる</t>
        </is>
      </c>
      <c r="H1061" t="n">
        <v>29</v>
      </c>
      <c r="I1061" t="inlineStr">
        <is>
          <t>現在でも双方の攻撃が完全に収まったわけではなく、困難が予想される。；この響きが他人のもののような気がして、なかなか胸に収まらなかった。；考えてみれば、いくら何でもこんな狭い中には収まっているはずはない。；私はどうしても、誰が犯人役ならば最も収まりがいいかを考えてしまう。；風はもう三日も吹き通していたが、出猟の朝になっても収まらなかった。；怒りはだんだん収まっていたが、ハリーは力が抜け、ひどく疲れていた。；騒ぎがどのようにして収まったか、すくんでしまった私にはわからない。；上記枠では収まりきらない夜間などに独自編成を行っている地域がある。；黙って一発殴られてやれば、それで収まると思ったんでね、我慢したさ。；一つ一つの思い出が、小さな身体の中にはとても収まりそうもなかった。；監獄という目的を持った建物を失った門には収まるべき場所がなかった。；火消し連中が盛んに龍吐水を掛けたが火の勢いは容易に収まらなかった。；どうにも収まらない宇兵は、その場で鑑識課の課長に経緯を訴えて出た。；基本的にランキングで時間が余る場合は収まるまで下位まで放送される。；これは折りたたみ時に上枠が下枠に収まるようにして小型化したものである。；あ〜、これはすぐには収まらないと、ぼくは頭を抱えたい気持ちだった。；しかし混乱はいつまでたっても収まらずとうとう第一議会が召集された。；たとえ収まったとしても、同じように破綻しないとも限らないだろうし。；自分ひとりが説明を聞いて納得しても我々の気持ちは収まらんよ。；これもまた系統が多いと道路の枠内に収まりきらないという悩みを持つ。；ただ既にヘリが高度を下げているため、全容は視界に収まりようがない。；これらの対策の結果、少し時間はかかったもののバター不足は収まった。；口蓋骨は顎を閉じた際に下顎の歯が収まることのできる小さな孔を有した。；一度だけ怒りが頂点に達したことあったが、一瞬にして収まっている。；暴走は1年ほどで収まったが、地球での生存は困難な状況になっていた。；これでようやく皇太孫の地位が安定し、道宗朝の政治の混乱は収まった。；そうして、あの暗がりのなかに、いずれは彼の骨も収まるにちがいない。；長年ここで生活しているだけあって、ぴたりと体が収まったように見える。；市街地は東西方向、南北方向ともに3km程度の範囲内に収まっている。</t>
        </is>
      </c>
      <c r="J1061">
        <f>HYPERLINK("https://www.weblio.jp/content/収まる", "词义详情")</f>
        <v/>
      </c>
      <c r="K1061">
        <f>HYPERLINK("https://yourei.jp/収まる", "查看例句")</f>
        <v/>
      </c>
    </row>
    <row r="1062">
      <c r="A1062" t="inlineStr">
        <is>
          <t>治まる</t>
        </is>
      </c>
      <c r="B1062" t="inlineStr">
        <is>
          <t>成功</t>
        </is>
      </c>
      <c r="C1062" t="inlineStr">
        <is>
          <t>読み方：おさまる
［動ラ五（四）］
１「収まる3」に同じ。「内乱が—・る」「騒ぎが—・る」「風が—・る」「このままでは気持ちが—・らない」
２政治の秩序が行き渡る。「国が—・る」
３痛みや、症状などがしずまる。「腹痛が—・る」「せきが—・る」</t>
        </is>
      </c>
      <c r="D1062" t="inlineStr">
        <is>
          <t>治まるだろ(3%)</t>
        </is>
      </c>
      <c r="E1062" t="inlineStr">
        <is>
          <t>決定；解決；確立；始末；決着</t>
        </is>
      </c>
      <c r="F1062" t="inlineStr">
        <is>
          <t>すぐに治まる；よく治まる</t>
        </is>
      </c>
      <c r="H1062" t="n">
        <v>29</v>
      </c>
      <c r="I1062" t="inlineStr">
        <is>
          <t>原士の長はあの人だから治まっているといわれているくらいなものだ。；そのうちに日本もだんだん変わってきて、三つの法で治まるようになった。；ずいぶん経ってから息が治まって、ようやく顔を上げられるようになった。；みんな事が治まるまで家の中で息を殺してじっとしていたらしい。；しかしながら、どうしても世の中は知識や学問の力では治まるものでない。；そして、この状況は航空機がどこかに着陸して止まるまでは治まらない。；本であるこれが今日のように乱れているかぎり、末が治まろうはずはない。；したがって、駆虫しても虫卵が残っている限りは症状が治まることはない。；下痢と痙攣が最初の症状で、次に一時的に症状が治まる偽回復期がある。；排出量が減少するのと同時に発熱も治まり元気になっていったという。；損得に引廻されぬ者のみであったなら世間はすらりと治まるであろうに。；米政府はこれに一応の理解を示したが、市民の怒りは治まらなかった。；ロンの攻撃性が数日経っても治まらなかったのには、ハリーも愕然とした。；するとちょっとした言葉から熱が急に引いたように二人共治まった。；この場合は、ものの数秒で治まるトラブルが、一回起こったに過ぎない。；いかにもこんなことでは、あの小さい国でさへも治まりさうなことがない。；この場合は、特別な治療をしなくても数日から1週間程度で治まるとされる。；吐き気は治まらず、頭はグラグラで、一人で立つ事さえできなかったが。；真一の屍体が火葬炉の中で灰になってくれさえすればそれで万事治まる。；ですから兵士は僅かでもそんなに多く内乱も起らずに治まって居るです。；それに、そんな言葉では彼を知る参列者の心もまた、治まらぬと思われた。；上陸したときからの耳鳴りと軽い吐き気が、少しでも治まるといいのだが。；そう思うと心の中の煩悩に満ちたドラム活動が急速に治まってきた。；身分と地位と権力だけでは治まらないのが女の世界である。；一つは国、一つは社会、社会が堅実に発達しなければ国も治まらない。；皮膚は赤くなり往々にして水疱が出来るが、喉の痛みは治まるという。；浩子が出してくれたウイスキーの三杯目で、やっと震えだけは治まった。；ただ仏教の信仰力あるが為に国が治まって居るのである。；当分は締め付けを緩やかにせねば治まらぬとお気付き召されたのだろう。</t>
        </is>
      </c>
      <c r="J1062">
        <f>HYPERLINK("https://www.weblio.jp/content/治まる", "词义详情")</f>
        <v/>
      </c>
      <c r="K1062">
        <f>HYPERLINK("https://yourei.jp/治まる", "查看例句")</f>
        <v/>
      </c>
    </row>
    <row r="1063">
      <c r="A1063" t="inlineStr">
        <is>
          <t>納める</t>
        </is>
      </c>
      <c r="B1063" t="inlineStr">
        <is>
          <t>成功</t>
        </is>
      </c>
      <c r="C1063" t="inlineStr">
        <is>
          <t>読み方：おさめる
［動マ下一］［文］をさ・む［マ下二］《「治める」と同語源》
１一定の範囲の中にきちんと入れる。収納する。きまった所にしまう。「製品を倉庫に—・める」「刀を鞘(さや)に—・める」「カメラに—・める」「胸に—・めておく」
２金や物などを受け取って自分のものとする。手に入れる。受納する。獲得する。「薄志ですが、—・めてください」「勝利を—・める」「手中に—・める」
３（納める）渡すべき金や物を受け取る側に渡す。納入する。「授業料を—・める」「注文の品を—・める」「お宮にお札を—・める」
４乱れているものを、落ち着いて穏やかな状態にする。争いや動揺をしずめる。治める。「紛争を—・める」「怒りを—・める」
５（納める）物事をそれで終わりにする。「今日で今年の仕事を—・める」「歌い—・める」
６死骸を葬る。
「骸(から)は、けうとき山の中に—・めて」〈徒然・三〇〉</t>
        </is>
      </c>
      <c r="D1063" t="inlineStr">
        <is>
          <t>納めるべき；納めるべく；納める御</t>
        </is>
      </c>
      <c r="E1063" t="inlineStr">
        <is>
          <t>くれる；使う；与える；取る；上げる</t>
        </is>
      </c>
      <c r="H1063" t="n">
        <v>29</v>
      </c>
      <c r="I1063" t="inlineStr">
        <is>
          <t>古くより本殿深く箱の中に納められており、現在も見ることはできない。；近年では地上の寺社のお札を機関室などに納めることが多いようである。；モスク内の寺院には洗礼者ヨハネの頭が納められているといわれている。；二十万円をポケットに納めると、なにかひどく得をしたような気がした。；この際、曲の長さを3分台に納めることに留意して製作がなされている。；この映画には処刑前日のアイリーンへのインタビューも納められている。；ビデオ事業部が稼ぎ、本社費を納めることで次の新商品が生まれるんだ。；大部分が私蔵に由来する多くの航空関連の遺物や物品が納められている。；が、笑いを直ぐ納めると、お竹さんは今度は真面目な顔になって言った。；鳴海は、写真をポケットへ納めると、首をのばして店の入口の方を見た。；税金を納める気持ちのない者には、アパートを借りる信用は得られない。；私は毎日千三十円三十銭だけとって、千三十円だけこの人に納めるのです。；平年寄は加入金を納める必要はなかったが、出世の道は閉ざされていた。；いつしか職人たちも最高級の品を真美那に納めることを喜びとしていた。；夏家の人はお骨を拾い、丁寧に布で包み、籠に納めて改めて祀っている。；どうやら市のもと締めに納める金のことで文句をいっているらしい。；もはや税として納めるものは何も残っておらんと訴えているくらいだ。；最初は17世紀、彼女の埋葬場所の隣に司教の棺を納めるためであった。；それは長文の電報で、ポケットへ納める前に彼は二度くり返して読んだ。；海外リーグ所属の選手はその国の税法に基づき税金をその国に納める。；少し財産が出来れば土蔵を建て、まずそこに納めるのが漆器なのである。；現在、3つの広間を納めた前廊と聖歌隊席を含めた一部が現存している。；後方の窓を通じ、仏舎利が納められている戒壇を拝む配置になっている。；そこで旅には慣れているだろうと税金を納めに行くことになった。；杖の回数と同じ斤量の銅を納めることで罪を回避することも可能であった。；橋をよく利用する集落は、年に一度一定量の籾などを納める習慣があった。；しかし、科学分野の大会において全国規模で数々の成績を納めている。；暮れからずっと続けている薬を旅の鞄に納めることも忘れてはならなかった。；彼の傍らには愛用のヴィオラ・ダ・ガンバが納められたと伝えられている。</t>
        </is>
      </c>
      <c r="J1063">
        <f>HYPERLINK("https://www.weblio.jp/content/納める", "词义详情")</f>
        <v/>
      </c>
      <c r="K1063">
        <f>HYPERLINK("https://yourei.jp/納める", "查看例句")</f>
        <v/>
      </c>
    </row>
    <row r="1064">
      <c r="A1064" t="inlineStr">
        <is>
          <t>収める</t>
        </is>
      </c>
      <c r="B1064" t="inlineStr">
        <is>
          <t>成功</t>
        </is>
      </c>
      <c r="C1064" t="inlineStr">
        <is>
          <t>読み方：おさめる
［動マ下一］［文］をさ・む［マ下二］《「治める」と同語源》
１一定の範囲の中にきちんと入れる。収納する。きまった所にしまう。「製品を倉庫に—・める」「刀を鞘(さや)に—・める」「カメラに—・める」「胸に—・めておく」
２金や物などを受け取って自分のものとする。手に入れる。受納する。獲得する。「薄志ですが、—・めてください」「勝利を—・める」「手中に—・める」
３（納める）渡すべき金や物を受け取る側に渡す。納入する。「授業料を—・める」「注文の品を—・める」「お宮にお札を—・める」
４乱れているものを、落ち着いて穏やかな状態にする。争いや動揺をしずめる。治める。「紛争を—・める」「怒りを—・める」
５（納める）物事をそれで終わりにする。「今日で今年の仕事を—・める」「歌い—・める」
６死骸を葬る。
「骸(から)は、けうとき山の中に—・めて」〈徒然・三〇〉</t>
        </is>
      </c>
      <c r="D1064" t="inlineStr">
        <is>
          <t>収めるべく；収めるべき</t>
        </is>
      </c>
      <c r="E1064" t="inlineStr">
        <is>
          <t>使う；取る；乗る；払う；受け取る</t>
        </is>
      </c>
      <c r="H1064" t="n">
        <v>29</v>
      </c>
      <c r="I1064" t="inlineStr">
        <is>
          <t>カーニバル後にはその年の模様を収めたビデオテープも発売されている。；同作は4年に渡り連載が続けられ、アニメ化される程のヒットを収める。；恥ずかしがり屋でありながら初参加にしてなかなかの好成績を収めた。；経済学部・教育学部共同での特徴ある学際的研究でも成果を収めてきた。；しかしいずれも確実な成功を収めたものとまではいえなかった。；イギリス軍を相手に勝利を収めた第一航空艦隊は日本への帰路についた。；島外へ逃れたものの中には、のように大陸で大成功を収めたものもあった。；その後も重賞で4度2着になるなど安定した成績を収めるようになった。；同コレクションには個人のプリントやホームムービーが収められている。；そして、図書館に収められる本の1つ1つが通常の宇宙を含む世界である。；しかし、ここでは病気の教師に代わって作曲・指揮を行い、成功を収める。；石鹸石を使った近現代のジンバブエ彫刻家は国際的な成功を収めている。；この世代のうち、最も商業的に成功を収めたのはハンナ・クレンティである。；彼の作品の多くは映画の原作に使われて、成功を収めてきた。；この一連の政策がどれだけの成果を収めたかは評価が分かれる。；帰国後新店舗開設の責任者に選ばれ、大丸梅田店の開業で成功を収める。；この形で曲は成功を収め、彼のイギリスでの名声の礎を築くことになった。；皇帝はこの街を支援したが、大きな成功を収めることはできなかった。；「プリントを指定の場所に収めろといわれたんだっけな」 俺がきいた。；オランダのライデン大学で学んで優秀な成績を収め医学博士号を取得。；同大会で定められた成績を収めると北海道サッカーリーグ昇格となる。；ビジネス界において、割れ窓理論を適用して成功を収めている例がある。；草創期に成功を収めた推進方式のひとつに圧縮空気を用いたものが挙げられる。；おそらくシェイクスピア自身が経済的に大きな成功を収めていたためである。；しかしグループとして活動していた当時程の成功を収めることはできなかった。；以降スターキャットなど他のケーブルテレビ局も傘下に収めて現在に至る。；第二次世界大戦では日本陸軍の歩兵が自転車で移動し、大成功を収めた。；ツツイカ目では長さを縮めることはできるが完全に収めることはできない。；メイズは何枚かのレコードを発売するがいずれも成功を収めることはなかった。</t>
        </is>
      </c>
      <c r="J1064">
        <f>HYPERLINK("https://www.weblio.jp/content/収める", "词义详情")</f>
        <v/>
      </c>
      <c r="K1064">
        <f>HYPERLINK("https://yourei.jp/収める", "查看例句")</f>
        <v/>
      </c>
    </row>
    <row r="1065">
      <c r="A1065" t="inlineStr">
        <is>
          <t>治める</t>
        </is>
      </c>
      <c r="B1065" t="inlineStr">
        <is>
          <t>成功</t>
        </is>
      </c>
      <c r="C1065" t="inlineStr">
        <is>
          <t>読み方：おさめる
［動マ下一］［文］をさ・む［マ下二］
１「収める4」に同じ。「暴動を—・める」「丸く—・める」
２世の中や家の中を秩序ある状態にする。統治する。「国を—・める」「家を—・める」
３病気などを治す。
「その病を—・むる方(みち)を定む」〈吉田本神代紀・上〉</t>
        </is>
      </c>
      <c r="D1065" t="inlineStr">
        <is>
          <t>治めるべき；治めるべく</t>
        </is>
      </c>
      <c r="F1065" t="inlineStr">
        <is>
          <t>支配下に治める</t>
        </is>
      </c>
      <c r="H1065" t="n">
        <v>29</v>
      </c>
      <c r="I1065" t="inlineStr">
        <is>
          <t>フィリップ6世の時代に単なる領主が治める地から伯爵領へ転換された。；かつて地球にはパメラ王と呼ばれる世界を平和に治めている王様がいた。；よく家を治めるものは必ずよく国を治めるであろうと判断したのであった。；この森は古くは宍野を治めていた宍野氏の居城跡があったとされている。；それぞれに治めるべき国があり、判断すべき問題を抱えているのですから。；魔術の研究とは違い、国を治めるということに絶対的な真実はないのだ。；英雄には二人の子供がおり、英雄亡き後のアルビオンは兄が治めていた。；大小シマロンが大半を治める大陸に着いたのは、六晩過ぎてからだった。；ローマ法が適用され、ローマから直接任命された二人の軍人が市を治めた。；彼の経歴は、シチリアを治めていた父の下で参議を務めたことに始まる。；それはと呼ばれる考古学遺跡で、この地域を治める中心的位置にあった。；中心部にこの世界を治める巨大な城があり、周囲には城下町が建ち並ぶ。；これに応じてリューリク以下三人の兄弟がロシアに来て、ロシアを治めた。；そこには現在十八諸島を治めるイエシン・クラン・イズーが住んでいる。；この地方を治めるために送ってほしいのは、このような人物ですよ。；各都市はそれぞれ投票により選出された村長が中心となり治められている。；言ってくれ、バンクォウの子孫が この国を治めることがあるかどうか?；彼はルイ7世が聖地へ向かい王国を留守にした際には代わって国を治めた。；つまり、香港を治める英国の警察が手を出せない地域になってしまったのだ。；あの懐かしい戴冠式の日には、彼は自分が国を治めるつもりでいたはずだ。；これを治める意味もあり、ローマで最初の演劇が上演されている。；長い歴史の中のほんの一瞬だけ、一つの国を治める女性の運命だ。；これらの豪族はほぼそのまま藩政以前までその地を治めることとなる。；程近く、台輔が治める土地とはいえ、念のため禁軍の一部が護衛につく。；総地頭職の下に位置する一村を治める脇地頭職にある者は大名とは呼ばれない。；俺の家を治めることを忘れたために、お前までがこんな苦しい思いをするのだ。；そしてわたくしが治めるはずだった国の王におなりください。；かつてスペインを治めていたアブスブルゴ家などへの接触もあったといわれる。；俺の家を治めることを忘れたために、お前までがこんな苦しい思ひをするのだ。</t>
        </is>
      </c>
      <c r="J1065">
        <f>HYPERLINK("https://www.weblio.jp/content/治める", "词义详情")</f>
        <v/>
      </c>
      <c r="K1065">
        <f>HYPERLINK("https://yourei.jp/治める", "查看例句")</f>
        <v/>
      </c>
    </row>
    <row r="1066">
      <c r="A1066" t="inlineStr">
        <is>
          <t>お産</t>
        </is>
      </c>
      <c r="B1066" t="inlineStr">
        <is>
          <t>成功</t>
        </is>
      </c>
      <c r="C1066" t="inlineStr">
        <is>
          <t>読み方：おさん
子を産むこと。出産。</t>
        </is>
      </c>
      <c r="D1066" t="inlineStr">
        <is>
          <t>お産婆さん；お産養；お産手形</t>
        </is>
      </c>
      <c r="E1066" t="inlineStr">
        <is>
          <t>産；出産；出生；生み；産み</t>
        </is>
      </c>
      <c r="H1066" t="n">
        <v>29</v>
      </c>
      <c r="I1066" t="inlineStr">
        <is>
          <t>女房のお産がすむまで戦争を待ってくれてえ侍が大昔からいたと思うか。；あと数日で私もまたあのお産のひどい苦痛を味わなければならない。；もうすこしで、おまえを耳の穴もあけないままお産をさせるところだった。；お産の間手伝いに来てくれた婆やが、そのままいてくれることになった。；ぼくはその女がなん人子供を生み、お産はどんなだったろう、と思った。；お産のことは今日、これを書いている間も思いだすだけで辛くなります。；丁度姉さんがお産で帰って来た時は、私はこの家に居ませんでしたからね。；これまで、お産をするたんびに、その日は運よく日曜以外の日であった。；あまり大きく育ってからのお産となると、母親に負担がかかります。；お産のために実家に帰っている妻のことをチラリと頭に浮かべた。；お産して間もないのに大活躍して、逆上してしまったのでしょうね。；いま勇ちゃんのお母さんは、お産をして、まだ床についていられました。；お産のときがきても、彼女はだれにも手伝ってもらおうとしなかった。；それでお産の間だけお君はメリヤス工場を休まなければならなかった。；トシとるとお産が大変になるんだから、早いとこ産んでしまいなさいよ。；電報が届いたのがお産2ヶ月ぐらい前でして、発狂しそうになりました。；まるで、妊娠してお産をするために家を一軒もったようなものです。；そしてお産の時に少々雷が鳴りあるいは地震があってもこの名前は変えない。；朝起きてみると、産み落とした仔馬が元気に歩いている楽なお産もあった。；さう云ふ人に問ひたいのは、男の体質はお産ほどの苦痛に堪へられるか。；彼の妻は、彼の最初の子のお産で死んだので、彼は牧師館に一人で住んでいた。；おかげでその年は、子羊のお産の金が全然入らなかったそうである。；二時間のあいだ、お産はまだまだ手間取ることだろうと皆は思っていた。；この間も、内の部の奴が、奥さんがお産だというのに他の女に変な気を起こしてね。；七日の夜は中宮からのお産養であったから、席に列る人が多かった。；その間に妻君はお産をして、こんどその子も一緒に連れて来ることになっていた。；今度のお産でお生まれになったのもまた男宮であった。；要するに、お産と特殊民との間には、十分因縁のあった事が認められます。；お産のためにまだ若い身そらでこの寝台の上で死んでしまいました。</t>
        </is>
      </c>
      <c r="J1066">
        <f>HYPERLINK("https://www.weblio.jp/content/お産", "词义详情")</f>
        <v/>
      </c>
      <c r="K1066">
        <f>HYPERLINK("https://yourei.jp/お産", "查看例句")</f>
        <v/>
      </c>
    </row>
    <row r="1067">
      <c r="A1067" t="inlineStr">
        <is>
          <t>伯父</t>
        </is>
      </c>
      <c r="B1067" t="inlineStr">
        <is>
          <t>成功</t>
        </is>
      </c>
      <c r="C1067" t="inlineStr">
        <is>
          <t>読み方：おじ
《「小父(おじ)」と同語源》父母の兄や弟。また、父母の姉妹の夫。父母の兄には「伯父」、弟には「叔父」の字を用いる。⇔伯母(おば)。</t>
        </is>
      </c>
      <c r="D1067" t="inlineStr">
        <is>
          <t>伯父さま(3%)；伯父夫婦；伯父上；伯父様；伯父貴</t>
        </is>
      </c>
      <c r="E1067" t="inlineStr">
        <is>
          <t>叔父；おじさん；おじ；叔父さん；伯父さん</t>
        </is>
      </c>
      <c r="F1067" t="inlineStr">
        <is>
          <t>外伯父；チャールズ伯父；ベン伯父；一蔵伯父；リヒャルト伯父</t>
        </is>
      </c>
      <c r="G1067" t="inlineStr">
        <is>
          <t>伯父様の夢</t>
        </is>
      </c>
      <c r="H1067" t="n">
        <v>29</v>
      </c>
      <c r="I1067" t="inlineStr">
        <is>
          <t>養育された三戸町の伯父夫婦の元を離れ母と弟を捜すために、上京する。；父親が放蕩三昧の生活を送るようになったため、伯父のもとで育てられる。；ただし火明命は一書では兄とも伯父ともされ『古事記』には登場しない。；地域活動に熱心だった同市在住の伯父から大きな影響を受けて育った。；不二高等女学校を卒業すると同時に上京し、伯父夫婦の養子となった。；幼い頃より、近くの司祭をしていた伯父からラテン語などの教育を受けた。；後に伯父の紹介で求人広告を制作する会社に入社するも1ヶ月で退社。；もとは仏のような正直者であったが、7歳のとき伯父の馬を盗んで市で売った。；その伯父の影響でフランス宮廷に出入りするようになった。；退社の件を、当時社長になっていた伯父に話すと激怒されたという。；そのいたずらの被害者にはひ弱な伯父フェルディナント1世も含まれた。；このとき彦太郎の伯父は大胡を領していたが共に殺されたという。；長発は長職が生まれた翌年2月に早世し、家督は伯父の長寛が継いだ。；この場合、親族相盗例に従えば、祖母と伯父夫婦は処罰される事はない。；アルマ・マリーアの名は、伯父の妻であるアルマ・マーラーに由来する。；伯父はバイクをコレクションしており、それらにも乗ってよいという。；その伯父のおかげで、フランス宮廷に出入りするようになった。；家を出て伯父の司馬朗の後継となり、性質は温厚で父の面影があった。；祖父と伯父が指しているのをみてなんとなくルールを覚えた。；母と弟や妹など家族もいるので栄太郎は伯父の名である安兵衛を継いで一族の長となる。；伯父は手先がとても器用で、機関車の模型などを作る事も得意でした。；伯父が殺害された通化事件について、20代前半から調査を行っている。；父の兄弟は伯父・萬の他に、叔父・野村四郎、叔父・野村万之介がいる。；模範となる父はいなかったが製材業と銀行を営む伯父叔父たちに囲まれて育った。；作者がかつて寄宿していた伯父の息子公吉が通学のため作者の家で生活するようになった。；賢一郎は拍手の中、伯父や康子を大事にしていく、と自分の人生感を語る。；その南の町には異母妹や伯父の王一一家も住んでいた。；先夫がその女を不意に一度わが物にするようなふうに、作者はくふうしていた。；フィンセントは、伯父の作品をまとまった形で保存したいと希望した。</t>
        </is>
      </c>
      <c r="J1067">
        <f>HYPERLINK("https://www.weblio.jp/content/伯父", "词义详情")</f>
        <v/>
      </c>
      <c r="K1067">
        <f>HYPERLINK("https://yourei.jp/伯父", "查看例句")</f>
        <v/>
      </c>
    </row>
    <row r="1068">
      <c r="A1068" t="inlineStr">
        <is>
          <t>叔父</t>
        </is>
      </c>
      <c r="B1068" t="inlineStr">
        <is>
          <t>成功</t>
        </is>
      </c>
      <c r="C1068" t="inlineStr">
        <is>
          <t>読み方：おじ
《「小父(おじ)」と同語源》父母の兄や弟。また、父母の姉妹の夫。父母の兄には「伯父」、弟には「叔父」の字を用いる。⇔伯母(おば)。</t>
        </is>
      </c>
      <c r="D1068" t="inlineStr">
        <is>
          <t>叔父さま；叔父たち；叔父上；叔父夫婦；叔父様</t>
        </is>
      </c>
      <c r="E1068" t="inlineStr">
        <is>
          <t>伯父；おじさん；おじ；叔父さん；伯父さん</t>
        </is>
      </c>
      <c r="F1068" t="inlineStr">
        <is>
          <t>源叔父；弦叔父；外叔父；伯叔父；次郎叔父</t>
        </is>
      </c>
      <c r="G1068" t="inlineStr">
        <is>
          <t>叔父貴；叔父ワーニャ</t>
        </is>
      </c>
      <c r="H1068" t="n">
        <v>29</v>
      </c>
      <c r="I1068" t="inlineStr">
        <is>
          <t>もう一人の叔父であるが子供のころから2017年までコーチを務めた。；この叔父たちは怒って席を立ってフランスへ帰国してしまったほどだった。；この頃のダーウィン家は父や叔父の残した財産の運用で生計を立てていた。；アニメでは大会が中止になり、その後に叔父の孫悟天と戦い勝利している。；発狂の原因を探るために教師を務める叔父に事件の調査を依頼される。；そのため、母方の叔父であるが父の死後、コペルニクスと兄弟を育てた。；同じ長尾家出身の叔父・上杉謙信の養子となり、名を上杉景勝と改めた。；ただし、彼にサッカーの手ほどきをしたのは叔父ではなく、母親であった。；叔父は上記の結婚披露宴に出席していたエピソード等を披露した。；義氏には子がおらず、叔父新城村尚の子・尚国が当主として迎えられた。；祖母と叔父が経営していたライブ喫茶店舗兼住居に住んでいた。；叔父はフィリップスの創業者の祖父でマルクスの財政援助者でもあった。；上京後は叔父の養子となって太田稲造として英語学校で英語を学んだ。；この曲は河島が19才の時、彼の叔父の姿を見て作ったものである。；原作では、叔父の他に彼の妻も耳が不自由ながら健在のようである。；間に立ったのは布枝の母の弟で、この叔父の妻の実家が武良家の遠縁だった。；これがきっかけでニコルは叔父に復讐するため格闘技に興味を示した。；北海道巡業へ納谷を置いて行ったことを叔父から聞いた母は戸惑ったという。；シルウィアは双子を産み落とすが、怒った叔父の王は双子を川に流した。；母や叔父、叔母は元学校教員であり、2人の姉も高等学校教員となった。；東京への憧れがつのり、三日とあけず叔父・代準介に懇願の手紙を送った。；この日頃の不真面目さが原因で、叔父からは次第に信用されなくなっていった。；叔父は後になってこの事を聞き知り、そこで初めて驚き謝罪し、高く評価した。；叔父のような音楽関係職を希望しており、権利を勉強するため、大学は法学部。；設立時に自身より若い叔父のアフマド・ビン・サイードを新会社の会長にする。；家督は叔父の稲葉正直の家督2000石を継いでいた正親が継いだ。；叔父たちの攻撃を撃退した後、アンディジャンで父の葬儀を執り行った。；物心ついた頃から両親はおらず、祖母と叔父夫婦に育てられた。；こうした一部の家臣は、叔父の山野辺義忠が藩主たるべきと考えるようになった。</t>
        </is>
      </c>
      <c r="J1068">
        <f>HYPERLINK("https://www.weblio.jp/content/叔父", "词义详情")</f>
        <v/>
      </c>
      <c r="K1068">
        <f>HYPERLINK("https://yourei.jp/叔父", "查看例句")</f>
        <v/>
      </c>
    </row>
    <row r="1069">
      <c r="A1069" t="inlineStr">
        <is>
          <t>押し上げる</t>
        </is>
      </c>
      <c r="B1069" t="inlineStr">
        <is>
          <t>成功</t>
        </is>
      </c>
      <c r="C1069" t="inlineStr">
        <is>
          <t>読み方：おしあげる
［動ガ下一］［文］おしあ・ぐ［ガ下二］
１下から押して上へあげる。「船を砂浜へ—・げる」
２勢いがついて、物事の水準や度合いを高める。「思惑買いが株価を一気に—・げた」
３引き立てて、資格や身分を高くする。高い地位につかせる。「会長に—・げる」</t>
        </is>
      </c>
      <c r="D1069" t="inlineStr">
        <is>
          <t>上げる；応援；高める；アップ；増やす</t>
        </is>
      </c>
      <c r="H1069" t="n">
        <v>29</v>
      </c>
      <c r="I1069" t="inlineStr">
        <is>
          <t>これは速度が事故率を押し上げる唯一の要因では無いことを暗に示している。；その影響で一時的に他社の製品の販売を押し上げる現象が起きた。；それは、戦艦という存在を全く新たな次元へ押し上げる構想でもあった。；螺旋階段を登りきったところは、下から押し上げる形状の扉になっていた。；河川の水を上流に240m押し上げるほどのエネルギーをも発生させると言われる。；こうしたことがチュメニの人口と経済を押し上げる結果になった。；ブラジャーを上に押し上げると大きな、形のいいバストがこぼれ出した。；このことは、維管束内の水を押し上げる力である根圧の発生にもつながる。；窓にはガラス戸を開いて内側から庇の方に押し上げる木製の雨戸がついている。；周囲で螺旋の模様が回転し、それがこの箱を押し上げる力となっているように見える。；その板は押し上げる俺の手に合わせて、キィキィと付け根を鳴らした。；すると、最後の上へ押し上げる動作と同時に、補助演奏装置の画面が開いた。；しかし口調とは裏腹に眼鏡を押し上げると、じっとふたりを見つめた。；このドラマはローラの小説を世界的な人気作品に押し上げるきっかけとなった。；その結果、2013年頃には世界中の石油価格を押し上げる原因となった。；整えたばかりのピンクの爪の先で、薄い色の眼鏡の中央を押し上げる。；湯の中で治美は両の乳房の下に手を添えて、押し上げるようにした。；この温度は合金の化学組成を変えることで押し上げることができる。；嫉妬や見えや負けん気は、わたしをわたし自身よりも高く押し上げる。；夫の腰に両手を廻して、自分を押し上げるようにして恍惚に達することもおぼえた。；マンホールみたいな分厚い蓋を押し上げると、そこは森の狩猟小屋の裏だ。；ローマ教皇は自分の地位や立場を押し上げるために、そんなものを目指していたのではない。；ハリケーンの風は洪水をミシシッピー河の谷のずっと上流まで押し上げる。；そこでタネマフタは父を押し上げると、巨木で支えて落ちてこないようにした。；もちろんそれはほんの瞬間のことで、彼はすぐ唇を押し上げるような笑い方をしながら、夫人の眼を見て云った。；控えの力士が胡座を解いて、土俵の外にこぼれかかった頭を押し上げる。；真水とは経済対策のうち、実際に経済生産を押し上げる効果のある予算のこと。；笠の先を少し押し上げるようにして、長い間稲田を眺め回してから言った。；塞がりかけていた蓋を押し上げるようにその声は出て、迅人は驚いたように振り返った。</t>
        </is>
      </c>
      <c r="J1069">
        <f>HYPERLINK("https://www.weblio.jp/content/押し上げる", "词义详情")</f>
        <v/>
      </c>
      <c r="K1069">
        <f>HYPERLINK("https://yourei.jp/押し上げる", "查看例句")</f>
        <v/>
      </c>
    </row>
    <row r="1070">
      <c r="A1070" t="inlineStr">
        <is>
          <t>惜しい</t>
        </is>
      </c>
      <c r="B1070" t="inlineStr">
        <is>
          <t>成功</t>
        </is>
      </c>
      <c r="C1070" t="inlineStr">
        <is>
          <t>読み方：おしい
［形］［文］を・し［シク］
１大切なものを失いたくない。むだにすることが忍びない。もったいない。「—・い人物を失った」「時間が—・い」「名残が—・い」
２もう少しのところで実現されずに終わって心残りである。残念だ。「—・くも受賞を逃す」「最後の一筆の足りないのが—・い」「—・い試合を失う」
３いとしい。かわいい。
「汝、命と婦といづれかはなはだ—・しき」〈欽明紀〉
[補説]3は「愛し」を当てることが多い。
[派生]おしがる［動ラ五］おしげ［形動］おしさ［名］</t>
        </is>
      </c>
      <c r="D1070" t="inlineStr">
        <is>
          <t>惜しいこと(18%)；惜しいよう(5%)；惜しい事(3%)；惜しい気(3%)；惜しいもの(3%)</t>
        </is>
      </c>
      <c r="E1070" t="inlineStr">
        <is>
          <t>もう少し；いま一つ；もう一息；今一歩；もうちょい</t>
        </is>
      </c>
      <c r="F1070" t="inlineStr">
        <is>
          <t>実に惜しい；まことに惜しい；いかにも惜しい；ちょっと惜しい；なごり惜しい</t>
        </is>
      </c>
      <c r="H1070" t="n">
        <v>29</v>
      </c>
      <c r="I1070" t="inlineStr">
        <is>
          <t>それは惜しいことをしたなあ、もう少し前にこのことがわかったらなあ!；自分は別れも惜しい、それに少し話もあるからと思って、手紙を書いた。；あれは古いだけにいい時計だつたと、惜しい氣もちになつて思ひ出した。；動物園の帰りに池のほとりを通るたびに、妻は惜しそうな顔で見ていた。；まるで考えてもいないことだったし、当時の私には一日が惜しかった。；ナミの白い肌が惜し気もなく日に晒され、辺りの注目を集めているのだ。；あのふたりの会話を聞くためならなにをくれても惜しくなかったな。；それはどうもお名残り惜しゅうございますというので勘定書が作られた。；田舎の貴族が代金惜しさに、ごねようとしているとでも思ったのだろう。；自分の命が惜しくなって逃げ出した所で、一体誰が非難するというのか。；読む前から分りきったような物ばかりに、潰している時が惜しいと思う。；惜しいことにこの美しさを見るものが、月と、水とのほかにはありません。；少し痩せればもっと魅力的なのにと他人事ながら惜しく思う程度だった。；それを惜しがるには、あまり我々の心が病弟の上にのみ注がれていた。；それを見るためなら、こっちから金を出しても惜しくねえくらいだぜ。；それにあの子供もみめ美しゅう覚えましたから惜しいことはありませぬ。；自分の腹を痛めた子でなくとも、女親はやはり娘が惜しいのであろう。；惜しいことは、彼は問題を「人の善意」のみで解決しようとしたことだ。；幸いにも、もはや彼の評判は失墜しても大して惜しいものではなかった。；それをおおかみにやってしまうのはまったく惜しいことでありました。；惜しい人ではあるが、もう舞台の上に長い寿命はあるまいと思われた。；何人かは名残り惜しそうに八重垣にもう一発くらわせてから席に向かう。；こんなに見事な製品を人に見せるのが惜しいと思ったほどである。；戦後になつてからは天津はどこにも見えなくなつたが、惜しいやうに思ふ。；どうやらフリーマントルは命が惜しいとみえ、約束を守っているらしい。；源氏の君を御婿君にできなかったことを惜しがっていらっしゃいましたよ。；それを口に出していうのが、なんだか惜しいような気持がしてなりません。；あんまり静かな日でございますものねえ家の中に居るのは惜しゅうございますわ。；この城を枕にこの場に死んでも惜しくないというほどな幸福感だった。</t>
        </is>
      </c>
      <c r="J1070">
        <f>HYPERLINK("https://www.weblio.jp/content/惜しい", "词义详情")</f>
        <v/>
      </c>
      <c r="K1070">
        <f>HYPERLINK("https://yourei.jp/惜しい", "查看例句")</f>
        <v/>
      </c>
    </row>
    <row r="1071">
      <c r="A1071" t="inlineStr">
        <is>
          <t>おじいさん</t>
        </is>
      </c>
      <c r="B1071" t="inlineStr">
        <is>
          <t>成功</t>
        </is>
      </c>
      <c r="C1071" t="inlineStr">
        <is>
          <t>読み方：おじいさん
老年の男性を親しみ、また敬っていう語。⇔御婆(おばあ)さん。</t>
        </is>
      </c>
      <c r="D1071" t="inlineStr">
        <is>
          <t>おじいさんおばあさん；おじいさんみたい</t>
        </is>
      </c>
      <c r="E1071" t="inlineStr">
        <is>
          <t>祖父；翁；爺さん；爺；じいさん</t>
        </is>
      </c>
      <c r="F1071" t="inlineStr">
        <is>
          <t>悪いおじいさん；よいおじいさん；宋おじいさん；しんせつなおじいさん；貧乏なおじいさん</t>
        </is>
      </c>
      <c r="G1071" t="inlineStr">
        <is>
          <t>おじいさん先生；おじいさんのランプ</t>
        </is>
      </c>
      <c r="H1071" t="n">
        <v>29</v>
      </c>
      <c r="I1071" t="inlineStr">
        <is>
          <t>おじいさんは、どこをどう歩いているのだか私にはわかりませんでした。；何十年このかたおじいさんはこの柿をたべなんだ年は一年もないんだぞ。；おじいさんは、若者の相手にもなれば、また子供らの相手となりました。；過去の話を質問するけんじに、おじいさんは遠い昔の記憶を語り始める。；父親は、だんだん年をとって、ついにおじいさんになってしまいました。；おまえのおじいさん夫婦には、お父さんのほかに子どもが何人かいたか?；色のさめた赤毛布を腰のまわりにまいた、鼻の赤いおじいさんもあった。；あのおじいさんのところへ行くくらいならどこかで女中にでもなる、とも。；その中に小さな小屋をつくって、三人のおじいさんが住んでいました。；二人がおばあさんになり、おじいさんになっても抱かれているのである。；どんな風に奇妙なのか、ただ取次に出た少女が奇妙なおじいさんと言つた。；腰が二つにおれたように、まがった、もう七十ぐらいのおじいさんです。；おじいさんは、今度は牛の数を一と息でお言いなさいと言いました。；両親は、おじいさんの世話だから、安心してすぐにやることに決めました。；それにつけてもおじいさんは、二人の孫たちをかわいがったのであります。；ネルロの考えている未来は、おじいさんの考えとは全くちがっています。；おじいさんは、この山中にただ一人住んでいる不思議な人間でありました。；おじいさんが帰ってきなすったと聞いて、太郎は大喜びでありました。；おじいさんは、そうした子供たちには、売りたいとは思いませんでした。；それでなくてさえ、目のよくないおじいさんは、どんなに困ったでしょう。；六十を二つ三つすぎたらしく見えるおじいさんと、三十前後の女客と。；ぼくは、おじいさんの、気にいるようにしたいんだが、できないんですよ。；そんな退屈なおじいさんなんかどこにでも好きな所にいるがいいわ。；むかし昔、あるところに石みたようにとしをとったおじいさんがありました。；ある日のこと、おじいさんは、孫たちに手を引かれて歩いていました。；おじいさんは、実のついたざくろから先に入れられたであろうと思いました。；おじいさんは、だれが、その御輿の中に入っているのだろうと思いました。；あのさしこのおじいさんは、まさか出来ないことをいうはずがない。；けれど、へびは冬は寒がりですから、おじいさんには向きませんでした。</t>
        </is>
      </c>
      <c r="J1071">
        <f>HYPERLINK("https://www.weblio.jp/content/おじいさん", "词义详情")</f>
        <v/>
      </c>
      <c r="K1071">
        <f>HYPERLINK("https://yourei.jp/おじいさん", "查看例句")</f>
        <v/>
      </c>
    </row>
    <row r="1072">
      <c r="A1072" t="inlineStr">
        <is>
          <t>押し入れ</t>
        </is>
      </c>
      <c r="B1072" t="inlineStr">
        <is>
          <t>成功</t>
        </is>
      </c>
      <c r="C1072" t="inlineStr">
        <is>
          <t>読み方：おしいれ
家屋内の、ふすまなどで仕切り、寝具・道具などを入れておく所。押し込み。</t>
        </is>
      </c>
      <c r="D1072" t="inlineStr">
        <is>
          <t>戸棚；押入れ；キャビネット；押し込み；クローゼット</t>
        </is>
      </c>
      <c r="G1072" t="inlineStr">
        <is>
          <t>押し入れよ</t>
        </is>
      </c>
      <c r="H1072" t="n">
        <v>29</v>
      </c>
      <c r="I1072" t="inlineStr">
        <is>
          <t>彼女はそのまま俺の前を通りすぎ、窓の下にある押し入れの前に膝をつく。；しかし母親には秘密だった為、母親のいる時は押し入れに隠していた。；声のした方向はぼくが背にしていた押し入れの中のようなんです。；おし入れの 戸には カギが ないので おしあけて 出て行きました。；あの家の押し入れへ入れたままで、二人は無造作に出て来たからであった。；押し入れの上の段、辻村は膝を抱えるようにしてそこに寝かされていた。；もともとこの部屋の押し入れにあったものなので、何年前の物かもわからない。；いつも布団をしまっている押し入れには今、わたしが入っているのだ。；ゆっくりと映像通りならば親方が潜んでいるであろう押し入れへ向かって。；八歳になる娘が触って壊したりしないよう、押し入れの奥に隠してある。；Dが新たに地を蹴る前に、彼は肩から扉の内側へ、我が身を押し入れた。；一つは例の八畳のうらにある押し入れのなかで、これは血にそまっていません。；わたしは押し入れから姉の使っていた布団を出して、弟のおなかに掛けた。；朝になってそれに気付いた父親は母親の死体を押し入れに隠した。；だからあたし、お箱の中へ入れて、押し入れの中へかくしておいたの。；それを聞くと、二人はあわてて足音を盗みながら押し入れの中へかくれた。；これまた押し入れのように真んなかに仕切りがあって、二段になっている。；押し入れの整理をしていたら中学の時のノートが出てきました。；わたしの家にもこういう小さな押し入れのようなものがある。；六年後の今もそのまま私のマンションの押し入れの中にしまい込まれている。；肇は押し入れの中で寝ていたことだけは合宿終了まで言わなかった。；押し入れから出ようとしたとき、鉄階段を上ってくる足音が聞こえてきました。；女中は蒲団を押し入れにしまい、テーブルの上に朝食の用意を始めました。；冷蔵庫にしても押し入れにしても、整理の仕方がどこかわざとらしいわけ。；伯母のいた部屋には、窓の下にそなえつけの小さな押し入れがあった。；幸いなことに、確かに押し入れの位置は春香の言う通り出入り口のすぐ近くだ。；するとまるで次の出番を待っていたかのように視界に入ってくるのが、押し入れ。；僕は、こういったものを集めては、行李に入れて押し入れにしまっておいた。；それが車の窓のガラスに沿って、すべるようにしてドアの内部に押し入れられた。</t>
        </is>
      </c>
      <c r="J1072">
        <f>HYPERLINK("https://www.weblio.jp/content/押し入れ", "词义详情")</f>
        <v/>
      </c>
      <c r="K1072">
        <f>HYPERLINK("https://yourei.jp/押し入れ", "查看例句")</f>
        <v/>
      </c>
    </row>
    <row r="1073">
      <c r="A1073" t="inlineStr">
        <is>
          <t>教え</t>
        </is>
      </c>
      <c r="B1073" t="inlineStr">
        <is>
          <t>成功</t>
        </is>
      </c>
      <c r="C1073" t="inlineStr">
        <is>
          <t>読み方：おしえ
１教えること。教育。「—を受ける」
２教える事柄・内容。教訓。戒め。「父母の—に従う」
３宗教の教えるところ。教義。「キリストの—」</t>
        </is>
      </c>
      <c r="D1073" t="inlineStr">
        <is>
          <t>教えてくれ(14%)；教えられる(2%)；教えてやる；教えてください；教えてもらい</t>
        </is>
      </c>
      <c r="E1073" t="inlineStr">
        <is>
          <t>示し；教育；指導；育成；教義</t>
        </is>
      </c>
      <c r="F1073" t="inlineStr">
        <is>
          <t>教えこま；教えてもらえ；教えてやり；教え込ん；教えて欲しい</t>
        </is>
      </c>
      <c r="G1073" t="inlineStr">
        <is>
          <t>教え子；教えよ；教えろ；教えれ；教え諭し</t>
        </is>
      </c>
      <c r="H1073" t="n">
        <v>29</v>
      </c>
      <c r="I1073" t="inlineStr">
        <is>
          <t>特に当時のドイツからは様々な人物が、教えを乞いに彼のもとを訪れた。；実際のペラギウスが説いた教えはどのようなものかは分かってはいない。；常に私たちは、私たちの子供たちのぶんを残すよう教えられてきました。；彼女に勝ちの味を教えてあげられなかったことには悔しさも感じています。；人目につかないよう夜に教えたり、場所も人里離れた墓地などで教えた。；村の子供たちに読み書きを教えて暮らしていた半蔵は、意を決して上京。；また、大人が子供に教えられ、成長していく姿を描いた作品でもある。；当時の森監督は野球は教えたけど、社会人としての常識を教えなかった。；「法」を通し、語られた教えの中に肉身の仏をみようとしたのである。；本人へのインタビューによると全世界で3千人の弟子を教えたという。；斎藤は、子供たちにも剣術や武士の心得を教えていたと考えられている。；また、日本では個人の思想や教えによってグループが形成されている。；独学だったシベリウスにはじめて正式に作曲を教えたのは彼であった。；現在の日本の学校教育では文字の中では「平仮名」が最初に教えられる。；内道がブッダの教えであり、外道がブッダの教えから外れたものである。；プロ入りした時、野球の何たるかを教えてくれた恩人ともいえる方でした。；やがてラーマクリシュナの教えを聴くために、ある程度の人が集まった。；これが後500年間にわたってヨーロッパの大学で教えられたという。；曲も英国人が作曲した別曲で、小学校では当初こちらが教えられた。；さらに、イスラム教の教えの中に傲慢であってはならないと記されている。；サクソルンは1846年にすでにフランスの軍楽学校で教えられていた。；同大学では専門の植物学だけでなく、自然科学一般を英語で教えた。；親ができなかったことを球団が教えないといけなかった。；ここで校長は「これ以上教えられることはない」と述べたようである。；両親も教育者であったマリは、その人生において多くの人々を教えた。；マズダクの教えは、一切の平等を説く社会的抗議運動だったと思われる。；また、それに関する注釈を加えてユダヤ教の教え全体を指す場合もある。；乗車時に運転手に依頼すれば、特定の目的地に到着した際に教えてはくれる。；執筆活動の傍ら、山口女子大学では、児童文学を教えていたこともある。</t>
        </is>
      </c>
      <c r="J1073">
        <f>HYPERLINK("https://www.weblio.jp/content/教え", "词义详情")</f>
        <v/>
      </c>
      <c r="K1073">
        <f>HYPERLINK("https://yourei.jp/教え", "查看例句")</f>
        <v/>
      </c>
    </row>
    <row r="1074">
      <c r="A1074" t="inlineStr">
        <is>
          <t>教え子</t>
        </is>
      </c>
      <c r="B1074" t="inlineStr">
        <is>
          <t>成功</t>
        </is>
      </c>
      <c r="C1074" t="inlineStr">
        <is>
          <t>読み方：おしえご
教師・師として、自分が教えたことのある相手。また、現在教えている生徒。弟子。</t>
        </is>
      </c>
      <c r="D1074" t="inlineStr">
        <is>
          <t>教え子たち(9%)；教え子達</t>
        </is>
      </c>
      <c r="F1074" t="inlineStr">
        <is>
          <t>主な教え子；著名な教え子</t>
        </is>
      </c>
      <c r="H1074" t="n">
        <v>29</v>
      </c>
      <c r="I1074" t="inlineStr">
        <is>
          <t>彼が教え子の中で特に目をかけていたのは、ジャン・ジェルソンである。；この数は空前絶後とされ、多くの教え子が日本地理学の発展に貢献した。；教え子には伊原春樹がいて、伊原は著書の中で最初の恩人と記している。；突入現場でウォルターは偶然にも元教え子のが逃亡する姿を目撃する。；教え子の浜野は師の訃報で悲しみに暮れながらも、台湾での事業を継続。；父はかつて小学校の教師をしており、当時の教え子に伊藤聖史が居た。；教え子の間では、声が小さく講義はかなり難解であったと伝えられている。；山本舜勝は、父が陸軍士官学校で教官を務めていた頃の教え子にあたる。；ベルリン・フィルハーモニー管弦楽団に何人もの教え子がいるという。；当時の彼の教え子の何人かは、後に重要な人類学者になっている。；その黒く焼け残った壁には家族や教え子へ宛てた伝言が書き連ねられた。；彼の教え子にはまず第一に地理の知識を叩き込ませていたという。；数か月後には、また別の教え子が書いた同様の解説がフランスの雑誌に掲載された。；教え子には、大正大学教授をはじめ仏教研究の道を進んだ人物が多い。；ジャガーも立派に育った教え子の姿に涙を流していたという。；大学の教え子だった声優の鈴木弘子と結婚していたことがある。；また彼の教え子と友人の多くはユダヤ人であり、血縁者であった。；教え子には先述のように後にプロで活躍した選手や、サッカー指導者となった人も多い。；相田博士の元教え子の主催するパーティの会場で殺人事件が発生する。；宏文学院での教え子には後に文豪となる魯迅や革命家の秋瑾らがいた。；祖母の教え子で、祖母から離れの鍵をもらっていたと言う。；この日は誰でも自由に来てよいことにしたので、かつての教え子以外の学生やその他の人物も多く来るようになった。；老いてからは、教え子の一人であるディン・トゥー・スアンを養子にした。；当時の教え子たちを同番組に出演させていた。；そこに野田の元教え子である克巳が現れてジュンの事情を説明する。；が、自身よりも教え子を選んだ鳳は柊との別れを選択してしまう。；時間旅行をするうちに教え子にそれが発覚し、仕方なく同行させたこともあった。；以降は同代表及びコーチとして活躍、教え子に田中陽子や原川力がいる。；後に英文学者として著名になるデクラン・キバードは教え子の一人である。</t>
        </is>
      </c>
      <c r="J1074">
        <f>HYPERLINK("https://www.weblio.jp/content/教え子", "词义详情")</f>
        <v/>
      </c>
      <c r="K1074">
        <f>HYPERLINK("https://yourei.jp/教え子", "查看例句")</f>
        <v/>
      </c>
    </row>
    <row r="1075">
      <c r="A1075" t="inlineStr">
        <is>
          <t>教える</t>
        </is>
      </c>
      <c r="B1075" t="inlineStr">
        <is>
          <t>成功</t>
        </is>
      </c>
      <c r="C1075" t="inlineStr">
        <is>
          <t>読み方：おしえる
［動ア下一］［文］をし・ふ［ハ下二］
１知識・学問・技能などを相手に身につけさせるよう導く。教育する。教授する。「英語を—・える」「イヌに芸を—・える」「学校では三年生を—・えている」
２知っていることを相手に告げ知らせる。「道を—・える」「花の名所を—・える」
３ものの道理や真実を相手に悟らせて導く。戒める。教訓を与える。「父の生き方に—・えられた」「今回の事件が我々に—・えるところは多い」
[補説]室町時代以降はヤ行にも活用した。→教ゆ</t>
        </is>
      </c>
      <c r="D1075" t="inlineStr">
        <is>
          <t>教えるべき；教えるべく；教えるよう命じ</t>
        </is>
      </c>
      <c r="E1075" t="inlineStr">
        <is>
          <t>教育；指導；案内；伝える；授業</t>
        </is>
      </c>
      <c r="H1075" t="n">
        <v>29</v>
      </c>
      <c r="I1075" t="inlineStr">
        <is>
          <t>練習のために練習するのではなく試合で感情が爆発するように教える。；縁あって入った球団の指導者は何をしていいかいけないかを選手に教えるべき。；日本スペイン語化計画は街行く人にスペイン語の単語を教えるコーナー。；母猫の場合は仔猫に獲物を与えることで何が食べられるのかを教える。；道教では、道は学ぶことはできるが教えることはできないと言われる。；有名な例外は、家族は自分の食料を育てるべきだと教える神農であった。；姪の住所を教えろといわれて、素直に応じてくれるかどうかわからない。；指導を行う場合は忠誠度は変化しないが、何を行うべきか教える必要がある。；そこには、殺す者も殺される者もなく、学ぶ者も教える者もいない。；助言とは助けになるような意見を教えることないしはその意見を指す。；近年まで教育は子供や他人に教えるあるいは教わるという形態が主だった。；初期の定住者は学科をすべて日本語で教える並行教育システムを整備した。；柔道を教えることは続けていたものの、生徒のほとんどは日本人の子だった。；そんな日記の存在を知ったらパスを教えろと言ってくる人間が殺到しそうだ。；もう一つは宗教についての基本的な知識を教えることがもう一つの課題としている。；その口語文法においては、この変則性を例外であると教えることになる。；食料のためじゃなく、誰がリーダーに相応しいかを教えるために戻るんだ!；また、書博士の職務も本科の学生に書を教えることが主であったようである。；後半は探求者がその息子に、アラブ文明の現代科学への貢献を教える。；そして私に、テルコちゃんにきちんとお茶のいれ方を教えろというのである。；洋式数学の教師が育成されるまで当分の間珠算を教えることとなった。；社会を攻撃する者たちには、攻撃を始める時が人権の終わる時だと教えるべきだ。；幼少より、学問より武術を好み、父楊露禅が一を教えると三を理解した。；そして子供が青年になった時、自らの死をもって子供に命の尊さを教えるでしょう。；ウィシャート師は、大学で進化論を教えることを声高に支持していた。；本来は運動神経の鈍い人にダンスなどを教えるための道具だという。；さあ、おまえたちの宇宙船を手にいれるには、どう行けばいいか教えろ。；はじめは、英語のみを教えていたが、後に教える科目を拡充している。；ビーストは獣化が進む前は高校で登場人物達を教える教師であった。</t>
        </is>
      </c>
      <c r="J1075">
        <f>HYPERLINK("https://www.weblio.jp/content/教える", "词义详情")</f>
        <v/>
      </c>
      <c r="K1075">
        <f>HYPERLINK("https://yourei.jp/教える", "查看例句")</f>
        <v/>
      </c>
    </row>
    <row r="1076">
      <c r="A1076" t="inlineStr">
        <is>
          <t>お辞儀</t>
        </is>
      </c>
      <c r="B1076" t="inlineStr">
        <is>
          <t>成功</t>
        </is>
      </c>
      <c r="C1076" t="inlineStr">
        <is>
          <t>読み方：おじぎ
［名］(スル)《「辞儀」の美化語》
１頭を下げて礼をすること。頭を下げてするあいさつ。「深々と—する」
２辞退。遠慮。
「膳(ぜん)をすゑるものを—は無躾(ぶしつけ)だのと」〈滑・浮世風呂・二〉
３あいさつ。
「おもしろい—がござりまする」〈狂言記・吟じ聟〉</t>
        </is>
      </c>
      <c r="D1076" t="inlineStr">
        <is>
          <t>お辞儀をいたしまし</t>
        </is>
      </c>
      <c r="E1076" t="inlineStr">
        <is>
          <t>挨拶；会釈；一礼；敬礼；目礼</t>
        </is>
      </c>
      <c r="F1076" t="inlineStr">
        <is>
          <t>うやうやしくお辞儀；丁寧なお辞儀；軽くお辞儀；深くお辞儀；ぺこりとお辞儀</t>
        </is>
      </c>
      <c r="H1076" t="n">
        <v>29</v>
      </c>
      <c r="I1076" t="inlineStr">
        <is>
          <t>青年が異性の一人に向ってお辞儀をしているのを見ることさえ稀である。；児夫婦は泣きながらお辞儀をしたがその瞬間に見えなくなってしまった。；それから彼は、小さな緑の頭が風に動いてる藪に向かってお辞儀をした。；ドアのところでもう一度お辞儀をしたとき、彼は夫人の目に出くわした。；それで年の大きい白鳥達まで、この新しい仲間の前でお辞儀をしました。；ぱっと眼の前が燃えてもう少しでお辞儀をするのを忘れるところだった。；朝鮮半島では正座でお辞儀をするのが最上級の感謝の挨拶とされている。；帽子を手に戸口に立ち、他の客によそよそしいお辞儀をしただけだった。；茄子や胡瓜に水をやつてゐる男が、彼女の姿を見て叮嚀にお辞儀をした。；おれが呼んだら、男の子らしい軽袗などをはいて、お辞儀に出て来たよ。；「お前の齢を九十にしてやる」 少年は喜んでお辞儀をして帰ってきた。；二十五六位の髪の薄い女で、お辞儀をしながら、横目で石田の顔を見る。；その女は頸がかたまってしまったようなぎこちないお辞儀をしていった。；お辞儀の持続時間や程度は、年齢や地位等の多くの要因に左右される。；もう一つ扉があり、黒い人影がそれを開いて低く低くお辞儀をした。；ゲストは、丘を上る前にヒッポグリフにお辞儀をするように指示される。；ふたりの医者もいっしょにお辞儀をして、すぐ仕事についての相談をした。；彼は留吉の前で立ち止まると、肩で息をしながらペコンとお辞儀をした。；外国人も日本の哨兵にお辞儀を強いられ、腰まで裸にさせられた男女もいた。；蠍が沢山の手をついて平伏して薬をのみそれから丁寧にお辞儀をします。；それ丈け分ったから、グッドバイと言ってお辞儀をしたら笑っていたぜ。；第一日はそれ位にして、別れがけに特別な振幅を含んだお辞儀をする。；お杉は一寸お辞儀をしたが耳を中心に彼女の顔がだんだん赭くなった。；これも最近はやらなくなっていて、最近ではお辞儀をして終わる。；目明良助の名を知っているらしく、揃ってペコペコとお辞儀をし始めた。；音楽が始まり、それぞれの組が入り乱れてお辞儀をしながら動きだした。；アンリは深くお辞儀すると、こう考えながらアランソン公の部屋を出た。；「たれだ、そこでなにをしているのだ」 少年は黙ってお辞儀をした。；リカ子は神前から戻って来ると私にそこの神前へいってお辞儀をせよという。</t>
        </is>
      </c>
      <c r="J1076">
        <f>HYPERLINK("https://www.weblio.jp/content/お辞儀", "词义详情")</f>
        <v/>
      </c>
      <c r="K1076">
        <f>HYPERLINK("https://yourei.jp/お辞儀", "查看例句")</f>
        <v/>
      </c>
    </row>
    <row r="1077">
      <c r="A1077" t="inlineStr">
        <is>
          <t>押し切る</t>
        </is>
      </c>
      <c r="B1077" t="inlineStr">
        <is>
          <t>成功</t>
        </is>
      </c>
      <c r="C1077" t="inlineStr">
        <is>
          <t>読み方：おしきる
［動ラ五（四）］
１押しつけて切る。「厚い紙を—・る」
２反対・抵抗・困難などを退けて目的を達しようとする。「反対派の意見を—・って実行した」
３「切る」を強めていう語。断ち切る。
「自ら髻(もとどり)—・りて」〈太平記・二九〉</t>
        </is>
      </c>
      <c r="D1077" t="inlineStr">
        <is>
          <t>押し切るしかない</t>
        </is>
      </c>
      <c r="E1077" t="inlineStr">
        <is>
          <t>押し通す；強行する；ねじ込む；駄々をこねる；ゴネる</t>
        </is>
      </c>
      <c r="H1077" t="n">
        <v>29</v>
      </c>
      <c r="I1077" t="inlineStr">
        <is>
          <t>ただそのいきほひで最後の瞬間まで押し切り得るかどうかが疑問だつた。；茶州での茶一族の権限は絶対ですから、悠舜の奴も押し切られかねない。；それが一緒に暮らしている女性の反対を押し切ってまでやろうとしている。；大場は講師だった当時、J子の親からの強い反対を押し切って結婚した。；自身の処遇に不満を持っていた経言も、父を押し切る形でこの話に乗った。；だが、反対したのは俺と彼女だけで、三対二で押し切られてしまった。；このまま押し切られてしまうような気が、どうもしていたのだった。；両親の反対を押し切り、男性が婿養子となることを条件での結婚であった。；そしてそれを押し切って進むのは、その人の努力に期待する他はないのである。；逃げでレース序盤から先頭に立つと、そのまま押し切り3勝目を挙げた。；不安を感じているのだと思ったが、ここは何としても押し切らねばならなかった。；そんな甘いことを考えている女なんて、若さで押し切るしかありません。；両親は娘が普通の短大に進むことを希望していたが、その反対を押し切った。；両親の反対はなんとか押し切ったとして、最終的には僕は長男なんだ。；押し切られる形で、この日からレッスンを開始することになってしまった。；高校を卒業すると、両親の反対を押し切って東京の短期大学に入った。；だが、反対したのは俺とサチだけで、三対二で押し切られてしまった。；中国共産党はこれに反対したが、コミンテルンはその方式を押し切った。；それでもフセインの強い思いに押し切られ、一家はトルコへ行くことに。；因は、父の反対を押し切って行動を起こした、彼女にあったのである。；小間物商の家庭に生まれ、一族の反対を押し切って芸術家への道を選んだ。；きまりの悪さを押し切って言わなければ言えないものだから、言ったまでだ。；満足に動けるのは数人しかいない松谷組の連中は、すぐに押し切られる。；これはローレンスとデイビスの派からの反対を押し切ったものだった。；後は、ニルフィリアの怒りに押し切られないようにすることを考えなくては。；その大半が、早めに先頭に立って押し切る積極策での勝利であった。；何の話だと思っているのかわからないけど、このまま押し切ればうまくいきそうだ!；レースでは先手を取るとそのまま押し切って優勝し、新馬勝ちを飾った。；夫の松男は映画館の運営に反対したが、眞弓は夫を説得して押し切っている。</t>
        </is>
      </c>
      <c r="J1077">
        <f>HYPERLINK("https://www.weblio.jp/content/押し切る", "词义详情")</f>
        <v/>
      </c>
      <c r="K1077">
        <f>HYPERLINK("https://yourei.jp/押し切る", "查看例句")</f>
        <v/>
      </c>
    </row>
    <row r="1078">
      <c r="A1078" t="inlineStr">
        <is>
          <t>押し込む</t>
        </is>
      </c>
      <c r="B1078" t="inlineStr">
        <is>
          <t>成功</t>
        </is>
      </c>
      <c r="C1078" t="inlineStr">
        <is>
          <t>読み方：おしこむ
［動マ五（四）］
１押して中へ入れる。無理に入れる。詰め込む。「本をかばんに—・む」
２無理に入り込む。押しかける。
「いきなり細君が—・んで来た」〈秋声・爛〉
３強盗に入る。「二人組が—・む」
［動マ下二］「おしこめる」の文語形。</t>
        </is>
      </c>
      <c r="D1078" t="inlineStr">
        <is>
          <t>乗り込む；入り込む；詰める；踏み込む；詰め込む</t>
        </is>
      </c>
      <c r="F1078" t="inlineStr">
        <is>
          <t>入れて押し込む</t>
        </is>
      </c>
      <c r="H1078" t="n">
        <v>29</v>
      </c>
      <c r="I1078" t="inlineStr">
        <is>
          <t>忘れたい昔に全て押し込むのなら、その中にわたしは含まれるはずだもの。；と思う間もなく私は、そのマンションのエレベーターの中に押し込まれた。；すぐ取りに来るつもりだったら、こんなに奥まで押し込まないんじゃない?；そこには、なんだかわからないものがぎゅうぎゅうに押し込まれている。；その根元の間に押し込まれるように、五十絡みの男が転がっていたのだ。；そして船が進んだから、張り出している板の下へ押し込まれたに違いない。；キーを叩きはじめると、押し込む途中の引っかかりの強さが気になった。；何処かの病院みたいに、開けたら人間が押し込まれていないことを祈ろう。；コクピットに押し込まれてから、ずっと誰かの言われるままになってきた。；あの時、彼女は口の中に押し込まれた男の舌を噛み切ろうとしたのだ。；プラネリアムの活動範囲を狭いエリアに押し込むことにようやく成功した。；ほとんど横になるゆとりもないような狭い部屋に囚人が押し込まれるのだ。；後半も韓国が押し込む展開となり、日本は必死に耐える時間が続いた。；差し手の返しが多少甘くても、胸を合わせて体力で押し込む場合が多い。；ロンドンのスラム街の二階の寝室に押し込まれて本を読んでいる少年。；押入れの中に押し込まれていた汚れ物が崩れ落ちてきたのである。；第2コーナーでは他に押し込まれて、位置を下げ中団後方の追走だった。；弥生は手に押し込まれた物を見て、初めて作業に気付いたかのようだった。；後者の文章が意識の中に押し込まれてくるにつれ、相違が彼を当惑させた。；俺はそのままパンサーの車内に叩きつけられるようにして押し込まれた。；押し込むように無理に入れても、戻って来て信吉の肩の上に飛付くのです。；杉夫は来るたびに、ハンカチをゆき子の口のなかへ押し込むやうにした。；裂け目に体を押し込むようにして入ると、中は薄暗い涼しい洞窟だった。；まるで乗客たちはケースの中にスキなく押し込まれた色鉛筆のようだ。；あんな暗い蟲倉に押し込まれて、毎日毎日オモチャみたいに扱われてた!；ベッドが置かれた部屋の隅に、押し込むように置かれた小さな机。；画面は右スティックを押し込むことで拡大率を変えることができる。；どうしようかと判断する前に、おれは女を押し込むようにして、車に乗っていた。；家の近くを走る私鉄の駅で朝のラッシュ時に、乗客を電車に押し込む仕事。</t>
        </is>
      </c>
      <c r="J1078">
        <f>HYPERLINK("https://www.weblio.jp/content/押し込む", "词义详情")</f>
        <v/>
      </c>
      <c r="K1078">
        <f>HYPERLINK("https://yourei.jp/押し込む", "查看例句")</f>
        <v/>
      </c>
    </row>
    <row r="1079">
      <c r="A1079" t="inlineStr">
        <is>
          <t>おじさん</t>
        </is>
      </c>
      <c r="B1079" t="inlineStr">
        <is>
          <t>成功</t>
        </is>
      </c>
      <c r="C1079" t="inlineStr">
        <is>
          <t>読み方：おじさん
「おじ（伯父・叔父）」を敬い親しんでいう語。⇔おば（伯母・叔母）さん。</t>
        </is>
      </c>
      <c r="D1079" t="inlineStr">
        <is>
          <t>おじさんたち(3%)；おじさんおばさん；おじさんみたい；おじさん達；おじさんとこ</t>
        </is>
      </c>
      <c r="E1079" t="inlineStr">
        <is>
          <t>叔父；伯父；おじ；叔父さん；伯父さん</t>
        </is>
      </c>
      <c r="F1079" t="inlineStr">
        <is>
          <t>バーノンおじさん；ウィーズリーおじさん；大おじさん；ベネディクトおじさん；ジョナサンおじさん</t>
        </is>
      </c>
      <c r="H1079" t="n">
        <v>29</v>
      </c>
      <c r="I1079" t="inlineStr">
        <is>
          <t>ここには岩魚釣のおじさんと強力のような人と若い主人と三人いました。；かつて総理大臣をした人に、おじさんと同じ名前の人がいたように思う。；おじさんはこの銃の半分くらいの背の頃から、お祈りをしたことがない。；国にいたときおじさんはなにをしていたか、それはつい聞いていない。；彼はおじさんと一緒に寝はするが、それは、気持よく眠るためではない。；おじさんは面目ながって、もう店へは帰れないと気の弱いことを云った。；同年12月にはサブチャンネルへんな魚おじさんのひとり言を開設した。；弟妹に会ったようではなく、おじさんおばさんに会ったような気がした。；私の咳はかなり有名で、近所の子供はコンコンのおじさんと呼んでいる。；おじさんが国を飛び出したときは、娘さんはまだ母親のはらのなかにいた。；わたしたちはガスパールおじさんが働いている二層目の小屋に着いた。；けれど、そこへゆくよりか、おじさんの話のほうがおもしろいのでした。；しかし、トモの警告をおじさんが誤解していたことが間もなく分かった。；方々の待合や何かの様子を覚えたのもやっぱりおじさんのおかげですわ。；おじさんは、いつも買ってくれる子供の顔は、よく覚えているのでしょう。；作家・近松秋江は妹の夫の叔父に当たり、おじさんと呼んで親しかった。；それにしても、おじさんは、国を出てから三十年にもなるわけであった。；ある日、兵隊服を着た、二人連れのおじさんが、お薬を売りにきました。；約一万年前の世界が、おじさんの器械の映写幕の中に見えているのだ。；目を患っているおじさんにはもうそれさえよく見えないでいるらしかった。；二人は、おじさんに、竹のてっぽうを造ってもらうことを約束しました。；その後十日ばかりして行ったときには、おじさんはもうかなり元気になっていた。；おじさんを尋ねて誰かが来たことは、それが最初であり、また最後であった。；私はもちろん、おじさんに助けていただこうと思って来たのではないんです。；私はもうきっとおじさんは死んでしまったのだろうと思った。；おじさんより先に現場に着こうとするが、いつも、おじさんが先にいる。；ひとつはおじさんが自分から進んで証券書きを引き受けてくれたから。；そして、良いのを自分が取っておき、虫のついたやつをおじさんに渡す。；ある日、工場から帰ってきた私に、おじさんがにやにや笑いながら云った。</t>
        </is>
      </c>
      <c r="J1079">
        <f>HYPERLINK("https://www.weblio.jp/content/おじさん", "词义详情")</f>
        <v/>
      </c>
      <c r="K1079">
        <f>HYPERLINK("https://yourei.jp/おじさん", "查看例句")</f>
        <v/>
      </c>
    </row>
    <row r="1080">
      <c r="A1080" t="inlineStr">
        <is>
          <t>推し進める</t>
        </is>
      </c>
      <c r="B1080" t="inlineStr">
        <is>
          <t>成功</t>
        </is>
      </c>
      <c r="C1080" t="inlineStr">
        <is>
          <t>読み方：おしすすめる
［動マ下一］［文］おしすす・む［マ下二］物事をはかどらせる。発展させていく。推進する。「計画を—・める」「この考え方を—・めると」</t>
        </is>
      </c>
      <c r="D1080" t="inlineStr">
        <is>
          <t>推し進めるべく；推し進める画期的</t>
        </is>
      </c>
      <c r="E1080" t="inlineStr">
        <is>
          <t>推進；促進；進める；実行する；促す</t>
        </is>
      </c>
      <c r="F1080" t="inlineStr">
        <is>
          <t>更に推し進める</t>
        </is>
      </c>
      <c r="H1080" t="n">
        <v>29</v>
      </c>
      <c r="I1080" t="inlineStr">
        <is>
          <t>しかし彼はそれをさらに推し進める機会を得ずにすぐに死んでしまった。；国王はユーゴスラビア統一主義を掲げ、国家の統一を上から推し進めた。；自由ソフトウェアの理想を推し進めることを目的に様々な活動をしている。；監督は、この事件が映画の製作を推し進めるきっかけとなったと語っている。；これは当時列島改造計画を推し進めた田中の思惑もあったといわれている。；しかし彼は実験とロースクールでの勉強と通常の仕事を推し進めた。；特徴的な事としては、治療薬の予防目的使用が推し進められた点がある。；新大統領は民営化路線を推し進めたが、これは前大統領から酷評された。；第二次ヴァチカン公会議もこういった傾向を推し進める方向であった。；また民主化の名の下に財閥解体などを推し進め、日本弱体化を推進した。；美濃電気軌道では、それを一歩推し進めて車掌に初めて女性を登用した。；このように、次第に荘園公領制の解体が推し進められることとなった。；また、ミハイロが推し進めた近隣国との同盟は死後ほとんどが形骸化した。；この過程を推し進めると、より高次元の四元数体, 八元数体 が得られる。；君の考えを推し進めると、当然、彼女は知っていて知らない振りをしていたわけだ。；しかし、TMS9900の設計はこの考えを最も推し進めたものであった。；このような研究は市原硬をはじめとする門下生によって推し進められた。；この考え方を推し進めると、全ての推論は過去の事例に基づいているとも言える。；彼の最も有名な映画『大列車強盗』ではそれをさらに推し進めている。；マイクロカーネルの思想を更に推し進めたナノカーネルも提唱されている。；この分野での研究をさらに推し進めることは健康増進および病気の治療にも期待できる。；ヴィルヌーヴは部隊を召集し、北のアンティグアへと艦隊を推し進めた。；また将来における農村部の開発が推し進められていくことになった。；スウェーデンが征服した各地域では、カトリック化が推し進められた。；植民地主義を各国が推し進めたのには、いくつかの理由があった。；ザリエル朝の歴代皇帝も帝国教会政策を行い、皇帝権の強化を推し進めていった。；古典主義の代表的存在であり、それを大きく推し進めた人物でもある。；しかし兵庫開港問題を強引に推し進めたことで慶喜への反発は強まった。；同時期ホイッグ政権が推し進めていた選挙法改正法案の可決に尽力した。</t>
        </is>
      </c>
      <c r="J1080">
        <f>HYPERLINK("https://www.weblio.jp/content/推し進める", "词义详情")</f>
        <v/>
      </c>
      <c r="K1080">
        <f>HYPERLINK("https://yourei.jp/推し進める", "查看例句")</f>
        <v/>
      </c>
    </row>
    <row r="1081">
      <c r="A1081" t="inlineStr">
        <is>
          <t>押し出す</t>
        </is>
      </c>
      <c r="B1081" t="inlineStr">
        <is>
          <t>成功</t>
        </is>
      </c>
      <c r="C1081" t="inlineStr">
        <is>
          <t>読み方：おしいだす
［動サ四］
１押して外のほうへ出す。
「（櫛(くし)ノ箱ノ蓋(ふた)ニ）髪の、筋、裾つきいみじう美しきを綰(わ)げ入れて—・す」〈堤・このついで〉
２出衣(いだしぎぬ)をする。押し出す。
「衣(きぬ)のすそ、裳(も)などは御簾(みす)の外(と)にみな—・されたれば」〈枕・一〇四〉
３「出す」を強めていう語。
「（銭五百文ヲ）ただ一度に—・して」〈著聞集・一二〉</t>
        </is>
      </c>
      <c r="H1081" t="n">
        <v>29</v>
      </c>
      <c r="I1081" t="inlineStr">
        <is>
          <t>あなたはそれを、扉の下の隙間から外に押し出さなければならないのよ。；爪が伸びてきて三月前死んだ時の線が真中まで押し出されてきたのです。；草の塊は口の中でふくらんで、舌だけでは押し出すことができなかった。；ゆあみ場の入口のところでやっとQを自分の前に押し出すことができた。；自分たちが黙っていると、彼はふたたび歯の間から押し出すようにいった。；ほとんどが大陸出身のホステスに押し出されるように日本を去ったからだ。；通路の奥から空気が押し出されるように、生温かい風が吹き込んできた。；公爵の一行の何人かがユグノーを道へ押し出そうとしたところ反発された。；例えるのなら、脳のほうから眼球の方向に闇が押し出されるような感覚。；わたしが別の廊下に押し出されたときも、彼女はまだ運ばれていた。；しかし近年は宗教を前面に押し出さない非宗教学校となっているものも多い。；公園の椅子の形は、建物の窓から押し出されたような形でデザインされている。；どうでもいいけど、前へぐいぐい押し出そうとするのは、よしてほしい。；そのアキラちゃんを、女の子は必死にぐいぐいと押し出そうとしていた。；百合子さんの天賦の才能は、いつ頃から躯の外へ押し出されたのだろう。；そのような人びとにしてはじめて可能な抵抗が押し出されています。；脚先は鋏となるが、最も後方の脚は体を押し出すために葉状になっている。；事務所でただ一つ、肘つきの椅子が、窓から押し出されようとしていた。；声を押し出そうとするのだが、適当な言葉が咄嗟に出てこなかった。；二指の間、ほんのわずかな隙間から透明な蜜が 押し出されてこぼれた。；その前へ押し出す力が、山代大五の場合は失われてしまっているのである。；試合では有効な打突、投げの他、相手を試合場から押し出すと勝ちになる。；相手をリングから押し出すか、相手の体のどこかを地面につけたら勝ちです。；まるでカーク自身の魂を肉体の外へ押し出そうとするかのようだ。；次々に入ってくる客に押し出されるようにして、彼は店を出た。；ちょうどそのとき船がごっくりと海面に押し出されるように浮きました。；他の場所では、流入する水で空気が押し出される音を聞くことができたという。；すぐに、もう一人の男を押し出すようにして廊下に戻ってくる。；流れのまま押し出されないように、途中で適当な場所で留まるつもりだった。</t>
        </is>
      </c>
      <c r="J1081">
        <f>HYPERLINK("https://www.weblio.jp/content/押し出す", "词义详情")</f>
        <v/>
      </c>
      <c r="K1081">
        <f>HYPERLINK("https://yourei.jp/押し出す", "查看例句")</f>
        <v/>
      </c>
    </row>
    <row r="1082">
      <c r="A1082" t="inlineStr">
        <is>
          <t>押し付けがましい</t>
        </is>
      </c>
      <c r="B1082" t="inlineStr">
        <is>
          <t>成功</t>
        </is>
      </c>
      <c r="C1082" t="inlineStr">
        <is>
          <t>読み方：おしつけがましい
［形］［文］おしつけがま・し［シク］自分の考え方・感じ方などを、相手に当然のことのように受け入れさせようとする。「—・い親切」</t>
        </is>
      </c>
      <c r="D1082" t="inlineStr">
        <is>
          <t>押しつけがましい；出しゃばり</t>
        </is>
      </c>
      <c r="H1082" t="n">
        <v>29</v>
      </c>
      <c r="I1082" t="inlineStr">
        <is>
          <t>非難しているのでもなく、押し付けがましいのでもない、強い瞳。；この様な事は先生にはよくわかって居られる事でありましょうが私は考えが浅いので押し付けがましい事になります。；話の内容は妙だったか、押し付けがましい雰囲気はない。；自分のことを念頭に置いていない者に向かって押し付けがましい態度をとることを、人は何よりも恐れるのである。；彼女の父親は支持的だったものの、彼女の友達は同年末まで彼女の活動の押し付けがましさに嫌気が差し始めていた。；押し付けがましい争いは、寄り道を強要されているみたいで、不毛だもの。；口に出さずともいつもと同じに、押し付けがましく、彼女らしく。；助けられた、なんて押し付けがましい言いかたを、忍野は最後まで嫌ったけれど。；それでも少しも押し付けがましいところがない。；多くの者はその押し付けがましい説法にうんざりしている。；嫌いな人は押し付けがましい人です。；例えば、悪い意味に限らず、猥雑な感じや、ある種の押し付けがましさが作品からは感じられることがある。；そんな誤解に満ち溢れた、押し付けがましいとも取れる行為は、僕の最も苦手とするところだ。；「押し付けがましい」と云うことを、極端に嫌う氏であるから。；過去の2つの怪死事件は、警察の上層部が押し付けがましく言うように、個別の事件ですでに解決しているようにも見える。；それに何より、こうした事件に巻き込まれてしまった人にありがちな、押し付けがましいところが山本老人にはまるでなく、かえって彼の方こそ僕たちが東京から広島へ取材に出掛けてきたことに感謝している風だったのである。；多分、モーションを掛けて来ているんだろうな、とは雫も感じていたが、意外に距離感を保つのが上手で押し付けがましさが無い為、彼女も特に悪い感情は持っていなかった。；男たるもの、どう生きるべきかが毎月、暑苦しくも押し付けがましい文章で猛々しく書かれているんだよ。；彼は押し付けがましくない程度の笑顔を浮かべる。；みんなはひとしきり私たちのそっくりぶりをつまみにして、ビールを飲んでいたが、彼はますます恐縮し、そして押し付けがましくなく私に気を遣ってくれた。；しかし、名前をつけらられた多くの病気のうちには、素晴らしく注意して観察された病原論および症状学に加え、押し付けがましさを始まりとする基本原則に加えて、所々に解剖学的な考察が存在する。；がイラク政府再建に向けた選挙の支援を始めた時、彼は「アメリカによる押し付けがましいほどに大掛かりな介入がこの国の政治・安全保障問題を解決することはなく、むしろ反乱の理由を与えるばかりである」という見解を示している。；安男さんは、しつこいくらいに書き込みをしてくれるが、押し付けがましいところが一切ない。；「お店が終わったばかりとなると、明日の開店まで、時間はたっぷりありますね」 かなり押し付けがましい言い方になった。；アメリカ軍人の示す「友情」は、一方的で押し付けがましいものに過ぎないことも多かったが、それでも英仏人の振る舞いとは大きく異なっていた。；同時に、デジタルコミュニケーションで育った若い世代は電話をかけることも受けることも「押し付けがましい」と感じることが増えており、「自分が選んだペースで会話に参加できる」メディアの利用を好むようになっている。；しかし長じるにつれて、母の美しさは男好きのする淫らな容姿に、優しさは押し付けがましい愛情の押し売りにその姿を変えた。；成仏するのが正しいあり方だなんてのは、考えようによっては非常に押し付けがましい発想だ。；システムはスパマーにとってスパムメールの送信が押し付けがましく非生産的なものとしなければならないが、正当なユーザーがメッセージを送信するのを妨げてはならない。</t>
        </is>
      </c>
      <c r="J1082">
        <f>HYPERLINK("https://www.weblio.jp/content/押し付けがましい", "词义详情")</f>
        <v/>
      </c>
      <c r="K1082">
        <f>HYPERLINK("https://yourei.jp/押し付けがましい", "查看例句")</f>
        <v/>
      </c>
    </row>
    <row r="1083">
      <c r="A1083" t="inlineStr">
        <is>
          <t>押し付ける</t>
        </is>
      </c>
      <c r="B1083" t="inlineStr">
        <is>
          <t>成功</t>
        </is>
      </c>
      <c r="C1083" t="inlineStr">
        <is>
          <t>読み方：おしつける
［動カ下一］［文］おしつ・く［カ下二］
１押して、離れないようにする。力を入れて押す。おっつける。「からだを—・けてくる」
２無理にやらせる。また、無理に受け入れさせようとする。おっつける。「責任を—・ける」</t>
        </is>
      </c>
      <c r="D1083" t="inlineStr">
        <is>
          <t>強制；圧迫；促す；強要；プレス</t>
        </is>
      </c>
      <c r="H1083" t="n">
        <v>29</v>
      </c>
      <c r="I1083" t="inlineStr">
        <is>
          <t>つまりそれぞれの枝の先の細胞を互いに押し付けあったような形である。；私は三角帽子をかぶった黒い髪の頭に、頬を押し付けるようにしていた。；女は男の肘に手を掛けて、手に力を入れて、片頬を男の肩に押し付けた。；壁に体を押し付けていた上条は、そのまま勢い良く横へ飛んで回避する。；本来、作家は自分の持つ技術的な問題を読者に押し付けるべきではない。；後は通常通りに外に引き摺り出し、地面に身体を押し付けて殺すだけだ。；剥き出しになっていたわたしの肩に、ママが煙草の火を押し付けたのだ。；なお、煙草の火を押し付けるのはその後のガートルードの習慣となった。；女は暗い側を選んで、廊下のかべに腹合わせに、身を押し付けて立った。；これは水圧が扉を押し付けて閉じられるようになっているからである。；えみりが心配して近づくと、今まで話していた携帯を押し付けて言った。；今の世中は何を買のでも油断をすると悪い品物ばかり押し付けられます。；抱えた膝に頬を押し付け、どこか痛むみたいに薄い目蓋を震わせている。；手が木の幹に触って、紀子はそこへ体を押し付けるようにして息をした。；圧力が高くなって粒子が互いに強く押し付けられると抵抗は低下する。；いやだ、いやだと言うのを、兄に無理に押し付けられてしまったのだ。；途中で気を失ってしまい、後の事を素人の少年に押し付けてしまった自分。；全身を床に押し付けられるような空気の圧力を感じて気がついた。；恍惚とした表情でごつごつした胸を押し付けて来るマッチョガイが二人。；そんなふざけた内容の運命を押し付けてくる、ロクでもない書類である。；美術界があれほど揺れた原因は、上から美術統制を押し付けたことにある。；なぜなら彼の父親が彼にその仕事を押し付けたからだ、というわけである。；人の世のババ抜きが、必ず人に押し付けられなければならないものならば。；出会ったときには、鼻と鼻を接触させるか、体の他の部分を押し付けあう。；それらのすべてを、小林がどのように押し付けられて認めて行ったか。；それは身に押し付けられた焼き印のごとく、決して消すことはできない。；両手を思いきり伸ばして、壁に押し付けていなければ落ちてしまうだろう。；と主張し、恋愛至上主義的な価値観を押し付ける言論人たちを批判した。；母親や先生から勝手に押し付けられた、イツワリの友だちだったからだ。</t>
        </is>
      </c>
      <c r="J1083">
        <f>HYPERLINK("https://www.weblio.jp/content/押し付ける", "词义详情")</f>
        <v/>
      </c>
      <c r="K1083">
        <f>HYPERLINK("https://yourei.jp/押し付ける", "查看例句")</f>
        <v/>
      </c>
    </row>
    <row r="1084">
      <c r="A1084" t="inlineStr">
        <is>
          <t>おしぼり</t>
        </is>
      </c>
      <c r="B1084" t="inlineStr">
        <is>
          <t>成功</t>
        </is>
      </c>
      <c r="C1084" t="inlineStr">
        <is>
          <t>読み方：おしぼり
顔や手をふくための、湯や冷水に湿して絞った手ぬぐいやタオル。</t>
        </is>
      </c>
      <c r="D1084" t="inlineStr">
        <is>
          <t>おしぼり機；おしぼり業</t>
        </is>
      </c>
      <c r="F1084" t="inlineStr">
        <is>
          <t>熱いおしぼり；紙おしぼり；貸しおしぼり；白いおしぼり；温かいおしぼり</t>
        </is>
      </c>
      <c r="H1084" t="n">
        <v>29</v>
      </c>
      <c r="I1084" t="inlineStr">
        <is>
          <t>と俺がビールを飲もうとすると、なぜか光太郎におしぼりを投げられた。；椅子にすわった哲也に、店の女性は冷たいおしぼりを持ってきてくれた。；彼はおしぼりに手を伸ばし、袋を破って取り出すと、一瞬動きを止めた。；熱いおしぼりが運ばれ、テーブルを挟んだ三人は首の周りの汗を拭いた。；万里は口に含んだビールをさりげなく重ねたおしぼりの中に吐き出した。；田中は腰をでんとおろして、おしぼりで顔を拭きながら話を蒸し返した。；おしぼりが来て、岸はそれを顔に当ててやっとどうにか赤くなった顔を隠した。；備えつけのおしぼりで手を拭き、男の子の口を拭ってやりながら思った。；おしぼりを三本取り替えて顔を拭くと、やっと水口も平常に戻って来た。；また客がトイレから出てくる際には未使用のおしぼりが手渡される。；その時襖があいてさっきの女が、ビールとおしぼりを運んで来た。；喫茶店に落ち着いた俺は冷たいおしぼりを頭に載せて椅子にもたれ込んだ。；トイレ後に使用したおしぼりは、テーブルに置かずに回収される。；手で食べる作法では客一人ひとりに出されるおしぼりで手を拭いて対応する。；肇と深尾が洗面所でおしぼりを用意していると、水木がお茶を取りに来た。；小百合はこっちに背を向けて、安西の手をおしぼりで拭いていた。；中国では比較的普及が早く、高級料理店ではおしぼりが登場することも少なくない。；父はたった一人で作業台に向かい、山と積まれたおしぼりをひとつずつ丸めていた。；彼が座っているテーブルには、すでに三人分のお冷やとおしぼりが用意されていた。；上条にしかおしぼりを渡してこないのもちょっと気になる。；美樹子は、それには答えずおしぼりも手に取らないで、しばらくじっと坐っていた。；あわてておしぼりでふいたりしたのだが、油の強いシミはなかなか落ちなかった。；おしぼりに手を出しかけていた天丼者二名は、という表情で手を引っこめる。；そういいながら彼女はおしぼりを洗濯し、それを一枚一枚きれいに巻いていく。；「どうしたのよ、幸ちゃん」 おしぼりを手にした蘭子が顔を出した。；誰とて笑う者もなく、ただ一人が驚いたように首を振っておしぼりはないという仕草をした。；おしぼりがサービスされていた時期もあった。；口を離してごくりと飲み込むと、おしぼりで僕の性器をきれいに拭いた。；おしぼりを使い、最初のビールで喉をしめらせたあと、斉藤はまた話を続けた。</t>
        </is>
      </c>
      <c r="J1084">
        <f>HYPERLINK("https://www.weblio.jp/content/おしぼり", "词义详情")</f>
        <v/>
      </c>
      <c r="K1084">
        <f>HYPERLINK("https://yourei.jp/おしぼり", "查看例句")</f>
        <v/>
      </c>
    </row>
    <row r="1085">
      <c r="A1085" t="inlineStr">
        <is>
          <t>惜しまず</t>
        </is>
      </c>
      <c r="B1085" t="inlineStr">
        <is>
          <t>成功</t>
        </is>
      </c>
      <c r="D1085" t="inlineStr">
        <is>
          <t>惜しまず働い(3%)</t>
        </is>
      </c>
      <c r="E1085" t="inlineStr">
        <is>
          <t>気前よく；惜しげもなく；惜しみなく；気前良く；惜しむことなく</t>
        </is>
      </c>
      <c r="H1085" t="n">
        <v>29</v>
      </c>
      <c r="I1085" t="inlineStr">
        <is>
          <t>万人の罪を解くために自らの生命を捨てられて惜しまぬあなたを忘れて!；あたしたちといっしょにいた限りでは、彼は惜しまずお金を使ったわ。；だからそういう絵を金を惜しまずに買う人は、絵好きには違いない。；お勤め帰りのデートでも、彼と会う前にひと工夫する手間を惜しまずに。；後に自らの財政が悪化したときも、宮殿への投資は惜しまずに続けている。；父は教育には支援を惜しまず、子どもたち全員を私立の学校に入学させた。；二人とも惜しまずに酒のテーブルに手をだしたが、そのだし方はそれぞれ違っていた。；婚約者にいいところを見せたいのだろう、金は惜しまず出してくれるらしい。；そしてその見知らぬ人物にできるかぎりの援助を惜しまぬようにとも言っている。；総ての者があなたの熱誠に免じて、力を惜しまず心を労しているのです。；ドクター・リーは、学問的真実のためには手間を惜しまぬ男であったのだ。；彼は金を惜しまずに、性能の秀れた二五フィートのクルーザーを建造した。；一日でも源氏を見た者は皆不幸な旅に立つことを悲しんで惜しまぬ人もないのである。；このわしですら死を惜しまぬのに貴様一人が何故死を惜しむのか!；敵は、尽きない矢のかずを持っており、矢かず惜しまず射あびせるのだ。；星は手に入れた資料をすべて、料金を惜しまず電報で本国に知らせた。；人間は昔の友達を惜しまずにはいられないものだ。；十四の時に引取られて足掛八年、全く骨身も惜しまずに働いたのです。；その言にいふ、釣は敏捷なる針を択ぶことと餌を惜しまぬこととにありと。；彼の協力を惜しまぬ姿勢を受けて、ソ連側はエームに捕虜の管理を行わせるようになる。；命も惜しまず先駆するのも みんなおぬしのためゆえじゃ。；ジョン氏は気前のよい男で、とくに、この家に来た時は、金を惜しまず使った。；そのほかのすべてのことにも費用を惜しまぬ行き届いた仏事の準備ができているのである。；描きたいと思う気持を起させて、どしどし惜しまずにやれということでしょう?；あまりに早い彼の死を惜しまぬ人はいなかった。；その目的のためにTR102へ戻る必要があるなら、あらゆる協力は惜しまぬ。；こういう時には犠牲を惜しまず袋の一方を切り開いて、脱出する以外に生きる道はなかった。；いったい軍隊では、あの子にピーナッツ・バターを惜しまずにくれるかしら?；あらゆる形式の下に教育を惜しまず与えてやれ。</t>
        </is>
      </c>
      <c r="J1085">
        <f>HYPERLINK("https://www.weblio.jp/content/惜しまず", "词义详情")</f>
        <v/>
      </c>
      <c r="K1085">
        <f>HYPERLINK("https://yourei.jp/惜しまず", "查看例句")</f>
        <v/>
      </c>
    </row>
    <row r="1086">
      <c r="A1086" t="inlineStr">
        <is>
          <t>惜しむ</t>
        </is>
      </c>
      <c r="B1086" t="inlineStr">
        <is>
          <t>成功</t>
        </is>
      </c>
      <c r="C1086" t="inlineStr">
        <is>
          <t>読み方：おしむ
［動マ五（四）］
１心残りに思う。残念がる。「散る花を—・む」「別れを—・む」「人に—・まれて死ぬ」
２金品などを出すことを、もったいないと思う。出し惜しむ。「わずかの出費を—・んで大損をする」「骨身を—・まず働く」
３大切に思う。尊重する。「寸暇を—・む」「名を—・む」
４（「愛しむ」とも書く）愛する。めでる。慈しむ。
「お前を憎み、お前を—・み」〈近松秋江・別れたる妻に送る手紙〉
[下接句] 体(からだ)を惜しむ・名を惜しむ・名残(なごり)を惜しむ・骨を惜しむ・骨身を惜しまず</t>
        </is>
      </c>
      <c r="D1086" t="inlineStr">
        <is>
          <t>惜しむべき(8%)；惜しむことなく；惜しむ心；惜しむべし；惜しむところなく</t>
        </is>
      </c>
      <c r="E1086" t="inlineStr">
        <is>
          <t>後悔；嘆く；悔恨；恨む；怨む</t>
        </is>
      </c>
      <c r="G1086" t="inlineStr">
        <is>
          <t>惜しむ声</t>
        </is>
      </c>
      <c r="H1086" t="n">
        <v>29</v>
      </c>
      <c r="I1086" t="inlineStr">
        <is>
          <t>失われたそれを惜しむ人もいるが、これはもう仕方のないことであろう。；その間からデスクを並べていた友達が手を振って別れを惜しんでくれた。；しかし父は、母がいくら寝る間を惜しんで働いてもまったく協力しない。；別れを惜しむよりなによりも、男の心を占領しているのは恐怖なのだ。；それは、父と、自分との運命を知っていて、別れを惜しむように思えた。；人はよかった昔を惜しむことはできるが、現代を回避することはできない。；海女は馬鹿な亭主のために落とした命を惜しんで泣いているに違いない。；両親は、動き出した車に、手さえ振って別れを惜しんでくれたのである。；両名は世上では彼を惜しんでいるというが、皆がそういうわけではない。；菊の馬鹿が名残を惜しんでこちらをまだ見てゐることだらう、と思つて。；それほど大事な業務であればソフトをもう1本買うことをなぜ惜しむのか。；男が恋人を家まで送ってきて、別れを惜しんでいる、といったところか。；見送りに行こうかと思ったのは、乙江と別れを惜しむためではなかった。；劉備が資金に困っていることを知ると、惜しむことなく大金を援助した。；これじゃあ本当に、千石撫子との別れを惜しんでいるみたいじゃないか。；二人で歩くこの時間を惜しんでいるかのように、一歩一歩踏みしめている。；ネームの執筆速度がとても早く、寝る間も惜しんで描いたこともあった。；そのために、一時の出費や個人のちっぽけな生命を惜しむべきではない。；われわれは時間を惜しんで、高度順化も十分にとらずに上へ上へと登った。；改めて挨拶をする暇も惜しむように、父親はキッチンに向かおうとした。；買い物に行く時間さえ惜しんで、毎日可能な限り番い合っていたのだから。；青みがかった空の下に、夜を惜しむかのごとき、巨大な炎が燃えていた。；従って、これ以上この点について主張する労を惜しんでもよいであろう。；あそこで別れを惜しんだあとオトタチバナヒメが飛び込んで死んだんだ。；陛下が天下の半分を取りながら恩賞を出し惜しんでいると思いましょう。；あなたのような心をもっている人間が、安逸を惜しむわけもないでしょう?；剣の天命はかなり損耗しただろうが、惜しむつもりはまったく無かった。；あからさまに興味を示すと、笈太郎のようなタイプは情報を出し惜しむ。；少し疵はついたがまだ使われるのを惜しんでここまで持って来ているのである。</t>
        </is>
      </c>
      <c r="J1086">
        <f>HYPERLINK("https://www.weblio.jp/content/惜しむ", "词义详情")</f>
        <v/>
      </c>
      <c r="K1086">
        <f>HYPERLINK("https://yourei.jp/惜しむ", "查看例句")</f>
        <v/>
      </c>
    </row>
    <row r="1087">
      <c r="A1087" t="inlineStr">
        <is>
          <t>おしゃべり</t>
        </is>
      </c>
      <c r="B1087" t="inlineStr">
        <is>
          <t>成功</t>
        </is>
      </c>
      <c r="C1087" t="inlineStr">
        <is>
          <t>読み方：おしゃべり
［名］(スル)人と雑談すること。「電話で—する」
［名・形動］口数の多いこと。口が軽いこと。また、そのさまや、その人。「秘密を守れない—な人」</t>
        </is>
      </c>
      <c r="D1087" t="inlineStr">
        <is>
          <t>おしゃべり好き；おしゃべり屋；おしゃべりをはじめまし；おしゃべり伝六；おしゃべりケンジ</t>
        </is>
      </c>
      <c r="E1087" t="inlineStr">
        <is>
          <t>話；話し；会話；話す；お話</t>
        </is>
      </c>
      <c r="F1087" t="inlineStr">
        <is>
          <t>よけいなおしゃべり；おしゃべりなんか；楽しいおしゃべり；余計なおしゃべり；くだらないおしゃべり</t>
        </is>
      </c>
      <c r="G1087" t="inlineStr">
        <is>
          <t>おしゃべり魔女；おしゃべりはやめて；おしゃべりやってま〜す；おしゃべりハウス；おしゃべりボット</t>
        </is>
      </c>
      <c r="H1087" t="n">
        <v>29</v>
      </c>
      <c r="I1087" t="inlineStr">
        <is>
          <t>監視人たちが別なふうに言ったのだったら、それはただのおしゃべりだ。；ジェシは座って、隣でおしゃべりしている女の話をぼんやり聞いていた。；彼女はその視線を無視して、セ・ネドラと静かにおしゃべりをしていた。；獄中での唯一の彼のおしゃべりの時間は教誨師の訪問を受ける時でした。；いつも彼に親愛の様子を見せながら、盛んにおしゃべりをする男だった。；あの二人は黄色いカーテンのそばに立ちながらおしゃべりしてはいない。；男爵はよく食べたし、食事を運んできた兵隊と元気におしゃべりもした。；もっとも最大の理由は、単におしゃべりであるというだけではあるが。；そこに女たちが出入りしたり、階段の上に立っておしゃべりしたりしていた。；娘たちはおしゃべりよりもガイドブックの方に関心があるようだった。；それに、君のおしゃべりで、わしの目をごまかそうなどとは考えるなよ。；そう思うと、子供たちを相手にして、おしゃべりをするのが楽しかった。；だけど、いつまでもおしゃべりしてないで、いそいで帰ってくるんだよ!；おしゃべりなんか問題にならないところで何か仕事を見つけだすのだ。；それは心のうちの当惑を隠すための上っ面のおしゃべりにすぎなかった。；たくさんおしゃべりする種類もあるし、あまりしゃべらない種類もある。；ぼくはただ働いておしゃべりなんかしないところに行きたいのだ。；よくここへ来て、一緒におしゃべりしたりお食事をしたりしたのに。；それでもあのおしゃべりの八っちゃんが口をきかないのが変だった。；加えられるのは、このかたが、おしゃべりではないということだけです。；主のお加護によりまして今日も馬鹿なおしゃべりをしないですみました。；そんなところに立って、おしゃべりをしている場合ではないだろう。；休憩時間は、仲間との貴重な情報交換が出来るおしゃべりの場でもある。；お花やお若のおしゃべりが何を言ったか知れたものではない。；やつのおしゃべりをこれ以上きいていると、信じこまされてしまうな!；ところで、ぼくとあの女のおしゃべりから、なにか一条の光が得られたかね?；それにあなたは、かれらの昼休みのおしゃべりをぶち壊したんですもの。；スミス老人は、おしゃべりを忘れてしまったかのように、口をつぐんだ。；村の鎮守さまにおしゃべりをしない誓をたてたといった例の大男である。</t>
        </is>
      </c>
      <c r="J1087">
        <f>HYPERLINK("https://www.weblio.jp/content/おしゃべり", "词义详情")</f>
        <v/>
      </c>
      <c r="K1087">
        <f>HYPERLINK("https://yourei.jp/おしゃべり", "查看例句")</f>
        <v/>
      </c>
    </row>
    <row r="1088">
      <c r="A1088" t="inlineStr">
        <is>
          <t>お洒落</t>
        </is>
      </c>
      <c r="B1088" t="inlineStr">
        <is>
          <t>成功</t>
        </is>
      </c>
      <c r="C1088" t="inlineStr">
        <is>
          <t>読み方：おしゃらく
１身なりを飾ること。また、その人。おしゃれ。
「あんな—は嫌いだ」〈花袋・田舎教師〉
２「おじゃれ」に同じ。</t>
        </is>
      </c>
      <c r="D1088" t="inlineStr">
        <is>
          <t>お洒落な服；お洒落な店；お洒落な街；お洒落狂女；お洒落なレストラン</t>
        </is>
      </c>
      <c r="E1088" t="inlineStr">
        <is>
          <t>おしゃれ；盛装；ドレスアップ；着飾る；御洒落</t>
        </is>
      </c>
      <c r="H1088" t="n">
        <v>29</v>
      </c>
      <c r="I1088" t="inlineStr">
        <is>
          <t>私が学校を卒業して会社に勤めているとき、同期にお洒落な女性がいた。；たいていの警備隊に見られるもので、隊員のお洒落のためのものである。；お洒落をしている室さんをみたのは、後にも先にも、あれ一回きりだ。；彼は少々お洒落ではあるが、女性関係にはまだ縁が無かったようである。；美人なのにお洒落とかまったく興味なくて、いつでもみんなのリーダーで。；冒険も恋も旅行も、そしてお洒落も、もう彼には何の値打ちもなかった。；いや、お洒落をしては、かえって傭われ先の奥さんに嫌われるのである。；女の子はお洒落にお金を掛けるというけど本当のことだと思い知らされる。；襞のたっぷりついた青い帽子をかぶり、いつにも増してお洒落している。；吉美は特に美人というほどではなかったが、お洒落で社交的なOLだった。；出かけるのでお洒落をして来たつもりなのか、花かんざしを挿している。；ごく普通の格好だけれど、田舎にいる自分の母親に比べたら百倍はお洒落だ。；最近の若い男の子たちにとっては、お洒落も重要な楽しみのひとつらしい。；宏一が連れ歩く世界では、お洒落にならざるを得ないようであった。；それにそのころの月世界市にいたお洒落な女はみなスカートをはいていたんだ。；これまでは、自分なりにお洒落をしてきたつもりだったからだ。；みんな、ああだこうだといいながら、お洒落をして部屋を出ていった。；局の近くなら大学の付属病院も、私に相応しいお洒落な病院もあったじゃない。；独創的なお洒落を無料で拝見できるのは大むねこういう時期のようである。；有島ほど理智的でお洒落な人が、よくまああんな死にかたに我慢出来たね。；彼は私がお洒落すると、どうして男ができたの何だのとさわぎたてるんだろうか。；そのマンションは、建物の外部に棟ごとにお洒落な郵便受けが備えられていた。；一度それを受けてみたいとそう思うと、ついでにお洒落も今夜を機会にしてみたくなるのだった。；こんなに綺麗にお洒落をしたのだから、誰かに素敵だと言われたい。；「おれも平気だなあ、こういう処は」 加山はかなりお洒落な男だった。；別にお洒落でもなんでもない風景が目に入ってきた。；お洒落のためならそれをかぶる人は帽子の形にやかましいでしょう。；普通の空気よりも、少し自由で、少しお洒落な香りがするものだ。；お洒落もしないで、夜も寝ないで働いて、何が楽しいんだろう。</t>
        </is>
      </c>
      <c r="J1088">
        <f>HYPERLINK("https://www.weblio.jp/content/お洒落", "词义详情")</f>
        <v/>
      </c>
      <c r="K1088">
        <f>HYPERLINK("https://yourei.jp/お洒落", "查看例句")</f>
        <v/>
      </c>
    </row>
    <row r="1089">
      <c r="A1089" t="inlineStr">
        <is>
          <t>お嬢さん</t>
        </is>
      </c>
      <c r="B1089" t="inlineStr">
        <is>
          <t>成功</t>
        </is>
      </c>
      <c r="C1089" t="inlineStr">
        <is>
          <t>読み方：おじょうさん
「お嬢様」よりもくだけた言い方。若い女性に呼びかけるときにも使う。「お嬢ちゃん」は年少の女児に使う。</t>
        </is>
      </c>
      <c r="D1089" t="inlineStr">
        <is>
          <t>お嬢さんたち(2%)；お嬢さん育ち；お嬢さん方；お嬢さん達；お嬢さんがた</t>
        </is>
      </c>
      <c r="E1089" t="inlineStr">
        <is>
          <t>娘；少女；姉；女子；女の子</t>
        </is>
      </c>
      <c r="F1089" t="inlineStr">
        <is>
          <t>若いお嬢さん；いいお嬢さん；きれいなお嬢さん；可愛いお嬢さん；綺麗なお嬢さん</t>
        </is>
      </c>
      <c r="H1089" t="n">
        <v>29</v>
      </c>
      <c r="I1089" t="inlineStr">
        <is>
          <t>私をそうやっておいて、どこかのお嬢さんと結婚するに決まっているわ。；お嬢さんはナンセンスだとしか思えないような或る意見を持つています。；お嬢さんはまたわざわざその例を挙げて私に説明して聞かせるのです。；大事にしすぎて昔風のお嬢さん風邪を引くことがないとも限らない等と!；卒業して半年も経たないうちに、私はとうとうお嬢さんと結婚しました。；さっきこのお嬢さんの声を聞いて彼がびっくりしたのはそのせいであったのだ。；彼は、このお嬢さんを、いかに扱うべきか考えずには、おられなかった。；僕は無論はじめからあのお嬢さんの頭が並み並みでないとは感じていた。；私は奥さんやお嬢さんを彼がどう見ているか知りたかったのです。；私はお嬢さんの顔を見るたびに、自分が美しくなるような心持がしました。；森鴎外には、何人かの子供さんたちのうちに二人のお嬢さんがあった。；あたしが頼まれてどつかへお世話をしようと思つてるお嬢さんなのさ。；奥さんだって今度のお嬢さんを大事にしておられるのですからね。；あのお嬢さんたちがいらした時は、若い男の人たちは大騒ぎでございます。；お嬢さんは奥さんの矛盾がおかしいといってまた笑い出しました。；しかしその想像はお嬢さんに取ってあまり有利なものではありませんでした。；若いお嬢さんの裸体姿の側に行くなんてことは思いもよらぬ事である。；必要な事はみんな一口ずつ書いてある中にお嬢さんの名前だけはどこにも見えません。；そして、あのお嬢さん、また呪いの言葉でもつぶやいていたんじゃない?；それにお前は、小さいお嬢さんのたくさんいる素敵なお家へ行くのだよ。；もし考えていたとすれば、いつもの通りお嬢さんが問題だったかも知れません。；僕が云ふのは、君にできないやうなことを、このお嬢さんに頼みたいんだ。；彼はその意地悪そうなお嬢さんに一種の異常な魅力のようなものをさえ感じた。；甚だしくミス大阪らしからぬ仕事に従事している善良なお嬢さんである。；しかしともかく迷惑なことだっても大臣のお嬢さんには違いないのでしょう。；孫生は快く承諾してとにかくお嬢さんだけは置いて行きませうといふ。；お嬢さんはそこにいても滅多に返事をした事がありませんでした。；唇のなくなったお嬢さんの巨大な顔が、眼と頬だけで笑っていた。；その時お嬢さんは始めてお帰りといって私に挨拶をしました。</t>
        </is>
      </c>
      <c r="J1089">
        <f>HYPERLINK("https://www.weblio.jp/content/お嬢さん", "词义详情")</f>
        <v/>
      </c>
      <c r="K1089">
        <f>HYPERLINK("https://yourei.jp/お嬢さん", "查看例句")</f>
        <v/>
      </c>
    </row>
    <row r="1090">
      <c r="A1090" t="inlineStr">
        <is>
          <t>汚職</t>
        </is>
      </c>
      <c r="B1090" t="inlineStr">
        <is>
          <t>成功</t>
        </is>
      </c>
      <c r="C1090" t="inlineStr">
        <is>
          <t>読み方：おしょく
公職にある人が、地位や職権を利用して収賄などの不正な行為をすること。「涜職(とくしょく)」の言い換え語。</t>
        </is>
      </c>
      <c r="D1090" t="inlineStr">
        <is>
          <t>汚職疑惑(5%)；汚職警官(2%)；汚職問題；汚職容疑；汚職防止</t>
        </is>
      </c>
      <c r="E1090" t="inlineStr">
        <is>
          <t>買収；腐敗；堕落；スキャンダル；不祥事</t>
        </is>
      </c>
      <c r="F1090" t="inlineStr">
        <is>
          <t>構造汚職；汚職官吏；汚職捜査；汚職刑事；政治汚職</t>
        </is>
      </c>
      <c r="G1090" t="inlineStr">
        <is>
          <t>汚職撲滅委員会</t>
        </is>
      </c>
      <c r="H1090" t="n">
        <v>29</v>
      </c>
      <c r="I1090" t="inlineStr">
        <is>
          <t>そこに汚職が生まれたが恩恵を受けたのはほとんど白人の南部人だった。；しかし、多くの国民は民政化後かえって汚職や経済が悪化したと感じた。；彼らの何人かは確実に汚職に手を染めていたので、これは簡単だった。；汚職説があったが代議員に再選されなかった理由は明らかになっていない。；経済学の考え方は、汚染や汚職、教育のような問題にも適用されてきた。；公団の汚職で死に追いやられた父の復讐を果たそうとする男の姿を描く。；また他党と比べて汚職などのスキャンダルが少ないことも有利に働いている。；勤めていた東亜建設で行っていた汚職が露見したために自殺したのだという。；汚職は、GAOが以前に予測していたよりもはるかに大規模であった。；アフマド元大統領は汚職疑惑が指摘されていたが有力候補と目されていた。；汚職や犯罪が消滅したのはいいが、面白いことはなにひとつなくなる。；それは兄のアンディが汚職を下との噂が流れていることであった。；諸君がこれらの汚職に対して最も厳しい態度で対処することを期待する。；M・Mの手帳には政府の汚職の詳細が記されているという噂があった。；汚職の噂が付きまとう政治家や利権まみれの官僚が好き勝手やっている。；軍事行動自体は成功しているが、汚職によって罪にあてられたにすぎない。；それは梶川の遺書で、彼が調査した汚職の内容が詳細に書き込まれていた。；その代わりに汚職の為にガリンドを幻滅させる革命の敵と見られた。；GBAは汚職に関与した弁護士の起訴に向けて必要な手続を取るとしている。；サッカー組織の世界的な統括をするFIFAの汚職への申し立てを調べた。；関西の政商である藤田組が汚職の捜査を恐れ毒殺したという噂も立った。；彼はあらゆるものを公開しなければ、汚職のそしりを免がれないことになる。；彼らは台北の景美にあるに護送され審尋を受け、汚職の罪で起訴された。；そのため警察と対峙する形で独立した汚職取り締まり機関が必要とされたのである。；汚職はインドに影響を与える重要な問題の一つである。；あれほど御信用下されたものを、まことに何ともはや、恐れいったる大汚職。；一方で、大統領となって以降も汚職疑惑は次々と出てきている。；汚職疑惑をめぐる調査委員会への出席を求める司法命令に応じていなかった。；カルテルが生み出した汚職は、メキシコ国民の政府の不信をもたらした。</t>
        </is>
      </c>
      <c r="J1090">
        <f>HYPERLINK("https://www.weblio.jp/content/汚職", "词义详情")</f>
        <v/>
      </c>
      <c r="K1090">
        <f>HYPERLINK("https://yourei.jp/汚職", "查看例句")</f>
        <v/>
      </c>
    </row>
    <row r="1091">
      <c r="A1091" t="inlineStr">
        <is>
          <t>押し寄せる</t>
        </is>
      </c>
      <c r="B1091" t="inlineStr">
        <is>
          <t>成功</t>
        </is>
      </c>
      <c r="C1091" t="inlineStr">
        <is>
          <t>読み方：おしよせる
［動サ下一］［文］おしよ・す［サ下二］
１激しい勢いで迫る。「群衆が—・せる」「大波が—・せる」
２押して一方に寄せる。「机を窓際に—・せる」
３押してその方に近づける。
「御簾(みす)のもと近く（琴ヲ）—・せ給へど」〈源・横笛〉</t>
        </is>
      </c>
      <c r="D1091" t="inlineStr">
        <is>
          <t>押し寄せるソビエト赤軍；押し寄せる小型幻獣；押し寄せる黒い</t>
        </is>
      </c>
      <c r="E1091" t="inlineStr">
        <is>
          <t>殺到する；群がる；なだれ込む；打寄せる；押寄せる</t>
        </is>
      </c>
      <c r="F1091" t="inlineStr">
        <is>
          <t>どっと押し寄せる；ごとく押し寄せる；ひたひたと押し寄せる；次々と押し寄せる；めがけて押し寄せる</t>
        </is>
      </c>
      <c r="H1091" t="n">
        <v>29</v>
      </c>
      <c r="I1091" t="inlineStr">
        <is>
          <t>今となっては熔岩がどんどん押し寄せてきてくれた方がありがたかった。；Dの眼は、炎の向こうから押し寄せる霞のような影の集団を捉えていた。；押し寄せる春の先兵の前で、冬将軍が最後の抵抗をしているようである。；次々と押し寄せる激情の波に翻弄され、自分を制御できなくなっている。；アスロックは筆をおく直前、緑の谷へと氷河が押し寄せるのを目撃する。；午前10時頃、高陽原に明軍は左・右・中央の三隊の陣形で押し寄せた。；ずうっと沖合いから押し寄せて来るガスは、海岸へ来ると二手に分れる。；一連の嵐が次から次へと押し寄せては発達し、海岸の岩に激しく打ち当たった。；霧が海から内陸に押し寄せ、細い筋となって流れ、戦場を分断している。；さっきまでかれの知覚をまひさせていた霧がふたたび押し寄せてきた。；パリやその他の都市から国民議会を支持するメッセージが押し寄せた。；怒りと抗議の手紙が、本国政府のもとに押し寄せるようになっていた。；山の斜面から大量の雪が湖に滑り落ちて、巨大な波となって滝に押し寄せる。；これにより、今までになかった大きな移民の波が押し寄せることになる。；南アフリカでは、ここ数年で新しいアーティストの波が押し寄せてきた。；言葉は決して、彼のところへ押し寄せてなんぞ来るようには見えない。；けれど私たちは、すぐ後に押し寄せる新たなる一週間を予想もしていなかった。；ひどく、空気が冷水の流れのようにあらゆる方向から押し寄せて来た。；その時、沖の方から何か真白なものの群れが押し寄せて来たのです。；これだけの嵐のなかでも、美由紀は押し寄せる熱をはっきりと感じた。；一気に押し寄せる人もいれば、いつまでもじわじわと苛まれる人もいる。；春の潮のように、新しい幸福が、胸に押し寄せて来るのでありました。；空も陸も海も、押し寄せる連合軍の力の前に屈服するよりほかなかった。；この日は、もの珍しさもあって、朝8時から子供たちが押し寄せていた。；ちょうど夜が、暗黒と絶望の波となって山に押し寄せてきたように。；そのものがやがて、大軍を率いて押し寄せてくるにちがいありません。；やがて、この海岸にまで戦の波が潮のように押し寄せるというのだろうか。；このような計画では、いつでも現状論が津波になって押し寄せるのである。；波のように押し寄せる快楽の中で、ぼんやりと彼はそう感じていた。</t>
        </is>
      </c>
      <c r="J1091">
        <f>HYPERLINK("https://www.weblio.jp/content/押し寄せる", "词义详情")</f>
        <v/>
      </c>
      <c r="K1091">
        <f>HYPERLINK("https://yourei.jp/押し寄せる", "查看例句")</f>
        <v/>
      </c>
    </row>
    <row r="1092">
      <c r="A1092" t="inlineStr">
        <is>
          <t>雄</t>
        </is>
      </c>
      <c r="B1092" t="inlineStr">
        <is>
          <t>成功</t>
        </is>
      </c>
      <c r="C1092" t="inlineStr">
        <is>
          <t>読み方：お
《「雄(お)」と同語源。「女(め)」に対する語》
１おとこ。男子。
「吾が大国主汝(な)こそは—にいませば」〈記・上・歌謡〉
２おっと。
「吾(あ)はもよ女(め)にしあれば、汝(な)を置(き)て—はなし」〈記・上・歌謡〉
３（「雄」「牡」とも書く）他の語の上または下に付いて複合語をつくる。
㋐男性、または動植物のおすを表す。「—牛」「—花」「益荒(ますら)—」
㋑一対の物のうち、大きいもの、または男性的と思われるほうのものを表す。「—岳」「—竹」
㋒おおしい、勇ましい意を表す。「—たけび」「—心」</t>
        </is>
      </c>
      <c r="D1092" t="inlineStr">
        <is>
          <t>雄二(3%)；雄性(3%)；雄蘂；雄雌；雄株</t>
        </is>
      </c>
      <c r="E1092" t="inlineStr">
        <is>
          <t>男；男性；男子；牛；マン</t>
        </is>
      </c>
      <c r="F1092" t="inlineStr">
        <is>
          <t>燕雄；茅野雄；雄七；焔雄；歌名雄</t>
        </is>
      </c>
      <c r="G1092" t="inlineStr">
        <is>
          <t>雄弁；雄一；雄一郎；雄蕊；雄二</t>
        </is>
      </c>
      <c r="H1092" t="n">
        <v>29</v>
      </c>
      <c r="I1092" t="inlineStr">
        <is>
          <t>雄は成長すると群れを離れ、やがて力をつけると、群れをもつ雄と戦う。；雄の冬羽は雌に似ているが、頭央線が白く明瞭であることで区別できる。；トノサマガエルでは、中央に強い雄が、周辺ほど弱い雄がいる形になる。；降海型は残留型よりもはるかに体が大きく、雄は産卵の際に有利である。；ただし成長中の個体にあっては雄の機能が先に成熟することが多い。；この場所は雄が後ろからのしかかって交尾する際に刺激される部分である。；群れの雄を倒すと、その群れの雌と交尾をすることができるようになる。；遊牧的な生活を送る雌が新たな群れに加わるのは雄よりも遥かに難しい。；これは雌に比べて雄の方が発達、もしくは何らかの構造が加えられる。；この早熟雄は河川での成長速度の速い個体から出現すると考えられる。；雄は初子の身体を強く抱きしめ、家族だけに見送られて自宅を後にする。；雄性胞子葉は軸のみに退縮していて先端に2つの雄性胞子嚢を形成する。；雄はその名の通り喉が赤い羽毛で覆われるが、この特徴は雌には無い。；また水島兄弟が亮が兄で雄が弟という原作とは逆の設定になっている。；その他メスが雄化した個体や、他のカモ類との雑種もまれに記録される。；本種もそうであれば、交接した雄が他の雌を探しに行く意義はなくなる。；他の雄が近づくと、これに対して突進して攻撃して排除しようとする。；雄の尾鰭の一部が剣のように伸びていることから名前がついた。；雄の個体の頬は特に肉付きが良いことから、垂れているようにすら見える。；ここで言う雄城坂での挨拶とは車が来たら振り返って礼をするという物である。；同部門の後藤富雄は部長の渡辺和也に教育用キットの開発を提案した。；概して地味な羽色だが、一部の種の雄は派手な色の羽や飾り羽を持つ。；おしんは竜三に見つかり、東京に行くなら雄を置いていけと言われる。；雄のみが有する角もまた、他のニホンジカの亜種よりも大きく立派になる。；成虫の雄は飼育スペースが小さいとストレスで寿命が短くなってしまう。；雌の場合には、身体が小さいこともあって、雄ほどは深くまでは潜水しない。；雄の背中は尾も含め光沢のある青で、尾の基部には左右に白斑がある。；なぜなら、家族のいる雄は、いつまでも家族から離れていられないからである。；私が目を上げて見ると、見よ、一頭の雄羊が川の前に立っているのが見えた。</t>
        </is>
      </c>
      <c r="J1092">
        <f>HYPERLINK("https://www.weblio.jp/content/雄", "词义详情")</f>
        <v/>
      </c>
      <c r="K1092">
        <f>HYPERLINK("https://yourei.jp/雄", "查看例句")</f>
        <v/>
      </c>
    </row>
    <row r="1093">
      <c r="A1093" t="inlineStr">
        <is>
          <t>押す</t>
        </is>
      </c>
      <c r="B1093" t="inlineStr">
        <is>
          <t>成功</t>
        </is>
      </c>
      <c r="C1093" t="inlineStr">
        <is>
          <t>読み方：おす
［動サ五（四）］
１動かそうとして上や横から力を加える。
㋐向こうへ動かそうとして力を加える。「荷車を—・す」「—・しても引いても動かない」
㋑櫓(ろ)を使って舟を進める。「櫓を—・す」
２圧力を加える。
㋐（「圧す」とも書く）上から重みを加える。「重石(おもし)で—・す」
㋑（「捺す」とも書く）印判などを押しつけて形を写す。「判を—・す」
㋒はりつける。「箔(はく)を—・す」
３状態・事柄をある基点から先へ進めようとする。
㋐強力に迫る。「いま一押し—・せば要求を通せる」
㋑威力で押さえつける。優勢になる。圧倒する。「大資本に—・される」
㋒そのままで物事を進める。「この方針で—・していく」
４無理にする。強行する。「病を—・して出席する」
５確かめる。「念を—・す」「駄目を—・す」
６テレビ・演劇などで、予定した時間よりも遅れる。「開始時間が10分—・す」⇔巻く。
７一面に行き渡らせる。
「春日山—・して照らせるこの月は妹(いも)が庭にもさやけかりけり」〈万・一〇七四〉
８軍勢を進める。攻める。
「岨(そば)伝ひに—・す」〈甲陽軍鑑・三五〉
[可能]おせる
[下接句] 尻(しり)を押す・太鼓のような判を捺(お)す・太鼓判を捺す・駄目(だめ)を押す・念を押す・判で押したよう・横に車を押す・横車を押す・烙印(らくいん)を押される</t>
        </is>
      </c>
      <c r="D1093" t="inlineStr">
        <is>
          <t>押すごと；押すと同時に；押すと画面；押すやう；押す長さ</t>
        </is>
      </c>
      <c r="E1093" t="inlineStr">
        <is>
          <t>飲む；追う；圧迫；圧倒；導く</t>
        </is>
      </c>
      <c r="F1093" t="inlineStr">
        <is>
          <t>軽く押す；強く押す</t>
        </is>
      </c>
      <c r="H1093" t="n">
        <v>29</v>
      </c>
      <c r="I1093" t="inlineStr">
        <is>
          <t>時を同じくして、また別の夫婦が謎の装置のボタンを押そうとしていた。；方向ボタンを下に入力した状態でボタンを押すとその場で回転を始める。；曲に合わせて表示されるボタン操作を記憶し、その通りにボタンを押す。；また一つだけあるボタンを押すことで、現代の自宅に戻ることができる。；私が自分の階のボタンを押そうとしたら、一瞬早く男の指が4を押した。；ブロックが主人公の頭上で消えずに落ちてくると押し潰されてミスになる。；ひどいときには乗客に後ろから押してもらうようなこともあった。；投票は電子的手段で行われ、議員は席にある あるいは のボタンを押す。；なおPS2版以外では攻撃ボタンを押し続けていれば連続で剣を振り続ける。；力で押すよりかはアクロバティックな戦法を得意とした描写が見られる。；技を出す時にBではなくAを押すと、移動距離を短くすることができる。；クレンツはこの群衆を押しとどめるのはもはや無理であると感じていた。；特に巨漢や、突き押しが得意な相手には子供扱いされる場面が増えた。；降りた瞬間、計時係がストップウォッチを押して正確な時間を測定した。；側面のレバーを押すと板は横にスライドしてもう一方の穴が開放される。；また戦闘モード中にセレクトボタンを押すことで準備画面に戻る事が可能。；他のモード中に か +、+ を押すことでこのモードに移行できる。；彼は左手にある拳銃の先端で、首の電極のスイッチを押そうとしたが。；ただし、これは文書に型押しを行って証明するもので印刷物の形態ではない。；材料を入れてボタンを押すだけで自動でパンを作ってくれる機械。；角を持つものの戦いは、互いに角同士を押し当てての力比べの形をとることが多い。；判を押したのは、一般人が持っていた在庫の切手と区別するためである。；ただし明らかに味方を殺して回っているプレイヤーがいた場合はF1を押す。；もし彼女がボタンを押そうとすれば、腕を後ろにまわさなければならない。；また、十字キーの上を押すことで空を見ることができるようになった。；メニュー項目選択時に番号ボタンを押すことで直感的な操作も可能である。；極端なものになると1歩も動かず攻撃ボタンを押しているだけで可能なケースもある。；死んだ個体の腹を押して上翅と人為的に摩擦しても音を聴くことができる。；手で押して動かしやすいように取っ手がついているものもある。</t>
        </is>
      </c>
      <c r="J1093">
        <f>HYPERLINK("https://www.weblio.jp/content/押す", "词义详情")</f>
        <v/>
      </c>
      <c r="K1093">
        <f>HYPERLINK("https://yourei.jp/押す", "查看例句")</f>
        <v/>
      </c>
    </row>
    <row r="1094">
      <c r="A1094" t="inlineStr">
        <is>
          <t>お世辞</t>
        </is>
      </c>
      <c r="B1094" t="inlineStr">
        <is>
          <t>成功</t>
        </is>
      </c>
      <c r="C1094" t="inlineStr">
        <is>
          <t>読み方：おせじ
「世辞」に同じ。「—を使う人」「心にもない—を言う」</t>
        </is>
      </c>
      <c r="D1094" t="inlineStr">
        <is>
          <t>お世辞抜き；お世辞屋；お世辞笑い；お世辞たっぷり；お世辞じゃなくて</t>
        </is>
      </c>
      <c r="E1094" t="inlineStr">
        <is>
          <t>上手；世辞；御世辞；外交辞令；空世辞</t>
        </is>
      </c>
      <c r="F1094" t="inlineStr">
        <is>
          <t>まんざらお世辞；満更お世辞</t>
        </is>
      </c>
      <c r="H1094" t="n">
        <v>29</v>
      </c>
      <c r="I1094" t="inlineStr">
        <is>
          <t>清がこんな事を云う度におれはお世辞は嫌いだと答えるのが常であった。；お前の前でお世辞たらたらだった、あの頭の低い貴族どもはどこにいる?；それは自分がお世辞を言われるのと同じくらい気分のよいものだった。；しかし、お世辞ではなく、君の言うことが我々には一番よく納得できた。；ただ幸いにも、彼はきわめて小言家でお世辞を言わなかったまでである。；だけどそれを着ている彼女の表情は、お世辞にも幸せそうにはみえない。；それは彼が、不必要なお世辞をひとつも持っていないことを現わしていた。；確かに気の若いところは多分にあったが、どうも我ながらお世辞くさい。；自分のやったこととは言え、お世辞にも気持のよい光景とは言えない。；瞳子と部員たちとの関係は、お世辞にもうまくいっているとは言えない。；夫 お世辞でなく、お前は、おれの為めにこの世に生れて来たやうな女だ。；賢狼だからといって自己管理ができているとはお世辞にもいえないようだ。；別にかれらが裕福な暮らしをしているとは、お世辞にもいえませんが。；あの先生は、何かしら、あたしにお世辞が云ひたくつてしやうがないのよ。；その感想は、最近、何かへ書くつもりだが、お世辞を云はぬことにする。；これも心にもないお世辞ではないが、やはりその場の挨拶であった。；アメリカへのお世辞も、日本が経済大国になっては、あまり意味ないか。；一般に医師はお世辞のいいものだが、この人は世間話もできないのだ。；そしてお世辞でなしにいうが、わしは現在の独裁者がそうだと信じている。；そう言う祥子さまの髪だって、お世辞にも短いとはいえない長さがあった。；お世辞にも豪勢とは言えないけれど、きっと昭久も喜んでくれるだろう。；嘘とわかっていても、お世辞を言ってくる人間は可愛いものですから。；ファウスト あの鴉共が水の少女に心からお世辞を言ったと見えるな。；いい子供を持ってしあわせだとお世辞を言われて幸福そうだった父。；たとえお世辞とわかっても誉められたら悪い気はしないではないか。；糊の瓶から出て来たような赤ん坊はお世辞にも可愛いとは言えなかった。；お世辞にも上手とはいえないが、幼い子供たちにはわかるわけがない。；お世辞にもきれいとはいえない男文字で「池袋の西武にて購入」とある。；都の事業の成功を祝ってなどとは、お世辞にもいいたくないという顔だ。</t>
        </is>
      </c>
      <c r="J1094">
        <f>HYPERLINK("https://www.weblio.jp/content/お世辞", "词义详情")</f>
        <v/>
      </c>
      <c r="K1094">
        <f>HYPERLINK("https://yourei.jp/お世辞", "查看例句")</f>
        <v/>
      </c>
    </row>
    <row r="1095">
      <c r="A1095" t="inlineStr">
        <is>
          <t>お節介</t>
        </is>
      </c>
      <c r="B1095" t="inlineStr">
        <is>
          <t>成功</t>
        </is>
      </c>
      <c r="C1095" t="inlineStr">
        <is>
          <t>読み方：おせっかい
［名・形動］出しゃばって、いらぬ世話をやくこと。また、そういう人や、そのさま。「—をやく」「—な人」</t>
        </is>
      </c>
      <c r="D1095" t="inlineStr">
        <is>
          <t>お節介焼き(4%)；お節介屋</t>
        </is>
      </c>
      <c r="E1095" t="inlineStr">
        <is>
          <t>介入；干渉；余計なこと；ちょっかい；おせっかい</t>
        </is>
      </c>
      <c r="H1095" t="n">
        <v>29</v>
      </c>
      <c r="I1095" t="inlineStr">
        <is>
          <t>ハリーはここまでお節介なのが世の中にいるなんて信じられなかった。；吉田は、 自分の柄にもないお節介で 彼を怒らせてしまったと思った。；このようなことを無理にきき出そうとするのは、全くお節介にすぎない。；しかし相手の顔を見たとたん、そんなお節介な気分は消えてしまった。；それに考えてみれば、もともとここに来たこと自体が要らぬお節介なのだ。；いくらいい女だって他人のもの、そう気にするのはお節介というもんだ。；私はお節介なことをして、他人の平和を傷つけようとは思わなかった。；それをまたあなた方のようなお節介な方がぶち壊そうとするなんて!；そして鷹原の方でも、最初のお節介は忘れたかのように彼の日常に戻っていた。；きみたちは、お節介なんかされずに、そっとしておいてほしいと思っている。；私達の件は米国のお節介な連中のせいで全世界同時中継されたんだぞ。；お節介だとは思うけど、私、あなたにもなんとかなってもらいたいのよ。；しかし、自分のお節介を無視されたからといって、怒り出すわけには行かない。；その奥に飽くことのない好奇心とお節介が漲っているのは知っている。；こういうことをお節介にしか感じられなくなっていたのは、いつからだったのだろう。；それはたとえ善意からであっても、大きなお節介に過ぎないんだよ。；挨拶にすら来ないと思ったら、またつまらないお節介を焼いてるワケね。；「ちょっとお節介すぎるけど、まあいいほうですよ」 電車はすぐに来た。；お節介だと思われるかもしれないけど、あとで電話してみよう。；高校生になったぼくの側にも、姉のようにお節介を焼く先輩がいた。；もちろん深雪は兄の言葉が単なるお節介ではないと知っている。；だが、携帯電話で香織にその話をしたお節介で意地の悪い友達がいたらしい。；お節介をするのが、まるで商売みたいになりましてね、ヒュームさん。；おれも、勝手にさしてお節介してもらいたくない時があった。；でも、私のやっていることは単なるお節介だろうなーという気もするけどね。；造物主は、その法則を施行するのに、お節介な人間など必要としないのだ。；何も自分一人、そんなお節介をする必要はない、と拗ねることはやめよう。；エリオが側にいなくて良かったな、とついお節介にそんなことを思ってしまう。；街中の夜空にひびきわたり、お節介な奴が一一〇番したかもしれない。</t>
        </is>
      </c>
      <c r="J1095">
        <f>HYPERLINK("https://www.weblio.jp/content/お節介", "词义详情")</f>
        <v/>
      </c>
      <c r="K1095">
        <f>HYPERLINK("https://yourei.jp/お節介", "查看例句")</f>
        <v/>
      </c>
    </row>
    <row r="1096">
      <c r="A1096" t="inlineStr">
        <is>
          <t>汚染</t>
        </is>
      </c>
      <c r="B1096" t="inlineStr">
        <is>
          <t>成功</t>
        </is>
      </c>
      <c r="C1096" t="inlineStr">
        <is>
          <t>読み方：おせん
［名］(スル)汚れること。特に、細菌・ガス・放射性物質などの有毒成分やちりなどで汚れること。また、汚すこと。「工場廃液が河川を—する」「大気—」</t>
        </is>
      </c>
      <c r="D1096" t="inlineStr">
        <is>
          <t>汚染獣(11%)；汚染地域；汚染源；汚染物；汚染度</t>
        </is>
      </c>
      <c r="E1096" t="inlineStr">
        <is>
          <t>汚れ；公害；汚す；汚濁；汚染物質</t>
        </is>
      </c>
      <c r="F1096" t="inlineStr">
        <is>
          <t>呪波汚染；細菌汚染；精神汚染；汚染対策；カドミウム汚染</t>
        </is>
      </c>
      <c r="G1096" t="inlineStr">
        <is>
          <t>汚染水；汚染者負担原則；汚染米；汚染事故；汚染被害</t>
        </is>
      </c>
      <c r="H1096" t="n">
        <v>29</v>
      </c>
      <c r="I1096" t="inlineStr">
        <is>
          <t>人間がタンタルを利用していることに伴う汚染が発見されたことはない。；赤い森のある場所は、世界でもっとも汚染された地域のひとつである。；このような放射性物質で汚染された物や人を浄化する作業を除染と呼ぶ。；また、低温での流通がされていれば汚染は問題にならないとしている。；表面汚染は、固定されているか、除去可能か、いずれかの可能性がある。；近年では中国産原料の使用や材料の汚染なども問題になってきている。；感染症の汚染源となる可能性があるため、適切に処分する必要がある。；それでも、この場所を完全に電波汚染から開放することは不可能である。；また、それとは別の中国のメラミン粗悪品の汚染ルートが浮上してきた。；高レベルの汚染は、人と環境に大きなリスクを引き起こすかもしれない。；汚染源とどのようにして汚染が病気を引き起こしたのかは現在調査中である。；汚染などを改善するため、いくつかのプロジェクトが行われている。；キセノンを追加したより汚染の少ない改良バルーンが計画されている。；最も重要な感染源は、患者の糞便や吐瀉物に汚染された水や食物である。；そのため、多様な生態系が構築されているが、一方で水の汚染が進んでいる。；火山灰などに汚染された植物を食べた家畜が死亡するようになった。；条約では、ヘイズ汚染の原因となる行動に対する罰金などを定めている。；ベラルーシとウクライナの汚染地域でも、乳癌の増加は報告されている。；虫卵に汚染された食物を食べたり、卵の付いた指が感染源となる場合が多い。；ただし、これらの検出結果はいずれも汚染が疑われるほどのものではない。；一方、施設型は別の場所で処理するために汚染された物質を除去するものを指す。；汚染された空気は周囲に充満し、また換気扇や窓を通じ建物内へと侵入する。；ブッシュは他にもマサチューセッツ州の海が汚染されていることを攻撃した。；周辺地域の人口の増加に伴い、ポーク海峡の水質の汚染が進行している。；カナダ放送協会はこの汚染からの回復に50年を必要とするだろうと述べた。；この一連の流行は飲料用の水が下水によって汚染されたために発生している。；また土壌はセンチュウに汚染されていないことが栽培の条件となる。；土壌や糞などから広く発見されるが、穀類や繊維を汚染することがある。；産業活動にともなう各種の化学物質等による汚染が各所で発生している。</t>
        </is>
      </c>
      <c r="J1096">
        <f>HYPERLINK("https://www.weblio.jp/content/汚染", "词义详情")</f>
        <v/>
      </c>
      <c r="K1096">
        <f>HYPERLINK("https://yourei.jp/汚染", "查看例句")</f>
        <v/>
      </c>
    </row>
    <row r="1097">
      <c r="A1097" t="inlineStr">
        <is>
          <t>遅い</t>
        </is>
      </c>
      <c r="B1097" t="inlineStr">
        <is>
          <t>成功</t>
        </is>
      </c>
      <c r="C1097" t="inlineStr">
        <is>
          <t>読み方：おそい
［形］［文］おそ・し［ク］
１物事の進む度合いが小さい。動作・進行などに時間がかかる。のろい。「列車の進み方が—・い」「仕事が—・い」「進歩が—・い」「物わかりが—・い」⇔速い。
２（「晩い」とも書く）ある基準より、かなり時がたっている。時期が遅れている。「—・い朝食をとる」「もう—・いから寝よう」「今年は花が—・い」⇔早い。
３時機に遅れている。間に合わない。「悔やんでももう—・い」
[派生]おそさ［名］</t>
        </is>
      </c>
      <c r="D1097" t="inlineStr">
        <is>
          <t>遅い時間(3%)；遅いため(3%)；遅い時期；遅い昼食；遅い朝食</t>
        </is>
      </c>
      <c r="E1097" t="inlineStr">
        <is>
          <t>鈍い；手遅れ；スロー；鈍；鈍重</t>
        </is>
      </c>
      <c r="F1097" t="inlineStr">
        <is>
          <t>最も遅い；より遅い；非常に遅い；かなり遅い；比較的遅い</t>
        </is>
      </c>
      <c r="H1097" t="n">
        <v>29</v>
      </c>
      <c r="I1097" t="inlineStr">
        <is>
          <t>たぶんもう一瞬あとだったら、彼の計画を実行するのに遅すぎただろう。；事情聴取から解放された時間は、僕よりも遅かったのではないかと思う。；始めたのは遅かったが、彼女を最も有名にしたスポーツはゴルフだった。；比較的遅くまで使用されたこともあり、本形式の払下げ車は存在しない。；また、セキュリティホールの多さと対応の遅さもこの時期に表面化した。；帰りが遅かった時は、夜を徹して一睡もせずに坐っていることもあった。；その様はまるで健康な心臓をいまや遅しと待ち受けているように見えた。；しかし途中で遅かれ早かれ、なにか事故が起こるとは思っていたのです。；人が一定の空間で動かずじっとしていると時間の流れが遅く感じる。；このため一般には同一区間の定期列車よりも表定速度の遅い列車が多い。；しかしその後の期間もその付近の大半と同様に人口成長速度は大変遅かった。；その為他枠のドラマより開始・終了時期がそれぞれ1ヶ月遅くなっていた。；XMLを使用すべきかとの議論が何年も続けられているが、進展は遅い。；また、最も遅く到達したのはニュージーランドではないかと考えられる。；あともう少し遅かったら大変なことになっていたと医者に言われた。；「あなたの来るのが遅すぎたのですよ」彼はこういつも答えるのだった。；志摩子さんの側にあった札だったから、見つけた時にはすでに遅かった。；おそらく、そういう面での発達が人よりずっと遅かったんじゃないの?；私は急いで飛行船の高度を落としたが、それでも遅すぎるくらいだった。；その先が二つの廊下に枝分かれしているのを目にとめたときはもう遅かった。；彼が到着するのを今や遅しと待っているかも知れない自分の息子がいるのだ。；そのときは戦うには遅過ぎたので、侵入部隊は夜の間の露営に入った。；さらに、遅いだけでなくその最大潜航速度で進める時間も限られていた。；タタールは建設期間中に反応する間がなく、後になっては既に遅かった。；どことなく頭がぼーっとしているのは、昨日少し遅かったせいだろうか。；この低速度で発生する遅発中性子は、原子炉が停止する速度を制限する。；このように日本への浸透は比較的遅かった作品だが、現在では人気は高い。；真理亜が来るのがもう少し遅ければ、行き違いになっていたことだろう。；遅かれ早かれ自分は谷底に落ちねばならぬとは十分に承知しているくせに。</t>
        </is>
      </c>
      <c r="J1097">
        <f>HYPERLINK("https://www.weblio.jp/content/遅い", "词义详情")</f>
        <v/>
      </c>
      <c r="K1097">
        <f>HYPERLINK("https://yourei.jp/遅い", "查看例句")</f>
        <v/>
      </c>
    </row>
    <row r="1098">
      <c r="A1098" t="inlineStr">
        <is>
          <t>襲う</t>
        </is>
      </c>
      <c r="B1098" t="inlineStr">
        <is>
          <t>成功</t>
        </is>
      </c>
      <c r="C1098" t="inlineStr">
        <is>
          <t>読み方：おそう
［動ワ五（ハ四）］
１不意に攻めかかる。不意に危害を加える。襲撃する。「敵を—・う」「寝込みを—・う」「暴漢に—・われる」
２不意にやって来る。急におしかける。「新婚家庭を—・う」
「清い香りがかすかに鼻を—・う気分がした」〈漱石・草枕〉
３風雨や地震などが起こって、被害を及ぼす。「津波が三陸沿岸を—・う」
４（多く受け身の形で）好ましくないことが、覆いかぶさるようにやってくる。「死の恐怖に—・われる」「激痛に—・われる」→魘(おそ)われる
５家系・地位などを受け継ぐ。「先代の跡を—・う」
６押しつける。のしかかる。
「船は—・ふ、海のうちの空を」〈土佐〉
[可能]おそえる</t>
        </is>
      </c>
      <c r="D1098" t="inlineStr">
        <is>
          <t>襲うかもしれ；襲う可能性；襲うかも知れ；襲うよう命じ</t>
        </is>
      </c>
      <c r="E1098" t="inlineStr">
        <is>
          <t>攻撃；起こる；襲撃；殺す；乱暴</t>
        </is>
      </c>
      <c r="H1098" t="n">
        <v>29</v>
      </c>
      <c r="I1098" t="inlineStr">
        <is>
          <t>はじめて会ったその晩、彼らは恐ろしい悪魔のような黒い影に襲われる。；勤務中の記者が襲われて死亡するのは、日本の言論史上初めてであった。；自身の競技前から強い緊張が襲っている様子を見せた中での挑戦となった。；異世界で気がつくと女性の肉体になっていて、突然主人公を危機が襲う。；これは敵に襲われたときにすぐに逃げることができるためであると考えられる。；大西洋でいくつかの小さな船を襲った後、彼はニューヨークに向かった。；その後、世界はかつてない巨大な天変地異に襲われ、文明は崩れ去った。；また、同科のダルマザメと同様に自分より大きな動物を襲うこともある。；予防接種を受けた先生と生徒が次々とゾンビ化し、人を襲い始めたのだ。；そのような個体はいずれヒトを襲うようになる恐れがあるからである。；ただし、不意に近づくと驚いて人間を襲う恐れがあるので危険である。；王妃の寝込みを襲おうとするような連中だから、どれも相当の腕である。；そんなある日闇文明の工場が自然文明を襲い自然文明の女王が倒れてしまった。；この作品のゾンビは、人間を襲わず、人間をゾンビ化させることもない。；この力を使ってブラックパールをはじめとする数々の船を襲ってきた。；北米インディアンが襲って来るときは、砦の間を抜けて来るだけだった。；エオンウェの陣を襲った二人は、残った二つのシルマリルを手に入れた。；彼らは島で吸血鬼に襲われながら、明の存在を知り助けてほしいと合流する。；治安もすこぶる悪く、野盗に襲われていつ死んでしまうかもわからない。；物資を得るためにボストン港に浮かぶ島に兵士が送られて農民を襲わせた。；北海道南西沖地震で街ごと大津波に襲われた青苗地区の近くに位置する。；ピアフは激しい悲しみと衝撃に襲われたが、予定の公演を行うことを決めた。；それも一人ではなく幾多の黒の刺客が現れ、ティンに襲い掛かってくる。；ある惑星では、農業用コンピュータが肥料を得るために人間を襲っていた。；全てを知るために、常に襲い掛かる頭痛に苦しみつつも脱出を開始する。；そのうちの三人は剣をかざして、今まさにわたしを襲おうとしている。；暴漢に襲われていた女性らを助け、共に馬車で英仏海峡の港を目指す。；この衝撃が初めて私自身に襲ってきたときのことを良く覚えている。；しかし、既に虚化していたため襲い掛かってきた所を一護に助けられる。</t>
        </is>
      </c>
      <c r="J1098">
        <f>HYPERLINK("https://www.weblio.jp/content/襲う", "词义详情")</f>
        <v/>
      </c>
      <c r="K1098">
        <f>HYPERLINK("https://yourei.jp/襲う", "查看例句")</f>
        <v/>
      </c>
    </row>
    <row r="1099">
      <c r="A1099" t="inlineStr">
        <is>
          <t>遅くとも</t>
        </is>
      </c>
      <c r="B1099" t="inlineStr">
        <is>
          <t>成功</t>
        </is>
      </c>
      <c r="C1099" t="inlineStr">
        <is>
          <t>読み方：おそくとも
［副］「遅くも」に同じ。「—明日には仕上がる」</t>
        </is>
      </c>
      <c r="D1099" t="inlineStr">
        <is>
          <t>遅くとも七時；遅くとも八時</t>
        </is>
      </c>
      <c r="H1099" t="n">
        <v>29</v>
      </c>
      <c r="I1099" t="inlineStr">
        <is>
          <t>遅くとも八時十五分までには、私の事務所までおいで願いたいのですが。；その日の夜か、遅くとも翌日の朝までには、疾風は必ず家に戻ってきた。；とすると、どんなに遅くとも二十六日の夕方には東京を出ているはずだ。；エジプトでは遅くとも中王国時代に折畳スツールが登場していたという。；これがどうやら遅くとも七〇年代ぐらいになったらほとんど失われてしまう。；この作業は、遅くとも翌年の一〇月一五日までに完成されなければならない。；予定によれば影山は遅くとも六時ごろには山頂に達しているはずである。；現存する構造は遅くともプトレマイオス朝時代の後期までには建造された。；しかし遅くとも二三日もすれば、意識は回復するだろうとの診断であった。；遅くとも19世紀初めにはホムブルク地区にユダヤ人家族が住んでいた。；白 - 青の旗は、遅くとも20世紀の初めから公式に用いられている。；その後、遅くとも約35億年前には生命が誕生したと考えられている。；遅くとも1930年代にはこの文字を使ってさまざまな文書が書かれていた。；遅くとも16世紀には現在の位置に集落があったと考えられている。；従って、遅くともそれまでには次の大陸に到達しなければならない。；調査によると、この移住は遅くとも17世紀に起こったと考えられている。；遅くとも1593年までには彼はこの温度計を発明したとされている。；七時過ぎにここを出たとすれば、遅くとも八時には家に着いていなければならない。；しかし遅くとも18世紀にはこの裁判所の重要性は大きく後退していた。；遅くとも朝の九時ごろには出かけなければならないんだろう。；遅くとも今晩の八時までには結果をおしらせすることができましょう。；私は朝は七時に起き、夜は遅くとも十一時にはベッドへ入っている。；遅くともこの頃には、現在の旧宮殿の場所に城塞が建てられていた。；章太郎は、遅くとも七時までに行くつもりだから、といっていたのだ。；この建物は、遅くとも18世紀からこの広場にあったことが証明されている。；そのため遅くとも午前0時には営業を終了しなければならないことになっている。；遅くとも五時半過ぎには作業を始めていたのではないだろうか。；遅くとも8世紀以降には、ザクセン人が現在の市域内で確認されている。；遅くとも中世以降には、この川はこの地域の重要な経済の生命線となっていた。</t>
        </is>
      </c>
      <c r="J1099">
        <f>HYPERLINK("https://www.weblio.jp/content/遅くとも", "词义详情")</f>
        <v/>
      </c>
      <c r="K1099">
        <f>HYPERLINK("https://yourei.jp/遅くとも", "查看例句")</f>
        <v/>
      </c>
    </row>
    <row r="1100">
      <c r="A1100" t="inlineStr">
        <is>
          <t>遅番</t>
        </is>
      </c>
      <c r="B1100" t="inlineStr">
        <is>
          <t>成功</t>
        </is>
      </c>
      <c r="C1100" t="inlineStr">
        <is>
          <t>読み方：おそばん
交代制勤務で、後から出勤するほうの番。遅出(おそで)。⇔早番(はやばん)。</t>
        </is>
      </c>
      <c r="D1100" t="inlineStr">
        <is>
          <t>遅番クラブ(3%)</t>
        </is>
      </c>
      <c r="H1100" t="n">
        <v>29</v>
      </c>
      <c r="I1100" t="inlineStr">
        <is>
          <t>その日から諸井が遅番の日にここに泊まってゆくのが当たり前になった。；この時刻には、遅番の女店員も帰って、店の中には美那子ひとりになる。；父は、今日は遅番だと言っていたので昼近くまで寝ているだろう。；遅番の彼女らが翌朝六時に起きて働くなんて全く信じられない。；三人の夜勤の女中のうち、一人が遅番で、明け方まで起きているのだそうであった。；今日は遅番で午後二時から十時までの勤務であった。；ポチは今日遅番だったがもう帰っているはずだった。；受付の遅番は六時半までだから、この人は三十分、みのりを待っていたのだ。；そして仕事は昼間から遅番にかわったので、焼き鳥屋に来るのは夜の十二時過ぎだ。；三日間は何事もなく過ぎたが、四日目に重兵衛は遅番を振りあてられて、下城が夜になった。；今夜のアルバイトは朝五時までの遅番である。；食堂は十一時半からやっているので、早番の二人はその頃になると「行ってきます」と、台についている遅番の二人に声を掛け食事に行く。；多分明番か、遅番で、大村は一人酒を飲んでいたのでしょう。；だから、もしかしたら最初は門衛か遅番の役人などに託す予定だったのかもしれない。；十二月二十日、みのりは遅番で十時二十分に会社に着いた。；同伴組や遅番の子たちが出勤してくるのが午後九時過ぎで、客入りのピークはさらに一時間ほど後になる。；かん高い音をたててとまった車の前に、駐車場の顔馴染みの遅番の老人が小屋のなかから出てきて立ちどまった。；そのうち、夜中から始まる遅番の中国クラブに姿を現すようになり、今は夕方から堂々と街を歩いている。；つぎの夜、伊奈は遅番の勤務を終えると、その足で新宿に向った。；それにつづく十数個はおそ番、あるいは宿直の者であろう。；委託された関西の芸能事務所に所属するフリーアナウンサーが主にテレビ・ラジオの遅番を担当する。；ウエイトレスの彼女は、店が遅番のときは、昼過ぎまで槙原の部屋で過ごしていることが多い。；工場は二十四時間三交替制を取っており、遅番の交替時刻は二時間前に終わっている。；早苗はその日遅番だったんですけれど、髪をセットするとかいって、わりかたはやく家を出たんです。；旅館のフロントの奥にあるそれが、遅番の時間にときどきすごい音をたてて、勝手に動き出すのが聞こえてはいた。；翌日は由美ちゃんと交替しますと申し出て、早番から遅番まであたしが続けて働き、その間に彼女を病院へ行かせた。；本人にはっきり言うつもりで、遅番が終わった時間に、裏口近くにあるタイムカードのところで彼女を待ち伏せした。；自分でもそれに気づいてあわてたのだろう、照れたような顔になって、 「遅番だけの仕事ですし」と、つけ加えた。；あの〈菊の間〉の事件があったとき、あなた、遅番だったわね?</t>
        </is>
      </c>
      <c r="J1100">
        <f>HYPERLINK("https://www.weblio.jp/content/遅番", "词义详情")</f>
        <v/>
      </c>
      <c r="K1100">
        <f>HYPERLINK("https://yourei.jp/遅番", "查看例句")</f>
        <v/>
      </c>
    </row>
    <row r="1101">
      <c r="A1101" t="inlineStr">
        <is>
          <t>恐らく</t>
        </is>
      </c>
      <c r="B1101" t="inlineStr">
        <is>
          <t>成功</t>
        </is>
      </c>
      <c r="C1101" t="inlineStr">
        <is>
          <t>読み方：おそらく
［副］《「恐らくは」の略》
１確度の高い推量を表す語。きっと。「明日は—雨だろう」
２はばかりながら。
「身共は一人ぢゃと思うて、あなどっておぢゃるが、—、いづれも大勢なれども、負くる太郎ではおりないぞ」〈虎寛狂・千切木〉
→多分(たぶん)［用法］</t>
        </is>
      </c>
      <c r="D1101" t="inlineStr">
        <is>
          <t>恐らく最も；恐らくこういう；恐らく二度と；恐らくさう；恐らくこれから</t>
        </is>
      </c>
      <c r="E1101" t="inlineStr">
        <is>
          <t>おそらく；多分；たしか；大抵；先ず</t>
        </is>
      </c>
      <c r="F1101" t="inlineStr">
        <is>
          <t>恐らく最も有名；恐らく誰一人；恐らく何らかの；恐らく単なる</t>
        </is>
      </c>
      <c r="H1101" t="n">
        <v>29</v>
      </c>
      <c r="I1101" t="inlineStr">
        <is>
          <t>これは恐らく反アッシリアの同盟を結成したいと望んでのものであった。；恐らく彼は当時最も大胆不敵な戦士でもあっただろうと考えられている。；恐らく、9名の襲撃者がいたとされるが、全員の情報は分かっていない。；恐らくそのうちのある程度の数が将来は別属に移される可能性がある。；ごく少数しか標本は得られていないが恐らくインド東部にも生息する。；恐らくディプロトドンはこれらの植物を主食にしていたものと見られる。；この動きは恐らく、より遠方での動乱が影響したものと考えられている。；これは恐らく支配階層の神聖性を補強するために用いられたのであろう。；恐らく地表近くの柔らかい植物を選択的に採食していたものと思われる。；これは、恐らく氷と暗い物質で構成されていることを意味している。；恐らく、この問題ではバーが専門家であると認識されたのであろう。；恐らく最も古いものはヒトの伝来にまで溯らねばならない可能性がある。；犠牲場の床は灰と牛や羊の骨で覆われ、恐らく供儀にされた動物である。；実機によるこの種の測定を実行したのは恐らくテイラーが初めてである。；恐らく、これらの名称は、クリミアの古い地名に由来すると考えられる。；彼は病院にいるが、容態は安定しており、侵入した罪で恐らく逮捕される。；恐らくモンカルムも、イギリスの布陣が分からず混乱したことであろう。；恐らく中曽根はその発言時にはアイヌのことは全く考えていなかった。；いつ完成したのか明確には知られていないが、恐らく1385年頃であろう。；しかし恐らくこれはブリタンニクスを支持している事への牽制と思われた。；メンバーは、今後同じような形態でリリースすることは恐らくないとしている。；産卵は春に行われ、恐らく成体になるのに2年かかると考えられている。；恐らく、今日的な感覚でいえば、女性には社会的平等が与えられていない。；ジョイスの父も祖父も船員であり、父は恐らく沿岸警備隊に入っていた。；同日のうちにまた小規模な群れに遭遇し、「恐らく十数頭」が殺された。；これは恐らくクリックのラテン語の成績があまり良くなかったためである。；小刀を持つ時は左手、食事は右手を使うことから恐らく両利きと見られる。；恐らくそれは現在残るジッグラトの下に埋もれているものと思われる。；そうすることで彼らは恐らく他の関連障害に罹患している被験者を含めていた。</t>
        </is>
      </c>
      <c r="J1101">
        <f>HYPERLINK("https://www.weblio.jp/content/恐らく", "词义详情")</f>
        <v/>
      </c>
      <c r="K1101">
        <f>HYPERLINK("https://yourei.jp/恐らく", "查看例句")</f>
        <v/>
      </c>
    </row>
    <row r="1102">
      <c r="A1102" t="inlineStr">
        <is>
          <t>恐れ</t>
        </is>
      </c>
      <c r="B1102" t="inlineStr">
        <is>
          <t>成功</t>
        </is>
      </c>
      <c r="C1102" t="inlineStr">
        <is>
          <t>読み方：おそれ
１（恐れ）こわがる気持ち。恐怖。不安。「将来への漠たる—」
２（畏れ）敬い、かしこまる気持ち。畏怖(いふ)・畏敬(いけい)の念。「神の偉大さに—をいだく」
３（虞）よくないことが起こるかもしれないという心配。懸念。「自殺の—がある」</t>
        </is>
      </c>
      <c r="D1102" t="inlineStr">
        <is>
          <t>恐れられる；恐れおののい；恐れさせ；恐れおののき；恐れおののく</t>
        </is>
      </c>
      <c r="E1102" t="inlineStr">
        <is>
          <t>危険；心配；不安；恐怖；危機</t>
        </is>
      </c>
      <c r="F1102" t="inlineStr">
        <is>
          <t>ひどく恐れ；発生する恐れ；少しも恐れ；驚き恐れ；一番恐れ</t>
        </is>
      </c>
      <c r="G1102" t="inlineStr">
        <is>
          <t>恐れ入り；恐れながら；恐れ入る；恐れ多い；恐れげ</t>
        </is>
      </c>
      <c r="H1102" t="n">
        <v>29</v>
      </c>
      <c r="I1102" t="inlineStr">
        <is>
          <t>この人魚が出現すると嵐が起こるとされ、船乗り達には恐れられていた。；恐怖と恐れと共に人の影にいた彼らが人間との戦争を始め、今に至る。；そのような個体はいずれヒトを襲うようになる恐れがあるからである。；ただし、不意に近づくと驚いて人間を襲う恐れがあるので危険である。；なお、墓石が崩れる恐れがあるため、内部に入ることは禁止されている。；また、安全性は確立されているものの喉頭や気管を損傷する恐れもある。；エジプト政府が売却に反発することを顧客が恐れたのが失敗した理由らしい。；これは過去の皇帝であるゼノンの死の際のようになることを恐れていたためと伝わる。；これらの事で自らの身に危険が及ぶことを恐れ、同年の内に蜀漢へ亡命した。；そのことで、自分への誅殺を恐れた英布は、反乱の準備を整えはじめた。；アダムズは自分の評判が傷つけられることを恐れたが弁護を引き受けた。；頼朝は他の女性とも通じたが、政子を恐れて半ば隠れるように通っている。；室戸など遠洋漁業中心の港では、風評を恐れて被曝は公にならなかった。；もっとも、権力を恐れてこれまでの言動を翻した者の方がはるかに多かった。；アメリカ現代絵画は、その概念的な袋小路に達することを恐れていた。；ヌルミはその後、競技しすぎて燃え尽きることを恐れてアメリカを去った。；兄弟の妻をめとることは、聖書の教えに抵触する恐れがあったためである。；恐れをなした洪信は、皆にこの事を固く口止めして山を降り、都へ戻った。；このような行動は発言や執筆の自由を失うことを恐れたことが要因であるとも考えられている。；彼らは人間を襲っており、人間たちからは「鬼」と呼ばれて恐れられていた。；このように無法者仲間から信用されるようになったが、恐れられるようにもなった。；存在を認めていない恐れは、解決も克服もできないからである。；フルシチョフも事態が制御不能になりつつあることを恐れていた。；また董卓の侍女と密通しており、この事がばれないかと恐れていたという。；彼は「殺されるよりも、負傷して軍医にばれることを恐れた」と主張した。；以下のケースは血液に細菌が混入している恐れがあるため不可となる。；今この賊らは完全に賈信の手中にあり、事態が急変する恐れもありません。；なぜなら、参謀長が父・国王に直接上訴する事を恐れたからである。；また、誤解の恐れがなければ単に品種と表記されることも多い。</t>
        </is>
      </c>
      <c r="J1102">
        <f>HYPERLINK("https://www.weblio.jp/content/恐れ", "词义详情")</f>
        <v/>
      </c>
      <c r="K1102">
        <f>HYPERLINK("https://yourei.jp/恐れ", "查看例句")</f>
        <v/>
      </c>
    </row>
    <row r="1103">
      <c r="A1103" t="inlineStr">
        <is>
          <t>恐れ入る</t>
        </is>
      </c>
      <c r="B1103" t="inlineStr">
        <is>
          <t>成功</t>
        </is>
      </c>
      <c r="C1103" t="inlineStr">
        <is>
          <t>読み方：おそれいる
［動ラ五（四）］
１相手の好意などに対して、ありがたいと思う。恐縮する。「ご厚情のほど—・ります」
２相手に失礼したり、迷惑をかけたりしたことに対して、申し訳なく思う。「恐れ入りますが」の形で、ものを頼んだり尋ねたりするときなどのあいさつの言葉としても用いる。恐縮する。「ご心配をおかけして—・ります」
３あまりのことに驚き入るばかりである。
㋐相手の才能・力量に太刀打ちできないと思う。脱帽する。「—・った腕前だ」
㋑物事のひどさにあきれる。「あれで秀才とは—・るよ」
４非常にこわがる。
「この法師いよいよ—・りたり」〈著聞集・一七〉</t>
        </is>
      </c>
      <c r="D1103" t="inlineStr">
        <is>
          <t>恐れ入るよりほか</t>
        </is>
      </c>
      <c r="E1103" t="inlineStr">
        <is>
          <t>立派な；素晴らしい；殊勝な；縮退；奇特な</t>
        </is>
      </c>
      <c r="H1103" t="n">
        <v>29</v>
      </c>
      <c r="I1103" t="inlineStr">
        <is>
          <t>その時の御奉行様の御明智には一同皆恐れ入りましたものでございます。；恐れ入ったふりをして、もっともらしいにせの情報を渡すかも知れない。；じゃ恐れ入りますがお二人で下へお連れしておいてくれませんか。；おれの面の皮も相当なもんだが、お前さんの面の皮にも恐れ入るよ!；質のよいものなら、たった一〇〇グラムで一万円近くするから恐れ入る。；場合によっては、親が自分の子を平気で食べてしまうほどで、恐れ入る。；相手が一も二もなく恐れ入るだろうと思っていたのである。；自分は笑われても全く致し方がないと思って、依然として恐れ入ってた。；そいつは町奉行からこまかい点まで指摘されると、たちまち恐れ入った。；一同が恐れ入ったうちに、お角さんが、土方とはどんな男だか見てやりたい!；心臓は強い方であるが、この時ばかりは、全く恐れ入ってしまった。；ところが、谷川はそれも読んで妙手を用意していたのだから恐れ入る。；天皇はただ「そうか」と言うだけでなので、高崎は恐れ入って退出する。；しかし、見わたしたところ、誰もただ心から恐れ入っているように見えた。；恐れ入る、と言って酒を受けながら、康之助は額ににじんだ汗を拭った。；それを見た親類たちは、お魎の力のなんと深く広大なことかと恐れ入るのだ。；それも、左手の始末をしにきた小娘に邪魔されたのだから恐れ入る。；三四郎は原口さんの諸機関が一度に働くのを目撃して恐れ入った。；それは重々恐れ入りますと云つて一切の祕密を夫とをぢさんとの前で白状した。；並みいる若い者は、何かなしに恐れ入って、一度に頭を下げて聞いている。；長官はなんと云ったか知らないが、定めてひどく恐れ入らせられたことであろう。；その節はいろいろ御心配をかけまして恐れ入りました。；「これは恐れ入ります」 店の者に頭を下げられ、すぐ奥の六畳に通される。；彼女の動作の計算された完壁さには、ときとして恐れ入ったものだ。；それも五分や十分ではなしに、三十分、一時間なのだから恐れ入る。；恐れ入りますが六千ポンドの小切手を作っていただけましょうか?；恐ろしいことはなかったが、ここは恐れ入っているように見せなければならないところである。；水上さん、恐れ入りますが遠藤さんのところへ僕を連れて行ってくれませんか?；ペンペン草の返礼にあれを喫べさせられては、と土耳舌帽氏も恐れ入った。</t>
        </is>
      </c>
      <c r="J1103">
        <f>HYPERLINK("https://www.weblio.jp/content/恐れ入る", "词义详情")</f>
        <v/>
      </c>
      <c r="K1103">
        <f>HYPERLINK("https://yourei.jp/恐れ入る", "查看例句")</f>
        <v/>
      </c>
    </row>
    <row r="1104">
      <c r="A1104" t="inlineStr">
        <is>
          <t>恐れる</t>
        </is>
      </c>
      <c r="B1104" t="inlineStr">
        <is>
          <t>成功</t>
        </is>
      </c>
      <c r="C1104" t="inlineStr">
        <is>
          <t>読み方：おそれる
［動ラ下一］［文］おそ・る［ラ下二］
１危険を感じて不安になる。恐怖心を抱く。「報復を—・れる」「死を—・れる」「社会から—・れられている病気」
２よくないことが起こるのではないかと心配する。危ぶむ。「失敗を—・れるな」「トキの絶滅を—・れる」
３（畏れる）近づきがたいものとしてかしこまり敬う。畏敬(いけい)する。「神をも—・れぬしわざ」
４《近世江戸語》「恐れ入る3㋑」に同じ。
「栄螺(さざえ)の壺へ赤辛螺(あかにし)を入れて出すから—・れらあ」〈洒・四十八手〉</t>
        </is>
      </c>
      <c r="D1104" t="inlineStr">
        <is>
          <t>恐れることなく(2%)；恐れるべき；恐れる様子もなく；恐れる色もなく；恐れるあまりに</t>
        </is>
      </c>
      <c r="F1104" t="inlineStr">
        <is>
          <t>少しも恐れる；もっとも恐れる；一番恐れる；もはや恐れる</t>
        </is>
      </c>
      <c r="H1104" t="n">
        <v>29</v>
      </c>
      <c r="I1104" t="inlineStr">
        <is>
          <t>それを恐れるのは自分の独立と自由とが完全でない証拠に過ぎないから。；我々の支配と完全な所有とは、婦人たちが限りなく恐れるところである。；我々が我々を恐れるものから受ける尊敬は真の尊敬ではないのである。；自分がしもしないことで、世間の眼なんかに恐れることはないじゃないの。；私の言おうとする事が読者に十分の理解を与え得なくはないかと恐れる。；中にはただ『裁判される』ということばを恐れるのがいるんですからな。；女の一人や二人、何を持って来たって、何の恐れることがあるものか。；親鸞の慈悲の前には、悪を恐れる心ある以上は、いかなる悪も許された。；誰もが恐れる男・ジェイが街に戻ってきて、街の不良たちは騒然となる。；しかし心の平安を失ってあわて恐れるとは、イエスの弟子らしくもない。；また、鉄を恐れるとも言われているため常に鉄剣を帯びていれば良いとされる。；ガズを恐れる気にならないのは、たぶん死を恐れていないからだろう。；人間の心に驚異心が無くなつた、見えざる目を恐れると云ふ事が無くなつた。；どこの世界に、鏡に写った自分の影を、あの様に恐れる者がありましょう。；私たちが今日の生活の文化の問題として恐れるべき点はここにある。；本当をいえば、誤解を恐れるなら、私は始めから何事をもいわぬがいいのだ。；百姓達には少しも日本の兵タイを恐れるような様子が見えなかった。；完全に崩壊した九龍グループを恐れる者はもうこの国にはいなかった。；慣れたものには時刻といい、所柄といい熊の襲来を恐れる理由があった。；僕は「より誠実であろう」とするものであって結果を恐れるものではない。；さりとて嘘を吐く訳にも行かないので、彼女は恐れるように窃と答えた。；パリは恐慌に陥ったが、フランソワは恐れるものは何もないと強弁した。；我々が戻った時にそう考えてくれる人がいないことを恐れる。；ビデオを見てなくてもサマラの姿を見た者はテレビを極端に恐れる描写を見せる。；一部のシカは人を恐れることを知らず、近づいても逃げなかったようである。；みんなうつむき込んで腰をかけ、眼を閉じ、光線を恐れるように見えた。；八蔵の肉が尽きた後、西川は船長に殺されることを恐れるようになる。；近年、日本ではやや神経質な程に、これら雑菌を恐れる傾向が見られる。；あの病気にかかつた人間は非常に水を恐れるといふことだ。</t>
        </is>
      </c>
      <c r="J1104">
        <f>HYPERLINK("https://www.weblio.jp/content/恐れる", "词义详情")</f>
        <v/>
      </c>
      <c r="K1104">
        <f>HYPERLINK("https://yourei.jp/恐れる", "查看例句")</f>
        <v/>
      </c>
    </row>
    <row r="1105">
      <c r="A1105" t="inlineStr">
        <is>
          <t>恐ろしい</t>
        </is>
      </c>
      <c r="B1105" t="inlineStr">
        <is>
          <t>成功</t>
        </is>
      </c>
      <c r="C1105" t="inlineStr">
        <is>
          <t>読み方：おそろしい
［形］［文］おそろ・し［シク］《動詞「恐る」の形容詞化》
１危険を感じて、不安である。こわい。「—・い目にあう」「戦争になるのが—・い」「ほめるだけほめて後が—・い」
２程度がはなはだしい。
㋐驚くほどすぐれている。はかりしれない。「—・く頭の回転が速い」「人の一念とは—・いものだ」
㋑驚きあきれるほどである。ひどい。「—・く寒い」「こんなことも知らないとは—・い」
[派生]おそろしがる［動ラ五（四）］おそろしげ［形動］おそろしさ［名］
[用法]おそろしい・こわい——「草原で恐ろしい毒蛇にあい、怖かった」「彼の恐ろしい考えを知って、怖くなった」のように用いる。それぞれの「恐ろしい」「怖い」を入れ換えるのは不自然である。◇「恐ろしい」は、「怖い」に比べて、より客観的に対象の危険性を表す。「怖い」は主観的な恐怖感を示す。「草原で恐ろしい蛇にあって」も「怖い」とは感じない場合もあるわけである。◇「恐ろしい」は、「日曜の行楽地は恐ろしいばかりの人出だ」「習慣とは恐ろしいものだ」のように、程度がはなはだしいとか、驚くほどだ、ということを示す場合もある。この場合、「怖い」とはふつう言わない。「怖いほどの人出」と言えば、自分に危険が及びそうな、という主観的表現となる。</t>
        </is>
      </c>
      <c r="D1105" t="inlineStr">
        <is>
          <t>恐ろしいこと(7%)；恐ろしいもの(6%)；恐ろしい顔；恐ろしい力；恐ろしい目</t>
        </is>
      </c>
      <c r="E1105" t="inlineStr">
        <is>
          <t>巨大；大きい；大変；激しい；ひどい</t>
        </is>
      </c>
      <c r="F1105" t="inlineStr">
        <is>
          <t>こんな恐ろしい；そんな恐ろしい；もっと恐ろしい；世にも恐ろしい；最も恐ろしい</t>
        </is>
      </c>
      <c r="G1105" t="inlineStr">
        <is>
          <t>恐ろしい老人；恐ろしい恐ろしい；恐ろしいいき；恐ろしい子；恐ろしいい</t>
        </is>
      </c>
      <c r="H1105" t="n">
        <v>29</v>
      </c>
      <c r="I1105" t="inlineStr">
        <is>
          <t>余は生れてからこの時ほど強くまた恐ろしく光力を感じた事がなかった。；はじめて会ったその晩、彼らは恐ろしい悪魔のような黒い影に襲われる。；ひとりならず、そのあまりの恐ろしさに気を失った者があるほどだから。；しかし、僕がこの事件を恐ろしく思うのはもっと別の意味もあるのです。；だまっていたら自分が何をするかわからないのが恐ろしくなったのです。；うしろを振り返って、直接その男の顔を見るのが恐ろしかったのである。；父のせーせーと肩を上下して呼吸してゐるのが新次には恐ろしかつた。；悪魔だってやつらといっしょに海に出るのは恐ろしかったにちげえねえ。；彼が悪意をもった危険なものであるかのような気がして、恐ろしかった。；物語が提示する恐ろしいことの多くは、今日の世界で現在起こっています。；プルターク・ヘブンズビーは歌詞と戦争を恐ろしいものだと述べている。；私は恐ろしさに震きながらも私は又元の悲しみの世界に引きもどされた。；その後山奥の洞窟に入っていきねこ娘はそこで恐ろしい光景を目撃する。；ときどき彼女はいかにも恐ろしそうにド・レナル夫人の名を口に出した。；彼には、こうした事実の恐ろしさを感じるだけの若さがまだあったのだ。；子供だった私には、雪の恐ろしさや難儀なことがまるでわからなかった。；そして、明日香がやっとの思いで見つけた文は、恐ろしい姿をしていた。；あまりの恐ろしさに二人は身体が震え、何も言えずに泣き出してしまう。；それが恐ろしゅうて、わしは何度この人形をうち砕こうとしたかしれぬ。；嵐の話になって婆さんは古い記憶の中から恐ろしくも凄かった嵐を語る。；しかしその恐ろしい生物兵器の生成場所を叩こうにも場所が分からない。；会ったら会ったでどうにかなりはしないかと、自分の心が恐ろしかった。；いつも恐ろしく真面目な顔をして煙草をふかしながら沖の方を見ている。；さすがの黒い騎士も、からだに水を浴びたやうに、恐ろしく思ひました。；近隣の小学校の校長は療養所の煙突から煙が出るのが恐ろしいと言った。；おそらくここに自分たちだけ残っているのが恐ろしかったんでしょう。；それは彼をどこにつれてゆくのか、それを見るのが彼は恐ろしかった。；かつての恋人を忘れることではなく、また人を愛するのが恐ろしいせい。；わたしは滑稽に見えるのが望みでなく、恐ろしく見られたかったのです。</t>
        </is>
      </c>
      <c r="J1105">
        <f>HYPERLINK("https://www.weblio.jp/content/恐ろしい", "词义详情")</f>
        <v/>
      </c>
      <c r="K1105">
        <f>HYPERLINK("https://yourei.jp/恐ろしい", "查看例句")</f>
        <v/>
      </c>
    </row>
    <row r="1106">
      <c r="A1106" t="inlineStr">
        <is>
          <t>教わる</t>
        </is>
      </c>
      <c r="B1106" t="inlineStr">
        <is>
          <t>成功</t>
        </is>
      </c>
      <c r="C1106" t="inlineStr">
        <is>
          <t>読み方：おそわる
［動ラ五（四）］教えを受ける。教えてもらう。「小学校で—・った先生」「やり方を—・る」</t>
        </is>
      </c>
      <c r="D1106" t="inlineStr">
        <is>
          <t>教わる側</t>
        </is>
      </c>
      <c r="E1106" t="inlineStr">
        <is>
          <t>指導；学ぶ；伝授；師事する；指南</t>
        </is>
      </c>
      <c r="H1106" t="n">
        <v>29</v>
      </c>
      <c r="I1106" t="inlineStr">
        <is>
          <t>学校でそのことを教わったが、そこはすこし急いで通りすぎてしまった。；日本人の母親から日本語を教わることはなく、家庭での会話は英語のみ。；教室で直接に教わった学生だけにしても数千名、いや万を越す筈だった。；そうして実に同じ話を何十回何百回も繰り返して教わったものである。；射撃を始めたのは15歳の時で父から教わったのが始まりだったという。；けれども、彼らからわれわれは世界の審判者であれと教わったのである。；学校でもしそういうふうに教わっていたら、それは訂正する必要がある。；はじめてミストロットと云う人に教わったが、大変に面白い人だと思う。；それは教わったことをその記憶の中にしまっておくだけのことです。；今の三津五郎が若い時に先輩に教わりにいった時のことを書いている。；家に電話をするかもしれないという理由で番号を教わったのではない。；わたしはわたしの家の歴史を知るずっと前に、ローマの歴史を教わった。；それで、特定のところには教わりに行かず、自分で試すことにしました。；けれど人は世間から教わって、いろんなことができるようになるものです。；だから突っ張ってから自分の四つに組むのがいいんだぞと私は教わった。；私は人間の可能性を追究する前に、末期の眼を教わってしまったのである。；この辺で熊楠も遊んだんだよ、と教わりながらあるお茶屋さんに入った。；子供が自分の骨の折れぬ仕事を教わったのは、こうした先生の口からだった。；新井は説明した後に言った通に打って見せ、基本的なことを教わった。；きみもそれを教わる時には、それにふさわしい服装を整えていてほしい。；明らかに、さっき車掌から教わったあの若いイギリス婦人にちがいない。；子供に学芸を教える役であったが、長いこと教わりに来る者がなかった。；患者のいうことに逆らっては、病気に悪いって教わったことないのかい?；梟は大人に教わったようにほうほうと鳴くわけではないことに気づいた。；薬丹の知識や技術だって、僕僕から教わった以上のことはなにも出来ない。；わしが訪ねて行くと、すぐ今までわしの聞いたことのない一曲を教わった。；わずかの間に、彼女たちに教わって、そのことばも覚えてしまいました。；また日本で行なう原子力研究には、外国の秘密の知識は一切教わらない。；よしその方角を教わったにしても、わたしは行くことはできなかった。</t>
        </is>
      </c>
      <c r="J1106">
        <f>HYPERLINK("https://www.weblio.jp/content/教わる", "词义详情")</f>
        <v/>
      </c>
      <c r="K1106">
        <f>HYPERLINK("https://yourei.jp/教わる", "查看例句")</f>
        <v/>
      </c>
    </row>
    <row r="1107">
      <c r="A1107" t="inlineStr">
        <is>
          <t>お互いに</t>
        </is>
      </c>
      <c r="B1107" t="inlineStr">
        <is>
          <t>成功</t>
        </is>
      </c>
      <c r="C1107" t="inlineStr">
        <is>
          <t>読み方：おたがいに
［副］「互いに」の美化語。「—助け合う」</t>
        </is>
      </c>
      <c r="D1107" t="inlineStr">
        <is>
          <t>お互いさま；お互い同士；お互い様；お互い同志；お互い惹か</t>
        </is>
      </c>
      <c r="E1107" t="inlineStr">
        <is>
          <t>二つ；両者；双方；ペア；一組</t>
        </is>
      </c>
      <c r="F1107" t="inlineStr">
        <is>
          <t>お互い切磋琢磨；お互い手の内；お互い様です；お互い独身；お互いに忙しく</t>
        </is>
      </c>
      <c r="H1107" t="n">
        <v>29</v>
      </c>
      <c r="I1107" t="inlineStr">
        <is>
          <t>わたくしはおたがいに子供だつたときからあの人をよく知つていました。；僕と妻とはおたがいに終日物を云わないでいる日の方が多くなってきた。；サーバには誰でも接続することが出来、お互いプレーすることが出来る。；また、東西お互いに相手を非難するプロパガンダ放送を流し合っていた。；あの苦痛な情事のあと、二人は意識的におたがいを避けてきたのだった。；しかしいずれにせよ、わたしたちはおたがいを必要としなかったのです。；作品の素材をユーザーがお互いに提供する目的で作られたコーナー。；そのため、二人はお互いの立場から周囲に公表できなくなってしまう。；彼らは常にお互いに忠実であったが、定まったような役割に陥っていた。；それがおたがいに糸を引いて、巧くやって行くことになっているんです。；この倦怠期を迎えた夫婦はお互いを我慢のならない状態になっている。；どの木も重なって邪魔になって、鳥にはおたがい同士が見えないはずだ。；五つの世界は、おたがいにほかの世界に住む生物のことを知らなかった。；また、旧村の飛び地がお互いに入り組んでいることも理由の一つである。；名称・地域によっては、お互いの右手を打つ場合と打たない場合がある。；教育のよって立つ根本は、おたがいの信頼のほかにないように思います。；そんなブーンの声が届き始め、選手達は徐々にお互いに心を開き始める。；逆にKBCと相図ってお互いのサービスエリアへ進出する事に成功した。；また、それ以前はお互い顔と名前を知る程度で特に面識は無かったという。；しかし、彼らは一度もおたがいの家に行ったことがなかったのである。；おたがいに気が早いもんですから、つまらないことで喧嘩を始めました。；この交易は神秘的な人々と商人がお互いの顔を見ることなく行われる。；どちらの場合でも接触する言語間ではお互いに語彙の借用が行われる。；彼らはおたがい知り合いではなかったので、びっくりして見つめ合った。；お互いに攻撃しあい、先にヒットポイントをすべて失った方が敗北となる。；この閉鎖的な世界では、おたがいが顔見知りなので、信用が第一なのだ。；おたがいに見つめあった、そのあいだ中、柱はブーンと音をたてていた。；どちらもホーム難波寄りにあり、お互いのホーム移動は構内踏切を使う。；二人の関係がおたがいにどうなってるかは誰にも判断はつかない。</t>
        </is>
      </c>
      <c r="J1107">
        <f>HYPERLINK("https://www.weblio.jp/content/お互いに", "词义详情")</f>
        <v/>
      </c>
      <c r="K1107">
        <f>HYPERLINK("https://yourei.jp/お互いに", "查看例句")</f>
        <v/>
      </c>
    </row>
    <row r="1108">
      <c r="A1108" t="inlineStr">
        <is>
          <t>お宅</t>
        </is>
      </c>
      <c r="B1108" t="inlineStr">
        <is>
          <t>成功</t>
        </is>
      </c>
      <c r="C1108" t="inlineStr">
        <is>
          <t>読み方：おたく
［名］
１相手または第三者を敬って、その家・住居をいう語。「先生の—にうかがう」
２相手または第三者の家庭を敬っていう語。「—は人数が多いからにぎやかでしょうね」
３相手の夫を敬っていう語。「—はどちらへお勤めですの」
４相手の属している会社・団体などの敬称。「—の景気はどうですか」
５ある事に過度に熱中し、詳しい知識をもっていること。また、そのような人。「アニメ—」
[補説]5は1980年代半ばから使われ始めた言葉で、当初はやや軽視する言い方だった。仲間内で相手に対して「おたく」と呼びかけたところからという。多く「オタク」と書き、また近年は「ヲタク」と書くこともある。
［代］同等の、あまり親しくない相手を、軽い敬意を込めていう語。「私より—のほうが適任でしょう」</t>
        </is>
      </c>
      <c r="D1108" t="inlineStr">
        <is>
          <t>お宅様；お宅さま；お宅訪問；お宅へ電話；お宅へ伺い</t>
        </is>
      </c>
      <c r="E1108" t="inlineStr">
        <is>
          <t>家；室；屋；館；居</t>
        </is>
      </c>
      <c r="H1108" t="n">
        <v>29</v>
      </c>
      <c r="I1108" t="inlineStr">
        <is>
          <t>ほんのきれっ端でいいんですがね、ね、いったいお宅にないんですかね?；お宅に連れていかれたのがわかって、私はほとほと困ってしまいました。；うちはお宅と同じで男の子ばっかりだけど、女の子のいるお宅は深刻よ。；先生のお宅には動物がいるだけで、人間はひとりもいないんだからね。；夜のうちに謎を解き、彼は仲間を集めてお宅からくすねていったのです。；お宅に帰って、よくお考えになれば、あなたは必ず白状したくなります。；他人様のお宅の前で、一時間も二時間も悩んでいていいはずはなかった。；私も湯島のお宅へ顔だけ出して参りましたが気の毒なことでございます。；まさか、殺人事件でお宅の家のことをききたいとはいえないからである。；私あ自分でどこに居たか知りませんがね、火の手はお宅様の見当でしょう。；もちろんお宅にごろごろしている下男なぞはひとりも役にはたちません。；最初の第一回は光太郎氏宅他は今日まで先生のお宅でされつつある。；吉行さんのお宅から帰った夜も、そんなことを考えていたのかもしれない。；私にだって、あの男がそのあとでお宅へあがったことはわかっているんです。；ただお宅へ下宿させてもらうがよいと聞かされてきたものですからね。；それから、お宅の中の人物配置をまちがいなく手配しておいてください。；それに思い当った時、私はいたたまらず、或る先輩のお宅へ駈けつけた。；近くで聞いてきましたが、こちらのお宅は近々美術館にならはるのやて?；お宅さんのほうであんまりモタモタするんなら、援助はお断わりします。；だからあなたはあの女を、あなたのお宅に迎えて下さらなければいけない。；まだ婚約はしておりませんが、お宅の娘さんは、おいくつになりますな?；それから加賀先生を世田谷のお宅までお送りして、私も家に帰りました。；その間にもあなたのお宅の不祥な出来事の成行きはどうなりましたか。；その家は三丁目なんですが、ちようどお宅の前を通つても行けるんです。；鍋井君のその長い詫び状を芦屋のお宅に来る人来る人に見せてはったぜ。；お宅の召使いたちをいつまでも訊問しないわけにはいかないでしょう。；これはお宅の農場で労働者と監視人が必要なのと同じことですよ。；それで夫人からこちらのお宅を教えていただいてまいったのでございます。；お宅で私の身に迫っている恐ろしい不幸とは、いったい何ですか。</t>
        </is>
      </c>
      <c r="J1108">
        <f>HYPERLINK("https://www.weblio.jp/content/お宅", "词义详情")</f>
        <v/>
      </c>
      <c r="K1108">
        <f>HYPERLINK("https://yourei.jp/お宅", "查看例句")</f>
        <v/>
      </c>
    </row>
    <row r="1109">
      <c r="A1109" t="inlineStr">
        <is>
          <t>煽てる</t>
        </is>
      </c>
      <c r="B1109" t="inlineStr">
        <is>
          <t>成功</t>
        </is>
      </c>
      <c r="C1109" t="inlineStr">
        <is>
          <t>読み方：おだてる
［動タ下一］［文］おだ・つ［タ下二］
１うれしがることを言って、相手を得意にさせる。何かをさせようと、ことさらに褒める。もちあげる。「—・ててやる気にさせる」
２人が落ち着いていられないほどに騒ぎたてる。
「やれ出せそれ漕げと、滅多無性に—・てられ」〈浄・近江源氏〉</t>
        </is>
      </c>
      <c r="D1109" t="inlineStr">
        <is>
          <t>挑発；持ち上げる；取り込む；扇動；煽動</t>
        </is>
      </c>
      <c r="H1109" t="n">
        <v>16</v>
      </c>
      <c r="I1109" t="inlineStr">
        <is>
          <t>煽てる内心には、兵をひどい目に合わせて嘲笑してやるつもりである。；卑怯な奴は、何事も自分でしないで人を煽てるのだ。；少し煽てると兄がいろいろ話すので、兄の方もまたそれを知りながら話をする、こんなことから兄は国士を以て任じていたわけであった。；彼は、このような議論が盛んになるのは人が集合し、その中の煽動分子が愚昧な人民を煽てるからだと思った。；普通凡夫の心を喜ばせるものは煽てることである。；周囲が煽てるから調子に乗る。；南関の春祭はまた六騎の街に育つた羅漫的な幼児をして山に対する好奇心を煽てるに充分であつた。；南關の春祭りはまた六騎の街に育つた羅漫的な幼兒をして山に對する好奇心を煽てるに充分であつた。；嘘でもいいから、ほかの女の子もそんなふうに煽てるんやで。；「よし、よし」見ている人達は、仲裁するのか、ほめるのか、それとも煽てるのかしらん。；課長は、早速、明日にでもその金を先方に届けるように云いつけ、やはり君でないと駄目だね、と煽てるように笑い、 「運転手の山宮も一緒に連れて行って謝らせたほうがいいな」 と、すすめた。；「それはそれで、こわいことです」 「なに、今まで通りにやればいいのさ」 黒崎は無責任に煽てる。；まあ、早く言えば、煽てるんだ。；飮仲間の父に對つてはいつも自分のことを賞めそやして、貴君は少し何だが、御子息はどうして中々のものだ、末恐しい俊童だ、精一杯念入にお育てなさるがいゝ、などと口を極めて煽てるので、人の好い父は全くその氣になつてしまひ、いよいよ甘く自分を育てた。；一人称は基本的に「オレ」か「オレ様」だが、自分より強そうな妖怪を煽てる時などは「わたし」、弱気になった時は「アタシ」でオネエ口調になることがある。；養母の鶴勝を煽てるものもあった。</t>
        </is>
      </c>
      <c r="J1109">
        <f>HYPERLINK("https://www.weblio.jp/content/煽てる", "词义详情")</f>
        <v/>
      </c>
      <c r="K1109">
        <f>HYPERLINK("https://yourei.jp/煽てる", "查看例句")</f>
        <v/>
      </c>
    </row>
    <row r="1110">
      <c r="A1110" t="inlineStr">
        <is>
          <t>穏やか</t>
        </is>
      </c>
      <c r="B1110" t="inlineStr">
        <is>
          <t>成功</t>
        </is>
      </c>
      <c r="C1110" t="inlineStr">
        <is>
          <t>読み方：おだやか
［形動］［文］［ナリ］《形容動詞「おだ（穏）い」から派生した「おだいか」の音変化》
１静かでのどかなさま。安らか。「—な天気」「世の中が—だ」
２気持ちが落ち着いていて物静かなさま。「—な人柄」「—に話し合う」「心中—でない」
３極端でなく、人に受け入れられやすいさま。穏当。「新制度へ—に移行する」「こう言っては—でないかもしれないが」
[派生]おだやかさ［名］</t>
        </is>
      </c>
      <c r="D1110" t="inlineStr">
        <is>
          <t>穏やかな声(2%)；穏やかな表情；穏やかな口調；穏やかな顔；穏やかな性格</t>
        </is>
      </c>
      <c r="E1110" t="inlineStr">
        <is>
          <t>静か；やすい；そっと；楽；軽い</t>
        </is>
      </c>
      <c r="F1110" t="inlineStr">
        <is>
          <t>穏やかな笑顔；穏やかな海；穏やかな人柄；穏やかな雰囲気；穏やかな光</t>
        </is>
      </c>
      <c r="H1110" t="n">
        <v>29</v>
      </c>
      <c r="I1110" t="inlineStr">
        <is>
          <t>この後のスペインによる支配は、より穏やかな支配へと変わっていった。；そこには再び現界したサーヴァントとの穏やかな日常が存在していた。；生まれつき穏やかで学問に通じていたが、短慮な一面もあったとされる。；彼の人柄は変わり、彼は他の人に対する際に穏やかに接するようになる。；別々に旅を続ける二人は、それぞれ穏やかな表情を浮かべるのであった。；最初は穏やかだが、新しい戦いと人を脅かす危険を生み出す世界である。；近年ではより波の穏やかな北部・東部のビーチも開発が進んでいる。；その後は小規模な噴火や噴気活動など比較的穏やかな時期が続いていた。；その後まもなくエーリヒ1世と市との関係は独特の穏やかさが特徴となった。；シューベルトは穏やかな曲にこうした激情的な部分を挿入する事が多い。；しかし冬はカナダの他都市に比べてそう厳しくなく、むしろ穏やかである。；明るく穏やかな作風の川原作品の中では、かなりの異色作となっている。；この中にある唯一の村・タツマイリ村では人々が穏やかな暮らしを送っていた。；美しい顔立ちと穏やかな性格で多くの競馬ファン及び関係者に愛された。；春と秋は季節の移り変わりの時期で、一般に穏やかで涼しい気温になる。；バレリアンについては複数の研究があり効き目が穏やかなように見える。；中海側は比較的波が穏やかであり、海岸部には貯木場も設けられている。；ここではハンガリー大平原を貫流することとなり、穏やかな流れが続く。；穏やかな香りが特徴で、フランスではアルザス地方で多く生産される。；展開部は低音部が提示部結尾の音型を引き継いで穏やかに開始される。；フォーマットは同一だが、穏やかな進行の斎独自の演出も垣間見られた。；条約の中身は負けた側の立場から見れば穏やかなものであった。；若干暗い影を落としかけるも、また穏やかになり、つづいてBが再現する。；そのため、海面が穏やかな状態でないと観察することは困難である。；表面上は穏やかに見えるが、朝廷内部では権力争いが繰り広げられている。；太陽は、この条件においては他の星と比べてはるかに穏やかである。；かごは週に一回は穏やかな殺菌性の洗剤で完全に清掃しなくてはならない。；波の穏やかな季節には久部良港ではなく祖納港に接岸することがある。；衛は穏やかで落ち着いた統治を行い、百姓達も喜んだ様子であったとされる。</t>
        </is>
      </c>
      <c r="J1110">
        <f>HYPERLINK("https://www.weblio.jp/content/穏やか", "词义详情")</f>
        <v/>
      </c>
      <c r="K1110">
        <f>HYPERLINK("https://yourei.jp/穏やか", "查看例句")</f>
        <v/>
      </c>
    </row>
    <row r="1111">
      <c r="A1111" t="inlineStr">
        <is>
          <t>陥る</t>
        </is>
      </c>
      <c r="B1111" t="inlineStr">
        <is>
          <t>成功</t>
        </is>
      </c>
      <c r="C1111" t="inlineStr">
        <is>
          <t>読み方：おちいる
［動ラ五（四）］
１落ちて中に入る。はまる。「深みに—・る」
２望ましくない状態になる。「重態に—・る」「ジレンマに—・る」
３相手の策謀にはまりこむ。計略にかかる。「敵の術中に—・る」
４攻め落とされる。陥落する。「城が—・る」
５死ぬ。息を引き取る。
「いつ—・りあそばすかも知れない」〈倉田・出家とその弟子〉
６深くくぼむ。へこむ。
「目皮(まかは)らいたく黒み—・りて」〈源・紅葉賀〉</t>
        </is>
      </c>
      <c r="D1111" t="inlineStr">
        <is>
          <t>陥る可能性；陥るだろ；陥ることなく；陥るまい</t>
        </is>
      </c>
      <c r="E1111" t="inlineStr">
        <is>
          <t>入る；落ちる；落ち込む；落っこちる</t>
        </is>
      </c>
      <c r="F1111" t="inlineStr">
        <is>
          <t>陥るかも知れ</t>
        </is>
      </c>
      <c r="H1111" t="n">
        <v>29</v>
      </c>
      <c r="I1111" t="inlineStr">
        <is>
          <t>独立・自治宣言をし事実上分離状態に陥ったのはこれで3例目であった。；故郷を新しく作ることも可能だし、危機に陥れば助けてくれる人もいる。；さらにその後エーリヒ1世は市に資金を頼らざるを得ない関係に陥った。；きみたちにはそういう習慣に陥らないよう積極的に努力してもらいたい。；だというのに、自分はまた、大切な仲間を危機に陥らせようとしている。；アメリカとソ連が直接戦争の危機に陥った事件がキューバ危機である。；第二次世界大戦が終わった1940年代後半には特に深刻な危機に陥った。；夫をさような状態に陥れたのには、私に大半の責任がないとは云えない。；ついに業をにやしたぼくは、嘘をつくと地獄へ陥ちるぞといってやった。；しかし雪を見たことがない子供たちは雪の存在を信じず混乱に陥る。；しかしながらこの話を聞いたオイディプースはかえって不安に陥った。；偶然の体験が疑似科学に陥るきっかけになってしまうと警鐘を鳴らした。；こういう危地に陥ちた場合、かれは必ず数度の息を静かに吸ってかかる。；その結果、会士はほとんど僧院から出られない状態に陥ってしまった。；何より、生徒たちを恐怖に陥れたのが、犯人たち全員が持つ拳銃だった。；しかし彼は逆に、自分を陥れたものに向って挑むように黙ったままでいた。；朝鮮戦争下の対立のため安全保障理事会は完全なる袋小路に陥っていた。；ベテランのパイロットといえども程度の差こそあれ必ず陥る症状でもある。；この余裕ある私の学生生活が私を思いも寄らない境遇に陥し入れたのです。；私は、こゝに、氏がみじめな理論的混乱に陥つてをられるのを発見する。；これにより帝国は後に大土地所有貴族による内紛状態へと陥ってしまう。；ただし、この条文は多数の国が留保しているため機能不全に陥っている。；本物のブン大将がパリに爆弾を投げつけると言う事態に陥ったのである。；戦場で行動不能に陥れば、後に何が待っているかなど決まっているからだ。；これには軍隊の一部も反乱に合流し、ロシア全土が大混乱に陥った。；そのある一つの島へ神経衰弱に陥つた飛行家が治療にきてをりました。；個人的生命は必ず外は世界と衝突し内は自ら矛盾に陥らねばならぬ。；その晩の私はともすれば、弱々しい感傷的な気分に陥いりがちであった。；今回も戦闘は一方的で、第一日目に三国の首都はドイツ軍の手に陥ちた。</t>
        </is>
      </c>
      <c r="J1111">
        <f>HYPERLINK("https://www.weblio.jp/content/陥る", "词义详情")</f>
        <v/>
      </c>
      <c r="K1111">
        <f>HYPERLINK("https://yourei.jp/陥る", "查看例句")</f>
        <v/>
      </c>
    </row>
    <row r="1112">
      <c r="A1112" t="inlineStr">
        <is>
          <t>落ち込む</t>
        </is>
      </c>
      <c r="B1112" t="inlineStr">
        <is>
          <t>成功</t>
        </is>
      </c>
      <c r="C1112" t="inlineStr">
        <is>
          <t>読み方：おちこむ
［動マ五（四）］
１落ちて、中のほうへ入る。おちいる。「穴に—・む」
２周囲より、その部分だけがへこむ。くぼむ。「やせて目が—・む」
３成績・業績などが悪い状態になる。目立って下がる。「景気が—・む」
４気持ちがめいる。ふさぎこむ。「失恋して—・む」</t>
        </is>
      </c>
      <c r="D1112" t="inlineStr">
        <is>
          <t>落ち込むだろ</t>
        </is>
      </c>
      <c r="E1112" t="inlineStr">
        <is>
          <t>入る；減少；低下；落ちる；下る</t>
        </is>
      </c>
      <c r="F1112" t="inlineStr">
        <is>
          <t>ひどく落ち込む；深く落ち込む；向かって落ち込む；さらに落ち込む</t>
        </is>
      </c>
      <c r="H1112" t="n">
        <v>29</v>
      </c>
      <c r="I1112" t="inlineStr">
        <is>
          <t>晩年には落ち込むことが増え、子供たちの負担を気にするようになった。；どこまでも秘密から秘密へと落ち込んで消えていく筋合のものであった。；彼は泥濘から外に出たと思ってる時に、ますますそれに落ち込んでいた。；自分が信じきっていた人間がFBIだったということで相当落ち込んだ。；その穴は意外に深く、彼は落ち込む途中でいやというほど頭を打った。；落ち込んでいた所へ偶然会ったガチャ子に相談する事にしたドラえもん。；工業生産は、それまで発生したどの取り付け騒ぎの後よりも落ち込んだ。；落ち込んでいると、今度は母がこの家を売ろうとしていることに気づく。；それから数分のうちに、ガリオンの気持ちはどんどん落ち込んでいった。；落ち込んでいる姿を一切見せないっていうのが、エースなんだなと思う。；細い腕で力無く頬杖をつき、大きな椅子の中に身体を落ち込ませていた。；やがて、落ち込んだ利用者らが店を出る様子を撮影した映像が報道された。；寝台は腰のところで尻が落ち込んで身動きの困難なのも一つの故障である。；やはり自分との記憶はないと落ち込むが袋の奥からクルミ・ヌイが現れる。；敗訴に落ち込んでいた両弁護士は、大喜びでこの申し入れを受け入れた。；彼は頭ぐるみ自分の作つた陥穽へ落ち込んで泥だらけになつて泣き出した。；元帝が皇太子の時代、寵愛していた女性が死亡して大変落ち込んでいた。；光子と別れてから後私は、全く無批判な盲目的な心境へ落ち込んでいた。；この期間に1本あたり数十万回あった再生回数は数万回程度まで落ち込む。；しかし山陽姫路駅側はピーク時の半分以下と大きく落ち込んでしまった。；これは狂気に落ち込む様子を内面から描くことができたものであった。；は規定打席には達したものの、成績は前年に比べて大幅に落ち込んだ。；南斜面は断層崖となっているため急傾斜で海岸線まで落ち込んでいる。；いま、朗かに頂きに昇っていたかと思うと、またすぐ泥の中に落ち込む。；落ち込む二人の様子を見ていると、ちょっとかわいそうな感じだった。；しかしこの作品の興行収入は第5作に比べて大幅に落ち込んでしまう。；だがイギリスがUボート対策に力を入れ始めると戦果は急速に落ち込んだ。；人間つて、妙ね、考へがさういふところへ落ち込んで行く瞬間があるのね。；堕落の淵に落ち込むべく余儀なくしてしまった、と云っても過言でない。</t>
        </is>
      </c>
      <c r="J1112">
        <f>HYPERLINK("https://www.weblio.jp/content/落ち込む", "词义详情")</f>
        <v/>
      </c>
      <c r="K1112">
        <f>HYPERLINK("https://yourei.jp/落ち込む", "查看例句")</f>
        <v/>
      </c>
    </row>
    <row r="1113">
      <c r="A1113" t="inlineStr">
        <is>
          <t>落ち着き</t>
        </is>
      </c>
      <c r="B1113" t="inlineStr">
        <is>
          <t>成功</t>
        </is>
      </c>
      <c r="C1113" t="inlineStr">
        <is>
          <t>読み方：おちつき
１気持ちや態度が物事に動じないで、安定した状態にあること。また、そのような状態・態度。平静さ。「—がない子供」「—を取り戻す」
２動いていた物事が安定した状態になること。「相場の—を待つ」「世の中が—を失う」
３器物の座りぐあい。また、物事の調和のぐあい。「—の悪い置物」「下(しも)の句の—が悪い」
４旅館などに着いたとき、最初に飲食するもの。
「—は御雑煮、餅(もち)は大方一人前」〈浄・傾城酒呑童子〉</t>
        </is>
      </c>
      <c r="D1113" t="inlineStr">
        <is>
          <t>落ち着きなく(6%)；落ち着きぶり；落ち着きまし；落ち着き先；落ち着きなさい</t>
        </is>
      </c>
      <c r="E1113" t="inlineStr">
        <is>
          <t>平和；安心；冷静；平気；冷静に</t>
        </is>
      </c>
      <c r="F1113" t="inlineStr">
        <is>
          <t>落ち着きなく視線；落ち着きなく動い；落ち着きなく歩き；落ち着きなく動き；落ち着きなく周囲</t>
        </is>
      </c>
      <c r="G1113" t="inlineStr">
        <is>
          <t>落ち着きゃ</t>
        </is>
      </c>
      <c r="H1113" t="n">
        <v>29</v>
      </c>
      <c r="I1113" t="inlineStr">
        <is>
          <t>こうしているうちにわたしは少しばかり落ち着きをとり戻していた。；焦るまいと意識するのだが、思いとは裏腹に心は落ち着きを失っていく。；君だってぼくの心臓ほどむら気で落ち着きのないのを見たことはあるまい。；馬の目みたいな純真なもので見つめられたら尻の落ち着きが悪くなる。；その緊張感からピールには常に落ち着きがないところがあったという。；落ち着きなかった視線が、観念したかのように正面の一点に据えられる。；しかしキャリアの晩年では落ち着きのある成熟したプレーに変わった。；のみならず彼女はその落ち着きの底に多少の遊戯心を意識していた。；夏の北海道遠征を終えて帰ってきてから、馬に落ち着きが出てきたと思います。；彼はいつもそわそわしていて態度に落ち着きがないのは知っていた。；友人たちからはよく声が大きい、うるさい、落ち着きが無いと言われる。；でも、やがて落ち着きを取り戻して、ふたたび机に向って腰をおろした。；良人の方には眼も掛けず、落ち着き煙草二三服、何をかきつと思案の末。；その恐ろしい落ち着きに代わろうとしているものは何であるか自ら尋ねてみた。；他のメンバーにはないレベルに達している落ち着きぶりである。；それでも彼女は外見上同じ落ち着きで日々の務めを果たしていった。；これから数日後まで病気は落ち着き初め2月2日には殆ど消滅した。；マルガレエテ なんだかあの方がいらっしゃると血が落ち着きませんの。；落ち着きを取り戻したダニエルは遺体の身元を確認するべく捜査を開始。；落ち着きなく固まったまま、三人の船長をむっとした顔でにらんでいた。；ですから落ち着きましたらこのお手紙の心のわかることがあるかもしれません。；内装には岡山産のヒノキが使用され、明るく落ち着きのある空間を演出。；普段の落ち着きからは想像出来ないが、スタジオで叫びがちらしい。；その一方で自ら一人で落ち着きたい時には夜釣りに出かけていた。；彼が体得した深い学識が、その顔全体に知的な落ち着きを輝かせていた。；娘が彼を不安にし、落ち着きなくさせ、まったく不愉快にしたからだ。；だが彼は、僕がこれまで見た内で最も落ち着きのない奴だった。；これを目の前に見て、弟子たちも信仰による落ち着きをもつべきでありました。；幼少期は猿のように飛んだり跳ねたりする落ち着きのない子供であった。</t>
        </is>
      </c>
      <c r="J1113">
        <f>HYPERLINK("https://www.weblio.jp/content/落ち着き", "词义详情")</f>
        <v/>
      </c>
      <c r="K1113">
        <f>HYPERLINK("https://yourei.jp/落ち着き", "查看例句")</f>
        <v/>
      </c>
    </row>
    <row r="1114">
      <c r="A1114" t="inlineStr">
        <is>
          <t>落ち着く</t>
        </is>
      </c>
      <c r="B1114" t="inlineStr">
        <is>
          <t>成功</t>
        </is>
      </c>
      <c r="C1114" t="inlineStr">
        <is>
          <t>読み方：おちつく
［動カ五（四）］
１移り動いていた物事が安定した状態になる。
㋐居所や職業が決まって、そこにとどまる。「新居に—・く」「やっと今の仕事に—・く」
㋑大きな変動のない、安定した状態になる。また、事件などが鎮まる。「病状が—・く」「騒ぎが—・く」
㋒心が安まる。「気持ちが—・く」
㋓流動的であったものに決着がつく。「結局、原案に—・く」
２言動が、慌てず静かである。また、堂々としている。沈着である。「—・いた人」「—・いた話し方」「—・いて行動する」
３その場にしっくりあてはまる。うまく調和する。「この上着とズボンとでは—・かない」
４渋くて上品な感じがする。「—・いた色合い」
５安心する。得心する。
「やれやれ、そなたの咄を聞いて—・いた」〈虎寛狂・惣八〉
[可能]おちつける
［動カ下二］「おちつける」の文語形。</t>
        </is>
      </c>
      <c r="D1114" t="inlineStr">
        <is>
          <t>落ち着くだろ；落ち着くべき；落ち着く間もなく；落ち着くんだろ；落ち着くらしい</t>
        </is>
      </c>
      <c r="E1114" t="inlineStr">
        <is>
          <t>定着；安堵；定住；ホッと；土着</t>
        </is>
      </c>
      <c r="F1114" t="inlineStr">
        <is>
          <t>心落ち着く；やっと落ち着く；一番落ち着く；落ち着くかもしれ；ようやく落ち着く</t>
        </is>
      </c>
      <c r="H1114" t="n">
        <v>29</v>
      </c>
      <c r="I1114" t="inlineStr">
        <is>
          <t>高校生にもなったら少しは落ち着くかと思ったんだが全然変ってないな。；秘密を共有できる人間がいれば、僕の心も少しは落ち着くかも知れない。；このように二者が独自の過程を経て偶然にも同じ形式の問題に落ち着いた。；八千代の部屋へ落ち着くと、出かけて行くのが嫌になりそうな気がする。；この村は、何度も複雑な合併を繰り返し、現在の名前に落ち着いている。；「さすがここは日本だ」 再び椅子に落ち着くとなぜかその言葉が出た。；何十年後になるかは分からないが、いずれ自分もここに落ち着くつもりだ。；それから夫妻の間のいつもの席に落ち着くと、患者の様子を医者に聞いた。；選手はようやく落ち着いたが、選手は個人プレーに徹するようになった。；相手の顔を覚えていることは気分的に落ち着くし、向こうも安心する。；ルヴァといると落ち着くためか、こうして彼の屋敷を訪れることも多い。；俺はなにも言わず、言うことができず、ただ結野が落ち着くのを待った。；自分が落ち着く場所の匂いを、この町は持っていなかったからである。；こうして、事実とは違う結論に落ち着くことだって頻繁に起こるのである。；しかしさすがに大きすぎるということで現在の8メートルに落ち着いた。；自分が撮った写真を投稿して、見ると気持ちが落ち着く理由を説明する。；いまちょっとでも喧嘩でもすれば、気分が落ち着くかもしれなかった。；隻頼が落ち着くまでここにいてあげるから、椅子とヒーター持ってきて!；そして、彼が落ち着こうとすればするほど、ますます息がつまってきた。；彼女はここから半マイル先のところに落ち着くことになっている。；自分の気持ちを言葉にして記すだけで、落ち着くものがあると思うんです。；三月末になって、ようやく一家はもとの我が家に落ち着くことが出来た。；女中たちはその晩のうちに、階上へ移って部屋に落ち着く準備にかかった。；日比谷練兵場を追われた被害民たちはどこといって落ち着く先もなかった。；その後ズムバッハはフランスに戻って、やっと落ち着いた生活を始めた。；ゲームはディテクティブなので落ち着いた曲が多い構成になってます。；しかし彼は手紙を読めば、気がまぎれ、心が落ち着くことを知っていた。；落ち着いた性格で、危険な目に遭っていてもほとんど表情を変えない。；そして、翼の呼吸が完全に落ち着くと、一つだけ理解する事が出来た。</t>
        </is>
      </c>
      <c r="J1114">
        <f>HYPERLINK("https://www.weblio.jp/content/落ち着く", "词义详情")</f>
        <v/>
      </c>
      <c r="K1114">
        <f>HYPERLINK("https://yourei.jp/落ち着く", "查看例句")</f>
        <v/>
      </c>
    </row>
    <row r="1115">
      <c r="A1115" t="inlineStr">
        <is>
          <t>落ち度</t>
        </is>
      </c>
      <c r="B1115" t="inlineStr">
        <is>
          <t>成功</t>
        </is>
      </c>
      <c r="C1115" t="inlineStr">
        <is>
          <t>読み方：おちど
《「おつど（越度）」の音変化》手落ち。あやまち。過失。「手続き上に—があった」「当方の—を認める」</t>
        </is>
      </c>
      <c r="D1115" t="inlineStr">
        <is>
          <t>落ち度じゃない</t>
        </is>
      </c>
      <c r="E1115" t="inlineStr">
        <is>
          <t>失敗；間違い；障害；ミス；欠点</t>
        </is>
      </c>
      <c r="H1115" t="n">
        <v>29</v>
      </c>
      <c r="I1115" t="inlineStr">
        <is>
          <t>何か自分に落ち度があったんじゃないかと 心配になったのかもしれない。；購入した機械の価格と性能にまったく落ち度がないと分かったせいであった。；大佐を待たせたのを自分の落ち度のように言われて、不愉快なのだろう。；だから、あなたがたが気づかなかったことに落ち度はないと思います。；まあ、これに関しては自分にも落ち度があるのだから仕方ないわけだが。；運良く回避しましたが、再び遭遇しても私の落ち度ではありません。；殺気を抑えきれなかった私の落ち度か、咄嗟に反応したおまえの機転か。；自分の落ち度ではないのに、すでに彼は太陽方面ではずいぶんと評判を落としていた。；遼自身に落ち度がないのなら、剣の紛失は、運命からの解放ではないのか。；いままで、こんな研究をしなかったことにも、落ち度がありました。；父に何の落ち度もないことは、他ならぬ私自身がよく知っていた。；期待したのは、月渓の意図を受け止めようとしなかった小庸らの落ち度だ。；あなたの落ち度じゃないし、近くに警官を配置しても一銭もかかりませんからな。；だが、公平に考えてみて啓一郎の側に大きな落ち度があったとは思いにくい。；君自身にその気が無くても落ち度が無くても、トラブルの方から寄って来るんだから。；その女に落ち度があったのかなかったのか、はっきりしない。；それを本人の落ち度にするわけにはいかないだろう?；君達を危険な目に合わせてしまったのはこちらの落ち度です。；あっちには落ち度がなくて、私が誤解したのが悪いって言うのね、あなたは!；こちらにはまったく落ち度はないのだから、乱暴運転の結果の面倒までみられない。；それでも頭の中は、この計画に落ち度がなかったかということでいっぱいだった。；後に成通は朝廷への報告を怠るなど落ち度があったため解任された。；健くんは辺りを見回して、自分の考えに落ち度がないか素早く確認する。；それはもちろん麻美の責任で、相手に悪気も落ち度もないことは分かっていた。；君に落ち度がないのはわかってるけどさ、ほら、相手はお客様だから。；私はそれ以外に深く考へることをしなかつたのは私の落ち度ですが彼の人たちからはさう云ふ深い事は聞きませんでした。；場合によっては、まったく落ち度がなくても恨まれてしまうことはあります。；自分が先生を呼んだところでなんの落ち度もない。；もちろん現場指揮官として自分に落ち度がないわけではない。</t>
        </is>
      </c>
      <c r="J1115">
        <f>HYPERLINK("https://www.weblio.jp/content/落ち度", "词义详情")</f>
        <v/>
      </c>
      <c r="K1115">
        <f>HYPERLINK("https://yourei.jp/落ち度", "查看例句")</f>
        <v/>
      </c>
    </row>
    <row r="1116">
      <c r="A1116" t="inlineStr">
        <is>
          <t>落ち葉</t>
        </is>
      </c>
      <c r="B1116" t="inlineStr">
        <is>
          <t>成功</t>
        </is>
      </c>
      <c r="C1116" t="inlineStr">
        <is>
          <t>読み方：おちば
１散り落ちた木の葉。また、散ってゆく木の葉。落葉(らくよう)。《季冬》「むさしのの空真青なる—かな／秋桜子」
２貴人の落としだね。落胤(らくいん)。
「朝臣(あそん)や、さやうの—をだに拾へ」〈源・常夏〉
３「落ち葉色」の略。</t>
        </is>
      </c>
      <c r="D1116" t="inlineStr">
        <is>
          <t>落ち葉掃き；落ち葉溜め；落ち葉層；落ち葉だめ；落ち葉等</t>
        </is>
      </c>
      <c r="E1116" t="inlineStr">
        <is>
          <t>落葉；枯葉；枯れ葉；朽葉；腐葉土</t>
        </is>
      </c>
      <c r="H1116" t="n">
        <v>29</v>
      </c>
      <c r="I1116" t="inlineStr">
        <is>
          <t>もともとは落ち葉を書物に挟んだいわゆる押し葉がその起源と思われる。；上が落ち葉で隠されていたせいで直ぐには発見できなかっただけらしい。；この広い庭の落ち葉を一人きりで整理するのはひどい重労働だろうに。；複雑な斑紋が入るが、落ち葉の上等では保護色になると考えられている。；まるで金か宝をかき集めてくるように、全身で落ち葉を押してくるのだ。；ずんずん歩いてゆくと路は一面の落ち葉のために消されて分らなくなつた。；落ち葉を避けるためにウィリー走行するなど特徴的な走りで優勝した。；ある秋の日の朝に、落ち葉をかき集めたときにトラックが走ってくる。；十五分ほどして、門の隅に落ち葉の山ができた頃、待ち人がやってきた。；しかし秋になると落ち葉が積もり、非常にスリップしやすい状況になる。；目が慣れてくると、蹄に踏まれた落ち葉の形がぼんやりと見えてきた。；あの落ち葉のなかには黒く腐蝕した落ち葉がかなり表面に出ていたんです。；湿度が高くて暗い場所を好み、落ち葉や石の下、洞窟内などで生息する。；卵嚢は落ち葉や草の上に貼り付け、雌親はそれを抱えるようにして守る。；ややあってから、落ち葉と石の間から、彼は一つのものを拾い上げた。；重い枝を抱えた二人は、深い落ち葉のうえを音のするほうに向かって歩き出そうとした。；落ち葉に埋まったジョーが叫びながら起き上がるシーンで幕引きとなる。；落ち葉の上に横たわった男の子の水色のセーターの胸に耳を押し当てる。；山を歩いていて、落ち葉に足を取られたことが何回かあった。；地表や落ち葉の間を歩き回ったり、石や倒木の陰に潜んでいるのを見る。；降りつづいた長雨と積もった落ち葉とで地面はどろどろに黒ずんでいた。；市内の公園から集めた落ち葉を使いプールを作り、中で遊ぶことができる。；満腹になると動物からはなれて地上に落ち、落ち葉の下などに隠れる。；そのため葉が落ちると、車庫は落ち葉の中へ埋もれるような姿となる。；背後からも、何人かの警官の声と、落ち葉を踏む足音が迫っていた。；彼女がたどるはずだった空間を、落ち葉の刃がむなしく通り過ぎていく。；時々人が来るらしく、落ち葉を踏み固めたところが連続していること。；多くの成虫は里山の疎林や開けた竹林の枯れ草や落ち葉の間に生息する。；落ち葉が問題となる区間では速度制限が設定されることがある。</t>
        </is>
      </c>
      <c r="J1116">
        <f>HYPERLINK("https://www.weblio.jp/content/落ち葉", "词义详情")</f>
        <v/>
      </c>
      <c r="K1116">
        <f>HYPERLINK("https://yourei.jp/落ち葉", "查看例句")</f>
        <v/>
      </c>
    </row>
    <row r="1117">
      <c r="A1117" t="inlineStr">
        <is>
          <t>お茶</t>
        </is>
      </c>
      <c r="B1117" t="inlineStr">
        <is>
          <t>成功</t>
        </is>
      </c>
      <c r="C1117" t="inlineStr">
        <is>
          <t>読み方：おちゃ
１「茶」の美化語。
２仕事の合間の小休憩。「そろそろ—にしよう」
３茶の湯。「—を習う」</t>
        </is>
      </c>
      <c r="D1117" t="inlineStr">
        <is>
          <t>お茶くみ；お茶をのん；お茶汲み；お茶を一杯；お茶をはこん</t>
        </is>
      </c>
      <c r="E1117" t="inlineStr">
        <is>
          <t>茶；紅茶；ティー；茶葉；御茶</t>
        </is>
      </c>
      <c r="F1117" t="inlineStr">
        <is>
          <t>温かいお茶；おいしいお茶；お茶っぴい；お茶壺道中；お茶を濁す</t>
        </is>
      </c>
      <c r="G1117" t="inlineStr">
        <is>
          <t>お茶屋；お茶の水女子大学；お茶の間；お茶会；お茶漬け</t>
        </is>
      </c>
      <c r="H1117" t="n">
        <v>29</v>
      </c>
      <c r="I1117" t="inlineStr">
        <is>
          <t>いくつかの文化は自国の喫茶文化に応じて異なるお茶の施設の形もある。；すると、背中に赤ん坊を背負った若い男が私にお茶を運んできてくれた。；野菜の料理を彼女は要領良く作り、ふたりはそれを食べてお茶を飲んだ。；人の家にお邪魔した際に飲むように出されたお茶につかるのが定番化。；お茶の生産は明治時代から開始されたが、当時は水の確保が困難であった。；甚八が毒をもられたとすれば千代が持参したお茶のほかにはないようだ。；これから私の居間でお茶でも入れて、ゆっくりとお話しいたしましょう。；カフェが併設されておりお茶やコーヒーを飲みながら絵画鑑賞もできる。；このとき工藤はすぐに茶碗をとりあげるとお茶を一気に飲んでしまった。；エジプトではお茶は国民的な飲み物で、コーヒーよりも普及している。；中におちゃらの名刺の挟んであるのを見られるのが、心苦しいのである。；彼はお茶を一杯飲むには飲むがお茶受けには決して手を出さない。；その脱脂綿が、お茶を淹れるために使っていた電気コンロの上に落ちた。；熱があるように思われ、お茶を一杯飲んで、汗を出さなければなりません。；お茶を運んで来た家内の目にも太宰の様子が奇異に見えたに相違ない。；それからお茶を飲んでしばらく休んで、お茶代を一朱置いて行きました。；女たちと連立ってお茶を飲みに来ている気が、少しも浮ついて来なかった。；女性がお茶くみ以外の仕事をすることは求められない時代だった。；株式会社天仁製茶は、かつて存在したお茶などの取引をしていた会社である。；私たちも一日に一度ぐらい家族と集まってお茶を飲みます。；独身を通し、子供がいない彼女は猫とお茶とケーキを愛した生涯を終えた。；お茶文化を学んで鹿児島の女子力をアップすることが狙いとなっている。；お茶に関するコントをウッチャンナンチャンが中心になって行っていた。；まあ、そのじぶんは毎日、朝と晩に、ダイヤモンドのお茶をのんでいた。；お茶と一緒に出たお菓子は、桜の花の形で、可愛らしい籠に入っていた。；このほか、女性や若いムスリムを対象とする勉強会やお茶会を開いている。；女中は案内すると、すぐ出て行ったが、やがて、お茶と寝巻を持って来た。；イギリスの家庭では四時過ぎ頃、家族一同集まってお茶を飲みます。；茶部台の語源は、お茶を飲む部屋の台から来たとするものなどがある。</t>
        </is>
      </c>
      <c r="J1117">
        <f>HYPERLINK("https://www.weblio.jp/content/お茶", "词义详情")</f>
        <v/>
      </c>
      <c r="K1117">
        <f>HYPERLINK("https://yourei.jp/お茶", "查看例句")</f>
        <v/>
      </c>
    </row>
    <row r="1118">
      <c r="A1118" t="inlineStr">
        <is>
          <t>落ちる</t>
        </is>
      </c>
      <c r="B1118" t="inlineStr">
        <is>
          <t>成功</t>
        </is>
      </c>
      <c r="C1118" t="inlineStr">
        <is>
          <t>読み方：おちる
多岐川恭の短編小説。昭和33年（1958）刊行。同年、第40回直木賞受賞。</t>
        </is>
      </c>
      <c r="D1118" t="inlineStr">
        <is>
          <t>落ちるかもしれ；落ちるような音；落ちるところまで落ち；落ちるかも知れ</t>
        </is>
      </c>
      <c r="E1118" t="inlineStr">
        <is>
          <t>減少；低下；降りる；墜落；下る</t>
        </is>
      </c>
      <c r="F1118" t="inlineStr">
        <is>
          <t>転がり落ちる；舞い落ちる；ころげ落ちる；したたり落ちる；すべり落ちる</t>
        </is>
      </c>
      <c r="H1118" t="n">
        <v>29</v>
      </c>
      <c r="I1118" t="inlineStr">
        <is>
          <t>なお、歩くときは常に糸を引いており失敗しても地上に落ちることはない。；ブロックを床のないところにスライドさせると、ブロックは下に落ちる。；病気で苦しむ人に薬を与えると言っておきながら与えなかった者が落ちる。；水の重さだけでなく、上から水車に落ちる水の衝撃も回転に利用される。；なお、ダイナが海に落ちると氷漬けになり敗北する場面も再現している。；車や人が落ちる際には現場でスローモーション撮影した映像を合成している。；また雪が屋根から落ちるときに、茅も一緒に落ちてしまうことがある。；また敵を倒したときにそれらのプログラムが落ちる場合もある。；冬場の間も落葉せずに残っており、新葉が出ると同時に古い葉が落ちる。；坂の上の方から、大きな石を転がすと、石は発見場所まで転がり落ちる。；初期はコグニート女のみに落ちていたが途中から二人の頭に落ちるようになる。；推進ユニットは制御されず弾道軌道上を飛行して目標よりも低い地点に落ちる。；肩肉のチョップはたいていロインよりも質が落ちると考えられている。；海に向かって劇的に標高が落ちるため、海岸には崖が形成されている。；その時アルケタスは生きて敵の手に落ちるを良しとせずに自殺した。；震度4で食器同士が音を立て、5強で棚の中のものが落ちるとされている。；そんなある日、大は空中を走る列車から投げ出され、落ちる夢を見た。；レース後半は日が落ちるためナイトレースに対応する照明設備を備えている。；この取り口は前に落ちることの少ない足腰の強さに支えられている。；脇から緊張や不安などで滴が滴り落ちるほどの発汗をする症状である。；ブロックは偽の文書を用意し、その文書がアメリカ軍の手に落ちるようにした。；古い葉は落ちる前に赤く紅葉し、常に一部の葉が紅葉しているのが見られる。；その光景は日が落ちるまで続いたと伝えられている。；翌年テスト入団で横浜のテストに落ちるも近鉄のテストに合格。；光は全ての人の内部にあるから誰も地獄に落ちることはないという言い方もある。；皮膚に付いた場合はアルコールが効果的で、近づけただけでも落ちる。；あらゆる予防措置をとり、この計画が敵中に落ちる事を防止すること。；また同作では屋根から落ちる役でエキストラ出演もしている。；奥は闇で何も見えず、行方不明になりやすく、縦穴に落ちる可能性もある。</t>
        </is>
      </c>
      <c r="J1118">
        <f>HYPERLINK("https://www.weblio.jp/content/落ちる", "词义详情")</f>
        <v/>
      </c>
      <c r="K1118">
        <f>HYPERLINK("https://yourei.jp/落ちる", "查看例句")</f>
        <v/>
      </c>
    </row>
    <row r="1119">
      <c r="A1119" t="inlineStr">
        <is>
          <t>乙</t>
        </is>
      </c>
      <c r="B1119" t="inlineStr">
        <is>
          <t>成功</t>
        </is>
      </c>
      <c r="C1119" t="inlineStr">
        <is>
          <t>読み方：いつ
⇒おつ</t>
        </is>
      </c>
      <c r="D1119" t="inlineStr">
        <is>
          <t>乙類(6%)；乙案(2%)；乙兵衛(2%)；乙級；乙号</t>
        </is>
      </c>
      <c r="F1119" t="inlineStr">
        <is>
          <t>文科乙；理科乙；耶律乙；男乙；型乙</t>
        </is>
      </c>
      <c r="G1119" t="inlineStr">
        <is>
          <t>乙種；乙姫；乙骨；乙川；乙子</t>
        </is>
      </c>
      <c r="H1119" t="n">
        <v>29</v>
      </c>
      <c r="I1119" t="inlineStr">
        <is>
          <t>乙土地は共有物分割そのもので所有権が移転したわけでないからである。；廃止当時、乙科には各学科を合わせて200名近い生徒が在籍していた。；生産開始から早い時期に改修が行われたため、生産機の大半が乙型であった。；かつて日本では乙形鋼とも呼ばれ、鉄道車両の側梁などにも用いられた。；一般的には甲号が設置されているが、降雪地方には乙号が設置されている。；これらの場合、甲号、乙号とも通常の大きさや形状等の規定から外れる。；一部隊は玄武門の突破に成功したが、乙密台の敵は動揺を示さなかった。；また乙羽の妻・ときも一葉から和歌の指導を受けるなど夫婦で親交があった。；結局、この系列設計の通りに製造されたのは「乙B20」のみであった。；しかしこの無線機は、戦車用乙機としては実用能力にやや不足があった。；なお、甲類と乙類の区別のない音節を指す場合、一類と呼ぶ場合がある。；当時、医学部に進学する人はドイツ語を学ぶために理科乙類に入った。；元丕は帝の命を受けて元賀・牛益得らを率いて乙渾を収監し、処刑した。；田中と乙羽はオーディションではなく直接キャスティングされている。；そうした中、小可汗の乙利可汗にあらぬ疑いをかけ、その一族を滅ぼした。；集落は東側の大野と西側の乙里に分かれ、相互にライバル意識を持つ。；古代には高句麗に属した領域で、鉄円または毛乙冬非と呼ばれた。；日本酒を主力としているが、乙類焼酎や梅みつワインも製造している。；甲とロの勝者は乙またはハと対戦し、先に全選手が敗れた側が負けとなる。；そんな伝統派と開発派が対立する乙女湯温泉に小野川アヤがやって来た。；これより以前、北単于乙回は鮮卑の敦那に敗れて領土を放逐されていた。；乙類の中でも最も古いテキストを伝えているのが「太山寺本」である。；四中はスパルタ教育で有名な学校であったが、ここで乙組の級長を務めている。；後に軍を率いて黄河を渡り、廃位された乙弗氏のことを理由とした。；本籍地は咸鏡北道会寧郡八乙面で、祖父の代に朝鮮からロシアに移住した。；同様に生まれた日の干支が乙の日の場合は壬の年月日時が印綬の時期になる。；その時、甲は乙の命を助けたことから乙は甲を生涯の命の恩人とした。；陰陽五行では、十干の乙は陰の木、十二支の未は陰の土で、相剋である。；また、中国の各地方リーグを勝ち上がった10チームが新たに乙級リーグに参加する。</t>
        </is>
      </c>
      <c r="J1119">
        <f>HYPERLINK("https://www.weblio.jp/content/乙", "词义详情")</f>
        <v/>
      </c>
      <c r="K1119">
        <f>HYPERLINK("https://yourei.jp/乙", "查看例句")</f>
        <v/>
      </c>
    </row>
    <row r="1120">
      <c r="A1120" t="inlineStr">
        <is>
          <t>おっかない</t>
        </is>
      </c>
      <c r="B1120" t="inlineStr">
        <is>
          <t>成功</t>
        </is>
      </c>
      <c r="C1120" t="inlineStr">
        <is>
          <t>［形］怖い。恐ろしい。「—・い顔」「—・い目にあう」
[派生]おっかながる［動ラ五］おっかなげ［形動］おっかなさ［名］</t>
        </is>
      </c>
      <c r="D1120" t="inlineStr">
        <is>
          <t>おっかない顔(12%)；おっかない人(2%)；おっかないところ；おっかない目；おっかないおじさん</t>
        </is>
      </c>
      <c r="E1120" t="inlineStr">
        <is>
          <t>恐ろしい；ひどい；怖い；すごい；すさまじい</t>
        </is>
      </c>
      <c r="H1120" t="n">
        <v>29</v>
      </c>
      <c r="I1120" t="inlineStr">
        <is>
          <t>私は巳年だからというわけではないが、蛇よりも蛾のほうがおっかない。；ろくな噂を聞かないし、実際に街でもおっかない顔をした連中しか見ない。；テレビも冷蔵庫も携帯電話も使ってみたら別におっかなくはなかったのだが。；たった一度だけ、一寸おっかない思いをしたことがあったきりである。；女はおっかなくなって、中に入れなかったんで、あいつは帰って行ったんだ。；だが、別におっかなくはないと判ってよく見れば、確かに綺麗なものだ。；二人きりになったあと、次郎衛様のお顔はいよいよおっかなくなったもの。；ありもしないものまで見たり聞いたりして、勝手におっかなくなっちゃうの。；博奕に向いていない人っているのですよ、そういう人がやるとおっかない。；こんな商売をやっていますと、色々、おっかないこともありますなあ。；それも無理はないので、何しろ相手は見るからにおっかないヤクザである。；それ以外は見たこともないおっかないやつばかりですわ。；死人の家から出てきた時は、おっかない顔をしてましたからね。；おっかないとか気持ち悪いとか、そんなふうに思ってたのは本当に最初のうちだけだった。；倒れ込んだ男を見て、おっかなくなった犯人はその場から逃げ出した。；はなれていったぼくのことを、冬美は、おっかない兄に言いつけたのだ。；そんなおっかない病気は、神さんでも仏さんでもなおせませんよ。；あんなにおっかない目をした人間が居るんだろうかと、不思議に思ったぐらいだったよ。；「式はそう、おっかない子じゃないよ」 つい尖った声で口にしてしまった。；妻は死ぬ死ぬというので、おっかなくて仕方なかったのです。；五秒前と五秒後で言ってる事が一八〇度違う神様なんて、おっかない。；ドラム缶から飛び降りたとき、どこかで誰かがおっかない声で怒鳴った。；血を吸おうにも黒いのとか白いのみたいにおっかないのが街をうろついているでしょ?；ちょっと古いタイプの、おっかない顔の教師だが、実際はなかなか面白い男である。；正体のわからないものは誰だっておっかないんだよ。；むろん、当人はなんだかおっかないところがあるから、ほかの連中にである。；こういう話はもちろん怖ろしいが、別の意味でおっかない話もある。；おっかない顔して、へんなこと言うことはないと思うわ。；来須とつき合っているとおっかなくなるなあ、と瀬戸口は内心で笑った。</t>
        </is>
      </c>
      <c r="J1120">
        <f>HYPERLINK("https://www.weblio.jp/content/おっかない", "词义详情")</f>
        <v/>
      </c>
      <c r="K1120">
        <f>HYPERLINK("https://yourei.jp/おっかない", "查看例句")</f>
        <v/>
      </c>
    </row>
    <row r="1121">
      <c r="A1121" t="inlineStr">
        <is>
          <t>億劫</t>
        </is>
      </c>
      <c r="B1121" t="inlineStr">
        <is>
          <t>成功</t>
        </is>
      </c>
      <c r="C1121" t="inlineStr">
        <is>
          <t>読み方：おくこう
⇒おっこう（億劫）</t>
        </is>
      </c>
      <c r="D1121" t="inlineStr">
        <is>
          <t>億劫そう(7%)；億劫なほど；億劫な気；億劫がる；億劫がら</t>
        </is>
      </c>
      <c r="E1121" t="inlineStr">
        <is>
          <t>面倒</t>
        </is>
      </c>
      <c r="F1121" t="inlineStr">
        <is>
          <t>億劫そうに；億劫なほど疲れ；億劫な気持；億劫な気分</t>
        </is>
      </c>
      <c r="H1121" t="n">
        <v>29</v>
      </c>
      <c r="I1121" t="inlineStr">
        <is>
          <t>事実はただ、億劫になってしまっただけに過ぎないに決まっているのだ。；一日延ばし二日延ばしている間にますます帰るのが億劫になってしまう。；五十メートルも歩くと、彼は全身に倦怠を覚え、歩くのが億劫になった。；時間もかかって、あちこち行くのにかなり億劫になってきたのである。；靴ひとつ履くのも億劫になるし、濡れたものを乾かすのも容易ではない。；私は息をするのも、食事をするのも億劫で、ベッドに寝てばかりいた。；帰りの車に揺られながら、次第に祥子は億劫になっていくのがわかった。；否、自分で死ぬのも億劫なくらい、生きているのが嫌になったことがある。；歳をとってここへ来るのが億劫になった母が、自宅に持ち帰ったのだろう。；隠居が板につき過ぎて、生きとるのが億劫になってきだしたところなんだ。；かといって、旅に出るにも宿の予約や時刻表を調べたりすることが億劫だ。；かと云って町田まで戻るのも億劫だし勿論鎌倉まで歩くなど論外である。；奥に向かって声をかけると、少ししてから億劫そうに悦子が出てきた。；事実、雨の日や雪の日にめしを喰いに出かけるのは億劫なものであった。；おかげで、目当てのビルを見つけたときは、もはや動くのも億劫だった。；何があっても、本気で怒ったり笑ったりするのが億劫になっていた。；試みに身を将来に置いて現在をふり返るわけで億劫なことをやつたものだ。；かと言って、素性も知れない男に質問を返すのは、もっと億劫なことだ。；上演ずれのした大家になると、自作の舞台を見るのも億劫になっている。；改めて感じる孤りは、どんな他人といる時よりも、かえって億劫だった。；髪は濡れたままだったけれど、手を上に上げることさえ億劫だった。；江戸から遠く離れた土地で、新しい仕事につくのは、やや億劫あった。；切実にそんなふうに思えるのに、それを口に出すのがひどく億劫だった。；こんなに近くなのに、足を運ぶのを億劫がっているのだな、と彼は思った。；しかし、神経の不安に襲われると、動作そのものが億劫になってくる。；今朝起きた時から頭痛がして、会社に行くのがたまらなく億劫になった。；広瀬は家に帰るのが億劫で、母親はそれを臨死体験のせいにしたがった。；安心したとたん、背を起こしているのも億劫なくらいの眠気が襲ってきた。；その癖、眼鏡店にいくのが億劫なものだから、ついそのままになっている。</t>
        </is>
      </c>
      <c r="J1121">
        <f>HYPERLINK("https://www.weblio.jp/content/億劫", "词义详情")</f>
        <v/>
      </c>
      <c r="K1121">
        <f>HYPERLINK("https://yourei.jp/億劫", "查看例句")</f>
        <v/>
      </c>
    </row>
    <row r="1122">
      <c r="A1122" t="inlineStr">
        <is>
          <t>おっしゃる</t>
        </is>
      </c>
      <c r="B1122" t="inlineStr">
        <is>
          <t>成功</t>
        </is>
      </c>
      <c r="C1122" t="inlineStr">
        <is>
          <t>読み方：おっしゃる
［動ラ五（四）］《「おおせある」の音変化》
１「言う」の尊敬語。言葉を口にお出しになる。言われる。おおせられる。「先生はこう—・いました」「早く—・い」
２（人名などを受けて）そういう名前でいらっしゃる。「佐藤さんと—・る方」「お名前はなんと—・いますか」
[可能]おっしゃれる
[補説]命令形「おっしゃい」は、多く女性が使う。
［動ラ下二］に同じ。
「おゆき様とお前と逢はせた時、これ限りと—・れたか」〈浄・鑓の権三〉</t>
        </is>
      </c>
      <c r="D1122" t="inlineStr">
        <is>
          <t>おっしゃるんです(8%)；おっしゃるなら(4%)；おっしゃるとおりです(3%)；おっしゃるでしょ；おっしゃる通りです</t>
        </is>
      </c>
      <c r="E1122" t="inlineStr">
        <is>
          <t>いう；言う；云う；発言；話す</t>
        </is>
      </c>
      <c r="F1122" t="inlineStr">
        <is>
          <t>たいとおっしゃる；こうおっしゃる；なんとおっしゃる；何とおっしゃる；なんておっしゃる</t>
        </is>
      </c>
      <c r="H1122" t="n">
        <v>29</v>
      </c>
      <c r="I1122" t="inlineStr">
        <is>
          <t>このあたしが、母を殺した犯人を知っているとでもおっしゃるのですか?；夫人が少ししかおっしゃらないので、後は自分で推測せざるを得ません。；父の古い友人とおっしゃり、実際家族のことをよく知っておられました。；なんだか、あなたのおっしゃることが信じられるような気がしてきたわ。；ですけどいまおっしゃったような錯乱状態を示すとは考えられませんわ。；あなたは彼にお金を送ってやったことがあるとおっしゃいませんでしたか?；なるほどあなたのおっしゃる通り僕は僻んだ解釈ばかりしていたのです。；するとあなたは二人がまだここのどこかに隠れてるとおっしゃるんですか?；そのようなことをおっしゃっているあなたが、どんなにお美しいことか!；お茶の時までしまっておくようにお女中さんにおっしゃってちょうだい。；今と同じくこれから先いついつまでも愛して下さるとおっしゃいました。；ちょうどここだったのは不幸中の幸いだったとおっしゃっていました。；あなたは、ぼくがきょうまで何もしていなかったとおっしゃるのですか。；現実に私は、あなたのおっしゃるとおりの心持で話していたのですから。；あなたは、わたしに似ている人がいると、さっきおっしゃいましたわね。；こんどの小説は本当にあったことしか書かないとおっしゃったでしょう?；権力の夢を、わたくしが見たのと同じ夢を見たとおっしゃるのですか?；しかしあなたのおっしゃった反駁は、そう有力なものとも思えませんね。；先生のおっしゃったことを正当づけるものは何もないじゃありませんか。；それほど苦労をなさっていましたが、ご自分からは何もおっしゃらない。；この新しい着物もまるで御覧にならないし、何ともおっしゃらないのね。；いまおっしゃいましたご非難についちゃ、いずれも理由皆無なんですよ。；このことでは、あなたのおっしゃる意味での罪が私にあるかもしれません。；でもあの方は、そういうことはしないことにしているとおっしゃいました。；「おそらくおっしゃるとおりでしょうて」老人はこう云って手をもんだ。；兄さん、あなたは私の出したこのお金は欲しいとおっしゃるのでしょう。；他の人たちも話したんですから、さあ、なんとかおっしゃって下さいよ。；あなたの指揮がなくて、ペルシダーの人類に何ができるとおっしゃるの?；この度のことも、きっとうまく収めて下さるはずだとおっしゃいました。</t>
        </is>
      </c>
      <c r="J1122">
        <f>HYPERLINK("https://www.weblio.jp/content/おっしゃる", "词义详情")</f>
        <v/>
      </c>
      <c r="K1122">
        <f>HYPERLINK("https://yourei.jp/おっしゃる", "查看例句")</f>
        <v/>
      </c>
    </row>
    <row r="1123">
      <c r="A1123" t="inlineStr">
        <is>
          <t>おっちょこちょい</t>
        </is>
      </c>
      <c r="B1123" t="inlineStr">
        <is>
          <t>成功</t>
        </is>
      </c>
      <c r="C1123" t="inlineStr">
        <is>
          <t>［名・形動］落ち着いて考えないで、軽々しく行動すること。また、そのさまや、そういう人。「—な（の）面がある」「あの—がまた失敗をしでかした」</t>
        </is>
      </c>
      <c r="D1123" t="inlineStr">
        <is>
          <t>おっちょこちょいなところ</t>
        </is>
      </c>
      <c r="H1123" t="n">
        <v>29</v>
      </c>
      <c r="I1123" t="inlineStr">
        <is>
          <t>だが、もう一人の彼は、好奇心が強く、おっちょこちょいの面があった。；いちばんよいことは、二人を気軽におっちょこちょいとして扱うことだ。；性格はおっちょこちょいで、ちょっとした事でもすぐに慌てる所がある。；それはおっちょこちょいだと言われても仕方がないかも知れません。；女性のおっちょこちょいさ加減が、男性の気持ちを刺激するわけです。；おっちょこちょいな提案をして、結局女からさえ馬鹿にされる。；性格は、事務所を訪問する際に履歴書を持たずに行くと言うおっちょこちょい。；「母はおっちょこちょいなひとですから」 わたしは言葉を選んだ。；あんなおっちょこちょいの友達のために僕を追い出さないでおくれよ!；娘はあのおっちょこちょいの侯爵どののお目にとまったというわけさ。；普段のおっちょこちょいな沙都子とはどう見ても雰囲気が違う。；母の友人だけあって、このひともずいぶんおっちょこちょいだ、とわたしは思った。；「おっちょこちょい」の恩恵にあずかるのは、子供だけではありません。；藤堂さんは、自分のおっちょこちょいさに苦笑しながら、梨緒に言った。；ちょっとおっちょこちょいなところを直せば、それで十分だと思う。；おっちょこちょいで成績もよくなかったので級友たちから多少馬鹿にされていたが僕は鎌田が好きだった。；と考えたとき、脳裏に浮かんだのが「おっちょこちょい」だったのでしょう。；藤堂さんは、私のことを気の早い、おっちょこちょいだとでもいったんでしょう?；来やがった、来やがった、来るに事を欠いて、おっちょこちょいの金公が来やがった。；この英雄的なおっちょこちょいの魂は、ついにはそれほどまでにわれわれの内部に浸透してしまったのだ。；気むずかしそうな顔をしていながら、その本質はおっちょこちょいなのであろうか。；明るくて動物に優しいが、少しおっちょこちょいなところがある。；最近は、おっちょこちょいを武器にモテようとするのは、女性だけではなくなってきました。；普段はおっちょこちょいばかりやっている、どうということのない小娘ではないか。；性格は明るいがおっちょこちょいで喧嘩っ早い。；おっちょこちょいだが、結構よく考えて行動している。；このようにおっちょこちょいは、一種変わった短所なのです。；好都合なことに、伯爵夫人は私をおっちょこちょいのバカ者だと思っている。；おっちょこちょいは、僕のほうでもらってもいいぜ。</t>
        </is>
      </c>
      <c r="J1123">
        <f>HYPERLINK("https://www.weblio.jp/content/おっちょこちょい", "词义详情")</f>
        <v/>
      </c>
      <c r="K1123">
        <f>HYPERLINK("https://yourei.jp/おっちょこちょい", "查看例句")</f>
        <v/>
      </c>
    </row>
    <row r="1124">
      <c r="A1124" t="inlineStr">
        <is>
          <t>夫</t>
        </is>
      </c>
      <c r="B1124" t="inlineStr">
        <is>
          <t>成功</t>
        </is>
      </c>
      <c r="C1124" t="inlineStr">
        <is>
          <t>読み方：せ
１女が男を親しんでいう語。主として夫・恋人をさす。⇔妹(いも)。
「信濃道(しなぬぢ)は今の墾(は)り道刈りばねに足踏ましむな沓(くつ)はけ我が—」〈万・三三九九〉
２女の側から兄または弟をよぶ語。⇔妹。
「人ならば母が愛子(まなご)そあさもよし紀の川の辺の妹と—の山」〈万・一二〇九〉</t>
        </is>
      </c>
      <c r="D1124" t="inlineStr">
        <is>
          <t>夫余；夫殺し；夫里；夫アルバート；夫故</t>
        </is>
      </c>
      <c r="E1124" t="inlineStr">
        <is>
          <t>主人；宅；亭主；良人；ハズ</t>
        </is>
      </c>
      <c r="F1124" t="inlineStr">
        <is>
          <t>元夫；樵夫；楠夫；三根夫；亡き夫</t>
        </is>
      </c>
      <c r="G1124" t="inlineStr">
        <is>
          <t>夫婦；夫妻；夫々；夫婦喧嘩；夫婦生活</t>
        </is>
      </c>
      <c r="H1124" t="n">
        <v>29</v>
      </c>
      <c r="I1124" t="inlineStr">
        <is>
          <t>最初の訪問国であるケニアは夫の北朝鮮訪問を質問されることになった。；あなたの偉大な夫が亡くなったことが世界の損失であることを表明する。；その女性は夫にひどい扱いを受けており、邸宅に監禁されているという。；地味な人物である夫のルイ16世を見下しているところもあったという。；次の朝、あまりにも夫が落胆しているので、ホームズを訪れて相談した。；彼女と同じように沈んできた夫のイヌは、彼女の新たな家の門番となった。；彼女の夫・広太郎は戦場でオールグレンと戦い、殺されたからであった。；夫は夜になると寝所に現れるのみで姿を見ることはできなかった。；絵画の分野において士夫画の提唱者であり、自身も墨竹画をよくした。；道子は夫と百合の過去を知り、子どもを連れて実家に帰ってしまう。；また彼女は夫の死後、自身が没するまで喪服しか着用しなくなったという。；既に年長大であり、夫はいない、弟がいて彼女を助けていたとの伝承がある。；現夫・大和田獏との結婚直後の頃に、週刊誌でオールヌードを披露した。；姉・ナナ子の夫の親類宅に2度目の滞在をさせてもらうことになった。；最高勲章は彼女の夫であるアルバート王配が代わりに授与されていた。；石夫の実父は内務官僚であったが、安濃郡長の時に若くして亡くなった。；夫が外で食事する場合、妻は自由に外出して外で昼食を取っていた。；仲睦まじかったのはごく短い間で、国王は夫の義務を果たさなくなる。；ただし固有の神話を持たず、特定の夫と息子の組み合わせは持たない。；前者は小達家菩提寺から、後者は夫の西山家の菩提寺からのものである。；このような中、マリは夫と自分それぞれの功績を区別して強調するようになった。；その年の暮れに彼女は別居中の夫と離婚し、シェーラーと暮らし始めた。；直茂は戦場に身を置くことが多く、彦鶴はそんな夫を陰で支え続けた。；例えばインドラは女性と、時には夫のある女性ともしばしば関係を持った。；夫の書類を整理し、彼の音楽の普及に努め、自身の回顧録を記した。；だがセントクレア夫人が、夫が生きている証拠の手紙が届いたと言ってきた。；未成年でアメリカへ留学中の長女と次女の親権は元夫が持つこととなった。；まずは夫婦の出身・年齢・夫の職業を確認し、妻に2人の馴れ初めを聞く。；ガイアはウーラノスを夫とし、数多くの巨人や神々を次々に生んでいく。</t>
        </is>
      </c>
      <c r="J1124">
        <f>HYPERLINK("https://www.weblio.jp/content/夫", "词义详情")</f>
        <v/>
      </c>
      <c r="K1124">
        <f>HYPERLINK("https://yourei.jp/夫", "查看例句")</f>
        <v/>
      </c>
    </row>
    <row r="1125">
      <c r="A1125" t="inlineStr">
        <is>
          <t>お釣り</t>
        </is>
      </c>
      <c r="B1125" t="inlineStr">
        <is>
          <t>成功</t>
        </is>
      </c>
      <c r="C1125" t="inlineStr">
        <is>
          <t>読み方：おつり
相手を敬って、その釣り銭をいう語。また、釣り銭を丁寧にいう語。</t>
        </is>
      </c>
      <c r="H1125" t="n">
        <v>29</v>
      </c>
      <c r="I1125" t="inlineStr">
        <is>
          <t>運転手がお釣りを渡そうとしたので、僕は無言で首を振って自宅に入った。；航空機を利用すれば十一時間半は、福岡往復に充分過ぎてお釣りがくる。；児玉家当主の命をもって景の命をあがなうならば、お釣りがくるほどだ。；切符を買うのも、お釣りをもらうのも、電車に乗るのも生まれて初めてだ。；八百屋の店先でお釣りを受けとっていたらしい、客の手も止まっている。；この街にいる、一〇〇万人の観光客全員を乗せてもお釣りがくるほどの数だ。；お釣りのお金はしまわれていて、心配が外れていたことを確認してから見上げた。；それとも、お釣りがないように小銭を出したらよかったのだろうか。；それとお釣りは少し多めに用意しておくといいかもしれないですね。；すなわち全酒協によると「お釣りを出すのは小売店の独自の判断」である。；それに客から受取った金以上のお釣りを渡したらどうなります?；お客様にお釣りを渡し、ファーストフードをお包みするための大切な手だ。；と上条はお釣りのレバーをガチャガチャ動かしながら心の中で絶叫する。；このような場合、追加の出力が使用され、お釣りが送金元に返される。；戻って運転手に借りようかと思って、ふと見るとお釣りのところに硬貨があった。；佐々木さんがお釣りになるのをよこで見てるだけでもいいんです。；沢山お釣りになることはございませんよ、川魚は生臭くていけません。；三十分待っても、運転手の手もとには十分にお釣りが残る。；お釣りがある場合には逆のルートできちんと返ってくる。；お褥ご遠慮にお釣りがきて、猫にでも舐めさせておけばいいのよ。；そのエネルギーが全部供給できるならば、お釣りが出るくらいなのだが、いろいろな事情があって実現しにくい。；誰かが話しかければ必ず笑顔になり、お釣りを渡すしぐさは丁寧だった。；また彼女の妖力であるお釣り間違いが働いているのだ。；お釣りの計算してるときも通路にしゃがんでないと見えねえぞっていわれちゃうんですよ。；もっとも、百円硬貨二枚を入れたお釣りで八枚落ちてくるのが他の硬貨のはずもないが。；俺はお釣りを誰かにやりたいくらいだ。；人々は、大きい金額のお釣りで25セント硬貨が用いられることに慣れていたのである。；この機種のみ、初代のように降り切れなかったおじゃまぷよのお釣りがある。；換算率が現在のようなわけですから、あと三百フランほどお釣りを上げなければならなかったのです。</t>
        </is>
      </c>
      <c r="J1125">
        <f>HYPERLINK("https://www.weblio.jp/content/お釣り", "词义详情")</f>
        <v/>
      </c>
      <c r="K1125">
        <f>HYPERLINK("https://yourei.jp/お釣り", "查看例句")</f>
        <v/>
      </c>
    </row>
    <row r="1126">
      <c r="A1126" t="inlineStr">
        <is>
          <t>お手上げ</t>
        </is>
      </c>
      <c r="B1126" t="inlineStr">
        <is>
          <t>成功</t>
        </is>
      </c>
      <c r="C1126" t="inlineStr">
        <is>
          <t>読み方：おてあげ
《両手を上げて降参する意から》解決する手段が全くないこと。どうにもしようがないこと。「騒音対策は—の状態だ」</t>
        </is>
      </c>
      <c r="D1126" t="inlineStr">
        <is>
          <t>お手上げ状態(5%)</t>
        </is>
      </c>
      <c r="E1126" t="inlineStr">
        <is>
          <t>覚悟；諦め；観念；降りる；投げる</t>
        </is>
      </c>
      <c r="H1126" t="n">
        <v>29</v>
      </c>
      <c r="I1126" t="inlineStr">
        <is>
          <t>その上、夜になってしまったとあっては、これはもうお手あげであった。；やがて、牧師のような男がお手上げだと言うような態度を示しはじめた。；横の距離に縦の距離を加えられて、私の無駄に長い手でもお手上げだった。；捜査の定石が全部お手あげになったあとでさえ、失敗をみとめなかった。；もしべリアルが麻痺させられたり、命を落とした場合はお手上げである。；あののんだくれの手にかかった日には、それこそもうお手上げですよ。；それまでに打開策をひねりだしたかったが、まったくのお手あげだった。；こっちが完全にお手上げの状態だということを確認したのだろう。；研究者として成果は上げていても、自分のこととなるとお手上げだ。；大ぜいの父親は、不安を感じながら、どうすればよいかお手上げの状態だ。；ラモスが外に出ている時は、仕事はみんなお手あげになってしまう。；港岸ぞいに暗闇の中を移ろう影には、パトロール隊すらお手上げだった。；あけた穴から文字をのぞくグリルのようなものを使う暗号ならお手上げだ。；警察も物理学者もお手上げ状態となり、富める者たちは恐水病に陥った。；ことに、振袖やふくら雀の帯結びとなると、はじめからお手上げである。；だったら別の考えが浮かぶかっていうと、まったくもってお手上げで。；特に名古屋に移ってからのことはおれにはお手上げだ。；それじゃってんで色がらみをあたってみたんだけどさ、こっちもお手あげよ。；ここに至れば、さすがの司祭の洞察力をもってしてもお手上げだった。；こんなとき病気になんかなったら、それこそお手上げだからね。；催眠術がこのような形に悪用されたら、警察はお手上げだと思った。；道路が寸断されているから、そこの部分で線が切れればお手上げだ。；おれにも他のやくざにツテはあったが、佐久間に出てこられちゃお手上げだ。；これはもうお手あげだわ、あんた、ここの人じゃないでしょう、ね?；このごろでは小売店の商売が、まったくお手上げになってしまったのである。；うちの大将はあれで案外扱いやすい人のはずなんだが、今度ばかりはお手上げだ。；今度の調査の発端となった人間炎上事件のほうは、 全くお手上げ状態だった。；相手が建物の中に入っていたらお手上げである。；君は警察があっさりお手あげだなんて言うと思ってるのかい?</t>
        </is>
      </c>
      <c r="J1126">
        <f>HYPERLINK("https://www.weblio.jp/content/お手上げ", "词义详情")</f>
        <v/>
      </c>
      <c r="K1126">
        <f>HYPERLINK("https://yourei.jp/お手上げ", "查看例句")</f>
        <v/>
      </c>
    </row>
    <row r="1127">
      <c r="A1127" t="inlineStr">
        <is>
          <t>音</t>
        </is>
      </c>
      <c r="B1127" t="inlineStr">
        <is>
          <t>成功</t>
        </is>
      </c>
      <c r="C1127" t="inlineStr">
        <is>
          <t>読み方：いん
⇒おん</t>
        </is>
      </c>
      <c r="D1127" t="inlineStr">
        <is>
          <t>音型；音樂；音作り；音高く；音たて</t>
        </is>
      </c>
      <c r="E1127" t="inlineStr">
        <is>
          <t>声；調子；口調；響き；音声</t>
        </is>
      </c>
      <c r="F1127" t="inlineStr">
        <is>
          <t>鈍い音；金属音；エンジン音；かすかな音；小さな音</t>
        </is>
      </c>
      <c r="G1127" t="inlineStr">
        <is>
          <t>音声；音源；音楽家；音響；音色</t>
        </is>
      </c>
      <c r="H1127" t="n">
        <v>29</v>
      </c>
      <c r="I1127" t="inlineStr">
        <is>
          <t>音具とは音を出す道具のうち、音が出るが楽器とは言いにくい物のこと。；これら具体音の導入は、商業音楽などの分野にも決定的な影響を与えた。；音抜けが良く印象に残りやすいことから多用されたことが見受けられる。；日本語にない音を表記するために、いくつかの専用の文字を使用する。；さらにはより大きな音や激しい音を得るために木や石を叩いた可能性も大きい。；音楽を作る側も再生側もほとんど同じ音を出す時代になっている。；人工張りは環境の変化に強い反面、高く鋭い音になりやすい特徴がある。；主人が練習に疲れて家に帰って来て、もう音は聞きたくないという。；それ以外に既存の字に新たな音とか訓を付けて使用することもある。；一方、彼のピアノからは小さな音しか出なかったという批判もあった。；しかも漢字の音も南北朝までの古い音は、唐代とは大きく異なっていた。；長調の場合、短調の場合ともに主調と必ず異なる音は第三音のみである。；クックが製造したレコードは、鉄道の音から嵐の音まで様々なものがあった。；電位差が発生した雲または大地などの間に発生する光と音を伴う放電現象。；なお表意文字は、一般的に概念と同時に音も表していることが一般的である。；音が存在しないか一般的でない漢字については、訓が代表音訓とされた。；音高や音圧が同じであっても音色の異なる音は異なる聞こえ方をする。；このことで着信音にバリエーションを持たせることが可能となった。；父称は父親の名前にその語尾の音に応じた適切な語尾を付加して作られる。；日本語では古典式またはドイツの音をカタカナ表記するのが慣習となっている。；彼は他の音のオーグメンテーションのようなプロセスを用いる方へ移行する。；携帯電話内のデータを、携帯電話内に搭載された音源が処理し音を鳴らしている。；音楽作りに対する拘りと独自の制作姿勢から「音の職人」とも称される。；音を記録した円盤であるため日本では「音盤」と呼ばれることもある。；音節の音の高低の違いが子音や母音と同じように意味を区別している。；乗客の何名かは、タイタニックの船体が折れる音を聞いたと証言している。；フランス語やイタリア語でこの音を表すには、c や qu を用いる。；耳に聞こえる音もこうしたオーロラからの直接の音波ではないかともされる。；コンサートホールの中と外とを問わず、われわれを取り巻く音である。</t>
        </is>
      </c>
      <c r="J1127">
        <f>HYPERLINK("https://www.weblio.jp/content/音", "词义详情")</f>
        <v/>
      </c>
      <c r="K1127">
        <f>HYPERLINK("https://yourei.jp/音", "查看例句")</f>
        <v/>
      </c>
    </row>
    <row r="1128">
      <c r="A1128" t="inlineStr">
        <is>
          <t>お父さん</t>
        </is>
      </c>
      <c r="B1128" t="inlineStr">
        <is>
          <t>成功</t>
        </is>
      </c>
      <c r="C1128" t="inlineStr">
        <is>
          <t>読み方：おとうさん
１子供が自分の父親を呼ぶ語。また、子供にとって父親のこと。「おかあさん」とともに明治37年（1904）から使用した文部省「尋常小学読本」（国定教科書）に採用されてから、「おとっさん」に代わって普及した。「—、お早う」「—の小さいころの夢はどんなだった?」
２第三者がその人の父親を親しみを込めて呼ぶ語。「会社の者ですが、—はご在宅でしょうか」「先日、本屋で君の—を見かけたよ」
３子供のいる家庭で、家族が子供の父親を呼ぶ語。子供の視点に立って、母親が夫を、祖父母が息子を指して言う語。「—、次の休日に子供と遊園地に出かけること忘れないでね」
４子供をもつ男性を親しんで呼ぶ語。「—、お子さんの進路についてどうお考えですか」「若いのにもう—ですか」
５父親が自分を指して言う語。「—に任せなさい」「—の若いころはもっと我慢したもんだ」
６（特に「お義父さん」と書く場合）配偶者や婚約者の父親のこと。
７芸妓・女郎が、置屋や茶屋の男主人を敬って呼ぶ語。
[補説]第三者に対して自分の父親をいう場合、公の場や手紙文などでは「お父さん」ではなく、通常「父」を用いる。</t>
        </is>
      </c>
      <c r="D1128" t="inlineStr">
        <is>
          <t>お父さんお母さん；お父さんみたい；お父さんそっくり；お父さん折りたたみ自転車；お父さんお父さん</t>
        </is>
      </c>
      <c r="E1128" t="inlineStr">
        <is>
          <t>父；父親；親父；父さん；実父</t>
        </is>
      </c>
      <c r="F1128" t="inlineStr">
        <is>
          <t>さっきお父さん；中二お父さん；いつかお父さん；やさしいお父さん；麻呂お父さん</t>
        </is>
      </c>
      <c r="G1128" t="inlineStr">
        <is>
          <t>お父さんといっしょ；お父さんはお人好し；お父さんのためのワイドショー講座；お父さんは心配症；お父さん犬</t>
        </is>
      </c>
      <c r="H1128" t="n">
        <v>29</v>
      </c>
      <c r="I1128" t="inlineStr">
        <is>
          <t>少なくとも二度、ぼくはあの男のきていることをお父さんに隠しました。；と云ってお父さんはあれほどの学者、したがってお前さんも学者だろう。；お父さんはコプリ氏のような男に支配されるほど馬鹿じゃないでしょう。；あなたのお父さんを殺しておいてから、あなたまで殺そうとしたんだね?；自然の運行も陰の極であったが、お父さんの生活もまた陰の極であった。；こうした転地の費用のことはお父さんは全然心配する必要はないはずだね。；娘はこのことをお父さんに告げると、お父さんも、驚いた顔をしました。；どうせ非難するでしょうし、どのみちお父さんも認めないでしょうから。；でも、航海士になることがお父さんへの償いになるのならと思っていた。；お父さんが帰つて来るまでに、もう少し話の筋道をつけておきたいんだ。；幼いころの記憶がうすれて、今では丸で他人のやうな気がするお父さん!；その際に、お父さんはウクレレを弾いている真似をしながら歌っていた。；秀子さんのお母さんは家つきの娘で、病気のお父さんは養子なんですよ。；「Doveと呼ばれるとお父さんに呼ばれる気がする」ために改名した。；僕はお父さんのやうに平凡な一生を送ることを苦痛とは思ひません。；こう思うと、お父さんの怖ろしがるのも無理はないかも知れませんね。；その子は何から何までお父さんそっくりだと誰もが言っていた。；こうして、ついにお父さんの帰るといわれた五年めとなったのであります。；お父さんは、お前が犯罪に関係があるなんて考えたわけじゃないよ。；この先きお父さんを苦しめるやうなことは決してしないでせうから!；その杯を一つさしてくれんか、お父さんも近頃はええ酒も飲めんでのう。；お父さんやお母さんが期待しているほど僕は重い責任を感じる。；わたしの心配そうな顔を見て、お父さんはわたしを警察へ連れて行ってくれた。；お父さんがあの男をあまり好いていなかったことは、まだおぼえています。；ただお父さんの喋ってるのを聞いてたから話せるというまでのことよ。；お父さんは知り合いがおありですし、おまえのほうがしんぱいですから。；お父さんにも、出がけに眩暈がして倒れたなんて云つちやいけませんよ。；その人はアッケンのお父さんと同じような、親切な快活な顔をしていた。；きっと宇宙人が本物のお父さんを殺して入れ替わったんじゃないだろうか。</t>
        </is>
      </c>
      <c r="J1128">
        <f>HYPERLINK("https://www.weblio.jp/content/お父さん", "词义详情")</f>
        <v/>
      </c>
      <c r="K1128">
        <f>HYPERLINK("https://yourei.jp/お父さん", "查看例句")</f>
        <v/>
      </c>
    </row>
    <row r="1129">
      <c r="A1129" t="inlineStr">
        <is>
          <t>弟</t>
        </is>
      </c>
      <c r="B1129" t="inlineStr">
        <is>
          <t>成功</t>
        </is>
      </c>
      <c r="C1129" t="inlineStr">
        <is>
          <t>読み方：おと
［名］
１上代、男女の別なく、兄弟または姉妹の関係にある者のうち年少の者。おとうと。また、いもうと。⇔兄(え)。
「其の—木花之佐久夜毘売(このはなのさくやびめ)を留めて」〈記・上〉
２末の子。おとご。
「姉が手を引き、—は抱く」〈浄・油地獄〉
３狂言面の一。不器量な若い女の面。乙御前(おとごぜ)。おたふく。おかめ。
［接頭］名詞に付いて、
１年下の、年が若い、末の、などの意を表す。「—おじ（弟叔父）」「—ご（弟子）」
２年若く美しい意を表す。「—たなばた（弟棚機）」「—たちばなひめ（弟橘媛）」</t>
        </is>
      </c>
      <c r="D1129" t="inlineStr">
        <is>
          <t>弟たち；弟さん；弟達；弟夫婦；弟殿下</t>
        </is>
      </c>
      <c r="E1129" t="inlineStr">
        <is>
          <t>兄；兄弟；兄さん；兄貴；実弟</t>
        </is>
      </c>
      <c r="F1129" t="inlineStr">
        <is>
          <t>王弟；異母兄弟；次弟；異父弟；半弟</t>
        </is>
      </c>
      <c r="G1129" t="inlineStr">
        <is>
          <t>弟妹；弟橘媛；弟分；弟弟子；弟子入り</t>
        </is>
      </c>
      <c r="H1129" t="n">
        <v>29</v>
      </c>
      <c r="I1129" t="inlineStr">
        <is>
          <t>それは郊外のロベルティの農家に両親や弟が住んでいたからでもあった。；ある日、弟が病死するとそれまで正確に動いていた時計が遅れ出した。；また、弟である漢王朱高煦も自らが父の後継者になることを望んでいた。；ただ、頼家の弟実朝の家督継承の際にはまず征夷大将軍に任官している。；そのインコは、例の僧が肩に乗せていたインコの弟に当たる鳥だった。；既に年長大であり、夫はいない、弟がいて彼女を助けていたとの伝承がある。；また駿河田中藩主4万石になっていた弟の酒井忠能は綱吉に改易された。；この伝説に見える姉神と弟神は、天照大神と素盞嗚尊にあたるといわれる。；また義持は弟らが将軍職に耐えうる器ではない事なども考えていたとされている。；父親は軍人で、三人の兄と弟一人という男兄弟に囲まれて育った。；この頃、寺に入れられていた弟友吉が耐え切れずに寺から戻った。；ウォリックの側に殺到した多くの者の中に、弟のモンターギュ侯がいた。；サラディンは訳を訊ねるが弟は答えず、彼の言う通りに捕虜を与えてやった。；間に立ったのは布枝の母の弟で、この叔父の妻の実家が武良家の遠縁だった。；この結果エジプトでは新たに弟のプトレマイオス8世が擁立された。；弟さんは小さくて、よくおねしょをしたので、皆にからかわれていました。；さらに、弟は病気になり、家族間の関係が悪化し喧嘩が絶えない状態となった。；一方、妻・文は自身の弟・塚本八洲の療養のため鵠沼の実家別荘に移住。；しかし、彼の弟デーキン・ウィリアムズなど幾人かはそれが殺害だと信じている。；さらに長慶自身も弟達、息子のあとを追うように1564年に病死する。；怒りの収まらない彼は妻や弟でマネージャーのジョーイに当たり散らす。；チンギス・ハーンの末の嫡出弟であるテムゲ・オッチギンが著名である。；すると、弟は自分の物だからと言って全て解放してやり、こうするのが良いのだと兄に言った。；弟の趙匡義が跡を襲って中国の統一を果たし、科挙制度の充実を図った。；この場合は弟といとこを呼ばないほうが良いことになる。；唯一、抵抗を見せたのは弟・仁科盛信が籠城する高遠城だけであった。；兄弟の母は、兄よりも弟キュロスの方が気に入っていたのである。；エドガーは生涯を独身で通し、次弟アレグザンダーを後継者に指名した。；この頃、曹操は陶謙に父の曹嵩や弟の曹徳を含めた一族を殺されている。</t>
        </is>
      </c>
      <c r="J1129">
        <f>HYPERLINK("https://www.weblio.jp/content/弟", "词义详情")</f>
        <v/>
      </c>
      <c r="K1129">
        <f>HYPERLINK("https://yourei.jp/弟", "查看例句")</f>
        <v/>
      </c>
    </row>
    <row r="1130">
      <c r="A1130" t="inlineStr">
        <is>
          <t>おどおど</t>
        </is>
      </c>
      <c r="B1130" t="inlineStr">
        <is>
          <t>成功</t>
        </is>
      </c>
      <c r="C1130" t="inlineStr">
        <is>
          <t>［副］(スル)《「おずおず」（おづおづ）の音変化》緊張・不安や恐怖心で落ち着かないさま。「人前ではいつも—している」</t>
        </is>
      </c>
      <c r="D1130" t="inlineStr">
        <is>
          <t>おどおどした目つき；おどおどしてる；おどおどと周囲；おどおどと視線；おどおどとあたり</t>
        </is>
      </c>
      <c r="E1130" t="inlineStr">
        <is>
          <t>不安；おずおず；おそるおそる；恐る恐る；やきもき</t>
        </is>
      </c>
      <c r="F1130" t="inlineStr">
        <is>
          <t>妙におどおど；どこかおどおど；少しおどおど；ひどくおどおど；ちょっとおどおど</t>
        </is>
      </c>
      <c r="H1130" t="n">
        <v>29</v>
      </c>
      <c r="I1130" t="inlineStr">
        <is>
          <t>ただ、あのいつもおどおどしてるような目や態度はおれの好みではない。；笑って、われから、その子のおどおどした視界を出てやることであった。；お友達からも、意外のほどに同情され、私はおどおどしてしまいました。；礼を述べて自宅に帰るブリッキーに青年はおどおどしながらついてくる。；別におどおどする必要もないので、私はふらりと店の中に入って行った。；いつも、おどおどと自分を見上げていた息子ではないような気がした。；殆どいつも無口で、蛇にみこまれたように夫の前ではおどおどしていた。；その慎一郎の背後には都がおびえたような顔色でおどおどと立っている。；私は彼女のおどおどした態度とすぐにでも壊れそうな姿に同情したのだった。；私が検分を終えた時には、もう娘にはおどおどした様子がなくなっていた。；眼の底にもおどおどしたかげがあり、そこにも恐怖の念がやどっていた。；そのおどおどしている様子で、半七はそれが嘘であることをすぐ看破った。；おどおどした態度から飲みに来たのではないことは明らかだった。；彼女が出会うたびに見せた、あの奇妙なおどおどした態度が目に浮かぶ。；ふと前を見ると、目の前に変な男がおどおどしながら立ってました。；不破の前でおどおどしていたのはそのことが原因であったのだろう。；顔を赤く腫らした徹夫が、おどおどとした様子でおまえに近づいてくる。；店に入ってもおどおどしていましたから、人慣れしない子なのかと思いました。；にもかかわらず、どこか内気でおどおどしている感じがするのは不思議だ。；ちょっとのことにふり廻されて、おどおどと生きる人間のような気がした。；さきほどまで彼はおどおどしてあまり口もきけないでいたのだった。；九か月前には、美貌の中にも少年っぽさの残るおどおどとした男だった。；愛人を殺された男としては、多少はおどおどしているのが、普通である。；おどおどとした、だけど今はその奥にある強い意思を感じられる声。；トムはこんなとき羊みたいにおどおどと庭を歩いてくるような子じゃない。；苦労にやつれた顔をして、消化不良にかかっていて、おどおどしていた。；それまでの彼に見られたようなどこかおどおどしたところがどこにもなくなっていた。；月江は、すぐ出て来て、堂十郎を見ると、おどおどして、降りて行った。；しかしおどおどしていては、かえって疑いを持たれるおそれがある。</t>
        </is>
      </c>
      <c r="J1130">
        <f>HYPERLINK("https://www.weblio.jp/content/おどおど", "词义详情")</f>
        <v/>
      </c>
      <c r="K1130">
        <f>HYPERLINK("https://yourei.jp/おどおど", "查看例句")</f>
        <v/>
      </c>
    </row>
    <row r="1131">
      <c r="A1131" t="inlineStr">
        <is>
          <t>脅かす</t>
        </is>
      </c>
      <c r="B1131" t="inlineStr">
        <is>
          <t>成功</t>
        </is>
      </c>
      <c r="C1131" t="inlineStr">
        <is>
          <t>読み方：おどかす
［動サ五（四）］
１怖がらせる。脅迫する。おどす。「有り金全部置いていけと—・す」
２びっくりさせる。驚かす。「隠れていて—・してやろう」
[可能]おどかせる</t>
        </is>
      </c>
      <c r="D1131" t="inlineStr">
        <is>
          <t>脅かす可能性</t>
        </is>
      </c>
      <c r="E1131" t="inlineStr">
        <is>
          <t>威嚇；恐喝；脅す；威嚇する；脅迫する</t>
        </is>
      </c>
      <c r="H1131" t="n">
        <v>29</v>
      </c>
      <c r="I1131" t="inlineStr">
        <is>
          <t>しかし君の家が近くなるにつれて妙に君の心を脅かし始めるものがある。；そして人々の近づく足音に脅かされて法師は逃げていってしまいました。；去年から今まで脅かされつづけて、いつたい彼は何をしていたのだろう。；それだから国家を脅かす敵としてこれほど恐ろしい敵はないはずである。；巣が脅かされたときに生じるので、防衛的な行動と解釈することが多い。；そんなことのためにわれわれの生活が脅かされるなんて我慢できない。；セ・ネドラの生命を脅かす企てが行なわれたのは翌日の朝のことだった。；するとその熱が必ず肺病の前兆でなければならないように彼を脅かした。；だから、何もわからないながらも、私はたしかにこの言葉に脅かされた。；しかし、それだけが今のわたしを脅かしている最大の脅威ではなかった。；私に取っては存在を脅かされる重要なことなのですからやむをえません。；すると青江は、きっとあたしを脅かして何かいわせたいためなんでしょ?；このため彼等の生存を脅かすような環境の変化などが起きた可能性はある。；なにも知らない観光客をまた脅かしてやったと得意げに言っていたという。；この報を受けるや背後を脅かされたアモーリーは撤退を余儀なくされた。；それで、女が、妻の座にいる周子を脅かそうとしているのかもしれない。；直接人間の生命を脅かしたりしない場合でも、事故と呼ばれる場合がある。；私はしかしこんどは何かに脅かされてでもいるように泣きじゃくっていた。；すると手にしたそのパンまでいよいよひとつの脅かしに見えてきた。；深く侵された両の肺は、どうやら彼女の生命を脅かすようになって来た。；その努力は空回りして、逆に彼女の命を脅かしてしまったのだとしても。；自分を脅かされていると感じるものの対象がはっきりするわけです。；ここにアメリカは初めて、イギリスの世界一の座を脅かすこととなった。；脅かす FF3 敵のレベルを下げて敵を逃亡させやすくするコマンド。；鳴き声をあげたりして、暗い夜道を歩いている人などを脅かすともいう。；脅かすつもりはなかったんだけど、ちょうど窓から君が見えたからさ。；誰かがそういう立場に立てば、このわたくしの地位が脅かされかねません。；ときどき私達を脅かしているものの方へ押し戻されそうになりながら。；その中であらゆるものの影がサンセヴィーノとなって私を脅かすのだ。</t>
        </is>
      </c>
      <c r="J1131">
        <f>HYPERLINK("https://www.weblio.jp/content/脅かす", "词义详情")</f>
        <v/>
      </c>
      <c r="K1131">
        <f>HYPERLINK("https://yourei.jp/脅かす", "查看例句")</f>
        <v/>
      </c>
    </row>
    <row r="1132">
      <c r="A1132" t="inlineStr">
        <is>
          <t>男</t>
        </is>
      </c>
      <c r="B1132" t="inlineStr">
        <is>
          <t>成功</t>
        </is>
      </c>
      <c r="C1132" t="inlineStr">
        <is>
          <t>読み方：お
《「雄(お)」と同語源。「女(め)」に対する語》
１おとこ。男子。
「吾が大国主汝(な)こそは—にいませば」〈記・上・歌謡〉
２おっと。
「吾(あ)はもよ女(め)にしあれば、汝(な)を置(き)て—はなし」〈記・上・歌謡〉
３（「雄」「牡」とも書く）他の語の上または下に付いて複合語をつくる。
㋐男性、または動植物のおすを表す。「—牛」「—花」「益荒(ますら)—」
㋑一対の物のうち、大きいもの、または男性的と思われるほうのものを表す。「—岳」「—竹」
㋒おおしい、勇ましい意を表す。「—たけび」「—心」</t>
        </is>
      </c>
      <c r="D1132" t="inlineStr">
        <is>
          <t>男たち(6%)；男具那；男ども；男同士；男友達</t>
        </is>
      </c>
      <c r="E1132" t="inlineStr">
        <is>
          <t>人；人間；男性；男子；紳士</t>
        </is>
      </c>
      <c r="F1132" t="inlineStr">
        <is>
          <t>四男；五男；見知らぬ男；高い男；六男</t>
        </is>
      </c>
      <c r="G1132" t="inlineStr">
        <is>
          <t>男子；男女；男の子；男爵；男と女</t>
        </is>
      </c>
      <c r="H1132" t="n">
        <v>29</v>
      </c>
      <c r="I1132" t="inlineStr">
        <is>
          <t>ほとんど価値のない論文ですが、あの可哀想な男は喜んでいるでしょう。；なりすはそんな彼に歩と同じものを感じ、男を歩のもとに訪ねさせる。；そこには若い女性の遺体と、その脇で泣いている若い男の姿があった。；卑弥呼の後継の男王の次に、13歳で女王になり倭をまとめたとされる。；ただの男の紂を殺したとは言えても、君主である王を殺したとは言えない。；これらの英雄のほとんどはヘレネーに結婚を申し込んだ男たちだった。；それを無視して、ふと気が付けば、村中の男たちが彼を殺す準備をしていた。；どうやらこの男は、ガチョウが誰に売られたのかを調べているようだ。；金の量が足りなかった者は、男だろうと女だろうと手首が斬り落とされた。；この結婚は、結婚以外に道のない女と結婚のチャンスのない男の結婚であった。；藤村のように人生を野球に賭けた男がいたから航路に光が射したのである。；当時のパリでは、あるひとりの女優があらゆる階級の男たちを惹きつけていた。；男三人兄弟の長男で、俳優をやっている弟の三浦剛は次男にあたる。；集団痴漢の事例では、集まった男たちは互いに面識がないことも多い。；駆け寄ってみると窓の下に顔を隠した男が隠れていて、すぐに逃げ去ったという。；どんなに干からびた不幸な性格の男でも、十六歳にもなれば恋愛を始める。；父親は軍人で、三人の兄と弟一人という男兄弟に囲まれて育った。；あいつともう一人の男は同じとんがり帽子年に臍の緒を切られたんだ。；女尊男卑する文化と建物構造も女重視で男軽視の構造になっている。；朝鮮では男の奴隷を奴、女の奴隷を婢と呼び、あわせて奴婢といった。；しかしその偉業以上に傲慢で非情、所有欲の強い男であったといわれる。；交渉の初期段階においてボーマルシェに情報を流していたのはこの男であった。；あっぱれに思った王は、男にメロンを献上した褒美をたくさん持たせた。；やってきた男は最初は小人だったが目の前で大男となり、木を切り倒した。；男同士の友情や大義への献身もアクションのテーマとして存在してきた。；また、女のメロウが人間の男と結婚し、子供を産むこともあるという。；また、男が独占して焼肉奉行をするなど、食卓には変わった伝統がある。；男は年をとっても女遊びをやめないが、女はだんだん容姿が衰えてくる。；その男は、孫達の乳母が日本人で、私たちと一緒にいることを知っていました。</t>
        </is>
      </c>
      <c r="J1132">
        <f>HYPERLINK("https://www.weblio.jp/content/男", "词义详情")</f>
        <v/>
      </c>
      <c r="K1132">
        <f>HYPERLINK("https://yourei.jp/男", "查看例句")</f>
        <v/>
      </c>
    </row>
    <row r="1133">
      <c r="A1133" t="inlineStr">
        <is>
          <t>お年玉</t>
        </is>
      </c>
      <c r="B1133" t="inlineStr">
        <is>
          <t>成功</t>
        </is>
      </c>
      <c r="C1133" t="inlineStr">
        <is>
          <t>読み方：おとしだま
新年を祝って贈る金品。主に子供や目下の者などに贈る。《季新年》</t>
        </is>
      </c>
      <c r="D1133" t="inlineStr">
        <is>
          <t>お年玉くじ(3%)；お年玉あんた；お年玉付</t>
        </is>
      </c>
      <c r="G1133" t="inlineStr">
        <is>
          <t>お年玉袋；お年玉付郵便葉書等に関する法律；お年玉付き年賀はがき</t>
        </is>
      </c>
      <c r="H1133" t="n">
        <v>29</v>
      </c>
      <c r="I1133" t="inlineStr">
        <is>
          <t>宿の子供にお年玉を少しばかりやつた、そして鯉を一尾家の人々におごつた。；小遣い月百万とかお年玉五百万とか、そういうレベルじゃないのか?；いずれもに既発の曲をそれぞれ両面シングルにしたお年玉企画商品。；わたし、お年玉を何年もかけて貯めた四万円を兄に貸してたんですね。；なにしろあの徹吉院長ときたら、お年玉の袋も満足に渡せないのだから。；今年のお年玉は、写真関連の書籍とカメラですでに消えた。；現代のお年玉は、この風習の延長線上にあるものと考えられている。；考えなしに買っていたら、お年玉がなくなっちゃうところだった。；二日目はまず川崎へ帰って子供たちにお年玉をやり、夜は女の部屋で泊ろう。；この箱を見ると、誰でもお年玉をあげたくなってしまう。；ただお年玉を孫にあげたくないだけなのだ。；まず幼い時お年玉としてある人に貰った美しいカルタのことを思い出してみます。；あやは正月にもらったお年玉をサイフに入れて一人で上野に行った。；大スターを父親に持つ彼女は、子どもの頃からお年玉がそれこそ百万近い金額になったという。；彼は、その日売り出されたお年玉つき年賀葉書を買って来てくれた。；親せき中の子どもの中で、いちばんお年玉が少ないような子ども、それが私だったのだ。；ついでにその先の正月の、お年玉までを夢見てニヤつく奴らさんもいる。；「お年玉だからいいさ、払わなくて」 隼子の手をとり、食堂を出た。；うん、待っちょりい、じきに開けて、あんたにお年玉ば出してあげるけね。；あれも本当に、いいお年玉です、いいものを下さいました、ありがとう。；西洋ではクリスマスの贈物が盛んであるが日本は新年にお年玉の贈答が行われる。；きょう、ずくんでいられていいお年玉頂いたと思います、ありがとうね。；見事なお年玉いただいたしこれで私のお正月になりました。；韓国では歳拝金と言うお年玉があるが年が上の者に拝む服従行為をする事を前提にお金が付与されるのである。；昭和五十年の前半だったこの頃は、子供ひとりに千五百円まで、お年玉が送れました。；彼は正月のお年玉としてもらった小遣いをこの友人の心の傷を治すため全部、使っていいと瞬間的に思った。；お年玉で本を買うのが楽しみだった。；高坂家では、長男がお年玉をもらえるのは小学生までなのだった。；小学校の時からお年玉を貯めてたお金が百五十万円ぐらいあったんで、なんとか余裕はあったんです。</t>
        </is>
      </c>
      <c r="J1133">
        <f>HYPERLINK("https://www.weblio.jp/content/お年玉", "词义详情")</f>
        <v/>
      </c>
      <c r="K1133">
        <f>HYPERLINK("https://yourei.jp/お年玉", "查看例句")</f>
        <v/>
      </c>
    </row>
    <row r="1134">
      <c r="A1134" t="inlineStr">
        <is>
          <t>落し物</t>
        </is>
      </c>
      <c r="B1134" t="inlineStr">
        <is>
          <t>成功</t>
        </is>
      </c>
      <c r="C1134" t="inlineStr">
        <is>
          <t>読み方：おとしもの
不注意からどこかへ落としてなくした金品。遺失物。</t>
        </is>
      </c>
      <c r="D1134" t="inlineStr">
        <is>
          <t>忘れ物；落とし物；紛失物；失せ物；わすれ物</t>
        </is>
      </c>
      <c r="H1134" t="n">
        <v>29</v>
      </c>
      <c r="I1134" t="inlineStr">
        <is>
          <t>私はその人がなにか落し物でも捜しているのだろうかと思いました。；苔を観賞に来て、二人のうちのどちらかが落し物をしたのかも知れないのだ。；その先にレナが彼の落し物を拾い、届けたいと申し出たことを説明する。；何か落し物でも見つけに來たやうなふうであつた。；いいえね、いま買物をして帰ったんですけどね、大切な落し物をしましたの。；また、近年開発されている落し物の探索装置も類似の機能を備える。；もし落し物なら影を背にしてこちらを向いて捜すはずだ。；「落し物でしたら燐寸がありますよ」 次にはそう言うつもりだったのです。；実はお財布の落し物がありまして、所有者の連絡先を探しております。；それは不吉で、あまりかわいらしくもない、奇妙な落し物のように思えた。；身を屈めて、さっきあいつが立っていたあたりの板の隙間から輝く落し物を拾う。；しかし落し物ではなさそうだと悟った以上、この言葉はその人影に話しかける私の手段に過ぎませんでした。；なんだか落し物をしたような気持ちである。；彼は落し物を拾いに帰る人の急ぎ足で、また元の派出所近く来た。；彼は落し物でもしたような気持ちで土地廟に逃げ帰った。；この奇抜な出来事は翌日の新聞に、落し物や寄附の記事とまぢつて、最も小さく報道された。；春の日のある暮れ方二三の遊び友達と遊んだあとで何かつまらない落し物を探していた。；ヒカリとはコトブキ大会で落し物を届けたことをきっかけで知り合いになった。；その晩さ、お店でカギの落し物があったんだよ。；昨夜は川上機関大尉のもちこんだ日本酒でひどくいい気持になり、いいたいことをいって寝てしまったが、今朝になると、なんだか昨夜のうちに落し物をしたような気がしてならない。；言葉だけを聞けば、何か落し物かと思うのだが、彼女はないないと連呼しながら洋上を指差すのだった。；迷子だ、怪我人だ、落し物だと、番屋はどこも火がついたようなさわぎであった。；彼をそうした絶望に逐いやったことも可哀そうに思えたし、好い金の蔓を見失ったことも残念だったので、なおいくらかの自信と希望を失わないながらに、何か落し物でもしたような心寂しさを感じていた。；そして二三間手前で、思い切って、 「何か落し物をなさったのですか」 とかなり大きい声で呼びかけてみました。；その人影は「私」に背を向けた格好だったが、何か落し物を探している風で、砂浜を前に進んだり、立ち止まったり後退したりしながら下を見ているようだった。；「まったくですね、まったくいつもなにか落し物をしたような顔つきですよ」彼はくすくす笑う。；噂とは大分相違して案外楽に行けるぞと早合点して、何か落し物でもした時のように、軽い失望の気が起らぬでもない。；それを目にされた陛下は足を止めて、誰かの落し物を拾うみたいにトイレット・ペーパーを持ち上げられた。；その表情はこれ以上なく真剣で、間違っても、拾った落し物のボールペンを持ってきてくれるようには見えなかった。</t>
        </is>
      </c>
      <c r="J1134">
        <f>HYPERLINK("https://www.weblio.jp/content/落し物", "词义详情")</f>
        <v/>
      </c>
      <c r="K1134">
        <f>HYPERLINK("https://yourei.jp/落し物", "查看例句")</f>
        <v/>
      </c>
    </row>
    <row r="1135">
      <c r="A1135" t="inlineStr">
        <is>
          <t>落とす</t>
        </is>
      </c>
      <c r="B1135" t="inlineStr">
        <is>
          <t>成功</t>
        </is>
      </c>
      <c r="C1135" t="inlineStr">
        <is>
          <t>読み方：おとす
［動サ五（四）］
１上から下へ勢いよく、また急に移動させる。
㋐落下させる。「鉛筆を床へ—・す」「柿の実を—・す」「はらはらと涙を—・す」
㋑光・視線などを注ぐ。その方向に向けて届かせる。「主役の立つ位置にライトを—・す」「書類に目を—・す」
㋒液体を入れる。また、流し入れる。「紅茶にウイスキーを少し—・す」「川の水を田に—・す」
㋓あとに残す。「学園紛争が—・した影響は大きい」
㋔調査結果などを地図や図面に記入する。「経緯度を地図に—・す」
２ある所・手元から離す。
㋐ついているものを取り去る。そこにあるものを、なくなるようにする。「汚れを—・す」「ひげを—・す」「風呂の火を—・す」
㋑持っているもの、備わっているものをなくす。失う。「不慮の事故で命を—・す」「財布を—・す」
㋒客などがお金をその場所で使う。「観光客の—・す金で町がうるおう」
㋓入るはずのものを入れないでおく。ぬかす。もらす。「名簿から名前を—・す」「一字—・してしまった」
㋔こっそり逃がす。「幼君を西国に—・す」
３
㋐試合で、負ける。「初戦を—・す」「星を—・す」
㋑不合格にする。落第させる。また、不合格となる。「一次審査で半数を—・す」「必修の単位を—・す」
㋒選挙で、落選させる。
４物事の水準をこれまでよりも低くする。
㋐普通より位置を下げる。「肩を—・す」
㋑程度・数量などを下げたり、低い状態にしたりする。「声を—・す」「生産を—・す」「体重を—・す」「力を—・す」
㋒段階・価値などを低くしたり、悪くしたりする。「平社員に—・される」「評判を—・す」「質を—・す」
㋓悪口を言う。見下げる。あなどる。
「目薬のびんが歩くようであろうと—・すに」〈一葉・たけくらべ〉
㋔零落させる。「身を—・す」
５物事を終わりの段階・状態に行き着かせる。
㋐あるところまで至らせる。陥らせる。「窮地に—・す」「罪に—・す」
㋑最終的に自分の所有とする。落札する。「名画を競売で—・す」「手形を—・す」
㋒城などを攻め取る。陥落させる。「敵陣を—・す」
㋓強く迫って相手を自分の思い通りにする。熱心に説得して相手を従わせる。また、問い詰めて白状させる。「意中の女性を—・す」「容疑者を—・す」
㋔物事の決まりをつける。処理する。「必要経費で—・す」「口座から—・す」
６コンピューターで、本体に記憶されているデータなどを別の媒体に移す。「文書をフロッピーディスクに—・す」
７柔道で、気絶させる。「絞め技で—・す」
８落語などで、話をしめくくる。「駄洒落(だじゃれ)で—・す」
９精進などの期間・状態を終わらせる。
[補説]意図的な場合のほか、「定期入れを落とす」「単位を落とす」「平凡なフライを落とす」のように、不用意にも、うっかりして、の意で用いられる場合も少なくない。
[可能]おとせる
[下接句]命を落とす・影を落とす・肩を落とす・気を落とす・声を落とす・空飛ぶ鳥も落とす・力を落とす・幕を切って落とす・身を落とす・目を落とす</t>
        </is>
      </c>
      <c r="D1135" t="inlineStr">
        <is>
          <t>落とすことなく；落とすかもしれ；落とすまい；落とす可能性；落とすべく</t>
        </is>
      </c>
      <c r="E1135" t="inlineStr">
        <is>
          <t>敗北；失う；掃除；喪失；忘れる</t>
        </is>
      </c>
      <c r="F1135" t="inlineStr">
        <is>
          <t>払い落とす；投げ落とす；蹴落とす；斬り落とす；落とすかも</t>
        </is>
      </c>
      <c r="H1135" t="n">
        <v>29</v>
      </c>
      <c r="I1135" t="inlineStr">
        <is>
          <t>シャンプーが髪や頭皮から油を落とすことができるのはこのためである。；複数の敵をまとめて蹴り落とすと、敵の数に応じて得点に倍率がかかる。；またワインに含まれる酢酸エチルは味を落とす原因とも言われている。；教経は一人を海に蹴り落とすと、二人を組み抱えたまま海に飛び込んだ。；敵の中には悪人以外にも動物が追加され、倒すと風車を落とす事がある。；その事実が明らかになったとき、GODの手にかかって姉妹は命を落とす。；熱傷や放射線被曝で皮膚の産生機能が失われると命を落とすこともある。；この怪我は彼のプロ選手として期待される活躍に影を落とすものとなった。；この他、上手が玉将以外の全ての駒を落とす裸玉と呼ばれるものもある。；このことは、その後のELOの活動に大きな影を落とすことになっていく。；この後二人は和解せぬまま、ジアンは第二次サイロン戦争で命を落とす。；ホッパとは、粒状のものを下に落とすための漏斗形の装置のことである。；地下に流雪溝を設けて道路脇の穴から雪を落とすようにしている場所もある。；選手たちの多くは戦場にかり出され、命を落とす者も少なくなかった。；買収は失敗に終わるが、このことは後の技術競争に影を落とすこととなった。；屋根や窓から、木片やガラス球を詰めた袋を落とす仕掛けも作られていた。；寅拾番会で仕事人が殺しの依頼を競り落とす、その席にはおりくがいた。；またロープ上で移動している敵に使うと敵を落とすことができる。；しかし、いずれのストーリーでも同じように登場人物が命を落とす。；ハッジの間には、数百人もの人々の命を落とす多くの事故や事件が起こる。；サケ・ボムと同じで、指で突付いたり、テーブルを叩いたりして落とす。；これは連発射撃時の発射速度を意図的に落とすための機構でもある。；上記のに製品よりもさらに消費電力を落とす必要のある製品向けに作られている。；エドワードの最初の仕事は過大な労働組合の力をそぎ落とすことだった。；車上にいたために爆風で吹き飛ばされ、建物の壁に激突して命を落とす。；一撃必殺かつまとめて落とすことも可能だが、風船に阻まれる事もある。；しかし新採点システム施行後は再びその評価を落とす形となった。；ゴジラの出現により命を落とす犠牲者が多く描かれているのも特徴である。；天文9年の信虎の信濃国佐久郡侵攻の際に敵城十数を落とす活躍をした。</t>
        </is>
      </c>
      <c r="J1135">
        <f>HYPERLINK("https://www.weblio.jp/content/落とす", "词义详情")</f>
        <v/>
      </c>
      <c r="K1135">
        <f>HYPERLINK("https://yourei.jp/落とす", "查看例句")</f>
        <v/>
      </c>
    </row>
    <row r="1136">
      <c r="A1136" t="inlineStr">
        <is>
          <t>脅す</t>
        </is>
      </c>
      <c r="B1136" t="inlineStr">
        <is>
          <t>成功</t>
        </is>
      </c>
      <c r="C1136" t="inlineStr">
        <is>
          <t>読み方：おどす
［動サ五（四）］
１相手を恐れさせる。脅迫する。おどかす。「—・して金を取る」
２びっくりさせる。驚かす。
「ねぶりてゐたるを—・すとて」〈枕・九〉
[可能]おどせる</t>
        </is>
      </c>
      <c r="D1136" t="inlineStr">
        <is>
          <t>迫る；要求する；威嚇；脅かす；恐喝</t>
        </is>
      </c>
      <c r="F1136" t="inlineStr">
        <is>
          <t>半ば脅す；鬼面人を脅す</t>
        </is>
      </c>
      <c r="H1136" t="n">
        <v>29</v>
      </c>
      <c r="I1136" t="inlineStr">
        <is>
          <t>あなたは、私に脅されたってことにしておけば罪にはならないでしょう?；上から3番目の兄弟は兄をナイフで脅して警察に通報された記録がある。；しかし実際には爆弾などは発見されず、単なる脅しであったと思われる。；あたりまえのことなので、脅す材料だとは思っていないのかもしれない。；本人をじかに脅さずに、一番知られたくねえところから始めやがるのよ。；一度わたしを或る手術のことで告訴すると言つて脅したことがありました。；この場合は、ゴミ箱に捨てた理由は脅すためではなかったかもしれない。；実はヘイズが自分の名前を出したらギャグノンを殺すと脅していたのだ。；どうやら、ギャラックは自分を脅すためにきたのではないみたいだった。；自分たちはいつでもお前たちをゼロ領域に叩きこめるのだと脅すために。；嘘を言うとあんたも逮捕されるかもしれない、と脅すように言われた。；カルデラに死ぬほど脅された為、姿を消し、殺された印象を与えたとか。；受け入れられない場合は引退もあり得ると、本人は球団を脅している。；小童たちはどうしてもアベックに向かって言葉で脅そうとするのである。；私がお金をやらなければ、ピストル自殺をするといって、脅すのでした。；さっきのように数で脅されては、そのたぐいの気分になるのも無理もない。；同行を決心させるには、家に火をつけるぞと脅さねばならなかった。；「私はビュノー夫人のところへゆきます」彼女は脅すような声で言った。；そして手紙の差出人は、それを知った上で私たちを脅そうとしていた。；それかあの髭に弱みを握られて、脅されて仕方なく働いてるんだよなっ?；流転の相の僕を脅すのは「伊達様」の見えなかつたことばかりではない。；わたしは、脅すわけでなく、あんたに納得してもらうことで満足するのだ。；うちの祖父さまが脅されて何かに従うなんて、ちょっと想像もつかないぜ!；おれはどこにいっても、この手のまぬけに脅される運命なのだろうか。；一番いいのは、とにかく警察に相談させないよう、うまく脅せばいいんだ。；キッチン中に響いた、あの恐ろしい、脅すような声は誰の声だったんだ。；もしそれができるんなら好きにしたらいい〟と半ば脅すように言ったのだった。；流転の相の僕を脅すのは「伊達様」の見えなかったことばかりではない。；何の咎もない人々を銃で脅すような真似はしたくなかったが、これも仕事だ。</t>
        </is>
      </c>
      <c r="J1136">
        <f>HYPERLINK("https://www.weblio.jp/content/脅す", "词义详情")</f>
        <v/>
      </c>
      <c r="K1136">
        <f>HYPERLINK("https://yourei.jp/脅す", "查看例句")</f>
        <v/>
      </c>
    </row>
    <row r="1137">
      <c r="A1137" t="inlineStr">
        <is>
          <t>訪れる</t>
        </is>
      </c>
      <c r="B1137" t="inlineStr">
        <is>
          <t>成功</t>
        </is>
      </c>
      <c r="C1137" t="inlineStr">
        <is>
          <t>読み方：おとずれる
［動ラ下一］［文］おとづ・る［ラ下二］《「音連(つ)れる」の意》
１人やある場所をたずねる。訪問する。「新居を—・れる」
２季節やある状況がやって来る。「夏が—・れる」「やっと平和が—・れた」
３音や声を立てる。
「比(ころ)は卯月十日あまりの事なれば、雲井に郭公二声三声—・れてぞ通りける」〈平家・四〉
４便りをする。手紙を出す。
「いと恥づかしくて、え—・れやらず」〈紫式部日記〉</t>
        </is>
      </c>
      <c r="D1137" t="inlineStr">
        <is>
          <t>訪れる人も多い；訪れる人も少なく；訪れる者たち；訪れる観光客向け；訪れる行楽客</t>
        </is>
      </c>
      <c r="E1137" t="inlineStr">
        <is>
          <t>訪問；面会；来訪；訪い；来臨</t>
        </is>
      </c>
      <c r="F1137" t="inlineStr">
        <is>
          <t>初めて訪れる；やがて訪れる；再び訪れる；必ず訪れる；しばしば訪れる</t>
        </is>
      </c>
      <c r="H1137" t="n">
        <v>29</v>
      </c>
      <c r="I1137" t="inlineStr">
        <is>
          <t>特に当時のドイツからは様々な人物が、教えを乞いに彼のもとを訪れた。；従って地下川へ訪れるのはプエルト・プリンセサから丸一日仕事である。；この場所には毎年何千人もの人が訪れ、そのほぼ全てがイラク人である。；晩年までエクスで制作を続け、若い画家たちが次々と彼のもとを訪れた。；このほか臨海学校が設けられており、夏になると県外から生徒が訪れる。；島内の至る所で猫が無防備な姿でいるため、猫好きの人間もよく訪れる。；南側から外国人が訪れる場合は、指定の団体ツアーに参加する必要がある。；表家業は腕が良いとそれなりに評判のようで、よく治療客が訪れている。；目黒川沿いの桜並木は有名であり、桜のシーズンには多くの人が訪れる。；会話中などに名称が出てくるのみで、ゲーム中実際に訪れることがない場所。；東洋学者たちは彼が、記録したすべての街を訪れたとは信じていない。；独特の雰囲気を求めて、駅周辺に自宅や勤務先がなくても訪れる人も多い。；また番組に寄せられた苦情の手紙の一部を持参して訪れるケースもあった。；また面積が日本一小さな村で有名となり、記念観光で訪れる人も多かった。；名古屋市国際展示場でイベントが開催される日は多くの来訪者が訪れる。；次の朝、あまりにも夫が落胆しているので、ホームズを訪れて相談した。；やがて映画の時代が訪れると1907年に最初の映画化がおこなわれた。；やがて悪魔がゴルムの前に現れ、共に訪れる町を破壊するよう命じた。；旧シナゴーグを記念する発掘現場は訪れることが出来るようになっている。；ポトツカ夫人が見舞いに訪れており、病床の彼のために歌を歌っている。；治癒のためにデルポイを訪れるが、巫女は彼に会ってすらくれなかった。；関越自動車道開通後は数多くの観光客が県外から訪れるようになった。；そして人々の様子や上空の月の状態もまた、町を訪れた時のように戻っていた。；一度訪れた国が再度登場することはほとんどなかったが、いくつかの例外がある。；著名な作曲家の墓は一か所に集められており、訪れる日本人も多い。；群馬県側の永井宿の伝承では空海も巡錫の折に三国峠を訪れたとされる。；その店を訪れた容疑者の知人に「彼と一緒に走ったよ」事を話したという。；Kunstbunkerは今でも保存、公開され訪れる歴史ファンは多い。；これを利用して特に2月後半の河津桜の季節には多くの日帰り客が訪れる。</t>
        </is>
      </c>
      <c r="J1137">
        <f>HYPERLINK("https://www.weblio.jp/content/訪れる", "词义详情")</f>
        <v/>
      </c>
      <c r="K1137">
        <f>HYPERLINK("https://yourei.jp/訪れる", "查看例句")</f>
        <v/>
      </c>
    </row>
    <row r="1138">
      <c r="A1138" t="inlineStr">
        <is>
          <t>おととい</t>
        </is>
      </c>
      <c r="B1138" t="inlineStr">
        <is>
          <t>成功</t>
        </is>
      </c>
      <c r="C1138" t="inlineStr">
        <is>
          <t>読み方：おととい
《「おとつひ（遠つ日）」の音変化》昨日の前の日。いっさくじつ。おとつい。</t>
        </is>
      </c>
      <c r="D1138" t="inlineStr">
        <is>
          <t>おとといあたり；おとといおいで</t>
        </is>
      </c>
      <c r="F1138" t="inlineStr">
        <is>
          <t>おととい頃</t>
        </is>
      </c>
      <c r="H1138" t="n">
        <v>29</v>
      </c>
      <c r="I1138" t="inlineStr">
        <is>
          <t>おとといの晩にも同じことを言われたけど、今夜のほうがもっと真剣だ。；この先生は・・・昨日、おとといと俺がお世話になった先生じゃないか。；鍋久へ行ったのはおとといの夕方だから、その前の晩といえば五日だな。；おとといも昨日もまた今日も、聖光院の人々は師の房の姿を見なかった。；おそらくおととい、日付は昨日になっていたかと思うんですが、深夜に。；するとおとといの晩、ぼくたちのとまったのはこの家だったのですね。；おととい受けた面接の結果が、今日のうちにわかることになっていた。；それがおとといの昼、六本木交差点で倒れているところを発見された。；そのおとといの今夜なので、スキナーのほうでも印象に残っていたのだろう。；おととい伊原が持ってきたそれを見て、俺たちも絶句したものだった。；おととい、マークはどういうわけで、ミドルストンへ行ったのだろうか。；おとといの晩だったかしら、そんなようなことを言われちゃった。；おとといの晩ははじめ一、二回やったけど途中でバカラに切りかえたの。；ヒントになったのは、おとといの晩に見た、曾根が寝ている姿だった。；おとといはまだ、自分がパリへ飛び出していくだろうなんて、知らなかった。；二九 おととい壺つくりのもとを通ると、土でたえず腕前をみせていた。；おとといの夜、彼の車で家へ送られていく途中で、私の人生が変わってしまったのだ。；それにおとといはお茶の会みたいなものをやりましてね。；よくお聞き、おととい獄中で死んだ驃騎兵の服をあんたにやるからね。；何のゆえか、おとといから自分たちを尾けていたあの山伏なのだ。；それについておとといの夜何か騒ぎがあったようですけれど、どうしたのですか。；あんた昨日もおとといも死んだみたいに部屋から出てこないし、なにも食べてないじゃない。；それがおとといの晩、ふらりと帰って来て、すぐに又その姿を隠してしまった。；僕は、おととい先生をおたずねして、直接先生の口からそれをきいて来たんだ。；わたしの夏休みが始まったので、姉はおとといから、東京に遊びに行ったわ。；おととい訪れた狭い事務所を、小夜子はその背後の声に重ね合わせた。；おととい訊き忘れたが、きみは誰の使いでわしの家に来たんだ。；でも、おとといの晩に逃げていって、いまどこにいるか、わたしは知りません。；おとといの晩などは膣に蛆がわいたにちがいないと思ってとび起きた。</t>
        </is>
      </c>
      <c r="J1138">
        <f>HYPERLINK("https://www.weblio.jp/content/おととい", "词义详情")</f>
        <v/>
      </c>
      <c r="K1138">
        <f>HYPERLINK("https://yourei.jp/おととい", "查看例句")</f>
        <v/>
      </c>
    </row>
    <row r="1139">
      <c r="A1139" t="inlineStr">
        <is>
          <t>おととし</t>
        </is>
      </c>
      <c r="B1139" t="inlineStr">
        <is>
          <t>成功</t>
        </is>
      </c>
      <c r="C1139" t="inlineStr">
        <is>
          <t>読み方：おととし
《「おちとし（遠年）」の音変化という。「おとどし」とも》昨年の前の年。いっさくねん。</t>
        </is>
      </c>
      <c r="H1139" t="n">
        <v>29</v>
      </c>
      <c r="I1139" t="inlineStr">
        <is>
          <t>その眼がかすむのを感じはじめたのは、おととしの秋ごろからのことだ。；おととしパリに行った時は、二人でホテルのバーで、いろいろ話したっけ。；姉はおととし離婚して、今年四歳になる娘のカヨちゃんと二人で暮らしている。；私は、その時、おととし亡くなった母のことを思わないわけにはいかなかった。；おととしまで、大学で空手をやっていたという体育の先生がおったがね。；東北の生れで孤子だそうで二十二でおととし関西の女学校を出たと云った。；スーツを買ったのは、おととしの秋ぐちという記憶ははっきりしている。；おととしの五月、六所明神の闇祭りを見物に来た江戸の二人連れがあった。；おととしの夏は、二人でヨーロッパ旅行をしたほどの仲だ。；まだ焼酎に胃をやられる前のことだから、多分おととしだったろう。；おととしだか神経衰弱をやったのが癖みたいになってねえ。；おととしは冷夏で、山麓へはいちど出かけて三日泊ってきただけであった。；そういえば、おととしは毎日のように空を見ていた。；俺はおととし、遠藤にはたくさんおごってもらったから、借りがあるからな。；おととしの夏はいやいやだったが、今回はほんとうにそのとき一瞬そう思ったんだ。；七月の十八日がせまって来ると私はおととしの夏を情なく思い出す。；今度訊いてみると、おととし助教授になったということであった。；おととしの二月の十日ごろに、難波の港から船を出しました。；「あたしねえ、おととし後楽園のコンサートに行ったのよ」勝美が言った。；おととし、ジャマイカからあの大きな謝肉祭用のお面と一緒にくれた手紙に書いてあったじゃない。；最初に見たのはおととしのことで、親戚の結婚式のために羽田空港へ向かう途中であった。；この辺には、その兇匪の群れが、先おととしの秋やって来た。；始末に困るのが、おととしの茶色ブームの時、大量に買ったもんだ。；おととしの夏休みに、北海道のお姉さんの家へ遊びに行ったときのことを思い出す。；再会したのはおととしだが、半分無理やり仲間に引きずり込まれた。；私はすっごく靴を持っているが、おととしも昨年のも、みんなヒールが太いのだ。；おととし頃から出入りしているのだ。；総領の孫市は残念なことにおととしの初冬、呆気なく死んでしまった。；そのかわりおととしはいなかった佐々介三郎がおり、また女性では、お次がいた。</t>
        </is>
      </c>
      <c r="J1139">
        <f>HYPERLINK("https://www.weblio.jp/content/おととし", "词义详情")</f>
        <v/>
      </c>
      <c r="K1139">
        <f>HYPERLINK("https://yourei.jp/おととし", "查看例句")</f>
        <v/>
      </c>
    </row>
    <row r="1140">
      <c r="A1140" t="inlineStr">
        <is>
          <t>大人</t>
        </is>
      </c>
      <c r="B1140" t="inlineStr">
        <is>
          <t>成功</t>
        </is>
      </c>
      <c r="C1140" t="inlineStr">
        <is>
          <t>読み方：うし
１学者や師匠を敬っていう語。先生。たいじん。「県居(あがたい)の—（＝賀茂真淵）」「与謝野の—（＝与謝野鉄幹）」
２領主、また、主人や貴人の尊称。
「瑞歯別皇子(みつはわけのすめみこ)、太子に啓して曰く、—何ぞ憂ふること甚しき」〈履中紀〉</t>
        </is>
      </c>
      <c r="D1140" t="inlineStr">
        <is>
          <t>大人たち(9%)；大人向け(3%)；大人達；大人物；大人同士</t>
        </is>
      </c>
      <c r="E1140" t="inlineStr">
        <is>
          <t>成人；おとな；アダルト；成年者；壮丁</t>
        </is>
      </c>
      <c r="F1140" t="inlineStr">
        <is>
          <t>老大人；大人向き；諸大人；悪い大人；大人扱い</t>
        </is>
      </c>
      <c r="G1140" t="inlineStr">
        <is>
          <t>大人び；大人気；大人しい；大人の女性；大人っぽい</t>
        </is>
      </c>
      <c r="H1140" t="n">
        <v>29</v>
      </c>
      <c r="I1140" t="inlineStr">
        <is>
          <t>事務所や店などで子どもや生徒が大人や教師に話しかけるときにも使う。；女子小学生のみならずその親世代も含めた大人のファンも獲得している。；通常、祝祭とコンサートは小さな子供向けと大人向けに分けられている。；子供たちもクエーカーの間では大人を名前で呼ぶことが広く行われている。；子供の身体のときは大人の時より性格が子供っぽくなっている部分もある。；多くの遊びにルールがあるように、大人の遊びにも一定のルールが存在する。；また、大人が子供に教えられ、成長していく姿を描いた作品でもある。；この頃になると、大人への関心は低くなり、子供への関心が高くなる。；子どものみならず大人にも人気があり、様々な店で販売されている。；元々は、大人が両腕を一杯に広げた長さとして定義された身体尺である。；青年期とは子どもから大人へと移行する12歳から25歳頃までをいう。；檀石槐の死後は大人たちの位はみな世襲されることになったのである。；スポーツ感覚で若い人から大人まで幅広い層で支持され楽しまれている。；作品傾向は子供から大人まで楽しめる家族向けの作品が放送された。；子どもと大人が一緒の楽しめる企画が集められており、内容は毎年変わる。；基本的に、大人のキャラは新たにマナエッグを使用することはできない。；Mammoth 三部作は表面的には子供向けだが大人にも人気がある。；児童・生徒向けのものが主であったが、近年は大人向けのものも増えている。；訓練を積んだ大人の絵画と比較すると、一般的に次のような傾向がみられる。；「子供から大人までさらに幅広い層に自身の言葉を届けたい」とのこと。；絵の腕は大人も驚く出来だったが、あまり外向的な子供ではなかったという。；子供の役であっても台詞がある場合には大人の俳優がそれを演じる。；中学生の頃に初めてビールを飲み、大人になってからはほぼ毎日飲んでいる。；地域の大人たちと子供たちが交流できる機会になっている。；大人になってから、もっと勉強しておけばよかった、と語っている。；幾人かの大人は、後の捕虜交換の協議によって交換もしくは解放された。；大人になった男吾とその子供である男児の活躍が描かれた作品。；はドイツ全土で有名で大人にも子供にも人気の人形劇場である。；これ以外にも「大人ならではの趣味」を満足させるための場所がある。</t>
        </is>
      </c>
      <c r="J1140">
        <f>HYPERLINK("https://www.weblio.jp/content/大人", "词义详情")</f>
        <v/>
      </c>
      <c r="K1140">
        <f>HYPERLINK("https://yourei.jp/大人", "查看例句")</f>
        <v/>
      </c>
    </row>
    <row r="1141">
      <c r="A1141" t="inlineStr">
        <is>
          <t>大人しい</t>
        </is>
      </c>
      <c r="B1141" t="inlineStr">
        <is>
          <t>成功</t>
        </is>
      </c>
      <c r="C1141" t="inlineStr">
        <is>
          <t>読み方：おとなしい
［形］［文］おとな・し［シク］《「おとな（大人）」の形容詞化で、大人らしいが原義》
１性質や態度などが穏やかで従順なさま。「内気で—・い子」「—・く従う」
２騒いだりしないで、静かなさま。比喩的にも用いる。「もう少し—・くしていなさい」「健康なときは—・い細菌も体調を崩すと活発に活動を始める」
３色・柄などが落ち着いた感じがするさま。また、大胆さがあまり感じられないさま。「—・い色合い」「—・い着こなし」
４他と比べて際だったところがないさま。抑制しているように感じられるさま。「—・い試合運び」「性能テストでは—・い数値が並ぶが、実際使ったときの感じは数値以上だ」
５大人びている。大人っぽい。
「年のほどよりはいと—・しく」〈紫式部日記〉
６思慮分別のある年長者らしい。主だっている。
「—・しき侍(さぶらひ)どもをば、太政大臣、左大臣、大納言になし」〈保元・中〉
[派生]おとなしげ［形動］おとなしさ［名］</t>
        </is>
      </c>
      <c r="D1141" t="inlineStr">
        <is>
          <t>大人しい性格(13%)；大人しい子(3%)；大人しい男；大人しい感じ；大人しい馬</t>
        </is>
      </c>
      <c r="E1141" t="inlineStr">
        <is>
          <t>静かな；穏やかな；落ち着いた；シンプルな；地味な</t>
        </is>
      </c>
      <c r="F1141" t="inlineStr">
        <is>
          <t>大人しい娘</t>
        </is>
      </c>
      <c r="H1141" t="n">
        <v>29</v>
      </c>
      <c r="I1141" t="inlineStr">
        <is>
          <t>誰かが狙っていると知ったとて、長いこと離れに大人しくしておれない。；小柄で大人しそうな彼女の、意外に気の強い一面を見たような気がした。；老人が口を開くのを待つ間、籠の中で大人しくしている蜜柑を手に取る。；これには小学生時代大人しい子だった反動が出たんだろうと話している。；大人しく部屋に戻ってはくれたが、ちゃんと休んでいるかどうか心配だ。；僕を病院に通う原因を作った三木は今のところ大人しくしてるみたいだ。；ただし学校内では以前通り大人しくしており、バレー部に所属していた。；だからと云って、彼はこの老人の前でいつも大人しくしていたのではない。；自身もその傾向は認めており、家を一歩出ると大人しくなると述べている。；でも行つても話しがなくて大人しくしてるのやだもん、どうしようかなあ。；彼の言うとおり、今回は大人しく家に帰った方がいいのかもしれない。；しかし殺される方にしても、ぶら下げられるまで大人しくしているかね?；そんな大病なら、もう少し大人しくすればよかったと思って帰って来た。；大人しく眠る気はないのか、ベッドに横になっても桜は話しかけてきた。；ガルメダ市で再会した時、大人しく妹の下に戻っていればよかったのだ。；その吉田は、これはいつものことだが、大人しく彼らの後に続いている。；人格者ぶりから不良の生徒たちも榎本の前では大人しくしていたという。；彼女は何の反応もせず、手を引けばただ大人しく付いて来るだけであった。；大人しそうな子だから、彼の方から会話を始めなければならないようである。；西之園がコーヒーを飲み終わった頃には、雨が多少は大人しくなっていた。；毛を刈り取る際も非常に大人しく、あまり暴れなかったといわれている。；第五層を手に入れた國子たちはしばらく大人しくしてくれるはずだ。；大人しく引き籠もったかと思ったら・・・なんてことしやがるんだ!；どちらも口を閉じて大人しくしてさえいれば他人にそれと知られることもないからだ。；幼少の頃は比較的大人しかったが徐々に元気で活発な少女に育っていった。；二人は大人しく寝ていました、しばらくそっとしてあげてください。；あんな大人しい子が、そんなのつけているとは思わないようなやつ。；言うことをよく聞き理解し、大人しく期待通りの正確な発言をする。；こっちも慣れない屋敷の空気に疲れているし、大人しく部屋に戻ろう。</t>
        </is>
      </c>
      <c r="J1141">
        <f>HYPERLINK("https://www.weblio.jp/content/大人しい", "词义详情")</f>
        <v/>
      </c>
      <c r="K1141">
        <f>HYPERLINK("https://yourei.jp/大人しい", "查看例句")</f>
        <v/>
      </c>
    </row>
    <row r="1142">
      <c r="A1142" t="inlineStr">
        <is>
          <t>お供</t>
        </is>
      </c>
      <c r="B1142" t="inlineStr">
        <is>
          <t>成功</t>
        </is>
      </c>
      <c r="C1142" t="inlineStr">
        <is>
          <t>読み方：おとも
［名］(スル)
１目上の人などに、つき従っていくこと。また、その人。同行することをへりくだっていうのにも用いる。「そこまで私も—します」
２料亭などで、帰る客のために呼ぶ車。「—が参りました」</t>
        </is>
      </c>
      <c r="D1142" t="inlineStr">
        <is>
          <t>お供いたし(2%)；お供を致します；お供をいたします；お供致し；お供先</t>
        </is>
      </c>
      <c r="E1142" t="inlineStr">
        <is>
          <t>相手；連れ；仲間；同士；伴う</t>
        </is>
      </c>
      <c r="F1142" t="inlineStr">
        <is>
          <t>一緒にお供；お供申し上げ；お供揃い；お供人数</t>
        </is>
      </c>
      <c r="G1142" t="inlineStr">
        <is>
          <t>お供え物；お供え餅；お供馬の走り込み</t>
        </is>
      </c>
      <c r="H1142" t="n">
        <v>29</v>
      </c>
      <c r="I1142" t="inlineStr">
        <is>
          <t>貴族のお供をさせるなら、このぐらいは腰から下げて欲しいものですな。；買物のお供がこんなに好きな猫はもうふたたび現われないことでしょう。；おまえさまがどうでも行く気なら、私は歩いてでもお供してまいります。；つけてやったお供がこれこれだと知らせたから、びっくりして江戸へ来た。；また、父は乗馬をしていましたから、そのお供であちこちへ行きました。；金太郎はこの家来たちをお供に連れて、一日山の中を歩きまわりました。；昔とちがって今では貧民の子でも旧大名のお姫様のお供をして歩かれる。；むろん黒鍬組もお供をし、出動しなければならない可能性は大いにある。；お供がいては、ガッサンなるアラブ人が接触してくるはずがないからだ。；大人数を引き連れるのは敢えて避けたようで、お供は元助ひとりである。；この前の参覲交替の節、俺も殿のお供をして、江戸へ参ったことがある。；アンナはあのときもう、主のお供で日本に長期滞在するつもりだったのだ。；アレクサンドロスのお供たちは、みな主人を真似して首をかしげていた。；二年前、私は妹をお供につけて母に五泊六日の香港旅行に行ってもらった。；奥筋までお供をした人足たちの中にも、ぼつぼつ帰路につくものがある。；大概看護婦がお供をしたが、稀には颯子が手を曳いていることもあった。；広い畑に出ているときでも、その附近にはきっと子供と黒がお供をしている。；妻と後に合流した俳優たちとお供にプロモーション活動を開始する。；意を決してそれに続いたのは、わずかに二人のお供だけであった。；しかし、その時のお供は同じ信心をしているピエトロに限られていたのだ。；そして、お供の者が遙か先の方を早足で駆けて行くのが聞こえていた。；おたかが御奉公中にそのお供でこの下屋敷に来たことがないとも限らない。；元助はお供でついていくが、奥の病床には吉兵衛がひとりで見舞った。；そんな者を外のお供に連れて行きたい人間がいるでしょうか。；母のお供をさせて、一緒に死なそうと父が考えているような気がしたのである。；彼は兄と一緒に上洛のお供に加わって来て、同じ宿に滞在しているのであった。；ぼくは生者の司教の話し相手はできるが、死者の肉体のお供はできない。；王のお供には、同じように武装した、百人の勇ましげな諸侯がついていた。；作家先生二人のお供になるのだから、会社の方にも説明はつく。</t>
        </is>
      </c>
      <c r="J1142">
        <f>HYPERLINK("https://www.weblio.jp/content/お供", "词义详情")</f>
        <v/>
      </c>
      <c r="K1142">
        <f>HYPERLINK("https://yourei.jp/お供", "查看例句")</f>
        <v/>
      </c>
    </row>
    <row r="1143">
      <c r="A1143" t="inlineStr">
        <is>
          <t>踊り</t>
        </is>
      </c>
      <c r="B1143" t="inlineStr">
        <is>
          <t>成功</t>
        </is>
      </c>
      <c r="C1143" t="inlineStr">
        <is>
          <t>読み方：おどり
《跳ね上がること、飛び跳ねることが原義》
１（踊り）音楽などに合わせて踊ること。また、その動作。舞踏。舞踊。ダンス。
２（踊り）
㋐日本の芸能で、舞(まい)と区別して、跳躍運動を主体としたもの。多くは集団性・熱狂性・庶民性をもつ。
㋑特に、盆踊り。《季秋》「四五人に月落ちかかる—かな／蕪村」
３「踊り歌」の略。
４「踊り字」の略。
５「躍り食い」の略。また、その料理。「エビの—」
６「顋門(ひよめき)」に同じ。〈日葡〉
７動悸(どうき)がすること。
「胸の—は未だ止まず」〈浄・扇八景〉
８江戸時代、高利貸し業者が返済期日を月末とせずに25日限りとし、これに遅れた場合は以後の4、5日でさらに1か月分の利子を取ったこと。踊り歩(ぶ)。
[下接語]足踊り・雨乞い踊り・阿波(あわ)踊り・伊勢(いせ)踊り・大踊り・掛け踊り・傘踊り・歌舞伎踊り・看看(かんかん)踊り・組踊り・小歌踊り・小躍り・簓(ささら)踊り・素踊り・雀(すずめ)踊り・すててこ踊り・総踊り・太鼓踊り・大漁踊り・辻(つじ)踊り・手踊り・灯籠(とうろう)踊り・練り踊り・念仏踊り・馬鹿(ばか)踊り・裸踊り・豊年踊り・盆踊り・奴(やっこ)踊り</t>
        </is>
      </c>
      <c r="D1143" t="inlineStr">
        <is>
          <t>踊り出し(2%)；踊りだし；踊り出す；踊り狂う；踊り始め</t>
        </is>
      </c>
      <c r="E1143" t="inlineStr">
        <is>
          <t>ダンス；舞；舞踊；舞踏；踊</t>
        </is>
      </c>
      <c r="F1143" t="inlineStr">
        <is>
          <t>踊り娘；踊り狂い；合わせて踊り；小踊り；踊り屋</t>
        </is>
      </c>
      <c r="G1143" t="inlineStr">
        <is>
          <t>踊り場；踊り手；踊り方；踊り念仏；踊り食い</t>
        </is>
      </c>
      <c r="H1143" t="n">
        <v>29</v>
      </c>
      <c r="I1143" t="inlineStr">
        <is>
          <t>小さな輪が立つくらいの人数になったら踊りを開始するのが普通である。；踊りは民衆の中から生まれたものでありその起源を求めるのは難しい。；そして帆柱の先端に青い炎が踊り出した、と伝えられているからである。；歌や踊りを披露を通して明治時代の魅力を伝えるために活動をしている。；しかしスタンダードとラテンの分類は音楽ではなく踊り方で分けていた。；現在は、歌舞伎や踊り、全国の祭りなどのイベント用が主となっている。；これは十手の二刀流みたいなもので踊りのような手も入る派手な技だった。；女性にも取り組みやすいような踊りを取り入れるなど工夫されたという。；しかし当ソフトでは勝負にかかわらず、踊りの音楽は最初から伴奏される。；軍が突然に政治の表舞台に踊り出たことは多くの人々を驚かせた。；舞踏は農業生活においても見られ、特に収穫期に歌や踊りが披露される。；最終日となるこの日は、19時から各町での町流し・輪踊りがはじまる。；少女たちも釣られて狂乱状態となり、裸になって踊り出す少女も出てきた。；これで扇いだ風を浴びた者は、誰でもお祭り気分になって踊り出してしまう。；跳躍成功後、マットの上でダンスを踊り喜びを表すことでも知られている。；この作品でもヒップアタックや奇妙な踊りなどのコミカルな動きを見せる。；なお、日本で踊られている海外の踊りは3500曲と公表されている。；しかし業界に入ったときはかなり体が硬かったそうで、踊りは苦手だった。；個性が強く出る踊りであり、ソロでのコンテストが主催されることが多い。；当時の梅子は踊りが好きで、その筋の良さを師匠も認めていたと伝えられている。；人間との関係で知られているもののひとつにコブラ踊りがある。；ゲーム進行の際には、野球拳の音楽に合わせて女の子が自由に踊りを披露する。；幼少期より演劇に親しみ、演劇の他、歌や踊り、楽器などを教えられた。；なかにはスクエアダンスなど特定種類の踊りを特徴とするものもある。；彼の音楽はほとんどが4声からなり、踊りを意図したものである。；多くの場合性的な含意を伴う踊り、風刺的な歌詞を持っていたようである。；そしてダンスホールで踊りまくるように踊りをもう一度教えてほしい。；初盆の家庭の人も踊りに加わり、遺影を抱いて踊ったりする場合もある。；踊りながら初盆の家の間を行進するのではなく、それぞれの家の庭で踊る。</t>
        </is>
      </c>
      <c r="J1143">
        <f>HYPERLINK("https://www.weblio.jp/content/踊り", "词义详情")</f>
        <v/>
      </c>
      <c r="K1143">
        <f>HYPERLINK("https://yourei.jp/踊り", "查看例句")</f>
        <v/>
      </c>
    </row>
    <row r="1144">
      <c r="A1144" t="inlineStr">
        <is>
          <t>劣る</t>
        </is>
      </c>
      <c r="B1144" t="inlineStr">
        <is>
          <t>成功</t>
        </is>
      </c>
      <c r="C1144" t="inlineStr">
        <is>
          <t>読み方：おとる
［動ラ五（四）］
１価値・能力・質・数量などが、他に比べて程度の低い状態にある。引けを取る。「技量は数段—・る」⇔勝る。
２（「…におとらず」の形で）…と同じように。「今日も昨日に—・らず暑い」
３身分・階級などが下である。
「—・りたる人の、ゐずまひもかしこまりたるけしきにて」〈枕・一四六〉
４年齢が下である。年月が後である。
「年、我より少し—・りたるをば弟の如く哀れび」〈今昔・五・一三〉
５減る。損をする。
「益(まさ)る所無くして、—・り費(つひ)ゆる極めて甚し」〈皇極紀〉</t>
        </is>
      </c>
      <c r="D1144" t="inlineStr">
        <is>
          <t>劣るまい；劣るかもしれ；劣るかも知れ；劣るまじ</t>
        </is>
      </c>
      <c r="E1144" t="inlineStr">
        <is>
          <t>足りない；下る；及ばない；負ける；かなわない</t>
        </is>
      </c>
      <c r="F1144" t="inlineStr">
        <is>
          <t>大きく劣る；若干劣る；比べて劣る；著しく劣る；比べると劣る</t>
        </is>
      </c>
      <c r="H1144" t="n">
        <v>29</v>
      </c>
      <c r="I1144" t="inlineStr">
        <is>
          <t>非常に優れているとも思われないが、勿論劣っているとも考えられない。；マクドノーは自分の艦隊が人でも武器でも劣っていることを知っていた。；彼らはそれを物語る人間より自分が劣って見えるのが我慢ならないのだ。；そしてさらに隣接する劣った国家を見つけて自らの養分とするのである。；丘の北には、岩を切った狭い階段から構成される劣った進入路もあった。；そして日本にもこれに劣らぬ製造所をたてなければいけないと思つた。；まったく我々の意志は、確かに彼らのそれに劣らず腐っているのである。；この戦いで数に劣る楚の兵は皆一人で十人の敵と戦ったと伝えられる。；子供など肉体的に劣り未成熟な者ならば圧力で全身の骨が折れかねない。；小説だと勝手に極めて、それから雑報にも劣っていると云ったのだろう。；質の良い石であれば一級のダイアモンドにも劣らない価格で取引される。；劣っていないばかりか、彼より一段立ち勝っていると信じられるのである。；また、必ずしも動物が人間に劣っているわけではないとも述べている。；しかし、そこで女は、彼女に劣らぬほど、美しい一人の女性を発見した。；橋の上は河の上の此の賑ひを見る人達で仲見世や映画街にも劣らぬ混雑。；外国人モデルに劣らない恵まれたスタイルを生かし海外での仕事も多い。；多数の死者及び死者数に劣らない規模の一酸化炭素中毒患者を出してきた。；僕はあなたより十倍も、いや、ひょっとするとそれ以上も劣った男です。；しかし門数が増えても元々の威力や射程が劣るため、有効ではなかった。；橋の上は河の上のこの賑いを見る人達で仲見世や映画街にも劣らぬ混雑。；彼もわたしの顔を見ると、ほかの者に劣らず驚き、かつ喜んでくれた。；ヨーロッパ製の航空機と比べて速度は劣っていたが、操縦性に優れていた。；かれらの自然科学的な知識は、植民者たちのそれに劣ってはいなかった。；故郷の町も、このいわゆる城なるものにほとんど劣ってはいなかった。；これ以降、大阪商船は戦前にも劣らない積極的な航路拡大を進めていく。；のみならず大地震の被害は時として原爆水爆の被害に劣らないのである。；知識は現代の人々よりも劣ってはいるが、エロイよりは高いとされている。；これが実現すれば、本数で劣る当線には大打撃となるところであった。；あなたが人に劣らない善い人だってことは、僕は少しも疑いませんよ。</t>
        </is>
      </c>
      <c r="J1144">
        <f>HYPERLINK("https://www.weblio.jp/content/劣る", "词义详情")</f>
        <v/>
      </c>
      <c r="K1144">
        <f>HYPERLINK("https://yourei.jp/劣る", "查看例句")</f>
        <v/>
      </c>
    </row>
    <row r="1145">
      <c r="A1145" t="inlineStr">
        <is>
          <t>踊る</t>
        </is>
      </c>
      <c r="B1145" t="inlineStr">
        <is>
          <t>成功</t>
        </is>
      </c>
      <c r="C1145" t="inlineStr">
        <is>
          <t>読み方：おどる
［動ラ五（四）］《「躍る」と同語源》
１音楽などに合わせてからだを動かす。舞踊を演ずる。「ワルツを—・る」
２他人に操られて行動する。「札束に—・る政治家」
３「躍る4」に同じ。
４利息を二重に取る。踊り歩(ぶ)にする。
「借銭の利を一月に二月—・る松坂越えて」〈浄・丹波与作〉
[可能]おどれる</t>
        </is>
      </c>
      <c r="D1145" t="inlineStr">
        <is>
          <t>踊るような足取り；踊るような足どり；踊るような恰好；踊る美人像；踊るような仕草</t>
        </is>
      </c>
      <c r="E1145" t="inlineStr">
        <is>
          <t>ダンス；舞う；舞踏；乱舞；演舞</t>
        </is>
      </c>
      <c r="F1145" t="inlineStr">
        <is>
          <t>合わせて踊る；舞い踊る；歌って踊る；着て踊る；ムトゥ踊る</t>
        </is>
      </c>
      <c r="G1145" t="inlineStr">
        <is>
          <t>踊る人々；踊る人形；踊る大紐育；踊る埴輪；踊る一寸法師</t>
        </is>
      </c>
      <c r="H1145" t="n">
        <v>29</v>
      </c>
      <c r="I1145" t="inlineStr">
        <is>
          <t>僕に物を書けといふのは、死者に踊れと云ふやうなものではあるまいか。；ロケットを踊られているのを見た時から、ひと目でファンになりました。；そして、あとには、踊っている人形がただ一つだけ残ったのであります。；銀髪の婦人はいい気持ちに踊っていたので、少しもそれを知らなかった。；相手が見つからなくても、周囲の女がみんな相手だと思って踊ればいい。；そこで奴隷達が踊ると見せかけて武術を訓練するために作られたという。；レアの大きな羽を使って作った巨大な帽子をかぶって踊るのが特徴である。；間奏部分で踊るダンスは前作よりもはるかに進化し、激しい動きも多い。；でもまさか街で踊っている人たちを連れてきたんじゃないですよね。；なおこの時点ではいわゆる手笠を持って踊っていたと考えられている。；お父さまが意味もなく、わたくしを男のかたと踊らせるわけがないわ。；「踊らないの」と聞くと、少女は椅子から立ち上がって身を寄せてきた。；その嬉しさに、疲れた身体を踊らせながら女王様の前に帰って来ました。；最初の試みに成功したので、地蔵を踊らせるのは源右衛門の役になった。；父から彼は、嘗て西部アメリカの話を聞いて胸を踊らせた思ひ出がある。；そして一切そんなものはなしに、みんなが勝手に踊って行きたいんだ。；静かに目を閉じて、音の波に乗るように鍵盤の上で手を踊らせている。；ただわたしの声が 調子をとり わたしの心は 歌につれて 踊ったのでした。；だがついでにだれか、もっとめずらしい踊りを踊って見せる者はないか。；彼らが最初に踊らないことには、ほかが踊ることは許されないきまりだ。；ダンス会場の納屋ではすでにたくさんの人たちがダンスを踊っていた。；各踊り手が歌をうたいつつ腹に下げた太鼓を打ち鳴らして踊るのが特徴。；いまごろはきっと美しい女奴隷にきみと踊らせたのを後悔しているだろうよ。；すでに館の庭では近所の子供たちが集まり、音頭に合わせて踊っている。；おそらく彼女の周囲で、今まで踊れない人間など一人もいなかったのだろう。；校庭で踊るようになる以前は踊り堂とよばれた寺の堂内で踊られていた。；校庭で踊るようになる以前は踊り堂とよばれた寺の堂内で踊られていた。；大切にしているのは、自分が何を踊っているのか正しく理解すること。；だが、誰かに踊らされているとしたら、おまえたちは我慢できるのか?</t>
        </is>
      </c>
      <c r="J1145">
        <f>HYPERLINK("https://www.weblio.jp/content/踊る", "词义详情")</f>
        <v/>
      </c>
      <c r="K1145">
        <f>HYPERLINK("https://yourei.jp/踊る", "查看例句")</f>
        <v/>
      </c>
    </row>
    <row r="1146">
      <c r="A1146" t="inlineStr">
        <is>
          <t>衰える</t>
        </is>
      </c>
      <c r="B1146" t="inlineStr">
        <is>
          <t>成功</t>
        </is>
      </c>
      <c r="C1146" t="inlineStr">
        <is>
          <t>読み方：おとろえる
［動ア下一］［文］おとろ・ふ［ハ下二］力や勢いなどが弱くなる。盛んでなくなる。衰弱する。「記憶力が—・える」「雨脚が—・える」「文化が—・える」「家が—・える」</t>
        </is>
      </c>
      <c r="D1146" t="inlineStr">
        <is>
          <t>衰えることなく(10%)</t>
        </is>
      </c>
      <c r="E1146" t="inlineStr">
        <is>
          <t>減少；低下；衰退；下る；減る</t>
        </is>
      </c>
      <c r="F1146" t="inlineStr">
        <is>
          <t>いっこうに衰える；次第に衰える；少しも衰える；痩せ衰える</t>
        </is>
      </c>
      <c r="H1146" t="n">
        <v>29</v>
      </c>
      <c r="I1146" t="inlineStr">
        <is>
          <t>国衰える時は、その方どもへも当然、負担や不幸はかかって来るものぞ。；その歌手の人気が日本で衰えると同時に彼女の名も雑誌に登場しなくなった。；齢を取って体力が衰えるのは、これも自然のこととしなくてはならない。；それでも彼らの人気は衰えることなく伝説とまで呼ばれるに至った。；これらの経験はピオ神父の健康が衰える原因になったと言われている。；重力が地球より少ない月では、気を許しているとたちまち筋力が衰える。；天文学者たちは、太陽の活動がゆっくりと衰えるだろうといっていた。；ほんのちょっと訓練を怠っただけでこうも衰えるものかと愕然とした。；あれから結構な時間が経ったはずだが、地下街の活気が衰える事はない。；戦時中は教勢が衰えるが、戦後再建し、足利キリスト青年会を結成する。；そういう国は盛んになるか衰えるかというと、多く語らずして明らかである。；陽は西の空に傾いているというのに、暑さが衰える気配はまるでない。；延長11回まで、球威の衰えることがなかった江夏の球を受けたからだ。；あいつの家が衰えるのは、こちらの得、というものじゃありませんか。；何人かの商人や指導者は処罰を受けたものの、幕府が衰えるきっかけとなった。；でも警部の元気は少しも衰えることがありませんでした。；死ぬ直前まで指揮活動が衰えることはなかったが、フィレンツェで死去した。；といって沢山物が食べられないと力が抜けて身体が余計に衰える。；戦争末期には、三四三空も衰弱したが、士気が衰えることはなかった。；人気が衰えることなく、イギリス国内のみならずヨーロッパでも何度も再放送されている。；敵に勢い、がつき、こちらの士気が衰えることは誰が考えても明らかだからだ。；薬物依存のために健康が衰えると、1961年から録音を行わなくなった。；一階の売り場の中に燃え広がった炎はまったく衰える気配を見せなかった。；それで人々はそんなに若い人がこう急に衰えるのは悲しみだけでは説明ができないと疑い出した。；開店したのは昨年のことなのだがまだ人気が衰えることがない。；あるとき周の国勢が衰えるのを感じ、牛の背に乗って西方に向かった。；動くことも衰えることもない中型台風が、地球上の六箇所に腰を据えたのだ。；こんなものが一人でも殖えれば国家はそれだけ衰える訳である。；そうして身体は痩せ衰えるばかりで、非常に電波に妨害されて居ります。</t>
        </is>
      </c>
      <c r="J1146">
        <f>HYPERLINK("https://www.weblio.jp/content/衰える", "词义详情")</f>
        <v/>
      </c>
      <c r="K1146">
        <f>HYPERLINK("https://yourei.jp/衰える", "查看例句")</f>
        <v/>
      </c>
    </row>
    <row r="1147">
      <c r="A1147" t="inlineStr">
        <is>
          <t>驚かす</t>
        </is>
      </c>
      <c r="B1147" t="inlineStr">
        <is>
          <t>成功</t>
        </is>
      </c>
      <c r="C1147" t="inlineStr">
        <is>
          <t>読み方：おどろかす
［動サ五（四）］《意識しない物事に、はっと気づかせる意が原義》
１びっくりさせる。「世間を—・すニュース」
２気づかせる。注意を呼び起こす。
「なかなか物思ひの—・さるる心地し給ふに」〈源・葵〉
３目を覚まさせる。起こす。
「添ひ臥して、ややと—・し給へど」〈源・夕顔〉
４思いがけないときに便りをする。訪れる。
「我とは（＝自分自身デハ）—・したてまつるべきやうもなく」〈狭衣・四〉</t>
        </is>
      </c>
      <c r="D1147" t="inlineStr">
        <is>
          <t>驚かすまい；驚かすべき；驚かす筆勢でござい</t>
        </is>
      </c>
      <c r="E1147" t="inlineStr">
        <is>
          <t>驚かせる</t>
        </is>
      </c>
      <c r="H1147" t="n">
        <v>29</v>
      </c>
      <c r="I1147" t="inlineStr">
        <is>
          <t>廊下にも部屋の中にも二人の眼を驚かすほどの清潔さは見られなかった。；その時奥さんが私を驚かした言葉を、私は今でも忘れずに覚えています。；入ってきたのを見て、ひと晩で彼がすっかり変わったのには驚かされた。；当時はセガ派だったが、その完成度に驚かされたと思いながら遊んでた。；そのとき扉のベルに驚かされ、だれかがたずねてきたことを知りました。；一九三六年のバイロイトのワーグナー祭を指揮して我々を驚かしている。；だが、我々がこの白い姿にさほど驚かされなかったといっても無駄だろう。；雨にも驚いたが、私の薬指に気がついた邦子には心の底から驚かされた。；そして彼は、その通りも壁も庭も非常に小さくなったのに驚かされた。；植民地の兵士はイギリス軍の守備兵の方が数が多かったことに驚かされた。；それより僕はその新聞全体の調子の自由と奔放とにむしろ驚かされた。；それを驚かして立ち去らせてはいけないと、ほとんど息さえ殺しながら。；萎縮したり痕跡器官になったりしているものが驚かされるほど多かった。；それは、知らない人間を驚かすよりもずっと楽しい事のように感じられた。；あなたをちょっと驚かすために分量を増しただけなのだからと答えた。；驚かされて飛び出しても高くは飛ばず、すぐに植生の中に隠れてしまう。；お前が何かを決断する時の度胸のよさには何度も驚かされているんだ。；關内がこの事件を報告した時、その話は侍達を驚かし、また当惑させた。；私は心を驚かされた感がしてその空白の多い一枚の紙を見入つてゐた。；輝いてさへ見えた顏からそれへの突然の變化は駿介をもう一度驚かした。；が、それよりももっと私を驚かしたのは、その患者の附添いの男でした。；驚くなと云った僕の方が、どのくらい君に驚かされたか知れやしない。；我々をこの上もなく驚かしたのは、埃や油がまるで無いことであった。；こんな悲しい人間があつたのだらうか、僕はひそかに驚かされてしまつた。；並んでいる奴を驚かそうと、時々帽子を振ったり、叫んでみたりした。；リウイのことは驚かされたが、それでどうなるというものではあるまい。；この旅行が始まってからというもの、ぼくはもう驚かされどおしだった。；自分はお重を馬鹿にしていたには違ないが、この鋭い声には少し驚かされた。；後者に就ては私も文句はなかったが、前者に就ては少からず驚かされた。</t>
        </is>
      </c>
      <c r="J1147">
        <f>HYPERLINK("https://www.weblio.jp/content/驚かす", "词义详情")</f>
        <v/>
      </c>
      <c r="K1147">
        <f>HYPERLINK("https://yourei.jp/驚かす", "查看例句")</f>
        <v/>
      </c>
    </row>
    <row r="1148">
      <c r="A1148" t="inlineStr">
        <is>
          <t>驚き</t>
        </is>
      </c>
      <c r="B1148" t="inlineStr">
        <is>
          <t>成功</t>
        </is>
      </c>
      <c r="C1148" t="inlineStr">
        <is>
          <t>読み方：おどろき
驚くこと。また、驚くべき事件・事柄。「—のあまり立ちすくむ」「—の声を上げる」</t>
        </is>
      </c>
      <c r="D1148" t="inlineStr">
        <is>
          <t>驚きまし(6%)；驚きませ；驚き呆れ；驚きあきれ；驚き恐れ</t>
        </is>
      </c>
      <c r="E1148" t="inlineStr">
        <is>
          <t>不思議；怪；驚愕；感嘆；愕然</t>
        </is>
      </c>
      <c r="F1148" t="inlineStr">
        <is>
          <t>新鮮な驚き；軽い驚き；ひどく驚き；さすがに驚き；深い驚き</t>
        </is>
      </c>
      <c r="G1148" t="inlineStr">
        <is>
          <t>驚き入る；驚きゃ；驚き最小の原則；驚き入</t>
        </is>
      </c>
      <c r="H1148" t="n">
        <v>29</v>
      </c>
      <c r="I1148" t="inlineStr">
        <is>
          <t>初めて会ったのになぜ自分の名前を知っているのだろうと驚きを感じた。；この曲は彼を支持する者にも批判的な者にも驚きをもって迎えられた。；引退の場を日本と表明した際には、世界中から驚きの声が上がったという。；世界の名だたる選手がいる中でのランクインに驚きをもって伝えられた。；杉村自身も手紙の多さに驚き、笠の人気の高さに感動したと述べている。；過去の軋轢を知る人々や地元を中心に大きな驚きをもって伝えられた。；そのあまりの美貌さに妹は驚き、見合いの失敗を確信するほどであった。；これには神々も驚き、動物に姿を変えてエジプトの方へと逃げてしまった。；この行為にはネット上で驚きの声もあったが、理解する声が多数を占めた。；武士を追っていた者は驚きながら長者の元に帰り、事の次第を伝えた。；黒人であったジョーンズが起用されたのは驚きがあったとされている。；彼女はシンバが生きていることに驚き、彼こそが真の王だと確信する。；コンパイラが x を階乗のテーブルだと認識したとしたら驚きである。；日本の海軍航空は水上機しか使っていなかったので、驚きをもって迎えた。；この事は茂吉の遺族をはじめ世間にも非常な驚きを持って迎えられた。；コンセプトは「ユーザーの期待を超える驚きと感動を提供する」である。；須賈は范雎が生きていたことに驚き、范雎にどうしているのかと聞いた。；その姿に驚き、恐れを抱いた怪物は、主人の部屋を飛び出してしまう。；そのためバイデンが選ばれた事に関しては少なからず驚きの声があった。；噂にあったから驚きはしなかったが、そんな話が出れば試合に集中できない。；それを遥かに上回る売り上げだったのでこれは社内的にも驚きでしたね。；いずれも他人を侮蔑する際や強い驚きを表現する際に使用される。；そこでジョンもリチャード側についたことに驚き、失意の内に崩御した。；今日、彼の音楽が早くも忘れ去られているのは私にとって驚きの種である。；この時にサウマはジェノヴァで実施されている選挙制に驚きと関心を示した。；この知らせはイギリスでも大きな驚きを持って迎えられた。；それは全てを捨てて、自身が弁護士になるという驚きのものだった。；攻撃が始まったときに荷車を曳いていた馬が驚き、荷車と共に逃亡した。；大公は洗礼と驚きを尋ねていることに意味をなさないことに印象を与えられる。</t>
        </is>
      </c>
      <c r="J1148">
        <f>HYPERLINK("https://www.weblio.jp/content/驚き", "词义详情")</f>
        <v/>
      </c>
      <c r="K1148">
        <f>HYPERLINK("https://yourei.jp/驚き", "查看例句")</f>
        <v/>
      </c>
    </row>
    <row r="1149">
      <c r="A1149" t="inlineStr">
        <is>
          <t>驚く</t>
        </is>
      </c>
      <c r="B1149" t="inlineStr">
        <is>
          <t>成功</t>
        </is>
      </c>
      <c r="C1149" t="inlineStr">
        <is>
          <t>読み方：おどろく
［動カ五（四）］《意識していなかった物事に、はっと気づく意が原義》
１意外なことに出くわして、心に衝撃を受ける。びっくりする。感嘆する。「宇宙の神秘に—・く」「父の博識に—・く」
２はっと気がつく。
「ほととぎすけさ鳴く声に—・けば君に別れし時にぞありける」〈古今・哀傷〉
３目が覚める。
「あまたたび言ふ声にぞ—・きて見れば」〈枕・八〉
[可能]おどろける</t>
        </is>
      </c>
      <c r="D1149" t="inlineStr">
        <is>
          <t>驚くべき(36%)；驚くだろ；驚くべく；驚くべし；驚くなかれ</t>
        </is>
      </c>
      <c r="E1149" t="inlineStr">
        <is>
          <t>驚嘆；びっくりする；動揺する；凍りつく；固まる</t>
        </is>
      </c>
      <c r="F1149" t="inlineStr">
        <is>
          <t>さらに驚く；まことに驚く；もっと驚く；驚くほどよく；最も驚く</t>
        </is>
      </c>
      <c r="H1149" t="n">
        <v>29</v>
      </c>
      <c r="I1149" t="inlineStr">
        <is>
          <t>驚くべき速度で進化を続けるがそれにはある重大な秘密が隠されている。；決勝時の能力はそれまでに見られなかったものであり批評家を驚かせた。；しかし驚いたことに船の損傷は軽微で、翌日には飛行することができた。；予感はしていたが、実際に目があった瞬間に全身が硬直した自分に驚く。；そう聞くと驚く人も多いでしょうけれど、それが彼女の望んだことなのよ。；驚くべきことに、隊員達は太平洋に多く生息していた鮭を食べなかった。；彼が雨漏りと勘違いし、驚いて家を飛び出した隙を見て目的を果たした。；演出上は、驚いた場面を中心に、漫画の一コマのようなものも見られる。；主人公の高校からの親友であるミキは一瞬驚くが、特に気にしなかった。；大胆な発想に一同驚いていたところに偶然にも近藤本人が通りかかった。；久しぶりに顔を合わせた夫婦は、周囲が驚くほど親しげな様子を見せた。；また製造過程の簡略化などから製造スピードは驚くべきものであった。；あまりの出来の良さに驚いた同社からは、大量の資料が送られてきたという。；驚くべきことに、この子マウスは父親マウスと同様に異常行動を示した。；発売前に発表された今までと全く異なったビジュアルで世間を驚かせた。；この原稿は誤字があまりにも多かったため、永井本人が驚く程であった。；洋子は真が自分の写真屋にしばしば来店する客であると気づいて驚いた。；家に帰ってみると、あの猫を助けた女性が家にいたので龍之介は驚く。；コーディーが堕落したときも驚いてはいたものの、多くを聞かなかった。；零は自分でも驚くほどの即断即決でその夜のうちに国道16号を越えた。；アリエルは自分が想像していた悪魔とあまりにも違う姿形であることに驚く。；落雷に驚いて木から落ちたモモンガなどから想像されたともいわれている。；その時機が到来する時には必ずヨーロッパを驚かせることをするだろう。；人間大の状態で出現し、道路でボール遊びに興じる子供たちを驚かせる。；驚いた勢夜陀多良比売が矢を取って部屋に戻ると、矢は美男子となった。；親しい立場にあった漫画家でさえ本当の年齢を知って驚いたほどであった。；ピポサルを見るのは初めてだったらしく、その存在に漠然と驚いていた。；しかしアイヌアは世界にイルーヴァタールの子らがいるのを見て驚いた。；これは が 以前からあった事を考えれば驚くようなことではない。</t>
        </is>
      </c>
      <c r="J1149">
        <f>HYPERLINK("https://www.weblio.jp/content/驚く", "词义详情")</f>
        <v/>
      </c>
      <c r="K1149">
        <f>HYPERLINK("https://yourei.jp/驚く", "查看例句")</f>
        <v/>
      </c>
    </row>
    <row r="1150">
      <c r="A1150" t="inlineStr">
        <is>
          <t>同い年</t>
        </is>
      </c>
      <c r="B1150" t="inlineStr">
        <is>
          <t>成功</t>
        </is>
      </c>
      <c r="C1150" t="inlineStr">
        <is>
          <t>読み方：おないどし
《「おなじとし」の音変化》同じ年齢。また、その人たち。「—のいとこ」
[補説]学校で、同じ学年であることを指すこともある。</t>
        </is>
      </c>
      <c r="D1150" t="inlineStr">
        <is>
          <t>同年；同じ年；同年輩；同年齢；タメ</t>
        </is>
      </c>
      <c r="H1150" t="n">
        <v>29</v>
      </c>
      <c r="I1150" t="inlineStr">
        <is>
          <t>もう一つの雷さまはわたしが青年時代に知った同い年の学校友だちです。；生まれたばかりの・・・私と同い年くらいのパンドラに会いに行きたい!；妹の悲しみを、同い年の少年の死だけと直結させていたのかもしれない。；同い年の子はそりゃ、あたしと同じように今は恋人のいない子はいるわ。；なんだってこう、同い年の子に姉御扱いされなくてはいけないのだろう?；だが直接年齢を聞かなければ同い年だと思っていたかもしれない。；同い年の少女に邪魔だと言われ、魂が抜け落ちたような顔をしている。；同い年なら女の子の方がませているのはラノンもここも変わらないと見える。；もう一人のヷーシャは私と同い年で、母親と一緒に暮らしていました。；彼は自分と同い年の子供たちと楽しく遊ぶのは困難なことがわかった。；同い年ぐらいではあるが、学校は違っていたようだと彼はいった。；同い年でデビューの時期もほぼ同じであり、現場で一緒になることが多かった。；広場のほうで同い年くらいの男の子たちがサッカーをしている。；同い年ぐらいの男の子がこっちをじっと見ているのに気づいた。；前座時代には、同い年である林家九蔵の実家に居候していた時期がある。；理沙のうしろから入ってきたのは、理沙と同い年くらいの若い女だった。；長矩とは同い年であったこともあり、非常に気が合ったようである。；同い年の多くが高校一年生になった頃、彼は二つのイベントに関わっていた。；私は同い年の子よりはずっと物知りだけど、もっと社会のことを知りたいの。；同い年だから、互いに意識しているところがあるんだと思います。；父と同期の社員も多く、社宅には静と同い年の子どももたくさんいた。；父の恋人だった、さとると同い年の少女が自殺未遂を起こしたのだ。；同い年ぐらいの女の子に世話をしてもらうなんて趣味は、今のところありはしない。；そのときは私はまだ二人が同い年であるというたいへんな事実を発見していなかった。；いま思えばガキ大将連と姉たちが同い年だったのと関係があるかもしれない。；急に同い年のボーイフレンドが子供に見えるのではないだろうか。；葵と同い年だからまだ高校生だろうが、酒のグラスを手にしている者もいる。；鈴木は膝をつく自分の背後に立つ同い年の男を見上げた。；僕は背が高い方だったが、同い年で古寺ほど大きな子を見たことがなかった。</t>
        </is>
      </c>
      <c r="J1150">
        <f>HYPERLINK("https://www.weblio.jp/content/同い年", "词义详情")</f>
        <v/>
      </c>
      <c r="K1150">
        <f>HYPERLINK("https://yourei.jp/同い年", "查看例句")</f>
        <v/>
      </c>
    </row>
    <row r="1151">
      <c r="A1151" t="inlineStr">
        <is>
          <t>おなか</t>
        </is>
      </c>
      <c r="B1151" t="inlineStr">
        <is>
          <t>成功</t>
        </is>
      </c>
      <c r="C1151" t="inlineStr">
        <is>
          <t>読み方：おなか
１（「お腹」とも書く）腹を丁寧にいう語。もと女性語。「—が痛い」「—がすいた」
２飯・食事をいう女房詞。
３綿(わた)・真綿をいう女房詞。
４室町時代、武家の奥向きに仕えた女中の役名。中﨟(ちゅうろう)。</t>
        </is>
      </c>
      <c r="D1151" t="inlineStr">
        <is>
          <t>おなかがすい(11%)；おなかいっぱい(2%)；おなかすい(2%)；おなかがいっぱい；おなかが痛い</t>
        </is>
      </c>
      <c r="E1151" t="inlineStr">
        <is>
          <t>腹；胴；胃；腹部；お腹</t>
        </is>
      </c>
      <c r="F1151" t="inlineStr">
        <is>
          <t>おなかが大きく；ひどくおなか；おなかペコペコ；おなかがくちく；おなかすかし</t>
        </is>
      </c>
      <c r="G1151" t="inlineStr">
        <is>
          <t>おなかの赤ちゃん；おなかの子供；おなかのへるうた</t>
        </is>
      </c>
      <c r="H1151" t="n">
        <v>29</v>
      </c>
      <c r="I1151" t="inlineStr">
        <is>
          <t>わたしのおなかのなかで、二匹の蛇が争いあったが、わたしは無視した。；おなかのあたりを触ってみると、ちょっと肉がついたような気もします。；田舎のお城に忍んで行って、ひそかにおなかを小さくするだけの事です。；おなかの空くことは、昔は母親が心配して何とか食べさせて行けました。；もぞもぞと動いていたら、 こんどは僕のおなかのあたりから声がした。；おなか そんなにわたしが、おさんさんとやらに似ているのでしょうか。；軽い頭痛が残っているが無性におなかが空いて何か食べずにおられない。；この女性のおなかに子どもがいることが、はっきりわかったからです。；この四五日おなかがしまって来たことがはっきり分って、大変快適です。；このごろ向うの饅頭屋の娘のおなかとお前は好い仲になっているだろう。；その鳥は、おなかいっぱい食べてから、飛んで行ったのだろうと思います。；さっきあれだけスイカなどを食べたのに、もうおなかがすいているのだ。；おなかのところまで水がくると、もう岸辺にあがって逃げだそうとする。；けふはあなたもお疲れでせうし、それに、おなかも空いてゐるでせうから。；私はこれまでに、こんなにひどくおなかがすいたことはありませんでした。；おなかが空いた時芝居なんかの中に、さう長くゐられるものではない。；あなたのおなかは外米が消化よくないので故障しているのではないかしら。；空腹を感じたとたんおなかが鳴ってしまい、私はひとりで小さく笑った。；昨夜からのひどい疲れのあとだから、食べ過ぎておなかを悪くしてはいけない。；私はコーヒーを置いて、自分のおなかのあたりにそっと触れてみる。；あなたはこの一二日のうち、おなかこわしなさいませんでしたろうか。；少しでもいいから、とにかく何かをおなかに入れておきなさいと彼女は言った。；大きくて、身に幅があって、おなかのあたりが銀色に輝いているサンマ。；ここへ来たのはナズビー卿のおなかについてかれこれいうためではない。；機内食には手をつけずにきたので、もう晴美のおなかはぺこぺこだった。；そいつがあたしのおなかの中の写真まで見ているはずなのだ!；おなかにこたえないでしょうか、シャツがあってよかったと思います。；ふたりともずっとさっぱりしましたが、おなかはぺこぺこになりました。；左手はさらに残りのシャツのボタンを外し、今はおなかの上に置かれている。</t>
        </is>
      </c>
      <c r="J1151">
        <f>HYPERLINK("https://www.weblio.jp/content/おなか", "词义详情")</f>
        <v/>
      </c>
      <c r="K1151">
        <f>HYPERLINK("https://yourei.jp/おなか", "查看例句")</f>
        <v/>
      </c>
    </row>
    <row r="1152">
      <c r="A1152" t="inlineStr">
        <is>
          <t>同じ</t>
        </is>
      </c>
      <c r="B1152" t="inlineStr">
        <is>
          <t>成功</t>
        </is>
      </c>
      <c r="C1152" t="inlineStr">
        <is>
          <t>読み方：おなじ
［形シク］《「おなし」とも》形容動詞「おなじ」に同じ。体言に続くときには、連体形「おなじき」のほか、和文脈のものでは語幹「おなじ」がそのまま用いられることが多かった。
「あしひきの山は無くもが月見れば—・じき里を心隔てつ」〈万・四〇七六〉
「—・じ程、それより下﨟の更衣たちは」〈源・桐壺〉</t>
        </is>
      </c>
      <c r="D1152" t="inlineStr">
        <is>
          <t>同じよう(15%)；同じ場所；同じ年；同じ頃；同じ日</t>
        </is>
      </c>
      <c r="E1152" t="inlineStr">
        <is>
          <t>同様；近い；同じよう；似た；似ている</t>
        </is>
      </c>
      <c r="F1152" t="inlineStr">
        <is>
          <t>全く同じ；まったく同じ；ほとんど同じ；同じクラス；同じころ</t>
        </is>
      </c>
      <c r="G1152" t="inlineStr">
        <is>
          <t>同じい；同じゅう；同じき；同じか；同じ星</t>
        </is>
      </c>
      <c r="H1152" t="n">
        <v>29</v>
      </c>
      <c r="I1152" t="inlineStr">
        <is>
          <t>同じ報告では最終的な決定は国家発展開発委員会に委ねられたとされる。；これも同じ汚職事件に関与した疑いで逮捕される直前の出来事であった。；これは世界や宇宙の始まりと終わりを考えることと同じことになる。；そのため、同じアーキテクチャの製品が複数のメーカーから発売された。；フランスでは子供に付けられる名前が少なく、同じ名前の人物が多数いる。；基本的な機構は他の生物でも同じであるが、細部には違いが見られる。；さきほどと同じように、挟んだ相手の色の石を裏返して自分の色に変える。；実験式と分子式が同じであることがよくあるが、常にそうとは限らない。；同時代のケプラーや若干後のニュートンなども同じような失敗があった。；両者の秩序は、同じ実体の二つの側面を示すから、一致するとしている。；その際に同国のクラブが同じグループに入らないように考慮される。；この内、同じコースで開催され続けているのはモナコGPのみである。；関数のオーバーロードは名称が同じ複数の関数を宣言できる機能である。；そのため、二人は手塚が使っていた机と同じ机で漫画を描いていた。；また、複数のノードで同じデータを共有することも容易に実現できる。；それはレーザービームのように一致し、みんな同じ方向を向いていた。；水島新司とは、ほとんど同じ時期にデビューした同期みたいな存在だった。；そのためC言語では全く同じプログラムを以下のように書くこともできる。；なお、任天堂のファミリーコンピュータも全く同じ日に発売されている。；しかし彼らは同じ法律、宗教、道徳の規範に従うことを期待されていた。；これは同じ読みの漢字がたくさん存在するという日本語の特徴のためである。；目撃者の1人が搭乗者に向かい手をふると 搭乗者達も同じ動作をした。；全員が同じ手を出したときや、全ての手が出たときには「あいこ」になる。；震源が深い地震は同じ規模の浅い地震に比べて地表での揺れは小さい。；同様に古典的な方法論も最新の量子論的手法と同じくらい高い価値を持つ。；たとえば学校の建物でのかくれんぼは公園の同じゲームと異なる。；相打ちになれば相手にも同じ情報を与えるので、自分が有利になることはない。；これはゴロが多いことで知られるイチローとほぼ同じ数字であった。；この目的は開発銀行がバークレイズへ出資したのと全く同じである。</t>
        </is>
      </c>
      <c r="J1152">
        <f>HYPERLINK("https://www.weblio.jp/content/同じ", "词义详情")</f>
        <v/>
      </c>
      <c r="K1152">
        <f>HYPERLINK("https://yourei.jp/同じ", "查看例句")</f>
        <v/>
      </c>
    </row>
    <row r="1153">
      <c r="A1153" t="inlineStr">
        <is>
          <t>鬼</t>
        </is>
      </c>
      <c r="B1153" t="inlineStr">
        <is>
          <t>成功</t>
        </is>
      </c>
      <c r="C1153" t="inlineStr">
        <is>
          <t>読み方：おに
《「おん（隠）」の音変化で、隠れて見えないものの意とも》
［名］
１仏教、陰陽道(おんようどう)に基づく想像上の怪物。人間の形をして、頭には角を生やし、口は横に裂けて鋭い牙(きば)をもち、裸で腰にトラの皮のふんどしを締める。性質は荒く、手に金棒を握る。地獄には赤鬼・青鬼が住むという。
２《1のような人の意から》
㋐勇猛な人。「—の弁慶」
㋑冷酷で無慈悲な人。「渡る世間に—はない」「心を—にする」
㋒借金取り。債鬼。
㋓あるひとつの事に精魂を傾ける人。「仕事の—」「土俵の—」
３鬼ごっこや隠れんぼうで、人を捕まえる役。「—さん、こちら」
４紋所の名。鬼の形をかたどったもの。
５目に見えない、超自然の存在。
㋐死人の霊魂。精霊。「異域の—となる」
㋑人にたたりをする化け物。もののけ。
「南殿(なんでん)の—の、なにがしの大臣(おとど)脅かしけるたとひ」〈源・夕顔〉
６飲食物の毒味役。→鬼食(おにく)い →鬼飲(おにの)み
「鬼一口の毒の酒、是より毒の試みを—とは名付けそめつらん」〈浄・枕言葉〉
［接頭］名詞に付く。
１荒々しく勇猛である意を表す。「—将軍」
２残酷・無慈悲・非情の意を表す。「—婆(ばば)」「—検事」
３外見が魁偉(かいい)・異形であるさま、また大形であるさまを表す。「—歯」「—やんま」
[補説]近年、俗に、程度がはなはだしいさまを表すのにも用いられる。「—のように忙しい」「—うまい」「—電(でん)（＝短時間に何度も電話をかけること）」作品名別項。→鬼
[下接語]異郷の鬼・牛鬼・屈(かが)み鬼・隠れ鬼・心の鬼・人鬼・向かい鬼・雪鬼</t>
        </is>
      </c>
      <c r="D1153" t="inlineStr">
        <is>
          <t>鬼たち(2%)；鬼ども；鬼王丸；鬼ケン；鬼達</t>
        </is>
      </c>
      <c r="E1153" t="inlineStr">
        <is>
          <t>悪魔；怪物；魔；妖怪；モンスター</t>
        </is>
      </c>
      <c r="F1153" t="inlineStr">
        <is>
          <t>邪鬼；玄鬼；復讐鬼；連続殺人鬼；夜鬼</t>
        </is>
      </c>
      <c r="G1153" t="inlineStr">
        <is>
          <t>鬼太郎；鬼気；鬼火；鬼怒川；鬼頭</t>
        </is>
      </c>
      <c r="H1153" t="n">
        <v>29</v>
      </c>
      <c r="I1153" t="inlineStr">
        <is>
          <t>鬼の多くは弟子を持ち、継承・就職させる方法で今日まで伝承している。；この理由は、グラウンドでは心を鬼にすることを心がけたいからという。；鬼が一夜で造りあげたとする伝説が残ることが名の由来となっている。；他の鬼と違い、額の鬼面が肥大化し顔全体を覆うデザインとなっている。；旧局名は、伯耆町が日本最古の鬼伝説のまちであることに由来している。；そして鬼をサポートする人々の体系は組織へ発展し、と呼ばれるようになった。；また同じ道悪の鬼であるアカネテンリュウとの壮絶な叩き合いもあった。；門の上の方に「鬼の窓」と呼ばれる4メートルほどの穴が開いている。；当の若乃花は「最後の投げは心を鬼にして決めた」と後に述懐している。；一般的に伝わる鬼と外見などは同様であるが、独自の要素が追加されている。；有罪判決を獲得するためには手段を選ばない、血も涙も無い鬼のような人物。；他の伝承では、水鬼と隠形鬼が土鬼、火鬼に入れ替わっている物もある。；また、鬼が名前を呼びやすいようにニックネームを決めることもある。；数々の大一番で見せた勝負強さから、「七番勝負の鬼」の異名も取った。；また、源満仲が戸蔵山の鬼を切ったことから鬼切と名付けられたとある。；物語面では、鬼に出会った少年の明日夢の成長譚が大きな柱となっている。；その肉体は不老不死に近く、鬼を食べなくても飢えるだけで死にはしない。；鬼人強化状態になると、攻撃速度が増し、回避動作が鬼人化状態と同じになる。；稀に生きたまま鬼になるケースがあり、その場合は高い知能を持つ。；鬼など恐ろしい怪物には角があるとしている文化も多い。；鬼たちが住んでおり、鬼退治に向かう桃太郎たちの目的地となっている。；鬼はよほど足が速くない限り、全員を凍った状態にすることは難しい。；しかし、西は心を完全に鬼にすることはできず、佳子を愛してしまっていた。；特に椿鬼は攻撃を担当する性質上、反撃を受け何度か損傷・破壊されている。；これまで得たすべての力を集約した八雲は遂にベナレスと鬼眼王を倒す。；その鬼は女性であり、名前を紅葉であるとするものが一般に流布されている。；すなわち、ゲームを終わらせることができるのは鬼の側だけである。；「医療費の現状を正すためには、私は鬼にも蛇にもなる」と言い切った。；艦隊旗艦宇宙空母は正面から見たときに鬼の面に見えるデザインとなっている。</t>
        </is>
      </c>
      <c r="J1153">
        <f>HYPERLINK("https://www.weblio.jp/content/鬼", "词义详情")</f>
        <v/>
      </c>
      <c r="K1153">
        <f>HYPERLINK("https://yourei.jp/鬼", "查看例句")</f>
        <v/>
      </c>
    </row>
    <row r="1154">
      <c r="A1154" t="inlineStr">
        <is>
          <t>お兄さん</t>
        </is>
      </c>
      <c r="B1154" t="inlineStr">
        <is>
          <t>成功</t>
        </is>
      </c>
      <c r="C1154" t="inlineStr">
        <is>
          <t>読み方：おにいさん
１自分の兄や他人の兄、あるいは、家庭内で兄にあたる人を敬い親しんでいう語。
２若い男を親しみをこめて呼ぶ語。</t>
        </is>
      </c>
      <c r="D1154" t="inlineStr">
        <is>
          <t>お兄さんたち(3%)；お兄さんみたい；お兄さん役；お兄さん達；お兄さんお姉さん</t>
        </is>
      </c>
      <c r="F1154" t="inlineStr">
        <is>
          <t>静子お兄さん；怖いお兄さん；未納お兄さん；やさしいお兄さん；静子それでもお兄さん</t>
        </is>
      </c>
      <c r="H1154" t="n">
        <v>29</v>
      </c>
      <c r="I1154" t="inlineStr">
        <is>
          <t>そのへんで野良仕事でもやっていそうなごく普通のお兄さんたちなんだ。；母と遊びに行く時は、このお兄さんが一緒に来ることが少なくなかった。；だけどあの人もお兄さんと同じで、女の気持ちが分からない人だったよ。；いままでのお兄さんなら目の色を変えて大はしゃぎしていたはずなのに。；私は坂上さんのお兄さんは、自分の心に殺されたのだと思えてならない。；私はお兄さんのわきを今はなれることは出来ませんとそう申しましたの。；だけど季里子は、お兄さんに周郎さんの代わりを見ているだけなんだよ。；お兄さん、といっても、私たちとそう年齢は変わらないくらいに見えた。；これでお兄さんの関与の可能性はほとんど考えられなくなりました。；でも、男って、お兄さんのようになりたいと思うのではないでしょうか?；でも力ずくで止めるのは無理だし、お兄さんの後をつけることにしたの。；いまはお兄さんと云うし、その云いかたには意識的な媚さえ感じられた。；お兄さんと二人きりで会うまではあの人はドアの内側や屋根の下が不安なんです。；だから、わたしはすぐに仲良くなって、お兄さんの友達第一号になった。；西 島貴女がいなくってもお兄さんを信用するには変りはありません。；努ちゃんは、お兄さんのあなたから見ても問題児だったと言いましたね?；英 次 千代子はお兄さんのことは僕の前ではほめたことはありませんよ。；そして、僕が言ったような考えを持っているお兄さんではないかも知れない。；頼近さんという人は自殺するような人だから、とお兄さんは言いました。；九時ごろまではお兄さんと一緒だろうと思って、いくらかは安心していたのさ。；私はたった今お兄さんに会って、いっしょに話をしてきたところなんです。；おとうさんを殺したのはお兄さんなんですか、それとも下男なんですか?；僕は一度思いきっていろいろのことをお兄さんに云って見たかったのですよ。；それが、お兄さんが結婚して、この家に引っ越してきた頃からああなの。；「私はお兄さんを起訴しようかとも思いました」と二等大尉は語をついだ。；お兄さんは千代子が僕に殺される資格があると思っているのですね。；英 次 お兄さんに対する私の感情がどんなものか知らないからです。；お兄さんのお作がいいと云うことを聞いて私本当に安心しましたわ。；英 次 お兄さんは私の死ぬことを望んだことはありませんか。</t>
        </is>
      </c>
      <c r="J1154">
        <f>HYPERLINK("https://www.weblio.jp/content/お兄さん", "词义详情")</f>
        <v/>
      </c>
      <c r="K1154">
        <f>HYPERLINK("https://yourei.jp/お兄さん", "查看例句")</f>
        <v/>
      </c>
    </row>
    <row r="1155">
      <c r="A1155" t="inlineStr">
        <is>
          <t>おにぎり</t>
        </is>
      </c>
      <c r="B1155" t="inlineStr">
        <is>
          <t>成功</t>
        </is>
      </c>
      <c r="C1155" t="inlineStr">
        <is>
          <t>読み方：おにぎり
握り飯を丁寧にいう語。もと女性語。</t>
        </is>
      </c>
      <c r="D1155" t="inlineStr">
        <is>
          <t>おにぎり屋(2%)；おにぎり等；おにぎりスキッパーズ；おにぎり弁当；おにぎりみたい</t>
        </is>
      </c>
      <c r="E1155" t="inlineStr">
        <is>
          <t>握り飯；むすび；おむすび；お握り；にぎり飯</t>
        </is>
      </c>
      <c r="F1155" t="inlineStr">
        <is>
          <t>好きなおにぎり；海苔巻きおにぎり；丸いおにぎり；三角おにぎり；ポーク玉子おにぎり</t>
        </is>
      </c>
      <c r="G1155" t="inlineStr">
        <is>
          <t>おにぎりせんべい；おにぎりくん；おにぎりの日</t>
        </is>
      </c>
      <c r="H1155" t="n">
        <v>29</v>
      </c>
      <c r="I1155" t="inlineStr">
        <is>
          <t>実に様々な埋設物を内包したおにぎりが並んでいるのに驚くに違いない。；うどん・そば・おにぎり等の食べられる食堂を併設し人気を得ていった。；おにぎりをもらった時も同じ笑顔をしていたのに、今とどう違うのか。；車を停めている道のうしろのほうに、おにぎり屋の看板が見えていた。；もともと持っていたコンビニの袋から出てきたのは、何とおにぎりだった。；前川さんのおにぎりはもっと綺麗な形をしていたよな、と敗北に微笑む。；おにぎり三個食べたあとだっていうのに、皿に盛ってはもりもり食べる。；例えば、おにぎりや雑炊などにするときなどに大きな差になると指摘する。；することがなければおにぎりを作ってよ、と言った環さまがいないんだから。；あそこの隣でやってるビアガーデンで、あのビルの形のおにぎりが出るの。；おにぎりでも三角形に握るとおにぎりの中にエネルギーが生じるという。；これまでは、おにぎりの中身については一応歯どめのようなものがあった。；四十個のおにぎりがすっかり姿を消すまで、ものの五分もかからなかった。；君におにぎりをあげたおばあちゃんはどんな気持ちだったでしょう?；おにぎりの製造工場ではなく、一つ一つ手で握ったおにぎりを売る店だ。；今日は見よう見まねで自分で握ってみた形の悪いおにぎりを橋の下で食べた。；催促されるまま、おにぎりを全部上げても、声はまだ聞こえてきます。；ため息をついて、紙皿の上のおにぎりを手に取ると、また一口かじった。；乙女さんはおにぎり全部食べてから さっさと学校へ行ってしまった。；食事はごく普通のもので、アニメ第1作ではおにぎりなどを食べる場面がある。；次に宇兵は自宅へ電話を入れると、妻におにぎりの焚き出しを頼んだ。；以来、おにぎり屋の仕事を続けながら漫画家としても活動している。；ゴールまで3つの滝を協力して越えながらおにぎりをよりきれいに運んだチームの勝利。；他の誰かにも、おにぎり作ってやったこと、あるのかなと思ってさ。；おにぎり屋の女主人を中心とする新宿・歌舞伎町の人間模様を描いた作品。；それ以来、弟は一週間夜食のおにぎりを絶対口にしようとはしなかったのであった。；姉はおにぎりで元気が回復したようで、金庫に勢いよくにじりよった。；その夜に娘が台所を覗くと、父が不慣れな手つきでおにぎりを握っている。；大橋の妻が大騒ぎをし、おにぎり屋にいづらくなって、姉は店を辞めた。</t>
        </is>
      </c>
      <c r="J1155">
        <f>HYPERLINK("https://www.weblio.jp/content/おにぎり", "词义详情")</f>
        <v/>
      </c>
      <c r="K1155">
        <f>HYPERLINK("https://yourei.jp/おにぎり", "查看例句")</f>
        <v/>
      </c>
    </row>
    <row r="1156">
      <c r="A1156" t="inlineStr">
        <is>
          <t>お姉さん</t>
        </is>
      </c>
      <c r="B1156" t="inlineStr">
        <is>
          <t>成功</t>
        </is>
      </c>
      <c r="C1156" t="inlineStr">
        <is>
          <t>読み方：おねえさん
１（御姉さん）自分の姉や他人の姉、あるいは、家庭内で姉にあたる人を敬い親しんでいう語。
２若い女性を親しみをこめて呼ぶ語。
３（御姐さん）「ねえさん3・4」を親しんでいう語。</t>
        </is>
      </c>
      <c r="D1156" t="inlineStr">
        <is>
          <t>お姉さん系；お姉さん役；お姉さんみたい；お姉さんキャラ；お姉さん達</t>
        </is>
      </c>
      <c r="E1156" t="inlineStr">
        <is>
          <t>女；娘；少女；姉；女子</t>
        </is>
      </c>
      <c r="F1156" t="inlineStr">
        <is>
          <t>未納お姉さん；きれいなお姉さん；優しいお姉さん；お姉さんなんか；活躍するお姉さん</t>
        </is>
      </c>
      <c r="G1156" t="inlineStr">
        <is>
          <t>お姉さんズ</t>
        </is>
      </c>
      <c r="H1156" t="n">
        <v>29</v>
      </c>
      <c r="I1156" t="inlineStr">
        <is>
          <t>髪を切ってもらっている間、ぼくは鏡に映っているお姉さんの顔を見た。；このままいつまでもお姉さんといっしょに暮らすわけにはいかないのよ。；プレーヤーの名前なども子供がお姉さんの質問に答える方法で決定する。；ぼくの目尻には涙が浮かんでいて、お姉さんの顔がぼんやりして見えた。；親戚のお姉さん達が皆お見合いで結婚していくのを見てきたせいだろう。；お姉さんはそのソファに座って本を読んだり、テレビを見たりするのだ。；そのときぼくは、お姉さんの足が少しふらふらしていることに気づいた。；家の人たちは寝ないで看護してるんだってお姉さんが言ってましたよ。；友達に500円払ってお姉さんの部屋に入れてもらったことがあります。；ぼくはなぜお姉さんの顔をじっと見ているとうれしい感じがするのか。；歴代のお姉さんからの 特別メッセージも、現在の写真付きで公開された。；そしてペンギンたちを研究することは、お姉さんを研究することである。；ぼくらとお姉さんは父の運転する自動車にのせてもらうことになった。；「じゃあ一人でやってください」と言い、お姉さんは怒って歩きだした。；あなたのお姉さんは、私の腕の中で死者のための音楽をともに聴きました。；お姉さんが、会社のほうに一度顔を出して欲しいと言ってるんだよ。；お姉さんのニッポン人のサムライとの結婚をジョンはどう思うかしらね?；そしてそれが朱之助のいわゆるお姉さんなる女性の存在なのではあるまいか。；そんなことになれば、ぼくはもうお姉さんと会うことができなくなるだろう。；電車の中で、ぼくはお姉さんにいろいろなことを教えてあげるつもりである。；山村先生はこの学校のOGで、生徒たちのお姉さんみたいな存在だった。；ぼくは念のために自分の歯に糸をつないでお姉さんに持ってもらい。；あたしにしてみれば、田中くんのお姉さんは、何考えてるか分らない。；扉が開く音がしたのでお姉さんが来たのかと思ったら、父が立っているのだった。；お姉さんはターミナルの中央に立って、まぶしそうに空を見上げている。；中には、モデル並みに奇麗な子もいたし、年上のお姉さん風の女もいた。；ぼくがびっくりしたことに、その日はお姉さんといっしょになった。；お姉さんのほうは、わたしのことを聞かされていなかったようですね。；彼女がぼくとお姉さんに気づいたのかどうかは分からなかった。</t>
        </is>
      </c>
      <c r="J1156">
        <f>HYPERLINK("https://www.weblio.jp/content/お姉さん", "词义详情")</f>
        <v/>
      </c>
      <c r="K1156">
        <f>HYPERLINK("https://yourei.jp/お姉さん", "查看例句")</f>
        <v/>
      </c>
    </row>
    <row r="1157">
      <c r="A1157" t="inlineStr">
        <is>
          <t>おのおの</t>
        </is>
      </c>
      <c r="B1157" t="inlineStr">
        <is>
          <t>成功</t>
        </is>
      </c>
      <c r="C1157" t="inlineStr">
        <is>
          <t>読み方：おのおの
《「己(おの)己(おの)」の意》
［名］多くのもののそれぞれ。めいめい。副詞的にも用いる。「学生—の自覚にまつ」「入選作は—すぐれている」
→其(そ)れ其(ぞ)れ［用法］
［代］二人称の人代名詞。皆さん。
「是御覧ぜよ、—」〈平家・三〉</t>
        </is>
      </c>
      <c r="D1157" t="inlineStr">
        <is>
          <t>おのおのその(6%)；おのおの方；おのおの一；おのおの二；おのおのがた</t>
        </is>
      </c>
      <c r="E1157" t="inlineStr">
        <is>
          <t>それぞれ；各；めいめい；てんでに</t>
        </is>
      </c>
      <c r="H1157" t="n">
        <v>29</v>
      </c>
      <c r="I1157" t="inlineStr">
        <is>
          <t>しかし拙者はまだおのおののためにいかほどの力もいたしておりません。；不意におのおのの体内で何か重い塊りがどしんと落ちたような気がした。；国民はおのおの自己のよしと思うところをたずねて動きはじめました。；おのおののチームは1レースあたり3台までの戦車をもつことができた。；そのおのおのには、内側のものと外側のものとの脈帯の襞が違っている。；人生に区切りをつけるのは人おのおのの勝手だとひとりで合点していた。；そのおのおのが持っている任務と力量とを彼は指揮官のように知っていた。；おのおのその扮装をした捕方の人数だと認めないわけにはゆきません。；観衆はその言葉を無限の方向からそのおのおのの立場のもとに受けとる。；そして、この宇宙のおのおのから、他の宇宙が生まれ出るのかもしれない。；そして結婚と連合がおのおのの利益になるとの考えが生まれた。；讃える者も難じる者も同じ箇所を見ておのおのの判断を下しているのである。；だが、おのおのの地上世界の住人たちは自分たちの言語で呼んでいた。；二人はそれをとがった石でこじ開けて、おのおの貝殻を一枚ずつとった。；それから二人とも一言も交じえないでおのおの自分の室に退きました。；それらが皆違った色に塗られていて、おのおのの形が刻々に変わって行く。；部下三百の者も、同時に、自由を与えられて、おのおの遠く散らかった。；この二人の人物はおのおの、反対派の陣営から怪物あつかいされていた。；同盟内の仕事はおのおのの部署にあり班会にあり実にうんと用事がある。；ここに参詣するものは、おのおのクマデを買って帰ることになっている。；おのおの十人や十二人、人を殺したことのないものはないのである。；彼らはおのおの、これまで自分でも気づかなかった巨大な財宝をもち寄った。；そういう際に、諸国がおのおのの国主の判断で戦をしてよいものか。；模様を描いた皮の長衣に、おのおの恐ろしい形相の仮面をつけている。；おのおのの地区はいくつかの小学校区域、中学校区域 それから高校区域である。；おのおの特別な解答を用意してくれていたからにほかならないのだ。；そのおのおのの点から平均m本の線を引いて他のm個の点に結ぶ。；二人はおのおの両側のドアをさっと開け、頭を低くして飛び出した。；同年、ソビエト連邦構成共和国のおのおのの旗にも鎌と槌は適用された。</t>
        </is>
      </c>
      <c r="J1157">
        <f>HYPERLINK("https://www.weblio.jp/content/おのおの", "词义详情")</f>
        <v/>
      </c>
      <c r="K1157">
        <f>HYPERLINK("https://yourei.jp/おのおの", "查看例句")</f>
        <v/>
      </c>
    </row>
    <row r="1158">
      <c r="A1158" t="inlineStr">
        <is>
          <t>自ずから</t>
        </is>
      </c>
      <c r="B1158" t="inlineStr">
        <is>
          <t>成功</t>
        </is>
      </c>
      <c r="C1158" t="inlineStr">
        <is>
          <t>読み方：おのずから
［副］《「己(おの)つ（格助詞）柄(から)」の意》
１そのもの自体の力、成り行きに基づくさま。自然に。ひとりでに。おのずと。「この誤解は時が来れば—解ける」
２偶然。たまたま。まれに。
「—礎ばかり残るもあれど」〈徒然・二五〉
３（下に仮定・推測の語を伴って）もしも。ひょっとすると。万一。
「—平家の事あしざまに申す者あれば」〈平家・一〉
４みずから。
「—祈らずとも神ゐます宮のわたしは浪風(なみかぜ)もなし」〈滑・膝栗毛・四〉</t>
        </is>
      </c>
      <c r="D1158" t="inlineStr">
        <is>
          <t>自ずから異なる；自ずから現われ；自ずから鳴る</t>
        </is>
      </c>
      <c r="E1158" t="inlineStr">
        <is>
          <t>自然；自然に；おのずから；ひとりでに；おのずと</t>
        </is>
      </c>
      <c r="H1158" t="n">
        <v>29</v>
      </c>
      <c r="I1158" t="inlineStr">
        <is>
          <t>爪には自ずから巻く力があり、歩くことで逆に巻きを広げる力がかかる。；その反応はしたがって通常の死体の反応とは、自ずから異なっている。；もう、あなたは父親としての資格を自ずから放棄されたのではありませんか。；しからば後に陰陽町に移ったという中尾氏等とは自ずから別の家らしい。；方法なんて知らなくても、望めば自ずから力は発揮される気がした。；ぼくたち高校生にとって、学校という小世界の内と外は自ずから異なる。；しかるにこの戸を開けばたちまち自ずから閉ずる製ゆえ何ともならず。；そうすれば凶作問題なども自ずから解決の途につくはずであろう。；従って一局地で使用できる飛行機の数には、自ずから制限がある。；口数を少なくする目的が自ずから異なっているところが面白い。；それは無論であるが、時と場所とで、自ずから制限されるのもまた当前である。；四人法に依りて此の薬を和合し、自ずからその身を翳し、游行自在なり。；そこから自ずから彼は表具もやれば刀を採って、木彫篆刻の業もした。；北洲の人大小便すれば自ずから地下に没し、その地清潔で糞臭の処なし。；一人の教育と一国の教育とは自ずから区別なかるべからず。；地震の科学的研究に従事する学者でも前述のような自己本位の概念をもっていることは勿論であるが、専門の科学上の立場から見た地震の概念は自ずからこれと異なったものでなければならない。；以上のような瑜伽に習熟すれば瑜伽業者は自ずから瞋金剛となるであろう。；結婚後は自宅で関係者を集めてパーティを開き、そこが自ずから社交場となった。；しかし、制作費には自ずから枠というものがあり、良い歌手を使わせて貰えない。；一体学級の出来栄えには自ずから一定の平均値があってその上下に若干の出入りがある。；もしそれがもっと高尚な心の中に生ずると、その方法もまた自ずから高尚になった。；この言葉は事前に用意していた言葉ではなく、ファンの「お帰り」の声が胸に響いて自ずから出た言葉だったという。；而して家の本は夫婦であるから、自ずから風俗の本は更に夫婦であるという結論になる。；この点において人間以外のものを取扱う場合とは自ずから異なる取扱い方の区別が生じる。；もちろん、孤立無援の一技師の能力には自ずからなる限界がある。；こういう疑問が自ずから起らぬを得ないのである。；戦いを好む国ではないという事が分って、世界の誤解も自ずから解けるのである。；車体が自ずから燐光を放っているようにも見える。；これらの点や先生の訳詩語彙と江戸文芸との自ずからな関係など適当な人を得て更に詳しい解説や研究も欲しいものである。</t>
        </is>
      </c>
      <c r="J1158">
        <f>HYPERLINK("https://www.weblio.jp/content/自ずから", "词义详情")</f>
        <v/>
      </c>
      <c r="K1158">
        <f>HYPERLINK("https://yourei.jp/自ずから", "查看例句")</f>
        <v/>
      </c>
    </row>
    <row r="1159">
      <c r="A1159" t="inlineStr">
        <is>
          <t>自ずと</t>
        </is>
      </c>
      <c r="B1159" t="inlineStr">
        <is>
          <t>成功</t>
        </is>
      </c>
      <c r="C1159" t="inlineStr">
        <is>
          <t>読み方：おのずと
［副］ひとりでに。おのずから。「繰り返し読めば—意味がわかってくる」</t>
        </is>
      </c>
      <c r="D1159" t="inlineStr">
        <is>
          <t>自ずとわかる；自ずと決まってくる；自ずと閉ざさ；自ずと限ら</t>
        </is>
      </c>
      <c r="E1159" t="inlineStr">
        <is>
          <t>自然；自然に；おのずから；ひとりでに；おのずと</t>
        </is>
      </c>
      <c r="H1159" t="n">
        <v>29</v>
      </c>
      <c r="I1159" t="inlineStr">
        <is>
          <t>私は静かに門のそとに立って戸の自ずとあくのを待ちたくも思いました。；良いものがあれば平気で導入するから、自ずと似たような車が出てくる。；しかし、その権限の行使には自ずと一定の制約があるのは当然のことだ。；マラソンとて同じだ、自ずとこの旅で明美はそのことを学ぶはずだった。；君たち七人が最後の一人となった時、聖杯は自ずと勝者の元に現れよう。；それが手に入れば方法も自ずと決まってくるかもしれないとも。；これは、鼻の下にある口を開けば、自ずと道が開けるという意味らしい。；そこで道は自ずと低くなっていたから、僕と流とは近づいて来た。；もしもそれがなければ、自ずと私の立場は異なっていたのではないかと思う。；人がそれらの現象に接する機会も自ずと少なくなることだろう。；一首の歌が自ずと私の口を突いて出たのもその時でございます。；文字、写真、絵等が記載された表示面には、自ずと上方と下方が生じる。；社交的で話し好きである人ほど、容易に自ずと選択されたであろう。；だが実際に利用する段になると、自ずと分かってくるものである。；そのため、過激派活動も自ずと縮小せざるをえない状況に追い込まれた。；物質の金銭価値が、自ずと自分の心を語ってくれると信じているからである。；子供の時分からそういう環境で揉まれていれば、肩も自ずと鍛えられる。；そう考えると自ずと湧いてくる恐怖に身を委ねながら、美音子は叫んだ。；狭い敷地に無理やり打ち建てた雑居ビルとは、自ずと格が異なっていた。；そうなれば、唐の国は、内部から自ずと崩れていってしまうでしょう。；広大な地と、高燥な軽い空気は、自ずと住む人間の心を快活に致します。；生きているということのうちに、自ずと純粋に、生の充実を感ずるのだ。；と知らず知らず、別にそんな気持もないのに、足が自ずと墓地の方に向いて行った。；そうなれば、自ずと周りの人との関わり方も変質せざるを得ません。；地球の重力に影響される低軌道では、回避パターンも自ずと限られてくる。；島にいるはずの人間が一人いなくなったわけだから、疑いは自ずとそちらへ向けられた。；それは、眼前の彼の歌の美しさから自ずと生れて来る彼の歌の観念の様に思われる。；すると、ちょうどそこで皆が夜を迎える場所というのが自ずと出来上がる。；それは自分達が選択してきめることの出来る道ではなく、強いられて自ずと入る道である。</t>
        </is>
      </c>
      <c r="J1159">
        <f>HYPERLINK("https://www.weblio.jp/content/自ずと", "词义详情")</f>
        <v/>
      </c>
      <c r="K1159">
        <f>HYPERLINK("https://yourei.jp/自ずと", "查看例句")</f>
        <v/>
      </c>
    </row>
    <row r="1160">
      <c r="A1160" t="inlineStr">
        <is>
          <t>伯母</t>
        </is>
      </c>
      <c r="B1160" t="inlineStr">
        <is>
          <t>成功</t>
        </is>
      </c>
      <c r="C1160" t="inlineStr">
        <is>
          <t>読み方：おば
《「小母(おば)」と同語源》父母の姉や妹。また、父母の兄弟の妻。父母の姉には「伯母」、妹には「叔母」の字を用いる。⇔伯父(おじ)。</t>
        </is>
      </c>
      <c r="D1160" t="inlineStr">
        <is>
          <t>伯母さん(23%)；伯母さま(3%)；伯母たち；伯母夫婦；伯母ちゃん</t>
        </is>
      </c>
      <c r="E1160" t="inlineStr">
        <is>
          <t>叔母；叔母さん；伯母さん；伯母さま；叔母様</t>
        </is>
      </c>
      <c r="F1160" t="inlineStr">
        <is>
          <t>アガサ伯母；ポリー伯母；雪伯母；絵羽伯母；伯父伯母</t>
        </is>
      </c>
      <c r="G1160" t="inlineStr">
        <is>
          <t>伯母峰峠；伯母峰トンネル；伯母ヶ峰；伯母殺人事件；伯母子峠</t>
        </is>
      </c>
      <c r="H1160" t="n">
        <v>29</v>
      </c>
      <c r="I1160" t="inlineStr">
        <is>
          <t>そのほかに伯母が一人いて、それが特に私のめんどうをみてくれました。；一体誰が来たのだろうと思って飛んで行くと、田舎の伯母さんが来たのだ。；やがて湯島の伯母の家の路次口に入って行ったのが、九時近くであった。；私は 伯母さんといつしよにおもちや箱をもつて出てゆく といつた。；伯父もお雪伯母もその日の朝から宮川町のお文伯母の住居へ行つて居た。；伯母がいなかったら、今日のような私ができたかどうかわかりません。；ふたりはようやく家へはいった、そうして伯母を起こして仔細を語った。；その又僕の枕もとには妻と伯母とが差向ひに庭の向うの海を見てゐた。；その女たちの中には、彼の母アガウエーや伯母イーノーも含まれていた。；自分は客と話しながら、入院の支度を急いでいる妻や伯母を意識していた。；お雪伯母は私の顔に墨を塗つて置いて、態と伯父の所へ私をやつたのだ。；なおこの天守火災は当時、藩主・信枚の伯母の祟りだと信じられていた。；一生独身だつた彼の伯母はもう彼の二十歳の時にも六十に近い年よりだつた。；不安になったレイチェルはナチェズの伯母の元に避難することを決めた。；一生獨身だつた彼の伯母はもう彼の二十歳の時にも六十に近い年よりだつた。；兄の孝太郎は伯母の存在を認識していたが、進次郎には伝えていなかった。；伯母さんは私を育てるのがこの世に生きてる唯一の楽しみであつた。；伯母さんはその子と僕とにちょいちょい英語や数学を教えてくれた。；母は心配そうにこのありさまを見ていた、伯母はすでに寝てしまったらしい。；私は女がそういうふうをしているのを新宿で見たことを伯母さんにはなした。；実家は兄弟が多く貧しかったことから、幼少の頃に伯母の家に身を寄せた。；帰国後の12歳の時に伯母の影響でカトリック夙川教会で洗礼を受けた。；伯母さんの方に権利はあるんだが、きっとお前に許してくれるよ。；そして厳格な伯母達の下で暮らしたこの時期はあまり幸せではなかったらしい。；家族は娘二人と、いつも茶の注ぎ役になっているその伯母であった。；そして旦那も変つてゐたことも、私は宿にしてゐた六条の伯母の家で聞いてゐた。；名古屋の伯母さんは昨夜、この子の母に長距離の電話をかけていた。；いまだに伯母の家に厄介になっている健一の薄給ではどうにもならない。；それと同時に伯父さん伯母さん達は、他の村へ越して行つたと云ふことでした。</t>
        </is>
      </c>
      <c r="J1160">
        <f>HYPERLINK("https://www.weblio.jp/content/伯母", "词义详情")</f>
        <v/>
      </c>
      <c r="K1160">
        <f>HYPERLINK("https://yourei.jp/伯母", "查看例句")</f>
        <v/>
      </c>
    </row>
    <row r="1161">
      <c r="A1161" t="inlineStr">
        <is>
          <t>叔母</t>
        </is>
      </c>
      <c r="B1161" t="inlineStr">
        <is>
          <t>成功</t>
        </is>
      </c>
      <c r="C1161" t="inlineStr">
        <is>
          <t>読み方：おば
《「小母(おば)」と同語源》父母の姉や妹。また、父母の兄弟の妻。父母の姉には「伯母」、妹には「叔母」の字を用いる。⇔伯父(おじ)。</t>
        </is>
      </c>
      <c r="D1161" t="inlineStr">
        <is>
          <t>叔母たち；叔母様；叔母さま；叔母夫婦；叔母君</t>
        </is>
      </c>
      <c r="E1161" t="inlineStr">
        <is>
          <t>伯母；叔母さん；伯母さん；伯母さま；叔母様</t>
        </is>
      </c>
      <c r="F1161" t="inlineStr">
        <is>
          <t>ケイト叔母；リゾン叔母；若い叔母；ジューリア叔母；メディ叔母</t>
        </is>
      </c>
      <c r="H1161" t="n">
        <v>29</v>
      </c>
      <c r="I1161" t="inlineStr">
        <is>
          <t>父は朝鮮にいってしまい、祖母と一番末の叔母との三人暮らしだった。；本の多くは教師をしていた叔母の家で手にすることができた。；仁宗の立場で見ると、自分は自身の叔母と結婚していたのであった。；しかし、ある日突然行き先を誰にも告げずに娘と叔母の三人で姿を消す。；なお居住した家は叔母が経営したタバコ・酒類販売店の上にあった。；この年の夏に叔母一家が東京から帰省した際に東京の空気に触れる。；それからは意地悪な叔母のプリスティン・フィッグと二人で暮らしていた。；実際、この事務所には占い師の母親と叔母とその長男が居住していたとされる。；母や叔父、叔母は元学校教員であり、2人の姉も高等学校教員となった。；同じころ、兄らが旅行していたために叔母の世話をしていた。；叔母には子がおらず、自身も老いたので、身寄りが欲しかったのである。；彼は、ロンドンの母親の叔母と祖母と一緒に住むようになった。；小学校2年生のとき口減らしのために一時叔母・マツの家に預けられた。；理事長を務めているのは妹之山兄弟の叔母に当たる人物である。；ある日のこと、数日前に家が火事となり仕方なく叔母の家に向かう大村猛。；妻が豊臣秀吉の叔母にあたることから召し出されて、家臣として仕えた。；彼女の父と叔母は亡くなり、ボゴタにいて難を逃れた彼女の母親は語った。；結局父はその娘と結婚し、叔母の所有するロンドンの大店舗を受け継ぐ事になる。；幼くして叔母の石井家に養女に出され、弟妹たちとは異なる生活を送る。；子に恵まれなかった久暢は、叔母の子を養子に迎えて久忠と名乗らせた。；ある日、叔母の優花が仕事の都合で、友宏の隣部屋に住むことになる。；釜山へと渡ったドクスら一家は、国際市場にある叔母の店で働くようになる。；幼い頃に両親を亡くしたので、スイスに住む叔母によって育てられた。；叔母のマリー・ムーディ・エマーソンが、彼に特に深く影響を与えた。；少年の叔母は彼が挑発的な服装の女性と一緒にいることに驚き、母親に警告した。；タイの音楽の家庭に生まれ、母親、叔母、叔父がピアノを弾いていた。；叔母は聖職者に向いていると考え、最良の教育を受けさせる方法を捜した。；主人公・小鳥遊 一樹は、幼少時に両親を失い、叔母夫婦に育てられた。；その後さらに父親を12歳の時に癌で失い、唯一残ったのは叔母夫婦であった。</t>
        </is>
      </c>
      <c r="J1161">
        <f>HYPERLINK("https://www.weblio.jp/content/叔母", "词义详情")</f>
        <v/>
      </c>
      <c r="K1161">
        <f>HYPERLINK("https://yourei.jp/叔母", "查看例句")</f>
        <v/>
      </c>
    </row>
    <row r="1162">
      <c r="A1162" t="inlineStr">
        <is>
          <t>おばあさん</t>
        </is>
      </c>
      <c r="B1162" t="inlineStr">
        <is>
          <t>成功</t>
        </is>
      </c>
      <c r="C1162" t="inlineStr">
        <is>
          <t>読み方：おばあさん
老年の女性を親しみ、また敬っていう語。⇔御爺(おじい)さん。</t>
        </is>
      </c>
      <c r="D1162" t="inlineStr">
        <is>
          <t>おばあさんたち；おばあさん達；おばあさん役；おばあさんみたい</t>
        </is>
      </c>
      <c r="E1162" t="inlineStr">
        <is>
          <t>老婆；婆；老女；老婦人；ババ</t>
        </is>
      </c>
      <c r="F1162" t="inlineStr">
        <is>
          <t>大阪おばあさん；悪いおばあさん；ルフェイおばあさん</t>
        </is>
      </c>
      <c r="G1162" t="inlineStr">
        <is>
          <t>おばあさん仮説；おばあさんのひこうき；おばあさんの虫眼鏡；おばあさん細胞説</t>
        </is>
      </c>
      <c r="H1162" t="n">
        <v>29</v>
      </c>
      <c r="I1162" t="inlineStr">
        <is>
          <t>あたりを見まわしますと、そばにひとりのおばあさんが立っていました。；おばあさんもなぜそんなに腹が立つのか、自分でもわかりませんでした。；おばあさんは、いい人でありましたから、いやだとはいえませんでした。；あの子のおばあさんは、とてもあの子のことを心配していたのだそうです。；途方もない音だがそれがあのおばあさんと何か関係を持っているのだ。；それもそのはず、このおばあさんはまほうをかけることができたのです。；そして・・・ 何事もなかったかのようにおばあさんは歩き出した。；それで、とうとう、女の子はおばあさんにじぶんの気持ちを話しました。；これはおばあさんと同樣守つて行かなければならない存在なのである。；宿の二階の窓から、おばあさんが顔を出してこっちを眺めているのであった。；父はときどき大阪おばあさんに連れられては寄席などに出かけていた。；二人がおばあさんになり、おじいさんになっても抱かれているのである。；少女は、おばあさんなので安心して、つい自分の身の上を語ったのです。；ただ・・・・そうすると、おばあさんが轢かれてしまうような気が・・・。；家では祖母と区別するために、この人のことを大阪おばあさんと呼んでいた。；少女は、しんせつなおばあさんだと思って、その夜は別れて帰りました。；でも、わたし、おばあさんがこんなことをいったのを、おぼえています。；私は先生に大阪おばあさんを祖母だと思われたことが恥しくてならなかった。；この村の人たちは、おばあさんが金持ちだということを知っていました。；おばあさんはおこったような顔をして、うでをふりあげていいました。；おばあさんがその桃を持って帰ると、中から元気な男の子が出てきた。；そして流しの下のおばあさんの骨をかかえて、おいおい泣いていました。；「私はひとりのおばあさんを知っていました」お月さまは話しだします。；あなたはそのおばあさんをいったいだれだとお思いになりますか?；無事でいればもうずいぶんおばあさんになっていることであろう。；そしておばあさんは、夜も外で寝なければならない位になりました。；おばあさんは、この広間を、じぶんの目で見たいとねがっていたのです。；おばあさんが轢かれてしまうのは、なんとしても避けなくちゃ・・・。；おばあさんが話したかったこととは大いに異なったかもしれない。</t>
        </is>
      </c>
      <c r="J1162">
        <f>HYPERLINK("https://www.weblio.jp/content/おばあさん", "词义详情")</f>
        <v/>
      </c>
      <c r="K1162">
        <f>HYPERLINK("https://yourei.jp/おばあさん", "查看例句")</f>
        <v/>
      </c>
    </row>
    <row r="1163">
      <c r="A1163" t="inlineStr">
        <is>
          <t>帯</t>
        </is>
      </c>
      <c r="B1163" t="inlineStr">
        <is>
          <t>成功</t>
        </is>
      </c>
      <c r="C1163" t="inlineStr">
        <is>
          <t>読み方：おび
《身に帯びるものの意》
１和服を着るとき、腰の辺りに巻いて結ぶ細長い布。「—を結ぶ」「—を緩める」
２岩田帯。また、それを巻くこと。
３1に似た形のもの。帯紙の類。
４「帯番組」の略。
５太刀。
「二つなき宝にめで給ふ—あり」〈読・雨月・蛇性の婬〉</t>
        </is>
      </c>
      <c r="D1163" t="inlineStr">
        <is>
          <t>帯色；帯模様；帯型；帯番組；帯文</t>
        </is>
      </c>
      <c r="E1163" t="inlineStr">
        <is>
          <t>バンド；群れ；三尺；囃子；徒党</t>
        </is>
      </c>
      <c r="F1163" t="inlineStr">
        <is>
          <t>時間帯；価格帯；波帯；大所帯；横帯</t>
        </is>
      </c>
      <c r="G1163" t="inlineStr">
        <is>
          <t>帯びる；帯同；帯状；帯刀；帯域</t>
        </is>
      </c>
      <c r="H1163" t="n">
        <v>29</v>
      </c>
      <c r="I1163" t="inlineStr">
        <is>
          <t>ただし二等客室部分は帯の色が当時の二等客車と同様の青となっている。；石のころがる山地が帯のように続くところからこの名があると見られる。；その壁画に描かれた服の帯は革でなく織物ではないかと推測されている。；なお249編成では幕板部の帯が表記類を避けた高い位置となっている。；新規に投入された冷暖房車には、黄色地に赤帯の専用塗装が採用された。；携帯ラジオ用のスピーカーは絶対に大きくて重いものであってはならない。；旗には、4本の帯が付けられており、コモロの4つの島を意味している。；昼間帯のみの駅員配置だった時期もあるが、現在は終日配置となっている。；時間帯によって多少異なるが、主な編成パターンは下記の通りになっていた。；日本で自生するものはブナ林域などの冷温帯の渓流などに多く見られる。；また、ヘルメットや弾帯を白くする等で目立つようにしている場合もある。；高価格帯の輸出を後押しするため輸出専用の免許が設定されている。；ただし、本の帯などでミステリ作品にあるまじき種明かしがされている。；段級位制や色帯制が導入されると同時に、練習体系の合理化も進んだ。；帯域外データの概念は現在のインターネット向けの設計ではない。；奥の二人の兵士の足元にあるコンクリートの帯が軍事境界線を表している。；しかしこの時間帯の上りの速達列車は、やはり30分に1本程度である。；太平洋は沈み込み帯にほぼ全てぐるりと囲まれている唯一の海である。；縞模様の中心の次の帯は の位置、つまり中心から だけ離れた位置にできる。；昼間帯以降の快速急行は急行へ変更され、設定は朝方の数本のみとなる。；ただし、現在既刊に統一された帯・キャッチコピーは付属していない。；どの級も同じ時間帯に試験を行うので、複数級の受験はできない。；子供時代は父親の影響で柔道もしており、11歳の時に茶帯だった。；鴨緑江と松花江一帯を取り囲む大陸内に様々な種族が住んでいたのです。；今はもうすっかり携帯も通じるようになったので、あれは通用しませんね。；平日昼間帯のみ全車一般車で、それ以外は一部特別車で運行されている。；顔は白いが目は黒く、さらに目の後ろから喉を通る黒い帯模様があるのが特徴である。；近鉄線とJR線との間にはJRの夜間帯泊用の線路があり、距離は長い。；このセットからは朝帯のCNN関連番組も放送されていた。</t>
        </is>
      </c>
      <c r="J1163">
        <f>HYPERLINK("https://www.weblio.jp/content/帯", "词义详情")</f>
        <v/>
      </c>
      <c r="K1163">
        <f>HYPERLINK("https://yourei.jp/帯", "查看例句")</f>
        <v/>
      </c>
    </row>
    <row r="1164">
      <c r="A1164" t="inlineStr">
        <is>
          <t>怯える</t>
        </is>
      </c>
      <c r="B1164" t="inlineStr">
        <is>
          <t>成功</t>
        </is>
      </c>
      <c r="C1164" t="inlineStr">
        <is>
          <t>読み方：おびえる
［動ア下一］［文］おび・ゆ［ヤ下二］
１怖がってびくびくする。「飛行機の爆音に—・えて子供が泣く」「不安に—・える」
２悪夢にうなされて目を覚ます。
「物におそはるる心地して、やと—・ゆれど」〈源・帚木〉</t>
        </is>
      </c>
      <c r="D1164" t="inlineStr">
        <is>
          <t>怯えることなく；怯える様子もなく</t>
        </is>
      </c>
      <c r="E1164" t="inlineStr">
        <is>
          <t>恐れる；ぞっとする；怖れる；怖がる；たじろぐ</t>
        </is>
      </c>
      <c r="H1164" t="n">
        <v>29</v>
      </c>
      <c r="I1164" t="inlineStr">
        <is>
          <t>この前の時には、あなたがなんだかひどく怯えられたようだったもんで。；珍しい儀式を目撃したくらいのことで、そんなに怯える人がありますか。；そして、その怯えた表情は、今後長く彼らの顔に残るだろうと思われた。；今回の疑獄に怯えて自分の権利を投棄するようなことがあってはならぬ。；彼は誰かを怯えさせているというようなことは夢にも思っていなかった。；日本にいる時から、この子供は女性から一種の怯えをもって見られていた。；住民を怯えさせるカールを説得して二人で生まれ故郷を出る事になった。；それは弱い人間が自分の影に怯えてした行為のようなものであった。；私がその顔の色と、怯えた様子とてはなかったそうでございましてな。；犯人が出てきた店を確認すると、2人の死体と物陰に怯える少年がいた。；身体が人並み以上に大きな大人の怯えた声を聞くのは初めての経験だった。；ただ恐怖に怯える三十男が、ただの司教に過ぎない痩せ男がそこにいた。；私は怯える必要はないからもう一度やってみろと説得しやらせてみました。；怯えるでもなく敵意を示すでもなく、犬は興味深げにこちらを見ていた。；第一に彼はつまらないことに怯えている子供のように見られたくなかった。；だれも予想できるように、少年はこの質問に怯えて沈黙してしまった。；今日は奇妙に怯えていたといいますが、何か脅迫されていたのでしょうか。；イモジェンは少し離れた位置にいて、苛立ち怯えたような顔をしていた。；近隣の子からは泣かされ、あの辻には大きな黒犬がいると言って怯える。；なによりもわたしを怯えさせたのは、その短い言葉「ただし」であった。；以前にも、彼女が怯えたとき、同じようなことが起こったのを知っていた。；内容こそ変っているが、いまのおれは苅田壮平と同じように怯えている。；その質問がこの小さな火蜥蜴を怯えさせることがわかっていたからだ。；自分がこれまでどんな風に生きてきたかを知れば、ななせは怯えるだろう。；住民の多くは未だに戦争への恐怖を抱えており、緑色の制服に怯えていた。；かれらは竜の吐く炎に追われたことを思い出して怯えているのだと。；かといって眼前の敵に怯えるわけでもなく、いつもどおりに自信満々だ。；分かりやすく雪口うと、迷子になって怯える子供に接するような感じで。；どうやら、才人が後ろにのけぞったことで怯えていると誤解したらしい。</t>
        </is>
      </c>
      <c r="J1164">
        <f>HYPERLINK("https://www.weblio.jp/content/怯える", "词义详情")</f>
        <v/>
      </c>
      <c r="K1164">
        <f>HYPERLINK("https://yourei.jp/怯える", "查看例句")</f>
        <v/>
      </c>
    </row>
    <row r="1165">
      <c r="A1165" t="inlineStr">
        <is>
          <t>夥しい</t>
        </is>
      </c>
      <c r="B1165" t="inlineStr">
        <is>
          <t>成功</t>
        </is>
      </c>
      <c r="C1165" t="inlineStr">
        <is>
          <t>読み方：おびただしい
［形］［文］おびただ・し［シク］《近世中期まで「おびたたし」》
１数や量が非常に多い。ものすごい。「—・い人出」
２（「…することおびただしい」の形で）程度がはなはだしい。ひどい。激しい。多く悪い意味に使う。「だらしのないこと—・い」
３非常に盛んである。
「乱声(らんじゃう)鼓、物の音(ね)、ひとたびに打ち吹き、弾き合はせたり。—・しくめでたし」〈宇津保・吹上下〉
[派生]おびただしげ［形動］おびただしさ［名］</t>
        </is>
      </c>
      <c r="D1165" t="inlineStr">
        <is>
          <t>夥しい数(14%)；夥しい血(3%)；夥しい量(2%)；夥しい人間；夥しい出血</t>
        </is>
      </c>
      <c r="E1165" t="inlineStr">
        <is>
          <t>多い；巨大；大きい；恐ろしい；過剰</t>
        </is>
      </c>
      <c r="F1165" t="inlineStr">
        <is>
          <t>事夥しい；夥しい犠牲；夥しい星；夥しい花；夥しい群集</t>
        </is>
      </c>
      <c r="H1165" t="n">
        <v>29</v>
      </c>
      <c r="I1165" t="inlineStr">
        <is>
          <t>日本や中国では夥しい数の退蔵銭が壷などに入って出土することがある。；戦後になって世間に夥しいダイヤが出た事実は、どう説明したらよいか。；ならばその夥しい水の量こそが海を海たらしめていると云うことだろうか。；他の部分の山川草木はすべて眠っているのに、そこばかりは夥しい火だ。；いつか灯のついた省線のガラス窓には、夥しい男の顔が重り合っている。；自殺者が着地したとみられる駐車場の一角は夥しい花で埋められていた。；秋と冬と同時に動くこの山頂で夥しい色鳥の空わたるのを聞くだけだつた。；ある時代には、頭も心もすべて夥しくリアリスチツクになるものである。；建設まだ半年というのに、ここから陸揚げされた荷は夥しいものだった。；さういふところには魚の子共が非常に夥しい大群を成して集つてをる。；見物してから十分も経つてゐなかつたが、次々に知人の顔が夥しかつた。；都会には多くの女子の学校があり、生徒と教師の数も夥しいものです。；行ってみると、夫は自分が吐いた夥しい血の中に、顔を埋めて倒れていた。；この奥、いつもの路地裏から夥しいまでの血の匂いが流れてきていた。；どこに行っても、夥しいほどの光とむせかえるような草いきれがあった。；さてその日も暮れかかってくると、普通のやんまが夥しく集まってくる。；甲板の上から見ると、夥しい海鳥の群が此の低い珊瑚礁島を蔽うてゐる。；赤い屋根が竹細工のようにたわみ、夥しい数の瓦を宙に投げあげていた。；僕はほら地名や職業の名や数字を夥しく作品の中にばらまくでしょう。；アンガラ川は完全に凍っていて、その上を夥しい数の馬橇が走っていた。；その頭の置かれてあった地面には、夥しい血潮が赤黒く固っていました。；見ている間に、次々に黄金色の虫たちが集まってきて、夥しい数となった。；入口の扉や、窓の隙間から驚くほどに夥しい雪が吹き入っていた。；夥しい量の著作を書き上げたが、その内出版されたものはごく僅かであった。；甲板の上から見ると、夥しい海鳥の群がこの低い珊瑚礁島を蔽うている。；すると、彼女が発見のできにくいこれらの夥しい本の間がおかしい。；夥しい数の人間が今この瞬間にも、死んでいるかもしれないのだ。；昨夜の今日なので、まだ現場は夥しい関係者やファンでごった返している。；その研究所につながっている母屋の二階には夥しい骨董類が集められていた。</t>
        </is>
      </c>
      <c r="J1165">
        <f>HYPERLINK("https://www.weblio.jp/content/夥しい", "词义详情")</f>
        <v/>
      </c>
      <c r="K1165">
        <f>HYPERLINK("https://yourei.jp/夥しい", "查看例句")</f>
        <v/>
      </c>
    </row>
    <row r="1166">
      <c r="A1166" t="inlineStr">
        <is>
          <t>脅かす</t>
        </is>
      </c>
      <c r="B1166" t="inlineStr">
        <is>
          <t>成功</t>
        </is>
      </c>
      <c r="C1166" t="inlineStr">
        <is>
          <t>読み方：おどかす
［動サ五（四）］
１怖がらせる。脅迫する。おどす。「有り金全部置いていけと—・す」
２びっくりさせる。驚かす。「隠れていて—・してやろう」
[可能]おどかせる</t>
        </is>
      </c>
      <c r="D1166" t="inlineStr">
        <is>
          <t>脅かす可能性</t>
        </is>
      </c>
      <c r="E1166" t="inlineStr">
        <is>
          <t>威嚇；恐喝；脅す；威嚇する；脅迫する</t>
        </is>
      </c>
      <c r="H1166" t="n">
        <v>29</v>
      </c>
      <c r="I1166" t="inlineStr">
        <is>
          <t>しかし君の家が近くなるにつれて妙に君の心を脅かし始めるものがある。；そして人々の近づく足音に脅かされて法師は逃げていってしまいました。；去年から今まで脅かされつづけて、いつたい彼は何をしていたのだろう。；それだから国家を脅かす敵としてこれほど恐ろしい敵はないはずである。；巣が脅かされたときに生じるので、防衛的な行動と解釈することが多い。；そんなことのためにわれわれの生活が脅かされるなんて我慢できない。；セ・ネドラの生命を脅かす企てが行なわれたのは翌日の朝のことだった。；するとその熱が必ず肺病の前兆でなければならないように彼を脅かした。；だから、何もわからないながらも、私はたしかにこの言葉に脅かされた。；しかし、それだけが今のわたしを脅かしている最大の脅威ではなかった。；私に取っては存在を脅かされる重要なことなのですからやむをえません。；すると青江は、きっとあたしを脅かして何かいわせたいためなんでしょ?；このため彼等の生存を脅かすような環境の変化などが起きた可能性はある。；なにも知らない観光客をまた脅かしてやったと得意げに言っていたという。；この報を受けるや背後を脅かされたアモーリーは撤退を余儀なくされた。；それで、女が、妻の座にいる周子を脅かそうとしているのかもしれない。；直接人間の生命を脅かしたりしない場合でも、事故と呼ばれる場合がある。；私はしかしこんどは何かに脅かされてでもいるように泣きじゃくっていた。；すると手にしたそのパンまでいよいよひとつの脅かしに見えてきた。；深く侵された両の肺は、どうやら彼女の生命を脅かすようになって来た。；その努力は空回りして、逆に彼女の命を脅かしてしまったのだとしても。；自分を脅かされていると感じるものの対象がはっきりするわけです。；ここにアメリカは初めて、イギリスの世界一の座を脅かすこととなった。；脅かす FF3 敵のレベルを下げて敵を逃亡させやすくするコマンド。；鳴き声をあげたりして、暗い夜道を歩いている人などを脅かすともいう。；脅かすつもりはなかったんだけど、ちょうど窓から君が見えたからさ。；誰かがそういう立場に立てば、このわたくしの地位が脅かされかねません。；ときどき私達を脅かしているものの方へ押し戻されそうになりながら。；その中であらゆるものの影がサンセヴィーノとなって私を脅かすのだ。</t>
        </is>
      </c>
      <c r="J1166">
        <f>HYPERLINK("https://www.weblio.jp/content/脅かす", "词义详情")</f>
        <v/>
      </c>
      <c r="K1166">
        <f>HYPERLINK("https://yourei.jp/脅かす", "查看例句")</f>
        <v/>
      </c>
    </row>
    <row r="1167">
      <c r="A1167" t="inlineStr">
        <is>
          <t>お昼</t>
        </is>
      </c>
      <c r="B1167" t="inlineStr">
        <is>
          <t>成功</t>
        </is>
      </c>
      <c r="C1167" t="inlineStr">
        <is>
          <t>読み方：おひる
１「昼」の美化語。
㋐正午。
㋑昼食。「—の支度をする」
２起きることをいう尊敬語。お目覚めになること。→御昼(おひる)成る
「—より先にと急ぎ参りたれば」〈中務内侍日記〉</t>
        </is>
      </c>
      <c r="D1167" t="inlineStr">
        <is>
          <t>お昼すぎ(5%)；お昼ごろ(5%)；お昼近く(2%)；お昼時；お昼どき</t>
        </is>
      </c>
      <c r="E1167" t="inlineStr">
        <is>
          <t>昼；正午；午；ランチ；真昼</t>
        </is>
      </c>
      <c r="F1167" t="inlineStr">
        <is>
          <t>一緒にお昼；毎日お昼；お昼近い；お昼抜き；お昼寝部屋</t>
        </is>
      </c>
      <c r="G1167" t="inlineStr">
        <is>
          <t>お昼のゴールデンショー；お昼のテレビ小説；お昼はいただきミュージックランチ；お昼のマイテレビ；お昼の休憩時間</t>
        </is>
      </c>
      <c r="H1167" t="n">
        <v>29</v>
      </c>
      <c r="I1167" t="inlineStr">
        <is>
          <t>お昼に電話をかけてきたらしいのですが、私は起きなかったようですね。；でもあたしたち今日はお昼の食事がいっしょにできないはずでしょう。；お昼までのわずかな時間だけど、校内を案内するぐらいはできるだろう。；みんな、お昼を食べ終わってこれが一つめのアトラクションなのだろう。；お昼の時間が終わったばかりらしく、ホールから人が出ていく姿が見える。；先輩のお母さんは朝が弱いらしく、先輩のお昼はいつもパンとかだった。；先生はすごく疲れたご様子で、お昼ごろには鎌倉へ帰って行かれました。；お昼のあとは、だれから言い出したわけでもないが昼寝の時間となった。；遅いお昼ということで、一時五十分に家を出て、母と一緒にお邪魔した。；それでも亮子さんは、お昼や夕飯の用意などしていたようでしたけどね。；もうお昼に近いしするから、今から温泉まではちょっと無理でしょう。；お昼から霊前で村の人たちと十人ばかり、しめやかにお経を聞きました。；そしてお昼ごろ訪問にきたかのようにして、一時ごろここから出たらいいわ。；ティファニアがルイズにすべてを話し終えた頃には、お昼を過ぎていた。；教授がお昼ごろまた見えるといっていたから、少し寝ておかないといけない。；あの女、今日のお昼すぎに来まして、わたくしと話していきましたんです。；お母さんが昨日、部屋の鍵をかけ忘れた事に気付いたのはお昼ごろでした。；お昼の買い出しもありますし、その時に買ってこなければなりませんわね。；お昼を食べなかったせいで、空腹が、いまごろからだに響いてきたのだ。；お昼にお弁当を食べにお出なさいと言って、家の在所を詳しく説明した。；いまではだれも十二時にお昼をいただくものだと思いこんでいるのです。；今も婆やを貴嬢の処へ上げてお昼の副食物を伺おうと思っていた処です。；お昼をすぎると、私はとうとう我慢できなくなり、マリーノに電話した。；たった二里半にひどく手間どって、上ゲ松へ着いたらもうお昼であった。；時計を見ると、もうそろそろお昼を回ろうかと云う時間になっていた。；俺もどうせ生徒会で学校には来てるしさ、毎日一緒にお昼、食べようよ!；お昼と朝晩の食事とのちがいは、ちょっと考えて見てもいくつかある。；お昼ぐらいになれば、またあのお正月の感じがくるかもしれないと思った。；お昼の顔のあの人が、某女優がうんこをしないと信じているのと同じ事だ。</t>
        </is>
      </c>
      <c r="J1167">
        <f>HYPERLINK("https://www.weblio.jp/content/お昼", "词义详情")</f>
        <v/>
      </c>
      <c r="K1167">
        <f>HYPERLINK("https://yourei.jp/お昼", "查看例句")</f>
        <v/>
      </c>
    </row>
    <row r="1168">
      <c r="A1168" t="inlineStr">
        <is>
          <t>帯びる</t>
        </is>
      </c>
      <c r="B1168" t="inlineStr">
        <is>
          <t>成功</t>
        </is>
      </c>
      <c r="C1168" t="inlineStr">
        <is>
          <t>読み方：おびる
［動バ上一］［文］お・ぶ［バ上二］
１（「佩びる」とも書く）身につける。腰に下げる。「太刀を—・びる」
２引き受ける。負う。「重大な使命を—・びる」
３ある性質・成分・傾向などを含み持つ。その気味がある。「丸みを—・びる」「磁気を—・びる」
[補説]上代は四段活用。→帯(お)ぶ</t>
        </is>
      </c>
      <c r="D1168" t="inlineStr">
        <is>
          <t>持つ；経験；受ける；得る；つける</t>
        </is>
      </c>
      <c r="F1168" t="inlineStr">
        <is>
          <t>強く帯びる</t>
        </is>
      </c>
      <c r="H1168" t="n">
        <v>29</v>
      </c>
      <c r="I1168" t="inlineStr">
        <is>
          <t>次のステップアップを図る上での基礎資格的性格を帯びているのである。；しかしこれを機に話が急速に広まり、事態は政治色を強く帯びていった。；また戦後民主主義への反発という形で再び政治性を帯びている点もある。；そしてそのシステムは必要に応じて暴力的な傾向を帯びるかもしれない。；先ほどの怒りとは違った意味で、かああっと頬が熱を帯びるのを感じた。；しかし、その単純な対立構図はより理由が鮮明になり熱を帯びていった。；間もなく通信の内容は、全部私の思想と正反対の性質を帯びるに至った。；全体に丸みを帯び、ボタンには青から白のグラデーションがされている。；東ローマ帝国でも馬にも甲冑を帯びたカタフラクトが軍の主力となった。；各作品には建築設計することに対するニヒリズム的な性格を帯びていた。；このため黒っぽい背景に置くと青みを帯び、明るい背景では白く見える。；この協力は特に国家人民党の場合には常に日和見主義的性格を帯びていた。；車体は箱形で全体的に丸みを帯びており、円形の側窓が特徴的である。；デザイン面では丸みを帯びた形状が主で、昆虫を意識した様な形状が特徴。；近現代の塔は宗教塔や記念塔を除いて実用的な目的を帯びるようになった。；メスは頭部と胸部の黒い部分に褐色を帯びて、オスは夏羽の喉部が黒い。；冬羽は頬がやや赤みを帯びた褐色になる他、頭部と胸が淡い褐色になる。；父は経済的な問題に直面したことが原因で酒を帯びるようになっていたという。；しかし本来は臨時職である征夷大将軍の称号を生涯に渡って身に帯び続けた。；その名の通り、リンゴのような丸みを帯びた形に由来するものである。；また、鉄を恐れるとも言われているため常に鉄剣を帯びていれば良いとされる。；火の色は赤またはオレンジ色が多いとも、青みを帯びた火だともいう。；やがて葉は次第に膨らみを帯びるようになり、卵形か心臓形へ変化する。；まずその外に外穎がありその次ぎに内穎があって共に外面に毛を帯びる。；後者は一般のダイオウとくらべて葉が丸みを帯びていることからきている。；紙幣を光源の反対側に置くと、中央部分の黒く磁気を帯びた筋が見える。；初代モデルの丸みを帯びたデザインに比べ、直線的デザインに変わっている。；彼らの特徴は、特に商業的な物を帯びていたと言われている。；岩石を破砕した砕石は形状が丸みを帯びたものではなく砂利とは異なる。</t>
        </is>
      </c>
      <c r="J1168">
        <f>HYPERLINK("https://www.weblio.jp/content/帯びる", "词义详情")</f>
        <v/>
      </c>
      <c r="K1168">
        <f>HYPERLINK("https://yourei.jp/帯びる", "查看例句")</f>
        <v/>
      </c>
    </row>
    <row r="1169">
      <c r="A1169" t="inlineStr">
        <is>
          <t>お袋</t>
        </is>
      </c>
      <c r="B1169" t="inlineStr">
        <is>
          <t>成功</t>
        </is>
      </c>
      <c r="C1169" t="inlineStr">
        <is>
          <t>田中千禾夫の処女戯曲。昭和8年（1933）「劇作」誌に発表。1幕。同年、築地座にて初演。昭和30年（1955）久松静児監督により映画化。</t>
        </is>
      </c>
      <c r="D1169" t="inlineStr">
        <is>
          <t>お袋さん(10%)；お袋さま；お袋みたい；お袋様</t>
        </is>
      </c>
      <c r="E1169" t="inlineStr">
        <is>
          <t>母；母親；お母さん；ママ；母さん</t>
        </is>
      </c>
      <c r="H1169" t="n">
        <v>29</v>
      </c>
      <c r="I1169" t="inlineStr">
        <is>
          <t>赤眼はあいつの家にたった一人のお袋がいることを前から承知している。；そのだれかがお袋であっても小谷さんであっても、いい気持ちはしない。；こういったことからいわゆる「お袋の味」のひとつとされることも多い。；そういう夫を、お袋はどう思っているのか知らないが、反対も唱えない。；親父さんがいろいろ問題のある人で、お袋さんの苦労ばかり見て育った。；清さんと清さんのお袋といっしょにおとよさんは少しあとになってくる。；かつてあなたの恋人で、子供まで出来た仲の女性が雄ちゃんのお袋さんだ。；お袋に教えてもらった道も、太い通りだけを通るわかりやすいものだった。；その手紙を出しに行った跡へ、吉弥はお袋をつれて僕の室へあがっていた。；それはそれでいいし、お袋にしてみても悪気があるわけではないのだ。；実はお袋に聞いて見ると、お館様の催しの踊りへ行ったというじゃねえか。；年に一度か二度、お袋は勘違いをしてこういう服を買ってくることがある。；ぼくは受話器をオルゴールの上に置いて、お袋の部屋まで歩いていった。；僕はお袋が立つ時にくれぐれ注意したことなどは全く無頓着になっていた。；そして死んだお袋も、生きてたころには、やっぱり気がつかなかったのだ。；財布でも忘れたのかと思いきや、入ってきたのはお袋ではなく、妹だった。；私には見えないが、アパートの窓にはお袋さんの顔でも見えているのであろう。；あんたのお袋と別れたあと、周郎さんがあたしの妹と一緒んなった。；しかしお袋にそういう常識があるかどうかは、ぼくの知ったことではない。；もう一人いた少年は、ついさっき、お袋さんと一緒に家に帰りました。；お袋からの手紙も、おれの決心を固めさせる以外のなにものでもなかった。；お袋がいつも着ていた服といったら、まるでよその女のとは違っていたんだ。；小さい頃、お袋とこうして流しの前に並んで立ったことがあるような気がする。；ぼくの混乱がお袋に伝染してしまったことだって、少なくはなかったろう。；あたしも商売柄、ときどき、そのお袋さんのほうには会ってますがね。；それから何日かして、入塾の手続きのためにお袋と再びその塾を訪れた。；それとも権利として一度は面と向かってお袋を罵ってみたかったのか。；お袋をまきぞえにしてはいけないと思って、住所も名前も言わねえんだ。；奴のお袋が、わしをそこへ連れてって、おきっぽりにしたわけでさあ。</t>
        </is>
      </c>
      <c r="J1169">
        <f>HYPERLINK("https://www.weblio.jp/content/お袋", "词义详情")</f>
        <v/>
      </c>
      <c r="K1169">
        <f>HYPERLINK("https://yourei.jp/お袋", "查看例句")</f>
        <v/>
      </c>
    </row>
    <row r="1170">
      <c r="A1170" t="inlineStr">
        <is>
          <t>おべっか</t>
        </is>
      </c>
      <c r="B1170" t="inlineStr">
        <is>
          <t>成功</t>
        </is>
      </c>
      <c r="C1170" t="inlineStr">
        <is>
          <t>相手の機嫌をとろうとして、へつらったり、心にもないお世辞を言うこと。また、その言葉。おべんちゃら。「—を使う」</t>
        </is>
      </c>
      <c r="D1170" t="inlineStr">
        <is>
          <t>おべっか使い(16%)；おべっかつかい(3%)；おべっか者</t>
        </is>
      </c>
      <c r="E1170" t="inlineStr">
        <is>
          <t>お世辞；媚び；媚；愛想笑い；媚びる</t>
        </is>
      </c>
      <c r="H1170" t="n">
        <v>29</v>
      </c>
      <c r="I1170" t="inlineStr">
        <is>
          <t>いつもクラスの女王さまにおべっかを使い、お調子をくれていた女のコ。；エレベーターの近くの群衆の一人が、おべっかを使うように呼びかけた。；おべっかを使っているわけではなく、やはり本心から言っていたのだろう。；そして、それができないほど強力な上級者には、おべっかを使うのだ。；おべっかとまではいわないにしても、ほめるためにわたしは生まれたのではない。；あなた達は、お金持の奥さんに、おべっかを言っていただけなんだ。；いまの二人は、外国の王におべっかを使う愚か者とみなされていた。；しかしそれはおべっかを使うほどの人に出合わないからである。；わたしの機嫌を取ろうとする大人はいたし、わたしにおべっかを使う大人もいた。；そこまで言えばおれがおべっかを言ってるみたいだが、決しておべっかじゃない。；「ヤシュ」とよばれた少年がそのそばにうずくまっておべっかをいった。；きみは、わたしを昇進させれば、わたしがきみにおべっかを使うとでも思ったのか?；おべっかなどいえないほどに愛しているのですわ。；医学生が一人いるかと思うと、いやにおべっかを使っているポーランド人もいた。；おべっかとしてだけ云う人もあった時期だからと思いついて一言。；おべっか使いがくだらない命令を実行に移したと言いなさい。；というのは、人におべっかを言って歩くような人じゃないの?；遊びに行った家の親御さんにおべっかを使うのが上手で可愛がられたという。；判事はおべっかを使ったり賄賂を使おうとしたが失敗に終わった。；愛想笑いとおべっかは会社の外で使うだけで充分だった。；小野先生も来て、おべっかを使うので、いやな気がしたという。；自分はなるほどおべっかを使ったことはない。；でも、リンちゃんの場合は違いますからね、いい歳した大人がおべっか使ってきますからね。；幕僚の一人が、おべっかまじりに、つぎのようにすすめたことがある。；この守衛が自分のことを無力なおべっか使いぐらいに思いこんでくれた方が都合いい。；まあ、おべっかのつもりだと解釈してやってもいい。；ただオウムがおべっかをいうので、信じてしまったのでした。；白痴ではあるが、おべっか使いの傀儡は傀儡なりの影響力をもっているのだ。；ぼくのことを一級のおべっか野郎だと思っている。</t>
        </is>
      </c>
      <c r="J1170">
        <f>HYPERLINK("https://www.weblio.jp/content/おべっか", "词义详情")</f>
        <v/>
      </c>
      <c r="K1170">
        <f>HYPERLINK("https://yourei.jp/おべっか", "查看例句")</f>
        <v/>
      </c>
    </row>
    <row r="1171">
      <c r="A1171" t="inlineStr">
        <is>
          <t>覚え</t>
        </is>
      </c>
      <c r="B1171" t="inlineStr">
        <is>
          <t>成功</t>
        </is>
      </c>
      <c r="C1171" t="inlineStr">
        <is>
          <t>読み方：おぼえ
１覚えること。習得。理解。「—が早い」
２記憶に残っている事柄。また、思い当たること。心覚え。「この顔には—がある」「身に—がない」
３感じること。感覚。「冷たくて足に—がなくなる」
４技術などに対する自信。「腕に—がある」
５「覚え書き1」に同じ。
６《7の意が限定されて》上の人からの寵愛(ちょうあい)。また、その信任。「主人の—がめでたい」
７他人から思われること。世間の思わく。評判。声望。
「非参議の四位どもの、世の—口惜しからず」〈源・帚木〉</t>
        </is>
      </c>
      <c r="D1171" t="inlineStr">
        <is>
          <t>覚えるべき；覚える数少ないポケモン</t>
        </is>
      </c>
      <c r="E1171" t="inlineStr">
        <is>
          <t>思う；受ける；記憶；わかる；知る</t>
        </is>
      </c>
      <c r="F1171" t="inlineStr">
        <is>
          <t>苛立ちを覚える</t>
        </is>
      </c>
      <c r="H1171" t="n">
        <v>29</v>
      </c>
      <c r="I1171" t="inlineStr">
        <is>
          <t>権力を握ったヌルハチの自分への態度が尊大になることに不満を覚えた。；ほかにも、身に覚えのないことが証拠なしに書かれている箇所が多数ある。；戦闘後は正気を取り戻すも洗脳されていた頃の記憶は覚えていない様子。；晩年はさすがに覚えていても忘れて、それを涙をこぼして歯がゆがった。；他に「素顔を覚えられるのが嫌だから」ともインタビューで答えている。；最後は完現術が解け元に戻ったが、月島のことは一切覚えていなかった。；乗車時に発券機に表示されている番号を覚えておかなくてはならない。；更に敵であっても目の前で仲間割れするようなことがあれば怒りを覚える。；反面、手に入れた道具・覚えた技や術などは全キャラクターで共有される。；人々は、戦士たちの活躍もゆがめられた世界のことも覚えてはいない。；当日の日記には日本の芸術について深い印象を覚えた旨が記された。；また、米朝によると弟子入り直後は噺の覚えが悪く、よく叱ったという。；反対に自分の感じた感情が弱い程覚えていないのが短期記憶である。；あるレシピを覚えるには、同じジャンルの料理を食べ続ける必要がある。；主人公の場合、全て宝箱からの入手やイベントなどで覚えることになる。；ハンデ師をしていたので情報を覚える事は何ら苦にならなかったという。；これは江戸時代の大小暦で使われていた覚え歌を流用したものである。；セリフを一切覚えずに現場入りをした事は語り草にもなっている。；食人をしたことは認識しており、その際の様子は、はっきりと覚えていた。；町を歩くカイトは、まるでそこに住んでいたかのような既視感を覚える。；彼らはかつての思いやりの感情を覚えていたのではないだろうか。；文字を分解するときに必要なのは字形であり、拼音を覚える必要はない。；何度か読めばすべて覚えてしまうほど記憶力はかなりよかったらしい。；色と色名の対応関係に、多少の違和感を覚える場合があるかもしれない。；村上の仕事をいつも見ていて、しかも後々まで覚えていたのだという。；同時に、みんなでゲーム作りをする楽しみを覚えたと語っていた。；と当て推量しているが当時の心境を全く覚えていないと述懐している。；またこの事件で男に自分の後に立たれる事に恐怖を覚える事になる。；他の配列より覚えやすいとする意見もあれば、覚えにくいとする意見もある。</t>
        </is>
      </c>
      <c r="J1171">
        <f>HYPERLINK("https://www.weblio.jp/content/覚え", "词义详情")</f>
        <v/>
      </c>
      <c r="K1171">
        <f>HYPERLINK("https://yourei.jp/覚え", "查看例句")</f>
        <v/>
      </c>
    </row>
    <row r="1172">
      <c r="A1172" t="inlineStr">
        <is>
          <t>覚える</t>
        </is>
      </c>
      <c r="B1172" t="inlineStr">
        <is>
          <t>成功</t>
        </is>
      </c>
      <c r="C1172" t="inlineStr">
        <is>
          <t>読み方：おぼえる
［動ア下一］［文］おぼ・ゆ［ヤ下二］《「おもほゆ」の音変化。「ゆ」は、もと、自発・可能の助動詞で、自然に思われる、他から思われる意が原義》
１（「憶える」とも書く）見聞きした事柄を心にとどめる。記憶する。「子供のころのことは—・えていない」
２学んだり経験したりして、身につける。習得する。「こつを—・える」「技術を—・える」
３からだや心に感じる。「疲れを—・える」「愛着を—・える」
４（古風な言い方）思われる。「お言葉とも—・えません」
５思い出して話す。
「いで—・え給へ」〈大鏡・序〉
６自然と思い出される。ふと想像される。
「昔—・ゆる花橘、撫子、薔薇(さうび)」〈源・少女〉
７似る。似合う。
「御かたちありさま、あやしきまでぞ—・え給へる」〈源・桐壺〉
８他人からそう思われる。
「この世の中に恥づかしきものと—・え給へる弁の少将の君」〈落窪・一〉
９意識がはたらく。分別する。
「物は少し—・ゆれども腰なむ動かれぬ」〈竹取〉</t>
        </is>
      </c>
      <c r="D1172" t="inlineStr">
        <is>
          <t>覚えるべき；覚える数少ないポケモン</t>
        </is>
      </c>
      <c r="E1172" t="inlineStr">
        <is>
          <t>思う；受ける；記憶；わかる；知る</t>
        </is>
      </c>
      <c r="F1172" t="inlineStr">
        <is>
          <t>苛立ちを覚える</t>
        </is>
      </c>
      <c r="H1172" t="n">
        <v>29</v>
      </c>
      <c r="I1172" t="inlineStr">
        <is>
          <t>権力を握ったヌルハチの自分への態度が尊大になることに不満を覚えた。；ほかにも、身に覚えのないことが証拠なしに書かれている箇所が多数ある。；戦闘後は正気を取り戻すも洗脳されていた頃の記憶は覚えていない様子。；晩年はさすがに覚えていても忘れて、それを涙をこぼして歯がゆがった。；他に「素顔を覚えられるのが嫌だから」ともインタビューで答えている。；最後は完現術が解け元に戻ったが、月島のことは一切覚えていなかった。；乗車時に発券機に表示されている番号を覚えておかなくてはならない。；更に敵であっても目の前で仲間割れするようなことがあれば怒りを覚える。；反面、手に入れた道具・覚えた技や術などは全キャラクターで共有される。；人々は、戦士たちの活躍もゆがめられた世界のことも覚えてはいない。；当日の日記には日本の芸術について深い印象を覚えた旨が記された。；また、米朝によると弟子入り直後は噺の覚えが悪く、よく叱ったという。；反対に自分の感じた感情が弱い程覚えていないのが短期記憶である。；あるレシピを覚えるには、同じジャンルの料理を食べ続ける必要がある。；主人公の場合、全て宝箱からの入手やイベントなどで覚えることになる。；ハンデ師をしていたので情報を覚える事は何ら苦にならなかったという。；これは江戸時代の大小暦で使われていた覚え歌を流用したものである。；セリフを一切覚えずに現場入りをした事は語り草にもなっている。；食人をしたことは認識しており、その際の様子は、はっきりと覚えていた。；町を歩くカイトは、まるでそこに住んでいたかのような既視感を覚える。；彼らはかつての思いやりの感情を覚えていたのではないだろうか。；文字を分解するときに必要なのは字形であり、拼音を覚える必要はない。；何度か読めばすべて覚えてしまうほど記憶力はかなりよかったらしい。；色と色名の対応関係に、多少の違和感を覚える場合があるかもしれない。；村上の仕事をいつも見ていて、しかも後々まで覚えていたのだという。；同時に、みんなでゲーム作りをする楽しみを覚えたと語っていた。；と当て推量しているが当時の心境を全く覚えていないと述懐している。；またこの事件で男に自分の後に立たれる事に恐怖を覚える事になる。；他の配列より覚えやすいとする意見もあれば、覚えにくいとする意見もある。</t>
        </is>
      </c>
      <c r="J1172">
        <f>HYPERLINK("https://www.weblio.jp/content/覚える", "词义详情")</f>
        <v/>
      </c>
      <c r="K1172">
        <f>HYPERLINK("https://yourei.jp/覚える", "查看例句")</f>
        <v/>
      </c>
    </row>
    <row r="1173">
      <c r="A1173" t="inlineStr">
        <is>
          <t>覚束ない</t>
        </is>
      </c>
      <c r="B1173" t="inlineStr">
        <is>
          <t>成功</t>
        </is>
      </c>
      <c r="C1173" t="inlineStr">
        <is>
          <t>読み方：おぼつかない
［形］［文］おぼつかな・し［ク］
１物事の成り行きが疑わしい。うまくいきそうもない。「昨年並みの収穫は—・い」「今の成績では合格は—・い」
２はっきりしない。あやふやである。「—・い記憶をたどる」
３しっかりせず、頼りない。心もとない。「足もとが—・い」「—・い手つき」
４はっきり見えないで、ぼんやりとしている。
「門上の楼に、—・い灯(ひ)がともって」〈芥川・偸盗〉
５ようすがはっきりせず、不安である。気がかりだ。
「—・く思ひつめたること、少しはるかさむ」〈伊勢・九五〉
６不審である。おかしい。
「やや久しくものも言はでありければ、人ども—・く思ひけるほどに」〈宇治拾遺・一〉
７疎遠で相手のようすがわからない。
「かのわたりには、いと—・くて、秋暮れ果てぬ」〈源・末摘花〉
８待ち遠しい。もどかしい。
「返り事せずは—・かりなむ」〈堤・虫めづる姫君〉
[派生]おぼつかながる［動ラ五］おぼつかなげ［形動］おぼつかなさ［名］</t>
        </is>
      </c>
      <c r="D1173" t="inlineStr">
        <is>
          <t>覚束ない足取り(6%)；覚束ない足どり；覚束ない手つき；覚束ない有様</t>
        </is>
      </c>
      <c r="E1173" t="inlineStr">
        <is>
          <t>不明；不審；怪しい；危ない；あいまい</t>
        </is>
      </c>
      <c r="H1173" t="n">
        <v>29</v>
      </c>
      <c r="I1173" t="inlineStr">
        <is>
          <t>そして、そうしなければとても覚束ないということだけは俺にもわかる。；しかし少女の覚束ない言葉は、まるで物心ついたばかりの幼児のようだ。；あの勝手を知らぬ岸辺で生き延びる可能性は、武器がなければ覚束ない。；英雄の重みをわが身で感じ、志貴は息をするのも覚束ないように感じた。；主人は九州へ旅行中で、夫人が七日ばかりの留守を、彼だけでは覚束ない。；学校の成績は中以下だし、そんなことでは大学受験は覚束ない、と言った。；正直、私たち二人では、一匹のゴブリンの相手すらも覚束ないのです。；暗くなってしまったら、彼らと合流することなど、到底、覚束なくなる。；家族は父の死後6ヶ月で覚束ない財政状況のままアメリカに戻った。；彼女の願いは、覚束ないながらも静かな宗教生活に入ることにあるだろうと思うと書いた。；そこで覚束ない酔っぱらいの気持に唆かされて自殺しようかと思う。；こうなってしまうと自分の足元すら覚束なくなるのだから不思議なモノである。；そんなことをいちいち鵜呑みにしていては成功することは覚束ない。；成程吾々凡人より高く一隻眼を具して居ないとあんな御手際は覚束ない。；先に一人休憩室の中に入っていった玄児のあとを、覚束ない足取りで追う。；「さ、こっちへ」覚束ない足取りで、手を引かれるままに風居は歩く。；いつバッグから取り出し、テレビの上に乗せたのか、舞の記憶は覚束ない。；それとても現在の有様では、覚束なく危険に思われるのであった。；それから前垂のようなものを着けていたような気もするがこれはいっそう覚束ない。；ここを追われると、俺のこの身体で食っていくことさえ覚束ない。；お君は自分の足が覚束なくなるにつれて心細さが増してきました。；文吉は自分に粘土打ちの真似をさせたことなぞ覚束なく話しました。；それから椅子に腰をおろしたまま、覚束ない炎を眺め出した。；酔いの回った覚束ない足取りでどうにか家に帰り着くと、隣で人の声がする。；うかうか内へ入った処で、内の様子を探ることが、覚束ないように思われる。；覚束ない足どりのマルチーズは、車の前で立ちすくんだかのように見えた。；野球賭博の問題が広がれば、足元が覚束なくなる政治家が腐るほどいる。；その二人を前にして、雄一郎は手真似を混えながら覚束ない英語で説明をした。；三度の食事も覚束なき農民の婦女子に横文の素読を教えて何の益をなすべきや。</t>
        </is>
      </c>
      <c r="J1173">
        <f>HYPERLINK("https://www.weblio.jp/content/覚束ない", "词义详情")</f>
        <v/>
      </c>
      <c r="K1173">
        <f>HYPERLINK("https://yourei.jp/覚束ない", "查看例句")</f>
        <v/>
      </c>
    </row>
    <row r="1174">
      <c r="A1174" t="inlineStr">
        <is>
          <t>溺れる</t>
        </is>
      </c>
      <c r="B1174" t="inlineStr">
        <is>
          <t>成功</t>
        </is>
      </c>
      <c r="C1174" t="inlineStr">
        <is>
          <t>読み方：おぼれる
［動ラ下一］［文］おぼ・る［ラ下二］《「おぼ（溺）ほる」の音変化》
１泳げないで死にそうになる。また、水中に落ちて死ぬ。「川で—・れる」
２理性を失うほど夢中になる。心を奪われる。ふける。「酒色に—・れる」
[補説]書名別項。→溺レる</t>
        </is>
      </c>
      <c r="D1174" t="inlineStr">
        <is>
          <t>溺れることなく；溺れるかもしれ；溺れる可能性</t>
        </is>
      </c>
      <c r="E1174" t="inlineStr">
        <is>
          <t>溺死；熱中する；夢中になる；水死；のめり込む</t>
        </is>
      </c>
      <c r="G1174" t="inlineStr">
        <is>
          <t>溺れる人；溺れる者は藁をも掴む；溺れる魚</t>
        </is>
      </c>
      <c r="H1174" t="n">
        <v>29</v>
      </c>
      <c r="I1174" t="inlineStr">
        <is>
          <t>けれど彼は、何をして遊んでもそれに溺れない自己をいつも持っていた。；負傷兵の中には撤退時にダム背後にある浅い池に落ちて溺れた者もいた。；なかなか自分の溺れないために人のことなどは見てもいられなくなる。；といふのは大悪魔の敵はみな大抵川に溺れて死んでしまつたからでした。；混乱が隊列のなかに起こり、多くの動物が急な流れのなかで溺れるのだ。；水の中じゃ息が詰まって、溺れてしまうに決まってるじゃありませんか!；その二人のために、さすがに溺れた主人も彼女をすぐに家に入れなかった。；この頃、父親が死んだのをきっかけにブラウニングは酒に溺れていった。；そして彼は水を一杯に含んだ海綿のやうに、心から感傷的に溺れてゐた。；そう相手に溺れることもないし、そうかといって鼻につくこともない。；まだ彼がさっきの場所にいるか、それとも溺れたものと思っているらしい。；ああ、お前たちはどこへ行ったのだ、どこの海に溺れてしまったのだ。；おれはこの若い大郷士が溺れているのを見たので、ここにやってきたんだ。；辺りを散策していた主人公は悲鳴を聞き、池で溺れている女性を発見する。；「死者の通り道」と呼ばれているように、多くの者がそこで溺れていた。；宛も、海へ行く場合、私が何時も溺れることを確信して行くのと同様に。；エンゲルスはスイスに亡命し、女と酒に溺れる日々を送るようになった。；同じことはあらゆる種類の悪徳に溺れる人たちについても言えるだろう。；勝幸が女に溺れる前に、自分が勝幸の虜になりそうな気がしたのである。；ただ美しいからといってこれに溺れてはならないでありましょう。；すべては夢の出来事で溺れたトムはあの後ジェリーに助けられていたのだ。；従つて年よりのやうに慾にも渇かず、若いもののやうに色にも溺れない。；彼女は、釣りをしているときに車いすが湖に落ち、溺れかけたのである。；小心な男ほど羽目を外した溺れ方をするのが競馬の不思議さであろうか。；溺れてパニックになった彼は突然、いつのまにか図書館へ移動していた。；学問とか理解とか言ふものでなくつて、体全体が溺れて行くのである。；さらにニックはカナヅチだったため、逆に溺れて意識を失ってしまった。；水に溺れる人にはこれが多いように信じられているそうである。；海で溺れる瞬間に髪の毛の数本が抜け、それは今も手元に残されている。</t>
        </is>
      </c>
      <c r="J1174">
        <f>HYPERLINK("https://www.weblio.jp/content/溺れる", "词义详情")</f>
        <v/>
      </c>
      <c r="K1174">
        <f>HYPERLINK("https://yourei.jp/溺れる", "查看例句")</f>
        <v/>
      </c>
    </row>
    <row r="1175">
      <c r="A1175" t="inlineStr">
        <is>
          <t>お盆</t>
        </is>
      </c>
      <c r="B1175" t="inlineStr">
        <is>
          <t>成功</t>
        </is>
      </c>
      <c r="C1175" t="inlineStr">
        <is>
          <t>読み方：おぼん
盂蘭盆(うらぼん)のこと。</t>
        </is>
      </c>
      <c r="D1175" t="inlineStr">
        <is>
          <t>お盆期間中；お盆明け；お盆映画；お盆過ぎ；お盆ごと</t>
        </is>
      </c>
      <c r="F1175" t="inlineStr">
        <is>
          <t>毎年お盆；大きなお盆；小さなお盆</t>
        </is>
      </c>
      <c r="G1175" t="inlineStr">
        <is>
          <t>お盆の弟；お盆玉</t>
        </is>
      </c>
      <c r="H1175" t="n">
        <v>29</v>
      </c>
      <c r="I1175" t="inlineStr">
        <is>
          <t>手を動かしさえすればお盆がふけると思っているのはまちがっています。；「お盆でもってこさせて、つぎの部屋で食べています」と医者が言った。；奴にぶつけるのは得策ではないと判断した僕は、お盆ごと窓から捨てた。；お盆のあと、どこかへ旅行しましょうかと、三枝子さんは言っています。；ぼうっと観音様を見あげていると、彼がお盆にお茶をのせて帰ってきた。；もう一人は、お盆の上に、幾種類かのグラスを載せて、捧げ持っていた。；声の主を振り仰ぐと、黒猫がお盆にお茶と菓子を載せて戻ってきていた。；私がお盆を持っていて、エリスさんがその上にグラスをのせてくれました。；結婚した年のお盆に墓参りを兼ねて二人で出かけたのが最初だった。；お盆より前に止めてしまふのですけれども、我々は夏中やつてをりました。；創設時から現在まで施行時期は8月の中旬のお盆の時期に開催されている。；その手にあるのは鏡ではなく、お盆に載せられた麦茶のグラスだった。；お盆や正月の休暇には父親は何もせず、ただ家で横になって寝ていた。；お盆を持ったまま家の角を曲がり、テーブルはどこかしらと目で探します。；お盆の飾りがしてある部屋の隣で寝ていたので、なんだか気味が悪かった。；季節もお盆前後の事と覚えているから、その期間としてほぼ間違いはない。；その猫を眼で探すことさえ久子は恐れ、お盆を持って階段を忍び降りた。；その山中のお盆のような広場に、どこからきたのか大群衆が集まっていた。；お盆が過ぎてから、どこかへ旅行しましょうって、恵子さんは言ってる。；お盆にもその話が出たけんど、菜保子は仕事をつづけると言ってたねえ。；そのへんにある何もかもをお盆に載せて持っていきたくなるような笑顔だった。；少し仕事にも慣れた年のお盆のシーズンに、バス二台のツアーガイドをした。；いくら月がいいからといっても、お盆前の十三日に杣木をひくやつはない。；お盆には亡くなった人々がみな自宅に戻ってくるといわれる。；手にしたお盆には湯飲みが乗っていて、八分目まで葛湯が注がれていた。；おかみのお幾はお盆を握りしめたまま、半分逃げ腰のような格好だった。；お盆に菜保子が帰ってきたとき、そんなようなことを言ってたっけが。；本が机の上としたら、カップの方はお盆に載せて椅子の上、というように。；彼女はまだ何か聞きたそうだったが、私はお盆にお茶をのせ、黙って台所を出た。</t>
        </is>
      </c>
      <c r="J1175">
        <f>HYPERLINK("https://www.weblio.jp/content/お盆", "词义详情")</f>
        <v/>
      </c>
      <c r="K1175">
        <f>HYPERLINK("https://yourei.jp/お盆", "查看例句")</f>
        <v/>
      </c>
    </row>
    <row r="1176">
      <c r="A1176" t="inlineStr">
        <is>
          <t>お参り</t>
        </is>
      </c>
      <c r="B1176" t="inlineStr">
        <is>
          <t>成功</t>
        </is>
      </c>
      <c r="C1176" t="inlineStr">
        <is>
          <t>読み方：おまいり
［名］(スル)神仏を拝みに行くこと。参詣(さんけい)。「お不動様に—する」</t>
        </is>
      </c>
      <c r="D1176" t="inlineStr">
        <is>
          <t>お参りする(15%)；お参りすれ</t>
        </is>
      </c>
      <c r="E1176" t="inlineStr">
        <is>
          <t>礼拝；崇拝；参拝；信心；拝む</t>
        </is>
      </c>
      <c r="H1176" t="n">
        <v>29</v>
      </c>
      <c r="I1176" t="inlineStr">
        <is>
          <t>お参りもしたことはしたが、それより食べてばかりいたような気がする。；そして気付いた時には、数日前にお参りをした神社の裏の祠の前にいた。；あまりの寒さに小動物のように私たちはくっついて雪の中をお参りした。；ここまで来たのだから、西巻良平の墓にお参りして行こうと思ったのだ。；しこたま収入があるくせに、年に四度もお参りにくればいいほうですね。；彼は、この森の中にある神社にお参りに来て、死体を見つけたのだといった。；その旅行の途中神社や仏閣があれば廻り道でもお参りすることにしている。；近くに飲食店が多いからだろう、熱心にお参りする女の人が多かった。；こちらには毎年12月13日の夜にお参りして小豆飯をお供えしていた。；林さんといっしょにお参りした際、とても印象的な出来事があった。；お参りとはかりの名、どこかで男とあいびきでもしてたんじゃねえかと。；メインのお参りも終わったことだし時間もけっこう遅くなってきたしな。；丁度十一日の事で、娘は家を脱け出して日暮方からお参りに往きました。；寺院のかわりに、小さい祠を置いて、お参りする順番も決められている。；すべて人にかくれてお参りをしなくちやならんと云ふやうな宗教は駄目だ。；以後、数多くの鈴かけ馬がお参りへ引き連られるようになっていった。；どのようなお天気の時でも、このお参りを欠かすまいと決心致しました。；お参りにきてろうそくをささげる人は、一日に何人もいるようだった。；その横からお酉様へ行く道になるのですが、私はお参りしたことがありません。；ツウランのそばの何とかつて、日本人の墓地にお参りした事もあつたでしよ?；死んでお墓にはいっても、あなたはそんな人だからお参りにも来てくれないんでしょう。；八王子にある御両親のお墓には、年に一回はお参りに行っている。；お参りをして、もし遅くなるようだったら、かえりは駕籠にしてもよい。；同行二 京に着くとすぐここにお参りいたしましたのです。；まず第一にお参りをしようとお母様にいわれて、十八間というお堂へ上ります。；うちの嫁も、子供ができなくて、むかし何度もお参りしたことがある。；ついでに名古屋のシャチホコを見せて、伊勢の大神宮様にお参りしたい。；同じバスで降りた若い男女はお参りせずに左手の道を海岸のほうへ行ってしまい、境内には誰もいない。；わたくし、この子のために毘沙門天様に百日のお参りをしたのでございます。</t>
        </is>
      </c>
      <c r="J1176">
        <f>HYPERLINK("https://www.weblio.jp/content/お参り", "词义详情")</f>
        <v/>
      </c>
      <c r="K1176">
        <f>HYPERLINK("https://yourei.jp/お参り", "查看例句")</f>
        <v/>
      </c>
    </row>
    <row r="1177">
      <c r="A1177" t="inlineStr">
        <is>
          <t>おまえ</t>
        </is>
      </c>
      <c r="B1177" t="inlineStr">
        <is>
          <t>成功</t>
        </is>
      </c>
      <c r="C1177" t="inlineStr">
        <is>
          <t>読み方：おまえ
［名］《「おおまえ（大前）」の音変化で、神仏・貴人の前を敬っていう。転じて、間接的に人物を表し、貴人の敬称となる》
１神仏・貴人のおん前。おそば近く。みまえ。ごぜん。「主君の—へ進み出る」
２貴人を間接にさして敬意を表す言い方。「…のおまえ」の形でも用いる。
「かけまくもかしこき—をはじめ奉りて」〈枕・二四〉
「宮の—の、うち笑ませ給へる、いとをかし」〈枕・二七八〉
［代］《古くは目上の人に対して用いたが、近世末期からしだいに同輩以下に用いるようになった》二人称の人代名詞。
１親しい相手に対して、または同輩以下をやや見下して呼ぶ語。「—とおれの仲じゃあないか」
２近世前期まで男女ともに目上の人に用いた敬称。あなたさま。
「私がせがれにちゃうど—ほどながござれども」〈浄・阿波鳴渡〉</t>
        </is>
      </c>
      <c r="D1177" t="inlineStr">
        <is>
          <t>おまえたち(8%)；おまえさん(8%)；おまえ達；おまえさま；おまえみたい</t>
        </is>
      </c>
      <c r="E1177" t="inlineStr">
        <is>
          <t>自分；主；あなた；君；お前</t>
        </is>
      </c>
      <c r="F1177" t="inlineStr">
        <is>
          <t>おまえさん方；おまえさんてえ；おまえさんがた；おまえみたいな奴；おまえみたいなやつ</t>
        </is>
      </c>
      <c r="G1177" t="inlineStr">
        <is>
          <t>おまえら；おまえとふたり；おまえが欲しい；おまえに惚れた；おまえ次第</t>
        </is>
      </c>
      <c r="H1177" t="n">
        <v>29</v>
      </c>
      <c r="I1177" t="inlineStr">
        <is>
          <t>わたしはどういうものかおまえを見た最初からこれを訴えたかったのだ。；目と鼻のあいだに住んでいながら、おまえは一度も見たことがないのか。；おまえの妻はいったいどういう人間だか知らないが、どうも不思議だな。；おまえさん、それよりかいなかのご両親の所へ帰ったほうがいいだろう。；いくら探しても遺身の品におまえにやるものが見付からないので困った。；おまえにできなかったときは、おまえの子供の時代にできるにちがいない。；おまえたち、もううちにかえるのがいやになったんだとおもっていたよ。；おまえがもし男の子を生んだらば、その成長の後に南の山を見ろといえ。；おまえがあんまりオシャベリをするから本当の話でも嘘と思われるのだ。；そうすれば、おまえは、家を持って、こんどは主人になることができる。；おまえも、勉強すれば、もっとできるのだがと先生がいっていらしたよ。；おまえの身体も普通の身体ではないのだから大切にしてください。；おまえもどうぞ、魂だけはいつまでも、あたしの傍にいておくんなさい。；フランスではおまえはイタリアの子どものようなふうをするのだ。；もしおまえが私の命を助けてくれたら、おまえの欲しいものはなんでもやる。；なんだってまたおそらくおまえほどおれが気に入ったものはあるまい。；「おまえは今頃なんでこんな所に忍んでいたのだ」 お冬は黙っていた。；おまえ様の深切を無にしたようだけれど、だってしようがないんだもの。；私は、支那から帰った人にもらったのだ、この薬をおまえさんにあげる。；わたしは年甲斐もなくおまえのような小娘に何故それをなしたのだろうか。；おまえがこの師匠を連れて来たんだから、一と通りのことは知っているだろう。；私がもしおまえであったら、こんなに先生にしかられることはないのだが。；そのため、同僚から意見されるとおまえに言われたくないと反発する。；きみはだれからも、おまえはみにくいと言われたことがないから知るまい。；おまえは美しいと同様に、怖ろしいものであることを悲惨だというのか。；わたしはおまえたちに悲しい知らせを伝えなければならないのだよ。；なんでもこれからは、これだけ見せればおまえたちは保護してもらえる。；おまえがつくるべき舟は、その寸法をきめられたとおりにせねばならぬ。；それゆえ負担のないおまえは呆れながらも「光栄ですわ」と言えたのだ。</t>
        </is>
      </c>
      <c r="J1177">
        <f>HYPERLINK("https://www.weblio.jp/content/おまえ", "词义详情")</f>
        <v/>
      </c>
      <c r="K1177">
        <f>HYPERLINK("https://yourei.jp/おまえ", "查看例句")</f>
        <v/>
      </c>
    </row>
    <row r="1178">
      <c r="A1178" t="inlineStr">
        <is>
          <t>おまけ</t>
        </is>
      </c>
      <c r="B1178" t="inlineStr">
        <is>
          <t>成功</t>
        </is>
      </c>
      <c r="C1178" t="inlineStr">
        <is>
          <t>読み方：おまけ
［名］(スル)
１商品を値引きすること。値引きの代わりに、景品を添えたりすること。また、その景品。「100円—しておきます」「—のキャラメル」
２ある事に付け加えること。また、そのもの。「話に—がつく」</t>
        </is>
      </c>
      <c r="D1178" t="inlineStr">
        <is>
          <t>おまけ要素；おまけ漫画；おまけさん；おまけシナリオ；おまけページ</t>
        </is>
      </c>
      <c r="E1178" t="inlineStr">
        <is>
          <t>無料；景品；タダ；オマケ；景物</t>
        </is>
      </c>
      <c r="F1178" t="inlineStr">
        <is>
          <t>おまけマンガ；おまけ程度；おまけみたい；おまけ動画；おまけディスク</t>
        </is>
      </c>
      <c r="H1178" t="n">
        <v>29</v>
      </c>
      <c r="I1178" t="inlineStr">
        <is>
          <t>おまけにその時は電話室の外へ母さんも探しものに来ているんでしょう?；さらに、百話すべてを終了した後に追加となるおまけモードが存在する。；おまけにエイミーが数ヶ月前に米国にいた時の写真まで添付されている。；敵だもの、おまけに、私が帰ったあとで、あなたの相談がどうなります。；おまけにその犬が側にいないと、金さん金さんと喚き立てるじゃないか?；本作品には、ムービーモードとしておまけ要素的な物が収録されている。；おまけページに各作品執筆時のエピソードが漫画で描かれている。；おまけに生命保険のついていたことも多少の誘惑になったかもしれません。；おまけに生命保険のついてゐたことも多少の誘惑になつたかも知れません。；おまけに二人はしばらくすると、こんな妙なことさえ云い出すのです。；少女マンガのオマケみたいな封筒の裏にちゃんと名前が記入されている。；ただし、おまけと称した隠しトラックが最終曲の後に収録されている。；おまけにこんな異様な状況を見せられてぼくは言葉がなかった。；おまけに大工だというから、なにか切れ物でも持っているかも知れねえ。；おまけに「わたしはお前さんの隠しているのがおかしい」と返事をしました。；おまけに、その紙の上には、どんなものだって、書きあらわされるのよ。；おまけに藩主の康匡が年末に死去したため、改革は完全な失敗に終わった。；中が空洞になった卵型のチョコレートの中におまけの玩具が入っている。；その他、巻末には各集ごとに独自の企画やおまけが用意されている。；こちらはおまけシナリオ等の追加やイラストレーターの変更がされている。；そのため原作やアニメ版でのおまけコーナーで登場することがしばしばである。；他ゲームの進行によって様々なオマケ要素が使えるようになっている。；今回のは俺と長門と中河の問題でお前はオマケ以下の存在だからな。；番組は基本3つのコーナーと、おまけコーナー等で構成されていた。；おまけに、海上輸送力の不足から機械類の携行が制限される場合もあった。；おまけに二人をまぎらすような物音も色彩もそこには見つからなかった。；番組公式ホームページでは番組では公開されなかったおまけ映像を公開している。；ストーリーにおいて重要な役割を担う場所からオマケ要素まで種類は様々。；おまけに今後の調査団の強化までが決定されているじゃないか。</t>
        </is>
      </c>
      <c r="J1178">
        <f>HYPERLINK("https://www.weblio.jp/content/おまけ", "词义详情")</f>
        <v/>
      </c>
      <c r="K1178">
        <f>HYPERLINK("https://yourei.jp/おまけ", "查看例句")</f>
        <v/>
      </c>
    </row>
    <row r="1179">
      <c r="A1179" t="inlineStr">
        <is>
          <t>おまけに</t>
        </is>
      </c>
      <c r="B1179" t="inlineStr">
        <is>
          <t>成功</t>
        </is>
      </c>
      <c r="C1179" t="inlineStr">
        <is>
          <t>読み方：おまけに
［接］それに加えて。その上。さらに。「今日は寒くて、—雨が降っている」</t>
        </is>
      </c>
      <c r="D1179" t="inlineStr">
        <is>
          <t>おまけ要素；おまけ漫画；おまけさん；おまけシナリオ；おまけページ</t>
        </is>
      </c>
      <c r="E1179" t="inlineStr">
        <is>
          <t>無料；景品；タダ；オマケ；景物</t>
        </is>
      </c>
      <c r="F1179" t="inlineStr">
        <is>
          <t>おまけマンガ；おまけ程度；おまけみたい；おまけ動画；おまけディスク</t>
        </is>
      </c>
      <c r="H1179" t="n">
        <v>29</v>
      </c>
      <c r="I1179" t="inlineStr">
        <is>
          <t>おまけにその時は電話室の外へ母さんも探しものに来ているんでしょう?；さらに、百話すべてを終了した後に追加となるおまけモードが存在する。；おまけにエイミーが数ヶ月前に米国にいた時の写真まで添付されている。；敵だもの、おまけに、私が帰ったあとで、あなたの相談がどうなります。；おまけにその犬が側にいないと、金さん金さんと喚き立てるじゃないか?；本作品には、ムービーモードとしておまけ要素的な物が収録されている。；おまけページに各作品執筆時のエピソードが漫画で描かれている。；おまけに生命保険のついていたことも多少の誘惑になったかもしれません。；おまけに生命保険のついてゐたことも多少の誘惑になつたかも知れません。；おまけに二人はしばらくすると、こんな妙なことさえ云い出すのです。；少女マンガのオマケみたいな封筒の裏にちゃんと名前が記入されている。；ただし、おまけと称した隠しトラックが最終曲の後に収録されている。；おまけにこんな異様な状況を見せられてぼくは言葉がなかった。；おまけに大工だというから、なにか切れ物でも持っているかも知れねえ。；おまけに「わたしはお前さんの隠しているのがおかしい」と返事をしました。；おまけに、その紙の上には、どんなものだって、書きあらわされるのよ。；おまけに藩主の康匡が年末に死去したため、改革は完全な失敗に終わった。；中が空洞になった卵型のチョコレートの中におまけの玩具が入っている。；その他、巻末には各集ごとに独自の企画やおまけが用意されている。；こちらはおまけシナリオ等の追加やイラストレーターの変更がされている。；そのため原作やアニメ版でのおまけコーナーで登場することがしばしばである。；他ゲームの進行によって様々なオマケ要素が使えるようになっている。；今回のは俺と長門と中河の問題でお前はオマケ以下の存在だからな。；番組は基本3つのコーナーと、おまけコーナー等で構成されていた。；おまけに、海上輸送力の不足から機械類の携行が制限される場合もあった。；おまけに二人をまぎらすような物音も色彩もそこには見つからなかった。；番組公式ホームページでは番組では公開されなかったおまけ映像を公開している。；ストーリーにおいて重要な役割を担う場所からオマケ要素まで種類は様々。；おまけに今後の調査団の強化までが決定されているじゃないか。</t>
        </is>
      </c>
      <c r="J1179">
        <f>HYPERLINK("https://www.weblio.jp/content/おまけに", "词义详情")</f>
        <v/>
      </c>
      <c r="K1179">
        <f>HYPERLINK("https://yourei.jp/おまけに", "查看例句")</f>
        <v/>
      </c>
    </row>
    <row r="1180">
      <c r="A1180" t="inlineStr">
        <is>
          <t>お巡りさん</t>
        </is>
      </c>
      <c r="B1180" t="inlineStr">
        <is>
          <t>成功</t>
        </is>
      </c>
      <c r="C1180" t="inlineStr">
        <is>
          <t>読み方：おまわりさん
巡査を親しんで呼ぶ語。また、（制服姿の）警察官を親しんで呼ぶ語。</t>
        </is>
      </c>
      <c r="D1180" t="inlineStr">
        <is>
          <t>お巡りさんたち(3%)</t>
        </is>
      </c>
      <c r="E1180" t="inlineStr">
        <is>
          <t>警察；警官；警察官；巡査；官憲</t>
        </is>
      </c>
      <c r="H1180" t="n">
        <v>29</v>
      </c>
      <c r="I1180" t="inlineStr">
        <is>
          <t>こんなにたくさんお巡りさんがいると、来られないのではないだろうか。；相手がお巡りさんだから間違いはないだろうと思うとこれが大違い。；病院にいたとき、お巡りさんのコモの娘が自分のところにやってきたのだ。；蔵の外の三方には、お巡りさんがふたりずつ立ち番をしています。；そこの歩道に坐っているのをお巡りさんが発見したんであります。；国道には、お巡りさんが、交番の中から、じっと夜の番をしていました。；竜王の滝の付近には、たくさんのお巡りさんや私服が右往左往していた。；だって普通は現場にお巡りさんが残られて、いろいろするんでしょう。；それがどうしてお巡りさんに調べられなければいけないのです。；そして、お巡りさんが捜索している間に風介は2人の会話を聞いてしまう。；駐在所には三人のお巡りさんがゐて、それぞれ、専門の知識をもつてゐた。；見て、あのお巡りさんが棒で突っつこうとしたわ、やることが鬼だわ。；お巡りさんもただ勤めを果たしただけのことでございまして。；おうかたお巡りさんの眼のとどかぬところにかくれていたんだろうって?；まあ、あまり心配しないで、お巡りさんの言うとおりにしていればいいですよ。；もしどこかの階段に腰をおろしていたら、お巡りさんが話しかけてくるだろう。；そう考えると、やはりお巡りさんの言葉どおり、私は運がよかったのだろうか。；その台地にお巡りさんが、一人立って、双眼鏡で海のうえをながめていた。；こんなことがお巡りさんの耳に入ろうものなら、ただではすまないからね。；しかし、慌ててお巡りさんを呼ぶことはないということに、すぐ気づいた。；いきなり「お巡りさん」が話に出てくる理由がよく分からなかった。；遊びに来ると云つた方がいいくらゐ、お巡りさんは画家と話が合ふ。；「自転車の二人乗りはやめなさい」と、お巡りさんではなく姉に注意を受けた。；誰かと思ったら、先日私たちを見物に来たお巡りさんの一人だった。；お巡りさんのほかに背広の紳士がひとりいたが、それはたぶん警察医だろう。；外国の映画でお巡りさんがよくやる身体検査みたいだと浅羽は思う。；廊下に張っていたお巡りさんが俺の名前を聞きつけ、中の刑事にチクッたのだ。；「また、お巡りさんがいたりしませんか」 朱鷺子は自分でびっくりした。；お巡りさんは林の方を眺めてゐる、かと思ふと、美しく晴れた空の方にも目をやつた。</t>
        </is>
      </c>
      <c r="J1180">
        <f>HYPERLINK("https://www.weblio.jp/content/お巡りさん", "词义详情")</f>
        <v/>
      </c>
      <c r="K1180">
        <f>HYPERLINK("https://yourei.jp/お巡りさん", "查看例句")</f>
        <v/>
      </c>
    </row>
    <row r="1181">
      <c r="A1181" t="inlineStr">
        <is>
          <t>おむつ</t>
        </is>
      </c>
      <c r="B1181" t="inlineStr">
        <is>
          <t>成功</t>
        </is>
      </c>
      <c r="C1181" t="inlineStr">
        <is>
          <t>読み方：おむつ
《「むつ」は「むつき」の略》おしめのこと。</t>
        </is>
      </c>
      <c r="D1181" t="inlineStr">
        <is>
          <t>おむつ交換(4%)；おむつ替え(3%)；おむつ換え</t>
        </is>
      </c>
      <c r="E1181" t="inlineStr">
        <is>
          <t>おしめ；襁褓；お襁褓</t>
        </is>
      </c>
      <c r="F1181" t="inlineStr">
        <is>
          <t>使い捨ておむつ</t>
        </is>
      </c>
      <c r="G1181" t="inlineStr">
        <is>
          <t>おむつかぶれ；おむつケーキ；おむつカバー；おむつ寿司；おむつはずれ</t>
        </is>
      </c>
      <c r="H1181" t="n">
        <v>29</v>
      </c>
      <c r="I1181" t="inlineStr">
        <is>
          <t>妻の留守に父親が子供のおむつを取り替えなくてはならない羽目になる。；腰から下が不自然に膨れているのはおむつを当てているからだろうか。；母のおむつのやうなものなどの洗ひ物をしなければならなかつたからです。；母のおむつを洗ってるところへ、近所のお上さんが来て、大声で言った。；おむつを着用している段階では、まだ子供は排便感覚を把握できていない。；腰から下が異様に膨らんでいるのはおむつを穿かされているからだ。；祐太郎の下に、幼稚園児の弟と、まだお尻におむつをあてている妹がいる。；使用形態や元々の素材から大きく布おむつと使い捨ておむつに分類される。；成形おむつは吸収部と肌に触れる部分が別体になったものもある。；一番上の兄をおんぶして、おむつの中にビラを隠して運んだそうよ。；腹に子ができてから、女は楽しそうに小さい襯衣やおむつを縫いはじめた。；それをまた洗って使う元気はないので、こっそりそのおむつは捨てた。；悟郎のおむつが足りないのに、夜鍋してまで栄太郎の着物を縫い上げた。；母親は、看護婦がおむつを替えているあいだ、それをじっと眼で追っていた。；おむつでもつけてやっているみたいな気分だった。；ぼんやりと針を動かし続けているものだから、おむつは何枚も何枚も出来上がっていった。；これら作品群では銃士の制服を着こなし、おむつは着用していない。；また最近では大人用で可愛いデザインのおむつが販売されている。；おむつのサイズが変わってゆく度に、色々なことを覚えてゆく。；妻は二つになる男の子《*》 のおむつを取り換えているらしかった。；下の子のおむつがとれ始めた頃から、熱心に通うようになる。；全部脱がし終わると、服やおむつを丁寧に畳の上に広げだしたの。；いい大人を、おむつをさせて何日間もベッドに縛りつけておくなんて最悪だ。；しかしこの方法では、一定の割合で脱落し、おむつ使用に戻る例も見られていた。；僕は、なぜかしら祖父のおむつを換えていた、若い看護婦の顔を思い出していた。；わたしの祖父も、死ぬ前の五年間、ずっとおむつを当てていたわ。；おむつ替えやミルクの準備の時に入れておくのにちょうどよい。；おむつの交換や吐いたものを処理するのも、すぐに慣れた。；だから母は、その子のおむつをわたしに洗わせたんですよ。</t>
        </is>
      </c>
      <c r="J1181">
        <f>HYPERLINK("https://www.weblio.jp/content/おむつ", "词义详情")</f>
        <v/>
      </c>
      <c r="K1181">
        <f>HYPERLINK("https://yourei.jp/おむつ", "查看例句")</f>
        <v/>
      </c>
    </row>
    <row r="1182">
      <c r="A1182" t="inlineStr">
        <is>
          <t>お目にかかる</t>
        </is>
      </c>
      <c r="B1182" t="inlineStr">
        <is>
          <t>成功</t>
        </is>
      </c>
      <c r="C1182" t="inlineStr">
        <is>
          <t>読み方：おめにかかる
１「会う」の謙譲語。お会いする。「—・れて光栄です」
２目上の人の目に留まる。
「院、内の—・り、日本一番の名を得たる相撲なり」〈曽我・一〉</t>
        </is>
      </c>
      <c r="D1182" t="inlineStr">
        <is>
          <t>見る；会う；目撃；面会；対面</t>
        </is>
      </c>
      <c r="H1182" t="n">
        <v>29</v>
      </c>
      <c r="I1182" t="inlineStr">
        <is>
          <t>この次お目にかかる時は、もう私はちゃんとした勉強にかかっています。；八〇年代にはもうお目にかかることのできなくなった車ばかりだった。；したがって、小説や映画などでときどきこれにお目にかかることがある。；おばさまにはじめてお目にかかるときはどんな気持ちだったでしょうね!；八五郎などは一生のうちに一度もお目にかかることの出来ない大金です。；こうなってはもう、女王にお目にかかるほかはない、と彼は肚を決めた。；それで今夜はごたごたして居るから明日お目にかかる積りでいましたの。；そして自分のほうは、そのとき教王にお目にかかることを思いました。；いずれまたすぐに、何度でもお目にかかる機会があると思いますから。；何日ごろになるか、初めてお目にかかるとき私は手をとってほしい気持です。；なぜならこんなチャンスはまずお目にかかることのできないものだからだ。；これからだって、またどんな御縁でお目にかかるかわからないでしょう?；あなたにお目にかかるようにという父のいいつけには、したがいました。；おまえは知らんだろうが、日本でもめったにお目にかかることはない。；数字にお目にかかるといっても、昔から紙の上と相場がきまっていた。；縁がありましたら、またいつかお目にかかる折もあるかとぞんじます。；「こうしてあなた達にお目にかかるようにね」とダルタニャンは答えた。；こんな所で高姫様にお目にかかるとは夢にも知らなかつた。；それは、とても授業中にはお目にかかることの出来ない顔だった。；ところで、あんたにお目にかかるのはこれが初めてですな、議員さん?；まさか今日あの方にお目にかかるなんて、夢にも思っていなかったわ。；今まででも時々いらしったんだけれどもついにお目にかかるおりがなかったわね。；生きてふたたびお目にかかるといっておいたはずじゃないか。；この穴ほど完全に光のない場所にお目にかかるのは、生まれてはじめてのことだった。；もしまた、ご希望なれば、ご主人にお目にかかることも異存ございません。；道路の発達していない国へ行くと、どこでもランドローバーにお目にかかる。；間もなくお目にかかるでございましょう、すぐに帰って参りますから。；もうあなたにお目にかかるのもこれが最後じゃないかしら、最後!；そうなればあたしはもう奥さまにお目にかかることができません。</t>
        </is>
      </c>
      <c r="J1182">
        <f>HYPERLINK("https://www.weblio.jp/content/お目にかかる", "词义详情")</f>
        <v/>
      </c>
      <c r="K1182">
        <f>HYPERLINK("https://yourei.jp/お目にかかる", "查看例句")</f>
        <v/>
      </c>
    </row>
    <row r="1183">
      <c r="A1183" t="inlineStr">
        <is>
          <t>主</t>
        </is>
      </c>
      <c r="B1183" t="inlineStr">
        <is>
          <t>成功</t>
        </is>
      </c>
      <c r="C1183" t="inlineStr">
        <is>
          <t>読み方：あるじ
１一家の長。主人。「旧家の—」
２集団を統括する人。「一国一城の—」
３持ち主。「部屋の—」
４「饗設(あるじもう)け」に同じ。
「方違(かたたが)へに行きたるに、—せぬ所」〈枕・二五〉</t>
        </is>
      </c>
      <c r="D1183" t="inlineStr">
        <is>
          <t>主な勝ち鞍；主目的；主な目的；主機；主屋</t>
        </is>
      </c>
      <c r="E1183" t="inlineStr">
        <is>
          <t>父；君；先生；主に；神</t>
        </is>
      </c>
      <c r="F1183" t="inlineStr">
        <is>
          <t>事業主；主な産業；主體；主な舞台；主任務</t>
        </is>
      </c>
      <c r="G1183" t="inlineStr">
        <is>
          <t>主要；主人公；主人；主演；主催</t>
        </is>
      </c>
      <c r="H1183" t="n">
        <v>29</v>
      </c>
      <c r="I1183" t="inlineStr">
        <is>
          <t>提供されるサービスは主に計算処理とデータの保存・利用に大別される。；このような新しいアプローチは主にアメリカやイギリスで提唱された。；海水はその表面に波が立っていることが多く、これは主に風の作用である。；この高い金属存在量を説明するために、主に3つの理論が提唱されている。；現在の日本語で最も基本的な文字であり、主に次のような場面で用いられる。；現代では主に自身の性格やそれに基づいた相性を知るために利用する人がいる。；上の地図で不明瞭、または省略されている主な離島の所属は以下の通り。；主な海外で使用されている震度階級としては以下のようなものがある。；これは主に伝説と歴史に対するプラントの関心から生まれたものであった。；主に米国で使用される名称で、後述するテーブル筐体もこの一種とされる。；しかし、これ以降の時代には主に民衆から支持を得る形で小説が人気を得ていく。；主に国内農業で使用されるピックアップトラックや多目的車が製造されている。；第二次世界大戦以降は、主に第一次世界戦争と呼ばれるようになった。；当時は主に先輩や先生のモノマネなどで、共に校内の人気者だったという。；中小私鉄は主にJRの駅から離れた都市とJR駅を結ぶ役割のものが多い。；東京近郊の時計坂という町にある木造2階建ての建物で、本作の主な舞台。；サーバ用に使用される主なオペレーティングシステムには以下がある。；このマシンは主にそのハードウェアを中心に各種雑誌で広くレビューされた。；本シリーズに登場するアイテムは、主に次のように分類される。；部品事業部が展開していた主にホビー向けの流れを受けたシリーズ。；この期間の主な開発のひとつがタイムシェアリングシステムである。；主に宗教儀式やヒーリングのために演奏していたと考えられている。；売買対象は主に漫画や文庫本など大量出版され希少価値の低い書籍である。；現代医学の立場から言えば、女性は主に婦人科系の役割が重要である。；今日はゲール文字の一部として主に装飾的な目的で使用されている。；この氾濫原だけが居住に適しており、主な活動はナイル河畔で行われた。；サーバ機能を提供する主なソフトウェアの種類には以下がある。；主に以下のように分類されるが、厳密に区別できるわけではない。；同学園の生徒は当駅が設置される前までは主に田端駅か日暮里駅を利用していた。</t>
        </is>
      </c>
      <c r="J1183">
        <f>HYPERLINK("https://www.weblio.jp/content/主", "词义详情")</f>
        <v/>
      </c>
      <c r="K1183">
        <f>HYPERLINK("https://yourei.jp/主", "查看例句")</f>
        <v/>
      </c>
    </row>
    <row r="1184">
      <c r="A1184" t="inlineStr">
        <is>
          <t>重い</t>
        </is>
      </c>
      <c r="B1184" t="inlineStr">
        <is>
          <t>成功</t>
        </is>
      </c>
      <c r="C1184" t="inlineStr">
        <is>
          <t>読み方：おもい
［形］［文］おも・し［ク］
１目方が多い。力を入れないとそのものを支えたり動かしたりできない。「—・い本」「からだが2キロ—・くなった」「坂道で自転車のペダルが—・い」⇔軽い。
２動きが鈍い。動作がてきぱきとしない。軽快なところがない。「腰が—・い」「口が—・い」「まぶたが—・い（＝眠い）」⇔軽い。
３心が晴れ晴れとしない。気分がさっぱりしない。「気分が—・い」「頭が—・い」⇔軽い。
４物事の程度がはなはだしい。
㋐容易でない。深刻である。「—・い病気」「罪が—・い」⇔軽い。
㋑意味が大きい。重要である。重大である。「—・い任務」「事を—・く見る」⇔軽い。
５味が濃厚である。量が多く食べごたえがある。「—・いワイン」「朝からカツ丼は—・い」
６競馬で、競走馬の体重が理想体重より多い。また、馬場の状態が降雨などで悪い。
７囲碁で、石の手割り上の価値が大きく、捨てにくい。
８将棋で、駒の働きが重複している。
９コンピューターの動作が遅い。コンピューターの性能に比べて負荷が大きいソフトウエアを動かす時などに、命令や処理に要する時間が余計にかかるさまを指す。「動作が—・いブラウザー」⇔軽い。
10態度・性質に軽率なところがない。重厚である。
「物深く—・き方はおくれて、ひたぶるに若びたるものから」〈源・夕顔〉
[派生]おもげ［形動］おもさ［名］おもみ［名］
[下接句]頭が重い・気が重い・口が重い・腰が重い・尻(しり)が重い・荷が重い</t>
        </is>
      </c>
      <c r="D1184" t="inlineStr">
        <is>
          <t>重いもの(5%)；重い荷物；重い音；重い物；重い病気</t>
        </is>
      </c>
      <c r="E1184" t="inlineStr">
        <is>
          <t>重要；深い；主要；大きい；暗い</t>
        </is>
      </c>
      <c r="F1184" t="inlineStr">
        <is>
          <t>最も重い；気が重い；重い元素；非常に重い；重い石</t>
        </is>
      </c>
      <c r="G1184" t="inlineStr">
        <is>
          <t>重い電子；重い実；重いフェルミ粒子；重い正孔</t>
        </is>
      </c>
      <c r="H1184" t="n">
        <v>29</v>
      </c>
      <c r="I1184" t="inlineStr">
        <is>
          <t>年齢が高い人よりも低い人の方が、症状が重い人は多いと言われている。；それまでは質量が同じまたは重い元素のみがこの過程で生成されていた。；これらの重装備に対して有効なメイスは戦場での重要度を増していった。；しかし、非常に重いため性能上は可能であるが実用的でない、とされる。；これは、重い雪質の急な斜面である高田の地形から判断した結果である。；物質が燃焼すると、残った物質が軽くなる場合と重くなる場合とがある。；彼女が心の奥底で運んできたものは、この世のどんなものより重かった。；箱の大きさは、長さが一・八メートルくらいで、かなり重かったという。；そして、鉄よりも重い元素は超新星爆発時に生成したと考えられている。；悔しさがからだ中にいっぱい詰まってる気がしてなんだか足が重かった。；機関車では、牽引性能を発揮するためにある程度の軸重を必要としている。；英語でビジネスをいかに展開していくかということに重きを置いている。；おれは地面に権利書を置き、風で飛ばされぬように、石の重しを載せた。；生きていてこのくらい重いんだから、こいつが死んだら、なお重かろう。；六九年の三月には新聞が彼の死を報じたほど、それほど病気が重かった。；これは雪質が重い日本独特の対策であるため、海外ではあまり見られない。；小さな町でのこんな暮らしは気が重かったし、息がつまりそうだった。；イタリアでは滋養のあるものや重い食べ物を木曜日に食べる習慣がある。；携帯ラジオ用のスピーカーは絶対に大きくて重いものであってはならない。；事実無根の記事であっても一度新聞にでた記事がもつ意味は重かった。；あまりに重いため、それらはのように車輪を備えていることもあった。；その重しのせいで、このページは開こうとする力を今だに維持している。；あなたの場合は症状がひどく重かったのよ、わかっているでしょうけれど。；これらの産業が重く・厚く・長く・大きな製品を扱うことに由来する。；日本では死罪に次いで重い刑であったが、1908年に廃止されている。；自分の体は半分の力しかなくて、いつも体が重かったけど、嬉しかった。；化学的性質が実験的に調べられている中で、最も重い元素の一つである。；口の重かった彼らは生前、家族に自分の武勲を語ることもなかったろう。；私は元来あまり物怖じはしないたちだが、この時はやはり気が重かった。</t>
        </is>
      </c>
      <c r="J1184">
        <f>HYPERLINK("https://www.weblio.jp/content/重い", "词义详情")</f>
        <v/>
      </c>
      <c r="K1184">
        <f>HYPERLINK("https://yourei.jp/重い", "查看例句")</f>
        <v/>
      </c>
    </row>
    <row r="1185">
      <c r="A1185" t="inlineStr">
        <is>
          <t>思い浮かぶ</t>
        </is>
      </c>
      <c r="B1185" t="inlineStr">
        <is>
          <t>成功</t>
        </is>
      </c>
      <c r="C1185" t="inlineStr">
        <is>
          <t>読み方：おもいうかぶ
［動バ五（四）］心に浮かぶ。「名案が—・んだ」
［動バ下二］「おもいうかべる」の文語形。</t>
        </is>
      </c>
      <c r="D1185" t="inlineStr">
        <is>
          <t>思い浮かぶまま</t>
        </is>
      </c>
      <c r="E1185" t="inlineStr">
        <is>
          <t>起こる；浮かぶ；襲う；浮ぶ；思い出される</t>
        </is>
      </c>
      <c r="H1185" t="n">
        <v>29</v>
      </c>
      <c r="I1185" t="inlineStr">
        <is>
          <t>それがどんな意味を持っているのか、まったく頭に思い浮かばなかった。；頭に思い浮かぶことが、どうしても視下の社会の動きから影響を受ける。；あまり想像したくはなかったが、可能性は一つしか思い浮かばなかった。；そんな考えが相変らず思い浮かぶのは、ただの頭のゲームなのだろうか。；こんな気分の時に、会いに行く女の一人も思い浮かばないのが悪いのか。；頭に思い浮かぶこと全てが言葉となって止めどなく口から流れ出てくる。；でもどう考えてみても彼女がいなくなる理由は思い浮かばなかった。；そのイメージを一言で表現するなら、悪夢以外の言葉は思い浮かばない。；ポケットに入っていた鍵を見た士の脳裏に、突然ある洋館が思い浮かぶ。；何も思い浮かばなかったが、たしかに何かあるにちがいないと感じた。；が、決定的なその瞬間だけはどうしてもはっきりと思い浮かばないのだ。；その女性はリース女史のアメリカ生活からは思い浮かばないでしょうよ。；気の利いた言葉でもかけようと思ったが、適当な言葉が思い浮かばない。；必死で何かを考え、思い浮かぶ想念をまた必死で否定しているかのようだ。；あてもなく建物の上階を見回すも、これといって思い浮かぶこともない。；女たちが魅力を感じる、一種の荒っぽい力強さを彼は思い浮かばせるね。；今ここで頭に思い浮かぶことだけでも彼女に伝えておきたかった。；彼の頭脳をもってしても全く適当な方法が思い浮かばなかったのだ。；しかもバイトもないとなるとやるべきことが健一には思い浮かばなかった。；千鶴さんに言葉を返そうとしたが、咄嗟にはなにも思い浮かばなかった。；田舎という表現しか思い浮かばないほど、のどかな風景が広がっていた。；これは、誰が見てもすぐに具体的な人物が思い浮かぶほどの言い方であろう。；必死になったところで、なにが思い浮かぶというわけでもなかったが。；心が体にあらわれたというべきか、もはやそれしか言葉が思い浮かばなかった。；何か言わなければと思いはするものの、具体的な言葉がまるで思い浮かばない。；雷太は少しの間考えてみたが他の質問は何も思い浮かばなかった。；何でもいいのだが、かえってこういうときは思い浮かばないものだ。；次の一言が思い浮かばずにいると、当の里志が横から口を挟んできた。；もしあるとしたら、寝ているという可能性くらいしか思い浮かばない。</t>
        </is>
      </c>
      <c r="J1185">
        <f>HYPERLINK("https://www.weblio.jp/content/思い浮かぶ", "词义详情")</f>
        <v/>
      </c>
      <c r="K1185">
        <f>HYPERLINK("https://yourei.jp/思い浮かぶ", "查看例句")</f>
        <v/>
      </c>
    </row>
    <row r="1186">
      <c r="A1186" t="inlineStr">
        <is>
          <t>思い浮かべる</t>
        </is>
      </c>
      <c r="B1186" t="inlineStr">
        <is>
          <t>成功</t>
        </is>
      </c>
      <c r="C1186" t="inlineStr">
        <is>
          <t>読み方：おもいうかべる
［動バ下一］［文］おもひうか・ぶ［バ下二］心に浮かべる。心に描く。「父の姿を—・べる」</t>
        </is>
      </c>
      <c r="D1186" t="inlineStr">
        <is>
          <t>思う；思い出す；回想；想像する；想起</t>
        </is>
      </c>
      <c r="F1186" t="inlineStr">
        <is>
          <t>まざまざと思い浮かべる；はっきりと思い浮かべる；まず思い浮かべる；聞いて思い浮かべる</t>
        </is>
      </c>
      <c r="H1186" t="n">
        <v>29</v>
      </c>
      <c r="I1186" t="inlineStr">
        <is>
          <t>それとも・・・・ 僕は以前病院で見た女の人の姿を思い浮かべていた。；イギリスの男性というと私がすぐに思い浮かべるのはこのお二人である。；アパートを出る前に確認してきたこのあたりの地図を頭に思い浮かべた。；僕は図書館のストーヴの前で僕を待っている彼女のことを思い浮かべた。；お兄さまがどんな話をもってきたかなんて、あまり思い浮かべなかった。；今から電話して夕食を共にしてくれそうな女たちの顔を思い浮かべた。；なぜってこの今でも僕はあの男を思い浮かべることができるんですから。；あのときの姿を思い浮かべてみても、大金を隠しているように思えない。；人が中に入って動物の姿を思い浮かべると、その動物の姿に変身できる。；ホンを読むときや、聞いているときは絵を思い浮かべて頭に入れている。；大阪府警と聞いた時から、大阪行きのことを頭に思い浮かべていたのだ。；ペンも紙もなかったため、これらを頭の中ですべて思い浮かべていった。；あり得そうもない状況を思い浮かべて大笑いした子供時代の頭の柔軟さ。；あなたはひとつこうした事情を正しく思い浮かべてみる必要があります。；にしても腕一本でよく済んだよな、と滝川は戦闘の様子を思い浮かべた。；愛らしい普段着を着ている彼女の姿を僕はいつでも思い浮かべています。；もっと具体的には、中国の黄土に毛の生えた土を思い浮かべてください。；昔読んだ少女マンガに出てきた女の子の天使の姿を必死で思い浮かべる。；人間は直接目で見る以外に、心の中にシーンを思い浮かべることができる。；叫びだしたくなる時、なぜか思い浮かべている人に迎えられたからだ。；ニコラスはこういうことを知っていそうな女の顔を思い浮かべてみた。；堯はそんなときいつか電車のなかで見たある少女の顔を思い浮かべた。；奥さんの顔や姿をあれこれ思い浮かべて眠れなくなるなんてこともない。；なんの手掛かりもないのだから、具体的に思い浮かべることはできない。；そしてまた、美甘子の笑うと目のなくなってしまう表情を思い浮かべた。；私は一人でいて彼の名を思い浮かべただけでも、もういらいらし初める。；こんな簡単な説明でも、過去のことをある程度思い浮かべさせますからね。；血まみれになった男の顔や、血まみれになった自分の手を思い浮かべた。；そしてふっと何かまったく別なことを思い浮かべたように話し始めた。</t>
        </is>
      </c>
      <c r="J1186">
        <f>HYPERLINK("https://www.weblio.jp/content/思い浮かべる", "词义详情")</f>
        <v/>
      </c>
      <c r="K1186">
        <f>HYPERLINK("https://yourei.jp/思い浮かべる", "查看例句")</f>
        <v/>
      </c>
    </row>
    <row r="1187">
      <c r="A1187" t="inlineStr">
        <is>
          <t>思いがけない</t>
        </is>
      </c>
      <c r="B1187" t="inlineStr">
        <is>
          <t>成功</t>
        </is>
      </c>
      <c r="C1187" t="inlineStr">
        <is>
          <t>読み方：おもいがけない
［形］［文］おもひがけな・し［ク］意外である。思ってもみない。予期しない。「—・いお客さま」</t>
        </is>
      </c>
      <c r="D1187" t="inlineStr">
        <is>
          <t>思いがけないこと(13%)；思いがけないところ(3%)；思いがけないもの(3%)；思いがけない言葉；思いがけない出来事</t>
        </is>
      </c>
      <c r="E1187" t="inlineStr">
        <is>
          <t>突然；偶然；意外；不意；たまたま</t>
        </is>
      </c>
      <c r="F1187" t="inlineStr">
        <is>
          <t>全く思いがけない；思いがけないとき；思いがけない方向；思いがけない展開；思いがけない発見</t>
        </is>
      </c>
      <c r="H1187" t="n">
        <v>29</v>
      </c>
      <c r="I1187" t="inlineStr">
        <is>
          <t>鏡のように見えた湾の入口がこうまで動いているとは思いがけなかった。；あの人は私の方でそうした出ようをするとは思いがけなかったようなの。；可能性がないことではないと思っていたが、それでも思いがけなかった。；彼女の体にそんな美しいところがあろうとは思いがけないことである。；私は自分にも思いがけない位、静かにその仕事に没頭することが出来た。；東京見物は思いがけない方向へ発展して、ふたりは郊外を歩きまわった。；生命が自分にとって思いがけない光を持つようになったと云うことだ。；まさかビールがこんなことになるとは友人も私も思いがけなかったことだった。；思いがけなかったのは、長助と一緒に源三郎の顔がみえたことであった。；そしてさらにトランシラの口から、思いがけない事実が明らかにされた。；支那町の真中にこんな大名屋敷に似た門があろうとは思いがけなかった。；ただ思いがけなかったのは下村さんが警察へ行く途中で逃げちゃった事だわ。；そこには自分と両親を殺した事件の思いがけない真相が隠されていた。；並んで肩を入れた私の耳にはじめさんは思いがけないことを囁いた。；こういう空気の中で、半蔵の耳には思いがけない新しい声が聞こえて来た。；四十三の父がまた結婚するということがその時の私には思いがけなかった。；この思いがけない行動で遠征軍は攻撃を中止して守備につくことを余儀なくされた。；どの料理も思いがけない味がして、これまでに食べたどの料理とも違っていた。；それはそれとして、思いがけないところに親切な人がいるものである。；さはあれ引っ込みのつかなくなったのは、実に思いがけない事であろう。；次のことは思いがけない経験になるから、ぜひ一度やって見てほしい。；窓のガラスに映る自分の姿を、思いがけない瞬間に見ることができた。；まったく思いがけないほどの力で、折之助は夜具の上へ倒れかかった。；小酒井博士の死はそのうちでも最も思いがけない死の一つであった。；一里二里と登って漸く人家も断えた頃から思いがけない雪が降り出した。；すると思いがけない場所の名前が突然夫人の口から点出された。；あらゆる思いがけない事態が考えられるのだ、もっともいやなことも含めて。；すると、そのあとにあいた穴から思いがけない人の顔があらわれた。；はじめてパーティに出た小娘のように、思いがけないことばかりなのだ。</t>
        </is>
      </c>
      <c r="J1187">
        <f>HYPERLINK("https://www.weblio.jp/content/思いがけない", "词义详情")</f>
        <v/>
      </c>
      <c r="K1187">
        <f>HYPERLINK("https://yourei.jp/思いがけない", "查看例句")</f>
        <v/>
      </c>
    </row>
    <row r="1188">
      <c r="A1188" t="inlineStr">
        <is>
          <t>思い切って</t>
        </is>
      </c>
      <c r="B1188" t="inlineStr">
        <is>
          <t>成功</t>
        </is>
      </c>
      <c r="C1188" t="inlineStr">
        <is>
          <t>読み方：おもいきって
［副］
１ためらう気持ちを振り切って物事をするさま。決心して。「—秘密を打ち明ける」
２ためらうことなく物事をするさま。思い切り。「—バットを振る」</t>
        </is>
      </c>
      <c r="D1188" t="inlineStr">
        <is>
          <t>思い切って尋ね；思い切って訊い；思い切って告白；思い切って訊ね；思い切って扉</t>
        </is>
      </c>
      <c r="E1188" t="inlineStr">
        <is>
          <t>はっきりと；盛んに；積極的に；即座に；勢いで</t>
        </is>
      </c>
      <c r="F1188" t="inlineStr">
        <is>
          <t>思い切って捨て；思い切ってたずね；思い切って耕作；思い切って正直；思い切って手術</t>
        </is>
      </c>
      <c r="H1188" t="n">
        <v>29</v>
      </c>
      <c r="I1188" t="inlineStr">
        <is>
          <t>主張を変えなければならなくなったので、僕は、思い切っていってみた。；それから彼は思い切って、何用あってここへはやって来たのかと訊ねた。；若いからこそ思い切ってそんな事も出来たんだね、と懐しそうであった。；知友に頒つのは二百部でも十分なのを思い切って三百五十刷らせて見た。；そうしてお互いの『自己』を発揮するために思い切って努力してみたい。；その芳子に電話の中で、竜太は召集令状が来たことを思い切って告げた。；計画そのものが思い切って大胆なところに気持ちが動いたのは事実である。；思い切って眼を上げると、彼は私に背を向けて、窓の方を眺めていた。；まだ初めのころなら思い切ってそうすることもできたかも知れない。；それから又思い切って北の大熊星の方へまっすぐに飛びながら叫びました。；「不思議に思っているんだけど」ついに彼女は、思い切って口を開いた。；実のところわたしたちが思い切ってしなければ、だれかほかの人がする。；かれはここまで来た時に、はじめて思い切ってその娘に声をかけたのである。；ここへ思い切って堆肥を反当り四百貫くらい毎年入れるのだそうである。；でも、思い切って、あたしたちの婚約を発表することができなかったの。；しかし、彼は妹に手を与えることすら、思い切ってできなかったのである。；体も骨太に思い切って大きく眼の大きい眉の太い弟の方は兄より見かけが良い。；リュカが一緒に食事するのかどうか、彼女には思い切って訊けなかった。；こういう際であるから多少のことは思い切って、受けるのが当然だ。；あなたが思い切って強く出るようにならないと果しがありませんよ。；彼がそうだと答えると、ようやく思い切ってその困難にぶつかっていった。；わたくしは思い切って勢よく歩いて行っておじぎをして尋ねました。；自分が思い切って一方を取れば、是非退けねばならない他の一方がある。；何かの雑誌から随筆をたのまれて、書きも書いたり、思い切って書いた。；ゆうべの女が死んだことを知っているか、と橘は思い切って口にした。；ずウッと前に一人か二人を思い切って社員にしたことがあります。；その時も私は、思い切って声をかけようとしていたところであった。；その上彼はすべてを思い切ってしまい、何らの活動もせず計画もしなかった。；しかしとうとう我慢し切れなくて、思い切ってI駅で下りてしまった。</t>
        </is>
      </c>
      <c r="J1188">
        <f>HYPERLINK("https://www.weblio.jp/content/思い切って", "词义详情")</f>
        <v/>
      </c>
      <c r="K1188">
        <f>HYPERLINK("https://yourei.jp/思い切って", "查看例句")</f>
        <v/>
      </c>
    </row>
    <row r="1189">
      <c r="A1189" t="inlineStr">
        <is>
          <t>思い切り</t>
        </is>
      </c>
      <c r="B1189" t="inlineStr">
        <is>
          <t>成功</t>
        </is>
      </c>
      <c r="C1189" t="inlineStr">
        <is>
          <t>読み方：おもいきり
［名］思い切ること。あきらめ。「—がいい」
［副］満足できるまでするさま。思う存分。「—遊びたい」</t>
        </is>
      </c>
      <c r="D1189" t="inlineStr">
        <is>
          <t>思い切りよく(5%)；思い切り蹴り；思い切り強く；思い切り顔；思い切り殴りつけ</t>
        </is>
      </c>
      <c r="E1189" t="inlineStr">
        <is>
          <t>よく；最も；非常；非常に；かなり</t>
        </is>
      </c>
      <c r="F1189" t="inlineStr">
        <is>
          <t>思い切り伸ばし；思い切り力；腕を思い切り；思い切り踏みつけ；足を思い切り</t>
        </is>
      </c>
      <c r="H1189" t="n">
        <v>29</v>
      </c>
      <c r="I1189" t="inlineStr">
        <is>
          <t>いつはてるとも知れない、思い切りのつかない気持ちのことだったのか。；警察にも役所にも許可なんか取らずに、思い切りやってみたかったんだ。；ところが喉の病気が原因で、思い切り歌うことが出来ない身体であった。；倒れたときに地面と接していた箇所は、思い切り白く汚れてしまっている。；なにか思い切りをつけなくては開く意志がでない、そういう仕草である。；それが半分頓挫したと見るや、すぐに金を返しに来る思い切りのよさ。；御息所はいったん源氏を思い切り、源氏も心変りを自分で意識している。；思い切り女を孕ませて、このままここに居付いてしまってもいいのである。；指の先に思い切り力を入れなければならないので、自然と指がごつくなる。；しかし彼にすれば容易ならぬことで、その思い切りのよさに感心する。；逆に昔のほうが今よりもずっと、思い切りがよかったかもしれない。；思い切り短く切ってしまうことになってもいいと、覚悟を決めていた髪でした。；助走の勢いを殺さぬよう、屋根から屋根へと思い切り良く飛び移っていく。；何とかなるだろう、という普段の僕らしくない思い切りのよさがあった。；ブライアンはこのドアかとあたりをつけて、一つのドアを思い切りあけた。；私は彼がピストルを放すのを待って、彼の顔を思い切り殴りつけました。；外の清涼な空気が想像されて、わたしは山比古に思い切り手を振った。；思い切りの悪い増田はぐずぐずしているうちに取り押さえられたのです。；自分はそれ等のことを思切つて今晩彼に語つてもよいと考へたのだ。；蒼子は手に触れた先程の新聞を拾い上げ、壁に向かって思い切り投げた。；仕事でも何でも、思い切りやりきることができたなら、それでいいと思う。；思い切り楽しみ、見せびらかすつもりの予定が延びてしまったのだから。；罵倒の言葉が口から飛び出る前に私は彼女の顔に思い切り煙を吹きかけた。；「思い切りだよ」当然ながら三浦の答えは、森田森吾とは異なっていた。；あっしゃ、ただお梅さんの思い切りをよくさせるためにやっただけなんだ。；座ぶとんにパチンコの玉を思い切り投げつけたらそんな音がするだろう。；そんなことをするには、精神を思い切り集中しなければならない。；扉が閉まる音を確認してから、由紀子は溜めていた息を思い切り吐いた。；岩から足を抜き、二人一緒に海面へ浮き出ると、思い切り胸で息をした。</t>
        </is>
      </c>
      <c r="J1189">
        <f>HYPERLINK("https://www.weblio.jp/content/思い切り", "词义详情")</f>
        <v/>
      </c>
      <c r="K1189">
        <f>HYPERLINK("https://yourei.jp/思い切り", "查看例句")</f>
        <v/>
      </c>
    </row>
    <row r="1190">
      <c r="A1190" t="inlineStr">
        <is>
          <t>思い込む</t>
        </is>
      </c>
      <c r="B1190" t="inlineStr">
        <is>
          <t>成功</t>
        </is>
      </c>
      <c r="C1190" t="inlineStr">
        <is>
          <t>読み方：おもいこむ
［動マ五（四）］
１深く心に思う。固く心に決める。「—・んだら命がけ」
２そうだと独り決めして信じてしまう。「成功すると—・んでいる」</t>
        </is>
      </c>
      <c r="D1190" t="inlineStr">
        <is>
          <t>思い込むだろ</t>
        </is>
      </c>
      <c r="H1190" t="n">
        <v>29</v>
      </c>
      <c r="I1190" t="inlineStr">
        <is>
          <t>それが私にこの手紙をごく何でもないもののように思い込ませてくれた。；みんな御自身と同じ能力を持っているものと思い込んでいるらしいのだ。；そしてお互いに相手が犯罪を行なったものと思い込んでしまったのです。；清はおれをもって将来立身出世して立派なものになると思い込んでいた。；おそらく、実際に自分は死んだものとばかり思い込んでいたのであろう。；私はあの時寝台の中の女を悪魔だと思い込んで殺したので御座いました。；だから私は一瞬やはり体の異常だったのかと思い込むところであった。；これを書いた人物は、いますぐにでも死のうとしているのだと思い込む。；陸軍の若いものは自分たちの考えのみが正しいと思い込んでおります。；彼は兵士や民衆が自発的に自分の大義に従ってくれると思い込んでいた。；それが私にこの手紙をごく何んでもないもののように思い込ませて呉れた。；着信拒否されていると気づいたら話し中だと思い込むようにしています。；彼女達はどこの父親も自分達の父親と同じようなものだと思い込んでいる。；おそらく夫人は私がその事実を知っていると思い込んでおられたのでしょう。；つまり一番手前の角が奥にあり、一番奥の角が手前にあるように思い込む。；離婚は自分のせいで起きたと誤って思い込んでいることが多いからである。；でも私は自分で自分にそう思い込ませるようにして、床につきました。；お金よりも、よいものがこの世の中に無いと思い込んでしまっているんだ。；僕のことをたいへん苦労をした者のように思い込んでいるふしが見える。；少くとも自分からは、ばあやは青年と気が合っていると思い込んでいた。；前半32ページで完結したものと思い込んでいた読者もいたそうである。；事件のことが新聞に出れば、おまえは俺達が人違いしたんだと思い込む。；最初は彼が思いのほか強いミュータントなのだろうと思い込んでいた。；文学を言葉の遊び以上のもの、それ以外のものと思い込まないことだ。；したがって唇の動きだけで意味を伝え合っていると思い込んでいる。；初めて恋愛を経験したときには誰でも、この愛は絶対だって思い込む。；たぶん、みんなにそう思い込ませるのがやつの望みだったんでしょうけど。；そういうとき順吉は自分をひどく人と変った者のように思い込んだりする。；ああいう人はいったんこうと思い込むと、とことんやるのかも知れない。</t>
        </is>
      </c>
      <c r="J1190">
        <f>HYPERLINK("https://www.weblio.jp/content/思い込む", "词义详情")</f>
        <v/>
      </c>
      <c r="K1190">
        <f>HYPERLINK("https://yourei.jp/思い込む", "查看例句")</f>
        <v/>
      </c>
    </row>
    <row r="1191">
      <c r="A1191" t="inlineStr">
        <is>
          <t>思い出す</t>
        </is>
      </c>
      <c r="B1191" t="inlineStr">
        <is>
          <t>成功</t>
        </is>
      </c>
      <c r="C1191" t="inlineStr">
        <is>
          <t>読み方：おもいだす
［動サ五（四）］
１過去のこと、忘れていたことを心によみがえらせる。「青春時代を—・す」「急用を—・す」
２思いはじめる。「彼のほうが正しいのではないかと—・してきた」</t>
        </is>
      </c>
      <c r="D1191" t="inlineStr">
        <is>
          <t>思い出すだろ；思い出すかも；思い出すべき；思い出すでしょ；思い出すまい</t>
        </is>
      </c>
      <c r="E1191" t="inlineStr">
        <is>
          <t>思う；思わせる；覚えている；回想；振り返る</t>
        </is>
      </c>
      <c r="F1191" t="inlineStr">
        <is>
          <t>ふと思い出す；はっきり思い出す；いつも思い出す；時々思い出す；まざまざと思い出す</t>
        </is>
      </c>
      <c r="G1191" t="inlineStr">
        <is>
          <t>思い出すことなど</t>
        </is>
      </c>
      <c r="H1191" t="n">
        <v>29</v>
      </c>
      <c r="I1191" t="inlineStr">
        <is>
          <t>一枚買っていたことを思い出して札の番号を見ると千両が当たっている。；こんな時だからこそ沢山の愛をもらっている事を思い出してもらいたい。；さっきまでそんな文字があったかどうか思い出そうとするがわからない。；彼女は父の言っていたことをいろいろと思い出しながら行動している。；それに昔のことが思い出されて堪えられないものが私の心にあるのです。；一種の香はあったがそれは花のにおいを思い出させるものではなかった。；何が原因で怒鳴りあっていたのかさえ思い出せなくなってしまうんです。；彼はいつか茶屋四郎次郎のいった言葉を思い出そうとしていたのである。；ことにあの子の母の事を思い出すと時々たまらなくなることもあるのだ。；まるで捉えどころのない恐怖の原因を思い出そうと努力しているようだ。；私は、その人をどこかで見たと思ったのですが、思い出せませんでした。；口に出かかっている名前が、どうしても思い出せないような気分だった。；彼は過去の恋愛を思い出すのが辛過ぎて音楽をやめようとしていたのだ。；我々が以前に知っていた場所や人物を思い出すときも同じ事例である。；会ったことはもちろん、そんな名前を聞いたことさえ思い出せなかった。；係官たちは帆村にそういわれて何事かを思い出そうと努めたが為である。；それを見ていると、何かうまく思い出せないものが、心に浮かんできた。；ソロはそう思うと縁起でもない気がしたので、思い出さないようにした。；「どうしたんだろう」さっき青二の母親がいったことばが思い出された。；けれど思い出そうとすればするほど、夢を見たのだという気がしてくる。；ただ思い出すともなく思い出されるのをいかにともすることが出来ない。；ただ思い出すともなく思い出されるのをいかにともすることが出来ない。；しかし、今はもう、それがだれのものだったか思い出せなくなっていた。；その時、自分の手がどうなっていたか、今ではどうしても思い出せない。；私も昔のことを時々思い出すけど、楽しい中にも苦しいことがあったさ。；どんなことを刑事さんから質問されたか、思い出そうとしていたんです。；去年の冬、ラジオで聞いたあの音楽の作曲家の名前を思い出そうとした。；一行は故郷の事を思い出して、成すすべなく日々を泣いて過ごしていた。；自分が何を得て何を失ったのか、改めて思い出そうとしているようだった。</t>
        </is>
      </c>
      <c r="J1191">
        <f>HYPERLINK("https://www.weblio.jp/content/思い出す", "词义详情")</f>
        <v/>
      </c>
      <c r="K1191">
        <f>HYPERLINK("https://yourei.jp/思い出す", "查看例句")</f>
        <v/>
      </c>
    </row>
    <row r="1192">
      <c r="A1192" t="inlineStr">
        <is>
          <t>思いつき</t>
        </is>
      </c>
      <c r="B1192" t="inlineStr">
        <is>
          <t>成功</t>
        </is>
      </c>
      <c r="C1192" t="inlineStr">
        <is>
          <t>読み方：おもいつき
１思いついたこと。ふと浮かんだ考え。「なかなかいい—だ」「—で行動されては迷惑だ」
２いい考え。おもしろい着想。
「お前の言って来て呉れた下宿屋は至極—だと思う」〈虚子・続俳諧師〉</t>
        </is>
      </c>
      <c r="D1192" t="inlineStr">
        <is>
          <t>思いつきまし(6%)；思いつきませんでし</t>
        </is>
      </c>
      <c r="E1192" t="inlineStr">
        <is>
          <t>発想；気まぐれ；着想；アイディア；思い付き</t>
        </is>
      </c>
      <c r="F1192" t="inlineStr">
        <is>
          <t>単なる思いつき；すばらしい思いつき；ちょっとした思いつき；ほんの思いつき；新しい思いつき</t>
        </is>
      </c>
      <c r="H1192" t="n">
        <v>29</v>
      </c>
      <c r="I1192" t="inlineStr">
        <is>
          <t>夫が何を言い何としようと、彼女はあくまで自分の思いつきを主張した。；しかもその急所の押さえかたは決してその場その場の思いつきではない。；最後の思いつきを成功させるために、僕は冷静になる必要がありました。；わたしがしゃべったことが、単なる思いつきだとでも思っているのかね?；電話をかける途中から呼びもどされたおかげで、それを思いつきました。；その晩、子供たちに自分を主人公にした思いつきの物語を語り始める。；とあなたが叫んだ時には、私はその思いつきに笑わずにはいられなかった。；妻には言わなかったが、ある思いつきを得て彼はわずかに心を慰めた。；犯人がね、その突飛千万な思いつきを試験する為に使用したものだよ。；彼はまた、実験法の思いつき方が独特であることでも知られている。；じぶんで何かいいたいのですが、いいことを思いつきませんでした。；その点に於いて私の計画は、たしかに一種の思いつきだと信じました。；五右衛門はあれかこれかと考えた末に、ふといいことを思いつきました。；その思いつきを具体的に書いた記事を読者に示すほうが適当だろう。；この小間使いの手はあのひとの思いつきで、最近に思いついたものです。；またある人によって非難されたように一時の思いつきからでもない。；いろいろと考えているうちに、ぼくは、ふとこんなことを思いつきました。；例えばあんなお部屋をどうして借りることなどお思いつきになったんですの?；怪我が理由とも噂されたが、実際は本人の思いつきによるものらしい。；ただそう聞かれても、納得してもらえるような答えは思いつきません。；その日だったかどうか、それをたしかめる方法をなにか思いつきませんか?；何か少しのはかない思いつきでも、提出せずに居られぬのもそのためである。；ただし自分に関係あるものを思いつき次第に悪くいうのが謙遜だと信じている。；これがすなわち即製ますのスープで、なかなか結構な思いつきだと思う。；そして少女のみが思いつき得るような単純な理由を発見した。；何でもないように見えて、女性でなければ思いつき得ぬ趣向である。；わたくしがあなただったら、とてもそんなことは思いつきませんわ!；きっと、あれは思いつきの殊勝な気持を言ってみただけなのだろう。；こういう変った思いつきは、またわたしに次のようにも思わせる。</t>
        </is>
      </c>
      <c r="J1192">
        <f>HYPERLINK("https://www.weblio.jp/content/思いつき", "词义详情")</f>
        <v/>
      </c>
      <c r="K1192">
        <f>HYPERLINK("https://yourei.jp/思いつき", "查看例句")</f>
        <v/>
      </c>
    </row>
    <row r="1193">
      <c r="A1193" t="inlineStr">
        <is>
          <t>思いつく</t>
        </is>
      </c>
      <c r="B1193" t="inlineStr">
        <is>
          <t>成功</t>
        </is>
      </c>
      <c r="C1193" t="inlineStr">
        <is>
          <t>読み方：おもいつく
［動カ五（四）］
１ある考えがふと心に浮かぶ。考えつく。「いいアイデアを—・く」
２忘れていたことを思い出す。「急用を—・く」
３思いを寄せる。好意をもつ。恋い慕う。
「頗(すこぶ)る付きの別品、加之(しか)も実のあるのに—・かれて」〈二葉亭・浮雲〉
［動カ下二］1に同じ。
「—・けたる事こそあれ」〈浮・五人女・三〉</t>
        </is>
      </c>
      <c r="D1193" t="inlineStr">
        <is>
          <t>思いつくかもしれ；思いつくまい；思いつくはずもなく；思いつくまま列挙；思いつくあらゆる</t>
        </is>
      </c>
      <c r="E1193" t="inlineStr">
        <is>
          <t>いう；思う；意味；考える；考案</t>
        </is>
      </c>
      <c r="F1193" t="inlineStr">
        <is>
          <t>ふと思いつく；すぐに思いつく；なにか思いつく；ひとつ思いつく</t>
        </is>
      </c>
      <c r="H1193" t="n">
        <v>29</v>
      </c>
      <c r="I1193" t="inlineStr">
        <is>
          <t>それが為、今度は何を思いつくのかと側近達は不安で仕方なかったのだ。；どこがいいか候補をあげていくうちに、ぼくは、いいことを思いついた。；彼は赤信号で待っている時にこのアイデアを思いついたと言われている。；この段階では名前はついておらず、後から情報を集めて思いついて行った。；誰がこんな途方もないことをしてみようと思いつくことができたのだろう。；プレイの順番は無く、誰でも思いついた順にカードを出すことができる。；こっちは思いつくかぎりの店に向かって、セイバーは黙って付いてくる。；考えるとしたら、それこそ一番最後に思いつくような娘だったからだ。；そこで思いついたのが西洋のコーヒー店のようなものを開くことであった。；或は佳子さんの写真が秘め忘れてありはしまいかと思いついたのだった。；彼は思いついたように自分の家に走って木の板と鉈とを持って来た。；彼女はひどく嘆息して、そのうちに何か微吟して見ることを思いついた。；ロジャーは、本を読んでいる間に思いついたことが歌になったとしている。；まさかカードを数えようと思いつく者なんかひとりもあるまいと信じてね。；題名は当初は考えておらず、掲載するに当たって急遽思いついたという。；そして不幸な公爵は、この間に乗じてなすべき事を思いついたのである。；マークがなぜニューヨークにいるのか、私に思いつく理由はただ一つ。；多分七つ道具から思いついたものだろう、と可心もこれには弱っている。；父は息子からお尻の弾丸を抜いてもらっていると、いい作戦を思いついた。；レーヴィによると、実験の主要部分は彼が寝ている時に思いついたという。；不意にあの女がそんなことを思いつくのは珍しいことじゃないや!；しばらく茫然と突ったっているうちに、私はふとあることに思いついた。；そのときそのときで、思いつくままの、好きな名で呼ぶのが癖である。；先輩が思いついてちょッと行って訊いてみたというのも尤もなところだ。；花火を売ってる知った店があるので、それを思いついただけのことだ。；これを聞いた畔倉は、殺害計画にこの煙草入れを利用することを思いつく。；「よくそんなことを思いつくな」 彼はテーブル上の煙草に手を伸ばした。；これは想像に過ぎないがホームズを頭においているのではないかと思いついた。；都市を築かず軍隊も組織しない彼らが、包囲作戦など思いつくはずがない。</t>
        </is>
      </c>
      <c r="J1193">
        <f>HYPERLINK("https://www.weblio.jp/content/思いつく", "词义详情")</f>
        <v/>
      </c>
      <c r="K1193">
        <f>HYPERLINK("https://yourei.jp/思いつく", "查看例句")</f>
        <v/>
      </c>
    </row>
    <row r="1194">
      <c r="A1194" t="inlineStr">
        <is>
          <t>思い出</t>
        </is>
      </c>
      <c r="B1194" t="inlineStr">
        <is>
          <t>成功</t>
        </is>
      </c>
      <c r="C1194" t="inlineStr">
        <is>
          <t>読み方：おもいで
１過去に自分が出会った事柄を思い出すこと。また、その事柄。「—にひたる」
２あることを思い出すよすがになるもの。「旅の—に写真を撮る」
[補説]書名別項。→思ひ出</t>
        </is>
      </c>
      <c r="D1194" t="inlineStr">
        <is>
          <t>思い出作り；思い出ばなし；思い出帳；思い出アピール；思い出ふかい</t>
        </is>
      </c>
      <c r="E1194" t="inlineStr">
        <is>
          <t>記憶；覚え；土産；形見；憶</t>
        </is>
      </c>
      <c r="F1194" t="inlineStr">
        <is>
          <t>いい思い出；苦い思い出；悲しい思い出；懐かしい思い出；嫌な思い出</t>
        </is>
      </c>
      <c r="G1194" t="inlineStr">
        <is>
          <t>思い出す；思い出さ；思い出せ；思い出そ；思い出話</t>
        </is>
      </c>
      <c r="H1194" t="n">
        <v>29</v>
      </c>
      <c r="I1194" t="inlineStr">
        <is>
          <t>このところ、弟との思い出が次から次へといっぱい浮かんできましたね。；しかし、かつては悪い思い出が多すぎるためあまり行かなかったという。；現役引退時にはこの本塁打がプロでの一番の思い出だったと語っている。；それまでの事を思い出しながら思い出のポニーの丘に登ったキャンディ。；基本は旅先で失われた思い出の料理を慶太が復活させていくという内容。；それは彼女にとって唯一遺された母親との繋がりであり思い出であった。；スペンサーの死後、キャサリンは彼との思い出を次のように語っている。；ゲスト出演者の思い出に残る人物をスタジオに迎えて再会させていた番組。；思い出に残る試合として10月8日の巨人との26回戦を経験している。；そこは母の故郷で、キムが幼少の頃によく行っていた思い出の場所である。；これ聴きながら彼女の曲にそっと自分の思い出を重ねてみるのも一興。；かつてライバルであった二人はとの幸福な思い出を共有していた。；主人公、大島元気が自分の子供たちに戦後の子供時代の思い出を語る。；トマノ老人が持つ謎の扉のカードの中にある思い出の世界に住む怪獣。；あるいは彼は父親の思い出に対する扱いを補っていたのかもしれない。；対して古いものには、たくさんの歴史と思い出が宿り、深い記憶が眠る。；課長が流しの思い出を話したことから、電話で流しを呼ぶことに。；隠したかったことは遥にバレてしまうも、思い出に残る文化祭になった。；会話を重ねながら古義人は吾良との懐かしい過去の思い出を回想していく。；これを物体に取り付けると、その物が見たことや思い出を話してくれる。；家族が平和に暮らした時代の思い出をたどるために娘がひそかに街を訪ねたのだろう。；しかし玄関先にはあの旅行の思い出の品が残されていた。；勿論思い出は嘘のため芸人の腕が必要となる企画となっている。；ブランドンの思い出は、南に移り住んだ後に書かれた作品の多くに現れる。；祖母との思い出は恥ずかしい過去でもあり、あまり他人に話していなかった。；彼等は過去に起きた苦い思い出を噛み締めながらその場を後にした。；甘酸っぱい思い出といえば、女の子と一緒に帰るのが最大のイベントでした。；そんな複雑なアメリカとの思い出のある俊夫は空港でヒギンズ夫妻を迎えた。；母親の思い出の品を畑で見ていたら父親が男といたと勘違いする。</t>
        </is>
      </c>
      <c r="J1194">
        <f>HYPERLINK("https://www.weblio.jp/content/思い出", "词义详情")</f>
        <v/>
      </c>
      <c r="K1194">
        <f>HYPERLINK("https://yourei.jp/思い出", "查看例句")</f>
        <v/>
      </c>
    </row>
    <row r="1195">
      <c r="A1195" t="inlineStr">
        <is>
          <t>思いもよらない</t>
        </is>
      </c>
      <c r="B1195" t="inlineStr">
        <is>
          <t>成功</t>
        </is>
      </c>
      <c r="C1195" t="inlineStr">
        <is>
          <t>読み方：おもいもよらない
思いつきもしない。全く予想しない。「試験に落ちるとは—◦なかった」</t>
        </is>
      </c>
      <c r="D1195" t="inlineStr">
        <is>
          <t>思えない；信じられない；意外な；思いがけない；予想外の</t>
        </is>
      </c>
      <c r="H1195" t="n">
        <v>29</v>
      </c>
      <c r="I1195" t="inlineStr">
        <is>
          <t>そして多くがドイツ語を学びたいと思うようになってほしいと思います。；きちんとその仕事が出来る体制があれば独立行政法人でいいと思います。；当選した場合、タレント活動を継続するかどうかはその者の判断による。；娘の今している事と、自分の昔した事とは、存外似よったところがある。；上のテーブルの死亡は上に地図を説明したときの資料によっている。；それよりゃ手や背中を使ってもっと楽な仕事したらよさそうなもんだがね。；一通りよんで説明してもらったぐらいではわからないことがおおかった。；この物語の国際性は帝国内各地の物語が寄せ集められたことによる。；区の長期基本計画によると、都市核と指定された地域は下の6つである。；この記事によれば、このバージョンが含む大幅な強化は以下の通りである。；によれば、職務特性と職務満足度の関係は中程度に強いことが示された。；事によったら今度は次第に悪化して救いがたいことになるのかも知れない。；そしてその負の全部が、少くも直接には日本人の手によったものである。；自分が何かを完成させることができたのはこれが初めてではないかと思います。；その髭を剃るか伸ばすかは個人の選択やその人が住む地域の文化による。；人間の血を使用することによっ効果は絶大的なものとなり即効性を増す。；他の猫よりゃ興味もあるし、そのへんのジジイの話を聞いたりもするさ。；三人のところから離れて見ていたワラが、ニコニコしながらよってきた。；そこで年よった悪魔は、人民たちはすべて兵隊に入らなくてはならない。；コーチも監督が巨人の話ばかりするから大変だったと思いますよ。；あけてもくれても真面目に輝いた目をしながら書いたりよんだりして居た。；これは性的な寛容さや女性の地位の低さなどによると考えられている。；関係者の話によると自宅のソファーの上で死亡したとのことである。；自分たちがやっていることを自然な言葉で表現しようと思いながら書いたという。；クーメイによれば21世紀に入った後ではその値の成長は鈍化している。；私はずっと貴方がドイツのために戦って倒れたのだと思い続けます。；人々は重鎮の張飛が起用されるであろうと思い、張飛もそう思っていた。；本をよんでする仕事と小説とは全く違った雰囲気を要求するのでね。；将校も兵士のところへよっていき、旅行者のほうへ顔を向けていった。</t>
        </is>
      </c>
      <c r="J1195">
        <f>HYPERLINK("https://www.weblio.jp/content/思いもよらない", "词义详情")</f>
        <v/>
      </c>
      <c r="K1195">
        <f>HYPERLINK("https://yourei.jp/思いもよらない", "查看例句")</f>
        <v/>
      </c>
    </row>
    <row r="1196">
      <c r="A1196" t="inlineStr">
        <is>
          <t>思いやり</t>
        </is>
      </c>
      <c r="B1196" t="inlineStr">
        <is>
          <t>成功</t>
        </is>
      </c>
      <c r="C1196" t="inlineStr">
        <is>
          <t>読み方：おもいやり
１他人の身の上や心情に心を配ること。また、その気持ち。同情。「—のある処置」「病人に対する—がない」
２想像。推察。
「奥山の—だに悲しきにまたあま雲のかかるなになり」〈かげろふ・上〉
３思慮。分別。
「ことに責むれば、若き人の—少なきにや」〈堤・花桜をる少将〉</t>
        </is>
      </c>
      <c r="D1196" t="inlineStr">
        <is>
          <t>思いやり深く；思いやり深い；思いやり深さ</t>
        </is>
      </c>
      <c r="E1196" t="inlineStr">
        <is>
          <t>理解；検討；考慮；同情；配慮</t>
        </is>
      </c>
      <c r="F1196" t="inlineStr">
        <is>
          <t>やさしい思いやり；そんな思いやり；温かい思いやり；優しく思いやり；優しい思いやり</t>
        </is>
      </c>
      <c r="G1196" t="inlineStr">
        <is>
          <t>思いやり橋</t>
        </is>
      </c>
      <c r="H1196" t="n">
        <v>29</v>
      </c>
      <c r="I1196" t="inlineStr">
        <is>
          <t>働いている人への思いやりが大切だと父に言われ、私も守って来ました。；自分は独立したいと思いながら、ただ思いやりのないことをしただけだ。；おれは同時にヴァルフは思いやりが少し足りないのではないかと思った。；あたしが一人で耐えてきたのは、エドガーへの思いやりからなんだもの。；厳しい指導の中にも思いやりを常に忘れない姿勢で、部員の心を捉えた。；あたしがあの苦しみをひとりで耐えてきたのは、あの人への思いやりよ。；それを見ると一同はただなんという事もなく思いやりのない笑いかたをした。；少なくともその手紙を読んでから連絡をする位の思いやりはないのだろうか。；そして、そのように思いやりの示されない場合がすくなくないのである。；みなの人に思いやりの心があれば、世の中は実に美しいことであろう。；もし思いやりがなさすぎるのでなければ思いやりがありすぎることなのだ。；王妃インゲボリは美しく思いやりのある人物であったと伝えられている。；将来の労働世代のために、財政的負担と思いやりの責任が増大している。；彼らはかつての思いやりの感情を覚えていたのではないだろうか。；あなたの認めた彼の直観力や思いやりのある気持ちはそれに成功したのです。；わたしは自分の、彼に対する思いやりのなさが恥じられてならなかった。；彼のこういう幼い思いやりが自分に向けられたのは初めてだった。；また、ラジオに出演した際、思いやりの気持ちは大事であると答えている。；このときほど彼女の思いやりを身にしみて感じたことはなかったように思う。；さらに、思いやりの心などが育つなどの情操教育の効果もあるとされる。；したがって、いまぼくたちの思いやりを受けたりできる身でないではないか。；大朗が気づかぬ間に、成長して、大人の思いやりを身につけたのだろうか。；美しさばかりでなく彼女の機知と思いやりある性格を見たのである。；何度も蹴られて痛いと云う事よりも、思いやりのない男の心が憎かった。；聡明で思いやりのある、多方面で活躍できる女性の育成を目指している。；彼はお柳へ向けて湧きはじめた思いやりを殺さなければならなかった。；したがってその際の心遣いは慎重で思いやり深くなければならないのである。；思いやりの気持ちを持っていても、なかなか行動に移すことは難しい。；お互いに思いやりをもってすれば、きっといい友達になれると思うの。</t>
        </is>
      </c>
      <c r="J1196">
        <f>HYPERLINK("https://www.weblio.jp/content/思いやり", "词义详情")</f>
        <v/>
      </c>
      <c r="K1196">
        <f>HYPERLINK("https://yourei.jp/思いやり", "查看例句")</f>
        <v/>
      </c>
    </row>
    <row r="1197">
      <c r="A1197" t="inlineStr">
        <is>
          <t>思う</t>
        </is>
      </c>
      <c r="B1197" t="inlineStr">
        <is>
          <t>成功</t>
        </is>
      </c>
      <c r="C1197" t="inlineStr">
        <is>
          <t>読み方：おもう
［動ワ五（ハ四）］
１ある物事について考えをもつ。考える。
㋐判断する。信じる。「これでよいと—・う」「そうは—・わない」「自分の—・ったとおりに行動しなさい」
㋑決心する。決意する。「新しく事業を始めようと—・う」「—・うところがあって酒を断つ」
㋒あやしむ。疑う。「変だと—・った」「そんなことがあるはずはないと—・っていた」
２眼前にない物事について、心を働かせる。
㋐推量する。予想する。「この本はいくらだと—・うか」「—・わぬ事故」
㋑想像する。「—・ったほどおもしろくない」「夢にも—・わなかった」
㋒思い出す。追想する。回顧する。「亡き人を—・い悲しくなる」「あのころを—・えば隔世の感がある」
３願う。希望する。「—・うようにいかない」「背が高くなりたいと—・う」
４心にかける。心配する。気にする。「君のことを—・って忠告する」「このくらいの暑さは何とも—・わない」
５慕う。愛する。恋する。「故郷を—・う」「心に—・う人」
６ある感じを心にもつ。感じる。「別れは悲しいと—・う」「歓待されて心苦しく—・った」
７表情に出す。そういう顔つきをする。
「もの悲しらに—・へりし我(あ)が子の刀自(とじ)を」〈万・七二三〉
→考える［用法］
[可能]おもえる
[下接句]蚊の食う程にも思わぬ・人を思うは身を思う・人を人とも思わない・人を見たら泥棒と思え・糸瓜(へちま)の皮とも思わない・老驥(ろうき)千里を思う・我と思う</t>
        </is>
      </c>
      <c r="D1197" t="inlineStr">
        <is>
          <t>思うんです；思うだろ；思う間もなく；思うでしょ；思うまもなく</t>
        </is>
      </c>
      <c r="E1197" t="inlineStr">
        <is>
          <t>見る；考える；受ける；わかる；知る</t>
        </is>
      </c>
      <c r="F1197" t="inlineStr">
        <is>
          <t>たいと思う；どう思う；こう思う；思うかもしれ；ほしいと思う</t>
        </is>
      </c>
      <c r="G1197" t="inlineStr">
        <is>
          <t>思う存分；思うさま；思うつぼ；思う様；思う壷</t>
        </is>
      </c>
      <c r="H1197" t="n">
        <v>29</v>
      </c>
      <c r="I1197" t="inlineStr">
        <is>
          <t>自分の残りの人生はそのためだけに与えられていると思っていたという。；そして多くがドイツ語を学びたいと思うようになってほしいと思います。；僕はアメリカに来て野球が楽しいと思えるだけで、成功だと思うんです。；やがて自分から無理に目立つことをしなくてもいいと思うようになった。；日本の台湾に対する気持ちはその程度のものだったのかと残念に思った。；当然私たちは十分お金を稼いだので故郷に帰ったんだと思おうとするわ。；それを自分が事業で成功して、 証明しなきゃならないと思ったんです。；今みたいに30球団で、そんな昔よりもレベルは落ちてはいるとは思う。；軍としては衛生管理のために何らかの形で関わるのは当然と思っている。；しかし、最大の市場であるアメリカでの売上は思うように伸びなかった。；会員たちは、いよいよ全員でのクーデターが始まるのだと思ったという。；もっときちんとした論説として出すのがよかったんじゃないかとは思う。；それを低予算で、人間の動きだけで何とかしようと思ったのが間違い。；日本だってみんながその気になれば、あのくらいのものは出来ると思うの。；僕も森島さんのようなプレーができるようになりたいと思っています。；第二次世界大戦に関し、飛行機がもたらした破壊を残念に思うと述べた。；これらのコンポーネントは近い将来リリースされないと思ったほうが良い。；私は自分が永遠に生きるのではないかと思うと、空恐ろしい気分になる。；アドルフ・ヒトラーが私の逮捕を命じたなんて話が信用できると思うかね?；この本に認めてもらうようなデザインをしようと思うようになる。；リハーサルを見て自分が現れる以前に「面白い」と思ったと話している。；チームの再建を期待されたが思うような成績が挙げられず1年で退任した。；声優業も役者がやっていく仕事になるのではないかと思ったと語っている。；小さい時から思ったことは何でも口にする歯に衣きせぬ毒舌だったという。；彼は、IBMの新しいシステムは重要な商業的な成功でないと思っていた。；職も探せば無かったわけではないので、何とかなるだろうと思ったという。；残念な結果になったんですが、僕は今でもあれは正攻法だったと思う。；人々が何かを作り上げる楽しみを知る機会を得ることに影響を与えたと思う。；その瞬間、金賢姫はそれが彼女の本当の名前なのではないかと思った。</t>
        </is>
      </c>
      <c r="J1197">
        <f>HYPERLINK("https://www.weblio.jp/content/思う", "词义详情")</f>
        <v/>
      </c>
      <c r="K1197">
        <f>HYPERLINK("https://yourei.jp/思う", "查看例句")</f>
        <v/>
      </c>
    </row>
    <row r="1198">
      <c r="A1198" t="inlineStr">
        <is>
          <t>思う存分</t>
        </is>
      </c>
      <c r="B1198" t="inlineStr">
        <is>
          <t>成功</t>
        </is>
      </c>
      <c r="C1198" t="inlineStr">
        <is>
          <t>読み方：おもうぞんぶん
［副］満足がいくまで。思いきり。「—（に）遊びたい」「—の働き」</t>
        </is>
      </c>
      <c r="D1198" t="inlineStr">
        <is>
          <t>思う存分楽しん；思う存分食べ；思う存分楽しむ；思う存分泣い；思う存分泣く</t>
        </is>
      </c>
      <c r="E1198" t="inlineStr">
        <is>
          <t>心から；存分に；とことん；心ゆくまで；奮って</t>
        </is>
      </c>
      <c r="H1198" t="n">
        <v>29</v>
      </c>
      <c r="I1198" t="inlineStr">
        <is>
          <t>傷の捨て場所を得たオレらは、思う存分、いろいろな人の傷を治療した。；私、ただあなたが思う存分勉強して、思うようなことをして頂きたいの。；動物たちは一列になってゆっくりとそのそばを通って思う存分眺めた。；この雑誌は幸いよい助手を得た事にもよるが、思う存分のことをした。；そういうときに泉市は、上り坂の豊国に思う存分描かせようとしている。；進んでも進んでも道がなくなる事はなく、思う存分歩き続ける事ができる。；もう守る会から希望の世界へは解禁されたから、思う存分やりあった。；男は、私の舌に女の血を思う存分擦り付けると、私を女の方へ突きました。；すぐ近くに仲間がいないと不安であり、思う存分力を発揮することもできない。；私がいなければ思う存分、男の子を連れてくることもできるだろう。；一日を思う存分怠惰に過ごしたとしても誰にも咎められない休日なのだ。；勿論彼を殺すようなことはできないので、思う存分ののしってやりました。；そこで思う存分話を膨らませるのは無理からぬことかもしれません。；だから西洋の音楽家たちは自宅で思う存分の練習が出来るのではないか、と。；何百人、何千人の犠牲になってきたこの身体を、さ、思う存分にして下さい!；思う存分この敵をとる為には、わしが自身で計画し、自身で実行する外はない。；それに私も、自分の会社をつくって思う存分に仕事をしたかった。；彼女達の知識や実力が思う存分発揮できない職場があってよいのだろうか。；そして三、四日目におれが合図をしたら飛出して思う存分に働いてくれ。；ザルツは根に持つ男ではないし、思う存分やらせてやった方がいいかもしれない。；俳優たちが思う存分楽しむ社交遊びの思い出を持たない人はないであろう。；思う存分怒ったせいなのか、もうあのときの怒りはかけらもなかった。；うしろから義兄のがっしりとした肩や、広い背を思う存分ながめたかった。；相手は思う存分権力と享楽の生活にひたっている聖職者なんですもの。；思う存分に自分の力量を揮う機会など滅多に与えられるものではない。；この連中はたいへんに水が好きで、河と港との両方で、思う存分大いに泳いだ。；東京へでもアメリカへでも行って、思う存分、やってみるがいい。；君にはどうやら姉さんたちとは違って、思う存分に寝る権利があるらしいな。；彼は女中に命じて、全身の力をふるって思う存分背中をたたかせた。</t>
        </is>
      </c>
      <c r="J1198">
        <f>HYPERLINK("https://www.weblio.jp/content/思う存分", "词义详情")</f>
        <v/>
      </c>
      <c r="K1198">
        <f>HYPERLINK("https://yourei.jp/思う存分", "查看例句")</f>
        <v/>
      </c>
    </row>
    <row r="1199">
      <c r="A1199" t="inlineStr">
        <is>
          <t>思うままに</t>
        </is>
      </c>
      <c r="B1199" t="inlineStr">
        <is>
          <t>成功</t>
        </is>
      </c>
      <c r="D1199" t="inlineStr">
        <is>
          <t>意に従って</t>
        </is>
      </c>
      <c r="H1199" t="n">
        <v>29</v>
      </c>
      <c r="I1199" t="inlineStr">
        <is>
          <t>あらゆる年齢の人々が通りを歩き、それぞれが思うままに過ごしていた。；そして男の思うままに、どんなことでもいやだと言わずにされるんですよ。；どうしたのだろうな、どこかが、引っかかっていて思うままにならない。；そんなことしなくたって、あなたならあの男を自分の思うままにできるわ。；またその期間何でも思うままにあらゆる災害を起こす力を持っている。；生物が進歩する過程で、われわれがそれを思うままに変形できるからだ。；両手と両眼が自由になったので、もう思うままに雑誌を扱うことができた。；だれだって人間を思うままに操れるということは愉快なことではないか。；州波はすべてが自分の思うままに進行していることを確認した。；いつも人間の思うままに動かされて、馬にも不満は山ほどあるだろう。；蛇は多分この処女の体臭に酔わされて、娘の思うままになるのでしょう。；まだ一緒に寝てはいなかったが、今なら彼の思うままにされてもいいと思った。；ただ、李斎は思うままにならない時間をあまりにも長く過ごしてきた。；陽子の身体は沈み込んだように硬直し、指一本さえ思うままにできない。；生かすも殺すも思うままに、死刑囚の生命を握っているのは国家である。；僕はまったく自由に、ただ僕の考えだけで思うままに行動すればよかったのだ。；用意されたステージの中で思うままに絵を描くことができる。；好きな形にして好きな色を付けて、飾りを選んで、思うままに飾るの。；もし、わたしが悪政を行なったならば、思うままに諫言してもらいたい。；わしらの思うままに、まったく思うままにどうにでもできますぜ。；自分の思うまま見たまま、感じたままを構わずに行るばかりである。；あんたでも、生命のない物質なら、なんでも思うままに合成できると思うが?；この方はいくつもの宝蔵をそっくり、思うままにお使いになれるのですよ。；彼女はわたしをどうなりと思うままにすることができた。；相手はおそれをなし、ついには久蔵から思うままに動かされることになる。；モルソーフはなんの邪魔だてもなく、権力を思うままにふるっております。；これを思いをよせる男に食べさせると、相手はこちらの思うままになるという。；どんなことでも、こっちの思うままに信じこませることができるわ。；なんでも思うままに正直に書くのがいいのだそうです。</t>
        </is>
      </c>
      <c r="J1199">
        <f>HYPERLINK("https://www.weblio.jp/content/思うままに", "词义详情")</f>
        <v/>
      </c>
      <c r="K1199">
        <f>HYPERLINK("https://yourei.jp/思うままに", "查看例句")</f>
        <v/>
      </c>
    </row>
    <row r="1200">
      <c r="A1200" t="inlineStr">
        <is>
          <t>思える</t>
        </is>
      </c>
      <c r="B1200" t="inlineStr">
        <is>
          <t>成功</t>
        </is>
      </c>
      <c r="C1200" t="inlineStr">
        <is>
          <t>読み方：おもえる
［動ア下一］そう感じられる。自然に思われる。「人ごととは—・えない」</t>
        </is>
      </c>
      <c r="D1200" t="inlineStr">
        <is>
          <t>思えるかもしれ；思えるかも知れ</t>
        </is>
      </c>
      <c r="E1200" t="inlineStr">
        <is>
          <t>らしい；見える；思われる；みえる</t>
        </is>
      </c>
      <c r="F1200" t="inlineStr">
        <is>
          <t>らしく思える；たいと思える；夢のように思える；そんなふうに思える；思えば思える</t>
        </is>
      </c>
      <c r="H1200" t="n">
        <v>29</v>
      </c>
      <c r="I1200" t="inlineStr">
        <is>
          <t>僕はアメリカに来て野球が楽しいと思えるだけで、成功だと思うんです。；他の者には鳥の羽ぐらいなものも、お前には岩のように思えるだろう。；私は実際、そういう人に一度や二度会ったことがあるように思えるのです。；生前に「なるほどそうだったのかと思えるのが死の瞬間」と語っていた。；そうしてこの前よりももっとはげしいかと思えるような雷が鳴り出した。；娘達が満足しているのを見ると、彼は自分が上手くやったなと思えるのね。；それでもまだ生活していると思えるほど生活用品が生々しく残っている。；時とすると、実に素敵なものだと思えるような思想が彼にも浮かんできた。；それが得られそうに思えるならすぐにも彼は飛んで帰りたかった。；要は他人の評価より自分で愛すべき音楽だと思える、それが一番の幸せ。；大きな池のまわりは、焼けるかと思えるまでに地面がかわききっていた。；数字から見ても、どこか記念的な意味が隠されているようにも思える。；ある意味においてはその方がさらに偉大な業のようにも思えるのである。；一見、お嬢様学園に思えるが大きな学園だからこその悩みを抱えている。；このような政策は一見すると中国を優遇したもののようにも思える。；命名慣習からすれば逆が正しいように思えるのだが皮肉な話である。；原稿を読んでいるかと思えるような調子を取ることが多かった。；日本人ほど人の噂をしたがる国民は世界中にないらしく思える。；田舎の女学校の生徒であってみれば歩く時間もかなりあると思える。；それも実は彼自身にさえ愚かな不可能なことだと思えるものであった。；すべてが不可能に思える時もあるが、すべてが安穏に思える時もある。；これだけを見ればレイニーは幸せな人生を歩んでいるようにも思える。；あの死体は詩人の自殺だったようにも思えるし、それを偽装したとも思えた。；それを見ると、どうもこれが本当のドクトルらしく思えるのであった。；誰もいい点を採ろうとして教えっこしたりしたのではなかったと思える。；まあ、魚にしたら、いきが悪くなったように思えるんだが、どうかね。；変りばえもしない顔だちだけれども、首の白いのが妙に哀れに思える。；手順も様々で、中には冗談とも思えるバカバカしい様な方法も存在した。；おそらく今日の切開術は、眼を開きてこれを見るものあらじとぞ思えるをや。</t>
        </is>
      </c>
      <c r="J1200">
        <f>HYPERLINK("https://www.weblio.jp/content/思える", "词义详情")</f>
        <v/>
      </c>
      <c r="K1200">
        <f>HYPERLINK("https://yourei.jp/思える", "查看例句")</f>
        <v/>
      </c>
    </row>
    <row r="1201">
      <c r="A1201" t="inlineStr">
        <is>
          <t>面影</t>
        </is>
      </c>
      <c r="B1201" t="inlineStr">
        <is>
          <t>成功</t>
        </is>
      </c>
      <c r="C1201" t="inlineStr">
        <is>
          <t>読み方：おもかげ
１記憶によって心に思い浮かべる顔や姿。「亡き人の—をしのぶ」
２あるものを思い起こさせる顔つき・ようす。「目もとに父親の—がある」「古都の—は今やない」
３実際には存在しないのに見えるように思えるもの。まぼろし。幻影。
「夢に見えつるかたちしたる女、—に見えて、ふと消えうせぬ」〈源・夕顔〉
４歌論用語で、作品から浮かびあがってくる心象。
「詞(ことば)のやさしく艶なる他、心も—もいたくはなきなり」〈後鳥羽院御口伝〉
５「面影付け」の略。
６名香の名。香木は伽羅(きゃら)。
[補説] 「俤」は国字。</t>
        </is>
      </c>
      <c r="D1201" t="inlineStr">
        <is>
          <t>面影を色濃く；面影橋；面影を偲ばせる；面影を強く；面影ちゃん</t>
        </is>
      </c>
      <c r="E1201" t="inlineStr">
        <is>
          <t>所；場；舞台；映像；イメージ</t>
        </is>
      </c>
      <c r="F1201" t="inlineStr">
        <is>
          <t>たる面影；面影を色濃く残す；面影を色濃く残し</t>
        </is>
      </c>
      <c r="G1201" t="inlineStr">
        <is>
          <t>面影橋停留場；面影平野</t>
        </is>
      </c>
      <c r="H1201" t="n">
        <v>29</v>
      </c>
      <c r="I1201" t="inlineStr">
        <is>
          <t>耐弾層が保護の役割をしていたため、当時の面影がきれいに残っていた。；かつての難所越えの遺構でもあったが今ではその面影もなくなっている。；今日は戸田が大きな毛の帽子をかぶったから西洋の古武士の面影がある。；廃線となった現在、若干面影が消えたものの、駅跡となって残っている。；たとえその肉体は腐っていても、在りし日の面影は認められるであろう。；ただし、駅舎の土台部分はそのまま残っており、駅の面影を伝えている。；現在はいくつかの建物に分割されており、屋敷があった面影はない。；現在では通常の住宅地となっており、当時の面影は見られなくなった。；現在でも当時の面影を残す家屋に人々が生活しているのが特徴である。；そのため悟空にソックリと言われた外見上の面影はほとんど見られない。；そうした方が原著者の頭に映じたそれらの古典の面影を伝えるからである。；また四の丸の西下には、武者隠し状の帯曲輪が当時の面影が残っている。；しかし、そこに当時の街の面影も、彼の姿もなかったのだが・・・。；マウントバッテンはその後に結婚したが、生涯彼女の面影を追い続けた。；番組タイトルは同じであるが、内容的には放送開始当時の面影はない。；しかし現在もなおトンネルや橋脚などに複線時代の面影が残っている。；ホーム横にはターミナル駅の面影を残す駅舎とホームが残されている。；それでも現地の土地所有者によって神社は管理され面影を残し続けてきた。；内装には三角形の木製モザイク模様など三院制議会の面影が残っている。；駅舎は解体されたもののかつての駅前広場には現役当時の面影が良く残っている。；そこに映るのは、女の姿とは思えない、男そのもの、業平の面影だった。；そのため、現在に至っても建立当初の面影がそのまま残っている。；今日では街の教会や横道に残るバロック建築に当時の面影を見る事が出来る。；地域は近代以前からの農村集落だったが、現在もそのころの面影を留める。；彼女をモデルにした作品は、その美貌の面影を現在まで伝えている。；現在も池を中心にした造りは旧庭園面影をほぼそのまま残している。；主人公は、美少女だった昔の面影がないほど肥満体に育った高校2年生。；当選者に4倍近い大差をつけられるなど、かつての面影は失われている。；現在でも明治時代の問屋町の面影が残る川原町界隈で生産を行っている。</t>
        </is>
      </c>
      <c r="J1201">
        <f>HYPERLINK("https://www.weblio.jp/content/面影", "词义详情")</f>
        <v/>
      </c>
      <c r="K1201">
        <f>HYPERLINK("https://yourei.jp/面影", "查看例句")</f>
        <v/>
      </c>
    </row>
    <row r="1202">
      <c r="A1202" t="inlineStr">
        <is>
          <t>重苦しい</t>
        </is>
      </c>
      <c r="B1202" t="inlineStr">
        <is>
          <t>成功</t>
        </is>
      </c>
      <c r="C1202" t="inlineStr">
        <is>
          <t>読み方：おもくるしい
［形］［文］おもくる・し［シク］
１押さえつけられるようで、息苦しい。気分が晴れ晴れしない。「胸が—・い」「会場に—・い空気が漂う」
２さわやかでない。「—・い口調」
[派生]おもくるしげ［形動］おもくるしさ［名］</t>
        </is>
      </c>
      <c r="D1202" t="inlineStr">
        <is>
          <t>重苦しい沈黙(10%)；重苦しい空気(8%)；重苦しいもの(6%)；重苦しい気分(5%)；重苦しい雰囲気(5%)</t>
        </is>
      </c>
      <c r="E1202" t="inlineStr">
        <is>
          <t>暗い；重い；陰気；憂鬱；陰鬱</t>
        </is>
      </c>
      <c r="F1202" t="inlineStr">
        <is>
          <t>重苦しい圧迫；重苦しい不安；重苦しい緊張；重苦しい感情；重苦しい声</t>
        </is>
      </c>
      <c r="H1202" t="n">
        <v>29</v>
      </c>
      <c r="I1202" t="inlineStr">
        <is>
          <t>何か言わなければ、その時の重苦しい気持ちに耐えられそうもなかった。；そう思ったとき、門の扉が重苦しい音をたてて横にスライドしていった。；多くの人々のあらわな額の上には、重苦しそうな興奮の色が漂っていた。；そして、重苦しい街の重い霧の中へそれよりも重い心を抱いて出て行った。；その異様な重苦しさを、少女の行為が吹きとばしてしまったようだった。；そのうちにある広場を上ったところに重苦しい赤黒い建築物を一つ見た。；「これが神が超常現象を起こしている理由だ」兄は重苦しい声で言った。；伸子は、いくらか重苦しい雲にきれめの見えた思いで客室へ戻って来た。；しかし、戦死者が出たとの知らせに、村全体が重苦しい空気に包まれた。；目はきかなくなり、胸は重苦しく、熱が出て、血が頭の中で音を立てた。；それでかれは四十年来着てきた重苦しい服のうちいくつかを脱ぎすてた。；私はその重苦しい気分に浸りながら、殆んど時の過ぎるのをうち忘れた。；そういっても重苦しいものでいっぱいに皆の胸がしめつけられてきた。；二人の間の空気が重苦しく変わり始めているのには気づいていた。；あかあかと明りはついているが、嵐の前のような重苦しい雰囲気だった。；わたしも三畳の部屋にいながら、似たような重苦しさを感じていた。；身体中が重苦しくて、夢の感覚がまだ身体のそこここに残っていた。；四辺の空気が重苦しく立罩め不吉な予感が静かな部屋の中を領している。；その重荷を背負った僕が、一方ではまた逆に、皆を重苦しくさせている。；彼の約束した告白は、その時期における一つの重苦しい出来事であった。；それは何か重苦しいものに押拉がれてしまつた人間のやうであつた。；今迄の重苦しい緊張が急に融けて、彼は川部の顔を不思議そうに眺めた。；嫌な重苦しさを感じながら、由紀子は身体を引き剥がすように起こした。；その重苦しい夜の長い時間は私の前から消え去ろうとしているのだ。；重苦しい動かす可からざるものに突然ぶつかったような気がしたのである。；ただ肩から背筋へ掛けて、全体に重苦しいような感じが新らしく加わった。；しばらく前から、接近してくる嵐のために重苦しい空気がたちこめていた。；しまいには室内の空気の重苦しさに、呼吸がつまりそうになって来た。；同時に人の叫びごえが何か重苦しいもののように聞こえてくる。</t>
        </is>
      </c>
      <c r="J1202">
        <f>HYPERLINK("https://www.weblio.jp/content/重苦しい", "词义详情")</f>
        <v/>
      </c>
      <c r="K1202">
        <f>HYPERLINK("https://yourei.jp/重苦しい", "查看例句")</f>
        <v/>
      </c>
    </row>
    <row r="1203">
      <c r="A1203" t="inlineStr">
        <is>
          <t>面白い</t>
        </is>
      </c>
      <c r="B1203" t="inlineStr">
        <is>
          <t>成功</t>
        </is>
      </c>
      <c r="C1203" t="inlineStr">
        <is>
          <t>読み方：おもしろい
［形］［文］おもしろ・し［ク］《もと、目の前が明るくなる感じをいった語》
１興味をそそられて、心が引かれるさま。興味深い。「何か—・いことはないか」「仕事が—・くなってきた」「この作品は—・くなかった」
２つい笑いたくなるさま。こっけいだ。「この漫画はなんとも—・い」「—・くもない冗談」
３心が晴れ晴れするさま。快く楽しい。「夏休みを—・く過ごした」「無視されたようで—・くなかった」
４一風変わっている。普通と違っていてめずらしい。「—・い癖」「—・い声」
５（多く、打消しの語を伴って用いる）思ったとおりである。好ましい。「結果が—・くない」
６風流だ。趣が深い。
「月の—・きに、夜更くるまで遊びをぞし給ふなる」〈源・桐壺〉
[派生]おもしろがる［動ラ五］おもしろげ［形動］おもしろさ［名］おもしろみ［名］
[用法]おもしろい・おかしい——「おもしろおかしく話す」「おもしろい（おかしい）形の木の根」のように、滑稽(こっけい)な、奇妙な、の意味では、相通じて用いられる。◇「おもしろい」は、「おもしろい小説」「仕事もだいぶおもしろくなってきた」のように、その内容が（話し手の）興味をひく場合に用いられる。◇「おかしい」は、「何となくおかしい作品」のように、形式その他が風変わりだ、調和的でない意を表し、また、「先月来、からだの調子がおかしい」「彼が勲章をもらうなんてちゃんちゃらおかしい」と不調・不審の用法に及ぶ。これらは「おもしろい」に置き換えられない。◇「おもしろい試合」は、緊迫した内容の試合であり、「おかしい試合」は、普通でない変な経過、珍プレーのある試合ということになる。</t>
        </is>
      </c>
      <c r="D1203" t="inlineStr">
        <is>
          <t>面白いこと(9%)；面白いもの(6%)；面白い話(4%)；面白いところ；面白い事</t>
        </is>
      </c>
      <c r="E1203" t="inlineStr">
        <is>
          <t>満足；変わった；軽い；おかしい；楽しい</t>
        </is>
      </c>
      <c r="F1203" t="inlineStr">
        <is>
          <t>何か面白い；たら面白い；方が面白い；非常に面白い；ちょっと面白い</t>
        </is>
      </c>
      <c r="G1203" t="inlineStr">
        <is>
          <t>面白いいい；面白い恋人；面白いい</t>
        </is>
      </c>
      <c r="H1203" t="n">
        <v>29</v>
      </c>
      <c r="I1203" t="inlineStr">
        <is>
          <t>事実に基づく場面とそうでない場面を区別しながら見たのは面白かった。；出演者はみんなこれは面白い作品になりそうだと大変撮影に入れ込んだ。；しかし同じことを書くにしても、それが面白ければなお良いじゃないか。；家が面白くないといって東京の私の宅にやって来た若い案内者などもいた。；たしかに練習の後だから眠くなることもありましたが本当に面白かった。；自分が楽しい・面白いと感じることは描く上で絶対譲らないと述べている。；彼はこの作品を「どうやって面白くするかを教えてくれた」と評価する。；家の形も面白く、森や林の姿もよい、四、五日の材料はあろうと思った。；ただ攻撃の研究をする人にとっては面白いオープニングであるといえる。；ミッドウェーの代わりにこちらをやってみたら面白かったかも知れない。；事実、面白いといわれたので、自分に少しも面白くないものがあります。；リハーサルを見て自分が現れる以前に「面白い」と思ったと話している。；投稿量が非常に多く、かといって選ばれた作品が特別面白いわけではない。；それは私は植物が好きであるので、この図を見ることが非常に面白かった。；特に高校野球では、決勝より準決勝の方が面白いといわれることもある。；面白いもの、良いものがあれば値段、質に関係なくどんどん使うという。；手帳も見せてもらったし、ほかにもいろいろ見せてもらって面白かった。；面白い作品を書くには、量をこなせばいくつかは人気が出ると考えている。；こんなことにも彼女等二人の性格の違いが現われていて面白かった。；ここはいろいろ今日の社会相を笑いの中に反映していて面白かった。；先生の件はちょっと問題が多かったが、後になってみると結構面白かった。；窓硝子の破片を利用して、半音楽的なものが出来ているのは面白かった。；最初は監督は自分には合わないと考えたが演出より面白いと感じる。；だから自分がその時感じていた面白いことを全部やってますね。；地図に示されると、これまで気づかなかったことが見えてきて面白かった。；自分の捕えたものがなお自由に動きまわってるのを見ることが面白かった。；涼宮ハルヒは世界に何か面白いことが無いかを期待している高校生である。；私も昔、話を聞かせてもらったことがあったけど、結構面白かったなぁ。；古いゲームの方が新しいゲームよりも面白いと感じる人もいる。</t>
        </is>
      </c>
      <c r="J1203">
        <f>HYPERLINK("https://www.weblio.jp/content/面白い", "词义详情")</f>
        <v/>
      </c>
      <c r="K1203">
        <f>HYPERLINK("https://yourei.jp/面白い", "查看例句")</f>
        <v/>
      </c>
    </row>
    <row r="1204">
      <c r="A1204" t="inlineStr">
        <is>
          <t>重たい</t>
        </is>
      </c>
      <c r="B1204" t="inlineStr">
        <is>
          <t>成功</t>
        </is>
      </c>
      <c r="C1204" t="inlineStr">
        <is>
          <t>読み方：おもたい
［形］［文］おもた・し［ク］
１目方が多い。「荷物が—・い」
２軽快でない。「—・い口調」
３心が晴れ晴れしない。「頭が—・い」
[派生]おもたがる［動ラ五］おもたげ［形動］おもたさ［名］</t>
        </is>
      </c>
      <c r="D1204" t="inlineStr">
        <is>
          <t>重たいもの(7%)；重たい音；重たい荷物；重たい扉；重たい気分</t>
        </is>
      </c>
      <c r="E1204" t="inlineStr">
        <is>
          <t>重要；深い；主要；大きい；困難</t>
        </is>
      </c>
      <c r="F1204" t="inlineStr">
        <is>
          <t>重たい頭；重たい鉄；重たい沈黙；重たい金；重たい石</t>
        </is>
      </c>
      <c r="H1204" t="n">
        <v>29</v>
      </c>
      <c r="I1204" t="inlineStr">
        <is>
          <t>各設計案はどれも前のものより大きく重たいものに変更されていった。；彼の重たい沈んだ顔に何か動くものがあるのは、喰物を見たときだけだ。；長く重たい髪と、大きな瞳で思いつめたように一点を見つめていた彼女。；それで頭も瞼も重たかったが、もうこれ以上寝ているわけにはいかない。；この連中は何か大きな重たそうなものを擔ぎこんで來るところであった。；近年病気がちの妻は、こんなとき一そうからだが重たくなるのだった。；その夜老夫婦が寝ていると、家の外で何か重たい物が落ちたような音がする。；耕作は胸のあたりが重たくなったような思いで、そこに突っ立っていた。；それは羽根のように軽いはずなのに、涙で湿って少し重たくなっていた。；金網を張った明り窓の重たい障子を開けて僅かに物を見ることが出来た。；硬く重たいものが地面に激突する衝撃と音が廊下を伝わって俺に届いた。；鬼めは意気揚々とした様子で、私は重たい心と欝々とした精神を抱いて。；教王もためしてごらんになって、いかにも重たいとお思いになりました。；あたしだってそれは同じで、進学のことを思うと途端に胃が重たくなる。；ただでさえ棒のようになっていた足がいよいよ重たく感じられた。；より重たく、より秘密めいた形で互いを求め合うことになったのである。；彼女は重たいかなしい心になって、母親を恨みながらお茶を持って出た。；こんなに簡単に見つかるものなのかと、店の重たいドアを押して外に出た。；ジャンパーのポケットに入れた長い五個のマガジンがひどく重たかった。；けれど、いつ帰れるのかを思うと気持ちが重たくなるのは否めなかった。；私は重たい足を引きずって事務所へ入って行くタビーの背中を見送った。；重たい物が落ちたか、何か大きな物が床に倒れたのだと、すぐに気がついた。；重たい足音をたてて急な階段を上り、朋子は木製のドアを乱暴に開けた。；私の前まで来ると、彼の前髪は汗のせいで顔に重たく貼りついていた。；重たい瞼の間を左右に滑っていた視線が壁に掛かった時計の上で止まった。；そしてそれが、次の大統領を決める重たい1票となることが判明する。；いきなり気分が軽くなって、重たく背負った荷物を捨てられたようだった。；どこにでもいるはずの少女の体が、まるで重たいバーベルのように見える。；重たい大地の下になつてゐるかのやうに、ものみなが重苦しく、不安で。</t>
        </is>
      </c>
      <c r="J1204">
        <f>HYPERLINK("https://www.weblio.jp/content/重たい", "词义详情")</f>
        <v/>
      </c>
      <c r="K1204">
        <f>HYPERLINK("https://yourei.jp/重たい", "查看例句")</f>
        <v/>
      </c>
    </row>
    <row r="1205">
      <c r="A1205" t="inlineStr">
        <is>
          <t>玩具</t>
        </is>
      </c>
      <c r="B1205" t="inlineStr">
        <is>
          <t>成功</t>
        </is>
      </c>
      <c r="C1205" t="inlineStr">
        <is>
          <t>読み方：おもちゃ
《「もちゃ」は「もちあそび（持遊）」から》
１子供が手に持って遊べるように作ってあるもの。がんぐ。
２慰みのためにもてあそばれる人や物。</t>
        </is>
      </c>
      <c r="D1205" t="inlineStr">
        <is>
          <t>玩具屋；玩具シリーズ；玩具展開；玩具会社；玩具箱</t>
        </is>
      </c>
      <c r="E1205" t="inlineStr">
        <is>
          <t>おもちゃ；トイ；弄び；遊び道具；手遊び</t>
        </is>
      </c>
      <c r="F1205" t="inlineStr">
        <is>
          <t>向け玩具；キャラクター玩具；小さな玩具；玩具商品；新しい玩具</t>
        </is>
      </c>
      <c r="G1205" t="inlineStr">
        <is>
          <t>玩具店；玩具修理者；玩具絵；玩具菓子；玩具デザイナー</t>
        </is>
      </c>
      <c r="H1205" t="n">
        <v>29</v>
      </c>
      <c r="I1205" t="inlineStr">
        <is>
          <t>この輪回しの輪は多くの文化圏で古くからよく知られている玩具である。；山の修行者がよく見かけたといわれ、山鬼が玩具にしていた物ともいう。；さらに、成長に伴い使われる子供向けの楽器類なども玩具に相当する。；数々の玩具は、発育や様々な機能の発達に刺激を与える重要な道具である。；ゴジラを題材とした玩具、書籍、映像・音楽媒体は多数発売されてきた。；玩具以外の関連商品としては、プラモデルがマークから発売されている。；一般的に知育玩具と目されている玩具類には様々な物が含まれる。；イギリスでは、2007年から玩具展開が行われ、好評を得たとされる。；タカラトミーより望む夢を見ることのできるという玩具が発売されている。；中が空洞になった卵型のチョコレートの中におまけの玩具が入っている。；市場にアニメ未登場キャラクターの玩具が発売される事態となった。；同社から発売されたメガドライブのアーキテクチャを転用した電子玩具。；子供が何らかの人物や職業になりきるごっこ遊び用の玩具も存在する。；この小冊子は既存商品に封入されたり、玩具販売店の店頭で配布される。；しかし中には玩具が販売されても劇中には登場しないキャラクターも幾つか存在する。；更に1990年代後半からは玩具の販売が全く行われなかった作品も生じ始めた。；初代と区別するため、玩具などではパワードガボラの名称が用いられている。；また、幼児教育と玩具の関係が重要視され始めたのもこの時期である。；また、玩具がコンビニ限定で販売されたことも特徴のひとつである。；過去には、他の玩具会社との間にOEM供給の関係を有していた。；本作品の玩具展開はバンダイアメリカの他、多数のメーカーが手がけている。；また玩具向けや練習用にプラスチックやラバーなどの素材も用いられている。；ソフトビニールは1950年代以降人形などの玩具に広く使用されている。；玩具展開が予定されていたが、企画段階で中止になっている。；それらが玩具として作られた可能性については低いと見られている。；考古学的にみると、玩具として人形の次に古い起源を持つほどである。；家庭用電源を使わない、より玩具的で平易なNゲージシステムであった。；トミーやセガトイズから玩具ルートで個別の商品名を付けて発売された。；当時、玩具で発売されたばかりのゴジュラスギガがゲーム内にも登場した。</t>
        </is>
      </c>
      <c r="J1205">
        <f>HYPERLINK("https://www.weblio.jp/content/玩具", "词义详情")</f>
        <v/>
      </c>
      <c r="K1205">
        <f>HYPERLINK("https://yourei.jp/玩具", "查看例句")</f>
        <v/>
      </c>
    </row>
    <row r="1206">
      <c r="A1206" t="inlineStr">
        <is>
          <t>表</t>
        </is>
      </c>
      <c r="B1206" t="inlineStr">
        <is>
          <t>成功</t>
        </is>
      </c>
      <c r="C1206" t="inlineStr">
        <is>
          <t>読み方：おもて
《「面(おもて)」と同語源》
［名］
１物の二つの面のうち、主だったほう。表面。また、外側。「答案は—を上にして集める」「コインを投げて—か裏かで占う」「鏡の—」⇔裏。
２他のものより前に位置すること。前面。「長男を—に立てる」
３畳・草履・下駄などの表面につけるござ。
４衣服の表地。⇔裏。
５うわべ。外見。「—を飾る」⇔裏。
６表向きのこと。おおやけ。公式。正式。「人生の—と裏に通じている」「—通り」「—参道」⇔裏。
７正面。家の入り口。「—から入る」⇔裏。
８家の外。戸外。また、家の前の通り。「—で遊ぶ」
９野球で、各回の、先攻チームが攻撃する番。「七回—の攻撃」⇔裏。
10「表千家」の略。
11連歌・俳諧で、二つに折った懐紙の第一面。単に「おもて」というときは、初折(しょおり)の第一面。
12江戸幕府または大名家で、公的な事務や儀式をする所。商家では店をいう。
13表座敷。
「まづ—へと通らせられい」〈虎明狂・梟〉
14人前にそれをはっきり示すこと。また、そのもの。証拠。
「安心の—とし」〈浄・念仏往生記〉
15文書などの記載面。文面。
「御制札の—にまかせ、さうさうに是へ参りて」〈虎明狂・牛馬〉
［接尾］方角・場所などを示す名詞に付く。
１その方角に向かっていること、その側に面していることを表す。「南—」
２その方向の土地・地方を表す。「江戸—」「国—」
[下接語]裏表・江戸表・木表・国表・初(しょ)表・外表・畳表・中(なか)表・名残の表・二の表・琉球(りゅうきゅう)表</t>
        </is>
      </c>
      <c r="D1206" t="inlineStr">
        <is>
          <t>表面上(4%)；表戸；表式；表御殿；表はれ</t>
        </is>
      </c>
      <c r="E1206" t="inlineStr">
        <is>
          <t>前；顔；外；面；テーブル</t>
        </is>
      </c>
      <c r="F1206" t="inlineStr">
        <is>
          <t>江戸表；予定表；成績表；一覧表；対照表</t>
        </is>
      </c>
      <c r="G1206" t="inlineStr">
        <is>
          <t>表情；表記；表示；表面；表す</t>
        </is>
      </c>
      <c r="H1206" t="n">
        <v>29</v>
      </c>
      <c r="I1206" t="inlineStr">
        <is>
          <t>また、文字を表形式にして扱う方法も古くから存在し、利用されてきた。；上の表の中には、単位の定義の中に別の単位を用いているものがある。；昼と夜で同じ数があるので、これらを区別して右の表のように呼んだ。；データは表に似た構造で管理されるが、関係と呼ぶ概念でモデル化される。；以下の表はリチャードが保存していた旅行記録に基づいたものである。；しかし、表面上どうであれ、その後も互いに意識はしていたようである。；この画像に示されている図は正確ではなく、上の表とは完全には一致しない。；その表自体はウィリアム・アウトレッドによって書かれたとされている。；なお、案内標では各ホームを右表のように色で区分して案内している。；表水層と深水層との間には水温躍層と呼ばれる温度変化の大きい層がある。；上記の法則などを発展させたものが「保険料率表」の根拠になっている。；新たな記事を書く際には下の表を参考にして、適切な項目名を付けて下さい。；密度の全領域に対する解析表式は多体摂動論に基づいて提案されてきた。；軍が突然に政治の表舞台に踊り出たことは多くの人々を驚かせた。；記録員はボールの得点を記録表と呼ばれる紙に記録してゆく。；京急社内で使用されている列車の車両組成表には「」と表記されていた。；多くが上京者で編成され表では横文字職業に就いているのが特徴。；また姓を持たず氏のみを持つ非族長層も社会の表舞台に立つようになっていった。；また、罫線や文字を入れることで表そのものを作成することも出来る。；測量は、地球表面上の点の位置・関係を決定するための技術・作業の総称。；日本では一般的には下記の表の様に区分されることが多い。；特に理由がなければ、分類表はその項目の先頭に配置して下さい。；なお、この表に示したガイドラインは下位の分類群を対象としています。；計算できる範囲で具体的な数値に置き換えていくと、表は次のようになる。；また、作成された形状は下の表のルールでほかの形状に変換できる。；ただし水面のような液体の表面は、表と裏の両方から接触可能である。；このサービス地域内では、すべての旅客路線に同一の料金表が適用される。；全ての番組表と番組解説記事の一部は東京ニュース通信社から配信を受けている。；このような対称操作とキラリティーの関係は表のようにまとめられる。</t>
        </is>
      </c>
      <c r="J1206">
        <f>HYPERLINK("https://www.weblio.jp/content/表", "词义详情")</f>
        <v/>
      </c>
      <c r="K1206">
        <f>HYPERLINK("https://yourei.jp/表", "查看例句")</f>
        <v/>
      </c>
    </row>
    <row r="1207">
      <c r="A1207" t="inlineStr">
        <is>
          <t>表通り</t>
        </is>
      </c>
      <c r="B1207" t="inlineStr">
        <is>
          <t>成功</t>
        </is>
      </c>
      <c r="C1207" t="inlineStr">
        <is>
          <t>読み方：おもてどおり
市街の主要な道路。⇔裏通り。</t>
        </is>
      </c>
      <c r="D1207" t="inlineStr">
        <is>
          <t>街路；ストリート；町筋；表通；町すじ</t>
        </is>
      </c>
      <c r="F1207" t="inlineStr">
        <is>
          <t>表通りからちょっと；賑やかな表通り；広い表通り；多い表通り；出て表通り</t>
        </is>
      </c>
      <c r="H1207" t="n">
        <v>29</v>
      </c>
      <c r="I1207" t="inlineStr">
        <is>
          <t>三次の立っているところは表通りだから何も見えないし何も聞えない。；他に類を見ない革命的な理論は予定表通りに開発出来るものではない。；耳はやはり表通りに向けられていたが、今日は特別にも彼の帰りは遅い。；扉も何もないので表通りの砂塵は傷にくるしむ兵士の顔のうえを流れた。；それから二人は黙って歩き続け、四つ辻を表通りへ出たところで別れた。；あたしたちのいる三九〇七号室は表通りに面した部屋ではなかった。；ビルの間の細い路地を抜けて表通りに出ると、そこに小関が待っていた。；表通りの信号を渡るとき、女の腕がスッと私の肩の下に滑り込んで来た。；表通りに出たとき、ちょうどからのタクシーが来たのは運がよかった。；病院からの帰り、駅までの道を彼らは表通りを避けて、裏通りを歩いた。；表通りから一歩入っただけで、パリの喧噪を忘れてしまえる地区なのだ。；二人は門を出て竹越氏の行った表通りとは反対の裏通りの方へ足を向けた。；そこでおれは裏通りを探したりしないでまっすぐに表通りを走って行った。；そこは新宿の表通りで、三人のまわりを流れるように、人が歩いている。；例えば表通りと裏通りの隙間に作られた申し訳程度の小さな小さな公園。；管理レベル順に指示をおこなうような組織表どおりの管理は行わなかった。；用のないのに出あるくものもないと見えて表通りには足音もしない。；男は屋上の縁に膝をつき、こちらに背を向け、表通りを見下ろしていた。；つまり私は、表通りに面したその古い家に一人で住んでいたようなものである。；そのゲームセンターは、表通りに面しているためか、客の姿が多かった。；貧民窟から表通りへ出ると、周りから付いてきていた子供らが消えた。；表通りから少しはいったところにある大きな単独のビルであった。；表通りに動く人影は少ないが、立ち飲み屋の前に男たちが群がっている。；勿論、表通りに人影はないが裏通りを徘徊してみると、必ず誰かがいる。；表通りからちょっと細い道に入ると、ここが原宿かと思うほど静かになる。；もう一度二人の姿を確かめてから、孫四郎は来た道を表通りの方にもどった。；このあたりには人影は見えないが、表通りにはまだ酔客が歩いている。；階段の脇の硝子窓を少し開けて表通りを見ると、坂の街が白く煙っていた。；通りが暗いうえに、ジムは表通りからかなり引っ込んだところにあった。</t>
        </is>
      </c>
      <c r="J1207">
        <f>HYPERLINK("https://www.weblio.jp/content/表通り", "词义详情")</f>
        <v/>
      </c>
      <c r="K1207">
        <f>HYPERLINK("https://yourei.jp/表通り", "查看例句")</f>
        <v/>
      </c>
    </row>
    <row r="1208">
      <c r="A1208" t="inlineStr">
        <is>
          <t>主に</t>
        </is>
      </c>
      <c r="B1208" t="inlineStr">
        <is>
          <t>成功</t>
        </is>
      </c>
      <c r="C1208" t="inlineStr">
        <is>
          <t>読み方：おもに
［副］主として。大部分。ほとんど。「大学では—物理を学んだ」→主(おも)</t>
        </is>
      </c>
      <c r="D1208" t="inlineStr">
        <is>
          <t>主な勝ち鞍；主目的；主な目的；主機；主屋</t>
        </is>
      </c>
      <c r="E1208" t="inlineStr">
        <is>
          <t>父；君；先生；主に；神</t>
        </is>
      </c>
      <c r="F1208" t="inlineStr">
        <is>
          <t>事業主；主な産業；主體；主な舞台；主任務</t>
        </is>
      </c>
      <c r="G1208" t="inlineStr">
        <is>
          <t>主要；主人公；主人；主演；主催</t>
        </is>
      </c>
      <c r="H1208" t="n">
        <v>29</v>
      </c>
      <c r="I1208" t="inlineStr">
        <is>
          <t>提供されるサービスは主に計算処理とデータの保存・利用に大別される。；このような新しいアプローチは主にアメリカやイギリスで提唱された。；海水はその表面に波が立っていることが多く、これは主に風の作用である。；この高い金属存在量を説明するために、主に3つの理論が提唱されている。；現在の日本語で最も基本的な文字であり、主に次のような場面で用いられる。；現代では主に自身の性格やそれに基づいた相性を知るために利用する人がいる。；上の地図で不明瞭、または省略されている主な離島の所属は以下の通り。；主な海外で使用されている震度階級としては以下のようなものがある。；これは主に伝説と歴史に対するプラントの関心から生まれたものであった。；主に米国で使用される名称で、後述するテーブル筐体もこの一種とされる。；しかし、これ以降の時代には主に民衆から支持を得る形で小説が人気を得ていく。；主に国内農業で使用されるピックアップトラックや多目的車が製造されている。；第二次世界大戦以降は、主に第一次世界戦争と呼ばれるようになった。；当時は主に先輩や先生のモノマネなどで、共に校内の人気者だったという。；中小私鉄は主にJRの駅から離れた都市とJR駅を結ぶ役割のものが多い。；東京近郊の時計坂という町にある木造2階建ての建物で、本作の主な舞台。；サーバ用に使用される主なオペレーティングシステムには以下がある。；このマシンは主にそのハードウェアを中心に各種雑誌で広くレビューされた。；本シリーズに登場するアイテムは、主に次のように分類される。；部品事業部が展開していた主にホビー向けの流れを受けたシリーズ。；この期間の主な開発のひとつがタイムシェアリングシステムである。；主に宗教儀式やヒーリングのために演奏していたと考えられている。；売買対象は主に漫画や文庫本など大量出版され希少価値の低い書籍である。；現代医学の立場から言えば、女性は主に婦人科系の役割が重要である。；今日はゲール文字の一部として主に装飾的な目的で使用されている。；この氾濫原だけが居住に適しており、主な活動はナイル河畔で行われた。；サーバ機能を提供する主なソフトウェアの種類には以下がある。；主に以下のように分類されるが、厳密に区別できるわけではない。；同学園の生徒は当駅が設置される前までは主に田端駅か日暮里駅を利用していた。</t>
        </is>
      </c>
      <c r="J1208">
        <f>HYPERLINK("https://www.weblio.jp/content/主に", "词义详情")</f>
        <v/>
      </c>
      <c r="K1208">
        <f>HYPERLINK("https://yourei.jp/主に", "查看例句")</f>
        <v/>
      </c>
    </row>
    <row r="1209">
      <c r="A1209" t="inlineStr">
        <is>
          <t>重み</t>
        </is>
      </c>
      <c r="B1209" t="inlineStr">
        <is>
          <t>成功</t>
        </is>
      </c>
      <c r="C1209" t="inlineStr">
        <is>
          <t>読み方：おもみ
１目方の重いこと。また、その度合い。「雪の—で屋根がつぶれた」
２その人や物事から受ける重厚な、また厳粛な感じ。「社長としての—をつける」「伝統の—」「—のある言葉」
３気持ちのうえの負担。「責任の—」
４連歌・俳諧で、観念的で古くさい作り方。
「越人が句、已(すで)に落ち付きたりと見ゆれば、又—出で来たり」〈去来抄・先師評〉</t>
        </is>
      </c>
      <c r="D1209" t="inlineStr">
        <is>
          <t>重み付き；重みづけ；重み関数；重みベクトル；重みつき</t>
        </is>
      </c>
      <c r="E1209" t="inlineStr">
        <is>
          <t>重要；重量；質量；重要性；重さ</t>
        </is>
      </c>
      <c r="F1209" t="inlineStr">
        <is>
          <t>ずっしりと重み；不思議な重み；かかる重み；確かな重み；ずしりと重み</t>
        </is>
      </c>
      <c r="G1209" t="inlineStr">
        <is>
          <t>重み付き平均；重み付き残差法；重み付き調和平均；重み付き公平キューイング</t>
        </is>
      </c>
      <c r="H1209" t="n">
        <v>29</v>
      </c>
      <c r="I1209" t="inlineStr">
        <is>
          <t>だが、からだの重みで、女がいまにも気を失いかけているのがわかった。；中央層は1の重みに固定されたこれらの文脈ユニットに結合されている。；上図は、WMA での重みがどのように変化するかを示したものである。；結合重みと構造を進化させるネットワークはTWEANNsと呼ばれる。；恐ろしい秘密の数々の重みに耐えかねるその頭の中をよぎるものは何か。；急速に組織化されつつあった戦後社会における個人の重みを問われている。；ただ彼は一歩ごとに足の重みが増してゆくように感ずるばかりである。；こうすれば珠芽には重みをかけずに、乾燥したままとっておけますから。；安藤優子のような言葉に重みのあるキャスターになりたいと語っている。；トンネル上の塔は重みで崩れたが、攻城戦にそれ以上の進展はなかった。；だが今の場合は、人間の足の重みで石が落ちたようにフランツには思えた。；彼女は私の胸へぐんぐん寄りかかってき、全身の重みをぶっつけてきた。；そして、思い出したように銚子を持ちあげて見てその重みを量っていた。；重みの値は経験的なものであるが、ベント則の観点からは合理化できる。；けれども子供の力はとても扉の重みに打ち勝てるようなものではなかった。；彼女は奇妙にもあの異質の像や、説明できぬ運命の重みから逃れたかった。；彼は荷物の重みで前屈みになり、左腕を前のほうにだらりと下げていた。；また音楽の展開に合わせて合唱の重みは徐々に増されていかねばならない。；彼女の唇に感じたのは、忘れえぬ重みと、その腕の力の強さだった。；それは色が黒の方はすべての色をふくんだ重みのある色だからだ。；彼女はそれをわざと意識的な行為にするため、強く又彼の膝に手の重みをかけた。；左手には買い物でふくれた袋を持ち、荷物の重みで左肩が上がっている。；松山市には今も久松氏の旧城の一部が残って、町に重みを加えております。；その重みに押されるがため、却って自然と足が前に出る様な気がした。；その重みに押されるがため、却つて自然と足が前に出る様な気がした。；重み付き有界変動函数を導入し完全に一般に研究したのは である。；おぬいも自分の肩に思ったより軽い父の重みを感じながら歩いた。；綱を巻いただけでは、その重みだけで手も足も出なかったであろう。；線形変換の重みが変化するとニューラルネットワークの出力も変化する。</t>
        </is>
      </c>
      <c r="J1209">
        <f>HYPERLINK("https://www.weblio.jp/content/重み", "词义详情")</f>
        <v/>
      </c>
      <c r="K1209">
        <f>HYPERLINK("https://yourei.jp/重み", "查看例句")</f>
        <v/>
      </c>
    </row>
    <row r="1210">
      <c r="A1210" t="inlineStr">
        <is>
          <t>趣</t>
        </is>
      </c>
      <c r="B1210" t="inlineStr">
        <is>
          <t>成功</t>
        </is>
      </c>
      <c r="C1210" t="inlineStr">
        <is>
          <t>読み方：おもむき
１そのものが感じさせる風情。しみじみとした味わい。「冬枯れの景色も—がある」
２全体から感じられるようす・ありさま。「異国的な—のある街」「大陸とは—を異にした文化」
３言おうとしていること。趣旨。「お話の—は承知しました」
４聞き及んだ事情。ようす。「承りますればご病気の—、お案じ申しております」
５やり方。方法。
「合戦の—はからひ申せ」〈保元・上〉</t>
        </is>
      </c>
      <c r="D1210" t="inlineStr">
        <is>
          <t>趣を異に(8%)；趣好；趣深く；趣をなし；趣を感じさせる</t>
        </is>
      </c>
      <c r="E1210" t="inlineStr">
        <is>
          <t>姿；見え；意味；体；色</t>
        </is>
      </c>
      <c r="F1210" t="inlineStr">
        <is>
          <t>たる趣；幽趣；別趣；同趣；候趣</t>
        </is>
      </c>
      <c r="G1210" t="inlineStr">
        <is>
          <t>趣旨；趣向；趣き；趣意；趣味人</t>
        </is>
      </c>
      <c r="H1210" t="n">
        <v>29</v>
      </c>
      <c r="I1210" t="inlineStr">
        <is>
          <t>男体山に向かって広く開けた土地で、日光の趣を感じさせたからだった。；内容的にもビジュアル重視で大作主義のメインシリーズとは趣が異なる。；大正時代に作られた煉瓦作りの当時の趣のまま現在も利用されている。；本町通りから東側には住宅マンションも多く、城下町の趣も残っている。；実際また河童の恋愛は我々人間の恋愛とはよほど趣を異にしています。；この妻の急に死んだことを使の者が知らせた趣が長歌に見えている。；道路の拡張工事なども各所で行われており、かつての趣を一新しつつある。；この趣は書きようによればあるいは小説になるかも知れない。；その風格・志趣は豪邁であると評判であり、郎はみな彼を憚ったという。；ただし、その系統樹は上記のように古典的なものとは大きく趣を異にする。；これらの点で通常のハリウッドの映画俳優の回想録とは趣が異なっていた。；ただその家は草屋根ではあったけれども、普通の百姓家とはちょっと趣が違う。；しかし、この計画は工学実験的な趣が強く、月の観測は主目的ではなかった。；詠風は独特であり、素材にも表現形式にも特異な趣があったという。；小さな虫籠はまことに趣深く、いろいろ変った形で出来ていた。；レーガンが大統領になって始めたことは前任者政策からの離脱に近い趣があった。；十界の中でも前半の六道ないしは五趣のいずれかに属して生きている。；柚餅子のやうな菓子には、鉄斎が洒脱な趣をもつた柚の絵を描いて居た。；後者の方が湯は綺麗だが、古い湯の宿の趣は前者の方が遙かにすぐれている。；こちらは公共性が高く、より趣のある洒落たデザインの建築であった。；木々は残されているが、周辺は住宅地であり、都市の公園の趣である。；特に南東側の若林区は下町の趣があり、江戸時代から続く地名が残る。；市は以下の7つの丘に囲まれ、ローマのような趣を見せている。；羅両峰の鬼趣図とか云ふのは、写真版になつたのを見た事があつた。；木の性はまるで違うが、花の趣が遠目にはどこか百日紅に似たところがある。；その趣は即興的であり、後に書かれた作品55-2の作品を連想させる。；芥川僕ともに風雨樓に滿つるの趣があつて、金の必要を大いに感じてた。；特に仮幹が高く伸び上がったものは古木のような趣があるので喜ばれる。；私の主人とも話しまた私とも話をしたがジロリと私の顔を眺めてどうやら疑いのありそうな趣が見えたです。</t>
        </is>
      </c>
      <c r="J1210">
        <f>HYPERLINK("https://www.weblio.jp/content/趣", "词义详情")</f>
        <v/>
      </c>
      <c r="K1210">
        <f>HYPERLINK("https://yourei.jp/趣", "查看例句")</f>
        <v/>
      </c>
    </row>
    <row r="1211">
      <c r="A1211" t="inlineStr">
        <is>
          <t>赴く</t>
        </is>
      </c>
      <c r="B1211" t="inlineStr">
        <is>
          <t>成功</t>
        </is>
      </c>
      <c r="C1211" t="inlineStr">
        <is>
          <t>読み方：おもぶく
［動カ四］「おもむく」に同じ。
「薬をもて忽(すみや)かに—・かしむ」〈大慈恩寺三蔵法師伝承徳三年点〉
［動カ下二］「おもむく」に同じ。
「民(おほむたから)を導く本(もと)は、教へ—・くるに在り」〈崇神紀〉</t>
        </is>
      </c>
      <c r="D1211" t="inlineStr">
        <is>
          <t>赴くべき；赴くべく</t>
        </is>
      </c>
      <c r="E1211" t="inlineStr">
        <is>
          <t>行く；いらっしゃる；参る；らっしゃる</t>
        </is>
      </c>
      <c r="H1211" t="n">
        <v>29</v>
      </c>
      <c r="I1211" t="inlineStr">
        <is>
          <t>無事に石を入手したが、依頼主の元に赴くところで事態は複雑化していく。；押印のためには使用局へ直接赴くか、事前に郵送で依頼する必要がある。；故郷に別れを告げて新天地に赴く主人公を乗せた馬車を表現している。；紹介を少し具体的にやろうとすれば、いやでも批評へ赴かざるを得ない。；秀吉が伊勢長島城に移った織田信雄を祝いに赴いた際にも同行している。；彼は以前数人の国会議員にその考えを紹介するよう要請され議会に赴いた。；この礼に女房衆が大坂へ赴いた際に、国朝との結婚話が出されたものと思われる。；安芸国守護であったが、自身が安芸に直接赴いたかどうかは不明である。；だが最後の決断が出来ず、何度も陶侃の下へ赴いては何もせず戻った。；生活のために助監督をする覚悟で上京して大船に赴くが、不調に終わる。；主人のもとに赴こうと、階段を上っているときに死んだのである。；開幕を前にしても肩の調子がよくならず、信州の温泉に治療に赴く。；仙田は、まさしく子どものために、インドに赴こうとしているのである。；建築・都市計画学のローマ・スカラーシップ制度を得てイタリアに赴く。；中学のとき、作文で級一番だったのがその趣味に赴かせたのである。；選出されたローマ王がすぐ戴冠のためローマに赴けることはまれだった。；この後、憲実は諸国遍歴の旅に出て、京都、九州にまで赴いたとされる。；プロへ転向したが収入が困難だと判断し、日本玉台へ自ら赴いて提案を行った。；この名が正式名称となるのは、同年6月に広島へ赴いてからのことである。；また、最後のアメリカ南部ツアーでは実際にTOKIOが現地へ赴いた。；そして教会へ赴くと自分が悪かったと認め、家族を帰して欲しいと願う。；朱熹は何度も辞退したが、何度も推薦を受け、結局翌年3月にに赴いた。；そして、母を救う唯一の方法と信じて「闇の住人」たちとの戦いに赴く。；さらに造船所建造の技術指導のため実際に薩摩に赴いたとも伝えられている。；白鳥はこれをすぐには承諾せずに、推薦者と思われる近衛の元に赴いた。；この結果フランスから追放され、ブリュッセルへと赴くこととなった。；主人公の伯斗龍二は、一通の手紙を受け取った事からこの洋館に赴いた。；この曲はベトナム戦争に赴く若者達を思って書かれたものである。；また、極真カラテ普及のためにヨーロッパ方面へも指導に赴いている。</t>
        </is>
      </c>
      <c r="J1211">
        <f>HYPERLINK("https://www.weblio.jp/content/赴く", "词义详情")</f>
        <v/>
      </c>
      <c r="K1211">
        <f>HYPERLINK("https://yourei.jp/赴く", "查看例句")</f>
        <v/>
      </c>
    </row>
    <row r="1212">
      <c r="A1212" t="inlineStr">
        <is>
          <t>思惑</t>
        </is>
      </c>
      <c r="B1212" t="inlineStr">
        <is>
          <t>成功</t>
        </is>
      </c>
      <c r="C1212" t="inlineStr">
        <is>
          <t>読み方：おもわく
《が原義。「惑」は当て字》
１あらかじめ考えていた事柄。考え。意図。また、見込み。「なにか—がありそうだ」「—が外れる」
２自分のしたことに対する他人の反応、評価。評判。「世間の—が気になる」
３相場の変動を予想すること。また、その予想によって売買すること。
４人に思いをかけること。恋心。
「何の—がありて、美形の女の方より、指爪を放しやるべし」〈浮・禁短気・二〉
５思いをかけた人。恋人。情人。
「この—の心算用をすまさせいでは」〈浮・禁短気・一〉
《動詞「おもう」のク語法》
１思うこと。
「あしひきの山は百重(ももへ)に隠せども君を—止む時もなし」〈万・三一八九〉
２（副詞的に用いて）思うことには。思うには。
「里見れど里も見かねて怪しみとそこに—」〈万・一七四〇〉</t>
        </is>
      </c>
      <c r="D1212" t="inlineStr">
        <is>
          <t>思惑通り(9%)；思惑どおり(4%)；思惑買い；思惑違い；思惑ありげ</t>
        </is>
      </c>
      <c r="E1212" t="inlineStr">
        <is>
          <t>考え；思い；主張；意見；期待</t>
        </is>
      </c>
      <c r="F1212" t="inlineStr">
        <is>
          <t>たいという思惑；政治的思惑；政治的な思惑；たい思惑；そんな思惑</t>
        </is>
      </c>
      <c r="H1212" t="n">
        <v>29</v>
      </c>
      <c r="I1212" t="inlineStr">
        <is>
          <t>また、こういった動きには政治的な思惑もあると報道される場合がある。；宗教的な理由というよりも政治的な思惑が設置に大きく関わっている。；彼の生涯は、こうした時の指導者たちの思惑に翻弄されるものであった。；この頃から時忠は清盛の思惑から外れ、独自の動きを見せるようになる。；ところが双方の交渉ともに、東西の思惑の差異が際立ち連携は失敗した。；双方の街の思惑からこのプロジェクトは失敗に終わったのだった。；思惑こそ外れたものの、1年次の1974年は期待通りの成績を残した。；この態度は、純粋な宗教的動機ではなく政治的な思惑によるとされる。；しかし向井が来たことも強盗が現れたこともある人物の思惑があった。；両陣営が合意に至った背景にはそれぞれの思惑があったためである。；という点についてはそれぞれの思惑もあって対立を深めることになった。；これは当時列島改造計画を推し進めた田中の思惑もあったといわれている。；親のおもわくが働いていても、彼女が拒否すれば、この縁は成立しなかった。；その大国の思惑と現場での混乱した雰囲気の中でブラントは苦悩していた。；そしてそれぞれの思惑が交差し、事態は思わぬ方向に向かってしまう。；それぞれの組織の思惑で動かねばならないPC同士の葛藤等も描かれている。；承久の乱のように、朝廷側の思惑によって追討令が出された場合もある。；犬と人間、それぞれの思惑が絡み合う中、犬山家に最大の危機が訪れる。；実際には、幕府の行っていた貨幣改鋳の妨げになるとの思惑であった。；この間に憲法を改正し三選を可能にしようとする思惑があるとの憶測も出た。；棟居が勝手なおもわくを転がしている間に、電車はやや大きな駅に着いた。；赤煉瓦ネットワークの思惑どおり、この日から建物を残す動きが始まる。；こうした両者の思惑が一致し、同年からのミニキャンプ実施に至った。；複数の邦がその領有権を主張し、土地投機業者の思惑がうごめいていた。；その結果、思惑通りツァンギライは選挙からの撤退を余儀なくされた。；彼女の思惑とは違うメディアからの注目は彼女に失望を与えた。；この強引な婚約の背景には当時の政治的な思惑があったとされる。；しかし、連合国同士の思惑の違いも次第に表面化することになった。；ここでフランスに恩を売ることで条約改正へ有利にする思惑であった。</t>
        </is>
      </c>
      <c r="J1212">
        <f>HYPERLINK("https://www.weblio.jp/content/思惑", "词义详情")</f>
        <v/>
      </c>
      <c r="K1212">
        <f>HYPERLINK("https://yourei.jp/思惑", "查看例句")</f>
        <v/>
      </c>
    </row>
    <row r="1213">
      <c r="A1213" t="inlineStr">
        <is>
          <t>思わしい</t>
        </is>
      </c>
      <c r="B1213" t="inlineStr">
        <is>
          <t>成功</t>
        </is>
      </c>
      <c r="C1213" t="inlineStr">
        <is>
          <t>読み方：おもわしい
［形］［文］おもは・し［シク］《動詞「おもう」の形容詞化》
１好ましい状態である。よく思われる。現代では、多く否定の表現を伴って用いられる。「回復が—・くない」
「声にくからざらむ人のみなむ—・しかるべき」〈枕・四九〉
２そう思われるようすである。
「郵便局、裁判所を出た人、そう—・い人々が」〈有島・星座〉</t>
        </is>
      </c>
      <c r="D1213" t="inlineStr">
        <is>
          <t>思わしいもの(17%)；思わしい結果(8%)；思わしい仕事(3%)；思わしい口(2%)；思わしい方(2%)</t>
        </is>
      </c>
      <c r="E1213" t="inlineStr">
        <is>
          <t>いい；見える；よい；思われる；良い</t>
        </is>
      </c>
      <c r="H1213" t="n">
        <v>29</v>
      </c>
      <c r="I1213" t="inlineStr">
        <is>
          <t>初め雑誌の売捌方を依頼する思わしい本屋が無くて困っていたのです。；海員病院の医者どもがよ、どうも思わしくねえ状態だって言いやがったよ。；第一回の散歩のときには、思わしい場所がないので帰ってきた。；この頃から以後は全く実験助手なしであったから仕事は思わしく進まなかった。；察するところ、何度彼女に連絡しても、思わしい結果にならないようだった。；試験所が命じてアンモニアに置き換えさせたが、思わしく色が出ないという。；年明けには大きな外科手術が行われたが、結果は思わしいものではなかった。；玄児は慌てて私を助け起こそうとしたのだが、私の反応は思わしいものではなかった。；しかし思わしい結果は出なかったため、シーズン途中でチームを去ることになった。；ときどき小さな魚がすばしこく走ったが、そのほかにこれと思わしい物はなにもなかった。；病院の経営の方が今年になって思わしくないし、渡すような余分な金はないと言ってやったんだ。；五六たびも清鑑堂へかよい、二三本みせられたが、思わしいものはなかった。；つい先頃も一つあったが、思わしくないので直ぐお断りしてしまった。；少なくとも、そういう了簡でなければ思わしい書物を手中にすることはできぬ。；しかし、どういうものか、その夜の雰囲気は、あまり思わしいものではなかった。；しかし、インディアンスでも思わしい成績を残すことが出来なかった。；警察でもその点に気づいて、これもまた出来る限りは探索したのですが、やっぱり思わしい結果は得られませんでした。；きょうも思わしいあきないもなしに、彼はいつもより早く帰った。；この調査で思わしい結果は得られなかった。；あのひとはもう二十七八になりましたが、田舎では思わしいこともないらしくて未だにああやって居ります。；そして運動が思わしい発展を見せなくなると、刺激やスリルの供給源を他に求めざるをえなくなる。；思わしい結果ではなかったが、手術は失敗ではない。；工事の進行が思わしく進まぬ役人たちの責任逃れの口実さ。；卒業後彼をどこかの大学の助手にでも世話しようとする者もあったが、国籍や人種の問題が邪魔になって思わしい口が得られなかった。；が、それらに付される回答はいずれも思わしいものではなかった。；彼は何人かの財界人を説いて廻ったが、当然のことながらその結果は思わしくいかなかった。；半日の奮闘の末、思わしい成果を得た若杉は、再び、藤沢五郎を訪ねた。；最初の話は、あまり思わしいものでなく、本人の耳に入れずに、母のもとで打ち切ってしまいました。；しばらく職さがしをしたが、深刻な不況下で、思わしい仕事がなかなかなかった。</t>
        </is>
      </c>
      <c r="J1213">
        <f>HYPERLINK("https://www.weblio.jp/content/思わしい", "词义详情")</f>
        <v/>
      </c>
      <c r="K1213">
        <f>HYPERLINK("https://yourei.jp/思わしい", "查看例句")</f>
        <v/>
      </c>
    </row>
    <row r="1214">
      <c r="A1214" t="inlineStr">
        <is>
          <t>思わず</t>
        </is>
      </c>
      <c r="B1214" t="inlineStr">
        <is>
          <t>成功</t>
        </is>
      </c>
      <c r="C1214" t="inlineStr">
        <is>
          <t>読み方：おもわず
［副］
１そのつもりではないのに。考えもなく。無意識に。「—かっとなる」「うれしくて—跳び上がる」
２思いがけず。意外なことに。
「四鳥の塒(ねぐら)に親と子の、—帰り逢ひながら」〈謡・雲雀山〉
［形動ナリ］
１思いのほか。意外。案外。
「かかる世を見るより外に、—なる事は何事にか」〈源・須磨〉
２心外である。期待がはずれて気に入らない。
「いかが、世の中さびしく、—なる事あるとも忍び過ぐし給へ」〈源・若菜下〉</t>
        </is>
      </c>
      <c r="D1214" t="inlineStr">
        <is>
          <t>思わず知ら；思わず叫ん；思わず吹き出し；思わず息をのん；思わずはっと</t>
        </is>
      </c>
      <c r="E1214" t="inlineStr">
        <is>
          <t>つい；ふと；偶然；ぼんやり；たまたま</t>
        </is>
      </c>
      <c r="F1214" t="inlineStr">
        <is>
          <t>思わず武者ぶるい；思わずドキリ；思わずドキン；思わず首をすくめる；思わず深い溜息</t>
        </is>
      </c>
      <c r="H1214" t="n">
        <v>29</v>
      </c>
      <c r="I1214" t="inlineStr">
        <is>
          <t>しかしそこに彼は不意な出来事を見いだして思わず足をとめてしまった。；ああ僕は、あだしごとを述べるについて思わず熱心でありすぎたようだ。；がダンスをする光景を見て思わず歌に合わせてステップを踏んでしまう。；それにつけてもこれまでにした兵隊さん達のことを思わずにはいられない。；私もいろいろ噂には聞いていたが、まさかそれほどとは思わずにいた。；ぼくは彼女の態度につられて、思わず知人のような返事をしてしまった。；その様子をガラス越しに聞いていた永は思わず涙を流したという。；それ等の理由で、思わず私は二度目の足を此の町に運んだのであった。；ただ心の中で思ったばかりだけれど、おれは思わずハッと青くなったね。；私は思わず彼の手を握りしめた・・・・彼とはこれが最後であった。；これにはああ云う気丈な娘でも、思わず肚胸をついたそうでございます。；逆上したラツァは思わず手に持っていたナイフで彼女の頬を切りつける。；そんな中見慣れぬ海を見て興奮し思わず飛び込もうとする少女に出会う。；千百の顔が、一刹那ハッと色を失って思わず舞台の上から眼をそらした。；私はあの顔からあの声が出るのを聞くと思わず身の毛がよだつ思いがする。；そこまで考えた時、あのギョッとする想像が彼を思わず立ち上がらせた。；慰めようとした光は思わずキスしそうになるが、未知はそれを拒否する。；それに乗って直芳が下を見た時に、思わず知らず口走ったのであった。；世間の目も同僚の仕打ちも、思わず涙の出ることが何度となくありました。；トムは恐怖のあまりに思わず悲鳴をあげるが、どうやら夢だった模様。；すると宇吉はふと奇妙なことに気がついて思わず啣えた楊枝を手にとった。；国境のことを聞かれて思わず壁について答えてしまったのである。；葉子は思わず気を失いそうになって声をあげながら、足を縮めてしまった。；みみかは思わずその少女に声をかけるも、不審者と勘違いされてしまう。；ぼくは思わず声を出しそうになったが必死に息を殺した。；彼女の悲痛な叫びを聞いた翼は思わず不良たちと雪のもとへ向かう。；そして、思わず主任の腕をつかんで黙ってその方を指したものです。；私は思わず指を口の中から放して、声を立てながら水の中にはいってゆきました。；この疑問は少しの間私に羞恥を忘れさせ私は思わず長い言葉を喋った。</t>
        </is>
      </c>
      <c r="J1214">
        <f>HYPERLINK("https://www.weblio.jp/content/思わず", "词义详情")</f>
        <v/>
      </c>
      <c r="K1214">
        <f>HYPERLINK("https://yourei.jp/思わず", "查看例句")</f>
        <v/>
      </c>
    </row>
    <row r="1215">
      <c r="A1215" t="inlineStr">
        <is>
          <t>重んじる</t>
        </is>
      </c>
      <c r="B1215" t="inlineStr">
        <is>
          <t>成功</t>
        </is>
      </c>
      <c r="C1215" t="inlineStr">
        <is>
          <t>読み方：おもんじる
［動ザ上一］「おもんずる」（サ変）の上一段化。「名誉を—・じる」</t>
        </is>
      </c>
      <c r="D1215" t="inlineStr">
        <is>
          <t>重んじるべき</t>
        </is>
      </c>
      <c r="E1215" t="inlineStr">
        <is>
          <t>評価；尊重；集中する；重視する；強調する</t>
        </is>
      </c>
      <c r="H1215" t="n">
        <v>29</v>
      </c>
      <c r="I1215" t="inlineStr">
        <is>
          <t>それにはまず幕府で監察の役を重んじたことを知ってかかる必要がある。；先生が名誉を重んじる方でなければ、これだけの大病院は維持できない。；ある者は自分の言葉を重んじ、それらをまるで論拠と同じに考えている。；政策実現を重んじる調整型の政治家として党派を超えた信頼を確立した。；また理論より実用性を重んじている所が、以前の医書と異なる面である。；核心が分かればそれでよいのだと、効能を重んじる私は考えるのである。；道と力は人生に於ける二大要素であり、これを重んじないものはない。；東部はより郊外的で伝統を重んじ、西部はより都会的で近代風に見られる。；その書は法帖を重んじすべての書体をよくしたがとりわけ草書に優れた。；承根の文章は当時の人に重んじられたが、行動は軽薄のそしりを受けた。；だが義を重んじ、身分に関係なく人付き合いがよく民衆からは慕われた。；自然よりも社会を重んじた形になつてゐるといふやうなものである。；しかもスミスはGMの歴代会長の中で最もプライドを重んじる人である。；ファーストインパクトばかりを重んじるとその先がないのも事実だけどな。；貴族の子弟は、騎士になるため厳しい教育を受け、七芸が重んじられた。；田生は当時呂后に重んじられていた宦官である張卿に会い、 と述べた。；しかし私の重んじたのは技よりも体と精神とを練ることであった。；存在が動的に作られたことを重んじることは存在の限界設定つまり特定である。；肉体の進化を重んじ鍛錬強化に注力した結果、巨大化の道を進んだ宇宙。；性格は総じて頑なであり、戦いを通じて得た体験を何よりも重んじている。；岳飛をすら殺害した万俟禽が、子温の生命など重んじるはずもなかった。；そこでは対話が重んじられ、教師と生徒の問答によって教育が行われた。；世の人々が彼を重んじていたのはまさにこのようであった。；いかにも若者らしく、法の正義を信じ、公正を重んじる心を持っていた。；昨夜は殺人事件より時間厳守の方を重んじるようなことを云っていた。；郷里では良く他者の面倒を見たので、見識のある人士は皆彼を重んじた。；禅でも心の無を重んじるが剣も心を虚くする事を大切としている。；もっとも、歌舞伎町に格を重んじる店など、あっても商売にはなるまい。；このことは親鸞がいかに論語を重んじていたかを示すものであろう。</t>
        </is>
      </c>
      <c r="J1215">
        <f>HYPERLINK("https://www.weblio.jp/content/重んじる", "词义详情")</f>
        <v/>
      </c>
      <c r="K1215">
        <f>HYPERLINK("https://yourei.jp/重んじる", "查看例句")</f>
        <v/>
      </c>
    </row>
    <row r="1216">
      <c r="A1216" t="inlineStr">
        <is>
          <t>おや</t>
        </is>
      </c>
      <c r="B1216" t="inlineStr">
        <is>
          <t>成功</t>
        </is>
      </c>
      <c r="C1216" t="inlineStr">
        <is>
          <t>［感］意外なことにであったときなどに発する語。「—、まだ起きていたの」「—、まあ」</t>
        </is>
      </c>
      <c r="D1216" t="inlineStr">
        <is>
          <t>おやおや(8%)；おやまあ；おやしき；おやッ；おやりな</t>
        </is>
      </c>
      <c r="E1216" t="inlineStr">
        <is>
          <t>親；両親；父母；二親；ペアレンツ</t>
        </is>
      </c>
      <c r="F1216" t="inlineStr">
        <is>
          <t>思わずおや；ふたおや；あおや；ふいにおや；おやツ</t>
        </is>
      </c>
      <c r="G1216" t="inlineStr">
        <is>
          <t>おやすみ；おやつ；おやすみなさい；おやっさん；おやゆび姫</t>
        </is>
      </c>
      <c r="H1216" t="n">
        <v>29</v>
      </c>
      <c r="I1216" t="inlineStr">
        <is>
          <t>私は自分の言葉で胸をつまらせ、おや、泣き上戸になったかなと思った。；そしておやと思ふ間もなく突如として異様な獣のやうな叫び声が起つた。；おや、風が通るようになりましたね、 多賀子が病院からかえって来た。；おやしきへ着いてから正三君は自分の部屋にはいったまま出てこなかった。；おやぢは北海道へ行つて金貸しをしてゐたが、紀州へ歸つて死んだこと。；馬車が前を通るとき馭者台の上を見ると、木之助は、おやと意外に感じた。；「おやいつ来たの」 母は二人坐っているところを見て厭な顔をした。；おやと思って見ると、騎馬武者の一隊が前から来ているところであった。；それそれそなたの主人、一条のおやぢ様の書かれた本にもあるではないか。；おや随分遅くなりましたね、今夜はお話をこのくらいにして寝ましょう。；「おやッ」 例のお面の大きな目がぐるんと動いたような気がしたからだ。；でも犬がワンワン云うのでおや、誰か来たかと思い、わるくありません。；このおやぢの偉いところは、人の外見で人物を判断しないことである。；橋の上まで来た時である、 「おや」と彼は呟いて、左の袖へ手を入れた。；彼は、屋上に、二つの人影が動いているのを発見して、おやと思った。；さすがの癇癖おやぢも我を折つたかと意外に人が集つて来た。；「おや、此所には赤ん坊があるよ、」 彼は赤ん坊が見たくなつてきた。；ところが急に水の音がするんで、おやと思うと橋へ出ている。；「おや、何をするの」と母は手紙の断片を持ったまま、下から仰向いた。；「おやこの納豆やさん、こないだの子だね」 などと云うことがあった。；「御免下さい」一言の挨拶と共に室の中に入った津田はおやと思った。；おやしきの信用を得ておけばどこへ出るにしても都合がよろしゅうございますわ。；実際フレンチは一寸見て、おや、手術台のようだなと思ったのである。；でも万一この文章が彼の眼に止つたら内心おやツと打ち驚くかも知れない。；おや、と思い格子のところへ行って見たら、まあ、引越しのところです。；おやと思ってその次のやつへ足をかけるとまたぐらりとくる。；益雄はおや人がいるようだなと思ってその方に眼をやった。；そんな靴をおめおめ穿いてゐる姿を、靴屋のおやぢに見られ度くなかつた。；その功徳によつてか、幸ひ、おやぢの黒い影も白い影も現はれなかつた。</t>
        </is>
      </c>
      <c r="J1216">
        <f>HYPERLINK("https://www.weblio.jp/content/おや", "词义详情")</f>
        <v/>
      </c>
      <c r="K1216">
        <f>HYPERLINK("https://yourei.jp/おや", "查看例句")</f>
        <v/>
      </c>
    </row>
    <row r="1217">
      <c r="A1217" t="inlineStr">
        <is>
          <t>親</t>
        </is>
      </c>
      <c r="B1217" t="inlineStr">
        <is>
          <t>成功</t>
        </is>
      </c>
      <c r="C1217" t="inlineStr">
        <is>
          <t>読み方：おや
１（親）子を生んだ人。父と母の総称。また、その一方。養父母などにもいう。また、人間以外の動物にもいう。「実の—」⇔子。
２（親）同類を増やすもとになるもの。「サトイモの—」「—木」⇔子。
３（親）同種のもののうち、中心的役割を果たすもの。また、比較して大きいもの。「—会社」「—指」⇔子。
４（親）花札・トランプ遊びなどで、札などを配り、中心となってゲームを進行させる人。「—を決める」⇔子。
５（親）無尽などの発起人。
６「親株2」の略。
７祖先。「—代々の土地」
「おぼろかに心思ひて空言(むなこと)も—の名絶つな」〈万・四四六五〉
８物事の始め。元祖。
「物語の出で来はじめの—なる竹取の翁(おきな)」〈源・絵合〉
９上に立つ人。かしら。
「国の—となりて」〈源・桐壺〉
[下接語]命の親・生みの親・烏帽子(えぼし)親・男親・帯親・女親・片親・仮親・契約親・講親・里親・実親・育ての親・乳(ち)親・父(ちち)親・父(てて)親・胴親・名親・名付け親・母親・二親・褌(へこ)親・継(まま)親・養い親・寄り親</t>
        </is>
      </c>
      <c r="D1217" t="inlineStr">
        <is>
          <t>親兄弟；親兵衛；親しげな；親独；親柱</t>
        </is>
      </c>
      <c r="E1217" t="inlineStr">
        <is>
          <t>親戚；親族；親類；縁者；縁故</t>
        </is>
      </c>
      <c r="F1217" t="inlineStr">
        <is>
          <t>房親；泰親；親ソ；氏親；親同士</t>
        </is>
      </c>
      <c r="G1217" t="inlineStr">
        <is>
          <t>親切；親子；親戚；親しく；親父</t>
        </is>
      </c>
      <c r="H1217" t="n">
        <v>29</v>
      </c>
      <c r="I1217" t="inlineStr">
        <is>
          <t>女子小学生のみならずその親世代も含めた大人のファンも獲得している。；親からもらったラジオや懐中電灯などの壊れた機器をよく修理していた。；しかしのちに親への不満を共通の話題にして姉妹仲はよくなった。；親の配牌時にしか宣言できない役であるため、親にのみ認められる役である。；マルコフニコフ則が成立するのは、親電子的付加反応の場合のみである。；独立以来、親フランス路線を維持しており、西側諸国とも友好的である。；彼はや、南アフリカ放送協会のような親政府的な報道機関から非難された。；仏教では親が子を生むのではなく、子が親を選ぶのだといいます。；親ができなかったことを球団が教えないといけなかった。；これは座順およびツモ番や親番の移動が反時計回りに進行するのとは逆である。；彼は親を中心とするファンタジーにその原因を求めたのである。；詞のあちこちに親が我が子の成功を祈る心情が事細かに描写されている。；資源量を維持するため親魚から採卵した卵を孵化し稚魚放流が行われる。；その為、婚姻は親側の承認が先に出ないと成立させることが不可能となっている。；東欧社会主義諸国の共産主義政党の中でも特に親ソ連の立場が強かった。；これが親植物から離れた地点で発芽して新世代の植物となる。；ドイツ出身者は、親がドイツに駐在したイギリス軍に就いていたものである。；他の9クラブは企業クラブだから胸に親企業の社名・商品名を入れるだろう。；長男だったこともあり、親から薬剤師として継がせようとしていたという。；成功した実業家の子孫は親ほど有能ではないと信じていた。；子供のころから漫画が好きで描いてはいたが親に叱られるためこっそり描いていた。；このために氏親は母とともに身を隠したと考えられている。；ところが3月に入ると、氏親は病に倒れ、わずか16歳で死去してしまう。；他の重要な高校にはがあり、少なくとも一方の親が居ない全国の子供に無料で教育を行っている。；睡眠も長く必要とせず、親の馬より学習能力が高く調教を行いやすい。；親ができなかったことを、球団が教えないといけなかった。；この前後から、岳の親離れの兆候は様々な場面で表れるようになった。；ドイツの義務教育課程は課程主義で留年は親と学校が相談した上で決定する。；長男の元祐はすでに荘氏に養子入りしていたことから、次男の元親が跡を継いだ。</t>
        </is>
      </c>
      <c r="J1217">
        <f>HYPERLINK("https://www.weblio.jp/content/親", "词义详情")</f>
        <v/>
      </c>
      <c r="K1217">
        <f>HYPERLINK("https://yourei.jp/親", "查看例句")</f>
        <v/>
      </c>
    </row>
    <row r="1218">
      <c r="A1218" t="inlineStr">
        <is>
          <t>親方</t>
        </is>
      </c>
      <c r="B1218" t="inlineStr">
        <is>
          <t>成功</t>
        </is>
      </c>
      <c r="C1218" t="inlineStr">
        <is>
          <t>読み方：おやかた
１職人・弟子・奉公人などを指導・保護する立場にある人。「—のもとで修業をする」⇔子方。
２一人前の職人を敬ってよぶ語。
３相撲の年寄を敬っていう語。
４一門・一座の頭に立つ役者を敬っていう語。
５《「おやがた」とも》親代わりとして頼る人。
「—になりて聞こえ給ふ」〈源・総角〉
６兄。年長者。〈日葡〉</t>
        </is>
      </c>
      <c r="D1218" t="inlineStr">
        <is>
          <t>親方衆；親方たち；親方朝；親方職人；親方夫婦</t>
        </is>
      </c>
      <c r="E1218" t="inlineStr">
        <is>
          <t>頭；主；先生；長；主人</t>
        </is>
      </c>
      <c r="F1218" t="inlineStr">
        <is>
          <t>笛吹親方；孫親方；尾花親方；武甲親方；今熊親方</t>
        </is>
      </c>
      <c r="G1218" t="inlineStr">
        <is>
          <t>親方株；親方町；親方制度；親方の酒</t>
        </is>
      </c>
      <c r="H1218" t="n">
        <v>29</v>
      </c>
      <c r="I1218" t="inlineStr">
        <is>
          <t>親方は親切に看護をしたので、マルコはだんだんよくなってゆきました。；もっとも、近年は女性に対して柔軟な考えをも持っている山親方もいる。；ある日のこと、急に気分が悪いといって、親方は宿へ帰ると床につきました。；その跡を当時秀ノ山を襲名し部屋付きの親方であった駒ノ里が継承した。；金さんは、幼い時分から、親方に育てられて、両親を知りませんでした。；ライデンで生まれ、10歳の頃から複数の親方画家の下で修行していた。；仕方がねえんで舞戻って例のごとく親方済みません、が呆れたもんです。；そのため、現在では独立間もない若手の部屋持ち親方に部屋を貸している。；彼らはほとんど毎日親方に接触し、徒弟として仕え、多くの仕事をした。；彼は親方制を廃止して自分で全体を完全に統括するようにした。；ある路面作業員の親方は、最後の爆発の時のことを次のように回想している。；雇子達の中には粗末な食事しか出されず、親方から虐待を受ける者もいた。；以降は時津風部屋付きの親方として、停年制度実施まで協会に在籍した。；私は親方に別れを告げて、午後の二時頃から、六里の路を炭山の町へと越した。；ただ水をくれたりして親切にしてくれるものは親方だけでした。；グレイ・ワームの呼びかけで、親方たちの護衛は主人を見捨てて逃げる。；親方の称号は古くはなく、17世紀頃から使われ始めたようである。；親方はかぜを引いたと云って奥に寝ているとのことであった。；四股や鉄砲の型がおかしいと、部屋付の親方衆は熱心に指導し直してくれた。；権太郎はその時刻にたしかに自分の店にいたと親方が証明した。；この時、春日野部屋の部屋付き親方である11代山分も共にへ移籍した。；ギルドに参加できるものは親方資格をもつものに限られていた。；六三郎はありがたくその布施をいただいて、午すぎから親方の家を出た。；「親方の御料簡はよく判っています」と、半七も同情するように云った。；ジャコバンクラブには議員以外にも職人の親方層から貴族まで広く参加した。；その夜、投獄された親方の前に影を踏まれたあのキョンシーが再び現れた。；親方も当分は六三郎を外の仕事へは出すまいと思っていた。；今後は、尾車部屋の部屋付き親方として後進の指導に当たる予定である。；手術されると知って病院を脱走し、修業先の親方の元に逃げ戻った。</t>
        </is>
      </c>
      <c r="J1218">
        <f>HYPERLINK("https://www.weblio.jp/content/親方", "词义详情")</f>
        <v/>
      </c>
      <c r="K1218">
        <f>HYPERLINK("https://yourei.jp/親方", "查看例句")</f>
        <v/>
      </c>
    </row>
    <row r="1219">
      <c r="A1219" t="inlineStr">
        <is>
          <t>親兄弟</t>
        </is>
      </c>
      <c r="B1219" t="inlineStr">
        <is>
          <t>成功</t>
        </is>
      </c>
      <c r="C1219" t="inlineStr">
        <is>
          <t>読み方：おやきょうだい
親と兄弟姉妹。肉親。</t>
        </is>
      </c>
      <c r="H1219" t="n">
        <v>29</v>
      </c>
      <c r="I1219" t="inlineStr">
        <is>
          <t>親兄弟の関係を思うならば、まず第一に自分が安心するくふうを考えろ。；彼女に家族がいたとしたら、親兄弟のもとへ強制送還されているはずだ。；親兄弟が彼をいくらほめても、誰もそれを身びいきだと笑うものがない。；墓地の隅のほうにある大きな雪墓の前で、頭を垂れる親兄弟の姿が見えた。；この両女は福島地方の農村から、親兄弟の為に売られて来たものだった。；わたしの生家では、親兄弟誰もそういうことをお互いに尋ねもしなかった。；戦火に追われ親兄弟を失ったみなし児どもは、多く京へ流れて参ります。；二人とも親兄弟がいるはずだし、子供のころの思い出だってあるはずなのだ。；親兄弟の恥になるでな、こなに高い所に上って、おらんでいるとなあ。；実家の親兄弟との関係がこれ以上ないほどささくれていたためだ。；そのために、俺たち親兄弟が力を合わせてお前を援助してきた。；親兄弟の関係といっても、自分が安心しないで親兄弟に安心させられるはずがない。；孔明は子供の頃から、乱世ゆえ、親兄弟と別れての世渡りをさせられた。；血肉を分けた親兄弟のものであってもそれは大きく変わらない。；俺の親戚にも、親兄弟が力合わせて大学さ上げてやったのがある。；彼らも戦闘が中断した時間には、親兄弟や妻子のことを考えたかもしれない。；親兄弟の反対するのも聴かずになったような奴でなくっちゃ腕は上るまいて。；戦でもないのに無理をして怪我でもされたら、そいつの親兄弟に顔向けできない。；むろん、最初、親兄弟みんな反対しましたが、今は賛成してくれています。；ああいう場所の女たちってえのは、親兄弟を養うために売られたんだ。；寛子自身にも憶えがあるが、親兄弟よりも友人がいちばん大切な年齢なのだ。；親兄弟や妻子があっては、なんとしても妥協生活を免がれないだろう。；あんたたちの親兄弟を殺して村を焼いたのは敵じゃなかった。；僕も一時は親兄弟に叛いて教義を捨てようかと本当に煩悶した者です。；そして口々に、夫と親兄弟が互いに殺し合うのは見ていられないと訴えたのである。；親兄弟や、妻子があっては、妥協生活はなんとしても免れないであろう。；親兄弟の長男の妻、つまり、うちの親父の兄の奥さんに当たる人だ。；けんかもする代りに、親兄弟にもいわないようなことを話し合ったりした。；立場を異にしたら親兄弟といえども戦わねばならぬというのは侍のおきてです。</t>
        </is>
      </c>
      <c r="J1219">
        <f>HYPERLINK("https://www.weblio.jp/content/親兄弟", "词义详情")</f>
        <v/>
      </c>
      <c r="K1219">
        <f>HYPERLINK("https://yourei.jp/親兄弟", "查看例句")</f>
        <v/>
      </c>
    </row>
    <row r="1220">
      <c r="A1220" t="inlineStr">
        <is>
          <t>親子</t>
        </is>
      </c>
      <c r="B1220" t="inlineStr">
        <is>
          <t>成功</t>
        </is>
      </c>
      <c r="C1220" t="inlineStr">
        <is>
          <t>読み方：おやこ
１親と子。また、その間柄。「—の情」
２親と子の関係にたとえていう二つのもの。「—電話」
３「親子丼(どんぶり)」の略。
４親類。親戚。
「汝が—の内に、鬼になった者はないか」〈虎明狂・清水〉</t>
        </is>
      </c>
      <c r="D1220" t="inlineStr">
        <is>
          <t>親子三人(4%)；親子連れ(2%)；親子二(2%)；親子四；親子兄弟</t>
        </is>
      </c>
      <c r="E1220" t="inlineStr">
        <is>
          <t>父子；母子</t>
        </is>
      </c>
      <c r="F1220" t="inlineStr">
        <is>
          <t>親子二人；親子愛；親子役；親子心中；親子水入らず</t>
        </is>
      </c>
      <c r="G1220" t="inlineStr">
        <is>
          <t>親子丼；親子鑑定；親子づれ；親子ゲーム；親子内親王</t>
        </is>
      </c>
      <c r="H1220" t="n">
        <v>29</v>
      </c>
      <c r="I1220" t="inlineStr">
        <is>
          <t>それ以来ロドリゴのことを息子と呼んで親子のような関係を築いている。；また同番組には大塚明夫も声で出演しており、最後の親子共演となった。；しかしやがて親子は和解し、音楽上の協力までするようになったという。；親子3人がプロ野球選手かつ同一球団に所属することは史上初であった。；保護者も参加してままごとなどの親子課題が出されることも珍しくない。；こうして両者が互いに認め合うかたちで地上最強の親子喧嘩は終結した。；カフェの裏で殺害された親子の子は、手の指を揃えて切断されていた。；主に上映会形式・親子映画向けのアニメーション映画の制作を行っている。；学校などの団体の遠足や親子連れの行楽客、ピクニックの人々が訪れる。；その隼人の親子らは、江戸の旗本・大久保助右衛門の屋敷に身を寄せた。；花緑とは親子三代落語会を共にしたが、実際は叔父と甥の関係である。；親子が同一チームにいたのは僅かな期間のみであった。；レース漫画であると同時に、親子2代の戦後昭和史を描いた作品でもある。；即ち、王位は親子ではなく、まず兄弟によって相続されていくのである。；また同名の親子兄弟などを区別するために縮小辞が付加されることも多い。；当時猿楽と呼ばれたこの芸能は観阿弥・世阿弥の親子二代の下で発展した。；西郷正員の後継ではあるが、親子なのか、兄弟なのか、明確ではない。；日本の関東軍の要人や外国人の商人なども、ここで張親子と対面した。；ただし、導入直後のCMでは、まったく別の親子が登場していた時期もあった。；また棋士一家としても有名で、史上唯一七大タイトルを親子で獲得している。；物語は二人暮しをしていた中学生の雨とその父親・朝晴親子が主人公である。；またこの行為は親子間で伝えられるとのことである。；親子は仲がよく、まるで友だちのようだと周囲から羨ましがられたという。；そして練習を通じ、やがて2人の間に実の親子より強い絆が芽生えて行く。；また92歳の父・吉兵衛が病気で入院したこともあって親子で病院のテレビで観戦していた。；なお、潘恵子もナレーションの一人で出演し、親子共演作ともなっている。；全国で親子や幼児のための体操教室、指導者の育成などで活躍するようになる。；変化が速い国や地域では、親子で価値観が大きく異なるということもある。；親子・兄弟姉妹・夫婦・仲間など家族や親しい者同士でも喧嘩がなされることがある。</t>
        </is>
      </c>
      <c r="J1220">
        <f>HYPERLINK("https://www.weblio.jp/content/親子", "词义详情")</f>
        <v/>
      </c>
      <c r="K1220">
        <f>HYPERLINK("https://yourei.jp/親子", "查看例句")</f>
        <v/>
      </c>
    </row>
    <row r="1221">
      <c r="A1221" t="inlineStr">
        <is>
          <t>親孝行</t>
        </is>
      </c>
      <c r="B1221" t="inlineStr">
        <is>
          <t>成功</t>
        </is>
      </c>
      <c r="C1221" t="inlineStr">
        <is>
          <t>読み方：おやこうこう
［名・形動］(スル)親を大切にし、真心をもってよく尽くすこと。また、そのさまや、その人。「—したいときには親はなし」「—な少年」⇔親不孝。</t>
        </is>
      </c>
      <c r="D1221" t="inlineStr">
        <is>
          <t>親孝行者(2%)；親孝行な息子；親孝行な人；親孝行ぶり；親孝行屋</t>
        </is>
      </c>
      <c r="E1221" t="inlineStr">
        <is>
          <t>孝；孝行</t>
        </is>
      </c>
      <c r="H1221" t="n">
        <v>29</v>
      </c>
      <c r="I1221" t="inlineStr">
        <is>
          <t>どうしようもない娘二人だったけど、最後の最後で親孝行をしてくれた。；親孝行したくても、両親は娘の花嫁姿も見ずに相次いで亡くなっていた。；昔は親孝行だったけれど、あの嫁が来てから人が変ったようになりました。；モテたいでも、親孝行したいでも、いい車に乗りたいでもなんでもいい。；韓国の世代間の倫理で最も守るべきとされているのが親孝行である。；彼の親孝行は有名だが、母は彼の死の翌年八十六歳でなくなった。；友達と旅行にだって行きたいし、親が生きているうちに少しは親孝行もしたい。；実家の年寄りの所に戻って親孝行の真似が今度こそ出来るでしょう。；自分のような者は、死んだほうがむしろ親孝行なのだと、思いながら書いた。；親孝行してゐると悪い災難にかゝらないで運が好くなるツて、全くだよ。；親孝行のためには仕方がないね、しかしそれは宮自身の満足の話ではないだろうか。；同じくアニメでは親孝行をしていないことを気にしている。；母に対しては一定の愛着もあるし、親孝行はなすべきことだと思っている。；そこにゴミを入れないようにしているのは、親孝行のつもりである。；親孝行の子のためには、いのらなくても神はまもってくださるものです。；が、あまり知られていないこういう親孝行もしてきたのである。；が、しかし、小狡く目を光らせて親孝行屋の言うことに耳を貸している。；はやくから父を亡くして母とふたりで暮らしおり、親孝行であったという。；この前後に父、母を亡くし余り親孝行は出来なかったが仕事に打ち込んだ。；小さいころは非常に親孝行で、人との間に角を立てるのが本当に嫌だったという。；高いものについていると親父が言ったけれど、親孝行には相違ない。；親孝行らしいことをひとつもしなかったと、殊勝なことをぬかしましてね。；その際には親孝行と母校への挨拶を忘れないようにと言い聞かせた。；養子夫婦の親孝行のことを今更のように村中に吹聴してまわり始めた。；御自分の色恋よりも先ず親孝行を第一に考えなければいけませんよ。；ろくな親孝行も出来ないが、せめて長生きだけはしてもらいたいと思う。；親孝行な人で毎月学資の中から日本へ逆に送金して居ると云ふ噂もありました。；プロフィールにある親孝行は適当にかいた嘘であるなど、腹黒い面もある。；親孝行だと思って、よかったね、と言うのはいつものことだった。</t>
        </is>
      </c>
      <c r="J1221">
        <f>HYPERLINK("https://www.weblio.jp/content/親孝行", "词义详情")</f>
        <v/>
      </c>
      <c r="K1221">
        <f>HYPERLINK("https://yourei.jp/親孝行", "查看例句")</f>
        <v/>
      </c>
    </row>
    <row r="1222">
      <c r="A1222" t="inlineStr">
        <is>
          <t>親心</t>
        </is>
      </c>
      <c r="B1222" t="inlineStr">
        <is>
          <t>成功</t>
        </is>
      </c>
      <c r="C1222" t="inlineStr">
        <is>
          <t>読み方：おやごころ
１子を思う親の愛情。「はえば立て、立てば歩めの—」
２親の愛情に似た温かい心遣い。「福祉政策にはもっと政府の—が欲しい」</t>
        </is>
      </c>
      <c r="D1222" t="inlineStr">
        <is>
          <t>愛情；情；情愛；人間味；母性愛</t>
        </is>
      </c>
      <c r="H1222" t="n">
        <v>29</v>
      </c>
      <c r="I1222" t="inlineStr">
        <is>
          <t>親心はしょせん親の心、子供を思っていても、それは親なりの思い方だ。；一つには、七重が東吾を好いているのを知っている親心からでもあった。；僕は検事正が、これだけの親心を発揮してくれるとは思っていなかったんだよ。；難しい手術を受ける子供の傍にできるだけ長くいたいと思うのは親心というものだ。；それを君のばあいはすゝんでやつてくれていると思ふと、親心感謝にたえない。；手本や教育がなければ、親心を持った親などにはなれないのだ。；わたしが前からこんなに泣いてばかりいるのは、親心で災難の来るのがわかったからだよ。；結婚すれば気持ちが変わり、生活に張りがでるだろう、という親心からだった。；もちろんさし迫った受験準備の手助けをしようとする先生たちの親心である。；この部屋の抜け道をあなたに話したのは真実、祖父の親心であったのでしょうよ。；酒井は、小寺師の心配してくれる〝親心〟に感謝しながら、師に背いた。；子供のころの折檻を根にもっているのなら、言っておくけど、あれだって親心なんだぞ。；若いひとは新しい料理をおぼえることも必要だろう、という親心からであった。；子供は前に述べた社会的現実や両親の親心に甘えやすい。；あるほどの世辞いひたりしに、子を誉められて嬉しからぬはなき世の親心。；自分が捨てられるという状況にあっても子を思う親心に打たれ、息子は親を連れ帰る。；このことは、父が死んだ後、ぼくにわずらわしい心配をさせないための親心からだった。；しかも、親ゆえの子を思う親心ゆえに血を降らしたというのです。；きみはわれわれの親心がちっともわかってないじゃないか!；かかあにしてみりゃあ、子供のいねえ女の親心なんだろうけど、俺はちがうぜ。；親心としてどんなに悲しいことだろう、と思ったら涙が湧いてきてしまった。；せめて子どもの目には触れさせたくないという親心でしょうね。；そのことがまた長崎屋の親心に訴えると見えて、息子への哀れは一層ますのだった。；父に反いた娘を、父の方から見届けに来るということも、また有りそうな親心。；私は親になったことがないので、親心というものは想像でしかないのだが、それは本当に不思議なものである。；世間様が右利きの世界である以上、それがこの子のためだろうという親心である。；娘を思う親心が源氏の心を打った。；しかし、親心とはいいながら、考えてみれば勝手なもんや。；泥棒とよんだら伜めが、足を止めようかと思うていうた親心じゃわ。</t>
        </is>
      </c>
      <c r="J1222">
        <f>HYPERLINK("https://www.weblio.jp/content/親心", "词义详情")</f>
        <v/>
      </c>
      <c r="K1222">
        <f>HYPERLINK("https://yourei.jp/親心", "查看例句")</f>
        <v/>
      </c>
    </row>
    <row r="1223">
      <c r="A1223" t="inlineStr">
        <is>
          <t>親父</t>
        </is>
      </c>
      <c r="B1223" t="inlineStr">
        <is>
          <t>成功</t>
        </is>
      </c>
      <c r="C1223" t="inlineStr">
        <is>
          <t>読み方：おやじ
１自分の父親を親しんで、また、他人に対してへりくだっていう語。⇔おふくろ。
２中年または老齢の男や、他人の父親をいう語。「隣の—」
３店の主人。「飲み屋の—」
４部下がその集団の長を親しんでいう語。
５ヒグマの俗称。山のおやじ。
６父母の父。祖父。
「—を殺さしておめおめと其人と同道して是迄来る腰ぬけと」〈浮・国姓爺明朝太平記〉
[補説]2017年に実施した「あなたの言葉を辞書に載せよう。2017」キャンペーンでの「オヤジ」への投稿から選ばれた優秀作品。◆人生哲学を背負い、カウンターの隅で一人ブツブツ言ってる人。nodokaさん◆会話の締めに、ダジャレを言う哺乳類。ちゅん2めんさん◆親愛の気持ちが込められる場合と、軽蔑の気持ちが込められる場合がある。文脈、言い方、表情で違いを判断する必要がある男性の呼称。osarusanさん◆女性におけるオバサンと同じで、認めたら負け。自分で認めた瞬間に本当のオヤジになる。三上さん◆昔話、自慢をする人。瀬川さん</t>
        </is>
      </c>
      <c r="D1223" t="inlineStr">
        <is>
          <t>親父さん(9%)；親父たち；親父殿；親父どの；親父橋</t>
        </is>
      </c>
      <c r="E1223" t="inlineStr">
        <is>
          <t>父；父親；お父さん；爺さん；爺</t>
        </is>
      </c>
      <c r="F1223" t="inlineStr">
        <is>
          <t>クソ親父；グランデ親父；マルトー親父；馬鹿親父；スケベ親父</t>
        </is>
      </c>
      <c r="G1223" t="inlineStr">
        <is>
          <t>親父ギャグ；親父の小言；親父狩り</t>
        </is>
      </c>
      <c r="H1223" t="n">
        <v>29</v>
      </c>
      <c r="I1223" t="inlineStr">
        <is>
          <t>いったいだれが親父を殺すようなことをしたんでしょう、私でなければ?；「あれが俺れの親父でこれがお母さんや」といって両親を紹介している。；そんなことを考える勉も、親父にどこか似たところがあるのではないか。；たぶん親父さんは、おまえがこの世に生まれてきたことを呪ったはずだ。；けれども、森谷の親父の死んでしまったいまはだれの土地でもねえのだ。；私の最初にひきあげたのが親父の方であればまだ良かつたかも知れぬ。；あいつが亡くなった親父におれのことを悪く言ったのは、よく知っている。；じゃああの小っちゃな女の子も居るの、 いやな顔をした親父さんも。；中には自分の家から親父の脇差を持ち出して来るような乱暴者もあった。；親父にはまだ云はないけれど、マアザアにはちよいと話をして見たんだ。；ところで親父は自分の杯から七十になるまで離れようとしないらしい。；工場から親父の仲間のやつが来たにちがいないとぼくは判断した。；僕は親父さんにこの蝉について何か知っていないか質問してみたんだ。；今日はまた柄にもなく親父さんの手傳ひをしようとしたらこの始末さ。；婚儀のことは親父の病気を幸いにずるずるとのばしているようなわけで。；親父の言葉は業務命令だから、どんなことがあっても反論しちゃいかん。；そこじゃ親父さんの慈悲の心にも足場のおきようがなかっただろうけどな。；しかし君のところでも屹度僕の親父のことを悪く言っているだろう?；親父の源兵衛は五年前に世を去って、母のお秋が帳場を切り廻している。；これはいつでも好きな時に娘に会える他の親父達には分かりゃすまい。；お時 昨年親父がなくなりましてからは、これ一人が杖柱でござります。；親父はお屋敷の傍へつれて行かれて、窓の下で鞭で打たれたのです。；「親父のもとに出入りしていたら、自分がだめになると思って」家を出る。；あの親父、ここで芝居をやりたいがためにわざわざ真っ黒になるんや。；親父の会と呼ばれる父親達だけで運営されている団体がある。；その室は二階で、傍には親父をはじめ二三人のものが寝ていた。；「この親父は真っ赤な顔をして、何をわめいてるのよ」てなもんである。；息子は、親父の口から何か機嫌直しの言葉でも聞けるだろうと待っていた。；あなたにだって、僕の親父がもう長いことないのがおわかりでしょう。</t>
        </is>
      </c>
      <c r="J1223">
        <f>HYPERLINK("https://www.weblio.jp/content/親父", "词义详情")</f>
        <v/>
      </c>
      <c r="K1223">
        <f>HYPERLINK("https://yourei.jp/親父", "查看例句")</f>
        <v/>
      </c>
    </row>
    <row r="1224">
      <c r="A1224" t="inlineStr">
        <is>
          <t>おやつ</t>
        </is>
      </c>
      <c r="B1224" t="inlineStr">
        <is>
          <t>成功</t>
        </is>
      </c>
      <c r="C1224" t="inlineStr">
        <is>
          <t>読み方：おやつ
《八つ時(どき)に食べたところから》午後3時前後に食べる間食。また、一般に間食のこと。お三時。</t>
        </is>
      </c>
      <c r="D1224" t="inlineStr">
        <is>
          <t>おやつ代わり(2%)；おやつ係；おやつがわり</t>
        </is>
      </c>
      <c r="E1224" t="inlineStr">
        <is>
          <t>菓子；デザート；スナック；甘味；軽食</t>
        </is>
      </c>
      <c r="F1224" t="inlineStr">
        <is>
          <t>用おやつ</t>
        </is>
      </c>
      <c r="G1224" t="inlineStr">
        <is>
          <t>おやつタイム</t>
        </is>
      </c>
      <c r="H1224" t="n">
        <v>29</v>
      </c>
      <c r="I1224" t="inlineStr">
        <is>
          <t>いつも女の子たちがいただきもののおやつを食べているとじっと見ている。；そういえば彼女の家にいくとおやつは必ず母上の手づくりのものが出た。；これが普通のうちなら、母が息子のおやつを作ってくれる筈であった。；小学校の帰りに五十円玉ひとつでたべられる子どものおやつだったのに。；夕食に差し障らないように、おやつは毎日決められた時間に与えられる。；私はその日からおやつを半分より食べられないことになりました。；ついでにおやつの新商品が山盛りになっているのをこの目で見てきたからだよ!；どうやら希望者がネコにおやつをあげることができるサービスらしいな。；七時半になると、母親が決して少なくないおやつを運んできてくれた。；おやつのためなら、いそいそと駆けていってもよさそうなものなのに。；私がこの日のために買っておいた栗きんとんを皆でおやつに食べる。；果実は食べられるので、かつては子供がおやつ代わりに集めたものである。；彼女は自分でもそれに気がつき、おやつしに夢中になりはじめました。；中は四次元空間になっているため広く、おやつも自由に出すことができる。；ぼくはこのまま、秋も冬も、あの人のおやつ係を続けるのだろうか。；吾一がこんなことをするのは、つまりは、おやつをたべないからである。；いつも、ぼくがおやつを書いている間、横で早く早くと催促しているのに。；そのため、ミールワームはおやつのような位置付けをされることが多い。；他の子供も常に何人かいるわけだから、食事もおやつも誰かと一緒だったに違いない。；フランスでは子供たちが学校を終えて帰宅しておやつをとることは一般的だった。；おやつも用意してやらなければならないし、今日は二人の水泳教室の日だった。；彼は姪と一緒におやつを食べながら、ノートの紙を破って絵を描いた。；だってお母さまがおやつを下さったので、すっかり聞くの忘れちゃった。；しづ子がいつかえっても、おやつが食べられるようにしておいたのである。；そのままの状態で、ビールのおつまみや子供のおやつなどとして食べる。；主に駄菓子屋や祭りの屋台で供され、子供のおやつとして食されている。；やっぱりおやつみたいに満腹にならないくらいがちょうどいいのかもしれない。；これで家の子供におやつのひとつも買って下さい、というのである。；背中の皮は昔は子供のおやつ代わりにもなったほど甘くておいしい。</t>
        </is>
      </c>
      <c r="J1224">
        <f>HYPERLINK("https://www.weblio.jp/content/おやつ", "词义详情")</f>
        <v/>
      </c>
      <c r="K1224">
        <f>HYPERLINK("https://yourei.jp/おやつ", "查看例句")</f>
        <v/>
      </c>
    </row>
    <row r="1225">
      <c r="A1225" t="inlineStr">
        <is>
          <t>親指</t>
        </is>
      </c>
      <c r="B1225" t="inlineStr">
        <is>
          <t>成功</t>
        </is>
      </c>
      <c r="C1225" t="inlineStr">
        <is>
          <t>読み方：おやゆび
１手足の指で、いちばん太い指。拇指(ぼし)。拇趾(ぼし)。
２《1で表し示すところから》俗に、亭主・親方・主人などのこと。
「—は御不在で?」〈木下尚江・良人の自白〉</t>
        </is>
      </c>
      <c r="D1225" t="inlineStr">
        <is>
          <t>親指大；親指以外；親指側；親指キー；親指をぐっと</t>
        </is>
      </c>
      <c r="E1225" t="inlineStr">
        <is>
          <t>指；拇指；母指；おや指；大指</t>
        </is>
      </c>
      <c r="F1225" t="inlineStr">
        <is>
          <t>左手親指；大きな親指；右親指；左親指；向かって親指</t>
        </is>
      </c>
      <c r="G1225" t="inlineStr">
        <is>
          <t>親指シフトキーボード；親指姫；親指トム；親指小僧；親指シフト配列</t>
        </is>
      </c>
      <c r="H1225" t="n">
        <v>29</v>
      </c>
      <c r="I1225" t="inlineStr">
        <is>
          <t>いくつかのバージョンでは、左手であったり、親指が開いていたりする。；それはともかく、まあここへ坐って、ぼくたちの親指を動かしてみよう。；大きさ的にも親指大程度で邪魔にならないし丁度良いのかも知れない。；元々のインチは、男性の親指の幅に由来する身体尺だったとされている。；この際親指を動かすことで相手に向かってスキルフォースが発射される。；例外は足の親指で、その指だけはその他の霊長類と同様平爪となっている。；両端の長さは均一の物もあれば、親指側の外向き1角のみ長い物もある。；関節だけでつながっている指の一本は、親指と反対の方を向いている。；粘土から作られて、親指鍋は底部と上部に親指穴に小さな穴があります。；有名なエピソードとして、秘書が親指を切ってしまった際の対応がある。；最上部および中間部の肢には3本の鉤爪が生えた指と1本の親指がある。；親指部から平部の縁を通り小指部に至る部分にはフェルトが入れられる。；例えば鳥類の前肢は翼になり、この過程で親指以外の指は退化している。；よく見るとそれは、雪舟が流した涙を足の親指で描いたものであったという。；「ぼくたちのことだよ」と、彼は、親指で自分の胸をつついて説明した。；他の指は全部カードの裏にかけ、表には二本の親指が向き合うようにした。；叩き切ったか捻じ切ったか、とにかく根もとから親指はなくなっている。；わからせるのは無理なのだろうが、袖は重要であり、親指の爪は暗に語る。；胴体は四分の一スパンほどの木の枝で、太さはわたしの親指ほどだった。；もうやめにしようと思いつつ右手のおや指がページを飛ばしていく。；絵画では、親指がない、爬虫類状の手をした姿で描かれることが多い。；一片の麺の大きさは、名前とは異なって親指の先程度の小さいものである。；これは親指を除いた指4本分が一握りに相当するからとされている。；左のスティックは移動用、親指の位置にあるボタンはトランシーバー用。；板や箱の上に並んだ鉄や竹の棒を親指の爪ではじいて演奏する。；それは、親指でメロディーを、他の指でベースラインを弾くことになる。；通常は右手で柄を、左手でリカッソを持ち、両手の親指は内側に向ける。；あだ名は、相手を買収するときに親指で紙幣を数えて手渡したことから。；これは、手のひらを広げて親指の先と中指の先をくっつけるものである。</t>
        </is>
      </c>
      <c r="J1225">
        <f>HYPERLINK("https://www.weblio.jp/content/親指", "词义详情")</f>
        <v/>
      </c>
      <c r="K1225">
        <f>HYPERLINK("https://yourei.jp/親指", "查看例句")</f>
        <v/>
      </c>
    </row>
    <row r="1226">
      <c r="A1226" t="inlineStr">
        <is>
          <t>泳ぎ</t>
        </is>
      </c>
      <c r="B1226" t="inlineStr">
        <is>
          <t>成功</t>
        </is>
      </c>
      <c r="C1226" t="inlineStr">
        <is>
          <t>読み方：およぎ
泳ぐこと。また、泳ぎ方。水泳。「—を習う」「—がうまい」《季夏》</t>
        </is>
      </c>
      <c r="D1226" t="inlineStr">
        <is>
          <t>泳ぎつい(3%)；泳ぎはじめ(2%)；泳ぎ回る(2%)；泳ぎ出し(2%)；泳ぎ出す</t>
        </is>
      </c>
      <c r="E1226" t="inlineStr">
        <is>
          <t>水泳</t>
        </is>
      </c>
      <c r="F1226" t="inlineStr">
        <is>
          <t>泳ぎ続け；泳ぎまわり；泳ぎだす；泳ぎつき；泳ぎ回り</t>
        </is>
      </c>
      <c r="G1226" t="inlineStr">
        <is>
          <t>泳ぎ着い；泳ぎ着く；泳ぎ着き；泳ぎ着こ；泳ぎゃ</t>
        </is>
      </c>
      <c r="H1226" t="n">
        <v>29</v>
      </c>
      <c r="I1226" t="inlineStr">
        <is>
          <t>ただし、魚を離れて泳ぎだしたものが魚に食われる例も多いようである。；おれは人の居ないのを見済しては十五畳の湯壺を泳ぎ巡って喜んでいた。；マグマの中を自由に泳ぎまわり、さらにはその中で口を開くことが可能。；早く、水の中を自由に泳ぎたいものだと、体をもじもじさしていました。；何んだか曲泳ぎでもしているのではないかと思われるほどでした。；と丸薬は生物のように水の面を泳ぎ出したが、やがて茶色の水に溶けた。；群れを組んで泳ぎ回るので、橋の上などから魚影を確認することができる。；子供の頃、末吉はこの帽子をかぶってよく水泳ぎに出かけたものであった。；前者はコネチカット川を裸で泳ぎ、橋を裸で渡って帰って来る挑戦である。；どうなることかと思っていると、そこもどうやら無事に泳ぎ切った。；やがて船に泳ぎつくと、みんなして船を海岸へ引っぱって行きました。；そしたら妾も泳ぎたくなつて出かけて来たんだけど、やつぱし寒さうね!；背びれはツアーボートの下に沈んで泳ぎ、ボートは前後に揺さぶられる。；水辺の生活に適応しており、泳ぎが得意で5分以上潜水することもある。；しかしブーテースのみは歌に惹かれて海に飛び込み泳ぎ去ってしまった。；水の豊かな沼沢地に棲み、泳ぎが得意で、危険を避けるために潜水する。；自分が人間であることを忘れて、魚になったつもりで泳ぎまくればいいんだ。；かなり広い池をのこりなく泳ぎまわって盛の藻の花をつきるまで取った。；馬は海から泳ぎ上がったように汗に光り、その全身から湯気をたてていた。；大群は、いきなり盲滅法界に湾内へ泳ぎ込んでくるのではないのである。；魚は囲網を泳ぎ回るうちに、奥にある主網へと誘導される仕組みである。；二人はすぐに裸になつて、波の荒い明け方の海を、沖へ沖へと泳ぎ出した。；この日の午後もひと泳ぎし、三時からは音楽室でブラスバンドの練習だった。；普段は水中を泳ぎ回って暮らすより、水底にじっとしていることが多い。；グループ名は「声の海を、どこまでも泳ぎ続ける魚たち」を意味する。；その一部しじゅうをメダカたちが水の中で泳ぎながら聞いていました。；泳ぎに自信のない自分はどうすれば助かるだらうかなどといふ心配を始める。；マリガンは裸になって泳ぎ、スティーブンに塔の鍵と飲み代を要求する。；砂泥底を単独でゆっくりと泳ぎ、小型の動物を捕食する肉食魚である。</t>
        </is>
      </c>
      <c r="J1226">
        <f>HYPERLINK("https://www.weblio.jp/content/泳ぎ", "词义详情")</f>
        <v/>
      </c>
      <c r="K1226">
        <f>HYPERLINK("https://yourei.jp/泳ぎ", "查看例句")</f>
        <v/>
      </c>
    </row>
    <row r="1227">
      <c r="A1227" t="inlineStr">
        <is>
          <t>泳ぐ</t>
        </is>
      </c>
      <c r="B1227" t="inlineStr">
        <is>
          <t>成功</t>
        </is>
      </c>
      <c r="C1227" t="inlineStr">
        <is>
          <t>読み方：およぐ
［動ガ五（四）］《古くは「およく」か》
１人や動物などが手足やひれを動かして水面や水中を進む。「海で—・ぐ」「コイの—・ぐ池」《季夏》
２前のめりになってよろめく。「つまずいてからだが前へ—・ぐ」
３人がたくさんいる間をかき分けるようにして進む。「人ごみの中を—・いで追いついた」
４うまく世間を渡る。「芸能界を巧みに—・いでまわる」
５遊里で、遊びに夢中になる。
「そのつやつやとしたお顔に、主人六波羅殿—・がるるも道理道理」〈浄・大塔宮〉
[可能]およげる</t>
        </is>
      </c>
      <c r="D1227" t="inlineStr">
        <is>
          <t>水泳；遊泳；水浴び；游泳</t>
        </is>
      </c>
      <c r="F1227" t="inlineStr">
        <is>
          <t>ゆっくり泳ぐ；動かして泳ぐ；ゆっくりと泳ぐ；使って泳ぐ；素早く泳ぐ</t>
        </is>
      </c>
      <c r="H1227" t="n">
        <v>29</v>
      </c>
      <c r="I1227" t="inlineStr">
        <is>
          <t>またこのエピソードでは浅瀬の短い距離を泳いで渡る姿も描かれている。；泳いでいたものは急いでせいの立つところまで行って手を出しました。；それでも彼は泳ぐことを中止せず、相変らず同一の方向をとって進んだ。；矢張今でも土に腹這つて泳ぐ真似をした時のやうに馬鹿でゐるだらうか。；彼らは逆立ち泳ぎやお腹を上にして泳いでいるところも目撃されている。；こんな恐怖は、父に命じられて死者の満ちる川を泳がされて以来だった。；その間に装飾風の尾鰭を大切そうに静かに動かして泳いでいる菱形の魚。；そして、泳いでいると、どこかの子が、小さな弟と妹をつれてきたのさ。；彼は泳ぐのが余り得意ではなく、水に長く入っていることができなかった。；男も女も、生まれて来たままの姿で、何一つ身につけずに泳ぐのである。；お前が顔を紅潮させて困ったように目を泳がすことなんてないものな。；そのくせ彼等はとにも角にも相当うまく泳いで行っているのである。；潜水力・泳力に優れていて、冷たい水の中でも難なく泳ぐことが出来る。；鰭の付き方は、体を縦にして泳ぐのに適応した独特のものとなっている。；あなたは、ふたりをいっしょに背中に乗せて泳ぐことはできないでしょう。；マッコーは群をなして泳いでいるが、時々一匹だけ泳いでいるのがある。；大人数が列をなして泳ぐさまは夏の風物詩とされ、季語にもなっている。；泳ぐのが得意で運動する事が大好きなため、多くの運動量を必要とする。；泳ぐような歩き方ではいって来るとその老武士は云うのであった。；いまではほんの少し泳ぐこともできますが、顔は絶対に水の中に入れません。；泳ぐことの出来ない私は、一度でいいから渡ってみたいと常々思っていた。；森の鳥たちが冬に向けて南に移動する間、ウッディーは残って泳いでいた。；長い尾を使って泳いだとされるが、やはり泳ぐのも得意でなかったという。；長い尾を使って泳いだとされるが、やはり泳ぐのも得意でなかったという。；ドゥーアーレーが泳ぐことができるのかできないのかも知らなかった。；まっすぐに五百メートル泳ぐことの出来る場所を、僕はほかに知らない。；短い後肢を使って水中を蛇のように泳いで移動していたと考えられる。；嵐はようやく静まってきましたが、私はもう泳ぐ力もなくなっていました。；泳いでゐたものは、急いでせいの立つところまで行って手を出した。</t>
        </is>
      </c>
      <c r="J1227">
        <f>HYPERLINK("https://www.weblio.jp/content/泳ぐ", "词义详情")</f>
        <v/>
      </c>
      <c r="K1227">
        <f>HYPERLINK("https://yourei.jp/泳ぐ", "查看例句")</f>
        <v/>
      </c>
    </row>
    <row r="1228">
      <c r="A1228" t="inlineStr">
        <is>
          <t>およそ</t>
        </is>
      </c>
      <c r="B1228" t="inlineStr">
        <is>
          <t>成功</t>
        </is>
      </c>
      <c r="C1228" t="inlineStr">
        <is>
          <t>読み方：およそ
《「おおよそ」の音変化》
［名・形動］
１物事のだいたいのところ。大要。あらまし。「計画の—は承知している」「—の見積もりを立てる」
２いいかげんなさま。ぞんざいなさま。
「かやうに大事の謡ひを—にしては叶(かな)ふまじい」〈虎明狂・二千石〉
［副］
１大まかに言って。だいたい。約。「—二キロ離れている」「被害は—どのくらいか」
２そもそも。総じて。一般に。話を切りだすときに用いる。「—日本人は働きすぎるきらいがある」
３（否定的な表現を伴って用いる）全く。全然。「これは—おもしろくない本だ」</t>
        </is>
      </c>
      <c r="D1228" t="inlineStr">
        <is>
          <t>およそ半分；およそ半年；およそ三十；およそ五十；およそ二百</t>
        </is>
      </c>
      <c r="E1228" t="inlineStr">
        <is>
          <t>ほとんど；約；まるで；まったく；ほぼ</t>
        </is>
      </c>
      <c r="F1228" t="inlineStr">
        <is>
          <t>年間およそ；人口およそ；およそ不似合い；およそ四半刻；およそ半刻</t>
        </is>
      </c>
      <c r="H1228" t="n">
        <v>29</v>
      </c>
      <c r="I1228" t="inlineStr">
        <is>
          <t>守備の際はそれぞれの選手はおよそ次の図および解説に示す位置に立つ。；世界で食用に栽培されている植物はおよそ2300種ほどとされている。；このうちおよそ600足の靴がマリキナ市の靴博物館に展示されている。；地球上の生命は、およそ37億年前には存在していたという証拠がある。；これは実際にはおよそ1万年ごとに起こり、可能性の範疇の話ではない。；開業の効果は大きく、収入・乗客数はおよそ3割の増加になったという。；ドゥーンズベリーは世界中でおよそ1400紙の新聞に配信されている。；およそ130年後、聖ヴェデストが町に教会と修道院共同体を創設した。；米国では最近では医師たちもおよそ半数が代替医療を支持しているという。；車椅子対応のエレベーターは開通からおよそ半年ほど遅れて整備が完了した。；現在両都市を結んでいるイラワヤ線はおよそ2時間で運行されている。；フランシウムの融点は計算上およそ27 付近になると推定されている。；計画は、およそ以下のようなものであったのではないか、と推測されている。；およそ1年に1回のペースで見られるが、年に数回観測できる年もある。；信一と子の信吉が、現在の城のおよその形を作ったと考えられている。；これに続く化石は始新世のころ、およそ約5000万年前のものである。；その日は、月齢およそ6の、船のような形の月が南西の夜空に浮かんだ。；アンドロメダ銀河との距離はおよそ75万光年と比較的近い位置にある。；インタプリタは、およそ次のいずれかの動作をするプログラムである。；最終的に完成したのはおよそ100年後のナポレオン1世時代だった。；しかし、およそ25年間、統治の舵をとる指導者となることはなかった。；最も外側の外壁の高さは、中心部の底からおよそ7キロメートルである。；日本国内の外国人畜産労働者数は、およそ1万人前後と推計されている。；トリャピーツィンは彼らを使者と認め、およそ以下のような条件を提示した。；そしてもともとの柱の高さはおよそ149 cmだったと推計されている。；割譲地域の面積は、それまでの全メキシコ領のおよそ3分の1となる。；人類の歴史の大部分は石器時代であり、およそ200万年にわたっている。；一般的な焙煎方法ではおよそ10-20分程度の加熱時間を必要とする。；古来は大弓と呼ばれており、全長およそ2メートル以上のものを指した。</t>
        </is>
      </c>
      <c r="J1228">
        <f>HYPERLINK("https://www.weblio.jp/content/およそ", "词义详情")</f>
        <v/>
      </c>
      <c r="K1228">
        <f>HYPERLINK("https://yourei.jp/およそ", "查看例句")</f>
        <v/>
      </c>
    </row>
    <row r="1229">
      <c r="A1229" t="inlineStr">
        <is>
          <t>及び</t>
        </is>
      </c>
      <c r="B1229" t="inlineStr">
        <is>
          <t>成功</t>
        </is>
      </c>
      <c r="C1229" t="inlineStr">
        <is>
          <t>読み方：および
［接］《漢文訓読で接続詞に使う「及」の字を「および」と読んだところから》複数の事物・事柄を並列して挙げたり、別の事物・事柄を付け加えて言ったりするのに用いる語。と。ならびに。また。そして。「生徒—父兄」「国語、数学、—英語は必修」
[補説]多くの語を並列するときは、最後にくる語との間にだけ置くことが多い。
［名］及ぶこと。届くこと。
「これも心の—はいかでかおろかに侍らん」〈海人刈藻・三〉
[用法]および・ならびに——「会長及び（並びに）社長から祝辞をいただきます」「賞状及び（並びに）カップを授与します」のように一般には区別なく使っている。「並びに」のほうが口語的だが、それも改まった場合に多く用いる。◇法令用語としては、「A及びB、並びにC及びD」「A及びB、並びにC」のように、小さな段階のつなぎに「及び」を、より大きな段階のつなぎに「並びに」を用いる。</t>
        </is>
      </c>
      <c r="D1229" t="inlineStr">
        <is>
          <t>及び第；及びませ；及び同；及びその他；及び旧</t>
        </is>
      </c>
      <c r="E1229" t="inlineStr">
        <is>
          <t>かけ；かけて；かつ；更に；加えて</t>
        </is>
      </c>
      <c r="F1229" t="inlineStr">
        <is>
          <t>及び養護学校幼稚部教育要領；及び武装親衛隊大将；及び弁護人；及びアミノアシルtrna；及びワイヤースポーク</t>
        </is>
      </c>
      <c r="G1229" t="inlineStr">
        <is>
          <t>及び難い；及び難き；及び難し；及び難く</t>
        </is>
      </c>
      <c r="H1229" t="n">
        <v>29</v>
      </c>
      <c r="I1229" t="inlineStr">
        <is>
          <t>古い時代の刑法では結果的責任及び団体的責任の観念が支配的であった。；ほとんどの連合軍諸国は、自らの作戦及び戦闘を様々な名称で呼んだ。；ヒトの場合の主な非対称は心臓と肝臓の位置、及び消化管の配置である。；核特性を除き、マイトネリウム及びその化合物の性質は測定されていない。；この点古代ギリシア人及びその哲学には二つの傾向が見られた。；主要都市には地下鉄及び市電、またエレクトリーチカが運行されている。；現在の東京都区部の中央部に位置し、その前身及び原型に当たる。；日本国憲法で規定された、天皇を日本国及び日本国民統合の象徴とする制度。；生命とは一般に生物及び生命体が生きていくための根源的な力。；池の周囲は200メートルに及び、現在公開されている水の庭の姿をほぼ整えた。；路線の大半は地下を通り、浦和美園駅及び隣接する車両基地のみ地上にある。；A線に当駅止まりが、B線に当駅止まり及び始発列車が設定されている。；日立製作所及び富士通はIBM互換機であるMシリーズを共同開発した。；湘南町屋駅及び西鎌倉駅には自動改札機と自動精算機が設置されている。；当線で運行される列車及び運行本数は以下の通り。；アメリカ合衆国国立公園局の保護及び管理下に置かれている地域は以下の通りである。；その年に選ばれるグランプリ、及び準グランプリの人数は決まっていなかった。；こうして72日にも及び、両国に多大な犠牲を出した戦争は終結した。；事務局及び事務総長の役割は国際連合憲章第15章に規定されている。；とは、アメリカ合衆国の文学、及びそれらの作品や作家を研究する学問のこと。；は、一般的に、住民・領土・主権及び外交能力を備えた地球上の地域のことを指す。；以下は存在時期及び、師匠が不明な部屋である。；学生時代に陸上部に所属していたので、スポーツの関連番組及びコーナーなどを担当。；最初の親を決めるとき及び配牌時に取り始める山を決めるために、サイコロを使用する。；選手・チーム等の登録及び地域・都道府県サッカー協会とのシステムの維持・開発に関わる事業を行う。；トラゾドンの副作用で、陰茎及び陰核の持続勃起症が起こることもある。；赤い線がアナログ信号であり、青い点が標本化及び量子化後のデータである。；これらの3つの施設は、全てのカーストの人及び、全ての信仰の人に開放された。；イベントの詳細は随時特設サイト及び公式Twitterで告知される。</t>
        </is>
      </c>
      <c r="J1229">
        <f>HYPERLINK("https://www.weblio.jp/content/及び", "词义详情")</f>
        <v/>
      </c>
      <c r="K1229">
        <f>HYPERLINK("https://yourei.jp/及び", "查看例句")</f>
        <v/>
      </c>
    </row>
    <row r="1230">
      <c r="A1230" t="inlineStr">
        <is>
          <t>及ぶ</t>
        </is>
      </c>
      <c r="B1230" t="inlineStr">
        <is>
          <t>成功</t>
        </is>
      </c>
      <c r="C1230" t="inlineStr">
        <is>
          <t>読み方：およぶ
［動バ五（四）］
１物事が続いたり広がったりして、ある所・範囲に届く。達する。「五時間に—・ぶ討論」「被害は各地に—・んだ」「議論が国際問題に—・ぶ」
２ある状態にたちいたる。「この期に—・んで、まだ決めかねている」
３結果として、ある状態・段階になる。「実力行使に—・ぶ」
４自分の力が届く。なしとげられる。「—・ぶ限りの努力をする」「—・ばぬ恋」
５（多く打消しの語を伴って用いる）能力・地位・実質などの程度がある基準に達する。
㋐追いつく。また、とり返しがつく。「想像も—・ばない進歩」「悔やんでも—・ばない」
㋑匹敵する。かなう。「英会話では彼に—・ぶ者がない」→及びもつかない
６（「…にはおよばない」の形で）…する必要がない。…しなくともよい。「遠慮するには—・ばない」
７動詞の連用形に付いて、動詞の意味を強調し、その動作が最後の段階にまで到達していることを表す。「聞き—・ぶ」
８及び腰になる。
「榊をいささか折り給ひて、少し—・びて、参らせ給ふ」〈狭衣・三〉
[下接句]足元にも及ばない・言うに及ばず・一議に及ばず・駟(し)も舌に及ばず・疾雷(しつらい)耳を掩(おお)うに及ばず・過ぎたるは猶(なお)及ばざるがごとし・是非に及ばず</t>
        </is>
      </c>
      <c r="D1230" t="inlineStr">
        <is>
          <t>及ぶまい；及ぶ可能性；及ぶべく；及ぶ長い；及ぶべき</t>
        </is>
      </c>
      <c r="E1230" t="inlineStr">
        <is>
          <t>続く；至る；分布；到達；広がる</t>
        </is>
      </c>
      <c r="F1230" t="inlineStr">
        <is>
          <t>及ぶ長期ストライキ；及ぶ長期連載；及ぶ海岸線；及ぶ大型種；及ぶ広い地域</t>
        </is>
      </c>
      <c r="H1230" t="n">
        <v>29</v>
      </c>
      <c r="I1230" t="inlineStr">
        <is>
          <t>たぶんこの研究所を維持するために必要な額には遥か及ぼないと思うが。；ただし銃の国内所持数が、かなりの数に及ぶ可能性が指摘されている。；ペイジは半世紀にも及ぶ活動実績において多数のギターを使用してきた。；短編集に数十ページにも及ぶ異常に長い後書きをつけるなど話題を呼んだ。；その影響は他の国立研究開発法人や大学での研究制度にも及んできた。；このような状態において懐胎した子のことを、推定の及ばない子と呼ぶ。；その時点で彼の帝国はアドリア海からインダス川にまで及ぶものであった。；そのために芳年の生涯での製作作数は1万にも及ぶと見られている。；彼の名声は、当時の音楽的な辺境であるアメリカ合衆国にまでも及んだ。；日本で出版された38冊に及ぶ数学原論や、定期的に開催されるで有名。；その後、甘いメロンが作られるまで数世紀に及ぶ改良の努力が行われた。；メキシコ湾の大陸棚は、幅3マイルが州の管轄の及ぶ範囲になっている。；虫媒のみに頼る、または一部を虫媒とする花は16万種に及ぶとされる。；さらに捜査はアマチュアチームでプレーしている元プロ選手にも及んだ。；元老院派の軍は数では圧倒的であったが、経験でははるかに及ばなかった。；戸籍法の氏の変更の場合、その効果は同一戸籍に属するすべての者に及ぶ。；太陽は最初の女と愛の行為に及ぼうとしたために争いになった。；いずれも武装はしていても戦闘に及ぶことは稀であった。；しかしながら、この規定がどこまで及ぶかは幾つかの問題がある。；収集の対象は娘のオルガの臨終の床での言葉や動物の鳴き声にも及んだ。；広い意味では、宣伝・配給など監督の権限が及ばない分野の関係者も指す。；歌が好きで、数千人に及ぶ観衆を集めコンサートを開くのが趣味であった。；しかし力及ばず、3体のロボットは巨大な黄金の剣に封印されてしまう。；主文だけでなく理由中の判断にも既判力が及ぶ例外的な場合である。；これらの事で自らの身に危険が及ぶことを恐れ、同年の内に蜀漢へ亡命した。；啓太様が再び、そのような行為に及ぼうとしたら、主人でも構いません。；像との会話の中で、話題はマルセリーノの母のことや像の母のことに及んだ。；そこに話が及べば、中にいると言ってきた自分に疑いがかかるということだ。；ダイアナの死についてはイギリスでも10年に及ぶ調査と裁判が行われた。</t>
        </is>
      </c>
      <c r="J1230">
        <f>HYPERLINK("https://www.weblio.jp/content/及ぶ", "词义详情")</f>
        <v/>
      </c>
      <c r="K1230">
        <f>HYPERLINK("https://yourei.jp/及ぶ", "查看例句")</f>
        <v/>
      </c>
    </row>
    <row r="1231">
      <c r="A1231" t="inlineStr">
        <is>
          <t>及ぼす</t>
        </is>
      </c>
      <c r="B1231" t="inlineStr">
        <is>
          <t>成功</t>
        </is>
      </c>
      <c r="C1231" t="inlineStr">
        <is>
          <t>読み方：およぼす
［動サ五（四）］及んだ状態にする。ある作用・影響などが達するようにする。「感化を—・す」「甚大な被害を—・す」
[可能]およぼせる</t>
        </is>
      </c>
      <c r="D1231" t="inlineStr">
        <is>
          <t>及ぼす可能性(4%)；及ぼすおそれ；及ぼすかも；及ぼすべき；及ぼすあらゆる</t>
        </is>
      </c>
      <c r="E1231" t="inlineStr">
        <is>
          <t>影響；作用；関わる；係る；触る</t>
        </is>
      </c>
      <c r="F1231" t="inlineStr">
        <is>
          <t>及ぼす影響について研究</t>
        </is>
      </c>
      <c r="H1231" t="n">
        <v>29</v>
      </c>
      <c r="I1231" t="inlineStr">
        <is>
          <t>これらのことが周辺地域にも流通面を超えた影響を及ぼしたと思われる。；この戦闘の結果は戦争全体の帰趨には意味のある影響を及ぼさなかった。；おれが勝手なことをするのは、それがおれ以外に害を及ぼさないからだ。；この技術がドライデンの身に付き、後の著作や考え方に影響を及ぼした。；この場合は遺伝子は操作されていないため次の世代には影響を及ぼさない。；作用は、一般にはある物が他の物に及ぼす何らかの影響・効果のこと。；ここで は力、 は点 と力の及ぼされる点を結ぶ位置ベクトルである。；この判断は、交響曲第0番の作曲時期推測などにも影響を及ぼしている。；これが音楽の上に非常に大きな影響を及ぼさないわけはありません。；トルクは機関の出力軸と連結された理論上のてこに及ぼされる力である。；生産は世界中の牧場で行われ、各地の競馬界に強い影響を及ぼしている。；他人に迷惑を及ぼさないよう、彼女はだまったまま世を去ったのだろう。；フレスコバルディの作品は後年の作曲家に非常に重要な影響を及ぼした。；周囲攻撃系の術は3段以上の差のあるユニットには効果を及ぼすことはない。；民族移動はボルケンの住民にはわずかな影響しか及ぼさなかったようだ。；同法は様々な欠点にもかかわらず経済社会的な影響を後世まで及ぼした。；生死には影響を及ぼさないまでも人体への影響がないといってはならない。；CP同士は個々が持つ適応度の値と距離に基づいて相互に影響を及ぼす。；難度に最も大きな影響を及ぼしているのが残機数であるとされている。；この人事が今後のSonicStage開発に及ぼす影響が注目された。；第二次世界大戦もこの町に大きな損害を及ぼすことなく過ぎていった。；社会基盤に打撃を与えるほどの被害を及ぼした伝染病は疫病と呼ばれる。；このような違いは西洋と東洋の文明の違いにも影響を及ぼしたといわれている。；少年時代を胡同で過ごした体験は後の彼の作品作りに影響を及ぼしている。；こうした活動は、本市の政治勢力にも影響を及ぼさずにはおかなかった。；その逆に、ラガ音楽もヒップホップに影響を及ぼすようになっていった。；したがって、生態系に被害を及ぼす生物ではないと現在は判断されている。；このことは広告戦略や有名な機関車の設計など、多くのことに影響を及ぼした。；人類出現以来、隣り合う文化文明は互いに交流し影響を及ぼしあってきた。</t>
        </is>
      </c>
      <c r="J1231">
        <f>HYPERLINK("https://www.weblio.jp/content/及ぼす", "词义详情")</f>
        <v/>
      </c>
      <c r="K1231">
        <f>HYPERLINK("https://yourei.jp/及ぼす", "查看例句")</f>
        <v/>
      </c>
    </row>
    <row r="1232">
      <c r="A1232" t="inlineStr">
        <is>
          <t>檻</t>
        </is>
      </c>
      <c r="B1232" t="inlineStr">
        <is>
          <t>成功</t>
        </is>
      </c>
      <c r="C1232" t="inlineStr">
        <is>
          <t>読み方：おり
《「居(お)り」からという》猛獣や罪人が逃げないように入れておく、鉄格子などを使った頑丈な囲い、または室。
[補説]書名別項。→檻</t>
        </is>
      </c>
      <c r="D1232" t="inlineStr">
        <is>
          <t>檻車；檻禁；檻房；檻髪；檻送</t>
        </is>
      </c>
      <c r="E1232" t="inlineStr">
        <is>
          <t>独房；ケージ；監房；独居房；鳥篭</t>
        </is>
      </c>
      <c r="F1232" t="inlineStr">
        <is>
          <t>鉄檻；大きな檻；小さな檻；狭い檻；病檻</t>
        </is>
      </c>
      <c r="H1232" t="n">
        <v>29</v>
      </c>
      <c r="I1232" t="inlineStr">
        <is>
          <t>猿の檻の前で、誰かと話しあっておられるのを見かけた者があるのです。；こんな動物の檻の中へ入れられるのも、お前の智恵が足りないからだよ。；彼らがウル・ラーの檻に着くと、われわれは誰が死んだのかと質問した。；今の私の生活は、檻の中に入れられてる売女に等しいではありませんか。；舞台では一つになった檻の中で、二匹の猛獣の睨み合いがつづいていた。；そしてほとんどいつも、わたしの檻の前には小さな人だかりがしている。；檻と床との隙間に、顔を横にして入れると、うまく向こうへ頭がでました。；二人の走って行く様は、檻から解放された獣かのように軽快であった。；檻の天井には穴があいており、更に上には屋根にも穴があいていた。；その第四号の檻の中には、一体どんな生き物が入っていたのだろうか?；大きい檻の横の方に小さい檻が出来ていたが中には蛇がいなかった。；だからあたしは奴隷の檻から外へは一歩も出たことがなかったわ。；彼女は気を失っているあいだに、檻の中へ入れられてしまったのだ。；わたくしは獅子の檻のところに戻って来て前のベンチにこしかけました。；それだのに火の気のない檻房に座つてゐてはどんなに冷えるかしれない。；それはわたし自身と同じような人間で、彼の檻はわたしの隣だった。；檻はほかにもたくさんあったが、他の一つにしか居住者がいなかった。；秘密のボタンをおしたので、この檻が天井から下りて来たのでしょう。；慣れてきたらゴリラは檻から出して、人間同様の放し飼いをするんじゃ!；あとは絶望の扉にいる国民を絶望の檻から解放するのみとなる。；それは私の檻の前に立った一人の見物人を見上げたときに起ったことである。；細君のほうはとっさに、檻へ逃げこんで中からドアを閉めようと思った。；こんな木組みの檻なんか、殷雷刀の前じゃ紙の牢と同じじゃないのかい?；彼の姿が見られるのはこんな檻の中でなくてはならないのだ。；彼こそは、いま博士邸の檻の中に収容されている河村武夫の父親であった。；その檻だけは、たとい一命が亡びようとも見ない方がよかったのである。；一歩でも檻外に向って社会的に同類全体の地位を高めようとは考えていない。；キリエは、大統領が住んでいる檻が、箱と同じく開けられないと気づく。；何年か同じ部屋で暮らしてきた仲だ、同じ檻で果てるのも一興かもな。</t>
        </is>
      </c>
      <c r="J1232">
        <f>HYPERLINK("https://www.weblio.jp/content/檻", "词义详情")</f>
        <v/>
      </c>
      <c r="K1232">
        <f>HYPERLINK("https://yourei.jp/檻", "查看例句")</f>
        <v/>
      </c>
    </row>
    <row r="1233">
      <c r="A1233" t="inlineStr">
        <is>
          <t>折</t>
        </is>
      </c>
      <c r="B1233" t="inlineStr">
        <is>
          <t>成功</t>
        </is>
      </c>
      <c r="C1233" t="inlineStr">
        <is>
          <t>読み方：おり
［名］
１折ること。また、折ったもの。「線にそって—をつける」「九十九(つづら)—の坂」
２薄い木の板などで浅く箱型に作った容器。料理や菓子などを詰める。折り箱。また、それに食べ物を詰めたもの。折り詰め。「赤飯を—に詰める」「和菓子の—」
３過ぎゆく時の中の、区切られたある時点。機会。「—を見て伺います」「上京の—」
４季節。時節。「お寒い—から」
５製本で、全紙1枚を印刷したものを16ページとか32ページとかになるよう折り畳んだもの。また、その作業。
６連歌・俳諧で、懐紙の1枚（表・裏）をいう語。「名残の—」
→頃(ころ)［用法］
［接尾］助数詞。
１折り重ねたものを数えるのに用いる。「半紙一—」
２折り箱に入れたものや折り詰めにしたものなどを数えるのに用いる。「鰹節(かつぶし)一—」「四さお入りの羊羹二—」</t>
        </is>
      </c>
      <c r="D1233" t="inlineStr">
        <is>
          <t>折柄(3%)；折りし(2%)；折よく(2%)；折つて；折率</t>
        </is>
      </c>
      <c r="E1233" t="inlineStr">
        <is>
          <t>時；とき；場合；頃；時代</t>
        </is>
      </c>
      <c r="F1233" t="inlineStr">
        <is>
          <t>そんな折；端折；肘折；そうした折；不折</t>
        </is>
      </c>
      <c r="G1233" t="inlineStr">
        <is>
          <t>折り；折り返し；折れる；折角；折々</t>
        </is>
      </c>
      <c r="H1233" t="n">
        <v>29</v>
      </c>
      <c r="I1233" t="inlineStr">
        <is>
          <t>窓の下には各座席ごとに引き出して使用する折畳みテーブルを設置した。；ひとつの折の中では同じ調の曲を用い、その順序にも一定の傾向がある。；アメリカ独立戦争の折、ニューヨークの北にイギリスの植民地があった。；グラフはこれを機会に、折に触れてコート夫人と比較されるようになる。；そんな折、主人公の下に日本から知らせがとどき、帰国することになる。；映画化の折には、作品内容に踏み込んで、熱心なファン活動も見られた。；そんな折、説得に応じて前線に戻ってきた尊氏が指揮を取るようになった。；しかし妻面はフラットではなく、在来車同様三面の折妻となっている。；素材は絹ではなく麻で、現在の着物と同じようにお端折を作って着用された。；群馬県側の永井宿の伝承では空海も巡錫の折に三国峠を訪れたとされる。；しかしながら、眼光学系の各々の屈折面では明確な光軸は定義されない。；折からカフェー全盛の時代であったので、カフェーも各所に現れていた。；北列西側の部屋を上段の間とし、室内に矩折に框を設けて上段を形成する。；そんな折、地元の子供がその穴に落ちてしまい、町は大騒ぎとなる。；車体は鋼製の丸屋根で、妻面は軽い後退角をつけた3面折妻となっている。；その折には「約束通り、身の終わりをくれてやる」と言われたと伝えられている。；折に触れ、後輩芸人を自宅に招いて手作りの料理の腕を披露している。；そんな折にエルモが現場にやって来て、撮影が全く進んでないことに驚いた。；作中では折に触れ、一護や死神らがピンチに陥った際に駆けつけている。；同年、折から発足した共同運輸会社の社長に現役海軍少将のまま就任。；その選挙の折、虎雄と交流のある川井宏之の元を訪れ相談したとされている。；クリスマスカードが代表的だが、他にもさまざまな折に使われる。；その後1241年に下野守を満了した折には従五位上に昇進したとされる。；江戸時代に贅沢禁止令が出された折に高価な絹物を着ることが禁止された。；スキャンラインでは得られない反射や屈折などの表現が可能になる。；大阪冬の陣の折、金の母衣を纏ったことから、以来、組の名前となった。；屈折率と分極率との関係は、ローレンツ・ローレンツの式で与えられる。；彼らは折から開催中だった東京オリンピックにメッセージを送った。；内装を改良されており、座席は折畳テーブル付の改良ボックスシートとなった。</t>
        </is>
      </c>
      <c r="J1233">
        <f>HYPERLINK("https://www.weblio.jp/content/折", "词义详情")</f>
        <v/>
      </c>
      <c r="K1233">
        <f>HYPERLINK("https://yourei.jp/折", "查看例句")</f>
        <v/>
      </c>
    </row>
    <row r="1234">
      <c r="A1234" t="inlineStr">
        <is>
          <t>折り返し</t>
        </is>
      </c>
      <c r="B1234" t="inlineStr">
        <is>
          <t>成功</t>
        </is>
      </c>
      <c r="C1234" t="inlineStr">
        <is>
          <t>読み方：おりかえし
［名］
１着物などを折って二重にすること。また、その部分や折り目。「ズボンの—」
２ある地点から引き返すこと。また、その地点。折り返し点。
３全体の中間を過ぎること。前半が終わり、後半になること。「リーグ戦が—の時期を迎える」
４詩歌の、末尾の語句の繰り返し。リフレーン。ルフラン。
［副］手紙・問いかけなどに対し、間を置かず対応するさま。また、着いてすぐ帰っていくさま。すぐさま。ただちに。「—電話します」「—帰路につく」</t>
        </is>
      </c>
      <c r="D1234" t="inlineStr">
        <is>
          <t>折り返し列車(7%)；折り返し設備(2%)；折り返し用；折り返し点；折り返し便</t>
        </is>
      </c>
      <c r="E1234" t="inlineStr">
        <is>
          <t>ターン；転回；折返し；カフス；折返</t>
        </is>
      </c>
      <c r="F1234" t="inlineStr">
        <is>
          <t>線内折り返し；折り返し運用；折り返し部分；カバー折り返し；途中折り返し</t>
        </is>
      </c>
      <c r="G1234" t="inlineStr">
        <is>
          <t>折り返し地点；折り返し線；折り返し雑音；折り返しノイズ</t>
        </is>
      </c>
      <c r="H1234" t="n">
        <v>29</v>
      </c>
      <c r="I1234" t="inlineStr">
        <is>
          <t>そのため終点で折り返して同じルートを戻る場合に違う系統番号となる。；かつて当駅折り返しの列車が設定されていた頃にも使用されていた。；当路線は折り返し運用がその限りではないため適用外となっている。；これを利用して荻窪方面から当駅で折り返し運行を行うことが可能である。；戦後・現在の中央の島ホームの京都向きに凹形の折り返しホームがあった。；かつて発着していた当駅折り返しの列車は2番のりばを使用していた。；福岡方に渡り線があり、かつては当駅折り返し列車も設定されていた。；なお、かつて運行されていた区間準急は一部を除き当駅で折り返していた。；そのため大幅にダイヤが乱れた際は当駅で折り返しを行う場合がある。；時間や体力に応じて数ヵ所設定されている折り返しポイントを利用できる。；かつては下り列車の一部が折り返しており駅員が配置されていた。；美濃太田駅方面から来た列車の約半数が当駅で折り返しとなっている。；選手の精神的な問題などもあったが、前半戦を40勝36敗で折り返した。；現在は特急列車の折り返しのための清掃および整備作業を行っている。；実際の京葉ルートでは、一度千葉駅を通過して幕張駅で折り返していた。；普通列車を中心にこの駅での折り返し列車が多数設定されている。；各人物の年齢は作中で説明されたもの及び単行本折り返しなどの紹介より。；乗務員用トイレの隣には、電車折り返し時用の運転手の休憩室がある。；北からの列車は当駅で折り返しが可能な構造となっている。；鬢は肩の辺りで折り返して耳の横辺りに当たる部分を赤い色紙で包む。；周南市街の西端として拠点駅となっており、当駅折り返しのバスも多い。；ただし築地口に回転場はないため、付近の道路を回ってから折り返しとなる。；側線と本線との分岐ポイントがあり、機関車の折り返しの機能のみである。；弁天通り折返場は国分寺西町アパートに接して停留所が設けられている。；村上・酒田両方面からの列車の一部が、当駅で折り返しとなっている。；かつて設定されていた釧路方面への当駅折り返し列車は2番線を使用していた。；集落外れの田園地帯にある同校校地北隣に折り返し所を設けている。；同センターで折り返し、5番線への線路を通り、3番線や7番線に入る。；到着後は隣の御影駅の西側にある引き上げ線まで回送して折り返していた。</t>
        </is>
      </c>
      <c r="J1234">
        <f>HYPERLINK("https://www.weblio.jp/content/折り返し", "词义详情")</f>
        <v/>
      </c>
      <c r="K1234">
        <f>HYPERLINK("https://yourei.jp/折り返し", "查看例句")</f>
        <v/>
      </c>
    </row>
    <row r="1235">
      <c r="A1235" t="inlineStr">
        <is>
          <t>折り返す</t>
        </is>
      </c>
      <c r="B1235" t="inlineStr">
        <is>
          <t>成功</t>
        </is>
      </c>
      <c r="C1235" t="inlineStr">
        <is>
          <t>読み方：おりかえす
［動サ五（四）］
１紙・布などをもとの方へ折って重ねる。折って二重にする。「襟を—・す」
２ある地点まで行って、来た方向へ戻る。引き返す。「この先不通のため当駅で—・します」
３全体の中間を過ぎる。前半が終わり、後半になる。「横綱がただ一人全勝で—・した」「リーグ戦を首位で—・す」
４手紙や話などの返事を、あまり時間がたたないうちにする。「—・して返事の手紙が届く」
５詩歌や管弦などを繰り返す。
「曲(ごく)のめでたと言ふ手、—・し遊ばす」〈宇津保・春日詣〉</t>
        </is>
      </c>
      <c r="D1235" t="inlineStr">
        <is>
          <t>折り返す区間列車；折り返すことなく</t>
        </is>
      </c>
      <c r="E1235" t="inlineStr">
        <is>
          <t>戻る；繰り返す；重ねる；反復；引き返す</t>
        </is>
      </c>
      <c r="F1235" t="inlineStr">
        <is>
          <t>使って折り返す；直接折り返す</t>
        </is>
      </c>
      <c r="H1235" t="n">
        <v>29</v>
      </c>
      <c r="I1235" t="inlineStr">
        <is>
          <t>またかつては、当駅で天王寺駅方面へと折り返す普通も運行されていた。；当駅は駅南側に渡り線があり、当駅で列車を折り返させることができる。；ホームの南側に、バスが折り返すための回転場と駐車場が設けられている。；大阪梅田方面からの列車で当駅で折り返す列車が多数設定されている。；朝ラッシュ時間帯には当駅で岡山方面に折り返す列車も設定されている。；線内の拠点駅であり、郡山方面からの列車は大部分が当駅で折り返す。；かつてこの渡り線を利用して当駅で折り返す列車が設定されていたことがある。；中央の正方形は単に描かれたカンバスの枠が折り返されたものである。；かつては途中駅で折り返す電車の設定もあったが、現在は設定されていない。；入り乱れた密集地帯から、それをヘッドで折り返す敵の姿が目に入った。；浄心町で折り返す系統は少なく、基本的にそのまま各地へ直通している。；市電の車両は片側にしか扉がないため、折り返すためのループ線がある。；切ってもすぐに折り返されるのが関の山だとわかってはいたが。；全列車停車駅であり、福岡方面からの多くの急行列車がここで折り返す。；土讃線の電化区間は当駅までのため高松方面からの電車は当駅で折り返す。；当駅で折り返す列車が多いため、使用ホームは一定していない。；なお、赤池方面からやってきた電車は当駅で折り返すことが可能となっている。；日中は大阪梅田駅発着便を含めた普通の全てが当駅で折り返す。；それぞれの色の横糸が色の境目で折り返され、隙間ができている様子を示す。；また函館地区で折り返すEH500形電気機関車の留置も行われていた。；来た列車がそのまま折り返すだけの構造となっている。；このため、当駅で折り返す名古屋・四日市発着の普通が終日設定されている。；引き上げ線はないが、碧南側本線にて知立方面へ折り返すことができる。；SP1位で折り返すもレイノルズの圧倒的なFSに押された形となった。；ただし、現在も表参道寄りに移動させて折り返す定期列車は存在する。；なお、かつては当駅で折り返す列車が多数設定されていた。；日中の各駅停車の約半数は当駅で御茶ノ水・新宿・中野方面に折り返す。；なお引上線に北側から進入する際はいったん本線で折り返さなければならない。；西行きの一部の列車は徐涇東まで運行せず、当駅で東方面に折り返す。</t>
        </is>
      </c>
      <c r="J1235">
        <f>HYPERLINK("https://www.weblio.jp/content/折り返す", "词义详情")</f>
        <v/>
      </c>
      <c r="K1235">
        <f>HYPERLINK("https://yourei.jp/折り返す", "查看例句")</f>
        <v/>
      </c>
    </row>
    <row r="1236">
      <c r="A1236" t="inlineStr">
        <is>
          <t>織物</t>
        </is>
      </c>
      <c r="B1236" t="inlineStr">
        <is>
          <t>成功</t>
        </is>
      </c>
      <c r="C1236" t="inlineStr">
        <is>
          <t>読み方：おりもの
１織機にかけ、縦糸と横糸とを組み合わせて平たく作った布地。
２平安時代以降、染め糸や練り糸で織った絹の布地。
「黄朽葉(きくちば)の—、薄物などの小袿(こうちぎ)着て」〈枕・二〇〇〉</t>
        </is>
      </c>
      <c r="D1236" t="inlineStr">
        <is>
          <t>織物工場(5%)；織物産業(4%)；織物工業(2%)；織物商；織物職人</t>
        </is>
      </c>
      <c r="E1236" t="inlineStr">
        <is>
          <t>布；巣；素；生地；クロス</t>
        </is>
      </c>
      <c r="F1236" t="inlineStr">
        <is>
          <t>織物類；織物屋；高級織物；桐生織物；織物製造</t>
        </is>
      </c>
      <c r="G1236" t="inlineStr">
        <is>
          <t>織物会館；織物工芸；織物組織；織物生地</t>
        </is>
      </c>
      <c r="H1236" t="n">
        <v>29</v>
      </c>
      <c r="I1236" t="inlineStr">
        <is>
          <t>その壁画に描かれた服の帯は革でなく織物ではないかと推測されている。；織物の輸出港だったインドのセント・トーマスから来ていると言われる。；ラミタン市の博物館では伝統的な柄の色鮮やかな織物が展示されている。；紀元前に使われていた似た物として、籠や糸の織物などが存在していた。；アカン族は16世紀頃より織物を製作する技術を有していたといわれる。；また、海防警備の強化や織物業を中心とした新産業の奨励などに努めた。；織物産業は戦後一時期まで基幹産業であったが、現在では衰退している。；デザインはオランダ風、フランダース風の織物および絵に基づいている。；羽二重は日本では近世から始められたと伝わっている伝統的な織物である。；服や織物を作るのが仕事で、竜や竜術士たちの服作りはグイ族の仕事である。；地域一円の織物業者のみで結成した健保組合の成立は、日本初であった。；サロンかバティックや伝統的な他のカラフルな織物等と一緒に着用する。；独特の文様を多用する文化を持ち、織物や服装にも独特の文様を入れる。；父は大手の呉服商や織物工場を営み、戦前はかなり裕福な家庭で育った。；これらと並行して、この地域の伝統織物である魚子織にもメスを入れた。；亀田地区ではかつて「亀田縞」と呼ばれる織物が盛んに製造されていた。；この会社は、繊維業界で織物の連続染色機械を作っていた会社である。；高級織物のカシミアは、この地域原産のの毛から作られたことに由来する。；柚子はバイト先で、織物をもってきた女に向けたような鋭い目をしてしまう。；横浜を中心に貿易が拡大して、当初の日本は生糸を輸出し、織物を輸入した。；織機を放棄したハールレムの織物工らが車の後ろをついて歩いている。；多くの映画館はシーメンスがデザインしたドーム状の織物構造の建物だった。；主産業は織物産業や周辺に広がるカカオ農園からのカカオの集散である。；町名は、かつてこの一帯が日本織物桐生工場の敷地だったことに由来する。；織物においては、上下の方向の糸を経糸、左右の方向の糸を緯糸という。；マンドスの館の中で織機の前に座り、歴史や運命を織物に仕上げている。；そのため、これを収容するために織物工場の天井が高くなった。；現在も部族の法を記録したこの織物は大切に保持されている。；織物や美術を習った多くの生徒が今も各地で活躍をしている。</t>
        </is>
      </c>
      <c r="J1236">
        <f>HYPERLINK("https://www.weblio.jp/content/織物", "词义详情")</f>
        <v/>
      </c>
      <c r="K1236">
        <f>HYPERLINK("https://yourei.jp/織物", "查看例句")</f>
        <v/>
      </c>
    </row>
    <row r="1237">
      <c r="A1237" t="inlineStr">
        <is>
          <t>降りる</t>
        </is>
      </c>
      <c r="B1237" t="inlineStr">
        <is>
          <t>成功</t>
        </is>
      </c>
      <c r="C1237" t="inlineStr">
        <is>
          <t>読み方：おりる
［動ラ上一］［文］お・る［ラ上二］
１高い所から低い方へと移って、ある位置・場所に着く。上から下へ移動する。「山を—・りる」「木から—・りる」⇔あがる。
２物が人の操作によって下の方へ移動する。「錠が—・りる」「幕が—・りる」⇔あがる。
３
㋐乗っていた乗り物から出る。「バスを—・りる」⇔のる。
㋑（下りる）からだの外へ出る。「回虫が—・りる」
４負担になっていたものがなくなる。「胸のつかえが—・りる」「肩の荷が—・りる」
５
㋐官位・役職を退く。職を辞める。「管理職を—・りる」
㋑俳優などが配役を断って、その役を辞める。「主役を—・りる」
６（下りる）官公庁などから、支給・下付される。「認可が—・りる」「年金が—・りる」
７勝負事で、勝敗を争う権利を捨てる。「勝ち目がないので—・りる」
８（降りる）霧や霜などが地上・空中などに生じる。「露が—・りる」
９貴人の前から退出する。さがる。
「局(つぼね)へいととく—・るれば」〈枕・八七〉
[用法]おりる・くだる——高い所から低い所へ位置を移す、位置をかえるの意で共通性があるが、「おりる」は「階段を（から）おりてください」「一階におりる」など、下への場所の移動を表すほか、「電車をおりる」など、ある物事から離れる意味でも使われる。人以外のものが主体になっても「幕がおりる」「霜がおりる」など下方への移動の意味が中心となる。◇「下(くだ)る」は「坂道を下る」「船で川を下る」など、やはり下への場所の移動であるが、どこを通って移動するかに意味の重点がある。「石段を下っていった」と「石段をおりたところに広場がある」とはその点で使い分けられる。◇「あがる⇔おりる」「のぼる⇔くだる」の対応が考えられる。</t>
        </is>
      </c>
      <c r="D1237" t="inlineStr">
        <is>
          <t>降りるとすぐ；降りるべき；降りると直ぐ</t>
        </is>
      </c>
      <c r="E1237" t="inlineStr">
        <is>
          <t>落ちる；辞任；離れる；辞職；投げる</t>
        </is>
      </c>
      <c r="F1237" t="inlineStr">
        <is>
          <t>駆け降りる；跳び降りる；とび降りる；駈け降りる；降りるのに手</t>
        </is>
      </c>
      <c r="H1237" t="n">
        <v>29</v>
      </c>
      <c r="I1237" t="inlineStr">
        <is>
          <t>私は夫人のうしろに従って車から降りると、まず家の周囲を歩いてみた。；あの女の担当を続けるならわたしの担当を降りろ、と口走ってしまった。；彼の中隊は、彼が安全に機から降りるのを確認すると、視界から去った。；ホームは高台に設置されており、地平へは階段を降りる形となっていた。；港に降りる正野谷の道の途中から西に行く通路を進んだ場所にあった。；地上に降りることは滅多になく、長い腕を使い樹から樹へ腕わたりをする。；馬車から降りるとき、祖母の目が潤んでいるわけはメアリにも分かった。；彼は夫人の狭い胸を抱く様にして、やっと階段を降りることが出来た。；ホームは掘割部分にあるため、入る際には下に降りる形になっている。；コニーが馬車から降りると、フロックコートを着た背の高い男が続いた。；上り・下りのホームへ降りる階段と、駅の東側・西側に降りる階段がある。；降りる方は比較的容易であったが、登るのは余ほど困難であるらしい。；一曲だけでステージを降りるわけにいかず、続けて二曲か三曲、彼は歌った。；操舵機室へは車両甲板右舷船室内後端から降りる階段も設置されていた。；札を配られた者は賭金を上乗せするか勝負を降りるか選ぶことができる。；当然ながら倒す対象のシートに乗員がいる場合は一旦降りる必要がある。；メザニンには通りに降りる階段が3本とホームに上がる階段が2本ある。；フランクが列車を降りると、そこにちょうど彼の子供たちと妻がいた。；冬は変化が大きく、氷点下の気温になったり夜に霜が降りることが多い。；この時に降りる石段には4つに割れ「天」の字のように見える石がある。；そういえば、お前も乗ると重いから降りろ、と雄一に命令された気がする。；ここには通りに降りる階段があり、駅のエントランスにもなっている。；そのためケーブルカーを降りると地上に出ずに地下鉄に乗ることができる。；宮岡警部は先に降りると、木造の階段を馳け上って、玄関の扉を開けた。；ホームから降りる階段は閉鎖された駅舎の外側を通っている。；また飛び立った場所とは別の場所に降りることも許されていない。；これを機に神は人間界と天界を分け、天使が人間界に降りる事を禁じた。；ユウナ達は調査のために山に降りるが、そこにルブラン達も来ていた。；慌てて車を降りると、相手の運転手には息があり、彼に何か言ったようであった。</t>
        </is>
      </c>
      <c r="J1237">
        <f>HYPERLINK("https://www.weblio.jp/content/降りる", "词义详情")</f>
        <v/>
      </c>
      <c r="K1237">
        <f>HYPERLINK("https://yourei.jp/降りる", "查看例句")</f>
        <v/>
      </c>
    </row>
    <row r="1238">
      <c r="A1238" t="inlineStr">
        <is>
          <t>下りる</t>
        </is>
      </c>
      <c r="B1238" t="inlineStr">
        <is>
          <t>成功</t>
        </is>
      </c>
      <c r="C1238" t="inlineStr">
        <is>
          <t>読み方：おりる
［動ラ上一］［文］お・る［ラ上二］
１高い所から低い方へと移って、ある位置・場所に着く。上から下へ移動する。「山を—・りる」「木から—・りる」⇔あがる。
２物が人の操作によって下の方へ移動する。「錠が—・りる」「幕が—・りる」⇔あがる。
３
㋐乗っていた乗り物から出る。「バスを—・りる」⇔のる。
㋑（下りる）からだの外へ出る。「回虫が—・りる」
４負担になっていたものがなくなる。「胸のつかえが—・りる」「肩の荷が—・りる」
５
㋐官位・役職を退く。職を辞める。「管理職を—・りる」
㋑俳優などが配役を断って、その役を辞める。「主役を—・りる」
６（下りる）官公庁などから、支給・下付される。「認可が—・りる」「年金が—・りる」
７勝負事で、勝敗を争う権利を捨てる。「勝ち目がないので—・りる」
８（降りる）霧や霜などが地上・空中などに生じる。「露が—・りる」
９貴人の前から退出する。さがる。
「局(つぼね)へいととく—・るれば」〈枕・八七〉
[用法]おりる・くだる——高い所から低い所へ位置を移す、位置をかえるの意で共通性があるが、「おりる」は「階段を（から）おりてください」「一階におりる」など、下への場所の移動を表すほか、「電車をおりる」など、ある物事から離れる意味でも使われる。人以外のものが主体になっても「幕がおりる」「霜がおりる」など下方への移動の意味が中心となる。◇「下(くだ)る」は「坂道を下る」「船で川を下る」など、やはり下への場所の移動であるが、どこを通って移動するかに意味の重点がある。「石段を下っていった」と「石段をおりたところに広場がある」とはその点で使い分けられる。◇「あがる⇔おりる」「のぼる⇔くだる」の対応が考えられる。</t>
        </is>
      </c>
      <c r="D1238" t="inlineStr">
        <is>
          <t>下りるとすぐ；下りると同時に</t>
        </is>
      </c>
      <c r="E1238" t="inlineStr">
        <is>
          <t>辞任；降りる；辞職；退く；辞める</t>
        </is>
      </c>
      <c r="F1238" t="inlineStr">
        <is>
          <t>舞い下りる；滑り下りる；跳び下りる；かけ下りる；とび下りる</t>
        </is>
      </c>
      <c r="H1238" t="n">
        <v>29</v>
      </c>
      <c r="I1238" t="inlineStr">
        <is>
          <t>どうせ戦争になる心配なしに幕は目出たし目出たしで下りるだろうから。；もとは橋をかけて渡ったものと思われるが、今では下りる事もできない。；男は目を開けそうになるのをこらえ、何も見えないまま山を駆け下りる。；小屋の奥にあった階段を下りると、前方からゆるやかに風が吹いてきた。；彼が茶をとりに下りるとすぐに雷鳴がし、続いてしのつく雨が降りだした。；ロープのような物を用意しても、絶対にこんな所を下りるのは無理だった。；彼は二人と同時に二階を下りる事の不得策を初めから承知していた。；夕餉をしたために階下へ下りる頃は、彼の心はもはや冷静に帰っていた。；僕は頭に血が上って、駆け下りるや外を突っ切って走っていきました。；庄太郎の云うところによると、電車を下りるとすぐと原へ出たそうである。；他の仲間が馬から下りるあいだ、かれはその場でじっと待っていた。；南側に設置された観瀑台からは滝壺へ下りる道があり、往復で約40分。；階段を下りると、下の玄関のところにある鏡を見て、源義は顔をしかめた。；冬になると鴨が下りるから、今度は一つ捕ってやろうなどといっていた。；学校の指導内容を一番必要としている者から順に入学許可が下りる。；わたしはすぐさま建物の下の穴蔵へ下りる通路のほうへふたりを案内した。；かれはそれをおいて車からやっと下りると、小さな動物がいたところへ急いだ。；どうかすると階段を下りる拍子に、二人の肩と肩とが触合ふこともある。；しかし、新たな寺の建立を禁止していた幕府から許可が下りることはなかった。；一階に下りると、刑事たちは四人ともすでに今の電話の前で陣取っていた。；道の端には砂がまかれて、側には砂浜へと下りることのできる階段がある。；静かな谷の湯の宿に別れを告げて谷に沿うた道を二本杖で滑り下りる。；そして、君がその約束をしてくれるなら、僕の心から重荷が下りるのだが。；上にいた人々は、ついに地上に下りることができず、今も空にいる。；二つばかりトンネルをくぐって、いよいよ左手の谷に下りることとなった。；彼の前には下の階へ下りる階段が、右手には一直線に伸びた長い廊下が見える。；エリオットさんの苦笑が階段を下りるように段階を経て伝わってくる。；後からついていく日下部は彼女が二段飛びに階段をかけ下りるのを見守った。；海に舞い下りる無数の光の渦に感動もしたし、息を呑むような思いもした。</t>
        </is>
      </c>
      <c r="J1238">
        <f>HYPERLINK("https://www.weblio.jp/content/下りる", "词义详情")</f>
        <v/>
      </c>
      <c r="K1238">
        <f>HYPERLINK("https://yourei.jp/下りる", "查看例句")</f>
        <v/>
      </c>
    </row>
    <row r="1239">
      <c r="A1239" t="inlineStr">
        <is>
          <t>おる</t>
        </is>
      </c>
      <c r="B1239" t="inlineStr">
        <is>
          <t>成功</t>
        </is>
      </c>
      <c r="C1239" t="inlineStr">
        <is>
          <t>読み方：おる
［動ラ上二］「おりる」の文語形。</t>
        </is>
      </c>
      <c r="D1239" t="inlineStr">
        <is>
          <t>おるです；おるまい；おるんです；おるらしい；おるじゃろ</t>
        </is>
      </c>
      <c r="E1239" t="inlineStr">
        <is>
          <t>折る；へし折る</t>
        </is>
      </c>
      <c r="F1239" t="inlineStr">
        <is>
          <t>持っておる；わかっておる；言っておる；考えておる；生きておる</t>
        </is>
      </c>
      <c r="G1239" t="inlineStr">
        <is>
          <t>おるたな；おるちゅばんエビちゅ；おるがん</t>
        </is>
      </c>
      <c r="H1239" t="n">
        <v>29</v>
      </c>
      <c r="I1239" t="inlineStr">
        <is>
          <t>これは将来は何とか言えるようにならなければならぬと思っておるのです。；私も終戦後五・六年、一体東京の人間はどんな生活しておるであろうか。；とうていあなた様のお弟子たちなどと御一しょにおることは出来ませぬ。；その理由はこの書の中に聖書中の真理が悉く含まれおるというにあった。；実質以上になんかうまく見せるようなふうの癖が誰にでもついておる。；この世界のいかなる物理兵器も通じぬ魔物どもを護衛役に使っておろう。；かつまた二葉亭に対して彼ほど厚情を寄せられるのを深く感謝しておる。；生まれながらにして、かくなさずにはおられぬ性質を備えておるのである。；じゃあ女は俺がその事件に関係しておる事を知っておるんだな!；将来に希望をもっておるものは、そんな気の弱いことではいけない。；わしは記憶の極めて悪い方で、過去の事を覚えておることが少ない。；世の多くの女の人は恋を知らずに死ぬ人も多い、そう申しておるのであります。；なかには、わしのことなんかなかったことにする薄情な奴もおるからなあ。；筆の軸の材料が良い竹だとか、悪い竹だとか、良い毛で筆が出来ておるとか。；世間には余り名が出ないからには、どこかに燻ぶっておるのかも知れぬ。；自然の力を借りるということで、陶器はたいへんな得をしておるのです。；これに依って独立した俳句として今日まで形態を保って続いて来ておる。；ところが、たしかに驚くべき奇怪なことが行われておるのであります。；天国が地下へ埋もれたことを知っておるものは、一人もないのであるから。；私の父が呼吸を引取る前にランプの光を見つめたことを覚えておる。；しかし口でかくいえばとて、真に心から信じおるかどうかは問題である。；聞くところによれば、造船業者との関係が随分怪しいと伝えられておる。；今日は、実にこの勢力中心の変化を生ずる過渡期に臨みおるものである。；そのうち海軍のほうでも感づいて馬鹿にしておると憤慨する者もいたという。；スペンサが一番先に開けて、あの老狐はほかの所に書類を隠しておる。；が隅の方のガラス窓が一枚切り破られておるのを見て、私はびっくりしました。；多くのものは免れて恥なしというような気がしておるわけであります。；正確にいいますれば、3年以上も支払いを待ってもらっておるわけです。；だが、この中にいろいろ大きな問題がふくまれておるような気がいたします。</t>
        </is>
      </c>
      <c r="J1239">
        <f>HYPERLINK("https://www.weblio.jp/content/おる", "词义详情")</f>
        <v/>
      </c>
      <c r="K1239">
        <f>HYPERLINK("https://yourei.jp/おる", "查看例句")</f>
        <v/>
      </c>
    </row>
    <row r="1240">
      <c r="A1240" t="inlineStr">
        <is>
          <t>折る</t>
        </is>
      </c>
      <c r="B1240" t="inlineStr">
        <is>
          <t>成功</t>
        </is>
      </c>
      <c r="C1240" t="inlineStr">
        <is>
          <t>読み方：へずる
［動ラ五（四）］《古くは「へつる」》
１削って取る。取って減らす。「小遣いを—・られる」
２上前をはねる。かすめ取る。「売り上げをこっそり—・る」
[可能]へずれる</t>
        </is>
      </c>
      <c r="D1240" t="inlineStr">
        <is>
          <t>折るような音；折る大怪我；折る刃式；折る大けが；折るべから</t>
        </is>
      </c>
      <c r="E1240" t="inlineStr">
        <is>
          <t>切る；削る；切り裂く；断ち切る；切り取る</t>
        </is>
      </c>
      <c r="F1240" t="inlineStr">
        <is>
          <t>踏み折る；本折る；指折る；折るかもしれ</t>
        </is>
      </c>
      <c r="H1240" t="n">
        <v>29</v>
      </c>
      <c r="I1240" t="inlineStr">
        <is>
          <t>これは直立した状態ではあったもののほとんど地面の高さで折れていた。；最初に手を出したのはおれだけど、仲間の腕折られて黙ってられっかよ。；いつも相手は鼻の先にいるので、三日めにはついに我を折ってしまった。；まだ話し足りないところに腰を折られて不機嫌になったのかもしれない。；一部の謎解きでは紙を切ったり折ったりしながら進めていくものもある。；将軍は自ら剣を抜いて戦ったが、最後には折れた剣を捨てて降伏した。；今日ふとここへ来てから何日くらいになるだろうかと指を折ってみた。；相手に求むるところがある時でさえ、腰を折らねば承知をせぬ女である。；この若いもんはな、片手を折ったんで寝室にいてもいいと考えたわけだ。；茶が入ったので、隣の新座敷に薬の紙を折っていたお仙が母の傍へ来た。；彼は世間から自分の同性愛を隠すことにいつも骨を折っていたのである。；この降りではことによると、百合の芽も折られてしまったかも知れない。；足を一本も折らないであれを鈎にかけられるようになったら一人前じゃ。；クラムは下へ降りてこようと自分で骨を折らなければならなかったんだ。；しかもいまのように食えないとき随分骨を折って食べて生活しています。；それは真っ二つに折れていて、事件現場にあった残りの半分と一致した。；一本のこわれた欄干は折られた足のようにして欄基の上に置かれている。；九体ある人形の一つ、この騎士の格好をした人形の首が折られているんだ。；子供など肉体的に劣り未成熟な者ならば圧力で全身の骨が折れかねない。；このときにカードが折れたりしないように気をつける必要がある。；だが、両手でやればともかく、片手ではそれを折ることは不可能だった。；加えて脆く折れやすいものとなったため、評判は甚だ悪いものであった。；背もたれに中折れ機構を設け、着座姿勢をより改善しているものもある。；発達した鋭い爪と背中の針で攻撃するが、爪と針は割りと折れやすい。；レベルが低い頃は、剣の腹を狙われ、叩き折られたことが何度もあった。；実際彼が骨を折ってなしたことがみな無駄だったように見えました。；わたしはそういう家からかの女を抜くためにどのくらい骨を折ったろう。；彼は今では自分に向けられた火夫の長広舌を避けようと骨を折っていた。；このときは和田が折れてルドルフは宝塚記念に出走しないこととなった。</t>
        </is>
      </c>
      <c r="J1240">
        <f>HYPERLINK("https://www.weblio.jp/content/折る", "词义详情")</f>
        <v/>
      </c>
      <c r="K1240">
        <f>HYPERLINK("https://yourei.jp/折る", "查看例句")</f>
        <v/>
      </c>
    </row>
    <row r="1241">
      <c r="A1241" t="inlineStr">
        <is>
          <t>織る</t>
        </is>
      </c>
      <c r="B1241" t="inlineStr">
        <is>
          <t>成功</t>
        </is>
      </c>
      <c r="C1241" t="inlineStr">
        <is>
          <t>読み方：おる
［動ラ五（四）］
１機(はた)で縦糸と横糸を組み合わせて布地を作る。「絣(かすり)を—・る」
２藺(い)・わらなど細いものを組み合わせてむしろ・ござなどを作る。「花ござを—・る」
３いろいろなものを組み合わせて作り上げる。「夢物語を—・る」
[可能]おれる</t>
        </is>
      </c>
      <c r="D1241" t="inlineStr">
        <is>
          <t>織るような人通り；織る織り</t>
        </is>
      </c>
      <c r="E1241" t="inlineStr">
        <is>
          <t>織りなす；編む；織り成す；織り込む；織り交ぜる</t>
        </is>
      </c>
      <c r="H1241" t="n">
        <v>29</v>
      </c>
      <c r="I1241" t="inlineStr">
        <is>
          <t>特に若い織り手が狭い織機でそれを使う様は次のように描写されている。；そればかりか、目に見えないさまざまのものを織ってみたかったのです。；わずかより織られませんが、もっとその価値が認められねばなりません。；正直、機を織っていると熱中しすぎて王が来たことを忘れてしまうのだ。；彼の家では、昔から近所の女達を集めて麻の布を織る機場をやっていた。；それがどうした、とでもいうふうに、矢根は黙ってまた織木の顔を見た。；それからまた二三町も過ぎたところのある家では女房は機を織っていました。；自身で食べる物を作つて私は自分やおまへ達の着物を織つて居ます。；だんだん日がたつと女は家にいて朝から晩まで機を織るようになった。；それも当然で、あの時の式は織というもう一つの人格を持っていたのだ。；これまでのところ、彼女は4つの織り交ぜられたテーマを支持してきた。；彼もまた筏織右衛門が恐ろしい男であることは、以前から承知していた。；そこにいるのは彼が知っている式でも、まして織でもない知りえない誰か。；台車は、一つの織られた籠と頑丈な三片設計の車輪から構成されていた。；それは、まるで金の糸や銀の糸で織ってある下着としか見えませんでした。；織と別れて自分の街に帰ってくると、もう日は沈んでしまっていた。；織木の目に最初に入ったのは、天井から下った沢山の人形たちだった。；そしてついに米塩の資を得るために母は日夜機を織らねばならなかった。；藤蔓の皮で布を織って常服とすることは、山村一般の生活技術であった。；いや、彼女には自分が式であったか織であったかさえあやふやだろう。；機械に引き添いながら、ぎんはいろいろな模様レースを心の中で織った。；その綿のような毛は織物に織られまして、学校生徒の洋服にもなります。；基本的に身分の高いものだけが絹製の衣装・絣や紋織りなどを許された。；式と織は互いに無視しあいながらも、なくてはならない存在だった。；映画的なドラマを織り交ぜつつも、ほぼ実際の事件通りに物語は進行する。；彼女の機台に織られた毛布の上にも 異様の形をなした赤い血痕が残された。；嫁入する者が男の帯を織って持って行く風は南の方の島にもある。；織だけがこの体に残ってしまえば、彼は無差別に殺人を繰り返すだろう。；式と織はお互いを守るために握手をして、うまく常識に溶け込んでいた。</t>
        </is>
      </c>
      <c r="J1241">
        <f>HYPERLINK("https://www.weblio.jp/content/織る", "词义详情")</f>
        <v/>
      </c>
      <c r="K1241">
        <f>HYPERLINK("https://yourei.jp/織る", "查看例句")</f>
        <v/>
      </c>
    </row>
    <row r="1242">
      <c r="A1242" t="inlineStr">
        <is>
          <t>オルガン</t>
        </is>
      </c>
      <c r="B1242" t="inlineStr">
        <is>
          <t>成功</t>
        </is>
      </c>
      <c r="C1242" t="inlineStr">
        <is>
          <t>読み方：おるがん
パイプオルガン・リードオルガン・電子オルガンなどの総称。</t>
        </is>
      </c>
      <c r="D1242" t="inlineStr">
        <is>
          <t>オルガン曲(5%)；オルガン演奏(2%)；オルガン作品；オルガン製作者；オルガン弾き</t>
        </is>
      </c>
      <c r="E1242" t="inlineStr">
        <is>
          <t>器官；パイプオルガン；風琴；リードオルガン</t>
        </is>
      </c>
      <c r="F1242" t="inlineStr">
        <is>
          <t>新しいオルガン；水オルガン；式オルガン；オルガンひき；ダンスオルガン</t>
        </is>
      </c>
      <c r="G1242" t="inlineStr">
        <is>
          <t>オルガンチノ；オルガン音楽；オルガンティノ；オルガン協奏曲；オルガンチーノ</t>
        </is>
      </c>
      <c r="H1242" t="n">
        <v>29</v>
      </c>
      <c r="I1242" t="inlineStr">
        <is>
          <t>当初はオルガンのために書かれたが、後にシンセサイザー版が作られた。；この付属教会にはジルバーマン家が製作した大オルガンが設置されている。；その他の球場でも、試合の合間などにオルガン等でよく演奏されている。；このことから彼のオルガン演奏の技術はきわめて高かったことが知られる。；またこの時期、自動再生オルガンにもバッハ作品や自作を録音している。；オルガンの機構を利用した特殊奏法も、様々なものが編み出されている。；さらにはロンドンでオルガンの演奏コンクールに参加し、第1位を得た。；期を同じくして、フランスにおけるオルガン演奏には革命が起こっていた。；これはドイツ語で書かれた最初のオルガン関連の論文である。；現存するほとんどすべてのオルガンは現在の知識レベルで修復されている。；このオルガンについてはどのようなものであったかはほとんど伝えられていない。；彼も音楽の才能があり、チェンバロ・ピアノ・オルガンが得意だったという。；典礼規定に準拠するオルガンの使用を定めた最初の教皇として知られる。；この劇場には歴史的に価値のあるオルガンが設置されており、イベントの際に演奏される。；一方でオルガンの手鍵盤は現在でも5オクターヴを超えるものは稀である。；またオルガン銃の機構を自動化したようなノルデンフェルト式機銃も開発された。；主オルガンよりも小型で、しばしば演奏台の背後に設置される。；また、その演奏開場では彼は独自の原理に基づいてオルガンを建設している。；このオルガンがユマのユマ劇場に移されてからかなりの時間が経った。；現存している32のオルガン作品はほとんどティエントの形式によっている。；精巧な作りになっており、文章や絵を描いたりオルガンの演奏を行ったりできる。；オルガン教師としても、これほどの影響力をもった人物はほかにない。；ライブステージではオルガン・ピアノ・シンセサイザーを演奏する。；多くのオルガン製作者や作曲家がこのオルガンを見学に訪れている。；シュニットガーのオルガンの構造上・音響上の特徴には以下の点が挙げられる。；近年ではケヴィン・ボウヤーが彼の曲を流行させたが、彼はオルガンで演奏した。；オルガンは構造上、自動演奏を行いやすく早くから自動化されていた。；オルガンの演奏や作曲の他に、コレットは演奏会を運営し、音楽を教えた。；また4手ピアノ版も残されているが、現在はオルガン版の両方が共に演奏されている。</t>
        </is>
      </c>
      <c r="J1242">
        <f>HYPERLINK("https://www.weblio.jp/content/オルガン", "词义详情")</f>
        <v/>
      </c>
      <c r="K1242">
        <f>HYPERLINK("https://yourei.jp/オルガン", "查看例句")</f>
        <v/>
      </c>
    </row>
    <row r="1243">
      <c r="A1243" t="inlineStr">
        <is>
          <t>俺</t>
        </is>
      </c>
      <c r="B1243" t="inlineStr">
        <is>
          <t>成功</t>
        </is>
      </c>
      <c r="C1243" t="inlineStr">
        <is>
          <t>読み方：おれ
［代］一人称の人代名詞。元来、男女の別なく用いたが、現代では、男子が同輩または目下に対して用いる。「—と貴様の仲」</t>
        </is>
      </c>
      <c r="D1243" t="inlineStr">
        <is>
          <t>俺たち(7%)；俺達；俺自身；俺みたい；俺ァ</t>
        </is>
      </c>
      <c r="E1243" t="inlineStr">
        <is>
          <t>私；自分；わたし；僕；おら</t>
        </is>
      </c>
      <c r="F1243" t="inlineStr">
        <is>
          <t>俺たちゃ；俺らこ；俺たち冒険者；俺たちsos団；俺たち兄妹</t>
        </is>
      </c>
      <c r="G1243" t="inlineStr">
        <is>
          <t>俺の妹；俺の妹がこんなに可愛いわけがない；俺たちに明日はない；俺の嫁；俺もお前も</t>
        </is>
      </c>
      <c r="H1243" t="n">
        <v>29</v>
      </c>
      <c r="I1243" t="inlineStr">
        <is>
          <t>あなたは知っているんだと思うが、俺は本当にこの訛りを練習したんだ。；俺は各地を歴戦して銃弾の雨を歩いてきたが、死を恐れたことはないぞ!；でも俺達にとってあいつと数ヶ月くらい話をしないのはいつもの事なんだ。；これを若い奴にやらせろという話が出て、それで俺のところに話がきた。；俺は2年目与田さんが投げていた球を見て『これはいかん』と緊張した。；俺は死にたくないから、誰か代わりに行って死んでくれ、とは言えん。；俺たちのこの素晴らしい物語は、皆がいなければ起こらなかったことだ。；俺が名付けた訳じゃないし、気がついたらそういう名前になってたんだけど。；相手が誰であっても、見つけ次第俺はこの手でそいつを殺してやる。；それがロックかどうかなんて、俺たちには意味のないことなんです。；これは俺達とレインの家族に起こったことであって、彼らにじゃない。；「俺のために優勝しろ」と書いた紙を見せることで、チームを鼓舞した。；これは俺達に降りかかったことで、お前らに対して起こってはいない。；パンチの破壊力だけなら俺が今まで戦った相手の中でも最強クラスだ。；最初から俺はレッスルマニアでお前を倒すことにすべてを懸けてるんだ!；反対に田中は「俺は菊花賞で撮ってもらうからいいさ」と入らなかった。；そのくらい、我慢できないことが俺たちにはあったと述べている。；俺は彼らが正しいと思っていることは間違っていることだと認識しているけどな。；関羽は俺が咳をしたり唾を飲んだりするのを聞けば川を渡らないだろう。；俺達はバンドがチームとしてどのように機能するかやってみているところなんだ。；俺はロックの音楽家だけど、シングル盤は歌謡曲でいいと思ったわけよ。；俺は原作読んでもちっとも面白くなくてさ、俺はやりたくなかったんだよ。；誰が何を言っているか知らないが、俺はずっと村田が好きだったね。；奴に殺人現場を事前に予測できたはずが無いし、もちろん俺も奴には伝えていない。；また、常々「俺は道長なんかと酒は飲みたくない」と語っていたという。；俺が書いた曲はポールみたいな人に歌ってもらいたがってるなって。；歴史の話になると吉川自ら「俺は吉川の方だからね」の発言が何度かある。；それは俺たちに信用のレベルを与え、どのようにやっていくかの小道となった。；一人称は基本的に「俺」だがストーリーモードでは「僕」と呼んでいた。</t>
        </is>
      </c>
      <c r="J1243">
        <f>HYPERLINK("https://www.weblio.jp/content/俺", "词义详情")</f>
        <v/>
      </c>
      <c r="K1243">
        <f>HYPERLINK("https://yourei.jp/俺", "查看例句")</f>
        <v/>
      </c>
    </row>
    <row r="1244">
      <c r="A1244" t="inlineStr">
        <is>
          <t>折れる</t>
        </is>
      </c>
      <c r="B1244" t="inlineStr">
        <is>
          <t>成功</t>
        </is>
      </c>
      <c r="C1244" t="inlineStr">
        <is>
          <t>読み方：おれる
［動ラ下一］［文］を・る［ラ下二］
１棒状・板状のものが鋭く曲がる。また、物が曲がって切れる。「線香が—・れる」
２平面状のものが曲がって二重になる。「紙の端が—・れる」
３道などが曲がる。また、曲がって進む。「次の信号を右に—・れる」
４頑固な意見や主張などが弱くなる。譲歩する。「こちらが—・れて話がまとまる」
５（「骨がおれる」などの形で）苦労する。「気骨の—・れる仕事」
６和歌の第3句と第4句の続きがうまくいかない。
「腰はなれぬばかり—・れかかりたる歌を詠み出で」〈紫式部日記〉</t>
        </is>
      </c>
      <c r="D1244" t="inlineStr">
        <is>
          <t>折れるだろ；折れるような音；折れる鈍い音；折れることだろ；折れる仕事です</t>
        </is>
      </c>
      <c r="E1244" t="inlineStr">
        <is>
          <t>回る；切れる；回す；廻る；譲る</t>
        </is>
      </c>
      <c r="F1244" t="inlineStr">
        <is>
          <t>くず折れる；崩れ折れる</t>
        </is>
      </c>
      <c r="H1244" t="n">
        <v>29</v>
      </c>
      <c r="I1244" t="inlineStr">
        <is>
          <t>まったく彼女の仕事振りは、見ているほうで骨の折れるくらいであった。；この美しい娘さんのお相手をすることは骨の折れる仕事ではありません。；筆が折れる それ程足りた心があるか だつて折れない筆がありますか?；トイレを出てすぐ右手、中央棟の廊下へと折れるその角に、階段がある。；当初は完全な直進ではなく、右斜に入った後左に折れる形をとっていた。；わたしがものを書くのに非常に骨が折れるのは、こういう理由からである。；そのなかでも現在行なわれている骨の折れる筆写はもっとも誤りやすい。；それぞれに折れる前の武器の技術要素が含まれているケースもある。；話をするのにもなんとなく気骨が折れるし、誰もうちへ来ませんでした。；植物園の門をはいってまっすぐに広いたらたら坂を上って左に折れる。；化物のやる事には規律がないから秩序立った証明をするのに骨が折れる。；夫を失った女が棒や枝を折ろうとすれば、自分自身の手や腕が折れる。；角が折れると、姿が人間や動物のものは、そのモデルとなった生物になる。；ああ、なんという骨の折れる職業を自分は選んだのだろう、と彼は考えた。；これは骨の折れる一連のデザインバリエーションの最終成果を表している。；それを保護して無事を得せしめる警官もなかなか骨の折れることだと思った。；いつも机に向かって、ペンシルの芯が折れる音しか最近は聞いていない。；清六と呼ばれた男は棒が折れるように二つに膝を折り、その場に蹲った。；過去と未来と、両方のことをおぼえておくのは、ひどく骨が折れるものだ。；まあ、足を踏み外せば確実に首の骨が折れるほどの高さでしかないのだが。；古への物語はやはり古風な話し振りをせねばならぬので骨が折れる。；自分に仕事をさせるのにも骨が折れるときがあるというのは夏景色ですね。；何か考へてそれをそのまゝ書き取ると云ふ事は、実に骨の折れる仕事だ。；この仕事を始めたものの、それは途方もなく骨の折れることであった。；逮捕した男たちを警察署へ連行するのは、暑くて骨の折れる仕事だった。；だが、一匹の猫を手なずけるのは、こんなに骨の折れることなのだろうか。；それでどの家でも、水を得ることはかなり骨の折れる仕事であった。；叔母はあの通りだから理窟を言ったところで急には折れる人じゃない。；英雄的行為と骨が折れる仕事との間の区別は、両性間の違いと一致している。</t>
        </is>
      </c>
      <c r="J1244">
        <f>HYPERLINK("https://www.weblio.jp/content/折れる", "词义详情")</f>
        <v/>
      </c>
      <c r="K1244">
        <f>HYPERLINK("https://yourei.jp/折れる", "查看例句")</f>
        <v/>
      </c>
    </row>
    <row r="1245">
      <c r="A1245" t="inlineStr">
        <is>
          <t>愚か</t>
        </is>
      </c>
      <c r="B1245" t="inlineStr">
        <is>
          <t>成功</t>
        </is>
      </c>
      <c r="C1245" t="inlineStr">
        <is>
          <t>読み方：おろか
［形動］［文］［ナリ］《「疎か」と同語源》
１頭の働きが鈍いさま。考えが足りないさま。「彼の言葉を—にも信じてしまう」
２ばかげているさま。「戦争など—なことだ」
３未熟なさま。
「この芸に—なるを見て」〈徒然・一九三〉
[派生]おろかさ［名］</t>
        </is>
      </c>
      <c r="D1245" t="inlineStr">
        <is>
          <t>愚かなる(2%)；愚かな人間；愚かな女；愚かな行為；愚かな行動</t>
        </is>
      </c>
      <c r="E1245" t="inlineStr">
        <is>
          <t>不明；馬鹿；ばか；足りない；愚</t>
        </is>
      </c>
      <c r="F1245" t="inlineStr">
        <is>
          <t>こんな愚か；なんという愚か；ひどく愚か；あまりにも愚か；ないほど愚か</t>
        </is>
      </c>
      <c r="G1245" t="inlineStr">
        <is>
          <t>愚かしい；愚かし；愚かしく；愚かな者；愚かもの</t>
        </is>
      </c>
      <c r="H1245" t="n">
        <v>29</v>
      </c>
      <c r="I1245" t="inlineStr">
        <is>
          <t>己には彼女の正体が今の今まで分らないで、愚かな夢を見ていたのか?；一時の利益のため、お客様を犠牲にするようなことは愚かなことである。；姉はわが顔を見て笑いつ、愚かなることを言うぞと妹の耳を強く引きたり。；しかしゲイジの要請はロンドンにいる者からは愚かなものと見なされた。；まったくあの男は活動的なやつで、それも彼の愚かさからくるのです。；それも実は彼自身にさえ愚かな不可能なことだと思えるものであった。；私のかかる思想はある人々にはおそらく愚かにまた空しく見えるであろう。；愛が人をどこかに導かんことを望むのは、人間の愚かなる願いである。；単に美を示そうとするだけなら、用途の道を選ぶ愚かな者があろうか。；念のために、分りきつたことを説明する愚かさを我慢していたゞきたい。；実に命令や規律で導かれる生活くらい愚かでひ弱なものはないのである。；私は草ほど人を愚かに見下げているものはないという気になって来た。；一言で云えば人智は自然の前にはなお愚かだからと言い得るであろう。；なぜなら、どの個人の作も民器の前には愚かに見えてくるからです。；この愚かなことが一九三三年から以後の日本にはあったのです。；何といふ愚かな計画をたてゝ、あのやうな処に出入したことだつたらう。；また彼らが我々の愚かさを利用することも、深くは咎めないのである。；この愚かな言葉にはさすがに私も協賛することは出来ませんでした。；きみが愚かで馬鹿なことをしようとしているから必死に止めた。；これは彼女の愚かさを表すために銀のブタでなければならなかった。；それを十年のがまんができなくて売ってしまうのは愚かなことである。；愚かだった子ども時分には両親に至らぬ心配をかけたこともあります。；こうした事柄に、計算の答えのような解答を求めようとした己の愚かさ。；人間の愚かさと残酷さはしばしばこのような機会を与えることがあるであろう。；愚かな母親は娘の為めに莫大な費用をかけて娘を立派に教育した。；それにしても屋上にこんな燃草をわざわざ載せたのは愚かな設計であった。；そして僕の絵は愚かな俗衆のために描かれるものではないのです。；すべての人類の中で、ただ愚かな私にのみ許された「幸福」のために。；愚かで危険なゲームと呼ぶものからは離れていたいと考えた。</t>
        </is>
      </c>
      <c r="J1245">
        <f>HYPERLINK("https://www.weblio.jp/content/愚か", "词义详情")</f>
        <v/>
      </c>
      <c r="K1245">
        <f>HYPERLINK("https://yourei.jp/愚か", "查看例句")</f>
        <v/>
      </c>
    </row>
    <row r="1246">
      <c r="A1246" t="inlineStr">
        <is>
          <t>卸売り</t>
        </is>
      </c>
      <c r="B1246" t="inlineStr">
        <is>
          <t>成功</t>
        </is>
      </c>
      <c r="C1246" t="inlineStr">
        <is>
          <t>読み方：おろしうり
［名］(スル)生産者や輸入業者から大量の商品を仕入れ、小売商に売り渡すこと。また、その業種や業者。</t>
        </is>
      </c>
      <c r="D1246" t="inlineStr">
        <is>
          <t>卸売りを扱う企業(22%)；卸売り業者(4%)；卸売り会社(3%)；卸売り市場(3%)；卸売り企業</t>
        </is>
      </c>
      <c r="E1246" t="inlineStr">
        <is>
          <t>卸し；卸；卸売</t>
        </is>
      </c>
      <c r="H1246" t="n">
        <v>29</v>
      </c>
      <c r="I1246" t="inlineStr">
        <is>
          <t>奈良県に本社を置き主に医薬品・医療機器の卸売りを扱う企業であった。；また郊外型の店舗や卸売り団地など商業的にも多くの施設がある。；あいつはメンバーを使って中学生相手にトルエンの卸売りをしている。；金属製品に限らずシリコン製品の製造・卸売りも行うなどの特色が見られる。；当社の火力発電所で発生した電気は、小売電気事業者に卸売りしていた。；帰国後、レジスターを導入し卸売りと変わらない値段での小売を実行した。；その他の企業としては、天然石の卸売り、住宅建築、家畜の活用がある。；その中で、今も取引きがつづいて、卸売りもかなり成功しているものがいくつもあった。；主に野球用具・野球用品の製造・卸売りを事業としていた。；この内4000万kWが自家消費や電力会社への卸売りなどの形で使われている。；発電事業者が電気を卸売りする場合、一定の時間内に契約で定めた電力量を供給する必要がある。；スタジオの背景紙などの卸売りを行っている他、中国製電気スクーターの輸入販売を行っている。；今なら中央卸売り市場みたいなもんだ。；大阪商業高等学校卒業後は学生の頃から手伝っていた実家の鶏卵卸売り業に勤務する。；エミーの父はドイツの卸売り商人の家系の出であった。；すなわち、卸売りされる東京と仙台の市場から、小売段階では全国に流通していることが分かる。；実は、イギリスでは王室や高級レストランなどへの卸売りのみで、 小売りは一切していないんだとか。；彼はステム、バー、フレームを作ったが、当時は他の会社の卸売りに頼っていた。；観賞魚の卸売りでは日本国内でトップシェアの企業である。；山口東邦株式会社は、かつて存在した主に医薬品・医療機器の卸売りを扱う企業である。；それまでの仕事は卸売りであったため、購入客の喜ぶ顔を見たことがなかった社長は感激し、これまでないやりがいを感じた。；もはや私となんの関係もないが、亡父のやっていた製薬会社のあとに建ったのが、東京卸売りセンターのビル。；著者は直接販売する為に、自分の書籍を割引価格で注文できるが、自分で大規模な卸売りを行うほどは安くない。；食料品を卸売りで買うことについては何を知っている?；出羽薬品株式会社は、かつて存在した主に医薬品・医療機器の卸売りを扱う企業。；当初はただの小さな卸売り店にすぎなかったけれど、祖父には思いのほか商才があったようで、海外ブランドに着目したりオリジナルの商品を開発したりしながら事業を拡大し、その後、家庭も築いた祖父は多忙な毎日の中で徐々に飛込みのことを忘れていきました。；販売は顧客が実際に購入、出荷はレーベルから小売り・卸売りへの出荷を表す。；本間東邦株式会社は、かつて存在した主に医薬品・医療機器の卸売りを扱う企業である。；広島県内に店舗網を広げ、広島県内の学校や民間企業向けに書籍の卸売りも手掛けるようになった。</t>
        </is>
      </c>
      <c r="J1246">
        <f>HYPERLINK("https://www.weblio.jp/content/卸売り", "词义详情")</f>
        <v/>
      </c>
      <c r="K1246">
        <f>HYPERLINK("https://yourei.jp/卸売り", "查看例句")</f>
        <v/>
      </c>
    </row>
    <row r="1247">
      <c r="A1247" t="inlineStr">
        <is>
          <t>降ろす</t>
        </is>
      </c>
      <c r="B1247" t="inlineStr">
        <is>
          <t>成功</t>
        </is>
      </c>
      <c r="C1247" t="inlineStr">
        <is>
          <t>読み方：おろす
［動サ五（四）］
１上から下に移動させる。
㋐高い所から低い方へ移す。「屋根の雪を—・す」「腰を—・す」⇔上げる。
㋑操作によって物がおりた状態にする。下に垂らす。「ブラインドを—・す」⇔上げる。
㋒陸から水面に移す。「ボートを—・す」⇔上げる。
２掲げたものを取り外す。「旗を—・す」「看板を—・す」
３
㋐乗り物などから外へ出す。「駅前で客を—・す」「積み荷を—・す」
㋑（「堕ろす」とも書く）体外へ出す。堕胎する。「子を—・す」
４神仏・貴人・客などに供した物を下げる。また、お下がりをもらう。「膳を—・す」「供物(くもつ)を—・す」
５生えているものを切ったり、そったりして落とす。「枝を—・す」「髪を—・す」
６役職・地位を下げたり、辞めさせたりする。「主役を—・される」
７深部へしっかりと伸ばす。「木が根を—・す」
８
㋐料理のために魚・獣の肉を切り分ける。「アジを三枚に—・す」
㋑（「卸す」とも書く）下ろし金ですり砕く。「わさびを—・す」
９納めてある物や、あらかじめ作ってある物を取り出す。
㋐引き出す。「貯金を—・す」
㋑衣類・道具などの、新品を初めて使う。「新調の服を—・す」
㋒別の用途に当てる。「古タオルを雑巾に—・す」
10扉をしめる。かぎをかける。とざす。「鎧戸(よろいど)を—・す」
11製版・印刷に回す。下版する。
12神降ろしをする。
「この類の小さな神を招き—・す方式となっていたものであろう」〈柳田・山の人生〉
13貴人の前から退出させる。
「みな下屋(しもや)に—・しはべりぬるを」〈源・帚木〉
14悪く言う。けなす。
「ここにても、また—・しののしる者どもありて」〈源・少女〉
15高い所から風が吹く。吹き下ろす。
「三室山(みむろやま)—・す嵐の寂しきに妻よぶ鹿の声たぐふなり」〈千載・秋下〉
[可能]おろせる
[下接句] 錨(いかり)を下ろす・重荷を下ろす・飾りを下ろす・頭(かしら)を下ろす・肩揚げを下ろす・髪を下ろす・看板を下ろす・錠を下ろす・根を下ろす・暖簾(のれん)を下ろす・箸(はし)を下ろす・筆を下ろす</t>
        </is>
      </c>
      <c r="D1247" t="inlineStr">
        <is>
          <t>降ろすべき；降ろすよう指示</t>
        </is>
      </c>
      <c r="E1247" t="inlineStr">
        <is>
          <t>取る；スタート；落とす；下げる；下す</t>
        </is>
      </c>
      <c r="F1247" t="inlineStr">
        <is>
          <t>引きずり降ろす；振り降ろす；踏み降ろす；積み降ろす；投げ降ろす</t>
        </is>
      </c>
      <c r="H1247" t="n">
        <v>29</v>
      </c>
      <c r="I1247" t="inlineStr">
        <is>
          <t>ガラスを降ろしてある窓から外を見ると、海は窓のすぐ下まで来ていた。；犯人は乗客を降ろした後に逮捕されたが、その際犯人は拳銃を発射した。；しかしそれでも、自分はあの二人を艦から降ろさずにはいられなかった。；かれは、始めに考えていたよりも多少重々しくその椅子に腰を降ろした。；これほどに巨大なものを七機も森の中に降ろすのは、容易なことではない。；基地を見降ろす場所にあるから、攻撃の際に重要な位置となったのだろう。；それから彼は綱を切って女を降ろし、彼女とともに飛び去ってしまった。；秋に全参加チームを集めて大会が開催されその歴史に幕を降ろした。；さっきまで縛りつけられていた木製のベッドのようなものに腰を降ろす。；私は腕をいっぱいに伸ばして水差しを機械室の前あたりへ投げ降ろした。；とくに足音を気にしていない者に特有の、踵から直接足を降ろす歩き方。；畳にぺたりと腰を降ろすと、血溜まりの中で座っているような気がした。；それから慎重にその椅子の中に腰を降ろし、監視スクリーンを見上げた。；途中で船を降ろされて野宿し、翌日高級将校と下士官兵を分離しました。；自分の人生を一次元のストーリーに引きずり降ろさなければなりません。；泉は積み上げてある空の段ボールの一つに腰を降ろすと、空を見上げた。；二階屋の上から見降ろすような巨大戦車への恐怖ばかりではない。；絶望したアグネスは銃を降ろし、試合に行ってくると言い残し家を出る。；それと同時に、船の上で、ボートを降ろす準備をしているのが見えた。；この男は、内親王の御魂を降ろすためだけに自分を利用しているのだ。；彼女のからだを私のからだの上に降ろそうとしたときの、彼女の狼狽。；神の見えざる指が、その雷を打ち降ろす場所を探しておられるのだ。；階段を降ろされて、地下4階だか2階の、例の同行室に連れていかれる。；中庭に入ってしばらく行ったところで、パーンたちは馬から降ろされた。；艦隊はそこで乗客を降ろし、ロシアへ向かう汽車に乗せる予定であった。；かれは突堤の上に腰を降ろし、耳を澄ませながら川面に注意を集中した。；船舶と港の間には乗客を降ろすためのボートがいくつも並んでいる。；首を切り落とすのに、何度も何度も剣を振り降ろさねばならなかったとか。；かれらは腰を降ろして、その夜の出来事について意見を交換しあった。</t>
        </is>
      </c>
      <c r="J1247">
        <f>HYPERLINK("https://www.weblio.jp/content/降ろす", "词义详情")</f>
        <v/>
      </c>
      <c r="K1247">
        <f>HYPERLINK("https://yourei.jp/降ろす", "查看例句")</f>
        <v/>
      </c>
    </row>
    <row r="1248">
      <c r="A1248" t="inlineStr">
        <is>
          <t>下ろす</t>
        </is>
      </c>
      <c r="B1248" t="inlineStr">
        <is>
          <t>成功</t>
        </is>
      </c>
      <c r="C1248" t="inlineStr">
        <is>
          <t>読み方：おろす
［動サ五（四）］
１上から下に移動させる。
㋐高い所から低い方へ移す。「屋根の雪を—・す」「腰を—・す」⇔上げる。
㋑操作によって物がおりた状態にする。下に垂らす。「ブラインドを—・す」⇔上げる。
㋒陸から水面に移す。「ボートを—・す」⇔上げる。
２掲げたものを取り外す。「旗を—・す」「看板を—・す」
３
㋐乗り物などから外へ出す。「駅前で客を—・す」「積み荷を—・す」
㋑（「堕ろす」とも書く）体外へ出す。堕胎する。「子を—・す」
４神仏・貴人・客などに供した物を下げる。また、お下がりをもらう。「膳を—・す」「供物(くもつ)を—・す」
５生えているものを切ったり、そったりして落とす。「枝を—・す」「髪を—・す」
６役職・地位を下げたり、辞めさせたりする。「主役を—・される」
７深部へしっかりと伸ばす。「木が根を—・す」
８
㋐料理のために魚・獣の肉を切り分ける。「アジを三枚に—・す」
㋑（「卸す」とも書く）下ろし金ですり砕く。「わさびを—・す」
９納めてある物や、あらかじめ作ってある物を取り出す。
㋐引き出す。「貯金を—・す」
㋑衣類・道具などの、新品を初めて使う。「新調の服を—・す」
㋒別の用途に当てる。「古タオルを雑巾に—・す」
10扉をしめる。かぎをかける。とざす。「鎧戸(よろいど)を—・す」
11製版・印刷に回す。下版する。
12神降ろしをする。
「この類の小さな神を招き—・す方式となっていたものであろう」〈柳田・山の人生〉
13貴人の前から退出させる。
「みな下屋(しもや)に—・しはべりぬるを」〈源・帚木〉
14悪く言う。けなす。
「ここにても、また—・しののしる者どもありて」〈源・少女〉
15高い所から風が吹く。吹き下ろす。
「三室山(みむろやま)—・す嵐の寂しきに妻よぶ鹿の声たぐふなり」〈千載・秋下〉
[可能]おろせる
[下接句] 錨(いかり)を下ろす・重荷を下ろす・飾りを下ろす・頭(かしら)を下ろす・肩揚げを下ろす・髪を下ろす・看板を下ろす・錠を下ろす・根を下ろす・暖簾(のれん)を下ろす・箸(はし)を下ろす・筆を下ろす</t>
        </is>
      </c>
      <c r="D1248" t="inlineStr">
        <is>
          <t>下ろすと同時に；下ろす間もなく</t>
        </is>
      </c>
      <c r="E1248" t="inlineStr">
        <is>
          <t>取る；スタート；落とす；下げる；下す</t>
        </is>
      </c>
      <c r="F1248" t="inlineStr">
        <is>
          <t>撫で下ろす；投げ下ろす；吹き下ろす；打ち下ろす；引きずり下ろす</t>
        </is>
      </c>
      <c r="H1248" t="n">
        <v>29</v>
      </c>
      <c r="I1248" t="inlineStr">
        <is>
          <t>身体を起こすときに自然に手を下ろしたり、手を袖に隠した状態にする。；いずれも樹木の幹や枝の中に根を下ろした灌木のような姿の植物である。；そんなにたくさんのお金を、どうしてここで下ろさなくちゃならないの?；少し離れたところに空いているベンチを見つけたのでそこに腰を下ろす。；DVD用に撮り下ろした映像もふんだんに収録された内容となっている。；襲われた母親、帰ってきた子供、その子に向かっても振り下ろされた鉈。；先端には人が乗ったバケットがあって、穴の中へと吊り下ろされていく。；人々は手に汗を握って龍介の片手が今にも振下ろされるかと待っていた。；やつらは我々がパンツを下ろしているところをどうやって捕まえたんです?；これは種痘がヨーロッパ大陸に根を下ろすよりずっと前のことであった。；二度、三度と刀が振り下ろされるのを見ながら柏木君は気が遠くなった。；無造作に、しかし確実に二つの命を消し去る強さで刃が振り下ろされた。；上段に掲げられた刀は、なおもってそれ以上の素早さで振り下ろされた。；コミック化の際に作品解説として数ページが新たに描き下ろされている。；やっぱりみんな錨を下ろすが早いか女のところへ上陸したに相違ない。；お金を今すぐ全部下ろそうと思い込んで、一晩中ここにいても無駄です。；だがピッケルが、北越の頭部を狙って振り下ろされたことは事実なのだ。；次々に腕を振り下ろそうとしていた巨人たちが、尽く消滅させられていく。；いくら見ていられない状況であっても、ここで幕を下ろすわけにはいかない。；従来の夏利名義から通算して名実共に30数年の歴史に幕を下ろした。；が、腰を下ろすや否や、隣の男たちの醜さにわたしはぞっとしてしまう。；検分の結果、不許可となり90年あまり続いた新川事件は幕を下ろした。；ここで名門・桐生氏は二百二十余年の歴史に幕を下ろしたのである。；ぼくは暗闇の中で、ぼくの椅子の一つに腰を下ろさねばならなかった。；男性の胸に片方の手をついて行えば安定して腰を下ろすことができる。；髪を逆立てているが、これは戦う時だけで普段は髪を下ろしている。；なぜあのバン族は夜のあいだに小さな船を出して上陸部隊を下ろさないんだ?；本作の配信ジャケットは、河邉徹が撮り下ろした写真が使用されている。；地面に下ろされても、あたしたちは荒い息のまましばらく動けなかった。</t>
        </is>
      </c>
      <c r="J1248">
        <f>HYPERLINK("https://www.weblio.jp/content/下ろす", "词义详情")</f>
        <v/>
      </c>
      <c r="K1248">
        <f>HYPERLINK("https://yourei.jp/下ろす", "查看例句")</f>
        <v/>
      </c>
    </row>
    <row r="1249">
      <c r="A1249" t="inlineStr">
        <is>
          <t>卸す</t>
        </is>
      </c>
      <c r="B1249" t="inlineStr">
        <is>
          <t>成功</t>
        </is>
      </c>
      <c r="C1249" t="inlineStr">
        <is>
          <t>読み方：おろす
［動サ五（四）］
１上から下に移動させる。
㋐高い所から低い方へ移す。「屋根の雪を—・す」「腰を—・す」⇔上げる。
㋑操作によって物がおりた状態にする。下に垂らす。「ブラインドを—・す」⇔上げる。
㋒陸から水面に移す。「ボートを—・す」⇔上げる。
２掲げたものを取り外す。「旗を—・す」「看板を—・す」
３
㋐乗り物などから外へ出す。「駅前で客を—・す」「積み荷を—・す」
㋑（「堕ろす」とも書く）体外へ出す。堕胎する。「子を—・す」
４神仏・貴人・客などに供した物を下げる。また、お下がりをもらう。「膳を—・す」「供物(くもつ)を—・す」
５生えているものを切ったり、そったりして落とす。「枝を—・す」「髪を—・す」
６役職・地位を下げたり、辞めさせたりする。「主役を—・される」
７深部へしっかりと伸ばす。「木が根を—・す」
８
㋐料理のために魚・獣の肉を切り分ける。「アジを三枚に—・す」
㋑（「卸す」とも書く）下ろし金ですり砕く。「わさびを—・す」
９納めてある物や、あらかじめ作ってある物を取り出す。
㋐引き出す。「貯金を—・す」
㋑衣類・道具などの、新品を初めて使う。「新調の服を—・す」
㋒別の用途に当てる。「古タオルを雑巾に—・す」
10扉をしめる。かぎをかける。とざす。「鎧戸(よろいど)を—・す」
11製版・印刷に回す。下版する。
12神降ろしをする。
「この類の小さな神を招き—・す方式となっていたものであろう」〈柳田・山の人生〉
13貴人の前から退出させる。
「みな下屋(しもや)に—・しはべりぬるを」〈源・帚木〉
14悪く言う。けなす。
「ここにても、また—・しののしる者どもありて」〈源・少女〉
15高い所から風が吹く。吹き下ろす。
「三室山(みむろやま)—・す嵐の寂しきに妻よぶ鹿の声たぐふなり」〈千載・秋下〉
[可能]おろせる
[下接句] 錨(いかり)を下ろす・重荷を下ろす・飾りを下ろす・頭(かしら)を下ろす・肩揚げを下ろす・髪を下ろす・看板を下ろす・錠を下ろす・根を下ろす・暖簾(のれん)を下ろす・箸(はし)を下ろす・筆を下ろす</t>
        </is>
      </c>
      <c r="D1249" t="inlineStr">
        <is>
          <t>卸し；卸；卸売；卸売り</t>
        </is>
      </c>
      <c r="H1249" t="n">
        <v>29</v>
      </c>
      <c r="I1249" t="inlineStr">
        <is>
          <t>次にぼくの番になり背中を向けて卸すと、再び二人の後をついていった。；例の商人がすぐに来て手を引いてベンチへ連れて往つて、腰を卸させた。；見送りの人が手を振つてゐるのが、それと分らない位小さく見卸された。；お互いがお互いの場所を決めて、それぞれが勝手に好きな国に行って卸す。；健三には殆ど問題にならない事が、彼らの間に想像の種を幾個でも卸した。；例の商人がすぐに来て手を引いてベンチへ連れて往って、腰を卸させた。；そば打ちは趣味の域を超え、仙台市内のそば店に卸していたこともある。；そして、また、がっちりと錠を卸して、あとをも見ずに寺を出て行った。；二十代の後半に入った頃、肉の卸しの会社の社長の娘と知り合いになった。；一方で直接楽器店に卸す「ムラマツ」ブランドも平行して製作していた。；中に入り、改造された積み卸し用のエレベーターを使って二階まで上がった。；油にて揚げる時最初は火を弱くして緩々揚げ後ち火を強くして卸すべし。；ひょっとすると、製造して他の店へ卸すのが仕事なのかもしれない。；病人を板か何かに載せて卸すと云うことは、不可能なことであった。；このわたしにしても食文化の研究者で実家は北海道の海産物の卸し業である。；やがて御料理座に品を卸した商人が、さっきの手紙の返事を言付かってきた。；そして彼の大きなナイフを磨ぎながら、彼等の背後に腰を卸して待つてゐた。；彼は今腰を卸したばかりの椅子からそつと低く立つと、通路を逆に廊下へ出た。；ちょっとやそっとの量では卸してくれないから、山のように買い込んである。；代助は己れを支うる力を用い尽した人の様に、又椅子に腰を卸した。；棺が庭へ卸された時見物に集つた村の者と客とが庭にぎつしり詰つた。；大騒ぎとなってかの男を絞架より卸したとあれど、そのしまいは記されず。；私を送って来た人はじきに荷物を卸してそこから引き還してしまった。；それも、最初の頃のように店に卸さず、直接注文者に売っていた。；男は腕を伸ばして女の頸を抱きそうにしたが、それを止めて、また腕を卸した。；つづいて第二第三の畚が卸されて、穴の底にも大勢の味方が殖えた。；中から出て来た女が私を無理に腰を卸させさらに座敷へ上らせた。；書き卸しには、百合の方と五郎蔵とが小団次の持ち役になつてゐた。；細工物を卸す得意先には、よくこのようなお上さんがいることも知っている。</t>
        </is>
      </c>
      <c r="J1249">
        <f>HYPERLINK("https://www.weblio.jp/content/卸す", "词义详情")</f>
        <v/>
      </c>
      <c r="K1249">
        <f>HYPERLINK("https://yourei.jp/卸す", "查看例句")</f>
        <v/>
      </c>
    </row>
    <row r="1250">
      <c r="A1250" t="inlineStr">
        <is>
          <t>疎か</t>
        </is>
      </c>
      <c r="B1250" t="inlineStr">
        <is>
          <t>成功</t>
        </is>
      </c>
      <c r="C1250" t="inlineStr">
        <is>
          <t>読み方：おろか
［形動］［文］［ナリ］
１（「…はおろか」「…もおろか」などの形で）言うまでもないことである。もちろん。「掃除は—、布団を上げたこともない」
２いいかげんに扱うさま。思いやりが薄いさま。おろそか。
「—にそ我は思ひし乎布(をふ)の浦の荒磯(ありそ)の巡り見れど飽かずけり」〈万・四〇四九〉</t>
        </is>
      </c>
      <c r="D1250" t="inlineStr">
        <is>
          <t>無意識に；構わず；顧みず；振り返らず；擲って</t>
        </is>
      </c>
      <c r="H1250" t="n">
        <v>29</v>
      </c>
      <c r="I1250" t="inlineStr">
        <is>
          <t>かといって家庭を疎かにすることもなく、常に良き母であり続けている。；ましてその人は家のためまた大事な父のためには疎かならぬ恩人である。；けれども居士の事であるから決して俳句の方を疎かにするではなかった。；だから、ほんの少しだけ前を見ることが疎かになってしまっていたのだ。；どうしても商いの方に気が行き、家の整理整頓がつい疎かになるからだ。；天下の重を疎かにしてはならず、斤斧の間を軽行すべきではありません。；此は漢学式な感じ方であり、知識が具体化を疎かにしてゐるのである。；やはり遺伝的要因というものは、あだや疎かにできない存在なのである。；このところ、政を疎かにする王が続き、地は恵みを蓄積できないでいる。；このように極端になった場合は部隊の準備が疎かになり、長い回復時間が必要になった。；中には本当に何かに熱中している子もいるが、かといって勉強だけは疎かにしない。；彼女と言い争っている間に運転が疎かになって野犬を轢いてしまった。；ギャット産れてからこれまでにするにア仇や疎かな事じゃア有りません。；戦争は、人生のなかで大切なことを疎かにする口実にはならなかった。；貴方は常日頃から勉学を疎かにしているからこのような事態になるのです。；ここのところ疎かにしていた日課は、驚くほどスムーズに終わってしまった。；秋祭りを主とする田舎の村々でも、夏祭りを疎かにする処はなかつた。；映画界は、製作事大主義で、営業が疎かになりがちのための判断であった。；満代と並んで坐ってからも、麟之介は礼は疎か話らしい話ひとつ交しませぬ。；ただまあ、なにしろ狭い田舎町なので、慶弔事を疎かにはできなかった。；あくまで普通科なので英語を除く教科を疎かにすることなく履修可能である。；ヒルトブルクハウゼンはフランス軍が非協力的で備えも疎かであったと批判した。；猫に注意が向いて運転が疎かになっていた。；ハリーはスネイプに何と質問するのかに気を取られるあまり、またしても魔法薬のほうが疎かになった。；人間を描く文学も結構でありますが、宇宙の諸現象を謡う詩もまた疎かにすべきものではありますまい。；生活をしていく中で響子への後ろめたさから逃げるように家庭を疎かになりやがて離婚をする。；ハミルトンは、州議会が州の経済を疎かにしていると考えていた。；夢というものの疎かにせられなかった原因もここにある。；記憶を検索するのに一瞬、足の方が疎かになったのである。</t>
        </is>
      </c>
      <c r="J1250">
        <f>HYPERLINK("https://www.weblio.jp/content/疎か", "词义详情")</f>
        <v/>
      </c>
      <c r="K1250">
        <f>HYPERLINK("https://yourei.jp/疎か", "查看例句")</f>
        <v/>
      </c>
    </row>
    <row r="1251">
      <c r="A1251" t="inlineStr">
        <is>
          <t>お詫び</t>
        </is>
      </c>
      <c r="B1251" t="inlineStr">
        <is>
          <t>成功</t>
        </is>
      </c>
      <c r="C1251" t="inlineStr">
        <is>
          <t>読み方：おわび
わびる人、また、その相手を敬っていう語。「—のしるし」「—を申し上げる」</t>
        </is>
      </c>
      <c r="D1251" t="inlineStr">
        <is>
          <t>お詫び申し上げ(4%)；お詫びいたし(3%)；お詫びcm；お詫び致し；お詫びしよ</t>
        </is>
      </c>
      <c r="E1251" t="inlineStr">
        <is>
          <t>謝罪；詫び；謝；弁明；申し訳</t>
        </is>
      </c>
      <c r="F1251" t="inlineStr">
        <is>
          <t>死んでお詫び；切ってお詫び；あなたにお詫び；心よりお詫び申し上げ</t>
        </is>
      </c>
      <c r="G1251" t="inlineStr">
        <is>
          <t>お詫び広告；お詫び記事；お詫びの日</t>
        </is>
      </c>
      <c r="H1251" t="n">
        <v>29</v>
      </c>
      <c r="I1251" t="inlineStr">
        <is>
          <t>出来るだけを出来る力で私は用意してお詫びに重ねたいと思っています。；事情があり、今日まで何の連絡もできませんでしたことをお詫びします。；それ以上詳わしい説明が何もできないことを読者にお詫びする他はない。；私のせいで担当から降りることになったのであれば、お詫びいたします。；あとでお詫びしようと思っていたのですが、実はそのとおりなんです。；その罪はいくらお詫びしても許されませぬほど大きいと思います。；これがわたしの、受け持ち教師としての心ひそかなお詫びであったのだ。；今夜のプレーが終わったら、彼女にお詫びのメールを送ろうと思ってる。；もし、天皇からお咎めがあれば死をもってお詫びしなければならない。；また、全てのプレイヤーへのお詫び対応をすることも明らかにした。；我儘を言って早苗さんに苦労を押しつけたお詫びをするつもりなんです。；こんなときですので主人は出られませんとお詫びしときました。；チマとしては、それがせめてもの妹さんへのお詫びとでも思ったんかね。；翌日、百姓達が屋敷へお詫びに来ていると、取次が父に知らせて来た。；だいぶ経ってから眠ってしまったお詫びを言うのを忘れていたのに気付いた。；この問題についてこれ以上いうこともなくほかにお詫びすることもありません。；あなたを有無をいわせずここにお連れしたことについては深くお詫びをする。；いろいろと考えましたが、死をもって、お詫びすることを決意致しました。；お詫びにはこの上ない機会ですわ、間もなく死ぬかも知れないのですから!；ホテルに置き去りにされて憤慨する杉野さんへの、お詫びだったらしい。；このまま心を育てて、おわびの日にしっかりとお詫びをしたいと思っています。；訳あって、招待状の名前を変えさせていただいたことをお詫びいたします。；「黙っていたことをお詫びします」 私は笑って首を横に振った。；いまでも思う、そんなときに、お詫びを言う余裕はどこからくるのだろうかと。；いなみから、よくお詫びをするようにと諭されていた様子でもあった。；わしの顔を潰したことは腹を切ってお詫びしなければならないところだとも言ってたなあ。；途中で仕事をほっぽり出してしまったことへの、お詫びも兼ねての訪問だった。；そのことについて、警部さんにもお詫びしなければならないと思っていますの。；お詫びを言いに来たのだといい、仲よく別れたいのだと言ったわ。</t>
        </is>
      </c>
      <c r="J1251">
        <f>HYPERLINK("https://www.weblio.jp/content/お詫び", "词义详情")</f>
        <v/>
      </c>
      <c r="K1251">
        <f>HYPERLINK("https://yourei.jp/お詫び", "查看例句")</f>
        <v/>
      </c>
    </row>
    <row r="1252">
      <c r="A1252" t="inlineStr">
        <is>
          <t>終わり</t>
        </is>
      </c>
      <c r="B1252" t="inlineStr">
        <is>
          <t>成功</t>
        </is>
      </c>
      <c r="C1252" t="inlineStr">
        <is>
          <t>読み方：おわり
１物事が終わること。また、終わろうとするところ。最後。しまい。果て。「話はこれで—だ」「週の—の二日」⇔始め。
２一生の最後。死。臨終。終焉(しゅうえん)。</t>
        </is>
      </c>
      <c r="D1252" t="inlineStr">
        <is>
          <t>終わるとすぐ；終わると同時に；終わる可能性；終わると予想；終わるとさっさと</t>
        </is>
      </c>
      <c r="E1252" t="inlineStr">
        <is>
          <t>完成；閉鎖；完了；切る；終結</t>
        </is>
      </c>
      <c r="F1252" t="inlineStr">
        <is>
          <t>読み終わる；まま終わる；聞き終わる；いつ終わる；話し終わる</t>
        </is>
      </c>
      <c r="H1252" t="n">
        <v>29</v>
      </c>
      <c r="I1252" t="inlineStr">
        <is>
          <t>曲の長さも短いものが多く、数秒で終わるような極端に短いものもある。；もう既に始まっているのであるが、どのように終わればよいのであろう。；通常、この西方正帝の消滅をもって古代の終わり・中世の始まりとする。；音楽が終わったところが正時となるようにタイミングが設定されていた。；これは世界や宇宙の始まりと終わりを考えることと同じことになる。；このことはブレスト合同が不完全なものに終わる結果にも影響があった。；しかし、その後まもなく事故死したため詳細を発表しないまま終わった。；これが失敗に終わった経緯に関してはいくつかの話が伝えられている。；ここに杉崎の名前が出て来なければ、何も知らずに終われたのに・・・。；夜になって学校の仕事が終われば、両親とも来ると信じて疑わなかった。；神がもう一度跳ぶ機会を与えてくれた今大会で競技生活を終わりたい。；映画が終われば、隣の一之瀬先輩はいなくなってしまうのではないのか。；この大戦が終われば商売の方針を一変しなければならないと考えていた。；時間が終われば、あとでそれが言葉だったことに気づくのかもしれない。；終わらない冬の世界を歩く巨人と、その背に都市を造り生きる人間たち。；その大半は任期の終わる前の数日間で公式に指名されたのでこの名がある。；子供は勉強が終われば友達と長電話をし、なかなか部屋から出てこない。；一九六六年も終わろうとする十二月十五日、一人のアメリカ人が死んだ。；第二次世界大戦が終わった1940年代後半には特に深刻な危機に陥った。；音楽が流れると残り30秒となり、音楽が終わるとクイズは終了となる。；そうして夏も終わろうとしていたある日、突然に少年はいなくなった。；おりから演劇シーズンも終わろうとしている一八二二年五月のことでした。；カード交換が終わったら実際にカードをプレイし、絵札の争奪戦を行う。；また濃度差エンジンの開発も一部で進められたが実験段階で終わった。；勤務後から間もなく人気が出て、夏が終わる頃には店の売れっ子になった。；明日のパレードが終われば、私たちはそれぞれの所属部隊へと帰還する。；釘宮理恵も仕事終わりに川澄の料理を食べに来る時があるとのことである。；こうして対清輸出拡大を望むイギリスの試みは失敗に終わった。；ただ、何かが終わろうとしていることに、ここ数日の自分は気づいていた。</t>
        </is>
      </c>
      <c r="J1252">
        <f>HYPERLINK("https://www.weblio.jp/content/終わり", "词义详情")</f>
        <v/>
      </c>
      <c r="K1252">
        <f>HYPERLINK("https://yourei.jp/終わり", "查看例句")</f>
        <v/>
      </c>
    </row>
    <row r="1253">
      <c r="A1253" t="inlineStr">
        <is>
          <t>終わる</t>
        </is>
      </c>
      <c r="B1253" t="inlineStr">
        <is>
          <t>成功</t>
        </is>
      </c>
      <c r="C1253" t="inlineStr">
        <is>
          <t>読み方：おわる
［動ラ五（四）］
１続いていた物事が、そこでなくなる。しまいになる。済む。「授業が—・る」「一生が—・る」⇔始まる。
２（「終わった」「終わっている」の形で）廃れる。人気が衰える。「あの歌手はもう—・っている」
３（「…におわる」「…でおわる」などの形で）期待された結果が得られないまま、それが最後の状態になる。「失敗に—・る」「夢で—・る」
４動詞の連用形に付いて、動作・作用が完結する意を表す。…しおわる。…てしまう。「食べ—・る」
５しまいにする。終える。「会議を—・ります」⇔始める。
６生命が尽きる。死ぬ。
「笑へるごとくにて—・り給ひにけり」〈著聞集・二〉
[可能]おわれる</t>
        </is>
      </c>
      <c r="D1253" t="inlineStr">
        <is>
          <t>終わるとすぐ；終わると同時に；終わる可能性；終わると予想；終わるとさっさと</t>
        </is>
      </c>
      <c r="E1253" t="inlineStr">
        <is>
          <t>完成；閉鎖；完了；切る；終結</t>
        </is>
      </c>
      <c r="F1253" t="inlineStr">
        <is>
          <t>読み終わる；まま終わる；聞き終わる；いつ終わる；話し終わる</t>
        </is>
      </c>
      <c r="H1253" t="n">
        <v>29</v>
      </c>
      <c r="I1253" t="inlineStr">
        <is>
          <t>曲の長さも短いものが多く、数秒で終わるような極端に短いものもある。；もう既に始まっているのであるが、どのように終わればよいのであろう。；通常、この西方正帝の消滅をもって古代の終わり・中世の始まりとする。；音楽が終わったところが正時となるようにタイミングが設定されていた。；これは世界や宇宙の始まりと終わりを考えることと同じことになる。；このことはブレスト合同が不完全なものに終わる結果にも影響があった。；しかし、その後まもなく事故死したため詳細を発表しないまま終わった。；これが失敗に終わった経緯に関してはいくつかの話が伝えられている。；ここに杉崎の名前が出て来なければ、何も知らずに終われたのに・・・。；夜になって学校の仕事が終われば、両親とも来ると信じて疑わなかった。；神がもう一度跳ぶ機会を与えてくれた今大会で競技生活を終わりたい。；映画が終われば、隣の一之瀬先輩はいなくなってしまうのではないのか。；この大戦が終われば商売の方針を一変しなければならないと考えていた。；時間が終われば、あとでそれが言葉だったことに気づくのかもしれない。；終わらない冬の世界を歩く巨人と、その背に都市を造り生きる人間たち。；その大半は任期の終わる前の数日間で公式に指名されたのでこの名がある。；子供は勉強が終われば友達と長電話をし、なかなか部屋から出てこない。；一九六六年も終わろうとする十二月十五日、一人のアメリカ人が死んだ。；第二次世界大戦が終わった1940年代後半には特に深刻な危機に陥った。；音楽が流れると残り30秒となり、音楽が終わるとクイズは終了となる。；そうして夏も終わろうとしていたある日、突然に少年はいなくなった。；おりから演劇シーズンも終わろうとしている一八二二年五月のことでした。；カード交換が終わったら実際にカードをプレイし、絵札の争奪戦を行う。；また濃度差エンジンの開発も一部で進められたが実験段階で終わった。；勤務後から間もなく人気が出て、夏が終わる頃には店の売れっ子になった。；明日のパレードが終われば、私たちはそれぞれの所属部隊へと帰還する。；釘宮理恵も仕事終わりに川澄の料理を食べに来る時があるとのことである。；こうして対清輸出拡大を望むイギリスの試みは失敗に終わった。；ただ、何かが終わろうとしていることに、ここ数日の自分は気づいていた。</t>
        </is>
      </c>
      <c r="J1253">
        <f>HYPERLINK("https://www.weblio.jp/content/終わる", "词义详情")</f>
        <v/>
      </c>
      <c r="K1253">
        <f>HYPERLINK("https://yourei.jp/終わる", "查看例句")</f>
        <v/>
      </c>
    </row>
    <row r="1254">
      <c r="A1254" t="inlineStr">
        <is>
          <t>恩</t>
        </is>
      </c>
      <c r="B1254" t="inlineStr">
        <is>
          <t>成功</t>
        </is>
      </c>
      <c r="C1254" t="inlineStr">
        <is>
          <t>読み方：おん
［音］オン（呉）（漢）
［学習漢字］6年
めぐみ。いつくしみ。情け。「恩愛(おんあい・おんない)・恩恵・恩師・恩賜・恩赦・恩情・恩人・恩寵(おんちょう)・恩典／感恩・旧恩・君恩・厚恩・高恩・鴻恩(こうおん)・謝恩・重恩・大恩・朝恩・仏恩・報恩・忘恩」
［名のり］おき・めぐみ</t>
        </is>
      </c>
      <c r="D1254" t="inlineStr">
        <is>
          <t>恩讐；恩惠；恩きせ；恩方；恩怨</t>
        </is>
      </c>
      <c r="E1254" t="inlineStr">
        <is>
          <t>為；好意；愛想；福祉；特典</t>
        </is>
      </c>
      <c r="F1254" t="inlineStr">
        <is>
          <t>施恩；新恩；神恩；懐恩；正恩</t>
        </is>
      </c>
      <c r="G1254" t="inlineStr">
        <is>
          <t>恩師；恩人；恩赦；恩賞；恩義</t>
        </is>
      </c>
      <c r="H1254" t="n">
        <v>29</v>
      </c>
      <c r="I1254" t="inlineStr">
        <is>
          <t>画姓を豊原としたのは、師の豊原周信への恩を忘れぬためだといわれる。；美しく磨き上げられた個性は、恩を知ることが出来ないとでもいうのか。；そうして「恩」が世の中をぐるぐる回ってゆくことを指しているとした。；清からは三個の大恩を受けており、私はその恩を忘れた日はありません。；もちろん圭一郎は千登世に對して無上の恩と大きな責任とを感じてゐた。；犬馬でさえ受けた恩を忘れぬのに、お前らは人の道から外れている。；わたしはその恩を忘れないしるしに、あなたの手下になる決心をしました。；佐吉は藤八が亡くなった後もその恩を忘れず、藤八家との親交は続いた。；A 僕は殆んど野育ちだから、元來先輩と長者との恩惠を知らずに來た。；これらの父母の恩の重いことは、天に極まりがないようなものである。；オラリとエピタラヒリの違いは、神恩を受ける者と降す者の違いを表す。；金 正恩は、アメリカ合衆国および韓国で活動している日本人化学者。；これらの願意は無事に叶い、日本武尊はその神恩に感謝し剣を奉納した。；私が時々援助していましたから恩を感じていました。；ここでフランスに恩を売ることで条約改正へ有利にする思惑であった。；だがお尋ね者であるとはいえ、ウインゲートには育ててもらった恩がある。；それを助けてやろうとしているのに、恩を仇でかえすなんてことがあるか。；日蓮は父母の恩、師の恩と並べて、国土の恩を一生涯実に感謝していた。；静安寺街道管轄区域内には、有名な静安寺とキリスト教の新恩堂がある。；金正日の三男である金正恩の名を挙げる時は、正恩王子と呼ぶことが多い。；この恩から武則は志村姓を捨てて、加須屋を名乗るようになったとする。；しかしそれは自分が、恩を返す能力のないことを自白するのと同じだと思った。；法堂の建物は、1797年に恩山の崇角寺から移してきたものである。；山崎豊子の著書『沈まぬ太陽』の主人公・恩地元のモデルとなった人物。；ブレナンは恩を受けた宇宙人たちの中での自分自身の立場を見つける。；お前の恩を、泣いて喜んでいる者が、いく人か居るに違いない。；そして恩を感じることなどほとんどなく、虎狼のように残忍だと言う。；村人は感謝してその恩を祈念するためにこの村を津軽石と呼ぶことにしたという。；また、恩田が「恩ちゃんのあなたのもとに」のタイトルで中継を担当する。</t>
        </is>
      </c>
      <c r="J1254">
        <f>HYPERLINK("https://www.weblio.jp/content/恩", "词义详情")</f>
        <v/>
      </c>
      <c r="K1254">
        <f>HYPERLINK("https://yourei.jp/恩", "查看例句")</f>
        <v/>
      </c>
    </row>
    <row r="1255">
      <c r="A1255" t="inlineStr">
        <is>
          <t>音楽</t>
        </is>
      </c>
      <c r="B1255" t="inlineStr">
        <is>
          <t>成功</t>
        </is>
      </c>
      <c r="C1255" t="inlineStr">
        <is>
          <t>読み方：おんがく
１音による芸術。音の長短・高低・強弱・音色などを組み合わせて肉声や楽器で演奏する。
２歌舞伎の鳴り物の一。寺院の場面などに、笛・大太鼓・鈴などで雅楽風の演奏をする。</t>
        </is>
      </c>
      <c r="D1255" t="inlineStr">
        <is>
          <t>音楽教師；音楽好き；音楽性；音楽スタイル；音楽担当</t>
        </is>
      </c>
      <c r="E1255" t="inlineStr">
        <is>
          <t>楽；ミュージック；快い音；笛竹</t>
        </is>
      </c>
      <c r="F1255" t="inlineStr">
        <is>
          <t>テーマ音楽；cm音楽；音楽以外；音楽情報；フランス音楽</t>
        </is>
      </c>
      <c r="G1255" t="inlineStr">
        <is>
          <t>音楽活動；音楽プロデューサー；音楽番組；音楽的；音楽性</t>
        </is>
      </c>
      <c r="H1255" t="n">
        <v>29</v>
      </c>
      <c r="I1255" t="inlineStr">
        <is>
          <t>音楽に合わせてプレイヤーが何らかのアクションをとることで進行する。；これら具体音の導入は、商業音楽などの分野にも決定的な影響を与えた。；社交ダンスも盛んで、そのための音楽も良く演奏されていたようである。；日本のドイツ音楽偏重志向はこのときから始まると言えるかもしれない。；前衛的音楽のためアルバムはあまり売れなかったが、後に再評価された。；歌垣のように、求愛のために音楽を用いることも世界中に広く見られる。；ジャズ業界の知識を援用して音楽方面に取材した作品を複数発表している。；彼のチェロ音楽は全て演奏しているが、ひとつたりとも悪い曲はない。；この期間に生まれた音楽は現代まで継承されているものも多い。；攻撃的な音楽性に合わせ、歌詞の内容もやはり攻撃的なものが目立つ。；年をとるにつれて音楽の好みが変わる可能性があることを示す証拠が出ている。；賢治は音楽に深い関心を持っており、暇を見つけてはレコードを買っていた。；また、オーケストラや合唱を組織して詩や音楽の発表会などを主催した。；ちなみに、アルベルトも音楽好きでヴァイオリンの演奏が趣味であった。；共通の趣味となった音楽に嵌まり、仕事を半年余りで投げ出してしまう。；スロバキアの音楽は近隣国家地域の音楽文化の影響を受けている面を持っている。；ゴジラを題材とした玩具、書籍、映像・音楽媒体は多数発売されてきた。；テレビは映画や音楽を部分的に含み、ラジオも音楽と重なる部分がある。；音楽を通して彼は全人類の暮らしを豊かなものにしてくれたのです。；しかしこれはフランス音楽の発展に大きな役割を果たした。；一般的にレコードは音楽用記録メディア全体を示す言葉としても使われる。；彼らはこのような非西洋の音楽スタイルを取り入れて自作を発表したりもしている。；作曲とは、曲を作ること、あるいは音楽の次第を考案することである。；リズムとは本来音楽用語であるが、転じて様々な時間の動きを表すものを表す。；武満は黒澤にマーラー風の音楽を求められたことに不満を述べている。；CD店、図書館、音楽関連書籍ではしばしば以下のように分類される。；またこの頃から一般的に音楽が芸術として見られるようになる。；ルソーは音楽が好きであったため音楽家を自称して音楽教師になろうとした。；基本は音楽であるが、歌と台詞が付いて演じられることから演劇の要素をも持つ。</t>
        </is>
      </c>
      <c r="J1255">
        <f>HYPERLINK("https://www.weblio.jp/content/音楽", "词义详情")</f>
        <v/>
      </c>
      <c r="K1255">
        <f>HYPERLINK("https://yourei.jp/音楽", "查看例句")</f>
        <v/>
      </c>
    </row>
    <row r="1256">
      <c r="A1256" t="inlineStr">
        <is>
          <t>恩恵</t>
        </is>
      </c>
      <c r="B1256" t="inlineStr">
        <is>
          <t>成功</t>
        </is>
      </c>
      <c r="C1256" t="inlineStr">
        <is>
          <t>読み方：おんけい
１恵み。いつくしみ。「—を施す」「自然の—に浴する」
２キリスト教で、神の恩寵(おんちょう)。</t>
        </is>
      </c>
      <c r="D1256" t="inlineStr">
        <is>
          <t>恩恵を得られる；恩恵論</t>
        </is>
      </c>
      <c r="E1256" t="inlineStr">
        <is>
          <t>為；成果；幸せ；好意；優雅</t>
        </is>
      </c>
      <c r="F1256" t="inlineStr">
        <is>
          <t>様々な恩恵；多大な恩恵；経済的恩恵；経済的な恩恵；さまざまな恩恵</t>
        </is>
      </c>
      <c r="H1256" t="n">
        <v>29</v>
      </c>
      <c r="I1256" t="inlineStr">
        <is>
          <t>そこに汚職が生まれたが恩恵を受けたのはほとんど白人の南部人だった。；その知識が教育・文化・知的な豊かさをもたらし、人々に恩恵を与える。；これはリバイバルの恩恵を教会に取り込もうとする動きとも考えられる。；同大会では韓国が優勝したため兵役免除の恩恵を受けることになった。；それが工業の発展に与える恩恵と環境への影響は常に議論の対象となっている。；長期的傾向を除いた彼の後の再分析は、小さな恩恵の存在を示唆した。；しかし今、国王の恩恵を受け、再び妻と共にロンドンに戻ることになる。；しかし、大規模な土木工事は恩恵を受けない江南の民衆に不満を与えた。；この店舗形態では商業高度化事業の恩恵を受けることができる。；親の七光りとは、権力を持つ親を持った子供がその恩恵を受けること。；テンプレートエンジンを利用することでいくつかの恩恵が受けられる。；市民の多くが観光客を歓待し、町は観光業から大きな恩恵を受けている。；ほかの治療や偽薬と比べて抗うつ薬には恩恵がないことを研究は示している。；農夫は農作物を豊かな国内市場に売ることで恩恵を受けるものとされた。；そのため、恩恵に与れない他地域の人間の間には不満が募っていった。；それでも16世紀までは伸長する諸勢力から恩恵を受けつつ発展した。；その時から、町によって提供される多くの恩恵を企業が享受してきた。；政府や社会も科学リテラシーの向上から恩恵を受ける可能性がある。；バンコクへのアクセスの良さ、政府からの高い恩恵を売りにしている。；しかし本郡は単に空港に近いことによる恩恵だけを享受しているわけではない。；そして彼は高等教育がニュース出版から恩恵を受けるであろうことを悟った。；ティーチは島の恩恵を受けるようになった者たちの一人だった。；また、ゲッシュが厳しいものであればあるほど受ける恩恵も強いと言われる。；ロシアの射場は北にあるのでこの計画による経済的な恩恵は大きい。；同大会では、韓国の優勝により兵役免除の恩恵を受けることとなった。；街の支配に成功した場合、その派閥は以下のような様々な恩恵を得ることができる。；同大会では韓国の優勝により兵役免除の恩恵を受けることになった。；特にその恩恵を受けたのは、当時一番平和であった四川省と広東省であった。；ソ連政府の下、国民は社会的な自由化による利益と恩恵を受けた。</t>
        </is>
      </c>
      <c r="J1256">
        <f>HYPERLINK("https://www.weblio.jp/content/恩恵", "词义详情")</f>
        <v/>
      </c>
      <c r="K1256">
        <f>HYPERLINK("https://yourei.jp/恩恵", "查看例句")</f>
        <v/>
      </c>
    </row>
    <row r="1257">
      <c r="A1257" t="inlineStr">
        <is>
          <t>温厚</t>
        </is>
      </c>
      <c r="B1257" t="inlineStr">
        <is>
          <t>成功</t>
        </is>
      </c>
      <c r="C1257" t="inlineStr">
        <is>
          <t>読み方：おんこう
［形動］［文］［ナリ］穏やかで、優しくまじめなさま。「—な人柄」「—篤実」
[派生]おんこうさ［名］</t>
        </is>
      </c>
      <c r="D1257" t="inlineStr">
        <is>
          <t>温厚な性格(9%)；温厚な人柄(7%)；温厚そう(4%)；温厚な人物(3%)；温厚篤実(2%)</t>
        </is>
      </c>
      <c r="E1257" t="inlineStr">
        <is>
          <t>穏やか；温和；柔和；穏健；穏便</t>
        </is>
      </c>
      <c r="F1257" t="inlineStr">
        <is>
          <t>性格温厚；温厚な小曾根；温厚で優しい；温厚で優しく；温厚な性質</t>
        </is>
      </c>
      <c r="H1257" t="n">
        <v>29</v>
      </c>
      <c r="I1257" t="inlineStr">
        <is>
          <t>面接をした営業部長なる男性はきちんとスーツを着た温厚な紳士だった。；それに連れていつもの温厚で上品な印象は薄れ、どこかに消えていった。；厚生課長の席にいた頃の章太郎には、温厚ながら元気なところがあった。；とにかく温厚な性質なんだから、ぜったいにそんなひとじゃありません。；温厚で紳士的で、そんなに金銭に執着しているようには見えなかったが。；性格は従順で温厚で、とても扱いやすかった犬であったといわれている。；同僚の宇宙飛行士たちによると、彼は温厚で楽しい性格であったという。；彼の妾は年をとるにつれて以前よりもいっそう温厚で穏和になってきた。；写真で紹介されている温厚そうな医師の顔も生き生きと明るく輝いて見える。；あの人は、英国流の温厚な紳士で、そして無精で、本ばかり読んでいて。；おとなしい温厚な性格で、短時間ではあるが背中の小さな羽で飛行する。；非常に温厚な性格で人と争うことが全くなく、困った人はすぐに助けていた。；日頃温厚な医師が、母が顔色を変えるような拳固を食らわせてきたのだ。；婿さんの新吉さんは五ツちがいの今年二十八で申分のない温厚な銀行員。；温厚で誠実な人であったが、その義兄とも妻と別れてからは会っていない。；横浜時代は前述の乱闘のイメージが強いものの、普段は極めて温厚である。；「普通の貴族」 温厚な、どこにでもいそうな人のいい地方貴族であった。；かつて逍遥に噛みついたころの殺気が、温厚に笑う顔の底に沈んでいる。；温厚で、専門馬鹿と言われていて、病院では名の知れた医師の一人だ。；人物は温厚で議論は声を荒げてするようなことはなかったという。；いずれも頭がよく温厚であり耐久力に優れているのが特徴である。；それは年の頃五十あまりの履物も着物も新しい、温厚な男であった。；普段は温厚な人ですが、ああいう人を怒らせたら、ただじゃすみません。；しかし温暖な気候と温厚な国民性からか、美少年が多いことで知られる。；市川の眼の前にいる岡野は、白髪がかなり多い温厚な顔だちの男だった。；知能も高く、性格は温厚で、中には神に仕えている者もいると言われている。；温厚な性格の長者で父や弟たちを支えて古義学の興隆の基礎を築いた。；温厚な海相がかつてみせたことのない厳しい怒りの動きであった。；五十を一つ二つ越えた富五郎は温厚な人柄で、土地の評判もよかった。</t>
        </is>
      </c>
      <c r="J1257">
        <f>HYPERLINK("https://www.weblio.jp/content/温厚", "词义详情")</f>
        <v/>
      </c>
      <c r="K1257">
        <f>HYPERLINK("https://yourei.jp/温厚", "查看例句")</f>
        <v/>
      </c>
    </row>
    <row r="1258">
      <c r="A1258" t="inlineStr">
        <is>
          <t>温室</t>
        </is>
      </c>
      <c r="B1258" t="inlineStr">
        <is>
          <t>成功</t>
        </is>
      </c>
      <c r="C1258" t="inlineStr">
        <is>
          <t>読み方：おんしつ
内部の温度を一定に保てるように設備した、ガラスやビニール張りの建物。《季冬》</t>
        </is>
      </c>
      <c r="D1258" t="inlineStr">
        <is>
          <t>温室内(2%)；温室咲き；温室花壇；温室等；温室みかん</t>
        </is>
      </c>
      <c r="F1258" t="inlineStr">
        <is>
          <t>古い温室；大きな温室；ガラス温室；小さな温室；巨大な温室</t>
        </is>
      </c>
      <c r="G1258" t="inlineStr">
        <is>
          <t>温室効果；温室栽培；温室育ち；温室植物；温室効果気体</t>
        </is>
      </c>
      <c r="H1258" t="n">
        <v>29</v>
      </c>
      <c r="I1258" t="inlineStr">
        <is>
          <t>そこは小さな温室のようになっていて、冬の植物が中に入れられていた。；この温室のどこかにまだあるはずなのに、目に見える形ではなくなった。；もう温室の外にはあらゆる花と云う花がなくなっている頃の事である。；祥子さんに問われた時に、私には温室に来る理由など答えられなかった。；さっき温室で話をしてくれた時は、もう少しわかりやすかったんだけど。；学園の側の山中にある、長く使われていなかった温室を部室にしている。；この温室を管理したり、植物を育ててるのってお前ら二人なんだってな?；そのうちの二人が、温室の片隅にいた若い男に向かって駆け寄っている。；だから温室ではいつも、女主人の飲むのと同じものを頼むことにしていた。；京の都は、深い闇と鬼とをその内部に育ててゆく、呪詛の温室であった。；「ここだったか」 そう言って中に入ってきたのは、この温室の持ち主。；小型車の中は、日の当たるがわは、まるで温室のような暖かさであった。；私の知っていることは、ある季節だけ蜂を温室に入れないことぐらいです。；彼はウォードの箱の原則に基づいてクラパムの庭に温室を作ろうとした。；そういう特別な温室、生活の温室の中に順ちゃんがいることも確かだ。；冬季の植物の保管施設が作られ、1784年に最初の温室が建設された。；熱帯植物をたくさん集めた非常にりっぱな温室を持っていたくらいだ。；温室の中は青豆にはいくぶん温かすぎたが、我慢できないほどではない。；死神の温室には人間たち一人ひとりの寿命を示す木や花が植えてあった。；変な理屈を並べて、僕が温室へ侵入し、差し木を盗んだと言うでしょう。；花は戸外では夏から秋に咲くが、温室では温度が高ければ周年開花する。；ベッカムホールにある広大なガラス温室内で、長い時間を一緒に過ごした。；温室で夢中になって絵を描いているうちに、どれだけの時間が経っていたのだろうか。；そこの小さな温室の中に一面に咲き乱れて実に見事なものでした。；それは商売を離れての、半ば自分の楽しみのための温室でもあるのだと社長は笑った。；長さがあり建てられたときには英国で最大の温室であった。；中庭にあるものを除き、温室にある植物は熱帯産の種類を含んでいる。；温室の壁が邪魔をして、スローイング・ダガーを投げることもできない。；私は温室の管理を任されてるから、最後に見回りをして、皆の後で帰るの。</t>
        </is>
      </c>
      <c r="J1258">
        <f>HYPERLINK("https://www.weblio.jp/content/温室", "词义详情")</f>
        <v/>
      </c>
      <c r="K1258">
        <f>HYPERLINK("https://yourei.jp/温室", "查看例句")</f>
        <v/>
      </c>
    </row>
    <row r="1259">
      <c r="A1259" t="inlineStr">
        <is>
          <t>温泉</t>
        </is>
      </c>
      <c r="B1259" t="inlineStr">
        <is>
          <t>成功</t>
        </is>
      </c>
      <c r="C1259" t="inlineStr">
        <is>
          <t>読み方：おんせん
１地熱のために、その土地の平均気温以上に熱せられた地下水。さまざまな泉質があり、浴用または飲用することで治療・健康増進の効果がある。日本の温泉法ではセ氏25度以上のものか、特定の溶存物質が一定値以上含まれているものを指す。→鉱泉→冷泉2
２1を利用し、入浴する施設のある所。</t>
        </is>
      </c>
      <c r="D1259" t="inlineStr">
        <is>
          <t>温泉街；温泉名；温泉場；温泉客；温泉保養</t>
        </is>
      </c>
      <c r="E1259" t="inlineStr">
        <is>
          <t>温泉地；リゾートホテル；サナトリウム；湯本；温泉郷</t>
        </is>
      </c>
      <c r="F1259" t="inlineStr">
        <is>
          <t>当温泉；位置する温泉；湧出する温泉；s温泉；温泉成分</t>
        </is>
      </c>
      <c r="G1259" t="inlineStr">
        <is>
          <t>温泉街；温泉宿；温泉旅館；温泉施設；温泉場</t>
        </is>
      </c>
      <c r="H1259" t="n">
        <v>29</v>
      </c>
      <c r="I1259" t="inlineStr">
        <is>
          <t>泉色が泥水のようなの濁り湯であったことから、温泉名も泥湯となった。；この地で出土した縄文時代の遺跡を見ながら温泉に入ることができる。；温泉の発祥は天正元年で、平家の落人の子孫が発見したと伝わっている。；遺跡調査では縄文時代には既に温泉が湧出していたとも言われている。；そこで門下が協議し、冬を迎える前に温泉での療養を行うことになった。；源泉の開発も進み、近隣の一般家庭にも温泉が給湯されるようになった。；温泉一帯は、江戸時代には湯村といい、明治に入ると吉岡村に改称した。；また、発見の古い温泉ではその利用の歴史もかなり古くから文献に残されている。；付近には「湯」など温泉に由来すると思われる地名が残されている。；事業家や村が温泉の開発経営を試みたがいずれも失敗し、経営難となった。；かつては地獄地帯の高温泉を地元の人達が調理に使っていたという。；これが当温泉の発見および当温泉名の由来とされている。；島付近の海中から温泉が湧出していることからその名があるという。；阿蘇山は巨大な火山ゆえに、その周辺はたくさんの温泉に恵まれている。；江戸時代後期の地誌『三国名勝図会』にも多くの温泉が紹介されている。；本格的な療養温泉でもあり、温泉療法を実施する病院や研究施設がある。；地区北部が温泉街であり、地区内を東西に国道39号が走っている。；しかし北海道にはそれ以前に開湯した温泉が複数あり、事実と反する。；火山に近く泉源数が多いため、市内の入浴施設のほとんどが温泉である。；また温泉などの旅行がどれか一つの授業に入っていた。；付属の塩は普通の塩ではなく、温泉でできた塩を使っている。；他方、歴史の古い温泉がいくつもあり、これは珍しい組み合わせでもある。；これを受け、地域活性化を目指した温泉休養施設の建設が開始された。；以前は11番系統と同様に新浦安温泉・日の出南まで運行されていた。；洞窟の温泉に入浴した際に、「帰るのを忘れるほどである」と賞賛した。；その熱水泉を用いた入浴施設やそれらが集まった地域も一般に温泉と呼ばれる。；発見時期は不明だが、嘉永年間の地図には既に温泉の記載がある。；今日では年間300万人が訪れる全米随一の温泉リゾートとなっている。；温泉名の由来は、鶴がこの温泉で傷を癒していたところを発見したことによる。</t>
        </is>
      </c>
      <c r="J1259">
        <f>HYPERLINK("https://www.weblio.jp/content/温泉", "词义详情")</f>
        <v/>
      </c>
      <c r="K1259">
        <f>HYPERLINK("https://yourei.jp/温泉", "查看例句")</f>
        <v/>
      </c>
    </row>
    <row r="1260">
      <c r="A1260" t="inlineStr">
        <is>
          <t>温帯</t>
        </is>
      </c>
      <c r="B1260" t="inlineStr">
        <is>
          <t>成功</t>
        </is>
      </c>
      <c r="C1260" t="inlineStr">
        <is>
          <t>読み方：おんたい
寒帯と熱帯の間の地帯。気候的には、温帯気候の緯度30〜50度の地帯をいうが、回帰線（23度27分）と極圏（66度33分）の間とする区分もある。</t>
        </is>
      </c>
      <c r="D1260" t="inlineStr">
        <is>
          <t>温帯地域(6%)；温帯性(4%)；温帯海域(3%)；温帯林(3%)；温帯さん(2%)</t>
        </is>
      </c>
      <c r="F1260" t="inlineStr">
        <is>
          <t>北半球温帯；北温帯；中間温帯；温帯半；温帯にかけて広く</t>
        </is>
      </c>
      <c r="G1260" t="inlineStr">
        <is>
          <t>温帯域；温帯夏雨気候；温帯気候；温帯雨林；温帯地方</t>
        </is>
      </c>
      <c r="H1260" t="n">
        <v>29</v>
      </c>
      <c r="I1260" t="inlineStr">
        <is>
          <t>世界的に水田稲作が行われているのはほとんどが熱帯・温帯地域である。；中国のほとんどは温帯に属しているが、その気候パターンは複雑である。；流行は温帯地域では季節の影響を強く受け、ほとんどの場合冬に発生する。；それは南の温帯の南端から南極の未知の領域へと広がっている国である。；彼らはこの結果から、温帯性木本タケ類を 連に分割すべきとしている。；ウキクサ亜科の種は世界中に分布しており、特に温帯から熱帯域に多い。；世界では、ヨーロッパ、アメリカの温帯北部から亜寒帯に広く分布する。；日本の温帯林を代表する樹木で、以下の市町村の木に指定されている。；ところで、この地球の富と力をもった大国はみんな北半球の温帯にある。；そうした温帯の中でも日本はまた他の国と比べていろいろな特異性をもっている。；船は空港から上昇して北へ向かい、住民のいない温帯にはいった。；世界中の熱帯から温帯の海域に広く分布し、一部は亜寒帯にも進出する。；極寒帯では人は生きていけないが、南側の温帯の住民は生きられる。；寒帯・温帯はスミレ属が圧倒的に多く、熱帯にはその他多数の属がある。；北アフリカ、ヨーロッパ、中国までの温帯アジアの広い範囲に分布する。；西部の海岸から300マイル以上入った山岳地では温帯山岳気候になる。；温帯を中心に世界に50種以上が認められ、日本では4種が分布する。；降水量が多い地域は温帯、降水量が少ない地域は乾燥帯に隣接している。；これまで230種類以上の熱帯植物などが、温帯地域で栽培可能になった。；オーストラリアを除く世界の温帯に広く分布し、約280種知られる。；これらの流れは温帯での夏と冬の温度差を和らげるのに役立っている。；東アジアの熱帯から温帯に10数種分布し、日本では6種知られている。；さういふ温帯的な雰囲気の中に、たつた一人毛色の変つた男がゐた。；オーストラリアの東部と西部の温帯地域とタスマニア島に分布する。；北半球の温帯に広く分布し、日本では北海道から九州まで分布する。；そのため熱帯では多年生であるが、温帯では一年生になる植物も存在する。；イェセニツェの気候は温帯でアルプス山脈から大きな影響を受けている。；春という言葉が正当な意味をもつのは、地球上でも温帯の一部に限られている。；北半球の温帯から亜寒帯に約10種が知られ、日本では2種が分布する。</t>
        </is>
      </c>
      <c r="J1260">
        <f>HYPERLINK("https://www.weblio.jp/content/温帯", "词义详情")</f>
        <v/>
      </c>
      <c r="K1260">
        <f>HYPERLINK("https://yourei.jp/温帯", "查看例句")</f>
        <v/>
      </c>
    </row>
    <row r="1261">
      <c r="A1261" t="inlineStr">
        <is>
          <t>温暖</t>
        </is>
      </c>
      <c r="B1261" t="inlineStr">
        <is>
          <t>成功</t>
        </is>
      </c>
      <c r="C1261" t="inlineStr">
        <is>
          <t>読み方：おんだん
［形動］［文］［ナリ］気候があたたかなさま。「—な地方」⇔寒冷。</t>
        </is>
      </c>
      <c r="D1261" t="inlineStr">
        <is>
          <t>温暖な気候(18%)；温暖な地域(7%)；温暖化(3%)；温暖であり(3%)；温暖な冬(2%)</t>
        </is>
      </c>
      <c r="E1261" t="inlineStr">
        <is>
          <t>暖かい；温；温かい；暖か；温和</t>
        </is>
      </c>
      <c r="F1261" t="inlineStr">
        <is>
          <t>気候温暖；温暖または冷涼；温暖少雨；温暖多雨；温暖で湿潤</t>
        </is>
      </c>
      <c r="G1261" t="inlineStr">
        <is>
          <t>温暖湿潤気候；温暖前線；温暖化ガス；温暖化対策；温暖湿潤</t>
        </is>
      </c>
      <c r="H1261" t="n">
        <v>29</v>
      </c>
      <c r="I1261" t="inlineStr">
        <is>
          <t>確かに、異常に乾燥した温暖な冬であれば多くの植物が開花しなくなる。；数多くの種が温暖な気候の地域に移入されて安定個体群を確立している。；かつて存在したテチス海などの温暖な海で暮らしていたと考えられている。；日本では温暖化による温度上昇により農作物の被害が問題とされている。；なお、似たような履物は温暖な気候をしている地域では、よく見られる。；それらの種は温暖になってから本州からも北海道からも姿を消した。；ブレーキや変速用のレバー操作がしやすいので温暖期にはよく使われる。；また、温暖な地域では、降雨に恵まれさえすれば冬にも発生がみられる。；ただし温暖な地域では一部個体が活動することが知られている。；この種は温暖な地域で芝生に使われる除草剤の大部分に抵抗性を示す。；葉は日本では冬に枯れる場合が多いが、より温暖な地域では枯れずに残る。；日本が大陸と地続きで温暖な時代に侵入した遺存種と考えられている。；日本の宮城県で開発され、東北地方の温暖な平野部を中心に生産される。；ほとんどの種は温暖なアフリカやユーラシア南部の開けた土地に自然分布する。；落葉広葉樹林は温暖な夏にのみ葉を繁らせるため、夏緑林とも呼ばれる。；温暖なハワイでのキャンプで肩も回復し、このキャンプの成果となった。；しかし温暖な気候と温厚な国民性からか、美少年が多いことで知られる。；日本では本州のみで分布が確認されており、特に温暖な地方に多い。；大陸性気候で、スロバキア国内ではもっとも温暖な都市の一つとされる。；火星は短い時間尺度では温暖化していることを示唆する証拠も発見されている。；北海道の中では比較的温暖で雪が少ない地域となっている。；アフリカや中東の温暖な地域のオアシスではヤシ科の植物がよく見られる。；黒海沿岸に位置しており、ロシアの中では比較的温暖な地方である。；世界中の温暖な海域を中心に分布するが、インド洋・太平洋に特に多い。；温暖で木がまばらに生えた開けた土地でよく見られる鳥である。；ふたたび人間が住めるほどに温暖になるのは紀元前9600年ごろである。；また、冬でも温暖な小笠原諸島や南西諸島では基本的に雪は観測されない。；温暖でやや深い海の砂泥底に生息し、食用にもなる大型種である。；水はけが良く日あたりの良い場所を好み、主に温暖な海浜で見られる。</t>
        </is>
      </c>
      <c r="J1261">
        <f>HYPERLINK("https://www.weblio.jp/content/温暖", "词义详情")</f>
        <v/>
      </c>
      <c r="K1261">
        <f>HYPERLINK("https://yourei.jp/温暖", "查看例句")</f>
        <v/>
      </c>
    </row>
    <row r="1262">
      <c r="A1262" t="inlineStr">
        <is>
          <t>温暖化</t>
        </is>
      </c>
      <c r="B1262" t="inlineStr">
        <is>
          <t>成功</t>
        </is>
      </c>
      <c r="C1262" t="inlineStr">
        <is>
          <t>読み方：おんだんか
地球全体の平均気温が上がること。→地球温暖化</t>
        </is>
      </c>
      <c r="D1262" t="inlineStr">
        <is>
          <t>温暖化効果(2%)；温暖化問題；温暖化極大；温暖化防止；温暖化傾向</t>
        </is>
      </c>
      <c r="E1262" t="inlineStr">
        <is>
          <t>暑くなる</t>
        </is>
      </c>
      <c r="F1262" t="inlineStr">
        <is>
          <t>人為温暖化；世界的な温暖化</t>
        </is>
      </c>
      <c r="G1262" t="inlineStr">
        <is>
          <t>温暖化対策；温暖化現象；温暖化係数</t>
        </is>
      </c>
      <c r="H1262" t="n">
        <v>29</v>
      </c>
      <c r="I1262" t="inlineStr">
        <is>
          <t>この時期は最終氷期終了の後に起きた世界的な温暖化の時期に相当する。；温暖化の研究ではコンピュータモデルを用いた気候研究が行われている。；最終氷期の約2万年前の最盛期が過ぎると地球規模で温暖化に向かった。；温暖化の影響は生態系にも大きな影響を与えることが懸念されている。；既に温暖化の影響と見られる変化が、世界各地で観測され始めている。；近年は温暖化の影響もあり、奄美群島でも実をつけていると言う情報がある。；氷河期の終わり以来、温暖化と寒冷化は様々な傾向で繰り返し起こった。；ミシガン湖の温暖化効果があるので、果物は州西部で主に栽培されている。；温暖化でいえば、気温が上がっている、というところまでが科学的事実。；酸性雨や温暖化はサケ科魚類の種の存続に対し大きな影響を与えている。；これは、一般に高緯度ほど温暖化の影響を顕著に受けることを表している。；地球の温暖化がいわれて久しいが、どうやら今年は、冬が早く来るらしい。；むしろ温暖化を解消する決定打になると主張する科学者が少なくありません。；超大陸の分裂が開始されると、地球は気候の温暖化を経験する可能性がある。；ただし、この時代、何度か温暖化がおき、一時的に温暖な環境になった。；これは地球の温暖化が影響していると見られている。；温暖化の理由が炭酸ガスである可能性は高い、と考えていてよい。；これは、温暖化の問題をさらに悪化させる要因になっている。；また沖縄集団は、温暖化の影響で衰退する可能性が指摘されている。；この説では、従来のモデルは温暖化を過小評価している危険性が指摘されている。；以後、間氷期となり気候の温暖化に伴って分布を広げ、現在に至った。；ザイツは人間が温暖化に影響をもたらすかどうかについて疑問を表明していた。；近年温暖化も加えて渡り鳥の繁殖量が増加し、このような問題が表面化してきている。；温暖化が食い止められたって私が宇宙に愛されなければ意味がない。；この温暖化の原因は地球軌道要素の変化による日射量の増大とされている。；これは同地域の温暖化ペースが世界最速であることを意味する。；こうした分布の変遷から、本種は温暖化の指標種として注目されている。；一方、冬季の温暖化のわりには降雪量は減っていないのが特徴である。；その後、温暖化が起こり氷期が終わると、人々は定住するようになる。</t>
        </is>
      </c>
      <c r="J1262">
        <f>HYPERLINK("https://www.weblio.jp/content/温暖化", "词义详情")</f>
        <v/>
      </c>
      <c r="K1262">
        <f>HYPERLINK("https://yourei.jp/温暖化", "查看例句")</f>
        <v/>
      </c>
    </row>
    <row r="1263">
      <c r="A1263" t="inlineStr">
        <is>
          <t>音痴</t>
        </is>
      </c>
      <c r="B1263" t="inlineStr">
        <is>
          <t>成功</t>
        </is>
      </c>
      <c r="C1263" t="inlineStr">
        <is>
          <t>読み方：おんち
１生理的欠陥によって正しい音の認識と発声のできないこと。
２音程や調子が外れて歌を正確にうたえないこと。
３あることに関して感覚が鈍いこと。また、その人。「方向—」</t>
        </is>
      </c>
      <c r="D1263" t="inlineStr">
        <is>
          <t>音痴である(7%)；音痴ゆえ</t>
        </is>
      </c>
      <c r="F1263" t="inlineStr">
        <is>
          <t>ひどい音痴；野球音痴；メカ音痴；鳥音痴</t>
        </is>
      </c>
      <c r="H1263" t="n">
        <v>29</v>
      </c>
      <c r="I1263" t="inlineStr">
        <is>
          <t>そもそも音痴だし、行き慣れてないからシステムとかもよくわからないし。；私には、音痴の長官に音楽部門が効果的に運営できるとは思えませんな。；だが、機械音痴の紺野には、それがどういうことなのか、理解できない。；なお、本人は基本的に持ち歌を除けば音痴であるが、本人は気にしていない。；ぼくはぼくの音痴を育った環境のせいにしたが、あるいはそうでないのかも知れない。；ただしその歌声のせいで、これまで隠していた音痴がばれてしまった。；増して、機械音痴のインデックスから出てくるとは思えないものだ。；正しいメロディ・ラインを想像することもできないほどの、ひどい音痴です。；「鳥音痴だね」と僕が言うと「あなたが鳥博士なだけよ」と葉子は笑った。；絳攸は自分が絶望的な方向音痴だということを決して認めなかった。；こうした男と長年一緒にいて、野球音痴が音痴のままでいられるだろうか。；それで、音痴のくせに歌なんか歌わないほうがいいと、忠告する人もいた。；だからあたしは、自分が音痴なことも忘れて、コーラス部分を重ねて歌った。；音楽も、専門の智識は持つ機会がなかったけれど、音痴ではなかった。；私は相当にひどい音痴であるうえに、記憶力が悪く、歌詞がおぼえられない。；芸術音痴のミーコですら装飾品の放つ圧倒的な美に緊張を強いられる。；サッカー音痴のおれでも名前を知っている選手だった。；ケータイもPHSも持たない機械音痴にしてみれば、確かに嫌な時代であろう。；私はケータイは音痴だからよく知らないけれど、娘とか家でよくやってるのを見るよ。；実はアタシは音痴で、カメラの前で合唱なんてできっこないんだけどね。；この科学者が完全な音痴だと知って以来、ヴィクターをひどく嫌っていた。；音痴の人間が金を払ってくれるかもしれないので、皿をもって。；音楽のほうは金沢が音痴であるため、全然興味をもっていない。；その中に何故ウェラー卿の名が出てくるのかは、歴史音痴のおれには解決できそうにない疑問だった。；このようなケースも全てひっくるめて音痴と呼ぶようである。；ひどい音痴でしかも酔っているので、とても歌声なんてもんじゃなかった。；音痴の人が、正常より早く歌ってしまうということがないのはこのせいなのである。；たしかレコードも出している大音痴歌手でもありましたが、買ったのを昨日のことのように覚えています。；音痴のぼくは落第、別府へ戻って、原稿に追われ出したのが、この家だった。</t>
        </is>
      </c>
      <c r="J1263">
        <f>HYPERLINK("https://www.weblio.jp/content/音痴", "词义详情")</f>
        <v/>
      </c>
      <c r="K1263">
        <f>HYPERLINK("https://yourei.jp/音痴", "查看例句")</f>
        <v/>
      </c>
    </row>
    <row r="1264">
      <c r="A1264" t="inlineStr">
        <is>
          <t>御中</t>
        </is>
      </c>
      <c r="B1264" t="inlineStr">
        <is>
          <t>成功</t>
        </is>
      </c>
      <c r="C1264" t="inlineStr">
        <is>
          <t>読み方：おなか
１（「お腹」とも書く）腹を丁寧にいう語。もと女性語。「—が痛い」「—がすいた」
２飯・食事をいう女房詞。
３綿(わた)・真綿をいう女房詞。
４室町時代、武家の奥向きに仕えた女中の役名。中﨟(ちゅうろう)。</t>
        </is>
      </c>
      <c r="D1264" t="inlineStr">
        <is>
          <t>御中主(13%)；御中散(13%)；御中小姓(6%)</t>
        </is>
      </c>
      <c r="E1264" t="inlineStr">
        <is>
          <t>腹；胴；胃；腹部；お腹</t>
        </is>
      </c>
      <c r="F1264" t="inlineStr">
        <is>
          <t>天御中</t>
        </is>
      </c>
      <c r="G1264" t="inlineStr">
        <is>
          <t>御中﨟；御中道；御中元；御中虫</t>
        </is>
      </c>
      <c r="H1264" t="n">
        <v>29</v>
      </c>
      <c r="I1264" t="inlineStr">
        <is>
          <t>どちらでもよいように永山氏はただ大浦天主堂御中という指名にされてある。；それに御中と書き加えてないのが半分あった。；忠実さを評価されて、抜擢されて侍御中散となり、鞏県侯の爵位を受けた。；同時に執事なら〈御中〉ぐらいは書きそうなものだとも思う。；局への投書のなかで、ある学校の児童たちからのはがきだけはみな「御中」と書き加えてあったのである。；殿下を御中に一同再び記念の撮影をする。；建久元年に源頼朝が上洛した際に堀親家が御中物奉行に任じられたのが最古の例である。；はじめ御国許のつとめだったのが、のちに江戸詰めとなったのだそうで、私は芝愛宕下の御中屋敷で生れた。；ペン字のくせに一字一画ゆるがせにしない筆法極めて正確な楷書で、なにがし商店御中とある。；侍御中散の王橋と賈氏のあいだの子として生まれた。；御中言だが、僕なんぞはあんな本は、そんなに幾種類も翻譯本を出して流布させたくはないね。；最初に自然発生した神は、天の御中主命、高御産巣日神、神産巣日神の三神です。；名は御中とも記される。；氏は御中とも記される。；その独化神は、盖しかの天御中主ノ神と、同一視す可きものなり。；何回も書いたことだが、いまだに「御中」の使い方を知らぬのが、あとをたたぬ。；ただし、天御中主から彥瀲までの世数は宋史日本伝では「二十三世」であり、全ての名前が列挙されて数も合っているため、「三十二世」は二と三を取り違えた可能性が高い。；曹爽の失脚後は中央に復帰して、御史中丞・御中廷尉となった。；以上のとおり天御中主から彥瀲までの32世、天皇は神武天皇以下皇極天皇まで列挙されている。；一、以上の三神は其御活動に由りて種々の名義あれども、三位一体にして天之御中主の大神御一柱に帰着するのである。；ただし遅速はおいて、複写して、夫人の御人々御中に返したてまつるべき事は言うまでもなかろう。；それはとにかく「あて名のなんとか係には御中を書き加えろ」ぐらいは、理屈ぬきで教えておくべきだろう。；会社宛ての手紙には「御中」を会社名の後につける。；そのかたは御中とついてないのは独断で除き、残ったうちから抽選で入場券を発送した。；また神代の巻の物語を、事実の伝説化せられたものとして、すべてが解釈せられるかどうか、例えば葦芽の如く萌えあがるものによって神が生まれたとあり、最初に天の御中主の神の如きがあるというようなことは、如何なる事実の伝説化せられたものであるか、というと、それは何とも説かれていない。；それに蔵の中の二千両、あとは店やら奥から持出して五千両に纏め、番頭の嘉助に丁稚を二人、鳶頭までつけて、細川様御中屋敷に送ってやりました。；事前連絡もせず、直接出版社に「編集部御中」として送りつける執筆者もいるが、この方法では出版は難しい。；なお、御中居は公方の身の回りの世話をする下級武士。；はてはあの御中屋敷の隅の、伐り払われた楢の林のことまで想いだして、緊めつけられるような寂しさに幾たびも泣いた。</t>
        </is>
      </c>
      <c r="J1264">
        <f>HYPERLINK("https://www.weblio.jp/content/御中", "词义详情")</f>
        <v/>
      </c>
      <c r="K1264">
        <f>HYPERLINK("https://yourei.jp/御中", "查看例句")</f>
        <v/>
      </c>
    </row>
    <row r="1265">
      <c r="A1265" t="inlineStr">
        <is>
          <t>温度</t>
        </is>
      </c>
      <c r="B1265" t="inlineStr">
        <is>
          <t>成功</t>
        </is>
      </c>
      <c r="C1265" t="inlineStr">
        <is>
          <t>読み方：おんど
物体のあたたかさ・冷たさを示す尺度。熱力学的には物体中の分子や原子の平均運動エネルギーに比例した量を示す。普通の温度計ではセ氏温度やカ氏温度による目盛りがつけられ、熱力学では絶対温度が用いられる。</t>
        </is>
      </c>
      <c r="D1265" t="inlineStr">
        <is>
          <t>温度変化(3%)；温度上昇(2%)；温度管理；温度調節；温度範囲</t>
        </is>
      </c>
      <c r="E1265" t="inlineStr">
        <is>
          <t>気温；体温；熱度</t>
        </is>
      </c>
      <c r="F1265" t="inlineStr">
        <is>
          <t>高い温度；低い温度；同じ温度；路面温度；高温度</t>
        </is>
      </c>
      <c r="G1265" t="inlineStr">
        <is>
          <t>温度計；温度勾配；温度目盛り；温度躍層；温度調節器</t>
        </is>
      </c>
      <c r="H1265" t="n">
        <v>29</v>
      </c>
      <c r="I1265" t="inlineStr">
        <is>
          <t>しかし絶対零度より低い温度を持つ物体はないのでこれは不可能である。；温度依存性を考えない形の関係式は構成方程式と呼ばれることもある。；温度の増加に伴う種種の性質の変化は螺旋構造の崩壊の進行に比例する。；表水層と深水層との間には水温躍層と呼ばれる温度変化の大きい層がある。；また光や温度以上にワインを変化させてしまうのは空気である。；これらの実験により温度と熱が異なる概念であることが確立された。；その大きさは同じ温度ならばイオンの方が電子よりはるかに大きい。；この式は現在、ある温度での飽和蒸気圧を求めるときなどで使われている。；地球内部の温度は深くなるにしたがって上昇し、また圧力も上昇する。；適度な温度や十分な時間や酸素がないと納豆にならず煮豆のままとなる。；周囲の温度が2度程度低いことからこれは高気圧性の嵐と考えられる。；かつては温度と熱の概念の区別が明確にされていなかった。；大気は、温度変化を基準にして、鉛直方向に4つの層に区分されている。；一定圧力下で常温の水をゆっくり加熱すると、ある温度で蒸気に変わる。；停電が発生すると温度が安定するまで数時間かかることがあった。；任意の物理系の温度はその系を構成する粒子の運動と関連している。；ひとつは強い衝撃を加えた時、もうひとつは急激に温度を変化させた時である。；粘弾性緩和の原因は各温度で高分子鎖の分子運動 が異なるためである。；そしてイオン温度は室温に近く、電子温度は数千度であることが多い。；床下に設けられた換気扇で空気の流れを作ることで、温度管理をする。；高度が高い場所では大気圧が低くなるため、水は低い温度で沸騰する。；すなわち温度とはエネルギーが自然に移動していく方向を示す指標であるといえる。；多くの物質にとって、与えられた温度での電気抵抗 R は一定である。；そのため火の周囲の温度が低下すれば火は消えやすい。；これらの鉱物は、形成する温度圧力条件が決まっているものが多い。；コンクリートで覆われたビルの屋上は、その性質のために温度が高い。；弾性的性質は温度によって変化するので解析時には注意が必要である。；これはある温度以下では摂動論が破綻するということを意味している。；温度の観点からは最も制限がきついが、制限内では十分正確な予測が可能である。</t>
        </is>
      </c>
      <c r="J1265">
        <f>HYPERLINK("https://www.weblio.jp/content/温度", "词义详情")</f>
        <v/>
      </c>
      <c r="K1265">
        <f>HYPERLINK("https://yourei.jp/温度", "查看例句")</f>
        <v/>
      </c>
    </row>
    <row r="1266">
      <c r="A1266" t="inlineStr">
        <is>
          <t>女</t>
        </is>
      </c>
      <c r="B1266" t="inlineStr">
        <is>
          <t>成功</t>
        </is>
      </c>
      <c r="C1266" t="inlineStr">
        <is>
          <t>読み方：おうな
《「おみな（女）」の音変化》おんな。特に、若い女性。
「強からぬは—の歌なればなるべし」〈古今・仮名序〉</t>
        </is>
      </c>
      <c r="D1266" t="inlineStr">
        <is>
          <t>女たち(5%)；女主人；女ども；女奴隷；女友だち</t>
        </is>
      </c>
      <c r="E1266" t="inlineStr">
        <is>
          <t>娘；女性；妻；室；夫人</t>
        </is>
      </c>
      <c r="F1266" t="inlineStr">
        <is>
          <t>三女；美しい女；遊女；四女；どんな女</t>
        </is>
      </c>
      <c r="G1266" t="inlineStr">
        <is>
          <t>女子；女の子；女優；女房；女中</t>
        </is>
      </c>
      <c r="H1266" t="n">
        <v>29</v>
      </c>
      <c r="I1266" t="inlineStr">
        <is>
          <t>巡査はしばらく前からここにいるが、通ったのは一人の女だけと答える。；本作では女学校時代から番外編まで、この言葉が重要な鍵となっている。；彼は必要以上に金を持っており、望みのままに女たちを手に入れた。；これを捕まえようとしたその時、大きな雷が鳴り響き、女の姿は消えた。；その女たちの中には、彼の母アガウエーや伯母イーノーも含まれていた。；他の女と一緒に住むと、そのうちに怒りだし、毒を吐いてしまうでしょう。；そのため、本来は女である白雪姫までも男の工藤が担当することになった。；北辰一刀流の薙刀術は女使いを主にしていたので小振りの薙刀を用いた。；佐官級の兵士が東京丸の内警察署に来て「女を世話しろ」などと求めた。；エンゲルスはスイスに亡命し、女と酒に溺れる日々を送るようになった。；ひばりは学校では女で通しており、ごく一部の者以外はその秘密を知らない。；女中は料理女と馭者を呼びに行ったが、まだ激しい口論は続いていた。；金の量が足りなかった者は、男だろうと女だろうと手首が斬り落とされた。；すると、侍女を連れた二十歳ばかりの女がやはり雨宿りに入ってきた。；この往復路で女・子供・老人を含めた数百人のナバホの民が死んだ。；この結婚は、結婚以外に道のない女と結婚のチャンスのない男の結婚であった。；地上で肉身を持つ場合、ある者は男、またある者は女の姿を取る。；以下に筑紫国造の墓と関係すると思われる八女古墳群中の古墳を記載する。；日没とともにかの女は息絶え、フーリンは妻のために墓を作って去った。；正式に結婚したフランス王女ジゼルとの間の子女は確認されていない。；恒子に女は男衆が食事を済ませてから頂く、この辺の習慣だと言われる。；女尊男卑する文化と建物構造も女重視で男軽視の構造になっている。；つまり、歌垣に出てくる皇子も女も、全く別の設定になっているのである。；皇后アウグステ・ヴィクトリアとの間には、以下の六男一女をもうけた。；朝鮮では男の奴隷を奴、女の奴隷を婢と呼び、あわせて奴婢といった。；ハルピュイアイはタウマースの娘たちで、女の頭部に鳥の体を持っていた。；それまでの英主が愚君に変貌して女と酒に溺れて朝政を顧みなくなった。；また、女のメロウが人間の男と結婚し、子供を産むこともあるという。；赴任先へ向かう途中の汽車で速水は自殺しようとしていた女を助ける。</t>
        </is>
      </c>
      <c r="J1266">
        <f>HYPERLINK("https://www.weblio.jp/content/女", "词义详情")</f>
        <v/>
      </c>
      <c r="K1266">
        <f>HYPERLINK("https://yourei.jp/女", "查看例句")</f>
        <v/>
      </c>
    </row>
    <row r="1267">
      <c r="A1267" t="inlineStr">
        <is>
          <t>おんぶ</t>
        </is>
      </c>
      <c r="B1267" t="inlineStr">
        <is>
          <t>成功</t>
        </is>
      </c>
      <c r="C1267" t="inlineStr">
        <is>
          <t>読み方：おんぶ
［名］(スル)《動詞「おぶう」の音変化から》
１子供などを背負うこと、また、背負われることをいう幼児語。「赤ん坊を—する」
２他人の援助を受けること。特に金銭面で他に頼ること。「経費はすべて寄付に—する」</t>
        </is>
      </c>
      <c r="D1267" t="inlineStr">
        <is>
          <t>おんぶする(7%)；おんぶ紐</t>
        </is>
      </c>
      <c r="G1267" t="inlineStr">
        <is>
          <t>おんぶおばけ</t>
        </is>
      </c>
      <c r="H1267" t="n">
        <v>29</v>
      </c>
      <c r="I1267" t="inlineStr">
        <is>
          <t>夜どおしおんぶして、家の横の小さな公園を歩きまわってやったんだぞ。；発作を起こしたゆり絵をおんぶして歩いたことは、一度や二度ではない。；お母さんになったことのある女は背中におんぶした形が残るのよ。；お茶を飲んで、食事をして、キスをして、ついでにおんぶしてもらった。；歩けなくなれば、二人で交互におんぶして帰ろうと思ったようでもある。；主人が男の子をおんぶして、奥さんは女の子の手を引いています。；男先生はついていくことになり、おなご先生をおんぶして船にのった。；「おんぶして」 と聞こえたかと思うと、背中にずしりと重みを感じた。；この友人は夫婦で会社を作って以来、えべっさんをおんぶし続けているそう。；女の子をおんぶした一穂さんが出てきて、廃業だと言っていると苦笑した。；彼は何千回となくぼくをおんぶしてくれたものだった。；新6年生は新1年生をおんぶしたまま、児童たちの輪の周りを一周する。；男先生はついてゆくことになり、女先生をおんぶして舟にのった。；おまけにそのなりで赤ん坊になった啓太をたすきがけにおんぶしている。；ずっと前にも誠一を妻がおんぶしてあのあたりに花見に行ったことがあったなあ。；一番上の兄をおんぶして、おむつの中にビラを隠して運んだそうよ。；おかみさんが子供をおんぶしながら私をその三橋の売場まで連れて行ってくれた。；ちなみに現在の中国では、子供をおんぶするのは南方地域に限られているようだ。；これが何度も繰り返され、気がつくと、まだ死体をおんぶしている。；逆に元の身体に戻ったら、オレがお前をおんぶしてやっからな。；この犯人は眠っている被害者をおんぶして東屋に来たんだ。；で、おんぶをして、わたしはひとりで赤坂のお医者へ出かけて行った。；さっき俊夫におんぶされたため、着物の裾をまくり上げたままである。；その男に、犯人は館までおんぶしてもらって帰るんすよ。；乳児をおんぶする場合、成長して首が据わってから行う必要がある。；母親は彼が背中におんぶしていた生き物を、電灯の下で見てびっくり仰天した。；まず、タレントの人気におんぶするというタイプが、かなり多かった。；そんなわだしに子供をおんぶしなおしてくれたのも、あのひげの駐在さんだった。；しかも、武器の大事なところは日本のハイテク技術におんぶしなければならない。</t>
        </is>
      </c>
      <c r="J1267">
        <f>HYPERLINK("https://www.weblio.jp/content/おんぶ", "词义详情")</f>
        <v/>
      </c>
      <c r="K1267">
        <f>HYPERLINK("https://yourei.jp/おんぶ", "查看例句")</f>
        <v/>
      </c>
    </row>
    <row r="1268">
      <c r="A1268" t="inlineStr">
        <is>
          <t>温和</t>
        </is>
      </c>
      <c r="B1268" t="inlineStr">
        <is>
          <t>成功</t>
        </is>
      </c>
      <c r="C1268" t="inlineStr">
        <is>
          <t>読み方：おんわ
［名・形動］
１（温和）気候が暖かで、厳しい変化のないこと。また、そのさま。「—な土地」
２性質などが、落ち着いていて、優しく穏やかなこと。また、そのさま。「—な人柄」
３物事が、かど立たず人に受け入れられやすいこと。また、そのさま。「—な表現に改める」</t>
        </is>
      </c>
      <c r="D1268" t="inlineStr">
        <is>
          <t>温和な性格(6%)；温和しく(4%)；温和しい(3%)；温和な気候(3%)；温和な顔</t>
        </is>
      </c>
      <c r="E1268" t="inlineStr">
        <is>
          <t>ソフト；穏やか；優しい；柔らかい；落ち着いた</t>
        </is>
      </c>
      <c r="F1268" t="inlineStr">
        <is>
          <t>温和な条件下；温和な風貌；温和で優しく；温和な顔立ち；温和な紳士</t>
        </is>
      </c>
      <c r="G1268" t="inlineStr">
        <is>
          <t>温和丁寧</t>
        </is>
      </c>
      <c r="H1268" t="n">
        <v>29</v>
      </c>
      <c r="I1268" t="inlineStr">
        <is>
          <t>いつもなら温和な笑顔を思わせる細い目には当惑の感情が浮かんでいた。；温和な小山がしきりに嫌な感じの男だと言っていたのが気になって来る。；それからその性質はちょっと見るとごく温和でなかなか愛嬌があるです。；人間に育てられたことから性質は温和であり、人間には危害を加えない。；二人共どちらかというと温和な方で、文学が好きで、感傷的だったのだ。；しかし眼の前には、ものわかり良さそうな温和な人物が腰かけていた。；更に温和なので他魚との混泳も同程度のサイズの魚となら問題ない。；ダンス好きで音楽好きで、強い性格を温和な態度で包んでいる紳士だった。；性格は極めて温和で常に人を気遣うほどであったと伝えられている。；今こそ寛大温和がどんなによい結果をもたらすかを、お試みなさいませ。；それが、勝利ののちには平和的な、温和な愛情に変質し得るものだろうか。；すべてが自然らしく思われ、温和な気にほとんど充ちてるらしく思われた。；そこにこそ、一八三〇年の革命の光輝があり、またその温和さがある。；この生き物は温和な性格だとか、親は子のために命を投げ出すはずだとか。；眼鏡をかけた温和そうな顔は、いかにも力仕事に縁のなさそうなタイプだ。；繋養されていた牧場の関係者は、性格が温和な馬であったと証言している。；東アジアでは、北海道など比較的温和な地方に限り米の生産も行われている。；性質は温和なため、同程度のサイズの魚となら混泳しても問題ない。；彼はジャヴェルをも他のすべての人と同じく平気で温和に取り扱っていた。；けれども一体どうしたのかあの温和しい穂吉の形が見えませんでした。；どうやら瑞希さんの好きな人は温和で明るくて楽しい人のようですね。；温和で現状に満足するような生きかたは、伯爵以下の者なら許されるであろう。；最後に、小肥りの温和な風貌の男が立って自作の送別文を読みはじめた。；老教授は黙々と、いつもの温和な態度で、最後まで聞いてから言った。；あんな温和しいいい娘が殺されるなんて、誰が殺したんでしょうか。；今日はいつになく温和な顏をして居たが、それでも富之助には不安であつた。；そして清国人と接する時は温和で、しかも商人風であれと指導した。；温和しくて、天候の挨拶をするにも顔が赤くなる、ということであった。；性質も温和なので、同程度のサイズの魚となら問題なく混泳できる。</t>
        </is>
      </c>
      <c r="J1268">
        <f>HYPERLINK("https://www.weblio.jp/content/温和", "词义详情")</f>
        <v/>
      </c>
      <c r="K1268">
        <f>HYPERLINK("https://yourei.jp/温和", "查看例句")</f>
        <v/>
      </c>
    </row>
    <row r="1269">
      <c r="A1269" t="inlineStr">
        <is>
          <t>課</t>
        </is>
      </c>
      <c r="B1269" t="inlineStr">
        <is>
          <t>成功</t>
        </is>
      </c>
      <c r="C1269" t="inlineStr">
        <is>
          <t>読み方：か
［音］カ（クヮ）（呉）（漢）
［学習漢字］4年
１仕事・勉強・税などを義務として割り当てる。「課業・課税・課題・課徴金／公課・賦課」
２割り当てられた仕事や勉強。「課外・課程・課目／学課・正課・日課・放課後」
３官庁や会社の事務の一区分。「課長／庶務課」</t>
        </is>
      </c>
      <c r="D1269" t="inlineStr">
        <is>
          <t>課勤務；課課長補佐；課職員；課企画；課配属</t>
        </is>
      </c>
      <c r="E1269" t="inlineStr">
        <is>
          <t>部；局；部門；学部；レッスン</t>
        </is>
      </c>
      <c r="F1269" t="inlineStr">
        <is>
          <t>二課；作戦課；企画課；秘書課；三課</t>
        </is>
      </c>
      <c r="G1269" t="inlineStr">
        <is>
          <t>課長；課程；課せ；課税；課し</t>
        </is>
      </c>
      <c r="H1269" t="n">
        <v>29</v>
      </c>
      <c r="I1269" t="inlineStr">
        <is>
          <t>そして翌日の11月1日に管理事務所を土木部監理課の所属機関とした。；復活した9課が前と同じように事件捜査にあたるシーンで物語は終わる。；殺人課への通報に対応した刑事が自動的にその事件を担当する事となるのだ。；秋田県では県職業安定課や各地の職業安定所の職員が列車に同乗していた。；このうち公安部門は公安第一課から第三課までと外事課の計四課である。；外交員警護課の武装した警官が警備員と共に本部の周囲を巡回している。；課の規模は、その組織によって数名から百名近くまでまちまちである。；専修学校での活躍は、文部省専門学務局内記課に勤めていたころである。；後藤以外、第2作に輪をかけて泉や遊馬を含む特車二課の出番は少ない。；組織の規模は図書館の規模に応じて部、課、室、係など様々である。；制作部は10のスタジオとシステム管理・開発課で構成されている。；この合成技術の指導には、東宝の特殊技術課のスタッフにも師事したという。；交付を受けたい者は、市役所の市民生活部納税課で受けることができる。；時効管理課にかかっている黒板には、毎回様々なことが書かれている。；スクラップ課の課長、課員の関係となり、毎日のように一緒に酒を飲んだ。；特にDH課と衝突を繰り返している事から複数の亜人種が所属していると思われる。；対してフランスは4本でしかも鉄道ダイヤを調整する鉄道課が存在しなかった。；また、鈴木建設の外観や営業三課の内装も作品ごとに異なっている。；その後作戦課へ報告されたが、省みられることがなかったという。；管理課は連合国管理機構の一部であって、軍政府職員で構成された。；総務課には企画官が2名、金融危機管理課には企画官が1名置かれた。；船舶課を有しており、日本に4つ残った水上警察署の一つでもあった。；こうして、後に非難と賞賛を浴びる特車二課第二小隊が発足したのだった。；日本帰任後の1998年には、国際情報局分析第一課主任分析官となる。；総務部危機管理室と総合政策対策部コミュニティ推進課が運営している。；この人造岩は観光課の要望でそのまま残され、その後は観光地となっていた。；同社小山工場業務課に配属され、シャッター製造業務に従事している。；パネルは管理課の監督下におかれ、ドイツ人専門家で構成されようとしていた。；これに大きく関わっていたのは大日本帝国海軍軍務局第一課である。</t>
        </is>
      </c>
      <c r="J1269">
        <f>HYPERLINK("https://www.weblio.jp/content/課", "词义详情")</f>
        <v/>
      </c>
      <c r="K1269">
        <f>HYPERLINK("https://yourei.jp/課", "查看例句")</f>
        <v/>
      </c>
    </row>
    <row r="1270">
      <c r="A1270" t="inlineStr">
        <is>
          <t>蚊</t>
        </is>
      </c>
      <c r="B1270" t="inlineStr">
        <is>
          <t>成功</t>
        </is>
      </c>
      <c r="C1270" t="inlineStr">
        <is>
          <t>読み方：か
双翅(そうし)目カ科の昆虫の総称。体や脚は細く、翅(はね)も細くて2枚あり、吻(ふん)が発達し針状。飛ぶときは毎秒2000回以上も翅を動かすため、羽音の周波数は高い。雌は人畜を刺し血を吸う。水面に産みつけた卵からかえった幼虫は水中にすみ、ぼうふらとよばれる。さなぎは勾玉(まがたま)形をしていて、鬼ぼうふらとよばれる。主に夏に成虫になる。イエカ・ハマダラカ・ヤブカなど種類が多く、アカイエカは日本脳炎を、ハマダラカはマラリアを媒介する。《季夏》「叩かれて昼の—を吐く木魚かな／漱石」</t>
        </is>
      </c>
      <c r="D1270" t="inlineStr">
        <is>
          <t>蚊やり(2%)；蚊遣り；蚊媛；蚊針；蚊帖</t>
        </is>
      </c>
      <c r="F1270" t="inlineStr">
        <is>
          <t>媒介する蚊；媒介蚊；ひどい蚊；蚊龍；蚊うなり</t>
        </is>
      </c>
      <c r="G1270" t="inlineStr">
        <is>
          <t>蚊帳の外；蚊取り線香；蚊柱；蚊取線香；蚊屋</t>
        </is>
      </c>
      <c r="H1270" t="n">
        <v>29</v>
      </c>
      <c r="I1270" t="inlineStr">
        <is>
          <t>考えて見るとどうも蚊針なるものを深淵に沈めて魚をつるとは変である。；蚊どもは、死者のための水の中から、幾百万となく生まれてくるのである。；こうやって書いていて蚊やりをつけていないのに気になるほどの蚊がいない。；立ち迷うている間にふと縁先の蚊遣りの燃え残っているのが眼についた。；蓋がない開放構造にするとボウフラが沸き蚊の発生源になる場合が多い。；ホテルは蚊を防ぐために厳重に金網でおおわれた白い大きな建物だった。；雷が鳴り出すと、蚊幮の中に坐して酒を呼ぶことにしていたそうである。；白井さんも蚊細い方だし奥さんの方も薬の絶え間がないんですからね。；また最近では、山腹部を中心に蚊の繁殖が顕著に見られるようになった。；蚊のほうは、わざわざ音をたてて逸早く知らせてくれるではありませんか?；同時に、蚊がぶんぶんと自分の体のまわりにたかって来るのを感じた。；妻はしゃがんだままで時々頬に来る蚊をたたき殺しながら泣いていた。；格闘することができるし、ほかの犬を、人間が蚊を殺すほど容易に殺した。；蚊がいなくなると十分に受粉できない植物が出てくることとなる。；だがその前に、流行地である八丈小島に生息する蚊を調査する必要があった。；河原の水たまりから蚊がたくさん発生して、学生の彼をひどく悩ませた。；蚊のなく声だけが空気のささやきのようにかすかに聞こえていた。；一体蚊を防ぐのが目的ならばもう少し目の粗い布を使ったらよさそうなものである。；落合君はもうその前から東山のマラリヤの蚊にやられていたのである。；「単なる蚊の刺した事件じゃったな」悪魔的な微笑が卿の顔を横切った。；じゃ、安南の諜報部長を電話に出してくれ、と蚊の鳴くような声でいう。；具体的には、感染した蚊に一度刺されただけで半数以上の個体が死亡した。；余程疲れたのか、殷雷の頬を叩く力は、蚊の一匹も潰せそうになかった。；俺のように坐って仕事をするものには蚊に喰われなくて可い。；また夜明け前後のあの時刻には、蚊はあまりいなかったように思う。；いくら小人島の蚊でもこんな細かい目を潜って侵入する奴はあるまい。；すべて蚊は人間の血をすふのはめすだけで、をすは人間にとまつても血はすひません。；蚊が一匹私の腕に止つてゐるのに、チクリとしたので気が附きました。；蚊が酷かったものの、不殺生戒があるため殺すこともできず悲惨だった。</t>
        </is>
      </c>
      <c r="J1270">
        <f>HYPERLINK("https://www.weblio.jp/content/蚊", "词义详情")</f>
        <v/>
      </c>
      <c r="K1270">
        <f>HYPERLINK("https://yourei.jp/蚊", "查看例句")</f>
        <v/>
      </c>
    </row>
    <row r="1271">
      <c r="A1271" t="inlineStr">
        <is>
          <t>ガーゼ</t>
        </is>
      </c>
      <c r="B1271" t="inlineStr">
        <is>
          <t>成功</t>
        </is>
      </c>
      <c r="C1271" t="inlineStr">
        <is>
          <t>読み方：がーぜ
織り目の粗い平織りの、柔らかい綿布。医療用や肌着・ハンカチーフなどに用いる。パレスチナの港町ガザ産の織物が用いられたところからの名という。</t>
        </is>
      </c>
      <c r="D1271" t="inlineStr">
        <is>
          <t>ガーゼを当て；ガーゼ交換；ガーゼ付きバンソウコウ；ガーゼ片；ガーゼタイプ</t>
        </is>
      </c>
      <c r="F1271" t="inlineStr">
        <is>
          <t>大きなガーゼ；大判のガーゼ付き；消毒ガーゼ；血痕ガーゼ；ガーゼ付き</t>
        </is>
      </c>
      <c r="G1271" t="inlineStr">
        <is>
          <t>ガーゼル；ガーゼオーマ</t>
        </is>
      </c>
      <c r="H1271" t="n">
        <v>29</v>
      </c>
      <c r="I1271" t="inlineStr">
        <is>
          <t>血が黒くこびりつき、ガーゼに包まれているのをわたしは黙って眺めた。；喉に当てたガーゼの下から現れたのは赤い湿疹のようなものだった。；ゴシップ記事で読んだ知識では、二人とも口にガーゼを含んで撮った由。；部下の手には、なにやらしめったガーゼのようなものがにぎられていた。；他にも、耳の裏から首の後ろにかけて、大きなガーゼを貼り付けてある。；男は頭にネットをかぶり、側頭部には大きなガーゼが当てられていた。；そのふとんの襟元から、ガーゼを頭に当てた小さな顔がのぞいていた。；どうやらガーゼやらバンソウコうやらで塗り固められているようだった。；保健室で最後にガーゼを交換したのは幾日前のことだったろう。；ガーゼで覆われた目を補うかのように、私の耳は敏感になっていた。；その動きに合わせて、はがれかけていた頬のガーゼがぷらぷらと揺れる。；そのようにして、彼らは白いガーゼが灰色になるまで使い込むのだ。；慎重にガーゼを戻して、パジャマのボタンをとめてから、由乃は言った。；私は薬局で買うたのは使わずに、原田さんに貰った薬やガーゼを使っていた。；リンは手渡されたガーゼのような布と石鹸で細かい泡をたくさん作った。；ガーゼに染み込んでいたのが、クロロホルムであることの証拠だった。；婆やがつけてくれたガーゼのマスクはとうに袂に入れてしまっていた。；ガーゼを噛んでいないところを見ると、歯は抜かれなかったようだ。；併し、再び困ったことに、私は、消毒ガーゼ類を全然用意していなかった。；先生と言ったつもりだが、口にガーゼをくわえているので、こういう声になる。；その上に材料を並べて、また一枚ガーゼをかけ、残り半分の漬床をのせる。；それでママはガーゼで小さい乳首を作ったが、それもだめであった。；看護手その他が繃帯・ガーゼ等などを抱へてどやどやと這入つて来る。；ガーゼなどの袋に入れて使用されることもある。；ぬるま湯を含んだガーゼで尻を刺激したり指で軽く叩くようにすると排泄を行う。；指の先でガーゼをつまんで彼は中を覗くと顔をくるしそうに歪めた。；傷口からはまだ血が流れ出ており、白いガーゼが見る見る赤くなってゆく。；形状はガーゼ状になっている物が主流である。；彼はガーゼに包まれた患部しか見なかったあの子供にも、また患者の病気にも特に関心があったわけではない。</t>
        </is>
      </c>
      <c r="J1271">
        <f>HYPERLINK("https://www.weblio.jp/content/ガーゼ", "词义详情")</f>
        <v/>
      </c>
      <c r="K1271">
        <f>HYPERLINK("https://yourei.jp/ガーゼ", "查看例句")</f>
        <v/>
      </c>
    </row>
    <row r="1272">
      <c r="A1272" t="inlineStr">
        <is>
          <t>カーナビ</t>
        </is>
      </c>
      <c r="B1272" t="inlineStr">
        <is>
          <t>成功</t>
        </is>
      </c>
      <c r="C1272" t="inlineStr">
        <is>
          <t>「カーナビゲーションシステム」の略。</t>
        </is>
      </c>
      <c r="D1272" t="inlineStr">
        <is>
          <t>カーナビ用(3%)；カーナビ等；カーナビ向け</t>
        </is>
      </c>
      <c r="F1272" t="inlineStr">
        <is>
          <t>純正カーナビ；対応カーナビ</t>
        </is>
      </c>
      <c r="G1272" t="inlineStr">
        <is>
          <t>カーナビゲーションシステム；カーナビラジオ；カーナビーツ；カーナビラジオ午後一番</t>
        </is>
      </c>
      <c r="H1272" t="n">
        <v>29</v>
      </c>
      <c r="I1272" t="inlineStr">
        <is>
          <t>その高速処理速度ゆえに近年の自動車カーナビのほとんどに搭載されている。；運転にはカーナビが必要だろうけどなあ、捜査には地図が必需品なんだよ。；また、カーナビや地図での案内にも使用することが想定されている。；カーナビ用に用いられる電子地図の表示と案内のシステムは次の機能を持つのが一般的である。；カーナビで行く先が保証されていなければ、とても進む気にはなれそうにない。；GPSカーナビが、録音された女性の声で目的地に到着した旨を伝えてくる。；問題のカーナビ画面には、報告通り赤い円が表示されていた。；現在地が中伊豆山中であることを示していたカーナビの画面も消えた。；カーナビメーカーにお勤めの方、 是非この遊び機能を標準装備してもらいたい。；一部のカーナビやビデオカメラ、PNDでもSSDが使われ始めている。；これを背景に日本が世界に先駆けてカーナビを商品化した。；インセンティブは金銭以外にもカーナビやiPodを提供する場合もある。；パイオニアの系列会社だが、後にゲーム分野から撤退してカーナビソフトなどの開発をしている。；カーナビやセットトップボックスなどの中程度の能力をもったCPUを対象にする。；パナソニックのコンポやカーナビと連携することが可能であった。；いずれのメーカーもカーナビはもちろんのことスピーカーやアダプター類は販売。；民生用のカーナビ製品は日本での普及が最初であった。；カーナビからの自動音声は沈黙したままだったのだ。；カーナビやGPSロガーなどで移動軌跡や経路情報を記録する際に用いられる。；真嶋の自動車にはカーナビがなかったことが幸いした。；従前は短距離で県境をまたぐためカーナビなどでの告知が話題となっていた。；野々村の車にはカーナビがついていなかったので、カーナビの実物も初めて見る。；レンタカーにはカーナビが付いていたから、それが何という県の何という地名の場所なのかはわかっていた。；カーナビは、自車の位置を知ることと、自車の位置を基に目的地への道案内をするのが主な機能である。；カーナビを頼りに車を走らせ続けた僕がその町に着いたのは、もう太陽が随分と西に傾いた頃だった。；カーナビは俺が示した通りの道順を表示した。；カーナビのように既存の地図上でのGPSを用いた自己位置推定とは異なり、地図の存在しない屋内などの環境でも自己位置推定が行える。；航空以外の分野でも、例えばビル街でのカーナビの精度向上にも役立つと考えられている。；受けられるサービスは、カーナビの世代ごとに異なる。</t>
        </is>
      </c>
      <c r="J1272">
        <f>HYPERLINK("https://www.weblio.jp/content/カーナビ", "词义详情")</f>
        <v/>
      </c>
      <c r="K1272">
        <f>HYPERLINK("https://yourei.jp/カーナビ", "查看例句")</f>
        <v/>
      </c>
    </row>
    <row r="1273">
      <c r="A1273" t="inlineStr">
        <is>
          <t>改悪</t>
        </is>
      </c>
      <c r="B1273" t="inlineStr">
        <is>
          <t>成功</t>
        </is>
      </c>
      <c r="C1273" t="inlineStr">
        <is>
          <t>読み方：かいあく
［名］(スル)物事を改めて、かえって悪くすること。「独断専行で規約を—する」⇔改善。</t>
        </is>
      </c>
      <c r="D1273" t="inlineStr">
        <is>
          <t>改悪反対(7%)</t>
        </is>
      </c>
      <c r="E1273" t="inlineStr">
        <is>
          <t>悪化；腐敗；変質；頽廃；退廃</t>
        </is>
      </c>
      <c r="F1273" t="inlineStr">
        <is>
          <t>番組改悪</t>
        </is>
      </c>
      <c r="H1273" t="n">
        <v>29</v>
      </c>
      <c r="I1273" t="inlineStr">
        <is>
          <t>自分ではこれでいいと思っているのだからその手直しはかえって改悪になる。；内地から指導者を呼んだ場合にはたいていの場合改良でなくて改悪になっている。；汚され改悪されて、ただの平凡な奇術になってしまうのが目に見えている。；われわれは昨年警職法改悪の意図を粉砕した経験と成果をもっている。；社会的実践上の必要から、改良された事も改悪された事もない。；お前も杢助の女房となつた以上は、も一段改悪せなくては駄目だよ。；足がないのは「アシがつかないよう」に遺伝子改悪されているため。；松岡 今度の米案は第一案より改悪であるからこれを引きもどすことは困難である。；「臓器移植法改悪に反対する市民ネットワーク」を発展させた運動団体である。；だが、変えなくてもよい記号まで変わり、しかも中には改正ではなくて改悪と思われるものもかなりある。；しかし、改訂本が改悪本となることを、いちばん知っていたのは彼自身であったはずだ。；もし、よくあることだが、彼が内容を人に借りた上に、その形態を改悪していたとすればどうしたらよかろうか。；わたしの判断はわたしの他の諸部分を思うように改善することもできない代り、みずからがそれらのために改悪せられることもない。；この高姫がうまく仕込んでやれば、完全に改悪して立派なウラナイ教の宣伝使になるだらう。；さうしたら、チツとはお前も改悪して胸が落着くであらう。；ススス素直に改悪致して、此方の云ひ分についたが汝の身の為であらう。；昔のこのホテルを愛していた連中は、これでは改悪で、ことによるとメチャメチャになつてしまう、と言いたがつていた。；恐らく凝りに凝ったユーモアのつもりなのだろうが、これはどう考えても改悪である。；ぼくは八五年四月の改悪番組の時点で、FMチューナーのコードを引きちぎった。；一九三三年は前年に治安維持法が改悪されて、そのために進歩的な文化全面に、激しい動揺が生じていた。；さらに、この解析は改悪が加算性白色ガウス雑音のみであるシステムに基づいている。；設立時には著作権法改悪反対に特化する政治運動であった。；そのため、国庫制度が制定されたが、これはオスマン帝国時代のものとほとんど同じもので場合によっては改悪されていた。；ここでは八木は、もう地名改悪反対や、東南アジア留学生支援のことなど考えなくてもよい。；善悪対立と四大霊の導入は、批判者からは「師のコズミック・ホラーをまるで理解していない改悪」と痛烈な非難をされることさえある。；現代においてシャルク版は、原典版を無視した改悪との批判を受けているが、これは当時の状況に合わせてシャルクなりにブルックナーを普及させようとして行ったものであると考えられる。；こう見てくると、各自動車会社は、この昭和七年以後、何かの陰謀で、これらの車を年々少しずつ改悪して行ったのではないかと思えるほど、立派な車ばかりである。；現行法成立に反対した者は、現行法を「改悪教育基本法」と呼称する場合がある。；このあと、フェンダー社はCBS傘下になるのだが、世間では「改悪」と呼ばれている変更を受けてしまう。</t>
        </is>
      </c>
      <c r="J1273">
        <f>HYPERLINK("https://www.weblio.jp/content/改悪", "词义详情")</f>
        <v/>
      </c>
      <c r="K1273">
        <f>HYPERLINK("https://yourei.jp/改悪", "查看例句")</f>
        <v/>
      </c>
    </row>
    <row r="1274">
      <c r="A1274" t="inlineStr">
        <is>
          <t>買い入れる</t>
        </is>
      </c>
      <c r="B1274" t="inlineStr">
        <is>
          <t>成功</t>
        </is>
      </c>
      <c r="C1274" t="inlineStr">
        <is>
          <t>読み方：かいいれる
［動ラ下一］［文］かひい・る［ラ下二］代金を支払って品物を自分のものとする。「新型の電化製品を—・れる」</t>
        </is>
      </c>
      <c r="D1274" t="inlineStr">
        <is>
          <t>購入；買収；買う；買い取り；購買</t>
        </is>
      </c>
      <c r="H1274" t="n">
        <v>29</v>
      </c>
      <c r="I1274" t="inlineStr">
        <is>
          <t>新しいスピンディジーを買い入れることのできるほどの物は手元にある。；二人は丘の上に古い家を買い入れると、手荷物をさげてそこに移った。；中央銀行が直接国債を買い入れる政策が検討され、過去に実施されている。；煙草茎は殺虫剤などを作るために買い入れる業者がいたのであろう。；司法官の職を買い入れると同時に領地も買い入れ、貴族の資格を買った。；これにより調達した円資金を外国為替市場で売却し、ドルを買い入れる。；二、琉球王の名儀をもって、フランスから蒸気船二隻を買い入れること。；ここでは買い入れるばかりで、売るものはなにもないようでした。；アシニアを受け取った者は教会財産を買い入れることができた。；したがって彼と彼女を買い入れる人間は、まずお金に不自由はしていないと見ていいだろう。；ついには倍になったが、それでも買い入れるのをやめない。；米と味噌が少し不足して来たので、是非ともそれ丈買い入れる必要があった。；事実、多くの場合、何を買っても大人のようには安く買い入れることができなかったようであった。；全国的な反対運動のために増税は成功せず、公債を買い入れる者もいなくなった。；鉄砲も火薬も、この堺の町人たちの手を経なければ買い入れることもならぬ。；一五九七年 三三歳 ストラットフォード第一の邸宅を六十ポンドで買い入れる。；時たま彼は村へ出てパンを買い入れることもあった。；船は周防三田尻に入り、水など買い入れるためにしばし錨を下ろした。；そのうえ、海への通路も開かれているから、海外から必要なものを買い入れることもできる。；われわれには、新しい機関を買い入れる金がない。；城砦で使っている純粋のオリーブ油は手に入らない、ネラトから買い入れるものだからだ。；ブドウを外から買い入れるのではなく自ら温室で栽培する小規模ワイナリーも存在する。；政府はオテントサマ号を買い入れることになって、代金を支払った。；この際、必要なのは機関銃を買い入れる資金だけだ。；そうすると、世界に流通するコメの量は一三〇〇万トンで、日本が買い入れるコメの量が七〇〇万トンですから、半分以上を日本が一国で買い占めてしまう計算になる。；秋子のところでは自動車を買い入れるという勢ですもの。；この親方とは地所を買い入れるときに世話になった関係もあって、知り合いの間がらである。；鶴代の貰ってきた金は一台の荷車と、それに満載する野菜を買い入れるのにちょうどだった。；家を売却してさらに安い家に移転すれば問題は一時的には解決するが、果して鳩舎を設けられるような家を買い入れることができるかどうか疑わしかった。</t>
        </is>
      </c>
      <c r="J1274">
        <f>HYPERLINK("https://www.weblio.jp/content/買い入れる", "词义详情")</f>
        <v/>
      </c>
      <c r="K1274">
        <f>HYPERLINK("https://yourei.jp/買い入れる", "查看例句")</f>
        <v/>
      </c>
    </row>
    <row r="1275">
      <c r="A1275" t="inlineStr">
        <is>
          <t>海運</t>
        </is>
      </c>
      <c r="B1275" t="inlineStr">
        <is>
          <t>成功</t>
        </is>
      </c>
      <c r="C1275" t="inlineStr">
        <is>
          <t>読み方：かいうん
海上を航行する船舶によって旅客や貨物を運ぶこと。海上運送。海上運輸。海上交通。海上輸送。</t>
        </is>
      </c>
      <c r="D1275" t="inlineStr">
        <is>
          <t>海運業界(5%)；海運界(2%)；海運企業(2%)；海運事業；海運局</t>
        </is>
      </c>
      <c r="E1275" t="inlineStr">
        <is>
          <t>漕運；回漕；運漕</t>
        </is>
      </c>
      <c r="F1275" t="inlineStr">
        <is>
          <t>q海運；海運橋；銀河海運；運輸省海運；海運集約</t>
        </is>
      </c>
      <c r="G1275" t="inlineStr">
        <is>
          <t>海運業；海運業者；海運アライアンス；海運貨物取扱業者</t>
        </is>
      </c>
      <c r="H1275" t="n">
        <v>29</v>
      </c>
      <c r="I1275" t="inlineStr">
        <is>
          <t>他のヨーロッパの海運国もこの地域に目を向けて交易を開始していった。；アメリカ側は国際海運と保険の面でイギリスにだいぶ遅れをとっていた。；この土地には鉄道が通っていないため、歴史的に生産物は海運で運ばれた。；以来、海運の発達により昆布は徐々に人々の口に入るようになってきた。；イタリアでは独立した都市国家が、東方の海運貿易で豊かになっていた。；また海軍以外には銀行と造船・海運・漁業などの会社がいくつか存在する。；既に海禁政策を放棄していた清は1848年に海運を一部で導入した。；東日海運の本社があるビルの地下駐車場で社長の車をマークしてましてね。；案外どこかでロスチャイルドやQ海運につながっていないとも限らない。；小栗海運の小頭をしてる寅さんが、仕事の邪魔だって言うもんだからね。；この村が海運上の重要性を持ったきっかけは1847年の鉄道開通であった。；また横浜港と歴史的に繋がりの深い海運業界との関係深化も必要とされた。；移住の大規模化には、海運と通信の向上が大きな影響を与えた。；吉之助の長男・國定も父と決別し、海運の仕事がしたいと家を出てしまう。；南北戦争は英米海運戦および市場戦の上で決定的に英国を勝利させた。；オランダの海運業と海軍の大部分をノルウェー人とデーン人が占めた。；人口の密集度や産業の多さから古代より海運が発達していた。；セマフォール通信は、船舶、海運の世界では今日でも使われ続けている。；日本は周りが全て海に面しているために、世界的に見ても屈指の海運国である。；その後十年以上にわたって彼はアメリカ海運委員会において活動した。；現在のおれは海運事業の拡大に専念するのみ、と考えたのだろう。；世界の金・商品・長短期資本・海運・保険の諸取引はロンドンを中心市場とした。；現在の研究課題はヨーロッパ・日本における近代海運の発展過程。；この頃には既に館山湾周辺にて海運が行われていたとされる。；この地は城の北を浜街道が通り、また水運、海運も栄えた要衝であった。；地方ではあるが、世界の海運界では非常に有名な地名であり海事都市の一部を構成する。；また、海運の便もよく、20トン以内の船は直接海岸に横付けできた。；旅客船業界に係る各種団体の会長・委員等を務め、海運事業振興に努めた。；フランスの海運が衰退する1775年以降は次第に貿易が減少した。</t>
        </is>
      </c>
      <c r="J1275">
        <f>HYPERLINK("https://www.weblio.jp/content/海運", "词义详情")</f>
        <v/>
      </c>
      <c r="K1275">
        <f>HYPERLINK("https://yourei.jp/海運", "查看例句")</f>
        <v/>
      </c>
    </row>
    <row r="1276">
      <c r="A1276" t="inlineStr">
        <is>
          <t>開花</t>
        </is>
      </c>
      <c r="B1276" t="inlineStr">
        <is>
          <t>成功</t>
        </is>
      </c>
      <c r="C1276" t="inlineStr">
        <is>
          <t>読み方：かいか
［名］(スル)
１草木の花が咲くこと。「梅がいっせいに—する」
２物事が盛んになること。また、成果が現れること。「市民芸術の—」「日ごろの努力が—する」</t>
        </is>
      </c>
      <c r="D1276" t="inlineStr">
        <is>
          <t>開花する(14%)；開花期(6%)；開花時期(6%)；開花させる(4%)；開花後(2%)</t>
        </is>
      </c>
      <c r="E1276" t="inlineStr">
        <is>
          <t>成功；展開；繁栄；伸びる；振興</t>
        </is>
      </c>
      <c r="F1276" t="inlineStr">
        <is>
          <t>向かって開花；春に開花；才能開花；一斉開花；開花状況</t>
        </is>
      </c>
      <c r="G1276" t="inlineStr">
        <is>
          <t>開花山；開花駅</t>
        </is>
      </c>
      <c r="H1276" t="n">
        <v>29</v>
      </c>
      <c r="I1276" t="inlineStr">
        <is>
          <t>実生は条件の良い場所に定着すると3年程度で開花するまでに成長する。；確かに、異常に乾燥した温暖な冬であれば多くの植物が開花しなくなる。；こうして平安中期には国風文化と呼ばれる日本的な貴族文化が開花した。；全てではないが、多くの場合には一日のうちの早い時間帯に開花する。；開花直後はピンク色をしているが、徐々に色が抜けて白へと変化する。；花冠の内側より外側が色が濃く、開花しているものより蕾のほうが濃い。；しかし守備面での負担が軽減されたこともあって打撃面が一気に開花。；しかし、そこで金銭面を整理したのち会社は再び開花することになる。；桜の開花時期にはトンネル状になり列車が通り抜ける光景が人気を集める。；桜の開花の季節には駅の前にある大きな桜の木がライトアップされる。；花は戸外では夏から秋に咲くが、温室では温度が高ければ周年開花する。；しかし、近年は能力を開花させる者が少なく、本来の役割を果たしていない。；ごく小さな科で、開花期には花で覆われる美しい灌木になることで知られる。；春から秋にかけて開花するが、暖かい地域では年中花をつける例もある。；むしろ黄庭堅の革新的な芸術を開花させるに理想的な環境であったといえる。；日本の多くの地域では6〜10月頃に開花するが沖縄では周年開花する。；これがタウンゼントの作曲家の才能を開花させるきっかけとなった。；人工授粉も有効で、開花した直後の若い花に受粉することが重要とされる。；当時、26期にはデビュー直後から才能を開花させた逸材が多く存在した。；ふつう剪定はしないが、行う場合は開花後の早い時期がよいとされる。；彼は4歳の時に両親を研究所で殺され、怒りのあまりに能力を開花。；それぞれの開花時期には好撮影地となり、それを目的とした多くの人が来訪する。；開花することはあるものの、結実にまで至ることは非常に稀である。；この現象は開花終期の雌性の仏炎苞を切り裂いて観察することができる。；ファーブルがさまざまな不幸に打ち勝って開花していったことは事実である。；広島入団以降は素質を開花させ、1年目のからレギュラー外野手に定着。；種から育てた場合は開花まで約10年、その他の方法で約2年かかる。；夏に紫色の花を水上につけるが、開花しない閉鎖花を水中に多くつける。；そのため東京の「桜の開花発表」はこの標本木が咲いた時に行われている。</t>
        </is>
      </c>
      <c r="J1276">
        <f>HYPERLINK("https://www.weblio.jp/content/開花", "词义详情")</f>
        <v/>
      </c>
      <c r="K1276">
        <f>HYPERLINK("https://yourei.jp/開花", "查看例句")</f>
        <v/>
      </c>
    </row>
    <row r="1277">
      <c r="A1277" t="inlineStr">
        <is>
          <t>絵画</t>
        </is>
      </c>
      <c r="B1277" t="inlineStr">
        <is>
          <t>成功</t>
        </is>
      </c>
      <c r="C1277" t="inlineStr">
        <is>
          <t>読み方：かいが
造形美術の一。線や色彩で、物の形・姿を平面上に描き出したもの。絵。画。</t>
        </is>
      </c>
      <c r="D1277" t="inlineStr">
        <is>
          <t>絵画作品(3%)；絵画的(3%)；絵画制作；絵画展；絵画コレクション</t>
        </is>
      </c>
      <c r="E1277" t="inlineStr">
        <is>
          <t>絵；図；画；図面；図案</t>
        </is>
      </c>
      <c r="F1277" t="inlineStr">
        <is>
          <t>オランダ絵画；イタリア絵画；絵画学校；絵画彫刻；有名な絵画</t>
        </is>
      </c>
      <c r="G1277" t="inlineStr">
        <is>
          <t>絵画教室；絵画家；絵画芸術；絵画資料；絵画学科</t>
        </is>
      </c>
      <c r="H1277" t="n">
        <v>29</v>
      </c>
      <c r="I1277" t="inlineStr">
        <is>
          <t>絵画用として使用されるようになったのはこれよりさらに時代が下がる。；この技法で描いた絵画は壁や天井と一体化し、ほぼ永続的に保存される。；レオナルドは空気遠近法を絵画に取り入れた最初の画家の一人でもある。；地蔵菩薩を描いた絵画なども伝わっており、画才にも優れた人物だった。；しかし2003年にその絵画には400万ポンドの価値があるとされた。；草や藁など損傷しやすいものを絵画に使うようになったのもこの頃からである。；ドゥカーレ宮殿のために描かれた絵画で現存しているのは5点のみである。；女優になる前はヴァッサー大学で絵画を学び、パリに滞在したこともある。；著名な絵画や人物像、ゲームや漫画の登場人物などが題材にされることが多い。；しかしながらこれらの絵画で現存しているものはほとんどない。；このとき、この作品は絵画と賛は一体のものとして鑑賞の対象とされる。；カラヴァッジョは自身の肖像も数枚の絵画に登場人物として描いている。；一方、ファン・ゴッホの絵画は少しずつ評価されるようになっていた。；彫刻は力が入れられたものの、この時代に一番勢力的だったのは絵画である。；それらの絵画から知識を吸収して独自の画風を確立していったのもこの頃である。；絵画の分野において士夫画の提唱者であり、自身も墨竹画をよくした。；ナショナル・ギャラリーは、絵画の作者特定の点でも批判されている。；それまで全く美術経験はなく、正規の教育を受けずに独学で絵画を学んだ。；横尾のデザインや絵画の原典のひとつには、播州織の影響が指摘される。；同年には小野竹喬らとともに前衛的な絵画運動の会である仮面会を結成。；両絵画共に制作年は明確ではないが、1482年頃であろうと想定されている。；このことはカラヴァッジョが非常に高い絵画技術を有していたことを示している。；ブーシェも晩年はその絵画だけではなく、人格も非難されるようになった。；二人とも同大学の絵画科を志していたが落ちてしまい、版画科へと進学した。；ルイ14世はこの絵画を購入して、自分が死ぬまで身近に置いていた。；とくに絵画の修復時に過度なまでに手を入れているという非難が多い。；フランドルではリュベンスの登場により新しい絵画の様式が確立される。；聖人とこの絵画の献納者は骸骨が横たえられた石棺の上に描かれている。；そして「ピカソを超える」ことを目標に絵画制作に打ち込むようになる。</t>
        </is>
      </c>
      <c r="J1277">
        <f>HYPERLINK("https://www.weblio.jp/content/絵画", "词义详情")</f>
        <v/>
      </c>
      <c r="K1277">
        <f>HYPERLINK("https://yourei.jp/絵画", "查看例句")</f>
        <v/>
      </c>
    </row>
    <row r="1278">
      <c r="A1278" t="inlineStr">
        <is>
          <t>外貨</t>
        </is>
      </c>
      <c r="B1278" t="inlineStr">
        <is>
          <t>成功</t>
        </is>
      </c>
      <c r="C1278" t="inlineStr">
        <is>
          <t>読み方：がいか
１外国の貨幣。
２外国の品物・商品。「—輸入」</t>
        </is>
      </c>
      <c r="D1278" t="inlineStr">
        <is>
          <t>外貨獲得(22%)；外貨不足(4%)；外貨収入(2%)；外貨建；外貨保有</t>
        </is>
      </c>
      <c r="F1278" t="inlineStr">
        <is>
          <t>重要な外貨；大きな外貨；外貨現金；外貨流出；外貨事情</t>
        </is>
      </c>
      <c r="G1278" t="inlineStr">
        <is>
          <t>外貨両替；外貨建て；外貨準備高；外貨預金；外貨兌換券</t>
        </is>
      </c>
      <c r="H1278" t="n">
        <v>29</v>
      </c>
      <c r="I1278" t="inlineStr">
        <is>
          <t>一九五四年には四億ドルもあった外貨は四千八百万ドルに減少していた。；さらに世界恐慌以降の世界的な貿易停滞は外貨獲得の機会を減少させた。；現在は外貨獲得のためか団体旅行客を一部受け入れるようになっている。；香凜の申し出で日本の外貨の半分を奪った敵の居場所がほぼ特定された。；東西緊張緩和の背景には東ドイツが外貨を獲得しようとしたことも大きい。；外為規制は一切行われておらず、外貨と自由に交換することができる。；輸出商品の外貨表示価格が上がり、その競争力も十分上がるためである。；同行は中国での外貨の流通を禁止し、流通通貨を「人民元」に統一した。；英国も日本同様、外貨には困っているので、彼の大学からは出せない。；経済回復を重視しようにも、外貨浪費のため、改善の方法が限られた。；観光部門がGDPの約3分の1を占めており、最大の外貨獲得源でもある。；アメリカでも高級品とされ、2000万円の外貨を稼いだとも伝えられる。；従って、東名の総建設費用の32パーセントを外貨に依存したことになる。；連中は外貨の獲得やなんかで忙しくしている必要があるんだ。；そのうえ、日本には大量の食糧を輸入するに足る外貨も残っていなかった。；神社は、日本からの慰霊団や観光客からの外貨取得にも寄与している。；製造されたキエフの多くは輸出され、ソ連にとって貴重な外貨獲得源となった。；それは少なくとも三千億ドルの外貨収入をこの地域にもたらしたはずの量であった。；日本が人口一億で外貨三百億ドルで韓国は三千五百万人で百億ですからね。；直接な外貨交換は行われていないので、公式の為替レートに従う必要はない。；諸国が貿易に携わる際に、商品を売り外貨を得る取引が輸出である。；現代では主に、空港などで外貨の両替を行う店舗および窓口を指す。；外貨証券・財政融資資金貸付金をこれほど多く持っている先進国はない。；輸出は欲しいものを輸入するために必要な外貨の獲得のためのものであって、輸出それ自体が貿易の目的ではない。；「輸出か死か」と言われた戦後イギリスの外貨不足から、輸出にも力が入れられた。；このままでは外貨が入らず、千三百万人の住民が飢え死にしてしまう。；このような外貨の流出は必ずしも保有国のカントリー・リスクに関係しない。；また逆に外貨から見れば、円建ての国債の価値が急速に膨らんでいる。；この市場は銀行間外貨両替市場と呼ばれ、銀行と外貨両替店で構成されている。</t>
        </is>
      </c>
      <c r="J1278">
        <f>HYPERLINK("https://www.weblio.jp/content/外貨", "词义详情")</f>
        <v/>
      </c>
      <c r="K1278">
        <f>HYPERLINK("https://yourei.jp/外貨", "查看例句")</f>
        <v/>
      </c>
    </row>
    <row r="1279">
      <c r="A1279" t="inlineStr">
        <is>
          <t>開会</t>
        </is>
      </c>
      <c r="B1279" t="inlineStr">
        <is>
          <t>成功</t>
        </is>
      </c>
      <c r="C1279" t="inlineStr">
        <is>
          <t>読み方：かいえ
仏語。三乗がそれぞれ異なるという誤った考えを切り開いて取り除き、三乗がそのまま仏の絶対の一乗であることを承認、会得させること。天台宗でいう。</t>
        </is>
      </c>
      <c r="D1279" t="inlineStr">
        <is>
          <t>開会式(15%)；開会宣言(8%)；開会中(6%)；開会前(2%)；開会される</t>
        </is>
      </c>
      <c r="E1279" t="inlineStr">
        <is>
          <t>開始；始める；開幕</t>
        </is>
      </c>
      <c r="F1279" t="inlineStr">
        <is>
          <t>国会開会；オリンピック開会；大会開会；開会演説；開会セレモニー</t>
        </is>
      </c>
      <c r="H1279" t="n">
        <v>29</v>
      </c>
      <c r="I1279" t="inlineStr">
        <is>
          <t>ノクアノはその横で開会式の最中だというのにまた本などを読んでいる。；一般的な議事日程は以下の通りである基本的な開会時間は以下のとおり。；それら戸惑いと納得の空気の中で超さんが開会の挨拶として口を開いた。；彼は開会式と体操競技の撮影を担当させられ、演出も編集もまかされた。；現職の国会議員を開会中に逮捕するには国会の同意を得なければならぬ。；そんなことは議場で開会を待っている代議士連中や傍聴者には分らない。；開会の前後こそ議員のあいだに党派的な感情がもやもやしていたようだが。；この開会式の観客は全員が招待客のみで一般の人は入場できなかった。；東西合同で開会式を行う東京では春季都大会優勝校の主将が宣誓を行う。；やがて開会五分前、玄関番の一人を除いて一・二年全員が座敷に集まった。；この目的のためピサ教会会議が準備され、1511年に実際に開会した。；大評議会の間を前に、扉に手をかけたところで、開会の鐘が鳴り響いた。；クレーンが開会を宣し、設立される会社の性格と事業内容を説明した。；主に公務で外国との式典の開会や閉会の際に音楽を奏でたと言われている。；開会の初めには毎日事務へ来てゐたが、此頃は滅多に顔を出さない。；思えば、今日のパーティーで、ゴム仮面は開会の挨拶をしただけである。；通常は毎年9月15日に議会が開会し、翌年の6月30日に閉会される。；しかし五輪開会式同様、一部の観客にブーイングを浴びる場面もあった。；彼らが即時開会を迫ったのだが、議長のシュトローバッハは承知しない。；翌2009年1月6日に新議会が開会し、その場で正式に結果が発表された。；開会の初めには毎日事務所へ来ていたが、このごろはめったに顔を出さない。；議会の開会地選びには、第二次ロシア・スウェーデン戦争が影響していた。；日本で開かれた近代オリンピックでは、いずれも天皇が開会宣言を行っている。；法華神道とは法華経の開会の思想に基づく日本の神々への信仰をいう。；開会前の物々しい警戒の雰囲気にかかわらず、集会はことなく終った。；議長が開会を宣言してから終了まで二十三分しか掛かっていない。；日本で憲法が発布されたのは一八八九年、帝国議会の開会はその翌年だった。；前検日は開会式と、各期ごとで選手が集まり記念撮影が行われるなどした。；場所は温泉宿等がよく選ばれ、開会も必ずしも日中とは限らない。</t>
        </is>
      </c>
      <c r="J1279">
        <f>HYPERLINK("https://www.weblio.jp/content/開会", "词义详情")</f>
        <v/>
      </c>
      <c r="K1279">
        <f>HYPERLINK("https://yourei.jp/開会", "查看例句")</f>
        <v/>
      </c>
    </row>
    <row r="1280">
      <c r="A1280" t="inlineStr">
        <is>
          <t>海外</t>
        </is>
      </c>
      <c r="B1280" t="inlineStr">
        <is>
          <t>成功</t>
        </is>
      </c>
      <c r="C1280" t="inlineStr">
        <is>
          <t>読み方：かいがい
海の向こうの国。外国。「—に進出する」「—旅行」</t>
        </is>
      </c>
      <c r="D1280" t="inlineStr">
        <is>
          <t>海外派遣；海外貿易；海外ロケ；海外メーカー；海外研修</t>
        </is>
      </c>
      <c r="F1280" t="inlineStr">
        <is>
          <t>海外視察；海外植民地；海外事情；海外流出；海外取材</t>
        </is>
      </c>
      <c r="G1280" t="inlineStr">
        <is>
          <t>海外版；海外向け；海外遠征；海外領土；海外進出</t>
        </is>
      </c>
      <c r="H1280" t="n">
        <v>29</v>
      </c>
      <c r="I1280" t="inlineStr">
        <is>
          <t>日本の製品が輸出されている他、海外で模倣して生産されたものもある。；しかし現在も海外から帰国した人が感染した例が年間100例以上ある。；現役世界年長となったこのゴールは、海外のメディアも取り上げている。；ニヤゾフ政権時代は極端な報道規制により海外から多くの批判を受けた。；単独島国のオーストラリアではオーストラリア国外のことを海外という。；他に、海外で発見された隕石を博物館などが保有しているものもある。；日本の芸能人が海外の切手に登場したのはこれが初めてのことだった。；海外に輸出されたアニメの主題歌を現地語吹き替えで歌っている例もある。；平成時代に日本は独自で軍事的に再び海外に進出するようになった。；北部の国債には海外からの投資があり、戦争勃発時はドイツが投資した。；主な海外で使用されている震度階級としては以下のようなものがある。；経営状況を勘案して、海外から撤退して業務を国内に限る邦銀もあった。；そのコレクションの一部は、日本を含め海外へ貸し出されることも多い。；中でも日本酒については、海外への普及を目指して活動を活発化させた。；日本の司法試験が極めて難関であることは海外の弁護士にも知られている。；埼玉県内を主な営業地域としているため、直接の海外拠点は保有していない。；以下は、フランスのバカロレア試験に類似の一部の海外の試験である。；作品は海外でも高く評価され、世界30数か国で翻訳出版されている。；海外への新婚旅行ツアーが一般化したのもちょうどその頃である。；特に棒でなければならない理由はなく、海外ではカードやチップも使われる。；海外で導入されている例があるテクニシャン制度も日本にはない。；魚臭さを抑える技術も開発され海外への輸出も多くなるとみられる。；明治には海外と交渉のある階層を中心に西洋料理が食べられるようになった。；フォードは海外との貿易に依存することなく一から自動車を生産することだった。；ロンドンは世界のどの都市よりも多い480の海外の銀行がある。；日本国内だけではなく、海外にもファンが存在するために海外での公演も行われた。；なお、暗殺した動機や、海外へ逃亡した資金源などはわかっていない。；日本では所有と運営が一体の場合も多いが、海外は所有と運営の分離が一般的である。；アニメ、ゲームの分野での活動のため、海外にもファンが存在する。</t>
        </is>
      </c>
      <c r="J1280">
        <f>HYPERLINK("https://www.weblio.jp/content/海外", "词义详情")</f>
        <v/>
      </c>
      <c r="K1280">
        <f>HYPERLINK("https://yourei.jp/海外", "查看例句")</f>
        <v/>
      </c>
    </row>
    <row r="1281">
      <c r="A1281" t="inlineStr">
        <is>
          <t>改革</t>
        </is>
      </c>
      <c r="B1281" t="inlineStr">
        <is>
          <t>成功</t>
        </is>
      </c>
      <c r="C1281" t="inlineStr">
        <is>
          <t>読み方：かいかく
［名］(スル)従来の制度などを改めてよりよいものにすること。「機構を—する」</t>
        </is>
      </c>
      <c r="D1281" t="inlineStr">
        <is>
          <t>改革派；改革案；改革推進；改革論；改革法</t>
        </is>
      </c>
      <c r="E1281" t="inlineStr">
        <is>
          <t>改善；改良；整理；革新；改変</t>
        </is>
      </c>
      <c r="F1281" t="inlineStr">
        <is>
          <t>制度改革；社会改革；経済改革；組織改革；機構改革</t>
        </is>
      </c>
      <c r="G1281" t="inlineStr">
        <is>
          <t>改革運動；改革派教会；改革案；改革開放；改革者</t>
        </is>
      </c>
      <c r="H1281" t="n">
        <v>29</v>
      </c>
      <c r="I1281" t="inlineStr">
        <is>
          <t>数十年後も、通信や情報の改革が地元経済の大部分を活性化させている。；地方官制としては、州・郡・県の三級制から州・県の二級制へ改革した。；そこで1999年より日本中央競馬会は以下のような番組改革を行った。；経済改革も積極的に行われたが、民衆の不満のために反乱が起きた。；以降、文部省改革案への反対表明など、さまざまな批判運動を展開する。；ここに政治体制の改革の開始が台湾内外に正式に表明されることになった。；孝武帝は貴族勢力の抑制を狙って税制の改革や寒人層の登用などを行う。；彼は残りの人生を通して社会改革を訴え続けなければならないと確信していた。；テューダー朝の時代に、イングランドの度量衡に多数の改革がなされた。；しかし、こうした改革は帝国に完全な安定をもたらすことは無かった。；それとも、その経済が貧しい人々の要求に合わせ改革されていたのだろうか?；しかし、この酒井の考えた自分勝手な改革案に編集部内で反発が起きた。；そして、税を徴収するために人口調査のような改革策をいくつか実施した。；数々の統計資料を作成し、改革のためにつくられた各種委員会に提出した。；中国の過去数年の金融改革を評価したうえで、さらなる改革を求めた。；現在この教会はビーレフェルトで唯一の福音主義改革派の教会である。；この年より監督に就任した広岡達朗の下、チームの改革を実施した。；イギリスでは議会制度の腐敗が進み、改革は避けがたいものとなっていた。；経済建設を重視し、穏健な改革を訴え、都市市民らの支持を集めたとされる。；ただし、李鵬も総理就任の活動報告で、価格改革の必要性を訴えていた。；こうした国民の不満を吸収したのがエリツィンら急進改革派である。；つまりユリアヌスの改革の目的は、かつての伝統に回帰することであった。；しかしこうした一連の改革にもかかわらず、失業者は増加し続けた。；しかし改革は全体的には続行されていたという説もロシアを中心に存在する。；これに対応して紀元前4世紀、ローマ軍団の編成も改革されるようになる。；この宮殿は市の外面を占め、市の都会計画化側面を完全に改革した。；この修業年限短縮は以前から高等学校制度改革の根本にあったものである。；「現在、日本社会が必要とする民主的改革の主要な内容」は以下の通り。；帝国は改革を余儀なくされたが、改革路線として2つの道があった。</t>
        </is>
      </c>
      <c r="J1281">
        <f>HYPERLINK("https://www.weblio.jp/content/改革", "词义详情")</f>
        <v/>
      </c>
      <c r="K1281">
        <f>HYPERLINK("https://yourei.jp/改革", "查看例句")</f>
        <v/>
      </c>
    </row>
    <row r="1282">
      <c r="A1282" t="inlineStr">
        <is>
          <t>貝殻</t>
        </is>
      </c>
      <c r="B1282" t="inlineStr">
        <is>
          <t>成功</t>
        </is>
      </c>
      <c r="C1282" t="inlineStr">
        <is>
          <t>読み方：かいがら
貝の軟体を外側から包む石灰質などからなる硬い物質。</t>
        </is>
      </c>
      <c r="D1282" t="inlineStr">
        <is>
          <t>貝殻状；貝殻細工；貝殻型；貝殻館；貝殻みたい</t>
        </is>
      </c>
      <c r="E1282" t="inlineStr">
        <is>
          <t>甲；殻；貝；シェル；甲羅</t>
        </is>
      </c>
      <c r="F1282" t="inlineStr">
        <is>
          <t>小さな貝殻；大きな貝殻；美しい貝殻；巨大な貝殻；きれいな貝殻</t>
        </is>
      </c>
      <c r="G1282" t="inlineStr">
        <is>
          <t>貝殻島；貝殻山貝塚；貝殻山；貝殻追放；貝殻坂</t>
        </is>
      </c>
      <c r="H1282" t="n">
        <v>29</v>
      </c>
      <c r="I1282" t="inlineStr">
        <is>
          <t>海は初め全地球を覆っていたから今日至る所で古昔の貝殻が発見される。；本場フランスの貝殻型のマドレーヌを日本で初めて販売した店とされる。；ホーム側には貝殻を貼り付けた文字を利用した駅銘板が掲示されている。；貝殻の形が蕪、つまりカブの形をしていることからその名がつけられた。；今日でも南部のサイーダなどの町中でこの貝殻の山を見ることができる。；ところがそれ以深の海域でも貝殻を持つ貝類が発見されている例がある。；リッピの他の絵画で特徴となっている貝殻の形をした壁龕が含まれている。；貝殻でこしらえた外套を着て水煙草を片手に持って立っているのでした。；ソフィーはエプロンをつけ、階段下の狭い空間に貝殻と絵を飾りました。；一般的に二枚貝の分類は貝殻の蝶番部分にある歯の形状が決め手となる。；吸収された記憶は貝殻の形となり、洞窟にある部屋に封じ込められている。；また海にシートを広げ、その上に貝殻と網を置いて採苗する方法もある。；その階段の先には白い砂に穏やかな波が同じように白い貝殻模様を描いている。；彼はその後父親に託けて貝殻一包と見事な鳥の毛を何本か送って寄越した。；貝殻に木の柄を取り付けて使ったのが起源と推測されている。；ヤマトシジミを主体とする貝殻や縄文時代中期の土器などが発見された。；淋しくなかつたら、浦島は、貝殻をあけて見るやうな事はしないだらう。；此の貝殻は、虹が色をつけてやつたやうに、あらゆる色で輝いてゐる。；とはいえ、それ以前にも貝殻や動物の形をしたビーズは広く作られていた。；貝殻の小筺のなかには、たぶん何か入っているのではないだろうか。；下部には貝殻が描かれ、そこから左右対称にオリーブの枝が伸びている。；脚は開き、彼とトリトンを乗せた巨大な貝殻の上でバランスを取っている。；坂の名は、この地から貝殻が出土したことに由来する説がある。；その虹色に輝くきれいなものは、真珠貝と云ふ、或る貝殻の一種なのだ。；コンチェの名前は初期に用いられていた巻き貝の貝殻に似た船の形に由来する。；自らは殻を分泌しない動物が、貝殻を自分の殻のように使用する例もある。；この時期の殻を原殻と言い、保存がよいものでは成体の貝殻の先端に残る。；は、この属の貝殻が鳥の翼を広げたような形をしていることから名づけられている。；この管は海底の土や砂の中に埋められるか、岩や貝殻に固定される。</t>
        </is>
      </c>
      <c r="J1282">
        <f>HYPERLINK("https://www.weblio.jp/content/貝殻", "词义详情")</f>
        <v/>
      </c>
      <c r="K1282">
        <f>HYPERLINK("https://yourei.jp/貝殻", "查看例句")</f>
        <v/>
      </c>
    </row>
    <row r="1283">
      <c r="A1283" t="inlineStr">
        <is>
          <t>会館</t>
        </is>
      </c>
      <c r="B1283" t="inlineStr">
        <is>
          <t>成功</t>
        </is>
      </c>
      <c r="C1283" t="inlineStr">
        <is>
          <t>読み方：かいかん
集会・会議・儀式などに用いる目的で建てた建物。「産業—」</t>
        </is>
      </c>
      <c r="D1283" t="inlineStr">
        <is>
          <t>会館内(2%)；会館前；会館建設；会館ビル；会館跡地</t>
        </is>
      </c>
      <c r="E1283" t="inlineStr">
        <is>
          <t>館；ホール；堂；殿堂；会堂</t>
        </is>
      </c>
      <c r="F1283" t="inlineStr">
        <is>
          <t>福祉会館；青年会館；教育会館；風林会館；記念会館</t>
        </is>
      </c>
      <c r="H1283" t="n">
        <v>29</v>
      </c>
      <c r="I1283" t="inlineStr">
        <is>
          <t>清光会館等を中心にドラマのロケーション撮影に使用されることがある。；また、付属施設である金会館は地域の交流の場として利用されている。；幼稚園敷地はもともと、同窓会館を建設するために準備した土地だった。；主にスタジオや市民会館等のホールで収録を行い、舞台照明のそれに近い。；会館の一階は絞り製品の展示販売、二階は資料の展示および制作の実演。；またその数倍のキャパシティを持つ市立会館も使用されることもある。；関東以外でも守口市民会館などでも収録されていたこともあった。；会館とは、中国で商工業者が親睦のために建てた組織および、その建物。；大隈重信の相談にのり、銀行会館で全国的なハンセン病の会議を開いた。；聖拳会館の試合ルールでは、掌底・平手での顔面攻撃も認められていた。；しかし、場合によっては観光地や保存会館等に常設してあることもある。；ティントレットはとさらに後にはサンロッコ同信会館で作品制作を行った。；当時は大晦日ではなく12月上旬にソウル市民会館で開催されていた。；この商品は衆議院議員会館で取り扱いされた初のタレントグッズになった。；特に北海道では、会館でコンサートを行うアーティストが存続運動に多く加わっていた。；その後会館が建設されたが、1945年の原爆の被害を受けている。；このとき、隣接地にある区民会館は改修されて文化会館別館になった。；小中高校のほか、市民会館などへ行くにも橋を渡ると遠回りになる。；また会館前広場には、おわら中興の祖と呼ばれる川崎順二の銅像が建つ。；江戸においては現在の衆議院第二議員会館がある場所に江戸上屋敷を置いた。；かつては熊本市産業文化会館の最寄であることから産文会館前の副名称があった。；富洲原港付近の船員会館の中には食堂や売店があり、トイレも利用できる。；なお新会館は8Kに対応した大型スクリーン付きの公開スタジオを整備する計画である。；日本各地の市民会館などで公開収録を行っていた視聴者参加型番組。；浅草に最初に出店したのは大番だったが、後から24会館が浅草に出店。；会館に戻った彼らを待っていたのは、党員数の激減という厳しい現実であった。；千代田区三番町の霞友会館では、毎年それらの作品を展示していた。；今もバス停の名前や六区会館にその地名が残っている。；全国展開していた発展旅館、喜楽会館の本店があることでも知られている。</t>
        </is>
      </c>
      <c r="J1283">
        <f>HYPERLINK("https://www.weblio.jp/content/会館", "词义详情")</f>
        <v/>
      </c>
      <c r="K1283">
        <f>HYPERLINK("https://yourei.jp/会館", "查看例句")</f>
        <v/>
      </c>
    </row>
    <row r="1284">
      <c r="A1284" t="inlineStr">
        <is>
          <t>開館</t>
        </is>
      </c>
      <c r="B1284" t="inlineStr">
        <is>
          <t>成功</t>
        </is>
      </c>
      <c r="C1284" t="inlineStr">
        <is>
          <t>読み方：かいかん
［名］(スル)
１図書館・博物館・映画館など「館」と名のつく施設の業務を新たに始めること。⇔閉館。
２図書館・博物館・映画館などがその日の業務を始めること。「11時—」⇔閉館。</t>
        </is>
      </c>
      <c r="D1284" t="inlineStr">
        <is>
          <t>開館当初(4%)；開館時(3%)；開館後(3%)；開館当時(2%)；開館以来</t>
        </is>
      </c>
      <c r="F1284" t="inlineStr">
        <is>
          <t>移転開館；図書館開館；新館開館；新装開館；美術館開館</t>
        </is>
      </c>
      <c r="H1284" t="n">
        <v>29</v>
      </c>
      <c r="I1284" t="inlineStr">
        <is>
          <t>そのため公共図書館が開館すると同時に閉鎖される公民館図書室も多い。；ギャラリー開設当時は資金などの余裕がなく夏季のみの開館であった。；攻撃を受けた病院の地下には包囲に関した博物館が開館し、現在では再建されている。；はヨーロッパ最大級の現代美術の展示施設で1975年に開館している。；水族館の計画発表から完成まで半年ほどの超スピードで開館した。；これらの収集品は、美術館開館以前にも何度か公開され、評判を得ていた。；戦後、国が管理していたものを市が譲り受け再整備し博物館として開館した。；開館した最初の都市からすでに33万に来館者を引き寄せる場所となった。；同年4月29日に開館式が行われ、同年5月1日に業務が開始される。；開館当初からのガラス戸と、改修後に設けられたガラスブロックとが見られる。；開館は年中無休だが、午前8時から午後5時までとなっているので注意。；開館時の蔵書数は約45万冊であり、旧館の24万冊から大幅に増加した。；なお、当映画館の開館による影響で、市内に存在した多くの映画館が閉鎖された。；裁判所の移転を受けてその建物を利用して開館した。；三重県教育会も三重県教育会図書館を運営していたが、開館時期は不明である。；同年には爆撃の写真などを展示した平和博物館が開館した。；同年11月28日・29日には開館20周年記念関連事業を開催している。；石川県立美術館の新築移転に伴い旧館を利用して1984年に開館した。；しかしながら建設は遅れており、開館は早くても2015年になるといわれている。；開館後、コンサートを中心とした様々な催しがここで行われた。；なお、アメリカで最初の博物館が1773年1月12日に開館された。；これらは1991年の開館時から20年以上に亘り展示されていた。；館長を務めていたので、開館以来徳島を訪れることが増えていた。；その後は、2011年に開館した「リニア・鉄道館」で展示されている。；開館日は土・日・祝と2月26日、それ以外の日の見学は事前予約が必要。；国立現代芸術美術館は国民の館の翼の部分に位置し2004年に開館した。；台湾文庫は日本統治時代の1901年に開館した台湾最初の図書館である。；アラブ世界研究所を有名にしたのは1987年12月に開館した建物である。；都が運営する世界でも数少ない写真・画像専門の美術館として開館。</t>
        </is>
      </c>
      <c r="J1284">
        <f>HYPERLINK("https://www.weblio.jp/content/開館", "词义详情")</f>
        <v/>
      </c>
      <c r="K1284">
        <f>HYPERLINK("https://yourei.jp/開館", "查看例句")</f>
        <v/>
      </c>
    </row>
    <row r="1285">
      <c r="A1285" t="inlineStr">
        <is>
          <t>海岸</t>
        </is>
      </c>
      <c r="B1285" t="inlineStr">
        <is>
          <t>成功</t>
        </is>
      </c>
      <c r="C1285" t="inlineStr">
        <is>
          <t>読み方：かいがん
陸地が海と接する地帯。海辺。</t>
        </is>
      </c>
      <c r="D1285" t="inlineStr">
        <is>
          <t>海岸線(15%)；海岸沿い(6%)；海岸近く；海岸地帯；海岸付近</t>
        </is>
      </c>
      <c r="E1285" t="inlineStr">
        <is>
          <t>浦；海辺；湾岸；海浜；海沿い</t>
        </is>
      </c>
      <c r="F1285" t="inlineStr">
        <is>
          <t>北海岸；南海岸；地中海岸；海岸沖；長い海岸</t>
        </is>
      </c>
      <c r="G1285" t="inlineStr">
        <is>
          <t>海岸通り；海岸地方；海岸段丘；海岸平野；海岸山脈</t>
        </is>
      </c>
      <c r="H1285" t="n">
        <v>29</v>
      </c>
      <c r="I1285" t="inlineStr">
        <is>
          <t>冷たいカリフォルニア海流のために海岸近くで霧が発生することが多い。；州南部の海岸は、世界でも最大級の速度で消失を続けている地帯である。；これは後に海岸近くの岩の上などに生息するものであることがわかったという。；島全体が低い丘陵地で、森林は海岸性のものがわずかにある程度である。；また大西洋岸を北上するハリケーンが海岸線を通過していくこともある。；海岸地帯の料理にはセビッチェのように魚介類を豊富に使った料理が多い。；一周を海に囲まれているが、海岸線は崖や磯になっている部分が多い。；駅は海岸沿いに設けられておりホームから海面をのぞむことができる。；新しい溶岩が海岸に達しなかった場所は切り立った海食崖が続いている。；海岸には砂浜が多く、海水浴場として整備されている物が多数存在する。；海岸の崖沿いを避けたトンネルの多い道路は、明治中期になって整備されている。；川の北側には魚市場があり、そこから北へ少し進むと仁万海岸公園に至る。；上陸地点がジャングルが海岸近くまで迫る地形であることが読み取れる。；ただし南極半島など寒さが厳しい地域では、冬には海岸から見られなくなる。；湾では減速しながら海岸に接近した先行波に後続波が重なりやすいため。；日本では琉球列島の海岸線で、石灰岩の上で天然の芝生が成立している。；海岸部近くにはが走り、そこから海岸まではわずかな平野が広がっている。；海岸の大代地区には漁業に従事する人々が暮らしていたようである。；他には各山脈から湖や海岸に向かって流れる多数の中小河川がある。；しかし、海岸沿いの都市では海洋性を帯びているため過ごしやすい。；松山市中心部の西約6キロメートルの伊予灘に面した海岸線に位置する。；この時期になると繁殖地の海岸には多くの親鳥が集まり、繁殖を始める。；しかし、山地・海岸などでは、今でも汲み取り式便所が用いられている。；風向きによっては海岸から数キロ離れた場所でも塩害が起こることがある。；フロリダ州の南西部海岸やその他の地域では赤潮が問題になってきた。；カリャリはイタリアのコムーネの中で、長い海岸を持つものの一つである。；北口駅前から海岸までの通りが青海の中心部で、銀行の支店などがある。；また海岸部は全て断崖となっていて、海岸線にはサンゴ礁が発達していた。；同様に、海岸付近に発達した浜堤にも古くから人々が住んでいた。</t>
        </is>
      </c>
      <c r="J1285">
        <f>HYPERLINK("https://www.weblio.jp/content/海岸", "词义详情")</f>
        <v/>
      </c>
      <c r="K1285">
        <f>HYPERLINK("https://yourei.jp/海岸", "查看例句")</f>
        <v/>
      </c>
    </row>
    <row r="1286">
      <c r="A1286" t="inlineStr">
        <is>
          <t>外観</t>
        </is>
      </c>
      <c r="B1286" t="inlineStr">
        <is>
          <t>成功</t>
        </is>
      </c>
      <c r="C1286" t="inlineStr">
        <is>
          <t>読み方：がいかん
外側から見た感じ。表面に見える姿。見かけ。うわべ。外見。「城の—」「—を繕う」</t>
        </is>
      </c>
      <c r="D1286" t="inlineStr">
        <is>
          <t>外観上(7%)；外観デザイン；外観thumb；外観復元；外観形状</t>
        </is>
      </c>
      <c r="E1286" t="inlineStr">
        <is>
          <t>顔；姿；見え；体；色</t>
        </is>
      </c>
      <c r="F1286" t="inlineStr">
        <is>
          <t>車体外観；建物外観；特異な外観；店舗外観；近い外観</t>
        </is>
      </c>
      <c r="H1286" t="n">
        <v>29</v>
      </c>
      <c r="I1286" t="inlineStr">
        <is>
          <t>これにより車体外観を含めて本系列の独特のスタイルが形成されている。；専用車両は外観だけでなく内装や案内放送なども特別仕様となっている。；同号の車両は外観だけでなく内装や案内放送なども特別仕様となっている。；腕部はプロトタイプザクを基本としているが、そのほかの外観は異なる。；北海道向けであることから、九州向け車両とは性能や外観が大きく異なる。；外観や攻撃能力の設定はテレビ・原作から特に変更されていない。；それらに加え、量産化改造を実施する前の外観は以下のようなものだった。；他にも色々の同様外観を持っていて、使用目的の異なるプライヤがある。；外観が似ているカータルという楽器が直接の祖先とする説が有力である。；ビルの外観を損ねないよう、他の店舗とは異なった看板となっている。；その外観は、羽根や頭部や脚に宝石や装飾具が着いているとされている。；双胴を思わせる外観と、後方に寄せられた上部構造物群が特徴的である。；また、全車両に体質改善工事が施工されたため、外観に変化が見られる。；現在販売されているものは外観上基本的には他国向けの後期型と大差はない。；この目的でつくられたものには正確さと同時に外観の美しさや価格が重要となる。；外観の一部こそ洋式に似ているが、構造上から通賢独自の発明とみられる。；窓柱にもブロンズ焼付塗装ガラスを取り付けて、連続窓風の外観とした。；基本的な外観デザインや走行機器などは1次車に準拠したものとなっている。；外観は飛行訓練中の高い空気力学的荷重に耐えられるように改造されていた。；共通する新製時の外観の特徴は、正面中央窓が大型化された点。；この時期に登場したミニモーグのような機能と外観を持つ楽器もその一例である。；これらの変更によってII型以前のモデルとは外観からも区別できる。；角に丸いカバーが追加された点が外観上の変更点となっている。；寒さが続くと換羽するが健康上・外観上よくないとされている。；外観的特徴に百式との共通点が多く、いわば兄弟機とも言える機体である。；ほかに類を見ない特異な外観であるが、ヘビーガンの発展型とされる。；関係者以外にVSE車の外観が公開されたのはこれが初である。；リアスポイラーに内蔵されたオイルクーラーなどが外観上の特徴だった。；平和不動産の所有で、下層階は旧市場館の外観を保存したものとなっている。</t>
        </is>
      </c>
      <c r="J1286">
        <f>HYPERLINK("https://www.weblio.jp/content/外観", "词义详情")</f>
        <v/>
      </c>
      <c r="K1286">
        <f>HYPERLINK("https://yourei.jp/外観", "查看例句")</f>
        <v/>
      </c>
    </row>
    <row r="1287">
      <c r="A1287" t="inlineStr">
        <is>
          <t>会議室</t>
        </is>
      </c>
      <c r="B1287" t="inlineStr">
        <is>
          <t>成功</t>
        </is>
      </c>
      <c r="C1287" t="inlineStr">
        <is>
          <t>読み方：かいぎしつ
会議をするための部屋。</t>
        </is>
      </c>
      <c r="D1287" t="inlineStr">
        <is>
          <t>会議室等；会議室内；会議室兼；会議室跡</t>
        </is>
      </c>
      <c r="E1287" t="inlineStr">
        <is>
          <t>議場；会議場</t>
        </is>
      </c>
      <c r="F1287" t="inlineStr">
        <is>
          <t>小会議室；役員会議室；広い会議室；電子会議室；狭い会議室</t>
        </is>
      </c>
      <c r="H1287" t="n">
        <v>29</v>
      </c>
      <c r="I1287" t="inlineStr">
        <is>
          <t>二階建てで、事務所の他に会議室などが数部屋もある規模のものである。；会議室は、主に会議に使用することを目的に設置された部屋のことである。；ふたたびあたしたちが会議室に戻ると、中ではふたりの先生が待っていた。；なおこのCMは会議室となる部屋に実際に7頭の象を集めて撮影された。；意見があるなら現地で怒っているんじゃない、会議室で怒ってやるのです!；大・小各ホールやリハーサル室・会議室・展示室・レストランなどがある。；こうなると、一階には、さきほどまでいた会議室以外に行き場所がない。；狭い会議室にお茶を持っていくと、そこに坐っていたのは、全員男だった。；下の大会議室では、地球各国の秘密情報機関の長と代議員が待っている。；翌日の晩、先生と私は八時前にネズミ・クラブの会議室の席につきました。；その間、省内の人々は会議室前の廊下に近づくことすら禁じられていた。；彼らをステージの外へ出すために、看守が会議室にはいってきていた。；多くの場合、席が指定された広い会議室で大統領は会議を開きます。；一部で撮影にHTB社屋を用いることがあるが、会議室など僅かである。；そのため、一年以上前の発言が消えてしまっている会議室もあった。；また4階フロアの会議室にはドリンクのサイズの名称が付けられている。；フォーラムの数は三〇〇以上、その中の会議室はその一〇倍はあるのだから。；急使が宮殿に到着してから十分後、伝令がきて私は会議室に呼ばれた。；スタジオ収録は無く、会議室だったり公園だったりと収録場所がよく変わる。；立場が上の人たちが利用する会議室などがあるのは、また別のブロックらしい。；会議室を出るとき、天皇はもう一度親しげな視線を鈴木首相にあてた。；みどりは再び会議室に入り、入れ違いで岩井が引きつった顔で出ていく。；署長は会議室には来たものの、すぐに自分の部屋に戻ったとあなたは言った。；文芸家協会会議室で開かれたこの会には、作家、学者二十八名が集まった。；だが、会議室にファウラーは現れず、そのまま会議が始まってしまった。；初仕事の翌日に出勤すると、私と倉持は会議室に行くよう指示された。；天井の高い会議室の、広い卓の端に、二人は肩をおとした姿で掛けていた。；会議室に入ってきた建設三課長の顔にも、緊張が現われていた。；部屋によっては戸口が廊下の側にあって、会議室から直接には見えません。</t>
        </is>
      </c>
      <c r="J1287">
        <f>HYPERLINK("https://www.weblio.jp/content/会議室", "词义详情")</f>
        <v/>
      </c>
      <c r="K1287">
        <f>HYPERLINK("https://yourei.jp/会議室", "查看例句")</f>
        <v/>
      </c>
    </row>
    <row r="1288">
      <c r="A1288" t="inlineStr">
        <is>
          <t>階級</t>
        </is>
      </c>
      <c r="B1288" t="inlineStr">
        <is>
          <t>成功</t>
        </is>
      </c>
      <c r="C1288" t="inlineStr">
        <is>
          <t>読み方：かいきゅう
１身分・地位などの上下の段階。軍隊などでの位。「二—特進」
２同一の政治的、経済的利害やイデオロギーを共有することによって、他と区別され、あるいは対立する社会集団。生産手段の所有の有無によって区別される資本主義社会の資本家階級と労働者階級など。
３統計上、一定の基準によって分類される階層。
４ものごとの段階。相互の位置を示す段階。
５ボクシング・柔道・レスリングなどで、体重によって区分した段階。また、そうした規定。「複数—を制覇する」</t>
        </is>
      </c>
      <c r="D1288" t="inlineStr">
        <is>
          <t>階級的(5%)；階級性；階級名；階級制；階級ごと</t>
        </is>
      </c>
      <c r="E1288" t="inlineStr">
        <is>
          <t>目；等；位置；部；種</t>
        </is>
      </c>
      <c r="F1288" t="inlineStr">
        <is>
          <t>知識階級；武士階級；各階級；その後階級；同じ階級</t>
        </is>
      </c>
      <c r="G1288" t="inlineStr">
        <is>
          <t>階級闘争；階級制度；階級社会；階級意識；階級対立</t>
        </is>
      </c>
      <c r="H1288" t="n">
        <v>29</v>
      </c>
      <c r="I1288" t="inlineStr">
        <is>
          <t>この電圧が次第に低くなっていく各段階のことを電圧階級と呼んでいる。；これは国家や階級などの一定の社会集団が保有する政治的な観念である。；しかし実際にはこの年齢より若くしてその階級に達している者が多い。；そのために昇進することができず最終階級が大尉で除隊する者が多い。；旗揚げ当初から階級名には鳥の名前を冠した独得の名称が使われていた。；呼称の由来は、十両のなかった時代には幕内のすぐ下の階級であったため。；僧は都の漢陽に入ることを禁止された上、賎民階級に身分を落とされた。；中央部では社会的階級が低い人たちが最後の眠りに就いている。；ユーザーはそのレベルや獲得した勲章に応じて階級が上がっていく。；しかし、いくつもの系統の階級が従来の階級から大きく上下することとなった。；しかしこの時期においても知識階級の文章言語はラテン語のままであった。；兵蟻も幼虫とされているが職蟻と違い、通常は他階級には分化できない。；ゲーム中に階級が昇進する人物はゲーム開始時の階級を表記。；これらの階級の土地の1つが「マワット」または人気のない土地である。；トーナメントなどに勝利することでより上位の階級を目指すことが目的である。；上述のように、スイスにおいては現在も平時には大佐が最高階級である。；最初は皆レベル1からスタートし、条件を満たすことで階級審査が発生。；この等級には騎士団の階級に由来する名称が付けられ、現在に至っている。；准士官はそれぞれの国や軍種で扱われ方が少し異なる混合した階級である。；当時のパリでは、あるひとりの女優があらゆる階級の男たちを惹きつけていた。；だから彼らは他の階級が解放されて初めて解放される。；ほとんどの現代の軍隊では階級を大きく3種類に区別している。；つまり、同じ階級の系統は同じ時期に放散し始めたということになる。；組織の実働部隊は若者ばかりで、階級や任務による上下の区別はない。；階級はディアナ・カウンターと共通のものを使用しているが指揮権は別系統。；下士官・兵は士官や准士官の下の階級であり、軍人の大多数を構成する。；彼は、彼女が当時のロシアの政策を動かしていた階級的対立を理解できていないと感じた。；自衛隊員の中で階級と制服が指定され、武装して戦闘に従事する要員を指す。；しかし以降の昇進はなく、アイヒマンの階級はここで止まっている。</t>
        </is>
      </c>
      <c r="J1288">
        <f>HYPERLINK("https://www.weblio.jp/content/階級", "词义详情")</f>
        <v/>
      </c>
      <c r="K1288">
        <f>HYPERLINK("https://yourei.jp/階級", "查看例句")</f>
        <v/>
      </c>
    </row>
    <row r="1289">
      <c r="A1289" t="inlineStr">
        <is>
          <t>海峡</t>
        </is>
      </c>
      <c r="B1289" t="inlineStr">
        <is>
          <t>成功</t>
        </is>
      </c>
      <c r="C1289" t="inlineStr">
        <is>
          <t>読み方：かいきょう
陸地に挟まれた狭い幅の水路となって、二つの海域をつなぐ海。水道。瀬戸。
[補説]書名別項。→海峡</t>
        </is>
      </c>
      <c r="D1289" t="inlineStr">
        <is>
          <t>海峡線；海峡部；海峡内；海峡横断；海峡攻防戦</t>
        </is>
      </c>
      <c r="E1289" t="inlineStr">
        <is>
          <t>堀；運河；水路；水道；瀬戸</t>
        </is>
      </c>
      <c r="F1289" t="inlineStr">
        <is>
          <t>ボスフォロス海峡；ペルー海峡；同海峡；無名海峡；ルメール海峡</t>
        </is>
      </c>
      <c r="G1289" t="inlineStr">
        <is>
          <t>海峡艦隊；海峡線；海峡封鎖；海峡交流基金会；海峡トンネル</t>
        </is>
      </c>
      <c r="H1289" t="n">
        <v>29</v>
      </c>
      <c r="I1289" t="inlineStr">
        <is>
          <t>こうした大型の河口は、湾や海峡などの名をつけて呼ばれることもある。；古代には東西ローマ帝国を結ぶ主要道のひとつがこの海峡を渡っていた。；海は一部の細くなっている海峡を除き、軍船が無いと渡る事が出来ない。；北西諸島を除いて南西部の主な八島にある海峡は西から東へ次の通り。；海峡を挟んで両岸が同じ町である例は、日本では珍しいものであった。；ATC 装置本体は未設置のため、単独では海峡線の走行はできない。；さらにより小さなパウエル砦を建設してグラントの海峡の水路を守った。；海峡税の引き上げはオランダとスウェーデンの接近を許すこととなった。；この海峡は北西のアムンゼン湾と南東のコロネーション湾を結んでいる。；第二次世界大戦前にはこの海峡を越えてイタリアがアルバニアに進駐した。；現在、アメリカ合衆国とカナダの間で海峡の領有をめぐって対立がある。；中央の主塔は海峡中の鍋島に設けられ、横から見るとAの字形をしている。；機関と操舵を維持する努力は海峡内で継続されたが、全ての努力は無駄となった。；この海峡で紅海とアデン湾を分け、その先のアラビア海へと続いている。；コルチュラは島と本土の狭い海峡を守る岬の上に堅く築かれた町である。；コペンハーゲンから北へウーアソン海峡沿いに走る鉄道で海岸線を走る。；第八艦隊側は「狭い海峡なので鳥海級巡洋艦は投入しない」と説明した。；この海峡は彼の名を採ってベーリング海峡と呼ばれるようになった。；二人はイギリス側から出発したが、海峡の中ほどでガス漏れを起こし高度が低下。；当時、この2つの島は現在のように分離しておらずと呼ばれる海峡は存在しなかった。；米露国境が対峙する国境でもあることから「米露海峡」の異名をも持つ。；西岸は狭い海峡を挟んで本州と連絡し、南下をすると上ノ関の港に至る。；海峡南東岸にはソンダーボーの町があり、2つの橋が架けられている。；その2つの島の間の海峡は干潮時に歩いて渉れるもの考えていた。；かつては唯一の海峡を渡る手段としてフェリーが利用されていた。；海峡の最も深いところで水深は1900 mで、幅は約50kmである。；なお、この論文は翌年『君府海峡通航制度史論』として出版されている。；この二つの湖はティキーナの海峡の幅約800mほどのところでつながっている。；他に先述した架橋部も幅が500mほどであるなど、非常に細い海峡である。</t>
        </is>
      </c>
      <c r="J1289">
        <f>HYPERLINK("https://www.weblio.jp/content/海峡", "词义详情")</f>
        <v/>
      </c>
      <c r="K1289">
        <f>HYPERLINK("https://yourei.jp/海峡", "查看例句")</f>
        <v/>
      </c>
    </row>
    <row r="1290">
      <c r="A1290" t="inlineStr">
        <is>
          <t>会計</t>
        </is>
      </c>
      <c r="B1290" t="inlineStr">
        <is>
          <t>成功</t>
        </is>
      </c>
      <c r="C1290" t="inlineStr">
        <is>
          <t>読み方：かいけい
１代金の支払い。勘定。「—をすませて店を出る」
２金銭の収支や物品・不動産の増減など財産の変動、または損益の発生を貨幣単位によって記録・計算・整理し、管理および報告する行為。また、これに関する制度。</t>
        </is>
      </c>
      <c r="D1290" t="inlineStr">
        <is>
          <t>会計係(8%)；会計上(4%)；会計課(3%)；会計局(2%)；会計事務</t>
        </is>
      </c>
      <c r="E1290" t="inlineStr">
        <is>
          <t>勘定；愛想；支出；経理；決済</t>
        </is>
      </c>
      <c r="F1290" t="inlineStr">
        <is>
          <t>会計部；会計担当；会計学；兼会計；会計処理</t>
        </is>
      </c>
      <c r="G1290" t="inlineStr">
        <is>
          <t>会計士；会計事務所；会計学；会計監査；会計学者</t>
        </is>
      </c>
      <c r="H1290" t="n">
        <v>29</v>
      </c>
      <c r="I1290" t="inlineStr">
        <is>
          <t>つまり費用に関して日本と西洋とは異なった会計概念が採用されていた。；その説明責任を果たすために行う会計報告が企業会計の主な目的である。；名称が何回か変更されて、太政官制が導入された時に会計官と名を改めた。；イエス一行の会計係を任されており、不正を行う事が可能な立場にいた。；企業への会計システムの導入を行い、コンサルティングを手がけている。；本記事では古代を含めて国家・商業組織の会計や家計簿を対象とする。；会計や簿記の複雑化には、商業組織の事業内容、形態、管理が関係した。；そのためにこの点が日本の企業会計の特徴となり、問題となっていた。；大規模ベンダーは様々な国の会計方式に対応した製品を出している。；しかし、独自会計が立ち行かず、自治体に援助を要請するケースもある。；国家のマクロ経済を理解するために統一性と比較性のある会計情報を整備した。；会計上の費用が直ちに法人税法上の損金のうちの費用となるのではない。；また、民間の会計・税務専門家集団であるTKC全国会の会長を務めた。；一方でヴァンヌには、フランス併合まで会計局と三部会が置かれていた。；政体書に基づいて会計官が設置された際にその下に設置された。；区分経理特別会計とは、他の会計と区分する必要がある場合に設置される。；古代インドにおいて、現在の会計で使われている数字の原型が作られた。；またイギリスでは会計の分野ごとに公認会計士団体が存在することも特徴である。；国の予算の編成、決算の作成、会計制度の企画立案を主な業務としている。；会計分野の顕著な教育者・研究者として数々の賞を受賞してきた。；ベンダーは特定の国の会計方式のみをサポートしていることが多い。；鉄道産業の管理会計は、20世紀初頭のデュポンの会計に影響を与えた。；中国では官僚向けの会計術は書かれたが、民間の商人向けの本は近代までなかった。；会計管理者の事務を補助させるため出納員その他の会計職員が置かれる。；あわせて、1会計につき1台が販売されていることは確認できたとした。；会計部に一等・二等・三等書記、一等・二等・三等看病人、監獄を置く。；初代舎長は陸軍省会計局第二課長であった川口武定二等監督が補職された。；翌年、バーンドーンと呼ばれていた場所に郡の会計所が設けられた。；内閣委員会調査室や同会計課に所属し、議員立法や議会運営を補佐する。</t>
        </is>
      </c>
      <c r="J1290">
        <f>HYPERLINK("https://www.weblio.jp/content/会計", "词义详情")</f>
        <v/>
      </c>
      <c r="K1290">
        <f>HYPERLINK("https://yourei.jp/会計", "查看例句")</f>
        <v/>
      </c>
    </row>
    <row r="1291">
      <c r="A1291" t="inlineStr">
        <is>
          <t>解決</t>
        </is>
      </c>
      <c r="B1291" t="inlineStr">
        <is>
          <t>成功</t>
        </is>
      </c>
      <c r="C1291" t="inlineStr">
        <is>
          <t>読み方：かいけつ
［名］(スル)
１問題のある事柄や、ごたごたした事件などを、うまく処理すること。また、かたづくこと。「紛争を—する」
２疑問のあるところを解きほぐして、納得のいくようにすること。また、納得のいくようになること。「疑問が—する」</t>
        </is>
      </c>
      <c r="D1291" t="inlineStr">
        <is>
          <t>解決するため(5%)；解決でき(3%)；解決しよ(2%)；解決策；解決される</t>
        </is>
      </c>
      <c r="E1291" t="inlineStr">
        <is>
          <t>決定；答え；確立；答える；決める</t>
        </is>
      </c>
      <c r="F1291" t="inlineStr">
        <is>
          <t>事件解決；紛争解決；平和的解決；根本的な解決；解決すれ</t>
        </is>
      </c>
      <c r="G1291" t="inlineStr">
        <is>
          <t>解決方法；解決案；解決済み；解決計画；解決志向アプローチ</t>
        </is>
      </c>
      <c r="H1291" t="n">
        <v>29</v>
      </c>
      <c r="I1291" t="inlineStr">
        <is>
          <t>これらの問題を総合的に解決するために導入されたのが本形式である。；これら二つの問題を解決する装置として導入されたのが変換規則である。；しかし受け入れられなかったため、事業費問題の解決には至らなかった。；当然のことながらスピーカーの左右バランスを調整しても解決はしない。；予定では1990年までこの住宅問題は解決されることになっていた。；輝元はこの問題を解決するため、秀吉の四国攻めに協力したのであった。；カルタゴはローマに解決を求めたが、ローマは何の対策も講じなかった。；従来指摘されていたデメリットと提案されている解決技術の例は以下である。；第三世界の国々で発生した数件を除いて、ほとんど平和的に解決していた。；なお、これ以前から村の中で起こった小さな事件などを解決しているらしい。；バージョン管理システムはこのような問題を解決する仕組みを提供する。；この戦争が個人の怨恨や競争関係を解決する理由になることもあった。；むしろ、司法の場で裁かれるよりも身内だけで解決したいと思っていた。；この予想が解決すると、様々な数が代数的独立になることが知られている。；パイプラインだけでは同期式CPUの問題を全て解決することはできない。；これらはコスタリカにとって解決されるべき諸課題であるとの意見もある。；教父たちのあるものは、この問題を解決するために次のような考えを示した。；一方、コナンに影から補佐されつつ小五郎が事件を解決することもある。；日本では819条第5項の規定を類推適用して解決すべきとの見解がある。；この問題を解決するために多くの方式が開発されてきた。；それにより、日常言語の使用法の記述による哲学的問題の解決を行った。；建設や完成後の運用にも様々な問題が生じ、その解決策を模索することとなる。；これらは作り手の以下のような配慮で解決が可能な場合もある。；しかしその領域では、それは解決不可能であったため、殺人的なものとなった。；しかし、惑星の運動は太陽のように簡単には解決できなかった。；これに解決の糸口を与えたのは、アメリカのエリシャ・オーチスである。；基礎心理学の知見を活かして現実生活上の問題の解決や改善に寄与する。；自宅に不審者が押し入る事件も発生したが、大事もなく解決している。；また国家的事件の解決のために、朝鮮やインドなど海外に出張することも多い。</t>
        </is>
      </c>
      <c r="J1291">
        <f>HYPERLINK("https://www.weblio.jp/content/解決", "词义详情")</f>
        <v/>
      </c>
      <c r="K1291">
        <f>HYPERLINK("https://yourei.jp/解決", "查看例句")</f>
        <v/>
      </c>
    </row>
    <row r="1292">
      <c r="A1292" t="inlineStr">
        <is>
          <t>会見</t>
        </is>
      </c>
      <c r="B1292" t="inlineStr">
        <is>
          <t>成功</t>
        </is>
      </c>
      <c r="C1292" t="inlineStr">
        <is>
          <t>読み方：かいけん
［名］(スル)改まった形で人に会うこと。公式な場合に用いられる。「二か国首脳が—する」「記者—」</t>
        </is>
      </c>
      <c r="D1292" t="inlineStr">
        <is>
          <t>会見場；会見記；会見室；会見内容；会見終了後</t>
        </is>
      </c>
      <c r="E1292" t="inlineStr">
        <is>
          <t>面会；会談；面接；謁見；拝謁</t>
        </is>
      </c>
      <c r="F1292" t="inlineStr">
        <is>
          <t>就任会見；社長会見；とも会見；単独会見；製作会見</t>
        </is>
      </c>
      <c r="G1292" t="inlineStr">
        <is>
          <t>会見県設置運動</t>
        </is>
      </c>
      <c r="H1292" t="n">
        <v>29</v>
      </c>
      <c r="I1292" t="inlineStr">
        <is>
          <t>この日以来彼女は家族絡みの会見以外はすべて一人で行うようになった。；降伏の際に行ったテレビでの会見は多くの国民に強い印象を与えた。；JAXAは2月13日の会見で推定される失敗原因を発表するに至った。；会見翌日以降、一般ニュースも紳助引退のニュースを大きく取り上げた。；この会見内容は翌日の時事新報に掲載され、男性の名前が明らかにされた。；それまでは野党クラブ以外のメディアが会見に参加することができなかった。；調教師試験の合格時の会見には戸山の未亡人も同席して喜びを共にした。；いつもの会見と変わらず笑みを浮かべてデュラントは自身の辞任を告げた。；会見場やホテルなどを使って記者たちが取材する通常の記者会見とは区別される。；失敗が重大であるからこそ、この会見の姿勢は、評価すべきなのだ。；彼は国王室の隣の書斎で国王が会見を望んでいると告げられた。；直木賞受賞の会見場へも、一家揃い自転車で向かったことが話題を呼んだ。；後任の小丸成洋も、就任会見で古森路線を基本的に踏襲する方針を表明。；武将と会見することで、ある程度不満を解消させることができる。；また同年には中華人民共和国を訪問して胡錦濤国家主席と会見した。；翌7月12日、全国弁連は団体としての見解を発表する会見を開催した。；再び日本を拠点に活動することになり、2月23日に会見を行った。；スポークスマンとして会見を行う際も言葉が聞き取りにくいほどである。；所属がなかった指名時は実家近くの農協事務所で会見を行った。；この会見の時のワシントンの態度はアメリカ合衆国中で賞賛された。；現在では国防長官の外遊にも使われ、飛行中に同行した記者団に会見する。；同年に来日し各地で講演したほか、昭和天皇と香淳皇后と会見している。；女子生徒は学校側の会見後、精神的なショックから体に不調を感じ始めた。；日本では中西太監督退団会見の翌日であり、後任監督の就任要請であった。；天皇と会見したマッカーサーが着ていたので、その服装が一番だと思っていたからだった。；帰国後に、日本外国特派員協会で在日外国人記者のために会見を開いた。；劉備は劉琮との会見を望むが、劉琮は恐れをなして出てこなかった。；同年11月30日、環境省は会見で先の豪雨の影響調査の結果を公表した。；芸能人で会見を開き、自ら癌であることを発表したのは島倉が初めてだった。</t>
        </is>
      </c>
      <c r="J1292">
        <f>HYPERLINK("https://www.weblio.jp/content/会見", "词义详情")</f>
        <v/>
      </c>
      <c r="K1292">
        <f>HYPERLINK("https://yourei.jp/会見", "查看例句")</f>
        <v/>
      </c>
    </row>
    <row r="1293">
      <c r="A1293" t="inlineStr">
        <is>
          <t>外見</t>
        </is>
      </c>
      <c r="B1293" t="inlineStr">
        <is>
          <t>成功</t>
        </is>
      </c>
      <c r="C1293" t="inlineStr">
        <is>
          <t>読み方：がいけん
１外側から見たようす。外観。うわべ。そとみ。「—をつくろう」
２他人に見せること。また、他人に見られること。「—をはばかる」
「コノ経ヲ—アルナ」〈日葡〉</t>
        </is>
      </c>
      <c r="D1293" t="inlineStr">
        <is>
          <t>外見上(11%)；外見的(6%)；外見年齢；外見どおり；外見ゆえ</t>
        </is>
      </c>
      <c r="E1293" t="inlineStr">
        <is>
          <t>顔；姿；形；様子；表情</t>
        </is>
      </c>
      <c r="F1293" t="inlineStr">
        <is>
          <t>近い外見；特徴的な外見；派手な外見；特異な外見；美しい外見</t>
        </is>
      </c>
      <c r="H1293" t="n">
        <v>29</v>
      </c>
      <c r="I1293" t="inlineStr">
        <is>
          <t>外見は普通の人間と変わらないが、子供を作ることができないとされる。；普通の身体でないことは外見からもはっきりと見てとれたといわれている。；その奇妙な外見から危険な生物と誤解されることもあるが、無害である。；コイとは別属だが容易に雑種が生まれ、両親の中間のような外見になる。；銃身上部に独自のヒートカバーが取り付けられているのが外見上の特徴。；一本角を持つ点以外は、ゴジラをややスマートにしたような外見である。；見た目は皆ソックリの外見だが、本人たちはそう思っていないとのこと。；キャラクターには必要に応じて外見的特徴や内面的特徴が設定される。；この時に錨鎖穴の位置を既存のものを使用したため、奇妙な外見となった。；しかし、一見して尾崎とはわからないほど外見は荒れ果てていたという。；散剤などと異なり外見で何の薬か識別できることも長所のひとつである。；アニメの外見については、制作上の都合で顔が大幅に異なる回が多数ある。；そのため悟空にソックリと言われた外見上の面影はほとんど見られない。；非常に人数が多く、外見のみならず性格や運勢まで全員が全く同じである。；アシカとは外見がよく似ているが、いくつか明確な相違点が見られる。；デバネズミの外見で特徴的なのが、口から大きく飛び出した門歯である。；外見上はエリカ属のものとよく似ており、元々はこの属のものとされていた。；外見も従来のマリオシリーズに登場していた姿形に近づけられている。；ロボットに使用する睡眠薬で、外見は人間用の瓶入りの錠剤に似ている。；それぞれ武装や外見に相違点があるので1933年型との相違点を挙げておく。；そのため、本車両とE-50の外見は酷似した物になった可能性が高い。；外見は人に近いが、その顔には目・鼻・口がないという日本の妖怪である。；機体外見は変わらないが重量増加に対応して主翼や胴体の構造を強化した。；外見で言うと百合であるが、主人公の気持ちはあくまで男である。；両方とも基本フレームはほぼ同じものを使用しているが、外見は大幅に違う。；どちらも外見はよく似ており、以前は同一種と考えられていた。；愛嬌のある外見と誰でも修理が可能な単純さが人気の秘訣だという。；一部の漫画では、その外見や色からか「猿」と呼ばれていることもあった。；外見や機能は似ているが共通の祖先に由来しない相似の対義語である。</t>
        </is>
      </c>
      <c r="J1293">
        <f>HYPERLINK("https://www.weblio.jp/content/外見", "词义详情")</f>
        <v/>
      </c>
      <c r="K1293">
        <f>HYPERLINK("https://yourei.jp/外見", "查看例句")</f>
        <v/>
      </c>
    </row>
    <row r="1294">
      <c r="A1294" t="inlineStr">
        <is>
          <t>解雇</t>
        </is>
      </c>
      <c r="B1294" t="inlineStr">
        <is>
          <t>成功</t>
        </is>
      </c>
      <c r="C1294" t="inlineStr">
        <is>
          <t>読み方：かいこ
［名］(スル)使用者側から雇用契約を解除すること。首にすること。「不況で従業員を—する」「—手当」</t>
        </is>
      </c>
      <c r="D1294" t="inlineStr">
        <is>
          <t>解雇される(7%)；解雇後(3%)；解雇処分；解雇通告；解雇通知</t>
        </is>
      </c>
      <c r="E1294" t="inlineStr">
        <is>
          <t>首；暇；解任；罷免；御免</t>
        </is>
      </c>
      <c r="F1294" t="inlineStr">
        <is>
          <t>wwe解雇；懲戒解雇；大量解雇；一時解雇；指名解雇</t>
        </is>
      </c>
      <c r="G1294" t="inlineStr">
        <is>
          <t>解雇規制；解雇権濫用法理；解雇規制緩和</t>
        </is>
      </c>
      <c r="H1294" t="n">
        <v>29</v>
      </c>
      <c r="I1294" t="inlineStr">
        <is>
          <t>屋敷内で彼の前に姿を見せてしまったために解雇された使用人もいた。；これを受け、仙台はクラブへの貢献度から解雇はせず契約非更新とした。；郷土の市場の人達は相撲協会を解雇された自身を変わらず応援していた。；この誤報に関わった空軍のスタッフは責任を問われて解雇されている。；ワイマンはブライアンの解雇に最後まで反対していたと言われている。；これをきっかけにロドリゲスを襲撃して専属リングアナから解雇とした。；そこでメンバーと喧嘩になりバンド側から解雇されたという。；しかし、同月中に解雇となり、その後は野球と離れた仕事をしている。；また、解雇あるいは左遷される為の準備の為の扱いも同等な面もある。；この解雇劇の経緯についてははっきりとした報道はなされていない。；WWE解雇後はTNAに所属し、ここでもハードコア路線を中心に活躍。；この突然解雇は、他企業に所属する選手にとっても、無言の圧力にもなった。；そうしたら、シーズンが終わった後に球団から解雇を通告されました。；それ故に慕われたが、同時に全日本を解雇されてしまった原因にもなっている。；この1983年に、バースはシーズン途中で解雇されていた可能性があった。；余剰人員理由の解雇の前には、敗者復活戦が広く判例で求められている。；そして結局アルコール問題が改善されなかったオジーは、再度解雇される。；翌は不振もあってベンチを温めることも多く、シーズン途中で解雇された。；レイオフとは、企業の業績悪化などを理由とする一時的な解雇のことである。；露鵬は角界を解雇された際にも、大鵬にだけはお詫びの連絡を入れていた。；また、戦後、レッドパージをうけて当時勤めていた炭鉱を解雇されている。；スペインでは法律により労働者の解雇に厳しい制約がかかっている。；ある日、彼は20年来勤めていた建築設計事務所から突然解雇を告げられる。；だが、老社員が不当にクビにされたことを社長に抗議して自分も解雇されてしまう。；全ての便の運航は停止され、12000人の従業員は全員解雇された。；しかしリリース直前に、バンド側が「ビリーを解雇した」と公式発表する。；労働者が組合員である資格を失った時は使用者はその労働者を解雇しなければならない。；結局ここまで一度もポイントを得ることはできず、このレースを最後にルノーを解雇された。；西武にテスト入団するも一軍未登板に終わり結果再び解雇される。</t>
        </is>
      </c>
      <c r="J1294">
        <f>HYPERLINK("https://www.weblio.jp/content/解雇", "词义详情")</f>
        <v/>
      </c>
      <c r="K1294">
        <f>HYPERLINK("https://yourei.jp/解雇", "查看例句")</f>
        <v/>
      </c>
    </row>
    <row r="1295">
      <c r="A1295" t="inlineStr">
        <is>
          <t>介護</t>
        </is>
      </c>
      <c r="B1295" t="inlineStr">
        <is>
          <t>成功</t>
        </is>
      </c>
      <c r="C1295" t="inlineStr">
        <is>
          <t>読み方：かいご
［名］(スル)病人などを介抱し看護すること。「寝たきりの母を—する」
→看護［用法］</t>
        </is>
      </c>
      <c r="D1295" t="inlineStr">
        <is>
          <t>介護サービス(5%)；介護用；介護者；介護分野；介護業界</t>
        </is>
      </c>
      <c r="E1295" t="inlineStr">
        <is>
          <t>世話；看護；お世話；看病；介抱</t>
        </is>
      </c>
      <c r="F1295" t="inlineStr">
        <is>
          <t>医療介護；献身的な介護；介護付き；介護等；家族介護</t>
        </is>
      </c>
      <c r="G1295" t="inlineStr">
        <is>
          <t>介護福祉士；介護保険；介護者；介護事業；介護保険法</t>
        </is>
      </c>
      <c r="H1295" t="n">
        <v>29</v>
      </c>
      <c r="I1295" t="inlineStr">
        <is>
          <t>この時の経験がスウェーデンでの介護に関心を持つ遠因になったという。；高校卒業後は選手だけでなく、介護の仕事をしながら野球をしていた。；数千の負傷した北軍兵が食料や水あるいは医療介護もなく苦しんでいた。；彼らは小さな規模のコミュニティセンターで介護されるものと考えられた。；郡が所有するクレーブラット介護ホームの老人・介護ホームが存在する。；高校生の頃は介護系の仕事に興味があり、そのために勉強もしていたという。；介護離職とは、家族を介護するために労働者が仕事を辞めることをいう。；これが日本では徐々に医療・介護分野でも応用されていった。；再開後は安達は母を介護、よしこさんは育児をしながら活動をしている。；このグループは医療専門家・患者及び介護の代表者・技術専門家で構成される。；さらに周辺地域の年老いた病気の介護が必要な男性もこの施設に保護された。；それを受けて、介護の場面に適した様々な歯ブラシが開発されている。；晩年は介護を通し学んだ経験をもとに講演会・トークショーを行っていた。；つまり、回想法を行うことで介護度を維持・改善しようとしてきた。；介護施設やいろいろな介護サービスを受けるためには費用がかかる。；無料での育児や介護は、賃金労働者が収入を得るのに効果的ではない。；日本ではデイケアは医療系の介護サービスであり、医師の指示の下で行われる。；非保険者の状態を調査するための項目であるため、家族の介護力は考慮されない。；このような中で日本の高度なロボット技術を介護に活用するということが期待されている。；子どもの学習や高齢者の介護などを支援する福祉施設ができる予定である。；責任を感じた富貴子は彼が入院する病院へと通い、献身的に介護していた。；米国留学の費用や父の介護費用を捻出するため不動産経営を始める。；両親の介護もあったことから2022年時点では地方に引っ越しているという。；ここでは、滞在型介護と短期型介護が一つの施設に統合されている。；実家を離れ新しい生活を始めたシンディ・キャンベルは介護の仕事を始める。；現在市販されている入手可能なものは、介護もしくはSM目的のものである。；この施設には十分な介護者の居るコテージで精神的障害のある女性を収容している。；毎日新聞は、欧米など主要国でも在宅介護を推進しているとしている。；要介護者に対し、同一施設内で医療と介護を一体的に提供する点に特徴がある。</t>
        </is>
      </c>
      <c r="J1295">
        <f>HYPERLINK("https://www.weblio.jp/content/介護", "词义详情")</f>
        <v/>
      </c>
      <c r="K1295">
        <f>HYPERLINK("https://yourei.jp/介護", "查看例句")</f>
        <v/>
      </c>
    </row>
    <row r="1296">
      <c r="A1296" t="inlineStr">
        <is>
          <t>会合</t>
        </is>
      </c>
      <c r="B1296" t="inlineStr">
        <is>
          <t>成功</t>
        </is>
      </c>
      <c r="C1296" t="inlineStr">
        <is>
          <t>読み方：かいごう
［名］(スル)
１相談・討議などのために人が寄り集まること。また、その集まり。寄り合い。
２⇒合(ごう)2
３同種の分子またはイオンが集まって、水素結合や分子間力などの比較的弱い結び付きにより、一つの分子またはイオンのように動くこと。</t>
        </is>
      </c>
      <c r="D1296" t="inlineStr">
        <is>
          <t>会合場所；会合点；会合地点；会合終了；会合定数</t>
        </is>
      </c>
      <c r="E1296" t="inlineStr">
        <is>
          <t>会；集；会う；集まり；集合</t>
        </is>
      </c>
      <c r="F1296" t="inlineStr">
        <is>
          <t>首脳会合；閣僚会合；緊急会合；秘密会合；回会合</t>
        </is>
      </c>
      <c r="G1296" t="inlineStr">
        <is>
          <t>会合周期</t>
        </is>
      </c>
      <c r="H1296" t="n">
        <v>29</v>
      </c>
      <c r="I1296" t="inlineStr">
        <is>
          <t>植民地議会の一員であり、多くの政治的組織や会合にも顔を出していた。；裁判所長は裁判所のすべての会合を主催し、裁判所を対外的に代表する。；ただし三連会合は黄経もしくは赤経のいずれか一方でしか起こらない。；有名なオセオーラが戦争をする決定を最初に表明したのがこの会合であった。；さらに転じて、相互扶助的な団体や会合のことを意味することもある。；ただし理事会は扱う分野によってさまざまな形態でその会合を開いている。；一旦は復帰するが、7月3日以後、彼は一度も会合に出席しなかった。；フランス・スペイン国境にあり、この島ではしばしば両国の会合が行われた。；この会合での活動の範囲は純粋に自動車に関する技術面であるべきであろう。；準会員は出席した会合での投票権を持つが、役職に就くことができない。；近年では、G8メンバー以外にも様々な政治のリーダーが会合に参加している。；待合茶屋とは、待ち合わせや会合のための場所を提供する貸席業のこと。；京都で馬場辰猪の追悼会と同志社設立のための会合に出席する傍ら遊説。；会合の規模が大きくなれば、それ以上の人数となる場合もある。；会員の事務所を輪番で会合場所としたことからロータリークラブと呼称した。；時々、タンパク質同士が会合して更に大きな複合体を形成することがある。；初会合に続いて、パブリックスクールが協会への加盟を要請された。；その代わりに、業務会合は教団のために神が意図するところを得ようとする。；このUボートは、「乳牛」との会合のために浮上していると判断された。；クラブ名称を決めるための会合が開かれ、どの前身クラブの名称も含まないことで合意した。；メンバーらは会合のため軍から解放され、サンフェリペへと戻った。；なお、総会時には各基礎専門分野の会合がとり行われるのが恒例となっている。；後ろ盾を失った石田は同日夜の後援会会合で立候補断念を明らかにした。；会合を1か所で開くことになった背景にはさまざまなものがある。；よく知られているのはヨウ素がデンプンと会合して青紫色になる反応である。；準会員は出席した会合での投票権を持つが役職に就くことができない。；会合を盗み聞きしていた彼女は、身の危険を感じ今すぐ出発することに決めた。；この委員会は1981年4月から1983年6月まで会合を開いていた。；グループは繰り返し会合を持ったが、実験主義とは対照的に基本的に議論に限られていた。</t>
        </is>
      </c>
      <c r="J1296">
        <f>HYPERLINK("https://www.weblio.jp/content/会合", "词义详情")</f>
        <v/>
      </c>
      <c r="K1296">
        <f>HYPERLINK("https://yourei.jp/会合", "查看例句")</f>
        <v/>
      </c>
    </row>
    <row r="1297">
      <c r="A1297" t="inlineStr">
        <is>
          <t>外交</t>
        </is>
      </c>
      <c r="B1297" t="inlineStr">
        <is>
          <t>成功</t>
        </is>
      </c>
      <c r="C1297" t="inlineStr">
        <is>
          <t>読み方：がいこう
１外国との交渉・交際。国家相互の関係。ディプロマシー。
２外部との交渉・交際。特に会社・商店などで、外部に出て勧誘・受注などの仕事をすること。また、その人。「—販売」</t>
        </is>
      </c>
      <c r="D1297" t="inlineStr">
        <is>
          <t>外交面(4%)；外交員(3%)；外交官(3%)；外交史(2%)；外交的(2%)</t>
        </is>
      </c>
      <c r="E1297" t="inlineStr">
        <is>
          <t>協議；折衝；談判；外交交渉；渉外</t>
        </is>
      </c>
      <c r="F1297" t="inlineStr">
        <is>
          <t>保険外交；外交事務；外交担当；秘密外交；外交術</t>
        </is>
      </c>
      <c r="G1297" t="inlineStr">
        <is>
          <t>外交政策；外交関係；外交的；外交交渉；外交問題</t>
        </is>
      </c>
      <c r="H1297" t="n">
        <v>29</v>
      </c>
      <c r="I1297" t="inlineStr">
        <is>
          <t>彼は、中国を訪れた外交化や商人に注意を払うべきことを示唆している。；外交面では、世界の安全と平和のために積極的に貢献する外交を掲げた。；つまり変法とは、それまでの伝統的な政治外交礼制などの大変革を指す。；一方で彼が外交面でフランスに残した最大の物は植民地であった。；光海君は即位すると破綻した財政の再建と現実的な外交施策を展開した。；今後の外交は秘密主義をやめ公開主義でいかなければならない。；メルケル政権は発足当初から積極的な対露・対米外交を展開して高支持率を記録。；外交面では好戦的な一面も見せたが、周辺の遊牧国家とは親善を図った。；ウォリックは次第にフランスの外交筋に好意を持つようになっていた。；また皇族の温泉地滞在も非常に盛んになり、温泉外交も頻繁に行なわれた。；しかしボールドウィンはこうした王の外交介入を快く思っていなかった。；各種のイデオロギーを掲げた国家が、それに基づいた外交を行うこともある。；元は法学者で、教皇庁では主に外交の分野で目覚しい業績を挙げていた。；政治や国際外交などの特定の分野では、まだ使用されていた。；その後は提督への昇進記録はなく、艦隊を辞して父と同じく外交の道に進む。；外交員警護課の武装した警官が警備員と共に本部の周囲を巡回している。；ミンダウガスは外交を優先するようになったのだろうと述べている。；第一私は戦争の詳細について聞かされていないし、外交にもまだ自信が無い。；また多くの弟子を育て、彼らは日明貿易を行う際に幕府の外交顧問となった。；そのため従来の百済一辺倒の外交を改め各国と協調外交を考えていた。；知米派の岡本が個人的な立場から外交面で協力するとの合意をしたと報じられた。；地域政府は外交以外の権限が、イラクの中央政府から与えられている。；軍事・外交だけでなく、経済の再生はフランスにとって急務であった。；これらのことから非公式の外交顧問になっていると目されている。；国際状況に適合した適切な外交が行えるかどうかは情報収集にかかっている。；また那須氏との和睦を成立させるなど、外交面でも活躍したという。；ちょうどその頃、ニューカッスル公爵内閣は外交面で失態を続けていた。；セリムの積極外交は、東部アナトリアとシリア・エジプトに向けられた。；どの時代が好きということはないが、いつの時代でも軍事と外交に主に興味があるという。</t>
        </is>
      </c>
      <c r="J1297">
        <f>HYPERLINK("https://www.weblio.jp/content/外交", "词义详情")</f>
        <v/>
      </c>
      <c r="K1297">
        <f>HYPERLINK("https://yourei.jp/外交", "查看例句")</f>
        <v/>
      </c>
    </row>
    <row r="1298">
      <c r="A1298" t="inlineStr">
        <is>
          <t>外国</t>
        </is>
      </c>
      <c r="B1298" t="inlineStr">
        <is>
          <t>成功</t>
        </is>
      </c>
      <c r="C1298" t="inlineStr">
        <is>
          <t>読み方：がいこく
自分の国ではない、よその国。</t>
        </is>
      </c>
      <c r="D1298" t="inlineStr">
        <is>
          <t>外国人(3%)；外国船(3%)；外国貿易；外国兵；外国出身</t>
        </is>
      </c>
      <c r="E1298" t="inlineStr">
        <is>
          <t>海外；他国；世界各国；異国；異郷</t>
        </is>
      </c>
      <c r="F1298" t="inlineStr">
        <is>
          <t>外国生活；外国文化；外国使節；外国商館；外国雑誌</t>
        </is>
      </c>
      <c r="G1298" t="inlineStr">
        <is>
          <t>外国語；外国語大；外国人選手；外国籍；外国映画</t>
        </is>
      </c>
      <c r="H1298" t="n">
        <v>29</v>
      </c>
      <c r="I1298" t="inlineStr">
        <is>
          <t>公務であっても外国訪問の場合にはこれらの服を着ていくこともあった。；日本国内で現役のバスが外国まで足を伸ばした大変珍しい事例である。；しかし、外国へ輸出が出来るほどの生産量があるのはインドだけである。；国内メディアが外国通信社記事を使用する場合も同様の規制を設けた。；このころのヨーロッパのトーキーは外国で製作されることが多かった。；日本のパスポートは、あくまで外国に行きやすいからというだけのもの。；外国の料理を特徴としたレストランは主にベイオール地区に集中している。；その国の大部分が外国によって占領されるならば、それは侵攻と呼ばれる。；国籍を有する者が外国から帰国する際にも入国審査を通過する必要がある。；この木は幕末には品川沖の外国船の偵察に利用されたといわれている。；あわせて外国出身者としての視点から見た多くの日本の魅力を紹介している。；しかし、この間に外国との交流試合を開催し、世界水準にまで成長した。；外国や日本国内の他都道府県の出来事は共同通信社の配信記事を使用する。；日本に生息する個体は江戸時代に外国から移入されたといわれる。；題材の相談、資料集めはもちろん外国の学者も紹介してもらった。；この映画は当たり、しかも本国公開から2年も経ずに外国でもヒットした。；外国では主にまたはの意味で用いられ、日本では主にの意味で用いられることが多い。；フィクション作品などでは、外国かぶれのキャラクターが使う例がある。；ヨーロッパのみならず外国に進出するミュージシャンは後を絶たない。；このため、その歴史のほとんどは外国の記録を通してのみ知ることができる。；後者に至ってはレコーディング目的で滞在中の外国での客死である。；ただし「外国」とは書いていないので、信濃国や越前国の可能性もある。；外国の地名でも同様ルールに基づいた表記が見られる。；これはドイツが文化的に外国へ追随していた時代であったためだ。；また外国ではエピソードの順番を変えて放送した場合がある。；いずれにせよ、外国ではこの地をバンコクと呼ぶことが定着した。；異国船打払令とは、江戸幕府が1825年に発した外国船追放令である。；外国の検査技師学校を卒業し厚労大臣の認定を受け国家試験を受験する。；これらは以後、外国からの干渉は受けない自主独立路線の始まりとなった。</t>
        </is>
      </c>
      <c r="J1298">
        <f>HYPERLINK("https://www.weblio.jp/content/外国", "词义详情")</f>
        <v/>
      </c>
      <c r="K1298">
        <f>HYPERLINK("https://yourei.jp/外国", "查看例句")</f>
        <v/>
      </c>
    </row>
    <row r="1299">
      <c r="A1299" t="inlineStr">
        <is>
          <t>外国人</t>
        </is>
      </c>
      <c r="B1299" t="inlineStr">
        <is>
          <t>成功</t>
        </is>
      </c>
      <c r="C1299" t="inlineStr">
        <is>
          <t>読み方：がいこくじん
その国の国籍を持たない人。外人。法律用語としては、外国の国籍を持つ者と無国籍の者をいう。</t>
        </is>
      </c>
      <c r="D1299" t="inlineStr">
        <is>
          <t>外国人選手(3%)；外国人枠；外国人向け；外国人投手；外国人留学生</t>
        </is>
      </c>
      <c r="E1299" t="inlineStr">
        <is>
          <t>外人；エイリアン；夷；異人；見ず知らず</t>
        </is>
      </c>
      <c r="F1299" t="inlineStr">
        <is>
          <t>常連外国人；外国人野手；外国人騎手；外国人監督；外国人男性</t>
        </is>
      </c>
      <c r="G1299" t="inlineStr">
        <is>
          <t>外国人観光客；外国人労働者；外国人居留地；外国人参政権；外国人旅行者</t>
        </is>
      </c>
      <c r="H1299" t="n">
        <v>29</v>
      </c>
      <c r="I1299" t="inlineStr">
        <is>
          <t>制定過程に外国人が関与した点については、議論が今もなお続いている。；売り物ではないため、外国人が目にしたり購入することはとても難しい。；しかし外国人に日本人は人をみて値段を変えると思われることになる。；南側から外国人が訪れる場合は、指定の団体ツアーに参加する必要がある。；日本特有のある物を外国人に見せ、その反応を見てそれが何かを当てる。；武装勢力はこの地で、誘拐した外国人の殺害を繰り返したとされている。；危険なので外国人相手の販売のみで国内では売っていないらしい。；また、留学や研究等で青森県内に在住している外国人をゲストに迎える。；それに伴い、駅周辺では外国人旅行客の姿を多く見かけるようになった。；彼は外国人の専門家に兵士を訓練させ、西欧式の新型火器を装備させた。；一方、日本人を含めた外国人が被害者となる国際詐欺事件が増加している。；そのためソ連時代は外国人の立ち入りが禁止された閉鎖都市であった。；以下は、戦前に外国人向けに出版された軽井沢への旅行案内の一部である。；タイとの国境にあるポイペトには外国人向けのカジノが多数存在する。；実際外国人義勇兵の多くは戦後祖国で冷たく扱われ、裁判にかけられた。；その他にも外国人向けホテルや民泊マンションの新設が相次いでいる。；父母ともに子供が外国人との間に生まれた子であったことを周囲に隠していたという。；外国人は特別に許可された場合を除いて観光が許可されている島以外には入ることができない。；日本プロ野球では初のFA権を行使して移籍した外国人選手となった。；外国人が財政に登用されたのは、シャーバンダル職だけに限らなかった。；この間1868年にロンドン王立協会の外国人会員に選出されている。；日本国内の外国人畜産労働者数は、およそ1万人前後と推計されている。；本格的に外国人避暑客が減少したのは、戦後に入ってからである。；日本には神戸と横浜の外国人クラブにしか芝のグラウンドは無かった。；フランス世論は外国人に向ける目は厳しく、差別の対象にもなっていた。；それ以外の外国人および軍関係者は居住権がないため居住許可証を必要とする。；学生用のユニットのほかに、外国人研究者用の部屋が33室ある。；同年途中にFA権利を取得し、翌年から外国人枠の適用外となる。；また 1904年に外国人向けに発行された写真集にもこの言葉が使われている。</t>
        </is>
      </c>
      <c r="J1299">
        <f>HYPERLINK("https://www.weblio.jp/content/外国人", "词义详情")</f>
        <v/>
      </c>
      <c r="K1299">
        <f>HYPERLINK("https://yourei.jp/外国人", "查看例句")</f>
        <v/>
      </c>
    </row>
    <row r="1300">
      <c r="A1300" t="inlineStr">
        <is>
          <t>開催</t>
        </is>
      </c>
      <c r="B1300" t="inlineStr">
        <is>
          <t>成功</t>
        </is>
      </c>
      <c r="C1300" t="inlineStr">
        <is>
          <t>読み方：かいさい
［名］(スル)集会や催し物を開き行うこと。「総会を—する」</t>
        </is>
      </c>
      <c r="D1300" t="inlineStr">
        <is>
          <t>開催される(14%)；開催時；開催予定；開催地；開催権</t>
        </is>
      </c>
      <c r="E1300" t="inlineStr">
        <is>
          <t>主催；オープン；執行；挙行；執り行う</t>
        </is>
      </c>
      <c r="F1300" t="inlineStr">
        <is>
          <t>初開催；イベント開催；大会開催；競馬開催；地元開催</t>
        </is>
      </c>
      <c r="G1300" t="inlineStr">
        <is>
          <t>開催国；開催日；開催期間；開催中止；開催中</t>
        </is>
      </c>
      <c r="H1300" t="n">
        <v>29</v>
      </c>
      <c r="I1300" t="inlineStr">
        <is>
          <t>スコアボードの下にも座席が設けてあり、野球開催時以外に使用される。；特にドーム球場は当初よりコンサート開催を考慮して設計されている。；なお、最終節は基本的に全試合の開催日と試合開始時間を統一している。；自動車の美しさを競うコンテストや展示会も世界的な規模で開催される。；ただ、馬揃えの開催を求めたのは信長ではなく朝廷であったとされる。；これを利用してフリーマーケットなどのイベントが開催されていた。；アテネでは誰もが知る有名な国際的なスポーツの祭典も多く開催されている。；日本で出版された38冊に及ぶ数学原論や、定期的に開催されるで有名。；また翌1880年には、世界初の野球のナイター試合が開催されている。；この年のリーグ戦は、前後半の区分がない1シーズン制で開催された。；この年開催されたアテネ五輪には黒河貴矢がメンバー入りを果たした。；大会後には同一都市では初となるパラリンピックも開催された。；競技が可能な道路幅と路面状況であることが開催の条件となる。；人気のあるレース・ミーティングはゴールウェイでも開催されている。；開催地決定後もJAWOCと開催する各自治体との緊張関係は続いた。；結局、通常のサッカーモードから90度回転した配置で試合を開催。；国際大会が開催される場合も、基本的にアメリカのルールが基準になっている。；映画祭とは、特定の場所で期間限定で開催される映画関連のイベント。；開催される国・地域、年齢や性別によってローカルルールが適用される。；出場が決まった選手は開催前日の指定時間までに競輪場へ入らなければならない。；第17回から夏季オリンピックの中間年に開催されるようになった。；さらにバドミントンも盛んであり全国選手権大会が開催されている。；日本の七夕祭りは、新暦7月7日や、その前後の時期に開催されている。；各期ごとに試行錯誤が重ねられ、挑戦者決定リーグの開催方式が変更された。；しかし、その代わりに続く2021年大会がカメルーンで開催されている。；なお、店舗の中には本場開催時しか営業していない店舗もある。；これ以降、会場を変えながら、日本国内でも毎年アジア地区予選が開催されている。；しかしもっと中央に近い場所で開催する必要性が出てきた。；地震の発生を受け、各主催者は3月11日に行われていた開催を打ち切り。</t>
        </is>
      </c>
      <c r="J1300">
        <f>HYPERLINK("https://www.weblio.jp/content/開催", "词义详情")</f>
        <v/>
      </c>
      <c r="K1300">
        <f>HYPERLINK("https://yourei.jp/開催", "查看例句")</f>
        <v/>
      </c>
    </row>
    <row r="1301">
      <c r="A1301" t="inlineStr">
        <is>
          <t>改札</t>
        </is>
      </c>
      <c r="B1301" t="inlineStr">
        <is>
          <t>成功</t>
        </is>
      </c>
      <c r="C1301" t="inlineStr">
        <is>
          <t>読み方：かいさつ
［名］(スル)
１駅の出入り口や列車内で、乗客の切符などを調べること。「列車の発着時に—する」「—係」
２「改札口」の略。</t>
        </is>
      </c>
      <c r="D1301" t="inlineStr">
        <is>
          <t>改札外(13%)；改札口(11%)；改札階(9%)；改札機(4%)；改札内(2%)</t>
        </is>
      </c>
      <c r="F1301" t="inlineStr">
        <is>
          <t>北改札；中央改札；東改札；西改札；回転式改札</t>
        </is>
      </c>
      <c r="G1301" t="inlineStr">
        <is>
          <t>改札内；改札機；改札鋏；改札止め</t>
        </is>
      </c>
      <c r="H1301" t="n">
        <v>29</v>
      </c>
      <c r="I1301" t="inlineStr">
        <is>
          <t>工事終了後は改札の内側・外側にそれぞれ独立した地下道となっている。；エレベーターは、各ホームと中央改札口を結ぶもののみ設置されている。；各ホームには北側改札と連絡するエレベーターと待合室を設置している。；在来改札からはそれまで通り階段でしかホームへのアクセスができない。；トイレは改札外の駅舎内と駅舎から東吾野側に少し離れたところにある。；構内は東西改札それぞれにトイレおよびエレベーターが設置されている。；ホーム・改札間にはエスカレータおよびエレベーターが設置されている。；改札はホームごとに独立しており、入場後のホーム同士の往復は不可能。；両改札口から、いずれのホームへも階段なしでアクセス可能となっている。；改札及び桟橋は独立しているが、待合所やトイレなどは独立していない。；別所線・西丸子線の切符も販売し改札も独自のものを使うようになった。；階段やエスカレーターなどは各改札からそれぞれホームへと連絡している。；なお、この建物横の旧改札口のあった場所は現在駐輪場となっている。；以下に記した区間・駅で、改札を出ないで乗り継ぐ場合に限り適用される。；駅舎や改札は設けられておらず、直接ホームに入る形となっていた。；改札とホームを連絡するエレベーターとエスカレーターが設置されている。；改札とホームを連絡するエスカレーターとエレベーターが設置されている。；東豊線の駅では早い段階で南改札口の全ての改札機がカード対応になった。；改札階とホームを連絡するエスカレーター・エレベーターを設置している。；トイレは改札を入ってすぐ右側にあり、多目的トイレも設置されている。；地上階と改札階・ホーム階と改札階を結ぶエレベーターが設置されている。；新木場寄り改札口とホームとの間を連絡するエレベーターが設置されている。；改札口は3か所に設けられており、この内中心となるのは東改札である。；ホーム階と改札階の間にはエスカレーターとエレベーターが設置されている。；駅改良前は売店は改札の外にあったが、改良後は改札内での営業となった。；駅舎内には南口と同様にすべての改札で自動改札機が導入されている。；構内踏切の撤去後は双方のホームは南改札側の地下道で連絡している。；この改札口の利用はアメリカ軍の許可を受けた者に限定される。；改札からホームへ向かう階段の途中にトイレが設置されていた。</t>
        </is>
      </c>
      <c r="J1301">
        <f>HYPERLINK("https://www.weblio.jp/content/改札", "词义详情")</f>
        <v/>
      </c>
      <c r="K1301">
        <f>HYPERLINK("https://yourei.jp/改札", "查看例句")</f>
        <v/>
      </c>
    </row>
    <row r="1302">
      <c r="A1302" t="inlineStr">
        <is>
          <t>改札口</t>
        </is>
      </c>
      <c r="B1302" t="inlineStr">
        <is>
          <t>成功</t>
        </is>
      </c>
      <c r="C1302" t="inlineStr">
        <is>
          <t>読み方：かいさつぐち
駅で、改札をするために設けた出入り口。改札。</t>
        </is>
      </c>
      <c r="D1302" t="inlineStr">
        <is>
          <t>改札口付近；改札口thumb；改札口および；改札口横；改札口側</t>
        </is>
      </c>
      <c r="F1302" t="inlineStr">
        <is>
          <t>中央改札口；北改札口；東改札口；西改札口；無人改札口</t>
        </is>
      </c>
      <c r="H1302" t="n">
        <v>29</v>
      </c>
      <c r="I1302" t="inlineStr">
        <is>
          <t>地上の西大路四条交差点の南西角には駅舎と西改札口が設けられている。；なお現在の改札口は撤去され通路は拡張及び改修され使用を継続する。；改札口とホームの間にエスカレーターとエレベーターが設置されている。；駅舎と改札口はホームごとにあるが、入場後のホーム同士の往復は可能。；ホームと改札口、改札口と地上の間にはエレベーターが設置されている。；駅舎と改札口は、北西側にあり、各ホームとは構内踏切で連絡している。；工事開始に伴い改札口は分離され、西武側に新たに駅舎が建設された。；ホームと改札口との間を連絡するエレベーターが設置されている。；改札口部分の巨大なドーム空間は、地下とは思えない空間を演出している。；ホームの最も上り方の階段を下ると、コンコース・改札口に通じている。；駅舎は下りホーム側にのみ設置されており、西側の改札口は入場のみ可能。；当駅の集札は列車到着直後のみ改札口に係員が立つ仕組みとなっている。；改札口は3か所に設けられており、この内中心となるのは東改札である。；改札口と中2階・ホームとの間にはエレベーターが設置されている。；改札口との間に段差がないため、エレベーター等は設置されていない。；改札口から外に出るためには階段を一旦下ってから上り直す構造となっている。；改札口とホームとの間にはエレベーターとエスカレーターが設置されている。；それまで北側のみに改札口があったが、のちに南側にも改札口が設置された。；広場には改札口を出てからエレベーターまたはエスカレーターを利用する。；改札口と連絡する階段にはエスカレーターとエレベーターが設置されている。；両駅の改札口は分離されているが、両方とも駅の南北を結ぶ連絡通路に面している。；ホームと改札口階との間にはエレベーターが設置されている。；出口2と改札口を結ぶ通路の中間には、展示スペースが設置されている。；改札口は南側ホーム端にあるが、北側ホーム端にも臨時改札口がある。；改札口はホーム内部寄りにあるが、IC改札機を除き検札は行われない。；当駅の改札口付近には、その受賞を記念した銘板が設置されている。；一方、ヨーロッパのほとんどの鉄道駅には改札口は設けられていない。；さらに片町口側の1階にはエレベーター専用改札口も設けられている。；ホームと渋谷方改札口との間にはエレベーターが設置されている。</t>
        </is>
      </c>
      <c r="J1302">
        <f>HYPERLINK("https://www.weblio.jp/content/改札口", "词义详情")</f>
        <v/>
      </c>
      <c r="K1302">
        <f>HYPERLINK("https://yourei.jp/改札口", "查看例句")</f>
        <v/>
      </c>
    </row>
    <row r="1303">
      <c r="A1303" t="inlineStr">
        <is>
          <t>解散</t>
        </is>
      </c>
      <c r="B1303" t="inlineStr">
        <is>
          <t>成功</t>
        </is>
      </c>
      <c r="C1303" t="inlineStr">
        <is>
          <t>読み方：かいさん
［名］(スル)
１集会・行事などが終わって、集まっていた人が分かれてばらばらになること。散会。「デモ隊が—する」「現地—」⇔集合。
２会社・法人・結社などの団体組織を一定の手続きにより解消させること。
３議会の全議員に対し、任期満了前に議員の資格を失わせること。国会では衆議院のみに認められ、内閣不信任案を可決、または信任案を否決したときは、内閣は総辞職するか衆議院を解散しなければならない。また、憲法第七条に基づいて、内閣の裁量による衆議院の解散が行われる。地方公共団体の議会では、有権者の請求による場合、議会が長に対して不信任決議をした場合などに行われる。</t>
        </is>
      </c>
      <c r="D1303" t="inlineStr">
        <is>
          <t>解散後(11%)；解散すること；解散させられ；解散させる；解散命令</t>
        </is>
      </c>
      <c r="E1303" t="inlineStr">
        <is>
          <t>解体；解消；分裂；分かれる；別れる</t>
        </is>
      </c>
      <c r="F1303" t="inlineStr">
        <is>
          <t>バンド解散；会社解散；コンビ解散；事実上解散；自主解散</t>
        </is>
      </c>
      <c r="G1303" t="inlineStr">
        <is>
          <t>解散権；解散コンサート；解散式；解散説；解散詔書</t>
        </is>
      </c>
      <c r="H1303" t="n">
        <v>29</v>
      </c>
      <c r="I1303" t="inlineStr">
        <is>
          <t>会社の解散が予定されているなど、会社の規模を小さくするために行う。；なお、分割会社が分割後に解散する消滅分割を採用している国もある。；議会は大統領の責任を追及できない反面、大統領は議会を解散できない。；ただし、この理論は憲法上無理があったので国会は通常通り解散された。；翌日には高井が、改めてTwitterにて解散した事を報告している。；WEST SIDEに在籍していたコンビが初めて解散する事となった。；このバンドはしばらくして、他のメンバー達の進路の問題で解散する。；日本野球連盟に球団解散の意思を伝えたのは、会見の8時間前であった。；一度昇級した芸人の組が解散して再度舞台に立つ場合もここから始まりとなる。；以降、解散などのアナウンスもないまま、YMOは再び活動を停止する。；その後も活動を続けたが、結成当初は2002年に解散をすると宣言をしていた。；ここで彼らは憲法を制定するまで解散しないことに同意した。；カルパの終焉に当たり宇宙を解散させるのは、この両神に任されている。；さらに、府知事・県令は府県会と衝突するとしばしばこれを解散した。；これら会社・機構の発足とともにほぼ50年続いた当公団は解散した。；しかし、同年5月には、運行再開を断念し会社を解散することが決定した。；選出されたばかりの議会がただちに解散されることとなった。；古代国家の軍隊は、戦時にのみ召集され、戦いが終わると解散された。；同バンドの解散以降はしばらくの間桑田のバンドから離れた。；解散の時点で一般会員・準会員合計で135社が加盟していた。；その後、カキヌマ大サーカスは拠点を海外に移した後、破産・解散した。；演奏されたのは解散前の曲よりも新曲の方が多かった。；彼らは解散と同時に選挙法を改正して既成政党を破壊しようとする意図を持っていた。；大野克夫自身が所属していた井上堯之バンドが解散した1980年に結成。；だが、メンバーの大半はその解散宣言に従わず活動を継続した。；これに伴い、使命を終えた平和台野球株式会社は解散している。；いずれにせよ、この3団体は解散して汪の指導する東亜連盟運動に合流した。；解散後もテレビ番組のBGM等にて、頻繁に楽曲が用いられている。；連盟の解散時にまだ残っていた委任統治領のほとんどは国連信託統治領となった。</t>
        </is>
      </c>
      <c r="J1303">
        <f>HYPERLINK("https://www.weblio.jp/content/解散", "词义详情")</f>
        <v/>
      </c>
      <c r="K1303">
        <f>HYPERLINK("https://yourei.jp/解散", "查看例句")</f>
        <v/>
      </c>
    </row>
    <row r="1304">
      <c r="A1304" t="inlineStr">
        <is>
          <t>改ざん</t>
        </is>
      </c>
      <c r="B1304" t="inlineStr">
        <is>
          <t>成功</t>
        </is>
      </c>
      <c r="C1304" t="inlineStr">
        <is>
          <t>読み方：かいざん
［名］(スル)《「竄」は文字を変える意》文書などの字句を直すこと。特に、悪用するために、勝手に直すこと。「登記簿を—する」</t>
        </is>
      </c>
      <c r="D1304" t="inlineStr">
        <is>
          <t>改ざんする(8%)；改ざん防止；改ざん等を行う；改ざん問題</t>
        </is>
      </c>
      <c r="E1304" t="inlineStr">
        <is>
          <t>操作；細工；捏造；改竄；歪曲</t>
        </is>
      </c>
      <c r="H1304" t="n">
        <v>29</v>
      </c>
      <c r="I1304" t="inlineStr">
        <is>
          <t>感情の張りつけや記憶の改ざんをしたという記憶を消してしまうからです。；本作は何度かのちの時代に改ざんや挿入された箇所があることがわかっている。；また、本作品の内容 を無断で改変、改ざん等を行うことも禁止します。；関係者によれば3040件中300件前後が改ざんに該当するという。；遺言を改ざんしヴァンスを殺して遺産の一部を手にした秘書が逮捕される。；また、本作品の内容を無断で改変、改ざん等を行うことも禁止します。；この用語は、現在でも作業をさぼるための文書の改ざん等を指摘する際に使われる。；捜査記録がここ数日の間に改ざんされたのだ。；これでは発言に完全忠実な記録は困難であったし、内容の改ざんも付き物であった。；本作品中の内容を無断で改変、改ざん等を行うことも禁止します。；また受信者が箱を持っているので送信者が箱の中身を改ざんすることも不可能である。；その一件を解決した後も、別の作品や実在の人物が改ざんされる怪現象が次々に発生していく。；これこそ歴史の改ざんでなくてなんでしょうか。；また、定められた場所とは違うエリアで製造したり、製造機器の使用記録にも不記載や改ざんがあったりしたとしている。；また、本作品の内容を無断で改変したり、改ざんしたりすることも禁止します。；なぜか勝手に御徒町に記憶が改ざんされてた、と香子が小さく呟くのが聞こえた。；記憶の改ざんや解釈の変更など、あらゆる手段を使って、自己正当化を図るのです。；このことから、少なくとも使用されたボーマンダはデータが改ざんされていることが分かる。；また、本作品の内容 を無断で改変したり、改ざんしたりすることも禁止します。；日常的に整備記録を改ざんするなどし、実際にはメンテナンスを行っていない機体が客を乗せ空を飛んでいた。；書類の改ざんを「国も県もやっている」と命じてくるが未宇は牟根田に返事をしない。；本砲は以下の類似火砲と混同されがちであり、かかる誤解からデータの改ざんや性能の推測困難性が主張されることもある。；私は、自分の心を守るために、その記憶を閉じ込め、改ざんした。；文在寅政権ではその他の多数の各種統計も実態とは乖離する結果へ改ざんされた。；一種の幻術を使って、コックピットの燃料メーターの表示を改ざんする形でな。；すでに、資料改ざんのことをあなたに知られていることを知ったのと、思ったより傷が痛み出してきたのとで、佐久間は倒れた。；沙都子がそう思い込んだら、沙都子の世界はそのように改ざんされてしまうのだ。；いずれにしても、この時内藤ジョアンがどこにいたのか、改ざんされたりして明確な史料は残っていない。；かりにわたしの本の出版を許すとしても、それを改ざんして彼らの武器にしたてあげてからのことである。</t>
        </is>
      </c>
      <c r="J1304">
        <f>HYPERLINK("https://www.weblio.jp/content/改ざん", "词义详情")</f>
        <v/>
      </c>
      <c r="K1304">
        <f>HYPERLINK("https://yourei.jp/改ざん", "查看例句")</f>
        <v/>
      </c>
    </row>
    <row r="1305">
      <c r="A1305" t="inlineStr">
        <is>
          <t>開始</t>
        </is>
      </c>
      <c r="B1305" t="inlineStr">
        <is>
          <t>成功</t>
        </is>
      </c>
      <c r="C1305" t="inlineStr">
        <is>
          <t>読み方：かいし
［名］(スル)始めること。また、始まること。「交渉を—する」「試合—」⇔終了。</t>
        </is>
      </c>
      <c r="D1305" t="inlineStr">
        <is>
          <t>開始する(9%)；開始される(3%)；開始時(3%)；開始当初(3%)；開始後</t>
        </is>
      </c>
      <c r="E1305" t="inlineStr">
        <is>
          <t>口；最初；始め；当初；初</t>
        </is>
      </c>
      <c r="F1305" t="inlineStr">
        <is>
          <t>番組開始；供用開始；ゲーム開始；運転開始；配信開始</t>
        </is>
      </c>
      <c r="G1305" t="inlineStr">
        <is>
          <t>開始予定；開始コドン；開始剤</t>
        </is>
      </c>
      <c r="H1305" t="n">
        <v>29</v>
      </c>
      <c r="I1305" t="inlineStr">
        <is>
          <t>物語の舞台は大阪などに移り、次は気象予報士になるための勉強を開始。；イギリスでキャリアを開始し、現在はアメリカ合衆国で活動している。；パターンには以下のように開始と終了を定義するパターンもある。；しかし日本政府はすでに戦闘が開始しているためこれを丁重に辞退した。；これらの区間は、2023年4月1日に使用開始することが発表された。；この提案によりARPAから予算がつき、作業を開始することになった。；また地域貢献の一環として、小学校での訪問授業をこの時期開始した。；レイテンシとは、ある処理が開始してから完了するまでの時間である。；適性試験に合格すれば学位取得のための研究を開始することを認められる。；開始当初から電子マネー機能を搭載しており、駅売店などで利用できる。；この事故によりヨーロッパ・ツアーは開始が6週間遅れることとなった。；その後、ナポレオン戦争時代を舞台にしたシリーズの連載を開始した。；また、港の予想に反して、開始直後から高視聴率を叩き出すことになる。；日本では1982年12月に日本電信電話公社が発行・発売を開始した。；コドンの割り当ては翻訳が開始される先頭のヌクレオチドから行われる。；車内の自動放送も変更され、新たに英語による案内放送が開始された。；これにより韓国で取水された海洋深層水を用いた製品開発が開始された。；ロシアは要請に応じてタジキスタン内のロシア軍基地の使用準備を開始した。；米国は、第二次世界大戦の結果としてイランの統治への干渉を開始した。；だがビールに使用するための大量栽培が開始されたのは13世紀になってからである。；YPGを支援するためシリアに駐留していたアメリカ軍は撤退を開始した。；彼らの知識はヨーロッパに逆輸入され、ルネサンスの開始を助けた。；開始の区切り文字は無く、@で区切る事でユーザー情報の終わりを示す。；時代区分の開始年・終了年を設定するのには常に困難が伴う。；発売は、新しい商品の販売活動を開始する際によく使われる。；金曜日に肉を食べないカトリック教徒向けに1963年に発売開始された。；交渉が開始された時点では中央同盟国の方が有利であった。；カウントダウンのテストは6月26日に開始され、7月2日に終了した。；人の耳は音の開始には敏感だが、音の終了にはあまり注意を払わない傾向がある。</t>
        </is>
      </c>
      <c r="J1305">
        <f>HYPERLINK("https://www.weblio.jp/content/開始", "词义详情")</f>
        <v/>
      </c>
      <c r="K1305">
        <f>HYPERLINK("https://yourei.jp/開始", "查看例句")</f>
        <v/>
      </c>
    </row>
    <row r="1306">
      <c r="A1306" t="inlineStr">
        <is>
          <t>会社員</t>
        </is>
      </c>
      <c r="B1306" t="inlineStr">
        <is>
          <t>成功</t>
        </is>
      </c>
      <c r="C1306" t="inlineStr">
        <is>
          <t>読み方：かいしゃいん
会社に雇われ、働いている人。</t>
        </is>
      </c>
      <c r="D1306" t="inlineStr">
        <is>
          <t>会社員時代(3%)；会社員風；会社員たち；会社員らしい男；会社員vx殺害事件</t>
        </is>
      </c>
      <c r="E1306" t="inlineStr">
        <is>
          <t>職員；サラリーマン；労働者；従業員；勤労者</t>
        </is>
      </c>
      <c r="F1306" t="inlineStr">
        <is>
          <t>若い会社員；元会社員；勤務する会社員；一般会社員</t>
        </is>
      </c>
      <c r="G1306" t="inlineStr">
        <is>
          <t>会社員男性</t>
        </is>
      </c>
      <c r="H1306" t="n">
        <v>29</v>
      </c>
      <c r="I1306" t="inlineStr">
        <is>
          <t>ドアを開ける前、ついてきてくれた会社員ふうの男に彼女は礼を述べる。；教授たちは普通の会社員と違って、あまり遊ぶ自由はなさそうに思える。；後述のようにユニオンプロレス所属時までは会社員としても働いていた。；ある若い男性の会社員が最も美人といわれる女性社員を好きになった。；両者の車の一部が損傷したものの、横峯と男性会社員にケガはなかった。；医者みたいなのもあったし、会社員みたいな格好をした者もあった。；会社員時代に自分の給料や周りの環境・上司などに疑問を持つようになる。；会社員時代は、この優柔不断な性格のおかげで、ずいぶん苦労しました。；まっすぐに前を見つめて、地下鉄の駅へと向かう会社員たちと擦れ違う。；全体的なイメージは会社員というより大学新入生に近い感じである。；一流企業の会社員だった夫は仕事仕事で、ほとんど家に居つかない男だった。；一昨日にはこれも石田から、水口に住む会社員の死亡が伝えられている。；仕事は営業、渡瀬自身も会社員時代当時もよく働いていたと自負している。；よそ目に会社員が二人、事務所を脱け出してさぼっているように見えた。；旦那もいるんだけれど、普通の会社員だから、帰ってくるの夜だしさ。；会社員の目で見たアメリカについては、又別の機会に書いてみたい。；「水を飲んでやしませんか」 髭を生やした会社員風の男が声をかけた。；会社員時代の友人や学校友達はそのことが不思議だという。；しかし跡継ぎであるはずの兄の尊幸は会社員となり、弟の私は東京に出た。；そして会社員の左手は直ぐ奥への入口になつて、二筋の暖簾が垂れてゐた。；現在、彼方は東京、小田は大阪で会社員をしながら芸人活動をしている。；まだ容疑が固まっていないのか、恋人の名前は会社員Aとされていた。；個人と個人の結びつきが会社を動かすということも会社員時代に得たことです。；自殺したのは、東京の若い会社員で、所持品等から身元はすぐに判明した。；大学時代に演劇部にて活動し、地元にて3年間会社員を務めた後に上京。；またある者は宿屋の子であり、会社員の子であり、小農の子であった。；この会社に勤める会社員たちも、花を見て気持ちがなごむことだろう。；父親は会社員で母親は専業主婦、ごくありきたりの家庭に育ったようです。；会社員の生活も、物を書く生活もどちらも本当の、わたしの生活だと思っています。</t>
        </is>
      </c>
      <c r="J1306">
        <f>HYPERLINK("https://www.weblio.jp/content/会社員", "词义详情")</f>
        <v/>
      </c>
      <c r="K1306">
        <f>HYPERLINK("https://yourei.jp/会社員", "查看例句")</f>
        <v/>
      </c>
    </row>
    <row r="1307">
      <c r="A1307" t="inlineStr">
        <is>
          <t>解釈</t>
        </is>
      </c>
      <c r="B1307" t="inlineStr">
        <is>
          <t>成功</t>
        </is>
      </c>
      <c r="C1307" t="inlineStr">
        <is>
          <t>読み方：かいしゃく
［名］(スル)
１言葉や文章の意味・内容を解きほぐして明らかにすること。また、その説明。「徒然草を—する」「英文—」
２物事や人の言動などについて、自分なりに考え理解すること。「善意に—する」</t>
        </is>
      </c>
      <c r="D1307" t="inlineStr">
        <is>
          <t>解釈する(10%)；解釈される(4%)；解釈できる(3%)；解釈すれ；解釈しよ</t>
        </is>
      </c>
      <c r="E1307" t="inlineStr">
        <is>
          <t>説明；表現；理解；取る；解説</t>
        </is>
      </c>
      <c r="F1307" t="inlineStr">
        <is>
          <t>とも解釈；拡大解釈；様々な解釈；新解釈；新しい解釈</t>
        </is>
      </c>
      <c r="G1307" t="inlineStr">
        <is>
          <t>解釈改憲；解釈主義；解釈学的循環</t>
        </is>
      </c>
      <c r="H1307" t="n">
        <v>29</v>
      </c>
      <c r="I1307" t="inlineStr">
        <is>
          <t>上図に現れない次の第三図のケースを問題としていたとする解釈もある。；世界はどのようにも解釈される可能性があり、世界は無数の意味を持つ。；この解釈から証言として知られることになる共通の信仰形態が出現した。；右に述べた以外のどのような解釈も、この条約を無効にするものである。；いやむしろ、あなたがそれに与えた解釈は真の命題でなければならない。；これらは伝承や遺跡の解釈の問題でもあり、すぐには事実と認定できない。；これらの名前が何の意味かは色々な解釈があるが明確には分からない。；一方で、アーノルド・サックレーは以下のように別の解釈をとっている。；創造論には創世記の記述の解釈の仕方の違いによるいくつかの説がある。；上記の通り、「鎖国」は外国との交流を制限するものと解釈されてきた。；UFOが消えたり現れたりすることを空間移動ではなく時間移動と解釈する。；一部の研究者はアステカの哲学を基本的に一神教的であると解釈している。；上記の分類以外に、大学の文学部で行っている学問を指す解釈もある。；この頃、戒律の解釈問題で教団内に対立が起こり、分裂しそうになった。；しかし、フェヒナーの実験の解釈については否定的な様々な見解がある。；しかし、その意味するところはおおむね以下のように解釈されている。；経験的な証拠を異なって解釈することからいかに科学的な論争が巻き起こるか。；しかしながら前述のように解釈の問題が数多いため、実行の壁は高い。；日本国憲法の解釈は、それぞれの機関が権限の範囲内で行なっている。；既に知られている事実がいかに多くとも、別の解釈の可能性がそこには残っている。；データを分析および解釈する実際のプロセスは、計算生物学と呼ばれる。；これは定規とコンパスによる作図で数を定義したものと解釈できる。；ニーチェは、唯一の真実なるものはなく、解釈があるのみだと考えた。；一般には脂っぽい食感に由来する名称と解釈されているが、異説もある。；この部分に対する理論面からの解釈はまだ十分なされていない。；これは認知心理学のアフォーダンスにつながる考え方と解釈されている。；また、このとき与えた添字もやはり被演算子と解釈することが可能である。；むろん、重要な解釈資料としての価値までが失われるわけではない。；また報告徴収・質問は犯罪捜査のために認められたものと解釈してはならない。</t>
        </is>
      </c>
      <c r="J1307">
        <f>HYPERLINK("https://www.weblio.jp/content/解釈", "词义详情")</f>
        <v/>
      </c>
      <c r="K1307">
        <f>HYPERLINK("https://yourei.jp/解釈", "查看例句")</f>
        <v/>
      </c>
    </row>
    <row r="1308">
      <c r="A1308" t="inlineStr">
        <is>
          <t>改修</t>
        </is>
      </c>
      <c r="B1308" t="inlineStr">
        <is>
          <t>成功</t>
        </is>
      </c>
      <c r="C1308" t="inlineStr">
        <is>
          <t>読み方：かいしゅう
［名］(スル)道路・建物などの悪い部分を直すこと。「橋を—する」「—工事」</t>
        </is>
      </c>
      <c r="D1308" t="inlineStr">
        <is>
          <t>改修計画(2%)；改修後；改修前；改修型；改修作業</t>
        </is>
      </c>
      <c r="E1308" t="inlineStr">
        <is>
          <t>改善；改良；修理；修正；直し</t>
        </is>
      </c>
      <c r="F1308" t="inlineStr">
        <is>
          <t>大改修；大規模な改修；大規模改修；全面改修；道路改修</t>
        </is>
      </c>
      <c r="G1308" t="inlineStr">
        <is>
          <t>改修案</t>
        </is>
      </c>
      <c r="H1308" t="n">
        <v>29</v>
      </c>
      <c r="I1308" t="inlineStr">
        <is>
          <t>アメリカ軍で余剰化した機体が再生・改修の上で輸出された例も多い。；なお現在の改札口は撤去され通路は拡張及び改修され使用を継続する。；運用の変更に伴い車両基地の改修・新設・移転などを実施する場合もある。；両艦はオリジナルの設計が四本の煙突だったものを二本へと改修された。；駅舎は1950年完成の2階建てで、数度の改修を経て使用されている。；運河計画は後の本多忠政の時代に船場川を改修して実現することになる。；その他にも改修機とは別に400機が川崎で生産されたとの資料もみられる。；ただしごく一部の端末設備は互換性の問題から改修を要する場合もある。；上写真から60年を経ているが、大きな改修が行われていないことがわかる。；カフェや高校生の自習室を備えた施設に改修して有人を維持するという。；この時点での具体的な改修計画としては、次のようなものであった。；その後改修作業を行い、2017年まで開催権を延長することが承認された。；駅の改修以前は撮影ポイントの案内図が用意されていた。；対戦車ミサイルへの対策として、被弾を前提とした改修が行われている。；国際電信電話の研修センターであった敷地を取得・改修し、開学された。；これには再配管および改修のためにユニットが停止していた数年間の期間が含まれる。；これらの改修作業は、設計から取り付けまで3ヶ月程度で行われた。；これが岩堰用水路であり、明治期に改修を受けた上で現在も使われている。；中世の小城であった城を現代の規模に拡大改修したのも豊氏である。；なお、前述の通りその楽曲の発表翌年である1997年に改修がなされている。；また、2007年までに展示スペースを約二倍にする改修作業が行われた。；最終的にはグラマン社と契約し、1997年に全機の改修が完了した。；宇宙で使用していたボールをベースに水中用に改修した機体。；ゲルググM系の改修機で、肩部を増加スラスターを追加したものに換装。；橋上駅舎化された現在でも、ホーム上屋改修などの改良工事を行っている。；同時期に隣接していた踏切も撤去され道路へと改修された。；ハイザックにメッサーのものに似たシールドを装備した改修機を運用する。；撮影場所は現在改修されたためこの風景ではない。；適法にするための改修を行う場合、改修時点の法律が適用される。</t>
        </is>
      </c>
      <c r="J1308">
        <f>HYPERLINK("https://www.weblio.jp/content/改修", "词义详情")</f>
        <v/>
      </c>
      <c r="K1308">
        <f>HYPERLINK("https://yourei.jp/改修", "查看例句")</f>
        <v/>
      </c>
    </row>
    <row r="1309">
      <c r="A1309" t="inlineStr">
        <is>
          <t>回収</t>
        </is>
      </c>
      <c r="B1309" t="inlineStr">
        <is>
          <t>成功</t>
        </is>
      </c>
      <c r="C1309" t="inlineStr">
        <is>
          <t>読み方：かいしゅう
［名］(スル)
１一度配った物や使った物などを、また集めること。「調査用紙を—する」「廃品—」
２人工衛星・宇宙船などを地上に帰還させること。</t>
        </is>
      </c>
      <c r="D1309" t="inlineStr">
        <is>
          <t>回収する(14%)；回収される(3%)；回収できる；回収しよ；回収作業</t>
        </is>
      </c>
      <c r="E1309" t="inlineStr">
        <is>
          <t>リコール</t>
        </is>
      </c>
      <c r="F1309" t="inlineStr">
        <is>
          <t>全て回収；回収車；ゴミ回収；宝貝回収；金属回収</t>
        </is>
      </c>
      <c r="G1309" t="inlineStr">
        <is>
          <t>回収戦車；回収ボイラー；回収可能価額；回収ウラン；回収代行</t>
        </is>
      </c>
      <c r="H1309" t="n">
        <v>29</v>
      </c>
      <c r="I1309" t="inlineStr">
        <is>
          <t>二次的な危険を防ぐため防具の破片などを全て回収するまで再開はしない。；現在では水銀の回収装置のない状況でのこの作業は禁止されている。；使用後は切り離されて投棄されるものが多いが回収再利用するものもある。；他に免責された債務が回収可能となる方法としては、以下の場合がある。；投げて落ちたものや置いたものはあとで回収することもできる。；ただしどちらの方法でも古いカードは記念カードなどであっても回収されることになる。；公開後映画は大ヒットしたものの、その製作費を回収するには至らなかった。；最終的に回収されたアインスタイニウムの原子数は200以下であった。；ゲームの目的はステージ内にある金塊を敵に捕まらずに回収し脱出すること。；未回収資金については保有資金で対応する方針と表明されている。；第二次世界大戦以後、イレデンタ回収主義はイタリア政治から消滅した。；点数稼ぎは敵を破壊する際に出るコインを回収することでおこなわれる。；逆に当駅で下車する場合は運賃や乗車券は回収箱に入れることになる。；このため開発費を回収できなかったベルは一時倒産の危機に陥った。；最終的に裁判には勝訴するものの、商品の回収と販売禁止の命令をうけた。；また、張られた伏線のうちいくつかは回収されないまま連載が終了している。；その後、戦場に落ちていた怪獣クリスタルは何者かによって回収される。；ただしこの場合アンモニアは回収されず、商品に含まれて出荷される。；清涼飲料水で使用する炭酸ガスも石油由来のものを回収して使用している。；原型か形代かは別にして、朝廷側が宝剣の回収に失敗したのは確定している。；爆発後の試料回収を早くするために実験前にその場所でシャフトを掘削した。；当時ソ連は無人探査機を使って月の試料を回収しようとしていた。；箱は鍵が掛けられた状態で回収された投書は将軍自ら検分した。；フライトは通常通り行われ、E-2A は回収される最後の機であった。；お金の事は考えずに作っちゃうのですが、出来てしまうと、後はどう回収するか。；だが、まもなくレオポルド2世は利益の回収を最優先にするようになった。；必ずしも、投入したエネルギーと回収できるエネルギーの形態は、同一ではない。；満洲国の紙幣は銀本位制となり、旧銀行が発行していた貨幣は回収された。；また廃棄時には環境汚染の原因ともなるため、適切に回収されなければならない。</t>
        </is>
      </c>
      <c r="J1309">
        <f>HYPERLINK("https://www.weblio.jp/content/回収", "词义详情")</f>
        <v/>
      </c>
      <c r="K1309">
        <f>HYPERLINK("https://yourei.jp/回収", "查看例句")</f>
        <v/>
      </c>
    </row>
    <row r="1310">
      <c r="A1310" t="inlineStr">
        <is>
          <t>怪獣</t>
        </is>
      </c>
      <c r="B1310" t="inlineStr">
        <is>
          <t>成功</t>
        </is>
      </c>
      <c r="C1310" t="inlineStr">
        <is>
          <t>読み方：かいじゅう
１正体の知れない不思議な動物。
２多く恐竜に模して創作した、巨大な動物。「—映画」</t>
        </is>
      </c>
      <c r="D1310" t="inlineStr">
        <is>
          <t>怪獣たち(4%)；怪獣男爵(3%)；怪獣軍団；怪獣化；怪獣同士</t>
        </is>
      </c>
      <c r="E1310" t="inlineStr">
        <is>
          <t>鬼；怪物；妖怪；モンスター；魔物</t>
        </is>
      </c>
      <c r="F1310" t="inlineStr">
        <is>
          <t>巨大怪獣；巨大な怪獣；ロボット怪獣；登場怪獣；敵怪獣</t>
        </is>
      </c>
      <c r="G1310" t="inlineStr">
        <is>
          <t>怪獣墓場；怪獣ブーム；怪獣島；怪獣王；怪獣大戦争</t>
        </is>
      </c>
      <c r="H1310" t="n">
        <v>29</v>
      </c>
      <c r="I1310" t="inlineStr">
        <is>
          <t>基本的には怪事件調査のための組織で、怪獣との戦闘は特別任務である。；さらに船首には鳥の頭や怪獣の絵を描き、川の神への魔よけとしている。；怪獣が建物を破壊する場面でも、手で壊すような描写は好まないという。；激しかった怪獣との戦いが過去のものとなり、地球には平和が続いていた。；オープニングの映像には後半に登場する怪獣も先行して登場している。；そのほか、百体怪獣ベリュドラの首を構成する怪獣の1体となっている。；トマノ老人が持つ謎の扉のカードの中にある思い出の世界に住む怪獣。；関連書籍では、過去の怪獣を組み合わせたものではないかとする説が存在している。；南米の伝説で知られており、レッドキングに襲われた人を匿う小型怪獣。；怪獣病院の養護施設にいたが、ある程度の大きさになったので島の一員になる。；人間の自然環境破壊に怒って出現したとされる、山脈のように巨大な怪獣。；予算の制約から着ぐるみは過去のシリーズに登場した怪獣を改造した物が多い。；戦闘の際はチブルスパークを用いてさまざまな怪獣にモンスライブする。；その後、戦場に落ちていた怪獣クリスタルは何者かによって回収される。；怪獣退治には昔ながらの展開があり、特に大まかなものは以下のとおり。；ただし、ストーリー自体はテーマ性よりも怪獣同士の戦いに重きを置いている。；当初は人型の構想であったが怪獣型に変更された。；伊福部と同様に、上野は怪獣や戦闘を表すライトモチーフを用いている。；各怪獣の習性に合わせて区画分けされており、共存を可能としている。；ちなみに水野失脚のころ、沼では謎の怪獣事件が発生したと噂される。；体は大型で、現存する怪獣の中でも最も珍しいもののひとつ。；名称がバルバロイであったころには、人型や四足怪獣のデザインも存在した。；また、実在の生物をモチーフとした怪獣が多いのも初期の特色である。；ガモダマと呼ばれる宇宙金属製の隕石に入れられてやってきた小型の怪獣。；ショウ・ザマはシーラを連れ巨大怪獣の徘徊する嵐の国から脱出を果たす。；オス・メスに加えて、子供まで存在するという極めて希有な怪獣である。；そんなある日、白絹たち3人が井ノ頭公園に来ていたところに怪獣が出現。；その一方で、怪獣とそれを成立させるための設定である宇宙が強く意識されたキャラクター傾向となっている。；ドリルのような腕と、カブトムシのような角を持つ昆虫型怪獣である。</t>
        </is>
      </c>
      <c r="J1310">
        <f>HYPERLINK("https://www.weblio.jp/content/怪獣", "词义详情")</f>
        <v/>
      </c>
      <c r="K1310">
        <f>HYPERLINK("https://yourei.jp/怪獣", "查看例句")</f>
        <v/>
      </c>
    </row>
    <row r="1311">
      <c r="A1311" t="inlineStr">
        <is>
          <t>外出</t>
        </is>
      </c>
      <c r="B1311" t="inlineStr">
        <is>
          <t>成功</t>
        </is>
      </c>
      <c r="C1311" t="inlineStr">
        <is>
          <t>読み方：がいしゅつ
［名］(スル)
１自宅や勤め先などから、よそへ出かけること。「急用で—する」
２物が外部に出ていくこと。
「正金の次第に—するは当然のことなり」〈神田孝平・明六雑誌二二〉</t>
        </is>
      </c>
      <c r="D1311" t="inlineStr">
        <is>
          <t>外出する(15%)；外出先(4%)；外出中(3%)；外出着(2%)；外出時(2%)</t>
        </is>
      </c>
      <c r="E1311" t="inlineStr">
        <is>
          <t>散歩；出かける；出掛ける；出歩く；他行</t>
        </is>
      </c>
      <c r="F1311" t="inlineStr">
        <is>
          <t>夜間外出；一緒に外出；外出すれ；着て外出；自由な外出</t>
        </is>
      </c>
      <c r="G1311" t="inlineStr">
        <is>
          <t>外出自粛；外出禁止令；外出の自由</t>
        </is>
      </c>
      <c r="H1311" t="n">
        <v>29</v>
      </c>
      <c r="I1311" t="inlineStr">
        <is>
          <t>これはダグが妻から外出を許されていたのが金曜の夜だったからである。；しかし外出することが許されなかったためこの食料に頼るしかなかった。；この日には外出時の行動数が限られておらず、どの場所へ何回でも行ける。；中国軍の台湾進駐後も捕虜扱いされることは無く、外出は自由であった。；社内にいるのか、外出しているのか、会議中なのか、などを確認できる。；またフレイヤは、単独での外出および周辺を探検することも許可された。；同じようにフランスなどでは、娼婦の館からの外出が制限されていた。；王妃が外出するには輿を用い、室内に入れば黄金製の椅子に座っている。；天皇が一時的な外出を行う行楽や政変時には、行宮に住むこともあった。；これらは教育市場向けだが、ライターや外出の多いプロもよく使っている。；琉球王国では、王宮での儀式や琉球国王が外出する時などに演奏された。；夫が外で食事する場合、妻は自由に外出して外で昼食を取っていた。；その後なにもなく翌朝を迎えたフランソワはキアラの外出中に襲われる。；外出中妻に発見されたが、酒税で国に奉公しているのだと弁解したという。；長時間外出が許されてからは、可能な限りアフレコにも立ち会っていた。；その一方で映画を見に行ったり、歌会に出席するなど外出を楽しんでいた。；取材に対し、外出した夫が部隊に逮捕されたと周辺住民の女性が確認している。；事件があった日の夜は自分の部屋にいて外出していない。；具体的には軍関係者の基地外への外出や繁華街への立ち入りなどが禁止される。；たとえば、外出しようとしたら家のすぐ前で車が故障していて外に出られなくなるなど。；ちょうどスィアチは外出しており、宮殿にいたのはイズン一人だけだった。；外出先には銀河鉄道指定のホテル・旅館が手配されていることが多い。；周辺住民は外出することができなかったといい、外出した3人は逮捕された。；すでに肝臓癌の末期で、入院中の病院から外出許可を取って演じた。；それから1ヶ月後、外出中のレイにハンコックから電話がかかってくる。；謹慎中は自宅から一歩も外出せず、プラモデル作りに没頭していたという。；この頃から家に引き篭もり、個人的な事で外出する事はなくなった。；そこで勘平が外出しようとすると、伯母が怪しんで外出させてくれない。；このため中華民国政府に目を付けられ、夜間外出ができないこともあった。</t>
        </is>
      </c>
      <c r="J1311">
        <f>HYPERLINK("https://www.weblio.jp/content/外出", "词义详情")</f>
        <v/>
      </c>
      <c r="K1311">
        <f>HYPERLINK("https://yourei.jp/外出", "查看例句")</f>
        <v/>
      </c>
    </row>
    <row r="1312">
      <c r="A1312" t="inlineStr">
        <is>
          <t>解除</t>
        </is>
      </c>
      <c r="B1312" t="inlineStr">
        <is>
          <t>成功</t>
        </is>
      </c>
      <c r="C1312" t="inlineStr">
        <is>
          <t>読み方：かいじょ
［名］(スル)
１今まであった制限・禁止、あるいは特別の状態などをなくして、もとの状態に戻すこと。「規制を—する」「武装—」
２法律で、契約当事者の一方の意思表示によって、成立している契約を初めからなかったものとすること。</t>
        </is>
      </c>
      <c r="D1312" t="inlineStr">
        <is>
          <t>解除する(9%)；解除される(7%)；解除後(5%)；解除できる；解除師</t>
        </is>
      </c>
      <c r="E1312" t="inlineStr">
        <is>
          <t>解放；解消；キャンセル；解禁；解約</t>
        </is>
      </c>
      <c r="F1312" t="inlineStr">
        <is>
          <t>追放解除；電装解除；指定解除；契約解除；接収解除</t>
        </is>
      </c>
      <c r="G1312" t="inlineStr">
        <is>
          <t>解除条件；解除中</t>
        </is>
      </c>
      <c r="H1312" t="n">
        <v>29</v>
      </c>
      <c r="I1312" t="inlineStr">
        <is>
          <t>また、1947年には公職追放を受けたが、翌年には追放を解除された。；また上りは速度制限が解除されるために加速しながら通過することが多い。；また、国の史跡に指定されていた座散乱木遺跡は史跡指定を解除された。；ロックは、支線からの列車が到着したことを検知した後に解除される。；これらの場合は審査のうえで解除することができるとされている。；同日付で磐田と監督契約の解除で合意し、退任することが発表された。；その後は試合に出場せず、不振を理由に8月7日付で契約解除された。；固定したものに向けてもう一度シャッターを押すと固定を解除できる。；下面の蓋は、実包の先端などを利用してロックを解除することで開く。；同日、UFCから正式に契約解除されたことをシウバの弁護士が公表した。；二足歩行で移動し、武装解除した人間には攻撃を加えないよう制御されている。；ただし、ダイヤが乱れた際は女性専用車の設定が解除される場合がある。；このため、津波警報・注意報が解除されるまでは警戒・注意が必要である。；書面によらない贈与の場合、各当事者はいつでも解除することができる。；法的には、元の契約の解除または再売買の一方の予約として構成される。；また、都営線内を走行する際には、定速制御機能そのものが解除される。；そのため、ドッキングを解除して分離することも可能となっている。；再び左手あくしゅスイッチを長押しするとおでかけモードが解除される。；予算の協賛権の効果はあらかじめ同意を与え、大臣の責任を解除する。；その禁止条項はに解除されたが、その後も女性選手との契約は現在まで存在しない。；動員解除を適切に行わねば大変な事態に進展する可能性があった。；タウトはモスクワ市との契約を解除して同年2月にドイツに帰国した。；占領の解除も行われず、経済情勢も不穏となったドイツは混乱をきたした。；全車高速対応工事が施工されていたが、改造時に解除され元番号に復帰している。；翌年1月公職追放となるが、間もなく追放解除となり社長に復帰した。；解除にはクレジットカードでの認証と手数料30円が必要となっている。；前半が安全装置解除で、それを行わないうちは叩いても作動することはない。；むしろ問題となる低温でなく、日長を休眠解除のキーとする動物もある。；よりハンファの正式な打撃コーチとなったが、同年10月に契約解除された。</t>
        </is>
      </c>
      <c r="J1312">
        <f>HYPERLINK("https://www.weblio.jp/content/解除", "词义详情")</f>
        <v/>
      </c>
      <c r="K1312">
        <f>HYPERLINK("https://yourei.jp/解除", "查看例句")</f>
        <v/>
      </c>
    </row>
    <row r="1313">
      <c r="A1313" t="inlineStr">
        <is>
          <t>解消</t>
        </is>
      </c>
      <c r="B1313" t="inlineStr">
        <is>
          <t>成功</t>
        </is>
      </c>
      <c r="C1313" t="inlineStr">
        <is>
          <t>読み方：かいしょう
［名］(スル)今までの状態や関係、約束などが消えてなくなること。また、それらをなくすこと。「不満を—する」「契約を—する」</t>
        </is>
      </c>
      <c r="D1313" t="inlineStr">
        <is>
          <t>解消するため(8%)；解消される(4%)；解消後；解消しよ；解消できる</t>
        </is>
      </c>
      <c r="E1313" t="inlineStr">
        <is>
          <t>廃止；停止；中止；解散；解体</t>
        </is>
      </c>
      <c r="F1313" t="inlineStr">
        <is>
          <t>婚約解消；発展解消；渋滞解消；政党解消；コンビ解消</t>
        </is>
      </c>
      <c r="H1313" t="n">
        <v>29</v>
      </c>
      <c r="I1313" t="inlineStr">
        <is>
          <t>最後まで拒否していた名古屋店もスタンプを作るようになり解消された。；ワーナーとの契約解消以降はアルバムの販売なども特別な手法を取った。；また、彼らは連盟の機構を利用して、関係の改善や対立の解消に努めていた。；これにより百姓らが負担していた兵役の任務はほぼ解消されることとなった。；死別しなければ前年のペアを解消することは少なく、同じ巣を利用する。；同時に、株を売却し、相互に持ち合う関係を解消する動きも出てきた。；阿南が人事局長時代に力を入れたことのひとつが将校の不足解消であった。；国会で問題視され文部省による是正措置が行われた後は解消しつつある。；この状況を解消すべく、所沢市が主体で単独立体交差事業を実施している。；この場合、嫁入りと同時に雇用関係が解消されるのが一般的であった。；現在は五香駅のエレベータの設置などで、問題は少しずつ解消しつつある。；このような状況を解消すべく、橋上駅舎と東西自由通路の建設が決定された。；また、現場でも長年の主従意識は容易に解消できるものではない。；糧食不足は、平壌で清軍のものを確保したことにより、当面解消された。；しかし村内の対立は解消されず、分村問題が浮上することになった。；さらにこの実験から、ラヴォアジエは自らの説の問題点を解消することができた。；のちに政重との養子縁組が解消された後も本多家との交流は続いた。；発生した欲求を解消するために起こす行動は、下記のように分類することができる。；共同使用解消後に改札外通路となり、西口歩道橋と接続するようになった。；Unicodeはその問題を解消し、文字集合を統一するために生まれた。；後に道路を地下化することによる立体交差化が行われたため、解消されている。；これを受けて所属事務所は、ASKAとのエージェント契約解消を発表。；この迂回を解消するため戦後国鉄では短絡線の建設を計画していた。；パーティーはリーダーが承認するか死亡する事によって解消することができる。；日本では平成の代から狭あい道路の解消にむけて全国各地で行われている。；そのような中、企業グループの解体・希薄化、持ち合いの解消が進んだ。；初期の天守台に見られる平面形の歪みを解消するために考えられた。；ただし、次の自分のツモを経た後であれば、同巡内フリテンは解消される。；だが別種の鉛化合物が使用されるなど鉛中毒のリスクは解消されていない。</t>
        </is>
      </c>
      <c r="J1313">
        <f>HYPERLINK("https://www.weblio.jp/content/解消", "词义详情")</f>
        <v/>
      </c>
      <c r="K1313">
        <f>HYPERLINK("https://yourei.jp/解消", "查看例句")</f>
        <v/>
      </c>
    </row>
    <row r="1314">
      <c r="A1314" t="inlineStr">
        <is>
          <t>会場</t>
        </is>
      </c>
      <c r="B1314" t="inlineStr">
        <is>
          <t>成功</t>
        </is>
      </c>
      <c r="C1314" t="inlineStr">
        <is>
          <t>読み方：かいじょう
会合・催し物・集会などを開く場所。</t>
        </is>
      </c>
      <c r="D1314" t="inlineStr">
        <is>
          <t>会場周辺；会場全体；会場近く；会場入り；会場設営</t>
        </is>
      </c>
      <c r="E1314" t="inlineStr">
        <is>
          <t>ホール；式場</t>
        </is>
      </c>
      <c r="F1314" t="inlineStr">
        <is>
          <t>主会場；試験会場；各会場；パーティ会場；大会会場</t>
        </is>
      </c>
      <c r="G1314" t="inlineStr">
        <is>
          <t>会場限定；会場中；会場線；会場盤</t>
        </is>
      </c>
      <c r="H1314" t="n">
        <v>29</v>
      </c>
      <c r="I1314" t="inlineStr">
        <is>
          <t>きっかけは当初の同番組の収録会場であったうめだ花月の改修であった。；第36回は史上初めて全11地区の会場で同日同時刻に予選が行われた。；これらの施設は多くのトップアスリートが練習会場として利用している。；やがてライブが終了し、観客が会場から溢れてくる中に星野を発見する。；次第に会場の確保は困難となり、利用を拒否される出来事も起きた。；この楽曲は国立新美術館で開催中の同展覧会場の映像にも使用された。；ある人物は次のように絶叫して会場を後にしたと記述している。；日本選手権をはじめとしたローンボウルズの競技会会場にもなっている。；この他、ブンカー・ウルマーヴァルはの演奏が行われる会場でもあった。；前半と異なり番組そのものが会場となるプールからの中継となる。；大規模な大会のように各地を巡回はせず、毎年同じ会場で開かれることが多い。；メキシコでは迎える年の願いを示す色で家庭やパーティ会場を飾る。；代わりに会場と契約して場所を提供している形になる。；第32回からは東京よみうりCCに会場が固定されて開催されている。；すでに会場を抑えたが、その段階ではメンバーへの交渉が始まっていない状態だった。；実際に、敬礼をする際には「会場の一番隅を見ている」と語っている。；またこれら以外に、会場などで一時的に利用できる形態もある。；また公式大会の会場で販売されていたものもあった。；現在の見本市会場は東西ドイツ統一後に市街北部に新設されたものである。；会場にも4台のカメラを設置して試合を追いかけて中継を行った。；それらの作品は展示会の会場およびネット通販で購入が可能である。；名古屋会場での開催と、鹿児島会場・福岡会場での開催が追加された。；多くの種類の演劇のための主要会場である修復されたレンシック劇場を使っている。；その他中学通信や高校総体の県大会もこの会場で開催される。；会場に開閉式の屋根を設置した大会は全豪オープンが最初である。；また、年に数回程度、コンサート・ライブの会場として使われることがある。；これが会場外でも宣伝になって、松下館はさらに人気を呼んだ。；準備委員会の主な業務は、各部門の日程・会場の調整等である。；これ以降、会場を変えながら、日本国内でも毎年アジア地区予選が開催されている。</t>
        </is>
      </c>
      <c r="J1314">
        <f>HYPERLINK("https://www.weblio.jp/content/会場", "词义详情")</f>
        <v/>
      </c>
      <c r="K1314">
        <f>HYPERLINK("https://yourei.jp/会場", "查看例句")</f>
        <v/>
      </c>
    </row>
    <row r="1315">
      <c r="A1315" t="inlineStr">
        <is>
          <t>外相</t>
        </is>
      </c>
      <c r="B1315" t="inlineStr">
        <is>
          <t>成功</t>
        </is>
      </c>
      <c r="C1315" t="inlineStr">
        <is>
          <t>読み方：がいしょう
外務大臣のこと。</t>
        </is>
      </c>
      <c r="D1315" t="inlineStr">
        <is>
          <t>外相就任；外相時代；外相官邸；外相リッベントロップ；外相在任</t>
        </is>
      </c>
      <c r="E1315" t="inlineStr">
        <is>
          <t>外務大臣</t>
        </is>
      </c>
      <c r="F1315" t="inlineStr">
        <is>
          <t>東郷外相；元外相；幣原外相；兼外相；豊田外相</t>
        </is>
      </c>
      <c r="G1315" t="inlineStr">
        <is>
          <t>外相会議；外相理事会</t>
        </is>
      </c>
      <c r="H1315" t="n">
        <v>29</v>
      </c>
      <c r="I1315" t="inlineStr">
        <is>
          <t>以降、ことあるごとに田中外相と外務官僚の対立が続くようになった。；国際会議にも頻繁に出席し、「軍の外相」の異名を持つ事が報じられた。；この時期の友人に後にウガンダの外相となるオララ・オタンノがいた。；上級代表に就いたことでソラナは「ヨーロッパの初代外相」と称された。；ステフェン・ファンアッケレ外相によると議会の過半数が作戦を支持した。；この方針に反対した対ロシア開戦慎重派の外相ダービー伯爵が辞職した。；この見解は外相デイヴィッド・ミリバンドの意見と対立するものとなっている。；後にエフゲニー・プリマコフが外相になった際にはこの路線は修正されることになる。；カニングが外相に就任してからイギリスとヨーロッパの自由主義は刺激された。；この外相指名はドイツの外交路線がより急進的な方向に向かったことを意味する。；一連の騒動の後、更に田中も2002年1月30日に外相を更迭された。；しかし、羽田は野にあって自由な行動を取ることを選択、外相就任を断った。；また、この条約では、協議のための外相委員会が設置されている。；父・洋右は外交官出身の政治家で立憲政友会代議士や外相を歴任した。；しかし戦争末期の混乱期の任命であったため、実際に外相の職務を執ったわけではない。；当時の町村信孝外相も、日米安保は台湾地域も対象に入ると言明した。；A級戦犯でありながら首相になったり、外相になった方もいる。；第2次メルケル内閣が成立した10月28日に副首相・外相を離職した。；モロトフ外相は暗号を使用して東京へ連絡する事を許可した。；彼は1977年に国会議長に就任し、1980年には外相に就任した。；日本の参戦が不可避になるとグレイ外相は参戦範囲を中国沿岸域に限定しようとした。；クウェート政府はこれに抗議し、イラク外相が釈明する事態となった。；同年ブランデンブルク伯爵が死去したのち、外相代行に任命された。；彼はエリザベートと親しい関係にあり、後に帝国の外相も勤めることになる。；外相再登板後は、麻生が提起した「北方領土面積二等分論」を強く批判。；ソ連は英仏の求めに応じ、外相ヴャチェスラフ・モロトフをパリへ派遣することが決定した。；文久遣欧使節団は最初フランスに赴き、仏外相と交渉するが不調に終わる。；ロシア外相アレクサンドル・ゴルチャコフはイギリスに中立を要求してきた。；またロシアの抗議自体も後任外相榎本武揚の奔走で撤回されることとなった。</t>
        </is>
      </c>
      <c r="J1315">
        <f>HYPERLINK("https://www.weblio.jp/content/外相", "词义详情")</f>
        <v/>
      </c>
      <c r="K1315">
        <f>HYPERLINK("https://yourei.jp/外相", "查看例句")</f>
        <v/>
      </c>
    </row>
    <row r="1316">
      <c r="A1316" t="inlineStr">
        <is>
          <t>外食</t>
        </is>
      </c>
      <c r="B1316" t="inlineStr">
        <is>
          <t>成功</t>
        </is>
      </c>
      <c r="C1316" t="inlineStr">
        <is>
          <t>読み方：がいしょく
［名］(スル)家庭以外で食事をとること。また、その食事。→中食(なかしょく) →内食(うちしょく)</t>
        </is>
      </c>
      <c r="D1316" t="inlineStr">
        <is>
          <t>外食券(11%)；外食事業(5%)；外食企業(3%)；外食業界；外食チェーンストア</t>
        </is>
      </c>
      <c r="F1316" t="inlineStr">
        <is>
          <t>外食向け；一緒に外食；外食券食堂；外食事業者</t>
        </is>
      </c>
      <c r="G1316" t="inlineStr">
        <is>
          <t>外食産業；外食店；外食業；外食文化研究所</t>
        </is>
      </c>
      <c r="H1316" t="n">
        <v>29</v>
      </c>
      <c r="I1316" t="inlineStr">
        <is>
          <t>そりゃ外食をするのは、一人よりも誰かといっしょの方が楽しいだろう。；購入する外食業者側も、調理に使って売却すれば自分の口には入らない。；では、食事なんかはどうしているかというと、すべて外食らしいのです。；いつもは面倒に思えるときがあって、外食に頼ることも珍しくないのだ。；けれども、外食が多いのか、自炊をすることもあるのかは聞いていない。；もともとが外食から生まれた料理であり、家庭で食べられることは殆どない。；価格はかつては驚くほど安かったが最近では周辺の外食程度である。；久し振りに帰って来た道浦を迎えて、妻や子供たちは彼を外食へ誘った。；まず妻に、自分は外食するのは苦手であることを告げる事から始めよう。；この日々の積み重ねがあればこそ、外食やら 遊びにいくやら出来るのだ。；また長男夫婦と同居していたが、外食して帰ることもあったという。；基本的に外食する料理であり、ベトナム現地にはチェーン店も存在する。；「今日は外食にしような」 ソファーからおりて父のもとに駆け寄った。；日曜の夜は家族で外食をするのが、この町に移り住んでからの習慣だ。；ところが家庭用の米を配給されている者には外食券が与えられない。；ゆきだおれはたいてい外食者だそうで、このままでは生命にかかわるという。；父はほぼ毎日外食で、私はインスタント食品を食べることが多かった。；第一食事はその若い人々が、自弁で、外食券で、食べなければならない。；現在もブログで、外食した時の食事の写真を頻繁に公開している。；昼食も弁当を作って外食はせずにコツコツお金を貯めて来るんですって。；母もいっしょに外食するのだと思っていたけど違った。；僕がいつも行く外食食堂の前にはいつものやうに靴磨屋がゐる。；外食したいにもサラリーがないのだから、いつも腹がグーグー鳴っている。；つつましい生活を送っていた二人にとってはほとんど唯一の外食の機会である。；うちの両親は仲がいいから、ぼくがいなければきっと今夜あたりどこかで外食でもしているだろう。；ぼくは基本的に外食しないけど、ここにはときどき来るんです。；食事の時刻には私は部屋を出て外食食堂に行つた。；外食が多いが、心の中では妻の手料理が一番美味しいと思っている。；焼肉が高級外食とされ、専門店も多く韓国以外の国でも人気がある。</t>
        </is>
      </c>
      <c r="J1316">
        <f>HYPERLINK("https://www.weblio.jp/content/外食", "词义详情")</f>
        <v/>
      </c>
      <c r="K1316">
        <f>HYPERLINK("https://yourei.jp/外食", "查看例句")</f>
        <v/>
      </c>
    </row>
    <row r="1317">
      <c r="A1317" t="inlineStr">
        <is>
          <t>会心</t>
        </is>
      </c>
      <c r="B1317" t="inlineStr">
        <is>
          <t>成功</t>
        </is>
      </c>
      <c r="C1317" t="inlineStr">
        <is>
          <t>読み方：かいしん
１心にかなうこと。期待どおりにいって満足すること。「—の笑みを浮かべる」
２納得すること。会得すること。
「以上の道理を—して爰に人に就て云わんに」〈福沢・福翁百話〉</t>
        </is>
      </c>
      <c r="D1317" t="inlineStr">
        <is>
          <t>会心率</t>
        </is>
      </c>
      <c r="E1317" t="inlineStr">
        <is>
          <t>満足；喜び；納得；補償；堪能</t>
        </is>
      </c>
      <c r="G1317" t="inlineStr">
        <is>
          <t>会心の一撃；会心作</t>
        </is>
      </c>
      <c r="H1317" t="n">
        <v>29</v>
      </c>
      <c r="I1317" t="inlineStr">
        <is>
          <t>その事実を確認すると、警部は勝利を確信したかのような会心の笑み。；廊下の空で、こんな場合に虫籠右陣は、にたっと会心の笑みを浮かべた。；これはかれがなにか会心の事実に気がついたときにやるくせである。；そしてそれは疑いもなく私一生涯の幸福であると会心の笑みを漏しています。；口元に笑みが浮かんでいるのは、実験が会心の結果に終わったからか。；二人の男は顔を見合わせ、どちらからともなく会心の笑みを浮かべた。；この人は、会心の詩を朗吟して、よく深夜人をおどろかす癖があります。；元親はそれを見おくりながら、会心の微笑とともにつぶやいたのである。；顔に会心の笑みを浮かべ、視線は左手の指の先に向けられている。；この問題について人のことながら思わず会心の笑みを洩らしたことがある。；私は自分が手にしているものを彼に見せ、会心の笑顔を向けた。；会心の写真がとれるまではいつまでだって待つつもりでいるんです。；わざとらしい手間をかけ、例のお伽の猫を真似て会心の笑いをつくった。；真相をひた隠す信長は、洩れ聞くその噂に会心の笑みを浮べたであろう。；会心の笑みを浮かべながら、前と同じ苦労をして人ごみの外に出た。；文句なく会心の出来だったのだから、なにか一言あっても良かったと思うのだ。；しかし第15ステージではプリドールが会心の走りを見せて区間優勝。；その異様な顔を見下ろして、志摩介の美しい顔に、会心の笑みが浮んだ。；それは、会心の笑みと力とをこめて思わず打った強さだった。；検察官は会心の笑みを見せて、ドクターの胸元に拳を当てたりしている。；だが佐々木は、会心の笑みといってもいいような微笑を泛べていた。；救いは相手も同じことを考えていて、会心のあがりになっていないことだった。；こうして会心のチームプレーで勝った日はフトンの中で一人クスクス笑いをした。；作りつつある木剣を、まずこれでよし、と見た会心の笑いであろう。；二人の秘密のノートの中で、一人は会心の笑みを浮かべ、一人は恐れはじめていた。；つまり会心の女を得ると、いままでの女をいっせいに処分するのが常であった。；自身もチームも会心の成績を残したコーウェンスはシーズンMVPを受賞した。；亡き友の魂もその講義の席につらなって会心の笑みをもらすであろう。；ユリアンとフレデリカは、それが会心ともいえる笑いであることを理解した。</t>
        </is>
      </c>
      <c r="J1317">
        <f>HYPERLINK("https://www.weblio.jp/content/会心", "词义详情")</f>
        <v/>
      </c>
      <c r="K1317">
        <f>HYPERLINK("https://yourei.jp/会心", "查看例句")</f>
        <v/>
      </c>
    </row>
    <row r="1318">
      <c r="A1318" t="inlineStr">
        <is>
          <t>海水浴</t>
        </is>
      </c>
      <c r="B1318" t="inlineStr">
        <is>
          <t>成功</t>
        </is>
      </c>
      <c r="C1318" t="inlineStr">
        <is>
          <t>読み方：かいすいよく
海に行って泳いだり、日光浴をしたりすること。《季夏》</t>
        </is>
      </c>
      <c r="D1318" t="inlineStr">
        <is>
          <t>海水浴客(25%)；海水浴シーズン(5%)；海水浴場(2%)；海水浴用；海水浴旅館</t>
        </is>
      </c>
      <c r="F1318" t="inlineStr">
        <is>
          <t>広〜い宇宙で海水浴</t>
        </is>
      </c>
      <c r="G1318" t="inlineStr">
        <is>
          <t>海水浴適地</t>
        </is>
      </c>
      <c r="H1318" t="n">
        <v>29</v>
      </c>
      <c r="I1318" t="inlineStr">
        <is>
          <t>一度だけ、父が私と妹を海水浴に連れていってくれたことを覚えている。；もう今では崖の下の海で、晴れ間を見て子供たちが海水浴を始めている。；だが海水浴客は、その先にある青い沖へ出て泳ぐことを禁止されている。；夏になると海水浴に来た学生たちで、庭がいっぱいになったものだったわ。；仲間の三人が海水浴に行っている間に、何度も繰り返し練習をさせられた。；海水浴の季節にはまだまがあるせいか、人影はほかにはほとんどない。；私の友達のMと私と妹とはお名残だといって海水浴にゆくことにしました。；わざわざ京都から東京まできて、一人きりで海水浴に行くはずがない。；このへんが海水浴用の海岸であるらしく、ホテルもこのあたりに多い。；もう夏の海水浴のポスタアも描かなければならなくなつてゐるんですから。；普通の海水浴客であったら、すぐにまわれ右して家に戻ればそれでいい。；施設にいるときは、夏になると海水浴につれていってもらう楽しみがあった。；境には前年の夏に町内の海水浴で一回行ったことがあるきりだった。；夏の季節なら、海水浴客で一杯なのだろうが、今は、海に人の気配はない。；昼行性であることもあり、海水浴客にとっては非常に危険な生物である。；私はいつも何やかと理窟を並べて、なるべく海水浴をしない算段をした。；が海水浴専門の場所なので私のほかには客は一人もなかつた。；東京に住んでいると海水浴に行こうという発想がなかなか出てこない。；海水浴に行ったときのことを申しているのではございません。；それを渡りさへすれば、その志す原釜海水浴であるのがそれとわかつた。；正午の休みの海水浴を待ちながら ゆっくりからだを休められるように。；丁度あの海水浴に冠るやうな縁の廣い麥藁帽子が流行つて來た時でした。；このことは、この新しい海水浴地を大いに活気づけることにつながった。；夏の間、あれだけ海水浴客が出ていた海岸道路にも、人影は少ない。；京阪神間では最も近いサーフィンのできる海水浴場として知られている。；「これが海水浴というものか」と、私ははじめて強い印象を与えられた。；海水浴だから、裸になるのは当たり前でしょう、というわけなんですね。；とくに専用の施設なんかは建てられてないが、海水浴には絶好の場所である。；何の脈絡もなく、少女のころ海水浴に行った苫前の海が目に浮かんだ。</t>
        </is>
      </c>
      <c r="J1318">
        <f>HYPERLINK("https://www.weblio.jp/content/海水浴", "词义详情")</f>
        <v/>
      </c>
      <c r="K1318">
        <f>HYPERLINK("https://yourei.jp/海水浴", "查看例句")</f>
        <v/>
      </c>
    </row>
    <row r="1319">
      <c r="A1319" t="inlineStr">
        <is>
          <t>回数</t>
        </is>
      </c>
      <c r="B1319" t="inlineStr">
        <is>
          <t>成功</t>
        </is>
      </c>
      <c r="C1319" t="inlineStr">
        <is>
          <t>読み方：かいすう
ある物事が繰り返し行われた数。または、繰り返し起こる数。度数。</t>
        </is>
      </c>
      <c r="D1319" t="inlineStr">
        <is>
          <t>回数制限；回数券；回数分；回数以上；回数カード</t>
        </is>
      </c>
      <c r="E1319" t="inlineStr">
        <is>
          <t>頻度；度数；出現率；発生率</t>
        </is>
      </c>
      <c r="F1319" t="inlineStr">
        <is>
          <t>放送回数；使用回数；登場回数；出場回数；出演回数</t>
        </is>
      </c>
      <c r="G1319" t="inlineStr">
        <is>
          <t>回数乗車券</t>
        </is>
      </c>
      <c r="H1319" t="n">
        <v>29</v>
      </c>
      <c r="I1319" t="inlineStr">
        <is>
          <t>全国に公演回数が増加していることから、漫画制作がさらに遅れている。；決定戦での勝率ならびに決定戦での優勝回数はそれぞれ最高記録保持者。；以下は理論値ではなく、ある期間の観測結果からの年間の回数である。；ゲームでの競技者の人数やボールに接触可能な回数も競技別に異なる。；このとき、 を時刻 より前に発生した事象の回数とすると、 となる。；各種武器と似た特徴を持ち、使用回数が切れても消滅せず宿屋で回復する。；中部はアメリカの雷首都とも呼ばれ、国内のどこよりも雷発生回数が多い。；より大きな特徴が、戦闘回数と連動する敵の強さのシステムの導入である。；ほとんどの武器に使用回数が設けられているシステムも引き続き採用されている。；チームは、ある距離を獲得するために限られた回数のダウンを与えられる。；開始日・放送回数ともに日本における民放テレビの最長寿番組であった。；また2019年は中止となり回数に数えないが当初予定を参考までに記載。；また、使用回数は少ないが、肩や脚部に装備されたミサイルも存在する。；魔法はマジックポイントを消費するのではなく、使用回数制となっている。；基準となる成績は具体的に、2連率・勝率・事故率・出走回数である。；超獣や侵略宇宙人に襲撃されたり、Aと超獣の戦場となった回数も多い。；使用回数が多いものもあれば、1回しか使われなかったものもある。；この回数の違いは正常分娩児の入院日数に関係していると考えられる。；データの量が少ないときにはあまり効果がないが、多いときには比較回数が少なくなる。；日本でも人気のあるジャズ・ベーシストであり、来日回数も極めて多い。；ただし現代においては公認取得の回数は制限されている場合が多い。；同じく動物の一部種の正常な体細胞では一定回数以上分裂できない現象がある。；この時点で通算優勝回数が124回となり、大山康晴の最多記録に並ぶ。；装備するだけで効果を発揮し、原則使用はできないため、使用回数に制限は無い。；更新の回数は、次の場合には制限がないが、それ以外の場合は1回に限られる。；声優名が入っているキャラクターは小説・アニメ共に出演回数の多い準レギュラー。；放送回数は増加したが、曜日毎にワンテーマに沿った企画に構成が変更された。；このモードにおける撃墜数・落下数・試合回数などの各記録は保存されない。；だが、おしんはなかがおしんのために食事の回数を減らしていたのを知る。</t>
        </is>
      </c>
      <c r="J1319">
        <f>HYPERLINK("https://www.weblio.jp/content/回数", "词义详情")</f>
        <v/>
      </c>
      <c r="K1319">
        <f>HYPERLINK("https://yourei.jp/回数", "查看例句")</f>
        <v/>
      </c>
    </row>
    <row r="1320">
      <c r="A1320" t="inlineStr">
        <is>
          <t>回数券</t>
        </is>
      </c>
      <c r="B1320" t="inlineStr">
        <is>
          <t>成功</t>
        </is>
      </c>
      <c r="C1320" t="inlineStr">
        <is>
          <t>読み方：かいすうけん
乗車券・入場券・飲食券などで、何回分かがひとつづりになっているもの。料金の一定額を割り引くのが普通。</t>
        </is>
      </c>
      <c r="D1320" t="inlineStr">
        <is>
          <t>回数券カード；回数券タイプ；回数券等；回数券類；回数券引き換えサービス</t>
        </is>
      </c>
      <c r="F1320" t="inlineStr">
        <is>
          <t>共通回数券；普通回数券；式回数券；割引回数券；時差回数券</t>
        </is>
      </c>
      <c r="H1320" t="n">
        <v>29</v>
      </c>
      <c r="I1320" t="inlineStr">
        <is>
          <t>現金・回数券利用の場合は一般路線と同じ区間制の運賃を徴収していた。；これからもどうせずっと来ることになるだろうから、回数券を買った。；これにより、以前は使用できなかった回数券の引き換えも可能になった。；車内支払いより割安になる共通回数券は空港内の売店で販売されている。；この回数券の有効期間は2008年末までであり、現在は発売されていない。；この他、掛川バスサービスの路線と共通の回数券や定期券が利用できる。；定期券・回数券を持っている場合でも整理券を取らなければならない。；ETCによる精算が出来るようになった後も回数券販売が継続されていた。；これに伴い、当路線と市バスの両方に乗車できる共通回数券も設定された。；ETC運用開始前までは回数券があったが、現在は廃止されている。；なんといっても大事な点は、デウィットが持っていた回数券の入れ場所です。；また運賃改定も行い、同年5月からは新たに回数券や定期券も発売した。；開設時は、カード・回数券・定期券等が一般路線と区別され利用できなかった。；その関係で現在は別会社になった上田バスの回数券などの取扱いを行っている。；かつては房総特急回数券という名称であったが、現在の名称に改称された。；いかに回数券をくれた張本人とはいえそれだけでここにいる理由にはならん。；回数券の販売は2019年10月31日で終了したが使用することはできる。；従来の回数券と比較すると利便性が高いため、普及はかなり早かった。；私鉄の回数券や日本国外の鉄道では、縦長で発券されるものもみられる。；交通費は樋口さんが羽貫さんからもらった回数券で支払ってくれました。；末期まで一部の回数券・定期券に関しては共通利用可能になっていた。；従来より発行されている回数券は引き続き利用できる。；インディーズ作品版は回数券のようなシステムで、使い切りのスタイルであった。；また当路線専用回数券を本社窓口およびバス車内で発売している。；関鉄常総線の定期券・回数券・企画乗車券は北口駅舎では購入できない。；ICカード導入に伴って回数券の販売を2020年9月30日で終了した。；第四、回数券がなぜ胸の内ポケットにあったかを説明している。；他に10杯分の値段で11杯ラーメンが食べられる回数券を発売している。；また同日より西東京バスの回数券も利用できるようになった。</t>
        </is>
      </c>
      <c r="J1320">
        <f>HYPERLINK("https://www.weblio.jp/content/回数券", "词义详情")</f>
        <v/>
      </c>
      <c r="K1320">
        <f>HYPERLINK("https://yourei.jp/回数券", "查看例句")</f>
        <v/>
      </c>
    </row>
    <row r="1321">
      <c r="A1321" t="inlineStr">
        <is>
          <t>害する</t>
        </is>
      </c>
      <c r="B1321" t="inlineStr">
        <is>
          <t>成功</t>
        </is>
      </c>
      <c r="C1321" t="inlineStr">
        <is>
          <t>読み方：がいする
［動サ変］［文］がい・す［サ変］
１傷つける。損なう。「健康を—・する」「気分を—・する」
２さまたげる。邪魔する。「展望を—・する」
３殺害する。殺す。「人を—・する」</t>
        </is>
      </c>
      <c r="D1321" t="inlineStr">
        <is>
          <t>害するおそれ；害することなく；害する可能性；害するかもしれ；害することなし</t>
        </is>
      </c>
      <c r="E1321" t="inlineStr">
        <is>
          <t>殺害；殺す；邪魔；損傷；損害</t>
        </is>
      </c>
      <c r="H1321" t="n">
        <v>29</v>
      </c>
      <c r="I1321" t="inlineStr">
        <is>
          <t>だから仕事のうえであの男の立場を害するようなことは、しないつもりだ。；わたしの周辺にはわたしの健康を害するようなものはなに一つない。；その治療にはヒ素が用いられたため、余計に健康を害することとなった。；結局、あの女がどこで何をしたってこちらの気分を害する結果になるのだ。；貝類は結局だしをわるくして、ほかのものの味まで害するからいけない。；それがさくらの気分を害することになりはしないかと考えたからだ。；大多は悩みながらも、小田が気分を害するのを覚悟で別の曲を依頼した。；医師が、治療効果が無い行為や患者を害する行為を行うことがある。；自分を害するものがそこへ現われようなどとは、夢にも知らなかった。；そういう、人の感情を害するだけの質問をしても、なんの役にもたちません。；イメージで、それが我が身を害するものであることをアバドンは知った。；将軍の威をかりて世を害するから、かくのごとく処刑するとの立札つき。；そうすれば自然とあなたを害することができなくなりましょう。；なんの連絡もしないで、いきなり撮影させてくれとか言うから気分を害するのよ。；ただし、その情報の提供が児童の福祉を害する場合は、この限りでない。；ジアゼパムは、自らを害する気持ちを増加させることが判明している。；天空に起こる事どもに、地上の者を害する意図などありはしないと。；もっともこの方法は、国家一般の富を害することにはなりますがね。；特殊の形を有するものは、全体の安寧を害するのゆえに容れられない。；彼は養家の感情を害すると共に、実家の怒りも買うようになりました。；あなたの感情を害するためにいうのではないのですから。；これらの地域は英国が権益を有していたので、これは英国を害する行動であった。；ここには気分を害するものなど何もないかのようだった。；彼に敵対した者は、攻撃の意志を反射され、自分自身を害することになる。；ここでいう「悪意」は通常の用法とは異なり、本人を害する意図を指す。；あるいは最初から、老婆の気分を害する何かをしでかしたのだろうか。；ウルズリーはこの戯画化にとくに気分を害することはなかったという。；健康を害する前に、世界が終わってしまうかもしれないですな。；あなたに気がある振りをして接近したのは直接、あなたを切害するためです。</t>
        </is>
      </c>
      <c r="J1321">
        <f>HYPERLINK("https://www.weblio.jp/content/害する", "词义详情")</f>
        <v/>
      </c>
      <c r="K1321">
        <f>HYPERLINK("https://yourei.jp/害する", "查看例句")</f>
        <v/>
      </c>
    </row>
    <row r="1322">
      <c r="A1322" t="inlineStr">
        <is>
          <t>改正</t>
        </is>
      </c>
      <c r="B1322" t="inlineStr">
        <is>
          <t>成功</t>
        </is>
      </c>
      <c r="C1322" t="inlineStr">
        <is>
          <t>読み方：かいせい
［名］(スル)不適当なところや、不備な点を改めること。主に、規則・規約・法令などについて使う。「校則を—する」「料金—」</t>
        </is>
      </c>
      <c r="D1322" t="inlineStr">
        <is>
          <t>改正法(2%)；改正前(2%)；改正後(2%)；改正案；改正以降</t>
        </is>
      </c>
      <c r="E1322" t="inlineStr">
        <is>
          <t>変更；変化；改造；改善；調整</t>
        </is>
      </c>
      <c r="F1322" t="inlineStr">
        <is>
          <t>選挙法改正；規程改正；制度改正；同改正；全面改正</t>
        </is>
      </c>
      <c r="G1322" t="inlineStr">
        <is>
          <t>改正鉄道敷設法；改正三河後風土記；改正掛；改正刑法草案；改正論議</t>
        </is>
      </c>
      <c r="H1322" t="n">
        <v>29</v>
      </c>
      <c r="I1322" t="inlineStr">
        <is>
          <t>ただ、まだ改正工事や追加工事などがあり、工廠で多くの工事を行った。；なお、2006年以降はJRと同日に改正を実施するようになっている。；経て、その後ほぼ70年の間、部分的な改正のみが行われ用いられ続けた。；現行のは1984年5月16日制定され、その後数回の改正を経たもの。；以来、2回の中程度の改正と、2回の大改正を現在まで経てきていている。；更に2006年には、長さを延長するなどの規格改正が行われている。；日本国憲法施行までの半世紀以上の間、一度も改正されることはなかった。；しかし2018年に漁業法が改正されたことを受けて状況は変わりつつある。；大勲位菊花大綬章は栄典制度改正後も、制定以来の意匠を保持している。；何度かの法令改正で、兵員の将来と権利を保障する制度が導入された。；いずれも後の改正で急行以下に格下げされ、それも更なる改正で消滅した。；改正を経て、1964年に世界気象機関の風力の標準尺度に採用された。；また、朝方はこの改正時に同時に新設した特別快速にほとんどが変更された。；そして1986年に統一標準規格が発表されて以来非常に多くの改正が行われた。；この改正によって他の著作物と同等の扱いを受けるようになった。；廃止前年の1986年11月1日改正時点で、以下の列車が運行されていた。；しかし、1953年の改正では逆コースの流れで多くの修正がくわえられた。；この改正によって、日本で初めて手話の言語性が法律に規定された。；様々な法律の改正や技術の発展が行われた近未来の日本。；何度かの時刻改正によって、以下の通り運行間隔が変更されている。；県条例を改正した結果、最終的に加美町として新設合併することとなった。；オランダ王国憲章の改正は、全ての国が合意した時のみ可能である。；同改正法の主な内容は次のとおりである。；日本では1972年7月1日の改正計量法の施行を以って変更された。；ダイヤは名鉄他路線の改正と関係なく、多客期などに随時変更されていた。；労働者は救貧法改正に強く反発して反対暴動を展開していった。；その後の改正で若干の変化が発生した。；これは同年に競争制限的取引慣行規正法が改正されたことによる。；この傾向は1961年10月の全国白紙ダイヤ大改正から顕著となった。</t>
        </is>
      </c>
      <c r="J1322">
        <f>HYPERLINK("https://www.weblio.jp/content/改正", "词义详情")</f>
        <v/>
      </c>
      <c r="K1322">
        <f>HYPERLINK("https://yourei.jp/改正", "查看例句")</f>
        <v/>
      </c>
    </row>
    <row r="1323">
      <c r="A1323" t="inlineStr">
        <is>
          <t>快晴</t>
        </is>
      </c>
      <c r="B1323" t="inlineStr">
        <is>
          <t>成功</t>
        </is>
      </c>
      <c r="C1323" t="inlineStr">
        <is>
          <t>読み方：かいせい
空が気持ちよく晴れ渡ること。たいへん天気がよいこと。気象観測では、雲量1以下、視程1キロ以上の状態の天気。</t>
        </is>
      </c>
      <c r="D1323" t="inlineStr">
        <is>
          <t>快晴続き；快晴日数</t>
        </is>
      </c>
      <c r="E1323" t="inlineStr">
        <is>
          <t>晴れ；天気；晴天；いい天気；好天</t>
        </is>
      </c>
      <c r="F1323" t="inlineStr">
        <is>
          <t>雲一つない快晴；みごとな快晴</t>
        </is>
      </c>
      <c r="H1323" t="n">
        <v>29</v>
      </c>
      <c r="I1323" t="inlineStr">
        <is>
          <t>ほんのしばらく前までは、今からは考えられないような快晴だったのだ。；夜なかにあんな騒ぎがあったそれを信じかねるような快晴の朝になった。；二日の朝は快晴だったので、あの人等は朝早くから起きて準備されました。；翌11月12日の空は快晴で、少しの薄雲が流れていくぐらいであった。；天気は快晴が一番、とまでは思わないが、ジュウは雨が嫌いな方だった。；気象班からの報告によれば、今日もあの遭難地点は快晴のはずであった。；皮肉なことに、連休が終わった六日の天気は、雲ひとつない快晴だった。；快晴の日がつづいていたようであるから、この日も空は高く澄んでいたろう。；採光は二箇所だけだが、快晴なので目が慣れると物の形がよく見えてきた。；昨日が、今日のような快晴なら、夜の訪れも、もう少し遅かっただろう。；外は、機内のマイクが告げていたように快晴だが、風が冷たそうである。；翌日はからりとした快晴で、床の上にはネズミのフンが沢山落ちていた。；果てしない空のような空間が広がっているこの場所は、いつも快晴だ。；今日の昼のように快晴のときなど、目がくらんで何も見えなくなる。；空は一点の雲もない快晴であったが、地の面には一面に霜が真白くおりていた。；翌朝は快晴で、かれらは暗いうちから波止場へ向けて宮殿を出発した。；その翌日も、ゆうべの星空が予言したように、雲一つない快晴であった。；数日後雨あがりの快晴に、また四谷に出かけた、もう六月に入っている。；前半一週間が連日、雪混じりだったのとは打って変わって、快晴でした。；この日付が選ばれたのは、北アメリカ大陸の殆どが快晴だったからである。；標高が高いことから大阪平野が一望でき、快晴時には、大阪湾が見える。；平壌は午後の時刻になるらしく、陽は傾きかけていたが、快晴である。；また、天気予報では観測上の分類とは異なり、快晴は晴として扱われる。；ヒューストンを発ったときは快晴だったが、着陸は濃霧のなかになった。；翌十一日も快晴にめぐまれ、皇居前では引続いて奉祝会がおこなわれた。；今日は快晴だと、テレビのお天気おねーさんが太鼓判を押してくれていた。；雲ひとつない快晴の空だったのが、東のほうにほんのり翳りがみえたのである。；快晴とは言えなかったが、なるほど雨の落ちる心配はなかった。；翌朝、吉日市はこれ以上ないと言って良いほどの快晴を迎えていた。</t>
        </is>
      </c>
      <c r="J1323">
        <f>HYPERLINK("https://www.weblio.jp/content/快晴", "词义详情")</f>
        <v/>
      </c>
      <c r="K1323">
        <f>HYPERLINK("https://yourei.jp/快晴", "查看例句")</f>
        <v/>
      </c>
    </row>
    <row r="1324">
      <c r="A1324" t="inlineStr">
        <is>
          <t>解説</t>
        </is>
      </c>
      <c r="B1324" t="inlineStr">
        <is>
          <t>成功</t>
        </is>
      </c>
      <c r="C1324" t="inlineStr">
        <is>
          <t>読み方：かいせつ
［名］(スル)物事の要点・意味などをわかりやすく説明すること。また、その説明。「映画の内容を—する」「ニュース—」
→説明［用法］</t>
        </is>
      </c>
      <c r="D1324" t="inlineStr">
        <is>
          <t>解説する(24%)；解説書；解説記事；解説役；解説本</t>
        </is>
      </c>
      <c r="E1324" t="inlineStr">
        <is>
          <t>説明；解釈；コメント；講義；批評</t>
        </is>
      </c>
      <c r="F1324" t="inlineStr">
        <is>
          <t>併せて解説；やすく解説；ゲスト解説；詳しく解説；詳細な解説</t>
        </is>
      </c>
      <c r="G1324" t="inlineStr">
        <is>
          <t>解説書；解説委員；解説放送；解説動画；解説委員長</t>
        </is>
      </c>
      <c r="H1324" t="n">
        <v>29</v>
      </c>
      <c r="I1324" t="inlineStr">
        <is>
          <t>守備の際はそれぞれの選手はおよそ次の図および解説に示す位置に立つ。；以下で定期運用終了後も本系列が配置されていた基地ごとに解説を行う。；ここではあまり他の言語では見られない 特有の機能を中心に解説する。；本節ではステージレースで最も頻繁に見られる展開の各段階を解説する。；組み立て説明書に記載される機体解説で新設定が公開されることが多い。；また、ゲームの製作方法を解説した各種の公式書籍も出版されている。；ここでは以降の解説を読む上で必要な の文法規則を簡単に説明する。；本項では運用形態が異なることから辰野口と豊橋口に分けて解説を行う。；また初歩から応用までを所載した技術解説書としては以下の書籍がある。；ここでは特にストーリーについては述べず、重要な要素の解説に留める。；これが解説を交えながら実況を伝える放送形式を生み出すことになった。；サッカー解説は主にテレビ朝日、スカパーでの試合中継時に行っている。；冒頭の編集句を除いて、言葉が発せられた状況の描写や解説は一切ない。；ただし各国によって装備方法は異なるので、米海軍式を中心に解説する。；この項では野球の試合における流れやルールなどをある程度まとめて解説する。；以下の解説において、文字 はそれぞれ何らかの命題を表すものとする。；この節では、主に時代ごとのファラオが保持した王権について解説する。；本項では投入線区や時代の要求から施工された改造を主に解説を行う。；新薬ではないが、新しい概念・目的で作られた剤型のものも解説する。；一般には複素数でも定義されるが、その解説は自然対数の項目にゆずる。；また、外壁にJR東日本の保有車両の写真と解説パネルを展示している。；複雑な環境に適応し日本列島にて独自の進化を遂げた生物を解説している。；以下に解説されている他メディアの全シリーズに対する原作作品。；こういった背景もあり、一般向けの文書には明らかに誤りを含んだ解説がある。；全ての番組表と番組解説記事の一部は東京ニュース通信社から配信を受けている。；選手引退後はサッカー指導者業や生中継でのゲーム解説などで活動している。；以後は、治療を続けながら講演や野球中継のゲスト解説などを行っていた。；試合に出場しない選手をゲスト解説に迎えることがある。；後期の作品を中心に、複数の作品に登場するカードを解説する。</t>
        </is>
      </c>
      <c r="J1324">
        <f>HYPERLINK("https://www.weblio.jp/content/解説", "词义详情")</f>
        <v/>
      </c>
      <c r="K1324">
        <f>HYPERLINK("https://yourei.jp/解説", "查看例句")</f>
        <v/>
      </c>
    </row>
    <row r="1325">
      <c r="A1325" t="inlineStr">
        <is>
          <t>概説</t>
        </is>
      </c>
      <c r="B1325" t="inlineStr">
        <is>
          <t>成功</t>
        </is>
      </c>
      <c r="C1325" t="inlineStr">
        <is>
          <t>読み方：がいせつ
［名］(スル)ある事柄の全体にわたって、そのあらましを説明すること。また、その説明。「日本文学の流れを—する」</t>
        </is>
      </c>
      <c r="D1325" t="inlineStr">
        <is>
          <t>概説する(47%)；概説書(8%)；概説しよ</t>
        </is>
      </c>
      <c r="E1325" t="inlineStr">
        <is>
          <t>図；批評；大抵；大体；概ね</t>
        </is>
      </c>
      <c r="F1325" t="inlineStr">
        <is>
          <t>国史概説；併せて概説</t>
        </is>
      </c>
      <c r="H1325" t="n">
        <v>29</v>
      </c>
      <c r="I1325" t="inlineStr">
        <is>
          <t>ここではまず診断基準を明記したうえでよく用いられる検査を概説する。；マーカスらはここに概説した理論よりも更に発展した理論を開発している。；以下の項目では登場するキャラクターと各国家の現状設定を概説していく。；訪れるノードの数は上で概説したように少なくなることが期待できる。；哲学における「美」の概念の概説的な説明は、すでに優れた記述がある。；それぞれの主要な建築物などについて概説すると以下の通りである。；日本とポーランドの関係では、日本とポーランドの関係について概説する。；色を説明する場合に、様々な色彩理論を集合的に概説する場合がある。；これだけ的確な概説書の書ける人はよほどの学者だと改めて感心しました。；特に他の物体表面と衝突する直前、瞬間、直後の運動について概説する。；しかしこれは以上の部分で概説したような問題を引き起こしうる。；多くの州に共通する部分を概説すると次のとおりである。；これらの合成像がフーアの概説として流通するが、批判もされている。；これらの付属肢の概説とその由来に対する解釈は、次の通りに挙げられる。；建築の概説書などでは、回廊一般に含めて説明されることも多い。；ここからは、これら二つの論文のアイデアの発展と結果について概説する。；この本は学生および医師のための概説に過ぎなかった。；ハウスは、この小説の中で次のような多くの政治的信念を概説した。；概説および参照しやすいロマンシュ語関係資料が紹介されている。；以下、合法化を検討している諸国も含めて各国の状況を概説する。；ここでは北から南に向かって、地区ごとに分けて概説する。；そして結論では今日でも意義のある、後の研究の方向性を概説した。；ゼークトは早くも翌6月、経済・軍事推進計画の概説を蔣介石に提出した。；このため概説書のなかでも学者により大きく異なる場合がある。；シリーズ全体の概説やシステム・物語上の共通する特徴は東京魔人學園伝奇の項を参照。；一般永住者とは異なる枠の特別永住者が発生した経緯を概説する。；Introductionでの日本語概説と日本文法を大幅に増加している。；最後に、第三編では社会主義思想の登場と発展を歴史的理論的な側面から概説がなされている。；この概説はすべての有機反応ではなく、基礎的な反応をカバーすることを意図している。</t>
        </is>
      </c>
      <c r="J1325">
        <f>HYPERLINK("https://www.weblio.jp/content/概説", "词义详情")</f>
        <v/>
      </c>
      <c r="K1325">
        <f>HYPERLINK("https://yourei.jp/概説", "查看例句")</f>
        <v/>
      </c>
    </row>
    <row r="1326">
      <c r="A1326" t="inlineStr">
        <is>
          <t>改善</t>
        </is>
      </c>
      <c r="B1326" t="inlineStr">
        <is>
          <t>成功</t>
        </is>
      </c>
      <c r="C1326" t="inlineStr">
        <is>
          <t>読み方：かいぜん
［名］(スル)悪いところを改めてよくすること。「生活を—する」⇔改悪。
[補説]トヨタの生産方式を象徴する言葉として世界で知られる。</t>
        </is>
      </c>
      <c r="D1326" t="inlineStr">
        <is>
          <t>改善するため(4%)；改善される(3%)；改善しよ；改善させる；改善できる</t>
        </is>
      </c>
      <c r="E1326" t="inlineStr">
        <is>
          <t>発展；向上；発達；進み；改良</t>
        </is>
      </c>
      <c r="F1326" t="inlineStr">
        <is>
          <t>大きく改善；生活改善；水質改善；輸送改善；アクセス改善</t>
        </is>
      </c>
      <c r="G1326" t="inlineStr">
        <is>
          <t>改善命令；改善対策；改善要求；改善の会；改善地区</t>
        </is>
      </c>
      <c r="H1326" t="n">
        <v>29</v>
      </c>
      <c r="I1326" t="inlineStr">
        <is>
          <t>合議制を取ることで各部屋の意向をある程度反映できるように改善した。；背もたれに中折れ機構を設け、着座姿勢をより改善しているものもある。；改善が見られない場合はアーミッシュを追放され、家族から絶縁される。；街の成長は主に港の施設や他の設備が徐々に改善されていった半島部で起きた。；以降、人類はずっとこのプライヤを改善し続けているということである。；以上の問題を改善する目的から開発されたのが本系列である。；また、彼らは連盟の機構を利用して、関係の改善や対立の解消に努めていた。；また、潜水中の潜水艦より回天に乗艇できる技術的な改善も加えられた。；消化不良も改善しうるとの研究結果があるがエビデンスは限定される。；近年は交通事情の改善を目指し、近隣都市への鉄道の敷設が計画されている。；ロシア皇帝はバーティの配慮に深く感謝し、英露関係は一定の改善を見た。；なお、これは既存の壁の上から新たに壁を取り付ける壁面改善工事である。；これ以上のセキュリティパッチやその他の改善はリリースされない。；もっとも、索敵計画はこれまでの経験から早くに出すように改善はされていた。；総督府は台湾の近代化のために都市整備と交通改善を実施している。；基礎心理学の知見を活かして現実生活上の問題の解決や改善に寄与する。；設立目的は「世界を改善する社会的価値」を含む映画を製作することであった。；目標の達成には行政の威令が行き届かない現状を改善しなければならない。；この努力の結果、アルジェリアへのイメージも改善されてきている。；一方、泥が少ない川では胃にも泥が含まれず、食味も大幅に改善する。；その後は規格の統一化や細かい改善が続けられたりしながら現在に至っている。；メモリ管理やDOSとの互換性の改善も複数の雑誌で良い評価を得た。；これ以降もコンピュータの発達によって計算量・スピードは改善していった。；その後、麻痺は一般的に新しい神経筋接続が形成されるにつれて改善する。；人間は終生学び続けることによって自らを改善しなければならないと説く。；また、上記のムダを改善しないことを8つ目のムダとすることもある。；処理プログラムの大きさや速度の制限を改善あるいは回避するテクニックを紹介する。；少量の飲酒は、血管を拡張させて血液の流れを良くして血行を改善する。；そしてこれらがさらに機械の発明や改善に繋がる好循環を生み出した。</t>
        </is>
      </c>
      <c r="J1326">
        <f>HYPERLINK("https://www.weblio.jp/content/改善", "词义详情")</f>
        <v/>
      </c>
      <c r="K1326">
        <f>HYPERLINK("https://yourei.jp/改善", "查看例句")</f>
        <v/>
      </c>
    </row>
    <row r="1327">
      <c r="A1327" t="inlineStr">
        <is>
          <t>回送</t>
        </is>
      </c>
      <c r="B1327" t="inlineStr">
        <is>
          <t>成功</t>
        </is>
      </c>
      <c r="C1327" t="inlineStr">
        <is>
          <t>読み方：かいそう
［名］(スル)
１一度送られてきたものを、改めて他の場所に送ること。転送。「郵便物を移転先に—する」
２電車やバスなどを、空車で他の場所へ動かすこと。「車庫へ—する」
３他の図書館から、予約者が受け取りを希望した図書館に資料を送ること。移送。「—資料」</t>
        </is>
      </c>
      <c r="D1327" t="inlineStr">
        <is>
          <t>回送される(9%)；回送する(7%)；回送時(2%)；回送運転；回送扱い</t>
        </is>
      </c>
      <c r="E1327" t="inlineStr">
        <is>
          <t>転送</t>
        </is>
      </c>
      <c r="F1327" t="inlineStr">
        <is>
          <t>自力回送；車両回送；配給回送；回送運用；無動力回送</t>
        </is>
      </c>
      <c r="G1327" t="inlineStr">
        <is>
          <t>回送線；回送車；回送電車；回送中；回送バス</t>
        </is>
      </c>
      <c r="H1327" t="n">
        <v>29</v>
      </c>
      <c r="I1327" t="inlineStr">
        <is>
          <t>従来は構内の信号設備の関係上回送も含めすべての列車が停車していた。；かつてはこの区間で、上野駅発着の客車列車の推進回送が行われていた。；それに、Sタクシーの回送されてくるのを待つ時間だけでも惜しかった。；その後も片町駅で搬入された80型の引取りのため回送運用が行われた。；過去に廃車になった車両も含め、回送以外で他形式と連結したこともない。；これらには、推進回送運転用に整備された車両が優先的に充てられた。；この系統の廃止以後、五条車庫にはすべて回送で入出庫することとなる。；また多くの駅に停車することを利用し、貨車の回送にも使用される。；現在は国道412号が開通したことで、半数以上が回送へ変更されている。；桜通線の車両は検査や整備の際、この連絡線を経由して日進工場へ回送される。；トーラス女学校のヴィンセントから、大量の手紙が回送されてきたのだ。；通行道路の制限は、営業路線のみならず回送時の経路も同様に行われていた。；なお到着後の一部は車両入れ替え回送で鎌ヶ谷営業所に出入庫している。；また従来は出入庫は回送としていたが、新たに出入庫便が設定された。；到着後は隣の御影駅の西側にある引き上げ線まで回送して折り返していた。；その翌日に西宮車庫に回送され、13日より今津北線で運転されている。；当初、分解した上で日本まで輸送も検討されたが、完成させ回送と言うことになった。；回送・試運転・団体専用列車も通過が主体の列車であるため、点灯する。；逆も同じパターンで本郷車庫を回送で出庫し、上之から営業運行に入る。；俺の出した手紙も、その老人宛に回送しておいた、と言っていた。；同年3月28日に宗吾車両基地へ廃車回送され、その後解体されている。；上り列車も神宮前駅に到着後にいったん鳴海駅へ回送してから入庫していた。；その列車は碧南から回送され、南側線路にて客扱い・折り返しをしていた。；回送時には深夜に線路閉鎖の手続きが取られ、機械扱いで走行した。；で、電話をこちらへ回送する手配をつけてきたところなんです。；そのため機関車の付け替えを行わず、推進回送が行われている。；そのため、検査入出場の回送や試運転の際は京成本線を走行する姿が見られる。；当該機体は応急処置を行った上でバンコクに回送され、後に運用に復帰した。；東豊線の車両はこの連絡線を経由して基地まで回送される。</t>
        </is>
      </c>
      <c r="J1327">
        <f>HYPERLINK("https://www.weblio.jp/content/回送", "词义详情")</f>
        <v/>
      </c>
      <c r="K1327">
        <f>HYPERLINK("https://yourei.jp/回送", "查看例句")</f>
        <v/>
      </c>
    </row>
    <row r="1328">
      <c r="A1328" t="inlineStr">
        <is>
          <t>階層</t>
        </is>
      </c>
      <c r="B1328" t="inlineStr">
        <is>
          <t>成功</t>
        </is>
      </c>
      <c r="C1328" t="inlineStr">
        <is>
          <t>読み方：かいそう
１社会的、経済的地位がほぼ同じ程度の人々の集団。職業・収入・財産・学歴・年齢などが基準となって、格づけ・識別される。界層。「富裕な—」
２建築物の階の上下の重なり。</t>
        </is>
      </c>
      <c r="D1328" t="inlineStr">
        <is>
          <t>階層的(9%)；階層型(2%)；階層分化；階層ごと；階層秩序</t>
        </is>
      </c>
      <c r="E1328" t="inlineStr">
        <is>
          <t>等；位置；程度；位；立場</t>
        </is>
      </c>
      <c r="F1328" t="inlineStr">
        <is>
          <t>各階層；あらゆる階層；三階層；二階層；上流階層</t>
        </is>
      </c>
      <c r="G1328" t="inlineStr">
        <is>
          <t>階層化；階層性；階層社会；階層性問題；階層型データモデル</t>
        </is>
      </c>
      <c r="H1328" t="n">
        <v>29</v>
      </c>
      <c r="I1328" t="inlineStr">
        <is>
          <t>これが農民のみならず、貴族や商人階層の不満をも高める結果となった。；古代より学校そのものは存在し、一部の階層を対象に教育が行われていた。；言葉は似ているが、そもそもの階層や概念が異なるので注意が必要である。；これは恐らく支配階層の神聖性を補強するために用いられたのであろう。；この階層はどこまでいっても判定不能な問題が存在することを示している。；明治には海外と交渉のある階層を中心に西洋料理が食べられるようになった。；したがって時間階層定理の証明も対角線論法を使っていることが分かる。；約5世紀の間、この地域は9つの王国と非常に階層的な社会を持っていた。；リポン卿は、インドで西洋式教育を受けた階層から大きな支持を受けた。；これは、エリート階層が自らの利益を正当化するための論理なのである。；これらは、幼い子供や貧しい者、階層の低い者の葬儀では行なわれない。；しかし同じ職業の中でもさらに階層があり、必ずしも一致している訳ではない。；患者は医療を受けた際、所得階層区分に応じた自己負担限度額を支払う。；前の階層には戻ることはできず、脱出には白いオーブを調べないといけない。；決定者が決めた数値を基に計算された重要度が階層の各要素に記入されている。；階層に基づく分類では機能を提供する相手の階層によって分類される。；これにより、家族で土地を所有する経済的に独立した新しい階層が出現した。；これらの研究には解析的階層を調べるためのアプローチが各種含まれる。；また、複数のユーザーモードをサポートし、階層を形成するものもある。；階層状の組織を形成する特徴からピラミッド・スキームとも言われる。；木構造を使った分類で、さらに洗練された階層的な分類が可能となる。；ダンジョンによっては最下層ではなく、途中の階層に階段があることも。；試練の洞窟 第二階層: 試練の洞窟 第一階層から行くことができる。；試練の洞窟 第三階層: 試練の洞窟 第二階層から行くことができる。；試練の洞窟 第四階層: 試練の洞窟 第三階層から行くことができる。；試練の洞窟 第五階層: 試練の洞窟 第四階層から行くことができる。；試練の洞窟 第十階層: 試練の洞窟 第九階層から行くことができる。；試練の洞窟 第六階層: 試練の洞窟 第五階層から行くことができる。；試練の洞窟 第八階層: 試練の洞窟 第七階層から行くことができる。</t>
        </is>
      </c>
      <c r="J1328">
        <f>HYPERLINK("https://www.weblio.jp/content/階層", "词义详情")</f>
        <v/>
      </c>
      <c r="K1328">
        <f>HYPERLINK("https://yourei.jp/階層", "查看例句")</f>
        <v/>
      </c>
    </row>
    <row r="1329">
      <c r="A1329" t="inlineStr">
        <is>
          <t>改造</t>
        </is>
      </c>
      <c r="B1329" t="inlineStr">
        <is>
          <t>成功</t>
        </is>
      </c>
      <c r="C1329" t="inlineStr">
        <is>
          <t>読み方：かいぞう
［名］(スル)建物・機械・組織などをつくり直すこと。別の用途にかなうようにつくりかえること。「応接間を—する」「内閣—」</t>
        </is>
      </c>
      <c r="D1329" t="inlineStr">
        <is>
          <t>改造工事(2%)；改造後；改造車；改造内容；改造計画</t>
        </is>
      </c>
      <c r="E1329" t="inlineStr">
        <is>
          <t>変更；変化；改正；修理；修正</t>
        </is>
      </c>
      <c r="F1329" t="inlineStr">
        <is>
          <t>大改造；冷房改造；再改造；国家改造；対応改造</t>
        </is>
      </c>
      <c r="G1329" t="inlineStr">
        <is>
          <t>改造人間；改造社；改造内閣；改造機；改造車両</t>
        </is>
      </c>
      <c r="H1329" t="n">
        <v>29</v>
      </c>
      <c r="I1329" t="inlineStr">
        <is>
          <t>当時、ドイツには新体制を構築しようとする帝国改造が求められていた。；いずれの編成も以下の共通する改造を郡山総合車両センターで施工した。；さらには、新製車ばかりでなく旧形車の更新改造で改装する例も見られた。；説明なしに行われたこの改造に対して、疑念の声が上がることになった。；その一方で車内は冷房風洞の設置を除いて大きな改造は行われなかった。；またテストに使われた試作電車は、東海道新幹線開業後に改造を受けた。；これらの地域や事情に適合させるために様々な改良、改造が行われた。；この改造案が発表された後、国際エスペラント運動は重大な分裂が続いた。；初期に改造された4編成は種別表示器が他車よりも低い位置にあった。；この試験では高速走行を行うための改造は特に行われなかった。；改造種車に予定されていた車両はサロ110形300番台に転用された。；非貫通型と初期の貫通型も後に貫通型・独立方向幕窓に改造されている。；しかし、その本質は人間の生態改造にあるのではなく、精神強化にある。；なお、改造の対象から外れた15両は2018年中に廃車・解体された。；車両代替により、屋根上の装飾を廃止した簡易改造の車両が増えている。；開業前に運用されていた298両については次のような改造が施工された。；これらの車両は後に本来の設計通り、冷房装置を搭載する改造がされている。；それらに加え、量産化改造を実施する前の外観は以下のようなものだった。；これは横光利一の好意で改造社に口添えして実現したものであったという。；このためJRグループへの継承車は他系列へ改造された車種以外存在しない。；奈良線・和歌山線の電化では、103系からの改造編入車が配置された。；鉄道車両が使用されている間に、様々な改造が行われることがある。；この運用線区広域化の過程では、さまざまな改造・対策が実施された。；電車緊急特別改造工事の実施項目と施行両数、実施内容は以下の通り。；なお、後述する副都心線改造工事では乗務員室内は大幅に改造されている。；先頭化改造では103系0番台と同形態の非貫通の運転台が設置された。；主幹制御器を抑速制動に対応したものに交換するなどの改造が行われている。；その後は第01・02編成のみ後年に改造で車椅子スペースを設置した。；しかし、それでも私たちは彼らを『改造』し良くしなくてはいけない。</t>
        </is>
      </c>
      <c r="J1329">
        <f>HYPERLINK("https://www.weblio.jp/content/改造", "词义详情")</f>
        <v/>
      </c>
      <c r="K1329">
        <f>HYPERLINK("https://yourei.jp/改造", "查看例句")</f>
        <v/>
      </c>
    </row>
    <row r="1330">
      <c r="A1330" t="inlineStr">
        <is>
          <t>海賊版</t>
        </is>
      </c>
      <c r="B1330" t="inlineStr">
        <is>
          <t>成功</t>
        </is>
      </c>
      <c r="C1330" t="inlineStr">
        <is>
          <t>読み方：かいぞくばん
《pirated edition》外国の著作物を、著者・出版社の許可を受けずに複製したもの。同一国内のものについてもいう。
[補説]レコードやCD、DVDなどの場合は「海賊盤」とも書く。→ブートレグ</t>
        </is>
      </c>
      <c r="D1330" t="inlineStr">
        <is>
          <t>海賊版対策(5%)；海賊版サイト(3%)；海賊版ソフト(2%)；海賊版ビデオ；海賊版dvd</t>
        </is>
      </c>
      <c r="F1330" t="inlineStr">
        <is>
          <t>公式海賊版</t>
        </is>
      </c>
      <c r="H1330" t="n">
        <v>29</v>
      </c>
      <c r="I1330" t="inlineStr">
        <is>
          <t>GI相手の英語の海賊版をこうした店でしばしば見かけたからである。；製作者は、この商業的な失敗の原因は海賊版の横行のであると考えた。；HAL研究所の製作したゲームはほとんどが既存ゲームの海賊版であった。；後々になってライブの模様を収録した海賊版が大量に出回るようになった。；なお、一度きりだが、本家と海賊版が共演した作品が掲載された事がある。；日本での新曲発売とほぼ同時に韓国では海賊版ができてしまうのだ。；ほかにノストラダムス2世が便乗して出版した海賊版なども現存している。；また、これらを回避するように海賊版サイトが立ち上がることもある。；これは前作でLPを録音した海賊版があまりに出回ったためと説明されている。；これらを購入する行為は、海賊版の販売者が利益を得るに過ぎないためである。；特にPCでは海賊版ゲームと高いシステム要件の2つの問題が存在していた。；海賊版もあるが入手が困難なコレクターズ・アイテムになっている。；そしてこの海賊版によってカスティリオーネは彼の本の出版を急いだ。；本シリーズは世界的ヒット商品となったため、海賊版が後を絶たない。；あまりの人気に中国や韓国でも海賊版が作られた。；アメリカやイギリス以外のいくつかの国では、ZX81の海賊版が製造された。；海賊版がまもなく出版され、その事実をヴェサリウスは印刷者の記録から知った。；また本物も海賊版もアメリカなど海外に輸出された。；映像はそれまで海賊版で流通していたが、2007年にようやく正式にリリースされた。；逆に海賊版であった場合、通常より安価に正規品を購入できる機会が提供される。；無断の海賊版がどんどん出まわると、印税がとりにくくなるからである。；そのため、Zeminaを含めて多くの会社が既存の海外のゲームの海賊版を作っていた。；この他に、『南極日本の秘密』と題する海賊版の存在が知られている。；その後発売された海賊版の音源は、全てこのLPに由来している。；海賊版の出回りを防ぐために出版直前に最終章を変更している。；この海賊版は日本国内でも少数見られたが、海外では正規版よりも多く設置されている店舗もしばしばみられたようである。；公開当時は世界的な人気を博し、特にアメリカでは多くの海賊版が複製されたほどだった。；そしてこの男が、単にスーパーマリオの海賊版製作の犯人を追っているわけではないことを確信した。；当初はいわゆる海賊版であったが、1998年に小学館と契約を締結し出版権を取得。</t>
        </is>
      </c>
      <c r="J1330">
        <f>HYPERLINK("https://www.weblio.jp/content/海賊版", "词义详情")</f>
        <v/>
      </c>
      <c r="K1330">
        <f>HYPERLINK("https://yourei.jp/海賊版", "查看例句")</f>
        <v/>
      </c>
    </row>
    <row r="1331">
      <c r="A1331" t="inlineStr">
        <is>
          <t>開拓</t>
        </is>
      </c>
      <c r="B1331" t="inlineStr">
        <is>
          <t>成功</t>
        </is>
      </c>
      <c r="C1331" t="inlineStr">
        <is>
          <t>読み方：かいたく
［名］(スル)
１山林・原野などを切り開いて田畑や居住地・道路をつくること。開墾。「荒野を—する」
２新しい分野・領域・進路などを切り開くこと。「販路を—する」</t>
        </is>
      </c>
      <c r="D1331" t="inlineStr">
        <is>
          <t>開拓者(6%)；開拓地(4%)；開拓事業；開拓伝道；開拓村</t>
        </is>
      </c>
      <c r="E1331" t="inlineStr">
        <is>
          <t>開発；開始；先駆け；埋め立て；先駆</t>
        </is>
      </c>
      <c r="F1331" t="inlineStr">
        <is>
          <t>初期開拓；西部開拓；未開拓；市場開拓；白人開拓</t>
        </is>
      </c>
      <c r="G1331" t="inlineStr">
        <is>
          <t>開拓地；開拓使；開拓時代；開拓団；開拓民</t>
        </is>
      </c>
      <c r="H1331" t="n">
        <v>29</v>
      </c>
      <c r="I1331" t="inlineStr">
        <is>
          <t>いずれもアメリカの西部開拓期を思わせるようなスタイルの車両である。；都市は好きな開拓地を手元に戻しそこに都市を建設することができる。；これにより藩の開拓事業は進行するが、小山の主だったものは残された。；河川総合開発と並行して強力に実施されていたのが農地開拓である。；五十日足彦命が開拓した地域に流れる五十嵐川の名称もこれに由来する。；騎士達は自らアイルランドを開拓することで当初は大成功を収めた。；他のメーカーが全く手をつけようとしなかった新分野を開拓した。；政治的に重要な植民地開拓地とその設立年は次の通りだった。；この地区は、おそらく、ローマ時代には開拓されていたと考えられている。；この方針に反対した岡本の辞任もあって、樺太の開拓は進展しなかった。；新政府は開拓のための最初の仕事として箱館裁判所に山川調査を命じた。；出獄後は葬儀会社に勤めたり、中国で開拓事業に従事したりするなどした。；現在では、近世以降の開拓によるものとの見解が一般的となっている。；明治時代の開拓当時に行われた煉瓦づくりに起源があるとされている。；アメリカの開拓を促進することになった宗教紛争も初期著作の話題になった。；海外市場の開拓は、大きな規模ではないものの、行われてきてはいる。；いくつかの国では証人たちは宣教者や特別開拓者として指名を受ける。；新しい表現媒体が発明されるごとに、新しいポルノが開拓されてきた。；中国では治水の英雄・開拓の英雄とされており教科書にも掲載される存在である。；また、新たなファン開拓のために、中国・九州両地方の球団の創設が求められた。；彼らの開拓した植民地は、ヌーベル・フランスと呼ばれることになる。；翌1952年に東京都へ本拠地を移転し、都内を中心に店舗網を開拓。；天智天皇は秦氏による山背国への開拓を進めていたが未開のままとなる。；それは商業的にも大きな可能性を秘めた市場の開拓であった。；発見・開拓で命名された地名を多く擁している南北アメリカ大陸には特に多い。；特徴的なのは、各セクションの枠を横断して新たなアニメ表現を開拓したこと。；過去に、アマチュア無線家が短波を開拓したことはQRPに他ならない。；本格的に導入されたのは明治維新後で、北海道の開拓に利用された。；北海道の開拓に大きく貢献した依田勉三はこの地の出身である。</t>
        </is>
      </c>
      <c r="J1331">
        <f>HYPERLINK("https://www.weblio.jp/content/開拓", "词义详情")</f>
        <v/>
      </c>
      <c r="K1331">
        <f>HYPERLINK("https://yourei.jp/開拓", "查看例句")</f>
        <v/>
      </c>
    </row>
    <row r="1332">
      <c r="A1332" t="inlineStr">
        <is>
          <t>快諾</t>
        </is>
      </c>
      <c r="B1332" t="inlineStr">
        <is>
          <t>成功</t>
        </is>
      </c>
      <c r="C1332" t="inlineStr">
        <is>
          <t>読み方：かいだく
［名］(スル)依頼や申し入れを快く承諾すること。「資金の援助を—する」</t>
        </is>
      </c>
      <c r="D1332" t="inlineStr">
        <is>
          <t>快諾する事</t>
        </is>
      </c>
      <c r="E1332" t="inlineStr">
        <is>
          <t>許可；承認；承知；イエス；承諾</t>
        </is>
      </c>
      <c r="F1332" t="inlineStr">
        <is>
          <t>ところ快諾；すぐに快諾；御快諾</t>
        </is>
      </c>
      <c r="H1332" t="n">
        <v>29</v>
      </c>
      <c r="I1332" t="inlineStr">
        <is>
          <t>快諾した俳優が、カメラの前で、大型のチョコレートを持って微笑した。；再起の時に協力することを約束した手塚治虫が本作の企画・監修を快諾。；綸太郎が快諾すると、江知佳は自分の手柄のように得意そうな顔をした。；おりくと勇次から素状を聞いた主水たちは仕事を受けることを快諾した。；よほど気になってるんだなと驚きつつも、真九郎は「いいよ」と快諾。；一週間後にドク・ワトソンにも同じ提案をして、双方から快諾された。；これを快諾した朱武は、返書と銀子を使いの王四に持たせ酒を振舞った。；頻繁に会う仲となり北野から共に仕事をしたい旨を明かされ、これを快諾。；彼は快諾し、私はその時は小屋の六畳を仕事部屋として使いたいと言っておいた。；最大の尊敬をもってするこの御招待になにとぞ御快諾願いあげたし。；快諾した光はいつかそのドレスを着て僕のところに来るのを待っていると告げる。；課長代理は知能犯係が担当区替えを快諾していることを知り、了承した。；先生が快諾してくださったから武見太郎さんもOKしてくれたんです。；一九八四年の夏、ぼくは、はい、承知いたしました、と快諾したものである。；本尊の地蔵菩薩立像の修復をした縁で製作を快諾したとのことである。；キノは、おもしろそうですねと快諾して、エルメスにどうするか聞いた。；当時の編成も反対があった物の懸命に口説き倒して快諾を得て番組をスタートさせた。；その後、AV出演の話が来てAVにも興味を持っていたことから出演を快諾した。；そのようなこともあってひばりは広島平和音楽祭の出演依頼を快諾したという。；こうしてツヴァイを受け入れた蘭は、知床へ移る事を快諾したのだった。；塩谷氏は快諾したので、さっそく治療にとりかかり数日で彼は全快した。；母親は娘に相談もせず知らせもせずに快諾した。；アルベール王は「以前とは立場が逆になってしまった」と笑いつつこれを快諾。；また、他者が自分の本を借用することを願うと、喜んで快諾したという。；松本の快諾を受けた椎名は、銀座と二人の声をモチーフにこの曲を書いた。；また夏目さんは他人に頼まれたことを好く快諾する人だったと思う。；二軒目に誘ったときも、あれは本当に快諾してくれたのか、急に自信がなくなった。；これは、機雷と潜水艦の危険があったにも拘らず、それを快諾した。；脚本を読んだ宮内は、自身にしかできないと思い快諾している。</t>
        </is>
      </c>
      <c r="J1332">
        <f>HYPERLINK("https://www.weblio.jp/content/快諾", "词义详情")</f>
        <v/>
      </c>
      <c r="K1332">
        <f>HYPERLINK("https://yourei.jp/快諾", "查看例句")</f>
        <v/>
      </c>
    </row>
    <row r="1333">
      <c r="A1333" t="inlineStr">
        <is>
          <t>会談</t>
        </is>
      </c>
      <c r="B1333" t="inlineStr">
        <is>
          <t>成功</t>
        </is>
      </c>
      <c r="C1333" t="inlineStr">
        <is>
          <t>読み方：かいだん
［名］(スル)会って話し合うこと。また、その話し合い。「外国の首脳と—する」</t>
        </is>
      </c>
      <c r="D1333" t="inlineStr">
        <is>
          <t>会談後；会談内容；会談場所；会談終了；会談決裂</t>
        </is>
      </c>
      <c r="E1333" t="inlineStr">
        <is>
          <t>議論；協議；面会；会見；審議</t>
        </is>
      </c>
      <c r="F1333" t="inlineStr">
        <is>
          <t>者会談；秘密会談；和平会談；直接会談；とも会談</t>
        </is>
      </c>
      <c r="H1333" t="n">
        <v>29</v>
      </c>
      <c r="I1333" t="inlineStr">
        <is>
          <t>海江田が東京に上陸し、日本と同盟を結んだ会談上で提唱された概念。；しかしこのパリ会談は直前に起きたU2型機事件で失敗に終わった。；その後、知事側も再度の会談に向け調整を行なっていく考えを示した。；しかし終始和やかな雰囲気で会談は進められていたのを確認している。；この会談で日本と中立条約を結ぶソ連が対日参戦する密約も結ばれた。；この会談以後、満鉄は関東軍に協力して満州事変の拡大を進めていった。；その間に韓国側は拿捕者解放の条件に日韓交渉の全面会談開催も加えた。；北朝鮮メディアは表敬訪問と報じたが会談内容は明らかになっていない。；田中はキーナン検事と会談を重ね、日本陸軍の組織関係などを説明した。；次いで江戸へのぼった西郷は勝海舟と江戸開城交渉のための会談をした。；以来中台間の最高レベルの交渉は、海基会・海協会のトップ会談であった。；この結果、英仏はソ連をパリに招いて会談を行うことで合意した。；だがこれまでこのような会談は無かったので、大きな進歩でもある。；翌々年の1968年に北朝鮮を再訪問して当時首相だった金日成と会談。；会談も不調に終わり、ヴェンツェルの醜態だけが知られることになった。；会談後には蔣介石夫人宋美齢を「夫よりはるかに勝る」と評価している。；普仏戦争の原因となるエムス電報事件のきっかけとなった会談の様子。；これは、ヴォルムス勅令後の共同活動を確立するための会談であった。；同席者はおらず、トップ2人だけの一晩の会談で銀行同士の合併が決定された。；本部はダマスカスにあったがアメリカ合衆国とシリアの会談の結果閉鎖された。；会談後の7月21日に暫定派はベルファストで連続爆弾テロを実行した。；また、24日の第2回会談では条約問題を持ち出さず、毛を失望させた。；長井らと数回の会談の結果、彼が青林堂の経営を引き継ぐこととなる。；北朝鮮から帰国した鄭義溶は8日にも訪米して大統領のトランプと会談。；これを受けて、2月6日に大川は加藤・赤根谷と東映本社で会談を行う。；続いて訪問したエジプトではサダト大統領と会談を行った。；近衛首相はフランクリン・ルーズベルト大統領と会談する予定だったという。；それを裏付けるように次の独伊会談は3年間にわたって行われなかった。；また、日韓会談文書・全面公開を求める会は文書の全面公開を要求している。</t>
        </is>
      </c>
      <c r="J1333">
        <f>HYPERLINK("https://www.weblio.jp/content/会談", "词义详情")</f>
        <v/>
      </c>
      <c r="K1333">
        <f>HYPERLINK("https://yourei.jp/会談", "查看例句")</f>
        <v/>
      </c>
    </row>
    <row r="1334">
      <c r="A1334" t="inlineStr">
        <is>
          <t>階段</t>
        </is>
      </c>
      <c r="B1334" t="inlineStr">
        <is>
          <t>成功</t>
        </is>
      </c>
      <c r="C1334" t="inlineStr">
        <is>
          <t>読み方：かいだん
１建物の上下の階など、高さの異なる場所をつなぐ、段々のある通路。はしごだん。
２順序に従って進む等級。段階。</t>
        </is>
      </c>
      <c r="D1334" t="inlineStr">
        <is>
          <t>階段状；階段下；階段を駆け下り；階段を駆け降り；階段を駆け上がる</t>
        </is>
      </c>
      <c r="E1334" t="inlineStr">
        <is>
          <t>等；位置；程度；位；立場</t>
        </is>
      </c>
      <c r="F1334" t="inlineStr">
        <is>
          <t>狭い階段；外階段；急な階段；広い階段；長い階段</t>
        </is>
      </c>
      <c r="G1334" t="inlineStr">
        <is>
          <t>階段ピラミッド；階段教室；階段昇降機；階段関数；階段函数</t>
        </is>
      </c>
      <c r="H1334" t="n">
        <v>29</v>
      </c>
      <c r="I1334" t="inlineStr">
        <is>
          <t>トイレはかつて改札下の階段途中にあったが、現在は閉鎖・解体された。；近隣住民が線路脇の土手を階段状にして上り下りしているケースもある。；北側階段は開業以来閉鎖されているが、ホームは延伸できる構造である。；駅自体が周辺よりも低い場所にあるため、ホームは階段を降りた所にある。；在来改札からはそれまで通り階段でしかホームへのアクセスができない。；駅舎は設けられていないため、この階段から直接ホームに入ることになる。；ほかの階段と同じようにF階段にも既に大量の煙が充満していたのだった。；ホーム中央部分に待合所、稚内方に階段を有し駅施設外に連絡している。；正面にはそれぞれ木の階段があり、さらにその前方に石階が設置されている。；線路の西側にホームが置かれ、塚原方の端の階段を使って駅に出入りする。；従来、通路からホームへは階段のみであったが、エスカルが設置された。；この通路は階段のみでありエレベーター等のバリアフリー設備はない。；ホームの猪谷方の端から階段を降りたところに駅舎が置かれていた。；ホームは高台に設置されており、地平へは階段を降りる形となっていた。；駅舎から各ホームへは階段のみで昇り降りが可能な地下道で連絡している。；地下と各ホームを結ぶ階段から京都側は、各ホーム共に幅員がかなり狭い。；このうち北側の室には上層への階段と勝手口、南側の室には押入がある。；国道135号よりやや高い崖上に位置するため、階段を上る必要がある。；両改札口から、いずれのホームへも階段なしでアクセス可能となっている。；無人駅で駅舎はなく、階段を登って直接ホームに入る形になっている。；ホームと駅舎の間は階段のほかエレベーターでも連絡している。；ホームから跨線橋が伸びており、階段を上りきると左右に分かれている。；この三本足さえも関節があり伸縮し、段差の低い階段の上り下りも可能。；ホームから改札口までは階段の他にエレベーターが設置されている。；中央奥の階段が鶴見線の駅の入り口で、線路は道路と平行に伸びている。；中3階にはエレベーターと階段が通じているが、エスカレーターは無い。；ホームが地平より少しだけ高いのでホームから地上へは階段を通る。；駅舎は地平にあり、ホームと駅舎を結ぶ階段はみさき公園駅寄りにある。；そのため、階段も壁から離れた位置に造られ、階段と壁の間に通路がある。</t>
        </is>
      </c>
      <c r="J1334">
        <f>HYPERLINK("https://www.weblio.jp/content/階段", "词义详情")</f>
        <v/>
      </c>
      <c r="K1334">
        <f>HYPERLINK("https://yourei.jp/階段", "查看例句")</f>
        <v/>
      </c>
    </row>
    <row r="1335">
      <c r="A1335" t="inlineStr">
        <is>
          <t>懐中電灯</t>
        </is>
      </c>
      <c r="B1335" t="inlineStr">
        <is>
          <t>成功</t>
        </is>
      </c>
      <c r="C1335" t="inlineStr">
        <is>
          <t>読み方：かいちゅうでんとう
携帯用の小型電灯。乾電池などを電源とする。</t>
        </is>
      </c>
      <c r="D1335" t="inlineStr">
        <is>
          <t>懐中電灯をふりてらし；懐中電灯を当て；懐中電灯をパッと；懐中電灯を握り直し；懐中電灯をふり照らし</t>
        </is>
      </c>
      <c r="F1335" t="inlineStr">
        <is>
          <t>大きな懐中電灯</t>
        </is>
      </c>
      <c r="H1335" t="n">
        <v>29</v>
      </c>
      <c r="I1335" t="inlineStr">
        <is>
          <t>親からもらったラジオや懐中電灯などの壊れた機器をよく修理していた。；どうしたのかと思えば、持ってきていた別の懐中電灯を置いたようだった。；懐中電灯を持っていないほうの手で口を押さえ、必死で悲鳴をこらえる。；地面からの懐中電灯の光に気づいて、夏の虫のように寄ってくるのだ。；運転手が下りてきて、懐中電灯で切符を調べてから、扉をあけてくれた。；するとあちこちから懐中電灯の光が集まってきて、彼を追いかけ始めた。；ぼくはさっきまで懐中電灯を使ってゲームボーイの画面を照らしていた。；何者かが懐中電灯をてらして、広いほうの枝道の中から出てくるのです。；足もとを確認するために一秒間だけ懐中電灯をつけたが、すぐに消した。；イリヤは胸ポケットから小型の懐中電灯を取り出し、スイッチを入れた。；女芸人が懐中電灯を掌にして踊りのようなことをしたのを覚えている。；片手に懐中電灯、もう一方の手にヒナを持ったまま身動きできなかった。；今まで道をてらしていた懐中電灯の光が消えてしまっているのです。；それが、懐中電灯をつけて照らしてみると、もう、どこにもいないのだ。；私はその場に自転車を置いて、懐中電灯だけを持って金網に近づいた。；イーブは女が夜の川にもぐって懐中電灯を当てた時の鮎のような気がした。；半分ほどきたとき、ジョナサンおじさんが左のほうに懐中電灯を向けた。；廊下へ出ると、かれは危険を承知でちょっと懐中電灯を照らしてみた。；探していた丸い感触が指に触れたところで、懐中電灯の明かりを消した。；ふたを打つ手の動きを止めたとき、下方から懐中電灯の光が動いてきた。；懐中電灯をまた見つけ出して明かりをつけたとき、その理由がわかった。；納屋の前にあった自転車につけてある懐中電灯に、竜太はスイッチを入れた。；ヘッドランプや懐中電灯を持ち歩いている可能性があるとされていた。；私も、つかみあいの最中に落としてしまった懐中電灯をひろおうとした。；パッと懐中電灯をつけてみると、あたりのようすが、かわっていました。；懐中電灯をつけなくても、車庫の中に車が入っていないことは判った。；彼は、ふつうの視覚と懐中電灯をつかうことさえできたらと考えていた。；窓から、メグレは暗闇をさぐっている刑事たちの懐中電灯の光を認めた。；健くんも、懐中電灯の光に寄ってくる虫を手で払いながら考えていた。</t>
        </is>
      </c>
      <c r="J1335">
        <f>HYPERLINK("https://www.weblio.jp/content/懐中電灯", "词义详情")</f>
        <v/>
      </c>
      <c r="K1335">
        <f>HYPERLINK("https://yourei.jp/懐中電灯", "查看例句")</f>
        <v/>
      </c>
    </row>
    <row r="1336">
      <c r="A1336" t="inlineStr">
        <is>
          <t>開通</t>
        </is>
      </c>
      <c r="B1336" t="inlineStr">
        <is>
          <t>成功</t>
        </is>
      </c>
      <c r="C1336" t="inlineStr">
        <is>
          <t>読み方：かいつう
［名］(スル)鉄道・道路・電話など、交通・通信の機関や施設が完成して通じること。「高速道路が—する」</t>
        </is>
      </c>
      <c r="D1336" t="inlineStr">
        <is>
          <t>開通後(4%)；開通当初(2%)；開通時；開通前；開通区間</t>
        </is>
      </c>
      <c r="F1336" t="inlineStr">
        <is>
          <t>全線開通；鉄道開通；部分開通；トンネル開通；バイパス開通</t>
        </is>
      </c>
      <c r="H1336" t="n">
        <v>29</v>
      </c>
      <c r="I1336" t="inlineStr">
        <is>
          <t>信号が開通したときに鳴動する信号開通メロディは以下のとおりである。；また、開通後の名称変更は原則的に行われないが、中には例外もある。；全線開通前からCMやドラマ・映画等の撮影を積極的に受け入れている。；西口は東北新幹線が開通してから開設され開発が行われた地区である。；右図では、進路が主要な線路より右方に開通しているときを表示している。；分と言う時間の単位が市民の生活に現れたのは、鉄道の開通以降のことである。；全線開通は戦後の正式な計画決定からも60年かかったことになる。；なお開通当初の接続道路は国道8号のみであり、県道は未開通だった。；最初に開通した路線で、現在は阿佐ヶ谷駅と浜田山駅を約20分で結ぶ。；その頃までに、東京・神戸間や東京・仙台間に鉄道が開通していた。；この区間は開通時点で日本最長の新直轄区間が連続する区間だった。；明治時代に鉄道が開通した後道路が発達し始めたものの、市街地だけだった。；なお、当駅自体は路線開通後の1909年に開業したものである。；実際に開通すると、この倍に達する輸送実績を残している。；その他にも新幹線の開通で空港の旅客数が顕著に減少する例が多い。；平日は大型車の混入率が高いと見られ、全線開通後は年々増加している。；また東葉高速線では1996年に開通式が行われた場所でもある。；伊勢湾岸自動車道もそうした道路であり、以下、その開通効果を記述する。；鉄道開通後は駅を中心に東京都の都心のベッドタウンとして住宅開発が進む。；手前のレールの間にある開通方向表示器は非開通を表示している。；ティラナの直交し並行した道路網の北側の部分が開通している。；本線開通以前には、国縫駅と瀬棚町の間に毎日乗合馬車が運行されていた。；スエズ運河開通で、地中海は完全に東西交易のメインルートへと復帰した。；阪神なんば線開通後も8両での運転が継続されていて、運用上の大きな変化はない。；ロシアによるクリミア半島の事実上の編入後にはクリミア大橋が開通した。；三江線は部分開通していた当時から利用状況は芳しくなかった。；これが原因でJR東西線の開通は当初より2年遅れることになった。；伊勢湾岸自動車道開通に伴って沿道には多くの企業が進出した。；ただし城ヶ島の島民は開通当初より無料でこの橋を利用できる。</t>
        </is>
      </c>
      <c r="J1336">
        <f>HYPERLINK("https://www.weblio.jp/content/開通", "词义详情")</f>
        <v/>
      </c>
      <c r="K1336">
        <f>HYPERLINK("https://yourei.jp/開通", "查看例句")</f>
        <v/>
      </c>
    </row>
    <row r="1337">
      <c r="A1337" t="inlineStr">
        <is>
          <t>改定</t>
        </is>
      </c>
      <c r="B1337" t="inlineStr">
        <is>
          <t>成功</t>
        </is>
      </c>
      <c r="C1337" t="inlineStr">
        <is>
          <t>読み方：かいてい
［名］(スル)法律・制度など以前のものを改めて新しく定めること。「条約を—する」「運賃—」</t>
        </is>
      </c>
      <c r="D1337" t="inlineStr">
        <is>
          <t>改定される(3%)；改定後(2%)；改定案；改定版；改定交渉</t>
        </is>
      </c>
      <c r="E1337" t="inlineStr">
        <is>
          <t>変更；変化；改造；調整；改め</t>
        </is>
      </c>
      <c r="F1337" t="inlineStr">
        <is>
          <t>安保改定；料金改定；改定律；診療報酬改定；ルール改定</t>
        </is>
      </c>
      <c r="G1337" t="inlineStr">
        <is>
          <t>改定史籍集覧</t>
        </is>
      </c>
      <c r="H1337" t="n">
        <v>29</v>
      </c>
      <c r="I1337" t="inlineStr">
        <is>
          <t>シーズンごとに行われる、ルール改定では区別されずに認定される。；配偶者が新たに子を有することになったときには増額改定が行われる。；しかし現在まで名前は改定されることなくクンタウとして継承されている。；改定後の価格は2008年7月1日のメーカー出荷分以降に適用される。；その後、236号で価格が改定されると同時に付録DVDは廃止された。；それを機会に国名に用いる文字が改定され、現在までつづく表記となった。；背景が灰色で表示されているものは2011年の改定で削除された。；伴が改定の証拠とみたのは、太歳記事が天武天皇2年にあることである。；改定前の伊都エコルカードとエリアは同じだが、価格は上昇している。；そして2014年には提出された完全なデータに基づいて、報告は改定された。；この推定温度は後に改定され、250-400 K と推定されている。；日本では何度も関連法規が改定・改善されてきた歴史がある。；これは2020年現在の分類であり、今後改定される可能性がある。；機構面での変更点はレギュレーションの改定に併せた変更に留まっている。；胴体は単座タイプと同一だが、増槽・ミサイルの設定が改定されている。；制服の規定が改定されたことを受け、2011年度入学生から新制服に移行した。；すなわち5名の範囲内でなら認められる様に改定されている。；その価格改定の際は、厚生労働大臣は中医協に諮問しなければならない。；改定されていないものでも版を重ねているものが多かったが、一部には入手が困難になったものもあった。；しかし、これを少しでも改善しようとすれば憲法そのものを改定する必要がある。；新制服は詰襟型を採用し、色やデザインが全面的に改定されている。；その後改定され、現在の基準は2018年7月9日に公表されたものである。；しかしこの改定は平時には影響せず限定的なものであった。；さらに2019年3月11日には系統の路線改定が実施されている。；以前は 野上かみ- 北仙台 間であったのがそれぞれ改定された。；また条約改定後も、モナコの防衛はフランスの責任となっている。；死の欲動理論はそれ以後のフロイト理論を改定する大きなきっかけとなっていく。；JIS X 0208の改定に伴って追加された文字も同様に追加されている。；政府は社会問題化したことを受けて毒物及び劇物取締法の一部改定に着手。</t>
        </is>
      </c>
      <c r="J1337">
        <f>HYPERLINK("https://www.weblio.jp/content/改定", "词义详情")</f>
        <v/>
      </c>
      <c r="K1337">
        <f>HYPERLINK("https://yourei.jp/改定", "查看例句")</f>
        <v/>
      </c>
    </row>
    <row r="1338">
      <c r="A1338" t="inlineStr">
        <is>
          <t>改訂</t>
        </is>
      </c>
      <c r="B1338" t="inlineStr">
        <is>
          <t>成功</t>
        </is>
      </c>
      <c r="C1338" t="inlineStr">
        <is>
          <t>読み方：かいてい
［名］(スル)
１書物の内容を改め正すこと。「旧版を—する」「—版」
２法律や取り決めなどの一部を改めて正当な形に正すこと。改正。改定。
[補説]法令文は「改定」に統一。</t>
        </is>
      </c>
      <c r="D1338" t="inlineStr">
        <is>
          <t>改訂版(3%)；改訂改修計画；改訂作業；改訂新版；改訂増補</t>
        </is>
      </c>
      <c r="E1338" t="inlineStr">
        <is>
          <t>変更；改正；修正；直し；変える</t>
        </is>
      </c>
      <c r="F1338" t="inlineStr">
        <is>
          <t>大幅な改訂；全面改訂；一部改訂；形式称号改訂；河川改訂改修</t>
        </is>
      </c>
      <c r="G1338" t="inlineStr">
        <is>
          <t>改訂標準訳聖書；改訂・日本の絶滅のおそれのある野生生物；改訂共通聖書日課；改訂版聖書；改訂英語聖書</t>
        </is>
      </c>
      <c r="H1338" t="n">
        <v>29</v>
      </c>
      <c r="I1338" t="inlineStr">
        <is>
          <t>この初期構想は顧客からの反応を見ながら数回の改訂が加えられている。；主要な改訂点はこの3点であるが、他にもいくつかの小さな改正がある。；日本の幾度にもわたる条約改訂交渉はそのために為されたものであった。；されはじめており、各国の歩兵操典はこれに合わせて改訂されはじめた。；この改訂は表示だけのもので、名前の発音まで変えるものではなかった。；最近の学者は他の根拠を利用してカールグレンの上古音を改訂している。；また、単行本化の際に連載当時から改訂されている部分も存在している。；もう一方は伴奏を含めてすべて完成しているもので、改訂稿と呼ばれる。；そのため、その成果を受けて改訂された第二版が1990年に発行された。；漢字表の改訂は、文字を制限するのではなく、緩和する方針がとられた。；彼が存命だったなら、最近の研究に基づいた改訂に同意しなかっただろう。；なお、その後も出版元の三一書房と講談社はその部分を改訂しなかった。；新しいタイトルが追加されていく中で、以前のものは何度か改訂を重ねている。；この曲についてもしばらくして改訂することを決め、実際に作業を始めた。；しかし、日本相撲協会内部で改訂が議論されるまでには至っていない。；曲は数回の改訂を経ており、1919年に最終版へ作品44が与えられた。；本作はその後も作曲者による改訂は行われなかったと考えられている。；なお1901年以降も打率に影響するルール改訂はいくつか行われている。；中には長年改訂されず、古さが目立つ内容になっているものもある。；新装版はカバー絵などが改められ、一部のセリフや描写が改訂されている。；大幅改訂が実施された平成29年度版では、構成が以下のとおり改められた。；この作品が次に上演されたのは1872年、大改訂を加えた後のことであった。；謡曲の趣味があり田安宗武が命じた謡曲本の改訂に携わったこともある。；以来、医薬品の開発、試験技術の向上に伴って改訂が重ねられてきた。；これらの目標は、ビジネス上の目標の変更を反映して継続的に改訂される。；内容が矛盾されている点についてはもっとも改訂の進んでいるこの文献を参照した。；その後、特にブルックナー自身による改訂は行われなかったと思われる。；なおDSM次期改訂版のために上記の診断基準のの変更が検討されている。；これは移植の際に、シナリオと台詞に大幅な改訂が為された理由による。</t>
        </is>
      </c>
      <c r="J1338">
        <f>HYPERLINK("https://www.weblio.jp/content/改訂", "词义详情")</f>
        <v/>
      </c>
      <c r="K1338">
        <f>HYPERLINK("https://yourei.jp/改訂", "查看例句")</f>
        <v/>
      </c>
    </row>
    <row r="1339">
      <c r="A1339" t="inlineStr">
        <is>
          <t>快適</t>
        </is>
      </c>
      <c r="B1339" t="inlineStr">
        <is>
          <t>成功</t>
        </is>
      </c>
      <c r="C1339" t="inlineStr">
        <is>
          <t>読み方：かいてき
［名・形動］心身に不快に感じられるところがなく気持ちがいいこと。ぐあいがよくてこころよいこと。また、そのさま。「—な生活」「—な一日を過ごす」
[派生]かいてきさ［名］</t>
        </is>
      </c>
      <c r="D1339" t="inlineStr">
        <is>
          <t>快適な環境；快適装備；快適な気候；快適な部屋；快適な場所</t>
        </is>
      </c>
      <c r="E1339" t="inlineStr">
        <is>
          <t>いい；よい；良い；楽；楽しい</t>
        </is>
      </c>
      <c r="F1339" t="inlineStr">
        <is>
          <t>快適そのもの；安全かつ快適；快適な乗り心地；快適な住空間；快適な移動空間</t>
        </is>
      </c>
      <c r="G1339" t="inlineStr">
        <is>
          <t>快適な生活；快適空間；快適生活ラジオショッピング；快適環境；快適工房</t>
        </is>
      </c>
      <c r="H1339" t="n">
        <v>29</v>
      </c>
      <c r="I1339" t="inlineStr">
        <is>
          <t>机が広くなると作業をのためのスペースを確保しやすくなり快適になる。；あるいは、ゴキブリが家から他に快適な場所に移動したのかもしれない。；刑務所ではラジオを置く・新聞を取る・労働はせずに快適に暮らしていた。；快適な操作性とレスラーの繰り出せる技の種類が豊富な点が特徴である。；快適で美しくて住みやすい家、そこには家が語りかけてくるものはない。；そのため、蒸し暑く感じる日はあるものの基本的には快適な気候である。；新しい快適な施設も作られて成長を続け、1890年には自治体となった。；市内には他の同規模都市には無いような多くの快適さがある。；様々な地形があり岩がちの地勢と快適な気候の稀な組み合わせになっている。；しかし、多くの企業はバス団体が列車と同じくらい快適になるよう調整している。；概要・現在は新しい新校舎が建設され、より快適な教育環境が整っている。；後に地域の快適な気候からウィンターヘイブンという名前が提案された。；また、ヌーディストビーチ利用者の間に快適な空間を確保する場合もある。；日々の出来事を深く伝え、そして音楽を聴くことの楽しみと快適さを伝えた。；そのためスペックが不足していると快適に動作しない場合がある。；からだの状態からくる快適・不快な感じを指す場合にも使われる。；これと同様に、居住者が快適に生活を営むことのできる機能も重要である。；また、比較的低スペックなPCでも快適に動作するように設計されている。；また、ニコニコポイントの利用でより快適にゲームを遊ぶことが出来る。；広告のキャプションには「少なくとも彼の手は快適です」と書かれている。；人間工学に基づいた椅子であり、多数の人々から非常に快適と評価されている。；通信速度及びパケット量が大幅に改善され、快適なプレーが可能になった。；最初の性交が快適であった人物は、現在の性生活により多くの満足を示した。；インテリアは、すべての乗員に快適さをもたらすようにデザインされた。；全線2車線で、直線的な見通しの良い道が続き快適に走ることができる。；経路は非常に景観が良く、広い車線は道路を安全で快適なものにしている。；これにより定規に当てやすいため、快適に正確な線を書くことができる。；このデザインは耳の形に基づいており、このことから音を快適に感じられるようになった。；移民用寝台車は設備がほとんどなく旅客の快適性への考慮がほとんどない。</t>
        </is>
      </c>
      <c r="J1339">
        <f>HYPERLINK("https://www.weblio.jp/content/快適", "词义详情")</f>
        <v/>
      </c>
      <c r="K1339">
        <f>HYPERLINK("https://yourei.jp/快適", "查看例句")</f>
        <v/>
      </c>
    </row>
    <row r="1340">
      <c r="A1340" t="inlineStr">
        <is>
          <t>回転</t>
        </is>
      </c>
      <c r="B1340" t="inlineStr">
        <is>
          <t>成功</t>
        </is>
      </c>
      <c r="C1340" t="inlineStr">
        <is>
          <t>読み方：かいてん
［名］(スル)
１物が、ある軸を中心としてまわること。「—式のテーブル」「翼が—する」
２からだを転がしたり、宙がえりしたりすること。「—レシーブ」「マット上で三—する」
３機能を十分生かした働きをすること。存分に活動すること。「頭の—が鈍い」「人員を—させて事務をさばく」
４物事が、動きをくり返すこと。「資金の—が早い」
５サービス業などで、客が新しい客と入れ替わること。「客の—が悪い」
６「回転競技」の略。</t>
        </is>
      </c>
      <c r="D1340" t="inlineStr">
        <is>
          <t>回転する(14%)；回転させる(6%)；回転式(4%)；回転方向；回転椅子</t>
        </is>
      </c>
      <c r="E1340" t="inlineStr">
        <is>
          <t>変化；回り；回る；順番；廻り</t>
        </is>
      </c>
      <c r="F1340" t="inlineStr">
        <is>
          <t>高回転；逆回転；半回転；高速回転；低回転</t>
        </is>
      </c>
      <c r="G1340" t="inlineStr">
        <is>
          <t>回転軸；回転翼；回転速度；回転運動；回転式拳銃</t>
        </is>
      </c>
      <c r="H1340" t="n">
        <v>29</v>
      </c>
      <c r="I1340" t="inlineStr">
        <is>
          <t>座席は2人掛けの回転式リクライニングシートで以下に示す特徴を持つ。；回転靴製法は現代でもダンス用など一部の特殊な靴に使われている。；十分な回転数が得られたら通常の飛行機のように滑走して離陸させる。；ホームの南側に、バスが折り返すための回転場と駐車場が設けられている。；物理的には地球の回転主軸と地球表面との交差点であると考えられる。；両手を封じられてポーズがとれないときは、その場で回転して変身する。；AとBは軸を中心に回転出来るため、希望する方向へ推力を向けられる。；これは、核間軸の周りのMOの回転が位相を変化させないことを意味する。；この原理からナックルは極僅かな回転と縫い目の向きが重要だとされる。；接地場所を移動することは出来ないが、その場所で回転することは許される。；長い武器は回転半径が長くなるため効果もまた大きなものとなる。；この時、全ての配置が26回の半回転で復元できることも確認された。；これはタンパク質の耐熱性が反応回転数を抑制しているためとされている。；その固定部分も回転部分も電磁石になっていて、永久磁石は使っていない。；また横歩きしか出来ない種類でも回転で弱らせると暫く縦歩きをする。；当初、この角は回転する予定だったが、完成作品では固定された。；回転式広告は2002年に設置されたもので複数社がスポンサーとなっている。；一方、このような円盤面内運動でなく水車のような回転をする翼も存在する。；結局、通常のサッカーモードから90度回転した配置で試合を開催。；見た目は普通の裏ソフトだが、摩擦が極端に少なく回転がかかりにくい。；正逆転回転が必要でない用途では、単相または二相での駆動が可能である。；これは、核間軸の周りのMOの回転が位相の変化が起きることを意味する。；リニアモータは、回転型のモータを直線に展開したものと考えてよい。；ホイールベース間では車椅子が回転できる通路幅が確保されている。；低回転域で高いトルクが要求される用途でよく使われている。；全出力からエンジン停止、逆回転させて全出力までの時間は60秒以下であった。；具体的にはコイルに対して磁石を回転させることで電気を発生させる。；イラスト左から、従動車が原動車と同じ回転方向を得るオープンベルト。；勾配や発散とは異なり、回転の概念を単純に高次元化することはできない。</t>
        </is>
      </c>
      <c r="J1340">
        <f>HYPERLINK("https://www.weblio.jp/content/回転", "词义详情")</f>
        <v/>
      </c>
      <c r="K1340">
        <f>HYPERLINK("https://yourei.jp/回転", "查看例句")</f>
        <v/>
      </c>
    </row>
    <row r="1341">
      <c r="A1341" t="inlineStr">
        <is>
          <t>回答</t>
        </is>
      </c>
      <c r="B1341" t="inlineStr">
        <is>
          <t>成功</t>
        </is>
      </c>
      <c r="C1341" t="inlineStr">
        <is>
          <t>読み方：かいとう
［名］(スル)質問・要求などに答えること。また、その答え。「調査に—する」「満額—」
→返事［用法］</t>
        </is>
      </c>
      <c r="D1341" t="inlineStr">
        <is>
          <t>回答書；回答期限；回答文；回答内容；回答権</t>
        </is>
      </c>
      <c r="E1341" t="inlineStr">
        <is>
          <t>答え；反応；解決；返事；返し</t>
        </is>
      </c>
      <c r="F1341" t="inlineStr">
        <is>
          <t>無回答；再回答；最終回答；バーンズ回答；アンケート回答</t>
        </is>
      </c>
      <c r="G1341" t="inlineStr">
        <is>
          <t>回答結果；回答兼刷還使；回答拒否；回答待ち</t>
        </is>
      </c>
      <c r="H1341" t="n">
        <v>29</v>
      </c>
      <c r="I1341" t="inlineStr">
        <is>
          <t>このコーナーは真面目に回答する場合もあれば適当に返すこともあった。；試験日に自分の好きな時間帯にアクセスし回答できるのが特徴。；晩年のインタビューでは質問された内容に回答するのみでそれ以上の話はしなかった。；宰相は国中のすべての教区に質問状を送り、地震とその影響を回答させた。；これは回答用紙にある選択肢のなかでドイツ語が一番近いためである。；所長は上層部に取り計らってみると回答したが、結局交渉は拒否された。；調査票に回答と収入や居住状態の立証書類を添付して保険者に提出する。；島津家は回答を留保し翌日に鹿児島城内で会談を行う事を提案している。；主催者側の回答に納得できなかった日本は再度質問書を提出した。；「僕はちょうど死角になってよく見えなかったんです」 と回答している。；番組を見ていれば簡単に答えられる場合が多いが、見ていないと回答するのは難しい。；その結果、家族のいい回答が得られずに家庭内暴力にまで至るケースもある。；中国で、青銅器がいつのころから使用され始めたのかは明確な回答は出ていない。；勅諚とあっては拒み切れず、慶喜は将軍の江戸帰還後20日と回答した。；最後に出演者からOKWAVEに質問があり、自由に回答可能となっている。；試験はほぼ徹夜で行われ、1畳程の狭い空間の中で回答しなければならない。；利用する際には、回答の正確性は全く保証されていないことをよく理解しておく必要がある。；こうしたことがフランス側の極めて早い受諾回答の背景にあった。；回答した500人の内3割ほどしか自分の判断を正当化できなかった。；出演する市民は番組ホームページからアンケートに回答する形式で応募。；そこでマコーリフはのちに有名になるたった一言の回答を書きあげた。；さらに回答も定型化することで、意見を明確化するという目的がある。；以下は複数の選択肢の中から一つを選ぶ形式のアンケートへの回答。；もっともトリューニヒトは「私が地球教を利用した」と回答している。；出願から約9ヶ月を経て、蘆別神社が受けた回答は次のようなものだった。；計算式を入力し終えたら、最後にを押すと回答が音声で読み上げられる。；ドイツ側には文書による意見を述べる14日間の回答期限が設定されていた。；恣意的な回答はある種の毎回変わる回答パターンであると示した研究もある。；家族で違った回答をしてばらばらになるのを恐れた一世の親に説得された二世もいたという。</t>
        </is>
      </c>
      <c r="J1341">
        <f>HYPERLINK("https://www.weblio.jp/content/回答", "词义详情")</f>
        <v/>
      </c>
      <c r="K1341">
        <f>HYPERLINK("https://yourei.jp/回答", "查看例句")</f>
        <v/>
      </c>
    </row>
    <row r="1342">
      <c r="A1342" t="inlineStr">
        <is>
          <t>解答</t>
        </is>
      </c>
      <c r="B1342" t="inlineStr">
        <is>
          <t>成功</t>
        </is>
      </c>
      <c r="C1342" t="inlineStr">
        <is>
          <t>読み方：かいとう
［名］(スル)問題を解いて答えを出すこと。また、その答え。「数学の問題に—する」</t>
        </is>
      </c>
      <c r="D1342" t="inlineStr">
        <is>
          <t>解答する(7%)；解答権(5%)；解答席(3%)；解答用紙；解答編</t>
        </is>
      </c>
      <c r="E1342" t="inlineStr">
        <is>
          <t>答え；解決；返事；答える；応え</t>
        </is>
      </c>
      <c r="F1342" t="inlineStr">
        <is>
          <t>珍解答；正しい解答；明確な解答；解答速報；解答方式</t>
        </is>
      </c>
      <c r="H1342" t="n">
        <v>29</v>
      </c>
      <c r="I1342" t="inlineStr">
        <is>
          <t>そしてステージ左には解答席、右にはバンドがそれぞれ設置されていた。；後ろの人に解答権がある場合は早く答えないと自分より先に前の人が落下。；この期間の情報が不足している事から、正確な解答は得られていない。；主に読者から公募された詰将棋の問題と解答・解説から構成されている。；解答を間違えたり、自分の顔の皿がレーンの端まで到達すると爆発する。；第2ステージでは理論問題と実験問題をそれぞれ5時間かけて解答する。；ここで、難しさとは、ユーザが正しい解答が出来たかどうかで判断する。；ライプニッツ自身が与えた悪の問題への解答は、次のようなものである。；なお、番組開始当初は、通常問題と同じく1番席から順に解答していた。；出された料理を見て全員で相談し、最終的にゲストが解答を決定。；問題の読み上げ途中であっても、最も早くボタンを押した者が解答権を得る。；ポストはこの問題の解答のために2つの事を証明する必要があった。；解答は一般的な解法と巧妙さを追求した解法の2種類が用意されている。；ある写真が提示され、写真が示す物や現象の名称を筆記で解答する。；生徒役の大桃美代子と村野武範が答え、講師が解答とテーマを説明する。；そしてチーム内に同じ解答がいくつあるのかで得点を決めていた。；現在、同一駅解答の制限は3時間だが、第一回は24時間使えなかった。；プレイヤーはこれを受けることで、模擬テストの解答を知ることができる。；修了考査は、科目免除をされた者を含め全員がすべての問題に解答する。；解答順は、それぞれのクイズの開始時点で下にいるチームから順番となる。；このゲームに収録された一部の問題の解答・解説に誤りがある。；解答ボタンは丸型の一個スイッチで、ゴンドラ左側に設けられていた。；これらの記号に、解答条件を達成すべき制限手数の数字を加えて示す。；文字はつなげるとある文章になっているので分かった時点でボタンを押し解答する。；観客が自分の推理を記入した解答用紙はゲーム3日目の夜に回収される。；そして解答席には解答権のある者が座り、間にはそれ以外の者が座る。；文書にはまた多くの時間をかけて解答された質問が定期的に更新されるたびに反映される。；スタジオセットの構成は、前期では解答席が画面左から右へ移動するパターン。；その間にメンバーは相談、答えられそうな1人が前に出て解答する。</t>
        </is>
      </c>
      <c r="J1342">
        <f>HYPERLINK("https://www.weblio.jp/content/解答", "词义详情")</f>
        <v/>
      </c>
      <c r="K1342">
        <f>HYPERLINK("https://yourei.jp/解答", "查看例句")</f>
        <v/>
      </c>
    </row>
    <row r="1343">
      <c r="A1343" t="inlineStr">
        <is>
          <t>該当</t>
        </is>
      </c>
      <c r="B1343" t="inlineStr">
        <is>
          <t>成功</t>
        </is>
      </c>
      <c r="C1343" t="inlineStr">
        <is>
          <t>読み方：がいとう
［名］(スル)ある条件・資格などに、当てはまること。「—する箇所に丸をつける」</t>
        </is>
      </c>
      <c r="D1343" t="inlineStr">
        <is>
          <t>該当する場合(2%)；該当箇所；該当部分；該当地域；該当項目</t>
        </is>
      </c>
      <c r="E1343" t="inlineStr">
        <is>
          <t>相当；適応；適合；順応；即応</t>
        </is>
      </c>
      <c r="F1343" t="inlineStr">
        <is>
          <t>該当区間；該当作；該当ページ；該当シーン；該当車両</t>
        </is>
      </c>
      <c r="G1343" t="inlineStr">
        <is>
          <t>該当者なし；該当なし；該当作品なし</t>
        </is>
      </c>
      <c r="H1343" t="n">
        <v>29</v>
      </c>
      <c r="I1343" t="inlineStr">
        <is>
          <t>例えば は一辺に点を個並べたときに該当するので三角数の一つである。；梶田の一連の著作が対象とされる該当論文等と詳細に比較、検討された。；発行終了後の取り扱いなどの詳細は、項目があるものは該当項目を参照。；また、次の各号のいずれかに該当する者は、役員となることができない。；一般的な電車への採用例もあり、JR東日本E127系電車が該当する。；当該業務を遂行する為に多数の局を計画的に開設する事業者が該当する。；二つの小宗教はアブラハムの宗教のどの区分にもまったく該当しない。；上記のほか、以下の条件のいずれかに該当する馬にも出走資格が与えられる。；次の各号のいずれかに該当する者は、公益委員となることができない。；やの場合がそれに該当し、店舗で入手困難な状況が数ヶ月間は続いた。；以下の各項目に該当する内容を書き込もうと考えている人は注意して下さい。；これら5つのうち2つ以上の該当があれば心因性腰背痛の可能性が高い。；小倉南区内にも、以下のパターンに該当する電話番号の一部が存在する。；座席の指定を受ける場合は該当区間の特急券を購入する必要がある。；譲渡は譲渡先がアカデミック対象ユーザーに該当している場合のみ可能。；監視カメラなどの設備、セコムなどの会社はそれぞれの該当記事を参照。；以下の書籍の該当頁には、類話の一部が載っているので参照されたい。；理解の便に該当箇所を挙げると、たとえば以下のような点である。；大学院は法第102条に基づき、下記のいずれかに該当する者が対象となる。；収容局は一部地域を除き以下の2ビルが該当し、市内局番は以下の通り。；どのカードが該当するかは事前に公式ホームページで確認しなければならない。；次のいずれかに該当する者は、当然に精神保健福祉士となる資格を有しない。；八幡西区内にも、以下のパターンに該当する電話番号の一部が存在する。；該当日に実際に災害が発生した場合には、体験利用ができなくなることがある。；該当部屋に所属する年寄の中の責任者の年寄名跡が部屋名に冠せられる。；このことは、現在なお信仰され続けている宗教等にも該当する。；次の各号の一に該当するときは合併をしてはならない。；以下に該当するものは著作物ではあっても、著作権の目的とならない。；英語がシチェドリン版での曲名で、日本語が原曲の該当する部分である。</t>
        </is>
      </c>
      <c r="J1343">
        <f>HYPERLINK("https://www.weblio.jp/content/該当", "词义详情")</f>
        <v/>
      </c>
      <c r="K1343">
        <f>HYPERLINK("https://yourei.jp/該当", "查看例句")</f>
        <v/>
      </c>
    </row>
    <row r="1344">
      <c r="A1344" t="inlineStr">
        <is>
          <t>街頭</t>
        </is>
      </c>
      <c r="B1344" t="inlineStr">
        <is>
          <t>成功</t>
        </is>
      </c>
      <c r="C1344" t="inlineStr">
        <is>
          <t>読み方：がいとう
市街地の道路や広場。町なか。</t>
        </is>
      </c>
      <c r="D1344" t="inlineStr">
        <is>
          <t>街頭インタビュー(4%)；街頭デモ(3%)；街頭活動；街頭紙芝居；街頭風景</t>
        </is>
      </c>
      <c r="E1344" t="inlineStr">
        <is>
          <t>市内；町内；市中；街中；町中</t>
        </is>
      </c>
      <c r="F1344" t="inlineStr">
        <is>
          <t>十字街頭；街頭抗議；街頭広告；街頭写真屋；街頭防犯カメラ</t>
        </is>
      </c>
      <c r="G1344" t="inlineStr">
        <is>
          <t>街頭テレビ；街頭募金；街頭ビジョン；街頭録音；街頭闘争</t>
        </is>
      </c>
      <c r="H1344" t="n">
        <v>29</v>
      </c>
      <c r="I1344" t="inlineStr">
        <is>
          <t>いまこうして街頭にいて安全なのか、家の中にはいらなくてもいいのか?；街頭の花店には色とりどりの花の種類が目立って増えていることだろう。；街頭の店には空襲以来一層閉鎖しているものが多く、一杯の茶も飲めぬ。；公衆安全の問題が解決するまで街頭パーティは規制されることになった。；街頭の光を受けて、その大きな塊は血のように赤く燦然と輝いていた。；古代の姿をした、舞台に出て来そうなものが、街頭を歩いているのであった。；街頭での暴力から身を守るために、彼らは団結してギャングを結成した。；街頭にしても電車の中にしても、昔の満員電車に比べれば緊張度が高いよ。；余は事実、街頭で撒水夫の業を営んでいた極めて貧しい父から生まれた。；街頭デモでは、そうした学生と機動隊が激しく衝突することが多かった。；いったん足をもって立ち上がったことは室内より街頭へ立ち上がったのであります。；街頭説教師だった父親に幼いときからいやというほど聞かされている。；主人公の女性も、最後のシーンでは街頭で他の女性たちと一緒に踊っている。；東京の若者に行った街頭インタビューを流してから放送に入る。；また公安委員会は街頭の襲撃から身を守るほどの武力も持たなかった。；電車にでも乗って多くの人の前へ出ると尚更街頭の気分とでも云うものに襲われる。；道化役者の笑う声が電気人形の腹のところから聞こえてきて、街頭に流れた。；質問が出たら、街頭に出ているアナウンサーが街を行く人に質問。；街頭で買うものが無いのに金の値が維持されるわけはない。；一方、戦後の作品では街頭シーンでチンドン屋が登場することが非常に多い。；鳥打帽と関連して、東京の学生の生活を街頭に示しているのはその服装である。；そこには先生が如何にして街頭に出たかを詳細に伝えている。；街頭に数え切れないほどのマンゴーの木があるために緑の都市と称されている。；翁の街頭に佇立むのは約束した人の来るのを待つためばかりではない。；後に現れる「街頭激突主義」はこの理論が現実に現れたものであるとされる。；群集の間から、私は、自分がそれて通った彼方側の街頭を眺めやった。；最終号は街頭配布せず、ラック設置分および送付のみでの配布となった。；街頭でわたしにそのわけをたずねた最初の人は、偶然にもまさに例の二人の画家の一人だった。；横田滋・早紀江の夫妻が街頭活動を開始したのは4月のことであった。</t>
        </is>
      </c>
      <c r="J1344">
        <f>HYPERLINK("https://www.weblio.jp/content/街頭", "词义详情")</f>
        <v/>
      </c>
      <c r="K1344">
        <f>HYPERLINK("https://yourei.jp/街頭", "查看例句")</f>
        <v/>
      </c>
    </row>
    <row r="1345">
      <c r="A1345" t="inlineStr">
        <is>
          <t>介入</t>
        </is>
      </c>
      <c r="B1345" t="inlineStr">
        <is>
          <t>成功</t>
        </is>
      </c>
      <c r="C1345" t="inlineStr">
        <is>
          <t>読み方：かいにゅう
［名］(スル)当事者以外の者が入り込むこと。争いやもめごとなどの間に入って干渉すること。「国際紛争に—する」</t>
        </is>
      </c>
      <c r="D1345" t="inlineStr">
        <is>
          <t>介入すること(4%)；介入しよ；介入する余地；介入できる；介入なし</t>
        </is>
      </c>
      <c r="E1345" t="inlineStr">
        <is>
          <t>邪魔；妨害；干渉；仲介；調停</t>
        </is>
      </c>
      <c r="F1345" t="inlineStr">
        <is>
          <t>軍事介入；積極的な介入；武力介入；政治的介入；治療介入</t>
        </is>
      </c>
      <c r="G1345" t="inlineStr">
        <is>
          <t>介入戦力作戦指揮司令部；介入通貨</t>
        </is>
      </c>
      <c r="H1345" t="n">
        <v>29</v>
      </c>
      <c r="I1345" t="inlineStr">
        <is>
          <t>今後FIBAは問題解決へ向けた直接介入を含めた対応も検討している。；ゲームはプレイヤーが介入して初めて完成するインタラクティブなもの。；また介入軍の撤退問題については、具体的な時期が曖昧なままにされた。；括弧内の期間は、ソ連の介入期間であり、実際の戦争の期間とは異なる。；すでにいくつかの新聞は貴方が政治介入することに反対しています。；その理由は、イギリスを南部側として介入させるためだったとされる。；なお、ローマ皇帝がキリスト教に介入したのはこのときが最初である。；これは国家と党の両方からの介入を受けないための措置であった。；連邦軍主力が直接介入したのは主だった戦闘が終結した後であった。；これによってインド諸侯間の争いに介入し、多くの諸侯を傘下に収めた。；またリベリア内戦などの介入なども関わることにしないと宣言した。；当時日本と交戦していなかったソ連側の介入はほとんど無かった。；一連の介入戦争は、ヨーロッパの勢力図を大きく変えることになった。；アクバルはこの地方が帝国の東南隅にあったため、これに介入しなかった。；しかしボールドウィンはこうした王の外交介入を快く思っていなかった。；またこの時代には、朝鮮半島諸国の国際関係への介入は大きく後退した。；これは軍事と政治が相互に介入を行うことを忌避する考えによるものであった。；彼が王となってすぐにエジプトはシリア地方とイスラエルへの介入を再開した。；ラフレイアは巨人同士の戦いには介入せず、いつの間にか姿を消していた。；米国は、イギリスにも、そして元首である女王にも連絡なしに介入を行った。；これは帝国議会・帝国クライスへ介入する道が閉ざされたことを意味した。；アメリカ独立戦争への大陸諸国の介入などは、逆にこれが影響している面がある。；GHQの協力はあったが、介入や圧力はなかったとする説である。；しかし漢の光武帝は国内の不安定を理由に積極的な介入に出る事はなかった。；フランスはアメリカの13植民地を支援するため戦争に介入する。；アウトブレイク管理のために、非薬物療法的な介入が行われる場合がある。；これにより、大統領・政府による政党への介入が排除されることになった。；主に患者を変化させ改善するための介入と、変化しない部分を受容させる訓練をしていく。；彼らは共にタバコ・麻薬密輸・公共事業への介入で勢力を拡大していった。</t>
        </is>
      </c>
      <c r="J1345">
        <f>HYPERLINK("https://www.weblio.jp/content/介入", "词义详情")</f>
        <v/>
      </c>
      <c r="K1345">
        <f>HYPERLINK("https://yourei.jp/介入", "查看例句")</f>
        <v/>
      </c>
    </row>
    <row r="1346">
      <c r="A1346" t="inlineStr">
        <is>
          <t>概念</t>
        </is>
      </c>
      <c r="B1346" t="inlineStr">
        <is>
          <t>成功</t>
        </is>
      </c>
      <c r="C1346" t="inlineStr">
        <is>
          <t>読み方：がいねん
１物事の概括的な意味内容。「—をつかむ」「文学という—から外れる」
２《concept》形式論理学で、事物の本質をとらえる思考の形式。個々に共通な特徴が抽象によって抽出され、それ以外の性質は捨象されて構成される。内包と外延をもち、言語によって表される。</t>
        </is>
      </c>
      <c r="D1346" t="inlineStr">
        <is>
          <t>概念化；概念自体；概念図；概念空間；概念そのもの</t>
        </is>
      </c>
      <c r="E1346" t="inlineStr">
        <is>
          <t>考え；観念；コンセプト；コンセプション</t>
        </is>
      </c>
      <c r="F1346" t="inlineStr">
        <is>
          <t>新しい概念；既成概念；諸概念；基本的な概念；根本概念</t>
        </is>
      </c>
      <c r="G1346" t="inlineStr">
        <is>
          <t>概念上；概念実証；概念体系；概念法学；概念フレームワーク</t>
        </is>
      </c>
      <c r="H1346" t="n">
        <v>29</v>
      </c>
      <c r="I1346" t="inlineStr">
        <is>
          <t>なお現在の国際的な基準時刻は概念を修正した協定世界時を用いている。；特に は のオブジェクト概念を一般化したものだと言うことができる。；これらの概念を複数搭載するオペレーティングシステムも登場していた。；このように真理概念は特定の言語に相対的に定義されなければならない。；データは表に似た構造で管理されるが、関係と呼ぶ概念でモデル化される。；この未来仏の概念は過去七仏から発展して生まれたものと考えられている。；大陸と島など他の地理的概念と同様に、具体的かつ普遍的な定義はない。；微分の概念を多くの他の状況設定の下でも拡張して定義することができる。；これらの実験により温度と熱が異なる概念であることが確立された。；なお、半順序空間と名前の似たは別概念であるので注意が必要である。；これらの概念は、一般的なベクトル空間に追加的に定義される構造である。；この様に、観念的には物質の概念と存在概念と分離することは難しい。；また 後述するp進数の概念とは別概念であるので注意が必要である。；以上で述べた概念の中で重要なものの一つにパラコンパクトがある。；これらのランダム性の概念は一般に異なっていることがによって示された。；ほかに1785年の「人種の概念の規定」など様々な論文を書いている。；かつては温度と熱の概念の区別が明確にされていなかった。；対比されている概念は、交流つまり周期的に方向が変化する電流である。；関東とは、日本の中の、特定の地域・地方を指す言葉・概念である。；記憶にある瞬間瞬間と現在瞬間が比較される時、時間概念が誕生するわけである。；左右の概念は、鏡像関係にある二つの存在を区別するためにも援用される。；なお表意文字は、一般的に概念と同時に音も表していることが一般的である。；そのため新理論の提唱者はしばしば古めかしい概念を引きずっている。；大陸を指す最も狭義の概念は切れ目がない主要な陸地ということになる。；時間とは、出来事や変化を認識するための基礎的な概念である。；帯域外データの概念は現在のインターネット向けの設計ではない。；の概念はイランの政治体制を構成する上で重要な概念となっている。；新王国期には、この出来事がエジプトの生命と時間の概念の複雑な象徴へと発展した。；型付けは動的型付けに分類できるが、言語仕様の中に型概念は登場しない。</t>
        </is>
      </c>
      <c r="J1346">
        <f>HYPERLINK("https://www.weblio.jp/content/概念", "词义详情")</f>
        <v/>
      </c>
      <c r="K1346">
        <f>HYPERLINK("https://yourei.jp/概念", "查看例句")</f>
        <v/>
      </c>
    </row>
    <row r="1347">
      <c r="A1347" t="inlineStr">
        <is>
          <t>外泊</t>
        </is>
      </c>
      <c r="B1347" t="inlineStr">
        <is>
          <t>成功</t>
        </is>
      </c>
      <c r="C1347" t="inlineStr">
        <is>
          <t>読み方：がいはく
［名］(スル)平常寝泊まりしている所以外に泊まること。「医者の許可を得て—する」</t>
        </is>
      </c>
      <c r="D1347" t="inlineStr">
        <is>
          <t>外泊すること(4%)；外泊許可(2%)；外泊運用；外泊できる；外泊禁止</t>
        </is>
      </c>
      <c r="F1347" t="inlineStr">
        <is>
          <t>無断外泊</t>
        </is>
      </c>
      <c r="H1347" t="n">
        <v>29</v>
      </c>
      <c r="I1347" t="inlineStr">
        <is>
          <t>だから、いきなり外泊すると言われても気にしてもいけないはずなのだ。；町の評判のあまりよくない場所でチンピラたちと一緒に何日も外泊する。；外泊したことは、知られなければそのまま黙っているつもりだったらしい。；この手記の内容をまったく知らなかった医者は、Aの外泊許可を出した。；お時が電話でときどき呼び出されたり、外泊したりした相手は安田です。；わが夫をすら外泊させて一人神を祭る夜に忍び男の来る事かと言ふのである。；雅彦は箱根にゴルフに行ったので、外泊してくると思っていたのである。；母親が言うには、連絡もなく外泊するのははじめてのことだという。；四郎とも気ままに会えるし、外泊だってしようと思えば問題なくできる。；このままダラダラとしてたら今夜こそ外泊を決意してしまいそうでもあった。；だから亭主を外泊させることが出来るのが芸人の女房の勤めだという。；彼女があたしの無断外泊を養父に言えるかどうか、あたしは試したのだ。；これまで娘が黙って外泊したようなことはありませんでした。；わたしが結婚後かの女に理由を知らせずに外泊したのはこれが始めてだった。；これが最後かもしれないと、毎日ごちそうぜめで、三日の外泊も終った。；長田が東京へ帰ってきて外泊してきても、もはや槇子は何もいわない。；二日ほど前に外泊届けを出して、それ以来帰ってきていないという。；ついでにいえば、これが家を離れて外泊した最初の夜であった。；村祭りの夜、両親に嘘をついて外泊した妹を、代わりに叱ったときのことだ。；外泊続きだった夫が横浜の自宅に戻ってくるようになった。；その役割故とは思えんのですが、月に一度は山を下りて、その度に外泊する。；父親であるビルは時々、彼女と彼女の外泊の友人と朝食に一緒に参加した。；女ばかりの団体だから一人の外泊は深刻な波紋を起すにちがいない。；外泊の間、私が体を動かしたのはその時だけで、あとは寝て暮した。；まるで、外泊しているのではないかと勘ぐられているかのようだ。；特に外地にあっては、いかなる事情があっても外泊はみとめられない。；彼を外泊させたり、旅行に出かけたり、手紙や写真を渡したりすることも避ける。；外泊したっていうことは、ぼくにどう思われても平気だっていうことになる。；兄さんが頻繁に外泊をされる方だとは知りませんでしたから。</t>
        </is>
      </c>
      <c r="J1347">
        <f>HYPERLINK("https://www.weblio.jp/content/外泊", "词义详情")</f>
        <v/>
      </c>
      <c r="K1347">
        <f>HYPERLINK("https://yourei.jp/外泊", "查看例句")</f>
        <v/>
      </c>
    </row>
    <row r="1348">
      <c r="A1348" t="inlineStr">
        <is>
          <t>開発</t>
        </is>
      </c>
      <c r="B1348" t="inlineStr">
        <is>
          <t>成功</t>
        </is>
      </c>
      <c r="C1348" t="inlineStr">
        <is>
          <t>読み方：かいはつ
［名］(スル)
１土地・鉱産物・水力などの天然資源を活用して、農場・工場・住宅などをつくり、その地域の産業や交通を盛んにすること。「農地を—する」「未—」
２新しい技術や製品を実用化すること。「新製品を—する」
３知恵や能力などを導きだし、活用させること。「子供の情操を—する」→注入
[補説]明治期には「かいほつ」とも読んだ。</t>
        </is>
      </c>
      <c r="D1348" t="inlineStr">
        <is>
          <t>開発事業；開発途上国；開発当初；開発費；開発中止</t>
        </is>
      </c>
      <c r="E1348" t="inlineStr">
        <is>
          <t>展開；発展；成長；発達；経過</t>
        </is>
      </c>
      <c r="F1348" t="inlineStr">
        <is>
          <t>電源開発；新開発；総合開発；観光開発；再開発</t>
        </is>
      </c>
      <c r="G1348" t="inlineStr">
        <is>
          <t>開発計画；開発チーム；開発中；開発元；開発プロジェクト</t>
        </is>
      </c>
      <c r="H1348" t="n">
        <v>29</v>
      </c>
      <c r="I1348" t="inlineStr">
        <is>
          <t>同じ報告では最終的な決定は国家発展開発委員会に委ねられたとされる。；開発当初、WWW は文字情報を扱うだけの比較的単純なものであった。；ゼロックスはPARCで開発された技術の価値に気づくのが遅れていた。；有力な軍需産業を有していて各種兵器の開発と輸出を積極的に行っている。；しかしXの代替となるシステムを開発しようという試みはいくつかある。；インクジェット方式は1980年代に電機系の会社を中心に開発された。；要素技術を発明・新開発したものではないものも含まれる。；バブル景気の時代に入ると道路の開発ラッシュで整備がさらに進んだ。；東部の主要都市サンタクルスが開発されたのも第二次世界大戦前後からである。；C言語の開発当初に使われた入力端末はであったことが知られている。；こちらに移ってからは全ての修正はこの開発ブランチで行われる。；これは20世紀後半になって開発された産業用モノレールに酷似していた。；競技に使用されるトラックは、多くの場合競技専用に開発された車両が使用される。；開発はUnityベースでアセットをメインに新たな九龍城を構築する。；この期間の主な開発のひとつがタイムシェアリングシステムである。；その操作を制御するための専用言語が開発されてきた。；タンパク質ドッキングを推測するさまざまな手法が開発され提唱されている。；その他には、テレビ局向け放送機器や人工衛星の開発・製造を行っている。；また太陽光発電に付いても国内最大の開発可能性を有している。；研究用プログラムの開発に使われる言語としては他に以下のようなものがあげられる。；この目的は開発銀行がバークレイズへ出資したのと全く同じである。；いくつかの開発環境ではこの処理を自動化している。；社会的変化と開発の結果としてメディアの客の特徴が変化する。；別の要因として、開発体制や社風の違いで生じた企業間の壁も指摘された。；これらの新しい攻撃方法に対処したICカードの開発が課題となっている。；これらは改良を加えられ現在でも使われており、その後の言語開発に重大な影響を与えた。；主に家庭で使用されることを前提に開発されたエディション。；KDEのウェブブラウザであるKonquerorのために開発された。；Java開発用のIDEは様々な企業と任意団体から公開されている。</t>
        </is>
      </c>
      <c r="J1348">
        <f>HYPERLINK("https://www.weblio.jp/content/開発", "词义详情")</f>
        <v/>
      </c>
      <c r="K1348">
        <f>HYPERLINK("https://yourei.jp/開発", "查看例句")</f>
        <v/>
      </c>
    </row>
    <row r="1349">
      <c r="A1349" t="inlineStr">
        <is>
          <t>海抜</t>
        </is>
      </c>
      <c r="B1349" t="inlineStr">
        <is>
          <t>成功</t>
        </is>
      </c>
      <c r="C1349" t="inlineStr">
        <is>
          <t>読み方：かいばつ
海水面から測った陸地の高さ。干潮時と満潮時の年間平均を基準とする。標高。</t>
        </is>
      </c>
      <c r="D1349" t="inlineStr">
        <is>
          <t>海抜約(6%)；海抜一(3%)；海抜二(3%)；海抜高度(2%)；海抜三</t>
        </is>
      </c>
      <c r="E1349" t="inlineStr">
        <is>
          <t>標高；高さ；高距</t>
        </is>
      </c>
      <c r="F1349" t="inlineStr">
        <is>
          <t>海抜標高；海抜七；位置する海抜；海抜九；海抜およそ</t>
        </is>
      </c>
      <c r="G1349" t="inlineStr">
        <is>
          <t>海抜ゼロメートル</t>
        </is>
      </c>
      <c r="H1349" t="n">
        <v>29</v>
      </c>
      <c r="I1349" t="inlineStr">
        <is>
          <t>そしてその海抜幾千尺か幾里かの峠を、僕等は二台のガタ馬車で走った。；しかし海抜一〇〇〇メートルあたりから道は通れぬようになりました。；海抜三〇八三メートル二の荒川岳の絶頂へ午後十二時三十分に着いた。；スギゴケやその近縁種は日本では比較的海抜の高い場所に見られる。；二層構造で、海に面した海抜の低い方の層には漁港・市場・公園が置かれている。；海抜三百十七尋の所にあるクーラル・ダス・フレイラスの生ぶどう酒だ。；国道1号は海抜に近い低さに位置し、東名高速道路は海上を通っている。；国内の大部分は不毛な砂漠であり、最も高い地点で海抜103mである。；墨田区は海抜が低いため、収蔵庫等の施設を2階以上の階に設けている。；島の内側はこれよりもさらに低く、島の西側で海抜数m程度しかない。；島全体が平らな地形であり、標高は最高地点でも海抜10mに満たない。；海抜三〇二五メートル九の農鳥岳絶頂に着いたのは午後二時であった。；この山脈の最も有名な山は、海抜800m近いところにあるとである。；奥穂は北アルプス中最も大きい山で海抜三一七〇メートル以上あると思います。；合流点の海抜は746メートルで、昆明市域でも最も低い地点に当たる。；かつては海抜0mに目印があったが、採掘が進んで消えてしまっている。；それらは、およそ海抜650mまでの高度まで自生することが可能である。；海抜が最も低い地点は約7メートル、最も高い地点は約30メートル。；都市の標高は海抜520m、周囲を山に囲まれた谷に位置している。；低地は、主に周囲と比べて低い土地、海抜の低い土地のことである。；最高地点は麻生区黒川の町田市との境界付近で海抜148mとなっている。；椰子の木に覆われ、岩が多く、最も高い地点で海抜40mほどになる。；水晶山すなわち黒岳は本コースの最高峰で海抜二九七八メートルです。；最初の数字は1929年海抜データから得られたと考えられる。；そこは実に海抜一三五八メートル兵庫県第二の高峰乗鞍の絶頂であります。；この地方は海から遠く、海抜の高い地域であるため、季節は長い冬と短い夏になっている。；国の最高地点はウムアルダミ山で海抜1854m、頂上は雪で覆われる。；標高は海抜およそ120mから最高地点で350mの範囲に広がっている。；道路も整備されており千代田湖周辺は海抜の高い位置にあるものの平地である。</t>
        </is>
      </c>
      <c r="J1349">
        <f>HYPERLINK("https://www.weblio.jp/content/海抜", "词义详情")</f>
        <v/>
      </c>
      <c r="K1349">
        <f>HYPERLINK("https://yourei.jp/海抜", "查看例句")</f>
        <v/>
      </c>
    </row>
    <row r="1350">
      <c r="A1350" t="inlineStr">
        <is>
          <t>回避</t>
        </is>
      </c>
      <c r="B1350" t="inlineStr">
        <is>
          <t>成功</t>
        </is>
      </c>
      <c r="C1350" t="inlineStr">
        <is>
          <t>読み方：かいひ
［名］(スル)
１物事を避けてぶつからないようにすること。また、不都合な事態にならないようにすること。「責任を—する」
２訴訟事件で、裁判官または裁判所書記官が、自己に除斥または忌避される原因のあることに気づいて、その事件の取り扱いを避けること。→忌避→除斥</t>
        </is>
      </c>
      <c r="D1350" t="inlineStr">
        <is>
          <t>回避するため(11%)；回避できる(4%)；回避しよ(3%)；回避行動(2%)；回避運動</t>
        </is>
      </c>
      <c r="E1350" t="inlineStr">
        <is>
          <t>逃げ；避ける；逃れ；逃げる；逃れる</t>
        </is>
      </c>
      <c r="F1350" t="inlineStr">
        <is>
          <t>回避させる；回避する手段；回避する目的；危機回避；回避方法</t>
        </is>
      </c>
      <c r="G1350" t="inlineStr">
        <is>
          <t>回避性人格障害</t>
        </is>
      </c>
      <c r="H1350" t="n">
        <v>29</v>
      </c>
      <c r="I1350" t="inlineStr">
        <is>
          <t>しかし、この時点で回避するにはあまりにも時間と距離が足りなかった。；フィクションの世界では、これを回避するための方法が検討されている。；一応回避手段は存在するが、初心者には理解が難しいものとなっている。；台本を用意しないことで、メディアは大きな責任を回避する事が出来る。；党は分裂を回避するために奴隷制問題への態度表明を避けるようになった。；その予測し得る破滅を回避すべく、海洋性植物の研究が進められていく。；これは主に政府の制限を回避した中国での違法な産出が原因となっている。；これを回避する為にクォークの新たな自由度としてカラーが導入された。；ワットの特許を回避するために蒸気機関に変更を加えたものを製作した。；治療への反応をみて、挿管を回避できるのか、できないのかを判定する。；整備により同路線で最大の難所とされる区界峠を回避できるようになる。；前作では不可能だった味方からの攻撃の回避も、今作では可能となっている。；商業メディアでは、差別糾弾を回避する手段が常に模索され続けている。；基本的に乗っている間は徒歩での倍の速さで移動でき、戦闘も回避できる。；この戦法では単調な攻めを回避すべく様々な手段が開発されている。；戦争を回避するためにあらゆる戦争行為は禁じられなければならない。；この問題を回避する伝統的な方法として、以下のようなものがある。；当時のスポーツメディアは、その理由を「故障のため指名回避」と伝えた。；こうした折衷的立場をとることによって党の分裂を回避しようと苦心した。；性交を避けることは感染を回避する最も信頼のおける方法でもある。；従って、光速を超えられない文明はこの泡を回避することは出来ない。；アダムズは戦争を回避したが、その過程で自分の党を分裂させた。；これを回避するために、同じ字形に見えるものは分けない字書もある。；これは東條が、陸海軍の摩擦や衝突を回避しようと考えていたことによる。；また、最終競走締切予定時刻は3ヶ月毎に変更して重複を回避している。；ボタンを押すことで画面奥方向へ移動し、直線的な攻撃を回避することができる。；従来の仏教美術において仏陀の姿を表現することは意識的に回避されてきた。；処理プログラムの大きさや速度の制限を改善あるいは回避するテクニックを紹介する。；鉄道業界では、駅係員がホームでの危険行為を回避するために使用している。</t>
        </is>
      </c>
      <c r="J1350">
        <f>HYPERLINK("https://www.weblio.jp/content/回避", "词义详情")</f>
        <v/>
      </c>
      <c r="K1350">
        <f>HYPERLINK("https://yourei.jp/回避", "查看例句")</f>
        <v/>
      </c>
    </row>
    <row r="1351">
      <c r="A1351" t="inlineStr">
        <is>
          <t>外部</t>
        </is>
      </c>
      <c r="B1351" t="inlineStr">
        <is>
          <t>成功</t>
        </is>
      </c>
      <c r="C1351" t="inlineStr">
        <is>
          <t>読み方：がいぶ
１物の外側。外から見えるところ。「—損傷」⇔内部。
２その組織に関係のない人。部外者。「—に秘密を漏らす」⇔内部。</t>
        </is>
      </c>
      <c r="D1351" t="inlineStr">
        <is>
          <t>外部的；外部環境；外部磁場；外部進学；外部電源</t>
        </is>
      </c>
      <c r="E1351" t="inlineStr">
        <is>
          <t>外；外側；アウトサイド</t>
        </is>
      </c>
      <c r="F1351" t="inlineStr">
        <is>
          <t>外部講師；外部勢力；外部接続；外部有識者；外部要因</t>
        </is>
      </c>
      <c r="G1351" t="inlineStr">
        <is>
          <t>外部委託；外部燃料タンク；外部監査；外部記憶装置；外部性</t>
        </is>
      </c>
      <c r="H1351" t="n">
        <v>29</v>
      </c>
      <c r="I1351" t="inlineStr">
        <is>
          <t>この仕様の中では外部データの入力または計算結果の出力は供給しない。；電源や制御は外部に依存しており、本体は主に駆動部で構成されている。；水銀の痕跡も発見されているが、これは外部からしか発見されなかった。；このためこの駅のホームは駅舎や駅の外部から見ると高い場所に位置している。；外部からの視線を防ぐため建物の構造的に女湯の配置を考慮する場合もある。；外部への通信も全く通じず、ただ助けを待つことしか出来なくなってしまった。；このように外部条件を利用する物はメタミステリとの関係付けが行なわれる。；感覚は、動物が外部からの刺激を受けることで生じるものである。；また、外部の番組モニター制度は北陸3県の民放では唯一設けていない。；これは将来的な人類の外部太陽系への探査を念頭に置いたものである。；この全共闘の行動は、大学のみならず外部の各方面にも影響を与えた。；通常は、狭義には、自社の業務過程の一部を外部に委託することを指す。；タツノコプロが外部からの原作で制作した初めてのアニメである。；動物的生活は、移動をしながら外部から食料を取るやりかたのことである。；現在は学内だけでなく外部大会や地域活動、依頼演奏も行っている。；個々の限界便益に他者へ与える外部費用が含まれていないためである。；また、私的な依頼による行動も外部からの信頼を失うため、禁止された。；退団後の再入団は認められておらず、外部の俳優が本公演に出演することもない。；系および外部が元の状態に戻りさえすれば、元に戻す変化の経路は問わない。；この過程においてシリンダー内の気体は外部に対して仕事をしたという。；吊戸は側構の外部で扉を吊って、横にスライドして開閉する構造である。；これらは甚大な被害によって外部からの救援を必要とする場合が多い。；外部から与えた化合物によって遺伝子発現を誘導するために開発された。；これは系が外部に行う仕事が内部エネルギーの変化に等しいことを表している。；透明というのは物質が密になり内部や外部の反射がなくなることである。；現在でもWWEが映像の編集を外部の会社に許可したのはフジテレビだけである。；他にジヒドロキシアセトンリン酸の葉緑体外部への輸送系も存在する。；外部から熱が入ったり出て行かないように断熱容器になっている。；団員が在団中に外部の舞台・テレビなどに出演することは少ない。</t>
        </is>
      </c>
      <c r="J1351">
        <f>HYPERLINK("https://www.weblio.jp/content/外部", "词义详情")</f>
        <v/>
      </c>
      <c r="K1351">
        <f>HYPERLINK("https://yourei.jp/外部", "查看例句")</f>
        <v/>
      </c>
    </row>
    <row r="1352">
      <c r="A1352" t="inlineStr">
        <is>
          <t>回復</t>
        </is>
      </c>
      <c r="B1352" t="inlineStr">
        <is>
          <t>成功</t>
        </is>
      </c>
      <c r="C1352" t="inlineStr">
        <is>
          <t>読み方：かいふく
［名］(スル)
１悪い状態になったものが、もとの状態に戻ること。また、もとの状態に戻すこと。「健康が—する」「ダイヤの乱れが—する」「疲労—」
２一度失ったものを取り返すこと。「名誉を—する」「信用—」</t>
        </is>
      </c>
      <c r="D1352" t="inlineStr">
        <is>
          <t>回復する(16%)；回復させる(3%)；回復後；回復できる；回復しよ</t>
        </is>
      </c>
      <c r="E1352" t="inlineStr">
        <is>
          <t>復活；戻り；復興；修復；返す</t>
        </is>
      </c>
      <c r="F1352" t="inlineStr">
        <is>
          <t>独立回復；体力回復；全回復；治安回復；主権回復</t>
        </is>
      </c>
      <c r="G1352" t="inlineStr">
        <is>
          <t>回復力；回復の兆し；回復期リハビリテーション；回復者；回復薬</t>
        </is>
      </c>
      <c r="H1352" t="n">
        <v>29</v>
      </c>
      <c r="I1352" t="inlineStr">
        <is>
          <t>処理中に使用可能な記憶領域が枯渇した場合の回復は比較的単純である。；脂肪が多い肉を食べるようにすると、2日以内に身体は完全に回復した。；脳機能の回復と記憶の再構成にはこの状態となることが重要とされている。；本作では戦闘中に味方を攻撃したり、敵に回復呪文を使うことができる。；資格回復の裁判がされると、罷免の裁判によって失った資格を回復する。；リトアニアの一方的な独立回復宣言を受け、ソ連政府は経済封鎖を実施。；郷里の環境に身を置くことで、ミホの神経症状は次第に回復していった。；治療中に一時的に病状が悪化し、その後に完全に回復するような状態を指す。；まもなくコントはパリに戻ったものの精神状態はなかなか回復しなかった。；治療の過程では回復度合いを見てレンズの度数を何度も変える必要がある。；かれは三人を回復させた後も、夜通しで他の者達の治療を行った。；戦後、アメリカン・コミックは戦前ほどの出版量は回復できなかった。；事実シラーは病に臥せっていたが、そのときは大事には至らずに回復した。；しかしこの行動はハンガリーなどで領土回復運動が高まるきっかけとなった。；裁判は彼女の回復を待って行なわれることになった。；帝国は領土的縮小の時代に入り、9世紀まで回復することはなかった。；温暖なハワイでのキャンプで肩も回復し、このキャンプの成果となった。；また、地下4階にある特別な回復の泉では上級職に転職することができる。；国王の権威とローマ教皇制を回復する狙いを持っていたのである。；ただし回復した記憶は必ずしも正しいとは限らない。；回復後のサバイバーや世話をしていた親族なども対象に含まれる。；年齢退行によって、意識されていなかった記憶や知識が回復する場合がある。；マルテンサイト系とフェライト系では延性回復の点から後熱処理を行う。；このため宮本ら国際派は自己批判して党に復帰し、統一を回復した。；以降、ソ連崩壊に至るまでロシア正教会の教勢が回復することはなかった。；オールグレンはまたも悪夢に苦しめられながらも次第に回復しはじめる。；米国をはじめとする各国も時期をおいて中華人民共和国との外交関係の回復を行っていった。；終戦後急激に減少し、その後産業の回復につれて産出量は再度増加した。；彼女の死は彼の精神に大きなショックを与え、以後完全に回復することはなかった。</t>
        </is>
      </c>
      <c r="J1352">
        <f>HYPERLINK("https://www.weblio.jp/content/回復", "词义详情")</f>
        <v/>
      </c>
      <c r="K1352">
        <f>HYPERLINK("https://yourei.jp/回復", "查看例句")</f>
        <v/>
      </c>
    </row>
    <row r="1353">
      <c r="A1353" t="inlineStr">
        <is>
          <t>解放</t>
        </is>
      </c>
      <c r="B1353" t="inlineStr">
        <is>
          <t>成功</t>
        </is>
      </c>
      <c r="C1353" t="inlineStr">
        <is>
          <t>読み方：かいほう
［名］(スル)束縛(そくばく)されたり、制限されたりしているものを、ときはなして自由にすること。「貧困から—される」「—感」
[補説]書名別項。→解放</t>
        </is>
      </c>
      <c r="D1353" t="inlineStr">
        <is>
          <t>解放される(9%)；解放する(9%)；解放感(3%)；解放後(2%)；解放しよ</t>
        </is>
      </c>
      <c r="E1353" t="inlineStr">
        <is>
          <t>死；負け；放出；出口；救う</t>
        </is>
      </c>
      <c r="F1353" t="inlineStr">
        <is>
          <t>民族解放；人民解放；婦人解放；フランス解放；解放治療</t>
        </is>
      </c>
      <c r="G1353" t="inlineStr">
        <is>
          <t>解放戦線；解放軍；解放運動；解放同盟；解放区</t>
        </is>
      </c>
      <c r="H1353" t="n">
        <v>29</v>
      </c>
      <c r="I1353" t="inlineStr">
        <is>
          <t>彼女は被害者の中で唯一、殺害されずに解放されていた女性であった。；なお上記のように女性は先に解放されたため、男性のみとなっていた。；変わった事をやらなければならないという思考から解放してくれたという。；この動きと革命の権利という言葉に動かされ、奴隷を解放する者もいた。；すぐに解放されるがクリスマスには彼の手で幽閉の憂き目にあっている。；これは南アメリカ諸国のスペイン支配からの解放が始まったことを意味した。；軽い家内労働に従事できる者や奴隷身分から解放される者はごく少数だった。；一方で、老年まで勤め上げた奴隷を奴隷身分から解放する主人もいた。；ワシントンは奴隷を解放したことでは唯一の著名な建国の父であった。；これらの人々は、表向き奴隷から解放した後、すべて消されたのである。；哲学に興味を持ち、寮の友人たちと自己解放について徹夜で議論をした。；首謀者のみを処刑し、それ以外の者は解放して一般民衆に戻してやった。；国家保護と制約から解放されるにつれ、伎楽は様々に形を変えていった。；そして、乗員が解放されるなら軍事行動を停止するとの声明を発表した。；マンデラの解放は当時まだ国際的な重大事とはなっていなかった。；呼びつけられたが、根拠を示して説明すると解放してくれたという。；加えて国家の穀倉は解放され、王の陵墓も貴族の墓も破壊され略奪された。；帝国東部地域の開発が進むなか、多くの解放農民がシベリアへと移住した。；出版は急速に進められ、窮乏によるストレスからしばらくは解放された。；だから彼らは他の階級が解放されて初めて解放される。；自分が少し解放されたのは大学に入ってからという。；これを拒否したパイロットは革命派に拘束されたが、3月2日に解放された。；解放されたユダヤ人は盛んな投資活動を行いさまざまな商工業分野で成功した。；彼らは身代金を要求してきたが、結局12日後の17日に無事解放された。；解放されて主人と養子縁組をし、主人の老後の世話をする場合などもあった。；解放された奴隷達に新たな土地を与えるよう議会に誓願した。；その過激さは他の解放組織からも強く批判されるほどだった。；はフアン1世が解放するまでの数ヶ月間カイロで捕らわれの身となる。；不確実性の時代に、幸福の可能性や苦しみからの解放を人々に与えると主張した。</t>
        </is>
      </c>
      <c r="J1353">
        <f>HYPERLINK("https://www.weblio.jp/content/解放", "词义详情")</f>
        <v/>
      </c>
      <c r="K1353">
        <f>HYPERLINK("https://yourei.jp/解放", "查看例句")</f>
        <v/>
      </c>
    </row>
    <row r="1354">
      <c r="A1354" t="inlineStr">
        <is>
          <t>介抱</t>
        </is>
      </c>
      <c r="B1354" t="inlineStr">
        <is>
          <t>成功</t>
        </is>
      </c>
      <c r="C1354" t="inlineStr">
        <is>
          <t>読み方：かいほう
［名］(スル)
１病人・けが人・酔っぱらいなどの世話をすること。看護。「手厚く—する」
２助けてめんどうをみること。保護。後見。
「亀屋の世継忠兵衛…敷銀(しきがね)もって養子分、後家妙閑の—故」〈浄・冥途の飛脚〉</t>
        </is>
      </c>
      <c r="D1354" t="inlineStr">
        <is>
          <t>介抱する(11%)；介抱される；介抱しよ；介抱役；介抱窃盗</t>
        </is>
      </c>
      <c r="E1354" t="inlineStr">
        <is>
          <t>看病</t>
        </is>
      </c>
      <c r="F1354" t="inlineStr">
        <is>
          <t>ご介抱；親切な介抱；手厚い介抱；つて介抱；手厚く介抱</t>
        </is>
      </c>
      <c r="H1354" t="n">
        <v>29</v>
      </c>
      <c r="I1354" t="inlineStr">
        <is>
          <t>介抱人に同情さへあれば少々物のやり方が悪くても腹の立つものでない。；さっき僕を介抱してくれた隊員の一人が、どこかに連絡を取っている。；前には正気を失っている所を、日本の看護卒が見つけて介抱してやった。；男は娘を自分の宿へ連れて帰つて介抱し、力づけてやるために努力した。；お蝶は別に変ったこともなく、母と一緒に病人の介抱をしているという。；腰元たちはそれを介抱しながら、これもともども館へとは帰るのだった。；これを目にとめた修験者たちは、不思議に思って懸命の介抱を行なった。；もしこのときに二柱の御介抱がなかつたら、自分は気絶したかも知れぬ。；まだ息があるので、介抱してみたが、その日の夕方に死んでしまった。；この優しい親切な良人は、寝もしないで妻の介抱をしているのであった。；チェン・ハンは、その娘を自分の家に連れて帰り、介抱してやりました。；そして介抱している人々の無言の感謝をびっくりしながら受けとった。；その夜、老人は、最後にしんせつな介抱を受けながら死んでゆきました。；わたしを介抱してくれた夜、あなたはわたしの日記や手帳を見たでしょう?；それでは私を介抱するために木村さんはここに泊っていたのだろうか。；どうして俺が、こんなところで介抱されていなければならないのだ。；こんな河原で病に倒れた人がいるなら介抱して差し上げなければならない。；父が医者に介抱されているのを見た朝子は倒れそうになり斑鳩に支えられた。；この家の奥の間で、赤須は家の女たちに介抱されながら身二つになった。；「みんな、見ない方がいい」 云って、修に介抱されている良に近よる。；吐瀉物は彼女の服にまでかかっているが、気にせず、介抱してくれた。；朝のことだったのですが、シュナムの女は昼まで子供を抱いて介抱しました。；却つて病死した息子なぞから介抱を受けるのを楽しんで居る様子だつた。；介抱を手伝わされたら面倒と思ったか、前田は逃げるように帰っていった。；怪我をしたお雪は、繃帶に埋まつて、姉のお淺に介抱されて居りました。；二人は献身的に長九郎を介抱し、長九郎は次第に健康を快復していった。；さうして又宮さんなるものが大いに介抱して可い訳が有るのだ。；しかし、だれも手を下して、兄を介抱しようというものはいなかった。；すぐさま周りで見ていた生徒が取りつき、水魔法で敵味方なく介抱する。</t>
        </is>
      </c>
      <c r="J1354">
        <f>HYPERLINK("https://www.weblio.jp/content/介抱", "词义详情")</f>
        <v/>
      </c>
      <c r="K1354">
        <f>HYPERLINK("https://yourei.jp/介抱", "查看例句")</f>
        <v/>
      </c>
    </row>
    <row r="1355">
      <c r="A1355" t="inlineStr">
        <is>
          <t>開放</t>
        </is>
      </c>
      <c r="B1355" t="inlineStr">
        <is>
          <t>成功</t>
        </is>
      </c>
      <c r="C1355" t="inlineStr">
        <is>
          <t>読み方：かいほう
［名］(スル)
１門や戸などをあけはなすこと。あけたままにしておくこと。「—禁止」
２制限をなくして、自由に出入りさせること。「門戸を—する」「市場—」
３「開放絞り」の略。「—で撮ると背景がやわらかくぼける」</t>
        </is>
      </c>
      <c r="D1355" t="inlineStr">
        <is>
          <t>開放する(8%)；開放的(7%)；開放される(5%)；開放感(3%)；開放式(3%)</t>
        </is>
      </c>
      <c r="E1355" t="inlineStr">
        <is>
          <t>オープン；公然；開放的</t>
        </is>
      </c>
      <c r="F1355" t="inlineStr">
        <is>
          <t>一般開放；広く開放；常時開放；対外開放；明るく開放</t>
        </is>
      </c>
      <c r="G1355" t="inlineStr">
        <is>
          <t>開放弦；開放経済；開放病棟；開放骨折；開放系</t>
        </is>
      </c>
      <c r="H1355" t="n">
        <v>29</v>
      </c>
      <c r="I1355" t="inlineStr">
        <is>
          <t>天井は開放されていたが砲手の観測しうる周囲の視界は限定されている。；一般開放もしており、受付時間内であれば誰でも利用することができる。；現代では開放的な走りを楽しむ趣味的な車として使用されることが多い。；運用中、それから手や足が離れ開放状態に戻ると、装置本体が動作する。；側面のレバーを押すと板は横にスライドしてもう一方の穴が開放される。；連結面の貫通路は開放感を持たせるために断面の大きなものとしている。；ここに記述しているものは無料開放される直前当時の通行料金である。；側面の窓は大きな1枚ガラスを用いており、開放的な雰囲気となっている。；屋根がガラス張りになっており、開放感のある空間として作られている。；上部が開放された円筒状のものが一般的で、蓋のあるものと無いものがある。；最初は軍事用として利用されていたが、現在は民間用に開放されている。；なお、2024年からはこの見学ルートが一般開放されることになった。；これによって部屋の中だけで聴いていた音楽が、外の世界へと開放された。；予定のない平日の日中などは市民への個人開放も実施されている。；周辺では白砂の海岸が見られ、付近は海水浴場としても開放されている。；図書館は、学外の人々にも開放されていて、誰でも利用することができる。；無人駅で駅舎はないが、ホーム上に開放的な待合所が設置されている。；その後、広州などを開放して東南アジア諸国や英仏などの交易を許した。；韓国の反日作品は大衆文化開放後も盛んに刊行され、人気を呼んでいる。；施設の中には市民に開放されているものがあるが、ほとんどは信徒向けである。；一面整備された草の緑に覆われ、神大生のみならず地元民に開放されている。；一般の調査研究のために開放されている場合も少なくない。；かつては営業時間後も門は開放されており、出入りは自由であった。；また夏になると、高輪の邸宅のプールを近所の子供のために開放していた。；江戸時代は武士のみが行うことが出来たが、明治時代に開放された。；現在は大學関係者だけでなく、地域住民など一般にも開放されている。；いずれも、償還後は無料開放される前提で有料管理が認められている。；戦後対外開放されるまでは外国人の立ち入りが制限された事もある。；また北仙気の湯は近年まで一般開放されていたが現在では一般開放は行っていない。</t>
        </is>
      </c>
      <c r="J1355">
        <f>HYPERLINK("https://www.weblio.jp/content/開放", "词义详情")</f>
        <v/>
      </c>
      <c r="K1355">
        <f>HYPERLINK("https://yourei.jp/開放", "查看例句")</f>
        <v/>
      </c>
    </row>
    <row r="1356">
      <c r="A1356" t="inlineStr">
        <is>
          <t>解剖</t>
        </is>
      </c>
      <c r="B1356" t="inlineStr">
        <is>
          <t>成功</t>
        </is>
      </c>
      <c r="C1356" t="inlineStr">
        <is>
          <t>読み方：かいぼう
［名］(スル)
１生物体を切り開いて、内部の構造、あるいは病変・死因なども観察すること。腑分(ふわ)け。解体。
２物事を細かく分析し、その因果関係などを明確にすること。「事件を—する」「心理—」</t>
        </is>
      </c>
      <c r="D1356" t="inlineStr">
        <is>
          <t>解剖室(5%)；解剖学(3%)；解剖台(3%)；解剖結果；解剖所見</t>
        </is>
      </c>
      <c r="E1356" t="inlineStr">
        <is>
          <t>分析；解体；分解；解析；解剖学</t>
        </is>
      </c>
      <c r="F1356" t="inlineStr">
        <is>
          <t>死体解剖；検死解剖；心理解剖；司法解剖；遺体解剖</t>
        </is>
      </c>
      <c r="G1356" t="inlineStr">
        <is>
          <t>解剖学的；解剖学者；解剖図；解剖劇場；解剖治療化学分類法</t>
        </is>
      </c>
      <c r="H1356" t="n">
        <v>29</v>
      </c>
      <c r="I1356" t="inlineStr">
        <is>
          <t>しかし死体解剖は行われず、そのためこの問いは答えのないままである。；ヤストロフはバビロン人の用語に対応して現代解剖用語を記載している。；解剖の結果、死亡推定時刻が雷鳥九号での殺人が起きた日の朝と判明した。；所内には解剖室が存在し、そこには人体組織が瓶詰にされていたという。；それから数人の男がトンネルのなかにはいり、解剖室のほうへ移動した。；軍の命令により、生きたまま米軍捕虜を解剖する実験を行うためである。；解剖結果から1回に1個の卵を年に数回に分けて産むと考えられている。；研究資金のため医師として働き、病院で死んだ患者の解剖の仕事を行った。；これをたしかめるには、ミミ族の一人を捕らえて解剖してみるしかない。；代わりに、右下の隅に、巨大な解剖学の教科書が開いて置かれている。；そのうちに夫人は、それとは知らず偽の万吉郎の方を解剖してしまう。；イギリスで解剖が一般的になったのは、17世紀はじめのことである。；少年はガス室に送られた後もまだ息をしていたため、解剖の対象に指定される。；けれどわたしは自分の心を自分自身にすら細かく解剖することができなかった。；それから、死体を解剖して、胃腸の内容をよく検べてもらってください。；勿論当時の彼の心には、こう云う解剖的な考えは、少しもはいって来なかった。；カロリーネが遺体解剖を拒絶したため、具体的な死因は分かっていない。；自分は自分の解剖が穿貫の力を缺いてゐるとは今でも思つてゐない。；彼らは死体解剖だけでなく罪人の生体解剖も行ったと記録されている。；ほとんどの英語圏の国では、法病理学は解剖病理学の一種とされている。；時には死んだ動物を解剖したり剥製にして骨格を観察することすらあった。；最近の解剖ではフナやカエルなどを解剖することが少なくなってきている。；この「完了」とは、被験者が全員死亡し、解剖を受けることを意味した。；小児の死体は外部に何の異状もないので解剖に附せられる事となった。；欧米人は、かの解剖癖によつてそこをつかんだといひ得ないであらうか?；先生にあげるのだから、僕たち、理科の時間に、解剖をしてもらうんだよ。；この内容を解剖するとき、内容には先天的に成る優れたるものが存在する。；フィリピンでの生体解剖を証言する者はそれまで一人もいなかった。；彼の少年は、自分が解剖されたことはすこしも知らぬような実に穏かな顔をしていた。</t>
        </is>
      </c>
      <c r="J1356">
        <f>HYPERLINK("https://www.weblio.jp/content/解剖", "词义详情")</f>
        <v/>
      </c>
      <c r="K1356">
        <f>HYPERLINK("https://yourei.jp/解剖", "查看例句")</f>
        <v/>
      </c>
    </row>
    <row r="1357">
      <c r="A1357" t="inlineStr">
        <is>
          <t>垣間見る</t>
        </is>
      </c>
      <c r="B1357" t="inlineStr">
        <is>
          <t>成功</t>
        </is>
      </c>
      <c r="C1357" t="inlineStr">
        <is>
          <t>読み方：かいまみる
［動マ上一］［文］［マ上一］《「かきまみる」の音変化》物のすきまから、こっそりとのぞき見る。また、ちらっと見る。物事のようすなどの一端をうかがう。「カーテンの間から—・みる」「大人の世界を—・みる」</t>
        </is>
      </c>
      <c r="D1357" t="inlineStr">
        <is>
          <t>覗く；のぞく；盗み見る；覗き見る；のぞき見る</t>
        </is>
      </c>
      <c r="H1357" t="n">
        <v>29</v>
      </c>
      <c r="I1357" t="inlineStr">
        <is>
          <t>人を殺したらしい自分の目の前に、理解しがたい仏像が姿を垣間見せた。；人類がガリレオ衛星を初めて垣間見たのと同じ一〇年間のことだった。；彼の口調は強く感情的だったが、内省的で気弱な面を垣間見せてもいた。；実は新聞記者達も随伴して初めて城中を垣間見る事を許されたのである。；その正体を探ることが劉健一の秘密を垣間見る一番の近道になるはずだ。；異様な光景を垣間見て我にもあらず興奮が体の内で騒ぎ続けているのを感じていた。；ぼくはまたも、りすかの新しい一面を垣間見せられたような気がした。；しかし、人が事故的に現実を垣間見たり、現実に触れたりすることがある。；あたしは、この男の荒廃しきった精神をわずかながら垣間見た思いがした。；ただし後の年代に登場する人物やアイテムの歴史を垣間見ることができる。；加代子さんが誰かを叱っている姿なんて垣間見た事すらないにしても。；一方島の人々は、千代子女王の姿を垣間見ることさえ許されませんでした。；また、この作品で、レイトンの意外な一面なども垣間見ることができる。；様々な伝承・民話・お伽噺などに、その存在を垣間見ることはできます。；これは予知だったが実は自分の未来ではなく自分の息子の未来を垣間見たのだ。；僕はその炎を見て、彼女の苦悩の片鱗をはじめて垣間見たような気がした。；日本語は難しいが、時として予想もつかない奥深さを垣間見せてくれる。；他人の人生の信条を垣間見ることはいけないことなのかも知れない。；けれどもその描写の裏に、我々はどこかハイカラな精神を垣間見るだろう。；そんなメロディーを聞くと一九六七年の頃の自分を瞬間的に垣間見る。；その世界を垣間見せてくれるものが夢だと言えないだろうか?；すべての人間の心にひそむ無明の闇を垣間見たような心地がしたのでした。；遠くから垣間見るだけでもいい、そのことを彼は確かめてみたかった。；青葉は影と光とをともにそよがせ、何かの凶事の予兆を垣間見せていた。；身分制度は廃止され人々は真の理想国家を垣間見ることができた。；フォーマットは同一だが、穏やかな進行の斎独自の演出も垣間見られた。；寺院内は立入り禁止だが、その周囲から様子は垣間見ることができる。；垣間見えたのは、こんもりとした丘の上の巨大なみどりの木の絵だったのだ。；グレンダンの強さを、その一片でも垣間見ることができると思ったのに!</t>
        </is>
      </c>
      <c r="J1357">
        <f>HYPERLINK("https://www.weblio.jp/content/垣間見る", "词义详情")</f>
        <v/>
      </c>
      <c r="K1357">
        <f>HYPERLINK("https://yourei.jp/垣間見る", "查看例句")</f>
        <v/>
      </c>
    </row>
    <row r="1358">
      <c r="A1358" t="inlineStr">
        <is>
          <t>皆無</t>
        </is>
      </c>
      <c r="B1358" t="inlineStr">
        <is>
          <t>成功</t>
        </is>
      </c>
      <c r="C1358" t="inlineStr">
        <is>
          <t>読み方：かいむ
［名・形動］全く存在しないこと。全然ないこと。また、そのさま。「欠席者は—である」
［副］
１残らず。ことごとく。
「—損をしても宜しい」〈福沢・福翁自伝〉
２（下に打消しの語を伴って）全く。さっぱり。
「余は書に於いては—鑑識のない男だが」〈漱石・草枕〉</t>
        </is>
      </c>
      <c r="D1358" t="inlineStr">
        <is>
          <t>皆無である(13%)；皆無であり(4%)；皆無であつ；皆無同然</t>
        </is>
      </c>
      <c r="E1358" t="inlineStr">
        <is>
          <t>無；ゼロ；無し；零；絶無</t>
        </is>
      </c>
      <c r="F1358" t="inlineStr">
        <is>
          <t>経験皆無；収穫皆無；デリカシー皆無</t>
        </is>
      </c>
      <c r="H1358" t="n">
        <v>29</v>
      </c>
      <c r="I1358" t="inlineStr">
        <is>
          <t>しかし戦争があったのかどうかさえはっきり知っている人は皆無だった。；複数の国へ輸出されたが、ポーランド国内での使用はほぼ皆無であった。；しかしこれは夫妻のみで行われた実験のため、客観性はほぼ皆無である。；冷房搭載後の当形式の他形式との混結は初で、京成在籍時は皆無だった。；関係史料は皆無といってよいほどであり、その詳細は不明な点が多い。；朝鮮半島南部の大部分は、墓地理由を除き皆無であったと記している。；尚懿自身も祖父や父と同じだったのか、史書に登場することは皆無である。；太麺でも提供する店は皆無ではないが、茹であがるまでに時間がかかる。；地球の他にも多数の星に部隊を派遣していたが、戻ってきた部隊は皆無だったという。；しかし実際にはこの構想において成功した自動車メーカーは皆無であった。；武将ネアルコスは彼を推薦したが、賛同する者は皆無であったという。；男女の恋愛系のストーリーを得意としており陵辱系は皆無に近い。；現在ではエボナイト製のペン芯を使用しているメーカーは皆無に等しい。；この形式で裏面打法を使う選手は少なく、世界レベルになると皆無である。；当初はバス路線が殆ど皆無で、最寄の駅も徒歩10分以上の所にあった。；メディアや音楽番組への出演が皆無の中でヒットを記録。；なおボーカルにはエフェクトを活用し、生声ボーカルはほぼ皆無である。；更に先発投手陣が総崩れとなり、2桁勝利を挙げた投手は皆無であった。；当時の一帯は民家は皆無で、桑畑のほかは林の広がる荒地であったという。；この時代のブリテンには文字がなく、したがって歴史資料は皆無である。；また、規定サイズを大幅に下回る作品が出品されることは皆無である。；なお事故機は事故当日においてエンジンに関する異常の報告は皆無であった。；当時、この記録の達成者は皆無でメディアの反応も冷ややかだった。；そのため近年新車としてチョッパ制御を採用された車両は皆無に等しい。；形状は他のロボットたちとは大きく異なり、所謂ロボットらしいものは皆無。；ytv版と異なり再放送の実績は地上波・衛星放送を問わず皆無である。；プロジェクト所属の女性アイドルも掲載頻度が皆無に近くなっている。；また、特急車時代の姿に復元されて保存された車両も皆無であった。；成人向けのメディアでは医学的な半陰陽と思われる表現はほぼ皆無である。</t>
        </is>
      </c>
      <c r="J1358">
        <f>HYPERLINK("https://www.weblio.jp/content/皆無", "词义详情")</f>
        <v/>
      </c>
      <c r="K1358">
        <f>HYPERLINK("https://yourei.jp/皆無", "查看例句")</f>
        <v/>
      </c>
    </row>
    <row r="1359">
      <c r="A1359" t="inlineStr">
        <is>
          <t>解明</t>
        </is>
      </c>
      <c r="B1359" t="inlineStr">
        <is>
          <t>成功</t>
        </is>
      </c>
      <c r="C1359" t="inlineStr">
        <is>
          <t>読み方：かいめい
［名］(スル)不明な点を探って、はっきりさせること。「事件の真相を—する」</t>
        </is>
      </c>
      <c r="D1359" t="inlineStr">
        <is>
          <t>解明すること(4%)；解明しよ(3%)；解明でき(3%)；解明される(3%)；解明するため(3%)</t>
        </is>
      </c>
      <c r="E1359" t="inlineStr">
        <is>
          <t>説明；解説；見つける；明示；釈明</t>
        </is>
      </c>
      <c r="F1359" t="inlineStr">
        <is>
          <t>事件解明；全容解明；原因解明；解明されれ；解明不能</t>
        </is>
      </c>
      <c r="H1359" t="n">
        <v>29</v>
      </c>
      <c r="I1359" t="inlineStr">
        <is>
          <t>テティスが非常に多くの水氷を含んでいる理由はまだ解明されていない。；最初期の宇宙の様子を解明することを目的として研究が進められている。；ヒエログリフがいつ頃使われ始めたかについてはまだ解明されていない。；人間が何かに注目するメカニズムはまだ科学的に完全に解明されていない。；結局のところ、解明された謎よりも新たに生じた疑問の方が多かった。；以下に、意識の仕組みを解明しようとしている仮説提唱者の一部を示す。；星の構造と進化の理論的研究を行い、赤色巨星生成の理論などを解明した。；生息数の少なさが起因し、分布など殆どの生態情報が解明されていない。；しかし人間の意識や思考、心の源泉は、未だ科学には解明できていない。；どの程度解明されているかは、研究者の数などにも影響を受ける。；これらの理論の発達は飛行機のフラッター現象の解明などに応用されていく。；この疑問は現在においても科学的に解明されておらず、様々な説が存在する。；生命現象の原子・分子レベルからの理論的解明へ期待が持たれている。；このような複雑な相変化をする原因は完全には解明されていない。；南関東の地下におけるプレートの様子は、詳細には解明されてはいない。；アンジェリークは事態の解明の為に皆と協力し、大陸の育成を始める・・・。；なぜこのような独特の技法が編み出されたのかは解明されていない。；どのような状況で本来のゲッティンゲン市が成立したのか完全に解明されていない。；しかし神道の信仰形態が仏教からどのように派生したのかは解明されていない。；しかし遡って得られるのはあくまで過去に存在した意味の「解明」である。；この過程は非常に複雑であり、現在完全には解明されていない。；以降は生活環の詳細を、唯一完全に解明されている の例に基づいて記述する。；なお、科学的に斤量の差がどのくらい馬に負担をかけるのかは解明されていない。；正確な原因はまだ解明されておらず、 などが考えられている。；時代・地域によっても多様であり、未だ解明されていない部分が多い。；ノミネートされている物件は、歴史的にはほぼ解明されたものが多い。；このとき、地域の性格の考察、すなわち地域構造の解明が重視された。；母川の記憶と特定に関しては、最近の研究により徐々に解明されている。；原因が酒にあるのは確実だが、二日酔いに至る原因は驚くほど解明されていない。</t>
        </is>
      </c>
      <c r="J1359">
        <f>HYPERLINK("https://www.weblio.jp/content/解明", "词义详情")</f>
        <v/>
      </c>
      <c r="K1359">
        <f>HYPERLINK("https://yourei.jp/解明", "查看例句")</f>
        <v/>
      </c>
    </row>
    <row r="1360">
      <c r="A1360" t="inlineStr">
        <is>
          <t>買い求める</t>
        </is>
      </c>
      <c r="B1360" t="inlineStr">
        <is>
          <t>成功</t>
        </is>
      </c>
      <c r="C1360" t="inlineStr">
        <is>
          <t>読み方：かいもとめる
［動マ下一］［文］かひもと・む［マ下二］金を払ってほしい物を手に入れる。「探していた名画をやっと—・める」</t>
        </is>
      </c>
      <c r="D1360" t="inlineStr">
        <is>
          <t>購入；買収；買う；買い取り；購買</t>
        </is>
      </c>
      <c r="H1360" t="n">
        <v>29</v>
      </c>
      <c r="I1360" t="inlineStr">
        <is>
          <t>八八年にその映画が作られたことを聞いていた僕は、直ちに買い求めた。；ミラノへ行くと私は、いつも洋服を何着か買い求めることにしています。；私は人のよさそうなその男の言葉を信じ、ひとつ買い求めることにしました。；実は私がこの壁布を買い求めましたのも、これがよく似ていましたからですよ。；そのトランプは、ラスベガスを旅行した時に買い求めてきたものでした。；昭和末期でも地元の人は木綿布を買い求める時に寸模と呼んでいたという。；なお買い求める際は、実際に倒してみて起き上がるものを選ぶとよい。；それどころか、二両二分にも、三両にも買い求めるものがあらわれて来た。；それを持っていた桂由里子が買い求めた品でないことは確かめられている。；意外な人物が、何十年も前に買い求めていたことがわかるからです。；カールもひとつ買い求めていたが、まもなくそれに趣味を持つようになった。；劇場挨拶のなかった映画館でもパンフレットを買い求める客が非常に多かった。；苦労して買い求めたグッズを持っていった沖縄の海は静かであった。；絵を描くために、僕はしばしばそこで花を買い求めていたから。；客がひとり去っても、鯨羊羹を買い求める客がすぐに後ろから現れる。；しかも全国で開催されている全レースの馬券を買い求めるという。；この置物はあなたが鳥羽水族館近くの土産物屋で買い求めたものですね?；私は花束と花瓶を買い求めていったが、娘は前のことは忘れていた。；大学入学にあやかって入場券を買い求める人が地元をはじめ県外からも来る。；倉庫にあった香をすべて余所へ売り、その資金で食料を買い求めたのだ。；私たちはヴェネチアまでのチケットを買い求めると、タクシーに乗った。；ノヴゴロドでは商品の一部を売却し、また新たに商品を買い求めた。；それを買い求める客の賑わいは大晦日の年の市にも匹敵するものである。；にもかかわらず、重ねてこの本を買い求めたのにはむろんそれなりの理由がある。；そのせいか、氏のレコードが集めたくなって、いろいろ買い求めた。；高橋はずっとその事実が気になっていたので、すぐに買い求めた。；彼は、ヴェネチアまでの航空券をカウンターで買い求めるのだと言った。；ひどい目にあったのは捨丸と新しく買い求められた荷駄用の馬だ。；薬はインチキなのだが、なぜか老人たちは元気になり、次々に薬を買い求める。</t>
        </is>
      </c>
      <c r="J1360">
        <f>HYPERLINK("https://www.weblio.jp/content/買い求める", "词义详情")</f>
        <v/>
      </c>
      <c r="K1360">
        <f>HYPERLINK("https://yourei.jp/買い求める", "查看例句")</f>
        <v/>
      </c>
    </row>
    <row r="1361">
      <c r="A1361" t="inlineStr">
        <is>
          <t>買い物</t>
        </is>
      </c>
      <c r="B1361" t="inlineStr">
        <is>
          <t>成功</t>
        </is>
      </c>
      <c r="C1361" t="inlineStr">
        <is>
          <t>読み方：かいもの
［名］(スル)
１品物を買うこと。「—に行く」
２買った品物。また、買おうとする品物。「—を届けてもらう」「—がたくさんある」
３買っておくと得になる物。買い得品。「これはお—ですよ」</t>
        </is>
      </c>
      <c r="D1361" t="inlineStr">
        <is>
          <t>買い物帰り；買い物かご；買い物籠；買い物用；買い物等</t>
        </is>
      </c>
      <c r="E1361" t="inlineStr">
        <is>
          <t>買物；ショッピング；戦利品；買い出し；購入品</t>
        </is>
      </c>
      <c r="F1361" t="inlineStr">
        <is>
          <t>安い買い物；大きな買い物；高い買い物；売り物買い物；高価な買い物</t>
        </is>
      </c>
      <c r="G1361" t="inlineStr">
        <is>
          <t>買い物袋；買い物難民；買い物カゴ；買い物依存症；買い物バス</t>
        </is>
      </c>
      <c r="H1361" t="n">
        <v>29</v>
      </c>
      <c r="I1361" t="inlineStr">
        <is>
          <t>よって、この女性が今日買い物に行く可能性のある店は 通りである。；友人と買い物に行った際、街でスカウトを受けたことで芸能界入りする。；三人で買い物をしていた時、突如人ではない何者かに夕夜が襲われた。；同年12月にクリスマスの買い物に出かけた妻と娘を交通事故で失った。；町画面では地図上の施設を選ぶとそこへ行き、買い物やイベントを実行できる。；左手には買い物でふくれた袋を持ち、荷物の重みで左肩が上がっている。；買い物は1人で行い、時間内ならスタート地点に戻って交代もできる。；その後もハマーンと買い物に行くなど、仲の良いところを見せている。；町に買い物に来た近所の百姓は腰をかけてしきりに饂飩を食っていた。；住民と会話したりショップで買い物を行なったりすることが出来る。；開催日には市内外から多くの人々が食べ歩きや買い物を楽しむようになった。；そして彼らはブラジルへの旅行の準備のため買い物に行った。；収容所内には日本人が経営する売店もあり、彼らは自由に買い物ができた。；店によっては単純に社員紹介だけで余り買い物をしない者でも入手できる所もある。；庶民的な面もあり、広島電鉄に乗って買い物に行くこともあるという。；この部分をパン屋のアナロジーで言えば、買い物した後の行動に対応する。；彼の買い物の選択はすぐれていて、その選択の相談相手は田代さんであった。；おハナ坊の家は、母親が買い物に出て行ったきり帰ってこないという設定。；女房昼すぎから一人で買ものがてら活動を見て来ると出かけた。；これらの買もの包を持ち、子供のやうに喜びつゝ空気なき部屋へ戻る。；ギャンブル依存や買い物依存などと同じく「行動への依存」に分類される。；古い店には棚の間の隙間が狭く、買い物をする人は人の流れに沿って移動する他ない。；主に市町村間移動とふじみ野市周辺への買い物客車で利用されている。；しかし、いままで、どの女も、彼に無断で勝手な買い物などはしなかった。；一般の民衆はどうかというと、みんな市場で買い物をします。；一切告知せず行ったことからたまたま買い物をしていた主婦だけが見ただけだった。；カーネギーがまだ子供の頃、母親と一緒に市場へ買い物に行った時のことである。；中には仲間達が居て会話をしたり買い物をすることが出来る。；町の探索ではショップで買い物をしたり、クエストの受注・進行が可能。</t>
        </is>
      </c>
      <c r="J1361">
        <f>HYPERLINK("https://www.weblio.jp/content/買い物", "词义详情")</f>
        <v/>
      </c>
      <c r="K1361">
        <f>HYPERLINK("https://yourei.jp/買い物", "查看例句")</f>
        <v/>
      </c>
    </row>
    <row r="1362">
      <c r="A1362" t="inlineStr">
        <is>
          <t>海洋</t>
        </is>
      </c>
      <c r="B1362" t="inlineStr">
        <is>
          <t>成功</t>
        </is>
      </c>
      <c r="C1362" t="inlineStr">
        <is>
          <t>読み方：かいよう
１広くて大きい海。大洋。
２大洋と、その付属海。「—観測船」</t>
        </is>
      </c>
      <c r="D1362" t="inlineStr">
        <is>
          <t>海洋性(5%)；海洋環境(3%)；海洋開発；海洋保護区；海洋上</t>
        </is>
      </c>
      <c r="E1362" t="inlineStr">
        <is>
          <t>海；大洋；外洋；大海；海原</t>
        </is>
      </c>
      <c r="F1362" t="inlineStr">
        <is>
          <t>国立海洋；海洋研究；海洋丸；海洋における諸任務；海洋表層</t>
        </is>
      </c>
      <c r="G1362" t="inlineStr">
        <is>
          <t>海洋性気候；海洋学；海洋法条約；海洋堂；海洋プレート</t>
        </is>
      </c>
      <c r="H1362" t="n">
        <v>29</v>
      </c>
      <c r="I1362" t="inlineStr">
        <is>
          <t>汽水域にも侵入することもある種はいるが、海洋に生息する種はいない。；その予測し得る破滅を回避すべく、海洋性植物の研究が進められていく。；長い時間軸では海洋の形の変化と陸海分布も海水準を決める要因になる。；また同年に発足した、海事思想普及のための海洋美術会にも参加している。；同一河川では海洋型よりも河川型の方が産卵時期が早い傾向がある。；第二次世界大戦中は海洋研究は主に軍事上の立場から行われていた。；しかし、海岸沿いの都市では海洋性を帯びているため過ごしやすい。；この海進はベアパウ海と呼ばれ、巨大なに海洋堆積物が保存されている。；熱帯から亜熱帯の海洋に生息し、20羽以下の群れを形成して生活する。；その後は海洋監視機として少数機を運用していたが、現在は退役している。；主として海洋から得られる系統で、その正体は現在のところ全く不明。；南鳥島を除く小笠原諸島は海洋地殻の上に形成された海洋性島弧である。；柱に書かれた寄進者名には、ホテルあるいは海洋関係の企業も多い。；宗谷海峡に面しているため海洋からの影響を受けやすい海洋性気候である。；他に高校に相当する技術・海洋・農業等専門分野の7校がある。；海洋の影響を受けにくいこともあって残暑も短く、秋の訪れは早い。；ただ注意が必要なのは、海洋に温度と塩分を与えるのが表面だけである点である。；海洋性と違い、大陸性は上空高くまで発達しなければ激しい雨とならない。；したがって、これらの動物が海洋生活へ入った場合に卵胎生に進化しやすい。；海洋に存在する無機物質の存在量や存在形態を明らかにする学問。；大量絶滅の前後を含む当時の海洋の継続的なデータが得られた。；絶滅は地上と海洋の両方でおき、地上の方が数百万年早かったと言われている。；湖や池沼に生息する水鳥であるが、冬季になると海洋に生息する種もいる。；タニーは上陸攻撃作戦に備えた偵察を行い、航行・海洋情報を収集した。；海洋の影響は州東部ではほとんど無くなり、降水量は逆のパターンになる。；ただし水産・海洋系高校の場合、卒業しなければ資格取得できない。；ほとんどどのような小魚もしくは他の小さな海洋種でも捕っている。；これらは海洋表層を漂ううちに互いに衝突し縁がめくれ上がっている。；しかし降雨後直ちに海洋に流出するため水不足がしばしば発生している。</t>
        </is>
      </c>
      <c r="J1362">
        <f>HYPERLINK("https://www.weblio.jp/content/海洋", "词义详情")</f>
        <v/>
      </c>
      <c r="K1362">
        <f>HYPERLINK("https://yourei.jp/海洋", "查看例句")</f>
        <v/>
      </c>
    </row>
    <row r="1363">
      <c r="A1363" t="inlineStr">
        <is>
          <t>概要</t>
        </is>
      </c>
      <c r="B1363" t="inlineStr">
        <is>
          <t>成功</t>
        </is>
      </c>
      <c r="C1363" t="inlineStr">
        <is>
          <t>読み方：がいよう
全体の要点をとりまとめたもの。大要。あらまし。「事件の—」</t>
        </is>
      </c>
      <c r="D1363" t="inlineStr">
        <is>
          <t>概要図；概要欄；概要節；概要ページ；概要書</t>
        </is>
      </c>
      <c r="E1363" t="inlineStr">
        <is>
          <t>図；大抵；大体；概ね；輪郭</t>
        </is>
      </c>
      <c r="F1363" t="inlineStr">
        <is>
          <t>計画概要；施設概要；簡単な概要；上記概要；事業概要</t>
        </is>
      </c>
      <c r="H1363" t="n">
        <v>29</v>
      </c>
      <c r="I1363" t="inlineStr">
        <is>
          <t>この時の裁判で取り扱われた事件内容であるが概要は下記の通りである。；座布団は概要で述べたとおり、その単純な構造ゆえに様々に応用される。；サイトではアナザーストーリーやゲームの概要などを知ることができる。；仕様書は申請した者のみに開示され一般には概要のみが公開されている。；なおインターネットで公開されており、概要と全文を読むことができる。；ゲーム概要は扉が3つあり、その中から1つの当たりを選ぶ形式となる。；その各制度の概要と、幹部候補生制度との主な相違点は次のとおりである。；ここでは収録バージョンの種類と概要、及び原作からの変更点を主に述べる。；概要に記したとおり、1932年に600V専用車への改造が行われた。；以下の藩はその中でも改革に成功したとされている諸藩のケースの概要である。；過去の設置・建設のいきさつから、下記の通りの年代別に概要を説明する。；作曲家は音楽製作者に曲の概要を知ってもらうためにデモテープを作成する。；戦史叢書では作戦の概要は以下のようなものだったと推測している。；各道路ごとの沿革は、#事業区間ごとの概要にある各道路の沿革を参照。；本級の主だった概要は、基本的にはグリッドレイ級とほぼ同一である。；また村の小博物館も見所の一つで、村の概要と歴史を知るのに最適である。；しかし1940年冬には、トスカニーニもこれらの事実の概要を知った。；ユースケースの本体が完成する以前にその概要を記述する節である。；本形式と第二次世界大戦前におけるその同系車各形式の概要は以下の通り。；概要・現在は新しい新校舎が建設され、より快適な教育環境が整っている。；ここでは公表されている範囲での施設概要を記載しておく。；彼はこの運動の目的と発展の概要を示すことで政府の告訴を反駁しようとした。；したがってラジオを持たない者でも概要を知ることができた。；類似系列が大同小異の改造を行っており、上記概要を表にまとめて掲載する。；作品別に分けられているが、全作品での概要を初登場作品の項にまとめている。；なお当時の対米作戦計画の概要は次のようになっていた。；概要は東部馬脳炎に近いが、三つの中では最も症状が軽いとされる。；thumb| 五色台の地形図 地形の詳細は巻頭と概要に記述の通り。；また、バイク通学が許可されている場合はその概要を記述して下さい。</t>
        </is>
      </c>
      <c r="J1363">
        <f>HYPERLINK("https://www.weblio.jp/content/概要", "词义详情")</f>
        <v/>
      </c>
      <c r="K1363">
        <f>HYPERLINK("https://yourei.jp/概要", "查看例句")</f>
        <v/>
      </c>
    </row>
    <row r="1364">
      <c r="A1364" t="inlineStr">
        <is>
          <t>外来</t>
        </is>
      </c>
      <c r="B1364" t="inlineStr">
        <is>
          <t>成功</t>
        </is>
      </c>
      <c r="C1364" t="inlineStr">
        <is>
          <t>読み方：がいらい
１外国から来ること。「—植物」
２外部から来ること。「—者の入室を禁ずる」
３病院に通って診察・治療を受けること。また、その人。</t>
        </is>
      </c>
      <c r="D1364" t="inlineStr">
        <is>
          <t>外来植物(2%)；外来種(2%)；外来語；外来性；外来遺伝子</t>
        </is>
      </c>
      <c r="E1364" t="inlineStr">
        <is>
          <t>通院；病院通い</t>
        </is>
      </c>
      <c r="F1364" t="inlineStr">
        <is>
          <t>不定愁訴外来；外来診察；外来魂；外来地名；外来個体群</t>
        </is>
      </c>
      <c r="G1364" t="inlineStr">
        <is>
          <t>外来語；外来者；外来患者；外来生物法；外来診療</t>
        </is>
      </c>
      <c r="H1364" t="n">
        <v>29</v>
      </c>
      <c r="I1364" t="inlineStr">
        <is>
          <t>あるいは両者もと一つの系統の、外来の歴史を示す語ではないかと思う。；そのため、外来諸教と融合しやすい性格を有することになったともいう。；難民収容所の他にも、おれはタイの田舎の病院で外来を手伝ってたんだ。；本館の前には外来食堂の建物があり、その横にはベンチが置かれている。；それを奇異と見る者がいるなら、教養のない外来の者たるに過ぎません。；外来で行う場合には、一般に下顎枝またはオトガイ部から骨採取を行う。；羊の群れを外来の者に奪わせるようなことがあってはなりませんぞ。；外来がない事、自由時間が限られている事を除けば普通の入院生活らしい。；龍動と表記したのは、清国から伝わった外来表記であった可能性がある。；などの外来植物も確認されており栽培されていたと考えられる。；また、このような外来スイレンの除去が呼びかけられている地域もある。；こうして日本固有の文化の上に外来の文化が取り入れられていった。；これが1960年代からの社会防衛的入院から外来治療への転換を生んだ。；ご承知のように、今日の午後は雨降りで、患者は外来の人だけでした。；これを生かし外来を対象に透析予防のための糖尿病教育を実施している。；前述のように坊は時間が来ると閉門するため夜間は外来客はなくなる。；ペットの貿易で輸入された外来動物が逃亡するか放されるかしてきた。；いずれにしても外来管理は難しく、基本的には入院して治療を行う。；その最大の特徴は、外来宗教である仏教の受容の仕方に現れている。；こうした都市に不安定な状況は、外来の独裁者による支配に道を開いた。；そこで外来の習慣たる肉食と喫煙を禁止することにしたのであろう。；民家、工場、自動車などの外来雑音が少ない郊外に作られることが多い。；これには外来の講師の都合もあるので、時間を勝手に動かすわけには行かない。；ニコチンからの離脱は、比較的安全とみなされ、外来で管理可能である。；外来の受付が終わり、照明も落とされたロビーにほとんど人の姿はない。；ナイル川が外来河川として流れているが、国内ではほとんど支流は無い。；彼は外来部門を開き患者の家に学生たちを連れて行った。；しかし、外来政権と衝突を繰り返し、現在は主に2つの集落しかない。；これら外来種への対処にかけた資金と労力はほとんど報われていない。</t>
        </is>
      </c>
      <c r="J1364">
        <f>HYPERLINK("https://www.weblio.jp/content/外来", "词义详情")</f>
        <v/>
      </c>
      <c r="K1364">
        <f>HYPERLINK("https://yourei.jp/外来", "查看例句")</f>
        <v/>
      </c>
    </row>
    <row r="1365">
      <c r="A1365" t="inlineStr">
        <is>
          <t>回覧</t>
        </is>
      </c>
      <c r="B1365" t="inlineStr">
        <is>
          <t>成功</t>
        </is>
      </c>
      <c r="C1365" t="inlineStr">
        <is>
          <t>読み方：かいらん
［名］(スル)
１図書・文書などを、順送りに回して読むこと。「手紙を—する」
２あちこちを見て回ること。巡覧。</t>
        </is>
      </c>
      <c r="D1365" t="inlineStr">
        <is>
          <t>回覧雑誌(22%)；回覧誌(8%)；回覧される(3%)；回覧板；回覧状</t>
        </is>
      </c>
      <c r="E1365" t="inlineStr">
        <is>
          <t>回付；廻覧</t>
        </is>
      </c>
      <c r="F1365" t="inlineStr">
        <is>
          <t>米欧回覧</t>
        </is>
      </c>
      <c r="H1365" t="n">
        <v>29</v>
      </c>
      <c r="I1365" t="inlineStr">
        <is>
          <t>つまりは番台を仲介所にして、小説や雑誌の回覧を行っている形であった。；彼女、中学の時から、お話を書いて友人に回覧させるのが好きだった。；その回覧状には、ウィーヴァーが九時に出社すると書いてあったんですよ。；この「米欧回覧」中の孝允の日記も約七万字に達する量になったのである。；人数が多くなったので、同じものを二冊作って、回覧を早くする方法をとった。；両親の影響で幼少時から文学に親しみ、回覧雑誌などを製作している。；うちあんたの知ってるように月一円五十銭の回覧雑誌とってるやろ。；回覧板は、日本で町内会などで連絡文書等を回覧するための板である。；しかし、重光の報告は日本政府各省のなかで回覧されることはなかった。；それを回覧した一同がぶちのめされたような驚きを味わったことはいうまでもない。；自分で書いて、それを冊子とし同輩の人々に回覧せしめたものでした。；消防団からもつい先日、焚き火に注意してくれと回覧が来たばかりだった。；会員増加や対抗誌が出来るなど、学内でも回覧雑誌が流行した。；私はそのメッセージを回覧するように彼に渡した。；新聞を愛読しており、家族や近所の者にも回覧させていた。；あのアララギの中村憲吉君は四年生で、その会の回覧雑誌の部長をしていた。；警察に送られた何千ものヒントと容疑者の記録の回覧にもかかわらず、事件の逮捕は行われていません。；一日に何十通もの意見メールが回覧されてくる。；回覧の新聞が、いつもは昼前にまわってくるのに、今日は夕方になってようやく回ってきた。；仲間内で執筆していた回覧誌のアドバイスをもらうため鈴木光明を訪ねたことがきっかけで弟子入りする。；しばらくのあいだ、同窓生たちのあいだを美里の本が回覧された。；セーンの時期にはラルフ・ワルド・エマーソン、のの全著作が回覧されていた。；この人が回覧誌を始めて居て、お手紙などをいただいた。；嘗ての旅の記録の筆写本が回覧されていて、それの上梓を書肆が望んだのである。；珍しく保が、友人と回覧雑誌を出す計画のうちあわせで夕飯にかえらなかった。；友人たちの間で回覧されていたが、大部分の人はチョーサーの死後までその存在を知らなかったという説がある。；本文、および記事のスキャンと思われる画像は電子メールで広く回覧された。；紙不足のソ連ですから回覧誌はたばこの巻き紙に使われたり便所の落とし紙にされたりで失敗でした。；老中首座阿部正弘は、夏ごろには溜間詰の譜代大名にこれらを回覧した。</t>
        </is>
      </c>
      <c r="J1365">
        <f>HYPERLINK("https://www.weblio.jp/content/回覧", "词义详情")</f>
        <v/>
      </c>
      <c r="K1365">
        <f>HYPERLINK("https://yourei.jp/回覧", "查看例句")</f>
        <v/>
      </c>
    </row>
    <row r="1366">
      <c r="A1366" t="inlineStr">
        <is>
          <t>概略</t>
        </is>
      </c>
      <c r="B1366" t="inlineStr">
        <is>
          <t>成功</t>
        </is>
      </c>
      <c r="C1366" t="inlineStr">
        <is>
          <t>読み方：がいりゃく
おおよその内容。あらまし。大略。概要。「調査の—」「—次の通り」</t>
        </is>
      </c>
      <c r="D1366" t="inlineStr">
        <is>
          <t>概略図(13%)；概略的(4%)；概略設計；概略ルート；概略次</t>
        </is>
      </c>
      <c r="E1366" t="inlineStr">
        <is>
          <t>図；大抵；大体；概ね；輪郭</t>
        </is>
      </c>
      <c r="F1366" t="inlineStr">
        <is>
          <t>ゴリツィア県概略；概略図コムーネ；概略図thumb</t>
        </is>
      </c>
      <c r="H1366" t="n">
        <v>29</v>
      </c>
      <c r="I1366" t="inlineStr">
        <is>
          <t>派閥争いの概略を知った時、わざわざ顔を見に行ったんだ、覚えている!；なお日本の電車そのものの発展の概略は、日本の電車史を参照されたい。；理由も経過も概略わかっていたが、彼はとりあえず熟慮にとりかかった。；この図はあくまで概略であり、より詳細な分類方法と経緯があることに注意。；その3分の1は、我々が今日概略の管理図と呼ぶような単純な図だった。；しかも大雑把な概略図とあっては、それ以上を期待する私の方がおかしい。；書類挟みを使い、歴史的出来事の概略を書いた見出しをつけるとしよう。；しかしいろいろの記憶をたどつて行くと概略の推定をする事は出来ると思ふ。；それはいまみた「概略」につづけてこう書いていることからもわかる。；次に示すのは、最重要かつ最も広範に崇拝されている神々の概略である。；更に細かい分類方法と経緯があり、この図はあくまで概略である事に注意。；概略図に証人として署名をし、持っている他の記録とは別にして包んだ。；しかし著作の概略を短く述べるだけで満足しなければならない。；今その概略を述べてみようかと、一寸思つてみるだけでもゾッとする程だ。；なにしろ描写しがたいものであるが、概略だけでも示さねばなるまい。；事実は概略だけであり、1年以上整理されず靄に包まれた状態だった。；しかし、概略はデータを正確に反映するものではないことに注意する必要がある。；更に細かい分類方法と経緯があり、この図はあくまで概略を示すものである。；以上が、極めて簡単な、またごく大まかな銀河系文明の物語の概略です。；そこで首相から、ここで起こっている概略を教えてもらいました。；標準的な運指を用いた場合の倍音モードの概略は下記の通りである。；手続の詳細は地方自治法施行令に定められており、その概略を下記に示す。；主人公・風吹のマシンとレースを中心にストーリーの概略を示す。；本セクションでは当記事主題のN農婦以外の事例について概略を述べる。；第四章では、Smalltalkの言語仕様が六つに概略されている。；概略を以下に述べるが、各キャラクターの詳細は別記事を参照。；地図や町の概略図、職人組合の一覧表や貴族の家柄の婚姻図まであった。；しかしその形は、概略のものでまったく正確というわけにはゆかない。；そこに記された浦島太郎伝説の概略は次のようなものである。</t>
        </is>
      </c>
      <c r="J1366">
        <f>HYPERLINK("https://www.weblio.jp/content/概略", "词义详情")</f>
        <v/>
      </c>
      <c r="K1366">
        <f>HYPERLINK("https://yourei.jp/概略", "查看例句")</f>
        <v/>
      </c>
    </row>
    <row r="1367">
      <c r="A1367" t="inlineStr">
        <is>
          <t>改良</t>
        </is>
      </c>
      <c r="B1367" t="inlineStr">
        <is>
          <t>成功</t>
        </is>
      </c>
      <c r="C1367" t="inlineStr">
        <is>
          <t>読み方：かいりょう
［名］(スル)不備な点や悪い点を改めて、よくすること。改善。「品種を—する」</t>
        </is>
      </c>
      <c r="D1367" t="inlineStr">
        <is>
          <t>改良工事(5%)；改良点；改良事業；改良型；改良区間</t>
        </is>
      </c>
      <c r="E1367" t="inlineStr">
        <is>
          <t>発展；向上；発達；進み；改善</t>
        </is>
      </c>
      <c r="F1367" t="inlineStr">
        <is>
          <t>品種改良；一部改良；未改良；小改良；様々な改良</t>
        </is>
      </c>
      <c r="G1367" t="inlineStr">
        <is>
          <t>改良主義；改良品種；改良案；改良住宅；改良型ガス冷却炉</t>
        </is>
      </c>
      <c r="H1367" t="n">
        <v>29</v>
      </c>
      <c r="I1367" t="inlineStr">
        <is>
          <t>ヨーロッパの中世における畜産の改良は他の発展と密接に関係していた。；印刷に改良を加えた活版印刷技術の発明者といわれ、広く知られている。；ズッコケ三人組の像は駅改良工事に伴い、現在は北口に設置されている。；長期にわたり大量に製造されたため、途中で様々な改良が加えられている。；これらの地域や事情に適合させるために様々な改良、改造が行われた。；また継続的な改良を受けており、多数のベースラインが生じている。；このため、耐湿性の強さに着目した品種の導入や改良も試みられている。；また、災害やその復旧に伴う線形改良で旧線が廃止となる例も存在する。；今後は改良工事の完成に合わせてホームドア整備も計画されている。；可部駅もホーム改良に合わせて上下線分離駅となり自由通路を設置する。；高床車両に対応させるためにプラットフォームを高くする改良も行われた。；その後の駅改良工事に伴い、上下ホーム間の線路予定地に線路が敷設された。；日本のダートコースは昔は砂馬場と呼ばれていたものを改良したものである。；これに合わせ、ホームの改良や案内板の新設等も同時に行われた。；その後、甘いメロンが作られるまで数世紀に及ぶ改良の努力が行われた。；動作速度がより向上し、細かい部分の使い勝手に多くの改良が施された。；国鉄の天王寺駅も利用が急増しており、改良工事を始めることになった。；イージスシステムは継続的な改良を受け、多数のバージョンが生じている。；カタログスペックはほぼ同一ながら、細かな改良が多数加えられている。；宇宙飛行士を安全・確実に飛行させるために、必要な改良が施されている。；またソフトウェアを改良したり拡張することも困難にする。；これは楽器が改良され、音量面や機構などで大きな向上がなされた結果である。；設備改良の主な内容の始まった駅とその年は次の通り。；このため、現在も各店が改良を進め、新しいものの開発が続いている。；乳牛はいかに多く搾り取るかを最大の課題とされ、改良が進められた。；後年には改良されて高度30 km程度まで上昇できるようになった。；現代の写真処理は1840年から最初の20年の一連の改良を基底とする。；この改良は多岐に及ぶが、大きな改良が行われた場合は番台区分されている。；後のモデルでは2つの接眼部がより接近するよう改良されている。</t>
        </is>
      </c>
      <c r="J1367">
        <f>HYPERLINK("https://www.weblio.jp/content/改良", "词义详情")</f>
        <v/>
      </c>
      <c r="K1367">
        <f>HYPERLINK("https://yourei.jp/改良", "查看例句")</f>
        <v/>
      </c>
    </row>
    <row r="1368">
      <c r="A1368" t="inlineStr">
        <is>
          <t>海路</t>
        </is>
      </c>
      <c r="B1368" t="inlineStr">
        <is>
          <t>成功</t>
        </is>
      </c>
      <c r="C1368" t="inlineStr">
        <is>
          <t>読み方：うみじ
海上の船の航路。船路(ふなじ)。うなじ。うみつじ。⇔陸路(くがじ)。
「いさなとり—に出でて」〈万・三六六〉</t>
        </is>
      </c>
      <c r="D1368" t="inlineStr">
        <is>
          <t>海路江戸；海路輸送；海路上洛；海路攻略；海路侵攻</t>
        </is>
      </c>
      <c r="E1368" t="inlineStr">
        <is>
          <t>水路；航路</t>
        </is>
      </c>
      <c r="F1368" t="inlineStr">
        <is>
          <t>空路または海路；率いて海路；陸路または海路</t>
        </is>
      </c>
      <c r="G1368" t="inlineStr">
        <is>
          <t>海路駅</t>
        </is>
      </c>
      <c r="H1368" t="n">
        <v>29</v>
      </c>
      <c r="I1368" t="inlineStr">
        <is>
          <t>少年は行きの海路で今までに経験したことのない身体の不調を覚えた。；海路だけしかなかったころの高知港を思わせるような光景が展開する。；久光が千人の武装兵をつれて、海路大坂についたのは、四月十日だった。；海路を通航可能な船の大きさは、閘門の大きさによって規定されている。；これらの作品はフランスから海路日本へ運ばれたものであった。；千島列島の地図の作成と日本への海路の探索の任務を受けたも一緒であった。；もしどこかの国がこの土地を支配しようと思っても、侵入は海路に限られるわけだ。；この地域は商業が盛んで、海路も含めてさまざまな国や民族の人々が移動してきた。；時間はかかるが、この海路を利用するのが最も安全なコースであったといっていい。；赤十字社は海路で市を訪れる人のために船着き場でマスクを販売していた。；当初アルゴー船の乗組員とも呼ばれた者達の大半は海路を旅して来た。；大事なのは出入りは海路に限られるってとこだけだったんだが、まあいいや。；その後ボストン市を経由し、海路のにあるの駐屯地に連れて行かれた。；ただ海路の場合は、春が来るのを待たねば船での輸送は無理だった。；苦しい旅のために、海路を旅した人々の大部分は病気になり、多くが死亡した。；海路を利用する対スペイン密輸貿易はこの時期に盛んになった。；一行はこれよりいよいよ海路を藩地まで行くのである。；志功の言によれば、海路を選んだ理由は、ほかにもうひとつあった。；そして海路で北海を越えて、1年のうちにフリース人の領土を制圧した。；エネルギーはまたLNGという形で海路によって欧州に供給されている。；この砦は大坂本願寺の西側すぐ傍の内陸にあるため、海路とは直接関係ない。；日本には、ウラジオストクからの海路で6月30日に敦賀港に到着した。；ボストンの南東に位置し、空路および海路で、道路距離にして離れている。；海路を担当する商人の仕事はそれで終わるのである。；彼はピョートル1世に手紙を書き、海路でなく陸路で帰国する許しを求めた。；海路でいけば四、五日で大坂に着けるのに、陸路では二十日以上もかかる。；分解された船は鉄道と海路で北海と太平洋に運ばれ組み立てられた。；しかし、モン族はそれ以前から海路による仏教との接触があったと主張する。；海路を取って進んだ三野連石守らの従者も、郎女に従ったものであろう。</t>
        </is>
      </c>
      <c r="J1368">
        <f>HYPERLINK("https://www.weblio.jp/content/海路", "词义详情")</f>
        <v/>
      </c>
      <c r="K1368">
        <f>HYPERLINK("https://yourei.jp/海路", "查看例句")</f>
        <v/>
      </c>
    </row>
    <row r="1369">
      <c r="A1369" t="inlineStr">
        <is>
          <t>回路</t>
        </is>
      </c>
      <c r="B1369" t="inlineStr">
        <is>
          <t>成功</t>
        </is>
      </c>
      <c r="C1369" t="inlineStr">
        <is>
          <t>読み方：かいろ
１電気の流れる、輪のように閉じている道筋。電気回路。
２流体やエネルギーなどの流れる一まわりの通路。
３生体の代謝経路で、循環を示す部分。トリカルボン酸回路など。</t>
        </is>
      </c>
      <c r="D1369" t="inlineStr">
        <is>
          <t>回路構成；回路用；回路素子；回路内；回路制御</t>
        </is>
      </c>
      <c r="E1369" t="inlineStr">
        <is>
          <t>巡回；サーキット；回線；電気回路；電路</t>
        </is>
      </c>
      <c r="F1369" t="inlineStr">
        <is>
          <t>制御回路；魔術回路；神経回路；変換回路；通信回路</t>
        </is>
      </c>
      <c r="G1369" t="inlineStr">
        <is>
          <t>回路設計；回路基板；回路網；回路配置利用権；回路シミュレータ</t>
        </is>
      </c>
      <c r="H1369" t="n">
        <v>29</v>
      </c>
      <c r="I1369" t="inlineStr">
        <is>
          <t>小脳皮質のどの層にも、この回路を構成する様々な細胞が含まれている。；他に車端部にはジャンパ連結器もあるが、これは低圧回路接続用である。；KARL は大規模集積回路の回路配置が記述可能な機能も持っていた。；回路がVHDLで記述されており、BSDライセンスで公開されている。；なお半導体が普及する以前は、小型の真空管を用いた回路を使用していた。；一見無関係ないくつかの病気は、調節回路を共有していることがわかった。；もちろん、バス幅や周辺回路の速度のような他の要因も考慮に入れなければならない。；そして、そのような回路を追加すると回路規模は大きくなり、複雑化する。；集中定数のマッチング回路には、接続の形により次のような種類がある。；実際には設計した回路の信頼性は高く、故障した部分だけがエラーを生じた。；また演算回路など、一般的なプロセッサ内部の一部に使われることもある。；測定技術の目的は、測定回路の影響を最小化あるいは補償することである。；もし異なっている場合は適切な変換回路を使用する必要がある。；UNIVAC Iは計算回路を並列で接続して結果を比較する設計だった。；現在はコレクタ共振型回路というものが多く使われ小型化されている。；回路の一部に同調回路を設け、その電圧の一部を帰還するものである。；この目的で回路に挿入される抵抗器を「電流制限抵抗」などと呼称する。；電線同士を接続し、ひとつの回路にするために用いられる部品・器具である。；特に電源投入直後に回路を安定して動作させるためにはいくつかの工夫が必要となる。；その場合、そのための回路には電源OFFでも電力が供給されている。；インバータと逆の機能を持つ回路はコンバータ、または整流器とも言う。；この目的で排他的論理和を樹枝状に接続した回路をパリティツリーという。；この回路内の水は放射性を帯びていないと考えられている。；順序回路は過去の内部状態と取得時の入力信号とで出力が決まる回路である。；また、自由に回路を作成できるユニバーサル基板も販売されていた。；回路配置利用権者は、業として登録回路配置を利用する権利を専有する。；回路は、エネルギー・物質などが出て、再び元の場所に戻るまでの道筋のこと。；等価回路は電気回路のモデルとしての側面でよく用いられる考え方である。；このときギガは装甲内のジャミングウェーブ遮断回路が未完成であった。</t>
        </is>
      </c>
      <c r="J1369">
        <f>HYPERLINK("https://www.weblio.jp/content/回路", "词义详情")</f>
        <v/>
      </c>
      <c r="K1369">
        <f>HYPERLINK("https://yourei.jp/回路", "查看例句")</f>
        <v/>
      </c>
    </row>
    <row r="1370">
      <c r="A1370" t="inlineStr">
        <is>
          <t>概論</t>
        </is>
      </c>
      <c r="B1370" t="inlineStr">
        <is>
          <t>成功</t>
        </is>
      </c>
      <c r="C1370" t="inlineStr">
        <is>
          <t>読み方：がいろん
領域全体のあらましを要約して述べること。また、述べたもの。「経済学—」</t>
        </is>
      </c>
      <c r="D1370" t="inlineStr">
        <is>
          <t>概論書(3%)</t>
        </is>
      </c>
      <c r="E1370" t="inlineStr">
        <is>
          <t>導入；図；冒頭；大抵；大体</t>
        </is>
      </c>
      <c r="F1370" t="inlineStr">
        <is>
          <t>学概論；解析概論；エロゲー文化研究概論；造園概論</t>
        </is>
      </c>
      <c r="H1370" t="n">
        <v>29</v>
      </c>
      <c r="I1370" t="inlineStr">
        <is>
          <t>但しそう云っても、私は科学概論や科学論の上での一定の立場を尋ねているのではない。；初めに概論が讀みたいといふのなら、何でも一册でたくさんだといひたい。；後に「社会主義概論」と改題して出版されその頃普く愛読されたものだ。；ただ一つはっきりと私が覚えているのは、大塚先生の美術概論の試験の時のことである。；といふ意味は、概論といふ名前に拘泥してはならぬといふことである。；後年の著作『建築論』は京大時代の建築概論の講義を発展させた書籍。；僕はただ、動物学のほうから女類一般の概論を述べただけだ。；ルイスも大学の生物学概論の講義でそのホログラムを見たことがある。；そこで科學概論の書物も立場の異るに從つて内容を異にするのは當然である。；三 化物の分類以上で大體化物の概論を述べたのであるが、之を分類して見るとどうなるか。；余談だが、日本では高木貞治の解析概論などが似たような位置付けだろう。；内容が犯罪史、犯罪科学の全分野にわたっているのみならず、犯罪技法の概論にもなっているんだ。；これは概論書を讀むよりももつと大切なことである。；このような順番で、自分の哲学体系を要約し手引きとした体系的な概論書を作成した。；一般概論などにかかずらわっている暇はありませんからね。；戦後は1958年の『化学概論』に法則の名前なしに内容が出ている。；最終的に辞典は、概論の巻を含めて全17巻を有するに至った。；古典古代の学問的論文のほとんどが利用不可能になり、単純化された概論や抜粋集のみが残された。；グレッグはわたしらに、ガニメアンの科学概論をまとめろって言うんだ。；大学で東洋史を教授し、大正10年には東京商科大学で国家学概論も担当した。；前半は概論で、中国の自然・宗教・政治などについて述べる。；木島教授は研究室などは持たず、もう何年も新入生相手に建築概論だけを教えていた。；それとも概論だけ放り出してあとは暗示がきくのを待ってるのか?；ごく初歩の概論だったにちがいないけれども、この学課の興味は全く私を熱中させた。；社会学概論の試験が終ってから、わたしプール・サイドへ行ったの。；両者の区別は大抵の文学論や文芸概論には見えている。；カウンセリングの基礎技術・知識はもとより、各種心理療法の概論を学ぶ。；これは概論としては正しいが、厳密には正確性を欠く説明である。；主著『言語学概論』は日本語を含む多くの言語に翻訳されている。</t>
        </is>
      </c>
      <c r="J1370">
        <f>HYPERLINK("https://www.weblio.jp/content/概論", "词义详情")</f>
        <v/>
      </c>
      <c r="K1370">
        <f>HYPERLINK("https://yourei.jp/概論", "查看例句")</f>
        <v/>
      </c>
    </row>
    <row r="1371">
      <c r="A1371" t="inlineStr">
        <is>
          <t>会話</t>
        </is>
      </c>
      <c r="B1371" t="inlineStr">
        <is>
          <t>成功</t>
        </is>
      </c>
      <c r="C1371" t="inlineStr">
        <is>
          <t>読み方：かいわ
［名］(スル)複数の人が互いに話すこと。また、その話。「—を交わす」「親しそうに—する」「英—」</t>
        </is>
      </c>
      <c r="D1371" t="inlineStr">
        <is>
          <t>会話シーン；会話劇；会話文；会話イベント；会話能力</t>
        </is>
      </c>
      <c r="E1371" t="inlineStr">
        <is>
          <t>話；話し；トーク；対話；おしゃべり</t>
        </is>
      </c>
      <c r="F1371" t="inlineStr">
        <is>
          <t>そんな会話；こんな会話；短い会話；どんな会話；普通に会話</t>
        </is>
      </c>
      <c r="G1371" t="inlineStr">
        <is>
          <t>会話分析；会話体；会話術；会話ページ；会話ボット</t>
        </is>
      </c>
      <c r="H1371" t="n">
        <v>29</v>
      </c>
      <c r="I1371" t="inlineStr">
        <is>
          <t>会話が可能なまでのレベルにまでマスターしている必要は無いであろう。；上記の登場人物とPSP版からの追加の人物の会話シーンは存在しない。；この時に誰を選ぶかによって、会話などイベントの内容が変わってくる。；こちらの言っていることは全て理解しているし、会話するには十分だ。；作家の中には自身の作品の会話文に決して疑問符を使わない者もいる。；会話中などに名称が出てくるのみで、ゲーム中実際に訪れることがない場所。；このとき辻はソ連のさまざまな人と会話をして、ソ連の実情を看破した。；同時に日本語会話は徐々に衰退し、現在ではほとんど話されなくなった。；会話だけでなく、あらゆる言語で書かれた文章を読むこともできる。；その囲炉裏を囲んで子供たちと会話する時間を大切にしているという。；特定のキャラクターを連れて行くと、通常と異なる会話が発生する。；挨拶も会話も演説も、すべてが言語を使ったコミュニケーションである。；これらの電話の会話はほとんどが機体の破壊の時まで続いた。；リハビリテーション後は、電話での会話も出来るほどに回復する例も多い。；大和田が直接岡江の顔を見たのも、会話したのもこの日が最後となる。；家族同士での会話にも音を利用していると考えられている。；妻との間ではドイツ語で、英語で教育されていた子供たちとは主に英語で会話した。；彼の事務所と寝室にいる重病の妻との会話を目的としたものだった。；日常会話や文章などでは両者は区別されるのが普通である。；名前が会話にも表示されるのに対し、表示メッセージは会話に表示されない。；最初は会話するときに表情管理が上手く出来ないほど大変だった。；悪魔会話は悪魔の属性、主人公の属性によっては成立しないこともある。；会話時間以外は自身の空間が確保されており、プライバシー性が比較的高い。；この頃には、もう会話することすらできなくなっていたという。；キッズネットの会員は会話時には固定されたニックネームを使用する。；また、国民の中にはフランス語で日常会話をしている者もいる。；しゃべってコンシェルの技術を応用し、円滑な会話が可能となっている。；この録音は、ヒトラーの非公式的な会話を録音した唯一のものである。；そもそも播磨と会話を交わすようになったのは夏休みの途中のことである。</t>
        </is>
      </c>
      <c r="J1371">
        <f>HYPERLINK("https://www.weblio.jp/content/会話", "词义详情")</f>
        <v/>
      </c>
      <c r="K1371">
        <f>HYPERLINK("https://yourei.jp/会話", "查看例句")</f>
        <v/>
      </c>
    </row>
    <row r="1372">
      <c r="A1372" t="inlineStr">
        <is>
          <t>買う</t>
        </is>
      </c>
      <c r="B1372" t="inlineStr">
        <is>
          <t>成功</t>
        </is>
      </c>
      <c r="C1372" t="inlineStr">
        <is>
          <t>読み方：かう
［動ワ五（ハ四）］
１代金を払って自分の所有とする。「欲しい物を—・う」「権利を—・う」⇔売る。
２自分のしたことがもとになって、好ましくないことを身に負う。招く。「人の恨みを—・う」「反感を—・う」
３進んで引き受ける。「売られた喧嘩(けんか)を—・う」
４価値を認める。「努力を—・う」
５金銭を払って売春婦などと遊興する。「女を—・う」
[可能]かえる
[下接句]一笑を買う・恨みを買う・歓心を買う・喧嘩(けんか)を買う・児孫のために美田を買わず・失笑を買う・死馬(しば)の骨を五百金に買う・飲む打つ買う・一役買う・顰蹙(ひんしゅく)を買う・不評を買う</t>
        </is>
      </c>
      <c r="D1372" t="inlineStr">
        <is>
          <t>買うべき；買うまい；買うべく；買うべし；買う買わ</t>
        </is>
      </c>
      <c r="E1372" t="inlineStr">
        <is>
          <t>購入；買収；買い取り；購買；買取</t>
        </is>
      </c>
      <c r="F1372" t="inlineStr">
        <is>
          <t>一役買う；高く買う；買うたか</t>
        </is>
      </c>
      <c r="H1372" t="n">
        <v>29</v>
      </c>
      <c r="I1372" t="inlineStr">
        <is>
          <t>原作ではこの行為がきっかけで、現在住んでいる家を買う決心がついた。；また現在装備中のものより性能の低いものを買おうとすると注意される。；我が国の国民がこのようなゲームを買うなどとはとても信じられません。；このような表示のきっかけは「工場の指名買い」があったためだという。；新しい文房具を買うことができないので、彼は古い原稿の裏に執筆した。；夫婦と子供がいて服を買いテレビを見て他人とつきあうごく平凡な生活。；金を出して楽しみを買えない人の為のおぞましい手段でしかないと思う。；業者ごとに場所が決まっており、商品を見比べながら買うこともできた。；そこで鳥の声のレコードを買ってきて、自宅で一日中流し続けていた。；またバックナンバーも通常の本と同じように流通し、買うことが出来る。；他に露店等にて他のプレイヤーが売っている物を買うことで手に入る。；最初に買おうとした家とその手付金を失った過程を見れば、よくわかる。；イングランド臣民から大きく不興を買うことが明らかだったからである。；買った本を自宅に置いたまま、職場や旅行先でも読める新たなサービス。；スイスでは北東鉄道を設立した功を買われ名誉市民の称号を与えられた。；秋のお祭りがきたら、それでなにか好きなものを買おうと思っていました。；誰も相応の価で買おうとしなかった秘密を君は盗めると思っていたのだ!；まずトムに金を与え、トムは若い頃乗っていたのと同じ車種の車を買う。；買えないと区別してしまったら、欲しいという気すら起きなくなるのだ。；一方、マーラーはその一徹な性格から周囲の反発を買うことも多かった。；人々が食べ物を買うために列に並ぶのは、よく見られる光景となった。；その腕を買われてセッション・プレイヤーとしても活動したことがある。；そして新しい衣装が必要なときにも彼女はそれを買おうとしなかった。；ユーザーとは、実際に商品やサービスなどを使う人、または買う人である。；ただ、あまりにも簡単に弾いた為、二人から逆に反感を買ってしまった。；イギリスはこの問題でアラブ全体から反発を買うことを恐れていた。；広島までの切符が買えたので、ふと私は広島駅へ行ってみることにした。；当時は、まだ畑の中で一軒三十五万円だったから僕にも買えたのだ。；それで金はないし、外米も買えないとなれば、その時はどうなることか。</t>
        </is>
      </c>
      <c r="J1372">
        <f>HYPERLINK("https://www.weblio.jp/content/買う", "词义详情")</f>
        <v/>
      </c>
      <c r="K1372">
        <f>HYPERLINK("https://yourei.jp/買う", "查看例句")</f>
        <v/>
      </c>
    </row>
    <row r="1373">
      <c r="A1373" t="inlineStr">
        <is>
          <t>飼う</t>
        </is>
      </c>
      <c r="B1373" t="inlineStr">
        <is>
          <t>成功</t>
        </is>
      </c>
      <c r="C1373" t="inlineStr">
        <is>
          <t>読み方：かう
［動ワ五（ハ四）］
１食べ物を与えて動物を養い育てる。「猫を—・う」
２動物に食べ物・水を与える。
「鷹に—・はんとて、生きたる犬の足を斬り侍りつるを」〈徒然・一二八〉
３毒や薬などを飲ませる。盛る。
「馬銭(まちん)といへる毒を—・うて殺したるらん」〈仮・浮世物語・三〉
[可能]かえる</t>
        </is>
      </c>
      <c r="D1373" t="inlineStr">
        <is>
          <t>飼うべき；飼うとる；飼うこと自体</t>
        </is>
      </c>
      <c r="E1373" t="inlineStr">
        <is>
          <t>育てる；養う；飼育する；餌を与える；飼養する</t>
        </is>
      </c>
      <c r="F1373" t="inlineStr">
        <is>
          <t>匹飼う</t>
        </is>
      </c>
      <c r="H1373" t="n">
        <v>29</v>
      </c>
      <c r="I1373" t="inlineStr">
        <is>
          <t>その姿勢で、飼われている犬のように主人の命令を待っているのだった。；同時期には彼の飼っていた犬も事故でトラックにはねられて亡くなった。；あんたがいなければもう一頭、小屋で馬を飼うことができるんだけどね。；その次は皆と一緒に牛を飼うのだがこれは高等動物のせいかもしれない。；娘たちは、前から猫を飼わせてくれと、私たちに要求していたのである。；急にね、人間に飼われているのがいやになって逃げだしたくなったンだ。；その代り通りの家では商品を鼠にやられないために大低猫を飼っている。；「瞳には絶対に犬がいい」 しかも大きな犬を飼おうというではないか。；だれが、そんな捨てたような犬を連れていって飼っておくものがあろう?；自分と家に飼われているすべての動物との間には敵対があってはならない。；例えばカラスを含む数十種類の動物を飼っている動物園があったとする。；金と余暇と土地とがあったら、出来得る限りさまざまの動物を飼いたい。；また多種多様な獣が飼われ、皇帝が秋・冬に猟を行ってその獣を取った。；この絵は画家が生きていたオームを飼っていたことを示す描写が見られる。；死なせた時のつらさを思うと動物を飼う気になれない、と言う人がいる。；こんなふうに隠れて飼うんじゃなくて、ちゃんと自分の家のベランダで。；それまで規則があり、猫も飼うことが出来なかった母は大喜びだった。；おれはこの間まである大手の総合商社の部長の家に飼われていたのだ。；飼うたのは中学校の時で、蟻の巣箱は出入りのガラス屋に作らせました。；私の家には、祖母の代から飼いはじめたという三毛の雌猫がおりました。；目の前にある古書店で飼われている二羽のチャボは名物ともなっていた。；自身や家族が飼っている猫をテーマとする漫画作品が多いことで知られる。；よって飼育下では一緒に飼う動物の大きさに注意しなければならない。；人間ともあろうものが、家畜と同じように飼われたりしてたまるものか。；初めから動物を飼う資格のない者が飼った場合、悲劇なのは動物である。；ペットとして飼われていた個体が放流されて定着したと考えられている。；人に飼われていることに厭気がさして、放浪の旅に出てきたのだろうか。；集落の東には、これもまた竹で組んだ柵があり、猪が数頭飼われている。；それにも種類があるんですが、まず管狐というのを飼っているのが多い。</t>
        </is>
      </c>
      <c r="J1373">
        <f>HYPERLINK("https://www.weblio.jp/content/飼う", "词义详情")</f>
        <v/>
      </c>
      <c r="K1373">
        <f>HYPERLINK("https://yourei.jp/飼う", "查看例句")</f>
        <v/>
      </c>
    </row>
    <row r="1374">
      <c r="A1374" t="inlineStr">
        <is>
          <t>返す</t>
        </is>
      </c>
      <c r="B1374" t="inlineStr">
        <is>
          <t>成功</t>
        </is>
      </c>
      <c r="C1374" t="inlineStr">
        <is>
          <t>読み方：かえす
［動サ五（四）］
１表であったものを裏にしたり、上であったものを下にしたりして、ものの向き・位置を反対にする。裏がえす。ひっくりかえす。「せんべいを—・しながら焼く」「手の平を—・す」「差し手を—・す」
２たがやす。土などを掘りかえす。「田を—・す」
３（返す）物をもとあった所に戻す。「読んだ本を棚に—・す」
４（返す）受けたり借りたりしたものを、もとの所有者に戻す。返却する。返済する。また、返上する。「借金を—・す」「官位を—・す」
５（返す）変わってしまった物事をもとの状態どおりにする。「話を白紙に—・す」
６（返す）相手から受けた行為に対して、それと同じことをこちらからする。相手の働きかけに、同等の働きかけでこちらが応える。
㋐返報や返礼をする。「恩を仇(あだ)で—・す」「お金で—・す」
㋑返答や返歌をする。「言葉を—・す」「視線を—・す」「歌を—・す」
７食べた物を吐く。戻す。〈和英語林集成〉
８雅楽などで、律呂(りつりょ)の調子を変えてうたう。
９《「反切(はんせつ)」の「反」を「かえす」とよむところから》反切によって漢字の音を示す。
10もとへ戻る。返る。ひきかえす。「寄せては—・す白波の」「取って—・す」
11違った色に染める。染めかえす。
「小桜を黄に—・いたる鎧きて」〈平家・一〉
12動詞の連用形に付けて用いる。
㋐その動作を初めからもう一度、または何度もしてみる。くりかえす。「本を読み—・す」「糸を巻き—・す」
㋑相手からされたのと同じことを、こちらから相手に対してする。「言い—・す」「なぐり—・す」
[可能]かえせる
[用法]かえす・もどす——「本を返す（戻す）」「もとの位置に返す（戻す）」などでは相通じて用いられる。◇「返す」は「借りた金を返す」「恩を返す」のように対人関係に用いるほか、「たなごころを反す」「踵(きびす)を返す」のような位置の転倒を意味する用法がある。これらに「戻す」を用いることはない。◇「戻す」は同じ道筋をたどって原位置に置く意が強く、「本を戻す」は、もとの場所に置く意である。「振り出しに戻す」「話を本題に戻す」のようにも用い、これらでは「返す」との交換は無理である。◇「本を返す」は所有者に返却する意であり、「返す」をもとの位置に戻す意で使うときは、多く「本を書架に返す」のように「…に」の形で場所を限定して示す。
[下接句]裏を返す・裏釘(うらくぎ)を返す・恩を仇(あだ)で返す・腕(かいな)を返す・回瀾(かいらん)を既倒(きとう)に反(かえ)す・踵(きびす)を返す・唇を反す・踵(くびす)を返す・軍配を返す・言葉を返す・杯を返す・反りを返す・掌(たなごころ)を反す・手を反す・手の平を返す・取って返す・白紙に返す</t>
        </is>
      </c>
      <c r="D1374" t="inlineStr">
        <is>
          <t>返すべき；返すべく；返すよう命じ；返すよう要求；返すべし</t>
        </is>
      </c>
      <c r="E1374" t="inlineStr">
        <is>
          <t>回復；復元；返還；戻す；還元</t>
        </is>
      </c>
      <c r="F1374" t="inlineStr">
        <is>
          <t>見つめ返す；投げ返す；訊き返す；握り返す；撥ね返す</t>
        </is>
      </c>
      <c r="G1374" t="inlineStr">
        <is>
          <t>返すがえす</t>
        </is>
      </c>
      <c r="H1374" t="n">
        <v>29</v>
      </c>
      <c r="I1374" t="inlineStr">
        <is>
          <t>返し方としては自身がとられている足と同じ方向へと回転するのが有効。；明日の朝までとお言いだから貸してやッたら、それッきり返さないのさ。；その構想を富田に話すと、実行するなら自分も加えて欲しいと返された。；これに対して「酒に決まってんだろ」と返したことがさらに問題となる。；胸を相手に密着させずに手を畳についたりして返されないようにする。；石上神宮側から返還要請があったにもかかわらず、返していないという。；彼らはジャンヌに神と取引をしたと言わせ、それは神への冒涜だと返す。；このコーナーは真面目に回答する場合もあれば適当に返すこともあった。；あの子は行ってしまった母を呼び返そうとして必死に叫んでいたのだ。；久米は「レミさんだけはやめた方がいいと思いますよ」と返したという。；御時世がようなったら、十倍にも百倍にもして返そうと思っとるんじゃ。；サブルーチンからの復帰に使われ、復帰と同時に値を返すことができる。；連判状も大分古いものだし、一応みんなに返そうと思っていたところだ。；この一円はついに返さなかったような気がして、私は今でも気になっている。；感心なことには、いつまで飲んでも同じことは一回もくり返さなかった。；しかしそれも自分の愛でそれを豊富にして返さんがためにである。；エリクソンは何も言葉を返す事が出来ず、彼女をただ見送るのであった。；足払い系の技及び、小外系の技、の返し技で、後の先の技の一種である。；あなたと会わずに過ごしているうちに 女は男に歌を返しました。；直接の死因は注文主に絵を返されたからともいわれるが定かではない。；東京へ再び来る事があったら十円は身を粉にしても返さなければならない。；メイショウドトウが差し返してきた時もこちらには勢いがありました。；後日細川家から土地を返してくれといわれたが、どうしようもなかった。；なお夫人は奪った手紙を返そうとはせずにどこかへ隠してしまった。；そして踵を返そうとしたとき、ドアの横にあるボタンが目にはいった。；いったん海に出たあと、島へ叩き返されている可能性もあるからだ。；数日後、再びマニラに入港した時、僕はこれ等の品をPに返そうとした。；するとその教授は "B-" の評価をつけてレポートを返したという。；「人形町なり両国なりへ引つ返さうといふ気は出ませんでした」といふ。</t>
        </is>
      </c>
      <c r="J1374">
        <f>HYPERLINK("https://www.weblio.jp/content/返す", "词义详情")</f>
        <v/>
      </c>
      <c r="K1374">
        <f>HYPERLINK("https://yourei.jp/返す", "查看例句")</f>
        <v/>
      </c>
    </row>
    <row r="1375">
      <c r="A1375" t="inlineStr">
        <is>
          <t>帰す</t>
        </is>
      </c>
      <c r="B1375" t="inlineStr">
        <is>
          <t>成功</t>
        </is>
      </c>
      <c r="C1375" t="inlineStr">
        <is>
          <t>読み方：かえす
［動サ五（四）］《「返す」と同語源》
１もといた所に行くようにしむける。帰らせる。「生徒を家に—・す」「使いを—・す」
２野球で、走者が本塁を踏むようにさせる。「スクイズでランナーを—・す」
[可能]かえせる</t>
        </is>
      </c>
      <c r="D1375" t="inlineStr">
        <is>
          <t>帰すべき事由；帰すべきもの；帰すまい；帰すべし；帰すべから</t>
        </is>
      </c>
      <c r="E1375" t="inlineStr">
        <is>
          <t>返す；落ち着く；帰する；行き着く；拝む</t>
        </is>
      </c>
      <c r="F1375" t="inlineStr">
        <is>
          <t>送り帰す；追い帰す；せて帰す；まま帰す；生きて帰す</t>
        </is>
      </c>
      <c r="H1375" t="n">
        <v>29</v>
      </c>
      <c r="I1375" t="inlineStr">
        <is>
          <t>もともと彼らは甲賀組の一人をも生きて江戸へ帰そうとは思っていない。；私が疲れているから早めに帰そうとしているんだろうか、と私は思った。；主人の意志は三人を都へ帰すにあるのはわかりきったことなのだから。；要するに何でもないことなんだから、名さえ言えば帰されると言うのだ。；そのためにと持って来た三合ほどの米を夫人に渡して駅にとって帰す。；一つは襲撃者が戻ってくるといけないので帰したくなかったのです。；荷物を運んで来た息子は、家の前まで来て帰され、中に入っていなかった。；あの方達を帰してしまった後で、ゆっくり貴君とお話がしたかったのよ。；しかし武帝は許さず、ふたりの弟を任地に帰してもとの任を続けさせた。；女を帰そうと思って玄関まで送ってゆくと、そのうちの一人の女の靴が無い。；私はそうなると、お神さんのあるのが業腹で帰してやるのがいやなんです。；自分を帰して置いて、岸田と遊びに行くのだらうと、またしても疑つた。；わたくしは夫と舟に乗って来て、夫のお指図で、お先へ都へ帰された。；その結果まず相馬家に帰した草倉の下受け家業をやることから出発した。；翌日になると帰さない、其晩女中が云ふには、お奥で館が召しますつさ。；銀座の某店に罪を帰したのは、次のような調査にもとづいた結論である。；となると、このまま彼女を一人で帰すのはどうかと考えてしまった。；私があれほど関心をもち気を揉んだ仕事も、遂に私の手中に帰したのだ。；夫が外国で死んだ四ヵ月後の今日は当然欽吾の所有に帰してしまった。；全ての冒険と苦労が無に帰したことを知った2人はもう笑うしかなかった。；ローマと和解するために続けていたイジーの努力はすべて水泡に帰した。；ともかく先生は、ぼくだけは両親のところへ帰さなければと思われたんです。；彼女がローマ正教の元へ帰されたれば、どうせ後には処刑が待っているわ。；君らは地球に送り帰され、知らないうちに連中へ情報を送っていた。；実家へ帰してからしばらくして、私はお静が死んだとの通知を受取った。；タクシーで耀子を帰す時、誠は彼女に重要な書類と称して封筒を渡した。；夜になると裸のまま牢に帰され、昼にはまた石の上に正座させられた。；それに網にかかった魚はなんでもござれ、ただじゃ帰さんという主義さ。；ここで教授は一同上陸し、エスメラルダはマナウスへ帰そうと主張した。</t>
        </is>
      </c>
      <c r="J1375">
        <f>HYPERLINK("https://www.weblio.jp/content/帰す", "词义详情")</f>
        <v/>
      </c>
      <c r="K1375">
        <f>HYPERLINK("https://yourei.jp/帰す", "查看例句")</f>
        <v/>
      </c>
    </row>
    <row r="1376">
      <c r="A1376" t="inlineStr">
        <is>
          <t>却って</t>
        </is>
      </c>
      <c r="B1376" t="inlineStr">
        <is>
          <t>成功</t>
        </is>
      </c>
      <c r="C1376" t="inlineStr">
        <is>
          <t>読み方：かえって
［副］《「かえりて」の音変化》予想とは反対になるさま。反対に。逆に。「安物を買ったら、—高くついた」
[用法]かえって・むしろ——「病人のほうがかえって（むしろ）しっかりしている」「三月のほうがかえって（むしろ）寒かった」のような場合は相通じて用いられ、比較して強調する意を表す。◇「かえって」は予想していたことと反対の結果の意で、「勧められたら、かえって行く気がしなくなった」「もうけようとして、かえって損をした」のように用いる。これらの場合、「むしろ」には置き換えられない。◇「むしろ」は、どちらかといえば後者を選ぶの意を表す。「強い男性より、むしろ優しい男性が好きだ」「恥辱に生きるより、むしろ死を選ぶ」</t>
        </is>
      </c>
      <c r="D1376" t="inlineStr">
        <is>
          <t>却って悪い；却っていけ；却って正に；却って一層；却ってよい</t>
        </is>
      </c>
      <c r="E1376" t="inlineStr">
        <is>
          <t>むしろ；逆に；だからこそ；それだけに；寧ろ</t>
        </is>
      </c>
      <c r="F1376" t="inlineStr">
        <is>
          <t>却って益々；却ってホッ；却って危ない；却って好い；却って面白い</t>
        </is>
      </c>
      <c r="H1376" t="n">
        <v>29</v>
      </c>
      <c r="I1376" t="inlineStr">
        <is>
          <t>却って女を欺してやっているのだと、そう考えて心の中で笑っています。；そして、今ではそれが却ってよかったと思う様にさえなって来たのだ。；こんな事を済ましたあとでは、あんな所へでも行くのが却って好いのだ。；若い時には斯うした風のが、却って男の心を動かしたかも知れぬのだ。；つまり美しい首よりも哀れな醜悪な首の方が却って羨ましいのであった。；稿料のことを書かないのは却って不徳義故誰にでも書くことにしている。；却ってその傍に居た婆さんが、私の頭を撫でたり、抱いたりしてくれた。；何となればそれは却って斥力を制限する他の力であったからである。；この時一般に意識は説明される処のものではなくて却って説明する処のものとなる。；今日は珍しく京のどこにも兵火の見えぬのが却って物足らぬぐらいだ。；それにあの辺は空気もいいし、場所としてはここよりか却っていいだろう。；古い形式とされていた独白を平気で使って却って効果を持来たしている。；だがそういうことは病主人が苦悶を深め行くにつれ却って消えて行った。；そのあまりに完全な立派さが却って悲運を想わせるような顔立ちでした。；心配した弟の体も却って旅馴れたせいか変った様子もなく頗る元気であった。；それとも独身生活の人は、こう云う事に却って神経を使うのか知らん?；無駄をしまいしまいという考えは却って無駄をすることになるのだ。；この宣言は却ってアメリカの攻撃に対する抵抗を強固にすることになった。；それをあから様に云ってしまった方が、却って安全だという気がした。；が、そのため、私の手は却って八つ口からたつの腋の中に入ってしまう。；余り大きくないところの方が仕事を覚えるのには却って都合が好いんですよ。；狡い母親ですが、母親はその狡さに於て却って単純なところがありました。；私は、それは梅崎君のためには却ってよかったと思ったものである。；荒廃した寺の裡に、却って不思議な生命を感じさせるものがあるのだ。；火のように熱した身体中の血が今は却って、氷のように冷たくなっていた。；併し実は学問それ自らが却って一個の或いは一部の生活それ自身ではないのか。；あれが段々に淘汰されたら却って面白いものが出来はしまいかと思っています。；シーズン6とシーズン7はこの手の話が多すぎて却って評価を落としている。；後輩は恩を受けた為めに却って先輩と気まずい関係になる場合がある。</t>
        </is>
      </c>
      <c r="J1376">
        <f>HYPERLINK("https://www.weblio.jp/content/却って", "词义详情")</f>
        <v/>
      </c>
      <c r="K1376">
        <f>HYPERLINK("https://yourei.jp/却って", "查看例句")</f>
        <v/>
      </c>
    </row>
    <row r="1377">
      <c r="A1377" t="inlineStr">
        <is>
          <t>帰り道</t>
        </is>
      </c>
      <c r="B1377" t="inlineStr">
        <is>
          <t>成功</t>
        </is>
      </c>
      <c r="C1377" t="inlineStr">
        <is>
          <t>読み方：かえりみち
帰る途中の道。帰路。</t>
        </is>
      </c>
      <c r="H1377" t="n">
        <v>29</v>
      </c>
      <c r="I1377" t="inlineStr">
        <is>
          <t>悪魔は空を飛んでいるかまたは地獄への帰り道として絵の隅に描かれた。；僕が焼芋を買いに行っての帰りみちに運転手の家の男の子に会いました。；門への帰り道には、その全部を頭の中でひっくり返さねばならないのだ。；ぼんやりとしたままの帰り道、また幽霊ビルに寄ってみようかと思った。；そうだ、裕孝に帰り道で言わなくては ならないことがあったんだった。；学校から家までの帰り道の間、達也は何事か考え込んでいるようだった。；帰り道にはいいお月様が出るし、あなた泥棒なんか怖くはないでしょう?；彼らはこれから世間に出て信用を得るのであるが、我々はもう帰り道なのだ。；そしてその帰り道、俺の横を通ったタクシーには紫の姫が乗っていた。；そんな話があったのんやっぱり学校からの帰り道か何処ぞやったんですやろ。；養父が毎日迎えに来てくれるので、深夜の帰り道も安心なのだそうだ。；そのあと帰り道にある公園で、近所の子とサッカーして遊びました。；戻るのならまだ間に合うと、身を引いて帰り道を用意してくれている。；帰り道、かれらの態度をいろいろ考えてみると急にむしゃくしゃしてきた。；それも教会からの帰りみちに夜くるようにとのまねきを受けたのでありました。；酔っぱらいは家があるのはよく承知しているが、帰り道がわからない。；私も微笑を返して、それからあとはみなとても楽しく帰り道につきました。；海からの帰り道、真は知った顔が珍妙な格好で出歩いている姿を目撃した。；一緒に帰ったことだってあるし、途中で帰り道一緒になったことだってあるわ。；後に男が帰り道を歩いていたところ、谷で再びあの女に出会った。；遠く離れた後で、どれだけ故郷を愛していたのか思い知っても帰り道はなく。；そう強く願っているせいか、帰り道を進む俺の脚は自然と速くなっていた。；私は帰り道で、どうしてあなたが気を悪くしたのかを考えました。；でもそれにもかかわらず帰り道は行くときよりもみじめな思いがいたしました。；母が町への帰り道の森の中で、何者かに殺害されてしまうのだ。；ほかの連中にも、帰り道に小枝を拾ってくるように頼んでおいただ。；僕には目前に広がる帰り道と、背後から聞こえてくる式の足音だけがあった。；部活の連中を眺めながら校門を出て、久しぶりに陽のあるうちの帰り道。；ホテルへの帰り道、彼は持って来たくだものをつぶさぬよう気をつけた。</t>
        </is>
      </c>
      <c r="J1377">
        <f>HYPERLINK("https://www.weblio.jp/content/帰り道", "词义详情")</f>
        <v/>
      </c>
      <c r="K1377">
        <f>HYPERLINK("https://yourei.jp/帰り道", "查看例句")</f>
        <v/>
      </c>
    </row>
    <row r="1378">
      <c r="A1378" t="inlineStr">
        <is>
          <t>顧みる</t>
        </is>
      </c>
      <c r="B1378" t="inlineStr">
        <is>
          <t>成功</t>
        </is>
      </c>
      <c r="C1378" t="inlineStr">
        <is>
          <t>読み方：かえりみる
［動マ上一］［文］［マ上一］
１過ぎ去った事を思い起こす。回顧する。「半生を—・みる」
２心にとどめ考える。気にかける。「妻子を—・みない」
３振り返って見る。「後方を—・みる」</t>
        </is>
      </c>
      <c r="D1378" t="inlineStr">
        <is>
          <t>顧みること(18%)；顧みる暇(6%)；顧みる余裕(4%)；顧みる者(3%)；顧みる人(2%)</t>
        </is>
      </c>
      <c r="E1378" t="inlineStr">
        <is>
          <t>考える；思い出す；回想；振り返る；振り返り</t>
        </is>
      </c>
      <c r="F1378" t="inlineStr">
        <is>
          <t>ふと顧みる；顧みる気；自ら顧みる；顧みることなく</t>
        </is>
      </c>
      <c r="H1378" t="n">
        <v>29</v>
      </c>
      <c r="I1378" t="inlineStr">
        <is>
          <t>朝比奈さん相手に失敗したばかりだが過去を顧みる余裕も失われていた。；死ぬ時自分以外に他あるを顧みて其処に何か責任上の一言を遺して置く。；その時は親は子を顧みることが出来ず、子も親を顧みることが出来ない。；これを非芸術とした大きな原因を顧みるに三つの要素をもっているであろう。；彼の恐怖が伝わって、私も妙にうしろを顧みられる様な気がし始めた。；僕はいまの人が忘れて顧みないような本をくりかえし読むのが好きだ。；二十八の齢にまでなって夫もなく子供もない独身の身が顧みられました。；そこで、お角は米友を顧みて、 「友さん」 と米友の名を呼びました。；はたしてわが趣とわが形に真の価値があるかないかは顧みる遑さえない。；自分の今までの生活を顧みて何よりも多く自らを責めるのはこのことである。；つまり、一人の女を大勢の中から選択して、そのほかを顧みないことです。；いずれにせよ、これらの諸説は、現在ではほとんど顧みられてはいない。；しかしそれらを顧みず整備を進めている事でも問題となっている。；であれば、即ち何を顧みて自分を卑しくし自分を小にしようかである。；そのときは親は子を顧みることが出来ず、子も親を顧みることが出来ない。；小崎さんの所謂る己れの欲する所は結果を顧みないで、出したのである。；それに家族を顧みないで生きているべき理由は少しもありません。；しかしそんな息子を全く顧みてくれない父親に不満を感じていた。；その頃活版も出現したが多数の活字が必要になるため顧みられなくなった。；昔、危険をものともしなかったと同じく、今はまた難苦を顧みなかった。；私は父が画家として私を顧みながら語つた幾つかの言葉を思ひ出す。；水に臨んだ広い楼上に登って、私は下りに下って来た鉄橋の遥を顧みた。；そして頭をめぐらしもせず、うしろを顧みもせずして、寝所にはいった。；そうして後から顧みると、それが自分の生涯の中で一番幸福な時期なのである。；しかし、彼はほとんど家庭を顧みなかったので、1906年妻と別れた。；誰からも、顧みられなかったけれども、信一郎の心には、自信があった。；誰からも、顧みられなかつたけれども、信一郎の心には、自信があつた。；人に見られて見苦しい様なこともせず、顧みて自ら疚しい様なこともせぬ。；父と同じように文学に精通していたが、藩政を顧みなかったとされる。</t>
        </is>
      </c>
      <c r="J1378">
        <f>HYPERLINK("https://www.weblio.jp/content/顧みる", "词义详情")</f>
        <v/>
      </c>
      <c r="K1378">
        <f>HYPERLINK("https://yourei.jp/顧みる", "查看例句")</f>
        <v/>
      </c>
    </row>
    <row r="1379">
      <c r="A1379" t="inlineStr">
        <is>
          <t>省みる</t>
        </is>
      </c>
      <c r="B1379" t="inlineStr">
        <is>
          <t>成功</t>
        </is>
      </c>
      <c r="C1379" t="inlineStr">
        <is>
          <t>読み方：かえりみる
［動マ上一］［文］［マ上一］《「顧みる」と同語源》自分のしたことを、もう一度考えてみる。反省する。「わが身を—・みて恥じる」</t>
        </is>
      </c>
      <c r="D1379" t="inlineStr">
        <is>
          <t>省みるべき(5%)；省みるなら</t>
        </is>
      </c>
      <c r="E1379" t="inlineStr">
        <is>
          <t>考える；振り返る；映す；反省する；顧みる</t>
        </is>
      </c>
      <c r="H1379" t="n">
        <v>29</v>
      </c>
      <c r="I1379" t="inlineStr">
        <is>
          <t>そして今の自分はあるいは堕落したのではなかろうかと省みさせられた。；だが省みられぬこれらの民器の方がいかに健康であり本格であろう。；この事件中の行動でただ一点だけ省みてこころよしとしない点があります。；不幸なことに彼らの研究はフランスでは省みられることはなかった。；我が身を省みてみれば、あんな映画を作りそうな暗い衝動が確かにある。；江戸時代に至り、駢儷文が否定されるようになると省みられなくなった。；自分の立場が悪くなるのも省みず、僕をかってくれていたのも、全て。；我々はただ、本書で詳細に証明されてきたことを省みるだけでよいのである。；いくら眼の前のものでも省みなければ教えてくれるわけがない。；自分自身のことを省みることをしていなかったということに気づきました。；少女は、この人間との関わりに再びウンザリし、と自分の行動を省みた。；今の生活が省みられるだけの強さがあの頃はあったようなり。；この間の呼吸を会得するには、自分自身を省みるだけで充分であろう。；省みて民謡を有たない生活に一抹の淋しさを思わないわけにはゆきませぬ。；われわれは普通内に省みて特別に「自己」なるものがあるように考えている。；この程度のことをいっても、自分で、と、省みてみたりする性だった。；自らしか省みず激しく主張するキリスト者の姿を浮き彫りにしたアリア。；彼の父親は元陸軍の兵士で、ほとんど家庭を省みなかったという。；だが、少しは自分たちのしたことを省みるがいいと私は言いたい。；自らを省みず、丸腰で、銃を持っているかもしれない相手に飛びかかる。；やがては自分の運命にも降りかかって来るのではないかと、私は自分のことを省みた。；しかしこれは省みられず、光和元年に鴻都門学が置かれる事になった。；そして女の方の部屋にはいる自分の姿勢がふと省みられた。；源氏は今更のように、身にしみて己の過ちを省みなければならぬのである。；これこそは省みられねばならぬ最初の問題でありましょう。；そんなことを思うと、わたしはやはり病身の自分が省みられてならなかった。；そして此にわたくしの自ら省みて認めざることを得ざる失錯が胚胎してゐる。；だから僕は身分不相應の尊敬に逢ふ毎に、自ら省みて慚愧の念を深くする。；だが多くの人々はこの道を省みないで、あたら二元界に止まってしまう。</t>
        </is>
      </c>
      <c r="J1379">
        <f>HYPERLINK("https://www.weblio.jp/content/省みる", "词义详情")</f>
        <v/>
      </c>
      <c r="K1379">
        <f>HYPERLINK("https://yourei.jp/省みる", "查看例句")</f>
        <v/>
      </c>
    </row>
    <row r="1380">
      <c r="A1380" t="inlineStr">
        <is>
          <t>変える</t>
        </is>
      </c>
      <c r="B1380" t="inlineStr">
        <is>
          <t>成功</t>
        </is>
      </c>
      <c r="C1380" t="inlineStr">
        <is>
          <t>読み方：かえる
［動ア下一］［文］か・ふ［ハ下二］
１物事を以前と違った状態・内容にする。変化させる。変更する。「姿を—・える」「顔色を—・える」「考えを—・える」「話題を—・える」「戦術を—・える」
２物の位置や場所を別の所に移す。また、別の期日・時間にする。変更する。「会場を—・える」「予定を—・える」
[補説]表記の使い分けについて→換える［補説］</t>
        </is>
      </c>
      <c r="D1380" t="inlineStr">
        <is>
          <t>変えることなく；変えるべき；変えるべく；変える可能性</t>
        </is>
      </c>
      <c r="E1380" t="inlineStr">
        <is>
          <t>なる；変更；変化；化する；改造</t>
        </is>
      </c>
      <c r="F1380" t="inlineStr">
        <is>
          <t>作り変える；移し変える</t>
        </is>
      </c>
      <c r="H1380" t="n">
        <v>29</v>
      </c>
      <c r="I1380" t="inlineStr">
        <is>
          <t>ただし、その人が本来やろうとしたことを勝手に変えることはできない。；したがって、ラムの種類を変えることでも味の調整を行うことができる。；普通の階段でも見た目をエスカレーター風に変えると同様の現象がでる。；針の位置を変えると、違う箇所や方向からの映像を得ることができる。；在籍メンバーや音楽性の変化に併せてバンド名の表記を変えることがある。；駒は移動方向を変えることもできるし、異なる複数の駒を進めてもよい。；ジュブナイルでもその作風は変えておらず、初期から注目を集めていた。；これには神々も驚き、動物に姿を変えてエジプトの方へと逃げてしまった。；旧扇状地の北西端で小さな新扇状地を作り、その後は北に向きを変える。；さきほどと同じように、挟んだ相手の色の石を裏返して自分の色に変える。；とくにデムーロは短期騎手免許制度の一部を変えるような活躍を見せた。；この改訂は表示だけのもので、名前の発音まで変えるものではなかった。；一体画家が描いた絵の中の色を変えろなどと言う客がいるだろうか。；ただし、海底の砂泥の色に合わせて体色をある程度変えることもできる。；最終的に、この測定は観測された粒子の状態を以前とは変えてしまう。；人事異動は、組織の中で職員の配置・地位や勤務状態を変えることである。；作品ごとにスタッフを変えるのではなく、ずっと同じスタッフと仕事をする。；色々と注文をつけられる場合は、大抵言われる通りにデザインを変える。；しかしながらイタリア人以外の研究者は懐疑的な見方を変えてはいない。；ただし変身には全身の細胞を作り変えるため、ある程度の時間を要する。；その後2つの路線はそれぞれ北と西とに進路を変え、当市内を横断する。；この等級は基本的な考え方を変えることなく現代でも使われている。；結婚時に妻は結婚前の姓をそのまま用いることも、夫の姓に変えることも可能。；こうなると、いくら大人に考え方を変えろと言ってもそれは不可能に近い。；その技法は形を変えつつも途絶えることなく以降の現代へ続いている。；以前は完全なトーナメントだったが、2003年から一部方式を変えた。；なお、名前を変える際はシルバードも含めて同じ名前にする事はできない。；ピアノ以外にもチェンバロなどに音色を変えて演奏する事も多かった。；キャラクターの耐性は防具の装備や魔法などの手段で変えることもできる。</t>
        </is>
      </c>
      <c r="J1380">
        <f>HYPERLINK("https://www.weblio.jp/content/変える", "词义详情")</f>
        <v/>
      </c>
      <c r="K1380">
        <f>HYPERLINK("https://yourei.jp/変える", "查看例句")</f>
        <v/>
      </c>
    </row>
    <row r="1381">
      <c r="A1381" t="inlineStr">
        <is>
          <t>代える</t>
        </is>
      </c>
      <c r="B1381" t="inlineStr">
        <is>
          <t>成功</t>
        </is>
      </c>
      <c r="C1381" t="inlineStr">
        <is>
          <t>読み方：かえる
［動ア下一］［文］か・ふ［ハ下二］
１（換える・替える）相手に与える代わりに、相手のものを自分のものとする。等しいもの、同種のものを他とやりとりする。交換する。「円をドルに—・える」「現金に—・える」「小銭に—・える」
２（代える）あるものに他のものと同じ役割をさせる。「書面をもって挨拶に—・えさせていただきます」
３（換える・替える）今まで使っていたものを別のものにする。古くなったものを新しいものにする。「畳の表を—・える」「かみそりの刃を—・える」
４（代える）飲食物のおかわりをする。「御飯を—・えてください」
５（「…に替える」の形で）…を犠牲にする。…と引きかえにする。「命に—・えて子供を守る」
６（動詞の連用形に付いて）今までしていたのをやめて、新たに同じことを行う。「乗り—・える」「着—・える」「張り—・える」
[補説]室町時代以降はヤ行にも活用した。→換ゆ表記は、次の観点で使い分けることが多い。換える…物と物をとりかえる。「小切手を現金に換える」替える…新しいものにする。「かみそりの刃を替える」代える…別のものに同じ役割をさせる。「書面をもって挨拶に代える」変える…以前と違ったものにする。「話題を変える」
[下接句]命に替える・色を替え品を替える・裘葛(きゅうかつ)を易(か)える・背に腹はかえられない・手を替え品を替え</t>
        </is>
      </c>
      <c r="D1381" t="inlineStr">
        <is>
          <t>代えるべき</t>
        </is>
      </c>
      <c r="E1381" t="inlineStr">
        <is>
          <t>交換；転換；交代；変換；スイッチ</t>
        </is>
      </c>
      <c r="F1381" t="inlineStr">
        <is>
          <t>置き代える；もって代える；着代える</t>
        </is>
      </c>
      <c r="H1381" t="n">
        <v>29</v>
      </c>
      <c r="I1381" t="inlineStr">
        <is>
          <t>したがって当然私自身は意見に代えるものを提出もしていませんでした。；だが、自分の血をガソリンに代えるだけだと考えると少し気が楽になった。；それはただ一つの権力に代えるに他の権力をもってすることにすぎないではないか。；誰もアップさせないところを見ると、俺を代えるつもりはないらしい。；つまり子を持たぬ人が著書を残して子孫に代えることである。；そして従来の多少の革命的の部分を科学的に代えるのだね。；続いて少女に促され、不幸を振り代える儀式を受けることとなった。；一鼠に代えるに何人をもってするともたいしてさしつかえはありません。；そこで何とかしようと思うと、また監督を代えるしかないんだ。；人類はすでにそれを、他の何ものかに置き代える要求を感じはじめているのです。；少なくともこのゲームに限っては、監督は俺を代えることはできなくなったわけだ。；織次は小児心にも、その絵を売って金子に代えるのである、と思った。；今、ここであんたと立場を入れ代えることだって出来るんだ!；わたしは反対の思いを持って来ることができないまでも、ちがった思いでそれに代える。；別にコンサートをするわけではないのだから急いで代える必要はないのだけれど、音がへたっていたので気になっていたのだ。；その次のアローワンスで2着になった後で鞍上をパット・デイに代える。；キリストの理想を外面的規定に代えることは出来もしないし、またなすべきことでもない。；自分の労力・技芸等を以て食物に代える者も、みな乞食なのであります。；何にも代えることのできない唯一で大切な時間。；しかし頭脳の働きは、頭脳以外の何物をもってしても代えることができない。；彼は東條を代える必要はない、と岡田や近衛の動きを無視していた。；だから空間を之等のものに帰着させることは、空間の性格を他のものの性格で置き代えることである。；料理場は口を引結んで弾丸を矢継ぎ早やに詰め代える塹壕の光景になった。；監督を2回代えるなど迷走したアトレティコは2度目の降格が決定した。；ミッキー・ロークが気に入らないんなら、あなたの写真と入れ代えるわよ。；ふざけたことにイヴァンは、軽く左手を上げただけで挨拶に代える。；たくさんの手と眼による作業の反復をもって、精度に代える必要があります。；マークは、オーストラリアからの客に面会するときは下着を代える習慣だとかね。；兄貴の財布をいただいてと、そして有り金残らず酒に代えるとしようか!</t>
        </is>
      </c>
      <c r="J1381">
        <f>HYPERLINK("https://www.weblio.jp/content/代える", "词义详情")</f>
        <v/>
      </c>
      <c r="K1381">
        <f>HYPERLINK("https://yourei.jp/代える", "查看例句")</f>
        <v/>
      </c>
    </row>
    <row r="1382">
      <c r="A1382" t="inlineStr">
        <is>
          <t>返る</t>
        </is>
      </c>
      <c r="B1382" t="inlineStr">
        <is>
          <t>成功</t>
        </is>
      </c>
      <c r="C1382" t="inlineStr">
        <is>
          <t>読み方：かえる
［動ラ五（四）］
１表であったものが裏になったり、上であったものが下になったりして、ものの向き・位置が反対になる。裏がえる。ひるがえる。ひっくりかえる。「裾が—・る」「軍配が—・る」「漢文を下から—・って読む」
２（返る）一度変化したものが、前やもとの状態になる。「童心に—・る」「正気に—・る」
３（返る）一度手を離れた物が手元に戻る。もとの所有者に戻る。「忘れ物が—・る」「投資した金が倍になって—・ってくる」
４（返る）こちらからの働きかけに対して、相手が反応する。「返事が—・ってくる」
５年月・季節が一巡して再びその時になる。年が改まる。
「その年も—・りぬ」〈更級〉
６染めた色がさめる。色があせる。
「はな（＝ハナダ色）も—・り濡れなどしたる薄色の宿直物(とのゐもの)を着て」〈枕・二〇〇〉
７動詞の連用形に付く。
㋐すっかり…する、ひどく…する意を表す。「静まり—・る」「あきれ—・る」「むせ—・る」
㋑繰り返し…する意を表す。
「ぬばたまの夜を長みかもわが背子が夢(いめ)に夢にし見え—・るらむ」〈万・二八九〇〉
[可能]かえれる
[下接句] 己に克(か)ち礼に復(かえ)る・愚に返る・年返る・覆水盆に返らず・我に返る</t>
        </is>
      </c>
      <c r="D1382" t="inlineStr">
        <is>
          <t>返るような騒ぎ；返るような騒動；返るような賑わい；返るやうな騷</t>
        </is>
      </c>
      <c r="E1382" t="inlineStr">
        <is>
          <t>復帰；帰る；戻る；帰って来る；引き返す</t>
        </is>
      </c>
      <c r="F1382" t="inlineStr">
        <is>
          <t>振返る；引っくり返る；湧き返る；あふれ返る；溢れ返る</t>
        </is>
      </c>
      <c r="H1382" t="n">
        <v>29</v>
      </c>
      <c r="I1382" t="inlineStr">
        <is>
          <t>しばらくしてふり返ってみると、私の後から大勢の人がついてきていた。；後ろから誰かが呼ぶ声が聞こえたような気もしたが、ふり返らなかった。；それからまた考えに沈んだ姿勢に返って、もうじっとして動かなかった。；そして初めからも一度ふり返ってみて新たに出発しなければいけないのだ。；勿論次の瞬間には僧侶らしい強い意志の力で顔色を元へ返えしはしたが。；代助の方から神保町の宿を訪ねた事が二返あるが、一度は留守であつた。；原稿の箱を持ち返ろうとすると、今度はとても一人ではかつげなかった。；今ふり返れば星野がベランダからこっちをじっと見ていそうな気がした。；わたしが英語で言い返えせへんかったからええ気になってしもてからに。；最初は留守だと思ったが、二返目には病気で寝ているという事が知れた。；振返ると中学の教師が何か興奮しきって、彼を手招いてゐるのであった。；振返ると、母が雨戸を手にしながらこちらに顔を向けている姿がみえた。；ふり返りはしなかったが、じっとうしろから見られているような気がした。；女はじっとしていて、彼の髪をそっとなで、ゆっくり彼を我に返らせた。；ほかの三人がうしろからついて来るのは、ふり返らなくてもわかっていた。；往つたり返つたりしたのに草臥れたらしく、主人は老人に暇を取らせた。；夜になって、彼は初めて我に返ったように、試験答案の調べにかかった。；そこで、厳重に護衛されて建物を出て、みんなホテルに送り返えされた。；神の庭山にある返魂樹より作られる霊香、めったなことでは手にできぬ。；彼女はタバコを口にくわえると、あとをふり返りもせず店を出ていった。；女はそうして扉を開けてから揮り返って、男の来るのを待つようにした。；しかし彼に直接話しかけて、答えが返ってくることはほとんど無かった。；私は金を返えしに来たような風をして彼に会い、隙を見て刺殺します。；でも、すぐに我に返ると、これがきっとあの人たちだな、と思いました。；私たちの耳に届いたのはほんの少しで、その後はすぐ元の静寂に返った。；学校へ置いて来たらといわれても、いつも往き返りに背負っていました。；小学校の校門のところでふり返ると、今里はまだ玄関の前に立っていた。；忘れていたわたしは、次の日間違いなく女に伝えると、女は返詩を送った。；私か船長かが我に返ったようになるまでにはしばらく間があった。</t>
        </is>
      </c>
      <c r="J1382">
        <f>HYPERLINK("https://www.weblio.jp/content/返る", "词义详情")</f>
        <v/>
      </c>
      <c r="K1382">
        <f>HYPERLINK("https://yourei.jp/返る", "查看例句")</f>
        <v/>
      </c>
    </row>
    <row r="1383">
      <c r="A1383" t="inlineStr">
        <is>
          <t>帰る</t>
        </is>
      </c>
      <c r="B1383" t="inlineStr">
        <is>
          <t>成功</t>
        </is>
      </c>
      <c r="C1383" t="inlineStr">
        <is>
          <t>読み方：かえる
［動ラ五（四）］《「返る」と同語源》
１自分の家や、もといた場所に戻る。「郷里へ—・る」「まもなく—・ってくる」
２今いる場所を離れて去る。「客が—・る」
３野球で、走者が本塁を踏んで得点になる。「ヒットでランナーが—・る」
→戻(もど)る［用法］
[可能]かえれる</t>
        </is>
      </c>
      <c r="D1383" t="inlineStr">
        <is>
          <t>帰るべき；帰る道すがら；帰るまい；帰るべく；帰るところです</t>
        </is>
      </c>
      <c r="E1383" t="inlineStr">
        <is>
          <t>復帰；帰国；戻る；帰還；帰宅</t>
        </is>
      </c>
      <c r="F1383" t="inlineStr">
        <is>
          <t>連れて帰る；もう帰る；歩いて帰る；早く帰る；買って帰る</t>
        </is>
      </c>
      <c r="H1383" t="n">
        <v>29</v>
      </c>
      <c r="I1383" t="inlineStr">
        <is>
          <t>しかし、彼が弁護士の資格を取ったのはロシアへ帰るのと同時期だった。；母に連れられて演劇を見た帰りにカメラマンから声をかけられたという。；そしてしっかり勉強して来年入段できなかったら韓国に帰ると約束した。；元の世界に帰る術を失ってしまった主人公が身を寄せている場所でもある。；また同じように飛行機の故障だといって逃げて帰ってくるに違いない!；おれを奴隷にするためにやつらの国へ連れて帰ろうとしていたんだが。；あなただって好ちゃんが帰れば着せてやりたいとお思いになるでしょう?；いま都からこの年の暮れにもお帰りにならないと知らせがまいりました。；物語は、彼が結局アメリカに帰るための金を手にしたところで終わる。；当選がきまったら「これでお二人とも安心だね」と言って帰ったそうだ。；かつて存在した光と闇の精霊たちは、元素の世界へと帰ることを決めた。；周回を終えた選手はスタジアムへ帰りゴールを迎えるコース設定となる。；上官は新しい指示がないので群衆を帰らせた方がいいとの返事であった。；自宅に帰ると三上から「愛しているからやらせろ」と何度も電話が入る。；抽選が終わって人々が帰り始めた頃、散歩していた件の男が通りかかる。；彼女は眠っていたが、ゾルグは看護婦からもう家に帰るように言われる。；藩主の座から追われた松平定敬は国許には帰らず箱館まで戦争を続けた。；ここから、母親のそばまではもう帰れない程遠いのではないかと思った。；叔父が帰ると、すぐにまた祖母がやって来て叔母に一緒に帰れといった。；叔父が帰ると、すぐにまた祖母がやって来て叔母に一緒に帰れと言った。；そして子供らしい恐怖に打たれて、なんでも家の方へ帰ろうと言出した。；これによってギンヅブルク家の者がロシアに帰ることは不可能になった。；で彼は、もう二三日航海して海岸線が北に向かなければ帰ろうと答えた。；すべてが終わった旅の帰り、ダーニクの子供を妊娠していることが判明。；だから帰れば家でも毎日を冗談と笑い話で暮しているようなものである。；さらにミナス・ティリスへ帰るために同じ道を行くボロミアも選ばれた。；清はおしんに礼を言い、竜三の骨を一片胸に抱いて佐賀へ帰っていった。；ところが明里が熱を出したため帰れなくなり、母の知るところとなった。；その中の1人は夜にだけ人間に戻って家に帰ることを許されました。</t>
        </is>
      </c>
      <c r="J1383">
        <f>HYPERLINK("https://www.weblio.jp/content/帰る", "词义详情")</f>
        <v/>
      </c>
      <c r="K1383">
        <f>HYPERLINK("https://yourei.jp/帰る", "查看例句")</f>
        <v/>
      </c>
    </row>
    <row r="1384">
      <c r="A1384" t="inlineStr">
        <is>
          <t>換える</t>
        </is>
      </c>
      <c r="B1384" t="inlineStr">
        <is>
          <t>成功</t>
        </is>
      </c>
      <c r="C1384" t="inlineStr">
        <is>
          <t>読み方：かえる
［動ア下一］［文］か・ふ［ハ下二］
１（換える・替える）相手に与える代わりに、相手のものを自分のものとする。等しいもの、同種のものを他とやりとりする。交換する。「円をドルに—・える」「現金に—・える」「小銭に—・える」
２（代える）あるものに他のものと同じ役割をさせる。「書面をもって挨拶に—・えさせていただきます」
３（換える・替える）今まで使っていたものを別のものにする。古くなったものを新しいものにする。「畳の表を—・える」「かみそりの刃を—・える」
４（代える）飲食物のおかわりをする。「御飯を—・えてください」
５（「…に替える」の形で）…を犠牲にする。…と引きかえにする。「命に—・えて子供を守る」
６（動詞の連用形に付いて）今までしていたのをやめて、新たに同じことを行う。「乗り—・える」「着—・える」「張り—・える」
[補説]室町時代以降はヤ行にも活用した。→換ゆ表記は、次の観点で使い分けることが多い。換える…物と物をとりかえる。「小切手を現金に換える」替える…新しいものにする。「かみそりの刃を替える」代える…別のものに同じ役割をさせる。「書面をもって挨拶に代える」変える…以前と違ったものにする。「話題を変える」
[下接句]命に替える・色を替え品を替える・裘葛(きゅうかつ)を易(か)える・背に腹はかえられない・手を替え品を替え</t>
        </is>
      </c>
      <c r="D1384" t="inlineStr">
        <is>
          <t>換えるなら；換えるべき</t>
        </is>
      </c>
      <c r="E1384" t="inlineStr">
        <is>
          <t>変更；変化；交換；改造；動く</t>
        </is>
      </c>
      <c r="F1384" t="inlineStr">
        <is>
          <t>組み換える；云い換える；いい換える；載せ換える；移し換える</t>
        </is>
      </c>
      <c r="H1384" t="n">
        <v>29</v>
      </c>
      <c r="I1384" t="inlineStr">
        <is>
          <t>わたくしは着物に着換えるために二階の自分の部屋へ上って行きました。；家にあった正体不明な品をいくばくかの金に換えるつもりで来たのよ。；いい換えると人間の住む場所が非常に限られていたということがあります。；決して他のものではとり換えることのできないものだけがソネには残った。；商人の中には家族の不幸すら金に換える連中がごろごろいるのだから。；ハイデガーの言葉をわたしたちは次のように読み換えることができる。；不必要な写真は鬼太郎に買い取ってもらうことでお金に換えることが可能。；暗い部屋に入って電燈を点け、まず表に向った窓を明放って空気を換える。；彼女が第一に見せた心づくしは、ぼくの傷の包帯を換えることだった。；彼の来られる前、何とか今の状態を換えることは出来ないだろうか。；フランス貨を英貨に換えるご依頼をうけますのは比較的珍しいことですので。；彼の用件はむろん、その記録を金に換えることのほかにはなかった。；城下に入って持って来た物を金に換えると、宗吉はおはつに会いに行った。；着換えるためにはボストンバッグか何か荷物がなければならない。；つまり、これこそが光を視覚細胞の昂奮に換える引き金、視物質なんだ。；多分、どこかであのバルトアンデルスの剣を金に換えるつもりなんでしょう。；ごらんのとおり、私たちはなにもそのお薬に換えるほどのものを持っていません。；自分の部屋へ行って不断着に着換えるのさえ、彼女はもどかしかった。；しかしこれ程に西洋化した日本人も真底の本性を換える事は出来ない。；この島の広軌改築計画は、泥くさくいい換えると、次のようにもいえた。；みんなは話に気を取られて浴衣を着換えるのを忘れていた。；この間、ユセフが頻繁に座席を換える光景を客室乗務員に目撃されている。；書いたものを金に換える段になって、彼は大した困難にも遭遇せずに済んだ。；「部屋番号の表示をすり換えるのは簡単にできたでしょう」六人部は言う。；だが、射撃位置を換えるためには、車体の側面を敵に晒すことになる。；着換えるとき、これみよがしにした、刺青を意識していたのかもしれない。；市に出して、物と換えることもでき、質に入れることもできた。；そんなに頻繁に空気を換えるのが絶対に必要だったからというより、健康を維持する必要のためでした。；この女は、他人が組んだコードを一瞬にして組み換えることができるのである。</t>
        </is>
      </c>
      <c r="J1384">
        <f>HYPERLINK("https://www.weblio.jp/content/換える", "词义详情")</f>
        <v/>
      </c>
      <c r="K1384">
        <f>HYPERLINK("https://yourei.jp/換える", "查看例句")</f>
        <v/>
      </c>
    </row>
    <row r="1385">
      <c r="A1385" t="inlineStr">
        <is>
          <t>顔</t>
        </is>
      </c>
      <c r="B1385" t="inlineStr">
        <is>
          <t>成功</t>
        </is>
      </c>
      <c r="C1385" t="inlineStr">
        <is>
          <t>読み方：かお
［名］
１頭部の前面。目・口・鼻などのある部分。つら。おもて。「毎朝—を洗う」
２かおかたち。かおだち。容貌(ようぼう)。「彫りの深い—」
３表情。かおつき。「浮かぬ—」「涼しい—をする」
４列座する予定の人。かおぶれ。成員。「常連が—をそろえる」
５社会に対する体面・名誉。「—をつぶされる」「合わせる—がない」
６一定の社会・地域における知名度、勢力。「あの店では、なかなかの—だ」
７ある組織や集団を代表するもの。また、目立つ部分。「首相は日本の—だ」
８物の表面。姿。「月が山の端に—をのぞかせる」
［接尾］（多く「がお」の形で）動詞の連用形などに付いて、そのような表情、またはそのようなようすであることの意を表す。「心得—」「したり—」「人待ち—」「得たり—」</t>
        </is>
      </c>
      <c r="D1385" t="inlineStr">
        <is>
          <t>顔写真；顔を赤く；顔をじっと；顔を出さ；顔を見あわ</t>
        </is>
      </c>
      <c r="E1385" t="inlineStr">
        <is>
          <t>姿；面；表情；表；表面</t>
        </is>
      </c>
      <c r="F1385" t="inlineStr">
        <is>
          <t>美しい顔；どんな顔；青い顔；顔見合はせ；顔馴じみ</t>
        </is>
      </c>
      <c r="G1385" t="inlineStr">
        <is>
          <t>顔つき；顔面；顔立ち；顔見知り；顔ぶれ</t>
        </is>
      </c>
      <c r="H1385" t="n">
        <v>29</v>
      </c>
      <c r="I1385" t="inlineStr">
        <is>
          <t>これは顔を鳥や魚につつかれないようにするためだったとみられている。；そこには彼の顔も知らない博物館の守衛の子供がひとりいるだけだった。；ここの王子の顔は建立者のスーリヤヴァルマン2世を模しているという。；下は顎の先端から上は頭髪の生え際まで、左右は耳までがほぼ顔である。；電報を読んだ彼の顔は青ざめ、しばらく考えこんだ様子であったという。；受賞を実感したのは翌日の新聞で自分の顔を見てからと語っている。；眼鏡を取った顔は非常に小さい目をしており、この点は母親似である。；初代作では顔だけの登場だったが、後の作品ではほぼ全身で登場する。；例えば日本人は頬骨やあご骨が発達していない顔を美人とする傾向がある。；その後もスポンサーのPR活動に協力してグランプリに顔を出している。；この交易は神秘的な人々と商人がお互いの顔を見ることなく行われる。；それぞれの必須の祈りの前には、手と顔の洗浄を行わなければならない。；教室には、家族を失望させない程度に定期的に顔を出す程度であった。；パジャマ姿で部屋から出てくると、バットを持ったまま顔を洗いに行く。；場合によっては童子の顔と翼だけで身体を持たない姿に描かれることもある。；干拓事業は結果が出るまで長い年月を要するため、清は良い顔をしない。；負傷者はいずれも顔や手を負傷しており、最終的に13名が死亡した。；優勝当時の写真があったら、そこから主人の顔を消してください。；二人がタイトル戦の舞台で顔を合わせたのは、これが最後となった。；また、顔部に奇形や罹病跡をもつ人物のドローイングも多数描いている。；アニメでは、父親の顔や形が統一されていなかった時期がある。；顔の形は耳からの長い飾り毛の為に横に広がって見える。；その一方、レースではスピンや接触など粗さが顔を出すこともあった。；キリストの顔や手などには未完成と思われる部分もある。；また熊本や周辺の県などのイベントにも頻繁に顔を出している。；秘書官によれば双方の顔が見える距離まで接近していたという。；しかしその時一閃の稲妻が頭上を走り、自分が斬った者の顔を照らした。；その場に居た者は皆顔を上げられなかったといわれる。；メディアには顔を出さないので、本人を知っている人は少ない。</t>
        </is>
      </c>
      <c r="J1385">
        <f>HYPERLINK("https://www.weblio.jp/content/顔", "词义详情")</f>
        <v/>
      </c>
      <c r="K1385">
        <f>HYPERLINK("https://yourei.jp/顔", "查看例句")</f>
        <v/>
      </c>
    </row>
    <row r="1386">
      <c r="A1386" t="inlineStr">
        <is>
          <t>顔色</t>
        </is>
      </c>
      <c r="B1386" t="inlineStr">
        <is>
          <t>成功</t>
        </is>
      </c>
      <c r="C1386" t="inlineStr">
        <is>
          <t>読み方：かおいろ
１顔の表面の色。血色。「—が悪い」
２感情の動きの表れた顔のようす。顔つき。機嫌。「上役の—をうかがう」「—を見る」</t>
        </is>
      </c>
      <c r="D1386" t="inlineStr">
        <is>
          <t>顔色ひとつ；顔色一つ変え；顔色変え；顔色蒼白；顔色悪い</t>
        </is>
      </c>
      <c r="E1386" t="inlineStr">
        <is>
          <t>顔；姿；面；表情；形状</t>
        </is>
      </c>
      <c r="F1386" t="inlineStr">
        <is>
          <t>蒼白な顔色；ひどく顔色；さすがに顔色；蒼白い顔色；顔色ひとつ変え</t>
        </is>
      </c>
      <c r="H1386" t="n">
        <v>29</v>
      </c>
      <c r="I1386" t="inlineStr">
        <is>
          <t>彼の喜びに輝いている顔色はなにごとかを発見してきたのに違いない。；六人の前甲板の水夫の中の一人も大地主と同じくらいの顔色をしていた。；私はなお注意して窺うと、兄も妹もその顔色が先日よりも更によくない。；勿論次の瞬間には僧侶らしい強い意志の力で顔色を元へ返えしはしたが。；空は陰って来る、雷は鳴って来る、母の顔色はだんだん悪くなって来る。；よく注意すると、昼間から酒を飲んだとみえて、いい顔色をしていました。；両親は医者の顔色ばかり眺め、彼の眉一つの動きにも胸をドキリとさせた。；ボートルレはその停車場で新聞を見て、驚きの余りさっと顔色を変えた。；さすがの節子もこの話を聞いた時は何時になく彼女の顔色を変えた。；再び旧の暗い顔色に帰って、懐疑的な錯乱したような影が往来を始めた。；それにしては顔色の変りやうが仰山であるし、恐怖の色がたゞ事でない。；それを聞いていたハバノフの顔色が、緊張のために紙のように白くなった。；この次郎がいつになく顔色を変えて、私のところへやって来たことがある。；自分の顔色で病人がすべてを読んでしまつたら、もうそれまでだと思つた。；浮浪少年にしては、顔色がよく、まるでリンゴのような頬をしています。；それでも動いたり顔色を変へたりしてはいけないと思ひました。；それらの人々はいずれも心痛げな顔色を見せていないではなかった。；親の顔色を見て、口にそうとは言わなくともさえない顔色して自然元気がない。；その顔色には無関心が少し意地悪そうな表情を装っているに過ぎない。；僕の顔色を早くも見てとったか、このとき速水は僕の前に直立していった。；あの娘はまるで石地蔵みたいで、顔色が死神のように真蒼なんですもの。；私がY新聞内と書きかけたら、太宰さんは顔色を曇らせたように見えた。；その顔色も母とおなじように青ざめているのが、七兵衛の注意をひいた。；彼らしくもなく、当座は父や伯父の顔いろがつい見られてならなかった。；ただ顔色は二、三日前から、白っぽくむくんでいるような感じだったね。；しかし従来から病人であるためか顔色が悪く、眼の中が澱んでいたという。；五十前後の頭を剃りたての住職は、顔色を変えて走りだしてきました。；従僕たちの顔色から、わたしは何かしら変ったことが起きたなと察した。；顔色や地域がどうあれ、私はそう言う人に燃え尽くす火を与えることだろう。</t>
        </is>
      </c>
      <c r="J1386">
        <f>HYPERLINK("https://www.weblio.jp/content/顔色", "词义详情")</f>
        <v/>
      </c>
      <c r="K1386">
        <f>HYPERLINK("https://yourei.jp/顔色", "查看例句")</f>
        <v/>
      </c>
    </row>
    <row r="1387">
      <c r="A1387" t="inlineStr">
        <is>
          <t>家屋</t>
        </is>
      </c>
      <c r="B1387" t="inlineStr">
        <is>
          <t>成功</t>
        </is>
      </c>
      <c r="C1387" t="inlineStr">
        <is>
          <t>読み方：かおく
人が住むための建物。いえ。
[補説]地方税法では、住家・店舗・工場・倉庫その他の建物をいう。</t>
        </is>
      </c>
      <c r="D1387" t="inlineStr">
        <is>
          <t>家屋敷(6%)；家屋内；家屋倒壊；家屋被害；家屋全壊</t>
        </is>
      </c>
      <c r="E1387" t="inlineStr">
        <is>
          <t>家；室；建物；屋；館</t>
        </is>
      </c>
      <c r="F1387" t="inlineStr">
        <is>
          <t>土地家屋；古い家屋；伝統的な家屋；独立家屋；伝統家屋</t>
        </is>
      </c>
      <c r="G1387" t="inlineStr">
        <is>
          <t>家屋雑考；家屋番号；家屋疎開；家屋大工</t>
        </is>
      </c>
      <c r="H1387" t="n">
        <v>29</v>
      </c>
      <c r="I1387" t="inlineStr">
        <is>
          <t>大部分両側に道があり少し土地が高い家屋の列以外ほとんど痕跡はない。；家屋内には、人以外にも多くの生物が出現し、様々な生活を行っている。；日本では木材の入手が比較的容易であったため家屋は木造が主であった。；家屋の立っている敷地、または家屋などを含めた敷地全体を屋敷という。；彼はロンドンの家屋不法占拠などで知られるようになった人物である。；初期の住居は竪穴建物であったが、やがて柱や壁を建てた家屋が出現した。；また工場、煉瓦家屋、木造住居の順に被害が大きくなる傾向が見られた。；家屋は通常のものとし、大名、大店などはほぼ一階級強いものと考える。；西洋の石垣は屋壁を築くための家屋建築の石積みにならった技術である。；地区内には公園道路や街路が整備され、歴史的な家屋が建ち並んでいる。；今では珍しくなった茅葺き屋根の家屋がここには数多く残っている。；建設にあたっては、右岸側で家屋の移転や裁判所用地の変更が行われた。；家屋の設計、旅行プランなど、様々な分野で使用されている用語でもある。；結果この地域には家屋が少なくなり住民の多くは南部に避難した。；この場合、その土地や家屋を所有する自治体や個人に使用許可を取る必要がある。；新宮殿時代に至ると都市とは別にヴィラと呼ばれる孤立家屋が普及し始める。；なお、この住民協約は土地の分筆制限や家屋建築上の制限も含まれている。；前後して大塚をはじめ家屋資金局のメンバーが次々と逮捕される。；この頃から籠や壺形の甕棺を用い、個人別に家屋の地下に埋葬された。；家屋はいわばそうした家族のための器と考えることが出来る。；付近で最初の家屋は、海から遠く離れた高い土地に建てられた。；その出現の理由も家屋の利用の方法も様々なものがある。；江戸時代には家屋や蔵などが土地から分離して売買や貸借の対象となっていった。；また家屋などを造るとなれば、建築・左官の知識・技術・道具も必要となる。；主屋は大坂夏の陣で焼失後、間もなく再建された歴史ある家屋である。；そして被害家屋から金品を略奪するなどの狼藉を働いたあと解散した。；東京都の調査では、調査した400軒中、全ての家屋で発見された。；南端近くに両側に道のある家屋の列があり、土手跡である事を示す。；強風にあおられた炎が、ほぼ完全に藁葺きであった家屋に燃え広がった。</t>
        </is>
      </c>
      <c r="J1387">
        <f>HYPERLINK("https://www.weblio.jp/content/家屋", "词义详情")</f>
        <v/>
      </c>
      <c r="K1387">
        <f>HYPERLINK("https://yourei.jp/家屋", "查看例句")</f>
        <v/>
      </c>
    </row>
    <row r="1388">
      <c r="A1388" t="inlineStr">
        <is>
          <t>顔立ち</t>
        </is>
      </c>
      <c r="B1388" t="inlineStr">
        <is>
          <t>成功</t>
        </is>
      </c>
      <c r="C1388" t="inlineStr">
        <is>
          <t>読み方：かおだち
顔全体の形。顔のつくり。目鼻立ち。「端正な—」</t>
        </is>
      </c>
      <c r="D1388" t="inlineStr">
        <is>
          <t>顔立ちそのもの</t>
        </is>
      </c>
      <c r="E1388" t="inlineStr">
        <is>
          <t>フィーチャー；面相；目鼻立ち；フィーチュア；フィーチャ</t>
        </is>
      </c>
      <c r="F1388" t="inlineStr">
        <is>
          <t>深い顔立ち；端整な顔立ち；美しい顔立ち；精悍な顔立ち；平凡な顔立ち</t>
        </is>
      </c>
      <c r="H1388" t="n">
        <v>29</v>
      </c>
      <c r="I1388" t="inlineStr">
        <is>
          <t>ドアの把手を握っていたのは背の高い髪の黒い派手な顔立ちの女だった。；英子さんの方が顔立ちは美しいが、あのひとの方が心は美しいと思うな。；相貌は類義を持つほか人の顔立ちに限らず物事の様子を指す場合もある。；家族はまた彼女の特徴的な顔立ちが彼女の母のものと類似していると主張する。；いわゆる美男子ではないが、よく陽灼けした健康的な顔立ちをしていた。；チョ・ウジンは同じ俳優のと顔立ちが似ているため間違えることがある。；手前の女性は上半身を伸ばし、その顔立ちは様式的で簡略化されている。；老紳士とは似てもつかぬ整った顔立ちの、非常に色の白い青年である。；ミリアムは一人の金髪の、どこか人の目を惹く顔立ちの女と歩いていた。；顔立ちというような固定したもので、顔の全印象は出来ていないのね。；同じ表情をしていると、姉妹の顔立ちは不思議なほどよく似ていた。；その顔立は、たしかに何処かで最近見たような気がするのであった。；ごく普通の人間のように見え、ほとんどが立派な顔立ちをしていた。；ただ顔立ちに似気なく厚肉の唇は生の情慾に燃え血を塗ったようだった。；大人びた顔立ちの彼女だが、笑うとあどけない少女のような表情になる。；登場人物の一部は非常に漫画的な表現が成された顔立ちをしている。；もうすこしで美人と言っていい顔立ちの、おっとりした表情の女性だった。；そして彼女の冷たく美しい顔立ちは、謎を常に補強する機能を果たした。；そのあまりに完全な立派さが却って悲運を想わせるような顔立ちでした。；エルフにだって、彼女ほど美しい顔立ちをした者はなかなかいないだろう。；直ぐ眉の下に見えたから、何となく顔立ちの面長らしいのも想像された。；最初のころのような快活さはもはやほんの稀にしかこの顔立ちは示さなかった。；少女と呼んでも通用する幼い顔立ちに、大人びた涼しげな瞳が印象的だ。；彼が手にした燭台の炎が、端整な顔立ちを明るく浮かび上がらせている。；すると中から、見事なまでに知的で端整な顔立ちをした男の写真が現れた。；地の顔立ちは今と同じだし、右耳から見たところじゃ彼特有の形をしてる。；どこにでも見かけられる別にこれといった特徴のない至極平凡な顔立ち。；エキゾチックな顔立をした上背のある女とは、君以外にない筈ではないか。；彼女の顔は晴れても曇っても品位を失わない顔立だ、調って正確な顔だ。</t>
        </is>
      </c>
      <c r="J1388">
        <f>HYPERLINK("https://www.weblio.jp/content/顔立ち", "词义详情")</f>
        <v/>
      </c>
      <c r="K1388">
        <f>HYPERLINK("https://yourei.jp/顔立ち", "查看例句")</f>
        <v/>
      </c>
    </row>
    <row r="1389">
      <c r="A1389" t="inlineStr">
        <is>
          <t>顔付き</t>
        </is>
      </c>
      <c r="B1389" t="inlineStr">
        <is>
          <t>成功</t>
        </is>
      </c>
      <c r="C1389" t="inlineStr">
        <is>
          <t>読み方：かおつき
１顔のようす。顔だち。容貌(ようぼう)。
２気持ちを表す顔のようす。表情。「物欲しげな—をする」</t>
        </is>
      </c>
      <c r="D1389" t="inlineStr">
        <is>
          <t>顔；姿；面；表情；形状</t>
        </is>
      </c>
      <c r="F1389" t="inlineStr">
        <is>
          <t>神妙な顔付き；真面目な顔付き；厳しい顔付き；不機嫌な顔付き</t>
        </is>
      </c>
      <c r="H1389" t="n">
        <v>29</v>
      </c>
      <c r="I1389" t="inlineStr">
        <is>
          <t>どう見ても猿の姿ではあったが、その顔付きだけは明らかに人間だった。；なんだか母親を不安にさせるようなものが彼の顔付きに現われていた。；しかしあの時は、皆おなじような顔付きをしていたのかも知れないのだが。；彼らは、たしかにおやじの頭が変なのではないかという顔付をしていた。；彼の顔付きにも態度にも、少しも信頼や尊敬を覚えさせるものがなかった。；読み終えて彼は、何か言う事があるか、といった顔付きで私たちを見た。；娘は口に手を当てて私を見ていたが、変な顔付きになって歩み去った。；人々の気持が緊張して尖っているのが、その顔付にありあり見えていた。；太女は理解したように、という顔付きをしてみせることを忘れなかった。；九年たって山を降りて来た時、人々は紀昌の顔付の変ったのに驚いた。；目に見えぬものからの仕返しの顔付でそれは私を奇妙な停滞に投げいれた。；生れつきの明るい顔付きが、彼女の心を匿していたのかも知れなかった。；今のわたしは死んだ男の顔付きに似せて機械が作り上げた工作物なんだ。；その全体の顔付きは、満足と希望と至福との漠然たる表情に輝いていた。；三人の顔は医者よりも武士の顔付きだったから思わずその言葉が出たのであった。；どういう顔付をしていいかもわからず、当惑したような様子で笑っていた。；彼女は生き生きと美しい顔付きではいってきて、ベッドの上にすわった。；十時近い頃青年は病的なりに生々した顔付きで兄の家へ帰って行った。；私は彼等が我々に与えた表情的な顔付に、これを読むことが出来た。；口髭を立ててはいるがそれを取り去れば二十歳そこそこの顔付きだった。；何でもわかっているぞという顔付きだが、何もわかってはいないのだ。；振向いてみると、男はねぼけた顔付で、不思議そうにこちらを見ていた。；「此家ではまだ電気を引かないのか」と顔付には全く縁のない事を聞いた。；爪はそれぞれ違った顔付をしていて、知ってる人たちに似かよっている。；が、それには何とも返辞をしないで悲しそうな顔付で黙って立っている。；嬉しくも悲しくもないきょとんとした顔付で、家の中にはいっていった。；同時に相手も、何故もっと早くそういってくれないのかという顔付をした。；たしかにあの男は不安そうでしたが、人のよさそうな顔付きでした。；すると彼は何ごとかと愕いたような顔付で、僕の方に耳を寄せてきた。</t>
        </is>
      </c>
      <c r="J1389">
        <f>HYPERLINK("https://www.weblio.jp/content/顔付き", "词义详情")</f>
        <v/>
      </c>
      <c r="K1389">
        <f>HYPERLINK("https://yourei.jp/顔付き", "查看例句")</f>
        <v/>
      </c>
    </row>
    <row r="1390">
      <c r="A1390" t="inlineStr">
        <is>
          <t>顔負け</t>
        </is>
      </c>
      <c r="B1390" t="inlineStr">
        <is>
          <t>成功</t>
        </is>
      </c>
      <c r="C1390" t="inlineStr">
        <is>
          <t>読み方：かおまけ
［名］(スル)相手の技量・態度などに圧倒されて、きまりが悪くなったり、あきれたりすること。「大人も—の知識」</t>
        </is>
      </c>
      <c r="F1390" t="inlineStr">
        <is>
          <t>男顔負け；プロ顔負け；男性顔負け；モデル顔負け；野手顔負け</t>
        </is>
      </c>
      <c r="H1390" t="n">
        <v>29</v>
      </c>
      <c r="I1390" t="inlineStr">
        <is>
          <t>世間も、これには顔負けがすると見えて、黙つて見てゐるから面白いよ。；それこそ海千山千のプロも顔負けの小娘を、あたしは何人も知ってます。；暴力団顔負けの上納システムが構築されている例もあると報告されている。；高校も出てねえ餓鬼のくせに、やるこたあおれたち顔負けじゃねえか。；いまの子供は進んでいましてね、おとな顔負けの趣向を考えだします。；それになかなかよく現在の日本の事情を知っているので、いささか顔負けの形である。；単に気が弱いだけで、頭の回転はそこらの大人顔負けのところがある。；将棋の腕は駄目でも、プロ顔負けの詰め将棋を造る人間がいるのである。；その動きの機敏さといったら、オリンピックの体操選手も顔負けだった。；抜群の運動神経と大人顔負けの体力がなければできる芸当ではなかった。；むろん誰も彼も顔負けで、私の完璧さをすべて進んで認めざるをえないわけだ。；それにしてもハルヒの手際のよさは、解ってはいたが専業主婦顔負けだ。；この秘密を余人に知られぬためだろうが、一族顔負けの働きだ。；中には趣味でありながら、プロ顔負けのソフトウェアを作成するマニア達も存在した。；という文章を書いているように、戦争中は山田耕筰顔負けの政府寄りであった。；研究所の看板をあげてはいるが、やることは産業スパイ顔負けだ。；プロ顔負けの派手な格好をしていますから、すぐわかりますよ。；あの方と私どもは、教会へ来る第一級の貧しい人たち顔負けのみじめな生活をしました。；身分を隠し、時にはコスプレを行い、男顔負けの活躍で事件を解決していく。；フェロン人の官僚機構たるや、地球の紙戦争も顔負けというところだ。；仕事をさせてみるとカーボニスト顔負けの凄腕ディーラーが続々誕生した。；もしそれが演技なら俳優顔負けの演技だった。；もう一人前になんでもやっていたし、大人顔まけの力仕事もこなしていたんです。；内部は大阪造幣局の地下金庫も顔負けのハイテック・インテリアである。；プロ顔負けの素晴らしい料理を作るタレントがいる一方、あまりにもひどい料理を作る人が多い。；大の男も顔負けの冷徹な顔を見せるかと思えば、今のように無邪気な子どもそのままの表情を見せる。；それが運ばれてくるとテーブルに乗りきれないほどであったが、女たちは豚も顔負けするほどの食欲を示した。；ゴルフでは基本的にレギュラーティからプレーをし、男子顔負けの飛距離を出す。；これにより春子は小学生の頃、すでに大人顔負けの美しい文字を身につけていた。</t>
        </is>
      </c>
      <c r="J1390">
        <f>HYPERLINK("https://www.weblio.jp/content/顔負け", "词义详情")</f>
        <v/>
      </c>
      <c r="K1390">
        <f>HYPERLINK("https://yourei.jp/顔負け", "查看例句")</f>
        <v/>
      </c>
    </row>
    <row r="1391">
      <c r="A1391" t="inlineStr">
        <is>
          <t>香り</t>
        </is>
      </c>
      <c r="B1391" t="inlineStr">
        <is>
          <t>成功</t>
        </is>
      </c>
      <c r="C1391" t="inlineStr">
        <is>
          <t>読み方：かおり
１よいにおい。香気。
２顔などのにおいたつような美しさ。
「—をかしき顔ざまなり」〈源・柏木〉
→匂(にお)い［用法］</t>
        </is>
      </c>
      <c r="D1391" t="inlineStr">
        <is>
          <t>香り高い；香り付け；香りづけ；香り成分；香りが強く</t>
        </is>
      </c>
      <c r="E1391" t="inlineStr">
        <is>
          <t>匂い；香；臭い；におい；薫</t>
        </is>
      </c>
      <c r="F1391" t="inlineStr">
        <is>
          <t>いい香り；強い香り；よい香り；良い香り；芳醇な香り</t>
        </is>
      </c>
      <c r="G1391" t="inlineStr">
        <is>
          <t>香りハイター；香りの図書館；香り箱</t>
        </is>
      </c>
      <c r="H1391" t="n">
        <v>29</v>
      </c>
      <c r="I1391" t="inlineStr">
        <is>
          <t>この香りは発売後30年近くになる現在においてもまだ維持されている。；形態や色などにかなり変異があり、また香りにも変異があるものがある。；花が美しく、香りがよいことから、古くから栽培されたものと考えられる。；光学活性体での香りの質および強さに差があることが知られている。；この特殊な香り付けの方法をヴェーパー・インフュージョン製法と呼ぶ。；また、特殊な香りを持つものはそれを利用されているものもある。；また、香りが立つことを重視するため、水は冷さず常温のものを用いる。；また香りの変化や持ち・目的に合わせてつける場所も変える。；組香とは、ある一定のルールに即した香りの楽しみ方の一つである。；上記の各種天然物の香りを再現するための香料の原料として利用される。；山椒魚の名は、体にサンショウに似た香りがある種がいることによる。；たとえばコーヒーの香りからは500種の物質が数えられている。；その色や香りも製品に使われている温泉とは全く無関係である。；こちらでは深い色合いで、ベリー系の香りが強いワインになることが多い。；自分でも香りが分かるようではつけ過ぎのことが多い。；白ワインの香りの中には、ワインの香りの要素のうちのほぼすべてが含まれる。；大きさが異なる製品や香りが付いた製品、色が付いた製品などが市販されている。；それらの作品に接した人は、その名前と香りの特徴を知った。；例えばメイラード反応で糖と反応させると肉の香りを持つ成分が生成する。；香りや味の良いアサクサノリを復活させる試みも行われている。；桜餅に似ていると形容される柔らかな香りと、まろやかな飲み口が特徴。；この方法を用いると癖の全くない、透明感のある味や香りになる。；結果、淡いビールはラガーの切れの良い傾向だが香りの豊かさを備えている。；香りの心身への影響も知られ、精油を用いた治療も古くからおこなわれた。；安価な茶葉に花の香りを付加して価値を高めることが主な目的である。；乾燥させたうえでビールに入れられて爽快感、香り、苦みなどを与える。；もしくはイチゴをイメージさせる色と香りをつけたシロップのこと。；よく似た名前を持ち同様の香りを放つカレーノキはまったくの別種である。；精油として採取されたルー油はグラッパなどの香り付けに使われている。</t>
        </is>
      </c>
      <c r="J1391">
        <f>HYPERLINK("https://www.weblio.jp/content/香り", "词义详情")</f>
        <v/>
      </c>
      <c r="K1391">
        <f>HYPERLINK("https://yourei.jp/香り", "查看例句")</f>
        <v/>
      </c>
    </row>
    <row r="1392">
      <c r="A1392" t="inlineStr">
        <is>
          <t>画家</t>
        </is>
      </c>
      <c r="B1392" t="inlineStr">
        <is>
          <t>成功</t>
        </is>
      </c>
      <c r="C1392" t="inlineStr">
        <is>
          <t>読み方：がか
絵をかくことを職業とする人。絵かき。「日曜—」</t>
        </is>
      </c>
      <c r="D1392" t="inlineStr">
        <is>
          <t>画家たち(6%)；画家達；画家志望；画家仲間；画家協会</t>
        </is>
      </c>
      <c r="E1392" t="inlineStr">
        <is>
          <t>作家；アーティスト；芸術家；絵師；美術家</t>
        </is>
      </c>
      <c r="F1392" t="inlineStr">
        <is>
          <t>若い画家；代表する画家；女流画家；著名な画家；イタリア人画家</t>
        </is>
      </c>
      <c r="G1392" t="inlineStr">
        <is>
          <t>画家のアルゴリズム；画家マティス；画家とモデル；画家の一覧；画家マチス</t>
        </is>
      </c>
      <c r="H1392" t="n">
        <v>29</v>
      </c>
      <c r="I1392" t="inlineStr">
        <is>
          <t>晩年までエクスで制作を続け、若い画家たちが次々と彼のもとを訪れた。；また父親も実は、娘には歌手ではなく画家になってもらいたかったという。；レオナルドは空気遠近法を絵画に取り入れた最初の画家の一人でもある。；彼が生まれた時、母親は針子をしながらも既に画家として活動していた。；その水は画家の心を写すかのように時代と共に色や形を変えていった。；あわせて今後は画家として作品を発表していくことも報告している。；フランスに留学した日本人画家が多数そのアトリエを訪れたことも知られる。；その中の一人フランチェスコは後に、父親と同様に画家になっている。；また、弟子たちを他の画家に送り込んでさまざまな分野で活躍させた。；ただし、13歳の頃は、将来は看護師か画家になるのが夢だったという。；彼女はパリのボヘミアン・ブルジョワで、スペインの画家の妻であった。；鉄道は、マネや印象派の画家が追求した近代性を象徴する主題であった。；この団体がシュルレアリスムの影響を受けた画家たちの一大拠点となった。；画像はこの事件を描いたフランス人画家テオドール・ジェリコーのもの。；フラゴナールは、その18世紀の後半のフランスを代表する画家である。；すでに廃絶した侯爵位だが画家サルバドール・ダリもに叙位されていた。；また友人の画家の作品を交換や購入によって相当数持っていた。；その時の彼の指導講師の一人は画家のアーシル・ゴーキーだった。；芸術も盛んであり、1560年には360人の画家がいたと言われる。；画家が部屋から引き戻され、彼女が秘密を漏らしたことを激しくなじる。；父親の職業は画家であり、その交友関係は芸術を通じてのものが多かった。；またバロックを代表する画家ヨハネス・フェルメールを高く評価していた。；芸術的に見て優れた絵も多く、画家にも少数だがファンが付いているほどである。；画家一族で知られるベッリーニ家の中で最も重要な画家である。；ここで当時全盛だったの画家トーマス・ハート・ベントンの指導を受けた。；文学・美術も好きで小説家や画家とも交流が深く、彼らの後援者でもあった。；当時の顔料には多くの鉛が含まれ、鉛中毒はいわば画家の職業病だった。；こうした経験は、画家となった後年のフリーダに大きな影響を与えた。；また彼が、初期ヴェネツィア派を代表する画家の一人であることも間違いない。</t>
        </is>
      </c>
      <c r="J1392">
        <f>HYPERLINK("https://www.weblio.jp/content/画家", "词义详情")</f>
        <v/>
      </c>
      <c r="K1392">
        <f>HYPERLINK("https://yourei.jp/画家", "查看例句")</f>
        <v/>
      </c>
    </row>
    <row r="1393">
      <c r="A1393" t="inlineStr">
        <is>
          <t>抱える</t>
        </is>
      </c>
      <c r="B1393" t="inlineStr">
        <is>
          <t>成功</t>
        </is>
      </c>
      <c r="C1393" t="inlineStr">
        <is>
          <t>読み方：かかえる
［動ア下一］［文］かか・ふ［ハ下二］
１物を囲むように腕を回して持つ。胸にだくようにして持つ。「ひざを—・えて座る」「包みを小脇に—・える」
２自分の負担になるものをもつ。厄介なもの、世話をしなければならないものを自分の身に引き受ける。「多くの負債を—・えて倒産する」「妻子を—・えて路頭に迷う」
３人を雇う。雇って使う。「運転手を—・える」
４その範囲の内にもつ。また、まわりを囲む。「湾を—・えた地勢」
５かばう。保護する。
「流罪せられよと、公家に申ししかども、君—・へ仰せられしを」〈古活字本平治・下〉
６今の状態を保ちつづける。維持する。
「今一両日は—・へて見申し候ふべし」〈信長記・三〉
[補説]室町時代以降はヤ行にも活用した。→抱(かか)ゆ
[用法]かかえる・だく——「人形をかかえる（だく）」などでは相通じて用いられる。◇「かかえる」は荷物などを腕で囲んで、胸や脇に持つこと。「かばんを小脇にかかえる」「大きなふろしき包みを両手でかかえる」のように用いる。また、抽象的に「三人の遺児をかかえて途方に暮れる」「借金をかかえる」などとも用いる。◇「だく」は赤ん坊や恋人などを胸のところで支え持つ意。「幼子キリストを胸にだくマリア」「病児をしっかりとだいている母親」「強くだいて!」「鳥が卵をだく」などと一般に用いられる。この場合「かかえる」では置き換えられない。◇「だく」の類似の語に「いだく」がある。「いだく」は、やや古い語であるとともに、心の中にある感情・考えをもつ意味もあり、「おそれをいだく」「大志をいだく」などと用いられる。</t>
        </is>
      </c>
      <c r="D1393" t="inlineStr">
        <is>
          <t>抱える様々な問題；抱える大黒像；抱える大所帯</t>
        </is>
      </c>
      <c r="E1393" t="inlineStr">
        <is>
          <t>持つ；含む；得る；有する；抱く</t>
        </is>
      </c>
      <c r="F1393" t="inlineStr">
        <is>
          <t>多数抱える；抱き抱える</t>
        </is>
      </c>
      <c r="H1393" t="n">
        <v>29</v>
      </c>
      <c r="I1393" t="inlineStr">
        <is>
          <t>死の病を抱える主人公は医者である父の元で自宅療養を強いられていた。；その頃を境に月に10本以上のレギュラーの仕事を抱えるようになった。；複数事業を抱える多角化企業の経営には、新たな思考法が必要とされる。；東京の大学に行くと決めた時は映画に関わる夢を抱える状態だった。；その後、徐々に植物学者を抱える大学などにも建設されるようになった。；これが他に類を見ないほど数多くの野生動物を抱える原因でもある。；失望のあまり頭を抱えるコンビの頭上に逃げ遅れた母ガモがやってきた。；また、チリで事業を行っていたが、結果大きな負債を抱える事となった。；側弁は蕊柱を抱えるように閉じるものがよく、開くとよくないとされる。；そこへ集まったのは、やはりそれぞれに事情を抱える男たちだった。；しかしいくつもの問題を抱えることとなり、完成には時間が掛かった。；またこれらとは別に家兵などと呼ばれる節度使の私軍を抱えることが多い。；約1万8千人の消防吏員を抱える日本最大にして世界最大の規模を持つ。；後に州刺史も節度使に倣い、その下に幕職官・曹官を抱えるようになる。；さらには保護者の仕事や家庭環境など、問題を抱える生徒も多かった。；しかし2人の間はすでに冷え切っており、トラブルを抱える旅であった。；支配領域の拡大に伴い、ドイツの抱えるユダヤ人の数は大幅に増した。；何ヶ月も入院し、その後も健康と視力に問題を抱えるようになった。；そしてそれは、私たちが抱える民族なり言葉なりの問題を一気に解決するだろう。；その後の調査で、推進剤供給ライン自体に深刻な問題を抱える結果になった。；この遠征も興行的には失敗で、小泉は多額の借金を抱えることになった。；この様に多くの繁華街を抱える鐘路区は昼夜を問わず賑やかな街である。；さまざまな課題を抱える一方で、世界遺産の数は増加し続けている。；ZDFは、系列局を複数抱えるとは違い、全国を1社でカバーしている。；ある生徒が抱える問題を解決するのと同時に、他の生徒の問題も解決していく形となっている。；パークは複数のモントンを抱える地域でタイ国内で4個所設けられた。；漁師の守護聖人である事を反映して魚を抱える姿で描かれている。；このようにして日本の漢語は、同音異義語の問題などを抱えることになった。；加えて、現在の高校野球が抱える問題点も、皮肉を込めて描かれている。</t>
        </is>
      </c>
      <c r="J1393">
        <f>HYPERLINK("https://www.weblio.jp/content/抱える", "词义详情")</f>
        <v/>
      </c>
      <c r="K1393">
        <f>HYPERLINK("https://yourei.jp/抱える", "查看例句")</f>
        <v/>
      </c>
    </row>
    <row r="1394">
      <c r="A1394" t="inlineStr">
        <is>
          <t>価格</t>
        </is>
      </c>
      <c r="B1394" t="inlineStr">
        <is>
          <t>成功</t>
        </is>
      </c>
      <c r="C1394" t="inlineStr">
        <is>
          <t>読み方：かかく
商品の価値を貨幣で表したもの。値段。</t>
        </is>
      </c>
      <c r="D1394" t="inlineStr">
        <is>
          <t>価格帯(3%)；価格高騰；価格変動；価格上昇；価格決定</t>
        </is>
      </c>
      <c r="E1394" t="inlineStr">
        <is>
          <t>入り；代；価値；値；費用</t>
        </is>
      </c>
      <c r="F1394" t="inlineStr">
        <is>
          <t>手頃な価格；安い価格；住宅価格；高い価格；不動産価格</t>
        </is>
      </c>
      <c r="G1394" t="inlineStr">
        <is>
          <t>価格競争；価格差；価格面；価格統制；価格理論</t>
        </is>
      </c>
      <c r="H1394" t="n">
        <v>29</v>
      </c>
      <c r="I1394" t="inlineStr">
        <is>
          <t>日本と同様に、商品の価格を皿の色で区別するシステムを採用している。；そのため商品価格とブランド価値は必ずしも一致するとは限らない。；顧客が単一の価格であらゆるサイズを購入できることを特長としている。；構造も複雑で価格も比較的高いが、現在は多くの軽快車に採用されている。；またこの措置は金属の価格が上昇したことなども要因となっている。；利益を最大化する商品数および価格は以下のように決定される。；アメリカが銀の法定備蓄を開始すると、国際市場での銀価格は急騰した。；しかしこれらは需要や価格の面から出版されても衆目に触れられない物が多い。；連珠盤の価格は将棋盤とほぼ同じで数千円から数百万円までさまざま。；日本の外食産業は成熟期に入り、価格から質へと方向が変化している。；調達価格は整備用工具や予備消耗部品が含まれた総合価格となっている。；価格は非公開で、オーナーの依頼により複数台が製造されることもある。；しかし、彼の評価式は価格が負になることもありうるために非現実的であった。；高価格帯の輸出を後押しするため輸出専用の免許が設定されている。；最も一般的な真空ポンプであり、種類も多く価格も全体的に安価である。；価格はA2サイズでも数千円程度、小さいものだと数百円程度の物も存在する。；この座席は当時の価格で一脚50万円以上したと言われている。；本形式の新造価格はこの当時の価格に換算して1億円近いと言われる。；実情としては武器・兵器の調達はその価格のため更新が進んでいない。；購入価格は買い手が自由に決める方式となっており、話題になった。；実際の国際貿易で取引される商品の国内外価格を比較して決定した。；元々が高価格であったため、長らく愛好家向けというイメージがあった。；一般には価格が上昇すると需要は減少する傾向がある。；を解く事で利益を最大化する価格 p と商品数 Q を決定できる。；ただし、李鵬も総理就任の活動報告で、価格改革の必要性を訴えていた。；これは価格が上がるほど需要量が減少することによる。；各生産段階で付加された付加価値の合計は、最終生産財の価格に等しい。；この目的でつくられたものには正確さと同時に外観の美しさや価格が重要となる。；車両価格は一般的な車よりも高めに設定されたが、富裕層には人気を得ていた。</t>
        </is>
      </c>
      <c r="J1394">
        <f>HYPERLINK("https://www.weblio.jp/content/価格", "词义详情")</f>
        <v/>
      </c>
      <c r="K1394">
        <f>HYPERLINK("https://yourei.jp/価格", "查看例句")</f>
        <v/>
      </c>
    </row>
    <row r="1395">
      <c r="A1395" t="inlineStr">
        <is>
          <t>化学</t>
        </is>
      </c>
      <c r="B1395" t="inlineStr">
        <is>
          <t>成功</t>
        </is>
      </c>
      <c r="C1395" t="inlineStr">
        <is>
          <t>読み方：かがく
《chemistry》物質を構成する原子・分子に着目し、その構造や性質、その構成の変化すなわち化学反応などを取り扱う自然科学の一部門。対象や研究方向により、無機化学・有機化学・物理化学・生化学・地球化学・核化学などに分けられる。</t>
        </is>
      </c>
      <c r="D1395" t="inlineStr">
        <is>
          <t>化学的性質(3%)；化学工場(2%)；化学研究所；化学修飾；化学者</t>
        </is>
      </c>
      <c r="E1395" t="inlineStr">
        <is>
          <t>舎密；ケミストリー；舎密学</t>
        </is>
      </c>
      <c r="F1395" t="inlineStr">
        <is>
          <t>化学反応式；化学作用；化学処理；化学染料；化学専攻</t>
        </is>
      </c>
      <c r="G1395" t="inlineStr">
        <is>
          <t>化学者；化学物質；化学工業；化学兵器；化学療法</t>
        </is>
      </c>
      <c r="H1395" t="n">
        <v>29</v>
      </c>
      <c r="I1395" t="inlineStr">
        <is>
          <t>化学分野の未執筆記事とそれ以外の分野の未執筆記事の双方を含みます。；これもかつて化学的分離や抽出が困難であった時代の名称の名残である。；地球上の生命の化学成分を分析すると、炭素を中心にしたものであった。；化学的性質が実験的に調べられている中で、最も重い元素の一つである。；化学的には非常に安定した物質であり、一般的な酸や塩基には溶けない。；化学反応式の左辺を原系または反応系、右辺を生成系と呼ぶことがある。；現在では化学的性質が元素の族にほぼ一致することがわかっている。；この本は実験化学者が化学への量子論の影響を理解するための助けとなった。；マイトネリウムの化学的性質の予測は、最近あまり関心を持たれていない。；ドルトンの研究の中でも最も重要とされているのは、化学的原子説である。；エレクトロニクスや化学の分野でもさまざまな形で応用されている。；化学には、研究手法や対象とする物質の違いによって多くの分野が存在する。；父は合併で大日本人造肥料となっていた大きな化学会社の常務だった。；化学や物性物理学の分野では、エネルギー固有状態は軌道とも呼ばれる。；また、化学・生物学・物理学を中心に多分野で出版物を発行している。；いずれも化学的に安定な構造で、比較的安価に大量生産されている。；原油中では何百万年も化学的に変化せずに存在し続けている。；化学的結合とは、実際に合金中の元素が水素と化合することを意味する。；IUPACは、化学やその他の分野での命名法の標準化で知られている。；この会社は、塗装会社から現在では世界最大の化学企業へと成長した。；揮発性物質が嗅覚器の感覚細胞を化学的に刺激することで生じる感覚である。；その短い歴史の中で、化学は大きな末広がりの構造を持つに至った。；また、化学刺激によって物理刺激による発射が制御される例も知られる。；はじめは詩人を目指していたが、化学教師の影響を受け科学者への道を目指すようになった。；同一の植物に含まれるアルカロイドは化学的に近い性質を持つものであることが多い。；化学系でよく使われるが、物理学および生物学の分野でも使用される。；化学の分野において重要な発見あるいは改良を成し遂げた人物に授与される。；細菌の一部には、生物発光の化学システムを持つものが知られている。；ダームスタチウムの化学的性質の予測は、最近あまり関心を持たれていない。</t>
        </is>
      </c>
      <c r="J1395">
        <f>HYPERLINK("https://www.weblio.jp/content/化学", "词义详情")</f>
        <v/>
      </c>
      <c r="K1395">
        <f>HYPERLINK("https://yourei.jp/化学", "查看例句")</f>
        <v/>
      </c>
    </row>
    <row r="1396">
      <c r="A1396" t="inlineStr">
        <is>
          <t>科学</t>
        </is>
      </c>
      <c r="B1396" t="inlineStr">
        <is>
          <t>成功</t>
        </is>
      </c>
      <c r="C1396" t="inlineStr">
        <is>
          <t>読み方：かがく
《science》一定の目的・方法のもとに種々の事象を研究する認識活動。また、その成果としての体系的知識。研究対象または研究方法のうえで、自然科学・社会科学・人文科学などに分類される。一般に、哲学・宗教・芸術などと区別して用いられ、広義には学・学問と同じ意味に、狭義では自然科学だけをさすことがある。サイエンス。
[補説] 「科学する心」とサ変動詞に使用したのは昭和15年（1940）第二次近衛内閣の文相橋田邦彦が最初という。おかしな日本語として問題になった。</t>
        </is>
      </c>
      <c r="D1396" t="inlineStr">
        <is>
          <t>科学的(28%)；科学者(2%)；科学研究(2%)；科学知識；科学界</t>
        </is>
      </c>
      <c r="E1396" t="inlineStr">
        <is>
          <t>学問；自然科学；理科；サイエンス；理学</t>
        </is>
      </c>
      <c r="F1396" t="inlineStr">
        <is>
          <t>諸科学；現代科学；科学的知識；計算機科学；科学論文</t>
        </is>
      </c>
      <c r="G1396" t="inlineStr">
        <is>
          <t>科学技術；科学部；科学アカデミー；科学研究所；科学的根拠</t>
        </is>
      </c>
      <c r="H1396" t="n">
        <v>29</v>
      </c>
      <c r="I1396" t="inlineStr">
        <is>
          <t>だが啓蒙主義はすでに宗教を科学の世界から追放してしまったのである。；幼いころから科学や自然に興味を持ち、植物採集に頻繁に出かけていた。；装備の開発は主に科学センター所属の岩本博士とイデ隊員が行っている。；今日の科学では合理的に説明できない超自然な能力を指すための名称。；一方で、科学的という概念を無駄に潔癖な方法と誤解している者もいる。；科学が理解される以前は、神が宇宙を創造したと考えるのが自然であった。；なお、これらの規範は、科学界で広く受け入れられているものではない。；これまでの科学調査の結果に、大型爬虫類の存在を肯定するものはない。；小さいころから科学へ興味を抱き、多くのことを読書により学んでいた。；一般に心霊現象は科学的には説明のつかない現象であるとされることが多い。；このことは科学のエネルギー保存の法則にたとえて説明される場合がある。；そのため科学的な取り組みは例えば形相的還元のようなものを行わない。；コペルニクスの事例は「科学理論の交代が起こる原因」に示唆を与える。；東京大学理学部で動物学を学んだ後、教育用の科学映画の作成に関わる。；この科学分野の一部は、環境に対する人間の活動の影響の調査である。；基本的なことを言えば、様々な科学的学問は次のような点では似通っている。；経験的な証拠を異なって解釈することからいかに科学的な論争が巻き起こるか。；エンジニアリングは、数学と科学の機能と利用を重視した設計に適用。；現在、基礎的な科学研究以外での用途はなく、少量しか生産されていない。；一般書籍でいわれる精油の効能は、科学的に証明されていないものが多い。；天文撮影や科学機器では冷却機構が最初から設計に含まれているものもある。；しかし、キリスト教と科学の実際の関係はもっと豊穣で複雑なものであった。；歴史的にみれば科学とオカルトの境界線というのは明瞭なものではない。；また、実用的知識から科学的な分野への移行を意味することもある。；現在、科学の様々な分野において現象学的な態度が取りざたされている。；退役後はロサンゼルスのカリフォルニア科学センターに展示されている。；すでに高い科学力をもった文明が昔のこととなった世界。；現代の科学者は、大きな科学共同体の中で生かされているような面がある。；この科学者たちはブラーエと共に学んだ後、様々な科学分野で貢献した。</t>
        </is>
      </c>
      <c r="J1396">
        <f>HYPERLINK("https://www.weblio.jp/content/科学", "词义详情")</f>
        <v/>
      </c>
      <c r="K1396">
        <f>HYPERLINK("https://yourei.jp/科学", "查看例句")</f>
        <v/>
      </c>
    </row>
    <row r="1397">
      <c r="A1397" t="inlineStr">
        <is>
          <t>掲げる</t>
        </is>
      </c>
      <c r="B1397" t="inlineStr">
        <is>
          <t>成功</t>
        </is>
      </c>
      <c r="C1397" t="inlineStr">
        <is>
          <t>読み方：かかげる
［動ガ下一］［文］かか・ぐ［ガ下二］
１人目につく高い所へ上げる。また、手に持って高く差し上げる。「国旗を—・げる」「たいまつを—・げる」
２新聞・雑誌などの、目立つ場所に載せる。目立つように工夫して載せる。「巻頭に—・げる」
３主義・方針などを、人目につくように示す。広く、示して知らせる。「スローガンを—・げる」
４垂れ下がっているものを、上の方へ持ち上げる。まくり上げる。「幕を—・げる」
５灯火をかき立てて明るくする。
「ともしびを—・げ尽くして」〈源・桐壺〉</t>
        </is>
      </c>
      <c r="D1397" t="inlineStr">
        <is>
          <t>掲げる事務をつかさどる；掲げる者以外</t>
        </is>
      </c>
      <c r="E1397" t="inlineStr">
        <is>
          <t>発表；掲載；記載；上げる；公表</t>
        </is>
      </c>
      <c r="F1397" t="inlineStr">
        <is>
          <t>高く掲げる；高々と掲げる</t>
        </is>
      </c>
      <c r="H1397" t="n">
        <v>29</v>
      </c>
      <c r="I1397" t="inlineStr">
        <is>
          <t>旗を掲げておれば停車する運行形態でも国内では最後の生き残りである。；旗の上に掲げられた赤のSchwenkelにはいろいろな解釈がある。；外にはかつて駅舎に掲げられていた駅名看板が鳥居状に設置されている。；外交面では、世界の安全と平和のために積極的に貢献する外交を掲げた。；校庭には生徒自身の手で描かれた各組をテーマにした巨大な絵を掲げる。；大衆迎合的な選挙公約を掲げて他の候補に圧勝し初代大統領に就任する。；出場者席の上にはロート製薬の当時の主力製品の看板が掲げられていた。；多様な加法定理が世の中には存在するが、代表的なものを以下に掲げる。；そのほかの学校もだいたいこれと同様の趣旨とねらいが掲げられている。；そのほかにも移動する物体の中で特に狙われやすいものを以下に掲げる。；さらに、陸軍が戦争の首謀者であることにする方針が掲げられていた。；旧駅舎に掲げられていた駅名板などは新駅舎内に保存されている。；労働組合の規約には、以下の各号に掲げる規定を含まなければならない。；この単純な引き結びの使用は、1人で旗を掲げるときに許されている。；これらには道の駅とみなとオアシスの両方のマークが掲げられている。；故障で報時信号を発せられなかった場合は同信号旗 D が掲げられる。；ここに掲げられている単位以外のものを、取引又は証明に使用することはできない。；西側とソ連の平和共存路線に中国がを掲げて猛反発したためである。；この2点を掲げて批判する南方説の支持者は日本や韓国や中国に多い。；菊水丸自身も、当番組だけで1万回の放送を達成することを目標に掲げた。；そのような中で党外勢力が台湾自決の旗を掲げ勢力を急速に増してきたのである。；半旗を掲げる場合は半旗だとはっきり判るように掲げなければならない。；半旗を掲げる場合は半旗だとはっきり判るように掲げなければならない。；ビッグ・フットはそれ以上の争いを避けるために白旗を掲げて降伏を告げた。；日本では、かき氷を売っている店は氷旗を掲げていることが多い。；以上に掲げたほか、原作準拠の回でも以下の点で相違が見られる。；社会保障は高福祉高負担の立場を欧州の社会民主主義政党が掲げてきた。；戦前日本では、無産政党を名乗る政党が社会民主的な政策を掲げていた。；次いで、兵学校内の教育参考館に掲げてあった全海軍大将の額を撤去した。</t>
        </is>
      </c>
      <c r="J1397">
        <f>HYPERLINK("https://www.weblio.jp/content/掲げる", "词义详情")</f>
        <v/>
      </c>
      <c r="K1397">
        <f>HYPERLINK("https://yourei.jp/掲げる", "查看例句")</f>
        <v/>
      </c>
    </row>
    <row r="1398">
      <c r="A1398" t="inlineStr">
        <is>
          <t>欠かす</t>
        </is>
      </c>
      <c r="B1398" t="inlineStr">
        <is>
          <t>成功</t>
        </is>
      </c>
      <c r="C1398" t="inlineStr">
        <is>
          <t>読み方：かかす
［動サ五（四）］（多く、打消しの語を伴って用いる）
１そのことをしないで済ます。おこたる。「毎日の練習を—・したことがない」「会には—・さず出席する」
２なしで済ます。欠く。「—・すことのできないデータ」
[可能]かかせる</t>
        </is>
      </c>
      <c r="D1398" t="inlineStr">
        <is>
          <t>欠かすことなく(8%)</t>
        </is>
      </c>
      <c r="F1398" t="inlineStr">
        <is>
          <t>毎年欠かすこと</t>
        </is>
      </c>
      <c r="H1398" t="n">
        <v>29</v>
      </c>
      <c r="I1398" t="inlineStr">
        <is>
          <t>それが習慣になつて、氏は外出の時はいつも欠かさずそれをついてゐる。；たゞ最近一ヶ月程教会の集会に欠かさず顔を出す二十五六の婦人がある。；また、酒も以前は毎日欠かさず大量に飲んでいたが現在は量を抑えている。；このふたつの技術は草原での戦いでは欠かすことのできないものだった。；移籍問題でクラブともめてはいたが、プレーでの貢献は欠かさなかった。；以降、同作の監督である豊田利晃の監督作品には欠かさず出演している。；また本格的な四川料理には欠かすことの出来ない調味料のひとつである。；ぼくなんかはどうかすると此節、月に十幅は欠かさず岸田を見るだらう。；なんといっても、これが商売には欠かすことのできないものでしてね。；部外者がこの建物のなかで動くには欠かすことのできない情報である。；グロウは几帳面に日記を付けていたほか、妻への手紙も欠かさなかった。；その上でこれだけは欠かさず、と厳選した型を何度も繰り返し行っていた。；だからこそ、このようなときのために、訓練を欠かしてはならないのだ。；どちらの産業も氷の貿易には欠かすことができなかったのである。；家の中では全裸で過ごし、毎日オナニーを欠かさない生活を送っている。；聖書研究会を欠かさないのも、深く求めるところがあるのだと思っていた。；今までは毎日欠かしたことのない托鉢を、ときどきに怠る日さえあった。；いつも欠かさず見ているわけではないけれど、見るたびに燃えているようだ。；彼女には大勝負を前にした時に欠かさず行うおまじないがあるのだ。；家ではお湯は一日か二日置くのに旅行に出てからは一晩も欠かしたことがない。；いまでもひまさえあれば自宅の庭で運動をかねてその修行は欠かさないが。；現在まで毎年欠かさず行っているライブツアーを開始したのもこの頃である。；少年の頃からプロレスを愛し、プロレス番組を欠かさず見ていたという。；おかげで、僕は夏中、この早朝の日課を欠かさず実行することができた。；でも、ぼくは一日一冊の読書をする日課は、欠かしたわけではなかった。；成績も優秀であったが、柔道に熱心であり、寒稽古に欠かさず出席した。；発声練習は欠かさないらしく、その声は近所から苦情が来るほど大きい。；運動は欠かしてはいないから脂肪のみが増えていることはないだろうが心配だ。；これらの資料は5世紀を考える上で欠かすことのできない一級資料である。</t>
        </is>
      </c>
      <c r="J1398">
        <f>HYPERLINK("https://www.weblio.jp/content/欠かす", "词义详情")</f>
        <v/>
      </c>
      <c r="K1398">
        <f>HYPERLINK("https://yourei.jp/欠かす", "查看例句")</f>
        <v/>
      </c>
    </row>
    <row r="1399">
      <c r="A1399" t="inlineStr">
        <is>
          <t>かかと</t>
        </is>
      </c>
      <c r="B1399" t="inlineStr">
        <is>
          <t>成功</t>
        </is>
      </c>
      <c r="C1399" t="inlineStr">
        <is>
          <t>読み方：かかと
１足の裏の後部、足首の下にあたる部分。くびす。きびす。「—を上げる」
２靴など、履き物の後部。「—がすり減る」「—を踏んで履く」</t>
        </is>
      </c>
      <c r="D1399" t="inlineStr">
        <is>
          <t>かかと部分</t>
        </is>
      </c>
      <c r="E1399" t="inlineStr">
        <is>
          <t>踵；ヒール；きびす；くびす</t>
        </is>
      </c>
      <c r="H1399" t="n">
        <v>29</v>
      </c>
      <c r="I1399" t="inlineStr">
        <is>
          <t>ほとんどの哺乳類では、かかとに当たる部分は歩く際に地上につかない。；長い細い足には上等な、かかとのほとんどない白革の半靴をはいている。；グレゴールは彼の靴のかかとがひどく大きいことにびっくりしてしまった。；見ての通り、靴のかかとはむしり取られていて、まだ見つかっていない。；手では、足のかかとに相当する部分に特に固有の名称はついていない。；つま先のほうはまだ芝生の上にあって、かかとのほうが芝生の外に出た。；でもかかとに翼が生えて、飛んでいるように見えるのはなぜですか?；廊下の赤いタイルの上でかかとの高いスリッパがこつこつと音をたてた。；パンプスのかかとを直しながら先へ急ごうとしていた母が振り返った。；手で頭ごしに夫の顔をなぐり、とがった靴のかかとで、蹴りつけていた。；指のほうはうまく靴に入ったのですが、かかとが大きすぎました。；靴でも足の形に合わせて土踏まずをくぼませ、かかとに厚い素材を使う。；黒い外套が体をぴったりと包みこみ、かかとのところで床に触れている。；若い貴族と無頼の男が、かれのかかとを踏むようにしてあとを追った。；そのたび、かかとやつま先が、ぼくの鼻や額に振り落とされるのだった。；両手に一つずつぶらさげた小さなかかとの高い靴が木慈の胸元でゆれた。；だからいつも、ソファの横にかかとが当たって、太鼓みたいな音がする。；ジャンプの練習を重ねたため、かかとが角張って変形するようになった。；僕の足のかかとが母の下腹の固い部分に乱暴にのせられていることもあった。；それから布靴に足を入れ、かかとのところに下がっている紐を結んだ。；彼らの靴は、よく見るとかかとがすり減って斜めになっていたりする。；まるでかかとにバネが付いているように弾んで完全に興奮しまくっている。；みんな素足に信じられないぐらい高いかかとのサンダルをはいている。；かかとを上下させるタイプのマシンと爪先を上下させるタイプのマシンが存在する。；片方の靴下のかかとに穴があいていて、それが靴のすぐ上のところに見えたの。；この方式では、かかとから足のもっとも広い部分までの距離を測る。；そして足の裏がずたずたに切れ爪先からかかとまで血まみれになっていた。；これらは靴のかかとのクッションや空気ばね等にも応用されている。；かかとや爪先は、多少固定できるように囲いがあったが、形状は似ている。</t>
        </is>
      </c>
      <c r="J1399">
        <f>HYPERLINK("https://www.weblio.jp/content/かかと", "词义详情")</f>
        <v/>
      </c>
      <c r="K1399">
        <f>HYPERLINK("https://yourei.jp/かかと", "查看例句")</f>
        <v/>
      </c>
    </row>
    <row r="1400">
      <c r="A1400" t="inlineStr">
        <is>
          <t>鏡</t>
        </is>
      </c>
      <c r="B1400" t="inlineStr">
        <is>
          <t>成功</t>
        </is>
      </c>
      <c r="C1400" t="inlineStr">
        <is>
          <t>読み方：かがみ
１人の姿や物の形を映し見る道具。古くは青銅・白銅・鉄などの表面に水銀に錫(すず)をまぜたものを塗って磨いて作った。形は方円・八つ花形などがある。現在のものは、ガラス板の裏面に水銀を塗ってある。
２（鑑・鑒）人の手本。模範。「人の—」
３「鏡餅(かがみもち)」の略。
４《形が古鏡に似ているところから》酒樽のふた。「—を抜く」
５「鏡物(かがみもの)」の略。
６茶碗の茶だまりで、丸く一段くぼんでいる部分。高麗茶碗によく見られるもので、熊川(コモガイ)茶碗の約束事の一。
７書類の一枚目に添える、標題や日付、作成者などを記載した紙。
[補説]作品名別項。→鏡
[下接語]合わせ鏡・岩鏡・自惚(うぬぼ)れ鏡・衣紋(えもん)鏡・御(お)鏡・懐中鏡・浄玻璃(じょうはり)の鏡・空の鏡・智慧(ちえ)の鏡・月の鏡・手鏡・共鏡・野守(のもり)の鏡・初鏡・ビードロ鏡・鬢(びん)鏡・懐鏡・丸鏡・水鏡・八咫(やた)の鏡</t>
        </is>
      </c>
      <c r="D1400" t="inlineStr">
        <is>
          <t>鏡花；鏡閃；鏡映；鏡泉；鏡張り</t>
        </is>
      </c>
      <c r="E1400" t="inlineStr">
        <is>
          <t>ミラー；銀鏡；鏡鑑</t>
        </is>
      </c>
      <c r="F1400" t="inlineStr">
        <is>
          <t>大きな鏡；三面鏡；主鏡；御鏡；近眼鏡</t>
        </is>
      </c>
      <c r="G1400" t="inlineStr">
        <is>
          <t>鏡面；鏡子；鏡花；鏡像；鏡板</t>
        </is>
      </c>
      <c r="H1400" t="n">
        <v>29</v>
      </c>
      <c r="I1400" t="inlineStr">
        <is>
          <t>この段階では主鏡の位置合わせが行われておらず、焦点は合っていない。；撮影システムは鏡を持つ小さな突起とカメラとから構成されたものだった。；コロニーの設計では、ほとんどの鏡が太陽に向くことが要求されている。；鏡とは、メソアメリカ一帯で儀式に使用された黒曜石の鏡のことを示す。；グレイスランドに入るとすぐ、鏡の反射がある白い階段が目の前にある。；変声期で、声がまだ十分に出なかったころ、鏡を見て発声の訓練をした。；またCHAの他にも同筒鏡型のエネルギー分析器も用いられることがある。；底ができることによって無底が無底となり、目が目となり、鏡が鏡となる。；そして互いに鏡像である配座異性体同士は互いにエナンチオマーとなる。；電源は主鏡の両脇に設置された太陽電池パネルを用いて発電されている。；第4話のアイキャッチでは鏡の前で耳のセットを気にする姿が描かれている。；また、階下席では壁に横長の鏡を設置して部屋の圧迫感を和らげている。；マザラス星人の指示を受け、鏡の世界でゲンを砂の中に生き埋めにする。；トンプソンはこの人物を「長い間、鏡を見ていない人」と想像していた。；したがって波が起きる要素の少ない条件下では、水面は優れた鏡となる。；額から鼻鏡にかけて白い筋模様が入る個体が多いが、不明瞭な個体もいる。；鏡もこれと同様に、仏の本体・仏の心の象徴と解釈する思想があったとする説もある。；これは高橋氏との権力争いとともに、道鏡との関連が指摘されている。；また、車内客室扉脇には、B5版程度の大きさの鏡を複数枚設けている。；棺外の北鏡は斜めに置かれた盾の上部に乗せられていたとみられる。；その鏡には、自分の絵姿ではなく、嘲り笑う悪魔の奇っ怪な顔が現れる。；時として胸の上に鏡が置かれ、鏡から煙が生じている様子で描かれる場合もある。；天正遣欧少年使節がもたらした、南蛮の古い鏡に翻弄される男女の物語。；浴室内には、流の意向から通常設置されているはずの鏡が全くない。；双眼鏡では星雲状に見えその中に僅かばかりの星が浮かんでいる。；それぞれの光線は、しばらく進んだ後に鏡で反射され、中央に戻ってくる。；基本的にご神体である鏡に強く光が当たった状態をデザインに起こしていると言って良い。；実は駅やホテルなど鏡があると今でもポーズを取ってしまう。；音列を上下を鏡に映したようにして使用することもできる。</t>
        </is>
      </c>
      <c r="J1400">
        <f>HYPERLINK("https://www.weblio.jp/content/鏡", "词义详情")</f>
        <v/>
      </c>
      <c r="K1400">
        <f>HYPERLINK("https://yourei.jp/鏡", "查看例句")</f>
        <v/>
      </c>
    </row>
    <row r="1401">
      <c r="A1401" t="inlineStr">
        <is>
          <t>屈む</t>
        </is>
      </c>
      <c r="B1401" t="inlineStr">
        <is>
          <t>成功</t>
        </is>
      </c>
      <c r="C1401" t="inlineStr">
        <is>
          <t>読み方：かがむ
［動マ五（四）］
１腰などが前に曲がる。「腰が—・む」
２腰やひざを折り曲げて姿勢を低くする。しゃがむ。「—・んでのぞきこむ」
[可能]かがめる
［動マ下二］「かがめる」の文語形。
[用法]かがむ・しゃがむ——「前の人はかがんで（しゃがんで）ください」などでは相通じて用いられる。◇「かがむ」は「前かがみの人」などのように前傾の姿勢をもいうが、「しゃがむ」はひざを曲げ腰を落とすからだ全体の動作を表す。「道ばたにしゃがんで話し込む」◇類似の語に「うずくまる」がある。「うずくまる」は頭も前に曲げ、からだ全体を丸く小さくする動作で、「物陰にうずくまる」「子犬がうずくまって寝ている」などと用いる。</t>
        </is>
      </c>
      <c r="D1401" t="inlineStr">
        <is>
          <t>屈むよう(11%)</t>
        </is>
      </c>
      <c r="E1401" t="inlineStr">
        <is>
          <t>曲げる；屈する；しゃがむ；屈める；丸くなる</t>
        </is>
      </c>
      <c r="H1401" t="n">
        <v>29</v>
      </c>
      <c r="I1401" t="inlineStr">
        <is>
          <t>しかし彼女が手を伸したのは一番側に屈み込んでいる高遠ではなかった。；それは水に映った自分の姿の方へ屈み込むナルキッソスの微笑であった。；彼女がそれの上に屈み込んでいるさまを、奥方さまは黙って見つめている。；二人の前で屈み、浩太君の足に装飾されている手錠型の足枷に鍵を通す。；花の上に屈み込んだ彼女の顔は、花から反射される光で黄色く輝いていた。；そこを通って障子を開けたお道の前に、おうめが寒そうに屈み込んでいた。；彼女は、彼の方を見たくなかったので、赤ん坊の上に屈み込んでいた。；いきなり屈み込んで、何を書いたものがありはすまいかと探した。；あちこちの棚の前で屈み、奥の商品に手を伸ばしながら私は妹の声を思い出していた。；人気のない道を進むと、道の端に屈み込んでいる男に出会った。；光の扉の外から、やさしそうな顔の男が屈み込んでこちらを見ている。；まあするままにしておけ、という気になって、俺は火鉢の上に屈み込んだ。；耕太は持っていたタオルをテーブルの上に置き、ちずるの元へ屈みこむ。；音もなく床に屈み込むと、倒れていた怪我人の少女を抱えて後ろへ下がる。；やはり、どうも腹が邪魔になって、屈み込む姿勢は長く続けられない。；それには、彼女に折れ屈むことを教えて置かなければいけない。；彼女はまだ膝をついて、花の上に屈み込んで匂いを嗅いでいた。；するとこの男、あのワゴンが置かれていた辺りで屈み込んで地面を見ていたらしくて。；「どれどれ」パパはぼんやりしたまま洋一の指先を屈み込んで見つめた。；その思いが通じたのか、大河はすぐに屈み込んでお茶を拭き始めた。；小さな焚き火に屈み込んだ祖母の肩越し、闇の中に白い影が見えたからだ。；恵理の前で屈むと、失われた目の高さに合わせるように顔を近づける。；屈み込んだ女が、前にたらした長い髪を、櫛で梳いているのであった。；そうしてベッドに近づきながら、節子の寝顔を屈み込むようにして見た。；考えながらリディアは、少年が横たわっていたという床の上に屈み込んだ。；傍らに屈み込んでいた神裂火織は、こちらを見上げてこう言った。；ブーツの主は屈み込んでドアを調べているに違いなかった。；かれは屈み込んで石の底を覗いてみて、ははん、なるほどと思った。；男は屈み込んでそれを拾い壁にひっかけて、はにかんだように笑った。</t>
        </is>
      </c>
      <c r="J1401">
        <f>HYPERLINK("https://www.weblio.jp/content/屈む", "词义详情")</f>
        <v/>
      </c>
      <c r="K1401">
        <f>HYPERLINK("https://yourei.jp/屈む", "查看例句")</f>
        <v/>
      </c>
    </row>
    <row r="1402">
      <c r="A1402" t="inlineStr">
        <is>
          <t>屈める</t>
        </is>
      </c>
      <c r="B1402" t="inlineStr">
        <is>
          <t>成功</t>
        </is>
      </c>
      <c r="C1402" t="inlineStr">
        <is>
          <t>読み方：かがめる
［動マ下一］［文］かが・む［マ下二］からだを前に折り曲げてやや低い姿勢をとる。かがむようにする。「腰を—・めてあいさつする」</t>
        </is>
      </c>
      <c r="D1402" t="inlineStr">
        <is>
          <t>会釈；曲げる；屈する；しゃがむ；低頭</t>
        </is>
      </c>
      <c r="H1402" t="n">
        <v>29</v>
      </c>
      <c r="I1402" t="inlineStr">
        <is>
          <t>車と塀のあいだに身を屈めると、男が車のほうへやってきて声を上げた。；少し身を屈めると、シャシーの下からヤツの足を覗き見ることができた。；裏手から男がひとり、身を屈めるようにしてあらわれたのに気づいたからだ。；やってみると、腰を屈めるぶん、下の段の方が力が必要だった。；服のまま身体を横にし、枝から落ちた幼虫が身を屈めるかのような姿勢で、眠っていた。；もしもし、三木ですが、と彼は受話器を手に首を屈めるようにして言った。；亜はひょいと身体を屈めると、信じられぬほど小さな塊りに変った。；車が玄関へ滑り込むと、並んでいた大勢の女中が一斉に小腰を屈める。；彼が顔を彼女のほうへ屈めると、彼女は片手をあげて拒んだ。；驚いたことに、たとえそれがアゼリアの花であろうと、その上に身を屈めるのです。；時枝は笑みを浮かべ、身を屈めるようにして、真穂の顔を覗き込んだ。；もう一度、身を屈めると同時に、その勢いを刃に乗せてふり下ろす。；国のために喜んで命を捧げるべき軍人が、臆病風に吹かれて身を屈めるとは。；彼も思わず、その額が自分の口のすぐそばにあるエミールの方へ身体を屈めるやこれに接吻した。；近くの兵が、身を屈めるようにして倒れていった。；彼はいくぶん前よりか顔にも老を見せていたが、それよりももっと目立つほど背中を屈めるようにしていた。；立って歩いていたのが、背を屈めるようになる。；きっと、身を屈めるとその目に見えない存在がちらりと見えるかもしれないのを、彼は恐れたのだと思う。；廻田は立ち上がり、館山の上に体を屈めると、その口元に顔を近づけた。；上体を前に屈めるようにして相手のパンチをかわす戦法をこう呼ぶ。；そしてどんなふうにあの男が身を屈めるか。；そして少し腰を屈めると、そばの電柱のほうにレンズを向けた。；少し腰を屈めるようにして周囲の気配を窺った。；ゆっくりと、倒れこんだ少年の顔を掴もうと身を屈める。；私は腰を屈めるのにくたびれて、その場にやおら腰を下した。；私が体を屈めると、妻の裸身は金と赤との光炎に被われているようで、思わず私は息を詰める。；それから彼は、例の岩棚の端にある小洞窟の前で身を屈めるや、さっと上方へ跳躍した。；そして、机の上に首を屈めるようにして話していたが、わたしはときどき彼の陽にやけた顔から流れてくる睨むような視線を感じた。；桜木は、クロスに駆け寄り腰を屈めると、左後肢を腋に挟んで足裏をみた。</t>
        </is>
      </c>
      <c r="J1402">
        <f>HYPERLINK("https://www.weblio.jp/content/屈める", "词义详情")</f>
        <v/>
      </c>
      <c r="K1402">
        <f>HYPERLINK("https://yourei.jp/屈める", "查看例句")</f>
        <v/>
      </c>
    </row>
    <row r="1403">
      <c r="A1403" t="inlineStr">
        <is>
          <t>輝かしい</t>
        </is>
      </c>
      <c r="B1403" t="inlineStr">
        <is>
          <t>成功</t>
        </is>
      </c>
      <c r="C1403" t="inlineStr">
        <is>
          <t>読み方：かがやかしい
［形］［文］かがやか・し［シク］《古くは「かかやかし」》
１光り輝くようにすばらしい。華々しい。「—・い将来」「—・い業績をあげる」
２まぶしいほどきらきら光っている。
「御前(ごぜん)のたちしは…—・しきまでに見るに」〈讃岐典侍日記・下〉
３恥ずかしい。きまりが悪い。おもはゆい。
「ひとり身をえ心にまかせぬほどこそ、さやうに—・しきもことわりなれ」〈源・末摘花〉
[派生]かがやかしげ［形動］かがやかしさ［名］</t>
        </is>
      </c>
      <c r="D1403" t="inlineStr">
        <is>
          <t>輝かしいもの(4%)；輝かしい成績(3%)；輝かしい未来(3%)；輝かしい実績(3%)；輝かしい経歴(2%)</t>
        </is>
      </c>
      <c r="E1403" t="inlineStr">
        <is>
          <t>良い；妙；立派；優れた；見事</t>
        </is>
      </c>
      <c r="F1403" t="inlineStr">
        <is>
          <t>輝かしい記録；もっとも輝かしい；輝かしい戦績；輝かしい時代；輝かしい太陽</t>
        </is>
      </c>
      <c r="H1403" t="n">
        <v>29</v>
      </c>
      <c r="I1403" t="inlineStr">
        <is>
          <t>自分の希望の輝かしい未来に突然触れたように思ったのもあそこだった。；まえの旅行ではパリを嫌な面から見たが、こんどは輝かしい面から見た。；しかし人類の進歩の輝かしい頂点だけはとっておいてもいいではないか。；二人を隔てていた氷が砕けたように思われて、心が輝かしくなっていた。；私は自分の希望が實現するにはあまりに輝かしすぎるやうで恐しかつた。；先ほどまで、お城のように灯を輝かしていた外国船が、暗くなっている。；両親をはじめ一家の人たち二十人ばかり、みな顔を輝かしていました。；ダオメーの過去がどんなに輝かしくても、明らかに彼女は無関心だった。；輝かしい朝から目をそらして部屋の中へ向けると、部屋は暗く思われた。；この計画を実行する可能性が今、目の前に輝かしく開けたところだったのだ。；ここを選んで国際的な革命作家の会議が行われたことは輝かしい。；両者はいっしょになってひとりの輝かしい個人になっているのだ。；「ぼくが思うに」と、七兵衛刑事は広い額の下から眼を輝かして言った。；なんという輝かしい希望をわれわれ一同に与えていてくれたでしょう!；こうして彼の生涯の最も輝かしく、最も実りの多い第一期がはじまった。；彼女は頭をぐったり枕に押しあてて、涙ぐんだ眼を異様に輝かしていた。；静かでこの上ない輝かしさの中で、一日が穏やかに終わろうとしていた。；外国を敵とすることではなくて、自国を輝かしきものとすることです。；これはしかしアヌンツィアータのよりも輝かしいものであったろうか。；それは火の舌がその内側を輝かしてゐると云つてもいゝ位でした。；ひとりの輝かしい女優がこうして失われ、わたしの妻となったのだ。；過去においても現在にも輝かしい証明のある科学を軽蔑したのである。；正確に言えば、最も若いあなたが最も奔放で輝かしいというべきでしょう。；ヨットの客たちはこの輝かしい太陽の出現に言葉もなく見とれていた。；日常の生活は、離れている時だけ輝かしく魅力的に見えるのかもしれない。；全ての俳優の輝かしい演技がマッチしたエンターテインメント映画です。；「あんなに目を輝かしたりしてはいけないわ」あとで彼女は彼に注意した。；暗い思考は脇に置いて、これから始まる輝かしき真夏の日々を想像しよう。；ほとんどこれまでに見たこともないような輝かしい月の光に打たれたのだった。</t>
        </is>
      </c>
      <c r="J1403">
        <f>HYPERLINK("https://www.weblio.jp/content/輝かしい", "词义详情")</f>
        <v/>
      </c>
      <c r="K1403">
        <f>HYPERLINK("https://yourei.jp/輝かしい", "查看例句")</f>
        <v/>
      </c>
    </row>
    <row r="1404">
      <c r="A1404" t="inlineStr">
        <is>
          <t>輝く</t>
        </is>
      </c>
      <c r="B1404" t="inlineStr">
        <is>
          <t>成功</t>
        </is>
      </c>
      <c r="C1404" t="inlineStr">
        <is>
          <t>読み方：かがやく
［動カ五（四）］《古くは「かかやく」》
１まばゆいほどきらめく。きらきら光る。光を放つ。「ネオンが—・く」
２生き生きとして明るさがあふれる。「希望に—・く未来」
３名誉や名声を得て華々しい状態にある。名が上がる。威光が現れる。「栄冠に—・く」
４恥ずかしがる。まばゆく思う。
「見苦しげなる人々も、—・き隠れぬるほどに」〈源・総角〉</t>
        </is>
      </c>
      <c r="D1404" t="inlineStr">
        <is>
          <t>輝く大きな；輝く小さな；輝く白い；輝くような笑顔；輝く瞳</t>
        </is>
      </c>
      <c r="E1404" t="inlineStr">
        <is>
          <t>光る；きらきら；スパーク；きらめく；瞬く</t>
        </is>
      </c>
      <c r="F1404" t="inlineStr">
        <is>
          <t>きらきらと輝く；きらきら輝く；明るく輝く；キラキラ輝く；キラキラと輝く</t>
        </is>
      </c>
      <c r="G1404" t="inlineStr">
        <is>
          <t>輝くとき；輝く都市；輝く夜；輝く日の宮；輝くトラペゾヘドロン</t>
        </is>
      </c>
      <c r="H1404" t="n">
        <v>29</v>
      </c>
      <c r="I1404" t="inlineStr">
        <is>
          <t>塔の両側には、顔のある金の太陽と顔のある金の三日月がそれぞれ輝く。；葉に白または淡紅色の小さな水玉が多数あり、星のように輝いて見える。；その結果、以下のチームがそれぞれシリーズチャンピオンに輝いている。；恐怖を感じると目が赤く輝いておびえ始め、同族や仲間に助けを求める。；星雲の明るく輝くガスの正面に位置する暗い部分は濃いガスと塵である。；このシーズンのジュニア世界選手権では個人・団体の2冠に輝いている。；この時期が地方が一番輝いていた時期といえるかも知れない。；それらはすべて黒を光輝く色だとすることにより、可能となったのである。；中間部では消滅する肉体と、天上で輝く魂の対比が旋律にも反映される。；いずれの力も、発揮したときには全身が輝いたように描かれる。；このとき、月軌道上より観測された地球は、太陽より明るく輝いたという。；このような文化は子供たちの輝く眼を育てるのに非常に有効である。；このような銃身は暗視装置で見た場合、誰にでも明るく輝いて見える。；一発芸のコーナーが終了した時点で最も得点の多い解答者がトップ賞に輝いた。；このタイプの星は通常はほぼ一定光度で輝いているが時々数等級ほど暗くなる。；近隣の丘が朝日を浴びて金色に輝くのにちなんで名づけられたとされる。；かつて何度も日本一に輝いた水球部は、大垣東高へと受け継がれている。；仏教伝承では、釈迦は明けの明星が輝くのを見て真理を見つけたという。；には監督に就任し、兵役で選手が払底している中で巨人を優勝に輝く。；しかしベティは月が地上で輝いていた光景を後に思い出した。；日本が唯一出場したモントリオールオリンピックでは得点王に輝いた。；上記にあるように扱いにくいが、ダイヤモンド以上に輝くため人気は高い。；その他の時は私は陽が輝けば芝生の上に出て、高い銀杏の樹の影に眠つた。；さらにアジア冬季競技大会にも参加しており、では3位に輝いている。；こういった功績が称賛され、2022年にはアカデミー名誉賞に輝いた。；また、山の斜面に帯状の雨氷ができ、それが白く輝いて見えることがある。；輝く自分を実現するには、他人を蹴落してでも上位にならなければならない。；年間ランキング4位で、この年のルーキー・オブ・ザ・イヤーに輝いた。；肩からは百の蛇の頭が生え、火のように輝く目を持ち、炎を吐いた。</t>
        </is>
      </c>
      <c r="J1404">
        <f>HYPERLINK("https://www.weblio.jp/content/輝く", "词义详情")</f>
        <v/>
      </c>
      <c r="K1404">
        <f>HYPERLINK("https://yourei.jp/輝く", "查看例句")</f>
        <v/>
      </c>
    </row>
    <row r="1405">
      <c r="A1405" t="inlineStr">
        <is>
          <t>係員</t>
        </is>
      </c>
      <c r="B1405" t="inlineStr">
        <is>
          <t>成功</t>
        </is>
      </c>
      <c r="C1405" t="inlineStr">
        <is>
          <t>読み方：かかりいん
官庁や会社で特定の仕事を受け持つ職員。</t>
        </is>
      </c>
      <c r="D1405" t="inlineStr">
        <is>
          <t>係員たち；係員配置；係員達；係員不在；係員無配置</t>
        </is>
      </c>
      <c r="F1405" t="inlineStr">
        <is>
          <t>改札係員；地上係員；鉄道係員；踏切係員；若い係員</t>
        </is>
      </c>
      <c r="H1405" t="n">
        <v>29</v>
      </c>
      <c r="I1405" t="inlineStr">
        <is>
          <t>その係員の背中をぼんやりと見送りながら、一人の男がつぶやいていた。；鑑識の係員たちは、ソファとドアの付近を中心に作業をしているようだ。；係員が彼の顔をみないようにしていたが、その理由が彼にはわからなかった。；いずれにしても運転手とブルームを操作する係員が2人一組で乗務する。；すぐに駆け寄ってきた係員から原田は厳しく注意されているようだった。；こちらはホーム係員がホーム柱に設置されたスイッチで操作する。；場合によっては、寝台車などで乗客の世話をする係員を指す場合もある。；当駅の集札は列車到着直後のみ改札口に係員が立つ仕組みとなっている。；管理の実権は青年会が握っており、45人の図書係員が業務を担当した。；電動機付の踏切遮断機が登場した後もその操作は踏切係員が行っていた。；したがって係員が直接応答するのは約一一〇〇件、一人平均一五〇件になる。；設定上は薫の前にも6人の特命係員がいたが、彼らは代数には数えない。；鑑識の係員が二人、デスクの向こう側で窓を開けて何かを調べていた。；主計官の机と係員の机との間には無理すれば三人ほど坐れる余地があった。；自販機は係員から視認できる位置に置かなければならない等の規制がある。；係員が棒の先で持ち上げても、我関せずでひとつになったままだった。；係員の処置は、かれのみならず自分をも否定されたような気にさせたのだった。；係員不在時に備え自動券売機も設置されていたが、現在は撤去されている。；だが、二階の部屋へはあがらずに、係員から見えないドアの外側で待った。；ドアの近くに係員が一人、デスクにむかって書類を忙しそうに調べていた。；無人運転が実施されているが、運転士の資格を持つ係員が添乗している。；係員が頭をゆっくり上げると、天井を見上げたまま大きく深呼吸した。；すなわち、係員には相手の顔が印象に残っているはずであります。；係員が僕の持っているマイクを受け取って次の人へと回しに行った。；前述詰所は通票交換を担当する係員のために設置されたものである。；テレビ中継車が二台、校庭の隅へ入り、係員がテストを繰り返していた。；基本は無人駅であるが大学の繁忙期や朝ラッシュ時には係員が配置される。；ロビーの係員が来てチャンネルを変え、NHKのニュースにして行った。；二軍戦やアマチュア野球では最寄の係員に返却することが一般的である。</t>
        </is>
      </c>
      <c r="J1405">
        <f>HYPERLINK("https://www.weblio.jp/content/係員", "词义详情")</f>
        <v/>
      </c>
      <c r="K1405">
        <f>HYPERLINK("https://yourei.jp/係員", "查看例句")</f>
        <v/>
      </c>
    </row>
    <row r="1406">
      <c r="A1406" t="inlineStr">
        <is>
          <t>かかる</t>
        </is>
      </c>
      <c r="B1406" t="inlineStr">
        <is>
          <t>成功</t>
        </is>
      </c>
      <c r="C1406" t="inlineStr">
        <is>
          <t>読み方：かかる
［動ラ五（四）］
１
㋐上が固定された状態で、高い所からぶらさがる。上から下へさがる。「壁に絵が—・っている」「カーテンの—・っている部屋」
㋑中空など、高い所に位置する。「月が中天に—・る」
㋒目につくように高い所に掲げられる。「高札が—・る」「磔(はりつけ)に—・る」
２（「繋る」とも書く）船が停泊する。係留される。「客船が桟橋に—・っている」
３
㋐火に当てるために容器が上からつるしさげられる。また、火の上に据え置かれる。「ガスに鍋が—・っている」
㋑《竿秤(さおばかり)にぶらさげて計量するところから》はかりに受けとめられる。…の目方がある。「重すぎてはかりに—・らない」「4キロ—・る（＝目方がほぼ4キロある）」
４
㋐（「架かる」とも書く）物が一方から他方へまたぐように渡される。「橋が—・る」
㋑ひも・縄などが物のまわりにかけ渡される。「水引の—・った祝いの品」
㋒張り巡らすようにして作られる。一時的に設営される。「クモの巣が—・る」「小屋が—・る」
㋓《仮小屋を作って行われたところから》興行される。上演・上映される。「見世物が—・る」「評判の映画が—・っている」
５
㋐ほかのものの上にかぶさる。一面を覆う。「イチゴにミルクが—・っている」「霧が—・る」
㋑水や粉などが飛び散って当たる。ふりかかる。「しぶきが—・る」「ほこりが—・る」
６仕掛けなどで捕らえる。また、捕らえられた状態で動きが止まる。「大きな魚が—・る」「網に—・った鳥」「凧(たこ)が木の枝に—・る」
７仕組まれた謀(はかりごと)に陥る。はまる。「相手の罠(わな)に—・る」「計略に—・る」「暗示に—・る」
８
㋐（「…の手にかかる」の形で）傷つけられたり、殺されたりする。「敵の手に—・る」
㋑（「目にかかる」の形で）目にとまる。見られる。「勘当したからは二度と親の目に—・るな」「お目に—・る（＝お会いする）」
９偶然に物にさわる。「うっかり手が—・ってしまった」
10
㋐他から作用・動作が及ぶ。「技が—・る」「ちっとも誘いが—・らない」
㋑送られてきて、こちらに届く。「声が—・る」「電話が—・ってくる」
㋒付いている仕掛けが働いて、本体が動かないように固定される。「錠が—・る」
㋓装置が作動して機能を発揮しだす。「車のエンジンが—・らない」「ひと晩じゅうラジオが—・っている」
11何かが心にしっかりと付いてその状態にとどまる。「気に—・る」「心に—・る日本の将来」
12
㋐望ましくないことがこちらの身に及んでくる。身にふりかかる。「迷惑が—・る」「疑いが—・る」
㋑負担すべきものとして押し付けられる。課せられる。「税金が—・る」
13（「罹る」とも書く）病気や災難などを身に受ける。とりつかれる。「伝染病に—・る」
14時間・費用・労力などが必要とされる。費やされる。要する。「手の—・る仕事」「完成に10年—・る」
15
㋐ものの働き・力が加わる。「芸に磨きが—・る」
㋑頭から押さえつけるような態度に出る。「かさに—・る」
16攻撃的に挑む。攻めていく。「束になって—・る」「攻略に—・る」
17
㋐物事に着手する。しはじめる。「仕事に—・る」「取り壊しに—・る」
㋑その事に当たる。従事する。「今—・っている仕事」
18ある範囲・場所・期間にまで及ぶ。経過してきてその所・時間に至る。「鼻に—・った声」「急勾配に—・る」「工事が来春まで—・る」
19重みなどがそちらに加え乗せられる。力などが向けられる。「体重が—・った姿勢」「揉(も)み消しの圧力が—・る」
20
㋐物心の両面にわたって頼みとする。他のものに頼る。養ってもらう。「老後は子供に—・る」
㋑処置・処理をまかせる。扱われる。「医者に—・る」「あの人に—・ってはかなわない」
21議案などが公の場に持ち出されて取り扱われる。「案件が委員会に—・る」「裁判に—・る」
22重大な結果が予想される。「優勝の—・った大一番」「懸賞が—・る」「この建物には保険が—・っている」
23
㋐そのような性質・傾向を帯びる。「赤みの—・った黄色」
㋑交配される。「四国犬にマスチフの—・った土佐犬」
24
㋐（係る）物事がかかわる。重要なところに関係をもつ。「存否に—・る問題」
㋑その人によって作られる。その人の手になる。「空海大師の開基に—・る」
25（係る）文章中のある語句の文法上の働きが、あとの他の語句と関係をもつ。修飾する。「『青い空』の『青い』は形容詞の連体形で、『空』に—・る」
26多く、動詞の連用形に接続助詞「て」を添えた形に付いて、初めからそのような状態で、またはそのように思い込んで、事に対する意を表す。「相手をのんで—・る」「だめだと決めて—・る」
27神霊が人間に乗り移る。
「神有(ま)して、皇后に—・りて誨(をし)へまつりて曰く」〈仲哀紀〉
28気分や調子が乗る。
「声も調子に—・り、能も心づくころなれば」〈花伝・一〉
29他の動詞の連用形のあとに付いて用いる。
㋐今にも…しそうになる。また、ちょうど…する。…しはじめる。「溺(おぼ)れ—・る」「崩れ—・る」「通り—・る」「立ち—・る」
㋑ある動作を他に向ける。何かに向かって…する。「飛び—・る」「寄り—・る」
[可能]かかれる［ラ下一］
[補説] 「掛かる」以外の表記は、次の観点で使い分けることが多い。懸かる…中空にある。また、重大な結果につながる。「空に月が懸かる」「優勝が懸かる」係る…関係する。「人命に係る問題」繋る…船をつなぐ。「船が桟橋に繋る」架かる…一方から他方へわたす。「橋が架かる」罹る…病気などにあう。「風邪に罹る」
[下接句]息が掛かる・意地に掛かる・御座敷(おざしき)が掛かる・御目(おめ)に掛かる・嵩(かさ)に懸かる・肩に掛かる・気に掛かる・食って掛かる・口が掛かる・口に税は掛からぬ・口の端(は)に掛かる・声が掛かる・心に掛かる・手が掛かる・縄に掛かる・箸(はし)にも棒にも掛からない・人手に掛かる・褌(ふんどし)を締めてかかる・刃(やいば)に掛かる</t>
        </is>
      </c>
      <c r="D1406" t="inlineStr">
        <is>
          <t>かかるだろ；かかる時間；かかる費用；かかる橋；かかる場合</t>
        </is>
      </c>
      <c r="E1406" t="inlineStr">
        <is>
          <t>関わる；関連する；関わっている；挑戦する；係る</t>
        </is>
      </c>
      <c r="F1406" t="inlineStr">
        <is>
          <t>降りかかる；落ちかかる；倒れかかる；斬りかかる；挑みかかる</t>
        </is>
      </c>
      <c r="H1406" t="n">
        <v>29</v>
      </c>
      <c r="I1406" t="inlineStr">
        <is>
          <t>駅の西に滝がかかっており、江戸時代にはこの滝が直接海に落ちていた。；この問題が解決するのは交渉で国境が確定した1267年までかかった。；それから彼らが駅に戻りたいと言い始めるまで一時間もかからなかった。；今までの筆法でこれから先を描写するとまた五六十枚もかかねばならん。；表階段をあがってくると思っていたのに、それこそ裏をかかれたのです。；また毎日三食饅頭だけで過ごし健康を害しかかったこともよく知られる。；手紙をかかないではいられないところもあるだろうではありませんか。；ポツポツと又つづけてかかなくてはならないから今日から始めましょう。；途中から曲がかかり始めて現場の声などがカットされてしまっている。；母親はすごく良い子で手がかからずスムーズに育ってきたと思っていた。；多くの歯は抜け落ち、食事や服を着るのにも非常に長い時間がかかった。；それは以前に二度かかれたものと同じものですが、その写しはこれです。；長く砂漠地帯で作戦を続けていたせいで汗をかかない体質になっている。；タージ・マハル建設にどれだけの費用がかかったかは明らかではない。；画学校の設立には、京都だけでなく日本国の芸術界の存亡がかかっていた。；当時の通商産業省と特許庁は対応に苦慮したが解決には時間がかかった。；しかし高校卒業時と同様、体が小さいという理由で声はかからなかった。；これらの作品は一九二七年の暮れ近くまでの間にかかれたものである。；その手紙を野村にかかせたのは、もとをいえばミネの側に原因があった。；しかしこの決定にGHQから待ったがかかり、自殺説発表は見送られた。；年齢制限はかかっていないものの、一部に過激な映像や表現が存在する。；十字架をはじめとする神の息のかかっているものとニンニクを忌避する。；何百本やったって、美津子にかかればみんなこういう風にされてしまう。；まるで死にかかつている人間のような様子で彼はもぞもぞとこう言った。；さて、私の家から三四郎の家までは、スキーで行けば十分とかからない。；ああいう人間が必要なら浅草辺を一日かかればいつでも探し出せますよ。；冗談なら文章をかかずに教師だけでひまがあれば遊んであるいている。；女は、警部の腕にもたれかかつているが苦しそうに身体をもがいている。；このような造りは費用がかかりすぎるというが問題も発生している。</t>
        </is>
      </c>
      <c r="J1406">
        <f>HYPERLINK("https://www.weblio.jp/content/かかる", "词义详情")</f>
        <v/>
      </c>
      <c r="K1406">
        <f>HYPERLINK("https://yourei.jp/かかる", "查看例句")</f>
        <v/>
      </c>
    </row>
    <row r="1407">
      <c r="A1407" t="inlineStr">
        <is>
          <t>掛かる</t>
        </is>
      </c>
      <c r="B1407" t="inlineStr">
        <is>
          <t>成功</t>
        </is>
      </c>
      <c r="C1407" t="inlineStr">
        <is>
          <t>読み方：かかる
［動ラ五（四）］
１
㋐上が固定された状態で、高い所からぶらさがる。上から下へさがる。「壁に絵が—・っている」「カーテンの—・っている部屋」
㋑中空など、高い所に位置する。「月が中天に—・る」
㋒目につくように高い所に掲げられる。「高札が—・る」「磔(はりつけ)に—・る」
２（「繋る」とも書く）船が停泊する。係留される。「客船が桟橋に—・っている」
３
㋐火に当てるために容器が上からつるしさげられる。また、火の上に据え置かれる。「ガスに鍋が—・っている」
㋑《竿秤(さおばかり)にぶらさげて計量するところから》はかりに受けとめられる。…の目方がある。「重すぎてはかりに—・らない」「4キロ—・る（＝目方がほぼ4キロある）」
４
㋐（「架かる」とも書く）物が一方から他方へまたぐように渡される。「橋が—・る」
㋑ひも・縄などが物のまわりにかけ渡される。「水引の—・った祝いの品」
㋒張り巡らすようにして作られる。一時的に設営される。「クモの巣が—・る」「小屋が—・る」
㋓《仮小屋を作って行われたところから》興行される。上演・上映される。「見世物が—・る」「評判の映画が—・っている」
５
㋐ほかのものの上にかぶさる。一面を覆う。「イチゴにミルクが—・っている」「霧が—・る」
㋑水や粉などが飛び散って当たる。ふりかかる。「しぶきが—・る」「ほこりが—・る」
６仕掛けなどで捕らえる。また、捕らえられた状態で動きが止まる。「大きな魚が—・る」「網に—・った鳥」「凧(たこ)が木の枝に—・る」
７仕組まれた謀(はかりごと)に陥る。はまる。「相手の罠(わな)に—・る」「計略に—・る」「暗示に—・る」
８
㋐（「…の手にかかる」の形で）傷つけられたり、殺されたりする。「敵の手に—・る」
㋑（「目にかかる」の形で）目にとまる。見られる。「勘当したからは二度と親の目に—・るな」「お目に—・る（＝お会いする）」
９偶然に物にさわる。「うっかり手が—・ってしまった」
10
㋐他から作用・動作が及ぶ。「技が—・る」「ちっとも誘いが—・らない」
㋑送られてきて、こちらに届く。「声が—・る」「電話が—・ってくる」
㋒付いている仕掛けが働いて、本体が動かないように固定される。「錠が—・る」
㋓装置が作動して機能を発揮しだす。「車のエンジンが—・らない」「ひと晩じゅうラジオが—・っている」
11何かが心にしっかりと付いてその状態にとどまる。「気に—・る」「心に—・る日本の将来」
12
㋐望ましくないことがこちらの身に及んでくる。身にふりかかる。「迷惑が—・る」「疑いが—・る」
㋑負担すべきものとして押し付けられる。課せられる。「税金が—・る」
13（「罹る」とも書く）病気や災難などを身に受ける。とりつかれる。「伝染病に—・る」
14時間・費用・労力などが必要とされる。費やされる。要する。「手の—・る仕事」「完成に10年—・る」
15
㋐ものの働き・力が加わる。「芸に磨きが—・る」
㋑頭から押さえつけるような態度に出る。「かさに—・る」
16攻撃的に挑む。攻めていく。「束になって—・る」「攻略に—・る」
17
㋐物事に着手する。しはじめる。「仕事に—・る」「取り壊しに—・る」
㋑その事に当たる。従事する。「今—・っている仕事」
18ある範囲・場所・期間にまで及ぶ。経過してきてその所・時間に至る。「鼻に—・った声」「急勾配に—・る」「工事が来春まで—・る」
19重みなどがそちらに加え乗せられる。力などが向けられる。「体重が—・った姿勢」「揉(も)み消しの圧力が—・る」
20
㋐物心の両面にわたって頼みとする。他のものに頼る。養ってもらう。「老後は子供に—・る」
㋑処置・処理をまかせる。扱われる。「医者に—・る」「あの人に—・ってはかなわない」
21議案などが公の場に持ち出されて取り扱われる。「案件が委員会に—・る」「裁判に—・る」
22重大な結果が予想される。「優勝の—・った大一番」「懸賞が—・る」「この建物には保険が—・っている」
23
㋐そのような性質・傾向を帯びる。「赤みの—・った黄色」
㋑交配される。「四国犬にマスチフの—・った土佐犬」
24
㋐（係る）物事がかかわる。重要なところに関係をもつ。「存否に—・る問題」
㋑その人によって作られる。その人の手になる。「空海大師の開基に—・る」
25（係る）文章中のある語句の文法上の働きが、あとの他の語句と関係をもつ。修飾する。「『青い空』の『青い』は形容詞の連体形で、『空』に—・る」
26多く、動詞の連用形に接続助詞「て」を添えた形に付いて、初めからそのような状態で、またはそのように思い込んで、事に対する意を表す。「相手をのんで—・る」「だめだと決めて—・る」
27神霊が人間に乗り移る。
「神有(ま)して、皇后に—・りて誨(をし)へまつりて曰く」〈仲哀紀〉
28気分や調子が乗る。
「声も調子に—・り、能も心づくころなれば」〈花伝・一〉
29他の動詞の連用形のあとに付いて用いる。
㋐今にも…しそうになる。また、ちょうど…する。…しはじめる。「溺(おぼ)れ—・る」「崩れ—・る」「通り—・る」「立ち—・る」
㋑ある動作を他に向ける。何かに向かって…する。「飛び—・る」「寄り—・る」
[可能]かかれる［ラ下一］
[補説] 「掛かる」以外の表記は、次の観点で使い分けることが多い。懸かる…中空にある。また、重大な結果につながる。「空に月が懸かる」「優勝が懸かる」係る…関係する。「人命に係る問題」繋る…船をつなぐ。「船が桟橋に繋る」架かる…一方から他方へわたす。「橋が架かる」罹る…病気などにあう。「風邪に罹る」
[下接句]息が掛かる・意地に掛かる・御座敷(おざしき)が掛かる・御目(おめ)に掛かる・嵩(かさ)に懸かる・肩に掛かる・気に掛かる・食って掛かる・口が掛かる・口に税は掛からぬ・口の端(は)に掛かる・声が掛かる・心に掛かる・手が掛かる・縄に掛かる・箸(はし)にも棒にも掛からない・人手に掛かる・褌(ふんどし)を締めてかかる・刃(やいば)に掛かる</t>
        </is>
      </c>
      <c r="D1407" t="inlineStr">
        <is>
          <t>掛かるかも知れ；掛かるかもしれ</t>
        </is>
      </c>
      <c r="E1407" t="inlineStr">
        <is>
          <t>なる；開始；攻撃；使う；始める</t>
        </is>
      </c>
      <c r="F1407" t="inlineStr">
        <is>
          <t>飛び掛かる；圧し掛かる；食って掛かる；のし掛かる；以上掛かる</t>
        </is>
      </c>
      <c r="H1407" t="n">
        <v>29</v>
      </c>
      <c r="I1407" t="inlineStr">
        <is>
          <t>これは世界で最もコストの掛かるエネルギープロジェクトとなっている。；用事は時計の番をするだけで、しかもその時計はまるで手が掛からない。；一方において私は犯人が掛からざるをえない確実な罠を作っておきます。；ベランダの窓が鍵が掛かっていたときは、窓を叩き割って部屋に入った。；三方向から全く同時に斬り掛かられてはどんな達人だろうと回避不可能。；例によって時計を出して計ってみると、六分ばかり掛かって帰ってきた。；当時の技術ではCPUとは別にROMを置く方がコストが掛かっていた。；襲名披露興行やその後しばらくの舞台では特にこれが掛かることが多い。；ただし、この服装が原因でキービジュアルの決定に最も時間が掛かった。；まさかとは思うが、自分の周囲にいた者に迷惑は掛からなかっただろうか。；しかし、莫大な建設費用が掛かることから、今のところ実現していない。；そのため専門家などに発見されるまでにはどうしても一定の分析時間が掛かる。；帰りには、早くお目に掛かろうと思って、馬車に乗って帰りましたの。；先きへ出ているものも、まだ為事には掛からずに、扇などを使っている。；死体と違い噴き出した血は勢いよくミミズクの顔に掛かり、目に入った。；それも一人ではなく幾多の黒の刺客が現れ、ティンに襲い掛かってくる。；全てを知るために、常に襲い掛かる頭痛に苦しみつつも脱出を開始する。；これらの計画は時間の掛かるものもあれば、短期間で実現するものもある。；条件を満たしてから信号機が実際に変わるまでは1秒程度の時間が掛かる。；しかし、既に虚化していたため襲い掛かってきた所を一護に助けられる。；家の窓も扉も鍵が掛かっていたため、二人は穴を掘って家の中に入る事にする。；ロックが掛かっていない部屋は敵を無視して進むこともできる。；その他、主要貿易相手国によるものや主要物資に掛かるものなどがある。；操作がとても難しく、慣れるまでに時間が掛かってしまう客も多かった。；しかしいくつもの問題を抱えることとなり、完成には時間が掛かった。；これまで一度もお目に掛かったことがないじゃありませんか。；この海賊の当主は敵に掛かれと言っただけで、まだ何の下知もしていない。；セリエは幼いころから本作が家の壁に掛かっているのを見ていた。；松浦先生とは不破の家の掛かりつけの医者である松浦桂庵のことだった。</t>
        </is>
      </c>
      <c r="J1407">
        <f>HYPERLINK("https://www.weblio.jp/content/掛かる", "词义详情")</f>
        <v/>
      </c>
      <c r="K1407">
        <f>HYPERLINK("https://yourei.jp/掛かる", "查看例句")</f>
        <v/>
      </c>
    </row>
    <row r="1408">
      <c r="A1408" t="inlineStr">
        <is>
          <t>架かる</t>
        </is>
      </c>
      <c r="B1408" t="inlineStr">
        <is>
          <t>成功</t>
        </is>
      </c>
      <c r="C1408" t="inlineStr">
        <is>
          <t>読み方：かかる
［動ラ五（四）］
１
㋐上が固定された状態で、高い所からぶらさがる。上から下へさがる。「壁に絵が—・っている」「カーテンの—・っている部屋」
㋑中空など、高い所に位置する。「月が中天に—・る」
㋒目につくように高い所に掲げられる。「高札が—・る」「磔(はりつけ)に—・る」
２（「繋る」とも書く）船が停泊する。係留される。「客船が桟橋に—・っている」
３
㋐火に当てるために容器が上からつるしさげられる。また、火の上に据え置かれる。「ガスに鍋が—・っている」
㋑《竿秤(さおばかり)にぶらさげて計量するところから》はかりに受けとめられる。…の目方がある。「重すぎてはかりに—・らない」「4キロ—・る（＝目方がほぼ4キロある）」
４
㋐（「架かる」とも書く）物が一方から他方へまたぐように渡される。「橋が—・る」
㋑ひも・縄などが物のまわりにかけ渡される。「水引の—・った祝いの品」
㋒張り巡らすようにして作られる。一時的に設営される。「クモの巣が—・る」「小屋が—・る」
㋓《仮小屋を作って行われたところから》興行される。上演・上映される。「見世物が—・る」「評判の映画が—・っている」
５
㋐ほかのものの上にかぶさる。一面を覆う。「イチゴにミルクが—・っている」「霧が—・る」
㋑水や粉などが飛び散って当たる。ふりかかる。「しぶきが—・る」「ほこりが—・る」
６仕掛けなどで捕らえる。また、捕らえられた状態で動きが止まる。「大きな魚が—・る」「網に—・った鳥」「凧(たこ)が木の枝に—・る」
７仕組まれた謀(はかりごと)に陥る。はまる。「相手の罠(わな)に—・る」「計略に—・る」「暗示に—・る」
８
㋐（「…の手にかかる」の形で）傷つけられたり、殺されたりする。「敵の手に—・る」
㋑（「目にかかる」の形で）目にとまる。見られる。「勘当したからは二度と親の目に—・るな」「お目に—・る（＝お会いする）」
９偶然に物にさわる。「うっかり手が—・ってしまった」
10
㋐他から作用・動作が及ぶ。「技が—・る」「ちっとも誘いが—・らない」
㋑送られてきて、こちらに届く。「声が—・る」「電話が—・ってくる」
㋒付いている仕掛けが働いて、本体が動かないように固定される。「錠が—・る」
㋓装置が作動して機能を発揮しだす。「車のエンジンが—・らない」「ひと晩じゅうラジオが—・っている」
11何かが心にしっかりと付いてその状態にとどまる。「気に—・る」「心に—・る日本の将来」
12
㋐望ましくないことがこちらの身に及んでくる。身にふりかかる。「迷惑が—・る」「疑いが—・る」
㋑負担すべきものとして押し付けられる。課せられる。「税金が—・る」
13（「罹る」とも書く）病気や災難などを身に受ける。とりつかれる。「伝染病に—・る」
14時間・費用・労力などが必要とされる。費やされる。要する。「手の—・る仕事」「完成に10年—・る」
15
㋐ものの働き・力が加わる。「芸に磨きが—・る」
㋑頭から押さえつけるような態度に出る。「かさに—・る」
16攻撃的に挑む。攻めていく。「束になって—・る」「攻略に—・る」
17
㋐物事に着手する。しはじめる。「仕事に—・る」「取り壊しに—・る」
㋑その事に当たる。従事する。「今—・っている仕事」
18ある範囲・場所・期間にまで及ぶ。経過してきてその所・時間に至る。「鼻に—・った声」「急勾配に—・る」「工事が来春まで—・る」
19重みなどがそちらに加え乗せられる。力などが向けられる。「体重が—・った姿勢」「揉(も)み消しの圧力が—・る」
20
㋐物心の両面にわたって頼みとする。他のものに頼る。養ってもらう。「老後は子供に—・る」
㋑処置・処理をまかせる。扱われる。「医者に—・る」「あの人に—・ってはかなわない」
21議案などが公の場に持ち出されて取り扱われる。「案件が委員会に—・る」「裁判に—・る」
22重大な結果が予想される。「優勝の—・った大一番」「懸賞が—・る」「この建物には保険が—・っている」
23
㋐そのような性質・傾向を帯びる。「赤みの—・った黄色」
㋑交配される。「四国犬にマスチフの—・った土佐犬」
24
㋐（係る）物事がかかわる。重要なところに関係をもつ。「存否に—・る問題」
㋑その人によって作られる。その人の手になる。「空海大師の開基に—・る」
25（係る）文章中のある語句の文法上の働きが、あとの他の語句と関係をもつ。修飾する。「『青い空』の『青い』は形容詞の連体形で、『空』に—・る」
26多く、動詞の連用形に接続助詞「て」を添えた形に付いて、初めからそのような状態で、またはそのように思い込んで、事に対する意を表す。「相手をのんで—・る」「だめだと決めて—・る」
27神霊が人間に乗り移る。
「神有(ま)して、皇后に—・りて誨(をし)へまつりて曰く」〈仲哀紀〉
28気分や調子が乗る。
「声も調子に—・り、能も心づくころなれば」〈花伝・一〉
29他の動詞の連用形のあとに付いて用いる。
㋐今にも…しそうになる。また、ちょうど…する。…しはじめる。「溺(おぼ)れ—・る」「崩れ—・る」「通り—・る」「立ち—・る」
㋑ある動作を他に向ける。何かに向かって…する。「飛び—・る」「寄り—・る」
[可能]かかれる［ラ下一］
[補説] 「掛かる」以外の表記は、次の観点で使い分けることが多い。懸かる…中空にある。また、重大な結果につながる。「空に月が懸かる」「優勝が懸かる」係る…関係する。「人命に係る問題」繋る…船をつなぐ。「船が桟橋に繋る」架かる…一方から他方へわたす。「橋が架かる」罹る…病気などにあう。「風邪に罹る」
[下接句]息が掛かる・意地に掛かる・御座敷(おざしき)が掛かる・御目(おめ)に掛かる・嵩(かさ)に懸かる・肩に掛かる・気に掛かる・食って掛かる・口が掛かる・口に税は掛からぬ・口の端(は)に掛かる・声が掛かる・心に掛かる・手が掛かる・縄に掛かる・箸(はし)にも棒にも掛からない・人手に掛かる・褌(ふんどし)を締めてかかる・刃(やいば)に掛かる</t>
        </is>
      </c>
      <c r="D1408" t="inlineStr">
        <is>
          <t>架かる東日本旅客鉄道只見線；架かる石造単アーチ橋；架かる東日本旅客鉄道磐越西；架かる石造アーチ橋；架かる古い</t>
        </is>
      </c>
      <c r="E1408" t="inlineStr">
        <is>
          <t>掛かる；垂れる；垂れ下がる；ぶら下がる；懸る</t>
        </is>
      </c>
      <c r="H1408" t="n">
        <v>29</v>
      </c>
      <c r="I1408" t="inlineStr">
        <is>
          <t>また段丘の上を結ぶ橋と下を結ぶ橋が二重に架かっているところもある。；このあたりは、上流にも下流にも似たような橋がいくつも架かっている。；背後の壁に架かった鏡は、そこに存在しないものについても示している。；山からの流れに小さな橋が架かっていて、その向こうが神社となっていた。；江戸時代には敷地を東西に道三堀が流れており道三橋が架かっていた。；また鉄道の橋が架かっており、自転車や人もこの橋を利用することができる。；よくよく見ると蛇行して流れる河のずっと上流に橋が架かっているのだった。；集落名の後半部は、この集落の近郊に古くから架かっていた橋を意味している。；琵琶湖に接する搦手口にも城下町があり、湖には百間橋が架かっていた。；平行して流れる綾瀬川に架かる四ツ木小橋を含めて呼ばれることもある。；交差点を西に進むとクンドゥーズ川があり周辺では珍しく橋が架かっている。；この橋が架かる以前は「小山渡し」と呼ばれる渡し船が運行されていた。；対岸の集安との間には鉄道橋が架かっており、流通の拠点となっている。；続いて数マイル東にあるニュー川に架かる鉄道橋を破壊することとされた。；名古屋市と御器所村の境界に板製の橋が架かっていたことに由来する。；この付近には、本橋梁に隣接して旧国道121号の吊橋も架かっていた。；橋の名称は橋の架かる場所が高坂地内に位置することからその地名が付けられた。；そのとき、寺沖と由希子の間には見えない橋が架かり、時間が止まった。；それをずっと歩いてドブ川に架かった石の橋を過ぎたところが寺院の脇の道だった。；この家だと思いながら私は前の溝川に架かった一間ばかりの木橋を渡った。；踏み切りを渡り、線路を挟んでもう一本架かっている橋の上に出た。；かつて橋が架かっていた場所にはモニュメントが設置されている。；駅は漢江に架かる堂山鉄橋の南にあり、周辺には住宅街が広がっている。；滝壺を構成するふたつの岩を繋ぐために小さな木の橋が架かっている。；梯子段が架かっているが、上から見た限りではどのくらい深いかはわからない。；これは2つの川に市内で多くの橋が架かっていることによる。；平行して流れる綾瀬川に架かる新四ツ木小橋を含めて呼ばれることもある。；交差点の位置に、かつて川が流れそこに「二枚橋」が架かっていたそうだ。；月は中天に架かっていて、敵に発見されない限り作業はしやすい。</t>
        </is>
      </c>
      <c r="J1408">
        <f>HYPERLINK("https://www.weblio.jp/content/架かる", "词义详情")</f>
        <v/>
      </c>
      <c r="K1408">
        <f>HYPERLINK("https://yourei.jp/架かる", "查看例句")</f>
        <v/>
      </c>
    </row>
    <row r="1409">
      <c r="A1409" t="inlineStr">
        <is>
          <t>関わる</t>
        </is>
      </c>
      <c r="B1409" t="inlineStr">
        <is>
          <t>成功</t>
        </is>
      </c>
      <c r="C1409" t="inlineStr">
        <is>
          <t>読み方：かかわる
［動ラ五（四）］
１関係をもつ。関係する。「研究に—・った人々」
２重大なつながりをもつ。影響が及ぶ。「命に—・る問題」
３（拘る）こだわる。「つまらぬことに—・っている場合ではない」
[可能]かかわれる</t>
        </is>
      </c>
      <c r="D1409" t="inlineStr">
        <is>
          <t>関わるべき；関わるあらゆる；関わる諸</t>
        </is>
      </c>
      <c r="E1409" t="inlineStr">
        <is>
          <t>関係；影響；決定；形成；関連</t>
        </is>
      </c>
      <c r="F1409" t="inlineStr">
        <is>
          <t>大きく関わる；直接関わる；関わる大問題；関わる重大事；関わる業務全般</t>
        </is>
      </c>
      <c r="H1409" t="n">
        <v>29</v>
      </c>
      <c r="I1409" t="inlineStr">
        <is>
          <t>霊感商法など反社会的な行為を行っている組織に関わってどうするのか。；ただし、作業に関わるスタッフはかなりの負担を強いられたといわれる。；教会自体が政治的活動に関わるかどうかは、教会それぞれ異なっている。；謎と見ると放っておかれず、仕事抜きで事件に関わっていくことも多い。；軍としては衛生管理のために何らかの形で関わるのは当然と思っている。；特に、実際なら生命に関わるような失敗をしても許される点は重要である。；自分が息子の運命に関われるのはそこまでだと、親父は心に決めていた。；特に医師の少ない地方では、病院存続に関わる問題となってきている。；逸話も多く、同馬とそれに関わる人々を描いた小説が映画化されている。；これまで最も多く製作に関わっているのは松竹で、14作製作している。；エイリアンが段階に関わらず穴の上を通ると、その穴は消滅してしまう。；最後の段階は娘鎖伸長に関わるタンパク質が親鎖に集合することである。；また、系列会社ではないが、石原プロが設立に関わっている会社もある。；彼はそれをも関わずだんだん力を籠めて抱きすくめてゆくと泣き出した。；以下の作品はすべて上海アリス幻樂団が関わっていない二次創作である。；こうした組織は、都市行政にも関わっていたことが推測されている。；中には映画館などないにも関わらず中止を発表する地方まで現れた。；具体的には 等とその大学がどのように関わったかという事例が考えられる。；貿易はそれに関わった双方の国に利益をもたらす事が知られている。；なるほど、この世界には僕たちに関係していながら関われない戦いがある。；また の記述から、最後の審判にも天使が関わるものと考えられている。；地区議会は市区に関わる質問・議論を聞くために重要な機会である。；女性がより王位継承に関わるようになるのは、新王国時代のことである。；また、性ホルモンに関わる遺伝子に特徴が示されている研究結果もある。；東京大学理学部で動物学を学んだ後、教育用の科学映画の作成に関わる。；上演時間は約220分で、タルコフスキーが関わった作品では最も長い。；本条文は無線局の無線従事者の操作及び監督の範囲に関わるものである。；平成仮面ライダーシリーズでよく関わることになる人物とも出会っている。；このため、ほとんどの支店が何らかの形で高速バス運行に関わっている。</t>
        </is>
      </c>
      <c r="J1409">
        <f>HYPERLINK("https://www.weblio.jp/content/関わる", "词义详情")</f>
        <v/>
      </c>
      <c r="K1409">
        <f>HYPERLINK("https://yourei.jp/関わる", "查看例句")</f>
        <v/>
      </c>
    </row>
    <row r="1410">
      <c r="A1410" t="inlineStr">
        <is>
          <t>果敢</t>
        </is>
      </c>
      <c r="B1410" t="inlineStr">
        <is>
          <t>成功</t>
        </is>
      </c>
      <c r="C1410" t="inlineStr">
        <is>
          <t>読み方：かかん
［形動］［文］［ナリ］決断力に富み、物事を思いきってするさま。「—な行為」「勇猛—」
[派生]かかんさ［名］</t>
        </is>
      </c>
      <c r="D1410" t="inlineStr">
        <is>
          <t>果敢な攻撃；果敢な行動；果敢につい；果敢な抵抗；果敢な挑戦</t>
        </is>
      </c>
      <c r="E1410" t="inlineStr">
        <is>
          <t>積極的；大胆；熱烈；強硬；堂々たる</t>
        </is>
      </c>
      <c r="F1410" t="inlineStr">
        <is>
          <t>猛烈果敢；果敢無い；果敢なオーバーラップ；果敢な走塁；果敢なみ</t>
        </is>
      </c>
      <c r="G1410" t="inlineStr">
        <is>
          <t>果敢なく；果敢な；果敢なき</t>
        </is>
      </c>
      <c r="H1410" t="n">
        <v>29</v>
      </c>
      <c r="I1410" t="inlineStr">
        <is>
          <t>これは果敢な逃げというべきか、持っていかれたのか、よくわからない。；日本は十一人が一体となって果敢にプレスを仕掛けてくるわけでもない。；その後はPGAツアーにも挑戦するなど積極果敢な姿勢も持っていた。；更により根本的なことは、慶喜に果敢な戦闘意志のなかったことである。；隊員たちは果敢に反撃しているらしく、聞き慣れた叫び声が聞えてくる。；実写版では原作とテレビアニメの間を取り、仲間との協力で果敢に戦う。；犬たちは、際限なく舞い降りてくる雪の民を相手に、果敢に戦っている。；セイユウは当時果敢にサラブレッドに挑戦していたため対戦はしていない。；彼の果敢な陣頭指揮ぶりは、現場をみた者をひとしく感動させたのである。；それでも彼の意志は、理性は、この淫欲地獄に果敢な抵抗を示している。；この際の太平天国軍の兵士の果敢な戦いぶりは今も安慶に伝わっている。；城壁を果敢に攻めている両部隊はさかんに国王のもとに注進を出していた。；彼は世間が良識・良俗とみなしているものに果敢に挑戦状を突きつける。；イスタンブールで恋人はその身を果敢なんで、死んでしまったのです。；俺たちもまた全幅の信頼と果敢な戦闘でよく仁の指揮に応えたと思う。；僕は先輩が単独で果敢に捜査してるもんだと思ってました。；もちろんぼくたちは、もしも攻撃を受けたら果敢に応戦していたであろう。；それでおまえは敏捷果敢な猫属の一員といえるか、と呆れたのである。；またドライバーたちも果敢なレーシング・スピリットを披露してみせた。；ラッキーは何とかジャスティスの心を開かせようと果敢にアタックする。；文学の可能性を押し広げるべく、果敢な批評活動を展開し続けている。；自分達が果敢に戦い信頼を得れば、残される弱き者達が苦しまずにすむ。；亨はその顔に似合わず果敢に一回り以上も大きい相手に向かっていく。；果敢な顔の、この表情が彼女の心にいつもいちばん深く触れるのだ。；そして首相鈴木貫太郎もまた、天皇と同じ心に生きる果敢なる戦士であった。；横瀬浦では領主が受洗の時の約束以上に果敢に振舞うのを見て非常に喜んだ。；本国寺から七条道場のあいだの戦闘で驚くべき果敢な働きを示したのである。；後はこの無能な詐欺師の下で彼らに軍属に果敢に踊ってもらいたいのです。；ぐったりとなった重い男の体に果敢に挑み、苦労して衣服をはぎ取った。</t>
        </is>
      </c>
      <c r="J1410">
        <f>HYPERLINK("https://www.weblio.jp/content/果敢", "词义详情")</f>
        <v/>
      </c>
      <c r="K1410">
        <f>HYPERLINK("https://yourei.jp/果敢", "查看例句")</f>
        <v/>
      </c>
    </row>
    <row r="1411">
      <c r="A1411" t="inlineStr">
        <is>
          <t>柿</t>
        </is>
      </c>
      <c r="B1411" t="inlineStr">
        <is>
          <t>成功</t>
        </is>
      </c>
      <c r="C1411" t="inlineStr">
        <is>
          <t>読み方：かき
１カキノキ科の落葉高木。また、その実。山地に自生するが、古くから栽培される。よく分枝し、葉は短楕円形で先がとがり、光沢がある。秋に紅葉する。初夏に白い雌花と雄花とが咲き、秋に黄赤色の実を結ぶ。実には萼(がく)が残ってつく。品種も多く、甘柿には富有・次郎・御所など、渋柿には平核無(ひらたねなし)・西条などがあり、実を生または干して食べる。材は家具などに用いる。《季花＝夏 実＝秋》「—くへば鐘が鳴るなり法隆寺／子規」
２「柿色」の略。
３柿色の布子(ぬのこ)。かきそ。</t>
        </is>
      </c>
      <c r="D1411" t="inlineStr">
        <is>
          <t>柿江(3%)；柿丘(2%)；柿葺き；柿島さん；柿坂</t>
        </is>
      </c>
      <c r="E1411" t="inlineStr">
        <is>
          <t>カキ</t>
        </is>
      </c>
      <c r="F1411" t="inlineStr">
        <is>
          <t>赤い柿；大きな柿；禅寺丸柿；青い柿；夜柿</t>
        </is>
      </c>
      <c r="G1411" t="inlineStr">
        <is>
          <t>柿本；柿の木；柿沢；柿沼；柿色</t>
        </is>
      </c>
      <c r="H1411" t="n">
        <v>29</v>
      </c>
      <c r="I1411" t="inlineStr">
        <is>
          <t>店の左手には上さんの商いなのか、わずかの柿を台に広げて売っている。；その年は秋がきても、ほんとに柿はただの一つもなっていませんでした。；何十年このかたおじいさんはこの柿をたべなんだ年は一年もないんだぞ。；やがて、正太の心に一本の柿の樹が活動の大写しになって近づいて来た。；もとは別の名をもたぬくらいに、これが普通の柿であったのかと思う。；柑類は皮の色も肉の色も殆ど同一であるが、柿は肉の色がすこし薄い。；というか、実の柿としてはそういうものがあった方が嫌なんじゃないの!?；あれは柿江と共通にはいていたんだが、柿江の奴今ごろは困っているだろう。；高い台の上に二つほど並べた箱には柿やキャラメルが入れてあった。；おいよ 柿の実ならば、おまえのお寺にも沢山に生っているではないか。；柿江はそれを見ると、ふとまた考えてはならぬものを考えだしてしまっていた。；言われるままにその男の尻をほじって嘗めたところ、甘い柿の味がした。；折柄柿落葉の時節で宿から南郷街道へ出るまでは木の葉で路が一杯です。；この柿は庭に植えてから、一度もならずに枯れてしまったと記憶している。；おそらく彼は何んの意味もない酔興から柿江をそこに連れていったのだろう。；何のことから始まったのか、柿の木の下で、兄弟は取っ組み合っていた。；多分、今の自分は頬を真っ赤に染めて、熟した柿のような顔色のはずだ。；柿を売っていた男、荒物屋の女房、これも一緒に連れて行かれました。；あの棒で強く打たれゝば打たれるほど、柿は甘くなるとかき聞きました。；三四郎は柿の核を吐き出しながら、此男の顔を見てゐて、情なくなつた。；道沿いの農家に柿の実が、朱く、秋の朝空に活きたように色づいていた。；始めて家を建てた時に友達から貰つた柿の樹が非常に大きくなつた。；その木の枝の高い上の方には、たつた一つだけ柿の赤いのが殘つて居ました。；当初は松平と称していたが、松平の地を追われ高柿氏に改姓していた。；柿といふものは妙に重い頭のやうな ぽたりと音を立てておちるものだ。；小学校を卒業後は、家で薪割りや柿は山の牛の世話などの仕事をこなした。；高い臺の上に二つほど並べた箱には柿やキヤラメルが入れてあつた。；大阪府花柿郡の四野佐和子さんが手紙を止めたために恋人に殺されました。；柿江は三人の顔にかわるがわる眼をやりながら爪をかみ続けていた。</t>
        </is>
      </c>
      <c r="J1411">
        <f>HYPERLINK("https://www.weblio.jp/content/柿", "词义详情")</f>
        <v/>
      </c>
      <c r="K1411">
        <f>HYPERLINK("https://yourei.jp/柿", "查看例句")</f>
        <v/>
      </c>
    </row>
    <row r="1412">
      <c r="A1412" t="inlineStr">
        <is>
          <t>鍵</t>
        </is>
      </c>
      <c r="B1412" t="inlineStr">
        <is>
          <t>成功</t>
        </is>
      </c>
      <c r="C1412" t="inlineStr">
        <is>
          <t>読み方：かぎ
《鉤(かぎ)と同語源》
１錠(じょう)の穴に差し込み、開閉するための金属製の道具。キー。「ドアに—をかける」
２錠前そのもの。錠。
３物事を理解したり、解決したりするのに最も大切な事柄。キー。「事件解決の—を握る」
４紋所の名。鍵を組み合わせた文様。</t>
        </is>
      </c>
      <c r="D1412" t="inlineStr">
        <is>
          <t>鍵穴(3%)；鍵蔵(3%)；鍵束；鍵屋；鍵孔</t>
        </is>
      </c>
      <c r="E1412" t="inlineStr">
        <is>
          <t>ポイント；示唆；キー；手がかり；暗示</t>
        </is>
      </c>
      <c r="F1412" t="inlineStr">
        <is>
          <t>重要な鍵；小さな鍵；鍵生成アルゴリズム；鍵を失くし；鍵万燈</t>
        </is>
      </c>
      <c r="G1412" t="inlineStr">
        <is>
          <t>鍵をかけて；鍵盤楽器；鍵穴；鍵屋；鍵盤ハーモニカ</t>
        </is>
      </c>
      <c r="H1412" t="n">
        <v>29</v>
      </c>
      <c r="I1412" t="inlineStr">
        <is>
          <t>物語中にはあるトリックがあり、またこれこそが物語の最大の鍵である。；彼らの家のドアは鍵がいくつも付けられ、防犯カメラも設置されている。；ジョナスはドアを見つけたが、鍵はかかっていないが開けられなかった。；スワンの死体のポケットにあった鍵はスワン自身のアパートの鍵だった。；カーネギーは人生を価値あるものとする鍵はフィランソロピーだとした。；本作では女学校時代から番外編まで、この言葉が重要な鍵となっている。；その上、僕の詩の鍵を握った連中は、概して僕を外界から守ってくれた。；これは、錠前が特定の形状の鍵のみしか受け入れないことに例えられる。；犯人しか知り得ない鍵の隠し場所を自ら暴露したトニーは敗北を認める。；今日にいたるまでの教会の歴史は、『健康な教会の鍵』で書かれている。；ベランダの窓が鍵が掛かっていたときは、窓を叩き割って部屋に入った。；鍵は意味のある文だから、得られた仮の鍵は文章の一部として成り立つ。；先述・後述にもある通り、当番組は終始体力勝負が鍵になる番組だった。；その夜、一人の痩せた弱々しい青年が小屋の鍵をこじ開けて入ってきた。；ジーンはリックに別の鍵屋を呼び、錠を再び変更するよう要求している。；何故なら信頼されるのは人ではなく鍵そのものだからである。；魔法の道具である花の鍵は、途中機能アップが図られたものに変更された。；のちにその夜、いくつかの窓とドアに鍵がかけられていなかったことが判明した。；放射性炭素年代を解釈する上で鍵となる概念は考古学でいう共伴である。；弱い鍵ややや弱い鍵を実装で使わないようにするのは容易である。；ティコはより精密な観測がより正確な予測を行うための鍵であると認識した。；この触手の性質を理解してうまく活用することが攻略の鍵となる。；そこで彼女の鍵を捜索したところ、階段に隠されているのを発見した。；作中には物語を進める上で謎を解く鍵となる書物がいくつか登場する。；中ほどで直角にあるいは鍵の手に折れ、その前後で道幅が違っている。；また小型の機種では一部の半音のボタン鍵を省略しているものもある。；一度クリアしたフロアは鍵が無くても扉を破って進むことができる。；瑞鶴の貝塚艦長は退艦を拒否し、艦長休憩室に入って鍵をかけたという。；そうした多民族性は、ハンガリー音楽・文化を解く重要な鍵としている。</t>
        </is>
      </c>
      <c r="J1412">
        <f>HYPERLINK("https://www.weblio.jp/content/鍵", "词义详情")</f>
        <v/>
      </c>
      <c r="K1412">
        <f>HYPERLINK("https://yourei.jp/鍵", "查看例句")</f>
        <v/>
      </c>
    </row>
    <row r="1413">
      <c r="A1413" t="inlineStr">
        <is>
          <t>書き込む</t>
        </is>
      </c>
      <c r="B1413" t="inlineStr">
        <is>
          <t>成功</t>
        </is>
      </c>
      <c r="C1413" t="inlineStr">
        <is>
          <t>読み方：かきこむ
［動マ五（四）］
１文章の行間や余白に字などを書き加える。書き入れる。「欄外に注を—・む」
２定められた場所に文字や文を書いて入れる。記入する。「申込書に名前を—・む」
３すみずみまで目を届かせて書く。「時代背景もよく—・まれている」
４コンピューターで、メモリー上にあるデータなどを補助記憶装置に移し入れる。「作成したプログラムをディスクに—・む」⇔読み込む。</t>
        </is>
      </c>
      <c r="D1413" t="inlineStr">
        <is>
          <t>書き込むべき；書き込む形</t>
        </is>
      </c>
      <c r="E1413" t="inlineStr">
        <is>
          <t>保存；書く；埋める；セーブ；埋め尽くす</t>
        </is>
      </c>
      <c r="H1413" t="n">
        <v>29</v>
      </c>
      <c r="I1413" t="inlineStr">
        <is>
          <t>そこには自分の要求した額、三三六万円という数字が書き込まれていた。；そして、腕に書き込まれている患者のナンバーが変えられていたという。；詳細図では、モデルの一部を拡大し2次元の詳細を書き込む事ができる。；しかし私が綴方へ真実を書き込むと必ずよくない結果が起ったのである。；撮影監督のによると、脚本段階で多くのイメージが書き込まれたという。；美音子はそこでふと、紙の裏面に何かが書き込まれている事に気づいた。；ある人物を殺すように指示し、その方法まで書き込んでいるのだった。；この部屋に泊まった客が記念におもいつくままの文章を書き込んでいる。；ついでに普段出入りしているミリタリー系の掲示板にも書き込んでおく。；なんか自分が書き込んで次に見た瞬間に、あれ、これ下がってらあとか。；なお紐の長さの調整、サインを書き込む程度であればこの限りではない。；コントロール部にはフレームの役割を指定する制御情報が書き込まれる。；来る日も来る日も書類をめくり、数字を書き込んだり判を押したりする。；しかし私が綴方へ眞實を書き込むと必ずよくない結果が起つたのである。；みんなハンドルネームは適当でも、冗談半分で書き込んだとも思えない。；その本の一冊一冊が、遺伝子に書き込まれたデータだと想像してください。；時間的な制約があってここまで書き込むことができなかったのだと思いたい。；申告したものとは違うサイズがそこには書き込まれていたのである。；もしも書き込まれているとしたら、どういう形で書き込まれているのか。；その文字が、だんだんと両足の付け根の方に向かって書き込まれてゆく。；ちゃんとスコアが書き込まれているのはフェニーシアンのコースだけだ。；そこで彼は患者の病歴と退院時の状況を書き込んだカードを用意した。；医者は早くも黄ばんだカルテによたった文字で何事かを書き込んでいる。；大学生活のノウハウが書き込まれたサイトの、人間関係の項目にあった。；元々は手術の際に皮膚に直接書き込むために用いられたので、この名称がある。；彼女の持つターディス色の手帳にはドクターの未来が書き込まれている。；あの行燈の中へきっと俺、三遊亭小圓太の名前を書き込ませてやるから。；そのために、学校名を書き込むことができるボードが用意されている。；二つ折りにされたその紙には、明の文字が書き込まれていた・・・。</t>
        </is>
      </c>
      <c r="J1413">
        <f>HYPERLINK("https://www.weblio.jp/content/書き込む", "词义详情")</f>
        <v/>
      </c>
      <c r="K1413">
        <f>HYPERLINK("https://yourei.jp/書き込む", "查看例句")</f>
        <v/>
      </c>
    </row>
    <row r="1414">
      <c r="A1414" t="inlineStr">
        <is>
          <t>書留</t>
        </is>
      </c>
      <c r="B1414" t="inlineStr">
        <is>
          <t>成功</t>
        </is>
      </c>
      <c r="C1414" t="inlineStr">
        <is>
          <t>読み方：かきとめ
郵便物の特殊取扱の一。郵便局が引き受けから配達までを記録し、途中で亡失や棄損があった場合は一定の範囲内で損害を賠償する。一般書留・現金書留・簡易書留の3種類がある。書留郵便。→特殊取扱郵便</t>
        </is>
      </c>
      <c r="D1414" t="inlineStr">
        <is>
          <t>書留小包(4%)；書留速達(4%)；書留便；書留役；書留窃盗事件</t>
        </is>
      </c>
      <c r="E1414" t="inlineStr">
        <is>
          <t>記録；文書；記；帳簿；筆記</t>
        </is>
      </c>
      <c r="F1414" t="inlineStr">
        <is>
          <t>俳諧書留</t>
        </is>
      </c>
      <c r="G1414" t="inlineStr">
        <is>
          <t>書留め；書留める</t>
        </is>
      </c>
      <c r="H1414" t="n">
        <v>29</v>
      </c>
      <c r="I1414" t="inlineStr">
        <is>
          <t>書留を持っていなければ、むしろ新橋駅のほうへ向かったかもしれない。；書留にしなかつたからと云ふことが殊更不安を感じさせるのであつた。；半年ほど過ぎてから、書留便で、籍を抜いてくれるようにいってやった。；私はそれを兄の手から受け取った時、すぐその書留である事に気が付いた。；いつの頃だか知らないが、或る日総理大臣官邸へ書留の手紙がとどいた。；一週間ほどしてから、その友達から書留が來て、それには七十圓入つてゐた。；朝四時頃床に入って九時半頃、東京からの書留が来たので起される。；普通に出すより書留の方が何だかましのように思えますから、これはそうするわ。；NHKからの書留を、自分の部屋の机の上に置くと、トットは考えた。；書留です、と彼は言って、受取票の中の小さなスペースを指で示した。；家へ帰ると、思わぬところから書留が来ているかも知れない。；レポーターとの電話は常に録音し、それを書き起こしたものを書留で相手に送った。；郵便物の引受においては書面で記録されるという点は書留と同じである。；考えあぐねた末、彼は愛子にこの書留便をそのまま手渡そうと思った。；彼は、書留を受け取ったのも、小為替を手にしたのも、これがはじめてだった。；元禄10年頃から赤穂藩の書留に名が見えるのでその頃の仕官と見える。；「その書留、私が田崎課長に言われて出したんです」 と、その子は言った。；わたしは書留の手紙をテーブルの上に置いた。；宅配便の場合は前述の書留の場合と方法は同じである。；国際郵便で貴重品を送る場合は、必ず国際書留または保険付としなければならない。；手紙の文句によると、本券はよほど以前に書留でもって発送したが受け取ったかと書かれてあるのでした。；彼はその書留を受けとつたとき、やはり父の底意地のわるさを憎んだ。；書留、速達便の前には人の山を築いていることもある。；書留でもなんでもない普通の封書なんだからね。；こんどは農婦が手に書留の郵便を持って、それを自分に突出した。；べこは歩いて洗濯屋へ洗濯ものおいて、郵便局へよって書留を出した。；私が先週の日曜頃出した書留の手紙はごらんいただいたでしょうか。；EMSとは一言で言えば、国際の速達書留のようなものである。；また、オーストラリアとドイツ宛てはSAL書留に対応していない。</t>
        </is>
      </c>
      <c r="J1414">
        <f>HYPERLINK("https://www.weblio.jp/content/書留", "词义详情")</f>
        <v/>
      </c>
      <c r="K1414">
        <f>HYPERLINK("https://yourei.jp/書留", "查看例句")</f>
        <v/>
      </c>
    </row>
    <row r="1415">
      <c r="A1415" t="inlineStr">
        <is>
          <t>書き留める</t>
        </is>
      </c>
      <c r="B1415" t="inlineStr">
        <is>
          <t>成功</t>
        </is>
      </c>
      <c r="C1415" t="inlineStr">
        <is>
          <t>読み方：かきとどめる
［動マ下一］［文］かきとど・む［マ下二］のちのちのために書いて残しておく。「議事録に—・める」</t>
        </is>
      </c>
      <c r="D1415" t="inlineStr">
        <is>
          <t>記録；記載；登録；レコーディング；記す</t>
        </is>
      </c>
      <c r="H1415" t="n">
        <v>29</v>
      </c>
      <c r="I1415" t="inlineStr">
        <is>
          <t>まるでその会のおよねを書き留める為に日記をつけはじめたようである。；その名前は記憶の隅に書き留めるだけにして、もう一度本をひっくり返す。；考えるばかりではなく、考えを書き留めるというのはいいことですね。；当日に記録者がいない場合は、終了後か後日にまとめて書き留める。；こんな物の中から何かしら見出しては、例の紺珠に書き留めるのである。；彼は、状況をすべて書き留めるようにする魔法日記をつける必要性と関連づけた。；シアは、人間とはあまりにも異質な生物の歴史と記憶を、紙へと書き留める。；経験を振り返るために、彼女は子供たちに彼らが学んだことを書き留めるように指示した。；その紙に書き留めることが彼らの任務であった。；そのとき記録できる状態にいるならば、重要なことは何ひとつもらさず書き留めることだ。；そして、朗読者が読み進めている間に、記録者は文章を書き留める。；今日でもレシピ、宗教伝承、民話等を書き留めるのに用いられている。；この頃から三川は見聞きした飢饉の様子や世間の窮状を日記風に書き留めるようになった。；しかし、それを書き留める方法がないからこそ揉めることになる。；その様子を観察して、いろんな人の特徴をノートに書き留める。；田中さんだけは調べたことを書き留めるために、紙と鉛筆をお持ちになっていたけれど。；彼はきみにある供述をするから、きみはそれを入念に書き留める。；喜怒哀楽を書き留めることに、何かの意味を持たせるように。；私のためになることなどは何もありませんし、その紙に名前を書き留めるほどの価値のある人物とは、一人だってあそこで会ったことがありません。；そこでわたくしは、わがご主人様の宇宙軍でのご活躍をひそかに書き留めることにした。；今までにハーボットが体験したことを書き留めるノートや、さまざまな種類のゲームがある。；しかし書き留めるまでもなく、ふかえりのメッセージのポイントははっきりしていた。；いやちょっとは覚えてるんだけど、書き留める暇がないから穴だらけの笊みたいに忘れつづける。；ぼくはこれを一応心に書き留めると、ラーメン屋に入った。；広間にいるリディアには、五分後に言葉をひとつ書き留めるよう言い残していった。；しかしここではそれをつぶさに書き留める余裕はない。；私はそんなものに出会うと、アパートに戻ってから忘れないうちに、ノートに書き留めることにしていた。；ただし、作りたい絵は見えているので、アイデアを書き留めるのが字か絵かという違いでしかない。；電話で喋りながら、その喋った言葉の端々を綿々とメモに書き留めるのだ。</t>
        </is>
      </c>
      <c r="J1415">
        <f>HYPERLINK("https://www.weblio.jp/content/書き留める", "词义详情")</f>
        <v/>
      </c>
      <c r="K1415">
        <f>HYPERLINK("https://yourei.jp/書き留める", "查看例句")</f>
        <v/>
      </c>
    </row>
    <row r="1416">
      <c r="A1416" t="inlineStr">
        <is>
          <t>書き取る</t>
        </is>
      </c>
      <c r="B1416" t="inlineStr">
        <is>
          <t>成功</t>
        </is>
      </c>
      <c r="C1416" t="inlineStr">
        <is>
          <t>読み方：かきとる
［動ラ五（四）］
１人の話す言葉を書き記す。「講演の要点を—・る」
２書いてある文章などを書き写す。「古い文献を—・る」</t>
        </is>
      </c>
      <c r="H1416" t="n">
        <v>29</v>
      </c>
      <c r="I1416" t="inlineStr">
        <is>
          <t>何か考へてそれをそのまゝ書き取ると云ふ事は、実に骨の折れる仕事だ。；矢島先生は殿様がお見えになると必ず書き取りをやってごらんに入れる。；トマスは著作を自ら筆記せず、口述したものを弟子たちに書き取らせた。；指定された場所は、裕生が書き取ったメモを見てだいたい分かっている。；武田はラーメンを食べ終えたあと、気のついたことを手帳に書き取った。；物語の多くは文章に書き取られる前に、口の上で語られて居た。；電話をとったディレクターが急いで書き取った紙をまわしてきた。；部屋へ入ったら、ノートブックを出して、会話を全部、書き取るんだよ。；レベルに応じた漢字の読み取り問題と書き取り問題を交互に解いていく。；文字にして原稿紙へ書き取る暇さえ、ゆっくり与えてはくれないからであった。；インド流に解釈して適当に書き取るから、そんな間違いが起こる。；それから残った二人は相談し合い、一人は警部が低い声でいう言葉を書き取りました。；彼女らの眼は室の中のあたりを見回し、探索し拾い上げ書き取っていた。；両チーム5人ずつが車に乗り、同時に漢字の書き取り問題に挑戦する。；日本語についても漢字の書き取りなどをしていたとされ、来日経験もある。；僕自身の勉強のために書き取ったものだから、正確には書き写されていない。；日本と中国は、どちらも話しことばを書き取るのに同じように漢字を使う。；あの人がスイスで腕を折ったとき、口述でお手紙を書き取ったのは彼女なのです。；それは私の書いたもので、私が五十年前に習字の先生の言葉を書き取ったものだ。；その慧能が他の弟子に書き取ってもらったのが以下の偈である。；同じ文章を何百回も書き取りするとか、そういう罰だと思っていた。；ところが十人ちかく書き取った頃に、ふと妙なことに気がついた。；機械のように手を動かして書き取った、エドモン先生の講義録がある。；どこをどうしたいのか小夜子からよく聞いた彼は、すべてをノートに書き取っていた。；私は彼等にその文句をゆっくりいって貰って書き取り、手のいろいろな形を写生した。；横にいた記録係の部下が書き取っていた。；わかるところだけ書き取っても、あまりにも飛び飛びで、意味など通じない。；あの時、歌の文句を書き取っていたのに、惜しいことになくしてしまいました。；彼がとうとう物語のいくつかをわたしに書き取らせるつもりになったのだとてっきり思いこんだのだ。</t>
        </is>
      </c>
      <c r="J1416">
        <f>HYPERLINK("https://www.weblio.jp/content/書き取る", "词义详情")</f>
        <v/>
      </c>
      <c r="K1416">
        <f>HYPERLINK("https://yourei.jp/書き取る", "查看例句")</f>
        <v/>
      </c>
    </row>
    <row r="1417">
      <c r="A1417" t="inlineStr">
        <is>
          <t>書き直す</t>
        </is>
      </c>
      <c r="B1417" t="inlineStr">
        <is>
          <t>成功</t>
        </is>
      </c>
      <c r="C1417" t="inlineStr">
        <is>
          <t>読み方：かきなおす
［動サ五（四）］一度書いたものを書き改める。書きかえる。「記事を—・す」</t>
        </is>
      </c>
      <c r="D1417" t="inlineStr">
        <is>
          <t>書き換える；リライト；書きなおす；書き改める；書き替える</t>
        </is>
      </c>
      <c r="H1417" t="n">
        <v>29</v>
      </c>
      <c r="I1417" t="inlineStr">
        <is>
          <t>したがって、この方程式は次のように書き直すことができるはずである。；これを書き直すとすれば、以下のようにするのが一つの方法である。；そしてまた書き直させられはすまいかと恐れて、野の中へ逃げ出した。；そのなかで一つだけ、どうしても書き直さなければならないことばがあった。；このため半年がかりの修正になり、ほとんど書き直すことになったという。；その内容は人間が生きているかぎりつぎつぎと書き直されていくものでしょう。；摩擦速度はせん断応力を速度の単位を用いて書き直された速度である。；第一章の書き直す筈の分をのぞいて、百四十四枚目、これからが大変である。；離婚したのなら、うちの課にある身上書を書き直すべきかどうかでね。；しかし全体としての説明は不幸にして今の言葉には容易に書き直されないものである。；言葉を選択し、書き損じたといっては泣きそうになりながら新たに書き直す。；この時、反応速度式は以下のようなより一般的な形に書き直すことができる。；生命システムを書き直そうとする研究者はまずリファクタリングに目をつけた。；詔書の八百十五字、書き直すにはさらに一時間以上を要するであろう。；視聴率が低いことを理由に、脚本を何度書き直させられただろうか。；私は書き直すのなら全部、それが不承知ならば引き受けないと返事をした。；詩の方は思い出して書き直すことも出来たが、訳詩の方はうまく行かなかった。；これは性能と移植性の両方を重視して完全にゼロから書き直された。；コードは当初Rubyで記述されていたが、一部は後にGoで書き直された。；また、三角関数の等式を用いて、この式を書き直す方法がたくさんある。；改良が加えられた時などにもマニュアルを書き直す作業が発生して業務の負担となっていた。；最終的にはReiが昔書いた曲を採用し、歌詞は全面的に書き直す形で制作。；多くの人々の手によって書き直されたりしているのがうかがわれる。；まず書き直さねばいけないところは、この主人公の職業である。；書いては書き直すことを繰り返し、1曲目ができるのに半年以上かかったという。；夜に書いた部分を、昼の光の中で頭から書き直さなくてはならないことが多かった。；ネスターの書いた見取り図を、製図用紙に書き直す作業をしていたのだ。；粛清と並行して、ソビエトの教科書と他の宣伝材料の歴史を書き直させた。；間違いなく医療プログラムは戦闘用に書き直されている。</t>
        </is>
      </c>
      <c r="J1417">
        <f>HYPERLINK("https://www.weblio.jp/content/書き直す", "词义详情")</f>
        <v/>
      </c>
      <c r="K1417">
        <f>HYPERLINK("https://yourei.jp/書き直す", "查看例句")</f>
        <v/>
      </c>
    </row>
    <row r="1418">
      <c r="A1418" t="inlineStr">
        <is>
          <t>垣根</t>
        </is>
      </c>
      <c r="B1418" t="inlineStr">
        <is>
          <t>成功</t>
        </is>
      </c>
      <c r="C1418" t="inlineStr">
        <is>
          <t>読み方：かきね
１敷地を限るために設ける囲いや仕切り。竹や植木などで作る。垣。
２垣の根元。
３間を隔てるもの。「心の—」</t>
        </is>
      </c>
      <c r="D1418" t="inlineStr">
        <is>
          <t>垣根帝督；垣根道；垣根ぞい；垣根いっぱい；垣根つづき</t>
        </is>
      </c>
      <c r="E1418" t="inlineStr">
        <is>
          <t>壁；塀；柵；フェンス；垣</t>
        </is>
      </c>
      <c r="F1418" t="inlineStr">
        <is>
          <t>高い垣根；白い垣根；手摺垣根</t>
        </is>
      </c>
      <c r="G1418" t="inlineStr">
        <is>
          <t>垣根ごし；垣根表現</t>
        </is>
      </c>
      <c r="H1418" t="n">
        <v>29</v>
      </c>
      <c r="I1418" t="inlineStr">
        <is>
          <t>門から玄関までの通路と庭との境に、垣根のないことをいうのであった。；気がせくのでその庭の垣根のそばだか土手のそばだかへ近づいて行った。；門側の垣根で、住居にはうしろだつたから私たちはその蛇を見なかつた。；垣根の近くまで寄って行ったらまるで新派のセットのような感じの家。；これらのシリーズはプラモデルの垣根を越えた作品展開がされている。；あたかもそのときに庭の垣根を越えて、一匹の美しい虫が飛んで来た。；企業の垣根を超えて冷凍生地を相互に提供しているケースも多数存在する。；かつての東宝名人会と同様に、主演者は協会の垣根を超えて顔付けされる。；ウィリアム・オルブライトは垣根を描いた文字に由来するかと言っている。；一同は白い垣根に下がっていた札のそばに自転車を倒し、山積みにした。；私が一燈園にかえってあくる朝は大雪で、林も垣根もま白になりました。；断崖の頂上には、昔菜園だった場所を囲んでいた垣根の跡が残っていた。；この特徴が彼とその仲間との間に一つの垣根をつくっていた。；乃公も尾いて行ったが、ポチは垣根を潜って隣家の庭へ入ってしまった。；垣根の向うに、どこから持ってきたのか一台の自動車がジッと停っていた。；そして、お邸の垣根をこえて、自分の家の庭へ、とびこんだのであった。；やっとアンリは、生命の草があるという庭園の垣根を遠くから見ました。；この根は、農夫達が根の垣根をつくる材料にするようなものであった。；庭だか菜園だか分らないものが、軒から爪下りに向うの垣根まで続いています。；その言葉のずっと奥のほうに、さっきの垣根の外の声が隠れているように思えたのだ。；椿岳は晩年画かきの仲間入りをしていたが画かき根性を最も脱していた。；縁に近い座席には 昼間掘返された垣根の土が 仄かに匂ひ漂つてくる。；だが、わたしたちすべての者のまわりには高い高い垣根がまわされています。；科の垣根を越えて交流を深めるため体育大会や体育交流も実施されている。；庭の芭蕉のいと高やかに延びて、葉は垣根の上やがて五尺もこえつべし。；問屋とメーカーの垣根は今後も低くなっていくことが考えられる。；コスモスの花時になると、子供等が垣根に背伸びして、よくとりにきた。；垣根の外から見た女が着ていたのと同じ棒縞の着物であった。；人類は国家の垣根を越え、アースディフェンスフォースを設立し対抗した。</t>
        </is>
      </c>
      <c r="J1418">
        <f>HYPERLINK("https://www.weblio.jp/content/垣根", "词义详情")</f>
        <v/>
      </c>
      <c r="K1418">
        <f>HYPERLINK("https://yourei.jp/垣根", "查看例句")</f>
        <v/>
      </c>
    </row>
    <row r="1419">
      <c r="A1419" t="inlineStr">
        <is>
          <t>掻き回す</t>
        </is>
      </c>
      <c r="B1419" t="inlineStr">
        <is>
          <t>成功</t>
        </is>
      </c>
      <c r="C1419" t="inlineStr">
        <is>
          <t>読み方：かきまわす
［動サ五（四）］
１手や道具をある物の中に入れて、ぐるぐるまわす。「風呂の湯を—・す」
２中のものをいじって、乱雑にする。「机の中を—・す」
３混乱やもめごとを生じさせる。「彼の発言が会議を—・した」</t>
        </is>
      </c>
      <c r="H1419" t="n">
        <v>29</v>
      </c>
      <c r="I1419" t="inlineStr">
        <is>
          <t>ビリビリと肉の中を掻き回されて、いても立ってもいられないあの嫌な感じ。；おずおずと、しかし面白げに、細い棒かなにかで髪が掻き回されている。；魔女たちはあのような釜を掻き回すというが、わたしは一度も見ていない。；小銭を探してズボンのポケットを掻き回すが、数枚の紙幣があるだけだ。；胃の中を爪で掻き回されるような気持ちで、さらに詳しい情報を集める。；徒に部屋を掻き回していないのは盗人でも年季を積んだ者の仕業である。；そんなふうに考えながら、私は鍋の中のカレーをゆっくり掻き回しました。；私が部屋を掻き回している間、セイジは戸口に立って私のすることを見ていた。；繁竹さんとしては、事態を掻き回してみたくもなったのではないでしょうか。；「ジェンキンズだがね」 といつまでも掻き回しながら歯の間から言った。；そしてあとの天下はなにとぞ私めに掻き回させてくださいますよう!；「私はもう直ぐ死ぬ」ゴリオ爺さんが土くれの火を掻き回しながら言った。；どこかぼんやりしたような顔で、なにも言わずに座っていた場所に戻ると、鞄を掻き回した。；急に掻き回される生温かい空気の中で、八重子はへなへなと坐り込んだ。；ある日のこと、この少年が囲炉裏火にあたりながら灰を掻き回していると金を発見する。；なにか気の利いた話題を探そうと、必死に頭の中を掻き回した。；その音は嵐に掻き回されてはるか彼方まで飛んでいった。；濡れて色が濃くなった髪を掻き回し、友人は珍しく苛立っている。；木場の引っ掻き回した事件が解決していなかったのである。；脳の襞の中まで掻き回してみた、が何も出て来ない。；あとは掻き回したりしないで、小さく音を立てて啜るように飲む。；古びた机を掻き回してみたが、これというものも発見できない。；彼らは、捜すというよりはむしろ、書類の山のなかを掻き回しているに等しかった。；喉と胸の内部を掻き回していた包丁が、力ずくで跳ね上げられた。；草野球大会を掻き回した以外、なーんもしてねえもんな。；そして、ガンプ本体が受けたものと同様に脳を内部から掻き回され、何が起こっているのか理解する間もなく次々と倒れていった。；いきなり肉の中を火箸で掻き回されているみたいで。；忠道は指を奥深くまで入れて掻き回してから静かに抜いた。；マサ子が孝二の後から土を掻き回して、拾い残した薯を丹念に集めて歩いた。</t>
        </is>
      </c>
      <c r="J1419">
        <f>HYPERLINK("https://www.weblio.jp/content/掻き回す", "词义详情")</f>
        <v/>
      </c>
      <c r="K1419">
        <f>HYPERLINK("https://yourei.jp/掻き回す", "查看例句")</f>
        <v/>
      </c>
    </row>
    <row r="1420">
      <c r="A1420" t="inlineStr">
        <is>
          <t>かき乱す</t>
        </is>
      </c>
      <c r="B1420" t="inlineStr">
        <is>
          <t>成功</t>
        </is>
      </c>
      <c r="C1420" t="inlineStr">
        <is>
          <t>読み方：かきみだす
［動サ五（四）］
１かき回すようにして乱れさせる。「髪を—・す」
２落ち着きのある状態を、混乱させる。「秩序を—・す」</t>
        </is>
      </c>
      <c r="D1420" t="inlineStr">
        <is>
          <t>刺激；乱す；揺るがす；揺さぶる；騒がせる</t>
        </is>
      </c>
      <c r="H1420" t="n">
        <v>29</v>
      </c>
      <c r="I1420" t="inlineStr">
        <is>
          <t>私の心をかき乱す相矛盾した不安定な気分には脱出口というものがない。；自分は永久に知ることのないこの神秘にすっかり胸をかき乱されていた。；あんなお手紙は私の気持ちをいらだたせ、私の精神をかき乱すだけです。；この私が一人で娘達をかき乱す原因を作った、私が彼女達を甘やかした。；なんの目的もなしに、いたずらに子供たちの感情をかき乱すことになる。；眠りはいろいろな夢や記憶でいっぱいで、すっかりかき乱されていた。；こんなに興奮している私を見たら心がみじめにかき乱されるでしょう。；たとえ感じたとしても、それは彼らの立派な平静さをかき乱すであろう。；一度落ちついたその気持が、おすえが来てまたかき乱されたようだった。；この男は何物にも心をかき乱されない種類の人間にぞくしているのである。；怪音は、まるで怨念でも伝えるかのように、平和な夜をかき乱していた。；とにかく仕事は、それをかき乱したりせずに、弁護士にまかせることだ。；空気の層を荷物がかき乱して起こす殷々たる響きにぼくは耳を傾けた。；この場面でマウンドを守っている江夏の張りつめた気分はかき乱された。；組織としての捜査本部の動きをかき乱すようなことをやってはいけないと。；彼らに運ばれながら、さまざまな疑念がわたしの心をかき乱していた。；それは長く尾を引き、聞く者の心を千々にかき乱す不快な笑い声だった。；だがこちらから出した一通の手紙がTの心をかき乱したのである。；夜、自分の部屋に帰ったとき、彼女は異様に胸がかき乱されているのを感じた。；父のいたその場所は、かき乱されてただ薄黒い煤のあとしか残っていない。；つまり父親の心をかき乱すことなく、興味だけを引いたのである。；もちろん、今までにだつて、彼女の昼寝をかき乱すものがあつたのである。；それにつけてよこして呉れた手紙は又私共の感情をかき乱すものになった。；静謐が、心をかき乱されることのない安静が何よりも今は慕わしかった。；ひっそり暮らしていた蟻が突然かき乱され、侵入者に怒ったに違いない。；空気をかき乱すような粗暴さとは対極の、洗練された身のこなしだった。；そうはいっても、かれの出現で、わたしは、ひどく心がかき乱された。；やがてわたしの夢が正確に再現されているのを知ったことで、心が激しくかき乱された。；あなたのきわめてデリケートな感情をかき乱すようなことはいたしませんから。</t>
        </is>
      </c>
      <c r="J1420">
        <f>HYPERLINK("https://www.weblio.jp/content/かき乱す", "词义详情")</f>
        <v/>
      </c>
      <c r="K1420">
        <f>HYPERLINK("https://yourei.jp/かき乱す", "查看例句")</f>
        <v/>
      </c>
    </row>
    <row r="1421">
      <c r="A1421" t="inlineStr">
        <is>
          <t>限り</t>
        </is>
      </c>
      <c r="B1421" t="inlineStr">
        <is>
          <t>成功</t>
        </is>
      </c>
      <c r="C1421" t="inlineStr">
        <is>
          <t>読み方：きり
［名］
１区切り。切れ目。「—のよいところでやめる」「—をつける」
２（多く「きりがない」「きりのない」などの形で用いる）かぎり。はて。際限。「欲をいえば—がない」
３（限り）商品の先物取引で、受け渡しの期限。限月(げんげつ)。「先—(さきぎり)」
４芸能で、最後の部分。
㋐謡曲で、1曲の最後の部分。
㋑浄瑠璃・歌舞伎で、一段・一幕の最後の部分。「四の—」
㋒寄席(よせ)で、その日の最後の出し物。また、その演者。
㋓「切能(きりのう)」の略。
㋔「切狂言(きりきょうげん)」の略。
５碁で、相手の石の接続を切断すること。また、そのような手。
［接尾］助数詞。やや厚めに切ったものを数えるのに用いる。
「干し瓜三—ばかり食ひ切りて」〈宇治拾遺・七〉</t>
        </is>
      </c>
      <c r="D1421" t="inlineStr">
        <is>
          <t>限りなく(4%)；限りなき；限り早く；限り有効；限り避け</t>
        </is>
      </c>
      <c r="E1421" t="inlineStr">
        <is>
          <t>程度；範囲；程；領域；きり</t>
        </is>
      </c>
      <c r="F1421" t="inlineStr">
        <is>
          <t>可能な限り；同年限り；シーズン限り；数限り；無い限り</t>
        </is>
      </c>
      <c r="G1421" t="inlineStr">
        <is>
          <t>限りなく透明に近いブルー；限りなき前進；限り無い；限りなき戦い；限り無し</t>
        </is>
      </c>
      <c r="H1421" t="n">
        <v>29</v>
      </c>
      <c r="I1421" t="inlineStr">
        <is>
          <t>ここでの時代区分はできる限り早い時期から始まるよう定義されている。；美がよいものとされる限りにおいて、他のよいものとの関係が問われる。；この後方に連接した副目標が全て真となった場合に限り副目標は真となる。；この限りにおいて個人と世界の間には永遠なる断絶が存在するのである。；以下はこの節では特に断りが無い限り、地方自治法は条数のみ記載する。；終電同士以外では駅や指令から特別な指示がない限り接続を取らない。；また写像の制限の記号は誤解のおそれが無い限り省略されることも多い。；知られている限り、全ての藍藻は好気環境下で酸素発生型光合成を行う。；ただし非等方的な系ではこの限りでなく、生体膜や界面などの例がある。；首相は連邦議会議員であることを要するが、大統領はこの限りではない。；名詞だけ見る限り所属クラスが不明確な場合でも一致を確かめれば分かる。；この治水対策はヨーロッパが現在行っている治水対策に限りなく近い。；親告罪においては告訴されない限りは犯罪ではない、と言う見解もある。；また一代限りの地金鑑定を行う銀見役は準座人としての地位であった。；できる限り人物の記事を作成してから追加するようお願いします。；辺の長さが明示的に与えられていない限り、道の長さは道中の辺の数である。；そのほかの構造やシステムは、可能な限りA320と共通化された。；ドイルと会ったことがある日本人は確認されている限り2人である。；更にその残りの半分にも同様、と到着すべき地点が限りなく前に続く故に到着しない。；鬼はよほど足が速くない限り、全員を凍った状態にすることは難しい。；言語はこういった情報伝達形式の一つである限りで研究される。；このときに限りすべての急病人搬送に官民すべての車両の使用を許可した。；前者はクラブ会の管轄下にあるが、後者はその限りではない。；ここでは特に断りのない限り、エポック社製のものを中心に記述する。；運動量保存の法則が成立する限り、それはどこかになくてはならない。；銀のタロットだけはミネアが使った場合に限り様々な色に変化する。；また、 と とが互いに素であるときかつそのときに限り である。；このようなオパールは普通に取り扱っている限りは特に問題がない。；日本軍は戦闘拡大を望まず、事態悪化を防ぐためにできる限り全てのことをした。</t>
        </is>
      </c>
      <c r="J1421">
        <f>HYPERLINK("https://www.weblio.jp/content/限り", "词义详情")</f>
        <v/>
      </c>
      <c r="K1421">
        <f>HYPERLINK("https://yourei.jp/限り", "查看例句")</f>
        <v/>
      </c>
    </row>
    <row r="1422">
      <c r="A1422" t="inlineStr">
        <is>
          <t>限りない</t>
        </is>
      </c>
      <c r="B1422" t="inlineStr">
        <is>
          <t>成功</t>
        </is>
      </c>
      <c r="C1422" t="inlineStr">
        <is>
          <t>読み方：かぎりない
［形］［文］かぎりな・し［ク］
１果てしがない。際限がない。きりがない。「—・く広がる青空」「—・い愛情」
２この上ない。最上である。「—・い名誉」
３程度がはなはだしい。ひと通りでない。
「心のさときこと—・し」〈宇津保・俊蔭〉</t>
        </is>
      </c>
      <c r="D1422" t="inlineStr">
        <is>
          <t>最高；広い；常；無数の；広大な</t>
        </is>
      </c>
      <c r="H1422" t="n">
        <v>29</v>
      </c>
      <c r="I1422" t="inlineStr">
        <is>
          <t>そういう時には、すべてが二人の間では限りなく価値あるものとなった。；人間には限りなき向上性があり、従ってまた大衆も向上性を持っている。；しかし、その境界は限りなく薄いというか、境界の設定は不可能である。；我々の支配と完全な所有とは、婦人たちが限りなく恐れるところである。；二つの考えがわたしにとりついて、それらを限りなく貴重なものにした。；かといって、朝に電話しても美鎖が起きている可能性は限りなく低い。；追えば限りなく逃げるし、といって、待っていても寄ってきてくれない。；限りなく長い時間に思われたが、そう長く待っている必要はなかった。；そしてこれからも限りなく消えていくのだろう、病院とはそういう場所だ。；吾々自から自己の生みの力の限りなきことを再び信じ得なければならぬ。；限りなく続く激しい肉体の苦痛から一刻も早く解放してもらいたいと。；俳優を使っていても限りなくドキュメンタリーに近い表現で撮影する。；午後になってもまだ布は限りなくあって、部屋中、布でいっぱいになった。；沢山あるというよりは数限りなく無数にあると言った方がよかった。；このようなわけなので妹の義女も人々は限りなく重くもてなして居た。；かかる連続の上に於て始めて吾々は限りなきものを限ることが出来る。；ささいな事から、商人が財産を没収された例は、限りなくあった時代だ。；幼い子供を抱いて、戦火の中を逃げ廻った悲惨な話は数限りなくあった。；しかし、それは正直いって僕には限りなくどうでもいいことだった。；完成だけはさせたものの、限りなく失敗に近い結果に終わっている。；しかし、これを合成して行けば、限りなくそれに近づくことができる。；犯罪ではないが限りなくそれに近いことをしているのだから。；又プロ化する事で報酬が限りなく上昇する事も問題視されていた。；彼は、それら「関係」を限りなく住み変える人生を約束させられている。；職人の生活、いや徒弟の生活でさえも、限りなく魅力あるものに見えた。；また現実の歴史と限りなく類似したものでなければならない。；そして限りなく増加する人口を、限られた狭い範囲に押し込みました。；そういうものを、現実生活と同じレベルで描いた小説はすでに数限りなくある。；その分野の学生のための数限りなく多様な科目が用意されている。</t>
        </is>
      </c>
      <c r="J1422">
        <f>HYPERLINK("https://www.weblio.jp/content/限りない", "词义详情")</f>
        <v/>
      </c>
      <c r="K1422">
        <f>HYPERLINK("https://yourei.jp/限りない", "查看例句")</f>
        <v/>
      </c>
    </row>
    <row r="1423">
      <c r="A1423" t="inlineStr">
        <is>
          <t>限る</t>
        </is>
      </c>
      <c r="B1423" t="inlineStr">
        <is>
          <t>成功</t>
        </is>
      </c>
      <c r="C1423" t="inlineStr">
        <is>
          <t>読み方：かぎる
［動ラ五（四）］
１時間・空間・数量・資格などに境をし、範囲を定める。「期限を十日と—・る」「申し込みは一人一枚に—・ります」
「荒いが此の風、五十鈴川で—・られて、宇治橋の向うまでは吹くまいが」〈鏡花・歌行灯〉
２
㋐特にそれと限定する。「その件に関する—・り、問題はない」「うちの子に—・り、そんなことをするはずはない」→限って
㋑（「…に限る」の形で）他に、これに勝るものがない。最上である。「夏はビールに—・る」「こういうときにはその手に—・る」
㋒（打消しの語を伴って）そうと断定できない意を表す。「酒がからだに毒だとは—・らない」
[可能]かぎれる</t>
        </is>
      </c>
      <c r="D1423" t="inlineStr">
        <is>
          <t>限るまい(4%)；限るべき</t>
        </is>
      </c>
      <c r="F1423" t="inlineStr">
        <is>
          <t>限るという規則；限るという条件</t>
        </is>
      </c>
      <c r="H1423" t="n">
        <v>29</v>
      </c>
      <c r="I1423" t="inlineStr">
        <is>
          <t>よって確実に起こると予測される事象はごく限られたものとなっている。；アメリカでは議会の多数党と大統領の所属政党が一致するとは限らない。；保有装備運用は、特にドイツや日本等の限られた国のみとなっている。；そんな時は二日でも五日でも人間の顔を見ずに、床に入っているに限る。；成績優秀であるからといっても必ず良い産駒が生まれるとは限らない。；原料の種類も七種に限らず、客の求めに応じて減じたり増したりできる。；相貌は類義を持つほか人の顔立ちに限らず物事の様子を指す場合もある。；関手が完全であるのは左完全かつ右完全のときであり、そのときに限る。；ただし使用する際は決められた場所に限る、と同国では定められている。；もっとも、歴史上このような事は金やモンゴル帝国に限った事ではない。；その結果、多くの病院が救急の患者のみの受け入れに限ることとなった。；だから人によっては音の高低を色で感じることができないにも限るまい。；現在の公立図書館や一般の書店で目にしやすいと見られるものに限った。；ひとがぼっとしているときには、ただ圧倒的に命令するに限るのである。；ただし、自分のお金での投資に限っているとインタビューで述べている。；警察はどこにも存在しないし、犯罪を抑圧する手段は極めて限られている。；実験式と分子式が同じであることがよくあるが、常にそうとは限らない。；手にも似たこうした機能を持つ鼻はほぼゾウに限られたものである。；ただし高地地中海性気候に属する地域は非常に小さな範囲に限られている。；諸国を興すのであれば、一日も早く築島を完成させるに限るではないか。；かかる連続の上に於て始めて吾々は限りなきものを限ることが出来る。；なお、この日に限って同じ検索キーワードを何度でも選ぶことができた。；武器に限らず、道具が効果を発揮するにはエネルギーが必要である。；なんとなれば、この出来事は必ずかの女子のおりしときに限ればなり。；淫賣だらうがなんだらうが、よさゝうな人間ならつきあつて見るに限る。；ただ、全市民には呼びかけず、投票資格は占拠支持者に限ることにした。；ゲームの分類というのは、メーカーの意図どおりに行われるとは限らない。；これらの公認競馬に出走できるのはフランス産の競走馬に限られていた。；経営状況を勘案して、海外から撤退して業務を国内に限る邦銀もあった。</t>
        </is>
      </c>
      <c r="J1423">
        <f>HYPERLINK("https://www.weblio.jp/content/限る", "词义详情")</f>
        <v/>
      </c>
      <c r="K1423">
        <f>HYPERLINK("https://yourei.jp/限る", "查看例句")</f>
        <v/>
      </c>
    </row>
    <row r="1424">
      <c r="A1424" t="inlineStr">
        <is>
          <t>角</t>
        </is>
      </c>
      <c r="B1424" t="inlineStr">
        <is>
          <t>成功</t>
        </is>
      </c>
      <c r="C1424" t="inlineStr">
        <is>
          <t>読み方：かく
［音］カク（呉）（漢）　［訓］かど　つのすみ
［学習漢字］2年
〈カク〉
１動物のつの。「角質／牛角(ごかく)・犀角(さいかく)・触角・一角獣」
２つののように先のとがったもの。物の先。「角帽／圭角(けいかく)・岬角(こうかく)・折角・頭角・皮角」
３二直線が交わってできる図形。「角度／鋭角・四角・視角・頂角・直角・鈍角・内角」
４四角。「角材・角柱」
５活字一字分の枠。「全角・倍角・半角」
６すみ。わき。「一角・口角」
７つの突き合わせて競争する。「角逐・角力(かくりょく)」
８角力(すもう)。「角界／好角家」
〈つの（づの）〉「角笛／菰角(こもづの)」
〈かど〉「岩角・一角(ひとかど)・町角」
［名のり］つぬ・ふさ
［難読］総角(あげまき)・角子(みずら)・角髪(みずら)</t>
        </is>
      </c>
      <c r="D1424" t="inlineStr">
        <is>
          <t>角さん；角以上；角状；角先生；角助</t>
        </is>
      </c>
      <c r="E1424" t="inlineStr">
        <is>
          <t>端；コーナー；隅；一角；角度</t>
        </is>
      </c>
      <c r="F1424" t="inlineStr">
        <is>
          <t>お角；六角；後退角；対角；傾斜角</t>
        </is>
      </c>
      <c r="G1424" t="inlineStr">
        <is>
          <t>角田；角川書店；角川；角形；角力</t>
        </is>
      </c>
      <c r="H1424" t="n">
        <v>29</v>
      </c>
      <c r="I1424" t="inlineStr">
        <is>
          <t>この息子は人間の姿をしていたが、額の中央に一本の角が生えていた。；上から背中の横の部分を持つか、胸の小さい方の角を持つと負担が少ない。；地上の西大路四条交差点の南西角には駅舎と西改札口が設けられている。；由来は、その名の通り伝統的に道の角に店があるのがその名の由来である。；この線と実際の絵を比較すると、窓やテーブルの角のラインが一致している。；角関係とは面と面とが互いに見えているかどうかを表す係数である。；頭の角の形状と生え方および首のひれの形状はそれぞれの首で違う。；確かに、体中に強大な力を持ち、その角の力に耐えられるものはいない。；一般の平面角の大きさは、単位となる角の大きさの実数倍で表しうる。；開業時に新設された4か所の出入口はいずれも桜通大津交差点角にある。；英英辞典には、2つの半直線の間の領域 が角であるとするものもある。；中国では三層式が多く、日本でも六角三重塔のものが存在していた。；ヘロンの説明によると、弓の材料は「角と木の一種」が用いられていた。；嘴の上部にある角質突起は嘴に沿った単純な形状で、角状にはならない。；頭部以外は弐号機と同じで、頭部は角が無い以外は初号機と似ている。；蒲生4交差点にある4つの角のうち、3つの角には銀行が立地している。；また、以前の調査で設置された建物の角を見つけたり再調査したりすることもある。；この2つの角のうち角度が大きいほうを優角、小さいほうを劣角と呼ぶ。；から までの大きさの角を、その範囲により次のような名称で呼ぶ。；サッシの角が角ばっているのは少しでも視界を広く取りたいためとされている。；紋章用のルークは現代のものではなく、2つの角のある古い形をしている。；それぞれの記号は角を表すと同時に、その角度を示すためにも用いられる。；ただし、角の大きさには個体差があり、体格に比例して連続変化を示す。；当初、この角は回転する予定だったが、完成作品では固定された。；原文のヘブライ語聖書では、一度だけ額に一本の角の生えた動物が出てくる。；また、そこに至る道が少なくまた空間の角が多いほど閉じた感覚が大きくなるとされる。；また、頭部に角を持つ系統が多数見られるが、各系統でその形態は異なっている。；というのはウマの角もロバの角も毒を解毒する力があるからだそうだ。；このためか角倉家は大いに発展し、東南アジアにまで進出するに至る。</t>
        </is>
      </c>
      <c r="J1424">
        <f>HYPERLINK("https://www.weblio.jp/content/角", "词义详情")</f>
        <v/>
      </c>
      <c r="K1424">
        <f>HYPERLINK("https://yourei.jp/角", "查看例句")</f>
        <v/>
      </c>
    </row>
    <row r="1425">
      <c r="A1425" t="inlineStr">
        <is>
          <t>描く</t>
        </is>
      </c>
      <c r="B1425" t="inlineStr">
        <is>
          <t>成功</t>
        </is>
      </c>
      <c r="C1425" t="inlineStr">
        <is>
          <t>読み方：えがく
［動カ五（四）］
１物の形を絵や図にかき表す。「田園の風景を—・く」
２物事のありさまを文章や音楽などで写し出す。描写する。表現する。「下町の生活を—・いた小説」
３物事のありさまを心に思い浮かべる。「夢に—・く」
４物の動いた跡が、ある形をとる。「波紋を—・く」
[可能]えがける</t>
        </is>
      </c>
      <c r="D1425" t="inlineStr">
        <is>
          <t>描くべき；描く丸妻</t>
        </is>
      </c>
      <c r="E1425" t="inlineStr">
        <is>
          <t>表現；示す；記述；書く；描写</t>
        </is>
      </c>
      <c r="F1425" t="inlineStr">
        <is>
          <t>描くミステリー長編；描く青春群像劇；描く一代記ドラマ；描く中国歴史ドラマ；描くコメディタッチ</t>
        </is>
      </c>
      <c r="H1425" t="n">
        <v>29</v>
      </c>
      <c r="I1425" t="inlineStr">
        <is>
          <t>描きたい対象を強調してわかりやすく表現することを目的としている。；ところが作品の現実のなかでは、描こうとする対象に足をとられすぎた。；床に置いて描くことはインディアンの砂絵の影響などによると言われる。；学校では勉強をしながらも、動物や自然などの様々な絵を描いていた。；キリスト教美術においてはモーセは通常老人の姿に描かれることが多い。；その結果、漫画を描いた背景には「アニメ化されたから」と答えている。；画像は14世紀の模本でアジア・アフリカ・ヨーロッパが描かれている。；この頃は、武術よりも漫画に興味を持ち、自分で漫画を描くほどだった。；川と子供を描く作家として注目を浴び、確かな自然観が支持されている。；まるで自分が描こうとしていた絵の中に入ってしまったかのようだ。；不出来でも何でも、とにかく自分の絵を描こうとしているように見える。；さらに船首には鳥の頭や怪獣の絵を描き、川の神への魔よけとしている。；最も単純な方法は、観測できた天体の等高度円を地球上に描くことである。；地蔵菩薩を描いた絵画なども伝わっており、画才にも優れた人物だった。；作中には関東地方及び神奈川県を舞台とするような描写が描かれている。；多くは小説の進行に伴って、主人公およびその周辺の人物の成長が描かれる。；このような観点に立って、昭和文学の一側面を描こうと思うのである。；そのため彼は、基本的に絵の研究をするためにこれら自画像を描いていた。；未完成のこの作品には、多くの人々に囲まれた聖母子が描かれている。；その小説の多くはヨーロッパに住んでいるか旅しているアメリカ人を描いている。；この作家は、自分の肉体のふれたものでなくては、描こうとしなかった。；紙幣表面は窓や門が描かれているのに対して、裏面は橋が描かれている。；他のエンタープライズとは異なり、航行する様子が描かれたことはない。；これによって、他のブーメランにはない複雑な軌道を描くことができる。；有人宇宙飛行を描いた切手が発行されるのはこれが初めてのことであった。；コミック化の際に作品解説として数ページが新たに描き下ろされている。；家族に向けた手紙には地図を描いて送り、学んだことをフランス語で記録した。；描こうと思っても、どんなのかわからないから描きようもなかったの。；これにはキリストの昇天とイエスの生涯から10の場面が描かれている。</t>
        </is>
      </c>
      <c r="J1425">
        <f>HYPERLINK("https://www.weblio.jp/content/描く", "词义详情")</f>
        <v/>
      </c>
      <c r="K1425">
        <f>HYPERLINK("https://yourei.jp/描く", "查看例句")</f>
        <v/>
      </c>
    </row>
    <row r="1426">
      <c r="A1426" t="inlineStr">
        <is>
          <t>欠く</t>
        </is>
      </c>
      <c r="B1426" t="inlineStr">
        <is>
          <t>成功</t>
        </is>
      </c>
      <c r="C1426" t="inlineStr">
        <is>
          <t>読み方：かく
［動カ五（四）］
１かたい物の一部分を壊す。損ずる。「茶碗のふちを—・く」「氷を—・く」
２なくては困るもの、また必要とするものが備わっていない。あるべきものを持たない。「精彩を—・く表情」「きめ手を—・く」
３（「欠くことができない」「欠くべからざる」の形で）それなしでは済ますことができない。絶対なくてはならない。「水は人間に—・くことができない」「必要—・くべからざる条件」
４なすべきことを怠る。おろそかにする。「義理を—・く」「勇気を—・く行為」
[可能]かける
［動カ下二］「か（欠）ける」の文語形。</t>
        </is>
      </c>
      <c r="D1426" t="inlineStr">
        <is>
          <t>欠くべからざる要素；欠くべからざる条件；欠く可からざる；欠く相撲が多く；欠く常況</t>
        </is>
      </c>
      <c r="E1426" t="inlineStr">
        <is>
          <t>ない；不足；足りない；乏しい；破る</t>
        </is>
      </c>
      <c r="F1426" t="inlineStr">
        <is>
          <t>欠くべから</t>
        </is>
      </c>
      <c r="H1426" t="n">
        <v>29</v>
      </c>
      <c r="I1426" t="inlineStr">
        <is>
          <t>ユダヤ人は適格性を欠くとされて文化面からどんどん排除されていった。；一方で貧しくて財産は全くなく、食事にも事を欠くほどであったという。；そのため野党は強力な指導者を欠く状態となり、分裂状態に陥っていた。；また軍隊は各藩から派遣された藩兵で構成されており、統率性を欠いた。；また、戦国時代からの経緯があり、十二所と大館城の連携も欠いていた。；先行集団でレースを進めたが、直線で伸びを欠いてしまい8着に敗れた。；最初の内は余裕を見せているが、面が進むごとに冷静さを欠く演出になる。；そうではなくて、祈りを欠いた行動が何の解決ももたらせないのです。；現在では薬局業務に欠く事の出来ない薬歴を普及させた事で知られる。；認証を欠いていた場合にも対象となる行為そのものの効力には影響しない。；現状では鎮魂歌説を含めいずれの説も確たる根拠を欠いていると言える。；使用された目的と、使用された結果とがバランスを欠きすぎるのです。；図にはなぜか南西の張り出しを欠くものが多いが、その理由はわからない。；飛行場の敷地は概ね四角形をしていたが、北東部分に切り欠きがあった。；そして私はこれらのあわれな人々に対する自分の義務を欠こうとしている。；さらに、人間の生活と活動に欠くことのできない基盤と位置づけられる。；顎を大きく突き出すことができるが、ほとんどの種類は顎の歯を欠く。；スタートで折り合いを欠いたが、先行馬の背後に収まる好位に位置した。；なお、以下では型と記法の識別を完全に欠いて説明しているので注意。；この他、北側のホームには工事用車両のための切り欠き線がある。；これらのことをどれかを欠くと好ましくない効果が生ずることがある。；大手コーヒー産業は、この基準は根拠を欠くとして、州を提訴している。；ソクラテスは彼の検証方法を、様々な具体的な定義を欠く概念に適用した。；衣・食と並んで「住宅」は人間生活に欠くことのできない生活基盤である。；胸脚はいずれも歩脚形で外肢を欠き、第1脚だけが特に強大になっている。；守備では強さを見せたものの、チームの不振もあって安定を欠いた。；これまで必要な階梯を欠きしが故多くを得ざりしこと、我はここに認む。；日本のテレビ草創期を語るときに欠くことのできない存在である。；先行集団の直後で流れに乗ったが、直線で伸びを欠き10着に敗れた。</t>
        </is>
      </c>
      <c r="J1426">
        <f>HYPERLINK("https://www.weblio.jp/content/欠く", "词义详情")</f>
        <v/>
      </c>
      <c r="K1426">
        <f>HYPERLINK("https://yourei.jp/欠く", "查看例句")</f>
        <v/>
      </c>
    </row>
    <row r="1427">
      <c r="A1427" t="inlineStr">
        <is>
          <t>掻く</t>
        </is>
      </c>
      <c r="B1427" t="inlineStr">
        <is>
          <t>成功</t>
        </is>
      </c>
      <c r="C1427" t="inlineStr">
        <is>
          <t>読み方：かく
［動カ五（四）］
１指先やつめ、またはそれに似たもので物の表面を強くこする。「かゆい所を—・く」
２手やそれに似たものであたり一帯にある物を引き寄せたり押しのけたりする。「雪を—・く」「手で水を—・いて進む」
３刃物を手前に引いて切り取る。「寝首を—・く」
４刃物を押し当てて細かく削りとる。「氷を—・く」「かつおぶしを—・く」
５箸(はし)などですばやく混ぜ合わせて粘液状の物にする。「からしを—・く」
６犂(すき)などで田畑を耕す。「苗代を—・く」
７あまり好ましくないものを表面にだす。
㋐恥などを身に受ける。「赤っ恥を—・く」
㋑涙や汗などをからだの外に出す。「寝汗を—・く」「べそを—・く」
㋒いびきを立てる。「高いびきを—・く」
８「…する」をののしっていう語。「欲を—・くな」
９琴などの弦をつめなどではじくようにする。掻き鳴らす。
「ただ少し—・き出でたる、大殿(おとど)のうちひびきみちていみじきを」〈宇津保・俊蔭〉
10指先を物に食い込ませるようにしてつかまる。とりすがる。
「梯(はし)立ての倉椅(くらはし)山を嶮(さが)しみと岩—・きかねてわが手取らすも」〈記・下〉
11髪をくしけずる。
「目に髪のおほへるを—・きはやらで」〈枕・一五一〉
12飯などを急いで食べる。かっこむ。
「猫殿、ただ—・き給え」〈盛衰記・三三〉
13手を振って合図する。
「『あなかま』と、手—・くものから」〈源・夕顔〉
[可能]かける
[下接句]汗をかく・頭を掻く・裏をかく・靴を隔てて痒(かゆ)きを掻く・垢離(こり)を掻く・裾(すそ)を掻く・寝首を掻く・恥を掻く・冷や汗をかく・吠(ほ)え面(づら)をかく・麻姑(まこ)痒(かゆ)きを掻く・眉根(まよね)掻く</t>
        </is>
      </c>
      <c r="D1427" t="inlineStr">
        <is>
          <t>掻くような音</t>
        </is>
      </c>
      <c r="E1427" t="inlineStr">
        <is>
          <t>擦る；引っ掻く；引っかく；磨る；摩する</t>
        </is>
      </c>
      <c r="F1427" t="inlineStr">
        <is>
          <t>引つ掻く；ぽりぽりと掻く；悶掻く</t>
        </is>
      </c>
      <c r="H1427" t="n">
        <v>29</v>
      </c>
      <c r="I1427" t="inlineStr">
        <is>
          <t>手で以て盛んにこの水を掻き廻して身體中にかけるより仕方がないのだ。；留守に何度も何度も刑事が来て、この部屋を掻きまわしていったそうだ。；仕方なく掻い巻き姿で、舟の上から皆に旅立ちの挨拶をすることになる。；彼女は胸の中を掻き毮りたいような気持ちで深い深い溜め息を一つした。；留守に何度も何度も刑事が来て、この部屋を掻きまはしていつたさうだ。；それは何であるかといえば、爪で引っ掻いたような三本の掻き痕である。；知人に逢ふと東京ならば流しませうと言ふ處を掻きませうと言ふのです。；いったん気を失ったかに見えた一角の腕が動き出して、爪で地を掻いた。；自分では叩いたつもりだが、掌が戸板を掻いただけだったかもしれない。；熊手で掻いて見たらその根のところに、青い虫が円くなって眠っている。；あの声はおれのからだじゅうを掻き探っておれの呼吸をまで窒めるのだ。；木の枝を持っていた何人かがそれを入れて、水の中を掻きまわした。；そして彼女の両肩を抱き寄せ、その青ざめた顔を自分の胸に掻いこんだ。；その表情と望遠鏡を無理に引きはがすことができなくて、俺は頬を掻く。；特に足を掻いたりする必要さえなく、短い足も特に問題にならなかったのだ。；この様子ではいつどこでどんな恥を掻いているか分ったものではない。；そして僕が頭を掻きながら改めてドクロちゃんに視線を移した時です。；どうにか四人の男を木に繋いだころには汗を掻いていたくらいである。；強く強く張りつめた沈黙の中でレンバルトは少し照れた様に頬を掻いた。；私は自分の胸に今動いてゐるものを掻き消してまた言ひ出した。；私が入って行くと、後れ毛を掻き上げるようにして、下からチラと見た。；そうして自分で芥子を掻いて、御米の肩から頸の根へ貼りつけてくれた。；レサはおとなしく言うとおりに、もう一方の眼のまわりを掻いてやった。；手を翳し、足を振っても虚しく水を掻くばかりで何も解答は得られない。；これでは、まるでわたくしに恥を掻かせるようなものではございませんか。；横に飛んで倒れた驍宗の頭上を掻いて、さらに大きく振りあげられた。；寝苦しさでうっすらと汗を掻いていた体が、ここにきて本当に汗を掻く。；寝苦しさでうっすらと汗を掻いていた体が、ここにきて本当に汗を掻く。；俺と言ふ男は、何処へ行つても結局赤つ耻を掻くやうに出来てゐるんだなあ。</t>
        </is>
      </c>
      <c r="J1427">
        <f>HYPERLINK("https://www.weblio.jp/content/掻く", "词义详情")</f>
        <v/>
      </c>
      <c r="K1427">
        <f>HYPERLINK("https://yourei.jp/掻く", "查看例句")</f>
        <v/>
      </c>
    </row>
    <row r="1428">
      <c r="A1428" t="inlineStr">
        <is>
          <t>書く</t>
        </is>
      </c>
      <c r="B1428" t="inlineStr">
        <is>
          <t>成功</t>
        </is>
      </c>
      <c r="C1428" t="inlineStr">
        <is>
          <t>読み方：かく
［動カ五（四）］《「掻く」と同語源》
１（書く）文字や符号をしるす。「持ち物に名前を—・く」
２（書く）文章を作る。著す。また、著作する。「日記を—・く」「本を—・く」
３（描く・画く）絵・模様や図をえがく。「眉を—・く」「グラフを—・く」
[可能]かける
[用法]かく・しるす——「文字を書く（記す）」では相通じて用いるが、新聞・雑誌の記事、論文、小説などの場合は「書く」を用いる。「書く」には、ある長さの、まとまったものを文章として表現する意味があるからである。「小説を記す」とはあまり言わない。◇「記す」は文字として残す意で、「名前を記す」「心に記す」などと用いる。◇類似の語に「したためる」がある。「したためる」は文章語的で、ややあらたまって、「手紙をしたためる」などと用いるほか、「朝食をしたためる」のように、食事をする意味にも用いる。</t>
        </is>
      </c>
      <c r="D1428" t="inlineStr">
        <is>
          <t>書くべき(2%)；書くまい</t>
        </is>
      </c>
      <c r="E1428" t="inlineStr">
        <is>
          <t>出版；発行；表記；作る；作曲</t>
        </is>
      </c>
      <c r="F1428" t="inlineStr">
        <is>
          <t>こう書く；枚書く；書くという行為；書くよう勧め；書くという作業</t>
        </is>
      </c>
      <c r="H1428" t="n">
        <v>29</v>
      </c>
      <c r="I1428" t="inlineStr">
        <is>
          <t>子どもに人気のある物語の中には非常に古い時代に書かれたものもある。；後にシューマンは長い手紙を書いてリストに送ってこの件を水に流した。；集落内でトラブルもなく平和に暮らしているように見えたと書いている。；映画公開後に発表された小説は、脚本と同時進行で書かれた部分もある。；彼はまた、万年筆で慎重に原稿を書く習慣があることでも知られていた。；何か変わった面白いものを書こうとすると、必ずその自分が邪魔をした。；生涯に書いた著作のページ数の総計は5万ページ以上だと言われている。；いったい私はなんのために、どういう目的で書こうとしているのだろう?；ラジオドラマの制作を目標に本人が書いた同名の小説も連載されていた。；また、一つの記事に複数の番組をまとめて書くのは望ましくありません。；・・・普段は顔を見せないくせに、手紙と来たら何万字も書くんだな。；しかしながら、スペース3つ分を使って と を書くのが一般的である。；神が最高の仕方で書くには何も書かれていない板が最適であるという。；神が最高の仕方で書くには何も書かれていない板が最適であるという。；友人へのメッセージを書こうとしたときに発見したと報道されている。；もともとは地図は書く予定はなくお勉強の回のときだけ描いていた。；これを指定しないとテンプレートは通常ヘッダに定義を書く必要がある。；終章でも時間軸上冒頭の時点で書かれた、日本語の文章が登場している。；その後数年間はSF短編も書いているが、同時に詩にも手を出している。；私も逃避のための小説を書こうと思い立ってこの物語を書いたのだった。；それまでの天球図は、天球の外側から見える形で書くのが通常であった。；砂糖工場ではしばしば工場内で働く機会があり、物を書く時間を作れた。；その表自体はウィリアム・アウトレッドによって書かれたとされている。；これは中国語以外の言語で書かれた最初の麻雀についての記述であった。；短編小説を書くのが好きで、いずれはそれらを出版したいと願っている。；なぜならこの論文に書かれていることを私は20年以上前に得ていたのです。；以前書いた妄想百合小説みたいなのを書こうかと考えてやっぱりやめる。；自分の考えや経験や毎日の事をまさに今学習している言葉で書こうとする。；一つは1945年9月3日の日付で書かれた長男へ向けてのものである。</t>
        </is>
      </c>
      <c r="J1428">
        <f>HYPERLINK("https://www.weblio.jp/content/書く", "词义详情")</f>
        <v/>
      </c>
      <c r="K1428">
        <f>HYPERLINK("https://yourei.jp/書く", "查看例句")</f>
        <v/>
      </c>
    </row>
    <row r="1429">
      <c r="A1429" t="inlineStr">
        <is>
          <t>家具</t>
        </is>
      </c>
      <c r="B1429" t="inlineStr">
        <is>
          <t>成功</t>
        </is>
      </c>
      <c r="C1429" t="inlineStr">
        <is>
          <t>読み方：かぐ
家に備えつけ、日常使用する道具類。たんす・机・いすなど。</t>
        </is>
      </c>
      <c r="D1429" t="inlineStr">
        <is>
          <t>家具類(4%)；家具店(2%)；家具調度；家具製造；家具工場</t>
        </is>
      </c>
      <c r="E1429" t="inlineStr">
        <is>
          <t>インテリア；具足；調度品；ファニチャー；ファーニチュア</t>
        </is>
      </c>
      <c r="F1429" t="inlineStr">
        <is>
          <t>古い家具；家具産業；木製家具；用家具；家具商</t>
        </is>
      </c>
      <c r="G1429" t="inlineStr">
        <is>
          <t>家具職人；家具デザイナー；家具調；家具付；家具の音楽</t>
        </is>
      </c>
      <c r="H1429" t="n">
        <v>29</v>
      </c>
      <c r="I1429" t="inlineStr">
        <is>
          <t>装飾や仏具・家具などの飾り金具などを主に制作するための技術である。；瞑想する部屋には、家具など不要な物を並べない方がよいとされている。；この油は中国などから多く輸入されて家具の塗料などに使われている。；産業は商業と手工業を中心に発展し、特に家具類の通商が盛んであった。；実際に建物内に入る事もでき、家具やアイテムに触ったり、撮影も可能。；残っている民家跡の内装や家具は住民が離れたときのまま残っている。；カタログを使った業務用家具の全国通信販売を行ったことで急成長した。；ここでは自分がこれまで入手した家具や壁紙を配置する事が出来る。；この銃の後ろに食品や家具をつけると、その中に入っていたものが出てくる。；これらの室にある家具類も、すべて日本から持ち込まれたものである。；台詞が上手く頭に入らないと、父はよく家具に八つ当たりしていました。；また家具の販売、水鉄砲を有利にするアイテムの販売も行われている。；他の空き部屋には指定された家具を置く事で新たな住人が引っ越してくる。；なぜなら、強制執行官が家具を全部持って行ってしまったからである。；州南部に森林の多くが残っており、家具製造業の支えになっている。；ブルムは単なる家具の開閉という動作を、感覚的な優れた動作に変えた。；業者ごとに得意分野があり、家具に強い業者や車に強い業者などが存在する。；市内に多くある家具工場の初期のものは1889年に開業された。；巨人の街や家の中のシーンは、巨大な消火栓や家具などのセットを作って撮影。；新しいもの好きな姉は、様々な新式の家電製品や家具を購入していた。；翌年には、5号店の正面の向かいに家具、家電専門の8号店も開業する。；ダボ構造は加工が容易であるため木製の量産家具などに多く用いられる。；このラッカーは家具をはじめとして、楽器などの木製品にも使用された。；壁や床に鎖や金具で固定したり、家具と天井の間で棒を突っ張らせたりする。；家具などが空気の循環を遮断しないよう設置場所に気をつける必要がある。；近年は家具メーカーとタイアップしての店外イベントも複数回開催している。；エジプトの時代から家具の製造業者はこの木材を高く評価してきた。；建物内にある家具などの什器もまた、財産の一般的な形態である。；真冬のロシアから行き先も決まらない旅に備え、家具を売却して金策した。</t>
        </is>
      </c>
      <c r="J1429">
        <f>HYPERLINK("https://www.weblio.jp/content/家具", "词义详情")</f>
        <v/>
      </c>
      <c r="K1429">
        <f>HYPERLINK("https://yourei.jp/家具", "查看例句")</f>
        <v/>
      </c>
    </row>
    <row r="1430">
      <c r="A1430" t="inlineStr">
        <is>
          <t>嗅ぐ</t>
        </is>
      </c>
      <c r="B1430" t="inlineStr">
        <is>
          <t>成功</t>
        </is>
      </c>
      <c r="C1430" t="inlineStr">
        <is>
          <t>読み方：かぐ
［動ガ五（四）］
１鼻でにおいを感じとる。また、においのもとや種類を識別する。「花の香りを—・ぐ」
２隠れた事実を探り知る。探り出す。「人の秘密を—・いでまわる」
[可能]かげる</t>
        </is>
      </c>
      <c r="D1430" t="inlineStr">
        <is>
          <t>嗅ぐような仕草；嗅ぐような気</t>
        </is>
      </c>
      <c r="E1430" t="inlineStr">
        <is>
          <t>聞く；臭う</t>
        </is>
      </c>
      <c r="H1430" t="n">
        <v>29</v>
      </c>
      <c r="I1430" t="inlineStr">
        <is>
          <t>彼はあのとき、母親の顔の中に、来るべき運命を嗅ぎ取ったのだろうか。；私の日常では絶対に嗅ぐことのできない匂いが無数に存在するはずである。；鉢合わせしたのは偶然だが、俺のことを嗅ぎ回っているのは知ってたよ。；なんだか知らないけど、妙に人の周りを嗅ぎ回ってるようなところがさ。；何か懐かしい匂いを嗅いだ時に、過去の風景が目の前に広がったことは?；この婆さんの方に私が好意を持っていることを嗅ぎだしたからであろう。；こんな香気を嗅いだのは初めてだが、なぜか初めてのような気がしない。；草の匂いを嗅ぎながら木々の緑の中を走るのは、とても気持がよかった。；にもかかわらず、私はMさんと室さんに共通する匂いを嗅ぎとっていた。；その沈黙の中に、わたしは別のエマが生まれつつあることを嗅ぎとった。；この人は、この簡単な匂いさえ嗅ぎ分けることができなかったのである。；私の抱えた秘密を、あるいはその一部を敏感に嗅ぎ取っているみたいだ。；昼間は勤め人の姿をしていても、夜になると、当時の匂いを嗅ぎに行く。；なるほどさっき薬の臭を嗅いで死ぬんだなと虫が知らせたのも無理はない。；私はやがては姉が嗅ぎだしてしまうのではないかと、びくびくしていた。；ジェイクはちょっと足をとめて空気の匂いを嗅ぎ、あたりを見まわした。；彼の評判を落とすようなものはないかと嗅ぎ回っていることも考えられる。；そのうちに、仲間が私の足跡を嗅いで、ここへ来ると事面倒になります。；僕は彼女のつるりとした肌を撫で、その皮膚の匂いを嗅ぐことができた。；なぜ刑事が自分のことを嗅ぎまわり始めたのか、見当がつかなかった。；八五郎は何かしら、容易ならぬものを嗅ぎ出せそうな気がしたのでした。；天吾は念のために鼻にあてて匂いを嗅いでみたが、何の匂いもしなかった。；脱出へのわずかな希望にも餓えている本能が、それを必死に嗅ぎあてて。；一方老人は我々に香の箱を見せ、我々はそれを調べ、香を嗅ぐのであった。；私は船のまかない部屋あたりまでもその匂いを嗅ぎに出かけたりした。；きみがガスのにおいで嗅いだものを、ぼくはきみのことばで嗅いでいる。；何かを嗅いでは来たが、まだ本当の姿を突き止めてはいなかったのだ。；その時以来、彼女はその匂いを嗅ぐ度毎に、思わず身震いするのだった。；そのうちに、仲間が私の足跡を嗅いで、此處へ來ると事面倒になります。</t>
        </is>
      </c>
      <c r="J1430">
        <f>HYPERLINK("https://www.weblio.jp/content/嗅ぐ", "词义详情")</f>
        <v/>
      </c>
      <c r="K1430">
        <f>HYPERLINK("https://yourei.jp/嗅ぐ", "查看例句")</f>
        <v/>
      </c>
    </row>
    <row r="1431">
      <c r="A1431" t="inlineStr">
        <is>
          <t>額</t>
        </is>
      </c>
      <c r="B1431" t="inlineStr">
        <is>
          <t>成功</t>
        </is>
      </c>
      <c r="C1431" t="inlineStr">
        <is>
          <t>読み方：がく
［音］ガク（漢）　［訓］ひたいぬか
［学習漢字］5年
〈ガク〉
１ひたい。「前額部」
２壁などに掲げる書き物。「額縁(がくぶち)／篆額(てんがく)・扁額」
３金銭上の数値。「額面／価額・巨額・金額・差額・少額・全額・増額・多額・半額」
４物の量。「産額」
〈ひたい（びたい）〉「額際／富士額」</t>
        </is>
      </c>
      <c r="D1431" t="inlineStr">
        <is>
          <t>額蔵；額角；額ずい；額髪；額越し</t>
        </is>
      </c>
      <c r="E1431" t="inlineStr">
        <is>
          <t>数；高；量；値；金額</t>
        </is>
      </c>
      <c r="F1431" t="inlineStr">
        <is>
          <t>広い額；限度額；相当額；賞金額；出荷額</t>
        </is>
      </c>
      <c r="G1431" t="inlineStr">
        <is>
          <t>額縁；額田；額田郡；額面通り；額賀</t>
        </is>
      </c>
      <c r="H1431" t="n">
        <v>29</v>
      </c>
      <c r="I1431" t="inlineStr">
        <is>
          <t>この息子は人間の姿をしていたが、額の中央に一本の角が生えていた。；それに比例して党に寄せられた寄付金もこれまでになく渋い額となった。；その場合は坐位で膝を立てで額を膝につけられるかで判定することもある。；収入総合計額については増加した時期もあったが、最近では減少している。；日本は最大の援助国の一つであるが、近年は援助額がやや減少気味である。；その中でも最も生産額が多く重要なものは、ウィスキーの生産である。；その範囲の総生産額は約97兆円でカナダを上回る規模ともなっている。；収入総合計額が増加した時期もあったが、最近では減少している。；この三つの合計は6兆5000億円となり、上の指摘の額と同じになる。；なお、一部のカードでは目的別に複数の限度額が設定されている場合がある。；世界でもっとも鉄道車両生産額が大きい企業は、中国の中国中車である。；融資額を決定するために、質屋主はいくつかの要因を考慮する必要がある。；それぞれ、企業のある時点での負債の額と純資産の額とが記載される。；テネシー州では一件の制限額を超える相続財産には相続税を課している。；商業に関しては卸売業が販売額を占める割合が高いのが特徴となっている。；この金額は最終的に全て達成され、最終合計額は676万円に上った。；原文のヘブライ語聖書では、一度だけ額に一本の角の生えた動物が出てくる。；日記には、営業の記述のあとに「」などとギャラの額が記されている。；逆に輸入額が多いのは日本やアフリカ諸国である。；この額はマルクスがこれまで執筆で得た金の総額よりも多かった。；両目の間に鋭い額角があり、頭胸甲には頭部と胸部を分ける頸溝がある。；キャンバスは額に入れられることはなく、むき出しのまま展示される。；新人選手の獲得にあたっては契約金の最高標準額が申し合わされている。；空港の貿易輸出額と比較しても、成田国際空港と日本一の座を争っている。；ただし、上記の契約ではいずれも、契約金額を明らかにしていない。；は、資本取引を除いた純資産の増加額から減少額を差し引いたものである。；このため失業保険の支払いが膨大な額となり、何らかの対策が迫られた。；上記のような収入の多いリーグ以外のリーグでプレーする選手の収入は、比較的一般的な額である。；主な林産物の生産額と合計額は以下のようになっている。</t>
        </is>
      </c>
      <c r="J1431">
        <f>HYPERLINK("https://www.weblio.jp/content/額", "词义详情")</f>
        <v/>
      </c>
      <c r="K1431">
        <f>HYPERLINK("https://yourei.jp/額", "查看例句")</f>
        <v/>
      </c>
    </row>
    <row r="1432">
      <c r="A1432" t="inlineStr">
        <is>
          <t>格上げ</t>
        </is>
      </c>
      <c r="B1432" t="inlineStr">
        <is>
          <t>成功</t>
        </is>
      </c>
      <c r="C1432" t="inlineStr">
        <is>
          <t>読み方：かくあげ
［名］(スル)
１それまでより資格・等級・地位などを高くすること。「課を部に—する」⇔格下げ。
２商品取引所で、受け渡し品が標準品よりすぐれているとき、その格付けを標準品より高くすること。⇔格下げ。</t>
        </is>
      </c>
      <c r="D1432" t="inlineStr">
        <is>
          <t>格上げする(10%)；格上げされる(7%)；格上げ改造；格上げしよ</t>
        </is>
      </c>
      <c r="E1432" t="inlineStr">
        <is>
          <t>上げる；進める</t>
        </is>
      </c>
      <c r="F1432" t="inlineStr">
        <is>
          <t>重賞格上げ；急行格上げ；格上げする形；格上げすること</t>
        </is>
      </c>
      <c r="H1432" t="n">
        <v>29</v>
      </c>
      <c r="I1432" t="inlineStr">
        <is>
          <t>それで、朱美の中では一挙に特殊な例が一般的な例に格上げされたのだ。；駅舎は正式な駅へと格上げされた1938年に建設されたものである。；神経の緊張をおくびにも出さずに、彼女は注意ぶかく上腕部に傷をつけた。；なお、本項には後年に別種に格上げされる と思われる記述も含まれる。；A級の特別戦で行われていた競走で2019年に重賞に格上げされた。；それを百万石に格上げさせたのは、とりも直さず二代目の才覚による。；また、武田は当初副長だったが武器組との戦いで隊長に格上げされた。；さらに入植暦九三年には人口が一億人を超え、|侯国に格上げされた。；の冠がついた番組でありほぼ定期放送に格上げされた形となる。；議長から委員長に格上げされているのは、特別報償のつもりだろう。；全線が候補路線であり、建設を行うためには計画路線への格上げが必要となる。；JRとしての金山駅は中央本線の信号場を移設・格上げしたものである。；また支部を甲種中学校に格上げ創立するなど全国的な教育改革に邁進した。；中にはB面収録曲に予定していた曲が発売前にA面に格上げされて発売されることもあった。；だが、許家屯の就任により、支社長の地位は部省クラスに格上げされた。；ニューヨークも人口が増えて、村長が町長に格上げされたようです。；改編に伴い、航空軍レベルから主要軍団レベルに格上げされている。；バーチャルキッスもその流れの中でプロダクションに格上げされたものである。；通常の急行をそのまま格上げして運行していたため、7両編成での運用も多かった。；同年12月には、第一海上護衛隊が第一護衛艦隊へと格上げされた。；田中はトンネルを走る村道を県道に、さらには国道にまで格上げしてくれた。；その多くは、1987年4月1日のJR発足とともに駅に格上げされた。；一方、温井総貞はその文芸の知識より義総から筆頭家老に格上げされていた。；どちらの辺境伯も965年のブルーノの死とともに大公に格上げされた。；のちにおそらくマルクス・アウレリウス帝のとき、植民市に格上げされた。；このほか、さきたま杯が統一JpnIIに格上げされる変更が行われている。；あわせて格付けがM2に格上げされ、かつ距離が1200mに延長となる。；今大会よりそれまでのグランプリ大会からグランドスラム大会に格上げされることになった。；「あんたが神に格上げされたのを知らせてもらえなかったのが残念だよ」と、つづけた。</t>
        </is>
      </c>
      <c r="J1432">
        <f>HYPERLINK("https://www.weblio.jp/content/格上げ", "词义详情")</f>
        <v/>
      </c>
      <c r="K1432">
        <f>HYPERLINK("https://yourei.jp/格上げ", "查看例句")</f>
        <v/>
      </c>
    </row>
    <row r="1433">
      <c r="A1433" t="inlineStr">
        <is>
          <t>架空</t>
        </is>
      </c>
      <c r="B1433" t="inlineStr">
        <is>
          <t>成功</t>
        </is>
      </c>
      <c r="C1433" t="inlineStr">
        <is>
          <t>読み方：かくう
［名・形動］
１空中に架け渡すこと。「—ケーブル」
２根拠のないこと。また、事実に基づかず、想像によってつくりあげること。また、そのさま。「—の人物」
「そんな—な事を宛にして心配するとは」〈二葉亭・浮雲〉</t>
        </is>
      </c>
      <c r="D1433" t="inlineStr">
        <is>
          <t>架空線；架空人物；架空機；架空の有人式；架空名義</t>
        </is>
      </c>
      <c r="E1433" t="inlineStr">
        <is>
          <t>幻想的；荒唐無稽；非現実的；空想的；観念的</t>
        </is>
      </c>
      <c r="F1433" t="inlineStr">
        <is>
          <t>全て架空；すべて架空；架空水面シミュレーター；架空名義預金；架空電線路</t>
        </is>
      </c>
      <c r="G1433" t="inlineStr">
        <is>
          <t>架空の世界；架空戦記；架空電車線；架空世界；架空の国家</t>
        </is>
      </c>
      <c r="H1433" t="n">
        <v>29</v>
      </c>
      <c r="I1433" t="inlineStr">
        <is>
          <t>ホームズはまた、多くの俳優に演じられた架空人物の一人に数えられる。；そこから架空の社会を題材とした文学作品はユートピア文学と呼ばれる。；架空の町とされているが実際の町並みが描写されていることが多い。；またボルヘスの作品では架空の書物や作家がしばしば主題に設定されている。；ストーリー内にたびたび登場する地名・組織・架空の国を紹介する。；ホメロスの伝承が全く架空の伝承とする立場もないわけではない。；太歳とは天球上で木星の線対称点に存在するとされた架空の天体である。；江戸時代初頭の架空の藩を舞台に展開され、主人公もまた架空の人物である。；架空の地名も多いが、新宿駅東口など現代の日本の地名も多く出てくる。；歴史上では安寿や厨子王丸の実在を示す資料はなく、架空の伝説である。；架空の物語では、大きく分けて3つの意図から双子を登場させることが多い。；人型の登場人物も人間ではなく、同様に架空の小人の一種である。；なお、作中に登場する依頼品に関しては架空のものである場合が多い。；数十人の架空のアシスタントを立て、給与を水増ししていたとされている。；そもそもトロイア戦争自体が全くの架空であるという説もないわけではない。；そのため、初期には架空の国へ派遣されて忍者部隊が活躍するストーリーが多い。；それらの作品内に登場する架空の新聞の名称でもある。；国立大学で架空のキャラクターを学生として受け入れたのは初めてとなった。；機械を倒してガラス管内の水をこぼしてしまうと、架空の水面は消える。；他にゲストが架空の料理番組の司会、堺がゲストとなるコントがあった。；本記事では、ミノフスキー粒子を応用した架空の技術についても解説する。；また、グローランサの生物や異種族には、架空の学名がつけられている。；これらは元来は架空のものだったが、アニメ化されたりと実際に商品化されたものもある。；地球連邦は、架空の未来を描いた小説やアニメなどに登場する架空の国家。；選手名は全て架空だが、連載当時活躍していた選手名をもじった選手が多数登場している。；現実と架空をリンクさせた構成と、現代の少年問題を描いた内容が大きな話題を呼んだ。；またさまざまな企業とのコラボレーションで考案された架空の車も収録されている。；物語の舞台は架空の街の設定であるが、その描写は実在のものにほぼ忠実である。；「アニメの架空のバンドが現実世界でデビューした」と注目された。</t>
        </is>
      </c>
      <c r="J1433">
        <f>HYPERLINK("https://www.weblio.jp/content/架空", "词义详情")</f>
        <v/>
      </c>
      <c r="K1433">
        <f>HYPERLINK("https://yourei.jp/架空", "查看例句")</f>
        <v/>
      </c>
    </row>
    <row r="1434">
      <c r="A1434" t="inlineStr">
        <is>
          <t>各駅停車</t>
        </is>
      </c>
      <c r="B1434" t="inlineStr">
        <is>
          <t>成功</t>
        </is>
      </c>
      <c r="C1434" t="inlineStr">
        <is>
          <t>読み方：かくえきていしゃ
［名］(スル)電車・列車が一つ一つの駅に停車すること。各停。</t>
        </is>
      </c>
      <c r="D1434" t="inlineStr">
        <is>
          <t>各駅停車用；各駅停車タイプ；各駅停車区間；各駅停車路線バスの旅；各駅停車専用</t>
        </is>
      </c>
      <c r="E1434" t="inlineStr">
        <is>
          <t>各駅；各停；鈍行</t>
        </is>
      </c>
      <c r="F1434" t="inlineStr">
        <is>
          <t>内各駅停車；全列車各駅停車；すべて各駅停車；区間各駅停車；線各駅停車</t>
        </is>
      </c>
      <c r="G1434" t="inlineStr">
        <is>
          <t>各駅停車便</t>
        </is>
      </c>
      <c r="H1434" t="n">
        <v>29</v>
      </c>
      <c r="I1434" t="inlineStr">
        <is>
          <t>郊外へ向かう各駅停車の列車の次の駅はキングス・ラングレー駅である。；あとちょっとのところで、七時八分の各駅停車が行ってしまったのです。；当駅からはコート・ストリート駅行きの北行各駅停車が運転されていた。；列車は原則として各駅停車であるが、一部の小駅を通過するものもある。；そのほかの列車は快速と同じく都営新宿線内は各駅停車で運転されている。；当初から各駅停車以外の運用を持たないことから急行灯は使用を停止している。；また、金曜日の終電直前のみ運行される各駅停車が1本設定されている。；翌10月1日の改正で毎日運転の各駅停車となり、豊橋行きに延長された。；当駅を境に中央線と総武線の各駅停車の列車が相互直通運転を行う。；下りの各駅停車がふたたび駅に停車し、階段を越えた人たちが改札口を出て来た。；当駅を含む区間で各駅停車となる列車のみの停車である。；この区間には副都心線の各駅停車・通勤急行・急行も運転されている。；さらに快速急行の大部分は藤沢で片瀬江ノ島発着の各駅停車と接続する。；このうち各駅停車の一部は東京メトロ東西線と相互直通運転を行っている。；各駅停車しか停車しないが有効長は長く、6両編成分に対応している。；内側の線路は各駅停車用で、途中駅には島式ホームが設けられている。；また、新宿駅寄りの4両を各駅停車に種別変更して運転するものもあった。；国鉄時代は住吉駅 - 当駅間を往復する各駅停車が設定されていた。；全て各駅停車だが、以前は朝に1本だけ通勤快速も設定されていた。；日中は1時間に6本で全て東急田園都市線内を各駅停車で運転される。；新幹線で各駅停車となる列車は路線ごとに以下の列車となる。；副都心線開業当初から各駅停車に8両編成の運用が存在していたのはこのためである。；各駅停車ののんびりした旅に、久々の解放感を味わっているところだった。；中には各駅停車のままで行く客もいるが、きっと会社の始業時間が遅いのだろう。；駅へいき、上りの各駅停車に乗り、いつもの駅で彼女は降りた。；日中の各駅停車の約半数は当駅で御茶ノ水・新宿・中野方面に折り返す。；C系統が運転されない時間は、A系統が全区間各駅停車として運転される。；各駅停車相当のピドゥルギ号でも一部通過する列車があった数少ない駅だった。；駅・ホームごとに異なっていて当初は主要駅にしか導入されていなかったが、その後は各駅停車のみが停車する駅にも導入されている。</t>
        </is>
      </c>
      <c r="J1434">
        <f>HYPERLINK("https://www.weblio.jp/content/各駅停車", "词义详情")</f>
        <v/>
      </c>
      <c r="K1434">
        <f>HYPERLINK("https://yourei.jp/各駅停車", "查看例句")</f>
        <v/>
      </c>
    </row>
    <row r="1435">
      <c r="A1435" t="inlineStr">
        <is>
          <t>核家族</t>
        </is>
      </c>
      <c r="B1435" t="inlineStr">
        <is>
          <t>成功</t>
        </is>
      </c>
      <c r="C1435" t="inlineStr">
        <is>
          <t>読み方：かくかぞく
《nuclear family》ひと組の夫婦とその未婚の子供からなる家族。家族の基礎単位とされる。</t>
        </is>
      </c>
      <c r="D1435" t="inlineStr">
        <is>
          <t>核家族世帯(6%)</t>
        </is>
      </c>
      <c r="E1435" t="inlineStr">
        <is>
          <t>姻家</t>
        </is>
      </c>
      <c r="F1435" t="inlineStr">
        <is>
          <t>平等主義核家族</t>
        </is>
      </c>
      <c r="H1435" t="n">
        <v>29</v>
      </c>
      <c r="I1435" t="inlineStr">
        <is>
          <t>高校生だったころの自らと父母、弟からなる核家族の日常を描いた内容。；ミヘーの社会の基本的な単位は核家族で一部に一夫多妻制も存在する。；また生活の実態としても、夫婦とその子だけで生活する核家族が多い。；核家族は、一組の夫婦と未婚の子どもによって構成される家族のこと。；核家族が普通になった都市では、家のなかに成人の女性はひとり。；自宅でといっても、核家族の時代だし、マンション内ではやりにくいのだろう。；核家族とは具体的に以下のような形態を指す。；イングランドもアメリカと同じ絶対核家族である。；核家族は夫婦のみ、または未婚のその子供によって構成される家族形態である。；拡大家族とは、夫婦と子供からなる核家族にその血縁者が同居している家族。；大規模住居は中心集落では複数の家族が生活できる大型の住居と、一つの核家族で暮らしたと思われる小型の住居があった。；特に昨今の核家族では、夫の役割が多く求められています。；これが昨今の核家族なら問題ないが、お姑さんが一緒となると穏やかじゃない。；この点が古来の核家族と異なり、孤立した子育てなど新たな課題を抱えている。；核家族そのものは人類の普遍的な家族形態とされる。；「ひとりでに核家族になったんだろ」 たいていの人はそう思っているはずである。；現在ムブティ族に見られる家族形態は核家族のみである。；一方、脱宗教化の先頭にいたのは平等主義核家族の地域である。；また、住宅の大部分は核家族で構成されている。；今のように子供部屋の分かれた家に住む核家族はこの間題に直面せねばなるまい。；タイヤル人は核家族の構成が中心なので、建物は大きくない。；核家族にすらならない義理の親子にとっては、二DKでも広すぎるのである。；ビルマ族の社会は、夫婦とその子供による核家族が中心である。；このような過程を経て「核家族二世型仙台弁」が生まれた。；ジャマイカ人は母系寄りの絶対核家族であり、キリスト教徒である。；核家族とは社会における家族の形態の一つ。；オオカミは、交尾したペアとその子供からなる核家族で移動する。；しかしながら、多くの地域ではゾーニングの法律により核家族向けの住宅以外の居住設備の建設ができなかった。；一方、自由で平等な平等主義核家族の地域では、キリスト教そのものに無関心になっていった。</t>
        </is>
      </c>
      <c r="J1435">
        <f>HYPERLINK("https://www.weblio.jp/content/核家族", "词义详情")</f>
        <v/>
      </c>
      <c r="K1435">
        <f>HYPERLINK("https://yourei.jp/核家族", "查看例句")</f>
        <v/>
      </c>
    </row>
    <row r="1436">
      <c r="A1436" t="inlineStr">
        <is>
          <t>学業</t>
        </is>
      </c>
      <c r="B1436" t="inlineStr">
        <is>
          <t>成功</t>
        </is>
      </c>
      <c r="C1436" t="inlineStr">
        <is>
          <t>読み方：がくぎょう
勉強をすること。学問をすること。「—に励む」「—を怠る」</t>
        </is>
      </c>
      <c r="D1436" t="inlineStr">
        <is>
          <t>学業優秀(2%)；学業成就；学業面；学業半ば；学業そっちのけ</t>
        </is>
      </c>
      <c r="E1436" t="inlineStr">
        <is>
          <t>学；勉強；学び；学問；稽古</t>
        </is>
      </c>
      <c r="F1436" t="inlineStr">
        <is>
          <t>学業優秀賞</t>
        </is>
      </c>
      <c r="G1436" t="inlineStr">
        <is>
          <t>学業不正；学業優先；学業専念；学業不振；学業修了</t>
        </is>
      </c>
      <c r="H1436" t="n">
        <v>29</v>
      </c>
      <c r="I1436" t="inlineStr">
        <is>
          <t>少年時代は勉強に励み、学業では地元で右に出る者なしとまでいわれた。；戦前の大学生が学業の傍らで従事する労働を呼んだ用法が広まったもの。；当時長安に遊学していた陰識は、これを聞いて学業を捨てて故郷に帰る。；父の死をきっかけに、医者になることを決意し紆余曲折を経て学業を再開。；この時代の女性には珍しく、青春時代の大部分を学業に費やしたという。；また、学業に支障が出るようなその他の大怪我も現在のところはない。；大学1年の時には学業の不振により大学のチームでプレイできなかった。；ビバリーヒルズ高校は学業面で優秀な高校であり、を何度も受賞している。；近年は国公立大学合格者も排出するなど学業面で活躍する生徒も増えた。；なお、この頃は学業でもクラスでトップクラスの成績であったという。；学業を終えた彼は本格的に音楽的キャリアを追求することを決意する。；まもなく、ルイーゼは息子を学業のためにフランクフルトに留学させた。；毎日の学業をこなしつつ、放課後に探索しながら物語を展開させていく。；レンヌで学業を続けたのち1885年にパリ音楽院への入学資格を得る。；また、メンバー自身の仕事や学業などと並行しての活動であった。；学業と並行してジョイフル本田つくばFCで選手としてプレーを続けた。；信仰のために自分の都合や仕事や学業などの事情、ひいては命を放棄すること。；カーターは幼い頃から両親に学業も頑張るようにと強いられてきた。；彼は学業に専念するためにバスケットボールの試合には出ないことを宣言した。；これは母・多喜が、女性に学業は不要だと考えていたからだという。；学業も続けようと思ったが、学校の方針で受け入れてもらえなかった。；学生本人とは別の人が本人になりすまして、学業を達成する不正行為。；理学士の称号を取得するとドイツに渡り、ベルリン大学で学業を継続した。；学業のために、フョードロフと息子は舞台の当日に日本に来ることになっていた。；このとき、彼は妻への愛から自身の学業を捨てたのである。；ただ彼は読書好きであり、様々な職に身を投じながらも学業に励んだ。；学業、スポーツともに優秀であり、特にスポーツは学校でも最高の選手であった。；ほかの島々から仕事や学業のために人々が集まってきている。；ただし、1880年代のマクドナルドは、政治より学業を重視していた。</t>
        </is>
      </c>
      <c r="J1436">
        <f>HYPERLINK("https://www.weblio.jp/content/学業", "词义详情")</f>
        <v/>
      </c>
      <c r="K1436">
        <f>HYPERLINK("https://yourei.jp/学業", "查看例句")</f>
        <v/>
      </c>
    </row>
    <row r="1437">
      <c r="A1437" t="inlineStr">
        <is>
          <t>学芸</t>
        </is>
      </c>
      <c r="B1437" t="inlineStr">
        <is>
          <t>成功</t>
        </is>
      </c>
      <c r="C1437" t="inlineStr">
        <is>
          <t>読み方：がくげい
学問と芸術。また、学問。「新聞の—欄」</t>
        </is>
      </c>
      <c r="D1437" t="inlineStr">
        <is>
          <t>学芸部(14%)；学芸都市(11%)；学芸員(4%)；学芸欄(2%)；学芸自由同盟</t>
        </is>
      </c>
      <c r="E1437" t="inlineStr">
        <is>
          <t>学；学問；学術</t>
        </is>
      </c>
      <c r="F1437" t="inlineStr">
        <is>
          <t>本社学芸；東洋学芸雑誌；東京国立博物館学芸；学芸新聞；学芸社</t>
        </is>
      </c>
      <c r="G1437" t="inlineStr">
        <is>
          <t>学芸会；学芸学部；学芸大学；学芸図書；学芸大</t>
        </is>
      </c>
      <c r="H1437" t="n">
        <v>29</v>
      </c>
      <c r="I1437" t="inlineStr">
        <is>
          <t>バーゼルはスイス第3の都市にして中世から学芸と文化の中心地である。；今日の昼間に見た爆発は、学芸都市のあちこちで起きていた気がする。；子供に学芸を教える役であったが、長いこと教わりに来る者がなかった。；数字については学芸都市が作った対応表を見ない限り、意味のない情報だ。；学芸都市へ向かった最後の『太陽の蛇』も止められないまま、ただ沈む。；学芸以外のものでも、皆、何かの形で、人生に貢献しないものはありません。；学芸都市のどこかにあるっていうアメリカが認定しているカジノでしょ!!；同行してくれたのは、朝日新聞東京本社学芸部の中野晴文記者であった。；今のように、 総務部 学芸部 資料部 という分け方にはなっていない。；現代のすべての学芸は、そのような無根拠の砂の上につくられた楼閣である。；我々の精神の中に、博学とか学芸とかいう手法より外に何も認めない。；まさか、この学芸都市は何かとてつもなく危険なものを潜ませているのか。；あるいは、学芸都市の主要研究施設を誤爆する事を恐れているのだろうか。；この際には資料整理と研究を行う学芸員が配置された。；実際われわれ人間は、学芸の足跡をもってそれをわからなくしてしまっている。；天文学的な内容については、毎月開かれた学芸委員会で吟味されていた。；近世に於ける趣味生活のよき紹介者であり、学芸の優れた保護者である。；このサーモンレッド自体が、学芸都市の機密情報に含まれているんです。；学芸部に長くいた男で、アルバイトにアメリカの推理小説の翻訳をしていた。；スウェーデン経済を支え、学芸・文化の促進と言う側面ももたらしたのである。；いまは学芸部だが、社会部に配属されて、サツ廻りの経験もある人間だ。；以前、美琴はこの機材を使って学芸都市のネットワークに侵入した事がある。；書記と学芸の神トートの化身とされていたトキは本種であるとされている。；学芸とは、そのような霊魂が産み出すものを記録したものにほかならない。；学芸都市が敵の情報を一切知らないという訳でもないはずだ。；伊勢の学芸の資料とそれを支えた商業の道具と記録を展示。；学芸部に所属し、文学・音楽・映画・演劇に関する評論を執筆した。；担当の学芸記者に真実を話すと、あちこちへ広まるおそれがある。；しかし私の獰猛主義は一方学芸への尊重と、はなれないものであった。</t>
        </is>
      </c>
      <c r="J1437">
        <f>HYPERLINK("https://www.weblio.jp/content/学芸", "词义详情")</f>
        <v/>
      </c>
      <c r="K1437">
        <f>HYPERLINK("https://yourei.jp/学芸", "查看例句")</f>
        <v/>
      </c>
    </row>
    <row r="1438">
      <c r="A1438" t="inlineStr">
        <is>
          <t>覚悟</t>
        </is>
      </c>
      <c r="B1438" t="inlineStr">
        <is>
          <t>成功</t>
        </is>
      </c>
      <c r="C1438" t="inlineStr">
        <is>
          <t>読み方：かくご
［名］(スル)
１危険なこと、不利なこと、困難なことを予想して、それを受けとめる心構えをすること。「苦労は—のうえだ」「断られるのは—している」
２仏語。迷いを脱し、真理を悟ること。
３きたるべきつらい事態を避けられないものとして、あきらめること。観念すること。「もうこれまでだ、と—する」
４覚えること。記憶すること。
「時にあたりて本歌を—す」〈徒然・二三八〉
５知ること。存知。
「郎従小庭に伺候の由、全く—仕らず」〈平家・一〉</t>
        </is>
      </c>
      <c r="D1438" t="inlineStr">
        <is>
          <t>覚悟しろ；覚悟せよ；覚悟しなさい；覚悟いたし；覚悟致し</t>
        </is>
      </c>
      <c r="E1438" t="inlineStr">
        <is>
          <t>決意；決心；志；諦め；観念</t>
        </is>
      </c>
      <c r="F1438" t="inlineStr">
        <is>
          <t>悲壮な覚悟；不覚悟；玉砕覚悟；そういう覚悟；赤字覚悟</t>
        </is>
      </c>
      <c r="H1438" t="n">
        <v>29</v>
      </c>
      <c r="I1438" t="inlineStr">
        <is>
          <t>それを邪魔立てするつもりなら祖母の国との対決も辞さない覚悟だった。；お互いに、相手のためならば住む国は選ばない覚悟のスーインとマーク。；このため、ゲストは通常の倍の待ち時間を覚悟しなければならなかった。；その上で今回の北上では広東に戻れないことを覚悟しているとも語った。；源之丞はこれを辞退しようとしたが、その覚悟を知って撤退したという。；出たら俳優を続けることはできないかもしれないと引退覚悟の決断であった。；そんな中、覚悟は自分の記憶が何者かに奪われていることを自覚する。；東京からの帰沖時には、沖縄のために永住も覚悟して妻子を伴っていた。；この名前を自らに付けたのは現実を直視したときの彼等の覚悟だといわれている。；覚悟はいいかしらと言ってカバンから取り出したのはオセロであった。；だけど一方でそれを承知でやってる、覚悟してやってるというか。；エンゲルスは家族と別れを告げてでも信念を全うする覚悟を固めていた。；また、日中協力委員会の設立には残りの人生すべてを賭ける覚悟とも述べた。；移動の前に自宅に火をつけたり壊したら、死を覚悟しろと禁じられた。；その場合、大きさはもちろんの事多少の身体疾患は覚悟した方が良いだろう。；秀吉も自身が主を裏切ったことのケジメをつけるべく死ぬ覚悟を決めていた。；それは彼女がシンガーであることに一生を捧げると覚悟しているからである。；自身は翌年が現役最後の年になると覚悟していたという。；この時もし韓国に帰ることとなったらみっともなさのあまり死を覚悟したという。；この時、森は決死の覚悟で家にとびこみ、仏壇を抱えて出て来たという。；ファラミアは父への愛を示すため、死を覚悟して戦場に戻っていく。；慶喜はこのときが人生で死を覚悟したときの一つだったという。；大多は悩みながらも、小田が気分を害するのを覚悟で別の曲を依頼した。；その後回復はしたものの、その時は本気で死を覚悟したらしい。；つまり、アヒンサーを忠実に守るためには死をも覚悟しなければならない。；未練を残しながらも死を覚悟したその時、謎の声が聞こえてきた。；しかし、万が一その日が来る様な事があれば、二世は覚悟が出来ております。；右肩痛についてはオフに手術に踏み切る覚悟もあることを明らかにした。；生活のために助監督をする覚悟で上京して大船に赴くが、不調に終わる。</t>
        </is>
      </c>
      <c r="J1438">
        <f>HYPERLINK("https://www.weblio.jp/content/覚悟", "词义详情")</f>
        <v/>
      </c>
      <c r="K1438">
        <f>HYPERLINK("https://yourei.jp/覚悟", "查看例句")</f>
        <v/>
      </c>
    </row>
    <row r="1439">
      <c r="A1439" t="inlineStr">
        <is>
          <t>格差</t>
        </is>
      </c>
      <c r="B1439" t="inlineStr">
        <is>
          <t>成功</t>
        </is>
      </c>
      <c r="C1439" t="inlineStr">
        <is>
          <t>読み方：かくさ
資格・等級・価格などの違い。差。「賃金の—を是正する」</t>
        </is>
      </c>
      <c r="D1439" t="inlineStr">
        <is>
          <t>格差解消；格差が大きく；格差が大きい；格差が激しい；格差原理</t>
        </is>
      </c>
      <c r="E1439" t="inlineStr">
        <is>
          <t>違い；差；開き；違；溝</t>
        </is>
      </c>
      <c r="F1439" t="inlineStr">
        <is>
          <t>間格差；技術格差；収入格差；階級格差；身分格差</t>
        </is>
      </c>
      <c r="G1439" t="inlineStr">
        <is>
          <t>格差是正；格差拡大；格差問題；格差婚；格差固定</t>
        </is>
      </c>
      <c r="H1439" t="n">
        <v>29</v>
      </c>
      <c r="I1439" t="inlineStr">
        <is>
          <t>もしそれが可能ならマレーシアと日本がこんな格差を生じるはずがない。；また同じ車両であっても設備と価格に格差をつけている場合がある。；同一の区間で設備と運賃に格差をつけた複数の便が運行されている例がある。；これらの領域が、民族・人種集団間の格差の原因として提案されている。；ジェンダーの格差解消と女性編集者の参加を奨励するプログラムがある。；その結果、各学校の在籍生徒の平均的な家庭環境の格差は広がった。；この格差が、まさしく韓国での社長と社員の身分の違いを示している。；外交職と領事職の間の格差を失くすことが改革の目指すところであった。；また社宅や供給所などの福利厚生面でも大きな格差が設けられていた。；格差について企業は労働者に内容や理由を説明しなければならない。；日本人は一般的に、相手との格差が生じて距離ができてしまうことを恐れる。；それだけでなく、他の多くの途上国同様、都市と地方の大きな格差がある。；IMFも、格差の拡大は成長をむしろ阻害するという研究を出している。；しかし既にこの番組は、階級格差の存在を確認するためのものではなくなっている。；市では旧市町間の料金格差の是正と併せて統一に向けた準備を進めている。；これほど極端でなくても、大きな格差が各国の各地と存在する。；あまりに格差がありすぎて、比べる気にもならなかったからである。；空間認識能力の性差は男女の社会的格差とも関連することが報告されている。；OECDの統計では、構造改革期に格差が縮小したことが示されている。；地区の東側の住吉町と西側の堀町との高齢化率・利便性の格差が大きい。；こうした格差への不満から、いくつかの自治体は直轄市への昇格を望んでいる。；しかし結婚した世帯の男女間の格差はある程度縮小していることも示されている。；これはOECD加盟国の中で、スロバキアに次いで格差が少ない値である。；この場合、他の俳優との格差はきわめて大きなものとなりうる。；しかし、兄弟にしても、ずいぶん収入の点では格差があるようだ。；格差の実態を調査するため、様々な主体によって様々な調査が行われている。；さらにアイルランドの格差はほかの統計方法でも示されている。；遅れたままの人と遅れに気づいた人との格差は、これから拡大されていくいっぽうだ。；第二次世界大戦前の旧制学校は格差を前提としたシステムだった。</t>
        </is>
      </c>
      <c r="J1439">
        <f>HYPERLINK("https://www.weblio.jp/content/格差", "词义详情")</f>
        <v/>
      </c>
      <c r="K1439">
        <f>HYPERLINK("https://yourei.jp/格差", "查看例句")</f>
        <v/>
      </c>
    </row>
    <row r="1440">
      <c r="A1440" t="inlineStr">
        <is>
          <t>画策</t>
        </is>
      </c>
      <c r="B1440" t="inlineStr">
        <is>
          <t>成功</t>
        </is>
      </c>
      <c r="C1440" t="inlineStr">
        <is>
          <t>読み方：かくさく
［名］(スル)はかりごとをめぐらすこと。ひそかに計画を立てること。また、その計画。「陰であれこれ—する」</t>
        </is>
      </c>
      <c r="D1440" t="inlineStr">
        <is>
          <t>画策する(20%)；画策し始める；画策しよ</t>
        </is>
      </c>
      <c r="E1440" t="inlineStr">
        <is>
          <t>計画；予定；考える；設計；企画</t>
        </is>
      </c>
      <c r="F1440" t="inlineStr">
        <is>
          <t>種々画策</t>
        </is>
      </c>
      <c r="H1440" t="n">
        <v>29</v>
      </c>
      <c r="I1440" t="inlineStr">
        <is>
          <t>これに頭を抱えたレコード会社はベストアルバムのリリースを画策した。；画策が失敗したドナルドは、とうとう頭を抱えて倒れてしまったのだった。；イザベラは兄のジョン・ソープとキャサリンを結婚させようと画策する。；彼は塔の中に入り保護されたが、そこの物を盗み出そうと画策した。；周囲の資産家たちはみな妻に迎えたいと画策したが、彼女は一切拒絶した。；自分達の世界を護るために、力の弱い分枝世界の破壊を画策している一団。；コストゥイリョフの妻ワシリーサは、夫から自由になることを画策する。；自分が多重人格であると認識してからは他の人格を消すことを画策し始める。；彼は再びアンディを捜し出し、今度こそ体を手に入れようと画策していた。；そうした不満を募らせていた彼らが移籍を画策してテコにしようとしたのが本作だった。；ガラパ星に戻り進化させることで仲間を増やそうと画策していた。；ところが、その中で一部の国が反乱を起こそうと画策していた。；反ギャヴィストン派の貴族達は宮廷からの追放や左遷を画策した。；これらの様子を、地図を奪おうと画策する悪魔が監視していた。；権威欲を交渉材料にナイトレーベン接収とクーデターを画策していった。；そこには鄭成功を旗頭に、明の復興を画策する漢民族の義士たちがいた。；即位後は即刻領土拡大を画策し、周辺ムアン諸国に同盟するよう呼びかけた。；頭にきたドナルドはなんとかしてガスを追い出してやろうと画策を始めた。；彼らはヴェネツィア共和国の支配下にあったヴェローナ攻略を画策した。；ドゼーはボナパルト将軍に会うために自ら画策してイタリア方面に転属した。；しかし、ウィンチェルはノースが両親の元へ帰らないように画策していた。；何の補償もされずに戦死した部下たちに報いるため、ハメルは反乱を画策する。；一方、スタンリーの動きを見て刺激されたフランスも、この地域への進出を画策する。；それを見た蕭耀南は、王からその地位を奪おうと画策しはじめた。；そこで幕府は朝廷の権威を借りて幕権強化を図ろうと、公武合体を画策する。；時輔と名越兄弟が結託して、謀反を画策したことを示す史料は存在しない。；苻堅はかねてより西域を図ろうと画策していた事から、これに応じた。；のちに軍事参議官に降りた頃、朝鮮総督を陸軍が歴任しようと画策したことがあった。；ただし高山英華は実際に実現するよう大学と不忍池周辺を土地購入しようと画策したといわれている。</t>
        </is>
      </c>
      <c r="J1440">
        <f>HYPERLINK("https://www.weblio.jp/content/画策", "词义详情")</f>
        <v/>
      </c>
      <c r="K1440">
        <f>HYPERLINK("https://yourei.jp/画策", "查看例句")</f>
        <v/>
      </c>
    </row>
    <row r="1441">
      <c r="A1441" t="inlineStr">
        <is>
          <t>拡散</t>
        </is>
      </c>
      <c r="B1441" t="inlineStr">
        <is>
          <t>成功</t>
        </is>
      </c>
      <c r="C1441" t="inlineStr">
        <is>
          <t>読み方：かくさん
［名］(スル)
１広がり、散らばること。「核の—を防止する」
２混合流体が高い濃度から低い濃度の所へと移動して、一様な濃度になる現象。分子の熱運動によって起こる。
３ツイッターやフェースブックなどのソーシャルメディアにおいて、投稿されたメッセージを多くの人に引用してもらうこと。メッセージの引用は個々人によって行われるが、しばしばねずみ算式に引用数が増え、多くの人の元にメッセージが届くことがある。「以下のメッセージを—希望」</t>
        </is>
      </c>
      <c r="D1441" t="inlineStr">
        <is>
          <t>拡散する(11%)；拡散させる(3%)；拡散される；拡散防止；拡散力場</t>
        </is>
      </c>
      <c r="E1441" t="inlineStr">
        <is>
          <t>普及；広がる；流通；伝わる；回る</t>
        </is>
      </c>
      <c r="F1441" t="inlineStr">
        <is>
          <t>核拡散；広く拡散；aim拡散；拡散ビーム；空間的拡散</t>
        </is>
      </c>
      <c r="G1441" t="inlineStr">
        <is>
          <t>拡散係数；拡散方程式；拡散波動砲；拡散燃焼；拡散電流</t>
        </is>
      </c>
      <c r="H1441" t="n">
        <v>29</v>
      </c>
      <c r="I1441" t="inlineStr">
        <is>
          <t>しかしそれすらも確認されずにSNS上で拡散してしまうケースもある。；この周囲に光が拡散しているが微かでどのあたりが境界なのか分からない。；アメリカ合衆国では拡散を防ぐために一切の商取引が禁止されている。；やがて月の行為はインターネットを中心に世界中に拡散されていく。；それらが注目されて、ネット上の各所に情報が拡散される事態となった。；マインド・ウイルスの侵入・複製・拡散の働きは次のようなものである。；核から数度離れた所に拡散した光の断片が見えたと報告した観測者も何人かいた。；産駒は世界中に拡散したが、おもにヨーロッパで走った産駒が活躍した。；煙の粒子には小さいほど急速に拡散する性質もあり壁などに付着する。；アメリカの統治機構は権力の機能的拡散と権力の地域的拡散を特徴とする。；これはシールドガスが拡散し過ぎないように、全体をカバーしている。；生殖方法は、空気に乗せて胞子を拡散させる他のキノコと異なっている。；鳥は花の蜜に依存し、花は鳥による花粉拡散で生殖が可能になっている。；イカの場合は墨の粘度が高くタコの墨のように拡散せず塊のようになる。；低い気圧のため、高度が高くなるほど空気は拡散し、冷たくなってくる。；実施数および対象児童数の拡散は昭和の戦後に入ってからである。；例えば、新技術の社会・産業全体への普及、ある集団の中での噂の拡散がある。；霧状タイプの物は噴射口から遠くなるほど拡散する飛び方をする。；幸いこれらの問題は1980年代以降制御され、工場の拡散などで対応した。；石刃技法は、現代型新人の拡散を考える上で重要な要素と考えられている。；口径20cmでその腕が暗黒の中で拡散している様子が分かってくる。；炒っている間ナッツは直接火に当てず、砂を使って熱を均等に拡散させる。；彼らはのちにポーランド・リトアニア共和国の全地域へと拡散した。；原子力供給国グループとは、核拡散防止を目的とした国家グループ組織。；誤差を周囲のデータに拡散する手法をも含めて言うこともある。；これらの言語は1万5千年前以上前に台湾以外の何処からか拡散したと考えるべき。；このため局地的な降下物は少なくなるが、 より広い区域に拡散する。；LINEの幹部社員がこのまとめを自身のFacebookで拡散していた。；そのため、非核地帯条約を核拡散防止の観点から再評価するに至った。</t>
        </is>
      </c>
      <c r="J1441">
        <f>HYPERLINK("https://www.weblio.jp/content/拡散", "词义详情")</f>
        <v/>
      </c>
      <c r="K1441">
        <f>HYPERLINK("https://yourei.jp/拡散", "查看例句")</f>
        <v/>
      </c>
    </row>
    <row r="1442">
      <c r="A1442" t="inlineStr">
        <is>
          <t>各自</t>
        </is>
      </c>
      <c r="B1442" t="inlineStr">
        <is>
          <t>成功</t>
        </is>
      </c>
      <c r="C1442" t="inlineStr">
        <is>
          <t>読み方：かくじ
それぞれの人。めいめい。おのおの。「昼食は—持参のこと」</t>
        </is>
      </c>
      <c r="D1442" t="inlineStr">
        <is>
          <t>各自勝手；各自それぞれ；各自持参；各自独立；各自自由</t>
        </is>
      </c>
      <c r="E1442" t="inlineStr">
        <is>
          <t>それぞれ；個体；個々；個別；各々</t>
        </is>
      </c>
      <c r="F1442" t="inlineStr">
        <is>
          <t>それぞれ各自；生徒各自；参加者各自；皆各自；国民各自</t>
        </is>
      </c>
      <c r="H1442" t="n">
        <v>29</v>
      </c>
      <c r="I1442" t="inlineStr">
        <is>
          <t>この労働が出来得る男ならば各自にその目的に達し得べきことを疑わぬ。；ほとんどは人間の言葉を話すことが不可能だが、各自明確な意思を持つ。；党側は日本維新の会に合流するか否かは各自の判断に委ねるとしている。；この授業は学生が各自ロボットを作り、MIT内で行われる大会である。；武器などの装備品は、基本的に隊員各自が用意することになっていた。；さらに入営後の階級も各自が修了した教育程度によって区分されていた。；しかし政治家と海軍の学生は各自にそれを推測することができる。；これら獣人は一部を除いて各自に拠点をもち、独自の文化を形成している。；また、帝国内の各地域には独自の首相が率いる各自の政府があった。；当時は気温の測定者が各自それぞれ独自の工夫をしていたようである。；バンドメンバーは各自の音楽キャリアを求めてそれぞれの道に進んだ。；同じ物を見ても、生徒各自が之に就いて不思議と思ふ点は決して同じではない。；それ以外の兵士には特に命令がなく各自攻撃したため混戦となった。；その各自の台詞書を集めて、一つの芝居を仕組むのが緯の役であります。；Bの眼にはただ虫が紙の上に各自勝手な姿をして動いているように文字が見えた。；誰でも各自自身で、感じると考えるとの相違を直ちに理解するだろう。；定年退職後も雇用契約を継続するかどうかは各自の判断にゆだねられる。；のメンバー各自が一人で喋るラジオに挑戦するものとして番組は始まった。；かくの如くして始めて各自の仕事はその人の幸福を増進するものとなるであらう。；小僮が各自に焼残りの商品を持てるだけ抱えては後から後からと出て来た。；各自の内部の充実と云ふ事が すべての場合に於て最も望ましい事なのです。；自分のやっている仕事に就いては、各自意見がある筈ですからね。；またガスはなく、各自の部屋で火を起こして調理等に使用していた。；各自が別のカードを持つ場合には同じ数になることはない。；一しきりの沈黙の時が過ぎて、各自の無事を思う心がそれに変った。；これ以降、各自がソロ活動をしながらしばしば再結成することとなる。；とうとうえものをひとりでは持ちきれなくなって各自が分担した。；在校生はその情報をもとにどの講義を受けるのか各自で選択して受講する。；業務を執行する社員が二人以上いるときは、各自が会社を代表する。</t>
        </is>
      </c>
      <c r="J1442">
        <f>HYPERLINK("https://www.weblio.jp/content/各自", "词义详情")</f>
        <v/>
      </c>
      <c r="K1442">
        <f>HYPERLINK("https://yourei.jp/各自", "查看例句")</f>
        <v/>
      </c>
    </row>
    <row r="1443">
      <c r="A1443" t="inlineStr">
        <is>
          <t>隔日</t>
        </is>
      </c>
      <c r="B1443" t="inlineStr">
        <is>
          <t>成功</t>
        </is>
      </c>
      <c r="C1443" t="inlineStr">
        <is>
          <t>読み方：かくじつ
一日おき。「—勤務」</t>
        </is>
      </c>
      <c r="D1443" t="inlineStr">
        <is>
          <t>隔日刊(4%)；隔日運航(3%)；隔日勤務(2%)；隔日運行；隔日交替</t>
        </is>
      </c>
      <c r="H1443" t="n">
        <v>29</v>
      </c>
      <c r="I1443" t="inlineStr">
        <is>
          <t>隔日で本車両が終日運用に入ることもあり、運用の頻度が増している。；さらに運転される特定の曜日がない隔日運転の場合も臨時列車の扱いとなる。；私は其の後尚一ヶ月ばかり繃帯の巻換への為に隔日に病院へ通つた。；江戸においては隔日もしくは時間を区切って男女を分ける試みは行われた。；発行規程上は休日を除く毎日発行するとされたが、実際には隔日で発行されていた。；当時のTBSテレビ同様、朝日・毎日と交互で隔日に放送されていた。；彼はほとんど隔日には私を訪ねてきてくれた。；使用メーカーは番組の9時台後半に隔日提供を行っている三菱電機の製品を使用している。；当初、パリからマドリードへは毎日運行、リスボンへは隔日運行であった。；隔日位に、お湯に入って皮膚を清潔な健康色に磨くのがよろしいでしょう。；自己処置で隔日で塗り、他の治療より跡が残りにくいが、長い期間を要する。；本郷の花総と云ふものが隔日に截花を持つて来たのである。；しかし、その後も、毎日または隔日には必らず会っている様子だ。；三番目の兄の職場に、当直の弁当を持って行くのが隔日ごとの私たちの仕事だった。；ほとんど隔日ごとに、明子の書斎や、万年山の編集室へ出かけていく。；素子がモスクヷへ立ってから、伸子はほとんど隔日にロンドンだよりを書いていた。；番組は月曜から木曜は隔日でニューヨーク発の素材とパリ発の素材を使用した番組、金曜日は完全に東京で制作した番組を放送していた。；それから六十日程の間私達は隔日に顔を合はして、お互ひに訪問し合つたりするほど懇意になつた。；それも毎日ではなく、日曜日と月曜日とは續いて休みで、跡は隔日になつてゐる。；それがまた隔日に行きたいといふのだから、到底日記を認めるなどといふことの成就すべきものではなかつた。；ほとんど隔日に、S氏邸でレコードを聴くことができたから。；しかし2022年より隔日で成田国際空港との定期便が就航している。；かかりつけの医者が隔日に来ては栄養剤の注射をしていた。；当初は週2回程度の刊行頻度であったが、後には隔日刊となり、さらに日刊化された。；大概照子の来るのは隔日で、それも夜は深川の方へ行かなければならなかつたので滅多に来る筈はなかつた。；この当時は日刊ではなく隔日発行であった。；この他南大東島-北大東島間の運航も存在し、いずれの運行も隔日となっている。；継続的な熱が我々の霊魂を打ち倒すことができるとすれば、隔日熱もまたそれ相当に何かの変化をその上に持ち来たすということを。；初めは隔日発行であったが、後に日刊になった。</t>
        </is>
      </c>
      <c r="J1443">
        <f>HYPERLINK("https://www.weblio.jp/content/隔日", "词义详情")</f>
        <v/>
      </c>
      <c r="K1443">
        <f>HYPERLINK("https://yourei.jp/隔日", "查看例句")</f>
        <v/>
      </c>
    </row>
    <row r="1444">
      <c r="A1444" t="inlineStr">
        <is>
          <t>確実</t>
        </is>
      </c>
      <c r="B1444" t="inlineStr">
        <is>
          <t>成功</t>
        </is>
      </c>
      <c r="C1444" t="inlineStr">
        <is>
          <t>読み方：かくじつ
［名・形動］たしかで、まちがいのないこと。また、そのさま。「—な情報」「—に成功する」「当選—」
[派生]かくじつさ［名］</t>
        </is>
      </c>
      <c r="D1444" t="inlineStr">
        <is>
          <t>確実なもの(4%)；確実な証拠；確実な方法；確実な記録；確実な史料</t>
        </is>
      </c>
      <c r="E1444" t="inlineStr">
        <is>
          <t>明らか；きっと；必ず；正確；確かに</t>
        </is>
      </c>
      <c r="F1444" t="inlineStr">
        <is>
          <t>絶対確実；安全確実；一番確実；確実な初見史料；確実な避妊</t>
        </is>
      </c>
      <c r="G1444" t="inlineStr">
        <is>
          <t>確実視；確実性の問題</t>
        </is>
      </c>
      <c r="H1444" t="n">
        <v>29</v>
      </c>
      <c r="I1444" t="inlineStr">
        <is>
          <t>よって確実に起こると予測される事象はごく限られたものとなっている。；彼はディオゲネスの弟子だと言われているが、これもまた不確実である。；その殺傷力の強さから、苦しまずに確実に自殺するためにも使用される。；この遺跡は農耕社会出現前の食料採集民の戦争の確実な例とされている。；後の値上がりが確実であることから、投資目的での購入も行われている。；また、ブリューゲルに影響を与えたことが確実なもう一人の人物はである。；興行の中においては自らの役割を確実に果たすことが求められるのである。；しかしいずれも確実な成功を収めたものとまではいえなかった。；そのため彼らが金属加工の知識や技術に長けていたことは確実である。；また、この合成曲線でガラス転移点をほぼ確実に予測することができる。；だが、そのような努力には確実に150人を超える軍隊を必要とする。；また使用する際には点火時期調整等の調整を確実にしておくのがよいとされる。；いずれの説にしても確実とされるものはなく、確かな語源は判明していない。；サムネイル 真理は、確実な根拠によって本当であると認められたこと。；試合ではこの2つが確実に区別できるようなデザインを選ばなければならない。；適切な維持を確実にするためには双方の保全が必要であると信じる人もいる。；確実なタロット占いの記録が文献に現れるのは18世紀以降のことである。；戦後日本映画史において、悪役の系列に確実に名を残した俳優であった。；偶然相打ちしたとしても、相手の大尉が確実に減った事しか分からない。；イタリア政府は確実に混乱の状態となり、複数の政府が作られては敗北した。；天皇の成人を機に摂政が関白に転じた確実な事例はこれが最初である。；内はブートストラップ値で、不確実な分岐も図示されていることに注意。；その才能を確実に受け継いだ息子もそれにちなみブルヒータと呼ばれる。；宇宙飛行士を安全・確実に飛行させるために、必要な改良が施されている。；抗生物質のない時代には確実な治療法はなく、多くの死者を出した。；いまや確実な知識を携えたファーブルは、自分の進むべき分野を決めた。；録音時に映像と音声がしっかり同期していれば、確実に再生時にも同期できる。；逆に白から先に1の点にツゲば、確実な二眼を確保して生きとなる。；正確な系統的位置は不確実だが、ペリカン目など とは別の に属す。</t>
        </is>
      </c>
      <c r="J1444">
        <f>HYPERLINK("https://www.weblio.jp/content/確実", "词义详情")</f>
        <v/>
      </c>
      <c r="K1444">
        <f>HYPERLINK("https://yourei.jp/確実", "查看例句")</f>
        <v/>
      </c>
    </row>
    <row r="1445">
      <c r="A1445" t="inlineStr">
        <is>
          <t>学者</t>
        </is>
      </c>
      <c r="B1445" t="inlineStr">
        <is>
          <t>成功</t>
        </is>
      </c>
      <c r="C1445" t="inlineStr">
        <is>
          <t>読み方：がくしゃ
１学問の研究を仕事としている人。
２学問のある人。豊富な知識のある人。</t>
        </is>
      </c>
      <c r="D1445" t="inlineStr">
        <is>
          <t>学者たち(6%)；学者達；学者先生；学者肌；学者風</t>
        </is>
      </c>
      <c r="E1445" t="inlineStr">
        <is>
          <t>研究者；学士；研究家；学徒；学究</t>
        </is>
      </c>
      <c r="F1445" t="inlineStr">
        <is>
          <t>日本の政治学者；日本の言語学者；生化学者；著名な学者；古典学者</t>
        </is>
      </c>
      <c r="H1445" t="n">
        <v>29</v>
      </c>
      <c r="I1445" t="inlineStr">
        <is>
          <t>「藩」は一部の学者などが書物などで使用するのみの語だったのである。；政治家や時には与党の有力支持者である実業家、学者などが任命される。；処刑された学者の中には、これら超自然的な研究に携わった者も含まれる。；世界中から優秀な学生や学者を集め、多様性に富んだ教育を行っている。；現在の中国の歴史学者の研究では、ムスリムではないかと言われている。；しかしその独創的論文に他の学者が注目することはほとんどなかった。；なお、江戸時代にはフランス式のスートも一部の学者には知られていた。；中には本当は中国にすら行っていないのではないかと疑う学者もいる。；しかし一般には人気が高く、学者の一部にも本物説を唱える人がいる。；このユダヤ人学者の広範なコレクションが博物館の基礎となったのである。；しかし、現代の学者はこの数字は大幅に誇張されたものであると考えている。；しかしながら、現代の学者たちはこの記述について強く疑問を抱いている。；当時の学者としては大変に謙虚で、自らの功績を語ることは少なかった。；作品の文学性の基準は学者の間の数々の論争の的となってきた。；題材の相談、資料集めはもちろん外国の学者も紹介してもらった。；現代の学者はローマが戦争を強く望んだ理由についていくつかの説を唱えている。；京都一中の同期には学者の子供が多く、後に学者になった者も多かったという。；奈良時代に日本をリードした学者・政治家の吉備真備は下道氏である。；催しが開かれる時には多くの国際的な学者や研究者がアテネに集まる。；一方で、やはり文明崩壊、そして人肉食は起きたと主張する学者もいる。；最高裁判所は、他国の裁判官や学者などとの交流を盛んに行っている。；このためにナワトル語には単語という概念は不要と主張する学者もある。；しかし当時、ボルツマンの理論は学者内で一般的な評価を得られていなかった。；占星術の学者たちの職業上の道具であったとも言われている。；このことは古今東西数知れない学者が確認している事実である。；解例は世宗の命令に従って学者たちが書いた例義についての注釈である。；この説は現代の学者たちに広く受け入れられている。；チューターは学者や芸術家であり自身の専門分野をパートタイムで教えていた。；また彼の作品は東方のイスラーム教学者には知られていなかったのかもしれない。</t>
        </is>
      </c>
      <c r="J1445">
        <f>HYPERLINK("https://www.weblio.jp/content/学者", "词义详情")</f>
        <v/>
      </c>
      <c r="K1445">
        <f>HYPERLINK("https://yourei.jp/学者", "查看例句")</f>
        <v/>
      </c>
    </row>
    <row r="1446">
      <c r="A1446" t="inlineStr">
        <is>
          <t>各種</t>
        </is>
      </c>
      <c r="B1446" t="inlineStr">
        <is>
          <t>成功</t>
        </is>
      </c>
      <c r="C1446" t="inlineStr">
        <is>
          <t>読み方：かくしゅ
いろいろの種類。さまざま。諸種。「—取りそろえる」</t>
        </is>
      </c>
      <c r="D1446" t="inlineStr">
        <is>
          <t>各種イベント(3%)；各種メディア；各種団体；各種試験；各種施設</t>
        </is>
      </c>
      <c r="E1446" t="inlineStr">
        <is>
          <t>様々；いろいろ；多様；色々；種々</t>
        </is>
      </c>
      <c r="F1446" t="inlineStr">
        <is>
          <t>その他各種；各種装備；はじめ各種；各種設定；各種資料</t>
        </is>
      </c>
      <c r="G1446" t="inlineStr">
        <is>
          <t>各種各様；各種学校一覧；各種学校規程</t>
        </is>
      </c>
      <c r="H1446" t="n">
        <v>29</v>
      </c>
      <c r="I1446" t="inlineStr">
        <is>
          <t>また、ゲームの製作方法を解説した各種の公式書籍も出版されている。；公園内には名古屋テレビ塔もあり、各種イベントが盛んに行われている。；張は各種の版本を検討した結果、紹煕本は非常に優れていると提唱した。；各種設定が原作および以前の作品と異なるように変更されている。；有力な軍需産業を有していて各種兵器の開発と輸出を積極的に行っている。；各種のマグニチュードの値の間では差異を持つので注意が必要である。；各種テレビ番組の開発推進と共に、タレント開発部門を発足させている。；当初提案されたのはMT法であったがその後各種提案されている。；業務用エアコンは、大型のものや各種原動機を使用したものが存在する。；その一部は日本にも輸入された他、日本国産のものも各種登場した。；同年を中心にテレビドラマ・ノベライズなど各種メディアでも展開された。；この中にはポリ袋などの包装用品や各種農業用フィルムが含まれている。；化学兵器は視認困難なものが多いので、各種の検知器が研究されている。；数々の統計資料を作成し、改革のためにつくられた各種委員会に提出した。；各種コンポーネントを含めても初期のシステムは大きくはなかった。；まずは同行に集中されていた各種金融機能が専門銀行に分割された。；このため、後述のように各種設備はそれに対応して設計された。；このマシンは主にそのハードウェアを中心に各種雑誌で広くレビューされた。；停車駅や運行区間など詳しくは、各種別および各路線の記事を参照のこと。；最近では非実体弾を射出する各種の武装・装備を銃と呼称する事も増えている。；通常の総合大学の他にもグランゼコールや各種高等専門学校が存在する。；州の内閣はコミッショナーと呼ばれる各種州機関の長で構成される。；エスワティニ経済は各種産業がバランスよく開発され、多角化している。；ベルを取ったときの色によって得点や各種パワーアップの効果が得られる。；外国人労働者が住宅を確保することは、各種証明などで困難を伴うことが多い。；などの各種オーディション落選者が研修を経てデビューすることがある。；さらに機械分野でも制御機能の高度化に伴い自動車や各種産業機器にも組込まれている。；各種条件で入手できるアイテムによりキャラクターの強化が可能。；各種複信方式を利用して、送受信を同時に行えるようになっているもの。</t>
        </is>
      </c>
      <c r="J1446">
        <f>HYPERLINK("https://www.weblio.jp/content/各種", "词义详情")</f>
        <v/>
      </c>
      <c r="K1446">
        <f>HYPERLINK("https://yourei.jp/各種", "查看例句")</f>
        <v/>
      </c>
    </row>
    <row r="1447">
      <c r="A1447" t="inlineStr">
        <is>
          <t>隔週</t>
        </is>
      </c>
      <c r="B1447" t="inlineStr">
        <is>
          <t>成功</t>
        </is>
      </c>
      <c r="C1447" t="inlineStr">
        <is>
          <t>読み方：かくしゅう
1週間おき。「—発刊」</t>
        </is>
      </c>
      <c r="D1447" t="inlineStr">
        <is>
          <t>隔週金曜日(6%)；隔週交代(4%)；隔週木曜日(4%)；隔週火曜日(4%)；隔週放送(4%)</t>
        </is>
      </c>
      <c r="F1447" t="inlineStr">
        <is>
          <t>隔週出演；隔週誌；隔週配信；隔週交替；原則隔週</t>
        </is>
      </c>
      <c r="G1447" t="inlineStr">
        <is>
          <t>隔週刊誌；隔週評論</t>
        </is>
      </c>
      <c r="H1447" t="n">
        <v>29</v>
      </c>
      <c r="I1447" t="inlineStr">
        <is>
          <t>大半の作品が毎週更新だが、一部月1更新・隔週更新の作品も存在する。；別居の際の条件でダイアナは王子二人と隔週の週末に会うようになった。；あとの番組は時間枠が変動したり隔週放送が毎週放送となったりしている。；番組開始当初は今のような隔週交代出演制ではなく、毎週出演が多かった。；同誌は通常は月刊で発行されたが、隔月や隔週で発行することもあった。；月・火・水は隔週出演のダンディも含め、全ダンディが代役経験がある。；放送は毎週あったが、隔週更新で、更新なしの週はリピート放送である。；ほとんどの作品が毎週更新だが、一部毎日更新・隔週更新の作品も存在する。；ただし、それまでの2週毎の放送から、隔週交代での放送に変更した。；その後、隔週で体験レポートを漫画で描いたりしながら本格的な連載を開始。；開始月に4週続けて放送された後は、隔週が基本の不定期放送となっている。；隔週金曜日の正午から新しい回を視聴する事ができる様になっていた。；配信はPC向けと携帯向けが交互に隔週金曜日に更新される形で行われた。；基本的に隔週で新作を放映し、それ以外の週は以前の再放送であった。；連載作品のうち、隔週・月1回更新作品はローテーション方式で掲載。；復活放送は、7月29日から12月30日まで隔週火曜日に配信された。；番組は隔週生放送で、生放送終了後すぐに翌週放送分の収録が行われていた。；ほとんどのゲスト患者は隔週で出演することが多い。；一方の伯爵にも、隔週末に子どもたちと会うことが認められた。；隔週金曜日の夜22時から1時間、お店で起こった出来事などを紹介する。；この時期になると毎週出演ではなく隔週もしくは1か月ごとで出演するメンバーもいた。；かつては月2回発行であったが、現在は隔週誌になっている。；以上の組み合わせで隔週 ※出演者の都合等で異なる場合もある。；ただし両名とも現在は毎週ではなく隔週・不定期出演となっている。；隔週出演者が多かったが、大澤孝征・ピーコは原則毎週出演していた。；最後は隔週交代で番組が放送されていた。；また、中国の文化的側面を学生へ伝えることを意図している隔週の文化イベントを開催している。；文化や科学の分野において、隔週の評論と二つの新聞を出版した。；当初は隔週連載だったが現在は週刊連載になっている。</t>
        </is>
      </c>
      <c r="J1447">
        <f>HYPERLINK("https://www.weblio.jp/content/隔週", "词义详情")</f>
        <v/>
      </c>
      <c r="K1447">
        <f>HYPERLINK("https://yourei.jp/隔週", "查看例句")</f>
        <v/>
      </c>
    </row>
    <row r="1448">
      <c r="A1448" t="inlineStr">
        <is>
          <t>拡充</t>
        </is>
      </c>
      <c r="B1448" t="inlineStr">
        <is>
          <t>成功</t>
        </is>
      </c>
      <c r="C1448" t="inlineStr">
        <is>
          <t>読み方：かくじゅう
［名］(スル)組織や施設を広げて、充実させること。「工場を—する」</t>
        </is>
      </c>
      <c r="D1448" t="inlineStr">
        <is>
          <t>拡充する(7%)；拡充計画；拡充させる；拡充強化；拡充整備</t>
        </is>
      </c>
      <c r="E1448" t="inlineStr">
        <is>
          <t>広げる；拡大；拡張；押し広げる；廓大</t>
        </is>
      </c>
      <c r="F1448" t="inlineStr">
        <is>
          <t>施設拡充；設備拡充；軍備拡充；生産力拡充；機能拡充</t>
        </is>
      </c>
      <c r="H1448" t="n">
        <v>29</v>
      </c>
      <c r="I1448" t="inlineStr">
        <is>
          <t>さらに土地は国有地であり、施設拡充は非常に困難な状況となっていた。；車両面の充実のほかに路線の延長や施設の改良・拡充も積極的に行われた。；特にプレミアムフード系の製品を中心に拡充されていることで知られる。；なお、これらの施設は今後拡充される予定であると発表されている。；この車両は、他の諸都市に向けてさらに運用を拡充する計画がある。；それまで医師などを派遣し、非軍事的貢献していたものの拡充となる。；その後も大学施設が拡充され、学術・文化の中心地として発展を遂げた。；大規模な作業量に対応するための分業体制を拡充するなどしている。；古千波湖北側も屋敷地の拡充や船着場の設置のため整備・護岸化された。；その一方で、労働者保護のための社会保障政策の拡充も成し遂げられる。；また、路線網の拡充に対して適切な投資が行えないなどの問題があった。；その後も、展示室の増設や太陽望遠鏡の導入など、施設の拡充が続いた。；内容の一つの柱としては販売時における顧客への説明義務の拡充がある。；艦隊規模拡充に合わせて、それを動かす要員の育成も重要な課題となった。；今後は各県が運営する電子申請サービスが拡充する可能性がある。；その為、2004年には定員増と校舎・周辺設備の拡充が図られている。；しかし、これらのインフラの拡充には相応の費用と時間が必要である。；航空設備の拡充のための新たな製造施設が建設された。；先手役はこれら拡充した旗本があって初めて成り立ったものであった。；このことから、パキスタン海軍は潜水艦戦力の拡充に重点を置いている。；機種やインフラの整備に合わせて、仕様が拡充されて多くの仕様が存在する。；はじめは、英語のみを教えていたが、後に教える科目を拡充している。；同施設では開設後も処理能力の拡充が行われている。；日本を例に挙げると、以下のような福祉政策の拡充が実施された。；これは順次拡大されており2009年には1845名にまで拡充されている。；モデル拡充をアピールするために4ドア・バージョンが追加された。；家族向けのレジャーは、拡充されつつある新しい観光業の分野である。；以降、季節の変化に対応しキャラクターを拡充させて行った。；続いて製品ラインナップの拡充を目指し、単通路機市場への進出を決めた。</t>
        </is>
      </c>
      <c r="J1448">
        <f>HYPERLINK("https://www.weblio.jp/content/拡充", "词义详情")</f>
        <v/>
      </c>
      <c r="K1448">
        <f>HYPERLINK("https://yourei.jp/拡充", "查看例句")</f>
        <v/>
      </c>
    </row>
    <row r="1449">
      <c r="A1449" t="inlineStr">
        <is>
          <t>学習</t>
        </is>
      </c>
      <c r="B1449" t="inlineStr">
        <is>
          <t>成功</t>
        </is>
      </c>
      <c r="C1449" t="inlineStr">
        <is>
          <t>読み方：がくしゅう
［名］(スル)
１学問・技術などをまなびならうこと。「—の手引」「—会」
２学校で系統的・計画的にまなぶこと。「英語を—する」
３人間も含めて動物が、生後に経験を通じて知識や環境に適応する態度・行動などを身につけていくこと。不安や嫌悪など好ましくないものの体得も含まれる。
４人工知能（AI）がデータを読み込み、基準や規則性などを見つけ出すこと。→機械学習</t>
        </is>
      </c>
      <c r="D1449" t="inlineStr">
        <is>
          <t>学習院(8%)；学習する(8%)；学習能力；学習内容；学習会</t>
        </is>
      </c>
      <c r="E1449" t="inlineStr">
        <is>
          <t>研究；調査；検討；勉強；学問</t>
        </is>
      </c>
      <c r="F1449" t="inlineStr">
        <is>
          <t>学習活動；学習意欲；学習できる；学習法；環境学習</t>
        </is>
      </c>
      <c r="G1449" t="inlineStr">
        <is>
          <t>学習院大学；学習者；学習指導要領；学習センター；学習院</t>
        </is>
      </c>
      <c r="H1449" t="n">
        <v>29</v>
      </c>
      <c r="I1449" t="inlineStr">
        <is>
          <t>学習内容と同じく漫画も各学年別に男子向けと女子向けが用意されている。；テストの内容は学習に使用された特定の教材に由来することは避けられる。；学科教習第一段階は、道路上で運転するための基本的な知識を学習する。；このカードによって生徒が一ヶ月にどの程度学習したのかが管理されている。；それに加えて、学習の時間複雑性と実現可能性についても研究している。；実際、多くのプレイヤーはこのように学習しているものと思われる。；既述の学校やアカデミーの他にもアウクスブルクには学習の機会がある。；生徒の成績が学習集団全体のどのあたりの位置にあるかで評価しようとするものである。；教室での学習を助けるボランティアの学習支援講師がいる学校も少ない。；論文上には「他の学習能力は通常である」と記載があるのみである。；また、授業支援や学習内容に興味を持たせるための資料の紹介なども行っている。；それは様々なプロセスに基づいて多様な形をとる、社会学習の一形態である。；それぞれの教科で専門的に教えた方が、学習効果が上がる時期になっている。；また、殆どの場合において主科とは別に、副科としてピアノを学習する。；中学校と高等学校の内容を一部入れ替えて学習を行うことができる。；このため高等学校以降では学習内容のばらつきが非常に大きくなる。；睡眠も長く必要とせず、親の馬より学習能力が高く調教を行いやすい。；また初心者にとっても理論が確立されていれば学習しやすい点も指摘できる。；朝鮮語はある特定の言語話者の方が学習が大幅に容易であるという。；AIは交響曲5番の主題の展開がどのように行われていったかなど学習した。；また形容詞の変化などにも影響を及ぼすので学習の際は重要である。；学習室の使用許可が与えられたとき、その部屋は必要なだけ使い続けることができる。；生徒を主体に、芸術表現と身体表現、学習と研究を披露する場である。；学習用の文房具の棚からもHBが見られることが少なくなっている。；楠田はこの出会いが英語・英会話の再学習意欲につながったと語っている。；学習に必要な説明は口頭で行われたと見られるが、その内容は現在では不明である。；この学習路は「ワインと自然の学習路ヴィースバーデン」とも呼ばれる。；学校の進学や卒業に必要となる履修すべき学習量を科目毎に表した量である。；生涯学習とは、人が生涯にわたり学び・学習の活動を続けていくこと。</t>
        </is>
      </c>
      <c r="J1449">
        <f>HYPERLINK("https://www.weblio.jp/content/学習", "词义详情")</f>
        <v/>
      </c>
      <c r="K1449">
        <f>HYPERLINK("https://yourei.jp/学習", "查看例句")</f>
        <v/>
      </c>
    </row>
    <row r="1450">
      <c r="A1450" t="inlineStr">
        <is>
          <t>学術</t>
        </is>
      </c>
      <c r="B1450" t="inlineStr">
        <is>
          <t>成功</t>
        </is>
      </c>
      <c r="C1450" t="inlineStr">
        <is>
          <t>読み方：がくじゅつ
１専門的な研究として行われる学問。原理と応用・技術を含めていう。「—雑誌」
２学問と芸術。</t>
        </is>
      </c>
      <c r="D1450" t="inlineStr">
        <is>
          <t>学術的(16%)；学術上(5%)；学術調査(5%)；学術院(4%)；学術機関(3%)</t>
        </is>
      </c>
      <c r="E1450" t="inlineStr">
        <is>
          <t>学；学問；学芸</t>
        </is>
      </c>
      <c r="F1450" t="inlineStr">
        <is>
          <t>総合学術；学術協会；学術組織；学術面；学術振興</t>
        </is>
      </c>
      <c r="G1450" t="inlineStr">
        <is>
          <t>学術研究；学術団体；学術会議；学術雑誌；学術論文</t>
        </is>
      </c>
      <c r="H1450" t="n">
        <v>29</v>
      </c>
      <c r="I1450" t="inlineStr">
        <is>
          <t>市場は学術的な用語も含め複数の概念を表すために用いられている。；同校は、おそらくギター教育を最初に取り上げた学術機関かもしれない。；しかし、学術的な扱いでは、主題のデータは単なる情報の一群とされる。；積算という言葉の定義は、これには学術的なしっかりとした定義はない。；現在に至るまで本格的な学術調査は行われておらず、内部は未発掘である。；スミスはランドの思想に関する学術的な本および論文を複数書いている。；その後も大学施設が拡充され、学術・文化の中心地として発展を遂げた。；当時の資料によれば学術人類館は以下のようなものであった。；学問・学術面が主体の板だが、趣味的な側面から語ることも可能。；学術的な研究の目的は、突き詰めれば新しい事実や解釈の発見である。；デュッセルドルフの他の学術機関には以下のようなものが含まれる。；イギリス政府はその結果に基づいて国内の学術機関への資金配分を決める。；イスラムを経由した学術的な著作がこの世紀には多数ラテン語訳された。；ここでは特に学術的な議論の的になる代表的な点を挙げる。；会議ごとに、招待講演に基づく学術的な論文を含む議事録が刊行される。；本資格は3年間の更新制であり、学術大会等への出席が必要となる。；学術的な名称には山の正式名称が採用される傾向にあるからである。；中国の政治の中枢であり、上海と並ぶ経済・学術・文化の中心地である。；また、関係諸方面と協力して学術文化の向上発展に寄与することを目的とする。；学術的な表記として、最近ではSigfridが用いられることがある。；多くの学術専門団体と同じくして、運営形態は社団法人の形を取る。；科学及び人文学の研究・指導・連絡・学術振興・人材育成を行なっている。；この見方は、いくつかの学術サークルの中では何年にもわたって残り続けた。；学術的な合意の1つでは、ファシズムには左と右の両方の影響が存在している。；しかし学術人類館の生きた展示に清国、沖縄が反発し、外交問題化した。；実に、このドレスそのものが学術的なディベートの的となったこともある。；この著作はアマチュアのレベルを超えて学術レベルに達していると高く評価されている。；学術関連では気象や地震の研究を行っている大学や研究機関が許可を受けている。；総合学術調査の際、男島の林の中で中世の石垣群が発見されている。</t>
        </is>
      </c>
      <c r="J1450">
        <f>HYPERLINK("https://www.weblio.jp/content/学術", "词义详情")</f>
        <v/>
      </c>
      <c r="K1450">
        <f>HYPERLINK("https://yourei.jp/学術", "查看例句")</f>
        <v/>
      </c>
    </row>
    <row r="1451">
      <c r="A1451" t="inlineStr">
        <is>
          <t>革新</t>
        </is>
      </c>
      <c r="B1451" t="inlineStr">
        <is>
          <t>成功</t>
        </is>
      </c>
      <c r="C1451" t="inlineStr">
        <is>
          <t>読み方：かくしん
［名］(スル)旧来の制度・組織・方法・習慣などを改めて新しくすること。特に、政治では、現状を改革しようとする立場。「技術—」⇔保守。</t>
        </is>
      </c>
      <c r="D1451" t="inlineStr">
        <is>
          <t>革新的(40%)；革新性(4%)；革新運動(2%)；革新陣営；革新クラブ</t>
        </is>
      </c>
      <c r="E1451" t="inlineStr">
        <is>
          <t>改善；改良；改革；改変；変革</t>
        </is>
      </c>
      <c r="F1451" t="inlineStr">
        <is>
          <t>重要な革新；技術的革新；演劇革新；俳句革新；革新思想</t>
        </is>
      </c>
      <c r="G1451" t="inlineStr">
        <is>
          <t>革新派；革新系；革新政党；革新勢力；革新者</t>
        </is>
      </c>
      <c r="H1451" t="n">
        <v>29</v>
      </c>
      <c r="I1451" t="inlineStr">
        <is>
          <t>革新的な演奏で注目を浴びたが、同時に批判的な意見も少なくなかった。；技術的には、固定式の壁や扉様式建築に比較し、革新的なものであった。；KPMは、技術の面から窯業のなかでは革新的な功績を常に挙げてきた。；この論文は革新的ではあるが、今日から見ると奇妙な点もいくつか見られた。；永田鉄山が主導した陸軍革新グループの中では例外的な首席者であった。；会社はその分野で研究と革新を行い常に良くなろうとしている。；産業面以外でも、アクロンは革新的な出来事が多く起きた街であった。；更に彼は革新的な機関車の設計をソルトウッドミニチュア鉄道向けに行った。；は、iWarpが完成する以前から使用可能な革新的な開発環境を作った。；新しい革新的なITを売り出す際のマーケティング手法を提案している。；日本テレビの革新的な試みはわずか半年で躓いてしまう結果となった。；むしろ黄庭堅の革新的な芸術を開花させるに理想的な環境であったといえる。；徹底して古人に学びながら形式主義に陥らずその作品は革新的であった。；別の起源ではイギリスのパブリック・スクールの革新から始まりともされる。；そのスマートなフォルムは、それまでのものと比べると革新的であった。；また、革新的な教育原則を追加し、魅力的な遊びを個人の精神教育に発展させた。；これはテレビゲーム業界では初めての革新的な出来事でもあった。；この福澤の進出は既存経営陣に批判的な「革新会」側から歓迎された。；選定の基準は技術的革新性や産業利用での貢献によるものと思われる。；これらの革新的な技術によってラメージのような大型艦の建造が可能となった。；彼はこの戦略を実現するため、兵器と補給システムの革新と拡張を促進した。；オッタヴィアーニは「過度な革新に大きく門を開きすぎる」と批判した。；長い歩兵用小銃が標準的だった時代にあって、これは革新的なことだった。；トリスターノの革新的な指導法は、幅広い層のアーティストを啓発した。；歩三時代には安藤輝三などとも交流を持ち、彼らの革新思想の影響を受けた。；クリーブランドは革新的な試みが行われた空港として知られている。；ヘリコプターにおける革新は、彼の通風器の商売で築いた富を元にした。；覆い付きの車運車の開発は、他の革新的なサービスの誕生にも一役買った。；彼らの革新的な研究はドイツの航空を躍進させることに役立った。</t>
        </is>
      </c>
      <c r="J1451">
        <f>HYPERLINK("https://www.weblio.jp/content/革新", "词义详情")</f>
        <v/>
      </c>
      <c r="K1451">
        <f>HYPERLINK("https://yourei.jp/革新", "查看例句")</f>
        <v/>
      </c>
    </row>
    <row r="1452">
      <c r="A1452" t="inlineStr">
        <is>
          <t>核心</t>
        </is>
      </c>
      <c r="B1452" t="inlineStr">
        <is>
          <t>成功</t>
        </is>
      </c>
      <c r="C1452" t="inlineStr">
        <is>
          <t>読み方：かくしん
物事の中心となる大切なところ。中核。「—をつく」「事件の—に触れる」</t>
        </is>
      </c>
      <c r="D1452" t="inlineStr">
        <is>
          <t>核心部分(6%)；核心的(4%)；核心地域；核心階層；核心にせまる</t>
        </is>
      </c>
      <c r="E1452" t="inlineStr">
        <is>
          <t>心；問題；中心；落ち；ポイント</t>
        </is>
      </c>
      <c r="F1452" t="inlineStr">
        <is>
          <t>ズバリと核心；核心集落；核心的価値；核心的なテーゼ；核心的な部分</t>
        </is>
      </c>
      <c r="H1452" t="n">
        <v>29</v>
      </c>
      <c r="I1452" t="inlineStr">
        <is>
          <t>それぞれの時期にそれぞれの問題があり核心的なテーマがありますから。；もしわたしに何かいうべきことがあれば、そこを核心とするほかにない。；彼はしばらく相手の気持ちが鎮まるのを待って、疑問の核心へ近づいた。；皇帝はまた口を開いたが、まだ、ことの核心に触れようとはしなかった。；事件の調査を依頼しておきながら、島村香絵は事件の核心を隠していた。；それによって耕助は、この質問が問題の核心をついているのだと知った。；召命の種類と形はたくさんあるが、体験の核心と意味とは常に同一である。；おれにとっては、それはおれの生の核心をなしているといってもいい。；香港行政の核心は中国が握っているということが露呈してしまったのです。；事件の核心に関与したものでしか手にし得ないものですからね。；これらの身ぶりは絵画の持つ感情的および物理的な核心を決定している。；軽い気持ちで組織に潜入した3人は徐々に核心に迫って行くが・・・。；最初から期待しない部分だったので、続けて核心に触れることにした。；はっきりとは判らぬ迄も、私は追々にその問題の核心に近よって見たい。；一気に物の核心をつかまうとする場合、事実文献はあまり役に立たない。；話はもちろん伝説であるがすべての伝説と同じように真理の核心を含んでいる。；それでもじっとしているとやがて指が核心部分に近づいてきた。；彼女は信じていることの核心を信仰告白において言葉で表現していた。；赤子は事態の核心を相当なところまで感じ取って記憶しているものだ。；核心に触れず馬鹿話で盛り上がる方がよっぽどいいような気がします。；その答えに凛は頬を赤くしながら、やはり振り返らず、核心を口にする。；この見解はもちろん一方に偏ったものであるが核心的な真理も含まれていた。；これは、先生の表現を使うんやったら『事件の核心に関与』した証拠です。；大石さんと何度かの接触を重ね、核心に迫ろうとしているかに見える。；これでようやく、この世界の核心を自分の目で確かめることができる。；わたしは単刀直入一気に疑問の核心をつくような議論が欲しいのだ。；それは、否定しながらも、心のどこかが認め、恐れている核心部分だった。；最も核心を突いた違いの一つは、機器が光学的であるかどうかである。；本エピソードは「ミソロジー」の核心に触れた最初のエピソードである。</t>
        </is>
      </c>
      <c r="J1452">
        <f>HYPERLINK("https://www.weblio.jp/content/核心", "词义详情")</f>
        <v/>
      </c>
      <c r="K1452">
        <f>HYPERLINK("https://yourei.jp/核心", "查看例句")</f>
        <v/>
      </c>
    </row>
    <row r="1453">
      <c r="A1453" t="inlineStr">
        <is>
          <t>確信</t>
        </is>
      </c>
      <c r="B1453" t="inlineStr">
        <is>
          <t>成功</t>
        </is>
      </c>
      <c r="C1453" t="inlineStr">
        <is>
          <t>読み方：かくしん
［名］(スル)固く信じて疑わないこと。また、固い信念。「勝利を—する」「—をもって言う」</t>
        </is>
      </c>
      <c r="D1453" t="inlineStr">
        <is>
          <t>確信する(8%)；確信できる；確信ありげ；確信めい；確信いたし</t>
        </is>
      </c>
      <c r="E1453" t="inlineStr">
        <is>
          <t>考え；主張；意見；信頼；見解</t>
        </is>
      </c>
      <c r="F1453" t="inlineStr">
        <is>
          <t>どうか確信；そういう確信；強く確信；半ば確信；そうした確信</t>
        </is>
      </c>
      <c r="G1453" t="inlineStr">
        <is>
          <t>確信行為者</t>
        </is>
      </c>
      <c r="H1453" t="n">
        <v>29</v>
      </c>
      <c r="I1453" t="inlineStr">
        <is>
          <t>この家には大勢の人々が訪れ、超自然的な存在の働きを確信したという。；彼は影響力を持った多くの人々に黄金を作ることができると確信させた。；この時点では東自身も周囲の人間もチャンピオン獲得を確信していた。；数時間の内にセールは谷山・志村予想が正しいことを確信するに至った。；イギリス民族こそが世界で最も偉大な支配民族であると確信している。；しかし、ブロックは会議後エバンスを横に呼び、その可能性を確信した。；この裁判の中でアーチーの浮気を確信したウェンディは離婚を宣言した。；この発見に基づき、置塩はこの周辺に難波宮が必ずあるとの確信を持つ。；海軍情報部は敵潜水艦がアイスランド港外で活動していると確信していた。；最終選考まで残り、本人も合格を確信していたというが、結局落選した。；私は、彼がこの話題のために若干のリサーチを行なったと確信します。；そして新聞に書いた生徒達の成長が偽りではないことをいづみは確信する。；日本が抱いていたアメリカが世界の指導者であるという確信も弱くなった。；そこで彼女の才能に確信を持った姉弟はルースのマネージャーについた。；しかしながら、我々は我々の内的知覚は絶対的に確信することができる。；蔵原監督を含めた製作陣は、主役は高倉健以外にいないと確信していた。；彼は残りの人生を通して社会改革を訴え続けなければならないと確信していた。；彼は我々がもっと大きなチームと競い合えるという確信を与えてくれる。；この人形のモデルはまさに生き別れた両親に違いないと確信した彼はアメリカに逃亡。；後に、男性雑誌で音楽にはもはや興味がないと確信したと告白した。；しかし彼自身は自らの能力が及ぶ限り、国に奉仕したと確信していた。；しかし中国には変法維新が必要と確信して、天津で教育事業を始めた。；原少将は、自らの南方重視索敵が的中したことで勝利を確信したという。；しかし、この試合で野球の方が向いていると確信し、野球に専念する。；回顧録の中でチャーチルはこの時に勝利を確信したと主張している。；イドリースィーは自らが立つ大地が球形であると堅い確信を持っていた。；今後、各町村がそれぞれの議会で正式に決めるものと確信している。；ハーバードで彼は「病は気から」が真実であると確信するようになった。；他の誰でもなく私があの祈りを書いたことを確信しているよ。</t>
        </is>
      </c>
      <c r="J1453">
        <f>HYPERLINK("https://www.weblio.jp/content/確信", "词义详情")</f>
        <v/>
      </c>
      <c r="K1453">
        <f>HYPERLINK("https://yourei.jp/確信", "查看例句")</f>
        <v/>
      </c>
    </row>
    <row r="1454">
      <c r="A1454" t="inlineStr">
        <is>
          <t>隠す</t>
        </is>
      </c>
      <c r="B1454" t="inlineStr">
        <is>
          <t>成功</t>
        </is>
      </c>
      <c r="C1454" t="inlineStr">
        <is>
          <t>読み方：かくす
［動サ五（四）］
１人の目に触れないようにする。物で覆ったり、しまい込んだりする。「姿を—・す」「両手で顔を—・す」「押し入れに—・す」
２物事を人に知られないようにする。秘密にする。「身分を—・す」「—・さずに事実を話す」「当惑の表情を—・さない」
３死者を葬る。
「畝傍山の東北(うしとら)のすみの陵(みささき)に—・しまつる」〈神武紀〉
→覆(おお)う［用法］
[可能]かくせる
[下接句] 頭隠して尻(しり)隠さず・跡を隠す・色の白いは七難隠す・髪の長きは七難隠す・上手(じょうず)の猫が爪(つめ)を隠す・爪を隠す・能ある鷹(たか)は爪を隠す</t>
        </is>
      </c>
      <c r="D1454" t="inlineStr">
        <is>
          <t>隠すべき；隠すことなく；隠すべく；隠すところなく；隠すよう指示</t>
        </is>
      </c>
      <c r="E1454" t="inlineStr">
        <is>
          <t>含む；含まれる；覆う；出さない；包む</t>
        </is>
      </c>
      <c r="F1454" t="inlineStr">
        <is>
          <t>おおい隠す</t>
        </is>
      </c>
      <c r="H1454" t="n">
        <v>29</v>
      </c>
      <c r="I1454" t="inlineStr">
        <is>
          <t>驚くべき速度で進化を続けるがそれにはある重大な秘密が隠されている。；この他、ゲームの実行速度を変更してプレイする隠しモードが存在する。；実は国内には聖機兵の他に機甲神までもが隠されていたことが判明する。；お神さんとおれの事はいくら隠そうと思っても福井には隠しきれないよ。；調査者は、手紙には隠された犯人の告白が書かれていたと主張している。；秘密を隠したまま時は過ぎ、二人の関係は悶々としたものとなって行く。；しかし、彼の場合は隠されていて、私たちは彼を見ることができません。；彼は自分の考えを隠そうとするが、直ぐ逮捕されることを確信している。；一つ彼女の傍をのがれて、アメリカへでも身を隠そうかとも思いました。；彼女は主人公の家に身を隠していたのだが、結局、兵士に連れ戻される。；それらの隠し場のところのこれを見出すのにおいてそのものに作用する。；だから彼は私が角をまわってくるのを見て、姿を隠そうとしたのでしょう。；でも手掛りになるものを隠そうと最大の注意が払われているようですね。；何を隠そう、彼を箱入りさせたのは私で、当然のお返しのつもりだった。；大臣を含む政治家達は公害を隠そうとしたことで非難の的となってしまう。；不機嫌さを隠そうともしないジュウの顔を見て、危険に思ったのだろう。；だがそれよりも問題なのは、彼女がそれを隠そうとしなかったことだ。；彼が怯えと恐怖を隠そうとしていることが、矢田の眼にはよくわかった。；もっとも、彼女のほうでも別にそれを隠そうとしていたわけではない。；数字から見ても、どこか記念的な意味が隠されているようにも思える。；けれども監視者は気配を殺し、姿を隠そうとしていることが明らかだった。；どうもここには秘密を隠そうとしている連中がいそうな気がします。；その後側壁や袖隠しを建設し、周辺法面の緑化工等を行って完成となる。；この道具のせいで息子が死んだため祖母が隠していたのだった。；それまで不安を隠そうとしなかった森の口調に落ち着きが戻ってきた。；なぜ、ただの事故にすぎなかったものを、村ぐるみで隠そうとしたのか。；その犯罪は公になれば血の雨が降ることになるため皇帝には隠された。；蓋恥心の欠落していること首相以上で、しかもそれを隠そうともしない。；また手術を受ける患者は特殊な場合を除いて顔を隠すことが少ない。</t>
        </is>
      </c>
      <c r="J1454">
        <f>HYPERLINK("https://www.weblio.jp/content/隠す", "词义详情")</f>
        <v/>
      </c>
      <c r="K1454">
        <f>HYPERLINK("https://yourei.jp/隠す", "查看例句")</f>
        <v/>
      </c>
    </row>
    <row r="1455">
      <c r="A1455" t="inlineStr">
        <is>
          <t>学生</t>
        </is>
      </c>
      <c r="B1455" t="inlineStr">
        <is>
          <t>成功</t>
        </is>
      </c>
      <c r="C1455" t="inlineStr">
        <is>
          <t>読み方：がくしょう
１律令制で、中央の大学、地方の国学で学ぶ者のこと。また平安時代、諸氏の開いた大学別曹で学ぶ者。学徒。
「度々のぼりたる—の男(をのこ)ども」〈宇津保・俊蔭〉
２比叡山・高野山などの諸大寺で、学問修行を専門とする僧。学僧。学侶。
「南北二京に、これ程の—あらじものを」〈宇治拾遺・四〉
３学問。学識。
「—も人に勝(すぐ)れ、説経も上手なり」〈今昔・二〇・三五〉</t>
        </is>
      </c>
      <c r="D1455" t="inlineStr">
        <is>
          <t>学生たち(7%)；学生生活；学生達；学生数；学生募集</t>
        </is>
      </c>
      <c r="E1455" t="inlineStr">
        <is>
          <t>生徒；大学生；書生；教え子；塾生</t>
        </is>
      </c>
      <c r="F1455" t="inlineStr">
        <is>
          <t>指導学生；若い学生；優秀な学生；予備学生；全日本学生</t>
        </is>
      </c>
      <c r="G1455" t="inlineStr">
        <is>
          <t>学生運動；学生服；学生寮；学生野球；学生向け</t>
        </is>
      </c>
      <c r="H1455" t="n">
        <v>29</v>
      </c>
      <c r="I1455" t="inlineStr">
        <is>
          <t>このシステムは現在主に共通教育棟で学んでいる学生に使用されている。；また近年看護系の専門学校も進出し学生の町としての発展も期待される。；教育研究上の基本となる組織の一つで、学生が所属する教育組織である。；しかし現在は再び東欧やドイツなどからの学生の流入が多くなっている。；また、日本の学生リーグの場合は各地方毎での総当たり戦が行われる。；実際には学生部長伊東延吉と事業部長紀平正美が中心となって運営する。；日本人スタッフが駐在し、学生間の交流と情報交換の場にもなっている。；世界中から優秀な学生や学者を集め、多様性に富んだ教育を行っている。；支援する学生からパンが投げ込まれたが、それには一切手をつけなかった。；テキサス州の学生は数学で平均より上だが、読むことでは平均以下だった。；寝室は自習室の廊下を挟んだ反対側にあり、3部屋分の学生を収容する。；授業の内容はほとんど決められており学生が授業を選んで取ることはほとんどない。；そして全学生共通のカリキュラムで授業を行っているところがある。；学生の調査事例の代表的なものは『実験計画法第三版』に掲載されている。；給付型奨学金は、優秀な学生を確保する目的で設けられた制度である。；それまで学生出身力士は大成しないジンクスがあったが、それを破った。；この時期はまだ学生バンドの思い出作り的な意識があったという。；紫熊祭で行われる企画、運営および全ての準備は学生の手で行われている。；また大学を選ぶ学生に、首都圏の大学進学に偏重する傾向も指摘される。；能のほかには当時の学生と同じようによく映画をみ、レコードを買ってきいた。；中には小さいころから自分でその問題を考えていた、という学生もいるという。；海外留学生と、共同プログラムに所属する日本人学生の交流の場も提供する。；また中央の白い楕円は躍動する学生たちの未知なる力を表現している。；また、旧・帝大をはじめとする大学では学生YMCAが活動している。；パリのエコール・ポリテクニークで、カルノーと同時期に学生であった。；モスクワ中山大学では留学直後に各学生にロシア名が与えられた。；ハイデルベルク大学の近くにユダヤ人学生のための専門大学が設けられた。；また周辺に大学や高校も多く、その学校へのバスも出ていることから学生・生徒も多い。；なぜ学生刑事が生まれてきたのかを理解していない!</t>
        </is>
      </c>
      <c r="J1455">
        <f>HYPERLINK("https://www.weblio.jp/content/学生", "词义详情")</f>
        <v/>
      </c>
      <c r="K1455">
        <f>HYPERLINK("https://yourei.jp/学生", "查看例句")</f>
        <v/>
      </c>
    </row>
    <row r="1456">
      <c r="A1456" t="inlineStr">
        <is>
          <t>覚醒剤</t>
        </is>
      </c>
      <c r="B1456" t="inlineStr">
        <is>
          <t>成功</t>
        </is>
      </c>
      <c r="C1456" t="inlineStr">
        <is>
          <t>読み方：かくせいざい
強い中枢神経興奮作用をもち、疲労感や眠けがなくなり、思考力や活動力が増す一群の薬物。塩酸メタンフェタミン（ヒロポン）など。習慣性があり、慢性中毒になると幻覚や妄想が現れる。覚醒剤取締法により製造・販売・所持・使用などは規制される。</t>
        </is>
      </c>
      <c r="D1456" t="inlineStr">
        <is>
          <t>覚醒剤使用(2%)；覚醒剤所持；覚醒剤密輸；覚醒剤乱用；覚醒剤密売</t>
        </is>
      </c>
      <c r="F1456" t="inlineStr">
        <is>
          <t>検察官覚醒剤；弁護人覚醒剤；北朝鮮産覚醒剤</t>
        </is>
      </c>
      <c r="G1456" t="inlineStr">
        <is>
          <t>覚醒剤中毒；覚醒剤精神病</t>
        </is>
      </c>
      <c r="H1456" t="n">
        <v>29</v>
      </c>
      <c r="I1456" t="inlineStr">
        <is>
          <t>弁護士 結婚したあとに、覚醒剤をやっていたことを知っていましたか。；覚醒剤を常用していた韓国の元大統領の息子が逮捕されたことがあった。；彼は覚醒剤をやめはしたが、積極的に別の行動を取ろうとはしなかった。；日本軍の覚醒剤の使用用途は、当時の日本では一般的な用途であった。；だから彼としても、そんなに簡単に覚醒剤を使ったりできないんだよ。；とくに患者が覚醒剤乱用者の場合は、その仲間だということもありうる。；また犯人は潜伏先のホテルで覚醒剤を使用していたことが判明した。；検査して出たとすれば、私の食事中に覚醒剤の粉末がかかったと思うんです。；Z氏の言うように、やはり彼は覚醒剤をニューヨークで知ったらしい。；例えば、覚醒剤なんかの力を借りたいと思ったことは、ありませんか?；沈没事件の前にも北朝鮮産の覚醒剤取り引きに関与したことがあるのか。；そうではない、教会は暴力団の覚醒剤密売の連絡所になっていたのだ。；鈴木は覚醒剤で茶色になってしまった顔を赤黒くすると、怒鳴り返した。；これほど大量の覚醒剤原料が一度に押収された例はこれまでにない。；幹部は、沈没工作船の覚醒剤に具体的にどんな形でかかわっていたのか。；大きな取り引きがあると言っていたのは、覚醒剤の密輸だったに違いない。；彼が所属していた事務所の社長が覚醒剤事件のあと、私に次のような話をしてくれたのだ。；われわれはあなたが覚醒剤を使っていたかどうかに関心はない、それは警察の仕事だ。；だからこそ、僕個人のために、世の中すべての覚醒剤を撲滅したいんだ。；覚醒剤依存症による錯乱のために起した事件であることを主張している。；路上で若者に覚醒剤密売を持ちかけているイラン人の姿は今も見られる。；八〇年代半ばまでは、日本に入ってくる覚醒剤の七割以上は韓国産だった。；恐らく近くのコンビニの前で、誰かに覚醒剤を渡しているに違いない。；そのため覚醒剤が品薄になり、取引価格が異常なほど高騰したという。；男が、郵便局に現れる直前に覚醒剤を注射していたのがその後判明している。；私がもっとも気になったのは、積んであった覚醒剤の量であった。；しかも地方ライブのために飛行機で移動すると、覚醒剤を持っていくことができない。；例の事件で、市民の方々が、覚醒剤の怖さをよく知っていますからね。；日本に北朝鮮産覚醒剤が流入し始めたのは、九〇年代半ばからである。</t>
        </is>
      </c>
      <c r="J1456">
        <f>HYPERLINK("https://www.weblio.jp/content/覚醒剤", "词义详情")</f>
        <v/>
      </c>
      <c r="K1456">
        <f>HYPERLINK("https://yourei.jp/覚醒剤", "查看例句")</f>
        <v/>
      </c>
    </row>
    <row r="1457">
      <c r="A1457" t="inlineStr">
        <is>
          <t>学説</t>
        </is>
      </c>
      <c r="B1457" t="inlineStr">
        <is>
          <t>成功</t>
        </is>
      </c>
      <c r="C1457" t="inlineStr">
        <is>
          <t>読み方：がくせつ
研究に基づいて独自にまとめられた学問上の考え。「—を立てる」</t>
        </is>
      </c>
      <c r="D1457" t="inlineStr">
        <is>
          <t>学説上(3%)；学説史</t>
        </is>
      </c>
      <c r="E1457" t="inlineStr">
        <is>
          <t>説；理論；体系；原理；定理</t>
        </is>
      </c>
      <c r="F1457" t="inlineStr">
        <is>
          <t>倫理学説；憲法学説；経済学説；様々な学説；古い学説</t>
        </is>
      </c>
      <c r="G1457" t="inlineStr">
        <is>
          <t>学説誌</t>
        </is>
      </c>
      <c r="H1457" t="n">
        <v>29</v>
      </c>
      <c r="I1457" t="inlineStr">
        <is>
          <t>しかし当時から既にどちらの学説にも不備があることが指摘されていた。；幾つかの伝説やそれに基づく学説が存在するが現在の所結論は出ていない。；しかし、日本語の研究が進み、それぞれに区別はないとする学説が出た。；第二の学説は、清の考証学者である銭大昕の説を代表とするものである。；彼の学説は、当時のドイツの貿易政策への提言という側面も持っていた。；こうした学説では古代とは奴隷が生産の主体を担った発展段階と定義される。；なお、実際に使用された元号でなく、後に制定されたという学説もある。；どうして彼等が域外へと進出したのかについては下記のような学説がある。；この現象を説明する学説としてコドン捕獲説を提唱したことで知られる。；この学説は少なくともアメリカの学界では受け入れられつつあるようである。；しかし一方で、その刑具は十字形ではなかったとする学説が存在していた。；その独創的な学説が伝わるのは、弟子が彼の原稿・理論をまとめたことによる。；この場合の法的性質をどのように理解するかが学説上争われている。；その後、学説では住居の平穏が保護法益であるとの立場が有力化した。；天皇がいつどのように成立したかは、現在の学界では学説が多様に分かれている。；後成説は受精卵から生物の形ができることを説明する古い学説の一つである。；ところがこの「保護国法」をどのように解釈するかで学説が分かれている。；それらの分類方法にも研究者の間で学説が分かれている。；しかし最後の著『人間精神の批判的探究』までその学説は一貫している。；慎重さと「戦略拠点」の重要性は彼の学説において主眼を置かれている。；さらに、過去の判例や法学者の学説、条理も補充的な法源とされている。；現在、この種の学説に固執している宗教団体はエホバの証人のみである。；この学説は竜脚類が高度な社会性を持っていたことを示した。；その刑法学説の基本的立場は、師である平野と同じ結果無価値論に立つ。；しかし、近年になって鮮卑の言語がモンゴル系であるとする学説もでてきた。；その後、壺形土器の形や盾の形を模倣したというような学説も生まれた。；なお学説の名称自体は古川自身が付けたものではなく、古川学説派による。；それ以外の人物を真作者とする学説も数多く提案されている。；ついで、トリボニアヌスを長とする委員に法学者の学説を集大成させた。</t>
        </is>
      </c>
      <c r="J1457">
        <f>HYPERLINK("https://www.weblio.jp/content/学説", "词义详情")</f>
        <v/>
      </c>
      <c r="K1457">
        <f>HYPERLINK("https://yourei.jp/学説", "查看例句")</f>
        <v/>
      </c>
    </row>
    <row r="1458">
      <c r="A1458" t="inlineStr">
        <is>
          <t>拡大</t>
        </is>
      </c>
      <c r="B1458" t="inlineStr">
        <is>
          <t>成功</t>
        </is>
      </c>
      <c r="C1458" t="inlineStr">
        <is>
          <t>読み方：かくだい
［名］(スル)広げて大きくすること。また、広がって大きくなること。郭大。「勢力の—を図る」「写真を—する」⇔縮小。</t>
        </is>
      </c>
      <c r="D1458" t="inlineStr">
        <is>
          <t>拡大する(10%)；拡大させる；拡大版；拡大しよ；拡大し続け</t>
        </is>
      </c>
      <c r="E1458" t="inlineStr">
        <is>
          <t>展開；発展；増加；普及；延長</t>
        </is>
      </c>
      <c r="F1458" t="inlineStr">
        <is>
          <t>急拡大；規模拡大；大きく拡大；急速な拡大；新型コロナウイルス感染症拡大</t>
        </is>
      </c>
      <c r="G1458" t="inlineStr">
        <is>
          <t>拡大防止；拡大体；拡大解釈；拡大会議；拡大家族</t>
        </is>
      </c>
      <c r="H1458" t="n">
        <v>29</v>
      </c>
      <c r="I1458" t="inlineStr">
        <is>
          <t>これが原核生物が細胞サイズをあまり拡大できない理由の一つといえる。；ヨーロッパを越えて新大陸やインドにも植民地をめぐる戦争は拡大した。；この後は中期と呼ばれ、コーダの拡張など古典派形式の拡大に成功した。；武田の行政機構が領地の拡大にあわせて変化していった一例であろう。；近年ではアニメなどの流行により、その対象は広い世代に拡大しつつある。；こうして対清輸出拡大を望むイギリスの試みは失敗に終わった。；当時、南部と北部との経済・社会・政治的な相違が拡大していた。；多数の未記載種が知られ、分類は今後も拡大するものとみられる。；ジェミニの司令船は、基本的にはマーキュリー宇宙船の拡大版であった。；この他、明治以降の埋め立ての進行で市域は海に向かって拡大している。；特技拡大を受けた場合以前の職種は順次技術レベルを格下げされていく。；ある特定地域の文化が他地域へと拡大することを文化伝播と呼ぶ。；この時期に北のモンゴル高原にはモンゴル帝国が急速に勢力を拡大していた。；政治的・文化的にはやや保守化し、一部の人権拡大の要求は軽視された。；さらにその後も柵戸や公民を中心とした郡制施行地を拡大していった。；その役割はトランスクリプトーム解析の分野を軸に発展・拡大してきました。；後者については、盤面を横に拡大させた場合に数えやすく、適している。；こののちローマは領域を拡大させ、七つの丘を都市の領域とした。；客用ドアが1000形と同じものに変更され、窓の天地寸法が拡大された。；この運動以降、中国の青年達に共産主義思想への共感が拡大していく。；日本国内においては、このことが栽培規模拡大への障害のひとつとなっている。；計器用変流器は交流電流の測定の測定範囲拡大に使われる変流器である。；ワングはこれを資金としてワング・ラボラトリーズの規模を拡大させた。；日本軍は戦闘拡大を望まず、事態悪化を防ぐためにできる限り全てのことをした。；のちに路面電車や鉄道にも拡大され、長崎県内の10社局が参加した。；紛争が激化すると、戦闘の拡大を防ぐため停戦命令を発することがある。；しかしターリバーンは国内の他勢力の拠点を次々に攻略し、勢力を拡大し続けた。；前年度の運転が好評だったため2009年は運転区間を拡大して設定された。；つまりこの成功例を拡大しようとすると、露出オーバーにつながり始めた。</t>
        </is>
      </c>
      <c r="J1458">
        <f>HYPERLINK("https://www.weblio.jp/content/拡大", "词义详情")</f>
        <v/>
      </c>
      <c r="K1458">
        <f>HYPERLINK("https://yourei.jp/拡大", "查看例句")</f>
        <v/>
      </c>
    </row>
    <row r="1459">
      <c r="A1459" t="inlineStr">
        <is>
          <t>確たる</t>
        </is>
      </c>
      <c r="B1459" t="inlineStr">
        <is>
          <t>成功</t>
        </is>
      </c>
      <c r="C1459" t="inlineStr">
        <is>
          <t>読み方：かくたる
⇒確(かく)</t>
        </is>
      </c>
      <c r="D1459" t="inlineStr">
        <is>
          <t>確たる証拠(24%)；確たるもの(10%)；確たる根拠(4%)；確たる理由(3%)；確たる史料(2%)</t>
        </is>
      </c>
      <c r="E1459" t="inlineStr">
        <is>
          <t>目立つ；明確な；目立った；顕著な；際立った</t>
        </is>
      </c>
      <c r="F1459" t="inlineStr">
        <is>
          <t>示す確たる；確たる信念；いずれも確たる；確たる資料；確たる見通し</t>
        </is>
      </c>
      <c r="H1459" t="n">
        <v>29</v>
      </c>
      <c r="I1459" t="inlineStr">
        <is>
          <t>何か確たる証拠があって彼女が犯人だと決めつけたわけではなかった。；噂と高音さんは言っているが、彼女自身は確たる情報を得ているだろう。；しかしいずれも確たる証拠がなく、誰が光緒帝を暗殺したかは不明である。；確たる現実の中で、おれたちだけが異形の相と対しているのだろうか。；現状では鎮魂歌説を含めいずれの説も確たる根拠を欠いていると言える。；「きみにはそんな真似はできない」かれは確たる根拠もなしに言った。；確たる今後の方針をどうするか、それをきめて置かなければならない。；そして何よりも先に天皇に会った、と考えられるのだが、確たる記録がない。；果してそうした人物がいるかどうか、確たる自信があるわけではない。；黄金の騎士は、その白い美貌に確たる決意を浮かべ、小さく首を振った。；ジョンソン大佐がテカムセの殺害者かもしれないが、確たる証拠は無い。；大仏の制作に関わる説が2つあるが、それを裏付ける確たる証拠はない。；それが彼の策である以上、当然そこには確たる勝算があるのだろう。；のみならず警部をして確信せしめるためにはやはり確たる証拠を必要とするのだよ。；厲公が殺された後に晋では名君悼公が登場して覇権を確たるものとする。；彼のこの行動は、確たる根拠があってやっているわけではない。；だが、どうなんだね、君は実際それについて、確たる考えがあったのかね?；確たる証拠があるわけではないが、犯人は一人なのではないか、と恭介は考えた。；郡名の由来は確たるものがなく、下記のような7つの説がある。；だからといって、楽曲と特定の絵画との間に確たる一致が見られるわけではない。；それを明らかにすればあるいは何か確たる証拠を掴むことが出来るかも知れないと思つていたのだ。；確たる根拠があって言っているわけではありません。；よく考えてみれば確たる根拠があったわけではない。；このときすでに彼に謀叛の意志があったかというと、確たるものはまだなかったろう。；その時、私には秘密にしようという確たる気持はなかったのです。；六方向の板たちが、ゆっくりと、しかし確たる動きで迫ってくる。；しかしながら、これらの推測には確たる証拠がないため異論も多い。；確たる理由はないが、そばにいられるとなんとなく落ち着かないのだ。；これだけ自信があるからにはなにか確たる証拠をつかんだのか。</t>
        </is>
      </c>
      <c r="J1459">
        <f>HYPERLINK("https://www.weblio.jp/content/確たる", "词义详情")</f>
        <v/>
      </c>
      <c r="K1459">
        <f>HYPERLINK("https://yourei.jp/確たる", "查看例句")</f>
        <v/>
      </c>
    </row>
    <row r="1460">
      <c r="A1460" t="inlineStr">
        <is>
          <t>格段</t>
        </is>
      </c>
      <c r="B1460" t="inlineStr">
        <is>
          <t>成功</t>
        </is>
      </c>
      <c r="C1460" t="inlineStr">
        <is>
          <t>読み方：かくだん
［名・形動］
１物事の程度の差がはなはだしいこと。また、そのさま。「一年前に比べて—に上達した」「—の相違」
２物事の程度が普通をはなはだしく超えていること。また、そのさま。
「この—なる地位に於いても」〈漱石・吾輩は猫である〉
→格別(かくべつ)［用法］</t>
        </is>
      </c>
      <c r="D1460" t="inlineStr">
        <is>
          <t>格段に高い(2%)；格段に少ない；格段に高く；格段に大きい；格段に低い</t>
        </is>
      </c>
      <c r="E1460" t="inlineStr">
        <is>
          <t>特に；特別；別に；立てて；とりわけ</t>
        </is>
      </c>
      <c r="F1460" t="inlineStr">
        <is>
          <t>比べると格段；比べれば格段；格段に少なく；格段に速く；格段に難しい</t>
        </is>
      </c>
      <c r="H1460" t="n">
        <v>29</v>
      </c>
      <c r="I1460" t="inlineStr">
        <is>
          <t>キャラクターのサイズや種類など、前作から格段に性能が上がっている。；彼女の演奏はピアノにしろ歌にしろ、エマの演奏より格段に優れていた。；ステージの敵のステータスが上昇するなど難易度が格段に上昇している。；味覚が通常よりも格段に鋭い人のことをスーパーテイスターと呼ばれる。；実際に交渉のある或格段な相手が、正直か正直でないかを知りたいのである。；にもかかわらず、格段の中央にはそれとわかるほどのくぼみがあった。；なぜかというと、第一にバント守備が格段にうまくなったからである。；今の私がそうした私よりかくだんにすぐれていると言うのではない。；また、電子化したことにより検索が容易になり利便性が格段に向上した。；世界社の編集室とよく似ているが、こちらの方が格段にきちんと整理されている。；味は格段に違うんだけど、濃度の違いをどうとるかは人それぞれだから。；これがまた俳句が他の文学に比較して格段の見地を有することになっている。；欧州の資料が研究の可能性を格段に広げたからだと説明しながら。；私たちの一番の目標は、お客様に格段のサービスを提供することです。；周りに兵では無くとも人間の目があれば襲撃の確率は格段に下がる。；それゆえ、次の段階の装備品を手に入れたらそれだけで冒険が格段に楽になる。；このレースに出走する日本馬は他のレースに比べて格段に実績のあるものが多い。；これら主要装備は、前級1135M型より格段に能力が向上していた。；一方で、他の食肉に比べて、犬肉の栄養が格段に優れているわけではない。；吸血鬼といえども、脳と心臓が切り離されては再生能力が格段に低下する。；この機能の受信機器への搭載率は地上アナログ放送よりも格段に高い。；南側の部屋は、ベランダがついていて、洗濯のときに格段に便利だった。；非常な天才でない限り、そう格段の相違というものがあるべきはずはない。；あたりの様子からすれば格段にこざっぱりとした小さな宿がある。；実際に交渉のある、ある格段な相手が、正直か正直でないかを知りたいのである。；泥から足を突きだした格好は過去何年かの姿にくらべて、格段によく見えた。；およそ一週間ごとに海の水位は格段の高低をくり返しているのである。；さらに気密性が格段に増しており、海中での活動も可能となっている。；A組になると出演数が格段に増え、曲数や練習時間もBC組より倍増する。</t>
        </is>
      </c>
      <c r="J1460">
        <f>HYPERLINK("https://www.weblio.jp/content/格段", "词义详情")</f>
        <v/>
      </c>
      <c r="K1460">
        <f>HYPERLINK("https://yourei.jp/格段", "查看例句")</f>
        <v/>
      </c>
    </row>
    <row r="1461">
      <c r="A1461" t="inlineStr">
        <is>
          <t>楽団</t>
        </is>
      </c>
      <c r="B1461" t="inlineStr">
        <is>
          <t>成功</t>
        </is>
      </c>
      <c r="C1461" t="inlineStr">
        <is>
          <t>読み方：がくだん
音楽を演奏する団体。「管弦—」</t>
        </is>
      </c>
      <c r="D1461" t="inlineStr">
        <is>
          <t>楽団員(10%)；楽団長；楽団名；楽団代表；楽団指揮者</t>
        </is>
      </c>
      <c r="E1461" t="inlineStr">
        <is>
          <t>バンド；囃子；楽隊；音楽隊；ダンスバンド</t>
        </is>
      </c>
      <c r="F1461" t="inlineStr">
        <is>
          <t>同楽団；宮廷楽団；タンゴ楽団；シュトラウス楽団；本楽団</t>
        </is>
      </c>
      <c r="H1461" t="n">
        <v>29</v>
      </c>
      <c r="I1461" t="inlineStr">
        <is>
          <t>ショウは自分自身で楽団を率いて録音活動をすることは一度もなかった。；その演奏は楽長を初めとする他の楽団員から賞賛を受けることになった。；この場合、自治体の財政状態に楽団の運営も左右されがちになっている。；さらに以前より同楽団がとりあげていた貴志康一の作品も指揮している。；イギリスの王室楽団に所属していたトランペット奏者のが使われていた。；この時期が、同楽団の最も名の知られた時期であるといわれている。；実際は妹のグラシェーラがいて、彼女は彼の楽団の歌手を務めていた。；古代ローマ時代には楽団の編成が、中世には楽器の種類・数量が増した。；このことは楽団員およびクレンペラーとの間に緊張関係をもたらした。；元楽団員の証言によれば、ある日、麻原は楽団員へ向かってこう言った。；その後、朝鮮の声放送でも同楽団の演奏した楽曲が頻繁に放送されている。；しかし、演奏中にドイツ軍が反撃をはじめ楽団は移動を余儀なくされる。；彼は楽団員との不必要とも思える衝突を繰り返したのである。；彼は1970年代初めにニューヨークへ移住し、いくつかの楽団で歌った。；演奏の終わりに近づくにつれ、楽団は少しずつキャンドルを消していく。；同年、フレッチャーの楽団に参加した際は、ヴォーカルも担当している。；このアンサンブルは人気を博し、結成後ほどなく交響楽団へと発展した。；さらに1960年には中央民族楽団団長に就任し、主席指揮者を兼ねた。；これはトロット楽団との関わりもあってストーリー上にも重要な意味がある。；同楽団を率いてイタリア国内から欧州各地まで演奏活動を続けた。；最近ではこれらの影響を脱した若手楽団による演奏も紹介されている。；また食事や楽団を用意して船を借り切って運河をクルーズする家族も多い。；この他高雄市には教師により結成された高雄市国楽団が存在している。；終演後も楽団の維持を望んだナイマンは、バンド用の作品を作曲し始める。；楽団結成の経緯については、いくつかの異なる説明がなされている。；同時に、マーラーが専制君主的に接した楽団員ともトラブルが発生した。；現在はドイツ国内のみならず、世界中の楽団からの委嘱を受けている。；彼は、楽団員とともに計画を立て脱出しようとしたが、計画は失敗してしまう。；自ら楽団の指揮もとる気の入れようで、以後19本の作品の音楽監督を担当。</t>
        </is>
      </c>
      <c r="J1461">
        <f>HYPERLINK("https://www.weblio.jp/content/楽団", "词义详情")</f>
        <v/>
      </c>
      <c r="K1461">
        <f>HYPERLINK("https://yourei.jp/楽団", "查看例句")</f>
        <v/>
      </c>
    </row>
    <row r="1462">
      <c r="A1462" t="inlineStr">
        <is>
          <t>拡張</t>
        </is>
      </c>
      <c r="B1462" t="inlineStr">
        <is>
          <t>成功</t>
        </is>
      </c>
      <c r="C1462" t="inlineStr">
        <is>
          <t>読み方：かくちょう
［名］(スル)範囲や勢力・規模などを広げて大きくすること。「道路を—する」「軍備—」</t>
        </is>
      </c>
      <c r="D1462" t="inlineStr">
        <is>
          <t>拡張する(9%)；拡張工事(4%)；拡張される；拡張できる；拡張計画</t>
        </is>
      </c>
      <c r="E1462" t="inlineStr">
        <is>
          <t>展開；発展；増加；進出；普及</t>
        </is>
      </c>
      <c r="F1462" t="inlineStr">
        <is>
          <t>道路拡張；血管拡張；拡張整備；大きく拡張；拡張期</t>
        </is>
      </c>
      <c r="G1462" t="inlineStr">
        <is>
          <t>拡張性；拡張パック；拡張スロット；拡張カード；拡張現実</t>
        </is>
      </c>
      <c r="H1462" t="n">
        <v>29</v>
      </c>
      <c r="I1462" t="inlineStr">
        <is>
          <t>この点はアセンブラで記述されて簡単には拡張できない点が裏目に出た。；なお現在の改札口は撤去され通路は拡張及び改修され使用を継続する。；従ってこの実身数制約を拡張するためには、再設計と実装が必要である。；この後は中期と呼ばれ、コーダの拡張など古典派形式の拡大に成功した。；シンボリックス社はそのプログラムを拡張して更に強力なものにした。；微分の概念を多くの他の状況設定の下でも拡張して定義することができる。；しかし、後には独自の拡張・工夫が、特に効率の面で多くなされている。；is式の構文が拡張され、型の後ろに変数名を宣言できるようになった。；現在は隣接する千波湖周辺の拡張部を含めた広域公園の一部となっている。；香港などではフォントメーカーが独自の拡張を施した製品を販売した。；なお、上記の説とは別に、永楽年間の明は積極的な拡張政策を取っていた。；例えば、英語においては以下のような代替語、拡張語が提唱されている。；で造られた宮殿と拡張されたの歴史はこの時代から始まっている。；当初は紀勢直通用以外は4両対応だったが、後に6両対応に拡張された。；の用途を拡張したマクロパッケージとして、他に次のようなものがある。；それを受けてまずジェームズ・ゴスリンがC++の拡張言語を提出した。；次のアメンホテプ1世はカルナック神殿の拡張などの内政に力を入れた。；ウィンドウサイズ・フィールドは拡張できないので、が導入されている。；ベンダー拡張の中には、のちに標準仕様として取り込まれたものもある。；衣料、雑貨を営業し、近代に入って呉服類を中心に営業を継続拡張した。；これは『ストリップド』の拡張版であり、複数の形式でリリースされた。；またソフトウェアを改良したり拡張することも困難にする。；そのかわりにクロックが販売拡張の全責任を負うことになっていた。；初期のextファイルシステムを拡張したためext2と名付けられた。；番組より小さい単位の内容を記述するための、さらにいくつかの拡張が行われている。；その結果、財産に関わる従来の概念が土地だけでなく貴重品を含むものへと拡張された。；また、記事編集の際には以下のスタイルを基本として自由に拡張してください。；命題論理の体系に変項と量化子を加えて拡張したものが述語論理である。；翌1665年には水門の増設と水路幅を二倍に拡張する工事が行われた。</t>
        </is>
      </c>
      <c r="J1462">
        <f>HYPERLINK("https://www.weblio.jp/content/拡張", "词义详情")</f>
        <v/>
      </c>
      <c r="K1462">
        <f>HYPERLINK("https://yourei.jp/拡張", "查看例句")</f>
        <v/>
      </c>
    </row>
    <row r="1463">
      <c r="A1463" t="inlineStr">
        <is>
          <t>学長</t>
        </is>
      </c>
      <c r="B1463" t="inlineStr">
        <is>
          <t>成功</t>
        </is>
      </c>
      <c r="C1463" t="inlineStr">
        <is>
          <t>読み方：がくちょう
大学の長として校務をつかさどり、所属の教職員を統括する人。</t>
        </is>
      </c>
      <c r="D1463" t="inlineStr">
        <is>
          <t>学長就任；学長職；学長室；学長代行；学長時代</t>
        </is>
      </c>
      <c r="F1463" t="inlineStr">
        <is>
          <t>元学長；大学学長；大学長；同学長；兼学長</t>
        </is>
      </c>
      <c r="G1463" t="inlineStr">
        <is>
          <t>学長特別補佐</t>
        </is>
      </c>
      <c r="H1463" t="n">
        <v>29</v>
      </c>
      <c r="I1463" t="inlineStr">
        <is>
          <t>当然教員出身者が就任することが多く、大学では学長に次ぐ地位となる。；東京と名古屋で隔年交互に開催され、会場校の学長が大会会長を務める。；その音で外に出てきた学長に対して大声で辞職する旨を叫んだという。；林は学長室自体を封鎖されたバリケード内に移したいとさえ主張した。；現在は 帝京大学グループの複数の学校の理事長・学長を兼任している。；同学園および関連学園の設立した各学校の初代理事長・初代学長・初代総長。；ネダーマンは大学学長任務期間、大学の成長共に教育向上に焦点を置いた。；初代学長に指名されたのは ベドルジフ・ディヴィシュ・ヴェベルだった。；しかし天野は大隈の勧告にも従わず、学長を続ける意思を明らかにした。；更にテキサス工科大学からは学長に打診されたが、これは辞退している。；なお、1764年には同大学の別の教授の娘と結婚し、最終的には学長になった。；この署名者達の中では唯一の現役牧師かつ大学の学長であった。；ハイデッガーはフライブルク大学学長への弁明書で次のように語っている。；しかし入学の日、学長に入学状の受け取りを拒否されてしまい愕然。；学長退任後は構想の核となった初代一橋大学社会学部長を務めた。；歴史的に聖座との関わりが深く、多くの枢機卿と大司教が学長・理事長。；衛が男であることを知っているのは、学長の娘であるアヤカだけ。；その同調者のハイラム・レベルズをそこの学長にする操作を行った。；評議会は学長事務局での資金の使途にさらに注意を払うこととなった。；第一回のお城の庭園祭は、ルドルフ・ポーレ学長の下で開かれた。；富豪たちが学内を視察している間、学長を始め教授達は正餐を行った。；他にウォバシュ鉄道社長、シンシナティ大学学長などの要職を歴任した。；元学長のドン・バリーは、2013年7月にこの計画の概要を発表した。；再建された家は現在ロングウッド大学の学長宅となっている。；同法案は、両大学の学長を始めとする多くの反対を呼び、結局廃案に帰した。；なお私立大学の場合、総長が学長とは異なる職を指す場合もある。；マラーが学長になった際には、ディンズモアを解雇するであろうこと。；その後、京都市立芸術大学に転じ、美術学部の教授を経て学長に就任した。；学長の主な仕事は大学を代表して学位を授与することと、対外的に大学を代表することである。</t>
        </is>
      </c>
      <c r="J1463">
        <f>HYPERLINK("https://www.weblio.jp/content/学長", "词义详情")</f>
        <v/>
      </c>
      <c r="K1463">
        <f>HYPERLINK("https://yourei.jp/学長", "查看例句")</f>
        <v/>
      </c>
    </row>
    <row r="1464">
      <c r="A1464" t="inlineStr">
        <is>
          <t>確定</t>
        </is>
      </c>
      <c r="B1464" t="inlineStr">
        <is>
          <t>成功</t>
        </is>
      </c>
      <c r="C1464" t="inlineStr">
        <is>
          <t>読み方：かくてい
［名］(スル)はっきりと定まること。また、定めること。「旅行の日程が—する」「目標を—する」「当選—」</t>
        </is>
      </c>
      <c r="D1464" t="inlineStr">
        <is>
          <t>確定する(11%)；確定的(5%)；確定させる；確定診断；確定でき</t>
        </is>
      </c>
      <c r="E1464" t="inlineStr">
        <is>
          <t>決定；指定；解決；確立；限定</t>
        </is>
      </c>
      <c r="F1464" t="inlineStr">
        <is>
          <t>未確定；大当たり確定；ボーナス確定；確定番号；判決確定</t>
        </is>
      </c>
      <c r="G1464" t="inlineStr">
        <is>
          <t>確定申告；確定拠出年金；確定申告書；確定的影響；確定日付</t>
        </is>
      </c>
      <c r="H1464" t="n">
        <v>29</v>
      </c>
      <c r="I1464" t="inlineStr">
        <is>
          <t>しかし、比較的新しい学問なのでその定義ははっきりと確定していない。；ついに皇帝は勝利を確定させることなく1250年に68歳で死去した。；また台湾は島の地位が確定するまで漁業権を認めるようにも主張している。；歴代天皇の厳密な確定が要請されたのは、明治時代になってからである。；そのため、損益確定が早い一般酒に力を入れる動きが泡盛業界には多い。；この時期に発表されるのは、ダイヤが確定する時期に合わせたものである。；もちろん意識もまた存在しないと考える学派もあり、確定していない。；隣接する土地との境界線確定で紛争となることは昔から多く見られる。；投げ手はポイント確定後に7の目を出して負けた時に左隣の客と交替する。；こうして正義が確定される一方、中唐になると注疏批判の動きが生じた。；島の位置未確定のため借地許可は下りなかったが、船の寄港は認められた。；ポイント確定前の負けの場合には、基本的には投げ手を交替することはない。；それを確定する困難の理由の一つは完全な状態で残るクフの像がないことにある。；登場当初は確定したジャンルが存在しなかったものも多い。；一方の最重要駒が、相手の駒により完全に捕獲が確定された状態を指す。；小山町と御殿場市の境界も未確定のため、同市と隣接する可能性もある。；スウェーデンとノルウェーの国境は最終的に1751年に確定された。；このために東のミシシッピ州との境界は確定できない要素がある。；これまでとは全く異なる時代設定と舞台の作品となることが確定。；しかし、J2加入が確定した2001年年頭ごろから問題が表面化した。；白マスであることが確定したマスには、下のように印を付けておくとよい。；それがいつであったのかは確定されていないが、535年とする説が有力である。；ゼノンの意が単純にこうであったのかは確定的な事ではない。；テキサス州とメキシコの国境はリオグランデ川とすることが確定した。；自玉がZの状態ならば、相手玉に必至をかけたその時点で勝ちが確定する。；四島の帰属が確定しない限り平和条約は締結しない方針に変更はない。；蘇州の北にある陵墓が孫武のものであるという説もあるが確定していない。；下図のような場合の可能性を考慮すると緑色のマスは確定されないことがわかる。；国会議事堂放火事件の犯人が誰かは今日まではっきりと確定した説はなく不明である。</t>
        </is>
      </c>
      <c r="J1464">
        <f>HYPERLINK("https://www.weblio.jp/content/確定", "词义详情")</f>
        <v/>
      </c>
      <c r="K1464">
        <f>HYPERLINK("https://yourei.jp/確定", "查看例句")</f>
        <v/>
      </c>
    </row>
    <row r="1465">
      <c r="A1465" t="inlineStr">
        <is>
          <t>角度</t>
        </is>
      </c>
      <c r="B1465" t="inlineStr">
        <is>
          <t>成功</t>
        </is>
      </c>
      <c r="C1465" t="inlineStr">
        <is>
          <t>読み方：かくど
１二つの直線や平面が交わって作る角の大きさ。単位はラジアン・度・分(ふん)・秒。
２物を見る方向。また、物を考える立場。「—を変えて撮影する」「あらゆる—から検討する」</t>
        </is>
      </c>
      <c r="D1465" t="inlineStr">
        <is>
          <t>角度調整；角度変更；角度装填；角度調節；角度分解能</t>
        </is>
      </c>
      <c r="E1465" t="inlineStr">
        <is>
          <t>角；アングル</t>
        </is>
      </c>
      <c r="F1465" t="inlineStr">
        <is>
          <t>旋回角度；あらゆる角度；様々な角度；さまざまな角度；同じ角度</t>
        </is>
      </c>
      <c r="G1465" t="inlineStr">
        <is>
          <t>角度とか；角度分解光電子分光</t>
        </is>
      </c>
      <c r="H1465" t="n">
        <v>29</v>
      </c>
      <c r="I1465" t="inlineStr">
        <is>
          <t>また同じ用途でも、切れ刃の角度が異なるものなど様々な形状がある。；しかし、その場合は一般の場合より簡単に角度を求めることができる。；右上の保護パネルが、他のものと同じ角度に開いていないことに注目。；この2つの角のうち角度が大きいほうを優角、小さいほうを劣角と呼ぶ。；富士山の表情は、見る場所・角度・季節・時間によって様々に変化する。；それぞれの記号は角を表すと同時に、その角度を示すためにも用いられる。；刃の角度が鋭角であるほど切れ味は良くなるが、刃の耐久性は低下する。；見る角度によって山体が三角形に見えることからその名が付けられた。；多くは使いやすいように口部に対してハンドルに角度がつけられている。；位相や角度などの周期的データを扱う場合は、特別な配慮が必要である。；体験者によると「探しものをするときの視線の角度」が重要であるという。；稚内方に90度の角度でスロープが設置され駅施設外に連絡していた。；角度を計算するために、コンピュータは頭の三次元の位置を知る必要がある。；研究者は文字を拡大し、裏側からも含め、あらゆる角度から見てみた。；これは敵の監視角度から曳光弾の光を見えなくすることができる。；写真右方向へと跳びながら身体を大きく傾け、ゴール角度を稼いでいる。；一方、これとは全く異なる角度からザリスキー位相を定義する事ができる。；過去のエピソードを別の角度から描いた話が中心のショート漫画。；この観点からは角度は2つの半直線の開き具合を示す量ともいえる。；この一連の動作は投球時の腕の角度により以下の4種類に分類される。；これも左の画像と同じ角度から、つまり脳を側面から見ている。；角度が無次元であることは、角度が単位を持たないことを意味しない。；実際、このような回転から角および角度を定義している事典もある。；大量生産された日時計は、設置場所に合わせて角度を変更する必要がある。；ただし、オフ角度が0度になると白濁したり、色が変化する場合がある。；口角が上がっているため、角度によっては顔つきが笑顔のように見える。；この角度の定義は、直接的に半径と弧長の比を用いて表すこともできる。；目の位置や目の角度、のぞき穴の位置などが異なるタイプのものが複数存在する。；弧度法は単位円上の弧長で角度の大きさを表したものとも表現できる。</t>
        </is>
      </c>
      <c r="J1465">
        <f>HYPERLINK("https://www.weblio.jp/content/角度", "词义详情")</f>
        <v/>
      </c>
      <c r="K1465">
        <f>HYPERLINK("https://yourei.jp/角度", "查看例句")</f>
        <v/>
      </c>
    </row>
    <row r="1466">
      <c r="A1466" t="inlineStr">
        <is>
          <t>獲得</t>
        </is>
      </c>
      <c r="B1466" t="inlineStr">
        <is>
          <t>成功</t>
        </is>
      </c>
      <c r="C1466" t="inlineStr">
        <is>
          <t>読み方：かくとく
［名］(スル)手に入れること。努力して自分のものにすること。「自由を—する」「政権—」</t>
        </is>
      </c>
      <c r="D1466" t="inlineStr">
        <is>
          <t>獲得する(11%)；獲得できる；獲得しよ；獲得ヤード；獲得枚数</t>
        </is>
      </c>
      <c r="E1466" t="inlineStr">
        <is>
          <t>得る；取得；購入；入手；調達</t>
        </is>
      </c>
      <c r="F1466" t="inlineStr">
        <is>
          <t>金メダル獲得；ポイント獲得；首位獲得；出場権獲得；銅メダル獲得</t>
        </is>
      </c>
      <c r="G1466" t="inlineStr">
        <is>
          <t>獲得ポイント；獲得議席；獲得免疫；獲得賞金ランキング；獲得工作</t>
        </is>
      </c>
      <c r="H1466" t="n">
        <v>29</v>
      </c>
      <c r="I1466" t="inlineStr">
        <is>
          <t>女子小学生のみならずその親世代も含めた大人のファンも獲得している。；この攻略はメディアが中心的な役割を果たし、多くの戦利品を獲得した。；神と神の使徒の御助けなくしてどのようにこれを獲得できるだろうか?；なお、この試合の中継がすべての競技を通じて最高の視聴率を獲得した。；は現役期間とタイトル戦の終了・創設時期の関係で獲得機会のなかったもの。；ハプスブルク家は世襲領をはるかに離れた地域にも領地を獲得し始める。；ラバーを獲得したチームには以下のようなラバーボーナスが与えられる。；理性は知識を獲得する信頼にたる源であり、啓示と完全に調和している。；これにより、国内3大タイトルを全て獲得した5つ目のクラブとなった。；他のスポーツと同様、プロトーナメントなどに出場し賞金を獲得できる。；ちなみにこの時金メダルを獲得したのがファビオ・カサルテッリである。；フランシス・ベーコンは知識獲得の方法の発展に重大な貢献をした。；ストーンズは過去に発表した作品が再び1位を獲得した初のバンドとなった。；また、ストーンズはトップを獲得した最も古いアーティストとなった。；また、愛媛から期限付き移籍で獲得していた加藤が完全移籍に移行した。；そのイベントで最もポイントを多く獲得した1名がポイント対象。；なおリューベックは1266年には帝国自由都市の地位も獲得している。；年間通して最もポイントを獲得したチームがチームズチャンピオンとなる。；戦闘で得た経験値は、戦闘に参加したキャラクターのみが獲得する。；そのため、小中学生を中心に一定のシェアを獲得することに成功した。；しかし、まだ世界の全ての人がこの能力を獲得する教育機会を持っているわけではない。；どちらかのチームがラバーを獲得した時点で、そのラバーは終了する。；漢は新たに獲得した領域に朔方・敦煌などの郡を設け直接統治を開始した。；かつてのDECの顧客を超えてシェアを獲得することは不可能だった。；特にフランスやイタリアでは共産党が支持を獲得しつつあった。；これにより欧州でのJVCブランドは絶対的な信頼を獲得することとなる。；この企画は女性には人気が高いといわれ、新規顧客獲得に成功した。；そして最後にフランスが南西の小領域を獲得した。；わが社のために借金をカクトクすることは、いくらか苦痛が少いのだな。</t>
        </is>
      </c>
      <c r="J1466">
        <f>HYPERLINK("https://www.weblio.jp/content/獲得", "词义详情")</f>
        <v/>
      </c>
      <c r="K1466">
        <f>HYPERLINK("https://yourei.jp/獲得", "查看例句")</f>
        <v/>
      </c>
    </row>
    <row r="1467">
      <c r="A1467" t="inlineStr">
        <is>
          <t>確認</t>
        </is>
      </c>
      <c r="B1467" t="inlineStr">
        <is>
          <t>成功</t>
        </is>
      </c>
      <c r="C1467" t="inlineStr">
        <is>
          <t>読み方：かくにん
［名］(スル)
１はっきり認めること。また、そうであることをはっきりたしかめること。「安全を—する」「生存者はまだ—できない」
２特定の事実や法律関係の存否について争いや疑いのあるとき、これを判断・認定する行為。当選者の決定など。</t>
        </is>
      </c>
      <c r="D1467" t="inlineStr">
        <is>
          <t>確認できる(24%)；確認出来る；確認作業；確認済み；確認調査</t>
        </is>
      </c>
      <c r="E1467" t="inlineStr">
        <is>
          <t>見る；みる；特定；証明；断定</t>
        </is>
      </c>
      <c r="F1467" t="inlineStr">
        <is>
          <t>安全確認；初めて確認；改めて確認；安否確認；もう一度確認</t>
        </is>
      </c>
      <c r="H1467" t="n">
        <v>29</v>
      </c>
      <c r="I1467" t="inlineStr">
        <is>
          <t>彼はまたこの彗星の尾が常に太陽と反対側に伸びていることを確認した。；しかし戦前にもいくつかのプロレス興行があったことが確認されている。；このように1本の腕だけで完全に再生できる種は6種が確認されている。；最近高支持率地域の溶解現象が勢いを増していることが確認されている。；大会などに参加する場合はルール説明時などに確認しておくとよい。；初期の雑誌広告などではスクエアーソフトという表記も確認されている。；霧に十分に光が当たっているときは霧粒をはっきりと確認することができる。；鉄鎖も使っていくうちに摩耗するため、間棹で毎日長さを確認していた。；しかし、日本では現在まで一部の地域を除いて野生化は確認されていない。；しかし、2009年1月にプロジェクトは放棄されたことが確認された。；なお内部トンネルの存在は、一部のピラミッドでは存在が確認されている。；過去のライブ映像やインタビューなどで使用が確認されているものを挙げる。；おおむね購入時に本人の年齢を確認できる公的証明書の提示を求められる。；しかしそのようなプレート活動があった証拠はまだ確認されていない。；多種類の帳簿があったとされ、現在確認されているのは11種類ある。；日本国内における発生は1955年の患者を最後に確認されていない。；これらは化石では確認しにくいが、近年では少しずつ研究が進められている。；また正面にある窓または潜望鏡によって位置を確認することができた。；その他、北部や南部には独自の文化を持つ少数民族の存在が確認されている。；これは様々な文書から確認することができるのであります。；この時、全ての配置が26回の半回転で復元できることも確認された。；最後に、集積回路が製品として正常に機能するかを確認する検査を行う。；現在確認されているあらゆる反応のうち、これが破られた例はない。；まず、救急患者の前に来たとき、痙攣が持続しているか否かを確認する。；習志野市周辺にも藤崎堀込貝塚などの当時の遺跡が多数確認されている。；年度ごとの初回購入時に年齢を確認できる公的証明書の提示が必要である。；ただし翻訳物の存在を確認できた作品においてはその翻訳を記載している。；そのため脳波図を調べたが、まったく異常が無いことが確認された。；ホイル状態の実在は確認されているが、正確な特徴はまだ不明である。</t>
        </is>
      </c>
      <c r="J1467">
        <f>HYPERLINK("https://www.weblio.jp/content/確認", "词义详情")</f>
        <v/>
      </c>
      <c r="K1467">
        <f>HYPERLINK("https://yourei.jp/確認", "查看例句")</f>
        <v/>
      </c>
    </row>
    <row r="1468">
      <c r="A1468" t="inlineStr">
        <is>
          <t>学費</t>
        </is>
      </c>
      <c r="B1468" t="inlineStr">
        <is>
          <t>成功</t>
        </is>
      </c>
      <c r="C1468" t="inlineStr">
        <is>
          <t>読み方：がくひ
学校で教育を受けるためにかかる経費。授業料・教科書代など。学資。「—値上げ」</t>
        </is>
      </c>
      <c r="D1468" t="inlineStr">
        <is>
          <t>学費を稼ぐため(3%)；学費免除；学費値上げ；学費援助；学費未納</t>
        </is>
      </c>
      <c r="F1468" t="inlineStr">
        <is>
          <t>学費全額；自ら学費；学費値上げ反対闘争</t>
        </is>
      </c>
      <c r="G1468" t="inlineStr">
        <is>
          <t>学費支援</t>
        </is>
      </c>
      <c r="H1468" t="n">
        <v>29</v>
      </c>
      <c r="I1468" t="inlineStr">
        <is>
          <t>また、自宅では数人の学生達を起居させ、食事や学費の面倒をみていた。；父は、学費の心配は要らないから他の学校に行け、と堀に言ったという。；学費を納めないままにツェルニの授業を受けようと思う者がいるらしい。；学費がないから今でいうアルバイトに艶歌師をしながら学校を出たよ。；教会のメンバーはデュボイスの大学の学費を支払うために寄付を集めた。；イギリスの大学にいくための学費をためているところだという。；後には、音楽の勉強の学費のためにダンス音楽の演奏などもした。；当時のストーリーは学費のために国家警備隊に所属していた。；娘の学費は免除されていたが、生活は決して楽なものではなかった。；そこには入学資格も、学費も、親の許しさえも不必要であったから。；しかし三年次から学費を払っていなかったため、後に除籍処分を受ける。；弟の大学の学費はジョニー自身が出しており非常に家族仲が良い。；彼らの生活は、すべて、A子さんの“学費”に依存していたからである。；五反ばかりの畑では食べることに精いっぱいで学費は出るはずはなかった。；学費の一部は叔父から援助を受けるが、自らも特待生となり勉学に励む。；の入院費用とスミス大学へ通うための学費は、作家のが支払ってくれた。；その後入学については認めたものの、学費の一部しか負担しなかった。；在学中に子供が生まれた学生は学費を無料とし、大学幼稚園も無料になる。；デビューの表向きの理由は自分と妹の学費を稼がなければならなかったため。；学力・学費は非常に高く、祖父、父と三世代続けて同校の卒業生が多い。；それが癖になって、今では子供の学費という体裁で毎月せびられている。；李には両親がなく、その伯父さんから学費も貰ってるとのことである。；姉はすでにに入学していたが、家は2人分の学費を負担できない。；おまけに私学の方の学費の一年分は国立の四年分以上にもなっているのだ。；大学に関しても取得単位ごとにクラブが学費を払うシステムを採用している。；弟や兄の学費を稼ぐために女たちが働きに出るという形がそこから生まれて来る。；着物を買ってやるのと一緒に、学費分をも出してくれたのだ。；また、大学入学前に父親も亡くし、珠子が働きに出ることで学費を賄う。；燁子と婚姻中の傳右衛門からは毎月相当額の功光の学費が送られていた。</t>
        </is>
      </c>
      <c r="J1468">
        <f>HYPERLINK("https://www.weblio.jp/content/学費", "词义详情")</f>
        <v/>
      </c>
      <c r="K1468">
        <f>HYPERLINK("https://yourei.jp/学費", "查看例句")</f>
        <v/>
      </c>
    </row>
    <row r="1469">
      <c r="A1469" t="inlineStr">
        <is>
          <t>学部</t>
        </is>
      </c>
      <c r="B1469" t="inlineStr">
        <is>
          <t>成功</t>
        </is>
      </c>
      <c r="C1469" t="inlineStr">
        <is>
          <t>読み方：がくぶ
１大学で、専攻する学問の分野によって大別された教育・研究上の組織。法学部・文学部・理学部・医学部など。
２旧制大学で、予科を併設していた大学の本科。</t>
        </is>
      </c>
      <c r="D1469" t="inlineStr">
        <is>
          <t>学部教授(3%)；学部卒業(2%)；学部課程；学部助教授；学部学生</t>
        </is>
      </c>
      <c r="E1469" t="inlineStr">
        <is>
          <t>部；局；部門；課；セクション</t>
        </is>
      </c>
      <c r="F1469" t="inlineStr">
        <is>
          <t>同学部；各学部；全学部；他学部；系学部</t>
        </is>
      </c>
      <c r="G1469" t="inlineStr">
        <is>
          <t>学部生；学部教育；学部の一覧</t>
        </is>
      </c>
      <c r="H1469" t="n">
        <v>29</v>
      </c>
      <c r="I1469" t="inlineStr">
        <is>
          <t>現在では、学部組織と大学院の研究教育組織は必ずしも一致していない。；アメリカ合衆国の大学には学部に独立して学ぶ地球物理学部が存在する。；大学の学部や、大学院の研究科の多くに研究生の制度が設けられている。；学部学生のころから優秀で自信に満ちた学生として有名になっていた。；戦後に入るとこれらは統合されて新制大阪大学となり、学部も増加した。；医学や音楽、演劇など一部の学部・コースは別の試験を受ける必要もある。；理論を応用し、社会的要請に応えることが目的の学部とは異なる面がある。；は、神学の研究・教育を行う日本では主に学士課程の4年制学部である。；多くの大学の経済学部を中心に卒業論文が課されない学部も少なくない。；学部を卒業した者などが入学者選考試験を経て、合格したものが入学できる。；近年は、これに加えて学部レベルでのヨーロッパ研究も評判が高い。；比較的小規模な大学であるが、文系と理系の学部を設置する大学である。；中国語圏では日本で言う単科大学、または大学の学部を指すことが多い。；それぞれの地区は学部や設置施設が異なるため大きく様相を異にしている。；学部以外を設置している大学は、学群制または学域制を採用し設置している。；本学の学部・研究科を卒業・修了して得られる学位は以下の通りである。；音楽学部は、音楽・芸術を学ぶことに特化した大学に設置されている学部。；数多くの大学に設置されている学部から日本では一つしかない学部まで様々です。；実際に開設された首都大学東京の学部構成・大学院構成とは異なる。；学部のバラエティー豊かさはアメリカ合衆国内の大学の中でも有数である。；この基準では学部記事に関する記事作成の基準を提示しています。；そのほとんどが特定の学部が運営するもので、その研究領域の研究に従事している。；理系への進学者が多くを占めるが、文系の学部へ進学するものもいる。；日本で学部を出た後、英国に留学する場合はこの限りではない。；ハクスリーは英国の学校が採用した学部制に大きな影響を与えた。；多くの大学で広告が研究され、広告学部や広告学科なども存在する。；各言語の学部が5つあり、現在は日本語を含む21か国語を扱っている。；は、大学の学部のひとつで、理学の教育、研究を行うための学部である。；関西学院大学神学部のように、学科を置いていない学部も稀に存在する。</t>
        </is>
      </c>
      <c r="J1469">
        <f>HYPERLINK("https://www.weblio.jp/content/学部", "词义详情")</f>
        <v/>
      </c>
      <c r="K1469">
        <f>HYPERLINK("https://yourei.jp/学部", "查看例句")</f>
        <v/>
      </c>
    </row>
    <row r="1470">
      <c r="A1470" t="inlineStr">
        <is>
          <t>格別</t>
        </is>
      </c>
      <c r="B1470" t="inlineStr">
        <is>
          <t>成功</t>
        </is>
      </c>
      <c r="C1470" t="inlineStr">
        <is>
          <t>読み方：かくべつ
［名・形動］
１普通の場合とは程度・事柄が違っていること。また、そのさま。格段の違いがあるさま。特別。「—な（の）努力」「—にひいきする」「冬の夜の鍋の味は—だ」
２それぞれ別であること。また、それぞれ別に行うこと。
「野郎ぐるひの太鼓五人、女郎ぐるひの末社五人、—にきはめ」〈浮・敗毒散・三〉
［副］
１程度のはなはだしいさま。また、特に他と区別されるさま。特別。とりたてて。「今日は—寒い」「—言うことはない」
２普通とは違う、別の扱いがなされるさま。別として。ともかくとして。「子供なら—、大人の行為としては許せない」
[用法]格別・格段——「この会社の技術力は格別（格段）に優れている」「この店の料理は格別（格段）にうまい」のように相通じて用いられるが、「格別」は他と比べて特にまさっている場合に用い、「格段」は他との違いがかなり大きい場合に用いる、というような意識の違いがある。◇したがって、「格別に変わったこともなかった」のような場合は「格段」を用いないし、「技量に格段の違いがある」では、ふつう「格別」と置き換えられない。◇類似の語に「特別」がある。「今日は特別暑い」「今日は特別変わったこともなかった」など「格別」と同じように用いられるが、「特別にあつらえる」のような場合は、「格別」「格段」を用いない。</t>
        </is>
      </c>
      <c r="D1470" t="inlineStr">
        <is>
          <t>格別なもの；格別気；格別驚き；格別な事；格別珍しい</t>
        </is>
      </c>
      <c r="E1470" t="inlineStr">
        <is>
          <t>特に；非常；非常に；特別；別に</t>
        </is>
      </c>
      <c r="F1470" t="inlineStr">
        <is>
          <t>格別用事；格別注意；格別驚い；格別變；格別美しい</t>
        </is>
      </c>
      <c r="H1470" t="n">
        <v>29</v>
      </c>
      <c r="I1470" t="inlineStr">
        <is>
          <t>そのほかにはこの奇怪な出来事を判断する種になりそうな事は格別ない。；こういう感じが来ようと知らなかったし格別それを期待していなかった。；敷石の近くを行きつ戻りつしている足音を聞くと、格別の悲哀を感じた。；優れた人格と品位を持っていたので文定王后も彼女を格別に思っていた。；広子は年ごろの妹に恋愛問題の起ったことは格別意外にも思わなかった。；晩になってわたしどもはゆっくり話をしたが、格別必要な話でもなかった。；胸をうつような無邪気さで、夫が格別好きな小曲を歌っているのだった。；他にも応用されるが、ことに教育に従事する人には格別気の毒なりと思う。；格別読む暇もないのに、君はいつも隠しにドイツの本を入れて歩く。；なお、履行期前の行為でも格別の事情がない限り履行の着手になりうる。；そうでなくとも、老先生の直筆であるので私には格別に大切なものであった。；以上のやうな貧乏な旅行を我慢さへすれば旅行は格別苦になるものではない。；その事を思ふと、クロムヱルの髑髏が二つ出たところで格別差支はない。；だから御用はと尋かれても、格別御座いませんと返事するより外はない。；もともと彼の野心といふものには格別はつきりした目標があつたのではない。；朝顔と桃とは近くにあるというだけで、格別深い交渉があるわけではない。；自分のやってきたことを格別評価されるべきことであると捉えていなかったためである。；けンど、今いいました通り格別の話もなく、無事に頂上につきました。；多分何かの間違ですが、これなれば格別危険な品物ぢやありませんよ。；ところがこれまでは日表の山の方であるから雪も格別沢山はない。；けれ共蕙子は場合が場合だったので格別気にも止めないで聞き流して居た。；つまり家にいても食べるだけで、格別役に立たぬことを意味したからである。；また、入学した学校が格別高度な教育をしているように描かれていない場合もある。；格別気にもとめなかったが、言わずと知れた、それがめあての三万両さ。；紅丸の甲板から別府市外を概観した時は格別変ったようにも思わなかった。；精神が格別超個人的であつて、身體は單に個人的であるといふのではない。；良寛は手をのばしてその散銭を拾つたが、格別変つた気持もしなかつた。；わたしは百姓をした経験がなかったし、この種の仕事に格別熱心なわけでもなかった。；アヘン交易には日本でも格別注意するようにと大統領も申している。</t>
        </is>
      </c>
      <c r="J1470">
        <f>HYPERLINK("https://www.weblio.jp/content/格別", "词义详情")</f>
        <v/>
      </c>
      <c r="K1470">
        <f>HYPERLINK("https://yourei.jp/格別", "查看例句")</f>
        <v/>
      </c>
    </row>
    <row r="1471">
      <c r="A1471" t="inlineStr">
        <is>
          <t>確保</t>
        </is>
      </c>
      <c r="B1471" t="inlineStr">
        <is>
          <t>成功</t>
        </is>
      </c>
      <c r="C1471" t="inlineStr">
        <is>
          <t>読み方：かくほ
［名］(スル)
１確実に手に入れること。失わないように、しっかりと保つこと。「人員を—する」
２人のからだをしっかりつかまえること。自由に行動させないこと。「容疑者の身柄を—する」
３登山者がロープを使って自分や仲間の転落や滑落を防止すること。ビレー。ジッヘル。</t>
        </is>
      </c>
      <c r="D1471" t="inlineStr">
        <is>
          <t>確保するため(9%)；確保できる(3%)；確保される；確保しよ；確保する必要</t>
        </is>
      </c>
      <c r="E1471" t="inlineStr">
        <is>
          <t>獲得；整備；維持；取得；安全</t>
        </is>
      </c>
      <c r="F1471" t="inlineStr">
        <is>
          <t>用地確保；人材確保；安全性確保；確保及び派遣労働；確保等に関する法律</t>
        </is>
      </c>
      <c r="H1471" t="n">
        <v>29</v>
      </c>
      <c r="I1471" t="inlineStr">
        <is>
          <t>安全な飲み水を確保することは、古の時代から重要な課題であった。；これは純粋に基準を満たす人材の確保ができない点が挙げられている。；スペインは対オランダ戦争に向けての重要なルートを確保した。；さらにエドワードの資金確保のために最初の人頭税の導入にまで同意した。；なお、宮崎新局のために確保されていた用地はのちに駐車場となっている。；これは視界の確保と他のエアバス機との互換性のことも考えての設計である。；また、将来の道路のアンダーパス計画の設置スペースを確保している。；自身の安全を確保した後、勇気を持って積極的に対処する必要がある。；増結を行う際の停車時間は他と比べ長く確保される場合が多い。；自動車を利用して来場する場合には駐車場の確保が問題となる。；飲むことができる水を確保しておくことは大切である。；また、安全性確保のため初期状態ではインストールされないようになった。；これらを本系列の中間に組み込むことにより必要車両数を確保した。；詩法は口承文化においてテクストのよりよい伝承を確保する手段でもある。；周辺の状況を確認し、自身の安全をまず確保する必要がある。；ホイールベース間では車椅子が回転できる通路幅が確保されている。；ホームは6両編成分が確保され、待避線そのものは8両編成に対応する。；多くは太平洋戦争中に輸送力確保のため、通常型電車に改造されて消滅した。；ホーム有効長は特急の発着を考慮して10両編成分を確保されている。；糧食不足は、平壌で清軍のものを確保したことにより、当面解消された。；本戸の数が村ごとに一定数に定められていたのは、資源確保の意味があった。；強拍における重心が確保されると小節が成立し、2つ並んで動機となる。；混雑率が低い路線のみで使用されることからドア脇への立ち席スペースの確保はなされていない。；それらは食料確保のためでもあるが、趣味としても行なわれている。；しかし直線で進路を確保してから猛烈な勢いで加速し、ほぼ同時にゴール。；また建設当初から、将来の複線化を念頭に置いた用地を確保してある。；ケージは大型の物を用意し、樹上と地表で活動できるスペースを確保する。；眼は頭部の上部側面にあり、広い視野を確保することができる。；多くの場合は客室側面窓も大きく作られ、全方向への眺望確保を図っている。</t>
        </is>
      </c>
      <c r="J1471">
        <f>HYPERLINK("https://www.weblio.jp/content/確保", "词义详情")</f>
        <v/>
      </c>
      <c r="K1471">
        <f>HYPERLINK("https://yourei.jp/確保", "查看例句")</f>
        <v/>
      </c>
    </row>
    <row r="1472">
      <c r="A1472" t="inlineStr">
        <is>
          <t>革命</t>
        </is>
      </c>
      <c r="B1472" t="inlineStr">
        <is>
          <t>成功</t>
        </is>
      </c>
      <c r="C1472" t="inlineStr">
        <is>
          <t>読み方：かくめい
《「易経」革卦の「湯武命を革(あらた)め、天に順(したが)いて人に応ず」から》
１被支配階級が時の支配階級を倒して政治権力を握り、政治・経済・社会体制を根本的に変革すること。フランス革命・ロシア革命など。
２物事が急激に発展・変革すること。「産業—」「流通—」
「其精神(こころ)の内部(なか)の—が丑松には猛烈に起って来て」〈藤村・破戒〉
３古代中国で、天命が改まり、王朝の変わること。
４陰陽道(おんようどう)で、辛酉(しんゆう)の年のこと。争乱が多いとされて、改元などが行われた。→三革
[補説]作品名別項。→革命</t>
        </is>
      </c>
      <c r="D1472" t="inlineStr">
        <is>
          <t>革命的(10%)；革命派(5%)；革命後(3%)；革命党；革命前</t>
        </is>
      </c>
      <c r="E1472" t="inlineStr">
        <is>
          <t>反乱；逆転；クーデター；暴動；大波</t>
        </is>
      </c>
      <c r="F1472" t="inlineStr">
        <is>
          <t>社会革命；革命以前；支那革命；革命評議会；革命直後</t>
        </is>
      </c>
      <c r="G1472" t="inlineStr">
        <is>
          <t>革命軍；革命運動；革命政府；革命防衛隊；革命思想</t>
        </is>
      </c>
      <c r="H1472" t="n">
        <v>29</v>
      </c>
      <c r="I1472" t="inlineStr">
        <is>
          <t>この動きと革命の権利という言葉に動かされ、奴隷を解放する者もいた。；そして市民側が優勢と判断し、革命支持者を名乗ってウィーンへ戻った。；レジの発明された時期を考えると、この革命のタイミングは相当に早い。；そのなかで、議会は革命の推進役となった軍に警戒を強めつつあった。；この政治クラブはフランス全国に支部をもち、組織的に革命を推進した。；戦時中にはアメリカ政府に戦争協力を行ったので革命路線は急速に後退。；ロシアは革命で古い教会や貴族の屋敷、美しいイコンを破壊してしまった。；その統治の間、フランスにて革命後初めてとなる議会制政治の成立を見た。；新しいものを創造することは、革命と無政府共産主義の両方を提唱した。；一般的には、革命後のイスラム主義体制を防衛する軍隊と考えられている。；それがドイツにも波及する形で3月にはベルリンで3月革命が発生した。；絶対的な権限を公安委員会に集めて強力な革命機関が整備された。；スコピエでは革命の組織は上手く行かず武器の不足など深刻な問題であった。；革命の初め頃の彼の果たした役割は重要なものであった。；そしてある日、野村は「野球界に革命を起こしてみないか」と口にする。；この配色は汎スラヴ色と呼ばれ、自由と革命の理想を象徴したものである。；マインツには革命的陰謀や煽動的結社運動を監視する委員会が置かれた。；グレースのキャリアはクリケットに革命をもたらしたとしばしば言われる。；期を同じくして、フランスにおけるオルガン演奏には革命が起こっていた。；このようなガリバルディの革命事業は、決して満足のいくものではなかった。；この手法はこれまでの音楽製作手法に革命を起こした。；これを拒否したパイロットは革命派に拘束されたが、3月2日に解放された。；サン=ドマングの革命で、様々な人種の人々が大量に植民地を脱出した。；コミューン革命の舞台はこうした環境下のパリだったのである。；革命初期に活躍した指導者が次々と処刑されていく。；ユダヤ人のアイスナーによる革命に反発した民族派の反攻も開始された。；ただし、そうした地名も革命・政治用語に由来して命名されている。；そのためマレー半島は革命活動の主要活動地域の一つとされる。；共産党は革命当時から赤衛隊と呼ばれる独自の軍隊を持っていた。</t>
        </is>
      </c>
      <c r="J1472">
        <f>HYPERLINK("https://www.weblio.jp/content/革命", "词义详情")</f>
        <v/>
      </c>
      <c r="K1472">
        <f>HYPERLINK("https://yourei.jp/革命", "查看例句")</f>
        <v/>
      </c>
    </row>
    <row r="1473">
      <c r="A1473" t="inlineStr">
        <is>
          <t>学問</t>
        </is>
      </c>
      <c r="B1473" t="inlineStr">
        <is>
          <t>成功</t>
        </is>
      </c>
      <c r="C1473" t="inlineStr">
        <is>
          <t>読み方：がくもん
［名］(スル)
１学び習うこと。学校へ通ったり、先生についたり、本を読んだりして、新しい知識を学習すること。また、身につけた知識。「—のある人」「—する楽しさ」
２理論に基づいて体系づけられた知識と研究方法の総称。学。
[補説]中世から近世にかけて「学文」と書くのが一般であり、また、「学門」と書くこともあった。</t>
        </is>
      </c>
      <c r="D1473" t="inlineStr">
        <is>
          <t>学問的(9%)；学問上(2%)；学問領域；学問研究；学問好き</t>
        </is>
      </c>
      <c r="E1473" t="inlineStr">
        <is>
          <t>研究；調査；学；科学；検討</t>
        </is>
      </c>
      <c r="F1473" t="inlineStr">
        <is>
          <t>あらゆる学問；学問的研究；学問的業績；御学問；学問芸術</t>
        </is>
      </c>
      <c r="G1473" t="inlineStr">
        <is>
          <t>学問所；学問の自由；学問の神；学問のすゝめ；学問料</t>
        </is>
      </c>
      <c r="H1473" t="n">
        <v>29</v>
      </c>
      <c r="I1473" t="inlineStr">
        <is>
          <t>しかし、比較的新しい学問なのでその定義ははっきりと確定していない。；特に文系の学問には市場を基準とした評価はそぐわないと主張している。；未来学とは未来に起こりそうなことを想定する学問・技術・実践である。；流体力学の一分野である水力学も同じく水の流れを研究する学問である。；ギリシア神話の影響を現在も強く受けている学問の一つが天文学である。；そこで学問で名を上げ、彼とも同じ立場で話せる立場となることを誓う。；エロイーズは容貌もよく、学問に優れていたため国内でも有名であった。；これは学問手法による分類でなく、学問の目的・対象による分類である。；南北朝時代には大いに音韻の学問が発達したが、現存する著作は少ない。；中国やその周辺の東アジア諸国で信仰・研究されていた宗教、または学問。；試験内容は、専攻する学問に関連する領域における論文を作成するもの。；上記の分類以外に、大学の文学部で行っている学問を指す解釈もある。；学問の出発点は定義と呼ばれる適切な名称を用いて命題を構築することである。；基本的なことを言えば、様々な科学的学問は次のような点では似通っている。；蕭道成は質素倹約を基本とし、学問の発展にも努めて国勢を安定させた。；屋号は学問の場の名称として適切ではない、と考えられていたからである。；学問の世界でも 正統 / 異端 と同様の区別や論争は存在している。；教育心理学は、教育的な視点から心理学を応用しようとする学問である。；孫休は学問を好み、諸子百家の書を全て読み尽くすほどの勢いであった。；学問的にも、思想的にも、イギリスからの大きな影響を受けている。；この中には学問的に証明されていない主張も多くしばしばニセ科学になりやすい。；ところが、哲学の場合は名前を聞いただけでは何を研究する学問なのか分からない。；学問の分野ではなく、平和研究という名称での分類が他言語では一般的である。；これは特に教育段階が上がるにつれて教育内容が学問の体系に近づく。；その分野の歴史や他の学問への影響、方法論などはさまざまである。；一部の哲学は、理知的な学問以外の領域とも深く関わっている点に特徴がある。；ほとんどの場合、これらの学問成果をあげるには、現地調査が要求される。；これらもほとんどの場合、学問成果をあげるには、現地調査が要求される。；神学は学問のうち最も名望のある領域で、かつ最も難しい領域だった。</t>
        </is>
      </c>
      <c r="J1473">
        <f>HYPERLINK("https://www.weblio.jp/content/学問", "词义详情")</f>
        <v/>
      </c>
      <c r="K1473">
        <f>HYPERLINK("https://yourei.jp/学問", "查看例句")</f>
        <v/>
      </c>
    </row>
    <row r="1474">
      <c r="A1474" t="inlineStr">
        <is>
          <t>確立</t>
        </is>
      </c>
      <c r="B1474" t="inlineStr">
        <is>
          <t>成功</t>
        </is>
      </c>
      <c r="C1474" t="inlineStr">
        <is>
          <t>読み方：かくりつ
［名］(スル)制度・組織・計画・思想などを、しっかりと打ち立てること。また、しっかりと定めること。「信頼関係を—する」「方針を—する」</t>
        </is>
      </c>
      <c r="D1474" t="inlineStr">
        <is>
          <t>確立する(12%)；確立される(2%)；確立しよ；確立させる；確立期</t>
        </is>
      </c>
      <c r="E1474" t="inlineStr">
        <is>
          <t>設置；建設；設立；決定；組織</t>
        </is>
      </c>
      <c r="F1474" t="inlineStr">
        <is>
          <t>未確立；体制確立；確立する過程；確立するきっかけ；確立する以前</t>
        </is>
      </c>
      <c r="H1474" t="n">
        <v>29</v>
      </c>
      <c r="I1474" t="inlineStr">
        <is>
          <t>このようにして確立された鉄を加工したナイフは17世紀頃まで続いた。；ブランドは出演した複数の舞台で不安定で反抗的なパターンを確立した。；システム間でメッセージをやりとりするには接続を確立させる必要がある。；その結果、イギリスによる支配権がこの地域に確立されることとなった。；これらの実験により温度と熱が異なる概念であることが確立された。；こうして説一切有部を中心とする部派仏教には法の体系が確立された。；これは剣などの武器類やさまざまな品物の製作監督や製造技術確立を任務とした。；更にキャラクター性を確立した各登場人物の家族たちも登場。；現在も様々な試行が続いているが、確立された理論は出来ていない。；また、安全性は確立されているものの喉頭や気管を損傷する恐れもある。；アナログネットワークには交換機があり、ユーザー間の接続を確立する。；百姓身分の農民を武士身分の役人が支配する郷村制度が確立した。；同作のヒットで原は戦後のトップ女優としての地位を確立した。；フランドルではリュベンスの登場により新しい絵画の様式が確立される。；初のメジャータイトルを獲得し、陸上競技界のスターの地位を確立する。；これを以って、行列式の概念がきっちりと確立されたと見なされている。；日章旗が事実上「国旗」としての地位を確立したのはこれが最初である。；世界の人々の間に完全な統一が確立されるでしょう。；この過程によってキリスト教神学は徐々に理論化され、確立されていった。；ペンシルパズルは種類が多いが、明確な分類方法はほとんど確立されていない。；家臣団組織が整備され、戦国大名として武田氏の地位が確立されていた。；また同時期に学術雑誌が登場し、ジャーナル・アカデミズムが確立した。；バビロニアを含む古代オリエント世界の編年は完全には確立されていない。；更に徴税を管理するための高度な財政システムも確立されていた。；また、リゾート地でのコンサートのスタイルをこの時期に確立した。；昔は取り扱い方法が確立していなかったため、さまざまな爆発事故が発生していた。；西域での覇権を確立した唐は華やかな異文化交流で知られることになる。；諸外国では、日本のように専業の声優が確立している国は少ないとも言われる。；また、信玄期に確立した大名権力により独自の領国支配が展開された。</t>
        </is>
      </c>
      <c r="J1474">
        <f>HYPERLINK("https://www.weblio.jp/content/確立", "词义详情")</f>
        <v/>
      </c>
      <c r="K1474">
        <f>HYPERLINK("https://yourei.jp/確立", "查看例句")</f>
        <v/>
      </c>
    </row>
    <row r="1475">
      <c r="A1475" t="inlineStr">
        <is>
          <t>確率</t>
        </is>
      </c>
      <c r="B1475" t="inlineStr">
        <is>
          <t>成功</t>
        </is>
      </c>
      <c r="C1475" t="inlineStr">
        <is>
          <t>読み方：かくりつ
《probability》ある事象の起こる可能性の度合い。公算。蓋然率(がいぜんりつ)。「—が高い」</t>
        </is>
      </c>
      <c r="D1475" t="inlineStr">
        <is>
          <t>確率的(6%)；確率状態；確率論；確率p；確率モード</t>
        </is>
      </c>
      <c r="E1475" t="inlineStr">
        <is>
          <t>可能性；見込み；見込；確実性；公算</t>
        </is>
      </c>
      <c r="F1475" t="inlineStr">
        <is>
          <t>低確率；一定確率；起こる確率；一定の確率；発生する確率</t>
        </is>
      </c>
      <c r="H1475" t="n">
        <v>29</v>
      </c>
      <c r="I1475" t="inlineStr">
        <is>
          <t>特殊能力は敵を倒したときに出る肉を食べることで一定確率で身に付く。；しかし、うまくできているもので、夫婦の間には高い確率で息子がいる。；ただし低確率でアイテム出現の代わりに爆発を起こすアイテムがある。；そのため確率的に考えて、世界は無であるよりも何かがある可能性が高い。；自主的に確率を公開していく代わりに法規制は行わないよう求めている。；ただいえることは電子が確率的にどのあたりにある可能性が大きいかである。；相当に低い確率ではあるが稀にそれ以外のものが入っているケースもあるのだ。；ダイヤ連の数が多いほどART当選確率が上がるので当選に期待できる。；どちらもほとんどゼロといってもいい確率でしか起こり得ないことである。；おそらく、いや相当に高い確率で彼女の故郷へも伝わっているはずだ。；お前の確率は、とどのつまり金が入ってくるかどうかの確率じゃないか。；直観的に、微小区間 に含まれる値を がとる確率は であると分かる。；この外力は確率的な現象であり、規模の大きなものほど頻度が低くなる。；これは量子トンネル確率が位置に依存する性質を利用したものである。；フィールド上を歩いている時に一定の確率で敵と遭遇し戦闘が開始される。；またMOBには通常攻撃のほかに一定確率で発動する必殺技なども持つ。；無作為抽出が不可能な場合は、以下のような非確率的抽出が用いられる。；なおボーナスの当選確率はハイパーゾーンでも通常時と全く変わらない。；特にチェリーは通常の当選確率が低いので、これの連続出現は期待度大。；これは環境が確率的な挙動を示す場合における強化学習の一つでもある。；ギャンブルが確率的に分の悪い勝負ってことは、よくわかってるでしょ?；潜水艦の例では、確率が高いとして選んだ領域から捜索している点で違う。；中間設定において通常解除確率が低くなっている他はほぼ同じ仕様である。；分割によって作られた2つの集号は、実際にほぼ等しい出現確率がある。；破壊した障害物からは、一定確率でアイテムを入手できることがある。；即ち、プレイヤーの有利不利をかなりの高確率で判断する性能がある。；そしてボールは4つの箱のいずれかに等確率で入っているとする。；この確率は2021年に正式公開された韓国版データと一致している。；カルマンフィルターの予測と更新の手続きを、確率を使って表してみる。</t>
        </is>
      </c>
      <c r="J1475">
        <f>HYPERLINK("https://www.weblio.jp/content/確率", "词义详情")</f>
        <v/>
      </c>
      <c r="K1475">
        <f>HYPERLINK("https://yourei.jp/確率", "查看例句")</f>
        <v/>
      </c>
    </row>
    <row r="1476">
      <c r="A1476" t="inlineStr">
        <is>
          <t>学力</t>
        </is>
      </c>
      <c r="B1476" t="inlineStr">
        <is>
          <t>成功</t>
        </is>
      </c>
      <c r="C1476" t="inlineStr">
        <is>
          <t>読み方：がくりき
「がくりょく（学力）」に同じ。
「眠い眼を睡(ね)ずして得た—を」〈二葉亭・浮雲〉</t>
        </is>
      </c>
      <c r="D1476" t="inlineStr">
        <is>
          <t>学力向上(7%)；学力的；学力レベル；学力優秀；学力不足</t>
        </is>
      </c>
      <c r="F1476" t="inlineStr">
        <is>
          <t>高い学力；低学力；教科学力；うち学力；高学力</t>
        </is>
      </c>
      <c r="G1476" t="inlineStr">
        <is>
          <t>学力テスト；学力検査；学力試験；学力調査；学力格差</t>
        </is>
      </c>
      <c r="H1476" t="n">
        <v>29</v>
      </c>
      <c r="I1476" t="inlineStr">
        <is>
          <t>中学の三年級だと言つたが、これでは一年級位の学力しかないと思つた。；幼い年齢から、彼はかなりの学力を示し、また芸術にもまた優れていた。；生徒の基礎学力のどこが欠けているのかを分析するために行われる模試。；・和賀地区内の中学校の中では比較的全体の学力は高いと認識されている。；学校の試験ならおちても、自分に学力がなかったと認めることができる。；なんだか高校を卒業したての頃より学力が落ちてきているような気がする。；その学力は秋田県内の高校での資格取得数が一位であることにも現れていた。；生徒間の学力差が小さいことを活かして効率的な学習指導を行っている。；由子は勿論お千代ちゃんは容易く試験を通るとその学力を信頼していた。；彼女は学力が低い訳でも理解力がない訳でも注意力がない訳でもないのだ。；学力は不明だがアニメでは小太刀が風林館高校を名門校と発言している。；肉体は普通の人間の女性並みであるため、運動神経は低いが学力は高い。；また入学者の半分を学力考査、残りの半分をくじ引きで選ぶ学校もある。；将来の夢を見つけ、夢実現のための資格や知識、学力を身につけるコース。；もちろん、離婚家庭の子弟が一様に学力が落ちるわけでは決してないが。；授業は「中の下」くらいの学力層に焦点を当てて進めることが多くなる。；中学校の五年の試験を受けるには僕の学力はまだ少し足りなかった。；合格者は高等学校を卒業した者と同等以上の学力があると認められる。；結果は矢部より学力が低いメンバーが2人いたためコーナー継続となった。；つまり、生徒の能力の違いを前提にして全体の学力を上げている。；少人数制であり、入学時と卒業時の学力を比較すると伸び率が非常に高い。；学力のある人もいたが、無味乾燥で生徒を感激させるものがないのだ。；ただし、私立中学では後述するように学力的な成績も考慮される場合もある。；受講者自身の学力レベルに合わせて、基礎の授業では映像授業を行っている。；従って、学力の低さなどということは、初めからあまり問題にしていない。；最近日本人の学力が低下していることが問題になっている。；それらの教育機関で必要とされる日本語能力および基礎学力の評価を目的とする。；転入試験に合格したのだから当然ではあるが、学力面での不安もないようだった。；学力・学費は非常に高く、祖父、父と三世代続けて同校の卒業生が多い。</t>
        </is>
      </c>
      <c r="J1476">
        <f>HYPERLINK("https://www.weblio.jp/content/学力", "词义详情")</f>
        <v/>
      </c>
      <c r="K1476">
        <f>HYPERLINK("https://yourei.jp/学力", "查看例句")</f>
        <v/>
      </c>
    </row>
    <row r="1477">
      <c r="A1477" t="inlineStr">
        <is>
          <t>隠れ家</t>
        </is>
      </c>
      <c r="B1477" t="inlineStr">
        <is>
          <t>成功</t>
        </is>
      </c>
      <c r="C1477" t="inlineStr">
        <is>
          <t>読み方：かくれが
１人目を避けて隠れている場所。また、隠れ住む家。
２（隠れ処）表立たない所。陰にあって見えない所。かげ。
「御方は—の御後見にて」〈源・若菜下〉</t>
        </is>
      </c>
      <c r="D1477" t="inlineStr">
        <is>
          <t>隠れ家生活；隠れ家メンバー；隠れ家支援メンバー；隠れ家住民</t>
        </is>
      </c>
      <c r="E1477" t="inlineStr">
        <is>
          <t>聖域；収容所；逃げ場；隠れ場所；隠宅</t>
        </is>
      </c>
      <c r="F1477" t="inlineStr">
        <is>
          <t>小さな隠れ家；ここに隠れ家</t>
        </is>
      </c>
      <c r="H1477" t="n">
        <v>29</v>
      </c>
      <c r="I1477" t="inlineStr">
        <is>
          <t>隠れ家ではお祝いをするきっかけを見つけては頻繁にお祝いをしていた。；また隠れ家生活でもソーセージ作りの腕を振るっていたようでもあった。；この秘密の隠れ家はいつ襲撃されるかわかったものではないからだ。；ここが隠れ家だとすれば、敵にみつかって、襲撃されたのかもしれない。；しかしやがて彼は隠れ家支援メンバー4人から懸念される人物となった。；こうして出会った2人は、村の外れにある隠れ家で密会するようになる。；その展望台では隠れ家風に食事を楽しむことも可能とのふれこみだった。；間もなく三人は先生一人をこの隠れ家に残して置いて、町の方へ帰って行った。；隠れ家メンバーは最後までヤンがレジスタンスだと知ることはなかった。；彼は紀元前205年頃、この地を隠れ家にしていたと考えられている。；あいつはいつまでもかくれがにじっとしているはずはありません。；そして三十分ばかり探した後、老人の隠れ家を見つけることができた。；生活上のある必要から、近い田舎の淋しい処に小さな隠れ家を設けた。；ダーワースのほうでは、ブリクストンのあの家を隠れ家にしておきたい。；帰る途中でウェンライトに会って、君が隠れ家を探していると話すぜ。；種類は、ストーリーが進行するごとに増えていき、隠れ家に置かれる。；この隠れ家へ達するには、まずスイスのバーゼルに行かねばならない。；業界にはほとんど知られていない隠れ家のような場所だった。；また人の眼に見えない驚くような隠れ家があるかもしれない。；かれらは間に合わせの隠れ家を隠すために天幕の上に砂をまき散らした。；彼らがメデューサの隠れ家である神殿に入っている間、イオは外で待つ。；最初わたしは、かくれがを求めてアヌーブンの領土にはいったと思った。；もともと隠れ家なんていうものを持っていたのも、そんなわけだったからですの。；人に見つかってはならない隠れ家には厳しいルールがあった。；ひと夜のなぐさめと隠れ家を求めてひとつお相手をしてみたらどうだろうか。；一度えさを食べると数日間隠れ家にはいってほとんど出てこない個体もいる。；それは、隠れ家を包囲した警察の特殊部隊との激しい銃撃戦の結果だった。；スミスが隠れ家を知っていることは、百に一つもないだろうからね。；しかも、それのみが今の僕に残されている唯一の隠れ家だとは!</t>
        </is>
      </c>
      <c r="J1477">
        <f>HYPERLINK("https://www.weblio.jp/content/隠れ家", "词义详情")</f>
        <v/>
      </c>
      <c r="K1477">
        <f>HYPERLINK("https://yourei.jp/隠れ家", "查看例句")</f>
        <v/>
      </c>
    </row>
    <row r="1478">
      <c r="A1478" t="inlineStr">
        <is>
          <t>学歴</t>
        </is>
      </c>
      <c r="B1478" t="inlineStr">
        <is>
          <t>成功</t>
        </is>
      </c>
      <c r="C1478" t="inlineStr">
        <is>
          <t>読み方：がくれき
学業に関する経歴。「—が高い」「—偏重社会」</t>
        </is>
      </c>
      <c r="D1478" t="inlineStr">
        <is>
          <t>学歴等；学歴不問；学歴別；学歴欄；学歴ネタ</t>
        </is>
      </c>
      <c r="F1478" t="inlineStr">
        <is>
          <t>高学歴；高い学歴；無学歴</t>
        </is>
      </c>
      <c r="G1478" t="inlineStr">
        <is>
          <t>学歴詐称；学歴偏重；学歴コンプレックス；学歴信仰；学歴差別</t>
        </is>
      </c>
      <c r="H1478" t="n">
        <v>29</v>
      </c>
      <c r="I1478" t="inlineStr">
        <is>
          <t>これだけの学歴があるわたしが働いてやるんだ、感謝しろ、みたいなさ。；だとしたら学歴や収入で選ぶ方が正解というものではなかっただろうか。；パリとロンドンの大学に留学していたというものすごい学歴の人もいた。；価値を決定するのは生まれでも育ちでもなければ、学歴や職種でもない。；このうす汚ない三十男が、そんな学歴を持っていようとは知らなかった。；だから、わたしは店の者を採用する時も、学歴とか成績表は見ません。；ダグ・フルーティは学歴で最もよく知られている選手で、全国でも有名。；高い学歴とか専門的な職能を持っていないと、まず幹部にはなれない。；学歴を問わず、18歳以上を対象とした、知的・表現的学びの場である。；韓国では初めて人と会うと、まず学歴の話からはじめることが多い。；男は、たとえ金や学歴がなくても、誇りを持っていることが重要なのです。；さらに調査を進めると、クックの学歴が誇張されていることが判明した。；学歴や理屈で渡っていくことができない世界で学んできた経験則は通じない。；さらに学歴や特殊な専門能力などの面でも条件が定められる。；われわれのように学歴も金も有力な縁故もない者はことにそうだ。；ジョビンには裕福な家庭の出身だったが、学歴は充分には得られなかった。；これに対して、日本では自民党は学歴問わず最も支持される政党である。；社会的ステータスを得るには、何よりもまず学歴が必要だと思っていたという。；そのため、卒業すると日米両国の高卒の学歴を取得でき、4年制である。；そんな当時の青年層たちの中には、高い学歴や特殊な技能を持った者も多くいた。；そのため年齢や学歴などの効果を検討することはできない。；方言は地方によって分類されるより、階級や学歴で分類されることが多い。；トルーマンは大学卒業以上の学歴を持たない最後の大統領だった。；後にマラソンを趣味とした頃にこの学歴が役に立つことが多かった。；教養や学歴がどうであれ、大学を出ているならお茶の入れ方ぐらいは知っている。；学歴等は不明であるが、最初のキャリアは写真モデルであった。；でも、就職を有利にするために学歴をつける目的で高校進学をするのは嫌だった。；横山にしたところで、おそらくは満足な学歴などありはしないだろう。；学歴や使用言語に関わらず、簡便で安価に実施できる点が評価されている。</t>
        </is>
      </c>
      <c r="J1478">
        <f>HYPERLINK("https://www.weblio.jp/content/学歴", "词义详情")</f>
        <v/>
      </c>
      <c r="K1478">
        <f>HYPERLINK("https://yourei.jp/学歴", "查看例句")</f>
        <v/>
      </c>
    </row>
    <row r="1479">
      <c r="A1479" t="inlineStr">
        <is>
          <t>隠れる</t>
        </is>
      </c>
      <c r="B1479" t="inlineStr">
        <is>
          <t>成功</t>
        </is>
      </c>
      <c r="C1479" t="inlineStr">
        <is>
          <t>読み方：かくれる
［動ラ下一］［文］かく・る［ラ下二］
１物の陰になったり、さえぎられたりして見えなくなる。「月が雲間に—・れる」
２身を人目につかないようにする。「物陰に—・れる」「親に—・れてたばこを吸う」
３表面・外部から見えないところに存在する。ひそむ。「事件の裏に—・れた謎がある」
４（ふつう、「隠れた」の形で）世間に名前や力が知られないでいる。また、官職につかないで民間にいる。「—・れた人材を発掘する」「—・れた功績」
５世をのがれて、ひそむ。隠遁(いんとん)する。「山に—・れる」
６高貴な人が死ぬ。現代ではふつう「お隠れになる」の形を使う。→おかくれ
「後二条関白殿…御年三十八にて遂に—・れさせ給ひぬ」〈平家・一〉</t>
        </is>
      </c>
      <c r="D1479" t="inlineStr">
        <is>
          <t>死去；死亡；死ぬ；逃げる；消える</t>
        </is>
      </c>
      <c r="F1479" t="inlineStr">
        <is>
          <t>半分隠れる；すっぽり隠れる；すっかり隠れる</t>
        </is>
      </c>
      <c r="H1479" t="n">
        <v>29</v>
      </c>
      <c r="I1479" t="inlineStr">
        <is>
          <t>その室は、扉を開くとそれで右手の壁のすみが隠れるようになっていた。；もっとも並み木の後ろに隠れようとすれば隠れることはできたのである。；相当に力をこめて、棒が軸の中にすっかり隠れるところまで押し下げた。；手が隠れるぐらい長い袖の服を着てて、腕のところにナイフを入れている。；そこから南へと旅を続けると現在のイエローストーン国立公園に隠れる。；印象の強い瞳が隠れると、血の気の引いたその顔は、母にも似て見える。；ベッドの下は見通しだし、外には人間一人隠れる様な箇所は一つもない。；二人といっても同行の通行人は警官のうしろに隠れるようにしていたのだが。；芸能人達が隠れる側チームと見つける側チームに分かれて行う対戦形式。；レースはその後、ダン・ガーニーの重大事故の陰に隠れることとなった。；座を立ったかれは、そのまま狭い料理場の隅へ隠れるように身をひそめた。；お雪ちゃんは隠れるともなしに、姿を後ろの林に隠してしまいました。；大きな声をすれば寝台の下に隠れるような女ばかりを相手にしてるんだからね。；イリヤの側に人けのない通りがぼんやり見えたが、隠れる場所はない。；強い魂にも時々その聖殿に隠れる必要があることを、彼らは知らないのである。；あわてて隠れると気がつかずに行っちゃったから、そのままあとを尾けてみた。；菊江はその建物の中に隠れるつもりかそのままその陰へ入って往った。；兄弟と姉妹が偶然道で出会えば、姉妹のほうが逃げるか隠れるかする。；何マイル先まで見てもあるのはこの丘だけだし、ほとんど隠れるところがない。；両側にただ壁ばかりがつづいている廊下で、隠れるような場所はどこにもない。；からグラブの位置を上げ、左手が隠れるようにした投球フォームに変更。；逃げることも隠れることもできず、正面衝突を強いられる可能性も。；木でできており、中に人が隠れることができるようになっていた。；強姦される前にロジャーが到着して警備員を殺し、二人は地下に隠れる。；ここよりもっと寝て隠れるのにいい場所を見つけてあげるから。；頼朝は他の女性とも通じたが、政子を恐れて半ば隠れるように通っている。；また、クローゼットなど自分が隠れることができる場所も追加されている。；隙間に隠れる性質があるため、確実に生息している場所であっても発見は難しい。；ご覧の通り狭い寺で、どこに人の隠れるような所がある訳でもない。</t>
        </is>
      </c>
      <c r="J1479">
        <f>HYPERLINK("https://www.weblio.jp/content/隠れる", "词义详情")</f>
        <v/>
      </c>
      <c r="K1479">
        <f>HYPERLINK("https://yourei.jp/隠れる", "查看例句")</f>
        <v/>
      </c>
    </row>
    <row r="1480">
      <c r="A1480" t="inlineStr">
        <is>
          <t>陰</t>
        </is>
      </c>
      <c r="B1480" t="inlineStr">
        <is>
          <t>成功</t>
        </is>
      </c>
      <c r="C1480" t="inlineStr">
        <is>
          <t>読み方：いん
［常用漢字］　［音］イン（漢）オン（呉）　［訓］かげ　かげる
〈イン〉
１光の当たらない所。かげ。「陰影／樹陰・清陰・緑陰」
２山の北側。「山陰」
３移りゆく日かげ。時間。「光陰・寸陰」
４暗い。曇る。「陰雨／夜陰」
５気分が晴れない。「陰鬱(いんうつ)・陰気」
６表面に現れない。「陰徳・陰謀」
７隠し所。性器。「陰萎(いんい)・陰部・陰門／会陰(えいん)」
８（陽に対して）消極的、受動的な性質。「陰画・陰極・陰性・陰陽／太陰」
〈かげ〉「陰口／木陰(こかげ)・日陰・物陰・山陰」
［難読］陰陽師(おんようじ・おんみょうじ)・陰陽道(おんようどう・おんみょうどう)</t>
        </is>
      </c>
      <c r="D1480" t="inlineStr">
        <is>
          <t>陰欝；陰氣；陰圧；陰王；陰森</t>
        </is>
      </c>
      <c r="E1480" t="inlineStr">
        <is>
          <t>後；影；背；裏；背中</t>
        </is>
      </c>
      <c r="F1480" t="inlineStr">
        <is>
          <t>汝陰；済陰；暗い陰；江陰；陰統一選手権試合</t>
        </is>
      </c>
      <c r="G1480" t="inlineStr">
        <is>
          <t>陰気；陰鬱；陰影；陰茎；陰惨</t>
        </is>
      </c>
      <c r="H1480" t="n">
        <v>29</v>
      </c>
      <c r="I1480" t="inlineStr">
        <is>
          <t>しかし、彼は戦闘が始まっても岩の陰に隠れて様子を見るだけであった。；そこでは、彼らは岩の陰や他の生物の内部にまで潜り込んで隠れている。；西側の大半は陰に隠れているため、この時点では詳細が不明であった。；競馬も行われているが、他のギャンブルの陰に隠れてあまり人気が無い。；しかし明るく元気だったみちるは、無口で陰のある少女に成長していた。；このため図では陽である天の数を白、陰である地の数を黒で表す。；フランス兵の大部分は銃火を避けるため歩道の陰に伏せるしかなかった。；メジャーな白浜温泉の陰に隠れてしまっている感じの温泉街とも言える。；草陰等に露を避けるようにぶら下がって止まっているのではない。；当時長安に遊学していた陰識は、これを聞いて学業を捨てて故郷に帰る。；中には長さ・太さ共に1〜2cmに至る大きな陰核を持つ女性もいる。；伝説では散開した兵士が障害物の陰から狙撃したことにはなっている。；また「歴史の道標」のように歴史を陰で操る黒幕の存在も示されている。；背の高い木や高い壁の陰を自然に避けなければならない。；北斗シネマをそこまで成長させた陰には、少女・花王莉の存在があった。；地表すれすれで、大抵は葉の陰に、外からは見えないように花をつける。；碑陰の文字はやや小さく、建立関係者の名が5列57行で列挙されている。；使用できるキャラクターは普段はプレイヤーを陰で支えてきたキャディーである。；デビューからしばらくは同期の高阪剛の陰に隠れて目立たない存在であった。；人の魂を表とすれば、トナルは陰の存在であると考えられている。；本来の人間の呼吸は吸気時に胸腔内が陰圧になり、呼出時に陽圧となる。；大地はその体を陰から得ているので、平面状で静止しているのである。；捕食対象であるチョウやハチを狙って花の陰に身を潜めていることも多い。；直茂は戦場に身を置くことが多く、彦鶴はそんな夫を陰で支え続けた。；二つの陰、尿の後ろ、屎の前にあるために、会陰と名付けられたという。；しかし、二つの誘拐事件の陰には身近な人間の悪意に満ちた意図があった。；一宮城の特徴は様々あるが、貯水池と陰滝も大きな特徴の一つとなっている。；地面に落ちて気を失いかけたが、なんとか庭の茂みの陰に隠れそこで気絶した。；山の陰にあり風向きが変わりやすいこの地では、気象が非常に変わりやすい。</t>
        </is>
      </c>
      <c r="J1480">
        <f>HYPERLINK("https://www.weblio.jp/content/陰", "词义详情")</f>
        <v/>
      </c>
      <c r="K1480">
        <f>HYPERLINK("https://yourei.jp/陰", "查看例句")</f>
        <v/>
      </c>
    </row>
    <row r="1481">
      <c r="A1481" t="inlineStr">
        <is>
          <t>影</t>
        </is>
      </c>
      <c r="B1481" t="inlineStr">
        <is>
          <t>成功</t>
        </is>
      </c>
      <c r="C1481" t="inlineStr">
        <is>
          <t>読み方：えい
［常用漢字］　［音］エイ（漢）ヨウ（ヤウ）（呉）　［訓］かげ
〈エイ〉
１光が物にさえぎられてできる暗い部分。かげ。「影響／暗影・陰影・形影・斜影・樹影」
２光。「月影・灯影」
３物の姿や形。「機影・幻影・孤影・人影・船影・投影」
４写真や絵画に写された像。「影印・影像／遺影・近影・撮影・尊影」
〈かげ〉「影絵・影法師／面影(おもかげ)・島影・月影・日影・火影(ほかげ)・星影」
［難読］影向(ようごう)</t>
        </is>
      </c>
      <c r="D1481" t="inlineStr">
        <is>
          <t>影村；影月；影が薄く；影縫さん；影が長く</t>
        </is>
      </c>
      <c r="E1481" t="inlineStr">
        <is>
          <t>闇；気配；知らせ；陰；暗闇</t>
        </is>
      </c>
      <c r="F1481" t="inlineStr">
        <is>
          <t>無影；暗い影；機影；長い影；大きな影</t>
        </is>
      </c>
      <c r="G1481" t="inlineStr">
        <is>
          <t>影響力；影響下；影山；影法師；影絵</t>
        </is>
      </c>
      <c r="H1481" t="n">
        <v>29</v>
      </c>
      <c r="I1481" t="inlineStr">
        <is>
          <t>はじめて会ったその晩、彼らは恐ろしい悪魔のような黒い影に襲われる。；しかし2人の時に比べその行動は単純化し複雑な行動関係は影を潜める。；そのため自由の民の上から影が完全に払拭されはしなかったのである。；なお、この時は影を潜めていたかつてのような陽気な様子を見せている。；恐怖と恐れと共に人の影にいた彼らが人間との戦争を始め、今に至る。；Google成長を影から支えていたのは、L4スイッチに他ならない。；針や棒の影の先端の一点の位置で時刻を読み取る精密なタイプもある。；アリスタルコスは月食の際に月が地球の影の中を通過する様子を観測した。；影ぶんちんで固定した影にこの液をかけると、影が黒いまま実体化する。；医師に画像特性や読影などの知識を指導する状況も多々見られている。；半影だけが地球にかかって、地上のどこからも中心食が見られないこともある。；これらの衛星が円形の影を木星表面に落としている光景はよく見られる。；影の先端からスタートして、指定された方角へ指定された歩数を進める。；しかし同じく海岸沿いのマッサリアの影に隠れて、もがくことになった。；この事件も、晩年の作品に目立つ暗い影の一因ではないかと言われている。；これらの手法を影で支援していたのは裕次郎の兄である石原慎太郎であった。；人の影が井戸の中にあるのを見て、仰ぎ見るや、驚いてお椀を落とした。；一方、コナンに影から補佐されつつ小五郎が事件を解決することもある。；しかしドイツ国民にはヒンデンブルク伝説はどんどん影が薄くなっていた。；体内に業火を宿し、全身に煙と影を纏う大きな人のような姿をしている。；この成功の影には一つの偶然があったと伝えられている。；戦争が暗い影を投げかけるこの時期にも、優れた創作活動は行われていた。；そしてテラスから去ろうとしている左の影の人物はユダとも言われる。；一部の吐谷渾部衆はさらに各地に逃れ、その勢力は見る影もなく衰退する。；M2の近くの10等星と星団の中心部のほぼ中央を通る影はよく目立つ。；このことは、その後のELOの活動に大きな影を落とすことになっていく。；これを回避するため、影ができないように「無影灯」が工夫されている。；過去に勃発した大きな戦争が、現在に暗い影を落としているという設定も多い。；この時にはかつての熱血漢ぶりは影を潜め、飄々とした性格となっていた。</t>
        </is>
      </c>
      <c r="J1481">
        <f>HYPERLINK("https://www.weblio.jp/content/影", "词义详情")</f>
        <v/>
      </c>
      <c r="K1481">
        <f>HYPERLINK("https://yourei.jp/影", "查看例句")</f>
        <v/>
      </c>
    </row>
    <row r="1482">
      <c r="A1482" t="inlineStr">
        <is>
          <t>崖</t>
        </is>
      </c>
      <c r="B1482" t="inlineStr">
        <is>
          <t>成功</t>
        </is>
      </c>
      <c r="C1482" t="inlineStr">
        <is>
          <t>読み方：がい
［常用漢字］　［音］ガイ（漢）　［訓］がけ
切り立ったがけ。「懸崖・絶崖・断崖」
[補説] 「崕」は異体字。</t>
        </is>
      </c>
      <c r="D1482" t="inlineStr">
        <is>
          <t>崖下(8%)；崖上(2%)；崖崩れ(2%)；崖縁；崖地</t>
        </is>
      </c>
      <c r="E1482" t="inlineStr">
        <is>
          <t>岸；断崖；山岸</t>
        </is>
      </c>
      <c r="F1482" t="inlineStr">
        <is>
          <t>急崖；急な崖；低い崖；険しい崖；急峻な崖</t>
        </is>
      </c>
      <c r="G1482" t="inlineStr">
        <is>
          <t>崖道；崖の上のポニョ；崖山；崖州；崖山の戦い</t>
        </is>
      </c>
      <c r="H1482" t="n">
        <v>29</v>
      </c>
      <c r="I1482" t="inlineStr">
        <is>
          <t>担当作品では崖が登場することが多いため、「崖監督」と呼ばれている。；当時、現地は濃い霧がかかっており、崖から転落したと推測されている。；崖上の選炭施設も含めて全て撤去され、僅かな残骸だけが残されている。；国道135号よりやや高い崖上に位置するため、階段を上る必要がある。；鳴子峡の左岸の崖上は緩斜面が広がっており、街道はここに通じていた。；二つの川側は約70mほどの崖となっており、典型的な崖城でもある。；崖に貼りつくように、中線を間に挟んだ相対式ホームが設置されている。；一周を海に囲まれているが、海岸線は崖や磯になっている部分が多い。；さらに崖の上にメインストリートがあり、歴史的な建物が残っている。；当駅は台地上に位置しており、1番線のすぐ東側が崖線となっている。；あとで考えると、たぶん『遠い崖』の出版の打ち合わせだったのだろう。；海岸の崖沿いを避けたトンネルの多い道路は、明治中期になって整備されている。；エリアは崖で囲まれており、直線的に逃げ続けることはできない。；海に向かって劇的に標高が落ちるため、海岸には崖が形成されている。；崖の周囲が警察に包囲される中、逆上した脱獄囚は夫婦を次々と殺害。；天王寺公園に隣接した上町台地の崖線上に建ち、広い境内を有している。；岩の上にはえるものは、特に崖に出る性質が強いもののみを挙げた。；その崖上には、ここを通過する中山越出羽道の尿前関所が置かれていた。；この部分は一般に崖状の急斜面になることが多く、滑落崖と呼ばれる。；多くの動物が崖に生息しており、その中で鳥が多く、3万羽29種に及ぶ。；地形は旧千川上水に近い高台と、石神井川に向かった崖地に分けられる。；崖のすぐ横を通る路線のため落石の発生が多く、覆道が多数設置されている。；城の南方面の防御は峻険な崖を利用しており、特に人工的な防御施設はない。；ここはまた、深森や崖の地、薄明の森、泥地と違った危険を秘めていた。；川の両岸にはしばしば崖が切り立っており、小さく蛇行しながら流れる。；このために、波に洗われ続けた島の周囲の海岸は切り立った崖になっている。；崖崩れによってアウトバーストが起こったと報告されたのは初めてであった。；ホームは海のすぐそばにあり、崖の中腹に張り付いた様な形状となっていた。；崖上に設置された駅でホームまでは階段を利用する。</t>
        </is>
      </c>
      <c r="J1482">
        <f>HYPERLINK("https://www.weblio.jp/content/崖", "词义详情")</f>
        <v/>
      </c>
      <c r="K1482">
        <f>HYPERLINK("https://yourei.jp/崖", "查看例句")</f>
        <v/>
      </c>
    </row>
    <row r="1483">
      <c r="A1483" t="inlineStr">
        <is>
          <t>掛け～</t>
        </is>
      </c>
      <c r="B1483" t="inlineStr">
        <is>
          <t>成功</t>
        </is>
      </c>
      <c r="C1483" t="inlineStr">
        <is>
          <t>読み方：かけ
［名］
１売り値に対する卸値。また、本来の値段に対する、値引きして売る値段の割合。
２「掛け売り」「掛け買い」の略。「—で買う」
３「売掛金」「買掛金」の略。「—がたまる」
４「掛け蕎麦(そば)」「掛け饂飩(うどん)」の略。
５「打ち掛け」の略。
「黒塗りの箪笥(たんす)から—を出して女に着せた」〈鴎外・ヰタ‐セクスアリス〉
６「掛け布団(ぶとん)」の略。
７相撲で、足を相手の足に掛けて倒す技の総称。内掛け・外掛けなど。
８女帯の、締めはじめるほうの端。
９名詞について、かけること。また、かけるもの。「洋服—」
10言葉に掛けて言うこと。
「児(こ)らが名に—のよろしき朝妻の片山崖(ぎし)に霞たなびく」〈万・一八一八〉
11掛け緒。
「折烏帽子に—して」〈義経記・二〉
［接尾］
１動詞の連用形に付く。
㋐動作が途中である意を表す。「読み—」「食べ—」「吸い—」
㋑その動作が起ころうとする直前の状態であることを表す。「つぶれ—」
㋒その動作のついでである意を表す。「帰り—」
２助数詞。
㋐一人で担ぐ程度の物を数えるのに用いる。
「衣櫃(きぬびつ)二—にてあるを」〈源・松風〉
㋑細長いものを数えるのに用いる。
「中御門御亭へ馬手綱、二—、弁に一—」〈言継卿記〉
㋒掛け鯛を数えるのに用いる。
「親仁には、角樽一荷に塩鯛一—、銀一枚」〈浮・永代蔵・六〉</t>
        </is>
      </c>
      <c r="D1483" t="inlineStr">
        <is>
          <t>掛け；信販；信用販売；掛け売り；掛売り</t>
        </is>
      </c>
      <c r="H1483" t="n">
        <v>29</v>
      </c>
      <c r="I1483" t="inlineStr">
        <is>
          <t>人間・猫・犬たちの未来を掛けた戦いはいずれどうなるのであろうか。；一方車体前後のドア向い側部分は3人掛けのロングシートとなっている。；座席は2人掛けの回転式リクライニングシートで以下に示す特徴を持つ。；対応ソフトウェアには、いわゆるコピーガードは一切掛けられていない。；また、師の轟鉄を殺害して奪ったとされる巨大な数珠を首に掛けている。；ドア間の7人掛け座席部では新たにスタンションポールを2本設置した。；そのためタブマンに掛けられた賞金額は合計4万ドルを超えたとされる。；あて布を必要とするものや、まったくアイロン掛けができないものもある。；中柱は中ほどに短い枝を1本残しており、これは茶入袋掛けとなっている。；A車・B車共に自車の運転台に向かって1人掛けの席が設置されている。；第二次世界大戦直前から戦争中には、髪型に大きな規制が掛けられた。；開渠とは、地上部に造られ、蓋掛けなどされていない状態の水路を指す。；当身技の大部分は、腕や脚でもって掛けられるが、頭部もときに使われる。；かつてはダブルデッカー車の階下席にも1人掛けのものが設置されていた。；タウンホールの正面には、舵輪に手を掛けたミッキーマウスの像がある。；掛けられる相手は脳震盪を防ぐため受身を十分に習熟しておく必要がある。；いずれの車両も車端部は固定の4人掛けロングシートとなっている。；それは洋服入れに掛けられていた服のポケットに入っていた。；死の床にあっても小島の成績を気に掛けていたといわれる。；隣席の喧騒を避けて席を移動してきた女に男が声を掛け、食堂車に誘う。；あちこちの店に「ユダヤ人お断り」の看板が掛けられるようになった。；これに音量レジスタの値を掛けたものが1チャンネル分の出力である。；マッケイと共に裁判に掛けられると想像しただけで彼女は恐怖に陥る。；貴金属製の鎖に記章が付いたものであり、鎖を首に掛けて着用する。；古くから食べられていたのは、白湯を掛けたもの、いわゆる湯漬けである。；ヨーロッパでは固定式2人掛けクロスシートも多く採用されている。；竹の刈取りは秋〜冬に掛けて竹が一番乾燥している時期に行われる。；鎌倉時代以前からあるとされ、呉の国の人が掛けたという伝承がある。；これは単位行列に単位行列を掛けたものは単位行列であることに対応する。</t>
        </is>
      </c>
      <c r="J1483">
        <f>HYPERLINK("https://www.weblio.jp/content/掛け～", "词义详情")</f>
        <v/>
      </c>
      <c r="K1483">
        <f>HYPERLINK("https://yourei.jp/掛け～", "查看例句")</f>
        <v/>
      </c>
    </row>
    <row r="1484">
      <c r="A1484" t="inlineStr">
        <is>
          <t>駆け足</t>
        </is>
      </c>
      <c r="B1484" t="inlineStr">
        <is>
          <t>成功</t>
        </is>
      </c>
      <c r="C1484" t="inlineStr">
        <is>
          <t>読み方：かけあし
１やや速めに走ること。「—で行く」
２物事を大急ぎでするさま。「ヨーロッパを—で見て回る」
３（「駈歩」「駆歩」と書く）馬術で、馬を速く走らせること。また、その走り方。速度は普通、1分間340メートルくらい。キャンター。
[補説]3では、馬の四肢が左右非対称に動き、その着地順は、右後→左後→右前→左前、または、左後→右後→左前→右前となる。一完歩の間に1度、四肢がすべて宙に浮く瞬間がある。また、三肢が同時に着地する瞬間があり、3拍子の走り方となる。</t>
        </is>
      </c>
      <c r="D1484" t="inlineStr">
        <is>
          <t>駆け足気味；駆け足でつい；駆け足行進</t>
        </is>
      </c>
      <c r="E1484" t="inlineStr">
        <is>
          <t>走り；走る；走；ランニング；駆ける</t>
        </is>
      </c>
      <c r="H1484" t="n">
        <v>29</v>
      </c>
      <c r="I1484" t="inlineStr">
        <is>
          <t>美奈は駆け足になって、公園の中を少し上から見渡せる場所へと急いだ。；家の手前数十メートルの所で少し駆け足をして息を弾ませ、家へ入る。；駆け足で観たのでは、どれもこれも似たようなものになってしまう。；およそ二千人が駆け足で通過したと思われるころ、人の流れはとだえた。；橋の中央まで出たとき、向こうがわから数人の将校が駆け足で進んできた。；少女はどこか近所の家からかけ足で一所懸命に急いで来たのでした。；手をかけ足をかけ幾度も登攀を試み、失敗した午次郎はついに泣き出した。；明らかに興奮している様子で放っておけばその場で駆け足でも始めそうな感じではあった。；「万一ということもある」 一行は無理をせずに普通駆足で進んでいった。；階段までは駆け足で進み、姿を確認するとまた二十メートルの距離を保った。；ある日、駆け足訓練を終えて内務班に兵隊たちが戻った時のことであった。；駆け足をしていた青年たちが並足となり、指揮官の台の前に集まった。；通行人との衝突を避けてか、男とめぐみが駆け足程度のスピードになった。；だが、つい駆け足になりかけるのを我慢して、わざと、のんびりと歩く。；山本はみなよりも体力がないのか、朝の駆け足から、すぐアゴを出した。；ここで駆け足で、これからのフーコーの権力論の道筋をたどってみよう。；そして、溝の中へ降り始め、駆け足でわれわれのほうに向かって来た。；思った通り、駆け足から早歩きになり、そしてやがてただの歩きになった。；彼女はついに恐ろしい自分の駆け足の到着点に達していた。；その一人がこちらで待っている付添人のなかから友人を見つけて駆け足で近よってきた。；彼はぐるりと屋敷の周囲を歩いてから、駆け足で海水浴場へと戻っていった。；下から進んでくる敵は、それを合図にしたように駆け足に移った。；駆け足のような快感のあとに感じたのは、怒りに似た感情だった。；それからほどなくしてセナが駆け足でピットに飛びこんできたのである。；そのうちに人の群れはまばらになり、いまやってくる連中は駆け足だった。；俺とユージオは、半ば駆け足に近いスピードで川縁を遡りつづけている。；このプログラム通り巡見するとすれば、かけ足で通っても十日はかかるだろう。；腕がくたびれるより早く到着すべく、俺は駆け足で向かって行った。；一行はスミス城への道を出発し、ジムは先頭で馬を駆け足で進めた。</t>
        </is>
      </c>
      <c r="J1484">
        <f>HYPERLINK("https://www.weblio.jp/content/駆け足", "词义详情")</f>
        <v/>
      </c>
      <c r="K1484">
        <f>HYPERLINK("https://yourei.jp/駆け足", "查看例句")</f>
        <v/>
      </c>
    </row>
    <row r="1485">
      <c r="A1485" t="inlineStr">
        <is>
          <t>家計</t>
        </is>
      </c>
      <c r="B1485" t="inlineStr">
        <is>
          <t>成功</t>
        </is>
      </c>
      <c r="C1485" t="inlineStr">
        <is>
          <t>読み方：かけい
家族が暮らしていくうえでの、収入と支出の状態。家族が暮らしていくための費用。一家の生計。「—を預かる」「—のやりくり」</t>
        </is>
      </c>
      <c r="D1485" t="inlineStr">
        <is>
          <t>家計を助けるため(5%)；家計を支えるため(3%)；家計費；家計支出；家計収入</t>
        </is>
      </c>
      <c r="E1485" t="inlineStr">
        <is>
          <t>財政事情；財政状態；台所事情；ふところ具合</t>
        </is>
      </c>
      <c r="F1485" t="inlineStr">
        <is>
          <t>貧しい家計；働いて家計；家計部門；家計貯蓄率；家計補助的</t>
        </is>
      </c>
      <c r="G1485" t="inlineStr">
        <is>
          <t>家計調査</t>
        </is>
      </c>
      <c r="H1485" t="n">
        <v>29</v>
      </c>
      <c r="I1485" t="inlineStr">
        <is>
          <t>一週間毎にする家計か、さもなければ何かさう云つたものだつたと思ふ。；それらの病気のため、カールソンは幼い頃から働いて家計を助けていた。；また、父の死後は、母が自身の実家の工場を手伝って家計を支えていた。；だんだんと畑や丘が増えていく景色を眺めながら私は家計のことを考えた。；夫婦の家計からどうやってこれほど頻繁に新しい服を買うことができるのか。；彼は病気の母親に代わってこっそり働いて家計を支えているのである。；全員が合意した期間だけ仕事と家計と性生活を共にするパートナーだった。；サーレポル州は農業が盛んで、農業収入が家計収入の大半を占めている。；そして彼等が釣って来る魚が、重要な家計の足しになると言ったような。；彼女は家の周囲の石だらけの土地を菜園にして家計の足しにしようとした。；母は自分が一生着ることのない着物を縫う針子仕事で家計を助けていた。；なぜならば家計と違って政府はお金を創り出すことができるからである。；労働者の家族に生まれたヌルミは12歳に学校を中退して家計を支えた。；また、移動の殆どを自動車に依存する田舎では、家計に大きな影響が出た。；本記事では古代を含めて国家・商業組織の会計や家計簿を対象とする。；家計の不如意で債鬼門に群るをさへ別に氣にかけぬのは前にも言つた。；片働きとは、妻が全く現金収入を得ず、夫だけで家計を支えている家庭。；ガズニー州は農業が盛んで、農業収入が家計収入の半分以上を占めている。；生活のためにデパートでパートタイムの仕事をして家計を助けていた。；彼女の家は裕福ではなく、少しでも家計を助けようと思ってのことだった。；家計を助ける程度のパートをして、家で子供や夫の帰りを待っていた。；収入と家計 フレデリック郡は国内の裕福な郡リストで第43位だった。；父の広は事業に失敗し、悦三郎が幼少期の後藤家の家計は貧窮していた。；家計のことはいつさい任してあるが決してじようずなほうではない。；しかし家計を立て直す気もなく、暮らしぶりは変わらなかったという。；父親が若くして亡くなったため、写真のモデルをして家計を助けた。；妻は洋裁が得意で、高木の無名時代には、妻が内職をして家計を支えた。；家計を支えるのは彼なんだから、仕事について文句は言っちゃいかん。；まえにも云ったとおり、佐野家はもともとゆたかな家計をもっていた。</t>
        </is>
      </c>
      <c r="J1485">
        <f>HYPERLINK("https://www.weblio.jp/content/家計", "词义详情")</f>
        <v/>
      </c>
      <c r="K1485">
        <f>HYPERLINK("https://yourei.jp/家計", "查看例句")</f>
        <v/>
      </c>
    </row>
    <row r="1486">
      <c r="A1486" t="inlineStr">
        <is>
          <t>過激</t>
        </is>
      </c>
      <c r="B1486" t="inlineStr">
        <is>
          <t>成功</t>
        </is>
      </c>
      <c r="C1486" t="inlineStr">
        <is>
          <t>読み方：かげき
［名・形動］
１度を越して激しいこと。また、そのさま。「—な運動を避ける」
２考え方ややり方が世間の常識からひどくかけ離れていること。また、そのさま。「—な戦術」「—な発言」⇔穏健。
[派生]かげきさ［名］</t>
        </is>
      </c>
      <c r="D1486" t="inlineStr">
        <is>
          <t>過激化(5%)；過激な行動(2%)；過激な内容(2%)；過激な描写；過激派</t>
        </is>
      </c>
      <c r="E1486" t="inlineStr">
        <is>
          <t>大；非常；激しい；恐ろしい；ひどい</t>
        </is>
      </c>
      <c r="F1486" t="inlineStr">
        <is>
          <t>過激かつ；過激革命派；過激社会運動取締法案；過激尊攘派；過激な性描写</t>
        </is>
      </c>
      <c r="G1486" t="inlineStr">
        <is>
          <t>過激派組織；過激主義；過激思想；過激な淑女</t>
        </is>
      </c>
      <c r="H1486" t="n">
        <v>29</v>
      </c>
      <c r="I1486" t="inlineStr">
        <is>
          <t>年齢制限はかかっていないものの、一部に過激な映像や表現が存在する。；本作のジャケットは女性の胸をそのまま載せたかなり過激なものであった。；自由主義は過激な思想として生まれたが、政治的な主流の一部となった。；しかし内容の過激さから、予定していた部署からの出版を拒否される。；グロテスクかつ過激な表現が多いのが特徴であり、難易度は非常に高い。；そのあまりのギャップとストーリーの過激さから、当時、話題となった。；その過激さは他の解放組織からも強く批判されるほどだった。；ドイツ版ゲームにはオリジナルの過激な表現が修正・カットされることが多い。；しかし全日本学生自治会総連合の過激な行動に対しては批判的であった。；過激なダイエットが始まったのはこの頃であったと言われている。；豪華版では過激な性描写のあった一部ページが通常版では削除されている。；同番組に見られたような過激な演出は抑えられ、作風はライトである。；また、性的な方面の過激な写真やアートワークなども頻繁に使われている。；これによりストーリーも以前のような過激なものではなくなった。；過激作品となるインディーズのセルビデオには出演したくないと答えていた。；混迷の時代であるとはいえ、この過激な主張を行う男を周囲は白眼視していた。；あまりにも過激な仕様であり、採用したホールはごく少数に留まる。；全体に叙情的な面が目立つが、前作のような過激さも併せ持っている。；プロモーション・ビデオは過激な内容であるとされ放送禁止になった。；一方で1990年代になると漫画表現の過激さが社会問題化する事件が発生した。；この信仰の違いは、南スーダンの独立運動が過激化した理由の一つでもある。；スカトロ作品を自ら監督する事もあり、その内容は段々と過激になっている。；しかしこれに失敗し、PAIGCはより過激な独立運動を展開するようになった。；自分で育て、利用してきた過激青年将校たちを、制御できなくなったのである。；このように日本は各地で過激な攘夷論を叫ぶ人たちが目立つようになっていた。；内容はメンバー同時で主に過激なお題に体を張ったことに挑むことが多かった。；そして1992年より彼らの直接的でより過激な活動が本格化する。；過激な場面では、音声を非常に小さく絞って放送することがあった。；その威力は過激派の作った爆弾の中でもかなり高い方であった。</t>
        </is>
      </c>
      <c r="J1486">
        <f>HYPERLINK("https://www.weblio.jp/content/過激", "词义详情")</f>
        <v/>
      </c>
      <c r="K1486">
        <f>HYPERLINK("https://yourei.jp/過激", "查看例句")</f>
        <v/>
      </c>
    </row>
    <row r="1487">
      <c r="A1487" t="inlineStr">
        <is>
          <t>掛け算</t>
        </is>
      </c>
      <c r="B1487" t="inlineStr">
        <is>
          <t>成功</t>
        </is>
      </c>
      <c r="C1487" t="inlineStr">
        <is>
          <t>読み方：かけざん
ある数を他の数の表す回数だけ加えた合計を求める計算。乗法。⇔割り算。</t>
        </is>
      </c>
      <c r="D1487" t="inlineStr">
        <is>
          <t>掛け算作用素(2%)；掛け算表(2%)</t>
        </is>
      </c>
      <c r="E1487" t="inlineStr">
        <is>
          <t>増殖；乗法；乗算；相乗；かけ算</t>
        </is>
      </c>
      <c r="H1487" t="n">
        <v>29</v>
      </c>
      <c r="I1487" t="inlineStr">
        <is>
          <t>九九の唱え方は、英語の掛け算の言い方をすればいいわけで、実に簡単。；正確にするためには、上式にスペクトル線の形状を掛け算する必要がある。；愛が足りないから、足し算までは出来ても、掛け算が出来ないのです。；ぼくが教師になって治療室の黒板で漢字や掛け算を教えてやった。；縦長になるのを避けるために掛け算の形で出題されることが多い。；能力は足し算ではなくて掛け算になってしまうのですからね。；しかしこれを暗記するのは困難であったことから、多数の掛け算表が使用されることとなった。；足し算では二と三とでは五にしかなりませんが、掛け算では六になるからであることはいうまでもありません。；坪が単純な掛け算で求められるのは、間とのあいだに一貫性のある単位だからである。；数 と の掛け算 もまた と表されるため、表記の上では帯分数と区別できない。；そしてそれには、お互いに自分を忘れて他を生かす、掛け算の人生を送ることが大切です。；これにより、掛け算などの過程は、現在とほぼ同じものとなった。；彼らは日本の掛け算がわからないのである。；だから私は今でも掛け算の九九をいうとき、関西弁のフシがついてしまうのだ。；原盤権収入を計算するには単純に掛け算をすればいい。；甲野さんの人生の理想は、むろん足し算よりも掛け算の方でした。；逆数とは、ある数に掛け算した結果が となる数である。；三つ同列に並べて掛け算をするのは、正しい計算ではない。；行列の掛け算はGPGPUが得意としており、高速に計算できる。；これは、一般に知られている掛け算の筆算と同じである。；そして、この値に面の色と面を照らす光の輝度を掛け算する。；掛け算に関しての素数の問題だったら、はるかに簡単に明らかになっちゃう。；つまり自分を忘れ、他を生かそうとするところに、二と三が五にならないで六になる、掛け算の秘密があるのです。；と の掛け算からモルプランク定数を求めている限り、 の正確さは や とそれほど変わらない。；つづいて引き算、掛け算、割り算の練習をし、いよいよ応用問題に入った。；だって、片方は掛け算以上のことも出来る年齢なんだよ。；かつて二人の訳者によって訳された作品で、同じように掛け算がちがっていた。；幼い頃から数字に異常なほど強い興味を持ち、足し算・引き算・掛け算を習得したという。；一つの面を水平面に置くと、体積は、水平面の面積に高さを掛け算したものになる。</t>
        </is>
      </c>
      <c r="J1487">
        <f>HYPERLINK("https://www.weblio.jp/content/掛け算", "词义详情")</f>
        <v/>
      </c>
      <c r="K1487">
        <f>HYPERLINK("https://yourei.jp/掛け算", "查看例句")</f>
        <v/>
      </c>
    </row>
    <row r="1488">
      <c r="A1488" t="inlineStr">
        <is>
          <t>可決</t>
        </is>
      </c>
      <c r="B1488" t="inlineStr">
        <is>
          <t>成功</t>
        </is>
      </c>
      <c r="C1488" t="inlineStr">
        <is>
          <t>読み方：かけつ
［名］(スル)会議で、提出議案の承認を決定すること。「賛成多数で—する」⇔否決。</t>
        </is>
      </c>
      <c r="D1488" t="inlineStr">
        <is>
          <t>可決される(5%)；可決成立(2%)；可決されれ；可決案；可決され参議院</t>
        </is>
      </c>
      <c r="E1488" t="inlineStr">
        <is>
          <t>認め；通過；許可；通る；制定</t>
        </is>
      </c>
      <c r="F1488" t="inlineStr">
        <is>
          <t>通り可決；決議可決；修正可決；提出され可決；衆議院可決</t>
        </is>
      </c>
      <c r="H1488" t="n">
        <v>29</v>
      </c>
      <c r="I1488" t="inlineStr">
        <is>
          <t>相手が誰か分からないだけに、どんな礼を取るべきか決しかねたのである。；これ以前にもベルリン市など自治体レベルで同様の条例が可決している。；そしていくつかの修正が加えられた末、この法案は正式に可決された。；建設的不信任案が可決されたのは、西ドイツ史で初めてのことであった。；蜜蜂の輸入を禁じる法律が可決されたが、形の上だけの効果しかなかった。；そして1921年10月に市との買収契約が成立し、市会で可決された。；委員会で修正案の形で論じられたが、結局政府の原案通り可決された。；議会ではスミスの上院からの追放が満場一致で可決される見込みだった。；しかし、2002年の投票で賛成派が可決数を超えたことで加入した。；翌年4月の連回会で本多は仙台美以教会の廃止案を提出し、可決される。；新しいルールでは、少数派が可決を阻止することは困難となるだろう。；補正予算案が可決されれば、両者が共同して同年度中にも調査準備に入る。；内閣不信任決議可決当日に衆議院を解散しなかったのはこの時だけである。；法案自体も、マフティー襲撃の直前にすでに可決されてしまっていた。；次に可決阻止少数の要件が難化したことにより意思決定が容易になった。；aとbの2つの断点が生じているが、ここでは黒1とカケツぐのが好形。；これはイタリア系の議員の反対にあったが、最終的に可決された。；だが国会からの反発は大きく、11月14日に不信任決議を可決された。；これを重く見た共和国議会は急遽審議を行い軍事予算の増額を可決した。；同月19日、債権者会議で再建計画案が可決されたことが発表された。；QMVによる可決には、次に示す3つ全ての条件を満たさねばならない。；そこで可決されてから初めて具体的な実施に向けて動き出す。；この議案は満場一致をもって可決され、同年4月1日からの施行となった。；この決議案に対する日本政府の反応は委員会可決の時と同様に静観とした。；役員は、生徒から投票で可決された生徒のみ就任を許可される。；議長は本会議で不信任決議を可決させても法的拘束力を有しないとされる。；評決参加辞退した朝融王を除く議員全員の一致により議案は可決される。；調整案は12月15日に上下両院で可決し、これにより法案は成立した。；「第三読会を終了する」との動議が可決されると法案はその院を通過する。</t>
        </is>
      </c>
      <c r="J1488">
        <f>HYPERLINK("https://www.weblio.jp/content/可決", "词义详情")</f>
        <v/>
      </c>
      <c r="K1488">
        <f>HYPERLINK("https://yourei.jp/可決", "查看例句")</f>
        <v/>
      </c>
    </row>
    <row r="1489">
      <c r="A1489" t="inlineStr">
        <is>
          <t>駆け付ける</t>
        </is>
      </c>
      <c r="B1489" t="inlineStr">
        <is>
          <t>成功</t>
        </is>
      </c>
      <c r="C1489" t="inlineStr">
        <is>
          <t>読み方：かけつける
［動カ下一］［文］かけつ・く［カ下二］走って、または大急ぎで目的地に到着する。大急ぎでその場に行く、また、やってくる。「車で—・ける」「現場に—・ける」</t>
        </is>
      </c>
      <c r="D1489" t="inlineStr">
        <is>
          <t>走る；駆けつける</t>
        </is>
      </c>
      <c r="H1489" t="n">
        <v>29</v>
      </c>
      <c r="I1489" t="inlineStr">
        <is>
          <t>第一発見者の男性・現場に駆け付けた救急隊員の証言から新たに判明した。；脇田からの使いが駆け付けたのはそれからしばらくしてのことだった。；先生が慌てて駆け付けたときには、奥様はもうなくなられていたんです。；直後に彼女の自宅に駆け付けた警官と床に倒れているヴァルが映り込む。；駆け付けた涼子先生は五郎に結は離婚しているのと同じだと説明する。；そこは店の方から駆け付けたらしい人間で調べも何も出来ないほど一ぱいです。；投票所に着くと、周囲には学会男子部員が百人ぐらいが駆け付けていた。；近くの印刷会社の従業員が駆け付けたところ、車の中には二人の男がいた。；何人もの人達が、駆け付けた救急車に乗せられ次々と病院へ運ばれていく。；さらにそこへカルロが現れ、駆け付けたマークに向けて銃を突きつける。；二人は宙を飛んで白川鉄之助と名乗った浪人者の長屋へ駆け付けました。；通報を受けたオハイオ州の高速警察隊が駆け付け、58人が逮捕された。；僕の両親も当然実家から駆け付けていたし、教授もゼミ講の仲間も来ていた。；そんなに都合良く誰かの危機に駆け付けられるものじゃない。；死体の見つかったきっかけを聞いて、草薙は現場に駆け付ける気が失せた。；警察やマスコミが駆け付ける中、ハリーはサマンサを連れて港を後にする。；そのくせおれはもうの側まで駆け付けていたのである。；氏がいよいよ悪いとの報知があったので駆け付けると、もう息が絶えていた。；友人の俳優ジョージ・ラフトは車で駆け付け、その他俳優仲間は列車で来た。；今大会を最後に出場が途絶えているが、第34回は緑山に駆け付けていた。；路地の車に戻ろうとすると、車の周りに警察が駆け付けている光景を目撃する。；そこに十右衛門が駆け付けお梶が実の妹であったことを告げ惣太を励ます。；僕が駆け付けたときには、座席には火は入っていなかった。；事件を受けて警察本部から駆け付けた警察官によって犯人は射殺された。；すぐに助けが入り、警察が駆け付けるまでロペスは取り押さえられていた。；結局、彼は問い合わせのため自ら最高司令官である公の許に駆け付ける。；香尾里は銃声がすれば、多くの人が東屋に駆け付けられる位置にいた。；彼女の悲鳴を聞いて家の人間が駆け付けてこなければ、どういう事態になっていたかわからなかった。；どうか間違いであってくれと一縷の望みを託して彼はこの場に駆け付けてきたのである。</t>
        </is>
      </c>
      <c r="J1489">
        <f>HYPERLINK("https://www.weblio.jp/content/駆け付ける", "词义详情")</f>
        <v/>
      </c>
      <c r="K1489">
        <f>HYPERLINK("https://yourei.jp/駆け付ける", "查看例句")</f>
        <v/>
      </c>
    </row>
    <row r="1490">
      <c r="A1490" t="inlineStr">
        <is>
          <t>かけっこ</t>
        </is>
      </c>
      <c r="B1490" t="inlineStr">
        <is>
          <t>成功</t>
        </is>
      </c>
      <c r="C1490" t="inlineStr">
        <is>
          <t>読み方：かけっこ
［名］(スル)「駆け競(くら)べ」に同じ。</t>
        </is>
      </c>
      <c r="H1490" t="n">
        <v>29</v>
      </c>
      <c r="I1490" t="inlineStr">
        <is>
          <t>あなたは追いかけっこと言ったけど、私は別に逃げていたわけじゃない。；私たちは走りつかれていたことも忘れて、草の中で追いかけっこをした。；地下の施設で追いかけっこをしている間に、一昼夜が過ぎていたらしい。；昼間に散歩をしても、全速力で走る遊びや追いかけっこをしなくなった。；動物たちと追いかけっこをしているあいだに、人間の姿は消えていた。；校庭に人影がなくなるまで、娘と二人で追いかけっこをして遊んでいた。；それは、小学生がかけっこで立ったままスタートをする時のような構えだ。；それがどうして、こんなところで追いかけっこしないといけないんだろう。；間もなく二人は追っかけっこをするようにして、出窓の前を横切った。；さすがにこんな追いかけっこはアホらしいと思いはじめたときだった。；ビル少年との追いかけっこは、まるで一週間も続いたように思えた。；だって彼は叫び声をあげながら犬とかけっこをしているんです。；わたしは黙って、犬と追いかけっこをしている少女を眺めていた。；しかし実際に相撲教室で行ったことは追いかけっこのような遊びが主体であった。；地上ではいくつもの大きな影が追いかけっこをしていました。；足が長いということは、かけっこするのにかなり有利なことだった。；いつまでもここで追いかけっこを続けているわけにはいかない。；追いかけっこをするようにいくつもあがって、大きな音をたててはじける。；追いかけっこが続く中、翼は一面芝生の広がる大きな大きな広場へと入った。；攻撃してこないのは、追いかけっこを楽しむソラトへの遠慮からだろう。；昔っからおめえは俺たちと追っかけっこした仲だ。；大きな道路で追いかけっこをしている二人の姿に町中の人たち全てが振り返っていた。；倒れている僕のそばに先生の立つ気配がして、おいかけっこが終了したことを知った。；この分でいけば、国境までの追いかけっこに勝てそうな気配だった。；友達と公園で追いかけっこしたり、鉄棒で逆上がりを頑張っている自分。；どの辺からかっていうと、江利子さまと追いかけっこをしていたくらいから。；追いかけっこして遊んだかのように、斜面の雪が蹴散らされている。；おっかけっこは長く続かず、俺はたちまちのうちに教室の端に追いやられた。；僕たち電車とかけっこして来たんですよ、と叫んだ。</t>
        </is>
      </c>
      <c r="J1490">
        <f>HYPERLINK("https://www.weblio.jp/content/かけっこ", "词义详情")</f>
        <v/>
      </c>
      <c r="K1490">
        <f>HYPERLINK("https://yourei.jp/かけっこ", "查看例句")</f>
        <v/>
      </c>
    </row>
    <row r="1491">
      <c r="A1491" t="inlineStr">
        <is>
          <t>架け橋</t>
        </is>
      </c>
      <c r="B1491" t="inlineStr">
        <is>
          <t>成功</t>
        </is>
      </c>
      <c r="D1491" t="inlineStr">
        <is>
          <t>架け橋的存在；架け橋となるべく；架け橋的な役割</t>
        </is>
      </c>
      <c r="E1491" t="inlineStr">
        <is>
          <t>橋；パイプ；仲介；ブリッジ；橋梁</t>
        </is>
      </c>
      <c r="H1491" t="n">
        <v>29</v>
      </c>
      <c r="I1491" t="inlineStr">
        <is>
          <t>受賞理由は、連戦が中国と台湾の間の平和の架け橋となったことによる。；小説そのものが次の小説への架け橋になって、ここまで進んできたように思う。；未来の架け橋になることが ボクに与えられた一つの使命でもあるのだろう。；彼らの目的はオリエントとヨーロッパとの間に架け橋をつくることである。；そのほか、僕と読者の架け橋になるような楽しい企画を考えている最中です。；日本ポーランドを結ぶ友好関係の架け橋となることを目標として掲げている。；現在は地元鹿児島との架け橋になる存在へと、成長するために、東京に上京。；魂となったルリとその母の架け橋になり母を救うようシスターに命令される。；髪は神への架け橋であるから、多くて長いのが結構である。；何かの架け橋がなければ渡ってゆかれないような気がする。；そして、道は堀川にゆき当り、石の架け橋を渡ると、城の大手門があった。；線が点同士をつなぐ架け橋にでもなっているかのような、異常。；この時の経験から「外国人と日本人の間の精神的な架け橋になる」ことを意識するようになる。；そして生涯に東と西、ヨーロッパとアジアを繋ぐ架け橋が出来るように芸術の活動を続けた。；ゲーテの形象的理念は、魂の世界と物質の世界との架け橋となった。；CTTECは大学内で開発された製品を商品化し市場へ繋ぐ架け橋として設立された。；目の前に突き立ったそれは、空と大地を結ぶ架け橋となる。；またこの日の為に作られた楽曲「天と地の架け橋」も披露した。；世界中のアートムーブメントを融合させ、複数の文化の架け橋となっている。；こうした事情から「北陸と山陰との架け橋」として謳われたことがある。；番組タイトルは玄界灘にかかる虹を、日韓友好の架け橋に見立てたもの。；山本は研究者とアマチュア天文家との架け橋の役割を果たした。；明らかな対称性や他の定義の間の架け橋にることは有用である。；その架け橋は三十年ほど前から殆ど断えたといってもいい位に、朽ちながら残っていた。；二隻を結ぶ、目に見えない光の架け橋だった。；いってみれば、子どもと大人の架け橋のほうが子どもとしての期間よりもはるかに長くなっているということだ。；日本とアジアの架け橋となり、特に台湾への日本企業の進出をサポートする投資会社。；ピートルは、彼と犯罪団との唯一の架け橋だったからね。；ブログ上では、メンバーが芸能界へ進出する架け橋にする、とのスタッフ記述もあった。</t>
        </is>
      </c>
      <c r="J1491">
        <f>HYPERLINK("https://www.weblio.jp/content/架け橋", "词义详情")</f>
        <v/>
      </c>
      <c r="K1491">
        <f>HYPERLINK("https://yourei.jp/架け橋", "查看例句")</f>
        <v/>
      </c>
    </row>
    <row r="1492">
      <c r="A1492" t="inlineStr">
        <is>
          <t>賭ける</t>
        </is>
      </c>
      <c r="B1492" t="inlineStr">
        <is>
          <t>成功</t>
        </is>
      </c>
      <c r="C1492" t="inlineStr">
        <is>
          <t>読み方：かける
［動カ下一］［文］か・く［カ下二］《「掛ける」と同語源》
１勝負事や当てっこなどで、勝った者、当たった者などが取る約束で金品などを出す。「トランプに金を—・ける」
２当てっこなどで、そのほうを選ぶ。「明日の天気は『晴れ』に—・ける」
３失敗したときは、大切なものを全部失う覚悟で事に当たる。賭(と)する。「命を—・けた恋」</t>
        </is>
      </c>
      <c r="D1492" t="inlineStr">
        <is>
          <t>賭けるしかない(3%)；賭けるべき</t>
        </is>
      </c>
      <c r="E1492" t="inlineStr">
        <is>
          <t>かける；張る；綱渡り；冒す；綱わたり</t>
        </is>
      </c>
      <c r="H1492" t="n">
        <v>29</v>
      </c>
      <c r="I1492" t="inlineStr">
        <is>
          <t>あとで知ったことだが、千対一でも相手に賭けるやつがいなかったとか。；この状況では、たとえわずかでも可能性があるならそれに賭けるべきだ。；投げ入れたあとからでも賭ける客はいて、どこでもそれは許されていた。；他人の生命を救うために自分の生命のリスクを賭ける条件も同じである。；確実なものに賭けることを潔しとはしないような自信をも必要としている。；私たちが自分の命を賭けるのは、自分と自分の子供たちのためだけである。；何か賭けるだけの価値のあるものがないかと、アナは必死で考えました。；三つのサイコロを使い、九以上か、八以下のどちらかに賭けるのである。；これが命を賭ける冒険であることをわたしはよくよく承知していたのである。；少なくとも、生命を賭ける者に最も肝心な情報を与えようとはしている。；女に生涯を賭ける人間の哀れさが男二人をそうしたのでもあろうか。；また、日中協力委員会の設立には残りの人生すべてを賭ける覚悟とも述べた。；人が国のために死ぬのは、その国が生命を賭けるに値するからである。；「一人以上の生命を賭ける理由はないと思うよ」わたしはそういった。；そのすべてを犠牲にしても、この国の言葉に生涯を賭ける気であった。；あれが信じているものですから、私はあれが賭けるのを許しました。；その相手を支えていくために自らの身を賭ける決意があるのか。；仲間が喧嘩をやり、どっちが勝つか、などに賭けるのはいい方であった。；となると、手に入れるには 写本が存在する可能性に賭けるしかない。；彼がそのために賭けることではじめてひとのために生きることを知った少年だった。；それで彼女は、順々に賭けるようにと例の三枚のカードを教えてやったんだ。；それでも彼はひとつの可能性に自他の命運を賭けるしかなかったのだ。；アメリカじゃ皆が賭けるんだそうで、どこの州でも禁止になってるんだって。；それからの自分の人生を紀久子に賭ける気になったのは、そのためである。；他人に賭けるより、自分の眼と耳にだけ賭ける、本当の意味の勝負師だ。；万にひとつの可能性でもあるのなら、それに賭けるしかないんだ。；おじさんはこの30枚とは別にさらに他のものを賭けることにするよ。；いま戦って益があるとも思えんし、命を賭ける必要はどこにもない。；八々のような金銭を賭ける遊びごとは品が悪いと言って母は許しませんでした。</t>
        </is>
      </c>
      <c r="J1492">
        <f>HYPERLINK("https://www.weblio.jp/content/賭ける", "词义详情")</f>
        <v/>
      </c>
      <c r="K1492">
        <f>HYPERLINK("https://yourei.jp/賭ける", "查看例句")</f>
        <v/>
      </c>
    </row>
    <row r="1493">
      <c r="A1493" t="inlineStr">
        <is>
          <t>掛ける</t>
        </is>
      </c>
      <c r="B1493" t="inlineStr">
        <is>
          <t>成功</t>
        </is>
      </c>
      <c r="C1493" t="inlineStr">
        <is>
          <t>読み方：かける
［動カ下一］［文］か・く［カ下二］
１
㋐高い所からぶらさげる。上から下にさげる。垂らす。「すだれを—・ける」「バッグを肩に—・ける」
㋑目につくように高い所に掲げる。「看板を—・ける」「獄門に—・ける」
㋒高く上げて張る。「帆を—・ける」
２
㋐火に当てるために鍋などをつるしさげる。また、火の上にのせ置く。「ストーブにやかんを—・ける」
㋑《竿秤(さおばかり)の鉤(かぎ)につるして重さをはかるところから》目方を量る。「はかりに—・ける」
３物を一方から他方へ渡す。
㋐（「架ける」とも書く）またぐように渡す。かけわたす。「歩道橋を—・ける」
㋑細長いものを他の物のまわりに渡す。巻きつけて結ぶ。「たすきを—・ける」「リボンを—・けた箱」
㋒張り巡らすようにして組み、つくる。一時的に設営する。「クモが巣を—・ける」「小屋を—・ける」
㋓《仮小屋を作って行ったところから》芝居・見世物などを興行する。上演する。「母物を舞台に—・ける」
４
㋐他の物の上にかぶせるようにして物をのせ置く。全体におおう。「布団を—・ける」「テーブルクロスを—・ける」
㋑水や粉などを、物の上に注いだり物に打ち当たるようにしたりする。「こしょうを—・ける」「ホースで水を—・ける」
㋒建物などに火をつける。燃やす。「館(やかた)に火を—・ける」
㋓矢を放つ。「敵陣に矢を—・ける」
５曲がった物など、ある仕掛けで他の物を捕らえる。ひっかけて留める。「針に—・けて釣り上げる」「ボタンを—・ける」
６たくらんで陥れる。謀(はかりごと)を用いてだます。「罠(わな)に—・ける」「ぺてんに—・ける」
７
㋐自分で直接そのことをする。自分でそのことを扱う。「今まで手に—・けた仕事の数々」「手塩に—・けて育てる」
㋑（多く「手にかける」「人手にかける」の形で）みずから実行して始末する。殺す。「わが子を手に—・けてしまった」
８目や耳などの感覚や心の働きにとめる。
㋐（多く「目にかける」「目をかける」の形で）目に触れさせる。目にとめる。見せる。また、面倒を見る。人の世話をする。「作品をお目に—・ける」「今後とも目を—・けてやってください」
㋑（「耳にかける」の形で）聞く。「いくら懇願しても耳に—・けてもくれない」
㋒（「心にかける」などの形で）心にとめておく。心配する。「気に—・ける」
９からだのある部分で受けとめる。「教養を鼻に—・ける」「歯牙にも—・けない」
10
㋐ある働き・作用を仕向ける。また、こちらの気持ちなどを相手へ向ける。「催眠術を—・ける」「暗示に—・ける」「なぞを—・ける」「情けを—・ける」
㋑送って相手に届かせる。「電話を—・ける」「言葉を—・ける」
㋒取り付けてある仕掛けを働かせて、本体が動かないように固定する。「鍵(かぎ)を—・ける」
㋓操作を加えて機械・装置などを作動させる。「目覚ましを—・ける」「レコードを—・ける」「ブレーキを—・ける」
㋔道具を用いて他に作用を及ぼす。「アイロンを—・ける」「雑巾を—・けた廊下」
11
㋐望ましくないこと、不都合なことなどを他に与える。こうむらせる。負わせる。「苦労を—・ける」「疑いを—・ける」「迷惑を—・ける」
㋑負担すべきものとして押しつける。課する。「税金を—・ける」
12時間・費用・労力などをそのために使う。費やす。つぎ込む。「内装に金を—・ける」「手間暇—・けて」
13
㋐（多く「…から…にかけて」の形で）ある地域・時間から他の地域・時間までずっと続く。「ただ今東海地方から関東地方に—・けて地震を感じました」「今夜半から明朝に—・けて断水します」
㋑（多く「…にかけては」の形で）そのことに関する。「外交手腕に—・けては定評がある」
14力・重みなどを一方に加えのせる。力などを仕向ける。「体重を—・けて浴びせ倒す」「もみけしの圧力を—・ける」
15手などを他の物に当て添える。あてがう。「引き戸に手を—・ける」
16
㋐物のある部分を他の物の上に置いて支える。「いすにお—・けください」「肩に手を—・ける」
㋑物の上端を他の物に支えさせるようにして立てる。「屋根にはしごを—・ける」
17それに頼る。ゆだねる。また、頼って処置・世話を受けさせる。「願(がん)を—・ける」「期待を—・ける」「病人を医者に—・ける」
18議案などを取り上げるために公の場に持ち出す。「公聴会に—・ける」「裁判に—・ける」
19そこで受け止めて処理する。そこに持ち込んで取り扱う。「篩(ふるい)に—・ける」「印刷機に—・ける」「取り立ての野菜を朝市に—・ける」
20
㋐（多く「…にかけて」の形で）きわめて大切なものを証拠としてあげて、あることを約束する。「神に—・けて誓う」「面目に—・けてもあとへ引けない」
㋑保証の契約をして掛け金を払う。「保険を—・ける」
21二つ以上のものを同時に併せ持つ。兼ねる。「二股(ふたまた)を—・ける」
22同音を利用して一つの語句に二つの意味を持たせる。掛け詞にする。「和歌では多く『海松布(みるめ)』に『見る目』を—・けて用いられる」
23
㋐さらに増し加える。「馬力を—・ける」「磨きを—・ける」
㋑定まった値段にさらに加えのせる。掛け値をする。「原価に五割を—・けた値段で売る」
㋒掛け算をする。「二に三を—・けると六になる」
24交配をする。「ラバは、雌の馬に雄のロバを—・けてできた雑種である」
25ものにある性質・傾向を与える。「サーブに回転を—・ける」「シュートを—・けた内角球」
26芸妓などをよぶ。
「その芸者を—・けろ」〈荷風・つゆのあとさき〉
27測って比べる。
「筒井つの井筒に—・けしまろが丈(たけ)過ぎにけらしな妹(いも)見ざる間に」〈伊勢・二三〉
28たとえる。かこつける。
「細石(さざれいし)にたとへ、筑波山に—・けて君を願ひ」〈古今・仮名序〉
29目標にする。
「眉のごと雲居に見ゆる阿波の山—・けて漕ぐ舟泊り知らずも」〈万・九九八〉
30船を停泊させる。係留する。
「港ニ船ヲ—・クル」〈日葡〉
31掛け売りにする。
「—・くるとは二文や五文のこと候ふよ」〈咄・醒睡笑・四〉
32他の動詞の連用形のあとに付いて用いる。
㋐…しはじめる、途中まで…する、今にも…しそうになるの意を表す。「言い—・けてやめる」「死に—・ける」
㋑他へ働きを仕向ける意を表す。「仲間に呼び—・ける」「押し—・ける」
[下接句]後足で砂をかける・命を懸ける・腕に縒(よ)りを掛ける・御土砂(おどしゃ)を掛ける・御目(おめ)に掛ける・思いを掛ける・鎌(かま)を掛ける・口に掛ける・口を掛ける・口の端(は)に掛ける・財布の紐(ひも)を頸(くび)に懸けるよりは心に懸けよ・歯牙(しが)にもかけない・尻(しり)に帆を掛ける・後目(しりめ)に懸ける・之繞(しんにゅう)を掛ける・手に掛ける・手を掛ける・手塩に掛ける・天秤(てんびん)に掛ける・謎(なぞ)を掛ける・縄を掛ける・秤(はかり)に掛ける・拍車を掛ける・橋を掛ける・発破を掛ける・鼻に掛ける・馬力を掛ける・篩(ふるい)に掛ける・股(また)に掛ける・磨きを掛ける・水を掛ける・目に掛ける・目を掛ける・モーションを掛ける・山を掛ける・輪に輪を掛ける・輪を掛ける</t>
        </is>
      </c>
      <c r="D1493" t="inlineStr">
        <is>
          <t>掛けるべき；掛けるべく；掛けるよう命令；掛ける間もなく</t>
        </is>
      </c>
      <c r="E1493" t="inlineStr">
        <is>
          <t>務める；かける；入れる；プレー；再生</t>
        </is>
      </c>
      <c r="F1493" t="inlineStr">
        <is>
          <t>引掛ける</t>
        </is>
      </c>
      <c r="H1493" t="n">
        <v>29</v>
      </c>
      <c r="I1493" t="inlineStr">
        <is>
          <t>顧客が業者に広告された保証を守るように圧力を掛ける多くの方法がある。；掛け算九九のうち掛ける数と掛けられる数が同じものを平方九九という。；この関係を使い、変換元の単位や量に1を次々と掛ける形式で計算する。；遠い未来で文明崩壊した弱肉強食の世界の中で僅かな希望に掛ける男。；腰を掛けると、椅子の背がバネ仕掛けでうしろへそるようになっていた。；ただしこれは歩行補助の目的ではなく体重を掛ける設計になっていない。；グラントは天候や道路の状態に関係なく、前に圧力を掛けるよう勧めた。；理由は速く強く掛けると掛けられた方は膝を負傷することが多いためである。；窓へ腰を掛けると、少し小高くなつた丘から、直ぐ目の前の海が見える。；反対側の柱の左右にも同じようにして、八角花形の魔除けの鏡を掛ける。；しかしイギリス政府はなお戦争指導者を裁判に掛けることには反対していた。；持ち運ぶもの、室内に置くもの、壁に掛けるものなど様々な種類がある。；狙って掛ける技ではなく、失敗した大外刈の誤魔化しがほとんどである。；そこでわたしもどうもその若いのに詞を掛けるわけには行かなかつたのです。；楕円曲線上の点と点を掛けるのではなく、点に整数を掛けることに注意。；テキサス州議会はこの案を次の州全体の住民投票に掛けることに同意した。；初期のトボガンは木製で、平たい木板と手を掛ける綱のみで出来ていた。；上の選手が有利なポジションであり、さまざまな技を掛けることができる。；だから今度はみんなに元気になってほしいと励ましの言葉を掛ける。；ただ私のことでお前に心配を掛けるのをすまないと思っています。；グループが異なっていても、掛ける方向によっては無料の場合がある。；これを可能にするために開拓地の初期には多くの手数を掛ける必要があった。；これを受けてスタッフはスタジオの窓にカーテンを掛けるなど対応に追われた。；また、日本では著名人が他人の注目を集めたくない場面で掛けることも多い。；後の先とは、剣術用語で相手が仕掛けてきた技に合わせて掛ける技である。；要するに、私たちが教育を受けることは両親に費用を掛けることです。；この袋は首から下げるのが通常だが、戦闘時には肩から掛けることが多かった。；南軍の予備隊はシティポイントの方向に主攻撃を掛ける命令を待っていた。；そのおかげでようやく契約者数の減少に歯止めを掛けることができた。</t>
        </is>
      </c>
      <c r="J1493">
        <f>HYPERLINK("https://www.weblio.jp/content/掛ける", "词义详情")</f>
        <v/>
      </c>
      <c r="K1493">
        <f>HYPERLINK("https://yourei.jp/掛ける", "查看例句")</f>
        <v/>
      </c>
    </row>
    <row r="1494">
      <c r="A1494" t="inlineStr">
        <is>
          <t>架ける</t>
        </is>
      </c>
      <c r="B1494" t="inlineStr">
        <is>
          <t>成功</t>
        </is>
      </c>
      <c r="C1494" t="inlineStr">
        <is>
          <t>読み方：かける
［動カ下一］［文］か・く［カ下二］
１
㋐高い所からぶらさげる。上から下にさげる。垂らす。「すだれを—・ける」「バッグを肩に—・ける」
㋑目につくように高い所に掲げる。「看板を—・ける」「獄門に—・ける」
㋒高く上げて張る。「帆を—・ける」
２
㋐火に当てるために鍋などをつるしさげる。また、火の上にのせ置く。「ストーブにやかんを—・ける」
㋑《竿秤(さおばかり)の鉤(かぎ)につるして重さをはかるところから》目方を量る。「はかりに—・ける」
３物を一方から他方へ渡す。
㋐（「架ける」とも書く）またぐように渡す。かけわたす。「歩道橋を—・ける」
㋑細長いものを他の物のまわりに渡す。巻きつけて結ぶ。「たすきを—・ける」「リボンを—・けた箱」
㋒張り巡らすようにして組み、つくる。一時的に設営する。「クモが巣を—・ける」「小屋を—・ける」
㋓《仮小屋を作って行ったところから》芝居・見世物などを興行する。上演する。「母物を舞台に—・ける」
４
㋐他の物の上にかぶせるようにして物をのせ置く。全体におおう。「布団を—・ける」「テーブルクロスを—・ける」
㋑水や粉などを、物の上に注いだり物に打ち当たるようにしたりする。「こしょうを—・ける」「ホースで水を—・ける」
㋒建物などに火をつける。燃やす。「館(やかた)に火を—・ける」
㋓矢を放つ。「敵陣に矢を—・ける」
５曲がった物など、ある仕掛けで他の物を捕らえる。ひっかけて留める。「針に—・けて釣り上げる」「ボタンを—・ける」
６たくらんで陥れる。謀(はかりごと)を用いてだます。「罠(わな)に—・ける」「ぺてんに—・ける」
７
㋐自分で直接そのことをする。自分でそのことを扱う。「今まで手に—・けた仕事の数々」「手塩に—・けて育てる」
㋑（多く「手にかける」「人手にかける」の形で）みずから実行して始末する。殺す。「わが子を手に—・けてしまった」
８目や耳などの感覚や心の働きにとめる。
㋐（多く「目にかける」「目をかける」の形で）目に触れさせる。目にとめる。見せる。また、面倒を見る。人の世話をする。「作品をお目に—・ける」「今後とも目を—・けてやってください」
㋑（「耳にかける」の形で）聞く。「いくら懇願しても耳に—・けてもくれない」
㋒（「心にかける」などの形で）心にとめておく。心配する。「気に—・ける」
９からだのある部分で受けとめる。「教養を鼻に—・ける」「歯牙にも—・けない」
10
㋐ある働き・作用を仕向ける。また、こちらの気持ちなどを相手へ向ける。「催眠術を—・ける」「暗示に—・ける」「なぞを—・ける」「情けを—・ける」
㋑送って相手に届かせる。「電話を—・ける」「言葉を—・ける」
㋒取り付けてある仕掛けを働かせて、本体が動かないように固定する。「鍵(かぎ)を—・ける」
㋓操作を加えて機械・装置などを作動させる。「目覚ましを—・ける」「レコードを—・ける」「ブレーキを—・ける」
㋔道具を用いて他に作用を及ぼす。「アイロンを—・ける」「雑巾を—・けた廊下」
11
㋐望ましくないこと、不都合なことなどを他に与える。こうむらせる。負わせる。「苦労を—・ける」「疑いを—・ける」「迷惑を—・ける」
㋑負担すべきものとして押しつける。課する。「税金を—・ける」
12時間・費用・労力などをそのために使う。費やす。つぎ込む。「内装に金を—・ける」「手間暇—・けて」
13
㋐（多く「…から…にかけて」の形で）ある地域・時間から他の地域・時間までずっと続く。「ただ今東海地方から関東地方に—・けて地震を感じました」「今夜半から明朝に—・けて断水します」
㋑（多く「…にかけては」の形で）そのことに関する。「外交手腕に—・けては定評がある」
14力・重みなどを一方に加えのせる。力などを仕向ける。「体重を—・けて浴びせ倒す」「もみけしの圧力を—・ける」
15手などを他の物に当て添える。あてがう。「引き戸に手を—・ける」
16
㋐物のある部分を他の物の上に置いて支える。「いすにお—・けください」「肩に手を—・ける」
㋑物の上端を他の物に支えさせるようにして立てる。「屋根にはしごを—・ける」
17それに頼る。ゆだねる。また、頼って処置・世話を受けさせる。「願(がん)を—・ける」「期待を—・ける」「病人を医者に—・ける」
18議案などを取り上げるために公の場に持ち出す。「公聴会に—・ける」「裁判に—・ける」
19そこで受け止めて処理する。そこに持ち込んで取り扱う。「篩(ふるい)に—・ける」「印刷機に—・ける」「取り立ての野菜を朝市に—・ける」
20
㋐（多く「…にかけて」の形で）きわめて大切なものを証拠としてあげて、あることを約束する。「神に—・けて誓う」「面目に—・けてもあとへ引けない」
㋑保証の契約をして掛け金を払う。「保険を—・ける」
21二つ以上のものを同時に併せ持つ。兼ねる。「二股(ふたまた)を—・ける」
22同音を利用して一つの語句に二つの意味を持たせる。掛け詞にする。「和歌では多く『海松布(みるめ)』に『見る目』を—・けて用いられる」
23
㋐さらに増し加える。「馬力を—・ける」「磨きを—・ける」
㋑定まった値段にさらに加えのせる。掛け値をする。「原価に五割を—・けた値段で売る」
㋒掛け算をする。「二に三を—・けると六になる」
24交配をする。「ラバは、雌の馬に雄のロバを—・けてできた雑種である」
25ものにある性質・傾向を与える。「サーブに回転を—・ける」「シュートを—・けた内角球」
26芸妓などをよぶ。
「その芸者を—・けろ」〈荷風・つゆのあとさき〉
27測って比べる。
「筒井つの井筒に—・けしまろが丈(たけ)過ぎにけらしな妹(いも)見ざる間に」〈伊勢・二三〉
28たとえる。かこつける。
「細石(さざれいし)にたとへ、筑波山に—・けて君を願ひ」〈古今・仮名序〉
29目標にする。
「眉のごと雲居に見ゆる阿波の山—・けて漕ぐ舟泊り知らずも」〈万・九九八〉
30船を停泊させる。係留する。
「港ニ船ヲ—・クル」〈日葡〉
31掛け売りにする。
「—・くるとは二文や五文のこと候ふよ」〈咄・醒睡笑・四〉
32他の動詞の連用形のあとに付いて用いる。
㋐…しはじめる、途中まで…する、今にも…しそうになるの意を表す。「言い—・けてやめる」「死に—・ける」
㋑他へ働きを仕向ける意を表す。「仲間に呼び—・ける」「押し—・ける」
[下接句]後足で砂をかける・命を懸ける・腕に縒(よ)りを掛ける・御土砂(おどしゃ)を掛ける・御目(おめ)に掛ける・思いを掛ける・鎌(かま)を掛ける・口に掛ける・口を掛ける・口の端(は)に掛ける・財布の紐(ひも)を頸(くび)に懸けるよりは心に懸けよ・歯牙(しが)にもかけない・尻(しり)に帆を掛ける・後目(しりめ)に懸ける・之繞(しんにゅう)を掛ける・手に掛ける・手を掛ける・手塩に掛ける・天秤(てんびん)に掛ける・謎(なぞ)を掛ける・縄を掛ける・秤(はかり)に掛ける・拍車を掛ける・橋を掛ける・発破を掛ける・鼻に掛ける・馬力を掛ける・篩(ふるい)に掛ける・股(また)に掛ける・磨きを掛ける・水を掛ける・目に掛ける・目を掛ける・モーションを掛ける・山を掛ける・輪に輪を掛ける・輪を掛ける</t>
        </is>
      </c>
      <c r="D1494" t="inlineStr">
        <is>
          <t>務める；プレー；引く；演じる；遊ぶ</t>
        </is>
      </c>
      <c r="H1494" t="n">
        <v>29</v>
      </c>
      <c r="I1494" t="inlineStr">
        <is>
          <t>同年中に全体を撤去し、その後似た形の橋を新たに架ける計画であった。；いつ頃架けられたかは不明であるが、記録の残るものは下記のとおり。；戦前は電車専用の橋であったが、戦後に現在の併用橋に架け替えられた。；この橋は古くなったり、火事にあったりして何度か架け替えられている。；この伝説では、息子の死を悲しむレメクがその死体を木に架けたという。；中国の呉の人が架けたと伝えられ、これが橋の名の由来となっている。；彼は大きな橋を架けたいと思っていたが、当時のドイツでは不可能であった。；部屋の後ろの壁は陰になっていて、絵が列になって架けられている。；その後交通量が増加したため、現在の橋に架けかえられることになった。；これにも、高い橋を架ける案と低い橋を架ける案の二つの案があった。；由来は橋を架けた場所に建っていた屋敷に大きな榎があったことから。；初代の橋の老朽化が顕著になってきたため、橋を架け直すこととなった。；州を越えて移動するために多くの橋が架けられトンネルが掘られた。；蓮池は第一駐車場のすぐそばにある池で、中央に橋が架けられている。；隣の長崎駅前停留場との間には路線の開業より軌道専用橋が架けられていた。；橋の大半は第二次世界大戦で破壊された後架け直されたものである。；ただし、流失した橋の親柱は一部が架けなおされた橋の側に残されている。；また只見川を挟んだ対岸の川井集落との間に歳時記橋が架けられている。；王貢は最初馬の背上にて脚を横に架け、傲慢で無礼な態度を取っていた。；この場所に最初に橋が架けられたのは江戸時代の中期、1698年とされる。；普段は常に帯刀し高座の刀架けに脇差をのせてから話し始めたといわれる。；両地区の間には日本のODA援助によりバイチャイ橋が架けられている。；旧線の鉄橋は吊橋に架け替えられており、現路線の鉄橋と並行している。；ただし、校舎同士は空中に架けられている渡り廊下でつながっている。；滝の直下には橋が架けられており、ここから滝を眺めることが出来る。；大勢の人々が彼女が晒し台に架けられているのを見物にやって来た。；橋の上流側すぐ隣には自転車・歩行者用の橋が架けられている。；既にあったが離れすぎていたナシオナル橋とベルシー橋の間に架けられた。；老朽化と損傷が著しく、早急に架け替えが必要な橋も多数存在していた。</t>
        </is>
      </c>
      <c r="J1494">
        <f>HYPERLINK("https://www.weblio.jp/content/架ける", "词义详情")</f>
        <v/>
      </c>
      <c r="K1494">
        <f>HYPERLINK("https://yourei.jp/架ける", "查看例句")</f>
        <v/>
      </c>
    </row>
    <row r="1495">
      <c r="A1495" t="inlineStr">
        <is>
          <t>欠ける</t>
        </is>
      </c>
      <c r="B1495" t="inlineStr">
        <is>
          <t>成功</t>
        </is>
      </c>
      <c r="C1495" t="inlineStr">
        <is>
          <t>読み方：かける
［動カ下一］［文］か・く［カ下二］
１かたい物の一部分が壊れてとれる。「コップが—・ける」「歯が—・ける」
２そろうべきものの一部分、または必要なものが抜けている。脱落する。「メンバーが一人—・ける」「百科事典が一巻—・けている」
３あって当然のものが必要なだけない。足りない。不足する。「千円に一円—・ける」「常識に—・ける」「協調性に—・ける」
４なすべきことをしていない。おろそかになる。「礼儀に—・ける」「義理に—・ける」
５（「虧ける」とも書く）満月が次第に円形でなくなる。「月が—・ける」⇔満ちる。</t>
        </is>
      </c>
      <c r="D1495" t="inlineStr">
        <is>
          <t>欠けることなく；欠ける可能性；欠ける事なく</t>
        </is>
      </c>
      <c r="E1495" t="inlineStr">
        <is>
          <t>ない；不足；足りない；乏しい；欠く</t>
        </is>
      </c>
      <c r="F1495" t="inlineStr">
        <is>
          <t>欠けるという指摘；著しく欠ける；欠けるという理由；欠けるという批判；ちょっと欠ける</t>
        </is>
      </c>
      <c r="H1495" t="n">
        <v>29</v>
      </c>
      <c r="I1495" t="inlineStr">
        <is>
          <t>若い方の男の顔には自然さに欠けると判断されるような冷静さがあった。；一人でも欠ければ榊原たちの立場が悪くなることは容易に想像がついた。；一般に俳優ひとりが欠けるだけでも舞台や撮影が成立しなくなってしまう。；たぶん家元へ向ってのわたくしに花嫁候補の資格が欠けるためでしょう。；螺塔は僅かに突出するが、成長すると体層のみを残し欠けることが多い。；但し、自己のためにする意思が欠けるときは成立するとした判例もある。；証拠といってもおふみの証言ただ一つであり、決定的な証拠にも欠ける。；名称の起源には様々な説があるが、どの説も決め手に欠けるとされる。；この績、道を聞くに全く欠ける所無く、唯一の聖人であると思いました。；しかし、これでは地域ブランドの保護に欠けるという問題が生じていた。；運転手と銃手はどちらか一方でも欠けると指揮車が出撃できなくなる。；音楽や作品のエネルギーは評価されたが、感情の深さに欠けると批判された。；それは大和の豪族が出なければ願主が出ないから、祭りの要素が欠ける。；同作は魅力に欠ける前作とは異なり、観客を満足させ得る続編となっている。；ただしこの分離機構のため構造が複雑化し、頑強さに欠けるとの指摘もある。；曲はピアノが表層的な動きをするだけの、深みに欠ける音楽となっている。；しかも江戸初期以前には「宿」と書くためにますますこの説の信用は欠ける。；彼らは、従来の政治的意識に欠ける研究者を「政治地理学者」と呼んだ。；これらの性質に欠けるなら、よい品物と呼ぶことは出来ないでありましょう。；日本産ウミニナ類の中では、大型で殻頂が欠ける点で他種と区別できる。；ただし、数量の変化が反映されないため正確性に欠ける場合がある。；堅さには欠けるが、左金を用いて攻めを強力にすることができる。；何はなくともこれさえあれば小説家として欠けるところはないとも言える。；陶片はしばしば、耐久性に欠けるパピルスの代わりに通信に用いられた。；これらの毎日三回の祈りは、哲学性には欠けるが、相当な量になる。；困ったなと思うが、四人の中の一人として欠けるわけに行かない。；正規の座席だけでは収容の柔軟性に欠ける面もあることから設置されることが多い。；彼女は情愛に欠けるように見えるが、これはほとんど見せかけに過ぎない。；他の3隊も拠点攻撃に成功し、作戦部隊は一人も欠けることなく全員帰還する。</t>
        </is>
      </c>
      <c r="J1495">
        <f>HYPERLINK("https://www.weblio.jp/content/欠ける", "词义详情")</f>
        <v/>
      </c>
      <c r="K1495">
        <f>HYPERLINK("https://yourei.jp/欠ける", "查看例句")</f>
        <v/>
      </c>
    </row>
    <row r="1496">
      <c r="A1496" t="inlineStr">
        <is>
          <t>駆ける</t>
        </is>
      </c>
      <c r="B1496" t="inlineStr">
        <is>
          <t>成功</t>
        </is>
      </c>
      <c r="C1496" t="inlineStr">
        <is>
          <t>読み方：かける
［動ラ五（四）］
１鳥や飛行機などが、空高く飛ぶ。飛翔(ひしょう)する。「大空を—・る鷲(わし)」
２（駆ける）速く走る。
「血眼になって行手を見つめて—・って居るさまは」〈寅彦・伊太利人〉
３和歌で、心の動きが鋭く表れる。
「鈍く眠り目なる歌人には、—・りたるかたを学べと」〈ささめごと〉</t>
        </is>
      </c>
      <c r="D1496" t="inlineStr">
        <is>
          <t>駆ける少年ハンターたち</t>
        </is>
      </c>
      <c r="F1496" t="inlineStr">
        <is>
          <t>天駆ける；向かって駆ける；半ば駆ける；駆ければ駆ける；追駆ける</t>
        </is>
      </c>
      <c r="H1496" t="n">
        <v>29</v>
      </c>
      <c r="I1496" t="inlineStr">
        <is>
          <t>すると、すぐに戸が開いて、だれかこちらへ駆けてくる足音がしました。；彼女は階段を駆け下り、靴を落としてしまうが急いで拾って去っていく。；さきほどまでの自分の位置へ駆け戻りながら、今度は洋介が声を上げた。；自分の眼の前を、追われるように夢中で駆けて行く男の姿を見たのだ。；これにお角は目を回し、長兵衛はびっくりして自分の家へと駆けてゆく。；でもそんなのに目もくれず家士らは列の左右を駆けって乗物に近寄った。；私は駆けながら、私自身を探しているかのような錯覚に陥っていました。；あんな重そうな鎧を着たまま駆けることができるなんて、人間ではない。；空を切って駆ける二つの黒い塊がみるみる笹原の向こうに消えて行った。；わたしはあなたを追って、雨の中をここまで駆けてきたのでしょうか。；でも、わたくしは食堂にいたのですが、すぐに階段を駆け上りました。；そこを抜けた瞬間、もうひとつの自分の人生の記憶が頭を駆け巡った。；下着姿になり、脱いだ服を片手に持ち、彼女は奥の階段を駆け上がった。；線路をまたいでいる簡単な建物を向こうへ越えていき、階段を駆け降りた。；両親、兄弟は不明だが、父は世界中を駆け巡った船乗りであったという。；しかしタールトンはワシントンの馬に銃を放って、駆け去ってしまった。；仕方なく崩れ落ちたばかりの断崖絶壁を駆け下り妻良山へ登っていった。；この頃にはグスタフ・アドルフ戦死の噂が戦場を駆け巡り始めていた。；その裾を翻して進む姿は、野を駆ける獣のような美しさを体現している。；敵集団に向かって駆ける一瞬の間に、スカルダは考えをめぐらせていた。；今では兄弟で駆けっこをしてもサイモンが負けることは滅多になかった。；トラクターに乗った父親に向かって、畑を横切って駆けていった彼の姿を。；僕は頭に血が上って、駆け下りるや外を突っ切って走っていきました。；駆けて、駆けていったら、今夜の中にもいかれないことはないと思われました。；事故当時、小山は前記国道1号線を駆け下りていたところだったという。；車が急停止すると、モンタギュ卿が飛び出して、道路を必死に駆け始めた。；湯浅隊は大田街道右側の小山を駆け下りて敵の側面から攻撃し撃退した。；湯浅隊は大田街道右側の小山を駆け下りて敵の側面より攻撃し撃退した。；拒まれていると確実に意識した溝口は、戸外に飛び出し山の方へ駆けた。</t>
        </is>
      </c>
      <c r="J1496">
        <f>HYPERLINK("https://www.weblio.jp/content/駆ける", "词义详情")</f>
        <v/>
      </c>
      <c r="K1496">
        <f>HYPERLINK("https://yourei.jp/駆ける", "查看例句")</f>
        <v/>
      </c>
    </row>
    <row r="1497">
      <c r="A1497" t="inlineStr">
        <is>
          <t>加減</t>
        </is>
      </c>
      <c r="B1497" t="inlineStr">
        <is>
          <t>成功</t>
        </is>
      </c>
      <c r="C1497" t="inlineStr">
        <is>
          <t>読み方：かげん
［名］(スル)
１加えることと減らすこと。数学で、加法と減法。
２適度に調節すること。程よくすること。「暖房を—する」「—して採点する」
３物事の状態・程度。物のぐあい。「風の—で波の音が聞こえる」「湯の—をみる」
４からだのぐあい。健康状態。「お—はいかが」「—が悪い」
［接尾］動詞の連用形や状態を表す名詞に付く。
１ぐあい・程度の意を表す。「焼き—」「塩—」
２そのような傾向、そのような気味である、の意を表す。「うつむき—」
３ちょうどよい程度である、の意を表す。「ちょうど食べ—のメロン」「入り—の湯」</t>
        </is>
      </c>
      <c r="D1497" t="inlineStr">
        <is>
          <t>加減速性能；加減弁；加減速時；加減にあしらつて；加減速車両</t>
        </is>
      </c>
      <c r="F1497" t="inlineStr">
        <is>
          <t>加減速；よい加減；お加減；力加減；好加減</t>
        </is>
      </c>
      <c r="G1497" t="inlineStr">
        <is>
          <t>加減算</t>
        </is>
      </c>
      <c r="H1497" t="n">
        <v>29</v>
      </c>
      <c r="I1497" t="inlineStr">
        <is>
          <t>それが今まで聞えなかったのは、大方風の加減か何かだったのでしょう。；兄は妹の馬鹿さ加減を多少知っているから、そんな嘘はとても信じない。；また、力を加減すれば記憶や精神の一部だけを破壊することも可能である。；僕は善い加減な返事をしながら、だんだんこの散歩を苦にし出しました。；この分離法として加減算法とSSKFを用いられた方式とが検討された。；さて、その次に考えられますことは、ものの加減ということであります。；だからわたしの方でこそ、自分を表出するためにそれを加減すべきである。；グラナドスは大きな目を半ば閉じ加減にして夢見るような抑揚で話した。；マラリヤだなんて近所の醫者がよい加減の事を言つてゐたらしいのだ。；私の優しさは、私の全貌を加減せずに学生たちに見せてやる事なのだ。；其の講師はそれを見ると、急に話をいい加減に端折つて講壇から下りた。；お前は、おれが病気になるたびに、自分も加減が悪いと称して寝てしまふ。；後の方はいい加減のところで間に合わせて折を見てなんとでもすることができる。；一家の人間は彼のことを力加減を知らないゴリラみたいな男だったと語っている。；それに合せて細く加減して声を出している初老近い男の声があります。；ときどきは見張りをひどくいい加減にやるようなグループがあった。；老いた母親が聴いてゐると思へば、演説もいい加減の事は言へなかつた。；身を洗う時の水の温度加減や時間で、身の風味や食感をやや調節できる。；彼が、いゝ加減なことを云っているとは、どうしても思われなかった。；と云ふものは、私の心を欺いて可い加減のことをするわけには参らぬ。；あなたが余りあの人に思いを掛けたからそれでよい加減な事をいってごまかしたんだ。；あるいはその中から、君の耄碌さ加減が飛び出して来んとも限らんからね。；すると、どういふ加減だつたか、私はふと妙に醒めたやうな心持になつた。；たびたびの経験こそ、加減の先生であると言ってよいかと思います。；何がなしに体の加減が良くないので、立つてゐても力が無い。；その時三番の水原がどうした加減か大きなスプラッシュを一つした。；どこか加減が悪いとかで、部屋から一歩も外へ出ないんです。；手首は火の廻りかなんかの加減で、燃え残っていたのではなかろうか。；こんな惡風をこれまで廢させなかつた歴代の王の無分別さ加減が分らない。</t>
        </is>
      </c>
      <c r="J1497">
        <f>HYPERLINK("https://www.weblio.jp/content/加減", "词义详情")</f>
        <v/>
      </c>
      <c r="K1497">
        <f>HYPERLINK("https://yourei.jp/加減", "查看例句")</f>
        <v/>
      </c>
    </row>
    <row r="1498">
      <c r="A1498" t="inlineStr">
        <is>
          <t>過去</t>
        </is>
      </c>
      <c r="B1498" t="inlineStr">
        <is>
          <t>成功</t>
        </is>
      </c>
      <c r="C1498" t="inlineStr">
        <is>
          <t>読み方：かこ
１現在より以前の時。過ぎ去った時。昔。「—を振り返る」
２好ましくない経歴・前歴。「—を清算する」
３仏語。三世(さんぜ)の一。この世に生まれる前の世。前世。過去世。
４文法で、ある時点（一般には現在）よりも以前の動作・状態を表す言い方。動詞の連用形に、文語では助動詞「き」「けり」、口語では助動詞「た」などを付けて言い表す。なお、英語などでは動詞の時制の一とする。</t>
        </is>
      </c>
      <c r="D1498" t="inlineStr">
        <is>
          <t>過去数；過去作品；過去保有；過去編；過去最長</t>
        </is>
      </c>
      <c r="E1498" t="inlineStr">
        <is>
          <t>歴史；由来；昔；物語；従来</t>
        </is>
      </c>
      <c r="F1498" t="inlineStr">
        <is>
          <t>暗い過去；辛い過去；そうした過去；悲しい過去；忌まわしい過去</t>
        </is>
      </c>
      <c r="G1498" t="inlineStr">
        <is>
          <t>過去作；過去帳；過去形；過去最大；過去最多</t>
        </is>
      </c>
      <c r="H1498" t="n">
        <v>29</v>
      </c>
      <c r="I1498" t="inlineStr">
        <is>
          <t>過去に認定されていたが、現在では認定されていない記録の例を挙げる。；今日ではあまり行われていないスタイルも、過去には数多く存在していた。；アフガニスタンの環境問題は過去数十年の政治的混乱より以前からある。；火星の過去の居住性や現存する生命の可能性を評価する調査が行われている。；過去にインターネットで歴代キャラクターの人気投票を実施していた。；本作品では、過去のシリーズとは異なる独自の要素が多く見られる。；過去のそれより小さい距離で起きた事象を我々は観測できていない。；ただ、ある程度は、時間の周期的な側面が神話の過去にも存在していた。；万葉線に在籍している車両および過去に在籍した車両は以下の通り。；過去のライブ映像やインタビューなどで使用が確認されているものを挙げる。；過去、熱に関してはその源として熱素なるものの存在が信じられていた。；名古屋鉄道が過去にホームライナーに相当する列車を運行していた。；ナイジェリアの地には過去数千年間に多数の王国や部族国家が存在してきた。；激しかった怪獣との戦いが過去のものとなり、地球には平和が続いていた。；過去には飼い犬が殺されたり、人が噛まれたりしており注意が必要である。；ストーンズは過去に発表した作品が再び1位を獲得した初のバンドとなった。；また過去には損害保険代理店業務・旅行業者の代理店業務を行っていた。；前述したが、過去には8500系に組み込まれていた車両も存在した。；この変化から、過去の地球磁場がどのように変化したかを知ることができる。；このほかにも、過去のフジテレビで使われた演奏曲も使われている。；過去は振り返らないようにしており、常に新しいことへ挑戦する姿勢だった。；過去独立して存在していたジャスダックも株式会社形態であった。；また過去の時代の庶民の姿を題材としたものを「時代世話」とも呼んでいた。；北海道の中では雪は少なく、過去最深積雪も115cmと1m強である。；過去には荒河かしの木台駅や大江山口内宮駅発着の列車が設定されていた。；しかし、過去に目を閉ざす者は結局のところ現在にも盲目となります。；過去に演奏されたスタイルと、現在も演奏されているスタイルの双方を掲載している。；横溝正史は過去に発表した作品を改稿して新たな作品とすることが多くあった。；過去には以下の方式が用いられたが、2022年時点でいずれも使用駅はない。</t>
        </is>
      </c>
      <c r="J1498">
        <f>HYPERLINK("https://www.weblio.jp/content/過去", "词义详情")</f>
        <v/>
      </c>
      <c r="K1498">
        <f>HYPERLINK("https://yourei.jp/過去", "查看例句")</f>
        <v/>
      </c>
    </row>
    <row r="1499">
      <c r="A1499" t="inlineStr">
        <is>
          <t>籠</t>
        </is>
      </c>
      <c r="B1499" t="inlineStr">
        <is>
          <t>成功</t>
        </is>
      </c>
      <c r="C1499" t="inlineStr">
        <is>
          <t>読み方：かご
１竹・籐(とう)・柳、または針金などを編んで作った入れ物。「買い物—」「—の鳥」
２エレベーターの箱形室（ケージ）や、ロープウエーの客室、気球の搭乗室（ゴンドラ）などのこと。</t>
        </is>
      </c>
      <c r="D1499" t="inlineStr">
        <is>
          <t>籠めて(4%)；籠もる(3%)；籠絡(2%)；籠められ(2%)；籠つて</t>
        </is>
      </c>
      <c r="E1499" t="inlineStr">
        <is>
          <t>バスケット；篭；手籠；手かご</t>
        </is>
      </c>
      <c r="F1499" t="inlineStr">
        <is>
          <t>灯籠；参籠；竹籠；屑籠；手籠</t>
        </is>
      </c>
      <c r="G1499" t="inlineStr">
        <is>
          <t>籠り；籠る；籠城戦；籠手；籠ら</t>
        </is>
      </c>
      <c r="H1499" t="n">
        <v>29</v>
      </c>
      <c r="I1499" t="inlineStr">
        <is>
          <t>しかも不思議なことに、その魚籠にはなぜか濡れた砂がいつもついていた。；定家はそのようなことになった場合は籠居すれば良い、と返答している。；竹や木材などを使って、魚などが入りやすく、出にくい構造に作った籠。；このために現在でも、この灯籠の受け皿には無数の刀傷が残されている。；戦う目的を無くしてしまった青年の心に入ってきた城ヶ崎は籠絡に成功。；紀元前に使われていた似た物として、籠や糸の織物などが存在していた。；古代、釣瓶は字の如く土器を竹籠に入れそれを釣り下げて利用していた。；なお、同様の道具でも ある程度深いものは籠と呼ばれる事が多い。；海外では、香港にも「籠の家」と呼ばれる同様の施設があるとされている。；フォーク、ナイフは籠に入れられずに一本一本テーブルに並べられる。；切籠または奉燈と呼ばれる切子灯籠を使うことを特徴とするものである。；王に籠を見せるように言われて差し出すと、中にはバラの花が入っていた。；アメリカ標準型戦艦の特徴だった籠マストは前後とも撤去されている。；埃っぽい店の中を物色していると、布で覆われた籠から歌が聞こえてきた。；台車は、一つの織られた籠と頑丈な三片設計の車輪から構成されていた。；中の間の床脇の地袋の戸に描かれた鸚鵡と果物籠の図は呉春の筆である。；そこでフローラは、触れた女が自然に子を身籠もる魔法の花を与えた。；信長の命令に背き、信貴山城に立て籠もり再び対決姿勢を明確に表した。；しかも、魚籠の中には、重い砂ではなく、魚の姿で溢れんばかりであった。；しかし、家路につき、魚籠を覘けば、やはり大量の砂があるだけだった。；この時、新堀城に立て籠もっていた十河一行と香西長信が戦死している。；しかし安定の住民であった楊条が、他の住民を連れて月支城に立て籠もった。；農園のある地域では籠の材料の種類も豊富で、籠編み技術にも影響を与えた。；なお、薬師堂の前には湯治客が如来に願掛けするための籠堂も現存する。；夏家の人はお骨を拾い、丁寧に布で包み、籠に納めて改めて祀っている。；家定がしばしば籠居した背景には一条内経との争いが関係しているようである。；そのときに用いた大名籠や法被、奴の道具などは今も残っている。；先に挙げた12世紀の画像420の段階ではもう寝所は塗籠の外であった。；しかし、重い思いをして運んだ魚籠には魚一匹の姿もない。</t>
        </is>
      </c>
      <c r="J1499">
        <f>HYPERLINK("https://www.weblio.jp/content/籠", "词义详情")</f>
        <v/>
      </c>
      <c r="K1499">
        <f>HYPERLINK("https://yourei.jp/籠", "查看例句")</f>
        <v/>
      </c>
    </row>
    <row r="1500">
      <c r="A1500" t="inlineStr">
        <is>
          <t>火口</t>
        </is>
      </c>
      <c r="B1500" t="inlineStr">
        <is>
          <t>成功</t>
        </is>
      </c>
      <c r="C1500" t="inlineStr">
        <is>
          <t>読み方：かこう
１火山の、噴出物が放出される開口部。噴火口。
２ボイラーの火のたき口。</t>
        </is>
      </c>
      <c r="D1500" t="inlineStr">
        <is>
          <t>火口壁(6%)；火口付近(2%)；火口底；火口周辺；火口縁</t>
        </is>
      </c>
      <c r="E1500" t="inlineStr">
        <is>
          <t>クレーター；噴火口</t>
        </is>
      </c>
      <c r="F1500" t="inlineStr">
        <is>
          <t>旧火口；新火口；ペレ火口；大きな火口；小さな火口</t>
        </is>
      </c>
      <c r="G1500" t="inlineStr">
        <is>
          <t>火口原；火口内；火口箱；火口丘；火口原湖</t>
        </is>
      </c>
      <c r="H1500" t="n">
        <v>29</v>
      </c>
      <c r="I1500" t="inlineStr">
        <is>
          <t>この旧火口らしい穴の底には異常に鮮かな青緑の水を湛えた湖があった。；俺たちの跡をつけてきたのか、それとも火口に戻るところだったのか。；たしかにラジウムは火口底の南寄りの岩の間にあることが確認された。；一歩すすめば、活火山の火口のなかへ一歩おりていくほどの危険がある。；火口の底に音もなく熔岩をたぎらせる火山がそのあたりにあるのだった。；現在活動中の火口のすぐ横には活動を終えた旧火口が複数存在する。；赤い火口を取り戻した煙草を見つめていると、妙に嫌な気分になった。；それこそ、どこかの山の火口にでも行った時くらいしか経験がない。；火口の中には、そんな部屋みたいな穴がいっぱいあいているのです。；巨岩は新たに形成された火口の外縁一帯に不安定な状態で留まっていた。；村のすぐ上の丘には、火山の火口を思わせる造形で建てられた教会がある。；逆火とは、ガス火炎を使用中に火炎が火口からガスの供給側へ戻る現象。；礁湖の向う岸には中央の火口からの光線はごく傾いでしかさして来ない。；つまり、火口のいわゆる円錐丘がのっている台の上に立っていたのである。；湯河原火山の火口は鞍掛山付近にもあった可能性があるとされている。；山体が形成された後に火口北西部で爆発が起き、西側の火口壁が崩壊している。；火口に浸した巨大な筆で描いた不滅の火文字を、夜空に輝かせてやるぜ!；それから、いつでも特別車で火口に出かける許可をいただきたいのですが。；噴出するものが泥や湯であっても規模によっては火口と呼ばれることがある。；山頂に達する3本の広く深い谷によって、火口は完全に破壊されている。；妖獣を乗せた流星はこの山の火口に落ちて、その途中で止まったのよ。；危険濃度になった場合、観光目的での火口周囲への立ち入りが制限される。；ぼくたちの部隊がいるハイデン火口よりも、ひとまわり大きな感じだ。；火口の位置はカラ・テテの墓から三〇歩ほどのところに選ばれた。；島体は死火山であり、島の山頂部には大きな火口を見ることが出来る。；そして、二人が火口壁の上に立ったとき、思わず足のすくむような気がした。；西側斜面に3つの火口が形成され、そのうち一つは現在でも活動を続けている。；各峰を縦走する登山道や室の内火口に下りる登山道等が整備されている。；すでにわれわれの都市と連絡のついている火口の中である。</t>
        </is>
      </c>
      <c r="J1500">
        <f>HYPERLINK("https://www.weblio.jp/content/火口", "词义详情")</f>
        <v/>
      </c>
      <c r="K1500">
        <f>HYPERLINK("https://yourei.jp/火口", "查看例句")</f>
        <v/>
      </c>
    </row>
    <row r="1501">
      <c r="A1501" t="inlineStr">
        <is>
          <t>加工</t>
        </is>
      </c>
      <c r="B1501" t="inlineStr">
        <is>
          <t>成功</t>
        </is>
      </c>
      <c r="C1501" t="inlineStr">
        <is>
          <t>読み方：かこう
［名］(スル)
１原料や素材に手を加えて新しい物を作ること。細工をすること。「—を施す」「魚を—して練り製品を作る」「—品」「食品—」
２法律で、他人の動産に工作を加えて、新たな加工物を作ること。加工物の所有権は原則として材料の所有者に属する。</t>
        </is>
      </c>
      <c r="D1501" t="inlineStr">
        <is>
          <t>加工する(7%)；加工技術(3%)；加工される(3%)；加工品；加工工場</t>
        </is>
      </c>
      <c r="E1501" t="inlineStr">
        <is>
          <t>製造；生産；製作；処理；産業</t>
        </is>
      </c>
      <c r="F1501" t="inlineStr">
        <is>
          <t>食肉加工；防水加工；加工できる；加工物；加工会社</t>
        </is>
      </c>
      <c r="G1501" t="inlineStr">
        <is>
          <t>加工食品；加工貿易；加工硬化；加工肉；加工処理</t>
        </is>
      </c>
      <c r="H1501" t="n">
        <v>29</v>
      </c>
      <c r="I1501" t="inlineStr">
        <is>
          <t>このようにして確立された鉄を加工したナイフは17世紀頃まで続いた。；鰹節は節類の代表的なもので加工の工程や製品の形状の名称が共通する。；どんな素材をどのように加工するかで、さらに幾つかの種類に分類される。；形態・用途・機構・材料・加工法などによって分類することが可能である。；車体はステンレス鋼を使用し、前頭部は加工性を考慮し普通鋼製とした。；のちにポプロニアは、エルバ島産の鉄の加工で非常に重要な地となった。；国内での加工がある場合には表示義務に応じた表示がなされる。；それらの遺跡から人の手によって加工された石器が多数出土している。；学校の所在地である沼津市市章を加工し、高専の文字を上に載せたもの。；備中では綿作が広まり、江戸時代後期になるとその加工も盛んになった。；工業は小規模で、地元での消費のために輸入した材料を加工する程度である。；演じたものの音声の一部が加工されて放送されていることも多い。；針金を素材として様々な製品に二次的、三次的に加工されて使用されている。；また進行方向に面した片妻壁側は「 U形 」状の穴面に加工している。；絹は重要な嗜好品の一つで、これは帝国へ輸入され、加工されていた。；ダイナマイトなどに加工された状態であっても凍結は避けなければならない。；主に加工用や飼料用に使われる収量の多い多収品種の米が栽培されている。；スラグを特殊な装置で石綿状の繊維に加工した物をロックウールと呼ぶ。；またカムイノミには白木を加工したイナウと呼ばれる木幣が使用される。；背景は手描きでなく、作画ソフトで加工した画像データを使用している。；加工時間が短く材料の無駄も生じないが、高い加工精度は得られない。；農具にも、当時の中国では見られない高度な鉄の加工技術が使われていたとされる。；これらの枕文化は当時の加工技術を知る上でも重要な考古学資料となっている。；ミラノかブレーシャあたりで働く職人か工員ではないか、と私は思った。；これを基にして加工することにより様々な分布を持つ乱数を作ることができる。；母船が魚を加工するための船内工場を備えている場合は「工船」と呼ぶ。；また、近年はレーザーカッターで紙や薄い木板を加工した製品も作られている。；最も古い石垣は政宗の時代のもので加工しない石を使った野面積であった。；特に宮城県では甘露煮を前提に加工用の種が主に栽培されている。</t>
        </is>
      </c>
      <c r="J1501">
        <f>HYPERLINK("https://www.weblio.jp/content/加工", "词义详情")</f>
        <v/>
      </c>
      <c r="K1501">
        <f>HYPERLINK("https://yourei.jp/加工", "查看例句")</f>
        <v/>
      </c>
    </row>
    <row r="1502">
      <c r="A1502" t="inlineStr">
        <is>
          <t>囲う</t>
        </is>
      </c>
      <c r="B1502" t="inlineStr">
        <is>
          <t>成功</t>
        </is>
      </c>
      <c r="C1502" t="inlineStr">
        <is>
          <t>読み方：かこう
［動ワ五（ハ四）］
１外部からそこなわれないように、まわりを取り巻く。中に取り込めて、外との境を作る。「敷地を塀で—・う」「庭木を—・う」
２人目から隠しておく。かくまう。「犯人を—・う」
「小銭を—・って」〈真山・男五人〉
３人に知られないようにして世話をする。「妾(めかけ)を—・う」
４野菜や果物を保存の処置をして蓄える。貯蔵する。「ネギを—・う」
５かばう。たすけ守る。
「姫を—・ひ奥へ入り給ふを」〈伎・壬生大念仏〉
[可能]かこえる</t>
        </is>
      </c>
      <c r="D1502" t="inlineStr">
        <is>
          <t>包囲；回る；巡る；囲む；廻る</t>
        </is>
      </c>
      <c r="H1502" t="n">
        <v>29</v>
      </c>
      <c r="I1502" t="inlineStr">
        <is>
          <t>人間が住んでいるともみえぬ穴だらけのむしろで囲われた小屋があった。；右にはその二階屋が迫っていて、左がわは質素な木の塀で囲われている。；それから今日までオレは彼女を仙台のアパートに囲って面倒を見てきた。；まるで死神までが君に恋をして、この暗闇に君を囲っているかのようだ。；何カ月間か中国人の女を家に囲っていたという事実が露われたのである。；彼が船の上に設けた小動物園には、野生の若いブタが三匹囲われていた。；風があったんで、手で囲って、下を向いて火をつけていましたからね。；私は、お金をもらって囲われているようなことはしたくないのです。；自分の地位で女の一人ぐらい囲っても誰が怪しむわけでもあるまい。；女を幸福にできる年齢でもないのに、娘のような若い女を囲っている。；彼女はプライバシーを固く垣根で囲っていたようなところがありました。；この型の特徴は玉を金銀四枚で囲うが、金銀を三段目以上へは進めない。；一方で、周囲を海が囲っている点などは従来の世界地図と同じである。；自身のスタジオで事前に用意した鍋を囲ってゲストと対談する企画である。；こうして訪れたアパートに居た夫人は既に別の男を囲っていた。；これは柵で囲った牧場を、そのまま土中に埋めたようなものだと思った。；ダミアンは、この日にこの砂浜に来るべきだと、その数字を〇で囲った。；其側に屋根や背後を熊笹で囲った大きな小屋が谷に向けて建ててある。；雨や雪の日でも時計塔に上れるよう、石段にも屋根をつけて囲っている。；その桃の女がいた温泉は板で囲った古い温泉であったように思う。；そして池の周囲を様々な形の岩や石で囲っていることが多い。；その池のふちを囲うように桜の樹が植えられ、整備された公園などもある。；まるであたしを囲ってて、自分ひとりを待たせてるみたいなつもりでいる。；外に女の一人や二人を囲う器量は今の忠兵衛には充分あるとお文も認めている。；この森には、屋敷を囲うように同種のものがまだ多く点在しているからだ。；また、赤字で記載し、赤枠で囲わなければならない文章も規定されている。；居ついて二月もしない内に辰雄は町の部屋に女を囲うようになった。；宮下が手で受話器を囲って周囲の雑音が入らないようにしたのがわかった。；どちらを向いてもかわりばえのしない床の一部が、木の棒杭で囲ってあるのだ。</t>
        </is>
      </c>
      <c r="J1502">
        <f>HYPERLINK("https://www.weblio.jp/content/囲う", "词义详情")</f>
        <v/>
      </c>
      <c r="K1502">
        <f>HYPERLINK("https://yourei.jp/囲う", "查看例句")</f>
        <v/>
      </c>
    </row>
    <row r="1503">
      <c r="A1503" t="inlineStr">
        <is>
          <t>下降</t>
        </is>
      </c>
      <c r="B1503" t="inlineStr">
        <is>
          <t>成功</t>
        </is>
      </c>
      <c r="C1503" t="inlineStr">
        <is>
          <t>読み方：かこう
［名］(スル)下へ向かって移動、または、変化すること。「飛行機が—する」「支持率が—する」⇔上昇。</t>
        </is>
      </c>
      <c r="D1503" t="inlineStr">
        <is>
          <t>下降する(13%)；下降線(7%)；下降窓(5%)；下降式(4%)；下降音</t>
        </is>
      </c>
      <c r="E1503" t="inlineStr">
        <is>
          <t>降り；減少；下り；低下；落ちる</t>
        </is>
      </c>
      <c r="F1503" t="inlineStr">
        <is>
          <t>上段下降；上昇下降；ゆっくりと下降；下降調；向かって下降</t>
        </is>
      </c>
      <c r="G1503" t="inlineStr">
        <is>
          <t>下降階乗冪；下降二重母音；下降婚；下降率；下降定理</t>
        </is>
      </c>
      <c r="H1503" t="n">
        <v>29</v>
      </c>
      <c r="I1503" t="inlineStr">
        <is>
          <t>側窓はドア間は下降窓と固定窓の組み合わせ、車端部は固定窓としている。；アーチャー社は続いて椅子の上昇下降が機械的にできるものを開発した。；測定室側窓は固定式であるが、外部監視の目的で一部は下降窓となっている。；下降段を分離してエンジンに点火すると、上昇段は激しく回転を始めた。；しかしその後は病気や怪我に悩まされるようになりランキングも下降した。；側窓は竣工時一段下降式であったが、こちらも二段上昇式に改良されている。；側窓は車端部は固定窓、それ以外の2連窓は開閉可能な下降窓である。；その後オーボエに独特な旋律を経てヴァイオリンが下降主題を提示する。；日よけの展開は成功し、船内の温度は安定したレベルまで下降した。；核はフィラエの下降・着陸中に行われた測定によると磁場を持っていない。；しかしこの年が彼の絶頂期でその後次第に成績は下降していった。；半音階下降進行の装飾音などピアノの持つ能力を自在に取り入れている。；客室側窓は1枚下降式になり、窓配置もドア間・車端部とも2枚となった。；せわしない動きの後に、強烈な下降音型が登場する不気味なものである。；成績は急下降し、旗島のようにT大に合格できるとはとても思えなかった。；その後は膝の慢性的な怪我に悩まされて徐々に下降線を辿っていった。；商業的には成功と言えるが人気の下降は止められなかった。；側窓は車端部が固定窓、ドア間の2連窓は開閉可能な下降窓である。；細胞の中心付近では上昇流、境界付近では下降流になっている。；は自己最多の104試合に出場するも、軒並み成績が下降してしまった。；頃始まった大恐慌の影響を受けて、野球の人気は再び下降を始めた。；側窓は製造当初1段下降式を採用し、開口寸法は200mとなっている。；側窓は妻面寄りが固定窓、中央部が下降式の2連窓となっている。；上昇、下降だけでなく横方向への水平移動なども行うことができる。；秋田県北部では尾高型の最後の音節にはっきりとした下降が見られる。；また艦尾側のエレベーターはウェルドック内まで下降させることができる。；この年の20勝を最後に成績は下降し、0勝に終わった限りで現役を引退。；女性が外に働きに行くようになり、昼間のテレビ視聴率は下降した。；製作費はどんどん下降して2008年頃は3500万円くらいになった。</t>
        </is>
      </c>
      <c r="J1503">
        <f>HYPERLINK("https://www.weblio.jp/content/下降", "词义详情")</f>
        <v/>
      </c>
      <c r="K1503">
        <f>HYPERLINK("https://yourei.jp/下降", "查看例句")</f>
        <v/>
      </c>
    </row>
    <row r="1504">
      <c r="A1504" t="inlineStr">
        <is>
          <t>化合</t>
        </is>
      </c>
      <c r="B1504" t="inlineStr">
        <is>
          <t>成功</t>
        </is>
      </c>
      <c r="C1504" t="inlineStr">
        <is>
          <t>読み方：かごう
［名］(スル)2種以上の元素が化学反応を起こして結合し、新しい物質を生じること。</t>
        </is>
      </c>
      <c r="D1504" t="inlineStr">
        <is>
          <t>化合物(92%)；化合さす</t>
        </is>
      </c>
      <c r="E1504" t="inlineStr">
        <is>
          <t>合併；結合；合成；合同；混合</t>
        </is>
      </c>
      <c r="F1504" t="inlineStr">
        <is>
          <t>関連化合；様々な化合；低分子化合；ヒ素化合；複雑な化合</t>
        </is>
      </c>
      <c r="G1504" t="inlineStr">
        <is>
          <t>化合物半導体；化合物ライブラリー；化合物命名法；化合物ライブラリ；化合物一覧</t>
        </is>
      </c>
      <c r="H1504" t="n">
        <v>29</v>
      </c>
      <c r="I1504" t="inlineStr">
        <is>
          <t>この単純な化合物は2009年時点ではまだどうやら観測されていない。；これは18電子則を満足するためより安定な化合物であると考えられる。；フッ素のオキソ酸で存在が確認されているのは、この化合物のみである。；処理施設で水から除去された鉄化合物を処理して製品化して出荷している。；これは、環境中で同位体を化合物として研究することを困難にしている。；製造された各同位体は、用途に合わせて目的化合物に取り入れて利用する。；安価な化合物であるため、研究室レベルで合成することはほとんどない。；核特性を除き、レントゲニウム及びその化合物の性質は測定されていない。；核特性を除き、マイトネリウム及びその化合物の性質は測定されていない。；アルゴンフッ素水素化物とは知られている唯一のアルゴン化合物である。；別の一匹が別の客のにおいをかごうとすると、また一目先生がいった。；これらの生成物は更なる酸化により別の化合物へと変化することとなる。；したがって、最終化合物の糖は3段階ではなくわずか2段階で生成する。；モリブデンと結合した完全な化合物は通常モリブデン補因子と呼ばれる。；あるいはまた2 の化学式を持つアゾ化合物の関連化合物のことである。；前者は炭素化合物、後者はケイ素化合物の成分ではないかと推定される。；一般の水溶性バリウム化合物と同様に毒性が強く劇物に指定されている。；どうやら、あなたの子分連中が、外で、様子をうかごうとるようにある。；酸化モリブデンはモリブデン化合物の中では最も大規模に生産されている。；空気酸化はここに示した例からも先に進行しさらに複雑な化合物や樹脂化する。；このような化合物は全てフェニルアラニンを出発物質として生合成される。；この化合物が下剤としての作用を示すことは古くから知られていた。；化学的結合とは、実際に合金中の元素が水素と化合することを意味する。；そのため必要な化合物を得るために幾つかの工程を必要とする。；これらの分子は彗星核内部にあるか彗星で化合している可能性がある。；水と混合することで沸点が低くなるような化合物を蒸留すると効果的である。；名刺を出した時に何か合點したらしく二階へ向いて女の名を喚んだ。；しかしその化合物の種類は選択されたものだけである。；この化合物とその誘導体のいくつかは金属の特性の一つである四重結合を持つ。</t>
        </is>
      </c>
      <c r="J1504">
        <f>HYPERLINK("https://www.weblio.jp/content/化合", "词义详情")</f>
        <v/>
      </c>
      <c r="K1504">
        <f>HYPERLINK("https://yourei.jp/化合", "查看例句")</f>
        <v/>
      </c>
    </row>
    <row r="1505">
      <c r="A1505" t="inlineStr">
        <is>
          <t>過酷</t>
        </is>
      </c>
      <c r="B1505" t="inlineStr">
        <is>
          <t>成功</t>
        </is>
      </c>
      <c r="C1505" t="inlineStr">
        <is>
          <t>読み方：かこく
［形動］［文］［ナリ］厳しすぎるさま。ひどすぎるさま。「—な手段」「—な条件」
[派生]かこくさ［名］</t>
        </is>
      </c>
      <c r="D1505" t="inlineStr">
        <is>
          <t>過酷な環境(8%)；過酷な労働(5%)；過酷な運命(3%)；過酷な状況(3%)；過酷な条件</t>
        </is>
      </c>
      <c r="E1505" t="inlineStr">
        <is>
          <t>ひどい；厳しい；残酷；冷酷；残忍</t>
        </is>
      </c>
      <c r="F1505" t="inlineStr">
        <is>
          <t>過酷なトレーニング；過酷な練習；過酷な気候；過酷な任務；過酷な作業</t>
        </is>
      </c>
      <c r="G1505" t="inlineStr">
        <is>
          <t>過酷労働</t>
        </is>
      </c>
      <c r="H1505" t="n">
        <v>29</v>
      </c>
      <c r="I1505" t="inlineStr">
        <is>
          <t>そのためここの囚人はナチ強制収容所の中でも特に過酷な扱いを受けた。；以後この村は領主であるカエターニ家の過酷な支配を受けることとなった。；過酷な任務に就くため、AVFには以下のような基本性能が要求された。；原田は過酷な撮影だった本作が嫌で、映画を一度も観ていないという。；作品の舞台や内容も、より「現実の過酷さ」に近付いた形となっている。；蓄えもなく、ツワナ人よりも過酷な環境に暮らしているにもかかわらず。；そのような場合、労働条件は以前よりずっと過酷であるのが普通であった。；過酷な現場で使われる事を想定し、さまざまな特徴が持たされている。；この工場では戦争捕虜や収容所収容者が過酷な労働に従事させられた。；しかしレース内容は、勝利の栄誉に比例するようにきわめて過酷である。；チャコ地方は高温で水の乏しい地域であり、戦闘は過酷なものであった。；製糸工場が最も過酷だったとされる明治40年代を中心に取り上げている。；ある研究所で過酷な実験に耐えた超能力を持っている少年がいた。；しかし、咒式士の道の過酷さや職を得る困難さから挫折する者も多い。；彼女らの戦闘は過酷であり、これを記念する銅像が市内に立てられている。；用途としては、製品開発時の様々な環境を想定した過酷試験に利用される。；過酷な労働下で、記録に残っているだけでも83人が命を落としたとされる。；この生活は大変過酷であり、異常な精神状態になることは避けられなかった。；この文明の技術を使用することで過酷な環境を克服し、国家を建設するに至る。；あまりに過酷な内容にドイツ中で反対の声が巻き起こった。；多くの青少年は過酷な環境に適応できなかったために死んでいった。；これは過酷な実験や長期に渡る搭乗時間が響いていると考えられる。；多くの住民が殺害され、残った人間も奴隷として過酷な生活を強いられていった。；結果的に福井の死は、漫画家たちの過酷な労働条件の改善に生かされた。；そこはカードを巡り駆け引きやバトルがくり返される過酷な世界だった。；そんな過酷な運命を持った少女は、しかしそれでもけなげに毎日を生きていた。；特に規模の小さなものほどそれらの乱高下する過酷な環境である。；黎桓はこれらの抵抗に対して過酷な鎮圧を行ったと史書に記されている。；日本人兵士と同じく台湾人の兵士も過酷な戦争体験をしている。</t>
        </is>
      </c>
      <c r="J1505">
        <f>HYPERLINK("https://www.weblio.jp/content/過酷", "词义详情")</f>
        <v/>
      </c>
      <c r="K1505">
        <f>HYPERLINK("https://yourei.jp/過酷", "查看例句")</f>
        <v/>
      </c>
    </row>
    <row r="1506">
      <c r="A1506" t="inlineStr">
        <is>
          <t>かこつける</t>
        </is>
      </c>
      <c r="B1506" t="inlineStr">
        <is>
          <t>成功</t>
        </is>
      </c>
      <c r="C1506" t="inlineStr">
        <is>
          <t>読み方：かこつける
［動カ下一］［文］かこつ・く［カ下二］直接には関係しない他の事と無理に結びつけて、都合のよい口実にする。他の物事のせいにする。事寄せる。「来客に—・けて酒を飲む」</t>
        </is>
      </c>
      <c r="D1506" t="inlineStr">
        <is>
          <t>利用する；便乗する；あやかる；言い立てる；こじつける</t>
        </is>
      </c>
      <c r="H1506" t="n">
        <v>29</v>
      </c>
      <c r="I1506" t="inlineStr">
        <is>
          <t>そしてありもしない用事にかこつけてここで二日ほど過ごすことにした。；社員の何人かが、仕事にかこつけて、社長室を心配そうにのぞきにきた。；彼女がその気になれば、用事にかこつけて上京することは何でもない。；何かにかこつけてあなたが北海道に来ることもできるはず、などと。；だが二人の間では父を非難するには「仕事」にかこつけるより他はなかつた。；それにかこつけて、巧に必要な連絡を女の同志に向ってつけているらしい。；あなたたちは、人の世話にかこつけて、お酒を飲んで騒ぎたいのでしょう?；と言っても、お絹は夜が仕事だから、殆ど昼間仕事にかこつけて寄っていた。；直接口説くよりも旅などにかこつけて口説くほうがうまくいきやすい。；ゴミひろいにかこつけて彼が言おうとしていたのは、詩のことだった。；先生は鯉に麩を投げている設定だし、同じ表現を鯉にかこつけてもできる。；友好訪問にかこつけて、攻撃を仕掛けられるのを恐れたためだった。；わたしたちは机を動かして島を作って、会議にかこつけ昼ごはんを食べていた。；さしせまっての喰う仕事にかこつけて地獄の前に坐ることから逃げている。；その憎しみにかこつけて、あらゆる憎悪が急速に最後の崖にたかまつてゐた。；自分は散歩にかこつけて五六町彼といっしょに歩いた。；いつかも妻は、自分の傍に来て、子供のことにかこつけて云つたことがあつた。；また、皇親の中には国家の厚遇にかこつけて問題を起こす者もいた。；調査にかこつけて、それくらいのことはしてあげないと、気が収まらなかった。；塚原は、仕事にかこつけて、時々席を立っては、他の課にも顔を出してみた。；私たちにかこつけてワイワイ騒ぎたいだけだから、堅苦しくないと思うよ。；だから俺にかこつけて、母親孝行をした気分を味わいたかったのだ。；今の私に出来る妻への甘えは、そんな夢にかこつける以外にあり得はしなかったのですから。；彼女は代筆の手紙にかこつけて始終戸倉のところに行っていました。；人員不足にかこつけてはいるが、まわりに味方がほしいのだろう。；かの女は自分の趣味をぼくにいえないので、フィアンセにかこつけているのだ。；看護婦は又手持無沙汰の気味で、用事にかこつけて階下へ降りて行つた。；本来の仕事は役場の広報係だが、それにかこつけて矢狗村の歴史を調べている。；何でも侠客の女房が色にかこつけて夫のかたきを刺し殺す話なりき。</t>
        </is>
      </c>
      <c r="J1506">
        <f>HYPERLINK("https://www.weblio.jp/content/かこつける", "词义详情")</f>
        <v/>
      </c>
      <c r="K1506">
        <f>HYPERLINK("https://yourei.jp/かこつける", "查看例句")</f>
        <v/>
      </c>
    </row>
    <row r="1507">
      <c r="A1507" t="inlineStr">
        <is>
          <t>囲む</t>
        </is>
      </c>
      <c r="B1507" t="inlineStr">
        <is>
          <t>成功</t>
        </is>
      </c>
      <c r="C1507" t="inlineStr">
        <is>
          <t>読み方：かくむ
［動マ四］かこむ。取り巻く。
「鹿(しし)じもの弓矢—・みて」〈万・一〇一九〉</t>
        </is>
      </c>
      <c r="D1507" t="inlineStr">
        <is>
          <t>囲む形(2%)；囲む高い；囲む扇枠；囲む小さな；囲む輪型陣</t>
        </is>
      </c>
      <c r="E1507" t="inlineStr">
        <is>
          <t>包囲；回る；巡る；回す；廻る</t>
        </is>
      </c>
      <c r="F1507" t="inlineStr">
        <is>
          <t>ぐるりと囲む；丸く囲む</t>
        </is>
      </c>
      <c r="H1507" t="n">
        <v>29</v>
      </c>
      <c r="I1507" t="inlineStr">
        <is>
          <t>現在の州境で囲まれている地域は順次アメリカ合衆国に追加されてきた。；下顎は長くて湾曲しており、下唇を両側から囲んで先端で互いに接する。；白い四角なものを囲んで来たのだけれど、その白いのは箱じゃなかった。；また、港は複数の島に囲まれており、一部は定期航路が設定されている。；島国とは、領土の周りが海に囲まれ、海上に国境がある国のことである。；北は開け、今治市と平地で接しているが他の三方は山地で囲まれている。；未完成のこの作品には、多くの人々に囲まれた聖母子が描かれている。；彼女は楯に囲まれ、肌から直接生えているかのような鎧を着て眠っていた。；市の最も重要な史跡は旧市街にあり、一帯はかつて城壁で囲まれていた。；舞台は観客のいる場所までのびており、観客は舞台を囲んで三面に座る。；青は空と海の象徴であり、特に国を囲む大西洋とカリブ海を表している。；そう考えながら、私をとり囲んでいる鉄の壁をびくびくして見まわした。；かつて城壁に囲まれていた市の中心部の西側には、西湖という湖がある。；当公園は葛飾清掃工場の東西南北を囲むようにして作られた公園である。；その囲炉裏を囲んで子供たちと会話する時間を大切にしているという。；いくつかの井戸は石の壁に囲まれているが、多くは金網で保護されている。；そのため区域はちょうど博多湾を三方から囲むような形になっている。；インドおよびビルマとの国境とベンガル湾への海岸線に囲まれていた。；この名前はカルトゥーシュと呼ばれる外枠に囲まれて表記されていた。；見ると空地にはたくさんの人が集まって、何かを中に囲んで見ていた。；複数の頂点を結ぶ直線の辺と、その辺に囲まれた面によって構成される。；一周を海に囲まれているが、海岸線は崖や磯になっている部分が多い。；海に囲まれているため魚介類も豊富で、魚やエビなどを使った料理も多い。；この低い平原を囲むのが、南部と西部の郊外にあるモレーンの帯である。；建築時期は数度にわたるとみられ、中庭を囲んでいくつかの部屋があった。；標識の表示では数字を特徴的な形で囲んだデザインが使用されている。；警察の提灯を囲んで、四五人の人が、足早に駈け付けて来るようだった。；エリアは崖で囲まれており、直線的に逃げ続けることはできない。；白いクロスを掛けた長方形のテーブルを、いくつかの椅子が囲んでいた。</t>
        </is>
      </c>
      <c r="J1507">
        <f>HYPERLINK("https://www.weblio.jp/content/囲む", "词义详情")</f>
        <v/>
      </c>
      <c r="K1507">
        <f>HYPERLINK("https://yourei.jp/囲む", "查看例句")</f>
        <v/>
      </c>
    </row>
    <row r="1508">
      <c r="A1508" t="inlineStr">
        <is>
          <t>傘</t>
        </is>
      </c>
      <c r="B1508" t="inlineStr">
        <is>
          <t>成功</t>
        </is>
      </c>
      <c r="C1508" t="inlineStr">
        <is>
          <t>読み方：かさ
《「笠」と同語源》雨・雪・日光などがじかに当たらないように、広げて頭上に差しかざすもの。竹や金属の骨に紙や布をはり、柄をすえて開閉ができるようにしたもので、「笠」と区別するために「さしがさ」ともいう。「—を差す」</t>
        </is>
      </c>
      <c r="D1508" t="inlineStr">
        <is>
          <t>傘屋(3%)；傘状；傘徳；傘型；傘張り</t>
        </is>
      </c>
      <c r="E1508" t="inlineStr">
        <is>
          <t>笠；かさ；蝙蝠；洋傘；蝙蝠傘</t>
        </is>
      </c>
      <c r="F1508" t="inlineStr">
        <is>
          <t>開傘；赤い傘；大きな傘；黒い傘；黄色い傘</t>
        </is>
      </c>
      <c r="G1508" t="inlineStr">
        <is>
          <t>傘立て；傘鉾；傘松；傘がない；傘寿</t>
        </is>
      </c>
      <c r="H1508" t="n">
        <v>29</v>
      </c>
      <c r="I1508" t="inlineStr">
        <is>
          <t>このとき運ばれてきた山車の上段にあった傘との関係も指摘されている。；畳には茸が生え、家の中で傘を差して立ったまま朝を迎えた日もあった。；アップアップガールズのメンバーが傘を持っているところが撮影された。；傘を開くときは周囲に人がいない方に向けて、危険のないように注意する。；この管は傘の縁に達し、それらの箇所からそれぞれに一本の触手が出る。；男女が行う場合は、身長が女性より高いであろう男性が傘を持ち構える。；下傘中央には突き出した口柄があり、その先端に口が開くのが普通である。；エノキタケも光のある場所では、柄が短くしっかりした傘を持つ姿になる。；ここでは、移民達が花売りや傘商人のようなビジネスを立ち上げていた。；あるいは、20時間が経過していない傘から培養地を作ることもできる。；上記のテレコンバットとの違いは、傘状の装飾が付いていた事である。；そこはイスや傘などの道具が人間のように暮らしている世界だった。；本体部は傘の型を失い、中央がわずかに盛り上がるだけとなっている。；上から見ると傘状で、横から見ると頭巾状に見えるのでこの名がつけられた。；時に傘の縁を裏返るようにするウリクラゲに見られるような行動をする。；また傘には暗青色の点があることもあり、特に縁に行くほど多く見られる。；浅瀬で翼を傘の様に広げてその中に頭部を隠し、水中の獲物を捕食する。；担子菌類とは、普通の傘状のキノコを作るものを代表とする菌類である。；官邸サイトに掲載された当日の写真は参加者の黒服と黒傘が印象的である。；そのために、自分の新しい傘も購入できなかったというエピソードがある。；傘の形をしており、底が傘のように括れていることから名付けられた。；コンビニエンスストアなどで、傘などと一緒に販売されていることが多い。；シロシンを含有するため、傷つくと傘と柄の青変が見られることが多い。；傘との接続は中心部分であることが普通だが、端に寄ることもある。；打ち上げ時は折りたたまれており、軌道上で傘を開く要領で展開される。；これらの樹木は樹冠が傘のように丸く盛り上がるのも特徴の一つである。；海外事業では、海外の鉄道グッズやワイン、傘の輸入などを行っている。；置き傘とは、突然の雨に備えて施設の玄関などの傘立てに置いた傘のこと。；また、傘や柄に小さな穴を作る白い幼虫にも気をつけるべきである。</t>
        </is>
      </c>
      <c r="J1508">
        <f>HYPERLINK("https://www.weblio.jp/content/傘", "词义详情")</f>
        <v/>
      </c>
      <c r="K1508">
        <f>HYPERLINK("https://yourei.jp/傘", "查看例句")</f>
        <v/>
      </c>
    </row>
    <row r="1509">
      <c r="A1509" t="inlineStr">
        <is>
          <t>火災</t>
        </is>
      </c>
      <c r="B1509" t="inlineStr">
        <is>
          <t>成功</t>
        </is>
      </c>
      <c r="C1509" t="inlineStr">
        <is>
          <t>読み方：かさい
火による災難。火事。「—に遭う」</t>
        </is>
      </c>
      <c r="D1509" t="inlineStr">
        <is>
          <t>火災発生(3%)；火災現場；火災後；火災時；火災対策</t>
        </is>
      </c>
      <c r="E1509" t="inlineStr">
        <is>
          <t>火；火事；燃焼；大火；烈火</t>
        </is>
      </c>
      <c r="F1509" t="inlineStr">
        <is>
          <t>本件火災；ビル火災；大規模火災；車両火災；エンジン火災</t>
        </is>
      </c>
      <c r="G1509" t="inlineStr">
        <is>
          <t>火災保険；火災報知器；火災警報；火災旋風；火災報知設備</t>
        </is>
      </c>
      <c r="H1509" t="n">
        <v>29</v>
      </c>
      <c r="I1509" t="inlineStr">
        <is>
          <t>この状況は一旦火災が発生すると、各々以下のような問題を発生させる。；イギリスでは火災発生時に消火用水を供給するための池が作られている。；言葉を話すシーンは無いが、火災が起きた際に119番通報をしている。；ある夜、私の機はプラットで訓練中に、衝突でエンジン火災を起こした。；これが仇となり、火災の際に部屋から出られず客が死亡したケースもある。；開発の進んだ地域では火災に対処するため消防サービスが提供されている。；その翌日にダビング作業を再開するが、そこで2度目の火災が発生した。；再建後最初となる名古屋戦の相手は火災時と同じ巨人であった。；火災も発生したが弾薬や燃料の誘爆はなかったので13分後に鎮火した。；単なるビル火災と違い雑居ビルの営業形態に被害を拡大する社会要因がある。；そして、ビル内のどこかで火災が発生しているのではと考え81階へ向かう。；同救助袋は、火災発生直後から様々な欠陥があることは既に判明していた。；再び火災が発生して弾薬庫誘爆の危機に陥ったため、注水作業を行った。；テロ活動以外には、危険物の火災、事故などを想定した訓練が行われる。；現在も地下では火災が続いており、地上では煙が上がっている。；これに加えて、五大湖では木造の鉄道連絡船2隻が火災を起こしている。；日本の消防法では、対応する火災により以下の3種類が表示されている。；この場合は火災個所を密閉した上で人員が退去後に外部より作動させる。；燃えたのはビル一階の事務所であるが、ビル五階にまで煤が達する火災となった。；調理や暖房に火を用いている時に建物が崩壊すると火災を引き起こす。；工事監督の失火が火災原因とする根拠としては、以下のことが挙げられる。；止むを得ず天ぷら油火災に使用する場合は放射距離以上離れて放射する。；本件火災の調査研究は、公的機関以外に民間でも調査研究が行われた。；学校などの大きな建物では、火災に備えて避難訓練を実施している。；この火災は、緊急の要件としては対処されなかった可能性があるという。；同様に日本の消防が火災鎮火後に行うのは調査であり捜査ではない。；坂本の梶井門跡は貞永元年の火災をきっかけに今の京都市内に移転した。；基本的に火災時の避難には使用しないことと表示されている。；現在の駅舎は初代駅舎が火災で焼失した後に建てられたもの。</t>
        </is>
      </c>
      <c r="J1509">
        <f>HYPERLINK("https://www.weblio.jp/content/火災", "词义详情")</f>
        <v/>
      </c>
      <c r="K1509">
        <f>HYPERLINK("https://yourei.jp/火災", "查看例句")</f>
        <v/>
      </c>
    </row>
    <row r="1510">
      <c r="A1510" t="inlineStr">
        <is>
          <t>かさかさ</t>
        </is>
      </c>
      <c r="B1510" t="inlineStr">
        <is>
          <t>成功</t>
        </is>
      </c>
      <c r="C1510" t="inlineStr">
        <is>
          <t>［副］(スル)
１乾いた物、薄くて軽い物が触れ合う音を表す語。かさこそ。「—（と）落ち葉を踏んで歩く」
２水分や脂気が抜けて滑らかでなく、干からびた感じがするさま。「—した肌」
３精神的なゆとりや潤いに欠けているさま。「—した感じの人」
［形動］2に同じ。「高熱が続いて唇が—になった」
［アクセント］はカサカサ、はカサカサ。</t>
        </is>
      </c>
      <c r="D1510" t="inlineStr">
        <is>
          <t>かさかさと音(5%)；かさかさと乾い(3%)；かさかさいう音；かさかさ鳴る音；かさかさと紙</t>
        </is>
      </c>
      <c r="E1510" t="inlineStr">
        <is>
          <t>からから；ぱさぱさ；かさかさ鳴る</t>
        </is>
      </c>
      <c r="F1510" t="inlineStr">
        <is>
          <t>かさかさ鳴る</t>
        </is>
      </c>
      <c r="H1510" t="n">
        <v>29</v>
      </c>
      <c r="I1510" t="inlineStr">
        <is>
          <t>櫟の葉はもう緑が褪せて風がある日にはかさかさと云う音をさしていた。；櫟の葉はもう緑が褪せて風がある日にはかさかさと云ふ音をさしてゐた。；かさかさと枯れ葉を踏む音をさせながら、一行は山の斜面を登っていく。；そう思いかけた時、かさかさと音を立てて、何かが千香の方へ近づいてきた。；見ると、白くかさかさした古い皮膚の下に、新しい皮膚ができている。；かすかにかさかさと葉ずれの音がするのが、かえって静かな気がする。；彼女の眼は恐怖のためにうつろになり、唇はかさかさに乾いて震えていた。；なおみの顔は血の気を失い、紙のように白くかさかさした色に変っていた。；氷見子の中で記憶のジョイントがかさかさと音を鳴らしてつながった。；足の湿疹はかさかさと乾いた状態のまま快くもならず悪くもなっていない。；足下の草は露に濡れていたが、松の梢はかさかさ乾いていそうな夜だった。；叢の中でかさかさとするのは何かの小鳥が巣を探ねているのであろう。；逆刺のついた八本の脚が、かさかさと古びた木の床をこする音がした。；それから鍵をまわす音がし、続いて紙のかさかさとすれあう音がした。；顔は青ざめ、汗に濡れていたのに、唇だけが乾いてかさかさしていた。；おまえは、唇がかさかさに乾いていて話すのも楽じゃないんだね。；開けてみるとそこにはかさかさになったへその緒が入っていた。；こうなれば逃げるしか手はなさそうだと思ったとき、またかさかさという音がした。；かさかさした感じのする腕が伸びてきて、彼女の背中をゆっくりとさすり始める。；かさかさ音を立てる小さな袋を片手に階段を駆け上がり、部屋に入る。；手を開くと、紙は風に飛ばされて道路に落ち、かさかさと乾いた音を立てた。；マスコットを作ってくれた頃の、かさかさほっぺのほうが好きでした。；この画にくらべると、自分の画は、何か、かさかさしてゐて貧相であつた。；二人のかさかさとした声を聞いているうちに、私は、似たような夢の話をどこで聞いたのか思いだした。；耳成神社の石段は、芝居の大道具のように艶がなく、かさかさしていた。；南瓜畑の中を腰のあたりまでかくしてかさかさと音をさせながら前進して行く。；私の顔をなでる彼女の手も、思いなしか、かさかさと冷たいんですな。；考えただけで私は倍も唇がかさかさになった。；アンナはドリイのやせた、かさかさの手をとって接吻し、話をつづけた。</t>
        </is>
      </c>
      <c r="J1510">
        <f>HYPERLINK("https://www.weblio.jp/content/かさかさ", "词义详情")</f>
        <v/>
      </c>
      <c r="K1510">
        <f>HYPERLINK("https://yourei.jp/かさかさ", "查看例句")</f>
        <v/>
      </c>
    </row>
    <row r="1511">
      <c r="A1511" t="inlineStr">
        <is>
          <t>がさがさ</t>
        </is>
      </c>
      <c r="B1511" t="inlineStr">
        <is>
          <t>成功</t>
        </is>
      </c>
      <c r="C1511" t="inlineStr">
        <is>
          <t>［副］(スル)
１乾いた物が触れ合う音を表す語。「かさかさ」より強く、騒がしい音を表す。「やぶで—（と）音がする」
２水分や脂気が抜けてきめが粗く、荒れた感じがするさま。「—した松の幹」
３言動に落ち着きがなく、荒っぽいさま。感情のこまやかさに欠けていて、人の神経にさわるさま。「—した人」
［形動］2に同じ。「手が荒れて—になる」
［アクセント］はガサガサ、はガサガサ。</t>
        </is>
      </c>
      <c r="D1511" t="inlineStr">
        <is>
          <t>がさがさいう音；がさがさ鳴らし</t>
        </is>
      </c>
      <c r="E1511" t="inlineStr">
        <is>
          <t>苛烈；耳障り；険；荒さ；荒々しさ</t>
        </is>
      </c>
      <c r="F1511" t="inlineStr">
        <is>
          <t>中でがさがさ</t>
        </is>
      </c>
      <c r="H1511" t="n">
        <v>29</v>
      </c>
      <c r="I1511" t="inlineStr">
        <is>
          <t>向うの方がまたがさがさいうので牛かと思うて見ると今度は人であった。；喉になにかの道具を付けており、その声は低く、がさがさとしている。；だが、足に紙袋があたってがさがさ大きな音をたてたので動きを止める。；その声までが、なんだかがさがさして、ひきつれてでもいるようだった。；さっきまでがさがさ草を分ける音がしていたのにそれも聞こえない。；外へ出ると風が冷たく、銀杏の樹が黄葉し、がさがさと音を立てていた。；だが、少し前から感じている、このがさがさとした違和感は何なのだろう。；博士は、平気な顔で、ちょっと自分の尻をがさがさとかいただけであった。；鋭くがさがさとしたのげに火がつくと、たちまちめらめらと炎が上がる。；父親と視線が合うと、ふたりはにやりとし、床の上で足をがさがさいわせた。；がさがさした感触からすると、中には紙のようなものが詰まっているらしい。；細君は隅の暗い処でトランクを開けて何かがさがさと出していた。；破れた竹垣の傍には穂のあぎた芒が朝風にがさがさと葉を鳴らしていた。；と思うと、がさがさと音をたてて、紙袋の開いた口の中へとびこんだ。；一瞬の後、そいつは後ろの枝の中で、がさがさともがいていた。；ジョーゼフはがさがさとショベルに炭火を載せて、はいって行きました。；背後からがさがさと近づいてくる音があったからだ。；すると今見てきた蜘蛛が頭の中をがさがさ這廻るような気がした。；強い風が吹き抜けて、花を包んである白い紙ががさがさと音をたてる。；下の林のほうで、がさがさと叢林の揺れる音がし、人の声が聞えた。；頭の上の方の崖でもがさがさという、其処にも牛がいるのである。；喉の渇きはなかったが、唇ががさがさになって、舌がねばついている。；かの女は袖のなかで、がさがさしてる息子の手紙を帯の間へ移す。；しょっちゅう言い争いがあり、喧嘩があって、いつもがさがさしていたからだ。；長い間髪と肌の手入れもしなかったので、ぼさぼさがさがさになっている。；突然右方向の潅木ががさがさ揺れたかと思うと、黒い人影が転がり出てきた。；ベッドの隅のほうで、がさがさと音をたてているのだ。；カーテンもまだなく、ダンボールががさがさ積み上げられた部屋である。；警備兵は稲田のなかをがさがさと掻きわけながら走って行った。</t>
        </is>
      </c>
      <c r="J1511">
        <f>HYPERLINK("https://www.weblio.jp/content/がさがさ", "词义详情")</f>
        <v/>
      </c>
      <c r="K1511">
        <f>HYPERLINK("https://yourei.jp/がさがさ", "查看例句")</f>
        <v/>
      </c>
    </row>
    <row r="1512">
      <c r="A1512" t="inlineStr">
        <is>
          <t>重なる</t>
        </is>
      </c>
      <c r="B1512" t="inlineStr">
        <is>
          <t>成功</t>
        </is>
      </c>
      <c r="C1512" t="inlineStr">
        <is>
          <t>読み方：かさなる
［動ラ五（四）］
１ある物の上に、さらにそれと同類の物が載る。幾重にも層をなす。「人が—・って倒れる」
２ある物事に、さらにそれと同類の物事が加わる。
㋐同じ事が繰り返し起こる。たびかさなる。「—・る惨事」「不幸が—・る」
㋑複数の物事が同時に一緒になる。かち合う。「用事が—・る」「日曜と祝日が—・る」</t>
        </is>
      </c>
      <c r="D1512" t="inlineStr">
        <is>
          <t>重なる部分(5%)；重なる場合；重なる形；重なる場所；重なる地域</t>
        </is>
      </c>
      <c r="E1512" t="inlineStr">
        <is>
          <t>乗る；またがる；被る；重複する；のしかかる</t>
        </is>
      </c>
      <c r="F1512" t="inlineStr">
        <is>
          <t>ほぼ重なる；恨み重なる；幾重にも重なる；一部重なる；重なれば重なる</t>
        </is>
      </c>
      <c r="H1512" t="n">
        <v>29</v>
      </c>
      <c r="I1512" t="inlineStr">
        <is>
          <t>現在の暗越奈良街道とはルートの一部が重なっていると考えられている。；もう少しで二人の唇が重なろうとした瞬間、かすかに唸り声が聞こえた。；移籍当初は怪我も重なり活躍できなかったが、2002年末に復帰する。；それぞれ言葉が指す領域は重なる部分も多く、その点に注意が必要である。；下記のリストはほぼ同様の定義を持つコーチと一部は重なっている。；アルゼンチン・イギリス・チリの主張する地域には重なった部分がある。；いくつかの選択と時の運が重なれば、その時が訪れない未来もあるであろう。；これは上記のような文法上の定義と概ね重なるが、必ずしも一致しない。；また二人プレイの場合、相手の救急車には重なっても乗ることは出来ない。；当時は記録を残しておらず、同じ集落内で文言が重なっていることも多い。；この時期はちょうど半導体産業が発展していく時期とも重なっている。；この時期は、地球が温暖期になった頃と重なり、乾燥度が上昇している。；テレビは映画や音楽を部分的に含み、ラジオも音楽と重なる部分がある。；からまでは故障が重なり、までは二軍でも打ち込まれることが多かった。；内容は当然ながら、これまでに山内が手がけた年譜と重なる部分が多い。；石見銀山が開発された時期は日本経済の商業的発展の時期と重なっていた。；いったいどれくらいの偶然が重なれば、そんなことが起こるのかしら。；病気が心配でちょっと電話しても、たび重なれば電話代もバカにならない。；湾では減速しながら海岸に接近した先行波に後続波が重なりやすいため。；内容が近接したり、重なったりするジャンルとしては下記のものがある。；市街地に敷設された路線のほとんどは札幌市電のルートと重なっている。；これらのことで心労が重なっていたのではないかと言われている。；入学後に肘を痛めてしまったことも重なって、野球生活の転機を迎える。；校章は、子葉から始まり成長していく緑の葉が5枚重なったものである。；LiDARは人物が重なって画像で判別しにくい時に有効だとされる。；生涯において偶然にも秋篠宮家とはいくつかの点で縁が重なっている。；カトリック百科事典によれば次の3人の像が重なっていると見られている。；国体開催時期が全日本シーズンと重なり、これまで出場できなかった為。；階段ピラミッドは、複数の層が重なり階段状になったピラミッドである。</t>
        </is>
      </c>
      <c r="J1512">
        <f>HYPERLINK("https://www.weblio.jp/content/重なる", "词义详情")</f>
        <v/>
      </c>
      <c r="K1512">
        <f>HYPERLINK("https://yourei.jp/重なる", "查看例句")</f>
        <v/>
      </c>
    </row>
    <row r="1513">
      <c r="A1513" t="inlineStr">
        <is>
          <t>重ねて</t>
        </is>
      </c>
      <c r="B1513" t="inlineStr">
        <is>
          <t>成功</t>
        </is>
      </c>
      <c r="C1513" t="inlineStr">
        <is>
          <t>読み方：かさねて
［副］
１同じことを繰り返すさま。もう一度。再び。「—注意する」
２この次。今後。
「右の御算用は—きっと致さるるでござらうず。只今の代はりは持って参った」〈虎明狂・千鳥〉</t>
        </is>
      </c>
      <c r="D1513" t="inlineStr">
        <is>
          <t>重ねていく(5%)；重ねていき；重ねてゆく；重ねて置い；重ねて着</t>
        </is>
      </c>
      <c r="E1513" t="inlineStr">
        <is>
          <t>また；さらに；再び；しばしば；又</t>
        </is>
      </c>
      <c r="F1513" t="inlineStr">
        <is>
          <t>重ねて訊く；重ねてたずね；重ねてお願い；重ねて訊きまし；重ねて問い</t>
        </is>
      </c>
      <c r="H1513" t="n">
        <v>29</v>
      </c>
      <c r="I1513" t="inlineStr">
        <is>
          <t>このため党の有力者である北側一雄が安定した戦いで当選を重ねている。；残された世界の人々がどれだけ調査を重ねても原因がわかることはなかった。；装備品以外のアイテムは、同じ種類のアイテム複数個を重ねて扱われる。；以後、改良を重ねており、現在は節水型トイレが標準商品となっている。；時代を重ねて翻訳と写本が重ねられたことで、複数の言語の版がある。；選択したプレイヤーキャラクター以外のキャラクターと対戦を重ねていく。；しかしながら多くのものはこの作品をポターの幸せな日々と重ねて見ている。；現在は使用されない古いハングル字母であり、を重ねて作られている。；第4版の用語修正版に版を重ねており、世界でも広く使われている。；その後も国内のソープオペラなどに出演してキャリアを重ねていく。；半世紀以上の歴史の中で、部門数・名称・内容は数々の変遷を重ねている。；その後も着々とキャリアを重ねていき、徐々に映画への出演も増えていった。；新しいタイトルが追加されていく中で、以前のものは何度か改訂を重ねている。；この作品は戦後ドイツ最初のベストセラーとなり、現在でも版を重ねている。；長母音を表記するための専用の文字はなく、母音字を二つ重ねて表す。；重ねて言うが、妻の金にならない趣味はどうにかして止めさせる事だ。；連合国は重ねて引き渡し要求を行わず、欠席裁判を行うこともなかった。；長年にわたり仏教者の立場から国内外でイスラム教との交流を重ねてきた。；これ聴きながら彼女の曲にそっと自分の思い出を重ねてみるのも一興。；台紙は何枚か重ねて使うので、同じ柄の型紙が一回の彫刻で複数枚出来る。；重要NPCは少しずつ年齢を重ねていき、世界情勢も更新されていく。；背景画の上に、キャラクター別に作成されたセル画を重ねて撮影する。；以来、彼らの集会で音楽を用いる習慣は多くの発展を重ねてきた。；ゲーム中各プレイヤーは、下のカードが見えるように順に重ねてカードを置く。；ただし、前作までのように同じ特性を重ねてもそれが強化される事は無くなった。；その後プロテスタントの教会は分裂・分離を重ねて多くの様々な教派が現れた。；放送上は、紹介中の映像に、日本語・英語両方の字幕を重ねていた。；以後、復帰も目指してSEパルメイラスの設備を借りて練習を重ねていた。；しかし初期の教育制度は未整備で学校制度は様々な試行錯誤を重ねていく。</t>
        </is>
      </c>
      <c r="J1513">
        <f>HYPERLINK("https://www.weblio.jp/content/重ねて", "词义详情")</f>
        <v/>
      </c>
      <c r="K1513">
        <f>HYPERLINK("https://yourei.jp/重ねて", "查看例句")</f>
        <v/>
      </c>
    </row>
    <row r="1514">
      <c r="A1514" t="inlineStr">
        <is>
          <t>重ねる</t>
        </is>
      </c>
      <c r="B1514" t="inlineStr">
        <is>
          <t>成功</t>
        </is>
      </c>
      <c r="C1514" t="inlineStr">
        <is>
          <t>読み方：かさねる
［動ナ下一］［文］かさ・ぬ［ナ下二］
１物の上に、さらにそれと同類の物を載せる。「書類を—・ねる」「着物を—・ねて着る」
２ある物事に、さらにそれと同類の物事を加える。また、同じことを何度も繰り返す。「悪事を—・ねる」「努力を—・ねる」「年月を—・ねる」
→積(つ)む［用法］</t>
        </is>
      </c>
      <c r="D1514" t="inlineStr">
        <is>
          <t>重ねる毎</t>
        </is>
      </c>
      <c r="E1514" t="inlineStr">
        <is>
          <t>再現；繰り返す；反復；積む；盛り上げ</t>
        </is>
      </c>
      <c r="F1514" t="inlineStr">
        <is>
          <t>塗り重ねる</t>
        </is>
      </c>
      <c r="H1514" t="n">
        <v>29</v>
      </c>
      <c r="I1514" t="inlineStr">
        <is>
          <t>飛行機の研究の初期には、より多くの主翼を重ねる研究もなされていた。；シリーズを重ねるごとにゲーム性が進化しているが、以下の特徴がある。；大会が歴史を重ねるにつれて何度かの大規模なコース改造も行われてきた。；本の内容は版を重ねるに従って改訂され、政治的な傾向を増していった。；柳井はその人気ゆえに敗北を重ねると言った、皮肉な結果を生んでいる。；ポジショニングに優れ、ゴール下から確実に得点を重ねることが出来る。；光の波長に合わせて層を重ねることでさらに反射を抑えることができる。；以後数年ごとに版を重ねるに従って最後の部分が少しずつ追記されている。；財産を形成したクラッススの次の関心は政治キャリアを重ねることであった。；刊行された書籍は各地で覆刻され版を重ねることが少なくなかった。；そのため回を重ねるごとに地の声に近づくよう、少しずつ軌道修正していった。；アルバムリリースを重ねるごとに熱心なファンを作り出すことに成功。；専門学校卒業後、メンバー脱退などを経てライブを中心に活動を重ねる。；キャラクターは世代を重ねることで能力面でも強化されていく。；イタリアとヨーロッパが分裂し、混乱を重ねる時代だったのである。；限られた時間の中でがむしゃらに練習を重ねる富士夫と家族の絆を描く。；また回を重ねるごとにキャラクターが崩壊するレギュラーメンバーも多い。；ひとつのマス目には味方のユニットを3ユニットまで重ねることができる。；初期の版を発売後、版を重ねるにつれて名称の変更や派生版を生じている。；また当初は折り合いが心配されていたが、年を重ねるごとに克服した。；回を重ねることにカメラの台数・スタッフの数が増加していった。；試合を重ねるごとに内容が良化し結果も伴うようになった。；その後も同劇場に出演を重ねる事となり、首席指揮者に任命される。；令狐冲と交流を重ねるうちに任盈盈は彼の真っ直ぐな心に惹かれていく。；シリーズを重ねるごとに、属性体系はより整理、洗練される傾向にある。；右の衿を前に胸に沿わせ、左の衿をその上に重ねるように身につける。；チームは試合を重ねる毎に失点を増やし、CBの層の薄さが問題となる。；今、韜の為に宣を殺そうとしておりますが、これは禍を重ねるだけです。；またシリーズを重ねるごとに声が高くなり、発言内容にも冗長さが増す。</t>
        </is>
      </c>
      <c r="J1514">
        <f>HYPERLINK("https://www.weblio.jp/content/重ねる", "词义详情")</f>
        <v/>
      </c>
      <c r="K1514">
        <f>HYPERLINK("https://yourei.jp/重ねる", "查看例句")</f>
        <v/>
      </c>
    </row>
    <row r="1515">
      <c r="A1515" t="inlineStr">
        <is>
          <t>嵩張る</t>
        </is>
      </c>
      <c r="B1515" t="inlineStr">
        <is>
          <t>成功</t>
        </is>
      </c>
      <c r="C1515" t="inlineStr">
        <is>
          <t>読み方：かさばる
［動ラ五（四）］物のかさが増す。体積が大きくて場所をとる。「荷物が—・る」</t>
        </is>
      </c>
      <c r="H1515" t="n">
        <v>29</v>
      </c>
      <c r="I1515" t="inlineStr">
        <is>
          <t>連れてきた人間も、嵩張ってそうな荷物もありませんでした。；電話代が嵩張るけどそんなの俺の知った事じゃない。；嵩張らず値の張る薬だけを選んだことに腹を立てていた。；大銀貨で十リラと交換するといいはしたが、それがどれだけ嵩張るかわからない。；ロープの束を全部頂戴したんじゃ嵩張るし、残りの始末にも困るでしょう。；これを放置しておくとたいへん嵩張って邪魔になるので、彼らは一本一本切り落としていた。；それはしきたりを無視した現れかもしれないが、みていて自然ではなく、男の方だけが嵩張っている感じだった。；この方法を使用すると嵩張ってしまうことがあるが、放熱の関係上、こちらが一番有利になることもある。；強力な8基のエンジンと上部デッキに車両や嵩張る荷物を搭載できるように大きな機首ドアを装備した機体は軍事利用を考えて設計されていた。；たかが消しゴムとはいえ、それが十二個にもなると、結構嵩張る。；それまで使用されていたROMカートリッジは大きさが嵩張り、流通上負荷が生じていた。；一方、M1903よりも重量があり嵩張るという指摘は純粋な問題点だった。；もう五十に手が届くが、少しでも仕事が嵩張ると、意地も見栄もなくすぐに本社に泣きを入れてくる。；見ると、何か嵩張る箱のようなものを背負って、額に汗を掻いて大分疲労れた体である。；箱入りでは嵩張って荷物として隠しようがないのである。；このデザインにすると、燃焼時間が長くなり、かつ嵩張らない。；しかし同銃は堅牢で信頼性と射撃性能に優れる一方、やや重く嵩張る銃でもあった。；実際軽いけれどこんな嵩張るものとは思いがけなかった。；それもあの嵩張りようからして、相当のだ。；リヴォルヴァーは嵩張るのでやめておくことにし、オートマティックの拳銃をいくつか取り出してみた。；船舶や航空機では輸送力が限られているため、固形式のように嵩張るものは営業上の不利益が生じやすい。；ゴミとしては、重量の割に嵩張ること等が処分費用の高騰に伴い問題となっている。；二人が担いでいる道具は全く物凄いものに見えたが、それは嵩張ってこそいたけれども、重さは実際にはないに等しかった。；バラストタンクで浮き沈みの制御も考案したが、生産はされておらず、重量と嵩張りから機能しなかっであろうと推測されている。；そして嵩張った紙幣束を金庫にしまってから、こんどは真剣に考えこみましたね。；安価で嵩張らないため、土産物・記念品・ノベルティとしても人気である。；生地が重く嵩張ること、また製造に使用するマネキンをサイズ毎に準備する必要があることから小刻みなサイズ設定ができないことが欠点である。；戦後になってようやくソ連の航空技術者に重量物や嵩張る貨物を搭載可能な中型グライダーを開発するようにという命令が出された。；むろん、音を出さぬ時のスピーカー・エンクロージアは、部屋の壁ぎわに置かれた不様な箱であり、私の家の場合でいえば非常に嵩張った物体である。</t>
        </is>
      </c>
      <c r="J1515">
        <f>HYPERLINK("https://www.weblio.jp/content/嵩張る", "词义详情")</f>
        <v/>
      </c>
      <c r="K1515">
        <f>HYPERLINK("https://yourei.jp/嵩張る", "查看例句")</f>
        <v/>
      </c>
    </row>
    <row r="1516">
      <c r="A1516" t="inlineStr">
        <is>
          <t>嵩む</t>
        </is>
      </c>
      <c r="B1516" t="inlineStr">
        <is>
          <t>成功</t>
        </is>
      </c>
      <c r="C1516" t="inlineStr">
        <is>
          <t>読み方：かさむ
［動マ五（四）］
１体積・分量・数量が増える。「荷が—・む」「本代が—・む」
２他に比べて程度が勝る。
「（義経ハ）頼朝に—・みて見ゆ」〈盛衰記・四六〉
３増長する。勢いに乗じる。
「駿河義元公、あまり—・みて信長に負け」〈甲陽軍鑑・一四〉</t>
        </is>
      </c>
      <c r="D1516" t="inlineStr">
        <is>
          <t>増加；上がる；伸びる；増える；アップ</t>
        </is>
      </c>
      <c r="H1516" t="n">
        <v>29</v>
      </c>
      <c r="I1516" t="inlineStr">
        <is>
          <t>台枠のみに強度を持たせたままでの鋼体化は重量が嵩むのが問題となる。；さらに機関を強化している関係上、同排水量の戦艦よりも建造費は嵩んだ。；それも、折れたころにはそれだけ入費が嵩んでいるというほどのものだった。；その上に当初領地が常陸と近江で飛地になっていたため、費用が嵩んだ。；また、シュマルカルデン同盟に参加することは経費の嵩むことであった。；お宮を早く帰せば銭も嵩まないと分っていたが、それは出来なかった。；これは付帯施設がすべて実現できなかったか、または費用が嵩みすぎるためであった。；そのために借金が嵩み、とうとう金貸しの勾当を殺してしまったのだ。；男が出来たとか、借金が嵩んだとか、必ず理由があり、原因がある。；直通真空ブレーキよりもかなり多くの部品を使っていて、費用が嵩んだためである。；荷主には借金が嵩んで、どこの山からも荷を送って来なくなった。；この局は維持コストが嵩んだために1948年に閉鎖された。；店への借金が嵩んだ場合、ホステスが考えるのは、三つか四つの方法である。；ところが、現場で複数の問題が起きたため、行程が何年も遅れて費用も嵩んだ。；その口実の裏には、費用が嵩むばかりで合わないという算盤があった。；野分で田圃と畑をやられ、おまけにおかみさんが病に倒れて薬料も嵩んだ。；それは完成するのにあまりに暇がかゝったし、費用が嵩んで、収益が少かった。；そのたびに私の借金は嵩み、働いても働いても減りはしない。；仮に行ったとしても、副生成物の除去や反応の制御などのために費用が嵩む。；それから又税金が嵩むので、自分は既に銃を捨てゝ其業を子に譲つたといつた。；あれじゃ工賃ばかり嵩んで仕事にはならんだろうな。；彼は下宿の借金が嵩んでいたので、主婦と顔を会わすのが怖かったのである。；ロスはトラブルを収めるためと会議費用を嵩ませないために立候補に同意した。；旅客機は軍用機と違い、企画・設計・生産以上に販売とサービス体制の構築に時間と費用が嵩むものであった。；機関砲は重量が嵩むため、電子ビームなどへの代替が検討されている。；大洋が予想より荒れていたので、安定装置だけでなく補整器にも負担が嵩んでしまいました。；気動車は、電車と比較した場合、変速機やエンジンの機構が複雑で経費が嵩む。；県外の日本国内で生産または供給される商品に関しては、輸送距離の関係から時間・費用が嵩み、輸送費の分だけ県外に比べ割高となってしまう。；書架を作った分、夫婦の寝室よりこの書庫の方が費用が嵩んでいるのではないだろうか。</t>
        </is>
      </c>
      <c r="J1516">
        <f>HYPERLINK("https://www.weblio.jp/content/嵩む", "词义详情")</f>
        <v/>
      </c>
      <c r="K1516">
        <f>HYPERLINK("https://yourei.jp/嵩む", "查看例句")</f>
        <v/>
      </c>
    </row>
    <row r="1517">
      <c r="A1517" t="inlineStr">
        <is>
          <t>飾り</t>
        </is>
      </c>
      <c r="B1517" t="inlineStr">
        <is>
          <t>成功</t>
        </is>
      </c>
      <c r="C1517" t="inlineStr">
        <is>
          <t>読み方：かざり
１飾ること。また、飾るもの。装飾。装飾品。「客間の—にする」「胸に花の—をつける」
２表面、外見をよく見せようと取り繕うこと。飾りけ。「—のない素朴な人柄」
３実質的な意味はもたず、体裁をととのえるために置かれるもの。「会長とはいっても—でしかない」
４（多く「お飾り」の形で）正月のしめ飾りや松飾り。《季新年》「めでたさや—の蜜柑盗まれて／子規」
５頭髪。髪の毛。
「何故—を切ったるぞ」〈伎・名歌徳〉
[補説]1で、金属製の装飾品は「錺り」とも書く。
[下接語] 腕飾り・襟飾り・御(お)飾り・髪飾り・首飾り・注連(しめ)飾り・妻飾り・床(とこ)飾り・鼻飾り・船(ふな)飾り・蓬莱(ほうらい)飾り・松飾り・耳飾り・棟(むね)飾り・輪飾り</t>
        </is>
      </c>
      <c r="D1517" t="inlineStr">
        <is>
          <t>飾りつけ(3%)；飾り付け(2%)；飾り毛；飾り帯；飾り紐</t>
        </is>
      </c>
      <c r="E1517" t="inlineStr">
        <is>
          <t>模様；装飾；化粧；外装；修飾</t>
        </is>
      </c>
      <c r="F1517" t="inlineStr">
        <is>
          <t>頭飾り；羽根飾り；頸飾り；縁飾り；花飾り</t>
        </is>
      </c>
      <c r="G1517" t="inlineStr">
        <is>
          <t>飾り気；飾りつけ；飾りたて；飾り物；飾り棚</t>
        </is>
      </c>
      <c r="H1517" t="n">
        <v>29</v>
      </c>
      <c r="I1517" t="inlineStr">
        <is>
          <t>加えて、頭部には羽飾り状のセンサーユニットを装備し通信機能を強化。；特にその家庭に子供がいない場合であっても七夕飾りが立てられるがある。；これらの列車は白を主色調とし、両側にそれぞれ濃い紫の飾り帯がある。；装飾や仏具・家具などの飾り金具などを主に制作するための技術である。；冬に赤く美しい果実をつけるため栽培され、また正月の飾りに使われる。；これらは馬にまたがり、羽飾りをつけること以外は出鱈目なものである。；回りには、非常に予算をかけた飾り付けが行われ、地域の財政力を示す。；キリスト教の場合は、クリスマスの飾りが日本でもよく知られている。；額から長い冠羽が突き出ており、目の後ろには細くて白い飾り羽もある。；小さな髑髏の髪飾りは宇宙海賊になってから付け始めたものではない。；以上のほかに、様々な飾り・デザインを組み合わせた原稿用紙もある。；そのためこのころ「かんざし」と呼べば髪飾り一般を指す名称であった。；本物の提灯の内輪に帽子を模した飾りや、照明が入ったものもみられる。；顔の形は耳からの長い飾り毛の為に横に広がって見える。；猫の耳のついた髪飾りあるいは演劇・コスプレのコスチュームの一種である。；また、オウルベアの住む家も形や色、飾りなどから好きな家を作成できる。；概して地味な羽色だが、一部の種の雄は派手な色の羽や飾り羽を持つ。；町内によって異なるが毎年5月頃より大七夕向けの飾りの制作が始まる。；フサリアの羽根飾りは攻撃時に使用する場合としない場合があった。；この飾り羽が長い耳のように見えるのでこの名がある。；一部のアーティストは表紙を何度も飾り、それはアイコンのようになった。；このニュースは翌日の新聞の一面を飾り、バンドは意図せずして大きな宣伝効果を得た。；車号標記は南海電気鉄道の車両と同様に飾り文字が用いられている。；商店などでは祭り当日まで他人に飾りを見せないしきたりになっているという。；玉箒と呼ばれて古くから箒の材料とされ、正月の飾りなどにもされた。；はじめこの刀は、柄に鳥の飾りがあったことから「千鳥」と呼ばれた。；上段正面背部には押し板と違い棚が設けられ、座敷飾りの場所となった。；飾り切りなどを用いた同様の食材の加工法には以下のものがある。；特徴的ないぼ状の頭飾りをつけていて、神官の座像と考えられている。</t>
        </is>
      </c>
      <c r="J1517">
        <f>HYPERLINK("https://www.weblio.jp/content/飾り", "词义详情")</f>
        <v/>
      </c>
      <c r="K1517">
        <f>HYPERLINK("https://yourei.jp/飾り", "查看例句")</f>
        <v/>
      </c>
    </row>
    <row r="1518">
      <c r="A1518" t="inlineStr">
        <is>
          <t>飾る</t>
        </is>
      </c>
      <c r="B1518" t="inlineStr">
        <is>
          <t>成功</t>
        </is>
      </c>
      <c r="C1518" t="inlineStr">
        <is>
          <t>読み方：かざる
［動ラ五（四）］
１他の物を添えたり、手を加えたりするなどして、美しく見せるようにする。装飾する。「食卓を花で—・る」
２物を、人目につくように工夫して、置き並べる。「商品をウインドーに—・る」「雛人形(ひなにんぎょう)を壇に—・る」
３表面をよく見せる。取り繕う。「体裁を—・る」「—・らない人柄」「言葉を—・る」
４りっぱにやり遂げることによって、価値あるものにする。華やかさやすばらしさを添える。「白星で初日を—・る」「有終の美を—・る」「歴史の一ページを—・る壮挙」
５設ける。構える。
「高座を—・ってくだされ」〈狂言記拾・泣尼〉
[可能]かざれる
[下接句]過ちを文(かざ)る・売り物には花を飾れ・綺羅(きら)を飾る・故郷へ錦(にしき)を飾る・言葉を飾る・小人(しょうじん)の過つや必ず文(かざ)る・掉尾(ちょうび)を飾る・錦を飾る・辺幅(へんぷく)を飾る</t>
        </is>
      </c>
      <c r="D1518" t="inlineStr">
        <is>
          <t>飾るべき；飾るべく</t>
        </is>
      </c>
      <c r="E1518" t="inlineStr">
        <is>
          <t>装飾；化粧；修飾；美化；装う</t>
        </is>
      </c>
      <c r="H1518" t="n">
        <v>29</v>
      </c>
      <c r="I1518" t="inlineStr">
        <is>
          <t>彼らがレストランを訪れたときの写真が飾られていることも少なくない。；しかし江戸時代後期になって再び床に飾るようになったと考えられる。；この危機を乗り越えて米村は巨人相手に初完投勝利を飾ることとなった。；サンタフェ鉄道で貨物用機関車がこれほど飾られたのは初めてであった。；絵が得意で個展を開いたり、かつて経営していたカフェにも飾っていた。；この地のすべての兵士の墓を飾るための日とするよう命令を出すつもりである。；さらに専用の額も販売されており、それに入れて飾ることもできる。；また番組のセットにはゲストMCを行った人の写真が飾られている。；生花は江戸時代に床の間を飾る為に成立した古典様式のいけばなである。；彼女の墓は今も見ることができ、今も花と印であるザクロで飾られている。；メキシコでは迎える年の願いを示す色で家庭やパーティ会場を飾る。；竜太の父は、もったいないからと言って、天皇の写真を飾ろうとはしない。；作詞・作曲を担当した山本正之の作曲家デビューを飾った曲でもある。；おそらく、墓を飾るために紀元前3世紀はじめまでに描かれたものだろう。；これらのコレクションは大学の廊下やホール、教室等に飾られている。；外壁は赤・黄・黒の三色で彩色された精巧な木彫り装飾で飾られている。；アメリカ人形だけでは淋しいと日本人形と一緒に飾られた事例もある。；市庁舎ホールの下層は、市の歴史をテーマとした壁絵で飾られている。；勝頼はそのような一種の理想主義を持って自らを飾ろうとする武将であった。；ある将校がおかわりをしようとし、酒壺に飾られた雄鶏の尻尾に気付く。；四分割された変形の盾の上に王冠と旗が飾られたデザインが採用されている。；また、ルートヴィヒ5世とフリードリヒ5世の二人の像が飾られている。；このタウンホールの塔の下にはヴァラジュディンの紋章が飾られている。；他の説ではドラゴンは最初は紋章を飾る唯一の装飾であったと言うものである。；趣味は動物の骨をコレクションして自分の部屋や台所に飾ること。；初期は漫画のイラストではなく、当時の人気子役が表紙を飾っていた。；また、ホールには歴代のアメリカ合衆国大統領の肖像画が飾られている。；画像は二人の女性を伴った「牛跳び」の壁画でこの宮殿を飾っていたもの。；それらの作品は外部の展示館に飾られると噂されていた。</t>
        </is>
      </c>
      <c r="J1518">
        <f>HYPERLINK("https://www.weblio.jp/content/飾る", "词义详情")</f>
        <v/>
      </c>
      <c r="K1518">
        <f>HYPERLINK("https://yourei.jp/飾る", "查看例句")</f>
        <v/>
      </c>
    </row>
    <row r="1519">
      <c r="A1519" t="inlineStr">
        <is>
          <t>火山</t>
        </is>
      </c>
      <c r="B1519" t="inlineStr">
        <is>
          <t>成功</t>
        </is>
      </c>
      <c r="C1519" t="inlineStr">
        <is>
          <t>読み方：かざん
地下のマグマやその生成物が地表に噴出して生じた地形。マグマの性質により噴火の形式が異なり、形態もそれによって山状をなすなど多様。→活火山→常時観測火山</t>
        </is>
      </c>
      <c r="D1519" t="inlineStr">
        <is>
          <t>火山性(7%)；火山群(4%)；火山地帯；火山砕屑物；火山泥流</t>
        </is>
      </c>
      <c r="E1519" t="inlineStr">
        <is>
          <t>噴火山</t>
        </is>
      </c>
      <c r="F1519" t="inlineStr">
        <is>
          <t>カルデラ火山；活発な火山；白根火山；非火山；第四紀火山</t>
        </is>
      </c>
      <c r="G1519" t="inlineStr">
        <is>
          <t>火山灰；火山岩；火山島；火山噴火；火山ガス</t>
        </is>
      </c>
      <c r="H1519" t="n">
        <v>29</v>
      </c>
      <c r="I1519" t="inlineStr">
        <is>
          <t>古くは雷と火山の神であったと思われるが、後に炎と鍛冶の神とされた。；この中で先小御岳が最も古く、数十万年前の更新世にできた火山である。；これは火山の定義からは外れているため、第四紀火山には分類されない。；セントヘレンズ山は州内で現在も活動を続けている唯一の火山である。；マグマが存在する、すなわち地表に火山が存在する場所は限られている。；阿蘇山は巨大な火山ゆえに、その周辺はたくさんの温泉に恵まれている。；火山に近く泉源数が多いため、市内の入浴施設のほとんどが温泉である。；この小さな火山がかつて巨大なクレーターを作り、湖にしたのである。；そのため、通常はキラウエア火山は世界一安全な火山とも言われている。；湖の中にある島の火山の源は、はっきりと目にすることができる。；太平洋プレートと南極プレートの境界でも同様に火山・地震とも少ない。；主に気象情報の発表や地震火山の観測などの業務を担当している。；一番古い小御岳火山は今の富士山の場所で10万年以上前に活動していた。；また北米始め世界の火山研究機関に向けて詳細なデータを送り続ける。；その地点上で火山が発生し、海上にまで成長することで島ができる。；普段はおとなしいが、数年ごとに噴出し小さな火山のようになっている。；多くの火山研究者はシュナイダーの分類用語を使わないことを推奨している。；火山性の地形のために、比較的深い海にまで潜ることができるのが魅力である。；東側の海岸を除く3方向が山に囲まれており、これらは全て第四期の火山である。；火山の形成過程を人類が詳細に記録した唯一の例である。；火山の惑星ムスタファーに逃げていた分離主義勢力のトップらも全員殺害。；つまり、クレーターが形成されるそばから火山物質が埋めてしまうのである。；東北地方各県の気象情報の発表や、地震・火山の観測などを行なっている。；最近の研究でも、この無名の火山が活動している可能性を示す証拠が見つかった。；この中で先小御岳が最古であり、数十万年前の更新世にできた火山である。；ホテルの前では、無料アトラクションの火山ショーが毎晩行われている。；その後十勝火山群は休息期に入ったが、約1万年前に活動を再開した。；この新火山は1948年のオスロでの世界火山会議において報告された。；火山は噴出する場所、特に水の存在によって噴火の様式が大きく変わる。</t>
        </is>
      </c>
      <c r="J1519">
        <f>HYPERLINK("https://www.weblio.jp/content/火山", "词义详情")</f>
        <v/>
      </c>
      <c r="K1519">
        <f>HYPERLINK("https://yourei.jp/火山", "查看例句")</f>
        <v/>
      </c>
    </row>
    <row r="1520">
      <c r="A1520" t="inlineStr">
        <is>
          <t>貸し</t>
        </is>
      </c>
      <c r="B1520" t="inlineStr">
        <is>
          <t>成功</t>
        </is>
      </c>
      <c r="C1520" t="inlineStr">
        <is>
          <t>読み方：かし
１貸すこと。また、貸した金品。「君には一万円の—がある」⇔借り。
２他人に利益や恩義を与えて、まだその返礼を受けていないこと。「彼に仕事を世話した—がある」⇔借り。
３簿記で、「貸し方」の略。⇔借り。</t>
        </is>
      </c>
      <c r="D1520" t="inlineStr">
        <is>
          <t>貸してくれる(5%)；貸し与え(2%)；貸してやる；貸してほしい；貸してください</t>
        </is>
      </c>
      <c r="E1520" t="inlineStr">
        <is>
          <t>信用；名誉；クレジット；面目；ローン</t>
        </is>
      </c>
      <c r="F1520" t="inlineStr">
        <is>
          <t>お貸し；貸してあげ；名義貸し；貸して欲しい；貸してもらう</t>
        </is>
      </c>
      <c r="G1520" t="inlineStr">
        <is>
          <t>貸し出さ；貸して；貸し付け；貸し出す；貸し借り</t>
        </is>
      </c>
      <c r="H1520" t="n">
        <v>29</v>
      </c>
      <c r="I1520" t="inlineStr">
        <is>
          <t>JR九州は敷地を貸しているのみで車両の管理には直接関与していない。；手紙にはウェルテルが長い旅に出るので銃を貸して欲しいと書いてある。；過去には貸しボートも行われていたが、1990年代前半に廃止された。；ある近隣住民はXが深夜突然トイレを貸してほしいと訪ねてきたと語る。；過去には、自分の名跡を人に貸していたためこの規定を利用した例もある。；さくらはハンカチを貸した際に泣き出した比呂人から何かを感じていた。；貸した土地に茶店等を設ける時は寺の許可とし茶店での宿泊はさせない。；僕は大企業が数社集まって貸しビデオ店をやったらどうかと思うな。；幼い頃に近所の住人から笛を貸してもらったことで、音楽に興味を抱く。；第二次世界大戦中はギリシャ軍に属し連合軍に船を貸したが撃沈された。；一軒分の家賃を払えない一家が一部の部屋をまた貸しすることはよくあった。；周辺に一周する散策路が整備されており、貸しボートと民宿が数軒ある。；そのため、現在では独立間もない若手の部屋持ち親方に部屋を貸している。；貸し室の用途には、修理工事以前と同様、結婚式の使用が認められている。；土地を貸して、「土地の貸し代」がその人の主たる収入になっている人。；机ひとつ貸す机貸し、部屋を貸す部屋貸し等スペースの提供の形も様々。；市では空き店舗の活用や貸し店舗改修費用の利子補助なども検討している。；冒険に帽子を忘れてきたビルボには、自分の濃い緑色の帽子を貸した。；もちろん実際は、いろいろな所でいろいろな大人達が知恵も力も貸している。；また、自身に回ってきた役職も、同僚議員に回すことで貸しをつくった。；ほとんどの人々は徒歩で小さな旅に出かけ、長い旅には貸し馬を雇った。；それ以外のライブやイベント向けにホール貸しも行っていた。；たった一人で娘を捜索しようとするハリーに彼女は護身用の銃を貸してくれる。；翌日、大勢の従者を引き連れた一行が宿を貸してほしいと訪ねてきた。；しかし、神様は死ぬほど努力をしたものにしか力を貸してくれない。；緑地を確保して市民に貸し与え、市民農園のようにして使うこともできる。；過去を失った男であったが、そんな彼に港町の人々は快く手を貸してくれる。；部屋を貸した男が10日間も部屋から出てこず、姿を見せないので不安だという。；そこで家族の財産の再建に力を貸したが、既に略奪しつくされた後であった。</t>
        </is>
      </c>
      <c r="J1520">
        <f>HYPERLINK("https://www.weblio.jp/content/貸し", "词义详情")</f>
        <v/>
      </c>
      <c r="K1520">
        <f>HYPERLINK("https://yourei.jp/貸し", "查看例句")</f>
        <v/>
      </c>
    </row>
    <row r="1521">
      <c r="A1521" t="inlineStr">
        <is>
          <t>火事</t>
        </is>
      </c>
      <c r="B1521" t="inlineStr">
        <is>
          <t>成功</t>
        </is>
      </c>
      <c r="C1521" t="inlineStr">
        <is>
          <t>読み方：かじ
建築物や山林などが焼けること。火災。「—になる」「隣家が—を出す」「船(ふな)—」《季冬》
[補説]曲名別項。→火事</t>
        </is>
      </c>
      <c r="D1521" t="inlineStr">
        <is>
          <t>火事騒ぎ；火事装束；火事対策；火事見物；火事現場</t>
        </is>
      </c>
      <c r="E1521" t="inlineStr">
        <is>
          <t>火；火災；燃焼；大火；烈火</t>
        </is>
      </c>
      <c r="F1521" t="inlineStr">
        <is>
          <t>船火事；遠い火事；白木屋火事；火事跡；昼火事</t>
        </is>
      </c>
      <c r="G1521" t="inlineStr">
        <is>
          <t>火事場のクソ力；火事場泥棒；火事場の馬鹿力；火事見舞；火事見舞い</t>
        </is>
      </c>
      <c r="H1521" t="n">
        <v>29</v>
      </c>
      <c r="I1521" t="inlineStr">
        <is>
          <t>火事の後に郡庁舎が再建され、三階が建て増されたが完成はしなかった。；彼らが出発するとレジスタンス勢力との衝突が起こり、火事が発生した。；最初のものは火事か略奪で破壊され、黒い大理石の板の下に埋められた。；この橋は古くなったり、火事にあったりして何度か架け替えられている。；前作のデザインから、火事のためにできた傷跡を追加し、髪を短くした。；草原で火事があるとその跡に戻り、新芽を食べる姿がしばしば見られる。；書庫は火事が起こっても書物が燃えることのないよう不可燃性であった。；自主的に火事の罹災者を自宅に保護するなどの活動にも取り組んでいた。；すると近所で火事があり、自分の首を提灯のように持ってその場を逃げる。；また、火事等の後放棄されるビルが多く、事態を一層悪化させている。；落語会の会場の横の建物が火事となり、着物にスニーカーで避難をした。；しかし、記録に残っているのは前述のグローブ座の火事の時が最初である。；彼女の素晴らしい生活は、火事で夫と娘を突然失ったことで崩壊する。；今度は火事が起こる前の吾朗の家近くに来ると、そこには一夫も来ていた。；この火事は、ウガンダの政府に教団で起こっていることを警告していた。；しかしキドは火事にあったとき父親を殺してしまったので出ることを拒否した。；火事による焼死かと思われたが、遺体の状態から刺殺であることが判明。；火事が起きたのは、学生が卒業制作展に向けて作業している最中であった。；この火事はある女性がその詳細をほぼ完全に予言していたという記録がある。；ただし2軒目以降の家を買うと、頻繁に火事イベントが発生するようになる。；ホーボーケンは連続した火事を経験したが、この幾つかは放火と判明した。；これは火事や竜巻よりも被害が大きく、その年の収穫に大きな影響が出る。；その間に、教会に子ども達が来ていたが、教会が火事になってしまう。；同じ場所に新しい裁判所を造ったが、これも1878年の火事で焼けた。；ドクが病院にいる間、家がもう少しで火事になるところだったのだ。；そこで、彼の地下研究所を見つけるが、原因不明の火事が起こっていた。；イタリアを訪れ、古典の書籍を集めて学ぶが、火事で資料を失った。；この時の撤去の手法はまず撤去の旨触書を発した後にわざと火をつけ火事を起こした。；土蔵よりも安価で築造できる上、火事にも強いため庶民の間に普及した。</t>
        </is>
      </c>
      <c r="J1521">
        <f>HYPERLINK("https://www.weblio.jp/content/火事", "词义详情")</f>
        <v/>
      </c>
      <c r="K1521">
        <f>HYPERLINK("https://yourei.jp/火事", "查看例句")</f>
        <v/>
      </c>
    </row>
    <row r="1522">
      <c r="A1522" t="inlineStr">
        <is>
          <t>家事</t>
        </is>
      </c>
      <c r="B1522" t="inlineStr">
        <is>
          <t>成功</t>
        </is>
      </c>
      <c r="C1522" t="inlineStr">
        <is>
          <t>読み方：かじ
１家庭内の事情や事柄。「—の都合により休暇」
２掃除・洗濯・食事の支度・育児など、家庭生活に欠かせない仕事。「—手伝い」「—に追われる」</t>
        </is>
      </c>
      <c r="D1522" t="inlineStr">
        <is>
          <t>家事全般(3%)；家事一切；家事紛争；家事万端；家事いっさい</t>
        </is>
      </c>
      <c r="E1522" t="inlineStr">
        <is>
          <t>世帯；家政；所帯；ハウスキーピング</t>
        </is>
      </c>
      <c r="F1522" t="inlineStr">
        <is>
          <t>家事分担；家事不；家事科；家事室；家事ロボット</t>
        </is>
      </c>
      <c r="G1522" t="inlineStr">
        <is>
          <t>家事手伝い；家事労働；家事使用人；家事審判；家事事件</t>
        </is>
      </c>
      <c r="H1522" t="n">
        <v>29</v>
      </c>
      <c r="I1522" t="inlineStr">
        <is>
          <t>場所によっては男性が女性の代わりに料理などの家事を行う日とされる。；一番上の姉娘は父親といっしょに家事の監督のため家に残ることになった。；戦後男性が軍隊任務から戻ってくると多くの女性は家事仕事に戻った。；クラークは、家事の責任を持つことは作曲よりも大事なことだと考えた。；家事・育児は協力するからと勧められて大学院へ進み、研究者になった。；女性が通常よりも多くの家事を行った場合に、平均を超える可能性がある。；この時間では、部屋にいるのは家事に忙殺されている主婦ばかりだった。；彼の部屋の壁に固定された棚には彼の家事用の銀器がいっぱい置かれていた。；家事の命令なども思い思いのものとならざるを得ないように思われる。；明るくて人気者、勉強もスポーツも出来るが家事が一切ダメな姉の百萌。；男も女も何か事があると、そういう風俗をして現代の街を歩いて居た。；さういふことがあつた後には反作用的に家事に熱心になるのが常であつた。；また、嫁たちは家事の大半を担っており、週単位で仕事を交代していた。；身体が弱くなって昔みたいに家事をすることができなくなっていましたから。；何か事が起こらなければ、嵐をついて馬を飛ばしてくるはずがなかった。；友人同士で何か事を起こす時は、決まって彼に世話役が押しつけられた。；なお何か事のある時分には一万あるいは十万の燈明を上げることがある。；兄が死んでから後は、何か事が起こり出すと、つづいて起こるようだった。；大半の奴隷所有世帯には、主に家事をこなす奴隷が数人いるだけだった。；彼は家事向きの番頭となり、店では用のない存在となってしまった。；普段は髪をそのまま下ろしているが、家事をするときには後ろで束ねている。；これからなにか事があれば、かれらを裏切らなければならないだろう。；その母は家事をする傍ら彼に音読をさせ、声に出して文章を読む習慣をつけた。；女性は家で家事を行ったため漁労の様子が見えるよう台所は海側に作られた。；独身でも結婚していても女性の肩には多くの家事負担がのしかかっている。；先祖の財産を受けついでからは、家事万端を自らこの手ににぎっている。；一体、何か事あるごとに一々そこへ巡査を呼んで来たりするのはよくない。；基本的なことは教わったが、家事に追われてさらに勉強する時間はなかった。；で日本語の講師をしており家にいないため、家事は夫である本人が行っているという。</t>
        </is>
      </c>
      <c r="J1522">
        <f>HYPERLINK("https://www.weblio.jp/content/家事", "词义详情")</f>
        <v/>
      </c>
      <c r="K1522">
        <f>HYPERLINK("https://yourei.jp/家事", "查看例句")</f>
        <v/>
      </c>
    </row>
    <row r="1523">
      <c r="A1523" t="inlineStr">
        <is>
          <t>賢い</t>
        </is>
      </c>
      <c r="B1523" t="inlineStr">
        <is>
          <t>成功</t>
        </is>
      </c>
      <c r="C1523" t="inlineStr">
        <is>
          <t>読み方：かしこい
［形］［文］かしこ・し［ク］
１（賢い）頭の働きが鋭く、知能にすぐれている。利口だ。賢明だ。「—・くて聞き分けのいい子供」
２（賢い）抜け目がない。要領がいい。「あまり—・いやり方とはいえない」「もっと—・く立ち回れよ」
３恐れ多く、もったいない。
「おことばはまことに—・くて、なんとお答えいたしていいか、とみにことばもいでませぬ」〈賢治・北守将軍と三人兄弟の医者〉
４神や自然などの超越的なものに対して、畏怖の念を覚えるさま。恐ろしい。恐るべきだ。
「わたつみの—・き道を安けくもなく悩み来て」〈万・三六九四〉
５尊い。ありがたい。
「—・き御蔭をば頼みきこえながら」〈源・桐壺〉
６すばらしい。結構だ。りっぱだ。
「おのが—・きよしなど」〈枕・三〉
７都合がよい。運がいい。幸いだ。
「—・く京の程は雨も降らざりしぞかし」〈大鏡・道長下〉
８（連用形を用いて副詞的に）程度のはなはだしいさま。非常に。盛大に。
「いと—・く遊ぶ」〈竹取〉
[派生]かしこげ［形動］かしこさ［名］</t>
        </is>
      </c>
      <c r="D1523" t="inlineStr">
        <is>
          <t>賢い人(5%)；賢い女(3%)；賢い男(2%)；賢い子；賢い者</t>
        </is>
      </c>
      <c r="E1523" t="inlineStr">
        <is>
          <t>鋭い；ふさわしい；賢明；聡明；利口</t>
        </is>
      </c>
      <c r="F1523" t="inlineStr">
        <is>
          <t>より賢い；最も賢い；とても賢い；非常に賢い；一番賢い</t>
        </is>
      </c>
      <c r="G1523" t="inlineStr">
        <is>
          <t>賢い犬リリエンタール</t>
        </is>
      </c>
      <c r="H1523" t="n">
        <v>29</v>
      </c>
      <c r="I1523" t="inlineStr">
        <is>
          <t>神のお創りになった動物の中でも一番ずる賢いあの蛇が女に言いました。；それは、自分の恋せない心持の理由を知って居ることは賢いことである。；果して人間は何から何まで自分で自分の仕末の出来る賢い動物でせうか?；実をいえば、地球上でイルカより賢い生物はたった一種しかいなかった。；しかし同時に、あまり賢い子だと思われるのも避けたい、と思っている。；皇帝は、あれほど賢い男が住む街は保護する価値があると感じたのである。；どうせ、議論して相手を見下せば賢く見えるとでも思っているのだろう。；けれど歳をとったら賢くあらねばならないと誰が決めたのだろうか。；わたしはこれを塩で食べたのだが、これはわれながら賢かつたと思ふ。；幼い王子は驚くほどの賢い子供であったと同時代の人々は記している。；そういうふうにして賢く農業が再生されていくことは望ましいことである。；わたしははじめはわからなかったが、それは賢い方針の結果であった。；あなたは見たところがそんなにお美しいように、賢くていらっしゃるの?；さっき「賢い」と言われたのまでが、皮肉に感じられて仕方がなかった。；そのように逃げ去ってしまったのも、賢くて未来を予見したからである。；私の賢い妻のべリンダが、私の連れて行かれた先を見つけたのでした。；どうせ議論して相手を見下せば賢く見えるとでも思っているのだろう。；なんといってもあのかたは、あたしなんかよりずっと賢いかたなのだから。；私の見るところではおまへはおまへの恢復期を賢く暮してゐるやうだ。；強いてある一人の賢い者が、教えて広めたと見る必要はないのである。；あまり賢くない弟が、兄の威勢を肩に着ている様子がよく見えるでないか。；なぜといえば、ある大きな幸福のために苦しむのは、賢いことですから。；教書に書かれたことは実行されず、誰も賢くなることはないかもしれない。；近頃は馬も賢うなったな、馬方なしで一人で仕事してるがな、言うてな。；私は動物がこんな賢い様子をしているのを見て、大へん驚きました。；幼い頃からわきまえがあって賢く、心が広くゆったりした性格であった。；レースで勝つためには良い車だけでなく道路に応じた賢い運転が必要である。；突然話を振られ、慌てて口をぱくぱくとさせるが、根は賢い少年なのだ。；トトは飛び抜けて賢い子供ではなかったが、よく見える目を持っていた。</t>
        </is>
      </c>
      <c r="J1523">
        <f>HYPERLINK("https://www.weblio.jp/content/賢い", "词义详情")</f>
        <v/>
      </c>
      <c r="K1523">
        <f>HYPERLINK("https://yourei.jp/賢い", "查看例句")</f>
        <v/>
      </c>
    </row>
    <row r="1524">
      <c r="A1524" t="inlineStr">
        <is>
          <t>貸し出し</t>
        </is>
      </c>
      <c r="B1524" t="inlineStr">
        <is>
          <t>成功</t>
        </is>
      </c>
      <c r="C1524" t="inlineStr">
        <is>
          <t>読み方：かしだし
［名］(スル)
１物を貸して外部へ持ち出させること。「図書の—を停止する」
２金融機関などが、貸付金を支出すること。⇔借り入れ。</t>
        </is>
      </c>
      <c r="D1524" t="inlineStr">
        <is>
          <t>貸し出しカード；貸し出し用；貸し出しカウンター；貸し出しサービス；貸し出し業務</t>
        </is>
      </c>
      <c r="E1524" t="inlineStr">
        <is>
          <t>借り；貸し；借金；借用；ローン</t>
        </is>
      </c>
      <c r="F1524" t="inlineStr">
        <is>
          <t>無料貸し出し；館外貸し出し；一般貸し出し；相互貸し出し；図書貸し出し</t>
        </is>
      </c>
      <c r="H1524" t="n">
        <v>29</v>
      </c>
      <c r="I1524" t="inlineStr">
        <is>
          <t>自宅の一部をスタジオにして映画、テレビなどの収録に貸し出している。；ろくに相手を見ないて貸し出し業務をしてしまうのは、いつものことだ。；夕方、貸し出しの生徒がひけたころになっても頼子は戻ってこなかった。；その店ではレコードだけではなくそういったビデオも貸し出していた。；書籍や資料の貸し出しはしていないが、コピーや写真撮影は可能である。；大正天皇の即位を記念して設置され、図書の購入と貸し出しなどを行う。；ただし銀行の貸し出しは信用創造によるものだので意味が変わってくる。；じゃあ他の鍵がなきゃいけないけど、貸し出し用の鍵は一つだけだからね。；また、即日修理が出来ない場合は代替機の貸し出しを行ったりしている。；これらの作品は、警察署や役所・図書館などで貸し出しを行なっている。；そういえば、貸し出し中のあの本、予約しているのに、まだ来ないなあ。；また、奥の4畳半の間はお茶室となっており、一般に貸し出している。；以下はその一例であり、この他にも過去に貸し出しの実績がある。；貸し出しカードを作りますので、ここにお名前とサインをお願いします。；だったらおれのクラスにレンタル移籍で貸し出してくれって言ってんだよ。；採用曲が収められたオーディオ機器の貸し出しを現地で受けることができる。；「なんなんですか、これ」 図書館の貸し出しカード、ではなさそうだ。；園内には池もあり、釣りができるほか、ボートの貸し出しも行っている。；公園管理事務所には大小の研修室があり、一般向けに貸し出しをしている。；この施設は一般に利用することができるが、書籍の貸し出しは通常禁止されている。；カウンターで貸し出し作業をしているのは、がっちりした体型の男子だ。；トラック貸し出し時に作成した依頼書にはクリングの名前が記載されていた。；このため貸し出しは1階の10畳の部屋2室に限られるようになった。；今日は、拘置所で貸し出している本の交換日なので用意しとくように。；手こぎボートの貸し出しもあり、湖の上からも風景を楽しむことができる。；郡の移動図書館は、他の図書館を経由する遠隔貸し出しにも対応している。；地下は地下開架書庫があり、ここの資料を貸し出しすることも可能である。；なお、串間市が駅舎を民間に貸し出し、民間が経営する形態をとっている。；やつはその小僧をわざと小さくしておき、賃貸しで貸しだしをしてたんだ。</t>
        </is>
      </c>
      <c r="J1524">
        <f>HYPERLINK("https://www.weblio.jp/content/貸し出し", "词义详情")</f>
        <v/>
      </c>
      <c r="K1524">
        <f>HYPERLINK("https://yourei.jp/貸し出し", "查看例句")</f>
        <v/>
      </c>
    </row>
    <row r="1525">
      <c r="A1525" t="inlineStr">
        <is>
          <t>貸し出す</t>
        </is>
      </c>
      <c r="B1525" t="inlineStr">
        <is>
          <t>成功</t>
        </is>
      </c>
      <c r="C1525" t="inlineStr">
        <is>
          <t>読み方：かしだす
［動サ五（四）］
１公共機関などが物を貸して、外部へ持ち出すことを認める。「図書を—・す」
２公共機関・金融機関が貸し付けのために支出する。「資金を—・す」⇔借り入れる。</t>
        </is>
      </c>
      <c r="D1525" t="inlineStr">
        <is>
          <t>貸し出す船舶貸渡業を営ん</t>
        </is>
      </c>
      <c r="E1525" t="inlineStr">
        <is>
          <t>都合；貸す；融通；貸与；貸出</t>
        </is>
      </c>
      <c r="H1525" t="n">
        <v>29</v>
      </c>
      <c r="I1525" t="inlineStr">
        <is>
          <t>また教会には、それらの図書を維持し、他に貸し出す専門の神品がいた。；は、複数の企業から個人にオフィスを貸し出す分散型のセンターである。；周回するバスルートが複数あり、自転車を貸し出すところも複数ある。；客が自分の楽器を持ち込む場合もあれば、店が貸し出す楽器を使う場合もある。；現在は、匿名の所有者が貸し出す形でテート・モダンに展示されている。；なんでもきみの金属のお相手を六時間貸し出すのにサインしただけだって。；グエン卿は、この船を貸し出す条件に月の科学技術の供与を要求しました。；その後1982年に登場したコンパクトディスクも貸し出すようになった。；また各居室棟や工場の食堂内に図書コーナーを設置して自由に貸し出す方法などもある。；動態保存している車体はイベントなどに貸し出すこともある。；自店が営業していない日のみ貸し出すという形式のものもある。；前者は主に事業に必要な施設や設備等を低廉な費用で貸し出すなど、後者は経営・管理上の支援を提供する。；車両にない書籍に関しては、リクエストする事で確保した時に貸し出す様にしている。；そこには夏の間だけ貸し出すバンガローがあり、いまは季節はずれで誰もいないのだ。；そしてマスチクがうろついているのは明らかにそれをこの会社に貸し出そうと望んでいたからであつた。；夏になると、みんな自分の家を貸し出すので、入居者の募集は私の担当になります。；そのため多くの人は銀行が貸し出すお金は現金であると思い込む勘違いが存在する。；これらの劇場はフォーチュンエンターテイメント所属のタレント以外にも貸し出す旨を示している。；同様の理由でCRユニットとは別に玉貸機を設置し、そこから玉を貸し出す形にしているところもある。；この車両はグループに貸し出すこともでき、冬にはフォンデュ電車として走る。；母親が亡くなった後、家を押収されそうになったワーティーは家を維持するために部屋を貸し出すことにした。；ホテルが通常の営業を行っていたときは、そこがタオルを貸し出すカウンターになっていたのだろうと想像出来た。；インターネット環境を持っていない利用者のためにiPadを無料で貸し出すなど積極的に利用を呼びかけている。；コンピュータ・ツールや工作用具を貸し出すサービスを行っている場合もある。；配送料などは図書館が負担し、週1回まとめて取り寄せて市民に貸し出す。；織機を持っていない家には織機を貸し出すこともあった。；これはあくまで例示であり、これ以外を貸し出すこともある。；これは「もっとも設計値に近い、ベストな状態」にして貸し出すのが目的であったとのことである。；開業から当初は預金業務に特化し、集めた預金をきらぼし銀行に貸し出す。</t>
        </is>
      </c>
      <c r="J1525">
        <f>HYPERLINK("https://www.weblio.jp/content/貸し出す", "词义详情")</f>
        <v/>
      </c>
      <c r="K1525">
        <f>HYPERLINK("https://yourei.jp/貸し出す", "查看例句")</f>
        <v/>
      </c>
    </row>
    <row r="1526">
      <c r="A1526" t="inlineStr">
        <is>
          <t>過失</t>
        </is>
      </c>
      <c r="B1526" t="inlineStr">
        <is>
          <t>成功</t>
        </is>
      </c>
      <c r="C1526" t="inlineStr">
        <is>
          <t>読み方：かしつ
１不注意などによって生じたしくじり。過ち。
２法律用語。
㋐私法上、一定の事実を認識することができるはずなのに、不注意で認識しないこと。
㋑刑法上、行為者が不注意によって犯罪事実の発生を防止しなかった落ち度のある態度。⇔故意(こい)。
３欠点。
「—なき美人なりけり」〈盛衰記・一九〉</t>
        </is>
      </c>
      <c r="D1526" t="inlineStr">
        <is>
          <t>過失致死(4%)；過失死(4%)；過失論；過失島；過失なし</t>
        </is>
      </c>
      <c r="E1526" t="inlineStr">
        <is>
          <t>失敗；非；罪；間違い；障害</t>
        </is>
      </c>
      <c r="F1526" t="inlineStr">
        <is>
          <t>故意または過失；大きな過失；故意又は過失；小さな過失；新過失</t>
        </is>
      </c>
      <c r="G1526" t="inlineStr">
        <is>
          <t>過失責任；過失犯；過失割合；過失相殺；過失致死傷</t>
        </is>
      </c>
      <c r="H1526" t="n">
        <v>29</v>
      </c>
      <c r="I1526" t="inlineStr">
        <is>
          <t>しかし何もしないことほど大きな過失が人生にあろうとは思えない。；実際あの晩の彼は疑いを受けるに充分な過失ばかりをやって居ります。；きみはわしにも過失があると主張しているが、その主張には賛成できない。；過去の裁判で失火者の重大な過失と認められた主な失火原因は以下である。；それに気がつかなかったのはたしかに私の過失でなければならぬ。；旧過失論とは主観的な予見可能性が過失の本質であるとする見解である。；五〇 他の過失と他の作と不作とをず、たゞ己の作と不作とを觀るべし。；その過失を特に大きくしたわけは、会衆がそれを笑ったからであった。；ただし、工事車両が道路を運転中に過失で損壊した場合は罪に当たる。；その他特別法で重大な過失が問題となる場合としては次のような例がある。；こうした指示自体が間違っていた場合、それはエンジニアの過失となる。；それは、彼がけがをしたのが、彼の過失だからというのではなかった。；私に万一の過失をさせないやうに、私の手までも痺れさせてゐるのだ。；われわれの過失の方がわれわれ自身よりもさきに消滅するのだ。；それに、他人がきいて果して過失と信じてくれるかどうかもわからぬ。；今日といふ日がここに来てしまつてゐる事は取り返しのつかない過失だつた。；この事故の発生原因は特定されていないが、破壊工作や過失が疑われた。；そのため過失を心理状態とする理解とは理論上は距離が生じているとされている。；このような行政側の過失を認めた判決はこれが初めてである。；過失はむしろ隣人とは何人であるかを理解しようとせぬあなた自身の中にあります。；かかる過失は心の純なイデアリストがかえってしばしば犯すものである。；これで、やつとさうした過失に陥ることから免れることが出来たと思つた。；一方でゲーム人口の増加に伴い、過失事故やマナー違反も増えている。；しかし一度その変名で、失敗のようなまた過失の功名のようなことをした。；新過失論が具体化された法理として、許された危険や信頼の原則がある。；その上私たちが作る罪や過失の報いはいつまでも子孫の末に伝わって消えないのだ。；トレビシックはこれを重大な失敗とは考えず、むしろ運転手の過失と考えた。；併したつたこれだけのことで、彌惣の死を過失でないとは決められません。；魚雷開発を担当する監督はそれが乗組員に過失があったと主張した。</t>
        </is>
      </c>
      <c r="J1526">
        <f>HYPERLINK("https://www.weblio.jp/content/過失", "词义详情")</f>
        <v/>
      </c>
      <c r="K1526">
        <f>HYPERLINK("https://yourei.jp/過失", "查看例句")</f>
        <v/>
      </c>
    </row>
    <row r="1527">
      <c r="A1527" t="inlineStr">
        <is>
          <t>果実</t>
        </is>
      </c>
      <c r="B1527" t="inlineStr">
        <is>
          <t>成功</t>
        </is>
      </c>
      <c r="C1527" t="inlineStr">
        <is>
          <t>読み方：かじつ
１種子植物の花の子房が発達・変化したもの。中に種子を含む。狭義には、成熟した子房が主部になる真果(しんか)をさし、花托など子房以外の部分が主部になるものを仮果として区別することもある。果皮の性状から乾果と液果に分け、由来する子房が一つかそれ以上かによって単果と複果とに分けられる。実(み)。
２液果のうち、食用となるもの。くだもの。水菓子。
３精神的・肉体的な働きの成果。みのり。
「日本で結んだ学術の—を」〈鴎外・妄想〉
４法律用語。ある物（元物(げんぶつ)）から産出される収益物。穀物・羊毛・牛乳などの天然果実と、利息・地代・家賃などの法定果実とがある。</t>
        </is>
      </c>
      <c r="D1527" t="inlineStr">
        <is>
          <t>果実味；果実類；果実等；果実店；果実酒</t>
        </is>
      </c>
      <c r="E1527" t="inlineStr">
        <is>
          <t>実；木の実；ベリー；液果；漿果</t>
        </is>
      </c>
      <c r="F1527" t="inlineStr">
        <is>
          <t>未熟な果実；小さな果実；新鮮な果実；乾燥果実；若い果実</t>
        </is>
      </c>
      <c r="G1527" t="inlineStr">
        <is>
          <t>果実学；果実食主義</t>
        </is>
      </c>
      <c r="H1527" t="n">
        <v>29</v>
      </c>
      <c r="I1527" t="inlineStr">
        <is>
          <t>ただし、この鳥は目もよく発達しており、夜に洞窟外に出て果実を食う。；多くは市などへの野菜や果実の運搬・販売などに多く使用されている。；果実をとるもののほか、花を観賞する目的のためのものなど多数ある。；台湾では果実に砂糖を加えた水で煮込んだものを、茶の一種として飲む。；また熱帯では果実のみならず、葉から繊維を採って利用することがある。；この突然変異で、オレンジは茎と逆側の底部に第2の果実を生じさせた。；機械的に行うには、果実の大きさの穴が開いた回転籠が用いられる。；イネ科では果実になる前の花も内穎や護穎で包まれており、とよばれる。；食用する果実で有名なのは、古くからイチジクが世界的に良く知られる。；古代ギリシア人は接ぎ木によって果実の香りや色を改良するよう試みた。；果実の中には種子があり、これを発芽させて生長させることも可能である。；香草や果実などを使ったフレーバーウォッカも作られるようになった。；日本には生の果実は輸入されておらず、乾燥した羅漢果が輸入されている。；秋に果実が黄褐色になったときに採って、蒸した後に天日で乾燥させる。；果実は胞果で、花が終わった後に閉じた萼片に包まれ、五角形に見える。；秋の果実の生産が少ないとこれらの動物の冬期における死亡率が高くなる。；完成したときに果実の原型が比較的保たれているものはプレザーブという。；また果実を鳴らして遊ぶ子供たちの様子から「頬突き」の意であるともいう。；スモモ属からなるが、主に果実の特徴から5から7の亜属に分類される。；もちろんそんな訳はないのであって、実際には果実に見えるものが花序なのである。；日本への生果実の輸入はミカンコミバエ種群の発生地域からは不可。；ヤマモモの果実は鳥などに食べられ、消化された後に発芽する性質がある。；彼はペルシア語の詩作を趣味とし、良馬を好み、果実を好物としていた。；このほか、ナシ・リンゴ・アンズ・ブドウなどの果実も栽培されている。；無脊椎動物を食べる種が多いが、小型種は果実や種子などの植物質も食べる。；一見すると、木の肌に直接果実が着いているように見える。；これは前述のように2つの花から1つの果実が結実するように見えることによる。；主に動物の死骸を食べるが、果実や鳥の卵も食べることがある。；果実は鳥に食べられることで、種子が遠くに運ばれて分布を広げる。</t>
        </is>
      </c>
      <c r="J1527">
        <f>HYPERLINK("https://www.weblio.jp/content/果実", "词义详情")</f>
        <v/>
      </c>
      <c r="K1527">
        <f>HYPERLINK("https://yourei.jp/果実", "查看例句")</f>
        <v/>
      </c>
    </row>
    <row r="1528">
      <c r="A1528" t="inlineStr">
        <is>
          <t>画質</t>
        </is>
      </c>
      <c r="B1528" t="inlineStr">
        <is>
          <t>成功</t>
        </is>
      </c>
      <c r="C1528" t="inlineStr">
        <is>
          <t>読み方：がしつ
テレビ・写真などの、画像の質。</t>
        </is>
      </c>
      <c r="D1528" t="inlineStr">
        <is>
          <t>画質劣化(3%)；画質向上(2%)；画質面(2%)；画質低下；画質改善</t>
        </is>
      </c>
      <c r="F1528" t="inlineStr">
        <is>
          <t>通常画質；写真画質；大幅な画質；高い画質；良好な画質</t>
        </is>
      </c>
      <c r="H1528" t="n">
        <v>29</v>
      </c>
      <c r="I1528" t="inlineStr">
        <is>
          <t>映像はこれも総合テレビと同じで画質は総合テレビと比べると少し荒い。；販売用に撮影されたわけではないため、画質・音質がやや劣るのもある。；より生産数を多くできて画質も大きくは損なわれないサイズと考えられた。；デジタル画像の画質はフィルム式カメラと同様様々な要因で決定される。；当時の一般的なブラウン管と比較して値段の割りに画質が良くなかった。；自分たちが目標としている明るい画質が得られないからである。；画質にも若干改良が加えられており、こちらもロングセラーとなった。；そして番組にあわせて画質を設定できるシーンセレクト機能が搭載されている。；また画質なども家庭用ビデオカメラのような荒い画質で撮影されている。；この種のシェーディング言語は最高画質を目指して開発されている。；しかし必ずしもS端子で接続したほうが画質が良いとは限らない。；また、ハードの性能上昇に伴ってGC版に比べて画質が大幅に向上している。；画質が粗いので奇妙に思ったが、隅に書き込んである文面を見て納得した。；連写性能や画質を重視したハイアマチュアモデルと位置づけられている。；圧縮率や画質は向上しているが、その分再生速度、圧縮速度ともに落ちた。；このため、赤・緑に較べて青の色分解能は低くても画質に与える影響が少ない。；このため、衛星から得られる画像は大きく画質の劣るものになってしまった。；像の色を変更するのではなく、画質を調整する機能が主。；システムは前作と同様だが画質が強化されている。；画質自体は標準的な解像度だがDVD版よりも高ビットレートになっている。；多くのテレビでは画質を犠牲にして表示速度を最大にする「ゲームモード」が準備されている。；画質は伝送レートに依存し、伝送する側の事前の設定次第で変化する。；動画の画質が優れている事から、「高画質おじさん」とも呼ばれている。；画質についこだわってしまったが、それ以前の問題ではないか。；具体的には、光の当たり方の変化や画質の劣化、部分的な変動に対応できない。；法界坊以降の作品では、上映画質が低下しているといわれている。；この結果、歴史的なEVAを記録した映像は画質の悪いビデオ中継のものしか残されないこととなった。；六〇〇万画素でも、このぐらい拡大すると、多少画質が粗くなった。；たとえ同じ撮像素子を使っていても、カメラのメーカーが異なっていれば画質の傾向も違ってくる。</t>
        </is>
      </c>
      <c r="J1528">
        <f>HYPERLINK("https://www.weblio.jp/content/画質", "词义详情")</f>
        <v/>
      </c>
      <c r="K1528">
        <f>HYPERLINK("https://yourei.jp/画質", "查看例句")</f>
        <v/>
      </c>
    </row>
    <row r="1529">
      <c r="A1529" t="inlineStr">
        <is>
          <t>貸間</t>
        </is>
      </c>
      <c r="B1529" t="inlineStr">
        <is>
          <t>成功</t>
        </is>
      </c>
      <c r="C1529" t="inlineStr">
        <is>
          <t>読み方：かしま
料金を取って長期間人に貸す部屋。貸し室。</t>
        </is>
      </c>
      <c r="D1529" t="inlineStr">
        <is>
          <t>貸間あり(8%)；貸間探し(2%)；貸間さがし；貸間旅館；貸間業</t>
        </is>
      </c>
      <c r="H1529" t="n">
        <v>29</v>
      </c>
      <c r="I1529" t="inlineStr">
        <is>
          <t>いつも二三人の男が組みになって、やすい貸間の一部屋に一緒に住んだ。；貸間札に気づかずに通りすぎたアパートが二十軒はあったにちがいない。；彼は貸間広告がべたべたと貼られているガラス戸を開けて店内へ入った。；ある時、Bの室で、二三人学友が集った時、貸間の話が出たのであった。；廊下の両側は屋根裏部屋で、その頃はみんな空いていて貸間になっていた。；学生課から斡旋された貸間に、まず半年だけ、イクは住むことになった。；貸間を見に行った件だって事実じゃない、熱のせいだからな。；その開館披露のパレードを出してくれたのが、裏の貸間の住人たちである。；その中で二十円は貸間の代に、それから毎日食べて行かなくちゃならないからな。；ある日媼はその衣裳を著、貸間を見に私を連れて行つて呉れたことがある。；それから何か貸間の的があるかのやうに雑沓のなかを歩いてゐる。；わたしもその間、貸間できゅうくつな目をしているわけなんです。；この居宅のほうの一間を、上京以来のとおりの「貸間」で借りたのである。；いくら天気がよくても空気がよくても、貸間代を払ってくれるわけではないからだ。；倒れた家の跡はあいたままになっていて、そのがらくたのある近くには評判の悪くない貸間がある。；二人は貸間に戻り一つしかない枕を共にして幅の狭い貸蒲団の上に寝ころんだ。；それはラズーミヒンが世話をした例のバカレーエフの持家の中の貸間である。；これからわたしは自分の仕事と小さな安貸間に戻って、向う一年間は満足な気持で暮します。；学校前の小池という酒屋に貸間の札が下げてあったので部屋を見せてもらう。；あの貸間のことだって、事実じゃなくて夢遊状態の仕業なんだからな。；気持ばかりは急ったが貸間は得られなかった。；ドアの柱に、三階に貸間ありと書いたビラが貼ってありました。；そして、邸を旅館や料理屋に改装したり、貸間アパートに利用したりした。；初めの約束もあつたし、僕はこの部屋に移つた時からも絶えず貸間はさがしてゐた。；アパートとは名ばかりの、えたいの知れぬ貸間を彼女は仲間の一人といつしよに宿にしている。；私は、その日も学校から帰ると貸間を探がしに出かけた。；彼は貸間と食事を引き換えにその子の世話をした。；パリでも最下層の家具つき貸間に宿をとり、駅の構内に寝ることもしばしばだ。；結局、そこの主人の庶弟のところも貸間をしているから、それへということになった。</t>
        </is>
      </c>
      <c r="J1529">
        <f>HYPERLINK("https://www.weblio.jp/content/貸間", "词义详情")</f>
        <v/>
      </c>
      <c r="K1529">
        <f>HYPERLINK("https://yourei.jp/貸間", "查看例句")</f>
        <v/>
      </c>
    </row>
    <row r="1530">
      <c r="A1530" t="inlineStr">
        <is>
          <t>姦しい</t>
        </is>
      </c>
      <c r="B1530" t="inlineStr">
        <is>
          <t>成功</t>
        </is>
      </c>
      <c r="C1530" t="inlineStr">
        <is>
          <t>読み方：かしましい
［形］［文］かしま・し［シク］大いに耳障りである。やかましい。かしがましい。「女三人寄れば—・い」
[派生]かしましさ［名］</t>
        </is>
      </c>
      <c r="D1530" t="inlineStr">
        <is>
          <t>姦しい世評(10%)；姦しい声(7%)</t>
        </is>
      </c>
      <c r="E1530" t="inlineStr">
        <is>
          <t>賑やか；うるさい；けたたましい；喧騒；騒々しい</t>
        </is>
      </c>
      <c r="H1530" t="n">
        <v>29</v>
      </c>
      <c r="I1530" t="inlineStr">
        <is>
          <t>女三人で姦しいといいますが、五人寄ったのですからその賑やかなこと。；女三人は姦しいということをきいたけど、この二人はもっと口やかましい。；女三人よれば姦しいと言われるが、現代では女三人寄れば無敵だ。；あれほど姦しかった蝉の声も今では聞こえなくなっていた。；だが、ガラス扉が左右に開いた瞬間、麗子の耳に届いたのは姦しい笑い声。；この日、女達ばかりの宴はいつもの姦しさを喪って異様な雰囲気に沈み込んだ。；そのあたりから住民は姦しくなってくる。；「桜庭たちと、海とか行ってるんだろうな」 元気な姦し娘たちにも会いたいと思った。；馬の足音に驚いたのでしょうが、逃げていったわけでもなく、近くの木の枝に止まり、私たちに早く行けといわんばかりに姦しく鳴きたてています。；珍しく十人全員揃っているから姦しいことこの上なかった。；が、此の結婚が姦しい世評を産んだ原因は、たゞ新郎新婦の年齢の相違ばかりではなかつた。；僕と二人だけのときには姦しいくらいに喋るのに、香月さんがいるとなぜか無口な円町君だ。；姦し娘が、窓辺に並んで外を見ていた。；風呂から帰って来たのか、階下で女達の姦しい声がする。；舞台袖にひっこんできた千晶を、姦し娘と神谷生徒会長が迎える。；準備に忙殺され、人の出入りの姦しい連日が続き、離れにひっそりと寝ている古登代のことは完全に人々から置き忘れられていた。；ハルヒだけが姦しい三人娘たちが遠ざかるのを見計らい、俺は滑るように自室を出た。；日頃は母と義姉の姦しい会話にうんざりしているくせに、今は女のお喋りがありがたかった。；が、此の結婚が姦しい世評を産んだ原因は、たゞ新郎新婦の年齢の相違ばかりではなかった。；このままわざとらしい無視を貫いて、女子たちの姦しい声をやり過ごすことしか竜児にはできない。；とろとろと微睡むかと思うと、お増はふと姦しい隣の婆さんの声に脅かされて目がさめた。；起きているときは姦しさに辟易させられるが、こうして上屋の軒先で身を寄せ合い眠っている様は、なかなか麗しいものである。；幸い、雨はすっかり上って、蛙の声が姦しいばかり。；DVD版では全ての話に主演声優によるオーディオコメンタリーがつけられているが、物語にこだわることなく女性声優の姦しい話が続く。；女が三人集れば姦しいというが、まさにその言葉どおり、三人は修学旅行にでも行くような浮き浮きした気分で羽田を発った。；風呂から帰えって来たのか、下で女達の姦しい声がする。；女中達は姦しく桟敷の幕を絞って彼方を見渡していた。；「女三人よれば姦しい」とはよく言ったもので、電車や喫茶店などで女子高生やおばさんなどの集まりに隣に座られたときには、男だけでなく、周囲のおんなたちもそれ相応の覚悟が必要になる。；いずれもむくむくと小肥りしている感じで、姦しく交わすその言葉まではきき分けられず、なにより年の見当がつかない。</t>
        </is>
      </c>
      <c r="J1530">
        <f>HYPERLINK("https://www.weblio.jp/content/姦しい", "词义详情")</f>
        <v/>
      </c>
      <c r="K1530">
        <f>HYPERLINK("https://yourei.jp/姦しい", "查看例句")</f>
        <v/>
      </c>
    </row>
    <row r="1531">
      <c r="A1531" t="inlineStr">
        <is>
          <t>貸家</t>
        </is>
      </c>
      <c r="B1531" t="inlineStr">
        <is>
          <t>成功</t>
        </is>
      </c>
      <c r="C1531" t="inlineStr">
        <is>
          <t>読み方：かしいえ
「かしや」に同じ。</t>
        </is>
      </c>
      <c r="D1531" t="inlineStr">
        <is>
          <t>貸家札(8%)；貸家業；貸家さがし；貸家払底；貸家経営</t>
        </is>
      </c>
      <c r="H1531" t="n">
        <v>29</v>
      </c>
      <c r="I1531" t="inlineStr">
        <is>
          <t>海を眺めてゐるのは恰好だけで、私の眼は貸家札を探してゐるのである。；春になってから笹村は時々思い立っては引き移るべき貸家を見て行いた。；その貸家の一軒を、この事件に関係のある人物が変名で借りています。；娘がお嫁にいってて、その夫婦が住んでた家も鉦幸氏の貸家だったのね。；啓次郎は息子たちのために貸家にできるような家を三軒建てておいた。；中劇場国民座の舞台で、私の『百三十二番地の貸家』が演ぜられてゐる。；きのうは、西巣鴨一の三〇四六というところへ貸家を見に出かけました。；長屋の端の一軒だけ塞がっていてあとはみんな貸家の札が張ってある。；貸家や家柄のことは、ぼくでさえまだ季里子から聞いてはいないのだ。；父方の祖父は戦前養蚕業で成功し、市内に貸家をいくつかもっていた。；事業の第一歩になったのが赤坂に建てた外国人向けの貸家であった。；居住者が建物を所有する場合のほか、貸家として賃貸される場合もある。；わたしたちは貸家の隣室に住む者として、知りあっていたにすぎなかった。；また、財源確保と、低廉な賃料で住宅を提供する目的で貸家業も始めた。；その後は父の遺産の貸家で生計を立てた継母に育てられ、京都三中に進学。；むしろ貸家持ちで、本宅も持っているのが出来過ぎに感じられるくらいである。；実は今日浅草へ行ったところ、店々に貸家や閉店が多いので驚いたという。；その建物にある三軒の店のうち、一軒は貸家になっている。；それで煙草を喫む拍子にマッチの火で見ると、それは貸家の札であった。；三井の貸家村といわれたところで、埋立地に真新しい家が並んでいた。；手を抜いた安普請の貸家なので、心配になってさっそく次男を見舞にやる。；路地を出る時にふと見ると、お北の家には貸家の札が貼ってあった。；仏僧らの迫害にもかかわらず大きな貸家を見つけることができた。；左門の屋敷の北隣に彼の貸家が並んでゐた。；これ以降は購入した土地で貸家の運用を行った。；御存じでしょうね、あの湯島天神の下に、貸家を一軒持っております。；日本全国の人口割にして、大都会の住民の九割は貸家に住んでいるだろう。；その前から実家では近くに貸家を一軒建てていたが、新夫婦の住居にするために急いで模様替えをした。；勿論、貸家普請の建具ぐらいの仕事が精々と思われるような店付きであった。</t>
        </is>
      </c>
      <c r="J1531">
        <f>HYPERLINK("https://www.weblio.jp/content/貸家", "词义详情")</f>
        <v/>
      </c>
      <c r="K1531">
        <f>HYPERLINK("https://yourei.jp/貸家", "查看例句")</f>
        <v/>
      </c>
    </row>
    <row r="1532">
      <c r="A1532" t="inlineStr">
        <is>
          <t>歌手</t>
        </is>
      </c>
      <c r="B1532" t="inlineStr">
        <is>
          <t>成功</t>
        </is>
      </c>
      <c r="C1532" t="inlineStr">
        <is>
          <t>読み方：かしゅ
歌をうたうことを職業とする人。うたいて。「オペラ—」「流行—」</t>
        </is>
      </c>
      <c r="D1532" t="inlineStr">
        <is>
          <t>歌手たち；歌手名；歌手志望；歌手グループ；歌手兼</t>
        </is>
      </c>
      <c r="E1532" t="inlineStr">
        <is>
          <t>歌い手</t>
        </is>
      </c>
      <c r="F1532" t="inlineStr">
        <is>
          <t>元歌手；人気歌手；男性歌手；ソロ歌手；バリトン歌手</t>
        </is>
      </c>
      <c r="G1532" t="inlineStr">
        <is>
          <t>歌手デビュー；歌手音ピコ</t>
        </is>
      </c>
      <c r="H1532" t="n">
        <v>29</v>
      </c>
      <c r="I1532" t="inlineStr">
        <is>
          <t>ゲストが歌手のとき以外の番組でかける曲は極力新人歌手を選んでいる。；また、同じ歌手の別の曲のゲストライブ映像と合成している場合もある。；また父親も実は、娘には歌手ではなく画家になってもらいたかったという。；ゲストには全国区で活躍する俳優や歌手などが出演したこともあった。；これらの区分は歌手の声域というよりむしろ声の特性、音色に関係する。；その後の二人はタレント、歌手、女優などとしてそれぞれ活動している。；またメインの歌手の他にコーラス専門で女性が3人程登場することもある。；ただし、歌手のキャラクターは広く受け入れられている部分もある。；呼ばれた歌手は、メインステージなどで歌を披露したりしている。；現在・過去のランキングに入った歌手の一部によるコメント映像が流れる。；カバーとはある楽曲が複数の歌手に共有される現象である。；そしてそれらを歌った歌手本人がスタジオで歌声を披露していた。；歌のセットは作られず、バンド前に全歌手が椅子に座っていた。；歌手が自分の持ち歌の中で歌唱しながら手話を同時に行う例がある。；プロジェクトのメンバーで、メンバーの中では唯一の演歌専門歌手であった。；歌詞の中で桑田自身とは異なる歌手像やペルソナが設定されていることも多い。；歌手の声は歌手それぞれの主要な声種および声域により分類される。；自らの作品のほか、多くの楽曲をほかの歌手に提供している。；最優秀新人賞を受賞した歌手にも大賞を受賞する権利を与えられた時期もある。；普段の歌番組では歌手同士とあまり交流はないそうで世間話などもないという。；幼い頃から少女歌手として、両親に連れられて慰問先でよく歌を歌っていた。；その時の感動からプロの歌手への道を意識し始める。；なお、歌手別ランキングが発表されたのはこの年だけだった。；歌手としても有名ドラマ、映画のテーマソングを歌うなど活躍している。；主な歌手は、いくつかの宇野作品で歌唱を担当したヤング・フレッシュ。；現在も歌手を目指すきっかけとなったYUKIを尊敬している。；しかし一方で、彼は実際卓越した歌手だったと考える人々もいる。；母親は歌手でありピアノも演奏し、父親はフルートを演奏する音楽一家であった。；歌手活動を開始後他の声優・歌手とのユニットを組んでいる。</t>
        </is>
      </c>
      <c r="J1532">
        <f>HYPERLINK("https://www.weblio.jp/content/歌手", "词义详情")</f>
        <v/>
      </c>
      <c r="K1532">
        <f>HYPERLINK("https://yourei.jp/歌手", "查看例句")</f>
        <v/>
      </c>
    </row>
    <row r="1533">
      <c r="A1533" t="inlineStr">
        <is>
          <t>過剰</t>
        </is>
      </c>
      <c r="B1533" t="inlineStr">
        <is>
          <t>成功</t>
        </is>
      </c>
      <c r="C1533" t="inlineStr">
        <is>
          <t>読み方：かじょう
［名・形動］必要な程度や数量を越えて多いこと。ありあまること。また、そのさま。「—な生産物」「自信—」
[派生]かじょうさ［名］</t>
        </is>
      </c>
      <c r="D1533" t="inlineStr">
        <is>
          <t>過剰発現(4%)；過剰量；過剰なほど；過剰光；過剰な期待</t>
        </is>
      </c>
      <c r="E1533" t="inlineStr">
        <is>
          <t>あまり；無理；余り；あんまり；極端</t>
        </is>
      </c>
      <c r="F1533" t="inlineStr">
        <is>
          <t>生産過剰；自信過剰；自意識過剰；過剰分泌；装飾過剰</t>
        </is>
      </c>
      <c r="G1533" t="inlineStr">
        <is>
          <t>過剰反応；過剰生産；過剰診断；過剰防衛；過剰人口</t>
        </is>
      </c>
      <c r="H1533" t="n">
        <v>29</v>
      </c>
      <c r="I1533" t="inlineStr">
        <is>
          <t>無駄のない艦形だが、武装過剰で兵器の更新に余裕がない欠点があった。；にもかかわらず、過剰で不適切な投与がなされていることは珍しくない。；通常の物質であっても過剰かつ大量の摂取で中毒に至る可能性がある。；一方で好気性菌であるために、過剰な水分がある環境下でも繁殖しない。；その後、この少女への処分は過剰であったとされて全て撤回された。；新聞紙も様々な利用法があり、過剰な紙のみがちり紙交換に出されていた。；過剰の鉄はこれらのタンパク質に結合していない自由鉄を生じる。；過剰の窒素が大気から凝縮するには数十年がかかると考えられている。；水が過剰な時には当然ながら既存運河に対して水を連続的に流したままにする。；そのため過剰な塩酸の追加は、塩化物の溶解度にあまり影響を与えない。；ベッド数が過剰な場合は開設許可を与えないことも可能であり、需要調整がなされている。；水滴が多いと散乱過剰になって、光芒が途中で消え地上に届かなくなる。；ただしどちらも飲み過ぎると過剰な反応を起こしてしまう。；多元主義者として、哲学や人生の問題を過剰に単純化することに反対。；この問題を解決するのに過剰なデータがあると思えた。；この街の経済は、地方の需要だけでは、商品やサービスの供給過剰に陥った。；さらに光や音に過剰に反応し、暗くて静かな場所を探して隠れることもある。；実際は上記の通り、再生するので過剰に反応する必要はない。；清澄化が行われたり、過剰なタンニンの除去が行われたりすることもある。；過剰なまでのSEと高速のビートが特徴だが決して音がダークなわけではない。；また子供の頃から過剰に心配性でもあり、血や暴力や激しい運動も苦手であった。；これらの過剰かつ強引な制作手法は視聴者から問題視されている。；そのほか、大手門が再建されているが、やや装飾過剰なようである。；イオン源の内部では、検体に比べて試薬ガスが大過剰に存在している。；両者とも枕営業の誘いは冗談で言っただけで、マリエが過剰に言っている。；相互作用する種の一方または両方が、過剰な内部エネルギーを持っている。；このことは、ひどく過剰決定的な方程式系でない限りかなり一般に正しい。；たとえば、労働市場の失業は過剰貯蓄を強化するし、その逆も成立する。；生産過剰等の理由により、1枚も製造されなかった年銘が発生した例もある。</t>
        </is>
      </c>
      <c r="J1533">
        <f>HYPERLINK("https://www.weblio.jp/content/過剰", "词义详情")</f>
        <v/>
      </c>
      <c r="K1533">
        <f>HYPERLINK("https://yourei.jp/過剰", "查看例句")</f>
        <v/>
      </c>
    </row>
    <row r="1534">
      <c r="A1534" t="inlineStr">
        <is>
          <t>箇条書き</t>
        </is>
      </c>
      <c r="B1534" t="inlineStr">
        <is>
          <t>成功</t>
        </is>
      </c>
      <c r="C1534" t="inlineStr">
        <is>
          <t>読み方：かじょうがき
一つ一つの条項に分けて書き並べること。また、そうして書かれたもの。「問題点を—にする」</t>
        </is>
      </c>
      <c r="D1534" t="inlineStr">
        <is>
          <t>箇条書きでも構いませ</t>
        </is>
      </c>
      <c r="E1534" t="inlineStr">
        <is>
          <t>挙げる；数える；列挙；列記；羅列</t>
        </is>
      </c>
      <c r="H1534" t="n">
        <v>29</v>
      </c>
      <c r="I1534" t="inlineStr">
        <is>
          <t>彼は改めてもう一度、親書の中に書かれていた箇条書きを反芻してみた。；そして最後には、前と同じようにわたしへの宿題が箇条書きにしてあった。；登場人物の説明は以下のように定義の箇条書きを用いて行われるのが一般的です。；予備実験の段階で注意すべきことを箇条書きにすると、以下のようになる。；簡潔な箇条書きの3つの文にまとめられた結論は次のようなものであった。；記述の様式は箇条書きではなく文章化されているべきです。；キャラクター設定に続いて、物語のあらすじが箇条書きで書かれている。；なお、箇条書きにしているハードウェアやソフトウェアは一例である。；新たにノートで議論を始める場合は、箇条書きで議題を追加してください。；そこには神の条件が、第一から第四まで箇条書きされている。；立項当初は箇条書きでも構いませんが将来的には文章化してください。；第一レベルの箇条書きが定義、第二レベルの箇条書きが性質である。；この定理は、上の箇条書きされた部分に対応して2つに分割されることが多い。；いくつかの項目を読みやすくするために箇条書きを用いる。；別れた妻なら箇条書きふうに並べて教えてくれるところであろう。；以下、最低限必要であると考えられる項目を箇条書きで記載します。；かれは使用法を箇条書きにして書いて見たりした。；ここではいくつかの変更点のみを箇条書きにて述べる。；単独表示はそのまま箇条書きし、連名表示は枠ごとに段組みしている。；頭の中にいくつかの方法を箇条書きにしてみた。；非常に範囲が広いので、グループにまとめて箇条書きで挙げる。；大量の情報を分かりやすい形で一覧可能となるように箇条書きなどの方法が取り入れられている。；Googleはそのブログにて23の箇条書きの一覧を提供してきた。；北日本石油株式会社の現在の業務を箇条書きにまとめると以下のようになる。；箇条書きで本のタイトルが記され、その後ろに解題が附されている。；また、これは法令に限らないが、項目の箇条書きでは句点を除くことが多い。；箇条書きに列挙すると、少なくとも以下の項目は守るべきである。；これらは必ずしも箇条書きにする必要はありません。；そのなかでも、我々が住んでいるこの現界と関係が深いと思われるもので主なものを以下に箇条書きで記す。</t>
        </is>
      </c>
      <c r="J1534">
        <f>HYPERLINK("https://www.weblio.jp/content/箇条書き", "词义详情")</f>
        <v/>
      </c>
      <c r="K1534">
        <f>HYPERLINK("https://yourei.jp/箇条書き", "查看例句")</f>
        <v/>
      </c>
    </row>
    <row r="1535">
      <c r="A1535" t="inlineStr">
        <is>
          <t>頭</t>
        </is>
      </c>
      <c r="B1535" t="inlineStr">
        <is>
          <t>成功</t>
        </is>
      </c>
      <c r="C1535" t="inlineStr">
        <is>
          <t>［接頭］動詞・形容詞などに付いて、とびぬけている、度外れている、などの意を添える。「—抜ける」「—太い」
[補説] 「図」「頭」を当てて書くことが多い。</t>
        </is>
      </c>
      <c r="D1535" t="inlineStr">
        <is>
          <t>頭立て；頭を低く；頭越し；頭花；頭飾り</t>
        </is>
      </c>
      <c r="E1535" t="inlineStr">
        <is>
          <t>心；首；長；精神；トップ</t>
        </is>
      </c>
      <c r="F1535" t="inlineStr">
        <is>
          <t>二頭；軽く頭；深々と頭；四頭；深く頭</t>
        </is>
      </c>
      <c r="G1535" t="inlineStr">
        <is>
          <t>頭上；頭から；頭脳；頭取；頭痛</t>
        </is>
      </c>
      <c r="H1535" t="n">
        <v>29</v>
      </c>
      <c r="I1535" t="inlineStr">
        <is>
          <t>その名は百の手を意味し、五十頭百手の巨人の姿をしているとされる。；母は、子供時代の彼が決して頭が良いとは思えなかったと振り返った。；細かく形の特徴を表す時には、葉身の葉柄の側を脚、先端側を頭という。；また余計な選択肢で頭を使わないために服は同じものを何着も持っていた。；ペンも紙もなかったため、これらを頭の中ですべて思い浮かべていった。；ありえないことに丹が嘆息すると、白い頭の烏と角が生えた馬が現れた。；現在の日本のロバは200頭という説もあり、多くとも数百頭であろう。；しかし30頭以上からなる非常に大きなプライドも観察されたことがある。；ハヴァは頭であるアダムに相談せずに、自分で判断したために堕落した。；駅舎の屋根の上には亀の頭が設置され、目の部分が時計になっている。；また、頭についていたパーツと同じようなパーツが腰から伸びている。；定住型は主に魚を餌とし、大抵は十数頭の家族群を形成して生活する。；これを撞除法と言い、また歌の頭の文字から通称で見一と呼ばれる。；この説に従えば、カメは一度は持った側頭窓を後に再び失ったと考えられる。；この洞窟には馬の頭を持つデーメーテール像が祀られていたと伝えられている。；そのため、によれば頭から情報を出すアウトプットが効果的である。；私が目を上げて見ると、見よ、一頭の雄羊が川の前に立っているのが見えた。；台詞が上手く頭に入らないと、父はよく家具に八つ当たりしていました。；従来、四肢動物の大まかな分類は、側頭窓の形態によって行われていた。；他の13頭は行方不明または鎖に繋がれたまま餓死した状態で発見された。；そのため水底ではなく水の中層に頭を少し斜め下にして静止している。；魚のうろこをうろこ引きや出刃包丁で魚の尾から頭に向かってかき取る。；頭は天に達し足は地に至るというほどの巨体であるという。；禅師は僧を庭の石の上に座らせ、被っていた青頭巾を僧の頭にのせた。；でもそれは不可能だから、どちらか一頭が出てほしいと、願っていたのですが。；飛び込みで頭を打たないように、飛び込み台の近くは深くなっている。；両目の間に鋭い額角があり、頭胸甲には頭部と胸部を分ける頸溝がある。；スタンフォードは頭に血が上りやすく、喧嘩早いことで知られていた。；近所の住民によると、当時のアルは頭の良い好人物であったという。</t>
        </is>
      </c>
      <c r="J1535">
        <f>HYPERLINK("https://www.weblio.jp/content/頭", "词义详情")</f>
        <v/>
      </c>
      <c r="K1535">
        <f>HYPERLINK("https://yourei.jp/頭", "查看例句")</f>
        <v/>
      </c>
    </row>
    <row r="1536">
      <c r="A1536" t="inlineStr">
        <is>
          <t>かじる</t>
        </is>
      </c>
      <c r="B1536" t="inlineStr">
        <is>
          <t>成功</t>
        </is>
      </c>
      <c r="C1536" t="inlineStr">
        <is>
          <t>読み方：かじる
［動ラ五（四）］
１かたい物の端を歯でかむ、また、かみとる。「木の実を—・る」
２物事のほんの一部分だけを学ぶ、また、知る。「ドイツ語を少し—・ったことがある」「聞き—・る」
[可能]かじれる</t>
        </is>
      </c>
      <c r="D1536" t="inlineStr">
        <is>
          <t>かじるような音</t>
        </is>
      </c>
      <c r="F1536" t="inlineStr">
        <is>
          <t>そのままかじる</t>
        </is>
      </c>
      <c r="H1536" t="n">
        <v>29</v>
      </c>
      <c r="I1536" t="inlineStr">
        <is>
          <t>しかし、その延長で自分の後ろ脚をかじる癖がついてしまうものもいる。；黒髪の少女が、瞳を閉じながらにして隣で眠る少年の耳をかじっていた。；ゼロワンがかじりかけのポテトチップの先で表の二段目をさしていった。；彼が時々鯛焼きをかじりながらプレイしていたことを私は思い出した。；姉妹して中国語をかじったことがあるなんて、どう考えたって不自然だ。；そして病人のベッドの足元で、なにもつけないパンをかじっていました。；あっしは薬剤のことを少しかじったことがあると、さっきいいましたね。；しかし研究者は本種が骨を頻繁にかじっていた訳でないとしている。；「東京に来てからのほうが長いからな」 おまえもピーナツをかじった。；経営学を少しでもかじった者ならば知悉していてとうぜんの知識である。；奴は散散私の脛をかじっておきながら、私の商売を軽蔑してきたんです。；でも味そのものは普通だよなと考えた矢先、パニーニをかじって驚いた。；銀行の人が帰った後、あたしは、トマトをかじりながら、庭に出てみた。；みんなもうずっと前から土だけをかじって生きているのでございます!；なにしろ一日中寝て暮らし、一晩中起きてかじり続けなんですからね。；ウェハースをかじるような音が、耳のすぐ近くで聞こえたような気がした。；ほんのちょっと読みかじっただけであるが、それは特にわたしの心を打った。；かじったイチジクを口いっぱい頬ばって、こんな問題の議論はできんよ。；いままでもトマトの茎をかじったりけちらしたりしたのはおまえだろう。；私はインドにいるときと同じように、キュウリに塩をつけてかじった。；仕事にかかる前にパンを一かじりしないと仕事が早く行かない。；そしてしまいには夢中になってしまい、噛んだりかじったりし始めたの。；日本の義務教育ではほぼ必須であるから、少なくともかじったことはある。；彼女たちの行く海岸には、かじるのに適した樹木が生えているだろうか。；スティーヴンは父から見つめられても知らぬ顔をしてパンをかじっていた。；かれらは少々は剣技をかじったかも知れないが、プロの腕にはほど遠い。；かじったパンを口から離すと、女々の顔が半分ほど食い千切られていた。；辛うじて二口か三口のパンをかじり、数滴の水を飲んだだけであった。；気づいたときにはおそるおそるそれをかじってみようとしているところだった。</t>
        </is>
      </c>
      <c r="J1536">
        <f>HYPERLINK("https://www.weblio.jp/content/かじる", "词义详情")</f>
        <v/>
      </c>
      <c r="K1536">
        <f>HYPERLINK("https://yourei.jp/かじる", "查看例句")</f>
        <v/>
      </c>
    </row>
    <row r="1537">
      <c r="A1537" t="inlineStr">
        <is>
          <t>貸す</t>
        </is>
      </c>
      <c r="B1537" t="inlineStr">
        <is>
          <t>成功</t>
        </is>
      </c>
      <c r="C1537" t="inlineStr">
        <is>
          <t>読み方：かす
［動サ五（四）］
１自分の金や物などを、ある期間だけ他人に使わせる。「友人にお金を—・す」「本を一日—・す」「タバコの火を—・す」⇔借りる。
２使用料をとって、ある期間他人に利用させる。「アパートを—・す」「土地を—・している」⇔借りる。
３能力・労力などを他人に提供する。「手を—・す」「肩を—・す」「耳を—・そうともしない」「お力を—・して下さい」⇔借りる。
[可能]かせる</t>
        </is>
      </c>
      <c r="D1537" t="inlineStr">
        <is>
          <t>貸すべき；貸すまい；貸す貸さ</t>
        </is>
      </c>
      <c r="E1537" t="inlineStr">
        <is>
          <t>都合；リース；融通；貸与；賃貸</t>
        </is>
      </c>
      <c r="H1537" t="n">
        <v>29</v>
      </c>
      <c r="I1537" t="inlineStr">
        <is>
          <t>奴隷たちも、その主人の命令に耳を貸さなくなるものがほとんどだった。；そしたら彼等はあたしたちが違っているんだと言って耳を貸さなかった。；あんたが好意だけで人に手を貸すような男とは、端っから思っていない。；あのリーバンクリフがわたしたちの言うことに耳を貸すとは思えないし。；また他のテーブルで交わされる緩慢な会話に耳を貸そうともしなかった。；打撃不振に陥った際にコーチから助言を受けても一切耳を貸さなかった。；必要な物なのなら、貸さなければよさそうなのだが、彼女は強引だった。；むやみと名を貸すほうが悪いのか、私は製品の運に恵まれていないのか。；お前たちに付き合うのが嫌だったら絶対に力なぞ貸さなかったはずじゃ。；そのような出来事は、ただ自分の魂を貸すからこそ存在するにすぎませぬ。；二人の大人が云うことに耳を貸さず、むっとした憤りを示して動かない。；しかしそれはただうら若いひとりの少女に手を貸そうとするためであった。；父も母ももう私の言うことに耳を貸さずに、吊り床に入って寝てしまった。；彼は退職を覚悟の上で、その若い劇団に一週間ホールを貸す約束をした。；狼狽しているあいだに、積極的な善人は問題を解決することに手を貸す。；最初から耳を貸さなければいいのだが、人間なかなかそうもいかない。；クラクションに耳を貸さないのは実際に聞こえないからなのだろうか。；それゆえ宿を貸す方も、彼の滞在が何日になろうが嫌な顔一つしなかった。；仲間が危険な場所を越える際は、手を貸すことで補助することができる。；いい田舎家も無料で貸すとも言っているが、どうするかという話だった。；わたしの家をよく知っているから、五円や拾円貸さないことはあるまい。；勿論台所は棟ごとにあって、普通の台所道具は貸すようになっていたと思う。；肩を貸す相手は違ったが、こんな状況は前にも何度か経験している。；それを主張した少女が学校を占拠してまで訴えたが誰も耳を貸さず。；病院で何かが起こっているが、病院側はだれも耳を貸そうとしない。；老人が火を欲しいという人々の願いに、耳を貸そうともしなかったからだ。；すでに村で爪はじきになっている万治に金を貸す者がいるはずもなかった。；家質を取らずに貸す金は一貫目までと聞いていたから、驚きは大きい。；富蔵が金を借りに行っても一切貸さないでくれと、妹に言われている。</t>
        </is>
      </c>
      <c r="J1537">
        <f>HYPERLINK("https://www.weblio.jp/content/貸す", "词义详情")</f>
        <v/>
      </c>
      <c r="K1537">
        <f>HYPERLINK("https://yourei.jp/貸す", "查看例句")</f>
        <v/>
      </c>
    </row>
    <row r="1538">
      <c r="A1538" t="inlineStr">
        <is>
          <t>数</t>
        </is>
      </c>
      <c r="B1538" t="inlineStr">
        <is>
          <t>成功</t>
        </is>
      </c>
      <c r="C1538" t="inlineStr">
        <is>
          <t>読み方：かず
［名］
１物の順序を示す語。また、その記号。数字。「二けたの—」
２個々の事物が、全体または一定の範囲で、いくつ（何回）あるかということを表すもの。数量。「参加者の—を数える」「—多い候補者から選ぶ」「—が合わない」「はしたの—」
３数量や回数が多いこと。多数。「—ある作品の中から選ばれる」「—をこなさないと間に合わない」「—で押し切る」「—を頼む」
４価値あるものとして取り立てて認められる範囲。また、その範囲に入るものとして価値を認められるもの。「こんな苦労は物の—に入らない」
５同類として数えたてられる範囲。仲間。「亡き—に入る」「正選手の—に加える」「子供は—に入らない」
６（多く「の」を伴って）種類などの多いこと。いろいろ。
「—の仏を見奉りつ」〈栄花・鳥の舞〉
［接頭］名詞に付いて、粗末な、ありふれた、安価な、などの意を表す。「—扇」「—雪駄」
[下接語]頭数・稲(いな)数・忌み数・色数・御(お)数・数々・句数・口数・鞍(くら)数・言葉数・字数・品数・手数・亡き数・場数・番数・日数・人数・間(ま)数・物数・物の数・矢数・家(や)数</t>
        </is>
      </c>
      <c r="D1538" t="inlineStr">
        <is>
          <t>数日(6%)；数十(6%)；数百(4%)；数多く(3%)；数回(2%)</t>
        </is>
      </c>
      <c r="E1538" t="inlineStr">
        <is>
          <t>高；量；額；値；番号</t>
        </is>
      </c>
      <c r="F1538" t="inlineStr">
        <is>
          <t>数秒；数週間；数ヶ月；数万；数か月</t>
        </is>
      </c>
      <c r="G1538" t="inlineStr">
        <is>
          <t>数字；数々；数え；数人；数学</t>
        </is>
      </c>
      <c r="H1538" t="n">
        <v>29</v>
      </c>
      <c r="I1538" t="inlineStr">
        <is>
          <t>グレゴリオ暦はその後数百年かけて各国で採用され、現在に至っている。；また、バクトリア地方から出土した数体の石製女性像が見つかっている。；地元の伝承ではラボックの一人当たりの教会の数では国内最大と言われる。；デザインが年数回更新され、古いデザインのカードは新たに入手できない。；後者はユーザー数などに制限のあるライセンス契約によって提供される。；各テーブルは、エンティティの属性を含む固定数の列を含むことになる。；内蔵するデバイスのスピンドル数で以下のように分類されることもある。；複数の敵をまとめて蹴り落とすと、敵の数に応じて得点に倍率がかかる。；日露両陣営には欧米と南米諸国から数多くの観戦武官が派遣されていた。；葉ではない各点に対しその点の子の数が常に であるような木を分木という。；現役引退後もニューヨークで週に数回英語のレッスンを受けているという。；彗星の発見数が増加してくると、この方法の運用に綻びが生じてきた。；そのほとんどは1年から長くて十数年の非常に短い期間しか持続しなかった。；また、内容語にはたくさんの語が属するが、機能語は数が限られている。；簡単な管理、無制限のユーザー数、無制限のデータサイズなどを特徴とする。；しかし、ケーブルテレビが発達して間もない時期は、局数が少なかった。；フォースの使い手は、平均的な人口に比べて数が非常に限られている。；数世紀前の実験で得られた基礎的なデータですら重要性を失わない。；つまりそうした文明の数を10個だと推定してみせたのである。；つまり、色を表す言葉の数によって、虹の色の区切り方が違うのである。；数名からなるチームで交代しながら走行するものも多い。；また友人の画家の作品を交換や購入によって相当数持っていた。；多くの国で携帯電話の契約数が固定電話の契約数を超えている。；現在世界に存在する言語の数は千数百とも数千とも言われる。；項目は時には数ページから数十ページにもわたる長大なものになる。；その数・収容率と強固な構造は、他国の防空壕と比べても群を抜いている。；しかしながら、これらの集団内での話し手の数は年々減少する傾向にある。；平方根とは、数に対して平方すると元の値に等しくなる数のことである。；CPU類は限られた数の明確で単純な命令しか持っていない。</t>
        </is>
      </c>
      <c r="J1538">
        <f>HYPERLINK("https://www.weblio.jp/content/数", "词义详情")</f>
        <v/>
      </c>
      <c r="K1538">
        <f>HYPERLINK("https://yourei.jp/数", "查看例句")</f>
        <v/>
      </c>
    </row>
    <row r="1539">
      <c r="A1539" t="inlineStr">
        <is>
          <t>微か</t>
        </is>
      </c>
      <c r="B1539" t="inlineStr">
        <is>
          <t>成功</t>
        </is>
      </c>
      <c r="C1539" t="inlineStr">
        <is>
          <t>読み方：かすか
［形動］［文］［ナリ］
１やっと感じ取れる程度であるさま。はっきりとは認められないさま。「—な物音」「—な記憶」
２生活ぶりなど弱々しく、細々としたさま。「わずかな収入で—に日を送る」
３姿かたちのみすぼらしいさま。貧弱。
「—なる小さき法師一人をなん具したりける」〈今昔・一七・四四〉
４人目につかないさま。ひっそりとして寂しそうなさま。
「北の方の—なる御有様をも」〈平家・一二〉
→僅(わず)か［用法］
[派生]かすかさ［名］</t>
        </is>
      </c>
      <c r="D1539" t="inlineStr">
        <is>
          <t>微かな音(4%)；微かな光；微かな笑み；微かな声；微かな物音</t>
        </is>
      </c>
      <c r="E1539" t="inlineStr">
        <is>
          <t>不明；かすか；薄い；弱い；曖昧</t>
        </is>
      </c>
      <c r="F1539" t="inlineStr">
        <is>
          <t>ごく微か；微かな寝息；微かな不協和音；微かな囁き；微かな水音</t>
        </is>
      </c>
      <c r="H1539" t="n">
        <v>29</v>
      </c>
      <c r="I1539" t="inlineStr">
        <is>
          <t>こちらへ向って云うよりも、自分の心のなかの呟きのように微かだった。；私が前面に微かな幸福の光を見いだしたのは極めて最近のことであつた。；この周囲に光が拡散しているが微かでどのあたりが境界なのか分からない。；そこに、微かながらも老師の家出の原因が解釈されてはゐないだらうか。；冷たい風に肘の傷跡が痛み出すと彼女の心も微かに疼き出すのであった。；幼い頃に生き別れた実の両親のことは今でも微かに記憶している。；どうしたのかしら、水を汲んでゆきながらおせんは微かに不安を感じた。；時々少しはいいかと聞いても、御米は微かに苦しいと答えるだけであった。；すると隣の部屋の中から、微かな、だが聞き間違いようのない音がした。；震える手で次々と調べて行くうち一人だけ微かに息のある者がいた。；そして、誰かが一すぢの光を微かに手をあげて求めてゐるやうだつた。；ところが、ふと、遠くの方で微かにその叫びに答えるような声がした。；私は微かな好奇心と一種馴染の気持から彼らを殺したりはしなかった。；しかし彼女はその微かな感じを言葉に纏めるほどの頭を有っていなかった。；かれの部屋着は開いたドアから入ってくる微かな風で無気味に揺れている。；その間に一種特別な、ひゅうひゅうと、微かに長く引くような音がする。；後に残った物は、微かに立ち昇る煙と、床の上の二摘みの灰だけだった。；微かだが自分のからだを如何することも出来なくなったようで気がじれる。；やゝあつて多景島と白石島とが遠く水の上に微かな姿を現はしてきた。；と、彼女はビックリして、何か微かな叫び声のようなものをあげました。；林が町で夜食をしてから旅館へ帰ると、微かな唸声が隣室に聞えていた。；抱きあげて見ると、その仔猫には、いつも微かな香料の匂いがしている。；NGC 185よりはわずかに大きいが、両者ともその光は微かである。；疲弊しきった天使達であったが、彼らには微かに希望が残されていた。；けれども家の前を通るときは犬は裏手の方へ逃げて微かにうなってゐるのだ。；音が鎮まると、左側の壁の高い所にある岩棚で微かに動く気配がした。；時々は島の濱まで出迎へに下りてゐる女房の姿が微かに見えることもあつた。；自分はその風が横顔に当るたびに、お兼さんの白粉の匂を微かに感じた。；その時、はるか下の方から、微かな音のようなものが聞こえてきた。</t>
        </is>
      </c>
      <c r="J1539">
        <f>HYPERLINK("https://www.weblio.jp/content/微か", "词义详情")</f>
        <v/>
      </c>
      <c r="K1539">
        <f>HYPERLINK("https://yourei.jp/微か", "查看例句")</f>
        <v/>
      </c>
    </row>
    <row r="1540">
      <c r="A1540" t="inlineStr">
        <is>
          <t>霞む</t>
        </is>
      </c>
      <c r="B1540" t="inlineStr">
        <is>
          <t>成功</t>
        </is>
      </c>
      <c r="C1540" t="inlineStr">
        <is>
          <t>読み方：かすむ
［動マ五（四）］
１霞(かすみ)がかかる。霞がたちこめる。「—・んだ空」《季春》
２霞がかかったような状態になる。ぼんやりして、物の姿や形がはっきり見えなくなる。「雨に—・む街」
３（「翳む」とも書く）目が疲れたり故障があったりして物が見えにくくなる。「目が—・む」
４他の、よりすぐれたもののために存在が目立たなくなる。「素人(しろうと)の熱演に、玄人(くろうと)が—・んで見える」
［動マ下二］「かす（翳）める」の文語形。</t>
        </is>
      </c>
      <c r="F1540" t="inlineStr">
        <is>
          <t>白く霞む；青霞む</t>
        </is>
      </c>
      <c r="H1540" t="n">
        <v>29</v>
      </c>
      <c r="I1540" t="inlineStr">
        <is>
          <t>それらのすべてが屋根の上から眺めているわれわれよりも霞んでいた。；そのとき私は霞みつつある意識の中で、誰かの声を聞いたような気がした。；源氏は言っていたように十六夜の月の朧ろに霞んだ夜に命婦を訪問した。；霞むような手の動きで剣を抜き、手首を返して二人目を血の海に沈める。；霞んできた彼の眼は、このとき敵がすうと右のこぶしをはなすのを見た。；外はすっかり明るくなり、ビルの背景に緑色の森が霞むように広がっていた。；決して疲労からではなく、私の頭の中はぼんやりと霞んでいくようだった。；窓の外に視線を移すと、そこには白く霞んだ町並みが遥か遠くに見えた。；苦痛までも霞むのなら、それは霧が別のものであるという証拠だろう。；窓からは雨に霞む海の向こうにいくつかの島がうっすらと見わたせた。；そして霙は間もなく雪に変って、あたりの山さえぼっと霞んでしまった。；そこの岸には家が建つてゐないので、広々とした空が少し霞んでゐた。；青柳雅春は車を運転しつつも、どこか目の前が霞んでくるのを感じた。；相手が上を仰ぐ暇もあらばこそ、回転途中のシルヴィアの蹴り足が霞む。；窓の下の道路も買い物籠を下げた女たちも、霞んでぼやけた色になる。；見るうちにそれは次第に大きくなり、やがて二つになり霞んで見えなくなった。；気を抜けば涙に霞みそうになる私の視界には、昔となにも変わらないあなたがいた。；闇に霞んでぼんやりとしか見えないその相手に、見知ったものを感じたのだ。；里香が口を開いたのは、西から流れてきた雲で太陽が霞んだのと同時だった。；その中にぼんやり霞んだ姿が現れ、次第に形がはっきりしてきた。；テュポーンの姿が残像で何体にも霞んで現れ、そして連続して消えていく。；それこそ、ペンキの川でできた密室や首斬り死体が霞んでしまうほどに。；雪子は柳の木に片手を置いて、ぼんやり霞みはじめた向こう岸を眺めた。；そのほかの花も木も明日の約されたような力が見えて、杜は霞み渡っていた。；本作のストーリーがクリフハンガーの前で霞んでいると指摘する声も多かった。；雨と予報された空は薄い雲に覆われて、満月はおぼろに霞んで見えていた。；もはやメイドという基本の軸が霞んでしまっているじゃないですか!!；ついでに山崎の声もフィルターがかかったみたいにぼんやりと霞んだ。；汗で目が霞んでいる、視界をはっきりさせるために首を振って背筋を伸ばした。</t>
        </is>
      </c>
      <c r="J1540">
        <f>HYPERLINK("https://www.weblio.jp/content/霞む", "词义详情")</f>
        <v/>
      </c>
      <c r="K1540">
        <f>HYPERLINK("https://yourei.jp/霞む", "查看例句")</f>
        <v/>
      </c>
    </row>
    <row r="1541">
      <c r="A1541" t="inlineStr">
        <is>
          <t>掠る</t>
        </is>
      </c>
      <c r="B1541" t="inlineStr">
        <is>
          <t>成功</t>
        </is>
      </c>
      <c r="C1541" t="inlineStr">
        <is>
          <t>読み方：かする
［動ラ五（四）］
１軽く触れて通り過ぎる。かすめる。「弾丸が耳を—・った」
２上前をはねる。「賃金を—・る」
３かすり書きにする。
４他人のものをちょっと利用する。
「その提灯の明りを—・り、妾(わし)も隣の念仏講へ」〈伎・四谷怪談〉
５容器の底にわずかに残っているものをこそげ取る。
「夕に米唐櫃(こめがらと)を—・り」〈浮・禁短気・四〉
６ほのめかす。におわす。
「その人の名は言ひかねて、思ふあたりを—・らする」〈浄・万年草〉
［動ラ下二］「かすれる」の文語形。</t>
        </is>
      </c>
      <c r="D1541" t="inlineStr">
        <is>
          <t>かすめる；かする；掠める</t>
        </is>
      </c>
      <c r="H1541" t="n">
        <v>29</v>
      </c>
      <c r="I1541" t="inlineStr">
        <is>
          <t>そのため、現在のようなやや掠れたような低い声が出るようになった。；海賊行為と私掠行為の違いなど、あってなきが如き物にすぎないのです。；しかしすぐに、掠れてはいるがしっかりとした声が比嘉の耳朶を打った。；開けないで、と叫ぼうとしたが、喉からは掠れた音が漏れるだけだった。；開けないで、と叫ぼうとしたが、喉からは掠れた音が洩れるだけだった。；そう思って細剣を構えなおした時、前に立つキリトが掠れた声で言った。；掠られただけでも、あの若者のように生死の境を彷徨うはめになるのだ。；衣にも耐えそうもない痩せた体を、急に寒気を加えた風が掠ッてゆく。；買ってもらったばかりの真っ白のナイキに掠れたような靴跡が付いた。；おそるおそるインターホンに出ると、やや掠れた男の声が聞こえてきた。；娘は恐れおののいて掠れた声をあげながら、部屋中を逃げまわります。；自分の唇が痙攣するように動き、掠れた声が漏れるのを、詩乃は聞いた。；相手の受話器の外れる音がして、少し掠れ気味の低い女の声が応対した。；その何かが、ガラガラと掠れた音を立てて、長々と息を吸い込んでいた。；上下数本ずつしか残ってない黄色い歯の間から、掠れた声が押しだされた。；掠れた声で裕二が何か言ったが、そんなことは今はどうだっていい。；小さく掠れた声で、苦しそうに顔を伏せて、けれど確かに、そう言った。；おれとウェラー卿の間に入り、掠れた声で恐ろしいことを口にする。；とにかく、私の喉は、たまに掠れた音を出し、たまに音を出さなくなる。；「マキさん、勘弁してくださいよ」 運転している男が掠れ声で言った。；朱里さんがわたしの背中にすがりついて、掠れた声で、つぶやいた言葉。；それまでずっと黙っていた心葉先輩が、掠れた声でつぶやいた。；「くそったれ」 叫んだつもりだったが掠れた声にしかならなかった。；この少なからぬ利益がでることで、私掠行為は事業の日常事に近いものになった。；「まだ終わってない」 喉はそれなりに潤ったはずなのに、声が掠れた。；また、視聴者からも声の掠れや声量の衰えを心配する声が度々上がった。；掠れてはいても子供の声たることには疑いがなかった。；王に見られただけでアマネは掠れた声で、お許し下さい、というのみだ。；心声が掠れて震えを帯び、その必死の叫びにナシエラは眉をひそめた。</t>
        </is>
      </c>
      <c r="J1541">
        <f>HYPERLINK("https://www.weblio.jp/content/掠る", "词义详情")</f>
        <v/>
      </c>
      <c r="K1541">
        <f>HYPERLINK("https://yourei.jp/掠る", "查看例句")</f>
        <v/>
      </c>
    </row>
    <row r="1542">
      <c r="A1542" t="inlineStr">
        <is>
          <t>風</t>
        </is>
      </c>
      <c r="B1542" t="inlineStr">
        <is>
          <t>成功</t>
        </is>
      </c>
      <c r="C1542" t="inlineStr">
        <is>
          <t>読み方：ふり
［名］
１振り動かすこと。また、振れ動くこと。「バットの—が足りない」
２人の振る舞い。しぐさ。また、なりふり。「人の—見てわが—直せ」
３見せかけの態度や動作。ようす。ふう。「寝た—をする」
４料理屋・旅館などで、紹介や予約なしに客が来ること。また、その客。「—の客」
５一時的であること。臨時。
「材木屋から搾(しぼ)る—のものを…払いに当て」〈秋声・縮図〉
６舞踊で、動作・所作のこと。「—をつける」
７女性用の和服の袖付け止まりから袖下までの、縫い合わせない部分。
８本題に入るためのきっかけ。前置きとしてする話。「前—」
９和歌の歌いぶり。和歌の風体。
「大僧正は、おほやう西行が—なり」〈後鳥羽院御口伝〉
10歌曲の歌いざま。節回し。
「その様を習ひて謡ひたれば、—はその—にて似ぬにや」〈梁塵秘抄口伝・一〇〉
11ずれていること。ゆがんでいること。
「建ては建てたが、ちっくり笠に—がある」〈浄・嫩軍記〉
12金銭の都合をつけること。やりくり。
「借銀かさみ、しだいに—に詰まり」〈浮・永代蔵・六〉
13褌(ふんどし)や腰巻をつけないこと。多く男子にいう。ふりちん。
「金吹きは—になるのがしまひなり」〈柳多留・三〉
14「振袖」の略。
「友禅の—の袂(たもと)に北時雨」〈浄・歌祭文〉
15「振袖新造」の略。
「片町の—を内へ呼び入れ」〈浄・阿波鳴渡〉
［接尾］助数詞。
１振る動作の回数を表すのに用いる。「バットを一—二—する」
２（「口」とも書く）刀剣を数えるのに用いる。「二—の刀」</t>
        </is>
      </c>
      <c r="D1542" t="inlineStr">
        <is>
          <t>風態；風斬；風居；風巣；風竜</t>
        </is>
      </c>
      <c r="E1542" t="inlineStr">
        <is>
          <t>性；習慣；慣習；風俗；風習</t>
        </is>
      </c>
      <c r="F1542" t="inlineStr">
        <is>
          <t>こんな風；冷たい風；どんな風；強い風；そういう風</t>
        </is>
      </c>
      <c r="G1542" t="inlineStr">
        <is>
          <t>風呂；風邪；風俗；風習；風情</t>
        </is>
      </c>
      <c r="H1542" t="n">
        <v>29</v>
      </c>
      <c r="I1542" t="inlineStr">
        <is>
          <t>台風の多い日もしくは風の強い日といわれるが、必ずしも事実ではない。；また、地域ごとにある方向からの風を山の名を付けて呼ぶことがある。；普通の階段でも見た目をエスカレーター風に変えると同様の現象がでる。；海水はその表面に波が立っていることが多く、これは主に風の作用である。；このように波ができる原因はいくつもあるが、最も一般的な原因は風である。；山鹿素行は風が地表を移動する空気の流れである事には気づいていた。；土・風・火・水の四つの精霊界があり、それぞれを抜けて天上界へ至る。；大気汚染は深刻で特に首都北京は風次第でしばしばスモッグに覆われる。；この時期にポルトガルが援軍を送ることは風の関係で実際には困難であった。；それ以外の要因でも起きており、気圧差や風によるものを気象潮という。；日本ではイギリス風の食事が紹介されることが比較的多い。；大規模なビルの間では強い風が吹くことがあり、これをビル風という。；前線の通過にともない、南よりの風から北または西よりの風に変わる。；武満は黒澤にマーラー風の音楽を求められたことに不満を述べている。；特に卓球やバドミントンは風の影響が大きすぎるため、屋内で行われる。；はじめて風の力を利用して動力を取り出したのは船の帆であると考えられている。；例えば「北風」は、北からこちらへ向かって吹いてくる風のことである。；人々は中国風の装飾が施された部屋に着飾って集まり、これに親しんだ。；この経験が戯曲風小説『悪魔のくる家』の執筆のヒントになったとされる。；風が強くなるほど風浪の高さは大きくなる傾向があり見た目の形状も変化する。；開業当初は西欧風のモダンな駅舎が建てられていたが、西口だけであった。；車内には0系風の転換座席を2脚設置したほか鉄道模型も展示されている。；後期には洋鉄精錬技術も取り入れられ、さらに無地風の地鉄が作られた。；ある地域で特定の期間にもっとも頻度の高い風向の風を卓越風という。；機関車は蒸気機関車風の外装になっているが、ディーゼル機関車である。；海岸沿いを走行するため、風の影響を受けやすく、しばしば運休する。；気圧傾度力以外で、風に作用する力には以下のようなものがある。；他の海域で風によって起こされた波が伝わってきた波はうねりと呼ばれる。；日本でも令制国を中国風に通称して州と呼ぶことがあった。</t>
        </is>
      </c>
      <c r="J1542">
        <f>HYPERLINK("https://www.weblio.jp/content/風", "词义详情")</f>
        <v/>
      </c>
      <c r="K1542">
        <f>HYPERLINK("https://yourei.jp/風", "查看例句")</f>
        <v/>
      </c>
    </row>
    <row r="1543">
      <c r="A1543" t="inlineStr">
        <is>
          <t>風邪</t>
        </is>
      </c>
      <c r="B1543" t="inlineStr">
        <is>
          <t>成功</t>
        </is>
      </c>
      <c r="C1543" t="inlineStr">
        <is>
          <t>読み方：かぜ
［名］
１空気のほぼ水平方向の運動。風向と風速で動きを表す。山谷風・海陸風のような小規模のものから、中規模の季節風、大規模な偏西風・貿易風などがある。「—が吹く」「涼しい—に当たる」「テントが—をはらむ」
２その身に感じられる人々のようす。また、世の中の動きやありさま。「浮世の—は冷たい」「娑婆(しゃば)の—」「野党に—が吹く」
３寄席芸人用語で、扇子のこと。
４（多く「風邪」と書く）鼻・のど・気管などのカタル性炎症。くしゃみ・鼻水・鼻詰まり・のどの痛み・咳(せき)・痰(たん)や発熱・頭痛・倦怠感(けんたいかん)などの症状がみられ、かぜ症候群ともいう。感冒。ふうじゃ。「—をひく」《季冬》「縁談や巷(ちまた)に—の猛(たけ)りつつ／草田男」
５風習。習わし。
「久方の月の桂も折るばかり家の—をも吹かせてしかな」〈拾遺・雑上〉
［接尾］名詞に付いて、そぶり、ようす、わざとらしい態度などの意を表す。「先輩—を吹かす」「臆病—に吹かれる」
[補説]書名別項。→風</t>
        </is>
      </c>
      <c r="D1543" t="inlineStr">
        <is>
          <t>風邪気味(4%)；風邪ひい；風邪ぎみ；風邪ひく；風邪引い</t>
        </is>
      </c>
      <c r="E1543" t="inlineStr">
        <is>
          <t>感冒；風邪ひき</t>
        </is>
      </c>
      <c r="F1543" t="inlineStr">
        <is>
          <t>ひどい風邪；悪い風邪；軽い風邪；重い風邪；風邪予防</t>
        </is>
      </c>
      <c r="G1543" t="inlineStr">
        <is>
          <t>風邪ひき；風邪引き；風邪引；風邪声；風邪症状</t>
        </is>
      </c>
      <c r="H1543" t="n">
        <v>29</v>
      </c>
      <c r="I1543" t="inlineStr">
        <is>
          <t>話をするところなどを見ると、風邪でも引いた時と全く同じ事であった。；けれども或日の午後、私は本當に風邪を引いてゐたので家に籠つてゐた。；僕が相談に行った時は風邪気味だとかいって逢ってくれなかったのです。；二三日前まで風邪をひいていました時、わざわざお医者をよんでくれた。；三ヵ月前におれといっしょにやったときは、そんなふうじゃなかったぞ。；湯に行けば、湯がぬるくて浅い、風邪を引きに行つたやうなものだつた。；さらなる根拠は、花粉症と風邪の両方に効果があることも示唆している。；これまで顔を見せない理由は欧州への船旅で風邪を引いた為とされる。；風邪が癒ったと聞くと相手が用心するから、四五日我慢して寝ていたんだ。；彼らは薬を携帯していると思えばそれだけ風邪を恐れないのである。；あたるやうなものをたべたおぼえもないし、別に風邪氣味でもなかつた。；中学校時代、風邪でなくてもマスクをするのが女子の間で流行っていた。；Tは二三日前から風邪を引いて休んでゐると云つて、床に就いてゐた。；印度洋で風邪を引くという事は全く私のプログラムにはない事だった。；五日の朝は風邪もよくなったようだし胃もいいような気がした。；「風邪でも引くといけねえ」 米友は猿のような口を尖らして火を吹く。；しょっちゅう風邪をひいたとか、熱を出したとか言っては学校を休んだ。；浩三 おれは非常に風邪を引き易いつていふことを知つてるぢやないか。；この山国へ移り住んだ当時、土地慣れない私は風邪を引き易くて困った。；第一、日本人の声は大体に於て、西洋人が風邪を引いた時の声に似てゐる。；風邪をひくと鼻から吹くものが炎ではなく真っ黒な煙になってしまう。；風邪をよく引いたり故障が多かったりしたことから「ガラスの平松」とも。；日本中の神さんが寄って来たとて、風邪一つ治るものじゃありません。；風邪でもこの通りですが、性格はこれよりも遥かに複雑であります。；最初は「ただの風邪」として病院側の一貫した説明で片付けられていた。；風邪だ・くじいたのだ・といっているうちに、やがて痛風だとわかる。；断髪の女性にして二三日風邪で寝込むとその襟足の毛が二三分延びてくる。；が、ちょっとでも風邪をひくと、僕はすぐ寝床につくのを習慣としていた。；表を開けてくれないから、犬のように外で寝て、すっかり風邪をひきました。</t>
        </is>
      </c>
      <c r="J1543">
        <f>HYPERLINK("https://www.weblio.jp/content/風邪", "词义详情")</f>
        <v/>
      </c>
      <c r="K1543">
        <f>HYPERLINK("https://yourei.jp/風邪", "查看例句")</f>
        <v/>
      </c>
    </row>
    <row r="1544">
      <c r="A1544" t="inlineStr">
        <is>
          <t>課税</t>
        </is>
      </c>
      <c r="B1544" t="inlineStr">
        <is>
          <t>成功</t>
        </is>
      </c>
      <c r="C1544" t="inlineStr">
        <is>
          <t>読み方：かぜい
［名］(スル)租税を義務者に割り当てること。また、義務者に割り当てられる租税・税金。「輸入品に—する」</t>
        </is>
      </c>
      <c r="D1544" t="inlineStr">
        <is>
          <t>課税される(9%)；課税すること；課税額；課税強化；課税方式</t>
        </is>
      </c>
      <c r="E1544" t="inlineStr">
        <is>
          <t>寄与；税；税金；租税；徴税</t>
        </is>
      </c>
      <c r="F1544" t="inlineStr">
        <is>
          <t>土地課税；臨時課税；大衆課税；応じて課税；なき課税</t>
        </is>
      </c>
      <c r="G1544" t="inlineStr">
        <is>
          <t>課税標準；課税権；課税所得；課税物件；課税制度</t>
        </is>
      </c>
      <c r="H1544" t="n">
        <v>29</v>
      </c>
      <c r="I1544" t="inlineStr">
        <is>
          <t>こうした規制や課税は鉄道の経営に大きな打撃を与えることになった。；但し、政策上・課税技術上の観点等から など、いくつかの例外がある。；個人型および企業型の確定拠出年金の掛金にかかる課税は以下のとおり。；課税の対象になる財貨・サービスは特定的で税率も統一されていない。；これは大麻に課税し規制するためのカリフォルニア州憲法修正案だった。；賦役は文明の始まりにも遡ることができ、最古の課税形態の一つである。；名誉革命での権利の章典においても議会の承認なしの課税は禁止された。；物品税は購入価格あるいは州で登録された飛行機の市場価値で課税される。；ゴルフ場利用税の課税の理由は、一般的に次のように説明されている。；また三間の間口を一軒役として課税したことへの反発した形状とする説もある。；このため、清朝ではこれら朝鮮人農民を領民と認め課税することにした。；諸国は課税再開を要請したが、結局即位10年まで課税停止は延長された。；この場合、その年の住民税は転居先の市町村から課税されることはない。；主に税法や課税庁の意図しない方法で行われる点で節税と区別される。；課税にも毎年度の予算での議会承認を必要とする方式を一年税主義という。；その取引によって利益が生じたかどうかにかかわらず課税された。；両五百川領ではさらに従来の浮役がそのままとなっていて三重の課税となった。；そしてインディアンを掃討する代わりに砦の建設のために課税しようとした。；は、商品の販売やサービスの提供などの取引に対して課税される税である。；州の所得税の課税に抵抗することは実際には非常に困難である。；しかしこれで対立が解消したわけではなく、次に問題となったのは課税方式の違いであった。；課税に関する裁判が始まった後はイタリアに戻り、家族の近くに暮らしていた。；わずかに残された財産も、財産税課税のために差し押さえられてしまった。；全住民は軍事の徴兵と特別課税に合わせて区分けがなされていた。；さらに退職後の収入や他州で得た収入にも課税していない。；課税審査権などを行使して、経済面から王権を制限する役割を果たした。；たまたま得た収入に課税をするのが当然ではないか。；予算と法律を区別したうえで法律によって課税する方式を永久税方式という。；また全国の検地を行い、課税の基礎となる詳細な検地台帳を作り上げた。</t>
        </is>
      </c>
      <c r="J1544">
        <f>HYPERLINK("https://www.weblio.jp/content/課税", "词义详情")</f>
        <v/>
      </c>
      <c r="K1544">
        <f>HYPERLINK("https://yourei.jp/課税", "查看例句")</f>
        <v/>
      </c>
    </row>
    <row r="1545">
      <c r="A1545" t="inlineStr">
        <is>
          <t>稼ぐ</t>
        </is>
      </c>
      <c r="B1545" t="inlineStr">
        <is>
          <t>成功</t>
        </is>
      </c>
      <c r="C1545" t="inlineStr">
        <is>
          <t>読み方：かせぐ
［動ガ五（四）］
１生計を立てるために、一生懸命に働く。「骨身を惜しまず—・ぐ」
２働いてお金を得る。「学費を—・ぐ」
３試合などで、得点をあげる。「打点を—・ぐ」「下位力士を相手に星を—・ぐ」
４（「点をかせぐ」「点数をかせぐ」の形で）自分の立場が有利になるように行動をとる。評価を高める。「母の手助けをして点を—・ぐ」
５（「時をかせぐ」「時間をかせぐ」の形で）都合のよい状態になるまで何かをして時間を経過させる。「支度ができるまで司会者が時間を—・ぐ」
６探し求める。
「繁華の都へ出て奉公を—・ぎ」〈黄・栄花夢〉
[可能]かせげる</t>
        </is>
      </c>
      <c r="D1545" t="inlineStr">
        <is>
          <t>稼ぐべく；稼ぐためアルバイト；稼ぐつもりなら</t>
        </is>
      </c>
      <c r="E1545" t="inlineStr">
        <is>
          <t>得る；動作；もたらす；掴む；稼動</t>
        </is>
      </c>
      <c r="F1545" t="inlineStr">
        <is>
          <t>稼ぐというもの</t>
        </is>
      </c>
      <c r="H1545" t="n">
        <v>29</v>
      </c>
      <c r="I1545" t="inlineStr">
        <is>
          <t>それはより考慮され、私がしたことの半分を稼ぐことを受け入れました。；パチスロの機械を買って練習していたほどで、月に何十万も稼いでいた。；転機は友人と組んで発売したゲームで7000ドルを稼いだことだった。；持ち帰る金を稼ぐため契約期間を過ぎてからも働いたものがいたという。；何所の国に行っても全国民が朝から晩まで稼いで居るものではない。；スタンが戻ったチームは負けてしまったものの、たくさんの点を稼いだ。；ギブニーによると映画は28万ドルしか稼ぐことができなかったという。；制限時間内に多くの敵を倒してポイントを稼ぐルールとなっている。；それからすぐに、薬物購入のための金を稼ぐために売春の仕事を始めた。；無駄なライブ感覚で行数を稼ごう作戦をいきなり展開してしまいそうです。；本人のコメントによるとアメリカ時代には1試合で2万ドル稼いでいた。；やはり子供の時からの環境で、体を労して稼ぐことは思い得ないのですね。；各チームはそれに答え、持ち点を稼いでいくというルールで競いあった。；自分が稼いだ金で二重焼きを2つ買って食べることが最高の贅沢だった。；卵が戻って来るまで、見積3週間ほどの時間を稼ぐことができるだろう。；この間は着実にポイントを稼ぐ走りは披露したが、優勝は果せなかった。；女はびっくりして稼いだお金をお百姓に渡し、亭主に与えるように頼んだ。；つまり、各人が映画その他で稼ぐ暇々に芝居をすると言う事をはじめた。；州民が得た賃金は、それが州外から稼いだものでも所得税の対象になる。；こうして最高得点を稼いだチームが優勝、松下製品の中から一品貰える。；ラメが稼いだ実収入は130万ドルから270万ドルと推定されている。；兄弟でスタジオを開きアメリカ向けに絵を売って生活費を稼ぐことができた。；彼はそのような類似した別作品を撮ることでお金を稼ぐことができると思った。；それで此の店で復た稼ぐんだと聞かせられてからは時々かうして來ますがね。；最高レベルになるには、通算999稼ぐ必要があるために苦労させられる。；私が二十五万ポンド稼ぐたびに、友人の何人かが苦しむ羽目になります。；どうもからだに恰度合うほど稼いでいるくらい、いいことはありませんな。；全員の好意値を総合して一番好意値を稼いだプレイヤーが勝利となる。；十分なお金を稼ぐようになれば娘は正式な教育を受けることができるだろうと考えた。</t>
        </is>
      </c>
      <c r="J1545">
        <f>HYPERLINK("https://www.weblio.jp/content/稼ぐ", "词义详情")</f>
        <v/>
      </c>
      <c r="K1545">
        <f>HYPERLINK("https://yourei.jp/稼ぐ", "查看例句")</f>
        <v/>
      </c>
    </row>
    <row r="1546">
      <c r="A1546" t="inlineStr">
        <is>
          <t>仮説</t>
        </is>
      </c>
      <c r="B1546" t="inlineStr">
        <is>
          <t>成功</t>
        </is>
      </c>
      <c r="C1546" t="inlineStr">
        <is>
          <t>読み方：かせつ
ある現象を合理的に説明するため、仮に立てる説。実験・観察などによる検証を通じて、事実と合致すれば定説となる。</t>
        </is>
      </c>
      <c r="D1546" t="inlineStr">
        <is>
          <t>仮説上；仮説的；仮説段階；仮説実験的認識；仮説そのもの</t>
        </is>
      </c>
      <c r="E1546" t="inlineStr">
        <is>
          <t>推定；推測；想定；予測；前提</t>
        </is>
      </c>
      <c r="F1546" t="inlineStr">
        <is>
          <t>系統仮説；大胆な仮説；説明する仮説；有力な仮説；新しい仮説</t>
        </is>
      </c>
      <c r="G1546" t="inlineStr">
        <is>
          <t>仮説検定；仮説検証；仮説社；仮説演繹法；仮説上の天体</t>
        </is>
      </c>
      <c r="H1546" t="n">
        <v>29</v>
      </c>
      <c r="I1546" t="inlineStr">
        <is>
          <t>そこから推測された仮説も存在するが、あくまで仮説の域を出ていない。；また、その仮説を立てた大まかな理由もある程度明確にしておくとよい。；そして、仮説を述べるときには必ず実験的なデータを準備するようにした。；結果や結論を説明するための仮説を形成することを言うこともある。；よって現在でも断片的な説明となるいくつかの仮説が存在するのみである。；以下に、意識の仕組みを解明しようとしている仮説提唱者の一部を示す。；現代の聖書研究でもっとも広く支持されている仮説は二資料仮説である。；ヘッケルの反復説は、数々の点で批判の対象となってきた仮説でもある。；言語がいつどのように生まれたのか分かっておらず、複数の仮説が存在する。；ランナウェイが始まるきっかけを説明する別の仮説に感覚便乗説がある。；仮説とは、推測ではあるが、観察した現象や事実を説明できるものである。；決定的な原因は判明しておらず、様々な仮説が検討されている状態である。；ただし、この仮説上の自転軸の変化がいつ発生したのかは分かっていない。；なぜ人間は人種に敏感なのかを説明する仮説は大きく分けると三つある。；どの仮説が正しいかは、証言できる者が生存しておらず不明のままである。；反証主義によれば、この可能性を有する仮説のみが科学的な仮説である。；また原理的に、いつまで経っても分岐図は仮説である部分を含んでいる。；これまでの研究によって否定された仮説には次のようなものがある。；衛生仮説ともいわれるこの説は現在もっとも有力な説となっている。；これは、自然の単純さへのドルトンの確信から生まれた単なる仮説だった。；アヴァールの起源は謎に包まれており、いくつかの仮説が立てられた。；これらの問題については、以下のように様々な仮説が唱えられている。；この問題についての解析は進んでおらず、いまだ仮説の域を出ていない。；ある民族の言語が由来だという仮説がいくつかあり、次のようなものである。；臨死体験は多様性のある現象であり、様々な解釈や仮説が可能となっている。；しかし、これらの仮説を支持する研究者は少なく、俗説の域を出ていない。；一般に一つの実験だけで仮説の正しさを確定することはできない。；このようなことになった理由は不明であるが、学界ではいくつかの仮説がある。；またこのとき、大出現は33年周期ではないかとの仮説が立てられた。</t>
        </is>
      </c>
      <c r="J1546">
        <f>HYPERLINK("https://www.weblio.jp/content/仮説", "词义详情")</f>
        <v/>
      </c>
      <c r="K1546">
        <f>HYPERLINK("https://yourei.jp/仮説", "查看例句")</f>
        <v/>
      </c>
    </row>
    <row r="1547">
      <c r="A1547" t="inlineStr">
        <is>
          <t>河川</t>
        </is>
      </c>
      <c r="B1547" t="inlineStr">
        <is>
          <t>成功</t>
        </is>
      </c>
      <c r="C1547" t="inlineStr">
        <is>
          <t>読み方：かせん
地表をほぼ一定の流路をもって流れ、湖や海に注ぐ水の流れ。大小のかわ。「一級—」</t>
        </is>
      </c>
      <c r="D1547" t="inlineStr">
        <is>
          <t>河川名称；河川整備；河川沿い；河川開発；河川管理</t>
        </is>
      </c>
      <c r="F1547" t="inlineStr">
        <is>
          <t>主要河川；流入河川；両河川；大きな河川；主要な河川</t>
        </is>
      </c>
      <c r="G1547" t="inlineStr">
        <is>
          <t>河川改修；河川法；河川水；河川総合開発事業；河川管理者</t>
        </is>
      </c>
      <c r="H1547" t="n">
        <v>29</v>
      </c>
      <c r="I1547" t="inlineStr">
        <is>
          <t>東西の州境が完全に河川で構成されていることでは全米唯一の州である。；今後はより環境に配慮した河川開発が推進されるものと見られている。；川や河川の流れてくる方向や風の吹いてくる方向を表すときにも用いられる。；これは河川の水運の規模の大きさと、強力な防衛力に支えられていた。；韓国では西海岸地域を除く河川で留鳥に生息しているとの報告もある。；当駅を北西方向へ列車が出発して最初に渡る小河川が喜瀬川である。；全体に道路や河川に沿って小さな町と先住民の集落が散らばっている。；この早熟雄は河川での成長速度の速い個体から出現すると考えられる。；ワニガメのように、湖沼や河川の底をただ歩くことを好む種も存在する。；国内最大の河川であるネムナス川とその支流は国際運河にもなっている。；これは河川輸送がこの時代に既に行われていたことを示す。；河川総合開発と並行して強力に実施されていたのが農地開拓である。；地形輪廻の壮年期地形や河川の上流などの下刻作用の強い所に見られる。；全国で普通に見られ、市街地の河川や公園の池などでも観察される。；農業版河川総合開発ともいえるこの事業は北上川流域でも強力に実施された。；こうした用材の搬出は、古くは河川を利用した筏流しが多用されていた。；古くはヨーロッパ沿岸河川、北米大西洋沿岸でも商業的に生産されていた。；河川の上流から流れてきた砂などが堆積することにより形成される。；現在の河川名は、現在の岡山市北東部に位置する吉井地区に由来する。；この際、遡上前の成長がより悪い個体ほど河川に遡上する傾向がある。；内陸国ゆえに海軍は存在せず、大きな河川も無いため河川軍も編成していない。；多くの種類があって、河川から深海まであらゆる水環境に生息する。；河川の流量を多い順に日数で並べたもので、河川の管理に重要なものである。；光流の時空分布が非均一であることは、西安内の河川の共通の特徴である。；そのため、山地の河川では洪水時に大量の砂礫を運搬することができる。；そのほかにも市内を南北に河川が幾筋か流れている。；また、ワジではなく通年流水のある河川が砂漠の中を流れることがある。；また、湖を形成する前に砂漠の途中で消滅してしまいワジとなる河川も多い。；吉野川の河川開発が本格的に開始されたのは江戸時代に入ってからのことである。</t>
        </is>
      </c>
      <c r="J1547">
        <f>HYPERLINK("https://www.weblio.jp/content/河川", "词义详情")</f>
        <v/>
      </c>
      <c r="K1547">
        <f>HYPERLINK("https://yourei.jp/河川", "查看例句")</f>
        <v/>
      </c>
    </row>
    <row r="1548">
      <c r="A1548" t="inlineStr">
        <is>
          <t>下線</t>
        </is>
      </c>
      <c r="B1548" t="inlineStr">
        <is>
          <t>成功</t>
        </is>
      </c>
      <c r="D1548" t="inlineStr">
        <is>
          <t>下線部(10%)；下線付き(3%)</t>
        </is>
      </c>
      <c r="H1548" t="n">
        <v>29</v>
      </c>
      <c r="I1548" t="inlineStr">
        <is>
          <t>都市名に赤下線が引かれているのは1177年時点の加盟都市を示す。；最後の有効数字に下線を引くという方法もあるが、さほど一般的でない。；彼女はミスの四字を大文字で打ち、わざわざ二重の下線をそこにひいていた。；下線のある記事には虚偽の記載があるとして裁判所が認定した記事。；下線が引かれているものは既にCBTCでの営業が始まっている。；手紙は少しは長いのですが、下線がいっぱいで公表をはばかることが多かったからです。；下線を引いた一節はきわめて短く、つぎのような内容であった。；任意の部分を太文字にしたり、下線を引いたりする。；ただ平均を作るには、下線を引いた比例数と括弧内の比例数をも考慮中に置かねばならぬ。；町区域設定前の町名等欄で下線がある町名はその全部、それ以外はその一部である。；また、省略した部分がある場合には該当部に下線を引いたうえで、まとめて脚注で示した。；イタリック体による表記が難しい場合は、下線を引くことでも代用できる。；機能とリスクに明確に下線を引くことで、ユーザーが製品を使用している間、ユーザーの意識と情報が向上する。；国鉄直通車で、社紋と社名を車体に標記し、番号に二重下線を引いていた。；アンダーソンの手紙はフランス語で書かれており、節に分けて番号をふったり重要な部分に下線を引いたりと整理されていた。；国鉄時代は2面3線の駅で中線は上・下線の待避線として使っていた。；上記の例において、下線部は主語要素を、斜体部は述語要素を表している。；横書き文章においては、類似のあらわし方で、下線や上線が存在する。；その当時、夫に死別したお松は、三人の子供を抱えて生活の最低下線上に立っていた。；佐山が下線に目をとめたのを悟り、ファーゾルトはわずかに笑みの入った口調で言う。；白地に赤く描かれた太線の円の中に黒字の最低速度および黒の下線で表される。；コッポラの手書きのリストではマーロン・ブランドに下線が引かれている。；もし単語の候補が2つ以上ある場合には下線表示や反転表示などで別の候補があることを知らせるようになっている。；例えば この他にも、上点や下線を用いる表示法もある。；アドレスには下線が引いてあり、そこにポインタを合わせると手のマークに変わった。；もともとは、タイプライターで下線を引くために設けられた。；以下、下線はその桁が負であることを意味するものとする。；入破音は有声無気音の文字の下に下線を引くことで表される。；角記号は、下線の左に接し、右上方向に伸びる斜線を引く図形を書く。</t>
        </is>
      </c>
      <c r="J1548">
        <f>HYPERLINK("https://www.weblio.jp/content/下線", "词义详情")</f>
        <v/>
      </c>
      <c r="K1548">
        <f>HYPERLINK("https://yourei.jp/下線", "查看例句")</f>
        <v/>
      </c>
    </row>
    <row r="1549">
      <c r="A1549" t="inlineStr">
        <is>
          <t>過疎</t>
        </is>
      </c>
      <c r="B1549" t="inlineStr">
        <is>
          <t>成功</t>
        </is>
      </c>
      <c r="C1549" t="inlineStr">
        <is>
          <t>読み方：かそ
極度にまばらなこと。特に、ある地域の人口が他に流出して少なすぎること。「—の村」「—化」⇔過密。</t>
        </is>
      </c>
      <c r="D1549" t="inlineStr">
        <is>
          <t>過疎化(14%)；過疎地帯(7%)；過疎対策(4%)；過疎地域(3%)；過疎村(3%)</t>
        </is>
      </c>
      <c r="F1549" t="inlineStr">
        <is>
          <t>極端な過疎；弁護士過疎；過疎市町村；深刻な過疎；急激な過疎</t>
        </is>
      </c>
      <c r="G1549" t="inlineStr">
        <is>
          <t>過疎地域；過疎地；過疎地域自立促進特別措置法；過疎対策事業債</t>
        </is>
      </c>
      <c r="H1549" t="n">
        <v>29</v>
      </c>
      <c r="I1549" t="inlineStr">
        <is>
          <t>それがこんな老人と民宿客だけの過疎村相手の作戦に引っ張り出された。；過疎地帯の廃屋のいろりに草が生い茂っていたのをみた時もそうだった。；日本全国に同じような経緯で過疎化した地域はたくさんあるんでしょうね。；白老町から車で一時間ほどの距離にある過疎の村を訪れるためだった。；具体的には上述のように非居住区域の設定、立地も過疎地帯が選ばれた。；しかし有効活用されることなく、すぐに存在意義の不明な過疎板となった。；そしてその様子はネット上で拡散されていき、過疎の町は大混乱に陥る。；そんな漠然とした不安や不満を取り囲む、この過疎の村の、静かな空気。；車で来たんでしょうが、そんな山奥の過疎村からは通えないでしょう。；人口の推移はわずかな減少傾向だが、過疎というほどのことはない。；日弁連などによる支援の下、弁護士過疎の解消を目的として設立された。；襲撃の後、恐怖のため住民達は次々とこの地を離れ普天堡周辺は過疎化した。；隣の新潟3区と並んで過疎や豪雪対策が政策課題となることが多い。；調べてみて後醍醐天皇絡みの土地の大半が過疎地帯なら面白いわよ。；佐伯は、島根県の山間部が深刻な過疎問題をかかえていることを知った。；狭いとはいえ、人口がより少ないので、過疎という印象は変わらない。；この過程において一部の極端な過疎路線はバスの運行が無くなった。；河川の沿岸に集落が形成される農業地域であるため、一部を除いて近年では過疎の傾向が見られる。；運転手に聞いたら今はまったくの過疎の町だと言う。；宋朝政府は、南方から長江・淮河間の過疎地への農民の移住を奨励した。；過疎対策の研究などを行い、独自の人口予測プログラムを開発。；過疎地帯なんてさ、ほとんどの人から無視されているでしょ。；廃村寸前の過疎村がこの地上から消えたところで、だれも気にする者はあるまい。；ここは過疎村だといふことで、まだ森が荒されてゐないから小鳥がたくさんゐる。；小学三年の時に過疎の田舎に転居するが、そこで陰湿ないじめを受ける。；過疎の山奥でいくら百姓をやったところで自給自足もできません。；過疎板や悪意ある利用者の多い掲示板もこのカテゴリに分類されることがある。；東京の感覚で言うと嘘のような安さだが、過疎問題が深刻となっている村ではまあまあの評価だろう。；能登全体の問題ともなっている過疎高齢化の影響をより濃く受ける地域である。</t>
        </is>
      </c>
      <c r="J1549">
        <f>HYPERLINK("https://www.weblio.jp/content/過疎", "词义详情")</f>
        <v/>
      </c>
      <c r="K1549">
        <f>HYPERLINK("https://yourei.jp/過疎", "查看例句")</f>
        <v/>
      </c>
    </row>
    <row r="1550">
      <c r="A1550" t="inlineStr">
        <is>
          <t>数える</t>
        </is>
      </c>
      <c r="B1550" t="inlineStr">
        <is>
          <t>成功</t>
        </is>
      </c>
      <c r="C1550" t="inlineStr">
        <is>
          <t>読み方：かぞえる
［動ア下一］［文］かぞ・ふ［ハ下二］
１数量や順番を調べる。勘定する。「人数を—・える」「指折り—・える」
２一つ一つ挙げる。列挙する。「理由は種々—・えられる」
３数がそれだけのものになる。「蔵書は五万冊を—・える」
４その中の一つに加える。数に入れる。「候補者の一人に—・えられる」
５拍子をとって歌う。
「別れの白拍子をぞ—・へける」〈義経記・六〉
[下接句]死んだ子の年を数える・隣の宝を数える・鼻毛を数える・星を数うる如(ごと)し</t>
        </is>
      </c>
      <c r="D1550" t="inlineStr">
        <is>
          <t>数える際や地名(21%)；数えるべき</t>
        </is>
      </c>
      <c r="E1550" t="inlineStr">
        <is>
          <t>計算；挙げる；勘定；列挙；カウント</t>
        </is>
      </c>
      <c r="F1550" t="inlineStr">
        <is>
          <t>三つ数える；折って数える；もはや数える；殆ど数える</t>
        </is>
      </c>
      <c r="H1550" t="n">
        <v>29</v>
      </c>
      <c r="I1550" t="inlineStr">
        <is>
          <t>このような大規模な飛び地のある自治体は日本でも数えるほどしか無い。；野球も米国の強い影響を受けて、人気スポーツのひとつに数えられる。；このため、アウクスブルクはドイツで最も古い都市の一つに数えられる。；また一回きりしか演じないキャラクターもあるため、数えたらかなり多い。；この大会以後も活躍を続け、偉大な選手の1人に数えられるようになる。；この役は生涯の当たり役となり、公演は83歳を数えるまで続けられた。；その場合、単に文字を数えるだけで正確な音節数がわかるとは限らない。；そして、双方の合計点を数え、この合計点の高低で勝利チームを決める。；その起源は相当古くに遡り、人類最古の文化のひとつに数えられている。；彼は現在では世界で最も尊敬される数学者の一人に数えられている。；十二を数えるイジュマーの機能があると言われるが、最も有力なものは。；政治は男性中心で、女性議員はこれまで数えるほどしか当選していない。；女子が圧倒的多数を占めるこの学園では、男子が数えるほどしかいない。；一時は西武百貨店の中でも優良店舗の一つに数えられるまでになっていた。；その後も毎年のように重賞勝ち馬を輩出して最終的には15頭を数えた。；同地区は年間5万トンを生産し、日本三大産地の一つに数えられている。；この戦闘は、後にアメリカ陸軍の十大戦闘に数えられるようになった。；客の人数を尋ねる前に靴を数えろという教訓は今も忘れずに覚えている。；このような大規模な飛地のある自治体は日本でも数えるほどしかない。；再生した の1枚目のシングルで、結成時から数えると10枚目となる。；さらには、世界各国の言語で数字の13を数えることも要求されている。；中世から貴族であった家で現存しているのは数えるほどしか存在していない。；三隈三丘に数えられるものの一つで侵食によって形成された残丘である。；それとは別に触診法で有効な脈拍数を別に数えておくのが重要である。；木での年輪の代わりにこの節数を数えるとその竹の年齢を判定できる。；たとえばコーヒーの香りからは500種の物質が数えられている。；その長い歴史からアンシャン・ユニヴァシティーの一校に数えられる。；寺の周辺には無数の付属寺院の子院が建てられ、最盛期には百か院以上を数えた。；上から数えると五段目であるため、かつては「五段目」とも呼ばれた。</t>
        </is>
      </c>
      <c r="J1550">
        <f>HYPERLINK("https://www.weblio.jp/content/数える", "词义详情")</f>
        <v/>
      </c>
      <c r="K1550">
        <f>HYPERLINK("https://yourei.jp/数える", "查看例句")</f>
        <v/>
      </c>
    </row>
    <row r="1551">
      <c r="A1551" t="inlineStr">
        <is>
          <t>加速</t>
        </is>
      </c>
      <c r="B1551" t="inlineStr">
        <is>
          <t>成功</t>
        </is>
      </c>
      <c r="C1551" t="inlineStr">
        <is>
          <t>読み方：かそく
［名］(スル)速度を加えること。「アクセルを踏んで—する」⇔減速。</t>
        </is>
      </c>
      <c r="D1551" t="inlineStr">
        <is>
          <t>加速する(10%)；加速世界(4%)；加速させる(4%)；加速性能(2%)；加速される</t>
        </is>
      </c>
      <c r="E1551" t="inlineStr">
        <is>
          <t>促進；加速度；亢進；スピードアップ；速まる</t>
        </is>
      </c>
      <c r="F1551" t="inlineStr">
        <is>
          <t>自動加速；加速制御；高加速；手動加速；再加速</t>
        </is>
      </c>
      <c r="G1551" t="inlineStr">
        <is>
          <t>加速器；加速度センサー；加速度計；加速装置；加速度センサ</t>
        </is>
      </c>
      <c r="H1551" t="n">
        <v>29</v>
      </c>
      <c r="I1551" t="inlineStr">
        <is>
          <t>また機関車なども動力車の特性に合わせて加速曲線を自由に設定できる。；ただし、その際に皮膚の老化を加速していることも忘れてはならない。；その走りぶりはアクセルを踏み込んだ時の加速力からしてもうかがえる。；加速エネルギーの上限は印加することのできる電圧の大きさに依存する。；この速度以上に加速すれば永久に地球から離れていくことができる。；また上りは速度制限が解除されるために加速しながら通過することが多い。；超音速への加速時や超音速からの減速時には揚力中心の位置が変動する。；質量中心にかかる力は、向きを変えずに力の方向に物体を加速させる。；しかし直線で進路を確保してから猛烈な勢いで加速し、ほぼ同時にゴール。；これが国内の産業革命を加速させ、世界中の海軍の蒸気船に使われた。；コックピットでの超加速状態は俳優に高圧空気を噴きかけて表現している。；もし衝突された核が重い場合は核の加速は比較的少ない。；この方式では加速エネルギーを倍増させるために2段階の加速を行う。；その後再び加速すれば、目標の衛星と同じ軌道に乗ることができる。；推進ブースターが発射時の加速補助のために外部装着される事もある。；最終楽章でのコーダは圧倒的な加速で弾ききり、同曲の演奏を終了した。；スタートダッシュでどれだけ加速できるかが、勝負を大きく左右する。；高温や紫外線で分解が加速するため、常温保存では濃度維持が出来ない。；やがて体内から発するホルモンに依存する様になり成長が大幅に加速する。；MA形態では全スラスターが後方を向くため、爆発的な加速性能を誇る。；集積化の流れは続き、以下の理由からさらにその流れが加速した。；戦後の住宅需要増加と手軽な交通手段によって郊外開発が加速された。；その際パイロットのエイジは加速と機動に耐え切れず失神してしまう。；市場性が認められると、乗用車では商品性を増す改良が一段と加速した。；それ以前の電車の加速は運転手のコントローラーの切り替え速度に依存していた。；発進時の推進・加速及び到着時の減速用にリニアモーターが使用されている。；加速して「ヒット」するたびに、強いうなり音を得ることができる。；むしろ、温度の上昇は暴走的な過程で核融合の反応率を加速させる。；サービス終了に向け、サービス面でFOMAシフトを加速させている。</t>
        </is>
      </c>
      <c r="J1551">
        <f>HYPERLINK("https://www.weblio.jp/content/加速", "词义详情")</f>
        <v/>
      </c>
      <c r="K1551">
        <f>HYPERLINK("https://yourei.jp/加速", "查看例句")</f>
        <v/>
      </c>
    </row>
    <row r="1552">
      <c r="A1552" t="inlineStr">
        <is>
          <t>家族</t>
        </is>
      </c>
      <c r="B1552" t="inlineStr">
        <is>
          <t>成功</t>
        </is>
      </c>
      <c r="C1552" t="inlineStr">
        <is>
          <t>読み方：かぞく
１夫婦とその血縁関係者を中心に構成され、共同生活の単位となる集団。近代家族では、夫婦とその未婚の子からなる核家族が一般的形態。
２民法旧規定において、戸主以外の家の構成員。
[補説]2014年6月に実施した「あなたの言葉を辞書に載せよう。2014」キャンペーンでの「家族」への投稿から選ばれた優秀作品。◆家族とは「綿たっぷりの掛布団」である。重たいけどあったかい。決して羽毛布団ではない。ゴンタ選手さん◆愛し合っていた妻と、愛しているのに無視する娘と、両想いの犬。うたまるさん◆いちばん「ありがとう」を伝えるべきなのに、いちばん「ありがとう」って言いにくい人たち。IkeHiroさん◆私が私でいられる存在。pinkcatさん◆大人になるにつれ、その尊さを理解できる存在。柱くだるさん◆喧嘩をしてもご飯が用意されていたり、𠮟られても決して見捨てることをしない者のこと。どんなことがあっても自分の味方でいてくれる存在のこと。ふうちゃんさん◆無償の愛をくれる大切な存在。大根さん◆迷った時も、寄り道した時も、嵐にあった時も、長い旅に出た時も、どんなときでも、いつも最後に迎え入れてくれる港。papankoさん◆生まれて初めて出逢う最小単位の社会。その単位は必ずしも血縁者や人類に因らず、共に生きる、住む、心を通じ合わせる生物も含む場合がある。ゆうこさん◆時々面倒で、近くに居すぎて大切さに気付きにくいもの。aiaiさん</t>
        </is>
      </c>
      <c r="D1552" t="inlineStr">
        <is>
          <t>家族連れ；家族全員；家族たち；家族ぐるみ；家族関係</t>
        </is>
      </c>
      <c r="E1552" t="inlineStr">
        <is>
          <t>家；門；家庭；一族；一家</t>
        </is>
      </c>
      <c r="F1552" t="inlineStr">
        <is>
          <t>核家族；新しい家族；家族同然；家族みんな；主人家族</t>
        </is>
      </c>
      <c r="G1552" t="inlineStr">
        <is>
          <t>家族制度；家族経営；家族旅行；家族の絆；家族法</t>
        </is>
      </c>
      <c r="H1552" t="n">
        <v>29</v>
      </c>
      <c r="I1552" t="inlineStr">
        <is>
          <t>この日以来彼女は家族絡みの会見以外はすべて一人で行うようになった。；父は何も仕事をせず、常に自宅におり、家族は軍人恩給で生活していた。；家族の存続を重視する朝鮮の伝統社会では、結婚が成人の指標とされた。；彼は1807年に死去し、その死は家族との転居が完了する前であった。；彼の作品の登場人物はしばしば家族に対する直接の抗議であると見られる。；一方同時に多くの地方人が、料理をしてくれる家族を残してパリに集まった。；姓が同じことは親類関係を意味せず、姓は家族間で異なるのが一般的。；この時期は会社が成長する一方で家族や親類への責任も増していた。；改善が見られない場合はアーミッシュを追放され、家族から絶縁される。；当時は家族などにもその被害を打ち明けることができなかったと語っている。；欧米では一般的には、日本人ほどには家族の遺体にこだわりを持たない。；家族に向けた手紙には地図を描いて送り、学んだことをフランス語で記録した。；雄は初子の身体を強く抱きしめ、家族だけに見送られて自宅を後にする。；教室には、家族を失望させない程度に定期的に顔を出す程度であった。；家族同士での会話にも音を利用していると考えられている。；しかし本人や家族の希望があれば第一制服を着用して通学することも可能である。；更にキャラクター性を確立した各登場人物の家族たちも登場。；エンゲルスは家族と別れを告げてでも信念を全うする覚悟を固めていた。；残された時間を家族と過ごすために退院してウンケルの自宅に隠棲した。；これなどの作品はアニメ愛好者よりは子供を中心とした家族を狙った作品が多い。；労働者の家族に生まれたヌルミは12歳に学校を中退して家計を支えた。；家族には原稿を「こさえるかわりに書いたのだもや」と語ったという。；ただし、それらは当然ながら個人、あるいは家族に属するものである。；中国の家族は一般に絆が非常に強く、仲が良くても問題にする気配は全くない。；定住型は主に魚を餌とし、大抵は十数頭の家族群を形成して生活する。；過去には祖先に倣い医師を目指すよう家族に勧められていたという。；鎌倉市の自宅で家族と最後の時間を過ごした後、サイパン島に着任する。；しかし父は1847年に亡くなり、残された家族は苦しい生活を送った。；ベルの研究ノートや家族との手紙が、彼の長期の研究を証明する鍵となった。</t>
        </is>
      </c>
      <c r="J1552">
        <f>HYPERLINK("https://www.weblio.jp/content/家族", "词义详情")</f>
        <v/>
      </c>
      <c r="K1552">
        <f>HYPERLINK("https://yourei.jp/家族", "查看例句")</f>
        <v/>
      </c>
    </row>
    <row r="1553">
      <c r="A1553" t="inlineStr">
        <is>
          <t>加速度</t>
        </is>
      </c>
      <c r="B1553" t="inlineStr">
        <is>
          <t>成功</t>
        </is>
      </c>
      <c r="C1553" t="inlineStr">
        <is>
          <t>読み方：かそくど
１一定時間内の速度の変化の割合。
２物事の変化の速さがしだいに増していくこと。「科学の進歩に—がつく」</t>
        </is>
      </c>
      <c r="D1553" t="inlineStr">
        <is>
          <t>加速度的(19%)；加速度制御；加速度a；加速度応答スペクトル；加速度地震計</t>
        </is>
      </c>
      <c r="E1553" t="inlineStr">
        <is>
          <t>促進；加速；亢進；累加</t>
        </is>
      </c>
      <c r="F1553" t="inlineStr">
        <is>
          <t>大きな加速度；高加速度；高い加速度；直線加速度；振動加速度</t>
        </is>
      </c>
      <c r="G1553" t="inlineStr">
        <is>
          <t>加速度計；加速度センサ；加速度運動；加速度脈波</t>
        </is>
      </c>
      <c r="H1553" t="n">
        <v>29</v>
      </c>
      <c r="I1553" t="inlineStr">
        <is>
          <t>その刺激が神経から脳に伝えられ直線加速度を感じるようになっている。；失業者が加速度に増加しつつある現代に於てそれは否定せざるを得ない。；五十の差はあるが、この数字と引き替えに犠牲も加速度的に大きくなる。；ごくゆるやかな変化の時期のあとに加速度的の急激な変化の時期が来る。；しかしだ、ぼくがもっと関心のあるのは極端に大きな一時的加速度だよ。；その女に自分が加速度的に惹きつけられているのが不思議でならない。；しかも、地球の進歩はますます加速度が増しているじゃあありませんか。；物質的なものが到達したことがないような加速度で移動していた。；地質は最大加速度に強く影響し、数kmの範囲内でも極端に変わり得る。；その能力は加速度的に強化されていき、星の周囲の人物の存在を消していく。；NBAの人気は加速度的に増していき、チーム数は27にまで増加する。；接地の際に機体が受けた垂直加速度は、6Gを超えていたと推定された。；すさまじい加速度がついて空気が個体のように感じられるほどだった。；座席にベルトで固定されていても、加速度の消滅はすぐに感じられた。；反加速度の場は、電子の軌道を、ごくわずか変化させる作用を持っている。；悠の混乱は加速度を増し、想いを押し殺すようにして盗撮を続けていた。；この力のことを加速抵抗・加速度抵抗・慣性係数などと呼ぶことがある。；力は加速度をもたらし、それが式中に含まれる場合があるので注意。；このときは加速度が加わったはずであるが、Kはすこしも気づかなかった。；その感情が互いに反発して、加速度に高まりつつあったことも事実である。；同じ出力のエンジンならば、軽い車の加速度は大きく、重い車では小さい。；私たちの乗っている未来へ進む乗物には、非常な加速度がついている。；ご婦人たちには最大安全率と思う加速度にセットしておいたからね。；南北戦争後、インディアナ州の産業は州北部で加速度的に成長を始めた。；あなたの船は、私たちの船よりも高い加速度に耐えられるはずです。；引用された の値は、この効果による月の加速度が であると仮定する。；それが、テレビ画面下の日付の動きと共に、加速度的に巨大化してゆく。；その感情が互に反撥して、加速度に高まりつつあったことも事実である。；加速度に耐えて後ろを見ると、赤い機体が巧みな動きで追走してきている。</t>
        </is>
      </c>
      <c r="J1553">
        <f>HYPERLINK("https://www.weblio.jp/content/加速度", "词义详情")</f>
        <v/>
      </c>
      <c r="K1553">
        <f>HYPERLINK("https://yourei.jp/加速度", "查看例句")</f>
        <v/>
      </c>
    </row>
    <row r="1554">
      <c r="A1554" t="inlineStr">
        <is>
          <t>加速度的</t>
        </is>
      </c>
      <c r="B1554" t="inlineStr">
        <is>
          <t>成功</t>
        </is>
      </c>
      <c r="C1554" t="inlineStr">
        <is>
          <t>読み方：かそくどてき
［形動］程度がどんどん増すさま。「—に経営状態が悪化する」</t>
        </is>
      </c>
      <c r="D1554" t="inlineStr">
        <is>
          <t>どんどん進んでいく</t>
        </is>
      </c>
      <c r="H1554" t="n">
        <v>29</v>
      </c>
      <c r="I1554" t="inlineStr">
        <is>
          <t>五十の差はあるが、この数字と引き替えに犠牲も加速度的に大きくなる。；ごくゆるやかな変化の時期のあとに加速度的の急激な変化の時期が来る。；その女に自分が加速度的に惹きつけられているのが不思議でならない。；その能力は加速度的に強化されていき、星の周囲の人物の存在を消していく。；NBAの人気は加速度的に増していき、チーム数は27にまで増加する。；それが、テレビ画面下の日付の動きと共に、加速度的に巨大化してゆく。；これらの同国の行為により、両国の対立は加速度的に悪くなっていった。；彼がお蝋をくどくのに、加速度的な熱を加えたことはいうまでもない。；実際、和泉雅子ほど、その印象を加速度的に変えていった女優も珍しい。；同時にこれ以降イギリスのインド植民地化は加速度的に進んでいくこととなる。；騒ぎは加速度的に拡大し、人々はテレビの前に釘づけになっている。；なにもかもが最初の予想をはるかに超え、加速度的に進行した。；しかし星虫は答えず、地上が、町が、ビルが、加速度的に大きく近づく。；すなわち新薬が加速度的に開発され、種類が十年で四倍にふえているのだ。；やがて内部の圧力は急速に高まりそれと同時に中心部の温度は加速度的に上昇してゆく。；情報の集まりも加速度的に早くなり、会話や議論の内容も濃くなっていった。；その結果、光共振器内部の光強度が更に加速度的に大きくなることになる。；その日は一本やと思たのに、あくる日見ると、加速度的にふえている。；これに見るとおり、一円知行は中世後期から加速度的に進行したのである。；これらの同国の行為ににより、両国の対立は加速度的に悪くなっていった。；ぼくたちは今、その加速度的弱化におちいろうとしていたのだった。；どうやら変化は加速度的に進行しているようだった。；その頃から戦況は加速度的に悪化し、国内の生活も急激に逼迫していきます。；惑星自体が不安定なため、その公転軌道も加速度的に変則化していた。；その動きが始まってしまえば、農民の流出よりも加速度的に進んだ。；このままでは加速度的に僕と静希ちゃんとの関係は変質して行ってしまうのは目に見えています。；ガリア軍のいたるところで議論が発生し、騒ぎは加速度的に大きくなっていく。；時の過ぎ行く速度が、加速度的に速くなって行くように感じられた。；青蓮寺の活動も虚しく奸臣の蠢動により加速度的に国家は崩壊してゆく。</t>
        </is>
      </c>
      <c r="J1554">
        <f>HYPERLINK("https://www.weblio.jp/content/加速度的", "词义详情")</f>
        <v/>
      </c>
      <c r="K1554">
        <f>HYPERLINK("https://yourei.jp/加速度的", "查看例句")</f>
        <v/>
      </c>
    </row>
    <row r="1555">
      <c r="A1555" t="inlineStr">
        <is>
          <t>方</t>
        </is>
      </c>
      <c r="B1555" t="inlineStr">
        <is>
          <t>成功</t>
        </is>
      </c>
      <c r="C1555" t="inlineStr">
        <is>
          <t>読み方：え
［接尾］おおよその位置・方向・時間などを表す。…のあたり。…のころ。「行(ゆく)—」「古(いに)し—」→へ（方）</t>
        </is>
      </c>
      <c r="D1555" t="inlineStr">
        <is>
          <t>方がいい(3%)；方がよい；方が良い；方が多い；方がずっと</t>
        </is>
      </c>
      <c r="E1555" t="inlineStr">
        <is>
          <t>人；者；人間；側；方向</t>
        </is>
      </c>
      <c r="F1555" t="inlineStr">
        <is>
          <t>三方；おいた方；徳川方；先生方；織田方</t>
        </is>
      </c>
      <c r="G1555" t="inlineStr">
        <is>
          <t>方向；方面；方式；方針；方角</t>
        </is>
      </c>
      <c r="H1555" t="n">
        <v>29</v>
      </c>
      <c r="I1555" t="inlineStr">
        <is>
          <t>年齢が高い人よりも低い人の方が、症状が重い人は多いと言われている。；歴史的に跨座式より古く、商業的に成功したのも懸垂式の方が先である。；イギリスの場合、「」の方が人を前に置く表現よりも一般に都合が良い。；少ないながらも存在していた記事はウィキペディアの方へ吸収された。；用語「ヨーロッパ」は、歴史が展開する中で使われ方が様々に発展した。；台風の通過・被害が多いが、九州のほかの県と比べると少ない方である。；本プロジェクトへ参加を表明される方は/参加者へ署名をお願いします。；形式の与え方は鉄道事業者によって様々であり、統一されたものはない。；その使われ方や形式は様々な変遷をへて、現在用いられる形に至っている。；これには神々も驚き、動物に姿を変えてエジプトの方へと逃げてしまった。；注意すべきは線型写像を表す行列は基底の取り方に依存することである。；久米は「レミさんだけはやめた方がいいと思いますよ」と返したという。；その大きさは同じ温度ならばイオンの方が電子よりはるかに大きい。；好きなものは鉄道と鳥で、後者の方は特に文鳥がお気に入り、とのこと。；時間はかかったが、返事を書かない方が負担になると考えていた。；当時の技術ではCPUとは別にROMを置く方がコストが掛かっていた。；PS版には草薙京の目が開いている方と閉じている方の2種類があった。；この時代の重要な技術的発明としてはほかに、弦の張り方もあげられる。；男子の方が女子よりも出席率が高い傾向が報告されている。；形態素には、いくつかのタイプがあると考えた方が良いことが分かっている。；なお、であっても認証者の方は認証場所に直接アクセスするとは限らない。；そのため色彩学では面色と表面色という色の見え方の違いが重要とされている。；また新木場駅の蘇我方ではJR東日本の京葉線と線路が接続されている。；当時の日本人としては、そして俳優としても、かなり背が高い方だった。；なぜこのような人物像が作られたかというと、その方がわかりやすいからだという。；近頃すっかり逆になってきちゃってね、曲の方が簡単になってきてるんですね。；時間と空間の捉え方も2人の見解が大幅に相違しており、互いに衝突していた。；人々が前進したときよりも後退したときの方が短期記憶が優れている。；本人によるとピローニの事故に遭遇するまでは、雨の方が得意だった。</t>
        </is>
      </c>
      <c r="J1555">
        <f>HYPERLINK("https://www.weblio.jp/content/方", "词义详情")</f>
        <v/>
      </c>
      <c r="K1555">
        <f>HYPERLINK("https://yourei.jp/方", "查看例句")</f>
        <v/>
      </c>
    </row>
    <row r="1556">
      <c r="A1556" t="inlineStr">
        <is>
          <t>肩</t>
        </is>
      </c>
      <c r="B1556" t="inlineStr">
        <is>
          <t>成功</t>
        </is>
      </c>
      <c r="C1556" t="inlineStr">
        <is>
          <t>読み方：かた
１人の腕が胴体に接続する部分の上部、および、そこから首の付け根にかけての部分。「—をもむ」「—を組む」
２動物の前肢や翼が胴体に接続する部分の上部。
３衣服の、1に相当する部分。「—にパッドを入れる」
４物の上部のかどの部分。「—書き」「各句の—に番号を付ける」
５地形・物の形などの、1に相当する部分。「道路の—」「壺の—」
６山頂から少し下った所にある平らな所。「—の小屋」
７球などを投げる力。「—が弱い」
８物をかつぐ力。「足をくじいた友人に—を貸す」
９背負った責任。「乗客の安全は運転士の—にかかっている」
10新聞の一面左上端を占める記事。多くの場合、トップ記事に次いで重要とされる。→頭(あたま)
11《肩に倶生神(くしょうじん)が宿っていて、運命を支配するという俗信から》運。めぐりあわせ。
「此方等のやうな—の悪い夫婦なれば」〈鳩翁道話・一〉
[下接語] 後(あと)肩・襟肩・五十肩・先肩・四十肩・半肩・一(ひと)肩・路肩（がた）怒り肩・地(じ)肩・撫(な)で肩</t>
        </is>
      </c>
      <c r="D1556" t="inlineStr">
        <is>
          <t>肩をつかん；肩部；肩を軽く；肩を落とし；肩をぽん</t>
        </is>
      </c>
      <c r="E1556" t="inlineStr">
        <is>
          <t>肩口；肩先；ショルダー；肩部；肩関節</t>
        </is>
      </c>
      <c r="F1556" t="inlineStr">
        <is>
          <t>軽く肩；広い肩；がっくりと肩；肩甲下窩；肩部ウェポンラック</t>
        </is>
      </c>
      <c r="G1556" t="inlineStr">
        <is>
          <t>肩書き；肩書；肩越し；肩幅；肩ごし</t>
        </is>
      </c>
      <c r="H1556" t="n">
        <v>29</v>
      </c>
      <c r="I1556" t="inlineStr">
        <is>
          <t>一旦肩の高さのところまで達したら動作を止めてボールを上にトスする。；肩に乗るなどして操作するが、多少は離れても動かすことはできる模様。；入学当初は一塁手であったが、秋から肩の強さを見込まれて投手となる。；肩の作りが特殊なため、恐竜のような絶滅動物と比較されることも多い。；しかし、肩を故障して手術する事になりWWEでの復帰が延期となった。；胸部・肩・鎖骨などに受けても骨折するほどの大怪我となりがちである。；しかしながらわずかに肩や顔が見切れてしまっているシーンもあった。；日本では人体の左右の肩から出ている長い部分、腕も「手」と呼ばれる。；日本語の「て」はもともと肩から出ている長い部分全体を指していた。；しかし同年に肩の状態の悪化したことを理由にMLB移籍を断念した。；また槍は肩に抱えたまま突撃したり、投槍として使用されたりしていた。；しかしその後は肩の脱臼が頻繁に発生したこともあり伸び悩んでいた。；これもまた肩乗せ式のものではあったが、重量は2キログラムを切った。；満潮時に首から肩の辺りまで水に漬かる高さに逆さに磔を行ったという。；エリアが崩壊するか、肩の結晶体を破壊されない限り、ほぼ無敵である。；若い年齢で肩部、臀部と下背の上にしばしば出現するが健康上に問題はない。；肩部は直線に近い形状とし、その上部に段差をつけて雨樋としている。；そのインコは、例の僧が肩に乗せていたインコの弟に当たる鳥だった。；肩肉のチョップはたいていロインよりも質が落ちると考えられている。；葉痕の肩の部分に托葉痕があり、しばしば托葉が残っていることもある。；は肩を故障し9勝に終わり、以降は一度も20勝以上を挙げられなかった。；これは4本脚で直立した時の肩の高さの値で、首を上に上げた高さではない。；その場合の着用者は肩を露出した状態となり、それを着用している女性もいる。；最初はゴールキーパーだったが、肩の怪我を機にフォワードに転向した。；屋根肩のRが大きく幕板に相当する部分が殆ど無い断面形状が特徴である。；のオープン戦で霧雨の中で投球を続けたところ、右肩の肩板を損傷した。；好送球を実現する為には、肩の強さや高い技術や経験の豊富さなどが要求される。；採寸は顧客が立った状態で肩の高さで腕を組んだ姿勢で行われた。；現役22年で肘や肩の故障はほとんどなかったことを誇りにしている。</t>
        </is>
      </c>
      <c r="J1556">
        <f>HYPERLINK("https://www.weblio.jp/content/肩", "词义详情")</f>
        <v/>
      </c>
      <c r="K1556">
        <f>HYPERLINK("https://yourei.jp/肩", "查看例句")</f>
        <v/>
      </c>
    </row>
    <row r="1557">
      <c r="A1557" t="inlineStr">
        <is>
          <t>型</t>
        </is>
      </c>
      <c r="B1557" t="inlineStr">
        <is>
          <t>成功</t>
        </is>
      </c>
      <c r="C1557" t="inlineStr">
        <is>
          <t>読み方：けい
［音］ケイ（漢）　［訓］かた
［学習漢字］5年
〈ケイ〉
１同形のものをいくつも作るとき元になるもの。いがた。「原型・紙型・母型」
２基準となる形。タイプ。「型式／定型・典型・模型・類型」
〈かた（がた）〉「型紙／鋳型・大型・小型・新型・血液型」
［難読］型録(カタログ)・紅型(びんがた)</t>
        </is>
      </c>
      <c r="D1557" t="inlineStr">
        <is>
          <t>型機；型エンジン；型デジモン；型潜水艦；型星</t>
        </is>
      </c>
      <c r="E1557" t="inlineStr">
        <is>
          <t>形；種；モデル；類；種類</t>
        </is>
      </c>
      <c r="F1557" t="inlineStr">
        <is>
          <t>本型；従来型；発展型；箱型；流線型</t>
        </is>
      </c>
      <c r="G1557" t="inlineStr">
        <is>
          <t>型番；型破り；型通り；型どおり；型紙</t>
        </is>
      </c>
      <c r="H1557" t="n">
        <v>29</v>
      </c>
      <c r="I1557" t="inlineStr">
        <is>
          <t>宇宙での戦いをイメージした固定画面型のシューティングゲームである。；降海型は残留型よりもはるかに体が大きく、雄は産卵の際に有利である。；is式の構文が拡張され、型の後ろに変数名を宣言できるようになった。；一部にはノート型でありながらバッテリーを搭載しない機種も存在する。；値型におけるパフォーマンス向上を意図した複数の機能が追加された。；日本語諸方言では原則として、同じ類の語は同じ型のアクセントを持つ。；この場合は、ベンゾジアゼピン系などの中間作用型の薬が使用される。；静的型付けでは、全ての式の型はそのプログラムを実行する前に決定される。；一時的に使用される型を簡単に定義するための匿名型が導入された。；複素係数の場合にはその群は放物型メビウス変換からなる群に対応する。；株立型で草丈は高く葉も柔らかいが頻繁に草刈りをしなければならない。；そこではV2ロケットの発展型であるA8の開発と量産が予定された。；しかしこのパリ会談は直前に起きたU2型機事件で失敗に終わった。；型付けは動的型付けに分類できるが、言語仕様の中に型概念は登場しない。；モデムを利用する人だけカード型モデムを増設して利用するようになった。；そこには高階の型の計算可能性の研究ややなどの分野を同様に含む。；また、言語仕様にない場合でも強い型検査を行うことができる。；この場合、金星は地球から常に三日月型にしか見えないはずであった。；近年では腕時計型やハードディスクを搭載した機種も発売されている。；木や竹製の蛤型をしており、これを2つ同時に投げて裏表で吉凶を占う。；リニアモータは、回転型のモータを直線に展開したものと考えてよい。；反射型は液晶が表示器として使用され始めた頃からの比較的古い技術である。；このようなタイプの水素結合は、二股状あるいは三中心型と呼ばれる。；さまざまな主要なゲームの型は一般に卓上ゲームのうちに入る。；ケースは大半がプラスチック製で、本のように見開き型の形状となっている。；行列を構成する行の数と列の数の対を型 あるいはサイズという。；オブジェクトの型はオブジェクトを特定のクラスに制限したい時に用いられる。；前者ではプログラマは適切な位置に型を明記しなければならない。；ユーザ自身が型を定義する機能に加えて、関連を完全に記述できる機能も備えていた。</t>
        </is>
      </c>
      <c r="J1557">
        <f>HYPERLINK("https://www.weblio.jp/content/型", "词义详情")</f>
        <v/>
      </c>
      <c r="K1557">
        <f>HYPERLINK("https://yourei.jp/型", "查看例句")</f>
        <v/>
      </c>
    </row>
    <row r="1558">
      <c r="A1558" t="inlineStr">
        <is>
          <t>片足</t>
        </is>
      </c>
      <c r="B1558" t="inlineStr">
        <is>
          <t>成功</t>
        </is>
      </c>
      <c r="C1558" t="inlineStr">
        <is>
          <t>読み方：かたし
《「かたあし（片足）」の音変化》
１二つあるもののうちの一つ。片方。
「薩摩下駄の—も投散されたる中に」〈紅葉・金色夜叉〉
２一方の足。片足(かたあし)。
「お里は踏脱(くつぬぎ)へ—おろして」〈人・閑情末摘花・初〉
３細長いものの1本。一挺(いっちょう)。
「剃刀(かみそり)—見えける」〈浮・諸国ばなし・二〉</t>
        </is>
      </c>
      <c r="D1558" t="inlineStr">
        <is>
          <t>片足立ち；片足を引きずるよう；片足を高く；片足かけ；片足あげ</t>
        </is>
      </c>
      <c r="F1558" t="inlineStr">
        <is>
          <t>片足つっこん；片足を高く上げ；片足をぶらぶら</t>
        </is>
      </c>
      <c r="H1558" t="n">
        <v>29</v>
      </c>
      <c r="I1558" t="inlineStr">
        <is>
          <t>ミカエルは槍を持って片足で悪魔の上に立ち、頭部に打撃を与えている。；この際に止まっていた宿で暖炉が彼の足の上に落ちてきて片足を骨折した。；とうとうわたしはからだの向きを変えて片足を器具のほうに伸ばしてみた。；わたしは、その犬の主人が片足で、とても年寄であることも知りました。；ヴロンスキーの片足は地面にふれ、彼の馬はその足の上に倒れかかった。；自分がまるで、片足で歩くことに慣れようとしている男みたいな気がした。；片足を動かそうとすれば、完全に地上から落ちてしまうような感じがした。；青葉をつけた木の枝が一本落ちてる中に片足を踏み込んでるのだった。；片足を降ろしたとき、何かがずれて動くのを感じ、下から離れていった。；ハリーは椅子から立ち上がって、片足をボックス席の前の壁にかけていた。；片足で立つ技と逆位になってバランスをとる倒立のグループに分けられる。；そのうち、ようやくひとりのほうが、平べったい片足を水の中につけた。；それでも私は自分の片足を埋めて戦いとったところだと思って有頂天でしたよ。；わたしはその階段の踊り場で片足上げたまま答えねばならなかった。；こうしておけば、最悪の事態になっても、片足をとられるだけですむよ。；老人は片足は動かなかったし、片方の腕も使うことができなかったのである。；片足はイギリス海軍に従事していた時に戦闘中の砲撃で失ったと語っている。；はだしの片足が草の葉に触れ、彼の全身はなんのショックもなく停止した。；すると片足がトンネルの真ん中にある何かざらざらしたものに触れた。；そこへ、四つめの入口から背の高い女が片足を引きずりながら入ってきた。；やつは手を上げるには上げたが、片足を円の中へ踏みこもうとする。；また、噴水ではないが路上の突起物に片足を上げて放尿するの像もある。；一軒となりの杢右衛門どんの 唖の娘が投げすてた白い人形の片足ぢや。；それから穿き物のまま片足を水の中へ入れた、そしてもう片方の足を。；ヨハネは、イエスの遺体が置かれている開いた墓に片足を載せている。；片足を地面に平たくおき、その足裏に片方の足を乗せてすこし倒した。；彼女は、もはや何の為めに今日自分自身の片足を切断しなければならないのか?；その輪の中に片足を入れて、屋根の端を越えてソロソロすべり降りた。；捜し当てて沓脱石へ片足を掛けたとき、痛みは本当に自分のものとなった。</t>
        </is>
      </c>
      <c r="J1558">
        <f>HYPERLINK("https://www.weblio.jp/content/片足", "词义详情")</f>
        <v/>
      </c>
      <c r="K1558">
        <f>HYPERLINK("https://yourei.jp/片足", "查看例句")</f>
        <v/>
      </c>
    </row>
    <row r="1559">
      <c r="A1559" t="inlineStr">
        <is>
          <t>固い</t>
        </is>
      </c>
      <c r="B1559" t="inlineStr">
        <is>
          <t>成功</t>
        </is>
      </c>
      <c r="C1559" t="inlineStr">
        <is>
          <t>読み方：かたい
［形］［文］かた・し［ク］
１外力に対する抵抗力が大きく、容易に形を崩さない。「—・い殻を割る」「—・くてかめない肉」⇔やわらかい。
２
㋐物が強い力でぴったりとすきまなく合わさっている。「—・く扉を閉ざす」「帯を—・く結ぶ」「—・い握手を交わす」
㋑力を加えても、抵抗があって、滑らかに動かない。「栓が—・い」
３（内にあるものが）強くて、外からの力に負けない。しっかりしていて、揺るがない。「—・い信念」「—・い約束」「守りが—・い」「口が—・い」
４厳格である。きびしい。「—・く禁ずる」「身持ちが—・い」
５
㋐確かで、あぶなげがない。信用がおける。手堅い。堅実だ。「—・い商売」「当選は—・い」「予算を—・く見積もる」
㋑取引で、相場が一向に下がるようすがない。
㋒何事もいいかげんにせず、きちんと扱うさま。まじめである。「—・くて信用のおける人」「—・い本」「そう—・いことを言うな」
６自由な感じや、やわらかな感じに欠けたようすをいう。
㋐自在な動きができない。融通がきかない。「からだが—・い」「頭が—・い」⇔やわらかい。
㋑（表現などが）いかめしかったり、こわばったりしていて、すなおに人の気持ちに入ってこない。「文章がまだ—・い」「デッサンの線が—・い」
㋒鋭くて、張りつめた感じを与える。「—・く乾いた音」「表情を—・くして事態の推移を見守る」
㋓緊張から、気持ちにゆとりがなくなる。言動がぎくしゃくする。
[補説]漢字の使い分けは「固い」が広く用いられ、「硬い」は物の性質、「堅い」は状態・ようすに用いられることが多い。
[派生]かたげ［形動］かたさ［名］</t>
        </is>
      </c>
      <c r="D1559" t="inlineStr">
        <is>
          <t>固いもの(7%)；固い表情(3%)；固い地面；固い音；固い決意</t>
        </is>
      </c>
      <c r="E1559" t="inlineStr">
        <is>
          <t>強い；安全；安心；正しい；正直</t>
        </is>
      </c>
      <c r="F1559" t="inlineStr">
        <is>
          <t>固い床；固い岩；固い声；固い決心；固いところ</t>
        </is>
      </c>
      <c r="H1559" t="n">
        <v>29</v>
      </c>
      <c r="I1559" t="inlineStr">
        <is>
          <t>ひどい云ひ方のやうだが、それは固くなり過ぎてゐると云ふことである。；メンバーで何度も説得したが、ソロに専念したい本人の意志は固かった。；こうして世話人を務めた同期の仲間は固い絆で結ばれ一生涯の友となる。；秀吉夫人の側に勤めている婦人たちの内にも固いキリシタンが出来て来た。；客三 いや、そりや組合の中にだつて、ちつたあ骨の固い者はゐますよ。；これは伝統的に機関車に固名を与えないGNRでは例外的な措置だった。；拳面を痛める可能性のある固い部位を攻撃する場合などにも有効である。；荒野でもこのあたりは警部も言うように土壌が極めて固く乾燥している。；固い岩盤を流れる若い河川は、その大半の区間で急流になることがある。；固く体が締まったアンコ型で、右差しで頭を付けての寄りを得意とした。；そして固い手が肩にかけられた時も、かれは振りかえりもしなかった。；そうしてこのことは、おのずから皇室の地位を安固にするものであった。；シャツのすぐ下にある胸のふくらみは思いのほか固さをたたえていた。；書物に書いてあることも、昔のほうのが、義が固くていいといっていました。；花崗岩はクフ王時代に知られていた素材の中で最も固いものであった。；あわびの雄はどうしても身が固く、時期は今ごろから夏にかけてがよい。；自らの両脚を交差させ片脚を相手の脚側に伸ばすと手固後袈裟固となる。；それに道はいくらか凍って、雪も前よりは固くなり、歩くのが楽だった。；貞固は己が主人となっては、人に銭を使わせたことがないのである。；周囲に等間隔で並ぶ四個の目は、大きな眉と固いまぶたで守られている。；幅広くやや厚みのある固い葉をしており、常緑性で冬も葉をつけている。；髪が一本ある頭部はダイヤモンドより固く、頭突きが大きな武器になる。；その頭の置かれてあった地面には、夥しい血潮が赤黒く固っていました。；李固の話によると、盧俊義は梁山泊と通じていてもう戻ってこないという。；グライムズを執務室に迎えたクレーヴン船長は固い表情を浮かべていた。；鋼鉄の100億倍の強度があり、宇宙で最も固い物質と予想されている。；小さくより固ってただ梢を眺めているのだが、誰も沈んで物云うものもない。；かれは身を固くして相手の顔を見つめていると、亭主は小声で語った。；女たちは身を固くしてひとつ所に寄りこぞって、誰も声を出す者はなかった。</t>
        </is>
      </c>
      <c r="J1559">
        <f>HYPERLINK("https://www.weblio.jp/content/固い", "词义详情")</f>
        <v/>
      </c>
      <c r="K1559">
        <f>HYPERLINK("https://yourei.jp/固い", "查看例句")</f>
        <v/>
      </c>
    </row>
    <row r="1560">
      <c r="A1560" t="inlineStr">
        <is>
          <t>堅い</t>
        </is>
      </c>
      <c r="B1560" t="inlineStr">
        <is>
          <t>成功</t>
        </is>
      </c>
      <c r="C1560" t="inlineStr">
        <is>
          <t>読み方：かたい
［形］［文］かた・し［ク］
１外力に対する抵抗力が大きく、容易に形を崩さない。「—・い殻を割る」「—・くてかめない肉」⇔やわらかい。
２
㋐物が強い力でぴったりとすきまなく合わさっている。「—・く扉を閉ざす」「帯を—・く結ぶ」「—・い握手を交わす」
㋑力を加えても、抵抗があって、滑らかに動かない。「栓が—・い」
３（内にあるものが）強くて、外からの力に負けない。しっかりしていて、揺るがない。「—・い信念」「—・い約束」「守りが—・い」「口が—・い」
４厳格である。きびしい。「—・く禁ずる」「身持ちが—・い」
５
㋐確かで、あぶなげがない。信用がおける。手堅い。堅実だ。「—・い商売」「当選は—・い」「予算を—・く見積もる」
㋑取引で、相場が一向に下がるようすがない。
㋒何事もいいかげんにせず、きちんと扱うさま。まじめである。「—・くて信用のおける人」「—・い本」「そう—・いことを言うな」
６自由な感じや、やわらかな感じに欠けたようすをいう。
㋐自在な動きができない。融通がきかない。「からだが—・い」「頭が—・い」⇔やわらかい。
㋑（表現などが）いかめしかったり、こわばったりしていて、すなおに人の気持ちに入ってこない。「文章がまだ—・い」「デッサンの線が—・い」
㋒鋭くて、張りつめた感じを与える。「—・く乾いた音」「表情を—・くして事態の推移を見守る」
㋓緊張から、気持ちにゆとりがなくなる。言動がぎくしゃくする。
[補説]漢字の使い分けは「固い」が広く用いられ、「硬い」は物の性質、「堅い」は状態・ようすに用いられることが多い。
[派生]かたげ［形動］かたさ［名］</t>
        </is>
      </c>
      <c r="D1560" t="inlineStr">
        <is>
          <t>堅いもの(5%)；堅い木；堅い表情；堅い約束；堅い岩</t>
        </is>
      </c>
      <c r="E1560" t="inlineStr">
        <is>
          <t>強い；安全；安心；正しい；正直</t>
        </is>
      </c>
      <c r="F1560" t="inlineStr">
        <is>
          <t>何か堅い；堅い決意；堅い地面；堅い守り；非常に堅い</t>
        </is>
      </c>
      <c r="H1560" t="n">
        <v>29</v>
      </c>
      <c r="I1560" t="inlineStr">
        <is>
          <t>こちらを発つ時にはあれほど堅い約束をして置きながら何と云うことだ。；寝床が堅いと気のついたのは、寝てからずいぶんたった後のことでした。；何処か心の底に堅くなったもののあるのを自らにもおし隠すようにして。；私にはもう魂のない平面的な、現実の堅い皮ばかりしか残されていない。；スキーを持って行きましたが、雪が堅いので無くてもよいと思いました。；私と会っている時でもどうかするとすぐ説教のような堅い話になるのよ。；外に出ると彼等の緊張し興奮した精神はそのままに堅く凝結してしまった。；上下の顎のはは顎が堅く閉じられるように相補的なパターンで並んでいる。；で、もっと堅い地面に出るために、近道をして街道の方へ向かっていた。；私は印度が世界に對して一つの使命を有つてゐることを堅く信じてゐる。；自分へは祖母さんからその話があったが、堅く断ったと書いてよこした。；明日もまた天気とみえて雪の上はもはや幾分か堅くなって凍っています。；これをおまえたちは堅くおぼえてあとでも決して忘れてはいけない。；それぞれ自分に関係しないスペースへの立ち入りは堅く禁じられている。；堅い板に穴を開けて、電気が流れるケーブルをその穴に通すことがある。；女中は出はひり毎に堅くなつて坐つて居る女の姿を不審さうに見て居た。；「消してしまう必要はなかったのに」堅い沈黙を破ってカークがいった。；私は初めから冷たい気に触れて、心が堅くなるような気がしました。；これが初めで二夫人の友情は堅く結ばれていくであろうと思われた。；さあみんなはだんだんしいんとなって、まるで堅くなってしまいました。；おそらく何かの妖物であろうと思われるので、堅く拒んで入れなかった。；その塊が堅く捲いたターバンの下に隠れていたとは想像できなかった。；そしてその中の十二里が堅い皮の厚さで、あとは皆な熔けた玉なのだ。；イドリースィーは自らが立つ大地が球形であると堅い確信を持っていた。；然し、私は博士の教えを堅く守って、決して、自殺などはしないだろう。；だがそれでも、彼らは決して降伏しまいと堅い決心でいたのである。；そこいらには堅い地を割って出て来て、花をつけている春の草もある。；村の衆は口が堅いし、警官を邪魔者だとしか考えていないからね。；堅く押し黙っていることが物を一層よく語っているではなかろうかと。</t>
        </is>
      </c>
      <c r="J1560">
        <f>HYPERLINK("https://www.weblio.jp/content/堅い", "词义详情")</f>
        <v/>
      </c>
      <c r="K1560">
        <f>HYPERLINK("https://yourei.jp/堅い", "查看例句")</f>
        <v/>
      </c>
    </row>
    <row r="1561">
      <c r="A1561" t="inlineStr">
        <is>
          <t>硬い</t>
        </is>
      </c>
      <c r="B1561" t="inlineStr">
        <is>
          <t>成功</t>
        </is>
      </c>
      <c r="C1561" t="inlineStr">
        <is>
          <t>読み方：かたい
［形］［文］かた・し［ク］
１外力に対する抵抗力が大きく、容易に形を崩さない。「—・い殻を割る」「—・くてかめない肉」⇔やわらかい。
２
㋐物が強い力でぴったりとすきまなく合わさっている。「—・く扉を閉ざす」「帯を—・く結ぶ」「—・い握手を交わす」
㋑力を加えても、抵抗があって、滑らかに動かない。「栓が—・い」
３（内にあるものが）強くて、外からの力に負けない。しっかりしていて、揺るがない。「—・い信念」「—・い約束」「守りが—・い」「口が—・い」
４厳格である。きびしい。「—・く禁ずる」「身持ちが—・い」
５
㋐確かで、あぶなげがない。信用がおける。手堅い。堅実だ。「—・い商売」「当選は—・い」「予算を—・く見積もる」
㋑取引で、相場が一向に下がるようすがない。
㋒何事もいいかげんにせず、きちんと扱うさま。まじめである。「—・くて信用のおける人」「—・い本」「そう—・いことを言うな」
６自由な感じや、やわらかな感じに欠けたようすをいう。
㋐自在な動きができない。融通がきかない。「からだが—・い」「頭が—・い」⇔やわらかい。
㋑（表現などが）いかめしかったり、こわばったりしていて、すなおに人の気持ちに入ってこない。「文章がまだ—・い」「デッサンの線が—・い」
㋒鋭くて、張りつめた感じを与える。「—・く乾いた音」「表情を—・くして事態の推移を見守る」
㋓緊張から、気持ちにゆとりがなくなる。言動がぎくしゃくする。
[補説]漢字の使い分けは「固い」が広く用いられ、「硬い」は物の性質、「堅い」は状態・ようすに用いられることが多い。
[派生]かたげ［形動］かたさ［名］</t>
        </is>
      </c>
      <c r="D1561" t="inlineStr">
        <is>
          <t>硬い表情(6%)；硬いもの(6%)；硬い音(3%)；硬い声(3%)；硬い殻</t>
        </is>
      </c>
      <c r="E1561" t="inlineStr">
        <is>
          <t>強い；固い；丈夫；頑丈；ハード</t>
        </is>
      </c>
      <c r="F1561" t="inlineStr">
        <is>
          <t>より硬い；やや硬い；硬い物；硬い鱗；硬い石</t>
        </is>
      </c>
      <c r="H1561" t="n">
        <v>29</v>
      </c>
      <c r="I1561" t="inlineStr">
        <is>
          <t>馬歯は一生を通じて硬い草を食べ続けるため上下に長い形状をしている。；Oは自分の舌に触れられて、彼女の身体が熱く硬くなるのを感じていた。；硬くはなかったんですけど、ちょっと安心したというのがありましたね。；石は手に入りやすい硬い材料であり人類最初の材料といわれている。；これは左右対称の硬い羽で、現生の鳥類に見られる下羽に類似している。；最後はほとんど聞き取れないほどに小さな声になったが、まだ硬かった。；形を崩さずに食べやすいよう、提供時は硬い紙製の箱に入れて出される。；揉みはじめたのだがその足裏は、どうしたことかひどく硬くて凹まない。；はえかけた硬そうな髭が鼻の下と顎のまわりに灰色の影を作り始めている。；白鵬は記録への重圧などもあって硬くなったかもしれないと口にしていた。；我々はそこに、精神の自由さと道義的背景の硬さとを感じ得るように思う。；硬い棒のようなものを持っており、現れるものは何でも殺してしまうという。；どうしてもビブラートが入らず硬い感じになる場合は練習する場合がある。；茎は太く硬くなるため杖の材料にもされ、アカザの杖は最高級とされる。；やや硬い革質のものもあるが、大きく広がる膜質の葉を持つものもある。；これまで、あまり気にならなかった床の硬さと冷たさが、肩にこたえた。；草加屋伊兵衛は胸に一本の折矢を立てて、板のように硬張って死んでいた。；硬組織用レーザーは歯や骨を治療するためのレーザーということである。；剣を握る俺の右手には硬くて冷たい金属の感触が確かに伝わってくる。；しかし業界に入ったときはかなり体が硬かったそうで、踊りは苦手だった。；香奈の体は一瞬びくんと反応し、僕の力に抵抗するように体を硬くさせた。；これらはバルサ材と似た重さだったが、色はわずかに暗くもっと硬かった。；私は確かな硬さを持つそれにではなく、蜂の話に激しく欲情していた。；宗達の顔を見ますと、さすがに宗達の表情も硬くなっていました。；タアラントと外国人は彼等のいつもの冷淡な態度で面を硬ばらしていた。；腹甲は背甲と比較するとやや大型だが、後硬板は小型であまり発達しない。；ポリプの時期を持たないものは、硬クラゲ類や若干の鉢虫類に見られる。；大抵な先輩とはみんな知合になつてゐるから豪いと感心して硬くなつた。；四少年は、瞳をじっと火星人の群に定めて、顔を緊張に硬くしている。</t>
        </is>
      </c>
      <c r="J1561">
        <f>HYPERLINK("https://www.weblio.jp/content/硬い", "词义详情")</f>
        <v/>
      </c>
      <c r="K1561">
        <f>HYPERLINK("https://yourei.jp/硬い", "查看例句")</f>
        <v/>
      </c>
    </row>
    <row r="1562">
      <c r="A1562" t="inlineStr">
        <is>
          <t>課題</t>
        </is>
      </c>
      <c r="B1562" t="inlineStr">
        <is>
          <t>成功</t>
        </is>
      </c>
      <c r="C1562" t="inlineStr">
        <is>
          <t>読み方：かだい
１与える、または、与えられる題目や主題。「論文の—」「—図書」
２解決しなければならない問題。果たすべき仕事。「公害対策は今日の大きな—である」「緊急—」</t>
        </is>
      </c>
      <c r="D1562" t="inlineStr">
        <is>
          <t>課題点；課題曲；課題意識；課題達成；課題遂行</t>
        </is>
      </c>
      <c r="E1562" t="inlineStr">
        <is>
          <t>問題；仕事；務め；事業；役</t>
        </is>
      </c>
      <c r="F1562" t="inlineStr">
        <is>
          <t>重要課題；重要な課題；研究課題；最優先課題；検討課題</t>
        </is>
      </c>
      <c r="G1562" t="inlineStr">
        <is>
          <t>課題解決；課題研究；課題図書；課題管理システム；課題婚</t>
        </is>
      </c>
      <c r="H1562" t="n">
        <v>29</v>
      </c>
      <c r="I1562" t="inlineStr">
        <is>
          <t>駅北側から直接入出場できないことは当駅の大きな課題となっている。；この課題は宗教を排除できたが政治的な調和を生まなかったからだった。；市では経済的な課題を解決するために、統合した経済特区に頼っている。；主人公の一人である楓からの提案で8人で課題を取り組むことになった。；安全な飲み水を確保することは、古の時代から重要な課題であった。；現在は主にビデオゲームの開発と建築学の課題に取り組んでいるという。；保護者も参加してままごとなどの親子課題が出されることも珍しくない。；これらはコスタリカにとって解決されるべき諸課題であるとの意見もある。；教育の分野では、催眠をかける手間が課題となり使われなくなっていった。；一方、集電装置の離線率が高くなることについては今後の課題とされた。；しかし再入院率が高いため連携が今後の課題であるとOECDは評している。；これらの気候・技術的課題をクリアして開発されたのが本形式である。；研究分野は以下に示すように、多様な課題に対して更に細分化されている。；当時は売春の取り締まりが社会的な課題となっていた時期であった。；彼はまさに近代の神学的課題やジレンマを一手に引き受けたと評価される。；しかし下記の課題等により現在に至るも村民の帰島は行われていない。；店舗の配置見直しを課題とし、2004年から店舗統廃合を行っている。；彼らの治政の存続期間は契約の固有の課題ではなく人民の意志次第である。；乳牛はいかに多く搾り取るかを最大の課題とされ、改良が進められた。；これらを保存、展示する施設として博物館の建設が仙台市の課題となった。；より複雑な課題としては、生命の木を再構築する研究も進められている。；折り紙の応用、または研究にはいくつもの数学的課題が含まれている。；子供たちをどう育成していくかが今後の課題である。；推薦入試・AO入試等の場合は事前指定された制作課題を提出することもある。；これらの新しい攻撃方法に対処したICカードの開発が課題となっている。；また、のユーゴスラビア紛争への対応は、最も困難な課題のひとつだった。；これらの課題を満たす新型通勤車として開発された車両がHE車である。；人間を幸せにすることが卒業試験の課題だという。；この課題を達成する理論を説明的妥当性を備えた理論という。</t>
        </is>
      </c>
      <c r="J1562">
        <f>HYPERLINK("https://www.weblio.jp/content/課題", "词义详情")</f>
        <v/>
      </c>
      <c r="K1562">
        <f>HYPERLINK("https://yourei.jp/課題", "查看例句")</f>
        <v/>
      </c>
    </row>
    <row r="1563">
      <c r="A1563" t="inlineStr">
        <is>
          <t>片一方</t>
        </is>
      </c>
      <c r="B1563" t="inlineStr">
        <is>
          <t>成功</t>
        </is>
      </c>
      <c r="C1563" t="inlineStr">
        <is>
          <t>読み方：かたいっぽう
二つのうちの一方。片方。</t>
        </is>
      </c>
      <c r="D1563" t="inlineStr">
        <is>
          <t>片方；片側；片面；片っぽう；かたっぽ</t>
        </is>
      </c>
      <c r="H1563" t="n">
        <v>29</v>
      </c>
      <c r="I1563" t="inlineStr">
        <is>
          <t>そして思いもかけないことに、袖の片一方が裂きとられているのに気づいた。；靴を片一方なくして来たり、背広を泥まみれにして来るようなことである。；片一方の掌と指のつけ根の部分にかすかながら黒ずんだ汚れが目についた。；ぼくは彼女の片一方の足を持ち上げて、ベッドの上へもっていった。；どうぢや、片一方の目を剔出してやつたら本当に改心するかも知れないぞ。；先ほどの昼食会の時から、彼女はリボンの片一方をなくしてしまっていた。；彼らの奇妙な二重人格の片一方が突然に消滅したような奇態な間隔であった。；腹んばいになってから、かた一方ずつ、足をおろそうという考えなのだ。；此處にゐる者はみんな親が片一方か、でなければ兩方ないかなのですよ。；彼女はそれを二つに引き裂いて一方を私に持たせ、片一方で包帯を作ったんです。；芸術が先生の心を片一方では惹きつけていたからである。；それなのに、二人で行くのに、片一方が寝ちゃっては何もできない。；普段着いちまい在るきりで、他には、足袋の片一方さえ無い仕末でした。；第一、時間から言っても、片一方は五六十年の間ですし片一方は無限の間です。；かたいっぽうは、そのまま、どこかへ見えなくなってしまいました。；ほかでなら店の片一方に寄っている感じのカウンターが、ここでは店を正確に中央で二つに分けている。；女の人は一方に大きな風呂敷包を抱え、片一方に三つばかりになる女の児を抱いていた。；どちらも片一方だけでは世の中の万事がうまく行きません。；頭がいいということは、どこか片一方がばかに利口だということではない。；僕は廃墟の片方の入口から片一方の出口まで長い長い広い広いところを歩いて行く。；片一方の支柱だけでやっと支えられている梁だ、ぐんと外れたらそれまでだ。；二階から降りて来た時秋子さんの片一方の八ツ口から紫の襦袢の袖が皆出て居た。；これのもう片一方のやつをルーヴルで見たことがある。；ただ片一方の胸を愛撫しているだけなのに、秋葉は全身が発汗していて火のようだった。；母はその時、残された片一方の目にたとえようもない哀しみをたたえて修平を見た。；片一方の足はサラミのようにだらんとぶら下がっているだけだった。；そのときはじめて、足にタックルしたやつのおかげで、靴が片一方なくなっていたことに気がついた。；ある意味では否定しあっているようなところもあるが、しかし片一方の立場だけでは一面的である。；片一方の眼がぎらぎら光って、じっと横の方を凝視していた。</t>
        </is>
      </c>
      <c r="J1563">
        <f>HYPERLINK("https://www.weblio.jp/content/片一方", "词义详情")</f>
        <v/>
      </c>
      <c r="K1563">
        <f>HYPERLINK("https://yourei.jp/片一方", "查看例句")</f>
        <v/>
      </c>
    </row>
    <row r="1564">
      <c r="A1564" t="inlineStr">
        <is>
          <t>片思い</t>
        </is>
      </c>
      <c r="B1564" t="inlineStr">
        <is>
          <t>成功</t>
        </is>
      </c>
      <c r="C1564" t="inlineStr">
        <is>
          <t>読み方：かたおもい
自分のことを思ってもいない人を、一方的に恋い慕うこと。片恋。「磯の鮑(あわび)の—」</t>
        </is>
      </c>
      <c r="D1564" t="inlineStr">
        <is>
          <t>片思い中(5%)；片思い相手</t>
        </is>
      </c>
      <c r="E1564" t="inlineStr">
        <is>
          <t>忍ぶ恋；報われない恋</t>
        </is>
      </c>
      <c r="H1564" t="n">
        <v>29</v>
      </c>
      <c r="I1564" t="inlineStr">
        <is>
          <t>レンのかつての片思いの相手で一時的に彼女のボーイフレンドになった。；焦がれ死にするくれえに片思いの娘っ子たちが幾人いるかわからねえんだ。；それともあっちの勝手な片思いにおまえが応えてやることにしたのか?；妻を持つ男に惚れた女の片思いを歌った歌詞で広く知られている。；そして相手が片思いの男性だったら急に猫なで声になったりもする。；でも、その女には、片思いを寄せていた、べつな男がいたわけなのよ。；ゲルマンはリーザが名も知らぬ片思いの相手であることを悟ったのである。；その社長の息子とは、真菜の担任で片思いの相手でもある土師斉だった。；どちらか一方の片思いならともかく、わたしはきみを愛している。；高校時代からさとみに片思いを続けていたのは完治だけでなく三上もだった。；彼女の結婚が不幸なものであるというフィクションが彼の片思いを支えていた。；声をかけると男の兄は片思いの女性を覗いていたことを白状する。；片思いが二つ三つあっただけで二十七になってしまった。；この連帯感は、ぼくの方からだけのすこぶる勝手な片思いなのだから。；何故と聞かれると返事に困るが、お葉も重太郎と同じように片思いの恋が有る。；考えてみるとぼくのOP一はすべて忍ぶ心であって、片思いにも到らない。；特に鶴とは、恋人・両思い・片思いなど恋愛の絡む役同士での共演が多い。；電車で知らない女の人に片思いする癖があるとです。；片思いの相手から言われて、これほどつらい言葉もあるだろうか。；ユリアン・ミンツに片思いをされていたが、思われていた本人は気づいていなかった。；楽曲は、朝の通学電車での切ない片思いを歌ったものとなっている。；これらの歌にあらわれたものは、実は深い片思いの一語に尽きる。；片思いの場合と同じように、現実に対して実に勝手で残酷な愛の向け方である。；五年間の片思いが、こんなふうに片がつくなんて夢にも思わなかった。；実乃梨にひそかな片思い中の竜児にしてみれば、これほど残酷な冗談もないのだが。；いわばキリスト教の一方的な片思いだから、たとえキリスト教が消えても聖書は残る。；日頃お世話になっている先生に、憧れの先輩に、片思いの他校の男子に。；いまとなっては不思議なのだが、この気持ちは当時の私の片思いの質に照らしてもよくわかるものだ。；「片思い」はハート形の葉の片方が大きくなるところからといわれる。</t>
        </is>
      </c>
      <c r="J1564">
        <f>HYPERLINK("https://www.weblio.jp/content/片思い", "词义详情")</f>
        <v/>
      </c>
      <c r="K1564">
        <f>HYPERLINK("https://yourei.jp/片思い", "查看例句")</f>
        <v/>
      </c>
    </row>
    <row r="1565">
      <c r="A1565" t="inlineStr">
        <is>
          <t>肩書き</t>
        </is>
      </c>
      <c r="B1565" t="inlineStr">
        <is>
          <t>成功</t>
        </is>
      </c>
      <c r="C1565" t="inlineStr">
        <is>
          <t>読み方：かたがき
［名］(スル)
１名刺や印刷物などで、氏名の上部や右肩に官位・職名などを添えて書くこと。また、その官位・職名など。
「番地官名など細かに—して」〈蘆花・不如帰〉
２その人を特徴づける社会的な地位・称号など。「—がものをいう」
３前科。悪名。</t>
        </is>
      </c>
      <c r="D1565" t="inlineStr">
        <is>
          <t>肩書きつき；肩書きランキング</t>
        </is>
      </c>
      <c r="E1565" t="inlineStr">
        <is>
          <t>タイトル；称号；名目；爵位；題</t>
        </is>
      </c>
      <c r="F1565" t="inlineStr">
        <is>
          <t>正式な肩書き；与えられる肩書き；たる肩書き</t>
        </is>
      </c>
      <c r="H1565" t="n">
        <v>29</v>
      </c>
      <c r="I1565" t="inlineStr">
        <is>
          <t>なお、ゲストの中には講師とは別の肩書きが付けられている場合がある。；その証拠には、肩書き付きの名刺を持っている人が日本には非常に多い。；この場合、この肩書きは昇進であり、かなりの責任を伴うものであった。；だが、こっちのコピーライターに作家のような肩書きがあれば話は別だ。；従ってリッターは歴史上初めての地理学教授の肩書きを持つ人物となる。；肩書きこそ隊長であるものの、やや頼りなく他の隊員からの信頼は薄い。；受け取ってみると、それにはギョッとするような肩書きが印刷してあった。；そしてその名刺の肩書きと同じくらい中身のない笑みを口元に浮かべた。；肩書きの多いことに現れているように、鷗外は文芸活動の幅も広かった。；この二つは、いずれもオーストリア型の肩書き別分類を用いている。；現在では肩書きを主にイラストレーターとし、漫画やイラスト提供を行う。；そのため本記事中では5月末時点の所属チーム・肩書きを元に表記している。；机の引き出しから肩書きの入っていない名刺を出して、おれに渡してきた。；行政長官は一部の国・地域に存在する地方行政府の長の肩書きである。；変更された肩書きなどは各キャラクターの項目を参照のこと。；この時の肩書きはデビッド・ウェブ監督のアシスタントコーチであった。；名前や肩書きではない何かを振りまいているようにしか見えない。；市政委員会は元々の肩書きと任務を保持し、さらに郡役人とも見なされた。；そこには警察署名もなければ、所属も肩書きも記されていなかった。；あるとすればこのやたらと重いくせに何の役にも立たぬ肩書きだけ。；どうやら、彼は自分の正式な肩書きを目の前の三人に知らしめたかっただけのようだ。；よくは知りませんけれど、そんなたいそうな肩書きはないんじゃないですか。；自分の肩書きや親戚関係の力でわたしを眩惑しようともくろんだのだ。；彼の正式の肩書きは人事部長だったが、すべての課を監督する権限もあった。；市政委員会が市長1人を選出するが、これは主に儀礼上の肩書きである。；科学者や技術者といった、重々しい肩書きを持っていないせいだろうか。；そして挨拶しながらフリーライターの肩書きがついた名刺を差し出した。；音楽家以外にも医師・パイロット・レーサーなどの肩書きを所持していた。；この時点でのカトラーの肩書きはシニア・テクニカル・フェローである。</t>
        </is>
      </c>
      <c r="J1565">
        <f>HYPERLINK("https://www.weblio.jp/content/肩書き", "词义详情")</f>
        <v/>
      </c>
      <c r="K1565">
        <f>HYPERLINK("https://yourei.jp/肩書き", "查看例句")</f>
        <v/>
      </c>
    </row>
    <row r="1566">
      <c r="A1566" t="inlineStr">
        <is>
          <t>方々</t>
        </is>
      </c>
      <c r="B1566" t="inlineStr">
        <is>
          <t>成功</t>
        </is>
      </c>
      <c r="C1566" t="inlineStr">
        <is>
          <t>読み方：かたがた
［名］
１（方方）「人々」の敬称。かたたち。「お世話になった—」
２あちこちの貴人の部屋。
「あまたの御—を過ぎさせ給ひて」〈源・桐壺〉
３いろいろの方角・場所。また、いろいろの方面の事柄。あちらこちら。ほうぼう。あれこれ。
「男君達はみな、…—に流され給ひて」〈大鏡・時平〉
［代］尊敬の意を含んだ二人称の人代名詞。本来は複数をさすが、単数にも用いる。
１あなたがた。みなさん。
「—は定めて聞き及ばせ給ひたる事も候ふらん」〈太平記・五〉
２あなた。
「—のお名をば何と申すぞ、と問へば」〈虎清狂・鈍根草〉
［副］
１いろいろなことをするさま。あれこれ。さまざま。なにやかや。
「私の御事をし給はむと、—劣らずしつらはれて」〈宇津保・沖つ白浪〉
２いろいろの所へ向かうさま。あちこち。ほうぼう。
「—に鳴きてわかれし群鳥(むらどり)の古巣にだにも帰りやはする」〈風雅・雑下〉
３いろいろのことを考え合わせるさま。いずれにしても。どっちみち。
「かれと言ひこれと言ひ—難治の様にて候」〈平家・一〉
［接］二つ以上の事実、状態が併存することを表す。一方で。さらに。
「代々武道の御心がけ深くおわしまし、—、歌道茶事までも」〈鴎外・興津弥五右衛門の遺書〉
［接尾］
１動作性の意をもった名詞に付いて、二つの動作を兼ねて行う意を表す。…のついでに。…がてら。…を兼ねて。「食後の運動—散歩する」「墓参—帰省する」「ご挨拶—お礼まで」
２物事を表す名詞に付いて、そのことがあれやこれやとあっての意を表す。
「そんな事—で、私の著訳書は…古風な人の気に入る筈はない」〈福沢・福翁自伝〉
[補説]、は多く「旁」と書く。また、1は「旁旁」とも書く。</t>
        </is>
      </c>
      <c r="D1566" t="inlineStr">
        <is>
          <t>方々探し；方々歩い；方々歩き；方々捜し；方々案内</t>
        </is>
      </c>
      <c r="F1566" t="inlineStr">
        <is>
          <t>若い方々；所々方々；諸々方々；立派な方々；おられる方々</t>
        </is>
      </c>
      <c r="H1566" t="n">
        <v>29</v>
      </c>
      <c r="I1566" t="inlineStr">
        <is>
          <t>障がい者の方々の地域移行をサポートする仕事を、地域移行支援と呼ぶ。；その後は方々の新聞社において記者生活をした後、小説を執筆し始めた。；運営は、活動を応援する法人・個人の多くの方々からのサポートによる。；実は鶴子は方々から縁談があるけれど、何処へも行かないと言っている。；この女の先生はスミレ学園につとめているが、方々の学校へもよく来る。；わしらは三十どころでないのであるから、頭も最も古い方々に属する。；それに気づくと、みんなは急に思い出したように方々から彼を呼びとめた。；ところが骨は方々に散ってしまった様子で容易に何ものも発見できなんだ。；又それがこの道にたずさわる方々の私に期待されるところかと存じます。；遊んだ女性がたまたまそういうヤンチャな方々の女性だったらしくて。；そこで方々に借金をして自転車修理工場を開き、新たな事業を始めた。；空の方々に散在していたきれぎれの雲は、どこかへ消え失せてしまった。；とにかく一風変りものであるがために、彼は方々の家へ招かれて行つた。；私は一秒一秒自分の命もここにいられる方々の命も危険に曝しているのだ。；方々の家の門に立つても一文の錢だつて容易に惠んでくれるものではない。；正直なかれは、この機会に方々の小さい借金を返してしまおうと思った。；それらは部分的ではあったが、方々で勝手に破壊されていった。；教師や教師を目指す方々は一度は学芸図書の本を開いたことがあるといわれている。；その基地といっても、一国に一箇所では目に立つからというので、方々に分けた。；そういう生徒さんの作った問題が、会場の方々に陳列されています。；お医者の方々はお兄様のお話を聞くために超満員だったといいました。；わしがお前のように方々飛び廻りたく思わないのは何故だろうな。；方々に借りができたのを、自分で形をつけたつて、さう云つてやつたのよ。；同時に、地域の方々の理解を得るための活動を今後も続けたい。；先生方は、孤独者の人生の遍歴について、誰よりも理解の深い方々です。；あなた方花に深い関心をお持ちになる方々の考へるべき事です。；ただし家族の方々は庭に毛布を敷いて露宿の準備をしておられる。；まず最初に、編集者の方々に知っておいていただきたい大切な事柄を。；順治は俺が考えた通り、方々の女と遊んでいたが、ズブの素人も一人いた。</t>
        </is>
      </c>
      <c r="J1566">
        <f>HYPERLINK("https://www.weblio.jp/content/方々", "词义详情")</f>
        <v/>
      </c>
      <c r="K1566">
        <f>HYPERLINK("https://yourei.jp/方々", "查看例句")</f>
        <v/>
      </c>
    </row>
    <row r="1567">
      <c r="A1567" t="inlineStr">
        <is>
          <t>片仮名</t>
        </is>
      </c>
      <c r="B1567" t="inlineStr">
        <is>
          <t>成功</t>
        </is>
      </c>
      <c r="C1567" t="inlineStr">
        <is>
          <t>読み方：かたかな
《「かた」は不完全の意で、漢字の一部分を用いるところから》万葉仮名として用いた漢字の偏(へん)・旁(つくり)・冠(かんむり)・脚(あし)など、その一部を取って作り出された音節文字。「阿→ア」「伊→イ」「宇→ウ」の類。平安時代に訓点が用いられるようになってから、その記入用として発達したが、現在では、主に外国語や擬声語・擬態語などの表記に用いる。大和仮名。五十音仮名。かたかんな。 →平仮名</t>
        </is>
      </c>
      <c r="D1567" t="inlineStr">
        <is>
          <t>片仮名表記(20%)；片仮名書き(2%)；片仮名転写；片仮名転記；片仮名ことば</t>
        </is>
      </c>
      <c r="F1567" t="inlineStr">
        <is>
          <t>漢字片仮名；全て片仮名</t>
        </is>
      </c>
      <c r="H1567" t="n">
        <v>29</v>
      </c>
      <c r="I1567" t="inlineStr">
        <is>
          <t>なお、文字で表記する場合には、片仮名を用いることでこれを表現する。；片仮名でウェブ検索するとトップに出てくるので、この名前に決定した。；片仮名ことばの採用は日本語にとつてあまり歓迎すべきものではない。；これで狸の化けるときだけ、片仮名を使った意味もはっきりしましたね。；日本語では表記上の都合で「カニカマ」と片仮名で記されることも多い。；世阿弥の自筆本はいくつか現存しており、本文は片仮名で記されている。；この場ではまだ彼らの名前の漢字表記まではわからないので、片仮名書きだ。；最後に、カクテル名に片仮名表記を使用しない時の指針を説明します。；或は又平仮名に慣れてゐる僕も片仮名には感じが鈍いのかも知れない。；わずか七文字の片仮名を書いただけで、こんなにドキドキするなんて。；日本語のなかには正しく該当する言葉がないから、片仮名で取り入れていく。；本作品の登場人物は特に必要とされる場合を除き、片仮名で呼称されるのが基本である。；実家はどこか、と問うと、オダワラ、と片仮名で書いて示したそうです。；この国では片仮名に横線を一本足したような文字が使われているのが分かる。；外部に伝わるにつれて片仮名の「カンバン」も使用されるようになった。；片仮名のカを小さくした形をしているが、一般的な片仮名ではない。；片仮名はほんの僅かの線だけで出来ているけれど、それでも無駄な線が多いような気がする。；村によっては煩わしきを忍んで全部片仮名をもって現わした処もある。；でも、なんだかとっても複雑で、思わず 片仮名が口をついて出ちゃう。；名はそれぞれ音読みで読まれることもあり、その通称を片仮名で示す。；面白いのは、職種の大部分が片仮名で表示されていることだった。；武利森林鉄道や片仮名のムリイ森林鉄道の表記も一般的に用いられた。；英語圏以外の人物ではヴェスレイなどの片仮名表記があてられる場合もある。；本作品の登場人物名はほとんど片仮名で書かれている。；スン・ウェンは、以下の人物の片仮名表記で用いられることがある。；大尉は一番上の受信紙の、片仮名文字の電文を口の中で読みくだした。；日本語の片仮名や平仮名がその母体に漢字を持っていることは彼も知っている。；なお、京成電鉄や西武鉄道の一部旧型車両では片仮名も併記されている。；僕は容易に、彼らが片仮名を使って談話を交換している事を、発見してしまったのだ。</t>
        </is>
      </c>
      <c r="J1567">
        <f>HYPERLINK("https://www.weblio.jp/content/片仮名", "词义详情")</f>
        <v/>
      </c>
      <c r="K1567">
        <f>HYPERLINK("https://yourei.jp/片仮名", "查看例句")</f>
        <v/>
      </c>
    </row>
    <row r="1568">
      <c r="A1568" t="inlineStr">
        <is>
          <t>肩代わり</t>
        </is>
      </c>
      <c r="B1568" t="inlineStr">
        <is>
          <t>成功</t>
        </is>
      </c>
      <c r="C1568" t="inlineStr">
        <is>
          <t>読み方：かたがわり
［名］(スル)《駕籠(かご)かきが担ぐのを交代する意から》人の債務などをかわって引き受けること。「借金を—する」</t>
        </is>
      </c>
      <c r="D1568" t="inlineStr">
        <is>
          <t>肩代わりすること(9%)；肩代わりさせる(3%)；肩代わりできる；肩代わりする代わり；肩代わり計画</t>
        </is>
      </c>
      <c r="E1568" t="inlineStr">
        <is>
          <t>後始末；尻ぬぐい；尻拭い；しわ寄せ；アフターケア</t>
        </is>
      </c>
      <c r="H1568" t="n">
        <v>29</v>
      </c>
      <c r="I1568" t="inlineStr">
        <is>
          <t>現実の生活で彼らがすべてを案内し、肩代わりしてくれるわけではない。；言わば国のために藩が肩代わりをしようとしているものではござらぬか。；これを肩代わりしたのが組内の柳町であり、以後実質的な親町となった。；逆に黒道が金を損した場合、政治家が損金の何分の一かを肩代わりする。；奇跡的に還ってきてみると、それは他人に命の肩代わりをさせただけ。；これからは、だれにもわたくしの肩代わりはできないんですもの。；そういう時は田舎の実家に肩代わりしてもらうことになる。；私が案件の肩代わりをして、損失を被った関係者にお支払いしましょう。；他人の傷を癒し、その上、大勢の苦痛を肩代わりしたまま死ぬつもりなのだ。；そうすれば、その旅館が借金をすべて肩代わりしてくれるというのだ。；また、支援機と合体することで一時的に耐久力減少を肩代わりできる。；俺がその困惑を肩代わりしなければならない理由がどこにある。；欲をかいて失敗した人間の負債を肩代わりしてくれるために作られたものではない。；ぼくの重荷の一部を肩代わりしてくれるつもりはあるだろうか?；その場合、妓は前借金がかさむのを承知で揚代を肩代わりするのである。；俺が肩代わりした歴史は全て元の歴史に修正された。；そして、手術の費用を肩代わりしてくれることを、彼は約束した。；賭け事に狂って借金を妻に肩代わりさせる男についていく気はなかった。；問題のある学校は州が肩代わりをすることになった。；そこをこの石が肩代わりしてくれるのならば、それを利用していろいろなことができると思われるのです。；これに対して特別区側は、都が減少させる開催分を肩代わりすることを宣言。；秀紅はこの馬鹿な弟のために千万単位の借金を肩代わりしていた。；その際、先述の母は激怒しながらも700万を肩代わりしてくれたという。；マクドウェル郡教育学区は2001年から州の肩代わりで運営されてきた。；遊びに来ていた奇面組が試合を肩代わりすることになった。；するとメーカーが資本を肩代わりすると同時に社長を派遣する。；重荷を肩代わりさせるようで弟には気の毒だが、こればかりはどうにもならない。；学識のある者には国の財政的負担を肩代わりさせる条件つきで特権を与えたのである。；彼女が報酬を肩代わりしてくれるのなら、問題はすっきりするのだ。</t>
        </is>
      </c>
      <c r="J1568">
        <f>HYPERLINK("https://www.weblio.jp/content/肩代わり", "词义详情")</f>
        <v/>
      </c>
      <c r="K1568">
        <f>HYPERLINK("https://yourei.jp/肩代わり", "查看例句")</f>
        <v/>
      </c>
    </row>
    <row r="1569">
      <c r="A1569" t="inlineStr">
        <is>
          <t>頑な</t>
        </is>
      </c>
      <c r="B1569" t="inlineStr">
        <is>
          <t>成功</t>
        </is>
      </c>
      <c r="C1569" t="inlineStr">
        <is>
          <t>読み方：かたくな
［形動］［文］［ナリ］
１意地を張って自分の主張や態度を変えないさま。頑固。「—に拒みつづける」「—な態度」
２見苦しく劣っているさま。愚かで下品なさま。
「翁(おきな)、門をえ開けやらねば、寄りて引き助くる、いと—なり」〈源・末摘花〉
３不体裁なさま。ぎごちないさま。
「—なる筆やうして書きたるが」〈徒然・八一〉
[派生]かたくなさ［名］</t>
        </is>
      </c>
      <c r="D1569" t="inlineStr">
        <is>
          <t>頑な態度(5%)；頑な心(4%)</t>
        </is>
      </c>
      <c r="E1569" t="inlineStr">
        <is>
          <t>一刻；執拗；固い；堅い；頑固</t>
        </is>
      </c>
      <c r="H1569" t="n">
        <v>29</v>
      </c>
      <c r="I1569" t="inlineStr">
        <is>
          <t>これまで決していい目は見て来なかったが、順吉は頑な男ではなかった。；以前はこれほど頑なではなかったはずだが、どうしてこんなになったのか。；自分のうちにあった頑なさが、少し和らいでくるような気がしていた。；拾った子猫を手に抱いて両親を見上げつづけた私はなんと頑なだったろう。；傷つけられたプライドと酔いの勢いが、彼を頑なにさせているのだろう。；女の広すぎる額には何かしら漠とした、どこか頑なものが感じられた。；美由紀は特に頑なだったつもりはないが、男の子と交際をしたことがない。；泰麒であるものが、ひどく頑な印象を与えるもので包まれているのだ。；なんだかみゆきの態度にはただ心配しているのとは違う、妙な頑なさがあった。；取り調べをする者は、そこを上手に突いて頑な心をほぐしてやればいい。；傲岸で頑なだが、同胞を深く愛しているこの男が、哀れでならなかった。；直義の頑なと尊氏がいった意味は、信濃にはそれだけでわかっていた。；彼女の顔には多くの百姓娘の顔に見られるのと同じ様な一徹さ、頑なさが見られた。；頑な気性のせいか、懐かしい町という気は、まったくしないのであった。；一人の頑な、愚か者の心の歴史に人は友を見出してくれるでしょう。；私は目には見えない貝殻で包まれた一つの頑な牡蠣であろうか。；いかにも無骨で、譲ることを知らない頑なさばかりが、人を不快にする。；私だけが青爾を知っている、という意識は、思いがけず私を頑なにさせた。；みつるは時間がある限り手伝ってくれるが、母は頑なまでに父を無視している。；しかし、これほどの無関心さと、内に秘めた頑なさを見せた人間は初めてだった。；それにしても由希を他の人間に託すことを拒否する深谷の頑なさも不思議だ。；頑な心の彼は節子から言ってよこしたことに就いては、何事も答えまいと考えた。；と申しましても、わたくしは男女間の交際に頑な考えを持ってるわけではございません。；心の傷が癒えていないせいもあるのかもしれませんが、ひどく頑な女になってしまいました。；急に私は憎悪がたぎり、石のように頑なものが身裡に隠されているのを知る。；膝をきっちりと合わせ、手を腿の上で握り締めたその態度は頑なですらある。；その顔には、外界のすべてを拒否するような頑なさがあった。；頑な警察官を納得させるのには、それ相当の証拠がいるのだ。；しかしエリスの純粋さに、アメリアの頑なだった心も解きほぐされていく。</t>
        </is>
      </c>
      <c r="J1569">
        <f>HYPERLINK("https://www.weblio.jp/content/頑な", "词义详情")</f>
        <v/>
      </c>
      <c r="K1569">
        <f>HYPERLINK("https://yourei.jp/頑な", "查看例句")</f>
        <v/>
      </c>
    </row>
    <row r="1570">
      <c r="A1570" t="inlineStr">
        <is>
          <t>片言</t>
        </is>
      </c>
      <c r="B1570" t="inlineStr">
        <is>
          <t>成功</t>
        </is>
      </c>
      <c r="C1570" t="inlineStr">
        <is>
          <t>読み方：かたこと
１語られる言葉の一部分。へんげん。「—も聞きもらさない」
２幼児や外国人などの話す、たどたどしい不完全な言葉。「—の英語を話す」
３なまり・俗語・方言など、標準から外れている言葉。
「さるといふをはるといふ、すべて—は察し給へ」〈人・梅児誉美・初〉</t>
        </is>
      </c>
      <c r="D1570" t="inlineStr">
        <is>
          <t>片言まじり(4%)；片言英語；片言交</t>
        </is>
      </c>
      <c r="G1570" t="inlineStr">
        <is>
          <t>片言隻語</t>
        </is>
      </c>
      <c r="H1570" t="n">
        <v>29</v>
      </c>
      <c r="I1570" t="inlineStr">
        <is>
          <t>サンボはこの会社の船で働いているうちに、片言の英語をおぼえたのだ。；片言でも何か喋らなければ、こんなことはできるものではないのである。；日本でのライブで挨拶する際の片言の日本語は、彼に教えてもらったもの。；そこの船に乗っているうちに片ことの英語が話せるようになっていた。；島の中年男のなかには今でも日本語の片ことを話すものがいるという。；互いに片言の英語を口にしているだけなのに、思いが通じ合うのが不思議だ。；もっとも親は英語を聞く方は分るが、話す方は片言くらいしか喋れない。；すると片言のフランス語でデパートのずいぶん奥のほうを教えられた。；片言のフランス語の相手をしていると、いらいらしてくるのであろう。；時々二、三の片言を口にすると、二人とも同じことを考えてるのがわかった。；片言の美しい声で、袖をとらえて母に乗ることを勧めるのが悲しかった。；通りかかりの大佐を呼びとめ、かたことまじりのドイツ語で訊いてみた。；片言のイタリア語と知っている限りの適当な英語で会話をはじめる。；といっても、進駐軍相手に片言の英語を喋ってたわけじゃないんだよ。；あるお店のご主人は、片言だけれど日本語をしゃべって接客していた。；この男はフランス語を片言しか知らないのだよ、と私は女にいいわけした。；もっとも彼らの会話は例によって、ほんの片言くらいでしかなかった。；片言のほうがかえって彼に通じやすいとでも思ったらしい。；頭には別状ないらしく、片言まじりでなかなかませたことをしゃべった。；ふと珍しく思ったのは、ここで初めてまだ片言の今年の蛙の声を聞いたことである。；片ことの英語が話せる随行員の一人が、当番兵になんの肉かと尋ねた。；「お客さまをお見かけするのは初めてですが」片言のフランス語だった。；英語じゃなく、いかにも外国人が覚え立ての言葉を口にしているような片言の日本語で話すべきだったんだ。；当時私はフランス語を片言も知らなかったと言った。；私はまるで二、三歳のやっと片言を話し始めた韓国の赤ちゃんになったような気分だった。；その出来事はアフリカ語と片言英語と指先言葉で語られた。；片言の英語でわけをたずね、判ったのだが、縦書きがいけなかったのである。；ゼリーが恐竜の身体へ戻ったとたんに、恐竜は片言の英語を話すではないか。；片言の日本語ができる、フランス人の女の子を紹介してもくれた。</t>
        </is>
      </c>
      <c r="J1570">
        <f>HYPERLINK("https://www.weblio.jp/content/片言", "词义详情")</f>
        <v/>
      </c>
      <c r="K1570">
        <f>HYPERLINK("https://yourei.jp/片言", "查看例句")</f>
        <v/>
      </c>
    </row>
    <row r="1571">
      <c r="A1571" t="inlineStr">
        <is>
          <t>形</t>
        </is>
      </c>
      <c r="B1571" t="inlineStr">
        <is>
          <t>成功</t>
        </is>
      </c>
      <c r="C1571" t="inlineStr">
        <is>
          <t>山口長男による油絵。
（作品）抽象画。昭和29年（1954）、第1回現代日本美術展に出品し優秀賞を受賞した。
（象）黒地に黄土色の矩形を配置した抽象画。昭和36年（1961）、第6回日本国際美術展に出品。東京国立近代美術館蔵。</t>
        </is>
      </c>
      <c r="D1571" t="inlineStr">
        <is>
          <t>形電車；形電気機関車；形蒸気機関車；形気動車；形コンテナ</t>
        </is>
      </c>
      <c r="E1571" t="inlineStr">
        <is>
          <t>姿；体；型；形式；形態</t>
        </is>
      </c>
      <c r="F1571" t="inlineStr">
        <is>
          <t>同じ形；様々な形；近い形；姿形；どんな形</t>
        </is>
      </c>
      <c r="G1571" t="inlineStr">
        <is>
          <t>形式；形態；形状；形容；形跡</t>
        </is>
      </c>
      <c r="H1571" t="n">
        <v>29</v>
      </c>
      <c r="I1571" t="inlineStr">
        <is>
          <t>この軌道の近日点は太陽の周りを周回する形でゆっくりと移動している。；それによってこれらの特徴の大きさと形を容易に追跡することができる。；多くの場合、既にパズル誌を発行している会社が増刊の形で始めている。；ムーアの法則は技術のすべての形を予測すると共通に信じられている。；また、特殊な形をした数に対してはより高速なアルゴリズムも存在する。；その一方でパスタはイタリア各地で好まれ、様々な形で調理されている。；美容整形手術によって耳を小さくしたり形を整えたりすることはと言う。；しかし、これ以降の時代には主に民衆から支持を得る形で小説が人気を得ていく。；近年ではCM劇場の形をとらない形態でCMが放送される作品も増えている。；基礎付け主義は、伝統的にはセンス・データ論の形をとって展開された。；記録は、安定した形で定着・保存された状態にある情報である。；江戸時代以前の日本では髷の形を崩さないようにする必要があった。；DNAが保持する遺伝情報は直接的には塩基配列の形で保持されている。；しかし古賀らの動きは音楽界の主流派の非協力という形で抵抗を受ける。；運転者の座席は座部と背もたれを備えた椅子形のものが主流である。；これが特に発達した動物の細胞では、細胞骨格が各細胞の形を決定づける。；しかし、どちらか一方の関数形が不明な場合は、これが不可能になる。；そんな人たちの番組を配信という形でやろう、ということで始めました。；これはゲーデルの不完全性定理の別の表現の形とみなすことができる。；また日常の不安を形にしたような寓意的な作品も得意とする。；法を手に犯罪者を捕らえる新しい形のヒーローが誕生したからである。；ただし、正式なものではないが、短縮された形などが用いられることもある。；これは1991年の大学設置基準の大綱化を先取りした形になっている。；近代以前の日本では、中国経由で伝わった仏教に関わる形で、インドが知られた。；アメリカ合衆国では1930年代初めごろ、新聞に連載される形で始まった。；未完了形からは願望形・命令形・指示形の3種類の法の動詞形が作られる。；鉄道運行計画では、車両運用という形で車両の使用計画が立てられている。；それは様々なプロセスに基づいて多様な形をとる、社会学習の一形態である。；奈良・平安時代には既に現在の形で食されていたとされている。</t>
        </is>
      </c>
      <c r="J1571">
        <f>HYPERLINK("https://www.weblio.jp/content/形", "词义详情")</f>
        <v/>
      </c>
      <c r="K1571">
        <f>HYPERLINK("https://yourei.jp/形", "查看例句")</f>
        <v/>
      </c>
    </row>
    <row r="1572">
      <c r="A1572" t="inlineStr">
        <is>
          <t>形作る</t>
        </is>
      </c>
      <c r="B1572" t="inlineStr">
        <is>
          <t>成功</t>
        </is>
      </c>
      <c r="C1572" t="inlineStr">
        <is>
          <t>読み方：かたちづくる
［動ラ五（四）］
１形成する。構成する。「岩礁が島を—・る」「性格が—・られる」
２顔や身なりを整える。化粧や身づくろいをする。「三日月や—・りてかつ寂し／太祇」</t>
        </is>
      </c>
      <c r="D1572" t="inlineStr">
        <is>
          <t>形作る上で大きな</t>
        </is>
      </c>
      <c r="E1572" t="inlineStr">
        <is>
          <t>なる；影響；建設；決定；製造</t>
        </is>
      </c>
      <c r="H1572" t="n">
        <v>29</v>
      </c>
      <c r="I1572" t="inlineStr">
        <is>
          <t>その中には光で形作られた人々がおり、そのうちの一人が祖母であった。；その空想は、何年も前から犯人の頭の中で徐々に形作られていくという。；彼はイギリスで過ごした時間を「僕の人生を形作った」と表現している。；不愉快な灰色の高い壁は上の端で曲面を形作って天井につながっていた。；この時の氷河がヨセミテ渓谷等の地形を主に形作ったものと考えられる。；またダンスを形作る各要素を定義するために文章を書くことも勧めた。；言葉・言語を伝達し記録するために線や点を使って形作られた記号のこと。；之も日本的な生活を形作つてくれる一つの確かな要素なのである。；その2つの側面はと勤勉性であり、それぞれ組織の中間レベルを形作る。；それらがたくさんたくさん集まってこの世界を、カケラを形作っている。；さらに速度を得ると、翼と尾を広げて可能な限りの平面を形作ろうとする。；私の心にある父親像は、さきに述べたような体験によって形作られた。；椅子やテーブルは素材の中で特徴的なしなやかさに形作られていた。；現代にまで続く様々な演劇の理論や様式が、この時代に形作られた。；よって文化ごとの違いは生活を違った方法で形作る存在の別の経験もたらす。；入学式から数日の間に、クラスにはいくつかのグループが形作られた。；語結合を形作る文法的な結びつきは、以下のような観点から分類できる。；これらは独立したものではなく、それぞれが関連し合って一連の研究を形作る。；価値観や主義主張が形作るものなら、それは誰だって持っているものだ。；だから三つの区はパリというひとつの都市を形作っているのである。；このようにして江戸時代には現在の和菓子のほとんどが形作られた。；包括的なデザインの歴史を形作る上で重要な役割を果たすことを目指している。；その性質があるからこそ、こうして世界そのものを形作ることだってできた。；その後この方法は、として独立した大きな分野を形作ることとなった。；これによって、現在のイタリア・ドイツ・フランスの原型が形作られた。；彼が最初に目が覚めた時は、まだ彼自身も完全に形作られてはいなかった。；この通り沿いに裕福な商人の邸宅が建設され、現在の町が形作られた。；段々と形作られていくが、この日のテイクはいずれも未発表となっている。；これは対立する双子の神が宇宙を形作っているとする考えである。</t>
        </is>
      </c>
      <c r="J1572">
        <f>HYPERLINK("https://www.weblio.jp/content/形作る", "词义详情")</f>
        <v/>
      </c>
      <c r="K1572">
        <f>HYPERLINK("https://yourei.jp/形作る", "查看例句")</f>
        <v/>
      </c>
    </row>
    <row r="1573">
      <c r="A1573" t="inlineStr">
        <is>
          <t>片付く</t>
        </is>
      </c>
      <c r="B1573" t="inlineStr">
        <is>
          <t>成功</t>
        </is>
      </c>
      <c r="C1573" t="inlineStr">
        <is>
          <t>読み方：かたづく
［動カ五（四）］
１物が、置いておくのに適当な場所にきちんと納まる。散らかっていた物が整えられた状態になる。「やっと部屋が—・いた」「机の上が—・く」
２物事が一定の形に決まる。事態が落ち着く。
「人間の運命は中々—・かないもんだな」〈漱石・道草〉
３めんどうな物事がうまく収拾される。問題などが解決する。「例の一件が—・いた」「懸案が—・く」
４嫁にいく。「娘が—・く」
５じゃまになる者がいなくなる。
６あるものに片側が接する。
「谷—・きて家居せる君が聞きつつ告げなくも憂し」〈万・四二〇七〉
［動カ下二］「かたづける」の文語形。</t>
        </is>
      </c>
      <c r="H1573" t="n">
        <v>29</v>
      </c>
      <c r="I1573" t="inlineStr">
        <is>
          <t>平次自身はこの事件は簡単に片付くものと思ったのも無理はありません。；こうして不安と混雑とを続けているうちに、半七は一方の用が片付いた。；そして急に凡てが片付いたような、晴々とした所へ出たような気がした。；殊に現代で権威ある人々がそう実行すれば何の造作もなくそれが片付く。；それが片付くまでは、死んではならぬと、彼は自分に言い聞かせていた。；懸案が一つ片付いたので明日からどこかに旅行にでも行こうかと思っている。；翌年には難航していた作曲権の問題も片付き、本格的に制作に着手した。；こう思って来ると、世の中に自分一代で片付くものとては一つも無い。；近づいてみると、きれいに片付いた机の上に、便せんの束が重ねてある。；ひどく片付いていて、まるでずっと使っていない部屋のようだった。；市松が召し放ちになったからといって、すべてが片付いたわけではない。；邦子は、雅子があの片付いた家で一人、何をしているのだろうと訝った。；色々あるけど先輩だって女の子、さすがに部屋はキレイに片付いている。；それに、やっと仕事も片付いたので、出てみようかという気になったのだ。；もっともこの場合の秀吉の言い方は巧妙で、 やがて中国も片付きます。；不倫相手への当てつけの自殺、ということで事件は片付いたかに見えた。；このゲリラ問題が片付くまで北軍と南軍の間に一時的な休戦すら成立した。；部屋のなかもきちんと片付いたままだし、身体に妙な痕や傷もねえ。；空つぽの椅子がお部屋の隅に片付いてゐて、えらく寂しうなりましたで。；問題がひとつ片付いた様子だったので、僕は挙手をして質問をした。；荷物の方は片付いたが私と一緒に行くところの下僕を得て居らない。；見ればもう兵士達の方はあらかた片付いてしまっている様だった。；その問題が片付いた後の二日目以降にしたって不幸だった事には変わりはない。；今の仕事が片付いたら行ってもいいかなと思ってるんだ。；午前中に現場に行くことになってるんだけど、お前の仕事の方は片付きそうか?；たとえ気持ちの問題が片付いたとしても、君はわたしの故郷には来れない。；裏店の割には家のなかが小綺麗に片付いているのが半七の眼をひいた。；仕事が一つ片付いたんで、息抜きに、北海道へ行こうと思いましてね。；おさるの片付いた氷屋も便宜がいいので通りがかりに見に行くそうである。</t>
        </is>
      </c>
      <c r="J1573">
        <f>HYPERLINK("https://www.weblio.jp/content/片付く", "词义详情")</f>
        <v/>
      </c>
      <c r="K1573">
        <f>HYPERLINK("https://yourei.jp/片付く", "查看例句")</f>
        <v/>
      </c>
    </row>
    <row r="1574">
      <c r="A1574" t="inlineStr">
        <is>
          <t>片付け</t>
        </is>
      </c>
      <c r="B1574" t="inlineStr">
        <is>
          <t>成功</t>
        </is>
      </c>
      <c r="C1574" t="inlineStr">
        <is>
          <t>読み方：かたづけ
散らばっているものをきちんとした状態にすること。また、ごたごたしている物事を整理すること。「部屋の—をする」</t>
        </is>
      </c>
      <c r="D1574" t="inlineStr">
        <is>
          <t>片付けられる(4%)；片付けてしまう(2%)；片付け始め；片付けなければなら；片付けてくれる</t>
        </is>
      </c>
      <c r="E1574" t="inlineStr">
        <is>
          <t>処理；処分；整理；始末；終結</t>
        </is>
      </c>
      <c r="F1574" t="inlineStr">
        <is>
          <t>あと片付け；早く片付け；片付けてしまわ；片付けてしまい；片付けましょ</t>
        </is>
      </c>
      <c r="G1574" t="inlineStr">
        <is>
          <t>片付けよ；片付けれ；片付けろ；片付け食い；片付けりゃ</t>
        </is>
      </c>
      <c r="H1574" t="n">
        <v>29</v>
      </c>
      <c r="I1574" t="inlineStr">
        <is>
          <t>ベッドのそばには座卓があったはずだが、それは隅に片付けられている。；あいつが来て二人とも片付けちゃうかもしれないじゃありませんか、え?；片付けたつもりで前進して、うしろから襲われないように注意してくれ。；それより、君の仕事に関係のあるのだけを選んで片付けてくれないか。；女である以上はどうにか片付けなくてはならんくらいも承知している。；片付けを終えて店を出たとき、時計の針は二時半の少し手前を示していた。；世間は戸惑つて、彼を将来ある未完成の画家の範疇にあつさり片付けた。；長い準備時代を終って十日とたゝない中に一生涯の運命を片付けてしまった。；スウ・リンは朝食の片付けでいなかったので、かれは自分で火をつけた。；すぐに帰ってあれを片付けないと、翌日の授業で教師に叱責されてしまう。；この一件は私が白紙で委任をしている友人の手で片付けられるのです。；でも、平岡さんの話では、警察では自殺という線で片付けたようだとか。；しかしこの問題は、そう簡単には片付けられないように、私には思われる。；しかし、ともかくも氷沼家には、片付けねばならぬ問題が山積していた。；ようやく片付けおわった時は、イリヤはさらに慎重な気持になっていた。；部屋を片付け終わった暦は駿河から風呂に入って行くように勧められる。；この演出は私のものではなく、俳優ミラーが急ごしらえに片付けました。；今も隣の席で教科書を片付けながら五時間目の授業の準備をしている。；坂本は庭に出て、今工事を片付けて持口に附いた同心共を見張つてゐた。；死体は片付けられていたがその痕跡はいたるところにまだ残っていた。；近頃はどうやら少し横の方に片付けてしまつてあると聞いて居ります。；せまい機械台のうえが、とり片付けられ、一枚の白い布が敷かれていた。；もう疾くに片付けてしまっているだろうと思ったのに、意外であった。；第二の性能、家の中を片付け、料理をつくって夫の帰りを待つことをしない。；既に片付けた人数を計算すると、ピクシーから聞いた数よりも増えている。；君がロンドンを離れたと聞いて、例の奇妙な事件を片付けに行ったと確信したよ。；絶対に誰にもわからない、お前にも決して面倒をかけない方法で片付けてやる。；それにお宅じゃ食卓を片付けたことは一度もないんじゃありません?；さらに、偶然いた配達の男も射殺し、その後静かに現場を片付けていく。</t>
        </is>
      </c>
      <c r="J1574">
        <f>HYPERLINK("https://www.weblio.jp/content/片付け", "词义详情")</f>
        <v/>
      </c>
      <c r="K1574">
        <f>HYPERLINK("https://yourei.jp/片付け", "查看例句")</f>
        <v/>
      </c>
    </row>
    <row r="1575">
      <c r="A1575" t="inlineStr">
        <is>
          <t>片付ける</t>
        </is>
      </c>
      <c r="B1575" t="inlineStr">
        <is>
          <t>成功</t>
        </is>
      </c>
      <c r="C1575" t="inlineStr">
        <is>
          <t>読み方：かたづける
［動カ下一］［文］かたづ・く［カ下二］
１物を、適当な場所にきちんと入れ納める。乱雑に置かれている物をまとめ整える。「部屋を—・ける」「本を物置に—・ける」
２仕事をすっかり終わらせる。物事をうまく処理する。「宿題を—・ける」「トラブルを—・ける」
３嫁入りさせる。縁づける。「三人の娘を—・ける」
４じゃまになる者をいなくする。殺す。「じゃま者を—・けろ」</t>
        </is>
      </c>
      <c r="D1575" t="inlineStr">
        <is>
          <t>片付けるべき；片付けるしかない</t>
        </is>
      </c>
      <c r="E1575" t="inlineStr">
        <is>
          <t>料理；解決；処理；殺害；殺す</t>
        </is>
      </c>
      <c r="H1575" t="n">
        <v>29</v>
      </c>
      <c r="I1575" t="inlineStr">
        <is>
          <t>すると、ある紳士が新聞を読み終えて、片付けるところを目撃しました。；それよりも手っ取り早く俺たちを片付ける手段を、奴は持っているのだ。；プログラムを実行すると体が勝手に動いて、仕事を片付けることができる。；とりあえずおまえさんが感じている違和感とやらを片付けるとしようか。；所管問題をそれで片付けると、井狩の目はすぐに次のポイントに向かう。；誰一人、彼等の白人はどういう風にこの事件を片付けるのか知らなかった。；グレンダンよりも先にあの汚染獣を片付けることは可能だったはずです。；俺たちがたまった仕事を片付けるのに時間がかかってしまったのだ。；それとも、これから県警本部に戻り、残った仕事を片付けるのだろうか。；それに、この事件は謹慎中に片付けるべき事件であるような気もする。；このように遠くの相手と手を結んで近くの敵を片付ける政策を遠交近攻という。；前のものを片付けることは新しい作業の場を得るためにも、必要なことであろう。；片付けるといっても六畳一間だから隅へそのまま二重に、ぱたんと折る。；ここでどんな仕事を片付けるつもりでいたのか、もはや思い出せなかった。；素早く現場に踏み込んだので、遺体を片付ける暇はなかったはずなのに。；庭にいる四十人の男たちのうちの半分ほどを片付けるのに一時間近くかかった。；浜面も、たった一人でプロの戦闘集団一〇人を同時に片付ける事はできない。；警察でさえも、連続抗争事件の一つとして片付けるほかはなかったのだ。；今は、ただ一つだけ片付けることのできない問題が残っています。；それを片付けることがこの三週間に出来るだろうと期待していた。；幾晩も眠らずに考えた後、ついにすべてを片付ける一つの方式を見出した。；おそらく競技が終わって、運営委員が片付ける段階になったら停止させる気だろ。；若い者が短刀を片付けると、どっと緊張が解け、張っていた肩が落ちた。；それだけで片付けるには二人は年を取りすぎた気がする。；そんなことを考えながら、未羽はアルバムを片付けることにした。；僕の判断ミスはこの部屋を片付けると安請け合いしちゃったことだよ。；船の中で片付けるつもりであったのが出来なかったから、ということであった。；さあ、あなたは賢い作家ですから、偶然の一致と片付けるわけにいくまい。；コート上に配置されている木槌を自分のネットタワーに片付ける競技。</t>
        </is>
      </c>
      <c r="J1575">
        <f>HYPERLINK("https://www.weblio.jp/content/片付ける", "词义详情")</f>
        <v/>
      </c>
      <c r="K1575">
        <f>HYPERLINK("https://yourei.jp/片付ける", "查看例句")</f>
        <v/>
      </c>
    </row>
    <row r="1576">
      <c r="A1576" t="inlineStr">
        <is>
          <t>片手</t>
        </is>
      </c>
      <c r="B1576" t="inlineStr">
        <is>
          <t>成功</t>
        </is>
      </c>
      <c r="C1576" t="inlineStr">
        <is>
          <t>読み方：かたて
１片方の手。隻手(せきしゅ)。
２相対するものの一方。「舞台の—」
３一組みのものの片方。また、一方にだけあること。「手袋の—」
４《片手の指の数から》「五〇」「五万」など、五のつく数を示す。「—におまけしましょう」
５二つ以上のことを同時に行うこと。かたてま。
「勧進聖になりてめぐる、その—にあらあら見物せばやとて」〈仮・東海道名所記・一〉</t>
        </is>
      </c>
      <c r="D1576" t="inlineStr">
        <is>
          <t>片手をつい；片手を当て；片手で押さえ；片手を高く；片手を軽く</t>
        </is>
      </c>
      <c r="F1576" t="inlineStr">
        <is>
          <t>片手バックハンド；片手片脚；片手念珠；片手なぐり；片手拝み</t>
        </is>
      </c>
      <c r="G1576" t="inlineStr">
        <is>
          <t>片手落ち；片手剣；片手持ち；片手絞；片手落</t>
        </is>
      </c>
      <c r="H1576" t="n">
        <v>29</v>
      </c>
      <c r="I1576" t="inlineStr">
        <is>
          <t>片手で指の間に挟んで持ち、一度に数回連続して打ち鳴らすことが多い。；瑠璃子はわしに片手をとられたまま小さくなってワナワナと震えていた。；もはやアメリカが片手を背中に縛られたまま競争する必要はないのです。；片手のためのピアノ曲とは、右手もしくは左手だけで演奏する曲である。；現代のように両手で演奏するものではなく、片手で演奏するものであった。；高重は宇治川の戦いで手を負傷していたため、片手で首を打ったという。；わたしはこの部屋のまん中に立ち、片手に彼女を絞め殺そうとしていた。；そのためか、舞台上ではポケットに片手を突っ込んでいる事が多かった。；幅が69mmに抑えられており、片手でも操作しやすく設計している。；この最後のものには、何者かの片手の指紋がハッキリと押されてあった。；プレイヤーが使用できる武器には、片手用武器と両手用武器がある。；地域の全体から人々が武器を片手にボストンの方向に向かい始めた。；海の中に落ちた水兵は一生懸命に片手を挙げ、何かおお声に叫んでいた。；両脚の中の受の腕を片手で押して伸ばしたり、捻ったりする形態もある。；片手で相手のつま先を持ち、もう一方の手で踵を持って捻る方法もある。；片手だけで行うこともあれば両手を用いて行うこともあり、その時々で異なる。；自分は片手片足が利かなくなってから、女房とも相談して飴屋になった。；明智小五郎は何も「美人片手事件」に特別の興味を持っていた訳ではない。；両者とも片手で紙を引っ張ってもう一方の手でロールを安定させるのである。；入ってくると手にはティーカップ、もう片手にはバターのぬられたパン。；「そううまくも行きません、わ」かの女も笑って眼鏡を片手で押さえた。；主に馬上にて片手で使用する武器で、両手に2本の鞭を携える者もいた。；オートモードも搭載されており、片手での操作も可能となっている。；片手で使う物と両手で使う物、それらの中間が存在するが片手で扱う剣が主流である。；立っている相手の頭を両手または片手で掴んで自身の頭に叩き込む。；最後にボールを頭上に持ってきて、片手または両手でダンクを行う。；ウォッカのロックを片手にいつでも話をする準備ができていた。；これらのバリエーションは、片手に銃や警棒を持てるようになっている。；やはり抱く時には片手で胸を、もう片手で腰を抱えて抱くことが大切である。</t>
        </is>
      </c>
      <c r="J1576">
        <f>HYPERLINK("https://www.weblio.jp/content/片手", "词义详情")</f>
        <v/>
      </c>
      <c r="K1576">
        <f>HYPERLINK("https://yourei.jp/片手", "查看例句")</f>
        <v/>
      </c>
    </row>
    <row r="1577">
      <c r="A1577" t="inlineStr">
        <is>
          <t>刀</t>
        </is>
      </c>
      <c r="B1577" t="inlineStr">
        <is>
          <t>成功</t>
        </is>
      </c>
      <c r="C1577" t="inlineStr">
        <is>
          <t>読み方：かたな
《「かた」は片、「な」は刃の古語》
１武器として使った片刃の刃物。
２江戸時代、武士が脇差(わきざし)とともに差した大刀。
３太刀の小さいもの。
「我は元より太刀も—も持たず」〈太平記・二〉
４小さい刃物。きれもの。
「紙をあまた押し重ねて、いと鈍き—して切るさまは」〈枕・二五九〉
[下接語] （がたな）菖蒲(あやめ)刀・一本刀・打ち刀・押っ取り刀・返し刀・小刀・腰刀・提げ刀・錆(さび)刀・反り刀・竹刀・小さ刀・血刀・手刀・鈍(なまくら)刀・腹切り刀・懐(ふところ)刀・包丁刀・枕(まくら)刀・守り刀・山刀</t>
        </is>
      </c>
      <c r="D1577" t="inlineStr">
        <is>
          <t>刀馬；刀屋；刀槍；刀法；刀流</t>
        </is>
      </c>
      <c r="E1577" t="inlineStr">
        <is>
          <t>剣；ナイフ；太刀；短剣；短刀</t>
        </is>
      </c>
      <c r="F1577" t="inlineStr">
        <is>
          <t>殷雷刀；二刀；愛刀；作刀；虚刀</t>
        </is>
      </c>
      <c r="G1577" t="inlineStr">
        <is>
          <t>刀剣；刀工；刀自；刀子；刀鍛冶</t>
        </is>
      </c>
      <c r="H1577" t="n">
        <v>29</v>
      </c>
      <c r="I1577" t="inlineStr">
        <is>
          <t>そのためそれぞれの刀兵器を一つに体系化して分類するのは困難である。；様々な種類が存在するが、この刀は日本以外では比較的多い形状の刀。；三船は両手で刀を握って八双の構えをとり、膝だけで馬を制御している。；いずれのゲームモードでも、攻撃の基本は武器である日本刀にて敵を斬る。；この戦闘では刀、脇差などを紛失しながらも無刀で三人を討ったという。；実際に忍者がこの刀を使っていたかどうか、疑わしいとする考察がある。；刀は、武器の一種であり、剣の内でもとくに片側にしか刃のない物を指す。；そして刀を一旦鞘におさめて、何食わぬ顔をして二階へ上がっていった。；これらは、タイ風の刀や槍の先端に使われるなどして改造され流用された。；この時期の日本刀は、鎌倉中期の姿をより豪快にしたものに変わっていく。；暗闇の中で戦う時、鞘を刀の先に引っかけて相手の位置を探るのである。；刀で鎧を貫くのは非常に困難だが、槍で突かれると貫通する場合がある。；町奴は町人である故、武士の様な刀や長い脇差の携帯が許されなかった。；新たな刀の需要は殆どなくなり、当時活躍した多くの刀鍛冶は職を失った。；伝承巻物、相伝刀を伝承している者が正統宗家であると考えられている。；ただし、前述の通り刀法を学ぶことができた者は極めて少ない。；作陶しない時は、読書やテレビ鑑賞、趣味の日本刀の手入れをしていた。；また槍や一部の時代の刀ははじめから2つの目釘孔が開いている場合もある。；作刀数は多かったものの、実戦よる破損や紛失もあり残存数は多くない。；麓の岳集落で伝承される刀を手に勇壮に踊る早池峰神楽が知られている。；報告を受けた大炊頭が選んだのは、刀馬が最も低く評価した甲賀組であった。；中国は多くの日本刀を輸入し、日本刀を模した刀も製作された。；小烏丸は初期のものだが、後世にもこの造りをした刀は稀ながら見られる。；巨大な刀を武器としていたようだが詳細は不明。；日本刀を柄に、火縄銃を台に固定するために用いる竹、木などによるもの。；程宗猷は、日本の刀術を学んだという劉雲峰なる人物に学んだという。；また、円錐形の金属製の兜と、悪魔避けの刀も正式な場では必須である。；今日でもヨーロッパ各地の博物館で当時の貴族たちが収集した日本刀を見ることができる。；現在まで伝わる苗刀の技法は、この二書の内容がもとになっている。</t>
        </is>
      </c>
      <c r="J1577">
        <f>HYPERLINK("https://www.weblio.jp/content/刀", "词义详情")</f>
        <v/>
      </c>
      <c r="K1577">
        <f>HYPERLINK("https://yourei.jp/刀", "查看例句")</f>
        <v/>
      </c>
    </row>
    <row r="1578">
      <c r="A1578" t="inlineStr">
        <is>
          <t>片方</t>
        </is>
      </c>
      <c r="B1578" t="inlineStr">
        <is>
          <t>成功</t>
        </is>
      </c>
      <c r="C1578" t="inlineStr">
        <is>
          <t>読み方：かたえ
１かたわら。そば。
「父の—を遠く離るる事の」〈露伴・風流魔〉
２対になっているものの一方。片方。片側。
「高麗錦(こまにしき)紐(ひも)の—ぞ床に落ちにける」〈万・二三五六〉
３一部分。
「ほとりに松もありき。…—はなくなりにけり」〈土佐〉
４かたわらの人。仲間。
「悪人の—は多く、善人の味方は少なし」〈仮・伊曽保・中〉</t>
        </is>
      </c>
      <c r="D1578" t="inlineStr">
        <is>
          <t>片方または両方；片方脱げ</t>
        </is>
      </c>
      <c r="E1578" t="inlineStr">
        <is>
          <t>側；面；仲間；側面；傍</t>
        </is>
      </c>
      <c r="F1578" t="inlineStr">
        <is>
          <t>片方しかない；片方もしくは両方；片方の目蓋</t>
        </is>
      </c>
      <c r="G1578" t="inlineStr">
        <is>
          <t>片方善治</t>
        </is>
      </c>
      <c r="H1578" t="n">
        <v>29</v>
      </c>
      <c r="I1578" t="inlineStr">
        <is>
          <t>片方を離れた場所に置いたり投げたりして盗聴器代わりに使う事も可能。；どちらか片方が赤の特殊カードを出した場合は出した側の攻撃となる。；一方の理論の実在がもう一方の理論の中に対応する片方を持っている。；このため、片方の側面にのみコルゲートがある独特のスタイルとなった。；片方のプレイヤーは黒い石を、もう一方のプレイヤーは白い石を使う。；二重扉になっており、片方が開いている時はもう片方は開けられない。；写真配列が異なっており、一部の写真は片方だけにしか掲載されていない。；男性の胸に片方の手をついて行えば安定して腰を下ろすことができる。；その片方は、シェール川の左岸に出る南ドアを装飾しているだけである。；ただし、どちらか片方のフォワードが並んでいた場合は当然反則である。；ヘリカーゼは、片方の鎖に沿って種類毎に決まった方向に動きながら働く。；もうかたほうの破風のある壁には、低くて、はばの広い窓がありました。；本来一対であるべき花瓶の片方は今日も中正紀念堂に展示されている。；相手に投げを打たれた際、片方の手で相手の足首を外側から取って倒す技。；左脚には前枝と後枝がありその片方のみがブロックされることがある。；それから仕事台にこしをおろして、つぎのかたほうをほりはじめました。；CPU戦では片方を倒した場合、対戦ではどちらも倒した場合に勝ちとなる。；けれど、あまりあわてたので靴をかたほう落としてきてしまいました。；両者を有する場合、片方だけの場合、ごく一部に両方とも持たない例がある。；片方を交換した場合は、もう一方を入手することは不可能になる。；紬糸は緯線・経線の両方に使用する場合と、片方に使用する場合がある。；片方の腕は相手の頭もしくは首を抱えて肘裏が相手の喉辺りにくるように深く入れる。；片方にしか装填していないと初弾または2発目が出なかったりする。；また心臓が左右に一つずつあり、片方を潰されても活動可能である。；実質金利を下げるには、下記2つの片方もしくは両方を行う必要がある。；洗面器に水を入れ、片方の手を水の中に入れ、他方は外に出しておく。；巨大ボードの片方には太郎の絵が、もう片方には花子の絵が描かれている。；いずれの服装でも緑色の帽子を被り、片方は穴が開いている靴を履いている。；このため、片方の油圧システムに故障があっても停止が可能である。</t>
        </is>
      </c>
      <c r="J1578">
        <f>HYPERLINK("https://www.weblio.jp/content/片方", "词义详情")</f>
        <v/>
      </c>
      <c r="K1578">
        <f>HYPERLINK("https://yourei.jp/片方", "查看例句")</f>
        <v/>
      </c>
    </row>
    <row r="1579">
      <c r="A1579" t="inlineStr">
        <is>
          <t>塊</t>
        </is>
      </c>
      <c r="B1579" t="inlineStr">
        <is>
          <t>成功</t>
        </is>
      </c>
      <c r="C1579" t="inlineStr">
        <is>
          <t>読み方：まるかし
「まろかし」に同じ。〈日葡〉</t>
        </is>
      </c>
      <c r="D1579" t="inlineStr">
        <is>
          <t>塊りの；塊みたい；塊まり；塊岩；塊炭</t>
        </is>
      </c>
      <c r="E1579" t="inlineStr">
        <is>
          <t>グループ；群；集団；玉；大勢</t>
        </is>
      </c>
      <c r="F1579" t="inlineStr">
        <is>
          <t>一塊；黒い塊；大きな塊；卵塊；ひと塊</t>
        </is>
      </c>
      <c r="G1579" t="inlineStr">
        <is>
          <t>塊茎；塊根；塊魂；塊状重合；塊根植物</t>
        </is>
      </c>
      <c r="H1579" t="n">
        <v>29</v>
      </c>
      <c r="I1579" t="inlineStr">
        <is>
          <t>大幅に異なる速度で移動している空気の塊同士が衝突する際に発生する。；温泉などである程度塊になっていると肉眼でも観察できる場合がある。；顔と体の皺の区別のつかない、一頭身の肉の塊のような姿で描かれている。；卵には付着性があり卵塊となって石に付き、オスが孵化まで保護をする。；問題は、砲身材料製造上必要な鋼塊の製造技術に難があったことである。；この点でも、基物の表面に卵塊を産み付けるサシガメ科と異なっている。；産卵が終わった後もオスは卵のそばに残り、敵を追い払って卵塊を守る。；四塊厝庄など戴軍の活動の中心地区を直接攻撃しようとしたのである。；道路から石灰岩を集められない場合のみ石灰岩の塊を使うとしていた。；クラッカーの上などにその塊を乗せて食べる場合などに利用される。；秋に葉の塊の中心から、まだ開いていない棘状の葉の芽が伸び始める。；そして私は彼女に、私が傾斜路の下へと導いてきたこの小さな塊を見せた。；他の世代と比較して膨れ上がった人口の塊がテーマとなっている。；本来ホドは秀処の義であって、身体中最も注意すべき部分と言うのである。；この高度より上では、浮力がなくなるため空気塊自身の力では上昇しない。；それは卵塊を掘り出して殲滅するのが困難になったことを意味した。；この場合固形物に突っ込めば、人型の塊が元の場所に出現することになる。；胸のマークは砂の塊である身体を固定するためのキーパーツである。；このとき、蒸発に必要な気化熱は全てその空気塊から奪われるものとする。；湖沼は、周囲を陸に囲まれ海と直接連絡していない静止した水の塊である。；著名な父・弟と比較され、コンプレックスの塊だったと語っている。；柱の形をとることもあれば、巨大な球の形、雲塊のような形をとることもあった。；しかしながら、粘土の塊に棒で跡を付けたものがほとんどであった。；また形成された細胞の集合体がいくつかの塊に分かれるものもいる。；すぐ目の前には巨大な土の塊のような塔のような物体が聳え立つ。；卵塊は何らかの粘液でまとめられ、背甲の内壁に付着したと推測される。；放出された卵は粘液に包まれるか、ゼラチン質にくるまって卵塊を作る。；アン県に接するこの2つの都市は県の中心にまで人口集塊が広がる傾向にある。；ミズダニを採るときに、石面の穴に産みつけられた卵塊にも注意を払う。</t>
        </is>
      </c>
      <c r="J1579">
        <f>HYPERLINK("https://www.weblio.jp/content/塊", "词义详情")</f>
        <v/>
      </c>
      <c r="K1579">
        <f>HYPERLINK("https://yourei.jp/塊", "查看例句")</f>
        <v/>
      </c>
    </row>
    <row r="1580">
      <c r="A1580" t="inlineStr">
        <is>
          <t>固まる</t>
        </is>
      </c>
      <c r="B1580" t="inlineStr">
        <is>
          <t>成功</t>
        </is>
      </c>
      <c r="C1580" t="inlineStr">
        <is>
          <t>読み方：かたまる
［動ラ五（四）］
１やわらかい物や液状の物、または粒状の物が、しだいに固くなる。固形状になる。凝固する。「粘土が—・る」「血が—・る」
２1か所に集まる。寄り合う。一団となる。「五人が—・って走っていく」「何軒かの店が—・っている」
３しっかりしたものになる。確かになる。定まる。「事業の基礎が—・る」「考えが—・る」
４他のことにはまったく関心を示さず、そのことにだけ夢中になる。こりかたまる。「不信感で—・っている人」
５考えなどに柔軟さがなくなり、進歩・発展が止まる。「頭が—・らないうちに本をたくさん読む」
６緊張してからだがこわばる。気持ちが縮こまる。
「身の毛もぞっと縮まる程怖ろしく、—・って、様子を窺っていると」〈円朝・怪談牡丹灯籠〉
７コンピューターが機能も作動もせず、キーボードやマウスからの入力を受け付けなくなること。ハングアップ。フリーズ。</t>
        </is>
      </c>
      <c r="D1580" t="inlineStr">
        <is>
          <t>驚く；集まる；硬直；固める；硬化</t>
        </is>
      </c>
      <c r="F1580" t="inlineStr">
        <is>
          <t>冷え固まる；まま固まる</t>
        </is>
      </c>
      <c r="H1580" t="n">
        <v>29</v>
      </c>
      <c r="I1580" t="inlineStr">
        <is>
          <t>その三軒ほどにゲストが三固まりほどになって集まっての二次会だった。；あんたの決意が固まるようなら、私はあんたに一つの提案をする積りだ。；冷蔵庫が壊れていたために、街から氷の固まりを買って来て使っていた。；そして、今ではこの習慣はコンクリートのように固まってしまっていた。；舌のあるべきところには半ば固まりかけた血の塊があるだけだった。；それと同時に皆が石のように固まり、さらに怪物に変化してしまった。；自分なんかはまるで苦労の固まりでもってできたような人間である。；皆が不思議に思っていると、すぐに、茶色い固まりを持って戻ってきた。；女を怨んでいる念の固まりと、女のために抜け殻になってしまった身体。；それでもまだ、プロとしてやっていく気持ちはまだ固まっていなかった。；ひと固まりになった随行者達の背後にいるシゲルにも、それは聞こえた。；これまで交代を繰り返してきたベースがようやく固まることになる。；氷雪が押し固まる前に風などで移動するような場所は裸氷帯になるのである。；その中で島みたいにあの二人の洋服だけが固まってじっとしてるんだからな。；砲兵の運動のために、土地が少し固まるのを待たなければならなかった。；その時、布団から小さな黄色の固まりが熊楠の前に飛び出したのである。；無数の黒い土の固まりを、何百も何千もぶつけて造ったような山である。；固まりかけたクリームのように、夜が体のまわりで相を変えはじめていた。；それは岩から流れだし、固まって岩の波を作っているように思えた。；あるいは雪の固まりでも落ちたのだろうと片づけてしまったかもしれません。；あとは、時間とともに既成事実が固まるのを待つだけとなった感がある。；そしてそこから膿が流れ、鼻のところまでかさぶたように固まっていた。；もしあるとすれば目の前にいるこの理屈の固まりのような友人の心だけだろう。；固まる際にヒケや歪みを起さない樹脂が手に入ったのが実現の鍵だった。；私とユカは、あいつから身を守るため、いつも家の片隅で固まっていた。；路線は西部の一部地域に固まって建設されており、東部には全くない。；彼らの目には、わしは隅っこの、朦朧とした黒い固まりにすぎなかった。；ひとつの山に三、四羽から六、七羽ずつ固まり、生き生きと動いている。；この時すでに彼の頭の中で具体的な考えが固まっていたかどうかは知る由もない。</t>
        </is>
      </c>
      <c r="J1580">
        <f>HYPERLINK("https://www.weblio.jp/content/固まる", "词义详情")</f>
        <v/>
      </c>
      <c r="K1580">
        <f>HYPERLINK("https://yourei.jp/固まる", "查看例句")</f>
        <v/>
      </c>
    </row>
    <row r="1581">
      <c r="A1581" t="inlineStr">
        <is>
          <t>片道</t>
        </is>
      </c>
      <c r="B1581" t="inlineStr">
        <is>
          <t>成功</t>
        </is>
      </c>
      <c r="C1581" t="inlineStr">
        <is>
          <t>読み方：かたみち
１行きか帰りかの一方。「—の電車賃」
２ある行為が、一方からだけ行われること。「—貿易」</t>
        </is>
      </c>
      <c r="D1581" t="inlineStr">
        <is>
          <t>片道二(4%)；片道約(4%)；片道一(3%)；片道運賃(2%)；片道三(2%)</t>
        </is>
      </c>
      <c r="F1581" t="inlineStr">
        <is>
          <t>片道普通；片道攻撃；片道十；片道六；片道料金</t>
        </is>
      </c>
      <c r="G1581" t="inlineStr">
        <is>
          <t>片道乗車券；片道勇者；片道勇者プラス</t>
        </is>
      </c>
      <c r="H1581" t="n">
        <v>29</v>
      </c>
      <c r="I1581" t="inlineStr">
        <is>
          <t>この考えで、日本人は多くの航空機とパイロットを片道攻撃に投入した。；もちろん片道だけじゃないからなかなか歩を先に進められないのも当然か。；車だと宇都宮から東京までは片道四時間半ないし五時間くらいはかかる。；殆どの場合、片道利用で下流の目的地へ到達した後には、材木にされた。；第一にカリフォルニア貿易は五〇年代を通してほとんど片道貿易だった。；親の勧めで入った高校は、通学に片道一時間半を要したことも苦痛だった。；ということは、必ず片道は空気を運ぶような運航をしなくてはならない。；片道五分と計算して、そろそろ姿くらいは見えていてもいいはず。；片道二時間の空の旅は、一連の移植手術の中ではオアシスのようなものだ。；往復型は通常空間を結ぶものだが、片道型はそれさえ保証がない。；徒歩十分に慣れてしまった身に、片道一時間半なんて耐えられるはずはない。；片道25分程度と短いことから、各艇内にトイレは設置されていなかった。；無番路線は御所見小学校へのスクールバスで、片道1便のみ運行される。；これらの運転日には、「SLばんえつ物語」は片道のみの運転とされた。；彼は前から往復の電車賃を貰うと片道を買って帰りは歩いて来る事をよくした。；東京あたりの、片道一時間も二時間もかけての通勤とは較べようもない。；須釜小学校へは片道三キロに近い道のりで、子供の足には一時間かかった。；彼は前から往復の電車賃を貰うと片道を買って帰りは歩いて来ることをよくした。；仲村は当時千葉に住んでいたため片道2時間半以上かかったという。；一週間の滞在でタクシーを使ったのは、空港からの片道とこのときぐらいのものである。；またどこかで何人か客をとって、片道ぶんの切符を買えるだけ働けばいい。；乗り換えは片道区間に限り無料であり、乗り換え場所も広く指定してある。；東レ愛媛工場前からは片道1車線・両側歩道が確保された道路に変わる。；大人一人の片道料金は200バーツ前後で、往復割引も利用可能である。；この海の景色が好きで、三郎とほぼ同じ距離の片道をバイクで走って来ること。；しゃあけど、陸蒸気の片道の切符が買えるだけの分は残してあるんじゃ。；また輸送方向が漁港から大都市へ向けてのほぼ片道輸送となっている点も特徴であった。；片道苦労の名の通り石段は急であるので注意が必要である。；燃料搭載作業が終ってからは、ほとんどの乗員が片道の燃料しかないことを知っていた。</t>
        </is>
      </c>
      <c r="J1581">
        <f>HYPERLINK("https://www.weblio.jp/content/片道", "词义详情")</f>
        <v/>
      </c>
      <c r="K1581">
        <f>HYPERLINK("https://yourei.jp/片道", "查看例句")</f>
        <v/>
      </c>
    </row>
    <row r="1582">
      <c r="A1582" t="inlineStr">
        <is>
          <t>傾く</t>
        </is>
      </c>
      <c r="B1582" t="inlineStr">
        <is>
          <t>成功</t>
        </is>
      </c>
      <c r="C1582" t="inlineStr">
        <is>
          <t>読み方：かたぶく
［動カ四］
１「かたむく1」に同じ。
「大匠(おほたくみ)拙劣(をぢな)みこそ隅(すみ)—・けれ」〈記・下・歌謡一〇六〉
２「かたむく2」に同じ。
「山の端(は)に月—・けば」〈万・三六二三〉
３「かたむく3」に同じ。
「帝(みかど)畏(かしこ)しと申せども、臣下のあまたにしてかたぶけ奉るときは—・き給ふものなり」〈大鏡・後一条院〉
４「かたむく4」に同じ。
「禅の宗旨に—・かせ給ひて」〈太平記・四〉
５《首がかたむく状態になるというところから》不審に思う。疑う。また、非難する。
「この匠(たくみ)が申すことは何事ぞと—・きをり」〈竹取〉
［動カ下二］
１「かたむける1」に同じ。
「傘(からかさ)をさしたるに、…横さまに雪を吹きかくれば、少し—・けて」〈枕・二四七〉
２器を斜めにして中の物を出す。
「わたつ海をみな—・けて洗ふとも」〈風雅・釈教〉
３「かたむける3」に同じ。
「帝を—・け奉らむと構ふる罪によりて」〈栄花・月の宴〉
４「かたむける4」に同じ。
「なにとか、なにとか、と耳を—・けて問ふに」〈枕・九〇〉
５「かたむける5」に同じ。
「白楽天の作をば東坡先生は—・けけるとかや」〈著聞集・四〉</t>
        </is>
      </c>
      <c r="D1582" t="inlineStr">
        <is>
          <t>傾くべき；傾く日脚推しこかす；傾く身上を持ち直し；傾く可きもの無し；傾く可能性</t>
        </is>
      </c>
      <c r="E1582" t="inlineStr">
        <is>
          <t>流れる；傾向がある；下る；減る；拒む</t>
        </is>
      </c>
      <c r="F1582" t="inlineStr">
        <is>
          <t>ぐらりと傾く；耳傾く；やや傾く；やがて傾く</t>
        </is>
      </c>
      <c r="H1582" t="n">
        <v>29</v>
      </c>
      <c r="I1582" t="inlineStr">
        <is>
          <t>逆に針が左に傾いていると低く、右に傾いていると高い事を示している。；逆に、もし惑星が大きく傾くと、季節の変化は極端なものとなるだろう。；この公園の南北軸は西に向かって数度傾いており、北北西を向いている。；過去に何度も大流行して、そのたびに地球儀が傾くほどの死者を出した。；この五角錐の設計は、壁の一面だけをわずかに傾かせてあるのだそうだ。；これは、アルバムが以前の作品よりも音楽的に傾いているためであった。；その点だけで犯人と決め付けはしねえと思うが、心証的にはクロに傾く。；こうした細胞を興奮させる像は、特定の方向に傾いている必要がある。；何方に変るか自分でも分らないような気分が驀地に悪い方に傾いて来た。；州議会の代表状況は人口の多い東部の利益のために大きく傾いていた。；回転軸が傾く向きによって変化の方向が異なり下記のような軌道になる。；だが、時間の経過は、むしろ麻美が男に会って遊んでいるほうへと傾く。；この妻の影響で、ルーマニアは急速に連合国側に傾いて行くことになる。；ミツバチが利用した空間の形状によっては巣板が傾いていることもある。；そう思うといよいよ彼女の気もちは、憂鬱に傾かずにはいられなかった。；ココナッツ椰子が青い海の前に傾くように茂っている写真がついている。；木は少し傾いていたが、トンネル完成時には傾きが大きくなっていた。；自然が秋へと傾くように、ぼくの心にも身辺にも秋色が濃くなってゆく。；そして2番手の江川卓が登板したことで試合の流れが一気に全セに傾く。；勝利の報せが迷っていたスペインのエリートたちを反乱支持に傾かせた。；この時すでにセウォル号は左舷側に45度ほど傾いていたとされている。；吉とでるか凶とでるか、どちらに傾くかわからぬ不安な瞬間であった。；彼の家に歸つたのは日が西に連つた雜木林の上に傾かうとした頃であつた。；地軸が大きく傾いた状態は、地球の居住可能性を崩壊させる可能性が高い。；ここは地下に向かって掘りこまれた庭であり、床は急角度で傾いている。；また苻堅は夢を見たが、その内容は地が東南に傾くというものであった。；目撃者によれば墜落直前、機体は右に傾いた状態で低空を飛行していた。；ホームがカーブの途中に位置しているため、停車時には列車が大きく傾く。；かれは罪もないのに罪に落とした男を許すほうに心が傾くのを覚えさえした。</t>
        </is>
      </c>
      <c r="J1582">
        <f>HYPERLINK("https://www.weblio.jp/content/傾く", "词义详情")</f>
        <v/>
      </c>
      <c r="K1582">
        <f>HYPERLINK("https://yourei.jp/傾く", "查看例句")</f>
        <v/>
      </c>
    </row>
    <row r="1583">
      <c r="A1583" t="inlineStr">
        <is>
          <t>傾ける</t>
        </is>
      </c>
      <c r="B1583" t="inlineStr">
        <is>
          <t>成功</t>
        </is>
      </c>
      <c r="C1583" t="inlineStr">
        <is>
          <t>読み方：かたむける
［動カ下一］［文］かたむ・く［カ下二］《「かたぶける」の音変化。「片向ける」の意》
１物を斜めにする。傾くようにする。かしげる。「首を—・ける」「傘を—・ける」
２《杯を斜めにして中の物を飲むところから》酒を飲む。「大杯を—・ける」
３存在を危うくさせる。衰えさせる。滅ぼす。「道楽から身代を—・ける」「国を—・ける」
４力や注意などをいちずにその方へ向ける。心をある物事に集中させる。「耳を—・ける」「愛情を—・ける」「蘊蓄(うんちく)を—・ける」
５非難する。けなす。
「縦(たと)へ卿相(げいしゃう)の位に昇るといふとも誰か—・け申すべき」〈保元・中〉</t>
        </is>
      </c>
      <c r="D1583" t="inlineStr">
        <is>
          <t>傾けるべき</t>
        </is>
      </c>
      <c r="E1583" t="inlineStr">
        <is>
          <t>傾斜；滅ぼす；傾げる；亡ぼす；傾ぐ</t>
        </is>
      </c>
      <c r="F1583" t="inlineStr">
        <is>
          <t>大きく傾ける；傾けるしかない</t>
        </is>
      </c>
      <c r="H1583" t="n">
        <v>29</v>
      </c>
      <c r="I1583" t="inlineStr">
        <is>
          <t>ここは一言も聞き逃してはならじと、僕は黙って相手の話に耳を傾ける。；まわりの音楽状況やほかのアーティストのヒット状況に耳を傾けるように。；眼鏡の奥の彼の瞳はまるで何かに耳を傾けるかの様に閉じられていた。；それが非常に変なので勢い耳を傾けるが、真似をすることは不可能である。；スティックを傾けるのではなく滑らせて操作する方式の製品も存在する。；君の話をする時ほど、人が我輩の言葉に耳を傾けてくれる時はないんだ。；元通りの位置に座り、夫と妹は黙って両親や弟夫婦の会話に耳を傾ける。；ただしイギリスは植民地の発言に耳を傾けるべきだとも信じていた。；少ししか喋らず、ほかのものたちの会話に耳を傾けることを好んでいた。；下士官がすすんで意見を出したときは、充分に耳を傾けることが大事だ。；今年二十六歳になる長身の光教が、上体を傾けるようにして入ってきた。；真はそう解釈して、心を空っぽにするよう努めながら、自転車を傾ける。；その音に、耳を傾けるように眼を閉じ、やがて、白龍はその眼を開いた。；注意を傾けると、スピーカーの声は問題を読み上げているのがわかった。；騎士とは、常に助けを求められているがごとく耳を傾ける者である。；大津は自分の書いた原稿を見つめたままじっと耳を傾けて夢心地になった。；エアラインの用意してくれたヘッドホンを耳に当て、音楽に耳を傾ける。；にも拘らず、その頃高橋の同情は全く松永一人の上に傾け盡されてゐた。；考えることも、何をすることもならず、ただ耳を傾けるばかりだった。；この頃から色々なジャンルの音楽に耳を傾けるようになったという。；道を通る人は、わざわざ立ち止まってその音に耳を傾けるものもあります。；たゞ、それぞれの専門家の言葉に耳を傾ける興味をもつてゐるだけである。；そして彼の後ろから来る小作人たちのささやきのような会話に耳を傾けた。；体を傾けるとプレイヤーの姿勢も傾くが、振り向くことは自由に出来る。；そして私は、夜の闇の中に消えてゆく彼の重い足音に耳を傾ける。；聞くとすれば唯一、市場からの声に従順に耳を傾けるしかないのではないか。；彼女は頸を傾けたまま、全然表情らしいものを示したことはなかった。；それでパパはその日から、あらゆる努力をそのために傾けることになった。；ブラッツは、彼がいうところの「安心理論」の研究に関心を傾けていた。</t>
        </is>
      </c>
      <c r="J1583">
        <f>HYPERLINK("https://www.weblio.jp/content/傾ける", "词义详情")</f>
        <v/>
      </c>
      <c r="K1583">
        <f>HYPERLINK("https://yourei.jp/傾ける", "查看例句")</f>
        <v/>
      </c>
    </row>
    <row r="1584">
      <c r="A1584" t="inlineStr">
        <is>
          <t>固める</t>
        </is>
      </c>
      <c r="B1584" t="inlineStr">
        <is>
          <t>成功</t>
        </is>
      </c>
      <c r="C1584" t="inlineStr">
        <is>
          <t>読み方：かためる
［動マ下一］［文］かた・む［マ下二］
１やわらかい物や液状の物を、かたい状態にする。また、物をかたくする。「ゼリーを冷やして—・める」「こぶしを—・める」
２物事を集中させる。一つにまとめる。「安打を—・めて打つ」「荷物を片隅に—・めておく」
３状態を安定させる。しっかりしたものにする。強固にする。「身を—・める」「決意を—・める」「選挙の地盤を—・める」
４外部から影響されないようにかたく守る。「国境を—・める」「陣営を—・める」「うそで—・めた供述」
５（「…に身をかためる」の形で）ある行動に備えて、装束などを身につける。「防寒具に身を—・める」
６かたく誓う。しっかりと約束する。「契りを—・める」
７しっかり結ぶ。固定する。
「烏帽子(えぼし)の緒、元結、—・めずともありなむ」〈枕・六三〉
８矢を引き絞ってそのままの状態を保つ。
「しばし—・めてひゃうど射る」〈古活字本保元・中〉</t>
        </is>
      </c>
      <c r="D1584" t="inlineStr">
        <is>
          <t>固めるべく；固めるべき；固める版築工法；固める俳優陣</t>
        </is>
      </c>
      <c r="E1584" t="inlineStr">
        <is>
          <t>止める；固定する；鍛える；固まる；凝る</t>
        </is>
      </c>
      <c r="F1584" t="inlineStr">
        <is>
          <t>踏み固める；さらに固める；締め固める；塗り固める；冷やし固める</t>
        </is>
      </c>
      <c r="H1584" t="n">
        <v>29</v>
      </c>
      <c r="I1584" t="inlineStr">
        <is>
          <t>同じように感じているのか、左右の二人が緊張に身を固めるのを感じた。；ほか、前番組からの継続出演者たちがその脇を固める形で出演していた。；勝訴が約束された裁判なのだから、そこまで嘘で塗り固める必要はない。；かく窓を固めることは、霰弾の発射がやんでいたのでことに容易だった。；こうなった以上、アーソナは屋敷の警備をいっそう固めるにちがいない。；翌日は雷雨だったので砦の男女は編成を行い、防御を固めることができた。；同監督作品に出演することが多い松浦祐也やサーモン鮭山が脇を固める。；それらはただかれの決意を固めると同時に、理解を深めただけだった。；薩摩はイギリスとの思いもかけぬ喧嘩もあって、国もとを固める必要がある。；ポイント部分でも突き固めることのできる高機能なものもある。；それらを固めるために、粘液や糸など、自分の分泌物を用いる例もある。；この事があってから、直実は出家の決心を固めるようになったといわれる。；二人は将軍が直接訴状を確認する目安箱への箱訴を行う決意を固める。；それは当時流行していた乱暴な当たりと、守りを固めるサッカーではない。；したがって、やられる前にまず守りを固めることに汲々としていたのです。；相手が守りを固める前に、あるいはその時間を与えないように攻撃すること。；それでもこのことでアメリカ軍守備隊は防御を固める時間がとれた。；両国の緊張感が高まり戦争を予測して境界の防御を固める動きに出た。；初めて挑戦した声の仕事があまりにも楽しかったことから声優になる決意を固める。；彼らは自ら守りを固めるだけであり、こちらへ向かって来ることはないだろう。；ハウはその陣地を固めるために一旦行軍を停止させ、次の作戦を検討した。；あの初陽台に登ったのも、訣別の意を固めるためではなかったか。；レックスへの愛情を否定出来ないブリーは、夫とやり直す決心を固める。；それからまた今のゼリーをその上へ注ぎ込んで氷で凍し固めるのです。；それはアメリカの北部と南部の関係を固める役目を果たしたということである。；そんな祖母に千枝子は祖母の代わりに自分が石臼を歌わせる決意を固める。；もともとはセメントがなかった時代に、地面を固めるために使われたとされる。；井戸枠と穴の壁との間の隙間は土などを入れて突き固める。；ガリードは危険が迫っているので、将校たちに守りを固めるよう指示する。</t>
        </is>
      </c>
      <c r="J1584">
        <f>HYPERLINK("https://www.weblio.jp/content/固める", "词义详情")</f>
        <v/>
      </c>
      <c r="K1584">
        <f>HYPERLINK("https://yourei.jp/固める", "查看例句")</f>
        <v/>
      </c>
    </row>
    <row r="1585">
      <c r="A1585" t="inlineStr">
        <is>
          <t>偏る</t>
        </is>
      </c>
      <c r="B1585" t="inlineStr">
        <is>
          <t>成功</t>
        </is>
      </c>
      <c r="C1585" t="inlineStr">
        <is>
          <t>読み方：かたよる
［動ラ五（四）］
１ある基準、または中心から外れて、一方へ寄る。傾く。「進路が北へ—・る」「—・った考え方」
２ある部分・方面に集中して、全体のつりあいを欠いた状態になる。不均衡になる。偏する。「栄養が—・る」「人口が首都圏に—・る」
３取り扱いや考え方などが不公平・不公正になる。偏する。「愛情が—・らないようにする」「—・った税制」
４あるものの方に近づく。
「彼の児(こ)ろと寝ずやなりなむはだすすき浦野の山に月—・るも」〈万・三五六五〉
５一方に味方する。
「今二人の后、十人の女御、—・り給ひつつ、皆人心をひとつになして」〈浜松・一〉</t>
        </is>
      </c>
      <c r="D1585" t="inlineStr">
        <is>
          <t>偏ることなく(9%)</t>
        </is>
      </c>
      <c r="E1585" t="inlineStr">
        <is>
          <t>流れる；傾向がある；傾く；偏向；片寄る</t>
        </is>
      </c>
      <c r="H1585" t="n">
        <v>29</v>
      </c>
      <c r="I1585" t="inlineStr">
        <is>
          <t>しかし、当初から留学生はアジア特に中国に偏ることが予想されていた。；このために各党指名候補は地域に偏った選挙戦を展開することになった。；分布が地球に極端に偏っていて、月ではその活動があまり見られないこと。；そして最後の期間には〇・七四と非常にメスに偏ってしまうのである。；その噂がどれだけ偏った方面からきたかお考えになってくださらなければ。；ニックネームはつけていなく、かなりタイプが偏った構成になっている。；二、各面の出る数が一定で、中立・偏っていないと前提されていること。；性選択が一方に偏ることがないように、社会的な男女差別は存在しない。；また、一方に完全に偏った場合、ほぼそのヒロインのルートが確定する。；では日本語は、どのような方向に向けて、どのように偏っているのか。；これまでのあまりにも偏った消費は、日本の会社主義が作り出したものだ。；それは、彼女の体が氷の柱の中で後ろの方に偏っていた、という事実です。；枠で放送するようになったため、近年の楽曲が中心で偏った放送となっている。；そして技術教育のみに偏らない表現教育をも重視する自由な創造空間である。；つまり、時計回り・反時計回り両方の風があり特定の向きには偏らない。；偏った位置にコアを配置した場合には大きな偏心を生じることとなる。；その偏った趣味の形成は親の取り決めによる結婚と深いかかわりがある。；機械の発達レベルは魔法と混合しているだけあり、かなり偏っている。；この見解はもちろん一方に偏ったものであるが核心的な真理も含まれていた。；情慾が食気にだけ偏ってしまって普通の人情に及ぼさないためかしらん。；竜騎士がひどく偏った好みでプレイしてることがわかりますのです。；種々の方法を書いた本があるので、偏らないようにそれぞれに目を通します。；法子と話し合ってみると、どうやら彼の検索の仕方が偏っていたらしい。；何か強力な要因があるからこそ性比は男の方に偏っているのだ。；国家レベルでは、党員の大半は軍人か、もしくは特定の民族に偏っていた。；偏った政治意見の表明なども可能になり放送内容がチャンネルごとに多様化した。；降雨量は局所的に偏っており、北部や西部は多く、南部や東部は少ない。；「わたしたちの好みは偏っていないわね」 と、アラトン夫人は言った。；中心の南側に雲が偏っていたことからバランスの悪い台風であった。</t>
        </is>
      </c>
      <c r="J1585">
        <f>HYPERLINK("https://www.weblio.jp/content/偏る", "词义详情")</f>
        <v/>
      </c>
      <c r="K1585">
        <f>HYPERLINK("https://yourei.jp/偏る", "查看例句")</f>
        <v/>
      </c>
    </row>
    <row r="1586">
      <c r="A1586" t="inlineStr">
        <is>
          <t>語る</t>
        </is>
      </c>
      <c r="B1586" t="inlineStr">
        <is>
          <t>成功</t>
        </is>
      </c>
      <c r="C1586" t="inlineStr">
        <is>
          <t>読み方：かたる
［動ラ五（四）］
１話す。特に、まとまった内容を順序だてて話して聞かせる。「目撃者の—・るところによれば」「決意の程を—・る」
２語り物を節をつけて朗読する。「浪曲を—・る」
３ある事実がある意味・真実・事情などをおのずから示す。物語る。「この惨状が台風のすさまじさを—・っている」
４親しくまじわる。
「其の里の人、年ごろ別して—・り、殊更(ことさら)内縁のよしみなりけるが」〈浮・武家義理・二〉
[可能]かたれる</t>
        </is>
      </c>
      <c r="D1586" t="inlineStr">
        <is>
          <t>語るべき；語るまい；語る上で重要；語るべから；語るなかれ</t>
        </is>
      </c>
      <c r="E1586" t="inlineStr">
        <is>
          <t>言う；説明；表現；示す；記述</t>
        </is>
      </c>
      <c r="F1586" t="inlineStr">
        <is>
          <t>自ら語る；熱く語る；淡々と語る；弾き語る；就いて語る</t>
        </is>
      </c>
      <c r="H1586" t="n">
        <v>29</v>
      </c>
      <c r="I1586" t="inlineStr">
        <is>
          <t>この場面を語る多くの報告がアナスタシアが最後に死亡したとしている。；これまで彼はこの話を当該番組に出演するまで語ろうとしてこなかった。；私が故国の女性を思うと同じ一般の女性を語ろうとするのでございます。；他の話はこの物語を新しい形で再び語り、この過程は繰り返すのだろう。；しかしあなたはそこにある秘密を握ったまま、一切を語ろうとはしない。；自己が自己を語ろうとすることそのことがすでに一つの煩悩ではないか。；池谷仙克によると、酒を飲んでも映像論を語るようなことはしなかった。；そのため、よく安彦の弟子と語られることが多いがこれは間違いである。；友人のテプケンは青年時代のシューマンの様子を次のように語っている。；サドをテーマにした論文は自分が最初で最後かもしれないと語っている。；詩はすべての動物たちが自分の身を守る能力を持つと語るところから始まる。；命にかかわる可能性があるにもかかわらず歌ってしまっていたと語られた。；本人は「社員だけに責任を転嫁したわけではない」と語っていたという。；その新しい人たちとしか私たちは文学を芸術を語れないという気がする。；終わってしまった作品のことをどこまで語ればいいのかよくわかりません。；語りを担当したNHKアナウンサーの住田功一からの手紙も寄せられた。；妹と付き合い始めた俺が、どんな日々を送っているのかを語ろうと思う。；そうしたことからその死もこれらと同じ文脈で語られることがあった。；それ以上の事情があるのは間違いないだろうに、嘯いて語ろうとしない。；しかし、わたしはこの話を語ろうとは思わないし、またその資格もない。；内にあったものがこの性質によって外へ顕わになり、語られるのである。；それに続くフン族についての伝説を語る中で、以下のように述べている。；自らの生命をもって人々を救った、涙なくしては語れないエピソードだ。；物語を語るのに演技よりも歌やダンスを使用し、全ての曲に意味を持たせた。；彼らが前述の強化細胞を移植しているかどうかは作中では語られていない。；乗組員達は最後の生存者が死ぬまで油は漏れ続けるだろうと語っている。；受賞を実感したのは翌日の新聞で自分の顔を見てからと語っている。；どうもこいつは強情でな、自分の事情をどうしても語ろうとしないのだ。；ビクターはもはやビデオを抜きにして語れない会社になっていたからだ。</t>
        </is>
      </c>
      <c r="J1586">
        <f>HYPERLINK("https://www.weblio.jp/content/語る", "词义详情")</f>
        <v/>
      </c>
      <c r="K1586">
        <f>HYPERLINK("https://yourei.jp/語る", "查看例句")</f>
        <v/>
      </c>
    </row>
    <row r="1587">
      <c r="A1587" t="inlineStr">
        <is>
          <t>傍ら</t>
        </is>
      </c>
      <c r="B1587" t="inlineStr">
        <is>
          <t>成功</t>
        </is>
      </c>
      <c r="C1587" t="inlineStr">
        <is>
          <t>読み方：かたわら
［名］
１そば。すぐ近く。「—のいすに腰かける」
２（「…のかたわら」の形で）端に寄った所。「道の—にたたずむ」
３（接続助詞的に用いて）主となることをする一方。合間に。「学校に通う—家業を手伝う」
４側面。物の脇。
「頭ごとに各(おのおの)石松(いはまつ)あり、ふたつの—に山あり」〈神代紀・上〉
［副］あることをする一方では。その合間に。「会社に勤めて、—小説を書く」</t>
        </is>
      </c>
      <c r="D1587" t="inlineStr">
        <is>
          <t>傍ら執筆；傍ら小説；傍ら銀行；傍ら漫画；傍ら作詞</t>
        </is>
      </c>
      <c r="E1587" t="inlineStr">
        <is>
          <t>側；横；周囲；周辺；付近</t>
        </is>
      </c>
      <c r="F1587" t="inlineStr">
        <is>
          <t>教鞭を執る傍ら；傍ら銀行会社；傍ら執筆活動</t>
        </is>
      </c>
      <c r="H1587" t="n">
        <v>29</v>
      </c>
      <c r="I1587" t="inlineStr">
        <is>
          <t>むしろ今まで平行植物であると知られずに傍らにあったようなものである。；高里の病室に入った広瀬は、高里の傍らに何者かの気配と白い腕を見る。；医師活動をする傍ら、詩人としても多くの作品を残したことでも知られる。；傍らには白い百合が置かれているが、天使が百合を携えている場合もある。；アナウンサーの傍ら中央大学および山梨学院大学の大学院にて学んだ。；傍らで見ていた堀部ほりとの視線を交わしてから僅かの出来事だった。；戦前の大学生が学業の傍らで従事する労働を呼んだ用法が広まったもの。；同時期に放送局の放送劇団に入り、俳優の傍ら放送劇も書くようになる。；現在は女優業の傍ら、夫の仕事の事務作業などの裏方の仕事も行っている。；この年、彼女は授業を受ける傍らで70ポンド以上の収入を得ていた。；ビジネスの傍ら、海外での体験をもとにした執筆活動を行っている。；始めは夫妻で俳優として活躍する傍ら、数十本のシナリオを執筆した。；執筆活動の傍ら、山口女子大学では、児童文学を教えていたこともある。；俳優業の傍ら、イラスト・文筆などの創作活動も並行して行なっている。；速水奨は貿易会社勤務の傍ら劇団四季の研究所などに所属していた。；指導者業の傍ら、CS放送でリーガ・エスパニョーラ中継の解説を担当。；からは評論活動の傍らで明星高校監督となり、の夏の甲子園で優勝した。；その母は家事をする傍ら彼に音読をさせ、声に出して文章を読む習慣をつけた。；世界中で演奏活動を続ける傍ら、録音にも熱心に取り組んできた。；現在は1男2女の母親である傍ら、年1度程帰国して様々な番組に出演する。；その傍らに、楽天イーグルスの主催試合を解説者として解説している。；文章の傍らにあるものだけだとする考え方と、それに口絵を含むとする考え方がある。；その傍ら、ユダヤ人の生活に取材した小説や戯曲を書き好評を博した。；もう一つは高松藩初代藩主の松平頼重が遍路道の傍らに建立したものである。；その傍らには「宮廷でただ一人の男」と呼ばれる皇太后ゾフィーの姿がある。；彼は私の傍らにいつもいてくれるのです。；戦後は政治活動の傍ら、1953年まで企業の経理係などをしていた。；中学でも野球部に所属する傍ら、父親の勧めで中学2年から柔道もしていた。；これらは補給・輸送任務を行う傍ら、捜索救難や負傷兵護送も行なった。</t>
        </is>
      </c>
      <c r="J1587">
        <f>HYPERLINK("https://www.weblio.jp/content/傍ら", "词义详情")</f>
        <v/>
      </c>
      <c r="K1587">
        <f>HYPERLINK("https://yourei.jp/傍ら", "查看例句")</f>
        <v/>
      </c>
    </row>
    <row r="1588">
      <c r="A1588" t="inlineStr">
        <is>
          <t>花壇</t>
        </is>
      </c>
      <c r="B1588" t="inlineStr">
        <is>
          <t>成功</t>
        </is>
      </c>
      <c r="C1588" t="inlineStr">
        <is>
          <t>読み方：かだん
庭などで、一部分を区切り土を盛り上げるなどして草花を植えた所。《季秋》</t>
        </is>
      </c>
      <c r="D1588" t="inlineStr">
        <is>
          <t>花壇騎士；花壇用；花壇いじり；花壇茶屋；花壇や切り花用</t>
        </is>
      </c>
      <c r="E1588" t="inlineStr">
        <is>
          <t>花園；花畑；お花畑；花屋敷；花圃</t>
        </is>
      </c>
      <c r="F1588" t="inlineStr">
        <is>
          <t>小さな花壇；北花壇；桜花壇；大花壇；円形花壇</t>
        </is>
      </c>
      <c r="G1588" t="inlineStr">
        <is>
          <t>花壇橋；花壇町駅</t>
        </is>
      </c>
      <c r="H1588" t="n">
        <v>29</v>
      </c>
      <c r="I1588" t="inlineStr">
        <is>
          <t>行つても、奥さんの花壇へ近寄ることに不思議な抵抗をおぼえはじめた。；そんな風にして、少年は奥さんの花壇へも自由に入れる身分になつた。；だから遠くから見ると、池のまわりのチューリップの花壇のようである。；それから花壇の中の木に飛んでいって、猫のような敏捷さでよじ登った。；ずっと端の方の花壇へ行って、両手にかかえられるだけ花をつみ始めた。；当日の現場では、ゴミ箱の位置がコスモスの花壇から離れた場所にある。；花壇には、百合ばかりでも、幾種類となく集められた場所があります。；中には余り狼狽したはずみに、路ばたの花壇へ飛びこんだのもあります。；秋には見事な黄色い薔薇の花を咲かせていた花壇も枯れてしまっていた。；庭へ出でて花壇のまわりを三べんばかりあてどもなくあるきながら。；和声の花壇には、無数の花が新しい曙ににこやかな眼を開きかけている。；女中に案内されてゆくと、そこは庭と花壇に面した奥の八畳くらいの部屋だった。；花壇の向うは畠になっていて、その西の隅に別当部屋の附いた厩がある。；ホームには地元団体「心の花を育てる会」による花壇が設けられている。；この時はアメリカ合衆国では最も人気のある花壇材料となった。；何か自分で工夫した静かな遊びごとをしているか、花壇に水をやるかしている。；季節が違っていれば、それは見事に手入れされた生け垣や花壇なのだろう。；さっきまで、鼻歌混じりで花壇を眺めていたとは思えない程の勢いだった。；庭は、荒れたままの花壇がある他は、松の木立だけのさっぱりしたもの。；花壇のうちには百合の花が、もろもろの花の王らしく咲き誇っていた。；花壇は段畑の幾枚かがあてられていて、二階の窓と接するくらいの高さにある。；かの女は花壇の縁に腰を下ろして、いつまでもいつまでもぼんやりしている。；かつては3番線まであったが撤去され、その跡地は花壇になっている。；彼は別荘の前にある花壇を縁どる芝生に腰をおろすと、急に泣きだした。；さすがの北花壇騎士にしても、その警備の網をくぐるのは不可能のようだった。；イザベラはそんな北花壇騎士の一人を待っているところであった。；両側に道があり、ベンチのある植え込みや花壇をへて、柵が作ってある。；私はその靴を、ふと、花壇の中に、ほうりこんでやろうかと思いました。；芝生の端にある小さな花壇で、デージーの花が笑っているみたいに揺れた。</t>
        </is>
      </c>
      <c r="J1588">
        <f>HYPERLINK("https://www.weblio.jp/content/花壇", "词义详情")</f>
        <v/>
      </c>
      <c r="K1588">
        <f>HYPERLINK("https://yourei.jp/花壇", "查看例句")</f>
        <v/>
      </c>
    </row>
    <row r="1589">
      <c r="A1589" t="inlineStr">
        <is>
          <t>勝ち</t>
        </is>
      </c>
      <c r="B1589" t="inlineStr">
        <is>
          <t>成功</t>
        </is>
      </c>
      <c r="C1589" t="inlineStr">
        <is>
          <t>読み方：かち
勝つこと。勝利。「—を得る」⇔負け。</t>
        </is>
      </c>
      <c r="D1589" t="inlineStr">
        <is>
          <t>勝ち鞍(11%)；勝ち目(5%)；勝ち上がり(4%)；勝ちきれ；勝ちたい</t>
        </is>
      </c>
      <c r="E1589" t="inlineStr">
        <is>
          <t>優勝；勝利；勝；制覇；戦勝</t>
        </is>
      </c>
      <c r="F1589" t="inlineStr">
        <is>
          <t>おもな勝ち；反則勝ち；重賞勝ち；ピンフォール勝ち；ストレート勝ち</t>
        </is>
      </c>
      <c r="G1589" t="inlineStr">
        <is>
          <t>勝ち馬；勝ち星；勝ち抜い；勝ち点；勝ち抜き</t>
        </is>
      </c>
      <c r="H1589" t="n">
        <v>29</v>
      </c>
      <c r="I1589" t="inlineStr">
        <is>
          <t>最終的にオシャレパワーとダンスの総合ポイントが高い方の勝ちとなる。；彼女に勝ちの味を教えてあげられなかったことには悔しさも感じています。；こんな勝ち方は僕の望んでいるものではないけれど、これもレースなんだ。；この頃の当チームは、『力はあるけど勝ちきれないチーム』と言われた。；あいこの場合、基本的にはあいことせず、勝ちか負けのどちらかになる。；勝ちきれない競走が多かったが、常にファンから愛され続けた馬であった。；何回か遊戯を行って、最終的にもっとも得点の多いものを勝ちとする。；マギーはフランキーの指導の下、試合で勝ち続けて評判になりはじめる。；リリーフとしての起用が増えたため、勝ち数は減ったが登板数は増えた。；しかし、芸術的な作品では自分には勝ち目がないと思って変えたとも言っている。；ここに金銀を打つのは、通常は勝ちづらいと考えられている手法である。；相手のHPを0にするとKOとなり、HPが残っている方の勝ちである。；このレースを前に調教師の野平は強い勝ち方をするよう岡部に指示をした。；売られた喧嘩を谷川が買う乱戦となったが、最後は羽生の勝ちとなった。；この場合、制限時間内に最も多くのしっぽを取った者が勝ちとなる。；白が50目を獲得した場合、黒は57目以上獲得しないと勝ちにはならない。；勝ち越しとは、主にスポーツで勝ちの数が負けの数よりも多くなることである。；負け越しとは、主にスポーツで負けの数が勝ちの数よりも多くなることである。；古事記と同様に物実の持ち主の子とするならば天照大神の勝ちとなる。；より強い勝ち方をすることで、ファンも喜んでくれるでしょう。；これにより大会史上初めて予選から勝ち上がったチームが準決勝に進出した。；自玉がZの状態ならば、相手玉に必至をかけたその時点で勝ちが確定する。；CPU戦では片方を倒した場合、対戦ではどちらも倒した場合に勝ちとなる。；このため、チームはプレイオフに進出し第2ラウンドまで勝ち上がった。；その後も勝ち試合など重要な場面での起用が増えた。；権利を使うとそのエキストラポイントを先取したほうが勝ちとなる。；この手を境に羽生の玉はたちどころに寄り形となり、谷川の勝ちとなった。；内容はいずれもスタートで先頭に立ってからの逃げ切り勝ちというものだった。；だれかが15点以上になったらゲームを終了し、点数の多い者の勝ちになる。</t>
        </is>
      </c>
      <c r="J1589">
        <f>HYPERLINK("https://www.weblio.jp/content/勝ち", "词义详情")</f>
        <v/>
      </c>
      <c r="K1589">
        <f>HYPERLINK("https://yourei.jp/勝ち", "查看例句")</f>
        <v/>
      </c>
    </row>
    <row r="1590">
      <c r="A1590" t="inlineStr">
        <is>
          <t>価値</t>
        </is>
      </c>
      <c r="B1590" t="inlineStr">
        <is>
          <t>成功</t>
        </is>
      </c>
      <c r="C1590" t="inlineStr">
        <is>
          <t>読み方：かち
１その事物がどのくらい役に立つかの度合い。値打ち。「読む—のある本」「—のある一勝」
２経済学で、商品が持つ交換価値の本質とされるもの。→価値学説
３哲学で、あらゆる個人・社会を通じて常に承認されるべき絶対性をもった性質。真・善・美など。</t>
        </is>
      </c>
      <c r="D1590" t="inlineStr">
        <is>
          <t>価値観(3%)；価値基準；価値しかない；価値づけ；価値創造</t>
        </is>
      </c>
      <c r="E1590" t="inlineStr">
        <is>
          <t>意味；値；価格；甲斐；意義</t>
        </is>
      </c>
      <c r="F1590" t="inlineStr">
        <is>
          <t>資産価値；高い価値；大きな価値；それだけの価値；新たな価値</t>
        </is>
      </c>
      <c r="G1590" t="inlineStr">
        <is>
          <t>価値判断；価値体系；価値論；価値評価；価値尺度</t>
        </is>
      </c>
      <c r="H1590" t="n">
        <v>29</v>
      </c>
      <c r="I1590" t="inlineStr">
        <is>
          <t>この時期に、インドで現れる大半の価値規範が形成されたと考えてよい。；ほとんど価値のない論文ですが、あの可哀想な男は喜んでいるでしょう。；犠牲とされる動物の中で最も価値が高いものはラクダだとされている。；高度な製造技術を利用した武器は多く、財産的価値を持つものも多い。；また装飾とは別に武器が持つ一種の機能美に美術的価値が見出される。；機関銃は配備されていたがその価値が認められるまでには時間を要した。；全ての人は同じ神の一撃でできているから、平等に扱われる価値がある。；カーネギーは人生を価値あるものとする鍵はフィランソロピーだとした。；ゼロックスはPARCで開発された技術の価値に気づくのが遅れていた。；したがって戦争法が存在する価値を認めることはできないものである。；明史の資料的価値は康熙帝が望んだとおり現在でも高い評価を得ている。；とても価値のある作品なのに、観客が正当に評価しているように見えない。；測定結果は、定量的であるほうがより価値が高いとされることが多い。；低いから労働者は生産物と同じ価値の物を手に入れられない。；経済は社会の中で希少性や効用性を持つ価値を配分する機能の一つである。；また、その物が本来持っている価値を低下させるのも損壊とみなされる。；しかし、商品は自らの価値を自分だけで表現することはできない。；これらは、当時の社会や文化を伝える資料としても貴重な価値をもっている。；両者は通貨としての価値は同一であるが、相互には用いられていない。；美術的、歴史的価値が評価され、評価の高いものは高値で取引される。；双方の積荷の値段や価値には大きな差があることもそれに関係する。；この最高善を見いだすことこそ人生の最高の価値である、としたのである。；この価値は他の価値に依存しており、チームワークを重視している。；同様に古典的な方法論も最新の量子論的手法と同じくらい高い価値を持つ。；そうしなければ保護する価値がわからなくなってしまう。；設立目的は「世界を改善する社会的価値」を含む映画を製作することであった。；むろん、重要な解釈資料としての価値までが失われるわけではない。；匿名の作者はこれらの詩の中で封建的な価値や宮廷的なモラルを嘲笑した。；しかし強さを己の価値と過信するレッドマンは力をただもとめようとする。</t>
        </is>
      </c>
      <c r="J1590">
        <f>HYPERLINK("https://www.weblio.jp/content/価値", "词义详情")</f>
        <v/>
      </c>
      <c r="K1590">
        <f>HYPERLINK("https://yourei.jp/価値", "查看例句")</f>
        <v/>
      </c>
    </row>
    <row r="1591">
      <c r="A1591" t="inlineStr">
        <is>
          <t>家畜</t>
        </is>
      </c>
      <c r="B1591" t="inlineStr">
        <is>
          <t>成功</t>
        </is>
      </c>
      <c r="C1591" t="inlineStr">
        <is>
          <t>読み方：かちく
人間の生活に役立たせる目的で飼育される動物。</t>
        </is>
      </c>
      <c r="D1591" t="inlineStr">
        <is>
          <t>家畜化(4%)；家畜小屋(3%)；家畜用；家畜市場；家畜飼料</t>
        </is>
      </c>
      <c r="E1591" t="inlineStr">
        <is>
          <t>畜類</t>
        </is>
      </c>
      <c r="F1591" t="inlineStr">
        <is>
          <t>家畜番；家畜商人；家畜ども；家畜群；食用家畜</t>
        </is>
      </c>
      <c r="G1591" t="inlineStr">
        <is>
          <t>家畜伝染病予防法；家畜伝染病；家畜商；家畜車；家畜人ヤプー</t>
        </is>
      </c>
      <c r="H1591" t="n">
        <v>29</v>
      </c>
      <c r="I1591" t="inlineStr">
        <is>
          <t>症状は、皮膚が露出した箇所のある家畜・家禽にも見られることがある。；また紀元前4000年紀後半には家畜化されていたと考えられている。；彼の影響で、イギリスの農民は主に肉用に家畜を繁殖させるようになった。；その野生体は中央大陸の海族が古くから家畜として用いてきたものである。；またよく人家にも侵入し、その場合は人間や家畜が攻撃の対象となる。；この植物の葉を食べることができる家畜はヤギのみだともいわれる。；家畜の品種改良と同様に人も人為選択によって社会が進化すると考えた。；家族で農場を経営していたため、幼い頃は家畜の世話を手伝っていた。；また、化学肥料の普及や使役用家畜の消滅も里山の経済価値を失わせた。；家畜が主人である我々のために貢献するのは、当然のことである。；ラクダを最初に家畜化したのは古代のアラム人ではないかと考えられている。；さらに、人間のみならずペットや家畜などの動物に関しても用いられる。；コイは自らも家畜を所有していたため、サンのように移動はできない。；家畜生産量でも国内で最大級であり、牛が最も収益を上げる生産物である。；オーストラリアの家畜の被害のいくらかは、この生物の仕業だとされている。；また、原因不明の病気にかかった家畜の肉は食べないようにすることである。；家畜がワラビを大量に食べて中毒死したのがきっかけで発見された。；その野生体は中央大陸の虫族が古くから家畜として共生してきたもの。；人間に直接に加害するものはいないが、家畜や家禽につくものがある。；火山灰などに汚染された植物を食べた家畜が死亡するようになった。；大型哺乳類のうち家畜化できたといわれているのは15種程度と言われている。；一方、村でもギャオスのために家畜が全滅し、深刻な被害が地元を襲う。；もし見知らぬ人が入ると、母親の家畜の乳が出なくなると考えている。；家畜馬全体で支配的なHT1と呼ばれるハプロタイプの混入もなかった。；この風景は森林破壊の結果であり、家畜を飼うことで維持されている。；馬の去勢は、馬を家畜化した頃から行われていたとされている。；ベースとなった野生体は中央大陸の鳥族が古くから家畜として利用してきたもの。；この攻撃が、南東部の入植者が持つ家畜を対象にした報復攻撃を促した。；東国では武士団の勃興に伴い馬が主体の家畜構成になったと考えられている。</t>
        </is>
      </c>
      <c r="J1591">
        <f>HYPERLINK("https://www.weblio.jp/content/家畜", "词义详情")</f>
        <v/>
      </c>
      <c r="K1591">
        <f>HYPERLINK("https://yourei.jp/家畜", "查看例句")</f>
        <v/>
      </c>
    </row>
    <row r="1592">
      <c r="A1592" t="inlineStr">
        <is>
          <t>勝ち組</t>
        </is>
      </c>
      <c r="B1592" t="inlineStr">
        <is>
          <t>成功</t>
        </is>
      </c>
      <c r="C1592" t="inlineStr">
        <is>
          <t>読み方：かちぐみ
勝負事に勝ったり、事業などで成功した者。人生の競争で望んだ地位や財産を得た者。→負け組</t>
        </is>
      </c>
      <c r="D1592" t="inlineStr">
        <is>
          <t>レギュラー；一軍；一流；エリート；大家</t>
        </is>
      </c>
      <c r="H1592" t="n">
        <v>29</v>
      </c>
      <c r="I1592" t="inlineStr">
        <is>
          <t>たったいまこいつを褒めたこの俺は、勝ち組なんかじゃないわけだしな。；勝ち組と負け組のいる人生の縮図がこの小さな教室の中に広がっている。；また、勝ち組一世の子供の世代の認識が問題にされることもある。；経営改革を進めて、業界の勝ち組に名を連ねることを目指した。；僕は自分が勝ち組だなんて思ったこと、現実世界でも加速世界でも、ただの一度もない。；舞子伯母は五浦家の長女で、親族の中では一番の勝ち組と言っていい。；ずる賢い人、頭でっかちの人、うぬぼれた人には、勝ち組の人生はない。；これはブラジルの〝勝ち組〟の場合とまったく同じである。；たぶん俺ら、今年の一年生の中じゃナンバーワンの勝ち組だぜ。；なにあのクラスの勝ち組グループの輪に紛れ込んじゃったよーな居心地の悪さ。；キリスト教宣教師のなかにまで〝勝ち組〟がいたというから、驚かざるをえない。；あそこでは 俺は勝ち組なんだ!；SINはおれのまわりにいる数すくない勝ち組のひとりだが、もうおれたちの生きている世界には、真の勝者などいなくなってしまったとおれは思う。；覚えてやがれ、馬鹿共が、てめーらは将来俺様に使われることになるんだよ、人生的には俺は勝ち組、お前ら負け犬。；結婚して子供もでき、家を建てた勝ち組。；しかもこの〝勝ち組〟は清国の勝利を信じて疑わなかったのだ。；僕は「勝ち組」に入ったはずじゃなかったのか。；どんな形であれ、当時の台湾人ホステスの中では、数少い勝ち組の一人と言えよう。；年配の人も、今の若い人の感性を知りたいというのが勝ち組の人の考え方なので、来てくれると。；現に〝勝ち組〟はブラジルばかりでなく、南米の日本人移住地にはたいてい発生している。；勝ち組に追われた武者のひとりが戦場を逃がれ、とある農家に救いを求めた。；勝ち組の議長は村人にうさん臭い目で見られるだろうし、後をつけられて行動を逐一監視されるだろう。；彼女は何事に付けても勝ち組で、母モナのお気に入りな兄ダリアンを疎ましく思っている。；「人生の勝ち組」って言葉を、最近よく耳にするけど、私たちはいつでも勝ってなきゃいけないのか?；苦労している分、勝ち組になりたい。；そんな語呂合わせだけならよかったのかもしれませんが、勝ち組は腹いせに負け組のリーダーたちを襲ったのです。；だからリピーターであるとかないとか言う前に、さっきの例で言えば、お前は元から、この世の中で少数の、勝ち組に属するほうの人間なんだよ。；生まれ変わった自分がこれからようやく人生の勝ち組に入れると思ったその時、彼の前に銀髪でお金持ちの超絶イケメンが現れた。；勝ち組の人々は、紀元節を祝い教育勅語を読むなど戦前のままの思想・教育を続けており、ペルー政府からも懸念されていたという。</t>
        </is>
      </c>
      <c r="J1592">
        <f>HYPERLINK("https://www.weblio.jp/content/勝ち組", "词义详情")</f>
        <v/>
      </c>
      <c r="K1592">
        <f>HYPERLINK("https://yourei.jp/勝ち組", "查看例句")</f>
        <v/>
      </c>
    </row>
    <row r="1593">
      <c r="A1593" t="inlineStr">
        <is>
          <t>勝ち抜く</t>
        </is>
      </c>
      <c r="B1593" t="inlineStr">
        <is>
          <t>成功</t>
        </is>
      </c>
      <c r="C1593" t="inlineStr">
        <is>
          <t>読み方：かちぬく
［動カ五（四）］
１次々に相手を破って、勝ち進む。「—・いて優勝する」
２最後まで戦いぬいて勝つ。「苦しい戦いを—・く」</t>
        </is>
      </c>
      <c r="D1593" t="inlineStr">
        <is>
          <t>勝ち進む；勝ち上がる；勝ち続ける</t>
        </is>
      </c>
      <c r="H1593" t="n">
        <v>29</v>
      </c>
      <c r="I1593" t="inlineStr">
        <is>
          <t>血で血を洗い勝ち抜いて来たこの人物の最後の仕あげが家康なのである。；だが他の国の予選を勝ち抜いて出場したチームは今のところいない。；この困難な戦いを勝ち抜くためにも、国王は英雄でなければならないのだ。；開催国のイタリアも本大会に出場するには予選を勝ち抜く必要があった。；各都道府県連盟の選抜チームが地域予選を勝ち抜いて本大会へ進出する。；何人っていう女の中から勝ち抜いて、こうして妻の座を手に入れたんだわ。；追い込まれて勝負を仕掛けた方が、勝負に勝ち抜くなど希有の話だった。；たとえ魚雷が残り一発でも、想像外の方法で勝ち抜いてくると信じている。；開催地推薦、各ブロック予選を兼ねた大会で勝ち抜いた8チームが出場。；U-15大会同様各地区協会ごとに予選を行い、勝ち抜いた選手が出場。；予選では勝ち抜いた参加者が席を持ち続け、次回次の挑戦者と対戦する。；本大会には開催国と予選を勝ち抜いた7チーム、合計8チームが参加する。；李白さんが与える試練を勝ち抜いた者だけが、本を一冊もらう権利を得る。；厳しい審査を勝ち抜いてきた、どの子もいずれも劣らない強者たちです。；その厳しい戦いを勝ち抜いてきた八名の出場者をこれからご紹介したいと思います!；予選を勝ち抜いて決勝トーナメントに進出した10チームはで表した。；八人に勝ち抜いたところで、さすがにナシアスの息が上がっていた。；この年は県予選を勝ち抜いた箕島高が甲子園春夏連覇を果たしている。；ノックアウト方式の予選を勝ち抜いた16チームが本大会に出場した。；人型戦闘兵器が封印されたカードを使用し戦いを勝ち抜いていく主人公たちの姿を描く。；ただしそこに到達するまでは厳しい競争に勝ち抜く必要があった。；予選では東西各3ブロックで争われ、勝ち抜いた各3名が出場権を得る。；大会に出場するには各地区の予選を勝ち抜く必要がある。；各都道府県予選を勝ち抜いた、以下の代表校男女各52チームが出場する。；そのためだけでも、この戦争は勝ち抜くだけの価値があるのだ。；各地域の予選を勝ち抜いたクラブが本大会に出場した。；二部リーグの上位争いを勝ち抜いて昇格したんだから。；予選を勝ち抜いて決勝トーナメントに進出したチームはで表した。；なお、この3人のうち最終的に大統領選挙を勝ち抜いたのはムルジであった。</t>
        </is>
      </c>
      <c r="J1593">
        <f>HYPERLINK("https://www.weblio.jp/content/勝ち抜く", "词义详情")</f>
        <v/>
      </c>
      <c r="K1593">
        <f>HYPERLINK("https://yourei.jp/勝ち抜く", "查看例句")</f>
        <v/>
      </c>
    </row>
    <row r="1594">
      <c r="A1594" t="inlineStr">
        <is>
          <t>勝ち負け</t>
        </is>
      </c>
      <c r="B1594" t="inlineStr">
        <is>
          <t>成功</t>
        </is>
      </c>
      <c r="C1594" t="inlineStr">
        <is>
          <t>読み方：かちまけ
勝つことと負けること。勝敗。勝負。「—を争う」「—がつく」</t>
        </is>
      </c>
      <c r="D1594" t="inlineStr">
        <is>
          <t>勝敗；雌雄；優劣；高下；優り劣り</t>
        </is>
      </c>
      <c r="H1594" t="n">
        <v>29</v>
      </c>
      <c r="I1594" t="inlineStr">
        <is>
          <t>芝居の結果に勝ち負けをつけるなんて、そううまくいくものじゃないの。；最初から半分勝ってると、勝ち負けなんかにはこだわらなくなるんだよ。；勝負において勝ち負けだけが全てではないこと最もよく知るチームである。；むかしのこととはいえ、賭け事の勝ち負けは根が残るもののようですね。；つまりはそう云うことで、どちらが正しいと云った勝ち負けはない。；コウモリは勝ち負けがなくなったことにがっかりして洞窟に帰っていった。；勝ち負けは別として結果を見ても、望ましい結果を得たとは云へなかつた。；勝ち負けの問題ではないのだろうが、どう見ても山下の敗北である。；これをとると、勝ち負けにかかわらず、 のカードが取った数だけ手に入る。；遠い未来のことは考えないようにしながら、一日の勝ち負けだけを確定させていく。；趣味である音楽に勝ち負けが無いことから、やたらとスポーツを愛している。；ゲームの勝ち負けで熱くなって、自分を負かした相手を殴りつけるのだ。；あたしはもう成人女子だから、恋愛を勝ち負けで考えるのは止めた。；こうなると勝ち負けすらも意識していないとさえいえる。；これでみるとおそらく卿は、死の直前までカードの勝ち負けを計算していたものと推定される。；そんな勝ち負けで二度ほど負けたそいつは、今工場のラインの保守をやっている。；五ドルチップの勝ち負けは問題でないくらいの額を勝負のときだけ使うのです。；とはいえ、勝ち負けを重視するタイプもいなくなったわけではない。；いつもいつも、物事を勝ち負けに持っていくのは、実はあなただってこと。；候補の青年に角力をとらせ、その勝ち負けではなく、腰の強さなどから選んだ。；また、勝ち負けに関係なく、最高得点者には個人賞が与えられた。；勝ち負けを争うスボーツの世界でも、心を開くことが重要であること。；それで、彼が殺される前にゲームでの勝ち負けの金高を計算していたものと推定された。；勝ち負け以前に、戦った経験のない人間の集団が集められた。；勝ち負けより、お互いの選手がグラウンドで倒れなければいいと思っていました。；話題を転じて、勝ち負けの面でも、流れがやや変ってきている。；だいたい子どもでもわかるような勝ち負けになんの意味がある?；両大国は勝ち負けのはっきりしない紛争の解決を強く望んでいた。；それにパチンコの勝ち負けを毎日記録するような臆病で几帳面なところも。</t>
        </is>
      </c>
      <c r="J1594">
        <f>HYPERLINK("https://www.weblio.jp/content/勝ち負け", "词义详情")</f>
        <v/>
      </c>
      <c r="K1594">
        <f>HYPERLINK("https://yourei.jp/勝ち負け", "查看例句")</f>
        <v/>
      </c>
    </row>
    <row r="1595">
      <c r="A1595" t="inlineStr">
        <is>
          <t>課長</t>
        </is>
      </c>
      <c r="B1595" t="inlineStr">
        <is>
          <t>成功</t>
        </is>
      </c>
      <c r="C1595" t="inlineStr">
        <is>
          <t>読み方：かちょう
官庁・会社などで、一つの課を統括・管理する職。また、その人。</t>
        </is>
      </c>
      <c r="D1595" t="inlineStr">
        <is>
          <t>課長さん；課長兼；課長級；課長時代；課長等</t>
        </is>
      </c>
      <c r="F1595" t="inlineStr">
        <is>
          <t>刑事課長；庶務課長；捜査課長；作戦課長；二課長</t>
        </is>
      </c>
      <c r="G1595" t="inlineStr">
        <is>
          <t>課長代理；課長島耕作；課長王子外伝</t>
        </is>
      </c>
      <c r="H1595" t="n">
        <v>29</v>
      </c>
      <c r="I1595" t="inlineStr">
        <is>
          <t>第26回は大会前にガソリンスタンドの課長に昇進していたことが判明。；企画宣伝課長・観光副部長・総合センター部長・常務取締役などを歴任。；今回の事件には課長が関わっているとし、課長は逮捕されてしまう。；スズライトなどの開発にも携わった稲川誠一が担当の設計課長となった。；同部隊がボラユル軍団として再編された際も作戦課長の任務を継続した。；本来の目的は課長と不倫中の女性・YOU子をカキタレにすることである。；その後フロント入りし、球団運営部査定室主任や編成調査室課長を歴任。；神は軍令部との交渉に入ったが、作戦課長富岡定俊少将は反対であった。；帝都復興局建築部公園課長に就任した折下吉延らは東京に三大公園を設置。；陸軍の枢要である軍務局軍事課長を真崎はわずか1年しか務めなかった。；課長が流しの思い出を話したことから、電話で流しを呼ぶことに。；元指導課長らはその後起訴され、鹿児島地方裁判所で有罪判決を受けた。；また同市では2017年度現在弁護士が常勤職員で課長を務めている。；また体育学校第二教育課長の高長信吉からは教官になるように勧められていた。；なお、中隊以上の部隊編成がなされておらず、いきなりその上には課長がいる。；また官公庁では課長の下に課長補佐あるいは課長代理を置くところもある。；このテロ事件を受け井上総監は一課長を通し現場の全面捜査指揮を担う。；審議会の第4回総会では、東京電力の営業課長が画標制度の説明をした。；芸名はデビューしたこの時に当時の日活の俳優課長、佐藤圓治が名付けた。；税制改正が盛んだった80年代後半辺りには主税局で課長職を務める。；元課長は融資の見返りに取引先から約2億円のリベートを受けていた。；その後本社に戻り、1969年から旅客局で設備課長の職に就いた。；部長又は課長の職責にある者が想定され、資格を必要とする。；そこの課長の石原莞爾大佐がひとりでふらふらとやってきました。；宣言文の翻訳に当たったのは条約局第一課長下田武三であった。；本人は後に、国税課長昇進が蔵相就任時よりも嬉しかったと述懐している。；初代舎長は陸軍省会計局第二課長であった川口武定二等監督が補職された。；酔っていたとはいえ了承してしまい、課長は上層部に事案として上げる。；課によっては課長以下全員が一般職員となるケースも存在する。</t>
        </is>
      </c>
      <c r="J1595">
        <f>HYPERLINK("https://www.weblio.jp/content/課長", "词义详情")</f>
        <v/>
      </c>
      <c r="K1595">
        <f>HYPERLINK("https://yourei.jp/課長", "查看例句")</f>
        <v/>
      </c>
    </row>
    <row r="1596">
      <c r="A1596" t="inlineStr">
        <is>
          <t>且つ</t>
        </is>
      </c>
      <c r="B1596" t="inlineStr">
        <is>
          <t>成功</t>
        </is>
      </c>
      <c r="C1596" t="inlineStr">
        <is>
          <t>読み方：かつ
［副］
１（「…かつ…」または「かつ…かつ…」の形で）二つの行為や事柄が並行して行われることを表す。一方では。「—飲み、—歌う」
２ちょっと。わずかに。
「陸奥(みちのく)の安積(あさか)の沼の花がつみ—見る人に恋ひやわたらむ」〈古今・恋四〉
３そのそばから。すぐに。
「駒の跡(あと)は—降る雪に埋もれて遅るる人や道まどふらむ」〈千載・冬〉
［接］ある事柄に他の事柄が加わることを表す。そのうえ。それに加えて。「講演はおもしろく—有意義だった」</t>
        </is>
      </c>
      <c r="D1596" t="inlineStr">
        <is>
          <t>且つ最も；且つ又；且つ深く；且つ深い；且つ迅速</t>
        </is>
      </c>
      <c r="E1596" t="inlineStr">
        <is>
          <t>また；かつ；加えて；又；合わせて</t>
        </is>
      </c>
      <c r="F1596" t="inlineStr">
        <is>
          <t>飲み且つ；深く且つ；なほ且つ；読み且つ；愛し且つ</t>
        </is>
      </c>
      <c r="H1596" t="n">
        <v>29</v>
      </c>
      <c r="I1596" t="inlineStr">
        <is>
          <t>この報告は、努めて厳正に且つ自由になされなければならぬと私は思ふ。；ただ、これらはいずれも小規模且つ軍事拠点を目標にしたものであった。；研究者は、効果が高く且つ副作用が少ない治療法の研究を続けています。；しかしこの考えは根拠が唯一且つ情報が曖昧であることから正確ではあるまい。；自分はそれを信じ且つ深く頷く、うなづきつつどこか不滿なものがある。；その間に常識が発達して且つ円満にあらゆる方面に働いたのである。；日本人は進みながらもなお且つ自分の道を疑い怖れて、前後を顧慮している。；三相交流誘導電動機を採用することで高出力化、且つ整備費を減らした。；神を信ずるよりも母を信ずる方が子供に取っては深く、且つ強いのである。；ナットが最も利用され且つ活躍したのはインド空軍においてであった。；鼻は、鼻眼鏡をかければかけられなくもないほど高く、且つ大きかつた。；且つ鉛筆の色はどんなに巧みに書いても到底チヨークの色には及ばない。；彼女は今一人の女よりはずつと若く且つ美人で、態度や容姿が粋であつた。；決勝では9秒80のイタリア記録且つヨーロッパ記録を樹立して優勝。；この髭も亦『猫』の中で問題にされ、且つからかはれてゐるものである。；けれども古い且つ廣い國のことですから、稀には不心得者もあります。；お桐はそれを読んで始めて事情を知り非常に驚き且つ悲しんだ。；且つまた人生の運命は決して単純なものではない。；III 全国民は直接戦争に参加し、且つ戦闘員は個人を単位とす。；大規模且つ一般的な戦場での兵器としては、第一次世界大戦での使用が最も新しい。；その建物は新しく、日本では最善且つ最大で、一千五百人を収容することが出来る。；特に組織の名前が視覚的に覚えやすいよう、シンプル且つ鮮明に作られる。；トンネルが長くなるに連れ、作業を容易且つ安全に行えるように数多くの技術発明がなされた。；いつでの救護活動が可能とするため、且つ、家族への感染を防ぐためである。；將來の可能を信じ且つ望むといふ意味に於いてのアイディアリストである。；其如く僕は故郷の大島小學校を愛し且つ其出身たることを誇るのです。；日本に於いては、巫女の勢力の盛んであつた時代が古く且つ長い。；私は素直に且つ明確に、日本の生活のこの一面を説明した。；仕事熱心で俊足、力があり且つ暑さに強い犬を目指して作られた。</t>
        </is>
      </c>
      <c r="J1596">
        <f>HYPERLINK("https://www.weblio.jp/content/且つ", "词义详情")</f>
        <v/>
      </c>
      <c r="K1596">
        <f>HYPERLINK("https://yourei.jp/且つ", "查看例句")</f>
        <v/>
      </c>
    </row>
    <row r="1597">
      <c r="A1597" t="inlineStr">
        <is>
          <t>勝つ</t>
        </is>
      </c>
      <c r="B1597" t="inlineStr">
        <is>
          <t>成功</t>
        </is>
      </c>
      <c r="C1597" t="inlineStr">
        <is>
          <t>読み方：かつ
《動詞「勝つ」を名詞として用いたもの》歌合わせなどに勝つこと。
「よろづ皆おしゆづりて、左—になりぬ」〈源・絵合〉</t>
        </is>
      </c>
      <c r="D1597" t="inlineStr">
        <is>
          <t>勝つだろ；勝つか負ける；勝つべき；勝つ可能性；勝つべく</t>
        </is>
      </c>
      <c r="E1597" t="inlineStr">
        <is>
          <t>優勝；勝利；得る；受賞；倒す</t>
        </is>
      </c>
      <c r="F1597" t="inlineStr">
        <is>
          <t>戦って勝つ；うち勝つ；きっと勝つ；かならず勝つ；勝つとか負ける</t>
        </is>
      </c>
      <c r="H1597" t="n">
        <v>29</v>
      </c>
      <c r="I1597" t="inlineStr">
        <is>
          <t>そのレースで最も勝つ可能性が高いと考えられる競走対象に付けられる。；特に毎日王冠は数多くの実力馬が勝ってきていることでも知られている。；うちの馬ではあまり勝っていなくて、私は口うるさいだけの師匠でした。；ひとつでいいから勝たせてあげたかった、とみんな思っているのである。；昔、相手をしてもらったことがあるけど、あれは勝たせてくれたのかな。；戦争が勝とうが負けようが勝呂にはもう、どうでも良いような気がした。；翌年以降は再び故障がちになり低迷し一度も勝てず、限りで現役を引退。；さらにランの防衛戦にも勝ったため、この日の放送では優勝を果たした。；これに勝てば彼は世界中から最高の130ポンドだと認められるだろう。；この秋の開催では2度優勝戦に出走をするもののどちらも勝てなかった。；ウィントンが勝てなかったレースで歴史的な意味をもつものが2つある。；これは僕ひとりの勝利ではなく長年やってやっと勝てたんですから。；勝つためには手段を選ばず、二重三重のトリックで相手を欺くのが得意。；こちらの不意を討って楽な戦いをして楽に勝とうと心組んで来た上総勢だ。；ダイシンボルガードが勝った東京優駿は以下のエピソードで有名である。；勝負は勝たなくともよい、負けなければよいのだ、が大山の哲学である。；その豪快な試合運びから、勝っても負けても会場を沸かせる選手である。；どちらが勝とうが負けようが、何の意味もないことをいまでは知っていた。；これで七番勝負の流れが変わり、続く第4、5局も勝って3連勝とした。；しかし年齢には勝てず、多くの人々に惜しまれながら眠るように死んだ。；負けた市は勝った市のPRポスターを1年間掲示することになっている。；勝たせてもらったようなものだということにも気付かんのか愚か者が!!；そうでない場合はリードと同じスートの最強のカードを出した人が勝つ。；そういう意味ではアルクェイドとかが勝たなくてよかったかもしれないな。；一方、昭和に記録された新しい伝説では江古田村は勝った側に関わっている。；レースで勝つためには良い車だけでなく道路に応じた賢い運転が必要である。；そして僕もこの方が一泊するに足りさうだと云ふ豫想にうち勝たれた。；クラッドバスターは走行性能では負けていても美しさでは勝っている。；まるで、競歩レースに勝とうと思って歩いているような足どりだったよ。</t>
        </is>
      </c>
      <c r="J1597">
        <f>HYPERLINK("https://www.weblio.jp/content/勝つ", "词义详情")</f>
        <v/>
      </c>
      <c r="K1597">
        <f>HYPERLINK("https://yourei.jp/勝つ", "查看例句")</f>
        <v/>
      </c>
    </row>
    <row r="1598">
      <c r="A1598" t="inlineStr">
        <is>
          <t>学科</t>
        </is>
      </c>
      <c r="B1598" t="inlineStr">
        <is>
          <t>成功</t>
        </is>
      </c>
      <c r="C1598" t="inlineStr">
        <is>
          <t>読み方：がっか
１教授上・研究上から設けた学問の科目。「専門の—」「建築—」
２学校教育における教科。「国語や算数などの—」
３専門技術や資格を修得する分野で、理論・法規などを学習する課程。実技に対していう。「運転免許の—試験」</t>
        </is>
      </c>
      <c r="D1598" t="inlineStr">
        <is>
          <t>学科卒業(7%)；学科試験(3%)；学科教授(3%)；学科及び実技試験；学科名</t>
        </is>
      </c>
      <c r="E1598" t="inlineStr">
        <is>
          <t>分野；科；プロ；コース；フィールド</t>
        </is>
      </c>
      <c r="F1598" t="inlineStr">
        <is>
          <t>英語学科；同学科；数学科；言語学科；学部学科</t>
        </is>
      </c>
      <c r="G1598" t="inlineStr">
        <is>
          <t>学科目；学科主任；学科課程；学科制；学科目制</t>
        </is>
      </c>
      <c r="H1598" t="n">
        <v>29</v>
      </c>
      <c r="I1598" t="inlineStr">
        <is>
          <t>学科には、教育と研究の双方を行うものと、教育のみを行うものがある。；多くの工業高等学校で設置されている学科には、次のようなものがある。；多くの商業高等学校で設置されている学科には、次のようなものがある。；多数の農業高等学校で設置されている学科には、次のようなものがある。；多くの水産高等学校で設置されている学科には、次のようなものがある。；学科教習第一段階は、道路上で運転するための基本的な知識を学習する。；該当する学歴と学科卒業レベルで実務後の経験年数を定め対応している。；いずれにしても以上の説明は、大学の学科紹介などからの抜粋である。；近年では商業高等学校の学科にもこの要素が含まれる学科が登場している。；学科毎の合格点は明示されていないが、試験を受けることが必須である。；なおこの高校には普通科とファッション文化科の二つの学科がある。；特に2010年に豊橋では学科再編が行われたため、違いが増えてきた。；さらに経理部では採用資格条件となる学科の範囲を従来より広げた。；ただし、普通の兵士には受けられない法規などの学科を学び、修得した。；各本部は各学科ごとに構成されている「学科統一本部」と活動を共にする。；一人あたりの求人数は5学科の中で最も多く、また企業からの評価も高い。；この時の学科試験で今村と机が一緒になったのが本間雅晴であった。；多くの大学で広告が研究され、広告学部や広告学科なども存在する。；関西学院大学神学部のように、学科を置いていない学部も稀に存在する。；学生の所属はないが、上記学科の他に一般教養科目を担当する一般科があった。；現在の授業はカレッジではなく、学部・学科が中心となって行われる。；この学科体制および呼称名は全国の短大でも珍しい例だといえる。；なお、普通科以外の学科や専門高校は居住地を問わず進学可能であった。；このようにして建築経済学は、建築学の基礎学科の一つに属している。；したがって、経営工学は学科の枠を超えた知識も必要とされている。；学科の構造は特に伝統的な大学では長い年月をかけて堅固に確立されたものである。；設置学科には普通科の他に、2002年に新設された環境防災科がある。；以上の全学科は、まとめて「普音科・英数科・高等部」と並び称される。；総合政策学科では、政府や地方公共団体の構が果たす役割と機能を理解。</t>
        </is>
      </c>
      <c r="J1598">
        <f>HYPERLINK("https://www.weblio.jp/content/学科", "词义详情")</f>
        <v/>
      </c>
      <c r="K1598">
        <f>HYPERLINK("https://yourei.jp/学科", "查看例句")</f>
        <v/>
      </c>
    </row>
    <row r="1599">
      <c r="A1599" t="inlineStr">
        <is>
          <t>学会</t>
        </is>
      </c>
      <c r="B1599" t="inlineStr">
        <is>
          <t>成功</t>
        </is>
      </c>
      <c r="C1599" t="inlineStr">
        <is>
          <t>読み方：がっかい
それぞれの学問分野で、学術研究の進展・連絡などを目的として、研究者を中心に運営される団体。また、その集会。「物理—」</t>
        </is>
      </c>
      <c r="D1599" t="inlineStr">
        <is>
          <t>学会会長(8%)；学会理事(4%)；学会賞；学会副会長；学会会員</t>
        </is>
      </c>
      <c r="E1599" t="inlineStr">
        <is>
          <t>アカデミー；翰林院</t>
        </is>
      </c>
      <c r="F1599" t="inlineStr">
        <is>
          <t>所属学会；同学会；医学会；研究学会；史学会</t>
        </is>
      </c>
      <c r="G1599" t="inlineStr">
        <is>
          <t>学会員；学会発表；学会専門医；学会認定専門医；学会認定医</t>
        </is>
      </c>
      <c r="H1599" t="n">
        <v>29</v>
      </c>
      <c r="I1599" t="inlineStr">
        <is>
          <t>そこで大学院での数学研究の学会立ち上げの仕事を与えられ大成功した。；国王は名称の利用を認めただけで学会の運営は国王とは独立していた。；その専門分野に学会が存在すれば必ず専門の雑誌があると言ってよい。；この定義はアメリカ家政学会の影響を強く受けたものといわれている。；そのような時代の下、日本では1950年に日本道教学会が設立された。；また各地に学会ができ、各研究者の成果を共有できたことも大きい。；そのようなグループは次第に組織化されて学会となっていった。；その後にイタリアに作られた学会はこの伝統ある名称をしばしば引き継いだ。；準会員は天文学会の目的に賛同し協力する会員であり、資格を問わない。；アメリカの学会で付けられた名称であり当時のフランスではあまり用いられなかった。；学会がその分野に著しい貢献があった者に授与する称号でもある。；また学会の運営や研究・教育上の諸問題を話し合うための会議が行なわれる。；旧来より、米国リウマチ学会の分類基準が、広く一般的に使われている。；太陽面通過の観測には成功したものの学会には認められなかった。；各専門学会に入会できるのは、これらBoardを取得した者のみである。；日本建築学会会長歴任者など、日本建築学会に貢献した人物が選ばれる。；しかし、韓国歴史学会では古代の韓国から日本へ伝わったと主張しているが明確な証拠は無い。；学会の詳細な活動状況は不明ながら、会自体は存続している。；このような学会は自ら企画して実験や観測を行った。；イギリスに戻った後、イギリスおよびアイルランド考古学会の会長を務めた。；同じ学会が発行する雑誌同士であっても、審査の厳しさが異なる場合がある。；その経過は学会で報告され、本人側の記録も木内の著書として刊行されている。；スポーツ社会学会の研究年報で、山本のスポーツ論が述べられている。；この結果二人は透視能力の確実を確信し学会にも報告した。；また、同学会では集まったファン達を「イソニアン」と呼称していた。；この分野は学術的な調査が進行している状況であり、学会の統一された見解は存在しない。；また、同じ学会が発行する雑誌であっても、雑誌によって異なる場合がある。；学会の定款や規則は、日本天文学会ホームページなどに掲載されている。；医師の内、規定学会の単位および試験に合格した者に専門医資格が付与される。</t>
        </is>
      </c>
      <c r="J1599">
        <f>HYPERLINK("https://www.weblio.jp/content/学会", "词义详情")</f>
        <v/>
      </c>
      <c r="K1599">
        <f>HYPERLINK("https://yourei.jp/学会", "查看例句")</f>
        <v/>
      </c>
    </row>
    <row r="1600">
      <c r="A1600" t="inlineStr">
        <is>
          <t>がっかり</t>
        </is>
      </c>
      <c r="B1600" t="inlineStr">
        <is>
          <t>成功</t>
        </is>
      </c>
      <c r="C1600" t="inlineStr">
        <is>
          <t>［副］(スル)
１望みがなくなったり、当てが外れたりして、気力をなくすさま。「遠足が中止になって—する」
２ひどく疲労するさま。がっくり。
「一日起ち続けで日が暮れると—して座睡(いねむり)が出てくる」〈魯庵・くれの廿八日〉</t>
        </is>
      </c>
      <c r="D1600" t="inlineStr">
        <is>
          <t>がっかりする(11%)；がっかりしまし(2%)；がっかりさせる；がっかりなさる；がっかりさせたく</t>
        </is>
      </c>
      <c r="E1600" t="inlineStr">
        <is>
          <t>ブルー；失意；がっくり；嘆息；幻滅</t>
        </is>
      </c>
      <c r="F1600" t="inlineStr">
        <is>
          <t>少しがっかり；ひどくがっかり；少々がっかり；とてもがっかり；いささかがっかり</t>
        </is>
      </c>
      <c r="H1600" t="n">
        <v>29</v>
      </c>
      <c r="I1600" t="inlineStr">
        <is>
          <t>私はすっかりがっかりしてしまって何もかもたまらなくいやになるんだ。；じつをいうと、わしはこれのようすに、ちょっとがっかりしておるのだ。；約束の時間が過ぎるまで、私はがっかりした気持で黙ってすわっていた。；もはや自分が許しがたい人間になってしまったと、豹一はがっかりした。；だが水面を切りさいて進んでくるひれがひとつもないのでがっかりした。；がっかりしないように、データを示して説明してやってくれたまえよ。；ホームズがこれほど気が沈んでがっかりしているのを見たことがなかった。；何処のお母さんだって子供の成績が悪くなったらがっかりするわね。；できあがったのを見ると、頼んだようにできていないので、がっかりだ。；みんな使うと、私が、がっかりするとでも思って居られるのでしょうか。；がっかりしながら彼は迷路のような墓標の間をとぼとぼと外にもどった。；一人あとに残された新吉はがっかりしてその場につっ立っていました。；人にこだわりながら花見をして帰ると頭が疲れてがっかりしたものである。；二人はたいへんがっかりして、捕らえた魚を河へ捨ててしまいました。；きみにもわかるだろうが、ぼくはとてもがっかりして歩きつづけた。；だから、その人だって、私の写真を見て、さぞがっかりしたことだろう。；いきなり頭をお下げになられたときは、がっかりしてしまいましたわ。；その謎の車がわき道や家の車道へ入っていってしまうとがっかりしたものだ。；当なく憤然としたような感情が、彼に、年寄のがっかりさを忘却させた。；翌る日も、ますますがっかりするだけで、何一つ得るところはなかった。；ひどく青ざめてみえたが、少しもがっかりしているようではなかった。；お姉さんからほかのを買ってもらったが、がっかりしてしまいました。；女中のようすがあまりにまともだったので、タッペンスはがっかりした。；コウモリは勝ち負けがなくなったことにがっかりして洞窟に帰っていった。；警視総監は、がっかりした様子で椅子を離れると、部屋から出ていった。；その疲労が一度に打って出たとみえて、急にがっかりしてしまったのです。；ここがそんないいところなら、なぜ、そんなにがっかりすることがあるだ?；あすまたあたしに会えると思ってるんですもの、とてもがっかりするわ。；あたしはしばらくの間がっかりしてしまって、長いこと自分自身に罪を求めたの。</t>
        </is>
      </c>
      <c r="J1600">
        <f>HYPERLINK("https://www.weblio.jp/content/がっかり", "词义详情")</f>
        <v/>
      </c>
      <c r="K1600">
        <f>HYPERLINK("https://yourei.jp/がっかり", "查看例句")</f>
        <v/>
      </c>
    </row>
    <row r="1601">
      <c r="A1601" t="inlineStr">
        <is>
          <t>活気</t>
        </is>
      </c>
      <c r="B1601" t="inlineStr">
        <is>
          <t>成功</t>
        </is>
      </c>
      <c r="C1601" t="inlineStr">
        <is>
          <t>読み方：かっき
生き生きとした気分。生気。「—のある教室」「—にあふれる」</t>
        </is>
      </c>
      <c r="D1601" t="inlineStr">
        <is>
          <t>活気づける；活気あふれる；活気溢れる；活気付け；活気付い</t>
        </is>
      </c>
      <c r="E1601" t="inlineStr">
        <is>
          <t>力；エネルギー；元気；興奮；色彩</t>
        </is>
      </c>
      <c r="F1601" t="inlineStr">
        <is>
          <t>明るく活気；新鮮な活気；少しずつ活気；若々しい活気；華やかな活気</t>
        </is>
      </c>
      <c r="G1601" t="inlineStr">
        <is>
          <t>活気づく；活気づき；活気づけ；活気づか；活気横溢</t>
        </is>
      </c>
      <c r="H1601" t="n">
        <v>29</v>
      </c>
      <c r="I1601" t="inlineStr">
        <is>
          <t>彼の顔は自分が感動した光景や書物のことを話しながら活気だってきた。；これまでの地獄のような都市とは違い、住民と産業には活気が見られた。；そういうところでは人間の動きが目に立って、一層活気があふれていた。；タバコの栽培が盛んであり、煙草を扱う市場もある活気のある町である。；商店街としての規模は大きくはないが活気に満ちた店舗が展開している。；確信は確信に伴う勢いと活気を用いて、想像を満足させるに違いない。；次第に私はそのあたりが新しい活気を帯びて来たことを覚えている。；活気を失いつつあった小さな町に希望をもたらした奇跡の物語である。；風景の中に街で生活する人々を描き作品に活気を与えたことも好評であった。；暗くてその笑い顔は見えないけれども、彼は満足であるし活気に満ちていた。；そのような人々は、他の人の周りにいるときに活気づけられる傾向がある。；大きな貨物船が頻繁に出入りし、また、労働者も多く活気に満ちている。；ある8月の最後の日、活気あるロンドンの街はすべてが変わってしまった。；既に証明されたように、確信は通常、観念の活気に存するに他ならない。；彼らは特に奇形に興味を持ち非常な初期から人々の想像を活気づけた。；現在は、地場の魚の特産化や高級化で活気がある漁港が数多く存在する。；一と通り通したが役者の活気が出たし、大丈夫のものになったやうである。；岩田氏のあの会を機会に、挿絵界は、新たな活気を呼ぶものと信じたい。；非常に活気があった陶芸の工房跡で証明されたように、小さな町ができた。；「ボストンは、ひどく活気のない街に見えるだろうな」彼はそういった。；この成功に活気付けられて任天堂はすぐに北米市場への進出を考えた。；現在では周囲の町を併合してトースハウンは活気のある町へと成長している。；思想界に活気を与えながら、すぐにまたそれにも厭気がさしていた。；このことは、この新しい海水浴地を大いに活気づけることにつながった。；また同時に若い作家を起用してコンテンツに活気を取り戻そうとした。；市は、19世紀半ばに新たな鉄道路が建設されたように活気に湧いた。；汚れて、生命がなくなっていた町が活気を取り戻し、成長する所となった。；むしろ、なにものも介在しない夫と妻の生活が彼女を活気づけていた。；水も遣らずに置いたのに、活気に満ちた、青々とした葉が叢がって出た。</t>
        </is>
      </c>
      <c r="J1601">
        <f>HYPERLINK("https://www.weblio.jp/content/活気", "词义详情")</f>
        <v/>
      </c>
      <c r="K1601">
        <f>HYPERLINK("https://yourei.jp/活気", "查看例句")</f>
        <v/>
      </c>
    </row>
    <row r="1602">
      <c r="A1602" t="inlineStr">
        <is>
          <t>学期</t>
        </is>
      </c>
      <c r="B1602" t="inlineStr">
        <is>
          <t>成功</t>
        </is>
      </c>
      <c r="C1602" t="inlineStr">
        <is>
          <t>読み方：がっき
学校で、1学年を区分した一定の期間。小学校・中学・高校では一般に3学期制、大学では2学期制が行われている。「—末試験」</t>
        </is>
      </c>
      <c r="D1602" t="inlineStr">
        <is>
          <t>学期末(13%)；学期中(5%)；学期ごと(4%)；学期試験(3%)；学期講義</t>
        </is>
      </c>
      <c r="F1602" t="inlineStr">
        <is>
          <t>夏学期；秋学期；冬学期；各学期；一学期</t>
        </is>
      </c>
      <c r="H1602" t="n">
        <v>29</v>
      </c>
      <c r="I1602" t="inlineStr">
        <is>
          <t>一九二六年四月から夏学期の半ばまでに何が起こったのかが問題である。；試験には間もなかつたが勉強のかひあつて次の学期には二番になつた。；滋一学期の成績を学校で聞いて来たとて、大喜びで玄関に入るなり言う。；だってこの問題、学期末に行われたどの教科のテストよりも難しいんだ。；学期の始まり際なので新らしい高等学校の帽子を被つた生徒が大分通る。；残りの週末を、ハリーは、今学期始まって以来の幸せな気分で過ごした。；当時キールティは学生だったため、撮影は学期休暇を使用して行われた。；なお、学期中の活動は最終下校時刻までに校門をでることとなっている。；ハリーは学期が始まってから一度も手紙を受け取っていなかった。；一九二六年四月から夏学期の半ばまでにいったい何が起こったのか。；でも、正式に学期が終るのを待ってから出発しないといけなかったの。；昭和二十七年になり、竜太たちは、中学生としては最後の学期に入った。；ただ、学期がはじまるまでにフランス語の会話を勉強しとこうと思ってね。；学期が終わる一週間前に行われる第三の課題を、だれもが心待ちにしていた。；宗助のここを訪問したのは、十月に少し間のある学期の始めであった。；学期末試験の結果次第ではその文句が俺の親にまで届きそうな按配だとよ。；それから一年後の一九一四年、彼はまた学期末の晩餐会に出席した。；「もうこの学期も終わりに近いなんて信じられないわ」とアンが言った。；二学期の学期末試験を終え、一週間の試験休みに入って数日経ったある日。；その代わり次の学期には算数で満点を取る約束をさせられたけどね。；秋学期には50カ国以上から2万5000人程の学生を受け入れている。；財政上の事情から、2014年の秋学期よりこのポリシーは変更された。；受けもった科目の平均点が各学期ごとに向上しない場合は減俸処分を受ける。；アナウンスされる文章は基本変わらないが、学期末は一部文章が追加される。；学期が変わって席替えも行われたが、ジュウの席の位置はそのままだった。；今は学期中だから特別な用事で帰省していないかぎりこちらにいるはずである。；学期はじめの体格検査の時に、アリーはふっくらしたお乳を私にみせた。；第一学年の第二学期からは級長に任ぜられ、以後在学中級長をつとめた。；小学校六年生の第一学期が今日終って、明日から夏休みだそうである。</t>
        </is>
      </c>
      <c r="J1602">
        <f>HYPERLINK("https://www.weblio.jp/content/学期", "词义详情")</f>
        <v/>
      </c>
      <c r="K1602">
        <f>HYPERLINK("https://yourei.jp/学期", "查看例句")</f>
        <v/>
      </c>
    </row>
    <row r="1603">
      <c r="A1603" t="inlineStr">
        <is>
          <t>楽器</t>
        </is>
      </c>
      <c r="B1603" t="inlineStr">
        <is>
          <t>成功</t>
        </is>
      </c>
      <c r="C1603" t="inlineStr">
        <is>
          <t>読み方：がっき
音楽演奏のために使用される器具。打楽器・管楽器・弦楽器・鍵盤(けんばん)楽器などがある。また、発音原理の違いにより、気鳴楽器・体鳴楽器・膜鳴楽器・弦鳴楽器・電鳴楽器の5種に分類される。</t>
        </is>
      </c>
      <c r="D1603" t="inlineStr">
        <is>
          <t>楽器店；楽器奏者；楽器ケース；楽器製造；楽器音</t>
        </is>
      </c>
      <c r="E1603" t="inlineStr">
        <is>
          <t>インストゥルメント；インストルメント；インスツルメント</t>
        </is>
      </c>
      <c r="F1603" t="inlineStr">
        <is>
          <t>様々な楽器；生楽器；各楽器；伝統楽器；担当楽器</t>
        </is>
      </c>
      <c r="G1603" t="inlineStr">
        <is>
          <t>楽器編成；楽器メーカー；楽器製作者；楽器法；楽器屋</t>
        </is>
      </c>
      <c r="H1603" t="n">
        <v>29</v>
      </c>
      <c r="I1603" t="inlineStr">
        <is>
          <t>本作では通常のバンド編成で使われる楽器から使う楽器の幅を広げている。；代わっていくつかの機能を備えた新しい楽器が開発されつづけている。；楽器の音階を決める穴配りと穴開けには高度の製作技術が必要とされる。；音具とは音を出す道具のうち、音が出るが楽器とは言いにくい物のこと。；楽器も手を深く入れた状態で正しい音程が取れるように設計されている。；以下の画像の楽器は18世紀フランス様式のものであり、後者に属する。；この楽器では普通の状態では自由に半音階を演奏することはできない。；サクソルン属の楽器の名称には国と時代により非常に大きな混乱がある。；この時の音源に楽器を追加するなどし2分半ほどの曲に仕上がっている。；かつてこの楽器には魔力があると信じられ、戦場の軍楽隊で使用された。；太平洋戦争のあとにも多数の楽器会社がリードオルガン製造を手がけた。；現在、ユダヤ人の伝統的楽器を用いて曲を復元する試みがなされている。；以来、リンゴはドラム以外の楽器に関心を示さなくなっていったという。；ただし良い音の出る楽器と木目の美しさにはかなり密接な関係がある。；さらに、成長に伴い使われる子供向けの楽器類なども玩具に相当する。；この時期にショパンがピアノ以外の楽器を演奏したという証拠がある。；非常に古い歴史を持つ楽器であり、起源はトランペットと共通である。；より古い楽器や西洋以外の擦弦楽器の弓はC字形をしているものが多い。；またコンサートでもこれらの楽器を演奏しながら歌っていた。；日本では、企業吹奏楽団は、楽器を趣味とする社員有志のクラブが多い。；古代ローマ時代には楽団の編成が、中世には楽器の種類・数量が増した。；それに対応するために楽器の構造や仕様に手が加えられた。；オーケストラの指揮もしなければ、公に楽器を演奏することもないのである。；このような響板装飾はイタリアの楽器には見られない特徴である。；なお、日本では福引の鐘としても知られるが、実際には別の楽器である。；中国伝統楽器を始めたきっかけはメンバーのほとんどが友達や周囲の影響だと答えている。；外観が似ているカータルという楽器が直接の祖先とする説が有力である。；現在バリトンという楽器は非常に珍しいため演奏される機会は少ない。；楽器に対しては距離をとり、一歩ほど引いた位置に立って紐を構えた。</t>
        </is>
      </c>
      <c r="J1603">
        <f>HYPERLINK("https://www.weblio.jp/content/楽器", "词义详情")</f>
        <v/>
      </c>
      <c r="K1603">
        <f>HYPERLINK("https://yourei.jp/楽器", "查看例句")</f>
        <v/>
      </c>
    </row>
    <row r="1604">
      <c r="A1604" t="inlineStr">
        <is>
          <t>画期的</t>
        </is>
      </c>
      <c r="B1604" t="inlineStr">
        <is>
          <t>成功</t>
        </is>
      </c>
      <c r="C1604" t="inlineStr">
        <is>
          <t>読み方：かっきてき
［形動］これまでとは時代をくぎるほど目覚ましいさま。新しい時代をひらくさま。エポックメーキング。「—な発明」</t>
        </is>
      </c>
      <c r="D1604" t="inlineStr">
        <is>
          <t>画期的な出来事(3%)；画期的な試み；画期的な発明；画期的な論文；画期的な成果</t>
        </is>
      </c>
      <c r="E1604" t="inlineStr">
        <is>
          <t>革命的</t>
        </is>
      </c>
      <c r="F1604" t="inlineStr">
        <is>
          <t>非常に画期的；史上画期的；当時画期的；極めて画期的；最も画期的</t>
        </is>
      </c>
      <c r="H1604" t="n">
        <v>29</v>
      </c>
      <c r="I1604" t="inlineStr">
        <is>
          <t>またこの地図帳は体系的で記号を統一的に表現した点でも画期的だった。；真珠湾攻撃はこれまでの戦争の状況を一変させる画期的な戦闘となった。；現在でこそ普遍的であるが、当時としては非常に画期的な制度であった。；特に教会の装飾は、ポルトガル・バロックの画期的な仕事とされている。；技術面では本当に成功したのに、画期的な応用を創造しなかったからだ。；また、ゲーム上のフレーム動作仕様を利用した画期的なモデルも作れる。；これは自動信号が登場する前の時点では画期的なアイデアであった。；それは深刻な人種問題を抱えていた当時のアメリカでは画期的なことであった。；上記3隻の船は、それぞれ就航時には画期的な存在として注目を集めた。；また、彼はこの時期に、安全なの計算に関する画期的な論文を共著した。；にもかかわらず、この合成は化学合成における画期的な出来事であった。；これは、既存の文字の概念には無かった考え方であり、画期的な物であった。；この装置は訓練装置としては画期的で大勢のパイロットが養成された。；とりわけ、AT機に搭載されている0枚ボーナスは画期的な機能である。；一方、アーキテクチャ的にはDIPSには特に画期的といえる面はない。；当時、騎手が特定の馬主と正式契約を結ぶのは画期的な出来事であった。；企業の過失責任を前提とする損害賠償を認めた画期的な判決となった。；この空港の建設は1940年代としては非常に画期的なものであった。；一刻を争うニュースやスポーツの編集を支える画期的なシステムである。；同年9月1日から上演されて画期的な内容で大ヒットを記録した。；捜査と殺害の因果関係を認めたこの判決は画期的なものとなった。；その後実現させたコーチ制度の確立は日本スポーツ界では画期的な制度であった。；この番組では開始当初から以下の画期的な試みが行われた。；発注者と業者が一つのテーブルに着いたということは画期的なことであった。；国の力が強い当時にあってこれは画期的な判決であった。；理系の研究者の場合、一般に若い頃の方が画期的な成果を出しやすい。；ハリウッドの映画人としては画期的な勇気ある社会劇として評価された。；ロボットのパワーとスピードを飛躍的に上昇させる効果を持つ画期的な装置。；当時は女性用の適当な運動着はなく、この発明は極めて画期的なものであった。</t>
        </is>
      </c>
      <c r="J1604">
        <f>HYPERLINK("https://www.weblio.jp/content/画期的", "词义详情")</f>
        <v/>
      </c>
      <c r="K1604">
        <f>HYPERLINK("https://yourei.jp/画期的", "查看例句")</f>
        <v/>
      </c>
    </row>
    <row r="1605">
      <c r="A1605" t="inlineStr">
        <is>
          <t>学級</t>
        </is>
      </c>
      <c r="B1605" t="inlineStr">
        <is>
          <t>成功</t>
        </is>
      </c>
      <c r="C1605" t="inlineStr">
        <is>
          <t>読み方：がっきゅう
同時に学習させるために組分けした児童・生徒の単位集団。ふつう同一学年の者で編制することになっているが、小規模校や特別の事情がある場合は2学年以上で編制する複式学級とすることができる。組。クラス。</t>
        </is>
      </c>
      <c r="D1605" t="inlineStr">
        <is>
          <t>学級数(8%)；学級編成(3%)；学級規模；学級経営；学級裁判</t>
        </is>
      </c>
      <c r="E1605" t="inlineStr">
        <is>
          <t>クラス；コース；教室；学年</t>
        </is>
      </c>
      <c r="F1605" t="inlineStr">
        <is>
          <t>各学級；通常学級；準備学級；同じ学級；幼児学級</t>
        </is>
      </c>
      <c r="G1605" t="inlineStr">
        <is>
          <t>学級委員長；学級担任；学級会；学級崩壊；学級新聞</t>
        </is>
      </c>
      <c r="H1605" t="n">
        <v>29</v>
      </c>
      <c r="I1605" t="inlineStr">
        <is>
          <t>あのとき君は僕と一緒にラテン語学校の第五学級まで行ったじゃないか。；私はまるで、女の子の一学級を前にして、講義しているような気がした。；時にはほかの学級ではわからなかった視点で物語が描かれる場合もある。；散り散りになった子供たちを集めて青空学級もときどき行なわれたとか。；ぼくが会った十代の学級では、きみたちを覚醒させようとしていたよ。；中学の時は学級員などになったりクラスみんなと仲良くとても人気者だった。；ただ最初から二、三学級上に入れて貰ったくらいのものでございます。；プレイヤーは教師となり、7つの高校を舞台に学級を作ることが可能。；イギリスでは四歳から小学校の準備学級に入ることになっています。；今ね、ボクらの学級だけだって、十人以上の子が、あれ、できるんだよ。；学年ごとに設定される課題曲と学級ごとに選択する自由曲の2曲を発表する。；一つの学級裁判は従来通り多くのコーナーで構成されている。；だが、そんな彼女はクラスの誰もが信頼している学級代表だった。；一部の学級は催し物を開くところもあるが、主に文化部の発表の場となる。；本村の学校すら児童が減少して、標準学級の編成が困難になっている。；学級内のいじめや仲違いなどの事件の反省として書かされる場合もある。；各学年2つの学級で構成されることが多いが、児童数は減少傾向にある。；事業内容は各種研究大会や学級経営プロジェクトへの参加、他の会員との交流など。；そこには、学級の問題や家庭環境のみならず、ムラ社会の闇が潜んでいた。；すべての子供に6歳になった最初の秋学期から就学前学級に参加する。；学校名と学級は原作では不明だが、各アニメシリーズでは独自に設定されている。；これらの新制中学生のために、約四万五千学級が新設されなければならない。；授業はスムーズに進めていけるし、学級運営でも大きなトラブルはない。；その後31学級にまでなったことがあったが、以降は減少傾向にある。；交流クラスに入り、通常学級の生徒達と共に交流授業を受けている生徒もいる。；学級のほとんど全部が疎開に行くらしいので礼も一緒に行きたい由。；この学校では専門的な開発教室や、一般的な教育学級もある。；教師が思いのままに学級を経営できると、幾人かの先輩から聞かされてきた。；彼の学級には二十六人いて、三つの長い部屋に分けられた。</t>
        </is>
      </c>
      <c r="J1605">
        <f>HYPERLINK("https://www.weblio.jp/content/学級", "词义详情")</f>
        <v/>
      </c>
      <c r="K1605">
        <f>HYPERLINK("https://yourei.jp/学級", "查看例句")</f>
        <v/>
      </c>
    </row>
    <row r="1606">
      <c r="A1606" t="inlineStr">
        <is>
          <t>担ぐ</t>
        </is>
      </c>
      <c r="B1606" t="inlineStr">
        <is>
          <t>成功</t>
        </is>
      </c>
      <c r="C1606" t="inlineStr">
        <is>
          <t>読み方：かたぐ
［動ガ下二］「かた（担）げる」の文語形。</t>
        </is>
      </c>
      <c r="D1606" t="inlineStr">
        <is>
          <t>掛ける；背負う；欺瞞；欺く；騙す</t>
        </is>
      </c>
      <c r="H1606" t="n">
        <v>29</v>
      </c>
      <c r="I1606" t="inlineStr">
        <is>
          <t>どう考えても俺は自分が彼らより先に担がれようなどとは思われないよ。；連中は両方から彼の腕を担ぐようにして馬のいるところまで連れていった。；だが、変な片棒を担がされていれば川に沈められるのもまた彼らなのだ。；そして四人の男がやっとのことでトムの重いからだをその中に担ぎ入れた。；お前さん、ひょっとすると、わしに担がれたとでも思ってやしないかの。；それにまた二十貫という石は、誰にしても担ぎあげられそうになかった。；ところがある日、ご主人は救急車で運ばれ病院に担ぎ込まれてしまった。；筒見は二年ほど前にも同じような状態で病院へ担ぎ込まれたことがあった。；とにかく休んでください、と皆で担ぐようにして署長室に連れていった。；父親が担ぎ売りから身を起こした人とかで、娘も上へ上への気持ちが強い。；すぐにものも言わず部屋の奥へ行き、担ぐようにして母を連れ出してくる。；そう主張するシボを霧亥は無言で担ぎ上げ、自動工場に向けて歩き出す。；今怪我人を担ぎ込まれて夢中になつて手当をしてゐるところだつてさ。；担架兵は何もいわないが、もはや担ぐ限界のきていることはわかっている。；三人の男が、大きなカメラを担ぎながら右手の廊下からこちらへ歩いて来た。；どう考へても俺は自分が彼等より先に担がれようなどゝは思はれないよ。；男は正面を見つめたまま、棍を肩に担ぐように動かし、背後の敵を打つ。；夏川ははだかのヒロシを軽々と担ぐやうに抱きあげて、母の姿に面した。；担がれて、山を下り、そのまま、ミッションの野病へ運ばれたのである。；陣屋や小屋から姿を見せた者たちに、あるだけの荷を担がせてまとめた。；単純なゲン担ぎの作戦であることは、レーン・エイムにも理解はできた。；息子が母親に担がれているときは息子が酔いすぎてとてもはしゃいでいる。；肩車は、一人の人物をもう一人の人物の肩の上に座らせるように担ぐ行為。；奥の長屋には水売りから買った大きな水の樽が、担ぎ込まれてきていた。；しかし、当時の加藤は、小渕派に担がれる形での首相就任を拒んでいた。；負傷者は現場から担がれてきたきりであり、傷の手当ては何もしていない。；俺の仲間は決してあんな突拍子もない陰謀の片棒なんか担がないはずだ。；三人一組で担ぐ場合を三枚肩、四人一組で担ぐものを四枚肩と呼んだ。；合体方法は組む側の外棒の担ぎ手がそれぞれ内側に入り、柱を合わせる。</t>
        </is>
      </c>
      <c r="J1606">
        <f>HYPERLINK("https://www.weblio.jp/content/担ぐ", "词义详情")</f>
        <v/>
      </c>
      <c r="K1606">
        <f>HYPERLINK("https://yourei.jp/担ぐ", "查看例句")</f>
        <v/>
      </c>
    </row>
    <row r="1607">
      <c r="A1607" t="inlineStr">
        <is>
          <t>がっくり</t>
        </is>
      </c>
      <c r="B1607" t="inlineStr">
        <is>
          <t>成功</t>
        </is>
      </c>
      <c r="C1607" t="inlineStr">
        <is>
          <t>［副］(スル)
１急に折れ曲がったり、くずおれたりするさま。「—（と）首を垂れる」「—（と）ひざをつく」
２一時に疲れが出たり、気落ちしたりして、元気がめっきりなくなるさま。「自信作が選外となって—くる」「妻に先立たれて—（と）する」
３落ち込みや差の開きが大きいさま。「客足が—（と）減る」</t>
        </is>
      </c>
      <c r="D1607" t="inlineStr">
        <is>
          <t>がっくりと肩(10%)；がっくりと膝(5%)；がっくりと首(4%)；がっくりとうなだれ(3%)；がっくりと頭(2%)</t>
        </is>
      </c>
      <c r="E1607" t="inlineStr">
        <is>
          <t>ブルー；がっかり；失意；嘆息；幻滅</t>
        </is>
      </c>
      <c r="F1607" t="inlineStr">
        <is>
          <t>上にがっくり；急にがっくり；肩をがっくり；がっくりと疲れ；がっくりと椅子</t>
        </is>
      </c>
      <c r="H1607" t="n">
        <v>29</v>
      </c>
      <c r="I1607" t="inlineStr">
        <is>
          <t>わたしは意気地がないから、自分の血を見てがっくりしたんですけどね。；彼は手の上にがっくりと顎を落し、白い髪は彼の顔に影を投げていた。；男はがっくりと首を床の上から畳に擦れ落ちたような音を耳にした。；都古ちゃんは気を失っているのか、がっくりと床に座り込んだままだし。；父と叔父の息子二人を失って、急にがっくり来てしまったようです。；背が立つと思っていても一歩先はがっくり深くなっていて、危険このうえない。；アベルはややもするとがっくりのけぞりそうな彼女の頭をささえていた。；中には島田をがっくりさせ細帯のままで小走にお湯へ行くものもあった。；そっと後ろを見ると、殴られたらしく、女はがっくりと首を垂れていた。；彼女はどういっていいかわからず、がっくり参ったような気持ちになった。；扉が閉まり、足音が去っていくのを確認して蒋実はがっくりと腰を下す。；がっくりと肩を落とし椅子へ座り込んだルーズベルトはついに決意した。；これは多くの人の気持ちをがっくりさせても当然といった情勢だった。；これが中止にでもなれば、がっくり来ることだろうが、仕方あるまい。；ソロは聞いているうちにだんだんがっくりした表情をうかべて坐り直した。；そしていよいよこれが書きじまいになると急に気落ちがしてがっくりした。；そしてがっくりと疲れを覚えて喘ぐようにじっとちゃぶ台に靠れていた。；刑事部屋の自分の机に戻ると、拍子抜けしたようで、急にがっくりした。；それが実は自覚もあった証拠だと理解して、がっくりと肩を落とした。；前半終了の笛が直後に鳴った時、日本の選手たちはがっくりと膝を折った。；やがてジャスティーンは、がっくりとしながら、自分の部屋へと戻った。；がっくり肩を落としながら、先ほど声をかけてきた相手を振り返った。；ふいに彼のからだから力が抜け、彼は良の上にがっくりと顔を伏せた。；大を注文した人の八割は、三分の一あたりでがっくりとペースが落ちる。；洋子はがっくりと椅子に腰を落とすと、しばらく放心状態で座っていた。；世界の絶望を一身に引き受けたかのように、その場でがっくりと膝をつく。；わしは、とうとうがっくり膝を地面につけ、口に砂をかまされてしまった。；やっと義務をはたし終えた気がして、ルネはがっくり疲れがきていました。；その言葉さえも言い切れず、声を失ってがっくりと机に倒れ伏した。</t>
        </is>
      </c>
      <c r="J1607">
        <f>HYPERLINK("https://www.weblio.jp/content/がっくり", "词义详情")</f>
        <v/>
      </c>
      <c r="K1607">
        <f>HYPERLINK("https://yourei.jp/がっくり", "查看例句")</f>
        <v/>
      </c>
    </row>
    <row r="1608">
      <c r="A1608" t="inlineStr">
        <is>
          <t>括弧</t>
        </is>
      </c>
      <c r="B1608" t="inlineStr">
        <is>
          <t>成功</t>
        </is>
      </c>
      <c r="C1608" t="inlineStr">
        <is>
          <t>読み方：かっこ
［名］(スル)特定の文字・語句・文などを囲って他の部分と区別する記号。（ ）〔 〕「 」［ ］〈 〉など。また、その記号をつけること。「—でくくる」「氏名のあとに—して年齢を示す」
[補説]主な括弧とその名称（　）丸括弧、小括弧、パーレン｛　｝波括弧、中括弧、ブレース［　］角括弧、大括弧、ブラケット〔　〕亀甲(きっこう)括弧【　】　隅(すみ)付き括弧「　」鉤(かぎ)括弧、鉤(かぎ)、ひっかけ『　』二重鉤括弧、二重鉤、二重ひっかけ〈　〉山括弧、山パーレン、ギュメ《　》二重山括弧、二重山パーレン、ダブルギュメ‘　’クオーテーションマーク“　”ダブルクオーテーションマーク″　″ちょんちょん、ダブルミニュート</t>
        </is>
      </c>
      <c r="D1608" t="inlineStr">
        <is>
          <t>括弧内(68%)；括弧書き(8%)；括弧つき；括弧および下付；括弧積</t>
        </is>
      </c>
      <c r="E1608" t="inlineStr">
        <is>
          <t>パーレン；小括弧</t>
        </is>
      </c>
      <c r="H1608" t="n">
        <v>29</v>
      </c>
      <c r="I1608" t="inlineStr">
        <is>
          <t>括弧内はかつて展開していたが同日時点で店舗がなくなっていた地域。；そのような場合に演算の順序を明確化するために括弧を使うこともある。；ほかにも期待通りに解釈させるための括弧を必要とする場合がある。；の用いる S式は括弧を大量に使用するため、批判を受けることもある。；これらは括弧に示したようにスートのゲーム点と比較して決められている。；曲名の後ろに名義、括弧の中には収録されているシリーズと補足を掲載。；括弧のつけ方についてはいまのところ個人的な意見は特にありません。；この経緯により、一部の地図には綾瀬川の括弧書きが行われる事がある。；能力の後ろの括弧内は、触れると能力を得られる敵キャラの名前である。；例えば以下の図では、閉じた括弧同士がグループを成すように認識される。；編入自治体名の後の括弧内の数字は編入時の人口と面積である。；最初の括弧の中を単純化するか、2番目の括弧の中を単純化するかである。；役名と、その右に役を演じた俳優、括弧内は日本語吹替声優を記載する。；Lispの括弧書き文法では、古典的なS式では次のように定義される。；以下、キャラクターごとに複数の色の種類があるものは括弧内に記す。；なお、括弧内はある程度流通していると思われる日本語の慣用読みである。；括弧内の数値は起点からのキロ数 見晴駅は旅客扱いのみの駅であった。；タイトルの右にある括弧内の名前は、登場した怪獣・宇宙人である。；ここではアイテム名後の括弧にはアイテムタイプが記される。；最初の括弧の中を先に項書き換えで単純化すると、次のようになる。；作者名の後の括弧内は、その人が主に活躍するレーベルを示している。；記述する作品は以下の通りで、状況に応じて括弧内の略号も用いる。；各項目の末尾の括弧書きはそれぞれのJISが定める最大の寸法である。；括弧内は初収録となったゲーム名、ゲーム上のアーティスト名義。；括弧でくくられた車号は別の製造時に製造された車両を表す。；後ろの括弧内に説明がないスタッフはTVシリーズ・SPアニメ共通。；式の中の括弧は一般的な計算順序の規則が適用され、括弧内が先に計算される。；なお一部の言語では、括弧やキーワードではなく字下げで構造を定義する。；名前の後の括弧書きは、複数回選出された場合のそれまでの選出回数を示す。</t>
        </is>
      </c>
      <c r="J1608">
        <f>HYPERLINK("https://www.weblio.jp/content/括弧", "词义详情")</f>
        <v/>
      </c>
      <c r="K1608">
        <f>HYPERLINK("https://yourei.jp/括弧", "查看例句")</f>
        <v/>
      </c>
    </row>
    <row r="1609">
      <c r="A1609" t="inlineStr">
        <is>
          <t>かっこいい</t>
        </is>
      </c>
      <c r="B1609" t="inlineStr">
        <is>
          <t>成功</t>
        </is>
      </c>
      <c r="C1609" t="inlineStr">
        <is>
          <t>読み方：かっこいい
［形］《「かっこ」は「かっこう（格好）」の音変化》見栄えがしたり、態度・行動がさわやかだったりして心ひかれる、という気持ちで使う語。すばらしい。「彼の髪形は—・い」「—・い生き方」⇔かっこ悪い。</t>
        </is>
      </c>
      <c r="D1609" t="inlineStr">
        <is>
          <t>かっこいい曲(2%)；かっこいい男；かっこいいじゃ；かっこいい姿；かっこいいギター</t>
        </is>
      </c>
      <c r="E1609" t="inlineStr">
        <is>
          <t>美しい；現代的な；素敵な；粋な；洒落た</t>
        </is>
      </c>
      <c r="F1609" t="inlineStr">
        <is>
          <t>方がかっこいい；一番かっこいい；ほうがかっこいい；なんてかっこいい；たらかっこいい</t>
        </is>
      </c>
      <c r="H1609" t="n">
        <v>29</v>
      </c>
      <c r="I1609" t="inlineStr">
        <is>
          <t>戦っているかっこいい姿と普段の彼女の姿はギャップがある選手である。；こんなことを女性にちゃんと伝えられるなんて、なんてかっこいいのだ。；彼は私がここに到着してから見た男のなかで、最もかっこいい男であった。；次第に他の四人も坂上君のようにかっこいい髪型にしたいと考え始める。；自分がかっこいいから私に好かれているとでも思っているのだろうか。；そのままでも、これほど頭がよくてかっこいい男の子が現れるんだもの。；僕は、もっとかっこいい別の人間を、自分の父親だと思いこもうとした。；「かっこいいところを見せてもらったな」 と二人のうちの一人が言った。；年下のかっこいい恋人よりもそれよりも、私は八歳以下の子供が欲しい。；少し目にかかるぐらいの髪を茶色に染めた、すげえかっこいい男の人だ。；きっと、その少年は、映画か何かで見て、かっこいいと思ったのであろう。；かっこいい人を見れば素敵だなって思うけど、絶対に好きにはならない。；問題ないとか、かっこいいって思ってるかもしれないけど、大間違いよ。；彼らのそんな姿をみると、何だかとてもかっこいいように思えてきた。；そもそも作家なんてものは、かっこいい日常をすごしてはいないのだ。；親指の先大のかっこいいのを、学校に持って行けない後悔が残るのだ。；五月祭で大神さんのこと、優しくてかっこいい人だなって思ったんです。；本当はかっこいい君物をつけて、城の女の子に騒がれたかったに相違ない。；森写歩朗はかっこいいことを言ってはみたものの少し恐怖心を覚えた。；そしていつか、かっこいい芸能人と結婚し、その人と幸せな家庭を築く。；かっこいい服はほとんど、スリムな体型に合わせて作られている気がする。；二人の若者が、かっこいい男を目指して日々成長し奮闘するラジオ。；それに村の女どもはみんなモモ太のことをかっこいいって噂してる。；クツ以外は全員統一されており、何かとかっこいいポーズを付けたがる。；だいたい、どういう基準でそれがかっこいいのかもよくわからないし。；背も高くて、かっこいい若者もいるのだが、どの男にも怖さがない。；小さい頃の僕が、漢字が6文字もあってかっこいい、 と言っていた名前。；「そんなにかっこいいもんじゃないよ」 僕は、ちょっと照れて言った。；と強く思うと同時に永遠に評価されない感じもかっこいいよね。</t>
        </is>
      </c>
      <c r="J1609">
        <f>HYPERLINK("https://www.weblio.jp/content/かっこいい", "词义详情")</f>
        <v/>
      </c>
      <c r="K1609">
        <f>HYPERLINK("https://yourei.jp/かっこいい", "查看例句")</f>
        <v/>
      </c>
    </row>
    <row r="1610">
      <c r="A1610" t="inlineStr">
        <is>
          <t>格好</t>
        </is>
      </c>
      <c r="B1610" t="inlineStr">
        <is>
          <t>成功</t>
        </is>
      </c>
      <c r="C1610" t="inlineStr">
        <is>
          <t>読み方：かっこう
《「恰(あたか)も好(よ)し」の意で、ちょうど似つかわしいさまが原義。形がちょうどよいというところから、姿・形の意にも転じた》
［名］
１外から見た事物の形。姿。また、身なり。「髪の—を直す」「殴る—をする」「はでな—で出かける」
２人に対して恥ずかしくない姿・形。整った形。体裁。「びりでは—が悪い」「—をつけて歩く」
３物事の状態。…のようなようす。「親に忘れられた—で育った」
４（年齢を表す語に付いて）年齢がだいたいそのくらいであること。ちょうどその年くらいのようすであること。「四十—の男」
［名・形動］
１ふさわしいこと。似つかわしいこと。また、そのさま。「—の夫婦」「手土産に—な（の）品」
２値がちょうど手ごろなこと。また、そのさま。「—な値段」</t>
        </is>
      </c>
      <c r="D1610" t="inlineStr">
        <is>
          <t>格好悪い；格好良く；格好良い；格好つけ；格好悪く</t>
        </is>
      </c>
      <c r="E1610" t="inlineStr">
        <is>
          <t>顔；姿；見え；形；体</t>
        </is>
      </c>
      <c r="F1610" t="inlineStr">
        <is>
          <t>そんな格好；みたいな格好；こんな格好；ラフな格好；どんな格好</t>
        </is>
      </c>
      <c r="G1610" t="inlineStr">
        <is>
          <t>格好よく；格好よ；格好よい；格好悪いふられ方</t>
        </is>
      </c>
      <c r="H1610" t="n">
        <v>29</v>
      </c>
      <c r="I1610" t="inlineStr">
        <is>
          <t>そのため、この海域に展開していた日本軍潜水艦の格好の目標となった。；軽い筈だが両手でかつぐ格好を取り、敵に当たると一発で壊れてしまう。；西部劇の影響を受け、ハットをかぶった格好をしている登場人物も多い。；かつて自身が桝崎の下へ越境で弟子入りしたのと似た格好であると言える。；映像・イベントなどに出演する際にもこのキャラクターを模した格好をする。；ガブリ左四つになればともかく、その他の格好だったら絶対に負けない。；また、彼は作者が同じであるマルスピラミの格好をしたこともあった。；当駅構内は、その線路際まで山林や竹林が迫っている格好となっている。；唯一指名した巨人が、くじ引き抽選なしに桑田を獲得した格好となった。；他の多くのカメラと同様にカメラを目の位置に構える格好になる。；田村はこの対抗戦への参加を拒否したため、同団体を干される格好となる。；岡田がこの研究の存在を暴露した際、政府は虚を突かれた格好となった。；日本発のシステムがアメリカより逆輸入された格好である。；番組のキャラクターには大王の格好をした馬が使用されていた。；当時共和党は南部戦略を遂行していたため、ゴアは格好の標的となった。；そういった面ではヘッケル説の方が認められた格好になってはいる。；爆撃行からの帰り、パイロットたちは格好の標的に向けて撃ちまくった。；またユダヤ人だったため、人種的偏見を向けるのにも格好の標的だった。；鞠はなぜか魔女の格好をしており、手には剣と魔法の杖を抱えていた。；この奇妙な格好は故意に行われているのではないようである。；彼女たちは実際と同様の格好をして同じパフォーマンスを披露した。；漁師が投網を打つような格好に似ている事から名付けられたと言われている。；出家人でもないのにその格好をし、人をだまして強盗を働いた者が落ちる。；幼少期は女子を欲していた母によって女子の格好をさせられていた。；一方で男の子の場合はパンツ一枚の格好であったり全裸でも問題ないこともある。；羊の格好をした小男がドアから入ってきたのは金曜日の午後だった。；thumb|豐臣秀吉像しかし信長の行動はその裏をかいた格好となった。；実際、寒い時期であるにもかかわらず半袖Tシャツ1枚の格好であった。；ミカンに手足が生えたような格好をしており、宇宙人という設定である。</t>
        </is>
      </c>
      <c r="J1610">
        <f>HYPERLINK("https://www.weblio.jp/content/格好", "词义详情")</f>
        <v/>
      </c>
      <c r="K1610">
        <f>HYPERLINK("https://yourei.jp/格好", "查看例句")</f>
        <v/>
      </c>
    </row>
    <row r="1611">
      <c r="A1611" t="inlineStr">
        <is>
          <t>学校</t>
        </is>
      </c>
      <c r="B1611" t="inlineStr">
        <is>
          <t>成功</t>
        </is>
      </c>
      <c r="C1611" t="inlineStr">
        <is>
          <t>読み方：がっこう
一定の教育目的に従い、教師が児童・生徒・学生に計画的・組織的に教育を施す所。また、その施設。特に、学校教育法では幼稚園・小学校・中学校・高等学校・中等教育学校・高等専門学校・特別支援学校・大学のこと。→学校教育法
[補説]2015年に実施した「あなたの言葉を辞書に載せよう。2015」キャンペーンでの「学校」への投稿から選ばれた優秀作品。◆人生において最初に、本音とタテマエを使い分ける事を学ぶ所。gontaroさん◆教科書に載ってることより先生の名言や迷言が記憶に残っている場所。甘酸っぱいよ青春はさん◆子供の世界の社会。大人社会の縮図。あっくんさん◆社会生活を送りやすくするための人間関係を学ぶ場所。ひろさん◆「実は損得抜きで集うことができる仲間」がこの世で存在することを、生まれて初めて知る場。将来、一生の飲み仲間、遊び仲間ができる場。時として、こっぱずかしい「あだ名」が付けられる場。MONYANさん◆子供から見たら、先生との牢獄。先生から見たら、子供の親との牢獄。えびいかたこさん◆得られるものも多いけれど、苦しい思いをしてまで行く必要はないもの。ちひろさん◆画一的なようでそうでなく、人によりさまざまな異なった影響を受ける場。その場にいるときにはわからないが、年齢を経るにつれ良さがわかるもの。花那さん◆不公平を学ぶ所。ペロンさん◆子供が最初に人間社会の現実を学ぶところ。建前と本音、表と裏、要領の良し悪し、人間関係、善行も悪徳も、この小さな社会から萌芽することが多い。かずばんびさん</t>
        </is>
      </c>
      <c r="D1611" t="inlineStr">
        <is>
          <t>学校側；学校内；学校名；学校卒業；学校帰り</t>
        </is>
      </c>
      <c r="E1611" t="inlineStr">
        <is>
          <t>授業；学園；スクール；学院；授業時間</t>
        </is>
      </c>
      <c r="F1611" t="inlineStr">
        <is>
          <t>市立小学校；幼年学校；同じ学校；各学校；防衛大学校</t>
        </is>
      </c>
      <c r="G1611" t="inlineStr">
        <is>
          <t>学校法人；学校教育；学校の先生；学校生活；学校教育法</t>
        </is>
      </c>
      <c r="H1611" t="n">
        <v>29</v>
      </c>
      <c r="I1611" t="inlineStr">
        <is>
          <t>五七幹部学校に追いやられていた知識人はその多くが都市に戻ってきた。；近年では学校生徒だけでなく一般市民も利用可能な学校内プールもある。；こうした学校創設以来の長い伝統を有し、現在の理学部へと続いている。；登録を希望する者は最初に認定大学レベルの建築学校で勉強する必要がある。；学校では勉強をしながらも、動物や自然などの様々な絵を描いていた。；トルコ政府は識字率向上のため義務教育を提供する学校を急速に作った。；学校や兵舎でも公式な告知や発表文でも広く使われて周知されていった。；失望から学校に行かなくなり、近所の森や山で時間を潰す日々を送った。；イギリス領ソマリランドの時代には、英語が学校や政府で支配的だった。；中央幹部学校には研究部という幹部の中の幹部を養成する組織があった。；そのことは多くの学校が19世紀に設立されたという事実からもわかる。；以後毎年10校前後が開校し、数年のうちにほぼ現在の学校数となった。；これには学校においてスポーツ体育が実施されるようになった影響もある。；教育施設の中でももっぱら教育のために設立される施設を学校と呼ぶ。；しかも内戦時代には学校への襲撃もあったなど教育は立ち遅れている。；その問題に対し、学校・教育側は方言の授業を設ける等を検討している。；上記の各学校においても中等教育以上は男子教育の場でしかなかった。；運動も得意であり、学校の外では「広場の王様」とあだ名されたという。；ひばりは学校では女で通しており、ごく一部の者以外はその秘密を知らない。；特定の正規の有名な学校で学んだわけではないという意味で独学であった。；このころから学校では徐々に鉛筆が使われはじめるようになった。；三島は、川端の養女・政子の学校の勉強を見てやることもあったという。；また、生徒の修学旅行先の不祥事から修学旅行を中止とした学校もある。；初等教育学校を含めてほぼ全ての学校が国立だが、私立学校も存在する。；ハンブルクの学校やル・コルビュジエの事務所で建築を学んだ経験がある。；もっとも時間をかけて考えたのが学校そのものと、その雰囲気だ。；そのため多くの企業が学校に寄付をするなどして支援している。；いずれの場合も、登校が可能な場合は学校で自習となるケースが多い。；たとえば学校の建物でのかくれんぼは公園の同じゲームと異なる。</t>
        </is>
      </c>
      <c r="J1611">
        <f>HYPERLINK("https://www.weblio.jp/content/学校", "词义详情")</f>
        <v/>
      </c>
      <c r="K1611">
        <f>HYPERLINK("https://yourei.jp/学校", "查看例句")</f>
        <v/>
      </c>
    </row>
    <row r="1612">
      <c r="A1612" t="inlineStr">
        <is>
          <t>各国</t>
        </is>
      </c>
      <c r="B1612" t="inlineStr">
        <is>
          <t>成功</t>
        </is>
      </c>
      <c r="C1612" t="inlineStr">
        <is>
          <t>読み方：かっこく
それぞれの国。「—首脳」</t>
        </is>
      </c>
      <c r="D1612" t="inlineStr">
        <is>
          <t>各国政府(2%)；各国代表；各国間；各国軍；各国首脳</t>
        </is>
      </c>
      <c r="E1612" t="inlineStr">
        <is>
          <t>諸国；国々；列国</t>
        </is>
      </c>
      <c r="F1612" t="inlineStr">
        <is>
          <t>欧州各国；アジア各国；欧米各国；列強各国；加盟各国</t>
        </is>
      </c>
      <c r="G1612" t="inlineStr">
        <is>
          <t>各国の映画；各国語学講座；各国のサッカー；各国の医療；各国の軍隊の一覧</t>
        </is>
      </c>
      <c r="H1612" t="n">
        <v>29</v>
      </c>
      <c r="I1612" t="inlineStr">
        <is>
          <t>グレゴリオ暦はその後数百年かけて各国で採用され、現在に至っている。；各国の航空機メーカーはこの市場を狙って熱心に新型機の研究を行った。；アメリカに続いて、ヨーロッパ各国でも同様のサービスが次々と始まった。；対仏戦争終了後、ヨーロッパのみではなく各国植民地の地図は一変した。；初めて戦車が各国から実戦投入された戦争は第一次世界大戦であった。；本大会は、開催前年度の各国大会の上位チームに参加資格が与えられる。；この頃から補助戦力であった航空機を主力にする主張が各国で現れる。；ただし各国によって装備方法は異なるので、米海軍式を中心に解説する。；同時期にクラブの選手が各国代表に選出されるようになった。；欧州連合では指令との形で、各国が達成すべき労働法の基準を示している。；ヨーロッパ各国が共同で設立した欧州宇宙機関で中心的な役割を果たしている。；アメリカではこの日22日の午前から重要な同盟各国への通知が行われた。；清と朝鮮以外の関係各国には、朝鮮情勢の安定化案がいくつかあった。；各国は、それぞれ多様な国際法の国内法秩序への編入方式を採用している。；スマートグリッド等の総合的な対策が各国で検討推進されている。；北欧各国間および周辺国へは下記のように多数の連係線が設けられている。；各国の議会の呼称には、それぞれの歴史や経緯が含まれている。；しかしこの方針には利用各国から強い反対が表明された。；現在のアフリカ各国の国境線は地形や民族構成などを反映しない単純な直線が多い。；各国に課せられた納税の規模は、当時の各国の国力に基づき判定された。；冷戦時代でも以下のような中南米各国への棍棒外交的な介入が行われた。；この集会はヨーロッパ各国の急進派が一堂に会する大規模なものとなった。；一方で、各国で映画史的な研究が評論家によって精力的に行われていた。；ただし、この語は多義的で、や、テレビ番組の各国版を含む場合がある。；各国の言語でこの地域は以下のように呼ばれている。；にもかかわらず流入は続き、各国とも多くの不法滞在者を抱えている。；とりわけ2007年には次に述べる各国政府への提言活動を行った。；そのため他のアジア各国やアフリカ諸国と比べて文化が十分成熟の域に達していると言える。；この国家は20世紀前半のヨーロッパ各国による侵攻まで勢力を維持し続けた。</t>
        </is>
      </c>
      <c r="J1612">
        <f>HYPERLINK("https://www.weblio.jp/content/各国", "词义详情")</f>
        <v/>
      </c>
      <c r="K1612">
        <f>HYPERLINK("https://yourei.jp/各国", "查看例句")</f>
        <v/>
      </c>
    </row>
    <row r="1613">
      <c r="A1613" t="inlineStr">
        <is>
          <t>かっこ悪い</t>
        </is>
      </c>
      <c r="B1613" t="inlineStr">
        <is>
          <t>成功</t>
        </is>
      </c>
      <c r="C1613" t="inlineStr">
        <is>
          <t>読み方：かっこわるい
［形］《「かっこ」は「かっこう（格好）」の音変化》物事に気のきいた感じがなくて自分の好みにぴったりしない、という気持ちで使う語。「制服は—・い」⇔かっこ好(い)い。</t>
        </is>
      </c>
      <c r="D1613" t="inlineStr">
        <is>
          <t>地味な；冴えない；野暮な；不格好な；ナンセンスな</t>
        </is>
      </c>
      <c r="H1613" t="n">
        <v>29</v>
      </c>
      <c r="I1613" t="inlineStr">
        <is>
          <t>なんだか自分が、ものすごくかっこ悪い人間になったような気がしてくる。；自分の仕事がうまく行ってないのに人の目ばかり気にするやつが、今一番かっこ悪いぞ。；そうして立って、歩いて、マンションにかっこ悪くも帰っていった。；彼女の基準によれば、こんな話題で真剣になるのはかっこ悪いことらしかった。；どもってしまったことを妙に意識して、ああかっこ悪いと恥じているのがわかる。；卓球やってるなんて、かっこ悪くてあんまり人に言えないでしょ。；かっこ悪い失敗などどうでもよくなっていた。；負けたくはないが、もし負けるとすれば、一番かっこ悪くないのはどんな負け方だろうか。；一番かっこ悪いところを見られなくて、本当によかった。；それがものすごくかっこ悪いのですぐにやめたいと頭の隅でちらりと思うのだが、自分ではどうにもならない。；その彼はやはりかっこ悪いのだそうだ。；このフォームについて本人は「かっこ悪いからいやなんですけどね」と語っていた。；「特に理由はないけど、ちょっと、知りたかったんだよ」 俺、かっこ悪いぞ。；シャルロットは居残り組に混じるのがかっこ悪いと思ってるんだ。；だって今までつき合った男の人って、かっこ悪い人ばっかりだもん。；両手を後ろにまわしたままなので、よけいにかっこ悪い。；昔の少女マンガを読んでるところなんかもかっこ悪い。；あのころは、女とべたべたすんのはかっこ悪いことだと思ってた。；何でも本人たち曰く「だってジャージはかっこ悪いんだも〜ん」とのことらしい。；権力者が弱いがために反逆もできず若者がかっこ悪い。；準備した原稿を読むのがかっこ悪いとでも思っているのか、「原稿はないよ」と言っておきながら、舞台では小さく折りたたんだ紙を読む講演者に出会ったことも一度や二度ではない。；なかなかこれはかっこ悪い場面である。；何故ならなれなかったときに、かっこ悪いから。；死んだときかっこ悪いやないけ。；正面から二回巻いて、かっこ悪く顎の下で結び目を作る。；さて、大学生にもなってこれでは「かっこ悪い」とも思ったが、部の方針なのではしかたない。；だから、自分の考えてることはかっこいいと思ってて、常識とか社会とかはかっこ悪いと思ってる。；歌い方も早川のアルバム「かっこいいことはなんてかっこ悪いんだろう」に影響を受けている。；さらに椎名は「曲に日本語をのせるとかっこ悪いと思っていたのにこの人の歌を聴いて日本語でもこんなにかっこいいものが作れるんだと衝撃を受けた」とまで述べた。</t>
        </is>
      </c>
      <c r="J1613">
        <f>HYPERLINK("https://www.weblio.jp/content/かっこ悪い", "词义详情")</f>
        <v/>
      </c>
      <c r="K1613">
        <f>HYPERLINK("https://yourei.jp/かっこ悪い", "查看例句")</f>
        <v/>
      </c>
    </row>
    <row r="1614">
      <c r="A1614" t="inlineStr">
        <is>
          <t>喝采</t>
        </is>
      </c>
      <c r="B1614" t="inlineStr">
        <is>
          <t>成功</t>
        </is>
      </c>
      <c r="C1614" t="inlineStr">
        <is>
          <t>読み方：かっさい
［名］(スル)声を上げて褒めそやすこと。また、その声。「—を博する」「拍手—する」</t>
        </is>
      </c>
      <c r="D1614" t="inlineStr">
        <is>
          <t>喝采裡；喝采せり；喝采を願います；喝采してる；喝采せら</t>
        </is>
      </c>
      <c r="E1614" t="inlineStr">
        <is>
          <t>応援；賞賛；拍手；称賛；歓声</t>
        </is>
      </c>
      <c r="F1614" t="inlineStr">
        <is>
          <t>拍手喝采；大きな喝采；熱烈な喝采；喝采投票；熱狂的な喝采</t>
        </is>
      </c>
      <c r="H1614" t="n">
        <v>29</v>
      </c>
      <c r="I1614" t="inlineStr">
        <is>
          <t>自分たちのような魅力のあるバンドが、なぜ人々の喝采を浴びないのか。；そして女のハムレットが語る時にしか喝采しようとは思っていなかった。；しかしほかの人たちといっしょに私も喝采しないわけにはゆかなかった。；男は周りの喝采を待っている者の出すような高い声でこう答えている。；昨日は、それまで私を知らなかった数千の人が喝采して私を迎えてくれた。；演奏の見事さに残っていた他の社員も集まりだし、楽団は大喝采になる。；その時には無知の者でさえも、拍手喝采することに間違いはありません。；これはイギリス本国で議論を呼んだがハルツーム市民から喝采を浴びた。；建築会社の代表は、まるでぱちぱちと喝采でもしたそうな顔つきをした。；だれにほめられるわけでもなし、喝采してもらえるわけでもありません。；列車が到着すると兵士達は援軍が到着したかのように喝采を上げた。；喝采を浴びせられながら元の席にもどって来ると、笑いながら言っていた。；嵐のような喝采が湧き起こったが、私の目は老婆にばかり向けられていた。；その光景は、格子の中の囚人達の大喝采を受けたと云ふ経緯があつた。；客は一人残らずオーケストラにばかり気を取られて夢中に喝采しているのさ。；新たに夫婦となった二人は祭壇の前でふり返り、人々の喝采を受けた。；生の意義への焦燥と見えたのは、虚名と喝采とへの焦燥に過ぎなかった。；彼が彼らに最も非難したのは、偉大な作品を喝采することであった。；ドルイドシアター社はその最先端の演出と指示で国際的な喝采を得た。；友人たちは皆夢でも見ているように、茫然と喝采するのさえも忘れていました。；続いて起こった深い沈黙はどんな喝采よりも印象的であった。；この提案は、ほかの提案と同じように、満場一致の喝采でむかえられた。；このニュースに多くの人々は喝采を送ったが、一部には首を傾げる人々もいた。；職員たちの大喝采が外の通りに集まっている群衆の歓呼の叫びと一つになった。；そして間違いをしやすまいかと気づかって、すべてのものを喝采していた。；英国では成り行きの予測できない不透明な戦局に光を当て大喝采を浴びた。；嵐のような喝采が何度も私を迎えて、シャンパンのように私の血のなかを流れた。；その時幕は悠々と、盛んな喝采を浴びながら、舞台の前に引かれて行った。；それでも、江戸の人々は喝采を送り、いまでも語り草となっている。</t>
        </is>
      </c>
      <c r="J1614">
        <f>HYPERLINK("https://www.weblio.jp/content/喝采", "词义详情")</f>
        <v/>
      </c>
      <c r="K1614">
        <f>HYPERLINK("https://yourei.jp/喝采", "查看例句")</f>
        <v/>
      </c>
    </row>
    <row r="1615">
      <c r="A1615" t="inlineStr">
        <is>
          <t>活字</t>
        </is>
      </c>
      <c r="B1615" t="inlineStr">
        <is>
          <t>成功</t>
        </is>
      </c>
      <c r="C1615" t="inlineStr">
        <is>
          <t>読み方：かつじ
１活版印刷に使う凸型の字型。古くは木製、のちには方形柱状の金属の一端の面に、文字を左右反対に浮き彫りにしたもの。これを組み並べて活版を作る。大きさは、号またはポイントで表し、新聞活字では倍数で表す。→活字書体
２印刷されたもの。本や雑誌。「—に飢える」「—中毒」</t>
        </is>
      </c>
      <c r="D1615" t="inlineStr">
        <is>
          <t>活字化(2%)；活字印刷；活字媒体；活字版；活字メディア</t>
        </is>
      </c>
      <c r="E1615" t="inlineStr">
        <is>
          <t>型</t>
        </is>
      </c>
      <c r="F1615" t="inlineStr">
        <is>
          <t>号活字；木活字；小さな活字；鉛活字；鋳造活字</t>
        </is>
      </c>
      <c r="G1615" t="inlineStr">
        <is>
          <t>活字体；活字離れ；活字文化；活字中毒；活字書体</t>
        </is>
      </c>
      <c r="H1615" t="n">
        <v>29</v>
      </c>
      <c r="I1615" t="inlineStr">
        <is>
          <t>そのころまでには紙と活字の本だって自然消滅しているにちがいない。；これらの書物は寫眞でみても全然日本活字のはいつてゐない洋書である。；僕はこの本のために今日までに活字にしたものに一應手をいれてみた。；この活字は特に大きな影響力を持ち、その後ヨーロッパ中で模倣された。；戦時中は規制されていた活字を求めて、毎日多くの人が来館したという。；フルーロンの活字は他のタイポグラフィ上の要素と同じように作られた。；活字印刷がその頃に発明され多数の本が作られ手写本よりも安価であった。；部首の中には通常の明朝体活字と違う画数が定められているものがある。；日本の近代活字は自分ひとり誕生したのではなかつたからである。；勉強も結構だけれど、花やかな夢は活字の中にあるんぢやないでせう。；活字が発明されて本はようやく自由に持ちはこびできるものになった。；活字化された記録にはココナッツを兵器として使用した例も含まれている。；そのうちのいくつかは実際に活字が鋳造され作品に使用されている。；その頃活版も出現したが多数の活字が必要になるため顧みられなくなった。；この秘密が活字による印刷のアイデアだったのではないかと言われている。；新聞漫画としては珍しく、吹き出しが活字になっているのが特徴である。；東京で中原の書いたものが活字になったのはこれがはじめてである。；ベントン母型彫刻機を導入して新たに活字を供給する事例が出現した。；高麗では1234年に青銅製の活字が作られ実用化したといわれている。；活字化された作品の中で最も古いものは1986年の「異音集」である。；その後追加や改鋳などがなされ、併せて8種の大きさの活字が使われた。；わざわざ専用の活字を作らないといけないので、印刷屋泣かせだともいう。；ヨーロッパにおける東洋学のなかで、日本語活字が製造されもしている。；活字が使われることはほとんどなく、本などは手書きで書かれている。；自分の書いたものがはじめて活字になって現われたのがうれしかったのである。；現代では出版されて活字で残されるようになったものも多い。；活字を大きくしたために増加する頁数を節減しようとしたのである。；しかも、しかも何故に活字は江戸に生れず、長崎に生れたのだらうか?!；新聞をひろげてはゐるが、常子の眼はもう活字を読んではゐなかつた。</t>
        </is>
      </c>
      <c r="J1615">
        <f>HYPERLINK("https://www.weblio.jp/content/活字", "词义详情")</f>
        <v/>
      </c>
      <c r="K1615">
        <f>HYPERLINK("https://yourei.jp/活字", "查看例句")</f>
        <v/>
      </c>
    </row>
    <row r="1616">
      <c r="A1616" t="inlineStr">
        <is>
          <t>合唱</t>
        </is>
      </c>
      <c r="B1616" t="inlineStr">
        <is>
          <t>成功</t>
        </is>
      </c>
      <c r="C1616" t="inlineStr">
        <is>
          <t>読み方：がっしょう
［名］(スル)
１大ぜいの人が声を合わせて歌ったり、同じ文句を唱えたりすること。「賛美歌を—する」「万歳の—が起こる」
２音楽で、二つ以上の声部を組み合わせて大ぜいで歌うこと。声部の数により三部・四部合唱など、また、男声・女声・混声合唱などに区別される。コーラス。→斉唱→重唱→独唱</t>
        </is>
      </c>
      <c r="D1616" t="inlineStr">
        <is>
          <t>合唱団(7%)；合唱隊(4%)；合唱作品；合唱曲；合唱連盟</t>
        </is>
      </c>
      <c r="E1616" t="inlineStr">
        <is>
          <t>コーラス</t>
        </is>
      </c>
      <c r="F1616" t="inlineStr">
        <is>
          <t>部合唱；合唱界；合唱付き；合唱参加；合唱パート</t>
        </is>
      </c>
      <c r="G1616" t="inlineStr">
        <is>
          <t>合唱曲；合唱指揮；合唱部；合唱コンクール；合唱祭</t>
        </is>
      </c>
      <c r="H1616" t="n">
        <v>29</v>
      </c>
      <c r="I1616" t="inlineStr">
        <is>
          <t>この合唱書は17世紀後半以降は失われたままであると考えられている。；独唱・合唱がある場合はその下に、特殊楽器などは普通楽器の下に書く。；様々なジャンルの作品を書いたが、合唱作品が最もよく知られている。；食堂には「箸とらば」の歌詞が掲げられており、食事の前に合唱を行う。；また、オーケストラや合唱を組織して詩や音楽の発表会などを主催した。；また、メインテーマをはじめ数々の合唱も本作オリジナルのものである。；これは彼が教会の合唱隊に参加していたことが由来といわれる。；合唱の世界で人気が高く、発表されている作品の多くは合唱曲である。；マイアベーアからは作品の中の演技に合唱を効果的に用いる術を得ている。；単なる人数ばかりでなく、質の点でもオペラ座の合唱は他を凌駕していた。；また、音楽の授業にも力を入れており、特に合唱に力を入れている。；作曲家も、こうした合唱団のための女声合唱曲を多く書くようになる。；従来のオペラ作品に必ず用いられた合唱が本作では採用されない。；合唱詩はスパルタの社会的、政治的、宗教的な文脈のなかで表現される。；インタビューや合唱コンテスト等の録音の場合はこの限りではない。；歌は極めて巧みであるが、それはイギリス人が優れた合唱隊であるからだ。；合唱などでは、特に繊細な指示を出すにも効果的と考えられている。；これは神々と英雄達の伝説のパロディーで、サテュロスが合唱を務めた。；無伴奏合唱版と弦楽合奏版の2つがあるが、前者は滅多に上演されない。；この合唱では、奇妙なシラブルを並べた「亡者の言語」が使われている。；そのために書かれた楽曲が単独で合唱曲として歌われることも多い。；オーケストラと合唱以外はすべてバイロイトのスタッフで占められていた。；また、合唱や応援合戦の様子を収録したDVDが毎年発行されている。；合唱に力を入れており、合唱祭は毎年船橋の文化ホールで行っている。；賛美歌を通して合唱の文化が育っており、知らない歌もすぐに合唱する。；また、あまり知られてはいないが、同声三部合唱版や混声四部合唱版もある。；大きなビブラートや多声合唱を特徴とする曲線的でなめらかな音楽が多い。；合唱や合奏で子ども達と感動体験を共に味わうことをテーマに行っている。；初期の多声的合唱様式を学んだ後には『愛の賛歌』 作品12を作曲した。</t>
        </is>
      </c>
      <c r="J1616">
        <f>HYPERLINK("https://www.weblio.jp/content/合唱", "词义详情")</f>
        <v/>
      </c>
      <c r="K1616">
        <f>HYPERLINK("https://yourei.jp/合唱", "查看例句")</f>
        <v/>
      </c>
    </row>
    <row r="1617">
      <c r="A1617" t="inlineStr">
        <is>
          <t>がっしり</t>
        </is>
      </c>
      <c r="B1617" t="inlineStr">
        <is>
          <t>成功</t>
        </is>
      </c>
      <c r="C1617" t="inlineStr">
        <is>
          <t>［副］(スル)物の構造や体格がしっかりしていて、力強く、また、簡単には壊れそうにないさま。がっちり。「—（と）作られた戸棚」「—（と）した体格」</t>
        </is>
      </c>
      <c r="D1617" t="inlineStr">
        <is>
          <t>がっしりとした手；がっしりと太い；がっしりと掴ん；がっしりとつかん；がっしりととらえ</t>
        </is>
      </c>
      <c r="E1617" t="inlineStr">
        <is>
          <t>しっかり；断固；断然；しかと；断乎</t>
        </is>
      </c>
      <c r="F1617" t="inlineStr">
        <is>
          <t>高いがっしり；筋肉質のがっしり；高くがっしり；骨太でがっしり；広いがっしり</t>
        </is>
      </c>
      <c r="H1617" t="n">
        <v>29</v>
      </c>
      <c r="I1617" t="inlineStr">
        <is>
          <t>私は強くがっしりとした悟郎の腕に支えられながら、車の中に運ばれた。；だが、そのときすでに彼の首を氷のような手ががっしりととらえていた。；五〇歳よりわずかに手前かと見える、身体つきのがっしりした男であった。；スパーホークよりもわずかに背が低く、肩はがっしりした戦士のものだ。；しかし刳物台に坐っているときの彼のなんとがっしりしていることよ。；がっしりとした体格をした男は、こちらに背を向けて立ち尽くしている。；君は脚もがっしりしているし、前に彫刻のモデルになったことがあるかね?；ただ、巨大臼歯からはがっしりした顎を持っていたことが推定されている。；重い扉が開かれると、空地に、背の低い、がっしりした男が立っていた。；脚はカブトムシなどのような棘は発達しないが、長くがっしりしている。；足はがっしりとしており、地上生活に適している形態をした種が多い。；右腕が少しがっしりしているのは、子供の頃からやっている野球のせいだ。；彼は小柄でがっしりした男であったが、赤ら顔で気は短かそうであった。；鉄でがっしり止めた、狭い扉が一つあり、それが唯一の入口であった。；かれは十九世紀のあの先祖と同じようにがっしりした背の低い男であった。；若いころ鍛えたことを窺わせる、かなりがっしりとした身体つきだった。；がっしりとした筋骨隆々の体つきだが脚は長く、頭はあまり大きくない。；小さいながらにがっしりとした造りで、四辺には松が一面に枝を張っていた。；痩せてこそいないが、無駄な肉のなさそうながっしりした体躯をしていた。；遠目にも肩幅が広くてがっしりとしているために、他の人よりも目立つ。；これらのミンクは大きくがっしりしており、低いと短く広いを持っていた。；彼はがっしりした農夫で、その家で二人の娘に嫌われている若者に会った。；台所には、宿のあるじとおない年ぐらいの体のがっしりした女がいるだけだ。；きちんと剃った頬にはあばたの跡があり、がっしりした肩と腰をしていた。；全体にウシノシッペイに似た姿であるが、よりがっしりとした植物である。；彼は普通の服の姿で、大きく、がっしりと、ラヴィックのまえに立った。；古い壁、ちっぽけな窓、がっしりした扉には望みを託すわけにいかない。；腕や首筋が農夫の赤黒さに陽に焼けており、体全体ががっしりしてきた。；背が高く、がっしりとした男性で、矢のように真っ直ぐに立っていた。</t>
        </is>
      </c>
      <c r="J1617">
        <f>HYPERLINK("https://www.weblio.jp/content/がっしり", "词义详情")</f>
        <v/>
      </c>
      <c r="K1617">
        <f>HYPERLINK("https://yourei.jp/がっしり", "查看例句")</f>
        <v/>
      </c>
    </row>
    <row r="1618">
      <c r="A1618" t="inlineStr">
        <is>
          <t>活性化</t>
        </is>
      </c>
      <c r="B1618" t="inlineStr">
        <is>
          <t>成功</t>
        </is>
      </c>
      <c r="C1618" t="inlineStr">
        <is>
          <t>読み方：かっせいか
［名］(スル)
１特定の機能が活発になること。反応性が高まること。
２組織などの活動を活発にすること。「地域社会を—する」</t>
        </is>
      </c>
      <c r="D1618" t="inlineStr">
        <is>
          <t>活性化因子(2%)；活性化事業；活性化状態；活性化策；活性化ループ</t>
        </is>
      </c>
      <c r="E1618" t="inlineStr">
        <is>
          <t>賦活</t>
        </is>
      </c>
      <c r="F1618" t="inlineStr">
        <is>
          <t>転写活性化；商店街活性化；産業活性化；補助活性化；等活性化</t>
        </is>
      </c>
      <c r="G1618" t="inlineStr">
        <is>
          <t>活性化関数；活性化部分トロンボプラスチン時間；活性化誘導シチジンデアミナーゼ；活性化障壁</t>
        </is>
      </c>
      <c r="H1618" t="n">
        <v>29</v>
      </c>
      <c r="I1618" t="inlineStr">
        <is>
          <t>従来ERの活性化のスイッチはリガンドの結合であると考えられてきた。；議会改革の案には本会議の活性化や教書議論の導入が盛り込まれていた。；一方で商店街の活性化を期待して新たに実施される例も見られる。；このことは活性化が強力に制御されていることを意味する。；文化芸術都市・吉祥寺の街の活性化の一環として1986年にスタート。；なお上記の祭り以外にも、地域の活性化のためにさまざまなイベントが開催されている。；ただし脳の活性化は脳機能向上を意味するものではない。；活性化への活用が進む一方、その行き過ぎた商業主義への批判もみられる。；が、経済の活性化に最も貢献したのは皮肉にもマフィアであった。；プログラムはこの動きを支援し、中心街再活性化も促すことになった。；様々な場面でクリエイティブ産業の活性化を目指した取り組みを行う施設。；エタノール単独の場合は、行動制御の抑制と活性化の両方の側面が低下した。；地域の個人が足利市活性化のために土地を購入、足利元気隊/いいねこ。；これに対し、市は様々な政策を施してダウンタウンの再活性化を図った。；図書館の改善運動にも積極的で、近年は特に小中学校の図書館の活性化に努めている。；ウサギでミクログリアの活性化を抑制する作用などが示唆されている。；議論の活性化のために、進行中の議論をここに掲載してください。；各リーグが集い強化活動の充実及び運営の活性化を図る目的により結成された。；球界の活性化のためには「巨人はパ・リーグに行くべき」だと主張している。；新しいオーナーは素早く動いて会社を再活性化・再組織化した。；の活性化は、インターフェロンガンマと細胞溶解能の両方に必要である。；その結成・活動の目的は主に「地域の活性化」が挙げられる。；今後はテーマパークのような施設で引退馬支援に加え、地域の活性化への貢献も目指すこととしている。；米山革命を機にJWP全体で女子プロレスの活性化を図る動きが盛んになった。；または針畑活性化組合が行うガイドツアーによっても入林が可能となっている。；こうした変化で中野ブロードウェイ全体の商業活性化に繋がったとの意見もある。；北勢線の活性化を図るため、以下の4つの事業が進められている。；近年、商店街の再活性化などで和田の著書が参考にされる事が多い。；現在、宮城大学の学生らによる街の再活性化プロジェクトなどが試みられている。</t>
        </is>
      </c>
      <c r="J1618">
        <f>HYPERLINK("https://www.weblio.jp/content/活性化", "词义详情")</f>
        <v/>
      </c>
      <c r="K1618">
        <f>HYPERLINK("https://yourei.jp/活性化", "查看例句")</f>
        <v/>
      </c>
    </row>
    <row r="1619">
      <c r="A1619" t="inlineStr">
        <is>
          <t>合致</t>
        </is>
      </c>
      <c r="B1619" t="inlineStr">
        <is>
          <t>成功</t>
        </is>
      </c>
      <c r="C1619" t="inlineStr">
        <is>
          <t>読み方：がっち
［名］(スル)ぴったり合うこと。一致すること。「目的に—する」「二人の見解が—する」</t>
        </is>
      </c>
      <c r="D1619" t="inlineStr">
        <is>
          <t>合致するもの(4%)；合致すれ；合致式</t>
        </is>
      </c>
      <c r="E1619" t="inlineStr">
        <is>
          <t>契約；約束；一致；承認；承知</t>
        </is>
      </c>
      <c r="F1619" t="inlineStr">
        <is>
          <t>うまく合致；像合致；霊肉合致；良く合致；合致する</t>
        </is>
      </c>
      <c r="H1619" t="n">
        <v>29</v>
      </c>
      <c r="I1619" t="inlineStr">
        <is>
          <t>ここでは、一部の定められた条件に合致する車両だけが通行可能である。；しかし、おおかね地域の範囲はいくつかの県をまとめたものと合致する。；この幕府の事件解決方針は、まさに嘉兵衛の予想と合致するものだった。；これは地形が企業的農業に要求される形状と合致しないことによる。；建設の際には目的に合致した都市インフラ設備の整備も合わせて行われる。；また、その時期はバス海峡に陸橋が形成されたであろう時期と合致する。；これは江戸市場の発展を促そうとする幕府の政策とも合致するものであった。；このため、新規定に合致したマシンを新たに開発することとなった。；タレントや話題の人物を現代の世相に合致させた作風が特徴とされる。；完成後に制定された交通バリアフリー法にも合致するように整備がなされた。；するとこの法則が史実の戦闘結果と合致しないことが明らかになった。；その結果、演奏している俳優の指の動きは楽曲に合致していない。；彼が行ったさまざまな実験結果と、これらの推理は合致すると主張している。；これは正にリンツァン王国が20世紀まで存在していた地域と合致する。；第二次世界大戦末期のドイツに最も合致した戦車とも言われる。；医療制度は目標とする地域の医療ニーズに合致するように設計される。；これは閩語の音体系に、切韻の音体系と合致しない部分があるためである。；それはソ連の過去の行動パターンにも予測する政策にも合致しないことであった。；歯を使う摩擦音であっても上記の定義に合致しない ・ は歯擦音ではない。；この時期はの一因となるユーラシアを通じた現代人類の拡大と合致している。；従って、以下に示す内容に必ずしも合致しなければならないわけではありません。；レジームのこの定義は、他の当時の定義づけと合致しているとされる。；パース部分はW3Cによる勧告に合致することを目標に作成されている。；車体の主要緒元は輸送実績に合致したコキ106形をベースとした。；この性質はおばあさん細胞に求められる条件に合致したものである。；その事業部門から送り出されるものは全米のそれに極めて合致している。；これは台湾の人々の信仰感情と合致していたからである。；実験に問題がないと仮定して、予測と結果が合致すれば仮説への証拠となる。；現存している3点の作品にはこの聖カテリナに合致する人物像は残っていない。</t>
        </is>
      </c>
      <c r="J1619">
        <f>HYPERLINK("https://www.weblio.jp/content/合致", "词义详情")</f>
        <v/>
      </c>
      <c r="K1619">
        <f>HYPERLINK("https://yourei.jp/合致", "查看例句")</f>
        <v/>
      </c>
    </row>
    <row r="1620">
      <c r="A1620" t="inlineStr">
        <is>
          <t>がっちり</t>
        </is>
      </c>
      <c r="B1620" t="inlineStr">
        <is>
          <t>成功</t>
        </is>
      </c>
      <c r="C1620" t="inlineStr">
        <is>
          <t>［副］(スル)
１引き締まっていて丈夫そうなさま。頑丈なさま。がっしり。「—（と）したからだつき」
２すきまなく組み合うさま。「—（と）手を握る」
３抜け目なく物事をするさま。勘定高いさま。「—（と）金をためる」「あいつは—している」「—屋」</t>
        </is>
      </c>
      <c r="D1620" t="inlineStr">
        <is>
          <t>がっちりと固定；がっちりと掴ん；がっちりと固め；がっちりとつかん；がっちりつかん</t>
        </is>
      </c>
      <c r="E1620" t="inlineStr">
        <is>
          <t>しっかり；ぴったり；ぴたり；ぴたりと；確か</t>
        </is>
      </c>
      <c r="F1620" t="inlineStr">
        <is>
          <t>肩をがっちり；手首をがっちり；がっちりとおさえ；がっちり組ん；がっちり握り</t>
        </is>
      </c>
      <c r="G1620" t="inlineStr">
        <is>
          <t>がっちりマンデー</t>
        </is>
      </c>
      <c r="H1620" t="n">
        <v>29</v>
      </c>
      <c r="I1620" t="inlineStr">
        <is>
          <t>それはわたしのようにがっちりした背丈の低い男には適した運動なのだ。；がっちりした人間の鼻、きりっとした人間の口はかすかに微笑している。；心の奥底にがっちりと根を張った恐れを振り払うことなどできはしない。；僕は、飛び出して行きそうになったが、先生が肩をがっちり掴んでいた。；アイラは肌に浴びた視線から、客の心をがっちり掴んでいると確信した。；みな四十半ばぐらいで、がっちりした体格の精悍な感じの男たちだった。；菊枝は決心のかたさを示すように、父のその眼をがっちりと受けとめた。；誰もが自分の財産をがっちり守りはじめたら、泥棒の生活は大変ですよ。；その奥は、がっちりした和風建築の二階家で、これも戸が閉まっている。；意志が自分の権利を主張しはじめた、あのがっちりした髯のある男が!；目の前には白い花束を抱えた三十前後のがっちりした体格の男が立っていた。；粘土のように形を変えた床が、がっちりとタバサの足首をつかんでいた。；支配者は国民をがっちりと治めていることを楽しんでいるかもしれない。；三原の攻撃をがっちりと受け止めて仁王立ちになっているようであった。；がっちりした肩を突き合わせた彼等の密集は底強い圧力を感じさせた。；そして、また、がっちりと錠を卸して、あとをも見ずに寺を出て行った。；異様に肌の色の黒い男で、肩幅が広くがっちりした体つきをしていた。；パイロットだけはまだ生きていて、がっちり制御装置にとりついていた。；さらにもう一人のベテランのウィリスも、センターをがっちりと埋めた。；母に似て体はがっちりしているが、背のたかさは母とおっつかっつである。；両側から腕をがっちりとつかまれていてそれどころではなかったのだ。；がっと開いた大顎が、落ちて来た大鰐の胴体をがっちりと咥えこむのを。；その年の秋、やせた僕は軍隊に入り、がっちりして見える彼は残った。；これは予想できなかったのか、 その掌がリロイの喉をがっちりと掴む。；すると若い男たちが器具と私の左手を別の拘束器具でがっちりと固定した。；身長はそんなに高くはないが、肩幅が広くがっちりしていて腕力が強い。；もう一人は、大男よりも背は低いが、がっちりした身体つきに見える。；体つきががっちりしている人だね、肉体労働系の仕事をしていそうだ。；その細い腰には、背後から鵺の腕が伸びて、がっちりとつかんでいる。</t>
        </is>
      </c>
      <c r="J1620">
        <f>HYPERLINK("https://www.weblio.jp/content/がっちり", "词义详情")</f>
        <v/>
      </c>
      <c r="K1620">
        <f>HYPERLINK("https://yourei.jp/がっちり", "查看例句")</f>
        <v/>
      </c>
    </row>
    <row r="1621">
      <c r="A1621" t="inlineStr">
        <is>
          <t>勝手</t>
        </is>
      </c>
      <c r="B1621" t="inlineStr">
        <is>
          <t>成功</t>
        </is>
      </c>
      <c r="C1621" t="inlineStr">
        <is>
          <t>読み方：かって
［名・形動］
１他人のことはかまわないで、自分だけに都合がよいように振る舞うこと。また、そのさま。「そんな—は許さない」「—なことを言うな」「—に使っては困る」「—にしろ」
２何かするときの物事のぐあいのよしあし。都合や便利のよいこと。また、そのさま。「この間取りではどうも—が悪い」「使い—(がって)がいい」
「何坊さんも早く寝た方が—だあね」〈漱石・彼岸過迄〉
［名］
１台所。「—仕事」
２暮らし向き。生計。「—が苦しい」
３自分がかかわる物事のようす・事情。「仕事の—がわからない」「—が違う」「—知ったる他人の家」
４弓の弦を引くほうの手。右手。左手より力が勝ちやすいからいう。引き手。
[用法]かって・きまま——「団体生活では、勝手な（気ままな）行動は許されない」など、自分の思い通りに振る舞う意では、相通じて用いられる。◇「勝手」は自分だけの都合や判断で行動する意が中心で、「勝手に僕の部屋に入らないでくれ」「勝手ながら休ませていただきます」などでは「気まま」に置き換えられない。◇「気まま」は、「気ままに旅行する」「一人暮らしの気ままさ」のように、他人には迷惑をかけないで、自由に振る舞う意があり、この場合は「勝手」に置き換えられない。◇類似の語に「わがまま」がある。「わがまま」は個々の行動ではなく、態度や性格全体についていう。「一人娘でわがままに育ってしまった」「わがままな振る舞い」</t>
        </is>
      </c>
      <c r="D1621" t="inlineStr">
        <is>
          <t>勝手気まま；勝手知ったる；勝手な行動；勝手な想像；勝手な真似</t>
        </is>
      </c>
      <c r="E1621" t="inlineStr">
        <is>
          <t>台所；任意；一方的；キッチン；厨房</t>
        </is>
      </c>
      <c r="F1621" t="inlineStr">
        <is>
          <t>御勝手；それぞれ勝手；手前勝手；めいめい勝手；ご勝手</t>
        </is>
      </c>
      <c r="G1621" t="inlineStr">
        <is>
          <t>勝手にしやがれ；勝手気儘；勝手元；勝手次第；勝手連</t>
        </is>
      </c>
      <c r="H1621" t="n">
        <v>29</v>
      </c>
      <c r="I1621" t="inlineStr">
        <is>
          <t>その場合はほとんどの作品が勝手に編集されて大幅にカットされている。；校舎はそれ自体が意思らしきものを持っていて、勝手に動くこともある。；ただし、その人が本来やろうとしたことを勝手に変えることはできない。；クレイのこれまでのニッチな市場とは勝手が違いすぎたためと思われる。；そのためかマドレーヌだけは好きな役を勝手に選ぶ権利が保証されていた。；正式な呼称はなく、メンバーそれぞれが好き勝手に名前をつけている。；二館分のスペースをどう使おうと勝手だろと開き直り、結局一館にした。；なお、登場以前に勝手に休暇を取って圭一が代わりに働いたことがある。；作者によれば九段先生は勝手に出てきたキャラクターだという。；しかし、その間に自分の身体が勝手に大きくなりはじめていることを感じる。；また、機嫌が悪くなるとプレイヤーの指示を無視して勝手に行動を始める。；そこで勝手に深夜のポルノ・ショップへ忍び込み捜査をすることにした。；幼い頃から父親の馬を勝手に乗り回すほど活発な少女であったという。；プログラムを実行すると体が勝手に動いて、仕事を片付けることができる。；このように、必ずしも夫が好き勝手に易々と離婚できる制度ではなかった。；私が誰と関係を持とうが私の勝手だし、それを誰かに話す事はない。；戦うを選んでもなにもしなかったり勝手に抜けたりするなど。；そのため江川は人気獲得度外視で好き勝手なストーリーを展開させる。；湯や茶を勝手に飲むことができず、土の上に降りてはならない。；なお、自然と読んだ場合、むしろあり得ないものが勝手に生まれるのを指す。；すると部室にあったパソコンが勝手に起動し、メッセージが表示される。；この件に関してペイジは、レコード会社が勝手にやったと主張している。；柱は手前側のものを勝手柱・客柱と呼び、奥側は角柱・向柱と呼ぶ。；あてもなく旅をして、誰かの家の天井裏などに勝手に住んでいる。；勝手に土葬をした場合の罰則もあるが、十分に守られているとは言えない。；家族はみな勝手気ままだったがそれなりに幸せな生活を手に入れる。；能力の制御は非常に難しく、慣れていないと体が勝手に自然物に変化してしまう。；また本作から大名家を滅ぼしても大名が勝手に自害することはなくなった。；まず、映画の配給元が主演女優を勝手に選んできてしまったのだ。</t>
        </is>
      </c>
      <c r="J1621">
        <f>HYPERLINK("https://www.weblio.jp/content/勝手", "词义详情")</f>
        <v/>
      </c>
      <c r="K1621">
        <f>HYPERLINK("https://yourei.jp/勝手", "查看例句")</f>
        <v/>
      </c>
    </row>
    <row r="1622">
      <c r="A1622" t="inlineStr">
        <is>
          <t>かつて</t>
        </is>
      </c>
      <c r="B1622" t="inlineStr">
        <is>
          <t>成功</t>
        </is>
      </c>
      <c r="C1622" t="inlineStr">
        <is>
          <t>読み方：かつて
［副］
１過去のある一時期を表す語。以前。昔。「—京都にいたころ」「—の名選手」
２（あとに打消しの語を伴って用いる）今まで一度も。ついぞ。「—ないにぎわいを見せる」「いまだ—聞いたことがない」
３（あとに打消しの語を伴って用いる）まったく。全然。
「木高(こだか)くは—木植ゑじほととぎす来鳴きとよめて恋増さらしむ」〈万・一九四六〉
[補説]近世以降「かって」ともいう。</t>
        </is>
      </c>
      <c r="D1622" t="inlineStr">
        <is>
          <t>かつてゐる；かつて存在した町；かつて岐阜県揖斐郡；かつて岐阜県本巣郡；かつて岐阜県安八郡</t>
        </is>
      </c>
      <c r="E1622" t="inlineStr">
        <is>
          <t>前；前に；以前；昔；過去</t>
        </is>
      </c>
      <c r="F1622" t="inlineStr">
        <is>
          <t>にかかつて；未だかつて；本田技研工業がかつて；かつて樺太豊栄郡栄浜村；かつて青森県上北郡天間林村</t>
        </is>
      </c>
      <c r="G1622" t="inlineStr">
        <is>
          <t>かつて存在したアメリカ合衆国の鉄道運営組織一覧；かつて存在した日本酒メーカー一覧；かつてん</t>
        </is>
      </c>
      <c r="H1622" t="n">
        <v>29</v>
      </c>
      <c r="I1622" t="inlineStr">
        <is>
          <t>かつては人間側の用途で分類する方法もしばしば用いられたことがある。；かつてのANNニュース系の番組の多くは共通のテーマ曲を用いていた。；これもかつて化学的分離や抽出が困難であった時代の名称の名残である。；以下の環境はかつて対応されていたが、現在では公式には対応されていない。；かつてこの楽器には魔力があると信じられ、戦場の軍楽隊で使用された。；かつてはレーザーディスクの映像再生機能を使用しているゲームもあった。；かつて当駅折り返しの列車が設定されていた頃にも使用されていた。；かつてはミクロンがマイクロメートルの代わりに使われることがあった。；この時期に、かつて両親が住んでいたモンパルナスの一角も訪ねている。；かつては地方振興局が設置されていたが統合・再編されて現在に至る。；かつては駅周辺に遊園地が存在していたが、現在は住宅地になっている。；この作風とペンネームゆえ、かつては女性と誤解されることが多かった。；かつての国鉄は解体され、官民協力体制の下で委託経営が行われている。；南武線の北側はかつての屋敷分村で、上記の通り旧駅名の由来となった。；もっとも、1986年時点で業容自体はかつての規模に戻りつつあった。；鉄道ではかつてはヒジャーズ鉄道が運行されていたが現在は廃止になっている。；これはかつての馬車で行われていた用途の継続でもあった。；かつては温度と熱の概念の区別が明確にされていなかった。；北部のかつてペルー領だった地域ではセビッチェが食べられることもある。；一方、かつては読み捨てられていたような本が高騰することもある。；かつては急行用の165系電車や通勤用の105系が主力車両であった。；移動式電話は、かつての自動車電話やその後に登場した携帯電話などである。；かつては州毎に三冠体系を設定していたが、こちらは現存しない。；かつてのDECの顧客を超えてシェアを獲得することは不可能だった。；現在独立している法律もかつては本法の一部を構成していた。；兵器体系はかつて中国から購入した哨戒艇などを除いて殆ど西側に準じている。；かつてのバントゥー語では別々だったクラスが合流したものである。；しかし、ルソー自身はかつて若いころにカトリック教徒に改宗していた。；かつては規模の大きい加盟国からは欧州委員会委員を2名出していた。</t>
        </is>
      </c>
      <c r="J1622">
        <f>HYPERLINK("https://www.weblio.jp/content/かつて", "词义详情")</f>
        <v/>
      </c>
      <c r="K1622">
        <f>HYPERLINK("https://yourei.jp/かつて", "查看例句")</f>
        <v/>
      </c>
    </row>
    <row r="1623">
      <c r="A1623" t="inlineStr">
        <is>
          <t>かつてない</t>
        </is>
      </c>
      <c r="B1623" t="inlineStr">
        <is>
          <t>成功</t>
        </is>
      </c>
      <c r="D1623" t="inlineStr">
        <is>
          <t>前代未聞の；史上最高の；空前の；未曾有の</t>
        </is>
      </c>
      <c r="H1623" t="n">
        <v>29</v>
      </c>
      <c r="I1623" t="inlineStr">
        <is>
          <t>お前さんのような飲んだくれにはその時にならなけりゃあ分らないのさ。；米国では理論だけの研究はほとんどなく理論と実証の往復が重視される。；まだ正式公開されていない上記以外の環境やカーネル版もいくつかある。；レストランでは、これらの全てを注文しなければならないわけではない。；しかし、比較的新しい学問なのでその定義ははっきりと確定していない。；表面にマグネタイトを形成する方法が一般的だがまったく充分ではない。；俺は俺のそうしたものを窓のなかへ吸いとられているのではなかろうか。；とは言うものの、先にも述べたように味の全く分らぬ者はまずなかろう。；それを自分が事業で成功して、 証明しなきゃならないと思ったんです。；このように真理概念は特定の言語に相対的に定義されなければならない。；そうしてこの矛盾は何とかして融和させねばならぬものではなかろうか。；またあの背の高いお嫌ひな人が君でなくってはならなかったらどうする。；子どものときでさえ、あいつはぼくを手ばなさなきゃならなかったんだ。；でも主人は地位を維持しようと思うなら、我慢しなきゃならないんです。；わたしは彼とでなけりゃ取り引きをするなっていわれてきてるんだから。；いやむしろ、あなたがそれに与えた解釈は真の命題でなければならない。；あたしを慕っているどこかの人からでももらったのかもしれなくってよ。；実際には何度も観測されてはいたが惑星とは認識されていなかった。；まさかお前さんがそんなことを思うだろうとは、わたし思わなくってよ。；夢であろうとなかろうと、私はかつて知っており、その時も知っていた。；なぜそんな目に会った人たちは、助けを求めなけりゃならないのかしら?；その時僕たちはどうしても北の方に行かなきゃいけないようになるんだ。；このあたりのことをよく知っている人間をだれかつかまえなきゃならん。；それでも何とかしなけりゃあならないから、出来るだけは働きましたよ。；けれどもこれらはごく普通の場合でなくってまあ例外というてよろしい。；プログラムが正しいことを確認するには、それを証明しなければならない。；それでは男にもそんな権利を所有させないようにしなきゃなりません。；日本では第60巻目の終わりなき戦いが最後に翻訳されたエピソード。；一般に俳優ひとりが欠けるだけでも舞台や撮影が成立しなくなってしまう。</t>
        </is>
      </c>
      <c r="J1623">
        <f>HYPERLINK("https://www.weblio.jp/content/かつてない", "词义详情")</f>
        <v/>
      </c>
      <c r="K1623">
        <f>HYPERLINK("https://yourei.jp/かつてない", "查看例句")</f>
        <v/>
      </c>
    </row>
    <row r="1624">
      <c r="A1624" t="inlineStr">
        <is>
          <t>合点</t>
        </is>
      </c>
      <c r="B1624" t="inlineStr">
        <is>
          <t>成功</t>
        </is>
      </c>
      <c r="C1624" t="inlineStr">
        <is>
          <t>読み方：がってん
［名］(スル)
１同意すること。うなずくこと。承知。がてん。「おっと—」
「頸(くび)に力を入れ、しっかり—しつつ」〈宮本・伸子〉
２理解すること。納得すること。得心。がてん。「一向に—がいかない」
３和歌・連歌・俳諧などを批評して、そのよいと思うものの肩につける「〽」「○」「・」などの印。また、その印をつけること。
４回状などを見終わり了承の意を表すために、自分の名前の肩に印をつけること。
５考え。心づもり。所存。
「ただ今より真人間になって孝行尽くす—なれども」〈浄・油地獄〉</t>
        </is>
      </c>
      <c r="D1624" t="inlineStr">
        <is>
          <t>合点がいか(10%)；合点がゆか(4%)；合点合点；合点がいきませ；合点ゆか</t>
        </is>
      </c>
      <c r="E1624" t="inlineStr">
        <is>
          <t>契約；約束；範囲；一致；承認</t>
        </is>
      </c>
      <c r="F1624" t="inlineStr">
        <is>
          <t>一人合点；大きく合点；合点がいき；すぐに合点；合点いたし</t>
        </is>
      </c>
      <c r="H1624" t="n">
        <v>29</v>
      </c>
      <c r="I1624" t="inlineStr">
        <is>
          <t>他人の知らぬことで私にだけ合点のゆくことを何か言ってみるがいい。；その話題を出したくて、宮崎勤のことを口にしたのだなと合点がいった。；ここを良く合点すれば散る気の習癖を除く道も自然と明らかなのである。；そして彼らが彼らの導くような生活をするのは道理があると合点がゆく。；その嘘である理由は今までやって来た分解で御合点が行ったはずであります。；柱の後ろから現れた男を見て、先からのやくざ者のしつこさを合点する。；お清が何のつもりでそういうことをしたのか、彼には合点がゆかなかった。；さうして四辺の景色も別に変つてゐないやうだし、合点の行かぬ事だ。；だが、同じくステージを見ていた楓子が、何かを合点したように頷いた。；しかし冬には帰るだろうと、私の一人合点で勝手にやってきたのだ。；人生に区切りをつけるのは人おのおのの勝手だとひとりで合点していた。；そのために彼はどんな乱暴をしてもかまわないのだと一人合点をした。；父親はこの頃為吉が妙にふさいでばかりいるのが合点がいかないのでした。；七年前といえば、君もすぐに、ああ、あの時期だなと合点がゆくと思う。；娘は合点が行ったと見えて、駆けて内へ這入って出刃庖刀を取って来た。；そこで、生死の二つあるものでないと合点の心が疑はぬと云ふものなり。；それで、まだそのうわさの一団を知らなかったものたちも合点がいった。；しかし、おみよにまで同じように、それを求めることには合点がいかない。；そこを合点した方でも、とかくは波風騒ぐ世の例はどこにもございます。；すると、あまりに簡単に合点した自分の胸に却っておどろくのであった。；自分の主人なら甥のためにも主人に相違ないと合点したものらしい。；この辺は、あるいは読者には通じない一人合点であるのかもしれない。；善光はそれを二つとも食べてしまって、初めて合点したようにいった。；つまり、こういうことがおわかりになれば、なるほどと合点されましょう。；これがもし、ただ一種類だけの蛾の習性だというなら、まだ合点もいく。；そう考えたほうが、不幸な偶然が重なったと考えるよりも合点がいく。；いったいあいつどこをほっつき回る所があるんだろう、合点がいかない。；ソクラテスは、自分は内容に合点がいくまで答えないとそれを拒否する。；それ故父は店の計算の上に合点の行かぬ穴を見出すのが常であつた。</t>
        </is>
      </c>
      <c r="J1624">
        <f>HYPERLINK("https://www.weblio.jp/content/合点", "词义详情")</f>
        <v/>
      </c>
      <c r="K1624">
        <f>HYPERLINK("https://yourei.jp/合点", "查看例句")</f>
        <v/>
      </c>
    </row>
    <row r="1625">
      <c r="A1625" t="inlineStr">
        <is>
          <t>活動</t>
        </is>
      </c>
      <c r="B1625" t="inlineStr">
        <is>
          <t>成功</t>
        </is>
      </c>
      <c r="C1625" t="inlineStr">
        <is>
          <t>読み方：かつどう
［名］(スル)
１活発に動くこと。ある動きや働きをすること。「暖かくなって虫が—し始めた」「—範囲が広い」「火山—」
２「活動写真」の略。
「ちょいと—でも見るつもりが」〈高見・如何なる星の下に〉</t>
        </is>
      </c>
      <c r="D1625" t="inlineStr">
        <is>
          <t>活動する(7%)；活動開始；活動範囲；活動期間；活動初期</t>
        </is>
      </c>
      <c r="E1625" t="inlineStr">
        <is>
          <t>映画；行動；写真；行い；行</t>
        </is>
      </c>
      <c r="F1625" t="inlineStr">
        <is>
          <t>演奏活動；研究活動；支援活動；講演活動；主な活動</t>
        </is>
      </c>
      <c r="G1625" t="inlineStr">
        <is>
          <t>活動中；活動休止；活動拠点；活動写真；活動停止</t>
        </is>
      </c>
      <c r="H1625" t="n">
        <v>29</v>
      </c>
      <c r="I1625" t="inlineStr">
        <is>
          <t>この子供向け漫画を中心とした第 2期の活動は1966年まで続いた。；戦前から活動してきた日本学術振興会第23小委員会に端を発している。；しかし、いつどのように活動が変化するかを予測することは非常に難しい。；この時代を代表する動きはドイツではじまった薔薇十字団の活動である。；初期は少年誌で活動していたが、後に青年誌でも執筆するようになった。；以降、多くの出版社で青年向けの漫画雑誌を中心に執筆活動をしている。；しかしながら、反対派の活動が徹底的に排除される中での選挙であった。；コワルスキの活動と の存在によって、英国は 研究の中心地となった。；映画化の折には、作品内容に踏み込んで、熱心なファン活動も見られた。；しかしそのようなプレート活動があった証拠はまだ確認されていない。；彼はまた旺盛な制作活動に戻ったが批判も聞かれるようになった。；セントヘレンズ山は州内で現在も活動を続けている唯一の火山である。；陸上の無脊椎動物では、周囲が湿っていなければ活動できない種も多い。；民間からも難民を助ける会などのNGOが現地で援助活動をしていた。；その一方で、多くの人が描かなくなる年齢を過ぎても活動的に絵を描く人々が居る。；後に漫画の投稿活動を再開したときから、このペンネームを使用している。；自由ソフトウェアの理想を推し進めることを目的に様々な活動をしている。；ほとんどの教育・研究活動はここを中心に行われている。；約20万年前から活動を行い、約4万年前頃に現在の形に近い物となった。；また、ロンドン自体が巨大な消費市場であるため、商業活動も活発である。；以後16年間この職に従事しつつ、余暇を利用して執筆活動を続けた。；BDNFは中枢神経に特に豊富で、神経活動依存的に合成・分泌される。；ブルバキはセミネール・ブルバキの形で今でもその活動を続けている。；以降、解散などのアナウンスもないまま、YMOは再び活動を停止する。；ウィリアムズはF1以外にも過去に下記のような活動を行っている。；また、大学院は教育だけでなく、大学における研究活動を行う機関である。；プロモーターとの契約が成立した時点でプロ活動が可能になる。；ベルリオーズはこの組織の会長と指揮者に就任して演奏活動を活発に行う。；以下は2009年から現在までのモータースポーツ活動の記録である。</t>
        </is>
      </c>
      <c r="J1625">
        <f>HYPERLINK("https://www.weblio.jp/content/活動", "词义详情")</f>
        <v/>
      </c>
      <c r="K1625">
        <f>HYPERLINK("https://yourei.jp/活動", "查看例句")</f>
        <v/>
      </c>
    </row>
    <row r="1626">
      <c r="A1626" t="inlineStr">
        <is>
          <t>活発</t>
        </is>
      </c>
      <c r="B1626" t="inlineStr">
        <is>
          <t>成功</t>
        </is>
      </c>
      <c r="C1626" t="inlineStr">
        <is>
          <t>読み方：かっぱつ
［形動］［文］［ナリ］元気で勢いのよいさま。行動・活動などが生き生きとして盛んなさま。「—な子供」「—な論議」「火山活動が—になる」
[派生]かっぱつさ［名］</t>
        </is>
      </c>
      <c r="D1626" t="inlineStr">
        <is>
          <t>活発化(16%)；活発な活動(2%)；活発な議論；活発な性格；活発な地域</t>
        </is>
      </c>
      <c r="E1626" t="inlineStr">
        <is>
          <t>盛ん；元気；積極的；盛んに；熱い</t>
        </is>
      </c>
      <c r="F1626" t="inlineStr">
        <is>
          <t>明るく活発；活発な噴気；活発に泳ぎ回る；活発な星形成；活発なサークル活動</t>
        </is>
      </c>
      <c r="H1626" t="n">
        <v>29</v>
      </c>
      <c r="I1626" t="inlineStr">
        <is>
          <t>この頃から国や自治体など行政が主体となった組織的な研究が活発化した。；晩年には南京事件の存在に否定的な立場からの言論活動を活発に行った。；ソ連時代に禁じられていた放送・出版も活発に行われるようになった。；ダルムシュタットの歴史は様々な小さな博物館で活発に展示されている。；中でも日本酒については、海外への普及を目指して活動を活発化させた。；島の形成は、火山活動に加えて現在も続いている活発な隆起活動による。；室町時代には既に栽培が行われていた記録があり、戦後栽培が活発化した。；バークレーの学生は全米の大学の中でも特に活発だとして知られている。；突撃隊の活動はますます活発になり、多数の死者を出す事件が続発した。；祈りの会や黙想会は、現代でも教会と関連施設で活発に開催されている。；それに伴いMSXによる音楽活動も比較的少数ではあるが再活発化した。；また、ロンドン自体が巨大な消費市場であるため、商業活動も活発である。；また芸術保育類型を設立しており校内外の行事に活発的に活動している。；この理論を元に活発に議論が行われているのが、パンスペルミア説である。；ベルリオーズはこの組織の会長と指揮者に就任して演奏活動を活発に行う。；一方で、國學院大學内に郷土研究会を創設するなどして活発に活動する。；アルマン・デュポルタルに代表される共和主義者が非常に活発であった。；中世以降、商業が活発になると譜代下人などの形態も見られるようになる。；そして明の時代になると経鋪は活発に活動するようになっていた。；これに対応して、フランスには競争力のある活発な宇宙産業が育まれた。；現在の港湾自体は江戸時代の1700年代より活発に利用されてきた。；日本と元の間には民間レベルで貿易が活発に行われていた。；飼いやすい犬種だが比較的活発な気質で、それなりの運動が必要となる。；この問題についてはユニコードコンソーシアムで活発に議論されている。；しかし、キラウエア火山の運動が活発になると立入禁止になる事がある。；一方、濾胞に移動したものは大型化し、さらに活発に分裂するようになる。；高等学校は中退したが、スポーツもやっていて活発な女性であった。；これを受けて、他球団のスカウトが大下獲得に向けて活発な活動を始める。；それらの課題に対応する形で、以下の動きが活発になってきた。</t>
        </is>
      </c>
      <c r="J1626">
        <f>HYPERLINK("https://www.weblio.jp/content/活発", "词义详情")</f>
        <v/>
      </c>
      <c r="K1626">
        <f>HYPERLINK("https://yourei.jp/活発", "查看例句")</f>
        <v/>
      </c>
    </row>
    <row r="1627">
      <c r="A1627" t="inlineStr">
        <is>
          <t>合併</t>
        </is>
      </c>
      <c r="B1627" t="inlineStr">
        <is>
          <t>成功</t>
        </is>
      </c>
      <c r="C1627" t="inlineStr">
        <is>
          <t>読み方：がっぺい
［名］(スル)二つ以上のもの、特に組織などが一つに合わさること。また、合わせること。「二社が—する」「町村—」</t>
        </is>
      </c>
      <c r="D1627" t="inlineStr">
        <is>
          <t>合併後(6%)；合併前(3%)；合併される；合併時；合併協議</t>
        </is>
      </c>
      <c r="E1627" t="inlineStr">
        <is>
          <t>所属；含む；一緒；共同；接続</t>
        </is>
      </c>
      <c r="F1627" t="inlineStr">
        <is>
          <t>編入合併；合併推進；合併交渉；球団合併；合併案</t>
        </is>
      </c>
      <c r="G1627" t="inlineStr">
        <is>
          <t>合併協議会；合併号；合併構想；合併特例債；合併特例区</t>
        </is>
      </c>
      <c r="H1627" t="n">
        <v>29</v>
      </c>
      <c r="I1627" t="inlineStr">
        <is>
          <t>ここでは、1983年に旧ポピーとの合併後に提供した番組を記載する。；これは、鷹巣町が北秋田市へと合併する前の表記に合わせたことによる。；合併の際に、両自治体の名称を合わせて新たにつけられた合成町名である。；の内部は に含まれる開集合すべての合併をとることで構成できる。；合併と名称変更を経てホルト社は1925年にキャタピラー社となった。；そこでは異なるキリスト教派の訓練機関が合併してが設立されたばかりであった。；合併消滅時点のもの 町内には4つの小学校と2つの中学校があった。；本社・各支社のバスは合併前の会社エリアを主に運行している。；次の各号の一に該当するときは合併をしてはならない。；合併経緯からか泉区は仙台市の他区と比べて特別的扱いが多いと見られている。；合併後は作品数の増加などにより、連載作品の休載が多くなっている。；このような状況に刺激をうけた住民が1962年ごろより大規模な合併運動を開始。；ただし指定後に沿線の自治体が合併したために上記のような性格を持たないものもある。；また、合併前の旧熊山町の中心地松木地区も当駅からやや離れている。；のちにドイツでは合併対価に株式を含むことが要件かどうかも議論となった。；なお、合併後の益田市の市域面積は、島根県内の自治体では最大である。；北車と南車が合併して誕生した中車が製造を担当している。；市町村の合併によって、現在以下の地域が指定都市移行を目指している。；またこの合併により三重県内の市町で最大の面積を持つようになった。；統合・合併で誕生した巨大銀行を指す場合もある。；四谷区・牛込区・淀橋区が合併する際、 との理由で新区名に採用された。；暗黒組織・ゲルダム団と自身の組織ショッカーを合併・再編成した新組織。；壱岐市合併前に、旧石田村に編入した地域を除き町域名の前に郷ノ浦町。；また、2005年の合併以前に柳川市内にあったのは蒲池駅だけである。；ほか3村は大字未設置であったが、合併後は旧村名を住所に表記している。；これは法人の合併や買収に関連する法人間の紛争を扱うことが多い。；など以前からあったものの合併実現のために抑えられていた問題が再び論じられるようになった。；合併の性質の捉え方として、企業会計上、二つの相反する考え方がある。；ミラーは買収・合併されて、現在は南アフリカ籍の会社となっている。</t>
        </is>
      </c>
      <c r="J1627">
        <f>HYPERLINK("https://www.weblio.jp/content/合併", "词义详情")</f>
        <v/>
      </c>
      <c r="K1627">
        <f>HYPERLINK("https://yourei.jp/合併", "查看例句")</f>
        <v/>
      </c>
    </row>
    <row r="1628">
      <c r="A1628" t="inlineStr">
        <is>
          <t>活躍</t>
        </is>
      </c>
      <c r="B1628" t="inlineStr">
        <is>
          <t>成功</t>
        </is>
      </c>
      <c r="C1628" t="inlineStr">
        <is>
          <t>読み方：かつやく
［名］(スル)
１めざましく活動すること。「社会の第一線で—する」
２勢いよく躍りはねること。
「無用の長物を利用して一大—を試みた所が」〈漱石・吾輩は猫である〉</t>
        </is>
      </c>
      <c r="D1628" t="inlineStr">
        <is>
          <t>活躍する(11%)；活躍馬；活躍次第；活躍した産駒；活躍譚</t>
        </is>
      </c>
      <c r="E1628" t="inlineStr">
        <is>
          <t>動き；活性；放射能</t>
        </is>
      </c>
      <c r="F1628" t="inlineStr">
        <is>
          <t>幅広く活躍；長く活躍；活躍する産駒；活躍する実力派；活躍するローカルタレント</t>
        </is>
      </c>
      <c r="G1628" t="inlineStr">
        <is>
          <t>活躍ぶり</t>
        </is>
      </c>
      <c r="H1628" t="n">
        <v>29</v>
      </c>
      <c r="I1628" t="inlineStr">
        <is>
          <t>この時には、活躍する・大活躍するよりも強い意味を持つ場合が多い。；張りや存在感のある低音を生かした声で、多くの作品に出演し活躍した。；その娘の息子が、慶應高校に進学して高校野球で活躍した田村圭である。；ドラフト会議では夏の甲子園で活躍した将来性のある選手を次々と指名。；古くからホンダを除く主要日本メーカーのほとんどが参戦、活躍を見せた。；朝日新聞主催となった新名人戦で、当初活躍したのは大竹英雄であった。；そのため、新人賞としてものちのち活躍していく作家の率が非常に高い。；すくなくともマルキオンの活躍した時代に存在していたことは間違いがない。；なお後述の通り、R1編成は2022年現在も和田岬線で活躍している。；これを機に、以後多くのアニメ・吹き替えなどで声優として活躍した。；同時期に活躍した聖歌指揮者としてディミトリィ・リオフスキィがいる。；連盟では当時活躍していた著名美術家たちにも協力を求めた。；結果的に三管編成を完成させた時期はラヴェルが活躍した時代である。；彼は中国の民間信仰のなかで最も活躍する英雄の一人である。；千夜一夜物語にはユーラシアの大ネットワーク上で活躍する商人の話が多い。；現在でも商業BLで活躍すると同時に同人誌を出している作家は少なくない。；声優になる以前は児童向け劇団に所属し、舞台役者として活躍していた。；電撃文庫で活躍している作家が中心となって執筆していた。；現在、二人の娘が日本とエジプト・アラブとの橋渡しとして活躍中である。；このような佐原の土壌はのちの忠敬の活躍にも影響を与えたと考えられている。；このようにAV女優自体の存在・活躍が変化してきている。；この活躍は現代だけでなくタイムワープで飛んだ未来世界にも及ぶ。；作者名の後の括弧内は、その人が主に活躍するレーベルを示している。；ル・コルビュジエは、スイスで生まれ、フランスで主に活躍した建築家。；唐詩の名で知られるようにこの時代には李白や杜甫などの詩人たちが活躍した。；歴史的に騎馬民族が活躍した地域であり、昔から牧畜が盛んである。；はかばかしい成果がなく軍が撤退したためサラディンの活躍は伝えられていない。；これらスポーツでの活躍のほか、実家のピアノも演奏する。；日本での表記は彼が米国で活躍したため英語風にマーティン・ムンカッチとされることが多い。</t>
        </is>
      </c>
      <c r="J1628">
        <f>HYPERLINK("https://www.weblio.jp/content/活躍", "词义详情")</f>
        <v/>
      </c>
      <c r="K1628">
        <f>HYPERLINK("https://yourei.jp/活躍", "查看例句")</f>
        <v/>
      </c>
    </row>
    <row r="1629">
      <c r="A1629" t="inlineStr">
        <is>
          <t>活用</t>
        </is>
      </c>
      <c r="B1629" t="inlineStr">
        <is>
          <t>成功</t>
        </is>
      </c>
      <c r="C1629" t="inlineStr">
        <is>
          <t>読み方：かつよう
［名］(スル)
１物や人の機能・能力を十分に生かして用いること。効果的に利用すること。「学んだ知識を—する」「資料を—する」
２文法で、語がその用法の違いによって体系的に語形変化をすること。また、その変化の体系。日本語では用言（動詞・形容詞・形容動詞）および助動詞に活用がある。</t>
        </is>
      </c>
      <c r="D1629" t="inlineStr">
        <is>
          <t>活用すること(5%)；活用される(4%)；活用できる(3%)；活用するため；活用しよ</t>
        </is>
      </c>
      <c r="E1629" t="inlineStr">
        <is>
          <t>使用；利用；使う；運用；用いる</t>
        </is>
      </c>
      <c r="F1629" t="inlineStr">
        <is>
          <t>再活用；広く活用；フル活用；保存活用；最大限活用</t>
        </is>
      </c>
      <c r="G1629" t="inlineStr">
        <is>
          <t>活用語尾；活用能力；活用語；活用度</t>
        </is>
      </c>
      <c r="H1629" t="n">
        <v>29</v>
      </c>
      <c r="I1629" t="inlineStr">
        <is>
          <t>青春18きっぷを活用する方法などを記した書籍は多数出版されている。；ヨーロッパでは医療への活用が多数試され、その効果が発表されている。；しかし、キリスト教勢力はこの勝利を十分に活用することができなかった。；今後インカレポイントがどのように活用されていくのかは不明である。；作戦・戦闘が終結した後に地雷原は記録を活用して遅滞なく撤去される。；施設周辺に撤去した座席の一部が活用される予定となっている。；廃止後も、駅舎は下津井電鉄の旅行センターとして活用され残っている。；また、近年では信託を活用したストックオプション制度も登場している。；現在は工場跡地を活用した大規模な再開発や公園整備が行われている。；フランス軍の投射兵は活用されることなく、前衛の後ろに置かれていた。；当SAを活用した形でスマートインターチェンジの建設が検討されている。；なおこの技術はコンパクトカメラでも大いに活用されたものである。；これらは、県の中央部に位置していることから大会等での活用も図られます。；中には頭部をヘルメットのように活用して巣穴に蓋をする種もいる。；前述の生命の樹を中心にした象徴照応教義はこの時に最大活用された。；またVVVFインバータ制御の特性を活用して定速運転機能を付加した。；この際には建設費は約80億円で民間資本を活用して行うことが構想されていた。；また、映像記者紹介をするなど、インターネットの活用をしていた。；土地を有効活用するためにこのような形式がとられた。；井笠鉄道の線路跡は日本鉄道建設公団に買収され活用されることになった。；かつては山陰本線の保津峡駅として利用されていた施設が活用されている。；この重要で難解な作業を成功させるために、生物は遺伝子を活用する。；今後市民の憩いの場やイベント会場として活用される予定としていた。；クラウドサービスを活用した、より手軽な制作環境の提供に移行している。；投資面からは既存の路線バスなどを活用するほうが合理的であるとしていた。；後にセントアンソニー滝は製粉所の動力を供給するために活用された。；また教材や研究用として近年3DCGを活用したものも多く見られる。；健康麻将とも呼ばれ、脳のトレーニングや老化防止にも活用されている。；その発見はイギリス陸軍の作戦行動に活用され、数年間その発見は秘密にされた。</t>
        </is>
      </c>
      <c r="J1629">
        <f>HYPERLINK("https://www.weblio.jp/content/活用", "词义详情")</f>
        <v/>
      </c>
      <c r="K1629">
        <f>HYPERLINK("https://yourei.jp/活用", "查看例句")</f>
        <v/>
      </c>
    </row>
    <row r="1630">
      <c r="A1630" t="inlineStr">
        <is>
          <t>活力</t>
        </is>
      </c>
      <c r="B1630" t="inlineStr">
        <is>
          <t>成功</t>
        </is>
      </c>
      <c r="C1630" t="inlineStr">
        <is>
          <t>読み方：かつりょく
活動を生み出す力。元気よく動いたり働いたりする力。「体内に—がみなぎる」</t>
        </is>
      </c>
      <c r="D1630" t="inlineStr">
        <is>
          <t>活力源；活力あふれる；活力剤；活力溢れる；活力賦与</t>
        </is>
      </c>
      <c r="E1630" t="inlineStr">
        <is>
          <t>力；エネルギー；元気；油；パワー</t>
        </is>
      </c>
      <c r="F1630" t="inlineStr">
        <is>
          <t>新たな活力；新しい活力；地域活力；初活力；経済活力</t>
        </is>
      </c>
      <c r="H1630" t="n">
        <v>29</v>
      </c>
      <c r="I1630" t="inlineStr">
        <is>
          <t>まだ昼間なので、一行の中でも彼ら四人だけはまだ活力にあふれていた。；真実に道を求むる者は当然新しい活力ある方向に向かわなくてはならぬ。；それであればこそ之が機械論ではなくて一種の活力論であったわけである。；もとの活力がすこしでも残っていると、蘇生液は効果を発揮しないのだ。；たった一齧りの肉が、わずかずつだが確実に活力となってゆくのが判る。；その辺りの温泉に入ると心が洗われて、次の仕事への活力になるとのこと。；親なんて、若いモンを心配したふりをして活力をたくわえていくのです。；そこには時間的な要素はもはや消失し、活力的なものだけが残されている。；運動をした日は活力が余ってのいたずらが少しはおさえられるようです。；また、彼はあのとき活力を与えていた肉体から脱出することもできなかった。；今、私たちは、平和と希望と活力に満ちあふれる世界で暮らしています。；総長にでもなる人にはやはりそれだけの活力があるのかと思われた。；少しだらけていた私たちに、シャンパンとケーキが活力を与えてくれた。；この望みが、もう全く活力のない私を自分に捨てかねる原因になっている。；なにか目に見えない活力のようなものが、ふわりと老人たちを包み込む。；中国では犬肉も自分のエネルギーあるいは活力を促進すると考えられている。；胃袋に暖い食物が入ると、体はすっかり元に戻ったような活力を覚えた。；たっぷり寝たので元気と活力がよみがえり、考えると笑いそうになった。；だから布教活動をしているお坊さんというのは非常に活力があるんです。；そのたびに全身にゆっくりと活力がみなぎり、武者震いが生まれてきた。；活力にあふれる島民たちの様子も次第に異常な方向へと変化していく。；その皮のやわらかさ、かれのものになった火蜥蜴のその活力に驚嘆した。；そして人類が住む環境を改善するためにあり余る活力を使い果たしてきた。；その後第一次世界大戦が始まり民間航空が活力を失ったことなどから飛行をやめた。；そうした状況では行動食が唯一の栄養源・活力源となり、重要度が増す。；大塚はこれを番組を続けていく上の大きな活力として公言していたという。；その御利益に守られて大いに活力のある座敷にしようと思って居ります。；そして身体の中心から、軽い熱に似た活力が急速に広がっていく。；個人としては彼の見るところ、彼などよりはるかに大きな活力を持っていた。</t>
        </is>
      </c>
      <c r="J1630">
        <f>HYPERLINK("https://www.weblio.jp/content/活力", "词义详情")</f>
        <v/>
      </c>
      <c r="K1630">
        <f>HYPERLINK("https://yourei.jp/活力", "查看例句")</f>
        <v/>
      </c>
    </row>
    <row r="1631">
      <c r="A1631" t="inlineStr">
        <is>
          <t>仮定</t>
        </is>
      </c>
      <c r="B1631" t="inlineStr">
        <is>
          <t>成功</t>
        </is>
      </c>
      <c r="C1631" t="inlineStr">
        <is>
          <t>読み方：かてい
［名］(スル)
１未定のこと、不確かなことを仮にこうと定めること。また、仮に定めた事柄。「今ここにコップがあると—してみよう」「—の上に立って物を言う」
２論理学などで、ある命題を導き出す推論の出発点におかれる前提条件。仮設。</t>
        </is>
      </c>
      <c r="D1631" t="inlineStr">
        <is>
          <t>仮定する(20%)；仮定すれ(4%)；仮定しよ；仮定説；仮定条件</t>
        </is>
      </c>
      <c r="E1631" t="inlineStr">
        <is>
          <t>見る；思う；考える；イメージ；推定</t>
        </is>
      </c>
      <c r="F1631" t="inlineStr">
        <is>
          <t>鋭角仮定；こういう仮定；こうした仮定；根本仮定；弱い仮定</t>
        </is>
      </c>
      <c r="G1631" t="inlineStr">
        <is>
          <t>仮定法；仮定法過去</t>
        </is>
      </c>
      <c r="H1631" t="n">
        <v>29</v>
      </c>
      <c r="I1631" t="inlineStr">
        <is>
          <t>こんどは上の例での箱に入っているコインの数は無限であると仮定する。；これらの仮定から、彼は恒星の内部温度が数百万度になることを示した。；また、信号の値が量子化可能な範囲に全て含まれていると仮定している。；仮定を用いることにより非現実的な事象を対象とすることも可能である。；ここで自然ではあるが、問題文では触れられていない次の仮定を置く。；実際の設計では、これらの仮定を超える範囲で使用することも必要となる。；また、標準模型には含まれていない他の基本粒子を仮定する理論もある。；数を数えはじめるまえは、ものが0個であると仮定することができる。；そこで射の類 は が異なれば交わりを持たないと仮定する文献もある。；以下、原材料生産と自動車生産が別の国で行なわれていると仮定する。；なおこの同期は回転座標系下を考慮した補正等を加えないと仮定する。；一部の仮定が、多くの新しい古典派のモデルでは共通のものになっている。；この現象は電池内部に電気抵抗 rが存在すると仮定すれば説明出来る。；まずCAPMが成立する為に必要な仮定として以下の4点があげられる。；第2項は誘電体などが無い真空であったと仮定した際の電束密度である。；ここでの仮定は固体中でも理想気体中のように電子が自由に動くことである。；考えている領域内のある点で φ の極大があったと仮定する。；したがって応用上は初めから関数 は凸であると仮定することが多い。；この時、 x に依存する量 g が のように変換されると仮定する。；この仮定は、同新幹線の輸送力の大きさを指し示すためにも用いられた。；まず二人のプレイヤーそれぞれが求めている資源を同時に見つけたと仮定する。；なお、テレビ塔が解体されると仮定した場合、14億円かかるとされた。；ただしこれは進化速度一定を仮定しており、不確実な年代である。；これを見るのに を四元数とし、その平方が に等しいものと仮定する。；古代に行われていた平朔は、このように朔望月を一定と仮定していた。；しかしこの仮定は誤っていたことがわかっているとすでに述べた。；現在のところ、ビッグバンは次の3つの仮定に依存しているとされる。；さらに、英語そのものが帝国主義的と仮定することも批判を受け続けてきた。；ただし選択公理を仮定することなく濃度を定義し取り扱うことはできる。</t>
        </is>
      </c>
      <c r="J1631">
        <f>HYPERLINK("https://www.weblio.jp/content/仮定", "词义详情")</f>
        <v/>
      </c>
      <c r="K1631">
        <f>HYPERLINK("https://yourei.jp/仮定", "查看例句")</f>
        <v/>
      </c>
    </row>
    <row r="1632">
      <c r="A1632" t="inlineStr">
        <is>
          <t>過程</t>
        </is>
      </c>
      <c r="B1632" t="inlineStr">
        <is>
          <t>成功</t>
        </is>
      </c>
      <c r="C1632" t="inlineStr">
        <is>
          <t>読み方：かてい
物事が変化し進行して、ある結果に達するまでの道筋。プロセス。「進化の—」</t>
        </is>
      </c>
      <c r="D1632" t="inlineStr">
        <is>
          <t>過程そのもの；過程論；過程元素；過程で生じるヒスタミン；過程で意思決定者</t>
        </is>
      </c>
      <c r="E1632" t="inlineStr">
        <is>
          <t>路線；方向；コース；方針；経過</t>
        </is>
      </c>
      <c r="F1632" t="inlineStr">
        <is>
          <t>製造過程；成長過程；成立過程；制作過程；発生過程</t>
        </is>
      </c>
      <c r="H1632" t="n">
        <v>29</v>
      </c>
      <c r="I1632" t="inlineStr">
        <is>
          <t>制定過程に外国人が関与した点については、議論が今もなお続いている。；このように二者が独自の過程を経て偶然にも同じ形式の問題に落ち着いた。；一連の過程でソ連派も排除され、多くのソ連派の幹部はソ連に帰国した。；新車登録時のみに適用され、中古車および使用過程車には適用されない。；この過程はアッティカの多くの以前からの郊外や村も覆い、続いている。；現在の地形に加えて、形成過程や内部構造も考慮して分類されている。；特に とすればこれは衝突過程でのエネルギー保存の法則を表している。；この過程の細かい部分は宇宙の物質の量と種類によって変わってくる。；ベルヌ条約の原条約が成立する過程で、フランスが果たした役割は大きい。；このことは、形成過程が異なる可能性があることを示唆している。；これは進化の過程で、遺伝子が細胞核へ移動したからだと考えられている。；過程の詳細は判明していないが、他にも元素合成を起こす宇宙の現象がある。；その過程で、ロンドン側の文章に誤りがあったが、その後修正された。；多細胞生物は一細胞の卵から胚発生の過程を経て体を形成していく。；この運用線区広域化の過程では、さまざまな改造・対策が実施された。；リゾート開発の過程で弥生時代の遺跡が発見され、土器が出土している。；通常は、狭義には、自社の業務過程の一部を外部に委託することを指す。；その新たな生命への過程として、従来の人類の排除計画を選択する。；加盟の過程はヨーロッパの統合と表現されることもある。；この過程で聖霊は新しい方法で自身を表し、集団の神秘主義を示している。；以下このような世界観が哲学的に成立していく過程を記述する。；その後は三好氏の勢力下を経て、四国攻めの過程で羽柴氏に制圧された。；実際の改造過程ではロスチャイルドなどが水道や住宅意匠を手がけていた。；この過程の大部分は、クラックが巨視的に成長していない段階で進む。；上記の定義は、ひとつの連続する過程として説明することができる。；掘削作業の過程で地中から城の基礎壁が遺されていることが明らかになった。；ピカソのような芸術家は作品を制作する過程で発明家となる。；この過程も1分子のGTPを消費するためエネルギー依存的である。；仏教の研究過程で日本語と梵字を対応させたものとみられる。</t>
        </is>
      </c>
      <c r="J1632">
        <f>HYPERLINK("https://www.weblio.jp/content/過程", "词义详情")</f>
        <v/>
      </c>
      <c r="K1632">
        <f>HYPERLINK("https://yourei.jp/過程", "查看例句")</f>
        <v/>
      </c>
    </row>
    <row r="1633">
      <c r="A1633" t="inlineStr">
        <is>
          <t>家庭</t>
        </is>
      </c>
      <c r="B1633" t="inlineStr">
        <is>
          <t>成功</t>
        </is>
      </c>
      <c r="C1633" t="inlineStr">
        <is>
          <t>読み方：かてい
夫婦・親子などの関係にある者が生活をともにする、小さな集団。また、その生活する所。「明るい—を作る」</t>
        </is>
      </c>
      <c r="D1633" t="inlineStr">
        <is>
          <t>家庭用(9%)；家庭生活(3%)；家庭環境(2%)；家庭的(2%)；家庭科</t>
        </is>
      </c>
      <c r="E1633" t="inlineStr">
        <is>
          <t>家；家族；門；一家；一門</t>
        </is>
      </c>
      <c r="F1633" t="inlineStr">
        <is>
          <t>裕福な家庭；貧しい家庭；中流家庭；幸福な家庭；幸せな家庭</t>
        </is>
      </c>
      <c r="G1633" t="inlineStr">
        <is>
          <t>家庭内；家庭用ゲーム機；家庭裁判所；家庭料理；家庭内暴力</t>
        </is>
      </c>
      <c r="H1633" t="n">
        <v>29</v>
      </c>
      <c r="I1633" t="inlineStr">
        <is>
          <t>各家庭が教育では英語系とフランス語系どちらかを選ぶことができる。；それは家庭でのカルテット演奏会から育って大きくなった社交場だった。；電気炬燵は大正後期に発売されたが、家庭にはなかなか普及しなかった。；プライベートでは写真撮影が趣味の家庭人で誠実な人物であったという。；料理好きな面もあり、元暗殺者とは思えない普通の家庭的な暮らしをしている。；これまでの家庭用とは操作が異なり、スティックで操作する形となる。；この板は食卓代わりに宿屋等で使われ始め、家庭に広まったとみられる。；家庭でも作りやすく、深いコンテナなどを使って鉢植えでも育てられる。；家庭で作られる事は少ないがチルドや冷凍食品は多く販売されている。；これは家庭収入が低下したためではなく、精神的な理由によるものとされる。；また、過去作品や家庭用作品には以下の様な譜面が設定されていた。；また、『ツアー』では大半のコースが家庭用版からの再収録となっている。；日本の家庭では、インスタントカレールウを使って調理することが多い。；その後多くの人々はナイトクラブなどの家庭外のパーティに参加する。；浜口の父は建設会社を経営する実業家で、家庭環境は非常に裕福だった。；巫蠱の獄を生き延びた孫の劉病己は、民間の家庭にて育てられ成人した。；着用や制作が強制されることはなく、各家庭の判断に委ねられていた。；裕福な家庭だったが、自分のことには一切お金を使おうとしなかった。；自身の家庭を恵まれたものとは感じていなかった事を告白している。；家庭用の数本用の小型のものから、大型の数十本入るものまである。；自身は大学院進学も希望していたが、両親の意向もあり家庭に入る。；会社などでたまに使われることもあるが、家庭用としてはめったにない。；また、家庭で測定を行う場合は高い側の腕で測定を行うことが推奨されている。；子供がいる家庭に、日本のように勉強机や本棚がある家庭は珍しい。；高校卒業後、大学入試には合格したが家庭の事情で進学しなかった。；家庭は、人間の社会の最小単位である個人の次に小さい単位である。；これは子供のいない家庭が同様の措置を受けているからである。；メキシコでは迎える年の願いを示す色で家庭やパーティ会場を飾る。；家庭用テレビへの接続に特化し小型化されたFM TOWNSである。</t>
        </is>
      </c>
      <c r="J1633">
        <f>HYPERLINK("https://www.weblio.jp/content/家庭", "词义详情")</f>
        <v/>
      </c>
      <c r="K1633">
        <f>HYPERLINK("https://yourei.jp/家庭", "查看例句")</f>
        <v/>
      </c>
    </row>
    <row r="1634">
      <c r="A1634" t="inlineStr">
        <is>
          <t>課程</t>
        </is>
      </c>
      <c r="B1634" t="inlineStr">
        <is>
          <t>成功</t>
        </is>
      </c>
      <c r="C1634" t="inlineStr">
        <is>
          <t>読み方：かてい
学校などで、一定期間に割り当ててさせる学習・作業の範囲・順序。「博士—」</t>
        </is>
      </c>
      <c r="D1634" t="inlineStr">
        <is>
          <t>課程学校(6%)；課程修了(3%)；課程卒業；課程第；課程教育</t>
        </is>
      </c>
      <c r="E1634" t="inlineStr">
        <is>
          <t>プロ；コース；学科；講座；カリキュラム</t>
        </is>
      </c>
      <c r="F1634" t="inlineStr">
        <is>
          <t>養成課程；基礎課程；訓練課程；騎手課程；大学院課程</t>
        </is>
      </c>
      <c r="G1634" t="inlineStr">
        <is>
          <t>課程認定；課程博士；課程制；課程長；課程主義と年齢主義</t>
        </is>
      </c>
      <c r="H1634" t="n">
        <v>29</v>
      </c>
      <c r="I1634" t="inlineStr">
        <is>
          <t>写真系の課程では、テーマに沿った写真を撮影させ、その完成度を測る。；同学園には鉄道省時代から引き継いだ3年の大学課程が設けられていた。；なお、2009年度より器楽科を中心に第三課程が設立され始めている。；国公立中学校は、小学校課程を超えない範囲で出題しなければいけない。；そのころは小学校4年生の課程を終わると、中学校を受ける資格があった。；小学校課程から中学校課程まで義務教育を一貫して一つの学校で行う。；義務教育は6歳から始まり9年間の課程であり、公費で運営されている。；かつては全日制と定時制の両課程があったが、現在は定時制のみである。；各学年の課程の修了の認定は、児童・生徒の平素の成績を評価して行う。；陸上自衛隊のヘリコプターパイロットの約8割が本課程の出身者である。；フランスでは幼稚園の課程でアルファベットの筆記体を学ぶことが多い。；また特別支援学校には、幼稚園の課程に相当する幼稚部が置かれている。；この大学は、社会・保健課程および社会奉仕員の育成課程を有している。；英語研修課程はいくつかのレベルに分けて授業が行われている。；学類に課程が設置されている場合、学生は各課程を2年次以降に選択する。；学部課程、研究過程に在籍する学生の大半が下記の教養学部に所属している。；また就職した場合も、大学の夜間課程などへの修学を支援する企業もある。；学校内で組織される教育の段階に応じた組織としての課程は、次のようなものがある。；単位修得試験は、同じ大学の通学課程に比べて難易度が高いことが多い。；また専門教育課程において経済学を日本語で教授した最初の学校でもある。；学期中は、短期課程部は授業時間以外の学生交流の機会を豊富に提供している。；なお、学科や課程の下にさらにコースが置かれるコース制を敷くものもある。；現在はMBA課程を含む様々な教育プログラムを提供している。；日本の多くの教育系大学と同じように、特別支援教育教員養成課程がある。；かつて、中学校教諭二種免許状の課程が設けられていた時期もあった。；閉校になることと統合案の決定までの課程で、十分な説明や議論のないままに決定された。；このレベルに達すれば、学生は自力で通常の課程に進むことができるとされた。；女性隊員にも本課程への門戸は開放されているが、数は極めて少ない。；開発課程で、Geckoバックエンドに関連した大きな問題に直面した。</t>
        </is>
      </c>
      <c r="J1634">
        <f>HYPERLINK("https://www.weblio.jp/content/課程", "词义详情")</f>
        <v/>
      </c>
      <c r="K1634">
        <f>HYPERLINK("https://yourei.jp/課程", "查看例句")</f>
        <v/>
      </c>
    </row>
    <row r="1635">
      <c r="A1635" t="inlineStr">
        <is>
          <t>カテゴリー</t>
        </is>
      </c>
      <c r="B1635" t="inlineStr">
        <is>
          <t>成功</t>
        </is>
      </c>
      <c r="C1635" t="inlineStr">
        <is>
          <t>読み方：かてごりー
１⇒範疇(はんちゅう)
２ハリケーンの規模を表す尺度。風速、高潮による海面上昇、建築物への被害などで定義され、規模が小さいものから大きいものになるにしたがい、カテゴリー1から5までの5段階で表される。</t>
        </is>
      </c>
      <c r="D1635" t="inlineStr">
        <is>
          <t>カテゴリー別；カテゴリーii；カテゴリーごと；カテゴリー分け；カテゴリーa</t>
        </is>
      </c>
      <c r="E1635" t="inlineStr">
        <is>
          <t>目；部；種；分類；種類</t>
        </is>
      </c>
      <c r="F1635" t="inlineStr">
        <is>
          <t>トップカテゴリー；下位カテゴリー；アンダーカテゴリー；様々なカテゴリー；同じカテゴリー</t>
        </is>
      </c>
      <c r="G1635" t="inlineStr">
        <is>
          <t>カテゴリー錯誤；カテゴリーキラー；カテゴリー超級；カテゴリーミステイク；カテゴリー・ミステイク</t>
        </is>
      </c>
      <c r="H1635" t="n">
        <v>29</v>
      </c>
      <c r="I1635" t="inlineStr">
        <is>
          <t>どの兵器をどのカテゴリーに分類するかは、それぞれの国の自由である。；多くのプロセスが同時にいくつかのカテゴリーを含んでいるためである。；全ての地形の記事は何らかのカテゴリーに含まれていなければなりません。；鳥の姿と人間の姿を持っており、妖怪とは別のカテゴリーに属する存在。；本品は商品名にあるようにこのカテゴリーでは珍しい黒のシートを採用。；彼は自らの註解を三つを小・中・大の三つのカテゴリーに分類した。；現在台湾関連で使用されているカテゴリー体系は下記の通りです。；クラブではこのような問題を以下に述べる17のカテゴリーに分類している。；日本、カナダ等も、このタイプの総選挙を行う国のカテゴリーに属する。；なお、下位のカテゴリーに入れた記事は上位のカテゴリーには入れない。；本節では、各作品に登場する機体をカテゴリーごとに分けて紹介する。；特に生物圏は、時代に応じてその範囲が大きく変化したカテゴリーである。；また一レース毎の賞金もこの種のカテゴリーでは他に例のない高額であった。；カテゴリーはかつて単に連続していただけのものに客観的必然性を与える。；デッドは、彼らの音楽を確立したカテゴリーに固定したいとは思わなかった。；最も勢力の大きい時点でのシンプソン・スケールはカテゴリー4だった。；プロトタイプ的カテゴリーの考え方は言語学上の概念自体にも適用される。；このようなカテゴリー付けは、他の多くの言語版では非推奨である。；以上のカテゴリーでの独立したレースが行われる事もある。；手術後にマンモグラフィー検査を受けると、カテゴリー2に分類される。；このため、このカテゴリーは日本の選挙思想史上の遺物となりつつある。；これらのカテゴリーは、保護された自然区域の管理の度合いを示すものである。；このように、マクレランの評価は明快なカテゴリー化を難しくしている。；このカテゴリーには多くの楽器が含まれるが、それらを名称で区別するのは容易ではない。；使用しているカテゴリーはほとんど KDE 自体が使っているものと同じである。；これらのカテゴリーは現在他のジャンルの最優秀ソロに含まれる。；六の巻では地学を天文・自然・人間の3つのカテゴリーに分けて説明している。；メヘル・ババの教えは、大きく二つのカテゴリーに分けることができる。；ドイツ表現主義の主な作家・作品については以下のカテゴリーを参照。</t>
        </is>
      </c>
      <c r="J1635">
        <f>HYPERLINK("https://www.weblio.jp/content/カテゴリー", "词义详情")</f>
        <v/>
      </c>
      <c r="K1635">
        <f>HYPERLINK("https://yourei.jp/カテゴリー", "查看例句")</f>
        <v/>
      </c>
    </row>
    <row r="1636">
      <c r="A1636" t="inlineStr">
        <is>
          <t>角</t>
        </is>
      </c>
      <c r="B1636" t="inlineStr">
        <is>
          <t>成功</t>
        </is>
      </c>
      <c r="C1636" t="inlineStr">
        <is>
          <t>読み方：かく
［音］カク（呉）（漢）　［訓］かど　つのすみ
［学習漢字］2年
〈カク〉
１動物のつの。「角質／牛角(ごかく)・犀角(さいかく)・触角・一角獣」
２つののように先のとがったもの。物の先。「角帽／圭角(けいかく)・岬角(こうかく)・折角・頭角・皮角」
３二直線が交わってできる図形。「角度／鋭角・四角・視角・頂角・直角・鈍角・内角」
４四角。「角材・角柱」
５活字一字分の枠。「全角・倍角・半角」
６すみ。わき。「一角・口角」
７つの突き合わせて競争する。「角逐・角力(かくりょく)」
８角力(すもう)。「角界／好角家」
〈つの（づの）〉「角笛／菰角(こもづの)」
〈かど〉「岩角・一角(ひとかど)・町角」
［名のり］つぬ・ふさ
［難読］総角(あげまき)・角子(みずら)・角髪(みずら)</t>
        </is>
      </c>
      <c r="D1636" t="inlineStr">
        <is>
          <t>角さん；角以上；角状；角先生；角助</t>
        </is>
      </c>
      <c r="E1636" t="inlineStr">
        <is>
          <t>端；コーナー；隅；一角；角度</t>
        </is>
      </c>
      <c r="F1636" t="inlineStr">
        <is>
          <t>お角；六角；後退角；対角；傾斜角</t>
        </is>
      </c>
      <c r="G1636" t="inlineStr">
        <is>
          <t>角田；角川書店；角川；角形；角力</t>
        </is>
      </c>
      <c r="H1636" t="n">
        <v>29</v>
      </c>
      <c r="I1636" t="inlineStr">
        <is>
          <t>この息子は人間の姿をしていたが、額の中央に一本の角が生えていた。；上から背中の横の部分を持つか、胸の小さい方の角を持つと負担が少ない。；地上の西大路四条交差点の南西角には駅舎と西改札口が設けられている。；由来は、その名の通り伝統的に道の角に店があるのがその名の由来である。；この線と実際の絵を比較すると、窓やテーブルの角のラインが一致している。；角関係とは面と面とが互いに見えているかどうかを表す係数である。；頭の角の形状と生え方および首のひれの形状はそれぞれの首で違う。；確かに、体中に強大な力を持ち、その角の力に耐えられるものはいない。；一般の平面角の大きさは、単位となる角の大きさの実数倍で表しうる。；開業時に新設された4か所の出入口はいずれも桜通大津交差点角にある。；英英辞典には、2つの半直線の間の領域 が角であるとするものもある。；中国では三層式が多く、日本でも六角三重塔のものが存在していた。；ヘロンの説明によると、弓の材料は「角と木の一種」が用いられていた。；嘴の上部にある角質突起は嘴に沿った単純な形状で、角状にはならない。；頭部以外は弐号機と同じで、頭部は角が無い以外は初号機と似ている。；蒲生4交差点にある4つの角のうち、3つの角には銀行が立地している。；また、以前の調査で設置された建物の角を見つけたり再調査したりすることもある。；この2つの角のうち角度が大きいほうを優角、小さいほうを劣角と呼ぶ。；から までの大きさの角を、その範囲により次のような名称で呼ぶ。；サッシの角が角ばっているのは少しでも視界を広く取りたいためとされている。；紋章用のルークは現代のものではなく、2つの角のある古い形をしている。；それぞれの記号は角を表すと同時に、その角度を示すためにも用いられる。；ただし、角の大きさには個体差があり、体格に比例して連続変化を示す。；当初、この角は回転する予定だったが、完成作品では固定された。；原文のヘブライ語聖書では、一度だけ額に一本の角の生えた動物が出てくる。；また、そこに至る道が少なくまた空間の角が多いほど閉じた感覚が大きくなるとされる。；また、頭部に角を持つ系統が多数見られるが、各系統でその形態は異なっている。；というのはウマの角もロバの角も毒を解毒する力があるからだそうだ。；このためか角倉家は大いに発展し、東南アジアにまで進出するに至る。</t>
        </is>
      </c>
      <c r="J1636">
        <f>HYPERLINK("https://www.weblio.jp/content/角", "词义详情")</f>
        <v/>
      </c>
      <c r="K1636">
        <f>HYPERLINK("https://yourei.jp/角", "查看例句")</f>
        <v/>
      </c>
    </row>
    <row r="1637">
      <c r="A1637" t="inlineStr">
        <is>
          <t>華道/花道</t>
        </is>
      </c>
      <c r="B1637" t="inlineStr">
        <is>
          <t>无结果</t>
        </is>
      </c>
      <c r="H1637" t="n">
        <v>0</v>
      </c>
      <c r="J1637">
        <f>HYPERLINK("https://www.weblio.jp/content/華道/花道", "词义详情")</f>
        <v/>
      </c>
      <c r="K1637">
        <f>HYPERLINK("https://yourei.jp/華道/花道", "查看例句")</f>
        <v/>
      </c>
    </row>
    <row r="1638">
      <c r="A1638" t="inlineStr">
        <is>
          <t>稼働</t>
        </is>
      </c>
      <c r="B1638" t="inlineStr">
        <is>
          <t>成功</t>
        </is>
      </c>
      <c r="C1638" t="inlineStr">
        <is>
          <t>読み方：かどう
［名］(スル)
１かせぎはたらくこと。仕事をすること。就労。「—人口」「—日数」
２機械を運転すること。また、機械が動いて仕事をすること。「最新鋭機が—している」</t>
        </is>
      </c>
      <c r="D1638" t="inlineStr">
        <is>
          <t>稼働する(8%)；稼働させる(4%)；稼働開始(4%)；稼働時間(3%)；稼働中</t>
        </is>
      </c>
      <c r="E1638" t="inlineStr">
        <is>
          <t>機能；動作；働く；動く；作動</t>
        </is>
      </c>
      <c r="F1638" t="inlineStr">
        <is>
          <t>フル稼働；本格稼働；現在稼働；稼働停止；連続稼働</t>
        </is>
      </c>
      <c r="G1638" t="inlineStr">
        <is>
          <t>稼働中；稼働遺産</t>
        </is>
      </c>
      <c r="H1638" t="n">
        <v>29</v>
      </c>
      <c r="I1638" t="inlineStr">
        <is>
          <t>運営費は自治体負担のため、完成後稼働していない施設・処理場が多い。；また、稼働当時は非常に斬新なゲームであったと肯定的に評価している。；稼働した当初は、車体にポートディスカバリーのマークが描かれていた。；アメリカ工場は1971年に建設を開始し1973年に稼働を開始した。；また一部のスタートアップ企業では試験的な量産ラインが稼働している。；ゲーム参戦予定だったが、参戦することもなくゲーム自体の稼働が終了した。；さらに稼働日数が経過すると、同じ機体を複数選択することも可能になる。；現在は商業施設で稼働している全筐体はオフラインモードとなっている。；ノースアメリカンが、第1次大戦中にこの土地に工場を稼働させていた。；このため、ポケモンショックを経た現在、現役での稼働は非常に難しい。；感応波を受けて稼働状態となったサイコフレームは高い強度を発揮する。；なお、その生産数の多さから、現在でも稼働機が複数存在している。；川崎の新工場は稼働せぬままに終わり、機を逸した無益な投資となった。；戦時に備えて全機が稼働可能な状態を維持しているとしている。；この停止によって日本国内で稼働している原子力発電所はゼロになった。；稼働終了直前、カードの意味がなくならないようにWiiに移植された。；なお、本機のパイロットは白骨化しており、無人の状態で稼働していた。；濃霧発生時だけでなく見通しの悪い夜間にも稼働している場合がある。；ただし稼働時間は戦闘機並とされており、作戦行動には母艦を必要とした。；原発の再稼働が停滞すると、電気料金の値上げ幅が倍以上になる可能性。；この遅れにより停止から10年経った2022年現在も再稼働していない。；ゲーム一覧に載っていないゲームもあるが、まだ稼働している物はここに掲載する。；作戦のたびにただでさえ足りない機体を全機稼働状態にすべく、整備に追われることとなったのである。；日本の住友商事や電源開発などの建設により火力発電所が稼働している。；装甲部隊の戦車稼働率の低下は深刻であり電撃戦の効能も失われつつあった。；この時点で、約370機の稼働機が独立国家共同体諸国に配備されていた。；その後、近代に入るとフイゴを水車を使って稼働させる方法が広く採用された。；内部に生命反応はないと解析されたため、無人で稼働していたことが示唆されている。；装甲列車とは、稼働状態の重武装を施した列車・鉄道車両の総称である。</t>
        </is>
      </c>
      <c r="J1638">
        <f>HYPERLINK("https://www.weblio.jp/content/稼働", "词义详情")</f>
        <v/>
      </c>
      <c r="K1638">
        <f>HYPERLINK("https://yourei.jp/稼働", "查看例句")</f>
        <v/>
      </c>
    </row>
    <row r="1639">
      <c r="A1639" t="inlineStr">
        <is>
          <t>家内</t>
        </is>
      </c>
      <c r="B1639" t="inlineStr">
        <is>
          <t>成功</t>
        </is>
      </c>
      <c r="C1639" t="inlineStr">
        <is>
          <t>読み方：かない
１家の中。屋内。
２家族。「—一同」「—安全」
３妻。ふつう、他人に対して自分の妻をいうときに用いる。「—も喜んでおります」</t>
        </is>
      </c>
      <c r="D1639" t="inlineStr">
        <is>
          <t>家内中；家内法；家内じゅう；家内奴隷；家内一同</t>
        </is>
      </c>
      <c r="E1639" t="inlineStr">
        <is>
          <t>女；女性；妻；室；夫人</t>
        </is>
      </c>
      <c r="F1639" t="inlineStr">
        <is>
          <t>帝室家内；家内協定；家内不；家内太夫；家内制</t>
        </is>
      </c>
      <c r="G1639" t="inlineStr">
        <is>
          <t>家内工業；家内労働；家内制手工業；家内労働法；家内労働者等の事業所得等の所得計算の特例</t>
        </is>
      </c>
      <c r="H1639" t="n">
        <v>29</v>
      </c>
      <c r="I1639" t="inlineStr">
        <is>
          <t>何しろ僕は家内が死んで間もないことだし、ゆっくり考えてみましょう。；家内の者が共謀して、主人をどこへか隠したのであろうと彼は邪推した。；弟の家内になって幸福に暮しているあなたをどうしようと云うのでもない。；家内には低い寝台が二つと、青い上掛けがあるだけでがらんとしていた。；私はいきなり家内の抱きかかえるようにしている末の児に手をかけた。；私は私の、家内は家内の財産を持って、自分のしたいように暮している。；お茶を運んで来た家内の目にも太宰の様子が奇異に見えたに相違ない。；こうしている今でもおれは家内や娘たちの事を思うと不憫に思うさ。；たった一つ私の家内がお頼みした時に書いて下さった書がありました。；家内の者はみな隠れてしまって、その男ひとりがそこに立っていた。；こう申すとなんですが、家内はわたくしを、なかなか愛していますんで。；夫れゆえ家内残らず大阪に引越して居て、私共は皆大阪で生れたのです。；実はね、家内も彼様言ひますし、一旦は東京へ帰らうかとも思ひましたよ。；成程私は此の頃では、私の言ふことは可なり家内中で重くみられてゐた。；百円札を重ねて一尺の高さになったら家内集まって大祝いをやるという。；三人の子供には何を着せて行こう、とこう家内はいろいろに気を揉んだ。；「郊外はいやですね」と、市内に住み馴れている家内の女たちはいった。；家内は失神したようになって、それから一ヵ月ばかり床の中の人となった。；でも、まず第一に、ぼくは家内のべッキーの意見をきいてみなくっちゃ。；家内達は大分心配して居たが、二三日すると腫れも引き気分も直つた。；随分古くからそこにいるのだそうで、家内揃ってよく写しに行きました。；この一月ばかり病気をやってな、それで家内が連れて此家へ来ているですて。；さて私はここで話を最初にもどして、死んだ家内の話を申し上げて見たい。；来る人も少ないし、女家内でもあるのでおとそなんかも少しほかない。；畑仕事が後れて居るとかで早朝から家内中が畑へ行つた日であつた。；家内の者共は作夜の激しい疲労に打たれて、一人もまだ起きていない。；家内なんかに相談しても、いい考えは出てこないとわかりました。；家内はケースの上に駆けあがってきて、ガラスごしにいいました。；家内が是非今夜中に話して来てもらいたいと家で待ってるんでね。</t>
        </is>
      </c>
      <c r="J1639">
        <f>HYPERLINK("https://www.weblio.jp/content/家内", "词义详情")</f>
        <v/>
      </c>
      <c r="K1639">
        <f>HYPERLINK("https://yourei.jp/家内", "查看例句")</f>
        <v/>
      </c>
    </row>
    <row r="1640">
      <c r="A1640" t="inlineStr">
        <is>
          <t>敵う</t>
        </is>
      </c>
      <c r="B1640" t="inlineStr">
        <is>
          <t>成功</t>
        </is>
      </c>
      <c r="C1640" t="inlineStr">
        <is>
          <t>読み方：かなう
［動ワ五（ハ四）］
１（適う）条件・基準などによく当てはまる。ぴったり合う。適合する。「理屈に—・っている」「お眼鏡に—・う」「大関に—・う地位」
２（叶う）思いどおりに実現する。願っていたことがそのとおりになる。「念願が—・う」「出場が—・う」「—・わぬ恋」
３（敵う）そうすることができる。可能である。また、そうすることが許される。ふつう、あとに打消しの語を伴う。「この天候では登頂は—・わない」「起き上がることも—・わぬほど病が篤(あつ)い」
４（敵う）対等の力がある。対抗できる。匹敵する。あとに打消しの語を伴う。「語学では彼に—・う者はいない」
５（「かなわない」「かなわぬ」などの形で）
㋐そうすることやそういう状態に我慢できない。やりきれない。たまらない。「こうせかされては—・わない」「暑くて—・わない」「退屈で—・わない」
㋑どうしてもそうする必要がある。…なくてはならない。「みずから出向かなくては—・わない用事がある」
［動ハ下二］「かなえる」の文語形。</t>
        </is>
      </c>
      <c r="D1640" t="inlineStr">
        <is>
          <t>及ぶ；並ぶ；匹敵；立ち並ぶ；叶う</t>
        </is>
      </c>
      <c r="H1640" t="n">
        <v>29</v>
      </c>
      <c r="I1640" t="inlineStr">
        <is>
          <t>その結果、敵に衝突することが最も効果的な方法という結論を得ている。；ただし当時の他の哲学と同様に敵に対して勇猛に戦うことは善とされた。；これは敵に襲われたときにすぐに逃げることができるためであると考えられる。；本作では戦闘中に味方を攻撃したり、敵に回復呪文を使うことができる。；マップによっては移動中に敵モンスターとの戦闘が発生することがある。；敵を追尾するものをホーミングミサイルと呼称するものが多く見られた。；複数の敵をまとめて蹴り落とすと、敵の数に応じて得点に倍率がかかる。；またこれに続いて戦場から離脱する敵に対して追撃が行われる場合もある。；本作ではこの方法で敵を踏みつけるのが最も基本的な攻撃方法となる。；移植版の一部モードでは、敵の弾の色が一部変更されているステージがある。；また敵を無視して味方同士を対戦させることも可能である。；中国は統一されたが、始皇帝はすべての敵を殲滅できたわけではなかった。；敵に囲まれた空挺部隊の為、あらゆる種類の大砲が必要な場所に送られた。；本作では高度差のある敵だけでなくほぼ全ての敵をロックオンすることができる。；敵から逃げることに成功した場合も戦闘終了となるが、この場合は何も得られない。；また、日本の武士が敵の首を切り落とす文化にも共通のものがある。；つまり戦争の本来の目標とは敵の戦闘力を破壊することに他ならないと考えられる。；攻撃型潜水艦は敵水上艦船だけでなく敵潜水艦も攻撃目標とするようになった。；敵ゲリラ組織だけでなく、一般市民までをも攻撃の対象とする場合もある。；だが日本軍の敵は中国軍ではなく、また中国軍の敵も日本軍ではなかった。；敵に襲われると、最後尾のイセエビが犠牲になることが多いとされる。；他のプレイヤー協力プレイをすることで、共に強い敵を倒したりすることも出来る。；戦闘後に敵の一部が孤立化して残存していれば、戦果拡張が行われる。；一部の敵は特定の攻撃に対して耐性を持ち、ダメージを1にしてしまう。；平坦部は移動中に敵に姿を曝け出し被害を増す危険があったので却下された。；自分の駒を動かす事により、敵玉に自分の駒の働きを利かせる手を指す。；あなたのやったことは、敵と手を結んだも同然の行為だからだ!；敵の創造物はほとんど一掃され、ゴンドールの南にも東にも平和が戻った。；受けた敵は耐えられず、ひとたまりもなく爆発してしまうほどの威力をもつ。</t>
        </is>
      </c>
      <c r="J1640">
        <f>HYPERLINK("https://www.weblio.jp/content/敵う", "词义详情")</f>
        <v/>
      </c>
      <c r="K1640">
        <f>HYPERLINK("https://yourei.jp/敵う", "查看例句")</f>
        <v/>
      </c>
    </row>
    <row r="1641">
      <c r="A1641" t="inlineStr">
        <is>
          <t>適う</t>
        </is>
      </c>
      <c r="B1641" t="inlineStr">
        <is>
          <t>成功</t>
        </is>
      </c>
      <c r="C1641" t="inlineStr">
        <is>
          <t>読み方：かなう
［動ワ五（ハ四）］
１（適う）条件・基準などによく当てはまる。ぴったり合う。適合する。「理屈に—・っている」「お眼鏡に—・う」「大関に—・う地位」
２（叶う）思いどおりに実現する。願っていたことがそのとおりになる。「念願が—・う」「出場が—・う」「—・わぬ恋」
３（敵う）そうすることができる。可能である。また、そうすることが許される。ふつう、あとに打消しの語を伴う。「この天候では登頂は—・わない」「起き上がることも—・わぬほど病が篤(あつ)い」
４（敵う）対等の力がある。対抗できる。匹敵する。あとに打消しの語を伴う。「語学では彼に—・う者はいない」
５（「かなわない」「かなわぬ」などの形で）
㋐そうすることやそういう状態に我慢できない。やりきれない。たまらない。「こうせかされては—・わない」「暑くて—・わない」「退屈で—・わない」
㋑どうしてもそうする必要がある。…なくてはならない。「みずから出向かなくては—・わない用事がある」
［動ハ下二］「かなえる」の文語形。</t>
        </is>
      </c>
      <c r="D1641" t="inlineStr">
        <is>
          <t>適うまい；適う功績を挙げ</t>
        </is>
      </c>
      <c r="E1641" t="inlineStr">
        <is>
          <t>合う；及ぶ；並ぶ；匹敵；役立つ</t>
        </is>
      </c>
      <c r="H1641" t="n">
        <v>29</v>
      </c>
      <c r="I1641" t="inlineStr">
        <is>
          <t>拳銃は持っていないが拳銃でない方がその場合むしろ心に適うと思った。；何も考えなしに行っている業こそは、自然と理合に適ってくるのである。；これらの部屋は広々としているので、私どもの要求に適っていましてね。；子どもを連れている女は、人種的な特徴に適った黒い皮膚をしています。；私の年代ではまだ学校へやってもらうことすら適わなかったものだが。；その応用が、この様に自然に運ぶことは、彼女の趣味に適っているのだ。；また壁の内部側が平滑であることも、貯蔵法に適っていたと考えられる。；読んでいるうちに、いかにもこうでなくては適うまいと思われて来る。；健康に暮すということが、自然自らの意志に適ったことなのであります。；結婚・家族と幸福感との強い関連はこのことからも理に適ったことなのだ。；日本こそはその目的意識を適えてくれる国だ、との見通しを立てていた。；だがその透明の蓋の裏側には、他のものと適って霜が付いていなかった。；健康であることは自然の意志そのものに適うのであると云わねばなりません。；会話は礼儀に適っている限り、何処までも自由に解放されているのだ。；山のなかの景色や人の生活も私にフレッシュな心に適うたものでした。；今の心が許さんけえ、今度のことは、神の思召に適っていないと思うけえ。；要するに普通の行き方では真佐子ははじめから適わない自分の相手なのだ。；しかも、ダンスの奥許しの秘伝を電車の中で応用するのだから適わない。；それと知ってよめばいかにも屏風絵の情景に適った絵画的世界が現れる。；生きているうちは浄めで魂を管理できるが、死んだらそれは適わない。；或る一つの仕事が百人に向き千人に適うものではありません。；しかしこの絵は、オリジナルの形で展示されることは適わなかった。；それにはどうしても道の理想に適うところの生活が必要である。；何かのお手本に適っているなら、それはもはや特異なことではなかろう。；狙撃前探知の実用化はもし適ったとしてもかなり先の話となるであろう。；理に適わないことだから、余計に感情的になってしまうのかもしれない。；それはもはや素朴な驚きではなく、もっと理に適った驚きなのであります。；これは全集ではなく、作者が吟味し基準に適うもののみが収録された。；あまりくどくいう事はかえって貴兄の心に適わないかと思いますので。</t>
        </is>
      </c>
      <c r="J1641">
        <f>HYPERLINK("https://www.weblio.jp/content/適う", "词义详情")</f>
        <v/>
      </c>
      <c r="K1641">
        <f>HYPERLINK("https://yourei.jp/適う", "查看例句")</f>
        <v/>
      </c>
    </row>
    <row r="1642">
      <c r="A1642" t="inlineStr">
        <is>
          <t>叶う</t>
        </is>
      </c>
      <c r="B1642" t="inlineStr">
        <is>
          <t>成功</t>
        </is>
      </c>
      <c r="C1642" t="inlineStr">
        <is>
          <t>読み方：かなう
［動ワ五（ハ四）］
１（適う）条件・基準などによく当てはまる。ぴったり合う。適合する。「理屈に—・っている」「お眼鏡に—・う」「大関に—・う地位」
２（叶う）思いどおりに実現する。願っていたことがそのとおりになる。「念願が—・う」「出場が—・う」「—・わぬ恋」
３（敵う）そうすることができる。可能である。また、そうすることが許される。ふつう、あとに打消しの語を伴う。「この天候では登頂は—・わない」「起き上がることも—・わぬほど病が篤(あつ)い」
４（敵う）対等の力がある。対抗できる。匹敵する。あとに打消しの語を伴う。「語学では彼に—・う者はいない」
５（「かなわない」「かなわぬ」などの形で）
㋐そうすることやそういう状態に我慢できない。やりきれない。たまらない。「こうせかされては—・わない」「暑くて—・わない」「退屈で—・わない」
㋑どうしてもそうする必要がある。…なくてはならない。「みずから出向かなくては—・わない用事がある」
［動ハ下二］「かなえる」の文語形。</t>
        </is>
      </c>
      <c r="D1642" t="inlineStr">
        <is>
          <t>叶うなら(3%)；叶うまい；叶うことなら；叶うことなく；叶うだろ</t>
        </is>
      </c>
      <c r="E1642" t="inlineStr">
        <is>
          <t>及ぶ；並ぶ；匹敵；立ち並ぶ；比肩</t>
        </is>
      </c>
      <c r="F1642" t="inlineStr">
        <is>
          <t>どんな願いも叶う</t>
        </is>
      </c>
      <c r="H1642" t="n">
        <v>29</v>
      </c>
      <c r="I1642" t="inlineStr">
        <is>
          <t>ところがそれこそまさにわたしには叶えられない望みであるらしいのだ。；それが叶って、この夢を見始めて喜んだのがもう遠い昔に感じてしまう。；だが、ここに来て自分の願いを叶えられた者は未だにいないのだという。；今ならどんな目標であっても必ず叶えられると勝手に思う事ができた。；この怪我が元で、彼は2度とプロのコートに立つことは叶わなくなった。；恋愛的な接触を用いたり、物質的な欲望を叶えたりする者も少なくない。；公務員になったことは小学校の卒業文集に書いた夢が叶った形でもある。；以降も怪我が続き 試合出場が叶わず、2010年末に構想外となった。；環さえ描いていれば、歪だろうが何だろうが目的には叶っていたはずだ。；老人は王子に「彼の望みは何でも叶うようになる」と言って祝福をした。；東京の実家に戻ると中学進学を希望したが、父の反対で叶わなかった。；また、ニュー・アルバムを秋にリリースすると言及したが叶わなかった。；君に無理を言っているのは僕の方だし、できれば望みは叶えてあげたい。；以降リーグ戦ではベンチ入りはしていたものの試合出場が叶わなかった。；警察手帳でも持っていれば別なのだろうが、謹慎中ではそれも叶うまい。；この少女ならば、きっとこれからも自分の夢を叶えていくに違いない。；そんなことしなくたって、あたしたちの夢は叶いそうだったんだから。；一回ぐらい一緒に散歩しましょうという願いが叶わなかったのが残念です。；やっと夢が叶う幸せを、誰にも邪魔されずに二人きりで祝いたかったのよ。；この木は過去にいくつもの奇跡を引き起こし、人々の願いを叶えてきた。；F1への参戦を目標にしていたクロスノフだったが、叶う事は無かった。；この広い敷地に家を建てるという夫妻の夢は、叶うことなく放棄された。；トライアウトへの参加や米独立リーグ加入なども目指したが叶わず引退。；私は、貴方に会いたかったのですけれど、その願いは叶いませんでした。；母の願いはやっと叶って、この町に息子と二人の生活を営むこととなった。；この星で、子孫を増やそうとしていると考えた方が、理に叶っていない?；階級が上になればなるほど、究理院の目的と理想に叶った者となってゆく。；全ての苦労が報われ、夢は叶うと言い続けて実現させた瞬間であった。；トップチームにも何度か招集されたが公式戦の試合出場は叶わなかった。</t>
        </is>
      </c>
      <c r="J1642">
        <f>HYPERLINK("https://www.weblio.jp/content/叶う", "词义详情")</f>
        <v/>
      </c>
      <c r="K1642">
        <f>HYPERLINK("https://yourei.jp/叶う", "查看例句")</f>
        <v/>
      </c>
    </row>
    <row r="1643">
      <c r="A1643" t="inlineStr">
        <is>
          <t>叶える</t>
        </is>
      </c>
      <c r="B1643" t="inlineStr">
        <is>
          <t>成功</t>
        </is>
      </c>
      <c r="C1643" t="inlineStr">
        <is>
          <t>読み方：かなえる
［動ア下一］［文］かな・ふ［ハ下二］
１（適える）ぴったり合うようにする。条件や基準などを、十分に満たす。「必要条件を—・える」
２（叶える）思いどおりに実現させる。聞き届ける。成就させる。「希望を—・えてやる」</t>
        </is>
      </c>
      <c r="D1643" t="inlineStr">
        <is>
          <t>叶えるべく(6%)；叶えるべき</t>
        </is>
      </c>
      <c r="E1643" t="inlineStr">
        <is>
          <t>実施する；実現する；実行する；到達する；実現させる</t>
        </is>
      </c>
      <c r="H1643" t="n">
        <v>29</v>
      </c>
      <c r="I1643" t="inlineStr">
        <is>
          <t>お前はもう安心して、あらゆるお前の望みを叶えることができるのじゃ。；それが右のもろもろの望みを叶える唯一の場所であったのではないか。；それは、すべての望みを叶えることを可能にする夢のシステムだった。；この大会に世界中からバンカーたちが自分の願いを叶えるために参戦した。；どんな願いでも1つだけ叶えるといい、歯の痛みをとってくれるともいう。；俺のささやかな幸せとやらを叶えるためには、誰が欠けてもダメなんだ。；しかも、その中でちゃんと願いを叶えることができたのは葉山の一件だけ。；きみの望みを叶えるためには、これではとても足りないだろうしな。；他作品からの登場となる以下の12キャラクターが願いを叶える対象となる。；自分から願いを叶えると言ったものの、了承することが出来なかったのだ。；その夢叶えるためなら、あたしだって、泥かぶったってなんでもするさ!；主は自らの夢を叶えるためにクスコフの町に向かっている最中ではあるまいか。；夢魔は彼女の分身であり、彼女の意識下の願望を叶えるために出現する。；一方、世間では願いを叶える謎のサイト「ETE」が話題になっていた。；カードキーを見つけた者には願い事を叶える権利を与えてくれるとのこと。；命の借りは、救われた数だけ、望みを叶えることで返すのが我々の掟だ!；主が言ったように、夢を叶えるには危険を覚悟せねばならぬようであるからだった。；今の彼は、目的を叶えるためなら、どんなひどいこともしそうで怖かった。；将軍は代々その願いを叶える穴ぐらの上に居すわっているというわけか。；私は答えた、やがて人は全能になり、万物を司る夢すら叶えるからだと。；シャンクと別れて、夢を叶えるためフィラデルフィアを出る決意をする。；ゲズはその夢を叶えるために、まず高校の化学教師になることを目指した。；おまえたちの“望み”を叶えるだけならば、今の状態でも可能だろう。；だから私はあなたの願いを叶える鏡になろうと思ったの。；番組はこれらのほか、一般女性のさまざまな夢を叶える連続企画も行っていた。；夢を叶える為に努力を重ねた結果、オーディションに見事合格した。；王様はファンの望みを叶えるために王子を地球に派遣するというストーリー。；その夢を叶えるため、わたしはあらゆるものを犠牲にしました。；そして、パパはどんなことも叶える魔法の石夢の石を見つけろという。</t>
        </is>
      </c>
      <c r="J1643">
        <f>HYPERLINK("https://www.weblio.jp/content/叶える", "词义详情")</f>
        <v/>
      </c>
      <c r="K1643">
        <f>HYPERLINK("https://yourei.jp/叶える", "查看例句")</f>
        <v/>
      </c>
    </row>
    <row r="1644">
      <c r="A1644" t="inlineStr">
        <is>
          <t>悲しい</t>
        </is>
      </c>
      <c r="B1644" t="inlineStr">
        <is>
          <t>成功</t>
        </is>
      </c>
      <c r="C1644" t="inlineStr">
        <is>
          <t>読み方：かなしい
［形］［文］かな・し［シク］
１心が痛んで泣けてくるような気持ちである。嘆いても嘆ききれぬ気持ちだ。「友が死んで—・い」⇔うれしい。
２人に1のような気持ちを起こさせる物事のさま。「—・い知らせ」「—・いメロディー」
３（愛しい）
㋐心に染みていとしい。かわいくてならない。
「柵(くへ)ごしに麦食(は)む小馬のはつはつに相見し児(こ)らしあやに—・しも」〈万・三五三七〉
㋑心に染みておもしろい。強く心を引かれる。
「あしひきの八つ峰(を)の雉(きぎし)鳴きとよむ朝明(あさけ)の霞(かすみ)見れば—・しも」〈万・四一四九〉
㋒すばらしい。みごとである。
「—・しくせられたりとて、見あさみけるとなん」〈著聞集・一七〉
４
㋐しゃくにさわるさま。悔しい。
「物も覚えぬ腐り女に、—・しう言はれたる」〈宇治拾遺・七〉
㋑我慢できないほど恐ろしい。つらい。
「先立つだにも—・しきぞかし」〈平家・三〉
㋒ひどく貧しい。
「釜の下へたく物さへあらず。さても—・しき年の暮れや」〈浮・胸算用・三〉
[派生]かなしがる［動ラ五］かなしげ［形動］かなしさ［名］かなしみ［名］
[補説]古くは、いとしい、かわいい、すばらしい、嘆かわしい、心が痛むなど、物事に感じて切に心の動くさまに広く使われたが、近代では、主に心の痛む意に用いられるようになった。</t>
        </is>
      </c>
      <c r="D1644" t="inlineStr">
        <is>
          <t>悲しいこと(13%)；悲しい思い(3%)；悲しいもの(3%)；悲しい気持；悲しい事</t>
        </is>
      </c>
      <c r="E1644" t="inlineStr">
        <is>
          <t>不幸；苦しい；痛い；辛い；つらい</t>
        </is>
      </c>
      <c r="F1644" t="inlineStr">
        <is>
          <t>悲しい心；悲しい声；悲しい目；悲しい話；悲しい気分</t>
        </is>
      </c>
      <c r="G1644" t="inlineStr">
        <is>
          <t>悲しい歌；悲しいな；悲しいね；悲しい女；悲しい酒</t>
        </is>
      </c>
      <c r="H1644" t="n">
        <v>29</v>
      </c>
      <c r="I1644" t="inlineStr">
        <is>
          <t>王子は森の側に立って、鳥の飛んでゆく方を悲しそうに眺められました。；患者らからも怒りや悲しいという声が寄せられたと述べておられました。；子供等はかえってそんな事には敏感で悲しい場合が多いと私は思います。；死んだのが悲しかったんじゃなく、あまりに見事な死に方だったもので。；それを男親の知らぬ悲しさ、きょうの今まで与えずに来ていたのだった。；けれど、私はもう学校を休むのをそう悲しいこととは思っていなかった。；それにまたこんな罪を犯すではありませんか、私は悲しくてなりません。；芸術界に於ても同一の悲しき事実に面することは改めて云ふまでもない。；私がうっかりしていたので、こんな悲しいことになってしまったんです。；米は忘れて来たのを知ったが悲しくなって来たので黙って表へ出た。；そのくせかの女はひじょうに感動して、ますます悲しそうになっていた。；八っちゃんがどんなになったかと思うと、僕は本当に淋しく悲しかった。；魚は喪心していた人のようにわざと悲しそうな顔をして驚いてみせた。；世の中が悲しくなる時には、人は進んでも旅へ出るではありませんか。；王はその花を拾ったが悲しくて泣きたいような気になって立っていた。；はッきりした記憶もなく、ただ悲しい夢ばかり見つづけていたのだろうか。；世の中が悲しくなったればこそそうした寺へ来て隠れていたのだろうからね。；私は、それが闇の中に沈んでゆき消えてゆくのを、悲しく見守っていた。；床の下かと思われるあたりで獣の唸るような奇怪な悲しげな声が洩れた。；はじめ、ピアノと読書をやめているのを見てちょっと悲しく思いました。；ここをもっと良く出来るのじゃないかと思うと、悲しくなり、残念です。；それから、ユダヤ人らが神を十字架につけたことを悲しげに思い出した。；死んでゆく本人でさえ、ちょっとも悲しそうな顔はしていないのです。；そのうちに彼の家はだんだん近くなったので、怪物は悲しげに言った。；すこし口をあけている顔をみつめていると、お高は、悲しくなってきた。；彼はいまの瞬間がつぎの瞬間には終ってしまうと思うと悲しかった。；かたへにははのあらぬとて歌時計のその唄が なぜこのやうに悲しかろ。；祖母の宮のお邸へ行くこともわけなしに悲しくてあまり出かけない。；それが心からの願いであれば怒ったり悲しい表情をすることはないからと。</t>
        </is>
      </c>
      <c r="J1644">
        <f>HYPERLINK("https://www.weblio.jp/content/悲しい", "词义详情")</f>
        <v/>
      </c>
      <c r="K1644">
        <f>HYPERLINK("https://yourei.jp/悲しい", "查看例句")</f>
        <v/>
      </c>
    </row>
    <row r="1645">
      <c r="A1645" t="inlineStr">
        <is>
          <t>悲しむ</t>
        </is>
      </c>
      <c r="B1645" t="inlineStr">
        <is>
          <t>成功</t>
        </is>
      </c>
      <c r="C1645" t="inlineStr">
        <is>
          <t>読み方：かなしむ
［動マ五（四）］
１心が痛む思いだ。悲しく思う。また、なげかわしく思う。「別れを—・む」「道徳心の低下を—・む」⇔喜ぶ。
２（愛しむ）いとしいと思う。愛する。
「端正(たんじゃう)美麗なる男子を産めば、父母これを—・み愛して」〈今昔・二六・五〉
３（愛しむ）深く感動する。
「国王、これを見給ひて、—・み貴びて」〈今昔・九・一〉
４嘆願する。
「手をすり—・めども」〈宇治拾遺・一〇〉
[可能]かなしめる</t>
        </is>
      </c>
      <c r="D1645" t="inlineStr">
        <is>
          <t>悲しむべき(24%)；悲しむだろ(3%)；悲しむ心；悲しむべし；悲しむでしょ</t>
        </is>
      </c>
      <c r="F1645" t="inlineStr">
        <is>
          <t>泣き悲しむ；歎き悲しむ；どんなに悲しむ；なげき悲しむ；最も悲しむ</t>
        </is>
      </c>
      <c r="H1645" t="n">
        <v>29</v>
      </c>
      <c r="I1645" t="inlineStr">
        <is>
          <t>あなたはきっとこの悲しむべき事をしばしば体験されたでありましょう。；さすれば、私が悲しむのも無理がないかどうか、おわかりになるだろう。；なのに死にたくないのも、死ぬことを悲しむのも人間だけだと思ってる。；君は僕が死んだと思つて悲しむでゐるが、僕は決して死にはしないよ。；もしお聞き入れがなければ、国中あげて泣き悲しむことになるでしょう。；死んでも、家族が悲しむだけだよと千尋を説得させ、自殺を止めさせた。；お言葉はわたしを、ある悲しむべき必要からまぬかれさせてくれました。；この伝説では、息子の死を悲しむレメクがその死体を木に架けたという。；それに、まだ悲しむべきことを云うのは、やめて貰いたいと彼は思った。；そして、繰り返して云ふが、この事実は、別に悲しむべきことではない。；同時にその議論が事実上常に裏切られつつある事を悲しむものである。；そうなれば、一番悲しむのは故郷と恋人が争うことになるライラである。；その悲しむべき岸辺に立って震えながら、恐怖のために後退りしていた。；私は夫人の死を悲しむよりも、むしろ、心の軽くなるのを覚えました。；もしそうでなければならぬとしたら、それは悲しむべき光景となるでしょう。；信夫は、父の死を悲しむよりも、むしろ父の死に心打たれていたのである。；そのころこの妖精の王と女王のあいだに悲しむべき不和が生じていました。；彼らは悲しめる者の避難所であり、不幸なる者の逃がれ路でありました。；彼に涙を流させるのはユッベェル伯父さんの死を悲しむ心ではなかった。；人間的時間的なものの救援はなお一層悲しむべき絶望の一種にしかすぎませぬ。；かれら夫婦は自分の娘の死を悲しむよりも、若旦那の死を深く悼んでいた。；そうすることが必要なのは、船内政治の悲しむべき実状を物語っていた。；春になると、ま昼に窖が明るくなるように、悲しめる人の魂も明るくなる。；その死は、彼らのために悲しむよりも、むしろ、賀すべきものだと思う。；なかには、飼犬が脚を折っても涙を流して悲しむものがかなりいるのです。；そこで、試験のむずかしさや、自分の才能のことなどを考えて、悲しむ。；あんたがばかなことをして、女王が嘆き悲しむのを見たくなどないんでね。；長年苦しめられたことを思い出せば、どうしてこれが悲しめましょうか。；確かに父上も兄上も悲しむだろうが、こんな経験、そうそうできないぞ!</t>
        </is>
      </c>
      <c r="J1645">
        <f>HYPERLINK("https://www.weblio.jp/content/悲しむ", "词义详情")</f>
        <v/>
      </c>
      <c r="K1645">
        <f>HYPERLINK("https://yourei.jp/悲しむ", "查看例句")</f>
        <v/>
      </c>
    </row>
    <row r="1646">
      <c r="A1646" t="inlineStr">
        <is>
          <t>金槌</t>
        </is>
      </c>
      <c r="B1646" t="inlineStr">
        <is>
          <t>成功</t>
        </is>
      </c>
      <c r="C1646" t="inlineStr">
        <is>
          <t>読み方：かなづち
１つちの頭または全部を鉄で作ったもの。釘などを打ち込むのに使う。俗に、とんかちともいう。
２《1はすぐ水中に沈むところから》泳ぎのできないこと。また、その人。</t>
        </is>
      </c>
      <c r="D1646" t="inlineStr">
        <is>
          <t>金槌状；金槌で叩きこん；金槌代わり</t>
        </is>
      </c>
      <c r="E1646" t="inlineStr">
        <is>
          <t>ハンマー；槌；鎚；鉄槌；鉄鎚</t>
        </is>
      </c>
      <c r="F1646" t="inlineStr">
        <is>
          <t>大きな金槌；強金槌</t>
        </is>
      </c>
      <c r="H1646" t="n">
        <v>29</v>
      </c>
      <c r="I1646" t="inlineStr">
        <is>
          <t>凶器はまだ特定されていないが、金槌のようなもので頭を殴られている。；炉以外には、巨大な机があり、机の上には金槌やら鉄尺が散乱していた。；「金槌の川はまり」と言ふ語があるが、さう言ふ状態の人が沢山にゐた。；日にやけた扁平な顔は、まん中を金槌で叩きこんだような感じであった。；かおりは自分が金槌を振り上げ、振り下ろしたことをようやく理解した。；同時に、自分の頭を一度大きく引き、それから金槌のように振り下ろした。；それに金槌を振り下ろしたのが誰だったのかは覚えていない。；先生はいつも金槌を持って歩いて、釘を抜いたり叩いたりしてはりました。；カンカンカーンって、金属を金槌で叩いて刀を打ったりとかもするのよ?；こんどは、抜いた歯をたがいの脳天へ金槌で打ちこまなくてはならない。；見た目は柄の長い金槌だが、その頭が強力な成形炸薬弾になっている。；外ではかんなをかける音と金槌で釘を打ちつける音がずっとつづいていた。；が或る時私はふと金槌で父の頭を打ったことがあった。；その金槌は死体の傍らに落ちているのが発見されました。；ついでに目に入った小屋に立て掛けられた大金槌も取り、ドアの前にもどった。；松浦さんは金槌の方だったから、それからの滞在中二人を頼みにしていた。；姿は見えなかったけど、釘の頭を金槌か何かで叩いた感じだった。；金槌を持つてそいつら共を片端から一人二人と叩きつけて歩きたいものである。；頭の上で金槌をふりまわされては寝ているわけにもいかないし、第一もう朝なのだ。；金槌はさきほど使ったものがテーブルの上にまだあった。；悲鳴もなく、声もなく、ただ杭が倒れ、金槌が落下して鈍い音を立てた。；そもそも、潜水艦の艦長が金槌では、あまりに格好が付かないだろう。；前もって計画的にあの金槌を入手して特別なメリットはないからね。；真相は、そこに聳えている高い塔の上から金槌を投げたのであった。；まわりの壁は、まるで金槌で叩いているかのように、がんがん鳴っています。；それから横ポケットにブランブランしている金槌を取って、仕事にかかった。；金槌を叩きつけたり、刀で真っ二つにするような、派手な破壊ではない。；右手に握った金槌だけをそのままにして、足を止め、男を見やった。；階段を上ってゆくとき、職人らが金槌で釘を打ってる音が聞こえた。</t>
        </is>
      </c>
      <c r="J1646">
        <f>HYPERLINK("https://www.weblio.jp/content/金槌", "词义详情")</f>
        <v/>
      </c>
      <c r="K1646">
        <f>HYPERLINK("https://yourei.jp/金槌", "查看例句")</f>
        <v/>
      </c>
    </row>
    <row r="1647">
      <c r="A1647" t="inlineStr">
        <is>
          <t>必ず</t>
        </is>
      </c>
      <c r="B1647" t="inlineStr">
        <is>
          <t>成功</t>
        </is>
      </c>
      <c r="C1647" t="inlineStr">
        <is>
          <t>読み方：かならず
［副］《「かり（仮）ならず」の音変化》
１例外のないさま。きまって。いつでも。「毎朝—散歩する」「会えば—論争になる」
２確実な推量、または強い意志・要請を表す。まちがいなく。絶対に。きっと。「いつかそういう日が—来る」「—勝ってみせる」「印鑑を—持参すること」「—成功するとは限らない」
３（あとに打消しや禁止の語を伴って）決して。かならずしも。
「行幸といへど、—かうしもあらぬを」〈源・行幸〉
[用法]かならず・きっと——「この薬を飲めば必ず（きっと）病気が治る」「勉強すれば必ず（きっと）合格する」など、両語とも可能性の強い状態を表すが、「必ず」のほうが確率的により高い場合に使う。◇両語とも「この借りは必ず（きっと）返す」のように決意を表す語としても用いられる。◇「三に二をかけると必ず六になる」「太陽は必ず東から昇る」など、不変の真理を表す場合には「きっと」は使わない。逆に「彼はきっと帰ったんだろう」など、推量の気持ちの強いときには、「必ず」は使わない。</t>
        </is>
      </c>
      <c r="D1647" t="inlineStr">
        <is>
          <t>必ず来る；必ず死ぬ；必ず勝つ；必ず成功する；必ず何らかの</t>
        </is>
      </c>
      <c r="E1647" t="inlineStr">
        <is>
          <t>いつも；きっと；常に；どうしても；確かに</t>
        </is>
      </c>
      <c r="F1647" t="inlineStr">
        <is>
          <t>すれば必ず；いつか必ず；あれば必ず；ほぼ必ず；いつも必ず</t>
        </is>
      </c>
      <c r="G1647" t="inlineStr">
        <is>
          <t>必ずや</t>
        </is>
      </c>
      <c r="H1647" t="n">
        <v>29</v>
      </c>
      <c r="I1647" t="inlineStr">
        <is>
          <t>つまり政治的存在である国家は必ず堕落すると考えられていたのである。；アルゴリズムは最終的に必ず停止しなければならないとする定義もある。；各セットの交代する時期が必ず、その当時のオープニングも最後になる。；お前も大きくなったら、必ず他人が見なくても働くような人間になれ。；成績優秀であるからといっても必ず良い産駒が生まれるとは限らない。；これらは主に使用される組み合わせで、必ずこれのみで対応する訳ではない。；その時機が到来する時には必ずヨーロッパを驚かせることをするだろう。；揚力が生じているとき周囲の空気にはどこかで必ず逆向きの運動が起きる。；政軍分離を達成するために必ず存在しなくてはならない組織である。；特に毎年の主演女優は必ずと言ってよいほど途中で体調を崩していた。；毎話新しい発明道具が必ず登場し、一度出た道具の再登場はほとんどない。；任意の素元が必ず既約元となることに対し、その逆は一般には真でない。；純粋戦略ゲーム とは、参加者が必ずどれかの戦略を選ぶゲームである。；そのためコードをOSのベースに組み込む際には必ず守る必要がある。；長調の場合、短調の場合ともに主調と必ず異なる音は第三音のみである。；二条邸は当時、「洛中洛外図屏風」に必ず描かれるほどの名邸であった。；テレビなどで自身を紹介された時は必ず「よろしくどうぞ」と挨拶する。；ただ、そのような馬の産駒が必ず活躍するかと言えばそうではない。；毎年必ず選出されるわけではなく、該当者が存在する場合に設定されている。；一方、落合には読まれていても必ずシンカーを決め球にしていたという。；那覇大綱挽は古来、各町の挽き手らによると必ずセットで行うとされる。；とても優しく、のび太が泣いていると必ずどこにいても飛んで来てくれた。；しかしながら、任意のモノイドが必ず何らかの群に含まれるとは限らない。；鼻毛を抜いた時に涙が出ることがあるが、必ず抜いた鼻の穴の側の目から出る。；老頭牌のみで構成される関係上順子が含まれず、必ず対々和の形になる。；そのため、一つの神社には必ず一人の宮司を置かなければならないとしている。；特に映画誌などで行われる過去の作品のランキング等では必ず上位にランキングされている。；まだ登録されていない値を検索した場合、処理は必ず葉ノードまで達する。；しかし、これらの規則やマナーが必ず守られていたとは限らなかった。</t>
        </is>
      </c>
      <c r="J1647">
        <f>HYPERLINK("https://www.weblio.jp/content/必ず", "词义详情")</f>
        <v/>
      </c>
      <c r="K1647">
        <f>HYPERLINK("https://yourei.jp/必ず", "查看例句")</f>
        <v/>
      </c>
    </row>
    <row r="1648">
      <c r="A1648" t="inlineStr">
        <is>
          <t>必ずしも</t>
        </is>
      </c>
      <c r="B1648" t="inlineStr">
        <is>
          <t>成功</t>
        </is>
      </c>
      <c r="C1648" t="inlineStr">
        <is>
          <t>読み方：かならずしも
［副］《「し」は副助詞、「も」は係助詞》打消しの語を伴って、必ず…というわけではない、…とは限らない、という気持ちを表す。「金持ちが—幸福ではない」「—そうとはいえない」</t>
        </is>
      </c>
      <c r="D1648" t="inlineStr">
        <is>
          <t>必ずしも同じ；必ずしも正しく；必ずしも常に；必ずしも悪い；必ずしも言え</t>
        </is>
      </c>
      <c r="E1648" t="inlineStr">
        <is>
          <t>まんざら；あながち；一概に</t>
        </is>
      </c>
      <c r="F1648" t="inlineStr">
        <is>
          <t>必ずしも当てはまら；必ずしも結びつか；必ずしもこだわら；必ずしも当ら；必ずしも道徳的</t>
        </is>
      </c>
      <c r="H1648" t="n">
        <v>29</v>
      </c>
      <c r="I1648" t="inlineStr">
        <is>
          <t>他の市場でも採用されたが、分離の境界線は必ずしも明らかでなかった。；しかし、意味をなすことと真実であることは、必ずしも対応していない。；台風の多い日もしくは風の強い日といわれるが、必ずしも事実ではない。；現在では、学部組織と大学院の研究教育組織は必ずしも一致していない。；そのため商品価格とブランド価値は必ずしも一致するとは限らない。；ただしニュースの担当は必ずしも上記のようになるとは限らない。；必ずしも翻訳されずに、音写でカタカナ表記で使われていることも多い。；ただし、当初は国内でそれを認めていた人は必ずしも多くなかった。；ただし、伊能家の状況は必ずしも順風満帆ではなかったとする説もある。；撮影はセットごとに行われるため必ずしも時系列に沿ってはいない。；しかしこの文学者からの接近は哲学者からは必ずしも歓迎されなかった。；両性愛の人々は必ずしもそれぞれの性に同等に魅力を感じるとは限らない。；必ずしもクラブミュージックとしての性格を強調するものではなかった。；魚介類は多獲される時期を示し、必ずしも旨くなる時期とは一致しない。；これは上記のような文法上の定義と概ね重なるが、必ずしも一致しない。；したがって本来は必ずしも笑えるものだけを意味するとは限らない。；日本で珍重されるタイだが、世界の別の地域では必ずしも高級魚ではない。；規制や規則が緩むことは、必ずしも社会にとってよいことではないと言える。；そのため、テレビやラジオの受信環境は必ずしも安定しているとは言えない。；しかし、クロック周波数の高いマシンが必ずしも性能が高いとは言えない。；日本国外の高速列車では窓と座席の配置が必ずしも合っていない場合がある。；加えて、そのルールはこれらの証明の初期の生成には必ずしも重要なものではない。；現代では多くの作品が詠まれており、例をあげることは必ずしも容易ではない。；日本語では「海」の一字が含まれるが、必ずしも海に限ったものではない。；ただし、これらの写真は必ずしも本物の色ではないことがある。；放送区域内だからといって必ずしも全ての局が安定して受信できる訳ではない。；これは必ずしも書籍の出版者のみを示すものではない。；上述の義務一般の説明とは必ずしもリンクしないこともあるので注意されたい。；人称代名詞は、それが実際に誰を指し示しているか必ずしも同じではない。</t>
        </is>
      </c>
      <c r="J1648">
        <f>HYPERLINK("https://www.weblio.jp/content/必ずしも", "词义详情")</f>
        <v/>
      </c>
      <c r="K1648">
        <f>HYPERLINK("https://yourei.jp/必ずしも", "查看例句")</f>
        <v/>
      </c>
    </row>
    <row r="1649">
      <c r="A1649" t="inlineStr">
        <is>
          <t>かなり</t>
        </is>
      </c>
      <c r="B1649" t="inlineStr">
        <is>
          <t>成功</t>
        </is>
      </c>
      <c r="C1649" t="inlineStr">
        <is>
          <t>読み方：かなり
《許し認める意の「可なり」から》
［形動］［文］［ナリ］相当の程度まで行っているさま。また、相当の程度以上に達しているさま。「—な収入がある」「—な数にのぼる」
［副］極端ではないが、並の程度を超えているさま。思ったより以上に。相当。「今日は—人が出ている」「—酔っているようだ」
[用法]かなり・だいぶ——「台風の影響で海はかなり（だいぶ）荒れている」「病気はかなり（だいぶ）重い」などでは相通じて用いられ、物事の程度が「非常に」「とても」「大変」ほどではないが、平均以上であることを表す。◇「かなり」は「かなりな金額」「かなり出来る」のように、平均を超えたある程度を示すが、「だいぶ」は「夜になって、気温がだいぶ下がってきた」「だいぶ片付いた」のように、進行している事柄でさらに程度が進む可能性のある場合にぴったりする。◇類似の語に「相当」がある。「相当」は「かなり」「だいぶ」と同じように用いるが、より程度が上回っている感じがあり、「相当金のかかる大学だ」「相当な切手マニアだ」などでは、驚きあきれる感情がこもっている。◇また、類似の語「随分」の用法には「かなり」「だいぶ」と相通じるものがある。</t>
        </is>
      </c>
      <c r="D1649" t="inlineStr">
        <is>
          <t>かなり大きな；かなり長い；かなり高い；かなり広い；かなり離れ</t>
        </is>
      </c>
      <c r="E1649" t="inlineStr">
        <is>
          <t>よく；最も；非常；非常に；ちょっと</t>
        </is>
      </c>
      <c r="F1649" t="inlineStr">
        <is>
          <t>まだかなり；かなり古い；かなり大きく；かなり低い；かなり高く</t>
        </is>
      </c>
      <c r="G1649" t="inlineStr">
        <is>
          <t>かなりや；かなり純情</t>
        </is>
      </c>
      <c r="H1649" t="n">
        <v>29</v>
      </c>
      <c r="I1649" t="inlineStr">
        <is>
          <t>日本では使用例が少ないが、それ以外ではかなり見られる方式である。；皆既日食が起こると空がかなり暗くなり星の観測も可能な状態になる。；日本で人間化された姿で描写されることがあるのとはかなりイメージが異なる。；ドイツなどでは、かなり若いころに2つの経路のうちどちらを選ばせる。；ただし銃の国内所持数が、かなりの数に及ぶ可能性が指摘されている。；初期のアーキテクチャと後期のアーキテクチャではかなり構造が異なる。；地下と各ホームを結ぶ階段から京都側は、各ホーム共に幅員がかなり狭い。；この頃、タイプをかなりのスピードで打つことが出来るようになっていた。；ただし良い音の出る楽器と木目の美しさにはかなり密接な関係がある。；築堤上に位置するため、周辺の住宅等からはかなり高いところにある。；ロンドンは多くの民族的な多様性から料理の幅がかなり広い。；家の周囲や内部に埋葬された擦文文化の墓制とは、かなりの違いが見られる。；また、発見の古い温泉ではその利用の歴史もかなり古くから文献に残されている。；こうした家族愛の成立は、かなり新しいものであると考えられている。；日本では成長にかなり時間がかかるために鍾乳石類の採取は禁止されている。；当時の日本人としては、そして俳優としても、かなり背が高い方だった。；実際に使用されている代替医療の種類はアメリカと日本ではかなり異なっている。；男女共に命名されるユニセックスな名前ではあるが、男性の方がかなり多い。；業団体の意思の統一が図られることが、現状ではかなり難しいと思われる。；以下のものは駅からかなりの距離があるが、当駅が入口となる名所。；工場などで働く場合、英語との接触がかなり増えることになるケースがある。；ただし他党と比べて「専守防衛」の武力行使自体にもかなり慎重である。；この目標のため、クヌースはかなりの時間を組版技術の調査に費やした。；市の中心には広場もあり、かなり計画的に設計された都市であることも分かっている。；中山道より距離が短い事もあり、その通行者はかなり多かったようである。；政府の統計では少なく見積もられているが実際はロマ人もかなり含まれる。；戦争中の彼の行動はかなりの議論を呼ぶこととなった。；おそらくかなり痛いところを突かれてすっかり意気消沈したのであろう。；ルールが日本のものにかなり近い国と、それなりに異なる国がある。</t>
        </is>
      </c>
      <c r="J1649">
        <f>HYPERLINK("https://www.weblio.jp/content/かなり", "词义详情")</f>
        <v/>
      </c>
      <c r="K1649">
        <f>HYPERLINK("https://yourei.jp/かなり", "查看例句")</f>
        <v/>
      </c>
    </row>
    <row r="1650">
      <c r="A1650" t="inlineStr">
        <is>
          <t>かなわない</t>
        </is>
      </c>
      <c r="B1650" t="inlineStr">
        <is>
          <t>成功</t>
        </is>
      </c>
      <c r="C1650" t="inlineStr">
        <is>
          <t>読み方：かなわない
［連語］《動詞「かなう」の未然形＋打消しの助動詞「ない」》⇒適う5</t>
        </is>
      </c>
      <c r="D1650" t="inlineStr">
        <is>
          <t>出来ない；足りない；不可能な；下る；劣る</t>
        </is>
      </c>
      <c r="F1650" t="inlineStr">
        <is>
          <t>たらかなわない；とうていかなわない；到底かなわない；どうにもかなわない；まったくかなわない</t>
        </is>
      </c>
      <c r="H1650" t="n">
        <v>29</v>
      </c>
      <c r="I1650" t="inlineStr">
        <is>
          <t>犬とはいえ一メートル以上あるそいつにはかなわなかったみたいだけど。；心のみの宗教は、われわれの物第一・心第二の科学にはかなわないのだ。；などといわれてはかなわない、そんな思いが口をついて出たようだった。；実力では自分のはるか下にいながらも経験ではまったくかなわない相手。；なんとか到達することはできても、もとに戻ることのかなわない場所だ。；おぬしの息子は生きていたぞと、会うこともかなわない伯爵に檄を送る。；第一はこいつらは空開地を駆けさせては人間にかなわないということだ。；しかしほぼ全身をギプスで固定された状態では、それはかなわなかった。；こんなことで家の中が暗くなってはかなわないと思っているのかもしれない。；その時三四郎はこの女にはとてもかなわないような気がどこかでした。；まだ若いG中尉のこの態度と言葉とに、僕はこれはかなわないと思った。；ただ、あり金を取られて、この先でまた通行料を取られてはかなわない。；本気で勉強してる奴にはかなわないよ、五年のハンデがあるんだからな。；自分の望みがかなわないと知ったときのわがままな子供のようだった。；あなたたちの望みがかなわなければ、わたしたちの願いもかないませぬ。；こちらが道にかなわなくても、きげんをとろうと思えばわけなく出来る。；戦闘だけでなく、自動で反応するそれらの攻撃を受けてもかなわない。；力でかなわないのは確かだが、うまく隙を探せば逃げだせるに違いない。；大学院時代から集中化されているうちの言語学者たちもかなわないくらい。；どんなに精魂こめて調整しても、作り物の色は自然の色にはかなわない。；メンデルの法則を利用するたびに著作権料を取られたのではかなわない。；また空の動物にも、我々はすべての性質において、かなわないのである。；今の時代の名人上手でも、この邸の人たちにはかなわないくらいですよ。；これから出かけるというのに、服を犬の毛まみれにされてはかなわない。；こういう性格で、こういう考え方ができなければ、独立などかなわない。；そのことを思えば、なにものにも万全を期することはかなわないだろう。；以前はとてもかなわない、と思った高坂新太郎さんにも最近は分がいい。；他のものよりは価値があるようだったが、人の命にはとうていかなわない。；怪我でもされて高い薬代を取られた日にはかなわないじゃないかね。</t>
        </is>
      </c>
      <c r="J1650">
        <f>HYPERLINK("https://www.weblio.jp/content/かなわない", "词义详情")</f>
        <v/>
      </c>
      <c r="K1650">
        <f>HYPERLINK("https://yourei.jp/かなわない", "查看例句")</f>
        <v/>
      </c>
    </row>
    <row r="1651">
      <c r="A1651" t="inlineStr">
        <is>
          <t>加入</t>
        </is>
      </c>
      <c r="B1651" t="inlineStr">
        <is>
          <t>成功</t>
        </is>
      </c>
      <c r="C1651" t="inlineStr">
        <is>
          <t>読み方：かにゅう
［名］(スル)団体や組織などの仲間に加わること。「国連に—する」「保険に—する」</t>
        </is>
      </c>
      <c r="D1651" t="inlineStr">
        <is>
          <t>加入する(9%)；加入者(4%)；加入後(4%)；加入当初；加入初年度</t>
        </is>
      </c>
      <c r="E1651" t="inlineStr">
        <is>
          <t>参加；所属；属する；合併；加盟</t>
        </is>
      </c>
      <c r="F1651" t="inlineStr">
        <is>
          <t>再加入；新規加入；途中加入；未加入；移籍加入</t>
        </is>
      </c>
      <c r="G1651" t="inlineStr">
        <is>
          <t>加入者線；加入戦術；加入者番号；加入者網終端装置</t>
        </is>
      </c>
      <c r="H1651" t="n">
        <v>29</v>
      </c>
      <c r="I1651" t="inlineStr">
        <is>
          <t>加入金が無料となる期間は合併後の2006年3月31日までとされた。；しかし、日本では学校を卒業した後にクラブへ加入するのが一般的である。；最初から加入していたメンバーの一人で同会の副会長をつとめていた。；ただし、それはそのような加入者が保険に加入できないことを意味しない。；登録期間を過ぎた後での加入の為、第3クールの6試合のみに出場した。；当時はまだ電話そのものが珍しく、加入者が集まらずに苦労した時代。；まもなくして彼のギターの腕を買い、クオリーメンへの加入を認めた。；会員の大部分は医師であるが、一部の診療放射線技師も加入している。；しかし、J2加入が確定した2001年年頭ごろから問題が表面化した。；ライン同盟は崩壊し、多くのドイツ諸邦が連合軍に加入することになる。；またこの年の途中から加入したミカエル・ラウドルップに大きな影響を受けた。；また、県出身者以外の愛好者の加入や独自団体の設立も増えていると言われる。；日本では、収容局から加入者へのDSL通信として最も普及している。；中途退学してリーグに加入した選手については指名制限の対象となる。；KCNとの違いはインターネット単独加入が出来ないことである。；事業発祥地である旧・延岡市内での歴史は古く、加入率もかなり高い。；共産主義青年団にも加入し、1934年には逮捕・入獄を経験している。；この加入条件は必然的にヨーロッパの諸党の分裂をもたらした。；加入者の大半が米作農家で、そのためJAは米を中心に活動を行っている。；その場合には新加入者の儀礼的な地位に応じて決定される。；PTAが任意加入の団体であることは、報道等により近年周知されてきた。；後に述べるような著名な政治家が加入していた。；短期間ではあるが一時期はシンセサイザーのメンバーも加入していた。；一方、この年に移籍加入した選手達が5月以降レギュラーに成長。；かねてから現役生活の最後を過ごしたいと発言してきたクラブへの加入となった。；代わりに系列会社である株式会社エス・オー・エフ・ティーが同機構に加入した。；その際、三島は天皇制を認めるなら加入してもよいという条件で参加した。；全体の1割がお金を払いたくないことを理由に年金加入をしないとなっている。；後援会員は親衛隊に資金を提供するが加入はしないシンパのメンバーである。</t>
        </is>
      </c>
      <c r="J1651">
        <f>HYPERLINK("https://www.weblio.jp/content/加入", "词义详情")</f>
        <v/>
      </c>
      <c r="K1651">
        <f>HYPERLINK("https://yourei.jp/加入", "查看例句")</f>
        <v/>
      </c>
    </row>
    <row r="1652">
      <c r="A1652" t="inlineStr">
        <is>
          <t>金</t>
        </is>
      </c>
      <c r="B1652" t="inlineStr">
        <is>
          <t>成功</t>
        </is>
      </c>
      <c r="C1652" t="inlineStr">
        <is>
          <t>読み方：こん
〈近〉⇒きん
〈金〉⇒きん</t>
        </is>
      </c>
      <c r="D1652" t="inlineStr">
        <is>
          <t>金五郎；金蓮；金兵衛；金剛；金さえ</t>
        </is>
      </c>
      <c r="E1652" t="inlineStr">
        <is>
          <t>足；金属；丸；お金；銭</t>
        </is>
      </c>
      <c r="F1652" t="inlineStr">
        <is>
          <t>所持金；補助金；賭け金；献金；奨励金</t>
        </is>
      </c>
      <c r="G1652" t="inlineStr">
        <is>
          <t>金色；金額；金銭；金田一；金メダル</t>
        </is>
      </c>
      <c r="H1652" t="n">
        <v>29</v>
      </c>
      <c r="I1652" t="inlineStr">
        <is>
          <t>このフランスの金の吸収はとりわけロンドンの金準備への圧力となった。；この時代では国司職を求めて戦国大名が朝廷へ盛んに献金などを行った。；そのうちの銀の鍵は現世的な権威を、金の鍵は宗教的な権威を示している。；このドラマでは、金ら実行犯側から見た事件の流れを追ったものであった。；中でも浅草は江戸で最も人が集中する所で人・物・金が集まってきた。；また、銀や銅、鉄なども金の場合と同様現在ではほとんど払底している。；金および隕鉄だけが、人類が銅より前に使用していたという証拠がある。；馬は羽生の玉に迫っている駒で、金は谷川の玉を守っている駒であった。；この付け鼻は銀や金で作られたものであるという噂が後世に広まった。；これまで合成された金の化合物の種類は同族の銀や銅と比べて少ない。；実際に金は苦しんでいたが、それ以上に南宋軍の弱体化が顕著であった。；金の量が足りなかった者は、男だろうと女だろうと手首が斬り落とされた。；中国の五行説では、5つで木・火・土・金・水の五行に対応している。；東洋や中南米では古くから人気が高い宝石であり、金以上に珍重された。；そして1234年、金の最後の皇帝哀宗は自殺し、金は完全に滅亡した。；この銅銭らの発行は発行の利益金などや財政権を取るための政府の意図があった。；金めっきを含む金製品の製造は大蔵大臣の許可を要するものとなった。；それよりも金に対して臣とし、歳貢を送るとなっていることが重要である。；コースとの接地面には「ズリ金」と呼ばれる鉄板が取り付けられている。；イスラエルの民が金の子牛を崇拝した際には、極刑をもって処罰された。；玉の板数千枚を金の糸で縫い上げ、これをもって遺体を蓋っている。；金は熱伝導、電気伝導ともに優れた性質を持ち、空気では浸食されない。；それだけの金があれば他にもっと緊急を要する道路問題はいくらでもある。；この額はマルクスがこれまで執筆で得た金の総額よりも多かった。；金製品を製造する場合には大蔵大臣の許可が要することとされた。；なけなしの金を注ぎ込んだ家の中で二進も三進もいかなくなってしまった。；本位貨幣制度においては額面相当の金や銀を含有した硬貨が用いられた。；当時の文書には単に金と記されていることが多く、「金百両」などと表記された。；金の種族はクロノスが王権を掌握していた時代に生まれたものである。</t>
        </is>
      </c>
      <c r="J1652">
        <f>HYPERLINK("https://www.weblio.jp/content/金", "词义详情")</f>
        <v/>
      </c>
      <c r="K1652">
        <f>HYPERLINK("https://yourei.jp/金", "查看例句")</f>
        <v/>
      </c>
    </row>
    <row r="1653">
      <c r="A1653" t="inlineStr">
        <is>
          <t>鐘</t>
        </is>
      </c>
      <c r="B1653" t="inlineStr">
        <is>
          <t>成功</t>
        </is>
      </c>
      <c r="C1653" t="inlineStr">
        <is>
          <t>読み方：かね
１（鐘）打ち鳴らすために金属で作った器具。また、その音。梵鐘(ぼんしょう)・半鐘や教会などの釣鐘にもいう。「—をつく」「除夜の—を聞く」
２（鉦）
㋐下に伏せて置き、撞木(しゅもく)で打ち鳴らす金属性の仏具。たたきがね。ふせがね。
㋑台にかけて打ち鳴らす古代の楽器。磬(けい)。
㋒鉦鼓(しょうこ)のこと。</t>
        </is>
      </c>
      <c r="D1653" t="inlineStr">
        <is>
          <t>鐘形(3%)；鐘状；鐘乳；鐘路；鐘銘</t>
        </is>
      </c>
      <c r="E1653" t="inlineStr">
        <is>
          <t>鈴；チャイム；ゴング；呼び鈴；鐸</t>
        </is>
      </c>
      <c r="F1653" t="inlineStr">
        <is>
          <t>小さな鐘；銅鐘；破れ鐘；広鐘；号鐘</t>
        </is>
      </c>
      <c r="G1653" t="inlineStr">
        <is>
          <t>鐘の音；鐘が鳴る；鐘ヶ淵；鐘紡；鐘巻</t>
        </is>
      </c>
      <c r="H1653" t="n">
        <v>29</v>
      </c>
      <c r="I1653" t="inlineStr">
        <is>
          <t>それは真っ暗なトンネルの中でたくさんの鐘を鳴らすようなものである。；鐘楼とは、寺院や教会などにおいて鐘を設置するために設けられた施設。；フランスやイタリアでは教会の鐘が運んでくることになっている。；蛇身となった清姫が鐘の中の安珍を焼き殺そうとする様子を描いたもの。；なお、日本では福引の鐘としても知られるが、実際には別の楽器である。；築城当時は、鐘の段付近だけの小規模な砦であったと推測されている。；釣鐘は、鐘の一種で、日本・中国・朝鮮の様式で作られたものを言う。；古く日本では嵐を呼ぶという迷信があり鐘を船に乗せることは避けられた。；神社にある尾上の鐘とも呼ばれる梵鐘は国の重要文化財に指定されている。；風鈴とは、日本の夏に家の軒下などに吊り下げて用いられる小型の鐘鈴。；その中には、皇帝の鐘と呼ばれた65トンの重さを誇った鐘もあった。；邦訳短編集に掲載の作家のうち、金聖鐘は邦訳が2作品刊行されている。；願をかけるべく山に向かって矢を放つように鐘を鳴らすことができる。；設計を担当したサン・ピエトロ大聖堂の鐘塔から大きな亀裂が見つかった。；特に傑出しているのがパトロクリ聖堂で、その塔には11個の鐘がある。；修復された鐘を吊り下げたことで、鐘楼の老朽化が改めてはっきりした。；当時から伝わる古い鐘は1912年にリューネブルク博物館に移された。；死神が鳴らす鐘に合わせて時計の上部の窓から12使徒の像が現れる。；時計の針が動き、1日の始まりを告げる友引高校の時計塔の鐘が鳴った。；この時計には文字盤がなく、決まった時間ごとに鐘を打つだけのものである。；日本の和鐘は中国の南北朝時代の蝋型法が原型になっているとされる。；寺方だけでなく、民間でも町人が鐘を使用して知らせた例があった。；司教区教会には2004年に鋳造された6つの鐘が備え付けられている。；そのため、設置する場所、あるいは資金の都合で最低音となる鐘が選ばれる。；多くは塔状の建築物に納めた鐘を、塔内にあるコンソールから演奏する。；のちに別の人の手によって、カリヨンの鐘を使ったものが作られた。；艦で使用された鐘はニューヨーク州オリスカニーに展示されている。；この時に残された鐘が現在、ドイツのラーボエ海軍記念館に展示されている。；さらに聖ヴィクトール教会はアルプスの北側で最も古い現役の鐘も有している。</t>
        </is>
      </c>
      <c r="J1653">
        <f>HYPERLINK("https://www.weblio.jp/content/鐘", "词义详情")</f>
        <v/>
      </c>
      <c r="K1653">
        <f>HYPERLINK("https://yourei.jp/鐘", "查看例句")</f>
        <v/>
      </c>
    </row>
    <row r="1654">
      <c r="A1654" t="inlineStr">
        <is>
          <t>兼ね備える</t>
        </is>
      </c>
      <c r="B1654" t="inlineStr">
        <is>
          <t>成功</t>
        </is>
      </c>
      <c r="C1654" t="inlineStr">
        <is>
          <t>読み方：かねそなえる
［動ア下一］［文］かねそな・ふ［ハ下二］二つ以上のものを合わせ持っている。兼備する。「知力と体力を—・える」</t>
        </is>
      </c>
      <c r="D1654" t="inlineStr">
        <is>
          <t>併せ持つ</t>
        </is>
      </c>
      <c r="H1654" t="n">
        <v>29</v>
      </c>
      <c r="I1654" t="inlineStr">
        <is>
          <t>この建物の特徴は、それが昔から2つの機能を兼ね備えていた点である。；それは一般的な大きさをはるかに上回る大きさと鋭さを兼ね備えていた。；もちろん調査艦とはいえ強打力をも兼ね備えていることはいうまでもない。；パワーとスピードの両方を兼ね備えた者のみが達成可能な記録である。；講師陣に数十年に一人の逸材と言わせたと言われる実力を兼ね備える。；なお、心・技・体の全てを兼ね備えているが、自動車の運転は苦手である。；また、知・徳・体を兼ね備えた優れた社会人への教育をも表している。；何があろうと必ず実現させる意志と明晰さを兼ね備えた兄である。；上記のようにこの事務所は居住空間としての機能を十分に兼ね備えている。；また、武器や盾には武器と防具の両方の機能を兼ね備えたものも存在する。；ハイボールに自信を持ち、強さも兼ね備えた個人能力の高いストッパー。；神と悪魔との反対面を兼ね備えて持つ科学に、われ等は取り憑かれているのだ。；霊子機関の出力の高さと、蒸気機関の安定的制御の両方を兼ね備えている。；山笠の飾り方には様々な様式があり、複数を兼ね備えたものもある。；主に木製で樫や桜のように頑丈さと弾力を兼ね備えた木材が用いられる。；現代のバックギャモンに似ており、戦略と運の両方の要素を兼ね備えている。；その三つを兼ね備えた人影が二つ、町中にある小山へと向かっていた。；ただあの皮の香気と実の味とを兼ね備えたところだけは自慢できる。；現実に戻って行けるだけのエネルギーを兼ね備えているのである。；その両方を兼ね備えている人もあれば、どちらか一方に主に長けている人もある。；強制収容所と絶滅収容所の役割を兼ね備えた強制収容所は2つ存在した。；高いKO率を誇りタフさも兼ね備えており激しい試合で人気を集めた。；長打力を含め、走攻守すべてを兼ね備えた伝説的な名外野手と称される。；西洋船運用のための教育・訓練機関も兼ね備えていた。；左記の設備を全て兼ね備えた劇場は、全国でもこの博多座だけである。；競馬の業務・運営を行う目的と関係者や観客が観戦をする目的を兼ね備えた施設。；この給水塔は外観が桃の形に似ており、美観と実用性を兼ね備えている。；よく言えば両時代の特性を兼ね備えた盛り沢山な芝居であった。；世界革命浪人たらんとする者は、次の諸要件を兼ね備えなければならない。</t>
        </is>
      </c>
      <c r="J1654">
        <f>HYPERLINK("https://www.weblio.jp/content/兼ね備える", "词义详情")</f>
        <v/>
      </c>
      <c r="K1654">
        <f>HYPERLINK("https://yourei.jp/兼ね備える", "查看例句")</f>
        <v/>
      </c>
    </row>
    <row r="1655">
      <c r="A1655" t="inlineStr">
        <is>
          <t>かねて</t>
        </is>
      </c>
      <c r="B1655" t="inlineStr">
        <is>
          <t>成功</t>
        </is>
      </c>
      <c r="C1655" t="inlineStr">
        <is>
          <t>読み方：かねて
［副］《の一語化》
１以前から。前から。前もって。かねがね。名詞的にも用いる。「—聞いていたとおり」「—（から）の望み」「—より予期していたことだ」
２以前に。前に。かつて。
「—敬之進と一緒に飲んだところ」〈藤村・破戒〉
［連語］《動詞「か（兼）ぬ」の連用形＋接続助詞「て」》…前から。…前に。多く日数を表す語を受けて、副助詞的に用いる。
「二、三日—、空晴れ」〈大鏡・道長上〉</t>
        </is>
      </c>
      <c r="D1655" t="inlineStr">
        <is>
          <t>かねてより(10%)；かねて期し；かねて懇意；かねて親しい；かねてうわさの</t>
        </is>
      </c>
      <c r="E1655" t="inlineStr">
        <is>
          <t>以前から；元来；以前より；常々；ずっと前から</t>
        </is>
      </c>
      <c r="F1655" t="inlineStr">
        <is>
          <t>かねてより親交；かねてより対立</t>
        </is>
      </c>
      <c r="H1655" t="n">
        <v>29</v>
      </c>
      <c r="I1655" t="inlineStr">
        <is>
          <t>現在はかねてから講師を勤めていた大学での教鞭を中心に活動している。；再建するに当たりかねてより念願の官学化を幕府に陳情するためである。；それはマタ・ヌイがかねてからトーアに適任だと思っていた者達だった。；かねて心配したり想像したりした程に身体の衰弱が目につくでも無い。；またフランスはかねてより求めていたアマゾン川の自由航行権を諦めた。；開業まで、宣伝をかねてウェスト・アングリア本線の運用に入っていた。；かねて覚悟はしておりましたものの、やはり何となく不安でなりません。；この問題においてアメリカはかねてより中国の対応に期待している。；その夜、ボズはかねてより計画していたメキシコへの脱走を実行に移す。；ルーマニアはかねてからの理想形態が実現し、大ルーマニアが出現した。；この間にかねてから憎悪していたマリア・アンナを宮廷から追放している。；そのあとに来たものは、かねて唱えられている窒息しそうな倦怠だった。；手紙の体の言文一致なのは、かねて代助の勧めた通りを用いたのであった。；手紙の体の言文一致なのは、かねて代助の勧めた通りを用ひたのであつた。；かねてから問題視されていたのが、王妹マーガレット王女の結婚問題だった。；私の母語が英独語のどちらなのかはいまだに判断が付きかねています。；大学卒業後、かねてよりファンであったとの出会いにより、上京を決意。；古文書に複数記載されるなど、かねてより多くの人に親しまれてきた。；なお、ジャックが誕生した当初、ヴィルヌーヴは名前を決めかねていた。；かねて覚悟のこととはいえ、父の死は胸をえぐられる悲しみであった。；母親は夫の抑圧に耐えかねて家を飛び出してしまったのである。；しかしついに人混みに耐えかねて、行く途中で家に帰ることにした。；遺書らしきものが残されており、痛みに耐えかねての自殺と見られる。；OCU側がかねてより主張してきたメール河付近で国境が確定する。；私は、かねてこの手のコーヒー挽きを一つ欲しいものだと思っていた。；またかねてより、社名をタイトルに入れたいという思いもあったという。；そのため、かねてより東西方向を結ぶ鉄軌道の導入が構想されていた。；瓢吉は、お袖に将来のことを迫られているが、態度を決めかねている。；これを聞いた英布も漢への帰順を了承したが、内心では決めかねていた。</t>
        </is>
      </c>
      <c r="J1655">
        <f>HYPERLINK("https://www.weblio.jp/content/かねて", "词义详情")</f>
        <v/>
      </c>
      <c r="K1655">
        <f>HYPERLINK("https://yourei.jp/かねて", "查看例句")</f>
        <v/>
      </c>
    </row>
    <row r="1656">
      <c r="A1656" t="inlineStr">
        <is>
          <t>金持ち</t>
        </is>
      </c>
      <c r="B1656" t="inlineStr">
        <is>
          <t>成功</t>
        </is>
      </c>
      <c r="C1656" t="inlineStr">
        <is>
          <t>読み方：かねもち
金銭などの財産を多く持っている人。</t>
        </is>
      </c>
      <c r="D1656" t="inlineStr">
        <is>
          <t>金持ちたち；金持ち連中；金持ちじゃない；金持ちども；金持ち国</t>
        </is>
      </c>
      <c r="E1656" t="inlineStr">
        <is>
          <t>富豪；長者；資産家；リッチ；富者</t>
        </is>
      </c>
      <c r="F1656" t="inlineStr">
        <is>
          <t>若くて金持ち；たいへんな金持ち；すごい金持ち；いくら金持ち；若い金持ち</t>
        </is>
      </c>
      <c r="G1656" t="inlineStr">
        <is>
          <t>金持ち喧嘩せず；金持ち父さん</t>
        </is>
      </c>
      <c r="H1656" t="n">
        <v>29</v>
      </c>
      <c r="I1656" t="inlineStr">
        <is>
          <t>すべての階級は金持ちになろうとしたり金持ちに見えるようにしている。；そうすれば、自分は村じゅうで第一の金持ちとなったのだと思いました。；世の中はおまえを金持ちにするような法律をつくってはくれないんだ。；こんなふうに考えるのは、おれが金もちになりたいと思っているからかな。；金持ちの息子なんていうものの心はまるでわれわれとは違うねえ君。；行ってはみたが、周りの金持ちの花見を見るとあまりにも落差が激しい。；金持ちの妻は、心の中で、不思議なことがあればあるものだと思いました。；これが金持ちよりむしろ貧乏人に打撃となったことはいうまでもない。；そんなこととは知らず、金持ちは、南へ南へと旅をつづけていました。；金持ちでもないのに、家に捨ててゆかれたあわれな子供を育ててやってる。；もちろん話は、たいていお金持ちらしいわたしのうちのことであった。；かれは一時的に金持ちだったのだが、もはやそんな状態ではなくなっていた。；夫婦はこの泉で金持ちとなり、多くの人が夫婦の家に集まってきた。；この村の人たちは、おばあさんが金持ちだということを知っていました。；彼は、金持ちの生活ぶりと同時代の知識階級らの真実を見事に描いた。；ただうちの人たちは思ったほど金持ちではなかったとだけ言ってくれたまえ。；もし、爆弾が爆発しないと、こんな鉄が大量に、金持ちになっただろう?；ブルジョアジーは金持ちになったが公衆の福祉には興味を持たなかった。；親の所得格差によって、金持ちが再生産されるシステムが日本にはある。；あんたが金持ちになったから気が変わったと思わないでほしい。；死ぬとは思わないで、遺言をしないで死ぬ金持ちはたくさんあります。；商人によくあることですが、アブダラも金持ちではありませんでした。；これは金持ち家庭のふっくらとした栄養の良い子供たちにも見られた。；各社は金持ちにも貧乏人にも、大きな家にも小さな家にも供給している。；日本中の金持ちがステイタスのために自分の娘を入学させようとする。；第一に、この法は金持ちが作ったため彼らの利益が保護されるようになっている。；そして、もう一人の金持ちが時計を買った店と、ちがった店へゆきました。；そのうちに金持ちはだんだん体が悪くなるばかりでありました。；金持ちは、買った時計を大事にして、自分の村へ持って帰りました。</t>
        </is>
      </c>
      <c r="J1656">
        <f>HYPERLINK("https://www.weblio.jp/content/金持ち", "词义详情")</f>
        <v/>
      </c>
      <c r="K1656">
        <f>HYPERLINK("https://yourei.jp/金持ち", "查看例句")</f>
        <v/>
      </c>
    </row>
    <row r="1657">
      <c r="A1657" t="inlineStr">
        <is>
          <t>兼ねる</t>
        </is>
      </c>
      <c r="B1657" t="inlineStr">
        <is>
          <t>成功</t>
        </is>
      </c>
      <c r="C1657" t="inlineStr">
        <is>
          <t>読み方：かねる
［動ナ下一］［文］か・ぬ［ナ下二］
１一つで二つ以上の働きをする。
㋐一つの物が二つ以上の働きを合わせもつ。一つの物が二つ以上の用をする。「大は小を—・ねる」「書斎と応接間とを—・ねた部屋」
㋑一人が二つ以上の職を受け持つ。他の仕事も合わせ行う。兼任する。「首相が外相を—・ねる」「商用を—・ねて上京する」
２一方だけでなく、他方まで考える。遠慮する。はばかる。「気を—・ねる」
「母親が兄の手前を—・ねて折り折り痛(ひど)く𠮟ることがあり」〈独歩・春の鳥〉
３将来のことまで考える。予想する。予定する。
「八百万(やほよろづ)千年(ちとせ)を—・ねて定めけむ奈良の都は」〈万・一〇四七〉
４他の動詞の連用形に付いて用いる。
㋐…しようとして、できない。…することがむずかしい。「納得し—・ねる」「何とも言い—・ねる」
㋑（「…かねない」などの形で）…するかもしれない。…しそうだ。「悪口も言い出し—・ねない」</t>
        </is>
      </c>
      <c r="D1657" t="inlineStr">
        <is>
          <t>兼ねるよう命じられ；兼ねる大会として重要；兼ねる両用便器</t>
        </is>
      </c>
      <c r="E1657" t="inlineStr">
        <is>
          <t>持つ；催す；長持；把持</t>
        </is>
      </c>
      <c r="F1657" t="inlineStr">
        <is>
          <t>つき兼ねる；判じ兼ねる；解し兼ねる；わかり兼ねる；ひ兼ねる</t>
        </is>
      </c>
      <c r="H1657" t="n">
        <v>29</v>
      </c>
      <c r="I1657" t="inlineStr">
        <is>
          <t>古代の哲学者たちはしばしば現代でいう論理学者や数学者を兼ねていた。；八高線の予備車も兼ねていたが、実際に運用されたことはほとんどない。；両親がレコード店を経営していたことがあり、その店は楽器店も兼ねていた。；この表示部は電照幕設定器を兼ねているが通常時には使用しない。；出入口は南北双方に設置されており、播磨小学校の通学路を兼ねている。；また低圧電路の場合には電圧測定も兼ね、テスターを用いることもある。；この時点では2番線は下り専用ではなく待避線も兼ねた上下共用であった。；自らアルバ王を兼ねてダルリアダ・アルバ両王国を統一したとされる。；日本の場合、これらのうち複数の役割を1人で兼ねている場合が多いとされる。；保存用のキャップを兼ねた短いものと、延長専用の長いものがある。；近年では中学校などで英語教育も兼ねて英語の歌詞で歌われている。；本作はマトリックスの制作に向けたプレゼンテーションも兼ねていた。；第7回は再び学生の参加が許されたので明治神宮大会を兼ねる形に戻った。；夜間戦闘機に改造されたものや軽爆撃機を兼ねる仕様のものもあった。；さらに、同番組の放送期間中に、番組の企画を兼ねて残り2県を訪問した。；キリスト教圏でも衛生上の理由も兼ねて行われている場合がある。；当駅には駅舎内には待合所を兼ねたコミュニティハウスが併設されている。；また特に客を訪問するときなどに従者の役を兼ねることもあった。；トーチカの壁には視察用と銃眼を兼ねた必要最小限の穴が設けられている。；ドイツ兵は親睦だけでなく監視も兼ねて帝国総領事館を訪問したものと思われる。；他にも次のような役割を兼ねている場合がある。；会社が関わる作品ではプロデューサー業務を兼ねることが多い。；死亡までは自己が受託者を兼ねることも可能であると考えられる。；新人がレギュラー出演する前に演技のテストを兼ねてカメオ出演している。；入出庫を兼ねた当駅を発着する区間系統も設定されている。；大曲西道路と接続しており、同道路とのジャンクションの機能も兼ねる。；総督には現役軍人が任命され、実権を帯びた最高軍事司令官を兼ねる。；開業当時は食堂を兼ねた駅舎で、太平洋戦争下の空襲によって焼失した。；このため日本やアメリカ、台湾などからも冬季の調整を兼ねて参加する選手がいる。</t>
        </is>
      </c>
      <c r="J1657">
        <f>HYPERLINK("https://www.weblio.jp/content/兼ねる", "词义详情")</f>
        <v/>
      </c>
      <c r="K1657">
        <f>HYPERLINK("https://yourei.jp/兼ねる", "查看例句")</f>
        <v/>
      </c>
    </row>
    <row r="1658">
      <c r="A1658" t="inlineStr">
        <is>
          <t>可能</t>
        </is>
      </c>
      <c r="B1658" t="inlineStr">
        <is>
          <t>成功</t>
        </is>
      </c>
      <c r="C1658" t="inlineStr">
        <is>
          <t>読み方：かのう
［名・形動］《「能(あた)う可(べ)き」の音読》
１ある物事ができる見込みがあること。ありうること。また、そのさま。「現在—な方法は限られている」「実現—な（の）計画」
２文法で、そうすることができるということを表す言い方。動詞の未然形に、文語では助動詞「る」「らる」（古くは「ゆ」「らゆ」）、口語では助動詞「れる」「られる」などを付けて言い表す。</t>
        </is>
      </c>
      <c r="D1658" t="inlineStr">
        <is>
          <t>可能である(22%)；可能であり(3%)；可能な限り；可能な状態；可能なかぎり</t>
        </is>
      </c>
      <c r="E1658" t="inlineStr">
        <is>
          <t>できる；可；適当；適切；やれる</t>
        </is>
      </c>
      <c r="F1658" t="inlineStr">
        <is>
          <t>使用可能；選択可能；入手可能；実行可能；搭載可能</t>
        </is>
      </c>
      <c r="G1658" t="inlineStr">
        <is>
          <t>可能世界；可能態；可能動詞；可能世界意味論；可能形</t>
        </is>
      </c>
      <c r="H1658" t="n">
        <v>29</v>
      </c>
      <c r="I1658" t="inlineStr">
        <is>
          <t>その場合はX1のBASICを用いる事で動作させることが可能である。；現在の旅は非常に多様であり、さまざまに分類することが可能である。；皆既日食が起こると空がかなり暗くなり星の観測も可能な状態になる。；彼はこれをアイデアにとどめず可能とした軍事家として評価されている。；さらに連続的な取引が可能で、市場は完全市場であることを仮定している。；究極的には、真の文法が得られた場合に限り文法性の評価が可能となる。；つまり、先頭が複数あって、末尾が1つになっている構造が可能である。；データの内容に依存しないデータ構造とリスト操作コードを形成可能である。；設備の制御は携帯電話などのモバイル機器からも可能であるという。；また敵を無視して味方同士を対戦させることも可能である。；関係を複数持つことも可能で、互いを関連させることも可能である。；旅の分類と言ってもさまざまな方法があるが、例えば次のような分類が可能である。；これまで通りの選択も可能であるが、その場合婚前に手続きが必要となる。；全ての連続関数は本当に微分可能なのかが疑われることとなったのである。；競技が可能な道路幅と路面状況であることが開催の条件となる。；軽量なものでは5kgを切るような車体を作成することも可能である。；また信仰上の理由により兵役免除も可能であるが、これも女性のみである。；プロモーターとの契約が成立した時点でプロ活動が可能になる。；Perl を代替可能であることが初期の段階から重視されている。；電流経路を短くすることが可能で高周波特性が良いなどの特徴がある。；これは から見ると引数の論理変数間の関係を記述可能に拡張したものである。；非同期モデムに比べて、確実で高速な通信が可能であるが、高価である。；このことで着信音にバリエーションを持たせることが可能となった。；JavaScriptでは複数スレッドを用いた並列処理が可能である。；もっとも便宜的に住所を移動することが可能である為実際的な問題にはならない。；これにより、新たな操作が可能となり、特殊ケースの関数が不要になる。；つまり機器同士が相手のIPアドレスを知っていればP2P通信が可能である。；また、構内交換機などを使用し内線通信などを可能にすることもある。；それらの作品は展示会の会場およびネット通販で購入が可能である。</t>
        </is>
      </c>
      <c r="J1658">
        <f>HYPERLINK("https://www.weblio.jp/content/可能", "词义详情")</f>
        <v/>
      </c>
      <c r="K1658">
        <f>HYPERLINK("https://yourei.jp/可能", "查看例句")</f>
        <v/>
      </c>
    </row>
    <row r="1659">
      <c r="A1659" t="inlineStr">
        <is>
          <t>可能性</t>
        </is>
      </c>
      <c r="B1659" t="inlineStr">
        <is>
          <t>成功</t>
        </is>
      </c>
      <c r="C1659" t="inlineStr">
        <is>
          <t>読み方：かのうせい
１物事が実現できる見込み。「成功の—が高い」
２事実がそうである見込み。「生存している—もある」
３潜在的な発展性。「無限の—を秘める」
４認識論で、ある命題が論理的に矛盾を含んでいないという側面を示す様態。</t>
        </is>
      </c>
      <c r="D1659" t="inlineStr">
        <is>
          <t>可能性測度</t>
        </is>
      </c>
      <c r="E1659" t="inlineStr">
        <is>
          <t>希望；確率；見込み；見通し；展望</t>
        </is>
      </c>
      <c r="F1659" t="inlineStr">
        <is>
          <t>れる可能性；なる可能性；できる可能性；しまう可能性；引き起こす可能性</t>
        </is>
      </c>
      <c r="H1659" t="n">
        <v>29</v>
      </c>
      <c r="I1659" t="inlineStr">
        <is>
          <t>世界はどのようにも解釈される可能性があり、世界は無数の意味を持つ。；任意の時点の走行可能状態のプロセスは非常に多数になる可能性がある。；所持していると逮捕される可能性もある場合があり注意が必要である。；その先には、ロボットが自分で手術をできるようになる可能性もある。；また寛解に入っていない非寛解期に移植をしても失敗する可能性は高い。；つまり、時代が進めば進むほど証明の可能性が原理的に狭められてきた。；さらにはより大きな音や激しい音を得るために木や石を叩いた可能性も大きい。；近年では、さらに広範囲に渡って使用されていた可能性も指摘されている。；火星の過去の居住性や現存する生命の可能性を評価する調査が行われている。；この氷床はわずかながらも崩壊する可能性が指摘され、注目を集めている。；研究者たちの間でもっとも可能性が高いといわれているのが80年ごろである。；年をとるにつれて音楽の好みが変わる可能性があることを示す証拠が出ている。；この重なり合いのため、電子が結合領域に存在する可能性が最も高くなる。；太陽系内においても、火星には生命が存在する可能性が指摘されている。；まったく新しい感覚を持った経営者が出てくれば可能性はあると思うけど。；恒星が誕生する際には、質量の小さい恒星ほど形成される可能性が高い。；これは十字軍の名で語られていないが、意図するものがあった可能性がある。；代わりに、アルゴリズムを使用して最も可能性の高い候補を特定する。；これには、教育の必要性と教育の可能性の二面から論じられることが多い。；和平か敗戦か色々な可能性があり、状況を注視して対応したいと述べた。；龍動と表記したのは、清国から伝わった外来表記であった可能性がある。；これらの駒が相打ちになったときは相手が地雷であった可能性がある。；これら以外はパウロの名を使った偽書である可能性が高いとされる。；あの直前までは、彼が事件に関与している可能性など、全く考えなかった。；当初は後にガロア理論と呼ばれるようになった分野と構成可能性問題が中心だった。；これはコーカソイドの集団が秋田周辺にやってきた可能性を示すものである。；右へ行けば成功するのか、左に行けば可能性があるのか、誰にもわからない。；太陽発電モジュールが設置された可能性はあるが発表されていない。；これよりも小さい細菌が存在する可能性も示唆されているが、支持されていない。</t>
        </is>
      </c>
      <c r="J1659">
        <f>HYPERLINK("https://www.weblio.jp/content/可能性", "词义详情")</f>
        <v/>
      </c>
      <c r="K1659">
        <f>HYPERLINK("https://yourei.jp/可能性", "查看例句")</f>
        <v/>
      </c>
    </row>
    <row r="1660">
      <c r="A1660" t="inlineStr">
        <is>
          <t>彼女</t>
        </is>
      </c>
      <c r="B1660" t="inlineStr">
        <is>
          <t>成功</t>
        </is>
      </c>
      <c r="C1660" t="inlineStr">
        <is>
          <t>読み方：かのじょ
［代］三人称の人代名詞。話し手、相手以外の女性をさす語。「—は遅れるらしい」⇔彼／彼氏。
［名］愛人、恋人である女性。「—ができた」⇔彼／彼氏。
[補説]西欧語からの訳語「かのおんな」の「おんな」を音読した語。</t>
        </is>
      </c>
      <c r="D1660" t="inlineStr">
        <is>
          <t>彼女ハ；彼女はじぶん</t>
        </is>
      </c>
      <c r="E1660" t="inlineStr">
        <is>
          <t>恋人；あの子；あの女；あの娘；ガールフレンド</t>
        </is>
      </c>
      <c r="F1660" t="inlineStr">
        <is>
          <t>ふいに彼女；やさしく彼女；もしかしたら彼女；彼女とふたりきり；彼女ハソノ</t>
        </is>
      </c>
      <c r="G1660" t="inlineStr">
        <is>
          <t>彼女ら；彼女自身；彼女の部屋；彼女の恋人；彼女の運命</t>
        </is>
      </c>
      <c r="H1660" t="n">
        <v>29</v>
      </c>
      <c r="I1660" t="inlineStr">
        <is>
          <t>まだその時には彼女がモーリス・ルブランの妹とは知らなかったという。；この日以来彼女は家族絡みの会見以外はすべて一人で行うようになった。；彼女が重視したのはそれぞれの曲に合った精緻な音色と想像力であった。；元々ここに彼女の墓が有ったが、戦後近隣の晴雲寺内に移動したという。；皇后はそのまま連れて行かれて殺され、彼女の一族も数百人が殺された。；見ると、石になっている彼女が小さな紙切れを握っていることに気付く。；彼女は類い稀な変わらぬ美貌を得たが、結婚や子宝には恵まれなかった。；彼女はパリのボヘミアン・ブルジョワで、スペインの画家の妻であった。；短編小説を書くのは1943年夏ごろから夢中になった彼女の趣味だった。；とりわけスケッチが好きであり、彼女は生涯にわたって絵を描き続けた。；彼女の夫・広太郎は戦場でオールグレンと戦い、殺されたからであった。；ある日、ゼウスとポセイドンの兄であるハデスが彼女の下を訪ねてきた。；ずっと伝えられずにいた彼女への想いを口にして、物語は幕を閉じる。；そこで彼女は娘を出産した後の5歳頃から息子に正式なピアノ教育を始める。；天使の像は矢を彼女の心臓に射込もうとはしておらず、引き下げている。；しかし、彼女の息子のジャンポールは彼の母親を狂ったと説明しています。；更に彼女に同行してイギリスやフランスで演奏旅行を行う。；歴史上彼女ほど多く地図にその名を刻んだ者は存在していない。；既に年長大であり、夫はいない、弟がいて彼女を助けていたとの伝承がある。；日本でもCMや番組のエンディングなどに彼女の曲が多用されている。；ブランドは彼女に愛着を抱き、彼女が去ったときには悲しみに暮れた。；彼女の死から約40年後の2000年にはロックの殿堂入りを果たした。；義父や義兄ジャックらは、感情がそぎ落ちたような彼女を心配していた。；そこで彼女はそれを飼い馴らし、王たちの宮殿へ連れて行くのである。；そして彼女は一輪の花になり、いつも愛しい人の方を向いているのである。；最高勲章は彼女の夫であるアルバート王配が代わりに授与されていた。；彼女は働き口を探してみたが、ヤギェウォ大学は女性を雇い入れなかった。；彼女はイタリアオペラのように音色を変化させることはしなかった。；しかしながら、彼女への思いは通じず、やがて劇団はパリを離れてしまう。</t>
        </is>
      </c>
      <c r="J1660">
        <f>HYPERLINK("https://www.weblio.jp/content/彼女", "词义详情")</f>
        <v/>
      </c>
      <c r="K1660">
        <f>HYPERLINK("https://yourei.jp/彼女", "查看例句")</f>
        <v/>
      </c>
    </row>
    <row r="1661">
      <c r="A1661" t="inlineStr">
        <is>
          <t>庇う</t>
        </is>
      </c>
      <c r="B1661" t="inlineStr">
        <is>
          <t>成功</t>
        </is>
      </c>
      <c r="C1661" t="inlineStr">
        <is>
          <t>読み方：かばう
［動ワ五（ハ四）］
１他から害を受けないように、助け守る。いたわり守る。「いじめられている子を—・ってやる」「傷を—・う」
２大事にしまっておく。
「古いのを着て、新しいのは—・っておきな」〈滑・浮世床・二〉
[可能]かばえる</t>
        </is>
      </c>
      <c r="D1661" t="inlineStr">
        <is>
          <t>庇うべき</t>
        </is>
      </c>
      <c r="E1661" t="inlineStr">
        <is>
          <t>守る；味方；防衛；防ぐ；補助</t>
        </is>
      </c>
      <c r="H1661" t="n">
        <v>29</v>
      </c>
      <c r="I1661" t="inlineStr">
        <is>
          <t>しかしそれまで支持してくれた人達にも次第に庇いきれなくなってきた。；ようやくその前に立って庇ったとき、眼の前の雪にナイフがめりこんだ。；いくら庇うためとはいえ、そこまでの偽装ができるとはとても思えない。；お前に何かあれば、どんなことをしてでも、守ってやる、庇ってやるよ。；血溜まりのすぐ手前に、東が母を庇うようにして座り込んでいたからだ。；翌日、五兵衛の死体が発見されたことで新吉も彼女を庇うことをやめる。；それは、まったくこの上なしのご機嫌の、夫人を庇うような笑いだった。；父が佐賀藩を庇ったことは、家臣たちからだいたいのことは聞いていた。；驚いたことに侍二人は、若だんなと松之助を襲撃から庇ってくれている。；だれかに、殺人の実行行為を目撃されたら、庇いようがないではないか。；お時が千助を庇うように仁蔵の前に立ったのも彼の胸をかきむしった。；顔を庇いつつ銃を抜いたが、何が起こったのか把握さえ出来ていない。；二人がそれほどまで庇おうとする人間は一人しか考えられません。；少し腰を庇うような歩き方だったけれど、どうにか式には出られたようだ。；それにもかかわらず、それをしないのは、相手を庇っているからです。；あなたの御主人は、最初は美菜子を庇う気なんかまるでない様子だった。；そのうち、どうせ、良には庇ってくれる連中がいやってほど必要になるよ。；のば 庇ったことはともかく、まさか名前までつけているとは思わなかった。；そのひとりをお前は庇い、証拠となる物を持って退社する形を取った。；彼は少し遅れて歩きながら、少しでも彼女を風から庇おうと努めた。；でも雨官さんは、警察が来た時私を庇って嘘の証言をしてくれた。；それは裁判のとき、自分を庇わなかった弁護士のサム・ボーデンである。；もし、庇うようなことがあったら、どうなるか分かってるんだろうな!；若者は、背後の女を庇いながら、小さく上体を横へ傾けただけであった。；藤間さんには美菜子を庇うだけの何か特別な理由があるのではないか、と。；それを夫が、陰になり日和になりして庇っているのは誰の眼にもわかった。；その中年男を、右肩から血を流している若いヤクザが庇おうとしている。；一人では学校へ行けないような大竹少年をエッちゃんは庇ってくれた。；インデックスが異常に上条を庇ったり懐いたりする理由も分かってきた。</t>
        </is>
      </c>
      <c r="J1661">
        <f>HYPERLINK("https://www.weblio.jp/content/庇う", "词义详情")</f>
        <v/>
      </c>
      <c r="K1661">
        <f>HYPERLINK("https://yourei.jp/庇う", "查看例句")</f>
        <v/>
      </c>
    </row>
    <row r="1662">
      <c r="A1662" t="inlineStr">
        <is>
          <t>鞄</t>
        </is>
      </c>
      <c r="B1662" t="inlineStr">
        <is>
          <t>成功</t>
        </is>
      </c>
      <c r="C1662" t="inlineStr">
        <is>
          <t>読み方：かばん
１革やズックなどで作り、書類その他の物を入れる携帯用具。
２（かばんに金を入れることから）選挙に必要な資金の俗称。「地盤」「看板」と合わせて「三ばん」という。
[補説]中国語「夾板(キャバン)」の転とも、オランダ語のkabasから出た語ともいわれる。中国では、「鞄」の字はなめし皮、また、それを作る職人のこと。</t>
        </is>
      </c>
      <c r="D1662" t="inlineStr">
        <is>
          <t>鞄持ち；鞄一つ；鞄潰し；鞄屋；鞄をつかん</t>
        </is>
      </c>
      <c r="E1662" t="inlineStr">
        <is>
          <t>袋；バッグ；カバン；嚢</t>
        </is>
      </c>
      <c r="F1662" t="inlineStr">
        <is>
          <t>革鞄；書類鞄；大きな鞄；黒い鞄；手提鞄</t>
        </is>
      </c>
      <c r="H1662" t="n">
        <v>29</v>
      </c>
      <c r="I1662" t="inlineStr">
        <is>
          <t>下に集っていた連中はその鞄が下りてくるのを興味ぶかく見守っていた。；そしてこのようなすてきな鞄を何処で手に入れたのかと知りたがった。；鞄と長靴を持って廊下を行くと、三年生の教室から生徒が三人出てきた。；しかし、何者かに一瞬の隙を突かれ香水の入った鞄を奪われてしまった。；ペトゥルーシカは宿に残って部屋と旅行鞄の番をしておれとの命令だ。；その海岸の岩の蔭に、あらかじめ別の服装と旅行鞄などが用意してある。；紳士は大きく頷いて見せると、鞄を持って運転手の横の助手席へ移った。；鞄一つで出掛ける簡単な旅であっても、旅には旅のあわただしさがある。；今や彼は一個の旅行鞄の中に折曲げてある死んだ英國人に繋がれてゐた。；二人は鞄をきちんと背負い、川を渡って丘をぐんぐん登って行きました。；これではいけないと思って、僕は改めて博士の鞄の中を入念に調べだした。；仔猫が飛び鞄が走るは、その装置化の成功を語っているのではないか。；私は鞄の中から卒業証書を取り出して、それを大事そうに父と母に見せた。；私はその混雑の中を鞄をさげた女中の後に跟いて二階の一室に通された。；そこへ婢やが、竹籠と白いずつくの坊やの鞄を持つて息せき切つて来る。；大卓の上には大きな旅行鞄が二つ、側には膝掛けまでも添えられてある。；押し問答の後、その特高は書類鞄の口をあけ、数枚の写真をとり出した。；部屋に残してあったのは、布製の安鞄で、内容は次のようなものであった。；だが季節が寒かつたので、鞄はまだ恐ろしい秘密を包みおほせてゐた。；がヘンメル家と聞いた途端、拳銃片手に思わず旅行鞄の中を覗き込んだ。；その後鞄一つでヨーロッパを一周し、各地の演劇を見て回ったという。；医師は鞄のなかから曲った針と長い糸とを出して、針にその糸をとおした。；すると床のゴムの敷物の隅に、小さな手提鞄が落ちているのに気づいた。；私が鞄と行李を玄関に片寄せた時、青年も同じような荷物を持ち込んだ。；使い捨ての簡便な容器から繰り返し利用される鞄の一種まで様々である。；そして四辺の鞄やシヤツに立聞きされぬやうにそつと声を低めて訊いた。；そしてすぐに食堂の隣の便所へ入り、ジャケットと鞄を床に放り投げた。；ところが、その鞄の中から顔を潰された別の男の死体が発見された。；しかも困ったことにはその男に僕は今朝鞄のありかを話してしまったのです。</t>
        </is>
      </c>
      <c r="J1662">
        <f>HYPERLINK("https://www.weblio.jp/content/鞄", "词义详情")</f>
        <v/>
      </c>
      <c r="K1662">
        <f>HYPERLINK("https://yourei.jp/鞄", "查看例句")</f>
        <v/>
      </c>
    </row>
    <row r="1663">
      <c r="A1663" t="inlineStr">
        <is>
          <t>過半数</t>
        </is>
      </c>
      <c r="B1663" t="inlineStr">
        <is>
          <t>成功</t>
        </is>
      </c>
      <c r="C1663" t="inlineStr">
        <is>
          <t>読み方：かはんすう
全体の半分よりも多い数。「—の賛成を得る」「—に達する」</t>
        </is>
      </c>
      <c r="D1663" t="inlineStr">
        <is>
          <t>過半数以上；過半数を獲得でき；過半数を大きく；過半数獲得；過半数を確保でき</t>
        </is>
      </c>
      <c r="E1663" t="inlineStr">
        <is>
          <t>多数；大半；大部分；殆ど；主流</t>
        </is>
      </c>
      <c r="F1663" t="inlineStr">
        <is>
          <t>単純過半数；絶対過半数；たものの過半数；過半数議席</t>
        </is>
      </c>
      <c r="H1663" t="n">
        <v>29</v>
      </c>
      <c r="I1663" t="inlineStr">
        <is>
          <t>海外店舗のうち、過半数は韓国の店舗であり、日本の店舗数よりも多い。；社員が二人以上ある場合、業務の決定は原則として社員の過半数による。；また同時に実施された議会選挙でも与党連合が過半数を獲得し勝利した。；新議会の構成はいずれの党派も明確な過半数を形成できない結果に終わった。；国のGDPと比較しても、過半数の国よりも大きな規模を有している。；投票の結果第二次投票で過半数を制したラウが第8代大統領に選出された。；ジャクソンは一般投票で最多票を獲得したが、過半数とはならなかった。；同日に行われた下院選挙と上院選挙でも共和党は過半数を取れなかった。；これに代わって野党のPSが単独で過半数を確保する議席を得て勝利した。；同日に行われた下院選挙と上院選挙でも民主党は両方で過半数を獲得した。；日本アニメの主な輸出先は北米で、金額では過半数を占めると言われる。；この調査では、中絶した女性の死亡原因の過半数が自殺であることも判明した。；また労働者の過半数の希望があったときは、事業主は任意加入しなければならない。；メンバーの過半数が調整体とされ一大勢力となりつつある。；都道府県庁所在地の人口が過半数を占めている都道府県は他に存在しない。；しかしながらいずれの会派も単独で過半数を占めたということはない。；事実上、衆議院の議決で過半数を得た候補が内閣総理大臣に指名される。；選挙人票でも過半数を獲得できず、大統領の選出は下院にゆだねられた。；現在では全メーカーを保有している営業所・支所が過半数を占めるようになった。；過半数を占める勢力が存在しない場合、そのエリアは未支配状態と見なされる。；一次投票で過半数の投票者がいない場合は、二次投票を実施する。；当時は16州だったので、過半数を取るためには9州以上の支持が必要だった。；このとき2度目の採決では単純過半数でもって憲法改正が承認される。；会議を開いて議決するには、委員の過半数が出席する必要がある。；選挙の結果、ナチ党と連立与党のドイツ国家人民党で過半数を獲得した。；全員が過半数を獲得できなかったことから規定に基づき上位3名の再投票が実施されることとなった。；これらの民族のいずれも、ユーゴスラビアで過半数を占めることはなかった。；庶民院では、過半数を一つの党が確保することがほとんどである。；しかしこれが影響し、1998年の選挙で与党は上院で過半数を割った。</t>
        </is>
      </c>
      <c r="J1663">
        <f>HYPERLINK("https://www.weblio.jp/content/過半数", "词义详情")</f>
        <v/>
      </c>
      <c r="K1663">
        <f>HYPERLINK("https://yourei.jp/過半数", "查看例句")</f>
        <v/>
      </c>
    </row>
    <row r="1664">
      <c r="A1664" t="inlineStr">
        <is>
          <t>黴</t>
        </is>
      </c>
      <c r="B1664" t="inlineStr">
        <is>
          <t>成功</t>
        </is>
      </c>
      <c r="C1664" t="inlineStr">
        <is>
          <t>読み方：かび
《「牙(かび)」と同語源》有機物の上に生じる菌類またはその菌糸の集まり。糸状菌など、キノコを生じないものをさしていい、適当な温度と水分があれば無制限に成長を続け、至るところに発生する。《季夏》「たらちねの母の御手なる—のもの／汀女」
[補説]書名別項。→黴</t>
        </is>
      </c>
      <c r="D1664" t="inlineStr">
        <is>
          <t>黴くさい(12%)；黴だらけ(3%)；黴玉；黴くさく；黴所</t>
        </is>
      </c>
      <c r="E1664" t="inlineStr">
        <is>
          <t>菌類；カビ；真菌</t>
        </is>
      </c>
      <c r="F1664" t="inlineStr">
        <is>
          <t>酸素黴；毒黴；白黴；微かな黴</t>
        </is>
      </c>
      <c r="G1664" t="inlineStr">
        <is>
          <t>黴臭い；黴毒；黴び；黴臭；黴臭く</t>
        </is>
      </c>
      <c r="H1664" t="n">
        <v>29</v>
      </c>
      <c r="I1664" t="inlineStr">
        <is>
          <t>厚い壁の内側一面に黴が生えているが、黴の匂いばかりではないようだ。；みな雨に打たれたためにひどく黴びていて、黴のために粘りついていた。；それに黴が生えているような状態になって残っているというだけではいけない。；鼻をつく黴の匂いがこれほど似つかわしく感じられる場所もなかった。；父はそんなものには目もくれず、カステイラなどはいつでも黴が生える。；ようやく目が慣れてきて黴に覆われた忘れものが、人であることがわかった。；どこからともなく黴のにおいや香のしみ込んだ壁のにおいが漂ってくる。；今の時勢では理想と云ふ言葉は、黴が生えて、尿に汚された言葉である。；さういふ譯で隨分研究とすれば、もう黴の生えて居る研究であります。；楽は一度だけ、黴の森の奥深くでソウルセイバーの姿を目にしたことがある。；名札は黴で真っ黒くなっていたが、名前が三行並んでいるのは見て取れた。；魔利のアパルトマンのある辺りは湿地帯で、雨が続くと畳に黴が生える。；佐伯の訪れる一六日でも検黴日でもないこの日は、龍造も夜からしか出ない。；この行李に押し込んでいたものなら黴の臭いが手拭いに移っているはずだ。；材料がだんだん古く黴が生えていくような気がする。；木の上にあまり古く放っておくと、やがて黴が生えてくる。；事実、強烈な黴の臭いが、ドアが開いた瞬間から廊下へ流れ出てきていた。；鼻も邪魔になるほどすべての物が黴びていて、黴のなかで暮らしているようなものである。；頭蓋骨の向こうには、怪物の黴の生えた骸骨があって、通路を塞いでいた。；黴の森でひとり寂しく暮らしてるからそういう強がりも言ってられるんだろうな。；あのね、いつもの小さな広場の黴の木にはおじいのランプが吊るしてあるの。；これまた黴で地図のような模様ができ、赤茶けてしまっていた。；黴は培地から養分を吸収して自分の利用しやすい形に分解する。；彼の着ている制服といえば、緑色があせて変なにんじんに黴が生えたような色をしていた。；濡れているように見えるが乾燥しており、黴とも苔とも区別のつかない匂いがした。；こんなことでもなければレンズに黴が生えそうなほど、機械を持てあましている。；ようやく中断箇所を見つけて、画家は黴を混ぜた黒を、壁の黒に持っていった。；木のきしむ音とともに、微かな黴の臭いが流れだして暗い堂内が現れた。；玄関のドアをあけたとたん、ぷんと黴と埃の臭いが濃く強く漂ってくる。</t>
        </is>
      </c>
      <c r="J1664">
        <f>HYPERLINK("https://www.weblio.jp/content/黴", "词义详情")</f>
        <v/>
      </c>
      <c r="K1664">
        <f>HYPERLINK("https://yourei.jp/黴", "查看例句")</f>
        <v/>
      </c>
    </row>
    <row r="1665">
      <c r="A1665" t="inlineStr">
        <is>
          <t>過敏</t>
        </is>
      </c>
      <c r="B1665" t="inlineStr">
        <is>
          <t>成功</t>
        </is>
      </c>
      <c r="C1665" t="inlineStr">
        <is>
          <t>読み方：かびん
［名・形動］刺激に対して過度に敏感なこと。また、そのさま。「神経の—な人」
[派生]かびんさ［名］</t>
        </is>
      </c>
      <c r="D1665" t="inlineStr">
        <is>
          <t>過敏性(7%)；過敏反応(3%)；過敏な反応(2%)；過敏すぎる；過敏な神経</t>
        </is>
      </c>
      <c r="E1665" t="inlineStr">
        <is>
          <t>緊張；鋭い；敏感；神経質；鋭敏</t>
        </is>
      </c>
      <c r="F1665" t="inlineStr">
        <is>
          <t>感覚過敏；神經過敏；気道過敏；光過敏；過敏型</t>
        </is>
      </c>
      <c r="G1665" t="inlineStr">
        <is>
          <t>過敏性腸症候群；過敏性肺炎；過敏感反応；過敏性肺臓炎；過敏性大腸症候群</t>
        </is>
      </c>
      <c r="H1665" t="n">
        <v>29</v>
      </c>
      <c r="I1665" t="inlineStr">
        <is>
          <t>の合成は空気中で相当過敏に反応するため学生実験のテストに使われる。；彼女のような仕事をしていると、男の視線に過敏になってしまうのだろう。；植物の一部が感染を受けるとその植物は局所的な過敏性の反応を起こす。；自分はひどい目にあったばかりなので、過敏になっているのかもしれない。；その癖、省作の事については僅かな事にまで想像以外に神経過敏である。；みんなあの異常な体験のため神経過敏になつてゐるやうであつた。；それでは、あの神経過敏の女房というのはこのマダムだったのであろう。；その神経過敏は農業でもやって身体を壮健にすれば自から解消するものだ。；彼の過敏になった想像はもうそれが立派に生育して花をつけたさまを描いていた。；それにしても、不思議ですよ、あの方があんなに過敏になっているとは。；しかしご婦人が過敏に反応しすぎたこともあるかもしれませぬ。；僕の神経はレオナドの神経より五倍も十倍も過敏になっているだろう。；写真に撮られることに対して過敏になっているのも知られてしまった。；あとの二人の児どもに対するほとんど過敏な気づかいからも来ていた。；私たちの仲間にも、稀にこうした自分をまもることに過敏な人間がいるのだ。；相変わらず地面に座っていた豊は、その音に過敏に反応して立ち上がる。；あと一つ右の上に過敏になっている箇所があって、それを手入れするぎり。；おそらく暗闇に囲まれているせいで神経が過敏になっているのだ。；君は此際に君自身の過敏な自意識をも勘定に入れて考へる必要がある。；これは久美子のことを考えて、少し自分が神経過敏になっているのかと思った。；四月に入ってから、芳子は多病で蒼白い顔をして神経過敏に陥っていた。；何故かというと貴様は現在、神経過敏の固まりみたようになっている。；ということはつまり、男からの誘いについても過敏になっているはずだ。；狭い空間・場所に対して過敏な反応を見せる恐怖症は他にも存在する。；妙に過敏になって昨夜うなされてばかり居たのですっかり疲れてしまったのである。；ただ船の安全に関するかぎり、アーヴは異常に過敏になる傾向があるのだ。；彼はひどく興奮して神経過敏になっているようであった。；やはり何となく神経過敏になっているのかもしれないと自分に言いきかせた。；数日前の出来事があるので、自分が神経過敏になっているのではないか、と思った。</t>
        </is>
      </c>
      <c r="J1665">
        <f>HYPERLINK("https://www.weblio.jp/content/過敏", "词义详情")</f>
        <v/>
      </c>
      <c r="K1665">
        <f>HYPERLINK("https://yourei.jp/過敏", "查看例句")</f>
        <v/>
      </c>
    </row>
    <row r="1666">
      <c r="A1666" t="inlineStr">
        <is>
          <t>花瓶</t>
        </is>
      </c>
      <c r="B1666" t="inlineStr">
        <is>
          <t>成功</t>
        </is>
      </c>
      <c r="C1666" t="inlineStr">
        <is>
          <t>読み方：かびん
花を生ける、壺形や筒形をした容器。陶磁器・金属製・ガラス製などのものがある。</t>
        </is>
      </c>
      <c r="D1666" t="inlineStr">
        <is>
          <t>花瓶台；花瓶敷き；花瓶いっぱい；花瓶みたい</t>
        </is>
      </c>
      <c r="E1666" t="inlineStr">
        <is>
          <t>花立て；華瓶</t>
        </is>
      </c>
      <c r="F1666" t="inlineStr">
        <is>
          <t>大花瓶；小さな花瓶；大きい花瓶；文花瓶；青い花瓶</t>
        </is>
      </c>
      <c r="G1666" t="inlineStr">
        <is>
          <t>花瓶嶼</t>
        </is>
      </c>
      <c r="H1666" t="n">
        <v>29</v>
      </c>
      <c r="I1666" t="inlineStr">
        <is>
          <t>その三人の魂がこのガラスの花瓶と一緒に私のところへ来たというのか?；電気機器を置いていたテレビ台に、この花瓶も置かれていたのだろうか?；多くの花瓶は、挿された花をより良く見せるようにデザインされている。；花瓶が足りないので病院から借りた大きなガラス瓶が代用になっていた。；七宝の花瓶はいかなる意味でこの事件に関係を持っていたのであるか。；座敷中にはこの床の間の軸と花瓶の外は全く何一つ置いてないのである。；机の上の花瓶にはカーネーションの枯れたのが首を垂れてさしてあった。；彼女の背後のテーブルには、白い百合の花が三本入った花瓶が置かれていた。；やがて余つたひと枝を、最後に彼の机の上の花瓶に挿しにきてくれる。；そして、じっと花瓶を眺めているうちに、私はふとある事柄に気づいた。；そして花瓶に活けてあった白百合の花をその胸の上にのっけてやった。；テレビ台の前に落ちていた花瓶、ドアに挟まれ折れ目のついたコード。；机に置かれていた花瓶はある日忽然と姿を見せなくなってしまった。；下駄箱の上に花瓶が置かれており、枯れた花に小さな蜘蛛が乗っていた。；花瓶が容易に倒れないように、足は安定感があるよう設計されている。；七宝の花瓶は如何なる意味でこの事件に関係を持っていたのであるか。；ユリの花瓶は下絵に存在しなかっただけでなく、描く場所すらなかった。；花樹の枝を切ったものが、花瓶からあふれるくらいたくさん生けてある。；慌てて広げた包みの中から出てきた花瓶は、確かに口が少し欠けていました。；全員と一通り挨拶を交わした後、花耶は花瓶を持って病室を出て行った。；机には花のささった花瓶があって横にノートパソコンが置いてあった。；この花瓶が初代さんの事件に関係あることを、僕はちゃんと知っているんです。；本来一対であるべき花瓶の片方は今日も中正紀念堂に展示されている。；なのに花瓶をテレビ台の上に置くなんてことを寺本氏はしていたのだろうか?；奴はいきなり、かたわらにある大きな花瓶をふりあげていたのである。；花瓶やタペストリーの制作、現代アート界への鋭い見解で知られている。；僕は一応、彼らの花瓶のキャッチボールには関わってませんでしたが。；神像の下には香几があって、それには古銅の香炉と花瓶を乗せてあった。；スーパーでは形のいい花瓶があったのですが、白ばかりで花が冴えません。</t>
        </is>
      </c>
      <c r="J1666">
        <f>HYPERLINK("https://www.weblio.jp/content/花瓶", "词义详情")</f>
        <v/>
      </c>
      <c r="K1666">
        <f>HYPERLINK("https://yourei.jp/花瓶", "查看例句")</f>
        <v/>
      </c>
    </row>
    <row r="1667">
      <c r="A1667" t="inlineStr">
        <is>
          <t>株</t>
        </is>
      </c>
      <c r="B1667" t="inlineStr">
        <is>
          <t>成功</t>
        </is>
      </c>
      <c r="C1667" t="inlineStr">
        <is>
          <t>読み方：くい
１（杭・杙）地中に打ち込んで支柱や目印にする棒。
２切り株。くいぜ。
「（大象ガ）足に大きなる—を踏み貫きたり」〈今昔・五・二七〉</t>
        </is>
      </c>
      <c r="D1667" t="inlineStr">
        <is>
          <t>株あたり；株ごと；株全体；株当たり；株取得</t>
        </is>
      </c>
      <c r="E1667" t="inlineStr">
        <is>
          <t>株式；ストック；根っこ；株券；根子</t>
        </is>
      </c>
      <c r="F1667" t="inlineStr">
        <is>
          <t>万株；変異株；雌株；雄株；全株</t>
        </is>
      </c>
      <c r="G1667" t="inlineStr">
        <is>
          <t>株式；株主；株価；株主総会；株式市場</t>
        </is>
      </c>
      <c r="H1667" t="n">
        <v>29</v>
      </c>
      <c r="I1667" t="inlineStr">
        <is>
          <t>一般にビールには受粉前の花を使うため栽培圃場では雄株は淘汰される。；これは雁足の意味で、株の様子が鳥のガンの足のようであるからという。；この発表を受け、学習塾を経営する企業などの教育関連の株が急落した。；同時に、株を売却し、相互に持ち合う関係を解消する動きも出てきた。；この浮動株の算出方法の定義次第では新たな問題が発生する可能性がある。；外国人投資家を保護するために闇株を駆逐することになったのである。；またアオミドロ属では、培養株内で多倍性が生じることが知られている。；形成する細胞の大小に合わせるように、雄株の方が小型になっている。；また、茎から水平に枝を伸ばし、その先端に芽が生じて新しい株を作る。；そのため、その代替となる新しいタイプ株が幾つか選択されている。；前者の放出株がどこに買われたかを示す資料は公表されていない。；発行する場合は通常1株だけ発行され、譲渡制限が付けられることもある。；しかし熱狂した市民はそれに注意することも無く、株や土地の売買を続けた。；以後、韓国政府と韓国産業銀行の保有株が数回に分割して売却された。；有田一壽の人脈で設立時には出光興産も出資して2万株を保有していた。；大きな株の移植は非常に困難で、ごく小型の苗から栽培するしかないと言う。；またこれと前後して、赤尾家名義で所有していたフジテレビの株も売却された。；同様の経緯で『広島電気軌道株式会社』の株も鈴木商店が取得している。；協会9号の変異株で、酒質に影響を与える尿素を生産しないのが特徴。；間引きのあとは株が倒れないように根元に土寄せを行って、追肥も行う。；左右どちらかしか裂けない葉も存在し、同じ株でも葉の変異は多い。；多くの種をつけることが知られており、大きな株で24万個という記録もある。；背が高くならないので、満潮時には株全体が海水に没する場合がある。；これを利用すれば、種が異なっていても共通するような+-株を設定することができる。；株の知識が活かされた、企業を舞台にした小説『大いなる変身』もある。；英語のstrainには植物の株の意味はなく、家系を意味する言葉である。；ただし夢には多少の誤差があり、宝くじが株であったりするという。；たいてい、各取引所の株は同一の会社の株であり、二元上場とは違う。；そもそも発行される株式数が増えると、1株が表す権利内容は小さくなる。</t>
        </is>
      </c>
      <c r="J1667">
        <f>HYPERLINK("https://www.weblio.jp/content/株", "词义详情")</f>
        <v/>
      </c>
      <c r="K1667">
        <f>HYPERLINK("https://yourei.jp/株", "查看例句")</f>
        <v/>
      </c>
    </row>
    <row r="1668">
      <c r="A1668" t="inlineStr">
        <is>
          <t>歌舞伎</t>
        </is>
      </c>
      <c r="B1668" t="inlineStr">
        <is>
          <t>成功</t>
        </is>
      </c>
      <c r="C1668" t="inlineStr">
        <is>
          <t>読み方：かぶき
《天正時代の流行語で、奇抜な身なりをする意の動詞「かぶ（傾）く」の連用形から》近世初期に発生、江戸時代の文化が育てた日本固有の演劇。先行の舞踊・音楽・科白劇(かはくげき)などの諸要素を集大成した、庶民的な総合演劇として今日に至る。歌舞伎劇。歌舞伎芝居。</t>
        </is>
      </c>
      <c r="D1668" t="inlineStr">
        <is>
          <t>歌舞伎劇(3%)；歌舞伎界(2%)；歌舞伎狂言；歌舞伎芝居；歌舞伎署</t>
        </is>
      </c>
      <c r="F1668" t="inlineStr">
        <is>
          <t>子供歌舞伎；若衆歌舞伎；歌舞伎化；歌舞伎研究；歌舞伎舞台</t>
        </is>
      </c>
      <c r="G1668" t="inlineStr">
        <is>
          <t>歌舞伎座；歌舞伎役者；歌舞伎俳優；歌舞伎の演目；歌舞伎十八番</t>
        </is>
      </c>
      <c r="H1668" t="n">
        <v>29</v>
      </c>
      <c r="I1668" t="inlineStr">
        <is>
          <t>この作品は三島の書いた最後の歌舞伎であり、最後の舞台作品となった。；現在は、歌舞伎や踊り、全国の祭りなどのイベント用が主となっている。；霞谷七人衆は、歌舞伎をベースにしたキャラクター作りが行われている。；また歌舞伎以外では劇団新派の公演に歌舞伎役者が登場することが多い。；玉手の母は原作では名が無いが、歌舞伎ではお徳という名がついている。；演劇の上演はもちろんのこと、コンサートや歌舞伎が上演されることもある。；また、歌舞伎以外にも蜷川幸雄の舞台などにも積極的に出演している。；前者はこれは当時の歌舞伎が日の出から日没まで上演したことによる。；その後も1951年に再建されるまでは、東京の歌舞伎の中心だった。；一方のエイゼンシュテインも以後の監督作品に歌舞伎的な演出を取り入れた。；書籍の収集を趣味とし、明治に入ってから歌舞伎関係の著書を多く著した。；この段は、現行の歌舞伎では原作の浄瑠璃からは完全に離れた内容となる。；現在の歌舞伎として上演される際の構成は、三幕六場の形式である。；東西の大歌舞伎を勤めた後、明治35年ごろから小芝居に活躍の場を移す。；劇場の発展が最初にみられたのは阿国歌舞伎以来の伝統を有する上方であった。；御趣味としては歌舞伎見物が何よりお好きであつたと聞いてをります。；歌舞伎では農村で行われる芝居や都市における曳山の上で芝居などがある。；歌舞伎にも移され古くは度々上演されたが、現在ではほとんど上演を見ない。；歌舞伎以外にも演劇やコンサートの公演が行われている。；俳諧や歌舞伎などの文化が花開き、人々は天下泰平の世を謳歌していた。；また学究肌で歌舞伎の知識も豊富な博覧強記な人物としても知られた。；歌舞伎では上演時間の都合上、「寺入り」の部分を省略することが多い。；なお歌舞伎や落語の場合は代数が正確ではない場合があるので注意を要する。；すばやい動きと技術の高さで知られ、これらの動きは歌舞伎をテーマにしている。；子どもの頃は、父の影響で歌舞伎や映画を観るのが好きな子だった。；東西の歌舞伎に通じた知識と豊富な経験は関係者に重宝がられた。；原作あるいは歌舞伎のこの場面に題材を取った浮世絵・錦絵も多く描かれている。；「歌舞伎」という名称は明治に作られたもので、元々は芝居と言われていた。；宝暦期以降の歌舞伎の舞台演出で流行となり、新曲がいくつも作曲された。</t>
        </is>
      </c>
      <c r="J1668">
        <f>HYPERLINK("https://www.weblio.jp/content/歌舞伎", "词义详情")</f>
        <v/>
      </c>
      <c r="K1668">
        <f>HYPERLINK("https://yourei.jp/歌舞伎", "查看例句")</f>
        <v/>
      </c>
    </row>
    <row r="1669">
      <c r="A1669" t="inlineStr">
        <is>
          <t>株式会社</t>
        </is>
      </c>
      <c r="B1669" t="inlineStr">
        <is>
          <t>成功</t>
        </is>
      </c>
      <c r="C1669" t="inlineStr">
        <is>
          <t>読み方：かぶしきがいしゃ
現代の代表的な企業形態の一。合名会社・合資会社・合同会社における持ち分にあたるものを株式の形式にし、株主は株式の引受価額を限度とする有限の出資義務を負うだけとなる。機関には、株主総会・取締役会・会計参与・監査役などがある。</t>
        </is>
      </c>
      <c r="D1669" t="inlineStr">
        <is>
          <t>株式会社代表取締役社長；株式会社取締役；株式会社社長；株式会社代表取締役；株式会社mbsラジオ</t>
        </is>
      </c>
      <c r="F1669" t="inlineStr">
        <is>
          <t>工業株式会社；開発株式会社；電気株式会社；運営する株式会社；ホールディングス株式会社</t>
        </is>
      </c>
      <c r="G1669" t="inlineStr">
        <is>
          <t>株式会社kadokawa；株式会社電通；株式会社リクルート；株式会社イズミ；株式会社メディア</t>
        </is>
      </c>
      <c r="H1669" t="n">
        <v>29</v>
      </c>
      <c r="I1669" t="inlineStr">
        <is>
          <t>株式会社が発行する株式の流通量を増加させたいときなどに利用される。；株式会社の株式に相当する投資口を時価で市場で購入することができる。；Kが株式会社を示していることは特に示す必要はないかもしれない。；徳間書店から分離・独立した2005年からは、再び株式会社となった。；過去独立して存在していたジャスダックも株式会社形態であった。；なお、株式会社設置のものについては学校登録されていないため不可能である。；この点が株式会社である銀行とは組織形態が異なる。；のちにこの会社からは離れ、株式会社オフィスクレッシェンド所属となる。；日本でも、立石電機株式会社が1948年当時に製造・販売していた。；株式会社は、かつて日本の東京都大田区に本社を置いていた大手航空会社。；代わりに系列会社である株式会社エス・オー・エフ・ティーが同機構に加入した。；日本の商法、会社法では株式会社における役員は次のようになっている。；そのため無理に株式会社の形態を採用した企業があふれた。；即ち法的には株式会社であり、市民たちが多数の株主として参加している。；株主を構成員とし、株式会社の基本的な方針や重要な事項を決定する。；株式会社は発行する全部の株式の内容として次の内容を定めることができる。；これに伴い、使命を終えた平和台野球株式会社は解散している。；株式会社ココストアはかつてココストアを運営していた企業である。；株式会社ライジングは、かつて日本に存在していたゲーム開発会社である。；株式会社などを設立するには、この法律に則って登記を行わなければならない。；その後幾多の変遷を経て、1919年に株式会社三菱銀行が設立された。；両施設ともに株式会社安全が運営している。；日比野安全肥料株式会社の本社工場への便宜を図るために開業した。；そこで、1985年に株式会社コミケットを設立してそれを行うこととした。；株式会社光文社は、東京都文京区音羽に本社を置く日本の総合出版社である。；会社名も従来の株式会社大洋球団から株式会社横浜ベイスターズに変更。；有限会社は、株式会社同様に出資者を有限責任とする形態の会社であった。；運営には利根運河株式会社が設立され、運河の管理を行っていた。；アイワ株式会社は、かつて同ブランドのオーディオ機器を製造していた企業。</t>
        </is>
      </c>
      <c r="J1669">
        <f>HYPERLINK("https://www.weblio.jp/content/株式会社", "词义详情")</f>
        <v/>
      </c>
      <c r="K1669">
        <f>HYPERLINK("https://yourei.jp/株式会社", "查看例句")</f>
        <v/>
      </c>
    </row>
    <row r="1670">
      <c r="A1670" t="inlineStr">
        <is>
          <t>被せる</t>
        </is>
      </c>
      <c r="B1670" t="inlineStr">
        <is>
          <t>成功</t>
        </is>
      </c>
      <c r="C1670" t="inlineStr">
        <is>
          <t>読み方：かぶせる
［動サ下一］［文］かぶ・す［サ下二］
１上から覆うように物を載せる。「帽子を—・せる」「布団を—・せる」
２全体に注ぎかける。「頭から水を—・せる」「種に土を—・せる」
３すでにある色や音などの上に、さらに他の物を加える。「映像にナレーションを—・せる」
４間(ま)を置かないで、すぐ次の言葉を言う。「—・せて言う」
５人に罪や責任などを負わせる。着せる。「人に罪を—・せる」</t>
        </is>
      </c>
      <c r="D1670" t="inlineStr">
        <is>
          <t>搭載；カバー；覆う；掛ける；積む</t>
        </is>
      </c>
      <c r="F1670" t="inlineStr">
        <is>
          <t>押っ被せる</t>
        </is>
      </c>
      <c r="H1670" t="n">
        <v>29</v>
      </c>
      <c r="I1670" t="inlineStr">
        <is>
          <t>アルバムの帯は被せ帯仕様で、以下のキャッチコピーが記載されている。；後に、小さなバスケットを上部に開けた小さな穴に被せるものが現れた。；そして、電球に被せてある黒い紗の布がいつまでも眼の中に残っていた。；日に当てていない間は切った殻を被せて昆虫や埃が入らないようにする。；殆どの信者がバルビツレートと酒を飲み、彼らの頭には袋が被せられた。；錦の布が被せられていたが、その下に何が置かれているのかは明らかだった。；被害者は全て頭部が無く、代わりに袋が被せられているという謎の事件だ。；それ位いの程度において画家は自然の上に自分の心を蔽い被せている。；土手沿いの桜並木は舟の上からは薄紅色の真綿を被せたようにも見える。；ところで石と土の被せてある井戸の穴へどうして平兵衛が堕込んだか。；言う通りにすると、彼女は私が喋った後、壺に紙を被せて封印しました。；没後も團の名を被せたコンサートが開かれるなど、八丈島との縁は深い。；そしてそれを雷太の頭から頬にかけて被せると、両端を顎の下で結んだ。；死体はまだそのままの位置にあったものの、シートが被せられている。；しかしあらぬ罪を被せられたジェリーにとっては不愉快で仕方なかった。；捕まったメンバーは頭にストッキングを被せられて明日花の奴隷となる。；シリーズでは初めて、効果音がまったく被せられない形で制作された。；でもそのままじゃ何か嫌だったから、うちからシーツを持ってきて被せてた。；このまま外野にいて、すべてを能見さんにおっ被せるわけにはいかない。；ストッキングを被せた二つの腿が隙間なく密着して一個の型になっている。；キノコの毒気を吸わないようにマスク代わりの布きれを顔に被せている。；何度被せてみても元の如くちゃんと壁に噛みついているのである。；上に被せられていた筵は検屍のために膝のところからめくられている。；シートが被せられた死体は、ロッカの前と、反対側の戸棚の前にあった。；そのために、わたしたちはその女にレースの付いた頭巾を被せてやりました。；屈強な水兵たちに囲まれた寧温は麻袋を被せられてしまったではないか。；目の前に小さな玉が置いてあって、それに人形が箱を被せます。；それを魚を埋めた雪の上に仕掛け、見えないように雪を被せた。；形式的だが、ラベルのような小さいものが、上部に被せてあるという。</t>
        </is>
      </c>
      <c r="J1670">
        <f>HYPERLINK("https://www.weblio.jp/content/被せる", "词义详情")</f>
        <v/>
      </c>
      <c r="K1670">
        <f>HYPERLINK("https://yourei.jp/被せる", "查看例句")</f>
        <v/>
      </c>
    </row>
    <row r="1671">
      <c r="A1671" t="inlineStr">
        <is>
          <t>カプセル</t>
        </is>
      </c>
      <c r="B1671" t="inlineStr">
        <is>
          <t>成功</t>
        </is>
      </c>
      <c r="C1671" t="inlineStr">
        <is>
          <t>読み方：かぷせる
１粉薬などを入れる、ゼラチン製の小さな円筒形の密閉容器。カプセル剤。
２宇宙飛行体として、人間や計器類を乗せる、加圧された気密容器。宇宙カプセル。
３一般に、1のような形状をした、密閉可能な入れ物。「タイム—」
４⇒莢膜</t>
        </is>
      </c>
      <c r="D1671" t="inlineStr">
        <is>
          <t>カプセル化する；カプセル内；カプセル状；カプセル型；カプセル入り</t>
        </is>
      </c>
      <c r="E1671" t="inlineStr">
        <is>
          <t>射出座席；カプセル剤；宇宙カプセル</t>
        </is>
      </c>
      <c r="F1671" t="inlineStr">
        <is>
          <t>パワーカプセル；宇宙カプセル；用カプセル；小さなカプセル；フロートカプセル</t>
        </is>
      </c>
      <c r="G1671" t="inlineStr">
        <is>
          <t>カプセルトイ；カプセルホテル；カプセル剤；カプセルコーポレーション；カプセル怪獣</t>
        </is>
      </c>
      <c r="H1671" t="n">
        <v>29</v>
      </c>
      <c r="I1671" t="inlineStr">
        <is>
          <t>この際、動きを停止させるのではなくカプセルに変化するようになった。；帰還カプセルの中には小惑星由来と考えられる物質が大量に入っていた。；カプセル本体は透明で中身が見えるようになっているものが大半である。；カプセル状の本体の左右に直方体のユニットが接続された形状をしている。；さらにミス後のリトライではカプセルを持った敵の出現がごく少数である。；潜水艦発射型は専用のカプセルに入れられ魚雷発射管から発射される。；カプセル化された細胞を利用したヒトへの試験は1998年に実施された。；腹を立てた彼はたまたまその基地にあった謎の大型カプセルを奪う。；メッセージを入れたカプセルをつけた足も損傷していたという。；また、前作と同様に特定のボードマップでのみ登場するカプセルもある。；研究所内部の壁には人造人間を格納したカプセルが立てかけられている。；箱版はカプセルでの分売製品とパッケージ以外は全くの同一品である。；再度カプセルを取得することで別な武装を装備することも可能。；カプセルに乗るには身長が高過ぎるという理由で6名がまず除外された。；戦闘能力が低いと判断されたサイヤ人は自宅の育児カプセルで育てられる。；作中では専用ケースにカプセルを複数まとめていることが多かった。；新規取得のアイテムカプセルの場合、その場で選択武器が変わってしまう。；今作のカプセルは大きく次の5つに分けられ、全部で29種類登場する。；これはカプセルをレトルト食品のようにお湯に入れることで実体化する。；爆発していく船の中で、ヒーローたちの手からカプセルを死守せんとする。；または透明カプセルを使用した状態で端に到着しても勝利となる。；調査の結果、大気圏突入直前にカプセルの空気が抜けていたことが判明した。；敵を倒したときにカプセルの代わりにベルが出現することがある。；細長い形状をしている一般的なものの他、カプセル型のものもある。；この組織は、世界中で作られたさまざまなタイム・カプセルを研究している。；はるか昔に人類とは別格の存在が落とした、用途不明の巨大カプセル。；そのため記憶を取り戻すためにならないかと歌のカプセルを盗んだのであった。；カプセルなので未来の交通機関に影響を受けるようなことはない。；途中、運ばれて来るカプセルの色と対応する攻撃は以下の通り。</t>
        </is>
      </c>
      <c r="J1671">
        <f>HYPERLINK("https://www.weblio.jp/content/カプセル", "词义详情")</f>
        <v/>
      </c>
      <c r="K1671">
        <f>HYPERLINK("https://yourei.jp/カプセル", "查看例句")</f>
        <v/>
      </c>
    </row>
    <row r="1672">
      <c r="A1672" t="inlineStr">
        <is>
          <t>被る</t>
        </is>
      </c>
      <c r="B1672" t="inlineStr">
        <is>
          <t>成功</t>
        </is>
      </c>
      <c r="C1672" t="inlineStr">
        <is>
          <t>読み方：かがふる
［動ラ四］
１かぶる。
「麻衾(あさぶすま)引き—・り」〈万・八九二〉
２上の人からの仰せ言などを受ける。賜る。
「天皇の敦(あつ)きめぐみを—・りて」〈記・下〉</t>
        </is>
      </c>
      <c r="D1672" t="inlineStr">
        <is>
          <t>被る可能性(2%)；被るべき</t>
        </is>
      </c>
      <c r="E1672" t="inlineStr">
        <is>
          <t>経験；受ける；得る；つける；感じる</t>
        </is>
      </c>
      <c r="H1672" t="n">
        <v>29</v>
      </c>
      <c r="I1672" t="inlineStr">
        <is>
          <t>多数の敵機に頭を被られてはどうにもならないのはだれでも知っている。；この中にはポケモンシリーズの主人公が被っていたものも含まれている。；あたりが暗くなり始めた道を、少女が一人、帽子も被らずに歩いていた。；兄さんはこの暑いのに帽子も被らずにどこかへ飛び出して行ったのです。；雑誌等では、大きな顎が液晶上を被っているが通常時は格納されている。；基本的に顔は見えず、それぞれ正面に数字が入った帽子を被っている。；そうして帰る間際になってやっと帽子を被らない男の事をいい出した。；その代わり被り慣れた帽子こそはわが手足でありわが顔、鼻、口である。；貴女に恥辱を被らしたものは、四脚の獣ではない、獣のような人間じゃ。；運転手はびっくりした顔でお金を受け取り、運転席で帽子を被り直した。；両者ともその栄光と同じように大きく、突然の失墜を被る運命であった。；昔から人より秀出て群を抜ける者で、誤解を被らない者は殆んどいない。；すると彼の頭にこの間途中で会った帽子を被らない男の影がすぐひらめいた。；他の動画配信サービスとはあまり作品が被らないように取り揃えている。；普通に被るだけでなく、目の部分の窓を口の下まで引き伸ばす場合も多い。；奴らは人間の皮を被り、人間の振りをしているが、僕には見分けられる。；また、満月を撮影した時に起こる「青被り」を防ぐ目的でも使用される。；形状は鉢巻に似ており、頭全体に被るのではなく外周を覆うものである。；権力を対比させる対象に据えた場合、大衆は権力の影響を被る側である。；被ったキャップごとにその鳥の特徴も自分の体に反映されるようになっている。；普段はコートに付いているフードを被り、顔を隠していることが多い。；フッカーの部隊は大きな損失を被ったうえにその目的も達していなかった。；前作とは世界観を共有していることからタイトル名を被らせている。；猶何かの儀式の外そんな正帽なんか平生に被る大学生は居ない様である。；被らは二〇一八年頃までは、非常に長い宇宙航行を余儀なくされていました。；更にユダヤ人に黄色いバッジと帽子を被る事を義務付けたりもしている。；離婚した前妻と娘、仮面を被ったように見えて家族とは思えない今の家族。；そうしてたった一週間前に買って遣った頭に被る新しい巾を引き裂いた。；展示されている作品は、前回同様、自由に被り、撮影することが出来る。</t>
        </is>
      </c>
      <c r="J1672">
        <f>HYPERLINK("https://www.weblio.jp/content/被る", "词义详情")</f>
        <v/>
      </c>
      <c r="K1672">
        <f>HYPERLINK("https://yourei.jp/被る", "查看例句")</f>
        <v/>
      </c>
    </row>
    <row r="1673">
      <c r="A1673" t="inlineStr">
        <is>
          <t>花粉症</t>
        </is>
      </c>
      <c r="B1673" t="inlineStr">
        <is>
          <t>成功</t>
        </is>
      </c>
      <c r="C1673" t="inlineStr">
        <is>
          <t>読み方：かふんしょう
花粉によって起こるアレルギー。花粉が鼻や目の粘膜に触れることにより、くしゃみ・鼻水や、目の充血・かゆみなどの症状が起こるもの。枯草熱(こそうねつ)。
[補説]原因となる植物は50種以上あるとされる。春のスギ・ヒノキ、秋のブタクサ・ヨモギが代表的であるが、シラカバ・ハンノキ・ケヤキ・ブナ・カモガヤなどによっても起こる。</t>
        </is>
      </c>
      <c r="D1673" t="inlineStr">
        <is>
          <t>花粉症対策(5%)；花粉症患者(3%)</t>
        </is>
      </c>
      <c r="E1673" t="inlineStr">
        <is>
          <t>スギ花粉症；枯草熱；花粉病</t>
        </is>
      </c>
      <c r="H1673" t="n">
        <v>29</v>
      </c>
      <c r="I1673" t="inlineStr">
        <is>
          <t>とすると花粉症の人はつらいのではないだろうかと私はぼんやり考えた。；この日は花粉症の薬を飲んでいて、 少しぼうっとしていたのだと思う。；彼女はいつも、花粉症の人がするような大きなマスクを顔につけている。；花粉症というものは涙が出るものだと、ただそれだけのことだと思った。；さらなる根拠は、花粉症と風邪の両方に効果があることも示唆している。；花粉症の季節に悪化する場合は口腔アレルギー症候群の可能性がある。；昨日のメールでのやりとりで花粉症の彼女は花粉のことを 気にしていた。；症例数は少ないが花粉症の原因植物となることが報告されている。；好きな季節は秋で、理由は暑いのと寒いのが苦手で、花粉症であるから。；花粉症の検査は、 の2点が重要であり、そのための検査が行われる。；ちなみに、花粉症の増加もほぼ前後して起きているとの見方もある。；他方で、いくつかの種の花粉は、花粉症の原因となることも知られている。；日本ではブタクサやカモガヤなどが花粉症の原因となることで問題となった。；春先のオープン戦を観戦する際は花粉症対策もしておかなければならない。；これらとは別に、花粉症と食物アレルギーの発生が、複数報告されている。；東京都民を花粉症にして、政治と社会を混乱させる陰謀かもしれないわよッ!；風邪や花粉症などのアレルギー性鼻炎の人でも一般的な症状である。；花粉症の涙みたいに勝手に瞼からあふれ、知らないうちに頬を伝っていた。；また、花粉症の原因を寄生虫を撲滅しすぎたためとする自説でも知られる。；また、そうした花粉症患者のうち、花粉ではないものに反応する患者もいる。；というか、多分、興宮の人にだって花粉症なんてそうそういないと思うけど?；またE・A・ボウルズによって花粉症の原因となることが指摘されている。；その結果花粉が多く飛散し、花粉症の症状が現れる人が多くなった。；奥さまが花粉症になったので、森のそばには行かずに海で過ごすことにしたらしい。；近年、花の花粉が花粉症などのアレルゲンとなることが知られるようになった。；症例は少ないとされるが、花粉症の原因植物となることがある。；すでに1990年代後半に病院等では販売されており、徐々に花粉症患者層に普及した。；花粉症の患者は、症状が現れる以前にアレルギーの元になる花粉に接触している。；さまざまな需要があるとはいえ、やはり花粉症対策としての需要が大きい証拠といえる。</t>
        </is>
      </c>
      <c r="J1673">
        <f>HYPERLINK("https://www.weblio.jp/content/花粉症", "词义详情")</f>
        <v/>
      </c>
      <c r="K1673">
        <f>HYPERLINK("https://yourei.jp/花粉症", "查看例句")</f>
        <v/>
      </c>
    </row>
    <row r="1674">
      <c r="A1674" t="inlineStr">
        <is>
          <t>壁</t>
        </is>
      </c>
      <c r="B1674" t="inlineStr">
        <is>
          <t>成功</t>
        </is>
      </c>
      <c r="C1674" t="inlineStr">
        <is>
          <t>読み方：かべ
１建物の外周の部分。また、部屋などを仕切るもの。木舞(こまい)を芯に練った土を塗ったり、板を張ったり、石・煉瓦(れんが)を積んだりして作る。
２前進を阻むもの。進展の妨げとなるもの。障害。「記録の—を破る」「開発が—にぶつかる」
３登山用語で、直立する岩壁。
４《壁を「塗る」に「寝(ぬ)る」を掛けて》夢のこと。
「まどろまぬ—にも人を見つるかな正(まさ)しからなむ春の夜の夢」〈後撰・恋一〉
５《白壁に似ているところから》豆腐をいう女房詞。おかべ。
[補説]書名別項。→壁
[下接語]荒壁・石壁・板壁・大壁・御(お)壁・小壁・錆(さび)壁・白(しら)壁・真(しん)壁・砂壁・袖(そで)壁・外壁・土壁・生(なま)壁・海鼠(なまこ)壁・鼠(ねずみ)壁・塗り壁・掃(は)き付け壁・控え壁</t>
        </is>
      </c>
      <c r="D1674" t="inlineStr">
        <is>
          <t>壁に叩きつけ；壁板；壁越し；壁沿い；壁に掛けられ</t>
        </is>
      </c>
      <c r="E1674" t="inlineStr">
        <is>
          <t>障害；邪魔；塀；妨害；妨げ</t>
        </is>
      </c>
      <c r="F1674" t="inlineStr">
        <is>
          <t>板壁；白い壁；壁にかけ；厚い壁；高い壁</t>
        </is>
      </c>
      <c r="G1674" t="inlineStr">
        <is>
          <t>壁画；壁際；壁紙；壁ぎわ；壁の向こう</t>
        </is>
      </c>
      <c r="H1674" t="n">
        <v>29</v>
      </c>
      <c r="I1674" t="inlineStr">
        <is>
          <t>彼は壁に自分の作品だけを展示し他人の絵を並べてほしくないと望んだ。；この技法で描いた絵画は壁や天井と一体化し、ほぼ永続的に保存される。；国境周辺に壁やフェンスを設置している例は、分離壁の項を参照のこと。；公園の南西の交差点近くの壁には、戦時中の機銃掃射の跡が残っている。；内部のDNAは入口の所でその先にある壁のために無理やり曲げられる。；市壁の南をゴーテ川が流れ、この頃には運河でライネ川と結ばれていた。；帝国代官ヴェルフェリン・フォン・ハーゲナウは市壁の建設を行わせた。；そのため、階段も壁から離れた位置に造られ、階段と壁の間に通路がある。；しかしながら前述のように解釈の問題が数多いため、実行の壁は高い。；また、階下席では壁に横長の鏡を設置して部屋の圧迫感を和らげている。；国境のことを聞かれて思わず壁について答えてしまったのである。；しかし、背景のセーヌ川の描き方が青い壁のようだなどと酷評を浴びた。；事務所の壁に立たされていた人々も次々に逃げ、秘書だけが残された。；ホーム部分はガラス壁で覆われており、屋根は曲線を多用した構造である。；この時代、環状道路の外側に市壁が設けられ、宮殿付属教会が建設された。；これは、アラブ人が農民の反乱軍からの防御壁として築いたものである。；なお、これは既存の壁の上から新たに壁を取り付ける壁面改善工事である。；内部の廊下と部屋は磨き上げられた花崗岩の壁と天井を持っている。；しかし最大の苦手北天佑には初顔以来6連敗を喫するなど壁も多かった。；北側の側廊の壁には突き出した形の後期ゴシック様式の壁龕が見られる。；まして壁の建設は想像してもまず不可能という判断で思いも寄らなかった。；この東西両壁は現在の故宮の東西両壁とほぼ同じ位置にあたる。；現在はそそり立った壁のようなコンクリートの堤防が両岸を守っている。；壁状のものは特に銀河ウォールもしくはグレートウォールなどとも呼ぶ。；インテルカティアは長く抵抗し、壁が破壊されてもローマ軍を撃退した。；さまざまな理由が挙げられているが、中でも言葉の壁が大きかったと。；壁絵は内陣室の壁に断片状に遺されており、使徒の群像が描かれている。；その代わりに陽極側の端で真空管の壁そのものがグロー光を発しはじめた。；何年も後、ベルシャザルは宴会を開き、手の指が現れて壁に文字を書いた。</t>
        </is>
      </c>
      <c r="J1674">
        <f>HYPERLINK("https://www.weblio.jp/content/壁", "词义详情")</f>
        <v/>
      </c>
      <c r="K1674">
        <f>HYPERLINK("https://yourei.jp/壁", "查看例句")</f>
        <v/>
      </c>
    </row>
    <row r="1675">
      <c r="A1675" t="inlineStr">
        <is>
          <t>貨幣</t>
        </is>
      </c>
      <c r="B1675" t="inlineStr">
        <is>
          <t>成功</t>
        </is>
      </c>
      <c r="C1675" t="inlineStr">
        <is>
          <t>読み方：かへい
商品の価値尺度や交換手段として社会に流通し、またそれ自体が富として価値蓄蔵を図られるもの。鋳貨・紙幣のほかに、当座預金などの信用貨幣を含めていう場合が多い。</t>
        </is>
      </c>
      <c r="D1675" t="inlineStr">
        <is>
          <t>貨幣鋳造(3%)；貨幣流通；貨幣量；貨幣市場；貨幣供給</t>
        </is>
      </c>
      <c r="E1675" t="inlineStr">
        <is>
          <t>金；お金；銭；金銭；通貨</t>
        </is>
      </c>
      <c r="F1675" t="inlineStr">
        <is>
          <t>旧貨幣；少額貨幣；債務貨幣；貨幣司；発行する貨幣</t>
        </is>
      </c>
      <c r="G1675" t="inlineStr">
        <is>
          <t>貨幣価値；貨幣制度；貨幣法；貨幣単位；貨幣改鋳</t>
        </is>
      </c>
      <c r="H1675" t="n">
        <v>29</v>
      </c>
      <c r="I1675" t="inlineStr">
        <is>
          <t>そのとき父の棺にはパンの切れ端と一枚の貨幣を入れなければならない。；このときも末の息子の棺にパンの切れ端と貨幣をいれなければならない。；本作では貨幣の概念は一切なく、店・自動販売機などは一切登場しない。；多くは円形で中心部に方形の穴が開けられた有孔貨幣であることが多い。；この頃に弘前藩内で流通した貨幣は尾太鉱山の銀で鋳られたものである。；貨幣などの図案にも、インド土着の様式が強く現れるようになっている。；江戸時代においては貨幣の製造が行われたものの、石高制が維持された。；この時期の遺跡からは、ローマの貨幣が出土することで有名である。；お金を貯めるときは、貯金箱になった人の口の中に貨幣や紙幣を入れる。；貨幣委員会の作業報告会にはフリードマンも参加しゼミ生の指導を行った。；これは上記に示されるように戦器の売買に利用された貨幣である。；この非効率さを解消するために貨幣が出現したという説が有力となっている。；秦の始皇帝が中国をはじめて統一すると、貨幣についても統一が進んだ。；見ればわかるように、日本人同士の会話でいきなりフランスの貨幣が登場する。；クシャーンの王達はホルミズドの反乱以後も独自に貨幣を発行し続けた。；巨大な石の貨幣のようなものを用いていることで知られる。；商品経済が発展していく中で渤海では貨幣が使用されていたと考えられている。；元の末期には、店舗や地方の独立政権が独自に貨幣を発行した。；貨幣の流通量が不足すると、民間や自治体が自発的に貨幣を発行した。；日本、韓国でも特殊貨幣が作られ、療養所内で使用されていた時期があった。；銭票は季節に左右される農産物取引の貨幣受給を調整する役割を果たした。；こうした高額貨幣は官銭の信用を落とし、インフレーションが発生した。；すべての機能を含む全目的な貨幣が現われたのは、文字をもつ社会が誕生して以降となる。；また、これらの貨幣は熱いうちにハンマーで叩かなければならなかった。；主に日本の古銭であるが、中国やベトナム、朝鮮の貨幣も混ざっている。；日本以外の国では貨幣を加工することを認めている国がある。；貨幣はそれ自身の目的のためにではなく、それで購入できる物のために所望される。；当時は金や銀を貨幣の代わりにしていたため、このような事態は避けられなくなる傾向にあった。；そして、質の悪い貨幣と良い貨幣の価値比率を定めた撰銭令を発令した。</t>
        </is>
      </c>
      <c r="J1675">
        <f>HYPERLINK("https://www.weblio.jp/content/貨幣", "词义详情")</f>
        <v/>
      </c>
      <c r="K1675">
        <f>HYPERLINK("https://yourei.jp/貨幣", "查看例句")</f>
        <v/>
      </c>
    </row>
    <row r="1676">
      <c r="A1676" t="inlineStr">
        <is>
          <t>過保護</t>
        </is>
      </c>
      <c r="B1676" t="inlineStr">
        <is>
          <t>成功</t>
        </is>
      </c>
      <c r="C1676" t="inlineStr">
        <is>
          <t>読み方：かほご
［名・形動］子供などに必要以上の保護を与えること。また、そのようにされること。また、そのさま。「—に育てられる」「—な親」</t>
        </is>
      </c>
      <c r="D1676" t="inlineStr">
        <is>
          <t>過保護ぶり(3%)</t>
        </is>
      </c>
      <c r="H1676" t="n">
        <v>29</v>
      </c>
      <c r="I1676" t="inlineStr">
        <is>
          <t>現在の韓国での子どもの過保護ぶりには目をそむけたくなるものがある。；私は小学校に上がる前は病気ばかりしていたので、母親の過保護の下にあった。；だが結局のところ、彼は過保護なのだろうとチェチリアは思っている。；そんな過保護なわたしの生活とこの歌はとても共通点があると思う。；過保護な母親みたいな人だと思ってきたが、今回で考えが改まった。；彼女は見るからに過保護な扱いに慣れていて、よく考えもせずに何かを要求するようだった。；佑介は身の回りの面倒を全部見てくれる過保護な妹からの自立を決心する。；過保護に育てられたから辛抱出来ない子に育って、と偏向した性格を嘆く。；過保護で夢見がちな教育係が聞いたら、確実に失神しそうな展開だ。；パイロットはパラシュートで無事帰還ってわけだが、過保護なヘリだよ。；父親を第二次世界大戦で失ったピンクは、母親の過保護な愛情の中で育っていく。；過保護な関係は当然として受け入れられているらしい。；この過保護な兵士こそ、まさに本物のスパイよりもこわい存在である。；金持ちであるがワンマンで過保護な父親から一人立ちしたいフランク。；今まで過保護のあまり彼の本質を全く見ていなかった事を自覚して非常に後悔する。；過保護な母親はピンクを擁護するが、他の証人は彼を徹底的に糾弾する。；日本で問題になるブクブクした過保護の子供などよりどのくらいすばらしいことか。；過保護な家庭で育った少年少女らの身勝手な犯行以外のなにものでもないのです。；現在、わが国の至るところで見られる過保護ママの原型を見るようだ。；入ったばかりなのかもしれないが、ここまで過保護にしなくても。；分刻みで次々に為すべきことが決められている日課は、一種の過保護でもある。；この件で今回わかったことは、王子がとんでもなく過保護で心配性だということだ。；美人で気立ては良いが料理や裁縫が苦手な妻と過保護で育った夫。；端から見ていると危なっかしくて、女々さんが過保護になる気持ちも理解は出来る。；彼は母親の過保護と父親の放任という二重の不利な目に会った。；単に、過保護というか、心配性なのだとばかり思っていた。；諏訪いづみは東京・蒲田の薬局店で父・正に過保護に育てられた23歳。；磯村くんのことを〝過保護〟だと決めつけたがっていた人はこの人だったからです。；磯村くんは、自分が過保護だとは思っていませんでした。</t>
        </is>
      </c>
      <c r="J1676">
        <f>HYPERLINK("https://www.weblio.jp/content/過保護", "词义详情")</f>
        <v/>
      </c>
      <c r="K1676">
        <f>HYPERLINK("https://yourei.jp/過保護", "查看例句")</f>
        <v/>
      </c>
    </row>
    <row r="1677">
      <c r="A1677" t="inlineStr">
        <is>
          <t>カボチャ</t>
        </is>
      </c>
      <c r="B1677" t="inlineStr">
        <is>
          <t>成功</t>
        </is>
      </c>
      <c r="C1677" t="inlineStr">
        <is>
          <t>《(ポルトガル)Cambodiaから》ウリ科の蔓性(つるせい)の一年草。茎は五角柱で、巻きひげがあり、地をはう。葉は大形の心臓形。夏、黄色の雄花と雌花とをつけ、大形の扁球状などの実を結ぶ。果実および種子は食用。熱帯アメリカの原産で、日本にはポルトガル船によってもたらされた。カンボジア原産と考えられたところからの名という。とうなす。からうり。なんきん。ぼうぶら。《季実＝秋 花＝夏》「我が—ひき臼程になりにけり／虚子」
[補説] 「南瓜」とも書く。</t>
        </is>
      </c>
      <c r="D1677" t="inlineStr">
        <is>
          <t>カボチャ頭；カボチャお化け；カボチャレンジ；カボチャ祭；カボチャ怪人</t>
        </is>
      </c>
      <c r="E1677" t="inlineStr">
        <is>
          <t>南瓜；スカッシュ；パンプキン；唐茄子；ペポカボチャ</t>
        </is>
      </c>
      <c r="F1677" t="inlineStr">
        <is>
          <t>西洋カボチャ；歯形つきカボチャ</t>
        </is>
      </c>
      <c r="G1677" t="inlineStr">
        <is>
          <t>カボチャの馬車；カボチャンス；カボチャ陳情団；カボチャのおじさん</t>
        </is>
      </c>
      <c r="H1677" t="n">
        <v>29</v>
      </c>
      <c r="I1677" t="inlineStr">
        <is>
          <t>母親はもう一生カボチャを食べる気になれないと泣いているそうである。；アイヌの人々もカボチャを栽培しており、北海道での栽培の歴史は古い。；人間をカボチャにしたり犬にしたりすることが許されるんですか。；カボチャを飾る余裕があるのは、連中が大型テーブルを使っているからだ。；缶詰のカボチャから作ることもできるが、カボチャの味がより強くなる。；まな板の上にカボチャを置き、ガスの火を止めてから、俺は振り向いた。；カボチャ頭が世の中に大勢いることは、わざわざ例証することもあるまい。；現在はジャガイモ・レタス・カボチャ・タマネギなどが生産されている。；カボチャが妙だと思ったのは大日向じゃないというのに、ずいぶん熱心なことだ。；豹が死んじまったら元も子もないじゃないか、こ、このくされカボチャ!；合計で三万五千から四万の人たちが来て、彼のカボチャ畑からカボチャを持って帰った。；このほか、各種の豆やカボチャも重要な作物であり、広く栽培された。；ここで黙って待っていたとしたらジルはカボチャかナスビである。；このイベントはカボチャの大きさを競うもので、毎年各地から多くの人を集めている。；大カボチャを二つも三つもあわせたような金のかたまりです。；また、カボチャの果実を用いる祭りや花と野菜の展示は多くの国で開かれている。；一般にカボチャは日本へは16世紀頃に渡来したとされている。；夏野菜のひとつで、一般のカボチャよりも低カロリーであるのが特徴。；しかしあまりのカボチャぶりに山田は電車に乗って、カボチャを捨てに行く。；奇妙な曲線の家の絵で、窓なんかカボチャやナスの型をしている。；明らかに野菜不足の沙都子には特別にカボチャ弁当を用意させてもらいました。；明治末期にはナス・カボチャ・スイカと作物の種類が増えていった。；多年生カボチャのつるは成長したまま放置すると半木本化することがある。；そして何より目立つのは、コンロとは反対側の端に置かれたカボチャ。；シンデレラの馬車がカボチャに戻る時が迫っていた、というわけだ。；コンビ名の由来は、二人ともカボチャのような体型であることから。；ペルーのじぶんの庭でつくったカボチャのように大きなオレンジ。；ウリ科植物のヒョウタン、メロン、カボチャの種には油が多く含まれる。；魚はやめにして、カボチャの絵を描きながら、魚の顔とは何とむつかしいものだろうと思った。</t>
        </is>
      </c>
      <c r="J1677">
        <f>HYPERLINK("https://www.weblio.jp/content/カボチャ", "词义详情")</f>
        <v/>
      </c>
      <c r="K1677">
        <f>HYPERLINK("https://yourei.jp/カボチャ", "查看例句")</f>
        <v/>
      </c>
    </row>
    <row r="1678">
      <c r="A1678" t="inlineStr">
        <is>
          <t>釜</t>
        </is>
      </c>
      <c r="B1678" t="inlineStr">
        <is>
          <t>成功</t>
        </is>
      </c>
      <c r="C1678" t="inlineStr">
        <is>
          <t>読み方：かま
《「かま（窯・竈）」と同語源》
１飯を炊いたり湯を沸かしたりするための器具。金属製または土製で、鍋よりも深く、腰に鍔(つば)がある。古くは、まろがなえといった。はがま。
２茶道で、湯を沸かす器具。茶釜。湯釜。
３火山の噴火口。→御釜(おかま)
４尻。転じて、男色。→御釜
５カタツムリの殻。
「—打ちわらう」〈和泉流狂・蝸牛〉</t>
        </is>
      </c>
      <c r="D1678" t="inlineStr">
        <is>
          <t>釜電鉄線；釜伏；釜山間；釜吉；釜焚き</t>
        </is>
      </c>
      <c r="E1678" t="inlineStr">
        <is>
          <t>薬缶；薬罐；湯沸かし；湯沸し；ケトル</t>
        </is>
      </c>
      <c r="F1678" t="inlineStr">
        <is>
          <t>大きな釜；大釜；御釜；鉄釜；その後釜</t>
        </is>
      </c>
      <c r="G1678" t="inlineStr">
        <is>
          <t>釜石；釜山広域市；釜無川；釜木；釜ヶ崎</t>
        </is>
      </c>
      <c r="H1678" t="n">
        <v>29</v>
      </c>
      <c r="I1678" t="inlineStr">
        <is>
          <t>この疑問を学者たちに説明してもらうと大変な八釜しいことになる。；そしてグザファンは地獄の釜の炎を吹き続ける罰を与えられたとされる。；列車の運転手と釜焚きは死にましたから、二人の証言は得られません。；回転釜の側面には外側に通じる非常に小さな孔がいくつか開けられている。；釜が再び使用されるようになるのは春秋時代晩期になってからである。；岩盤が炊飯釜を伏せたような形をしていることから名付けられたとされる。；又左衛門も釜吉も、家から外へはちょっとも出なかったと判りました。；そのおり家康は湯を汲み出そうとして何心なく釜の蓋へ手をやった。；これは昨日まで旅あるきの釜師で、釜や茶釜をつくっていたのでありました。；炊飯後の釜で温めた酒も分配されたが、異臭を帯びていて飲めなかった。；お庄はその茶の間の隅に据わった、釜の傍に番している時が多かった。；腕の力はもちろん、調子を取りながら体全体を使って釜の中身を動かし続ける。；往時の釜型ヘアドライヤーやマッサージチェアは現在も使用されている。；最終的に濃縮された塩は釜に運ばれてさらに煮出され、大量の木が消費された。；父は息子がいないので呼ぶと釜の中から返事がするので、またこれを救い出した。；釜の側には日蔽をして、十幾人の女が円座を作つて魚を切つて居た。；他の秀才は他人のことで榎本の釜さんなんかがそうだったのだね。；更に、中には「ラスボスを倒して初めて調合可能になる釜」も存在する。；作っては足して煮込み続け、何年も釜を洗わないことを宣伝する店もある。；しかし使用する機種によっては内釜や炊飯器本体を傷める可能性もある。；釜の中で断末魔の叫びが上がる傍らで、董卓は平然と食事を続けたという。；釜を三重化する方法を採用することで、実用的な炊飯が可能となった。；もち米を与えるとそれを釜で蒸し挙げ、臼ときねで餅をついてくれる。；その際、彼女の髪の毛が一本釜の中に入ってしまい、それが元で調合は失敗。；食堂のパン釜は一度に100kg以上のパンを焼くことができた。；年に一度開くと言はれた地獄の釜の蓋は一返では済まなくなつた。；ある初夏の朝いつも通りに釜を洗っていると蓋を池の中に落としてしまった。；それから八五郎と釜吉が、すっかり良い友達になった事も付け加えておきましょう。；渠は、鑵詰製造に必要なので釜を拵へさせたところを思ひ出したからである。</t>
        </is>
      </c>
      <c r="J1678">
        <f>HYPERLINK("https://www.weblio.jp/content/釜", "词义详情")</f>
        <v/>
      </c>
      <c r="K1678">
        <f>HYPERLINK("https://yourei.jp/釜", "查看例句")</f>
        <v/>
      </c>
    </row>
    <row r="1679">
      <c r="A1679" t="inlineStr">
        <is>
          <t>構う</t>
        </is>
      </c>
      <c r="B1679" t="inlineStr">
        <is>
          <t>成功</t>
        </is>
      </c>
      <c r="C1679" t="inlineStr">
        <is>
          <t>読み方：かまう
［動ワ五（ハ四）］
１（多く打消しの表現を伴って用いる）その事柄や存在を気にかけて、規制された状態になる。
㋐気にする。気をつかう。「時間に—・わず押しかけて来る」「私に—・わないで先に行ってください」「なりふり—・わず働く」
㋑他の事とかかわって、差し支えが生じる。「費用がかかっても—・いませんか」
２
㋐世話を焼いたり、相手をしたりする。「私のことなんか誰も—・ってくれない」
㋑自分より弱い者や動物などを、相手にしてふざける。からかう。「猫を—・う」
㋒江戸時代、お構いの刑に処する。
「和泉堺をお—・ひなさる」〈浄・浪花鑑〉
㋓禁制する。監禁する。
「芝居も—・はるべき程の事なり」〈風来六部集・飛だ噂の評〉
[可能]かまえる
［動ハ下二］「かまえる」の文語形。</t>
        </is>
      </c>
      <c r="D1679" t="inlineStr">
        <is>
          <t>構うことなく(6%)；構うまい(4%)</t>
        </is>
      </c>
      <c r="E1679" t="inlineStr">
        <is>
          <t>心配；聞く；聴く；尽くす；留意</t>
        </is>
      </c>
      <c r="F1679" t="inlineStr">
        <is>
          <t>なに構う；たって構う</t>
        </is>
      </c>
      <c r="H1679" t="n">
        <v>29</v>
      </c>
      <c r="I1679" t="inlineStr">
        <is>
          <t>これらの提案に従う義務があるのかなどと感じられなくても構いません。；情報が少ない場合は経歴の節の最上部にまとめてしまっても構いません。；自分の安全すら確保出来ていないのに、彼に構っている余裕なんてない。；わたくしに構ってないでさっさと中に入って遊んでくればいいでしょう!；開襟して着用するものとされていたが、閉じて着用しても構わなかった。；好みはあったのですが、服装などはその通り無雑作で構いませんでした。；心は冷たい石となってしまったかと思われる程、身形に構わなくなった。；細い線で囲まれた周辺水域の中であればやはりどこに配置しても構わない。；不恰好を構わず、出来るだけ楽なように、足の形のままに作らせたんだ。；そして確かにそこにあろうがどうだろうが私の構ったことではない。；悪いとは思うけど、正直に言って今この二人に構っている余裕はない。；皆が私を無視しているのは分かっているけど、そんなこと構うもんですか。；男性は逃げても構わないが捕まれば抵抗できないしきたりになっている。；周囲で他の隊員も聞いているが、そんなことを構っている余裕はない。；影が千切れたと同じ体の部分に激痛が走るが、構ってはいられなかった。；電話をかけた相手が誰であろうと、そんなことを構ってはいなかった。；暗くても構わず、最後のロープを切るのを今やってしまったほうがいい。；部分的に見て頂いても構わないし、最初から最後まで見てくれてもいい。；栄太郎のことだけに構うことができたのは、熱にうなされた数日だけだ。；大学行ったら、大学生みたいな顔してて、全然構ってくんないんだもん。；だから、敵の銃殺隊の手で私を処刑してくれても構わないじゃないか。；今夜、遅くなっても構いませんから、とにかく私の家まで来てください。；しかし、ぼくが緑色太陽系など構ってはいないことを、理解したらいい。；自分が寝起きする場所なぞ、どのような場所でも構いはしないと考えた。；もちろん押韻は最後の強勢のある母音よりさらに前に行っても構わない。；忠太郎と一緒なら、行かねえで、構わねえで置いたらいいじゃねえかね。；絡みついてくる足音に、しかし定九郎はそれ以上構うことをしなかった。；文量がさほど多くない場合など、独立した節としなくても構いません。；自分の思うまま見たまま、感じたままを構わずに行るばかりである。</t>
        </is>
      </c>
      <c r="J1679">
        <f>HYPERLINK("https://www.weblio.jp/content/構う", "词义详情")</f>
        <v/>
      </c>
      <c r="K1679">
        <f>HYPERLINK("https://yourei.jp/構う", "查看例句")</f>
        <v/>
      </c>
    </row>
    <row r="1680">
      <c r="A1680" t="inlineStr">
        <is>
          <t>構える</t>
        </is>
      </c>
      <c r="B1680" t="inlineStr">
        <is>
          <t>成功</t>
        </is>
      </c>
      <c r="C1680" t="inlineStr">
        <is>
          <t>読み方：かまえる
［動ア下一］［文］かま・ふ［ハ下二］
１整った形に作り上げる。組み立ててつくる。「新居を—・える」「店を—・える」「一家を—・える」
２
㋐前もって準備を整える。ある態度をとって、その状況に応じる。「膳を—・える」「ストを—・える」
㋑ある物を、すぐに使えるように準備して手に持つ。「カメラを—・える」「バットを—・える」
３計画する。たくらむ。「事を—・える」
４ごまかすためにわざと作り上げる。作り事をする。「言を—・える」
５
㋐事に備えて、ある姿勢・態度をとる。「来るなら来いと—・える」「のんきに—・えてもいられない」
㋑相手に対して心の備えをする。「あまり—・えないで楽にして下さい」</t>
        </is>
      </c>
      <c r="D1680" t="inlineStr">
        <is>
          <t>構える大学町として知ら；構えるアダルトゲーム制作会社；構える良好な立地；構える間もなく</t>
        </is>
      </c>
      <c r="E1680" t="inlineStr">
        <is>
          <t>建てる；組み立てる；身構える；ファイティングポーズをとる；戦闘態勢をとる</t>
        </is>
      </c>
      <c r="F1680" t="inlineStr">
        <is>
          <t>向けて構える</t>
        </is>
      </c>
      <c r="H1680" t="n">
        <v>29</v>
      </c>
      <c r="I1680" t="inlineStr">
        <is>
          <t>男女が行う場合は、身長が女性より高いであろう男性が傘を持ち構える。；パリに到着したが、このときはまだこの地に居を構えるか迷っていた。；他の多くのカメラと同様にカメラを目の位置に構える格好になる。；この空港はニューヨークに社を構えるエクゼクティブを中心に利用される。；堀の西側は早くから店を構える者が多く、中間点には町会所が置かれた。；現役引退後は大阪に本社を構えるコンサルティング会社に勤務している。；ただし、主に上級の武士は郊外などに個人的に別邸を構えることもあった。；一方、合併前のジョイの営業基盤であった山形県にも店舗を多く構える。；ギターを低い位置で構えるギタリストの場合は長めのものを選択する。；三松が愛した昭和新山に観測器具を構えるようにして像が建立されている。；マリオが自分の城を構える地域であり、海に囲まれた小島で構成されている。；調合のためには5つの都市のいずれかに拠点を構える必要がある。；このため、左手前に構えるという、独特の構えを考えたのだという。；東京都武蔵野市の事務所のほかに、ニューヨークにも事務所を構える。；特に一葉は吉原近くの竜泉に小間物屋を構えるなど当地との縁が深い。；またギターを横に構えると飛んでいるカラスのように見える。；現在は、同大学大学院の環境情報研究院に所属し、松本研究室を構える。；兵庫県内に事業の場は限られるが、国道2号を中心に各都市に多くの店を構える。；引退までアウトサイドプロテクターを使用し続けたが、立ちながら構える。；複数地域に拠点を構えるような企業の従業員に対して支給される場合が多い。；膝を深く曲げ、折り畳むように構える独特の打法で勝負強い打撃をみせた。；亀崎駅には、駅北東に工場を構える美濃窯業の専用線が接続していた。；また膠着状態になった場合に中段のまま腕を下げ、水平に構える選手も多い。；大正時代には、大阪に拠点を構えるなど三重県では最大の証券会社だった。；多くは住居を構えることができず、郊外にあるブリックフィールズ地区に収容されていた。；プレイヤーが選んだ好漢が放浪中の場合はまずは要塞を構える必要がある。；それを機に自己流で陶芸を始め、アトリエを構えるまでになっている。；黄門山に拠を構える山賊であり、その四頭領の次席で軍師を務めていた。；フランス・パリとアメリカ合衆国・ヒューストンに本社を構える。</t>
        </is>
      </c>
      <c r="J1680">
        <f>HYPERLINK("https://www.weblio.jp/content/構える", "词义详情")</f>
        <v/>
      </c>
      <c r="K1680">
        <f>HYPERLINK("https://yourei.jp/構える", "查看例句")</f>
        <v/>
      </c>
    </row>
    <row r="1681">
      <c r="A1681" t="inlineStr">
        <is>
          <t>我慢</t>
        </is>
      </c>
      <c r="B1681" t="inlineStr">
        <is>
          <t>成功</t>
        </is>
      </c>
      <c r="C1681" t="inlineStr">
        <is>
          <t>読み方：がまん
［名・形動］(スル)
１耐え忍ぶこと。こらえること。辛抱。「彼の仕打ちには—がならない」「ここが—のしどころだ」「痛みを—する」
２我意を張ること。また、そのさま。強情。
「—な彼は…外(うわべ)では強いて勝手にしろという風を装った」〈漱石・道草〉
３仏語。我に執着し、我をよりどころとする心から、自分を偉いと思っておごり、他を侮ること。高慢。
「汝仏性を見んとおもはば、先づすべからく—を除くべし」〈正法眼蔵・仏性〉
[用法]我慢・辛抱——「文句ばかり言ってないで、もっと我慢（辛抱）することを覚えなさい」のように、一般的に、こらえるの意味では相通じて用いられる。◇「仕事はきつかったが、どうにか我慢（辛抱）した」「食糧不足によるひもじさを我慢（辛抱）した」など、苦しさ・つらさ・痛さ・寒さ・くやしさなどをこらえる場合、「我慢」「辛抱」の用法にほとんど違いはない。◇「我慢」は、そのほかに「笑いだしたいのを我慢する」など、より幅広く使える。「辛抱のよい人」は「辛抱」独特の使い方である。◇類似の語に「忍耐」がある。「忍耐」は文章語的で、「忍耐を要する仕事」「忍耐力に富む」などのように用いられる。</t>
        </is>
      </c>
      <c r="D1681" t="inlineStr">
        <is>
          <t>我慢でき(14%)；我慢する(8%)；我慢しきれ；我慢出来；我慢すれ</t>
        </is>
      </c>
      <c r="E1681" t="inlineStr">
        <is>
          <t>持つ；制御；生きる；抑制；コントロール</t>
        </is>
      </c>
      <c r="F1681" t="inlineStr">
        <is>
          <t>我慢づよい；我慢できないよ；我慢すれば済む；我慢しかねる；我慢し切れ</t>
        </is>
      </c>
      <c r="G1681" t="inlineStr">
        <is>
          <t>我慢強い；我慢強く；我慢強；我慢汁</t>
        </is>
      </c>
      <c r="H1681" t="n">
        <v>29</v>
      </c>
      <c r="I1681" t="inlineStr">
        <is>
          <t>今日も我慢できずに街の高級店でかなり値の張る帽子を買ってしまった。；とうとうわたしは我慢出来ずに、思っていることを云ってしまいました。；わたしは今まで何事に限らずこんなに我慢して待ったことはなかった。；その瞬間、今まで我慢してきた怒りが爆発して組織に乗り込んで行った。；こんな処で神妙に我慢していることはもう俺には、どうしてもできんよ。；でも主人は地位を維持しようと思うなら、我慢しなきゃならないんです。；停車した車内で彼女は我慢を続けるが、ついに先輩に気づかれてしまう。；内に入れて我慢させ、直線で力の勝負に出たのがよかったのでしょう。；自分のどこかに醜いところが少しでもあれば我慢出来ないというのです。；おそらくそのために弁護士さんもこの人のこと我慢ができないのよ。；一般的にトイレが近くに無く我慢出来ない時に行われることが多い。；若い女王はその新らしく出来た翅を動かしたくて我慢がならないのだ。；あんまり静かなので、全然長いこと我慢していられないくらいなのだ。；戦後いろんな改革が進んで、女性も強くなり始めて我慢しなくなった。；余り嬉しくってじっと黙って眺めているだけでは我慢が出来ませんでした。；あなたの野望と最終目標に我慢できるほど自分は忍耐強くないからです。；この倦怠期を迎えた夫婦はお互いを我慢のならない状態になっている。；最初は香川も我慢したが、しばらくするとまたコーラに手が伸び始めた。；もうこれ以上我慢が出来ないという心境になった時、やっと式が終った。；具体的な指導方法は、尿の我慢のさせ方や、水分の取り方の調整がある。；それでも我慢出来ていましたし、初めての左回りでも鋭く伸びています。；ルソーが嫌いな人物をヒュームが弁護するのが我慢できなくなっていた。；自分はもとから我慢はできる男であるが、嘘はつけない男であった。；AV女優が、あらゆる手段を使ってキスを迫ってくるのを我慢する企画。；やがて両陣営の男性は我慢しきれなくなり、それぞれ和平の使者を出す。；この話を聞いた別の生徒は、怖がりながらも我慢できずにトイレに行った。；子供は、うれしさを我慢していることができなくなったのであります。；ある人はただ我慢してこの切なる要求を外に発せざるまでであります。；それまでの成功とは打って変わって、2008年は我慢の年となった。</t>
        </is>
      </c>
      <c r="J1681">
        <f>HYPERLINK("https://www.weblio.jp/content/我慢", "词义详情")</f>
        <v/>
      </c>
      <c r="K1681">
        <f>HYPERLINK("https://yourei.jp/我慢", "查看例句")</f>
        <v/>
      </c>
    </row>
    <row r="1682">
      <c r="A1682" t="inlineStr">
        <is>
          <t>我慢強い</t>
        </is>
      </c>
      <c r="B1682" t="inlineStr">
        <is>
          <t>成功</t>
        </is>
      </c>
      <c r="C1682" t="inlineStr">
        <is>
          <t>読み方：がまんづよい
［形］［文］がまんづよ・し［ク］
１忍耐力がある。辛抱強い。「—・い子供」
２我(が)を張る気持ちが強い。
「いかに—・い自分も自分の方が佳いとは言えなかった」〈独歩・画の悲み〉</t>
        </is>
      </c>
      <c r="D1682" t="inlineStr">
        <is>
          <t>我慢強い性格(8%)</t>
        </is>
      </c>
      <c r="E1682" t="inlineStr">
        <is>
          <t>勇敢な；しつこい；したたかな；タフな；粘り強い</t>
        </is>
      </c>
      <c r="H1682" t="n">
        <v>29</v>
      </c>
      <c r="I1682" t="inlineStr">
        <is>
          <t>我慢強い性格だったから、口に出さなかっただけなのかもしれませんが。；「我慢強い奴じゃの」 左手のあたりで低い声が感心したように言った。；コーラン第三八章四三節に「あれはたしかに我慢強い男だった」とある。；電話の向うの相手は、我慢強く、慎重に言葉を選びながら答えてくれた。；ゆっくりとした成長曲線を描いた健康優良児で我慢強い馬だったという。；女は「私」がそれらの情報をメモ用紙に書き終えるのを我慢強く待った。；イルカたちは人々が再び自分たちと交流してくれる日を我慢強く待ち続けていたのだ。；母ライオンは我慢強くなる傾向が強いが、オスの場合は時と場合による。；しかしとにかくそこに並んで、我慢強く順番を待たないわけにはいかない。；しかし蜘蛛にしてみれば、とくに我慢強いという意識もないのだろう。；「それはまだ何も証明されていないからだ」 コンラッドは我慢強く答えた。；席に戻って我慢強く待っていると、ようやくぶすっと答えてくれた。；かなり我慢強い人でも、もう地面に眠っていられなくなった。；何にしてもあの我慢強いこいさんが気が弱くなっているのはただごとではありません。；また亜美と比べて少し我慢強く、声が若干低いなどの違いがある。；すり傷にしみるかもしれないが、晃子はそういう点、我慢強い子である。；庄蔵が我慢強い性格であることは知っていたが、誰もまさかこれほどとは思っていなかった。；こっちが飽きれるぐらいの我慢強さは、子供のころの思い出を想起させる。；感情表現はほとんどしないが、孤独に耐えうる我慢強い性格と言われている。；アルクェイドは俺のまとまりの無い話をじっと我慢強く聞いている。；そんなママと暮らしている自分を、わたしはつくづく我慢強いと思う。；あれほど我慢強く、かつて愚痴ひとつ洩らしたことのない下田の婆やが。；しかし同時に俺はどこまでも有能でどこまでも我慢強い、執拗な虫けらだ。；わたしは純二が買いかぶっているような我慢強い女でも気丈な人間でもない。；支那人のやさしさと日本の女の我慢強さを小さな体の中に併せ持っていたと思う。；我慢強いといっても、一生のあいだ楽しいことばかりつづいていた人は、およそ当てにはできない。；私の周りの人はみんな我慢強い心の広い人ばかりでしあわせだ。；オルガはそのあいだ、我慢強く玄関の隅のところで待っていた。；世間には往々、このような親切を持った我慢強い心境に達した夫があるものだ。</t>
        </is>
      </c>
      <c r="J1682">
        <f>HYPERLINK("https://www.weblio.jp/content/我慢強い", "词义详情")</f>
        <v/>
      </c>
      <c r="K1682">
        <f>HYPERLINK("https://yourei.jp/我慢強い", "查看例句")</f>
        <v/>
      </c>
    </row>
    <row r="1683">
      <c r="A1683" t="inlineStr">
        <is>
          <t>髪</t>
        </is>
      </c>
      <c r="B1683" t="inlineStr">
        <is>
          <t>成功</t>
        </is>
      </c>
      <c r="C1683" t="inlineStr">
        <is>
          <t>読み方：かみ
《「上(かみ)」の意からという》
１人の頭に生える毛。頭髪。「—が伸びる」「—を結う」
２頭の毛を結った形。髪形。「今日の—はよく似合う」</t>
        </is>
      </c>
      <c r="D1683" t="inlineStr">
        <is>
          <t>髪飾り；髪を短く；髪を長く；髪毛；髪をつかん</t>
        </is>
      </c>
      <c r="E1683" t="inlineStr">
        <is>
          <t>毛；髪の毛；頭髪；ヘア；毛髪</t>
        </is>
      </c>
      <c r="F1683" t="inlineStr">
        <is>
          <t>黒い髪；赤い髪；白い髪；髪ふり乱し；髪長彦</t>
        </is>
      </c>
      <c r="G1683" t="inlineStr">
        <is>
          <t>髪型；髪形；髪結い；髪結；髪結床</t>
        </is>
      </c>
      <c r="H1683" t="n">
        <v>29</v>
      </c>
      <c r="I1683" t="inlineStr">
        <is>
          <t>また髪が増えるだけでなく、髪の質なども改善することも分かっている。；ジャンヌは戦場にいたときも監禁されていたときも髪を短く整えていた。；カードによっては髪が描かれているものと描かれていないものがある。；天保頃から江戸の女性を真似て往々髪を洗う女性が現れるようになった。；アニメでは善の人格の時の髪の色は青、悪の人格の時は灰色で描かれる。；米内は坊主頭が一般的だった他の軍人とは異なり、髪を七三に分けていた。；石鑑はこれに従ったが、髪を抜かれた長史はこの一件を石虎へ報告した。；長い黒い髪をとかしている姿が目撃されるというが、近づいてはならない。；シャンプーが髪や頭皮から油を落とすことができるのはこのためである。；髪を染めている人の場合は、髪の色に合わせて眉毛を染めることもある。；チチ同様に長く髪を伸ばした道着姿だが、顔は画面には映されなかった。；前作のデザインから、火事のためにできた傷跡を追加し、髪を短くした。；プラチナ・ブロンドの髪で知られているが、実際の髪の色は栗色である。；小さな髑髏の髪飾りは宇宙海賊になってから付け始めたものではない。；黒や茶色の髪と灰色の目を持ち、人間の中では最もノルドールに似た一族。；生徒は目に涙を浮かべて助けを求めたが、ロムニーは髪を切り続けたという。；大学時代は高校在籍時から伸ばした髪が、腰まで届くほどの長髪になる。；そのためこのころ「かんざし」と呼べば髪飾り一般を指す名称であった。；髪を逆立てているが、これは戦う時だけで普段は髪を下ろしている。；髪を切らずに伸ばしていたら、夜王と呼ばれたというエピソードがある。；髪を耳に挟むことは、品のないこととされ「耳挟み」といって嫌われた。；猫の耳のついた髪飾りあるいは演劇・コスプレのコスチュームの一種である。；老夫婦はオオヤマツミの子で、出雲国の肥河の上流、鳥髪に住んでいた。；髪がどのような様子であるかは、人物全体の印象を左右する極めて重要な部分である。；現在は症状が改善されたためか再び髪を伸ばしている。；江戸時代の将軍や大名の寝所では女性は普通髪を下ろしている。；髪が一本ある頭部はダイヤモンドより固く、頭突きが大きな武器になる。；何もしない状態から上の髪だけをアップにしたハーフアップがある。；経済的に余裕がなく、頻繁に髪の手入れができない浪人も総髪であった。</t>
        </is>
      </c>
      <c r="J1683">
        <f>HYPERLINK("https://www.weblio.jp/content/髪", "词义详情")</f>
        <v/>
      </c>
      <c r="K1683">
        <f>HYPERLINK("https://yourei.jp/髪", "查看例句")</f>
        <v/>
      </c>
    </row>
    <row r="1684">
      <c r="A1684" t="inlineStr">
        <is>
          <t>加味</t>
        </is>
      </c>
      <c r="B1684" t="inlineStr">
        <is>
          <t>成功</t>
        </is>
      </c>
      <c r="C1684" t="inlineStr">
        <is>
          <t>読み方：かみ
［名］(スル)
１《薬に他の薬を加えて調合する意から》味を付け加えること。
２あるものに、別の要素を付け加えること。「参加者の意見を—して日程を決める」</t>
        </is>
      </c>
      <c r="D1684" t="inlineStr">
        <is>
          <t>加味する(10%)；加味される(4%)；加味すれ；加味帰脾湯</t>
        </is>
      </c>
      <c r="E1684" t="inlineStr">
        <is>
          <t>香辛料；塩味；塩梅；調味料；塩加減</t>
        </is>
      </c>
      <c r="G1684" t="inlineStr">
        <is>
          <t>加味逍遥散</t>
        </is>
      </c>
      <c r="H1684" t="n">
        <v>29</v>
      </c>
      <c r="I1684" t="inlineStr">
        <is>
          <t>それが間に合わなくなっておいおいに他の材料を加味して行くのである。；独自の人間分析にこれらの統計データを加味して様々な著書が執筆された。；競技用とは二次的な要素である快適性や積載性などが加味されている。；地震工学を加味した構造物は地震に耐えるように設計されたものである。；この数字にはアイルランド共和国におけるメンバーは加味されていない。；いずれもある程度ずつ加味していると見た方が、最も納得出来るかも知れない。；以前に無礼を働いた件も加味して、真九郎は殺されかねないと思う。；つくられた馬の能力は、馬そのものの能力と戦績が加味されて決定される。；風景や建物だけでなく、俳優を用いて僅かにストーリー的な要素も加味している。；それまでも何度か味を変えているが、調整の範囲内のものである。；集団戦闘ではこの相性を加味して、隊列を入れ替えることが重要となる。；過去においては各チームの実力を加味してその都度人数が定められていた。；選考では、声やパーソナリティ、イラストなどを加味して決定している。；設定時間は、歩く速さをもとに課題解決の時間を加味して設定される。；日本語詞は、緒園凉子のものをもとに、原詞の表現を加味して作成した。；これらを加味してシステムの設計を行うことも、人間工学の分野の一つである。；従来の審査は絶対評価だけではなくある程度の相対評価も加味されていた。；基本的に前作のシステムを踏襲しながら、新たな要素を加味した形となっている。；モデルは伊勢神宮を基本とし、それに京都御所をやや加味したものである。；後にトランペットが加わってその独特の力強さを加味する事になる。；以上の話には、もちろん作者の推測が大幅に加味されている。；しかし、それを加味しても、この男のそれは異常なレベルだった。；静止状態における一〇対六は、運動を加味すると二乗の一〇〇対三六になる。；他の受容器から得られた情報も加味し、再構成して映像化される可能性があるからだ。；そういう“情実”も加味されたものであることは脇浜にはすぐにわかった。；これらを状況として加味しなければ、知識としては意味がありません。；もちろん、食事の影響も受けるため、これらも加味する必要がある。；航路は様々な要因を加味して日々変更されるが、一番の決定要因は天候である。；それが断片的に真の耳に入り、教室内の雰囲気も加味して、事態を把握した。</t>
        </is>
      </c>
      <c r="J1684">
        <f>HYPERLINK("https://www.weblio.jp/content/加味", "词义详情")</f>
        <v/>
      </c>
      <c r="K1684">
        <f>HYPERLINK("https://yourei.jp/加味", "查看例句")</f>
        <v/>
      </c>
    </row>
    <row r="1685">
      <c r="A1685" t="inlineStr">
        <is>
          <t>神</t>
        </is>
      </c>
      <c r="B1685" t="inlineStr">
        <is>
          <t>成功</t>
        </is>
      </c>
      <c r="C1685" t="inlineStr">
        <is>
          <t>読み方：かみ
１信仰の対象として尊崇・畏怖(いふ)されるもの。人知を超越した絶対的能力をもち、人間に禍福や賞罰を与える存在。キリスト教やイスラム教では、宇宙・万物の創造主であり、唯一にして絶対的存在。「—を信じる」「合格を—に祈る」「—のみぞ真実を知る」
２神話や伝説に人格化されて登場する語りつがれる存在。「火の—」「縁結びの—」
３
㋐偉大な存在である天皇をたとえていう語。また、天皇の尊称。「現人—(あらひとがみ)」
「大君は—にしませば赤駒の腹ばふ田居を都となしつ」〈万・四二六〇〉
㋑神社にまつられる死者の霊魂。
４
㋐助けられたり、恩恵を受けたりする、非常にありがたい人やもの。「救いの—が現れた」
㋑非常にすぐれた才能や技術をもつ人。「漫画の—」
㋒俗に、非常にすぐれているようす。「—対応」
５
㋐人間に危害を加える恐ろしいもの。
「虎(とら)といふ—を生け取りに」〈万・三八八五〉
㋑雷。なるかみ。
「—は落ちかかるやうにひらめく」〈竹取〉
[下接語]天つ神・出雲(いずも)の神・縁結びの神・大神・大御(おおみ)神・風の神・竈(かま)の神・河の神・国魂(くにたま)の神・国つ神・塞(さい)の神・救いの神・皇(すめ)神・田の神・鳴る神・火の神・福の神・禍(まが)神・道の神・結びの神・産霊(むすび)の神・八百万(やおよろず)の神・山の神（がみ）商い神・現人(あらひと)神・生き神・軍(いくさ)神・石神・市神・犬神・氏神・産(うぶ)神・産土(うぶすな)神・枝神・男(お)神・臆病(おくびょう)神・おなり神・竈(かまど)神・猿神・地神・式神・死に神・鎮守神・年神・天一(なか)神・霹靂(はたた)神・ひだる神・貧乏神・蛇神・箒(ほうき)神・枕(まくら)神・守り神・迷わし神・女(め)神・巡り神・疫病神・留守神</t>
        </is>
      </c>
      <c r="D1685" t="inlineStr">
        <is>
          <t>神さん；神裂；神經；神族；神教</t>
        </is>
      </c>
      <c r="E1685" t="inlineStr">
        <is>
          <t>心；主；父；精神；魂</t>
        </is>
      </c>
      <c r="F1685" t="inlineStr">
        <is>
          <t>蛇神；御神；諸神；おん神；鬼子母神</t>
        </is>
      </c>
      <c r="G1685" t="inlineStr">
        <is>
          <t>神経；神戸；神話；神々；神殿</t>
        </is>
      </c>
      <c r="H1685" t="n">
        <v>29</v>
      </c>
      <c r="I1685" t="inlineStr">
        <is>
          <t>古くから崇拝されていた神ではないために伝えられる説話は様々である。；神と人間が逆さまになっていたように精神と人間が逆さまになっている。；古くは雷と火山の神であったと思われるが、後に炎と鍛冶の神とされた。；神と神の使徒の御助けなくしてどのようにこれを獲得できるだろうか?；神の命令がこの宇宙において最後の結果を支配していると信じている。；科学が理解される以前は、神が宇宙を創造したと考えるのが自然であった。；本作に登場する神怪的なモチーフの多くはそれぞれ元となる説話がある。；教会の教理では神の恩寵は人間が認識できるものではないとされていた。；ヨーロッパの中世では広く神の存在が信じられ、神を疑う人は稀であった。；神を生み出す神話は王が神の息子であり継承者であると主張している。；もし神が最初の意味で理解されるなら、神は一人しか存在し得ないことになる。；彼等の果たす主要な役割は、神から人間へのメッセージの伝達である。；これらの意味と日本語における「神」は厳密には意味が異なるとされる。；月を神格化した、夜を統べる神であると考えられているが、異説もある。；「完全なる神は完全なる運動を造られる」と考えられていたのだった。；参拝する前に、本来は神の前に向かう前に心身を清める禊が必要である。；神は、幸福と徳の一致である「最高善」を可能にするために要請される。；この新しい生は物質性を捨て、人類史から神の世界に逃れることではない。；これらの神々の最後に生まれてきたのがイザナギ・イザナミの二神である。；神は軍令部との交渉に入ったが、作戦課長富岡定俊少将は反対であった。；哲学と宗教は共に神の存在に関連している分野である。；形式の古いラーガほど感情は抑制され、神への献身や祈りが中心となる。；神道の神の種類は、大別すると自然神と文化神の二つに分類ができる。；仏教では神は扱われないが、数多くの仏があり、神のように扱われる場合もある。；聖書を読むことで神の意図を知ることができるとされていた。；脊椎動物などでは原腸胚期の後、神経管が形成される神経胚期へと進む。；この説はポセイドーンは古くは大地を司る神であったことに由来する。；もし神が第二の前提から理解されるなら、神がただ一人であることを示すことはできない。；神の命令の範囲内で、人は自らの進路を選択する自由意志が与えられている。</t>
        </is>
      </c>
      <c r="J1685">
        <f>HYPERLINK("https://www.weblio.jp/content/神", "词义详情")</f>
        <v/>
      </c>
      <c r="K1685">
        <f>HYPERLINK("https://yourei.jp/神", "查看例句")</f>
        <v/>
      </c>
    </row>
    <row r="1686">
      <c r="A1686" t="inlineStr">
        <is>
          <t>紙</t>
        </is>
      </c>
      <c r="B1686" t="inlineStr">
        <is>
          <t>成功</t>
        </is>
      </c>
      <c r="C1686" t="inlineStr">
        <is>
          <t>読み方：かみ
《字を書くのに用いた竹のふだをいう「簡」の字音の変化という》
１植物などの繊維を絡み合わせ、すきあげて薄い膜状に作り、乾燥させたもの。情報の記録や物の包装のほか、さまざまな用途に使用。製法により、手すき紙・機械すき紙・加工紙に分けられる。手すき紙は、105年に中国後漢の蔡倫(さいりん)が発明したとされ、日本には推古天皇18年（610）に伝わり、和紙へと発達。機械すき紙は、18世紀末にフランスで成功し、パルプを用いる製造法が発明され、日本には明治期に洋紙・板紙工業が興った。仕上げ寸法はJIS(ジス)の規格によりA列とB列とがある。→A判→B判
２じゃんけんで、指を全部開いて出すしぐさ。ぱあ。
３書籍・雑誌・新聞・文書など、1を使って情報を記録したもの。特に、電子媒体に対する紙媒体のこと。「—の辞書」「議事録を—で管理する」</t>
        </is>
      </c>
      <c r="D1686" t="inlineStr">
        <is>
          <t>紙数；紙箱；紙包；紙束；紙問屋</t>
        </is>
      </c>
      <c r="E1686" t="inlineStr">
        <is>
          <t>用紙；ペーパー；懐紙；西洋紙；地紙</t>
        </is>
      </c>
      <c r="F1686" t="inlineStr">
        <is>
          <t>白い紙；包み紙；原稿紙；地方紙；広報紙</t>
        </is>
      </c>
      <c r="G1686" t="inlineStr">
        <is>
          <t>紙片；紙袋；紙面；紙上；紙切れ</t>
        </is>
      </c>
      <c r="H1686" t="n">
        <v>29</v>
      </c>
      <c r="I1686" t="inlineStr">
        <is>
          <t>ペンも紙もなかったため、これらを頭の中ですべて思い浮かべていった。；しかし、前漢代の遺跡から紙の原型とされるものが多数見つかっている。；また、これがきっかけで小説が他の文芸紙にも掲載されるようになる。；すでに話すことはできなかったが、紙に書いた言葉で一同を笑わせた。；現在ではVTRなど紙以外の記録媒体の処理用の機械も作られている。；記録員はボールの得点を記録表と呼ばれる紙に記録してゆく。；一方、機械抄きの場合は連続して紙をすくため、高速で紙を製造できる。；これは大量に生産および販売された最初の機械式紙綴器であった。；電離作用が強いので透過力は小さく、紙や数cmの空気層で止められる。；これは紙のA6サイズ程度の面積、または官製はがき程度の面積である。；狭義では、複数枚の紙が一方の端を綴じられた状態になっているもの。；ポスト紙編集委員会の支持決定は、編集室の運営とは別のものである。；また同時に、全国紙の地方紙への委託印刷も盛んに行われるようになった。；鞘は木または紙で作られるが武道店では合成樹脂製のものも見られる。；蔡倫の作った紙は優秀であったため、「蔡侯紙」と呼んで皆が使用した。；ただし区間指定・他社共通など、一部の定期券は紙式で残されている。；そのころ全国の新聞は一県一紙に統合され、掲載記事への検閲も強化されていた。；この倉の中に、憎い相手の名前を書いた紙を入れると、赤い紙が出てくる。；紙に番地を書いて見せたり、地図を指したりすればより間違いない。；デッサンでは主に紙の目を出したくないときなどに用いられる。；ジョン・レノンはデイリーメール紙を読んでいる間に曲を書き始めた。；地方ごとに印刷拠点を持つ方式は、日本の全国一般紙と同様である。；当時の絵画には、紙や小さな棒、または素手で指揮をする姿が描かれている。；また紙に偽造硬貨で線を引くと、鉛筆で書いたような跡が残ることがある。；近年では紙製でも発泡スチロールのように紙に空間を持たせたものも存在する。；買収した時点でユニオン紙は創刊から約6か月しか経っていなかった。；簡便なものは中心機構のみが可動で、それぞれの穂は紙に斜めに接する。；この会社は1959年まで州内の大きな新聞6紙のうち5紙を所有していた。；なお現在、パッケージの包み紙には「ほまれ」の文字が記載されている。</t>
        </is>
      </c>
      <c r="J1686">
        <f>HYPERLINK("https://www.weblio.jp/content/紙", "词义详情")</f>
        <v/>
      </c>
      <c r="K1686">
        <f>HYPERLINK("https://yourei.jp/紙", "查看例句")</f>
        <v/>
      </c>
    </row>
    <row r="1687">
      <c r="A1687" t="inlineStr">
        <is>
          <t>上～</t>
        </is>
      </c>
      <c r="B1687" t="inlineStr">
        <is>
          <t>成功</t>
        </is>
      </c>
      <c r="C1687" t="inlineStr">
        <is>
          <t>読み方：うえ
［名］
１位置関係で、基準とするものより高い方、高い所をいう。
㋐立体的に見て、高い所。高い場所。「一段—に上る」⇔下(した)。
㋑紙などの平面で、縦の方向で自分より遠くに離れている所。「横線より—にある点」⇔下(した)。
㋒室内。座敷。「—におあがり」
㋓順序から見て、連続する先の部分。「—に述べた事柄は…」
㋔音の高い部分。「—の音が出ない」⇔下(した)。
２物の表面。「雪の—を滑る」
３外側。「上着の—にコートを着る」⇔下(した)。
４程度・地位・年齢・能力・数量などが勝っていること。また、その人。「成績が僕より—だ」「二歳—の人」「—からの指示」「—の学校に進む」⇔下(した)。
５ある物事に関すること。「仕事の—で苦労が多い」「酒の—の失敗」「帳簿の—では黒字だ」
６ある事柄と他の事柄とを関係させていう時に用いる。
㋐…に加えて。「ねだんが安い—に、品質が優れている」
㋑…したのち。…した結果。「相談した—で返事する」「知的探検家の努力の—に現代科学は築かれている」
㋒…するため。「勉学を続けて行く—に必要な学費」
㋓（「うえは」の形で）…からには。「かくなる—はやむをえない」
７高い地位を占めている場所、または人々。
㋐高貴な人、特に主上の御座所に近い所。禁中。殿上(てんじょう)の間。
「—にさぶらふをのこども歌奉れと仰せられける時に」〈古今・秋上・詞書〉
㋑主上。天皇。後世では将軍・大名をもさす。
「—も聞こしめし、めでさせ給ふ」〈枕・二三〉
㋒貴婦人。特に奥方。
「離れ給ひし元の—は」〈竹取〉
８付近。ほとり。
「石(いは)走る垂水(たるみ)の—のさわらびの萌え出づる春になりにけるかも」〈万・一四一八〉
［接尾］
１名詞に付いて、自分または相手の目上の近親者に対する尊敬の意を表す。現代では、手紙やあらたまった場合などに用いる。「父—様」「姉—」
２貴人の妻の呼び名に付いて、尊敬の意を表す。
「紫の—にも御消息ことにあり」〈源・若菜上〉
３目上の人を表す語に付いて、尊敬の意を表す。
「故院の—の、今際(いまは)のきざみにあまたの御遺言ありし中に」〈源・若菜上〉
[下接語]兄上・姉上・雲の上・此(こ)の上・坂上・其(そ)の上・父上・年上・母上・真上・身の上・目上・床上</t>
        </is>
      </c>
      <c r="D1687" t="inlineStr">
        <is>
          <t>上；政府；先輩；体制；当局</t>
        </is>
      </c>
      <c r="H1687" t="n">
        <v>29</v>
      </c>
      <c r="I1687" t="inlineStr">
        <is>
          <t>日本の近代以前の歴史上の戦争を題材とした場合は通常時代劇と呼ばれる。；上記コードをウェブブラウザ上で実行すると、以下の結果が表示される。；ここでは以降の解説を読む上で必要な の文法規則を簡単に説明する。；母は対局が行われたNHKのスタジオから、すぐに二上に電話を入れた。；上の分類とは別に、火山体周辺で起こるものを特別に分ける場合がある。；これは厚い大気の層に阻まれた地球上の岩石には見られないものである。；衛生上の知識に関連する学問分野として次に挙げるものが知られている。；北海道ではストーンサークルが多く発掘され考古学上議論を呼んでいる。；カードの上にはボタンの他にテキストやグラフィックをおくことができた。；現在ではインターネットを利用した電子メディア上で表現されるものもある。；終盤においても以下の欠点があり、利用上の問題点となるときがあった。；歴史上、彼は多くの反権威主義的な業績を残したと受け止められている。；これは上に挙げたさまざまな集団の存在に気づかないために起こる誤認による。；この事件は近年のアメリカ史上最大の生物兵器による攻撃だと言われる。；しかしF1ドライバーの参戦は少なく、ほとんど名目上のものであった。；人類の歴史上、身体の装飾行為がいつ始まったのかは定かではない。；承認後、最終的な文章には編集上のわずかな変更しか加えることができない。；現在ではインターネットに代表される電子メディア上で表現されるものもある。；Pythonはインタプリタ上で実行することを前提に設計している。；メモリ上の実行すべき命令の位置はプログラムカウンタで指定される。；この族は元素を分類する上で最も重要な方法と考えられている。；多くの発明がそうであるように、ピアノもそれまでにあった技術の上に成立している。；このようなイメージはメモリ上のスタックの実際の構造とはあまり関係ない。；このアクションはmacOS専用であり、他のOS上では実行できない。；初回放送時のフィルムは経年劣化が著しい上に所在が不明となっている。；この中からは地球化学で と呼ばれる、地球上には存在しない岩種が発見された。；そのため、箱の上に布製の括り枕を取り付け高さを上げた枕が使用された。；ほとんどのワードはスタック上でのその効果の観点から定義される。；これらのうちのいくつかは、歴史的あるいは管理上の理由から複数の設備を持っている。</t>
        </is>
      </c>
      <c r="J1687">
        <f>HYPERLINK("https://www.weblio.jp/content/上～", "词义详情")</f>
        <v/>
      </c>
      <c r="K1687">
        <f>HYPERLINK("https://yourei.jp/上～", "查看例句")</f>
        <v/>
      </c>
    </row>
    <row r="1688">
      <c r="A1688" t="inlineStr">
        <is>
          <t>髪型</t>
        </is>
      </c>
      <c r="B1688" t="inlineStr">
        <is>
          <t>成功</t>
        </is>
      </c>
      <c r="C1688" t="inlineStr">
        <is>
          <t>読み方：かみがた
切ったり結ったりして整えた髪の形。かみかたち。ヘアスタイル。</t>
        </is>
      </c>
      <c r="D1688" t="inlineStr">
        <is>
          <t>髪型以外；髪型や着るもの</t>
        </is>
      </c>
      <c r="E1688" t="inlineStr">
        <is>
          <t>髪形；ヘアスタイル；ヘアースタイル；髪容</t>
        </is>
      </c>
      <c r="F1688" t="inlineStr">
        <is>
          <t>特徴的な髪型；奇抜な髪型；みたいな髪型；新しい髪型；短い髪型</t>
        </is>
      </c>
      <c r="H1688" t="n">
        <v>29</v>
      </c>
      <c r="I1688" t="inlineStr">
        <is>
          <t>・彼はデビュー時の髪型が好きではないが、ファンからは愛されている。；小柄なのと、簡単にまとめただけのその髪型のせいだったかもしれない。；男女とも髪型は中学生らしいものと規定されており、明確な指定はない。；次第に他の四人も坂上君のようにかっこいい髪型にしたいと考え始める。；今日ではパンクに限らず様々な文化で見ることができる髪型になっている。；しかし戦士が戦いに参加する際には、この髪型はあまり多くなかった。；関東大会編時の泥門メンバーの髪型がアニメでは全く変わっていない。；ボン・ジョヴィのファンで長いロッカーのような髪型をしたことがある。；この際は、髪型の非対称性は顔の非対称性の逆になっている必要がある。；正面から見て頭部の中心となるラインの髪が、他の部位に比べて長い髪型。；モホーク刈りと呼ばれる独特の髪型をしていることでも知られている。；第二次世界大戦直前から戦争中には、髪型に大きな規制が掛けられた。；顔の対称性は等しく分けられて顔を縁取る髪型によって強調されている。；同時期に制作された彫刻作品とも、ほぼ同じ髪型となっていることが多い。；毎年少しずつ製品は改良され、人形の髪型などが変更されていった。；ちなみにこの髪型はブラジルの漫画のキャラクターがモデルである。；この試合から髪型やコスチュームを変えて挑戦するも勝利とはならなかった。；輪郭・髪型・目・鼻・口・眉の形を、用意されたパーツの中から選ぶ。；また1980年代には髪型が似ていた事からランボーの愛称で呼ばれた。；中分けになった髪型が好きで、作品に登場するキャラクターに反映されている。；また最初期のキリスト教徒もこのような髪型であった可能性がある。；本作以降キャラクター描写が変更され、髪型や服装などが変化した。；これがどのような髪型だったのかは、当時の写真などの調査資料が待たれる。；注意されても髪型が改善していない場合には、他の生徒の前で散髪が行われる。；給仕は全て若い女性で、そのほとんどが同じポニーテールの髪型である。；全員がタマネギ風の髪型で、同じ形の眼鏡をかけ、菱形の口をしている。；しかし回想シーンにおける若い頃の彼の髪型はアフロヘアになっていた。；服以外の髪型や靴なども同様に変化し、絢爛豪華さを極めるようになった。；ヴィクトリア朝の多くを通して、多くの男性はかなり短い髪型であった。</t>
        </is>
      </c>
      <c r="J1688">
        <f>HYPERLINK("https://www.weblio.jp/content/髪型", "词义详情")</f>
        <v/>
      </c>
      <c r="K1688">
        <f>HYPERLINK("https://yourei.jp/髪型", "查看例句")</f>
        <v/>
      </c>
    </row>
    <row r="1689">
      <c r="A1689" t="inlineStr">
        <is>
          <t>噛み切る</t>
        </is>
      </c>
      <c r="B1689" t="inlineStr">
        <is>
          <t>成功</t>
        </is>
      </c>
      <c r="C1689" t="inlineStr">
        <is>
          <t>読み方：かみきる
［動ラ五（四）］物をかんで切る。食い切る。「堅い肉を—・る」</t>
        </is>
      </c>
      <c r="F1689" t="inlineStr">
        <is>
          <t>食物を噛み切る</t>
        </is>
      </c>
      <c r="H1689" t="n">
        <v>29</v>
      </c>
      <c r="I1689" t="inlineStr">
        <is>
          <t>苦痛のあまり舌を噛み切ってしまったのではないかとイレーネは思った。；電車の動揺でまだつながっている部分まで噛み切ってしまいはしないか。；自分の舌を噛み切って、永遠に話すことができないようにしたのであった。；その人間そっくりの白い歯がきりきりと指の肉を噛み切ろうとしている。；こいつは、ほとんど何も考えられなくなっているのに、舌を噛み切ったぞ!；あの時、彼女は口の中に押し込まれた男の舌を噛み切ろうとしたのだ。；かれは少なくとも、耳を噛み切られることを覚悟しなければならなかった。；遭難の責任を取り、神田は舌を噛み切って雪中で自決していたのだった。；高坂も取調中に主家に累が及ぶことを恐れて、舌を噛み切って自殺した。；彼はすでに遁れぬところと観念したのか、舌噛み切って死んでいたのである。；卜良が舌を巫氏の口のなかに入れたとたん、巫氏は舌を噛み切ってしまう。；おそらくつないであった紐を己で噛み切り森へと逃げ出したのだろう。；九十郎の手が身体に触れたら、その瞬間に舌噛み切って死のうと。；顎が半分欠けて、前歯がなくなったから、舌を噛み切ることも出来ない。；お泉という女掏摸は、人質に取られ、弥介の前で舌を噛み切って死んだ。；まるで、何か噛み切りにくいものを口いっぱいに頬張っているかのようだった。；噛み切った唇から血が滲み、小さな玉になってマリーダの眼前を舞った。；私は制服のズボンといっしょに噛み切ってやるつもりであった。；それを覚えたのは、泉が舌を噛み切って死んだときだった。；相手の指一本爪一枚噛み切っても、劣情を封じられたかもしれない。；そしてもしも、首を吊られた衝撃で舌を噛み切っていたときの用心だ。；医者が負傷した指の切除を拒否した際には、自分で噛み切った。；幹比古はそう考えて、自ら唇を噛み切ることでふらつく足に活を入れた。；車を足の上に通したり、鎖を噛み切ったりという壮絶なものである。；衝撃で舌を噛み切ってしまい、選手生命を左右する瀕死の重傷を負った。；口の中のどこか噛み切ったらしく、唇の右端から赤い血が白い肌へしたたった。；それから、舌でも噛み切ったとみえて、口や鼻からも同じように出血しています。；噛み切られた部分を拭おうともせず、グレンは舌で自らの血を舐め取った。；警部は代助が舌を噛み切ったと一瞬思ったが、実は鼻血だった。</t>
        </is>
      </c>
      <c r="J1689">
        <f>HYPERLINK("https://www.weblio.jp/content/噛み切る", "词义详情")</f>
        <v/>
      </c>
      <c r="K1689">
        <f>HYPERLINK("https://yourei.jp/噛み切る", "查看例句")</f>
        <v/>
      </c>
    </row>
    <row r="1690">
      <c r="A1690" t="inlineStr">
        <is>
          <t>紙屑</t>
        </is>
      </c>
      <c r="B1690" t="inlineStr">
        <is>
          <t>成功</t>
        </is>
      </c>
      <c r="C1690" t="inlineStr">
        <is>
          <t>読み方：かみくず
不用になった紙切れ。くず紙。「—を捨てる」「—同然となった株券」</t>
        </is>
      </c>
      <c r="D1690" t="inlineStr">
        <is>
          <t>紙屑籠(9%)；紙屑同然(4%)；紙屑買い(3%)；紙屑拾い(2%)；紙屑みたい</t>
        </is>
      </c>
      <c r="H1690" t="n">
        <v>29</v>
      </c>
      <c r="I1690" t="inlineStr">
        <is>
          <t>さて家に帰ってやって見るに一向竹にもならず、徒らに紙屑を製造する。；人が見れば紙屑のようなものでも僕にはどんな大事なものだか知れないんだからね。；それを紙屑に変えるような真似をして、わたしになんの得があると?；ゴミや紙屑はみんなこの袋のなかに入れなさいということなのでございます。；道には紙屑もごみもなく、春だというのに、空はいやに青く澄んでいた。；だって、そんな古い手紙なんか、今ではもう紙屑みたいなものですからね。；そこにも風があって、白い紙屑が生き物のように街上を走っていた。；健司の体は、家庭から出された生ゴミや紙屑と見分けがつかなくなった。；設計場では、一般の紙屑以外に、計算に使用された紙屑が数多く出る。；そのわれわれに地球が酬いたのは、われわれの金を紙屑に変えることだった。；彼女の細い体は、風に流される紙クズのように地面を何度も転がった。；それらの紙屑を籠の中から集めるのが、午後四時と定められていたのである。；いわれるままに運転手は紙屑と砂埃と屋台の煙のなかを歩いて自動車にもどった。；群衆の残して行った竹の皮や紙屑が、ただ小さい旋風に吹かれていた。；人の命を紙屑のように扱う犯罪者だって存在している。；枯れ葉や紙屑が冷たい風に吹き遊ばれて、歩道の端に追いやられている。；暗い入口の隅には、空いた炭俵の中へ紙屑を溜めるようにしてあった。；その紙屑の火から、そばにあった物置が一つ焼けてしまうことになりました。；そして、彼の足の横を吹き抜ける風が、丸められた紙屑を転ばして行く。；紙屑として売っても、一回の食事代にすらならないわずかな量だ。；豪勢な客室であったが、豪華な調度品は無数の紙屑の中に埋まっていた。；薪・木屑の入手の容易な場所で用いられ、紙屑等の焼却も可能である。；のみならずそのまた足もとには紙屑が一面に散らばっていました。；どう見ても、紙屑買い以外の何者であるとも思われません。；僕はもう一度紙屑の薔薇の花を思い出しながら、努めてしっかりと歩いて行った。；それから、おれの部屋の紙屑を勝手に持つて行かないでくれ。；二十万の刃は、十三束の身体に触れた途端、二十万の紙屑となった。；戦債は紙クズ同然となって一家は貯蓄をかなり失ったが、元々覚悟していた。；のみならずその又足もとには紙屑が一面に散らばつてゐました。</t>
        </is>
      </c>
      <c r="J1690">
        <f>HYPERLINK("https://www.weblio.jp/content/紙屑", "词义详情")</f>
        <v/>
      </c>
      <c r="K1690">
        <f>HYPERLINK("https://yourei.jp/紙屑", "查看例句")</f>
        <v/>
      </c>
    </row>
    <row r="1691">
      <c r="A1691" t="inlineStr">
        <is>
          <t>噛み締める</t>
        </is>
      </c>
      <c r="B1691" t="inlineStr">
        <is>
          <t>成功</t>
        </is>
      </c>
      <c r="C1691" t="inlineStr">
        <is>
          <t>読み方：かみしめる
［動マ下一］［文］かみし・む［マ下二］
１力を入れてかむ。「無念さに唇を—・める」
２よくかんで味わう。「するめを—・める」
３物事の味わい、深い意味などを十分に感じ取る。「平和の尊さを—・める」</t>
        </is>
      </c>
      <c r="D1691" t="inlineStr">
        <is>
          <t>理解；知っている；分かる；分る；判る</t>
        </is>
      </c>
      <c r="H1691" t="n">
        <v>29</v>
      </c>
      <c r="I1691" t="inlineStr">
        <is>
          <t>気持を抑えているのだろう、床に手をついた尾鳴は歯を噛み締めている。；敵の剣がすでに攻撃軌道に入っているのを見て、俺は歯を噛み締めた。；彼女は彼女なりに、今回の戦略的失敗を噛み締めているのかもしれない。；唇を噛み締めてでもいなければ、あっさりと自失してしまいそうだった。；打撃を受ける際には歯を噛み締めて頭部の衝撃に耐えるのが基本だからである。；唇を噛み締めたまま、由紀子はエレベーターホールへと向かおうとした。；奥歯を噛み締めるのを、間近にいる少女に気づかれないようにしながら。；「まだ何か隠してらっしゃるようですね」 剛蔵は唇を噛み締めていた。；苦痛を噛み締めながら佇立していた彼の目に入ったものがあった。；言わずにおいた言葉を、口の中で噛み締めているかのように、その唇が動いた。；軽く噛むように言っておいたのだが、ずいぶんと強く噛み締めていたようだ。；この男のように、頬を紅潮させて噛み締める類のことなんだろうか。；しっとりと汗をかいたグラスを手にしたまま、僕は唇を噛み締めた。；ただ静かに、誰にも気づかれぬよう幸福を噛み締める者がいた。；自分でも気づいていないのだろうが、奥歯を軋むほど強く噛み締めている。；彼等は過去に起きた苦い思い出を噛み締めながらその場を後にした。；その幸せを噛み締める暇もなく、グリッキンはただ雪の森の中を走り続ける。；口に残った煙草の味を噛み締めながら、わたしは空を見上げた。；知らず震えていた顎を、歯を噛み締めることで大人しくさせ、士郎を見た。；感動の余韻を深く噛み締めながら、この物語は決して忘れまいと心に誓う。；せつなげに身体を震わせ、それそれに自身の置かれた状況を噛み締めていた。；「ネットに繋いで」私は電話が終わった後もその言葉を噛み締めてました。；複雑な思いを抱きながら唇を噛み締めていると、今までと同じ口調で王女が言った。；思わず唇を噛み締めた桃山の耳に、保の声はひどく淡々として聞こえた。；やってみる価値はあるはずだ、と征人は噛み締めた歯の奥に呟いた。；ご飯を食べながら、幸福感も一緒に噛み締めているような感覚である。；レイフォンは唇を噛み締めて走り、背後で鋼糸に狂乱の踊りを踊らせる。；盆の右側に座った張り方たちから、奥歯を噛み締める唸り声が上がった。；二人は静かにそこに佇み、二人の未来を噛み締めているような風情。</t>
        </is>
      </c>
      <c r="J1691">
        <f>HYPERLINK("https://www.weblio.jp/content/噛み締める", "词义详情")</f>
        <v/>
      </c>
      <c r="K1691">
        <f>HYPERLINK("https://yourei.jp/噛み締める", "查看例句")</f>
        <v/>
      </c>
    </row>
    <row r="1692">
      <c r="A1692" t="inlineStr">
        <is>
          <t>剃刀</t>
        </is>
      </c>
      <c r="B1692" t="inlineStr">
        <is>
          <t>成功</t>
        </is>
      </c>
      <c r="C1692" t="inlineStr">
        <is>
          <t>読み方：かみそり
《「髪(かみ)剃り」の意》
１頭髪・ひげなどをそるのに用いる刃物。切っ先がなく、刃が薄く、鋭利。こうぞり。
２切れ味が鋭いさま、また、才気鋭く、物事の処理が速く巧みなさまや人のたとえ。「—の頭脳」「—パンチ」
[補説]作品名別項。→剃刀</t>
        </is>
      </c>
      <c r="D1692" t="inlineStr">
        <is>
          <t>剃刀を当て；剃刀屋；剃刀みたい；剃刀箱</t>
        </is>
      </c>
      <c r="E1692" t="inlineStr">
        <is>
          <t>剃り；カミソリ；髪剃</t>
        </is>
      </c>
      <c r="F1692" t="inlineStr">
        <is>
          <t>日本剃刀；二梃剃刀</t>
        </is>
      </c>
      <c r="G1692" t="inlineStr">
        <is>
          <t>剃刀負け；剃刀花</t>
        </is>
      </c>
      <c r="H1692" t="n">
        <v>29</v>
      </c>
      <c r="I1692" t="inlineStr">
        <is>
          <t>女房は顎を大事に抱きあげるやうにして自分の首を曲げて剃刀を動かす。；剃刀の柄を握っている、と気づいたとき、彼は、スタジオのなかにいた。；剃刀のいたむことといったらものの三日も研がなければならないだろう。；中年の僧が衣の上にたすきを掛け剃刀を持っておさとのうしろに立った。；まだ汝はあの女に未練があるのかいと俺の眼が剃刀の下からにつと笑ふ。；弟は剃刀を抜いてくれたら死なれるだろうから、抜いてくれと云った。；一通り剃刀をあててクリームがなくなってもまだあちこちに毛が残っている。；剃刀のように鋭い穂先のどれも、彼女のすぐ近くまでも達しなかった。；剃刀で顎の辺りを切られたのは、そうして女の子と話をしていたときだった。；此男の当り芸は、かつて芸術座の須磨子とやった剃刀と云う芝居だった。；「私の手に剃刀があるときは黙っていてほしいわね」と菊栄がいった。；もちろん慣れた人はナイフ型剃刀を使っても無傷のまま剃り上げます。；といって、家政婦に頼んで医師の使う剃刀道具を借りるのも気がひける。；帰敬式では、刃の無い儀式用の剃刀で頭をなでるだけで剃髪は行わない。；でも、その限が、剃刀のように鋭く光っているのは何うしたのであろう。；一日でも剃刀を当てないと、両頬の上のほうまで黒くなるのであった。；髪の毛は明るい鳶色で、顎髯にはほとんど剃刀が当てられていなかった。；眠りこんだ彼女をベッドに寝かせ、剃刀で左手首を切ったのではないか。；剃刀を当てたのが効果あってか、私の髪はふさふさと黒い髪となった。；剃刀とは皮膚の表面の髪や体毛、髭を除去するための刃物のことである。；掻き切った彼の手をはなれた剃刀は、勢いよく小窓から外にとんだのだ。；かつて一人のお母さんが鋭い剃刀で赤坊の頭を剃っていたのを見たことがある。；好くも切れない剃刀で、彼は唇の周囲の腫れ上るほど力を入れて剃った。；いま、お前さんが台所で、剃刀を持って行くって声が聞えたでしょう。；急に剃刀の手を止めた女の面が美しいものになりました。；十回以上、失敗した後、やっと、私の右指は剃刀を手にすることが出来た。；夕方四谷の三輪会館に行くと、もういっぱいの人で、舞台は例の剃刀だった。；私は剃刀だけを手に、ドアに体当たりする勢いで部屋を飛び出した。；他の部屋ではソ連兵に引きずり出されるときに剃刀で自殺を図った女性もいた。</t>
        </is>
      </c>
      <c r="J1692">
        <f>HYPERLINK("https://www.weblio.jp/content/剃刀", "词义详情")</f>
        <v/>
      </c>
      <c r="K1692">
        <f>HYPERLINK("https://yourei.jp/剃刀", "查看例句")</f>
        <v/>
      </c>
    </row>
    <row r="1693">
      <c r="A1693" t="inlineStr">
        <is>
          <t>過密</t>
        </is>
      </c>
      <c r="B1693" t="inlineStr">
        <is>
          <t>成功</t>
        </is>
      </c>
      <c r="C1693" t="inlineStr">
        <is>
          <t>読み方：かみつ
［名・形動］
１込みすぎていて、少しのゆとりもないこと。また、そのさま。「—なスケジュール」「—ダイヤ」
２特に、人口・建物などがある地域に集中しすぎていること。また、そのさま。「—都市」⇔過疎。
[派生]かみつさ［名］</t>
        </is>
      </c>
      <c r="D1693" t="inlineStr">
        <is>
          <t>過密状態(17%)；過密スケジュール(10%)；過密なスケジュール(5%)；過密ダイヤ(4%)；過密都市(3%)</t>
        </is>
      </c>
      <c r="E1693" t="inlineStr">
        <is>
          <t>いっぱい；混雑；満員；ラッシュ；人混み</t>
        </is>
      </c>
      <c r="G1693" t="inlineStr">
        <is>
          <t>過密日程；過密地域</t>
        </is>
      </c>
      <c r="H1693" t="n">
        <v>29</v>
      </c>
      <c r="I1693" t="inlineStr">
        <is>
          <t>このため、過密を解消するには面積を拡大するか人口を減らすしかない。；課目は過密であり、生徒に考える余裕を持たせないように図られていた。；すなわちルアサ城砦だが、しかしここもまた数世代後には過密になった。；それに伐採の影響で過密状態になって伝染病がひろがっているほどです。；世界的にみて素粒子論の研究者は過密状態におかれているように思われる。；なお、大きな地域実力差と過密な試合間隔に関しては課題が残っている。；なお、大きな地域実力差と過密な試合日程に関しては課題が残っている。；あまりの過密ダイヤに運転手の数が足りないというのだから驚きだ。；機関長だけは苦虫をかみつぶしたような顔をしていたが、何もいわず。；ガナノクエにはカナダ国内で最も過密な交通路が3本接続している。；船長ノルマンは、苦が虫をかみつぶしたようなかおをして、聞いていた。；おそらく、苦虫をかみつぶしたような顔で酒を飲んでいたのだろう。；関東を担当するこのチームには日本で最も過密な空を管轄するだけあり、次々と事件や事故が起こる。；だがそれは、電磁波の過密する大都市が狙われることを示唆していた。；窓から外を見ると、空は民間機と軍用機のラッシュで過密状態だった。；当時のロンドンは既に過密状態で、渋滞や交通事故も少なくなかったという。；この空の旅の増加は、空域の過密問題と環境問題をもたらしている。；グロスター高校を改修する計画があるが、人口増加のために過密状態にある。；だがルアサ城砦と呼ばれるこの居住地も数世代後には過密になった。；さらに香港全土が世界有数の人口の過密地帯へ変わることになる。；これは主として過密またはその逆の状態の基準としている。；これらの寄生虫の卵は人口が過密なシナの川の水に大量に含まれていることは疑いもないからである。；これはゴミや過密よりも下水管ガス、汚染した水、ミルクが原因である。；都の過密した建物群、恐ろしいばかりの人通り、いずれも故郷の比ではない。；続いて他のボイラーも爆発し、過密状態の船内は大混乱になった。；これは、ある生息地が過密になった場合に、新たな生息地を開発することができる効果があると考えられる。；過密から発生する問題としては、以下のような点が挙げられる。；非常に過密状態で、本来計画された建物の収容可能人数の約2倍以上の囚人を抱えている。；縮退都市は一時期、より過密であり、その規模のインフラを抱えている。</t>
        </is>
      </c>
      <c r="J1693">
        <f>HYPERLINK("https://www.weblio.jp/content/過密", "词义详情")</f>
        <v/>
      </c>
      <c r="K1693">
        <f>HYPERLINK("https://yourei.jp/過密", "查看例句")</f>
        <v/>
      </c>
    </row>
    <row r="1694">
      <c r="A1694" t="inlineStr">
        <is>
          <t>雷</t>
        </is>
      </c>
      <c r="B1694" t="inlineStr">
        <is>
          <t>成功</t>
        </is>
      </c>
      <c r="C1694" t="inlineStr">
        <is>
          <t>読み方：いかずち
《「厳(いか)つ霊(ち)」の意。「つ」は助詞》かみなり。なるかみ。《季夏》「—に松籟(しょうらい)どっと乱れ落つ／茅舎」</t>
        </is>
      </c>
      <c r="D1694" t="inlineStr">
        <is>
          <t>雷刀(2%)；雷跡；雷装；雷郎；雷威</t>
        </is>
      </c>
      <c r="E1694" t="inlineStr">
        <is>
          <t>咎め；稲妻；叱責；電光；叱咤</t>
        </is>
      </c>
      <c r="F1694" t="inlineStr">
        <is>
          <t>落雷；被雷；精霊雷；轟雷；迅雷</t>
        </is>
      </c>
      <c r="G1694" t="inlineStr">
        <is>
          <t>雷鳴；雷雨；雷電；雷神；雷管</t>
        </is>
      </c>
      <c r="H1694" t="n">
        <v>29</v>
      </c>
      <c r="I1694" t="inlineStr">
        <is>
          <t>古くは雷と火山の神であったと思われるが、後に炎と鍛冶の神とされた。；雷か大砲のような音がし、ガラスが割れるなどの被害が出ることもある。；いずれも雷に関連する名前であり、雷の精だったのではないかといわれる。；原作でもそれに則ったのか、27巻の表紙でも青い雷で表現されている。；落雷に驚いて木から落ちたモモンガなどから想像されたともいわれている。；この実験で雷が電気であることを示し、それに基づいて避雷針を発明した。；火・水・風・雷・光の五属性があり、個人によって得意な属性は異なる。；特に送信所から遠い場所、一部の家電品の近くや雷発生時に起きやすい。；雨と雷が去ったのち、兵たちが玉座を見ると、王の姿はどこにもなかった。；日本艦隊は触雷原因が機雷か潜水艦によるものか判断できず、混乱した。；これを捕まえようとしたその時、大きな雷が鳴り響き、女の姿は消えた。；陳発科は笑顔で応じ、雷台に上がると李剣華にかかってくるよう促した。；直孝がその猫に近づいたところ、先ほど雨宿りをしていた木に雷が落ちた。；ここの雷台地区には雷台漢墓という後漢の張将軍の一族の墓地がある。；雷を発生させる雲を雷雲と呼び、その時に雲は帯電状態となっている。；また、あまりにもくだらない答えを言った場合は即座に雷が落とされる。；矢車は後に名跡を雷に変更したため、部屋の名称も雷部屋へ変わった。；特に動物もの・夫婦もの・雷のお松の登場する噺などを得意とする。；中部はアメリカの雷首都とも呼ばれ、国内のどこよりも雷発生回数が多い。；それに続いて潜水艦や雷跡発見の報告があり、艦隊は混乱した。；師の使いで日本を訪れた雷鳳と人斬り時代の雷蔵の出会いが描かれる。；もしかしたら、実際に雷に打たれた可能性があるとする指摘もある。；しかしその前を進撃していた扶桑は魚雷に気づかず右舷中央に被雷する。；この地域では降雨の前に雷と雷がよく降り、積乱雲と雨が天候を支配する。；近くの公園に居たリカはヘアピンで落雷自殺をしようとしていた。；クモクモーン自体の能力は全般的に下がったが、新たに雷攻撃を覚えた。；使用する魔法は黒の魔法と本来持っていた雷の魔法。；枕元に立てかけていた刀千鳥でその雷の中にいたを切ったとされる。；後にテレビアニメで雷役を演じる檜山修之は名もない兵士役であった。</t>
        </is>
      </c>
      <c r="J1694">
        <f>HYPERLINK("https://www.weblio.jp/content/雷", "词义详情")</f>
        <v/>
      </c>
      <c r="K1694">
        <f>HYPERLINK("https://yourei.jp/雷", "查看例句")</f>
        <v/>
      </c>
    </row>
    <row r="1695">
      <c r="A1695" t="inlineStr">
        <is>
          <t>髪の毛</t>
        </is>
      </c>
      <c r="B1695" t="inlineStr">
        <is>
          <t>成功</t>
        </is>
      </c>
      <c r="C1695" t="inlineStr">
        <is>
          <t>読み方：かみのけ
頭の毛。頭髪。かみ。</t>
        </is>
      </c>
      <c r="D1695" t="inlineStr">
        <is>
          <t>髪の毛をつかん；髪の毛一筋；髪の毛を長く；髪の毛を逆立て；髪の毛を短く</t>
        </is>
      </c>
      <c r="E1695" t="inlineStr">
        <is>
          <t>髪；毛；頭髪；ヘア；毛髪</t>
        </is>
      </c>
      <c r="F1695" t="inlineStr">
        <is>
          <t>黒い髪の毛；赤い髪の毛；短い髪の毛；美しい髪の毛；豊かな髪の毛</t>
        </is>
      </c>
      <c r="H1695" t="n">
        <v>29</v>
      </c>
      <c r="I1695" t="inlineStr">
        <is>
          <t>僕はお宗さんの髪の毛も何か頭の病気のために薄いのではないかと思つてゐる。；サッカーボールに髪の毛・目・口・手・足があると言う姿をしている。；黒い髪の毛がハッキリ見える位ですから、人間の死体に違いありません。；お母さんも髪の毛のあるお祖父さんは何うも思い出せないと言っている。；わたしはその子のブロンドの髪の毛と水色の眼にキスをしてやりました。；その一インチでも価に積もれないほど貴重な記念品になるその髪の毛を。；芸者の髪の毛を二三本貰って、白シャツのボタンへ絡ませて置くんだよ。；その時彼女の髪の毛に著しく白いものが見えて来たのに気がついた。；やがて王に呼ばれると髪の毛も燃えることなく火の中から出てきた。；お宗さんは髪の毛の薄いためにどこへも縁づかない覚悟をしてゐた。；この段階から髪の毛に限らず全身のあちこちに出来ることもある。；もぢやもぢやした髪の毛の中には、山羊のやうな角が二本、はえてゐる。；書斎へ上ったり店へ下りたりして、いつもの癖で無暗に髪の毛を掴んだ。；髪の毛はひどくちぢれて、大仏の頭のように、無数の玉になっています。；髪の毛はゴム状の太い毛がメデューサのように数十本ほど生えている。；多数の長い触手の棚引く様子が髪の毛を思わせることからこの名がついた。；また、男性の場合は髪の毛を襟首より下に伸ばすことが禁じられていた。；そして遺体を空中に放ってから投げ出し、髪の毛をつかんで遺体を叩いた。；「彼の顔はきれいで、髪の毛はよく櫛が通っていた」とヤダヴは言った。；そしてお葉の手の美しい事、髪の毛の多いことなどを話して彼等は帰って行った。；この香いは、死んだ妻が髪の毛につけていた香油の香いそっくりだ。；目も髪の毛もみんなおまえのもので、だれもおまえから取ることができはしない。；女性の間で洋髪が流行して、七三分け・髪の毛の耳隠しなどが行われた。；そして、彼に垂れかかっている彼女の髪の毛は彼から光を除けていた。；第一私はあなたの髪の毛一すじでも黒くしあるいは白くする力はない。；世の中には三年経つても髪の毛一本生えない頭もあるのだから。；そうすると一挙一動する度に髪の毛と一緒にふんわり匂いがするという。；法科学的な意味での証拠と認められたのは一本の髪の毛だった。；その頃の独特のヘアースタイルは瞬間接着剤を髪の毛に付けたものである。</t>
        </is>
      </c>
      <c r="J1695">
        <f>HYPERLINK("https://www.weblio.jp/content/髪の毛", "词义详情")</f>
        <v/>
      </c>
      <c r="K1695">
        <f>HYPERLINK("https://yourei.jp/髪の毛", "查看例句")</f>
        <v/>
      </c>
    </row>
    <row r="1696">
      <c r="A1696" t="inlineStr">
        <is>
          <t>噛む</t>
        </is>
      </c>
      <c r="B1696" t="inlineStr">
        <is>
          <t>成功</t>
        </is>
      </c>
      <c r="C1696" t="inlineStr">
        <is>
          <t>読み方：かむ
［動マ五（四）］
１上下の歯で物を挟んだり、砕いたりする。「悔しさで唇を—・む」「よく—・んで食べなさい」
２歯を立てて傷つける。「舌を—・む」「蛇に—・まれる」
３歯車の歯などがぴったりと合わさる。「ギアが—・む」
４水の流れが激しくぶつかる。「岩を—・む激流」
５くわだて・事件などに関係を持つ。「計画には彼が一枚—・んでいる」
６（放送・演劇で）言葉を言い間違えたり、なめらかに話せなかったりする。「台詞(せりふ)を—・む」
７強く説きふせる。また、しかりつける。
「義経といひ秩父といひ、大抵では—・まれぬ相手」〈浄・盛衰記〉
[可能]かめる
[下接句]飼い犬に手を噛まれる・噛む馬はしまいまで噛む・牙(きば)を噛む・窮鼠(きゅうそ)猫を噛む・唇を噛む・砂を噛む・二鼠(にそ)藤(ふじ)を噛む・歯を噛む・臍(ほぞ)を噬(か)む</t>
        </is>
      </c>
      <c r="D1696" t="inlineStr">
        <is>
          <t>噛むような思い；噛むような味；噛むような虚し；噛む噛むえんぶり棒；噛むえんぶり棒</t>
        </is>
      </c>
      <c r="E1696" t="inlineStr">
        <is>
          <t>咀嚼；かむ；噛みつく；かみつく；食いつく</t>
        </is>
      </c>
      <c r="F1696" t="inlineStr">
        <is>
          <t>噛めば噛む；強く噛む；よく噛む；噛むほど味；入れて噛む</t>
        </is>
      </c>
      <c r="H1696" t="n">
        <v>29</v>
      </c>
      <c r="I1696" t="inlineStr">
        <is>
          <t>その時に、舌を出していたので舌を噛んで死んだように見えたのだろう。；さうして瘠せて行く土を更に骨まで噛むやうなことをして居るのである。；蝶番が砂を噛む音をあげて、扉は壁に開いた闇の領土を拡大していった。；僕や他の人々は馬が噛んだのかと思って心配したがそうではなかった。；いかにも噛む力の強そうな小さな顎がまッ赤な下唇をかすかに見せている。；ねえ、噛まれたとき血が出たようだったら、早く町に帰ったほうがいい。；刺激毛が目や粘膜に付着したときや噛まれたときの痛みも相当に激しい。；かすが噛んだ本人の手から自身に付いた場合は本人がしゃべる事になる。；たぶん、子供の頃に近所の犬に石を投げて噛まれたことがあるからだろう。；ひょっとしたら房五郎は以前に女に噛まれた経験があるのかもしれない。；いつもガムを噛んでいて、あまり良い階級の人間ではないように思える。；犬どもに裾を噛まれているような気がして何度振り返って見たことか。；あとで調べると二人の馬は狼どもに噛み裂かれて血だらけになっていた。；けれども、その中の一人はドアから一歩はいったとたんに唇を噛んだ。；開いて見ると扉に、裸の女が差し出すリンゴを噛む裸の男の絵があった。；この件で長門に噛まれる必要がなかったのは本人がついてきているからか。；雄の個体はダルマザメに噛まれた跡などの引っかき傷があることが多い。；キンマの犬に噛まれた腕を押さえ、足をひきずって闇の中へ消えていく。；主人に反抗して噛むときでも傷をつけないように注意しているものだ。；彼女が代表のこのグループが、黒犬に噛まれたと訴えた人たちだった。；と臆病な取越し苦労をして私は未練のあまり思はず唇を噛むのであつた。；そして歯で噛むと、肉は舌の奥に牛の蜜をそっと送り込んでくれるのだ。；俺は亜佐美の口を押さえ、なんとか黙らそうとしたが手を強く噛まれた。；彼は胸のポケットから葉巻を一本とり出すと、無造作に端を噛みきった。；軌道は地面を噛み、亀は疎外地への門にむかってゆっくり動いていった。；一瞬、目の奥に希望の色が走ったが、彼女は唇を噛んで感情を殺した。；夢中になっていたので、あたしは薔薇の花びらを噛んでしまうのでした。；かれが彼女を捕まえると、彼女はかれの手を噛み、ついで悲鳴を上げた。；自分の舌を噛み切って、永遠に話すことができないようにしたのであった。</t>
        </is>
      </c>
      <c r="J1696">
        <f>HYPERLINK("https://www.weblio.jp/content/噛む", "词义详情")</f>
        <v/>
      </c>
      <c r="K1696">
        <f>HYPERLINK("https://yourei.jp/噛む", "查看例句")</f>
        <v/>
      </c>
    </row>
    <row r="1697">
      <c r="A1697" t="inlineStr">
        <is>
          <t>加盟</t>
        </is>
      </c>
      <c r="B1697" t="inlineStr">
        <is>
          <t>成功</t>
        </is>
      </c>
      <c r="C1697" t="inlineStr">
        <is>
          <t>読み方：かめい
［名］(スル)盟約に加入すること。団体や組織に一員として加わること。「国連に—する」</t>
        </is>
      </c>
      <c r="D1697" t="inlineStr">
        <is>
          <t>加盟する(12%)；加盟国(6%)；加盟団体(2%)；加盟校；加盟申請</t>
        </is>
      </c>
      <c r="E1697" t="inlineStr">
        <is>
          <t>所属；合併；加入</t>
        </is>
      </c>
      <c r="F1697" t="inlineStr">
        <is>
          <t>eu加盟；nato加盟；準加盟；国連加盟；未加盟</t>
        </is>
      </c>
      <c r="G1697" t="inlineStr">
        <is>
          <t>加盟店；加盟局；加盟者</t>
        </is>
      </c>
      <c r="H1697" t="n">
        <v>29</v>
      </c>
      <c r="I1697" t="inlineStr">
        <is>
          <t>アメリカ合衆国に加盟する前に独立国家であった4つの州の1つである。；つまり、これらの条約に加盟していない国との関係で問題になるに過ぎない。；また、アメリカが加盟を拒否したことで、連盟の力は制限されていた。；現在では多くの国々がUPUに加盟しているためそのようなことはない。；様々な組織の行事にも大学が加盟する組織で活動・出場するのが一般的である。；連盟加盟国の中で、このような屈辱を受けたのはソ連だけであった。；この時点ではまだ声優個人としての日本俳優連合への加盟はできない。；日本人も多く活躍しており、最初に加盟したのは貫戸朋子であった。；これらの実績により、水戸はJリーグから加盟継続が正式に承認された。；どちらも国際連合に加盟し、半島唯一の主権国家であると主張している。；競技規則を整備し加盟団体の統括と世界的な競技大会の運営を担う。；WFCに加盟する日本の代表団体は日本カイロプラクターズ協会である。；当時の日本はまだ工業所有権の保護に関するパリ条約に加盟していなかった。；さらに、どちらの組織にも加盟していないルター派州教会が2つある。；世界陸連は6地域に分類された212の国・地域の加盟団体を傘下に持つ。；加盟の過程はヨーロッパの統合と表現されることもある。；黄色で表示されている国が新たに加盟したルーマニアとブルガリア。；以下の放送局は、NNS加盟期間中も、本大会に一度も参加しなかった。；このため、両局は発足当初からJRN・NRN両方とも加盟している。；連盟に最後に加盟したのは、1937年5月26日加盟のエジプトだった。；独立直後の2002年7月にはポルトガル語諸国共同体に加盟している。；西アフリカ諸国経済共同体にも加盟し、世界貿易機関にも加盟している。；加盟協会に所属するクラブチームの成績を元にしたランキング。；大会を支えているのは関東学連に加盟している加盟校である。；このためにアメリカ合衆国への加盟順は8番目になっている。；同年春には大手加盟先との契約が終了し、150店を超える店舗の閉鎖を進めていた。；ドイツの全ての州教会はドイツ福音主義教会に加盟している。；またムスリムの人口比率は高くはないがイスラム協力機構に加盟している。；この二つの性格の異なる州教会が一つに統合されたが、加盟組織との関係はそのまま維持されている。</t>
        </is>
      </c>
      <c r="J1697">
        <f>HYPERLINK("https://www.weblio.jp/content/加盟", "词义详情")</f>
        <v/>
      </c>
      <c r="K1697">
        <f>HYPERLINK("https://yourei.jp/加盟", "查看例句")</f>
        <v/>
      </c>
    </row>
    <row r="1698">
      <c r="A1698" t="inlineStr">
        <is>
          <t>画面</t>
        </is>
      </c>
      <c r="B1698" t="inlineStr">
        <is>
          <t>成功</t>
        </is>
      </c>
      <c r="C1698" t="inlineStr">
        <is>
          <t>読み方：がめん
１描かれている絵の表面。
２映画やテレビなどの映像。「—が乱れる」
３フィルムや印画紙に焼きつけられた映像。</t>
        </is>
      </c>
      <c r="D1698" t="inlineStr">
        <is>
          <t>画面上(4%)；画面右(2%)；画面内；画面中央；画面下部</t>
        </is>
      </c>
      <c r="E1698" t="inlineStr">
        <is>
          <t>映像；イメージ；画像；動画；ムービー</t>
        </is>
      </c>
      <c r="F1698" t="inlineStr">
        <is>
          <t>タイトル画面；大画面；ゲーム画面；メニュー画面；選択画面</t>
        </is>
      </c>
      <c r="G1698" t="inlineStr">
        <is>
          <t>画面表示；画面サイズ；画面解像度；画面アスペクト比；画面タッチ</t>
        </is>
      </c>
      <c r="H1698" t="n">
        <v>29</v>
      </c>
      <c r="I1698" t="inlineStr">
        <is>
          <t>宇宙での戦いをイメージした固定画面型のシューティングゲームである。；画面で必要な文型と単語を選択することで文章を構成することができる。；若干画面が湾曲したテレビも一時流行したが同様にあまり普及しなかった。；あらかじめ指定したキャラクターが画面外から登場し攻撃などを行う。；イーカロスは画面右下に小さく描かれ、海に墜落し足だけが見えている。；手前側の道路も含めて画面に見える区域の全てが元は貯木場だった。；画面は升目状に区切られており、いくつかの種類の駒が配置されている。；上画面には従来作品ではスクロールアウトしたブロックが表示されている。；なお、すると、結果の画面でブロックくずしができるようになっている。；数字の100の位は画面の対角線長のインチ単位の1の位を示している。；魚群探知機の周波数が高いと、より詳細な画面情報が取得しやすくなる。；画面の下には選択用の左右ボタンと決定用のスタートボタンがある。；もちろん、横画面表示など従来から使われている画面設定も搭載している。；中にはバトル画面を用いた演出などのお遊び要素やサウンドテストもある。；スマートフォンアプリ版では画面の太鼓を直接指でタッチして操作する。；電子書籍とは、紙ではなく電子的に記録され、画面で読む本や雑誌をいう。；この内、韓国語版のみタイトル画面もオリジナルの物を使用している。；番組終了後にはゲーム中の成績を暗号化したパスワードが画面に表示された。；画面左下には、味方全体で共有されている緑色のゲージが表示されている。；既に撃ってストックされたパワーブロックは、画面下に表示されている。；タイトル画面から自由にフェーズを選んでスタートすることが可能。；リアスクリーンは明室環境での比較的小画面での映像投射に適している。；まれにこの演出すら発生しないまま商品購入状態の初期画面にされる場合もある。；しかもほとんどは、テレビ画面などとは関係の無いアルバイトである。；戦闘画面は3Dとなっており、より臨場感のある戦闘が繰り広げられる。；現存する映像はすべてテレビ画面をフィルムカメラで撮影し編集したものである。；後に、画面Ceefax文字システムによりテレビで利用可能となった。；なお、その際に表示される画面の地名には唯一振り仮名がふってある。；画面上部の2箇所にハッチがあり、ハームフルと呼ばれる敵が出現する。</t>
        </is>
      </c>
      <c r="J1698">
        <f>HYPERLINK("https://www.weblio.jp/content/画面", "词义详情")</f>
        <v/>
      </c>
      <c r="K1698">
        <f>HYPERLINK("https://yourei.jp/画面", "查看例句")</f>
        <v/>
      </c>
    </row>
    <row r="1699">
      <c r="A1699" t="inlineStr">
        <is>
          <t>科目</t>
        </is>
      </c>
      <c r="B1699" t="inlineStr">
        <is>
          <t>成功</t>
        </is>
      </c>
      <c r="C1699" t="inlineStr">
        <is>
          <t>読み方：かもく
１いくつかに分けたそれぞれの項目。「予算—」
２学問の区分。特に、学校で教科を分野別に分類したもの。課目。「選択—」
３古く、中国での官吏登用試験の類別。→科挙</t>
        </is>
      </c>
      <c r="D1699" t="inlineStr">
        <is>
          <t>科目免除；科目ごと；科目別；科目群；科目合格</t>
        </is>
      </c>
      <c r="E1699" t="inlineStr">
        <is>
          <t>目；部；点；種；品</t>
        </is>
      </c>
      <c r="F1699" t="inlineStr">
        <is>
          <t>専門科目；各科目；必須科目；全科目；授業科目</t>
        </is>
      </c>
      <c r="G1699" t="inlineStr">
        <is>
          <t>科目履修生</t>
        </is>
      </c>
      <c r="H1699" t="n">
        <v>29</v>
      </c>
      <c r="I1699" t="inlineStr">
        <is>
          <t>進路希望や興味・関心にあわせて科目を選択するシステムになっている。；高校では数学は1位となったものの、他の科目の成績は悪いままだった。；商業系の科目を重視しており、様々な資格の取得にも力を入れている。；科目選択制であるため、生徒によって授業の予定が大きく異なっている。；ほとんどの授業はその科目を選択した生徒によるレッスンクラスで実施。；その分野の学生のための数限りなく多様な科目が用意されている。；多彩な科目、多様な難易度の中から自分で授業を選択することができる。；ハイレベルな言語運用能力獲得に向けエキスパート科目も提供している。；多様な科目に対応しているのが特徴であり、非常勤講師の採用も多い。；履修したすべての科目で単位を修得すると言う意味で使われる場合もある。；基礎科目や一部の総合科目はクラスごとに受講する授業が指定されている。；そのかわりに導入されたのが科挙制度即ち科目別の試験制度である。；一般には、1回の受験で合格するために、必要な全ての科目を選択する。；一方で英語の科目などは3年時以降も配当されるところが増えている。；ただし、現在では科目ごとの詳細な成績を開示している自治体もある。；基本的な分野であるため、講義科目や教科書名で多用される用語である。；国立大学二次試験・私立大学一般入試で試験科目としている大学はない。；必要な科目に全て合格、または免除を受けることで高卒認定合格となる。；教養部が解体されたのちも全学教育科目の大部分はこの地区で行われていた。；一部に商業などの専門科目や学校設定教科・科目を履修する学校もある。；どの科目もシラバスと呼ばれる授業計画に沿って授業が行なわれる。；各科目の連携が必要であり、幅広い知識と経験の医師の協力が欠かせない。；生徒は各系列の開講科目のなかから、希望に応じて自由に科目を選択する。；試験科目が多いこともあって他の無線従事者よりも要求される技術が非常に高い。；海軍委託学生は海軍兵学校生より運動系の科目の内容は緩和されていた。；以来、米国では正式科目として採用する大学も多く、各地で行われている。；教育者は、それぞれの科目に専門の医師や鍼灸師が行うのが一般的である。；高2より科目選択制となり、進路に対応したカリキュラムとなっている。；一科目だけなら4000円を切ったため、富裕層でなくても受講できた。</t>
        </is>
      </c>
      <c r="J1699">
        <f>HYPERLINK("https://www.weblio.jp/content/科目", "词义详情")</f>
        <v/>
      </c>
      <c r="K1699">
        <f>HYPERLINK("https://yourei.jp/科目", "查看例句")</f>
        <v/>
      </c>
    </row>
    <row r="1700">
      <c r="A1700" t="inlineStr">
        <is>
          <t>醸し出す</t>
        </is>
      </c>
      <c r="B1700" t="inlineStr">
        <is>
          <t>成功</t>
        </is>
      </c>
      <c r="C1700" t="inlineStr">
        <is>
          <t>読み方：かもしだす
［動サ五（四）］ある気分や感じなどを作り出す。「楽しい雰囲気を—・す」</t>
        </is>
      </c>
      <c r="D1700" t="inlineStr">
        <is>
          <t>放つ；散らす；作り上げる；撒く；発散する</t>
        </is>
      </c>
      <c r="H1700" t="n">
        <v>29</v>
      </c>
      <c r="I1700" t="inlineStr">
        <is>
          <t>おそらくそれらは独創的な味を醸し出すのであろう事は想像に難くない。；メロウなトラックに乗せたラップが少し大人な雰囲気を醸し出している。；その類なき単調と巨大とが、どの様に不思議な美しさを醸し出していたか。；そしてそれが、かれの恬澹とした雰囲気を醸し出していたともいえよう。；それらが感じさせるものとは別の、嫉妬に近い感情が醸し出す痛みだった。；第一の部分と異なった気分は、この松林の絵だけでも十分に醸し出される。；要するに私は、窒息しそうな雰囲気をだんだん醸し出すことに成功した。；この番組は最近の番組とは違う独特な雰囲気を醸し出している。；そこには無意識の何ともいえないおかしさが醸し出されるからである。；そしてそれはすべて、不安げな雰囲気を醸し出すことを特別な目的としている。；そのため少しばかり現実とは思えない雰囲気を醸し出していた。；そしてその冷たい肉の醸し出す快楽はほとんどこの世のものとは思われなかった。；旅籠の台所や別の場所で息を殺している使用人たちの醸し出すものに違いない。；歴史の時間の分だけ伝説を捏造するのも無理ない不気味さが醸し出されている。；一度中に入ったら、二度と出て来られなくなるような雰囲気を醸し出している。；この心地よい言葉のリズムが、幻想的な雰囲気を醸し出しているのです。；そのへんが、OLっぽさというか有能っぽさを醸し出しているのだった。；彼はどこにいても若干の居心地悪さと、どこか無垢な図々しさを醸し出す。；辺りから聞こえてくるのはそこはかとない虫の声と夜の帳が醸し出す空気の音。；制服なのに、着物をきているみたいな雰囲気を醸し出している。；私はどうやらお嬢様の雰囲気を醸し出す風格を身につける事に成功したらしい。；空気は冷たく窓の外の風景は昼夜の境目の曖昧な雰囲気を醸し出していた。；明らかに周りの豊前市の女性とは違う雰囲気を醸し出していた。；不気味なオーラを醸し出す彼女を無視しようとしたが、彼女から質問される。；手にした武器を除けば、ともによく似た雰囲気を醸し出している。；そしてそれが一篇の醸し出す深い人生的味わいの酵母となっているのである。；まるで雅博だけが百年後の世界から訪れたような軽い空気を醸し出している。；また、金管や低音楽器がスウェーデン的な雰囲気を醸し出している。；かつての王族や貴族のパレードのような雰囲気を醸し出す役割を果たしている。</t>
        </is>
      </c>
      <c r="J1700">
        <f>HYPERLINK("https://www.weblio.jp/content/醸し出す", "词义详情")</f>
        <v/>
      </c>
      <c r="K1700">
        <f>HYPERLINK("https://yourei.jp/醸し出す", "查看例句")</f>
        <v/>
      </c>
    </row>
    <row r="1701">
      <c r="A1701" t="inlineStr">
        <is>
          <t>貨物</t>
        </is>
      </c>
      <c r="B1701" t="inlineStr">
        <is>
          <t>成功</t>
        </is>
      </c>
      <c r="C1701" t="inlineStr">
        <is>
          <t>読み方：かぶつ
１品物。荷物。かもつ。
２貨幣や財産。
[補説]1の意味では、明治初期までは「かもつ」より「かぶつ」が一般的であった。</t>
        </is>
      </c>
      <c r="D1701" t="inlineStr">
        <is>
          <t>貨物室(6%)；貨物用(5%)；貨物ホーム(5%)；貨物取扱(3%)；貨物専用(2%)</t>
        </is>
      </c>
      <c r="E1701" t="inlineStr">
        <is>
          <t>荷物；荷；重荷；積荷；積み荷</t>
        </is>
      </c>
      <c r="F1701" t="inlineStr">
        <is>
          <t>貨物船；貨物量；貨物取り扱い；貨物型；鉄道貨物</t>
        </is>
      </c>
      <c r="G1701" t="inlineStr">
        <is>
          <t>貨物船；貨物輸送；貨物駅；貨物線；貨物自動車</t>
        </is>
      </c>
      <c r="H1701" t="n">
        <v>29</v>
      </c>
      <c r="I1701" t="inlineStr">
        <is>
          <t>貨物取扱量は多く、駅の北側と南側の両方には信号所が設置されていた。；貨物用の設備は設置されていないほか、専用線も当駅には接続していない。；汎用的に用いられる貨車で、ほとんどどのような貨物でも搭載していた。；古いホームが残っていたほか、貨物用と思われるホーム跡もあった。；駅裏は上の貨物が停車している辺りに若干のストックヤードがあった。；なお開業時は旅客駅であったが、間もなく貨物営業も開始されている。；発着時のコストの安さから格安航空会社や貨物便の利用が多くなっている。；JR・十鉄貨物受渡線が駅南側にあったが、のちに線路が撤去されている。；メルボルン港はオーストラリアで最大のコンテナと一般貨物の港である。；駅舎から離れた方のホーム月田方には貨物用の切欠きホームも残っている。；交通の中心となっているのは、旅客・貨物ともに陸上の道路交通である。；当駅は、大日本紡績貝塚工場への貨物搬出入のため設置された駅である。；何かもつと言ひたいことがある様で、それが言ひ出せないといつた風であつた。；駅前には、かつて貨物営業を行っていたため企業の倉庫や工場も見られる。；また、国鉄分割民営化前までは、旧駅舎の南側に貨物ホームが存在した。；駅舎横の貨物ホームの他に、南側にコンテナヤードが設けられている。；なおバスのほか、同じシャーシをベースとした貨物仕様の製造も行っている。；胴体長や収容力の減少に合わせて、貨物扉や緊急脱出口の配置が変更された。；操縦室の窓と貨物搭載室ドアの間の機体側面には、軌道船の名称が書かれている。；かつては駅舎東側に貨物ホームがあったが、1982年9月に廃止された。；かつては、貨車に直接貨物を積み込み・積み卸ろす輸送が行われていた。；駅舎側には旧貨物側線が残っており、時折保守車両の留置に使われている。；その後貨物が廃止された影響で、2006年に客車列車は廃止されている。；当駅には貨物列車の発着は無く、貨物設備や専用線も接続していない。；貨物の荷役設備は特に設けられておらず、専用線も当駅には接続していない。；現在では旅客・貨物営業が継続され、荷物営業は廃止されている。；このため貨車の種類は運びたい貨物に合わせて多種多様なものとなる。；サッポロビール恵比寿工場が付近にあった時は貨物扱い施設も設置されていた。；これは貨物ターミナルが敷地の最も陸側に位置しているためである。</t>
        </is>
      </c>
      <c r="J1701">
        <f>HYPERLINK("https://www.weblio.jp/content/貨物", "词义详情")</f>
        <v/>
      </c>
      <c r="K1701">
        <f>HYPERLINK("https://yourei.jp/貨物", "查看例句")</f>
        <v/>
      </c>
    </row>
    <row r="1702">
      <c r="A1702" t="inlineStr">
        <is>
          <t>粥</t>
        </is>
      </c>
      <c r="B1702" t="inlineStr">
        <is>
          <t>成功</t>
        </is>
      </c>
      <c r="C1702" t="inlineStr">
        <is>
          <t>読み方：かい
「かゆ」の音変化。</t>
        </is>
      </c>
      <c r="D1702" t="inlineStr">
        <is>
          <t>粥状(3%)；粥神事；粥釣り；粥腫；粥座</t>
        </is>
      </c>
      <c r="F1702" t="inlineStr">
        <is>
          <t>朝粥；粟粥；施粥；薄い粥；筒粥</t>
        </is>
      </c>
      <c r="G1702" t="inlineStr">
        <is>
          <t>粥腹；粥杖；粥川谷；粥占；粥新田峠</t>
        </is>
      </c>
      <c r="H1702" t="n">
        <v>29</v>
      </c>
      <c r="I1702" t="inlineStr">
        <is>
          <t>今までも粥は食べていたが今日ほど切にそれを要求したことがなかった。；その記念のために粥に塩を入れないのだと説明している者もあるのである。；涼しい部屋に案内されたのも覚えていたし、粥を食べたのも覚えていた。；粥を盛り分けて、からになったコッフェルの中には雪が入れられていた。；これからの一ヵ月毎朝率先して粥を食べる気なんかおれにはないからな。；この粥にべったら漬が良く合うと、妹尾河童が著書の中で紹介している。；「その最後の一食を食べる用意でもするか」 今朝四人は粥をすすった。；多くの日本人は白粥かそれに近いシンプルな粥が好きなものだからだ。；用意しておいた温かい粥を兵士らにあてがって、戦闘準備にかからせた。；こんな粥のようなどんよりした水で生きているのだ、と私は思った。；自分の宅へ来る粥釣りを内側から見物した場合のほうが多かったように思う。；しかし、現在でも中国ではアワ粥などにして、アワを食べる機会は多い。；粥を受ける最も大きな器は、釈迦の頂骨であるとされ、頭鉢と呼ばれる。；範宴もやがてそこへ来て、師弟も客も一つ座になって粥をすすりあった。；それは流感で隣室に寝ている桃子と二つ違いの弟のための粥であった。；これに粥をまぶして、三日三晩油で煮つめ醤で調味して食べるのである。；粥状動脈硬化を縮退させるか否かは統一した見解が得られていない。；小さな泡を立てている粥を前にして、一同、寸の間黙り込んでしまった。；粥のことばかりでなく、まだ外にもお話がありますからと云つてな。；枕元のトレーの上に、手のついていない冷めて膨張した粥が残っている。；粥などを召し上がる院のほうを小侍従はもう見ることもできなかった。；そういう由来によって今でもこの日の粥だけは塩を入れないという者もある。；七日の粥の日には村の内の子供たちが、祝言を述べて物をもらいにくる風があった。；今では雑穀粥も野菜スープも、すっかり冷めてしまっているに違いない。；粥などを作って持って来たが夫人は見ることすらもいやがった。；そうしていれば、鍋の中に自然に粥でもできると思うものなのか。；大ぶりの青磁のお碗の底に、七草を入れた粥が三口分ほど盛ってあった。；粥、強飯などを召し上がり、この西の対からお車に召されるのであった。；隆二はそのどろどろした粥のような物を見、それが粟であることを感じた。</t>
        </is>
      </c>
      <c r="J1702">
        <f>HYPERLINK("https://www.weblio.jp/content/粥", "词义详情")</f>
        <v/>
      </c>
      <c r="K1702">
        <f>HYPERLINK("https://yourei.jp/粥", "查看例句")</f>
        <v/>
      </c>
    </row>
    <row r="1703">
      <c r="A1703" t="inlineStr">
        <is>
          <t>痒い</t>
        </is>
      </c>
      <c r="B1703" t="inlineStr">
        <is>
          <t>成功</t>
        </is>
      </c>
      <c r="C1703" t="inlineStr">
        <is>
          <t>読み方：かいい
［形］「かゆい」の音変化。</t>
        </is>
      </c>
      <c r="D1703" t="inlineStr">
        <is>
          <t>痒いところへ手(6%)；痒いよう(6%)；痒い所(3%)；痒いやう；痒い処</t>
        </is>
      </c>
      <c r="E1703" t="inlineStr">
        <is>
          <t>こそばゆい；むず痒い；痒くなる；ムズムズする</t>
        </is>
      </c>
      <c r="F1703" t="inlineStr">
        <is>
          <t>ムズ痒い；むづ痒い</t>
        </is>
      </c>
      <c r="H1703" t="n">
        <v>29</v>
      </c>
      <c r="I1703" t="inlineStr">
        <is>
          <t>お愛は打たれたまま痛いとも痒いとも云はず黙言つて縡切れて仕舞つた。；彼だけではなくみんなも同じ痒さにねむれぬらしく起き上ってくる。；傍の若い娘が二人、痒いところをかいてもらうような顔で耳をすませている。；シャンプーをしている最中には、「痒いところはありませんか」と聞く。；その権利が他人に動いたって、第三者から見れば別に痛くも痒くもない。；マリさんに言われたせいか頭が痒くなり、髪を洗う気分になっている。；いくら貧之人や学生が騒ぎたてても、強い奴は痛くも痒くも感じない。；家に戻って、おかしいなと思ったら、突然、あっちこっちが痒くなった。；どこからともなく蚊が飛んできて、あちこち刺されて痒くてたまらない。；いくら人が嗤おうと、恥を知らぬ面の皮には、痛くも痒くもあるまいに。；ここのところ汗をかいているためだろうか、首筋が無性に痒くなった。；頬についた泥が乾きはじめたのか痒くなってきたが、そんなことはどうでもいい。；その上、当人がそれを掻いてゐる所を見ると、痒くない訳でもないらしい。；それを感じた時のむづ痒いやうな一種の戦慄は、到底形容する語がない。；本人に言わせるとさ、夜になると穴ん中が痒くなんだとさ。；その痒さは、男女を問わず人前で陰部をかきむしるほどと云われている。；しかしそんなことをいわれても、トラ自身も痒いのだからどうしようもない。；痒いというより痛痒さを訴える人が多く、激痛であるという人さえいる。；相変わらず痛くも痒くもないが、一人でじっと眺めていると気分が悪くなる。；写真を見ているうち、山岡は全身が痒くなるような焦立ちを覚えた。；お秀の家へ行くと、お秀は痒いところに手の屆くやうな親切さでした。；その夜武士は、旅の疲れの深い眠から、腕の痒さのために醒されてしまつた。；お秀の家へ行くと、お秀は痒いところに手の届くような親切さでした。；山田家の人々は自らの血を守るため、そして痒くならないために立ち上がる。；それから身体中が辛痒ゆい毒の歯に噛まれでもするようにくねらせた。；背中が痒いと思ったら、夜が少しばかり食い込んでいるのだった。；私はもともとクラスでも浮いていたから、あんなのは痛くも痒くもありません。；後頭部が痒いような痛いような複雑な感じでちりちりと疼くのだった。；ストリックランド夫人も痒いところへ手が届くほど同情心を発揮するひとだった。</t>
        </is>
      </c>
      <c r="J1703">
        <f>HYPERLINK("https://www.weblio.jp/content/痒い", "词义详情")</f>
        <v/>
      </c>
      <c r="K1703">
        <f>HYPERLINK("https://yourei.jp/痒い", "查看例句")</f>
        <v/>
      </c>
    </row>
    <row r="1704">
      <c r="A1704" t="inlineStr">
        <is>
          <t>通う</t>
        </is>
      </c>
      <c r="B1704" t="inlineStr">
        <is>
          <t>成功</t>
        </is>
      </c>
      <c r="C1704" t="inlineStr">
        <is>
          <t>読み方：かよう
［動ワ五（ハ四）］
１一定の区間を定期的に、何度も行き来する。「自転車で学校に—・う」「病院に—・う」
２ある場所を自由に行き来する。「鳥も—・わぬ南海の孤島」
３ある場所を通って流れる。また、止まらないで流れる。「電流が—・う」「血が—・う」「息が—・う」
４気持ちなどが相手に伝わる。「心の—・う贈り物」
５道筋が通じる。また、通じている。「夏の間だけバスが—・う」「江戸へ—・う街道」
６似る。共通する。似かよう。「目鼻だちに—・うところがある」
７精通する。通暁する。
「仏の道にさへ—・ひ給ひける御心のほど」〈源・御法〉
８交差する。入り交じる。
「春はやがて夏の気をもよほし、夏より既に秋は—・ひ」〈徒然・一五五〉
[可能]かよえる</t>
        </is>
      </c>
      <c r="D1704" t="inlineStr">
        <is>
          <t>通うごく；通う生徒たち；通う学生たち</t>
        </is>
      </c>
      <c r="E1704" t="inlineStr">
        <is>
          <t>行く；参加；出席；連なる；臨む</t>
        </is>
      </c>
      <c r="F1704" t="inlineStr">
        <is>
          <t>毎日通う；通うごく普通；通う女子高校</t>
        </is>
      </c>
      <c r="H1704" t="n">
        <v>29</v>
      </c>
      <c r="I1704" t="inlineStr">
        <is>
          <t>この情報に血を通わせ心で考えさせるためには、人間教育が必要だった。；芝居の伝統的な血を通わせるスイッチを何処かに取りつけねばならない。；学園への抗議も受け入れられず女子部に通うことになってしまった主人公。；人と人、村と村、民族と民族との間にもかけて、何かを通わせるものだ。；あの女はどんなに遠くからでもナラダスと意志を通わせることができる。；どうかして自分の心を相手に通わせたいと思う切実な願いといってもよい。；周防達哉の通う七姉妹学園の校章を身に付けていると顔が崩れてしまう。；兼一たちの通う学校で、物語当初はここが舞台となることが多かった。；まるで空間自体が血を通わせ、内部にいるものに聞かせているようだ。；これを受け、一部の親が子どもを宗教系の学校に通わせる動きがある。；それぞれに違った環境でそれぞれの悩みを抱えつつ夜間に通う生徒たち。；それも一と月くらい通わなければならないことは最初から分っていた。；ことばさえ通じはせぬままでも、心を通わせることはできるのだった。；卒業までの間、男児と女児は同じ学校に通うことを余儀なくされていた。；小将は音に通わせたのだろうが、元詰とはすこし気になる名称ではある。；父が彼を学校に通わせているのは、この小さな虚栄のためだと彼は考えた。；しかし家庭の事情により父のところから中学校に通うことはできなかった。；小学生の頃は野球をしたりスイミングクラブに通うスポーツ少年だった。；その遠い学校に通わせてくれなきゃ家出してやると無理を言ったクセに。；塾にも通わせてみたが、程度が低いとか言ってすぐに行かなくなって困る。；その社は経営者の郷里から十代の青年を集め、寮に入れて通わせていた。；そこでこの僧侶はまた問答を習うために教師の所に通わなければならん。；不自然に結んだ唇からは、殆ど生きた人間の呼吸は通わないもののようだ。；中には大野市や敦賀市などの遠方の地域から通う生徒もいるほどである。；自分が婿に入りし以前に互いに深く心を通わせたりと聞きし男なり。；徒らなる感情の上にむなしき思いを通わせても罪の深いことは同じだ。；それも一と月くらい通わなければならない事は最初から分って居た。；私を絵の勉強に通わせたのだって二人の逢瀬の時間を作るためではなかったか?；オルコットは子供時代の数か月を除き、公の学校に通うことはなかった。</t>
        </is>
      </c>
      <c r="J1704">
        <f>HYPERLINK("https://www.weblio.jp/content/通う", "词义详情")</f>
        <v/>
      </c>
      <c r="K1704">
        <f>HYPERLINK("https://yourei.jp/通う", "查看例句")</f>
        <v/>
      </c>
    </row>
    <row r="1705">
      <c r="A1705" t="inlineStr">
        <is>
          <t>火曜日</t>
        </is>
      </c>
      <c r="B1705" t="inlineStr">
        <is>
          <t>成功</t>
        </is>
      </c>
      <c r="C1705" t="inlineStr">
        <is>
          <t>読み方：かようび
「火曜」に同じ。</t>
        </is>
      </c>
      <c r="D1705" t="inlineStr">
        <is>
          <t>火曜日発売；火曜日更新；火曜日深夜；火曜日以外；火曜日夜</t>
        </is>
      </c>
      <c r="E1705" t="inlineStr">
        <is>
          <t>火曜</t>
        </is>
      </c>
      <c r="F1705" t="inlineStr">
        <is>
          <t>隔週火曜日；最終火曜日；第二火曜日；翌火曜日；毎火曜日</t>
        </is>
      </c>
      <c r="H1705" t="n">
        <v>29</v>
      </c>
      <c r="I1705" t="inlineStr">
        <is>
          <t>火曜日は主に前半が生ゲスト、後半にもゲストが出演する場合があった。；地域の主要なニュース情報源は毎週火曜日に発行されている新聞である。；火曜日の帰りにあなたのセルをとる必要があり、中野の方へゆきました。；その翌朝、つまり火曜日ですね、私はいつもの時間に会社に行きました。；仕事の都合ではじめの火曜日だけは休講にしようかとも、考え中です。；秀は土曜日に京都に帰り、火曜日に東京へ発つ生活を送るようになった。；その代わりに、月・火曜日にも当番組が放送されるようになった。；あの運命の火曜日の夜、なんと、彼女は興奮していたことだったろう!；特に、彼女は火曜日で裏が出た場合でだけはないという情報を得る。；火曜日は、ファッション・ビューティー関連の企画が中心となっている。；だからいつも火曜日には家から学校へゆく時に途中のいろんなことで自己の運命を読むのだった。；伯爵さまは十四日の火曜日の朝こちらへお着きでございました。；次の週の火曜日の午前中に、北原の自宅に長谷川裕子から電話があった。；自分が日をまちがえて、きょうは火曜日だったかと思ったくらいですもの。；火曜日には、様々なクラスの動物を顕彰する動物ショーが開催される。；設立当初は毎週月曜日および火曜日の21時45分からの放送であった。；火曜日の夜のアロヨの殺人までは、ぼくにはほとんど何もわかっていませんでした。；火曜日までは紳士たちに会うこともありませんでした。；火曜日が来ると、たえ子の心は自然に彼の青年の方へ動いて行つた。；火曜日の夜留守が確定して、水曜日の立つ朝その人たちが来たのよ。；火曜日に公開された映像の中で拘束された兵士はロシア軍の空挺兵だと述べた。；本作は、CDが多数発売される水曜日ではなく、火曜日に発売された。；自動車ディーラーなどでも同様の理由で火曜日を定休日しているところがある。；これは前週の火曜日、即ち二月十三日の午後七時前後の事でございます。；この前の火曜日に私は労働者を多数連れて、大森の貝塚を完全に研究しに行った。；火曜日にはすこしのんびりした顔つきを御覧に入れられると思います。；大学に出て居ります頃は火曜日は八時に始まりますからこの日に限り午後に致しました。；それに伴い火曜日の園田・姫路競馬ダイジェストが24時に移動された。；この図書館は火曜日ごとにヒンメルプフォルテンで貸し出しを行っている。</t>
        </is>
      </c>
      <c r="J1705">
        <f>HYPERLINK("https://www.weblio.jp/content/火曜日", "词义详情")</f>
        <v/>
      </c>
      <c r="K1705">
        <f>HYPERLINK("https://yourei.jp/火曜日", "查看例句")</f>
        <v/>
      </c>
    </row>
    <row r="1706">
      <c r="A1706" t="inlineStr">
        <is>
          <t>殻</t>
        </is>
      </c>
      <c r="B1706" t="inlineStr">
        <is>
          <t>成功</t>
        </is>
      </c>
      <c r="C1706" t="inlineStr">
        <is>
          <t>読み方：かい
《「貝」と同語源》たまご。また、たまごの殻(から)。かいご。
「—のうちに命こめたる雁(かり)の子は君が宿にてかへさざるらむ」〈宇津保・藤原の君〉</t>
        </is>
      </c>
      <c r="D1706" t="inlineStr">
        <is>
          <t>殻口(3%)；殻頂；殻高；殻皮；殻然</t>
        </is>
      </c>
      <c r="E1706" t="inlineStr">
        <is>
          <t>箱；甲；皮；茎；革</t>
        </is>
      </c>
      <c r="F1706" t="inlineStr">
        <is>
          <t>耐圧殻；内殻；球殻；硬い殻；固い殻</t>
        </is>
      </c>
      <c r="G1706" t="inlineStr">
        <is>
          <t>殻模型；殻斗果；殻の中の小鳥；殻ノ少女；殻斗科</t>
        </is>
      </c>
      <c r="H1706" t="n">
        <v>29</v>
      </c>
      <c r="I1706" t="inlineStr">
        <is>
          <t>殻から年齢を推定する信頼できる方法が無いため、年間の成長速度は不明。；多くの種が平らな巻き貝のような形をした殻を持っているのが特徴である。；これは、オールトの雲の分布が球殻状であると推定する根拠になっている。；内殻軌道および電子は結合の形成の間には基本的に変化しない。；但し波浪の強い海岸では殻長が小さく、殻高が高くなることが知られる。；特にその中でも有肺類のうちの殻が細長くないものを言う場合が多い。；弱点は殻に覆われた頭部であるが、初代と異なり常にその殻を閉じている。；ごみ箱も、弁当殻などが多く出ることを考慮し大型のものを設置している。；卵の大きさはニワトリのものよりやや大きく、殻の色は極薄い緑色である。；ところで、卵の殻をどれくらい遠くへ持って行けばいいだろうか?；殻の外に出る部分は、頭部と足であり、内臓はほとんど殻の中に収まる。；この類では、殻が螺旋状に巻いているので、左右が非対称になっている。；この船殻を破壊する唯一の手段は反物質を接触させることである。；しかし例外も多く殻形の適応については必ずしもよくわかっていない。；蓋状に外れた囲蛹殻の前方体節が背方と腹方に分離して脱落している。；傘殻類は、極めて小さな殻を体の背に持つのみで、ウミウシに含まれる。；自らは殻を分泌しない動物が、貝殻を自分の殻のように使用する例もある。；大きい方の鋏は、体を殻に引っ込めた時に入り口に蓋をするのに使われる。；殻は多くの部屋に分かれているものが多く、非常に精巧な構造になるものもある。；体を覆っている殻とそれを閉鎖する蓋はエビやカニの背甲に相当する。；また、種子を炒って殻を取り除いて食べても同様によいとも言われている。；この殻は複数あり、電子は基本的に内側から順番に埋まってゆくこと。；これは硬い殻を持った動物が登場するまでの地球の歴史40億年を占める。；フレームや耐圧殻を含む潜水艇の全ての 要素は既に交換されている。；後に開発された一式徹甲弾では貫徹力改善のために弾殻が厚くなっている。；貝塚は遺跡のひとつで、人が貝類を食べた後にその殻を捨てた場所。；しかし殻の縦方向の彫刻はごく一部の種に見られるだけで、殆ど発達しない。；また、最も外側にある殻に入っている電子の数が周期表と対応することも提案した。；製品によっては卵の殻、鳥の骨、小さな貝殻等は処理できない場合もある。</t>
        </is>
      </c>
      <c r="J1706">
        <f>HYPERLINK("https://www.weblio.jp/content/殻", "词义详情")</f>
        <v/>
      </c>
      <c r="K1706">
        <f>HYPERLINK("https://yourei.jp/殻", "查看例句")</f>
        <v/>
      </c>
    </row>
    <row r="1707">
      <c r="A1707" t="inlineStr">
        <is>
          <t>空</t>
        </is>
      </c>
      <c r="B1707" t="inlineStr">
        <is>
          <t>成功</t>
        </is>
      </c>
      <c r="C1707" t="inlineStr">
        <is>
          <t>読み方：うつ
［接頭］
１（全）名詞に付いて、すっかり、全く、全部の意を表す。
「皮を—はぎに剝(は)ぎて」〈記・上〉
２（空・虚）名詞に付いて、うつろな、空虚な、の意を表す。
「—蝉(せみ)はからを見つつもなぐさめつ深草の山煙だにたて」〈古今・哀傷〉</t>
        </is>
      </c>
      <c r="D1707" t="inlineStr">
        <is>
          <t>空飛ぶ；空氣；空薬莢；空高く；空対空</t>
        </is>
      </c>
      <c r="E1707" t="inlineStr">
        <is>
          <t>穴；天；空中；宙；上空</t>
        </is>
      </c>
      <c r="F1707" t="inlineStr">
        <is>
          <t>高い空；空々空；電空；西空；南空</t>
        </is>
      </c>
      <c r="G1707" t="inlineStr">
        <is>
          <t>空間；空港；空中；空襲；空想</t>
        </is>
      </c>
      <c r="H1707" t="n">
        <v>29</v>
      </c>
      <c r="I1707" t="inlineStr">
        <is>
          <t>皆既日食が起こると空がかなり暗くなり星の観測も可能な状態になる。；逆に思考をしないためには心を空にする特別な修練を積む必要がある。；空と直は幼馴染みではあるが、空は直のことを全く覚えていなかった。；宮崎駿が空飛ぶ映像が好きなことから本作には数多くの飛行機が登場する。；変幻自在の体はその大きさや姿を自在に変えられ、空も飛ぶ事ができる。；離陸した宇宙船が見えなくなった後、空に美しい虹がかかるのであった。；屋根の下にある天井部分は「天」と呼ばれ、雲や空が描かれていた。；XMLでは、空要素を表現するために特別な構文を使うことができる。；太陽神が空に舞い戻った後、人間が互いに戦い始めたときに戦争が始まる。；なお、監督が一番気に入っているのは自転車で空を飛ぶシーンである。；その他に前部艦底には浮力確保のため空のドラム缶400個を収納した。；筆記具がない場合には空間に向かって人差し指で文字を示す空書が用いられる。；以降はケース内が空であることがわかるようになる。；また移動においても陸上を進むだけではなく、空を行くことも可能になった。；someNode は空でないリストにある何らかのノードであるとする。；世界はオレルスという名前で、どこまでも空が続く広大な空間である。；設定上は空を飛ぶことが可能だが、戦闘終了後は徒歩で去っていく描写が多い。；と、実験において空のベクターを用いていなかったことを明確に認めている。；第七〇五空の一式陸攻も零戦隊を誘導しているが、その後の戦果は不明。；空のリストを含むリストの先頭に新たなノードを挿入する関数が必要となる。；地上・空・海で繁栄していた爬虫類であったが、白亜紀の末には急減した。；これらの改善と数的優勢によって、空の戦いの様相は変化していった。；現代の鳥類ほどは上手く空を飛ぶことも、地上を歩くこともできなかった。；それ以前は、ドイツで話されていた古ザクセン語で空を意味する であった。；佐江戸城などは城が空になったため、豊臣方に無抵抗で接収されている。；明るい場所で、白いものや空を見た場合などによく見える。；基本的に空を飛行することが主目的の乗り物だからである。；これら3人の見上げる先に空を飛ぶ仙人がいるという設定になっている。；古関は、当時発行される山田の楽譜はほとんど空で覚えていたという。</t>
        </is>
      </c>
      <c r="J1707">
        <f>HYPERLINK("https://www.weblio.jp/content/空", "词义详情")</f>
        <v/>
      </c>
      <c r="K1707">
        <f>HYPERLINK("https://yourei.jp/空", "查看例句")</f>
        <v/>
      </c>
    </row>
    <row r="1708">
      <c r="A1708" t="inlineStr">
        <is>
          <t>柄</t>
        </is>
      </c>
      <c r="B1708" t="inlineStr">
        <is>
          <t>成功</t>
        </is>
      </c>
      <c r="C1708" t="inlineStr">
        <is>
          <t>読み方：から
１草木のみき・茎。「粟—(あわがら)」「黍—(きびがら)」
２矢の篦(の)。矢がら。
３道具の柄(え)。〈和名抄〉</t>
        </is>
      </c>
      <c r="D1708" t="inlineStr">
        <is>
          <t>柄部；柄じゃない；柄組；柄付き；柄尻</t>
        </is>
      </c>
      <c r="E1708" t="inlineStr">
        <is>
          <t>人；手；気；性；人物</t>
        </is>
      </c>
      <c r="F1708" t="inlineStr">
        <is>
          <t>場所柄；職業柄；商売柄；長い柄；仕事柄</t>
        </is>
      </c>
      <c r="G1708" t="inlineStr">
        <is>
          <t>柄頭；柄谷；柄本；柄物；柄本明</t>
        </is>
      </c>
      <c r="H1708" t="n">
        <v>29</v>
      </c>
      <c r="I1708" t="inlineStr">
        <is>
          <t>柄の部分が別部材でできている別柄型のものと一体成型のものとがある。；鐸は柄を持ちもう一方の手にもった打器で鐸を打ち鳴らして音をだした。；柄の中ほどと刃部の上側に穴が設けられ、両者にロープが通してあった。；頭部に大きな斑点が付いていて、いろいろな柄のキノコが特徴的である。；また、小型で柄付きのものは布製の靴を水洗いするためにも用いられる。；花にも同じ柄が出る場合が多いので、花物として評価を受けるものもある。；本業柄、ストーリー上で歌を歌うキャラクターに起用されることも多い。；このほかブラシが柄と並行に付いたものなど、多くの商品が存在する。；手に乗るほどの大きさの柄の付いた中空の球の中に、小さな玉を入れてある。；分生子柄の先端が仮軸状に伸びて新たな胞子形成部位を作る場合もある。；柄には拳を撃ち合いから守る役割をもつ部品を取り付けたものが多い。；柄は長さ120センチメートルで、装飾された樺の樹皮で包まれていた。；球果と枝とを結ぶ柄についても長いものから短いものまで種類は様々である。；そのような小穂がほとんど柄がなくて軸につき、密着して並んでいる。；柄が長いため太刀のように自在に扱うには、相当に慣れが必要である。；エノキタケも光のある場所では、柄が短くしっかりした傘を持つ姿になる。；はじめは分生子柄の先端に穴を生じて、柄の延長方向に分生子が作られる。；万が一柄が破損、紛失しても現場の適当な木の枝や金属棒で代用できる。；柄の下部は球根状に太くなり、それを深海底の泥に埋めて定着している。；柄の部分で合体させることが可能な2本のトマホークを武器として戦う。；柄は近年ではプラスチック製やグラスファイバー製の柄も珍しくない。；胞子嚢柄の延長部が胞子嚢内部に伸びている場合、これを柱軸という。；床材は淡いグレーをベースに中央通路部をブルーとした2色の柄である。；僧衣から派生したが、特に衣服の柄や生地の趣味にその影響が見られる。；胞子嚢柄が古くなると、途中の側面から小さい枝を出すこともある。；柄は木や鹿角が使われたが、現在はほとんどがプラスチック製である。；それぞれ胞子形成部とそれを支える菌糸の柄の形状で区別されている。；後記を除き、「天」部分に柄が印刷された箇所にまとめて掲載されている。；葉身の主軸には翼があり、側羽片は4-7対で3角状の卵形で柄がある。</t>
        </is>
      </c>
      <c r="J1708">
        <f>HYPERLINK("https://www.weblio.jp/content/柄", "词义详情")</f>
        <v/>
      </c>
      <c r="K1708">
        <f>HYPERLINK("https://yourei.jp/柄", "查看例句")</f>
        <v/>
      </c>
    </row>
    <row r="1709">
      <c r="A1709" t="inlineStr">
        <is>
          <t>唐揚げ</t>
        </is>
      </c>
      <c r="B1709" t="inlineStr">
        <is>
          <t>成功</t>
        </is>
      </c>
      <c r="C1709" t="inlineStr">
        <is>
          <t>読み方：からあげ
［名］(スル)材料に小麦粉かかたくり粉を薄くまぶす程度で、衣をつけずに高温の油で揚げること。また、その料理。「唐揚げ」の字も当てることがある。</t>
        </is>
      </c>
      <c r="D1709" t="inlineStr">
        <is>
          <t>唐揚げ丼(4%)；唐揚げ愛</t>
        </is>
      </c>
      <c r="E1709" t="inlineStr">
        <is>
          <t>天ぷら；揚げ物；テンプラ；から揚げ；フライ</t>
        </is>
      </c>
      <c r="H1709" t="n">
        <v>29</v>
      </c>
      <c r="I1709" t="inlineStr">
        <is>
          <t>僕たちの前にある唐揚げ丼は、手をつけられぬまま冷めようとしていた。；唐揚げは天ぷらと同様に1個単位で販売し、店内で食べることもできる。；趣味にはゲーム、ピアノ演奏、唐揚げ食べ歩きをそれぞれ挙げている。；唐揚げ弁当を買った客が店を出ていくのを見送った後、靖子は時計を見た。；秋葉がこれ以上ないというくらいに頬を染めて唐揚げを差し出してくる。；唐揚げのサイズは徐々に大きくなった結果であるという。；美図枝は十二畳の広いキッチンで、鶏の唐揚げの用意をしていた。；何度か繰り返すと、彼女はきっと唐揚げとサラダを別々の皿に出してくるわ。；週に9回唐揚げを食べていたことがあり、十二指腸潰瘍になって病院に運ばれた。；また、「唐揚げは喉にいい」として仕事の前に唐揚げを食べることも多い。；久美子の作った唐揚げがどういうものかわからないがあんまりな言い方だろうと思う。；その間に油の中の唐揚げが二つほど黒焦げになっていく。；唐揚げを獲得できたか及び指示は以下の通り。；好きな母の手料理は餃子、生姜焼き、好きな父の手料理は唐揚げである。；唐揚げは単品でも注文が可能で、夏季以外であれば持ち帰りにも対応している。；布半の女中さんの話ではサッと素焼きしてから唐揚げして甘酢につけたのだとのことであった。；ある日の夕方、鶏肉が古くなりかけていることに気づいた母は、それを唐揚げにして私と妹に食べさせた。；利用法はマハゼとほぼ同様で、唐揚げ、天ぷら、刺身などで食べられる。；大きさによって調理法も異なり、例えば小さなものは唐揚げにされることが多い。；そして、その濡れた唐揚げが再度食卓に上る様だったら、絶対に手をつけてはだめ。；いつか必ず帰ってくる兄のため、兄の大好物だった唐揚げを練習し、それで迎えてあげるのが夢のようだった。；先輩を突き飛ばした影は、ぼくが差しだした唐揚げにぱくりと食いつく。；といふのはこの店の主人の命名で、要するに食用蛙の唐揚げである。；クイズでは好成績を残し唐揚げ以外の料理が決定。；端的には「鶏もも肉の唐揚げの大きいもの」で、山賊揚げとも呼ばれる。；唐揚げが好きすぎるあまり、食べる側から作る側へ。；あまりにもたくさん残すので、唐揚げとサラダを別の皿に盛って出したことがある。；あまり食用にはされないが、オイカワと同じく甘露煮や唐揚げなどに利用される。；真ん中の棚に、皿に盛った鶏の唐揚げとポテトサラダが入っていた。</t>
        </is>
      </c>
      <c r="J1709">
        <f>HYPERLINK("https://www.weblio.jp/content/唐揚げ", "词义详情")</f>
        <v/>
      </c>
      <c r="K1709">
        <f>HYPERLINK("https://yourei.jp/唐揚げ", "查看例句")</f>
        <v/>
      </c>
    </row>
    <row r="1710">
      <c r="A1710" t="inlineStr">
        <is>
          <t>辛い</t>
        </is>
      </c>
      <c r="B1710" t="inlineStr">
        <is>
          <t>成功</t>
        </is>
      </c>
      <c r="C1710" t="inlineStr">
        <is>
          <t>読み方：からい
［形］［文］から・し［ク］
１トウガラシ・ワサビなどのように、舌やのどを強く刺激するような味である。「インド風の—・い料理」→五味(ごみ)
２（鹹い）塩気が多い。しょっぱい。「—・い煮つけ」⇔甘い。
３甘みが少なくさっぱりとしていて、ひきしまっている。酒の味などにいう。「ワインは—・いほうが好みだ」⇔甘い。
４評価の基準などが厳しい。「—・い採点」⇔甘い。
５つらい。苦しい。「—・い目をみる」
６残酷である。むごい。
「諸(もろもろ)の—・き刑(のり)」〈武烈紀〉
７危ない。危うい。
「—・き命儲(まう)けて、久しく病みゐたりけり」〈徒然・五三〉
８気にくわない。いやだ。
「—・しや、眉(まゆ)はしも、皮虫だちためり」〈堤・虫めづる姫君〉
[派生]からさ［名］からみ［名］</t>
        </is>
      </c>
      <c r="D1710" t="inlineStr">
        <is>
          <t>辛いこと(12%)；辛いもの(6%)；辛い思い(6%)；辛い目(2%)；辛いだろ</t>
        </is>
      </c>
      <c r="E1710" t="inlineStr">
        <is>
          <t>困難；大変；味；ひどい；難しい</t>
        </is>
      </c>
      <c r="F1710" t="inlineStr">
        <is>
          <t>一番辛い；とても辛い；辛い日々；非常に辛い；かなり辛い</t>
        </is>
      </c>
      <c r="H1710" t="n">
        <v>29</v>
      </c>
      <c r="I1710" t="inlineStr">
        <is>
          <t>彼女のことを嫌いになって別れたわけじゃないのでそれは辛かったです。；心の中に深い傷が残されているんじゃないかと思うと、とても辛かった。；人との交流を大事にする人ほど、辛く感じる時代になっていったのです。；同じような辛い経験を子供にはさせたくなかったから、と本人は語った。；日本語がわかる人がいないために点数が辛くなったこともあったという。；自分が受けた十層倍も辛い苦しい思いをさせてやらなければ気がすまぬ。；そのため、声優の仕事が増えず、数年間仕事が来なくて辛かったという。；さてどちらが辛くどちらが楽かと聞かれても、すぐには返答ができない。；彼女に辛かったこの生活に、今では何かしら別なものが加わって来ていた。；かれ等はしかしかうした長い遠征をも決して辛いとは思つてゐなかつた。；私は毎日毎日電話がかかって来るたびに、辛くて仕方がありませんでした。；もしそうであれば、私が服のことを口に出しては、母も叔母も辛かろう。；一度取った回避運動が成功したら、どんなに辛くてもかえてはいけない。；練習時間が終わるのを待っているのが長くて辛かったからでもない。；山麓から登っていくのは辛い人や施設の整備をする人などが利用する。；しかし、小山には父が何十年も続けた仕事を否定されたことは辛かった。；自分で文章をかくこともかなり辛いが他人のものを読むこともかなり辛い。；こうした林の横断はしばしば非常に長くかかり、それゆえ辛かったのだ。；私はこのレストランではあまり辛くない方だというチキン料理を頼んだ。；そんな万里絵の顔を見ていると、今度は遼のほうが辛くなってしまった。；二人の死体を見るのが辛かった私は、望んでその役目を引き受けました。；辛い物好きを自負しているだけあって他の出場者をものともせずに優勝。；罪と呼べないほどの罪で刑場に引き出されていく民を見るのは辛かった。；俺は彼女に辛くあたるばかりで、看護される資格なんてないんだから。；そのお心を思うにつけても宮はお胸の思いの晴れる間なく、辛く思われた。；わだしがこうやって、傍まで来てるのに、抱いてもやれんのが辛かった。；それに兄が婚約して、彼女は家に居辛くなるという事情もあったらしい。；また、韓国人と会う機会も話す機会もほとんどなかったことも辛かった。；父は傍のものを辛くするほどの苦痛をどこにも感じていなかった。</t>
        </is>
      </c>
      <c r="J1710">
        <f>HYPERLINK("https://www.weblio.jp/content/辛い", "词义详情")</f>
        <v/>
      </c>
      <c r="K1710">
        <f>HYPERLINK("https://yourei.jp/辛い", "查看例句")</f>
        <v/>
      </c>
    </row>
    <row r="1711">
      <c r="A1711" t="inlineStr">
        <is>
          <t>カラオケ</t>
        </is>
      </c>
      <c r="B1711" t="inlineStr">
        <is>
          <t>成功</t>
        </is>
      </c>
      <c r="C1711" t="inlineStr">
        <is>
          <t>読み方：からおけ
《「オケ」は「オーケストラ」の略。「カラオケ」と書くことが多い》歌の伴奏だけを録音した楽曲を再生・操作する装置。また、それに合わせて歌うこと。</t>
        </is>
      </c>
      <c r="D1711" t="inlineStr">
        <is>
          <t>カラオケ大会(4%)；カラオケバージョン；カラオケ音源；カラオケスナック；カラオケ機器</t>
        </is>
      </c>
      <c r="F1711" t="inlineStr">
        <is>
          <t>カラオケ番組；カラオケパブ；カラオケ配信；カラオケ好き；カラオケ版</t>
        </is>
      </c>
      <c r="G1711" t="inlineStr">
        <is>
          <t>カラオケ店；カラオケルーム；カラオケ館；カラオケの鉄人；カラオケ大賞</t>
        </is>
      </c>
      <c r="H1711" t="n">
        <v>29</v>
      </c>
      <c r="I1711" t="inlineStr">
        <is>
          <t>サービス機器としては、各車両でカラオケ機器とビデオ装置を設置した。；カラオケの歌詞表示や楽譜上の歌詞表記などの用途を想定されている。；子供のころはカラオケ大会でこの歌を歌い、準優勝を取ったことがある。；さらに、選手のみで歌唱しているバージョンとカラオケも収録されている。；更に初めて長渕のオリジナル・カラオケが収録されたシングルとなっている。；沈んだ芹澤を励ましてくれたのは、以前もカラオケに誘ってくれた友人。；チェンジャーデッキの普及に大きな役割を果たしたものにカラオケがある。；なおこの回からカラオケではなく、生バンドによる演奏となっている。；さらに、イベント設備としてカラオケ機器や照明設備も用意されている。；各車両とも便所側にロッカー・ビデオ装置・カラオケ装置を設置した。；当時からよくカラオケで遊んでいた仲で、歌で彼を超えることが目標であると言う。；趣味は、ラグビー・散歩・カラオケ・自分の頭に入るハンチング帽探し。；プライベートでも2人だけでカラオケや北海道などに旅行に行く事もある。；それまでは業務用カラオケなどの音源製作をメインに行う会社だった。；店舗のマシンルーム内には下記に記載したカラオケ機器が複数台設置されている。；また、当初はセガのカラオケ関連サービスの名称としても使用されていた。；これは初めての試みであり、通常のカラオケは存在していない。；さらに歌手も歌も知らず、カラオケで歌ったこともないという。；また、ユリから誘われて無理矢理カラオケへ連れて行かれることもある。；これにより、特別の機材がなくとも自宅でカラオケができるようになった。；カラオケ画面では藤山一郎自身が音楽教師の役で出演していた。；また、カラオケ機能を搭載したコンピュータゲームも数多く登場した。；公式プロフィールにはカラオケも趣味であると記載されていた。；この頃静岡県伊東市へ移住し、並行してカラオケ教室を開いていた。；「幸福草」「微笑み人生」の2曲は一部のカラオケにも配信されていた。；歌を歌うのが好きで一人でカラオケをしていることもある。；基本的には、参加資格はないが、プロ・カラオケ講師は参加できない。；カラオケも日本コロムビアが独自に新録音したものが使われた。；本作は、CDシングル未収録のオリジナル・カラオケをまとめて収録している。</t>
        </is>
      </c>
      <c r="J1711">
        <f>HYPERLINK("https://www.weblio.jp/content/カラオケ", "词义详情")</f>
        <v/>
      </c>
      <c r="K1711">
        <f>HYPERLINK("https://yourei.jp/カラオケ", "查看例句")</f>
        <v/>
      </c>
    </row>
    <row r="1712">
      <c r="A1712" t="inlineStr">
        <is>
          <t>からかう</t>
        </is>
      </c>
      <c r="B1712" t="inlineStr">
        <is>
          <t>成功</t>
        </is>
      </c>
      <c r="C1712" t="inlineStr">
        <is>
          <t>［動ワ五（ハ四）］
１相手が困ったり怒ったりするようなことをしておもしろがる。揶揄(やゆ)する。「子供を—・う」
２負けまいとして張り合う。争う。また、葛藤(かっとう)する。
「心に心を—・ひて、高野の御山に参られけり」〈平家・一〇〉
[可能]からかえる</t>
        </is>
      </c>
      <c r="D1712" t="inlineStr">
        <is>
          <t>からかうような口調(2%)；からかうような調子；からかうような表情；からかうような笑み；からかうような目つき</t>
        </is>
      </c>
      <c r="E1712" t="inlineStr">
        <is>
          <t>隠し；細工；揶揄；冷笑；介入する</t>
        </is>
      </c>
      <c r="F1712" t="inlineStr">
        <is>
          <t>ちょっとからかう；まるでからかう</t>
        </is>
      </c>
      <c r="H1712" t="n">
        <v>29</v>
      </c>
      <c r="I1712" t="inlineStr">
        <is>
          <t>一部からは悪ふざけやからかうような空気を含むことを指摘されている。；インド出身とからかうととても嫌そうにしていたと友人が語っている。；だれかをからかう暇もなく、必死で普通の子についていこうとしていた。；その目のとまった、馬のように長い顔にはからかうような表情があった。；いつもあなたが、あたしをからかうから、怒ってるふりしてただけなの。；からかうつもりで話を聞いているうち、そのまま帰りづらくなってきた。；父は、母が私のためのようにいうのを、からかうような顔をしていた。；能里子もそれに懲りて、その後は猫たちをからかうことはしなくなった。；よく動物園にくるものとみえて、サルをからかうのが手に入ったものだ。；彼はヤマガラのかごのほうにやっていって、鳥を少しからかおうとした。；大きめの瞳はやや色が薄く、唇にはからかうような笑みが浮かんでいる。；疲れているので、午後の水浴をしている娘どもにからかう気も起らない。；「今夜はおふたりでおたのしみかな」 原杖人がからかうように言った。；初めはその赤い旗で牛をからかうのであるが、左手はいつも遊ばせている。；わたしは彼をからかおうなんて考えたこともなかったんですもの。；「その会社、随分長いのね」 女の声にはからかうような響きがあった。；「いってお別れをしていらっしゃいよ」 からかうような眼つきである。；だが老女史がその私の決心をからかうようにこう吟じられているのだ。；その様子を隠れて見ていたトムはいたずらを仕掛けジェリーをからかう。；しかし医者のほうでは、からかうなど思いもかけないことであった。；からかうだけにしたって、いくら何でもそんなにひま人ではないだろう。；この頃には既に身長にしては体重があり、それをからかう記者などもいた。；こんなのをからかうことは、残念ながら人情としてできないことだった。；試着室から元の服に着替えて出て来ると、群贅はからかうように言った。；だんだんからかうやつが出始めて、そのうちにいじめられるようになって。；第二からかう者が勢力において人数において相手より強くなくてはいかん。；「どこにあるか知らないだろ」 そうしてからかうようにソルカを見た。；黒雪姫はまるでからかうように、尚も心臓のあたりに触れながら続けた。；鶴川ははじめて会ってから今まで一度も私の吃りをからかおうとしないのだ。</t>
        </is>
      </c>
      <c r="J1712">
        <f>HYPERLINK("https://www.weblio.jp/content/からかう", "词义详情")</f>
        <v/>
      </c>
      <c r="K1712">
        <f>HYPERLINK("https://yourei.jp/からかう", "查看例句")</f>
        <v/>
      </c>
    </row>
    <row r="1713">
      <c r="A1713" t="inlineStr">
        <is>
          <t>からから</t>
        </is>
      </c>
      <c r="B1713" t="inlineStr">
        <is>
          <t>成功</t>
        </is>
      </c>
      <c r="C1713" t="inlineStr">
        <is>
          <t>［副］(スル)
１堅い物が触れ合って立てる、響きのよい、軽い感じの音を表す語。「高下駄を—（と）鳴らして歩く」
２車などが軽快に音を立てて回るさま。「矢車が—（と）回る」
３高らかに笑う声を表す語。「—（と）大笑する」
［形動］
１水分がすっかりなくなっているさま。「のどが—に渇く」
２器物の中がからで、何もないさま。「財布は—だ」
［アクセント］はカラカラ、はカラカラ。</t>
        </is>
      </c>
      <c r="D1713" t="inlineStr">
        <is>
          <t>からからと笑い(5%)；からからと音(3%)；からからと鳴る；からからと乾い；からからと笑つて</t>
        </is>
      </c>
      <c r="E1713" t="inlineStr">
        <is>
          <t>乾燥；乾いた；ドライ；カラカラ；かさかさ</t>
        </is>
      </c>
      <c r="H1713" t="n">
        <v>29</v>
      </c>
      <c r="I1713" t="inlineStr">
        <is>
          <t>しかし、急に口のなかがからからになり、すぐにはことばが出てこない。；少し経ってから、店のドアがからからと開いて新しい客が入ってきた。；教室の前の戸がからからと開き、一人の女子生徒が教室の中に入ってきた。；そしてふと面白い考えが浮かんだので、からからと打ち笑いながら叫んだ。；喉がからからになるほど緊張を強いられながら、わかったことはそれだけだ。；そうつぶやこうとしたが、喉がからからで思うように声が出なかった。；その声のうしろに、何か軽いものがからからと風を切って回る音がしている。；アヴドーチャはそれを見ると、からからと笑い出さずにはいられなかった。；彼らは毎日毎日、冗談を言いあってからからと笑いあっていたという。；からからと笑いながら、老人は再び袋を肩に担ぎ、屋敷の外へ出ていった。；その途端、私の頭の上で軽い音をたててからからと鳴るものがあつた。；こちらは喉がからからにかわいていたし、向うもそれを知っていた。；耕太が背をまっすぐに伸ばしたとき、からからと音を鳴らして、戸は開く。；この顛末を聞いて、からからと笑ったのは余人ならぬ金博士であった。；そこには猫はゐなかつたが、猫によく似た禅坊主がからからと笑つてゐた。；彼女にそんな風に見つめられると、僕の口の中はからからに乾いた。；さっきまでからからに乾燥していた砂浜は雨に濡れて色が変わった。；それだけでも胸が痛いほどドキドキして、のどがからからになりました。；彼の喉は長い距離を走ったあとのようにからからに渇いていた。；石の部屋に一人になって、僕は喉が渇いてからからになっているのに気がついた。；交渉が成り、それでお胸も溶けると、宮はからからと打笑うのであった。；炎がさらに高くなって、からからに乾燥したたきぎにみるみる広がった。；その上に、春の短い雨季を前にして、地面はからからに乾燥していた。；左右からせまっている山にからからとこだまするほどの大きな笑いであった。；からからと音を立ててどこまでも落ちて行く、そんな落ち方であった。；そして相手の声を待つ間、からからからと顔の中で車輪のようなものが回る。；それは糸をつけたまま志乃の足の甲に当って、からからと縁をすべった。；彼女の灼けつくような喉とからからに渇いた舌が、その答えを教えてくれた。；かなり以前にそこに入ったらしくからからに乾いて固くなっていた。</t>
        </is>
      </c>
      <c r="J1713">
        <f>HYPERLINK("https://www.weblio.jp/content/からから", "词义详情")</f>
        <v/>
      </c>
      <c r="K1713">
        <f>HYPERLINK("https://yourei.jp/からから", "查看例句")</f>
        <v/>
      </c>
    </row>
    <row r="1714">
      <c r="A1714" t="inlineStr">
        <is>
          <t>がらがら</t>
        </is>
      </c>
      <c r="B1714" t="inlineStr">
        <is>
          <t>成功</t>
        </is>
      </c>
      <c r="C1714" t="inlineStr">
        <is>
          <t>［副］(スル)
１物が崩れたりぶつかったりするときの、大きく響く音を表す語。「—（と）壁が崩れる」
２引き戸の開閉や、堅い車輪の回転の音を表す語。「格子戸を—（と）開ける」「荷車が—（と）音をたてて通る」
３のどに水をためてうがいをする音を表す語。「—（と）のどをすすぐ」
４遠慮がなく、思ったことを大声で言ったりするさま。がさつなさま。「—した男だが、気はいい」
［形動］
１あるべきものがほとんどなくて、すきまが多いさま。「—な（の）電車」
２かすれた声のさま。「—な（の）声」
［名］
１柄を持って振ると、がらがらと鳴る幼児のおもちゃ。
２回転式の木製の箱から、玉を一つだけ取り出す仕組みの抽籤(ちゅうせん)器。がらぽん。
［アクセント］はガラガラ、はガラガラ、はガラガラ・ガラガラ。</t>
        </is>
      </c>
      <c r="D1714" t="inlineStr">
        <is>
          <t>がらがら声(7%)；がらがら音；がらがらいう音；がらがら鳴らし；がらがらと崩れ落ち</t>
        </is>
      </c>
      <c r="E1714" t="inlineStr">
        <is>
          <t>空；無人；まばら；空虚；うつろ</t>
        </is>
      </c>
      <c r="G1714" t="inlineStr">
        <is>
          <t>がらがら蛇；がらがらっと；がらがらッと；がらがらがらがら；がらがらどん</t>
        </is>
      </c>
      <c r="H1714" t="n">
        <v>29</v>
      </c>
      <c r="I1714" t="inlineStr">
        <is>
          <t>間もなく鉄の大扉ががらがらと大きな音をたてながら左右に開かれた。；石を入れた空缶をがらがら鳴らしながらなにごとかを喚いて歩く五十男。；二段目にも隅の方に三郎のだつたがらがらが一つあるだけなのです。；足もとからがらがらと土のくずれるような音が聞こえてきたからである。；私は目の前の幸福が、がらがらと音をたてて崩れて行くのを感じたのである。；こういう冷酷なことを俺に言わせるのは、あの荷車のがらがらいう音だ。；本店の番号を調べて電話すると、がらがら声の男が出て教えてくれた。；別の小さな小屋も崩れてしまって、がらがらと丸太が転がり落ちました。；屋敷うちに通じて、待ちかまえていたようにがらがらと表戸はあけられた。；外はもう暗くなっていたが、馬車のがらがらいう音が聞こえてくる。；それがはっきりし出した頃、世界ががらがらと崩れるような音がした。；おれの生活全体が、おれの思想全体が、がらがらと崩壊するかも知れない。；機関室の扉の一つが、がらがらとくずれ落ちる音を、キアルは耳にした。；「あたしも長いこと産婆をしてるけど」とおタネががらがら声で言った。；窓が、がらがらと鳴って壊れたが、その音は女の耳には聞えなかった。；窓ががらがらと鳴って壊れたが、その音は女の耳には聞えなかった。；一九二九年にがらがらと来た恐慌の後は完全に尾を引いている。；増田さんの家は大きな精米所で、朝早くから機械ががらがら動いていた。；またがらがらのミニミニシアターを自分は見ることになるのだろうか。；ここのエレベーターは四基あって、昼間はいつもがらがらなのだ。；そして私が窓を再びノックしてうなずくと、あわてて窓をがらがら開けた。；当然そのほぼ全員が準備に追われるわけで、学校前から乗ったバスはがらがらだった。；がらがらと通ったのは三台ばかりの威勢の可い腕車、中に合乗が一台。；昼すぎでがらがらの店にはいると、胸を張っておれにいった。；がらがらだと感じたのは、箱である冷蔵庫そのものが巨大だからかもしれない。；がらがらとその辺の雨戸があいて、あわてて走り出して来る者がある。；私の背中ではナップザックの中身ががらがらと音を立てて揺れていた。；さっきまで人に満ちていた通りは、今はやけにがらがらしていた。；「その辺を少し歩いても、ええでしょうな」と、がらがら声で訊いた。</t>
        </is>
      </c>
      <c r="J1714">
        <f>HYPERLINK("https://www.weblio.jp/content/がらがら", "词义详情")</f>
        <v/>
      </c>
      <c r="K1714">
        <f>HYPERLINK("https://yourei.jp/がらがら", "查看例句")</f>
        <v/>
      </c>
    </row>
    <row r="1715">
      <c r="A1715" t="inlineStr">
        <is>
          <t>鴉</t>
        </is>
      </c>
      <c r="B1715" t="inlineStr">
        <is>
          <t>成功</t>
        </is>
      </c>
      <c r="C1715" t="inlineStr">
        <is>
          <t>読み方：からす
１スズメ目カラス科カラス属の鳥の総称。全長33〜61センチ。全体に黒色か、黒に灰色や白色の部分をもつ。くちばしが大きく、雑食性。南アメリカとニュージーランドを除く世界中に約40種が分布。日本では、ハシブトガラスとハシボソガラスが全国に生息する。
２《1が黒いところから》くろうと。
３《1の性質から》
㋐口うるさい人。
㋑よく物忘れをする人。
㋒意地のきたない人。
㋓その辺りをうろつく人。「旅—」
４物の名などに付けて、色の黒いことを表す。「—猫」「—蛇」「—石」</t>
        </is>
      </c>
      <c r="D1715" t="inlineStr">
        <is>
          <t>鴉田門五郎；鴉みたい；鴉様；鴉仙和尚；鴉ども</t>
        </is>
      </c>
      <c r="E1715" t="inlineStr">
        <is>
          <t>烏；カラス；クロウ；かあかあ</t>
        </is>
      </c>
      <c r="F1715" t="inlineStr">
        <is>
          <t>夜鴉；大鴉；女鴉；赤鴉；子鴉</t>
        </is>
      </c>
      <c r="G1715" t="inlineStr">
        <is>
          <t>鴉天狗；鴉片窟；鴉天狗カブト；鴉田；鴉片戦争</t>
        </is>
      </c>
      <c r="H1715" t="n">
        <v>29</v>
      </c>
      <c r="I1715" t="inlineStr">
        <is>
          <t>低い雲に覆われた雨が降り出しそうな空を飛びながら、鴉は思いました。；余はこの女とこの鴉の間に何か不思議の因縁でもありはせぬかと疑った。；鴉には見えませんでしたが、少女は答えられずに困っているようです。；鴉さんには、わたしの脚のことをちゃんと知っておいて欲しいんです。；鴉どもは死んだけれど、死にながらあいつらはわたしに死をもたらした。；鴉どもにこのキリスト教徒をやってしまうなんて殺生なことはできない。；そのまま鴉さんのマンションまで連れていって、一緒にダイブさせます。；一つは鴉の嘴のような口をこちらへ向けて差し出すようにして立っていた。；良家の子弟を模倣していた自分は孔雀の真似をする鴉だと思われて来た。；そして夜鴉のような群ら影を躍らせて児屋郷の長い田圃道を駆け競った。；声のした方で足を細引で結わえられた鴉が五羽、おれたちを睨んでいる。；その男の目の高さにある低い枝にとまっているのは、巨大な鴉だった。；意志のない、機械のレンズのような鴉の目が、こっちを睨んだ気がした。；片手に抜き身を持ち、片手で小石を拾っては屋根の上の鴉に投げている。；鴉の心の中は、いつのまにかあの子のことでいっぱいになっていたのです。；やがて不審な顔をしながら、死体から離れて鴉のいる方へ近づいてきます。；鴉がそれをじっと眺めていると、お店の方からその子の母親が声をかけました。；彼はつい近頃まで夜鴉の城へ行っては終日クララと語り暮したのである。；来る日も来る日も、彼女は日の暮れがたになると、その鴉の群を眺めた。；またバナナの木が若干あったが、鴉が二羽だけいて、飛びまわっていた。；鴉に無視されても、バクテリヤからは、さすがに無視されなかったのだ。；そのころにはすっかり鴉は成長して、一人前の大人になっていました。；ファウスト あの鴉共が水の少女に心からお世辞を言ったと見えるな。；彼は鴉の留っている枝から眼を転じてまた他の枝枝を眺めてみた。；それは、いまでは鴉のくちばしのような長く突き出た曲線を見せていた。；そこにいるのは、眼はあいているけれど、別れたときの鴉丸どのではないか。；振動が樹全体に伝わって、頭上で鴉の群れが一斉に羽を広げる音がする。；聞いたこともねえ怪体なリズムの口笛と鴉とが森の悪魔を呼び寄せるだ。；森の梢に群れていた鴉の一羽立ち二羽立つ羽音が淋しい音を空に引く。</t>
        </is>
      </c>
      <c r="J1715">
        <f>HYPERLINK("https://www.weblio.jp/content/鴉", "词义详情")</f>
        <v/>
      </c>
      <c r="K1715">
        <f>HYPERLINK("https://yourei.jp/鴉", "查看例句")</f>
        <v/>
      </c>
    </row>
    <row r="1716">
      <c r="A1716" t="inlineStr">
        <is>
          <t>ガラス</t>
        </is>
      </c>
      <c r="B1716" t="inlineStr">
        <is>
          <t>成功</t>
        </is>
      </c>
      <c r="C1716" t="inlineStr">
        <is>
          <t>読み方：がらす
１液体を溶融状態から冷却したとき、結晶せずに固化し、原子の配列が液体に似た不規則な状態になっている物質。三次元無規則網目構造をなす。珪酸塩(けいさんえん)ガラス・ソーダ石灰ガラス・鉛ガラスなどがあり、ポリスチレン・ポリエチレンでもみられ、天然には黒曜石・琥珀(こはく)などがある。
２特に、珪酸塩ガラスのこと。透明で、もろい。建築材料・食器などに使われる。玻璃(はり)。ギヤマン。ビードロ。
３もろく壊れやすいもののたとえ。「—のあご」</t>
        </is>
      </c>
      <c r="D1716" t="inlineStr">
        <is>
          <t>ガラス戸(9%)；ガラス窓(6%)；ガラス製(3%)；ガラス越し(3%)；ガラス板</t>
        </is>
      </c>
      <c r="E1716" t="inlineStr">
        <is>
          <t>硝子；はり；瑠璃；玻璃；ギヤマン</t>
        </is>
      </c>
      <c r="F1716" t="inlineStr">
        <is>
          <t>大きなガラス；色ガラス；ガラス球；ガラス箱；ガラス質</t>
        </is>
      </c>
      <c r="G1716" t="inlineStr">
        <is>
          <t>ガラス玉；ガラス瓶；ガラスケース；ガラス繊維；ガラス玉演戯</t>
        </is>
      </c>
      <c r="H1716" t="n">
        <v>29</v>
      </c>
      <c r="I1716" t="inlineStr">
        <is>
          <t>当初は両方の窓ともに透明ガラスとされ、ともに遮光幕を設置していた。；ガラス状態・ガラス転移の性質を扱う為に様々な研究が行われている。；固体にはガラスのように透明なものと金属のように不透明なものがある。；その様子をガラス越しに聞いていた永は思わず涙を流したという。；これに伴い、ガラス越しで放送中の様子を閲覧する事が可能となった。；また、この合成曲線でガラス転移点をほぼ確実に予測することができる。；窓ガラスのほとんどはソーダ石灰ガラスと呼ばれる種類のガラスである。；一方、他のファンはガラスのドアに岩や瓶を投げて入場しようとした。；鳥取県産の木材を使用し、大型ガラスを利用した採光を特徴としている。；仕様は9次車と共通であるが、全車両の側窓がUVカットガラス化された。；ホーム部分はガラス壁で覆われており、屋根は曲線を多用した構造である。；城壁にはガラス窓が取り付けられ、中庭には新たな翼棟が建設された。；その様子は自殺の二日前に描いた遺稿『ガラス窓』でも見ることが出来る。；目盛がはっきり見えるように押子に着色ガラスが用いられていたものがある。；側面の窓は大きな1枚ガラスを用いており、開放的な雰囲気となっている。；これは当時から部品共通化の思想からガラス予備品の共通化を狙ったとされている。；ガラス製であるため、ペン先が透明になってくるとインク切れが分かる。；現在でもヨンケーレ製のバスのガラスの隅には馬車のマークが刻まれている。；開放系で用いるものはガラスの筒の下にコックがついた単純な構造である。；駅舎入口にあるガラスの三角屋根はヨットの帆をイメージしたものである。；ガラス製の場合、真空側の面はメッキが施されており鏡面になっている。；後にデフロスタは熱線入りガラスに交換された際に撤去されている。；また、細いピラーと広いガラス面積で近代的なイメージとしている。；また、鋼合金を調べたり、光学向けの新たなガラスを作ったりしている。；計画段階では前面ガラスをパノラミックウィンドウにする案もあった。；ガラス容器が登場して以降、ワインの種類ごとに特化したグラスが作られた。；濃フッ化水素酸は一般にガラスと反応して溶かすことがよく知られている。；窓柱にもブロンズ焼付塗装ガラスを取り付けて、連続窓風の外観とした。；通常はハードコートがなされているものの、ガラスレンズには及ばない。</t>
        </is>
      </c>
      <c r="J1716">
        <f>HYPERLINK("https://www.weblio.jp/content/ガラス", "词义详情")</f>
        <v/>
      </c>
      <c r="K1716">
        <f>HYPERLINK("https://yourei.jp/ガラス", "查看例句")</f>
        <v/>
      </c>
    </row>
    <row r="1717">
      <c r="A1717" t="inlineStr">
        <is>
          <t>体</t>
        </is>
      </c>
      <c r="B1717" t="inlineStr">
        <is>
          <t>成功</t>
        </is>
      </c>
      <c r="C1717" t="inlineStr">
        <is>
          <t>読み方：からだ
１
㋐動物の頭・胴・手足などのすべてをまとめていう語。五体。しんたい。「—を横たえる」
㋑頭・手足を除いた、胴。「—を反らす」「—の線が崩れる」
㋒体格。骨格。からだつき。「がっしりした—」
２健康状態。また、体力。「—を悪くする」「お—に気をつけて」「—の弱い子供」
３
㋐生理的存在としての身体。肉体。「—で覚える」「—が糖分を欲求している」「—を使う仕事」
㋑性的な対象としてみた身体。肉体。「—を許す」「—の関係がある」
㋒社会的活動を営む主体としてみた身体。身(み)。「今夜は—が明いている」「—がいくつあっても足りない」
４死体。なきがら。
「—はどこに捨ててある」〈浄・布引滝〉</t>
        </is>
      </c>
      <c r="D1717" t="inlineStr">
        <is>
          <t>体全体；体ごと；体を沈め；体k；体を固く</t>
        </is>
      </c>
      <c r="E1717" t="inlineStr">
        <is>
          <t>姿；見え；形；身；様子</t>
        </is>
      </c>
      <c r="F1717" t="inlineStr">
        <is>
          <t>受容体；艦体；複合体；植物体；山体</t>
        </is>
      </c>
      <c r="G1717" t="inlineStr">
        <is>
          <t>体験；体系；体重；体力；体内</t>
        </is>
      </c>
      <c r="H1717" t="n">
        <v>29</v>
      </c>
      <c r="I1717" t="inlineStr">
        <is>
          <t>また、バクトリア地方から出土した数体の石製女性像が見つかっている。；この原因は、飛行士が体を動かしたことによるものであると考えられた。；このため体を側面から見ると、両眼のある側と眼がない側に分かれている。；降海型は残留型よりもはるかに体が大きく、雄は産卵の際に有利である。；侯外廬は戦国時代に疲弊する農業共同体の農民思想の代弁だと主張した。；生まれた当初は体も小さく、競走馬になれるのかすらも危ぶまれていた。；別の惑星から地球へやってきた異星知性体、それがラヴォスだったのだ。；海綿動物などの例外はあるが、動物は特化した組織で構成される体を持つ。；現在、長門の艦体は上下逆さまで着底しており、艦橋部分は折れている。；微小部分は通常、単位体・単位面積・単位長さ当たりに相当する場合が多い。；他の標識に合わせた色・文字体変更がなされたが、形状は変更されていない。；電線と周囲との距離をとることで空気を絶縁体として利用することも多い。；多細胞生物は一細胞の卵から胚発生の過程を経て体を形成していく。；レース直前に多くの選手が清めの塩を、自身の体や自転車にかける。；現代の科学者は、大きな科学共同体の中で生かされているような面がある。；このような場所は寺や神社が所有していたり、近隣共同体の共有財産であったりした。；心臓もその発生からは体の中央にあるべきものである。；また、体の芯が異常に強く、常に軸がぶれずに堂々とした相撲を取った。；瞑想しながら体の感覚がなくなるような不思議な感覚や不思議な色や光を見る。；負の生命の精霊力で活動しており、肉体のみ、霊体のみであるものもいる。；日常語で「体の具合はどうですか」と聞く時には、健康状態を尋ねている。；川端は伊藤の死の数日前から自身の体にも違和を感じていたという。；ある体上の同じサイズの正則行列の全体は一般線型群と呼ばれる群を成す。；多体問題は、互いに相互作用する3体以上からなる系を扱う問題である。；進数体が 分体を含むための必要十分条件は が を割ることである。；ハルピュイアイはタウマースの娘たちで、女の頭部に鳥の体を持っていた。；PML体の名称は、主要な構成要素であるPMLタンパク質に由来する。；解剖学とは、広い意味で生物体の正常な形態と構造とを研究する分野である。；四元数体 は を で生成するイデアルで割った剰余環になっている。</t>
        </is>
      </c>
      <c r="J1717">
        <f>HYPERLINK("https://www.weblio.jp/content/体", "词义详情")</f>
        <v/>
      </c>
      <c r="K1717">
        <f>HYPERLINK("https://yourei.jp/体", "查看例句")</f>
        <v/>
      </c>
    </row>
    <row r="1718">
      <c r="A1718" t="inlineStr">
        <is>
          <t>体付き</t>
        </is>
      </c>
      <c r="B1718" t="inlineStr">
        <is>
          <t>成功</t>
        </is>
      </c>
      <c r="C1718" t="inlineStr">
        <is>
          <t>読み方：からだつき
筋肉のつき方や骨格など、外部に現れた身体の状況・形。「ひょろっとした—」</t>
        </is>
      </c>
      <c r="D1718" t="inlineStr">
        <is>
          <t>スタイル；柄；造り；体格；身なり</t>
        </is>
      </c>
      <c r="H1718" t="n">
        <v>29</v>
      </c>
      <c r="I1718" t="inlineStr">
        <is>
          <t>青年たちは、予想していたよりは華奢な体付きで、身軽な動きを見せた。；もっともこいつの場合、刀を腰に差していなくても体付きで分かった。；見ると、ベトナム人特有のすらりとした体付きの男がそこに立っていた。；体付きからいえば殆ど漢学先生と同じで、腹がつき出してよく肥っている。；小柄な体付きをした母親がそこにいたが、彼女は彼に気付かないようだった。；写真で見たとおりの、上背のあるすっきりとした体付きは今も変わっていない。；人間にそっくりな体付きでも、小さくて手が異様に長い。；娘は背が高く乳首はツンとつき出ていて、しなやかな体付きだった。；そして一年と経たないうちに小造りながら親に似た立派な体付きになっていた。；がっしりとした体付きの男は、ビーチに生まれた異空間の中心へと近づいてゆく。；女の容貌や体付きを見て、一回の売春代と、会に納める歩合を決めています。；兜の下の顔といい、小柄で敏捷そうな体付きといい、まさに猿である。；体付きや顔さえ似ていた。；背の高いひょろりとした体付きの男が、長い髪を振り乱して玄関に走り込んできた。；間宮は背はそれほど高くなかったが、肩幅の広いがっしりとした体付きの男だった。；体付きと角状の突起からサイカブト類にも似ているが、より扁平。；背がすらりと高く、がっしりとした体付きの若者であった。；レストランでも商店でも、ビヤ樽のような体付きをした女店員がこのような応対をした。；精悍な体付きに鋭い目が光っている。；彼女は四十になった、しゃんとした体付きの女だった。；彼は、クララが豊かな、重そうな体付きをしていて、然もそのように敏捷なのを愛した。；少なくとも、稲垣に体付きなどが似た男、つまり峰子の部屋へ出入りしている男が、この店へ来ていた可能性が高いからだ。；本亜科の最大な特徴はコガネムシ科の様な体付きと、雌雄共に大アゴは全く発達しないこと。；母はさっきの萎びた大根にも似た体付きだ。；いつもパンツ一丁でウロウロしている俊夫と、体付きや攻撃的な身のこなしかたまでがよく似ていた。；多くの属に分類されて多様化しており、主な特徴として脚の左右の基節は隣接せず・やや扁平な体付き・触角の片状節は他の亜科ほど集約せず・発達した眼縁突起を持つなどが挙げられる。；背中を見せている店主の体付き。；「顔はよく見えませんが、体付きから見て、たぶんそうだと思います」 壮が緊張した顔付きで答えた。；上背はそれほどないが、高校時代、野球で鍛えたがっしりした体付きをしている。</t>
        </is>
      </c>
      <c r="J1718">
        <f>HYPERLINK("https://www.weblio.jp/content/体付き", "词义详情")</f>
        <v/>
      </c>
      <c r="K1718">
        <f>HYPERLINK("https://yourei.jp/体付き", "查看例句")</f>
        <v/>
      </c>
    </row>
    <row r="1719">
      <c r="A1719" t="inlineStr">
        <is>
          <t>からっと</t>
        </is>
      </c>
      <c r="B1719" t="inlineStr">
        <is>
          <t>成功</t>
        </is>
      </c>
      <c r="C1719" t="inlineStr">
        <is>
          <t>［副］(スル)
１空が明るく、さわやかに晴れているさま。「—晴れわたる」
２湿り気がなく、よく乾いているさま。「—揚がった天ぷら」
３こだわりがなく、さっぱりしているさま。「—した人柄」</t>
        </is>
      </c>
      <c r="H1719" t="n">
        <v>29</v>
      </c>
      <c r="I1719" t="inlineStr">
        <is>
          <t>からっと澄み渡った大空を、鶴の群れが、三角の形になって飛んでいた。；もっとからっと勝負がつくと思っていたのに。；降りだすと空に穴があいたかと思うほど豪勢だが、それもわずかの時間でからっと上がってしまう。；ここ甲州にもながいあいだふりつづいていた雨が、からっと明けた。；もう、風もほとんどなくなって、からっと晴れた陽気になっていた。；雨でべとついていた木の椅子が、さわるとからっとなっている。；大日向も少しのあいだ気まずそうな顔をしていたけれど、すぐにからっと元通りになった。；そして雨も、その前々夜にはからっと上がり、町にはすでに火薬の匂いもありません。；空はからっと晴れていて、百舌鳥の声がきんきん、ひびいていました。；矢部の前で、十一、二の子供でも叱りつけるような小言を言ったことなどもからっと忘れてしまっているようだった。；からっと明るく、どこかに張りのある女の笑い声を、佐知子は一生、忘れないだろうと思った。；しかしそのうちにからっと晴れて私の好きな夏が来るだろうから、泣言はこれ位にしておこう。；二三日たって民さんはなぜ近頃は来ないのか知らんと思った位であったけれど、民子の方では、それからというものは様子がからっと変って終うた。；二三日たって民さんはなぜ近頃は来ないのか知らんと思った位であったけれど、民子の方では、それからというものは様子がからっと変ってしもうた。；うちの皮はからっと火が通ってて、日持ちする。；噂では倉持さんは海老沼さんを部隊から外すようにと提案していたらしいけど、いちど頼りになるとわかったらからっと意見を改めるところが大人だなと思う。；一尺ばかり開けたままになっている障子戸のあわいから、からっと拭ったように晴れ渡った空が見えた。；からっとよく晴れた昼間ほど、手持ち不沙汰にひっそりしている色街であった。；今朝までは雨雲に閉じられていた空も見違えるようにからっと晴れ渡って、紺青の色は日の光のために奥深く輝いていた。；眼がさめてみると、からっと晴れているのは、うれしいからな。；多少油切れの悪いジュクジュクした完成品を想像していたが、からっと揚がっている。；倉地はこれをきっかけにからっと快活になって、今までのことは忘れたように、古藤にも微笑を与えながら「それはおもしろかろう」と言いつつ後に続いた。；だけど戸田先輩のからっと明るい声のおかげもあって、僕はもう肩の荷を下ろしていいんだということに気がつき、周囲にあるものも普通に目に入るようになった。；空はどこまでもからっと晴れ上がり、魔法学院の四つの中庭を照らしていた。；降り続いた雨も上って空はからっと晴れて、少し冷たさを覚える朝、みんなに送られて、みんなの祝福の言葉を浴びて、祖母と一緒に私は旅に立った。；重い冷たい潮霧が野火の煙のようにもうもうと南に走って、それが秋らしい狭霧となって、船体を包むかと思うと、たちまちからっと晴れた青空を船に残して消えて行ったりした。；からっと晴れた秋の蒼空に、三人の坊さまの哄笑のみこだまする。；その日は、からっとよく晴れていました。；また今回もボインを高温でからっと揚げてみましたがドクロの強烈な蹴り上げをくらってしまった。</t>
        </is>
      </c>
      <c r="J1719">
        <f>HYPERLINK("https://www.weblio.jp/content/からっと", "词义详情")</f>
        <v/>
      </c>
      <c r="K1719">
        <f>HYPERLINK("https://yourei.jp/からっと", "查看例句")</f>
        <v/>
      </c>
    </row>
    <row r="1720">
      <c r="A1720" t="inlineStr">
        <is>
          <t>空っぽ</t>
        </is>
      </c>
      <c r="B1720" t="inlineStr">
        <is>
          <t>成功</t>
        </is>
      </c>
      <c r="C1720" t="inlineStr">
        <is>
          <t>読み方：からっぽ
［名・形動］
１中に何も入っていないこと。また、そのさま。「—の財布」
２内面のないこと。また、そのさま。「頭の—な人」</t>
        </is>
      </c>
      <c r="D1720" t="inlineStr">
        <is>
          <t>空っぽじゃない；空っぽ人形</t>
        </is>
      </c>
      <c r="E1720" t="inlineStr">
        <is>
          <t>空；外れ；無人；空虚；空洞</t>
        </is>
      </c>
      <c r="H1720" t="n">
        <v>29</v>
      </c>
      <c r="I1720" t="inlineStr">
        <is>
          <t>老人が毎日空っぽの船で帰ってくるのを見るたびに、少年の心は痛んだ。；やがて胸の中が空っぽになり、部屋の壁をじっと見ているうちに涙がでた。；空っぽの部屋のなかにでもいるかのように、ひとりでぼんやり燃えていた。；既に頭が空っぽだった翼は自宅までの記憶を全く覚えていなかった。；働きなれた人々の手で家じゅうは思ったよりずっと簡単に空っぽになった。；床は二つとも空っぽ、その辺には、人間を隠すような場所もありません。；時々、彼の霊魂が空っぽの私に乗り移ってきたんじゃないかとさえ思う。；一時は財布が空っぽになったため、ひと月以上もこれを口にしなかった。；あなたが見た空っぽの部屋は、中にいた人が殺された後だったんだ。；心のどこかで最悪の事態を覚悟していたのだが、部屋は空っぽだった。；その先から友達と一所に遊びに行って、道中の使い残しを空っぽにする。；私はその悲痛な声を聞いただけで、胸が空っぽになったように感じた。；この空っぽの水筒を窓から入れてやって、また一杯にしてもらうのですよ。；おれにはなんの考えも浮かばず、頭の中は空っぽで、手足は疲れていた。；真はそう解釈して、心を空っぽにするよう努めながら、自転車を傾ける。；次の瞬間には、あの椅子はきっと空っぽになっているはずという気がした。；それらが果たされた今、心が空っぽになっているのではないだろうか。；吐いて空っぽになった腹にいいのだと、暖かな薬草茶を運んでくれたり。；一郎の部屋にはいってみると、そのベッドも空っぽであることがわかった。；クリフォードの作品は、なかなか気のきいたものだが、内容は空っぽだ。；緊張してカメラを構えたものの、あいにくとタンクの中は空っぽだった。；しかし空ッポになった彼の頭は、それ以外の事を何一つ印象し得なかった。；夫の屋敷は空っぽで、門番の女はあたしが帰ってきたのを見てまた泣いたわ。；残されたハリーは、空っぽの大鍋のそばにバカみたいに突っ立っていた。；その翌朝、老人夫婦は旦那様の蒲団が空っぽになっているのを発見した。；私はその悲痛な声を聞いただけで、胸が空っぽになった様に感じた。；流れに逆行して、空っぽになった店をウィンドウショッピングしてきた。；なぜなら、残っている都市はもうほとんど空っぽになっていたから。；ひとり取り残されたあたしは、ぼんやりと空っぽの病室を眺めつづけた。</t>
        </is>
      </c>
      <c r="J1720">
        <f>HYPERLINK("https://www.weblio.jp/content/空っぽ", "词义详情")</f>
        <v/>
      </c>
      <c r="K1720">
        <f>HYPERLINK("https://yourei.jp/空っぽ", "查看例句")</f>
        <v/>
      </c>
    </row>
    <row r="1721">
      <c r="A1721" t="inlineStr">
        <is>
          <t>絡む</t>
        </is>
      </c>
      <c r="B1721" t="inlineStr">
        <is>
          <t>成功</t>
        </is>
      </c>
      <c r="C1721" t="inlineStr">
        <is>
          <t>読み方：からむ
［動マ五（四）］
１物に巻きつく。巻きついて離れなくなる。まといつく。「朝顔が垣根に—・む」「痰(たん)が—・む」
２他の物事が密接に結びつく。「金が—・んだ事件」
３理屈をこねたり、無理を言ったりして相手を困らせる。言いがかりをつける。「酔って—・む」
４俗に、交流する。「あの人なら—・んだことがある」
５巻きつける。絡める。
「袴の括(くく)り高く—・みあげて」〈著聞集・一〇〉
［動マ下二］「からめる」の文語形。</t>
        </is>
      </c>
      <c r="D1721" t="inlineStr">
        <is>
          <t>絡むことなく；絡む大型トレード；絡む大活躍；絡む贈収賄事件；絡む大規模なトレード</t>
        </is>
      </c>
      <c r="E1721" t="inlineStr">
        <is>
          <t>絡みつく；絡まる；巻き付く；絡み付く；巻きつく</t>
        </is>
      </c>
      <c r="H1721" t="n">
        <v>29</v>
      </c>
      <c r="I1721" t="inlineStr">
        <is>
          <t>この日以来彼女は家族絡みの会見以外はすべて一人で行うようになった。；型のトーラス結び目・絡み目には他にも以下のような定義の方法がある。；またこの家督相続には、幕府の関東政策が絡んでいると考えられている。；後述の山本での住宅開発の絡みで計画が変更されたともいわれている。；複数の要素が絡むような質問の場合、表示体が複数になることもある。；商品に人を絡ませることで、商品イメージは具体的になっていくのだ。；お文はその幻聴を振り払うように伊三次の首に強く自分の腕を絡ませた。；頼んで見せてもらおうかと思ったが、お前らが絡んでるのが気になってよ。；特に第50節の徳島戦ではチームの4得点すべてに絡む大活躍を見せた。；唇から流れる血を拭いもせず、むしろそれを舌に絡ませるようにして言う。；呼称には、後述する歴史的な背景が多く絡んで複雑な経緯を内包している。；ひょっとするとカゲヌシが絡んでいるかもしれないと裕生は思っていた。；そこにはどうしても物質から来た賤しい目的が絡まなければならない。；作内に思い出したように登場しては物語に絡んでくる劇中劇のシリーズ。；桜の花に絡んだ習慣がなかつたとしたら、此歌は出来なかつたはずである。；芸者の髪の毛を二三本貰って、白シャツのボタンへ絡ませて置くんだよ。；夫婦で絡む場合もあれば、互いに別のパートナーと演じる場合もあった。；得点には絡まなかったがリーグ戦で低迷しているチームの勝利に貢献した。；男と男の絡みを暗示するものばかりでヴィデオを変える事をあきらめた。；それにああ脚が長くては、首まで絡まれて逃げられなくなりそうだ。；実際にこの現象が現れるのが、病期の移行区分に絡むケースである。；なお地形にはたいまつの様な火とジャンプの両方が絡む特殊な地形もある。；おまえの話を聞いていると、これには教会の利益が絡んでいるように思えます。；自分は、すぐ隣でおばさんたちが絡まれているのに何もできなかった。；そのため、勝敗には純粋な実力のみでなく、運の要素が絡む性質がある。；一度モチーフに絡まれたが最後、捨てようにも捨てられないのである。；ある者は足が絡み、手が引っかかり、全体でお団子のようになっている。；そのほか、後述するように様々な社会的な事情が背景に絡んでいることもある。；そこに、たとえば殺人といった犯罪が絡む可能性は充分にありえました。</t>
        </is>
      </c>
      <c r="J1721">
        <f>HYPERLINK("https://www.weblio.jp/content/絡む", "词义详情")</f>
        <v/>
      </c>
      <c r="K1721">
        <f>HYPERLINK("https://yourei.jp/絡む", "查看例句")</f>
        <v/>
      </c>
    </row>
    <row r="1722">
      <c r="A1722" t="inlineStr">
        <is>
          <t>駆られる</t>
        </is>
      </c>
      <c r="B1722" t="inlineStr">
        <is>
          <t>成功</t>
        </is>
      </c>
      <c r="C1722" t="inlineStr">
        <is>
          <t>読み方：かられる
［動ラ下一］《動詞「か（駆）る」の未然形に受身の助動詞「れる」が付いて一語化したもの》ある激しい感情に動かされる。「不安に—・れる」「好奇心に—・れる」</t>
        </is>
      </c>
      <c r="D1722" t="inlineStr">
        <is>
          <t>駆られるまま(3%)；駆られるあまり</t>
        </is>
      </c>
      <c r="H1722" t="n">
        <v>29</v>
      </c>
      <c r="I1722" t="inlineStr">
        <is>
          <t>さすがに次々と家族が奪われていくような思いに駆られるのではないか。；さっきの悲鳴も、女のであればこそ彼は猟奇な興奮に駆られたのである。；これを見た倉橋は、穴があれば入りたいような気持ちに駆られたという。；ニュースを聞いた者は衝動に駆られたように家族や知人に電話をかけた。；見ていて香苗自身、ふと不思議な思いに駆られることもなくはなかった。；みんなわたしを置いて行ってしまった、ブレクは不意に恐怖に駆られた。；かれは衝動に駆られるまま、自分の魂を鳥に向けて浮遊させようとした。；何となく、不安な予感に駆られて私はその写真をとっておいたのだった。；しかし彼女はそうとわかるといっそう絶望の気持ちに駆られるばかりだった。；あいつの首をねじ切ってやりたい衝動に、わしは何べんも駆られました。；それが、あまりにもはっきりしているので、彼女は狂気に駆られていた。；突然の恐怖と同情に駆られたアランはあの娘を守って両腕に抱いたのだ。；暗い衝動に駆られたようにもう私は二、三歩その小舟の方へ歩いていた。；意識がはッきりするにつれて彼は収拾のつかない自己嫌悪に駆られていた。；大尉はますます不安に駆られていたが、どう決心してよいかわからなかった。；外へ飛び出して、誰にでもいい、この重大発見を話したい気持に駆られた。；一時の昂奮に駆られて喋っているのだとお取りになっては間違います。；横顔が滅多に見られないような表情をしていて、僕は罪悪感に駆られる。；大切な記憶を失っていく不安に駆られながらもソラ達は先へと進む。；だから生きのこった者たちは恐怖と狂気に駆られて竜の前から逃げた。；しかし、加賀見の視線に異様なものを感じ、澪生は不安に駆られていた。；わたしはふと好奇心に駆られて、その写真どうしたかとたずねました。；身内なら耐えられない声だったので、激情に駆られ、大佐が扉を開けた。；激しい望郷の思いに駆られていただけに、怒りにも似た思いが湧いたのだ。；連中は酒の勢いに駆られたら、人にどんなまねをするか知れたものではない。；私は緊張に耐えかねて、ただ意味もなく声の限りに叫びたい衝動に駆られた。；そうした不安に駆られたまま、午後はずっとテレビを見て過ごした。；一晩じゅう、アウダ夫人は居ても立ってもいられない不安に駆られていた。；学校に帰ってすぐに、情に駆られた手紙を姉へ書いたこともあった。</t>
        </is>
      </c>
      <c r="J1722">
        <f>HYPERLINK("https://www.weblio.jp/content/駆られる", "词义详情")</f>
        <v/>
      </c>
      <c r="K1722">
        <f>HYPERLINK("https://yourei.jp/駆られる", "查看例句")</f>
        <v/>
      </c>
    </row>
    <row r="1723">
      <c r="A1723" t="inlineStr">
        <is>
          <t>借り</t>
        </is>
      </c>
      <c r="B1723" t="inlineStr">
        <is>
          <t>成功</t>
        </is>
      </c>
      <c r="C1723" t="inlineStr">
        <is>
          <t>読み方：かり
１借りること。また、借りたもの。特に、借金・借財・負債など。「—を返済する」⇔貸し。
２人から恩義・援助・恥辱などを受けて、その報いをしていない状態。「この—はいつかきっと返す」⇔貸し。
３簿記で、「借り方」の略。⇔貸し。</t>
        </is>
      </c>
      <c r="D1723" t="inlineStr">
        <is>
          <t>借りるなら；借りるべき；借りるべく</t>
        </is>
      </c>
      <c r="E1723" t="inlineStr">
        <is>
          <t>取る；リース；雇う；拝借；チャーター</t>
        </is>
      </c>
      <c r="F1723" t="inlineStr">
        <is>
          <t>円借りる；軒借りる</t>
        </is>
      </c>
      <c r="H1723" t="n">
        <v>29</v>
      </c>
      <c r="I1723" t="inlineStr">
        <is>
          <t>セット建て込みには美術スタッフだけではなく大工の手も借りたという。；ああ云う風な商売をして居ては金を借りるのにもなれてましょうから。；初めて触れたのは兄がやっていたバンドのベーシストから借りたとき。；いずれにせよ少しでも怪しいと感じたら絶対に借りないことが第一である。；開業していたときは、患者さんから、お金を借りることができたものだ。；ホテルによって運営されていたり、借りることのできる馬車も存在する。；公共図書館から借りてきた科学の本を読み、自分のラジオセットを作った。；彼らはまたエンジンの開発に、オーレ・エヴィンルードの助けを借りた。；また、ある資料ではルイス軽機関銃の機構を借りたものとも言われている。；また小作農が有利な条件でお金を借りることができる銀行を設立した。；イングランドに出かけたときのためにブライトンにもアパートを借りている。；利用者登録を行い、図書館カードを作成することで借りることができる。；でも、力を貸してくれないのなら、こっちは借りる方法を知っているわ。；キャラクターも名前だけ借りた全くのオリジナルとなっている。；自然の力を借りるということで、陶器はたいへんな得をしておるのです。；この時期に流入した言葉は日本式英語の発想や発音を借りたものが多い。；おそらくフランスとイタリアの詩形から借りてきたものと思われる。；雪子は、妙子は奥畑から多くの物をもらっており借りがあると説得する。；兄に借りた自転車で、地元のレースに出場したのが初めてのレース参加であった。；借りるとなると、大した金でもないのに、いかに面倒であるかがわかる。；当初は公共施設を借りる形での練習であり、本人は首都圏を中心に活動。；借りていた部屋の近くに室内スキー場があり、滑らずにはいられなかった。；また歴代のブラックパンサーの霊から技能や知識を借りることもできる。；登場人物と一部設定を借りている点以外は、ほぼゲーム独自の内容となっている。；とても簡単でしたし、助手たちの手を借りるにも及びませんでしたわ。；しかし彼女は、カジモドの助けを借りて、大聖堂からの脱出に成功する。；その意志を継いだ子孫の勢力を危惧したローマ教皇はフランスの手を借りた。；前川さんにお金を借りるくらいの危道を踏んでもいいのではないかしら。；過酷な天候に対抗するため我々は技術の助けを借りる必要があるでしょう。</t>
        </is>
      </c>
      <c r="J1723">
        <f>HYPERLINK("https://www.weblio.jp/content/借り", "词义详情")</f>
        <v/>
      </c>
      <c r="K1723">
        <f>HYPERLINK("https://yourei.jp/借り", "查看例句")</f>
        <v/>
      </c>
    </row>
    <row r="1724">
      <c r="A1724" t="inlineStr">
        <is>
          <t>狩り</t>
        </is>
      </c>
      <c r="B1724" t="inlineStr">
        <is>
          <t>成功</t>
        </is>
      </c>
      <c r="C1724" t="inlineStr">
        <is>
          <t>読み方：かり
１山野で鳥獣を追いかけて捕らえること。猟(りょう)。狩猟。《季冬》「弓張や—に出る子のかげぼふし／嘯山」
２（接尾語的に用い、「がり」と濁る）
㋐魚介類をとること。「潮干—」
㋑山野で植物を観賞・採集すること。「まつたけ—」「もみじ—」
㋒追いたてて捕らえること。「山—」「魔女—」
[補説]作品名別項。→かり</t>
        </is>
      </c>
      <c r="D1724" t="inlineStr">
        <is>
          <t>狩り集め；狩り立て；狩りたて；狩りバチ；狩りあつめ</t>
        </is>
      </c>
      <c r="E1724" t="inlineStr">
        <is>
          <t>狩猟；猟；ハント；狩；ハンティング</t>
        </is>
      </c>
      <c r="F1724" t="inlineStr">
        <is>
          <t>残党狩り；鹿狩り；熊狩り；狐狩り；ライオン狩り</t>
        </is>
      </c>
      <c r="G1724" t="inlineStr">
        <is>
          <t>狩り出し；狩り場；狩り出す；狩り出そ；狩り込み</t>
        </is>
      </c>
      <c r="H1724" t="n">
        <v>29</v>
      </c>
      <c r="I1724" t="inlineStr">
        <is>
          <t>ある公が狩りの後でヴォルガ川沿いの斜面の上で一休みして眠っていた。；伝道師の何人かは先住民族の中で生活し、狩りや移住の場合は同行した。；主に仔猫の頃の夢や、狩りをしているときの夢を見るといわれている。；数日後、父と兄が狩りに出かけるのを見てハトシェプストはついていく。；舟を浮かべて海や山へ行く交通路であり、釣りや狩りの場でもあった。；サンゴ礁付近ではハタ類と協力して狩りを行うことも報告されている。；鷹狩りを趣味としていたのは有名で、3000羽の鷹を飼育させていた。；特に生きたまま与えることで狩りの訓練をさせるという側面がある。；死因は狩りの後に熱を出したことで、これは天然痘の初期症状だった。；動物は遊びのなかで狩りやコミュニケーションの方法を学んでゆく。；公園に指定されている地域は既に一万年以上前から狩りや牧畜を行う人が住んでいた。；この後、狩りは中止され、晩になって山神・矢口の祭りが執り行われた。；題詞には「天皇が蒲生野で狩りをされた時に額田王が作った歌」とある。；昭和の初め頃までは、秋になると駅周辺でマツタケ狩りが行われた。；乗馬や狩り、騎馬訓練が趣味であったことにそうした性格が示されている。；海賊や殺人犯人の仕業ではないかと目され、山狩りが行われることになった。；集団で狩りをするため、アフリカのあらゆる動物を獲物とすることができる。；一部の地域では、食物を補充するために狩りや野生の植物の採集を行う。；最初の年の秋までには自分で狩りをするようになり、その後巣立つ。；この変化は男達が狩りをする傍らで農耕に励んでいた女性達に特に影響した。；これは大きく危険な獲物を倒すために集団で狩りをする動物では明らかである。；主に単独で行動するが、仲間と共に狩りや任務を行う場合は三人一組で行動する。；一部の猛禽は人間の生活に順応し、中には都市で狩りをする例も知られている。；愛玩用の犬種ではあったが、しばしば番犬やネズミ狩り用にも使われた。；その後ヒトが定着し、狩りをするようになってムラを形成するようになった。；狩りは川沿いの土手や地上の開けた見通しの良い場所で行うという説もある。；残りの9人は武装した上陸部隊の数週間にわたる山狩りののち拘束された。；最近はこの放送局を利用しないで、連盟内などで狩りを行うキャラクターが多くなっている。；基本的に一隻の船に少人数で行動するが、大規模な狩りの場合は仲間を集める。</t>
        </is>
      </c>
      <c r="J1724">
        <f>HYPERLINK("https://www.weblio.jp/content/狩り", "词义详情")</f>
        <v/>
      </c>
      <c r="K1724">
        <f>HYPERLINK("https://yourei.jp/狩り", "查看例句")</f>
        <v/>
      </c>
    </row>
    <row r="1725">
      <c r="A1725" t="inlineStr">
        <is>
          <t>仮～</t>
        </is>
      </c>
      <c r="B1725" t="inlineStr">
        <is>
          <t>成功</t>
        </is>
      </c>
      <c r="C1725" t="inlineStr">
        <is>
          <t>読み方：か
［音］カ（漢）ケ（呉）　［訓］かり
［学習漢字］5年
〈カ〉
１本物・本式ではなく一時的な間に合わせ。一時的な見せかけ。「仮称・仮性・仮説・仮題・仮定・仮名・仮面」
２一時的に。「仮寓(かぐう)・仮設・仮泊・仮眠」
３かりる。「仮借(かしゃ)」
４ゆるす。「仮借(かしゃく)／寛仮(かんか)」
〈ケ〉の1に同じ。「仮病／虚仮(こけ)」
〈かり〉「仮初(かりそめ)・仮寝・仮処分」
［難読］仮字(かな)・仮令(たとい・たとえ)</t>
        </is>
      </c>
      <c r="H1725" t="n">
        <v>0</v>
      </c>
      <c r="J1725">
        <f>HYPERLINK("https://www.weblio.jp/content/仮～", "词义详情")</f>
        <v/>
      </c>
      <c r="K1725">
        <f>HYPERLINK("https://yourei.jp/仮～", "查看例句")</f>
        <v/>
      </c>
    </row>
    <row r="1726">
      <c r="A1726" t="inlineStr">
        <is>
          <t>借り入れる</t>
        </is>
      </c>
      <c r="B1726" t="inlineStr">
        <is>
          <t>成功</t>
        </is>
      </c>
      <c r="C1726" t="inlineStr">
        <is>
          <t>読み方：かりいれる
［動ラ下一］［文］かりい・る［ラ下二］金や品物を借りる。「銀行から—・れる」⇔貸し出す。</t>
        </is>
      </c>
      <c r="D1726" t="inlineStr">
        <is>
          <t>取る；借りる；リース；雇う；拝借</t>
        </is>
      </c>
      <c r="H1726" t="n">
        <v>29</v>
      </c>
      <c r="I1726" t="inlineStr">
        <is>
          <t>工業団地の建設費53億円はすべて金融機関から借り入れることになった。；幕府は、享保時代から民間の資金を借り入れるようになり、御用金と呼ばれた。；資金繰りのために堤康次郎は土地を担保にして銀行から借り入れる。；一番抵当に五千円借りた人はそれの抹消後にもう七千円くらいの借りられるだけの金を借り入れるのであった。；末期は130形のみの在籍であるが、検査時等は福武線の10形を借り入れる体制になっていた。；天明3年12月25日、幕府から飢饉対策のために1万両を借り入れる。；これはロジバンに固有の言葉と外から借り入れる言葉とが同音異義語となるのを防ぐうえで有意義である。；土地を所有している者はいないため、土地を担保に住宅建設資金を借り入れることはできないので、住民はもっぱら自力で住居を建てている。；講から馬の購入資金を借り入れている者はその清算を、新規に借り入れる場合もこの祭りの際に締結した。；そのため、オランダ商館側は日本の商人から金を借り入れることになったが、一番有力な借入先が茂貞であった。；銀行が確実かつむだなく資金を借り入れる能力は極めて重要であり、銀行の信用力に対する信頼が流動性にとって重要である理由となっている。；資金は日本興業銀行から90万円を借り入れることになった。；カードを利用して予め契約した貸出枠の範囲でCD・ATMを通じて資金を借り入れることができる。；本組合設立に伴う起債額は1万7千円で、日本勧業銀行から借り入れる形をとった。；国鉄が借り入れる形で1956年5月から梅小路機関区で入換に使用された。；通常、このような鉄道建設を民間が行う場合は国から長期低金利の政府資金融資が受けられることが多いが、東京モノレールは国からそのような融資を受けることができなかったので、建設費用のすべてを民間の金融機関から借り入れることとなった。；しかし付帯工事などの関係で予算オーバーが発生し、新たに96万円を借り入れる羽目になった。；なお、会社が金融機関から資金を借り入れる際、取締役が連帯保証人となるのが通常である。；横田基地の航空審査部を訪ね、相談して工場を再建することにし、基地から2キロ離れた現在の場所に千坪の地所を借り入れることができた。；金銭消費貸借契約とは、将来の弁済を約束した上で、金銭を消費するために借り入れる契約のことである。；河合は切腹を免れるために親元に足りなくなった資金を借り入れるために使いを出したが、たまたま実家で騒動が起きていて資金を送るのが遅れてしまい、結果資金は河合切腹直後に届けられたという説がある。；金山開発のため、多額の資金を幕府から借り入れることに成功したが、家臣に供出させた金を金塊へ吹き直して幕府に納めていたというエピソードがあることから、金山開発は幕府から資金を引き出すための口実に過ぎず、県は金山開発を行う気はなかったとする説がある。；複数の政府系金融機関と交渉して7000万円を調達したが資金はなお不足し、労働組合からも借り入れる有様だった。；借上とは、江戸時代に藩が財政難を打開するために取った措置のことで、家臣の知行や封禄の一部を藩が借り入れる形で支給を停止したり、商人などに与えていた免税などの特権を一時的に停止することを指すが、前者の事例が良く知られている。；具体的には金融機関との間で当座貸越契約を結び、その範囲内で借り入れる場合と、個別に期間と金額及び利率とを定めて借り入れる場合とがある。；蔵元から藩の入用金を借り入れることが役目である。；さらに第一次世界大戦の影響で物価が高騰したため第五十九銀行、佐々木銀行より借り入れることになった。；外貨を必要とするある企業が、資金をその外国の銀行から借り入れたり、外貨建債券を発行して調達したりする場合、自国内で借り入れるより金利が高くなるのが通例である。；しかし池田のたび重なる要請にもかかわらず、ドッジは開銀は資金運用部資金から借り入れることを許さなかった。</t>
        </is>
      </c>
      <c r="J1726">
        <f>HYPERLINK("https://www.weblio.jp/content/借り入れる", "词义详情")</f>
        <v/>
      </c>
      <c r="K1726">
        <f>HYPERLINK("https://yourei.jp/借り入れる", "查看例句")</f>
        <v/>
      </c>
    </row>
    <row r="1727">
      <c r="A1727" t="inlineStr">
        <is>
          <t>カリスマ</t>
        </is>
      </c>
      <c r="B1727" t="inlineStr">
        <is>
          <t>成功</t>
        </is>
      </c>
      <c r="C1727" t="inlineStr">
        <is>
          <t>読み方：かりすま
１《ギリシャ語で、神の賜物の意》超自然的、超人間的な力をもつ資質。預言者・呪術(じゅじゅつ)者・軍事的英雄などにみられる、天与の非日常的な力。この資質をもつ者による支配をマックス＝ウェーバーはカリスマ的支配と名づけ、合法的支配・伝統的支配とともに三つの支配類型の一つとした。
２人々の心を引きつけるような強い魅力。また、それをもつ人。「—性のある人物」「ファッション界の—」</t>
        </is>
      </c>
      <c r="D1727" t="inlineStr">
        <is>
          <t>カリスマ的な人気(3%)；カリスマ的な指導；カリスマ店員；カリスマ化；カリスマ作家</t>
        </is>
      </c>
      <c r="E1727" t="inlineStr">
        <is>
          <t>神；能力；才能；タレント；英雄</t>
        </is>
      </c>
      <c r="F1727" t="inlineStr">
        <is>
          <t>宗教的カリスマ；若きカリスマ；カリスマ主婦；カリスマリスナー；sharkカリスマ敏腕</t>
        </is>
      </c>
      <c r="G1727" t="inlineStr">
        <is>
          <t>カリスマ的；カリスマ運動；カリスマ派；カリスマ・レコード；カリスマモデル</t>
        </is>
      </c>
      <c r="H1727" t="n">
        <v>29</v>
      </c>
      <c r="I1727" t="inlineStr">
        <is>
          <t>クラスには、活発で光を発しているようなカリスマを持った人間がいる。；このため、ハルステッドは非常に人気がありカリスマ的な教師となった。；カリスマが足らないとたとえ資金があっても設置をする事が出来ない。；その調査の対象である麻里亜は、学院内ではカリスマ的な存在であった。；カリスマが批判された場合は、それをカリスマの聖性の証明と受け取る。；彼は、当時のゲーム業界最大のカリスマと呼ばれていた男だった。；記憶に残る演技とカリスマ的な存在感で批評家からも尊敬された。；前回までの勢いと威圧感、あのカリスマの姿はどこへ消えてしまったのか。；が表示されているキャラクターはカリスマユニットとして使うことができる。；織田信長は、圧倒的なカリスマを持っており、部下はその下で必死に働く。；なお召喚できる最大数はカリスマユニットを含めて25体までとなっている。；新美の牽引力は、その当時、たしかにカリスマ的な強烈さを持っていた。；私生活を開けっぴろげにしていては自己がカリスマ的な存在でなくなるからだ。；闇の頂点とやらに立つ、悪のカリスマが何かをするから世界が滅ぶのではない。；カリスマは施設の設置や区画の決定をする事で消費していく。；増加している影響が、裏口よりカリスマの教えの導入として見られる。；あんな第一位みたいな悪のカリスマのようにならなくても良い。；教会の一番嫌う民間のカリスマになりすますことを意識して避けた。；このようなカリスマ的なものは、意味がないどころか、有用な場合もある。；イナーキの圧倒的な実力とカリスマによってメンバー達の結束力は高い。；使徒的生活と修道生活は唯一のカリスマであり、一体のものである。；ポイントは毎年の決算で補充されるが、資金を消費してカリスマを得る事も可能。；性格は生真面目かつ勇猛だが、突出したカリスマがあるわけではない。；カトリック教会では、ペンテコステの名称よりもカリスマの語が使われる。；最後の作品で城ヶ崎先輩のカリスマぶりに嫌らしく水がさせれば良いと思った。；投球術や球種の豊富さなど、社会人野球界のカリスマ的な存在だった。；カークの記憶にあるカリスマ的な態度も失われていない。；カリスマなんて言葉も正直いって好きじゃないです。；これがランダルが言う静かなカリスマという奴なのかも知れない。</t>
        </is>
      </c>
      <c r="J1727">
        <f>HYPERLINK("https://www.weblio.jp/content/カリスマ", "词义详情")</f>
        <v/>
      </c>
      <c r="K1727">
        <f>HYPERLINK("https://yourei.jp/カリスマ", "查看例句")</f>
        <v/>
      </c>
    </row>
    <row r="1728">
      <c r="A1728" t="inlineStr">
        <is>
          <t>仮に</t>
        </is>
      </c>
      <c r="B1728" t="inlineStr">
        <is>
          <t>成功</t>
        </is>
      </c>
      <c r="C1728" t="inlineStr">
        <is>
          <t>読み方：かりに
［副］
１一時の間に合わせに物事をするさま。暫定的に。「—糊(のり)で補強しておく」
２仮定を表す。もし。「—僕が君だったらそうするだろう」</t>
        </is>
      </c>
      <c r="D1728" t="inlineStr">
        <is>
          <t>仮にもし；仮にそういう；仮に名づけ；仮に何らかの；仮に不</t>
        </is>
      </c>
      <c r="E1728" t="inlineStr">
        <is>
          <t>一つ；もし；一応；もしも；万一</t>
        </is>
      </c>
      <c r="F1728" t="inlineStr">
        <is>
          <t>いま仮に；もしも仮に；まあ仮に；若し仮に；仮に不成</t>
        </is>
      </c>
      <c r="H1728" t="n">
        <v>29</v>
      </c>
      <c r="I1728" t="inlineStr">
        <is>
          <t>超人間的な存在が仮に人間として現れる場合も面をかける場合が多い。；閑地の墓地は本来、家族の迎えを待つ間に仮に埋葬されるべき場所である。；仮に現在の高解像度のハッブル望遠鏡を用いてもほぼ限界の領域である。；仮に磁気単極子が存在するものとすれば、この式は次のように修正される。；他にも「仮に基準面と設定した面」からの高さで数値で表す場合もある。；仮に実現していれば北極圏内で開催される初のオリンピックであった。；仮に鑑定書があっても、贋作を真作に見せるための道具の可能性もある。；しかし、仮に私が友人の前に立った時、彼に諦めたと言いたくはなかった。；仮に異世界の者同士で戦闘になっても相手の未来を変えなければ問題にはならない。；パラシュートは仮に3基のうち1基が展開しなくても着水は可能である。；仮に月と地球の公転軌道が完全な円であったなら金環食しか見られなくなる。；仮に数え直しが理論的には公正であっても、実際上は不公平である。；仮にメアリーが何か新しい事を知るとしたら、 それは物理的な事実ではない。；仮に人間がこの門の中に入ったとしたら、一年がかりでも底にたどり着けない。；まずは仮に、左詰めで黒マスの間に白マスを1つ入れながら埋めていく。；しかし本作では鬼が本体であって、仮に美女の姿をとっている。；仮にA国の輸出工業がB国の輸出工業の10倍の生産性を持っていたとする。；しかし亡くなった入居者の家族は、仮に拒否しても方法はあったはずだと納得していない。；仮に証拠を示しても鵜呑みにはしてもらえない類いの話である。；仮に細胞層がやぶれて受精しても、大多数は正常に成長せず死滅します。；仮に出場して自己ベストの1m90をマークすれば6位入賞に相当した。；仮に性犯罪を起こした人間が外国人でも同様の扱いを受ける。；仮に修理に失敗した場合、その分の金額はプレイヤーに返金される。；そのため仮に順法闘争がなくても利用者の怒りが爆発していた可能性があったとの指摘もある。；将来、仮に重大な事故が起きた場合、西日本にも被害や影響が出ると予測されている。；仮に燃料投棄が終わっていれば機体にはかなりの浮力が付加されるはずである。；極小値が仮に存在したとして、それらが必ずしも最小であるとは限らない。；仮に社会的享受が少ないほど貢献しているとするならば、死ぬことが最大の貢献になることになる。；仮に、現状の知識が乏しいからといって、その状況は非難される性質ではない。</t>
        </is>
      </c>
      <c r="J1728">
        <f>HYPERLINK("https://www.weblio.jp/content/仮に", "词义详情")</f>
        <v/>
      </c>
      <c r="K1728">
        <f>HYPERLINK("https://yourei.jp/仮に", "查看例句")</f>
        <v/>
      </c>
    </row>
    <row r="1729">
      <c r="A1729" t="inlineStr">
        <is>
          <t>借りる</t>
        </is>
      </c>
      <c r="B1729" t="inlineStr">
        <is>
          <t>成功</t>
        </is>
      </c>
      <c r="C1729" t="inlineStr">
        <is>
          <t>読み方：かりる
［動ラ上一］《動詞「か（借）る」（四段）の上一段化》
１あとで返す約束で、人の物を一時的に自分のもののように使う。「友人から金を—・りる」「図書館で本を—・りる」⇔貸す。
２使用料を払って一定の期間自分の用に使う。「アパートを—・りる」⇔貸す。
３他より知恵・力などの助けを受ける。「年長者の知恵を—・りる」⇔貸す。
４ある目的のために一時的に他の物を利用する。「この場を—・りて一言お礼を申し上げます」「あなたの言葉を—・りて言えば」
[補説]上一段活用の「借りる」が用いられるのは近世後期の江戸語から。今日、共通語では「借りる」であるが、関西では五段活用の「借る」が用いられる。</t>
        </is>
      </c>
      <c r="D1729" t="inlineStr">
        <is>
          <t>借りるなら；借りるべき；借りるべく</t>
        </is>
      </c>
      <c r="E1729" t="inlineStr">
        <is>
          <t>取る；リース；雇う；拝借；チャーター</t>
        </is>
      </c>
      <c r="F1729" t="inlineStr">
        <is>
          <t>円借りる；軒借りる</t>
        </is>
      </c>
      <c r="H1729" t="n">
        <v>29</v>
      </c>
      <c r="I1729" t="inlineStr">
        <is>
          <t>セット建て込みには美術スタッフだけではなく大工の手も借りたという。；ああ云う風な商売をして居ては金を借りるのにもなれてましょうから。；初めて触れたのは兄がやっていたバンドのベーシストから借りたとき。；いずれにせよ少しでも怪しいと感じたら絶対に借りないことが第一である。；開業していたときは、患者さんから、お金を借りることができたものだ。；ホテルによって運営されていたり、借りることのできる馬車も存在する。；公共図書館から借りてきた科学の本を読み、自分のラジオセットを作った。；彼らはまたエンジンの開発に、オーレ・エヴィンルードの助けを借りた。；また、ある資料ではルイス軽機関銃の機構を借りたものとも言われている。；また小作農が有利な条件でお金を借りることができる銀行を設立した。；イングランドに出かけたときのためにブライトンにもアパートを借りている。；利用者登録を行い、図書館カードを作成することで借りることができる。；でも、力を貸してくれないのなら、こっちは借りる方法を知っているわ。；キャラクターも名前だけ借りた全くのオリジナルとなっている。；自然の力を借りるということで、陶器はたいへんな得をしておるのです。；この時期に流入した言葉は日本式英語の発想や発音を借りたものが多い。；おそらくフランスとイタリアの詩形から借りてきたものと思われる。；雪子は、妙子は奥畑から多くの物をもらっており借りがあると説得する。；兄に借りた自転車で、地元のレースに出場したのが初めてのレース参加であった。；借りるとなると、大した金でもないのに、いかに面倒であるかがわかる。；当初は公共施設を借りる形での練習であり、本人は首都圏を中心に活動。；借りていた部屋の近くに室内スキー場があり、滑らずにはいられなかった。；また歴代のブラックパンサーの霊から技能や知識を借りることもできる。；登場人物と一部設定を借りている点以外は、ほぼゲーム独自の内容となっている。；とても簡単でしたし、助手たちの手を借りるにも及びませんでしたわ。；しかし彼女は、カジモドの助けを借りて、大聖堂からの脱出に成功する。；その意志を継いだ子孫の勢力を危惧したローマ教皇はフランスの手を借りた。；前川さんにお金を借りるくらいの危道を踏んでもいいのではないかしら。；過酷な天候に対抗するため我々は技術の助けを借りる必要があるでしょう。</t>
        </is>
      </c>
      <c r="J1729">
        <f>HYPERLINK("https://www.weblio.jp/content/借りる", "词义详情")</f>
        <v/>
      </c>
      <c r="K1729">
        <f>HYPERLINK("https://yourei.jp/借りる", "查看例句")</f>
        <v/>
      </c>
    </row>
    <row r="1730">
      <c r="A1730" t="inlineStr">
        <is>
          <t>刈る</t>
        </is>
      </c>
      <c r="B1730" t="inlineStr">
        <is>
          <t>成功</t>
        </is>
      </c>
      <c r="C1730" t="inlineStr">
        <is>
          <t>読み方：かる
［動ラ五（四）］
１伸び茂っているものを根元を残して切り払ったり、切り取ったりする。「草を—・る」「髪を—・る」
２演劇で、俳優や時間その他の都合により、上演中の脚本の一部分を省略して演じる。
[可能]かれる</t>
        </is>
      </c>
      <c r="D1730" t="inlineStr">
        <is>
          <t>刈るべき</t>
        </is>
      </c>
      <c r="E1730" t="inlineStr">
        <is>
          <t>切る；切断；割る；切除；切り離す</t>
        </is>
      </c>
      <c r="F1730" t="inlineStr">
        <is>
          <t>短く刈る</t>
        </is>
      </c>
      <c r="H1730" t="n">
        <v>29</v>
      </c>
      <c r="I1730" t="inlineStr">
        <is>
          <t>刈られていなくてもその半分しかない草の中に隠れられるものだろうか?；彼は小さい頃から頭を刈りあげていたし、まったく髪形を変えなかった。；本作は後にメインタイトルを原作どおりの『草を刈る娘』に変えている。；その先端についている爪などは、女が麦を刈る時に使う鎌ほどもあった。；髪を短く刈っているのに、だがどうしたわけか男性とは思えなかった。；その顔のまわりには、当然、刈りこんだ短い髪があるのだと思っていた。；用意周到な男で、刈り立てのと十日伸びのと二十日伸びのを持っている。；男の頭が青くみえたのは、髪をバリカンで刈ったばかりだったのだろう。；俺は一郎さんの頭は、あんたが小学生の時から刈っているわけだからな。；赤い草のような植物を短く刈りこんだ草原に、わたしは横たわっていた。；「雨がこないうちに刈ってしまいたいもんだ」 サトは太陽を見上げた。；私の事業は、一本一本の竹を刈る喜びの上に積み重ねてきたものです。；地球へ帰るまえに短く刈っておこうかと、一度は考えたことがあった。；刈り出してから降られては困ると一日二日と雨を待つてのばしてゐた。；頭を刈って顔を剃ったばかりなのに年が二つ位老けたような気がする。；頭を刈りあげていたため、うしろからでは私には分らなかったのだ。；頭を五分刈りにしているので、棒を持たせれば目つきの悪い寺の門番だ。；ゴルフ場では人々がゲームを楽しみ、労働者たちは畑で麦を刈っている。；髪の毛を極端に短く刈りこんでいるのも他のピップたちとは違う点である。；髪を短く刈っているため、そう告げられない限り、女性と思うことはない。；一年後輩の彼は、五分刈りにした頭に複雑な模様のバンダナをしている。；一人のアメリカ人が巨大な肩の上に、少年のように短く刈った頭を載せている。；仰向けに倒れて、短く刈りこんだひげのなかから白い歯がみえている。；なにせ日本の金融機関には草を刈るほどの力も残っていないのだから。；時計の上でかえりみられぬ仕事をしている小さな乾草刈りもそれを認めた!；もう一つの椅子にも客がいて、金学甫が髪を刈りて終ろうとしている。；彼の前には綺麗な若い娘と白髪を後頭で刈り切つた老婆とが立つてゐた。；頭髪も予は十二、三歳頃までは西洋人の小児の如く長目に刈りていたり。；それにつづいて、わしも、わしもと、誰一人刈るものがなくなりました。</t>
        </is>
      </c>
      <c r="J1730">
        <f>HYPERLINK("https://www.weblio.jp/content/刈る", "词义详情")</f>
        <v/>
      </c>
      <c r="K1730">
        <f>HYPERLINK("https://yourei.jp/刈る", "查看例句")</f>
        <v/>
      </c>
    </row>
    <row r="1731">
      <c r="A1731" t="inlineStr">
        <is>
          <t>軽い</t>
        </is>
      </c>
      <c r="B1731" t="inlineStr">
        <is>
          <t>成功</t>
        </is>
      </c>
      <c r="C1731" t="inlineStr">
        <is>
          <t>読み方：かるい
［形］［文］かる・し［ク］
１目方が少ない。また、抵抗が小さい。「荷物が—・い」「空気より—・い気体」「ペダルが—・い自転車」⇔重い。
２動きに力がかかっていない。「ドアを—・くノックする」「—・い身のこなし」⇔重い。
３束縛感やこだわりがなくのびのびしている。「心が—・くなった」「足どりが—・い」⇔重い。
４浮ついている。軽率・軽薄である。「口の—・い男」「尻が—・い」
５
㋐たいした程度でない。「罪が—・い」「—・い病」「—・い冗談」⇔重い。
㋑重要でない。重大でない。「責任が—・い」「相手を—・く見る」「事態を—・く考える」⇔重い。
６本格的でない。大げさでなく手軽である。「—・い食事」「—・い運動」「—・く一杯やろう」
７刺激が少なくあっさりとしている。「—・いタバコ」「—・いタッチの随筆」「—・い音楽」
８簡単にできるさま。容易である。「こんな問題なんて—・いもんさ」「大台を—・く突破する」
９コンピューターが素早く動作するさま。コンピューターの性能に比べて負荷が小さいソフトウエアを動かす時などに、命令や処理にかかる時間が極めて短いさまを指す。「動作が—・いブラウザー」⇔重い。
[派生]かるげ［形動］かるさ［名］かるみ［名］
[下接句]口が軽い・尻(しり)が軽い・命は義によりて軽し・命は鴻毛(こうもう)より軽し・死は或(ある)いは泰山(たいざん)より重く或いは鴻毛より軽し</t>
        </is>
      </c>
      <c r="D1731" t="inlineStr">
        <is>
          <t>軽いもの(4%)；軽い気持ち(3%)；軽い音；軽い食事；軽い調子</t>
        </is>
      </c>
      <c r="E1731" t="inlineStr">
        <is>
          <t>やすい；容易；明るい；楽；面白い</t>
        </is>
      </c>
      <c r="F1731" t="inlineStr">
        <is>
          <t>比較的軽い；ごく軽い；最も軽い；軽いめまい；軽い眩暈</t>
        </is>
      </c>
      <c r="G1731" t="inlineStr">
        <is>
          <t>軽い正孔；軽いい</t>
        </is>
      </c>
      <c r="H1731" t="n">
        <v>29</v>
      </c>
      <c r="I1731" t="inlineStr">
        <is>
          <t>彼女の身体は、本当に羽が生えているのではないかと思うほど軽かった。；軽く取り回しがいいこの銃はすぐにドイツ軍部に採用され生産に入った。；より軽い材料と新しい主翼の採用も燃費性能を向上させると期待された。；軽く振って本塁打にするにはどれだけ時間がかかるか知らん奴が言うこと。；アレイと呼ばれる非常に軽い木でできており各国様々なタイプが存在する。；軽い筈だが両手でかつぐ格好を取り、敵に当たると一発で壊れてしまう。；物質が燃焼すると、残った物質が軽くなる場合と重くなる場合とがある。；少女の身体は軽かったが、箱に入れると持ちにくいし重心も安定しない。；その軽くなった竹筒が元に戻る際に支持台を勢いよく叩き音響を生ずる。；その状態にて軽く引っ張ってみて、連結状態を確認するのが確実である。；比較的軽い症状だと患者はその悲しみがどこから来るのか分かっている事が多い。；存命ならば代表100試合出場は軽く超えていたであろうと言われている。；身体は地面に足が着いてないんじゃないかと思うほど軽かったです。；生きていた時は軽かったが、比重の大きい石に突然、変化してしまった。；軽い様式の考案者ではないにしても、それを公式化したと見做されている。；米俵より軽くてはわざわざ石を用意する意味がないという事であるらしい。；軽い家内労働に従事できる者や奴隷身分から解放される者はごく少数だった。；しかし、その頃は草軽も沿線を中心に乗合自動車の営業を開始していた。；後者は一時マスコミにて注目されたが、ロタウイルスよりも症状が軽い。；ビッグマウスとは英語で口の軽い人物、または単に口が大きな人物を指す。；歴史上最初に行われた人工処理は、軽くワックスと油を塗ることだった。；下におろしてみて木の蓋を開け、その箱がやけに軽かったことに納得した。；全日本プロドリフト選手権では車重の軽さを活かした走りを見せている。；自分は何も別に罪が重うなる軽うなるでいうてるのやありませんです。；症状が軽くなったと思いすぐに運動などをすると症状が再発する。；そのため主桁を軽く作るために後述する張線を用いることがある。；患者の負担は比較的軽い検査であり、病気のスクリーニングに用いられる。；スタジオに映像が戻った際に軽く触れられた程度であった。；あのときは小さくて、体が軽かったから鳥になることが出来たのだ。</t>
        </is>
      </c>
      <c r="J1731">
        <f>HYPERLINK("https://www.weblio.jp/content/軽い", "词义详情")</f>
        <v/>
      </c>
      <c r="K1731">
        <f>HYPERLINK("https://yourei.jp/軽い", "查看例句")</f>
        <v/>
      </c>
    </row>
    <row r="1732">
      <c r="A1732" t="inlineStr">
        <is>
          <t>軽々と</t>
        </is>
      </c>
      <c r="B1732" t="inlineStr">
        <is>
          <t>成功</t>
        </is>
      </c>
      <c r="D1732" t="inlineStr">
        <is>
          <t>軽々と持ち上げる；軽々と抱き上げ；軽々と飛び越え；軽々と運ん；軽々と抱きあげ</t>
        </is>
      </c>
      <c r="E1732" t="inlineStr">
        <is>
          <t>軽く；簡単に；容易に；あっという間に；あっさりと</t>
        </is>
      </c>
      <c r="F1732" t="inlineStr">
        <is>
          <t>いとも軽々と；片手で軽々と；体を軽々と；みたいに軽々と；軽々と担ぎ</t>
        </is>
      </c>
      <c r="H1732" t="n">
        <v>29</v>
      </c>
      <c r="I1732" t="inlineStr">
        <is>
          <t>彼女は五メートルの幅の穴をまるでハードルのように軽々と飛びこえた。；杜陽は往くまいと思って力を入れたが、その体は軽々と持ちあげられた。；顎に毛が生えはじめたばかりの若者の言葉に軽々と乗るわけにはいかなかった。；そして、台に手をかけると、それを片手で軽々と持ちあげたのである。；三メートル以上もの長さを誇る、あまりにも大きすぎる武器を、軽々と。；夏川ははだかのヒロシを軽々と担ぐやうに抱きあげて、母の姿に面した。；開かないのかよ、というように手をのばして、蓋を軽々と開けてくれた。；そして自分は大きな荷を軽々と背負い上げてその上に馬の皮を乗せた。；と、不思議に思ってしまうぐらい彼女は軽々と荷物を運んでいるように見えた。；泣いた子が笑いはじめたころ、ジープが二台、軽々と坂を駆け上ってきた。；神裂火織の一刀は、五〇メートルもの長さの水翼を軽々と斬って捨てた。；軽々と引き起こされ、一瞬体がギュンターに当たりそうになったその時。；敵の二体は剣と槍を構え、姫路さんの方は前に見た大剣を軽々と持っている。；門番はその重い門を軽々と手前に引き、集った獣たちを門の外に出す。；女のからだを源氏が軽々と抱いて車に乗せ右近が同乗したのであった。；父が以前のように、軽々と動く間は、もう少し慎んでくれたらと心配した。；シャ師は大喜びで彼が梯子から梯子へと軽々と渡って行くのを眺めた。；沈黙のうちに軽々と馬を走らせていく彼らの姿は、不吉な鳥の群を思わせた。；いくら肉体が大人になっているとは言っても、相手は男だというのに、軽々と。；自らの巨体をそこまで軽々と放った力の存在を、彼は知らなかった。；兵士はまるで下り坂を行くように、軽々と、楽しそうに歩いていきます。；もう止まるだろうと思う地点を軽々と越え、容赦なく波は背をもたげた。；ちょっとやそっとの錘では、錘の役はなさず、軽々と浮いてきてしまう。；門扉の高さは六尺ぐらいだから竹竿を利用すれば軽々と跳び越えられる。；軽々と胸の底まで息の出来ることは、何よりも一番いいことだ。；闇の獣はその塔を軽々と飛び越え、墓標の間を抜けて、斜面に躍りでた。；モロトフは少女の腰に腕をまわし、その華奢なからだを軽々と持ちあげた。；しかしそれよりも早く、太郎がわたしの裸の身体を軽々と抱き上げてしまう。；糸の切れた人形みたいに倒れかかるのを抱き止め、軽々と肩に担ぐ。</t>
        </is>
      </c>
      <c r="J1732">
        <f>HYPERLINK("https://www.weblio.jp/content/軽々と", "词义详情")</f>
        <v/>
      </c>
      <c r="K1732">
        <f>HYPERLINK("https://yourei.jp/軽々と", "查看例句")</f>
        <v/>
      </c>
    </row>
    <row r="1733">
      <c r="A1733" t="inlineStr">
        <is>
          <t>かるた</t>
        </is>
      </c>
      <c r="B1733" t="inlineStr">
        <is>
          <t>成功</t>
        </is>
      </c>
      <c r="C1733" t="inlineStr">
        <is>
          <t>読み方：かるた
遊びや博打(ばくち)に用いる札。小さな長方形の厚紙・薄板などに種々の絵や文字などがかかれ、いく枚かで一組になっている。歌ガルタ・いろはガルタ・花ガルタ・トランプなど種類が多い。特にいろはガルタまたは歌ガルタをいう場合が多い。《季新年》「招かれて隣に更けし—かな／漱石」</t>
        </is>
      </c>
      <c r="D1733" t="inlineStr">
        <is>
          <t>かるた会(6%)；かるた部(6%)；かるた大会(5%)；かるた選手権大会；かるた札</t>
        </is>
      </c>
      <c r="F1733" t="inlineStr">
        <is>
          <t>郷土かるた；歌かるた；瑞沢かるた；高校かるた；東京かるた</t>
        </is>
      </c>
      <c r="H1733" t="n">
        <v>29</v>
      </c>
      <c r="I1733" t="inlineStr">
        <is>
          <t>様々な環境問題を日本の古きよき文化であるかるたの形にして紹介する。；もっとも、かるたそのものの歴史は、さらに古い起源と歴史をもっている。；また記憶が重要となる遊びとして、百人一首のかるたが挙げられる。；おぞうにを食べて、それから、かるたでもして遊んだらいいじゃないか。；年ちゃんは、晩に、お母さんや、お姉さんと、かるたをとっていました。；姉妹社が発売していたかるたを長谷川町子美術館の監修で復刻している。；けれども、だれも相手にならずに、かるたのほうに気を取られて夢中になっていました。；尾崎紅葉の小説は、かるた会の普及に大いに貢献したかもしれぬ。；自分が読み役になって皆に歌かるたをとらせて楽しんだ。；歌かるたが正月の風俗となったのは格別の理由がある訳ではない。；一つのセットが10万円以上するかるたも製造販売している。；首を用いたかるたの遊び方には以下のようなものがある。；黒岩は「東京かるた会」を結成し、第1回の競技かるた大会を開催した。；姉妹社から本作を題材にした3組のかるたが発売されていた。；歌の好き嫌ひはかるたの絵とよみ人の姿、顔かたちによつてもきめられる。；田村将軍堂は、京都市に本社を置くかるたなどの製造卸販売の老舗企業。；千早のかるた歴は新の住まいである狭いアパートの一室から始まった。；後編では実際に作ったかるたを使って子供達にかるたをやらせた。；最終的にはジクエクオリジナルかるたを完成させるのが目標。；かるたを取るスピードの速さにより「スピードの女王」とも呼ばれる。；上毛かるたを知っている人たちの間で、それぞれの年代を知る目安に使われることもある。；百人一首かるたは、百枚の読み札と同数の取り札の計二百枚から成る。；千早と太一に影響を受けた新を中心にかるた部が創立された。；私たち北海道の者は「犬棒かるた」で遊んだわけだから、即ち江戸のかるたである。；千早は、新がかるたから離れていた時の様に、強くなって太一を待とうと決意する。；「へ=へんなヘアスタイルのこずえちゃん」とかるたにできそうなくらい。；中江はこのかるた一枚一枚に解説を書いている。；かるた部は、2006年に創部されて以来、毎年全国大会へと出場している。；日本でも江戸時代に同様のルールをもつ「よみかるた」というゲームが流行した。</t>
        </is>
      </c>
      <c r="J1733">
        <f>HYPERLINK("https://www.weblio.jp/content/かるた", "词义详情")</f>
        <v/>
      </c>
      <c r="K1733">
        <f>HYPERLINK("https://yourei.jp/かるた", "查看例句")</f>
        <v/>
      </c>
    </row>
    <row r="1734">
      <c r="A1734" t="inlineStr">
        <is>
          <t>カルテ</t>
        </is>
      </c>
      <c r="B1734" t="inlineStr">
        <is>
          <t>成功</t>
        </is>
      </c>
      <c r="C1734" t="inlineStr">
        <is>
          <t>読み方：かるて
医師の診療記録カード。患者の病状・処置・経過などを記録しておくもの。診療簿。</t>
        </is>
      </c>
      <c r="D1734" t="inlineStr">
        <is>
          <t>カルテシアン；カルテイル様；カルテ等；カルテ改竄；カルテ係</t>
        </is>
      </c>
      <c r="F1734" t="inlineStr">
        <is>
          <t>dカルテ；カルテイル；古いカルテ；カルテシアン座標</t>
        </is>
      </c>
      <c r="G1734" t="inlineStr">
        <is>
          <t>カルテット；カルテン；カルティエ；カルテイル；カルティニ</t>
        </is>
      </c>
      <c r="H1734" t="n">
        <v>29</v>
      </c>
      <c r="I1734" t="inlineStr">
        <is>
          <t>カルテンとも握手をした後、四人は階段を上がって騎士館の中へ入った。；どうやら医者のカルテにあるあらゆる老人病にとりつかれたようですよ。；だが、医師のカルテともなると、より慎重に扱われることが想像された。；「南のほう数マイルに煙が見えた」馬から下りながらカルテンが答えた。；そのカルテには、ヤンの生涯でもっとも幸福だった日々が記されていた。；「木陰に何か見えたような気がする」しばらくするとカルテンが言った。；判断の理由についてもカルテに記載するよう求める方針とする予定である。；カルテンが森の端で見張りに立ち、あたりが暗くなるとすぐに戻ってきた。；「ちょっと気にしすぎじゃないか」半時間ほどしてカルテンが言った。；川から上がったところに深い茂みがあるのを見て、カルテンが言った。；あの表情は今までカルテンが見せた中で、いちばん崇拝に近いものですよ。；パパもカルテを読みあげるときのように単調な声でなにかいっていました。；なにせ仕事が仕事ですから、一応カルテを調べてみてからご返事をします。；問題は二十八年前のカルテが保存されている可能性の極めて薄いことである。；病院でカルテへかいてよく判らず、六・八位から七・一、七・二の間。；医者は早くも黄ばんだカルテによたった文字で何事かを書き込んでいる。；「おれには何もかもうまくいってるように思えるぜ」カルテンが答える。；「セフレーニアは事前に説明なんかしてくれないよ」カルテンが答える。；柳矢が受話器を置くと、すぐ看護婦がカルテを抱えて部屋に入って来る。；彼の目はカルテとトレーとわたしの歯を、落ち着きなく行き来していた。；「死者を呼び起こすにはこうでなくちゃな」カルテンが渋い顔で言った。；「武器を捨てろと言われたんじゃなかったか」カルテンが口をはさんだ。；愚痴外来では、カルテにも記載されていないことを相手にすることも多い。；治療を担当した医師のカルテの正確性も疑問視されていた。；昼ごろになって、しんがりを務めていたカルテンが馬を進めてきた。；カルテンが扉の前にしばらく笑みを浮かべてたたずみ、また外へ出ていった。；カルテンとわたしの部屋に予備の寝台があるから、おまえはそこで寝ろ。；出て行く時、病院に電話を掛け、看護婦に山代のカルテを読んで貰った。；カルテの作成に必要であったので、これは決して怪しい行為ではありません。</t>
        </is>
      </c>
      <c r="J1734">
        <f>HYPERLINK("https://www.weblio.jp/content/カルテ", "词义详情")</f>
        <v/>
      </c>
      <c r="K1734">
        <f>HYPERLINK("https://yourei.jp/カルテ", "查看例句")</f>
        <v/>
      </c>
    </row>
    <row r="1735">
      <c r="A1735" t="inlineStr">
        <is>
          <t>彼</t>
        </is>
      </c>
      <c r="B1735" t="inlineStr">
        <is>
          <t>成功</t>
        </is>
      </c>
      <c r="C1735" t="inlineStr">
        <is>
          <t>読み方：あ
［代］遠称の指示代名詞。あれ。
「雲立つ山を—はとこそみれ」〈大和・一四五〉</t>
        </is>
      </c>
      <c r="D1735" t="inlineStr">
        <is>
          <t>彼女達；彼にちなん；彼一流；彼奴ら；彼女らしく</t>
        </is>
      </c>
      <c r="E1735" t="inlineStr">
        <is>
          <t>恋人；彼氏；ボーイフレンド；カレシ</t>
        </is>
      </c>
      <c r="F1735" t="inlineStr">
        <is>
          <t>彼杵屋番作；彼はぶざま；彼一代で廃絶；彼はうす暗い；彼女達職業婦人</t>
        </is>
      </c>
      <c r="G1735" t="inlineStr">
        <is>
          <t>彼ら；彼等；彼自身；彼女たち；彼方</t>
        </is>
      </c>
      <c r="H1735" t="n">
        <v>29</v>
      </c>
      <c r="I1735" t="inlineStr">
        <is>
          <t>彼はまた、万年筆で慎重に原稿を書く習慣があることでも知られていた。；また、安彦とは以前は彼のスタジオによく遊びに行っていた仲でもある。；この広場で行った演説は彼の政治活動のなかで最も成功したものだった。；多くの場合、彼は現在の協力者に次にどこを訪問すればよいか尋ねていた。；これは孤児であった彼の祖父が市の職員から名付けられたものである。；ボッタはこの事件を公表しなかったが、後に彼の2人の友人が公表した。；これは神学の分野で、彼が教友の一人モファッザルに教えたものである。；叙事詩の中で彼はプルシャの性格を引き継いでいるとされることもある。；彼が確定したポーランド公国領は現在のポーランド領とほぼ一致する。；彼は、IBMの新しいシステムは重要な商業的な成功でないと思っていた。；そのため彼は、基本的に絵の研究をするためにこれら自画像を描いていた。；彼は四人兄弟の三人目で、幼いガガーリンの世話は姉が行うこともあった。；彼は実解析の大部分を可述的な方法だけを用いて展開できることを示した。；彼の時代から正式に皇帝の称号を使用し、西欧諸国からも認められた。；ピカソの最晩年の作風は、彼がそれまで経てきたスタイルの混合である。；一方、彼のピアノからは小さな音しか出なかったという批判もあった。；この像は彼が祈りを捧げる姿を模ったもので紀元前25世紀に作られた。；その女たちの中には、彼の母アガウエーや伯母イーノーも含まれていた。；歴史上、彼は多くの反権威主義的な業績を残したと受け止められている。；当時の階級社会では、彼はその出自のために紳士とはみなされなかった。；まもなくして彼のギターの腕を買い、クオリーメンへの加入を認めた。；彼はまた旺盛な制作活動に戻ったが批判も聞かれるようになった。；ポトツカ夫人が見舞いに訪れており、病床の彼のために歌を歌っている。；その資料とするために、彼はいろいろなものを積極的に収集するようになる。；彼の下にいた研究者の一部はパロアルト研究所へと移っていった。；治癒のためにデルポイを訪れるが、巫女は彼に会ってすらくれなかった。；ただし彼が実際に観察したものは、内容物を失ったあとの細胞壁であった。；しかし、彼の評価式は価格が負になることもありうるために非現実的であった。；だが、イアソンと惹かれあったメディアは 彼と仲間達を助け脱出した。</t>
        </is>
      </c>
      <c r="J1735">
        <f>HYPERLINK("https://www.weblio.jp/content/彼", "词义详情")</f>
        <v/>
      </c>
      <c r="K1735">
        <f>HYPERLINK("https://yourei.jp/彼", "查看例句")</f>
        <v/>
      </c>
    </row>
    <row r="1736">
      <c r="A1736" t="inlineStr">
        <is>
          <t>かれこれ</t>
        </is>
      </c>
      <c r="B1736" t="inlineStr">
        <is>
          <t>成功</t>
        </is>
      </c>
      <c r="C1736" t="inlineStr">
        <is>
          <t>読み方：かれこれ
［副］(スル)
１一つに限らず、いくつものことに及んだりかかわったりするさま。とやかく。いろいろ。「—うるさく言う」「—しているうちに、暗くなってしまった」
２（時・年月・数量などを示す語を伴って）だいたいそれに近いさま。おおよそ。そろそろ。「ここに住んでから—一年になる」「—四キロ余りも歩いた」
３いろいろ合わせて。全部で。
「かやうのくら事—四十八ありける」〈浮・一代男・四〉
［代］
１指示代名詞。あのこと、このこと。あのもの、このもの。
「詠める歌多く聞こえねば、—を通はしてよく知らず」〈古今・仮名序〉
２三人称の人代名詞。あの人とこの人。だれかれ。
「—、知る知らぬ、送りす」〈土佐〉</t>
        </is>
      </c>
      <c r="D1736" t="inlineStr">
        <is>
          <t>かれこれもう(2%)；かれこれいう(2%)；かれこれ言う；かれこれ三十；かれこれ言わ</t>
        </is>
      </c>
      <c r="E1736" t="inlineStr">
        <is>
          <t>ほとんど；約；ほぼ；近くに；およそ</t>
        </is>
      </c>
      <c r="F1736" t="inlineStr">
        <is>
          <t>かれこれ十年近く；かれこれ申す；かれこれ一時間近く；かれこれ十四；かれこれ七時</t>
        </is>
      </c>
      <c r="H1736" t="n">
        <v>29</v>
      </c>
      <c r="I1736" t="inlineStr">
        <is>
          <t>私がどうしようと、そんな奴からかれこれいわれる道理はありませんよ。；こんな形で、節子の家出は多くの人にかれこれ言われているのだと思う。；そしてかれこれするうちに、女中がこの町にいることを聞いたのです。；かれこれ半年になるのに俺とあんたが少しも親しくならないことによ。；もうここに着いてからかれこれ二十四時間以上にもなるが夜が来ない。；だがまあ、友達同士の間だから、かれこれ言うがものはありませんわい。；腹を立ててかれこれ言ってみたところで、器量をさげるばかりだからだ。；河野の義さんが生まれた年だから、もうかれこれ十四五年の昔になる。；かれこれ一ヶ月近く顔を合わせているくせに、お互いに名前も覚えていない。；それからかれこれ半年ばかりは最も彼には幸福だったのであろう。；かれこれ三十五年ものあいだ、ふかい眠りについていたものなのである。；もうかれこれこんな状態が1年ほど続いているように思うのだけれど・・・。；かれこれ一時間以上の苦労の末、やっと穴をその大きさにまで掘り広げた。；初めは金箍をはめてやるのですが、かれこれ六年も毎日やりましたかな。；あたりの様子で、その夜もかれこれその時刻になったらしく思われた頃である。；看守のもう一度呼び出しに来たのはかれこれ五時になりかかっていた。；わたしは何も馬一頭のためにかれこれ云うのではありません。；かれこれ、町の地理を見ておくことは、必要なことと思われるのであった。；ここへ来たのはナズビー卿のおなかについてかれこれいうためではない。；ぼくが日本人で、日本語をかれこれ四十数年間話し続けているからか。；「なんだ、もう昼じゃないか」 かれこれ三時間ほど眠っていたわけか。；もっとも、平々凡々な容貌をかれこれ描写してみるにもあたりますまい。；もうかれこれ送迎するものがあるし、慶喜はまた得意になる人だからネ。；クラブへ行き着かないうちに、かれこれ九時になるほどの時刻だった。；自分はもうかれこれ一億年はこうやって追憶を試みていたのではないだろうか。；それから見ると、これまでのかれこれは、恋ではなかったとしか思えません。；あたしゃ小さい時分から前っ尻のことをかれこれ言われたことはないんだよ。；もう私たちはかれこれ千匹以上は地獄に送っているはずです。；かれこれもう一時間近く、この霧の中を走り続けているのである。</t>
        </is>
      </c>
      <c r="J1736">
        <f>HYPERLINK("https://www.weblio.jp/content/かれこれ", "词义详情")</f>
        <v/>
      </c>
      <c r="K1736">
        <f>HYPERLINK("https://yourei.jp/かれこれ", "查看例句")</f>
        <v/>
      </c>
    </row>
    <row r="1737">
      <c r="A1737" t="inlineStr">
        <is>
          <t>彼ら</t>
        </is>
      </c>
      <c r="B1737" t="inlineStr">
        <is>
          <t>成功</t>
        </is>
      </c>
      <c r="C1737" t="inlineStr">
        <is>
          <t>読み方：あいら
［代］三人称の人代名詞。あいつら。やつら。人を卑しめていう語。
「ここな者—風情を相手にして」〈浄・用明天王〉</t>
        </is>
      </c>
      <c r="D1737" t="inlineStr">
        <is>
          <t>彼ら自身；彼らふたり；彼ら全員；彼ら彼女ら；彼ら二人だけ</t>
        </is>
      </c>
      <c r="F1737" t="inlineStr">
        <is>
          <t>彼ら一同に</t>
        </is>
      </c>
      <c r="G1737" t="inlineStr">
        <is>
          <t>彼らの目は神を見ていた；彼らが生きる世界；彼らの海</t>
        </is>
      </c>
      <c r="H1737" t="n">
        <v>29</v>
      </c>
      <c r="I1737" t="inlineStr">
        <is>
          <t>彼らは日本を経由し、アメリカ合衆国を中心に各希望居住地に移住した。；彼らはナデジダ・グラノフスキーの下での再リリースの準備をしていた。；しかしやがて彼らは第一次世界大戦でその現実に直面することになった。；そして彼らは自分たちが持っている自動車で競走をすることを考えた。；彼らは初めてチベットの実情をヨーロッパに伝えたことで知られている。；地下10階に下り先へ進む彼らの前に村正を手にした侍が立ちはだかる。；このとき、彼らは隣の人の声を聞くのを待たずに声をあげることができる。；彼らが前述の強化細胞を移植しているかどうかは作中では語られていない。；恐怖と恐れと共に人の影にいた彼らが人間との戦争を始め、今に至る。；こうした状況は彼ら全員が1955年にヨーロッパに戻るまで続いた。；ただし、彼らがこれを使って何か意味のある観察をしたという記録はない。；考えられるのは彼らには同じDNAを持つ共通の祖先がいるということ。；そのクラスで自分の書いた文章を売ったことがあるのは彼ら二人だけだった。；彼らの中には稀代のエンターテイナーとして歴史に名を残した者もいる。；子供に兄や姉がいる場合、彼らが初期の仲間関係をつくる相手となる。；人々は彼らと同じように行動できますが、誰も彼らを超えることはできません。；また、彼らは連盟の機構を利用して、関係の改善や対立の解消に努めていた。；にまとめられた彼らの詩はその後ヴィシュヌ派の重要な聖典へと発展する。；以後、儀式の話をしただけで、彼らは白人に逮捕される状況となった。；彼らはドイツの会議でこの結果を発表したが、誰にも評価されることはなかった。；また、研究所も設置されるようになり、彼らの働く場所が出現した。；シーズン終了後には彼らはそこには違いがあったことをぼくに白状したんだよ。；彼らはこのような非西洋の音楽スタイルを取り入れて自作を発表したりもしている。；だが、彼らの孫の世代は英語のみしか知らないのが普通である。；彼らの前に表示されている国名はフランス語で表記されている。；しかし彼らは同じ法律、宗教、道徳の規範に従うことを期待されていた。；彼らはこの数値がこれまででもっとも正確な標高であるとしている。；しかし「ただ彼らを甘やかしただけだったかもしれない」とも書いている。；彼らは一貫してデザイン画を描いたり、実際に裁縫をすることも多い。</t>
        </is>
      </c>
      <c r="J1737">
        <f>HYPERLINK("https://www.weblio.jp/content/彼ら", "词义详情")</f>
        <v/>
      </c>
      <c r="K1737">
        <f>HYPERLINK("https://yourei.jp/彼ら", "查看例句")</f>
        <v/>
      </c>
    </row>
    <row r="1738">
      <c r="A1738" t="inlineStr">
        <is>
          <t>嗄れる</t>
        </is>
      </c>
      <c r="B1738" t="inlineStr">
        <is>
          <t>成功</t>
        </is>
      </c>
      <c r="C1738" t="inlineStr">
        <is>
          <t>読み方：かれる
［動ラ下一］［文］か・る［ラ下二］《「枯れる」と同語源》声がかすれる。しわがれる。また、声が出なくなる。「歌い過ぎでのどが—・れる」</t>
        </is>
      </c>
      <c r="H1738" t="n">
        <v>29</v>
      </c>
      <c r="I1738" t="inlineStr">
        <is>
          <t>「みんなご機嫌な様子じゃないか」 その声は疲れたように嗄れていた。；「来たぞ」 と嗄れ声が言ったのは、草原に立ってから五分後であった。；それが消えると闇の中に聞えるのはただ地虫の長い嗄れた声だけである。；儀式を続ける嗄れた男の声が、ひどく遠くから聞こえてくるような気がした。；耳の奥で、エコーがかかり、嗄れて金属のような音になった声が囁いた。；目も見えないくらいになっているし、裁判のために声も嗄れている。；女の少し嗄れた声は、朝の澄んだ空気にバイオリンのように響いている。；「飲むか飲まないか聞いているんだよ」 私の声は緊張で嗄れていた。；最初は女に新聞を読ませて聞いたが、声が嗄れて来たので止めさせた。；そこを出るとすぐ、何か、荒々しい皺嗄れた声が、大玄関の方で聞えた。；年増のように嗄れた喉をひびかせたその女は、まだ十七、八の娘だった。；どこか男の子のやうで、少ししや嗄れたやうな声も大人のやうに太かつた。；最初から一語も吐かなかったこの男が、はじめて嗄れた声でうめいたのだ。；「同僚の目を気にしているわけじゃないんだ」 安田が嗄れた声で言った。；人の声だが嗄れていて何をいっているのかよく分らない。；「そうですね」と返事をした僕の声は、あっけにとられて嗄れていた。；そして、声も嗄れんばかりにお叫びになったのでございます、バンザイと。；涙が出なくなり、声も嗄れ、身体からすっかり力が抜けてしまった。；彼女は風邪をひいていたので、いつもより声が嗄れていて、魅力があった。；嗄れた声の物理学者は、どう見ても、二〇代前半と思しい若い男であった。；嗄れた声であったが、からっぽの心の底にたしかに何かが揺れ出したようであった。；「例えば」と正臣は言い、声が嗄れてもいないのに、軽く咳払いをした。；「偵察球じゃな」 と嗄れ声が、それ以上はないくらい低くささやいた。；そんな場合のいつものように、彼女のいまの声もすこし嗄れていた。；「その通りだ」 膝に置いた左手のあたりから、嗄れた声が応じた。；時によると又幅の広い肩を揺すつて、嗄れた笑ひ声を洩す事もあつた。；するとお前は、そういう私の方を見ながら、すこし嗄れたような声で再び口をきいた。；何度かに一度は中に入ってきて、嗄れた声で玄児に語りかけることもあった。；好きなのだから仕様がないという嗄れた呟きが、私の思想の全部であった。</t>
        </is>
      </c>
      <c r="J1738">
        <f>HYPERLINK("https://www.weblio.jp/content/嗄れる", "词义详情")</f>
        <v/>
      </c>
      <c r="K1738">
        <f>HYPERLINK("https://yourei.jp/嗄れる", "查看例句")</f>
        <v/>
      </c>
    </row>
    <row r="1739">
      <c r="A1739" t="inlineStr">
        <is>
          <t>涸れる</t>
        </is>
      </c>
      <c r="B1739" t="inlineStr">
        <is>
          <t>成功</t>
        </is>
      </c>
      <c r="C1739" t="inlineStr">
        <is>
          <t>読み方：かれる
［動ラ下一］［文］か・る［ラ下二］《「枯れる」と同語源》
１池・川・井戸などの、水がほとんどなくなる。水けがなくなり、乾いた状態になる。干上がる。「泉が—・れる」「涙が—・れる」
２湿り気がなくなり、乾燥する。「よく—・れた木材」
３感じたり考えたりする力が減って、出なくなる。また、必要なものが不足がちになる。枯渇する。「詩嚢(しのう)が—・れる」「愛情が—・れる」「資金が—・れる」</t>
        </is>
      </c>
      <c r="D1739" t="inlineStr">
        <is>
          <t>涸れるまで泣き(2%)</t>
        </is>
      </c>
      <c r="E1739" t="inlineStr">
        <is>
          <t>切れる；枯渇；尽きる；無くなる；脱水</t>
        </is>
      </c>
      <c r="H1739" t="n">
        <v>29</v>
      </c>
      <c r="I1739" t="inlineStr">
        <is>
          <t>今日はいっぱいであるかと思うと、明日にも涸れてしまうかも知れない。；この泉は前から涸れかかっていて、赤い砂を深く掘らないと水が出ない。；涙が涸れた時には、心の中に絶望という名の真っ暗な穴が穿たれていた。；これまで逢うときは拙者のからだが涸れていたときだったのでござろう。；その晩は明るい月夜だったので、大伯父はこの涸れ川に馬を向けました。；悲しみの夜が暮れ、悲しみの日が明けても、彼等の涙は涸れないだろう。；それでも、その時にはまだ彼女の泉は涸れていたわけではなかった。；涙などとっくに涸れていたと思っていた小夜子は、自分の涙に戸惑った。；彼女はそんなことを考えながらゆっくりと涸れた噴水に向かって歩いていく。；一人児だから、時々飲んでいたんですが、食が少いから涸れがちなんです。；これはいままで横断してきた涸れた海の向こう岸にあたるわけだった。；乾季の終りに近づいていたので、水が涸れて広い河床があらわれていた。；すると、だれもがおどろいたことには、井戸はほとんど水が涸れていた。；涸れた水が巨大な波となって姿を現したのは、その一瞬あとのこと。；私の年になると、もう涙は涸れてしまっているというけど、ほんとうだね。；もう川も谷も、水が涸れてしまつて、飲む水にも困るやうになりました。；大事な愛情の泉はいつまでも涸れないような気がしていた。；下のほうには水の涸れた峡谷が長い黒々とした影に包まれていた。；私の涙は、お二人の涙が涸れ尽きた時、ロミオの追放を思つて流しませう。；美保子の涙はいくら泣いても涸れることはないだろうと思われた。；島では、井戸や泉が涸れるほど大量に水を必要とすることなどない。；海の水が涸れ果てねえ限り、おれたちは幕府になんざおもねる気はねえよ。；私は深い涸れた井戸で、その底にはもうどんな水も溜まる気配はない。；たとえ体の中から水分が涸れ果てようとも、それでも涙は出てくるものだ。；涙が涸れるほど泣いたはずなのに、まだ流す涙が残っているのが不思議だった。；ハーカス・イェンの妻は、二世代前に女の涙は涸れてしまったのですと話した。；そしてくじのことを思い出して、夢はまだ涸れたわけではないと唇を噛んだ。；息子を亡くした日に涸れたはずの涙が、床についた掌に零れかかった。；なぜまた流がこう早う涸れて 己達は渇に悩んでいなくてならんのか。</t>
        </is>
      </c>
      <c r="J1739">
        <f>HYPERLINK("https://www.weblio.jp/content/涸れる", "词义详情")</f>
        <v/>
      </c>
      <c r="K1739">
        <f>HYPERLINK("https://yourei.jp/涸れる", "查看例句")</f>
        <v/>
      </c>
    </row>
    <row r="1740">
      <c r="A1740" t="inlineStr">
        <is>
          <t>枯れる</t>
        </is>
      </c>
      <c r="B1740" t="inlineStr">
        <is>
          <t>成功</t>
        </is>
      </c>
      <c r="C1740" t="inlineStr">
        <is>
          <t>読み方：かれる
［動ラ下一］［文］か・る［ラ下二］
１草木が、水分などがなくなり、生命を保つことができなくなる。花や葉が変色したり、落ちたりする。「作物が—・れる」「葉が—・れる」
２張りやみずみずしさがなくなる。本来の勢いがなくなる。「やせても—・れても」
３人物や技術が練れて、深みが増す。円熟して、落ち着いた深い味わいが出てくる。「芸が—・れる」「—・れた人柄」
４技術や製品などが、その登場から十分な時間が経ち、すでに問題点が出尽くし、解決も済んでいる。最先端のものではないが、不測の事態が発生しにくく、安定して動作することを意味する。「—・れた技術」
５動物が死んで干からびる。
「葉のさま、花も、虫などの—・れたるに似て」〈枕・四〇〉
６膿(うみ)が出て、おできの表面が乾く。
「督(かん)の殿の御瘡—・れさせ給ひつれど」〈栄花・峰の月〉
７滅んでしまう。
「其人の徳にてらされて—・れぬ名をとどめしもあるに」〈鶉衣・蓼花巷記〉</t>
        </is>
      </c>
      <c r="D1740" t="inlineStr">
        <is>
          <t>枯れることなく(2%)</t>
        </is>
      </c>
      <c r="E1740" t="inlineStr">
        <is>
          <t>枯死する；萎える；しぼむ；萎む；しおれる</t>
        </is>
      </c>
      <c r="H1740" t="n">
        <v>29</v>
      </c>
      <c r="I1740" t="inlineStr">
        <is>
          <t>しかしもうひとつ冬を越したときにはそんなのは例外なく枯れてしまった。；エゾノアオイスミレは冬に地上部が完全に枯れる点ではっきりと異なる。；さうして明るい意思が、彼の人の死枯れたからだに、再立ち直つて来た。；わたしの住む町のあたりでは秋をも待たないで枯れて行った草も多い。；さうして明るい意思が、彼の人の死枯れたからだに、再立ち直つて來た。；それは淡々として心が枯れているから、というようなせいではないのだ。；また枯れるまでいかずとも、鉄分などが不足すると白く色が抜けやすい。；机の上の花瓶にはカーネーションの枯れたのが首を垂れてさしてあった。；かつては滝石組みに水が流れていたが枯れており、枯山水となっている。；彼等の眼は一様に人にものを味わせる職業者の持つ没我の色に枯れている。；そして、自分ながら枯れてしまわないかと、心配したほどでありました。；常緑性であるが、日本では冬の寒さで葉が枯れてしまうことも少なくない。；小鳥は、毎日のように枯れた林にきては、いい声でさえずっていました。；涙は枯れることを知らず、後から後からこぼれ落ちて頬を濡らし続けた。；この村の少年が、ちょうど、そのとき、森へ枯れた枝を拾いにきました。；同じ気温の低下でも、突然に起きた場合には枯れてしまうことがある。；それをかわいそうと思って、あたたかな国へ持ってくれば枯れてしまう。；一年枝は淡褐色で、短い毛が多く生えており、枝先は枯れることが多い。；枯れた技術は、広く使われることで信頼性が高くなった技術のこと。；そして皺枯れた声でおめき叫びながら雨の中を帰って行ってしまった。；地下に鱗茎があり、地上に細い葉と花茎を出し、冬には地上部が枯れる。；このような場合病変部は次第に下方向へ拡大し他の枝も枯れ始める。；この柿は庭に植えてから、一度もならずに枯れてしまったと記憶している。；折にふれ小便をかけられていては、どんな木もいずれは枯れてしまおう。；しかし、耐性を獲得し枯れにくい植物が出現する事が報告されている。；冬になると地上部のみ枯れ、春になると地上からふたたび葉を伸ばす。；石英のような物質でできていると思われる枯れた木がところどころにある。；この二つの要素が縞枯れの出現高度を決定する条件になるといえる。；しかし、島は雲に覆われ、寒さのためにバナナが全部枯れてしまっていた。</t>
        </is>
      </c>
      <c r="J1740">
        <f>HYPERLINK("https://www.weblio.jp/content/枯れる", "词义详情")</f>
        <v/>
      </c>
      <c r="K1740">
        <f>HYPERLINK("https://yourei.jp/枯れる", "查看例句")</f>
        <v/>
      </c>
    </row>
    <row r="1741">
      <c r="A1741" t="inlineStr">
        <is>
          <t>過労</t>
        </is>
      </c>
      <c r="B1741" t="inlineStr">
        <is>
          <t>成功</t>
        </is>
      </c>
      <c r="C1741" t="inlineStr">
        <is>
          <t>読み方：かろう
身心を損ねるほど働きすぎて疲れがたまること。「—から病気になる」</t>
        </is>
      </c>
      <c r="D1741" t="inlineStr">
        <is>
          <t>過労死(4%)；過労気味；過労状態；過労ぎみ；過労自殺</t>
        </is>
      </c>
      <c r="E1741" t="inlineStr">
        <is>
          <t>オーバーワーク；働き過ぎ</t>
        </is>
      </c>
      <c r="F1741" t="inlineStr">
        <is>
          <t>単なる過労</t>
        </is>
      </c>
      <c r="G1741" t="inlineStr">
        <is>
          <t>過労自殺；過労運転；過労死ライン；過労死等防止対策推進法；過労死等防止対策推進協議会</t>
        </is>
      </c>
      <c r="H1741" t="n">
        <v>29</v>
      </c>
      <c r="I1741" t="inlineStr">
        <is>
          <t>右手を痛めたことがその理由とされているが、実際は神経過労であった。；日夜の過労の間に彼女の精神と肉体を支えている力は何であったろう。；そのため、この人と一緒に行動していると、僕などは過労死しかけます。；漁夫達は何日も何日も続く過労のために、だんだん朝起きられなくなった。；暑気のせいもあり、過労のせいもあって、どうも仕事がうまくいかない。；彼からそんなに話されるまでは、過労であったとは私は知りませんでした。；シャーロットは一八三八年に過労のためウラーの学校をやめて家に帰った。；すでにいくつかの部品が、とりわけ動力装置が過労の徴候を見せている。；あんなことになってしまったのも、すべて、過労のせいにすぎません。；そのため一人当たりの仕事量は増加し、過労問題はむしろ深刻化した。；過労で倒れてしまうほど毎日忙しく働いていたなんて、初めて知りました。；どちらかひとりであれば、過労と心労で倒れていたであろうことは疑いない。；台湾の熱気と過労のせいで、頭の歯車がどうかしていたにちがいない。；それにわたしはこの頃右の腕が過労のため痛くて髪をとかすのもやっとです。；神経の過労ですな、ご主人のことや何やかやと、大変心配しておられます。；何か小気味のいいリズミカルな音も、深夜は過労のため乱れがちになる。；この記事が発表された当初は、過労説や栄養失調説なども出された。；そのため、一般の労働者に過労は基本的に起こりえないとされる。；そのため離職率が高く、これまでにかなりの人数が過労死している。；過労は発病を誘発した重要な引き金になっている、との意見書を書いた。；高度の過労と興奮の状態にあることがはっきりとわかった。；ドラマの出演交渉があったとき、すでに、彼女は過労気味だったんだ。；まあ少しばかり不安といえば不安だが、ただの過労だって話なので死にはしないだろう。；一方、過労と心労で倒れた母も入院し、二人は同じ病室に入ることになる。；ショックと過労で倒れ、何日も病院のベッドで点滴を受けて暮らした。；原因は過労という医師の言葉を、菅本は納得がいかないままに聞いた。；原素子はその気になれば自分を過労死させることができる女だ。；かれは下層階級の出身で、過労のため健康を害し、歩行が困難であった。；しかしなぜそんな過労状態で仕事に臨んだのかという点が曖昧だった。</t>
        </is>
      </c>
      <c r="J1741">
        <f>HYPERLINK("https://www.weblio.jp/content/過労", "词义详情")</f>
        <v/>
      </c>
      <c r="K1741">
        <f>HYPERLINK("https://yourei.jp/過労", "查看例句")</f>
        <v/>
      </c>
    </row>
    <row r="1742">
      <c r="A1742" t="inlineStr">
        <is>
          <t>辛うじて</t>
        </is>
      </c>
      <c r="B1742" t="inlineStr">
        <is>
          <t>成功</t>
        </is>
      </c>
      <c r="C1742" t="inlineStr">
        <is>
          <t>読み方：かろうじて
［副］《「からくして」の音変化》やっとのことで。どうにか。「—終電に間に合う」「年金だけで—生計を立てている」</t>
        </is>
      </c>
      <c r="D1742" t="inlineStr">
        <is>
          <t>辛うじて生き延び；辛うじて保た；辛うじて免れ；辛うじてかわし；辛うじて見える</t>
        </is>
      </c>
      <c r="E1742" t="inlineStr">
        <is>
          <t>何とか；かろうじて；ぎりぎり；危うく；辛くも</t>
        </is>
      </c>
      <c r="F1742" t="inlineStr">
        <is>
          <t>辛うじてこらえ；辛うじて確認；辛うじて読める；辛うじて堪え；辛うじて浮い</t>
        </is>
      </c>
      <c r="H1742" t="n">
        <v>29</v>
      </c>
      <c r="I1742" t="inlineStr">
        <is>
          <t>辛うじて息のあった兄の言葉から父親は彼らが自分の息子であったことを知る。；バークレー艦長は辛うじて生きていたが、彼もまた急速に老化していた。；私は辛うじて持っているが、今頃手に入れるのはまず出来ない相談だろう。；辛うじて生き残った魔族は勝利をいつか得るために休息の眠りについた。；緊迫した情勢の中でも宇宙開発に向けた意欲は辛うじて維持されていた。；事実、実業家達は重い負担を辛うじて引き受ける事が出来るのみであった。；辛うじて破壊を免れた箇所を17世紀に強化・拡張し、要塞が作られた。；足許がよろよろするのを、辛うじて刀を杖にして立ったように見えました。；しかしシグルズの子孫は辛うじて彼より長く生きたにすぎなかった。；女の母親は小さくなつて隅の方に辛うじて腰をかけてゐた。；おきみはもう、無言の反抗に依つて辛うじて自分を主張するしかなかつた。；その日の夜には戦艦同士の砲撃戦にアメリカ側が辛うじて勝利した。；ただヴァイオリンと云う名が辛うじてつくくらいのものであります。；翌日、オーギーは辛うじて生きていたが、症状はさらに悪化していた。；この宿だけが辛うじて二人の引き破られた心と心とを仲介するものであつたからだ。；その父親と言うのは目が不自由らしく、息子にすがり辛うじて立っている。；何度も逮捕の危険に晒されつつも辛うじて掻い潜りながら党への指導を続けた。；小さい包を小脇に介え丈夫そうな杖に体を支えて辛うじて立っているらしい。；いずれも辛うじてその筋の許可を得たものらしく見える。；辛うじて完走は果たしたものの46位、日本女子では最下位に終わった。；辛うじて俳句の領域に数人の婦人の名が記されているにすぎない。；これと平均額の家禄とで辛うじて一家の生計は営んでいたのである。；着陸の際に機体は大破したが、自身は辛うじて生還することができた。；二人が辛うじて別れの挨拶を交換するや否や、一種の音と動揺がすぐ彼女を支配し始めた。；辛うじて、自分をも見る目の意味であるというような短かい言葉を註した。；これは辛うじて生存している数十億人の人々のことを意味した。；つまり、脚本と俳優とが手をつないで、辛うじて舞台の上を歩いてゐたのである。；辛うじて動かすことの出来た右の手は、左の手の半分ほどに痩せ細って居た。；ポケットには、辛うじて今夜の家賃に足りるほどの金が残っているばかりだ。</t>
        </is>
      </c>
      <c r="J1742">
        <f>HYPERLINK("https://www.weblio.jp/content/辛うじて", "词义详情")</f>
        <v/>
      </c>
      <c r="K1742">
        <f>HYPERLINK("https://yourei.jp/辛うじて", "查看例句")</f>
        <v/>
      </c>
    </row>
    <row r="1743">
      <c r="A1743" t="inlineStr">
        <is>
          <t>軽んじる</t>
        </is>
      </c>
      <c r="B1743" t="inlineStr">
        <is>
          <t>成功</t>
        </is>
      </c>
      <c r="C1743" t="inlineStr">
        <is>
          <t>読み方：かろんじる
［動ザ上一］「かろんずる」（サ変）の上一段化。「約束を—・じる」</t>
        </is>
      </c>
      <c r="D1743" t="inlineStr">
        <is>
          <t>無視；無視する；軽視；放っておく；軽蔑する</t>
        </is>
      </c>
      <c r="H1743" t="n">
        <v>29</v>
      </c>
      <c r="I1743" t="inlineStr">
        <is>
          <t>学生にして学窓への愛とほこりとを持たぬことは自ら軽んじるものである。；最近でも東宮の側で宴を行うなど、皇太子を軽んじる様子がありました。；奉公人も主人達がそんなだから安心して喜八を軽んじるようになる。；見た眼にふざけて見えるからといって、決して軽んじることはできないのである。；近年、満江は、自分の中に僅かだが夫を軽んじる気持があるのに気づいている。；一瞬、藤村の胸に老人を軽んじる気持ちが動いたとしても無理はなかったろう。；信義を軽んじる政治家と黒道どちらかの裏切りはどちらかにダメージを与える。；人の生命、そして、自らの生命を軽んじる故に、忌むべき事を行い続けた。；胸さわざは信じなければなりませんし、状況を軽んじるのは厳禁。；そして文化問題は社会層の意識の自由な表現を無視出来ないのだから、この困難は決して軽んじることは出来ないのである。；もともと形式は軽んじるようなものではない。；君の気持ちを軽んじるようなこと言って。；ぼくは肉体の欲を軽んじることはできるけれど、肉体そのものは軽んじることができない。；また、川越がメディア側を軽んじる対応をしたことから、関係者から不満が述べられていた。；自分たちの生活を支え、守護してくれているものを軽んじるならば、領主であろうと許しはしない。；そうであれば小さな事をするにおいて小さな事だと軽んじるのは、自分の心を尊ばない基なのである。；私はそのうちに中学の授業を軽んじるようになり、或る時、隣の席に坐っていた仲間から流行歌を教えてもらった。；しかし、だからといってこの作品を軽んじる理由にはならない。；大事におうては身を惜しみ、小利をみては命も軽んじるという質だ。；たかの知れた牢人、疾風にはそう相手を軽んじる気持ちがあった。；核天は、あまりにも人の命を軽んじるからだ。；たかが蛮族の一人と、ディーノを軽んじることなど、できないことだったのだ。；朝廷を軽んじるような越権行為があっては、生まれ育った水戸の精神に恥じねばならぬ。；それだけで人間を軽んじるわけよ。；彼女が夫を軽んじる理由の一つに、自分では気づいているかどうかは判らないが、収入が夫よりも多いということがあった。；しかしお手伝いさんは姉の美佐子に心服していて、妹の彼女の方を少し軽んじるようなところがあった。；名家の出であるが、母の身分が低く、また自身も若い頃に礼を軽んじる行動をとったため、父には疎んじられていたという。；しかしこれにいい気になったランドルフは首相ソールズベリー侯爵を軽んじるようになり、独自路線をとることが増えた。；いずれにせよ、教壇を軽んじる態度の教師に対する皮肉・蔑称であることには変わりない。</t>
        </is>
      </c>
      <c r="J1743">
        <f>HYPERLINK("https://www.weblio.jp/content/軽んじる", "词义详情")</f>
        <v/>
      </c>
      <c r="K1743">
        <f>HYPERLINK("https://yourei.jp/軽んじる", "查看例句")</f>
        <v/>
      </c>
    </row>
    <row r="1744">
      <c r="A1744" t="inlineStr">
        <is>
          <t>川</t>
        </is>
      </c>
      <c r="B1744" t="inlineStr">
        <is>
          <t>成功</t>
        </is>
      </c>
      <c r="C1744" t="inlineStr">
        <is>
          <t>読み方：かわ
雨などの自然の水が集まり、陸上のくぼみを傾斜に沿って流れ下る水路。河川(かせん)。</t>
        </is>
      </c>
      <c r="D1744" t="inlineStr">
        <is>
          <t>川沿い(4%)；川河口；川東岸；川左岸；川右岸</t>
        </is>
      </c>
      <c r="E1744" t="inlineStr">
        <is>
          <t>河；大河；谷川；滝川</t>
        </is>
      </c>
      <c r="F1744" t="inlineStr">
        <is>
          <t>神田川；大井川；相模川；中津川；大きな川</t>
        </is>
      </c>
      <c r="G1744" t="inlineStr">
        <is>
          <t>川上；川口；川島；川岸；川村</t>
        </is>
      </c>
      <c r="H1744" t="n">
        <v>29</v>
      </c>
      <c r="I1744" t="inlineStr">
        <is>
          <t>このようなことから川には魚が多く、周囲の人たちの漁場になっている。；当時高川はまだ実績がなく、期待する者はほとんどなかったといわれる。；多くの川では漁業も盛んであり、重要な食料供給源の一つとなってきた。；川を挟んで東側には大口東総合病院、川沿いに北へ向かうと公園がある。；海で数年かけて大きくなり、また産まれた川に戻り産卵した後死亡する。；これはこの川が北のカナダに流れ込んでおり、氷で塞がれるためである。；川や河川の流れてくる方向や風の吹いてくる方向を表すときにも用いられる。；湖や川には約500種の魚類が生息しており、その多くは固有種である。；「川」は、山や海よりも前に若瀬川あたりからあまり使われなくなった。；川の北側には魚市場があり、そこから北へ少し進むと仁万海岸公園に至る。；川は流れるので星も流れる、足が流れるというので好まれなくなったという。；ラガン川のほとりは整備され、市中心部のほとんどが歩道になっている。；この名称は当時は伝説上の西部の川のことを指していた。；当時の位置は現在とは異なり、猪名川を渡る呉服橋近くに駅があった。；その他にも複数の小さな川が町やその郊外を流れている。；大規模なダムで川を堰き止めた場合、上流側には人造湖が形成される。；この橋はテムズ川を渡っていたか、今はない川の中に浮かぶ島を渡っていた。；時期により水の流れない場合があるものもあるが、それも含めて川と呼ばれる。；雪や雨は一時的な現象なので、川の持続的な水源は地下水である所が多い。；後者を使って14人乗りのボートで広い川を渡ることができた。；これらの都市は輸送のために理想的な川沿いに立地していた。；多くの個体は銀化を経て海に下るが、中には銀化せずに川に留まる個体もいる。；一方、泥が少ない川では胃にも泥が含まれず、食味も大幅に改善する。；私が目を上げて見ると、見よ、一頭の雄羊が川の前に立っているのが見えた。；また吾妻川といった自然由来の水質汚染もかつては問題とされていた。；地区によっては川を跨ぐ橋の上に飾り付けを行っているところもある。；それがつながって細い線状になったものが川である。；しかしカーブル川沿岸の別の集落や、カーピシーなどへの比定説もある。；降水が地表で直接河川に流れ込む以外に、地下水から川に入る水もある。</t>
        </is>
      </c>
      <c r="J1744">
        <f>HYPERLINK("https://www.weblio.jp/content/川", "词义详情")</f>
        <v/>
      </c>
      <c r="K1744">
        <f>HYPERLINK("https://yourei.jp/川", "查看例句")</f>
        <v/>
      </c>
    </row>
    <row r="1745">
      <c r="A1745" t="inlineStr">
        <is>
          <t>革</t>
        </is>
      </c>
      <c r="B1745" t="inlineStr">
        <is>
          <t>成功</t>
        </is>
      </c>
      <c r="C1745" t="inlineStr">
        <is>
          <t>読み方：つくりかわ
１毛を取り去った獣皮。なめし革。〈和名抄〉
２漢字の部首の革偏(かわへん)の異称。また、「革」の字を「皮」と区別していう語。</t>
        </is>
      </c>
      <c r="D1745" t="inlineStr">
        <is>
          <t>革製(7%)；革張り(6%)；革袋(5%)；革離(3%)；革ジャンパー</t>
        </is>
      </c>
      <c r="E1745" t="inlineStr">
        <is>
          <t>箱；皮；殻；覆い；甲羅</t>
        </is>
      </c>
      <c r="F1745" t="inlineStr">
        <is>
          <t>大きな革；革包；赤革；赤い革；鹿革</t>
        </is>
      </c>
      <c r="G1745" t="inlineStr">
        <is>
          <t>革新；革命家；革命軍；革靴；革命運動</t>
        </is>
      </c>
      <c r="H1745" t="n">
        <v>29</v>
      </c>
      <c r="I1745" t="inlineStr">
        <is>
          <t>その壁画に描かれた服の帯は革でなく織物ではないかと推測されている。；敵が矢や火で攻撃してくるのに備え、船の設備は動物の革で覆われた。；中に詰め物やスプリングを入れ、外は革張りや布張りするなどしている。；グリップに革を使用していることが特徴で、これも日本で最初の試みである。；戦前期にはこのベルトには斜革を付けていたが、開戦後には廃止された。；彼らが革製のモカシンを履いていたため、このような名前で呼ばれた。；現在の一般的な革製のスケート靴が広まる以前に日本国内で広く使用された。；安全ピンには使用時に抜きやすいように革製のタブが付けられていた。；日本では一般に革製の甲冑を身に着けた唐代の武将風の姿で表される。；この車両も前席は革張り・後部座席は布という組み合わせを選択していた。；この頃になると革底の需要がかなり減少し合成底が最盛期を迎えることになる。；全体の大きさや使用する革は、演奏する曲のジャンルで異なる。；それ以来、私は女性の感触を革ごしに感じることに夢中になった。；殷の時代に木や革を胸に当てる原始的な鎧が用いられるようになった。；住民たちには、革袋に消火用水を用意しておくことが義務づけられていた。；ミシシッピ川より西では初の革なめし工場が1851年に建設された。；好きな革を選んで、一から手縫いで手帳型携帯ケースや財布などを作成。；付属する革製スリングはM1ガーランド小銃用のものとほぼ同一である。；「革」は動物の皮を両手でピンと張ったところを表した文字である。；彼が構想した潜水船は、骨格は木製で、耐水性のある革で覆われていた。；とりわけ、革や毛皮で重厚に固められていた帽子は大幅に軽量化された。；どちらも腰に皮の細帯を巻き、革を重ねて作った靴を履いていた。；ボールは、サッカーボールの4号球に革の取手が6つ付いたものを使用。；最も一般的な素材は革で、バックルが付いた犬用の首輪を利用することが多い。；若い頃に革製の鞍を作っていたブルックスの父親がこの産業に彼を引き込んだ。；剣の南側には74本の矢が入った革製箙があり、鉄製鈎を伴っていた。；切れない刃を使った場合は革にダメージを与えることがある。；将校の中には革や毛皮のコートを独自にオーダーメイドして着用する者も多かった。；撥水処理後は逆に様々な革の中でも撥水性が高いので雨用靴に用いられることも多い。</t>
        </is>
      </c>
      <c r="J1745">
        <f>HYPERLINK("https://www.weblio.jp/content/革", "词义详情")</f>
        <v/>
      </c>
      <c r="K1745">
        <f>HYPERLINK("https://yourei.jp/革", "查看例句")</f>
        <v/>
      </c>
    </row>
    <row r="1746">
      <c r="A1746" t="inlineStr">
        <is>
          <t>皮</t>
        </is>
      </c>
      <c r="B1746" t="inlineStr">
        <is>
          <t>成功</t>
        </is>
      </c>
      <c r="C1746" t="inlineStr">
        <is>
          <t>読み方：かわ
１動植物の肉・身を包んでいる外側の膜。表皮。「みかんの—をむく」「鮫(さめ)の—」「魚の—をはぐ」
２物の表面にあって、中身を覆ったり包んだりしているもの。「饅頭(まんじゅう)の—」
３物事の表面にあって、本質を覆っているもの。「欲の—」「化けの—をはがす」
[下接語]厚皮・甘皮・粗皮・薄皮・嘘(うそ)の皮・姥(うば)皮・上(うわ)皮・鬼皮・帯皮・辛皮・唐皮・栗(くり)皮・黒皮・渋皮・尻(しり)皮・白皮・杉皮・竹の皮・爪(つま)皮・面(つら)の皮・生皮・化けの皮・撥(ばち)皮・腹の皮・一皮・糸瓜(へちま)の皮・松皮・的皮・身の皮・桃皮（がわ）裏皮・黄皮・毛皮・鮫(さめ)皮・鹿(しか)皮・敷皮・鰐(わに)皮</t>
        </is>
      </c>
      <c r="D1746" t="inlineStr">
        <is>
          <t>皮袋；皮製；皮紐；皮目；皮衣</t>
        </is>
      </c>
      <c r="E1746" t="inlineStr">
        <is>
          <t>箱；肌；殻；革；覆い</t>
        </is>
      </c>
      <c r="F1746" t="inlineStr">
        <is>
          <t>鹿皮；甲皮；黒い皮；殻皮；皮ひも</t>
        </is>
      </c>
      <c r="G1746" t="inlineStr">
        <is>
          <t>皮肉；皮切り；皮革；皮質；皮膚病</t>
        </is>
      </c>
      <c r="H1746" t="n">
        <v>29</v>
      </c>
      <c r="I1746" t="inlineStr">
        <is>
          <t>いったん口に入れた果物の種や皮などを再度口から出す行為は印象が悪い。；皮とは生物の表面を覆う組織であり、人類は特に動物の皮を利用してきた。；中国では皮付きの種を油で揚げてから塩をまぶす方法も一般的である。；皮と内部はどちらも生のままあるいは調理して食べることができる。；馬や豚や蛇の皮を張ったさまざまな楽器や、口琴などと共に演奏される。；基本的な構造は歯と同じであるため、皮歯と呼ばれることもある。；良質なたんぱく質が多く含まれており、皮を取るとさらに低脂肪である。；このため京劇に代表される西皮と二黄を総称して皮黄腔ということがある。；実用化はされなかったが公園内には現在でも皮を剥がされた松が残っている。；体の内側を除く全身は、皮膚が変化した骨状の板で形成された甲皮で覆われる。；心皮の発生は二つ折り状ではなく嚢状であり、完全には閉じていない。；古くからクジラから採取した肉や皮を食べる習慣がある国や地域が存在する。；そして自らの腕の皮を剥がして金属骨格になった腕を見せて正体を明かす。；しかし、どうしても皮をむく必要があるなら、決して生のうちにむくな。；これらヨーロッパ系の餃子は中国の餃子に比べて皮が厚めの傾向がある。；殻皮に毛をもつ種は色々な科に見られるが、その意味はよく分かっていない。；道具は専ら木や石・大型獣の皮などを利用して作られている。；皮の部分は、元が菓子だったことから特別に「皮種」と称されている。；あまり遊泳力がない、皮骨で覆われたオタマジャクシのような姿をしていた。；タマネギの皮のように風化が進み、内部は球状に母岩が残ることとなる。；皮にかかる張力が弱すぎるとたるんだ音になり、強すぎると皮を傷める。；商品の中には皮のみで具が入ってないものもある。；歯は木を削ったり堅果類の皮をかじったり身を守ったりするために使われる。；皮に角が出る皮膚病は良く知られており、肌の角質が増殖する症状である。；芋から発芽した芽や光に当たって緑色になった皮などに有害物質を含む。；骨部は毛が生えておらず、軟骨部は毛が生えており皮脂腺などもある。；皮層を構成する細胞は外側に向かって小さくなる。；二条種と六条種は皮が実と糊状のもので固着しており、はがすのが難しい。；黒ゴマの皮の部分にはタンニン系ポリフェノール色素を多く含んでいる。</t>
        </is>
      </c>
      <c r="J1746">
        <f>HYPERLINK("https://www.weblio.jp/content/皮", "词义详情")</f>
        <v/>
      </c>
      <c r="K1746">
        <f>HYPERLINK("https://yourei.jp/皮", "查看例句")</f>
        <v/>
      </c>
    </row>
    <row r="1747">
      <c r="A1747" t="inlineStr">
        <is>
          <t>かわいい</t>
        </is>
      </c>
      <c r="B1747" t="inlineStr">
        <is>
          <t>成功</t>
        </is>
      </c>
      <c r="C1747" t="inlineStr">
        <is>
          <t>読み方：かわいい
［形］《「かわゆい」の音変化。「可愛い」は当て字》
１小さいもの、弱いものなどに心引かれる気持ちをいだくさま。
㋐愛情をもって大事にしてやりたい気持ちを覚えるさま。愛すべきである。「—・い孫たち」「出来の悪い子ほど—・い」「誰だって自分の身が一番—・い」
㋑いかにも幼く、邪気のないようすで、人の心をひきつけるさま。あどけなく愛らしい。「えくぼが—・い」「—・い声」
２ほかと比べて小さいさま。
㋐物が小さくできていて、愛らしく見えるさま。「腰を掛けたら壊れてしまいそうな—・い椅子(いす)」
㋑物事の規模が小さいさま。程度が軽いさま。ややあざけりの意を込めていう。「校内で威張っているだけだから、まだ—・いものだ」
３無邪気で、憎めない。すれてなく、子供っぽい。「生意気だが—・いところがある」
４かわいそうだ。ふびんである。
「明日の日中に斬(き)られるげな、—・いことをしますると」〈浄・丹波与作〉
[派生]かわいがる［動ラ五］かわいげ［形動］かわいさ［名］
[補説]近年は用法に広がりがみられる。人に対しては、従来対象とされた子供や年少者以外にも、「かわいいお爺(じい)ちゃん」のように用いられ、物に対しては、従来の小さいもの以外にも、「かわいい建物」「かわいい車」などと用いられる。弱さや小ささに限らず、好ましさや親しみを感じさせる人や物について用いる例が増えている。
[補説]2013年10月に実施した「あなたの言葉を辞書に載せよう。」キャンペーンでの「カワイイ」への投稿から選ばれた優秀作品。◆女の子の間での潤滑油の言葉。アル吉さん◆本人の演出によらぬ、自然な愛くるしさ。花に蝶さん◆特筆すべき長所の無い人、物、動物、仕草に対して肯定的である旨を伝える際に使用する言葉。豚野郎さん◆1語彙に乏しい者が様々な愛らしさを表現する言葉。2もっとも平凡で無難なお世辞。はらっぱさん◆女性の中に、永遠に存在するもの。ゆきさん◆自分の感性に共鳴する対象物。とーさんさん◆子犬、子猫を見たときに、胸がキュンとなる心の変化のこと。しおさん◆子供の寝顔。一番かわいいと思える瞬間。ももぞうさん◆英語に翻訳するのが最も難しいコトバ。M&amp;Gさん◆男性の場合は、愛おしく見える物・存在を指す表現。女性の場合は、前述の意味とは別に、自分よりも美的格付けが下だと認識した際に発する暗喩。カンパリ=フレアさん◆カタカナの可愛いは、表面上の虚偽の愛らしさのこと。本質的な愛らしさは可愛いという。Saisho1989さん◆顔の目鼻立ちが整っていて愛嬌があり、こちらまで心がほぐされそうになる容姿。また仕草において言う場合もある。zooさん◆「好き」の表現違い。YASUさん</t>
        </is>
      </c>
      <c r="D1747" t="inlineStr">
        <is>
          <t>かわいい子(4%)；かわいい娘(3%)；かわいい顔(3%)；かわいい声；かわいいアンヌ</t>
        </is>
      </c>
      <c r="E1747" t="inlineStr">
        <is>
          <t>美しい；大切；貴重；綺麗；可愛い</t>
        </is>
      </c>
      <c r="F1747" t="inlineStr">
        <is>
          <t>こんなかわいい；とってもかわいい；こんなにかわいい；かわいい花；一番かわいい</t>
        </is>
      </c>
      <c r="G1747" t="inlineStr">
        <is>
          <t>かわいいよ；かわいい魔女ジニー；かわいいー；かわいいひと；かわいい魚屋さん</t>
        </is>
      </c>
      <c r="H1747" t="n">
        <v>29</v>
      </c>
      <c r="I1747" t="inlineStr">
        <is>
          <t>いったい彼はこれまで彼女の顔を、かわいく思っていなかっただろうか。；艦長はかわいいジラとあの言語研究に大きな関心を寄せているのだろう。；林太郎はどうしていいかわからないほど、しろ公がかわいくなりました。；そして私の目はまた、日の光を受けてる黄色いかわいい花の上に向いた。；その日の放課後、彼女は私のその時の表情がかわいかったと私に告げた。；御孫の宮はどの方をも皆非常にかわいく夫人は思っているのである。；色が白くて、美しいかわいい子でもう声を出して笑ったりするのであった。；うちのかわいい小鳥さんは、もう決してそんなことをしてはいけません。；かわいい娘はあっけにとられ、どういうことなのか見当がつかなかった。；その中には明らかに自分よりかわいくないとしか思えない娘もいた。；あの言葉はごく自然だったし、正直なところ、なかなかかわいかったわ。；きみのかわいい子どもを、じぶんで殺さなければならない運命なのだ。；僕はかわいい顔はしていたかも知れないが体も心も弱い子でした。；乃木坂46の好きなところは衣装も歌もダンスも先輩もかわいいところ。；そして、いちばんかわいい眼つきをしいちばんやさしい声をして言った。；ファンからは「子供の頃からかわいいんだね」などの賞賛が寄せられた。；自分がかわいくなくなるようなデザインの洋服しか買えなくなるのです。；ちまちましたかわいいもので雑然としているゆり絵の部屋とは大違いだ。；京MINのお母さんも、雄一のことをカワイイと言っているのだそうだ。；かわいかった小女王を思い出して、源氏は独り笑みをしながら又寝をした。；彼女はクリストフをかわいいと思い、彼のやさしい言葉に満足していた。；南の学校へ行かせないのは、おまえを、かわいく思うからなのですよ。；驚いて見ると、かわいい小猫が、どこから来たのか、少女の傍に来ていた。；もっとも、かわいい魚が手ごわすぎて、料理しかねているご様子ですが。；白い服装をして母らしく若宮をお抱きしている姫君はかわいく見えた。；未来の国の女性から見てかわいいと思うようなデザインになる。；マルソーと知り合いになるなり、彼はこの子がかわいくなってしまった。；カワイイもの好きで、自分好みの社員を集めてハーレムを作るのが夢。；どちらもまるでひとり息子みたいにかわいくてしっかりしてるよ。</t>
        </is>
      </c>
      <c r="J1747">
        <f>HYPERLINK("https://www.weblio.jp/content/かわいい", "词义详情")</f>
        <v/>
      </c>
      <c r="K1747">
        <f>HYPERLINK("https://yourei.jp/かわいい", "查看例句")</f>
        <v/>
      </c>
    </row>
    <row r="1748">
      <c r="A1748" t="inlineStr">
        <is>
          <t>かわいがる</t>
        </is>
      </c>
      <c r="B1748" t="inlineStr">
        <is>
          <t>成功</t>
        </is>
      </c>
      <c r="C1748" t="inlineStr">
        <is>
          <t>読み方：かわいがる
［動ラ五（四）］
１かわいらしいと思って、優しく扱う。「子供を—・る」
２ひいきする。目をかけてやる。「ひいき筋に—・られた役者」
３（反語的に用いて）痛い目にあわせる。手荒く扱う。しごく。「そいつを—・ってやれ」
[可能]かわいがれる</t>
        </is>
      </c>
      <c r="D1748" t="inlineStr">
        <is>
          <t>愛する；重視する；重んじる；愛用する；愛でる</t>
        </is>
      </c>
      <c r="H1748" t="n">
        <v>29</v>
      </c>
      <c r="I1748" t="inlineStr">
        <is>
          <t>そして、先生の方もわたしのことを娘のようにかわいがってくれていた。；そして、自分たちをかわいがってくれる町の名を知りたいと思いました。；だれも近しい者がいないから猫を子どもみたいにかわいがっているんだ。；かわいがってくれた両親の存在は、陽子の心の支えになっていたはずだ。；そのあとに生れたおれの父親である次男の啓輔も房親にかわいがられた。；かつての東京商業の校長で、なにかと星をかわいがってくれた人である。；お二人とも、わたしをかわいがるのが楽しいと思っていらしただけです。；主人はホレースを、これまでのどの猫よりもかわいがっていましたのよ。；御承知のとおり、わたくしは、あれを妹のようにかわいがっております。；かわいがりとは、小さいものや弱いものを愛でて大切にすることである。；こっちからなついていけば、猫好きの人間ならかわいがってくれたろう。；人形のようにかわいがられているだけの自分に納得するはずはない。；彼女は十二歳年上だったけど、私を実の妹のようにかわいがってくれた。；僕は、おまえをかわいがってやるからといったことを思い出しました。；こんなよごれた肉の塊をいきなりかわいがるのだから大した勇気である。；小母さんはタマの代わりに、女の子をかわいがっているような気がした。；うちではみんながあれを眼の中に入れても痛くないほどかわいがりましただ。；おばあちゃんなんてのは面倒は見ないでかわいがるだけしていたいの。；植物を扱う商売でありながら植物をかわいがらない植木屋もあると見える。；僕の家にも事実はあんな老婢がいて、僕を非常にかわいがってくれた。；実子がいなかったため、唯一の弟子である3代目をかわいがったという。；子どものころからほんとうの孫のようにかわいがっていただきました。；それにつけてもおじいさんは、二人の孫たちをかわいがったのであります。；父と母の間がうまくいっているときは、母は彼をいたくかわいがった。；彼女はその子供を育ててはいたが、少しもかわいがっていなかった。；この娘は、父親から眼に入れても痛くないほどかわいがられておりました。；長老に大変かわいがられて、そこに住むことを許されていたのである。；でも怠けたりしないで、いいことをして、みんなからかわいがられたい。；わたしは彼を元帥卿のところへ連れてゆき、卿も彼を大いにかわいがった。</t>
        </is>
      </c>
      <c r="J1748">
        <f>HYPERLINK("https://www.weblio.jp/content/かわいがる", "词义详情")</f>
        <v/>
      </c>
      <c r="K1748">
        <f>HYPERLINK("https://yourei.jp/かわいがる", "查看例句")</f>
        <v/>
      </c>
    </row>
    <row r="1749">
      <c r="A1749" t="inlineStr">
        <is>
          <t>かわいそう</t>
        </is>
      </c>
      <c r="B1749" t="inlineStr">
        <is>
          <t>成功</t>
        </is>
      </c>
      <c r="C1749" t="inlineStr">
        <is>
          <t>読み方：かわいそう
［形動］［文］［ナリ］同情の気持ちが起こるさま。ふびんに思えるさま。「—な境遇」「彼ばかり責めては—だ」「お—に」
[補説] 「可哀相」「可哀想」は当て字。</t>
        </is>
      </c>
      <c r="D1749" t="inlineStr">
        <is>
          <t>かわいそうな気；かわいそうな女；かわいそうな娘；かわいそうじゃない；かわいそうなやつ</t>
        </is>
      </c>
      <c r="E1749" t="inlineStr">
        <is>
          <t>気の毒；哀れ；無残；可哀想；無惨</t>
        </is>
      </c>
      <c r="F1749" t="inlineStr">
        <is>
          <t>ちょっとかわいそう；とてもかわいそう；ほんとうにかわいそう；なんだかかわいそう；あんまりかわいそう</t>
        </is>
      </c>
      <c r="G1749" t="inlineStr">
        <is>
          <t>かわいそうなぞう</t>
        </is>
      </c>
      <c r="H1749" t="n">
        <v>29</v>
      </c>
      <c r="I1749" t="inlineStr">
        <is>
          <t>わたしがあの晩おまえに見せてやったあのかわいそうな赤ん坊のことを。；かわいそうなことをしたと思ったが、もう陽が暮れかけているのである。；だがやはり、そんなことまでしたのかと思うと、かわいそうな気がした。；かわいそうにリディアはだれもめんどうをみてやる人がいなかったのね。；だがあなたはあのかたがひどい目にあってもかわいそうに思わないんですか!；そして自分の部屋へはいると急に信二郎がかわいそうになって来ました。；かわいそうに皇帝は、もうほとんど息をすることもおできになりません。；ただ、かわいそうに、と言って気の毒そうな顔をしていられただけだよ。；ああ、かわいそうなふたりは、これからどうなっていくことでしょうか。；かわいそうに、私たちが、かれらに食べ物を持ってきたと思ったのです。；目が覚めると、おみよはその乞食の子がかわいそうでなりませんでした。；そばに見ているのは実にかわいそうで堪えられないほど苦しみました。；したがって、その娘をかわいそうに思った人はなかったのであります。；人間のため働いた牛や馬を食べるのは、かわいそうなことのように思います。；かわいそうに、きっとハリエットもおなじことを思っているに違いない。；鳥がかわいそうでなりませんから、鳥を捕って売ることはいたしません。；かわいそうに女は肱掛椅子の上に仰向けに倒れて、半ば気を失っていた。；それをかわいそうと思って、あたたかな国へ持ってくれば枯れてしまう。；このようすを見ますと、三郎は子供らがかわいそうに思われました。；かわいそうにあの子はすぐに父の死を知って叫び出したのです。；厨房の大鍋を使うのよ、このかわいそうな生き物のために水を入れてね。；かわいそうに、それで娘さんは川へ身を投げて死んでしまいました。；それに訪問しているあいだ、かわいそうな馬はどこにつないでおくのかね?；泣いても泣いても泣き足りないようにかわいそうなのは貞世だった。；あんな生徒であればこそ見放してしまってはかわいそうだ、と言われてね。；わたしもそれでよかったと思っています、かわいそうな年よりです。；今ここから出て行ってしまうのもかわいそうに思われて言った。；かわいそうに、すっかり度を失って、一切を認めてしまったんですわ。；かわいそうにそれはひどくせきをして、聞いていられないようだった。</t>
        </is>
      </c>
      <c r="J1749">
        <f>HYPERLINK("https://www.weblio.jp/content/かわいそう", "词义详情")</f>
        <v/>
      </c>
      <c r="K1749">
        <f>HYPERLINK("https://yourei.jp/かわいそう", "查看例句")</f>
        <v/>
      </c>
    </row>
    <row r="1750">
      <c r="A1750" t="inlineStr">
        <is>
          <t>かわいらしい</t>
        </is>
      </c>
      <c r="B1750" t="inlineStr">
        <is>
          <t>成功</t>
        </is>
      </c>
      <c r="C1750" t="inlineStr">
        <is>
          <t>読み方：かわいらしい
［形］［文］かはいら・し［シク］《「かわゆらしい」の音変化》
１子供らしい無邪気さや見た目の好ましさで、人をほほえませるようなさま。「—・い口もと」
２小さくて愛らしい。「指先ほどの—・い魚」
[派生]かわいらしげ［形動］かわいらしさ［名］</t>
        </is>
      </c>
      <c r="D1750" t="inlineStr">
        <is>
          <t>かわいらしい顔(3%)；かわいらしい女の子(2%)；かわいらしい少女(2%)；かわいらしい子；かわいらしい声</t>
        </is>
      </c>
      <c r="E1750" t="inlineStr">
        <is>
          <t>美しい；綺麗；可愛い；かわいい；可憐</t>
        </is>
      </c>
      <c r="F1750" t="inlineStr">
        <is>
          <t>かわいらしい手；かわいらしい頭；かわいらしい姿；かわいらしいデザイン；かわいらしい雰囲気</t>
        </is>
      </c>
      <c r="G1750" t="inlineStr">
        <is>
          <t>かわいらしいく</t>
        </is>
      </c>
      <c r="H1750" t="n">
        <v>29</v>
      </c>
      <c r="I1750" t="inlineStr">
        <is>
          <t>ちいさな画面にかわいらしい卵がひとつ表示されているのが見てとれた。；その言いかたが本当にかわいらしくて、聞くだけでいい気持ちになった。；そして男に手を回したまま、少女のようなかわいらしい顔をして言った。；彼はかわいらしい顔に意外の思いを浮かべながらもしっかりとうなずいた。；びっくりするくらい肌が白く、そしてかなりかわいらしい女の子だった。；でもこの必要以上にかわいらしい少年は、次々と彼女の予想を超えてゆく。；この姿は、もはや、かわいらしい、信頼しきっていた竜の子供ではない。；田舎娘というよりもむしろ町娘と言いたいくらいで、かわいらしかった。；あまりにもかわいらしくて、万里は思わず笑い出しそうになってしまう。；男女とも丸顏で幼い感じのするかわいらしい絵柄のキャラクターを描く。；かわいらしいカジキのマスコットが説明してくれるこれは観光用のもの。；そしてその上に乗って、かわいらしい指で時計の長い針を動かしたのでした。；こんな事を続けていればそんなかわいらしいはじめ君がたくさん見られるわけだ。；目が大きく、ちょっと奥目で、若い頃はかわいらしい顔立ちだったろう。；ただかわいらしいだけでしかない自分ではありたくないという気持なのです。；かわいらしい少年がそこへ現われなかったら、もっとそうなっていたと思う。；自分の息子のかわいらしい様子を見たいと思わない母親がいて?；そのようすが妙にかわいらしくて、あたしは思わず笑ってしまった。；悪戯を見とがめられたときのような、むしろかわいらしげな笑いである。；右の頬についている油の汚れがいくぶん、そのかわいらしさを強調していた。；少女とばかりに思っていたのは、そのじつ、かわいらしい少年だったのです。；まだ幼いかわいらしい子が三人あって、家のなかを飛びまわっていた。；そのりこうそうな黒いかわいらしい目に星の光がさしてひらめきました。；まあ、このお手、あなたのお手はかわいらしいお手ですわねえ、このお手!；だからかわいらしい衣装の魔女っ娘物に変更しようとしているのだが。；どの人もちょっと問題だが、女どもにくらべて何とかわいらしいことだろう。；いつもじゃないんですけど、時々とてもかわいらしい時があります。；PS はじめ君の反応がかわいらしかったので、また今度やろうと思う。；きみのことを人柄のいい、才能のある、かわいらしい女性だと思っている。</t>
        </is>
      </c>
      <c r="J1750">
        <f>HYPERLINK("https://www.weblio.jp/content/かわいらしい", "词义详情")</f>
        <v/>
      </c>
      <c r="K1750">
        <f>HYPERLINK("https://yourei.jp/かわいらしい", "查看例句")</f>
        <v/>
      </c>
    </row>
    <row r="1751">
      <c r="A1751" t="inlineStr">
        <is>
          <t>乾かす</t>
        </is>
      </c>
      <c r="B1751" t="inlineStr">
        <is>
          <t>成功</t>
        </is>
      </c>
      <c r="C1751" t="inlineStr">
        <is>
          <t>読み方：かわかす
［動サ五（四）］日光・火・風などにあてて、ぬれたものや湿ったものの水分を取り去る。「ぬれた服をたき火で—・す」
[可能]かわかせる</t>
        </is>
      </c>
      <c r="D1751" t="inlineStr">
        <is>
          <t>乾燥；脱水；干す；干上がる；涸れる</t>
        </is>
      </c>
      <c r="H1751" t="n">
        <v>29</v>
      </c>
      <c r="I1751" t="inlineStr">
        <is>
          <t>部屋に戻ると、みのりがぼんやりとテレビを見ながら髪を乾かしていた。；このことは池の表面を乾かすに主要ではないまでも重要な寄与をした。；薪を取りに行くのも乾かすのも割るのも、これからは俺の毎日の仕事だ。；彼は寝衣の乾かしやうのないのに困つて、ぼんやりと窓外を眺めて居た。；靴ひとつ履くのも億劫になるし、濡れたものを乾かすのも容易ではない。；乾燥したハルケギニアの夏の空気が、すぐに二人の身体を乾かしてゆく。；つい二、三日前、彼はその髪を暖炉で乾かしているのを見たのだった。；うららは本当に来たのだろうか、と私は髪を乾かす熱風の中で思っていた。；能見が戻ってきたとき、台所に置いた小さな鏡に向かって髪を乾かしていた。；彼は寢衣の乾かしやうのないのに困つて、ぼんやりと窓外を眺めて居た。；服を着ると髪を乾かすロール・ブラシを使って器用に髪にくせをつける。；塔の近くでは、川が運んでくる土を乾かして、レンガを作っています。；髪を乾かしながら、鏡の中で佐代子が身体を拭いているのを見ていた。；濡れた服を絞って乾かすために、僕たちは人目につかない部屋に移動した。；しかし、それにしてもそこに潜水着を乾かしたままにしておくことはできない。；寢臺の側の椅子の上に私のものが一切、綺麗に乾かして置いてあつた。；私は小屋にはいると、すこし濡れた体を乾かしに、再び火の傍に寄って行った。；髪を乾かしている最中に、新しい服が一枚もないことに気づいた。；夏の間にとった貝の中で一番大きなものを乾かして、机の上に置いたものだった。；切った枝は垣の中で乾かし、使えそうになった頃あいをみて洞穴へ運んだ。；おれは太陽の光と熱を全身に浴び、濡れたからだを乾かしながら放尿した。；手紙が来ると、レゾールをかけて乾かして持って行くのが僕の役になっていた。；カマドに火を入れていたパン屋が服を乾かしてくれて食べ物をくれた。；そのあとに女中が彼女に湯をかけ、バスローブを羽織らせてて体を乾かす。；タオルで充分に水気をとった後の髪にざっとドライヤーをあてて乾かす。；まず第一の問題は、いうまでもなく、どうして乾かすかということでした。；濡れたのを乾かしたらしく、そり返り、全体に小さなしわが出来ている。；そこで少し考えたのが、濡れたから火に当てて乾かしたのでは、ということ。；髪の毛を乾かす時間があるかどうか気になったけれど、頭も洗うことにした。</t>
        </is>
      </c>
      <c r="J1751">
        <f>HYPERLINK("https://www.weblio.jp/content/乾かす", "词义详情")</f>
        <v/>
      </c>
      <c r="K1751">
        <f>HYPERLINK("https://yourei.jp/乾かす", "查看例句")</f>
        <v/>
      </c>
    </row>
    <row r="1752">
      <c r="A1752" t="inlineStr">
        <is>
          <t>渇く</t>
        </is>
      </c>
      <c r="B1752" t="inlineStr">
        <is>
          <t>成功</t>
        </is>
      </c>
      <c r="C1752" t="inlineStr">
        <is>
          <t>読み方：かわく
［動カ五（四）］《「乾く」と同語源》
１のどがからからになって、水分が欲しくなる。「のどが—・く」
２満たされぬ気持ちがいらだたしいほど高まる。心から強く欲しがる。「愛に—・く」</t>
        </is>
      </c>
      <c r="D1752" t="inlineStr">
        <is>
          <t>望む；願う；希望する；憧れる；切望する</t>
        </is>
      </c>
      <c r="H1752" t="n">
        <v>29</v>
      </c>
      <c r="I1752" t="inlineStr">
        <is>
          <t>やがて彼は喉が渇いて、顎をぴくぴくさせながら、池の水を飲みに行く。；私は歩いてきて、喉も渇いているのでいつもここでジュースを買って飲む。；そのあたりで実は喉が渇いてきていて、家に帰ってまたもやビールを飲む。；従つて年よりのやうに慾にも渇かず、若いもののやうに色にも溺れない。；辟易しながら町を一つ通過し、喉が渇いて舌を突き出してこいでいた頃。；しかし一口飲んだ瞬間に、万里はどれほど自分の喉が渇いていたかを知った。；寒いとか、喉が渇いたとか、そんなことでは眼を醒まさないはずなのだ。；喉が渇いていた入鹿は酒杯に注がれた酒を喉を鳴らしながら飲み干した。；あまりに喉が渇くため、トイレの便器の水を飲もうかと迷う程であった。；「そうだ、きみのすべてが知りたい」 渇いた喉を引き剥がして答えた。；けれど云わんとすることは、感情の火に、口ばかり渇いて出ないのである。；「ビールをお願いします」とのどの渇いていた私は思わずいってしまった。；私の喉を渇いたままの状態にしておくなんて何様のつもりなの!?；とくに喉は渇いていなかったが、席を立って一拍間を置きたかった。；従って年よりのように欲にも渇かず、若いもののように色にもおぼれない。；「いや、僕は、そんなに喉が渇いていませんから」 鮎美が笑い出した。；それは、お鳥の匂いを嗅いで集った、千疋狼の血に渇く眼だったのです。；わたしは、と言おうとしたが、喉がひどく渇いていて、言葉がでなかった。；レストランの出がけにジュースを飲んだはずなのに、もう喉が渇いていた。；緊張していて喉が渇いたらしく、大江は勧められるまま茶碗を取り上げた。；彼の喉は長い距離を走ったあとのようにからからに渇いていた。；空気が乾いているのと、大声でしゃべったのとで、咽喉が渇いたらしい。；喉が渇いた様な気のして居たお久美さんはすぐ声を出せなかった。；ひどく喉が渇いていたが、その欲求を堪えて、ルドガーは体を起こした。；石の部屋に一人になって、僕は喉が渇いてからからになっているのに気がついた。；桃源台へ着いたときに、八代は喉が渇いたと言いだしたのである。；現実のわたしののどのほかに、どこかでのどが大きく渇いているような気がした。；殊に疲労して喉の渇いた時は水を何ほど飲んでもその渇きが止まりません。；喉はカラカラに渇いているのに、汗をまったくかいていないのも不思議だった。</t>
        </is>
      </c>
      <c r="J1752">
        <f>HYPERLINK("https://www.weblio.jp/content/渇く", "词义详情")</f>
        <v/>
      </c>
      <c r="K1752">
        <f>HYPERLINK("https://yourei.jp/渇く", "查看例句")</f>
        <v/>
      </c>
    </row>
    <row r="1753">
      <c r="A1753" t="inlineStr">
        <is>
          <t>乾く</t>
        </is>
      </c>
      <c r="B1753" t="inlineStr">
        <is>
          <t>成功</t>
        </is>
      </c>
      <c r="C1753" t="inlineStr">
        <is>
          <t>読み方：かわく
［動カ五（四）］
１物に含まれている湿気・水分がなくなる。ひる。「洗濯物が—・く」「—・いた空気」
２感情や生気が感じられなくなる。うるおいに欠ける。「—・いたうつろな目」</t>
        </is>
      </c>
      <c r="D1753" t="inlineStr">
        <is>
          <t>乾くだろ(2%)；乾くと耐水性</t>
        </is>
      </c>
      <c r="E1753" t="inlineStr">
        <is>
          <t>乾燥；乾る；干る；乾びる</t>
        </is>
      </c>
      <c r="F1753" t="inlineStr">
        <is>
          <t>すぐ乾く；すぐに乾く</t>
        </is>
      </c>
      <c r="H1753" t="n">
        <v>29</v>
      </c>
      <c r="I1753" t="inlineStr">
        <is>
          <t>喉は乾いて居るし、息は苦しいし、この際の旨さは口にいう事も出来ぬ。；森さんはときどき気になるように向うの白く乾いた村道を見ていられた。；都では朧ろな夜の多い此頃を、此山では、冬の夜空のやうに乾いてゐた。；一瞬だけ喉が乾くような感覚を覚えたが、彼女はすぐにそれを忘れた。；一昨日の夜を通した雨のなごりも、薄い皮一枚張つたやうに道が乾いた。；そう思うとビールを飲んでいるのに口じゅうが異常に乾くような気がした。；えっとですね、わたしがいなくなっても乾くんと仲良くしてくださいね。；彼はほんの一瞬間、乾いた彼の唇の上へこの蝶の翅の触れるのを感じた。；水から出して乾いて何日たってからでも、また水につければ生き返るよ。；この木は良く乾いた水を含みやすいローム層の土壌で広く生息している。；半かけの雲が落葉といつしよにひらひらするやうな乾いた秋であつた。；路の縁の乾いた土には雨がまだわずかにしみ込んだばかりであった。；それが乾いたので自分はガラスの定規で端を切つては臺紙を貼りつけた。；乾いた砂地に水を注いだように彼らはプログラミング言語を身につけた。；大根には幾らかの辛味はあるが兼次の乾いた喉にはそれでも佳味かつた。；ちょっと高級なホテルの一室を取って、服が乾くのを待っているところだ。；逆に、一旦乾くと水に浸けても滲まないことで保存に適した方法だった。；その間にも衣類が太陽のきらめく光に乾くのを待っているのであった。；農夫等は水を見ながら、乾いた田をどうすることも出來なかつたといふ。；川の中に、ところどころ水が乾いて白い砂の出てゐるところがあつた。；水に濡れた食器や衣服は、乾燥機を使わなくても自然に乾くからである。；今日は学校が終わったら乾くんと三人で遊びに行くんでしょう?；事実、わしはペコペコに腹が減っていたし、痛い程喉が乾いていたのだ。；次は血だが、これは本物の血の乾く時間を調べたのかも知れない。；喋れないほど口の中が乾いていたが、水に手を伸ばすこともできなかった。；この子の涙が乾くまではつき合おうと思い、いろいろなことを話した。；われわれの住んでいるところはむかしから乾いた陸地だったわけではない。；街の南側と東側は密林に覆われているが、北側と西側は乾いた土地が広がる。；濡れている猫の毛に住んでいる蚤が、乾いている猫の皮へ住居を移す。</t>
        </is>
      </c>
      <c r="J1753">
        <f>HYPERLINK("https://www.weblio.jp/content/乾く", "词义详情")</f>
        <v/>
      </c>
      <c r="K1753">
        <f>HYPERLINK("https://yourei.jp/乾く", "查看例句")</f>
        <v/>
      </c>
    </row>
    <row r="1754">
      <c r="A1754" t="inlineStr">
        <is>
          <t>交わす</t>
        </is>
      </c>
      <c r="B1754" t="inlineStr">
        <is>
          <t>成功</t>
        </is>
      </c>
      <c r="C1754" t="inlineStr">
        <is>
          <t>読み方：くわす
［動サ下二］《「かわす」の音変化》交わし合う。互いに交差させる。
「人は目を—・せつつ、いとよく笑みて」〈かげろふ・中〉</t>
        </is>
      </c>
      <c r="D1754" t="inlineStr">
        <is>
          <t>交わすことなく；交わすべき</t>
        </is>
      </c>
      <c r="F1754" t="inlineStr">
        <is>
          <t>呼び交わす；飲み交わす；囁き交わす</t>
        </is>
      </c>
      <c r="H1754" t="n">
        <v>29</v>
      </c>
      <c r="I1754" t="inlineStr">
        <is>
          <t>二人の男は互いに話を交わすこともなく、幸福であるようにも見えない。；これは、二人がこの慣れた呼びかけを交わすのを私が聞いた最後だった。；また、担当コーチと選手が技術論を交わす光景も見られるようになった。；そして彼女も私たちと同じような人間であるかのように会話を交わすのだ。；最後まで真尋ちゃんとは一言たりとも言葉を交わすことはできなかった。；しかし、こうした事前の契約はほとんど交わされることはできなかった。；それから二人は話を交わすことなく、貸店舗のあるビルの前まで行った。；また他のテーブルで交わされる緩慢な会話に耳を貸そうともしなかった。；二人はもう一言も言葉を交わさずに、こうして庭の中を何回か回った。；言葉すら交わすことなく、石と化していたのではないかと、私は思った。；その日に僕と彼女が言葉を交わす機会はなく、理由を知ることもなかった。；彼と交わす言葉には、友人たちとの間に感じるような距離がなかった。；それから二人の間には、大抵次ぎのような会話が交わされるのであった。；けれどもある日、矢島さんと常子との間に次のような会話が交わされた。；二人が出発の用意をしながら交わす会話が、なおしばらく聞きとれた。；こういうふうな会話が、現実そのもののようにとり交わされるのである。；そして、明日は何処かへ出かけようという相談が二人の間に交わされた。；傍らで見ていた堀部ほりとの視線を交わしてから僅かの出来事だった。；美図枝と言葉を交わすことは、自分の心を汚すような気がしたからだ。；あるいはまた西洋間の電燈の下に無言の微笑ばかり交わすこともある。；いつもなら二人きりの時にだけ交わす特別な、陽気な微笑を投げかけた。；しかし、誰とも言葉を交わそうとせず、食事をしようともしなかった。；参画を希望する場合は合意書を交わすことを必須条件としている例もある。；二人の間には一言も言葉が交わされなかったのはなぜであろう?；Digbyは敵の艦列と反航するようにアフリカを進め砲火を交わした。；ただし主催権などは全くの口約束、契約書などは交わされていなかった。；中世には相博状を交わし、領主から判物を受けることで認められていた。；そこには驚きのささやきを交わす草の葉もなくまた人の影もありませんでした。；僕は彼に完膚無きまでに叩きのめされたあと、なにか約束を交わすのだ。</t>
        </is>
      </c>
      <c r="J1754">
        <f>HYPERLINK("https://www.weblio.jp/content/交わす", "词义详情")</f>
        <v/>
      </c>
      <c r="K1754">
        <f>HYPERLINK("https://yourei.jp/交わす", "查看例句")</f>
        <v/>
      </c>
    </row>
    <row r="1755">
      <c r="A1755" t="inlineStr">
        <is>
          <t>為替</t>
        </is>
      </c>
      <c r="B1755" t="inlineStr">
        <is>
          <t>成功</t>
        </is>
      </c>
      <c r="C1755" t="inlineStr">
        <is>
          <t>読み方：かわし
《為替を組む意の動詞「為替(かわ)す」の連用形から》中世、「かわせ（為替）」のこと。</t>
        </is>
      </c>
      <c r="D1755" t="inlineStr">
        <is>
          <t>為替変動(4%)；為替管理(3%)；為替方(2%)；為替業務；為替銀行</t>
        </is>
      </c>
      <c r="F1755" t="inlineStr">
        <is>
          <t>御為替；為替局；為替証書；為替証拠金取引；為替自由化</t>
        </is>
      </c>
      <c r="G1755" t="inlineStr">
        <is>
          <t>為替相場；為替手形；為替取引；為替介入；為替市場</t>
        </is>
      </c>
      <c r="H1755" t="n">
        <v>29</v>
      </c>
      <c r="I1755" t="inlineStr">
        <is>
          <t>次に、歴史的に為替が固定されていたかつてのフランスの植民地がある。；父が東京から電報為替で金一円也を送って来たのもその頃であったという。；先生は為替を組んでやって、男が窓口から渡したお金を受け取りました。；中には20円もの為替と何枚にも書かれたおしん宛の便箋が入っていた。；民信局は郵便局と為替銀行の面をもっており、貿易を兼業する者もいた。；業態はストックホルム銀行のように融資部門と為替部門に分かれていた。；このあいだは、弟に、送ってやる為替を手紙といっしょに落としたのです。；こうした為替と金の関係に注目した金の取引を行うFX投資家が増えだした。；送金による為替の場合は、為替の動く方向と資金の動く方向が一致する。；薩摩と琉球の銀の為替は銀一に対して銅一五〇〇で取引されております。；またリトアニアは為替平衡のための資金を集めなければならなかった。；郵便局で為替を組んでそれを出すと、初めて一日のことが顧みられた。；小栗はアメリカで、日本がいかに為替関係で損をしているかを知った。；もう一つの事件は国際為替指標と関わって世界から非難を浴びた。；八右衛門は亀屋に頼んで江戸から五十両の為替の金を送ってもらうはずだった。；また砂糖作りの奨励も行い、取引を円滑化するため砂糖為替法を定めた。；また、一般に預金積金や為替等の取引は、非会員も利用することができる。；フランス貨のシェールドを売ってうまく為替で儲けることを心得ていた。；為替管理がどうのこうのと云ったところで、何んともならぬらしい。；郵便局の前に来ると、玄は私を待たせておいて為替の受渡口の前に立った。；この経済的混乱からの回復の間、彼らは為替と国際取引のみに集中する方を選んだ。；電報為替で送金してもらうにしても、なみたいていの金額ではなかった。；国の方からは取り敢えずこれだけ送ると云って、千五百円の為替が来ました。；欧州通貨で機関化された国内産業は資金と為替の両面から保護された。；また、中央商人と地方商人とのために為替業を営み、その取引を円滑にした。；朝烏山局にて八島の利息十七円二十五銭を為替に組んで送る。；また為替などに対する統一した基準と法的根拠を求める声も高まった。；後述の公金為替業の請負人となってからは、大阪にも両替店を設けた。；この為替銀行間の取引を銀行間取引といい、その市場を銀行間市場という。</t>
        </is>
      </c>
      <c r="J1755">
        <f>HYPERLINK("https://www.weblio.jp/content/為替", "词义详情")</f>
        <v/>
      </c>
      <c r="K1755">
        <f>HYPERLINK("https://yourei.jp/為替", "查看例句")</f>
        <v/>
      </c>
    </row>
    <row r="1756">
      <c r="A1756" t="inlineStr">
        <is>
          <t>瓦</t>
        </is>
      </c>
      <c r="B1756" t="inlineStr">
        <is>
          <t>成功</t>
        </is>
      </c>
      <c r="C1756" t="inlineStr">
        <is>
          <t>読み方：が
［常用漢字］　［音］ガ（グヮ）（漢）　［訓］かわらグラム
〈ガ〉粘土を素焼きにしたもの。かわら。「瓦解・瓦礫(がれき)／釉瓦(ゆうが)・煉瓦(れんが)」
〈かわら（がわら）〉「瓦版／鬼瓦・屋根瓦」
［難読］瓦斯(ガス)・瓦落(がら)</t>
        </is>
      </c>
      <c r="D1756" t="inlineStr">
        <is>
          <t>瓦窯跡；瓦当；瓦ぶき；瓦工；瓦職人</t>
        </is>
      </c>
      <c r="E1756" t="inlineStr">
        <is>
          <t>タイル；グラム</t>
        </is>
      </c>
      <c r="F1756" t="inlineStr">
        <is>
          <t>丸瓦；出土瓦；石州瓦；軒瓦；半瓦</t>
        </is>
      </c>
      <c r="G1756" t="inlineStr">
        <is>
          <t>瓦斯；瓦解；瓦葺；瓦屋根；瓦葺き</t>
        </is>
      </c>
      <c r="H1756" t="n">
        <v>29</v>
      </c>
      <c r="I1756" t="inlineStr">
        <is>
          <t>建物はレンガ造りを基本とし、建造時には屋根に黒瓦が用いられていた。；寺の境内から百済の瓦が出土したことから、もとは百済の寺とされている。；また紀寺の跡ともいわれ、周辺から奈良時代前期の古瓦も出土している。；しかし、瓦が誰によっていつごろ発明されたかはよくわかっていない。；倭城の縄張り・瓦・陶磁器などの考古学的調査・研究が掲載されている。；ここで生産された瓦は飛騨国分寺で用いられたことが知られている。；モンモランシー家と修道院の領地は瓦状に重なり合っていたためである。；遺構は見つかっていないが、推定寺域からは多くの古瓦が発掘されている。；百済からの帰化人の影響で、この地方では古くから瓦が作られていた。；百済からは仏教と寺院建築のために瓦などの建築技術が伝わった。；開業当初からの駅舎は木造平屋建ての建築物で、黒い瓦が特徴的である。；調査の際、瓦の出土がなく、基本的に建物は板葺であったと思われる。；中国大陸では夏の時代の歴史資料に瓦が製造されていたとの記録が残っている。；木同士の場合基本的に隙間は無く、瓦の場合隙間が大きすぎるからだと考えられる。；また、すべての建物が掘立柱建物であり、瓦はまだ使用されていなかった。；なかでも石瓦や銅瓦は歴史的にも古くから用いられてきたものである。；瓦の伝来に伴い、飛鳥時代に大陸から日本へ伝えられたと考えられている。；また、それを模した主に屋根に使われる装飾・役瓦の一種である。；その大半は平瓦である一方、丸瓦・軒丸瓦の出土は認められていない。；瓦を主題とする日本唯一の美術館であり、国際的にも珍しいとされる。；おそらくは瓦で覆われた木製の屋根があったものと考えられている。；当時は国道1号が瓦業者の窯の煙で前が見えにくくなるほどであったという。；屋根は創建時は洋瓦であったが、現在では日本瓦に葺き替えられている。；境内から出土する瓦の様式から、創建は7世紀にさかのぼるとみられる。；瓦をもって門をたたくか、石をもって門をたたくかというようなことです。；なお、瓦英らが大陸に渡ったのはニヴフがつくった構造船によってであった。；S型瓦の商品が多いが、平瓦や日本瓦などの形状も広く流通している。；瓦は焼き物で工業製品のように必ずしも全てが規格通りに作るのは難しい。；境内に接して西に観音堂と呼ばれる場所があり、古い瓦片などが見つかっている。</t>
        </is>
      </c>
      <c r="J1756">
        <f>HYPERLINK("https://www.weblio.jp/content/瓦", "词义详情")</f>
        <v/>
      </c>
      <c r="K1756">
        <f>HYPERLINK("https://yourei.jp/瓦", "查看例句")</f>
        <v/>
      </c>
    </row>
    <row r="1757">
      <c r="A1757" t="inlineStr">
        <is>
          <t>代わりに</t>
        </is>
      </c>
      <c r="B1757" t="inlineStr">
        <is>
          <t>成功</t>
        </is>
      </c>
      <c r="D1757" t="inlineStr">
        <is>
          <t>代わりうる；代わり先発；代わり一塁手；代わりクローザー；代わり途中出場</t>
        </is>
      </c>
      <c r="E1757" t="inlineStr">
        <is>
          <t>代；選択；代わりに；交換；交流</t>
        </is>
      </c>
      <c r="F1757" t="inlineStr">
        <is>
          <t>取って代わり；母親代わり；父親代わり；挨拶代わり；週代わり</t>
        </is>
      </c>
      <c r="G1757" t="inlineStr">
        <is>
          <t>代わりの生化学；代わり代わり</t>
        </is>
      </c>
      <c r="H1757" t="n">
        <v>29</v>
      </c>
      <c r="I1757" t="inlineStr">
        <is>
          <t>代わりのボール代だけでも半年間で10万円を超えることになったという。；その代わりに太田川発金山行きの普通が平日の昼間にも多数走っていた。；ただし低確率でアイテム出現の代わりに爆発を起こすアイテムがある。；平日夕方の下り方向では運行されず、後述する通勤快速が代わりとなる。；かつてはミクロンがマイクロメートルの代わりに使われることがあった。；鉄道はほとんどが廃止され、代わりにチューブトレインを開設している。；この板は食卓代わりに宿屋等で使われ始め、家庭に広まったとみられる。；以上3つがその計画であり、警察を軍隊の代わりにすることを意図していた。；代わりに、アルゴリズムを使用して最も可能性の高い候補を特定する。；その代わりに、海王星の北半球では大暗斑に似た新しい嵐が発見された。；ただしその代わりに消費電力や発熱が大きくなるという問題も発生する。；代わりにこれらがゲームをする人の中心的な指示者である。；そして宗教的な裁判所を廃止して代わりに民事裁判所を設置した。；その代わりに、これらの惑星は木星に近い位置で形成されたと推定されている。；その代わりにヨハネ福音書では夕食の時、弟子たちの足をイエスが洗う。；中に入ると、一定時間出られない代わりにアイテムが手に入る。；代わりに会場と契約して場所を提供している形になる。；今日の多くの人工衛星は NTO の代わりに MON が使用される。；一時期はカーボランダムの代わりにアランダムが使用されたことがある。；魔法の代わりとして超能力のようなものが一応存在している世界となっている。；同様の手法は、合同関係の代わりに核の言葉で述べることもできる。；戦車から砲塔を撤去し、代わりに固定式戦闘室に変更されている。；これは一般の位相空間において列の代わりにネットを考える動機を与える。；時計代わりとして、信徒の一日の生活上の節目となっているとも言われる。；その代わりにあるのは連続した音楽の流れである。；江戸時代以前には存在せず、代わりに大八車などが使われていた。；いくつかの他のゲームはカードの代わりにタイルを使用する。；しかし、その代わりに続く2021年大会がカメルーンで開催されている。；代わりに各キャラクターへのインタビューが存在する。</t>
        </is>
      </c>
      <c r="J1757">
        <f>HYPERLINK("https://www.weblio.jp/content/代わりに", "词义详情")</f>
        <v/>
      </c>
      <c r="K1757">
        <f>HYPERLINK("https://yourei.jp/代わりに", "查看例句")</f>
        <v/>
      </c>
    </row>
    <row r="1758">
      <c r="A1758" t="inlineStr">
        <is>
          <t>変わる</t>
        </is>
      </c>
      <c r="B1758" t="inlineStr">
        <is>
          <t>成功</t>
        </is>
      </c>
      <c r="C1758" t="inlineStr">
        <is>
          <t>読み方：かわる
［動ラ五（四）］《「代わる」と同語源》
１物事の形やようすなどが今までと違った状態になる。
㋐ある状態から他の状態に移る。変化する。「規約が—・る」「顔色が—・る」
㋑年月などが改まる。「月が—・る」「時代が—・る」
２ある場所・方向から他の場所・方向へ動く。「住まいが—・る」「別の会社に—・る」「風向きが—・る」「席を—・る」
３（多く「かわった」「かわっている」の形で）普通と比べて異なっている。一般的、標準的なものと違っている。「—・った趣向」「あの人は一風—・っている」
４物事と物事との間に違いがある。異なる。「何ら動物と—・るところがない」「所—・れば品—・る」
５相撲などで、相手にぶつからないように身をかわす。「右に—・ってはたき込む」
[可能]かわれる</t>
        </is>
      </c>
      <c r="D1758" t="inlineStr">
        <is>
          <t>変わることなく；変わるだろ；変わる可能性；変わるまい；変わる事なく</t>
        </is>
      </c>
      <c r="E1758" t="inlineStr">
        <is>
          <t>なる；変化；異なる；違う；化する</t>
        </is>
      </c>
      <c r="F1758" t="inlineStr">
        <is>
          <t>変わるかもしれ；どう変わる；何ら変わる；なんら変わる；生え変わる</t>
        </is>
      </c>
      <c r="H1758" t="n">
        <v>29</v>
      </c>
      <c r="I1758" t="inlineStr">
        <is>
          <t>その他の地形や会戦に関係する場所は当時からほとんど変わっていない。；それが変わり始めたと分かることが起きたのは江戸時代のころである。；シーズンも20試合の登板で前年のシーズンとそれほど変わらなかった。；シリーズが変わるごとに多少設定変更がみられる描写も少なくはない。；枕が変わると寝られなくなってしまうと言っているが、気のせいだった。；以後においては数回アジア遠征を試みているが、大勢は変わらなかった。；これに伴い担当番組も大幅に変わり、スポーツ関係は実況専門となった。；この時期の機族に特別な能力はなく、ほとんど人類の子供と変わりがない。；変わった事をやらなければならないという思考から解放してくれたという。；トールキンのその他の言語は、以上のように読んでほとんど変わりない。；それでもゲーリングは自分が直接英国へ行けば状況は変わると信じていた。；キリスト教化された中世以降のヨーロッパでもその傾向は変わらずに残る。；このチームのメンバーは前回優勝したメンバーとほとんど変わらなかった。；少しずつ、昼間の空から夕方の空に変わろうとする、ちょうどその時間。；彼が変わろうとしないのが悪いのだから、それでも許されると思っていた。；人は大きな危険を目の前にすると、こんなに変われるものなのだと思った。；なんだ、こうやって書くと男の人のしてきた遊びとそんなに変わんないぞ。；これ以前にトレーニングを行っても平均的には殆ど変わらないとされている。；地球上で最も強い加熱面だったであろう表面が冷却面に変わったといえる。；基本形はこの番組と変わらないが、違いとしては以下の点が挙げられる。；また、章ごとに舞台や登場人物の変わるオムニバス調に構成されている。；主食が米飯からパンなどへ変わりつつあることから消費が低迷している。；こちらは特に会員制度を取っている訳でも無く、通常の酒屋と変わらない。；彼女は類い稀な変わらぬ美貌を得たが、結婚や子宝には恵まれなかった。；清水時代後期とは打って変わり、この年のアラウージョは活躍を見せた。；初列風切の内側半分が生え変わると、最も外側の三列風切が抜け始める。；子供の頃はおきゃんな少女で、現在と変わらず見栄っ張りの様子である。；また、ラストシーンは原作から変わることが開始前より明言されている。；前作までと設定が変わり、主人公の王子は11歳の少年になっている。</t>
        </is>
      </c>
      <c r="J1758">
        <f>HYPERLINK("https://www.weblio.jp/content/変わる", "词义详情")</f>
        <v/>
      </c>
      <c r="K1758">
        <f>HYPERLINK("https://yourei.jp/変わる", "查看例句")</f>
        <v/>
      </c>
    </row>
    <row r="1759">
      <c r="A1759" t="inlineStr">
        <is>
          <t>代わる代わる</t>
        </is>
      </c>
      <c r="B1759" t="inlineStr">
        <is>
          <t>成功</t>
        </is>
      </c>
      <c r="C1759" t="inlineStr">
        <is>
          <t>読み方：かわるがわる
［副］順番に代わり合って。交代に。「車を—（に）運転する」</t>
        </is>
      </c>
      <c r="H1759" t="n">
        <v>29</v>
      </c>
      <c r="I1759" t="inlineStr">
        <is>
          <t>その後も双方が代わる代わる城や砦を築いては相手側が破壊する状態にあった。；教室の男の子、みんな代わる代わるで見にいっているじゃないですか。；「二百二十四号」「七十六号」二人は起ち上がって代わる代わる答えた。；カストゥールの貴族たちが代わる代わる訪れ、彼に学問を教えていること。；あるいはまた母親のを見たとおりに真似て、子供を代わる代わる腕に抱いてやった。；梓は代わる代わるに何本か手に取り、側面の文字をつぶさに見ていく。；感情のまったくこもっていない目で、代わる代わる二人を見ている。；正月からは、炊の仕事をみんなで代わる代わるすることに決めていた。；その日から、夫婦の家には代わる代わる訪問者がやってくるようになった。；悪い夢や縁起でもない夢をいくつもいくつも、代わる代わる見た。；マリユスの熱心な注意はふたりの上に代わる代わる向けられた。；王の書院には毎日薩摩の役人が代わる代わるやって来るようになった。；現在は、各リーグ所属校の女子マネージャーが試合毎に代わる代わる務めている。；この父親が1909年に亡くなるまで、兄弟たちが代わる代わる訪問した。；二人の男が代わる代わる話していて、父の頭が幾度も塀の陰に沈んだり浮かんだりする。；しばらく三人の子供たちの様子を代わる代わる見ていたが、益々三人が激しく泣きだした。；祖父よりもさらに高齢と思われる老紳士たちが、代わる代わる帽子を取りながら挨拶した。；そして心と精神とを、どちらか代わる代わる犠牲にし辱しめるようになるのです。；まるで、山車の上には何人もの人がいて、代わる代わるに出てきて踊りを披露しているかのようだった。；散歩やら、女のちょっとした賭博を、代わる代わるに仕事にしていた。；最初は、これらが代わる代わる奏されるが、後にそれが一つになって曲が進行していく。；この作品の中では、涙と笑顔がスコアを通して、代わる代わる現れる。；ふたたびその箱の中に蟇を入れて、今度は代わる代わる目を離さず見守っていた。；貧乏揺すりをしながら平介は、テレビと時計と電話とを代わる代わる見つめた。；七郎が傍に寄ると、二人は代わる代わる英語で何か言い始めた。；書類と画面を代わる代わる見つめ、八重子には意味のない数字を打ち込んでいく。；「おまえたちは、何者だね」と、彼は尋ねて、ふたりを代わる代わる眺めた。；「さすが、若さだね」 芥子之助と七郎は代わる代わる瓶に口を付けた。；夫妻が代わる代わるエレベーターのボタンを押した。</t>
        </is>
      </c>
      <c r="J1759">
        <f>HYPERLINK("https://www.weblio.jp/content/代わる代わる", "词义详情")</f>
        <v/>
      </c>
      <c r="K1759">
        <f>HYPERLINK("https://yourei.jp/代わる代わる", "查看例句")</f>
        <v/>
      </c>
    </row>
    <row r="1760">
      <c r="A1760" t="inlineStr">
        <is>
          <t>缶</t>
        </is>
      </c>
      <c r="B1760" t="inlineStr">
        <is>
          <t>成功</t>
        </is>
      </c>
      <c r="C1760" t="inlineStr">
        <is>
          <t>読み方：かん
［常用漢字］　［音］カン（クヮン）（呉）（漢）
１金属製の容器。「缶詰／空き缶・製缶」
２「缶詰」の略。「牛缶」
３湯わかし器。「薬缶(やかん)」
４蒸気機関のかま。「汽缶」
[補説] 「罐」は本来「水を汲むつるべ」をさしたが、今は「缶」によって代用する。「缶」は「フ」が本来の音で、「腹のふくれた水がめ、ほとぎ」の意。1は英語canまたはオランダ語kanの音訳字。3・4は「鑵」と通用。</t>
        </is>
      </c>
      <c r="D1760" t="inlineStr">
        <is>
          <t>缶入り(6%)；缶室(4%)；缶ジュース(4%)；缶胴上；缶紅茶</t>
        </is>
      </c>
      <c r="F1760" t="inlineStr">
        <is>
          <t>水管缶；ブリキ缶；専焼缶；主缶；ビール缶</t>
        </is>
      </c>
      <c r="G1760" t="inlineStr">
        <is>
          <t>缶ビール；缶コーヒー；缶切り；缶バッジ；缶詰め</t>
        </is>
      </c>
      <c r="H1760" t="n">
        <v>29</v>
      </c>
      <c r="I1760" t="inlineStr">
        <is>
          <t>現在の環境と同じ種類の缶を使うとその季節の環境がより強調される。；ある日ガールハントをしていたあたるはコーラの缶で手を切ってしまう。；発売当初はチーズ味のブロックとミルク味の缶のみの商品構成であった。；現在の缶デザインは大阪城など大阪にゆかりのあるものが描かれている。；このため輸送量が多い時は缶の上に板を置いて二段積みにしていた。；缶の中に粘土が入っており、これで動物などを作ると本物同様に動く。；前級で分離していた缶室配置を集中し、前・中・後部缶室にまとめた。；緑はワタナベに「人生はビスケットの缶だと思えばいいのよ」と言った。；発売当初は瓶入りのみだったが、途中から缶入りも発売されるようになった。；通常、缶全体が暗緑色に塗られており、内容が側面に黒字で書いてある。；なお抗堪性向上のため、機関配置は缶・機・缶・機の交互配置とされた。；県内では缶入りの「うっちん茶」も多くのメーカーから発売されている。；また、缶と主機も他の同型艦と異なっており、推進軸も2軸であった。；スズでできた缶に保存すれば、この反応の進行を抑えることができる。；一時キャンペーン期間中にはアニメのキャラクターが印刷されている缶もあった。；こうした状態の缶はスウェーデン各地のスーパーマーケットでよく見られる。；このとき発生する蒸気は元缶の上部中央からガス管で結晶槽に導かれる。；銀筒の缶入りで、赤文字でライオンの字を変に強調したきらいがある。；コーヒー豆の缶の中に堕胎児が捨てられているのを見て以来飲めなくなった。；通常サイズの他に、色によってはロングサイズの缶入りのものもある。；近年、種類も増え、缶やペットボトル入りのものが主流となっている。；米国では今でも缶を使って作ることが一般的である。；缶は気密性が高く流通過程で風味の低下が少ないことから愛好者も多い。；ボイラーは後に補助缶小を撤去、更に後に全てを宮原缶8基と交換した。；また、業者に直接発注する事も可能で、1缶単位などでレンタルできる。；店主は一週間後の11月20日、空になった缶を近所の交番に届け出た。；特に紫砂泥で制作された茶缶は、陳茶の保存に適しているとされる。；機関配置はイタリア近代巡洋艦伝統の缶室分離配置方式である。；ライフはジュリ缶を兵器系の乗り物に乗っている状態で取る事で回復できる。</t>
        </is>
      </c>
      <c r="J1760">
        <f>HYPERLINK("https://www.weblio.jp/content/缶", "词义详情")</f>
        <v/>
      </c>
      <c r="K1760">
        <f>HYPERLINK("https://yourei.jp/缶", "查看例句")</f>
        <v/>
      </c>
    </row>
    <row r="1761">
      <c r="A1761" t="inlineStr">
        <is>
          <t>勘</t>
        </is>
      </c>
      <c r="B1761" t="inlineStr">
        <is>
          <t>成功</t>
        </is>
      </c>
      <c r="C1761" t="inlineStr">
        <is>
          <t>読み方：かん
［常用漢字］　［音］カン（漢）　［訓］かんがえる
１考え合わせる。つき合わせて調べる。「勘案・勘考・勘合・勘定／校勘」
２罪を調べただす。「勘気・勘当／推勘・勅勘」
３直感。第六感。「勘所(かんどころ)／山勘(やまかん)」
４「勘定」の略。「割勘」
［名のり］さだ・さだむ・のり
［難読］勘解由使(かげゆし)</t>
        </is>
      </c>
      <c r="D1761" t="inlineStr">
        <is>
          <t>勘十(5%)；勘右衛門(4%)；勘三；勘五郎；勘忍</t>
        </is>
      </c>
      <c r="E1761" t="inlineStr">
        <is>
          <t>意味；感覚；訳；疑い；念</t>
        </is>
      </c>
      <c r="F1761" t="inlineStr">
        <is>
          <t>お勘；動物的な勘；勘喜郎；鋭い勘；勘次</t>
        </is>
      </c>
      <c r="G1761" t="inlineStr">
        <is>
          <t>勘違い；勘弁；勘当；勘定奉行；勘案</t>
        </is>
      </c>
      <c r="H1761" t="n">
        <v>29</v>
      </c>
      <c r="I1761" t="inlineStr">
        <is>
          <t>それが雨に崩れて、勘次の立っている端のほうは土が落ちかけていた。；この能力は生来のもので幼い頃は自らの能力を勘であると思っていた。；それだのに勘三はある日のこと、お菊に向かってこんなことを云った。；現場でたたき上げた豊富な経験と勘は、寺院再建の際に大いに活用された。；勘三は、暗い顔をして時々地面を見たり遠くを眺めたりしている。；賊はこの屋敷に出入りする侍の一人に相違ないと、勘十郎は鑑定した。；裾に使用されているのは江戸時代中期に作られた西山勘七作の絵巻である。；更に、クルーゾーが生きていると勘付いたドレフュスもその後を追った。；普通の知性を持っている女性なら誰でも、勘だけで事実を察知するだろう。；いま考えても根拠はなにもないのだけれど、職業的な勘と言ってもいい直感ね。；しかし刑事レベルが低い状態では、刑事の勘が誤作動してしまうこともある。；大学時代も全国大会での出場経験はなかったが、ここで勝負勘を養った。；その後勘十郎は水戸藩での一揆の責を問われて処刑されたと伝えられている。；平均をとって出て来た結果が嘘か本当かは、まず勘で判断するより仕方がない。；勘十郎は藩にいた際にある出来事がきっかけで刀を捨て、腰に鞘のみを備えていた。；細君は赤坂の八百勘で女中をしていた人で、始終粋な丸髷に結っていた。；あたしの勘で、その危険がもうとつくに去つたつていふ気がするだけなの。；勘五郎 それでな、だんだんお城下の方へ押し寄せてくるいうのじゃ。；母親からの影響で、まだ高校生の彼だが、そのようなことに多少の勘は働いた。；つまり勘右衛門は刑部老人の、素性と行動とを知っていたのであった。；なにごとも勘でばかりやって、じっくり物事をやる習慣を持っていないこと。；われながら勘忍ができないんだけれど、どうもいたし方がありません。；江戸時代の元文元年初代の勘右衛門より約280年以上続く老舗である。；反射神経・勘・セーブ力といった個人能力はその次に来る要素である。；その大切にせられている頭を、勘ちゃんは遠慮せずにピシャピシャ打つ。；企業に十分なデータがあるというのにデータを分析せずに勘と経験で議論を重ねるのは無駄としている。；勘さんの嗣子の作さんは草鞋ばきで女中を探してあるいて居る。；それを日本人の専門みたいにしているところをみると、勘が実在しているからであろう。；有繋に勘當を受けて居る身であるだけに落つかれぬのだらうと人々は噂をした。</t>
        </is>
      </c>
      <c r="J1761">
        <f>HYPERLINK("https://www.weblio.jp/content/勘", "词义详情")</f>
        <v/>
      </c>
      <c r="K1761">
        <f>HYPERLINK("https://yourei.jp/勘", "查看例句")</f>
        <v/>
      </c>
    </row>
    <row r="1762">
      <c r="A1762" t="inlineStr">
        <is>
          <t>がん</t>
        </is>
      </c>
      <c r="B1762" t="inlineStr">
        <is>
          <t>成功</t>
        </is>
      </c>
      <c r="C1762" t="inlineStr">
        <is>
          <t>読み方：がん
《generative adversarial network》人工知能の機械学習における教師なし学習の一種。あらかじめ用意されたデータから特徴を学習し、擬似的にその特徴をもつデータを生成する。生成ネットワークと識別ネットワークの二つのニューラルネットワークからなり、生成ネットワークはある特徴をもつランダムなデータを生成し、識別ネットワークは、生成されたデータにその特徴が反映されているかを識別する。この二つを互いに競い合わせることで学習精度を高める。実在しない風景や人物の画像を生成したり、風景写真から画家の作風に似せた絵画を生成したりすることができる。敵対的生成ネットワーク。</t>
        </is>
      </c>
      <c r="D1762" t="inlineStr">
        <is>
          <t>がん治療(4%)；がん患者(3%)；がんばり(3%)；がん抑制遺伝子(2%)；がん研究</t>
        </is>
      </c>
      <c r="E1762" t="inlineStr">
        <is>
          <t>癌；癌腫；キャンサー</t>
        </is>
      </c>
      <c r="F1762" t="inlineStr">
        <is>
          <t>抗がん；しやがん；壁がん；がん診療；さまざまながん</t>
        </is>
      </c>
      <c r="G1762" t="inlineStr">
        <is>
          <t>がんばる；がんじがらめ；がんばれ；がんがん；がんばり</t>
        </is>
      </c>
      <c r="H1762" t="n">
        <v>29</v>
      </c>
      <c r="I1762" t="inlineStr">
        <is>
          <t>また、がんなどの異常な細胞と正常細胞を区別することにも利用される。；がん医療の専門家などが集まり定義した専門用語などが記載されている。；非がん性の慢性疼痛では3か月以上使用するための証拠はほとんどない。；実際、多くのがんでは初期であれば9割以上の5年生存率となっている。；Wntシグナルは他のがんの発生にも関与していることが示唆されている。；後述する通り、スプライシングと関連した疾患の有名な例はがんである。；しかしいくつかのがんの型や免疫不全を含んだ病気の治療には用いられてきた。；明らかに腫瘍の中には免疫系をうまく逃れてがんに向かうものがある。；この病院は特に腫瘍学の分野に強みを持ち、がんの治療には定評がある。；この記事によれば、たばこが肺 がんの原因ではない可能性があるという。；免疫を応用することで、副作用の少ないがん特異的な治療が可能となる。；上記のように効能・効果は多数あるが、実際には血液がん中心に使われる。；がん闘病からの復帰後は、その経験を語る講演活動を各地で行っている。；がんを抱えて生きるアンナの姿が私の今の状態と重なっているのよ。；また、米国の対がん戦略である国家がんプログラムを調整する役割がある。；完全に治療されたためにこれ以降がんが再発することはなかった。；その後、現役末期の1999年にがんが肝臓に転移していることが判明。；和歌山県がん診療連携推進病院や災害拠点病院などの指定を受けている。；免疫抑制薬が必要ながんの寛解期にある患者が再発する可能性は高くない。；がんに効くと違法に宣伝していた業者が逮捕されたケースもある。；がんおよびAIDS等により治癒が難しくなった患者を対象としている。；特に様々な意見の反映が求められるがん医療にはとてもチーム医療は重視されている。；その後、世界中で樹状細胞を使ったがん治療の研究開発が進められてきた。；がん患者自身の免疫力を利用したことが、これまでの標準治療と異なる点である。；がんの形成や進行にも関わっていると考えられている。；これは多くのがん患者に読んでもらいたい珠玉の一編として知られている。。；セレクチンが炎症やがんの進行に関与している可能性が明らかになってきている。；また、低身長の人は低血圧である可能性が高く、がんになる可能性も低い。；がんの治療によって失われた臓器の機能を補う手段が得られない場合もある。</t>
        </is>
      </c>
      <c r="J1762">
        <f>HYPERLINK("https://www.weblio.jp/content/がん", "词义详情")</f>
        <v/>
      </c>
      <c r="K1762">
        <f>HYPERLINK("https://yourei.jp/がん", "查看例句")</f>
        <v/>
      </c>
    </row>
    <row r="1763">
      <c r="A1763" t="inlineStr">
        <is>
          <t>簡易</t>
        </is>
      </c>
      <c r="B1763" t="inlineStr">
        <is>
          <t>成功</t>
        </is>
      </c>
      <c r="C1763" t="inlineStr">
        <is>
          <t>読み方：かんい
［名・形動］簡単で手軽なこと。また、そのさま。「—な包装」「—宿泊施設」
[派生]かんいさ［名］</t>
        </is>
      </c>
      <c r="D1763" t="inlineStr">
        <is>
          <t>簡易的(9%)；簡易裁判所(5%)；簡易型(5%)；簡易suica改札機(4%)；簡易ベッド(3%)</t>
        </is>
      </c>
      <c r="E1763" t="inlineStr">
        <is>
          <t>明らか；やすい；容易；単純；楽</t>
        </is>
      </c>
      <c r="F1763" t="inlineStr">
        <is>
          <t>簡易運転台；簡易食堂；簡易改札機；簡易舗装；簡易リクライニングシート</t>
        </is>
      </c>
      <c r="G1763" t="inlineStr">
        <is>
          <t>簡易郵便局；簡易保険；簡易版；簡易水道；簡易宿泊所</t>
        </is>
      </c>
      <c r="H1763" t="n">
        <v>29</v>
      </c>
      <c r="I1763" t="inlineStr">
        <is>
          <t>開業当初は無人駅で駅舎も存在しなかったが後に簡易駅舎が設置された。；実際の墨俣城は簡易な建築や柵で構成されたものであったとされている。；無人駅であり、ホーム上には簡易な待合室が設置されているのみである。；車両代替により、屋根上の装飾を廃止した簡易改造の車両が増えている。；編成の中央に組み込まれ、編成の分割を考慮して簡易運転台を設置する。；上りホームにのみ屋根の付いた簡易的な待合所とベンチが設置されていた。；教育用には独自に簡易ネットワークシステムまで構築して利用していた例もある。；簡易な椅子や机などを用意し、客が店で買った商品を飲食することができる。；主なものは焼却型・バイオ型・簡易浄化槽型・内容物輸送型などがある。；自動改札機・自動精算機・自動券売機・簡易列車案内が設置されている。；開業当初からの駅舎は解体され、台形の簡易駅舎が設置されている。；駅舎は待合室兼用の簡易なものであり、直接ホームに入る形になっている。；自動改札機については、開閉式でない簡易式のタイプが設置されている。；以前は古口駅とほぼ同型の駅舎があったが、簡易駅舎に建て替えられた。；新駅舎は、隣接の東浜駅のような待合所を備えた簡易的な駅舎である。；この例外を「簡易な操作」といい電波法施行規則第33条に規定される。；駅舎は駅集中管理システム導入と同時に作られた簡易なものである。；その他日本における簡易裁判所に相当する自治体裁判所や郡裁判所も存在する。；簡易駅舎に改築された当時は便所が設けられていたが、現在は閉鎖されている。；自動改札機は未設置だが、PASMO対応簡易改札機が設置されている。；待合室兼用の簡易な駅舎しかなく、直接ホームに入る形になっている。；そのほか、袖仕切形状が変更されたほか、網棚形状も簡易な構造となった。；すべてのホームに簡易接近放送と点字ブロックが設置されている。；駅舎はプレハブのような簡易なもので、国鉄時代から使用されている。；ここにJR線出場用・入場用の簡易Suica改札機も設置されている。；駅舎内に乗車駅証明書発行機と簡易Suica改札機が設置されている。；ホームは線路の北側に設置されており、ホーム上には簡易な待合室が設置されていた。；ホームは線路の北東側に設置されており、ホーム上には簡易な待合室が置かれていた。；前者は簡易な道具で可能だが、後者は専用器具を使うことが多い。</t>
        </is>
      </c>
      <c r="J1763">
        <f>HYPERLINK("https://www.weblio.jp/content/簡易", "词义详情")</f>
        <v/>
      </c>
      <c r="K1763">
        <f>HYPERLINK("https://yourei.jp/簡易", "查看例句")</f>
        <v/>
      </c>
    </row>
    <row r="1764">
      <c r="A1764" t="inlineStr">
        <is>
          <t>眼科</t>
        </is>
      </c>
      <c r="B1764" t="inlineStr">
        <is>
          <t>成功</t>
        </is>
      </c>
      <c r="C1764" t="inlineStr">
        <is>
          <t>読み方：がんか
目の疾患の治療・予防などを研究する臨床医学の一分野。</t>
        </is>
      </c>
      <c r="D1764" t="inlineStr">
        <is>
          <t>眼科医院(6%)；眼科病院(4%)；眼科手術(2%)；眼科学会；眼科領域</t>
        </is>
      </c>
      <c r="F1764" t="inlineStr">
        <is>
          <t>井上眼科；病院眼科；近代的な眼科；眼科研究；神経眼科</t>
        </is>
      </c>
      <c r="G1764" t="inlineStr">
        <is>
          <t>眼科学；眼科疾患</t>
        </is>
      </c>
      <c r="H1764" t="n">
        <v>29</v>
      </c>
      <c r="I1764" t="inlineStr">
        <is>
          <t>眼科へ着くまでの間、私は彼が神経痛を始めて苦しみはせぬかと心配した。；眼科薬に強く、一方で耳鼻科向けの医薬品でも、その名を知られている。；帰ってきた妻と共に眼科に向かうも、医者には原因が全く分からない。；この城東病院は、日本で初めての近代的な眼科病院として知られている。；外眼筋手術は米国で年間約120万件で、3番目に多い眼科手術である。；何も村井の復帰のためにわざわざ眼科を開設することはなかった。；眼科手術はエーベルス・パピルスで非常に重要な部分を占めている。；眼科の診療室まで行くと、彼は診察着のボタンをはめてそっと扉をあけた。；眼科棟で私を迎えてくれたのはゲルマン系とおぼしき女性ドクターだった。；会員がコンタクトレンズ の購入時には眼科で処方箋を入手する必要がある。；以前に目の奥の方が痛んだときは眼科なのか脳神経外科なのか迷った。；眼科において、以下の目的で目の表面を麻痺させる為に使用される。；赤木医師は眼科じゃないが、そんなことを考えている余裕はない。；眼科で幾らかの手術および幾つかの普通でない治療法が行われた。；眼科の待合室にはいってみると、すでにもう二十人あまりもの人が待っている。；子供が欲しかったため、家庭と研究を両立できそうな眼科を専攻した。；手術する時には、私がいい眼科を紹介してあげますから。；眼医者というより眼鏡作りの名人ですが、無論、眼科の勉強もしています。；しかし私がこの遠州浜松で眼科を開業しているには立志伝中の物語があるんです。；夕方から急に目が見えなくなってきたら、早めに眼科に掛かる事。；ロート賞とは眼科研究に貢献した研究者に与えられる賞。；眼科と鼻孔の中間に開いた前眼窩窓の開口部は、他の穴に比べて特に大きい。；眼科領域で使用されるうち、点眼剤以外の剤形としては眼軟膏剤がある。；その人は眼科だったけど、何年かたって治った記憶障害の人をたくさん知っていたわ。；九時に家を出て、眼科へ寄る、昨夜よりよほど楽になってゐる。；眼科の治療日にはかかさず出かけて洗眼し、薬をさしてもらった。；眼科が独立するのは、中国では元の時代、そして日本では南北朝のころである。；眼科などの私立病院もヒタドゥ地区に支部を設置するようになった。；初期の重要な目標は眼科病院の設立である。</t>
        </is>
      </c>
      <c r="J1764">
        <f>HYPERLINK("https://www.weblio.jp/content/眼科", "词义详情")</f>
        <v/>
      </c>
      <c r="K1764">
        <f>HYPERLINK("https://yourei.jp/眼科", "查看例句")</f>
        <v/>
      </c>
    </row>
    <row r="1765">
      <c r="A1765" t="inlineStr">
        <is>
          <t>灌漑</t>
        </is>
      </c>
      <c r="B1765" t="inlineStr">
        <is>
          <t>成功</t>
        </is>
      </c>
      <c r="C1765" t="inlineStr">
        <is>
          <t>読み方：かんがい
［名］(スル)農作物の生育に必要な水を、水路を引くなどして供給し、耕作地をうるおすこと。「—用水」</t>
        </is>
      </c>
      <c r="D1765" t="inlineStr">
        <is>
          <t>灌漑用(10%)；灌漑農業(4%)；灌漑事業(3%)；灌漑設備(3%)；灌漑システム(2%)</t>
        </is>
      </c>
      <c r="E1765" t="inlineStr">
        <is>
          <t>注ぐ；注水；潅漑</t>
        </is>
      </c>
      <c r="F1765" t="inlineStr">
        <is>
          <t>灌漑整備；灌漑目的；灌漑計画；灌漑排水；灌漑地域</t>
        </is>
      </c>
      <c r="G1765" t="inlineStr">
        <is>
          <t>灌漑施設；灌漑農法</t>
        </is>
      </c>
      <c r="H1765" t="n">
        <v>29</v>
      </c>
      <c r="I1765" t="inlineStr">
        <is>
          <t>ただし新規農地開発事業がないため灌漑目的は両ダム共に有していない。；この地帯は肥沃でよく灌漑され、北・南は平地が広く農業が盛んである。；このため、南部メソポタミアでは灌漑なしで農業を行うことはできない。；生育や、秋から春の冷害から保護するための灌漑設備が設置されている。；河川から導水して広範囲に灌漑を行っていて、大部分は農業地帯である。；西湖では現在漁業は行われておらず、湖水は灌漑にも用いられていない。；そのような作物は大規模な灌漑に依存する不毛な地域で重要になるだろう。；これは西門豹渠と呼ばれており中国でも古い時期の大規模灌漑事業である。；安定した農耕を確立するためには、治水と灌漑の導入が不可欠であった。；市内には概ね南東から北西に流れる幾つかの灌漑用運河が通っている。；農業には大々的な灌漑が必要とされ、牛によって過放牧にもなっていた。；このため、併用またはその土地の状況に応じて灌漑方式が選択される。；河川の水は雄川堰で止水され一部は灌漑や生活の用水として流れている。；梓川の水は、発電用と、農業用灌漑のために、古くから用いられてきた。；灌漑は必要とされず、ウルにあった運河網は輸送に使用されていたであろう。；トレド周辺の中流部では灌漑や水力発電用のダムで堰きとめられている。；歌っていないときには、他の人々のように採掘灌漑溝での労働を要求された。；一方、深刻な食糧不足を解決するため灌漑事業の整備も急務となっていた。；シュメールでは紀元前5500年頃には組織化された灌漑やも始まっていた。；亜熱帯であるリオ・グランデ谷では大規模な灌漑農業が行われている。；古代スリランカには優れた灌漑技術と建築技術が存在していたことが記録されている。；通年式灌漑の導入・整備により、換金作物の大規模栽培が可能となった。；玉川の改修以前は水を流域で灌漑に利用しており、水田地帯を通っていた。；排水パイプは機械上部の中央に集められ、灌漑システムへと水を供給する。；フランスは、それ以降、この地のオアシスの灌漑システムを発展させた。；元々、沼地であった島々は灌漑により人が住めるようになったのである。；この地下水には多量の塩分が含まれており、灌漑用途には不向きである。；これ以降この2つの用水路は福井北部の灌漑に大きな役割を果たした。；このために農林水産省管轄の灌漑用ダムが大小様々建設されている。</t>
        </is>
      </c>
      <c r="J1765">
        <f>HYPERLINK("https://www.weblio.jp/content/灌漑", "词义详情")</f>
        <v/>
      </c>
      <c r="K1765">
        <f>HYPERLINK("https://yourei.jp/灌漑", "查看例句")</f>
        <v/>
      </c>
    </row>
    <row r="1766">
      <c r="A1766" t="inlineStr">
        <is>
          <t>考え</t>
        </is>
      </c>
      <c r="B1766" t="inlineStr">
        <is>
          <t>成功</t>
        </is>
      </c>
      <c r="C1766" t="inlineStr">
        <is>
          <t>読み方：かんがえ
考えること。また、考えて得た結論・判断・予測・決意など。「—をまとめる」「—を示す」「甘い—」「そういうことならこちらにも—がある」</t>
        </is>
      </c>
      <c r="D1766" t="inlineStr">
        <is>
          <t>考えられる(10%)；考えてみる；考えてみれ；考えこん；考えなけれ</t>
        </is>
      </c>
      <c r="E1766" t="inlineStr">
        <is>
          <t>気；心；意味；思い；主張</t>
        </is>
      </c>
      <c r="F1766" t="inlineStr">
        <is>
          <t>お考え；深く考え；考えてよい；考えこむ；あれこれ考え</t>
        </is>
      </c>
      <c r="G1766" t="inlineStr">
        <is>
          <t>考え方；考えれ；考えよ；考え込ん；考え出し</t>
        </is>
      </c>
      <c r="H1766" t="n">
        <v>29</v>
      </c>
      <c r="I1766" t="inlineStr">
        <is>
          <t>したがって独立して何度かの地衣類化が起こったのだと考えられている。；そして彼らは自分たちが持っている自動車で競走をすることを考えた。；帰還カプセルの中には小惑星由来と考えられる物質が大量に入っていた。；その姿は今から1000年ほど前までは維持されていたと考えられる。；複雑な有機化合物がこのような暗い表面を構成していると考えられている。；左から3人の男性のうち1人がルノワールではないかと考えられている。；しかしながらこうした要素は物語に必要なものと考えられている。；エジプト人はその当時に設定された物語さえも不変の真実であると考えた。；いずれも現在の生物学的には意味をなさないものと考えられている。；アラビアの自然哲学者らの中にはピロポノスの考えを継承する者もいた。；初期の人類が時間を認識する基礎は、季節の観念だったと考えられる。；おそらくゲームを定義づけようとした最初の議論と考えられている。；これが明確に子どもに向けて書かれた最初の絵入り本であると考えられている。；周囲の温度が2度程度低いことからこれは高気圧性の嵐と考えられる。；他の人々はソフトウェアは全く工学的に扱うことはできていないと考えている。；この時代には大規模な環濠集落が形成され軍事的な緊張があったと考えられる。；これらはアレルゲンがきわめて類似しているためと考えられている。；このためストールマンは移植性のあるソフトウェアが必要だと考えていた。；ここではソクラテスの言動は揶揄のために誇張されていると考えられる。；ここに金銀を打つのは、通常は勝ちづらいと考えられている手法である。；ここでプログラムからデータを取り除きたいという考えが提示されている。；形態素には、いくつかのタイプがあると考えた方が良いことが分かっている。；この変革の背景には社会環境の変化が大きな影響を与えたと考えられている。；このような巨大衝突の繰り返しで、金星、地球が形成されたと考えられる。；田沢湖という名称は、明治時代に入ってから定着したと考えられている。；もっとも時間をかけて考えたのが学校そのものと、その雰囲気だ。；彼を支持する人たちは自分達を自由な世界に属すと考えている。；この族は元素を分類する上で最も重要な方法と考えられている。；これは、より変化の激しい気候の地域に生活するための適応と考えられる。</t>
        </is>
      </c>
      <c r="J1766">
        <f>HYPERLINK("https://www.weblio.jp/content/考え", "词义详情")</f>
        <v/>
      </c>
      <c r="K1766">
        <f>HYPERLINK("https://yourei.jp/考え", "查看例句")</f>
        <v/>
      </c>
    </row>
    <row r="1767">
      <c r="A1767" t="inlineStr">
        <is>
          <t>考え方</t>
        </is>
      </c>
      <c r="B1767" t="inlineStr">
        <is>
          <t>成功</t>
        </is>
      </c>
      <c r="C1767" t="inlineStr">
        <is>
          <t>読み方：かんがえかた
１考える方法。思考の筋道。「自分なりの—で解く」
２考える方向。思考の傾向。「君とは—が違う」</t>
        </is>
      </c>
      <c r="D1767" t="inlineStr">
        <is>
          <t>考え方自体；考え方そのもの；考え方次第</t>
        </is>
      </c>
      <c r="E1767" t="inlineStr">
        <is>
          <t>見；考え；主張；評価；立場</t>
        </is>
      </c>
      <c r="F1767" t="inlineStr">
        <is>
          <t>そういう考え方；こうした考え方；こういう考え方；新しい考え方；そんな考え方</t>
        </is>
      </c>
      <c r="H1767" t="n">
        <v>29</v>
      </c>
      <c r="I1767" t="inlineStr">
        <is>
          <t>このため、最終的に決定した計画では次のような考え方が打ち出された。；このように解釈する背後には、次のような考え方が存在しているとされる。；この考え方はヨーロッパ各地の言語での木綿の呼称に痕跡を残している。；本規格は品質管理システムの基本的な考え方を示し用語を定義している。；近代になるまで子どもを人格の主体とする考え方は極めて弱いものだった。；データを数ベクトルと見る考え方は相関係数の導入と命名につながった。；さまざまな考え方を反映するために一部が統合または分割される。；特に司教の団体制という考え方がこの公会議の精神の特徴になっている。；数理物理学が何から構成されるかについては、いろいろな考え方がある。；比較的自由主義で進歩的な考え方をした、穏健な指導者だとされている。；この問題を解決したのが世親をはじめとする唯識学派の考え方である。；このような考え方が当時の啓蒙主義的な気風のなかで広く受け入れられた。；現行の各種の全地球的測地系はどれもこれと同様の考え方を元にしている。；最近社会的トラブルに関係する「安全設計」にこの考え方が適用できる。；中小企業憲章は中小企業政策の基本的考え方と方針を定めたものである。；エジプトの非宗教的なテキストにおける神話への考え方は大きく異なる。；人権、基本的自由を尊重する考え方は国連主要目的の柱の一つになった。；東北鬼門の考え方は中国から伝播したものの、日本独自に発展している。；後の時代、繰り返し生成・消滅している宇宙という考え方が成立したという。；ただ計算物理学を、理論、実験以外の第三の分野と捉える考え方もある。；シマックの作品には同じ基本的考え方とテーマが繰り返し登場する。；明治撰定譜の楽曲がどのような考え方で選ばれたのかは不明である。；キリスト教には特定の食物を穢れたとする考え方はないからである。；古代では富士山は駿河国のものであるとする考え方が普遍的であった。；代数的整数をこのように定義する背景には次のような考え方がある。；この考え方を具体化するため、次のような問題と手法を挙げる。；これは認知心理学のアフォーダンスにつながる考え方と解釈されている。；政府としては、このような考え方を変える考えは持っておりません。；このランダム方式は、戦前に発売されていたガラ馬券と同じ考え方である。</t>
        </is>
      </c>
      <c r="J1767">
        <f>HYPERLINK("https://www.weblio.jp/content/考え方", "词义详情")</f>
        <v/>
      </c>
      <c r="K1767">
        <f>HYPERLINK("https://yourei.jp/考え方", "查看例句")</f>
        <v/>
      </c>
    </row>
    <row r="1768">
      <c r="A1768" t="inlineStr">
        <is>
          <t>考え直す</t>
        </is>
      </c>
      <c r="B1768" t="inlineStr">
        <is>
          <t>成功</t>
        </is>
      </c>
      <c r="C1768" t="inlineStr">
        <is>
          <t>読み方：かんがえなおす
［動サ五（四）］
１同じことをもう一度考えてみる。「始めから—・してみよう」
２今までの考え方を変える。「今からでも遅くないから、—・せ」</t>
        </is>
      </c>
      <c r="D1768" t="inlineStr">
        <is>
          <t>見直し；再検討；再考；思い返す；思い直す</t>
        </is>
      </c>
      <c r="H1768" t="n">
        <v>29</v>
      </c>
      <c r="I1768" t="inlineStr">
        <is>
          <t>そういうことから又自分の環境というものを私は考え直すのですけれど。；すぐにその場を引き払う事も考えたが、手紙の内容を読んで考え直した。；しかし今、彼はそれについて考え直して見る必要があるような気がした。；妻の由紀が殺された日のことを考え直してみたいと思ったからである。；私はそのとき終わりのほうに書いてある文句をもう一度考え直してみました。；今度の医者の殺人のせいで、いろいろ考え直しているんじゃないかと思う。；が、考え直してみると、それには崇高ともいえる何かがあるようだった。；生活上の諸条件も今改めて考え直さねばならぬものが種々あると思う。；頷いた後でその意味を彼は考え直したが、やっぱり、どうでもよかった。；考え直す事すらなかった、ギリシャで最高のクラブに加入するのだから。；しょんぼりしていればあたしが考え直すとでも思っているようだった。；私はどう考え直しても、この従妹を妻にする気にはなれませんでした。；フィリップスは考え直して、今夜は町に留まったほうがいいと判断した。；そして事件の本質も、改めて根底から考え直さねばならぬようであった。；もっともそういいながら考え直してその金を持って帰るのである。；どう考え直しても、結局のところは実力に訴えねば解決しそうになかった。；かなめも頭に血が上っているので、自分の言い過ぎを考え直しもしない。；ただ、そこまでする必要があるかと考え直してみれば、うなずきがたい。；だけど、われに返って考え直してみるといけないことに気がつきました。；本当にそう思いこんでいたのなら話も違ってくる、自分は考え直した。；・そもそも光源氏は自分にこそ似ていなくはないと考え直している。；それにやっぱり、自分の問題なら自分で解決すべきだと直前で考え直したんだ。；砂漠に岩山があっても不思議ではないと考え直し、タエは身を起こした。；ここで、幻想郷を囲む結界が影響するものは何かを考え直すことにした。；これは荷が重い為に厄介であると山田に説得されて考え直したに相違ない。；けれども、ここで考え直してみれば、どうしても解せぬことであります。；どうか、僕のこの気持ちを分かってくれて、もう一度考え直してください。；これは大変だと一度は出した舌を引込めて見たが、また考え直した。；しかしこれは失敗に終わり、武帝は考え直して東魏と和睦しようとした。</t>
        </is>
      </c>
      <c r="J1768">
        <f>HYPERLINK("https://www.weblio.jp/content/考え直す", "词义详情")</f>
        <v/>
      </c>
      <c r="K1768">
        <f>HYPERLINK("https://yourei.jp/考え直す", "查看例句")</f>
        <v/>
      </c>
    </row>
    <row r="1769">
      <c r="A1769" t="inlineStr">
        <is>
          <t>考える</t>
        </is>
      </c>
      <c r="B1769" t="inlineStr">
        <is>
          <t>成功</t>
        </is>
      </c>
      <c r="C1769" t="inlineStr">
        <is>
          <t>読み方：かんがえる
［動ア下一］［文］かんが・ふ［ハ下二］
１知識や経験などに基づいて、筋道を立てて頭を働かせる。
㋐判断する。結論を導き出す。「こうするのが正しいと—・える」「解決の方法を—・える」「よく—・えてから返事をする」
㋑予測する。予想する。想像する。「—・えたとおりに事が運ぶ」「—・えられないことが起こる」
㋒意図する。決意する。「留学しようと—・える」「結婚を—・える」
２関係する事柄や事情について、あれこれと思いをめぐらす。「周囲の状況を—・えて行動する」「くよくよ—・えてもしかたがない」
３工夫する。工夫してつくり出す。「新しいデザインを—・える」
４問いただして事実を明らかにする。取り調べて罰する。
「—・へられつる事ども、ありつる有様、願をおこしてその力にてゆるされつる事など」〈宇治拾遺・八〉
５占う。占いの結果を判断・解釈する。
「いまだかやうの事なし。いかがあるべきと—・へ申せ」〈平家・一一〉
[用法]かんがえる・おもう——ともに精神的な活動を表す語であるが、「考える」は知的に分析することであり、「思う」は情的、感覚的な心の働きや瞬間的な判断などを示すのに用いる。「クイズの答えを考える」とはいうが「思う」とはいわない。◇大音響を耳にしてすぐ口にするのは「雷が落ちたかと思った」であり、「考えた」ではない。◇「彼女のことを思う」は、思慕したり、心配したりすることを表すが、「彼女のことを考える」と言えば、より分析的理性的にその状況について思いめぐらすことを表す。「将来は医師になろうと考えている」といえば具体的な手だてまで含めて計画していることであり、「思う」では漠然と希望しているだけという感じがする。</t>
        </is>
      </c>
      <c r="D1769" t="inlineStr">
        <is>
          <t>考えるべき(2%)；考える研究者；考える説；考える間もなく；考えること自体</t>
        </is>
      </c>
      <c r="E1769" t="inlineStr">
        <is>
          <t>いう；見る；思う；意味；計画</t>
        </is>
      </c>
      <c r="F1769" t="inlineStr">
        <is>
          <t>考えれば考える；たいと考える；よく考える；こう考える；どう考える</t>
        </is>
      </c>
      <c r="G1769" t="inlineStr">
        <is>
          <t>考える力；考えるのをやめた；考える葦；考えるヒト；考えるヒトコマ</t>
        </is>
      </c>
      <c r="H1769" t="n">
        <v>29</v>
      </c>
      <c r="I1769" t="inlineStr">
        <is>
          <t>親兄弟の関係を思うならば、まず第一に自分が安心するくふうを考えろ。；身分とセットで考える必要もあるため、現在への換算は難しいのである。；これは世界や宇宙の始まりと終わりを考えることと同じことになる。；共に彼女に怒って欲しいのならどうすれば彼女が怒ってくれるかを考えろ。；文章題には、割合を強く意識して考える問題とそうでない問題とがある。；そして、彼こそ今まで待ち望んできた真実の恋の相手ではないかと考える。；多くの場合、これは正しく波形が伝わる信号速度と考えることができる。；おれは、お前が必ず父親のように考えろとは決していわないつもりだ。；偏差は平均的には標準偏差の分だけ離れていると考えることができる。；つまり、成長する事でよりダメージを受けなくなると考えることができる。；参照の概念そのものはメモリの概念と切り離して考えることが可能である。；小脳失調を考える上で理解する必要がある小脳の運動機能は2つである。；この頃ウィトゲンシュタインは再び自殺を考えるようになっていた。；そして一般の方向に進む波はその知識を基礎にして考える。；そんな夢のようなことは考えず、地に足をつけて将来を真剣に考えろ。；より一般的にいって、それは有限の数について考えるということである。；すなわち、関数 の における値を と書き、列の 番目の項と考える。；これはヴォルデモートに彼の考える恐ろしい秩序を提供する機会を与える。；逆に、群れを作る場合、それが個体群に当たると考えるのもまたよくない。；直野によればイリュリア語から発展したと考える研究者が多いという。；アルキメデスもすぐには答えられず、いったん家に帰って考えることにした。；顧客への参照と注文された商品への参照を含む簡単なXML文書の例を考える。；童歌の歌詞には、意味不明のものや、よく考えると恐ろしいものも多い。；余裕があった嶋が、システムの構成を渡米までに考えることになった。；オリジナルのライフゲーム以外にも様々な新しいルールを考えることができる。；続いて、ある領域の周囲にいくつかの領域がある場合を考える。；直線上の点に実数を対応させることで数直線を考えることができる。；このことで彼は故障の少ないキャリアを過ごすことができたと考える専門家も多い。；だが帝国海軍の将来を考える時必ずこの人に大任を託す時期が来ると思う。</t>
        </is>
      </c>
      <c r="J1769">
        <f>HYPERLINK("https://www.weblio.jp/content/考える", "词义详情")</f>
        <v/>
      </c>
      <c r="K1769">
        <f>HYPERLINK("https://yourei.jp/考える", "查看例句")</f>
        <v/>
      </c>
    </row>
    <row r="1770">
      <c r="A1770" t="inlineStr">
        <is>
          <t>感覚</t>
        </is>
      </c>
      <c r="B1770" t="inlineStr">
        <is>
          <t>成功</t>
        </is>
      </c>
      <c r="C1770" t="inlineStr">
        <is>
          <t>読み方：かんかく
１外界からの光・音・におい・味・寒温・触などの刺激を感じる働きと、それによって起こる意識。視覚・聴覚・嗅覚(きゅうかく)・味覚・触覚や、温覚・冷覚・痛覚など。「寒さで指の—がなくなる」
２美醜やよしあし、相違などを感じとる心の働き。センス。感受性。「日本人の—では理解しにくい」「—が鋭い」「新—のデザイン」
３（他の名詞の下に付いて）
㋐それを感じ取る心の働き。「バランス—」「金銭—」
㋑そういう心構えや雰囲気。気分。「学生のアルバイト—でいられては困る」</t>
        </is>
      </c>
      <c r="D1770" t="inlineStr">
        <is>
          <t>感覚的(4%)；感覚障害；感覚情報；感覚細胞；感覚毛</t>
        </is>
      </c>
      <c r="E1770" t="inlineStr">
        <is>
          <t>感じ；意味；意識；訳；念</t>
        </is>
      </c>
      <c r="F1770" t="inlineStr">
        <is>
          <t>奇妙な感覚；平衡感覚；不思議な感覚；同じ感覚；時間感覚</t>
        </is>
      </c>
      <c r="G1770" t="inlineStr">
        <is>
          <t>感覚器；感覚神経；感覚遮断；感覚論；感覚主義</t>
        </is>
      </c>
      <c r="H1770" t="n">
        <v>29</v>
      </c>
      <c r="I1770" t="inlineStr">
        <is>
          <t>例えばケタミンを使用した際には体外離脱的な感覚が得られるとされる。；感覚を掴んだ頃になると、自主的にトイレに行かせる訓練が必要になる。；頭に浮かんでくる景色を文章化していくだけで自分が書いた感覚はなかった。；これは、身体からの信号である感覚をもとに構成されたものとなる。；スポーツ感覚で若い人から大人まで幅広い層で支持され楽しまれている。；むしろ、それらの形式があればこそ、初めて感覚が成立するのである。；被験者の全感覚、すなわち全体野への入力がどれも遮断されるのである。；平衡感覚に関係しているのは、耳では内耳と呼ばれる部分のみである。；彼は人種の感覚を鈍らせた原因としてキリスト教と民主主義を批判した。；これは、よく知られているものの大きさの直観的な感覚を得るのに役立つ。；感覚は、動物が外部からの刺激を受けることで生じるものである。；舌はまた、基本的な味には一般的に含まれていない他の感覚を感じることができる。；また類人猿と人間では公正さの感覚も本能的であると考えられている。；共有感覚が強いので窃盗が多発するがマタイに訴えれば戻る場合が多い。；単一の神経根が障害された場合は感覚鈍麻の範囲は皮膚分節より狭い。；またトンネル部はスピード感覚が希薄になるため走行速度には注意を要する。；彼は混乱の感覚を作るために乱数放送の録音を使ったと述べた。；満田は「円谷は自分の故郷という感覚があったのだろう」と語っている。；特に異常感覚や神経因性疼痛が多く支持療法が必要となることも多い。；瞑想しながら体の感覚がなくなるような不思議な感覚や不思議な色や光を見る。；身近な例では、両の手を合わせ力を入れることで感覚的に認識することができる。；刺激の種類に応じて、対応する感覚器や生じる感覚を分けることができる。；また、そこに至る道が少なくまた空間の角が多いほど閉じた感覚が大きくなるとされる。；魂は感覚と思考、願望、信仰、意図した行為を実行する能力を備えている。；こうした感覚は日本で言えば船舶に対する命名に似ているといえる。；これは2006年現在の感覚では小さいが、当時としては巨大だった。；遊び感覚で野球をやっていたが、中学卒業後のに沖縄高校へ進学。；表在感覚が優位に障害されるものは偽性神経根型といわれるものも含まれる。；実際には、気は体内に、ある変化として感覚されるものを指すことが多い。</t>
        </is>
      </c>
      <c r="J1770">
        <f>HYPERLINK("https://www.weblio.jp/content/感覚", "词义详情")</f>
        <v/>
      </c>
      <c r="K1770">
        <f>HYPERLINK("https://yourei.jp/感覚", "查看例句")</f>
        <v/>
      </c>
    </row>
    <row r="1771">
      <c r="A1771" t="inlineStr">
        <is>
          <t>間隔</t>
        </is>
      </c>
      <c r="B1771" t="inlineStr">
        <is>
          <t>成功</t>
        </is>
      </c>
      <c r="C1771" t="inlineStr">
        <is>
          <t>読み方：かんかく
１物と物とのあいだの距離。「—を置いて並ぶ」「前の車との—を取る」
２物事と物事とのあいだの時間。「五分—で出発する」</t>
        </is>
      </c>
      <c r="D1771" t="inlineStr">
        <is>
          <t>間隔運転；間隔程度；間隔制御；間隔延長；間隔で設けられ</t>
        </is>
      </c>
      <c r="E1771" t="inlineStr">
        <is>
          <t>間；時間；距離；期間；空間</t>
        </is>
      </c>
      <c r="F1771" t="inlineStr">
        <is>
          <t>短い間隔；メートル間隔；同じ間隔；座席間隔；適当な間隔</t>
        </is>
      </c>
      <c r="G1771" t="inlineStr">
        <is>
          <t>間隔反復</t>
        </is>
      </c>
      <c r="H1771" t="n">
        <v>29</v>
      </c>
      <c r="I1771" t="inlineStr">
        <is>
          <t>刊行間隔の分類では、最も一般的なものは毎日刊行される日刊紙である。；しかしながら、素数間の間隔には平均よりもはるかに大きいものもある。；さらに連結面側の客用ドア位置が標準間隔車両よりも車体中央寄りになった。；かつて小南門支線が独立した系統であった際は10分間隔で運行していた。；この場合は2台のカメラのレンズの中心の間隔がステレオベースとなる。；ねじの山と谷の間隔と移動量は以下のようにピッチとリードで表される。；平均ペースの中、逃げ馬と後方待機馬の間隔が広い縦長の展開となった。；各建物は20メートルから30メートルの間隔をおいて分布している。；展開角は最大50度であり、10度ずつの間隔で調節することができた。；電車とホームの間の間隔が比較的広くなっている場所がある。；日本では今のところ道路側の給電装置の配置間隔や給電技術はまだ研究段階。；近年、2回の太陽面通過が8年の間隔で起きているのはこの理由による。；また、SCSIバス上での機器の間隔は25cm以上が推奨されている。；数日間隔で更新され文章はすべて携帯電話のメールで送っていた。；座席配置の関係で扉間隔が異なり、側窓もすべて大きさが異なる。；ただし間隔を置いて発生したり、続けて2度以上発生したりすることもある。；区間列車の影響などにより、それを含まない区間での間隔は多少前後がある。；ただし、光月は月の時間間隔を定めていないので厳密な定義が存在しない。；新聞は、刊行間隔・配布地域・内容などで様々な種類に分類される。；が初めてハワイで実施して以降、他のグループも含め数年の間隔で行っている。；風による影響が小さくなるため支持間隔を長くすることができる。；躁病あるいは抑うつから次のエピソードまでの間隔は平均して数年間である。；また、信号間隔が広いことからバスのように続行運転することもできなかった。；平日の日中と土休日の始発から終電まではほぼ15分間隔となっている。；さらにレース間隔も詰まっていて、2日連続で出走することもあった。；例えば、常用時の基準は時間間隔とその日の時刻の両方を規定する。；当駅は両隣の駅とも1km前後と間隔が短く、大都市なみの距離である。；このため金属表面付近の原子層の間隔はバルク内部に比べて小さくなっている。；この方式の場合、掃引間隔に同期または近い掃引信号に弱い可能性がある。</t>
        </is>
      </c>
      <c r="J1771">
        <f>HYPERLINK("https://www.weblio.jp/content/間隔", "词义详情")</f>
        <v/>
      </c>
      <c r="K1771">
        <f>HYPERLINK("https://yourei.jp/間隔", "查看例句")</f>
        <v/>
      </c>
    </row>
    <row r="1772">
      <c r="A1772" t="inlineStr">
        <is>
          <t>かんかん</t>
        </is>
      </c>
      <c r="B1772" t="inlineStr">
        <is>
          <t>成功</t>
        </is>
      </c>
      <c r="C1772" t="inlineStr">
        <is>
          <t>「髪」「かんざし」の幼児語。
「宵子さん—結(い)って上げましょう」〈漱石・彼岸過迄〉</t>
        </is>
      </c>
      <c r="D1772" t="inlineStr">
        <is>
          <t>かんかんに腹(4%)；かんかんに怒り(3%)；かんかんに怒る(2%)；かんかんに怒ら；かんかんに怒ってる</t>
        </is>
      </c>
      <c r="E1772" t="inlineStr">
        <is>
          <t>立腹；憤懣；鬱憤；怒気；忿懣</t>
        </is>
      </c>
      <c r="F1772" t="inlineStr">
        <is>
          <t>火をかんかん；もうかんかん</t>
        </is>
      </c>
      <c r="G1772" t="inlineStr">
        <is>
          <t>かんかんのう；かんかん帽；かんかんからす</t>
        </is>
      </c>
      <c r="H1772" t="n">
        <v>29</v>
      </c>
      <c r="I1772" t="inlineStr">
        <is>
          <t>年はおれより二つも上だが、あの人にはまだかんかん日があたってる。；縁の外に日がかんかんあたっていて明るかったことだけは確かである。；エヴァはかんかんに腹を立てていたが、口では弱々しく言うだけだった。；男はかんかんに怒ってそのまま子供たちを警察署長室に連れていった。；明け方の月がちょうど昇りかけて、庭の上はかんかん明るく見えました。；かんかんと音が聞こえそうなほど強い日差しが車道に降りそそいでいた。；或る日、日がかんかん照っている時間に、不意に帰って来たことがあった。；そして社長はかんかんに怒って私の勤めるサパーの方に電話してきた。；すると、それを知った養父はかんかんに怒り、大声を出して母を責めた。；ヴェイユ氏はかんかんになっているそうだが、無理もないことですな。；玲がまだこの鏡を持っていることがわかったら、父はかんかんになるだろう。；火鉢というと、本来なら炭火がかんかんとおこっているはずの器である。；大陸の氷地はかんかんに凍てきても、数万の服役者には一日の休みもない。；なぜならかんかん虫クラスの日当は標準以下の安いものだからである。；とうとう母親も、我慢しきれなくなって、かんかんに怒ってしまったのです。；後年の作「かんかん虫は唄う」のうちにある描写はその頃の印象に依る。；そして、も一つわかったことは、地主がかんかんに怒っていることでした。；かんかんと云う声を聞きながら僕は二階へ上がって布団を敷いて寝る。；遅れでもしようものなら、主人はかんかんに怒るにきまっていますわ。；屋敷の勤めも放りだしたままで、すえはかんかんになっているだろう。；父がかんかんに怒っているのは、だれか父の友人がよけいなことを言ったからだよ。；これを見たむかいの席の例の大男は、かんかんになって怒り出した。；兄王子たちが、このことを聞くと、かんかんに怒って言いました。；自分が彼女の立場だったら、かんかんになって言い返していたかもしれないのに。；彼女が無事と知って丈明は喜んだが、苑子はかんかんに怒っていた。；陽がかんかん当たって、走りづかいの奴などの笑い声のする往来であった。；だが、実状を知ったらまたかんかんに怒るだろう、と滝は考えていた。；日がかんかん照ってるなかを四里も歩いて娘の働いている農家に来ることもよくあった。；かんかんになった女性の金切り声が、口をはさむ余地をあたえないのだ。</t>
        </is>
      </c>
      <c r="J1772">
        <f>HYPERLINK("https://www.weblio.jp/content/かんかん", "词义详情")</f>
        <v/>
      </c>
      <c r="K1772">
        <f>HYPERLINK("https://yourei.jp/かんかん", "查看例句")</f>
        <v/>
      </c>
    </row>
    <row r="1773">
      <c r="A1773" t="inlineStr">
        <is>
          <t>がんがん</t>
        </is>
      </c>
      <c r="B1773" t="inlineStr">
        <is>
          <t>成功</t>
        </is>
      </c>
      <c r="C1773" t="inlineStr">
        <is>
          <t>［副］(スル)
１音や声が大きく響くさま。やかましく聞こえるさま。「ドラム缶を—（と）たたく」「そんなに—言わないでくれ」
２頭の中で大きな音が響くように、ひどく痛むさま。「二日酔いで頭が—する」
３勢いが盛んで激しいさま。「ストーブを—燃やす」「—勉強する」</t>
        </is>
      </c>
      <c r="D1773" t="inlineStr">
        <is>
          <t>がんがんする(7%)；がんがんがん(3%)；がんがんたたい(2%)；がんがんいう；がんがん響く</t>
        </is>
      </c>
      <c r="E1773" t="inlineStr">
        <is>
          <t>ぎしぎし</t>
        </is>
      </c>
      <c r="F1773" t="inlineStr">
        <is>
          <t>がんがんするよう</t>
        </is>
      </c>
      <c r="G1773" t="inlineStr">
        <is>
          <t>がんがんじい</t>
        </is>
      </c>
      <c r="H1773" t="n">
        <v>29</v>
      </c>
      <c r="I1773" t="inlineStr">
        <is>
          <t>私はハンマーで頭をがんがん殴られているような痛みを感じて目を開けた。；その一語一句がキューバ音楽のリズムに乗って耳の中でがんがん鳴った。；氷のような水が背すじをつたい落ち、頭はがんがんし、気分がよくない。；おれらがいなくなってからのニュース、がんがん話してくれるぜ。；どぶろくをたくさんのんだので頭ががんがんし、私はすぐに寝てしまいました。；しかし私の頭は今聞いたことでがんがんしていました。；親類のひとが変な顔してみてたけど、おれはかまわずにがんがんやったんだよ。；パチンコ店は、がんがん音楽を流しているが、それほど客は入っていない。；耳にがんがんひびいて頭が痛くなるような近さまでやって来ました。；目の前には霧が掛かっているようで、 耳はがんがん鳴っている。；まわりの壁は、まるで金槌で叩いているかのように、がんがん鳴っています。；時ならぬ鐘の音が馬籠の万福寺からあの街道へがんがん聞こえて来ている。；自分の足音だけが、がんがん夜の闇にひびくのが、よけい不気味だった。；さっきからがんがん呶鳴っている戸外の声を、彼もそこで聞いていたのである。；私なら家中の電気をつけて、テレビ・ラジオがんがん鳴らして眠るね。；塾でがんがん知識を詰め込んでいくより、こっちの方が俺の性にはあっている。；達二や直美も寄って来て、一緒になってドアをがんがん叩き続けた。；耳ががんがんいうのは自分の血だということは、わかっていた。；ニューヨークから、頭の中でがんがん鳴っていたものが、息に音を消したような感じであった。；起き上がってみると、窓の外の交通の雑音と耳鳴りで頭ががんがんしていた。；がんがんする頭をおさえつつベッドから起き上がって、横にいた声の主を見る。；爆発の音で耳はがんがん鳴り、かけつける足音がやっと聞こえたほどだった。；「さあて、今度はがんがん釣るぞ」 僕僕は胴震いをして気合を入れる。；頭ががんがんし、ようやくのことでなければ人の言うことがわからないほど心が乱れていたのである。；内蔵助たちの十七士が居る広間まで、その声はがんがん聞えていった。；妾の全身の血液は一度に頭へ上がって、頭ががんがんしてきた。；頭の中が、がんがんしながら、それでも三重子は或る安堵をおぼえた。；頭ががんがんするのが、自分の記憶の正しい証拠だった。；「俺は馬鹿だった」 部屋に戻った遊馬は両方の拳で自分の頭をがんがん叩いた。</t>
        </is>
      </c>
      <c r="J1773">
        <f>HYPERLINK("https://www.weblio.jp/content/がんがん", "词义详情")</f>
        <v/>
      </c>
      <c r="K1773">
        <f>HYPERLINK("https://yourei.jp/がんがん", "查看例句")</f>
        <v/>
      </c>
    </row>
    <row r="1774">
      <c r="A1774" t="inlineStr">
        <is>
          <t>換気</t>
        </is>
      </c>
      <c r="B1774" t="inlineStr">
        <is>
          <t>成功</t>
        </is>
      </c>
      <c r="C1774" t="inlineStr">
        <is>
          <t>読み方：かんき
［名］(スル)建物などの内部の汚れた空気を排出して、外の新鮮な空気と入れかえること。「窓を開けて—する」</t>
        </is>
      </c>
      <c r="D1774" t="inlineStr">
        <is>
          <t>換気用(5%)；換気システム(5%)；換気孔(4%)；換気塔(3%)；換気窓(3%)</t>
        </is>
      </c>
      <c r="E1774" t="inlineStr">
        <is>
          <t>排気；通風；風通し；干す；乾す</t>
        </is>
      </c>
      <c r="F1774" t="inlineStr">
        <is>
          <t>強制換気；換気障害；換気方式；換気ファン；十分な換気</t>
        </is>
      </c>
      <c r="G1774" t="inlineStr">
        <is>
          <t>換気装置；換気口；換気設備；換気効率；換気回数</t>
        </is>
      </c>
      <c r="H1774" t="n">
        <v>29</v>
      </c>
      <c r="I1774" t="inlineStr">
        <is>
          <t>換気も24時間換気の機能が付いた物が主流で住宅事情を考慮している。；このとき、店舗のドアや窓は締め切られたままで換気されていなかった。；設備に機械を利用するか否かによって自然換気と機械換気に分けられる。；その間私はそう、換気のために廊下側のドアを開けたままにしておいた。；また、本形式より幕板部に採光用と換気用を兼ねた回転窓が設けられた。；換気は充分に行われているらしいが、この臭気を消し去るほどではない。；換気は始まっているようだが、空調を止めるわけにはいかないのだろう。；古典的な呼吸不全の分類では外呼吸のうち換気障害の有無を重要視する。；それが、部屋の換気の悪いせいか、それとも暑いせいなのかわからない。；高圧機器が車内に搭載されたため、換気のため窓の一部が鎧戸とされた。；きちんと換気をしていればオープンまでにはなんとかなるのかもしれない。；オートメーション化された換気システムは二酸化炭素の制御に貢献した。；換気のために開けている窓からは虫の声ばかりが車内に入ってくる。；下部デッキのハッチなども換気のために解放されたまま放置されていた。；西側に面した居室にはダブルスキンを採用して、自然換気を可能にした。；今日でも換気の良い場所に数日間置くことで乾燥させることができる。；実用本位な形状の換気塔が駅の上を通る道の中央分離帯に設置されている。；私は心の底で、換気孔のことを気にしていたが、二度と口にはしなかった。；あたしはふとドアの上についている換気窓に眼をつけました。；防衛のためというより、採光と換気に便利なように設計されているわけだ。；建物中央にはボイドが設けられ、自然換気ができる構造を取り入れた。；換気ができない部屋なのだからそれも当然なのだが、どうにも遣り切れぬ。；警察へ行って、あの換気孔から犯人が侵入したことを説明するのが第一だろう。；湿気対策もとられており妻床下のアーチ窓は換気用に設けられたもの。；繁盛しているせいでもあるし、あまり換気がよくないせいでもある。；燃料を使用するタイプの焜炉では原理上、常に換気に注意する必要がある。；煙草の煙が部屋中に充満してきたので、換気のために窓を開けに立ったのだ。；部屋はおそらくもう長いあいだ換気されたことがないのだ。；この頃のイギリスでは換気の重要性についての激しい論争がなされていた。</t>
        </is>
      </c>
      <c r="J1774">
        <f>HYPERLINK("https://www.weblio.jp/content/換気", "词义详情")</f>
        <v/>
      </c>
      <c r="K1774">
        <f>HYPERLINK("https://yourei.jp/換気", "查看例句")</f>
        <v/>
      </c>
    </row>
    <row r="1775">
      <c r="A1775" t="inlineStr">
        <is>
          <t>観客</t>
        </is>
      </c>
      <c r="B1775" t="inlineStr">
        <is>
          <t>成功</t>
        </is>
      </c>
      <c r="C1775" t="inlineStr">
        <is>
          <t>読み方：かんかく
⇒かんきゃく（観客）</t>
        </is>
      </c>
      <c r="D1775" t="inlineStr">
        <is>
          <t>観客たち(3%)；観客数(2%)；観客賞；観客定員数；観客層</t>
        </is>
      </c>
      <c r="E1775" t="inlineStr">
        <is>
          <t>客；聴衆；客席；ギャラリー；見物人</t>
        </is>
      </c>
      <c r="F1775" t="inlineStr">
        <is>
          <t>若い観客；一般観客；観客スタンド；観客投票；観客ライブ</t>
        </is>
      </c>
      <c r="G1775" t="inlineStr">
        <is>
          <t>観客動員数；観客動員</t>
        </is>
      </c>
      <c r="H1775" t="n">
        <v>29</v>
      </c>
      <c r="I1775" t="inlineStr">
        <is>
          <t>この時期から新日本プロレスの観客数は徐々にではあるが増えていった。；これらは主に女性の観客を対象としておりヨーロッパでは成功を収めている。；観客は一瞬何が始まったのかと唖然としている間に次の場面が始まる。；新たな観客層獲得のため、試験的に鑑賞料金を変更する動きも見られる。；やがてライブが終了し、観客が会場から溢れてくる中に星野を発見する。；とても価値のある作品なのに、観客が正当に評価しているように見えない。；この光景を見ていた観客の中には婦人客も多く、また清の皇族もいたという。；観客がそれを待ち望んでいたためだけにそれを出現させることもあったという。；そのため観客数は相当な数となり、またお別れを記念しての式典も行われた。；この結果、平日のナイターでも多くの観客を動員するまでに至っている。；映画館は、不特定数の観客に対して映画を専門的に上映する劇場・施設。；このため今後観客を入れてのレースが再開されても運行本数が減る。；観客から見て美しいかたちに見えるのは役者が苦しい体勢であるという。；演技終了前から2万人の観客のスタンディング・オベーションを受ける。；そのため、観客との間に心理的な距離が生まれてしまうことがある。；だが、規模と観客数の膨大さに比べれば、驚くほど平和的な祭典だった。；このような悪い環境にもかかわらず、ドジャースは多くの観客を動員した。；ただし、観客を入れない場合は準備日料金となり1日650万円である。；プロレスラーはその考え方をリングの上で表現して観客を楽しませている。；コンメディア・デッラルテは観客を楽しませるために様々な手段を使った。；スタジオに観客はなく、台本で決められた進行・台詞で収録が行われていた。；観客は見下ろすような位置から舞台全体を見ることができた。；選手や関係者専用の駐車場のほか、観客向けの駐車場もある。；しかし16年大会の登場時には、観客からは拍手と歓声で迎えられた。；また大師線にも競馬観客輸送に対応した増発ダイヤが用意されている。；そのため、最終的に何がどのように解決されたのか観客には明確には分からないケースも生じる。；コースの長さが短いため、観客はスタートからゴールまで見通せる場合も多い。；また、公式記録上の観客数は、中断前と再開後の観客数の合算となっている。；いくつかの作品では、観客が悪役や殺人者の立場に身を置いてしまうように描いている。</t>
        </is>
      </c>
      <c r="J1775">
        <f>HYPERLINK("https://www.weblio.jp/content/観客", "词义详情")</f>
        <v/>
      </c>
      <c r="K1775">
        <f>HYPERLINK("https://yourei.jp/観客", "查看例句")</f>
        <v/>
      </c>
    </row>
    <row r="1776">
      <c r="A1776" t="inlineStr">
        <is>
          <t>眼球</t>
        </is>
      </c>
      <c r="B1776" t="inlineStr">
        <is>
          <t>成功</t>
        </is>
      </c>
      <c r="C1776" t="inlineStr">
        <is>
          <t>読み方：がんきゅう
脊椎動物の視覚をつかさどる、一対の球状の器官。眼窩(がんか)内に収まり、強膜または角膜・脈絡膜・網膜の3層の膜に包まれ、内部に水晶体・硝子体(しょうしたい)などが入っている。外からの光が角膜および両凸レンズ状の水晶体を通って網膜上に像を結ぶ。めだま。</t>
        </is>
      </c>
      <c r="D1776" t="inlineStr">
        <is>
          <t>眼球運動(5%)；眼球突出；眼球内；眼球結膜；眼球壁</t>
        </is>
      </c>
      <c r="E1776" t="inlineStr">
        <is>
          <t>目；眼；目玉；アイ</t>
        </is>
      </c>
      <c r="F1776" t="inlineStr">
        <is>
          <t>性眼球；急速眼球；赤い眼球；黒い眼球；眼球周囲</t>
        </is>
      </c>
      <c r="G1776" t="inlineStr">
        <is>
          <t>眼球譚；眼球破裂；眼球振盪；眼球銀行；眼球癆</t>
        </is>
      </c>
      <c r="H1776" t="n">
        <v>29</v>
      </c>
      <c r="I1776" t="inlineStr">
        <is>
          <t>眼球が見せる過去は、いつも自分ではない別の人間でなければいけない。；視線を縦横に移動させても、左の眼球に流れる電車の映像はついてきた。；他の誰かに眼球を使われるようなこの感覚は、何度経験しても慣れない。；この子の見ている魔物は、眼球に記憶されていた、自分の姿だったのだ!；彼女が眼球を隠して保存しているガラスの瓶、それをいっぱいにしよう。；また、どちらの場合も外斜視のように眼球が外側に向いている事が多い。；左の眼球から糸のように血の流れ出るのを役人が二度あまり拭い取った。；中には本物そっくりに精巧に作られたガラスの眼球が一個入っていた。；さっき眼球のように見えたのは、そこに白い雲が映っていたせいらしい。；眼球の表面が乾燥しすぎているから、視界が明るくならないのだと思った。；重力で黒い玉が常に眼球の下にあるので、下を向いている様に見える。；祖父はその機関の偉い人から、不法な手続きを経て眼球を入手したのだ。；しかしながら、この技術は良く知られた眼球の構造上の特徴に基づいている。；眼球が通常より前後に短いため、網膜よりも後方に像を結んでしまうもの。；此時自分は、對手の右の目が一種拔群の眼球を備へて居る事を發見した。；しかし、今では眼球もなかなか得ることができなくなっていました。；声を出すこともできず、自由に動かせるのは眼球ぐらいのものだった。；時を切ってその緊めつけが強くなると、眼球を動かすのさえ辛くなった。；眼球の形状が感情によってさまざまに変化し、外部に自分の意志を伝える。；眼球の白い部分を、血管が網目模様に赤く彩っているようにさえ感じた。；もう1つは移動した新たな眼球の位置を維持し続けることである。；中国でリュウキンの突然変異で眼球が突出したのを利用して作出された。；眼球は眼帯に覆われていて、何も見ることができなかったのだから。；昨夜は修治さんの脚をもんでいても、頭痛がし、眼球がうずいて困った。；二つの眼球は取り出されて、左右それぞれの手の中に握らされていた。；少女はテーブルの眼球を手に取ると、顔のポケットに入れました。；が、其眼球の軽微なる運動は既に充分自分の味方であることを語つて居る。；移植するのは角膜であるが、ドナーが提供するのはあくまで眼球である。；不法なことをしなければ、私は眼球を得ることができなかったのだ。</t>
        </is>
      </c>
      <c r="J1776">
        <f>HYPERLINK("https://www.weblio.jp/content/眼球", "词义详情")</f>
        <v/>
      </c>
      <c r="K1776">
        <f>HYPERLINK("https://yourei.jp/眼球", "查看例句")</f>
        <v/>
      </c>
    </row>
    <row r="1777">
      <c r="A1777" t="inlineStr">
        <is>
          <t>環境</t>
        </is>
      </c>
      <c r="B1777" t="inlineStr">
        <is>
          <t>成功</t>
        </is>
      </c>
      <c r="C1777" t="inlineStr">
        <is>
          <t>読み方：かんきょう
１まわりを取り巻く周囲の状態や世界。人間あるいは生物を取り囲み、相互に関係し合って直接・間接に影響を与える外界。
２コンピューターのハードウエアの性能と、搭載されたソフトウエアの性能、ならびにそれらが複合的に集まって作り出している状態を1にたとえたもの。オペレーティングシステムの種類、CPUの動作周波数、搭載したメモリーの容量、ネットワークの状態など、さまざまな要素によって変化する。
３周囲の境界。四方のさかい。まわり。</t>
        </is>
      </c>
      <c r="D1777" t="inlineStr">
        <is>
          <t>環境下(3%)；環境整備；環境条件；環境変化；環境悪化</t>
        </is>
      </c>
      <c r="E1777" t="inlineStr">
        <is>
          <t>周囲；事情；背景；生態；情況</t>
        </is>
      </c>
      <c r="F1777" t="inlineStr">
        <is>
          <t>生息環境；過酷な環境；開発環境；生育環境；厳しい環境</t>
        </is>
      </c>
      <c r="G1777" t="inlineStr">
        <is>
          <t>環境問題；環境保護；環境保全；環境破壊；環境汚染</t>
        </is>
      </c>
      <c r="H1777" t="n">
        <v>29</v>
      </c>
      <c r="I1777" t="inlineStr">
        <is>
          <t>まだ正式公開されていない上記以外の環境やカーネル版もいくつかある。；これは一つにはそのような環境にも耐えられる生物が残ることで成立する。；さらに追加の開発キットも発売され、より高度な開発環境も提供された。；洞窟の中は外よりも気温が低く、生物環境なども周囲とは大きく異なる。；実行環境を指定しない場合は、ホスト環境を対象にしていることがある。；公園などで周辺環境に考慮する必要がある場合には薬剤は使用しない。；これは環境の影響や考え得る測定誤差をはるかに超える値であるとされた。；また環境条件が相手国にとって有利かどうかも重要な判断材料となる。；以下の環境はかつて対応されていたが、現在では公式には対応されていない。；人工張りは環境の変化に強い反面、高く鋭い音になりやすい特徴がある。；生息環境は様々であり、上記のゴキブリのように極めて身近な例もある。；逆に32ビット版PowerPCがサポートされる対応環境から外れた。；またロシアに並ぶ輸出相手国であった中国の需要が減少するなど経済環境が悪化。；ウミガメは捕獲や生息環境の悪化などのために生息数が減少している。；この科学分野の一部は、環境に対する人間の活動の影響の調査である。；やがて自己資金で開発できる環境が整うと、本社を埼玉県上尾市へ移転。；知られている限り、全ての藍藻は好気環境下で酸素発生型光合成を行う。；逆に、人間の作り出した環境条件が好適であるために増えるものもある。；リアスクリーンは明室環境での比較的小画面での映像投射に適している。；スタックに強く依存している環境では、追加の操作を備えている場合がある。；そのため、テレビやラジオの受信環境は必ずしも安定しているとは言えない。；宇宙環境下における細胞は地上での実験では見られない挙動を示す。；こうして生物どうしは互いに「他の生物にとっての環境」となっている。；多くの種類があって、河川から深海まであらゆる水環境に生息する。；ただこれらは個体の体調や置かれた環境により不明瞭な場合も少なくない。；例えば周りが青い物ばかりならば反射光によって環境光は青さが増す。；また、貧しい環境の自然児的な主人公が、微妙な摩擦を起こす話が多い。；クラウドサービスを活用した、より手軽な制作環境の提供に移行している。；いくつかの開発環境ではこの処理を自動化している。</t>
        </is>
      </c>
      <c r="J1777">
        <f>HYPERLINK("https://www.weblio.jp/content/環境", "词义详情")</f>
        <v/>
      </c>
      <c r="K1777">
        <f>HYPERLINK("https://yourei.jp/環境", "查看例句")</f>
        <v/>
      </c>
    </row>
    <row r="1778">
      <c r="A1778" t="inlineStr">
        <is>
          <t>玩具</t>
        </is>
      </c>
      <c r="B1778" t="inlineStr">
        <is>
          <t>成功</t>
        </is>
      </c>
      <c r="C1778" t="inlineStr">
        <is>
          <t>読み方：おもちゃ
《「もちゃ」は「もちあそび（持遊）」から》
１子供が手に持って遊べるように作ってあるもの。がんぐ。
２慰みのためにもてあそばれる人や物。</t>
        </is>
      </c>
      <c r="D1778" t="inlineStr">
        <is>
          <t>玩具屋；玩具シリーズ；玩具展開；玩具会社；玩具箱</t>
        </is>
      </c>
      <c r="E1778" t="inlineStr">
        <is>
          <t>おもちゃ；トイ；弄び；遊び道具；手遊び</t>
        </is>
      </c>
      <c r="F1778" t="inlineStr">
        <is>
          <t>向け玩具；キャラクター玩具；小さな玩具；玩具商品；新しい玩具</t>
        </is>
      </c>
      <c r="G1778" t="inlineStr">
        <is>
          <t>玩具店；玩具修理者；玩具絵；玩具菓子；玩具デザイナー</t>
        </is>
      </c>
      <c r="H1778" t="n">
        <v>29</v>
      </c>
      <c r="I1778" t="inlineStr">
        <is>
          <t>この輪回しの輪は多くの文化圏で古くからよく知られている玩具である。；山の修行者がよく見かけたといわれ、山鬼が玩具にしていた物ともいう。；さらに、成長に伴い使われる子供向けの楽器類なども玩具に相当する。；数々の玩具は、発育や様々な機能の発達に刺激を与える重要な道具である。；ゴジラを題材とした玩具、書籍、映像・音楽媒体は多数発売されてきた。；玩具以外の関連商品としては、プラモデルがマークから発売されている。；一般的に知育玩具と目されている玩具類には様々な物が含まれる。；イギリスでは、2007年から玩具展開が行われ、好評を得たとされる。；タカラトミーより望む夢を見ることのできるという玩具が発売されている。；中が空洞になった卵型のチョコレートの中におまけの玩具が入っている。；市場にアニメ未登場キャラクターの玩具が発売される事態となった。；同社から発売されたメガドライブのアーキテクチャを転用した電子玩具。；子供が何らかの人物や職業になりきるごっこ遊び用の玩具も存在する。；この小冊子は既存商品に封入されたり、玩具販売店の店頭で配布される。；しかし中には玩具が販売されても劇中には登場しないキャラクターも幾つか存在する。；更に1990年代後半からは玩具の販売が全く行われなかった作品も生じ始めた。；初代と区別するため、玩具などではパワードガボラの名称が用いられている。；また、幼児教育と玩具の関係が重要視され始めたのもこの時期である。；また、玩具がコンビニ限定で販売されたことも特徴のひとつである。；過去には、他の玩具会社との間にOEM供給の関係を有していた。；本作品の玩具展開はバンダイアメリカの他、多数のメーカーが手がけている。；また玩具向けや練習用にプラスチックやラバーなどの素材も用いられている。；ソフトビニールは1950年代以降人形などの玩具に広く使用されている。；玩具展開が予定されていたが、企画段階で中止になっている。；それらが玩具として作られた可能性については低いと見られている。；考古学的にみると、玩具として人形の次に古い起源を持つほどである。；家庭用電源を使わない、より玩具的で平易なNゲージシステムであった。；トミーやセガトイズから玩具ルートで個別の商品名を付けて発売された。；当時、玩具で発売されたばかりのゴジュラスギガがゲーム内にも登場した。</t>
        </is>
      </c>
      <c r="J1778">
        <f>HYPERLINK("https://www.weblio.jp/content/玩具", "词义详情")</f>
        <v/>
      </c>
      <c r="K1778">
        <f>HYPERLINK("https://yourei.jp/玩具", "查看例句")</f>
        <v/>
      </c>
    </row>
    <row r="1779">
      <c r="A1779" t="inlineStr">
        <is>
          <t>勘ぐる</t>
        </is>
      </c>
      <c r="B1779" t="inlineStr">
        <is>
          <t>成功</t>
        </is>
      </c>
      <c r="C1779" t="inlineStr">
        <is>
          <t>読み方：かんぐる
［動ラ五（四）］あれこれ気を回して悪い意味に考える。邪推する。「何か裏があるのではないかと—・る」</t>
        </is>
      </c>
      <c r="D1779" t="inlineStr">
        <is>
          <t>思う；推測；疑う；推察；推量</t>
        </is>
      </c>
      <c r="H1779" t="n">
        <v>29</v>
      </c>
      <c r="I1779" t="inlineStr">
        <is>
          <t>話はなんでもないことだが、どんなことを勘ぐられるかわかりゃしない。；おかしな具合に勘ぐられないかと、送る勇気がなかなか出なかったのだ。；彼は、初め、自分の前だけ暢子がやめているのかもしれないと勘ぐった。；日頃からこんな商売をしているんじゃないかと勘ぐりたくなるほどだ。；妙な勘ぐりを避けるために、彼は二、三日おきに円卓に通うようにした。；下手に訊いて、勘ぐられることを怖れ、誰もそのことに触れなくなった。；男の方は疑ったり勘ぐったりだが、女の方は自分で簡単にそう決めてしまう。；そして、もしかすると自分の秘密を知ったのかも知れないと勘ぐった。；黒いお仕着せを着てるにちがいない、と滝はいささか不公平に勘ぐった。；私が鈍感なのではなく、それこそ下司の勘ぐりと云う奴ではないのか。；まるで、外泊しているのではないかと勘ぐられているかのようだ。；こいつと俺はあんたが勘ぐってるような関係じゃないぞ。；おそらくドレッバーが姿を現さなかったので何かあったと勘ぐったのでしょう。；村井の奴は、君がどうも彼女に同情し過ぎていると、変に勘ぐっていたがね。；沙織が自分から言ってこないのだから、勘ぐるなってことだろう。；なんとなく、病院中の人が全員、私のことを知っているんじゃないかと勘ぐってしまう。；黙っていれば怪しいとされ、声をあげれば疚しいことがあると勘ぐられる。；あえて勘ぐれば、かなり早い段階で自分の妊娠に気づいていたとも想像できた。；あの、腫れた頬のことがあるから、どうしても何かあるように勘ぐってしまう。；だが三つ四つとなると誰かが俺たちの首に綱をつけているんじゃないかと勘ぐりたくもなる。；彼女ができたせいで付き合いが悪くなったんじゃないかと勘ぐられても、仕方のないところだ。；刑事と合図を送り合っているなどと勘ぐられたら、美有は殺される。；いったいどんなつもりでと勘ぐられてしまいそうです。；ひょっとしたら、自分は母に嫌われているのではないかと勘ぐったことさえある。；その素早さに、わたくしは、あれこれと勘ぐらずにはいられなかった。；ぼくの印象では、そんなふうに勘ぐった者は、あまりいなかったような気がする。；フィクションと知りつつ、なぜ異例の書き方なのかと、勘ぐりたくなる。；僕はまだ心のどこかで、冗談だろうと勘ぐっていた。；これは誰かの陰謀ではないかと勘ぐったくらいである。</t>
        </is>
      </c>
      <c r="J1779">
        <f>HYPERLINK("https://www.weblio.jp/content/勘ぐる", "词义详情")</f>
        <v/>
      </c>
      <c r="K1779">
        <f>HYPERLINK("https://yourei.jp/勘ぐる", "查看例句")</f>
        <v/>
      </c>
    </row>
    <row r="1780">
      <c r="A1780" t="inlineStr">
        <is>
          <t>関係</t>
        </is>
      </c>
      <c r="B1780" t="inlineStr">
        <is>
          <t>成功</t>
        </is>
      </c>
      <c r="C1780" t="inlineStr">
        <is>
          <t>読み方：かんけい
［名］(スル)
１二つ以上の物事が互いにかかわり合うこと。また、そのかかわり合い。「前後の—から判断する」「事件に—する」
２あるものが他に対して影響力をもっていること。また、その影響。「気圧の—で耳鳴りがする」「国の将来に—する問題」
３人と人との間柄。また、縁故。「あの人とはどういう—ですか」「友好—を結ぶ」「父親の—で入社する」
４性的に交わること。「人妻と—をもつ」「妻子のある男性と—する」
５（他の名詞の下に付いて）その方面。そういう領域。「音楽—の仕事」「アウトドア—の雑誌」</t>
        </is>
      </c>
      <c r="D1780" t="inlineStr">
        <is>
          <t>関係者(4%)；関係なく(3%)；関係上；関係式；関係性</t>
        </is>
      </c>
      <c r="E1780" t="inlineStr">
        <is>
          <t>間；関連；縁；連絡；接続</t>
        </is>
      </c>
      <c r="F1780" t="inlineStr">
        <is>
          <t>友好関係；位置関係；直接関係；対立関係；親密な関係</t>
        </is>
      </c>
      <c r="G1780" t="inlineStr">
        <is>
          <t>関係性；関係機関；関係改善；関係強化；関係悪化</t>
        </is>
      </c>
      <c r="H1780" t="n">
        <v>29</v>
      </c>
      <c r="I1780" t="inlineStr">
        <is>
          <t>このことはその後のエクアドルとの関係に強い緊張を生むことになった。；データは表に似た構造で管理されるが、関係と呼ぶ概念でモデル化される。；英語が第二公用語であるため、医療関係でも英語圏との結びつきが強い。；つまり、これらの条約に加盟していない国との関係で問題になるに過ぎない。；前者は事業者や報道関係でも広く知られ広まり、後者は定着しなかった。；角関係とは面と面とが互いに見えているかどうかを表す係数である。；政治が成立する社会の基礎にはさまざまな関係が存在している。；そして理論はフォノンの振動数だけが関係しているため比較的簡単である。；南アジアとの関係が深く南部もしくは全土を南アジアに含むこともある。；こうした経緯から、現在でもフランスとの緊密な関係を維持している。；ヨーロッパとの関係も重要であり、もっとも関係のよい国家はスペインである。；平衡感覚に関係しているのは、耳では内耳と呼ばれる部分のみである。；金丸の長男と竹下の長女は結婚し共通の孫までいる関係なのは有名である。；こういうのは出資方向と関係なく、主導権は外資が握っているのである。；ユダヤ人は商人などが多いので、東インド会社もユダヤ人が関係している。；関係を複数持つことも可能で、互いを関連させることも可能である。；しかし、キリスト教と科学の実際の関係はもっと豊穣で複雑なものであった。；しかもほとんどは、テレビ画面などとは関係の無いアルバイトである。；の性格上、その歴史には定理の自動証明の研究が大きく関係している。；古代以来の各時代や社会と建築の関係、工法の発達などを研究する。；清と朝鮮以外の関係各国には、朝鮮情勢の安定化案がいくつかあった。；また物理的には位置と運動量、あるいは位置と波数の関係になっている。；多民族・多言語国家であり、民族とカーストが複雑に関係し合っている。；このようなイメージはメモリ上のスタックの実際の構造とはあまり関係ない。；多くの国が加盟国と変わらないほどの欧州連合と密接な関係を持っている。；政治制度的に複数の評議会的組織があって複雑な関係をなしている。；しかし海軍関係者の間で巨大戦艦建造の事実そのものは公然の事実だった。；中国産食品の安全性は輸入量と後述の環境汚染と関係して問題となる。；また震央距離と震度、マグニチュードの間には以下の関係があるとした。</t>
        </is>
      </c>
      <c r="J1780">
        <f>HYPERLINK("https://www.weblio.jp/content/関係", "词义详情")</f>
        <v/>
      </c>
      <c r="K1780">
        <f>HYPERLINK("https://yourei.jp/関係", "查看例句")</f>
        <v/>
      </c>
    </row>
    <row r="1781">
      <c r="A1781" t="inlineStr">
        <is>
          <t>歓迎</t>
        </is>
      </c>
      <c r="B1781" t="inlineStr">
        <is>
          <t>成功</t>
        </is>
      </c>
      <c r="C1781" t="inlineStr">
        <is>
          <t>読み方：かんげい
［名］(スル)喜んでむかえること。喜んで受け入れること。「ご来場を—する」「建設的な批判は—する」「—会」</t>
        </is>
      </c>
      <c r="D1781" t="inlineStr">
        <is>
          <t>歓迎する(12%)；歓迎される(4%)；歓迎ぶり；歓迎会；歓迎式典</t>
        </is>
      </c>
      <c r="E1781" t="inlineStr">
        <is>
          <t>迎え；扱い；受け入れ；いらっしゃい；待遇</t>
        </is>
      </c>
      <c r="F1781" t="inlineStr">
        <is>
          <t>熱烈な歓迎；熱狂的な歓迎；新入生歓迎；盛大な歓迎；歓迎下痢症</t>
        </is>
      </c>
      <c r="G1781" t="inlineStr">
        <is>
          <t>歓迎ムード</t>
        </is>
      </c>
      <c r="H1781" t="n">
        <v>29</v>
      </c>
      <c r="I1781" t="inlineStr">
        <is>
          <t>このページを編集したいと思う方へ わたしたちはあなたを歓迎します。；結局地球に戻って潜水艦で大洋の中を進み、出発点に戻って歓迎される。；むしろ警察が興味を持って調査してくれるなら、かえって大かんげいだ。；このカリューの到着にをはじめとしたストークの選手達から歓迎された。；プロジェクトに参加されていない方の議論への参加も歓迎されます。；また2017年にチームを訪問すると、ファンから大きな歓迎を受けた。；しかしこの文学者からの接近は哲学者からは必ずしも歓迎されなかった。；そのため、一般市民の中には王国の勢力に入ったことを歓迎する声もある。；パタニ女王は日本の使者を歓迎し、すべての要望を認めたと伝えられる。；それゆえにチームとしては復帰は決して歓迎できるものではなかった。；バーティはいずれの国からも大歓迎され、関係を深めることができた。；一行はその後フィラデルフィアやニューヨークでも熱烈な歓迎を受けた。；その後日本の横浜に向かい、横浜ではこれまでにない歓迎を受けた。；しかしながら、ラオスでタイ語を話すことは一般的に歓迎されていない。；各国首脳はこれに抵抗するが民衆はAKDの安定した統治を歓迎する。；キューベルワーゲンは戦場では兵士に歓迎され、軍馬代わりに使われた。；この訪問は歓迎されたにも関わらず、テーベは反対勢力の中心地となった。；帰国した彼らを市民らが大パレードで歓迎したことは有名である。；そのため、他の社員に歓迎されない者が社員となる可能性を極力排除している。；その死は、テロリズムに反対していた人々からも歓迎されたという。；そればかりか幾つかの組織は戦争への参加を歓迎すらした。；長期に亘る独裁に反対していた多くの人々はこの出来事を歓迎した。；野球は既に日本でも人気を博しており、ルースも各地で歓迎を受けた。；日本で歓迎を受けた溥儀が帰国すると、満州国内の様子が異様だった。；マルクスから歓迎する旨の返事が届くと早速7月にロンドンを訪問した。；試合終了後深夜タンパに戻ったチームを8000人のファンが歓迎した。；その後まもなくブリュッヘルはイギリスを訪問し、熱烈な歓迎を受けた。；この時、小田急側では売り込みにきた担当者をSE車に乗せて歓迎した。；ちょうど彼の即位20周年の年で、国内至る所で熱烈な歓迎を受けた。</t>
        </is>
      </c>
      <c r="J1781">
        <f>HYPERLINK("https://www.weblio.jp/content/歓迎", "词义详情")</f>
        <v/>
      </c>
      <c r="K1781">
        <f>HYPERLINK("https://yourei.jp/歓迎", "查看例句")</f>
        <v/>
      </c>
    </row>
    <row r="1782">
      <c r="A1782" t="inlineStr">
        <is>
          <t>歓迎会</t>
        </is>
      </c>
      <c r="B1782" t="inlineStr">
        <is>
          <t>成功</t>
        </is>
      </c>
      <c r="F1782" t="inlineStr">
        <is>
          <t>出獄歓迎会；新入社員歓迎会</t>
        </is>
      </c>
      <c r="H1782" t="n">
        <v>29</v>
      </c>
      <c r="I1782" t="inlineStr">
        <is>
          <t>ただシベリア人だけが、この侵入軍の歓迎会には姿を見せていなかった。；三時ごろ、歓迎会だというので、やっと近くの旅館の二階に案内された。；歓迎会の賓客が消えてしまったのでは、この会食は全く意味を失うのだ。；そこへ私どもは一泊して、その晩は京都の同郷人の歓迎会に出席した。；佐里たちは一応、雪見の母に歓迎会のことなど事情を説明してはみた。；勝つとか強いとか言って歓迎会をやってもらいたいのじゃないか。；ある日開催された歓迎会を抜け出すと、妖館の前に一人の男性が立っていた。；一方、松岡は自宅で開かれた歓迎会の席上、左のような話をしている。；翌日、何千戸の歓迎会の準備をしているところへ、王三官からの招待状が来る。；日タイ文化会館の主催で、タイの新大使ウィシエットの歓迎会があった。；送別会や歓迎会にしても、学校の中の、一番奥まった室でするんです。；また、一日、ローマ滞留の日本人が博士二人のために歓迎会を催した。；以前、田舎町での歓迎会で出たことのある生きた海老の料理である。；社の歓迎会は既に数回行われていたから、こちらが入社して最初だというわけでは全然ない。；二生会と金鉄会とで、僕が帰ったら大に歓迎会をやるんだとか、かいてあった。；そして夫人が帰国したら歓迎会をする約束をした。；おかあさんのむかしのおしえ子がね、歓迎会をしてくれるというのよ。；しかし、龍太郎には、これが、ただの歓迎会であろうとは、思えなかった。；紫の歓迎会をやろうと環が提案してきたので、そのための買い出しである。；小浜の伊勢屋へ着くと、そこで私の歓迎会が開かれるというのである。；しかし、源蔵は歓迎会の晩に布団へ入ったまま息を引き取ってしまう。；返書に十和田君の歓迎会のことを世話してほしいと言ってやる。；或晩、フランスから帰つて来た詩人の歓迎会があつて、海野もそれに出席した。；大夕食会が進行中で、そのあと間違いなく同じく大歓迎会が開かれようとしている。；お母さんの昔の教え子がね、歓迎会をしてくれるというのよ。；「大公さまの歓迎会にこんなことはいかがでしょう」とつづけていう。；ただし、今夜は会社の新入社員歓迎会があるので、時間が取れません。；歓迎会をやってくれとは言わないが、あいさつぐらいしてくれればいいのに。；帰国後の歓迎会も岳界への報告も一段落したところである。</t>
        </is>
      </c>
      <c r="J1782">
        <f>HYPERLINK("https://www.weblio.jp/content/歓迎会", "词义详情")</f>
        <v/>
      </c>
      <c r="K1782">
        <f>HYPERLINK("https://yourei.jp/歓迎会", "查看例句")</f>
        <v/>
      </c>
    </row>
    <row r="1783">
      <c r="A1783" t="inlineStr">
        <is>
          <t>感激</t>
        </is>
      </c>
      <c r="B1783" t="inlineStr">
        <is>
          <t>成功</t>
        </is>
      </c>
      <c r="C1783" t="inlineStr">
        <is>
          <t>読み方：かんげき
［名］(スル)強く心に感じて、気持ちがたかぶること。「優勝の—にひたる」「観客に—を与える」「無私の行為に—する」「—家」</t>
        </is>
      </c>
      <c r="D1783" t="inlineStr">
        <is>
          <t>感激性；感激屋；感激しやすい；感激ぶり；感激せしめ</t>
        </is>
      </c>
      <c r="E1783" t="inlineStr">
        <is>
          <t>インスピレーション；感化；吸気；感応；入神</t>
        </is>
      </c>
      <c r="F1783" t="inlineStr">
        <is>
          <t>読んで感激；ひどく感激；深い感激；無感激；新しい感激</t>
        </is>
      </c>
      <c r="H1783" t="n">
        <v>29</v>
      </c>
      <c r="I1783" t="inlineStr">
        <is>
          <t>するとどうした具合であったか、感激に満ちた若い女性の声が聞えて来た。；また、自分が生まれた地でのライブだったので感激したと語っている。；ほかの子供に対しても変わらざるやさしい母親の愛に感激したからです。；瞬間の感激のために人々が命を捨てるのを、彼は戦場で何度も眺めて来た。；英語で書かれたファンレターに感激し英語で返事を出したこともある。；ネリーはアジャが書いた物語に感激し、彼と行動を共にするようになる。；経正は、あまりのうれしさに、感激の涙を流しながら一首の歌を詠んだ。；ほかでもない、彼のまなざしには感激らしいものすら輝いているのだ。；彼のこの驚きは、同時に、目がしらのあつくなるような感激でもあった。；この男は物事を深く感じもしましたし、感激をもって芸術を愛しもしました。；無一物な清浄な世界にクララの魂だけが唯一つ感激に震えて燃えていた。；どんな人間でも年から年中、異常な感激を持すことは、困難な事である。；しかしこの記事を見せられたトオサンの感激は絶大なるものがありました。；もしあったとしたら読者は感激したり興奮したりしなければならなくなるだろう。；生まれて初めて見るカラーテレビや近代的な大都会・東京に感激した。；二人はそこにすべてを忘れて、感激の涙にむせび合うたのであった。；学力のある人もいたが、無味乾燥で生徒を感激させるものがないのだ。；何か感激したものを持たないと決して仕事をしないのです。；さうして、自分のまだ曾てなかつた感激を、力深くつけ添へて聞かした。；ところが、興味どころではない、感激をもって彼等は迎えられたのである。；手紙には野村との夫婦生活の感激をむき出しの言葉で書いてあったという。；彼は無邪気な感激の様子で言っていたが、二人には笑う気も起こらなかった。；かくいえば、感激しやすい人は直ちにこれに反対してくるであろう。；当日天皇は謡本を手に終始熱心に舞台を観ており、伴馬を感激させた。；それは決して感激でも怒りでも憎悪でもなく言葉で説明できない複雑な感情であった。；ふと目に入った的矢という地名に名状しがたいほどの感激で夢中になった。；私は此時のかうした感激の下に永久に生きられゝばよかつたと思ふ。；名門校・愛種高校の校訓にいたく感激し、入学を決めた生徒が2人いた。；これは往年のようなシンプルで良い曲が近年に現れたと感激していたからである。</t>
        </is>
      </c>
      <c r="J1783">
        <f>HYPERLINK("https://www.weblio.jp/content/感激", "词义详情")</f>
        <v/>
      </c>
      <c r="K1783">
        <f>HYPERLINK("https://yourei.jp/感激", "查看例句")</f>
        <v/>
      </c>
    </row>
    <row r="1784">
      <c r="A1784" t="inlineStr">
        <is>
          <t>簡潔</t>
        </is>
      </c>
      <c r="B1784" t="inlineStr">
        <is>
          <t>成功</t>
        </is>
      </c>
      <c r="C1784" t="inlineStr">
        <is>
          <t>読み方：かんけつ
［形動］［文］［ナリ］簡単で要領を得ているさま。手みじかではっきりしているさま。「—な表現」「—に要旨を述べる」
[派生]かんけつさ［名］</t>
        </is>
      </c>
      <c r="D1784" t="inlineStr">
        <is>
          <t>簡潔かつ；簡潔明瞭；簡潔すぎる；簡潔データ構造；簡潔明快</t>
        </is>
      </c>
      <c r="E1784" t="inlineStr">
        <is>
          <t>短い；手短；簡略；早い話が；手みじか</t>
        </is>
      </c>
      <c r="F1784" t="inlineStr">
        <is>
          <t>ごく簡潔；きわめて簡潔；最も簡潔；できるだけ簡潔；もっと簡潔</t>
        </is>
      </c>
      <c r="H1784" t="n">
        <v>29</v>
      </c>
      <c r="I1784" t="inlineStr">
        <is>
          <t>彼は協力して作用する多くの複雑な要因をきわめて簡潔に処理している。；その他、この一週間の出来事を簡潔に伝えるコーナーも設けられていた。；どうせ質素簡潔なものだから、お膳の上に全部並べてもいいではないか。；簡潔で雄健な調子で、考えをそのまま表現した古代の文章を理想とする。；彼女のしぐさは簡潔だが、ことば以上のものを伝えているように思えた。；ここでは簡潔にそれぞれの機器などを用いた走向の測定方法を説明する。；日本書紀と比較すると、古事記の記事は極めて簡潔なものになっている。；面白い話はみなそうあるべきだが、続きといってもごく簡潔になっておる。；あれはなかなか簡潔明瞭で、聞きようによっちゃ非常に美しい言語だぞ。；女性にしては力がありすぎるし、簡潔で、だらだらしたところがないし。；美濃部はきわめて簡潔な態度を、ここに示しているというべきなのである。；慎重に、ドイツ語の飾り文字でインクで書かれた、簡潔な報告書だった。；挿画や写真、地図などを多く使用し、簡潔な記述となっているのが特徴。；ヴェーバーが戦術学校の将兵に伝えた命令は極めて簡潔なものであった。；「あなたの目標はりっぱだと思います」 かれは簡潔に説明していった。；これを聞いて激怒したエンリルの答えは、実に簡潔かつ感情的であった。；この反乱の鎮圧の後、時の首相はトルコ政府の見解を簡潔に述べている。；簡潔を貴ぶ為めに、これを新聞の求婚広告風に書き改めて次に紹介する。；近寄って手に取ると、そこには優馬の字で簡潔な文章が記されていた。；簡潔な箇条書きの3つの文にまとめられた結論は次のようなものであった。；全国の主要な河川と水流について137条に分けて簡潔に記載している。；市場への早期の投入を目標に簡潔な設計であり、機体価格も安価であった。；参法では、原改正規定の内容を要約し、簡潔に表現することが行われる。；ごく簡潔な内容だったが、彼女が示したその動機も理にかなっていた。；翻訳文学的でもある論理的に整理された簡潔・平明な筆致に特徴がある。；edはその簡潔さで有名で、結果を表示するということがほとんどない。；日本語に訳せるものは、実に美しい簡潔な日本語で言われるのである。；抑揚のない声で、簡潔に、かれはスポックにこれまでの状況を説明した。；そんな無駄な説明を書くには、私は文章に簡潔を尊びすぎるのである。</t>
        </is>
      </c>
      <c r="J1784">
        <f>HYPERLINK("https://www.weblio.jp/content/簡潔", "词义详情")</f>
        <v/>
      </c>
      <c r="K1784">
        <f>HYPERLINK("https://yourei.jp/簡潔", "查看例句")</f>
        <v/>
      </c>
    </row>
    <row r="1785">
      <c r="A1785" t="inlineStr">
        <is>
          <t>完結</t>
        </is>
      </c>
      <c r="B1785" t="inlineStr">
        <is>
          <t>成功</t>
        </is>
      </c>
      <c r="C1785" t="inlineStr">
        <is>
          <t>読み方：かんけつ
［名］(スル)続いていた物事などがすっかり終わること。また、終わってまとまること。「連続ドラマが—する」「—編」「自己—」</t>
        </is>
      </c>
      <c r="D1785" t="inlineStr">
        <is>
          <t>完結する(14%)；完結編(9%)；完結後(3%)；完結型(3%)；完結篇</t>
        </is>
      </c>
      <c r="E1785" t="inlineStr">
        <is>
          <t>終わり；終わる；完了；結び；終結</t>
        </is>
      </c>
      <c r="F1785" t="inlineStr">
        <is>
          <t>内完結；シリーズ完結；自己完結；未完結；編成完結</t>
        </is>
      </c>
      <c r="H1785" t="n">
        <v>29</v>
      </c>
      <c r="I1785" t="inlineStr">
        <is>
          <t>効果的な半面で継続的な援助を必要とするため完結的解決が存在しない。；多くの謎を残したまま終了した前作の続編であり、本シリーズの完結編。；本作品は第1作目から続いていたストーリーの完結編と扱われている。；なお、冒頭の定義の中には、いわゆる都市内で完結するものも含まれる。；当初は前作の終了をもって完結の予定だったが、続編の製作が決定した。；コンピュータ上で全ての取引が完結する、仮想市場が現出したのである。；エピソードのほとんどが原作同様、一話完結型のストーリー構成である。；ゲームは全てのイベントが一日限りで終了する「一日完結型」で進行する。；当初100号で完結の予定であったが、314号での完結に延長された。；原作が完結したあかつきには、そこまでアニメ化されたらうれしいです。；途中で総集編4話が挿入され、ストーリーが完結せずに放送が終了した。；基本一話完結のストーリーだが、たまに回を跨ぐエピソードも存在する。；完結していなかったが、2006年1月からは新装版が発売されている。；最終的に46話で完結することが決まったのは制作の最終段階だった。；基本的に1話完結で、ケンカ中心の構成の中に人情ドラマを描いた作品。；さらに2011年6月にはストーリー上の完結編がアニメ映画化された。；物語後半はアニメ独自の展開となり、最終回で完全に完結した物語となった。；この活用形では文を完結させることはできず、必ず語や節が後続する。；この回を以て、正式に山本の出演を除いた数取団のコーナーが完結した。；京成電鉄東成田線と一体的に運行されており、線内完結列車の設定はない。；前作の完結後に作者が同スレッドで連載を開始したサッカー小説。；ここでは完全に完結した空間の中で物語が終結することになる。；緩やかな季節、時間の流れこそあるものの、基本的に1話完結型である。；少ないエピソード数で完結する連続番組はミニシリーズと呼ばれる。；すべての巻が13章から成り、完結するのも不吉な数とされる第13巻。；そのため、三話分で一つの物語が完結するような構成になっている。；予算的な理由で、レストランは独自の設計で完結されていない。；結末は一連のシリーズの完結編的な独自の内容で描かれている。；住民の日常生活は歩行可能な住区の範囲内で完結させることができる。</t>
        </is>
      </c>
      <c r="J1785">
        <f>HYPERLINK("https://www.weblio.jp/content/完結", "词义详情")</f>
        <v/>
      </c>
      <c r="K1785">
        <f>HYPERLINK("https://yourei.jp/完結", "查看例句")</f>
        <v/>
      </c>
    </row>
    <row r="1786">
      <c r="A1786" t="inlineStr">
        <is>
          <t>還元</t>
        </is>
      </c>
      <c r="B1786" t="inlineStr">
        <is>
          <t>成功</t>
        </is>
      </c>
      <c r="C1786" t="inlineStr">
        <is>
          <t>読み方：かんげん
［名］(スル)
１物事をもとの形・性質・状態などに戻すこと。「利益の一部を社会に—する」「濃縮果汁を—する」
２酸素の化合物から酸素を奪うこと。または、ある物質が水素と化合すること。一般的には、原子または原子団に電子を与えること。→酸化</t>
        </is>
      </c>
      <c r="D1786" t="inlineStr">
        <is>
          <t>還元する(17%)；還元される(9%)；還元型(4%)；還元的(3%)；還元剤(2%)</t>
        </is>
      </c>
      <c r="E1786" t="inlineStr">
        <is>
          <t>減少；回復；縮小；返す；削減</t>
        </is>
      </c>
      <c r="F1786" t="inlineStr">
        <is>
          <t>硫酸還元；利益還元；還元作用；社会還元；還元可能</t>
        </is>
      </c>
      <c r="G1786" t="inlineStr">
        <is>
          <t>還元反応；還元主義；還元電位；還元酵素；還元的脱離</t>
        </is>
      </c>
      <c r="H1786" t="n">
        <v>29</v>
      </c>
      <c r="I1786" t="inlineStr">
        <is>
          <t>複雑な概念を分解し、より単純な概念の集合体に還元して理解すること。；そのため科学的な取り組みは例えば形相的還元のようなものを行わない。；ポイントは付かないが還元額だけは利用可能な道路が一部に存在する。；ともに酸化型および還元型をとり、一電子還元を受けた中間型を生じる。；なお、哲学では、強力な還元主義が主要な立場になることは稀である。；だけでなく、神の存在のような実在しないものにも還元できない立場をとる。；肉体がないと意識は生まれないが、意識は肉体には還元されない。；ある言語が決定不可能であることを停止問題からの還元で示す例を以下で示す。；上記の形式に還元できることを条件に、多様な表現が可能である。；数学の形式体系はすべてこの仮想機械の動作に還元できるといわれている。；かつては、店舗利用額に応じて商品券を提供する形で還元していた。；この技術を使うことにより期待されることは大きく以下の5つに還元できる。；このエナンチオ選択的還元は工業的な大スケールでも用いられている。；その一部を人間が利用し、糞や死体は微生物に分解されて土地に還元される。；これは配位中心の鉄イオンが光により鉄イオンへ還元されることによる。；Webサイトまたは電話で還元額へ交換する手続きを行う必要がある。；この施策は比較的余裕がある市の財源を市民に還元する目的もある。；非還元的な物理主義者の誰もが受け入れているのが付随性のテーゼである。；この還元的アミノ化反応をアミンの還元的アルキル化と呼ぶことがある。；上述の人気作を制作したにもかかわらず、その利益はほとんど還元されなかった。；剰余金が発生した場合の組合員への還元等は、他の生協と同様である。；睿宗の時に大都護府に昇格し、高宗の時に牧に還元して朝鮮に継承した。；細胞質内は還元性環境であるためジスルフィド結合はほとんど形成されない。；これはある問題から別の問題への還元の例である。；また、地球上で自然界に存在する鉄は酸化しているため還元する必要があった。；弱い還元のほうが問題を区別する際には効果的だが、還元を設計する能力が弱いのである。；また二電子還元を受けるものでは中間型も取り得る。；イソマルツロース還元物を含む食品も特定保健用食品に指定されている。；もっとも還元されやすい金属イオンがもっとも遷移エネルギーが低くなる。</t>
        </is>
      </c>
      <c r="J1786">
        <f>HYPERLINK("https://www.weblio.jp/content/還元", "词义详情")</f>
        <v/>
      </c>
      <c r="K1786">
        <f>HYPERLINK("https://yourei.jp/還元", "查看例句")</f>
        <v/>
      </c>
    </row>
    <row r="1787">
      <c r="A1787" t="inlineStr">
        <is>
          <t>漢語</t>
        </is>
      </c>
      <c r="B1787" t="inlineStr">
        <is>
          <t>成功</t>
        </is>
      </c>
      <c r="C1787" t="inlineStr">
        <is>
          <t>読み方：かんご
１日本語の中で、字訓ではなく、字音で読まれる語。また、字音で読まれる漢字から成る熟語。昔、中国から伝わり日本語として定着したもののほかに、日本で作られたものもある。字音語。→和語(わご) →外来語
２中国の漢民族の言語。中国語。</t>
        </is>
      </c>
      <c r="D1787" t="inlineStr">
        <is>
          <t>漢語系；漢語表記；漢語史料；漢語由来；漢語訳</t>
        </is>
      </c>
      <c r="F1787" t="inlineStr">
        <is>
          <t>意味する漢語；古い漢語；古漢語；むずかしい漢語；漢語資料</t>
        </is>
      </c>
      <c r="G1787" t="inlineStr">
        <is>
          <t>漢語系語彙；漢語水平考試；漢語辞典</t>
        </is>
      </c>
      <c r="H1787" t="n">
        <v>29</v>
      </c>
      <c r="I1787" t="inlineStr">
        <is>
          <t>いずれにしても原住民の言葉が起源と見られ、漢語には由来していない。；日本語にならぬ漢語は、すべて使はないといふのが自分の規則であつた。；漢語は大変音節上の制約が多い言語であるため、多数の例外が存在する。；漢語に通じていた人など、ざらにはいなかったことがこの話からもわかる。；こうした西洋の言語と漢語・日本語の用法の違い等は、プリンスを参照。；饑渇なる漢語をこれと同一に律するのは余り面白くないように思われる。；そのため、訓読自体も漢語の影響を受けやすく翻訳口調になることもある。；このほか日本では漢語的表現として「海鵝」などが使われたことがある。；江戸時代の儒学者が中国の制度になぞらえて用いた漢語的呼称に由来する。；なお漢語の一部は、形容詞の活用を獲得したものも存在するが例は多くない。；他の漢語系言語と同じく、地域を問わず、呉語にも文読と白読とがある。；ただし、新漢語の割合は漢語全体から見れば必ずしも多いわけではない。；このうち享年は死亡時の年齢を表す漢語で相対的に新しい表現とされている。；つまり若い人の多くは、漢字や漢語が読めなくなってしまったのである。；歴史的には漢音が漢語の読み方として正統に最も近いものとされている。；ペー族にも、張海秋などのように漢語派に属す言語と考える者がいる。；漢語の形態論と語生成規則はこれらの言語へも適用される。；基本的には和文の形式であるが、漢語の語彙を多数取り入れた文章である。；高島俊男は同じことが漢語と日本語のあいだでも起こっていると指摘しています。；ここには、園芸でよく使われる用語を漢語編と外来語編に分けて記載する。；すでに和語の例は示してあるので、ここでは漢語と外来語の例を示す。；現在フランス語、英語、イタリア語、漢語等の翻訳版も発行されている。；そもそも漢語では「野」という言葉で政府以外の民間部門全体を指した。；現在においては、もともと漢語であったかどうか不明確な語すら残されている。；学者らは濁上変去現象の等語線を漢語七大方言の区分の根拠の一つとする。；項背は、古代の漢語と古今の日本語では、後頸部と背中の総称である。；当時の日常語が多く収録され、特に漢語が豊富に収録される。；しかも、新しい形容動詞の多くは漢語・外来語を語幹とするものである。；このようにして日本の漢語は、同音異義語の問題などを抱えることになった。</t>
        </is>
      </c>
      <c r="J1787">
        <f>HYPERLINK("https://www.weblio.jp/content/漢語", "词义详情")</f>
        <v/>
      </c>
      <c r="K1787">
        <f>HYPERLINK("https://yourei.jp/漢語", "查看例句")</f>
        <v/>
      </c>
    </row>
    <row r="1788">
      <c r="A1788" t="inlineStr">
        <is>
          <t>看護</t>
        </is>
      </c>
      <c r="B1788" t="inlineStr">
        <is>
          <t>成功</t>
        </is>
      </c>
      <c r="C1788" t="inlineStr">
        <is>
          <t>読み方：かんご
［名］(スル)けが人や病人の手当てや世話をすること。「手厚い—を受ける」「病人を—する」「寝ずに—する」
[用法]看護・看病——「一晩中寝ずに病人の看護（看病）をした」の場合には相通じて用いられる。◇「看護」は「看病」より意味が広く、「出産したばかりの妻を看護する」「年老いた父の看護にあたる」のように用いる。◇類似の語に「介抱」「介護」がある。「介抱」は一時的に相手の世話をするような場合にいう。「脳貧血で倒れた友達を介抱した」「酔っ払いを介抱する」の場合は「看護」「看病」はふさわしくない。「看護」「看病」が見守ることなども含むのに対し、「介抱」は具体的に世話をするという意味合いが強い。◇「介護」は一般的に「寝たきり老人の介護」など病院以外での介抱や看護についていうことが多い。</t>
        </is>
      </c>
      <c r="D1788" t="inlineStr">
        <is>
          <t>看護婦さん(5%)；看護婦たち(4%)；看護師(3%)；看護婦長；看護兵</t>
        </is>
      </c>
      <c r="E1788" t="inlineStr">
        <is>
          <t>世話；看病；介護；介抱；ケア</t>
        </is>
      </c>
      <c r="F1788" t="inlineStr">
        <is>
          <t>手厚い看護；看護学；看護婦達；看護婦室；スミス看護婦</t>
        </is>
      </c>
      <c r="G1788" t="inlineStr">
        <is>
          <t>看護人；看護学校；看護学部；看護学；看護専門学校</t>
        </is>
      </c>
      <c r="H1788" t="n">
        <v>29</v>
      </c>
      <c r="I1788" t="inlineStr">
        <is>
          <t>また近年看護系の専門学校も進出し学生の町としての発展も期待される。；スティーブンスは彼女が既に看護師として不採用にしていた人物である。；彼女は眠っていたが、ゾルグは看護婦からもう家に帰るように言われる。；院内で診察・治療・看護・研究等にあたる者も同様に防衛省職員である。；男は懐疑的だったキンダーマンに事実を認識させるために看護婦を殺す。；看護の分野は少しずつであるが、看護師を目指す男子学生が増えてきている。；母が看護に出かけてしまった事もあり、奇妙な同居生活をする羽目になる。；門には、1917年に戦死したの女性看護師の名前も含まれている。；しかし、そんな彼女を必死で止めたのはあの看護師・吉岡由希子であった。；彼女の秘密を探るうちに、彼女が現役看護師であることを突き止めた。；会員の大部分は男性であったが、看護婦会長を務める女性なども加入している。；父と母に病があれば、その床の辺りを離れず、親しく自ら看護すべきである。；患者の意志ではなく看護師の判断によって看護が提供されてしまう。；政府は職員を徐々に増加させ、特に看護の仕事は看護婦にさせるように努力した。；このことがキッカケとなり看護師と少女の交流関係が始まった。；第一次世界大戦中はカナダのアメリカ陸軍病院で看護助手として働いた。；昼は缶詰工場で働きながら、地元の病院で夜勤の看護婦としても働いた。；最終的には看護系が勝利したが、医師系は反撃の機会を窺っていた。；看護分野は1984年の調査開始以来、25年連続で1位となっている。；武装した看護系職員はついに発砲し、前にいた患者数人を死傷させた。；父親はタワークレーンの運転手、母親は地元の病院で看護師として務めた。；看護婦も勲五等以上でなくてはいけないので、五位以上の女官が看護した。；救急車に変形する看護員であり、仲間の修理を主な任務としている。；最初の1年間は、夫妻は24時間勤務の看護婦を雇用することができた。；引退後はセントラル・フロリダの医療機関で看護師の業務に就いている。；母が看護師で大学も看護系の大学に入る予定だったが、親を説得し高校卒業後上京。；孫権は、全身に傷を負って瀕死の状態であった凌統を手厚く看護させた。；いくつかの専門分野で専門的、外科的および看護サービスを提供する。；その著作の中では常に全人的な看護を提唱し続けてきた。</t>
        </is>
      </c>
      <c r="J1788">
        <f>HYPERLINK("https://www.weblio.jp/content/看護", "词义详情")</f>
        <v/>
      </c>
      <c r="K1788">
        <f>HYPERLINK("https://yourei.jp/看護", "查看例句")</f>
        <v/>
      </c>
    </row>
    <row r="1789">
      <c r="A1789" t="inlineStr">
        <is>
          <t>頑固</t>
        </is>
      </c>
      <c r="B1789" t="inlineStr">
        <is>
          <t>成功</t>
        </is>
      </c>
      <c r="C1789" t="inlineStr">
        <is>
          <t>読み方：がんこ
［名・形動］
１かたくなで、なかなか自分の態度や考えを改めようとしないこと。また、そのさま。「—な職人」「—おやじ」
２取りついて容易に離れようとしないこと。また、そのさま。「—な汚れ」「—な水虫」
→強情(ごうじょう)［用法］
[派生]がんこさ［名］</t>
        </is>
      </c>
      <c r="D1789" t="inlineStr">
        <is>
          <t>頑固者(5%)；頑固そう(2%)；頑固なところ；頑固な性格；頑固な男</t>
        </is>
      </c>
      <c r="E1789" t="inlineStr">
        <is>
          <t>一刻；執拗；固い；堅い；頑強</t>
        </is>
      </c>
      <c r="F1789" t="inlineStr">
        <is>
          <t>頑固爺；頑固ぶり；頑固一点張り；頑固じじい；頑固じいさん</t>
        </is>
      </c>
      <c r="G1789" t="inlineStr">
        <is>
          <t>頑固党；頑固プロレス</t>
        </is>
      </c>
      <c r="H1789" t="n">
        <v>29</v>
      </c>
      <c r="I1789" t="inlineStr">
        <is>
          <t>私は北に連らなる頑固な壁を知らずしらずの間に頭の中から忘れ出した。；彼の頑固はその付近の人々の口に上り、そして非常に人々の心を痛めた。；そうやって頑固に坐って、祖父ちゃんは自分の暮しぶりを観察している。；父が厳格で頑固の為めに、講談小説の類を読む事を絶対禁止されていた。；そのかわり、宗教についての頑固な狭い考えももってはいませんでした。；自分で満足がいくまでは絶対にやめようとしない、頑固な学び手だった。；私にとって娘は春であり、娘のために私は頑固な木に成長するのです。；多感な時期に放置された少年王はわがままで頑固な性格となってしまう。；その頑固さを、私、決していけないって言ってるわけじゃないんですよ。；彼はただ彼が話し合つたその間の印象を頑固に信じてゐるのだつた。；誠実質朴という点では、他のどこの国にも負けない頑固なものがあるよ。；頑固者の父との関係はなかなか難しいものがあったと回想している。；彼女自身も兄を敬愛していたが、性格は頑固でわがままであったという。；頑固な父をよく芝居で見るが、現実のものぢや無いと思つて居た。；私はどうして頑固な父の反對も顧慮しないで養父の許に走つたのでせう。；勇猛な性格であるとともに、神経質で頑固な面もあったと書かれている。；自身の意志に忠実であるがゆえに、時に頑固になり頭に血が上りやすい。；本来の性格はやや頑固なところはあるものの人懐っこい馬であった。；そんな二人は互いに頑固な性格だったため、ついに喧嘩別れをしてしまう。；ともあれ自分の目で見、耳で聞いた証拠を否定する頑固者はいるだろうけど。；しかるに頑固な彼は医者にはならない決心をもって、東京へ出て来たのです。；彼の頑固さを知っているスミス大尉は、最大量の睡眠薬を与えたのである。；大移住時代に、頑固に機会から締め出してきた社会を離れて北部へ移動した。；中には頑固に付着した氷を破壊するゴム製のハンマーが付いたものもある。；もともとこのジョージというのは、いささか頑固なところのある男でね。；彼は、頑固なほど同じ主題と同じ出来事、同じ時点を繰り返して詩を書いた。；その点、私も頑固だったかもしれないが、女も充分すぎるほど頑固だった。；でも妾、頑固に頭を振ったもんだから、間もなくみんな帰って行ったわよ。；馬体は素晴らしいと言われたが、性格は頑固で神経質なところがあった。</t>
        </is>
      </c>
      <c r="J1789">
        <f>HYPERLINK("https://www.weblio.jp/content/頑固", "词义详情")</f>
        <v/>
      </c>
      <c r="K1789">
        <f>HYPERLINK("https://yourei.jp/頑固", "查看例句")</f>
        <v/>
      </c>
    </row>
    <row r="1790">
      <c r="A1790" t="inlineStr">
        <is>
          <t>観光</t>
        </is>
      </c>
      <c r="B1790" t="inlineStr">
        <is>
          <t>成功</t>
        </is>
      </c>
      <c r="C1790" t="inlineStr">
        <is>
          <t>読み方：かんこう
［名］(スル)他の国や地方の風景・史跡・風物などを見物すること。「各地を—してまわる」「—シーズン」「—名所」
[補説]近年は、娯楽や保養のため余暇時間に日常生活圏を離れて行うスポーツ・学習・交流・遊覧などの多様な活動をいう。また、観光庁などの統計では、余暇・レクリエーション・業務などの目的を問わず、1年を超えない非日常圏への旅行をさす。</t>
        </is>
      </c>
      <c r="D1790" t="inlineStr">
        <is>
          <t>観光地(6%)；観光開発(3%)；観光用(3%)；観光案内所(3%)；観光客(3%)</t>
        </is>
      </c>
      <c r="E1790" t="inlineStr">
        <is>
          <t>見物；物見；観光旅行；探勝；遊覧</t>
        </is>
      </c>
      <c r="F1790" t="inlineStr">
        <is>
          <t>観光目的；観光ルート；観光pr；主要な観光；観光課</t>
        </is>
      </c>
      <c r="G1790" t="inlineStr">
        <is>
          <t>観光地；観光バス；観光業；観光名所；観光資源</t>
        </is>
      </c>
      <c r="H1790" t="n">
        <v>29</v>
      </c>
      <c r="I1790" t="inlineStr">
        <is>
          <t>西側は牧畜業が盛んであり、その経済は観光業と防衛費に依存している。；また観光シーズンには琵琶湖一周列車が団体貸切の形で運転されている。；また面積が日本一小さな村で有名となり、記念観光で訪れる人も多かった。；座席からの眺望を良くすべく観光目的の車両・路線から採用がはじまった。；定期券は観光輸送が主目的の路線であるため発売していなかった。；観光鉄道を除く日本の普通鉄道の事業者では唯一、冷房車の配置がない。；現代の日本では観光用や祭礼用などを除いてほとんど見かけられなくなっている。；スネリング砦は現在、歴史記念物として、観光・教育の場となっている。；現在、観光用人力車の営業が行われている地域は以下の通りである。；また、かつての出札窓口跡には臨時観光案内所が開設されることがある。；観光的な意図をもって博覧会が開催されるようになったのは、昭和以降である。；外国人は特別に許可された場合を除いて観光が許可されている島以外には入ることができない。；知り合ったホステラー同士で次の日に観光などの行動を共にすることもある。；このほか、観光シーズンなどには臨時列車として以下の列車が運転された。；台湾との交流を続けており、2015年3月3日に台湾観光貢献賞を受賞。；ロンドンには世界中から毎年数百万人が観光に訪れる。；どちらも高級店が集まっており、主要な観光地となっている。；生き残ったものは山上にも町があり、観光以外の需要があるものだけだった。；こうした観光用のフライトには、小型機やヘリコプターが主に用いられる。；実際のところ外輪船はスクリュー船に負けるため観光用しか残っていない。；仙台駅では松島への観光には仙石線の利用を推奨する案内が行われている。；大阪への通勤・通学路線であると同時に、奈良へ向かう観光路線でもある。；上のようなイメージは観光のために誇張されているものという色合いが濃い。；地元から比較的近い観光地への旅行が主流である。；現在では一部の休日を除けば散策を楽しむような静かな観光地である。；危険濃度になった場合、観光目的での火口周囲への立ち入りが制限される。；観光部門がGDPの約3分の1を占めており、最大の外貨獲得源でもある。；東京都が英語と中国語に対応する訪日外国人向けの観光案内窓口を設置している。；観光地では、観光物にちなんだトイレが設置されていることがある。</t>
        </is>
      </c>
      <c r="J1790">
        <f>HYPERLINK("https://www.weblio.jp/content/観光", "词义详情")</f>
        <v/>
      </c>
      <c r="K1790">
        <f>HYPERLINK("https://yourei.jp/観光", "查看例句")</f>
        <v/>
      </c>
    </row>
    <row r="1791">
      <c r="A1791" t="inlineStr">
        <is>
          <t>慣行</t>
        </is>
      </c>
      <c r="B1791" t="inlineStr">
        <is>
          <t>成功</t>
        </is>
      </c>
      <c r="C1791" t="inlineStr">
        <is>
          <t>読み方：かんこう
１古くからの習わしとして行われていること。「—にならう」
２ふだん、習慣として行うこと。</t>
        </is>
      </c>
      <c r="D1791" t="inlineStr">
        <is>
          <t>慣行上；慣行農産物；慣行栽培；慣行農法；慣行化</t>
        </is>
      </c>
      <c r="E1791" t="inlineStr">
        <is>
          <t>風；性；実際；伝統；実行</t>
        </is>
      </c>
      <c r="F1791" t="inlineStr">
        <is>
          <t>雇用慣行；取引慣行；ビジネス慣行；労働慣行；民俗慣行</t>
        </is>
      </c>
      <c r="H1791" t="n">
        <v>29</v>
      </c>
      <c r="I1791" t="inlineStr">
        <is>
          <t>中国での経営では文化の差を超えて独特の経営慣行が求められることとなった。；実際には、毎年何隻の船を建造するかの決定が慣行で行われていた。；この最高裁判所判決によって、実務では従来の慣行が復活したのである。；事件の性質上、こういう重大な議題は評定所にかけられる慣行であった。；ただし、各スルターンが輪番で国王に選ばれることが慣行となっている。；これは、アメリカ国内の他の多くの直営局グループと同じ慣行である。；この新開地の地名にも、相変らず時代と慣行とを表示しているものは多い。；また慣行は風習よりもより厳格な制裁を伴う強力な約束を指すものである。；附け火はすべて死罪をもって罰せられるのが当時の慣行だったからである。；日本に分布する種に最初から和名をつけるかどうかは、分野ごとの慣行である。；だが、儀礼的慣行の基礎は、その手本を提供する階級の性向なのである。；学術的な慣行を採用してページ番号は四半期ごとに通しでつけられていた。；当時の慣行によると、上り列車が同区間の通行権を保持していた。；一部の埋葬遺体には、アフリカの起源や埋葬慣行に関連する物品が含まれていた。；また集団が広範囲の支持を失った政策や慣行に固執する原因となる。；これは今なお生き続けている民俗慣行でも特にカラフルな例である。；グナイゼナウはプロイセン陸軍を特徴つける重要な慣行を制度化した。；法律で明示的に禁止されていないが、強制給餌の慣行は国内で中止となった。；フィロキセラが存在する場所ならどこでも、この慣行が今日まで続いている。；これは同年に競争制限的取引慣行規正法が改正されたことによる。；さらに、上演中に客席の照明を落とす慣行を作ったのもマーラーである。；あらゆる宗教上の慣行は聖書に基づくべきだと考え、ヴァルド派を開いた。；そもそもこの時代、領土の分割は非常に一般的な慣行だった。；国際の平和と安全のために行われる、国連の慣行によって確立されてきた活動。；前近代の皇位継承に、固定した制度や確立した慣行があったとは見られていない。；西部と中部では、主に中国が一貫して指摘している伝統的な慣行の線と一致している。；貴族院議員が首相に就任しない慣行も憲法上のものとされている。；しかし、この慣行は本来の目的とは逆の方向に働くことがしばしばあるということだ。；それらはいずれも旧来の慣行の基礎の上に新たに取り入れられた輸入財の文化であった。</t>
        </is>
      </c>
      <c r="J1791">
        <f>HYPERLINK("https://www.weblio.jp/content/慣行", "词义详情")</f>
        <v/>
      </c>
      <c r="K1791">
        <f>HYPERLINK("https://yourei.jp/慣行", "查看例句")</f>
        <v/>
      </c>
    </row>
    <row r="1792">
      <c r="A1792" t="inlineStr">
        <is>
          <t>刊行</t>
        </is>
      </c>
      <c r="B1792" t="inlineStr">
        <is>
          <t>成功</t>
        </is>
      </c>
      <c r="C1792" t="inlineStr">
        <is>
          <t>読み方：かんこう
［名］(スル)書籍などを印刷して世に出すこと。出版。</t>
        </is>
      </c>
      <c r="D1792" t="inlineStr">
        <is>
          <t>刊行会；刊行開始；刊行予定；刊行ペース；刊行せら</t>
        </is>
      </c>
      <c r="E1792" t="inlineStr">
        <is>
          <t>発表；出す；出版；発行；リリース</t>
        </is>
      </c>
      <c r="F1792" t="inlineStr">
        <is>
          <t>多数刊行；冊刊行；単行本刊行；毎年刊行；翻訳刊行</t>
        </is>
      </c>
      <c r="H1792" t="n">
        <v>29</v>
      </c>
      <c r="I1792" t="inlineStr">
        <is>
          <t>このような形で江戸で刊行された作品群が主に後期読本と称されている。；教育関係の雑誌などでも知られ、スポーツ関連の専門書も刊行している。；対象となるのは、アメリカ国内で前暦年に刊行された英語の作品である。；刊行間隔の分類では、最も一般的なものは毎日刊行される日刊紙である。；金属及び関連材料に関する専門書や学生向けの教科書類を刊行している。；これは明治36年に刊行されたもので、最初の『神曲』の翻訳でもある。；刊行された書籍は各地で覆刻され版を重ねることが少なくなかった。；以下の著作は海外での翻訳版の刊行が確認されている。；多作の半面で、刊行された自作を読み返すことをしないことで知られた。；現在はコミックパークのオンデマンド出版で全13巻が刊行されている。；これらの経験を基にした著書を複数刊行している。；なかにしの没後、遺稿を整理し出版された『血の歌』が刊行されている。；同受賞を記念して編んだ詩集『わたしは月にはいかないだろう』刊行。；これらに伴って研究者による作家論や、海外の研究書の翻訳なども多く刊行された。；韓国の反日作品は大衆文化開放後も盛んに刊行され、人気を呼んでいる。；クリストファはその後も中つ国創造の背景資料の刊行を意欲的に続けた。；彼は年刊誌のために141の図版を提供したが、刊行前に亡くなった。；当初は年に1度の刊行であったが、第3巻以後は年3回の刊行となっている。；基本的には1冊で刊行されるが、ページ数が多い場合は分冊形式で刊行される。；このほか出版では、漫画・アート雑誌『』の刊行が2018年始まった。；第二版刊行時に約2万項目を削除し、新たに約2万項目を追加した。；新聞は、刊行間隔・配布地域・内容などで様々な種類に分類される。；翻訳されたハバードの講義を刊行したものが次々に生産された。；刊行されている新聞のなかで最も歴史が古い。；また二人は1802年から共同で雑誌『哲学批判雑誌』を刊行した。；また、現在の旅行ガイドブックのような案内書も刊行されている。；日本語以外にも翻訳されて刊行されている。；業界統一の共有財産で出版社は刊行6ヶ月前にタイトルを登録するのがルールである。；日本で一番多くおそらく世界でも一番多く刊行されたSFファンジンとなっている。</t>
        </is>
      </c>
      <c r="J1792">
        <f>HYPERLINK("https://www.weblio.jp/content/刊行", "词义详情")</f>
        <v/>
      </c>
      <c r="K1792">
        <f>HYPERLINK("https://yourei.jp/刊行", "查看例句")</f>
        <v/>
      </c>
    </row>
    <row r="1793">
      <c r="A1793" t="inlineStr">
        <is>
          <t>完工</t>
        </is>
      </c>
      <c r="B1793" t="inlineStr">
        <is>
          <t>成功</t>
        </is>
      </c>
      <c r="C1793" t="inlineStr">
        <is>
          <t>読み方：かんこう
［名］(スル)工事が完了すること。竣工(しゅんこう)。「ダムがようやく—した」</t>
        </is>
      </c>
      <c r="D1793" t="inlineStr">
        <is>
          <t>完工式(4%)；完工後(4%)；完工時期；完工記念式典</t>
        </is>
      </c>
      <c r="E1793" t="inlineStr">
        <is>
          <t>竣工；落成；竣功；竣成</t>
        </is>
      </c>
      <c r="H1793" t="n">
        <v>29</v>
      </c>
      <c r="I1793" t="inlineStr">
        <is>
          <t>第六中跡地に建てられる新校舎の完工まで、第十中の校舎が使用される。；国体終了後の24日に完工披露式が行われ、式典後には公開演技を披露。；今日使われている郡庁舎は1907年9月26日に完工したものである。；これら諸施設は100人ほどの人員が突貫工事で僅か4ヶ月で完工した。；残りの区間を志多組が整備し、同年11月25日に完工式が挙行された。；なお、駅周辺再開発を含めた全体の完工は2011年度の予定である。；第一次拡張は1862年に完工し、次の数十年間も小さな拡張が続けられた。；完工祝賀式は同日10時に挙行され、両市町の首長ら関係者が出席した。；これら一連の工事は、21ヶ月間で無事故のうちに完工したという。；これはボルティモアで製作されてから運ばれ、1848年5月に完工した。；この庁舎は1794年に完工し、現在の庁舎の内側にその一部が残っている。；しかし2008年度中にも完工せず、2010年度へと再延期された。；その完工後間もなく米英戦争のときに部分的にイギリス軍に焼かれた。；原義は工事の名称だが、完工した設備についても同様に呼ばれる。；ジャーンディスさんがその次にいらした時に、盛大な完工祝いをしました。；それはおそらく建設工事の着手か完工を記念するためにそこに彫られたものとみえた。；戦前に複線化されていたのは1942年完工の鳳山以東のみだった。；第二号艦の防禦面の作業は完工したのである。；セントレナードとソロモンズの間の最終工事区間は1988年に完工した。；当初の計画では第1期・第2期の区別はなく、2004年度には完工予定であった。；ただ複々線化の完工時期が未定であるため、電車区の着工も未定である。；この事業は前述の第二次長州征伐参加の準備で中断されるが慶応3年に完工する。；この区画整理事業の完工となる換地処分は1969年4月30日である。；完工したのは1959年、ライトの死後半年後のことであった。；完工を記念し、同年1月に第45期棋聖戦挑戦手合七番勝負第二局が開催された。；同年11月には完工祝賀会が旧北山小学校で開かれ餅つき大会などが開かれた。；現在の駅舎は1969年に完工されたものである。；これによりすでに完工している部分を、第2期と区別する場合に第1期と呼ばれるようになった。；トランブル砦の場合は、砦そのものが完工していなかった。</t>
        </is>
      </c>
      <c r="J1793">
        <f>HYPERLINK("https://www.weblio.jp/content/完工", "词义详情")</f>
        <v/>
      </c>
      <c r="K1793">
        <f>HYPERLINK("https://yourei.jp/完工", "查看例句")</f>
        <v/>
      </c>
    </row>
    <row r="1794">
      <c r="A1794" t="inlineStr">
        <is>
          <t>勧告</t>
        </is>
      </c>
      <c r="B1794" t="inlineStr">
        <is>
          <t>成功</t>
        </is>
      </c>
      <c r="C1794" t="inlineStr">
        <is>
          <t>読み方：かんこく
［名］(スル)ある行動をとるように説きすすめること。「辞職を—する」「人事院—」</t>
        </is>
      </c>
      <c r="D1794" t="inlineStr">
        <is>
          <t>勧告書；勧告通り；勧告案；勧告等；勧告状</t>
        </is>
      </c>
      <c r="E1794" t="inlineStr">
        <is>
          <t>勧め；助言；推奨；忠告；進言</t>
        </is>
      </c>
      <c r="F1794" t="inlineStr">
        <is>
          <t>よう勧告；引退勧告；和解勧告；投降勧告；改善勧告</t>
        </is>
      </c>
      <c r="H1794" t="n">
        <v>29</v>
      </c>
      <c r="I1794" t="inlineStr">
        <is>
          <t>一応、現在では他の界にある名前は命名を控えるように勧告されている。；ある日執行吏が家に来て、この月のうちに家を出ていくように勧告した。；学校内での使用が発見された場合、発見された回数によって勧告がある。；しかし、予算などの問題もあり全ての勧告を実現するまでには至っていない。；これら以外の勧告について、一件を除いてNTSBは対策を受け入れた。；パース部分はW3Cによる勧告に合致することを目標に作成されている。；勧告は人事院の権限のうち、最も重要なものの一つであるとされる。；指導的機能により修正勧告を行っても、会社側が従わない場合がある。；再勧告により協議が再開され最終的に各自治体とも合併に合意した。；しかし天野は大隈の勧告にも従わず、学長を続ける意思を明らかにした。；さらに西園寺は京都で邦彦王に会った際に、直接婚約の辞退を勧告した。；不要な個人の集会を禁止し、公共交通機関の利用を控えるよう勧告した。；国際放射線防護委員会90年勧告を取り入れて規制体系が構成されている。；ただし、下記の加盟国が独自に国内での取り決めや指導・勧告を行っている。；多くの主催者から斡旋を拒否された選手には、引退勧告が出されることもある。；この勧告は、いくつかの理由からアメリカの科学者に批判された。；後に占領軍から民主的なスポーツとして実施するよう勧告された。；引退勧告の時球団からコーチの要請があったが断っている。；例えば、医師への勧告、意見や好みの表明、意見の不一致の表明など。；首相はその勧告に従ったが、これが引き金となりロシア金融危機が発生した。；また日本の特殊権益を確認したうえで九カ国条約の原則を維持することを勧告した。；審査の結果、投資内容の変更又は中止の勧告を実施する場合がある。；一応、現在では他の規約で既に発表された名前は命名を控えるべきと勧告されている。；アジアと太平洋地域の経済の発展、社会の開発のための調査・研究や勧告等を主な任務としている。；ここで言う勧告とは行政機関が他の政府機関に参考意見を提出することである。；金森は秀綱らに対し降伏勧告を行ったが、秀綱は徹底抗戦の意を示した。；この8項の適用を受けた選手は事実上の引退勧告となる。；その後も一本化がなされなかったため、JOCは両団体を非難し解散を勧告した。；この結果JBCは2月5日に引退勧告及びライセンスの停止を行った。</t>
        </is>
      </c>
      <c r="J1794">
        <f>HYPERLINK("https://www.weblio.jp/content/勧告", "词义详情")</f>
        <v/>
      </c>
      <c r="K1794">
        <f>HYPERLINK("https://yourei.jp/勧告", "查看例句")</f>
        <v/>
      </c>
    </row>
    <row r="1795">
      <c r="A1795" t="inlineStr">
        <is>
          <t>韓国語</t>
        </is>
      </c>
      <c r="B1795" t="inlineStr">
        <is>
          <t>成功</t>
        </is>
      </c>
      <c r="C1795" t="inlineStr">
        <is>
          <t>読み方：かんこくご
⇒朝鮮語(ちょうせんご)</t>
        </is>
      </c>
      <c r="D1795" t="inlineStr">
        <is>
          <t>韓国語版(7%)；韓国語バージョン；韓国語読み；韓国語訳；韓国語字幕</t>
        </is>
      </c>
      <c r="G1795" t="inlineStr">
        <is>
          <t>韓国語族；韓国語レベルテスト</t>
        </is>
      </c>
      <c r="H1795" t="n">
        <v>29</v>
      </c>
      <c r="I1795" t="inlineStr">
        <is>
          <t>中国語と韓国語の二つの言語で制作され、自ら作詞作曲に関わっている。；歌詞は一部英語に置き換えられ、オリジナルの韓国語版とは少し異なる。；私は小人数を対象に、韓国人に日本語を、日本人に韓国語を教えている。；これを韓国語に直訳すれば、ホモのような変な表現になってしまいます。；この内、韓国語版のみタイトル画面もオリジナルの物を使用している。；言いかえれば韓国語の語彙の大半が中国語からの輸入によるものなのだ。；現代中国語および韓国語では、日本語の姫とほぼ同じ意味で用いられている。；NaverBotは、当初は韓国語のサイトを中心にアクセスしていた。；彼が韓国語を使うときは、あとで日本語を必ず続けていってくれた。；この発車標は日本語と英語だけでなく、中国語と韓国語にも対応している。；当時韓国語も全くできない状態で家族に相談もせず渡韓したという。；高校生の頃は韓国語はできなかったし、韓国を訪れたこともなかった。；今は太平洋遺骨写真の下の韓国語を日本語に翻訳する作業をしている。；韓国語版、台湾版が出版されており、英語版も配信で購読が可能である。；英語・韓国語の日常会話集が搭載されており一部音声を再生することもできる。；じっと聞いていた年配の刑事らしき男が、最後に韓国語で通訳に言った。；崔はどうすると申に日本語で言い、慌てて韓国語に切り換えて相談した。；ドイツ語・スペイン語・フランス語・韓国語・中国語の履修も可能である。；英語、中国語、韓国語、日本語などの語学書の制作・発行を行っている。；日本人二人の韓国語は、言われなければ外国人だとは分からない。；なお、後述の中国語および 韓国語の表記では「城都」となっている。；韓国語のOfficeソフトをはじめとする各種ソフトを販売・提供している。；ニュースジャパンは韓国語で日本のニュースを流す専門メディアである。；また、シリーズで初めて繁体中国語版・韓国語版がリリースされている。；このシリーズは、韓国においても韓国語に吹き替えた上で放送されていた。；また、6月2日には韓国のファンが翻訳した韓国語字幕にも対応した。；このアルバムには、韓国語の曲をベースにした日本語の曲が2曲含まれています。；韓国語はわずかなアクセントで話し、ロシア語と中国語は流暢に話した。；中国語と韓国語は個人的に興味があり、レッスンを受けて学んでいる。</t>
        </is>
      </c>
      <c r="J1795">
        <f>HYPERLINK("https://www.weblio.jp/content/韓国語", "词义详情")</f>
        <v/>
      </c>
      <c r="K1795">
        <f>HYPERLINK("https://yourei.jp/韓国語", "查看例句")</f>
        <v/>
      </c>
    </row>
    <row r="1796">
      <c r="A1796" t="inlineStr">
        <is>
          <t>看護師</t>
        </is>
      </c>
      <c r="B1796" t="inlineStr">
        <is>
          <t>成功</t>
        </is>
      </c>
      <c r="C1796" t="inlineStr">
        <is>
          <t>読み方：かんごし
傷病者の看護および療養上の世話、医師の診療の補助を職業とする者。国家試験に合格し、厚生労働大臣の免許を受けた者。
[補説]平成14年（2002）3月施行の「保健婦助産婦看護婦法の一部を改正する法律」により、それまで使用されていた「看護婦（女性）」「看護士（男性）」から、男女の区別のない現名称へと変更された。また同法では「准看護婦」から「准看護師」、「保健婦」から「保健師」、「助産婦」から「助産師」への変更も規定されている。</t>
        </is>
      </c>
      <c r="D1796" t="inlineStr">
        <is>
          <t>看護師さん(4%)；看護師たち(2%)；看護師等；看護師長；看護師養成</t>
        </is>
      </c>
      <c r="E1796" t="inlineStr">
        <is>
          <t>看護婦；ナース；看護人；白衣の天使；看護士</t>
        </is>
      </c>
      <c r="F1796" t="inlineStr">
        <is>
          <t>若い看護師；看護師達；看護師学校；総看護師；看護師育成</t>
        </is>
      </c>
      <c r="G1796" t="inlineStr">
        <is>
          <t>看護師免許；看護師等の人材確保の促進に関する法律；看護師国家試験問題漏洩事件；看護師・患者の関係性</t>
        </is>
      </c>
      <c r="H1796" t="n">
        <v>29</v>
      </c>
      <c r="I1796" t="inlineStr">
        <is>
          <t>看護師は、患者さんやご家族が健康に関わることができるようにします。；被収容者の中には医師や看護師などもおり、主に彼らが治療にあたった。；最初は保育士や看護師など人の世話をする仕事をしたいとここに入学した。；ただし、13歳の頃は、将来は看護師か画家になるのが夢だったという。；しかしながら、資格を有する看護師が各国で不足しているとの証拠もある。；看護師等の養成所の経営や有料老人ホームの設置など様々なものがある。；学説によると看護師の帽子の線の数を真似したものだとも言われる。；看護の分野は少しずつであるが、看護師を目指す男子学生が増えてきている。；ニューヨーク・クイーンズ区に病院職員の父と看護師の母の間に生まれる。；その時に入院した病院の看護師をつとめていたのがレイア・バートンだった。；アナウンサーや看護師経験者であるとの設定が多いが、実際のところは不明。；日本人向けの体制も準備されており、日本人医師や看護師も勤務している。；看護師・理容師・美容師の資格を持ったものが中心となり進めている。；患者の意志ではなく看護師の判断によって看護が提供されてしまう。；母親いわく「生まれて3日目で看護師さんを笑顔にさせていた」という。；太田垣は当初会場に現れなかったが、看護師に支えられてやって来る。；スタッフとしては運転員となる事務員に医師や看護師という場合が多い。；看護師が点滴装置の電源をオフにしていたことが原因と見られている。；母が看護師で大学も看護系の大学に入る予定だったが、親を説得し高校卒業後上京。；高校生の看護師体験を受け入れるなどの社会的活動にも積極的である。；中には医師の手によらず、看護師の手で手術されたこともあった。；裕福な家庭で育ったアンナは、看護師になるために学校に通っている。；作家として記事や書籍を出版し、重要な参考資料を提供する看護師もいる。；多くの国では医師と看護師の給与はエンジニアや教師に比べて低い。；た看護師の採用にはフィリピン等の外国人看護師を積極採用している。；カーターが看護師を射殺した直後、窓から銃を持った集団が突入してきた。；彼女はアイルランド人で、彼の治療を担当している看護師であった。；これは偏見を引き起こし、患者を完全に理解している看護師をやめさせる。；病舎内には診察室や処置室はなく、医師や看護師の詰め所も見られない。</t>
        </is>
      </c>
      <c r="J1796">
        <f>HYPERLINK("https://www.weblio.jp/content/看護師", "词义详情")</f>
        <v/>
      </c>
      <c r="K1796">
        <f>HYPERLINK("https://yourei.jp/看護師", "查看例句")</f>
        <v/>
      </c>
    </row>
    <row r="1797">
      <c r="A1797" t="inlineStr">
        <is>
          <t>閑古鳥</t>
        </is>
      </c>
      <c r="B1797" t="inlineStr">
        <is>
          <t>成功</t>
        </is>
      </c>
      <c r="C1797" t="inlineStr">
        <is>
          <t>読み方：かんこどり
カッコウの別名。《季夏》「うき我をさびしがらせよ—／芭蕉」</t>
        </is>
      </c>
      <c r="H1797" t="n">
        <v>29</v>
      </c>
      <c r="I1797" t="inlineStr">
        <is>
          <t>廓の中で閑古鳥が鳴いているのは前からだが、町にも人がいなくなった。；いくつかの店は開いていたけれど、どこも閑古鳥が鳴いている状態だ。；これならどんなうるさ型でも閑古鳥が鳴いているとは言えないだろう。；半年たっても一年たっても閑古鳥が鳴いているのにはまいったね。；日本でのみ、閑古鳥は縁起が悪いため改造され鳩時計となっている。；時々、俺は依頼人との面会に、閑古鳥の鳴くこの店を使わせてもらっていた。；閑古鳥が泣いていた球場が、あの男が現われてから満員になった。；ふるさとの寺の畔の ひばの木の いただきに来て啼きし閑古鳥!；以前はフィリピンパブだったが、閑古鳥が鳴いてつぶれたのだそうだ。；レストランは次々につぶれ、鏡を扱う店にも閑古鳥が鳴きだした。；もともと閑古鳥の啼いているホテルのロビーなのに、妙に目立つ沈黙だった。；尚かつ世にいれられず、受難四年、閑古鳥がないたというのが愉快である。；私が住んでいる新宿二丁目の飲み屋も、おしなべて閑古鳥が鳴いている。；当時、私も何度か、会場の前を通りかかりましたが、いつも閑古鳥が鳴いていました。；閑古鳥が五十羽くらい大声で鳴いているという表現がぴったりで、俺を含めても片手で数えられるほどしか人がいない。；それがこのところは全くの閑古鳥だ。；昨日の朝はじめて閑古鳥の声を聞く。；ここでは、立地条件の悪さとオーナーの容姿の悪さが原因で、閑古鳥が鳴いていた。；高田のいう通り、さっきまで閑古鳥が鳴いていた切符売場の前に長い列が出来ているのだ。；さびれたさまを表す「閑古鳥が鳴く」の閑古鳥とはカッコウのことである。；カッコウの別名が閑古鳥であるため、縁起が悪いと変えられたという説がある。；夏場なら生徒たちで賑わう屋上も、冬の寒さの前には閑古鳥を鳴かさざるを得ない。；大部屋暮らしの二人がなぜそんな部屋にいるのかと言えば、やはり昨夜もまた閑古鳥だった豆がこの部屋の掃除を言いつけられたからであった。；雪のせいで、店は閑古鳥がないている。；ゴルフ場はまだましだけど、リゾートホテルは閑古鳥が鳴いてるらしいですよ。；どの道にも人影はあまりなく、ペンションのような建物のレストランやコーヒーショップも閑古鳥が鳴いていた。；時鳥だとか、閑古鳥だとか、それからまだいろいろあります。；最初は、閑古鳥が鳴いていたが、女優有馬稲子のコラムによって有名になる。；ふるさとを出でて五年、病をえて、 かの閑古鳥を夢にきけるかな。</t>
        </is>
      </c>
      <c r="J1797">
        <f>HYPERLINK("https://www.weblio.jp/content/閑古鳥", "词义详情")</f>
        <v/>
      </c>
      <c r="K1797">
        <f>HYPERLINK("https://yourei.jp/閑古鳥", "查看例句")</f>
        <v/>
      </c>
    </row>
    <row r="1798">
      <c r="A1798" t="inlineStr">
        <is>
          <t>看護婦</t>
        </is>
      </c>
      <c r="B1798" t="inlineStr">
        <is>
          <t>成功</t>
        </is>
      </c>
      <c r="C1798" t="inlineStr">
        <is>
          <t>読み方：かんごふ
女性看護師の俗称。正式名称は男女とも看護師。→看護師</t>
        </is>
      </c>
      <c r="D1798" t="inlineStr">
        <is>
          <t>看護婦さん(7%)；看護婦たち(5%)；看護婦養成所；看護婦達；看護婦室</t>
        </is>
      </c>
      <c r="E1798" t="inlineStr">
        <is>
          <t>ナース；看護師；看護人；白衣の天使；看護士</t>
        </is>
      </c>
      <c r="F1798" t="inlineStr">
        <is>
          <t>スミス看護婦；中年の看護婦；派出看護婦；大村看護婦；チャペル看護婦</t>
        </is>
      </c>
      <c r="H1798" t="n">
        <v>29</v>
      </c>
      <c r="I1798" t="inlineStr">
        <is>
          <t>昨夜看護婦と喧嘩をした事などは殆ど忘れてしまつてゐるやうであつた。；ここでは、看護婦はいけないとあってすべて同性の看護夫でやっている。；彼女は眠っていたが、ゾルグは看護婦からもう家に帰るように言われる。；看護婦さんは自分の手にかけた患者が死ぬとお悔みに行かねばならぬ。；ある時看護婦が町の薬種屋から少しばかりその薬を買って来てくれた。；男は懐疑的だったキンダーマンに事実を認識させるために看護婦を殺す。；その時、彼は看護婦でも急に部屋の扉を開けて入って来るのを気遣った。；その時室内には患者の外には一人の看護婦がいるばかりであった。；このほかに夜となく昼となく二時間おきに看護婦が病室を見廻りに来る。；けれども、毎日一度は看護婦か母親によって起き上ることをさせられた。；私はもはやこれまでと、決然となって、看護婦主任を呼ぶ気にもなった。；目の前にゐる看護婦の白服が三十間も遠くにあるものゝやうに思はれた。；私は早く夜が明けて、看護婦が入つて来るのをどんなに待ち焦れたらう。；会員の大部分は男性であったが、看護婦会長を務める女性なども加入している。；それは例によつてタオルの寝巻をだらしなく着た看護婦の中川であつた。；私が貴女に看護婦になれと勧めたのだから全く関係が無いと云はれますまい。；政府は職員を徐々に増加させ、特に看護の仕事は看護婦にさせるように努力した。；昼は缶詰工場で働きながら、地元の病院で夜勤の看護婦としても働いた。；病院に入ってこうしてお医者や看護婦さんにお世話になっていて、何が不足?；で、その日は病院に電話をかけて、年配の看護婦みたいなのがやって来た。；看護婦は勿論医者のほかには、誰もいないつもりに違いなかった。；そのうちに看護婦が二人がゝりで一つの大きい金盥を持ち込むのが見えた。；看護婦も勲五等以上でなくてはいけないので、五位以上の女官が看護した。；看護婦の手を経て、歩く事の出来ない二人はなつかしい話しをした。；雨や風の日に強く感じる不安を、彼女はそんなふうに看護婦に説明している。；最初の1年間は、夫妻は24時間勤務の看護婦を雇用することができた。；入って来たのは、元看護婦の老婆と、彼女に手をとられた幼い子供であった。；忠雄が結核で仙台に入院後、妹の勧めで看護婦と産婆の資格取得を決意。；看護婦たちはあわてて奥へかけこむと、すぐたんかをかついで出て来た。</t>
        </is>
      </c>
      <c r="J1798">
        <f>HYPERLINK("https://www.weblio.jp/content/看護婦", "词义详情")</f>
        <v/>
      </c>
      <c r="K1798">
        <f>HYPERLINK("https://yourei.jp/看護婦", "查看例句")</f>
        <v/>
      </c>
    </row>
    <row r="1799">
      <c r="A1799" t="inlineStr">
        <is>
          <t>冠婚葬祭</t>
        </is>
      </c>
      <c r="B1799" t="inlineStr">
        <is>
          <t>成功</t>
        </is>
      </c>
      <c r="C1799" t="inlineStr">
        <is>
          <t>読み方：かんこんそうさい
日本古来の四大礼式、元服・婚礼・葬式・祖先の祭礼のこと。また、一般に、慶弔の儀式。</t>
        </is>
      </c>
      <c r="D1799" t="inlineStr">
        <is>
          <t>冠婚葬祭用(2%)；冠婚葬祭事業；冠婚葬祭等；冠婚葬祭業；冠婚葬祭会社</t>
        </is>
      </c>
      <c r="G1799" t="inlineStr">
        <is>
          <t>冠婚葬祭入門；冠婚葬祭殺人事件</t>
        </is>
      </c>
      <c r="H1799" t="n">
        <v>29</v>
      </c>
      <c r="I1799" t="inlineStr">
        <is>
          <t>冠婚葬祭にも対応できるよう帯色を青とグレーに変えた車両も在籍する。；大正時代以降は冠婚葬祭程度しか紋章が一般の前に留まる事はなかった。；現代でも、冠婚葬祭の日程を決める時には六曜を意識して決める人がいる。；学校・企業・団体での行事や冠婚葬祭など多人数で移動する場合に利用される。；冠婚葬祭などに向けたオリジナルパッケージ商品も販売していた。；現在では、NTTグループの電報のように冠婚葬祭などに用いられている。；特別に出世をする人と初めから見ていますから、冠婚葬祭博士の息をかけたくないんです。；冠婚葬祭の規定は、王府の役人たちだけではなく一般の百姓たちにまで及んだ。；一番手前の扉のわきに、ちょうど冠婚葬祭の会場のような案内看板が置かれていたからだ。；会約では冠婚葬祭で多少の寄贈は良いが、答える慣習は廃止するべきとされていた。；昔はどんな村にでも組合制度があつて、冠婚葬祭等を協同でやつたものであります。；そのときの最上級生のみ、冠婚葬祭のときにも歌うことが許される。；内容は、グルメ・温泉・冠婚葬祭・旅行などの生活情報の紹介とニュースの解説が中心だった。；全行員の身に何かあれば、冠婚葬祭も含めて総務部の担当になる。；わが家の冠婚葬祭、ことに葬祭には正夫夫婦はなくてはならぬ人であった。；永年の田舎暮しの中では冠婚葬祭を義理と形式でしか考えない几帳面さなのだ。；冠婚葬祭の際や、大切な客を迎える際などに行われる。；義理でいやいやながら、郷里の冠婚葬祭に出席しなくてもよいからである。；儒家も政治思想とされるものの、同時に冠婚葬祭の儀礼の専門家であった。；神道では重要な地位を占めており、冠婚葬祭等の祭礼に欠かせない。；株式会社平安は、神戸市中央区に本社を置く冠婚葬祭サービスを行う企業。；冠婚葬祭には一切出ないといってあるのに。；現在ではおもに冠婚葬祭において、熨斗袋を包む用途などに使用される。；非常に重要な相手への挨拶や、重要な依頼や謝罪をするとき、また冠婚葬祭の場などで使用するとされる。；祭りや冠婚葬祭などの式典、商談や株主総会などの終わりに行われる。；この地域の旧家では冠婚葬祭には必ず出たという。；冠婚葬祭を含む正式のときにしか表門を開けない古式の家が、千紗子の故郷にもある。；現在はイベントや冠婚葬祭の司会の仕事をしている。；冠婚葬祭のおりには、おまえの場所はつくっておく。</t>
        </is>
      </c>
      <c r="J1799">
        <f>HYPERLINK("https://www.weblio.jp/content/冠婚葬祭", "词义详情")</f>
        <v/>
      </c>
      <c r="K1799">
        <f>HYPERLINK("https://yourei.jp/冠婚葬祭", "查看例句")</f>
        <v/>
      </c>
    </row>
    <row r="1800">
      <c r="A1800" t="inlineStr">
        <is>
          <t>関西</t>
        </is>
      </c>
      <c r="B1800" t="inlineStr">
        <is>
          <t>成功</t>
        </is>
      </c>
      <c r="C1800" t="inlineStr">
        <is>
          <t>読み方：かんさい
《「関東」に対して関所の西の国の意》
京都・大阪・神戸を中心とする一帯。京阪神地方。
奈良時代、鈴鹿・不破・愛発(あらち)の三関以西の地。のちに、逢坂(おうさか)の関より西の地域。鎌倉時代以後、もとの三関以西の諸国。近江(おうみ)以西の畿内と若狭以西の山陰および山陽・南海・西海の五道の総称。</t>
        </is>
      </c>
      <c r="D1800" t="inlineStr">
        <is>
          <t>関西方面(3%)；関西棋院(2%)；関西地方；関西本線；関西学生</t>
        </is>
      </c>
      <c r="F1800" t="inlineStr">
        <is>
          <t>関西財界；関西在住；関西版；関西以外；関西六大学野球リーグ</t>
        </is>
      </c>
      <c r="G1800" t="inlineStr">
        <is>
          <t>関西大学；関西学院大学；関西電力；関西弁；関西国際空港</t>
        </is>
      </c>
      <c r="H1800" t="n">
        <v>29</v>
      </c>
      <c r="I1800" t="inlineStr">
        <is>
          <t>ただし岡谷市では関西風に近く、諏訪市では関東風に近いとされている。；デビュー当初は関東を中心にしていたが、現在は関西を中心に活動している。；NSC在学中に関西の賞を受賞したのは過去にキングコングのみである。；一方、関西では高級魚として扱われ専門の遊漁船も出るほど人気がある。；最近は関東や関西でも生菓子の一種類として使われるようになっている。；また、関西の試合も原則TBSのアナウンサーが実況するようになった。；この解散はあまりに唐突で、関西のスポーツ新聞には大きく報道された。；なお、関東・関西の同地区同士が対戦しないなどの考慮は特に行なわれていない。；この時橋本が敗れていれば、関西棋院は崩壊していたと見る者も多い。；帝国人造絹糸等、関西財界が中心となって設立された代表的企業の一社。；これは主に江戸を含む関東地方の風習で当時の関西には無い風習であった。；また、関西大手私鉄の鉄道系旅行業者では唯一の直営での運営であった。；そもそも、関西と関東でだしに使われている素材が異なっている。；関西文化学術研究都市へのアクセス改善のため高速化と各種改良工事が行われた。；横溝との継投で関西高の吉岡史郎に投げ勝ち優勝、本大会に進んでいる。；それに伴い関東・関西の同時ネットが解消となりローカル編成となる。；関西からの航路が開かれるなど、道後温泉が発展していった時期であった。；若い頃より関西のテレビ・ラジオの番組で共演が多かった。；逆に関西主場の重賞競走は、東海ラジオでも放送される場合があった。；また関西風すき焼きと東京風牛鍋のアイノコ流が流行ったと書いている。；関西以外の地方や、海外のリスナーからも多くのメッセージが寄せられていた。；観光の面では、関東地方からだけでなく関西地方からの観光客も多い。；この商標が一般化し、関西を中心とする西日本で用いられている呼称である。；たとえば、かつお節ひとつをとりあげても、関西と関東では違っている。；底曳漁業の導入は関西からその技術を持った魚民が移住したとも考えられている。；佐々木が関西に拠点を移す以前は、解説者のみABCから派遣していた。；これを機に、地元の関西を中心に注目されるようになった。；また関西では珍しいスロープカーで入口まで往復できる鍾乳洞がある。；関西の弱小チームであったヤンマーを釜本の強い個性で牽引していった。</t>
        </is>
      </c>
      <c r="J1800">
        <f>HYPERLINK("https://www.weblio.jp/content/関西", "词义详情")</f>
        <v/>
      </c>
      <c r="K1800">
        <f>HYPERLINK("https://yourei.jp/関西", "查看例句")</f>
        <v/>
      </c>
    </row>
    <row r="1801">
      <c r="A1801" t="inlineStr">
        <is>
          <t>観察</t>
        </is>
      </c>
      <c r="B1801" t="inlineStr">
        <is>
          <t>成功</t>
        </is>
      </c>
      <c r="C1801" t="inlineStr">
        <is>
          <t>読み方：かんさつ
［名］(スル)
１物事の状態や変化を客観的に注意深く見ること。「動物の生態を—する」「—力」
２《「かんざつ」とも》仏語。智慧によって対象を正しく見極めること。</t>
        </is>
      </c>
      <c r="D1801" t="inlineStr">
        <is>
          <t>観察する(14%)；観察される(5%)；観察者(3%)；観察できる(3%)；観察力</t>
        </is>
      </c>
      <c r="E1801" t="inlineStr">
        <is>
          <t>眺め；見ること；観測；監視；マーク</t>
        </is>
      </c>
      <c r="F1801" t="inlineStr">
        <is>
          <t>注意深く観察；鋭い観察；観察可能；顕微鏡観察；直接観察</t>
        </is>
      </c>
      <c r="G1801" t="inlineStr">
        <is>
          <t>観察者効果；観察者バイアス；観察ポイント；観察学習</t>
        </is>
      </c>
      <c r="H1801" t="n">
        <v>29</v>
      </c>
      <c r="I1801" t="inlineStr">
        <is>
          <t>幼い頃から動物の収集家であっただけでなく、熱心な観察者でもあった。；以下に列挙するが、これらすべてが観察されるとは限らないことに注意。；また時にはもっとも観察に困難な場所での微妙な実験をすることもある。；これは形を維持したまま固化し、光を通すので形状の観察も容易である。；同様の現象は諏訪湖でも観察されており、神が通った跡と説明されている。；ただし、彼らがこれを使って何か意味のある観察をしたという記録はない。；この観察は一分子細胞生物学の基礎となりうる歴史的なものであった。；春・秋の渡りの季節には長野県などの内陸部を移動する個体が観察される。；渡りの時期には小さな群れを作り、市街地の公園で観察されることもある。；そして廃墟となった霧島の四番砲塔だけが発砲していたと観察している。；この内、日本国内ではハクセキレイのほか下記の亜種が観察されている。；まず文献を調査し、その後交霊会で観察した現象をテストしようと試みた。；発生過程の研究は、顕微鏡観察が行われるようになってから発達した。；大戦中のドイツを民間人の立場から観察した著作は貴重な記録である。；またこの絵にみられる実験や観察は医学に大きな発展をもたらした。；そのためしかし実際に観察された現象から導き出された理論である。；しかし30頭以上からなる非常に大きなプライドも観察されたことがある。；干渉波ではなく運動単位が観察しやすい程度の力を入れた状態で行う。；地球の誕生から成長に至るまでの姿を観察するためのセット。；仮説とは、推測ではあるが、観察した現象や事実を説明できるものである。；これらの近代的な検査が存在しなかった場合は身体診察で経過観察を行っていた。；動植物の長く継続的な観察から至る所で続く生存のための努力を理解できた。；しかし、いずれの手法もその基本は現象などの正確な観察である。；北海道では幼鳥が観察されたことがあり、繁殖している可能性もある。；ただし彼が実際に観察したものは、内容物を失ったあとの細胞壁であった。；そのほかにも音声言語との差異が明瞭である点がいくつか観察されている。；全国で普通に見られ、市街地の河川や公園の池などでも観察される。；投手の癖を観察して球種を予測する事を途中からしなくなった。；以前は群れが観察されたこともあったが、近年は少数の渡来がほとんどである。</t>
        </is>
      </c>
      <c r="J1801">
        <f>HYPERLINK("https://www.weblio.jp/content/観察", "词义详情")</f>
        <v/>
      </c>
      <c r="K1801">
        <f>HYPERLINK("https://yourei.jp/観察", "查看例句")</f>
        <v/>
      </c>
    </row>
    <row r="1802">
      <c r="A1802" t="inlineStr">
        <is>
          <t>換算</t>
        </is>
      </c>
      <c r="B1802" t="inlineStr">
        <is>
          <t>成功</t>
        </is>
      </c>
      <c r="C1802" t="inlineStr">
        <is>
          <t>読み方：かんさん
［名］(スル)《「かんざん」とも》ある数量を他の単位に換えて計算しなおすこと。「尺をメートルに—する」「—率」</t>
        </is>
      </c>
      <c r="D1802" t="inlineStr">
        <is>
          <t>換算する(22%)；換算すれ(4%)；換算係数；換算表；換算率</t>
        </is>
      </c>
      <c r="E1802" t="inlineStr">
        <is>
          <t>転換；変換；転向；改宗；帰依</t>
        </is>
      </c>
      <c r="F1802" t="inlineStr">
        <is>
          <t>原稿用紙換算；ワム換算；単位換算；西暦換算；ポイント換算</t>
        </is>
      </c>
      <c r="G1802" t="inlineStr">
        <is>
          <t>換算プランク定数；換算両数；換算キロ</t>
        </is>
      </c>
      <c r="H1802" t="n">
        <v>29</v>
      </c>
      <c r="I1802" t="inlineStr">
        <is>
          <t>身分とセットで考える必要もあるため、現在への換算は難しいのである。；全部動かした場合は一日あたりに換算していったい幾価かかるのですか?；これは干支に換算する際の計算もしくは記載ミスであるとみられている。；以下に挙げるの計算式は簡略したもので、時間額に換算するものである。；評価は、見る人の便利のため、星の数に換算したものも公開されている。；もしこの換算率に変化がなければ世界はどんなに幸福であろうか。；ここでは町のためにならない仕事はお金に換算されないんです。；それを利用することで、他の暦法への換算を容易に行うことができる。；本形式の新造価格はこの当時の価格に換算して1億円近いと言われる。；台風の進行速度五〇キロは秒速に換算すると一四メートルに相当する。；選手の成績はのような国際基準に沿った得点換算法に従って得点化される。；この当時の2万ポンドは現在の価値に換算すると、約4億円と言われる。；このようにひとつの単位での表記から別のひとつの単位での表記への換算は単純である。；数学者たちは度量衡の換算表の発見に勇気付けられている様子だった。；私のは、特殊な専門図書ですから、金には換算できないものがあるのです。；知識の換算率はいつもその国民の最高の部分を持ち合わして表を造る。；これによる損失は現在の価値に換算して60億円にも上るものであった。；これはたとえば、長さをメートルからフィートに換算することも含まれる。；これらの日心座標はたとえば地心座標などの他の視点に容易に換算できる。；以下では調整以前の指数も基準値125に換算した上で表示している。；大学の学生には頭のいいのがいて、換算表を売って、ずいぶん稼いでいるわ。；地図上の距離から実際の距離への換算は、以下の計算式による。；しかし、最終的には石高に換算しなおし、他の地方との統一が図られた。；昭和年間の価値に換算したら、何百萬両になろうとも知れなかった。；標準温度での測定値へと修正するのに換算表が使われる。；下の表に、ペースとパッススやメートル・フィートなどとの換算を示す。；下の表に、パッススとペースやメートル・フィートなどとの換算を示す。；この衝突の力は熱に換算すると、同じ重さの石炭の数千倍に達すると計算した。；そうして、酒井の背後にあるすべてのものを改めて数字に換算した。</t>
        </is>
      </c>
      <c r="J1802">
        <f>HYPERLINK("https://www.weblio.jp/content/換算", "词义详情")</f>
        <v/>
      </c>
      <c r="K1802">
        <f>HYPERLINK("https://yourei.jp/換算", "查看例句")</f>
        <v/>
      </c>
    </row>
    <row r="1803">
      <c r="A1803" t="inlineStr">
        <is>
          <t>監視</t>
        </is>
      </c>
      <c r="B1803" t="inlineStr">
        <is>
          <t>成功</t>
        </is>
      </c>
      <c r="C1803" t="inlineStr">
        <is>
          <t>読み方：かんし
［名］(スル)
１警戒して見張ること。また、その人。「—の目が光る」「火山活動を—する」
２旧刑法で、出獄者の再犯防止のために採用されていた付加刑。一定期間は住居移転の自由を禁じるなどの措置を内容とする。</t>
        </is>
      </c>
      <c r="D1803" t="inlineStr">
        <is>
          <t>監視する(11%)；監視下(4%)；監視役(2%)；監視人(2%)；監視所</t>
        </is>
      </c>
      <c r="E1803" t="inlineStr">
        <is>
          <t>見る；備え；観察；番；守る</t>
        </is>
      </c>
      <c r="F1803" t="inlineStr">
        <is>
          <t>監視体制；監視員；厳しい監視；監視任務；厳しく監視</t>
        </is>
      </c>
      <c r="G1803" t="inlineStr">
        <is>
          <t>監視員；監視塔；監視対象；監視団；監視委員会</t>
        </is>
      </c>
      <c r="H1803" t="n">
        <v>29</v>
      </c>
      <c r="I1803" t="inlineStr">
        <is>
          <t>この選挙には日本のNGO、市民平和基金も選挙監視員を派遣している。；この監視は通常のネットワークとは別の経路で行われることが多い。；比叡山延暦寺の監視と琵琶湖の制海権の獲得が目的であったと思われる。；GREなどで転送された通信を管理されたハニーポットで集め監視する。；市政の日々の業務は議会に任命された市政代行官により監視されている。；しかし実際の作業では軸力を直接監視することは困難である。；このため愛媛県警は近年では現場の監視のため機動隊を投入している。；第二次世界大戦中は営業を中断し、飛行塔は軍の防空監視塔に使われた。；転じて交通や通信を監視 / 管理する人及び装置のことを指す。；外部太陽系三戦士の1人で、遠い宇宙を監視しながら地球を見守る存在。；ネットワークの状態を追跡し維持する集中監視機能や性能測定機能は存在しない。；治療中には白血病化や骨髄線維化に注意し監視することも重要である。；興福寺・東大寺など南都の大寺院の監視とその門前町の支配のため設置。；また1969年には踏切集中監視制御システムの中央装置が設けられる。；この事故は空港周辺の気象監視システムの改善努力をもたらした。；しかし、見張りの兵が辺りを厳しく監視しているため通ることができない。；マインツには革命的陰謀や煽動的結社運動を監視する委員会が置かれた。；同協定に基づく停戦を監視するため国際連合ルワンダ支援団が展開した。；しかし、彼らの動向はサーモグラフィーを使う何者かから監視されていた。；そのため理性を持つ者に監視されなければならないと言った。；また、幕府側は、朝廷方の動きを常に監視し、これを制御する必要が出てきた。；プロセッサは動作を監視し、規則に違反したプログラムを停止させる。；実際に監視付といっても、外出禁止の程度で行動は自由であった。；また、駅員がホームに終日待機し乗換放送やホームの監視を行っている。；ドイツ兵は親睦だけでなく監視も兼ねて帝国総領事館を訪問したものと思われる。；また監視に集中することから、車掌と駅員の間での敬礼は行われない。；幕末には外国船監視のための台場が置かれ、長州藩が防衛にあたった。；中心部の旅館に比べると警察の監視が比較的緩やかだったためだといわれる。；このため、多くの東ドイツ国民は当局の監視から隠れて西側の放送を見ていた。</t>
        </is>
      </c>
      <c r="J1803">
        <f>HYPERLINK("https://www.weblio.jp/content/監視", "词义详情")</f>
        <v/>
      </c>
      <c r="K1803">
        <f>HYPERLINK("https://yourei.jp/監視", "查看例句")</f>
        <v/>
      </c>
    </row>
    <row r="1804">
      <c r="A1804" t="inlineStr">
        <is>
          <t>感じ</t>
        </is>
      </c>
      <c r="B1804" t="inlineStr">
        <is>
          <t>成功</t>
        </is>
      </c>
      <c r="C1804" t="inlineStr">
        <is>
          <t>読み方：かんじ
１感覚器官に受ける刺激によって生じる反応。感覚。「指先の—がなくなる」「舌をさすような—がある」
２物事を見聞したり、人に接したりしたときに受ける気持ち。印象や感想。「—のいい人」「春らしい—の日ざし」
３刺激に対する反応。「—が鈍い」
４その物事に特有の雰囲気。「母親役らしい—が出る」「ピッチングの—をつかむ」</t>
        </is>
      </c>
      <c r="D1804" t="inlineStr">
        <is>
          <t>感じられる(4%)；感じさせる(2%)；感じさせない；感じ始め；感じはじめ</t>
        </is>
      </c>
      <c r="E1804" t="inlineStr">
        <is>
          <t>気；思い；様子；気持；気持ち</t>
        </is>
      </c>
      <c r="F1804" t="inlineStr">
        <is>
          <t>強く感じ；みたいな感じ；こんな感じ；長く感じ；はっきりと感じ</t>
        </is>
      </c>
      <c r="G1804" t="inlineStr">
        <is>
          <t>感じ取る；感じとる；感じ取り；感じ取れ；感じ取れる</t>
        </is>
      </c>
      <c r="H1804" t="n">
        <v>29</v>
      </c>
      <c r="I1804" t="inlineStr">
        <is>
          <t>これらの提案に従う義務があるなどと感じたりするべきではありません。；現代の若者達は、意識の奥でみんなババを引いてしまったと感じている。；彼女に勝ちの味を教えてあげられなかったことには悔しさも感じています。；日本人が観ても気恥ずかしさを感じないことを意図した作品となった。；この事実は、一見すると自然選択説の予想と矛盾するように感じられる。；外から見れば、赤い湯飲みの中に丸い種が入っているような感じである。；ヘーゲルは、精神の統一性がそれ自身を感じているのが愛であるとする。；しかし、多くの国民は民政化後かえって汚職や経済が悪化したと感じた。；なりすはそんな彼に歩と同じものを感じ、男を歩のもとに訪ねさせる。；これらの提案に、従う義務があるなどと感じたりするべきではありません。；サンプル本を読んだ岩上は本作に魅力を感じ映像化したいと考えはじめた。；感情の一覧は、様々なことに感じて抱く気持ちを一覧にしたものである。；反対に自分の感じた感情が弱い程覚えていないのが短期記憶である。；プリニウスは爆発時に地震を感じ、地面は非常に揺れたと述べている。；目で見たり、触れて感じたりすることのできないことを意味する。；どうしてもビブラートが入らず硬い感じになる場合は練習する場合がある。；自身の家庭を恵まれたものとは感じていなかった事を告白している。；そのため、独立した複数の色を合成する事で人間に別の色を感じさせる事ができる。；とは違った女性らしさを感じさせる楽曲で新たな人気を獲得した。；スタッフはコナミよりもセガの下で働くほうが自由度が高いと感じていた。；漫画とアニメとの違いを肌で感じ、この経験をきっかけにアニメ制作に興味を持つ。；この反射された光のスペクトルが人の目に入ると色として感じられる。；明治世代の人の苦労を伝えるのは、自分達の世代の義務だと感じた。；人質を取りながら何も要求してこない犯人を不気味に感じたためだったという。；こうした場合、感じている時間の速さに相対的な違いがあると言える。；自分の看病で2度も倒れた父に賢治は後までも負い目を感じていたという。；川端は伊藤の死の数日前から自身の体にも違和を感じていたという。；フランス語の表記は初学者には複雑に感じられるが、規則性は比較的高い。；京都での布教に限界を感じて鎌倉に下向し、幕府の庇護を得ようとした。</t>
        </is>
      </c>
      <c r="J1804">
        <f>HYPERLINK("https://www.weblio.jp/content/感じ", "词义详情")</f>
        <v/>
      </c>
      <c r="K1804">
        <f>HYPERLINK("https://yourei.jp/感じ", "查看例句")</f>
        <v/>
      </c>
    </row>
    <row r="1805">
      <c r="A1805" t="inlineStr">
        <is>
          <t>幹事</t>
        </is>
      </c>
      <c r="B1805" t="inlineStr">
        <is>
          <t>成功</t>
        </is>
      </c>
      <c r="C1805" t="inlineStr">
        <is>
          <t>読み方：かんじ
１会などの世話役。「忘年会の—」
２業務を中心となって担当する役。「政党の—長」</t>
        </is>
      </c>
      <c r="D1805" t="inlineStr">
        <is>
          <t>幹事会(4%)；幹事長(4%)；幹事役(3%)；幹事社；幹事さん</t>
        </is>
      </c>
      <c r="E1805" t="inlineStr">
        <is>
          <t>机；秘書；書記；事務局長；参事</t>
        </is>
      </c>
      <c r="F1805" t="inlineStr">
        <is>
          <t>院内幹事；会幹事；支部幹事；総幹事；中央幹事</t>
        </is>
      </c>
      <c r="G1805" t="inlineStr">
        <is>
          <t>幹事長代理；幹事局；幹事長代行；幹事長特別補佐</t>
        </is>
      </c>
      <c r="H1805" t="n">
        <v>29</v>
      </c>
      <c r="I1805" t="inlineStr">
        <is>
          <t>企画委員会の幹事は国内の都市にある活動リーダーたちに議事録を送った。；ただし湯と林は、民主党結成時点ですでに共和党の幹事もつとめていた。；この祭りは、開催される幹事村が輪番制で毎年変わることからと呼ばれる。；年に一度、会員総会が開かれ、幹事会のメンバーである幹事を選出する。；複数の企業が合同で事業を行うとき、代表となる社を幹事と称する。；連邦議会に初めて議席を獲得した緑の党の連邦議会幹事会の一員となる。；ただし公明党本部は翌7月21日の中央幹事会で、自主投票を決定した。；後に少数党上院内幹事ドナルド・ニックルズのスタッフ弁護士を務める。；初代常議員会会長は千葉勇五郎が就任し、総幹事は宮崎小八郎が就任した。；これを幹事銀行、管理銀行などと呼び、それぞれ管理支店が設定されている。；無理に食べさせられた幹事が具合が悪くなってきた。；外債発行の幹事・窓口となる銀行が、資金を必要とする企業の将来を支配した。；その年の秋に結成された滋賀県立商業学校学生YMCAの初代幹事となった。；晩年には日本学士院の会員に選任され、第一部の部長や幹事を務めた。；下記はいずれもチバテレで放送の番組であり当番組と関連するが、制作幹事が異なる。；同年に日本科学史学会が発足し、その幹事の一員として会務を処理する。；党内では幹事、婦人局生活部長、全国組織委員会婦人対策部長を歴任した。；また、文藝春秋がアニメ製作の幹事会社になるのは今作が初となる。；事務局長は、理事長を推薦した団体と同じ団体から推薦された幹事が務めている。；その後、統一党に加入して幹事となり、貴州省での支部組織に奔走した。；事務局は、各協賛者から推薦された幹事と主事その他の職員から構成される。；帰国後、弁護士を開業するかたわら、日本大学幹事兼学生監を務めた。；明治29年日本絵画協会が発足するとその評議員兼幹事に指定される。；その内容は意識科学を中心とし、会議の幹事が保江であった。；ちなみに、この臨時総会で11名の副会長、29名の幹事も承認された。；陳平が幹事役を務めて名を上げたという宴会もまたこのような意味を持ったものであった。；その後も解散に至るまで両社が総合幹事を務めていた。；また全米ティーパーティー連盟など各団体との幹事会を開く連携のための組織もいくつかあった。；日清戦役後各党の有志と謀り同志会である新政社を組織し幹事になった。</t>
        </is>
      </c>
      <c r="J1805">
        <f>HYPERLINK("https://www.weblio.jp/content/幹事", "词义详情")</f>
        <v/>
      </c>
      <c r="K1805">
        <f>HYPERLINK("https://yourei.jp/幹事", "查看例句")</f>
        <v/>
      </c>
    </row>
    <row r="1806">
      <c r="A1806" t="inlineStr">
        <is>
          <t>漢字</t>
        </is>
      </c>
      <c r="B1806" t="inlineStr">
        <is>
          <t>成功</t>
        </is>
      </c>
      <c r="C1806" t="inlineStr">
        <is>
          <t>読み方：かんじ
中国語を表すため、漢民族の間に発生・発達した表意文字。現在は中国・日本・韓国などで使われる。起源は紀元前十数世紀にさかのぼり、成り立ちからみて、象形・指事・形声・会意・仮借(かしゃ)などの種類があるとされる。周辺諸国に伝わり、さまざまな影響を及ぼした。日本では、これから片仮名・平仮名などの音節文字が生み出され、「峠」「働」などの和製漢字（国字）も作られた。真名(まな)。本字。</t>
        </is>
      </c>
      <c r="D1806" t="inlineStr">
        <is>
          <t>漢字表記；漢字名；漢字集合；漢字表現；漢字表示</t>
        </is>
      </c>
      <c r="F1806" t="inlineStr">
        <is>
          <t>統合漢字；難しい漢字；意味する漢字；旧漢字；すべて漢字</t>
        </is>
      </c>
      <c r="G1806" t="inlineStr">
        <is>
          <t>漢字文化；漢字音；漢字検定；漢字語；漢字能力検定</t>
        </is>
      </c>
      <c r="H1806" t="n">
        <v>29</v>
      </c>
      <c r="I1806" t="inlineStr">
        <is>
          <t>周が混乱の時代を迎えると、漢字は各地で独自の発展をすることになる。；これらは漢字で日本語を表記できるようになったためにできたものである。；漢字の場合は、特に置き換えを行わずに分解するだけでいいこともある。；これは第31回漢字小委員会以降で配付された資料に基づくものである。；漢字がよく使われるようになったのは幕末から明治時代にかけてである。；複数の漢字が一つの語を形成するものを特に熟語と称する場合もある。；また、ひらがなは漢字の草書体を元にしたもので主に女性が用い始めた。；ペンネームは漢字だったが、雑誌掲載時にひらがなにされていたという。；しかも漢字の音も南北朝までの古い音は、唐代とは大きく異なっていた。；漢字4文字で構成される言葉は、ほぼ無数と言えるほど膨大に存在する。；韓国では日本や中華人民共和国と異なり漢字の簡略化を行っていない。；また同じ漢字で時と読む言葉は、昔の日本の時法における単位である。；また、漢字で書かれた氏名から正しい読み方が特定できない場合もある。；中国語対応版では拼音に対応するアルファベットの列を漢字に変換する。；これは同じ読みの漢字がたくさん存在するという日本語の特徴のためである。；また氏の多くは地名に由来するため、地名に関する漢字を含むものが多い。；旗の意匠が漢字の米に類似していることから、中国語ではと呼ぶことがある。；音が存在しないか一般的でない漢字については、訓が代表音訓とされた。；一方、中国語や朝鮮語に翻訳する際は、漢字が統一されていない例も多い。；日本語と共通する漢字を用いるものでも、使える対象が異なる場合がある。；まず注意しなければならないが、テュルクは漢字を使っていなかった。；漢字の習得は非効率であるため漢字を廃止すべきであるとの議論であった。；作品の登場人物にも読みにくい漢字の名前の者が何人かいる。；漢字の音読みと対応する語彙体系であるので字音語と称することもある。；中国語を表記する文字は漢字であり、意味の違いに応じて異なる文字が使われる。；その詞書は、現代とあまり変わらない字体の漢字と仮名で書かれている。；アラビア語のghの発音を含む語はeの漢字で取り入れている例が多い。；また日本でも、色ではなく宝石を意味する漢字としても使われている。；このような分類では、知識がないと部首を用いて漢字を検索できない。</t>
        </is>
      </c>
      <c r="J1806">
        <f>HYPERLINK("https://www.weblio.jp/content/漢字", "词义详情")</f>
        <v/>
      </c>
      <c r="K1806">
        <f>HYPERLINK("https://yourei.jp/漢字", "查看例句")</f>
        <v/>
      </c>
    </row>
    <row r="1807">
      <c r="A1807" t="inlineStr">
        <is>
          <t>感謝</t>
        </is>
      </c>
      <c r="B1807" t="inlineStr">
        <is>
          <t>成功</t>
        </is>
      </c>
      <c r="C1807" t="inlineStr">
        <is>
          <t>読み方：かんしゃ
［名］(スル)ありがたいと思う気持ちを表すこと。また、その気持ち。「—の心」「深く—する」</t>
        </is>
      </c>
      <c r="D1807" t="inlineStr">
        <is>
          <t>感謝する(10%)；感謝いたし；感謝してる；感謝しよ；感謝祭</t>
        </is>
      </c>
      <c r="E1807" t="inlineStr">
        <is>
          <t>礼；祈り；鑑賞；賞賛；お礼</t>
        </is>
      </c>
      <c r="F1807" t="inlineStr">
        <is>
          <t>深い感謝；あなたに感謝；ファン感謝；感謝決議文；感謝し奉る</t>
        </is>
      </c>
      <c r="G1807" t="inlineStr">
        <is>
          <t>感謝状；感謝デー；感謝感激；感謝セール；感謝広告</t>
        </is>
      </c>
      <c r="H1807" t="n">
        <v>29</v>
      </c>
      <c r="I1807" t="inlineStr">
        <is>
          <t>よって、王たちはその感謝を目に見える形で表明せねばならなかった。；このたびは私たちのプライバシーを尊重していただき感謝しております。；あかねはおっこに感謝の意を伝え、学校に行くことを決意し帰ってゆく。；そんな二人を五郎は夜景の見える場所に連れ出し、感謝の言葉を述べる。；食事の際に生産者や自然に感謝をする場合などがこれにふくまれる。；試合後には引退セレモニーが行われ、ファンや関係者らに感謝を伝えた。；セルジュニアとの戦いでは自分を助けに来た主人公に感謝を述べた。；私たちは私たちのことを考えて祈ってくれた皆さんに感謝したいです。；はこの出来事を、町の解放を進めたへの感謝の意味を込めて詩に残している。；朝鮮半島では正座でお辞儀をするのが最上級の感謝の挨拶とされている。；後年には万里小路の指導が自分の素養に大きく役立ったと感謝していた。；私たちはこの高貴な努力のために彼に感謝するに違いありません。；マヤは感謝し、アルジュナのために何か出来ることをしたいと申し出た。；ロシア皇帝はバーティの配慮に深く感謝し、英露関係は一定の改善を見た。；私がディフェンス重視の選手だったことにとても感謝をしている。；薬師丸自身も、特殊な、変わった声を持っていることに感謝している。；マクダ夫人はこれに感謝し、ヒトラーに大変な信頼を寄せることとなる。；ハリスはYouTubeユーザーたちより大量の感謝の言葉を受けた。；なお闘莉王は本大会後に、著書の中でエリクソンへ深い感謝を述べた。；槇原は番組のファンで「この曲が使用されたことに感謝している」と述懐。；渋沢栄一はこの時の市兵衛の行動に感謝し、以来、親密な関係となった。；また、イギリス外相に感謝の意を伝えるよう、ロンドンに打電している。；マンドル氏が私に強いたあの小論を雑誌に載せていただいて感謝しています。；江頭は『めちゃイケ』の企画にて矢部に感謝の意を示したこともあった。；また、支えてくれた妻と友人にも感謝をしていると述べた。；それと同時に、連続出場をサポートしてくれたトーリ監督に感謝の意を示した。；「先輩に感謝の意を表し、長く記念するため」に1963年に建築された。；試合後は引退セレモニーが行われ、ファンや関係者に感謝の言葉を伝えた。；当時は辛かったが、本当に勉強になり感謝していると述べている。</t>
        </is>
      </c>
      <c r="J1807">
        <f>HYPERLINK("https://www.weblio.jp/content/感謝", "词义详情")</f>
        <v/>
      </c>
      <c r="K1807">
        <f>HYPERLINK("https://yourei.jp/感謝", "查看例句")</f>
        <v/>
      </c>
    </row>
    <row r="1808">
      <c r="A1808" t="inlineStr">
        <is>
          <t>患者</t>
        </is>
      </c>
      <c r="B1808" t="inlineStr">
        <is>
          <t>成功</t>
        </is>
      </c>
      <c r="C1808" t="inlineStr">
        <is>
          <t>読み方：かんじゃ
病気やけがの治療を受ける人。医師の側からいう語。クランケ。「入院—」</t>
        </is>
      </c>
      <c r="D1808" t="inlineStr">
        <is>
          <t>患者たち(3%)；患者さん；患者数；患者自身；患者達</t>
        </is>
      </c>
      <c r="E1808" t="inlineStr">
        <is>
          <t>クランケ</t>
        </is>
      </c>
      <c r="F1808" t="inlineStr">
        <is>
          <t>重症患者；エイズ患者；がん患者；中毒患者；癌患者</t>
        </is>
      </c>
      <c r="G1808" t="inlineStr">
        <is>
          <t>患者会；患者団体；患者教育；患者搬送車；患者後送</t>
        </is>
      </c>
      <c r="H1808" t="n">
        <v>29</v>
      </c>
      <c r="I1808" t="inlineStr">
        <is>
          <t>患者が十分な理解力を備えた成人である場合でも問題が無いわけではない。；また、出血熱の名の由来である出血症状は一部の患者にしか見られない。；患者のなかにはこのエピソードの時に仕事で成功することが多い。；病気の症状に応じて、個々の患者ごとに食事の内容を変更する必要がある。；責任の所在は認められたが、患者の苦しみは今もなお続いている。；対象となった患者は比較的軽症で、発症12時間以内に治療を開始した。；本頁では特に患者の症状に応じて治療の優先順位を決定することを説明する。；患者の負担は比較的軽い検査であり、病気のスクリーニングに用いられる。；治療しなければ患者は数時間のうちに死亡する場合もある。；患者は日記をつけ、それを元に治療者と行動療法的な話合いがもたれる。；患者本人は少なくとも場の文脈に応じた行動を取ることが難しい。；これは患者と分析家を一つのユニットとして捉えているという事を意味する。；典型的にはカーテンが目の前に降りて行くように暗くなると患者は訴える。；倫理は、医療提供者と患者によって行われる医療上の決定に影響を与える。；医師が、治療効果が無い行為や患者を害する行為を行うことがある。；患者にとっては、こうしたセルフケアはもっとも基本的なことといえる。；治療中の患者がその傷病で死亡した場合は、死亡診断書が作成される。；亡くなる10日前まで患者の治療にあたったことが記録されている。；患者の隔離に関する措置が十分に行われていれば、感染することはない。；自覚症状がなければ放置してもいいが、患者が希望すれば治療の対象になる。；症状を含めたその患者の状態を証と呼び、証によって治療法を選択する。；患者が早期の死を望むことにどのように向き合うのが正しいのか?；提示額に不満がある場合患者には訴訟を提起する権利が残される。；これは患者の状態を把握するもので不整脈の診断にはそれほど重要ではない。；また、患者・被験者側も納得するまで質問し、説明を求めなければならない。；また、医療業界でも医師が子供の患者に使用する例がある。；患者調査の傾向からストレスを原因の一つとする意見もある。；この中には相当数の患者が存在する地域もある。；おそらくミッチェルは、患者の満腹感の訴えを無視するように指導していた。</t>
        </is>
      </c>
      <c r="J1808">
        <f>HYPERLINK("https://www.weblio.jp/content/患者", "词义详情")</f>
        <v/>
      </c>
      <c r="K1808">
        <f>HYPERLINK("https://yourei.jp/患者", "查看例句")</f>
        <v/>
      </c>
    </row>
    <row r="1809">
      <c r="A1809" t="inlineStr">
        <is>
          <t>観衆</t>
        </is>
      </c>
      <c r="B1809" t="inlineStr">
        <is>
          <t>成功</t>
        </is>
      </c>
      <c r="C1809" t="inlineStr">
        <is>
          <t>読み方：かんしゅう
興行物や催し物などを見物しに集まった大勢の人々。「スタンドの大—が沸く」</t>
        </is>
      </c>
      <c r="D1809" t="inlineStr">
        <is>
          <t>観衆たち</t>
        </is>
      </c>
      <c r="E1809" t="inlineStr">
        <is>
          <t>観客；聴衆；ギャラリー；看客；オーディエンス</t>
        </is>
      </c>
      <c r="F1809" t="inlineStr">
        <is>
          <t>一般観衆；全観衆；若い観衆；熱狂的な観衆；近い観衆</t>
        </is>
      </c>
      <c r="H1809" t="n">
        <v>29</v>
      </c>
      <c r="I1809" t="inlineStr">
        <is>
          <t>当時、こうしたイベントは一般的になっており、多くの観衆が集まった。；今大会は、一般観衆とテレビ視聴者から支持を得ることが出来なかった。；現在は国内各地から自家用車あるいはバスで観衆を惹き付け続けている。；三度目の勝負の日には、噂を聞きつけてたくさんの観衆が集まっていた。；優勝した後のパレードには4万人以上の観衆が州道37号線に集まった。；各国の観衆の中で昨日までは黒人とドイツ人の一人舞台の観があった。；観衆は息をのみ、村長と嫁の会話だけが不自然なまでに響き渡っていた。；両艦は、陸軍の観衆の前で海軍の誇る艦砲射撃の腕前を披露してみせた。；観衆の年齢に応じて、脚本の内容はだんだん複雑になって来ている。；歌が好きで、数千人に及ぶ観衆を集めコンサートを開くのが趣味であった。；しかし、満足させられるべきこれらの観衆のほかに、別の人々がいる。；この時は、生徒を観衆に、生きた患者で行われた臨床外科手術であった。；しかし平均的な観衆はそのようなものには興味を示さなかった。；観衆はその言葉を無限の方向からそのおのおのの立場のもとに受けとる。；そして一部の観衆は女優自身も同じように間抜けなのだろうと決めてかかった。；原因が何にせよ、結果は普通の乱闘であり、多くの観衆もこれに加わった。；セルクル・トンゲレンとの間で行われた初試合の観衆はわずか9人だった。；観衆としては、誰もショックを受けたものはいないように見受けられた。；この予定が告知されていたこともあり、観衆の3分の1が日本人であった。；満員の観衆の前で演じる方が得意だったでしょ、と自分に言い聞かせた。；大観衆を前に、シーバードはパドックでひどく入れ込んで発汗していた。；そして2人は数万人の大観衆が集まった東京ドームで対決のときを迎えた。；観衆三百人、まず将軍の頭抜けて大きな蛮声に度肝を抜かれたのである。；また観衆の立場から記述すれば、たぶんわたしは信用してもらえないだろう。；観衆がその挨拶に答えて喚声をあげているのが、ここまで聞こえた。；わたしが劇場を出たあと、劇はますます高潮してゆき、観衆は熱狂した。；観衆のほとんどはそれに視線を走らせる様子さえ見られなかった。；男はあざけりを受けた観衆の前へと登場しなければなりません。；リットルトンが出演できない旨のメッセージは観衆にも伝えられた。</t>
        </is>
      </c>
      <c r="J1809">
        <f>HYPERLINK("https://www.weblio.jp/content/観衆", "词义详情")</f>
        <v/>
      </c>
      <c r="K1809">
        <f>HYPERLINK("https://yourei.jp/観衆", "查看例句")</f>
        <v/>
      </c>
    </row>
    <row r="1810">
      <c r="A1810" t="inlineStr">
        <is>
          <t>慣習</t>
        </is>
      </c>
      <c r="B1810" t="inlineStr">
        <is>
          <t>成功</t>
        </is>
      </c>
      <c r="C1810" t="inlineStr">
        <is>
          <t>読み方：かんしゅう
［名］(スル)
１ある社会で古くから受け継がれてきている生活上のならわし。しきたり。「古い—を破る」
２慣れること。習慣となるようにすること。
「日本人民は未だ憲法国会に—せざる人民なり」〈小林雄七郎・薩長土肥〉
→習慣(しゅうかん)［用法］</t>
        </is>
      </c>
      <c r="D1810" t="inlineStr">
        <is>
          <t>慣習的(10%)；慣習化；慣習上；慣習法；慣習国際法上</t>
        </is>
      </c>
      <c r="E1810" t="inlineStr">
        <is>
          <t>風；性；伝統；習慣；風俗</t>
        </is>
      </c>
      <c r="F1810" t="inlineStr">
        <is>
          <t>社会慣習；社会的慣習；伝統的な慣習；宗教的慣習；風俗慣習</t>
        </is>
      </c>
      <c r="G1810" t="inlineStr">
        <is>
          <t>慣習国際法</t>
        </is>
      </c>
      <c r="H1810" t="n">
        <v>29</v>
      </c>
      <c r="I1810" t="inlineStr">
        <is>
          <t>同説は実際上の取引慣習や実務を法律構成しようとするものであった。；下記の特徴の説明は、地域・寺院などの慣習によって異なる場合がある。；いくつかの通りにはアメリカでの慣習で行き先となる地点の地名が付いている。；そこからフォークの背にライスをのせて食べる慣習を作ったとされている。；旧来の日本では、契約等の書面を作成するには以下の慣習が存在していた。；これ以降の争碁では1局目だけが御城碁として打たれるのが慣習となる。；日本語では古典式またはドイツの音をカタカナ表記するのが慣習となっている。；武術も意味的にはこれに含まれるが、武術は含めないのが慣習である。；そのため、紛争を解決するために第三者が仲裁役を務める慣習があった。；町職員同士が結婚した場合、夫婦どちらかに退職を促す慣習が残っている。；また国王の即位前後に進水する艦にその名をつける慣習があった。；これらは、神と人間への愛を完全にするという特殊な慣習的意味を持っている。；この目標を達成するために必要のない慣習は守っていない。；エジプトには農民が兵役につく慣習はなく、農民たちは徴兵制に恐怖した。；そのため、この時期に特に大企業における長期雇用の慣習が一般化した。；現在、国内で一般的・慣習的に「総合商社」と呼ばれるのは下記の7社。；ただし北海道では呉服でも曲尺が慣習的に使われている場合もある。；この慣習はイギリスの影響が強いインドやシンガポールの海軍などにも見られる。；これは現代的な用語法に従ったものだが、歴史的な慣習では少し事情が異なる場合がある。；芳香族はそのようなケースであり、結合を表現するために慣習に依存している。；日本では慣習的にアルフレッド・ウェーバーのように英語風にも読まれる。；教師への付届けをする慣習については、廃止運動があるがまだ残っている。；ケンブリッジ大学には、他の大学とは異なる慣習やルールが多数存在していた。；しかしその後も姓を名乗る慣習は残り、明治時代の本姓廃止まで続いた。；こうして治安の面でも、伝統的な慣習と近代行政の区分が融解をみせている。；その慣習はムスリムの中東の一部地域にて採用されていたようである。；ブルネイ人の間ではと呼ばれる儀式が慣習的に行われている。；神・仏を「さん」付けで呼ぶことも、広く日本では普通に見られる慣習である。；それは単にその民族らの慣習であったのかもしれない。</t>
        </is>
      </c>
      <c r="J1810">
        <f>HYPERLINK("https://www.weblio.jp/content/慣習", "词义详情")</f>
        <v/>
      </c>
      <c r="K1810">
        <f>HYPERLINK("https://yourei.jp/慣習", "查看例句")</f>
        <v/>
      </c>
    </row>
    <row r="1811">
      <c r="A1811" t="inlineStr">
        <is>
          <t>願書</t>
        </is>
      </c>
      <c r="B1811" t="inlineStr">
        <is>
          <t>成功</t>
        </is>
      </c>
      <c r="C1811" t="inlineStr">
        <is>
          <t>読み方：がんしょ
１許可を得るために差し出す書類。ねがいしょ。「入学—」
２神仏に対する願いを記した文書。願文(がんもん)。</t>
        </is>
      </c>
      <c r="D1811" t="inlineStr">
        <is>
          <t>願書提出(2%)；願書受付；願書を出さなけれ；願書を受理しよ</t>
        </is>
      </c>
      <c r="E1811" t="inlineStr">
        <is>
          <t>志願書</t>
        </is>
      </c>
      <c r="F1811" t="inlineStr">
        <is>
          <t>上願書；御願書；願書を出さ；内願書</t>
        </is>
      </c>
      <c r="H1811" t="n">
        <v>29</v>
      </c>
      <c r="I1811" t="inlineStr">
        <is>
          <t>どうするかと云うと、願書と云うものを書いてお奉行様に出すのである。；わたしが今夜願書を書いて置いて、あしたの朝早く持つて行きませうね。；どうするかというと、願書というものを書いてお奉行様に出すのである。；なおこの際、願書を出した全ての大学から入学を許可されたという。；大学入学願書を準備している頃に事務所からキャスティングを受ける。；わたしが今夜願書を書いておいて、あしたの朝早く持っていきましょうね。；刑事を父に持つ彼女は婦人警官を夢見ていたが、願書を返されてしまう。；他の二三の師範学校の附属へ願書を出して努力したが、どこも拒否された。；一方の織歌はというと、話は願書提出の際の学苑案内にまでさかのぼる。；願書に添えられていた手紙はことのほか印象的で、彼の入学決定の鍵になった。；願書受付は本人が直接提出することを原則とし、郵便では受け付けない。；するとたちまちほかの奉行たちから当綱の留任を懇願する願書が出された。；願書は、僕たちの希望を表明するただ一つの手段だったんだ。；予科練の願書はにぎりつぶしたままなのに、催促されることもなかった。；普通の学校のように、願書を出して受験するような方式ではない。；退学後は他の大学に願書を出して大学生活をやり直す学生が多い。；また他の大学では、願書さえ受け取ってもらえないこともあった。；舞台に出る前保姆養成所に願書出したの、いつまでたっても返事が来ないのよ。；願書は11月に提出し、1月末から2月初めにかけて試験が実施される。；彼はこの事を上願書に次のように書いている。；そして各町から名主支配に関する願書も提出して、支配名主が決定された。；東洋英和女学院に蘆花筆の妻愛子入学願書が残されていることを明らかにした。；この上願書の書き振りでは支倉も男だとグッと反り身になったかも知れない。；この時、アメリカの大学院には多くの願書を出していた。；次の日交番に願書を出して、次の週試験で合格し警察学校に入学。；残っている私の家の願書控を見ると、次のようなのがある。；新らしいし、遠いから、競争者も少いだろうと、ここへ願書を出した。；願書を出し、二階の部屋で多くの応募者とともに第一次試験を受けた。；何よりいけなかったのは、僕があの願書を血で書いたことだ。</t>
        </is>
      </c>
      <c r="J1811">
        <f>HYPERLINK("https://www.weblio.jp/content/願書", "词义详情")</f>
        <v/>
      </c>
      <c r="K1811">
        <f>HYPERLINK("https://yourei.jp/願書", "查看例句")</f>
        <v/>
      </c>
    </row>
    <row r="1812">
      <c r="A1812" t="inlineStr">
        <is>
          <t>干渉</t>
        </is>
      </c>
      <c r="B1812" t="inlineStr">
        <is>
          <t>成功</t>
        </is>
      </c>
      <c r="C1812" t="inlineStr">
        <is>
          <t>読み方：かんしょう
［名］(スル)
１他人のことに立ち入って自分の意思に従わせようとすること。「他人の生活に—する」
２国際法で、一国が他国の内政・外交に、その国の意思に反して介入すること。「武力—」
３二つ以上の同じ種類の波が重なって、互いに強め合ったり弱め合ったりする現象。音波でのうなり、光波での干渉色によるシャボン玉の色づく現象など。</t>
        </is>
      </c>
      <c r="D1812" t="inlineStr">
        <is>
          <t>干渉すること(4%)；干渉戦争；干渉でき；干渉力；干渉装置</t>
        </is>
      </c>
      <c r="E1812" t="inlineStr">
        <is>
          <t>荷物；障害；故障；邪魔；中断</t>
        </is>
      </c>
      <c r="F1812" t="inlineStr">
        <is>
          <t>精神干渉；相互干渉；rna干渉；電波干渉；直接干渉</t>
        </is>
      </c>
      <c r="G1812" t="inlineStr">
        <is>
          <t>干渉縞；干渉法；干渉性；干渉効果；干渉色</t>
        </is>
      </c>
      <c r="H1812" t="n">
        <v>29</v>
      </c>
      <c r="I1812" t="inlineStr">
        <is>
          <t>これも警察庁を他の機関からの不必要な干渉を避けるためのものである。；この三つの世界は互いに干渉することもなく独自の社会を築いていた。；さらに鈴木は第16回衆議院議員総選挙では大規模な選挙干渉を行った。；これは同一のプログラムの複数のコピーが互いに干渉しあうからである。；こうした干渉を排除出来るようになるのは、承久の乱以後のことである。；干渉波ではなく運動単位が観察しやすい程度の力を入れた状態で行う。；複数の波源からの波では、位相関係を調整できるときのみ干渉が起きる。；今回のケースは、内側干渉の心配があるように誤解しやすいパターン。；このような接触を干渉し潤滑にするのが中皮細胞と体腔液の役割である。；都市建設が始まると、官僚がグリフィンの計画に干渉するようになった。；遼の方では太宗の死後は内紛が続き、南に干渉できる状態ではなかった。；米国は、第二次世界大戦の結果としてイランの統治への干渉を開始した。；この凹凸が回折格子の様に光を干渉するため、記録面側は虹色に見える。；これは光が干渉という、波に特徴的な性質を持っているためである。；彼が二人の妻を持っていることにも干渉し、一人にするよう強要した。；これらは以後、外国からの干渉は受けない自主独立路線の始まりとなった。；コンピュータによる電波干渉に対してやっと法が対応し始めたのである。；プレイヤーはPOPの階級を変えること以外には直接にほとんど干渉できない。；光ホログラフィーは一般的なホログラフィーで光波の干渉像を記録する。；そして、関東遠征に失敗した幕府は以後も斯波氏に干渉するようになっていった。；これは三相交流誘導電動機と路面との干渉を防止することも兼ねている。；これらの銃搭は互いに干渉するため、270度の限定旋回しかできない。；対外関係への干渉はより合法的であるだけでなく、より有利でもある。；しかし、一方でこのような事業は常にイギリスの干渉を受けた。；しかし、この国家は各国の干渉を受け、生き永らえることはできなかった。；そのためイギリスの干渉戦争はロシア国内の反ソ勢力の支援継続以外には不可能であった。；天皇は征服・干渉のための軍を起こさず、即位後は内外に戦争がなかった。；自由貿易は、関税など国家の介入や干渉を排して自由に行う貿易を指す。；国王側も議会からの干渉を嫌い、その招集を極力回避しようとした。</t>
        </is>
      </c>
      <c r="J1812">
        <f>HYPERLINK("https://www.weblio.jp/content/干渉", "词义详情")</f>
        <v/>
      </c>
      <c r="K1812">
        <f>HYPERLINK("https://yourei.jp/干渉", "查看例句")</f>
        <v/>
      </c>
    </row>
    <row r="1813">
      <c r="A1813" t="inlineStr">
        <is>
          <t>鑑賞</t>
        </is>
      </c>
      <c r="B1813" t="inlineStr">
        <is>
          <t>成功</t>
        </is>
      </c>
      <c r="C1813" t="inlineStr">
        <is>
          <t>読み方：かんしょう
［名］(スル)芸術作品などを見たり聞いたり読んだりして、それが表現しようとするところをつかみとり、そのよさを味わうこと。「名曲を—する」「—力」</t>
        </is>
      </c>
      <c r="D1813" t="inlineStr">
        <is>
          <t>鑑賞する(15%)；鑑賞者(9%)；鑑賞できる(4%)；鑑賞会(2%)；鑑賞用</t>
        </is>
      </c>
      <c r="E1813" t="inlineStr">
        <is>
          <t>感謝；把握；賞賛；観る；観賞</t>
        </is>
      </c>
      <c r="F1813" t="inlineStr">
        <is>
          <t>芸術鑑賞；舞台鑑賞；美術鑑賞；演劇鑑賞；dvd鑑賞</t>
        </is>
      </c>
      <c r="G1813" t="inlineStr">
        <is>
          <t>鑑賞魚</t>
        </is>
      </c>
      <c r="H1813" t="n">
        <v>29</v>
      </c>
      <c r="I1813" t="inlineStr">
        <is>
          <t>新たな観客層獲得のため、試験的に鑑賞料金を変更する動きも見られる。；特に村正らしい特徴とされるのは以下の要素で、鑑賞のポイントとなる。；この段階では直接銀板表面を見ても画像を鑑賞することはできない。；最近ではauの携帯電話でも可能になった映像鑑賞を趣味としている。；このとき、この作品は絵画と賛は一体のものとして鑑賞の対象とされる。；当時鑑賞した作品が現在の芸能活動の糧になっていると発言している。；日本では床の間などに掛けて鑑賞し、「床掛け」と言われることもある。；光学/カメラの製造技術/写真技術の進歩は画像の鑑賞法を変えてきた。；そのため、学校で食事やテレビ鑑賞などの日常生活することも多い。；作陶しない時は、読書やテレビ鑑賞、趣味の日本刀の手入れをしていた。；それでも根まであるだけに花持ちはよく、一ヶ月程度は鑑賞できる。；子ども向けの番組ながら大人の鑑賞に十分に堪える作品を提供した。；これらは作品鑑賞の面でも、決して万人に開かれたものではない。；内部ではソニーの提供した音響機器でモーツァルトの作品を鑑賞できる。；形態的にはきわめて多様であり、鑑賞用に栽培されるものもある。；但し完全に葉緑素が抜けている物は幽霊葉として鑑賞対象にはならない。；趣味は映画や絵画鑑賞で、義理半分だが絵を購入することもあった。；旭川市内にある彫刻への清掃活動と鑑賞会開催などを無償で行っている。；そのためこのアニメを学校で強制的に鑑賞させることに否定的な意見を持つも多い。；そのため通常のTVでは本来の24コマで映画を鑑賞することが出来ない。；また、花を鑑賞するためのものが多いが、観葉植物とするものもある。；死の直前に鑑賞していたオペラの名前は『人生は夢の如し』だったという。；このため上映期間の終了をもって鑑賞する手段がなくなるはずであった。；正式な続編ではなく、単体でも問題なく鑑賞できるようになっている。；公家の間では現代のように手に持つ物ではなく香炉の灰に立てて鑑賞していた。；このようにして、展示・鑑賞用に製作されたものを「本剥製」と呼ぶ。；パレード開始20分前までに特別鑑賞エリア入口へ向かう必要がある。；で俳優などの姿を少しだけ拡大して鑑賞するためなどに現在でも使われている。；本来は子供向けの話だが、大人の鑑賞にたえるように大幅に手が加えられている。</t>
        </is>
      </c>
      <c r="J1813">
        <f>HYPERLINK("https://www.weblio.jp/content/鑑賞", "词义详情")</f>
        <v/>
      </c>
      <c r="K1813">
        <f>HYPERLINK("https://yourei.jp/鑑賞", "查看例句")</f>
        <v/>
      </c>
    </row>
    <row r="1814">
      <c r="A1814" t="inlineStr">
        <is>
          <t>感情</t>
        </is>
      </c>
      <c r="B1814" t="inlineStr">
        <is>
          <t>成功</t>
        </is>
      </c>
      <c r="C1814" t="inlineStr">
        <is>
          <t>読み方：かんじょう
物事に感じて起こる気持ち。外界の刺激の感覚や観念によって引き起こされる、ある対象に対する態度や価値づけ。快・不快、好き・嫌い、恐怖、怒りなど。「—をむきだしにする」「—に訴える」「—を抑える」「国民—を刺激する」</t>
        </is>
      </c>
      <c r="D1814" t="inlineStr">
        <is>
          <t>感情的(3%)；感情移入；感情を押し殺し；感情豊か；感情を露</t>
        </is>
      </c>
      <c r="E1814" t="inlineStr">
        <is>
          <t>感じ；思い；気持；気持ち；思</t>
        </is>
      </c>
      <c r="F1814" t="inlineStr">
        <is>
          <t>複雑な感情；激しい感情；強い感情；そんな感情；どんな感情</t>
        </is>
      </c>
      <c r="G1814" t="inlineStr">
        <is>
          <t>感情表現；感情移入；感情論；感情教育；感情労働</t>
        </is>
      </c>
      <c r="H1814" t="n">
        <v>29</v>
      </c>
      <c r="I1814" t="inlineStr">
        <is>
          <t>それと同時に、彼の作品にはより大きな感情が表現されるようになった。；その中で、日常で使っている速度を越えた時の感情が表現されている。；人間にはどのような感情があるのかについては古来様々に議論されてきた。；反対に自分の感じた感情が弱い程覚えていないのが短期記憶である。；月は人間の感情や情緒的気分などの心理的傾向を示すといわれている。；彼らはかつての思いやりの感情を覚えていたのではないだろうか。；この事は東方教会側に反ローマカトリック感情を惹起することとなった。；応用感情は輪において隣接する2つの基本感情の組み合わせからなる。；また涙も単に眼を洗浄する役割以上に感情と強い結びつきを持つ。；すなわち、米国民の反スペイン感情を煽動する報道を繰り返し行った。；そのため占領地域の住民の感情を損なうような行動を彼はよしとしなかった。；感情的な走りはしないが、エディが持つ競争心は人一倍強いものである。；これは思想的な対立によるものだけでなく、感情的な反感も含まれている。；しかし、このことがかえってテオドリックの感情を害することになった。；恋愛感情や怒りのような高ぶる感情はしばしば火や炎にたとえられる。；人間は社会を形成すると共に、極めて脳が発達した感情の生き物でもある。；作品にもよるが、使い魔は知性や感情を持たないとされることが多い。；王はこの時以後、嬉しいときも悔しいことも感情を出さないようになった。；戦後、ベルギーをはじめとした連合側諸国では反国王感情が高まった。；義父や義兄ジャックらは、感情がそぎ落ちたような彼女を心配していた。；口調はやや挑発的であり、相手の感情を逆撫でしてしまうこともしばしば。；「恐怖は人類の最も古い感情である」というラヴクラフトの言葉がある。；形式の古いラーガほど感情は抑制され、神への献身や祈りが中心となる。；この感情は、集団の中の自己を意識するようになって初めて生まれてくるものである。；そして自分の感情が露出してしまう顔もじかにみることはできない。；感情に問題がある場合と、そうでないものを分けたのである。；すなわち、マシンが人間の感情の揺れ動きをほぼ完全に予測できることが示唆される。；そのため思想又は感情でないものがどういったものなのかを定義する方が明確にそれらを区別できる。；このボーア戦争以後、アフリカーナーは反英感情を尖鋭化させていった。</t>
        </is>
      </c>
      <c r="J1814">
        <f>HYPERLINK("https://www.weblio.jp/content/感情", "词义详情")</f>
        <v/>
      </c>
      <c r="K1814">
        <f>HYPERLINK("https://yourei.jp/感情", "查看例句")</f>
        <v/>
      </c>
    </row>
    <row r="1815">
      <c r="A1815" t="inlineStr">
        <is>
          <t>勘定</t>
        </is>
      </c>
      <c r="B1815" t="inlineStr">
        <is>
          <t>成功</t>
        </is>
      </c>
      <c r="C1815" t="inlineStr">
        <is>
          <t>読み方：かんじょう
［名］(スル)
１物の数量、または金銭を数えること。「売上金の—が合わない」「人員を—する」
２代金を支払うこと。また、その代金。「—を済まして店を出る」
３他から受ける作用や、先々生じるかもしれない事態などを、あらかじめ見積もっておくこと。「列車の待ち時間を—に入れて行動する」
４いろいろ考え合わせて出た結論。「うまくいけばみんなが得をする—だ」
５簿記で、資産・負債・資本の増減、収益・費用の発生を記録・計算するために設ける形式。</t>
        </is>
      </c>
      <c r="D1815" t="inlineStr">
        <is>
          <t>勘定書(5%)；勘定台(2%)；勘定役；勘定場；勘定取引</t>
        </is>
      </c>
      <c r="E1815" t="inlineStr">
        <is>
          <t>用；入り；代；計算；値</t>
        </is>
      </c>
      <c r="F1815" t="inlineStr">
        <is>
          <t>金勘定；銭勘定；御勘定；総勘定；差引勘定</t>
        </is>
      </c>
      <c r="G1815" t="inlineStr">
        <is>
          <t>勘定方；勘定所；勘定系；勘定科目；勘定吟味役</t>
        </is>
      </c>
      <c r="H1815" t="n">
        <v>29</v>
      </c>
      <c r="I1815" t="inlineStr">
        <is>
          <t>あいつもいよいよ原稿を買う段になると、一つ一つ字を勘定するからね。；その勘定だと、上の方の弟が十三で、その次が十の時だつた筈である。；その勘定をあしかけ三月の今になっても払ってくれないと云うのである。；毎月一度月末に勘定とりのような正確さで来るので、そう思うのだろう。；そして一年の後になつて勘定してみると、三百八十五両溜つてゐたさうだ。；その手には長い綺麗な字の書いてある小間物屋の勘定書を持つてゐた。；かれらは確かに勘定をするために、うちの中にはいったのであった。；上原さんと遊んでも、僕のぶんのお勘定は、いつも僕が払って来ました。；その他、口座勘定のない営業店が両県の漁連支所などに設置されている。；その日も一緒に飲んでいて、勘定するためにちょっと後れたのだったろう。；数を寄せたり、引いたり勘定するのは、人間が勝手にすることである。；つまり芸術の娯楽性といふものを一応勘定に入れた批評であつてほしい。；途中でちょっと躊躇して眼を伏せたが又初めから静かに勘定し初めた。；従って私は商品をもっていないわけであるが、商品勘定に残高がある。；でも僕は、あなたの抗議を勘定に入れなかったわけじゃありません。；このうち三万組は、自分の子供を育てられる者として勘定に入れない。；「マチア、これはきみのおかげだよ」とわたしは勘定したあとで言った。；一九七 以上の一切が終ったとき、私の勘定は次のようにして決算せられる。；倉庫には商品が残存していないから、この商品勘定は締切らねばならぬ。；いわゆる革命も勘定に入れると、その例は歴史上に数多く存在する。；勘定は出方の祝儀とも、一等では大抵二円から一円五十銭の間かと思う。；四五間ずつに折れてはいるが、勘定したら愛宕様の高さぐらいはあるだろう。；そして自己勘定取引がこの収益の大部分を占めると推定されている。；酔っぱらいでも、少し相手が女だということは、勘定に入れている筈だ。；中津川の商人は奥筋への諸勘定を兼ねて、ぽつぽつ隣の国から登って来る。；客へ出す料理の勘定書まで書いて置いて、それから母の側へ来た。；つまり思惑ちがいというものを全然勘定に入れていなかったのである。；実をいうと今まで腹の中では老師の年歯を六十ぐらいに勘定していた。；ところで俺が帰りしなに、街の遠くの方から勘定した時には連中は八人だった。</t>
        </is>
      </c>
      <c r="J1815">
        <f>HYPERLINK("https://www.weblio.jp/content/勘定", "词义详情")</f>
        <v/>
      </c>
      <c r="K1815">
        <f>HYPERLINK("https://yourei.jp/勘定", "查看例句")</f>
        <v/>
      </c>
    </row>
    <row r="1816">
      <c r="A1816" t="inlineStr">
        <is>
          <t>頑丈</t>
        </is>
      </c>
      <c r="B1816" t="inlineStr">
        <is>
          <t>成功</t>
        </is>
      </c>
      <c r="C1816" t="inlineStr">
        <is>
          <t>読み方：がんじょう
［名・形動］
１からだが丈夫なさま。また、物の作りが堅牢なさま。「—なからだつき」「—にできた箱」
２馬のすぐれて強健なさま。また、その馬。
「—なる馬一疋引いて参れ」〈浄・孕常盤〉
[補説]中世・近世には「岩乗(がんじょう)」「岩畳(がんでふ)」「強盛(がんじゃう)」などとも書いた。もと、名馬に仕上げるための五つの条件の意の「五調(がんでう)」から出たとされるが、「強盛」の音変化とする説もあって、語源・歴史的仮名遣いは未詳。
[派生]がんじょうさ［名］</t>
        </is>
      </c>
      <c r="D1816" t="inlineStr">
        <is>
          <t>頑丈そう(7%)；頑丈な鉄；頑丈な体格；頑丈な身体；頑丈な扉</t>
        </is>
      </c>
      <c r="E1816" t="inlineStr">
        <is>
          <t>強い；安全；強力；大丈夫；固い</t>
        </is>
      </c>
      <c r="F1816" t="inlineStr">
        <is>
          <t>太く頑丈；短く頑丈；頑丈な外骨格；頑丈なからだつき；頑丈な鉄格子</t>
        </is>
      </c>
      <c r="H1816" t="n">
        <v>29</v>
      </c>
      <c r="I1816" t="inlineStr">
        <is>
          <t>一方は比較的華奢な形態でもう一方はわずかながら頑丈な形態であった。；ただ頑丈なだけでは権威が着いてこないことをよく理解していたからである。；エミット・スミスのような頑丈さを持っていることを期待したいと述べた。；台車は、一つの織られた籠と頑丈な三片設計の車輪から構成されていた。；移動する事を考えられており、頑丈なハンドルや蓋が付いている物がある。；なかでもの扉は、さまざまな扉と比較しても特に頑丈に作られている。；天井も壁も床もコンクリートで固めた非常に広い頑丈な地下室である。；これを実現するために船体の長さを増し、その構造を頑丈にして対処した。；頑丈な作りとシンプルなデザインの製品で若者を中心に人気がある。；唇は薄くあまり頑丈ではないが、筒のように前に突き出すことができる。；張禧は軍船を失っていた范文虎に頑丈な船を与えて撤退させることにした。；作りが頑丈であったため、グラーフのピアノは長く残ることができた。；どの家も強風を避けるための頑丈な石垣とツバキの木々に囲まれている。；一方、町と町を結ぶものはより頑丈な仕様でハックニーコーチと呼ばれた。；頑丈な金属製箱型トラス構造であり、箱の上部は道路の上から吊られた。；ケースは頑丈な木で作られ、パーティクルボードが使用されたことはない。；労働で若年の肉を鍛えたらしい頑丈な場主の姿は、何所か人を憚からした。；花の手に育った松吉はそれに引換えて色黒で頑丈なしっかりした児でした。；唯一の頑丈な部分は、およそ2m半の高さのレンガでできた基礎であった。；首も頑丈だし、眠り込んで頭を前に倒しているので皺もほとんど見えない。；マットアローの攻撃をものともしない鋼鉄よりも硬い頑丈な皮膚を持つ。；頑丈な体だが、特に攻撃武器も持たず、地球を攻撃する意思もない。；またこの主翼の主桁は左右一体構造で作られた頑丈なものであった。；頑丈な石建物が並ぶその町は、時間と緑地の成長がかなりなされた。；主に日常生活の使用に耐え得る頑丈さとメンテナンス性を重視して作られた。；多足類の中では、タマヤスデの雄の最終の脚が頑丈な鋏に特化している。；この通り道は比較的頑丈で、普段は崩れたりすることはほとんどない。；またこれらは体格的にも本種より頑丈そうな太く短い歩脚をしている。；頑丈な体を持ち、ジェット機と衝突しても傷ひとつ負うことはないという。</t>
        </is>
      </c>
      <c r="J1816">
        <f>HYPERLINK("https://www.weblio.jp/content/頑丈", "词义详情")</f>
        <v/>
      </c>
      <c r="K1816">
        <f>HYPERLINK("https://yourei.jp/頑丈", "查看例句")</f>
        <v/>
      </c>
    </row>
    <row r="1817">
      <c r="A1817" t="inlineStr">
        <is>
          <t>感触</t>
        </is>
      </c>
      <c r="B1817" t="inlineStr">
        <is>
          <t>成功</t>
        </is>
      </c>
      <c r="C1817" t="inlineStr">
        <is>
          <t>読み方：かんしょく
［名］(スル)
１外界の物事に触れて心に感じること。
「自己以外のものの生命の存在に—して以来」〈倉田・愛と認識との出発〉
２物事の雰囲気などからそれとなく受ける感じ。印象。「議案が通りそうな—を得る」
３手や肌に触れた感じ。手ざわり。肌ざわり。「カシミアの柔らかい—」</t>
        </is>
      </c>
      <c r="D1817" t="inlineStr">
        <is>
          <t>感触が思い出さ；感触が快い；感触が生々しく；感触がたまらない；感触が冷たい</t>
        </is>
      </c>
      <c r="E1817" t="inlineStr">
        <is>
          <t>気；感じ；思う；様子；わかる</t>
        </is>
      </c>
      <c r="F1817" t="inlineStr">
        <is>
          <t>柔らかい感触；硬い感触；柔らかな感触；嫌な感触；固い感触</t>
        </is>
      </c>
      <c r="H1817" t="n">
        <v>29</v>
      </c>
      <c r="I1817" t="inlineStr">
        <is>
          <t>彼女の手に腕を支えられたまま、腕の内側の皮膚に尖った感触を受けた。；つげ自身も、この感触を具体的な絵で表現するのは難しいと感じていた。；しかし床に顔を打ち付けたというのに、顎より上に床の感触がなかった。；以来数十年、この手がそんな幼い時の感触を純粋に残しているはずがない。；息をするたびに触れたり離れたりする、その布の感触さえ心地よかった。；自分の体の表面の弾力なんてこんなにあらたまった感触ではないはずだ。；ハリーは一緒に前に進み、冷たい水のような感触の膜の中を突き抜けた。；彼の手を自分の腰や胸や額におき、その感触を楽しんだあとで眠りにつく。；背中に乗り手を載せた異様な感触も、いまでは気にしなくなっていた。；サンセヴィーノの手の感触が私をすっかり縮み上がらせてしまっていた。；やがて俺の右手は、自分の腕時計らしい重さと感触のものを探し当てた。；陽ざしも空気の感触も、部屋のなかで感じたとおりの素晴らしさだった。；口節に続く4つの節からは副感触手が出ており、これは棍棒状をしている。；剣を握る俺の右手には硬くて冷たい金属の感触が確かに伝わってくる。；ジャックはとても良い感触を得て、人生を変えてくれたように思った。；逆に言えば陶器の肌の感触には生きた肉の感じに似たものがある。；きりりと痛む胸の感触に自分でも少し驚きながら、おれは立ち上がった。；探していた丸い感触が指に触れたところで、懐中電灯の明かりを消した。；その作業を、痛みは感じず、感触だけは伝わってくる状況で続けられたのだ。；だけど、彼女と手が触れあったとおなじ感触を、ぼくは、右手に覚えた。；感触で悪魔の祭壇への階段と知って、そうけ立つおもいで進路を転じた。；再びグレイの額に手を置くと、冷たい感触で、またしても目を開けた。；お説教の対象にはなっても人間の道徳的皮膚感触を触発するものではない。；油を塗ったような彼女の手の感触が、あとまで私の掌に残っていたのである。；それは感触のある凝集した暗黒であるが、眼にはそうは見えなかった。；晩秋のこの草原の美しさは、そういう感触よりも、むしろその色にある。；冷徹な感触のうちに彼女を伴い去る気持ちで、私はそこを出て行った。；じかに触れて来る多鶴子の手や肩や胸のかすかな感触のせいばかりではない。；形状や感触は実物に近いが、身長は比較的小さく体重も軽いものが多い。</t>
        </is>
      </c>
      <c r="J1817">
        <f>HYPERLINK("https://www.weblio.jp/content/感触", "词义详情")</f>
        <v/>
      </c>
      <c r="K1817">
        <f>HYPERLINK("https://yourei.jp/感触", "查看例句")</f>
        <v/>
      </c>
    </row>
    <row r="1818">
      <c r="A1818" t="inlineStr">
        <is>
          <t>感じる</t>
        </is>
      </c>
      <c r="B1818" t="inlineStr">
        <is>
          <t>成功</t>
        </is>
      </c>
      <c r="C1818" t="inlineStr">
        <is>
          <t>読み方：かんじる
［動ザ上一］「かん（感）ずる」（サ変）の上一段化。「寒さを—・じる」</t>
        </is>
      </c>
      <c r="D1818" t="inlineStr">
        <is>
          <t>感じるかもしれ；感じる間もなく；感じるだら；感じるかも知れ；感じる暇もなく</t>
        </is>
      </c>
      <c r="E1818" t="inlineStr">
        <is>
          <t>思う；経験；考える；受ける；得る</t>
        </is>
      </c>
      <c r="F1818" t="inlineStr">
        <is>
          <t>強く感じる；いつも感じる；憤りを感じる；長く感じる；重く感じる</t>
        </is>
      </c>
      <c r="H1818" t="n">
        <v>29</v>
      </c>
      <c r="I1818" t="inlineStr">
        <is>
          <t>その刺激が神経から脳に伝えられ直線加速度を感じるようになっている。；日々なにげないことで幸せを感じる瞬間・体験を送ってもらうコーナー。；さまざまな動物が持ち、光、熱などの刺激を感じる器官が知られている。；恐怖を感じると目が赤く輝いておびえ始め、同族や仲間に助けを求める。；観客がどこで笑いを感じるかに視点を定め科学的な分類を実現した。；ある程度の熟練者の場合、集中すれば裸光の量を体で感じる事も可能。；人が一定の空間で動かずじっとしていると時間の流れが遅く感じる。；しかし、その間に自分の身体が勝手に大きくなりはじめていることを感じる。；最初は監督は自分には合わないと考えたが演出より面白いと感じる。；だが、あまりに建物に篭ってばかりではストレスを感じるようにもなる。；時として自分の内なる声を感じるとか別の自分を感じることがある。；繁殖中はより敏感であり、危険を感じると雛や卵を放棄することもある。；古いゲームの方が新しいゲームよりも面白いと感じる人もいる。；両性愛の人々は必ずしもそれぞれの性に同等に魅力を感じるとは限らない。；ムーアは古典的な考え方をだんだん不快に感じるようになっていった。；これに懸念を持った市の幹部らは抜本的な対策を講ずる必要性を感じる。；大学入学後に自分が大学に合っていないと感じることをミスマッチ入学と呼ぶ。；風に吹かれていると不思議なことにミョンウを近くに感じるギョンジン。；これらの提案に従う義務があるなどと感じるべきではありません。；それらの提案に従う義務があるなどと感じるべきではありません。；この交響曲では唯一ドイツ的な雰囲気を感じる音楽となっている。；危険を感じると、四肢の基部にある臭腺から匂いを出す防御行動を取る。；また同時に生きる事の価値をも感じるようになっていった。；舌はまた、基本的な味には一般的に含まれていない他の感覚を感じることができる。；このころジャクソンはコーチ業に精神的なつらさを感じるようになっていた。；死ぬ前にこの曲をやりたかったのは、私が思って感じることを世界に伝えたいから。；至近距離で大きな羽を広げてアピールされると、怖く感じるほどである。；そのため、蒸し暑く感じる日はあるものの基本的には快適な気候である。；彼は、そのような状況で何を感じることができるとすれば、自身の存在である。</t>
        </is>
      </c>
      <c r="J1818">
        <f>HYPERLINK("https://www.weblio.jp/content/感じる", "词义详情")</f>
        <v/>
      </c>
      <c r="K1818">
        <f>HYPERLINK("https://yourei.jp/感じる", "查看例句")</f>
        <v/>
      </c>
    </row>
    <row r="1819">
      <c r="A1819" t="inlineStr">
        <is>
          <t>感心</t>
        </is>
      </c>
      <c r="B1819" t="inlineStr">
        <is>
          <t>成功</t>
        </is>
      </c>
      <c r="C1819" t="inlineStr">
        <is>
          <t>読み方：かんしん
［名］(スル)
１りっぱな行為や、すぐれた技量に心を動かされること。心に深く感じること。感服。「うまいことを言うものだと—する」「あまり—できないやり方だ」
２（逆説的に用いて）あきれること。びっくりすること。「ばかさかげんに—する」
［形動］［文］［ナリ］りっぱであるとして褒められるべきさま。「親思いの—な少年」</t>
        </is>
      </c>
      <c r="D1819" t="inlineStr">
        <is>
          <t>感心でき；感心出来；感心いたし；感心致し；感心しちゃう</t>
        </is>
      </c>
      <c r="E1819" t="inlineStr">
        <is>
          <t>見事；望む；感動；尊敬；尊重</t>
        </is>
      </c>
      <c r="F1819" t="inlineStr">
        <is>
          <t>ひどく感心；半ば感心；余り感心；妙な感心</t>
        </is>
      </c>
      <c r="H1819" t="n">
        <v>29</v>
      </c>
      <c r="I1819" t="inlineStr">
        <is>
          <t>彼等は皆美しい着物を着ていて、沢山いた外国人達を大いに感心させた。；逆に冬樹は幼い頃秘密基地を作る夢を見ていた事もあって感心している。；兵八のこの豪胆さに、様子を見に来た他の村人たち皆が感心したという。；よくこの年まで体が保ったものだと自分で自分の体に感心することがある。；県令はその悠然とした賢人の態度に感心して孝廉に推薦したのだという。；これは絵の構図ではないが、私は人間を見ていつも感心している事である。；内のお父さんは実に好い人だと云って、二人が感心しているんですよ。；あいつに反感を持たない一般の批評家が、感心するのももっともな話だ。；では若しもそんな風で父が此の句に感心して何処かから買って来たか?；その手紙の内容が非凡なものであったため、その客は非常に感心した。；だが流石にそこはお艶だとわたしは今でも妙な感心の仕方をしている。；味なことをする獵師だと感心して、文吾は木から降りてやる氣になつた。；リンカーンは非常に感心し、既に製造されていた10丁全てを購入した。；あんな兄さんをと言う人たちに、兄は感心だと彼女は答えるのである。；信長はその話を聞いて、自ら首を獲るよりも優れた行いだと感心したという。；愛子は葉子が入院の日以来感心に毎日訪れて貞世の容体を話して行った。；しかし、絵の様子のいいこと、柄の優れていることには感心するものが多い。；彼はその手口にえらく感心し、自分も同じことを翌日に試みようとする。；思ったより力があるんだなと友人はそれを聞いて感心した。；今にお前方その様子を見たり聞いたりして、何もかも感心してしまうだろう。；僕は知れば知るほどこの男に感心せざるを得ないのである。；私はたゞ感心したものを感心したやうに云ひ現はせばそれで滿足が出來る。；主人は、さも感心したように、じっとかごの中のからすを見ていました。；ヘルメースはきこりの正直さに感心して、三本すべてをきこりに与えた。；魯粛は感心し、呂蒙の母に目通りをして友達になることを約して別れた。；それではいまおまえに感心されたようなしんぼう力は出なかったろう。；絵かきの私など、その七福神の一つ一つの表情にまで感心したものである。；源太郎は自分よりも上手な煙草の吸ひやうを感心する風で姉の顔を見つめてゐた。；伯爵位を与えられたのは彼の音楽の才能にジョージ3世が感心したことによるという。</t>
        </is>
      </c>
      <c r="J1819">
        <f>HYPERLINK("https://www.weblio.jp/content/感心", "词义详情")</f>
        <v/>
      </c>
      <c r="K1819">
        <f>HYPERLINK("https://yourei.jp/感心", "查看例句")</f>
        <v/>
      </c>
    </row>
    <row r="1820">
      <c r="A1820" t="inlineStr">
        <is>
          <t>関心</t>
        </is>
      </c>
      <c r="B1820" t="inlineStr">
        <is>
          <t>成功</t>
        </is>
      </c>
      <c r="C1820" t="inlineStr">
        <is>
          <t>読み方：かんしん
ある物事に特に心を引かれ、注意を向けること。「政治に—がある」「幼児教育に—が高まる」「周囲の—の的」</t>
        </is>
      </c>
      <c r="D1820" t="inlineStr">
        <is>
          <t>関心事；関心をもた；関心を持ち始め；関心を持ち続け；関心ぶり</t>
        </is>
      </c>
      <c r="E1820" t="inlineStr">
        <is>
          <t>注意；興味；注目；考慮；配慮</t>
        </is>
      </c>
      <c r="F1820" t="inlineStr">
        <is>
          <t>強い関心；大きな関心；深い関心；高い関心；関心なさげ</t>
        </is>
      </c>
      <c r="G1820" t="inlineStr">
        <is>
          <t>関心領域；関心の分離；関心空間</t>
        </is>
      </c>
      <c r="H1820" t="n">
        <v>29</v>
      </c>
      <c r="I1820" t="inlineStr">
        <is>
          <t>一般的には、様々な意味で人間自身が最も人間の関心を引くようである。；また、自分に直接関知しないことには無関心であったとも言われている。；その後李成桂は政治には関心を持たず念仏三昧の生活をしていたと言う。；ここでペレルマンが本賞を受賞するのかどうかが一部の関心を呼んでいた。；アメリカ合衆国の新形式主義運動も現代のソネットへの関心に貢献した。；哲学への関心が芽生えたのは石川県専門学校に学んだときのことである。；議会の無関心の一方でロベスピエールはこの事件に注目して記事を執筆した。；これは主に伝説と歴史に対するプラントの関心から生まれたものであった。；しかし当初はルーズベルトは関心を示さず、そのまま委員会は中断した。；賢治は音楽に深い関心を持っており、暇を見つけてはレコードを買っていた。；この楽曲は王宮で公演され、国王ルイ15世の関心を惹くことになった。；国民生活の改善や国力増大の基準として実質成長への関心のほうが高い。；また、自宅から至近距離に生家のあった福田英子にも強い関心を抱いた。；それは彼が陰謀説には全く関心を寄せていないことにも表れている。；しかしながら、ピョートルは文学と芸術には深い関心は持たなかった。；ほかにも宇宙への関心が非常に強く、自宅に天文台が設置されている。；同時に劇作にも関心を持ち、のちに独自の芸術を生み出す原動力となる。；当初は政治には関心を示さず、父の時代からの重臣であったを重用していた。；また世界的に関心の高い分野への受賞など社会的なメッセージともとれる例がある。；それが、彼の読者の多くにこれらの分野に関心を持たせるきっかけともなった。；二人の前衛芸術への関心はウルフの作品に重要な影響を与えたものと思われる。；当初はカント哲学とキリスト教の両立問題に関心を集中させていた。；この出来事はアメリカと世界のメディアの関心を呼んだ。；初めは文学の本に関心が強かったが、のちに伝記に関心を持つようになった。；しかしロシアとオーストリアは地政学的に対仏に関心がなかった。；大都市周辺の地域鉄道サービスは近年世界的に関心が高まっている。；デ・クーニングは、1940年代頃からは人物表現に関心を寄せ始める。；道教に関心を寄せ、神道を整備し、仏教を保護して国家仏教を推進した。；このような関心に答える一連の知識体系を、メディアリテラシーという。</t>
        </is>
      </c>
      <c r="J1820">
        <f>HYPERLINK("https://www.weblio.jp/content/関心", "词义详情")</f>
        <v/>
      </c>
      <c r="K1820">
        <f>HYPERLINK("https://yourei.jp/関心", "查看例句")</f>
        <v/>
      </c>
    </row>
    <row r="1821">
      <c r="A1821" t="inlineStr">
        <is>
          <t>肝心</t>
        </is>
      </c>
      <c r="B1821" t="inlineStr">
        <is>
          <t>成功</t>
        </is>
      </c>
      <c r="C1821" t="inlineStr">
        <is>
          <t>読み方：かんじん
［名・形動］《肝臓と心臓や腎臓は、人体にとって欠くことのできないものであるところから》最も重要なこと。また、そのさま。肝要。「—な話」「慎重に対処することが—だ」</t>
        </is>
      </c>
      <c r="D1821" t="inlineStr">
        <is>
          <t>肝心なところ(3%)；肝心な点；肝心な部分；肝心なとき；肝心要</t>
        </is>
      </c>
      <c r="E1821" t="inlineStr">
        <is>
          <t>必要；重要；主要；第一；重大</t>
        </is>
      </c>
      <c r="F1821" t="inlineStr">
        <is>
          <t>いちばん肝心</t>
        </is>
      </c>
      <c r="G1821" t="inlineStr">
        <is>
          <t>肝心カナメ</t>
        </is>
      </c>
      <c r="H1821" t="n">
        <v>29</v>
      </c>
      <c r="I1821" t="inlineStr">
        <is>
          <t>これはいちばん肝心な話なんですけど、これはあとまわしにしましょう。；こういう肝心の話がすむと、私は母親や私の幼い妻たちの挨拶を受けた。；ただし、肝心の英国側にはそのような作戦を行った証拠となる記録は無い。；新聞も肝心だが、新聞は青年時代には読んでもよくわからないものだ。；なんと肝心のホバーバージが移動途中に氷の穴に落下してしまったのだ。；関沢自身は、肝心な部分ではアクションも一応書いていたと述べている。；できさえすればそうしたいが、肝心の本人が承知しないから話になりません。；スーザンはせっかくの会話が、肝心な点をそれてしまうと思ったのです。；だが、そうはうまくいかず、彼はまだ肝心な点には触れていなかった。；今年はとうとう肝心の日をすっかり忘れてしまっていたのである。；この急襲で基地施設の破壊は成功したが、肝心な戦闘機の破壊は失敗。；話がいちばん肝心なところへ来たことぐらい、僕にだってわかっていますよ。；なにより大事なことは、肝心なことを忘れてはならないということですわ!；ところで、いちばん肝心なことは、女の顔をよく頭に入れておくことだ。；宿泊・食事などの確保はできたものの、肝心の練習場所が見つからない。；軍使を扱う途を知らぬから、肝心の使いの趣きがこの口から出ないのだ。；下らんことばかり書いて、肝心の用事を書く場所がなくなってしまった。；しかし、のちに肝心の円谷特技プロから反発を受けることとなっている。；肝心の主脳が動かないので、二人とも書物をそろえるのを控えている。；また肝心の温度なるものがある度以上には正確に測れぬものである。；何事か、どこかの或る一つの點で、僕は肝心の芥川君に觸れてなかつた。；ただし、アメリカ政府の行ったこと、行わなかったことは肝心ではない。；なによりも肝心なのは、妻の帰宅のために黄金の橋をかけることであった。；肝心の手紙が来ているかどうか見つけるのは、これもごく簡単な仕事なのよ。；そういうものが如何に一番中心であり肝心なものであるかを感じる。；芸術家はこの力の平均に人一倍眼を注ぐことが肝心であると私は思つてゐる。；そして娘を生贄として魔神王を復活させるが、肝心の支配には失敗する。；プルートは音楽を聞くのが大好きだが、肝心の音楽を演奏するのは苦手。；そうして特に現代の生活に入用な器物を作ってゆくことが肝心である。</t>
        </is>
      </c>
      <c r="J1821">
        <f>HYPERLINK("https://www.weblio.jp/content/肝心", "词义详情")</f>
        <v/>
      </c>
      <c r="K1821">
        <f>HYPERLINK("https://yourei.jp/肝心", "查看例句")</f>
        <v/>
      </c>
    </row>
    <row r="1822">
      <c r="A1822" t="inlineStr">
        <is>
          <t>関する</t>
        </is>
      </c>
      <c r="B1822" t="inlineStr">
        <is>
          <t>成功</t>
        </is>
      </c>
      <c r="C1822" t="inlineStr">
        <is>
          <t>読み方：かんする
［動サ変］［文］くゎん・す［サ変］関係がある。かかわる。「将来に—・する問題」「映画に—・しては、ちょっとうるさい」「我—・せず」</t>
        </is>
      </c>
      <c r="D1822" t="inlineStr">
        <is>
          <t>関係；関連；関わる；連なる；係る</t>
        </is>
      </c>
      <c r="H1822" t="n">
        <v>29</v>
      </c>
      <c r="I1822" t="inlineStr">
        <is>
          <t>国内で外国人の関する全ての出来事に柴田が関わったと言われている。；小指の爪の剪つた後から病魔が入るやうなことがあれば生命にも関する。；健康を関するエンターテインメントの番組でテーマにした番組である。；ホワイト・ファングの関するかぎりでは、鶏なんかはいないのであった。；その間に戦争があろうと地震があろうと、吾関するところに非ず。；ジャン・ヴァルジャン一身のことなどは、彼の関することではなかった。；こんにち可換群にアーベルの名を関するのはこの発見に依拠するのである。；真理は単に知識にのみ関するものでなく、道徳にも真理がなければならぬ。；死去の前年までシェイクスピアの関する著書を出版していた。；会議は私の関するところではなかったが、私はその経過の大様を聞知していた。；この特徴のある美髯をなくしては、宗像博士の威厳にも関するではないか。；これは単純なる問題でなく、関するところ甚だ大なる重要なる社会問題である。；おそらく、ロンギヌス関する最後の記録は紀元前43年のものである。；これはヒスチジンの物理的性質などを関するデータページである。；とにかく何百人寵愛しようとあと生活の問題などいうあさましい心配は彼の関するところではない。；前二者においては祖師の死は国家と関するところはなかった。；私は思う、我々の意志の関する限りにおいては恐らくそれは我々の性格から来るだろう。；画家にとってみれば、モデルが自分であると他人であるとは、あえて関するところでないのだ。；それは彼の関するかぎりでは、一種のこしらえ事であり、単に想像の作品にすぎない。；サンタ・クララ・カレッジの教授で航空の関する論文を執筆した。；しかし右の歌はこの驚異の情と何の関するところもない。；しかし調査が進むに連れ、十六夜市には時の流れに関する伝承が多いことに気が付く。；だが、それはこの物語の関するところではない。；政治の年歯と関するの大なる以て知るべし。；この方法を用いて福永研究チームでは筋腱複合体の動体と機能の関する論文を多数公表。；名まえの関するかぎり、これがぼくの第三の生涯だ。；私たちは、藻類バイオの関する全ての分野で活躍することを目標に日々努力して参ります。；此慾望を指して人は愛とよぶもまた憎みといふもそは関するところでない。；ここに私共の関する問題があるのであるが、スミスはこの問題を提出もしなければ、解決もしなかった。</t>
        </is>
      </c>
      <c r="J1822">
        <f>HYPERLINK("https://www.weblio.jp/content/関する", "词义详情")</f>
        <v/>
      </c>
      <c r="K1822">
        <f>HYPERLINK("https://yourei.jp/関する", "查看例句")</f>
        <v/>
      </c>
    </row>
    <row r="1823">
      <c r="A1823" t="inlineStr">
        <is>
          <t>感性</t>
        </is>
      </c>
      <c r="B1823" t="inlineStr">
        <is>
          <t>成功</t>
        </is>
      </c>
      <c r="C1823" t="inlineStr">
        <is>
          <t>読み方：かんせい
１物事を心に深く感じ取る働き。感受性。「—が鋭い」「豊かな—」
２外界からの刺激を受け止める感覚的能力。カント哲学では、理性・悟性から区別され、外界から触発されるものを受け止めて悟性に認識の材料を与える能力。</t>
        </is>
      </c>
      <c r="D1823" t="inlineStr">
        <is>
          <t>感性的(9%)；感性豊か；感性論；感性疾病；感性界</t>
        </is>
      </c>
      <c r="E1823" t="inlineStr">
        <is>
          <t>意味；感覚；訳；念；観念</t>
        </is>
      </c>
      <c r="F1823" t="inlineStr">
        <is>
          <t>鋭い感性；繊細な感性；芸術的感性；若い感性；鋭敏な感性</t>
        </is>
      </c>
      <c r="G1823" t="inlineStr">
        <is>
          <t>感性制御技術；感性アナライザ；感性リサーチ；感性間知覚</t>
        </is>
      </c>
      <c r="H1823" t="n">
        <v>29</v>
      </c>
      <c r="I1823" t="inlineStr">
        <is>
          <t>人間の感性はどこまでも人間的であって、単に動物的であるのではない。；人生や過去の記憶の美しさを大切にする感性を持っているのでしょう。；そして己れの感性を確かに具現させる腕が光悦にはあるのでございます。；その感性は車のデザイナーだけが持っておればよいというわけではない。；理論の動機そのものは極めて感性的なものであり又実際的なものだ。；児童の自由な感性を重視する芸術教育は、現在まで影響を及ぼしている。；余りにも都合が良すぎる、と普通の感性を持っていれば考えたことだろう。；感性からも知性からも考えられない個性は構想力から考えられねばならぬ。；一は知性的な直觀を、他は感性的な直觀をかやうなものと看做してゐる。；その後ロンドンに移り、イギリス貴族の洗練された感性に刺激を受ける。；感性の豊かな若者が、そういう欺瞞にいつまでも気付かないはずがない。；幾つかの症状の内、どれが一番重要な症状かを判断するのは医者の感性でもある。；伝統的な美と新しい感性がその作品の中で融合し、調和しているといえる。；自動車はファッション製品であり、感性がすべてに優先する世界である。；日本語の構造にとらわれず、英語の感性を生かした翻訳を好むとされる。；宮廷本系は宮廷の聴衆の感性と期待に沿うことに重点が置かれている。；二人ともクラスでは目立たないタイプで、当時から笑いの感性が同じだった。；彼女は論理ではなく感性によって、それらの歌をつくっていたと思われる。；自然などからある種の不思議さを感じ取る感性を説明する為の語。；自然豊かな故郷で、河童のように自然に触れながら感性を育てたと語っている。；フンボルトによれば、言葉は人間の感性的・精神的本性の現われである。；彼は感性の豊饒と思索の過度のなかで、索々不安を生きていたのである。；あたしたちも、感性を鈍らせないで、何かを気にしながら生活していくよっ!；同時に感性的な側面は満足固有であり、効果・効率から独立している。；望月自身はこの時の環境によって自分の感性が養われたと語っている。；処で実践は感性から始めて実験・産業などの内容を含んでいる。；非常に深く感性的なものにまで常に触れて行くのである。；こうしてバンドはバレットの感性をグループの軸に据えるようになる。；感性量は感覚量よりもさらに内面的に人の心が評価するような量のことである。</t>
        </is>
      </c>
      <c r="J1823">
        <f>HYPERLINK("https://www.weblio.jp/content/感性", "词义详情")</f>
        <v/>
      </c>
      <c r="K1823">
        <f>HYPERLINK("https://yourei.jp/感性", "查看例句")</f>
        <v/>
      </c>
    </row>
    <row r="1824">
      <c r="A1824" t="inlineStr">
        <is>
          <t>慣性</t>
        </is>
      </c>
      <c r="B1824" t="inlineStr">
        <is>
          <t>成功</t>
        </is>
      </c>
      <c r="C1824" t="inlineStr">
        <is>
          <t>読み方：かんせい
外力が働かなければ、物体はその運動状態を保つという性質。惰性。</t>
        </is>
      </c>
      <c r="D1824" t="inlineStr">
        <is>
          <t>慣性駆動系(17%)；慣性飛行(5%)；慣性状態(4%)；慣性航行(2%)；慣性運動(2%)</t>
        </is>
      </c>
      <c r="F1824" t="inlineStr">
        <is>
          <t>有慣性；慣性始動機；熱慣性；慣性化；回転慣性</t>
        </is>
      </c>
      <c r="G1824" t="inlineStr">
        <is>
          <t>慣性航法；慣性モーメント；慣性力；慣性質量；慣性誘導</t>
        </is>
      </c>
      <c r="H1824" t="n">
        <v>29</v>
      </c>
      <c r="I1824" t="inlineStr">
        <is>
          <t>と船が大きく震動したと思ったら、今度は前から後ろへ慣性がかかった。；そのうち四回は演奏したくて演奏したがあとの七回は慣性で演奏したのさ。；観測者 、 が慣性運動しており、さらに質点 が運動しているとする。；この船が、この空域で唯一の無慣性船だということを、彼は知っている。；全体としての流体の慣性にそれがしたがうことが一般に信じられている。；慣性などが大きくなるのを防ぐためか、サイズは小さくなる傾向が見られる。；キャッチャーは多少の慣性を伴いながらん一時停止して、左へと曲がる。；大気圏外に到達する時にはエンジンは停止して慣性で放物線状に飛行した。；この速度で制動をかけたら慣性で五十メートルは進んでしまうのだ。；しかし現在ではより系統的慣性を重視した社会構造論に移りつつある。；これも慣性系へ移行して説明すれば当然の特殊相対論効果と言える。；発生する慣性エネルギーをもはや吸収するわけにいかないのだ。；慣性を無視したUFOのあの動きが、物理学で説明がつくっていうのか?；ボールの重量、直径が大きいものほど慣性を利用した用法に有利である。；くそっ、普通の金属ではこの程度の慣性や空気抵抗にも耐えられないのか。；ドッキングとは、特に慣性飛行している2機の宇宙機の結合を意味する。；そこで、防御壁が崩壊したとたん、ボイス号は無慣性状態に移行した。；運動慣性の分だけ衝撃が相殺されず、背後の壁の窓硝子に二人ともに激突。；彼らは無慣性ではなく、いつでも攻撃をかけられるように有重力状態にあった。；そのような観測者は、加速度を体験してはいないので、慣性と普通は考える。；その行動は、気を滅したときからの直線的な慣性運動でしかない。；その動きは驚異的な速さと、慣性を無視した超絶の機動性を誇っている。；おまえんとこの慣性駆動系は働いているんだろ、それもちゃんと、な。；前者の特性はダイヤモンド熱慣性テスターの鑑定原理に利用されている。；その回転慣性エネルギーを利用し、蓄電装置などに利用されている。；突き上げるように力を加えることで、衝撃を上へ、慣性を地面へ逃がす。；慣性効果のため、停止状態から最高速状態になるまでには少し時間が掛かる。；車が水の上に浮いているような素敵な感じがし、慣性で滑ってから止まった。；連絡艇は四か月の加速期間を終え、無重力状態の慣性飛行に移っていた。</t>
        </is>
      </c>
      <c r="J1824">
        <f>HYPERLINK("https://www.weblio.jp/content/慣性", "词义详情")</f>
        <v/>
      </c>
      <c r="K1824">
        <f>HYPERLINK("https://yourei.jp/慣性", "查看例句")</f>
        <v/>
      </c>
    </row>
    <row r="1825">
      <c r="A1825" t="inlineStr">
        <is>
          <t>歓声</t>
        </is>
      </c>
      <c r="B1825" t="inlineStr">
        <is>
          <t>成功</t>
        </is>
      </c>
      <c r="C1825" t="inlineStr">
        <is>
          <t>読み方：かんせい
喜びを抑えきれずに叫ぶ声。歓呼の声。「—をあげる」</t>
        </is>
      </c>
      <c r="D1825" t="inlineStr">
        <is>
          <t>応援；喝采；ガッツポーズ；ハイタッチ；手を取り合う</t>
        </is>
      </c>
      <c r="F1825" t="inlineStr">
        <is>
          <t>大きな歓声；どっと歓声；わっと歓声；思わず歓声；小さな歓声</t>
        </is>
      </c>
      <c r="H1825" t="n">
        <v>29</v>
      </c>
      <c r="I1825" t="inlineStr">
        <is>
          <t>甲板には多くの人が集まって歓声をあげたり帽子を振ったりしている。；今度は誰でもわかる明らかな一本に、旗よりも先に歓声が湧き上がった。；ツーリストの悲鳴のような歓声を聞くのを楽しみにしているという男だ。；欧州選手権では地元イギリスの観客の大歓声を受ける演技を披露した。；だから、ようやく彼が姿をあらわしたときには、思わず歓声があがった。；フランシス自身はスタンドからの大歓声が原因ではないかと推測している。；それは歓声 とも悲鳴ともつかない、爆音のように凄まじい叫びだった。；クラスメイトの協力でステージに戻った二人は歓声の中踊りきった。；歓声は悲鳴に変わり、誰もがジャンセンの優勝はなくなったと感じた。；その姿を見てトラックの内側からも外側からも、大きな歓声がわき起こる。；歓声を上げる聴衆を落ち着かせた後、ジョーンズは次の様に述べている。；村の子供たちも、彼がやってくると、いつでも大喜びをして歓声をあげた。；フランシス本人は大きな歓声に驚いてそのようになったと語っている。；四人のワゴンがフェスの会場に到着、2000人の歓声が聞こえてきた。；犬の声よりも、見ていた群集の歓声が、小屋の前を揺すったのである。；オスのみが出す警戒声は鳥類の中でも最も大きく歓声のような独特な声である。；そして中に入っていたブーツ型のジョッキ二つを見て歓声を上げた。；しかし16年大会の登場時には、観客からは拍手と歓声で迎えられた。；勝利の歓声なのかまたは逃げたと見てあざけったのであろうか。；二十四人の中隊員たちはワーツと歓声を上げてブランデーの後を追った。；みんな元気な半ズボン姿で、仲のいい歓声が居間まで聞えて来ていた。；一般公開には多数の市民が訪れ、遺体に歓声が上がる場面もあった。；クラドックは彼らが何に歓声をあげているのかと、手すりごしに眼をやった。；観客もまた、巨人の勝利に歓声をあげ、誰も杉下に注目する者はいなかった。；歓声に混じって、闇にまぎれて腰をくすぐられた女の叫び声が聞こえた。；訪れた時と違い、その発進には華やかな歓声も、見送る客の群れもない。；その歓声を浴びながら、伊庭いつきは絶望にうちひしがれていたのだった。；ウイニングランの場面では大歓声のなか、激しく頭を上下させる姿が見られた。；ただ、どういう種類の一致で彼らが歓声をあげているのか、それが問題であった。</t>
        </is>
      </c>
      <c r="J1825">
        <f>HYPERLINK("https://www.weblio.jp/content/歓声", "词义详情")</f>
        <v/>
      </c>
      <c r="K1825">
        <f>HYPERLINK("https://yourei.jp/歓声", "查看例句")</f>
        <v/>
      </c>
    </row>
    <row r="1826">
      <c r="A1826" t="inlineStr">
        <is>
          <t>完成</t>
        </is>
      </c>
      <c r="B1826" t="inlineStr">
        <is>
          <t>成功</t>
        </is>
      </c>
      <c r="C1826" t="inlineStr">
        <is>
          <t>読み方：かんせい
［名］(スル)完全に出来上がること。すっかり仕上げること。「—を見る」「ビルが—する」「大作を—する」</t>
        </is>
      </c>
      <c r="D1826" t="inlineStr">
        <is>
          <t>完成する(7%)；完成させる(3%)；完成後(3%)；完成予定；完成すれ</t>
        </is>
      </c>
      <c r="E1826" t="inlineStr">
        <is>
          <t>成功；終わる；完了；切る；終る</t>
        </is>
      </c>
      <c r="F1826" t="inlineStr">
        <is>
          <t>工事完成；完成直後；完成当初；完成間近；ダム完成</t>
        </is>
      </c>
      <c r="G1826" t="inlineStr">
        <is>
          <t>完成品；完成予想図；完成披露試写会；完成工事高</t>
        </is>
      </c>
      <c r="H1826" t="n">
        <v>29</v>
      </c>
      <c r="I1826" t="inlineStr">
        <is>
          <t>いかなる実験も、作品が完成する前に行なわれていると考えたためである。；自分が何かを完成させることができたのはこれが初めてではないかと思います。；ほぼ完成していたとされるが、それを発売中止にしての正式発売となった。；未完成のこの作品には、多くの人々に囲まれた聖母子が描かれている。；戦争機械の完成を阻止するには全工場を速やかに破壊せねばならない。；そのため、2002年に完成していた店舗用のビルは一度も使われなかった。；最初の公開リリースであるバージョン13は1985年3月に完成した。；その後フリーホイール機構が普及し、自転車の基本がほぼ完成された。；熱がこもっていたのは明らかで、わずか44日ほどで完成をみている。；画像は現在の盧溝橋で、章宗時代に完成したものが基礎となっている。；建設や完成後の運用にも様々な問題が生じ、その解決策を模索することとなる。；この工事は基礎まで完成したが、戦争の影響でその後の建設工事が中止された。；ダイはこの時完成していた第3章までの原稿を読み夢中になった。；このうち錦町から六日市までの区間は大半の路盤が完成していた。；こうして一眼レフの自動露出システムもほぼ完成を見ることとなった。；本体を作ろうとする試みもあったが結局、完成には至っていない。；これを繰り返して全ての数字とカナの対応を導き出せば完成である。；しかし映画の公開は1968年にまで延び、小説もその後に完成した。；結果的に三管編成を完成させた時期はラヴェルが活躍した時代である。；近年では建築意匠を完成後に建築写真という形で保存する傾向もある。；曲は1902年の初頭に完成されて3月8日にヘルシンキ初演を迎える。；熟成とは、貯蔵されている間に進行する、酒質の成長や完成への過程をいう。；学道を完成してこれ以上に学ぶ要がないので阿羅漢果を無学位という。；完成した28号の起動実験が行われるが失敗、機体は爆散してしまう。；騎馬像の原型となる粘土製の馬の像が完成したのは1492年である。；執筆時期は正確には判明していないが、長保3年にはほぼ完成したとされている。；駅ビル完成直後も四ツ谷寄りにホームの一部が残っていたが、後に撤去された。；この作業は商品が完成するのに今までと比較して時間効率が下がることが予想される。；レオナルドの完成している絵画としては、最初期の作品と見なされている。</t>
        </is>
      </c>
      <c r="J1826">
        <f>HYPERLINK("https://www.weblio.jp/content/完成", "词义详情")</f>
        <v/>
      </c>
      <c r="K1826">
        <f>HYPERLINK("https://yourei.jp/完成", "查看例句")</f>
        <v/>
      </c>
    </row>
    <row r="1827">
      <c r="A1827" t="inlineStr">
        <is>
          <t>閑静</t>
        </is>
      </c>
      <c r="B1827" t="inlineStr">
        <is>
          <t>成功</t>
        </is>
      </c>
      <c r="C1827" t="inlineStr">
        <is>
          <t>読み方：かんせい
［形動］［文］［ナリ］もの静かで、落ち着いたさま。「—な町並み」
[派生]かんせいさ［名］</t>
        </is>
      </c>
      <c r="D1827" t="inlineStr">
        <is>
          <t>閑静な住宅街(26%)；閑静な住宅地(11%)；閑静な住宅街(4%)；閑静な場所(2%)；閑静な住宅地(2%)</t>
        </is>
      </c>
      <c r="E1827" t="inlineStr">
        <is>
          <t>静か；静寂；静粛；粛然；密やか</t>
        </is>
      </c>
      <c r="F1827" t="inlineStr">
        <is>
          <t>位置する閑静；閑静な高級住宅地；閑静な雰囲気；閑静な土地；閑静な郊外</t>
        </is>
      </c>
      <c r="H1827" t="n">
        <v>29</v>
      </c>
      <c r="I1827" t="inlineStr">
        <is>
          <t>第二次世界大戦前は少数の商売店がある以外は、閑静な住宅地であった。；かつては町工場の密集していた地域だが現在は閑静な住宅街の中にある。；そしてその閑静な街の一劃は彼の生活の中の日当りのいい部分となった。；駅周囲は閑静な住宅街となっており、中・低層のマンションも立地する。；岡本静嘉堂緑地などの緑豊かな環境に恵まれた閑静な住宅地に所在する。；この施設は、ヴィプリングヴェルデ近郊の森の斜面の閑静な場所にある。；にもかかわらず、戦前のそれに劣らぬ閑静な住宅街が建設されている。；現在、東三本木通りと西三本木通りをはさむ閑静な住宅地となっている。；そのあたりは閑静な住宅地で、どこにも雑誌社みたいな建物はなかった。；閑静な通りで、素敵な家が多く、二軒一棟式、複数の家に作業場がある。；地域内は緑が多く閑静な高級住宅街として知られる地域の一つである。；その車夫は坂道を下ったり上ったりして高台の閑静な一郭に走りこんだ。；僕は知らずに奥へ通って、千代子一人が閑静に坐っているのを見て驚ろいた。；武蔵野台地の端に位置するため起伏に富み、緑豊かな閑静な地域にある。；広島市との市境付近に位置しており、周辺は閑静な住宅街が広がる。；多少交通が不便ではあるが、閑静な環境に造られた高級マンションである。；閑静な住宅街と不動産屋の広告に書かれそうなこの辺りは、私の両親の趣味だ。；私は目下温泉保養の決心をして、やすくて閑静なところを調査中です。；こういう閑静な住宅街に限って、誰が見ているか分からないものだ。；それが春の日の閑静な部屋に、二人だけで向かい合っているのであった。；それから二十分後に、彼は閑静な大通りの、とある家の前に足をとめた。；私の住まいは閑静な住宅地にあるので車の往来もこの時間ではなくなっている。；あのあたりは閑静な住宅地で、戦前は陸軍の将校の家などが多かったのですよ。；当時は閑静だったこの陶郷を訪ねたときのことを、志功はこう書いている。；工業地帯となった時代を経て、現在では公園や閑静な住宅が広がる場所である。；あの辺は、古くから住んでいる人が多い閑静な住宅街でしょう?；そして二つのエンジン音が夜だけは閑静な筈の工場町に轟いた。；西友以外に大規模な商業施設も存在せず、閑静な住宅街となっている。；この店舗が存在する地区は、PV撮影当時から閑静な住宅街である。</t>
        </is>
      </c>
      <c r="J1827">
        <f>HYPERLINK("https://www.weblio.jp/content/閑静", "词义详情")</f>
        <v/>
      </c>
      <c r="K1827">
        <f>HYPERLINK("https://yourei.jp/閑静", "查看例句")</f>
        <v/>
      </c>
    </row>
    <row r="1828">
      <c r="A1828" t="inlineStr">
        <is>
          <t>関税</t>
        </is>
      </c>
      <c r="B1828" t="inlineStr">
        <is>
          <t>成功</t>
        </is>
      </c>
      <c r="C1828" t="inlineStr">
        <is>
          <t>読み方：かんぜい
貨物が経済的境界を通過するときに課せられる租税。現在の日本では、外国からの輸入品に課する輸入税をいい、財政収入と国内産業の保護を目的とする。</t>
        </is>
      </c>
      <c r="D1828" t="inlineStr">
        <is>
          <t>関税収入(2%)；関税引き下げ；関税改革；関税問題；関税政策</t>
        </is>
      </c>
      <c r="F1828" t="inlineStr">
        <is>
          <t>輸入関税；高い関税；高関税；無関税；輸出関税</t>
        </is>
      </c>
      <c r="G1828" t="inlineStr">
        <is>
          <t>関税法；関税率；関税自主権；関税局；関税撤廃</t>
        </is>
      </c>
      <c r="H1828" t="n">
        <v>29</v>
      </c>
      <c r="I1828" t="inlineStr">
        <is>
          <t>さらにはハンザ同盟の一員でもあり、関税収入を手にすることができた。；この時期のアメリカでは、銀行整備と関税が主要な国内政治課題だった。；アメリカとカナダの間の貿易は既にほとんどの関税が撤廃されていた。；これは北米市場で輸入車にかけられる関税を回避するためのものでもあった。；更にアメリカとオーストラリアからの無関税の輸入枠を新設する。；また、国境通過の際の関税を廃止したことで経費がさらに削減された。；一つの州で集められた税金や関税が国内の他の州の改良に使われることにも反対した。；カーネギーは有利な関税率が継続されるよう議会にも熱心に働きかけていた。；関税を撤廃させるための南部戦略の一部は西部との連携を手配することだった。；世界貿易機関のルールでは懲罰的関税は基本的に認められないからである。；しかし、多くの繊維製品には大きな関税がまだ残ったままであった。；彼は寧波で関税事務の改善に従事したほか、中国学の多くの作品を書いた。；産業はあらゆる者を裕福にするかもしれないとしたが、高い関税を推奨した。；台湾を出て行くものが携帯する財産は関税を免除することなどが規定されていた。；ロシアがこの地域に関税をかけるのも時間の問題だった。；関税について完全に廃止しないまでも税率を下げるようなことが行われる。；ウズベキスタン政府は高い関税を含む様々な方法で外国製品の輸入を制限している。；バルフォアもそれまでの折衷主義を弱めて関税改革路線に傾いていった。；高い関税はアメリカの工場と労働者を外国の競争者から守った。；後にはさらに関税無料化と宗教の自由も追加された。；製造物が輸入される場合には、関税や輸入枠といった面で生産国の特定は重要である。；これは、住民にエルベ川下流での無関税船舶運航を保証するものだった。；推奨される政策 高関税その他の統制手段による市場の力からの保護。；自由貿易は、関税など国家の介入や干渉を排して自由に行う貿易を指す。；第三は外国の原料を使って国内で生産した財にかかる輸出関税を低減すること。；ドイツ経済にとっては、ポーランドとの関税戦争の影響は小さなものであった。；そのため、プロイセンは諸邦国と関税協定を結ぶ必要にせまられていた。；付属書は日本・アメリカそれぞれの関税引下げ、撤廃を規定している。；明白な経済側面以外に、関税問題は民族的な側面も持っていた。</t>
        </is>
      </c>
      <c r="J1828">
        <f>HYPERLINK("https://www.weblio.jp/content/関税", "词义详情")</f>
        <v/>
      </c>
      <c r="K1828">
        <f>HYPERLINK("https://yourei.jp/関税", "查看例句")</f>
        <v/>
      </c>
    </row>
    <row r="1829">
      <c r="A1829" t="inlineStr">
        <is>
          <t>岩石</t>
        </is>
      </c>
      <c r="B1829" t="inlineStr">
        <is>
          <t>成功</t>
        </is>
      </c>
      <c r="C1829" t="inlineStr">
        <is>
          <t>読み方：がんせき
地殻やマントル上部を構成する固体物質。一種または数種の鉱物の集合体からなり、成因により火成岩・堆積岩(たいせきがん)・変成岩に分類される。</t>
        </is>
      </c>
      <c r="D1829" t="inlineStr">
        <is>
          <t>岩石群(2%)；岩石質(2%)；岩石層；岩石地帯；岩石等</t>
        </is>
      </c>
      <c r="E1829" t="inlineStr">
        <is>
          <t>石；岩；ストーン；石ころ；磐</t>
        </is>
      </c>
      <c r="F1829" t="inlineStr">
        <is>
          <t>大きな岩石；構成する岩石；大岩石；古い岩石；岩石地</t>
        </is>
      </c>
      <c r="G1829" t="inlineStr">
        <is>
          <t>岩石惑星；岩石海岸；岩石学者；岩石砂漠；岩石圏</t>
        </is>
      </c>
      <c r="H1829" t="n">
        <v>29</v>
      </c>
      <c r="I1829" t="inlineStr">
        <is>
          <t>また岩石でできた分身体ともいえる存在を無数に作り出すことができる。；鉱物や岩石の人工的な製造などの実験的な実験を続けたことで知られる。；これは厚い大気の層に阻まれた地球上の岩石には見られないものである。；岩石の表面に蛇のような紋様が見られることから、蛇紋岩と命名された。；隕石と称して岩石を売る業者があるが、本物である可能性は極めて低い。；岩石の性質は多種多様で、地貌の類型も非常に複雑で多様になっている。；後者は、重い有機化合物を含む炭素質の物質や岩石であると考えられる。；そのため、地球と同じように岩石から成る岩石惑星だと考えられている。；水と岩石の接触は、生命の起源にとって重要な要素である可能性がある。；岩石を破砕した砕石は形状が丸みを帯びたものではなく砂利とは異なる。；それはインドのパッラヴァ朝の文字を使用して岩石の表面に彫られている。；一個の岩石内の成分についてでもよいし地殻全体の成分についてでもよい。；最高地点は太古代の岩石で出来たなだらかな形状のモンタルト山である。；地形学では、野外で岩石や岩盤の硬さを測定するために利用されてきた。；しかし冥王代については上記のように当時の岩石が殆ど入手できない。；ただし大小岩石の道が続くので落石させないように注意して歩く必要はある。；この地域には特徴的な鮮新世の岩石地形があり、 と呼ばれている。；地下水も岩石の間を流れることで岩石由来の炭素を取り込むことがある。；この地域で産出される岩石は切り出されて建築石材として使われている。；これらの岩石種と、採取される有用元素の間には明確な相関関係がある。；カリスト内部での対流運動は氷と岩石を部分的に分離するにとどまった。；対象とする地形を形成する岩石や砂の性質によって分類する方法。；これらはほとんどが氷の小片であり、岩石のデブリや宇宙塵も含まれる。；これら岩石でできた壁によって、事実上の小空間が維持されている。；溝はおそらくその下にある岩石を破壊した衝突によって形成された。；主成分は岩石や金属で、多くの点で地球型惑星と共通した性質を持つ。；彼の伝説によると、墓の周囲の岩石地は奇跡のように緑地となった。；このため月面の岩石からヘリウム3の採掘を試みる研究も行われている。；メリディアニにある岩石の調査で過去に水が存在した強固な証拠が発見された。</t>
        </is>
      </c>
      <c r="J1829">
        <f>HYPERLINK("https://www.weblio.jp/content/岩石", "词义详情")</f>
        <v/>
      </c>
      <c r="K1829">
        <f>HYPERLINK("https://yourei.jp/岩石", "查看例句")</f>
        <v/>
      </c>
    </row>
    <row r="1830">
      <c r="A1830" t="inlineStr">
        <is>
          <t>間接</t>
        </is>
      </c>
      <c r="B1830" t="inlineStr">
        <is>
          <t>成功</t>
        </is>
      </c>
      <c r="C1830" t="inlineStr">
        <is>
          <t>読み方：かんせつ
１中間に他のものを置いた状態で、物事が行われること。また、そういう関係にあること。「知人を通じて—に依頼する」「—の援助を受ける」⇔直接。
２遠回しに示すこと。「—に非難する」⇔直接。</t>
        </is>
      </c>
      <c r="D1830" t="inlineStr">
        <is>
          <t>間接的(36%)；間接非自動(3%)；間接制御(2%)；間接自動制御；間接攻撃</t>
        </is>
      </c>
      <c r="E1830" t="inlineStr">
        <is>
          <t>遠回し</t>
        </is>
      </c>
      <c r="F1830" t="inlineStr">
        <is>
          <t>間接自動；直接または間接；式間接；直接的または間接的；間接部門</t>
        </is>
      </c>
      <c r="G1830" t="inlineStr">
        <is>
          <t>間接照明；間接統治；間接税；間接選挙；間接支配</t>
        </is>
      </c>
      <c r="H1830" t="n">
        <v>29</v>
      </c>
      <c r="I1830" t="inlineStr">
        <is>
          <t>近藤はそれに間接的に影響を受け、自身の道を決定付けた体験だと語る。；最後に、社会的要因が喪失に間接的な役割を果たしている可能性がある。；アートとは、芸術・美術など間接的に社会に影響を与え得るものである。；様々な商品が様々な効能があることを直接・間接に示唆しつつ販売された。；車掌スイッチについては電気的に保持する間接制御式に交換されている。；相対モードや相対間接モードのみを使ったプログラムは位置独立となる。；その後、東横線用では2007年より間接制御式への変更が実施された。；制御方式は一次車と同じ直接制御ではなく、間接制御が採用された。；キャッシュ・フロー計算書を作成する方法には、直接法と間接法がある。；原価計算基準では、直接材料費と間接材料費を次のように分類している。；唯一残るホイットマンの性的行動の明示的な記述も間接的なものである。；本人は登場しないが、会話の中に間接的な表現で出てくる人物を以下に記載する。；したがって植物にとっては間接的なアリへの給餌とも見ることができる。；これらを解消するために開発されたのが、間接式の制御器である。；シェナンドー渓谷にいた軍隊はこの作戦では間接的な役割を演じた。；国民が政治に参加する制度には、直接的なものと間接的なものに分けられる。；間接疑問文の構造は基本的に疑問詞前置と同じだが、以下の点が異なる。；当時の京都市電は同一形式の中で直接制御車と間接制御車を並行して製造していた。；配信直前にSteamのシステムに問題が発見されたのが間接的な原因であった。；国内の自動車産業は直接間接に国内雇用数の10分の1に相当している。；このような黒点は、それ以来、多くの恒星系で間接的に観測されている。；間接攻撃はできないが、直接戦闘時に複数の敵への攻撃が可能。；実際、直接・間接を問わず他作品へ多くの言及がなされている。；約2年間の活動で間接的にではあるが多数のプロレスラーを輩出した。；原価計算基準では、直接労務費と間接労務費を次のように分類している。；なお、間接においては負担や責任の一部が転嫁されるのが普通である。；現在の鉄道車両で通常用いられているのは、この間接制御器である。；感染経路は直接のものと、または媒介物を通した間接的なものがある。；間接言語行為は一般に、提案を拒絶する場合や要求を行う場合になされる。</t>
        </is>
      </c>
      <c r="J1830">
        <f>HYPERLINK("https://www.weblio.jp/content/間接", "词义详情")</f>
        <v/>
      </c>
      <c r="K1830">
        <f>HYPERLINK("https://yourei.jp/間接", "查看例句")</f>
        <v/>
      </c>
    </row>
    <row r="1831">
      <c r="A1831" t="inlineStr">
        <is>
          <t>間接的</t>
        </is>
      </c>
      <c r="B1831" t="inlineStr">
        <is>
          <t>成功</t>
        </is>
      </c>
      <c r="C1831" t="inlineStr">
        <is>
          <t>読み方：かんせつてき
［形動］何かが間に立った状態で物事が行われたり関係したりするさま。「—な援助」「—に彼を知っている」⇔直接的。</t>
        </is>
      </c>
      <c r="D1831" t="inlineStr">
        <is>
          <t>間接的影響；間接的利用；間接的に伝えられ；間接的かつ；間接的伝達</t>
        </is>
      </c>
      <c r="E1831" t="inlineStr">
        <is>
          <t>暗に；婉曲；遠回し；余所ながら</t>
        </is>
      </c>
      <c r="H1831" t="n">
        <v>29</v>
      </c>
      <c r="I1831" t="inlineStr">
        <is>
          <t>カーク自身、息子の死には間接的にしろ自分に責任があると感じていた。；時期的に沙織事件の影響を間接的に受け、流通に乗っていた時期が短い。；このことは天皇が赤を重視したことからも間接的に推測されている。；この操作により東京電力は間接的に供給区域を拡大した形となっている。；テストステロンと攻撃性の関係は、間接的に機能している可能性もある。；それは間接的にではありますが、その家の細君を賞めたことになります。；また、平板上に地図・間接的に距離・高低差を求めることが可能である。；これは、間接的には大陸にある清の出先機関・デレンとの貿易であった。；そのため、イギリスの影響を受けた国にも間接的に受けた影響が残っている。；娘に注意したいことがある時は妻を介して間接的に注意させている。；その反応から、大量の金属質の鉄が存在することを間接的に示した。；それは間接的に外様の勢力を天下に再認識させるだけの意味はあった。；このことが、間接的に後の玄武門の変を招くことにつながったのである。；インドは催眠術の普及に少なくとも間接的に貢献していると言えるであろう。；わたしは君から間接的に、起こっている出来事を聞いたに過ぎない。；この事は、より賢い人間が間接的に選択上の有利さを持つ可能性を示唆する。；間接証拠とは証明の対象となる事実を間接的に証明する証拠のこと。；地上に到達したエネルギーは直接的、間接的に人間の生活に利用されている。；また間接的には、自分が設けた呪物でもって夫なる男を呪うのである。；直接それを証言してくれる者はいないが、会社の人たちが間接的に証言してくれる。；間接的ながら、元のデザイン者の手で復活を果たすことになった。；それは間接的に村が滅びることを是とすることだ、とは分かっている。；その後、リングローズは細君の口から間接的に収入を知ったほどだった。；中国の日記は、直接的・間接的に日本の日記の出現に影響を与えた。；東南アジアなど日本の法整備支援を受けた国では間接的に影響を受けている。；前述のように、真のクラスは、ZFでは間接的にのみ扱うことができる。；ビーティングは、船が間接的に風上へ前進することを可能にしてくれる。；このため、途中で9番が間接的にポケットされてゲームが終了することもある。；彼女が再び一同に云ったのは、間接的には門田への答になっていた。</t>
        </is>
      </c>
      <c r="J1831">
        <f>HYPERLINK("https://www.weblio.jp/content/間接的", "词义详情")</f>
        <v/>
      </c>
      <c r="K1831">
        <f>HYPERLINK("https://yourei.jp/間接的", "查看例句")</f>
        <v/>
      </c>
    </row>
    <row r="1832">
      <c r="A1832" t="inlineStr">
        <is>
          <t>感染</t>
        </is>
      </c>
      <c r="B1832" t="inlineStr">
        <is>
          <t>成功</t>
        </is>
      </c>
      <c r="C1832" t="inlineStr">
        <is>
          <t>読み方：かんせん
［名］(スル)
１病原体が体内に侵入すること。特に、そのために種々の病態が起こること。「結核に—する」「新型ウイルスが人に—する仕組みを解明する」
２影響を受け、それに染まること。「過激な思想に—する」
３コンピューターシステムに不具合を起こすコンピューターウイルスが、ファイルに組み込まれること。</t>
        </is>
      </c>
      <c r="D1832" t="inlineStr">
        <is>
          <t>感染する(12%)；感染症(6%)；感染者(2%)；感染率；感染状況</t>
        </is>
      </c>
      <c r="E1832" t="inlineStr">
        <is>
          <t>伝染；接触感染；接触伝染</t>
        </is>
      </c>
      <c r="F1832" t="inlineStr">
        <is>
          <t>hiv感染；新型コロナウイルス感染；エイズ感染；持続感染；自然感染</t>
        </is>
      </c>
      <c r="G1832" t="inlineStr">
        <is>
          <t>感染拡大；感染者；感染性；感染源；感染防止</t>
        </is>
      </c>
      <c r="H1832" t="n">
        <v>29</v>
      </c>
      <c r="I1832" t="inlineStr">
        <is>
          <t>しかし現在も海外から帰国した人が感染した例が年間100例以上ある。；感染のフォーカスが明らかにならない場合は入院適応となることもある。；感染前に外部接続を遮断したコンピュータまでも支配する能力を持つ。；また「実際の感染規模は政府公表の数百倍を超える」とする専門家もいる。；このタイプの場合、感染した人間から他の人間や動物には感染しない。；皮膚感染症のうち最も表面に近い部分に起こるのが伝染性膿痂疹である。；再開後も感染への懸念から全米オープンを含むアメリカでの大会を欠場。；性交を避けることは感染を回避する最も信頼のおける方法でもある。；他の感染の者は部屋の中で陰性の者とは隔離しながら生活している。；患者の隔離に関する措置が十分に行われていれば、感染することはない。；糞尿などから食物や水などを経由し、経口感染するケースが大半である。；血友病の治療経過中にC型肝炎ウイルスにも感染したが治療を経て治癒。；最も重要な感染源は、患者の糞便や吐瀉物に汚染された水や食物である。；特に鳥類においては、300種以上の鳥が感染することが判明している。；自然界では人間のように交尾によって感染したと断定できる報告はない。；同ウイルスの研究や治療、その感染の対策は現在も続けられている。；咽喉への感染では、喉が痛くなり痰が増えたりするが無症状の場合もある。；特に夫から妻への感染が多く逆はほとんど観察されない。；HIV感染者のおける小脳性運動失調症は稀であるが報告されている。；感染すると、システム起動時に自動実行するプログラム群に自動登録される。；この軍隊が1348年に引き上げるとモロッコにその感染をもたらした。；感染してもウイルスの影響が出現しないウイルス抵抗性とは異なる。；それらによって細菌類の感染には大量の好中球が動員されることになる。；たとえばアメリカでエボラ出血熱の感染が確認された際にもこの方法が採用されている。；ウイルスフリーとは、生物がウイルスに感染していない状態のことを言う。；またSARS感染患者搬送用の救急車や治療・入院を行う病院が整備された。；感染の可能性が強く示唆される場合は、1ヶ月後以降に再検査することが必要である。；喉頭感染では喉が痛くなり痰が増えたりするが、無症状の場合もある。；発生に季節性は無く、感染しても症状が出ない不顕感染の場合もある。</t>
        </is>
      </c>
      <c r="J1832">
        <f>HYPERLINK("https://www.weblio.jp/content/感染", "词义详情")</f>
        <v/>
      </c>
      <c r="K1832">
        <f>HYPERLINK("https://yourei.jp/感染", "查看例句")</f>
        <v/>
      </c>
    </row>
    <row r="1833">
      <c r="A1833" t="inlineStr">
        <is>
          <t>幹線</t>
        </is>
      </c>
      <c r="B1833" t="inlineStr">
        <is>
          <t>成功</t>
        </is>
      </c>
      <c r="C1833" t="inlineStr">
        <is>
          <t>読み方：かんせん
主要な道筋となる線。鉄道・道路・電話などにいう。「—道路」「新—」⇔支線。</t>
        </is>
      </c>
      <c r="D1833" t="inlineStr">
        <is>
          <t>幹線道(6%)；幹線鉄道(6%)；幹線水路(2%)；幹線系統；幹線ルート</t>
        </is>
      </c>
      <c r="E1833" t="inlineStr">
        <is>
          <t>本線</t>
        </is>
      </c>
      <c r="F1833" t="inlineStr">
        <is>
          <t>重要幹線；鉄道幹線；大幹線；雨水幹線；横断する幹線</t>
        </is>
      </c>
      <c r="G1833" t="inlineStr">
        <is>
          <t>幹線堀；幹線電気動車</t>
        </is>
      </c>
      <c r="H1833" t="n">
        <v>29</v>
      </c>
      <c r="I1833" t="inlineStr">
        <is>
          <t>リンチバーグには2つの鉄道幹線が来ていることにも注目すべきである。；第二の目的は高速鉄道を国と重要度の高い幹線に導入することである。；幹線道の整備に伴い脇道や水上交通も発達し、多くの市や宿が成立した。；これ以降は、幹線網から外れた地方をカバーする支線の建設が進められた。；鉄道省では幹線の都市間連絡列車に用いることを想定していたといわれる。；路線は、幹線と地域線に種類が分かれていたが、料金などは同じであった。；都市間を短絡する高速新線などの幹線鉄道の名称に使われることもある。；交通網の中で主要な路線を幹線と呼び、最も重要な路線は本線と呼ぶ場合もある。；また、主要な幹線では、荷物車のみで編成された荷物専用列車も存在する。；そこから東・西・南・西南・東南の5方向に放射状の幹線が延びている。；近年は渋滞や事故の減少のため常時幹線青方式に変更されるケースが多い。；動力伝達方式は幹線用機関車の世界的な標準である電気式を採用した。；主要幹線は運行したが北見バス自らが手配し除雪を行うこともあった。；同時に線内運賃も千葉線・本線やJR東日本の幹線に比べ高水準である。；信楽高原鐵道を除いて電化されており、すべてのJR路線が幹線である。；その後の雨水幹線の水質検査では、除去率を上回る効果が得られている。；総裁として鉄道幹線広軌化計画の中止と地方路線拡張方針を打ち出した。；幹線を形成した、元々の鉄道と開業区間は下記の通りである。；これに至る旧山陽道が中国地方の重要な幹線道となっていた。；そのため、両本線に並行して新しい幹線を敷いたらどうかという提案が出た。；国内の東西方向に走る主要幹線道がオハイオ州内を通っている。；各支局は300マイル以上の幹線と10マイル以上の支線を管理している。；存続していれば後に重要幹線として活用されたであろうと見込まれた廃止路線もある。；ただし、専用車の運用は幹線35号系統や幹線85号系統のみであった。；畿内と東国を結ぶ幹線であった東山道が通されたのもこの時期である。；鉄道の場合、幹線だと数万人から数十万人/日の規模がある。；現在の主要な幹線は海岸線沿いを通るもので、山間部では交通路の発達が悪い。；幹線バスと予約運行小型バスの2種類の運行方式を採用している。；これ以降、日本海側と瀬戸内側を結ぶ新たな幹線ルートの一つとなっている。</t>
        </is>
      </c>
      <c r="J1833">
        <f>HYPERLINK("https://www.weblio.jp/content/幹線", "词义详情")</f>
        <v/>
      </c>
      <c r="K1833">
        <f>HYPERLINK("https://yourei.jp/幹線", "查看例句")</f>
        <v/>
      </c>
    </row>
    <row r="1834">
      <c r="A1834" t="inlineStr">
        <is>
          <t>完全</t>
        </is>
      </c>
      <c r="B1834" t="inlineStr">
        <is>
          <t>成功</t>
        </is>
      </c>
      <c r="C1834" t="inlineStr">
        <is>
          <t>読み方：かんぜん
［名・形動］(スル)
１欠けたところや足りないところがまったくないこと。必要な条件がすべてそろっていること。また、そのさま。「—を期す」「—な形で保存する」「—に失敗だ」
２欠点などのないようにすること。
「その人と為(なり)を—するに於て」〈中村訳・西国立志編〉</t>
        </is>
      </c>
      <c r="D1834" t="inlineStr">
        <is>
          <t>完全版；完全な形；完全移籍；完全撤退；完全移行</t>
        </is>
      </c>
      <c r="E1834" t="inlineStr">
        <is>
          <t>すべて；全て；まるで；まったく；全く</t>
        </is>
      </c>
      <c r="F1834" t="inlineStr">
        <is>
          <t>完全燃show；完全置換型人工心臓；完全生産限定版；完全ベイズ均衡；完全複殻</t>
        </is>
      </c>
      <c r="G1834" t="inlineStr">
        <is>
          <t>完全移籍；完全性；完全試合；完全無欠；完全犯罪</t>
        </is>
      </c>
      <c r="H1834" t="n">
        <v>29</v>
      </c>
      <c r="I1834" t="inlineStr">
        <is>
          <t>実際には、この条件を完全には満たさない国家もいくつか存在している。；現在でも双方の攻撃が完全に収まったわけではなく、困難が予想される。；この画像に示されている図は正確ではなく、上の表とは完全には一致しない。；さらに連続的な取引が可能で、市場は完全市場であることを仮定している。；その後、新製品は一切発表されることなく、事実上の完全撤退となった。；この規則に を加えたものから八元数の乗法構造は完全に決定される。；この先百合ヶ丘駅手前まで津久井道と歩道一つを挟んで完全に並行する。；治療中に一時的に病状が悪化し、その後に完全に回復するような状態を指す。；すなわち、官職が政治動向や個人の個性から完全に独立したものとなる。；「完全なる神は完全なる運動を造られる」と考えられていたのだった。；日本の美術館では珍しい完全予約制・定員制の入館方法を採用している。；これは完全な文字認識に比べて処理も軽く、入力もしやすいとされている。；後述するように階級社会だったが、完全に固定されてはいなかったとされる。；この箇所は改設計がくり返されたが、最後まで完全にはならなかった。；これらは2001年以降には規模が縮小されるか、完全に閉鎖された。；だがともかく、ピエールはこうして父親のもとから完全に独立したのである。；ワーグナーの「ジークフリート」はその最初の完全な形といわれている。；アーミッシュでは独自の農業を行いほぼ完全な自給自足の生活を送っている。；これには、プレートが完全にスキー板と一体となっている場合も含む。；ただし、いずれの場合も最悪ケースの可能性を完全に排除できるものではない。；特にプロの公式戦では完全に詰むまで指すことはきわめて稀である。；しかし、時流は完全に廃仏に流れており、仏教の復権は失敗に終わった。；他の量とは関係せず完全に独立して与えられる7つのSI基本単位の一つである。；このような複雑な相変化をする原因は完全には解明されていない。；他編成と完全共通運用であり、大阪環状線内のみの運用にも充当されている。；ファミコンでのオリジナル版を完全移植した初のバージョンである。；他のOSのように、IPLから完全に再起動することを指すわけではない。；新たな証拠が発見されることで、それまでの復元像が完全に改められる場合も多い。；そのため、Flashを完全に置き換える要素にはなっていなかった。</t>
        </is>
      </c>
      <c r="J1834">
        <f>HYPERLINK("https://www.weblio.jp/content/完全", "词义详情")</f>
        <v/>
      </c>
      <c r="K1834">
        <f>HYPERLINK("https://yourei.jp/完全", "查看例句")</f>
        <v/>
      </c>
    </row>
    <row r="1835">
      <c r="A1835" t="inlineStr">
        <is>
          <t>簡素</t>
        </is>
      </c>
      <c r="B1835" t="inlineStr">
        <is>
          <t>成功</t>
        </is>
      </c>
      <c r="C1835" t="inlineStr">
        <is>
          <t>読み方：かんそ
［名・形動］飾りけがなく、質素なこと。また、そのさま。「—な住まい」「—な結婚式」
[派生]かんそさ［名］</t>
        </is>
      </c>
      <c r="D1835" t="inlineStr">
        <is>
          <t>簡素化(10%)；簡素書院；簡素幽邃；簡素乍</t>
        </is>
      </c>
      <c r="E1835" t="inlineStr">
        <is>
          <t>明らか；単純；素直；明白；明瞭</t>
        </is>
      </c>
      <c r="H1835" t="n">
        <v>29</v>
      </c>
      <c r="I1835" t="inlineStr">
        <is>
          <t>ホームは線路の西側に設置され、その上に簡素な待合所が置かれている。；セットも簡素なものにするなど、番組はコストを抑えて進められていた。；これらの玉座は、アジアのものと比較してもともとは非常に簡素だった。；駅舎はなく、古い屋根やベンチを備えた程度の簡素な造りとなっている。；より簡素な構造の車高調整式ショックアブソーバーも製品化されている。；以前は有人駅時代の駅舎があったが、立て替えられ簡素なものになった。；これは集合の中の全要素を順番に参照するような処理を大いに簡素化する。；コンピュータの思考ルーチンは簡素なものだがイカサマは行っていない。；近年は構造を簡素化したユニットブレーキと呼ばれるものが使用されている。；一部の楽曲はシングルの項目で解説しているために簡素に示す。；こういった関係は、連邦化 を利用することで簡素化されていることが多い。；墓に火を放った痕跡はすくなく、儀礼は簡素化されたとみなされている。；伝統的なテンカラ用の毛針は渓流釣りに特化していて構造は簡素である。；収録現場がセットも組まず簡素なのは、打ち上げの費用を捻出するため。；この時代順目録の前に、データを簡素化したジャンル別全作品目録を置く。；現在は有人駅時代の駅舎も取り壊され、簡素な待合所だけになっている。；その代わり、彼らは一切の所有物を持たない簡素な生活を送ることになった。；古い時代に建てられた部分の飾り付けは簡素なものである。；簡素な構造で運用性は高く、ゼントラーディ全軍に広く配備されている。；ホームはアスファルト舗装の簡素なもので、軌道の南側に設置されている。；制御機器、簡素な車両、線路等が入ったスタートセットが毎年発売されている。；加えて比較的簡素な軍事学や精神訓話を武官たる生徒監などに学んだ。；遺された建築の再建は、簡素化された形で内部を近代的に改変して行われた。；柱だけで壁面をほとんど持たないか、持っていても簡素な造りのものが多い。；ゲスト紹介は他番組と比べ簡素に行われ、数名と簡単なトークを行う程度である。；そのほとんどは簡素な形式で、有節歌曲の形から少し改変したものである。；転換にあたり、より利用しやすいよう簡素な構造の駅をいくつか新設している。；赤煉瓦のままの建物は古風なものか、工場、倉庫など簡素なものである。；ルール表記の変更や再定義などがされ、全体的な簡素化とルール整備が行われた。</t>
        </is>
      </c>
      <c r="J1835">
        <f>HYPERLINK("https://www.weblio.jp/content/簡素", "词义详情")</f>
        <v/>
      </c>
      <c r="K1835">
        <f>HYPERLINK("https://yourei.jp/簡素", "查看例句")</f>
        <v/>
      </c>
    </row>
    <row r="1836">
      <c r="A1836" t="inlineStr">
        <is>
          <t>感想</t>
        </is>
      </c>
      <c r="B1836" t="inlineStr">
        <is>
          <t>成功</t>
        </is>
      </c>
      <c r="C1836" t="inlineStr">
        <is>
          <t>読み方：かんそう
物事について、心に感じたことや思ったこと。所感。「—を述べる」「読書—文」</t>
        </is>
      </c>
      <c r="D1836" t="inlineStr">
        <is>
          <t>感想をのべ；感想集；感想録</t>
        </is>
      </c>
      <c r="E1836" t="inlineStr">
        <is>
          <t>感じ；感情；気分；印象；印刷</t>
        </is>
      </c>
      <c r="F1836" t="inlineStr">
        <is>
          <t>ご感想；そんな感想；率直な感想；同じ感想；どんな感想</t>
        </is>
      </c>
      <c r="G1836" t="inlineStr">
        <is>
          <t>感想戦</t>
        </is>
      </c>
      <c r="H1836" t="n">
        <v>29</v>
      </c>
      <c r="I1836" t="inlineStr">
        <is>
          <t>そこでは教頭に感想や対応策を質問したが、会場は無言のままであった。；他の曲も演奏されており、それらは演奏評や感想から知ることができる。；秋のリニューアル後は他のコーナーの感想も述べているようになった。；関連商品やイベントの情報、アニメ本編への視聴者の感想も紹介された。；蟻田博士が、リーズ卿の放送を聞いたら、どんな感想を持つであろうか。；ドラマの公式HP上で同ラジオ用の投稿とドラマの感想が募集されている。；古賀絵里子・栗原友・弓木春奈は単純に感想を表示する形で締めていた。；曲の感想を募集し、それを浜崎本人が見て、歌詞を付ける企画があった。；この直感的な疑問は古くからあり、現在でも同様の感想をもつ専門家もいる。；信吾と静子は、顔にも言葉にも現されぬ或る異つた感想を抱かせられた。；内容はスタッフが登場し、ドラマの感想や撮影裏話を語っているものであった。；あれはまあよく云へば先生の感想を述べたもので、悪く云へば出たらめだからね。；駅に着くと列車から降り、まずホームに降り立った感想を語る。；次に本を手にした人は、会員登録し、本の感想などをHPに書き込む。；さまざまなニュースを女性の立場から論評したり感想を書いたりする完全記者制の板。；作者である姫野かげまるがゲームをプレイしてその感想を描く体験記漫画。；まことに月並の感想であるが、この場合そう感じるのほかはなかったのである。；アニオタで自身のホームページではアニメの感想を主とした日記を書いている。；難波江進はこの小説が照姫伝説の基ではないかと感想を述べている。；解散発表されたときの感想をメンバーに手紙にしたため、メンバーの目の前で発表するコーナー。；同社を扱っている業者のページには、使用した感想が綴られている。；リチャーズも「俺にはちょっとせわしなく感じる」と感想を述べている。；「足の太いのも健康的でいいじゃないか」とマスコミに感想を述べた程であった。；このときの感想を「嬉しいようで悲しいような複雑でした」と語っている。；もしこのとき、探偵の本当の感想を安東にぶちまけたとしたらどうだろう。；そのため、本作は自分が作ったアルバムという感じがしないのが正直な感想だという。；SNS上でもストーリーに感動したファンからの感想も投稿され話題となっている。；上記のような習慣について日本人自身が抱く感想はさまざまである。；その場合、黒木は挨拶とインタビュー放送後にわずかな感想を述べるだけとなる。</t>
        </is>
      </c>
      <c r="J1836">
        <f>HYPERLINK("https://www.weblio.jp/content/感想", "词义详情")</f>
        <v/>
      </c>
      <c r="K1836">
        <f>HYPERLINK("https://yourei.jp/感想", "查看例句")</f>
        <v/>
      </c>
    </row>
    <row r="1837">
      <c r="A1837" t="inlineStr">
        <is>
          <t>乾燥</t>
        </is>
      </c>
      <c r="B1837" t="inlineStr">
        <is>
          <t>成功</t>
        </is>
      </c>
      <c r="C1837" t="inlineStr">
        <is>
          <t>読み方：かんそう
［名］(スル)
１かわくこと。湿気や水分がなくなること。「空気が—する」「—地」
２かわかすこと。「洗濯物を—する」
［名・形動］味わいやおもしろみのないこと。また、そのさま。「無味—」
「武士道という—で不自然な道徳」〈有島・宣言〉</t>
        </is>
      </c>
      <c r="D1837" t="inlineStr">
        <is>
          <t>乾燥させる(5%)；乾燥地；乾燥化；乾燥状態；乾燥室</t>
        </is>
      </c>
      <c r="E1837" t="inlineStr">
        <is>
          <t>乾き；乾く；脱水；乾かす；乾性</t>
        </is>
      </c>
      <c r="F1837" t="inlineStr">
        <is>
          <t>半乾燥；天日乾燥；自然乾燥；乾燥肉；乾燥気味</t>
        </is>
      </c>
      <c r="G1837" t="inlineStr">
        <is>
          <t>乾燥機；乾燥気候；乾燥剤；乾燥帯；乾燥重量</t>
        </is>
      </c>
      <c r="H1837" t="n">
        <v>29</v>
      </c>
      <c r="I1837" t="inlineStr">
        <is>
          <t>あるものはかなり分解の進んだ死体、さらには乾燥した死体ですら好む。；パン・ハンドルのなどロートン市から西の地域では比較的乾燥している。；ただし乾燥した地中海沿岸では、古くから森林の発達は限定的であった。；その皮膚は総鰭類には似ておらず、体液を保ち乾燥を防ぐ助けになった。；より最近では、2002年から2005年の深刻な乾燥で知られている。；都市は、郊外に比べて高温・乾燥で独特の風系を有する傾向にある。；竹の刈取りは秋〜冬に掛けて竹が一番乾燥している時期に行われる。；好みは分かれるところだが、保存の点も含め乾燥させて使うのが一般的である。；中国国内の砂漠化・乾燥化地域のほとんどが黄砂の発生源と考えられている。；しかし起伏の激しさや乾燥した土地の多さのため農業用水が不足した。；逆に大陸側から吹き込むと乾燥した空気がもたらされるため乾期となる。；味噌汁の具を増やすための乾燥させた具が単独で市販されている場合もある。；水辺で羽を大きく広げ、乾燥させている様子がしばしば観察される。；刈り取った茶葉はその日のうちに蒸した後、揉捻を行わずに乾燥させる。；エジプトの乾燥した湖等で得られ、ガラスの原料やミイラ製造に使用された。；また、それ以前には魚粕を乾燥させて肥料とする事もあったという。；標高600メートル以下にある乾燥林や浸水林・湿地林などに生息する。；また、夏には暑く乾燥したシロッコが吹き、その風は海岸部にまで及ぶ。；これを夕方掻き採って集め、乾燥させると黒い粘土状の半固形物になる。；醸造家は、安定した品質のワインを得るためには市販の乾燥酵母を使う。；彼らの行動は太陽を生み出し、その誕生は暗い水の中に光と乾燥の空間を形成する。；結核をできるだけ悪化させないようにと、より乾燥した西部へと移住を決意。；毎年夏には100超えて非常に暑く乾燥した日が続くことも多い。；西部はさらに乾燥しており、島の南西部と南部の内陸は半砂漠気候が広がる。；乾燥品も利用されているが、一般に風味が良いの生葉のほうである。；周囲の空気が乾燥していると、雨は落下する途中で蒸発してしまう。；これは、高い乾燥した砂地の岬にあるカロリング朝の城塞を指している。；特に静岡県では、冬の乾燥が大きな原因となっているとみられる。；乾燥に強いため、生きたまま半乾燥状態で販売される商品もある。</t>
        </is>
      </c>
      <c r="J1837">
        <f>HYPERLINK("https://www.weblio.jp/content/乾燥", "词义详情")</f>
        <v/>
      </c>
      <c r="K1837">
        <f>HYPERLINK("https://yourei.jp/乾燥", "查看例句")</f>
        <v/>
      </c>
    </row>
    <row r="1838">
      <c r="A1838" t="inlineStr">
        <is>
          <t>完走</t>
        </is>
      </c>
      <c r="B1838" t="inlineStr">
        <is>
          <t>成功</t>
        </is>
      </c>
      <c r="C1838" t="inlineStr">
        <is>
          <t>読み方：かんそう
［名］(スル)
１競技などで最後まで走り抜くこと。「フルマラソンを—する」
２俗に、長期にわたる物事を最後までやりとげること。</t>
        </is>
      </c>
      <c r="D1838" t="inlineStr">
        <is>
          <t>完走する(8%)；完走扱い(4%)；完走でき(3%)；完走率(2%)；完走者(2%)</t>
        </is>
      </c>
      <c r="E1838" t="inlineStr">
        <is>
          <t>走破；踏破</t>
        </is>
      </c>
      <c r="F1838" t="inlineStr">
        <is>
          <t>初完走；非完走；全戦完走；無事完走；とも完走</t>
        </is>
      </c>
      <c r="H1838" t="n">
        <v>29</v>
      </c>
      <c r="I1838" t="inlineStr">
        <is>
          <t>ポイント獲得はならなかったが、出走した5戦すべてで完走を果たした。；過去にグランツールでは、参加した全てのレースで完走を果たしている。；決勝終了後、抜いた敵車の数と完走時は残り時間がスコアに加算される。；ここに表示された勝者は両クラスを併せた上での最上位の完走者である。；波乱は多かったが完走扱いを含めてリタイアした車は1台も出なかった。；ファンが見守る中、実際に完走したメンバーを迎えて開会式が行われた。；決勝では、敵車が多数走行しているコースを数周すると完走になる。；レースは参加した48大学のうち47チームが10人以上完走となった。；F1での複数回年間全レース完走を達成した最初のドライバーとなった。；しかし信頼性の低さは変わらず、参戦した14戦中完走は4回であった。；フランスグランプリでは予選10位となり、決勝は非完走扱いとなった。；この年も全てのレースで予選に通過したが、完走は4回で入賞はなし。；それまでのオゼッラの車両同様信頼性に欠け、完走は1度のみであった。；コースは市街地を想定した総延長で6時間以内に完走することが求められた。；この年はスウェーデンのみの参戦となったが総合8位で完走した。；ホノルルマラソンへはこれ以後毎年出場し、いずれも完走を果たしている。；この事故で12針を縫う傷を負ったが、ツアーは総合60位で完走した。；フルマラソンの完走実績も多く、メジャー大会にも出場することがある。；埼玉大学は出走した10人のうち完走が9人だったため記録なしとなった。；また、マシンの信頼性も低く、参戦した8戦中完走は3戦のみとなった。；そのレースでは13位で完走し、ポイントを獲得することができた。；病気の友人に完走を約束していた鳥居はゴールの直後に号泣した。；またこの時当時の歴代1位タイとなる17戦連続完走記録も樹立した。；予選は後方からのスタートとなったものの、2戦とも完走している。；なお雨天の場合は一度もタイヤを交換せずに完走することがルール上は可能である。；また、この年出走したドライバーの中で唯一全戦完走を達成した。；制限時間内に完走した全生徒に得点が与えられ、クラスでその合計を競う。；しかしながら、同レースの完走者は当人を含めて2人しかいなかった。；このレースに完走したことで「ヴァンデ・グローブ」出場権を獲得した。</t>
        </is>
      </c>
      <c r="J1838">
        <f>HYPERLINK("https://www.weblio.jp/content/完走", "词义详情")</f>
        <v/>
      </c>
      <c r="K1838">
        <f>HYPERLINK("https://yourei.jp/完走", "查看例句")</f>
        <v/>
      </c>
    </row>
    <row r="1839">
      <c r="A1839" t="inlineStr">
        <is>
          <t>観測</t>
        </is>
      </c>
      <c r="B1839" t="inlineStr">
        <is>
          <t>成功</t>
        </is>
      </c>
      <c r="C1839" t="inlineStr">
        <is>
          <t>読み方：かんそく
［名］(スル)
１自然現象を精密に観察・測定し、その変化や推移を調べること。「天体を—する」「気象—」
２物事を注意深く見て、変化や成り行きを予測すること。「世界の情勢を—する」「希望的—」</t>
        </is>
      </c>
      <c r="D1839" t="inlineStr">
        <is>
          <t>観測する(7%)；観測される(4%)；観測者(4%)；観測データ(3%)；観測結果(3%)</t>
        </is>
      </c>
      <c r="E1839" t="inlineStr">
        <is>
          <t>観察；ウォッチング；ウオッチング</t>
        </is>
      </c>
      <c r="F1839" t="inlineStr">
        <is>
          <t>観測可能；観測記録；観測員；直接観測；観測地点</t>
        </is>
      </c>
      <c r="G1839" t="inlineStr">
        <is>
          <t>観測装置；観測値；観測史上；観測ロケット；観測機</t>
        </is>
      </c>
      <c r="H1839" t="n">
        <v>29</v>
      </c>
      <c r="I1839" t="inlineStr">
        <is>
          <t>実際には何度も観測されてはいたが惑星とは認識されていなかった。；特に、雪起こしが観測された場合は冬の始まりであると言い習わされる。；現代では方向の基準は宇宙測地観測局の位置から逆に定義されている。；またそれ以外の時期でも、朝か夕方のごく短い時間しか観測できない。；皆既日食が起こると空がかなり暗くなり星の観測も可能な状態になる。；電気的に中性であるため、観測だけでなく中性子を制御するのも難しい。；最も単純な方法は、観測できた天体の等高度円を地球上に描くことである。；最終的に、この測定は観測された粒子の状態を以前とは変えてしまう。；以下は理論値ではなく、ある期間の観測結果からの年間の回数である。；そのため熱帯低気圧を接近前に観測して対策をとることは極めて重要である。；過去のそれより小さい距離で起きた事象を我々は観測できていない。；日本沿岸でも、1980年代半ば以降では大きな上昇率が観測されている。；このような理由で造られた観測施設が天文台の始まりであると考えられる。；また、精度の悪い古代の観測結果を説明するために、消長法を採用した。；地震計の観測結果を基に図に表し、断層の位置や動いた方向を解析する。；探査機が惑星の夜側を通過した際の観測から、稲妻の光も観測された。；ティコはより精密な観測がより正確な予測を行うための鍵であると認識した。；観測者 、 が慣性運動しており、さらに質点 が運動しているとする。；装置完成当初は装置の性能や原子レベルの観測結果に懐疑的な意見もあった。；サイクロンの分類は熱帯低気圧観測を行う機関ごとに分類されている。；しかし低質量の星は暗いために地球に近いものしか観測できない。；衝突痕は小型望遠鏡でも観測できたため、各地でも観測会が開かれた。；このような観測の難しさから、水星の理解は他の惑星と比べて遅れた。；これらの法則は、天体の運行などの観測結果をよく説明することができた。；この方法は、恒星や惑星を観測する場合には、成功する可能性は低い。；寿命の短いものはすぐに崩壊するが、安定な粒子は地上で観測される。；例えば、単純に観測できそうな快感の度合いすら他者には観測できない。；しかし、バックスタッフとは違い、六分儀は星の直接観測が可能である。；しかし実際には観測される色と出現する高度にはおおまかに相関関係がある。</t>
        </is>
      </c>
      <c r="J1839">
        <f>HYPERLINK("https://www.weblio.jp/content/観測", "词义详情")</f>
        <v/>
      </c>
      <c r="K1839">
        <f>HYPERLINK("https://yourei.jp/観測", "查看例句")</f>
        <v/>
      </c>
    </row>
    <row r="1840">
      <c r="A1840" t="inlineStr">
        <is>
          <t>寒帯</t>
        </is>
      </c>
      <c r="B1840" t="inlineStr">
        <is>
          <t>成功</t>
        </is>
      </c>
      <c r="C1840" t="inlineStr">
        <is>
          <t>読み方：かんたい
地球の南北の極圏より高緯度の地帯。気候的には寒帯気候の地域をさす。</t>
        </is>
      </c>
      <c r="D1840" t="inlineStr">
        <is>
          <t>寒帯域(4%)；寒帯地方(2%)；寒帯気団；寒帯文明；寒帯さん</t>
        </is>
      </c>
      <c r="G1840" t="inlineStr">
        <is>
          <t>寒帯前線；寒帯ジェット気流；寒帯前線ジェット気流；寒帯大陸性気団</t>
        </is>
      </c>
      <c r="H1840" t="n">
        <v>29</v>
      </c>
      <c r="I1840" t="inlineStr">
        <is>
          <t>寒帯・温帯はスミレ属が圧倒的に多く、熱帯にはその他多数の属がある。；もうひとつの寒帯であるツンドラ気候の区域に比べて生態系は限られている。；せんだって私が役場の人にその話をすると、とうとう私は寒帯さんになった。；家畜が野性化したものを含めると、寒帯を除く世界中に生息している。；ヴァードーはいつも、寒帯にあるノルウェー唯一の本土の町と称される。；北半球の温帯 - 寒帯を中心に約500種とも600種とも言われる。；ウメバチソウ属がほとんどの種を占め、北半球の温帯・寒帯に分布する。；草本となる種は寒帯にまで分布するが、木本となる種は温帯や熱帯に多い。；しかし朝と夜の寒さには変りがなく、まるでこの家は寒帯の住居のように寒いのである。；温度までも、熱帯からいきなり寒帯に来たほど、ちがっているのです。；温帯から寒帯域まで広範囲に分布し、北極海に生息する種類も知られている。；だがあの寒帯植物は、すでにそれ以前に死滅しているんだぜ。；本当に熱帯と寒帯と、思えば整備員の不熟練、質の低さは決定的なものです。；揚子江気団は寒帯性のシベリア気団が上記のような要因で温暖化したものである。；それでも寒帯地方の高山だけに、初めて見る峻厳な山の姿である。；シベリア一帯などもかなり極地的であって、寒帯と呼ばれる地域が大部分を占めている。；北部は亜寒帯から寒帯であり、また山地も多いため夏も冷涼で冬の寒さは非常に厳しい。；寒帯でも熱帯でも、これほど豊富ではないにちがいない。；例えばゾウは現生種はすべて熱帯産だが、かつてはマンモスのように寒帯まで進出していた。；レンプクソウは日本を含むユーラシアの温帯から寒帯にかけて分布する。；その癖我邦は寒帯から熱帯に跨がっていて何の菓物でも出来ぬ事はない天幸の国です。；暖地性の種類は大型だが、寒帯産や亜寒帯産の種類はシジミチョウ類とあまり変わらない大きさのものもいる。；氷期に韓国から伝わり、漢拏山山頂付近に生えている寒帯植物はその例である。；温帯さんと寒帯さんは、温帯地の部屋で戦争の話をする。；汎存種は、基本的に熱帯から寒帯まで広い範囲で生息する事ができる適応性を持っている。；例えば寒帯に分布域のあるものは耐寒性が強いのであろうし、熱帯から温帯まで生育するものはその対応できる温度の範囲が広いであろう。；この分布域は他のヒョウモンチョウ類が温帯から寒帯にかけて分布するのとは対照的である。；ペンギンは南極という寒帯で生活するのに「適応」した姿をしているのだろうか。；ほぼ世界中の寒帯から熱帯に分布するコスモポリタンである。</t>
        </is>
      </c>
      <c r="J1840">
        <f>HYPERLINK("https://www.weblio.jp/content/寒帯", "词义详情")</f>
        <v/>
      </c>
      <c r="K1840">
        <f>HYPERLINK("https://yourei.jp/寒帯", "查看例句")</f>
        <v/>
      </c>
    </row>
    <row r="1841">
      <c r="A1841" t="inlineStr">
        <is>
          <t>簡単</t>
        </is>
      </c>
      <c r="B1841" t="inlineStr">
        <is>
          <t>成功</t>
        </is>
      </c>
      <c r="C1841" t="inlineStr">
        <is>
          <t>読み方：かんたん
［名・形動］
１物事が大ざっぱで単純なこと。また、そのさま。「—な作り」「—な説明」
２時間や手数がかからないこと。また、そのさま。「—に問題が解ける」「批判するだけなら—だ」
[派生]かんたんさ［名］</t>
        </is>
      </c>
      <c r="D1841" t="inlineStr">
        <is>
          <t>簡単な方法；簡単な説明；簡単な食事；簡単な例；簡単な仕事</t>
        </is>
      </c>
      <c r="E1841" t="inlineStr">
        <is>
          <t>明らか；やすい；容易；単純；楽</t>
        </is>
      </c>
      <c r="F1841" t="inlineStr">
        <is>
          <t>こんな簡単；一番簡単；簡単に弾き飛ばさ；簡単な整数比；簡単かつ安価</t>
        </is>
      </c>
      <c r="G1841" t="inlineStr">
        <is>
          <t>簡単ケータイ；簡単ケータイシリーズ；簡単ケータイs；簡単に言えたなら；簡単値</t>
        </is>
      </c>
      <c r="H1841" t="n">
        <v>29</v>
      </c>
      <c r="I1841" t="inlineStr">
        <is>
          <t>これはPID制御で比較的簡単に倒れないように制御することができた。；しかしその拙さゆえに人は簡単に信じてしまうものだと、指摘している。；この点はアセンブラで記述されて簡単には拡張できない点が裏目に出た。；ここでは以降の解説を読む上で必要な の文法規則を簡単に説明する。；今までの日本のSF映画は、子供を対象として簡単に作られすぎていた。；これらの三権は、法との関係に着目して、簡単に次のように説明される。；これは比較的簡単な形に得られ、いろいろな局面で現れる重要な量である。；簡単に類推可能なので以下では特に説明せずそのような用語を使う。；古代の日本では、魂は体から簡単に離れてしまうことがあると考えられていた。；ただしこちらにも類似種が多いので、種の同定はやはり簡単ではない。；そして理論はフォノンの振動数だけが関係しているため比較的簡単である。；しかし、その場合は一般の場合より簡単に角度を求めることができる。；ルールは至って簡単で、まず棒が競技場内に描かれた円の中に設置される。；現代でも簡単にシーケンスデータを表現するものとしてよく使われている。；その下の「画像キャプション」には、画像の簡単な説明を入れて下さい。；だが場合によっては定義式から計算したほうが簡単なときもある。；一時的に使用される型を簡単に定義するための匿名型が導入された。；簡単な管理、無制限のユーザー数、無制限のデータサイズなどを特徴とする。；二項公式の簡単版が に を代入して一変数化することで得られる。；道具を探すのが得意で見つけにくい所でも簡単に見つけてしまう。；近頃すっかり逆になってきちゃってね、曲の方が簡単になってきてるんですね。；簡単なプログラムでシミュレーションを行い、答えを導くこともできる。；顧客への参照と注文された商品への参照を含む簡単なXML文書の例を考える。；日本では調理が簡単なソフトスパゲッティ式めんも製造・販売されている。；ここではスキルについて説明するが、それ以外の能力は簡単に以下の通り。；こうしたことは、長い時間かけて練習すれば、簡単にできるようになります。；こちらの方は、茎が立ち上がるために知っていれば区別は簡単である。；調理室があり、簡単な食事なども寮の中で作れるが、使用は制限される。；グループ分けの最も簡単な例は「対照実験」といわれ実験手法であろう。</t>
        </is>
      </c>
      <c r="J1841">
        <f>HYPERLINK("https://www.weblio.jp/content/簡単", "词义详情")</f>
        <v/>
      </c>
      <c r="K1841">
        <f>HYPERLINK("https://yourei.jp/簡単", "查看例句")</f>
        <v/>
      </c>
    </row>
    <row r="1842">
      <c r="A1842" t="inlineStr">
        <is>
          <t>元旦</t>
        </is>
      </c>
      <c r="B1842" t="inlineStr">
        <is>
          <t>成功</t>
        </is>
      </c>
      <c r="C1842" t="inlineStr">
        <is>
          <t>読み方：がんたん
元日の朝。元朝。また、元日。「一年の計は—にあり」《季新年》
[補説] 「旦」は「朝・夜明け」の意であるから、「元旦」を「元日」の意で使うのは、本来は誤り。ただし、「元日」と同じように使う人も多い。</t>
        </is>
      </c>
      <c r="D1842" t="inlineStr">
        <is>
          <t>元旦早々；元旦未明；元旦号；元旦登山；元旦詩</t>
        </is>
      </c>
      <c r="E1842" t="inlineStr">
        <is>
          <t>元日</t>
        </is>
      </c>
      <c r="F1842" t="inlineStr">
        <is>
          <t>一月元旦；毎年元旦；大晦日深夜から元旦；同年元旦；二年元旦</t>
        </is>
      </c>
      <c r="G1842" t="inlineStr">
        <is>
          <t>元旦那</t>
        </is>
      </c>
      <c r="H1842" t="n">
        <v>29</v>
      </c>
      <c r="I1842" t="inlineStr">
        <is>
          <t>明日は元旦から仕事だと言いながら、皆大酒を飲んでカラオケを歌った。；習慣である元旦詩をしたためながら、己の年齢を何度も数え直してしまった。；元旦から日記を書いていたが、200日目以降で怠けて書かなくなった。；その日は上陸日ではなかったが、元旦だったからか面会が許可された。；おまえがガンタン・グルのからだを持っていたことを忘れていたよ。；元旦は、彼女が慎二さんとも関係を持っていることを知っているのだろうか?；明日の元旦付でホンダが米国で乗用車工場を建設する記事を載せます。；先生たちは元旦でも出て来て、明日入浴してよいということになりました。；二年前、元旦から始めてちゃんと三が日で終わってしまったことがある。；正月元旦を終日泣いて暮してみたりする余興はあまり流行しないだろう。；翌日は七時に一度目覚めたが、元旦の部厚い新聞を読んで、再び眠った。；元旦だろうと祭日だろうと、一日として処刑の行なわれない日はなかった。；元旦ともいうが、この場合は特にその日の朝を指すこともある。；ちょうど十九歳の元旦におぼえたあのやむにやまれぬ欲求と同じだった。；東側が開けているため、元旦にはご来光を拝むイベントも開催されている。；元旦早々どうかと思ったのですが、どうにも気になったものですから。；文政四年の元旦には、蘭軒の詩に生計の太だ裕ではなかつた痕が見える。；元旦、私は廻礼をしていて、店の多くが閉ざしてあるのに気がついた。；年あけて一九七五年、元旦の朝起きてみると、犬が一頭逃げていた。；思えば私も元旦にほぼこの上空らしきところを通過した記憶がある。；私は元旦の客が多いと言っては喜び、誰某が来なくなったと言っては嬉しがる。；また、旧暦の元旦の朝に桜が咲くことから「元朝桜」とも呼ばれている。；春節は正月初一を示す言葉であり、古代においては元旦と称されていた。；ぼくは興味をもって元旦はここで観察してたもんです。；今年の元旦からその庭を訪れた男たちの人数だそうだ。；これさえはっきりすれば元旦付の紙面で後追いしなければならない。；毎年元旦には勇気ある者たちが氷を割って池に飛び込む光景を見ることができる。；大学に入学する年の元旦に父が死んで、私は四人兄妹の長女だった。；元旦の朝はその一年というものが非常に長いように思われる。</t>
        </is>
      </c>
      <c r="J1842">
        <f>HYPERLINK("https://www.weblio.jp/content/元旦", "词义详情")</f>
        <v/>
      </c>
      <c r="K1842">
        <f>HYPERLINK("https://yourei.jp/元旦", "查看例句")</f>
        <v/>
      </c>
    </row>
    <row r="1843">
      <c r="A1843" t="inlineStr">
        <is>
          <t>関知</t>
        </is>
      </c>
      <c r="B1843" t="inlineStr">
        <is>
          <t>成功</t>
        </is>
      </c>
      <c r="C1843" t="inlineStr">
        <is>
          <t>読み方：かんち
［名］(スル)あることに関係し、それについて知っていること。あずかり知ること。「私生活にはいっさい—しない」</t>
        </is>
      </c>
      <c r="D1843" t="inlineStr">
        <is>
          <t>関知するところ(16%)</t>
        </is>
      </c>
      <c r="F1843" t="inlineStr">
        <is>
          <t>いっさい関知</t>
        </is>
      </c>
      <c r="H1843" t="n">
        <v>29</v>
      </c>
      <c r="I1843" t="inlineStr">
        <is>
          <t>また、自分に直接関知しないことには無関心であったとも言われている。；もっとも、わたしの関知しない何ごとかが進行しているのならば別だが。；やす子夫人は、先生の毎日の仕事には全く関知しなかったと云ってよい。；そのデータがどういう意味の情報なのかという事については関知しない。；しかし、ここでは、結局、そんなことも彼の関知したことではなかった。；彼はこういう事柄は第三者の関知するものではないと考えていたのである。；そっちのほうが運命的であるけれど、それは私の関知するところではない。；ヴェルとの間に成立した取引とその結果にいっさい警察は関知しない。；州警察は、学校での口論についての報告は関知していなかったと述べた。；実の親はといえば、フィリエルが何をしようとまるっきり関知しないのだ。；私の関知しているところでは、キーとなる言葉を口にすることが必要なのです。；Kはいったいどんな罪で逮捕されたのかと聞くが、監視人は関知しないという。；教授自身、そんなことはまるで関知しないといったような表情だった。；とはいうものの、昼間の地域は彼の関知するところではなかった。；ここと宇宙船との間で、何が起こっても、わたしの関知したことではない。；これはおそらく李鴻章大元帥の全く関知することではないであろうと思った。；何者にも影響されず、何者にも関知されず、何者にも干渉されない。；人間の細胞ひとつにしても、われわれの関知しない次元の産物である。；発見だけでは警察も積極的に関知しないが、盗難となれば事件に絡んでくる。；すると判事は、それはもう自分の関知するところではないと答えた。；彼が誰であろうと、それはもう私の関知するところではない。；どうやらもはやこの件には関知しないことに決めたらしい。；そうした噂は東求堂にも届いていたが、前嗣はもはや関知しなかった。；どれだけの数の者に読まれるかは、松尾の関知するところではない。；何もかも明石さん一人がやったことで、銀行はまったく関知していなかった。；しかし日本に流れていくのは我が国が関知することではない。；これが事件の起りであり、そうして、信長の関知しない偶発の事件である。；大人の生活とか治乱には関知せず、独自な別天地を劃然と持っていた。；われわれはあなたが将門の首塚のかけらを何に使うかを関知しない。</t>
        </is>
      </c>
      <c r="J1843">
        <f>HYPERLINK("https://www.weblio.jp/content/関知", "词义详情")</f>
        <v/>
      </c>
      <c r="K1843">
        <f>HYPERLINK("https://yourei.jp/関知", "查看例句")</f>
        <v/>
      </c>
    </row>
    <row r="1844">
      <c r="A1844" t="inlineStr">
        <is>
          <t>勘違い</t>
        </is>
      </c>
      <c r="B1844" t="inlineStr">
        <is>
          <t>成功</t>
        </is>
      </c>
      <c r="C1844" t="inlineStr">
        <is>
          <t>読み方：かんちがい
［名］(スル)間違って思い込むこと。思い違い。「何か—しているんじゃないか」</t>
        </is>
      </c>
      <c r="D1844" t="inlineStr">
        <is>
          <t>勘違いされる(4%)；勘違いしてる；勘違いされやすい；勘違いさせる；勘違いされがち</t>
        </is>
      </c>
      <c r="E1844" t="inlineStr">
        <is>
          <t>間違い；誤解；誤認；間違える；思い違い</t>
        </is>
      </c>
      <c r="F1844" t="inlineStr">
        <is>
          <t>大きな勘違い；単なる勘違い；大いなる勘違い；ひどい勘違い；勝手な勘違い</t>
        </is>
      </c>
      <c r="G1844" t="inlineStr">
        <is>
          <t>勘違い野郎；勘違い騎士道事件</t>
        </is>
      </c>
      <c r="H1844" t="n">
        <v>29</v>
      </c>
      <c r="I1844" t="inlineStr">
        <is>
          <t>これを狸踊りと呼ぶのは、何かの勘違いから発生したものと考えられる。；彼が雨漏りと勘違いし、驚いて家を飛び出した隙を見て目的を果たした。；そうして少女は竜を退治したと勘違いした人々から推戴され女王となる。；愛は三ツ矢が自分の質問をかんちがいしたことを訂正しないことにした。；パイロットが許可を受けたと勘違いしたことが原因であると報道されている。；わたしも初めは勘ちがいしちゃってね、仲間のような気分でいました。；姉はなにを勘ちがいしたのか、ひどく怒って、彼女に早く帰れといった。；たぶん、かれらはウルフのほかにも助勢がいると勘ちがいしたのだろう。；彼女は私の予期していたように、それは勘ちがいだとはいわなかった。；男たちは勘ちがいをしたのだろう、両手をひろげて「だめだ」と云った。；高校卒業後フランス留学の時には、周囲から中学生だと勘違いされていた。；警部もどうやらおのれのかんちがいに気がついてきたらしいのである。；勘ちがいなどしてはいない、必ず大学さまの反攻が始まると覚悟していた。；總じて今の世では「遊び」といふことがあまりに勘違ひされ過ぎてゐる。；言葉の不通で記者が勘ちがいし、事が大きくなってしまったのだろう。；そのときになって平川は重大な勘ちがいを犯していたことに気づいた。；よく勘違いされるが、王手をした・された瞬間に勝敗がつくわけではない。；そこまで峰吉は考えたことではなかろうが、干兵衛はかんちがいをした。；自分でもときどき勘ちがいしそうになるほど深い擬装をした陰謀者か。；しかしファムの人生のなかでこれほど多くの勘ちがいをしたときもないだろう。；彼は赤緒を自分の探している敵と勘違いするが、すぐにその誤解は解ける。；スグリーヴァはヴァーリンが死んだと勘違いして入口を塞いだのだった。；実際にその勘違いの為に就職活動に有利になるケースも少なくない。；周りの売春婦達はヴァイオレットは母親に捨てられたものと勘違いをする。；此のコースを勘違いした交差点は「寺田交差点」と呼ばれるように成る。；反対に前述の「ガリ送り」を悪影響あるテスト方法と勘違いされている。；悟飯は、始めは自分を助けてくれたのがピッコロだと勘違いしていた。；彼らが再度仲間に出会ったとき、互いを敵と勘違いして恐慌に陥った。；もしかしたら大きな勘ちがいをしていたかもしれないことに気づいたのである。</t>
        </is>
      </c>
      <c r="J1844">
        <f>HYPERLINK("https://www.weblio.jp/content/勘違い", "词义详情")</f>
        <v/>
      </c>
      <c r="K1844">
        <f>HYPERLINK("https://yourei.jp/勘違い", "查看例句")</f>
        <v/>
      </c>
    </row>
    <row r="1845">
      <c r="A1845" t="inlineStr">
        <is>
          <t>官庁</t>
        </is>
      </c>
      <c r="B1845" t="inlineStr">
        <is>
          <t>成功</t>
        </is>
      </c>
      <c r="C1845" t="inlineStr">
        <is>
          <t>読み方：かんちょう
１定められた国家事務について、国家の意思を決定し、それを表示する権限を有する国家機関。担当する事務によって司法官庁と行政官庁に、また管轄区域によって中央官庁と地方官庁に分けられ、組織上では独任制のものと合議制のものとがある。
２1の事務を実際に執り行う諸機関。官署。
３一般に、役所。</t>
        </is>
      </c>
      <c r="D1845" t="inlineStr">
        <is>
          <t>官庁営繕；官庁建築；官庁関係；官庁内；官庁施設</t>
        </is>
      </c>
      <c r="E1845" t="inlineStr">
        <is>
          <t>上；政府；官；体制；当局</t>
        </is>
      </c>
      <c r="F1845" t="inlineStr">
        <is>
          <t>各官庁；関係官庁；諸官庁；地方官庁；担当官庁</t>
        </is>
      </c>
      <c r="G1845" t="inlineStr">
        <is>
          <t>官庁集中計画；官庁訪問；官庁会計；官庁企業；官庁技術者</t>
        </is>
      </c>
      <c r="H1845" t="n">
        <v>29</v>
      </c>
      <c r="I1845" t="inlineStr">
        <is>
          <t>官庁資料の公開は民主政治に大きな関係があることを認識すべきである。；大規模建築に適しており、官庁や企業のビルのデザインに広く使われた。；これは日官労が当時参加していた官庁給与共闘を発展させたものである。；これは唐の一部官庁で三等官の呼称とされていた「丞」の借音とされる。；また理事会を中心に関係官庁、経済諸団体と緊密な連携をつくっている。；委員会は次第にかなりの権限と広い分野の機能を獲得して政府の官庁へと発展していった。；城と公園は一般の立ち入りが禁止され、司法行政官庁として利用された。；マインツ大司教領時代からすでに、ブーヒェンには官庁が置かれていた。；官庁用語などでは使われるものの一般には普及しなかった。；協力会社は、他企業や官庁などから専門的な分野の業務を委託される企業。；担当官庁はであり、職務はイギリスを代表して外国との交渉を行うことである。；これらの官庁の一つがどのように責務を果たしているかをこれから示すことにする。；政府にワズィール職が設置され、ワズィールの下に各種の官庁が置かれた。；平等方を除いて、それぞれ官庁名であると同時にその長官名を指した。；政治的なトップは国防相であり、官庁はテルアビブにあるに位置している。；その際には敏彦が東京で、中央諸官庁との交渉を自ら買って出た。；ラジエーターの上には官庁のマークの入った小旗がたてられていた。；遷都時に宮殿や官庁が建てられた地域の住人は見州に移し、楊州郡とした。；個人・官庁所有の小型飛行機や企業が使用するビジネスジェットなどは含まない。；一日に何度か官庁をまわり、原稿や記事を届けたりもらったりするコースがある。；つまり最高官庁の役人がさらにふたり加わったわけである。；ナチス・ドイツには高度な兵器の開発や製作を統括する官庁が存在しなかった。；パリでは、政府諸官庁がそれぞれに小都市のようなものだが、ただそこには女がいない。；官費生には奉職義務があり、卒業後7年間は官庁で働くことになっていた。；また、いくつかの中央政府官庁および出先機関がこの地区に位置している。；また財団法人は民法第67条にもとづいて主務官庁の監督を受けていた。；あの男は、各官庁とのあいだに、さまざまの個人的な繋りを持っていましてね。；これは他官庁や一般社会での用字の参考となることも想定していた。；官庁では課長の下である例、民間では上である例が多い。</t>
        </is>
      </c>
      <c r="J1845">
        <f>HYPERLINK("https://www.weblio.jp/content/官庁", "词义详情")</f>
        <v/>
      </c>
      <c r="K1845">
        <f>HYPERLINK("https://yourei.jp/官庁", "查看例句")</f>
        <v/>
      </c>
    </row>
    <row r="1846">
      <c r="A1846" t="inlineStr">
        <is>
          <t>缶詰</t>
        </is>
      </c>
      <c r="B1846" t="inlineStr">
        <is>
          <t>成功</t>
        </is>
      </c>
      <c r="C1846" t="inlineStr">
        <is>
          <t>読み方：かんづめ
１食品をブリキ缶やアルミ缶などの容器に詰め、空気を抜いて密封したあと、熱を加えて殺菌し、長期間保存できるようにしたもの。
２
㋐一定の場所に人を閉じ込めて、外部との交渉を断った状態に置くこと。「小説家をホテルに—にする」
㋑狭い場所に多人数がとどめ置かれた状態。「立ち往生の電車の中で—にされる」</t>
        </is>
      </c>
      <c r="D1846" t="inlineStr">
        <is>
          <t>缶詰工場(7%)；缶詰製造；缶詰会社；缶詰加工；缶詰類</t>
        </is>
      </c>
      <c r="E1846" t="inlineStr">
        <is>
          <t>缶；缶入り；缶詰め</t>
        </is>
      </c>
      <c r="F1846" t="inlineStr">
        <is>
          <t>水産缶詰；油漬け缶詰；新缶詰；小さな缶詰；各種缶詰</t>
        </is>
      </c>
      <c r="G1846" t="inlineStr">
        <is>
          <t>缶詰メーカー；缶詰バー；缶詰爆弾</t>
        </is>
      </c>
      <c r="H1846" t="n">
        <v>29</v>
      </c>
      <c r="I1846" t="inlineStr">
        <is>
          <t>国内で生産されているものは、缶詰やそのまま食用にされるものがある。；客間に缶詰にされた関係者の周囲で警官たちの動きがあわただしくなる。；あけてみるとパンが一塊、牛肉の缶詰が一つに桃缶が二つはいっていた。；本人は「そこから苦労の缶詰のような人生が始まった」と語っている。；しかし、缶詰を容易に開ける手段までは発明した本人も考えていなかった。；いっかも日本の鮭の缶詰をこちらへ輸入する下工作の夜会があったのよ。；缶詰や壜詰になっているのりの佃煮には、いい香りのものは見られない。；缶詰のカボチャから作ることもできるが、カボチャの味がより強くなる。；そのほかには実習から得る利益があつて五銭の原料で二十銭の缶詰が出来る。；昼は缶詰工場で働きながら、地元の病院で夜勤の看護婦としても働いた。；オレンジの木が植えられ、缶詰工場が作られたのは1869年であった。；なおこの作品が制作された当時、ほうれん草の缶詰は製造されていなかった。；私は生協の荷物はそのままにして、昨日買って来た猫用の缶詰を開けてやった。；瓶詰や缶詰にした食品の自社製造販売および輸入販売を主業務にしている。；ほかにもいろいろありましたが、缶詰のエビの夕食を三人の人が食べたのです。；例えば、古いものでは缶詰、近年の代表的なものではインターネットがある。；しかしハルクは缶詰をもらったおれいの分だけ、力を出すつもりであった。；いずれにしてもパイの朝食のために新しい缶詰を開けてやらなくてはならない。；食品棚には様々なレトルト食品、缶詰と調味料がひととおり並んでいた。；なお平時は上記糧食のかわりに乾パン、缶詰肉などを用いる場合がある。；もちろん彼は、缶詰の中にそんな恐ろしいものが入っているとは知らなかったという。；会社側は販路開拓を行い、台湾に缶詰として輸出することに成功している。；男たちは湾で青いイワシの漁をし、女たちは缶詰工場で働いていた。；缶詰を見つけたときは開け方を知らないままに石や木の枝で中身を取り出したりしている。；缶詰にはいっており、高い山などにこれを器に盛って置いておく。；妻もまた静岡県のミカン出荷場で選別作業をしたり、缶詰工場で働いた。；現在1年半以上の開発期間をかけて缶詰としても商品化されている。；缶詰を使ったなどとは思えないふくよかな味わいのスープができ上ります。；何かほかに具になるものはと棚を物色したらツナの缶詰が出てきた。</t>
        </is>
      </c>
      <c r="J1846">
        <f>HYPERLINK("https://www.weblio.jp/content/缶詰", "词义详情")</f>
        <v/>
      </c>
      <c r="K1846">
        <f>HYPERLINK("https://yourei.jp/缶詰", "查看例句")</f>
        <v/>
      </c>
    </row>
    <row r="1847">
      <c r="A1847" t="inlineStr">
        <is>
          <t>観点</t>
        </is>
      </c>
      <c r="B1847" t="inlineStr">
        <is>
          <t>成功</t>
        </is>
      </c>
      <c r="C1847" t="inlineStr">
        <is>
          <t>読み方：かんてん
物事を見たり考えたりする立場。見地。「環境保護の—に立つ」「—が違う」</t>
        </is>
      </c>
      <c r="D1847" t="inlineStr">
        <is>
          <t>見；目；眼；判断；立場</t>
        </is>
      </c>
      <c r="F1847" t="inlineStr">
        <is>
          <t>こうした観点；新しい観点；防止する観点；そういう観点；あらゆる観点</t>
        </is>
      </c>
      <c r="G1847" t="inlineStr">
        <is>
          <t>観点別学習状況</t>
        </is>
      </c>
      <c r="H1847" t="n">
        <v>29</v>
      </c>
      <c r="I1847" t="inlineStr">
        <is>
          <t>現在では言語的相違の観点から、歴史的に以下の3つに分けられている。；また別の観点では、発明の内容を社会に公開させるためのものともいえる。；現在知られている大陸とは別に、別な観点に立った大陸と呼ぶ対象もある。；神経を分類するには、構造的・機能的な観点によるが、一長一短がある。；私は一つに経済、また一つに愛国心の観点からこれを好んで飲んでいる。；自治体行政の分散を図る観点から、ハムは住民共同体 を形成している。；しかし、その後の水素爆弾の開発には倫理的な観点から反対をしている。；写真の性質はフィルムとデジタルで異なるが、共通した観点が存在する。；この制度設計の欠陥は、国家のガバナンスの観点からすれば深刻である。；計算複雑性理論は計算問題の難しさを様々な計算資源の観点で分析する。；技法的観点、素材的観点は伝統的には組成などと通称された経緯がある。；情報の有効利用という観点では、ベイズ統計分析がはるかに優れている。；また、居住性・性能向上の観点から小型タクシーのクラスアップが進んだ。；但し、政策上・課税技術上の観点等から など、いくつかの例外がある。；またその観点から、駅の出入口付近に列車を停車させるようにした駅もある。；なお、いくつかの観点から、それまでの歴代天皇から変更された部分もある。；また車体の腐食防止という観点から以下の工事が一部車両に施工された。；以上の基本形状別・材料別の他には、ばねは次のような観点からも分類される。；PMBOKはプロジェクトを以下の観点から分類して管理を行うものとしている。；この数値は設計主務者の土井の観点から見ても全くの予想外と評された。；機密情報の保護の観点からは適切な廃棄方法を徹底することが重要になる。；安全上の観点から詳細が公表されていないものもある。；そしてそれらがまたさまざまな観点から分類されている。；ここではプログラミング手続きの観点から、再帰との主な違いを述べる。；しかしながら、全ての科学者がこの観点を支持している訳ではない。；自然の善は正しい観点から見たときに本性上完全なものであると理解されている。；こういった夢は、確かにモチベーションの維持という観点では需要である。；このような配分は、公平性の観点から見れば問題があると考えられる。；これは、イベントの発生確率とその結果の組み合わせの観点から測定される。</t>
        </is>
      </c>
      <c r="J1847">
        <f>HYPERLINK("https://www.weblio.jp/content/観点", "词义详情")</f>
        <v/>
      </c>
      <c r="K1847">
        <f>HYPERLINK("https://yourei.jp/観点", "查看例句")</f>
        <v/>
      </c>
    </row>
    <row r="1848">
      <c r="A1848" t="inlineStr">
        <is>
          <t>感電</t>
        </is>
      </c>
      <c r="B1848" t="inlineStr">
        <is>
          <t>成功</t>
        </is>
      </c>
      <c r="C1848" t="inlineStr">
        <is>
          <t>読み方：かんでん
［名］(スル)電流が身体に流れて衝撃を受けること。「落雷で—する」「—死」</t>
        </is>
      </c>
      <c r="D1848" t="inlineStr">
        <is>
          <t>感電する(10%)；感電防止；感電自殺；感電性；感電騒ぎ</t>
        </is>
      </c>
      <c r="G1848" t="inlineStr">
        <is>
          <t>感電事故；感電保護クラス</t>
        </is>
      </c>
      <c r="H1848" t="n">
        <v>29</v>
      </c>
      <c r="I1848" t="inlineStr">
        <is>
          <t>また、体に強い電気を帯びており、触れた者を感電させることもできる。；だけどもうそのとき、頭の中ではビリッと感電してしまっているのです。；そこから冷たい戦慄が走ると、感電したかのような衝撃が背筋を走った。；感じ方は人によって差があるが、これも非常に弱い感電の一種である。；感電するしないにかかわらず、危険であることには変わりはなかろう。；夜よく眠れなくなり、体の部分に感電したような感覚を覚えることがある。；ただし既存の同名曲があるため、最終的にタイトルは「感電」となった。；また、帯電している金属部に人体が触れることで感電するケースもある。；驚きが大きすぎて全身が感電したかのようなショックをおぼえた。；感電したような勢いで明日滝毒作が起きあがり、机を叩いて叫んだ。；わたし、あのひとが感電かなんかしたんじゃないかとおもったのよ。；感電したように椅子から飛び起きるわたしを見て、家の者たちが身構えた。；感電すると不整脈が発生し、心腔が同期しなくなり、血流を減少させる。；送受話器をフックにおいた瞬間、佐古は感電したように棒立ちになった。；私も覚悟しながら感電させられたような気持になった。；思いがけなく名前を呼ばれ、感電したようなショックを受けたこともある。；ただし感電防止のために、作業は通電しない場合に限られているものが多い。；電気時計を直していて感電して、踏み台から墜落したときとそっくりだった。；感電したみたいに体を硬直させて、そのリムは二メートルも飛びすさった。；階段で転んだのも、テレビの感電も、ただの事故ではなかったのか。；水中で感電すれば溺死の原因となりえ、いずれにせよ危険ではある。；五官を凌駕した超振動は、感電に似た苦痛となって全神経を直撃した。；感電の危険があるので、高電圧の電気設備には使用してはならない。；なのに、達彦の体の表面は感電したかのようにぶるぶると震えた。；何かこうちりちりと、ほんのちょっと感電したような、危険を告げる感覚。；少年は感電して悲鳴をあげ、はじかれたように飛んでいった。；携帯可能・可搬の電気機器はユーザーを感電から守るために絶縁されている。；電力供給を停止せずに済む利点があるが、作業員の感電の危険性もある。；少女が振るう“何か”を受けた瞬間、男の槍は感電したかのように光を帯びる。</t>
        </is>
      </c>
      <c r="J1848">
        <f>HYPERLINK("https://www.weblio.jp/content/感電", "词义详情")</f>
        <v/>
      </c>
      <c r="K1848">
        <f>HYPERLINK("https://yourei.jp/感電", "查看例句")</f>
        <v/>
      </c>
    </row>
    <row r="1849">
      <c r="A1849" t="inlineStr">
        <is>
          <t>乾電池</t>
        </is>
      </c>
      <c r="B1849" t="inlineStr">
        <is>
          <t>成功</t>
        </is>
      </c>
      <c r="C1849" t="inlineStr">
        <is>
          <t>読み方：かんでんち
電解液を金属容器に封入し、携帯や取り扱いを便利にした一次電池。代表的なものがマンガン乾電池で、正極に炭素棒を、負極に容器を兼ねた亜鉛板を用い、その間に二酸化マンガン・黒鉛などの合剤と、塩化アンモニウム・塩化亜鉛を含むのり状の電解液を詰めてある。ほかにアルカリ電池・水銀電池などがある。→湿電池
[補説]円筒形乾電池の名称と寸法単1形（高さ61.5ミリ、直径34.2ミリ）単2形（高さ50.0ミリ、直径26.2ミリ）単3形（高さ50.5ミリ、直径14.5ミリ）単4形（高さ44.5ミリ、直径10.5ミリ）単5形（高さ30.2ミリ、直径12.0ミリ）</t>
        </is>
      </c>
      <c r="D1849" t="inlineStr">
        <is>
          <t>乾電池式(3%)；乾電池駆動；乾電池カー；乾電池型</t>
        </is>
      </c>
      <c r="E1849" t="inlineStr">
        <is>
          <t>バッテリー；電池；蓄電池</t>
        </is>
      </c>
      <c r="F1849" t="inlineStr">
        <is>
          <t>型乾電池；屋井乾電池；リチウム乾電池；廃乾電池</t>
        </is>
      </c>
      <c r="H1849" t="n">
        <v>29</v>
      </c>
      <c r="I1849" t="inlineStr">
        <is>
          <t>電動ではあったが、電力は車体内部に搭載される乾電池から供給された。；現場検証では時限装置と見られる時計や乾電池などの破片が発見された。；受信機の裏蓋を外してみると、必要なのは単三型の乾電池だとわかった。；ただし輸入された全ての乾電池に関しては水銀を含んでいる可能性がある。；後に、この電池と同じ化学反応を用いて乾電池が製造されるようになった。；それは小さな安物でそばに予備のものらしい大量の乾電池が積まれていた。；天井に乾電池をおいて、そこからコードが、豆電球につながっているのさ。；筒型の金属ケースを用い、現在の乾電池のスタイルを確立している。；このため乾電池には消費期限が定められていることも少なくない。；あの学習塾跡に電気なんて通ってるわけがないから、乾電池式の奴。；他に、乾電池や太陽電池と二次電池で発光する前照灯も販売されている。；かつては交換式の乾電池や電球を光源とした製品が一般的だった。；また電動製品が多く、車両以外にも多くの乾電池を必要とした。；実は乾電池と水と薄い金属片があれば、即席のやみくろよけができます。；また彼らの動力源の乾電池の費用も働いた資金から天引きされる。；二つの乾電池にはそれぞれ「次」と「郎」という文字が書かれていた。；バックアップ電池は乾電池交換時にプログラムが消えないようにするためにある。；プロからノンプロへの移行期に圧倒的な強さを発揮したのは岡田乾電池であった。；かつて簡素な製品を製造していた頃は、乾電池や外部電源を用いたものが展開されていた。；過去にはレールから給電する物や乾電池を搭載して車両に付いたスイッチで操作する物も存在した。；また、強力な乾電池も開発したが、ヨーロッパでは特許を取ることができなかった。；後ろから奥さんが駆けてきて新しい乾電池を渡し、不穏が入れ替えてやっている。；モーターの軸に色を付けた紙を刺して、それを乾電池に繋いで回すんですよ。；その電球は、ほそいコードで、ポケットに入れた乾電池につながっている。；これは単3形乾電池2本が入りやすいようにしたサイズである。；被害者の口には乾電池が詰め込まれ、顔には青いペンキが塗られた。；一方乾電池や二次電池及び最近は太陽電池を使用するものもある。；キットは単3形乾電池一本と麦球を使用した赤色発光ギミックを有する。；それでもコストの高さ、乾電池の寿命などの問題から進展しなかった。</t>
        </is>
      </c>
      <c r="J1849">
        <f>HYPERLINK("https://www.weblio.jp/content/乾電池", "词义详情")</f>
        <v/>
      </c>
      <c r="K1849">
        <f>HYPERLINK("https://yourei.jp/乾電池", "查看例句")</f>
        <v/>
      </c>
    </row>
    <row r="1850">
      <c r="A1850" t="inlineStr">
        <is>
          <t>感度</t>
        </is>
      </c>
      <c r="B1850" t="inlineStr">
        <is>
          <t>成功</t>
        </is>
      </c>
      <c r="C1850" t="inlineStr">
        <is>
          <t>読み方：かんど
１他からの刺激に感じる度合い・程度。「—の鋭い人」
２受信機・測定器などが、電波・電流などを感じる度合い。「ラジオの—が悪い」
３写真フィルムなどの感光材料が光に反応する度合い。数値で表し、制定機関によって、現在多く使用されるISO(イソ)感度や、ASA(アサ)感度・JIS(ジス)感度などがある。「高—フィルム」</t>
        </is>
      </c>
      <c r="D1850" t="inlineStr">
        <is>
          <t>感度が高い(3%)；感度が高く(3%)；感度が低い；感度が低く；感度特性</t>
        </is>
      </c>
      <c r="E1850" t="inlineStr">
        <is>
          <t>感覚；残酷；不良；感性；鋭敏</t>
        </is>
      </c>
      <c r="F1850" t="inlineStr">
        <is>
          <t>高い感度；低感度；不良性感度；分光感度；超感度</t>
        </is>
      </c>
      <c r="H1850" t="n">
        <v>29</v>
      </c>
      <c r="I1850" t="inlineStr">
        <is>
          <t>情報の合成に必要なことは、まず最初に情報に対する感度の良さである。；従って、この場合も感度の良い方向に音叉が移動したかのように感じる。；今後の観測運用では更なる感度向上のための調整試験がさしはさまれる。；すなわち、感度の悪い方では感音難聴が発生していることを意味している。；しかし、感度を上げるとノイズが発生することは念頭に置く必要がある。；しかし、その状態でも別の種類の臭いへの感度は低下しないのが特徴である。；感度はそれほどよくはないが、あの部分の感触はかなりのものである。；国際診断基準は従来の分類基準に比べて優れた感度と特異度を有している。；写真フィルムに比べて、印画紙の感度は一般にかなり低く作られている。；それが修繕する度に眼に見えて機械の感度が悪くなるのであった。；こうしたことに感度の低い企業はどんどん市場や顧客からずれていきます。；感度が高いと、呪力で失明することもあるから注意したほうがええよ。；もちろん、構造も感度もともによいという女の場合は申しぶんなかった。；それはすぐに、地域の歴史的マトリックスと環境の極端な感度を示している。；また同じ味を長く味わっていると感覚が疲労してきて感度が低くなったりする。；感度を非常に高くしたボロメータはリセットまでに時間が長くかかる。；また、操作時のボタン配置やJoy-Conの感度は任意で変更できる。；さっそく立石が出向くと、二台の二号一型のうち一台の感度が非常に悪い。；それも、女の性の感度比べのような品のない話ばかりである。；そのため、一般に、他の距離関数に比べて分類感度が高いといわれる。；もちろん惑星は、超感度化された銅原子の爆弾でやられたものに違いない。；だからアジアの文化は芸術の面ひとつでもこんなにするどい感度で響きあっていた。；それを使ってかなりの感度で脅威が存在する方角をしることができる。；反射が出るか出ないかだけでは、感度、特異度の向上にはつながらない。；急に速度を早めて、この機械の感度外に行っちまったなんてことも不可能だ。；逆に容易に爆発しない場合は感度が悪い、鈍感であると表現する。；こちらの方は相手の方の機械の感度が悪いのだろう。；この現像方法は、感度が高く温度の変化によって結果が異なっていく。；いままで一時間かかって、いちばん感度のいい機械でとったの。</t>
        </is>
      </c>
      <c r="J1850">
        <f>HYPERLINK("https://www.weblio.jp/content/感度", "词义详情")</f>
        <v/>
      </c>
      <c r="K1850">
        <f>HYPERLINK("https://yourei.jp/感度", "查看例句")</f>
        <v/>
      </c>
    </row>
    <row r="1851">
      <c r="A1851" t="inlineStr">
        <is>
          <t>関東</t>
        </is>
      </c>
      <c r="B1851" t="inlineStr">
        <is>
          <t>成功</t>
        </is>
      </c>
      <c r="C1851" t="inlineStr">
        <is>
          <t>読み方：かんとう
《関所の東の意》
「関東地方」の略。
奈良時代以来、鈴鹿・不破・愛発(あらち)の三関以東の地。のちに、逢坂(おうさか)の関より東の地域。中世以降、箱根の関より東の8か国、関八州の称。これに伊豆・甲斐・出羽・陸奥(むつ)を加えて関東十二国と称したこともある。
（中国で）
㋐函谷関(かんこくかん)以東の地。
㋑山海関以東の地。以前の満州、現在の中国北部。
１鎌倉幕府のこと。
２室町時代、関東公方(くぼう)（鎌倉公方）、関東管領(かんれい)のこと。
３江戸幕府のこと。</t>
        </is>
      </c>
      <c r="D1851" t="inlineStr">
        <is>
          <t>関東一円；関東軍司令部；関東各地；関東自動車；関東ローム層</t>
        </is>
      </c>
      <c r="F1851" t="inlineStr">
        <is>
          <t>関東以北；関東近郊；関東武士；関東以外；関東山地</t>
        </is>
      </c>
      <c r="G1851" t="inlineStr">
        <is>
          <t>関東大震災；関東軍；関東管領；関東地区；関東大会</t>
        </is>
      </c>
      <c r="H1851" t="n">
        <v>29</v>
      </c>
      <c r="I1851" t="inlineStr">
        <is>
          <t>関東では一時期コンプマートを展開していたため事実上の再進出となる。；また関東では、時氏の死を悼んで出家する者が数十人にのぼったという。；統治の困難な関東では、鎌倉府に権限を集中する必要があったためである。；関東の諸侯らは袁紹派と袁術派に分かれて互いに争うようになっていた。；このことから現在の発音が当時は関東の方言音であったことが分かる。；そのため当該枠の中継は基本的に関東主場のレース中継に振り替えられた。；ただし岡谷市では関西風に近く、諏訪市では関東風に近いとされている。；デビュー当初は関東を中心にしていたが、現在は関西を中心に活動している。；関東とは、日本の中の、特定の地域・地方を指す言葉・概念である。；現在のフリー雀荘のルールは、関東ではアリアリにほぼ統一されている。；かつて足利尊氏・直義兄弟が懸念した関東の不安定化が再び現実化する。；最近は関東や関西でも生菓子の一種類として使われるようになっている。；これは戦前の交通統合が関東・関西地区と比べて先行したことが影響している。；地形的には武蔵野台地のほぼ中央に位置し、関東ローム層に覆われている。；なお直接は送らず一度関東に引き渡され、幕府の手によって送られた。；かつては関東随一を自称したこともある比較的著名な花火大会である。；また、関東では2004年4月3日に土曜ワイド枠で再放送されている。；結局、上記の学連選抜チームの記載のとおり、関東のチームのみとなった。；なお、関東・関西の同地区同士が対戦しないなどの考慮は特に行なわれていない。；なお、tvk以外の関東の独立U局および東京放送では放送されなかった。；釣り方は関東と同じく、魚の泳層を探してその上下の層を釣っていく。；例えば関東周辺では以下のような仕掛けが使われる。；寒村だった江戸をはじめ、僻地だった関東を家康とその家臣が開発している。；関東とのレベル差が開きつつあるのが現在の課題。；永禄6年に上野厩橋城主に任命され、関東方面の政治や軍事を任された。；そもそも、関西と関東でだしに使われている素材が異なっている。；それに伴い関東・関西の同時ネットが解消となりローカル編成となる。；海の日に関東三大奇祭である浜降祭が行われ、茅ヶ崎の夏の訪れとなる。；関東大学バレーボール連盟1部に所属しており、数々の大会で優勝している。</t>
        </is>
      </c>
      <c r="J1851">
        <f>HYPERLINK("https://www.weblio.jp/content/関東", "词义详情")</f>
        <v/>
      </c>
      <c r="K1851">
        <f>HYPERLINK("https://yourei.jp/関東", "查看例句")</f>
        <v/>
      </c>
    </row>
    <row r="1852">
      <c r="A1852" t="inlineStr">
        <is>
          <t>感動</t>
        </is>
      </c>
      <c r="B1852" t="inlineStr">
        <is>
          <t>成功</t>
        </is>
      </c>
      <c r="C1852" t="inlineStr">
        <is>
          <t>読み方：かんどう
［名］(スル)ある物事に深い感銘を受けて強く心を動かされること。「深い—を覚える」「名曲に—する」</t>
        </is>
      </c>
      <c r="D1852" t="inlineStr">
        <is>
          <t>感動的(6%)；感動せしめ；感動しやすい；感動ぶり；感動いたし</t>
        </is>
      </c>
      <c r="E1852" t="inlineStr">
        <is>
          <t>興奮；熱狂；熱気；昂奮；亢奮</t>
        </is>
      </c>
      <c r="F1852" t="inlineStr">
        <is>
          <t>深い感動；深く感動；大きな感動；ひどく感動；強い感動</t>
        </is>
      </c>
      <c r="G1852" t="inlineStr">
        <is>
          <t>感動詞；感動作；感動ポルノ；感動をありがとう；感動の押し売り</t>
        </is>
      </c>
      <c r="H1852" t="n">
        <v>29</v>
      </c>
      <c r="I1852" t="inlineStr">
        <is>
          <t>世界中の人々の壮絶人生やあの物語の裏にあった感動の結末などを紹介。；杉村自身も手紙の多さに驚き、笠の人気の高さに感動したと述べている。；涙ありと書いてあるが、感動的な話はあまり無く、殆どがギャグである。；観客が物語に盛り上がりを感じたり、感動を得たりした時に発せられる。；姉から妹への手紙の朗読の場面では感動して本当に泣いたと振り返っている。；コンセプトは「ユーザーの期待を超える驚きと感動を提供する」である。；原本人はこのクレジットを読んだ際に感動して泣いた旨を著書に記載している。；その学校の教授たちは、パッヘルベルの学問の才能に感動したという。；優美でいささか感動的な響きのある命題によってこの書物は閉じられる。；この演説に感動した一高生の何人かは荷物をまとめて一高を去ったという。；ファンのために一日でも長く土俵に上がる姿勢には感動していた。；笑いの要素が好きで演技にも感動させられると語っていた。；オリヴァーの件にしても、人々に感動を与えたのは彼の演技だった。；その愛の思いは、天国から見ていたイエスに深い印象と感動を与えた。；それに感動した中村はその場で友人に電話を掛け、一台のワゴン車を購入。；先輩の顧正誼の家で元末四大家の作に触れたことに感動したからだという。；母親の死をきっかけに父と子供が断絶しながらも和解までを描く感動の映画。；ユーモアのあるスピーチで観客に新たな喜びと感動を与えていると言われる。；当時の関係者は朗廬のことを話すときには感動して涙を流していたと語っている。；それらを用いて身近なものを覗いて回り、様々なものを見て感動していた。；彼には私の人生の中で最も有益であった最初の感動に恩義がある。；男が海のほうを振り向いた光景を見た登は、奇蹟の瞬間だと思い感動する。；客に感動を与えられるのは人だと身をもって知った。；閉会式での涙ながらの挨拶は万余の観客を感動させたという。；黒澤は偶然その舞台を見ており、それに感動したことから本作の企画が行われた。；全てが全てホラーや恐怖を与えるものではなく、感動するものなども存在する。；言葉ではない、意味のない音でもこのマイクが拾えば感動させることが可能。；その時の感動からプロの歌手への道を意識し始める。；これに感動した父はようやくクリスティを自分の息子として認める。</t>
        </is>
      </c>
      <c r="J1852">
        <f>HYPERLINK("https://www.weblio.jp/content/感動", "词义详情")</f>
        <v/>
      </c>
      <c r="K1852">
        <f>HYPERLINK("https://yourei.jp/感動", "查看例句")</f>
        <v/>
      </c>
    </row>
    <row r="1853">
      <c r="A1853" t="inlineStr">
        <is>
          <t>勘当</t>
        </is>
      </c>
      <c r="B1853" t="inlineStr">
        <is>
          <t>成功</t>
        </is>
      </c>
      <c r="C1853" t="inlineStr">
        <is>
          <t>読み方：かんどう
［名］(スル)
１親が子との縁を切ること。江戸時代には奉行所に届け出が必要であった。また、主従関係・師弟関係を断つことにもいった。「放蕩息子を—する」
２《法に合わせ勘(かんが)えて罪に当てる意から》責めてしかること。
「宮より重く—せられしかば」〈宇津保・国譲上〉</t>
        </is>
      </c>
      <c r="D1853" t="inlineStr">
        <is>
          <t>勘当される(4%)；勘当同然(3%)；勘当同様；勘当状態；勘当息子</t>
        </is>
      </c>
      <c r="E1853" t="inlineStr">
        <is>
          <t>断絶；絶縁；離縁；絶交；不孝</t>
        </is>
      </c>
      <c r="F1853" t="inlineStr">
        <is>
          <t>ご勘当</t>
        </is>
      </c>
      <c r="H1853" t="n">
        <v>29</v>
      </c>
      <c r="I1853" t="inlineStr">
        <is>
          <t>十五六から酒と女を覚えて手がつけられないので二十二のとき勘当された。；君のあの小説は家庭のことを何も書いていないにかかわらず君は勘当された。；両親に無断で大学をやめた彼はいずれにしても勘当同然の身の上だった。；まだいろいろとまた古風なことばのあった時代で、女はむろん勘当された。；勘当をお受けとは申しながら、大御所さまのお子ではございませんか。；後に七海を勘当したが、滋子が警察を呼んだ際は、七海のことを助けた。；自分は自ら進んで大兄の勘当を受ける心でこの手紙を認めると書いた。；頭ごなしに反対され、それでも俺が折れないと、勘当するぞと脅された。；裕福な若い男が、娼婦の女を愛しているために家から勘当されている。；面と向かって話をすれば勘当されるかもしれない、とよく考えた。；高山の運命はこの時以来ふるわず、やがて信仰のことで秀吉に勘当された。；もしプルーが彼と結婚なんかするなら、勘当だ、とラムジー氏が言った。；親の方では表向き彼を勘当して居たので寄せつけなかつたのである。；ところが能力不足その他モロモロの事情により主家から勘当されていた。；現在のような少年なら勘当されているかどうか疑問なことに彼は思い及ばなかった。；私はお直さんを訪ね、加十さんの勘当中の友だちであると自己紹介しました。；家出よりは勘当のほうが多少聞こえがいいような気がしたのだ。；そして激高したヘンリーは、3人の王子たちを勘当することを宣言する。；だから、よくよくもてあまさなければ勘当にはしなかったに違いない。；忠兵衛はまた勘当すると言い出したが、これと同時に病気になった。；勘当が解かれたのは弘安元年で、のちに父・左衛門大夫も入信している。；勘当を知らぬはずはないのに、意地悪く大声を出したように思えた。；お前がようなものは勘当だと、はっきりと二度まで申しました。；勘当の原因だった女と別れて帰って来たのなら、苦情もなかった。；伊之助も道楽が過ぎて勘当され品川で日雇いの仕事をしているのであった。；天心堂が石松の勘当と加十復帰の噂を耳にしたのは人見角造からであった。；勘当されてから一時も忘れたことはなく、会いたくなって途中の町まで出かけたこともあった。；その後帰郷したが、医者になれなかったことを叱責され両親から勘当される。；たった一人の姉妹の勘当受けて、こりゃ何としたものであろうか。</t>
        </is>
      </c>
      <c r="J1853">
        <f>HYPERLINK("https://www.weblio.jp/content/勘当", "词义详情")</f>
        <v/>
      </c>
      <c r="K1853">
        <f>HYPERLINK("https://yourei.jp/勘当", "查看例句")</f>
        <v/>
      </c>
    </row>
    <row r="1854">
      <c r="A1854" t="inlineStr">
        <is>
          <t>監督</t>
        </is>
      </c>
      <c r="B1854" t="inlineStr">
        <is>
          <t>成功</t>
        </is>
      </c>
      <c r="C1854" t="inlineStr">
        <is>
          <t>読み方：かんとく
［名］(スル)
１取り締まったり、指図をしたりすること。また、その人や機関。「工事現場を—する」「試験—」
２映画・舞台・スポーツ競技などで、グループやチームをまとめ、指揮・指導する役の人。「撮影—」
３日本の聖公会やメソジスト教会における第二次大戦前の職制名。主教、司教にあたる。
４法律で、人または機関の行為が、その守るべき義務に違反していないか、その目的達成のために適当か否かを監視し、必要なときには指示・命令などを出すこと。
[補説]書名別項。→監督</t>
        </is>
      </c>
      <c r="D1854" t="inlineStr">
        <is>
          <t>監督作品(3%)；監督下；監督時代；監督映画；監督デビュー</t>
        </is>
      </c>
      <c r="E1854" t="inlineStr">
        <is>
          <t>運営；管理；指揮；経営；指導</t>
        </is>
      </c>
      <c r="F1854" t="inlineStr">
        <is>
          <t>アメリカ合衆国の映画監督；共同監督；一軍監督；指揮監督；野球部監督</t>
        </is>
      </c>
      <c r="G1854" t="inlineStr">
        <is>
          <t>監督官；監督賞；監督者；監督代行；監督署</t>
        </is>
      </c>
      <c r="H1854" t="n">
        <v>29</v>
      </c>
      <c r="I1854" t="inlineStr">
        <is>
          <t>これらは後に王がダイエーの監督に就任することから現実のものとなる。；この作品でブランドは俳優兼監督のアーサー・ペンと再び仕事をした。；最初は監督は自分には合わないと考えたが演出より面白いと感じる。；また、旧ユーゴスラビア諸国出身のサッカー監督は極めて多いと言える。；この他、歴代監督やその下で働いたコーチ陣も多数取り上げられた。；監督は人の心を見透かす方なので、自身の葛藤を見抜いたかもしれない。；また、日本ハム監督時代の土橋正幸もメインを張ったエピソードがある。；広い意味では、宣伝・配給など監督の権限が及ばない分野の関係者も指す。；元ウルグアイ代表経験を持つウーゴ・フェルナンデスが監督に就任した。；監督代行の田辺が翌年から正式に監督として指揮を執ることを発表した。；この年より監督に就任した広岡達朗の下、チームの改革を実施した。；元巨人の名監督ということで年俸の高かった水原はに監督を解任された。；戦後の監督作品では、映画の中の小道具や看板のデザインを自ら手がけている。；また、首相および国防大臣には軍に対する指揮権・監督権は存在しない。；現在でも、実写ドラマの監督がやりたいという野心があると語っている。；巨人の監督の胴上げに比べて、巨人の対戦相手チームの胴上げは少ない。；そして日本シリーズ終了後の11月1日、監督の勇退を正式に表明した。；そのため、監督やプロデューサーなども裏方であり、スタッフに含まれる。；イベント時に随時配布される他、選手・監督名の入ったものも販売されている。；黒澤が自作と認めた監督作品は30本あり、そのすべてで脚本を執筆した。；その後も監督が抜擢するなどして俳優が選ばれる例がある。；路の役割はあくまで監督であり、州は路に属するわけではなく中央直属の機関である。；主演・監督を務めた映画『青の光』に感動してのことという。；役を得た後の俳優の仕事の流れは、国・現場の種類・監督などによって異なっている面がある。；画面右のカメラの側にリーフェンシュタール監督の後ろ姿が見える。；これは中国証券監督管理委員会と香港証券取引所との合意によるものである。；また州の監督機関として路があり、そこに置かれる役職は以下のようなものがある。；パイロット監督は仮面ライダーシリーズ初参加となる小林義明が担当。；メイン監督は戦隊シリーズでは初パイロットとなる渡辺勝也が担当。</t>
        </is>
      </c>
      <c r="J1854">
        <f>HYPERLINK("https://www.weblio.jp/content/監督", "词义详情")</f>
        <v/>
      </c>
      <c r="K1854">
        <f>HYPERLINK("https://yourei.jp/監督", "查看例句")</f>
        <v/>
      </c>
    </row>
    <row r="1855">
      <c r="A1855" t="inlineStr">
        <is>
          <t>観念</t>
        </is>
      </c>
      <c r="B1855" t="inlineStr">
        <is>
          <t>成功</t>
        </is>
      </c>
      <c r="C1855" t="inlineStr">
        <is>
          <t>読み方：かんねん
［名］(スル)
１物事に対してもつ考え。「時間の—がない」「固定—」
２あきらめて、状況を受け入れること。覚悟すること。「もうこれまでと—する」
３哲学で、人間が意識の対象についてもつ、主観的な像。表象。心理学的には、具体的なものがなくても、それについて心に残る印象。
４仏語。真理や仏・浄土などに心を集中して観察し、思念すること。観想。</t>
        </is>
      </c>
      <c r="D1855" t="inlineStr">
        <is>
          <t>観念的(5%)；観念論；観念性；観念そのもの；観念連合</t>
        </is>
      </c>
      <c r="E1855" t="inlineStr">
        <is>
          <t>考え；意味；概念；感覚；訳</t>
        </is>
      </c>
      <c r="F1855" t="inlineStr">
        <is>
          <t>経済観念；国体観念；先入観念；新しい観念；単純観念</t>
        </is>
      </c>
      <c r="G1855" t="inlineStr">
        <is>
          <t>観念的；観念的競合；観念小説；観念学；観念主義</t>
        </is>
      </c>
      <c r="H1855" t="n">
        <v>29</v>
      </c>
      <c r="I1855" t="inlineStr">
        <is>
          <t>これは国家や階級などの一定の社会集団が保有する政治的な観念である。；近年の主要な研究テーマは古墳時代の政治構造や観念領域の研究である。；このような地理や生物分布の観念は、当時作成された地図にも反映した。；古い時代の刑法では結果的責任及び団体的責任の観念が支配的であった。；初期の人類が時間を認識する基礎は、季節の観念だったと考えられる。；このような対立図式は支配される客体としての自然を分析して観念する。；最後には尾崎も観念し、19回目には涙を流しながら素直に歌っていた。；作画のは観念的な内容に合わせて視覚表現の実験を数多く行っている。；これは仏教で生きながら仏になる即身成仏の観念とも通じるものがあった。；ワークフローの観念は、仕事自体の概念化の歴史的発展と共に発展した。；絶対的他者である世界の側から見れば、個人に従属している観念である。；観念したジャアファルは自ら目隠しをして、首を落とされることとなる。；これが武士に代わって商人が政治を動かそうとした名誉観念の一つであろう。；創氏がおこなわれる以前、朝鮮には家族名という観念は存在しなかった。；美の観念は言葉に説明しがたい性質のものであるが西行の句を例に挙げてみる。；人間が中間領域にある事象に嫌悪を覚える人間の特性を観念論で表した。；バビロン捕囚期以降、神が多数の霊に仕えられているとする観念が生まれた。；両者は共通の観念や工芸技術を持ち、共存する形で発展をしつづけた。；農民の田の神のような去来の観念はなく、常にその山にいるとされる。；利己主義は通常は以下のような観念と結び付けられて理解されることが多い。；ホーネッカーは観念したように解任動議を採決にかけざるを得なかった。；その過程において、王権は王個人と区別して観念されるようになった。；これは、世界的に存在する『右を善、左を悪』とする観念と関係がある。；現在の聖書学では、旧約の諸文書には原罪の観念はないと理解されている。；「現在の多くの若い落語家は経済観念が欠落している」とも批判している。；人類の歴史における量の観念は数の観念と並行して発達してきた。；これは中世において寺院は聖域であるとする社会的観念があったためとされる。；モンの生涯については、その音楽観念に比べてあまり知られていない。；観念はそれ自体が複雑なものであっても、すべて経験に由来するものであると捉えられる。</t>
        </is>
      </c>
      <c r="J1855">
        <f>HYPERLINK("https://www.weblio.jp/content/観念", "词义详情")</f>
        <v/>
      </c>
      <c r="K1855">
        <f>HYPERLINK("https://yourei.jp/観念", "查看例句")</f>
        <v/>
      </c>
    </row>
    <row r="1856">
      <c r="A1856" t="inlineStr">
        <is>
          <t>元年</t>
        </is>
      </c>
      <c r="B1856" t="inlineStr">
        <is>
          <t>成功</t>
        </is>
      </c>
      <c r="C1856" t="inlineStr">
        <is>
          <t>読み方：がんねん
１天皇即位の最初の年。
２年号の改まった最初の年。「昭和—」
３ある物事の出発点となるような年。「環境保全—」</t>
        </is>
      </c>
      <c r="D1856" t="inlineStr">
        <is>
          <t>元年正月；元年閏；元年以降；元年従五位下；元年従五位上</t>
        </is>
      </c>
      <c r="F1856" t="inlineStr">
        <is>
          <t>天正元年；嘉永元年；享元年；寛政元年；文化元年</t>
        </is>
      </c>
      <c r="H1856" t="n">
        <v>29</v>
      </c>
      <c r="I1856" t="inlineStr">
        <is>
          <t>文明元年には四国・九州の諸大名に軍を率いて上京するよう命じている。；近肖古王の死亡時期を元にした年表だと神功皇后元年は321年になる。；天正元年8月には羽柴秀吉が赤井氏に松尾社領の押領停止を命じている。；興平元年、袁術の下にいた孫策は劉繇を攻略するため江東へ軍を挙げた。；永正元年に生まれたとされているが、生年には諸説があって定かではない。；寛文元年には相場米買上制を始め、寛文年間には升と秤の統一を行った。；時期は不明だが、早ければ天正元年ころには子の信虎に家督が継承されたとみられる。；寛仁元年に三条が死去すると、敦明はついに皇太子の辞退を決意した。；正徳元年には京都の新町通り二条下ルに新居を構え、ここで制作した。；嘉吉元年には、日向国に潜伏していた義昭を島津忠国に命じて討たせた。；また、天皇の崩御の年の記載もあり、さらに歴代天皇の元年を干支で表している。；元号を使うようになってからは、元号も同時に改められて新元号の元年とされた。；しかし宝暦元年に死去するまでは吉宗が大御所として実権を握り続けた。；その結論を記したのが文永の役の翌年建治元年に著した「撰時抄」である。；以後、永禄元年の鶴岡八幡宮に参詣するまで「葛西殿」と称されていた。；文政元年及び文政12年当時の忠邦の主要家臣は下のとおりである。；貞時の死の1ヶ月前である応長元年9月22日に出家し、同日に死去した。；実際に、光宗も即位時に翌年を泰昌元年とすると発表した。；貞享元年2月25日には譲位の意向を伝えたが、この際は幕府から拒否された。；文禄元年からの文禄の役では九番隊に属して上陸し、慶尚道などの制圧を担当した。；これを鎮圧した物部麁鹿火は宣化天皇の元年の7月に死去している。；また仲哀天皇元年条には父が崩御したとき弱冠に達していなかったという記述がある。；古い塔は、宝永元年に建立され、旧六万塔とも称される。；一方、近江に逼塞していた義輝は永禄元年になって上洛戦を敢行した。；その後、享和元年の御船奉行の食事の記録にも軽羹の名が出ている。；不破に郡があったことがわかる最古の記事は、天武天皇元年672年である。；建興15年に皇后の張氏が没し、延熙元年にその妹を新たに皇后とした。；嘉永元年、前年の丈策死去により、家督を継いで十四世本因坊秀和となる。；この年はアフターウォー元年と呼ばれる事になる。</t>
        </is>
      </c>
      <c r="J1856">
        <f>HYPERLINK("https://www.weblio.jp/content/元年", "词义详情")</f>
        <v/>
      </c>
      <c r="K1856">
        <f>HYPERLINK("https://yourei.jp/元年", "查看例句")</f>
        <v/>
      </c>
    </row>
    <row r="1857">
      <c r="A1857" t="inlineStr">
        <is>
          <t>乾杯</t>
        </is>
      </c>
      <c r="B1857" t="inlineStr">
        <is>
          <t>成功</t>
        </is>
      </c>
      <c r="C1857" t="inlineStr">
        <is>
          <t>読み方：かんぱい
［名］(スル)杯の酒を飲み干すこと。特に、喜びや祝福の気持ちを込め、杯を差し上げたり触れ合わせたりして、酒を飲むこと。「—の音頭をとる」「二人の門出を祝い、—する」</t>
        </is>
      </c>
      <c r="D1857" t="inlineStr">
        <is>
          <t>乾杯する(7%)；乾杯しよ(4%)；乾杯いたし；乾杯推進会議</t>
        </is>
      </c>
      <c r="E1857" t="inlineStr">
        <is>
          <t>トースト；祝杯；乾盃</t>
        </is>
      </c>
      <c r="F1857" t="inlineStr">
        <is>
          <t>祝って乾杯；祈って乾杯；合わせて乾杯</t>
        </is>
      </c>
      <c r="G1857" t="inlineStr">
        <is>
          <t>乾杯条例</t>
        </is>
      </c>
      <c r="H1857" t="n">
        <v>29</v>
      </c>
      <c r="I1857" t="inlineStr">
        <is>
          <t>私たちはとりたてて何かのためなどに乾杯せず、グラスを軽く合わせた。；乾杯が終わったらすぐ始めてくれと、よっさんに言われていたからである。；「それで今日は私に何のご用で」 ビールが運ばれてきて乾杯となった。；私たちは仕事の成功を祝って乾杯したが、そのあとホリーは私にいった。；アパートに帰った二人は、テーブルの上のウイスキーで乾杯したんだろう。；この写真が、週刊誌に売れたんで、一人で乾杯したんじゃないのかしら。；国王のみに乾杯する事が提案されたアイルランド代表団は激怒した。；送ってやった彼の映画のプログラムを見て、隊のもの皆で乾杯してくれた由。；彼は何んな親しい友達にでも事業の話で乾杯する以外のことは洩さなかつた。；二人はビールで乾杯した後、料理に合わせてすぐ日本酒に変えた。；深夜過ぎに調印が行われ、スターリンも出席した乾杯が幾度も行われた。；二日後の夕食にワインを入手したともは四人で一郎の無事帰還を祈って乾杯をした。；いろいろなところで行われたいろいろな乾杯が、次々と思い出された。；燗をした日本酒が運ばれてきて、二人は音を立てずに乾杯をした。；寿司はまだ届いていなかったが、二人はソファに並んで掛け、乾杯した。；同じような騒動があちこちであり、乾杯準備には思いのほか時間がかかった。；今日はさびしくしちゃいけないな、と思って二人で乾杯をしました。；酒は一杯程度であれば飲むことができ、乾杯には参加している。；「乾杯しましょうか、たまには」そう言って女は私の席の横に座った。；また、あまりの辛さに岡田が乾杯していないのにビールを飲んでしまった。；乾杯の音頭の後も残っているのはその報告を待っているためだ。；アリョーシャ、シャンパンを注文して、僕の自由のために乾杯しようや。；やがて乾杯のとき、はじめて松と蘭の上に喬彦の蒼白な顔があらはれた。；意見が一致したのを記念して、ボトルの底に残ったワインでおれたちは乾杯した。；参加者全員が吸い物を空にした後、主催者の挨拶が行われ、乾杯をする。；それでみると、ただの乾杯だけの話でないことは明らかだった。；酒が飲めず、選手同士で飲みに行った際はコーラで乾杯するのが常だった。；領主の隣には、所在なげな顔をしたマリナが、乾杯の器を掲げている。；かれは最後の乾杯をしようとグラスを上げ、集まった面々を順に見ていった。</t>
        </is>
      </c>
      <c r="J1857">
        <f>HYPERLINK("https://www.weblio.jp/content/乾杯", "词义详情")</f>
        <v/>
      </c>
      <c r="K1857">
        <f>HYPERLINK("https://yourei.jp/乾杯", "查看例句")</f>
        <v/>
      </c>
    </row>
    <row r="1858">
      <c r="A1858" t="inlineStr">
        <is>
          <t>芳しい</t>
        </is>
      </c>
      <c r="B1858" t="inlineStr">
        <is>
          <t>成功</t>
        </is>
      </c>
      <c r="C1858" t="inlineStr">
        <is>
          <t>読み方：かぐわしい
［形］［文］かぐは・し［シク］《「香(か)細(くは)し」の意》
１よいにおいがする。香りがよい。かんばしい。こうばしい。「—・い梅の香り」
２心が引かれる。好ましい。すばらしい。
「あなたとの最初の邂逅が、こんなにも、海を、月を、夜を、—・くさせたとしか思われません」〈田中英光・オリンポスの果実〉
「見まく欲(ほ)り思ひしなへに縵(かづら)かげ—・し君を相見つるかも」〈万・四一二〇〉
[派生]かぐわしげ［形動］かぐわしさ［名］</t>
        </is>
      </c>
      <c r="D1858" t="inlineStr">
        <is>
          <t>芳しいもの(38%)；芳しい香り(7%)；芳しい結果(6%)；芳しい成績(5%)；芳しい成果(3%)</t>
        </is>
      </c>
      <c r="E1858" t="inlineStr">
        <is>
          <t>可愛い；かわいい；甘美；愛らしい；美味い</t>
        </is>
      </c>
      <c r="F1858" t="inlineStr">
        <is>
          <t>決して芳しい</t>
        </is>
      </c>
      <c r="H1858" t="n">
        <v>29</v>
      </c>
      <c r="I1858" t="inlineStr">
        <is>
          <t>十時に店を開けはしたものの、今日も客の入りはまるで芳しくなかった。；入門して早い段階から試合に出ていたが成績は芳しいものではなかった。；家臣たちは六師外道の名を次々と挙げていくが、王の反応は芳しくない。；店の経営が本当に芳しくないのだとしたら、それは本物ではないのだろう。；初めはロンドン周辺のクラブで活動していたが人々の反応は芳しくなかった。；そのうちに判って来たのだが、海方の評判はどこで聞いても芳しくない。；このレコードは大きな注目を得ることはできず、売上も芳しくなかった。；センター試験の結果が芳しくなかったのは、そのせいもあるんじゃない?；いろいろな国籍の男が寄り集まった、あまり芳しくないグループでした。；塩梅はどうかと聞かれたら、芳しくない、としか言いようがないからだ。；芳しい風に吹かれる葉のざわめきのほかには、何の音も聞こえなかった。；風の匂いが芳しく変わり、血の色の日差しすら穏やかな黄色へと転じた。；しかし、ワインは当時の日本人の口には合わず、評価は芳しくなかった。；芳しさのなかに猛々しいものをはっきりと感じることのできる匂いだった。；しかし1919年頃まで続いた活動の成果は芳しくなかったとされる。；気が散っていたせいか、再開後の成績はあまり芳しくないようだった。；しかし、科学的な名声の無い出版物であったため評判は芳しくなかった。；いくつかの声楽曲も作曲したが、こちらはさほど評価が芳しくなかった。；また、同時期に執筆した『要塞防御論』は芳しい評価を得られなかった。；密貿易で財を成したと噂されているので歴史家の評価は芳しくないがね。；政治家を職業として見る時、日本国内での評価は芳しいものではない。；同年9月にデビューを迎えたが、腰の状態が芳しくなく、連敗を続けた。；その茶の芳しい香を味わいながら、又、静寂が一週間続くのだと思った。；数々の都市再生計画が立ち上げられたが、いずれも成果は芳しくなかった。；韓国政界の反応は、時期が非常に良くないというのが多く、芳しくない。；さらに、運動も苦手としており、体育の成績は芳しいものではなかった。；増援を派遣したばかりだったため、より芳しい戦果を期待したのであった。；ロベールの詩は解釈不能とされ、当時の批評家の評価は芳しくなかった。；しかし映画の評判が芳しくなかったこともあって東とは喧嘩別れする形となった。</t>
        </is>
      </c>
      <c r="J1858">
        <f>HYPERLINK("https://www.weblio.jp/content/芳しい", "词义详情")</f>
        <v/>
      </c>
      <c r="K1858">
        <f>HYPERLINK("https://yourei.jp/芳しい", "查看例句")</f>
        <v/>
      </c>
    </row>
    <row r="1859">
      <c r="A1859" t="inlineStr">
        <is>
          <t>干ばつ</t>
        </is>
      </c>
      <c r="B1859" t="inlineStr">
        <is>
          <t>成功</t>
        </is>
      </c>
      <c r="C1859" t="inlineStr">
        <is>
          <t>読み方：かんばつ
《「魃」は、ひでりの神》ひでり。特に、農作物に必要な雨が長い間降らないこと。《季夏》</t>
        </is>
      </c>
      <c r="D1859" t="inlineStr">
        <is>
          <t>干ばつ時；干ばつ対策；干ばつ状態</t>
        </is>
      </c>
      <c r="E1859" t="inlineStr">
        <is>
          <t>旱魃；渇水；日照；日照り；干魃</t>
        </is>
      </c>
      <c r="F1859" t="inlineStr">
        <is>
          <t>深刻な干ばつ；周期的な干ばつ</t>
        </is>
      </c>
      <c r="H1859" t="n">
        <v>29</v>
      </c>
      <c r="I1859" t="inlineStr">
        <is>
          <t>この干ばつに対する世界からの援助金は、不当に使われてしまっている。；また、この地域は長期に渡る干ばつで厳しい経済的困難に陥っていた。；この拡大期は1890年代におきた干ばつと農業不況によって終わった。；この半島は、約百年に一度、このような大干ばつにみまわれているのです。；しかし西部は魔法の国となる代わりに干ばつと不況で荒地となった。；この時代には干ばつ・飢饉・山火事などの災害や疫病の流行が多発した。；これは干ばつなどによって細胞中の水の量が少なくなったときなどに行われると考えられる。；綱井村は干ばつに襲われて困窮し、水の確保が重要な課題であった。；山がちな島で、大半が農業に従事しているが、干ばつに左右される。；その後、この寺院のあったウィエン・プーピエンの街では干ばつが流行した。；インドに限らず干ばつや環境変化により世界中で被害が出ているという非難もある。；石油の影響とそれ以前の干ばつのために農産物の栽培は減り続けた。；干ばつや山火事も発生することがあるが、後者は南部の州で発生するものよりも深刻ではない。；この国では九月が雨期となっているが、一八九八年には長い干ばつがつづいた。；アフリカのケニアで大干ばつが発生し、ライオンの群れが人間の集落を襲う。；そのため干ばつ等には弱く、空気中ではすぐに死んでしまう。；そしてもちろん一部の動物、特に魚は干ばつするとその期間を生き延びることができない。；しかも、ちょうど百年まえの大干ばつの年には、きみょうな事件が報告されているのです。；ボーンベッドは干ばつ時に水源の近くに集まった動物のグループを反映するものと解釈されている。；蒲州は干ばつであったが、裴寛が州境に入ると雨が降ってきたと伝えられる。；干ばつに耐性がある低木や雑草が自然植物の大部分を占めている。；干ばつは年間を通していつでも起こる可能性があり、数か月から年間に及ぶこともある。；例えば、カリブ海の極端な干ばつは、水の不足のために人々の移動を促進させる。；生息地では薬用になると信じられたり、干ばつなどの際に伝統的な儀式で用いられることもある。；その一冬前に、コロラド州は記録的な干ばつに見舞われていた。；さらに時代は下って江戸時代、1771年に干ばつが起こり民衆が苦しんでいた。；時代は下って南朝宋の文帝の頃、干ばつが続いたことがあった。；干ばつのときは、昔の構造物の基礎が見られることがある。；人工降雨も研究されているが、干ばつを防ぐほどの技術力には未だ達していない。</t>
        </is>
      </c>
      <c r="J1859">
        <f>HYPERLINK("https://www.weblio.jp/content/干ばつ", "词义详情")</f>
        <v/>
      </c>
      <c r="K1859">
        <f>HYPERLINK("https://yourei.jp/干ばつ", "查看例句")</f>
        <v/>
      </c>
    </row>
    <row r="1860">
      <c r="A1860" t="inlineStr">
        <is>
          <t>頑張る</t>
        </is>
      </c>
      <c r="B1860" t="inlineStr">
        <is>
          <t>成功</t>
        </is>
      </c>
      <c r="C1860" t="inlineStr">
        <is>
          <t>読み方：がんばる
［動ラ五（四）］《「が（我）には（張）る」の音変化、また「眼張る」の意からとも。「頑張る」は当て字》
１困難にめげないで我慢してやり抜く。「一致団結して—・る」
２自分の考え・意志をどこまでも通そうとする。我(が)を張る。「—・って自説を譲らない」
３ある場所を占めて動かないでいる。「入り口に警備員が—・っているので入れない」
[可能]がんばれる</t>
        </is>
      </c>
      <c r="D1860" t="inlineStr">
        <is>
          <t>頑張るしかない(2%)；頑張るんです；頑張るべき</t>
        </is>
      </c>
      <c r="E1860" t="inlineStr">
        <is>
          <t>持つ；運動；戦う；生きる；我慢</t>
        </is>
      </c>
      <c r="F1860" t="inlineStr">
        <is>
          <t>向かって頑張る；まだ頑張る</t>
        </is>
      </c>
      <c r="H1860" t="n">
        <v>29</v>
      </c>
      <c r="I1860" t="inlineStr">
        <is>
          <t>恐らくそのときもまだ僕はこの村に一人きりで頑張つてゐるでせうから。；自分が持っていると思っている力だけで頑張ろうと思ってもダメですね。；だけどシスコンは格好悪いと思って表には出さないように頑張っている。；それにしてもドイツの頑張りがそれまで続くようにと祈らざるを得ない。；でも私は大神さんと自分の分だけだし、今日は特別だから頑張りました。；頑張って前に進もうとしている人へ手を差し伸べることも多くみられる。；どんな時でも笑みを絶やさず頑張る姿は、隊員に勇気を与え続けてきた。；なにを頑張ってるのかしらないけどさー、自分の身体が一番大事なのよ。；社会人予備軍の学生に夢を持って本気で頑張っている会社を紹介したい。；今までと何も変わらない動きで、モエルの頑張りを全て否定するように。；今年はだから、じつをいえば最後の頑張りのつもりではじめたのだった。；おそらく彼にしても、この二将を斃したのが最後の頑張りであったろう。；この場所でこそ頑張っているし、今の自分の生徒たちを第一に考えている。；その一だけの為に僕たちは頑張って生きていなければならないのだ。；この人だって別に自分の家族のことじゃないのに、懸命に頑張ってるわ。；そしてまた今夜も寝ずに頑張らなければならないと、ひそかに考えていた。；蛍子のために頑張れていれば、少し違った今があったんじゃないか、と。；おめえが頑張らなかったら、おれはあのボートに乗っていただろうよ。；最初はダンサー達に馴染めないでいたが、彼なりに頑張ろうとしていた。；でも、どうしても行くと頑張るので行かせることにしたというのである。；これが採用の条件であると伝えると、頑張りますと答えてくれました。；生まれてきた子のためにも、これからまだまだ頑張らなければいけない。；松岡は、自分よりも長谷部の方がずっと頑張り屋であるのを知っていた。；ロレンスは胸中で頑張れと声をかけていたが、次に続いた言葉に驚いた。；青年時代の栗田は学問は出来、頑張りやその上に高い人格を持っていた。；でも、撫子は頑張るのが嫌いなのと同じく、無駄な努力も嫌いなのです。；社員の方が一所懸命に頑張って良い製品を出したのですから当然です。；自分が寝取った女性の夫から「頑張れ」と言われるのは妙な気分である。；みんなには大きな苦労をかけることになるが、ぜひとも頑張ってほしい。</t>
        </is>
      </c>
      <c r="J1860">
        <f>HYPERLINK("https://www.weblio.jp/content/頑張る", "词义详情")</f>
        <v/>
      </c>
      <c r="K1860">
        <f>HYPERLINK("https://yourei.jp/頑張る", "查看例句")</f>
        <v/>
      </c>
    </row>
    <row r="1861">
      <c r="A1861" t="inlineStr">
        <is>
          <t>看板</t>
        </is>
      </c>
      <c r="B1861" t="inlineStr">
        <is>
          <t>成功</t>
        </is>
      </c>
      <c r="C1861" t="inlineStr">
        <is>
          <t>読み方：かんばん
１
㋐商店などで、宣伝のために屋号、扱う商品、うたい文句などを書いて人目につく所に掲げておく板状のもの。
㋑劇場・映画館などで、出し物・俳優名などを書いて入り口に掲げる板。
２世間に信用のある店の屋号。また、店の信用。「—を借りる」「—に傷がつく」「—料」
３人の注意や関心を引きつけるのに有効なもの。また、人気があり、主力となる人や商品。「—娘」「—役者」「当店の—料理」
４表向きの名目。見せかけ。「—と実態が異なる」「—倒れ」
５《看板を外すところから》閉店。特に、飲食店・酒場などがその日の営業を終えること。「そろそろ—にしよう」
６選挙区内での知名度。評判。「地盤」「鞄(かばん)」と合わせて「三ばん」という。
７武家の中間(ちゅうげん)・小者(こもの)などが仕着せとした短い衣類。背に主家の紋所などを染め出したもの。</t>
        </is>
      </c>
      <c r="D1861" t="inlineStr">
        <is>
          <t>看板番組；看板女優；看板商品；看板スター；看板作品</t>
        </is>
      </c>
      <c r="E1861" t="inlineStr">
        <is>
          <t>顔；見え；目標；吸収；広告</t>
        </is>
      </c>
      <c r="F1861" t="inlineStr">
        <is>
          <t>絵看板；立看板；広告看板；案内看板；二枚看板</t>
        </is>
      </c>
      <c r="G1861" t="inlineStr">
        <is>
          <t>看板屋；看板メニュー；看板建築；看板役者；看板作家</t>
        </is>
      </c>
      <c r="H1861" t="n">
        <v>29</v>
      </c>
      <c r="I1861" t="inlineStr">
        <is>
          <t>外にはかつて駅舎に掲げられていた駅名看板が鳥居状に設置されている。；現在はプラットホームは残っているが看板などは全て撤去されている。；縦書きされることは看板等のデザイン上の都合を除いてほとんど無い。；また、駅があったことを説明する看板があったが、現在は撤去されている。；町中の看板のようによく目立ち、よく知られている候補ほど有利である。；出場者席の上にはロート製薬の当時の主力製品の看板が掲げられていた。；広告看板も当初はそのまま使われたが、その後本体色で塗りつぶされた。；周囲に当駅への案内看板はなく、ホームの入口にも路線や駅を示す表示がない。；かつては自転車に看板を積み、狭い路地に分け入って貼って回っていた。；現在はウェアがカナダ・スポーツ界の看板のような存在になっている。；現在も電話番号の部分が「0471」のままの看板等も多く残っている。；一軒宿の中に看板を設置するなど、混浴マナーの維持活動が行われている。；これを受けて店先に看板が出されることになったが、この看板が問題となる。；和子の自宅のすぐ近くらしいことは、道にある地名を表示した看板で分かる。；彼女は発光ダイオードを使用した看板をアトランタ高等学校に寄付した。；デビュー僅か4戦目で団体の看板を背負うスター選手から勝利を挙げる。；対策として、発見した場合の警察への通報や看板の設置などが挙げられる。；景観を損なわないように、ビルの一部を利用した看板を使用している。；ビルの外観を損ねないよう、他の店舗とは異なった看板となっている。；また敷地内への立ち入りを禁止する旨の看板も設置されている。；同番組は、現在でもフジテレビの朝の看板番組として放送され続けている。；党首としてそんな簡単に党の看板を下ろすわけにはいかなかったのである。；左側に拡幅を伴う道路改良工事を告知する案内看板が設置されている。；戦後の監督作品では、映画の中の小道具や看板のデザインを自ら手がけている。；なお連載時は両雑誌のどちらにおいても看板連載作品となった。；また、連絡口での降車は紀勢本線への乗り換え客に限る旨看板があった。；また、ホームの柵にはロケ地であったことを示す案内看板が設置されている。；しかし、その間にチームの看板選手だったロッド・カルーを鍛え上げた。；越ノ潟方面のホームには万葉歌の説明が載った看板が設置されている。</t>
        </is>
      </c>
      <c r="J1861">
        <f>HYPERLINK("https://www.weblio.jp/content/看板", "词义详情")</f>
        <v/>
      </c>
      <c r="K1861">
        <f>HYPERLINK("https://yourei.jp/看板", "查看例句")</f>
        <v/>
      </c>
    </row>
    <row r="1862">
      <c r="A1862" t="inlineStr">
        <is>
          <t>甲板</t>
        </is>
      </c>
      <c r="B1862" t="inlineStr">
        <is>
          <t>成功</t>
        </is>
      </c>
      <c r="C1862" t="inlineStr">
        <is>
          <t>読み方：かんぱん
⇒こうはん（甲板）</t>
        </is>
      </c>
      <c r="D1862" t="inlineStr">
        <is>
          <t>甲板上(9%)；甲板室；甲板下；甲板士官；甲板員</t>
        </is>
      </c>
      <c r="E1862" t="inlineStr">
        <is>
          <t>デッキ</t>
        </is>
      </c>
      <c r="F1862" t="inlineStr">
        <is>
          <t>後甲板；車両甲板；後部甲板；前甲板；縁甲板</t>
        </is>
      </c>
      <c r="H1862" t="n">
        <v>29</v>
      </c>
      <c r="I1862" t="inlineStr">
        <is>
          <t>また戦車を搭載した場合、第4甲板へのトラックの収容能力は減少する。；本級は上甲板を全通させた、いわゆる全通甲板型の艦型を採用している。；中の6門は主甲板に設置され、天候が平穏な時にのみ使用可能であった。；前甲板への艦載機搭載は、この時期のイタリア重巡洋艦の特徴とされる。；この骨板は鱗が変形したものとみられ、鱗板あるいは甲板とも呼ばれる。；双胴部は上下に湾曲して艦底の甲板から発進するスペースを作っている。；一般に船尾は前方に比べて甲板が1層多くなっていて、後甲板と称された。；艇長室は予備室に変更され、上甲板の艦橋構造内に艇長室が新設された。；船質は鋼、構造様式は上甲板および船首楼甲板を除き横肋骨方式である。；現実世界と違い、風も空気もあるので宇宙船の甲板に出ることもできる。；登場した初期のものはブームを用いず、甲板に直接設置されていた。；このタイプでは上甲板の単装メガ粒子砲塔を撤去しているのが特徴である。；取り出しやすいように通常は甲板上に専用のラックを設けている。；この期間には通常営業時は入ることができなかった操舵室や車両甲板が公開された。；甲板には筋状の盛り上がりがあるが、成長に伴い消失することもある。；位置は左右それぞれ艦首上部に1基、中甲板上に砲郭配置で5基である。；またその最後部は、さらに1甲板低いレベルのウェルドックとされている。；船体は1番砲搭載のために付近の甲板を補強せざるを得なくなった。；船内食の本格的なフランス料理に舌鼓を打ちつつ、甲板で練習を積んだ。；なお上甲板に魚雷発射管が搭載される予定であり、水雷戦闘にも対応できた。；腹甲の色彩は黒や暗褐色、喉甲板と肩甲板を除いた外縁は黄色や淡黄色。；加えて、船舶の所有者は甲板員らに仕事中に歌を歌うことを奨励していた。；事前ブザーがなかったために多くの甲板員が爆風を受けたという。；この時点では、姉妹艦と区別するために甲板前部に「ス」と書かれていた。；左右の胸甲板の継ぎ目の長さは、背甲の最大幅の4分の1よりも長い。；ここでは18世紀に使用されていた各種の戦列艦を甲板の数と門数で分類して解説する。；また船楼部分の外舷ナックルラインは甲板線と一部一致していない。；第4艦隊事件の対策として艦尾甲板を1甲板分上げたのもこの時とされる。；甲板に一人残ったジョルジェッタのところへミケーレが戻ってくる。</t>
        </is>
      </c>
      <c r="J1862">
        <f>HYPERLINK("https://www.weblio.jp/content/甲板", "词义详情")</f>
        <v/>
      </c>
      <c r="K1862">
        <f>HYPERLINK("https://yourei.jp/甲板", "查看例句")</f>
        <v/>
      </c>
    </row>
    <row r="1863">
      <c r="A1863" t="inlineStr">
        <is>
          <t>完備</t>
        </is>
      </c>
      <c r="B1863" t="inlineStr">
        <is>
          <t>成功</t>
        </is>
      </c>
      <c r="C1863" t="inlineStr">
        <is>
          <t>読み方：かんび
［名］(スル)必要なものが完全に備わっていること。また、完全に備えること。「上下水道の—した住宅」</t>
        </is>
      </c>
      <c r="D1863" t="inlineStr">
        <is>
          <t>完備化；完備契約；完備ハイティング代数；完備性；完備距離化可能</t>
        </is>
      </c>
      <c r="E1863" t="inlineStr">
        <is>
          <t>頂点；完璧；極限；満点；万全</t>
        </is>
      </c>
      <c r="F1863" t="inlineStr">
        <is>
          <t>不完備；冷房完備；空調完備；ホームドア完備；非完備</t>
        </is>
      </c>
      <c r="G1863" t="inlineStr">
        <is>
          <t>完備性；完備距離空間；完備束；完備情報；完備半順序集合</t>
        </is>
      </c>
      <c r="H1863" t="n">
        <v>29</v>
      </c>
      <c r="I1863" t="inlineStr">
        <is>
          <t>その様な体上では、完備体で得られた多くの結果が成り立つことになる。；ダム及びその周辺は両岸に公園が整備され、広い駐車場も完備している。；約束がまだ完備しない時これに伴うべき或現象即ち結果なる者はどこにもない。；有名な丈に完備して居るが、倫敦の大動物園を観た目には驚く事も無い。；また中心部と名古屋港を結ぶ道路を完備するべきだと考えていた。；クーラーは全室完備されているが、使いすぎると設定温度を上げられる。；美術教室には、標準的な設備のほかにも焼き物用の窯が完備されている。；ただし特殊通話装置の改修と完備を速やかに行う必要があるとされた。；自動車でここまで送迎する客もいることから、駐車場も完備している。；全自動運転のため全ての駅のホームにはホームドアが完備されている。；あまり俗化させず、しかし歓楽と厚生の施設を完備させたいものである。；一方のコーナーは食事用のスペースで、そこにはテーブルや椅子が完備していた。；大小の展示ホールが完備されており、各種展示会などに使用されている。；全施設に男女別の大浴場があり、一部施設には天然温泉を完備している。；完備でない空間においては不連続線型写像の例を構成するのは容易である。；ただし得られるのは内積空間にはなるけれども、必ずしも完備にならない。；屋根上には冷暖房を完備した空調装置が各車体に1基搭載されている。；先にも述べた様に、完備体の性質の多くの性質はヘンゼル体でも成立している。；ほとんどの部屋には机・椅子やベッドなどの他にシャワー・トイレが完備されている。；屋根は無く接近表示器もないが、放送案内設備は完備している。；園内の西側にマングローブ館が設けられており、駐車場も完備されている。；春・夏・秋・冬、季節に応じたイベントを開催、無料駐車場60台分を完備。；使用機材は「キ一〇九」第1号機で、前方固定砲装置は完備状態だった。；日本では一般に、街道沿いに位置する駐車場が完備された商業施設のことを指す。；公園内部には子供用の遊具が複数あり、トイレも完備されている。；その点、世界遺産候補の飛鳥・藤原には多くの展示施設が完備されている。；通常の一般的なボードゲーム類等は不完備ではなく完備情報である。；ベーカリーレストランと同様、キッズルームを完備している店舗もある。；測度空間が与えられたとき、この空間の拡張で完備であるようなものが存在する。</t>
        </is>
      </c>
      <c r="J1863">
        <f>HYPERLINK("https://www.weblio.jp/content/完備", "词义详情")</f>
        <v/>
      </c>
      <c r="K1863">
        <f>HYPERLINK("https://yourei.jp/完備", "查看例句")</f>
        <v/>
      </c>
    </row>
    <row r="1864">
      <c r="A1864" t="inlineStr">
        <is>
          <t>看病</t>
        </is>
      </c>
      <c r="B1864" t="inlineStr">
        <is>
          <t>成功</t>
        </is>
      </c>
      <c r="C1864" t="inlineStr">
        <is>
          <t>読み方：かんびょう
［名］(スル)病人に付き添って世話をすること。「寝ずに—する」
→看護(かんご)［用法］</t>
        </is>
      </c>
      <c r="D1864" t="inlineStr">
        <is>
          <t>看病する(8%)；看病疲れ；看病夫；看病禅師；看病婦</t>
        </is>
      </c>
      <c r="E1864" t="inlineStr">
        <is>
          <t>介抱</t>
        </is>
      </c>
      <c r="F1864" t="inlineStr">
        <is>
          <t>献身的な看病；手厚い看病；手厚く看病；一生懸命看病；自ら看病</t>
        </is>
      </c>
      <c r="H1864" t="n">
        <v>29</v>
      </c>
      <c r="I1864" t="inlineStr">
        <is>
          <t>夫人は老先生の看病をしたりそこの教鞭を取ったりしておられるらしい。；父が息を引きとるまで、昼となく夜となく、彼女は看病してくれたのだ。；病気になれば看病してくれる者もなくて死んでゆくよりほかはありません。；二人の看病は心がこもっていましたが、特別というほどではありません。；私が長野の町の小さな病院で、熱のある患者の看病をしてゐる時でした。；リヴォニアの貴族の看病をしながら、仕事をするつもりだったのである。；二日続きの看病のせいでからだが疲れきっているのは事実だった。；翌朝起きた時、ビルは徹夜で看病をした母の膝の上で冷たくなっていた。；たれかがそのそばについて看病して世話してあげなければなりませんでした。；看病されるほどのものでもないから、こうして一人で休んでいるんだ。；娘たちはきっと舞踏会に行くのを止めて、わしを看病するでしょうからな。；ことばどおりに、最後まで看病してくれたかどうかはわかりません。；以後夫の看病、子供の世話、夫に代わっての商売と精一杯の人生を歩む。；この事業は病人や死を迎える人々を親身になって看病するものだった。；母親の症状が良くなり、看病から解放されたヒルダがやってきたのだ。；その病気のあいだ、いろいろ相談して母に看病させないように説きつけた。；兄さんは倒れた私を看病してくれて、ずっと傍にいてくれたじゃないですか。；後年には病に倒れた息子の柏木を夫と共に看病している姿が描かれている。；自分の看病で2度も倒れた父に賢治は後までも負い目を感じていたという。；つきっきりで看病していた音緒は、ここで涙と鼻水だらけになっている。；初めは手を握っているだけだったのに、段々と看病の真似事をし始めてさ。；彼は、苦労して麻酔剤を手に入れることができ、病気の者を看病した。；ただ息子が病気のときだけは小屋へ連れ戻って、そこで母親が看病するのである。；が心の中で、父の看病を母が一人でするのかと、気の毒な気がした。；バーサーカーとの一件のあと、倒れた俺を看病してくれたのは遠坂だ。；心のどこかで兄が看病してくれているという事実を喜ぶ自分もいたはずだった。；多くの兄弟は姉妹の病気が治るまで長い距離を移動して看病する。；いちばんあとから小屋を出た男が虔しく番をしながら看病してゐた。；だがある時、奥さまが病気になって、おらが看病することになっただ。</t>
        </is>
      </c>
      <c r="J1864">
        <f>HYPERLINK("https://www.weblio.jp/content/看病", "词义详情")</f>
        <v/>
      </c>
      <c r="K1864">
        <f>HYPERLINK("https://yourei.jp/看病", "查看例句")</f>
        <v/>
      </c>
    </row>
    <row r="1865">
      <c r="A1865" t="inlineStr">
        <is>
          <t>幹部</t>
        </is>
      </c>
      <c r="B1865" t="inlineStr">
        <is>
          <t>成功</t>
        </is>
      </c>
      <c r="C1865" t="inlineStr">
        <is>
          <t>読み方：かんぶ
１団体や組織の中で中心となる人。「組合の—」「—社員」
２軍隊で将校・下士官のこと。</t>
        </is>
      </c>
      <c r="D1865" t="inlineStr">
        <is>
          <t>幹部たち(5%)；幹部会(4%)；幹部職員；幹部達；幹部社員</t>
        </is>
      </c>
      <c r="E1865" t="inlineStr">
        <is>
          <t>役員；重役；マネジメント；常務；首脳</t>
        </is>
      </c>
      <c r="F1865" t="inlineStr">
        <is>
          <t>党幹部；経営幹部；軍幹部；ら幹部；組幹部</t>
        </is>
      </c>
      <c r="G1865" t="inlineStr">
        <is>
          <t>幹部自衛官；幹部候補生学校；幹部交番；幹部政党；幹部高級課程</t>
        </is>
      </c>
      <c r="H1865" t="n">
        <v>29</v>
      </c>
      <c r="I1865" t="inlineStr">
        <is>
          <t>五七幹部学校に追いやられていた知識人はその多くが都市に戻ってきた。；他の軍隊組織と比較すればナチス親衛隊の幹部の若さは群を抜いていた。；一連の過程でソ連派も排除され、多くのソ連派の幹部はソ連に帰国した。；中央幹部学校には研究部という幹部の中の幹部を養成する組織があった。；准尉・曹長複数あるのは動員部隊用に幹部を増員したことがあったため。；党の主要幹部らは越北し、朴憲永も平壌から党を指導することとなった。；幹部に昇進すれば京都に家を持ち、妻子や妾を迎えることが許された。；戦後も戦時中の幹部が教団に与えられた資金を配分する権限を持っていた。；同社の社長ら幹部が関与していた疑いが指摘されている。；両親が高位の党幹部であるため、曽慶紅は太子党と呼ばれることがある。；しかし、汪に続く国民党幹部は決して多くなく、日本軍撤退もなかった。；幹部のモチーフは従来の組織と同様に生物がモチーフとなっている。；艦幹部も決死隊を編成して機関室への連絡を試みたが、こちらも失敗したという。；この時以降、党幹部としてマスメディアに積極的に登場するようになった。；本人の証言に基づき、犯人はサッチャー政権の保守党幹部だったと伝えた。；団体幹部の個人的な趣味で改名させられる例もある。；撤収発表と前後して、サマーワ市内や郊外で爆発や市幹部の暗殺が発生した。；また経営者は幹部候補を育成する能力が必要とも述べている。；海上自衛隊の初任幹部を乗せた練習艦隊の派遣もこれに貢献している。；幹部の小頭に任じられたことから、既に名が知られた存在だったと考えられている。；後にナチ党の幹部となるゴットフリート・フェーダーも講師の一人であった。；同時に現地軍幹部に接触し、クーデター側に着かないように説得に成功した。；シャドルーの幹部ではあるが、総帥のベガとは普通の主従関係ではない。；さらに特定の立場にある者の肩書や団体の幹部職の立場を表す名前に転用されている。；このため多くの幹部は、基本的に指導者ヒトラーの指導に従った。；他の政府幹部たちも似たり寄ったりであった。；教義上の理由により、決められた一部の幹部信者しか入ることが出来ない。；そして、1955年以後に引き続き党幹部会員の地位を維持した唯一の人物となる。；代わって党幹部会が設置され、その多数を連邦議会議員が占めることになった。</t>
        </is>
      </c>
      <c r="J1865">
        <f>HYPERLINK("https://www.weblio.jp/content/幹部", "词义详情")</f>
        <v/>
      </c>
      <c r="K1865">
        <f>HYPERLINK("https://yourei.jp/幹部", "查看例句")</f>
        <v/>
      </c>
    </row>
    <row r="1866">
      <c r="A1866" t="inlineStr">
        <is>
          <t>完璧</t>
        </is>
      </c>
      <c r="B1866" t="inlineStr">
        <is>
          <t>成功</t>
        </is>
      </c>
      <c r="C1866" t="inlineStr">
        <is>
          <t>読み方：かんぺき
［名・形動］《傷のない宝玉の意から》欠点がまったくないこと。また、そのさま。「—を期する」「—な演技」
[派生]かんぺきさ［名］</t>
        </is>
      </c>
      <c r="D1866" t="inlineStr">
        <is>
          <t>完璧に近い；完璧な形；完璧なアリバイ；完璧な演技；完璧すぎる</t>
        </is>
      </c>
      <c r="E1866" t="inlineStr">
        <is>
          <t>満足；丸；見事；頂点；理想的</t>
        </is>
      </c>
      <c r="F1866" t="inlineStr">
        <is>
          <t>ないほど完璧；完璧な微笑み；完璧な絶対音感；完璧にやってのける；完璧な投球</t>
        </is>
      </c>
      <c r="G1866" t="inlineStr">
        <is>
          <t>完璧主義；完璧主義者；完璧ぐ〜のね</t>
        </is>
      </c>
      <c r="H1866" t="n">
        <v>29</v>
      </c>
      <c r="I1866" t="inlineStr">
        <is>
          <t>しかし多くの試行錯誤と設定の変更なしに完璧に動作するゲームはない。；シュラフタの多くは自分達が完璧な体制の国家に住んでいると信じていた。；戦争中に橋は大きな損傷をこうむったが、戦後に完璧に修復されている。；サロゲートのシステムは、一般に信じられているほど完璧ではなかった。；損傷しているため、3つの文章のうち完璧な状態で残っているものはない。；どちらの主張も完璧な証拠はなく、現在も混沌としている状態である。；リースはそこでの出来事を完璧に伝えたので、職を得ることができた。；多くの絵画が、しばしば完璧でなくとも、この作家の物と考えられる。；それで自分の事を自分の思う通りに完璧に伝えることも難しい。；当時、通りや建物の特別なレイアウトのおかげで完璧な都市であった。；それを直して完璧なヒーラーを作出する目的で本種の作出が計画された。；その一方でNBCによれば、音響面においては完璧な構造であるという。；魔法の槌を三振りするだけで完璧な武器を製造することができる。；一方へそが無いとすれば、完璧な姿で作られたのではないことになってしまう。；完成作品を見ると、筆跡が全く見えないほど完璧な仕上げがなされている。；彼女以上にこの曲を完璧に理解した人はいませんでした。；またこのフレーズは何かについて「完璧」であることを示すこともある。；完璧に近かったアポロ4号に比べ、6号は最初から問題の連続であった。；デンマークとノルウェーの関係は、経済的に見れば完璧に機能していた。；逆に言えばそれほど完璧な崩しがなければ投げることができないとも言える。；こちらの思うところに完璧に投げられなければ抑えられない。；これを履いていると、聞こえる音楽に合わせて完璧に踊れるようになる。；社会の進歩が完璧ではないと主張する最初の社会学者の1人であった。；ノウルズの陸上作戦での完璧な指揮は、ヴァーノンに強い印象を与えた。；この操作は完璧に行われなければならないものであった。；そしてイタリアの造形とドイツの技術の完璧な組み合わせに接することができる。；なぜ完璧な人間に見られるために女性が子どもをもたなければいけないか分からない。；そして、誰かの事をちゃんと理解したいけれど、完璧に理解することは難しい。；この時点までヘルクラネウムとポンペイは完璧に消滅したと考えられていた。</t>
        </is>
      </c>
      <c r="J1866">
        <f>HYPERLINK("https://www.weblio.jp/content/完璧", "词义详情")</f>
        <v/>
      </c>
      <c r="K1866">
        <f>HYPERLINK("https://yourei.jp/完璧", "查看例句")</f>
        <v/>
      </c>
    </row>
    <row r="1867">
      <c r="A1867" t="inlineStr">
        <is>
          <t>勘弁</t>
        </is>
      </c>
      <c r="B1867" t="inlineStr">
        <is>
          <t>成功</t>
        </is>
      </c>
      <c r="C1867" t="inlineStr">
        <is>
          <t>読み方：かんべん
［名］(スル)
１他人の過失や要求などを許してやること。堪忍。「今度だけは—してやる」「保証人になる話は—してもらった」
２物事のよしあしをよく考えること。
「心身の不完全は…其人の罪にあらざれば此辺の—最も大切なる事なり」〈福沢・福翁百話〉
３やりくりすること。算段。
「所務の—上手の人なれば」〈甲陽軍鑑・三二〉</t>
        </is>
      </c>
      <c r="D1867" t="inlineStr">
        <is>
          <t>勘弁してくれ(20%)；勘弁してください(7%)；勘弁して下さい(5%)；勘弁してほしい(3%)；勘弁してもらい(3%)</t>
        </is>
      </c>
      <c r="E1867" t="inlineStr">
        <is>
          <t>許し；我慢；許して；許す；許容</t>
        </is>
      </c>
      <c r="F1867" t="inlineStr">
        <is>
          <t>ご勘弁；どうか勘弁；勘弁してくん；勘弁してもらう；勘弁していただき</t>
        </is>
      </c>
      <c r="H1867" t="n">
        <v>29</v>
      </c>
      <c r="I1867" t="inlineStr">
        <is>
          <t>そうだったら、まあ、多少はあの男を勘弁できる筋にもなるんだけどね。；私の話はよく途中で脱線しますので、そうなりましたらご勘弁願います。；もう勘弁してくれ、もう帰ってもいいだろう、とデコの顔は言っていた。；このまま生徒会を相手にした学園闘争に突入するのは勘弁して欲しいぜ。；「それはもう勘弁してやれ」 私はホッとして頭をペコリと下げました。；もう勘弁してほしい、自分はたったいまパンクしてきたばかりなのだ。；まぁ、世間の広さを知らない子供のときのことなので勘弁して欲しい。；表情には出していないが、内心では勘弁して欲しいと思っているに違いない。；白々しい・・・・・・すごく白々しいぞ秋葉・・・・・・勘弁してくれ。；蛍子はそれを思い出して本気でもう勘弁してくれという気持ちになる。；それから近江屋さんは荷で勘弁していただけないか、と言っていました。；先輩がいじわるな人だっていうのはわかったから、今日はもう勘弁してくれ。；しかしあなたが二日も手紙を出さないなんて、勘弁なりませんよ。；「それだけは勘弁して下さい」と彼女はややあって細い声で言った。；長いあいだ悪い夢を見たが、お芳はこの染吉を勘弁してくれるかしら?；先ほどからずっと汚れているから勘弁してくれと哀願していたのだ。；お腹が立ちませうが狂人の云ふ事だと思つて何卒勘弁してやつて下さいませ。；「マキさん、勘弁してくださいよ」 運転している男が掠れ声で言った。；二日酔のまま行くわけにはいかないんで、今日はこれ一杯で勘弁ね。；まあいいさ、ぼくはお前らが愚かであることを、今のところは勘弁してやる。；すまんが、あまり気持ちのいい話ではないので、これで勘弁してくれ。；誤解を招かないように、二度とここにはお邪魔しませんからご勘弁を。；なろうことなら葬式に列なるのは勘弁してもらいたかったのである。；先月書いたことと、要約すると同じことかも知れないが、勘弁してちょ。；勘弁してください、私ら早く作業を終えて帰らなきゃならないんです。；「この子は勘弁してやってください」 ガタガタと少女は震え出した。；そのことに言及してわたしを苦しめるのは、もう、どうかご勘弁ください。；なにがあったかしらないが、幼いもののすることだ、ひとつ勘弁してやってくれ。；「今日は、これで勘弁してくれ」ポケットから何かを出す音がした。</t>
        </is>
      </c>
      <c r="J1867">
        <f>HYPERLINK("https://www.weblio.jp/content/勘弁", "词义详情")</f>
        <v/>
      </c>
      <c r="K1867">
        <f>HYPERLINK("https://yourei.jp/勘弁", "查看例句")</f>
        <v/>
      </c>
    </row>
    <row r="1868">
      <c r="A1868" t="inlineStr">
        <is>
          <t>漢方薬</t>
        </is>
      </c>
      <c r="B1868" t="inlineStr">
        <is>
          <t>成功</t>
        </is>
      </c>
      <c r="C1868" t="inlineStr">
        <is>
          <t>読み方：かんぽうやく
漢方で用いる薬物。主に樹皮や草の根・葉などから製する。漢薬。</t>
        </is>
      </c>
      <c r="D1868" t="inlineStr">
        <is>
          <t>漢方薬局；漢方薬店；漢方薬種；漢方薬屋；漢方薬治療</t>
        </is>
      </c>
      <c r="F1868" t="inlineStr">
        <is>
          <t>漢方薬として用いられる</t>
        </is>
      </c>
      <c r="H1868" t="n">
        <v>29</v>
      </c>
      <c r="I1868" t="inlineStr">
        <is>
          <t>その話をきいて、又別の年長の友達が私に一つの漢方薬を教えてくれた。；症状があまりに強い場合は比較的安全といわれている漢方薬を用いる。；漢方薬服用時に飲水量が増えてしまうことがあるので注意が必要である。；漢方薬としても使われるトウキの根に多く含まれることが知られている。；東洋医学では病気ではなく症状に合わせて漢方薬などを用いて治療を行う。；それを防ぐための技法や精の衰えを防ぐ漢方薬などの手段を持っている。；四逆散と名前が似ているので、混同されやすいが全く違う漢方薬である。；四逆湯と名前が似ているので、混同されやすいが全く違う漢方薬である。；漢方薬が比較的安全に投与可能といわれており、よく利用されている。；佐藤なら漢方薬の話を聞いて吐息の一つもついてくれたかもしれない。；いまでも漢方薬店に売っている陰萎をたちどころに回復させる強精薬だ。；この他、胃腸薬などの漢方薬や医療用医薬品の製造・販売も行っている。；一元製薬株式会社は、漢方薬の製造・販売を専門に手がける企業である。；よく誤解されているが、漢方薬なら副作用がないというのは誤りである。；種が特定できた植物は、16のうち14が漢方薬にも使われるものだった。；「薬はもうないのか」 老人が空になった漢方薬の瓶を見てトキに聞いた。；ふと奥の棚に目をやると、様々な漢方薬の箱やビンが並んでいた。；植物園巡りやお茶を飲むのは漢方薬や遺伝子治療の講演のときにしよう。；押し葉にしたり本に挟んでおくと、長期間漢方薬のような強い香りがある。；子の玄信が蘭学を学んだ知識を漢方薬にとりいれて、龍角散を発明した。；室の一方の壁一面にある戸棚には、各種の漢方薬がはいっている。；教育内容は漢方医学と漢方薬学両方中心で、大学院も設置している。；漢方薬で快くなったように感じられたのは、やはり一時的なものだったのでしょう。；生え始めのビロード状の皮膚に覆われた角が漢方薬として利用されることもある。；中国では鎖陽と呼ばれ、漢方薬として性的不安や夢精の治療に用いられた。；奥の壁には様々な漢方薬の壜が入っている大きな棚が一つ。；漢方薬は、生薬であるが漢方医学に基づいたものであり同一の概念ではない。；この時分、先生はご家族にも内緒で漢方薬を服んでいらしたようです。；人と会う前に、試験のときなどにあがらない漢方薬を多めに服用した。</t>
        </is>
      </c>
      <c r="J1868">
        <f>HYPERLINK("https://www.weblio.jp/content/漢方薬", "词义详情")</f>
        <v/>
      </c>
      <c r="K1868">
        <f>HYPERLINK("https://yourei.jp/漢方薬", "查看例句")</f>
        <v/>
      </c>
    </row>
    <row r="1869">
      <c r="A1869" t="inlineStr">
        <is>
          <t>冠</t>
        </is>
      </c>
      <c r="B1869" t="inlineStr">
        <is>
          <t>成功</t>
        </is>
      </c>
      <c r="C1869" t="inlineStr">
        <is>
          <t>読み方：かうぶり
⇒こうぶり（冠）</t>
        </is>
      </c>
      <c r="D1869" t="inlineStr">
        <is>
          <t>冠名(6%)；冠軍将軍(3%)；冠毛；冠称する；冠馬</t>
        </is>
      </c>
      <c r="E1869" t="inlineStr">
        <is>
          <t>山頂；頂上；頂点；峰；頂</t>
        </is>
      </c>
      <c r="F1869" t="inlineStr">
        <is>
          <t>三冠；二冠；頬冠；氷冠；四冠</t>
        </is>
      </c>
      <c r="G1869" t="inlineStr">
        <is>
          <t>冠する；冠番組；冠さ；冠水；冠せ</t>
        </is>
      </c>
      <c r="H1869" t="n">
        <v>29</v>
      </c>
      <c r="I1869" t="inlineStr">
        <is>
          <t>さらに1982年に冠のデザインが変更され、現在のような旗となった。；ここでは日本以外の国での冠名の使用例とその著名馬の例を挙げる。；鉄冠子が帰ってくるまで、何があっても口をきいてはならないというのだ。；この長距離三冠の記録は今後達成する選手はいないだろうと考えられている。；神権を象徴する美しい冠をかぶった荘厳な姿で描かれ、孔雀がその聖鳥。；選出されたローマ王がすぐ戴冠のためローマに赴けることはまれだった。；このため、ローマ人の王となるために別の冠を用意しなければならなかった。；しかし、レリーフなどには白冠または赤冠単体で描かれることもあった。；この飾り羽とともに頭部の羽毛も長く伸び、特徴的な冠羽を形成している。；太陽は銀色になったり、周りに青い光冠を伴って青色になったりする。；身体は人間であるが首は大蛇、または頭に蛇冠を戴いた人間の姿で描かれる。；脚とは、漢字の部首で冠の対となり、意符が下部に置かれるものの総称。；また暈の色は内側が赤、外側が紫の色の順序で、光冠とは逆になっている。；特殊な萼である冠毛もふつう宿存性であり、種子散布に働くものが多い。；これに伴い、同年の戴冠議会でポニャトフスキ家は公の称号を授与された。；この局面で後手は図のように菊水矢倉から銀冠を目指す指し方が知られる。；十二階制の施行期にも位冠でない冠が使われていたと考えられる。；実には褐色の冠毛があり、タンポポの種子のように風を受けて散布する。；すなわち、史上初めて無敗で二冠目と三冠目を優勝した牝馬二冠だった。；また、皇帝が着用した冠の一つに皮弁冠があったが、清になって廃止された。；翌年も林海峰相手に防衛を果たし、七大タイトルのうち四冠を制する。；父親は栄誉の羽根冠を被り、たくさんの馬を持っていた大戦士だった。；向かって左には、左向きに立つ、金の冠を被り赤い舌を出した金の獅子。；オリーブの木の幹で作られた葉冠には月桂樹の小枝を飾りに付けたものもある。；西欧的立場から見るならば、カールの戴冠は大きな意味を持っていた。；自身のルーツであるイタリアでの戴冠とあって現地の観客から大喝采を浴びた。；戦車競走では、勝者への冠は御者ではなく、馬車の所有者に与えられた。；彼の戴冠はポーランド国家の政治的、領土的な独立の画期となった。；自身の名前を冠にした香水や一連の法律問題でも知られている。</t>
        </is>
      </c>
      <c r="J1869">
        <f>HYPERLINK("https://www.weblio.jp/content/冠", "词义详情")</f>
        <v/>
      </c>
      <c r="K1869">
        <f>HYPERLINK("https://yourei.jp/冠", "查看例句")</f>
        <v/>
      </c>
    </row>
    <row r="1870">
      <c r="A1870" t="inlineStr">
        <is>
          <t>感無量</t>
        </is>
      </c>
      <c r="B1870" t="inlineStr">
        <is>
          <t>成功</t>
        </is>
      </c>
      <c r="C1870" t="inlineStr">
        <is>
          <t>読み方：かんむりょう
［名・形動］「感慨無量」に同じ。「—な（の）面持ち」</t>
        </is>
      </c>
      <c r="D1870" t="inlineStr">
        <is>
          <t>感無量である(9%)；感無量であり</t>
        </is>
      </c>
      <c r="E1870" t="inlineStr">
        <is>
          <t>感慨無量；感慨深い；しみじみ思う</t>
        </is>
      </c>
      <c r="F1870" t="inlineStr">
        <is>
          <t>さすがに感無量</t>
        </is>
      </c>
      <c r="H1870" t="n">
        <v>29</v>
      </c>
      <c r="I1870" t="inlineStr">
        <is>
          <t>僕は感無量の思いで、懐かしいその臭いを胸一杯に吸い込んだのでした。；その日をこのようなところで迎えねばならない、感無量であった。；俺も感無量と言ひたいところだが、実を云へば頭の中は空つぱうになりをつた。；石田三成も同じようにこの岡山を眺めているかと思うと、感無量であった。；川村君は私が指した方向を見ると、感無量といった表情を浮かべて言った。；あの作品のルーツはこんなところにあったのだなあ、と、現在感無量である。；それが成功するのかどうか、彼らの活躍を見守っていただけると感無量です。；絵と同じ世界がここにあったと感無量であった。；父が十九歳で単身ブラジルに渡ったことを考えると感無量だった。；雷郎を確認するため呼ばれた大鳥は、感無量らしく遺体に叩頭する。；この植物にも人間の悩みがあるのかなア、と菅谷は感無量であった。；一心不乱にスプーンを動かす光景は、作った側からすると感無量ではある。；母親はこんな素晴らしいもてなしを受けて思い残すことはないと感無量だ。；ああ、よくここまでたどりついたと思うし、なんやかや感無量なのです。；それはほとんど感無量と言っていい表情だった。；泰麒は、黙したまま感無量の表情で雲海を見わたす主の横顔を見上げた。；演技を終えると感無量の表情で涙を浮かべ、歓声に笑顔で答えてリンクを去った。；長男の生一がとうとう嫁を迎えたかと思うと、哲朗は感無量だった。；たゞこの古戦場を見るために帰りの旅に陸路を選んだ甚兵衛は感無量であつた。；そして感無量な面でながめ入るのであった。；俺も感無量と言いたいところだが、実を云えば頭の中は空っぽうになりおった。；突破できないことはないと思っていても、いざ突破したときの気持は感無量なものがあった。；過ぎ去った日々、この世を去った者たちの存在を胸に、ただただ感無量であった。；ここに、数千年前、大昔の人びとが生活していた跡があると思うと、私は感無量だった。；ヤロシュ氏は、さすがに感無量の思いで、この歌に聴き入っていた。；もう、ここに立って一人一人の顔を見、名前を呼ぶこともできなくなるのだと思うと、実に感無量であった。；それはほとんど感無量と言っていい表情だったと思うのだが、そんな表情を見せる理由がさっぱり思い付かなかったので、何か別の意味があるのかと私は必死に考えていたのだ。；私は烏賊虎さんから先生の生涯の事蹟をきき終ると、感無量であった。；私が慶応病院に入院して生死に関わる手術を受けていた時、ディックの死を聞き感無量だった。</t>
        </is>
      </c>
      <c r="J1870">
        <f>HYPERLINK("https://www.weblio.jp/content/感無量", "词义详情")</f>
        <v/>
      </c>
      <c r="K1870">
        <f>HYPERLINK("https://yourei.jp/感無量", "查看例句")</f>
        <v/>
      </c>
    </row>
    <row r="1871">
      <c r="A1871" t="inlineStr">
        <is>
          <t>勧誘</t>
        </is>
      </c>
      <c r="B1871" t="inlineStr">
        <is>
          <t>成功</t>
        </is>
      </c>
      <c r="C1871" t="inlineStr">
        <is>
          <t>読み方：かんゆう
［名］(スル)あることをするように勧めて誘うこと。「保険の—」「劇団に—される」</t>
        </is>
      </c>
      <c r="D1871" t="inlineStr">
        <is>
          <t>勧誘する(7%)；勧誘される(3%)；勧誘活動；勧誘行為；勧誘週間</t>
        </is>
      </c>
      <c r="E1871" t="inlineStr">
        <is>
          <t>説得；招待；誘い；招き；招</t>
        </is>
      </c>
      <c r="F1871" t="inlineStr">
        <is>
          <t>強引な勧誘；新入生勧誘；員勧誘；投資勧誘；宗教勧誘</t>
        </is>
      </c>
      <c r="G1871" t="inlineStr">
        <is>
          <t>勧誘電話</t>
        </is>
      </c>
      <c r="H1871" t="n">
        <v>29</v>
      </c>
      <c r="I1871" t="inlineStr">
        <is>
          <t>また政府では勧誘時の約束を守るつもりがなかったことも発覚している。；具体的な行動は、団体への勧誘を行うか、組織を結成させることである。；多くの地域で意志と勧誘は同じ形を用いるが、別表現を用いる地域もある。；また当時、複数の大学チームから勧誘を受けていたことも証言している。；ダーマに入るにはすでに入っている人からの勧誘を受ける必要がある。；そのため宇高勲から国民野球連盟への加盟の勧誘をうけたこともあった。；このような勧誘方法は「不正行為」であると弁護士から指摘されている。；野々村も片岡を勧誘してとれたことが僕の野球の出発点と話している。；なお、この情報を政治活動組織への勧誘の目的で使うことは許されている。；その後のシリーズでも鈴木をアミーゴスに勧誘したが、結局ダメだった。；これは秀吉の勧誘に利家が早くから応じていたからではないかと推測される。；最初に他人を勧誘してグループを作った人がリーダーになる。；また第2回十字軍の勧誘に大きな役割を果たしたことでも知られる。；勧誘文には3人の銀行口座または住所が記載された送金先リストがある。；東京都内ほか主要都市の大手書店内で勧誘する姿を目にすることが多かった。；大分県出身で大分高校卒業時には複数のJクラブから勧誘があったという。；また、会員の勧誘に成功すると現金が獲得できる旨も語られている。；客の勧誘は運転手がやる場合もあるが、呼び込み専門の人間がいる場合もある。；続けてフジオプロへ勧誘されるが独立して仕事をすることを選ぶ。；旧トリニティーアカデミーの時代から強引な勧誘行為が問題視されている。；隊員は民間人から募集したが、政府は守るつもりの無い条件で勧誘していた。；勧誘費などの必要経費を除いた1人平均の収入は約34万円であった。；中学卒業直前に後援会の人から佐渡ヶ嶽親方を紹介され勧誘された。；西本によると勧誘は都市対抗野球優勝直後から始まっていたという。；スポーツ経験は無かったが、勧誘を受けてチアリーディング部へ入部した。；一部のモスクは、イスラム過激派の勧誘に利用されていると報道されている。；しかしながらその時にたまたまセコンドに居た堀口元気をメンバーに勧誘。；当時監督を務めていた釜本邦茂による勧誘が決め手のひとつであった。；ビル・ニコルソン監督から受けた2度の勧誘を承諾しトッテナムと契約。</t>
        </is>
      </c>
      <c r="J1871">
        <f>HYPERLINK("https://www.weblio.jp/content/勧誘", "词义详情")</f>
        <v/>
      </c>
      <c r="K1871">
        <f>HYPERLINK("https://yourei.jp/勧誘", "查看例句")</f>
        <v/>
      </c>
    </row>
    <row r="1872">
      <c r="A1872" t="inlineStr">
        <is>
          <t>関与</t>
        </is>
      </c>
      <c r="B1872" t="inlineStr">
        <is>
          <t>成功</t>
        </is>
      </c>
      <c r="C1872" t="inlineStr">
        <is>
          <t>読み方：かんよ
［名］(スル)ある物事に関係すること。「事件に—する」「国政に—する」</t>
        </is>
      </c>
      <c r="D1872" t="inlineStr">
        <is>
          <t>関与するタンパク質；関与する遺伝子；関与する酵素；関与する可能性；関与なし</t>
        </is>
      </c>
      <c r="E1872" t="inlineStr">
        <is>
          <t>参加；従事；参画；参与；干与</t>
        </is>
      </c>
      <c r="F1872" t="inlineStr">
        <is>
          <t>深く関与；直接関与；大きく関与；一切関与；政治関与</t>
        </is>
      </c>
      <c r="H1872" t="n">
        <v>29</v>
      </c>
      <c r="I1872" t="inlineStr">
        <is>
          <t>これも同じ汚職事件に関与した疑いで逮捕される直前の出来事であった。；この効果は酸化ストレスの減少が関与している可能性があるとしている。；制定過程に外国人が関与した点については、議論が今もなお続いている。；この判決はナチ党の指導的立場にある人物の関与を指摘したものであった。；このイメージはカトリック教会の作為が関与していると指摘されている。；ここにテロメアやテロメラーゼが大きく関与していると考えられている。；弁護士等の士業が契約に関与する場合にはこの方式が好まれる傾向にある。；誰もが自由であり、誰もが他の者の諸権利に関与する権限はない。；環境の関与も否定できないが、発生的要因ともとらえることが出来る。；この事件にはロシア政府による何らかの関与があったとする見方がある。；タンパク質の生成・分解を調整することによって筋肉の維持に関与する。；上の金運や性的傾向・適職に関与するとはここから導かれる帰結である。；一般に国家の何らかの関与を前提とするため、単なる右翼テロとは異なる。；中牧との間では、野球賭博には関与していないことが確認されている。；胞子の分散には、哺乳類やある種のハエが関与しているといわれている。；同社の社長ら幹部が関与していた疑いが指摘されている。；このためアッシュル攻略自体にはバビロニア軍は直接関与していない。；ハインラインはまた、宗教の政治への関与にも一貫して反対の立場だった。；政権内外の民族主義者は民兵組織を作るなどして紛争への関与を続けた。；占領下で発生した帝銀事件の捜査にはGHQが大きく関与していた。；企画には後援者の一員に名を連ねた北海タイムスが深く関与していた。；事件には裏で関与した「黒幕」がいたのではないかとする説がある。；どちらの戦争も、ヨーロッパ最大の国家と軍隊が関与していた。；数千人のユグノーが殺されたサン・バルテルミの虐殺にも関与している。；国家は社会的な権利を保障するため積極的に関与することを求められるようになった。；物語に関与しない群集や通行人などがキャラクターと呼ばれることは少ない。；国防軍の将校たちが暗殺事件に関与していたことは軍の地位低下につながった。；しかし基本周波数以外の様々な要素が実際の音高には関与している。；東アフリカの山岳地帯がこの生成に関与していると考えられている。</t>
        </is>
      </c>
      <c r="J1872">
        <f>HYPERLINK("https://www.weblio.jp/content/関与", "词义详情")</f>
        <v/>
      </c>
      <c r="K1872">
        <f>HYPERLINK("https://yourei.jp/関与", "查看例句")</f>
        <v/>
      </c>
    </row>
    <row r="1873">
      <c r="A1873" t="inlineStr">
        <is>
          <t>肝要</t>
        </is>
      </c>
      <c r="B1873" t="inlineStr">
        <is>
          <t>成功</t>
        </is>
      </c>
      <c r="C1873" t="inlineStr">
        <is>
          <t>読み方：かんよう
［名・形動］《人間の肝(きも)と扇の要(かなめ)の意から》非常に大切なこと。最も必要なこと。また、そのさま。「何事にも辛抱が—だ」</t>
        </is>
      </c>
      <c r="D1873" t="inlineStr">
        <is>
          <t>肝要である(26%)；肝要なる；肝要な部分；肝要な点；肝要であろ</t>
        </is>
      </c>
      <c r="E1873" t="inlineStr">
        <is>
          <t>必要；重要；主要；第一；大変</t>
        </is>
      </c>
      <c r="F1873" t="inlineStr">
        <is>
          <t>一番肝要；いちばん肝要</t>
        </is>
      </c>
      <c r="H1873" t="n">
        <v>29</v>
      </c>
      <c r="I1873" t="inlineStr">
        <is>
          <t>一番肝要で一番馬鹿らしい部分に自分の手が触れたような感覚がしたのだ。；すべての技術には一般的規則があり、これを知っていることが肝要である。；すべての人の意にかなう単位系を選択することが肝要なのであります。；最初の段階から拒否できないレベルの告訴状を作成することが肝要である。；肝要なこととそうでないこととの、区別がつかなかったかとさえ思われます。；どっしりと腰を据え、こちらにも覚悟があると見せることが肝要だった。；諸君も今のうちにこの観察力を養っておく事が肝要だろうと思います。；結果がどうなろうと、いまは館の機能を維持することが肝要だった。；こうした厳しい天候のもとでは、だれもが健康でいることが肝要だった。；そんなわしらが望みを捨てぬためには、なんとしても船をもつことが肝要です。；肝要なところだけをさきに話しておくべきだと思ったのである。；しかもこの際、これを判別するのがいちばん肝要な問題となっております。；しかし家康殿と事を構えることは決してなされませぬことが肝要でござる。；雪の無い時この連嶺を縦走しようとする人は、水の用意が肝要である。；旅に來た私に取つては、それをつかむことが肝要でもあつたのである。；そう簡単に助けに来てくれる場所ではないので注意が肝要だ。；まだ三枚だけ出てこないといいますが、これは最も肝要な部分だそうですね?；今は大きく負けないための最低防衛線を引いておくことが肝要だ。；何より肝要なことは密輸業者との秘密な関係がばれてしまったことである。；そして肝要なのは、そのいろんな焔のどれに就くかという方向だけです。；自分達の存在を秘密にしておくことはこの上なく肝要だ。；太鼓ノ塔の当番はなかなか楽ではない仕事で、細心の注意が肝要だった。；こういった状況では、自分トミゼンコフが敵の手に落ちないことが肝要なのだ。；この感興をいなさない用意もまた、作家としては肝要なことと考えます。；なにごとでもそうだが、ものの妙を識り、ものを生かすことが肝要である。；私に肝要なものは、余生を保障するような金よりも強い足腰の骨であった。；すべてを失うよりは、肝要なものだけでも残るように考えるべきだ。；彼女にわたしの再生の邪魔をされないことが肝要だった。；だから、仕事にありつくには得意先をよく知ってその近くに居ることが肝要よ。</t>
        </is>
      </c>
      <c r="J1873">
        <f>HYPERLINK("https://www.weblio.jp/content/肝要", "词义详情")</f>
        <v/>
      </c>
      <c r="K1873">
        <f>HYPERLINK("https://yourei.jp/肝要", "查看例句")</f>
        <v/>
      </c>
    </row>
    <row r="1874">
      <c r="A1874" t="inlineStr">
        <is>
          <t>慣用</t>
        </is>
      </c>
      <c r="B1874" t="inlineStr">
        <is>
          <t>成功</t>
        </is>
      </c>
      <c r="C1874" t="inlineStr">
        <is>
          <t>読み方：かんよう
［名］(スル)習慣的に用いること。また、習慣として世間に広く使われること。「—に従う」「—の手段」「—されている言い方」</t>
        </is>
      </c>
      <c r="D1874" t="inlineStr">
        <is>
          <t>慣用的(32%)；慣用句(8%)；慣用単位(6%)；慣用語(5%)；慣用表記(3%)</t>
        </is>
      </c>
      <c r="F1874" t="inlineStr">
        <is>
          <t>簡易慣用字体；慣用語句</t>
        </is>
      </c>
      <c r="G1874" t="inlineStr">
        <is>
          <t>慣用名；慣用表現；慣用音；慣用手段；慣用読み</t>
        </is>
      </c>
      <c r="H1874" t="n">
        <v>29</v>
      </c>
      <c r="I1874" t="inlineStr">
        <is>
          <t>これらの区分は明確には定義されておらず、慣用的に使い分けられている。；その他の場合は、慣用的だったり修辞的な理由で使われるものである。；この不幸な事件というのが今では慣用語になっているんでしてね。；ただしこれは厳密に定義されたものではなく、慣用的なものである。；しかし、これらの定義は「多分に慣用的かつ感覚的」といわれている。；それでも両語は使用され続けたが、単に地方ごとの慣用が残ったものと見られている。；原語音から遠くなるが慣用的にエフゲニア等の表記もよく用いられる。；患者との会話の際には、特定のデータが慣用単位で提示される。；専門家における呼称と一般に広く用いられる呼称も異なったまま慣用されている。；直接それが慣用や習慣の端緒や始まりになることは、ごく稀なことでしかない。；植物でも属の名前を使って階級名をつけた場合には、慣用的に同じ語を用いることがある。；ところが、それが慣用的に用いられ、東京になってしまったのです。；慣用語の表現なんかが見て面白いし又実際ためになるし。；アメリカ人は、商業活動や個人および社会的な使用のために主に慣用単位を使用する。；ただし日本では慣用表記・読み方であるハプスブルクが多く使われる。；ここでは、慣用的に広く用いられる擬人名の中で主なものを挙げる。；場合は、e と二辺で結ばれるのだが、慣用上一辺のみを使用する。；原典には章の区分は無いが、慣用的には33の章に分けられている。；こういう慣用句のズレを、コンピュータは、翻訳できるようになるのか?；慣用単位の質量の基準である常用ポンドは、正確にと定義されている。；または、単なるアクシデントによって慣用単位が使用されることもある。；しかし、多くの場面では伝統的・慣用的に用いられてきた色名が使用される。；日本の報道関係では慣用的にポンピドーと表記することが多い。；ただ、慣用語ではなく、一般化させたのは今村のようだという仮説である。；わたしは慣用的な英語で説明できるときはできるだけスペイン語を使わないようにするつもりだ。；但し、地名に関しては慣用的に中国語その他の音で読む例が多数存在する。；IUPACはこれらの記号を慣用として記載しているが推奨はしていない。；ただし、今日では慣用的にも学問的にも「野菜」と同義となっている。；本稿においては日本で慣用されている名称・軌間・縮尺を主に用いる。</t>
        </is>
      </c>
      <c r="J1874">
        <f>HYPERLINK("https://www.weblio.jp/content/慣用", "词义详情")</f>
        <v/>
      </c>
      <c r="K1874">
        <f>HYPERLINK("https://yourei.jp/慣用", "查看例句")</f>
        <v/>
      </c>
    </row>
    <row r="1875">
      <c r="A1875" t="inlineStr">
        <is>
          <t>寛容</t>
        </is>
      </c>
      <c r="B1875" t="inlineStr">
        <is>
          <t>成功</t>
        </is>
      </c>
      <c r="C1875" t="inlineStr">
        <is>
          <t>読み方：かんよう
［名・形動］(スル)
１心が広くて、よく人の言動を受け入れること。他の罪や欠点などをきびしく責めないこと。また、そのさま。「—の精神をもって当たる」「—な態度をとる」「多少の欠点は—する」
２⇒免疫寛容
[派生]かんようさ［名］
[補説]書名別項。→寛容</t>
        </is>
      </c>
      <c r="D1875" t="inlineStr">
        <is>
          <t>寛容な態度(3%)；寛容性(2%)；寛容政策；寛容な政策；寛容な姿勢</t>
        </is>
      </c>
      <c r="E1875" t="inlineStr">
        <is>
          <t>大きい；良い；広い；大き；豊か</t>
        </is>
      </c>
      <c r="F1875" t="inlineStr">
        <is>
          <t>不寛容；非寛容；宗教寛容；寛容策；ご寛容</t>
        </is>
      </c>
      <c r="G1875" t="inlineStr">
        <is>
          <t>寛容社会；寛容のパラドックス；寛容主義；寛容の原理</t>
        </is>
      </c>
      <c r="H1875" t="n">
        <v>29</v>
      </c>
      <c r="I1875" t="inlineStr">
        <is>
          <t>ほとんどの場合、特に都市では寛容ではないが、いくつかの例外はある。；彼女の夫は彼女の神秘体験に寛容ではなく、彼女を避けるようになった。；校則はアメリカの学校に近く、日本の学校より若干寛容な傾向があった。；これは性的な寛容さや女性の地位の低さなどによると考えられている。；他種に対しては攻撃的だが同種には寛容で、日中には大きな群れを作る。；父フリードリヒは、対立していた古カトリック派に寛容の精神で接した。；政府はユダヤ教徒に対して寛容であり、彼らを行政の諸分野で起用した。；このため異なる宗教を持つ間で寛容や多様性の概念が重要となった。；彼は寛容なカレブの下で土地管理人として仕事を学ぶことを決意する。；佐藤単独の仕事が増えているが、岸は寛容で、やりたいことを許している。；保守的な町で育ったにもかかわらず、彼の両親はとても寛容だった。；この例外はオランダであり、そこでは比較的高い程度の寛容さを享受できた。；州内の都市、特にサンフランシスコはその上品さと寛容さで有名になった。；「私はスケベですから」と述べていたが、寛容の心から来るものであった。；しかし彼は、妻のウルズラの改革派信仰に対しては寛容な態度をとった。；自由で寛容なイギリスでならルソーも暮らしていけるだろうと考えたのである。；フリードリヒ王の寛容政策の影響下で、辺境伯の立場も次第に変化した。；このような規制から散弾銃免許を取得するための手順は比較的寛容である。；ただし、モアは無神論は寛容しなかったことには注意する必要がある。；王は、ユダヤ人の合法的な地位の規則内で、寛容を見せたのである。；この女性は寛容の象徴・聖母マリアをイメージしているという。；今日の国際紛争や社会病理の背景に寛容の精神の不足があると見る。；宗教的に寛容な性格のためプロテスタントの文献も多く出版された。；ささいな失敗で死刑にするかと思えば、重大な失敗には寛容だった。；湯は自分の配下にも寛容だったので、彼らの支持を受けていた。；彼は戦争を避けるためにはひとびとが寛容さを実践する必要があると考えはじめる。；だが今、それが脅かされているというのに、寛容であれという人間がいる。；高湝は廉潔とはいえなかったが、寛容な統治で官吏や民衆にしたわれた。；モサラベは当初不平等ではあれど、それなりに寛容な処遇を受けていた。</t>
        </is>
      </c>
      <c r="J1875">
        <f>HYPERLINK("https://www.weblio.jp/content/寛容", "词义详情")</f>
        <v/>
      </c>
      <c r="K1875">
        <f>HYPERLINK("https://yourei.jp/寛容", "查看例句")</f>
        <v/>
      </c>
    </row>
    <row r="1876">
      <c r="A1876" t="inlineStr">
        <is>
          <t>元来</t>
        </is>
      </c>
      <c r="B1876" t="inlineStr">
        <is>
          <t>成功</t>
        </is>
      </c>
      <c r="C1876" t="inlineStr">
        <is>
          <t>読み方：がんらい
［副］
１最初からそういう状態・性質であることを表す。もともと。「この時計は—父の物だ」「—は好き嫌いがない」
２（接続詞的に用いて）物事を説き起こしたり、疑問を呈したりするときに、文頭に付ける語。「—幸福とは何なのであろうか」
→本来(ほんらい)［用法］</t>
        </is>
      </c>
      <c r="D1876" t="inlineStr">
        <is>
          <t>元来た方；元来そういうもの；元来日本人；元来そうした；元来臆病</t>
        </is>
      </c>
      <c r="E1876" t="inlineStr">
        <is>
          <t>最初；由来；第一；基本的に；元々</t>
        </is>
      </c>
      <c r="F1876" t="inlineStr">
        <is>
          <t>併し元来；元来遊；元来論理；元来西洋；元来た方向</t>
        </is>
      </c>
      <c r="H1876" t="n">
        <v>29</v>
      </c>
      <c r="I1876" t="inlineStr">
        <is>
          <t>元来、もっとも有力な対戦車車両とされているのは戦車そのものである。；元来活動はあまり活発ではなく、じっとして獲物が通るのを待っている。；元来はUnix系のコンピュータで動作させる目的で設計されている。；しかし、元来その分布は日本の中ではやや北に位置するものである。；元来の女好きであちこちの女に手を出しては女房の昌代に怒られていた。；元来唐辛子の辛さに慣れていたことから日本のものよりは中国のものに近い。；元来は、前者の意味であったが、現在では後者の意味で使用されることが多い。；元来、権力の象徴であった物から派生した長い歴史のある物である。；元来は毛織物であったが近年では様々な素材で作成されている。；元来は開催中および過去の展覧会カタログを販売するスペースであった。；元来はおそらく800行ほどあったと思われるが、現在は断片のみが残る。；元来、大学での全学会議は先の同郷団単位での投票により決定されていた。；元来は両板とも栴檀板と呼ばれており、鳩尾の板が何を指していたのかは不明。；しかし、元来保守的なハンガリー人の多くはこの政権を歓迎しなかった。；元来は九州北部地方で、ハンドまたはハンドウと呼ばれていたとされる。；トイピアノは19世紀に製造が始まった、元来は玩具用のピアノである。；元来、近代私法は社会秩序の基礎となる社会の期待の保護を任務としている。；遺伝現象は、元来は世代を超えて生物の形質が伝えられることを指す。；現在は使用されていないが、元来扇子と翁の面を組み合わせた物を使用していた。；ただし、元来の利用法からは外れるため好ましい利用法とは言えない。；地方時とはある地域または地点の時刻を指し、元来は平均太陽時を用いた。；元来は食用油を若干量入れて食材を炒める、焼くなどの用途に使われる。；ただし、現在の沖縄では元来の意味や語源が忘れ去られているものも多い。；ピーネウスの宮殿もまた、元来は暗黒の国、冥界が始まる場所であった。；肩部のパトランプは元来の赤ではなく、赤と青の二色が配されたものに変更された。；これらは元来は架空のものだったが、アニメ化されたりと実際に商品化されたものもある。；元来の体の柔らかさを利用した関節技や、ブリッジを使った技が多い。；元来第1組曲に含まれていたのが転用されたと考えられている。；農民階級に信仰された神であり、元来はオーディンと同格以上の地位があった。</t>
        </is>
      </c>
      <c r="J1876">
        <f>HYPERLINK("https://www.weblio.jp/content/元来", "词义详情")</f>
        <v/>
      </c>
      <c r="K1876">
        <f>HYPERLINK("https://yourei.jp/元来", "查看例句")</f>
        <v/>
      </c>
    </row>
    <row r="1877">
      <c r="A1877" t="inlineStr">
        <is>
          <t>陥落</t>
        </is>
      </c>
      <c r="B1877" t="inlineStr">
        <is>
          <t>成功</t>
        </is>
      </c>
      <c r="C1877" t="inlineStr">
        <is>
          <t>読み方：かんらく
［名］(スル)
１落ち込むこと。陥没。「地盤が—する」
２攻め落とされること。「首都が—する」
３地位や順位が下がること。「最下位に—する」
４口説き落とされること。「熱意に負けて—する」
５欠けていること。欠落していること。
「自分の性質の一部—しているばかりに」〈花袋・春潮〉</t>
        </is>
      </c>
      <c r="D1877" t="inlineStr">
        <is>
          <t>陥落する(8%)；陥落後(6%)；陥落させる(4%)；陥落寸前；陥落直後</t>
        </is>
      </c>
      <c r="F1877" t="inlineStr">
        <is>
          <t>幕下陥落；南京陥落；大関陥落；十両陥落；次々と陥落</t>
        </is>
      </c>
      <c r="H1877" t="n">
        <v>29</v>
      </c>
      <c r="I1877" t="inlineStr">
        <is>
          <t>以降は幕下に陥落することなく、主に十両中位から下位に定着していた。；怪我もあり一時は序二段まで陥落したこともあったがすぐに幕下へ復帰した。；それ以降も、幕下に陥落することもあったが十両上位で活躍していた。；並行して浅井方の横山城を陥落させつつ、織田・徳川連合軍は勝利した。；その翌日、劉聡は攻勢に転じて西明門を攻撃すると、これを陥落させた。；再陥落後は昇進のチャンスもあったが、十両上位の星運に泣いた。；ディベルヴィユはヨークを包囲して陥落させ、ここをブルボン砦とした。；この搦め手側別働隊の奇襲が成功して、その日のうちに城は陥落した。；傅祗が病死すると城は陥落し、劉曜は二万戸余りを平陽に移住させた。；自軍ユニットが相手の本陣への進軍を成功させれば本陣陥落勝利である。；ところが中間地点の竹山まで行ったところで忠州城がすでに陥落したのを知った。；その後は幕下へ陥落することなく、主に十両の中位から下位に定着していた。；そしてオルレアンが陥落するのも時間の問題だとみなされていた。；しかし英仏はポーランドが陥落してもドイツの呼びかけに歩み寄る姿勢は全く見せなかった。；翌場所も全休し2001年3月場所には東三段目37枚目まで陥落した。；そして遂に224年にで破って王国の首都クテシフォンを陥落させた。；その際、陥落直前に敵の要塞が自爆したのを自分の手柄としている。；リーグ末期在籍者を除くと、一度もリーグから陥落しなかったのは米長邦雄だけである。；三段目に陥落することもしばしばあったが、健闘ぶりを見せていた。；馬相らは綿竹県令の李升を殺害し、さらに雒県を陥落させ郤倹を殺害した。；そのため、ほとんどの人がイライラロボ夫人攻略の時点で陥落したと思っていた。；しかし街が陥落するよりも前、援軍の到着により街はほぼ壊滅状態となった。；しかし、右膝の故障もあって2003年9月場所には十両へ陥落した。；最初は拒絶していた由美子だったが、一の積極的なアタックの前についに陥落。；朱序はよく守ったが、379年2月に襄陽は陥落して朱序は捕虜となる。；フランス軍人らは五稜郭陥落前に箱館沖に停泊していたフランス船に脱出している。；結局は朱然が守る江陵城を陥落させられず、223年3月に撤退している。；新十両の場所は注目を集めたが3勝12敗と負け越し、幕下に陥落した。；その結果475年には首都慰礼城を陥落させられ、王自身は戦死することとなった。</t>
        </is>
      </c>
      <c r="J1877">
        <f>HYPERLINK("https://www.weblio.jp/content/陥落", "词义详情")</f>
        <v/>
      </c>
      <c r="K1877">
        <f>HYPERLINK("https://yourei.jp/陥落", "查看例句")</f>
        <v/>
      </c>
    </row>
    <row r="1878">
      <c r="A1878" t="inlineStr">
        <is>
          <t>観覧</t>
        </is>
      </c>
      <c r="B1878" t="inlineStr">
        <is>
          <t>成功</t>
        </is>
      </c>
      <c r="C1878" t="inlineStr">
        <is>
          <t>読み方：かんらん
［名］(スル)見物すること。「宝物館を—する」「—席」</t>
        </is>
      </c>
      <c r="D1878" t="inlineStr">
        <is>
          <t>観覧する(10%)；観覧車(6%)；観覧客(5%)；観覧できる(5%)；観覧料(4%)</t>
        </is>
      </c>
      <c r="E1878" t="inlineStr">
        <is>
          <t>見る；みる；眺め；観察；見ること</t>
        </is>
      </c>
      <c r="F1878" t="inlineStr">
        <is>
          <t>観覧希望；一般観覧；番組観覧；観覧船；観覧券</t>
        </is>
      </c>
      <c r="G1878" t="inlineStr">
        <is>
          <t>観覧席；観覧者；観覧車に乗る君が夜景に照らされてるうちは</t>
        </is>
      </c>
      <c r="H1878" t="n">
        <v>29</v>
      </c>
      <c r="I1878" t="inlineStr">
        <is>
          <t>後方で誰にも気づかれないように寅次郎も観覧していたが、途中で退席。；しかし前方の観覧室には、とうていこの世ならぬ異様な光が漲っていた。；レディー・ベクスバラは競技会を観覧した女王のように運ばれていった。；第433回にて、スタジオ収録観覧の招待を終了することが発表された。；現在は世界中で著作権が失効しているので、動画サイト等で観覧できる。；AKB48グループ共通ではあるが、席を立っての観覧は禁止されている。；観覧船で近くで漁を見ることが出来、とれたての魚を船上で直接買える。；しばらくして、我々は狭い通路を通って前方のガラス張り観覧室へ行った。；日光市には、これまで観覧車はなく、この観覧車が初めての設置となる。；元は観覧車のあった場所、今は直径百メートルほどの浅いクレーターだ。；最後まで沈みゆく旅客機に残り、ついに観覧室の崩壊壁から海面に出た。；今後は観覧機能付きの収録スタジオとして活用される事が発表された。；収録は主に番組の公式HPで募集した一般観覧者を集めて行われる。；外から配信の様子を見ることができるほか、スタジオ内での観覧にも対応している。；例えばガラス戸は、観光者の観覧利便性のためにアクリル板に変更された。；当時の大統領ジミー・カーターもこの番組の収録を観覧していた。；ふたりの乗っている箱は、巨大な観覧車の輪の頂上に達していた。；なお、この観覧車設置以前にはさらに小さな観覧車が置かれていた。；どうやら前夜に「撮影」したものを、次の夜彼女の観覧に供するらしい。；夜間にも観覧が行われ、効果を高めるためにたいまつの光で照らされた。；例年祭典中日に主に観光客の観覧を目的とした観光用激突が行なわれる。；このため子どもを連れて行くなど、複数人で観覧する場合は注意が必要である。；その台は賽銭箱みたいになっていて、「観覧代一銭」と書いてあった。；スタジオ観覧者として、両局を代表する職員やスタッフが参加した。；球場入り口に近い一塁側の方がやや観覧スペースが広く取られている。；収録場所が公開されており、無料で番組の観覧が可能だった。；新型コロナウイルス感染対策で一般観覧を中止し、関係者のみで行った。；なお、鶴瓶は屈辱を感じながら本紅白を自宅テレビで観覧していたという。；厭離庵は従来から観覧謝絶で、私は幾度も此所を素通りしたことがある。</t>
        </is>
      </c>
      <c r="J1878">
        <f>HYPERLINK("https://www.weblio.jp/content/観覧", "词义详情")</f>
        <v/>
      </c>
      <c r="K1878">
        <f>HYPERLINK("https://yourei.jp/観覧", "查看例句")</f>
        <v/>
      </c>
    </row>
    <row r="1879">
      <c r="A1879" t="inlineStr">
        <is>
          <t>管理</t>
        </is>
      </c>
      <c r="B1879" t="inlineStr">
        <is>
          <t>成功</t>
        </is>
      </c>
      <c r="C1879" t="inlineStr">
        <is>
          <t>読み方：かんり
［名］(スル)
１ある規準などから外れないよう、全体を統制すること。「品質を—する」「健康—」「—教育」
２事が円滑に運ぶよう、事務を処理し、設備などを保存維持していくこと。「—の行き届いたマンション」「生産—」
３法律上、財産や施設などの現状を維持し、また、その目的にそった範囲内で利用・改良などをはかること。</t>
        </is>
      </c>
      <c r="D1879" t="inlineStr">
        <is>
          <t>管理する(14%)；管理運営(2%)；管理局；管理者；管理事務所</t>
        </is>
      </c>
      <c r="E1879" t="inlineStr">
        <is>
          <t>運営；整備；指揮；経営；指導</t>
        </is>
      </c>
      <c r="F1879" t="inlineStr">
        <is>
          <t>衛生管理；管理官；管理センター；維持管理；資産管理</t>
        </is>
      </c>
      <c r="G1879" t="inlineStr">
        <is>
          <t>管理者；管理下；管理職；管理駅；管理官</t>
        </is>
      </c>
      <c r="H1879" t="n">
        <v>29</v>
      </c>
      <c r="I1879" t="inlineStr">
        <is>
          <t>データは表に似た構造で管理されるが、関係と呼ぶ概念でモデル化される。；コンピュータが普及し、統一的な管理番号が求められたことが背景にある。；そのため、通常の管理をしていれば、日本の夏でも耐えることができる。；同社が運営するプレイバイメールのゲーム管理者の一人として活動する。；MSNは廃止理由としてユーザーの減少、管理的な問題等をあげている。；また多くの団地には敷地・建物内に管理事務所が設けられている。；一方でこれらの施行や保護区の管理は不十分で、密猟されることもある。；フランスでは他の自治体も民営化したが、9割は民間管理を更新した。；時間管理機能はカーネルが管理する時間に依存した処理を行うための機能である。；簡単な管理、無制限のユーザー数、無制限のデータサイズなどを特徴とする。；インカ帝国ではキープと呼ばれる縄の道具を記録や行政管理に用いていた。；重要なことは、呼吸麻痺に陥った場合に人工呼吸器管理を行うことである。；米子駅管理の無人駅であり駅舎は無く、直接ホームに入る形になっている。；格納された各データの参照や修正といった管理を容易にするための構成である。；管理できなくなったペットを放棄する行為が問題となっている。；河川の流量を多い順に日数で並べたもので、河川の管理に重要なものである。；岡山駅管理の無人駅で駅舎はなく、直接ホームに入る形になっている。；なお、ホームの番号は連続しておらず、管理社ごとに1番線から振っている。；福山駅管理の無人駅で駅舎はなく、直接ホームに入る形になっている。；この事故後の調査で、この橋も定期的な管理がなされていなかったことが判明した。；州内には林野局の管理する9つの国有林の全体あるいは一部が含まれている。；同研究所はこれらの施設の管理・運営も行っている。；これらのうちのいくつかは、歴史的あるいは管理上の理由から複数の設備を持っている。；同時に新会社の営業エリアに合わせて全国14路線で管理局界の変更が行われた。；横浜市が設置・管理する交通広場であり、横浜新都市ビルの施設ではない。；ほとんどの学校は国によって管理されており、無料となっている。；鉄道施設を維持管理する甲賀市によると被害額は約3億5千万円という。；ただし、屋久島電工が管理・運行する区間は全線立入禁止となっている。；並行して、キリスト教の制限と貿易の管理強化を進め、社会の安定化に努めた。</t>
        </is>
      </c>
      <c r="J1879">
        <f>HYPERLINK("https://www.weblio.jp/content/管理", "词义详情")</f>
        <v/>
      </c>
      <c r="K1879">
        <f>HYPERLINK("https://yourei.jp/管理", "查看例句")</f>
        <v/>
      </c>
    </row>
    <row r="1880">
      <c r="A1880" t="inlineStr">
        <is>
          <t>簡略</t>
        </is>
      </c>
      <c r="B1880" t="inlineStr">
        <is>
          <t>成功</t>
        </is>
      </c>
      <c r="C1880" t="inlineStr">
        <is>
          <t>読み方：かんりゃく
［名・形動］手短で簡単なこと。手軽で簡単なこと。また、そのさま。「—なあいさつ」「手続きを—にする」
[派生]かんりゃくさ［名］</t>
        </is>
      </c>
      <c r="D1880" t="inlineStr">
        <is>
          <t>簡略化(57%)；簡略版(4%)；簡略表記；簡略戦闘</t>
        </is>
      </c>
      <c r="E1880" t="inlineStr">
        <is>
          <t>明らか；単純；軽い；明白；明瞭</t>
        </is>
      </c>
      <c r="F1880" t="inlineStr">
        <is>
          <t>より簡略；やや簡略；極めて簡略</t>
        </is>
      </c>
      <c r="H1880" t="n">
        <v>29</v>
      </c>
      <c r="I1880" t="inlineStr">
        <is>
          <t>物語は国際市場の観客が受け入れやすくするために簡略化されている。；以下に挙げるの計算式は簡略したもので、時間額に換算するものである。；これを拡張することで、次のような形の式を簡略化することができる。；ただし、複数の操作を自動化または簡略化する行為は認められていない。；Macintoshでは、当初は簡略化されていたが、後に拡張された。；現在ではいずれの地域でもアクセントの簡略化と共通語化が進んでいる。；ランクアップシステムと称号は、一部を簡略化した状態で引き続き登場。；逮捕に至る経緯は事実とも原作とも異なる形で簡略化されている。；第二次世界大戦で完全に破壊された後、簡略化された形で再建された。；戦後製造の5両は、資材不足からさらに簡略化された造りになっていた。；機構の簡略化と信頼性の向上を実現し、世界で約500万台を販売した。；なお、2巻はこのシステムはかなり簡略化されわかりやすくなっている。；始皇帝はこの籀文を基礎にしてそれを簡略化し、統一を図ったのである。；また貨物時刻表には各機関車の行路表を簡略化したものが記載されている。；それも二次元で、分子の数をほんの何百個かに簡略化した計算でだよ!；日本では他の競走に倣ってBCダートマイルと簡略化されることが多い。；日本では他の競走に倣ってBCマラソンと簡略化されることが多かった。；ただし、これは論理式の記述を簡略化するための単なる取り決めである。；バリュータイプのホテルでは一部特典が除外もしくは簡略化されている。；さらに小動物像などを付加した複雑なものや、簡略化していくものもある。；簡略化された人々の映像、その全てが棒立ちになっていて動きを見せない。；撮影を目的としていないので、造設された部分は簡略化されていた。；ドイツ語の簿記書が読まれ、のちに簡略版や独自の簿記書が出版された。；メッセルで見つかった化石の一部を簡略にまとめると以下の通りである。；そこで軍服の所定の位置に簡略化された略綬を付ける事がよく行われる。；遠い所で極簡略に行われたその結婚の式に兄は列席していなかった。；これはもっとも簡略な運動に見えてなかなか骨の折れる運動である。；のように路線ごとに形が異なり、イラストは大幅に簡略化された。；近代に入り、が人体やその他の物を簡略化したアイソタイプを考案した。</t>
        </is>
      </c>
      <c r="J1880">
        <f>HYPERLINK("https://www.weblio.jp/content/簡略", "词义详情")</f>
        <v/>
      </c>
      <c r="K1880">
        <f>HYPERLINK("https://yourei.jp/簡略", "查看例句")</f>
        <v/>
      </c>
    </row>
    <row r="1881">
      <c r="A1881" t="inlineStr">
        <is>
          <t>官僚</t>
        </is>
      </c>
      <c r="B1881" t="inlineStr">
        <is>
          <t>成功</t>
        </is>
      </c>
      <c r="C1881" t="inlineStr">
        <is>
          <t>読み方：かんりょう
役人。官吏。特に、政策決定に影響力をもつ中・上級の公務員。</t>
        </is>
      </c>
      <c r="D1881" t="inlineStr">
        <is>
          <t>官僚的(4%)；官僚機構(3%)；官僚たち(3%)；官僚組織；官僚政治</t>
        </is>
      </c>
      <c r="E1881" t="inlineStr">
        <is>
          <t>行政官；事務官；官公吏</t>
        </is>
      </c>
      <c r="F1881" t="inlineStr">
        <is>
          <t>国土交通官僚；実務官僚；元官僚；産官僚；日本の防衛官僚</t>
        </is>
      </c>
      <c r="G1881" t="inlineStr">
        <is>
          <t>官僚制；官僚出身；官僚制度；官僚主導；官僚派</t>
        </is>
      </c>
      <c r="H1881" t="n">
        <v>29</v>
      </c>
      <c r="I1881" t="inlineStr">
        <is>
          <t>最高位幕僚のなかで最も官僚的な発言が目立つ狡猾な人物とされている。；殆どのユダヤ人は高学歴であったが、政府官僚の地位からは除外された。；都市建設が始まると、官僚がグリフィンの計画に干渉するようになった。；この郷品を元に官僚への推薦が行われ、最初は郷品の四段階下から始まる。；国会議員や秘書、中央官僚などは取材しても書けないであろうとのこと。；一方で唐の三品以上の高官は追放したが、四品以下の官僚はその職に残した。；新政府は天皇の官制大権を前提として近代的な官僚制の構築を目指した。；推薦よりも試験の結果に重きを置かれ、官僚の採用が決定されることとなった。；当時帝国内では文官官僚の元老院議員と地方の軍事貴族とが対立していた。；藩侯にはそれぞれ書記などお抱えの官僚があって地方政府を形成していた。；以上の統治機構に属する官僚は、それぞれ官職と位階が与えられていた。；郡司は中央官僚ではなく、在地の有力者、いわゆる旧豪族が任命された。；汚職の噂が付きまとう政治家や利権まみれの官僚が好き勝手やっている。；官僚らで組織された政治的グループで議会の党ではない。；また皇帝から直接指名を受ければ科挙を受けなくても官僚になることができた。；また帝国の官僚や教会は、古来の都市からアヤソルクの丘に中心を移した。；当時貯水池と運河の建設が非常に重要視され、専門の官僚が置かれていた。；朝鮮の官僚・姜沆を捕虜にして日本へ移送したのもこの時期である。；また官僚的なショーに過ぎず原住民の権利回復の具体的な内容の無い謝罪だ。；この割拠状態で唐の宮廷では宦官・官僚らが権力争いを続けていた。；また政府内部にも、翁同龢のように康有為に親和的な改革派官僚もいた。；この制度下の郡は自治体ではなく、郡長以下は中央政府から派遣された官僚であった。；ルイ14世は「官僚王」と呼ばれるほど非常に政務に精励な国王だった。；満洲語は各地に派遣された八旗官僚と中央との連絡に用いられた。；また、名家・羽林家級の実務官僚が弁官の地位を多く占めるようになる。；官僚への道を理不尽に閉ざされた李賀の意識は、深い絶望に覆われる。；大学寮は、律令制のもとで作られた式部省直轄下の官僚育成機関である。；彼の構築した官僚機構は以降の帝国の基礎となる。；日本人の官僚としては珍しい国際会議でのタフネゴシエーターぶりは有名。</t>
        </is>
      </c>
      <c r="J1881">
        <f>HYPERLINK("https://www.weblio.jp/content/官僚", "词义详情")</f>
        <v/>
      </c>
      <c r="K1881">
        <f>HYPERLINK("https://yourei.jp/官僚", "查看例句")</f>
        <v/>
      </c>
    </row>
    <row r="1882">
      <c r="A1882" t="inlineStr">
        <is>
          <t>完了</t>
        </is>
      </c>
      <c r="B1882" t="inlineStr">
        <is>
          <t>成功</t>
        </is>
      </c>
      <c r="C1882" t="inlineStr">
        <is>
          <t>読み方：かんりょう
［名］(スル)
１物事が完全に終わること。また、完全に終えること。「開店の準備が—する」「予定の仕事を—する」
２文法で、動作・状態がすでに終了していること、また、その結果が現在まで実現している状態にあることなどを表す言い方。動詞に、文語では助動詞「つ」「ぬ」「たり」「り」、口語では助動詞「た」などを付けて表す。ヨーロッパ諸語では、基準となる時の違いに応じて、現在完了・過去完了・未来完了などの区別のあるものがある。</t>
        </is>
      </c>
      <c r="D1882" t="inlineStr">
        <is>
          <t>完了する(16%)；完了後(6%)；完了予定；完了すれ；完了過去</t>
        </is>
      </c>
      <c r="E1882" t="inlineStr">
        <is>
          <t>完成；終わり；終わる；果たす；結び</t>
        </is>
      </c>
      <c r="F1882" t="inlineStr">
        <is>
          <t>工事完了；修理完了；未完了；すべて完了；作業完了</t>
        </is>
      </c>
      <c r="G1882" t="inlineStr">
        <is>
          <t>完了時制；完了相；完了体；完了検査；完了検査申請</t>
        </is>
      </c>
      <c r="H1882" t="n">
        <v>29</v>
      </c>
      <c r="I1882" t="inlineStr">
        <is>
          <t>この項では新製配置完了後に発生した車両配置と運用線区の変化を記す。；内外装が完了したのは次代の鈴木霊海の時代になってからのことである。；前者は動作の進行・継続を表し、後者は動作の行われた結果や完了を表す。；しかし、彩色の作業がどうしても公開までに完了しないことが判明する。；プログラムが大きくなると、ビルドの完了を待っている時間が長くなる。；その後、遼河平原での作戦が完了すると、第二期作戦の準備が始まった。；村の建設は1923年に始まり、基本的には1931年に完了している。；また、道路運送法の自動車登録が完了し、かつ有効でなければならない。；埋め立てが完了したばかりの新港や中央港を走った最初の路線である。；車椅子対応のエレベーターは開通からおよそ半年ほど遅れて整備が完了した。；レイテンシとは、ある処理が開始してから完了するまでの時間である。；すなわちそれは形而上学の完了を逆転させることにおいて分解的である。；各期は細胞周期チェックポイントで完了が確認されてから次の期間へと進行する。；各段階が間違いなく完了しなければ本番の反応が起こらないようになっている。；最終的にはグラマン社と契約し、1997年に全機の改修が完了した。；乃木は各師団が坑道作業に入った事で作業完了までには期日が必要と判断。；決定がなされるまでに問題点は全て明らかになり、教団は決定の準備が完了する。；未完了形からは願望形・命令形・指示形の3種類の法の動詞形が作られる。；再設計と生産設備の転換自体は1週間で完了できる比較的容易なものであった。；城山送信所の解体作業は同年9月に開始し、同年12月までに完了した。；編集完了後に変更した部分をシステム側に反映させるが、この作業をマージと呼ぶ。；任務を完了すると10月にニューヨーク海軍工廠で修理および改修を受けた。；また時間制限内や9回完了時に引き分けの場合はそのまま終了となる。；工事は同年中に完了し、現在は新しい屋根に取り換えられている。；結果的に細胞分裂に必要な細胞内の遺伝物質の複製はS期で完了する。；理由は「地デジ中継局整備が2010年時点で未完了のため」であった。；基本技術の研究が完了すると、より高度な技術の研究が行えるようになることがある。；日本では主にNHKで放送され、BS2で全15シーズンが放送完了。；内装の一部も更新され、事前調査から通算で9年程度を経て修復は完了した。</t>
        </is>
      </c>
      <c r="J1882">
        <f>HYPERLINK("https://www.weblio.jp/content/完了", "词义详情")</f>
        <v/>
      </c>
      <c r="K1882">
        <f>HYPERLINK("https://yourei.jp/完了", "查看例句")</f>
        <v/>
      </c>
    </row>
    <row r="1883">
      <c r="A1883" t="inlineStr">
        <is>
          <t>慣例</t>
        </is>
      </c>
      <c r="B1883" t="inlineStr">
        <is>
          <t>成功</t>
        </is>
      </c>
      <c r="C1883" t="inlineStr">
        <is>
          <t>読み方：かんれい
繰り返し行われて習慣のようになった事柄。しきたり。ならわし。「—に従う」</t>
        </is>
      </c>
      <c r="D1883" t="inlineStr">
        <is>
          <t>慣例的(10%)；慣例化(3%)；慣例上；慣例通り；慣例どおり</t>
        </is>
      </c>
      <c r="E1883" t="inlineStr">
        <is>
          <t>風；性；伝統；習慣；パターン</t>
        </is>
      </c>
      <c r="F1883" t="inlineStr">
        <is>
          <t>命名慣例；古典式慣例；就任する慣例；民事慣例類集；半ば慣例</t>
        </is>
      </c>
      <c r="H1883" t="n">
        <v>29</v>
      </c>
      <c r="I1883" t="inlineStr">
        <is>
          <t>差し違いそのものよりも慣例を破ったことが問題視されたことが分かる。；連立政権が成立した場合には慣例的に多数党の党首が首相に任命される。；日本のゲーム業界では古くより慣例的に用いられている用語である。；特定の公理への言及は、通常、慣例的に必要になったときにのみ生じる。；また上記の通り公式ではなかったものの慣例上の一般的な配置は決まっていた。；腰や胴に相当する部分は慣例的にロボットでも胴体と言うことが多い。；慣例的に内閣府に属する他の機関と併記する場合は一番上に記される。；一年生は必ずクラブに入らなくてはならないという慣例になっている。；ドイツの憲法は、制定された場所の名をつけて通称とする慣例がある。；この慣例によって巡視船の一生で変わらない物は船番号のみとなっている。；執筆作業中に音楽を聞くことが慣例となっているようである。；これは古い前世代からの慣例の体質が継承されているためである。；パッケージは、慣例的にはディレクトリ構造のように表すことができる。；それ以外の生物では、特に必要がない限り和名はつけない慣例のものが多い。；この事件の背景には弦楽器業界の慣例であるヴァイオリン転がしがある。；敵対組織は傘下にしないという方針があるが、龍馬はその慣例を破った。；議会によって議員の選挙後に第1党の党首が選出されるのが慣例である。；なお、通常は側近である侍臣による副状が添付されるのが慣例であった。；付番慣例は上記の通りで、郡部線の168号形が500形に変更された。；議長の身の危険がなくなってからも、慣例として当時の様子が演じられる。；日本では、社会面の隅に4コマ漫画を掲載するのが慣例になっている。；新京阪鉄道時代からの京都線の慣例で、電装品は東洋電機製造製である。；大正初期から、将官人事はこの三長官が合意とすることが慣例となった。；代わりにGP側は荷物にトラップを仕掛けないという慣例が存在している。；各クラスでクラスTシャツを作成することが慣例となっている。；首相は、わずかな例外を除いて第一大蔵卿を兼任するのが慣例である。；レコード業界では、「店頭日」に商品を販売することは慣例となっている。；公侯爵議員も現役軍人たる議員は出席しない慣例になっていた。；正式な決まりはないため、学校教育における慣例とは異なる場合がある。</t>
        </is>
      </c>
      <c r="J1883">
        <f>HYPERLINK("https://www.weblio.jp/content/慣例", "词义详情")</f>
        <v/>
      </c>
      <c r="K1883">
        <f>HYPERLINK("https://yourei.jp/慣例", "查看例句")</f>
        <v/>
      </c>
    </row>
    <row r="1884">
      <c r="A1884" t="inlineStr">
        <is>
          <t>還暦</t>
        </is>
      </c>
      <c r="B1884" t="inlineStr">
        <is>
          <t>成功</t>
        </is>
      </c>
      <c r="C1884" t="inlineStr">
        <is>
          <t>読み方：かんれき
《60年で再び生まれた年の干支(えと)にかえるところから》数え年61歳のこと。また、その祝い。華甲(かこう)。華年。本卦還(ほんけがえ)り。「—を迎える」</t>
        </is>
      </c>
      <c r="D1884" t="inlineStr">
        <is>
          <t>還暦祝い(7%)；還暦記念(4%)；還暦過ぎ；還暦祭；還暦近い</t>
        </is>
      </c>
      <c r="G1884" t="inlineStr">
        <is>
          <t>還暦少年</t>
        </is>
      </c>
      <c r="H1884" t="n">
        <v>29</v>
      </c>
      <c r="I1884" t="inlineStr">
        <is>
          <t>このこともあり、本格的な作家生活デビューは、還暦過ぎてからだった。；還暦の時の路郎の作品であるが、私にはそのような情熱は、もう、ない。；あたしいつか、こちらさまの大旦那の還暦のご祝儀がございましたわね。；いくら還暦をすぎたとはいえ、タカシはいつまでもモモヨの息子である。；これまで還暦だとか古稀なども依怙地に行わなかったので、無理もない。；そう訊かれそうだが、もう還暦は過ぎたし、専門というほどのものはない。；まだ還暦前の働き盛りだったが、仕事のしすぎが体にこたえていたようだ。；でも同盟が出来たときはまだ三人とも還暦なんてまだだった。；なぜなら琴江様は還暦を過ぎたいまに至るまで、一度も結婚されておりません。；つまり、人でいうなら還暦なんかとうに過ぎてるわけで、直撃ではない。；それを見せられたのは十年ばかり前のことで、彼も友達も還暦を間近に控えていた。；彼は定年制を支持していたため、還暦をもって辞任したのであった。；還暦とデジタル時代を迎え、民放はその在り方を引き続き問われている。；還暦になったくらいで老人ぶるな、というご意見もあるかもしれない。；まだまだ先だと思っていたけど、あと五年したら、私もカンレキなのだった。；もう還暦も過ぎて、このままでは人生、何をしに生まれてきたのか分かんねえ。；あと何年かで還暦を迎える男の体とは思えなかった。；還暦祝いの席で山岡が珍しく雄弁をふるったことなど知る由もなかった。；それに応えるべく、田中の還暦を期として彼の著作集が刊行された。；死んだ辰夫のひとつ下の弟であるから、すでに還暦を過ぎている。；還暦を迎えられて、ようやく秋山小兵衛の年齢に達したのである。；娘に、還暦を迎えようとする夫を頼んでいくのではなく、夫に娘を頼んでいったのだ。；還暦でも少年みたいなことをしていくいうことで『還暦少年』と名付けられた。；まだ結婚披露もやつてゐない花聟に、還暦の祝を先にされては困るからであります。；ある実業家の還暦祝いに集まった家族の秘密を描いたドラマ。；でもこの本の中身のように考えながら、ともかく私は還暦を過ぎるまで生きてきました。；娘がもうすぐ還暦だというのに、まかせてはおけない性分なのである。；その話がすべて事実だとすれば、美涼の年齢はどう計算しても還暦を越えているはずである。；そもそものことの起こりは、伯父さまの還暦祝いの晩のことだった。</t>
        </is>
      </c>
      <c r="J1884">
        <f>HYPERLINK("https://www.weblio.jp/content/還暦", "词义详情")</f>
        <v/>
      </c>
      <c r="K1884">
        <f>HYPERLINK("https://yourei.jp/還暦", "查看例句")</f>
        <v/>
      </c>
    </row>
    <row r="1885">
      <c r="A1885" t="inlineStr">
        <is>
          <t>関連</t>
        </is>
      </c>
      <c r="B1885" t="inlineStr">
        <is>
          <t>成功</t>
        </is>
      </c>
      <c r="C1885" t="inlineStr">
        <is>
          <t>読み方：かんれん
［名］(スル)ある事柄と他の事柄との間につながりがあること。連関。「—が深い」「—する事柄」「—性」「—質問」</t>
        </is>
      </c>
      <c r="D1885" t="inlineStr">
        <is>
          <t>関連する(18%)；関連商品；関連事業；関連団体；関連書籍</t>
        </is>
      </c>
      <c r="E1885" t="inlineStr">
        <is>
          <t>間；関係；縁；連絡；参照</t>
        </is>
      </c>
      <c r="F1885" t="inlineStr">
        <is>
          <t>関連資料；関連グッズ；自動車関連；関連記事；関連情報</t>
        </is>
      </c>
      <c r="G1885" t="inlineStr">
        <is>
          <t>関連会社；関連付け；関連企業；関連施設；関連づけ</t>
        </is>
      </c>
      <c r="H1885" t="n">
        <v>29</v>
      </c>
      <c r="I1885" t="inlineStr">
        <is>
          <t>このため現地での日本関連イベントに招聘されて公演をする機会が多い。；しかし様々なデータがあるため、現在では、それらの関連は不明である。；各分野間には関連領域が存在するため明確に区別することは難しい。；主として何らかの社会と関連のある空間を意味する多義的な言葉である。；日本の商法は関連する法令を含め、一般に下記のような分類がなされる。；これに関連してサービスを終了するアーケードゲーム作品も存在した。；この辺り一帯が沼地で、全国の白鳥伝説との関連が取り上げられている。；しかし、各分野間には関連領域が存在するため明確に区別することは難しい。；仏事と関連のあるように見える言葉が多いのは当て字によるものである。；特にトンガとロツマの言語に関連するものを含む面が顕著に現れている。；副作用には分類されないものも含めた関連用語の定義を以下に示す。；神話はそれらと関連した出来事が起こるたびに現実のものとなった。；他にも新潟に関連するイベントを開催しており、関係を継続している。；衛生上の知識に関連する学問分野として次に挙げるものが知られている。；どちらを選ぶかは関連する文章やその言語の習慣によるものとする。；国鉄またはその関連組織が行っていた鉄道事業以外の事業を下記に挙げる。；この発表を受け、学習塾を経営する企業などの教育関連の株が急落した。；教科書に載っているような半古典近似法に関連した議論は次節で述べる。；プロジェクト関連文書の更新状況は次の場所で参照できます。；多くのウェブページは他の関連する文書へのハイパーリンクを含んでいる。；関係を複数持つことも可能で、互いを関連させることも可能である。；任意の物理系の温度はその系を構成する粒子の運動と関連している。；キリスト教と悟りとの関連が見られる箇所の一つがそこにあると見ることができる。；彼はそうして得た資金を鉄道関連の会社に再投資していった。；哲学と宗教は共に神の存在に関連している分野である。；など諸説あるが、その多くが太陽信仰との関連した名前であるとする。；これらは独立したものではなく、それぞれが関連し合って一連の研究を形作る。；なお日本における仏教関連の辞典や書物では pl などと略称される。；彼はオーストリア皇帝や廷臣たちと作戦計画や補給関連の協議を持った。</t>
        </is>
      </c>
      <c r="J1885">
        <f>HYPERLINK("https://www.weblio.jp/content/関連", "词义详情")</f>
        <v/>
      </c>
      <c r="K1885">
        <f>HYPERLINK("https://yourei.jp/関連", "查看例句")</f>
        <v/>
      </c>
    </row>
    <row r="1886">
      <c r="A1886" t="inlineStr">
        <is>
          <t>貫禄</t>
        </is>
      </c>
      <c r="B1886" t="inlineStr">
        <is>
          <t>成功</t>
        </is>
      </c>
      <c r="C1886" t="inlineStr">
        <is>
          <t>読み方：かんろく
からだつきや態度などから感じる人間的重みや風格。身に備わった威厳。時に、「見かけは貫禄たっぷりだけどね」のように肥っていることをからかって、また、ばかにして使うことがある。「—がつく」「—がある」「—十分だ」</t>
        </is>
      </c>
      <c r="D1886" t="inlineStr">
        <is>
          <t>貫禄充分；貫禄負け；貫禄勝ち；貫禄たっぷり</t>
        </is>
      </c>
      <c r="E1886" t="inlineStr">
        <is>
          <t>品；出席；重み；威厳；面目</t>
        </is>
      </c>
      <c r="F1886" t="inlineStr">
        <is>
          <t>みたいな貫禄；ふさわしい貫禄；さすがに貫禄</t>
        </is>
      </c>
      <c r="H1886" t="n">
        <v>29</v>
      </c>
      <c r="I1886" t="inlineStr">
        <is>
          <t>それがなかなか貫禄にも見えるのだから世の中不思議なことは多い。；女王として命令することに慣れた、有無を言わせぬ貫禄がそこにあった。；貫禄をつけたくて、友人と決闘の真似事をしてつけてもらった傷らしい。；しかし、貫禄ある演技を見せて5年間に70本を超える作品に出演した。；チャルはもう充分のおとな、それも父親らしい貫禄さえついてきました。；立派な風采で、五十を越していると見られるが、人物も貫禄がついていた。；外国人の間に立ち廻って決してひけを取らないだけの貫禄を思わせた。；二年前よりも幾分太ったようだが、貫禄がついたと見えなくもなかった。；歳は幾つも違わないはずですか、人間の貫禄はあまりに違いすぎます。；金さえあればおのずからあのような大人の風格と貫禄がつくのである。；「信じられない、と思って」 ずっと三年生だったみたいな貫禄だから。；しかし、いまの勢いじゃ、社長といわれれば、社長にちがいない貫禄だ。；将来の重臣候補を以て目されるに足るだけの貫禄があるとも見られている。；イブニングドレスを着慣れている人独特の貫禄があたりに漂っていた。；あの祥子さまを、手の平の上で転がしてしまいそうな余裕と貫禄がある。；両親の家の神棚の隣にあるすっかり貫禄のついた顔ではなかった。；それを見ていると相手の妙な貫禄がこちらに伝わってくる。；ただ、年月の経過と環境の変化とが彼の容貌と姿態とに貫禄を加えていた。；今までのうらぶれた姿は瞬間に消えて、体中にプロの貫禄が身についていた。；お稽古の足しにはならないが、巨匠の最後の作品としての貫禄は充分だ。；その貫禄は十分だし、何よりもキメのこまかい、つるりとした肌がいい。；貫禄のある声質で、威厳ある地位の高い役や、老人役を多く担当していた。；バムブル氏は、自分の権力と貫禄をたいしたものに思っている人物だった。；一緒に入ってきた課長よりも貫禄も存在感も遥かに上だということは確かだ。；それはやはり中小企業の辛酸の中に生きてきた男の貫禄と言えぬこともなかった。；貫禄を維持するだけの実質がなければ、やがては亡びる外に仕方がない。；貫禄のちがいが、秋本との間に架けられた心の橋を揺すっているのだ。；五年生の彼は隊長らしい貫禄で隊員たちを掌握しているように見える。；あまり貫禄のある標語だとは思えなかったが、最近その意味がわかりかけていた。</t>
        </is>
      </c>
      <c r="J1886">
        <f>HYPERLINK("https://www.weblio.jp/content/貫禄", "词义详情")</f>
        <v/>
      </c>
      <c r="K1886">
        <f>HYPERLINK("https://yourei.jp/貫禄", "查看例句")</f>
        <v/>
      </c>
    </row>
    <row r="1887">
      <c r="A1887" t="inlineStr">
        <is>
          <t>漢和</t>
        </is>
      </c>
      <c r="B1887" t="inlineStr">
        <is>
          <t>成功</t>
        </is>
      </c>
      <c r="C1887" t="inlineStr">
        <is>
          <t>読み方：かんな
《「かんわ」の連声(れんじょう)》「漢和聯句(かんなれんく)」の略。</t>
        </is>
      </c>
      <c r="D1887" t="inlineStr">
        <is>
          <t>漢和大字典(41%)；漢和対照妙法蓮華経(14%)；漢和対訳(14%)</t>
        </is>
      </c>
      <c r="E1887" t="inlineStr">
        <is>
          <t>辞書；辞典；事典；字書；字引</t>
        </is>
      </c>
      <c r="G1887" t="inlineStr">
        <is>
          <t>漢和辞書；漢和字典；漢和大辞典；漢和字書</t>
        </is>
      </c>
      <c r="H1887" t="n">
        <v>28</v>
      </c>
      <c r="I1887" t="inlineStr">
        <is>
          <t>詳細は明らかとなっていないが漢和ではSu-57の技術が生かされる可能性が高いと分析している。；一度は漢和の字引をお持ちでしたらと借りに来て、私がここまでは持って来ないのを知り、「お邪魔いたしましたわ」といってあっさり去った。；初の漢和辞典とされる『漢和大字典』は熟語を末尾の漢字の項目に記載している。；辞典の古参出版社であり、初の漢和辞典とされる『漢和大字典』の版元である。；その〓の交差点を示す、と『漢和大字典』の字解にはあった。；日本の普通の国語辞典にはこの漢語はなかったが、『漢和大字典』にはさらに、夫に死なれた女が一生貞操を守って再婚しないことという意味も載っていた。；この時点でのベッテルハイムは琉球語訳が日本本土の布教に使えると考えていたのだが、本土の日本人には理解が難しいことを悟ると方向転換し、漢和対訳の新約聖書翻訳を企画した。；それでも、人に頼む気にならず、漢和大字典だの、暦や、姓名学の本などと首引きをした。；それでも、老眼鏡をかけることによって、視界がややはっきりしたので、戦前の漢和大字典の上にのっている近眼鏡のケースを見つけることができた。；すみっこの陳列ケースには釵の字を引いた『漢和大字典』の口絵そのままの二またに分かれたかんざしがあった。；蛍雪はその後、漢和の辞典なぞ作ったものが当り、利殖の才もあってだんだん富裕になった。；賢治は、父親が浄土真宗の熱心な信者であったことから、幼少のころから仏教的な環境で育ったが、18歳のときに『漢和対照、妙法蓮華経』を読み、法華経に興味を持った。；目にとび込んでくるのは、壁の青と黄色のコントラストと共に、所狭しと並んでいるコンピューター、じゅうたんの上でゴロリと寝ころんで物理の本を開いている人、漢和大字典や朝鮮語辞典が散乱した机を囲んで話に熱中している人たち。；私たちが日頃愛用している『漢和大字典』『漢字語源辞典』は藤堂博士の手になる辞書である。；同時期に、島地大等訳『漢和対照 妙法蓮華経』を読み、その中の「如来寿量品」に体が震えるほどの感銘を受ける。；そして、1858年にイギリス聖書協会より、漢和対訳『路加伝福音書』を出版した。；なお、植木雅俊・訳『梵漢和対照・現代語訳 法華経』は例外的にサダーパリブータの4つの意味をちゃんと訳している。；賢治は学校当局に再考を求めたが処分は覆らず、退学が決まり寮を出る嘉内に賢治は『漢和対照妙法蓮華経』を贈った。；従来の辞書は、『下学集』『節用集』など多くがあるが、だいたいは漢字に和訓を付したり、和語に漢字をあてただけのもので、漢和対訳辞書である。；平安時代中期に編纂され、現存する日本最古の薬学書に列する本草学辞典『本草和名』、同じく日本最古の漢和対訳百科事典に列する『和名類聚抄』の解説によれば、ウコギは中国原産と見られる外来種の五加であると記されており、現在使用されるウコギの和名漢字「五加木」「五加皮」はこれに由来している。；明治時代の『漢和大字典』には「鰣」に「ひらこのしろ」の注が見られるなど、ヒラコノシロやオナガコノシロと記した字書、辞書、料理書もあるが、根拠は不明。；thumb|漢和大字典多くの漢和辞典は、漢字を部首によって分類し、部首の画数順に配列し、同一部首に属する漢字は、部首を除いた画数の順に配列する部首配列によっている。；度々漢和聯句会に参加し、慶長13年から一華堂乗阿と『源氏物語』について論争した。；島地大等編訳の『漢和対照妙法蓮華経』に衝撃を受け、のち田中智学の国柱会に入会した宮沢賢治や、高山樗牛、妹尾義郎、北一輝、石原莞爾、創価学会を結成することとなる牧口常三郎、戸田城聖らがよく知られている。；島地大等編訳の『漢和対照妙法蓮華経』に衝撃を受け、のち田中智学の国柱会に入会した宮沢賢治や、高山樗牛、妹尾義郎、北一輝、石原莞爾、創価教育学会を結成した牧口常三郎、戸田城聖らがよく知られている。；漢字について 漢字の音に関しては、すべて藤堂明保博士の『漢和大字典』、『漢字語源辞典』によるものである。；カナダの軍事週刊誌「漢和防衛評論」の編集長、「漢和情報評論」の解説員、「ジェーン・ディフェンス・ウィークリー」のアジア・オセアニア特派員等を務めている。；硯箱、和英、英和と漢和の字書。</t>
        </is>
      </c>
      <c r="J1887">
        <f>HYPERLINK("https://www.weblio.jp/content/漢和", "词义详情")</f>
        <v/>
      </c>
      <c r="K1887">
        <f>HYPERLINK("https://yourei.jp/漢和", "查看例句")</f>
        <v/>
      </c>
    </row>
    <row r="1888">
      <c r="A1888" t="inlineStr">
        <is>
          <t>緩和</t>
        </is>
      </c>
      <c r="B1888" t="inlineStr">
        <is>
          <t>成功</t>
        </is>
      </c>
      <c r="C1888" t="inlineStr">
        <is>
          <t>読み方：かんわ
［名］(スル)厳しさや激しさの程度を和らげること。また、和らぐこと。「制限を—する」「混雑が—する」</t>
        </is>
      </c>
      <c r="D1888" t="inlineStr">
        <is>
          <t>緩和するため(5%)；緩和される(4%)；緩和させる；緩和策；緩和措置</t>
        </is>
      </c>
      <c r="E1888" t="inlineStr">
        <is>
          <t>減少；治療；解放；安心；救う</t>
        </is>
      </c>
      <c r="F1888" t="inlineStr">
        <is>
          <t>混雑緩和；渋滞緩和；緊張緩和；症状緩和；規制緩和</t>
        </is>
      </c>
      <c r="G1888" t="inlineStr">
        <is>
          <t>緩和時間；緩和曲線；緩和医療；緩和現象；緩和関数</t>
        </is>
      </c>
      <c r="H1888" t="n">
        <v>29</v>
      </c>
      <c r="I1888" t="inlineStr">
        <is>
          <t>小会社においては前述のような考慮から、規制が大幅に緩和されていた。；「痛み」を我慢せずに治療・緩和する体制を拡大すると提唱している。；西口が新設され、東西に分断された街の一体化と交通渋滞の緩和を図る。；東西緊張緩和の背景には東ドイツが外貨を獲得しようとしたことも大きい。；粘弾性緩和の原因は各温度で高分子鎖の分子運動 が異なるためである。；はじいたときの衝撃が緩和されるため、ゴムとびに利用する子供も多い。；その旧市街でさえもユダヤ人居住制限が近世にどんどん緩和されていった。；プロジェクトでは、環境に対する影響を緩和する手段が講じられている。；その時より、土地代の負担緩和のために商業施設の建設が模索され始めた。；海軍委託学生は海軍兵学校生より運動系の科目の内容は緩和されていた。；後に行われたコース改修により4コーナーは以前よりも曲線が緩和された。；これは同年の試験では足切り点数が緩和されたことが影響している。；複数回の積算を行う場合には、緩和にかかる時間に注意が必要である。；また、熱処理をせずとも緩和は非常にゆっくりと常に進行している。；その後、東西の緊張緩和の時期も存在したが、再び米ソ間は緊張状態に陥った。；もっとも住居専用と言っても店舗や事務所その他についてかなり規制緩和されている。；躁病であり、興奮が強い場合や不安・焦燥・緊張の緩和に用いることがある。；それは通りを拡張することで渋滞を緩和させることにあった。；阪神・淡路大震災を経て、仕様基準が性能基準となり、規制が緩和された。；これを緩和させるには複数人で一つの仕事をする必要がある。；その後規制が緩和され現在は他の企業と同じように提供クレジットを出すことも可能になった。；なお、選抜予選の廃止により一次予選の勝ち上がり条件も緩和されている。；地球温暖化への対策、エネルギー供給面での緩和技術の研究が行われている。；ヘンリー5世のフランスに対する要求を緩和するように説得するためである。；この時点でそれまでの制限的な色合いが大幅に緩和された。；原因疾患がはっきりとしない場合は症状の緩和のために漢方薬を用いることがある。；ひとつは、韓国製品に対するアメリカの輸入規制の大幅緩和である。；ただし、どの程度の緩和がなされるか具体的に明記されなかった。；玉島地区周辺の交通渋滞緩和と交通安全の確保を目的として整備された。</t>
        </is>
      </c>
      <c r="J1888">
        <f>HYPERLINK("https://www.weblio.jp/content/緩和", "词义详情")</f>
        <v/>
      </c>
      <c r="K1888">
        <f>HYPERLINK("https://yourei.jp/緩和", "查看例句")</f>
        <v/>
      </c>
    </row>
    <row r="1889">
      <c r="A1889" t="inlineStr">
        <is>
          <t>木</t>
        </is>
      </c>
      <c r="B1889" t="inlineStr">
        <is>
          <t>成功</t>
        </is>
      </c>
      <c r="C1889" t="inlineStr">
        <is>
          <t>読み方：き
１地上部の茎が木質化している植物。樹木(じゅもく)。「—を植える」「—の枝」
２建物・器具などの材料として使えるようにした用材。木材。「—の机」
３（「柝」とも書く）歌舞伎・人形浄瑠璃・相撲などで用いる拍子木。開幕・閉幕などの合図に用いる。
[下接語]青木・荒木・植木・埋め木・末(うら)木・老い木・冠(かぶ)木・唐(から)木・枯れ木・草木・朽ち木・頸(くび)木・黒木・挿し木・下木・白(しら)木・雑木・立ち木・垂(たる)木・乳切(ちぎ)り木・接ぎ木・積み木・取り木・生(なま)木・並木・生(な)り木・庭木・鉢の木・幅木・肘(ひじ)木・冬木・古木・曲げ木・丸木・瑞(みず)木・本(もと)木・割り木（ぎ）赤木・網代(あじろ)木・浮き木・受け木・腕木・埋もれ木・枝木・雄(お)木・押さえ木・親木・笠(かさ)木・形(かた)木・堅木・鰹(かつお)木・雁(がん)木・木木・経(きょう)木・差し木・算木・軸木・締め木・正真木・心(しん)木・滑り木・炭木・隅木・擂粉(すりこ)木・添え木・杣(そま)木・台木・千(ち)木・付け木・爪(つま)木・釣り木・常磐(ときわ)木・年木・止まり木・止め木・苗木・流れ木・新(にゅう)木・鼻木・版木・板(ばん)木・拍子木・榾(ほた)木・枕(まくら)木・股(また)木・棟(むな)木・雌(め)木・横木・寄せ木・連木・若木</t>
        </is>
      </c>
      <c r="D1889" t="inlineStr">
        <is>
          <t>木立ち；木くん；木槌；木先輩；木樵</t>
        </is>
      </c>
      <c r="E1889" t="inlineStr">
        <is>
          <t>樹；材；樹木；木材；高木</t>
        </is>
      </c>
      <c r="F1889" t="inlineStr">
        <is>
          <t>乃木；高い木；小さな木；太い木；六本木</t>
        </is>
      </c>
      <c r="G1889" t="inlineStr">
        <is>
          <t>木材；木造；木々；木製；木立</t>
        </is>
      </c>
      <c r="H1889" t="n">
        <v>29</v>
      </c>
      <c r="I1889" t="inlineStr">
        <is>
          <t>そのほか金属のものも中にはあったが、ほとんど木に彫ったものである。；さらにはより大きな音や激しい音を得るために木や石を叩いた可能性も大きい。；石器時代には鏃を木の枝や竹に固定するためにアスファルトが使われた。；正面にはそれぞれ木の階段があり、さらにその前方に石階が設置されている。；また、机も以前のスチールの机から原作と同じ木机に変更されている。；また土壇の上には木が生えており、この木を中心に祭りをしたと考えられる。；根まで到達して根が分割された場合は、木の高さが1段増加することになる。；この伝説では、息子の死を悲しむレメクがその死体を木に架けたという。；切断された木の一部は、駅コンコースに紹介文とともに展示されている。；アダムが作られた時にはエデンの園の外には野の木も草も生えていなかった。；葉ではない各点に対しその点の子の数が常に であるような木を分木という。；真鍮時計を分解して木でその複製を作ると、それが十分に動作したという。；足に鋭い爪があり、それを引っ掛けて木の幹や枝の上を走ることができる。；ヘロンの説明によると、弓の材料は「角と木の一種」が用いられていた。；肝臓と胆嚢は共に中国の五行でいうと木に属するため密接な関係を持つ。；直孝がその猫に近づいたところ、先ほど雨宿りをしていた木に雷が落ちた。；緑の服をまとった女性の姿をしているが、時に木そのものの形を取る。；黄金のリンゴの木のところに火の鳥がいるのを王子は見つけて捕らえる。；その原料に使われるチキサニの木が周囲に生えていたから、との説がある。；平衡係数は以下のように各ノードの左右部分木の高さの差で定義する。；倒れた木は海に落ち、その破片は人々に幸せをもたらすものとなった。；鞘は木または紙で作られるが武道店では合成樹脂製のものも見られる。；円形をした山頂部には木が生えておらず、矮性低木があるばかりである。；根つき木に関する用語は、それを家系図に見たてたものが多く使われる。；中国の五行説では、5つで木・火・土・金・水の五行に対応している。；柄は木や鹿角が使われたが、現在はほとんどがプラスチック製である。；初期の釘は鉄などの金属ではなく木や動物の骨が用いられた。；高級なものにはしばしばハワイ特産のコアの木が材料として用いられる。；また床も木張りであったが、戦後にリノリュウム張りに変更された。</t>
        </is>
      </c>
      <c r="J1889">
        <f>HYPERLINK("https://www.weblio.jp/content/木", "词义详情")</f>
        <v/>
      </c>
      <c r="K1889">
        <f>HYPERLINK("https://yourei.jp/木", "查看例句")</f>
        <v/>
      </c>
    </row>
    <row r="1890">
      <c r="A1890" t="inlineStr">
        <is>
          <t>気</t>
        </is>
      </c>
      <c r="B1890" t="inlineStr">
        <is>
          <t>成功</t>
        </is>
      </c>
      <c r="C1890" t="inlineStr">
        <is>
          <t>読み方：き
［音］キ（漢）ケ（呉）
［学習漢字］1年
〈キ〉
１息。「気管・気息／一気・呼気・口気」
２ガス体。「気圧・気化・気体／外気・換気・空気・香気・湿気・臭気・瘴気(しょうき)・蒸気・冷気」
３天地間に生じる自然現象。「気温・気候・気象／磁気・暑気・天気・電気・陽気」
４宇宙と人間の根底にあるとされるエネルギー。生命の活力。「運気・元気・正気(せいき)・生気・精気・病気」
５精神・感情の働き。「気質・気性・気分／意気・陰気・鋭気・狂気・血気・根気・才気・士気・正気(しょうき)・短気・稚気・怒気・平気・本気・勇気」
６何か特有のようす。「気運・気味／鬼気・景気・語気・妖気(ようき)・霊気・雰囲気」
７一年を二四分した期間。「気節／節気・二十四気」
〈ケ〉
１ガス体。「湯気(ゆげ)」
２心の働き。気持ち。「気色(けしき)／嫌気・俗気・毒気・山気・若気(わかげ)」
３ようす。「気配／油気・色気・金気(かなけ)・産気・土気(つちけ)・人気(ひとけ)・水気(みずけ)」
４病気。「脚気(かっけ)・腰気」
［名のり］おき
［難読］呆気(あっけ)・噯気(おくび)・気質(かたぎ)・気障(きざ)・健気(けなげ)・若気(にやけ)・惚気(のろけ)・呑気(のんき)・暢気(のんき)</t>
        </is>
      </c>
      <c r="D1890" t="inlineStr">
        <is>
          <t>気が遠く；気がつい；気が狂いそう；気が変に；気が済まない</t>
        </is>
      </c>
      <c r="E1890" t="inlineStr">
        <is>
          <t>考え；心；感じ；意味；思い</t>
        </is>
      </c>
      <c r="F1890" t="inlineStr">
        <is>
          <t>やうな気；様な気；ひどく気；悪い気；気導聴力</t>
        </is>
      </c>
      <c r="G1890" t="inlineStr">
        <is>
          <t>気持ち；気分；気づい；気配；気がつい</t>
        </is>
      </c>
      <c r="H1890" t="n">
        <v>29</v>
      </c>
      <c r="I1890" t="inlineStr">
        <is>
          <t>いずれかの要素ばかり気にして、他の要素を無視するようでは良くない。；これらのことからノーベルは死後の評価を気にするようになったという。；気は目には見えないが何らかの働きのあるものととらえることができる。；日本人が観ても気恥ずかしさを感じないことを意図した作品となった。；斉信は時間になっても辞去する気になれず、二人して泣き続けたという。；一方で自分が足を引っ張っていることを気にしているような場面も見られる。；こうなると当然最終戦も稲尾との雰囲気になり稲尾自身もその気になる。；試合中アキレス腱が切れたが気にする事はなくそのまま試合を続けたそう。；気がつくと2時間半経過しており、その間の記憶は一切失われていたという。；またファルマリの方は逆にメルコールの方が全く気にもかけなかった。；知られている限り、全ての藍藻は好気環境下で酸素発生型光合成を行う。；すっかりその気になって痛みも忘れた新郎と、いそいそとその場を去る。；予約人数を変更したことが気になって様子を見に来たのだった。；パウリは自分の研究成果が彼の名前で紹介されないことになっても気にしなかった。；それを無視して、ふと気が付けば、村中の男たちが彼を殺す準備をしていた。；このときの出会いはマルクスの誤解もあって、実に素気ないものであった。；それに初めての芝を気にしたのか、直線で追ってもあんまり延びない。；それにしてもかなり深い問題を抱えているような気がする。；VR元年は実は人間の歴史とともに始まったと言えるような気もする。；しかし以下の表のように、表記上は有声音・気音がそのまま保たれる。；気をつけなければならないのは無痛性狭心症というものもあることである。；だがホスの極寒の吹雪に巻き込まれ、雪の中で気を失って倒れてしまう。；自らで操縦し各国を時間を気にせずに移動するようになった。；アニメでもグレートサイヤマンの正体と同じくらい強さが気になると発言していた。；他人から見ればどうでもいいが気になる素朴な疑問をリポーターが取材に行く。；政府は久光に気を使っていたが、西郷と大久保の死後はそれもなくなった。；支払いのことを気にするだけの余裕が客と従業員にはまだあった。；ずっと乗っていたいと思っていたので寂しいような気がする。；これに気を良くした父親は家族を説得し、今度こそ正式に門下生にしたのだという。</t>
        </is>
      </c>
      <c r="J1890">
        <f>HYPERLINK("https://www.weblio.jp/content/気", "词义详情")</f>
        <v/>
      </c>
      <c r="K1890">
        <f>HYPERLINK("https://yourei.jp/気", "查看例句")</f>
        <v/>
      </c>
    </row>
    <row r="1891">
      <c r="A1891" t="inlineStr">
        <is>
          <t>気合</t>
        </is>
      </c>
      <c r="B1891" t="inlineStr">
        <is>
          <t>成功</t>
        </is>
      </c>
      <c r="C1891" t="inlineStr">
        <is>
          <t>読み方：きあい
１精神を集中させて事に当たるときの気持ちの勢い。また、そのときの掛け声。「—がこもる」「—をかける」
２呼吸。いき。「—をはかる」「—が合う」
３その場の状態や雰囲気。
「一重の垣が二人の間に結ばれた様な—になった」〈左千夫・野菊の墓〉
４気性。きだて。
「ああいう—は漸次(だんだん)なくなります」〈万太郎・末枯〉
５心持ち。気分。
「—ヲウカガウ」〈和英語林集成〉</t>
        </is>
      </c>
      <c r="D1891" t="inlineStr">
        <is>
          <t>気合術(3%)；気合声；気合入れ；気合棒；気合ポイント</t>
        </is>
      </c>
      <c r="E1891" t="inlineStr">
        <is>
          <t>心；態度；精神；意志；意思</t>
        </is>
      </c>
      <c r="F1891" t="inlineStr">
        <is>
          <t>鋭い気合；すさまじい気合；はげしい気合；凄まじい気合；激しい気合</t>
        </is>
      </c>
      <c r="G1891" t="inlineStr">
        <is>
          <t>気合十分；気合だー</t>
        </is>
      </c>
      <c r="H1891" t="n">
        <v>29</v>
      </c>
      <c r="I1891" t="inlineStr">
        <is>
          <t>すでにそれが、気合などではなく悲鳴であることを彼だけが知っていた。；そして妙に気合が入ったまま、翡翠はまた部屋の 隅へと戻っていった。；この半年は、きっと人生の中で最も気合を入れて臨まなければならない。；大会前から朝早く学校に登校し練習する姿も多く見られるほど気合が入る。；一振りごとに腹の底から気合を入れて、敵をばたばたと斬り倒していた。；緊張するほどではないが、適度に気合を入れておいた方がよさそうだ。；二人の少年は扉に張りつき、ヘンケルが気合を入れて鍵を開けにかかる。；容赦なくその首を叩き切る気合をこめて、愛剣が三たびふりあげられる。；どこの団体が作ったのかは知らないが、随分と気合の入ったサイトだ。；要は単なる気合の類なのだが、黒雪姫はそこに一つの工夫を加えている。；気合を知らしても悪いと思つて咳一つも堪へてゐたのだなどと云ひました。；左手の木立の中で、激しい気合声と刃の打ち合う音を耳にしたからだ。；この試合に勝てば上位ランク進出が確実となるため気合の入る一戦となった。；そして、頭上に槍を構えるや、無言の気合を発しながら、ふりおろした。；気合を入れすぎて逆に喉を傷めてしまい、かすれ声になってしまうことも。；気合を発射したときには、すでにぼーさんの姿は闇の中に沈んで見えなかった。；だが、それを実行するだけの気合が殷雷たちには入らなかったのだ。；梅津某に短い薪で倒した話があるが、勢源は気合術の文献にも紹介がある。；いまは、一生で一番、気合入れてやんなくちゃいけないときだと思うから。；P先生にも実技のほうはそんなに気合入れなくていいって言われたけどさ。；いえね、ここだけの話ですが、最終巻だと思うと妙に気合が入っちゃって。；しかしふたりは、先ほどまでの気合が満ちてこないのを感じていた。；ジムはこれまで以上に気合が入りマイナーリーグで優秀な成績を残していた。；まだ勝負を軽く見ているのか、それとも、本気合をいれて鋭く来ているのか。；とりあえず顔を洗って気合を入れると彼は屋敷を出て黄土山に走った。；これから期末テストに向けて気合を入れて行かなきゃならんと思ったからさ。；「気合で人間って何でも出来るんだな、と思いました」と語っていた。；崩れ落ちるような大音響の中に悲鳴に似た島村夕子の気合が聴きとれた。；レースでは若干出遅れたものの、すぐに気合を付けて2番手につけた。</t>
        </is>
      </c>
      <c r="J1891">
        <f>HYPERLINK("https://www.weblio.jp/content/気合", "词义详情")</f>
        <v/>
      </c>
      <c r="K1891">
        <f>HYPERLINK("https://yourei.jp/気合", "查看例句")</f>
        <v/>
      </c>
    </row>
    <row r="1892">
      <c r="A1892" t="inlineStr">
        <is>
          <t>気圧</t>
        </is>
      </c>
      <c r="B1892" t="inlineStr">
        <is>
          <t>成功</t>
        </is>
      </c>
      <c r="C1892" t="inlineStr">
        <is>
          <t>読み方：きあつ
１気体の圧力。
２大気の圧力。ふつう地上にかかる大気の重さをいい、1平方センチメートル当たり約1キログラム重に相当するが、場所・季節などで異なり、上空に行くほど小さくなる。単位にパスカルまたはヘクトパスカルを用い、ミリバールも慣用される。大気圧。
３大気圧の単位。1気圧は水銀柱760ミリの高さに相当する圧力に由来し、1013.25ヘクトパスカル。記号atm</t>
        </is>
      </c>
      <c r="D1892" t="inlineStr">
        <is>
          <t>気圧差(4%)；気圧変化；気圧式；気圧変動；気圧低下</t>
        </is>
      </c>
      <c r="E1892" t="inlineStr">
        <is>
          <t>空圧</t>
        </is>
      </c>
      <c r="F1892" t="inlineStr">
        <is>
          <t>最低気圧；急激な気圧；外気圧；油気圧；低い気圧</t>
        </is>
      </c>
      <c r="G1892" t="inlineStr">
        <is>
          <t>気圧計；気圧配置；気圧される；気圧傾度；気圧の谷</t>
        </is>
      </c>
      <c r="H1892" t="n">
        <v>29</v>
      </c>
      <c r="I1892" t="inlineStr">
        <is>
          <t>したがって高度の高い場所と高度の低い場所とで観測される気圧が異なる。；コスメル島に上陸した際の中心気圧は900hPaだったとされている。；するとこの航空機は気圧が一定である面を飛行していることになる。；結露を防ぐためには室内の気圧を低く維持することが必要になります。；それにサンムトリの一番弱い所は、八十億気圧にしか耐えない筈なんだ。；屋内外の気圧差が不足すれば、屋根はたちまちしぼんでしまうのである。；詩という言葉から味われるあの一種の特別な気圧層を私は無視しています。；このような場所では高気圧の勢力が強く、周囲より気圧が高くなっている。；これによって海面下40 m以下の高い気圧の中での作業を可能とした。；気圧が低い部分から高くなるに従って青から赤へと色分けされている。；エレベーターで降下中は気圧が変化するので耳抜き作業が必要になる。；一方で地心における圧力はというと、それは約三〇〇万気圧と推定されている。；低い気圧のため、高度が高くなるほど空気は拡散し、冷たくなってくる。；温度変化や気圧変化に敏感であるため地下の横坑の奥に設置されることが多い。；また、金星の温度・気圧などを測定し、その環境を世界に知らしめた。；気圧計が作られるようになると、気圧が日々変動することがわかってきた。；これらの例のように、大気圧よりも気圧を上げた部屋が利用されることもある。；高い気圧差で運用中の破壊の可能性を防止するために新しく小さな窓が使用されていた。；勢力はあまり発達せず、最盛期でも中心気圧は992 hPaであった。；また、気圧が低い高地にある鉄道ではさらにこの問題は深刻である。；規模は小さいが中心気圧が低く暴風を伴うとして気象予報官に警戒された。；その空気は一定気圧の断熱された理想的な飽和槽の中で飽和に達している。；このような高度による気圧の変化を利用した高度計も作られている。；上陸時の中心気圧は955hPaで、依然として強い勢力を保っていた。；空気が漏れ、タンク内の空気圧が外気圧と同じになると全く作動しない。；気圧の上下に合わせて行動パターンを変えることで知られている。；こういう気圧や陽の光はいつも病妻の感じやすい皮膚や彼の弱い神経を苦しめていたものだ。；ウォーカーは世界の異なる場所で気圧間の相関関係の表を作成した。；ただし気圧傾向度が緩やかなため風の被害が伴うことよりも雨による被害が多い。</t>
        </is>
      </c>
      <c r="J1892">
        <f>HYPERLINK("https://www.weblio.jp/content/気圧", "词义详情")</f>
        <v/>
      </c>
      <c r="K1892">
        <f>HYPERLINK("https://yourei.jp/気圧", "查看例句")</f>
        <v/>
      </c>
    </row>
    <row r="1893">
      <c r="A1893" t="inlineStr">
        <is>
          <t>議案</t>
        </is>
      </c>
      <c r="B1893" t="inlineStr">
        <is>
          <t>成功</t>
        </is>
      </c>
      <c r="C1893" t="inlineStr">
        <is>
          <t>読み方：ぎあん
会議で審議・決定するための原案。議事の対象となる案件。</t>
        </is>
      </c>
      <c r="D1893" t="inlineStr">
        <is>
          <t>議案提出(4%)；議案審議；議案提案；議案不成立；議案可決</t>
        </is>
      </c>
      <c r="E1893" t="inlineStr">
        <is>
          <t>テーマ；議題；論題；アジェンダ</t>
        </is>
      </c>
      <c r="F1893" t="inlineStr">
        <is>
          <t>議案提出権；提出議案；合併議案；同議案；号議案</t>
        </is>
      </c>
      <c r="H1893" t="n">
        <v>29</v>
      </c>
      <c r="I1893" t="inlineStr">
        <is>
          <t>その最も重要な成果は州内全郡に高校を設立する議案を通したことだった。；各派は議案提出順にそれぞれ第一見解、第二見解、第三見解と呼ばれた。；資料類を作成しなかったのも、議案が事前に漏れるのを防ぐためであろう。；提案できる議案は、提案したキャラクターのクラスにより変わっていく。；今回この議案を提出したのは、私にとって今しか機会が無いからです。；彼が税法案の承認を拒否したのに対し、議会は彼の議案の認可を拒否した。；そのためか、議会ではウェールズ公に不利な議案に反対したこともあった。；さあ、この議案を上下両議院に通過させ、これを明後日提出するのじゃ。；議会は休会前の4月16日深夜から午前1時の間に12の議案を通した。；この議案を通すことは、社会の反感を買うことにならないでしょうか。；フランス議会ではレックス・シューマンの議案通過に大いに貢献した。；その権力を手にした彼女だったが、議案の決定には生徒会からの承認が必要だった。；各藩と諸学校から選ばれた公務人で構成され、議案提出権を有した。；例えば議会での議案の採決は議員がいかなる投票をしたか明らかにするため公開を原則とする。；だからこそ、この銀行のために第五号議案に反対しているのです。；フォックスは支持基盤が崩れてきたこともあり、以降は議案提出を拒否した。；四省六部の長が居並ぶなかで、いつもと同じように次々と議案が処理されていく。；それにもかかわらず、最初に提出された議案は満場一致で可決されてしまった。；議会では、263対247で政府の行動を非難する議案が通過した。；中には撲れと叫ぶ者も無いでは無かツたが、議案は遂に成立しなかツた。；リンカーンの努力は1865年1月の下院で議案が通過した時に実った。；この議案は満場一致をもって可決され、同年4月1日からの施行となった。；それでは第三号議案につきまして、ご採決をお願いしたいと存じます。；いくつかの大きな組合はそれを議案にし、すべて受け入れられた。；以上のように、拒否権のみならず、議案提出権や議会解散権をも持つ。；ナイキはこの併合計画に反対する合法的な議案通過運動を展開した。；評決参加辞退した朝融王を除く議員全員の一致により議案は可決される。；たとえば第三号議案で、総会屋役に次のような質問をさせた。；議案の必要に応じて企画院総裁なども出席したことがある。</t>
        </is>
      </c>
      <c r="J1893">
        <f>HYPERLINK("https://www.weblio.jp/content/議案", "词义详情")</f>
        <v/>
      </c>
      <c r="K1893">
        <f>HYPERLINK("https://yourei.jp/議案", "查看例句")</f>
        <v/>
      </c>
    </row>
    <row r="1894">
      <c r="A1894" t="inlineStr">
        <is>
          <t>キーホルダー</t>
        </is>
      </c>
      <c r="B1894" t="inlineStr">
        <is>
          <t>成功</t>
        </is>
      </c>
      <c r="C1894" t="inlineStr">
        <is>
          <t>読み方：きーほるだー
鍵(かぎ)を束ねて携帯するための道具。</t>
        </is>
      </c>
      <c r="D1894" t="inlineStr">
        <is>
          <t>キーホルダー型；キーホルダーやtシャツ；キーホルダーつき</t>
        </is>
      </c>
      <c r="F1894" t="inlineStr">
        <is>
          <t>オリジナルキーホルダー</t>
        </is>
      </c>
      <c r="H1894" t="n">
        <v>29</v>
      </c>
      <c r="I1894" t="inlineStr">
        <is>
          <t>それは船の錨の形をしたキーホルダーで、かなり古いもののようでした。；キーホルダーからは、すでに和子のマンションの部屋の鍵は消えていた。；ちなみにサイズは以前より小さくなり、キーホルダーサイズになっている。；幸いバイクのキーはアパートの鍵などと一緒にキーホルダーに付いていた。；慎も家の鍵のついたキーホルダーを助手席においたままドアを閉めていた。；thumb|キーホルダーは複数の鍵をまとめるのによく使われている。；オズボーンの雄牛はステッカーやキーホルダーなどにも使用されている。；雅子は袋から空の財布とキーホルダーを取り出し、穴の中に投げ込んだ。；凝ったものになると、穴を開けてキーホルダーとして吊すこともあった。；キーホルダーや携帯電話のストラップにできる小型版も作られるようになった。；キーホルダーでも単純なものでは、単に鍵を保持するためだけの機能しか持たない。；また、そこで描かれたイラストを集めたミニキーホルダーも販売されている。；太田は七組の自分の席の机の中にキーホルダーを持っていた。；本人からキーホルダーを買うとサインと絵を書いて送ってくれる。；カギには、赤い合成樹脂のキーホルダーがついていたのを覚えている。；イクスピアリで買ってきた似たようなキーホルダーを、私は出しそびれた。；それは菊池が持っていたキーホルダーの飾りに間違いなかった。；でも、あなたが眠ってしまったあと、私は何度もそのキーホルダーを眺めました。；あなたがお持ちの白いオットセイのキーホルダー、あれは梨花のですのよ?；沙耶は、キーホルダーには覚えがあるが、鍵には覚えがないという。；それはキーホルダーが付いた鍵のようなものだった。；ガラスの器の横には、さっきこの家の住人が使ったキーホルダーつきの鍵が置いてあった。；縮小した食品サンプルをキーホルダーに加工して販売する業者も存在する。；キーホルダーは1つのみつけてもよいが、生徒手帳より大きくてはいけない。；その部屋の鍵は、長峰自身の部屋の鍵と一緒に、キーホルダーにつけられていた。；関谷がキーホルダーの並んだ棚を見ていると、妻が隣に来た。；表のポケットには、ハンカチとキーホルダー、それに、鍵が一個入っていた。；いつの間につけたのか、猫の尻尾のような毛が、キーホルダーについていた。；鞄の取っ手につけていたお気に入りのキーホルダーが外れて転がっていた。</t>
        </is>
      </c>
      <c r="J1894">
        <f>HYPERLINK("https://www.weblio.jp/content/キーホルダー", "词义详情")</f>
        <v/>
      </c>
      <c r="K1894">
        <f>HYPERLINK("https://yourei.jp/キーホルダー", "查看例句")</f>
        <v/>
      </c>
    </row>
    <row r="1895">
      <c r="A1895" t="inlineStr">
        <is>
          <t>黄色い</t>
        </is>
      </c>
      <c r="B1895" t="inlineStr">
        <is>
          <t>成功</t>
        </is>
      </c>
      <c r="C1895" t="inlineStr">
        <is>
          <t>読み方：きいろい
［形］黄色である。黄色をしている。「—・い花」</t>
        </is>
      </c>
      <c r="D1895" t="inlineStr">
        <is>
          <t>黄色い声(2%)；黄色い歯；黄色い光；黄色い部屋；黄色い目</t>
        </is>
      </c>
      <c r="E1895" t="inlineStr">
        <is>
          <t>高い；鋭い；黄色；甲高い；けたたましい</t>
        </is>
      </c>
      <c r="F1895" t="inlineStr">
        <is>
          <t>黄色い葉；黄色い星；黄色い炎；黄色い灯；黄色いテープ</t>
        </is>
      </c>
      <c r="G1895" t="inlineStr">
        <is>
          <t>黄色い顔；黄色いリボン；黄色いベスト運動；黄色い家；黄色い猿</t>
        </is>
      </c>
      <c r="H1895" t="n">
        <v>29</v>
      </c>
      <c r="I1895" t="inlineStr">
        <is>
          <t>仮面の犯罪王と黄色い猫が同一の猫なのか、公式には発表されていない。；火星の黄色い雲や砂嵐を記録したのはこれが初めてであるとされている。；腹部は短くなっており、各節は黒だが後ろの縁沿いが黄色くなっている。；上記の黄色い唇弁の種も、上記のように別属とされるようになっている。；窓の障子はだいぶ高くなった日の光で前よりもさらに黄色く輝いていた。；この豊かな歴史から、町は黄色い石でできた住宅を多数保存している。；子供たちは、そのために彼のひげが黄色く汚れてしまったんだと言う。；ここへ来た時は、まだ白楊の葉が、こんなに黄色くなつてませんでした。；一年に二度ずつ黄色くなる欄の外の眺めは緑に調和して画のように見えた。；太陽はその石の灰色の頭を黄色く照らして、私に夏のことを思わせました。；建築で使用された小さな黄色いレンガはオランダ共和国から輸入された。；男たちの目が黄色くなったかれの顔や頬の痣に注がれるのがわかった。；その後方で、黄色い服の男性が青い上着の男性に視線を投げかけている。；大時計の黄色い針が日本のものよりも白みがかっているとの指摘もある。；顔の肌も洗われたばかりで、老人らしい汚点もなく黄色く光って見える。；よくあれで身体が黄色くならぬものだと不思議に思ったものです。；なお、幼年期には星がなく縁のある黄色い帽子をかぶっていたこともある。；空がほぼ常に暗い黄色い雲に覆われており、太陽が照らすことは稀である。；日本では視覚障害者向けに黄色い点字ブロックを並べていることが多い。；長く伸びたヒゲの先はカールしており、額には黄色いW型の模様がある。；タイミングがいいと、針本体に表示されている黄色いゲージが上昇する。；その眼もちょっと黄色くて、そして何にも見ていないもののようだ。；国旗のデザインは海を表す青地に月を表す黄色い丸が配置されている。；あんな黄色くて小さな人間どもに、鉄の船が造れる道理はございません。；二日前に泥の海となったグラウンドは、黄色く乾いた大地に戻っている。；花の上に屈み込んだ彼女の顔は、花から反射される光で黄色く輝いていた。；黄色くて雲の様にふわふわの体に、ひよこの様な顔が付いた姿をしている。；更にユダヤ人に黄色いバッジと帽子を被る事を義務付けたりもしている。；この活動は1965年に開始され、当初は黄色い腕章が配布されていた。</t>
        </is>
      </c>
      <c r="J1895">
        <f>HYPERLINK("https://www.weblio.jp/content/黄色い", "词义详情")</f>
        <v/>
      </c>
      <c r="K1895">
        <f>HYPERLINK("https://yourei.jp/黄色い", "查看例句")</f>
        <v/>
      </c>
    </row>
    <row r="1896">
      <c r="A1896" t="inlineStr">
        <is>
          <t>議員</t>
        </is>
      </c>
      <c r="B1896" t="inlineStr">
        <is>
          <t>成功</t>
        </is>
      </c>
      <c r="C1896" t="inlineStr">
        <is>
          <t>読み方：ぎいん
国会や地方議会など合議体の機関を構成し、議決権を有する者。</t>
        </is>
      </c>
      <c r="D1896" t="inlineStr">
        <is>
          <t>議員たち(3%)；議員数；議員会；議員活動；議員達</t>
        </is>
      </c>
      <c r="E1896" t="inlineStr">
        <is>
          <t>衆議院議員；代議士；代議員</t>
        </is>
      </c>
      <c r="F1896" t="inlineStr">
        <is>
          <t>アメリカ合衆国上院議員；所属議員；貴族院議員；共和党議員；常議員</t>
        </is>
      </c>
      <c r="G1896" t="inlineStr">
        <is>
          <t>議員選挙；議員団；議員立法；議員辞職；議員会館</t>
        </is>
      </c>
      <c r="H1896" t="n">
        <v>29</v>
      </c>
      <c r="I1896" t="inlineStr">
        <is>
          <t>在任期間の同じ議員が複数いる場合は以前の公職経験期間で差をつける。；総裁選のさなかに野中はこれを理由に議員引退を表明する事態となった。；アメリカの議会では議員間の先任順をルール化していることが多い。；インド人系が議員に選出されるのは1926年になってからのことだった。；院内会派とは、議会内で活動を共にする複数の議員で結成される団体。；議員とは、議会などの合議制の機関を組織し、議決権を有する者を指す。；その中には対外戦争を通じて国王の不実を暴露しようとする議員もいた。；また、その国の地方自治体にも議会が存在し、それを構成する議員がいる。；アメリカ合衆国上院議員の場合は共和党議員を選んできた歴史がある。；一方で議員達にとっての議会とは、地元の陳情を処理する場であった。；議員である有力者が議会運営のために作った名望家政党が初期の政党である。；中道派議員のフランソワ・バイルがこの地域では高い得票率を得ている。；攻撃の対象が誰なのかわからない以上、全ての議員が震えあがった。；第2回以降は欠員補充のため下位当選の何人かが半期議員となっている。；一院制の議会は政党制ではなく、個人で選出される議員で構成される。；議員達はその名前を言うように要求したが、ロベスピエールは拒否。；社会党出身の民主党議員へ政治献金を行っていたことも判明している。；政治的な発言力も強く、連邦政府議員にも息のかかった者がいる。；先述の通り、総選挙で各州から選出された議員によって構成されている。；美濃部議員の釈明演説が新聞に掲載されると、攻撃はかえって増幅した。；参議院と同じく全国民を代表する、選挙により選出された議員で組織される。；議員だけではなく貴族たちからも批判の声は高まっていた。；スタントンなどでとられている方式で、市長は議会で議員の中から選ばれる。；穀物法を廃止したことに反対していたため、保守党の議員となった。；ある議員が任期制限に掛かった場合に別の院で出馬するのはよくある話である。；その後、断りもなく審議を抜けだし、議員食堂にいるところを発見された。；元老院と同様に、議員はアルコンのような官職の経験者に限定された。；議会の上下両院と州議会議員で構成される選挙会によって選出される。；同年に貴族院が発足し、公爵だったために無選挙でその議員となる。</t>
        </is>
      </c>
      <c r="J1896">
        <f>HYPERLINK("https://www.weblio.jp/content/議員", "词义详情")</f>
        <v/>
      </c>
      <c r="K1896">
        <f>HYPERLINK("https://yourei.jp/議員", "查看例句")</f>
        <v/>
      </c>
    </row>
    <row r="1897">
      <c r="A1897" t="inlineStr">
        <is>
          <t>消える</t>
        </is>
      </c>
      <c r="B1897" t="inlineStr">
        <is>
          <t>成功</t>
        </is>
      </c>
      <c r="C1897" t="inlineStr">
        <is>
          <t>読み方：きえる
［動ア下一］［文］き・ゆ［ヤ下二］
１感覚でとらえられなくなる。
㋐姿・形などが見えなくなる。「煙が空に—・える」「男は人ごみの中に—・えた」
㋑音が聞こえなくなる。「足音が—・える」
㋒におい・味・痛みなどが感じられなくなる。「臭みが—・える」
２それまであったものが、そこからなくなる。
㋐燃えていた火が絶える。また、発していた光がなくなる。「火が—・える」「街の明かりも—・えた」
㋑雪・霜・露などが、とけたり乾いたりして、なくなる。「日陰の雪も—・えた」
㋒世間の評判、人の感情などが薄れてなくなる。「やがてうわさも—・えるだろう」「憎しみが—・える」
㋓身に備わっていたものが、なくなる。「彼特有の辛辣(しんらつ)さが—・えた」「初出場の硬さが—・える」
㋔埋め合わせがついて、なかったものとなる。「帳簿上の赤字はこれで—・えた」
㋕当然存在するはずの物や人が、なくなったり、いなくなったりする。「宝石が金庫から—・えていた」「人影の—・えたスタジアム」
３
㋐正気を失う。
「目も眩(く)れ、心も—・えて覚ゆる」〈平家・二〉
㋑死ぬ。
「やがて—・え給ひなば、かひなくなむ」〈源・若菜上〉</t>
        </is>
      </c>
      <c r="D1897" t="inlineStr">
        <is>
          <t>消えるだろ；消えることなく；消える間もなく；消える音韻規則</t>
        </is>
      </c>
      <c r="E1897" t="inlineStr">
        <is>
          <t>死去；死亡；死ぬ；消滅；去る</t>
        </is>
      </c>
      <c r="F1897" t="inlineStr">
        <is>
          <t>決して消える；すぐ消える；やがて消える；溶けて消える；ふっと消える</t>
        </is>
      </c>
      <c r="G1897" t="inlineStr">
        <is>
          <t>消えるヒッチハイカー</t>
        </is>
      </c>
      <c r="H1897" t="n">
        <v>29</v>
      </c>
      <c r="I1897" t="inlineStr">
        <is>
          <t>そんな中、過去を変えると今が消えてしまう可能性があることを知った。；網は仕掛けられたままとなっており、人間だけが忽然と消えたのである。；町そのものは存続したが、賑わいが消え人口も減少していくことになる。；これらの症状が出たり消えたりしても、すぐに医師に連絡する必要がある。；また、3つ並んだ時にその玉に接触している同じ色の玉も一緒に消える。；ブロックが主人公の頭上で消えずに落ちてくると押し潰されてミスになる。；敵が落としたアイテムは取らずに一定時間が経過すると消えてしまう。；このときに設置された池田中学校は1881年には記録から消えている。；初七日が過ぎても、死を悼むファンの輪が現場から消える事はなかった。；今後の変動はあるかもしれないが、この科の名は消える可能性が大きい。；日本各地で戦があり、大大名に小さな家は飲み込まれ消えていっていた。；そのため、名古屋城下の賑わいは火が消えたようになったとされている。；この時点では外堀は消え、中堀も一部を除きほぼ消滅しているとわかる。；山は雪で覆われることが多いものの、その雪は雨によってすぐに消える。；警察にこの件を届けた桔梗だが、部屋に戻ると間淵の死体は消えていた。；ただし召喚獣は階を移動すると消え、呼び出すたびに元気が消費される。；UFOが消えたり現れたりすることを空間移動ではなく時間移動と解釈する。；発砲したところ、弾は翼膜を貫通したがそのままどこかへ消えたという。；八郎はその後を追いかけたが錦戸太郎の墓までくると消えてなくなった。；一方伊予鉄道との合併話は開業当時から浮かんでは消えの繰り返しであった。；室内で食べると臭気がなかなか消えないので、屋外で食べることが多い。；これを捕まえようとしたその時、大きな雷が鳴り響き、女の姿は消えた。；この時点をもってMC88000は消え行く運命となったのである。；その他の交直両用電車でも照明は消えないが、一部電気系統が停止する。；語ろうとしなければ問題はどんどん深刻化し消えることはないのです。；これは呪を唱え目、鼻、口から水では消えない火や煙を出す術である。；鉄工では、線や文字が炎や水でも消えないため、現在でも使用されている。；しかしこの場合、消えるのは汐音ではなく二人の息子である翔司だった。；部屋はほぼ密室状態にあったにもかかわらず、犯人はどうやって消えたのか。</t>
        </is>
      </c>
      <c r="J1897">
        <f>HYPERLINK("https://www.weblio.jp/content/消える", "词义详情")</f>
        <v/>
      </c>
      <c r="K1897">
        <f>HYPERLINK("https://yourei.jp/消える", "查看例句")</f>
        <v/>
      </c>
    </row>
    <row r="1898">
      <c r="A1898" t="inlineStr">
        <is>
          <t>記憶</t>
        </is>
      </c>
      <c r="B1898" t="inlineStr">
        <is>
          <t>成功</t>
        </is>
      </c>
      <c r="C1898" t="inlineStr">
        <is>
          <t>読み方：きおく
［名］(スル)
１過去に体験したことや覚えたことを、忘れずに心にとめておくこと。また、その内容。「—に新しい出来事」「少年時代のことを今でも—している」「—力」
２心理学で、生物体に過去の影響が残ること。また、過去の経験を保持し、これを再生・再認する機能の総称。
３コンピューターに必要なデータを蓄えておくこと。</t>
        </is>
      </c>
      <c r="D1898" t="inlineStr">
        <is>
          <t>記憶力；記憶違い；記憶容量；記憶領域；記憶バンク</t>
        </is>
      </c>
      <c r="E1898" t="inlineStr">
        <is>
          <t>覚え；記念；思い出；記す；覚えている</t>
        </is>
      </c>
      <c r="F1898" t="inlineStr">
        <is>
          <t>古い記憶；ご記憶；御記憶；はっきりと記憶；おぼろげな記憶</t>
        </is>
      </c>
      <c r="G1898" t="inlineStr">
        <is>
          <t>記憶喪失；記憶装置；記憶障害；記憶媒体；記憶に残っていない</t>
        </is>
      </c>
      <c r="H1898" t="n">
        <v>29</v>
      </c>
      <c r="I1898" t="inlineStr">
        <is>
          <t>処理中に使用可能な記憶領域が枯渇した場合の回復は比較的単純である。；戦闘後は正気を取り戻すも洗脳されていた頃の記憶は覚えていない様子。；自分の名前以外の記憶を喪失していたデュウをエイハブは仲間に加えた。；また、力を加減すれば記憶や精神の一部だけを破壊することも可能である。；フライトの記録をデジタルで記憶させられる物など高機能化が進んでいる。；これは「ホロコーストの記憶を風化させないための施設」とされている。；気がつくと2時間半経過しており、その間の記憶は一切失われていたという。；他にも道などを正確に記憶しており一度行ったところなどでは距離や時間なども分かる。；電源を切っても記憶内容が保持される不揮発性メモリの一種でもある。；記憶にある瞬間瞬間と現在瞬間が比較される時、時間概念が誕生するわけである。；記憶を助けるための整理が必要であり、私は一つの分類法を発明した。；物語を考え、その話に記憶したい対象を登場させる方法である。；次男は当時物心がついておらず、父親の記憶はほとんどないという。；安は、彼女がいつもハイヒールを履いていたこともよく記憶している。；この大会はディエゴ・マラドーナの大会として人々に記憶されている。；大衆の記憶に残り、以来、アイルランドの民族主義運動でも言及される。；また外部記憶スペースを節約するための同様の技法も存在している。；子供達を愛し、積極的に遊んだ良寛の行動は、人々の記憶に残っている。；このシリーズは様々な面で記憶に残るものとなった。；しかし、この時の記憶は彼にとって決して好ましいものとはならなかった。；記憶に残る演技とカリスマ的な存在感で批評家からも尊敬された。；両方とも誤りで、本人の記憶違いにより記録されてしまったと推測している。；父は早くに他界したためミュンヒンガーは記憶にないと語っている。；応用ではこの記憶の必要性はいつも決まって無視されている。；頭部に触れるだけで相手の記憶と精神を破壊する能力を持つ。；その上でその候補者が本当の化身かどうかを前世の記憶を試して調査する。；しかし、完全に記憶が戻っていないかすかべ防衛隊の心はバラバラだった。；仏陀は前世の記憶を持ち、自身の前世について語ったと伝えられている。；しかし、それはほんの軽い遊びであり、以降は2人の記憶から消えていった。</t>
        </is>
      </c>
      <c r="J1898">
        <f>HYPERLINK("https://www.weblio.jp/content/記憶", "词义详情")</f>
        <v/>
      </c>
      <c r="K1898">
        <f>HYPERLINK("https://yourei.jp/記憶", "查看例句")</f>
        <v/>
      </c>
    </row>
    <row r="1899">
      <c r="A1899" t="inlineStr">
        <is>
          <t>気温</t>
        </is>
      </c>
      <c r="B1899" t="inlineStr">
        <is>
          <t>成功</t>
        </is>
      </c>
      <c r="C1899" t="inlineStr">
        <is>
          <t>読み方：きおん
大気の温度。ふつう地上1.5メートルの高さの通風のよい日陰で計った温度をいい、百葉箱に入れた温度計を用いる。</t>
        </is>
      </c>
      <c r="D1899" t="inlineStr">
        <is>
          <t>気温が低い(2%)；気温差(2%)；気温が高い(2%)；気温が低く(2%)；気温が高く(2%)</t>
        </is>
      </c>
      <c r="E1899" t="inlineStr">
        <is>
          <t>温度；体温；熱度</t>
        </is>
      </c>
      <c r="F1899" t="inlineStr">
        <is>
          <t>過去最高気温；過去最低気温；低い気温；高い気温；比べて気温</t>
        </is>
      </c>
      <c r="G1899" t="inlineStr">
        <is>
          <t>気温逆転；気温の前日比</t>
        </is>
      </c>
      <c r="H1899" t="n">
        <v>29</v>
      </c>
      <c r="I1899" t="inlineStr">
        <is>
          <t>洞窟の中は外よりも気温が低く、生物環境なども周囲とは大きく異なる。；道路上などに設置してある気温・路温計でもそれを見ることが出来る。；近隣の海からの影響を受けた地域との気温の違いに気づくことになる。；氷河期を防ぐために地球の気温を上昇させることが目的とされている。；このため気温の低い、日の出前の早朝に作業を行うことが一般的である。；これらの手法で、過去2000年間の北半球気温変化が再現されている。；当時は気温の測定者が各自それぞれ独自の工夫をしていたようである。；火山噴火によると思われる気温低下の例には次のようなものがある。；夏は30を超す日も多くある一方、冬は気温が氷点下となることも多い。；するとエマグラム上ではこの空気の気温は乾燥断熱線に沿って移動する。；冬は変化が大きく、氷点下の気温になったり夜に霜が降りることが多い。；冬は積雪は少ないものの、一度降った雪は気温が低いので溶けずに残る。；秋から冬を挟み春までのよく晴れた風の弱い夜間に気温が下がりやすい。；温度計を使った気温の測定には、その誤差による不確実さの指摘もある。；気温の変化は次第に北上していき、冬から春、春から夏へと移り変わる。；そのため特に冬季は奈良北西部では生駒山の頂上に近い低い気温となる。；その後気温の高い地域などで雪が落下し、地上設備を損傷させることがある。；太陽は光源であり、同時に熱源でもあるから、その間は気温が高くなる。；春と秋は季節の移り変わりの時期で、一般に穏やかで涼しい気温になる。；一般の園芸植物に比較し水や光、気温などの条件で栽培しづらい種も多い。；時には、大阪・名古屋と東京との気温差が10度以上になる日もある。；また冬は北西の季節風の強い日が多く、実際の気温以上に寒く感じられる。；空気は稀薄、雨は比較的多く、一日の気温差は大きく、冬と春は風が強い。；気候は変わりやすく、市街地の気温は周囲よりも数度高く降雨量も多い。；隣接自治体と比べても気温差が激しいのが鳩山町の特徴と言える。；東は駿河湾に接していて、冬でも気温が下がらず、積雪もほとんどない。；豚は気温制御された建物で飼育されており、一切屋外に出ないこともある。；スピッツベルゲン島南部では北部や西部よりもわずかに気温が高い。；四季の区分のある土地では最も気温の高い、3か月程度の期間である。</t>
        </is>
      </c>
      <c r="J1899">
        <f>HYPERLINK("https://www.weblio.jp/content/気温", "词义详情")</f>
        <v/>
      </c>
      <c r="K1899">
        <f>HYPERLINK("https://yourei.jp/気温", "查看例句")</f>
        <v/>
      </c>
    </row>
    <row r="1900">
      <c r="A1900" t="inlineStr">
        <is>
          <t>機会</t>
        </is>
      </c>
      <c r="B1900" t="inlineStr">
        <is>
          <t>成功</t>
        </is>
      </c>
      <c r="C1900" t="inlineStr">
        <is>
          <t>読み方：きかい
事をするのに最も都合のよい時機。ちょうどよい折。チャンス。「抜け出す—をうかがう」「絶好の—を逃す」
[補説]書名別項。→機会</t>
        </is>
      </c>
      <c r="D1900" t="inlineStr">
        <is>
          <t>機会をつかん</t>
        </is>
      </c>
      <c r="E1900" t="inlineStr">
        <is>
          <t>時；日；場合；頃；機</t>
        </is>
      </c>
      <c r="F1900" t="inlineStr">
        <is>
          <t>いい機会；よい機会；あらゆる機会；演奏機会；機会を与へら</t>
        </is>
      </c>
      <c r="G1900" t="inlineStr">
        <is>
          <t>機会費用；機会主義；機会の平等；機会損失；機会平等</t>
        </is>
      </c>
      <c r="H1900" t="n">
        <v>29</v>
      </c>
      <c r="I1900" t="inlineStr">
        <is>
          <t>このため現地での日本関連イベントに招聘されて公演をする機会が多い。；メンバーにもそれぞれレコーディングの機会が与えられることとなった。；現在では演奏される機会は多くはないとはいえ、録音も少なからずある。；ここではさらに、プロレベルのパントマイム演劇芸術を学ぶ機会もある。；神がもう一度跳ぶ機会を与えてくれた今大会で競技生活を終わりたい。；なかなかその機会がなくても、もうお前そんなこと言ってる歳じゃないぞと。；は現役期間とタイトル戦の終了・創設時期の関係で獲得機会のなかったもの。；地区議会は市区に関わる質問・議論を聞くために重要な機会である。；これは西部の州で二大政党の全国大会が開催される初の機会となった。；居合術はわずかに各種大会に演武の機会を与えられるに過ぎなかった。；彼らは日本軍による占領は独立への機会になったと考えています。；しかし2000年代頃からはむしろ作詞家が注目される機会が増えている。；しかし義務化によって教育の機会を得られるようになった事は大きい。；サルフォード・シティにとっても名前を知ってもらういい機会になった。；これはヴォルデモートに彼の考える恐ろしい秩序を提供する機会を与える。；現在バリトンという楽器は非常に珍しいため演奏される機会は少ない。；古来から人の目に触れる機会が多い種であるため多くの地方名がある。；放送は終了したが、復活できる機会があれば復活させたいと最終回で語っていた。；しかし、まだ世界の全ての人がこの能力を獲得する教育機会を持っているわけではない。；ここで彼は黄帝などいにしえの著作に触れる機会を多く得たと伝わる。；しかし、現在でも中国ではアワ粥などにして、アワを食べる機会は多い。；このように専門化した大きな機会を持つ職業である。；野沢雅子とは共演の機会も多く、夫婦以上に一緒にいる時間が長い時期もあった。；これが公の場に姿を見せた最後の機会となった。；一部の女性は、大学で単位を得る機会すら持っていたのだ。；国歌に認定されるまでこの曲は様々な機会に使われていた。；英国の10万人を超える人々にボランティアの機会を提供している。；彼らが帰国した時には、多くの新聞が彼らの旅をスキャンダルの機会だと捉えていた。；それを機会に国名に用いる文字が改定され、現在までつづく表記となった。</t>
        </is>
      </c>
      <c r="J1900">
        <f>HYPERLINK("https://www.weblio.jp/content/機会", "词义详情")</f>
        <v/>
      </c>
      <c r="K1900">
        <f>HYPERLINK("https://yourei.jp/機会", "查看例句")</f>
        <v/>
      </c>
    </row>
    <row r="1901">
      <c r="A1901" t="inlineStr">
        <is>
          <t>機械</t>
        </is>
      </c>
      <c r="B1901" t="inlineStr">
        <is>
          <t>成功</t>
        </is>
      </c>
      <c r="C1901" t="inlineStr">
        <is>
          <t>読み方：きかい
１動力を受けて、目的に応じた一定の運動・仕事をするもの。
２実験・測定・運動競技などに使う装置・道具。
３自分の意思を失ったように、指令どおりに動いたり、物事を繰り返したりすること。
[補説] 「工作機械」「包装機械」のように、動力を用いて操作する装置（マシン）を「機械」、「測定器械」「光学器械」のように、人間が直接動かし、比較的小型で小規模な装置や道具（インストルメント）を「器械」と使い分けることが多い。書名別項。→機械</t>
        </is>
      </c>
      <c r="D1901" t="inlineStr">
        <is>
          <t>機械的(6%)；機械式(4%)；機械類；機械化；機械装置</t>
        </is>
      </c>
      <c r="E1901" t="inlineStr">
        <is>
          <t>システム；機関；機器；マシン；機材</t>
        </is>
      </c>
      <c r="F1901" t="inlineStr">
        <is>
          <t>自動機械；巨大な機械；機械力；主機械；機械船</t>
        </is>
      </c>
      <c r="G1901" t="inlineStr">
        <is>
          <t>機械化；機械室；機械工学；機械語；機械学習</t>
        </is>
      </c>
      <c r="H1901" t="n">
        <v>29</v>
      </c>
      <c r="I1901" t="inlineStr">
        <is>
          <t>製造機械が使われるようになり安価に大量生産することも可能になった。；発売当初は職人の手で行われていたが、現在はすべて機械化されている。；博物館には歴史的な飛行機や自動車、機械、装置などが展示されている。；機械学習では、機械がデータを利用してその性能を向上させようとする。；初期のシステムは同期式コード設計だったが、機械の同期が難しかった。；デカルトは、人間も含めて全ての生物は神が制作した機械だと見なした。；これは現在のような機械力を用いた大規模な雪像づくりの端緒となった。；さらに頻繁には、機械やこの目的のために設計された道具を使って行われる。；機械と生命を結合させる改造技術に長けているボーグ星から来た宇宙人。；彼はその設計を公表したため、世界各国でそれに基づいた機械が作られた。；更にビス一本でもと形容されるほど機械類を触れることなく制御できる。；戦争機械の完成を阻止するには全工場を速やかに破壊せねばならない。；攻殻シリーズの時代では主に機械的な素材を使用した補完が描かれている。；ビデオソフトを見るように、思いのままの夢を楽しむことができる機械。；それらの作業を機械化するには漫画に出てくるようなロボットの開発が必要である。；こうなると機械は映像やロボット工学の技術も導入しなければならなくなる。；この戦争では史上初めて近代的な機械技術が主戦力として投入された。；現在ではVTRなど紙以外の記録媒体の処理用の機械も作られている。；商品の販売者の側から見れば、自動で販売を行ってくれる機械である。；一方、機械抄きの場合は連続して紙をすくため、高速で紙を製造できる。；この機械による生産の結果、締め具の寸法が標準化されることになった。；油漏れ・錆・その他水による機械系統への損傷の徴候は見られなかった。；これは大量に生産および販売された最初の機械式紙綴器であった。；同分局で製作された機械の中で現存する唯一のものである。；どんなに複雑な機械装置でも、単純な機械要素を組み合わせて構成される。；彼らはこの闘争に中立であり、両組織に種類を問わず機械を供給している。；家を留守にする際、家に何かが起きても出先で知ることのできる機械。；機械式の武器の攻撃機構にはいくつか共通する構造がある。；大黒埠頭には完成自動車および大型建設用機械の輸出用バースがある。</t>
        </is>
      </c>
      <c r="J1901">
        <f>HYPERLINK("https://www.weblio.jp/content/機械", "词义详情")</f>
        <v/>
      </c>
      <c r="K1901">
        <f>HYPERLINK("https://yourei.jp/機械", "查看例句")</f>
        <v/>
      </c>
    </row>
    <row r="1902">
      <c r="A1902" t="inlineStr">
        <is>
          <t>危害</t>
        </is>
      </c>
      <c r="B1902" t="inlineStr">
        <is>
          <t>成功</t>
        </is>
      </c>
      <c r="C1902" t="inlineStr">
        <is>
          <t>読み方：きがい
身体・生命・物品を損なうような危険なこと。「人体に—を及ぼす」「—を加える」</t>
        </is>
      </c>
      <c r="D1902" t="inlineStr">
        <is>
          <t>危害を加えるつもり(2%)；危害半径；危害防止；危害を加える恐れ；危害範囲</t>
        </is>
      </c>
      <c r="E1902" t="inlineStr">
        <is>
          <t>傷；負傷；怪我；損傷；損害</t>
        </is>
      </c>
      <c r="F1902" t="inlineStr">
        <is>
          <t>あなたに危害；身体的危害；直接危害；重大な危害；肉体的な危害</t>
        </is>
      </c>
      <c r="H1902" t="n">
        <v>29</v>
      </c>
      <c r="I1902" t="inlineStr">
        <is>
          <t>相手は武器を持っていないのだから、危害を加えられる恐れは全然ない。；父は息子に危害を避けるため夢のことを兄たちに言わないように言った。；わしにいかなる危害もおよばぬようにするのがおまえたちの任務である。；しかしその動物は別にわれわれに危害を加える様子はありませんでした。；神は人間に何一つ危害を加えられはしないということを知っていたのだ。；人間に育てられたことから性質は温和であり、人間には危害を加えない。；ところが地獄では誰も危害と責苦以外のものに仕えることはありません。；そして、それは危害を加えた上、さらに侮辱をしていることになるのか?；あの痴れ者どもを、人に危害を加えられぬ地へ追放したのは正しかった。；その時ですら、あんたは少しも同情せず、加えた危害にも満足しなかった。；しかし、少なくともそれ自体はわれわれに危害を加えることはできない。；たとえ他人から危害をこうむったとしても、そうしてはいけないんだね。；本記事は、海中で人間に直接危害を与える可能性がある生物の一覧である。；かれが恐れていたのは、何者からか身体的な危害を受けることだったんですよ。；いったい人は危害のことなど考えずに、正直一途には生きられないものか?；この瞬間にも宝貝使いが街の人々に危害を与えるかもしれないのよ。；復讐のために罪なき人間に危害を加えることも辞さない悪辣な面もある。；もちろん、あなたの身に危害を及ぼすような約束は一切いたしません。；かれらには、主人に危害を加える相手を殺すようにプログラムされています。；たとひ潰倒しても人の生命に危害を與ることは先ないといつてもよい。；彼が、ぼくに何か危害を及ぼしていることが絶対にないという証拠はない。；人間に危害を及ぼすおそれのある動物や、不要となった動物が対象になる。；悪党どもが束になってかかってもかなわないほどの危害を及ぼしている。；何事があってもあなたは危害を受けぬことを忘れぬように。；奇怪な姿のために恐ろしい妖怪だが、人間には危害を加えないという。；奴隷が危害を加えられたなら、負傷した奴隷は代償として解放された。；あなたの受けられた危害には原因となるものがあるのです。；家族への危害を恐れたジェンは、家族の安全と引き換えに帰還に同意する。；戦闘時の配置も、後方爆風が味方に危害を与えない場所が選ばれる。</t>
        </is>
      </c>
      <c r="J1902">
        <f>HYPERLINK("https://www.weblio.jp/content/危害", "词义详情")</f>
        <v/>
      </c>
      <c r="K1902">
        <f>HYPERLINK("https://yourei.jp/危害", "查看例句")</f>
        <v/>
      </c>
    </row>
    <row r="1903">
      <c r="A1903" t="inlineStr">
        <is>
          <t>議会</t>
        </is>
      </c>
      <c r="B1903" t="inlineStr">
        <is>
          <t>成功</t>
        </is>
      </c>
      <c r="C1903" t="inlineStr">
        <is>
          <t>読み方：ぎかい
公選された議員で組織され、選挙民の意思を代表して法律などを決定することを目的とする合議制の機関。国会・都道府県議会・市区町村議会など。</t>
        </is>
      </c>
      <c r="D1903" t="inlineStr">
        <is>
          <t>議会議長；議会内；議会軍；議会運営；議会改革</t>
        </is>
      </c>
      <c r="E1903" t="inlineStr">
        <is>
          <t>大会；協定；集会；国会；党大会</t>
        </is>
      </c>
      <c r="F1903" t="inlineStr">
        <is>
          <t>地域議会；制定議会；新議会；下院議会；地区議会</t>
        </is>
      </c>
      <c r="G1903" t="inlineStr">
        <is>
          <t>議会選挙；議会派；議会政治；議会制民主主義；議会解散</t>
        </is>
      </c>
      <c r="H1903" t="n">
        <v>29</v>
      </c>
      <c r="I1903" t="inlineStr">
        <is>
          <t>アメリカでは議会の多数党と大統領の所属政党が一致するとは限らない。；リュティはソ連の要求を議会に知らせず、ドイツの要求の検討を行った。；ウィリアムは議会の意思に関係なく首相を任命した最後の王になった。；自治団体には地方議会が編成され、自治体の長を議会が選出するとした。；議会は大統領の責任を追及できない反面、大統領は議会を解散できない。；父王と違い、しばしば議会に戦費の支出を依頼しなければならなかった。；人々の基本的人権を規定するための300以上の法案が議会を通過した。；議会の無関心の一方でロベスピエールはこの事件に注目して記事を執筆した。；次第に議会と国王との対立から議会の地位をめぐる議論が紛糾していった。；地区議会は市区に関わる質問・議論を聞くために重要な機会である。；ただし法律以外の命令は議会の協賛無しでも政府が出すことができた。；行政府の長である首相は議会によって選出され大統領により任命される。；議会で反対論を主張した議員にロベスピエールはこう発言している。；議会で成立した法は例外なく州全体に適用される必要がある。；しかし王の要求は受け入れられず国王と議会が軍事的に対立することになった。；大統領は首相その他の大臣の任命・指名に関して議会の同意を得る必要がある。；議会はオランダ領アンティル全体のものの他、各島にも地方議会がある。；議員とは、議会などの合議制の機関を組織し、議決権を有する者を指す。；大学や議会、ローマ時代から維持していた自治特権はすべて廃止された。；また、その国の地方自治体にも議会が存在し、それを構成する議員がいる。；議員である有力者が議会運営のために作った名望家政党が初期の政党である。；各国の議会の呼称には、それぞれの歴史や経緯が含まれている。；今後、各町村がそれぞれの議会で正式に決めるものと確信している。；今は議会の会期中であり、私が行わねばならない執務も山のようにあります。；しかし2008年の憲法改正により一度廃止され、権限は議会に移った。；財産区は独自の議会を持ち、地区内の道路や運動場整備を行っている。；一院制の議会は政党制ではなく、個人で選出される議員で構成される。；この議会はエドワードによる反動を許した議会としてと呼ばれている。；翌7日にはデモ隊が暴徒化して議会や大統領府を襲撃する事態に発展した。</t>
        </is>
      </c>
      <c r="J1903">
        <f>HYPERLINK("https://www.weblio.jp/content/議会", "词义详情")</f>
        <v/>
      </c>
      <c r="K1903">
        <f>HYPERLINK("https://yourei.jp/議会", "查看例句")</f>
        <v/>
      </c>
    </row>
    <row r="1904">
      <c r="A1904" t="inlineStr">
        <is>
          <t>機械的</t>
        </is>
      </c>
      <c r="B1904" t="inlineStr">
        <is>
          <t>成功</t>
        </is>
      </c>
      <c r="C1904" t="inlineStr">
        <is>
          <t>読み方：きかいてき
［形動］
１機械を使って仕事をするさま。
２機械に関する方面。「採掘作業に—なレベルの問題が生じる」
３機械が動くように、意思をもたずに決まった動作を行うさま。「—にページをめくる」
４個々の状況を考慮せず、一律に物事を処理するさま。「—なグループ分け」
５力学的な性質をもつさま。</t>
        </is>
      </c>
      <c r="D1904" t="inlineStr">
        <is>
          <t>機械的刺激；機械的特性；機械的故障；機械的信頼性；機械的エネルギー</t>
        </is>
      </c>
      <c r="E1904" t="inlineStr">
        <is>
          <t>メカニック；力学的；メカニカル</t>
        </is>
      </c>
      <c r="F1904" t="inlineStr">
        <is>
          <t>機械的構造；機械的機構；機械的方法；機械的トラブル；機械的振動</t>
        </is>
      </c>
      <c r="G1904" t="inlineStr">
        <is>
          <t>機械的強度；機械的組織；機械的連帯；機械的霊感説；機械的破壊</t>
        </is>
      </c>
      <c r="H1904" t="n">
        <v>29</v>
      </c>
      <c r="I1904" t="inlineStr">
        <is>
          <t>社会状態が機械的に人を動かすものの如く見られているらしいのである。；何か考へ事でもしてゐるやうに、口を機械的にしか動かしてゐなかつた。；彼は機械的技術や知的技術と区別した上で現代技術には以下があるとする。；ゴリオは自分が何を食べているのかにも気づかないで機械的に食事をした。；アーチャー社は続いて椅子の上昇下降が機械的にできるものを開発した。；あらゆる実際的仕事と同じく、それも習慣のために機械的になっている。；この基本的な性質を用いてある種の機械的センサを構成することができる。；これによってすべての機械的機能の現在と同様の操作が可能になった。；一般的には機械的装置か電気的装置のどちらかが用いられている。；機械的にそうやらねばならぬものとしてやって見たところで、意味ないし。；ふたりの子供は手をつなぎ合って機械的にそのあとについていった。；この映像は機械的故障が原因であるとイランが主張している最中に公開された。；その日が来るとこれらの機械的鳥獣の自由な活動が始まるであろう。；俺の頭はそれを機械的に取り入れて、また機械的に吐き出してしまう。；どちらの問題も機械的方法では簡単な積分が得られるスライスがある。；機械的信頼性は優れていたものの、武装と装甲が貧弱すぎたためである。；それ以上彼に抗議することもなく、私は機械的に彼の云ふ通りにしようとした。；機械的に信号が作られることから、信号波形は規則的な周期振動である。；機械的に行うには、果実の大きさの穴が開いた回転籠が用いられる。；機械的刺激を受けやすい後頭部に始まり、次第に頭部全体に拡大する。；機械的に二、三の通りをたどった後、前に乗って来た電車の停留場に出た。；事実であれば、機械的動力を持つ航空機が飛行した最初の例になる。；しかしそのいわゆる意志の理由なる者は必然論者のいうような機械的原因ではない。；只字を並べるでは、口の先で云う言葉と同じキカイ的作業で出来るだろう。；内部は機械的だった『ザ・ムービー』と異なり有機的な構造をしている。；機械的に永遠に歩き続けることだけが、彼等の全生命のように見えた。；エンジンを操作する微小な悪魔は観察や適当な機械的動作を行う。；光は熱を生じ化学作用を起しまた圧力を及ぼして機械的の仕事をする。；機械的に、一九二九年の現実の否定な面に対する否定だけが示されている感じだ。</t>
        </is>
      </c>
      <c r="J1904">
        <f>HYPERLINK("https://www.weblio.jp/content/機械的", "词义详情")</f>
        <v/>
      </c>
      <c r="K1904">
        <f>HYPERLINK("https://yourei.jp/機械的", "查看例句")</f>
        <v/>
      </c>
    </row>
    <row r="1905">
      <c r="A1905" t="inlineStr">
        <is>
          <t>着替える</t>
        </is>
      </c>
      <c r="B1905" t="inlineStr">
        <is>
          <t>成功</t>
        </is>
      </c>
      <c r="C1905" t="inlineStr">
        <is>
          <t>読み方：きかえる
［動ア下一］［文］きか・ふ［ハ下二］《「きがえる」とも》着ていた衣服を脱いで他のものを着る。「作業衣に—・える」</t>
        </is>
      </c>
      <c r="D1905" t="inlineStr">
        <is>
          <t>着替える間もなく</t>
        </is>
      </c>
      <c r="E1905" t="inlineStr">
        <is>
          <t>着換える</t>
        </is>
      </c>
      <c r="F1905" t="inlineStr">
        <is>
          <t>戻って着替える</t>
        </is>
      </c>
      <c r="H1905" t="n">
        <v>29</v>
      </c>
      <c r="I1905" t="inlineStr">
        <is>
          <t>だが、みんながみんな宇宙軍の制服に着替える暇があったわけではない。；着替えるときに移しておいた書き付けを掴むとかさりと微かな音がした。；時間がくると二階の夫に声をかけてから、髪を直して羽織を着替える。；京極堂は着替えるでもなく、来た時そのままの格好で二階から下りて来た。；着替えるのも面倒になってきて、このまま寝てもいいつもりで壁に頭をつけた。；彼の場合は着替えるのも面倒、と言うのだから、何をか言わんや、である。；そのあと彼と、ここにいる二人の子供が着替えるために出ていって。；着替える気にもならず、一樹はソファに寝ころんで天井を見あげていた。；サラリーマンが仕事を終えたら、家に帰ってシャワーを浴びて着替える。；それなら、木下君は一人で別の場所で着替えるっていうのはどうですか?；あれ、前川さんは午後から着替えるって話していたのに、制服のままだ。；音を立てないようにして衣装箱を開け、灯りのない中で服を着替える。；そして夜家に帰って来ると、別な黒のアルパカの上衣に着替えるのだった。；シャワーから出て新しい服に着替えると、気持ちがいくらか楽になる。；旅に出る前に服を着替えることもしなければ、帰ってからその話をするわけでもない。；彼は服を脱いで浴衣に着替えると、テレビを消してまたベッドにはいった。；邦彦は服を着替える気力もないほど疲れきった自分を意識していた。；服を着替えるためいったん部屋に帰ったのち、午後七時前に再び部屋を出た。；「婆あ、着物を着替えるで」 モトは水をかぶったほど汗で濡れている。；何度も繰り返さないとまともに眠りにつくことなく、服を何着も着替える。；次の日、私は医師に無断で着替えると病院を出、田沼に会いにいきました。；家庭教師をして吟子のもう一つ困ったことは衣服を着替える場所であった。；ある夜、霧子が寝巻に着替える手をとめて、三津枝のベッドの傍にきた。；スミス氏も数分前に到着して、何とか夜会服へ着替えることが出来た。；ジュウは顔を洗ってから着替えると、台所に行って夕飯の支度を始めた。；パジャマに着替えるのも、あちこち痛くて大変だったが、何とかやれた。；翌日はリュウシさんが部活のユニフォームに着替えるのを覗く夢を見た。；清潔な服に着替えると、ナイアルは調理室に戻ってコーヒーを見つけた。；確かに着替える必要はあるが、それは実体化している時だけでね。</t>
        </is>
      </c>
      <c r="J1905">
        <f>HYPERLINK("https://www.weblio.jp/content/着替える", "词义详情")</f>
        <v/>
      </c>
      <c r="K1905">
        <f>HYPERLINK("https://yourei.jp/着替える", "查看例句")</f>
        <v/>
      </c>
    </row>
    <row r="1906">
      <c r="A1906" t="inlineStr">
        <is>
          <t>気がかり</t>
        </is>
      </c>
      <c r="B1906" t="inlineStr">
        <is>
          <t>成功</t>
        </is>
      </c>
      <c r="C1906" t="inlineStr">
        <is>
          <t>読み方：きがかり
［名・形動］どうなるかと不安で、心から離れないこと。また、そのさま。「明日の空模様が—だ」「—なのは娘のことだ」</t>
        </is>
      </c>
      <c r="D1906" t="inlineStr">
        <is>
          <t>気がかりなこと(7%)；気がかりそう(3%)；気がかりな様子；気がかりな点；気がかりな事</t>
        </is>
      </c>
      <c r="E1906" t="inlineStr">
        <is>
          <t>問題；心配；不安；恐れ；顧</t>
        </is>
      </c>
      <c r="F1906" t="inlineStr">
        <is>
          <t>ひとつ気がかり；一つ気がかり</t>
        </is>
      </c>
      <c r="H1906" t="n">
        <v>29</v>
      </c>
      <c r="I1906" t="inlineStr">
        <is>
          <t>そしてまた気がかりなのが、彼、どうやってこの部屋に来たのでしょう。；部屋を訪ねたことはないが、このまま二人っきりにするのも気がかりだ。；さて、一つ気がかりだったことがあったので今日は絵を早めに出ました。；再婚する気になって一番気がかりだったのは、やはり自分の健康でした。；家の者はみな寝てしまいましたが、わたしは気がかりで横にもなれません。；彼はこの頃気がかりな父の身辺を守る為に、人知れぬ苦労をしているのだ。；彼は自分の子供のようなゲームの進行ぶりが気がかりでならなかったのである。；それから、自分の靴下のことがなんだかひどく気がかりのようだったな。；それを気がかりそうに見て、坊主はあわててぼそぼそ口の中で説明した。；王族筋の婦人たちは側室が王をよく慰めているかどうか気がかりである。；彼のそばに立っていた母は、もう何度か気がかりそうに窓を見やった。；そんな状態のきみをこのままおいて出ていくのは気がかりだが、時間がない。；たとえ気がかりな点があるにしても、私たちはそうすべきであると思います。；ただ気がかりなのは、その数日をどうして過ごそうかという点であった。；夫妻はメグのほうに目が行くと、気がかりそうな表情で顔を見合わせる。；一人でも顔見知りがいるのが気がかりだったが、その心配が本物になった。；それより気がかりなのは、これから東京で会う義父や義母のことである。；もしかすればそれは千鶴子の母のかもしれないと矢代は気がかりだった。；気がかりだったのは、ダイから一通も返事が戻ってこなかったことだ。；むろんわたしには、デジャー・ソリスの運命がひどく気がかりであった。；「新のことが気がかりなのは、きみだけじゃないようだ」佐竹がいった。；それにつけても気がかりなのは家内を家に残して行くということです。；彼は何かしら非常に気がかりなことがあって、考え込んでいる様子だった。；だから自分は「船荷が気がかりで憂鬱になっているのではないのだ」と。；足軽風情は戦に立つ身より、後に残す大勢の子や老人の生活が気がかり。；私はアインが無事に大きくなるかどうかだけが気がかりだったのだ。；いかに気がかりなことがあろうと、これは単なる女主人の行動ではありません。；そこまで考えて、僕は急に月子がいまどこにいるのか気がかりになってきた。；あの家に残された問題のフィルムが気がかりだったかもしれません。</t>
        </is>
      </c>
      <c r="J1906">
        <f>HYPERLINK("https://www.weblio.jp/content/気がかり", "词义详情")</f>
        <v/>
      </c>
      <c r="K1906">
        <f>HYPERLINK("https://yourei.jp/気がかり", "查看例句")</f>
        <v/>
      </c>
    </row>
    <row r="1907">
      <c r="A1907" t="inlineStr">
        <is>
          <t>規格</t>
        </is>
      </c>
      <c r="B1907" t="inlineStr">
        <is>
          <t>成功</t>
        </is>
      </c>
      <c r="C1907" t="inlineStr">
        <is>
          <t>読み方：きかく
１工業製品・材料・工程などに対して定めた基準。
２物事の基準となる、社会一般の標準。「—をはみ出した人物」</t>
        </is>
      </c>
      <c r="D1907" t="inlineStr">
        <is>
          <t>規格化(5%)；規格道路(2%)；規格統一；規格品；規格型</t>
        </is>
      </c>
      <c r="E1907" t="inlineStr">
        <is>
          <t>法；定め；規定；仕様；原則</t>
        </is>
      </c>
      <c r="F1907" t="inlineStr">
        <is>
          <t>同規格；新規格；iso規格；共通規格；u規格</t>
        </is>
      </c>
      <c r="G1907" t="inlineStr">
        <is>
          <t>規格化；規格品番；規格争い；規格競争；規格外野菜</t>
        </is>
      </c>
      <c r="H1907" t="n">
        <v>29</v>
      </c>
      <c r="I1907" t="inlineStr">
        <is>
          <t>本規格は品質管理システムの基本的な考え方を示し用語を定義している。；しかしこれらの規格に対応したソフトはわずかしか発売されなかった。；以下に技術委員会の一覧と、各委員会が作成した著名な規格を示す。；都市高速は道路構造令で定められている第2種の規格で設計されている。；文字コードを定義している公的規格では以下のように定義されている。；更に2006年には、長さを延長するなどの規格改正が行われている。；また都市化地域には州道と高規格道路の複雑なネットワークがある。；当時はまだノートパソコンは存在せず、主に電子手帳向けの規格だった。；その後は規格の統一化や細かい改善が続けられたりしながら現在に至っている。；更に後継のビデオ規格は、前身のビデオ規格の全てのビデオモードを含む。；この規格は制定の一歩手前の段階までは、現在の姿とはかなり異なる仕様だった。；この部隊規格は半旅団とされ、それまでの連隊制度に代わるものとした。；この事からVHSは当時としては十分なビデオ規格であったと言える。；高規格路線として建設されたため、全線のほとんどが高架となっている。；日本産業規格の規格では、緑およびグリーンがそれぞれ定義されている。；この際使用したテープは市販のビデオ用テープと同じ規格の物を使用した。；標準や規格によって用語に違いがあり次のように定義されている。；これらの主な標準規格の他にもそれぞれの業界ごとや企業ごとの規格が存在する。；阪和電鉄線は高規格であるため、買収費用が高額となることが予想された。；したがってISDBには従来の標準画質規格の放送規格も含まれている。；その後もVHSの基本規格を維持しながら、新たな規格を開発していった。；VHS規格シリーズの特徴に上位互換性が保証されていることがある。；高規格ではない道路の建設と維持は地方政府の資金で賄われている。；古い規格では群という分類もあったが2011年の改訂で廃止された。；また自作する場合は、それら規格に適合するように製作されることが多い。；その場合、無線の規格変更にもプログラムの変更で柔軟に対応可能である。；IECで規格がはかられていたのは、光学式ではなくVHD方式だった。；これは縮尺に規格を定める事で既製品を利用できるようにするためである。；規格では以下の3種類の自由を認めている部分がいくつかある。</t>
        </is>
      </c>
      <c r="J1907">
        <f>HYPERLINK("https://www.weblio.jp/content/規格", "词义详情")</f>
        <v/>
      </c>
      <c r="K1907">
        <f>HYPERLINK("https://yourei.jp/規格", "查看例句")</f>
        <v/>
      </c>
    </row>
    <row r="1908">
      <c r="A1908" t="inlineStr">
        <is>
          <t>企画</t>
        </is>
      </c>
      <c r="B1908" t="inlineStr">
        <is>
          <t>成功</t>
        </is>
      </c>
      <c r="C1908" t="inlineStr">
        <is>
          <t>読み方：きかく
［名］(スル)ある事を行うために計画をたてること。また、その計画。くわだて。「秋の公演を—する」</t>
        </is>
      </c>
      <c r="D1908" t="inlineStr">
        <is>
          <t>企画段階；企画部長；企画制作；企画立案；企画開発</t>
        </is>
      </c>
      <c r="E1908" t="inlineStr">
        <is>
          <t>計画；予定；考える；設計；デザイン</t>
        </is>
      </c>
      <c r="F1908" t="inlineStr">
        <is>
          <t>ロケ企画；企画会議；商品企画；イベント企画；記念企画</t>
        </is>
      </c>
      <c r="G1908" t="inlineStr">
        <is>
          <t>企画書；企画乗車券；企画部；企画院；企画ネット</t>
        </is>
      </c>
      <c r="H1908" t="n">
        <v>29</v>
      </c>
      <c r="I1908" t="inlineStr">
        <is>
          <t>最初に企画されたのは彼の長年の望みであったヴォルフ歌曲集であった。；この企画は楽曲のストックなどの理由でのブランクがありながら継続中。；キュレーター職は学芸員の中でも企画を担当する権限を有する人を指す。；企画・開発にあたってはマーケティングリサーチをもとにして行われた。；また、その季節やイベントに対応した、シリーズ企画も放送している。；シリーズディレクターには、企画段階から参加している佐藤が担当した。；鈴木は実際に脚本段階まで進んでいる企画が複数あると明かした。；同年10月には、2022年も記念企画を継続して実施すると発表された。；また、企画段階では本機が主役機になる予定だったとする文献もある。；紫熊祭で行われる企画、運営および全ての準備は学生の手で行われている。；中国から松竹との合作で製作企画が出るが、再び製作は中止となった。；常設展示されていない実物資料は企画展示で公開される場合がある。；企画には後援者の一員に名を連ねた北海タイムスが深く関与していた。；企画と脚本段階で英語に翻訳し、CIEで許可されたもののみ製作がなされた。；ソニック生誕20周年を記念した企画やメディアなど色々と発表された。；一方で企画単体女優との共演などから火が付き、追い上げるケースもある。；北陸3県を対象とする番組および番組内の企画として以下のようなものがある。；ディレクター本来の担当範囲は企画・制作に及ぶものではない。；これは民間の企画であるが、日本の秘境100選にも選定されている。；大学におけるイベントの企画運営、学生の生活サポートを主な活動としている。；また、テーマ別のゲストのみの通し企画週も頻繁に行われた。；この企画は女性には人気が高いといわれ、新規顧客獲得に成功した。；ライブコンサートも自身と少数の社員らで企画して行っている。；後に中部運輸局・近畿運輸局などでも同様の企画が実施されている。；番組企画や構成等では、本名名義でクレジットされることもある。；番組の登場後、他の番組でもパロディやオマージュされた企画などが登場した。；参加資格に特に制限のない企画サイトなどもこれに含まれる。；さらに、2012年4月号からは、日本医療企画が編集・発行元となった。；本作品の企画は、TBSの赤坂の寮で週に1回会議が行われて進められた。</t>
        </is>
      </c>
      <c r="J1908">
        <f>HYPERLINK("https://www.weblio.jp/content/企画", "词义详情")</f>
        <v/>
      </c>
      <c r="K1908">
        <f>HYPERLINK("https://yourei.jp/企画", "查看例句")</f>
        <v/>
      </c>
    </row>
    <row r="1909">
      <c r="A1909" t="inlineStr">
        <is>
          <t>着飾る</t>
        </is>
      </c>
      <c r="B1909" t="inlineStr">
        <is>
          <t>成功</t>
        </is>
      </c>
      <c r="C1909" t="inlineStr">
        <is>
          <t>読み方：きかざる
［動ラ五（四）］美しい衣服を着て身を飾る。盛装する。「—・って出席する」</t>
        </is>
      </c>
      <c r="D1909" t="inlineStr">
        <is>
          <t>おしゃれ；お洒落；盛装；ドレスアップ；御洒落</t>
        </is>
      </c>
      <c r="H1909" t="n">
        <v>29</v>
      </c>
      <c r="I1909" t="inlineStr">
        <is>
          <t>一方では自分の周りに最高に着飾った美しい女性がいることを喜んでいた。；男が洞窟の中に入ると、着飾った美しい女のひざに若い男が倒れていた。；美しく装飾された部屋には着飾った男女がもう、ちらほら食事していた。；娘らは、いずれも美しく着飾って、これまでになくきれいに見えました。；みな着飾っているけれど、一見してそれが水商売の女たちだとわかった。；その間も着飾った人の群は静かな足取りで次第にこっちへ近寄って来る。；部屋には着飾った同年代の娘たちばかりが集められているではないか。；夕方になると、一面に灯がともり、美しく着飾った人が多くなりました。；朝から着飾った若い日本娘が三人、ウェイターに先導されて入って来た。；傍聴の流行の装いを着飾った多くの婦人たちは、互いに顔を寄せ合った。；住んでいたところは、着飾った紳士淑女が足も踏み入れない場所でした。；男と寝たい、子供から逃れてどこかに行きたい、着飾って町に出かけたい。；集まってきた女たちもそれぞれ、太いウェストを物ともせず着飾っていた。；そしてその電車の中は多少着飾った労働者の夫婦者や子供連れで満員だった。；全盛期のソロモンでさえ、この花のひとつほどにも着飾っていなかった。；着飾った見知らぬ人たちの中で、幼なじみに出会ったような気がします。；駕籠が来て、女中が知らせに行き、出て来た母娘は美しく着飾っていた。；そこを行きかう都の住人も、祭りの日かと見まがうほどに着飾っていた。；着物で着飾ったお嬢さんと母親の組み合わせが二組ほど目についた。；妻の好きなのは着飾って外へ出ることと、ショッピングであるらしい。；人々は中国風の装飾が施された部屋に着飾って集まり、これに親しんだ。；ほとんど毎日のように着飾って訪ねてきたが、いつも母親といっしょであった。；そこまでするためには、自分はチャラチャラ着飾ってはいられないだろう。；背後の通りを、着飾った幾人かの女性たちが、笑い声をあげて通りすぎた。；女は着飾った娘と、彼が車から運び出した大量の荷物に目を丸くした。；着飾らして江戸の大通りを歩かせたら、振りかえらぬ人はないであろう。；子供をきれいにパカパカに着飾らせて喜んでいるんだから世話ない。；やがて高坏や提子が運ばれたところに、楓が美しく着飾って姿を見せた。；昔は自分からリンを着飾らせてオーディション受けさせてたんだろう。</t>
        </is>
      </c>
      <c r="J1909">
        <f>HYPERLINK("https://www.weblio.jp/content/着飾る", "词义详情")</f>
        <v/>
      </c>
      <c r="K1909">
        <f>HYPERLINK("https://yourei.jp/着飾る", "查看例句")</f>
        <v/>
      </c>
    </row>
    <row r="1910">
      <c r="A1910" t="inlineStr">
        <is>
          <t>聞かせる</t>
        </is>
      </c>
      <c r="B1910" t="inlineStr">
        <is>
          <t>成功</t>
        </is>
      </c>
      <c r="C1910" t="inlineStr">
        <is>
          <t>読み方：きかせる
［動サ下一］［文］きか・す［サ下二］
１聞くようにさせる。「とんだ長話を—・せてしまった」
２言葉で言ってわからせる。「よく言って—・せる」
３話や歌などがじょうずで、思わず聞き入らせる。「なかなか—・せるのどだ」</t>
        </is>
      </c>
      <c r="D1910" t="inlineStr">
        <is>
          <t>聞かせるつもり(2%)；聞かせる調子；聞かせるおとぎ話</t>
        </is>
      </c>
      <c r="F1910" t="inlineStr">
        <is>
          <t>語って聞かせる；言って聞かせる；読んで聞かせる；いい聞かせる；読み聞かせる</t>
        </is>
      </c>
      <c r="H1910" t="n">
        <v>29</v>
      </c>
      <c r="I1910" t="inlineStr">
        <is>
          <t>その困ったものだねと言われるそこのところをお聞かせ願いたいのです。；私たちは今見たことをイングランドじゅうの町や村で語って聞かせよう。；まさか全校生徒に言うことを聞かせるような存在があるとも思えないし。；われとわが息子を手にかけたと彼に言って聞かせるつもりだったのだ。；見ていると彼はそれを函の中の人造人間に読み聞かせている様であった。；それで教室の隅で講義を聞かせようとしたが、教授方がいい顔をしねえ。；そして、これは女の持つものだといふことを私に話して聞かせて呉れた。；繰り返し言うが、私に今あげたような提案や方策を聞かせないでほしい。；そう自分にいい聞かせようとしたとき、また同じ名前を遙がつぶやいた。；私は自分の耳に入ったことを皆に聞かせる義務があると思っているんですよ。；僕がメンバーにこの曲を聞かせたときはみんなで一緒に泣きました。；聞かせたくない事実が秘められていればこそ語ることを避けるのであろう。；どんなことなのか話をしますから、あなたの意見を聞かせてください。；それは半ば私に聞かせるためであり、半ば彼女に聞かせるためである。；どうかわしのためにお前の歌といふものを一つ聞かせてはくれまいか。；僧はこの声を他人に聞かせたくなかったのであろうと、叔父は推量した。；お嬢さんはまたわざわざその例を挙げて私に説明して聞かせるのです。；もしそのときになってダメだったら俺があいつによく言って聞かせる。；それを、ただ、声を聞かせたばかりで行ってしまったのは、おかしいね。；君には分からないから云つて聞かせるが、偉大な思想は僕を饜飫させる。；それは彼が、自分の手柄話を部下に聞かせるときの一つのポーズだった。；ジーンに曲を聞かせたら、明らかに相手側で爆弾が爆発したようだった。；「仲間にも話して聞かせる」と御礼を言いながら工事道具を肩にかけた。；そんな時に舟の上で笛を吹いてわたしに聞かせるのもこのむすこでした。；ある家庭で、母親が子供たちを寝かしつけるために物語を読み聞かせる。；われわれの国語は、元来人に聞かせるように作られているものではない。；電話の内容を周囲に聞かせようとしていると誤解されては大変だ。；夫人が聞かせろと言う秘密を守りとおすことは彼にはできなかったのだ。；彼は他の連中に聞かせるために大きな声で言うかわりに、心のなかで言った。</t>
        </is>
      </c>
      <c r="J1910">
        <f>HYPERLINK("https://www.weblio.jp/content/聞かせる", "词义详情")</f>
        <v/>
      </c>
      <c r="K1910">
        <f>HYPERLINK("https://yourei.jp/聞かせる", "查看例句")</f>
        <v/>
      </c>
    </row>
    <row r="1911">
      <c r="A1911" t="inlineStr">
        <is>
          <t>気が付く</t>
        </is>
      </c>
      <c r="B1911" t="inlineStr">
        <is>
          <t>成功</t>
        </is>
      </c>
      <c r="C1911" t="inlineStr">
        <is>
          <t>読み方：きがつく
１そのことに考えが及ぶ。気づく。「まちがいに—・いた」
２細かいところにまで注意がゆきとどく。「よく—・く女性」
３意識が回復する。正気にかえる。</t>
        </is>
      </c>
      <c r="H1911" t="n">
        <v>29</v>
      </c>
      <c r="I1911" t="inlineStr">
        <is>
          <t>兄はまた自分の弟がそれほど熱心にそれを調べていない事に気が付いた。；痛みに気が遠くなりながらも、彼は自分が幸福であることに気が付いた。；それらの回答者はそれが倫理的に問題であるとは気が付いていなかった。；勃起させたまま彼女がいつ自分に気が付くかしばらくじっと立っていた。；殺すつもりはなかったのに気が付いたら殺してしまっているってヤツな。；どうも僕の店の周りだけみたいだし、あいつも気が付いていないんだろう。；娘は馬鹿にせられたのに気が付いて頬の上に大きい真つ赤な斑が出来た。；そうすればあるいは室内の人がそれと気が付いて開けてくれるかも知れない。；息を吹き返して気が付いたときに、自分は見る影もない姿に壊れていた。；ガラス窓にも、その向うの部屋の存在にも、気が付かなかったのである。；今頃、気が付いて、大慌てでこちらに向かっているのではないだろうか。；書いてみて気が付いたのだが、十代から私は堕落の味を知っていたようだ。；お前さんはそこに気が付いて、用心していなくてはならないのであった。；その様子を見ていて、誰かに似ていると思ったんだが、やっと気が付いた。；変だなと思うと、その時初めて気が付いた、僕は馬に乗っていたんだ。；ある日、自分の顔が旦那の顔とそっくりになっていることに気が付いた。；お前さんはそこに気が付いて、用心してゐなくてはならないのであつた。；しかし気が付くと、どうやらこれが眉唾のもののようにも思われてくる。；通りを何周しただろうか、気が付くともう辺り一帯は夜になっていた。；気が付いたら俺と良美はお互い、シャワーも 浴びずに求め合っていた。；気が付いた時にはすでに学問が吾々の手元にあったのであるかも知れない。；彼女は、自分の部屋に帰つてから、妙に沈んだ少年の顔に、気が付いた。；自分のせいで友達が半泣きになっていると気が付いて、慌てて頭を下げる。；ホントいって、気が付いてなかったみたいだよな、忘れちゃったのかな?；無掲揚であれば、なにか起きていると気が付いてもらえるかもしれない。；ハッと気が付いたときには信号待ちのテールランプが目前に迫っていた。；私は極端に人の顔を覚えるのが得意なので、たまたま気が付いただけです。；それがもはや手後れであることに、この男は気が付いていないのだろうか。；自分で思っているほど記憶が確かではないことにはじめて気が付いた様子だった。</t>
        </is>
      </c>
      <c r="J1911">
        <f>HYPERLINK("https://www.weblio.jp/content/気が付く", "词义详情")</f>
        <v/>
      </c>
      <c r="K1911">
        <f>HYPERLINK("https://yourei.jp/気が付く", "查看例句")</f>
        <v/>
      </c>
    </row>
    <row r="1912">
      <c r="A1912" t="inlineStr">
        <is>
          <t>気兼ね</t>
        </is>
      </c>
      <c r="B1912" t="inlineStr">
        <is>
          <t>成功</t>
        </is>
      </c>
      <c r="C1912" t="inlineStr">
        <is>
          <t>読み方：きがね
［名］(スル)他人の思わくなどに気をつかうこと。遠慮。「隣り近所に—する」</t>
        </is>
      </c>
      <c r="D1912" t="inlineStr">
        <is>
          <t>気兼ねなく(17%)；気兼ねすること(5%)；気兼ねもなく(4%)；気兼ねなし(3%)；気兼ねする必要</t>
        </is>
      </c>
      <c r="F1912" t="inlineStr">
        <is>
          <t>そんな気兼ね；少しも気兼ね；気兼ねすることなく</t>
        </is>
      </c>
      <c r="H1912" t="n">
        <v>29</v>
      </c>
      <c r="I1912" t="inlineStr">
        <is>
          <t>ホロは自分の出る幕がないせいで気兼ねしているから不機嫌だと言った。；隣近所の重々しいロマネスク式柱列に気兼ねでもしているみたいだった。；これで気兼ねなく周囲の様子を観察することが出来ると言うものだ。；彼女は今や何の遠慮も気兼もなく彼女の恋を楽しみ得る身の上であった。；父は恭三一人あるために今日までどれ程母に気兼をしたか知れない。；私も新聞を書いた場合には、さういふことを気兼ねしたこともある。；社長室は誰にしても気兼だと見えて、入らない中から、もう態度を改める。；母は、父や父の実家に必要以上に気兼ねしすぎるような気がする。；どんな点から云ったって、何故私は彼に気兼ねをしなくちゃならないでしょう。；あの家を出て、誰に気兼ねすることもなく思い切り一人の時間を楽しみたい。；残りは、恐ろしいのと景時に気兼ねしたりして、出発しようとしなかった。；彼の奥さんや娘さんに気兼ねする気持ちはなかったんですか?；それについてここのご寮人の妹てな扱いをしられるのが、気兼ねで辛い。；弘への気兼ねみたいなものをはじめて感じだしてゐたからである。；家政婦として、それくらいの気兼ねが相手にもっともらしく納得される。；父は継母に気兼ねして、私の事は何んにも口に出して言わないの。；肉体は多美一人のものになり、誰にも気兼ねする必要はなくなった。；今までは二階借りであったけれど、今度は一軒借りきりで、気兼ねがない。；せっかくお里帰りしてるんだもの、何の気兼ねもしなくていいんだから。；父や母への気兼ねもなく、祖母と一緒の生活だってできる筈だ。；母も、自分に何の気兼なしに青年とたった二人、散歩に出ることが出来るだろう。；が、今まで待たせた運転手への気兼ねもあって、帰すこともできなかった。；こんなふうにして、いつも気兼ねなく会えるのなら私も嬉しいのだが。；それは奥さんに気兼をする感じではなくて、シチュアシヨンの感じであった。；世間へ気兼ねして饑え死ぬなんて、そんな理屈ってあるものじゃあねえ。；他に気兼ねすることでもあるのかと思えるほどだった。；この日から彼は、誰にも気兼ねすることなく彼の新山の調査を続けることができた。；他に気兼ねをしていてもできるものではありません。；その日の朝から妻は用があって実家へ帰っていたので、欠勤しても気兼ねはなかった。</t>
        </is>
      </c>
      <c r="J1912">
        <f>HYPERLINK("https://www.weblio.jp/content/気兼ね", "词义详情")</f>
        <v/>
      </c>
      <c r="K1912">
        <f>HYPERLINK("https://yourei.jp/気兼ね", "查看例句")</f>
        <v/>
      </c>
    </row>
    <row r="1913">
      <c r="A1913" t="inlineStr">
        <is>
          <t>気軽</t>
        </is>
      </c>
      <c r="B1913" t="inlineStr">
        <is>
          <t>成功</t>
        </is>
      </c>
      <c r="C1913" t="inlineStr">
        <is>
          <t>読み方：きがる
［形動］［文］［ナリ］こだわったり面倒がったりしないで行動に出るさま。また、堅苦しくなくて、気がおけないさま。「—に引き受ける」「—な格好で出掛ける」
[派生]きがるさ［名］</t>
        </is>
      </c>
      <c r="D1913" t="inlineStr">
        <is>
          <t>気軽な口調；気軽に利用できる；気軽な調子；気軽に参加できる；気軽な感じ</t>
        </is>
      </c>
      <c r="E1913" t="inlineStr">
        <is>
          <t>楽；のんびり；気楽；リラックス；安楽</t>
        </is>
      </c>
      <c r="F1913" t="inlineStr">
        <is>
          <t>気軽な雑談；気軽な挨拶；気軽な会話；気軽に楽しく</t>
        </is>
      </c>
      <c r="G1913" t="inlineStr">
        <is>
          <t>気軽い</t>
        </is>
      </c>
      <c r="H1913" t="n">
        <v>29</v>
      </c>
      <c r="I1913" t="inlineStr">
        <is>
          <t>気軽に書いたように見えるが、それがかえって幸いしたのかもしれない。；ここにはすべての住民が気軽に集まるためのスペースが用意されている。；仕事にかかる前に、どこかで一日気軽に遊びたいような気もしていた。；そういう時も彼は気軽に一里あまりの路を自転車で何度も往復した。；技術系のことで質問や提案などがあれば、気軽に訪ねてみてください。；気軽に葉が藤牧家に来なくなったのは、実はそのせいではないのだろうか。；この最後の質問は気軽なものですから、私は実際に彼にたずねて見たのです。；あきれるほどの気軽さで、それらの問題を口にしたのは彼女のほうである。；が、父は何か考え当る事があったのだろう、割合気軽に出かけて行った。；わりに気軽にことばが出て、すぐにこのころの江戸の民状へ話題が向いた。；友人に会うつもりにも、気軽に買い物をして歩く気にもなれなかった。；事情の許すかぎり、あの方には気軽にしてさしあげるつもりでおります。；が、父は何か考へ当る事があつたのだらう、割合気軽に出かけて行つた。；わたしは、気軽にうなずいたまま、エレベーターの方へ足を運んで行った。；しかし彼のある質問には気軽に返事をすることができなかった。；無関心を装っているわけではなく、美人過ぎて気軽に声をかけられないのだ。；彼女の水色の眼は心に蔵された気軽さで輝くやうな眼ではなかつた。；そこへ塩野は気軽に二人の傍へ近より板についた賑やかな握手をした。；しかし、これらの作業を過度に行わずに、気軽に出題される場合もある。；御作さんの顔を見るや否や、あいよと云いながら、気軽に立ち上がった。；興味のある方はお気軽に編集・構成・企画にご参加ください。；また、もっと多くの人に気軽に安全にモータースポーツに参加してほしい。；鹿はおれとの間に何の問題も存在していないかのように気軽に話しかけてくる。；改った身支度もせず、彼にとっては役所の延長のような気軽さであった。；それでも俺は以前のように気軽に接することはできなかった。；三等だと、誰とでも気軽に話ができるし、キリストの話もすぐにできますからね。；いちばんよいことは、二人を気軽におっちょこちょいとして扱うことだ。；彼は気軽に引き受けて、二十歩とはなれていない教会の聖器室へ案内させた。；泥で汚れることもなく、虫も付きにくいため、室内でも気軽に楽しめる。</t>
        </is>
      </c>
      <c r="J1913">
        <f>HYPERLINK("https://www.weblio.jp/content/気軽", "词义详情")</f>
        <v/>
      </c>
      <c r="K1913">
        <f>HYPERLINK("https://yourei.jp/気軽", "查看例句")</f>
        <v/>
      </c>
    </row>
    <row r="1914">
      <c r="A1914" t="inlineStr">
        <is>
          <t>機関</t>
        </is>
      </c>
      <c r="B1914" t="inlineStr">
        <is>
          <t>成功</t>
        </is>
      </c>
      <c r="C1914" t="inlineStr">
        <is>
          <t>読み方：きかん
１火力・水力・電力などのエネルギーを力学的エネルギーに変える装置。
２活動のしかけのあるもの。からくり。
「ただ一槌を受くるのみにて全体の—これが為に廃して」〈中村訳・西国立志編〉
３法人や団体などの意思を決定したり、代表したりする者、または組織。「行政—」「国家—」
４ある目的を達成する手段として設けた組織や機構。「報道—」</t>
        </is>
      </c>
      <c r="D1914" t="inlineStr">
        <is>
          <t>機関車(21%)；機関室(3%)；機関部(3%)；機関大尉；機関砲</t>
        </is>
      </c>
      <c r="E1914" t="inlineStr">
        <is>
          <t>組織；システム；施設；エンジン；局</t>
        </is>
      </c>
      <c r="F1914" t="inlineStr">
        <is>
          <t>高等教育機関；主機関；用機関；各機関；諸機関</t>
        </is>
      </c>
      <c r="G1914" t="inlineStr">
        <is>
          <t>機関砲；機関紙；機関士；機関誌；機関区</t>
        </is>
      </c>
      <c r="H1914" t="n">
        <v>29</v>
      </c>
      <c r="I1914" t="inlineStr">
        <is>
          <t>機関とは学校や病院等の部隊を維持運営するための業務を担う組織である。；ただし、地区委員会以上の指導機関も直接入党を決定することができる。；登録サービスは建築の程度を提供する機関の認定も提供している。；機関車では、牽引性能を発揮するためにある程度の軸重を必要としている。；これによって、機関車の用途が決まってしまうといっても過言ではない。；また、自国の在外機関や軍の救難部隊の援助を求めることは困難である。；議員とは、議会などの合議制の機関を組織し、議決権を有する者を指す。；統一された明確な定義は無く団体や機関による様々な定義がある。；離党するときは、支部または党の機関に、その事情を述べ承認を求める。；サイクロンの分類は熱帯低気圧観測を行う機関ごとに分類されている。；翌年1月まで次々と新政を補完するための新機関の設置が行われていった。；このような軍政機関が予算編成や基地管理などの行政的な業務を行っている。；そのほか、いくつかの国には、国内機関が定めたローカルなコードがある。；所有するコンテナや機関車に使用しており、こちらも商標登録されている。；最高時速は58キロメートルであり、これは後の機関車の基準となった。；複数の機関が連携しての移植手術プログラムも開発されてきた。；公共交通機関の発達していない田舎などでは特に一人当たりの所有率が一般的に高い。；また、大学院は教育だけでなく、大学における研究活動を行う機関である。；都道府県委員会など地方組織の指導機関が編集・発行する地方機関紙もある。；実際のプロジェクト実施は、多くの組織や団体、機関などとの連携で行われる。；デュッセルドルフの他の学術機関には以下のようなものが含まれる。；いずれにしても、そうした機関で教育を受けたからといって仕事が得られるとは限らない。；機関車は蒸気機関車風の外装になっているが、ディーゼル機関車である。；また、主に航空機やミサイルの推進機関または動力源として使用される。；ただし認定産業標準作成機関が原案を作成した場合は付議を要さない。；フランス政府からの予算配分は各大学との機関契約で行われている。；機関車により推進して運転する時に用いるための運転台を備えている車両もある。；近代的な交通機関として鉄道が実用化された当初から用いられてきた機関車である。；国連憲章の規定にカバーされないNGOの協力に総会関連機関がある。</t>
        </is>
      </c>
      <c r="J1914">
        <f>HYPERLINK("https://www.weblio.jp/content/機関", "词义详情")</f>
        <v/>
      </c>
      <c r="K1914">
        <f>HYPERLINK("https://yourei.jp/機関", "查看例句")</f>
        <v/>
      </c>
    </row>
    <row r="1915">
      <c r="A1915" t="inlineStr">
        <is>
          <t>季刊</t>
        </is>
      </c>
      <c r="B1915" t="inlineStr">
        <is>
          <t>成功</t>
        </is>
      </c>
      <c r="C1915" t="inlineStr">
        <is>
          <t>読み方：きかん
雑誌などが、3か月ごと1年に4回発行されること。また、その刊行物。クオータリー。</t>
        </is>
      </c>
      <c r="D1915" t="inlineStr">
        <is>
          <t>季刊雑誌(5%)；季刊発行(2%)；季刊紙；季刊文芸誌；季刊文科</t>
        </is>
      </c>
      <c r="F1915" t="inlineStr">
        <is>
          <t>文学季刊；季刊ムック</t>
        </is>
      </c>
      <c r="G1915" t="inlineStr">
        <is>
          <t>季刊三千里；季刊コミックアゲイン；季刊エス；季刊デ・ジ・キャラット；季刊・本とコンピュータ</t>
        </is>
      </c>
      <c r="H1915" t="n">
        <v>29</v>
      </c>
      <c r="I1915" t="inlineStr">
        <is>
          <t>創刊当初は季刊で発行され、56号より隔月刊で年6冊発行されている。；彼のメッセージは小雑誌に印刷され、「流れ」と呼ばれる季刊本で出版された。；上記を組み合わせた形の季刊もしくは各月刊のムック本も多く発売されている。；「少年編」は春・夏・秋・冬の4部構成で、各季節ごとに季刊配信されていた。；刊行当初は季刊であったが論文の増加により、第4巻から隔月刊となった。；続きは順次、季刊小説ウィングスにてお届けする予定になっております。；かつて隔月刊化が告知されたことがあったがほどなく季刊ペースに戻っている。；かつては原則隔月での発売だったが、最近では年4回の季刊での発売となっている。；そして、この数店がグループになって発行している季刊のカタログがあるのも広告で知った。；当初は季刊で発売されていたが、2002年からは隔月刊で発売されるようになった。；東京及び日本の今の文化にフォーカスした季刊発行の英字雑誌。；当初は年に1回の刊行で、次第に刊行数が増え、季刊となった。；そのため1997年からは隔月刊より負担の少ない季刊となった。；そうして正式に始まった季刊のスケジュールは1946年秋号まで続いた。；文庫版の他に、季刊にて雑誌版が発行されることもあった。；季刊『道』は、どう出版社発行のインタビュー記事を主体とした雑誌である。；このほか会員向けに季刊誌として「鑑定のひろば」が発行されている。；なお、このような場合は季刊であるケースが多い。；この後「民話と文学の会」を立ち上げ、この会から「季刊・民話」を発行。；季刊とうたってあり、次の号は何月何日発売ですと書いてあったのだが、そのとおり発売されていたことはなかった。；季刊として創刊されたが、現在は偶数月発行の隔月刊となっている。；かつては偶数月24日発売であったが、2021年より季刊に変更。；赤羽と新雑誌の話に熱中し、出すのなら百二十八頁ぐらいの物を、季刊で出そういうことになる。；雑誌『季刊・幻想文学』などで作家・レビュアーとして活動している人物。；芥川賞受賞の作家などが多数寄稿する文学雑誌「季刊文科」を年四回発行している。；以降は、紙の雑誌は季刊化し、事実上webマガジンに移行する。；珈琲時間は、大誠社から季刊で発行されていた日本の雑誌。；発行当初は季刊だったが、2005年6月15日から偶月刊となった。；一応季刊となっているが、2016年には1冊しか刊行されておらず、2017年以降は刊行されていない。</t>
        </is>
      </c>
      <c r="J1915">
        <f>HYPERLINK("https://www.weblio.jp/content/季刊", "词义详情")</f>
        <v/>
      </c>
      <c r="K1915">
        <f>HYPERLINK("https://yourei.jp/季刊", "查看例句")</f>
        <v/>
      </c>
    </row>
    <row r="1916">
      <c r="A1916" t="inlineStr">
        <is>
          <t>期間</t>
        </is>
      </c>
      <c r="B1916" t="inlineStr">
        <is>
          <t>成功</t>
        </is>
      </c>
      <c r="C1916" t="inlineStr">
        <is>
          <t>読み方：きかん
ある期日または日時から、他の期日または日時に至るまでの間。「—を延長する」</t>
        </is>
      </c>
      <c r="D1916" t="inlineStr">
        <is>
          <t>期間中；期間満了；期間終了；期間延長；期間外</t>
        </is>
      </c>
      <c r="E1916" t="inlineStr">
        <is>
          <t>時；間；時代；時間；時期</t>
        </is>
      </c>
      <c r="F1916" t="inlineStr">
        <is>
          <t>長い期間；有効期間；在任期間；放送期間；活動期間</t>
        </is>
      </c>
      <c r="G1916" t="inlineStr">
        <is>
          <t>期間限定；期間内；期間生産限定盤；期間工；期間の定めのない労働契約</t>
        </is>
      </c>
      <c r="H1916" t="n">
        <v>29</v>
      </c>
      <c r="I1916" t="inlineStr">
        <is>
          <t>そうなった原因はわからないが、おそらく不在期間が長すぎたのであろう。；以下は理論値ではなく、ある期間の観測結果からの年間の回数である。；は現役期間とタイトル戦の終了・創設時期の関係で獲得機会のなかったもの。；この期間に生まれた音楽は現代まで継承されているものも多い。；なお、1968年以降、特に分割政府の出現する期間が長くなっている。；以上のような要因で、映画の撮影期間は予定を超えてどんどん延びていった。；この地で発達した根底には一定の期間で発生するナイル川の洪水があった。；そのほとんどは1年から長くて十数年の非常に短い期間しか持続しなかった。；許可期間は6ヶ月で、各新聞は6ヶ月ごとに許可を更新する必要がある。；同じ理由で、地球から見て逆行する期間も8日から15日まで変化する。；装飾の内容や装飾の続く期間はバージョンや年度ごとに若干違う。；叩くと一人の老婆が横の戸をあけて、あき間を見るつもりなのかときいた。；特に必要がある場合に期間を決めてまとめて打つこと、指すことがあった。；周期項を無視し、長い期間にわたって平均すると両者は以下の関係にある。；各期は細胞周期チェックポイントで完了が確認されてから次の期間へと進行する。；これは一度購入すればその後は期間を問わず使用できる。；義務教育は5歳から始まり、義務教育期間は5歳から18歳までである。；この期間の主な開発のひとつがタイムシェアリングシステムである。；期限付き移籍でプレーしていたチアゴ・ネーヴィスは移籍期間を延長せず。；連載期間16年の長編ドラマは吾郎の成長を描きながら終局へ向かった。；酒が入手できた地域でも、ラマダーン期間は入手が困難になることがよくある。；それが終わったらプロジェクト期間を半分にするという。；各期間と間期全体にかかる時間は細胞の種類や生物の種類によって様々である。；見習い期間が終了し、内部審査を経て、認められた者だけが正所属となる。；ある地域で特定の期間にもっとも頻度の高い風向の風を卓越風という。；広島から期限付き移籍中のDF石川大徳は移籍期間を延長して残留した。；英国でも器械なき間は、資本と労力とは多く同一の人の手に在りました。；技術の高度化に伴い、3年制への教育期間の延長が模索されている。；この期間の蓄積がなかったら今の自分はいないと語っている。</t>
        </is>
      </c>
      <c r="J1916">
        <f>HYPERLINK("https://www.weblio.jp/content/期間", "词义详情")</f>
        <v/>
      </c>
      <c r="K1916">
        <f>HYPERLINK("https://yourei.jp/期間", "查看例句")</f>
        <v/>
      </c>
    </row>
    <row r="1917">
      <c r="A1917" t="inlineStr">
        <is>
          <t>器官</t>
        </is>
      </c>
      <c r="B1917" t="inlineStr">
        <is>
          <t>成功</t>
        </is>
      </c>
      <c r="C1917" t="inlineStr">
        <is>
          <t>読み方：きかん
多細胞生物において、いくつかの組織が集まって一定の形・大きさおよび生理機能をもつ部分。「消化—」</t>
        </is>
      </c>
      <c r="D1917" t="inlineStr">
        <is>
          <t>器官形成；器官分化；器官そのもの；器官属；器官レベル</t>
        </is>
      </c>
      <c r="E1917" t="inlineStr">
        <is>
          <t>オルガン；風琴；リードオルガン</t>
        </is>
      </c>
      <c r="F1917" t="inlineStr">
        <is>
          <t>諸器官；内臓器官；各器官；付属器官；発光器官</t>
        </is>
      </c>
      <c r="G1917" t="inlineStr">
        <is>
          <t>器官培養；器官なき身体</t>
        </is>
      </c>
      <c r="H1917" t="n">
        <v>29</v>
      </c>
      <c r="I1917" t="inlineStr">
        <is>
          <t>さまざまな動物が持ち、光、熱などの刺激を感じる器官が知られている。；そして最後に、花におけるそれぞれの器官を成長させなければならない。；外胚葉からできるすべての器官は、隣接する二つの組織の層からできる。；異なる由来の器官が同じ機能を持つように進化することを収斂進化と呼ぶ。；腹面の基部近くに一対の書肺気門があるが、同時に器官気門が一対ある。；器官形成はその名が示すとおり、器官が形成される胚発生の段階を指す。；毛およびそれを囲む組織である毛包から構成される器官を毛器官という。；研究者は何百万年も続くこの負担の大きな器官の増大をまだ説明できていない。；その他、各分類群に独自な類似の機能を持つ器官がある例も知られる。；つまりは細胞の生存に必要なエネルギーを得るための小器官である。；動物では組織が集まった器官が体を構成する単位となっていると見た方がわかりやすい。；哺乳動物にはこの器官は存在せず、骨髄でつくられることが確認された。；頭部中央の甲羅状の器官から高熱を放射する能力と身軽さを武器とする。；椎骨動脈が栄養する器官には、脳底動脈以降を含めて以下のものがある。；その際、この器官の類似性から刺胞動物に類縁があるとの判断があった。；また首の後ろには頭部と体をつなぐ管が存在するが、何の器官なのかは不明。；地上性の種類では爪の間に何もないか、あっても痕跡的な器官があるだけである。；内皮細胞の間には密着結合が存在するがその程度は器官によって異なる。；特徴的な層構造を持ち、脳の記憶や空間学習能力に関わる脳の器官。；動物の中にも植物的な性質を認める、植物性器官・植物極などの語がある。；上記のように発生過程の研究からは器官の相同性に関わる重要な示唆が与えられた。；しかし、発生の早い段階には成体には存在しない器官が姿を見せることもある。；目とその周辺は脂瞼と呼ばれるコンタクトレンズ状の器官で覆われる。；その循環のためにポンプの役割をする器官があり、これが心臓である。；このような小器官は複数の発生段階を踏んだと考えられている。；ヘッジホッグは幼虫の体節の発達と成虫の付属器官の形成に働いている。；退化が進めば最終的にはその器官が消失してしまうことはまれでない。；魚類の舌はほとんど動かず、特に用を為さない器官であることが多い。；有性生殖を行う種のほとんどでは、雌雄で形態が異なる器官を持っている。</t>
        </is>
      </c>
      <c r="J1917">
        <f>HYPERLINK("https://www.weblio.jp/content/器官", "词义详情")</f>
        <v/>
      </c>
      <c r="K1917">
        <f>HYPERLINK("https://yourei.jp/器官", "查看例句")</f>
        <v/>
      </c>
    </row>
    <row r="1918">
      <c r="A1918" t="inlineStr">
        <is>
          <t>機関車</t>
        </is>
      </c>
      <c r="B1918" t="inlineStr">
        <is>
          <t>成功</t>
        </is>
      </c>
      <c r="C1918" t="inlineStr">
        <is>
          <t>読み方：きかんしゃ
駆動用の原動機を搭載し、軌道上で客車・貨車を牽引(けんいん)する鉄道車両。原動機によって、電気機関車・蒸気機関車・ディーゼル機関車などがある。</t>
        </is>
      </c>
      <c r="D1918" t="inlineStr">
        <is>
          <t>機関車牽引；機関車工場；機関車交換；機関車本体；機関車製造</t>
        </is>
      </c>
      <c r="F1918" t="inlineStr">
        <is>
          <t>型機関車；牽引機関車；牽引する機関車；製機関車；強力な機関車</t>
        </is>
      </c>
      <c r="H1918" t="n">
        <v>29</v>
      </c>
      <c r="I1918" t="inlineStr">
        <is>
          <t>この機関車はLGBのロゴマークにもなっており現在も生産されている。；なお機関車以外の全車両にLED常点灯方式の室内灯が標準装備される。；機関車では、牽引性能を発揮するためにある程度の軸重を必要としている。；機関車に装置を取り付けた場合には独立した車種には分類されない。；これによって、機関車の用途が決まってしまうといっても過言ではない。；本当に必要な装置だけが利用され、機関車にきちんとすえつけられていた。；溶解されたハチ公像は機関車の部品となり、東海道線を走ることになる。；ただしルクセンブルクを除く各国の機関車はTEEの牽引に用いられた。；この中で機関車に関連して以下の条文その他の規程がなされている。；所有するコンテナや機関車に使用しており、こちらも商標登録されている。；最高時速は58キロメートルであり、これは後の機関車の基準となった。；両機関を除雪に使用する場合は他の機関車を推進用に使用する。；しかし占領軍の方針や資材の不足もあり機関車の新製は困難だった。；かつては塩狩峠を超える際に、当駅が機関車待機の拠点となっていた。；このことは広告戦略や有名な機関車の設計など、多くのことに影響を及ぼした。；機関車などは単品販売が多いが、電車などはセット販売が多いのが特徴である。；このほか、操車場などで使用される入換・小運転用機関車も存在する。；これが特に大きくなると、パナマ運河のように機関車による牽引となる。；いずれも形式が60番台であることから、「60番台機関車」ともいう。；この時期は民生品へと切り替え、機関車やタイプライターを作っていた。；近年は、車両メーカーのレディーメードタイプの機関車が増えている。；運転台操作機器は従来機関車の標準仕様から大きく変更された。；本形式は、同時に輸入された他の機関車に比べ、非常に特異な形態をしていた。；機関車は蒸気機関車風の外装になっているが、ディーゼル機関車である。；機関車により推進して運転する時に用いるための運転台を備えている車両もある。；近代的な交通機関として鉄道が実用化された当初から用いられてきた機関車である。；これにより先頭の機関車と次位のタンク車が下り本線上に飛び出した。；新港の近くには、大連機関車・車両などが移転した旅順開発区がある。；この補助機関車には、その時代毎に最強力の機関車があてられた。</t>
        </is>
      </c>
      <c r="J1918">
        <f>HYPERLINK("https://www.weblio.jp/content/機関車", "词义详情")</f>
        <v/>
      </c>
      <c r="K1918">
        <f>HYPERLINK("https://yourei.jp/機関車", "查看例句")</f>
        <v/>
      </c>
    </row>
    <row r="1919">
      <c r="A1919" t="inlineStr">
        <is>
          <t>危機</t>
        </is>
      </c>
      <c r="B1919" t="inlineStr">
        <is>
          <t>成功</t>
        </is>
      </c>
      <c r="C1919" t="inlineStr">
        <is>
          <t>読み方：きき
悪い結果が予測される危険な時・状況。あやうい状態。「—に瀕(ひん)する」「経営—を乗り切る」</t>
        </is>
      </c>
      <c r="D1919" t="inlineStr">
        <is>
          <t>危機的(2%)；危機にさらさ(2%)；危機感；危機回避；危機対応</t>
        </is>
      </c>
      <c r="E1919" t="inlineStr">
        <is>
          <t>山；非常；危険；恐れ；リスク</t>
        </is>
      </c>
      <c r="F1919" t="inlineStr">
        <is>
          <t>政治危機；深刻な危機；大きな危機；政治的危機；エネルギー危機</t>
        </is>
      </c>
      <c r="G1919" t="inlineStr">
        <is>
          <t>危機的状況；危機管理；危機一髪；危機意識；危機遺産リスト</t>
        </is>
      </c>
      <c r="H1919" t="n">
        <v>29</v>
      </c>
      <c r="I1919" t="inlineStr">
        <is>
          <t>特にその深刻さを強調する場合には、教育病理または教育危機とも呼ぶ。；その後南アフリカ社会は体制移行期の危機的な混乱を何度も経験した。；いくつかの歴史的要因のために、現在では絶滅の危機にさらされている。；アメリカとソ連が直接戦争の危機に陥った事件がキューバ危機である。；財政難から、危機的な経営状況にあった同社の経営建て直しに奔走する。；絶滅の危機に瀕している野生生物の状況は短期間で悪化することもある。；ウォーターズとメイスンがそれぞれ離婚の危機を抱えていたのである。；戦争の危機が高まり、急速に事態が緊張化して制御不能となっていく。；その後一時は意識が回復し生命の危機を脱したという報道もあった。；国際的な労働者運動は1860年代の国際危機に刺激され復活を遂げていく。；繁栄の裏ではスレイマン時代に始まった宮廷の弛緩から危機が進んでいた。；この敗走は後の伊賀越えと並んで人生最大の危機とも言われている。；この両王国に危機が迫った時代にはトゥオルを使者に選んで導いた。；大手の大軌が競合線を運行するとなれば吉野鉄道は存続の危機である。；税金の一部を撤廃することは危機に対する明白な解決策の1つであった。；それに関連して武道団体の公職追放が起き武道は廃止の危機となった。；この危機に対応して、ASEANは中国、韓国、日本と緊密に連携した。；第4期でも危機に晒されたことがあり、その時は28人となっていた。；惑星自体が寒冷化し、生物が絶滅の危機に瀕したワイルド星から訪れる。；再び火災が発生して弾薬庫誘爆の危機に陥ったため、注水作業を行った。；何度も倒壊する危機を迎えたが最終話まで壊れることなく持ちこたえた。；神の十賢者による全宇宙の危機を12人の英雄が救ってから約400年。；剣道の組織的活動は禁止され、明治維新についで二度目の危機を迎えた。；幕府と北朝は深刻な政治的危機に直面することになったのである。；このとき、彼は長い放浪生活で消耗しきったうえに精神的な危機に陥っていた。；それは結局の所、自身への反乱と内戦への危機を作り出してしまったのである。；そのころすでに会社は存続の危機を迎えていた。；戦争の危機は認識されておらず、準備もなされていない。；ここは末日聖徒教会が多くの派に別れることになった継承の危機の場所でもあった。</t>
        </is>
      </c>
      <c r="J1919">
        <f>HYPERLINK("https://www.weblio.jp/content/危機", "词义详情")</f>
        <v/>
      </c>
      <c r="K1919">
        <f>HYPERLINK("https://yourei.jp/危機", "查看例句")</f>
        <v/>
      </c>
    </row>
    <row r="1920">
      <c r="A1920" t="inlineStr">
        <is>
          <t>聞き返す</t>
        </is>
      </c>
      <c r="B1920" t="inlineStr">
        <is>
          <t>成功</t>
        </is>
      </c>
      <c r="C1920" t="inlineStr">
        <is>
          <t>読み方：ききかえす
［動サ五（四）］
１一度聞いたことを繰り返して聞く。
㋐繰り返し質問する。問いなおす。聞きなおす。「答えが要領を得ないので、もう一度—・した」
㋑以前に聞いたものをもう一度聞く。聞きなおす。「録音を再び—・す」
２相手から聞かれたのに対して、逆にこちらから聞く。「ぼくのことより君はどうなのと—・す」</t>
        </is>
      </c>
      <c r="H1920" t="n">
        <v>29</v>
      </c>
      <c r="I1920" t="inlineStr">
        <is>
          <t>心苦しくなるくらい何度も何度も私は彼らに聞き返さねばならなかった。；それは「どうして」と聞き返さずにはいられないようないい方であった。；それでも、思った通りのセイバーの答えに納得がいかなくて聞き返した。；しかし一度に大量の情報を話し、聞き返す事もできないためメモは必須。；私は先輩が言ったものと思ってたし、先輩は私が言ったと思って聞き返してる。；あいつとは誰のことか、陳潜は聞き返すような野暮な真似はしなかった。；「何のために」と松本はほとんどいつものような緩い口調で聞き返した。；セドリックは一瞬言われたことが理解できなくて、思わず聞き返した。；聞き返そうとするうちに少年は縁側のそばを離れ、門の方へ向かいはじめる。；私がかつて先生にあの人は何ですかと尋ねたら、先生は何と見えますかと聞き返した。；比奈子は、その言葉の響きにぞっとしながら、何のことかと聞き返した。；奥さんはいいえと答えましたが、今度は向うでなぜですと聞き返して来ました。；わからない時にすぐに聞き返してしまっては、相手をいたずらに有利にする。；「もうそろそろ連絡があるはずですがね」 だれからとは聞き返さなかった。；「海に行くかい」僕はその笑顔の意味が知りたくて、意味もなく聞き返した。；ただ、そのために、会ってくれるのか、と聞き返したいくらいだった。；現在彼女の立場ではそんなことを聞き返すのは禁句の筈だった。；写真屋さんは週刊誌から目をあげると、ギョッとしたように聞き返した。；彼女はほとんど聞き返すこともなく、僕の話を一度で理解してしまったようだ。；と自己紹介すると『シンガーソングライターですよね』と聞き返される。；妻は疑わしげに、私を見たが、べつにそれ以上聞き返そうとはしなかった。；どうしたの、と目で聞き返すと、今度は舌打ちを頭につけて言った。；どんな学問か解らなかったが、興味がなかったから別に聞き返しもしなかった。；「何時」と誠太郎が聞き返したとき、代助は今日明日のうちと答えた。；自分の表情がどうなっているのかわからないくらいに、反射的に聞き返していた。；思わず聞き返そうとすると、突然彼女は私の顔をのぞき込みました。；ロレンスが言ってやると、期待していなさそうに、聞き返してきた。；いつしたんだっけ、と聞き返して一緒に考えたりさえしなかった。；「考えるだけなら危険はない」驚いた顔のまま、聞き返されもしなかった。</t>
        </is>
      </c>
      <c r="J1920">
        <f>HYPERLINK("https://www.weblio.jp/content/聞き返す", "词义详情")</f>
        <v/>
      </c>
      <c r="K1920">
        <f>HYPERLINK("https://yourei.jp/聞き返す", "查看例句")</f>
        <v/>
      </c>
    </row>
    <row r="1921">
      <c r="A1921" t="inlineStr">
        <is>
          <t>聞き上手</t>
        </is>
      </c>
      <c r="B1921" t="inlineStr">
        <is>
          <t>成功</t>
        </is>
      </c>
      <c r="C1921" t="inlineStr">
        <is>
          <t>読み方：ききじょうず
相手にうまく応答して、気分よく十分に話をさせること。また、その人。聞き巧者(ごうしゃ)。⇔聞き下手(べた)。</t>
        </is>
      </c>
      <c r="H1921" t="n">
        <v>29</v>
      </c>
      <c r="I1921" t="inlineStr">
        <is>
          <t>前原くんがあまりにも聞き上手だから、またお話三昧になっちゃったわ。；それに古さんの明るい性格と聞き上手・話し上手なところもあって話は思いの他弾んだ。；前原くんがあまりに聞き上手だったんで、話しててとても楽しかったわ。；聞き上手の人に逢うと、ああ私もあんなふうになりたいと思うのだ。；きき上手とはこういう人物のことをいうのだろう。；ダナエは聞き上手で、私は思った以上に話し続けたようだ。；話し上手より聞き上手の人の方が、ある意味ではるかに素敵に見えたりする。；しんぼう強く相手をし、聞きじょうずになって、説得するしか方法がないのである。；しかしそれはすぐに聞き上手らしい、真面目な表情に戻った。；聞き上手というのは、一体どんなふうに喋るのか是非とも知りたい。；聞き上手のうえに、口説かれているような雰囲気があった。；彼らはほんとうに聞き上手で、親身になって話を聞いてくれた。；なぜかというと、聞き上手の正子といると、ついおしゃべりになってしまうからだった。；十代のくせに、既に老成した雰囲気を漂わせていたが、意外に聞き上手で話し上手だった。；企画のプレゼンテーションをするときでも聞き上手が大事。；君の聞き上手に乗せられて、うっかり大事をもらしてしまった。；聞き上手、ってこういう人のことをいうのだと思った。；山崎は聞き上手で、夏季が少しでも話題に詰まると、すぐに自分から次の話題を提供してきた。；意外なことに万里絵はなかなかの聞き上手だった。；でも、私のそれほど多くはない経験からいうと、聞き上手の人が必ずしも話し上手ではないということ。；藤吉郎はまた誰とはなす時でも、聞き上手であった。；胸の悪くなるような嫌な話だが、なにしろ私は妻への隠し事が下手だし、彼女は聞き上手ときているので、結局話してしまったのだ。；聞き上手の、R子さんの例を分析してみると、「そうねえ」と受容することで感情を表現する。；話上手な彼は聞き上手でもあり、わたしはいつのまにか、自分の家庭状況や仕事のこと、お骨さがしにこの地にきた経緯などを説明していた。；夫の三浦のことになって申し訳ないが、彼は聞き上手だ。；女のおしゃべりが軽蔑されるのは、彼女たちが「聞き上手」でないからである。；しゃべれない人間は聞き上手になるのだろう。；聞き上手の美咲に、むしろリアの方が『教え方』を教わっているような気配すらあった。；どうやら、獲ってもらったらしいが、聞き上手の社長のほうを向いていて、常務が居なくなったのに、気づかなかった。</t>
        </is>
      </c>
      <c r="J1921">
        <f>HYPERLINK("https://www.weblio.jp/content/聞き上手", "词义详情")</f>
        <v/>
      </c>
      <c r="K1921">
        <f>HYPERLINK("https://yourei.jp/聞き上手", "查看例句")</f>
        <v/>
      </c>
    </row>
    <row r="1922">
      <c r="A1922" t="inlineStr">
        <is>
          <t>聞き手</t>
        </is>
      </c>
      <c r="B1922" t="inlineStr">
        <is>
          <t>成功</t>
        </is>
      </c>
      <c r="C1922" t="inlineStr">
        <is>
          <t>読み方：ききて
１人の話や音楽などを聞く側の人。「—に回る」
２話を聞くのがうまい人。聞きじょうず。</t>
        </is>
      </c>
      <c r="D1922" t="inlineStr">
        <is>
          <t>聞き手たち(2%)；聞き手側</t>
        </is>
      </c>
      <c r="E1922" t="inlineStr">
        <is>
          <t>リスナー；聴衆；聴き手；傍聴人；聞き役</t>
        </is>
      </c>
      <c r="H1922" t="n">
        <v>29</v>
      </c>
      <c r="I1922" t="inlineStr">
        <is>
          <t>おまけに途中で、熱心な聞き手なんかに油を売ってちゃいけないんです。；聞き手の中の若い連中は、彼女の母よりも彼女をよりよく知っていた。；ときには口を出すこともあったが、たいていは黙って聞き手にまわった。；たとえばインタビューの場合には「聞き手の顔」が使われることが多い。；以前の二人の場合も、どちらかというと私の方が聞き手だったのではないか。；廊下にたたずんだ聞き手は驚きにわれを忘れてあたりを歩きまわりはじめた。；はなはだしい時には聞き手にダーティなイメージを与えることすらある。；どういうわけだか聞き手になってトンチンカンなインタビューをした。；お前の場合は少なくとも、聞き手の半分には信じてもらえるんじゃないか。；聞き手となる教師もクラスメートたちも、そこのところは身に覚えがある。；また、病気に関してきわめて聞き手の興味を持たせる話をすることが多い。；好きな話題となると、聞き手のことも忘れて夢中になってしまう。；と質問するのは、聞き手側の人間の注意力を高めさせるためなのだそうだ。；話には誇張も入り、聞き手も自分の好みや都合の良いように解釈しがちである。；このように、we は、聞き手を含む場合と含まない場合とがあるのです。；最後に落ちがあるだろうという聞き手の期待はここで裏切られることになる。；近所に家もなく、泣いたりわめいたりしても聞き手のない所がいいのかい。；聞き手もまた現実世界に肉体を持って存在する読者とは区別される。；こう言われた聞き手は、自分が食事に誘われているのである、と理解します。；スティーヴンスはそれらの装置を熱心な聞き手に説明してやった。；従来のポライトネス研究は聞き手の立場を考慮していないという批判もある。；久野が聞き手として杉浦が体験レポート等の話題を提供することもある。；その低い声には、聞き手をえたよろこびらしいものさえ感じられた。；我この草のことをば八重より聞きて始めて知りしなり。；おかしいのは、シャクの方でも多くの聞き手を期待するようになったことである。；聞き手の心が今聞いたばかりのものから逸れてしまうからです。；話が長くなってきたために、聞き手の瑛子に刺激を与える意味合いもあった。；いつも聞き手の役にばかりまわっているので、話すことには全く不慣れだった。；おれの行かない港はあんまりないから、おれもそこのニュースを聞きてえんだ。</t>
        </is>
      </c>
      <c r="J1922">
        <f>HYPERLINK("https://www.weblio.jp/content/聞き手", "词义详情")</f>
        <v/>
      </c>
      <c r="K1922">
        <f>HYPERLINK("https://yourei.jp/聞き手", "查看例句")</f>
        <v/>
      </c>
    </row>
    <row r="1923">
      <c r="A1923" t="inlineStr">
        <is>
          <t>聞き取り</t>
        </is>
      </c>
      <c r="B1923" t="inlineStr">
        <is>
          <t>成功</t>
        </is>
      </c>
      <c r="C1923" t="inlineStr">
        <is>
          <t>読み方：ききとり
１詳しく話を聞くこと。「民俗学の—調査」
２外国語を聞いて理解すること。ヒヤリング。</t>
        </is>
      </c>
      <c r="D1923" t="inlineStr">
        <is>
          <t>捉える；捕捉；キャッチ；捕える；聞きとる</t>
        </is>
      </c>
      <c r="F1923" t="inlineStr">
        <is>
          <t>よく聞き取る</t>
        </is>
      </c>
      <c r="H1923" t="n">
        <v>29</v>
      </c>
      <c r="I1923" t="inlineStr">
        <is>
          <t>彼はそこでかなり長い説明を聞き取っていたが、やがて低い声でいった。；ガリオンはいまではいっそう明確に寄せ波の音を聞き取ることができた。；そのとき彼女が何をいったのか、私は遂に聞き取ることができなかった。；次の声は、その距離でも集中しないと聞き取れないほど低い囁きだった。；こっちは台所に移動してしまったので、生憎と聞き取れはしなかったが。；ちょっと耳を澄ますだけで、二人の会話は容易に聞き取ることができた。；目の前で唇は動いているのだが、列車の通過音のせいで聞き取れない。；いつも通りの式の声だったけれど、僕にはそうとしか聞き取れなかった。；こう二段に分けて僕の説明を聞き取って貰わなくてはならないのだね。；しかししっかりと目を閉じ肌に意識を集中させているからよく聞き取れない。；聞き取れないうなりのような分を含めたら、どれほどになるのだろう。；最後はほとんど聞き取れないほどに小さな声になったが、まだ硬かった。；立ち止まって耳を澄ませてみたが、何を言っているのかは聞き取れない。；彼は廊下でグリフュスの重い足音がするのを聞き取っていたのだった。；スタッフが聞き取れずに困っている隙に、話をまとめてしまうという。；地区議会は、各地区で懸案となっている事項を聞き取るのに重要である。；そして、目を閉じたまま聞き取れないくらいの小さな声でこうつぶやいた。；彼がささやいたことを正確に聞き取ったかどうかさえ確信がなかった。；その最後の瞬間に五郎が何を言ったのかは、寿々子には聞き取れなかった。；うっかりすると、何を言っているのか聞き取れないような喋り方だった。；ひび割れた唇から言葉が漏れましたが、私はよく聞き取れませんでした。；ベートーヴェンは調子の高い音よりも低い音のほうがよく聞き取れた。；とても小さな足音で、深夜でなければ聞き取れないぐらいの静かさだ。；玉音放送が流れたが、雑音が多くてなにを言っているのか聞き取れない。；いずれも何かに興奮している気配だったが、話の中身は聞き取れなかった。；何かを答えたのは確かだが、なんと言ったのかは聞き取れなかった。；その女は聞き取れないほどの含み笑いを残し、壁を抜けて表に出ていった。；かう二段に分けて僕の説明を聞き取つて貰はなくてはならないのだね。；少し声をおとされて何かまた奏上されたやうであつたが聞き取れなかつた。</t>
        </is>
      </c>
      <c r="J1923">
        <f>HYPERLINK("https://www.weblio.jp/content/聞き取り", "词义详情")</f>
        <v/>
      </c>
      <c r="K1923">
        <f>HYPERLINK("https://yourei.jp/聞き取り", "查看例句")</f>
        <v/>
      </c>
    </row>
    <row r="1924">
      <c r="A1924" t="inlineStr">
        <is>
          <t>聞き取る</t>
        </is>
      </c>
      <c r="B1924" t="inlineStr">
        <is>
          <t>成功</t>
        </is>
      </c>
      <c r="C1924" t="inlineStr">
        <is>
          <t>読み方：ききとる
［動ラ五（四）］
１音声・言葉をはっきりととらえ、その内容を理解する。「早口の英語でよく—・ることができない」
２詳しく話を聞く。「関係者から当時の状況を—・る」
３聞いて心にとめる。聞いて覚える。
「おのづから人の上などうち言ひそしりたるに、幼き子どもの—・りて」〈枕・一二七〉</t>
        </is>
      </c>
      <c r="D1924" t="inlineStr">
        <is>
          <t>捉える；捕捉；キャッチ；捕える；聞きとる</t>
        </is>
      </c>
      <c r="F1924" t="inlineStr">
        <is>
          <t>よく聞き取る</t>
        </is>
      </c>
      <c r="H1924" t="n">
        <v>29</v>
      </c>
      <c r="I1924" t="inlineStr">
        <is>
          <t>彼はそこでかなり長い説明を聞き取っていたが、やがて低い声でいった。；ガリオンはいまではいっそう明確に寄せ波の音を聞き取ることができた。；そのとき彼女が何をいったのか、私は遂に聞き取ることができなかった。；次の声は、その距離でも集中しないと聞き取れないほど低い囁きだった。；こっちは台所に移動してしまったので、生憎と聞き取れはしなかったが。；ちょっと耳を澄ますだけで、二人の会話は容易に聞き取ることができた。；目の前で唇は動いているのだが、列車の通過音のせいで聞き取れない。；いつも通りの式の声だったけれど、僕にはそうとしか聞き取れなかった。；こう二段に分けて僕の説明を聞き取って貰わなくてはならないのだね。；しかししっかりと目を閉じ肌に意識を集中させているからよく聞き取れない。；聞き取れないうなりのような分を含めたら、どれほどになるのだろう。；最後はほとんど聞き取れないほどに小さな声になったが、まだ硬かった。；立ち止まって耳を澄ませてみたが、何を言っているのかは聞き取れない。；彼は廊下でグリフュスの重い足音がするのを聞き取っていたのだった。；スタッフが聞き取れずに困っている隙に、話をまとめてしまうという。；地区議会は、各地区で懸案となっている事項を聞き取るのに重要である。；そして、目を閉じたまま聞き取れないくらいの小さな声でこうつぶやいた。；彼がささやいたことを正確に聞き取ったかどうかさえ確信がなかった。；その最後の瞬間に五郎が何を言ったのかは、寿々子には聞き取れなかった。；うっかりすると、何を言っているのか聞き取れないような喋り方だった。；ひび割れた唇から言葉が漏れましたが、私はよく聞き取れませんでした。；ベートーヴェンは調子の高い音よりも低い音のほうがよく聞き取れた。；とても小さな足音で、深夜でなければ聞き取れないぐらいの静かさだ。；玉音放送が流れたが、雑音が多くてなにを言っているのか聞き取れない。；いずれも何かに興奮している気配だったが、話の中身は聞き取れなかった。；何かを答えたのは確かだが、なんと言ったのかは聞き取れなかった。；その女は聞き取れないほどの含み笑いを残し、壁を抜けて表に出ていった。；かう二段に分けて僕の説明を聞き取つて貰はなくてはならないのだね。；少し声をおとされて何かまた奏上されたやうであつたが聞き取れなかつた。</t>
        </is>
      </c>
      <c r="J1924">
        <f>HYPERLINK("https://www.weblio.jp/content/聞き取る", "词义详情")</f>
        <v/>
      </c>
      <c r="K1924">
        <f>HYPERLINK("https://yourei.jp/聞き取る", "查看例句")</f>
        <v/>
      </c>
    </row>
    <row r="1925">
      <c r="A1925" t="inlineStr">
        <is>
          <t>聞き直す</t>
        </is>
      </c>
      <c r="B1925" t="inlineStr">
        <is>
          <t>成功</t>
        </is>
      </c>
      <c r="C1925" t="inlineStr">
        <is>
          <t>読み方：ききなおす
［動サ五（四）］
１一度聞いたことを、もう一度改めて聞く。「念のため日時を—・す」
２聞いて、考え直す。
「まことならばこそあらめ、おのづから—・し給ひてむ」〈枕・八二〉</t>
        </is>
      </c>
      <c r="D1925" t="inlineStr">
        <is>
          <t>再審理</t>
        </is>
      </c>
      <c r="H1925" t="n">
        <v>29</v>
      </c>
      <c r="I1925" t="inlineStr">
        <is>
          <t>三度聞き直して、やっと、六十銭と言っているのだという事がわかった。；もっとも、何度聞き直してみたところで、内容が変わるわけではなかった。；と聞き直したら、圭一くんはさも簡単そうにこれを書いて見せました。；鈴ならば分かるが、鈴以外の者は何度も聞き直さないと分かってくれない。；テープレコーダーに録音された電話の内容を、もう一度、聞き直した。；一度聞いた事実関係は、何度聞き直してもぐらつくことなく一貫していた。；聞き直したり、直されたりするたびに、申し訳ありませんと頭を下げる。；林大佐はびっくりして、「御聖断が下ったのではありませんか」と聞き直した。；耳の遠い老首相はいちど手を耳にあてて聞き直すかたちを見せた。；僕はちょっと聞きとれないので聞き直した。；放送を聞き直して、カトウさんだったって言い切っていたわよね。；しかし男の声が小さすぎて何度も聞き直さねばならなかった。；花沢さんが三口目に移るのを取り止め、別の用途の為に口を聞き直す。；このように、理解しにくいものは、その都度、躊躇せずに聞き直した。；何度も聞き直してはその通りに発音しようとする。；だが捜査一課が捜査を引き継ぐ以上、改めて話を聞き直すことになる。；しかし、実際は、聞き直してすぐに分った、ということはあまりなかった。；トットは、森繁さんに失礼とは思ったけど、小さい声で、聞き直した。；だから、きみの口からあらためて同じことを聞き直す必要はない。；何度も聞き直してみたが、結局裁判長の答えはなかった。；一度発した命令を聞き直してくる者が続出し、自分の位置や状況をうまく説明できない者が後を絶たなかった。；鉄砲奉行の佐々成政は鉄砲隊を先に立てての攻撃に疑問を持って聞き直したほどだった。；それらは早急に聞き直して、テープ起こしをしなければならない。；十津川は、テープを戻して、亀井たちと、聞き直してみることにした。；「働いても、いいですが、全体どんな事をするんですか」 と自分はここで再び聞き直して見た。；即ち見直し聞き直しはあるが、嗅ぎ直しといふことは無い所以である。；長蔵さんは平気なもんで、 「じゃどこへ帰るかね」 と、聞き直した。；久美子が話したことをもう一度聞き直し、ところどころ質問した。；彼には合点がいかなかったようで、しばし虚空を見上げてから、聞き直してきた。</t>
        </is>
      </c>
      <c r="J1925">
        <f>HYPERLINK("https://www.weblio.jp/content/聞き直す", "词义详情")</f>
        <v/>
      </c>
      <c r="K1925">
        <f>HYPERLINK("https://yourei.jp/聞き直す", "查看例句")</f>
        <v/>
      </c>
    </row>
    <row r="1926">
      <c r="A1926" t="inlineStr">
        <is>
          <t>聞き逃す</t>
        </is>
      </c>
      <c r="B1926" t="inlineStr">
        <is>
          <t>成功</t>
        </is>
      </c>
      <c r="C1926" t="inlineStr">
        <is>
          <t>読み方：ききのがす
［動サ五（四）］
１うっかりして聞き損なう。「講演を—・してしまった」
２聞かないことにして済ます。「今回だけは—・してやろう」</t>
        </is>
      </c>
      <c r="D1926" t="inlineStr">
        <is>
          <t>聞き逃すわけ(12%)；聞き逃すところ(7%)；聞き逃すはず(7%)</t>
        </is>
      </c>
      <c r="H1926" t="n">
        <v>29</v>
      </c>
      <c r="I1926" t="inlineStr">
        <is>
          <t>それがあまりに普通過ぎて、僕は危うく聞き逃すところだったくらいだ。；声を聞き逃さないよう、足音を忍ばせて、苔の生えた裏庭を歩いていく。；どのような小さな情報も噂も聞き逃さないようにしてきた。；どんなかすかな音も聞き逃さないように、スタンバイモードに入った。；全神経を耳に集中し、二階の窓から漏れる声をひとつたりとも聞き逃すまいとした。；音は極めて軽く、ここが静かな場所でなければ聞き逃す類のものだ。；ホット・ロッドの八つの耳が彰洋の声を聞き逃すまいと集中している。；ひとり言のようではあっても、美紀子はそれを聞き逃さなかった。；小学校の受験というところに力をいれて強調したのを、私は聞き逃さなかった。；それが普通の調子だったので聞き逃すところだった。；ぼんやりしていれば聞き逃すような、すこぶるさり気ない口調だった。；あれほど騒がしかった店内が、一音一音を聞き逃すまいとするかのよう。；それでもわたしは、老人が夜毎に奏でる音楽だけは聞き逃さなかった。；仕事内容は、貴女の情報を聞き逃すことによって、後の利益を得ること。；おれはあまり驚いたので、かれの話していることをあやうく聞き逃すところだった。；そして彼女は、かれがリエトと呼ばれたことを聞き逃さなかった。；その彼女がいかなる瞬間といえども隣室のピストルの音を聞き逃すことがあるものか。；いくら気もそぞろであったとはいえ、奇妙な音の混入を聞き逃すことはないと思う。；一度しか説明する時間はないから聞き逃すなよ。；確かに、やつらがかれと同じぐらい激しく息をついていたら、それを聞き逃すはずはなかった。；こんな会話をこの主婦が聞き逃すわけがないではないか!；ほんのかすかなものだが、武芸者の聴覚はそれを聞き逃さなかった。；今の私はどんな小さな物音でも聞き逃すまいとしている。；怪物たちはそれを聞き逃さず、一匹が家の中に入ってきた。；鷹原は追っては来なかったが、僕は彼の笑い声を聞き逃さなかった。；だが、その一言を周囲の者は誰ひとりとして聞き逃さなかった。；里志の話の中で、俺が聞き逃すわけにはいかなかった一言。；その指揮をとった佐久間俊雄警部としては、聞き逃すことが出来ない。；かすかな音でも聞き逃すまいとしたのだ。</t>
        </is>
      </c>
      <c r="J1926">
        <f>HYPERLINK("https://www.weblio.jp/content/聞き逃す", "词义详情")</f>
        <v/>
      </c>
      <c r="K1926">
        <f>HYPERLINK("https://yourei.jp/聞き逃す", "查看例句")</f>
        <v/>
      </c>
    </row>
    <row r="1927">
      <c r="A1927" t="inlineStr">
        <is>
          <t>効き目</t>
        </is>
      </c>
      <c r="B1927" t="inlineStr">
        <is>
          <t>成功</t>
        </is>
      </c>
      <c r="C1927" t="inlineStr">
        <is>
          <t>読み方：ききめ
１ある働きかけや作用によって現れるよい結果。効能。効果。「—が速い」「—がない」
２（利き目）両目のうち、よく働くほうの目。ふつう、望遠鏡や顕微鏡などをのぞくときに使うほうの目をいう。</t>
        </is>
      </c>
      <c r="D1927" t="inlineStr">
        <is>
          <t>効き目があります；効き目がありませ；効き目なし</t>
        </is>
      </c>
      <c r="E1927" t="inlineStr">
        <is>
          <t>効果；効力；効能；利き；効</t>
        </is>
      </c>
      <c r="H1927" t="n">
        <v>29</v>
      </c>
      <c r="I1927" t="inlineStr">
        <is>
          <t>薬の効き目が薄れてきたので、目も見えるようになったのかもしれない。；俺の想像だが、お前さんにはその方が効き目があると考えたんじゃないか。；自分が何を言ったのかまったくわからなかったが、効き目は十分にあった。；今までに、何べんもいってますが、ちっとも効き目がありませんでした。；これはヴェロナールのきき目がもし未だ現れておらぬといけないからだ。；天候の変化は、ドリトル先生にも同じような効き目があったのでしょう。；きちんと決められた方角に星の角をあわせないと効き目がないのだ。；わたしの祖父がお祓いに行きましたが、あまり効き目はありませんでした。；彼は疲れるまで散歩することを思いついたが、それも効き目がなかった。；だがやがて酒のきき目があらわれてきたので、大丈夫だとおれは判断した。；彼の鞭はしじゆう犬共の間でうなりつづけたが、殆どきき目がなかつた。；真実薬の効き目で、クラウナは、わしらにいろいろ語ってくれたのじゃ。；これはわたくしの手治療が一番効き目がありそうにございます。；これはもう例の効き目が現われてきた証拠と見たのである。；バレリアンについては複数の研究があり効き目が穏やかなように見える。；そして、わたしたちは当然のことに温泉の効き目のことで話し合った。；だから祈りというようなことにも、何か効き目のあるのは確かなんだ。；ああいう子供には、言いきかせるよりずっと効き目があるものですて。；この手は、日本では、なかなか効き目のある手だといふことが察せられる。；この薬が、きみにも効き目があるかどうか、わたしにはわからない。；あまり効き目はなかったが、それでも生垣に小さな焼け焦げ穴が開いた。；すこしでも効き目があるなら、このまま続けた方がいいはずです。；いくらおばさんが俺の幸せを祈ってくれても、何の効き目もなかった。；効き目の遅い毒が頭の先から爪先まで、今ようやく染み渡ったところだ。；汚れだらけの自分がひとりで祈るよりずっと効き目がありそうである。；きっと飛び上って逃げるだろうと思ったら、一向に効き目がなかった。；ちゃんとした人間だけにしか効き目がないんだと思った。；薬が効き目をあらわすのを待っている間に、ケントにもう一通手紙を書いた。；でも、あたい、いくらそんなことをされてもなんの効き目もなかったです!</t>
        </is>
      </c>
      <c r="J1927">
        <f>HYPERLINK("https://www.weblio.jp/content/効き目", "词义详情")</f>
        <v/>
      </c>
      <c r="K1927">
        <f>HYPERLINK("https://yourei.jp/効き目", "查看例句")</f>
        <v/>
      </c>
    </row>
    <row r="1928">
      <c r="A1928" t="inlineStr">
        <is>
          <t>帰京</t>
        </is>
      </c>
      <c r="B1928" t="inlineStr">
        <is>
          <t>成功</t>
        </is>
      </c>
      <c r="C1928" t="inlineStr">
        <is>
          <t>読み方：ききょう
［名］(スル)都に帰ること。現在では、東京、明治以前は京都へ帰ることをいう。「来月—する予定です」</t>
        </is>
      </c>
      <c r="D1928" t="inlineStr">
        <is>
          <t>帰京する(16%)；帰京後(10%)；帰京しよ；帰京直後；帰京命令</t>
        </is>
      </c>
      <c r="F1928" t="inlineStr">
        <is>
          <t>早く帰京；御帰京；一時帰京；無事帰京；明日帰京</t>
        </is>
      </c>
      <c r="H1928" t="n">
        <v>29</v>
      </c>
      <c r="I1928" t="inlineStr">
        <is>
          <t>まだ話していないからといって、空身で帰京するわけには行かなかった。；かくあることを期待して、祖母の方へ、先に帰京を知らせたのである。；東京から姿を消していた大久保利通が帰京したのは、二十一日である。；地方への移動では帰京後に警察に報告しなければならなかった。；それから一ヵ月ほどそこに滞在して帰京して間もなく、級会があった。；早朝の便で、帰京したろうと思っても、どの便と、限定は、危険だった。；帰京予定の日、悠子が心配していた頃になって電話がかかってきた。；やがてその喜びがかえって悲しみとなってしまったかのような、源氏の君の帰京。；その後帰京して後ちもこの人との俳事往復は時々する事になった。；帰京してくわしく調べてみると、底のほうから古ぼけた紙が出てきた。；帰京した高松宮宣仁親王は、天皇に矢矧進水式を終えたことを報告した。；理性では、源氏の帰京を納得しながら、心はそれに抗っているのであった。；その後私が帰京して間もなく氏の訃報に接したのは殊に悼む所である。；と思ふと私は一日も早く帰京すべきか、或ひは寧ろ滞在すべきか?；そこで、創立総会はその何人かの帰京を待って行われることになったのである。；そしてその年の冬、母の帰京すると共に、わたくしもまた船に乗った。；帰京は10日後の予定であったが、後述のごとく、実際には2月後となる。；もう明日は帰京、僕だけ残る気だったが、淋しいから一緒に帰ることにした。；電話では足りない用を彼に託して帰京してもらうことにした。；一旦帰京してまたすぐ旅に出ようとした時、次女が病気で入院した。；或る年、夏休みもすんで、もう帰京せねばならぬとき、例の一物がない。；但し帰京の折は、私の仕事の性質上立ちのいてもらう約束である。；帰京のあいさつをしなくてはならないのであるが、約束の原稿が気になるのである。；ついに式部は結婚を決意し、まだ任期の終らぬ父をおいて単身帰京する。；その夜、帰京の途上、俊夫君は小田さんに向かい次のように語りました。；そうして現地に足を向けるものの、帰京後すぐに殺されてしまった。；なにしろたった二畳とはいえ、帰京以来初めての独立の安息所である。；ところが足尾についてみると、東京が大変だというのであわてて帰京した。；私は翌三十一日の夕方帰京したが、井伏さんはまだ高森に滞在の筈である。</t>
        </is>
      </c>
      <c r="J1928">
        <f>HYPERLINK("https://www.weblio.jp/content/帰京", "词义详情")</f>
        <v/>
      </c>
      <c r="K1928">
        <f>HYPERLINK("https://yourei.jp/帰京", "查看例句")</f>
        <v/>
      </c>
    </row>
    <row r="1929">
      <c r="A1929" t="inlineStr">
        <is>
          <t>企業</t>
        </is>
      </c>
      <c r="B1929" t="inlineStr">
        <is>
          <t>成功</t>
        </is>
      </c>
      <c r="C1929" t="inlineStr">
        <is>
          <t>読み方：きぎょう
営利を目的として、継続的に生産・販売・サービスなどの経済活動を営む組織体。また、その事業。資本主義経済のもとでは、ふつう、私企業をさす。</t>
        </is>
      </c>
      <c r="D1929" t="inlineStr">
        <is>
          <t>企業向け；企業内；企業経営；企業チーム；企業等</t>
        </is>
      </c>
      <c r="E1929" t="inlineStr">
        <is>
          <t>仕事；会社；事業；営業；商業</t>
        </is>
      </c>
      <c r="F1929" t="inlineStr">
        <is>
          <t>各企業；運営する企業；系企業；製造企業；展開する企業</t>
        </is>
      </c>
      <c r="G1929" t="inlineStr">
        <is>
          <t>企業グループ；企業名；企業活動；企業側；企業間</t>
        </is>
      </c>
      <c r="H1929" t="n">
        <v>29</v>
      </c>
      <c r="I1929" t="inlineStr">
        <is>
          <t>また米国人と米国企業は世界のあらゆるところに進出して活動している。；明治に入ると、近代的な会社・企業組織などの考えが日本にも伝わった。；その主体は企業であり、これが物財やサービスを生産し流通させている。；事務所に入って最初の仕事は、企業向けビデオの顔出しでの出演である。；これは企業デスクトップ市場を得るためのノベルの最初の試みであった。；によって運営されており、中国のメディア企業であるの協賛を得ている。；最終的に5両が個人・企業に売却され、他の車両は全て解体処分となった。；専門的な分野の雑誌は、契約制で企業や個人宅に直接配送するものがある。；個人参加も可能で、企業がスポンサーとして参加することも可能である。；兵器の開発や製造は、兵器企業や軍需企業などと呼ばれる企業が行う。；現在精油の業界は、巨大で強力な一握りの国際的企業に支配されている。；カリフォルニア州に本拠地のある企業には以下のようなものがある。；ペンシルベニア州に本拠地のある企業には以下のようなものがある。；都市部の中小企業に就職したかれらの豊富な労働力が日本経済を支えた。；この発表を受け、学習塾を経営する企業などの教育関連の株が急落した。；北九州市に本社を置くTOTOはトイレ等衛生機器のトップ企業である。；チェコの工場を閉鎖して別の国に工場を新設することを検討している企業も多い。；世界でもっとも鉄道車両生産額が大きい企業は、中国の中国中車である。；企業向けシステムのメインフレーム用OSなどもほぼ全てこの方式である。；産学共同の状況では56件中14件が大学と企業との共同研究であった。；特別産業区には、以下の5区があり、共に国内外の企業を誘致している。；OEMは、他社ブランドの製品を製造すること、またはその企業である。；ほか、企業の広告として連載されていたものが人気を博していたこともある。；は、複数の企業から個人にオフィスを貸し出す分散型のセンターである。；GNUが有名になるにつれて、GNUに興味を持つ企業が現れはじめた。；企業や団体などの組織を象徴する色をコーポレートカラーと言う。；特に他のコンピュータ企業が自社製システムの試験装置を構築するのによく使った。；ニューヨーク州に拠点を持つ企業には以下のようなものがある。；書籍や雑誌など出版されたものをと呼び、出版を事業とする企業を出版社と呼ぶ。</t>
        </is>
      </c>
      <c r="J1929">
        <f>HYPERLINK("https://www.weblio.jp/content/企業", "词义详情")</f>
        <v/>
      </c>
      <c r="K1929">
        <f>HYPERLINK("https://yourei.jp/企業", "查看例句")</f>
        <v/>
      </c>
    </row>
    <row r="1930">
      <c r="A1930" t="inlineStr">
        <is>
          <t>戯曲</t>
        </is>
      </c>
      <c r="B1930" t="inlineStr">
        <is>
          <t>成功</t>
        </is>
      </c>
      <c r="C1930" t="inlineStr">
        <is>
          <t>読み方：ぎきょく
演劇の脚本・台本。人物の会話や独白、ト書きなどを通じて物語を展開する。また、そのような形式で書かれた文学作品。ドラマ。</t>
        </is>
      </c>
      <c r="D1930" t="inlineStr">
        <is>
          <t>戯曲化；戯曲集；戯曲作家；戯曲賞；戯曲全集</t>
        </is>
      </c>
      <c r="E1930" t="inlineStr">
        <is>
          <t>ドラマ；脚本；芝居；演劇；劇</t>
        </is>
      </c>
      <c r="F1930" t="inlineStr">
        <is>
          <t>新しい戯曲；小説戯曲；原作戯曲；戯曲文学；処女戯曲</t>
        </is>
      </c>
      <c r="H1930" t="n">
        <v>29</v>
      </c>
      <c r="I1930" t="inlineStr">
        <is>
          <t>当時の戯曲の上演では、女の役は少年が演じていたことが知られている。；さらに下記のような多くの小説や戯曲などでもその舞台になってきた。；最終章は戯曲になっており、途中のいくつかの章は長い詩になっている。；またサンスクリット語の戯曲のなかで今日まで伝わっているものもある。；近年は、中国国内でも高行健の作品を収めた戯曲選集が刊行されている。；ロバート・ボルト自作の戯曲を自ら映画用脚本に書き改めたものである。；また妻と共同でアイルランドの作家の戯曲の翻訳なども手がけた。；文学や戯曲の分野で、新しい表現方法を切り開いたことがその理由だった。；また、文学への関心も強く、この頃から多くの詩や戯曲を執筆し始めている。；後者は戯曲化もなされ、1995年にはフェニックス賞も受賞している。；この経験が戯曲風小説『悪魔のくる家』の執筆のヒントになったとされる。；バーゴインは当時著名な劇作家であり、多くの人気のあった戯曲を残した。；この戯曲には多くの巷間に知られたワイルド流の機智が含まれている。；その傍ら、ユダヤ人の生活に取材した小説や戯曲を書き好評を博した。；日本国内のみならず海外でも上演され続け、特にフランスで人気が高い戯曲でもある。；あくまでも文学の一ジャンルとしての戯曲について使われる言葉である。；なお戯曲を除き、脚本は単独で発表されることは基本的にない。；映像化された幾つかの作品も戯曲版を基にしている。；このアルバムはゲーテの戯曲、ファウストをモチーフにして作成された。；近世文学・芸能の研究を経て、戯曲・小説の創作を手がけ、演出も行う。；シェーファーは戯曲のほか映画の脚本でも多くの業績を残している。；この間に文学書を読みあさり、やがて戯曲にも強い関心を抱くようになる。；上着のポケットにはソフォクレス戯曲集とキーツの詩集があったという。；元の時代の文学で特筆すべきは雑劇と呼ばれる戯曲の作品である。；脚本形式だから戯曲に分類することも不可能ではない。；アガサはロンドンで3本の戯曲を同時に上演した最初の女性劇作家となった。；史劇とは、イギリスやヨーロッパ諸国の歴史を題材とした戯曲である。；多幕ものの戯曲が書かれるようになったのも、劇場に幕が登場してからだという説がある。；上記で紹介した種本が、戯曲化されて上演されることもあった。</t>
        </is>
      </c>
      <c r="J1930">
        <f>HYPERLINK("https://www.weblio.jp/content/戯曲", "词义详情")</f>
        <v/>
      </c>
      <c r="K1930">
        <f>HYPERLINK("https://yourei.jp/戯曲", "查看例句")</f>
        <v/>
      </c>
    </row>
    <row r="1931">
      <c r="A1931" t="inlineStr">
        <is>
          <t>飢饉</t>
        </is>
      </c>
      <c r="B1931" t="inlineStr">
        <is>
          <t>成功</t>
        </is>
      </c>
      <c r="C1931" t="inlineStr">
        <is>
          <t>読み方：ききん
１天候異変などで、農作物の収穫が少なく、食糧が欠乏すること。「天保の—」
２必要とする物が非常に不足すること。「水—」</t>
        </is>
      </c>
      <c r="D1931" t="inlineStr">
        <is>
          <t>飢饉対策；飢饉救済；飢饉地方；飢饉地帯；飢饉つづき</t>
        </is>
      </c>
      <c r="E1931" t="inlineStr">
        <is>
          <t>欠乏；払底；饑饉；凶荒；飢きん</t>
        </is>
      </c>
      <c r="F1931" t="inlineStr">
        <is>
          <t>大規模な飢饉；ひどい飢饉；水飢饉；ウクライナ飢饉；猪飢饉</t>
        </is>
      </c>
      <c r="H1931" t="n">
        <v>29</v>
      </c>
      <c r="I1931" t="inlineStr">
        <is>
          <t>だが、飢饉が一度発生した場合にはそれが数年間にもわたる場合がある。；連中は何もすることが無く、ただ秋が来て飢饉になるまで待つしかない。；ジャガイモは飢饉の後もアイルランドの主要な農業生産物であり続けた。；また貯倉は飢饉のときには民衆に米を配給する義倉の役割も持っていた。；という特徴のために島に定着し、人々を飢饉から救ってきた歴史がある。；ここまで多くの飢饉が発生した理由は不確かな降雨と頻繁な旱魃による。；飢饉と大離散を経た旧帝国に、外宇宙から新たな勢力が帰還してくる。；猪の被害は猪飢饉の後も若干だが継続し、後の宝暦の飢饉にまで至った。；学問に優れ、飢饉でも食べることができる野草の研究などをしていた。；この時期の多くの地域では飢饉が起こることも珍しくなかった。；ロシアに飢饉が発生し、彼の両親はモスクワを離れざるを得なくなったのだ。；クレオメネスは飢饉時に穀物の輸出を規制して、国内の食料を確保した。；飢饉はふだんの生活を混乱させたので人々の生活条件は悪化した。；食糧の不足が何らかの理由で発生しても、必ずしも飢饉となるわけではない。；飢饉が報告されると、党中央と地方指導部との間での責任転嫁も起こった。；土粥は飢饉の際、食べられていたとされる土と水だけで作る救荒食である。；アブラハムの息子イサクは飢饉があった頃、ゲラル地方に滞在していた。；イヌイットの人々の間では、飢饉の時を除いて自殺はほとんどありなかった。；国土は、スウェーデン人が王を非難するに至るほどの飢饉に悩まされた。；慢性的な食料有事の状態にあると飢饉や飢えの被害にあう可能性が高い。；しかし同国では戦後からの飢饉により反ソビエト運動が活発化していた。；古来、この地方では飢饉が非常に多く、その度に多大な死者を出していた。；侯景の乱が起こると、都の建康は飢饉に襲われ、餓死する者が多く出た。；これらの改良工事は飢饉への対策であった可能性もある。；長く続いた飢饉で困った親が口減らしのために子捨てをする話。；また飢饉に備えて積み立てを行い窮民を救済する社会的機能も有していた。；もう1つは疫病や飢饉、地震など災害が発生した時に行われるものである。；相次ぐ飢饉で人々が飢え苦しみ、社会が混乱の様を呈していた鎌倉中期。；彼こそが1990年代初めのロシアの分裂と内戦と飢饉を防いだのだ。</t>
        </is>
      </c>
      <c r="J1931">
        <f>HYPERLINK("https://www.weblio.jp/content/飢饉", "词义详情")</f>
        <v/>
      </c>
      <c r="K1931">
        <f>HYPERLINK("https://yourei.jp/飢饉", "查看例句")</f>
        <v/>
      </c>
    </row>
    <row r="1932">
      <c r="A1932" t="inlineStr">
        <is>
          <t>基金</t>
        </is>
      </c>
      <c r="B1932" t="inlineStr">
        <is>
          <t>成功</t>
        </is>
      </c>
      <c r="C1932" t="inlineStr">
        <is>
          <t>読み方：ききん
１経済活動の財産的基礎となる資金。
２特別会計・特殊法人などの財産的基礎となる資金。
３地方公共団体が特定の目的のために、財産を維持し、資金を積み立て、または定額の資金を運用するために設けた財産。基本財産。</t>
        </is>
      </c>
      <c r="D1932" t="inlineStr">
        <is>
          <t>基金会(2%)；基金理事長；基金募集；基金制度；基金主催</t>
        </is>
      </c>
      <c r="E1932" t="inlineStr">
        <is>
          <t>ファンド</t>
        </is>
      </c>
      <c r="F1932" t="inlineStr">
        <is>
          <t>信託基金；教育基金；研究基金；同基金；奨学基金</t>
        </is>
      </c>
      <c r="H1932" t="n">
        <v>29</v>
      </c>
      <c r="I1932" t="inlineStr">
        <is>
          <t>ジャックはスイスのキュリーで海湖研究保護基金の設立に協力している。；トルストイは友人たちからも資金を集め移住のための基金を設立した。；基金は、特定の目的のために準備された元手となる資金のことである。；CIATの資金は、多くの国・民間基金・国際機関から供給されている。；テイラーはユダヤ民族基金のようなユダヤ教組織に資金援助をしていた。；基金はロンドン地質学会の出版費用や、資料室の拡張費用にもあてられた。；これは非常に斬新で効果的な試みで、基金の活動のための資金も大幅に伸びた。；現在は砦を管理する基金が観光案内、博物館および研究センターを運営している。；幾つかの自治体が基金からの借入金があったことが10月28日判明。；第一次世界大戦で破壊された大学を再建するため、渡米し基金を立ち上げた。；アラスカ州憲法は州の基金を特定目的に使うことをしないように規定されている。；特定の事務又は事業の運営手段の必要から設けられる基金である。；バス教育委員会もこれとは別に、校舎の修復のための基金を設立した。；かくしてアイオワ州発展評価基金は2005年末に復活することとなる。；また基金の創設により、観光行政を担当する職員数や観光関連の予算が増加した。；その中でも、トゥーレ政権は児童基金の設立などの実績を残している。；この基金は政府によって任命される政治家が会員となっている。；児童福祉基金捻出のためカメラの製造を始めたのが始まりとされる。；街は1940年代に建てられたペスタロッチ子供基金の子供村で有名である。；その結果、歴史地域には現在基金が所有する土地全体を含むように修正することが推薦された。；そのような意図ではあったが、基金は1948年までに使い果された。；実際にフィンランド政府は基金を募って実験都市を建設しようと準備している。；主にアフリカの紛争地域の、子供のための意識向上と基金集めのために活動している。；同年12月5日には基金を作って少子化現象の対策にあたる考えを示した。；三 投資者保護基金の業務及び組織の適正な運営の確保に関すること。；四 投資者保護基金の業務及び組織の適正な運営の確保に関すること。；基金は校舎建設資金の3分の1を拠出し、残りを町と州が分割した。；ソ連作曲家同盟に加盟することが許されず、代わりにソ連音楽基金に加入した。；その後同基金は、2010年までに廃止されることが決定された。</t>
        </is>
      </c>
      <c r="J1932">
        <f>HYPERLINK("https://www.weblio.jp/content/基金", "词义详情")</f>
        <v/>
      </c>
      <c r="K1932">
        <f>HYPERLINK("https://yourei.jp/基金", "查看例句")</f>
        <v/>
      </c>
    </row>
    <row r="1933">
      <c r="A1933" t="inlineStr">
        <is>
          <t>菊</t>
        </is>
      </c>
      <c r="B1933" t="inlineStr">
        <is>
          <t>成功</t>
        </is>
      </c>
      <c r="C1933" t="inlineStr">
        <is>
          <t>読み方：きく
［常用漢字］　［音］キク（呉）（漢）
植物の名。キク。「菊花／寒菊・観菊・残菊・白菊(しらぎく)・野菊(のぎく)・乱菊・除虫菊」
［名のり］あき・ひ</t>
        </is>
      </c>
      <c r="D1933" t="inlineStr">
        <is>
          <t>菊千代(4%)；菊四(3%)；菊女(3%)；菊紋；菊坂</t>
        </is>
      </c>
      <c r="E1933" t="inlineStr">
        <is>
          <t>キク；菊花；隠君子</t>
        </is>
      </c>
      <c r="F1933" t="inlineStr">
        <is>
          <t>小野菊；弁菊；糸菊；白い菊；ひな菊</t>
        </is>
      </c>
      <c r="G1933" t="inlineStr">
        <is>
          <t>菊花賞；菊地；菊五郎；菊池寛；菊川</t>
        </is>
      </c>
      <c r="H1933" t="n">
        <v>29</v>
      </c>
      <c r="I1933" t="inlineStr">
        <is>
          <t>正月五ヵ日の間毎日のようにお菊の家の隣の新兵衛の家に遊びに行った。；「中」という文字の周りに菊の花と葉が描かれたデザインとなっている。；お菊は自分を見るとすぐ横を向いて、自分の視線をさけるようすであった。；ほぼ菊に似た花をつけるものの、野菊とは呼びにくそうなものを挙げる。；同時に南洋春菊、台湾で昭和草との呼称があったことが記されている。；それは生きている時とちっとも変わらないお菊の美しい顔であった。；日本でもよく知られている物としては、乾燥した菊を入れた菊枕がある。；菊水丸自身も、当番組だけで1万回の放送を達成することを目標に掲げた。；皿が惜しさにこの菊を成敗すると思うたら、それは大きな料簡ちがいだ。；豊臣秀次の娘お菊の像が安置されていることから「お菊寺」と呼ばれる。；台所働きのお仙も正直者であったが、腰元のお菊も甲斐甲斐しく働いた。；お菊は張りつめた気が一度にゆるんで、頽れるように縁先に手をついた。；ところが周りの者が、お菊がわざと皿を割った瞬間を目撃していた。；農業は現在も盛んで、サトウキビのほかに人参や菊なども栽培されている。；当初は菊座型であったが栽培のうちにヒョウタンのような形状となったといわれる。；彼等は口を揃えて、お菊のために命乞いをしたが播磨は取合わなかった。；そんな折、菊千代が村人らから集めた刀や鎧を侍らの元に持ち込んでくる。；お菊にもそう見えたらしく自分には思われて、この場合それがひどく感じがよかった。；菊の模様の振袖を着た若い腰元が悲しげな声で皿を数えるとも伝えられた。；黒い縁取りに、椿や菊の花の模様が描かれているのが特徴である。；番太郎が七つ半の析を打って来たのに驚かされてお菊は慌てて内へ入った。；また、傘下の日本酒蔵元である司菊酒造も本事業部門に分類されている。；しかし聞いた者は死なず、よく聞くとお菊が九枚以降も皿を数え続けている。；泣いていいか、笑っていいか、今のお菊には見当が付かなくなった。；その後も菊の体調は本調子にはならず、病気がちな日々が続いた。；私の庭の隅に咲いた菊の花の天然の美しさにより多く心が惹かれぬでもない。；日本では旧暦では菊が咲く季節であることから菊の節句とも呼ばれる。；村人は与右衛門に剃髪させ謝罪させるが怨霊は離れず菊は苦しみ続けた。；菊石の名の由来は、秋に石の上の一面に菊の花が咲き乱れていたことに由来する。</t>
        </is>
      </c>
      <c r="J1933">
        <f>HYPERLINK("https://www.weblio.jp/content/菊", "词义详情")</f>
        <v/>
      </c>
      <c r="K1933">
        <f>HYPERLINK("https://yourei.jp/菊", "查看例句")</f>
        <v/>
      </c>
    </row>
    <row r="1934">
      <c r="A1934" t="inlineStr">
        <is>
          <t>利く</t>
        </is>
      </c>
      <c r="B1934" t="inlineStr">
        <is>
          <t>成功</t>
        </is>
      </c>
      <c r="C1934" t="inlineStr">
        <is>
          <t>読み方：きく
［動カ五（四）］
１効果や働きなどが現れる。期待どおりのよい結果が実現する。効き目がある。「てきめんに—・く薬」「宣伝が—・いて大評判だ」「腹部へのパンチが—・く」
２本来の機能を十分に発揮する。機敏に、また、さかんに活動する。「鼻が—・く」「麻痺(まひ)して手足が—・かない」
３それをすることが可能である。できる。「洗濯の—・く生地」「無理の—・かないからだ」「学割が—・く」
４（多く「口を利く」の形で）
㋐言葉を発する。物を言う。「生意気な口を—・く」「口も—・かない仲」
㋑間に入って、うまくいくように世話をしてやる。まとまるように話をつける。「取引先に口を—・いてやる」
５技能がすぐれている。腕が立つ。
「日頃—・いたる口三味線、太鼓持ちとなれり」〈浮・永代蔵・五〉
[補説] ふつう、1は「効く」、2・3は「利く」と書く。
[下接句]大きな口を利く・押さえが利く・押しが利く・顔が利く・気が利く・小口を利く・潰(つぶ)しがきく・睨(にら)みが利く・鼻が利く・幅が利く・目が利く・目先が利く・目端(めはし)が利く・山葵(わさび)が利く</t>
        </is>
      </c>
      <c r="D1934" t="inlineStr">
        <is>
          <t>利くまい；利くらしい；利くんです；利くらしく；利くことすらでき</t>
        </is>
      </c>
      <c r="E1934" t="inlineStr">
        <is>
          <t>機能；作用；効く</t>
        </is>
      </c>
      <c r="H1934" t="n">
        <v>29</v>
      </c>
      <c r="I1934" t="inlineStr">
        <is>
          <t>以前、訪ねてきた時にはこんな気の利いたところは一軒もなかったのに。；ただ体は言うことを聞かないものの、表情と心の方はまだ自由が利いた。；従来の民謡の文句がいかに気の利いたものであるかを忘れてはいけない。；こんな口の利き方はまず出来ないし、そもそもしてはいけないのである。；稀に二人は口を利く模様でしたが、水車の響きで聞えようもありません。；自分は腹が重いのと、足が重いのとの両方で、口を利くのが厭になった。；鼻の次に耳たぶひとつ犠牲にして、口の利き方を教えて上げましょうか?；桜は気が利いて、こっちのやりたいことを読み取って準備をしてくれる。；またあの犬のように鼻の利く嫉妬深い妻に気付かれてしまっては大変だ。；僕と作とはそれまでほとんど用の口よりほかに利いた事がなかったのである。；ことに朝から屠蘇機嫌でいるところへ大きいのを出すのは気が利かない。；個人が無料で制作した広告なので、対象企業のコントロールが利かない。；ただ思うように口が利けないから、黙って向うの云う事を聞いていた。；その不思議な片手は、ほとんど利かない伸ばしたままの指を襟にかける。；ただその人がどういう風に口を利き身振をし行動するかを知るだけである。；ここへ来るまでも、来てからも、葉は雄一とほとんど口を利いていない。；右利きの兄のグローブを使って野球を始めたことから右投げになった。；四日目には私と諸戸とはもう口を利くことさえ叶わぬ状態になっていた。；また、2017年のインタビューでは自身は両利きであると語っている。；さうして二三日の間は殆ど人と口を利く元氣もない程の苦痛に囚へられた。；私は、その新さんという男には、たった二度ほか口を利いたことがない。；玄瑞の属する寺社組には、すでにこのころから顔が利いていたのだろう。；しかし、太陽の熱がいいぐあいに利いてくれるだろう、とかれは思った。；口を利いてもよいという許しと、夫人はこれを解して気を振り起こした。；そして二人は口も利かなくなり、リュービンはバンドを去ってしまった。；決して無愛想な調子ではないが、気の利いた世俗的な感じでは更にない。；あたしのゐない処ぢや、なるべく口も利かないやうにしてた方がいいね。；それで全治してから後は、不思議に夜目が利くようになったのであった。；しかし聟の財産で世話になるのは、いかに気に入った男でも幅が利かぬ。</t>
        </is>
      </c>
      <c r="J1934">
        <f>HYPERLINK("https://www.weblio.jp/content/利く", "词义详情")</f>
        <v/>
      </c>
      <c r="K1934">
        <f>HYPERLINK("https://yourei.jp/利く", "查看例句")</f>
        <v/>
      </c>
    </row>
    <row r="1935">
      <c r="A1935" t="inlineStr">
        <is>
          <t>聞く</t>
        </is>
      </c>
      <c r="B1935" t="inlineStr">
        <is>
          <t>成功</t>
        </is>
      </c>
      <c r="C1935" t="inlineStr">
        <is>
          <t>読み方：きく
［動カ五（四）］
１音・声を耳に受ける。耳に感じ取る。「物音を—・く」「見るもの—・くものすべてが珍しい」「鳥の声も—・かれない」
２（聴く）注意して耳にとめる。耳を傾ける。「名曲を—・く」「有権者の声を—・く」
３話を情報として受け入れる。「—・くところによると」「君の評判をあちこちで—・いた」
４人の意見・要求などを了承し、受け入れる。「親の言いつけをよく—・く」「今度ばかりは彼の頼みを—・いてやってほしい」
５（「訊く」とも書く）尋ねる。問う。「道を—・く」「自分の胸に—・け」「彼の都合を—・いてみる」
６感覚を働かせて識別する。
㋐（聞く）においのよしあしや種類を鼻で感じ取る。においをかぐ。「香(こう)を—・く」
㋑（「利く」とも書く）酒の味のよしあしや種類を舌で感じ取る。味わい試す。「酒を—・く」
７当てて試してみる。「板の厚さに—・いて釘を打つ」
８釣りで、当たりの有無を確かめるために、仕掛けを引いたり軽く竿を上げたりしてようすをみる。
[可能]きける
[下接句]音に聞く・香(こう)を聞く・言承(ことう)け良しの異見(いけん)聞かず・天は高きに居(お)って卑(ひく)きに聴く・仲人口(なこうどぐち)は半分に聞け・胸に聞く</t>
        </is>
      </c>
      <c r="D1935" t="inlineStr">
        <is>
          <t>聞く耳；聞くべき；聞くまい；聞くともなく；聞くと同時に</t>
        </is>
      </c>
      <c r="E1935" t="inlineStr">
        <is>
          <t>与える；入れる；質問；許可；承認</t>
        </is>
      </c>
      <c r="F1935" t="inlineStr">
        <is>
          <t>初めて聞く；はじめて聞く；後で聞く；聞くと大いにおどろき；聞くだけ野暮</t>
        </is>
      </c>
      <c r="G1935" t="inlineStr">
        <is>
          <t>聞く耳を持たない；聞く力；聞くならく；聞く聞く</t>
        </is>
      </c>
      <c r="H1935" t="n">
        <v>29</v>
      </c>
      <c r="I1935" t="inlineStr">
        <is>
          <t>いくら私が赤より黒の方が見えにくいはずだと言っても聞こうとしない。；理由は祖母がなりたかった職業だということを聞いていたからだという。；そのため空中の音を聞くための聴覚を強化する必要があったからである。；これを聞いた田文はその客に料理がまったく同じだと言うことを示した。；彼女のよく知っている音だが、母親の家の中で聞こうとは思わなかった。；そして彼は何が行われるのか少しでも聞こうと思ってぐずぐずしていた。；妻がどうしてこんな夜道に旅しているかの原因をさえも聞こうとしない。；非協力作家のリストを軍の黒幕になって作っている文士もあると聞いた。；どれも話にしか聞かない珍しい宝ばかりで、手に入れるのは困難だった。；そのため記事にする前に色々な人の意見をお聞きしたいと思っております。；そう聞くと驚く人も多いでしょうけれど、それが彼女の望んだことなのよ。；子供の頃育ての母親の死んだ夫の言葉を聞くなど、不思議な力を持つ。；これを聞いたイオカステーは真実を知り、自殺するためその場を離れた。；その後はマイケルがラトーヤの家を訪問する話も聞かれるようになった。；これがぼくがみんなと一緒に残って音楽を聞こうとしなかった理由だ。；それを聞いたハイゼンベルクは、そんなことは不可能だと驚いたという。；これを聞いた南部住民数千人がアラブ系住民を襲撃するなどの事件が発生。；しかしセヴマシュはそんな話は聞いていないとしてこの情報を否定した。；ところが球団が聞く耳を持たなかったから水原さんは去っていくわけです。；彼女の気持をいたわるために、私はそれ以上聞こうとはしませんでした。；そんな野暮なことは止めにして、ここでお前の話を聞こうじゃあねえか。；具体的にはコイントスでも、誰かに賛成・反対の意見を聞くのでもよい。；しかし、彼女はそれを聞こうともせず、なんといっても承知しなかった。；曲調は曲の断片を少し聞いただけでも彼女のものと判るほど特徴がある。；おそらく彼の最大の短所は人を介して報告を聞くことを嫌うことである。；そもそも明確な願いのない俺が、人の願いを聞こうだなんて冒涜だろう。；その様子をガラス越しに聞いていた永は思わず涙を流したという。；このとき、彼らは隣の人の声を聞くのを待たずに声をあげることができる。；しかし、だれも、私が何を言っているのか、聞こうともしませんでした。</t>
        </is>
      </c>
      <c r="J1935">
        <f>HYPERLINK("https://www.weblio.jp/content/聞く", "词义详情")</f>
        <v/>
      </c>
      <c r="K1935">
        <f>HYPERLINK("https://yourei.jp/聞く", "查看例句")</f>
        <v/>
      </c>
    </row>
    <row r="1936">
      <c r="A1936" t="inlineStr">
        <is>
          <t>効く</t>
        </is>
      </c>
      <c r="B1936" t="inlineStr">
        <is>
          <t>成功</t>
        </is>
      </c>
      <c r="C1936" t="inlineStr">
        <is>
          <t>読み方：きく
［動カ五（四）］
１効果や働きなどが現れる。期待どおりのよい結果が実現する。効き目がある。「てきめんに—・く薬」「宣伝が—・いて大評判だ」「腹部へのパンチが—・く」
２本来の機能を十分に発揮する。機敏に、また、さかんに活動する。「鼻が—・く」「麻痺(まひ)して手足が—・かない」
３それをすることが可能である。できる。「洗濯の—・く生地」「無理の—・かないからだ」「学割が—・く」
４（多く「口を利く」の形で）
㋐言葉を発する。物を言う。「生意気な口を—・く」「口も—・かない仲」
㋑間に入って、うまくいくように世話をしてやる。まとまるように話をつける。「取引先に口を—・いてやる」
５技能がすぐれている。腕が立つ。
「日頃—・いたる口三味線、太鼓持ちとなれり」〈浮・永代蔵・五〉
[補説] ふつう、1は「効く」、2・3は「利く」と書く。
[下接句]大きな口を利く・押さえが利く・押しが利く・顔が利く・気が利く・小口を利く・潰(つぶ)しがきく・睨(にら)みが利く・鼻が利く・幅が利く・目が利く・目先が利く・目端(めはし)が利く・山葵(わさび)が利く</t>
        </is>
      </c>
      <c r="D1936" t="inlineStr">
        <is>
          <t>効くかどう；効くらしい；効くかもしれ；効くんです；効くでしょ</t>
        </is>
      </c>
      <c r="E1936" t="inlineStr">
        <is>
          <t>機能；作用；辛い；有効な；効果的</t>
        </is>
      </c>
      <c r="F1936" t="inlineStr">
        <is>
          <t>一番効く；本当に効く；良く効く；なぜ効く</t>
        </is>
      </c>
      <c r="H1936" t="n">
        <v>29</v>
      </c>
      <c r="I1936" t="inlineStr">
        <is>
          <t>見てすぐ分かったのは説得が効き、観念して兄の考えに同意したことだ。；こんどの例を以てしても、あの第六十四番だけが効くとは信じられない。；このようにすると腕の力をあまり使わずに広背筋下部によく効いてくる。；安価なものだとバランスの悪さから片効き状態になりやすい傾向がある。；この時使用されるカテゴリは駄洒落の効いた名前が付けられる事もある。；マシンの軸よりも前の方に立つとハックスクワットのような効き方をする。；そしていかにこの場を遁れるために油の説明が効いたか分らなかった。；そうしたもののなかに、この病に効くものがないなんて誰に言えるの?；なぜ今年になってから作った薬だけがそんなふうに効いたか考えたと。；中翼やライトプレーンのような単独翼に近い場合はその中間の効きになる。；それならば暗い顔をする訳はないがと思うと、効きすぎたのだとまた言った。；そして、その場に膝をつくと、ちゃんと薬が効いていることを確かめた。；早駆け獣のなかには、何が自分に効くかわかる頭のいいやつもいるだろう。；野口医師が与えた鎮静剤がまだ効いていて、そのせいなのかもしれない。；しかし薬というものは、それを用いる者が効くと思えば効くものである。；劇的に効くかもしれないし、逆に副作用のほうが強く出るかもしれない。；本来効かないはずの偽の薬でも本物と同じように効いてしまうことがある。；そんな材料から作ったものでも、僕僕の作った薬は実によく効いた。；しかしやがて勇気をだした、母親はその薬の効いているあいだは眠っている。；「全く、魔法のようによく効いたよ」 竜太は明るい顔を芳子に向けた。；医術師が施した薬が効いているのだろう、負傷者たちはよく眠っている。；当時わずか16歳とは思えぬパンチの効いた高い歌唱力で話題を浴びた。；しかし彼にとっては、警察よりも記者の名前のほうが効いたのである。；ハトムギはニキビに効くとかでこの年代の若者がよく買っていくのである。；それでも私には温泉が非常に身体に効くような気がして仕方がない。；戦闘経験があって、一瞬で行動判断の出来る相手だから効く方法だ。；生きて動く鋼のような身体が、曇り止めの効いた鏡に映し出されている。；聖言に接して己が罪の傷口の痛みを感ずる者は、塩が効いているのだ。；麻酔の効いた顔面の中で、機械仕掛けの瞳だけか明らかに活動していた。</t>
        </is>
      </c>
      <c r="J1936">
        <f>HYPERLINK("https://www.weblio.jp/content/効く", "词义详情")</f>
        <v/>
      </c>
      <c r="K1936">
        <f>HYPERLINK("https://yourei.jp/効く", "查看例句")</f>
        <v/>
      </c>
    </row>
    <row r="1937">
      <c r="A1937" t="inlineStr">
        <is>
          <t>器具</t>
        </is>
      </c>
      <c r="B1937" t="inlineStr">
        <is>
          <t>成功</t>
        </is>
      </c>
      <c r="C1937" t="inlineStr">
        <is>
          <t>読み方：きぐ
簡単な器機や道具類。「実験—」「電気—」
→道具［用法］</t>
        </is>
      </c>
      <c r="D1937" t="inlineStr">
        <is>
          <t>器具類(2%)；器具等；器具品質表示規程；器具製造業；器具調度</t>
        </is>
      </c>
      <c r="E1937" t="inlineStr">
        <is>
          <t>機関；機械；道具；機器；マシン</t>
        </is>
      </c>
      <c r="F1937" t="inlineStr">
        <is>
          <t>用器具；拷問器具；補助器具；手術器具；運動器具</t>
        </is>
      </c>
      <c r="H1937" t="n">
        <v>29</v>
      </c>
      <c r="I1937" t="inlineStr">
        <is>
          <t>長い柄の先に花の形をした金属製の型が付いた専用の器具を用いて作る。；現代のような登攀器具がない時代だったため、投げ縄を用いて挑戦した。；主に電気・磁気を利用した治療器具・健康器具の製造販売を専業とする。；トレーニング器具ブルワーカーの雑誌広告に起用されていたこともある。；ブラッグは教育設備の不足を補うため、自ら器具製作者に弟子入りした。；ただし、この器具がどの程度普及したかどうかという記録は残っていない。；特に一部の無影灯下では器具が認識されないほど影響を受けるケースもある。；もともと、セールスマンとして同社に様々な機械や器具を販売していた。；フィッツロイは船の船長が情報を集めて報告できるように器具を手配した。；測定したい線種と目的に応じて適切な器具を選ばなければならない。；また収容人数が大きい場合は避難器具を設置し通常の避難路を支援する。；測量者はこの位置に器具を設置して、近くの物体を測定が可能となる。；件の器具は円筒形の管で、フルートの形状かつサイズもほぼ同じである。；道具とは、物をつくったり、あるいはなにかを行うために用いる器具の総称。；鳥類の卵細胞は人間が器具を用いずに観察できる最大の細胞のひとつである。；また、直火式の器具も含めてエスプレッソマシンと言われることもある。；三松が愛した昭和新山に観測器具を構えるようにして像が建立されている。；発病してから、身体の痛みを和らげる器具をいくつか発明し製作している。；特にフィールド種目の場合には用器具の準備や練習場所の確保などが難しい。；その血液を絞り取るために特別に作らせた器具が鉄の処女であるとされる。；このほかにも採水器など海洋調査に必要な器具の開発も行っている。；このため防災倉庫等では一定数の同器具を常備している所も見られる。；運動器具会社社長のハワードは、仕事に追われる多忙な日々を送っている。；Uの字のヘアピン状の器具にレース糸を渡して編んだ事からこの名がついた。；器具が複数となればその位置関係を計算することになる。；これで水分が無くなっているが、量や器具、室温等で異なる場合がある。；忠敬は、この区間は測量器具による誤差の影響があったためだと考えた。；ただし必ずしも器具は必要ではなく、素手でこすり定着させても良い。；前者は簡易な道具で可能だが、後者は専用器具を使うことが多い。</t>
        </is>
      </c>
      <c r="J1937">
        <f>HYPERLINK("https://www.weblio.jp/content/器具", "词义详情")</f>
        <v/>
      </c>
      <c r="K1937">
        <f>HYPERLINK("https://yourei.jp/器具", "查看例句")</f>
        <v/>
      </c>
    </row>
    <row r="1938">
      <c r="A1938" t="inlineStr">
        <is>
          <t>木耳</t>
        </is>
      </c>
      <c r="B1938" t="inlineStr">
        <is>
          <t>成功</t>
        </is>
      </c>
      <c r="C1938" t="inlineStr">
        <is>
          <t>読み方：きくらげ
１担子菌類キクラゲ科のキノコ。桑やニワトコの枯れ木に群生。形が人の耳に似て、茶色で寒天質。乾燥すると縮み、軟骨質になる。主に中華料理に用いる。きのみみ。《季夏》「—や母の遺せし裁鋏(たちばさみ)／不死男」
２《1に形が似るところから》人の耳。
「其所見を著者の—に聞かしめたまわば」〈逍遥・小説神髄〉</t>
        </is>
      </c>
      <c r="H1938" t="n">
        <v>26</v>
      </c>
      <c r="I1938" t="inlineStr">
        <is>
          <t>その形が人の耳に似ているので木耳である。；木耳は、干しておけば冬でも食べられると、重太郎から聞いていた。；テーブルの上には、黄魚のぶよぶよした唇や、耳のような木耳が箸もつけられずに残っていた。；そして世界中の人間の耳を木耳にしたうござりますわ。；木耳にしなければなりますまい。；木耳に似ているが、扇に短い柄をすげた、という形で、裏には一めんにヒダがある。；蒲団をめくり浴衣を脱がせて、裸にするとリツ子の体は木耳乃のように痩せていた。；著書『音の結晶 多田文昌文様集』木耳社で共感覚者であることを明かしている。；きくらげに「木耳」という漢字を宛てるのは、形が人の耳に似ているからで、西洋でも「ユダの耳」と呼んでいます。；中華料理やベトナム料理でよく使われる野菜で、中華料理では木耳菜、潺菜などと呼んで炒め物にすることが多い。；蟹缶を開け昆布のだしを取り豆腐を裏漉しし鰺のゼイゴとえらを取り干し椎茸を戻し木耳を微塵切りにした。；ベトナム語では、「猫のきのこ」を意味する、または、木耳をベトナム語で音読みしたという。；音が味を助けるとか、音響が味の重きをなしているものには、魚の卵などのほかに、海月、木耳、かき餅、煎餅、沢庵など。；タンメンの温い湯気に顔を包まれてプリプリした木耳や、香ばしいエビや、やわらかくもツンとくるゴマ油の匂いを嗅いでいると、すべてがだらしなくたわいなくほどけて正体を失ってしまいそうであった。；それがカンピンタンになつて木耳になるのだ。；木くらげは木耳と書く。；雨の時など湿れば膨れて寒天状を呈し、宛かも木耳を踏みつけた様な姿を成し、濁黄緑色を呈してビロビロとしているが、日が照って乾けば地面にへばり着いて丁度乾いた犬糞を想わしむる状を呈する者である。；日本語ではキクラゲの漢名「木耳」の熟字訓できくらげと読ませるが、木に生えるクラゲのような食感の食材という意味である。；元代の雑劇「錦雲堂暗定連環計」でも姓を任、名を貂蝉とし、忻州木耳村の生まれで、幼名は紅昌、父親の名が任昂とあり、その他『平話』と共通する部分も多い。；光る菌類には黴類、黒穗菌類、木耳類、ひらたけ類、菌絲類、惡臭菌類等があつて、世界各國を通じて確かに知れてるのは約二十四五種らしい。；日本語では漢名「木耳」の熟字訓で「きくらげ」と読ませるが、木に生えるクラゲのような食感の食材という意味である。；特産はシイタケ、木耳、香榧などである。；毛血旺は一般的にアヒルの血を用い、これにアヒルの腸、タウナギ、ハム、ソーセージ、ランチョンミート、アヒルの胃、ブタの心臓及びその他の肉と、もやし、レタス、木耳などの肉以外の食材を加える。；いわたけは「石茸」とも、また「木耳」に対して「石耳」とも書き、漢名「石芝」と言います。；丸底鍋で豚肉や金華火腿などの肉類、海老、烏賊などの魚介類、椎茸、木耳、筍、人参、白菜、玉葱、青梗菜、ピーマン、ベイビィ・コーンなどの野菜類や鶉卵など多種の具材を油で炒め合わせる。；特産物は絹織物、木耳、キノコ、ワラビ。</t>
        </is>
      </c>
      <c r="J1938">
        <f>HYPERLINK("https://www.weblio.jp/content/木耳", "词义详情")</f>
        <v/>
      </c>
      <c r="K1938">
        <f>HYPERLINK("https://yourei.jp/木耳", "查看例句")</f>
        <v/>
      </c>
    </row>
    <row r="1939">
      <c r="A1939" t="inlineStr">
        <is>
          <t>喜劇</t>
        </is>
      </c>
      <c r="B1939" t="inlineStr">
        <is>
          <t>成功</t>
        </is>
      </c>
      <c r="C1939" t="inlineStr">
        <is>
          <t>読み方：きげき
１こっけいみや風刺を交えて観客を笑わせながら、人生の種々相を描こうとする演劇。⇔悲劇。
２思わず笑いだすような、こっけいな出来事。「事件はとんだ—に終わった」⇔悲劇。</t>
        </is>
      </c>
      <c r="D1939" t="inlineStr">
        <is>
          <t>喜劇的(10%)；喜劇作家；喜劇作品；喜劇性；喜劇詩人</t>
        </is>
      </c>
      <c r="E1939" t="inlineStr">
        <is>
          <t>コメディ；コメディー；ファルス；ファース；笑劇</t>
        </is>
      </c>
      <c r="F1939" t="inlineStr">
        <is>
          <t>イタリア喜劇；ナンセンス喜劇；小喜劇；音楽喜劇；軽喜劇</t>
        </is>
      </c>
      <c r="G1939" t="inlineStr">
        <is>
          <t>喜劇映画；喜劇俳優；喜劇王；喜劇人；喜劇女優</t>
        </is>
      </c>
      <c r="H1939" t="n">
        <v>29</v>
      </c>
      <c r="I1939" t="inlineStr">
        <is>
          <t>原作となる芝居は喜劇であり、舞台でもしばしば上演される作品である。；この喜劇の脚本の記述の真実性への疑義は、避けようのないことである。；僕は又この小学校の中にいろいろの喜劇のあったことも覚えている。；僕は又この小学校の中にいろいろの喜劇のあつたことも覚えてゐる。；喜劇的な要素が減って正攻法のドラマになっているため、批判を受けた。；彼の喜劇の中で、ほぼ完全な形で現存する唯一の作品として知られる。；喜劇は行動から出てくるのではなく、登場人物の人格や会話から生まれた。；彼は本作を一日がどんどん悪くなっていく男の喜劇と表現した。；それ以後は注文が多く入るようになり、特に喜劇のシナリオを多く書いた。；しかし、伯爵の名前で刊行された喜劇の存在は確認されていない。；人生には笑いが必要で、東映としてもここで喜劇路線を確立したいと思う。；彼女は戯曲女優であることに運命を感じ、喜劇の役を演ずることを避けた。；喜劇作品を特に得意としていた、川島雄三の最後の弟子と言える存在である。；ただし何をもって悲劇とするか、喜劇とするかの明確な基準はない。；喜劇的な役を演じる役者は sock と呼ばれる底の薄い靴を履いた。；話の風刺的で喜劇的な調子のためにポーの月の捏造のほうが成功しなかった。；劇作家は晩年まで、滑稽と皮肉をおりまぜながら数多くの喜劇を書いた。；喜劇的効果のほとんどは登場人物間の誤解から生じている。；喜劇的精神を発揮することそのことにもムキにはならない人である。；僕は正直に白状すれば、諸公の喜劇的精神に尊敬と同情とを有するものなり。；前者を悲劇的機関車とすれば後者は喜劇的機関車かも知れない。；お国柄を生かした歴史劇や、日本での紹介は少ないが喜劇の伝統も厚い。；今日では多数の男女にとつて結婚は喜劇以外の何物でもない。；中島と倉本はそれらエロ映画のくくりに入るのは嫌で艶笑喜劇を考えた。；その代わりに彼らの喜劇で私の人身攻撃に渡るような問題に触れてもらいたくないのだよ。；この頃バスター・キートンの笑わぬ喜劇が現れて僕等を又狂喜させた。；このスカパンは、本来イタリア喜劇に出てくる従僕の一つの型である。；それに伴い、初期作品の喜劇性はやや抑えられ、より複雑な構造をもつようになる。；彼はまた自分の経営する学校のために喜劇や悲劇を執筆したが、それらは現存しない。</t>
        </is>
      </c>
      <c r="J1939">
        <f>HYPERLINK("https://www.weblio.jp/content/喜劇", "词义详情")</f>
        <v/>
      </c>
      <c r="K1939">
        <f>HYPERLINK("https://yourei.jp/喜劇", "查看例句")</f>
        <v/>
      </c>
    </row>
    <row r="1940">
      <c r="A1940" t="inlineStr">
        <is>
          <t>議決</t>
        </is>
      </c>
      <c r="B1940" t="inlineStr">
        <is>
          <t>成功</t>
        </is>
      </c>
      <c r="C1940" t="inlineStr">
        <is>
          <t>読み方：ぎけつ
［名］(スル)合議して決定すること。また、その決定された事柄。「満場一致で—する」→決議</t>
        </is>
      </c>
      <c r="D1940" t="inlineStr">
        <is>
          <t>議決される；議決案；議決書；議決事項；議決すべき事件</t>
        </is>
      </c>
      <c r="E1940" t="inlineStr">
        <is>
          <t>決定；制定；結論；投票；決める</t>
        </is>
      </c>
      <c r="F1940" t="inlineStr">
        <is>
          <t>起訴相当議決；衆議院議決；国会議決；開き議決；議決優越</t>
        </is>
      </c>
      <c r="G1940" t="inlineStr">
        <is>
          <t>議決機関；議決権行使助言会社；議決権制限株式</t>
        </is>
      </c>
      <c r="H1940" t="n">
        <v>29</v>
      </c>
      <c r="I1940" t="inlineStr">
        <is>
          <t>しかし、各派は会議後次々と会議の議決に基づき部隊の整理を開始した。；のちに検察審査会で同事件での不起訴は不当であるとする議決を行った。；対して日本国憲法は前述したとおり財政の国会議決主義を規定している。；なお議会はその後、4月20日に戦争の宣言を遡らせる議決を承認した。；すべて皇室の費用は、予算に計上して国会の議決を経なければならない。；もちろんそれを正式に決定するには、女王会議の議決が必要です。；英国では、庶民院が折に触れてこの原則に賛成する議決を行っている。；これは議決の方法として直接民主制をとることなどにも関わっている。；しかし、ロシア人議員ら43人はこの議決に反対して途中退出している。；指定をしようとするときは、議会の議決を経なければならない。；同年6月の町議会で推進の議決がなされ、町の予算で基礎調査が開始された。；これを受けて、4月11日の村議会で敷地変更が議決されたのである。；起訴議決書には議決書の作成を補助した審査補助員の氏名が記載される。；この不当議決を受けての再捜査の結果も嫌疑不十分で不起訴とされた。；その次に設立されたのが、議会で1857年に議決された国立の鉄道である。；運営委員は公務労協の日常的な議決機関である運営委員会を構成する。；事実上、衆議院の議決で過半数を得た候補が内閣総理大臣に指名される。；処分は連盟理事会の議決かつ加盟地方団体・地区連盟会長の同意を得て行うとされている。；この僧都は論議決択のみちにかけては日本第一の誉れのあった人である。；代表議員は市民によるインターネットを通した直接民主的議決を反映する。；そして市会での議決を経て1920年度から市の市区改正事業が始まった。；すでに議決されていた計画、公民館と消防署の建設は、変更されなかった。；しかし、対立は次の10年間も続き1867年に再度議決が行われた。；表決は一国一票で、議決すればこれを事務局に廻わして実行に当らせる。；会議を開いて議決するには、委員の過半数が出席する必要がある。；国会の議決により労働者向けの生命保険を扱う保険会社を設立している。；摂政法案が提出されたが、議決にかけられる前にジョージ3世が回復した。；公会議が王国会議と見なされ、議決が王国法として機能したためとされる。；予算法律が執行されるためには、国会の議決を経なければならない。</t>
        </is>
      </c>
      <c r="J1940">
        <f>HYPERLINK("https://www.weblio.jp/content/議決", "词义详情")</f>
        <v/>
      </c>
      <c r="K1940">
        <f>HYPERLINK("https://yourei.jp/議決", "查看例句")</f>
        <v/>
      </c>
    </row>
    <row r="1941">
      <c r="A1941" t="inlineStr">
        <is>
          <t>棄権</t>
        </is>
      </c>
      <c r="B1941" t="inlineStr">
        <is>
          <t>成功</t>
        </is>
      </c>
      <c r="C1941" t="inlineStr">
        <is>
          <t>読み方：きけん
［名］(スル)権利をすてて使わないこと。特に、投票または議決の権利を行使しないこと。「選挙を—する」「競技を途中で—する」</t>
        </is>
      </c>
      <c r="D1941" t="inlineStr">
        <is>
          <t>棄権する(7%)；棄権負け；棄権扱い；棄権票；棄権勝ち</t>
        </is>
      </c>
      <c r="E1941" t="inlineStr">
        <is>
          <t>放棄；観念；断念；降りる；リタイア</t>
        </is>
      </c>
      <c r="F1941" t="inlineStr">
        <is>
          <t>棄権すること；終了時棄権；負傷棄権</t>
        </is>
      </c>
      <c r="H1941" t="n">
        <v>29</v>
      </c>
      <c r="I1941" t="inlineStr">
        <is>
          <t>第13ステージ途中でイノーが膝を悪くして棄権してしまったのである。；この大会には予選で日本が棄権したことにより自動的に出場が決まった。；しかし次のノバク・ジョコビッチ戦を前に手首の痛みを理由に棄権した。；このあと2つの競走が予定されていたが、ともに相手が棄権している。；この年は全米オープンで日本の錦織圭と対戦したが、途中棄権している。；しかし続くロステレコム杯は肋骨の怪我のためにSDの後に棄権をした。；彼は1956年メルボルンオリンピックにも出場したが途中棄権している。；しかし、膝の悪化に直面して、18マイル地点を過ぎた直後に棄権した。；そのままトップに躍り出るが、ゴールまで1周を残して謎の棄権をする。；しかしそのアタックは失敗に終わり、結局途中棄権せざるを得なくなった。；決勝ではジャック・ソックが途中棄権したため、ツアー3勝目を挙げた。；しかし決勝では途中棄権に終わり、連続のメダル獲得は果たせなかった。；途中で歩くことも認められるが、制限時間内にゴールできない場合は棄権となる。；実力は高く、力をセーブした状態でもマリリンチームを棄権させるほど。；スポーツなどで棄権というと、よく陸上競技や採点競技などで使われる。；しかし、FSの朝の練習にボヤジだけが姿を現すことはなく試合を棄権。；団体には15チームが出場したが1名が棄権したため、44名が出場した。；その年のロンドン五輪代表に選出されたが、本番では途中棄権に終わった。；アフリカ選手権1500mは決勝進出を果たしたが途中棄権に終わった。；また、この大会では十種競技にも出場しているが途中棄権している。；しかし、ジョンソンが脚の故障を理由に途中棄権、ベイリーが勝利した。；組織票はその組織の団結が固いので得票数も安定しており棄権も少ない。；しかし怪我のため同年8月7日に予定されていた決勝戦を棄権した。；彼はほかにも110mハードルに出場し、決勝に進出するが途中棄権している。；準決勝にも勝利したが、この試合で負傷したため決勝は棄権した。；この事故直後にメルセデスは残る6号車を呼び戻し、レースを棄権した。；負傷棄権で引き分けとなったので山下の連続不敗記録は止まらなかった。；男子ロードレース個人に出場したが途中棄権したために順位はない。；なお北村は、解散のきっかけである郵政民営化法案の採決では棄権した。</t>
        </is>
      </c>
      <c r="J1941">
        <f>HYPERLINK("https://www.weblio.jp/content/棄権", "词义详情")</f>
        <v/>
      </c>
      <c r="K1941">
        <f>HYPERLINK("https://yourei.jp/棄権", "查看例句")</f>
        <v/>
      </c>
    </row>
    <row r="1942">
      <c r="A1942" t="inlineStr">
        <is>
          <t>危険</t>
        </is>
      </c>
      <c r="B1942" t="inlineStr">
        <is>
          <t>成功</t>
        </is>
      </c>
      <c r="C1942" t="inlineStr">
        <is>
          <t>読み方：きけん
［名・形動］
１あぶないこと。生命や身体の損害、事故・災害などが生じる可能性のあること。また、そのさま。「身に—が迫る」「高所での—な作業」⇔安全。
２悪い結果を招く可能性があること。また、そのさま。「国際的に孤立する—がある」「—な賭(か)けに出る」</t>
        </is>
      </c>
      <c r="D1942" t="inlineStr">
        <is>
          <t>危険視；危険な状態；危険な場所；危険な存在；危険な状況</t>
        </is>
      </c>
      <c r="E1942" t="inlineStr">
        <is>
          <t>悪い；恐れ；重大；危機；深刻</t>
        </is>
      </c>
      <c r="F1942" t="inlineStr">
        <is>
          <t>どんな危険；大きな危険；危険きわまり；危険防止；こんな危険</t>
        </is>
      </c>
      <c r="G1942" t="inlineStr">
        <is>
          <t>危険物；危険度；危険人物；危険因子；危険思想</t>
        </is>
      </c>
      <c r="H1942" t="n">
        <v>29</v>
      </c>
      <c r="I1942" t="inlineStr">
        <is>
          <t>地上を移動すると事件が起こる危険があるため動くことができないのだ。；イタリアでは神聖ローマ帝国を都市が支援することは全て危険であった。；これは古くから言われていた民主主義の持つ危険性であり、矛盾である。；列車が分岐器を通過している最中に分岐器が途中転換すると危険である。；また、世界で最も言語の消滅の危険が高いといわれている国でもある。；アイスホッケー用以外の靴を競技に用いるのは危険なため禁止されている。；真の危険はテクノロジーが人間を存在からさらに遠ざけるところにある。；傘を開くときは周囲に人がいない方に向けて、危険のないように注意する。；危険なので外国人相手の販売のみで国内では売っていないらしい。；つまり最も衝突の危険が高い主要文明はイスラム文明と中華文明である。；そのため、赤ん坊から毒を吸いだした妻が影響を受ける危険はなかった。；特に乳幼児への使用は危険であり、近くでの使用も避けるべきである。；繁殖中はより敏感であり、危険を感じると雛や卵を放棄することもある。；ただし、不意に近づくと驚いて人間を襲う恐れがあるので危険である。；古い鉱山は危険なことが多く、致死性のガスが溜まっていることもある。；より危険なバイオハザード物質を扱う部屋ほど、多くの対策が必要となる。；狂犬病の人への感染源のほとんどがイヌで、その点は特に危険視される。；二次的な危険を防ぐため防具の破片などを全て回収するまで再開はしない。；特に浮上中に息を止めることは例え一瞬であっても非常に危険である。；しかしこれはしばしば言われるが、貴族の方が兵士よりも危険が大きかった。；浴槽が深い場合、入る際に足を高く上げなければならず危険である。；そのため、シャクティが危険に晒されると冷静な判断を失いがちである。；その結果、一見しただけでは原因を見つけられないバグを作成する危険がある。；地図をしっかりと読める力がないと、迷子になってしまう危険もある。；ナフタレンは脂溶性のため体内に吸収され易くなってしまい危険である。；鉄道が登場するまで、旅行は多くの危険を伴う行為であった。；私達は危険にたくさん注意を払うので、危険に関する産業も大きくなる。；危険は、未来において、損害や損失が発生する可能性があることである。；通行に危険な箇所は現在もルート変更をはじめとする線形改良が続けられている。</t>
        </is>
      </c>
      <c r="J1942">
        <f>HYPERLINK("https://www.weblio.jp/content/危険", "词义详情")</f>
        <v/>
      </c>
      <c r="K1942">
        <f>HYPERLINK("https://yourei.jp/危険", "查看例句")</f>
        <v/>
      </c>
    </row>
    <row r="1943">
      <c r="A1943" t="inlineStr">
        <is>
          <t>機嫌</t>
        </is>
      </c>
      <c r="B1943" t="inlineStr">
        <is>
          <t>成功</t>
        </is>
      </c>
      <c r="C1943" t="inlineStr">
        <is>
          <t>読み方：きげん
［名］
１表情や態度にあらわれる気分のよしあし。快・不快などの感情。気分。「—がよい」「—を損ねる」
２人の意向や思わく。また、安否やようす。「—をうかがう」
３そしりきらうこと。嫌悪すること。
「時人の—をかへりみず、誓願の一志不退なれば」〈正法眼蔵・行持〉
４時機。しおどき。
「病をうけ、子産み、死ぬることのみ—を計らず」〈徒然・一五五〉
［形動］［文］［ナリ］（多く「御機嫌」の形で）気分がよいさま。愉快なさま。「だいぶお酒が入ってご—なようす」→御機嫌(ごきげん)
[補説] もと「譏嫌」と書き、そしりきらうの意。仏教で、他人の「譏嫌」を受けないようにする戒律「息世譏嫌戒」から出た語。のちに「機」が、気持ちに通じる意を生じてから用いられるようになった。</t>
        </is>
      </c>
      <c r="D1943" t="inlineStr">
        <is>
          <t>機嫌よく(6%)；機嫌そう；機嫌を悪く；機嫌をそこね；機嫌伺い</t>
        </is>
      </c>
      <c r="E1943" t="inlineStr">
        <is>
          <t>気分；ご機嫌；御機嫌</t>
        </is>
      </c>
      <c r="F1943" t="inlineStr">
        <is>
          <t>ご機嫌；御機嫌；いい機嫌；ひどく機嫌；機嫌麗しゅう</t>
        </is>
      </c>
      <c r="G1943" t="inlineStr">
        <is>
          <t>機嫌買い；機嫌気褄</t>
        </is>
      </c>
      <c r="H1943" t="n">
        <v>29</v>
      </c>
      <c r="I1943" t="inlineStr">
        <is>
          <t>ところが大臣が機嫌好く話を聞いてくれたので、兄はひどく喜んでゐる。；ことに朝から屠蘇機嫌でいるところへ大きいのを出すのは気が利かない。；彼女の機嫌を取ることはできたが嘘をついたことに後悔をしてしまう。；また、試合ではどんな状況でも常に同じ機嫌でマウンドに走って向かう。；彼女は此頃では毎日の就職のための出歩きで疲れ、不機嫌になっていた。；また、機嫌が悪くなるとプレイヤーの指示を無視して勝手に行動を始める。；さてその翌る日、僕たち夫婦は、若夫婦のご機嫌奉伺に出かけていった。；こんな相手のご機嫌取りをしてるのなんか真の友人関係って言えない!；そこには、執事の格好をしてご機嫌取りをしてくる先ほどの猫の姿が。；ある日、私は王の御機嫌をとるつもりで、こんなことを申し上げました。；王なのでなんでも思い通りになるにもかかわらず機嫌はすこぶる悪い。；大怪物を見事にだましおわせた満足だけで大きに好機嫌であったからだ。；四大父の機嫌を損ねないように常に中立であることを意識して行っている。；それに対して僕はごく機嫌よく、この怨みは忘れないぞと言ってやった。；誰かがたずねていっても、よほど機嫌のよい時でないと、顔を見せません。；どうやらソロソロ彼の右手が機嫌を直したらしい、彼の頭脳よりも先に。；内藤君はご機嫌のかわらない中にと思って、すぐに支度をしてしまった。；またこの頃の女中くらい御機嫌の取り悪いものはありませんのね。；この人の顔から機嫌のわるい表情を想像するのは余程困難なのである。；酒をのむたびに不機嫌になり、怒るやうになつたのは京都からであつた。；機嫌を損ねた義満は、自分の生きている間には元号を変えさせなかった。；けれど先生は村の有力者の御機嫌をとらなければならなかった。；しかし機嫌のよい時は実に如才のない、頓智のある気の利いた子でした。；その性格が太閤様のご機嫌を悪くしたりすることも出て来たのだろうと思います。；伝えるところでは、彼女は時に暴力的な不機嫌に陥りがちだったという。；それを肩にかけると非常に御機嫌で、切符パンチを嬉しそうに使用する。；このため、駅に降り立った山縣の機嫌は良くなかったと伝わっている。；夫人もまた、たった一つの方法で夫の一日の機嫌をよくして置く。；またそれぞれの機嫌に応じて各キャラクターの心情も変化していく。</t>
        </is>
      </c>
      <c r="J1943">
        <f>HYPERLINK("https://www.weblio.jp/content/機嫌", "词义详情")</f>
        <v/>
      </c>
      <c r="K1943">
        <f>HYPERLINK("https://yourei.jp/機嫌", "查看例句")</f>
        <v/>
      </c>
    </row>
    <row r="1944">
      <c r="A1944" t="inlineStr">
        <is>
          <t>期限</t>
        </is>
      </c>
      <c r="B1944" t="inlineStr">
        <is>
          <t>成功</t>
        </is>
      </c>
      <c r="C1944" t="inlineStr">
        <is>
          <t>読み方：きげん
１前もって決められた一定の時期・期間。「定期券の—が切れる」「提出—」
２法律行為の効力の発生・消滅または債務の履行を、将来到達することの確実な事実の発生にかかわらせる付款(ふかん)。確定期限と不確定期限とがある。→付款</t>
        </is>
      </c>
      <c r="D1944" t="inlineStr">
        <is>
          <t>期限付き(5%)；期限延期；期限延長；期限つき；期限前</t>
        </is>
      </c>
      <c r="E1944" t="inlineStr">
        <is>
          <t>期日；縛り；締め切り；締切；締切り</t>
        </is>
      </c>
      <c r="F1944" t="inlineStr">
        <is>
          <t>使用期限；提出期限；トレード期限；返済期限；最終期限</t>
        </is>
      </c>
      <c r="G1944" t="inlineStr">
        <is>
          <t>期限切れ；期限内；期限の利益；期限付移籍；期限ぎれ</t>
        </is>
      </c>
      <c r="H1944" t="n">
        <v>29</v>
      </c>
      <c r="I1944" t="inlineStr">
        <is>
          <t>期限付きの研究職に就いたために他の仕事を選ぶことになり法曹を目指す。；期限日までに報告書が提出できなければ上場廃止となる可能性があった。；ライセンス費用が無償であるにもかかわらずサポート期限が非常に長い。；中国での租借地は一般に租借期限が99年に設定されることが多かった。；しかしそれらは多くの場合プロジェクトの予算および予定期限を超過する。；またポーランドとの休戦は期限付きで、再び戦争に入るのは明らかだった。；事態を重く見たコミッションにより無期限試合出場禁止の処分を受けた。；エルジア軍はこれを受けノースポイントの攻略作戦を無期限延期とした。；これにバブーフも論文を提出したが期限を過ぎていたため受理されなかった。；当時のトレード期限である6月30日を過ぎて移籍した珍しい選手である。；捕えた船の船長が未だ赦免の期限は切れていないと語ったからである。；台湾大への復学も考えていたため、1年間の期限付きの入団であった。；これはこの期限に達しない場合は制裁を考慮すべきという意図を示している。；その後同年11月になって同社は更に完成期限の8ヶ月間の延期を求めた。；支払い期限が設定されたり、前回より少ない額を要求してくる場合が多い。；バスカードは引き続き利用可能だが、期限を設け利用中止となる予定。；これらは共に期限付きテスト、期限なしテストに対して適用可能である。；これを受けてセントラル・リーグは葛城を無期限の出場停止処分とした。；「数量限定」と宣伝したり、最終期限を設けたりすることが挙げられる。；計画されている一部のLGVについては無期限延期にすると発表した。；不良カードの交換期限は、カードを払い出した日から10日以内となる。；この圧力の中で日本は商業捕鯨の事実上無期限停止を決定した。；これに対して政治団体の男性が博物館に電話をかけ無期限延期を要求した。；この他『信長公記』には退城の期限は7月20日だったと書かれている。；また、あくまで試験的な版であるが故、使用期限が定められているケースも多い。；これによって国民公会の非解散と新憲法実施の無期限停止が決定した。；発売場所で購入した時点では利用日は印字されておらず、利用期限も設定されていない。；これら以外の国ではそれぞれの旧通貨とユーロとの交換には期限が定められている。；ドイツ側には文書による意見を述べる14日間の回答期限が設定されていた。</t>
        </is>
      </c>
      <c r="J1944">
        <f>HYPERLINK("https://www.weblio.jp/content/期限", "词义详情")</f>
        <v/>
      </c>
      <c r="K1944">
        <f>HYPERLINK("https://yourei.jp/期限", "查看例句")</f>
        <v/>
      </c>
    </row>
    <row r="1945">
      <c r="A1945" t="inlineStr">
        <is>
          <t>起源</t>
        </is>
      </c>
      <c r="B1945" t="inlineStr">
        <is>
          <t>成功</t>
        </is>
      </c>
      <c r="C1945" t="inlineStr">
        <is>
          <t>読み方：きげん
物事の起こり。始まり。みなもと。「人類の—」</t>
        </is>
      </c>
      <c r="D1945" t="inlineStr">
        <is>
          <t>起源とする説；起源論；起源と考えられる；起源説話；起源譚</t>
        </is>
      </c>
      <c r="E1945" t="inlineStr">
        <is>
          <t>最初；始め；由来；初め；源</t>
        </is>
      </c>
      <c r="F1945" t="inlineStr">
        <is>
          <t>古い起源；生物起源；アイルランド起源；歴史的起源；中国起源</t>
        </is>
      </c>
      <c r="G1945" t="inlineStr">
        <is>
          <t>起源神話；起源主張；起源は朝鮮半島；起源は韓国</t>
        </is>
      </c>
      <c r="H1945" t="n">
        <v>29</v>
      </c>
      <c r="I1945" t="inlineStr">
        <is>
          <t>人類や文明の起源は宇宙人であるとする古代宇宙飛行士説も唱えられた。；このように多くの研究があるものの、明確な起源は今なお判明していない。；現在に至るまで古代に起源を持つこの水路が使われている地域も多い。；その証拠として州東部にはフランス語起源の地名が多く残されている。；歴史的には、戦場での所属を表すものとして使われた軍旗に起源を持つ。；近世にはロシアの国家起源にヴァンダル人を結びつける主張もでてきた。；現在の日本では、人口十万以上の都市の半分以上は城下町を起源としている。；非常に古い歴史を持つ楽器であり、起源はトランペットと共通である。；一部の用語の起源はそれよりも相当古くからあるものである。；その起源は、中世の騎士が各地から戦争を始める城へ集結した行動とされる。；起源は学校給食であり、1985年頃に考案され現在も提供されている。；旧ローマ帝国を起源とする都市だけでなく、新たな都市が次々と建設された。；名称の起源には様々な説があるが、どの説も決め手に欠けるとされる。；磁力を支配する場の起源と振る舞いはマクスウェル方程式で記述される。；現在の見方では、これらの特徴はテクトニクスに起源を持つとされている。；この島にはもともと、南米を起源とする先住民族タイノ族が住んでいた。；これを利用して、出土品や汚染物質の起源を推定することができる。；そのため、古代エジプトの中でも最も起源が古いとされる神事である。；一般に海は生物相が豊富であり、海水に起源のある湖は豊富な生物相を持つ。；水戸市で1994年に創設されたフットボールクラブ水戸を起源とする。；近世国体論の中心というべき水戸学の起源は山崎闇斎にあるといわれる。；このことは、生物の起源をさかのぼることで理解することが出来る。；それゆえ、進化という考えの起源の一つが化石研究であったのは当然である。；生物相そのものは、それが海水に起源を持つかどうかで大きく異なる。；異なった起源のものが共通の条件の下で似通った形をとることを収斂進化という。；それぞれの機能は別個の起源と目的をもっていると言われる。；これらの制限酵素には、一般にその起源を反映した名前がつけられる。；王国のカリブ海地域は異なる地理的起源を持つ2つの領域から構成される。；イギリスの経済誌『エコノミスト』が発表したものが起源となっている。</t>
        </is>
      </c>
      <c r="J1945">
        <f>HYPERLINK("https://www.weblio.jp/content/起源", "词义详情")</f>
        <v/>
      </c>
      <c r="K1945">
        <f>HYPERLINK("https://yourei.jp/起源", "查看例句")</f>
        <v/>
      </c>
    </row>
    <row r="1946">
      <c r="A1946" t="inlineStr">
        <is>
          <t>機構</t>
        </is>
      </c>
      <c r="B1946" t="inlineStr">
        <is>
          <t>成功</t>
        </is>
      </c>
      <c r="C1946" t="inlineStr">
        <is>
          <t>読み方：きこう
１機械などの諸部分が互いに関連して働く仕組み。機械の内部構造。メカニズム。
２会社・団体などの、組織。また、その組織の仕組み。「官僚—」「—改革」
３生物体が生命を維持するための仕組み。「免疫—」</t>
        </is>
      </c>
      <c r="D1946" t="inlineStr">
        <is>
          <t>機構改革；機構軍；機構長；機構理事長；機構付き</t>
        </is>
      </c>
      <c r="E1946" t="inlineStr">
        <is>
          <t>組織；建物；システム；機関；団体</t>
        </is>
      </c>
      <c r="F1946" t="inlineStr">
        <is>
          <t>ワルシャワ条約機構；研究機構；官僚機構；推進機構；変形機構</t>
        </is>
      </c>
      <c r="G1946" t="inlineStr">
        <is>
          <t>機構解析；機構と方針の分離</t>
        </is>
      </c>
      <c r="H1946" t="n">
        <v>29</v>
      </c>
      <c r="I1946" t="inlineStr">
        <is>
          <t>また完全に無色透明で中の機構を外側から見ることのできるものもある。；そのため、その運営機構の管理・技術・運営の水準が信頼性の差となる。；また、地域連携研究開発機構には以下の4つのセンターが付属している。；基本的な機構は他の生物でも同じであるが、細部には違いが見られる。；背もたれに中折れ機構を設け、着座姿勢をより改善しているものもある。；武田の行政機構が領地の拡大にあわせて変化していった一例であろう。；通常は露出しない内部の機構を見せて、同館の展示物の一つとしている。；同様の機構はイギリスのルーカス社やドイツのDKW社でも採用例がある。；受容体は、その機構や細胞内の位置に基づいて分類することができる。；高分子物質の通過は小分子物質の通過とは機構が異なると考えられている。；また、彼らは連盟の機構を利用して、関係の改善や対立の解消に努めていた。；動作中の他のソフトウェアからは、仮想記憶機構の内部の動きは見えない。；一部オートフォーカスカメラでもこの機構を自動化したものがある。；カーネルが提供する機構または方針は、いくつかの基準で分類できる。；天文撮影や科学機器では冷却機構が最初から設計に含まれているものもある。；機械式の武器の攻撃機構にはいくつか共通する構造がある。；その後フリーホイール機構が普及し、自転車の基本がほぼ完成された。；また、機構をなすリンクのうち一つは空間に固定されているとする。；従来の特急形車両の基本を踏襲しながら以下に示す機構が新規採用された。；これは楽器が改良され、音量面や機構などで大きな向上がなされた結果である。；オルガンの機構を利用した特殊奏法も、様々なものが編み出されている。；一方、残りの敷地やトイレなどは道路区域として機構に承継されている。；各ステージの詳細な機構については、現在でも研究が行われている。；さらにそれらに加えて搭載機の用途に応じた特殊な装置・機構が付随することもある。；これは地球の潮汐により月の軌道が遠ざかることと類似した機構である。；簡便なものは中心機構のみが可動で、それぞれの穂は紙に斜めに接する。；その後9月30日に朝鮮総督府官制が制定され本格的な機構が設置された。；これらは、郵政管理・支援機構扱いの郵便貯金にも当然に適用される。；これら会社・機構の発足とともにほぼ50年続いた当公団は解散した。</t>
        </is>
      </c>
      <c r="J1946">
        <f>HYPERLINK("https://www.weblio.jp/content/機構", "词义详情")</f>
        <v/>
      </c>
      <c r="K1946">
        <f>HYPERLINK("https://yourei.jp/機構", "查看例句")</f>
        <v/>
      </c>
    </row>
    <row r="1947">
      <c r="A1947" t="inlineStr">
        <is>
          <t>気候</t>
        </is>
      </c>
      <c r="B1947" t="inlineStr">
        <is>
          <t>成功</t>
        </is>
      </c>
      <c r="C1947" t="inlineStr">
        <is>
          <t>読み方：きこう
ある土地で、1年を周期として繰り返される大気の総合状態。現在は気温・降水量・風などの30年間の平均値を気候値とする。「—の変化が激しい」「温暖な—」「—のよい土地」</t>
        </is>
      </c>
      <c r="D1947" t="inlineStr">
        <is>
          <t>気候条件(2%)；気候風土；気候的；気候温暖；気候データ</t>
        </is>
      </c>
      <c r="E1947" t="inlineStr">
        <is>
          <t>風気</t>
        </is>
      </c>
      <c r="F1947" t="inlineStr">
        <is>
          <t>冷涼な気候；寒冷な気候；日本海側気候；穏やかな気候；厳しい気候</t>
        </is>
      </c>
      <c r="G1947" t="inlineStr">
        <is>
          <t>気候区；気候帯；気候学；気候変化；気候モデル</t>
        </is>
      </c>
      <c r="H1947" t="n">
        <v>29</v>
      </c>
      <c r="I1947" t="inlineStr">
        <is>
          <t>数多くの種が温暖な気候の地域に移入されて安定個体群を確立している。；現在は、地形や気候に合わせていろいろな形状や大きさのものがある。；太陽の活動状態の変動も地球の気候に非常に大きな影響を与えている。；また、夏の冷涼な気候を利用した高原野菜の栽培も盛んに行われている。；赤道直下を含む長い山脈であるため、北部と南部では気候は大きく違う。；秋と並んで一年の中では最も気候の良い穏やかな季節とも言われる。；標高が高いために、州内の他部分と比べて気候がかなり異なっている。；これらの気候・技術的課題をクリアして開発されたのが本形式である。；そのため、蒸し暑く感じる日はあるものの基本的には快適な気候である。；これは、より変化の激しい気候の地域に生活するための適応と考えられる。；その地域の気候に最も適した品種を選択し栽培することが大切である。；日本の夏の気候に大きく影響する北太平洋高気圧もそのひとつである。；ドイツは、寒冷な気候のために、ブドウの栽培が南部の地方に限られる。；しかし温暖な気候と温厚な国民性からか、美少年が多いことで知られる。；転じて気候以外にも、何らかの政治的事件が集中して起こる日を指すこともある。；このような気候条件から、今日でも驚異的な高山都市を形成するに至った。；大部分が山間部であり、大陸性の気候の為、寒さが厳しい地域である。；研究が進むにつれて世界の気候にも影響を与えていることが明らかになりつつある。；西部の海岸から300マイル以上入った山岳地では温帯山岳気候になる。；気候は雨季と乾季を持ち、雨季には世界で最も多く雨の降る地域となる。；この出来事は海流の変動を呼び、地球規模の気候形成に影響を与えた。；このため地方の気候や路線輸送事情に対応する車両を新設計する要請から開発されたのが本系列である。；大陸分水界が西側山岳地を南北に走っており、気候に与える影響が大きい。；一方で、温暖な気候を利用したワイン生産の盛んな国としても知られている。；故郷の湖沼地帯に気候風土が似ていたからという説があるが定かではない。；一般的に温暖な気候と言われており、夏は暑過ぎず、冬も寒過ぎない。；このほか、決まった季節になると吹く季節風も気候に大きな影響を与える。；モンタナ州の気候は暖かくなってきており、今後もその可能性が強い。；さらにカリフォルニアの温暖な気候のおかげで雨天中止が非常に少ない。</t>
        </is>
      </c>
      <c r="J1947">
        <f>HYPERLINK("https://www.weblio.jp/content/気候", "词义详情")</f>
        <v/>
      </c>
      <c r="K1947">
        <f>HYPERLINK("https://yourei.jp/気候", "查看例句")</f>
        <v/>
      </c>
    </row>
    <row r="1948">
      <c r="A1948" t="inlineStr">
        <is>
          <t>記号</t>
        </is>
      </c>
      <c r="B1948" t="inlineStr">
        <is>
          <t>成功</t>
        </is>
      </c>
      <c r="C1948" t="inlineStr">
        <is>
          <t>読み方：きごう
社会習慣的な約束によって、一定の内容を表すために用いられる文字・符号・標章などの総称。言語も記号の一つと考えられる。広く交通信号などから、象徴的なものまでを含む。また、文字と区別して特に符号類をいうこともある。しるし。符号。「元素—」「音声—」
[用法]記号・符号——「記号」は広く、言語・文字・各種のしるし・身振りなどを含む。学問の用語としても用いる。「文」は漢字であると同時に、地図では学校を示す記号である。◇「符号」は、文字を除き、図形・音声・光・電波などのしるしについて使うことが多い。◇記号と符号の相違にはあいまいな面もある。目印として付けた〇は符号だが、地図上の〇は記号である。一般的に、ある体系の中でのしるしは記号だが、「モールス符号」「正（負）の符号」のような例外もある。</t>
        </is>
      </c>
      <c r="D1948" t="inlineStr">
        <is>
          <t>記号番号(2%)；記号化；記号的；記号列；記号士</t>
        </is>
      </c>
      <c r="E1948" t="inlineStr">
        <is>
          <t>気配；章；信号；マーク；旗</t>
        </is>
      </c>
      <c r="F1948" t="inlineStr">
        <is>
          <t>母音記号；分類記号；営業所記号；形式記号；補助記号</t>
        </is>
      </c>
      <c r="G1948" t="inlineStr">
        <is>
          <t>記号論；記号学；記号論理学；記号式；記号の濫用</t>
        </is>
      </c>
      <c r="H1948" t="n">
        <v>29</v>
      </c>
      <c r="I1948" t="inlineStr">
        <is>
          <t>しばしば標準圧力であることを示すために記号 を付けて と書かれる。；この記号が現れた場合、その部分のデータが消去されていることを示す。；また写像の制限の記号は誤解のおそれが無い限り省略されることも多い。；かつては記号「D」が使用されていたが、現在では使用してはならない。；パースは記号のこのような三つの意味の差異を以上の三項で呼び分ける。；ある数学定数を表すために広く習慣的に使われる記号がいくつかある。；右の図はドルトンが実験を記録する際に使った記号群を示している。；もともと、字母の上に N を小さく書いたことから生じた記号である。；それぞれの記号は角を表すと同時に、その角度を示すためにも用いられる。；また、記号と文字を組み合わせた紋章をそのまま屋号とするものもある。；アニメや漫画などの評論では登場人物の象徴的なものを記号と呼ぶことがある。；記数法は、適当な文字や記号と一定の規則を用いて数を表現する方法のこと。；式中で使った記号が何を表しているのかがわかるようにできるだけ説明をつけてください。；以下の制作会社記号が記載されていない作品はTBSテレビの自社制作。；ただし、名称の末尾に使われた音を持たない記号については省略します。；残りの17個の単位は人名に由来するので、その記号は大文字で始める。；主要な線にAからKの記号をつけ、弱い線については別の記号をつけた。；上記の母音単独で用いる文字のほか、子音字に結合する母音記号がある。；下の表の用語の前の記号はゴルフ番組でよく使用される記号である。；現在注目している位置から始まる記号列が、それ以前に出現していたかを探す。；上では順序を記号 で表したが、必ずしもこの記号で表現する必要はない。；各車両についているアルファベット記号の意味は旧6000系に準ずる。；はデータと情報を区別するために記号の概念を用いている。；この場合、カードの表面に再発行したことを示す記号が印字される。；気象通報式とは、観測点の気象状況を記号化して表現したデータである。；また、地球の天文学者が古くから使用していた惑星の記号なども使用している。；日本の場合、一般的には以下の記号が使われているようである。；こうした社会にあっては、非人間とは記号のようなものである。；関数名は先頭が小文字でなければならず、記号を含むことはできない。</t>
        </is>
      </c>
      <c r="J1948">
        <f>HYPERLINK("https://www.weblio.jp/content/記号", "词义详情")</f>
        <v/>
      </c>
      <c r="K1948">
        <f>HYPERLINK("https://yourei.jp/記号", "查看例句")</f>
        <v/>
      </c>
    </row>
    <row r="1949">
      <c r="A1949" t="inlineStr">
        <is>
          <t>聞こえる</t>
        </is>
      </c>
      <c r="B1949" t="inlineStr">
        <is>
          <t>成功</t>
        </is>
      </c>
      <c r="C1949" t="inlineStr">
        <is>
          <t>読み方：きこえる
［動ア下一］［文］きこ・ゆ［ヤ下二］《動詞「き（聞）く」の未然形に上代の自発の助動詞「ゆ」が付いた「きかゆ」の音変化》
１音・声などが耳で感じられる。自然に耳に入る。「汽笛が—・える」
２聞いて、そのように受け取られる。そのように理解・解釈される。とれる。「彼が言うと本当らしく—・える」「皮肉に—・える」
３相手の言うことを、納得して認めることができる。物事のわけが理解できる。わかる。「そりゃ、—・えません」
４
㋐話がある所にまで伝わる。知れる。「君のうわさは重役にまで—・えているぞ」
㋑広く知られる。評判になる。「世に—・えた秀才」
５「言う」の謙譲語で、その対象を敬う。
㋐お耳に入れる。申し上げる。
「—・ゆれば恥づかし、—・えねば苦し」〈伊勢・一三〉
㋑便りで申し上げる。手紙を差し上げる。
「十二年の山ごもりしてなむ久しう—・えざりつると」〈後撰・恋二・詞書〉
㋒世間で名前・官職名を、…と申し上げる。…とお呼びする。
「昔、太政大臣(おほきおほいまうちぎみ)と—・ゆるおはしけり」〈伊勢・九八〉
６《5の誤用から。「きこえたまふ」全体で》「言う」の尊敬語。言われる。おっしゃる。
「力なきことは、な—・え給ひそ」〈読・雨月・菊花の約〉
７（補助動詞）動詞連用形に付いて、謙譲の意を表す。…申し上げる。
「上の御ありさまなど思ひ出で—・ゆれば」〈源・桐壺〉</t>
        </is>
      </c>
      <c r="D1949" t="inlineStr">
        <is>
          <t>聞こえるような気；聞こえるでしょ；聞こえるような声；聞こえるような大声；聞こえるかすか</t>
        </is>
      </c>
      <c r="E1949" t="inlineStr">
        <is>
          <t>聞える；聞ける；聞き取れる</t>
        </is>
      </c>
      <c r="F1949" t="inlineStr">
        <is>
          <t>聞こえるかもしれ；大きく聞こえる；はっきり聞こえる；はっきりと聞こえる；漏れ聞こえる</t>
        </is>
      </c>
      <c r="H1949" t="n">
        <v>29</v>
      </c>
      <c r="I1949" t="inlineStr">
        <is>
          <t>何が起きたのか分からず混乱している中で店の裏手から悲鳴が聞こえる。；しかし、先ほどとは大きく異なる音が聞こえ、皆その方向に目を向けた。；すると、その壁からすすり泣きか悲鳴のような奇妙な声が聞こえてきた。；そして成長の過程で周囲に流れていた音が、花の中から聞こえてくる。；これにより健康な場合に対しどれだけ聞こえが悪くなったかが示される。；このとき小嶋は「テレビ時代の足音が聞こえてきた感じがした」という。；またベンチの中の声もよく聞こえ、選手一人一人の声も響き渡っていた。；目に見えずに声や音だけが聞こえる正体不明の化け物とも言われている。；それからノック音は聞こえなくなったが、彼女は後に天然痘で死亡した。；左のあなへはいったとすれば、こんなに足音が聞こえるはずはないんだ。；姉の声は自分にしか聞こえないけれど、自分を確実に見守ってくれていた。；したがって、少数ではあまり合唱のようには聞こえないのが現状である。；なお、このアンコールの声は少し離れた光が丘まで聞こえていたという。；中国と日本の利害は一致するように見えるが良いニュースは聞こえて来ない。；そのノックはドアからではなく彼の心から聞こえているようである。；内部にはスピーカーが設置されラジオ放送が聞こえるようになっていた。；遠くに届くものは聞こえが大きく、遠く届かないものは聞こえが小さい。；警戒しながら相手にしていないプルートに悪魔の声が聞こえてくる。；街は破壊され、その爆音はオランダの中心にまで聞こえたと言われる。；晩年、ゲオルクは耳がほとんど聞こえなくなり、政治生活から引退した。；まるで外から聞こえてくる音楽を打ち消そうとするかのようだった。；エルサにだけ聞こえる謎の声に導かれて一行は魔法の森の霧に辿り着く。；するとどこからともなく銃声が聞こえ、英理が地面に倒れこんでしまう。；教授はベッドに起き上がっていて、遠くで悲鳴が聞こえただけと言う。；続いてアイツヴォルが爆発した音が聞こえたが、やはり何も見えなかった。；このとき、カードの数字を、プレイヤー全員に聞こえるように宣言する。；すると心臓の鼓動が耳を直接押し当てたときよりはっきり聞こえた。；埃っぽい店の中を物色していると、布で覆われた籠から歌が聞こえてきた。；空気中を伝わってくる音の聞こえに関係のある部分でもある。</t>
        </is>
      </c>
      <c r="J1949">
        <f>HYPERLINK("https://www.weblio.jp/content/聞こえる", "词义详情")</f>
        <v/>
      </c>
      <c r="K1949">
        <f>HYPERLINK("https://yourei.jp/聞こえる", "查看例句")</f>
        <v/>
      </c>
    </row>
    <row r="1950">
      <c r="A1950" t="inlineStr">
        <is>
          <t>帰国</t>
        </is>
      </c>
      <c r="B1950" t="inlineStr">
        <is>
          <t>成功</t>
        </is>
      </c>
      <c r="C1950" t="inlineStr">
        <is>
          <t>読み方：きこく
［名］(スル)
１外国から母国に帰ること。帰朝。「外遊から—する」
２故郷に帰ること。帰郷。
「二三日うちに—する筈になっていたので」〈漱石・こゝろ〉</t>
        </is>
      </c>
      <c r="D1950" t="inlineStr">
        <is>
          <t>帰国後(27%)；帰国する(10%)；帰国直後；帰国しよ；帰国途中</t>
        </is>
      </c>
      <c r="E1950" t="inlineStr">
        <is>
          <t>帰る；帰り；帰還；帰宅；帰郷</t>
        </is>
      </c>
      <c r="F1950" t="inlineStr">
        <is>
          <t>凱旋帰国；終えて帰国；翌年帰国；早く帰国；伴って帰国</t>
        </is>
      </c>
      <c r="G1950" t="inlineStr">
        <is>
          <t>帰国者；帰国命令；帰国生徒；帰国事業；帰国生</t>
        </is>
      </c>
      <c r="H1950" t="n">
        <v>29</v>
      </c>
      <c r="I1950" t="inlineStr">
        <is>
          <t>その後帰国し手術をして未所属の状態のまま長いリハビリ生活を始めた。；この叔父たちは怒って席を立ってフランスへ帰国してしまったほどだった。；しかし現在も海外から帰国した人が感染した例が年間100例以上ある。；だが室井が仕事の都合で帰国することになり、この企画は中止となった。；一連の過程でソ連派も排除され、多くのソ連派の幹部はソ連に帰国した。；子供だけを日本に帰国させて学生寮がある高等学校に入れる保護者もいる。；帰国後もドヴォルザークはしばらく何も手につかない状態にあった。；実習生のため妊娠が発覚したら帰国させられると思った末の犯行だった。；その後帰国したが、経由地のボストンで帰国したかったと告白している。；戻って来ないのではないかという周囲の心配をよそに9月8日に帰国した。；帰国すると直ぐ航海日誌が出版されクックは科学界でも時の人となった。；だがこのことを選手にも伝えず、帰国もしないで指揮を執り続けた。；パイエケス人のおかげでオデュッセウスは故郷へと帰国することができた。；マゼランは1513年1月に帰国するが、帰国した訳も分かっていない。；父親は2年間日本に滞在後、帰国してほどなくアメリカで死亡した。；その原因は小野田が帰国後に出版した『手記』の内容にあるとされている。；秀麿は終戦後、ドイツでアメリカ軍にいったん拘束されたのち帰国した。；しかしチャーノが帰国すると、ムッソリーニは次のような声明を出した。；蔚山倭城の建設は帰国予定の浅野幸長と宍戸元続等の毛利勢が担当した。；父は工場を次男のに任せ、アルフレッドと両親はスウェーデンに帰国した。；イルマリネンは娘を要求するが、娘が拒否、彼は悲嘆に暮れて帰国する。；帰国後の12歳の時に伯母の影響でカトリック夙川教会で洗礼を受けた。；彼らが帰国した時には、多くの新聞が彼らの旅をスキャンダルの機会だと捉えていた。；この後ヨーロッパ・アメリカを旅行して世界一周、10月3日に帰国した。；光圀は藩主時代計11回帰国しており、歴代藩主の中では最多である。；ソ連軍が満州に侵攻する数時間前に伝馬船で大陸を脱出し、帰国した。；帰国後は保見中学校に編入学、当初は複数の部活動を掛け持ちしていた。；これから程ない9月に老祖母の病状が悪化したので土佐に帰国した。；ボイル自身は帰国してロンドンに着き、姉とその夫の保護を受けた。</t>
        </is>
      </c>
      <c r="J1950">
        <f>HYPERLINK("https://www.weblio.jp/content/帰国", "词义详情")</f>
        <v/>
      </c>
      <c r="K1950">
        <f>HYPERLINK("https://yourei.jp/帰国", "查看例句")</f>
        <v/>
      </c>
    </row>
    <row r="1951">
      <c r="A1951" t="inlineStr">
        <is>
          <t>気心</t>
        </is>
      </c>
      <c r="B1951" t="inlineStr">
        <is>
          <t>成功</t>
        </is>
      </c>
      <c r="C1951" t="inlineStr">
        <is>
          <t>読み方：きごころ
その人が本来もっている性質や考え方。「—が通じる間柄」「—の知れた仲間」</t>
        </is>
      </c>
      <c r="D1951" t="inlineStr">
        <is>
          <t>気心知れ(4%)；気心もよく</t>
        </is>
      </c>
      <c r="E1951" t="inlineStr">
        <is>
          <t>気；性；性格；気分；性質</t>
        </is>
      </c>
      <c r="H1951" t="n">
        <v>29</v>
      </c>
      <c r="I1951" t="inlineStr">
        <is>
          <t>師匠とは気心も大変合っていて、内輪のことなどまで心配をされました。；気心もわかっているし、とうから自分の息子と娘のような気がしている。；気心の知れた仲間だけで行くなら、視察の旅も楽しいものになるだろう。；たとえヤクザが相手でも、頻繁に会っているうちには気心が知れてくる。；あの頃、あなたの気心を一ばんよく知つてゐたのは私ぢやありませんか。；そういうことを口に出して言えるくらいなら、気心の知れた客らしい。；相手が気心の知れない忍法僧だけに、これは彼なりに必死の行動であった。；舞台の演出には映画で何度もコンビを組んで気心知れた沢島忠を希望した。；子供のころから備前町の家に出入りしていたから、気ごころも知れている。；専門家同士というのは、はじめからある程度の気心は通じているのである。；別に特に親しくはしていなかったが、割合気心の判っている連中である。；気心の知れぬ客を集め、代は見てから戴こうというはっきりした処がある。；逆に、突っ込んでいく相手のほうと気心が通じてしまうようなこともあった。；本当に気心許せる友達が少数いればそれで幸せ、と感じられる人間だった。；そんな村は、気心がわかったとなると、むちゃくちゃに人がようてのう。；気心の知れた人とでなければ、釣りの気分が台なしになってしまうからだ。；気心が知れているからこそ、いくら話題が飛んでも、何の痛痒も感じない。；長い交際でお互に気心も分っていますけれど仕方のないものですとやった。；そのうちにだんだん気心が知れてくると、番組も軌道にのってきた。；このまま、気心の知れた人たちの輪の中で中年期を充実していきたい。；そのため生徒は気心が知れた関係であり、学校内の評価や役割が固定されてしまっている。；こんなふうに気心の知れた女の友人ができるとは、以前には想像すらできなかったことだ。；ふたりはおたがいに気心の知れた居心地のいい相手だったのだろう。；兵士の気心や笑いどころならわかるし、それなら生きる分は稼げるからだ。；だが、以前彼のもとで働いたことがあるので、気心は知っている。；じいさんも、わたしたちの気心を知ると、あの娘が家へくるのを許しました。；また、この運転手は長くわたしが使っていて、気心の知れたものだとも書いてあった。；彼女は戦前からの親しい友人で、リタの気心も充分に知っている婦人だった。；僕としてもつきあいの短いわりにはお互いに気心が分ったような気がしている。</t>
        </is>
      </c>
      <c r="J1951">
        <f>HYPERLINK("https://www.weblio.jp/content/気心", "词义详情")</f>
        <v/>
      </c>
      <c r="K1951">
        <f>HYPERLINK("https://yourei.jp/気心", "查看例句")</f>
        <v/>
      </c>
    </row>
    <row r="1952">
      <c r="A1952" t="inlineStr">
        <is>
          <t>ぎこちない</t>
        </is>
      </c>
      <c r="B1952" t="inlineStr">
        <is>
          <t>成功</t>
        </is>
      </c>
      <c r="C1952" t="inlineStr">
        <is>
          <t>［形］［文］ぎこちな・し［ク］《「ぎこつなし」の音変化。「ぎごちない」とも》
１動作や話し方などが滑らかでない。「—・い運転」「—・くあいさつをする」
２からだに合わなくて、ぐあいが悪い。
「薄綿もめん蒲団(ふとん)のたださえ—・いに」〈緑雨・おぼろ夜〉
[派生]ぎこちなげ［形動］ぎこちなさ［名］</t>
        </is>
      </c>
      <c r="D1952" t="inlineStr">
        <is>
          <t>ぎこちない沈黙(6%)；ぎこちない動き(5%)；ぎこちないもの(4%)；ぎこちない笑み(4%)；ぎこちない手つき(3%)</t>
        </is>
      </c>
      <c r="E1952" t="inlineStr">
        <is>
          <t>苦しい；下手；不自然；まずい；へた</t>
        </is>
      </c>
      <c r="H1952" t="n">
        <v>29</v>
      </c>
      <c r="I1952" t="inlineStr">
        <is>
          <t>同時に以前よりもっとぎこちない唇の動きしかできなくなっている自分を知った。；いつ人生最後の会話になるかわからない時なのに、何ともぎこちない。；とても楽しかったはずの過去を語るとき、なぜか俺たちはぎこちない。；ぎこちない挨拶の後、紹介されたのは旧知の人たちの夫人方である。；そんなどことなくぎこちない空気の中で昼メシが再開されたわけだが。；僕たちはあいかわらずぎこちない関係のまま、音楽にあわせて体を動かした。；ぎこちない様子で酒にむせているとバーの歌手・愛理沙が話しかけてくる。；しばらくぎこちない沈黙がつづいて、やがて銀行家の奥さんがいった。；会話の内容からしてごく自然な動きだったが、自分ではぎこちない動きに思えてならなかった。；ぎこちない笑みだったけれど、他のどんな笑顔よりも、綺麗に見えた。；そこには二人の間にしばらくぎこちない沈黙が続いた。；しばらくぎこちない沈黙が落ちたあと、トキが意を決したように顔をあげた。；わたしはぎこちない話し方になってしまうのに、山下は普段と変わらない。；まだ傷が完全に癒えていないので、その足取りはいささかぎこちない。；ぎこちない沈黙がはりつめた教室で、午後の時間がのろのろと過ぎていった。；「私は座をはずした方がいいのではないですか」私はぎこちない調子でいった。；他の方たちは、立ち方も笑顔もさまになっているけれど、私は何もかもぎこちない。；おそらくこの女性も、この仕事をはじめた時には、きっとぎこちないものだったにちがいない。；送話器から流れて来た声は低いぎこちない調子であった。；ぎこちない沈黙が三人のあいだに流れていた。；それは黒光りのする腕のようでありながら、まるでぎこちない銃身のように見えた。；ぎこちないノコギリの音が、あちこちから聞こえだし、登美彦氏は満足した。；ぎこちない雰囲気が漂っているのは、新入生の利用が多い為か。；さっきのようなぎこちない微笑ではない。；それはなんだかぎこちない鉢合わせのようなものでした。；横目でサント老人の様子をうかがうと、彼はぎこちない様子で首を縦に振った。；時かけて、前よりもずっとぎこちない姿勢で彼は彼女の背中から肩に、やっと片腕をかけた。；ルイスはぎこちない笑いを浮かべると、ボールをポンとベースに向かって投げた。；もし、たがいの愛情を確認しあう会話を持ちだしてきたなら、関係はぎこちないものになってしまう。</t>
        </is>
      </c>
      <c r="J1952">
        <f>HYPERLINK("https://www.weblio.jp/content/ぎこちない", "词义详情")</f>
        <v/>
      </c>
      <c r="K1952">
        <f>HYPERLINK("https://yourei.jp/ぎこちない", "查看例句")</f>
        <v/>
      </c>
    </row>
    <row r="1953">
      <c r="A1953" t="inlineStr">
        <is>
          <t>既婚</t>
        </is>
      </c>
      <c r="B1953" t="inlineStr">
        <is>
          <t>成功</t>
        </is>
      </c>
      <c r="C1953" t="inlineStr">
        <is>
          <t>読み方：きこん
すでに結婚していること。「—者」⇔未婚。</t>
        </is>
      </c>
      <c r="D1953" t="inlineStr">
        <is>
          <t>既婚女性(26%)；既婚男性(6%)；既婚であり(4%)；既婚婦人(4%)；既婚選手</t>
        </is>
      </c>
      <c r="E1953" t="inlineStr">
        <is>
          <t>結婚；婚姻；縁組；妻帯；婚儀</t>
        </is>
      </c>
      <c r="H1953" t="n">
        <v>29</v>
      </c>
      <c r="I1953" t="inlineStr">
        <is>
          <t>その女性が処女であろうと既婚の婦人であろうと問う所ではなかった。；一部の既婚女性は、配偶者の姓を全く使用しないことを選択している。；彼は王女が浮名を流した相手の1人である既婚の3代目・の友人だった。；伝統的な色は、男性は白で、女性は未既婚等により色が決まっていた。；さらに当時は婚姻外の子供は既婚の親とおなじ権利をもつことができなかった。；上記のように孫がいるため既婚になるが、妻や子は現在までに一切登場していない。；そして一三二四年には彼はすでに未婚の娘一人のほかに、既婚の娘が二人あった。；当時は、既婚の女性が勉強をすることは相応しくないとする風潮があった。；信者の多くは若い独身女性だったが、男性や既婚女性も含まれていた。；自分たちの子供の時分には既婚の婦人はみんな鉄漿で歯を染めていた。；既婚であり、娘のCarinaは、彼が宇宙に滞在している間に生まれた。；ディウフは既婚で娘が一人おり、彼の兄であるもプロサッカー選手だった。；孫は既婚の俳優である金山と恋愛し、周恩来の意向もあって彼と結婚した。；なお、今回の勝利で日本の女子の既婚選手では初めての金メダル獲得となった。；けれど、世の中の既婚女性で夫の悪口を言わない人はあまりいない。；手ぬぐいで髪を隠した既婚らしい女で、こちらも顔色や姿勢が悪い。；三十を過ぎた既婚の女が、そうそう条件のいい男と親しくなれるはずがない。；首相就任時点で、既婚、5人または6人の子供がいると報じられている。；既婚のムスリム女性は夫の名のもとに埋葬されるからである。；これは、既婚男性の第一の悲鳴と表現されるかもしれません。；どうしてこういうことが起きるのだろうかと、既婚の友だちと話した。；少なくとも三分の一の既婚女性が自分の意志に反して誘拐されている。；離婚同意書にサインする直前に彼女が死去したため、現在も既婚のままとなっている。；以前は既婚か未婚かはっきりと意識できたのに、今どの状態なのかよくわからない。；ただし、少なくとも既婚婦人は髪をきちんと結いあげることが求められていた。；他の3兄弟は既婚で、弟ロドリックの大学学費はアーネルが面倒を見た。；特に既婚の場合には、生まれてきた子を彼女の夫が自分の子だと信じて育ててくれるかもしれないではないか。；第一、既婚の男子は他の女を獲んがために離婚してはならぬ。；岐戸医師には既婚の娘がいることを彼は思い出していた。</t>
        </is>
      </c>
      <c r="J1953">
        <f>HYPERLINK("https://www.weblio.jp/content/既婚", "词义详情")</f>
        <v/>
      </c>
      <c r="K1953">
        <f>HYPERLINK("https://yourei.jp/既婚", "查看例句")</f>
        <v/>
      </c>
    </row>
    <row r="1954">
      <c r="A1954" t="inlineStr">
        <is>
          <t>気障</t>
        </is>
      </c>
      <c r="B1954" t="inlineStr">
        <is>
          <t>成功</t>
        </is>
      </c>
      <c r="C1954" t="inlineStr">
        <is>
          <t>読み方：きざ
［名・形動］《「きざわ（気障）り」の略》
１服装や言動などが気どっていて嫌な感じをもたせること。また、そのさま。「—な話し方」
２気にかかること。心配なこと。また、そのさま。
「化物が…顕れているのぢゃあねえかと思ふから、些(ちっ)と—なところがあらあな」〈滑・七偏人・五〉
３不快な感じを起こさせること。また、そのさま。
「そのすうすうとすすり込む音が何分(なにぶん)—だ」〈滑・浮世風呂・四〉</t>
        </is>
      </c>
      <c r="D1954" t="inlineStr">
        <is>
          <t>気障な男(5%)；気障なやくざ(2%)；気障な言い方(2%)；気障な言葉；気障な仕草</t>
        </is>
      </c>
      <c r="E1954" t="inlineStr">
        <is>
          <t>不自然；きざ；自信家；ナルシスト；独りよがり</t>
        </is>
      </c>
      <c r="G1954" t="inlineStr">
        <is>
          <t>気障っぽく；気障り；気障ったらしく；気障っぽい</t>
        </is>
      </c>
      <c r="H1954" t="n">
        <v>29</v>
      </c>
      <c r="I1954" t="inlineStr">
        <is>
          <t>あんな気障な伝言をたのんで置いた以上行くよりほかに仕様があるまい。；そんな意識状態になったので、その時私の頭に一寸気障な考えが泛んだ。；高い酒を注文しても気障な感じはなく、私はその先生に好感を持った。；しかし、竜太にしてみれば、それも精いっぱいの気障のあらわれだった。；まるで自分を見ているようだ、と言ったら、あまりにも気障すぎるだろう。；豹一は赤井も気障なことをいう奴だと思ったので、返事をしなかった。；黒いベンツが車をかき分けて進んできて気障なやくざの目の前で停止した。；同時に自分でも気障に思われる微笑が腹の底からコミ上げて来た。；気障は言わねえ、気障な事は云わねえから、黙って早く燗けて来ねえよ。；ことに多鶴子のような若い女が人前で食べるのは気障だというのである。；おかげで、私は気障な真似をせずに、彼女と別れることが出来たわけである。；加藤は、それに挨拶をかえしながら、なんと気障な男だろうと思った。；気障な言い方をすれば、忘却の海の水面上に出てる岩のようなものだ。；縁なしの眼鏡も気障にならず、小さな一重の目を聡明に縁どっていた。；恋を語るロミオは、お寒い気障男に見えるんじゃないかと心配になったからだ。；彼は気障ではあるが思いの外キチンとした服装をしている瘠せ型の青年だった。；彼のフランス語は流暢なものだが、どこか気障な感じのするしゃべり方をする。；手前のすることが気障ツぽくて少々疳が高ぶつてゐたところなんだぞ。；この口髭も似合いそうな中年気障紳士が、そんな愛らしい名前なのか!?；金色の巻き髪に、フリルのついたシャツを着た、気障なメイジがいた。；最初は気障で、見栄を張つて居るやうに見えて嫌でしたが、今ではそんな気は少しもしません。；勝鬨の席で諸将と再見しようなどと気障なことを云ったのもいままでにないことだった。；背は五フィート八インチぐらいであろう、その態度は決定的に気障であった。；あの頃の彼の気障さ加減を今でも自分は覚えてゐる。；殺された二条も気障な男だったけど、この素人探偵のポーズにも似たところがある。；彼女はちょっと気障な気取り方をしましたが、優美な趣がなくもなかったのです。；私はこの先生から自由の精神、気障を嫌う卒直の態度を学んだ。；男子これを用る時は気障の限りなるべし。；あのキャプテンは面が青白い上に背がスラリと高くて、どこともなしに気障な男だ。</t>
        </is>
      </c>
      <c r="J1954">
        <f>HYPERLINK("https://www.weblio.jp/content/気障", "词义详情")</f>
        <v/>
      </c>
      <c r="K1954">
        <f>HYPERLINK("https://yourei.jp/気障", "查看例句")</f>
        <v/>
      </c>
    </row>
    <row r="1955">
      <c r="A1955" t="inlineStr">
        <is>
          <t>記載</t>
        </is>
      </c>
      <c r="B1955" t="inlineStr">
        <is>
          <t>成功</t>
        </is>
      </c>
      <c r="C1955" t="inlineStr">
        <is>
          <t>読み方：きさい
１［名］(スル)書類・書物などに書いて記すこと。「詳細は説明書に—されている」「—事項」
２ある生物の分類群を定義する際、その主要な形質をすべて記述したもの。模式標本をもとに新種として報告する場合には原記載、これを記した論文を記載論文という。</t>
        </is>
      </c>
      <c r="D1955" t="inlineStr">
        <is>
          <t>記載する(14%)；記載される(4%)；記載事項；記載内容；記載種</t>
        </is>
      </c>
      <c r="E1955" t="inlineStr">
        <is>
          <t>記録；発表；掲載；登録；公表</t>
        </is>
      </c>
      <c r="F1955" t="inlineStr">
        <is>
          <t>未記載；併せて記載；ここに記載；試合結果などについて記載；再記載</t>
        </is>
      </c>
      <c r="H1955" t="n">
        <v>29</v>
      </c>
      <c r="I1955" t="inlineStr">
        <is>
          <t>ここでは、1983年に旧ポピーとの合併後に提供した番組を記載する。；以下はこの節では特に断りが無い限り、地方自治法は条数のみ記載する。；通称は日本海テレビで、制作クレジット等でもその通り記載されている。；たとえばドイツで印刷されたものにはXの文字が記載されていた。；なお以下は一度も導入経験がない社局を記載し、三重県の一部を含めている。；また後述のとおり、京成グループに記載されていない企業も存在する。；以下、条数のみ記載する場合には、日本の商法典の条文番号を意味する。；しかしこの時代から幕府の許可なく発行された民間の暦には記載されていた。；日本で発行されている切手には元号および西暦で発行年が記載されている。；本項では掲載後、書籍などに収録されていないものを記載している。；その他1990年代以降のものは文字コードが記載されているものが多い。；また作曲をメインとしている者、もしくは作曲能力に秀でた者を中心に記載。；この最後の例外条項は、第11項第7段落に次のように記載されている。；その中には三角関数の積和の公式に相当する計算を行っている記載がある。；ほかの紙幣でも、この記番号は表面にある額面の上方に記載されている。；このため、車両番号は正面非常扉の白色部の下に4桁表示で記載された。；ハリウッドの古典的なスタイルでは、右図にあるように、 を記載する。；製品タイトルと同一の内容のものはそれぞれの項にて記載。；役名・役職は公式サイトの作品紹介の文章における記載などを基とした。；ただし翻訳物の存在を確認できた作品においてはその翻訳を記載している。；以下では主な政治思想の立場からの代表的な批評・批判を記載する。；引退騎手でデビュー年が同じ場合は、引退年の早かった順に記載する。；以下の記載は、基本的に路線バスとしての高速バスに限定して記述する。；アトピー性皮膚炎治療ガイドラインには以下のように記載されている。；「旧高旧領取調帳」に記載されている明治初年時点の支配は以下の通り。；またその存在は確認されているが正式に発表されていない学名と和名も記載する。；地形図では、国道上に火山活動によって形成された池も記載されている。；以下の記載では、歴史的・一般的に「帝国」と呼ばれているものを記載する。；原作では語られなかった詳細が、一部で科学的考察も交えて記載されている。</t>
        </is>
      </c>
      <c r="J1955">
        <f>HYPERLINK("https://www.weblio.jp/content/記載", "词义详情")</f>
        <v/>
      </c>
      <c r="K1955">
        <f>HYPERLINK("https://yourei.jp/記載", "查看例句")</f>
        <v/>
      </c>
    </row>
    <row r="1956">
      <c r="A1956" t="inlineStr">
        <is>
          <t>気さく</t>
        </is>
      </c>
      <c r="B1956" t="inlineStr">
        <is>
          <t>成功</t>
        </is>
      </c>
      <c r="C1956" t="inlineStr">
        <is>
          <t>読み方：きさく
［形動］［文］［ナリ］人柄がさっぱりしていて、こだわらないさま。気取りがなく親しみやすいさま。「—な人柄」「—に話し掛ける」</t>
        </is>
      </c>
      <c r="D1956" t="inlineStr">
        <is>
          <t>気さくな人柄(5%)；気さくな性格(4%)；気さくな男；気さくな人物；気さくな態度</t>
        </is>
      </c>
      <c r="E1956" t="inlineStr">
        <is>
          <t>親しい；親密；好意的；懇意；友好的</t>
        </is>
      </c>
      <c r="F1956" t="inlineStr">
        <is>
          <t>気さくな面；いたって気さく；気さくな雰囲気；気さくな連中；気さくな笑顔</t>
        </is>
      </c>
      <c r="H1956" t="n">
        <v>29</v>
      </c>
      <c r="I1956" t="inlineStr">
        <is>
          <t>気さくさが相手とのあいだに一定の距離を維持する機能を果たしている。；彼はその時の事情をよくおぼえていて、気さくに何もかも話してくれた。；医者は気さくに話してくれ、あまり見こみはありませんなと答えました。；誰も彼も気さくで親切で、遠くから来た私たちに色々な話をしてくれる。；非常に気さくな性格を有することが稲川会関係者からリークされている。；連中は連中なりに気さくですが、あなたの育った環境と違うでしょう?；振り返った男の顔にはいぶかしげな、しかし気さくな表情が漂っていた。；先生ぶった偉そうなところがない気さくな人で生徒にも非常に人気がある。；こんな店を選んだのも、気さくに喋ってくれそうな感じだったからだ。；田舎者らしく素朴で気さくな若者は、私をひどく気に入ったようだった。；糸子は気さくな性格だから、コーヒーにでも誘えばいつでもついて来る。；彼は気さくで謙遜であっただけでなく、とても美しい演奏を披露した!；ファンには気さくに接し、大勢のサイン攻めにも嫌な顔ひとつしない。；男が気さくな性格だったりすると、運転手にいろいろ話しかけたりもする。；いつも気さくに声をかけてくれた彼らが、今は一様に戸惑ったような顔で。；天狗にならないし、若い僕たちとも気さくに話してくれる器の大きい方です。；わたしの目に映るマッキンタイアさんは実に快活で気さくな女性でした。；女主人が気さくだと称するのは、この調子を斥して言ったのである。；また頻繁に民衆の中に姿を現す気さくな皇帝としても知られていた。；伯爵夫人が気さくな笑顔で仲間にはいると、たちまち皆の注目を引きつけた。；しかも、無口のはずの自分が、社員たちの言葉に気さくに答えていた。；酒を飲むとき、いかにも楽しそうな表情をする、気さくな良い男であった。；あまり乗心地はよくなかったが、猟をする人間はもともと気さくである。；校正の時にはいつもやって来る気さくな老人で、彼はよく知っていた。；彼は気さくな男だったし、なにしろ自分と彼との間にはある秘密があるのだ。；彼女は船員や男性乗客らにフランス訛りの英語で気さくに話しかけていた。；彼は、いつも陽気で、気さくで、遊び好きで、新しいもの好きであった。；その人なら、私の紹介だと言えば気さくに知恵を貸してくれると思うんです。；私は初対面から梓澤さんの気さくなお人柄にすっかり魅かれてしまった。</t>
        </is>
      </c>
      <c r="J1956">
        <f>HYPERLINK("https://www.weblio.jp/content/気さく", "词义详情")</f>
        <v/>
      </c>
      <c r="K1956">
        <f>HYPERLINK("https://yourei.jp/気さく", "查看例句")</f>
        <v/>
      </c>
    </row>
    <row r="1957">
      <c r="A1957" t="inlineStr">
        <is>
          <t>兆し</t>
        </is>
      </c>
      <c r="B1957" t="inlineStr">
        <is>
          <t>成功</t>
        </is>
      </c>
      <c r="C1957" t="inlineStr">
        <is>
          <t>読み方：きざし
物事が起こりそうな気配。兆候。「春の—を感じる」「回復の—が見える」</t>
        </is>
      </c>
      <c r="D1957" t="inlineStr">
        <is>
          <t>兆しが見え始め(3%)；兆しが見られる；兆し始め</t>
        </is>
      </c>
      <c r="E1957" t="inlineStr">
        <is>
          <t>現れ；影；表示；気配；知らせ</t>
        </is>
      </c>
      <c r="F1957" t="inlineStr">
        <is>
          <t>明るい兆し；悪い兆し；不吉な兆し；好転する兆し；回復する兆し</t>
        </is>
      </c>
      <c r="H1957" t="n">
        <v>29</v>
      </c>
      <c r="I1957" t="inlineStr">
        <is>
          <t>ここしばらく安定していた彼女の精神が、活性化の兆しを見せています。；それは多少控え目な愛情の兆しであり好意以上のものではなかったろう。；そしてその時私の体の内に兆して来たものに私自身が驚いていました。；この部隊が町を出て行くと、最初の組織された抵抗の兆しが始まった。；遠く九州から伝わってくる噂は、大動乱の兆しを示すものばかりだった。；男の歯の状態は良く、生前にしばしば歯の治療を受けていた兆しがあった。；道路を走っているのは私の車だけになり、もはや追ってくる兆しはなかった。；その表示に重い処理を必要とするオブジェクトが出現する兆しだった。；話も狂乱の相を呈するばかりで、事件はまるで解決する兆しを見せない。；ただし、公演の成功の陰ですでに東京バレエ団には内紛の兆しがあった。；また、多くの人形を走らせて、危険が近づく前に兆しを捉えようとした。；絶妙のバランスで作り上げられていた空間がそれで崩壊の兆しを見せる。；なにか、よくない事が起こる兆しが、そこかしこに溢れている気がした。；そんな話を持ちかけられる程度には、成長の兆しを認めたのだろうか。；弱体の兆しが現われているとは言え、佐賀と徳川では勝負にもならない。；その後の歴代政権においても根本的な関係改善の兆しは見られなかった。；心の中に兆していた予感が、次第に、しっかりとした形を帯びてきた。；稚内の夜が明けると人々の顔に早くも帰心が兆しているのにおどろいた。；しかし、よくない運命の兆しは、すでに、その時にはじまっていたのだ。；第二次世界大戦の兆しが見られると、再び継続的な演奏活動が妨げられた。；兆してきた酔いが、その気分を強め、もうその場から動きたくなかった。；そこにかすかな疑いが兆し不安が芽生え、それは怖れから憎悪に変った。；ところがその本に、十二世紀も終わりに近づくと変化の兆しが現れました。；小さな兆し・変化を捉えて大勢・全体の動向を察するたとえにされる。；兵乱はようやく京を離れて、分国諸領に波及しようとする兆しが見える。；しかし、自殺の計画はすでにこの時、僕の心に兆していたのである。；いまのところ、多少疲れは残っても体の具合にこれという黒い兆しは見えぬ。；この大会戦の兆しが見られたのは、ここ数日来のことであった。；それだけでなく小学校も上級になると、おぼろな性の衝動が兆し始める。</t>
        </is>
      </c>
      <c r="J1957">
        <f>HYPERLINK("https://www.weblio.jp/content/兆し", "词义详情")</f>
        <v/>
      </c>
      <c r="K1957">
        <f>HYPERLINK("https://yourei.jp/兆し", "查看例句")</f>
        <v/>
      </c>
    </row>
    <row r="1958">
      <c r="A1958" t="inlineStr">
        <is>
          <t>刻む</t>
        </is>
      </c>
      <c r="B1958" t="inlineStr">
        <is>
          <t>成功</t>
        </is>
      </c>
      <c r="C1958" t="inlineStr">
        <is>
          <t>読み方：きざむ
［動マ五（四）］
１刃物で物を細かく切る。「ネギを—・む」
２物の形を彫りつける。彫刻する。「仏像を—・む」
３刃物などで筋状に切れ目を入れる。また、彫ったような凹凸をつける。「文字を碑に—・む」「額に—・まれたしわ」
４細かく区切るようにして継続・進行していく。「柱時計が時を—・む」「年輪を—・む」
５心の中にしっかりとどめる。しっかりと記憶する。「忠告を胸に—・む」「心に—・まれた幼い頃の記憶」
６入れ墨をする。
「面(おもて)を—・みて」〈雄略紀〉
７責め苦しめる。さいなむ。
「わが身をただ今までいろいろに—・まれ」〈浮・文反古・五〉
[可能]きざめる</t>
        </is>
      </c>
      <c r="D1958" t="inlineStr">
        <is>
          <t>刻むべき</t>
        </is>
      </c>
      <c r="F1958" t="inlineStr">
        <is>
          <t>細かく刻む</t>
        </is>
      </c>
      <c r="H1958" t="n">
        <v>29</v>
      </c>
      <c r="I1958" t="inlineStr">
        <is>
          <t>現在も橋のたもとには彼の名と両親の功績を刻んだ碑が立てられている。；これは彼にとってイギリスでの音楽生活への深い印象を刻むものだった。；気がつくとこの静かな家の脈搏のように時計が分秒を刻む音がしている。；かれは母のいう“心に刻む”ための質問をし高度の注意をはらってきた。；しかし歌詞はあくまで人類が歴史に刻んだ残虐行為に焦点を置いている。；彼は以前、自分が死んだ際には墓石にと刻んでほしいと冗談を言っていた。；板や石に書かれ、かつては木材に刻まれたものが多数存在したようである。；墓碑に刻まれている言葉はまさに永瀬義郎の人生そのものを表している。；石仏を刻んだ石は地元民が集落の北にある山から切り出したものである。；一刀一拝の心もちが入るのは、仏を刻む時ばかりでないと云ふ気がした。；北から接近する大集団は、その手前に長大な谷を刻むことで進行を止めた。；墓石には妻の姓のみ刻まれており、大田自身の名は一切刻まれていない。；ハリーが魔法薬の材料を刻むのに使うナイフのようなものだった。；その下の部分は基礎と呼ばれ、上部を階段状に刻んで塔身を受ける。；したがって歴代優勝者はロードレース史に名を刻む名選手ばかりである。；碑に刻む場合は、ノリトのように口でいうものとおのずから違って来る。；クラークのペースでラップを刻んでいく作戦は次第に効果が現れてきた。；歴史上彼女ほど多く地図にその名を刻んだ者は存在していない。；現在でもヨンケーレ製のバスのガラスの隅には馬車のマークが刻まれている。；何百人もの人々が、自らの業績や優れた特徴を広める目的で文字を刻んだ。；たとえば、霊廟の墓石などの巨大な面に刻むために発展した書体がある。；この試合で2000年代生まれの初NBA選手として歴史に名を刻んだ。；書斎の隅におかれた大時計の時を刻む音がいつになく高く耳に響いた。；生命の終わりへの時を刻むように、コードがみるみる間に短くなっていく。；俺は自分が偉い人間だとは思ってないし、歴史に名を刻むこともしそうにない。；三つの筋を刻むだけで顔を表現していた仮面の一つ一つが隆起する。；なお、この詩碑以外にも本作を刻んだ文学碑は日本国内に複数存在している。；海外からバンドを呼ぶなどして、時のクラブシーンに名を刻んだ。；始めなく、また終りなき 時を刻むと、柱なる 時計の針はひびき行け。</t>
        </is>
      </c>
      <c r="J1958">
        <f>HYPERLINK("https://www.weblio.jp/content/刻む", "词义详情")</f>
        <v/>
      </c>
      <c r="K1958">
        <f>HYPERLINK("https://yourei.jp/刻む", "查看例句")</f>
        <v/>
      </c>
    </row>
    <row r="1959">
      <c r="A1959" t="inlineStr">
        <is>
          <t>岸</t>
        </is>
      </c>
      <c r="B1959" t="inlineStr">
        <is>
          <t>成功</t>
        </is>
      </c>
      <c r="C1959" t="inlineStr">
        <is>
          <t>読み方：がん
［音］ガン（呉）（漢）　［訓］きし
［学習漢字］3年
〈ガン〉
１きし。「岸頭・岸壁／右岸・沿岸・河岸・海岸・護岸・接岸・対岸・彼岸」
２角立っている。いかめしい。「魁岸(かいがん)・傲岸(ごうがん)」
〈きし（ぎし）〉「岸辺／川岸・山岸」
［難読］河岸(かし)</t>
        </is>
      </c>
      <c r="D1959" t="inlineStr">
        <is>
          <t>岸近く；岸に近い；岸沿い；岸涼子；岸田森</t>
        </is>
      </c>
      <c r="E1959" t="inlineStr">
        <is>
          <t>崖；沿岸；斜面；土手；断崖</t>
        </is>
      </c>
      <c r="F1959" t="inlineStr">
        <is>
          <t>大西洋岸；北西岸；むこう岸；陸岸；北東岸</t>
        </is>
      </c>
      <c r="G1959" t="inlineStr">
        <is>
          <t>岸辺；岸壁；岸田；岸川；岸和田</t>
        </is>
      </c>
      <c r="H1959" t="n">
        <v>29</v>
      </c>
      <c r="I1959" t="inlineStr">
        <is>
          <t>湖の周囲には遊歩道が整備されているが、岸は自然なままにされている。；メディアはこの時点でカスピ海南西側の岸に沿って東へ位置していた。；指揮官は、岸近くで安全を確保した上で艦を自沈させるつもりであった。；また大西洋岸を北上するハリケーンが海岸線を通過していくこともある。；岸以外では、2000メートルまでもこなすことができてしまっていた。；父は所有地管理の都合から、蘇州近郊の呉淞江岸の大樹村に住んでいた。；岸青と兄・岸英は1936年にパリに送られ、その後モスクワへと移る。；黒海北岸地帯は奴隷貿易の拠点の1つであり、その歴史は近代まで続く。；県議時代も一貫して岸に師事し、岸の引退に際しては後継指名を受ける。；また、バルト海東岸に南北に並ぶバルト三国の中で最も北の国でもある。；北東岸にオートキャンプ場が整備されており、カヌーなどが利用できる。；しかしこの頃から岸の強引な政治姿勢に対して三木は反発を強めていた。；自分の龍舟も敵岸に閉じ込められたため、被害を受けた魏軍は敗走した。；また、岸によると、山中は照れるとすぐ顎を撫でるのが癖だったという。；この植民地はゴットホープと呼ばれグリーンランドの南西岸に建設された。；島西岸のホルムスク港からはロシア本土へのフェリーが運行されている。；岸からはいくつかの丘が隆起しており、リスボンには高い丘や深い谷がある。；みすずの力が必要だと言ってくれた岸のために、彼女はその計画を了承する。；ペルー太平洋岸の民族にはポリネシアとの交流を示唆する伝承が存在する。；ゲームの目的は水路の岸沿いにいる小モピラをすべて救出することである。；テワンテペク地峡の南西に位置し、太平洋岸に面した山がちな州である。；批准書交換が行われて条約が発効した6月23日、岸は退陣を表明した。；カスピの名は古代に南西岸にいたカス族あるいはカスピ族に由来する。；シアーズは海軍の出身で、船を戦闘で失ったのち泳いで岸まで辿り着いた。；今回は岸の全面的な支援を受け、また、豊富な選挙資金を得ての選挙となった。；両艦はスィノプへ向かうところであり、その後岸に沿って西へ進む予定であった。；琵琶湖岸は整備された公園になっており、多くの市民の憩いの場になっている。；このことが南アメリカの大西洋岸地域をヨーロッパと密接に結びつけた。；岸さんも立派だったけれど、佐藤さんは寡黙なだけに凄味があったね。</t>
        </is>
      </c>
      <c r="J1959">
        <f>HYPERLINK("https://www.weblio.jp/content/岸", "词义详情")</f>
        <v/>
      </c>
      <c r="K1959">
        <f>HYPERLINK("https://yourei.jp/岸", "查看例句")</f>
        <v/>
      </c>
    </row>
    <row r="1960">
      <c r="A1960" t="inlineStr">
        <is>
          <t>記事</t>
        </is>
      </c>
      <c r="B1960" t="inlineStr">
        <is>
          <t>成功</t>
        </is>
      </c>
      <c r="C1960" t="inlineStr">
        <is>
          <t>読み方：きじ
１事実を書くこと。また、その文章。
２新聞・雑誌などで伝える事柄。また、その文章。「事件を—にする」「三面—」
３「記事文」の略。</t>
        </is>
      </c>
      <c r="D1960" t="inlineStr">
        <is>
          <t>記事内；記事執筆；記事作成；記事掲載；記事参照</t>
        </is>
      </c>
      <c r="E1960" t="inlineStr">
        <is>
          <t>話；記録；歴史；話し；報告</t>
        </is>
      </c>
      <c r="F1960" t="inlineStr">
        <is>
          <t>インタビュー記事；当記事；紹介記事；関連記事；雑誌記事</t>
        </is>
      </c>
      <c r="G1960" t="inlineStr">
        <is>
          <t>記事内容；記事広告；記事化；記事文；記事差止</t>
        </is>
      </c>
      <c r="H1960" t="n">
        <v>29</v>
      </c>
      <c r="I1960" t="inlineStr">
        <is>
          <t>現在は記事を作ることよりも内容を充実させることが求められています。；当記事の最初で説明したように、ゲーム機には以下のような種類がある。；双方の記述で異なる場合は、各王の記事と矛盾しないものを採用した。；このことは、一部では矢田の件が原因ではと追究する記事が掲載された。；この記事によれば、このバージョンが含む大幅な強化は以下の通りである。；少ないながらも存在していた記事はウィキペディアの方へ吸収された。；道路の記事からも得られる情報しか持たないような記事は作成しないで下さい。；アルバニア語派に属するその他の言語は、それぞれの記事を参照のこと。；記事を執筆した記者の広岡勲が巨人担当を外れることで事態は収拾した。；このため、配信記事の責任の所在を巡ってトラブルが起こることもある。；議会の無関心の一方でロベスピエールはこの事件に注目して記事を執筆した。；日本以外にも存在するが、この記事では日本の缶けりについて説明する。；この記事では、文法に関してごくわずかしか例を挙げることができない。；本記事では、かつてこの路線を運営していた渥美電鉄についても述べる。；本記事では、かつてこの路線を運営していた多摩鉄道についても述べる。；ニュースの速報記事を書くのは、ウィキペディアの仕事ではありません。；イタリア関係記事の一覧これはイタリアに関連する記事の一覧である。；新聞の製作は、まず記者が取材を行い記事を書くところから始まる。；新たな記事を書く際には下の表を参考にして、適切な項目名を付けて下さい。；英語版ウィキペディアに各キャラクター記事があるものはリンクを示す。；本記事の執筆に直接使用していないものも含まれるので注意。；独立記事がある作品の書誌情報の詳細はそれぞれの作品記事を参照。；軍種の記事では、その国の軍隊の個々の部門について述べられています。；また、実際の記事ではこれらの適用が困難な場合も想定されます。；ヴァレンティノ・ガラヴァーニなどを日本に紹介する記事を担当した。；スウェーデン関係記事の一覧は、スウェーデンに関係のある記事の一覧。；その飲んでいる写真が新聞の記事になり牛乳会社の目に止まった。；以下、ウィキペディア上に単独記事の存在するものを中心に紹介する。；日本書紀と比較すると、古事記の記事は極めて簡潔なものになっている。</t>
        </is>
      </c>
      <c r="J1960">
        <f>HYPERLINK("https://www.weblio.jp/content/記事", "词义详情")</f>
        <v/>
      </c>
      <c r="K1960">
        <f>HYPERLINK("https://yourei.jp/記事", "查看例句")</f>
        <v/>
      </c>
    </row>
    <row r="1961">
      <c r="A1961" t="inlineStr">
        <is>
          <t>生地</t>
        </is>
      </c>
      <c r="B1961" t="inlineStr">
        <is>
          <t>成功</t>
        </is>
      </c>
      <c r="C1961" t="inlineStr">
        <is>
          <t>読み方：きじ
１手を加えていない、もともとの性質。「—が出る」
２化粧しないままの素肌。素顔。「—のままできれいな人」
３布・織物などの地質。また、染色や仕立てなどの加工をするための布・織物。「—のいい背広」
４陶磁器の、まだ釉(うわぐすり)を塗っていないもの。
５パン・麺(めん)やパイ皮にするために、粉をこねあげたもの。</t>
        </is>
      </c>
      <c r="D1961" t="inlineStr">
        <is>
          <t>生地屋；生地自体；生地見本；生地作り；生地製</t>
        </is>
      </c>
      <c r="E1961" t="inlineStr">
        <is>
          <t>たち；地；生まれ；自体；故郷</t>
        </is>
      </c>
      <c r="F1961" t="inlineStr">
        <is>
          <t>群生地；同じ生地；原生地；スポンジ生地；白い生地</t>
        </is>
      </c>
      <c r="G1961" t="inlineStr">
        <is>
          <t>生地主義；生地氏；生地第一温泉；生地温泉；生地鼻灯台</t>
        </is>
      </c>
      <c r="H1961" t="n">
        <v>29</v>
      </c>
      <c r="I1961" t="inlineStr">
        <is>
          <t>貴族の間では絹や毛などの上質な生地で作られたものが使用されている。；スーツとウェストコートは基本的に同じ生地のものでなければならない。；生地の中でこのプロセスが進むと食べた時にパリッとした食感を与える。；生地や縫製は上質のものを使用し、その分価格も高めに設定されている。；企業の垣根を超えて冷凍生地を相互に提供しているケースも多数存在する。；その生地は現在モンロー・ホールと呼ばれる所から1マイルの距離にある。；風は通しにくいが薄い生地が使われていて、断熱材などは付けられていない。；生地の色や柄には、着用者の好みに応じるように様々な種類がある。；彼のデザインには糸や生地を一から作るオリジナリティーがあった。；単純に生地を厚くしただけだと重量がかさみ空気抵抗も増加してしまう。；江戸時代は袋物などの小物用生地、明治からは着物などにも使われていた。；また、クッキー用に生地から目的の形に抜き取るための小型のものもある。；詰め物を生地で包んでから縁を指でひねって飾りをつけることが多い。；発泡クロロプレン生地製の本体とゴム製の底からできたものが大半である。；蜂蜜を入れて焼き上げることでしっとりとしたカステラ生地にしたもの。；焼き始めて熱がかかると生地が流れるのは油脂の種類や量によるものである。；また食塩を加えることで生地の伸びがよくなるが、多すぎると逆に低下する。；というムーアの言葉が語るように、生地への愛が込められた作品でもある。；メリヤス編みで編んだ生地、またはそれらの生地を使用した製品を指す。；日本のレアチーズケーキは上記のパイ皿を生地としている物が多い。；その一つの到達点が「頭部も同じタイツ生地で覆う」という行為である。；後に、本群生地で発生した胎生種子が自然定着し、自然繁殖が確認された。；自社工場を持つブランドのため生地や裏地、芯地まで研究・開発が可能。；ファーストモデルに限り以降のモデルとは袖口の生地のあわせが逆になっている。；生地や技術的なことも主にパトゥのメゾンで学んだと語っている。；生地はカッパドキアとする伝説が一般的だが、リュッダとする伝説もある。；吉祥を意識し、赤・黒・青・緑・ピンク・白の六つの系統の生地が主流である。；生地であるノルウェーの旧首都ベルゲンの自然と海をこよなく愛した。；また、生地の伸びのよさを利用してビーズクッションなどに使用されることもある。</t>
        </is>
      </c>
      <c r="J1961">
        <f>HYPERLINK("https://www.weblio.jp/content/生地", "词义详情")</f>
        <v/>
      </c>
      <c r="K1961">
        <f>HYPERLINK("https://yourei.jp/生地", "查看例句")</f>
        <v/>
      </c>
    </row>
    <row r="1962">
      <c r="A1962" t="inlineStr">
        <is>
          <t>技師</t>
        </is>
      </c>
      <c r="B1962" t="inlineStr">
        <is>
          <t>成功</t>
        </is>
      </c>
      <c r="C1962" t="inlineStr">
        <is>
          <t>読み方：ぎし
１機械・土木建築などの専門技術をもち、職業とする人。エンジニア。
２技官(ぎかん)の旧称。</t>
        </is>
      </c>
      <c r="D1962" t="inlineStr">
        <is>
          <t>技師たち(3%)；技師達；技師長；技師兼；技師連中</t>
        </is>
      </c>
      <c r="E1962" t="inlineStr">
        <is>
          <t>エンジニア；専門家；技手；技能者；技術屋</t>
        </is>
      </c>
      <c r="F1962" t="inlineStr">
        <is>
          <t>設計技師；建築技師；鉄道技師；セルコ技師；造船技師</t>
        </is>
      </c>
      <c r="G1962" t="inlineStr">
        <is>
          <t>技師の親指</t>
        </is>
      </c>
      <c r="H1962" t="n">
        <v>29</v>
      </c>
      <c r="I1962" t="inlineStr">
        <is>
          <t>人のよい年よりの大臣は王さまに言われて、さぎ師の家へ向かいました。；駅の設計には著名な鉄道技師ロバート・スチーブンソンが参加していた。；大臣が帰るとき、さぎ師たちはもっと金の糸や絹がほしいと言いました。；二人のさぎ師はあれやこれやと新しい服を着つけるふりをしました。；詳細な設計は艦艇設計技師としての訓練を受けていたポーターが行った。；企画開発部にて調査研究を担当したのは技師職に就いていた酒井信夫だった。；実施に当たり、日本の実績を参考にするため国鉄技師を日本で学ばせた。；それからまもなく、王さまはもう一人さぎ師のところに向かわせました。；この事故でヴィッカース社から派遣されていた技師2名が火傷を負った。；彼は非常に良い教育を受けており、技師・建築家としての腕も持っていた。；かわりに現地で工事の監督に当たった技師がアダム・クラークである。；ジニーと呼ばれる異なったタイプの技師中隊が大隊や連隊内に作られた。；農民出身ではなく、公共事業省に勤務経験のある爆破専門の技師だった。；外国の検査技師学校を卒業し厚労大臣の認定を受け国家試験を受験する。；事故のすぐ後にテキサス州議会は緊急議会を開き、技師登録法を制定した。；彼の父はスコットランド出身の石油技師で、当時はにおいて働いていた。；オートバイ部門では新たな主任技師を迎えて新規車種の開発をはじめた。；また、多くがヨーロッパの著名な建築家や技師が設計し、装飾したものである。；操業も、高い給料で多数のドイツ人技師を雇用した上で開始されている。；建築技師であった父の赴任先であったコンスタンティノープルで生まれる。；また軍事面でも外国人の専門家、特に軍指揮官や技師を登用している。；ズールは昔から武器製造で栄えた都市で兵器製造企業や銃技師が多く集まった。；米国と英国では制度や仕事内容、下につく技師名などが若干異なる。；このとき、技師頭のコロネル・ジェイ・エイ・サナに他の解法を尋ねた。；キリスト教の福音派に属していたユダヤ人技師の一家に生まれる。；実際の会社経営はを中心とした上級管理職や主要な技師らが行った。；やがて技師の中にも、精神に異常をきたして冬山に失踪する者が出始めた。；さぎ師がからのはた織り機で仕事をしている部屋に入りました。；堀越技師によれば、後の零式艦上戦闘機よりも会心の作であったと言う。</t>
        </is>
      </c>
      <c r="J1962">
        <f>HYPERLINK("https://www.weblio.jp/content/技師", "词义详情")</f>
        <v/>
      </c>
      <c r="K1962">
        <f>HYPERLINK("https://yourei.jp/技師", "查看例句")</f>
        <v/>
      </c>
    </row>
    <row r="1963">
      <c r="A1963" t="inlineStr">
        <is>
          <t>儀式</t>
        </is>
      </c>
      <c r="B1963" t="inlineStr">
        <is>
          <t>成功</t>
        </is>
      </c>
      <c r="C1963" t="inlineStr">
        <is>
          <t>読み方：ぎしき
公事(くじ)・神事・祭事・慶弔などの、一定の作法・形式で執り行われる行事。また、その作法。</t>
        </is>
      </c>
      <c r="D1963" t="inlineStr">
        <is>
          <t>儀式的(2%)；儀式用；儀式帳；儀式化；儀式場</t>
        </is>
      </c>
      <c r="E1963" t="inlineStr">
        <is>
          <t>式；会；形式；公式；祭</t>
        </is>
      </c>
      <c r="F1963" t="inlineStr">
        <is>
          <t>重要な儀式；宗教的な儀式；神聖な儀式；特別な儀式；諸儀式</t>
        </is>
      </c>
      <c r="G1963" t="inlineStr">
        <is>
          <t>儀式書；儀式的行事；儀式張ら；儀式召喚</t>
        </is>
      </c>
      <c r="H1963" t="n">
        <v>29</v>
      </c>
      <c r="I1963" t="inlineStr">
        <is>
          <t>基本的なシステムは前作と同様であるが鎧召喚と儀式は廃止されている。；当時、阿片を処理するための仏教儀式が行われていたと言うことである。；そのためこれもまた始皇帝の時と同じくその儀式の内容は判然としない。；もうこの段階では住居ではなく儀式空間へと特化した座敷となっている。；鏡とは、メソアメリカ一帯で儀式に使用された黒曜石の鏡のことを示す。；全線の営業開始は、儀式がすべて完了した直後の11月15日となった。；工芸は貴族の生活道具や、仏教儀式に使われる道具などを中心に発展した。；その後、明治10年代ごろに現在のような独立した儀式として定着した。；おぞましい儀式を目撃したとのスペイン人神父たちの記録も残っている。；平安時代には朝廷は儀式で使う金品を折った紙で包む方法を定めていた。；フランス派は、教会と連携を保ちつつ形式的、儀式的なものは排除した。；これらは、ハレの行事の時の儀式的な食事の際に天皇が用いたものである。；以後、儀式の話をしただけで、彼らは白人に逮捕される状況となった。；壁には神聖化された聖なる船の前で儀式を行う場面が描かれている。；肉を食べることもあるが、儀式などの特別な時以外はあまり食べられてはいない。；戦国時代の魏では、西門豹が人身御供の儀式をやめさせ国を発展させた。；儀式・法要などが営まれる日は、日程および時間を変更する場合がある。；明治節当日に小学校に参集した職員と児童は次の儀式を行うこととされた。；その儀式の内容は秘密とされており、実際に何が行われたかはよく分かっていない。；キリスト教では初期のころから、という祝福された塩を用いた儀式を行い。；儀式用複合施設はミシシッピ文化の人々の宗教では主要な要素だった。；しかし、これらの儀式はあくまで悟りの追求とは目的を別としていた。；即位の後に与えられた儀式的な名前は以下の通りである。；儀式は一般的な神道のものに似るが、大本では榊の代わりに松を用いる。；先述のように古代中国ではカメの甲羅を用いて神託の儀式を行っていた。；さらに11月16日には長く廃絶していた大嘗祭の儀式を復活させた。；国王や両班の参列の下に燃灯会や八関会などの仏教儀式が盛んに行われた。；この神殿内の聖域で、年に一度の儀式が行なわれていたと思われる。；地位の承継とその儀式が異なる用語によって区別されることもある。</t>
        </is>
      </c>
      <c r="J1963">
        <f>HYPERLINK("https://www.weblio.jp/content/儀式", "词义详情")</f>
        <v/>
      </c>
      <c r="K1963">
        <f>HYPERLINK("https://yourei.jp/儀式", "查看例句")</f>
        <v/>
      </c>
    </row>
    <row r="1964">
      <c r="A1964" t="inlineStr">
        <is>
          <t>気質</t>
        </is>
      </c>
      <c r="B1964" t="inlineStr">
        <is>
          <t>成功</t>
        </is>
      </c>
      <c r="C1964" t="inlineStr">
        <is>
          <t>読み方：かたぎ
《「形木」から》
１身分・職業・年齢層・環境などを同じくする人たちの間にみられる、特有の気風・性格。「職人—」「昔—」
２習わし。慣習。
「アル程ノ宝ヲ奉ラルル—ガゴザッタ」〈天草本伊曽保・イソポが生涯〉
３容姿、または、性質・気だて。
「行義(ぎゃうぎ)強い—なれば」〈浮・禁短気・三〉</t>
        </is>
      </c>
      <c r="D1964" t="inlineStr">
        <is>
          <t>気質的(2%)；気質要因；気質そのもの；気質分類；気質まる出し</t>
        </is>
      </c>
      <c r="E1964" t="inlineStr">
        <is>
          <t>気；地；性；特徴；キャラクター</t>
        </is>
      </c>
      <c r="F1964" t="inlineStr">
        <is>
          <t>名人気質；文人気質；武士気質；芸術家気質；書生気質</t>
        </is>
      </c>
      <c r="G1964" t="inlineStr">
        <is>
          <t>気質類型</t>
        </is>
      </c>
      <c r="H1964" t="n">
        <v>29</v>
      </c>
      <c r="I1964" t="inlineStr">
        <is>
          <t>僕はいつも彼のことをただ芸術的な気質を持った僕等の一人に考えていた。；ただし、これは上記の性格と気質の概念のが混同している可能性がある。；人間にはそれぞれ気質があり、体の各器官や部分にも特定の性質がある。；さういふ気質の点で、日本はともかく一応の歴史をもつてゐたと云へる。；私は若いころ結婚したが、幸いなことに妻は私と性の合う気質だった。；ここでのスタンダードも本来の猟犬気質を保持することが許されている。；自分らと異なった気質の者もいるということを彼らは思いもつかなかった。；それはわたしには持って生まれた彼女の気質としか思われなかった。；そして二人とも同じく激しい気質だったから、しばしば衝突をきたした。；これは確かに北海道の住民の特異な気質となって現われているようだ。；私が母の立場に理解を持ちうる年齢に達したとき、母は私の気質を理解した。；彼は全く自分と気質を異にした人の前に立って見たような気がしたのであった。；幼少時から非常に凶暴で喧嘩っ早く目立ちたがり屋な気質が現れていた。；音楽と同様に踊りにも人の内的な精神的感情や個人的な気質が表現される。；他の人と同じように入場券を手にしないところにこの老人の気質を示していた。；二人の結婚生活はその気質の違いのために時として嵐のようなものだった。；性格や気質や道徳や思想や才能のあたりに根を置いている作品はあぶない。；私がいろんなことに手を出したのは、カリフォルニア気質のせいなのよ。；兄2人も美術史と歴史を学んでおり、一家で研究者気質だったと語っている。；その子供のそしてそういう気質をうけている私であるゆえ分るのだ。；友人一人ないを自慢の気質には、私が身の落着きを、安心の首途にして。；あるいは笑いの断続の「週期」と体質や気質との関係を考えさせられる。；この違いを説明しようとしているのは、道具理論と気質理論の2種類である。；最初から、いつもの気質で鳥羽は幾に向つても何も言ひはしなかつた。；このような気質の違いのいくつかは出生前ではないにしても明白に見られる。；初めてギリシャ人気質を知ったホーマーも考えを変え、踊りに加わった。；こうした結局無邪気な学生の意識が当時の「書生気質」だったのである。；飼いやすい犬種だが比較的活発な気質で、それなりの運動が必要となる。；彼を狂暴な学校教師のメランコリックな気質にまかせたくございません。</t>
        </is>
      </c>
      <c r="J1964">
        <f>HYPERLINK("https://www.weblio.jp/content/気質", "词义详情")</f>
        <v/>
      </c>
      <c r="K1964">
        <f>HYPERLINK("https://yourei.jp/気質", "查看例句")</f>
        <v/>
      </c>
    </row>
    <row r="1965">
      <c r="A1965" t="inlineStr">
        <is>
          <t>期日</t>
        </is>
      </c>
      <c r="B1965" t="inlineStr">
        <is>
          <t>成功</t>
        </is>
      </c>
      <c r="C1965" t="inlineStr">
        <is>
          <t>読み方：きじつ
１あることを行うと、前もって特定されている日。「会議の—を決める」「公判—」
２その日までと前もって定められている日。期限の切れる日。日限。「—までには必ず返す」</t>
        </is>
      </c>
      <c r="D1965" t="inlineStr">
        <is>
          <t>期日通り；期日前；期日どおり；期日指定；期日等</t>
        </is>
      </c>
      <c r="E1965" t="inlineStr">
        <is>
          <t>日；年代；期限；年月；デート</t>
        </is>
      </c>
      <c r="F1965" t="inlineStr">
        <is>
          <t>施行期日；支払期日；合併期日；選挙期日；予定期日</t>
        </is>
      </c>
      <c r="G1965" t="inlineStr">
        <is>
          <t>期日前投票所；期日前投票制度</t>
        </is>
      </c>
      <c r="H1965" t="n">
        <v>29</v>
      </c>
      <c r="I1965" t="inlineStr">
        <is>
          <t>そんな彼の許に最後の救い主がやってきたのは約束の期日一日前である。；内側から徐々に死んでいき、やがて最終的な決済の期日を迎えるのです。；そのうちに期日も迫って結局私が立つほかはなくなった次第でした。；プロジェクトの期日に間に合わなければ、なんの意味もないからである。；なお瀬戸第二発電所はこの協議に定められた期日どおりに完成している。；そして約3ヶ月の受注期間を経て期日に受注率が達成され、販売が決定。；選挙の期日は、現在ではほぼすべての選挙で日曜日に設定されている。；黎明期は現在のように開催期日が固定されていたわけではなかった。；ヨーロッパの鉄道では、ダイヤ改正は多くの国で期日を統一して行われる。；それでもその子は期日までに国へ帰って差支なく検査を済ましている。；そのほとんどが期日も迫っていて、彼はこの件で訴えられそうなんですって。；秦の法ではいかなる理由があろうとも期日までに到着しなければ斬首である。；乃木は各師団が坑道作業に入った事で作業完了までには期日が必要と判断。；平日投票とは選挙において一般に休日ではない日を投票期日にすること。；もしも期日内に捕らえることが出来なければ、日本国がこれを処弁する。；もはや期日の打ち合わせをするほどにこの話は進んできています。；払い戻すのも面倒だし、誰かにあげるにしても期日指定はやっかいだ。；このように期日を定めて市場が開かれたのは、各地方の商業的な発達がなかったためだ。；当初は5月12日に予定されていたが、期日及び会場が二転三転した。；しかしながら、予定されていた期日よりも1年早い1983年に完成した。；返済期日を厳守したため、借金をしながら却って信用を得たとも言える。；議員は召集詔書に指定された期日に各議院に集会しなければならない。；当局からの合併許可を経て契約中の期日通り同年9月30日に合併が実施された。；期日は昨年の五月十四日で、会場は市内の文化会館ホールとなっている。；・期日が指示されない仕事はあとまわしにしてしまう。；だが、はっきりした期日の約束はなく、ハルは知恵おくれのままだった。；そして期日通りに1928年4月1日付で両社の合併は実行に移される。；第一、工事の期日は、急に変えられるものじゃないと思うからね。；これが確実に期日通りに行なわれるよう、私はモレル氏に申し入れたのです。</t>
        </is>
      </c>
      <c r="J1965">
        <f>HYPERLINK("https://www.weblio.jp/content/期日", "词义详情")</f>
        <v/>
      </c>
      <c r="K1965">
        <f>HYPERLINK("https://yourei.jp/期日", "查看例句")</f>
        <v/>
      </c>
    </row>
    <row r="1966">
      <c r="A1966" t="inlineStr">
        <is>
          <t>議事堂</t>
        </is>
      </c>
      <c r="B1966" t="inlineStr">
        <is>
          <t>成功</t>
        </is>
      </c>
      <c r="C1966" t="inlineStr">
        <is>
          <t>読み方：ぎじどう
議員が集まって議会を開くための建物。「国会—」</t>
        </is>
      </c>
      <c r="D1966" t="inlineStr">
        <is>
          <t>議事堂内(3%)；議事堂前；議事堂襲撃事件；議事堂庁舎；議事堂建設</t>
        </is>
      </c>
      <c r="F1966" t="inlineStr">
        <is>
          <t>連邦議会議事堂；州議会議事堂；県会議事堂；州議事堂；大阪国議事堂</t>
        </is>
      </c>
      <c r="G1966" t="inlineStr">
        <is>
          <t>議事堂警察委員会；議事堂宮殿；議事堂通り</t>
        </is>
      </c>
      <c r="H1966" t="n">
        <v>29</v>
      </c>
      <c r="I1966" t="inlineStr">
        <is>
          <t>また、彼の像は旧国会議事堂を含む国の多くのところに設置されている。；そして議事堂のかげに駐車できそうなところを見つけたので車をとめた。；松平が大阪国議事堂で目にした書類には、一つの際だった特徴が見られた。；しかし、誰が手がけたものであれ、大阪国議事堂はあの地下に実在する。；議事堂は2018年から全面的な改修工事が行われており閉鎖されている。；もう1体には議事堂の指定された空間や廊下にある目立つ場所を与えられた。；たった一ページの極めて短い資料でしたが、そこで議事堂の存在を知りました。；このデザインは現在のDCの議事堂の上院の机とほとんど同じである。；国葬においても重要な役割を果たし、式典前のには議事堂が使用される。；ナウは蜘蛛族の議事堂からベニーの酒場に集まった人々に視線を移した。；議事堂からの映像はまだとどいているが、場内にはもうだれもいない。；それが大阪国の歴史だと大阪国議事堂会議室にて、真田幸一は言った。；あれはロンドンの議事堂の時計を模しているのだとハース氏がいう。；また特別参観で一般参観者を議事堂内へ入れるときにも使用された。；大輔は大阪国議事堂で出会った会計検査院の調査官の顔を思い浮かべた。；しかし派遣が決定したのは15時で、暴徒らは既に議事堂内に侵入していた。；警備当局は同日午後6時までに、議事堂の安全を確保したと発表した。；議事堂の外観は周辺の歴史的建築と調和するよう色彩と形状が決められた。；それを最も象徴するのが広場の西側に建っている国会議事堂である。；クラブの玄関係がタクシーを呼んでくれたとき、議事堂の大時計が半を打った。；議事堂内部には情報化社会に対応した最新の通信設備が導入された。；かつて州議事堂から市役所に転換するまでの間にも一時的に商用利用されていた。；議事堂の外部は可能な限り緑化されており、周辺との調和に配慮している。；議事堂の建設は1772年に始まり、最初の州会は1779年に開かれた。；現在の貨幣価値ではこの議事堂はおよそ4億ドル相当であると推定されている。；騎士の館は下院議事堂時代には歴史的な会議の舞台となった。；当時はまだ議会議事堂が建設されていなかったため、一時的な州都が必要になった。；ニューサウスウェールズ州議事堂と同時に建設されたため、良く似ている。；その車は議事堂から狸穴の方に向って行ったと云うのである。</t>
        </is>
      </c>
      <c r="J1966">
        <f>HYPERLINK("https://www.weblio.jp/content/議事堂", "词义详情")</f>
        <v/>
      </c>
      <c r="K1966">
        <f>HYPERLINK("https://yourei.jp/議事堂", "查看例句")</f>
        <v/>
      </c>
    </row>
    <row r="1967">
      <c r="A1967" t="inlineStr">
        <is>
          <t>軋む</t>
        </is>
      </c>
      <c r="B1967" t="inlineStr">
        <is>
          <t>成功</t>
        </is>
      </c>
      <c r="C1967" t="inlineStr">
        <is>
          <t>読み方：きしむ
［動マ五（四）］物と物とがすれ合って、きしきし、みしみしなどと音を立てる。「床が—・む」「雨戸が—・んであけにくい」</t>
        </is>
      </c>
      <c r="D1967" t="inlineStr">
        <is>
          <t>軋むような音(6%)；軋むような痛み</t>
        </is>
      </c>
      <c r="E1967" t="inlineStr">
        <is>
          <t>軋る</t>
        </is>
      </c>
      <c r="F1967" t="inlineStr">
        <is>
          <t>ぎしぎし軋む；ギシギシと軋む；立てて軋む；大きく軋む；みしみしと軋む</t>
        </is>
      </c>
      <c r="H1967" t="n">
        <v>29</v>
      </c>
      <c r="I1967" t="inlineStr">
        <is>
          <t>建て付けの悪い入り口のドアが軋みを上げて開いたような気配を感じた。；それからちょっとたってから、鋭い何かが軋むような音を耳にしました。；あまり静かにうなずいたので、首の骨が軋む音が聞こえたような気がした。；内鍵をつけるのを禁じられた部屋のドアがかすかな軋みをたてて開かれた。；走っている車には絶対にわかりようのない叫び声とベッドの軋む音とをね。；表の方にあたって、車のブレーキの軋みが聞こえたのはそのときである。；戦闘が始まり、船体が軋み始めると、大人たちは必ず言ったものだった。；木の軋む音と空気が漏れるような独特の音を立てて〈密室〉は開かれた。；無駄だと知りつつ軋みにまで神経を使い、できるだけ静かに戸を閉めた。；光と音は遠くから僅かしか聞こえないのに、洞窟は軋みをあげて震えている。；小さな軋み音を立てながら階段を下りてきたのもエルサだとすぐにわかった。；テント内部の空気が軋むような長い沈黙の中で、風だけが鳴っていた。；一分前のかすかな軋み音、想像の音はすっかり忘れてしまっていた。；携帯での会話を思い出し、軋むような切なさが、胸の奥に広がってゆく。；しばらく泣いているとベッドが軋み、夫が隣に腰を下ろす気配がした。；前の方で機関車が苦しそうに車輪を軋ませているのがときどき見える。；そして俺たちを乗せた自転車は、軋みながらも上り坂を無事に登り切った。；真は油の切れた機械のように、首の骨を軋ませながら女々へと顔を向ける。；椅子の下についた小さな車輪が軋む音さえ、彼には聞こえたような気がした。；まるでそれを待っていたかのごとく、周りから軋む音が響き始める。；軋むような音をたててゆっくりと彼女の身体が壁にめり込んでいく。；科学的な機器が装備された扉が、不似合いな蝶番の軋む音をたてて開いた。；それはあるいは、夏野自身が起こしたベッドの軋みだったのかもしれない。；王と大公の関係が軋みはじめたのは、ヤマン・ハサルの孫の時代である。；ぎりぎりと大気を軋ませるようにして伝わってくるのは、憎しみなのだ。；ゆっくりと、なにかをひきずるような軋みの音が、かすかに響いたのだ。；死体の骨や筋肉が軋む感触が腕に伝わるが、それほど強い硬直ではない。；そうなら、ぼくと小佐内さんの関係は、既に軋みをあげていたことになる。；階段が軋むのは古びているからではなく、素材の板が薄すぎるからである。</t>
        </is>
      </c>
      <c r="J1967">
        <f>HYPERLINK("https://www.weblio.jp/content/軋む", "词义详情")</f>
        <v/>
      </c>
      <c r="K1967">
        <f>HYPERLINK("https://yourei.jp/軋む", "查看例句")</f>
        <v/>
      </c>
    </row>
    <row r="1968">
      <c r="A1968" t="inlineStr">
        <is>
          <t>記者</t>
        </is>
      </c>
      <c r="B1968" t="inlineStr">
        <is>
          <t>成功</t>
        </is>
      </c>
      <c r="C1968" t="inlineStr">
        <is>
          <t>読み方：きしゃ
１新聞・雑誌や放送などで、記事の取材・執筆、また編集に携わる人。
２文章を書く人。文書を起草する人。筆者。</t>
        </is>
      </c>
      <c r="D1968" t="inlineStr">
        <is>
          <t>記者たち(6%)；記者会見；記者席；記者時代；記者達</t>
        </is>
      </c>
      <c r="E1968" t="inlineStr">
        <is>
          <t>ジャーナリスト；リポーター；レポーター；通信員；新聞屋</t>
        </is>
      </c>
      <c r="F1968" t="inlineStr">
        <is>
          <t>女性記者；若い記者；婦人記者；日本の新聞記者；部記者</t>
        </is>
      </c>
      <c r="G1968" t="inlineStr">
        <is>
          <t>記者クラブ；記者団；記者発表；記者室；記者証</t>
        </is>
      </c>
      <c r="H1968" t="n">
        <v>29</v>
      </c>
      <c r="I1968" t="inlineStr">
        <is>
          <t>勤務中の記者が襲われて死亡するのは、日本の言論史上初めてであった。；レベルやランクはそれぞれ異なる他、記者が付いているユニットもある。；選考は毎年1月に新聞・放送の競馬担当記者の投票を元に行われている。；記事を執筆した記者の広岡勲が巨人担当を外れることで事態は収拾した。；神のご意志は、悪人の罪を罪なき者がつぐなうことをお望みにはならぬ。；ほとんどの記者やファンは連続試合出場による疲れだと信じていた。；新聞の製作は、まず記者が取材を行い記事を書くところから始まる。；また、その国にいなかったはずの記者の名前が付けられていることさえもある。；同時に社会部の記者に異動することになったと本人から発表があった。；聖人のごとくふるまったわけではないが、罪なき者を殺したことはない。；この時期の記者クラブのほとんどは記者が個人個人で直接加入するものだった。；しかし記者たちはそのことに気づかず、その後の展開を誰も予測していなかった。；記者に妻リナや幼い子らなどと一緒にいる写真をよく撮らせていた。；また10月10日にも本人が記者の前で負傷箇所を公開している。；これもやはり大きな人は損をする訳で我々ごとき者が買いに行くと損です。；記者たちに金銭を渡してCIA製の記事を新聞や雑誌に掲載させた。；ゲストとしてグラビアアイドルや取材現場の記者が登場することもあった。；山梨県の1日の様々な出来事を記者リポートや特集を中心に伝えている。；過去の一時期、記者のほとんどが教会のメンバーで構成されていた。；上杉隆は政府自らが記者の身分を確認しない現状の方が危険だと指摘している。；編集関係の仕事についた後に8年間在籍、経済誌の編集・記者を経験。；記者と食事、キャッチボールを行うことも多く、度々記事になっている。；判決が出た時、記者たちは次のような会話を交わしていたという。；夕刊フジの記事は記名制であるがzakzakでは記者名は省略される。；また、映像記者紹介をするなど、インターネットの活用をしていた。；駆け出し記者時代にカープの選手たちに世話になったからだという。；海外記者のリポートはJRNのニュースでも録音で放送されている。；軍事記者の経験があるため銃器・ミリタリーの知識を生かしたものが多い。；卒業後は中日新聞社の記者を経て、弁護士となり京都に法律事務所を開く。</t>
        </is>
      </c>
      <c r="J1968">
        <f>HYPERLINK("https://www.weblio.jp/content/記者", "词义详情")</f>
        <v/>
      </c>
      <c r="K1968">
        <f>HYPERLINK("https://yourei.jp/記者", "查看例句")</f>
        <v/>
      </c>
    </row>
    <row r="1969">
      <c r="A1969" t="inlineStr">
        <is>
          <t>汽車</t>
        </is>
      </c>
      <c r="B1969" t="inlineStr">
        <is>
          <t>成功</t>
        </is>
      </c>
      <c r="C1969" t="inlineStr">
        <is>
          <t>読み方：きしゃ
１蒸気機関車で客車や貨車を引いて軌道を走る列車。
２鉄道の列車、特に長距離列車のこと。</t>
        </is>
      </c>
      <c r="D1969" t="inlineStr">
        <is>
          <t>汽車賃；汽車に乗つて；汽車課長；汽車弁当；汽車製造会社</t>
        </is>
      </c>
      <c r="F1969" t="inlineStr">
        <is>
          <t>同じ汽車；豆汽車；裕隆汽車；早い汽車；一緒に汽車</t>
        </is>
      </c>
      <c r="G1969" t="inlineStr">
        <is>
          <t>汽車に乗って；汽車旅；汽車のえほん；汽車道；汽車会社</t>
        </is>
      </c>
      <c r="H1969" t="n">
        <v>29</v>
      </c>
      <c r="I1969" t="inlineStr">
        <is>
          <t>これは汽車の中で買ったんですが、ここで蓋を明けることにしましょう。；女房の手紙によると、子供は汽車がダディを連れて行ったと思っている。；ギブソンはジミィを汽車の駅まで馬車で送ってくれることになっていた。；戦争中にあまり激しく使われたので、汽車も疲れたのだろうと云う人もある。；或冬曇りの午後、わたしは中央線の汽車の窓に一列の山脈を眺めてゐた。；汽車の窓から外の景色を見ると、どんなところでもよく纏まって見える。；汽車の中で遺書を書いたのも、発作的な行動に過ぎなかった、と述べた。；そして汽車の切符を渡して行けと云ふので、渠は素直にその通りにした。；ところが、どれほどたっても汽車は来ないのでありますから発車しました。；四時間汽車でがまんをすれば来られるのですもの、本当に来て下さいね。；艦隊はそこで乗客を降ろし、ロシアへ向かう汽車に乗せる予定であった。；パリにいられなくなったエヴォリーヌは汽車で故郷の親元へ帰るのだった。；汽車が走り始めてからは彼女は何を考えることも出来なかった。；踏切の道路標識でも汽車および一般的な鉄道車両マークで定義している。；なぜなら、汽車がちょうど全速力を出して走っていたからであります。；汽車から次々と降り立つ労働者たちの中に、アントニオの姿があった。；汽車が止まると、子供は自分の忍術で止まったのだと思い込んだという。；四里ばかり離れた田舎だが、なに、汽車に乗ればすぐにゆけるところだ。；翌朝にその辺りを調べたところ、汽車に轢かれた狢の死体が見つかった。；東京へ帰る汽車の中でも、勇ちゃんは、少年のことを思い出していました。；町の方には電車の音がしたり、また汽車の笛の音などもしているのでありました。；赴任先へ向かう途中の汽車で速水は自殺しようとしていた女を助ける。；森山君も北見からかえるところで、同じ汽車に乗っている事がわかった。；汽車のなかだろうがどこであろうが、いつでも仕事の鬼なのだ。；前後のデザインを大幅に変更した中国仕様車が北京現代汽車から発売されている。；男は、頭を上げて、汽車の窓からのぞいている人々の顔をながめていました。；日本の汽車は世界で最も安全で正確と言われるようになる。；ちょうどその下には汽車の線路があって、土手がつづいていました。；彼女はその汽車をやりすごし、ジョヴァンニと駅のレストランへ行った。</t>
        </is>
      </c>
      <c r="J1969">
        <f>HYPERLINK("https://www.weblio.jp/content/汽車", "词义详情")</f>
        <v/>
      </c>
      <c r="K1969">
        <f>HYPERLINK("https://yourei.jp/汽車", "查看例句")</f>
        <v/>
      </c>
    </row>
    <row r="1970">
      <c r="A1970" t="inlineStr">
        <is>
          <t>機種</t>
        </is>
      </c>
      <c r="B1970" t="inlineStr">
        <is>
          <t>成功</t>
        </is>
      </c>
      <c r="C1970" t="inlineStr">
        <is>
          <t>読み方：きしゅ
１航空機の種類。
２機械の種類。</t>
        </is>
      </c>
      <c r="D1970" t="inlineStr">
        <is>
          <t>機種名；機種転換；機種ごと；機種版；機種別</t>
        </is>
      </c>
      <c r="F1970" t="inlineStr">
        <is>
          <t>全機種；他機種；上位機種；同機種；一部機種</t>
        </is>
      </c>
      <c r="G1970" t="inlineStr">
        <is>
          <t>機種依存文字；機種変</t>
        </is>
      </c>
      <c r="H1970" t="n">
        <v>29</v>
      </c>
      <c r="I1970" t="inlineStr">
        <is>
          <t>ただし2007年には両メディアに対応する再生機種も発表されている。；この機種は教育市場向けモデルのため一般にはほとんど出回っていない。；コンピュータの機種によって違う文字が表示されるコード領域となった。；グラディウスシリーズのゲーム中に実際に登場した機種は以下のとおり。；一方で当時の機種で既に標準装備となっていた自動両面再生機能がない。；内容は全く同じではなく、機種ごとの独自要素も取り入れられている。；同様の機構は同2社のカーナビゲーションの一部上位機種でも始まった。；他の機種ではソフトウェアでのエミュレーションで同等機能を提供する。；また、この機種では文字の間隔をタイピングの途中でも変更可能だった。；彼が主役のビデオゲームもNES時代から様々な機種で発売されている。；近年では腕時計型やハードディスクを搭載した機種も発売されている。；また、全機種でデジタルオーディオプレーヤー機能が正式対応になった。；また、機体は軽量化され、他機種との部品共有も図られているとされる。；基本的にラジオを備えているが、路側放送専用のボタンがある機種も多い。；初期の機種ではデジタルがゆえに事前にフォーマット作業が必要だった。；鉄道用券売機向けに開発された技術が搭載されている機種もある。；ゲーム向けの高級機種として、より多くのボタンを備えた製品もある。；竣工から1935年まで内令兵で定められた機種とその数は以下の表の通り。；FeliCaチップの供給数に余裕が無いため全機種対応にならなかった。；充電表示していないだけで実際には充電されているという機種も存在する。；現在もキャッシュレス決済に対応した機種の開発や導入が徐々に行われている。；これを元にした各種移植作品についての詳説は他機種版の項目を参照。；日本で正式にリリースされた各機種版のリリース日は下記の通り。；サターンロケットシリーズにはいくつかの派生機種が計画されていた。；他には次のようなものがいくつかついている機種もある。；この爆撃の発明を受けて各国は急降下爆撃の研究と専用機種の開発を始めた。；機種によっては、広い場所で使用するために強力な性能を持っている物もある。；終了時期は不明だが、両機種の配信寿命を延ばすために終了したとみられる。；最終的にはNASA向けの特殊な機種も含めて14のモデルがリリースされた。</t>
        </is>
      </c>
      <c r="J1970">
        <f>HYPERLINK("https://www.weblio.jp/content/機種", "词义详情")</f>
        <v/>
      </c>
      <c r="K1970">
        <f>HYPERLINK("https://yourei.jp/機種", "查看例句")</f>
        <v/>
      </c>
    </row>
    <row r="1971">
      <c r="A1971" t="inlineStr">
        <is>
          <t>記述</t>
        </is>
      </c>
      <c r="B1971" t="inlineStr">
        <is>
          <t>成功</t>
        </is>
      </c>
      <c r="C1971" t="inlineStr">
        <is>
          <t>読み方：きじゅつ
［名］(スル)
１文章にして書きしるすこと。また、書きしるしたもの。「見聞したことをつぶさに—する」
２《description》事物の特質を、事実そのままに正確かつ組織的にしるしのべること。</t>
        </is>
      </c>
      <c r="D1971" t="inlineStr">
        <is>
          <t>記述する(27%)；記述される(3%)；記述できる；記述内容；記述式</t>
        </is>
      </c>
      <c r="E1971" t="inlineStr">
        <is>
          <t>話；説明；歴史；話し；表現</t>
        </is>
      </c>
      <c r="F1971" t="inlineStr">
        <is>
          <t>歴史記述；含めて記述；詳細な記述；あわせて記述；沿革についても記述</t>
        </is>
      </c>
      <c r="G1971" t="inlineStr">
        <is>
          <t>記述統計学；記述集合論；記述精神医学；記述文法；記述疫学</t>
        </is>
      </c>
      <c r="H1971" t="n">
        <v>29</v>
      </c>
      <c r="I1971" t="inlineStr">
        <is>
          <t>この点はアセンブラで記述されて簡単には拡張できない点が裏目に出た。；非常に大きな影響力のあったAberMUDはB言語で記述されていた。；しかし、シューマン自身がこのように説明している記述はどこにもない。；双方の記述で異なる場合は、各王の記事と矛盾しないものを採用した。；ここから得られるアルゴリズムを、日本語で記述すると次のようになる。；これは中国語以外の言語で書かれた最初の麻雀についての記述であった。；距離のコース種別は、最後の直線コースを走行する際の馬場で記述する。；小数点より左を整数部と呼んで、右から一の位、十の位の数を記述する。；この場合、電子電子相互作用のふるまいはを用いて記述する必要がある。；また の記述から、最後の審判にも天使が関わるものと考えられている。；こうして遺伝現象の基本的な部分は分子の言葉で記述されるようになった。；それらは特に哲学的な表現でウパニシャッドなどに記述されている。；説明的妥当性を持つ理論は初期状態である普遍文法の性質を記述する。；もう少しプログラムらしい書き方をすれば次のような記述が出来る。；以下の説明の規定については国際卓球連盟の規則に従って記述している。；磁力を支配する場の起源と振る舞いはマクスウェル方程式で記述される。；命令列は、先頭から最後尾に向かって逐次的に実行されるよう記述される。；メタ言語とはある言語について何らかの記述をするための言語である。；例を挙げると、中心力場の問題では、極座標系で記述されることが多い。；このころから古いポーランド語による記述が多く現れるようになった。；以下の記載は、基本的に路線バスとしての高速バスに限定して記述する。；舞台は未来の地球で、具体的に何世紀なのかは記述されていない。；ここでは従来からのオリジナルルールを中心に記述する。；これは金属中の電子を記述するのに良いモデルとなる。；ただし神話記述のあらゆる細部に象徴的な意味があるわけではない。；XML文書では文書型宣言を記述してもよいし、記述しなくてもよい。；また、サブルーチンの定義部分だけを先に記述する方法で解決した。；しかし記述的妥当性を備えた文法は出力としての個別言語を知っている。；日本の報道では「米国電気電子学会」と記述されることが多いようである。</t>
        </is>
      </c>
      <c r="J1971">
        <f>HYPERLINK("https://www.weblio.jp/content/記述", "词义详情")</f>
        <v/>
      </c>
      <c r="K1971">
        <f>HYPERLINK("https://yourei.jp/記述", "查看例句")</f>
        <v/>
      </c>
    </row>
    <row r="1972">
      <c r="A1972" t="inlineStr">
        <is>
          <t>技術</t>
        </is>
      </c>
      <c r="B1972" t="inlineStr">
        <is>
          <t>成功</t>
        </is>
      </c>
      <c r="C1972" t="inlineStr">
        <is>
          <t>読み方：ぎじゅつ
１物事を取り扱ったり処理したりする際の方法や手段。また、それを行うわざ。「—を磨く」「高度な表現—」
２科学の研究成果を生かして人間生活に役立たせる方法。「先端—の導入」「産業界における—革命」</t>
        </is>
      </c>
      <c r="D1972" t="inlineStr">
        <is>
          <t>技術的(4%)；技術研究所；技術指導；技術系；技術水準</t>
        </is>
      </c>
      <c r="E1972" t="inlineStr">
        <is>
          <t>方法；腕；能力；手法；技</t>
        </is>
      </c>
      <c r="F1972" t="inlineStr">
        <is>
          <t>高度な技術；製造技術；新しい技術；高い技術；加工技術</t>
        </is>
      </c>
      <c r="G1972" t="inlineStr">
        <is>
          <t>技術的；技術開発；技術力；技術革新；技術面</t>
        </is>
      </c>
      <c r="H1972" t="n">
        <v>29</v>
      </c>
      <c r="I1972" t="inlineStr">
        <is>
          <t>こういった映像表現の発生した背景には、初期の写真技術があげられる。；楽器の音階を決める穴配りと穴開けには高度の製作技術が必要とされる。；これは他の技術を使うことなく実現可能なイメージの製作が可能だからである。；この技術の名称として、他に提案され吟味されたものの一部を次に示す。；ムーアの法則は技術のすべての形を予測すると共通に信じられている。；ゼロックスはPARCで開発された技術の価値に気づくのが遅れていた。；ハイテクは現在でも重要な部門だが、大規模な技術主導の会社は少ない。；しかし、この技術を超光速の情報伝達のために使うことは不可能である。；技術用語以外の規定では、長音をつけることを原則としている規則もある。；この衝突は技術的なものであると同時にそれぞれの時代背景にも原因がある。；これは、複数のスレッドを同じCPU上で同時に実行できる技術である。；技術系制服も更新され、青ベースの制服から灰色ベースの制服に変更となった。；ここでは、1955年の航空技術研究所の設置のころまでを前史とする。；当時の技術ではCPUとは別にROMを置く方がコストが掛かっていた。；なおこの技術はコンパクトカメラでも大いに活用されたものである。；技術的な面では何も問題は無く、単純な採算性の問題となっている。；ハードウェアの製作やメンテナンスに特別な部品や技術を使う必要はない。；要素技術を発明・新開発したものではないものも含まれる。；トランスジェニック技術を採用して市場に出している組織は次のとおりである。；ここに挙げた新技術は全てポピュラー音楽を大衆に定着させるのに貢献した。；専門料理は技術であり、また特に高度なものは芸術の一種と捉えられることもある。；以下に技術委員会の一覧と、各委員会が作成した著名な規格を示す。；ヒッチコックはキャリアを通じて、さまざまな映像合成技術を使用した。；多くの発明がそうであるように、ピアノもそれまでにあった技術の上に成立している。；この目標のため、クヌースはかなりの時間を組版技術の調査に費やした。；しゃべってコンシェルの技術を応用し、円滑な会話が可能となっている。；登山は競技ではないので、技術の優劣をつけることは難しいとされる。；音声認識システムにはこれ以外にも様々な技術を使用している。；百済からは仏教と寺院建築のために瓦などの建築技術が伝わった。</t>
        </is>
      </c>
      <c r="J1972">
        <f>HYPERLINK("https://www.weblio.jp/content/技術", "词义详情")</f>
        <v/>
      </c>
      <c r="K1972">
        <f>HYPERLINK("https://yourei.jp/技術", "查看例句")</f>
        <v/>
      </c>
    </row>
    <row r="1973">
      <c r="A1973" t="inlineStr">
        <is>
          <t>規準</t>
        </is>
      </c>
      <c r="B1973" t="inlineStr">
        <is>
          <t>成功</t>
        </is>
      </c>
      <c r="C1973" t="inlineStr">
        <is>
          <t>読み方：きじゅん
思考・行為などの際、のっとるべきよりどころ。規範となる標準。「判断の—」</t>
        </is>
      </c>
      <c r="D1973" t="inlineStr">
        <is>
          <t>規準値</t>
        </is>
      </c>
      <c r="E1973" t="inlineStr">
        <is>
          <t>法；決め；定め；約束；規定</t>
        </is>
      </c>
      <c r="F1973" t="inlineStr">
        <is>
          <t>価値規準；規準として用いられ；破壊規準；行為規準；客観的規準</t>
        </is>
      </c>
      <c r="H1973" t="n">
        <v>29</v>
      </c>
      <c r="I1973" t="inlineStr">
        <is>
          <t>それらに共通する、規準のようなものが求められていたのではないか。；試験されずに残されている判定規準は、ここでテストできないことなのだ。；食事もまた、非常に厳しいグライムズの規準からしても、悪くなかった。；聖戦士はわたくしたちなど知ることすら許されぬ規準で選ばれたのですから。；けれども、太陽を規準にするのが最も簡単であり便利であるのである。；部屋の主は、自分と似たような規準で部下を扱う男らしいとわかったからであった。；技術問題が解決され、建設規準が確定されるのは昭和三十六年初頭とされる。；ただ私を規準にするよりも、地球を規準にする方が便利なだけである。；言いかえれば芸術批判の規準点は、いったいどこにあるのだろうか。；その目的とは、何よりもまず、絶対的な規準でみた個人生活の充足である。；マルクス主義作家及び批評家はまずこの規準を認めなければならない。；またその特徴とは、高価さの規準の淘汰的な監視下に置かれているものである。；ハリチェクの男性の方は、人間の規準からみればずっとましだった。；世界中どこでもいつ測っても差のない規準を用いるほうが、よほど合理的だ。；その時のきみの答えはエネルギーの正・負は何を規準にしてもよいということだった。；「万博」はその規準からいけば、充分過ぎるほど、楽しいお祭りだった。；船の動きを指の線を規準にして確かめてみようと思った。；つまり、早くいえば、この場合に血液型は判定の規準にならないのである。；ぼくは、法律の条文だけが、唯一の弁護の規準だと信じているのですからね。；われわれはそれを規準にして日本の文化段階を捕えることができる。；これ以上に明白なるいかなる規準も存在しないと私は考える。；他の区点位置の字体をも包摂するような包摂規準の適用は許されない。；もっとも事実上はこの規準的関係の実現は存外困難であった。；ビガージュとともに、ルイ16世様式の趣味と規準をドイツに紹介した。；女の規準から言えばおれなんぞは素人の域にしか達していない。；現に当時がそれよりも判断の規準が狂っていたフシギに蒙昧な時代であった。；かれの心は人間の心の規準以下のかたちの中を走った。；良心という言葉そのものが一定の規準と行動との関係に於て成立つ言葉である。；ご自身に要求する規準が、やや高過ぎると思いますけれど。</t>
        </is>
      </c>
      <c r="J1973">
        <f>HYPERLINK("https://www.weblio.jp/content/規準", "词义详情")</f>
        <v/>
      </c>
      <c r="K1973">
        <f>HYPERLINK("https://yourei.jp/規準", "查看例句")</f>
        <v/>
      </c>
    </row>
    <row r="1974">
      <c r="A1974" t="inlineStr">
        <is>
          <t>基準</t>
        </is>
      </c>
      <c r="B1974" t="inlineStr">
        <is>
          <t>成功</t>
        </is>
      </c>
      <c r="C1974" t="inlineStr">
        <is>
          <t>読み方：きじゅん
物事の基礎となるよりどころ。また、満たさねばならない一定の要件。「作品評価の—」「設置—」
→標準［用法］</t>
        </is>
      </c>
      <c r="D1974" t="inlineStr">
        <is>
          <t>基準線；基準面；基準属；基準額；基準適合</t>
        </is>
      </c>
      <c r="E1974" t="inlineStr">
        <is>
          <t>中心；程度；基本；段階；層</t>
        </is>
      </c>
      <c r="F1974" t="inlineStr">
        <is>
          <t>技術基準；選考基準；明確な基準；価値基準；選定基準</t>
        </is>
      </c>
      <c r="G1974" t="inlineStr">
        <is>
          <t>基準点；基準種；基準標本；基準排水量；基準系</t>
        </is>
      </c>
      <c r="H1974" t="n">
        <v>29</v>
      </c>
      <c r="I1974" t="inlineStr">
        <is>
          <t>なお現在の国際的な基準時刻は概念を修正した協定世界時を用いている。；これらに加えさらに厳しい指導基準を各生産地域が設けている場合もある。；大ヒットの基準である配給収入10億円以上の作品の発表も廃止された。；この標本が今日知られている全てのユーカリ属の種の基準となっている。；生物が行動の基準とする賞味の利益の方法は例えば次のようなものである。；とは、量を数値で表すための基準となる決められた一定量のことである。；しかし、いずれが主であるかなど、基準が時代と共に変化してきている。；このプログラムはアフリカ人・中国人学者の独自基準で定義されている。；直接測定とは対象と基準量となるものを直接比較させて測定量を得ることである。；つまり、年齢ではなく集団に貢献出来る能力を成人の基準にしたのである。；足の長さを使用した長さの基準で最も古いものは、シュメールに見られる。；シートベルトが保安基準で設備されている場合には装着する必要がある。；ただし現時点では明確な区分の基準が規定されているものではない。；このとき、右に余る白マスの数nを基準に以下のとおりに処理していく。；このような道路では速度規制も一般道路と同じ基準で行われている。；これは純粋に基準を満たす人材の確保ができない点が挙げられている。；この時の悪臭の程度を以って基準をクリアしているかどうかが判断される。；欧州連合では指令との形で、各国が達成すべき労働法の基準を示している。；カーネルが提供する機構または方針は、いくつかの基準で分類できる。；大気は、温度変化を基準にして、鉛直方向に4つの層に区分されている。；作品の文学性の基準は学者の間の数々の論争の的となってきた。；その際、水準を基準にして収録するかしないかを決めることもある。；基準となる場所からの方角、国や地方の中での位置から付けた地名。；また、パラメータ をバンド端を基準としたフェルミ準位 と定義する。；また、どのような基準をとっても国内外にそこから外れる人がでてくる。；戦前・戦後の知識を持たないため、相手を理解せず日本の基準で判断して主張する。；最高時速は58キロメートルであり、これは後の機関車の基準となった。；到着時間は最後のチームを基準とし、1分早いごとに1Pが加算される。；設置基準で病室の半数は無差額でなければならないと定められている。</t>
        </is>
      </c>
      <c r="J1974">
        <f>HYPERLINK("https://www.weblio.jp/content/基準", "词义详情")</f>
        <v/>
      </c>
      <c r="K1974">
        <f>HYPERLINK("https://yourei.jp/基準", "查看例句")</f>
        <v/>
      </c>
    </row>
    <row r="1975">
      <c r="A1975" t="inlineStr">
        <is>
          <t>起床</t>
        </is>
      </c>
      <c r="B1975" t="inlineStr">
        <is>
          <t>成功</t>
        </is>
      </c>
      <c r="C1975" t="inlineStr">
        <is>
          <t>読み方：きしょう
［名］(スル)寝床から起き出すこと。「五時に—する」「—喇叭(らっぱ)」⇔就床(しゅうしょう)。</t>
        </is>
      </c>
      <c r="D1975" t="inlineStr">
        <is>
          <t>起床時間(6%)；起床ラッパ(4%)；起床後(4%)；起床時刻(2%)；起床喇叭</t>
        </is>
      </c>
      <c r="E1975" t="inlineStr">
        <is>
          <t>起きる；目覚め；覚醒；起こすこと；寝起き</t>
        </is>
      </c>
      <c r="F1975" t="inlineStr">
        <is>
          <t>時半起床；未明起床；御起床；四時半起床；起床用</t>
        </is>
      </c>
      <c r="H1975" t="n">
        <v>29</v>
      </c>
      <c r="I1975" t="inlineStr">
        <is>
          <t>お前さんは辛と二、三日前に起床られるようになったばかりじゃないか。；などといったことを聞いたところでお医者は起床し、夢だったと分かる。；まだ朝日も昇らないそんな時間に起床したのには、もちろん理由がある。；敵襲時に四分もかかって起床していたのでは、確実に殺されている。；自殺をした後まで、いつもの起床時間に自分の死体を発見させることはないだろう。；雑談の最中に、それとなく牧場主の起床時間を聞くと、妻の方が言った。；頭に血が不足している気がするだけで、後は普段の起床と何ら変わりがなかった。；朝になって王は心が軽くなって起床し次の収穫から豊作になった。；このことがわかると、起床はたいへんに注意を要する作業となった。；第一に一年に一度か二度の早朝の起床のため、羽田でとんだ失態をやった。；生活は、朝七時の起床から、夜十一時の就寝時間まで細かく定められていた。；四時に目を醒ました私は五時に起床してそのまま援護会へ向かった。；トイレに行く時間まで決められており、朝は起床後と朝食後に行くように求められた。；早朝に起床し、少し研究した後、午前中は講義など大学の公務を行った。；そのためには、何時何分に起床し、何時何分までに朝食を済ませねばならない。；翌日の朝は、いつもなら七時に鳴る起床・朝食の鐘が、五時になった。；誰もがいつもと変わりない初夏の朝を疑わずに起床しただろう。；六時の起床喇叭から五時間たつと、もとの数字から一万八千秒を引くんだ。；ジーンは昔から起床時間にちゃんと起きたためしがなかったことを思い出した。；佐藤は起床のチャイムとともに七時に布団から横たえていた体を起こす。；起床のぎりぎりの時刻は、とつおいつ考えているうちに過ぎてしまう。；そう考えた真九郎は、朝日が昇る前に起床し、すぐに活動を始めた。；病院でも総員起こしでの五分前に起床する日課は変わらなかった。；毎朝七時、皇帝は起床すると冷たい水で顔を洗い、ロシアの農民服を着る。；七時に起床したからといって、礼一の場合イコール遅刻ではない。；彼の創った学校アカデメイアの生徒はこれを合図に起床したという。；その後、清海様がご起床されるまで毬藻が担当するのでございます。；孫の信太郎は昨夜おそくまで小説を読んでいたために、なかなか起床できない。；あとはただ、彼女の起床を待つだけだと、空々は教室の扉に視線を集中させるのだった。</t>
        </is>
      </c>
      <c r="J1975">
        <f>HYPERLINK("https://www.weblio.jp/content/起床", "词义详情")</f>
        <v/>
      </c>
      <c r="K1975">
        <f>HYPERLINK("https://yourei.jp/起床", "查看例句")</f>
        <v/>
      </c>
    </row>
    <row r="1976">
      <c r="A1976" t="inlineStr">
        <is>
          <t>気象</t>
        </is>
      </c>
      <c r="B1976" t="inlineStr">
        <is>
          <t>成功</t>
        </is>
      </c>
      <c r="C1976" t="inlineStr">
        <is>
          <t>読み方：きしょう
１大気の状態、および雨・風・雪など大気中で起こる諸現象。
２「気性」に同じ。
「上等の社会に立つ時は、—も自然に温和になり」〈鉄腸・雪中梅〉
３宇宙の根元的なものの作用により生じる形象。</t>
        </is>
      </c>
      <c r="D1976" t="inlineStr">
        <is>
          <t>気象条件(16%)；気象データ(3%)；気象局(2%)；気象状態(2%)；気象予測</t>
        </is>
      </c>
      <c r="E1976" t="inlineStr">
        <is>
          <t>気；性；性格；気分；性質</t>
        </is>
      </c>
      <c r="F1976" t="inlineStr">
        <is>
          <t>気象電報；気象関係；気象変化；気象部；気象観測装置</t>
        </is>
      </c>
      <c r="G1976" t="inlineStr">
        <is>
          <t>気象予報；気象観測；気象台；気象学；気象情報</t>
        </is>
      </c>
      <c r="H1976" t="n">
        <v>29</v>
      </c>
      <c r="I1976" t="inlineStr">
        <is>
          <t>これを受けて一つの建物の中に気象局を設置することが決定された。；数マイル離れた場所でも、その地域の地形に応じて全く異なる気象となる。；日本では春の季語とされるが、気象条件から夏に多く見られる現象である。；アメリカにおいては以下のような気象調整サービスを行う民間会社がある。；気象や機器の状況によって、主局と副局の間で随時切替が行われている。；中西部の他地域同様、デイトンの周辺は厳しい気象条件におかれている。；なお戦場ヶ原よりさらに標高が高い湯元付近は霧と雨が多い気象である。；この事故は空港周辺の気象監視システムの改善努力をもたらした。；これがアメリカ合衆国気象局、後のアメリカ海洋大気庁の誕生となった。；気象データのような実データはこの前提を満たさないかもしれない。；また、比較的風の弱い京都盆地の気象条件は青ネギの栽培に適していた。；ドイツ気象局は訪問者が自由に入ることができる気象公園を運営している。；これが大規模な風同士が接触して顕著な気象が起こることの初めての考えとなった。；山の陰にあり風向きが変わりやすいこの地では、気象が非常に変わりやすい。；宇宙観測を目的にした観測船で、所属は防衛軍ではなく宇宙開発気象局。；また、気象予測に基づく防災操作も考えられるが、次のような課題がある。；また、過去観測した気象を公的に証明する気象証明を発行する業務もある。；風雨などの環境要因の影響を受けやすく飛行可能な気象条件は限定的である。；しかし、一般化してからはその意義を失い一般的な気象学と融合していった。；気象工学や建築学などの分野では、その他の日射量を用いることもある。；高層気象観測装置の一種であり、またテレメトリ装置の一種とも言える。；日本は地形、気象とも変化に富みソアリングには好適な自然条件である。；気象条件や混雑状況によっては、小型機でもB滑走路を使うこともある。；ただ気象条件に左右されやすく、ロス卿でさえ全部を星に分けて見ていない。；その計画は、世界的な異常気象と政治混迷を引き起こすものであった。；道路や気象についてはホテル等のサイトから詳しい情報を得ることが出来る。；学術関連では気象や地震の研究を行っている大学や研究機関が許可を受けている。；気象の影響を直接受ける活動で、局地的な気象観測に使用される装備。；一般にそのように言われているに過ぎず、気象統計に基づいたものではない。</t>
        </is>
      </c>
      <c r="J1976">
        <f>HYPERLINK("https://www.weblio.jp/content/気象", "词义详情")</f>
        <v/>
      </c>
      <c r="K1976">
        <f>HYPERLINK("https://yourei.jp/気象", "查看例句")</f>
        <v/>
      </c>
    </row>
    <row r="1977">
      <c r="A1977" t="inlineStr">
        <is>
          <t>気性</t>
        </is>
      </c>
      <c r="B1977" t="inlineStr">
        <is>
          <t>成功</t>
        </is>
      </c>
      <c r="C1977" t="inlineStr">
        <is>
          <t>読み方：きしょう
［名］生まれつきの性質。気質。きだて。気象。「—が激しい」「さっぱりとした—」
［形動］性質がしっかりしているさま。気が強いさま。
「—な奴だ、心配いたすな」〈円朝・怪談牡丹灯籠〉</t>
        </is>
      </c>
      <c r="D1977" t="inlineStr">
        <is>
          <t>気性難；気性面；気性ゆえ</t>
        </is>
      </c>
      <c r="E1977" t="inlineStr">
        <is>
          <t>気；性；性格；気分；性質</t>
        </is>
      </c>
      <c r="F1977" t="inlineStr">
        <is>
          <t>はげしい気性；御気性；烈しい気性；荒い気性；穏やかな気性</t>
        </is>
      </c>
      <c r="H1977" t="n">
        <v>29</v>
      </c>
      <c r="I1977" t="inlineStr">
        <is>
          <t>そのときから私には父の気性がすっかり変わったように思われました。；他にも数々の努力が試みられたが、この気性の悪さは生涯直らなかった。；非常に気性が荒い一方、大変なスピードで逃げるのが一族の特徴である。；この出走は前述のように気性面の問題に対処するためのものであった。；秋に帰厩してからは気性面にいくらかの改善が見られ、復帰初戦を勝利。；呪われた少女と人々から呼ばれたが、その気性は心優しいものであった。；好い気性なら清以外のものも、もう少し善くしてくれるだろうと思った。；外科医に芸術家的気性の人たちが多いのは偶然のことではないだろう。；おそらく、父親ゆずりの反骨の気性もその原因になっていたと思われる。；当時から怪我・病気とは無縁で、気性も扱いやすい馬であったという。；その能力の高さでも知られていたが、同時に気性の激しさでも知られていた。；いやな気性のやつで、コックだからってなんの言い訳にもなりませんや。；その一方で、試合での正念場などでは激しい気性を見せることもある。；てめえの気性を見込んだからこそ、今度の旅にも連れてきたのじゃねえか。；けれども気性のしっかりしているのも群を抜いていたという。；その後は気性の悪さが解消され、能力を発揮できるようになった。；こうした気性から、コースで走る際にも極めて強い掛かり癖を見せた。；バルジャーは暴力的な気性で知られ、常に武器を携帯していたとされる。；そういう気性じゃないと三歳の早くに仕上げるのは無理なんです。；久吉は気性の激しい男ですが、主人を殺すような悪党とは見えません。；従っておれは誰よりも、この娘の素行も気性も知っているつもりだ。；そういった気性が女王になった芸術座でもかなり人を困らせたのだ。；父に最も似たとされるのがその性格で、火のような激しい気性の持ち主であった。；お吉さんはさっぱりとした気性の、よく働く娘で、平林のものだという。；一方で非常に気性が激しく、日常の世話にも手こずるほどの悍馬であった。；本節では、ゴールドシップの特徴を、身体面や気性面などから記述する。；しかし心の底には許さぬ気性が歯を噛み鳴らし始めております。；ただでさえ気性の荒い若い者どもが、酒を飲んだらどういうことになるか。；ホッキョクグマの方が体が大きいがヒグマの方が気性が荒いためとされる。</t>
        </is>
      </c>
      <c r="J1977">
        <f>HYPERLINK("https://www.weblio.jp/content/気性", "词义详情")</f>
        <v/>
      </c>
      <c r="K1977">
        <f>HYPERLINK("https://yourei.jp/気性", "查看例句")</f>
        <v/>
      </c>
    </row>
    <row r="1978">
      <c r="A1978" t="inlineStr">
        <is>
          <t>傷</t>
        </is>
      </c>
      <c r="B1978" t="inlineStr">
        <is>
          <t>成功</t>
        </is>
      </c>
      <c r="C1978" t="inlineStr">
        <is>
          <t>読み方：きず
１切る、打つ、突くなどして、皮膚や筋肉が裂けたり破れたりした部分。「深い—を負う」
２物の表面の裂け目や、欠けたりした部分。「レンズに—がつく」
３人の行為・性質・容貌(ようぼう)などや物事の不完全な部分。好ましくない点。欠点。「怒りやすいのが玉に—」
４不名誉なこと。恥ずべきこと。汚点。「経歴に—がつく」
５心などに受けた痛手。「失恋の—をいやす」
[下接語]後ろ傷・打ち傷・掠(かす)り傷・刀傷・咬(か)み傷・切り傷・刺し傷・擦(す)り傷・弾(たま)傷・突き傷・手傷・生(なま)傷・古傷・無傷・向こう傷・矢傷・山傷・槍(やり)傷</t>
        </is>
      </c>
      <c r="D1978" t="inlineStr">
        <is>
          <t>傷だらけ(4%)；傷一つ；傷ひとつ；傷けら；傷付い</t>
        </is>
      </c>
      <c r="E1978" t="inlineStr">
        <is>
          <t>非；穴；負傷；怪我；損傷</t>
        </is>
      </c>
      <c r="F1978" t="inlineStr">
        <is>
          <t>大きな傷；深傷；刺し傷；矢傷；ひどい傷</t>
        </is>
      </c>
      <c r="G1978" t="inlineStr">
        <is>
          <t>傷口；傷つい；傷つける；傷跡；傷害</t>
        </is>
      </c>
      <c r="H1978" t="n">
        <v>29</v>
      </c>
      <c r="I1978" t="inlineStr">
        <is>
          <t>傷は死体からやや離れた場所にあり、何が原因で出来たのか分からない。；その体には動物の姿のときにクー・フリンから受けた傷が残っていた。；雄の個体はダルマザメに噛まれた跡などの引っかき傷があることが多い。；父に妻や孫娘の顔を見せられなかったことは、レイの心の傷となっていた。；この間、城攻めや野戦に多く参加したため、体のあちこちに傷を負った。；傷の癒えていないシッティング・ブルはこの戦いにも参加していない。；これが当初期待を集めていたIon Stormの看板に傷を付けた。；最初は致命傷には見えなかったが、翌日には傷が元で息を引き取った。；この傷の治療のためにペンシルベニアのバックス郡で3か月を過ごした。；紛争自体は数日で解決を見たが、両国関係には大きな傷がついたと思われた。；宣城で重傷を負ったときは華佗が周泰の傷を治療したことになっている。；感覚が失われた足に傷を負い、大量出血を起こして病院に戻ってくる。；これは1925年に愛人に斬りつけられた事件の時にできた傷である。；その後イギリスへ戻されたものの、この時の傷がもとで後に死亡した。；第一次世界大戦は空前の戦死傷率を記録して、社会に大きな傷跡を残した。；ホッキョクグマの攻撃によってつけられた傷を持つ個体も少なくない。；梅の実に付いている茎は竹串などで取り除き、傷のある実があれば除く。；だが藤波の額にはその時の傷が残り、現在も消えずに残っている。；明治の初めに、鶴が水浴びをして傷を癒していたことから発見された。；外科医・栗崎道有の治療もあって命は助かったものの、額の傷は残った。；邸宅にある救急箱では傷を処置できる薬もなく、誰もが大声で泣いていた。；このとき彼が鼻に負った傷は現在でも確認することができる。；母の死と妹との別れは幼いヘンリーの心に深い傷を残した。；温泉名の由来は、鶴がこの温泉で傷を癒していたところを発見したことによる。；傷が付きやすいため現代ではコーティングが施されたものが広く利用されている。；一説によるとこれは熊襲との戦いでの矢の傷が元であるという。；また一方で同地産は内部にインクルージョンや傷を抱えた石が多いとされている。；サイクロメトラの能力で、傷付いても瞬時に再生できるようになっている。；記者に顔の傷の事を問われると「取調べ中に警官に殴られた」と語っている。</t>
        </is>
      </c>
      <c r="J1978">
        <f>HYPERLINK("https://www.weblio.jp/content/傷", "词义详情")</f>
        <v/>
      </c>
      <c r="K1978">
        <f>HYPERLINK("https://yourei.jp/傷", "查看例句")</f>
        <v/>
      </c>
    </row>
    <row r="1979">
      <c r="A1979" t="inlineStr">
        <is>
          <t>奇数</t>
        </is>
      </c>
      <c r="B1979" t="inlineStr">
        <is>
          <t>成功</t>
        </is>
      </c>
      <c r="C1979" t="inlineStr">
        <is>
          <t>読み方：きすう
二で割り切れない整数。1、3、5、7など。⇔偶数。</t>
        </is>
      </c>
      <c r="D1979" t="inlineStr">
        <is>
          <t>奇数車(7%)；奇数番号(7%)；奇数月(6%)；奇数年(3%)；奇数次</t>
        </is>
      </c>
      <c r="F1979" t="inlineStr">
        <is>
          <t>奇数偶数；奇数形式；奇数句；奇数倍音；奇数列</t>
        </is>
      </c>
      <c r="G1979" t="inlineStr">
        <is>
          <t>奇数向き；奇数偶数ゲーム；奇数羽状</t>
        </is>
      </c>
      <c r="H1979" t="n">
        <v>29</v>
      </c>
      <c r="I1979" t="inlineStr">
        <is>
          <t>は に 関数を 回行った数で、 はその間に登場した奇数の数である。；参加チーム数が奇数であるため、各節試合の無いチームが1つ存在する。；前年に続き参加クラブ数が奇数となるため、毎節1クラブは試合がない。；奇数番号車のドアは品川方に向かって開き、偶数番号車はこの逆に開く。；奇数次の場合には、 は必ず少なくとも一つの行か列が全て になる。；ただし、奇数月でも実施しない場合や偶数月で実施するなどの例外もある。；西行きの列車は奇数番号、東行きの列車は偶数番号が付けられていた。；またホーム扱いは奇数試合が松竹、偶数試合は毎日がそれぞれ当たった。；大小の方の辺の比は、春海が用意した答えでは単純に偶数と奇数になる。；次の目が一か六か、偶数か奇数か女自身にもよくわかってはいない。；編成は有馬寄りに奇数車、神戸寄りに偶数車を有する構成となっている。；奇数号の家の表札はドアの右側にありますが、偶数号の家では左側です。；奇数次元の場合の式に現れる二重階乗 は と定義されるものである。；奇数次の場合には原点に零点があり、それに対応する極は無限遠にある。；この仕組みはゲームを遊んでいるプレイヤーの人数が奇数である際に必要となる。；なお番地が奇数の場合は通りの東側、偶数の場合は通りの西側になる。；奇数車両と偶数車両で座席モケットの色を変更した回転可能のものに交換した。；座席の色は最前列から数えて奇数列は青色、偶数列は紺色となっている。；古い道路では、道の両側で奇数・偶数の使い分けがされていないことがある。；これ以下の大きさ及び奇数号も存在するが、市販されているのは極めて稀である。；なお最終試験に限り、受験者が奇数の場合は敗者復活戦が用意されている。；以下は発生した時点で奇数図柄での大当たりが確定する演出である。；単独M車も製造され、電動車が奇数で製造された初期編成に組み込まれた。；ただし、フランス車でも偶数と奇数の両方を取り入れている車種もある。；今大会から冬季オリンピックと重ならないように奇数年の開催に改められた。；モケットの色は奇数車両が赤系、偶数車両が青系に統一されている。；奇数月の回では青森県庁の職員が出演し、県の事業内容について紹介する。；炭素数が奇数のものよりも分解しやすいため、彼らは偶数個のものを好む。；現在の番勝負では決着をつける必要があるため、奇数番の勝負が普通である。</t>
        </is>
      </c>
      <c r="J1979">
        <f>HYPERLINK("https://www.weblio.jp/content/奇数", "词义详情")</f>
        <v/>
      </c>
      <c r="K1979">
        <f>HYPERLINK("https://yourei.jp/奇数", "查看例句")</f>
        <v/>
      </c>
    </row>
    <row r="1980">
      <c r="A1980" t="inlineStr">
        <is>
          <t>築く</t>
        </is>
      </c>
      <c r="B1980" t="inlineStr">
        <is>
          <t>成功</t>
        </is>
      </c>
      <c r="C1980" t="inlineStr">
        <is>
          <t>読み方：きずく
［動カ五（四）］《「城(き)築(つ)く」の意》
１土石などを積み上げてつくる。「堤防を—・く」
２体制・地位・財産などをしっかりとつくる。「政界に確固たる地位を—・く」「巨万の富を—・く」
[可能]きずける
[補説] 本来は、土や石などを積み重ね、固めてつくる意の「杵(き)築(つ)く」で、この「杵」が後に「城(き)」と意識されてできた語か。</t>
        </is>
      </c>
      <c r="D1980" t="inlineStr">
        <is>
          <t>築くべき；築くべく</t>
        </is>
      </c>
      <c r="E1980" t="inlineStr">
        <is>
          <t>設置；建設；構成；設立；設定</t>
        </is>
      </c>
      <c r="H1980" t="n">
        <v>29</v>
      </c>
      <c r="I1980" t="inlineStr">
        <is>
          <t>この時期の集落も基本的には弥生以前と似たような場所に築かれている。；そればかりか、双方の幸福を築こうと考えていたのかもわかりませんぜ!；僕等はあの本を研究して、この共通の話題の上に僕たちの友情を築こう。；この三つの世界は互いに干渉することもなく独自の社会を築いていた。；市内にはいくつかの丘があるがその多くは人工的に築かれたものである。；祖父は戦後の闇市で新鮮組の基礎を築き父は全国組織にまで発展させた。；燕軍を城から撤退させ九里離れたところに砦を築くようにするよう命じた。；二人はこれ以来ライバル関係となり、同時に友情も築いていく事になる。；このころカレリアやロシアの侵入に抵抗するためにという砦が築かれた。；しかし、山上に築かれた城への攻撃となると、馬は有効に使用できない。；フルク5世はこの間にやカラク城をはじめとする数多くの城砦を築いた。；まずはそこで地位を固め軍隊を組織し、拠点を築こうと考えたのだった。；首都ローマにも都市を守る城壁であるセルウィウス城壁が築かれていた。；その一方で多くの荘園を押領して主家の土岐氏を凌駕する勢力を築いた。；隣の川和町でも川和城が築かれており、重要な地であったことが分かる。；長らく近隣の湾岸協力会議の参加諸国と連携して国際関係を築いてきた。；ドニエプル川流域では古代よりさまざまな民族が生活の拠点を築いてきた。；前1500年頃にはパンジャーブ地方に進行し国の基礎を築いたとされる。；彼はポワチエのかつての伯爵たちが築いた中世の宮殿をさらに飾り立てた。；この提案にはかなり注目が集まったが、結局築かれることはなかった。；海は入り江になっており、城の築かれた山の北側には川も流れている。；このため山に城を築く行為は、地域や時代を問わず普遍的に行われている。；また、この時代にはフランスのシャルル・ペローが童話の基礎を築いた。；この著書が今日デジタル物理学と呼ばれている分野の基礎を築いた。；新たに継続的な契約関係を築こうという動きは、誰からも出てこなかった。；しょせん人の不幸の上に自分の幸せを築こうとしたことが誤っていた。；江戸時代を通じて、朝鮮との関係は宗氏を通じ築かれていたためである。；また李暠は農耕・養蚕や西域との貿易を奨励して安定した国家を築いた。；これを機に信長は義昭の為に二条に大規模な御所・二条御所を築いた。</t>
        </is>
      </c>
      <c r="J1980">
        <f>HYPERLINK("https://www.weblio.jp/content/築く", "词义详情")</f>
        <v/>
      </c>
      <c r="K1980">
        <f>HYPERLINK("https://yourei.jp/築く", "查看例句")</f>
        <v/>
      </c>
    </row>
    <row r="1981">
      <c r="A1981" t="inlineStr">
        <is>
          <t>傷口</t>
        </is>
      </c>
      <c r="B1981" t="inlineStr">
        <is>
          <t>成功</t>
        </is>
      </c>
      <c r="C1981" t="inlineStr">
        <is>
          <t>読み方：きずぐち
《「きずくち」とも》
１皮膚の破れ目や裂け目。「—を縫う」
２人に触れられたくない過去の過ち。「人の—に触れるような言い方」
３物事のうまくいかない部分。「損失を取り返そうとして、かえって—を広げる」</t>
        </is>
      </c>
      <c r="D1981" t="inlineStr">
        <is>
          <t>傷口を押さえ；傷口を押さえ</t>
        </is>
      </c>
      <c r="E1981" t="inlineStr">
        <is>
          <t>傷；怪我；痕跡；痕；摩</t>
        </is>
      </c>
      <c r="F1981" t="inlineStr">
        <is>
          <t>小さな傷口；赤い傷口；深い傷口；無惨な傷口；傷口から流れ出る血</t>
        </is>
      </c>
      <c r="G1981" t="inlineStr">
        <is>
          <t>傷口に塩を塗る</t>
        </is>
      </c>
      <c r="H1981" t="n">
        <v>29</v>
      </c>
      <c r="I1981" t="inlineStr">
        <is>
          <t>小さいけれども、あのギザギザした傷口の縁が気になってならなかった。；その顔や体にできた十あまりの小さな傷口からは血が流れていた。；しかし、あの料理女が傷口にタオルの繃帯を当てがっていてくれました。；さあ、わたくしのさまざまな傷口をそういうふうに慰めてくださいませ!；再び額に赤い傷口をつけたラザラスがテーブルの向こう側の端に座っている。；ソロが血をきれいに拭きとってみると、その下に小さな傷口が見えた。；頸筋に大きな傷口があり、そこから血がにじみ出ているように思われる。；傷口を監視し、そこがふさがらないように手当てができるようにである。；聖言に接して己が罪の傷口の痛みを感ずる者は、塩が効いているのだ。；傷口が開いているというのにハイリーチェスへ行ってはいけなかったんです。；槍先が恐ろしい程の傷口を作り、見えなくなるまで突き刺さっていた。；割れたガラスで怪我をするとその傷口から出る血を観客に振りまいた。；そんなあとでまた傷口へ目をやると、血が細い筋をひいて流れおちている。；彼はさう云ひながらも、右の掌で、娘の傷口を力一杯押へてゐるのだつた。；けがをしても気づかず、傷口が広がったり菌が侵入したりする原因となる。；私がその美しい傷口から吸った血は熱愛する人の一部分ではないだろうか。；次の瞬間にはその開いた傷口にピンセツトと鋏とがす早く入り交るだらう。；負傷した同年兵たちの傷口は、彼が見るたびによくなっていた。；彼女は優しく両手を、マッコイの顔やからだの傷口の上で移動させた。；革命は文明を深く切開し、その傷口から人類の健康がとびだしてくるのだ。；時三は不審そうにこっちを見て、まるで傷口にでも触れるように云った。；傷口はごく小さいのですが、非常に深くて頸動脈が切れていました。；抜歯した傷口内部を掻爬して再出血させ、血餅を形成させることもある。；前額の左のところに、その気味のわるい前途を持った傷口があったのか。；切り傷や突き傷からはまだ出血していて、傷口が焼けつくように痛んだ。；かれが傷口を指さし、ふしぎな武器のことを問題にしているとわかる。；ペルスランの手は閉じられた傷口の両側の皮膚をやさしくさすっていく。；傷口が痛そうな振りもせず、とっておきの壁の青い別室に坐りこんでいた。；無理に揺り動かすのは傷口が広がる可能性があるために良くない。</t>
        </is>
      </c>
      <c r="J1981">
        <f>HYPERLINK("https://www.weblio.jp/content/傷口", "词义详情")</f>
        <v/>
      </c>
      <c r="K1981">
        <f>HYPERLINK("https://yourei.jp/傷口", "查看例句")</f>
        <v/>
      </c>
    </row>
    <row r="1982">
      <c r="A1982" t="inlineStr">
        <is>
          <t>傷付く</t>
        </is>
      </c>
      <c r="B1982" t="inlineStr">
        <is>
          <t>成功</t>
        </is>
      </c>
      <c r="C1982" t="inlineStr">
        <is>
          <t>読み方：きずつく
［動カ五（四）］
１負傷する。けがをする。「—・いた足が痛む」
２物の表面に傷ができる。物の一部が損なわれる。「壁が—・く」
３人の感情などが損なわれる。「プライドが—・く」
［動カ下二］「きずつける」の文語形。</t>
        </is>
      </c>
      <c r="D1982" t="inlineStr">
        <is>
          <t>傷付くこと(26%)</t>
        </is>
      </c>
      <c r="H1982" t="n">
        <v>29</v>
      </c>
      <c r="I1982" t="inlineStr">
        <is>
          <t>あれでは、その下の腕そのものはほとんど傷付いていないだろう。；まあ、あの程度で傷付いてたらタッキーなんて一日もやってられないだろうけど。；彼は足の痛みに呻きながら身を丸め、傷付いた子どものように啜り泣いた。；サイクロメトラの能力で、傷付いても瞬時に再生できるようになっている。；おまえ達の中で次に何かやろうとする者は傷付くことになるぞ!；向けられた悪意に何度傷付いても、おまえは誰かを信じる・・・。；自分が傷付いてるなんて認めたら、それだけで、もう歩けなくなる。；しかしスカイはソフィがこのことをずっと黙っていたことに傷付く。；それで、戦っている方の角が傷付くと、もう片方の角と入れ替えるという。；衛生面から着られるほか、その下の服が傷付いたり汚れたりすることを防ぐ目的でも着られる。；こちらは助かるとパーンは考えながら、傷付いた若者を抱きおこした。；非常に傷付いたがさっきの件をシエルに聞いてみる。；さらにはその後も春香が傷付いていたことにも気付かずにノンキな顔をしていたのも事実だ。；このままでは親友が傷付いたまま終わってしまう。；かなり傷付いてしまったようだ。；それはこれまでの紛争で傷付いた者たちの姿であり、それぞれが胸に反戦のメッセージを抱いている。；理由のいかんを問わず、おばあさんたちが傷付いたのだとしたらすべて私の過ちです。；何らかの原因で死んだ場合でも、魂さえ傷付いていなければ再び悪魔として転生する特性を持っている。；本意じゃないんですよう、と傷付いた表情を浮かべていたが、それがおまえに与えられた修業なのだ。；まるで傷付いた大きな黒い犬を撫でるように。；エーテルが薄い人間は、少し仙骨が傷付いただけで水のように魂が流れ出し死んでしまうものだ。；たちまち二人が倒れ、三人が傷付いた。；機長は、同僚の女性から自身の教え方について否定的な意見を言われ、深く傷付いていた。；おれのためにいつも傷付くことはなかった。；その後、尸魂界では、バウントにより傷付いた兕丹坊と石田を治療した。；よしんば逃げ場があったとしても、どうして傷付いたこの心が救われよう。；その度に血を流して傷付くんだ。；傷付いた脚とは言え、やはり相手の方が速い。；劉備はちょっとプライドが傷付いたのか、謎の童子に上からかぶせるように強く言った。</t>
        </is>
      </c>
      <c r="J1982">
        <f>HYPERLINK("https://www.weblio.jp/content/傷付く", "词义详情")</f>
        <v/>
      </c>
      <c r="K1982">
        <f>HYPERLINK("https://yourei.jp/傷付く", "查看例句")</f>
        <v/>
      </c>
    </row>
    <row r="1983">
      <c r="A1983" t="inlineStr">
        <is>
          <t>傷付ける</t>
        </is>
      </c>
      <c r="B1983" t="inlineStr">
        <is>
          <t>成功</t>
        </is>
      </c>
      <c r="C1983" t="inlineStr">
        <is>
          <t>読み方：きずつける
［動カ下一］［文］きずつ・く［カ下二］
１傷を負わせる。けがをさせる。「あやまって相手を—・ける」
２物の表面に傷を生じさせる。物の一部を損なう。「レンズを—・けないよう注意する」
３人の感情などを損なう。「体面を—・ける」「人を—・ける発言」</t>
        </is>
      </c>
      <c r="D1983" t="inlineStr">
        <is>
          <t>傷付けることなく(3%)</t>
        </is>
      </c>
      <c r="E1983" t="inlineStr">
        <is>
          <t>損傷；損害；破損；傷つける；傷害</t>
        </is>
      </c>
      <c r="H1983" t="n">
        <v>29</v>
      </c>
      <c r="I1983" t="inlineStr">
        <is>
          <t>母親が自分の娘を傷付けたことはなかっただろうと信じているとも語った。；彼女もまた、聖一から傷付けられる可能性を一番持った人になったのだ。；地元警察署は同島の岩であっても傷付けることは犯罪であるとしている。；何人も欺し得ず、何ものも傷付け得ぬところまで行き付くのであります。；どうすれば子供たちを傷付けずに、事情を訊き出すことができるだろうか。；そしてやがては自分も人を傷付けるのではないかという不安と恐怖。；だがそれが時に彼女を傷付ける事もあるのだとフォロンは知っている。；あんたは誰も傷付けたくなくてあんなことをやったんだよね?；お前は今、大好きだったと言ってる仲間を自分で傷付けてるんだよ!!；荷棚は、採光確保や荷物への傷付け防止を考慮し、ガラス式としている。；しかし、この映画が私のキャリアを傷付けるとは思っていません。；また、例えば動物に襲われたときにも自衛のために動物を傷付けてはいけない。；自分達の勝手な都合で誰かを騙し、傷付け、更には使い棄てて顧みない。；傷付けさせないためとは言え、武力を行使したことに変わりないのだ。；そうすれば、誰も別のものが傷付けられていたとは考えない。；だから、もう何が起こっても心を傷付けたいと思わないのです。；他の面でもこの遠征での成果は乏しく、彼の評判を幾らか傷付けた。；自分を傷付けるときだけ、自分が自分だと感じることができる。；元は一振りの剣だった金属が、二人の男を同時に傷付ける。；人類は、今ではもう互いに傷付け合ったり、爆弾で都市を破壊したりしません。；危険であるため、素手で触れたり、傷付けたりすることは避けるべきである。；彼等は特殊なエネルギーでできており、通常の物質では傷付けることすらできないと推測されている。；子供のしつけでも、度がすぎて傷付けたり、無気力にしてしまっては何にもならない。；しかし、それを口にしてガルースの権威と自尊心を傷付けるような二人ではない。；馬鹿な上司や同僚に傷付けられて泣き寝入りするようなことは面白くない。；それを望まないリーリンを傷付けないままに納得させるなんて、できないのだ。；どないしたら走ってる車からそんな傷付けられる言うんです。；その一ヶ月間で沙都子の心がどれだけ傷付けられるか、どうしてその痛みが理解できないんです!；お前たちは思いのままに傷付けてはならない。</t>
        </is>
      </c>
      <c r="J1983">
        <f>HYPERLINK("https://www.weblio.jp/content/傷付ける", "词义详情")</f>
        <v/>
      </c>
      <c r="K1983">
        <f>HYPERLINK("https://yourei.jp/傷付ける", "查看例句")</f>
        <v/>
      </c>
    </row>
    <row r="1984">
      <c r="A1984" t="inlineStr">
        <is>
          <t>絆</t>
        </is>
      </c>
      <c r="B1984" t="inlineStr">
        <is>
          <t>成功</t>
        </is>
      </c>
      <c r="C1984" t="inlineStr">
        <is>
          <t>読み方：ばん
〈伴〉⇒はん
〈判〉⇒はん
〈板〉⇒はん
〈絆〉⇒はん
〈蕃〉⇒はん</t>
        </is>
      </c>
      <c r="D1984" t="inlineStr">
        <is>
          <t>絆纒；絆星；絆レベル；絆奈；絆国際映画祭</t>
        </is>
      </c>
      <c r="E1984" t="inlineStr">
        <is>
          <t>縁；連携；鎖；関わり；パイプ</t>
        </is>
      </c>
      <c r="F1984" t="inlineStr">
        <is>
          <t>深い絆；固い絆；印絆；強固な絆；あらゆる絆</t>
        </is>
      </c>
      <c r="G1984" t="inlineStr">
        <is>
          <t>絆纏；絆され；絆カップ；絆〜kizuna〜；絆される</t>
        </is>
      </c>
      <c r="H1984" t="n">
        <v>29</v>
      </c>
      <c r="I1984" t="inlineStr">
        <is>
          <t>こうして世話人を務めた同期の仲間は固い絆で結ばれ一生涯の友となる。；ゼロから恋愛をスタートさせる夫婦の絆の再生をテーマとした純愛物語。；この出来事で2人の絆は強固なものとなり、ゴールへと向かっていった。；絆値を得ることで各キャラクターに関するサブイベントなどが発生する。；日本や台湾の各種イベントで両国の絆を深めるためPR活動をしている。；レナードの不自由な経済状態にもかかわらず二人は強い絆で結ばれていた。；絆を得るには最終的にはGMの許可が必要だが行為判定などは必要はない。；サトシと全ての決着をつけた後には、お互いに確かな絆が芽生えていた。；中国の家族は一般に絆が非常に強く、仲が良くても問題にする気配は全くない。；そして他のパイロットや歌姫たちと出会い、絆を育んでゆくことになる。；やがてマルシェチとリボーの間には語り草になるほどの深い絆が生まれた。；青い地は空と海の青・平和・希望、アルバの未来、過去との絆を示す。；仲間意識はとても強く、メンバーは皆家族のような絆で結ばれている。；結婚当初は妻とは疎遠だったものの、後に夫妻は強固な絆で結ばれた。；高町なのはは戦いを通じて得た絆を胸に魔法の訓練を続けていた。；病室でこれまでのことを水に流し、手術を待つ夫との絆を確かめ合う。；聘定式で結ばれた結婚の絆が、永遠の関係へと変えられたことが示される。；また絆語りに登場する人物の声は基本的に対応する人物と同じ声優が演じている。；こちらは該当する絆に流されたとしても愛を獲得する事は出来ない。；一匹か数匹の群で行動し、つがいの絆が強いことが知られている。；モリの初期の作品の舞台は、こうした強い絆で結ばれた日系社会であった。；渡世人の遠藤文吾と息子の健一が旅しながら絆と愛情を深めていく作品。；シリーズ後半ではゴライアスとの間に深い絆を感じるようになる。；物語の過程で築かれていく仲間との絆を描いたミュージカルである。；障害を持つ兄とその弟の兄弟愛と絆が描かれている。；カゲボウシの中でも古傷の痛みをも共有するほど本体との絆が強い。；ドラマパートがあり、愛と絆をテーマにした物語を展開している。；初期作品は兄弟や親友同士の友情や精神的な絆を多く描いている。；広域シンシナティとの絆は深まって、市民がよく足を運ぶようになった。</t>
        </is>
      </c>
      <c r="J1984">
        <f>HYPERLINK("https://www.weblio.jp/content/絆", "词义详情")</f>
        <v/>
      </c>
      <c r="K1984">
        <f>HYPERLINK("https://yourei.jp/絆", "查看例句")</f>
        <v/>
      </c>
    </row>
    <row r="1985">
      <c r="A1985" t="inlineStr">
        <is>
          <t>帰省</t>
        </is>
      </c>
      <c r="B1985" t="inlineStr">
        <is>
          <t>成功</t>
        </is>
      </c>
      <c r="C1985" t="inlineStr">
        <is>
          <t>読み方：きせい
［名］(スル)郷里に帰ること。また、郷里に帰って父母を見舞うこと。帰郷。「墓参りに—する」「—客」《季夏》「なつかしや—の馬車に山の蝶／秋桜子」
[補説]書名別項。→帰省</t>
        </is>
      </c>
      <c r="D1985" t="inlineStr">
        <is>
          <t>帰省する(18%)；帰省中(3%)；帰省客(2%)；帰省時；帰省者</t>
        </is>
      </c>
      <c r="E1985" t="inlineStr">
        <is>
          <t>帰国；帰る；帰り；帰還；帰宅</t>
        </is>
      </c>
      <c r="F1985" t="inlineStr">
        <is>
          <t>御帰省；帰省するたび；帰省する途中；帰省する度；帰省する際</t>
        </is>
      </c>
      <c r="G1985" t="inlineStr">
        <is>
          <t>帰省ラッシュ；帰省旅行</t>
        </is>
      </c>
      <c r="H1985" t="n">
        <v>29</v>
      </c>
      <c r="I1985" t="inlineStr">
        <is>
          <t>北海道の両親に電話をすると、なぜ帰省しないのだと不満げにいわれた。；課長には帰省するといったものの、まだ決心していたわけではなかった。；これは先年帰省した時、装飾用のためにわざわざ持って来たものである。；しかし、彼の帰省の理由がそれで全部だったとはとても考えられない。；わたしはあまり帰省しないのだけれど、たまにこうやって電話をくれる。；そして帰省すると甥に句を作らせて自分が先生のつもりでいたものらしい。；犠牲となったネパール人の多くは帰省のため搭乗していた医学生だった。；今日は実家へ帰省するための切符を生協へ買いに行かなくてはなりません。；題に帰省と云ひ、詩に第六句があるを見れば、金子は故郷に親があつた。；だから帰省するたびに、そのことでにがい思いをするときがよくあった。；場所後には珍しく実家に帰省し、3日間程度はとにかく寝て過ごしていた。；暮れに帰省した保郎が、京都に帰って行ったのは七日の夕方であった。；ある夏、帰省先で彼は「島に怪物が出没している」という噂を耳にする。；お桐は舞鶴へ行つた翌年の夏、夫が休暇に帰省する時一緒に帰つて来た。；何時娶つたかの問題は、帰省詩嚢中の霞亭の詩を得て稍解決に近づいた。；普段の付き合いはまったくないし、帰省する時も互いに勝手にやっている。；父は彼の岩本入蔵中にみまかったのでその墓参をかねての帰省であった。；これは出征前に一時帰省した際、預けた可能性があるといわれている。；帰省先の住所を明記したのも、考えてみると、何かの暗号かもしれない。；母に帰省の理由を何といえばいいのかと迷っていると、後から大きな声がした。；聞き慣れた留守番電話の声に続けて、簡単に父の死と一週間の帰省を告げた。；部屋の片づけや帰省の支度に、思った以上に時間がかかってしまったのだ。；ほとんどの選手は暮に帰省してしまって、松が明けるまでは帰ってこない。；円谷は8月の帰省時に、再度女性やその両親と会って結婚を確認した。；大体、ただでさえ狭いところへ夏の帰省や家族旅行の客、団体のツアー。；この年の夏に叔母一家が東京から帰省した際に東京の空気に触れる。；帰省する友達について遊びに行くので車を出してくれないかと言っているらしい。；しかし何のために誰のために帰省したのか、その理由はわからずじまいだった。；いまは東京に住んでいるが、年末は帰省することにしているらしい。</t>
        </is>
      </c>
      <c r="J1985">
        <f>HYPERLINK("https://www.weblio.jp/content/帰省", "词义详情")</f>
        <v/>
      </c>
      <c r="K1985">
        <f>HYPERLINK("https://yourei.jp/帰省", "查看例句")</f>
        <v/>
      </c>
    </row>
    <row r="1986">
      <c r="A1986" t="inlineStr">
        <is>
          <t>規制</t>
        </is>
      </c>
      <c r="B1986" t="inlineStr">
        <is>
          <t>成功</t>
        </is>
      </c>
      <c r="C1986" t="inlineStr">
        <is>
          <t>読み方：きせい
［名］(スル)
１従うべききまり。規定。
２規則に従って物事を制限すること。「集団行動を—する」「交通—」</t>
        </is>
      </c>
      <c r="D1986" t="inlineStr">
        <is>
          <t>規制する(7%)；規制される(2%)；規制当局；規制法；規制値</t>
        </is>
      </c>
      <c r="E1986" t="inlineStr">
        <is>
          <t>法；管理；定め；規定；制度</t>
        </is>
      </c>
      <c r="F1986" t="inlineStr">
        <is>
          <t>厳しい規制；騒音規制；速度規制；輸入規制；自主規制</t>
        </is>
      </c>
      <c r="G1986" t="inlineStr">
        <is>
          <t>規制対象；規制強化；規制改革；規制速度；規制標識</t>
        </is>
      </c>
      <c r="H1986" t="n">
        <v>29</v>
      </c>
      <c r="I1986" t="inlineStr">
        <is>
          <t>日本代表戦などの大規模試合時でも各駐輪場の利用規制はされていない。；この規定には例外があり、以下の場合には上記の規制は適用されない。；ニヤゾフ政権時代は極端な報道規制により海外から多くの批判を受けた。；なお、実在の人物の名前の発言はピー音で規制されていたこともあった。；そして機関投資家がニューヨーク市場の規制を逃れてくるようになった。；これらに対しても規制が行われ、現在も健康影響の評価が進められている。；このような道路では速度規制も一般道路と同じ基準で行われている。；国によって食品添加物としての使用が禁止・規制されているものがある。；しかし政府の統制下にある事には変わりなくメディアの規制も強化されている。；アルコールに関する規制が始まったのは1934年になってからだった。；当時は公安管轄の法律であり規制と罰則を中心とした内容であった。；規制や規則が緩むことは、必ずしも社会にとってよいことではないと言える。；しばしば速度規制となり、視界が非常に悪いときは通行止めとなる事もある。；フリードマンは、あらゆる市場への制度上の規制は排除されるべきと考えた。；主な規制内容は以下の通りであり、訪問販売の規制に類似している部分が多い。；認定基幹放送事業者は無線局を保有しないので電波法の規制を受けない。；海外では規制されているとして、それらを参考にすべきとの意見もみられる。；各国はそれぞれ独自に国内・国際取引を規制している。；それぞれ役割があり、案内・警戒・規制・指示の各種類ごとに設置者が決められている。；ボールを保持していない選手については、ステップに関する規制はない。；さらに進んで、人権擁護法に基づく規制の対象とすべきであるとの議論もある。；これも、経済的自由権や社会権に積極目的規制がされる場合に適用される。；この規制が適用される時間帯と適用道路は以下の通りである。；緩やかな審査基準が妥当する場合で、消極目的規制の場合に適用される。；業務に付随して、上記以外の各種法律の規制を受ける場合がある。；香港返還の前後に、政府は銀行の基本的なルールや規制を作った。；これらは、当事者間の合意で変更したり排除したりすることができない規制である。；社会風潮の悪化防止のために規制の強化が必要とする意見が述べられることもある。；一方で兵器の開発・製造を規制する動きもある。</t>
        </is>
      </c>
      <c r="J1986">
        <f>HYPERLINK("https://www.weblio.jp/content/規制", "词义详情")</f>
        <v/>
      </c>
      <c r="K1986">
        <f>HYPERLINK("https://yourei.jp/規制", "查看例句")</f>
        <v/>
      </c>
    </row>
    <row r="1987">
      <c r="A1987" t="inlineStr">
        <is>
          <t>既成</t>
        </is>
      </c>
      <c r="B1987" t="inlineStr">
        <is>
          <t>成功</t>
        </is>
      </c>
      <c r="C1987" t="inlineStr">
        <is>
          <t>読み方：きせい
すでにできあがっていること。「—の概念」</t>
        </is>
      </c>
      <c r="D1987" t="inlineStr">
        <is>
          <t>既成概念(9%)；既成作家(4%)；既成宗教(4%)；既成観念(2%)；既成文壇</t>
        </is>
      </c>
      <c r="F1987" t="inlineStr">
        <is>
          <t>既成文学；既成社会；既成政治；既成劇壇；あらゆる既成</t>
        </is>
      </c>
      <c r="G1987" t="inlineStr">
        <is>
          <t>既成政党；既成市街地；既成左翼</t>
        </is>
      </c>
      <c r="H1987" t="n">
        <v>29</v>
      </c>
      <c r="I1987" t="inlineStr">
        <is>
          <t>既成概念とは違った形で現代化されている妖怪が描かれているのが特徴。；すべて美人の女神ありしために既成宗教も今日まで存してゐるのである。；一九六九年、日本の学生達の多くは、既成の左翼思想に背を向けていた。；問題をその資格に於て突発的と既成的とに一応区別することが必要である。；前の場合が突発的問題に、後の場合が既成的問題に、相当するであろう。；生きんとするものは、既成の主張を以て自己を金縛りにしてはなるまい。；実はこれが、既成球団経営者や幹部の心胆を寒からしめる内容であった。；それはなにかといえば、既成の流派の形に鋳込まれなかったことである。；既成の美術団体に属さない九州出身の20代の若者が集まり結成された。；結局エンジンは既成品の流用ではなく、完全新設計とすることが決まった。；具体的な砲台の設置場所などの基本的性格は既成であったことが窺える。；このようなエピソードからは、既成概念の作家のイメージは浮かんでこない。；そのためには既成概念を捨て価値観を変えることすら覚悟していた。；既成宗教は王仁も嫌ひであるが、だというて宗教を否定することは出来ない。；校舎は学校という既成概念にとらわれない近代的建築として設計された。；当然ながらそれによって得られたものは既成の品種名が当てづらくなる。；音楽は放送で使用された既成楽曲から、オリジナル楽曲に変更された。；実際の演奏では、既成の弦楽四重奏団が二つ集まって演奏することが多い。；紙に絵を描くように自由に作るほか、既成の図案を再現する楽しみ方もある。；つまり今まで持ってきた既成概念を捨てて、自分はゼロからやり始めてみる。；そのような意味では、我々は既成宗教とは成り立ちを大きく異にしている。；既成の塀をなぎ倒し、舗道に穴をあけ、時計を逆回転させてしまうのだ。；既成の演劇への挑戦にもいろいろあるらしいが、こういうのはあまりないだろう。；日常とくに言葉を利用する職業の人ほど、言葉の既成感覚が強くなる。；そして私の考え方は既成の新劇人の間に、ほとんど賛成を得られなかった。；既成の会社は、種々の関係で急速に改革は望まれないかもわからない。；大本は今日の既成宗教のやうにただ人心の改造だけが仕事ではない。；いまではわれわれは、既成の言語をただ運転しているのである。；戦後は、近代の既成文学全般への批判を貫き、無頼派の一人といわれる。</t>
        </is>
      </c>
      <c r="J1987">
        <f>HYPERLINK("https://www.weblio.jp/content/既成", "词义详情")</f>
        <v/>
      </c>
      <c r="K1987">
        <f>HYPERLINK("https://yourei.jp/既成", "查看例句")</f>
        <v/>
      </c>
    </row>
    <row r="1988">
      <c r="A1988" t="inlineStr">
        <is>
          <t>犠牲</t>
        </is>
      </c>
      <c r="B1988" t="inlineStr">
        <is>
          <t>成功</t>
        </is>
      </c>
      <c r="C1988" t="inlineStr">
        <is>
          <t>読み方：ぎせい
１神、精霊などをまつるときに供える生き物。いけにえ。
２ある目的のために損失となることをいとわず、大切なものをささげること。また、そのもの。「道義のために地位も財産も—にする」「—を払う」
３災難などで、死んだり負傷したりすること。「戦争の—となる」</t>
        </is>
      </c>
      <c r="D1988" t="inlineStr">
        <is>
          <t>犠牲者(3%)；犠牲にしよ；犠牲獣；犠牲陽極；犠牲に供せられる</t>
        </is>
      </c>
      <c r="E1988" t="inlineStr">
        <is>
          <t>コスト；代償；生贄；餌食；身代わり</t>
        </is>
      </c>
      <c r="F1988" t="inlineStr">
        <is>
          <t>大きな犠牲；どんな犠牲；いかなる犠牲；新たな犠牲；あらゆる犠牲</t>
        </is>
      </c>
      <c r="G1988" t="inlineStr">
        <is>
          <t>犠牲フライ；犠牲バント；犠牲祭；犠牲者非難；犠牲防食</t>
        </is>
      </c>
      <c r="H1988" t="n">
        <v>29</v>
      </c>
      <c r="I1988" t="inlineStr">
        <is>
          <t>ただ、勢力の技術傾向の犠牲になってしまい、成長が難しい武将もいる。；犠牲とされる動物の中で最も価値が高いものはラクダだとされている。；ホテルでは事故の2日前に勤務し始めたばかりの女性も犠牲になった。；一人の若き王の犠牲と引き換えに、世界には再び朝が訪れるのであった。；彼は自分のすべての財産を犠牲にしてブッシュを破ると冗談で言った。；しかし、真犯人の犠牲になった子どもが一人だけではないことが判明。；このような子を犠牲にする行動は複数回繁殖を行う種で広く見られる。；この時彼に同行していた司令部要員も数人この誤射の犠牲になっている。；その後数ヶ月の間に低空攻撃によってさらに多くの人が犠牲となった。；非常時はこれをパージすることで装甲を犠牲にしつつ機動性を得られる。；犠牲になるサイトの競合相手がこういったことを行うこともある。；犠牲となった乗客の多くは天水囲の小中学校へ通勤中の教職員であった。；こうして、わたしは、電話の二番をあらゆる犠牲を払って集めたのである。；したがって「私は公のためなら犠牲になってもいい」とはならない。；レジスタンスは多くの犠牲を出しながらもディカーからの撤退に成功する。；主目的のために信頼性を犠牲にするという点はRAID 0と共通する。；事故や事件の現場に犠牲者への供花が沢山置かれるということも行われる。；犠牲になったのはイリノイ州の刑務所を出所して間もない青年だった。；敵に襲われると、最後尾のイセエビが犠牲になることが多いとされる。；任務の性質上、武装・装甲を重視し、速度・航洋性を犠牲にした艦が多い。；最小限の犠牲とはいえ放水路建設によって440戸の移転が必要となる。；イサクも直前になって自分が犠牲であることを悟ったが抗わなかった。；皇室は戦前より特権が減り義務は重くなり、我慢と犠牲の人生となった。；彼らは一時的な犠牲を払っても戦争に勝ってほしいと考えた。；戦争の悲劇と犠牲を内面的に描き、難解で密度の高い作品となっている。；多くの犠牲を出した島は北極の最終作戦への参加を決定する。；自己愛的な人物は、他者を犠牲にして自分を守るための様々な戦略を用いる。；戦闘は戦車を多く犠牲にしながらも枢軸国軍の勝利に終わった。；どちらを重視して補正し他方を犠牲にするかを選べるレンズ銘柄もある。</t>
        </is>
      </c>
      <c r="J1988">
        <f>HYPERLINK("https://www.weblio.jp/content/犠牲", "词义详情")</f>
        <v/>
      </c>
      <c r="K1988">
        <f>HYPERLINK("https://yourei.jp/犠牲", "查看例句")</f>
        <v/>
      </c>
    </row>
    <row r="1989">
      <c r="A1989" t="inlineStr">
        <is>
          <t>奇跡</t>
        </is>
      </c>
      <c r="B1989" t="inlineStr">
        <is>
          <t>成功</t>
        </is>
      </c>
      <c r="C1989" t="inlineStr">
        <is>
          <t>読み方：きせき
１常識で考えては起こりえない、不思議な出来事・現象。「—が起こる」「けががなかったのが—だ」
２キリスト教など、宗教で、神の超自然的な働きによって起こる不思議な現象。
[補説]作品名別項。→奇跡</t>
        </is>
      </c>
      <c r="D1989" t="inlineStr">
        <is>
          <t>奇跡的(10%)；奇跡みたい；奇跡島；奇跡譚；奇跡御殿</t>
        </is>
      </c>
      <c r="E1989" t="inlineStr">
        <is>
          <t>不思議；奇蹟；不可思議；霊験；験</t>
        </is>
      </c>
      <c r="F1989" t="inlineStr">
        <is>
          <t>どんな奇跡；さまざまな奇跡；こんな奇跡；ちょっとした奇跡；近世奇跡考</t>
        </is>
      </c>
      <c r="G1989" t="inlineStr">
        <is>
          <t>奇跡の一本松；奇跡の人；奇跡の年；奇跡のバックホーム；奇跡の復興</t>
        </is>
      </c>
      <c r="H1989" t="n">
        <v>29</v>
      </c>
      <c r="I1989" t="inlineStr">
        <is>
          <t>そして、春になり、信じられないような奇跡が起こるのであった・・・。；それにも関わらず死者が6人だけだったのは奇跡に近いと言えるだろう。；そしてこのケースは奇跡であると1992年にヴァチカンで宣言された。；この木は過去にいくつもの奇跡を引き起こし、人々の願いを叶えてきた。；しかし奇跡により船を沈めるために穴が開けられても船は沈まなかった。；この他にも『創立史』にはいくつかの奇跡のエピソードが記されている。；よって、原作のようにキリスト似の男に奇跡を感じるというシーンはない。；実現象としての奇跡を司り、それをもって英雄に勇気を授けるとされる。；この奇跡のため、聖カタリナの図絵にはバラを手にしているものがある。；そのことがルイスの本当の家族を捜すため、少年の奇跡の冒険が始まる。；祈りに応えて出現し、様々な奇跡を起こして困っている者を助けてくれる。；奇妙な家族の奇跡かもしれない騒動をハートウォーミングに描いている。；複数の伝説や奇跡などが重なり、細部が異なって伝えられているとされる。；奇跡とは大いなる動きに逆行する動きの現われであること知らねばならない。；フェイトを消費することにより、キャラクターは様々な奇跡を得られる。；さらに、この奇跡を知った周囲の人間がトミーを教祖に祭り上げていく。；争いのない奇跡の街ジーザスタウンに、黒い破壊者ハカイダーが現れた。；この推論によると奇跡的な事象は実際にはありふれていることになる。；当時の移植成功率を考え、化学療法で奇跡の回復が起こるのを待った。；聖遺物は神の恩寵を地上に媒介することで奇跡を起こすと考えられた。；修道院で生活していたとき、多くの奇跡が彼女の身に起きた。；彼の伝説によると、墓の周囲の岩石地は奇跡のように緑地となった。；この奇跡を成し遂げた英雄の正体は現在でも謎に包まれている。；スミスの支持者は、彼が奇跡的な癒しに責任を持ったと主張してきた。；カトリック教会は、彼女の死によって多くの奇跡が起きたと認定している。；神慈秀明会でもっとも奇跡が起こるイベントであるとされていた。；ヤスナ・グラの聖母は数々の奇跡を起こしてきたとされ、崇敬されている。；奇跡を起こした香油は後に「聖ヨセフの香油」を呼ばれるようになった。；その中ではヒーローは、喜びと怒りの対立、自然と奇跡的な強さの中心にいる。</t>
        </is>
      </c>
      <c r="J1989">
        <f>HYPERLINK("https://www.weblio.jp/content/奇跡", "词义详情")</f>
        <v/>
      </c>
      <c r="K1989">
        <f>HYPERLINK("https://yourei.jp/奇跡", "查看例句")</f>
        <v/>
      </c>
    </row>
    <row r="1990">
      <c r="A1990" t="inlineStr">
        <is>
          <t>奇跡的</t>
        </is>
      </c>
      <c r="B1990" t="inlineStr">
        <is>
          <t>成功</t>
        </is>
      </c>
      <c r="C1990" t="inlineStr">
        <is>
          <t>読み方：きせきてき
［形動］常識では考えられないような不思議なさま。「—に命が助かる」</t>
        </is>
      </c>
      <c r="D1990" t="inlineStr">
        <is>
          <t>奇跡的治癒；奇跡的経済復興；奇跡的にかすり傷一つ；奇跡的現象</t>
        </is>
      </c>
      <c r="H1990" t="n">
        <v>29</v>
      </c>
      <c r="I1990" t="inlineStr">
        <is>
          <t>医師達は、死の縁から奇跡的に蘇生した少女を感動の目で見つめていた。；これほどの攻撃を受けたのにも関わらず、犠牲は奇跡的に僅かであった。；奇跡的にも女の子と一緒に歩いているんだから、車道側を歩きなさいよ。；夫妻の遺体は奇跡的に、美しいままで寄り添うようだったと伝えられる。；運のいいことに、ここでは奇跡的に火災は一件も発生していなかった。；手術は厳しい成功率をクリアして、奇跡的とも言える成果を上げていた。；奇跡的に死者は出なかったが、コクピット内部は血まみれになっていた。；ユニスとは、わたしがまったく奇跡的に運ばれて来た国の名前である。；奇跡的に死を免れ、友人があんたの手の届かない所にかくまってくれた。；彼は奇跡的に逃げ、残りの日々をエフェススで送ったと言われている。；黒と灰色の爆煙で何も見えなくなつたが、奇跡的に一人の損害もない。；少年は一時足の切断は免れないと思われたが、奇跡的に回復している。；やがて犯人に捕らえられていた女性の一人、ケイトが奇跡的に生還する。；奇跡的に還ってきてみると、それは他人に命の肩代わりをさせただけ。；奇跡的に母の妹に対面し、父に連れ戻されないように親戚を転々とした。；この学校は奇跡的に焼け残ったが、その時の情景が歌詞となっている。；すると少し離れた場所にぴょーんと跳ねるフルールを奇跡的に発見した。；広島市内にいた家族たちは皆、負傷を負いながらも奇跡的に生き延びた。；かすかな金色の光輪が奇跡的に彼女と幼児キリストの頭部を囲んでいる。；ブロンズが冷えると、像は右足の指3本を除いて奇跡的に完成していた。；親から借りた車は大破したが、大島は奇跡的にも全くの無傷だったという。；奇跡的にかすり傷で済んだその日から妙なモノを目にするようになる。；彼は天然痘でいったんは死亡したと思われたが、奇跡的に生き返った。；割り切れぬ思いで支局に戻った時、奇跡的に東京からの電話が通じた。；零は一瞬気を失ったが、すぐに奇跡的に生きている自分を知った。；警察の話だと、母の運転免許証だけが奇跡的に無傷で残っていたそうです。；奇跡的に、乗員に死者・重傷者が一人も出なかったのは不幸中の幸いであった。；そして次の日の検査では奇跡的に回復に向かっていた。；最後の五分で、二人は奇跡的に共通の話題を発見していた。</t>
        </is>
      </c>
      <c r="J1990">
        <f>HYPERLINK("https://www.weblio.jp/content/奇跡的", "词义详情")</f>
        <v/>
      </c>
      <c r="K1990">
        <f>HYPERLINK("https://yourei.jp/奇跡的", "查看例句")</f>
        <v/>
      </c>
    </row>
    <row r="1991">
      <c r="A1991" t="inlineStr">
        <is>
          <t>季節</t>
        </is>
      </c>
      <c r="B1991" t="inlineStr">
        <is>
          <t>成功</t>
        </is>
      </c>
      <c r="C1991" t="inlineStr">
        <is>
          <t>読み方：きせつ
１1年を天候の推移に従って分けたときの、それぞれの区切り。温帯では春夏秋冬の四季があり、熱帯では乾季と雨季がある。「—の移り変わり」「—の食物」
２時期。シーズン。「行楽の—」「受験の—」</t>
        </is>
      </c>
      <c r="D1991" t="inlineStr">
        <is>
          <t>季節ごと(3%)；季節的(3%)；季節限定；季節運行；季節変化</t>
        </is>
      </c>
      <c r="E1991" t="inlineStr">
        <is>
          <t>時期；シーズン；時分；候；陽気</t>
        </is>
      </c>
      <c r="F1991" t="inlineStr">
        <is>
          <t>暑い季節；多い季節；暖かい季節；美しい季節；各季節</t>
        </is>
      </c>
      <c r="G1991" t="inlineStr">
        <is>
          <t>季節はずれ；季節外れ；季節感；季節性；季節労働者</t>
        </is>
      </c>
      <c r="H1991" t="n">
        <v>29</v>
      </c>
      <c r="I1991" t="inlineStr">
        <is>
          <t>同じ季節に競合して提供しないものを比較する事は本質的に意味がない。；対して寒冷な夏は、その季節中に地球が太陽から最も遠いときに起こる。；描写されている季節の明確な作品の中から選ばれた作品を収録した短編集。；現在の環境と同じ種類の缶を使うとその季節の環境がより強調される。；在来線ホームでは季節ごとに変化する接近メロディーが導入されている。；春・秋の渡りの季節には長野県などの内陸部を移動する個体が観察される。；海に入ることが多いため、それぞれの地域において暑い季節に行われる。；初期の人類が時間を認識する基礎は、季節の観念だったと考えられる。；それとも、ある季節のみ通学する形式の学校も現存しているのでしょうか?；夏は褐色・冬は純白と季節によって羽毛の色が変化するのが特徴である。；また、その季節やイベントに対応した、シリーズ企画も放送している。；貿易風は寒い季節に極の方向から多く発生し、夏よりも冬の方が風が強い。；ゲーム開始時に、プレイする季節と主人公の能力傾向が選択できる。；一つのコマンドを実行すると日が進み、3回日が進むと季節が変動する。；それぞれの季節に花の咲く公園が市内に点在し、市民に親しまれている。；季節ごとのバージョンがあり、tysの参加するイベント内で披露された。；この道具を使うとその周りだけ現在の季節と違う環境を作り出すことができる。；現在はどの学校も、すべての季節に通学する形式になっているのでしょうか?；秋と並んで一年の中では最も気候の良い穏やかな季節とも言われる。；セットの一部には、季節に合わせてひな人形などが置かれていることがある。；富士山の表情は、見る場所・角度・季節・時間によって様々に変化する。；内陸性で比較的雨量が少なく、一日の温度変化や季節の温度変化が大きい。；しかし他の季節では風の影響は少なく、その点では走りやすい。；一覧表示は季節に合わせた背景が表示されることがある。；マサバより脂肪が少ないが、季節的な味の変化が少ないとされている。；例えば米国ではエッグノッグ味のアイスクリームは季節限定の商品である。；JR西日本管内で運用された時はドアは季節に関わらず自動であった。；季節を問わず野菜や果物類が手に入るようになったのは、最近のことである。；劇中では季節の移り変わりはあるものの、歳は重ねないことになっている。</t>
        </is>
      </c>
      <c r="J1991">
        <f>HYPERLINK("https://www.weblio.jp/content/季節", "词义详情")</f>
        <v/>
      </c>
      <c r="K1991">
        <f>HYPERLINK("https://yourei.jp/季節", "查看例句")</f>
        <v/>
      </c>
    </row>
    <row r="1992">
      <c r="A1992" t="inlineStr">
        <is>
          <t>着せる</t>
        </is>
      </c>
      <c r="B1992" t="inlineStr">
        <is>
          <t>成功</t>
        </is>
      </c>
      <c r="C1992" t="inlineStr">
        <is>
          <t>読み方：きせる
［動サ下一］［文］き・す［サ下二］
１衣服などを身につけさせる。「着物を—・せてもらう」
２上からかぶせる。「銀台に金を—・せる」「歯に衣(きぬ)を—・せぬ批評」
３他に押しつけ負わせる。こうむらせる。「罪を—・せる」「恩に—・せる」
４上にのせる。置く。
「鞍(くら)—・せば命死なまし甲斐(かひ)の黒駒」〈雄略紀・歌謡〉
５打つ。たたく。
「馬取りの鼻捻(はなねぢ)ほどの棒もがな濡らせる人を—・せて腹癒(い)ん」〈仮・仁勢物語・下〉
[下接句]石に布団は着せられず・奥歯に衣(きぬ)着せる・恩に着せる・濡(ぬ)れ衣(ぎぬ)を着せる・歯に衣(きぬ)着せぬ</t>
        </is>
      </c>
      <c r="H1992" t="n">
        <v>29</v>
      </c>
      <c r="I1992" t="inlineStr">
        <is>
          <t>お前さんの好きな色の着物を着せられたとして見ても、それも好い事よ。；尚、寒さに弱いので冬季の散歩の際には洋服を着せることが勧められる。；両親から溺愛され、小さい頃から高い洋服を着せてもらっていたという。；ひとに愛されたからといって、マノンに罪を着せることはできなかった。；まだ着物中心だった時期は、菊人形や見世物人形に着せて展示していた。；自分の手で殺して、八代に罪を着せることまで考えていたんだから。；ちゃんと服を着せたもので一五〇ドル、これが一五年前には一万もしたんですよ。；そして、慎重に準備された証拠のすべてが奴隷監督にその罪を着せるのだ。；顔には白布が掛けられ、体にも小ざっぱりした布団が着せてありました。；三人の子供には何を着せて行こう、とこう家内はいろいろに気を揉んだ。；ホリーは彼に新しい服を着せ、一緒に彼のイメージを好印象に変えた。；後代の学者はこれに肉を着け皮を着せる事に努力して来たようにも見られる。；恩に着せるわけじゃないが、なりたての箱男には格好の餞別だと思うな。；生産低調の原因になっている点があるなら、何も歯に衣を着せる必要はない。；だが、自分と同じ姿なのにとんでもない服を着せることはできなかった。；クレメンスは長年にわたり歯に衣を着せぬ発言でも注目を浴びている。；初案ではちょうどチェスの駒に形状が似るクリノリンを着せられていた。；この地方では、たいてい六七年目に手向から巫女が来て着せるのだという。；今までのことであんまり恩に着せるようなら、こっちも考えるからね。；しかし昔から果して六七年目に一回着せたものであったか否かは明らかにしがたい。；罪ある者を処罰することと、無実の者に罪を着せることがそれだった。；国政誹謗の罪を着せられて逮捕され、厳しい取り調べを受ける事になる。；医師は自殺の危険ありと判断して、拘束服を着せるように命令をくだした。；東京でうまく取り着きさえすれア衆にいいものを買って着せるで心配はない。；その際、被害者の着物をはいで別人の着物を着せておくことはいうまでもない。；もしそのトリックが見破られても、山口さんに罪を着せることができる。；夫の殺人犯の濡れ衣を着せられ一瞬にして何もかもを失ってしまった元弁護士。；和服を着せて良人を出すのは先方の家の細君への一種の示威運動である。；お雪は自分が何を着て、子供には何を着せて行こう、といろいろに気を揉んだ。</t>
        </is>
      </c>
      <c r="J1992">
        <f>HYPERLINK("https://www.weblio.jp/content/着せる", "词义详情")</f>
        <v/>
      </c>
      <c r="K1992">
        <f>HYPERLINK("https://yourei.jp/着せる", "查看例句")</f>
        <v/>
      </c>
    </row>
    <row r="1993">
      <c r="A1993" t="inlineStr">
        <is>
          <t>汽船</t>
        </is>
      </c>
      <c r="B1993" t="inlineStr">
        <is>
          <t>成功</t>
        </is>
      </c>
      <c r="C1993" t="inlineStr">
        <is>
          <t>読み方：きせん
蒸気の力を動力として動く船。蒸気船。船舶法では、機械力を利用して推進する船をいう。</t>
        </is>
      </c>
      <c r="D1993" t="inlineStr">
        <is>
          <t>汽船会社(6%)；汽船株式会社；汽船発着所；汽船社長；汽船部</t>
        </is>
      </c>
      <c r="E1993" t="inlineStr">
        <is>
          <t>蒸気；蒸汽船；汽艇；蒸気船</t>
        </is>
      </c>
      <c r="F1993" t="inlineStr">
        <is>
          <t>小さな汽船；観光汽船；小汽船；汽船発着；補助汽船</t>
        </is>
      </c>
      <c r="H1993" t="n">
        <v>29</v>
      </c>
      <c r="I1993" t="inlineStr">
        <is>
          <t>父親は、汽船に帰ってから、はじめて鍵を忘れてきたことを悟りました。；私はあのとき、汽船の青い小旗のすぐ近くへ登つて行く一つの人影を見た。；彼女は汽船でアメリカへと出発するためにまずウラジオストクへと向った。；いくつかの湖では汽船が利用され、またいくつかの港は不凍港である。；第4の章では、3人となったボートでさらに流れていくと汽船に出遭う。；と、その向うから汽笛が聞え、一隻の汽船が入港して来る様子であった。；一度ずっと遠い空に汽船の笛の響いたぎり、今はもう人音も何もしない。；汽船事業は、カナダ太平洋鉄道の創始期から重要な部分を構成してきた。；汽船に乗っていたのはアメリカ人とは思えない者の集団である。；世が世ならば、倉地は小さな汽船の事務長なんぞをしている男ではない。；この汽船の大勢の人たちの中で、私ひとりだけが知らない変な事実があるのだ。；その翌未明、大阪の川口を出帆した二百トンにも足らぬ小汽船があった。；建物は港町土崎を象徴して汽船をイメージした曲線的な外観となっている。；汽船は荷物を主にして居るのだから客少くして我々はみじめである。；汽船の進行するに連れてそつちにもこつちにも此の魚族の群が目につく。；イギリス・アメリカ汽船会社は、大西洋航路の定期船化を計画していた。；我々は汽船の一方の舷側に、かなり大きな一部屋を、我々だけで占領した。；ごとごとときかいのなる音がして、汽船は港をでてゆくようすです。；私は汽船から見える山々の、かなり正確な輪郭図を描くことが出来た。；健はどうしても汽船に乗ってお母さんに手をひかれて神戸へ行きたかった。；こういったふうの人間は大抵どの航路の汽船にも二、三人はいるものである。；速力は16ノットが可能で、当時の汽船としては非常に高速の船だった。；汽船の残した波が座敷の台の石垣に寄せて、海辺のようにも聞えます。；当時汽船に石炭を売るときには、百斤入りのふごに入れたものである。；盛では海運業も発達し、明治時代末に村で汽船を共同建造した記録がある。；汽船などでも流れの急でない時を見計らってでなければ通りません。；私が神戸から来た汽船には、東京へ行く数名の朝鮮使節がのっていた。；どこともしれぬ広い海をすすんでいる汽船の上だったのです。；我々の汽船は、私がこれ迄乗った船の中で、一番小さいものだった。</t>
        </is>
      </c>
      <c r="J1993">
        <f>HYPERLINK("https://www.weblio.jp/content/汽船", "词义详情")</f>
        <v/>
      </c>
      <c r="K1993">
        <f>HYPERLINK("https://yourei.jp/汽船", "查看例句")</f>
        <v/>
      </c>
    </row>
    <row r="1994">
      <c r="A1994" t="inlineStr">
        <is>
          <t>基礎</t>
        </is>
      </c>
      <c r="B1994" t="inlineStr">
        <is>
          <t>成功</t>
        </is>
      </c>
      <c r="C1994" t="inlineStr">
        <is>
          <t>読み方：きそ
１ある物事を成り立たせる、大もとの部分。もとい。「—がしっかりしているから、上達が早い」「—を固める」「—知識」
２建造物の荷重を支持し、地盤に伝える最下部の構造物。地形(じぎょう)・土台など。
[用法]基礎・基本——「中国語を基礎（基本）から勉強する」「生活習慣の基礎（基本）を身につける」などの場合は相通じて用いられる。「社会繁栄の基礎」「会社の基礎を固める」などは「基本」では言い換えられない。◇「基本」は物事の根本、よりどころとなるものをいう。「基本法」は他の法律のよりどころとなる憲法などをさす。「法律の基礎」というと、法を支える考え方・思想の意味が強い。</t>
        </is>
      </c>
      <c r="D1994" t="inlineStr">
        <is>
          <t>基礎的(5%)；基礎知識；基礎ブレーキ；基礎訓練；基礎部分</t>
        </is>
      </c>
      <c r="E1994" t="inlineStr">
        <is>
          <t>本；元；地；台；条件</t>
        </is>
      </c>
      <c r="F1994" t="inlineStr">
        <is>
          <t>基礎課程；基礎資料；基礎学力；基礎調査；理論的基礎</t>
        </is>
      </c>
      <c r="G1994" t="inlineStr">
        <is>
          <t>基礎的；基礎課程学校；基礎研究；基礎工事；基礎科学</t>
        </is>
      </c>
      <c r="H1994" t="n">
        <v>29</v>
      </c>
      <c r="I1994" t="inlineStr">
        <is>
          <t>公表こそされなかったものの、WWWの概念の基礎となるものであった。；セルビアの法律と文化はローマとビザンツの基礎の上に打ち建てられた。；全国集計の基礎となる県や市町村レベルの値も、一部で公表されている。；教会の修道院は勉学と研究の場であり、のちに現代の大学の基礎となった。；主に鉄道において用いられ、運行計画を立案する際の基礎データとなる。；地球の公転を基礎に置く太陽暦を発達させた古代文明にエジプトがある。；政治が成立する社会の基礎にはさまざまな関係が存在している。；初期の人類が時間を認識する基礎は、季節の観念だったと考えられる。；軍事的脅威の程度を判断する基礎は軍事力とそれを行使する意志である。；日本の声明は陰陽五行説に基づいた中国の音楽理論が基礎となっている。；前1500年頃にはパンジャーブ地方に進行し国の基礎を築いたとされる。；カントは宗教を、道徳の基礎の上に成り立つべきものであるとしている。；これが、ミセル形成のためのエネルギー的な駆動力の基礎をなしている。；このユダヤ人学者の広範なコレクションが博物館の基礎となったのである。；イブン・スィーナーの音楽論の基礎は当時実際に演奏されていた音楽にあった。；また、この時代にはフランスのシャルル・ペローが童話の基礎を築いた。；現在、基礎的な科学研究以外での用途はなく、少量しか生産されていない。；この著書が今日デジタル物理学と呼ばれている分野の基礎を築いた。；調査報告書である『対馬の自然と文化』はその後の研究の基礎となった。；種の判断がしっかりしていることは分類学の基礎であるから、当然ではある。；そして一般の方向に進む波はその知識を基礎にして考える。；その機体構造や兵装の構成から、連合製MSの基礎となった機体と言える。；数世紀前の実験で得られた基礎的なデータですら重要性を失わない。；画像は現在の盧溝橋で、章宗時代に完成したものが基礎となっている。；時間とは、出来事や変化を認識するための基礎的な概念である。；この工事は基礎まで完成したが、戦争の影響でその後の建設工事が中止された。；開発能力の高さはITの基礎となる数学教育に力を入れた結果であるとされる。；高年次の試験も基礎試験と同様のシステムで行われるが、合格率は比較的高い。；これは後にカナダにフランスの植民地が築かれる基礎となった。</t>
        </is>
      </c>
      <c r="J1994">
        <f>HYPERLINK("https://www.weblio.jp/content/基礎", "词义详情")</f>
        <v/>
      </c>
      <c r="K1994">
        <f>HYPERLINK("https://yourei.jp/基礎", "查看例句")</f>
        <v/>
      </c>
    </row>
    <row r="1995">
      <c r="A1995" t="inlineStr">
        <is>
          <t>競う</t>
        </is>
      </c>
      <c r="B1995" t="inlineStr">
        <is>
          <t>成功</t>
        </is>
      </c>
      <c r="C1995" t="inlineStr">
        <is>
          <t>読み方：きそう
［動ワ五（ハ四）］互いに負けないように張り合う。競争する。「技(わざ)を—・う」「高さを—・う」
→争う［用法］
[可能]きそえる</t>
        </is>
      </c>
      <c r="D1995" t="inlineStr">
        <is>
          <t>競うメインコンペティション</t>
        </is>
      </c>
      <c r="E1995" t="inlineStr">
        <is>
          <t>対抗；戦う；競技；勝負；比べる</t>
        </is>
      </c>
      <c r="F1995" t="inlineStr">
        <is>
          <t>分かれて競う；互いに競う</t>
        </is>
      </c>
      <c r="H1995" t="n">
        <v>29</v>
      </c>
      <c r="I1995" t="inlineStr">
        <is>
          <t>いかにグループのなかで自分の作品が目立つかを競わなくてはならない。；どちらが先に東京へ帰れるか競ったところ、鈴木が先に東京へ到着した。；その様子を見て、我も我もと、周りにいたのも競って膝にのぼってくる。；よくは知らないが、きっと店舗間で売り上げを競わされているのだろう。；その後各ペアの生活点・学習点の合計点を競うランキングが発表される。；自動車の美しさを競うコンテストや展示会も世界的な規模で開催される。；一定時間毎にチームの全員が出走し、チームごとのゴールタイムを競う。；数々の騎士が、あなたを尊敬して、競ってまねをしたと聞いております!；技の美しさにもウェイトが置かれていて、美しさを競うという面もある。；またこの時期、ヨーロッパ各地で教会の塔の高さを競う争いも生じた。；実際に来た女性のカップ数で点数が定められており、その合計点を競う。；個人が体を鍛えるために行ったり、集団で互いの力を競いあったりした。；次第に灯篭も数十個と下げるようになり、力を競うようになっていった。；これを1局とし、黒・白を交代しながら6局を対戦して勝敗の数を競う。；これは、タイムアタックの成績を全国のプレイヤー達と競うものである。；ひとつのステージでゾンビの来襲にどこまで耐えられるかを競うモード。；彼は我々がもっと大きなチームと競い合えるという確信を与えてくれる。；最初は仲良く競っていたのだが、やがてスピードを上げて爆走し始めた。；宇宙船を開発し、最初にほかの惑星に移住できるかを競うこともできる。；そして夜鴉のような群ら影を躍らせて児屋郷の長い田圃道を駆け競った。；惑星トランスバールでは幾つかの国に別れ、地上で覇を競いあっていた。；社殿の形式は春宮と同じで、古くは秋宮・春宮間で建築の技が競われた。；各チームはそれに答え、持ち点を稼いでいくというルールで競いあった。；得票数を競うことで、最終的に最も男から愛される女性は誰かを決める。；そしてその各ブロック代表が優勝をめざし決勝ステージで日本一を競う。；競技とは一定の規則に従った状態で、何らかの技の優劣を競うことである。；台湾では、人の死前には決して泣かず、死後競って泣き出す慣習がある。；スタート地点からゴール地点までを右折だけで移動しスピードを競う。；各クラスごとにブロックカラー色のお揃いのクラスTシャツを着て競う。</t>
        </is>
      </c>
      <c r="J1995">
        <f>HYPERLINK("https://www.weblio.jp/content/競う", "词义详情")</f>
        <v/>
      </c>
      <c r="K1995">
        <f>HYPERLINK("https://yourei.jp/競う", "查看例句")</f>
        <v/>
      </c>
    </row>
    <row r="1996">
      <c r="A1996" t="inlineStr">
        <is>
          <t>寄贈</t>
        </is>
      </c>
      <c r="B1996" t="inlineStr">
        <is>
          <t>成功</t>
        </is>
      </c>
      <c r="C1996" t="inlineStr">
        <is>
          <t>読み方：きぞう
［名］(スル)《「きそう」とも》物品をおくり与えること。「母校にピアノを—する」</t>
        </is>
      </c>
      <c r="D1996" t="inlineStr">
        <is>
          <t>寄贈者；寄贈品；寄贈賞；寄贈書；寄贈しよ</t>
        </is>
      </c>
      <c r="E1996" t="inlineStr">
        <is>
          <t>寄付；プレゼント；寄進；贈る；贈呈</t>
        </is>
      </c>
      <c r="F1996" t="inlineStr">
        <is>
          <t>多数寄贈；図書寄贈；コード寄贈</t>
        </is>
      </c>
      <c r="H1996" t="n">
        <v>29</v>
      </c>
      <c r="I1996" t="inlineStr">
        <is>
          <t>近所の女性が自身の所有地と等価交換をして2012年に市に寄贈した。；元々、二体が寄贈されて置かれていたが、現在では一体のみとなっている。；出家時に、今まで持っていた財産を全部寄贈することが義務付けられた。；梵鐘の塔の前に白木玄流氏寄贈と記載されている木札が立てられている。；博物館などへ寄贈される際にはオリジナルに近い状態へ戻されることが多い。；服部の死後、遺族が管理しきれずに山形県に寄贈したが放置されていた。；この本は1930年ごろにミスカトニック大学付属図書館に寄贈される。；大型模型は同社より神田の旧交通博物館に寄贈されて長らく展示された。；寄贈を決めた時の母・せいの言葉は「鹿児島に嫁入りさせよう」であった。；内田じゅんたにオリジナルイラストを寄贈しているところも見られる。；寄贈賞を提供する読売新聞社は、東京・大阪・福岡に本社を置く新聞社。；モスタルのバスは黄色が特徴で、バスの車両は日本から寄贈されたものである。；さらに海軍はニュージャージーを博物館として寄贈する準備を進めていた。；収集した文献や資料は死後、法政大学大原社会問題研究所に寄贈された。；自作の著作権を含む全財産を名誉市民となった静岡県熱海市に寄贈した。；村には約1万冊が寄贈され、児童・生徒が利用する16施設に分配された。；戦争の罪滅ぼしの念からアジア諸国に図書を寄贈するなどの活動も行った。；寄贈賞を提供している産業経済新聞社は、東京と大阪に本社を置く新聞社。；会津若松城のものは完全に寄贈品であるので、反対は起きなかった。；書簡・寄贈を史実と推定する学者もいるが、伝承を偽とする説も強い。；車両は細谷建設が取得した後に中頓別町に寄贈されたものである。；彼女が残した文学関連の資料はすべてフランス国立科学研究センターに寄贈した。；その後ジョン・ロックフェラー2世から隣接地の寄贈を受けビルの建設を始める。；後に国へ寄贈し、現在は第九管区海上保安本部の管轄となっている。；現地を何回か訪れていた吉永は野麦峠に「政井みねの碑」を寄贈している。；彼がアメリカに遺産を寄贈した理由はよくわかっていない。；寄贈賞を提供する日本経済新聞社は、東京と大阪に本社を置く新聞社。；また、出版社のみならず一般の利用者からも資料の寄贈を受け付けていた。；寄贈賞を提供する日本経済新聞社は、東京・大阪に本社を置く新聞社。</t>
        </is>
      </c>
      <c r="J1996">
        <f>HYPERLINK("https://www.weblio.jp/content/寄贈", "词义详情")</f>
        <v/>
      </c>
      <c r="K1996">
        <f>HYPERLINK("https://yourei.jp/寄贈", "查看例句")</f>
        <v/>
      </c>
    </row>
    <row r="1997">
      <c r="A1997" t="inlineStr">
        <is>
          <t>偽造</t>
        </is>
      </c>
      <c r="B1997" t="inlineStr">
        <is>
          <t>成功</t>
        </is>
      </c>
      <c r="C1997" t="inlineStr">
        <is>
          <t>読み方：ぎぞう
［名］(スル)にせものをつくること。贋造(がんぞう)。「旅券を—する」「—紙幣」</t>
        </is>
      </c>
      <c r="D1997" t="inlineStr">
        <is>
          <t>偽造防止(6%)；偽造パスポート(5%)；偽造カード；偽造事件；偽造紙幣</t>
        </is>
      </c>
      <c r="E1997" t="inlineStr">
        <is>
          <t>操作；細工；偽；偽物；捏造</t>
        </is>
      </c>
      <c r="F1997" t="inlineStr">
        <is>
          <t>偽造硬貨；硬貨偽造；偽造書類；偽造犯；署名偽造</t>
        </is>
      </c>
      <c r="G1997" t="inlineStr">
        <is>
          <t>偽造文書；偽造通貨；偽造旅券；偽造証明書；偽造品の取引の防止に関する協定</t>
        </is>
      </c>
      <c r="H1997" t="n">
        <v>29</v>
      </c>
      <c r="I1997" t="inlineStr">
        <is>
          <t>最終的に恩赦は否定されたが、文書の偽造はその根拠とはされていない。；WADAは流出した文書はデータが変更されており偽造であると述べた。；デザインの変更がなくても、後から偽造防止策が導入されることもある。；ワインやコインなどの偽造対策には既にICタグが使われはじめている。；私鋳銭とは、政府が作った公の銭ではなく、私的に偽造された銭のこと。；信用させるために、偽造の契約書やパスポートなどを見せることも多い。；また紙に偽造硬貨で線を引くと、鉛筆で書いたような跡が残ることがある。；手紙が仲間の偽造であったことに気づいたのは、事件の後だった。；これらの要因が一因となって偽造を誘発し偽札が横行することとなった。；金はとても貴重で高価な金属であるため、頻繁に偽造商品が世に出回る。；しかしそのためにはその偽造を真実だと関係者全てに信じ込ませる必要があった。；ヴァラドンは息子の作品のサインを偽造したが、買い手も気づいていた。；しかし、これが偽造していたものであると判明したためである。；これを鐚と呼んだが、偽造貨幣と知られながら宋銭の半値で使用された。；このため、後述する通り、過去に大規模な偽造・変造事件が発生している。；新たな偽造防止技術として以下のものが採用されていることが公表されている。；また機械が偽造と判断した紙幣等も入金できないようになっている。；家を物色すると、偽造免許や拳銃など山崎の仕事道具が続々と出てくる。；幕府よりの答書を隠してきたこと、添書の偽造が露見したことによる。；文書は偽造の可能性が強いが、レナペ族にはそれが分からなかった。；しかし多くの批評家は、この若者が全てを一人で偽造したとは信じられなかった。；当時問題になっていた偽造テレホンカードなどの解析記事などを紹介していた。；「航海日誌を偽造して世界一周を達成したことにしてしまえば良い」と。；彼はそれ以前にも5ドル紙幣を偽造した罪で逮捕されている。；しかし、このとき提出された書類は偽造されたものであった。；他にも偽造防止用のホログラムシートの作成にも同様の技術が用いられる。；関西電力は独自の抜き取り調査を行っているが、偽造を見抜けなかった。；そのほかにも高等学校の卒業証書など、多数の書類を偽造している。；それ以来ドーソンの他の発見物の多くも偽造され埋められたものであることが示されている。</t>
        </is>
      </c>
      <c r="J1997">
        <f>HYPERLINK("https://www.weblio.jp/content/偽造", "词义详情")</f>
        <v/>
      </c>
      <c r="K1997">
        <f>HYPERLINK("https://yourei.jp/偽造", "查看例句")</f>
        <v/>
      </c>
    </row>
    <row r="1998">
      <c r="A1998" t="inlineStr">
        <is>
          <t>規則</t>
        </is>
      </c>
      <c r="B1998" t="inlineStr">
        <is>
          <t>成功</t>
        </is>
      </c>
      <c r="C1998" t="inlineStr">
        <is>
          <t>読み方：きそく
１行為や事務手続きなどが、それに基づいて行われるように定めた事柄。決まり。「—を守る」「—ずくめ」「就業—」
２物事の秩序。「—正しい」
３
㋐最高裁判所、国会の両議院、会計検査院、人事院などが、憲法や法律に基づき、内部規律・事務処理などに関して制定する法。
㋑都道府県知事・市町村長が、その権限に属する事務に関して制定する細則。→条例</t>
        </is>
      </c>
      <c r="D1998" t="inlineStr">
        <is>
          <t>規則的(10%)；規則第；規則改正；規則通り；規則どおり</t>
        </is>
      </c>
      <c r="E1998" t="inlineStr">
        <is>
          <t>法；決め；定め；約束；規定</t>
        </is>
      </c>
      <c r="F1998" t="inlineStr">
        <is>
          <t>取締規則；生成規則；組織規則；同規則；本規則</t>
        </is>
      </c>
      <c r="G1998" t="inlineStr">
        <is>
          <t>規則正しい；規則性；規則違反；規則正し；規則動詞</t>
        </is>
      </c>
      <c r="H1998" t="n">
        <v>29</v>
      </c>
      <c r="I1998" t="inlineStr">
        <is>
          <t>それができないのは規則を作った教師そのものが変態だとしか思えない。；それらを新たな BNF 規則を追加することで表現することもできる。；これら二つの問題を解決する装置として導入されたのが変換規則である。；ここでは以降の解説を読む上で必要な の文法規則を簡単に説明する。；オープン戦では全ての試合で採用可能であり、規則も厳格に適用される。；これに対抗して、大日本帝国陸軍は白米を規則とする日本食を採用した。；しかし、英米法では裁判所自身に規則制定権を認める制度が発達してきた。；技術用語以外の規定では、長音をつけることを原則としている規則もある。；この規則に を加えたものから八元数の乗法構造は完全に決定される。；警備業法および関連諸規則等は制定後も何度か改正され、現在に至っている。；アセンブルは比較的単純な規則からなるため、人の手でも実行できる。；総和型と似ているが、規則や状態が離散値ではなく連続な値を用いる。；演奏はそのジャンルに応じた規則にある程度従って行われる。；多くの言語では、大きい数を表す数詞を、一定の規則に従って構成する。；個人が主催する為、規則や規約は使用する場所に準拠している場合が多い。；以下の説明の規定については国際卓球連盟の規則に従って記述している。；競技とは一定の規則に従った状態で、何らかの技の優劣を競うことである。；規制や規則が緩むことは、必ずしも社会にとってよいことではないと言える。；結果としてユダヤ人は多くの都市で厳しい規則のもとに置かれた。；競技規則を整備し加盟団体の統括と世界的な競技大会の運営を担う。；既にGAによって洗練された創発計算戦略が生じる規則を発見している。；しかし、これらの規則やマナーが必ず守られていたとは限らなかった。；規則的パターンで並んで構成されている物質は結晶と呼ばれる。；規則により走者がアウトにされることなく進塁を認められることをいう。；西方教会ではさらに修道会に所属し、その規則に従うことが求められる。；村掟によって定められる里山の利用規則は極めて詳細かつ厳密であった。；数式を使って規則的に作ると、乱数列から元の式が再現される可能性がある。；前者は行為が利益をもたらすかを基準にし、後者は「規則」を基準にする。；これは規則的なものと不規則なものがあり、ある種の植物・動物双方で見られる。</t>
        </is>
      </c>
      <c r="J1998">
        <f>HYPERLINK("https://www.weblio.jp/content/規則", "词义详情")</f>
        <v/>
      </c>
      <c r="K1998">
        <f>HYPERLINK("https://yourei.jp/規則", "查看例句")</f>
        <v/>
      </c>
    </row>
    <row r="1999">
      <c r="A1999" t="inlineStr">
        <is>
          <t>貴族</t>
        </is>
      </c>
      <c r="B1999" t="inlineStr">
        <is>
          <t>成功</t>
        </is>
      </c>
      <c r="C1999" t="inlineStr">
        <is>
          <t>読み方：きぞく
１身分や家柄の尊い人。また、社会的な特権を世襲している上流階級に属する人。明治憲法では華族といったが、第二次大戦後消滅。
２特権を持つ者や優雅な生活をする者のたとえ。「労働—」「独身—」</t>
        </is>
      </c>
      <c r="D1999" t="inlineStr">
        <is>
          <t>貴族たち(7%)；貴族的(2%)；貴族社会；貴族達；貴族層</t>
        </is>
      </c>
      <c r="E1999" t="inlineStr">
        <is>
          <t>公卿；名門；公家；華族；名家</t>
        </is>
      </c>
      <c r="F1999" t="inlineStr">
        <is>
          <t>有力貴族；名門貴族；フランス貴族；廃貴族；門閥貴族</t>
        </is>
      </c>
      <c r="G1999" t="inlineStr">
        <is>
          <t>貴族院議員；貴族階級；貴族院勅選議員；貴族制；貴族院多額納税者議員</t>
        </is>
      </c>
      <c r="H1999" t="n">
        <v>29</v>
      </c>
      <c r="I1999" t="inlineStr">
        <is>
          <t>だが彼らのその後の目的やなぜ多くのティキ族を製造していたのかは不明。；エルミタージュは当時のフランス貴族が建てた個人的な離宮を意味した。；一方ヴァルツィーンの邸宅はそれよりは貴族的な雰囲気であったという。；工芸は貴族の生活道具や、仏教儀式に使われる道具などを中心に発展した。；ヨーロッパなどに多い、中世の古城や貴族の邸宅などを改造したホテル。；孝武帝は貴族勢力の抑制を狙って税制の改革や寒人層の登用などを行う。；これは、貴族層を中心に識字率が飛躍的に向上していたことを表している。；領域的には、彼らはしばしばのようなほかの貴族の断絶などから利益を得た。；ピョートル2世は国民の大半と貴族の4分の3から支持を得たのであった。；しかしこれはしばしば言われるが、貴族の方が兵士よりも危険が大きかった。；貴族たちが国王大権を認める代わりに、王は貴族や教会の特権を承認した。；歴史上、多くの王や貴族などの支配者は政治家であると同時に軍人でもあった。；しかしスピノザは貴族の友人らから提供された年金が十分にあった。；その後、新たに入ってきたエステ家と地元貴族らの軋轢が表面化する。；ただしこれは彼女だけではなく大勢の貴族達の間にもそのような傾向は見られたらしい。；市の政治は、名家の出の、都市貴族からなる参事会が取り仕切っていた。；中世後期には、王侯貴族の中にも占星術を重用する者は少なくなかった。；初期のBaronとは貴族称号ではなく直属受封者を意味する言葉だった。；だが、またしてもヨーク公は貴族層の支持が薄いために失敗した。；この身分違いの結婚は貴族たちからの不評を買うことになる。；忠烈王の時、朴楡は王に貴族の蓄妾を法律で制度化することを建議した。；今日でもヨーロッパ各地の博物館で当時の貴族たちが収集した日本刀を見ることができる。；議員だけではなく貴族たちからも批判の声は高まっていた。；サヴォイア家は欧州でも屈指の名家であり、権威ある貴族の一族だった。；プラハの宮廷ではティコの平民出身の妻とその子供も貴族の如く扱われていた。；プロイセン貴族たちもこの波に乗るべく自ら農業経営に乗り出していった。；元々は、裕福な貴族の娘のために書かれた作品で、当初から教育的作品であった。；当初は自動車を所有するのはごくごく少数の貴族や富裕層にとどまっていた。；当時のロシア貴族女性の多くがそうだったように、アンナは教育を受けていなかった。</t>
        </is>
      </c>
      <c r="J1999">
        <f>HYPERLINK("https://www.weblio.jp/content/貴族", "词义详情")</f>
        <v/>
      </c>
      <c r="K1999">
        <f>HYPERLINK("https://yourei.jp/貴族", "查看例句")</f>
        <v/>
      </c>
    </row>
    <row r="2000">
      <c r="A2000" t="inlineStr">
        <is>
          <t>北</t>
        </is>
      </c>
      <c r="B2000" t="inlineStr">
        <is>
          <t>成功</t>
        </is>
      </c>
      <c r="C2000" t="inlineStr">
        <is>
          <t>読み方：きた
１太陽の出る方に向かって左の方角。⇔南。
２北風。《季冬》「—寒しだまって歩くばかりなり／虚子」
[補説]地名・書名別項。</t>
        </is>
      </c>
      <c r="D2000" t="inlineStr">
        <is>
          <t>北伐；北麓；北隣；北支；北軍</t>
        </is>
      </c>
      <c r="E2000" t="inlineStr">
        <is>
          <t>子；北部；北方；ノース；北国</t>
        </is>
      </c>
      <c r="F2000" t="inlineStr">
        <is>
          <t>北縁；北へ約；北海岸；北方向；北千住駅</t>
        </is>
      </c>
      <c r="G2000" t="inlineStr">
        <is>
          <t>北海道；北西；北側；北東；北方</t>
        </is>
      </c>
      <c r="H2000" t="n">
        <v>29</v>
      </c>
      <c r="I2000" t="inlineStr">
        <is>
          <t>そのため北を上にした現代の地図上では右にありながら左京と呼ばれる。；現代の地図上の左右、つまり地図の北を上にしたときの左右ではない。；このうち北西側の緑色の部分は北に隣接するセルビアの領土となった。；アメリカ独立戦争の折、ニューヨークの北にイギリスの植民地があった。；夏にはシューベルトが熱望していた北オーストリアへの休暇旅行をした。；また、バルト海東岸に南北に並ぶバルト三国の中で最も北の国でもある。；北に隣接するセルビアは紛争当事国となって国際的な制裁下に置かれた。；杣川から北へ少し離れた所にあり、駅付近は細い路地が入り組んでいる。；南棟で死亡した民間人は計630人であり、北棟の半分以下の数字だった。；川の北側には魚市場があり、そこから北へ少し進むと仁万海岸公園に至る。；しかし化石層は南部では少なく、北に行くほどその数は優勢になってゆく。；この時期に北のモンゴル高原にはモンゴル帝国が急速に勢力を拡大していた。；ここは当初案と比べてルートが大きく北寄りに移動した。；前線の通過にともない、南よりの風から北または西よりの風に変わる。；駅北側を国道と並行し、そこから少し北へ進むと中国自動車道が通る。；朱元璋の軍は、即位するや大規模な北伐を開始して元の都・大都に迫った。；大津京駅から北は活断層が活動した結果できた細長い平地に沿って走る。；あるいは南を下、北を上とした時、東の方向が右、西の方向が左となる。；和銅元年に、北に領域を伸ばして出羽郡を新しく設置し七郡体制となった。；駅前は南から北に向かう一方通行の道路で、全体的にマンションが多い。；北と西と南西の境界は海だが、陸続きである南東と東の境界は曖昧である。；これは北の京都に帰りたいという後醍醐天皇の願いを表したものだという。；駅から北へ進むと奥出雲葡萄園に至るが、当駅からはやや離れている。；やがて西武園線が左にそれ、住宅街ながら緑の多い一帯を北に進む。；蘇州の北にある陵墓が孫武のものであるという説もあるが確定していない。；駅舎の北、プラットホームにかかる位置を武蔵野線が高架で越えている。；呉の軍は戦争が強く、一時は北の後梁と互角に争い合う程の勢力を誇った。；足を曲げた形で遺体が葬られているものもあるが、その場合も頭は北に置かれた。；近鉄のりばは鳥羽線建設前のJR線南東側から現在の北隣に移動している。</t>
        </is>
      </c>
      <c r="J2000">
        <f>HYPERLINK("https://www.weblio.jp/content/北", "词义详情")</f>
        <v/>
      </c>
      <c r="K2000">
        <f>HYPERLINK("https://yourei.jp/北", "查看例句")</f>
        <v/>
      </c>
    </row>
    <row r="2001">
      <c r="A2001" t="inlineStr">
        <is>
          <t>期待</t>
        </is>
      </c>
      <c r="B2001" t="inlineStr">
        <is>
          <t>成功</t>
        </is>
      </c>
      <c r="C2001" t="inlineStr">
        <is>
          <t>読み方：きたい
［名］(スル)あることが実現するだろうと望みをかけて待ち受けること。当てにして心待ちにすること。「—に添うよう努力する」「活躍を—している」「—薄」
[補説]作品名別項。→期待</t>
        </is>
      </c>
      <c r="D2001" t="inlineStr">
        <is>
          <t>期待される(5%)；期待できる(4%)；期待通り；期待どおり；期待出来</t>
        </is>
      </c>
      <c r="E2001" t="inlineStr">
        <is>
          <t>思う；思い；要求；希望；当</t>
        </is>
      </c>
      <c r="F2001" t="inlineStr">
        <is>
          <t>ご期待；淡い期待；期待収益率；期待効用最大化問題；期待効用関数</t>
        </is>
      </c>
      <c r="G2001" t="inlineStr">
        <is>
          <t>期待度；期待感；期待外れ；期待はずれ；期待効用</t>
        </is>
      </c>
      <c r="H2001" t="n">
        <v>29</v>
      </c>
      <c r="I2001" t="inlineStr">
        <is>
          <t>また近年看護系の専門学校も進出し学生の町としての発展も期待される。；当時高川はまだ実績がなく、期待する者はほとんどなかったといわれる。；もっとも軍事的な効果は余りなく、そもそも期待されてもいなかった。；この会社のメンバーには、サロンへの出展を拒否することが期待された。；まあいうたら子供の流行歌手ですよってな、多くは期待しませんでした。；すなわち量子力学的には電子の分布も揺らぎが発生することが期待される。；その中にはデビュー当初から優れた実績を挙げ才能を期待されていた人物も見られる。；とくに動脈硬化に関連する病気や死亡に対する効果が期待されている。；これはSAT隊員の射撃技術などを即戦力として期待した起用であった。；しかし彼らは同じ法律、宗教、道徳の規範に従うことを期待されていた。；近衛は若い頃から西園寺の側におり、西園寺も前途に期待をかけていた。；哲学を学び、成績優秀で父の期待するエリート・コースに乗るかに見えた。；しかし運動を始めると非常に柔軟性のある動きを見せ、関係者の期待を集めた。；大韓帝国皇帝高宗はロシア勝利を期待したため、深く失望したといわれる。；街の入り口付近に商業施設が開業するなど、今後の発展が期待される。；高位の役が期待されるため、賭けの総額も必然的に増加する傾向にある。；生命現象の原子・分子レベルからの理論的解明へ期待が持たれている。；今後採鉱が盛んになることで、確認可採埋蔵量の増加が期待されている。；日本でも診療所にはプライマリケアの役割が強く期待されつつある。；地下鉄システムの整備によってこれらの問題が解決することが期待されている。；このチームが将来的に当チームの下部組織的な役割を果たす事が期待されている。；紛争の影響でこれまでは未開であったが、今後の開発が期待される。；以下のような効果が期待できると考えられている。；しかし、蓋を開けてみると、予想に反して期待を裏切ったシーズンだった。；党首のピナル・ユルマズは「5月8日は期待と恐怖の日だ」と説明した。；また、プロレスラーとして一番期待していたのはマンモス鈴木であった。；イギリスがアラスの戦いで勝利したことで期待が高くなったことも一因であった。；ナノ科学の進歩による分子スケールで動く機械の登場が期待されている。；そのため、この分野でのさらなる研究と発見が期待されている。</t>
        </is>
      </c>
      <c r="J2001">
        <f>HYPERLINK("https://www.weblio.jp/content/期待", "词义详情")</f>
        <v/>
      </c>
      <c r="K2001">
        <f>HYPERLINK("https://yourei.jp/期待", "查看例句")</f>
        <v/>
      </c>
    </row>
    <row r="2002">
      <c r="A2002" t="inlineStr">
        <is>
          <t>気体</t>
        </is>
      </c>
      <c r="B2002" t="inlineStr">
        <is>
          <t>成功</t>
        </is>
      </c>
      <c r="C2002" t="inlineStr">
        <is>
          <t>読み方：きたい
物質が示す状態の一。一定の形・体積をもたず、流動性に富むもの。分子間の引力は小さくて分子が自由に運動でき、体積は温度に比例、圧力に反比例して変化する。ガス。ガス体。→液体→固体</t>
        </is>
      </c>
      <c r="D2002" t="inlineStr">
        <is>
          <t>気体分子(5%)；気体状態；気体粒子；気体成分；気体原子</t>
        </is>
      </c>
      <c r="E2002" t="inlineStr">
        <is>
          <t>ガス；蒸気；瓦斯；スチーム；ガス体</t>
        </is>
      </c>
      <c r="F2002" t="inlineStr">
        <is>
          <t>原子気体；発生する気体；有毒な気体；可燃性気体；高電離気体</t>
        </is>
      </c>
      <c r="G2002" t="inlineStr">
        <is>
          <t>気体の状態方程式；気体分子運動論；気体燃料；気体反応の法則；気体レーザー</t>
        </is>
      </c>
      <c r="H2002" t="n">
        <v>29</v>
      </c>
      <c r="I2002" t="inlineStr">
        <is>
          <t>この方法で集めた気体はあまり純粋でないので精密な実験には使わない。；この理論はまた、気体系が変化に対してどう反応するかを説明している。；このために気体の状態では物質の種類を問わずに共通の性質が表れやすい。；この法則は、気体の構成粒子の存在を前提としなければ意味を持たない。；そして燃焼の際には、そのうちの一方の気体が金属と結合するとした。；これは圧力が低いために内部の気体の体積が大きくなるためである。；毒性の強い気体は吸引の可能性があるのでこの方法はあまり用いられない。；Kratzは、これらは標準状態で気体であるかもしれないと推測した。；すると驚いたことにその気体の中でネズミはかなり長く生き続けた。；この過程においてシリンダー内の気体は外部に対して仕事をしたという。；英語では が使われるが、気体から固体への変化を特に と呼ぶこともある。；固体を気体に変化させるために必要な熱は昇華熱または昇華潜熱という。；さらにその粒子の大きさ、質量共に気体の体積に比べてはるかに小さい。；機器内部に封入された気体で冷却するもので、主に大型機器に用いられる。；当然気体の圧力が高いほうがイオン化される分子、原子が多い事になる。；その粒子の距離と速度は屈折率で表される気体の光学特性にも影響する。；気体の温度を上げて行くと構成する中性分子が電離してプラズマになる。；これらの式が成り立つのは気体が平衡の状態にあるときに限られる。；原理的に粘性流領域では気体の対流も加わるため、正確な値を示さない。；完全気体はさらに2種類に分類されるが、両者を区別しない教科書も多い。；回転翼の前後に生じる圧力差を利用し、気体を連続的に圧縮する装置。；また気体の状態で風に吹き散らされると元に戻れなくなってしまう。；そのためラヴォアジエは、この気体は純粋な空気そのものであると結論した。；ただし弾数に制限があり、使用するごとに気体温度も上昇する。；夫も物理学者でその専門は統計力学、特に不完全気体の理論で知られる。；気球とは、空気より軽い気体を風船に詰め込む事で浮力を得る物のこと。；このような方程式は対象とする気体の特定の条件を満たすよう理想化されている。；他の多くの高温測定法では、気体相の温度について測定することはできない。；気体が液体に変化するときに放出される熱を凝縮熱または凝結熱という。</t>
        </is>
      </c>
      <c r="J2002">
        <f>HYPERLINK("https://www.weblio.jp/content/気体", "词义详情")</f>
        <v/>
      </c>
      <c r="K2002">
        <f>HYPERLINK("https://yourei.jp/気体", "查看例句")</f>
        <v/>
      </c>
    </row>
    <row r="2003">
      <c r="A2003" t="inlineStr">
        <is>
          <t>議題</t>
        </is>
      </c>
      <c r="B2003" t="inlineStr">
        <is>
          <t>成功</t>
        </is>
      </c>
      <c r="C2003" t="inlineStr">
        <is>
          <t>読み方：ぎだい
会議にかけて討議する問題。「—にとり上げる」</t>
        </is>
      </c>
      <c r="D2003" t="inlineStr">
        <is>
          <t>議題設定</t>
        </is>
      </c>
      <c r="E2003" t="inlineStr">
        <is>
          <t>次第；日程；予定表；アジェンダ；議事日程</t>
        </is>
      </c>
      <c r="F2003" t="inlineStr">
        <is>
          <t>主な議題；主要な議題；主要議題；中心議題；議題として取り上げられ</t>
        </is>
      </c>
      <c r="H2003" t="n">
        <v>29</v>
      </c>
      <c r="I2003" t="inlineStr">
        <is>
          <t>続くカナダとオーストラリアへの訪問では経済問題が主要議題に上った。；がネットスケープ社に勤務していた頃、この名前が会議の議題とされた。；そして、ついに彼の問題は本社で行なわれる総括本部会の議題になった。；議題があまりない日もあるが、そういう時はかえって会話が活発になる。；この話は幹部会の議題に上げて、そこで方針を決めることにしたから。；こちらからの話があれば、文芸家協会の議題にのぼることなのだろうか。；提案された動議が議題に供せられる状態となることを動議の成立という。；しかし議題が楽曲選びであることが判明してからはほっとしていたという。；事件の性質上、こういう重大な議題は評定所にかけられる慣行であった。；というか、議題の取りまとめをほぼ終えたところの、何かの雑談の折に。；こうした中で要塞攻略の主軸をどの方向からにするかが議題となった。；いかにして住民の平和と幸福を確保すべきなのか、それが議題である。；マスター・コースのテーマや会議の議題も一般向けの展示となった。；一応議題に入っている以上、担当者の説明ぐらいはあって当然だろう。；今日の第一の議題は、この状況に我々はどう対応すべきか、ということだ。；主要議題は対独作戦であるが、極東も大いに関心を持つべきとされた。；この土井をショートで使うか二塁に回すかがコーチ会議の議題になった。；その後、ほとんどの議題は分野別に次の6つの主要委員会で審議される。；会議の議題は、渡辺金兵衛ら三人を、どう処置するかという件であった。；レイドが太守に適任かどうかという議題に投票する権利はないのである。；何せこの議題にいちばん関係があるのは景侍郎の在籍する戸部だからだ。；将軍たちが集まって軍事会議が開かれ、モスクワの扱いが議題になっている。；そこには皆が集まり、食事をともにし、様々な議題が討議・裁決された。；かれらはすべての議題を棚上げにして、二週間ぶっ続けの会議を開いた。；しかし、地元の知識人の政治的議題の間の1つの基本的な違いは明らかでした。；急な議題があるわけではないが、そんなものは何とでもできる。；分離可能性とは、2つ以上の議題がそれぞれ独立であることを指す。；頭のなかで翻訳しているうちに議題はどんどん進んでいく。；当日の議題は五日前の、つまり八月二三日の労働者虐殺事件であった。</t>
        </is>
      </c>
      <c r="J2003">
        <f>HYPERLINK("https://www.weblio.jp/content/議題", "词义详情")</f>
        <v/>
      </c>
      <c r="K2003">
        <f>HYPERLINK("https://yourei.jp/議題", "查看例句")</f>
        <v/>
      </c>
    </row>
    <row r="2004">
      <c r="A2004" t="inlineStr">
        <is>
          <t>鍛える</t>
        </is>
      </c>
      <c r="B2004" t="inlineStr">
        <is>
          <t>成功</t>
        </is>
      </c>
      <c r="C2004" t="inlineStr">
        <is>
          <t>読み方：きたえる
［動ア下一］［文］きた・ふ［ハ下二］《古くは四段に活用》
１高温で熱した金属を繰り返し打ったり水で冷やしたりして硬度・密度などを高め、良質のものにする。鍛錬する。「刀剣を—・える」
２練習・修練を繰り返し、技術や身体・精神をしっかりしたものにする。「心身を—・える」「選手を—・える」
３いじめる。
「やかましく—・へずとも、はやく汲んでくれろよ」〈洒・南閨雑話〉</t>
        </is>
      </c>
      <c r="D2004" t="inlineStr">
        <is>
          <t>強化する；鍛冶；固める；鍛錬；鍛造</t>
        </is>
      </c>
      <c r="H2004" t="n">
        <v>29</v>
      </c>
      <c r="I2004" t="inlineStr">
        <is>
          <t>絵は精神を鍛えるのにも有効と考え弟子の指導にも取り入れたという。；これを機会に選手を鍛える対象から自分の子どもへと変わったという。；むしろそのようにしてあなたの精神と学問とをお鍛えにならねばなりませぬ。；この馬鹿を鍛えるためには、必然的にこいつと活動する時間が多くなる。；急に元気が出たので足を鍛えるために散歩してから戻ることにする。；しかし風雪に鍛えたあなたの健康はなかなかたしかなもののようですね。；人は、その人なりの道によって、何か鍛えられる道を通ることが大切ね。；個人が体を鍛えるために行ったり、集団で互いの力を競いあったりした。；刑務所の中で彼は多くの本を読み、暇な時間を体を鍛える事に費やした。；体を鍛えるために鉄アレイを手に入れたが、武器として使った方が早い。；一丁の銃を鍛えるのにも、多くの代償が要求されると聞いた憶えがある。；哲学がわれわれを鍛えるのは、我々のためであって、他人のためではない。；失敗を恐れないあくなき挑戦が人間を鍛えるのだと言えば格好はつくだろう。；この頃はスポーツなどはせず、家の家事手伝いをして体を鍛えていた。；教育はよい方向にむかって、人間を鍛えることだともいえるように思います。；また合唱で鍛えられたため、歌詞が良く聴こえると言われる機会も多い。；また、同作品の舞台にも参加し、同じく今井監督に心身共に鍛えられた。；そして冒険者になったのだから、これまで以上に身体を鍛える必要がある。；足のうらやら指のうごきを鍛えるため、高下駄をはいていたのだろうか。；それは、深く、細かくものを考えられるように、脳を鍛えるためなんだ。；何人いても一騎討と覚って見れば此方はボートで鍛えた腕っ節だからね。；水泳を通して肩・腕の柔軟な動きを身に付けながら足腰を鍛えたという。；労働で若年の肉を鍛えたらしい頑丈な場主の姿は、何所か人を憚からした。；もし人が平穏を手にしたいのなら、まず平穏の精神を鍛えるのがよい。；鍛え肌は日本刀に最もよく見られる板目肌で、鍛え目がはっきりしている。；最近ではわんぱくウォークの後に握力と柔軟性を鍛えることもしている。；裸にしたら鎧ずれや具足だこで鍛え抜かれている体だろうとも思われる。；身体は主に自宅で鍛えており、稀にジムでトレーニングをすることもある。；彼はまずなによりも自分を新しい人間に鍛えなおす必要を感じた。</t>
        </is>
      </c>
      <c r="J2004">
        <f>HYPERLINK("https://www.weblio.jp/content/鍛える", "词义详情")</f>
        <v/>
      </c>
      <c r="K2004">
        <f>HYPERLINK("https://yourei.jp/鍛える", "查看例句")</f>
        <v/>
      </c>
    </row>
    <row r="2005">
      <c r="A2005" t="inlineStr">
        <is>
          <t>北側</t>
        </is>
      </c>
      <c r="B2005" t="inlineStr">
        <is>
          <t>成功</t>
        </is>
      </c>
      <c r="C2005" t="inlineStr">
        <is>
          <t>読み方：きたがわ
物の北に面した部分。また、ある位置より北の方。</t>
        </is>
      </c>
      <c r="D2005" t="inlineStr">
        <is>
          <t>北側斜面；北側部分；北側一帯；北側境界；北側半分</t>
        </is>
      </c>
      <c r="F2005" t="inlineStr">
        <is>
          <t>挟んで北側；ホーム北側；駅舎北側；線路北側；構内北側</t>
        </is>
      </c>
      <c r="G2005" t="inlineStr">
        <is>
          <t>北側用水路；北側寒囲；北側町；北側斜線</t>
        </is>
      </c>
      <c r="H2005" t="n">
        <v>29</v>
      </c>
      <c r="I2005" t="inlineStr">
        <is>
          <t>駅北側から直接入出場できないことは当駅の大きな課題となっている。；各ホームには北側改札と連絡するエレベーターと待合室を設置している。；当駅には、広場口南側と広場口北側のそれぞれにバスターミナルがある。；線路の北側にホームがあり、そのホームに接して駅舎が置かれている。；北側から見てホーム、線路、ホーム、線路の順に並ぶ構造となっている。；県の北側から東側にかけては海に面しており、多くの港が設置されている。；旧来の駅舎と道路を挟んだ北側の歩道橋に面した部分に橋上駅舎がある。；貨物取扱量は多く、駅の北側と南側の両方には信号所が設置されていた。；このうち北側の室には上層への階段と勝手口、南側の室には押入がある。；駅の北側のロータリー付近に日本列島中心の町の碑が設立されている。；フランスでは、ほとんどの白ワイン が北側半分の地域で生産されている。；南武線の北側はかつての屋敷分村で、上記の通り旧駅名の由来となった。；南のホームは、北側に柵が設置されており、南側の線路の列車が使用する。；川の北側には魚市場があり、そこから北へ少し進むと仁万海岸公園に至る。；島式構造のホームを有しているが、北側の1面のみを使用している。；この他、田島大牧線の南側に駐車場、南・北側に駐輪場を整備している。；湖の北側と南側で水深は大きく異なり、北側は深く、南側は比較的浅い。；東側と北側は主に住宅地を形成しているが、近年は商業施設も増えている。；従来の駅舎の駅長室は南側にあったが、新駅舎になってからは北側に移動した。；神殿に残されたメトープは北側のものを除きどれも酷く痛んでしまった。；線路北側にあるその駅舎からホームへは構内踏切で連絡している。；なお、南側の路線に下り列車が、北側の路線に上り列車が停車する。；同様にヴァイン通りは北側に伸びておりホーフガルテン方向に続いている。；この区間の北側に実験センターと山梨県立リニア見学センターがある。；かつては、旅客駅の北側にある日本製紙八代工場への専用線 があった。；ホームの番号は北側から付けられており、1番線から4番線まで存在する。；北側の側廊の壁には突き出した形の後期ゴシック様式の壁龕が見られる。；駅舎は下り線北側に位置しており、ホームへは跨線橋で連絡している。；駅北側を国道と並行し、そこから少し北へ進むと中国自動車道が通る。</t>
        </is>
      </c>
      <c r="J2005">
        <f>HYPERLINK("https://www.weblio.jp/content/北側", "词义详情")</f>
        <v/>
      </c>
      <c r="K2005">
        <f>HYPERLINK("https://yourei.jp/北側", "查看例句")</f>
        <v/>
      </c>
    </row>
    <row r="2006">
      <c r="A2006" t="inlineStr">
        <is>
          <t>帰宅</t>
        </is>
      </c>
      <c r="B2006" t="inlineStr">
        <is>
          <t>成功</t>
        </is>
      </c>
      <c r="C2006" t="inlineStr">
        <is>
          <t>読み方：きたく
［名］(スル)自分の家に帰ること。「夜中に—する」</t>
        </is>
      </c>
      <c r="D2006" t="inlineStr">
        <is>
          <t>帰宅する(18%)；帰宅後(4%)；帰宅途中(3%)；帰宅時間；帰宅しよ</t>
        </is>
      </c>
      <c r="E2006" t="inlineStr">
        <is>
          <t>帰国；帰る；帰り；帰還；帰郷</t>
        </is>
      </c>
      <c r="F2006" t="inlineStr">
        <is>
          <t>終えて帰宅；タクシー帰宅；急いで帰宅；ご帰宅；夜遅く帰宅</t>
        </is>
      </c>
      <c r="G2006" t="inlineStr">
        <is>
          <t>帰宅困難者；帰宅部活動記録；帰宅難民</t>
        </is>
      </c>
      <c r="H2006" t="n">
        <v>29</v>
      </c>
      <c r="I2006" t="inlineStr">
        <is>
          <t>少女は小さいころ、帰宅すると父親の膝に乗って話をしたりしていた。；彼は仕事をすることもなく毎日バーに現れては午後10時に帰宅した。；そんなある日、帰宅中の主人公の目の前に一人の悪魔が落ちてきた。；質素な実家に帰宅した彼を両親が出迎えたが、妻マリーの姿は無かった。；失意の中、帰宅すると自宅であるアパートの自室の前にヤクザ達が居た。；夕方頃になると国道55号の交差点周辺で帰宅ラッシュの車で渋滞する。；少年を治療し陽が落ちたので、明日には目が覚めるだろうと帰宅した5人。；帰宅しない部の成立が決まり、夕也たちに平穏が訪れたように思われた。；帰宅後すぐにマクシーモワに連絡しようと考えて、斎藤は車を走らせた。；そんなタケトが帰宅すると、ベッドに朝出会った犬が寝っ転がっていた。；夫が皇帝に自分を売ったと信じた彼女は帰宅すると彼の裏切りを激しく非難した。；翌日、帰宅した佐緒里が見たものは、玄関前に置かれたそのソフトだった。；帰宅するなり横になっていたが、極めて刺激的な幻想に彩られていた。；帰宅後も母親が描いた数多くの絵が自分のことを嘲笑っているよう見えてしまう。；海が帰宅すると、アメリカから帰国したばかりの母が待っていた。；なおこの男性は後にひとりで帰宅していたことが判明した。；現在では通勤・帰宅時の混雑も激しく、深夜もトラックの通行量が多い。；フランスでは子供たちが学校を終えて帰宅しておやつをとることは一般的だった。；さらに相乗り通勤者の相手探しサービスや帰宅保証サービスも進めている。；そこへ、女性の娘が帰宅するためにこちらへ向かって来ていた。；帰宅した皐月ともども涙に呉れる折から家臣を連れて大学之助が現れる。；帰宅した竜にストイシャは戦いを挑み、打ち倒したが命は取らなかった。；帰宅したアーヴィングが玄関前が暗いのを訝しんでいるところを射殺した。；修が対局を終えて帰宅するのは深夜になることが多く、寝たふりをして待つ。；そして妻と仲直りするために帰宅し、その夜に35ページを書き上げた。；帰宅後、彼女は激しい頭痛を訴え、ニューヨーク市内の病院に入院した。；小学3年生の頃から、学校から帰宅後に近くの公園で父親と野球の練習をした。；豊川市の住宅で、妻が血だらけで倒れているのを帰宅した夫が発見して通報。；帰宅した信一郎の家には瑠璃子からの迎えの自動車が止まっていた。</t>
        </is>
      </c>
      <c r="J2006">
        <f>HYPERLINK("https://www.weblio.jp/content/帰宅", "词义详情")</f>
        <v/>
      </c>
      <c r="K2006">
        <f>HYPERLINK("https://yourei.jp/帰宅", "查看例句")</f>
        <v/>
      </c>
    </row>
    <row r="2007">
      <c r="A2007" t="inlineStr">
        <is>
          <t>気立て</t>
        </is>
      </c>
      <c r="B2007" t="inlineStr">
        <is>
          <t>成功</t>
        </is>
      </c>
      <c r="C2007" t="inlineStr">
        <is>
          <t>読み方：きだて
他人に対する態度などに現れる、その人の心の持ち方。性質。気質。「—のいい娘」</t>
        </is>
      </c>
      <c r="D2007" t="inlineStr">
        <is>
          <t>気立てのいい(17%)；気立てのよい(10%)；気立てのやさしい(6%)；気立ての良い(4%)；気立ての優しい(3%)</t>
        </is>
      </c>
      <c r="E2007" t="inlineStr">
        <is>
          <t>気；性；性格；配置；気分</t>
        </is>
      </c>
      <c r="F2007" t="inlineStr">
        <is>
          <t>気立てのいい娘；気立てのいい子</t>
        </is>
      </c>
      <c r="H2007" t="n">
        <v>29</v>
      </c>
      <c r="I2007" t="inlineStr">
        <is>
          <t>俺は一度も組んだこたあないんだが、気立ての良さそうな娘だったからねえ。；だがそんな父親の身の回りの世話をよくする気立てのいい娘でもある。；気立のいい明朗な女性のようでしたし、手紙の中は読みませんでした。；あなたもおっしゃいましたように、私どもは、気立てがいいですからね。；しかし、気立てのよさそうなようすには相当好感をもつことができた。；彼女の気立てについても、それと同じことがいえたらいいのにと彼は思った。；気立てがいい、という言葉が二十九の男にも使えるのかどうかは知らない。；この二人は教授が移ってきたときからいるので、どちらも気立はよい婦人のようです。；そこは群れの掟が法であり、気立ての良い犬は殺されてしまうだろう場所である。；さア初めろと自分の急き立つるので、そろそろ読み上げる事になった。；頭がよくて気立てがいいことは、誰よりも吉見はよく知っている。；娘は気立てもいいし、わしを信じておるし、最高教育も受けさせた。；そしてランプの心を挑き立てて、夜明けの来るのを待ち遠しがっていた。；彼は男振りよく、竹を割つたやうな気立、その上に金はあると来た。；彼女の友だちに気立てのよいおとなしい青年がいたが、その男には一人の姉がいた。；そしてここで改めて秋田乙女の気立てのよさを再確認したのである。；彼には彼女が気立てがよくて、優雅で、魅力があるように見えた。；カンボジアの女の子の方が、ずっと気立ては良さそうだったけど。；それでも彼女ほどの美しさと気立ての良さなら、世間一般からいっても決して取るに足りないものではありません。；生徒の多くは世話好きで、気立てのいいこともはっきりしてくる。；もう一人私より一日早くはいったお君さんは背の高い母性的な、気立のいい女だった。；実に気立てのいい編集者が、メッチャクチャに人の原稿を変えるのだ。；しかし至って気立のいい、淑やかな女性で年は同年の二十二である。；息子も娘も共に気立がよさそうで、申分のない家庭に見えた。；なるほど、気立てはいいが少し足りないやつと思って一応友達づきあいはしてくれる。；平凡だが、気立てのいいというのが、彼女を知る人の一致した意見のようです。；公妃はコンデ親王家の一族の中では唯一気立ての良い人である。；も一人私より一日早くはいったお君さんは脊の高い母性的な、気立のいゝ女だった。；この厄介な男を大切にしてくれる気立ての優しい女ですが、私は愛情を感じてはいません。</t>
        </is>
      </c>
      <c r="J2007">
        <f>HYPERLINK("https://www.weblio.jp/content/気立て", "词义详情")</f>
        <v/>
      </c>
      <c r="K2007">
        <f>HYPERLINK("https://yourei.jp/気立て", "查看例句")</f>
        <v/>
      </c>
    </row>
    <row r="2008">
      <c r="A2008" t="inlineStr">
        <is>
          <t>汚い</t>
        </is>
      </c>
      <c r="B2008" t="inlineStr">
        <is>
          <t>成功</t>
        </is>
      </c>
      <c r="C2008" t="inlineStr">
        <is>
          <t>読み方：きたない
［形］［文］きたな・し［ク］
１よごれていて、それに触れたくない気持ちを起こさせるさま。不潔である。「床(ゆか)が—・い」「—・い手でさわるな」
２秩序や調和がとれてなく、不快な感じを与えるさま。乱雑である。「—・くしていますが、お上がりください」「字が—・い」
３下品である。「—・い言葉づかい」
４考え方や態度などがいやしい。卑劣である。「—・い根性」「—・い手を使う」
５欲が深い。けちである。「意地が—・い」「金に—・い男」
[派生]きたながる［動ラ五］きたなげ［形動］きたなさ［名］
[下接語]意地汚い（ぎたない）寝穢(いぎたな)い・薄汚い・口汚い・小汚い・腹汚い</t>
        </is>
      </c>
      <c r="D2008" t="inlineStr">
        <is>
          <t>汚いもの(6%)；汚い手(3%)；汚い言葉(3%)；汚い仕事；汚い部屋</t>
        </is>
      </c>
      <c r="E2008" t="inlineStr">
        <is>
          <t>悪い；嫌；不正；厭；汚れた</t>
        </is>
      </c>
      <c r="F2008" t="inlineStr">
        <is>
          <t>どんな汚い；そんな汚い；汚い格好；汚い店；まるで汚い</t>
        </is>
      </c>
      <c r="G2008" t="inlineStr">
        <is>
          <t>汚い爆弾；汚い奴；汚い水爆；汚いひなぎく</t>
        </is>
      </c>
      <c r="H2008" t="n">
        <v>29</v>
      </c>
      <c r="I2008" t="inlineStr">
        <is>
          <t>また組織の命令とは言いながら自らの手を汚したこともあったであろう。；人にこびへつらっている自分の汚い行動も起源はそこにあると思われた。；僕がやるから、と言っておいて、部屋を汚なくしていくのが大切である。；あまりにも汚くて気持ち悪すぎるから世界と私のために死んでくれない?；額が割れて血が肉に落ちると、肉を汚したと同じところをまたやられる。；不用なものや、汚ならしいものが置いてあると我慢できないらしいのだ。；それでも右手の方には汚い海の沖に遠く松林が延び出てゐるのが見える。；吉ちゃんの方は、顔が汚いし、手も足も力が強くてゴツゴツしています。；彼といると、あの気高さや純粋さを、私の体についた泥が汚してしまう。；一緒に行った姉に訊いても、汚い家だといって教えてはくれなかった。；どんな些細なことでもどんな汚いものゝ上にも少しの相違もありません。；あのままだと確実に、 僕はるいのパンツを汚してしまっていただろう。；高価な衣装を汚したことを許してもらい、友人になることを許可された。；その男は誇張していえば「大阪で一番汚ない男」といえるかも知れない。；こんどからあたしのことを汚ならしい名前で呼んだら、ぶっぱなすわよ。；なおデュマースはファウルをする汚い選手ではなく紳士的な選手だった。；奇麗好きな母が、こんなにハンカチを汚してゐることが彼の胸をついた。；世界に備えられていたルールは、自分自身の汚さを覆ってくれていたのだ。；自分のねぐらを、よく知りもしない男の汗や体液で汚したくはなかった。；それから、顔と服を汚した小鬼めいた男の子が影のように浮かんできた。；二人は部屋を出て、来たとき通った汚ならしい廊下を歩いて行った。；或ひは、働くことによつて曇りも汚がれもしない魂の存在を知つてゐる!；こんなに綺麗に書いた文章の中に汚ない消しがあるのはちょっと変だからね。；やはり、同じような醜汚な生活を他の場処でしているに過ぎなかった。；これ以上連中の罪をならべたてて紙面を汚してみたところで何になろう?；よく見れば、そこから顎にかけてをべたべたと汚しているのは泥ではない。；あの家は汚かったし嫌な匂いがしたから、感染症の心配もしたくなる。；天気のよい日だったので道の雪が解けて、汚ないぬかるみになっていた。；ガンプラでは艦船模型での技術を活かした水汚しなどを得意としている。</t>
        </is>
      </c>
      <c r="J2008">
        <f>HYPERLINK("https://www.weblio.jp/content/汚い", "词义详情")</f>
        <v/>
      </c>
      <c r="K2008">
        <f>HYPERLINK("https://yourei.jp/汚い", "查看例句")</f>
        <v/>
      </c>
    </row>
    <row r="2009">
      <c r="A2009" t="inlineStr">
        <is>
          <t>来る</t>
        </is>
      </c>
      <c r="B2009" t="inlineStr">
        <is>
          <t>成功</t>
        </is>
      </c>
      <c r="C2009" t="inlineStr">
        <is>
          <t>読み方：きたる
［動ラ五（四）］《「きいた（来至）る」の音変化》
１やって来る。くる。「米大統領—・る」「冬—・りなば春遠からじ」
２使いものにならなくなる。古くなっていたむ。古くさくなる。ぼける。
「角琴柱(かくことぢ)はちと—・ったから打ち直させうと思ふよ」〈滑・浮世風呂・二〉
３異性に、ほれこむ。
「年増(としま)のお麦めは自己(おいら)に九分九厘—・ってゐて」〈滑・七偏人・三〉
４（動詞の連用形に付いて）…し続けて現在にまで及ぶ。「行い—・る」</t>
        </is>
      </c>
      <c r="D2009" t="inlineStr">
        <is>
          <t>来る前；来るだろ；来るべき；来る途中；来るだら</t>
        </is>
      </c>
      <c r="E2009" t="inlineStr">
        <is>
          <t>くる；行く；至る；到着；起こる</t>
        </is>
      </c>
      <c r="F2009" t="inlineStr">
        <is>
          <t>帰って来る；戻って来る；入って来る；近づいて来る；つて来る</t>
        </is>
      </c>
      <c r="G2009" t="inlineStr">
        <is>
          <t>来る福招き猫まつり</t>
        </is>
      </c>
      <c r="H2009" t="n">
        <v>29</v>
      </c>
      <c r="I2009" t="inlineStr">
        <is>
          <t>こちらの座席では隣にほかの客が来ることがなく、安心して利用できる。；角の初期位置に玉が来るため、角をうまく移動させることが必要になる。；僕はアメリカに来て野球が楽しいと思えるだけで、成功だと思うんです。；それでも気配を感じたのか、もう一人が次の部屋から出て来ようとした。；それで今もあなたがここに来られたのはあなたがそれと悟られての事だ。；私は彼がまた私達の前に現われて来ようとは少しも信じてはいなかった。；驟雨のまさに来ようとする前のようなシーンとした静かさが感じられた。；まさか鶴田がそんな時間に訪ねて来ようとは予測もしていませんでした。；こういう感じが来ようと知らなかったし格別それを期待していなかった。；その他に運営の責任感から来るものか家の権利書まで持ち出そうとした。；だから男の人は本当に愛することなんか出来っこないとあたしは思うわ。；それに、君は一度も仙台に俺を訪ねて来ようともしなかったじゃないか。；やがてその灰色の幕は森の頭を撫でて、後方から前へと持って来られた。；この最後の情愛をも人々が争いに来ようとは、彼は思ってもいなかった。；日本でも、鎌倉時代に元が攻めて来たとき元軍により使用されたという。；べつに怪我も無い様子だが、よくあの火の中を無事で逃げて来られたね。；以前には近所の子供たちが折原のプレイを見に来るほどだったという。；何でも来いという調子だった、自分にはいつでも用意が出来ていたのだ。；何処までもかかる立場から歴史的に発展し来ったものでなければならない。；今日は、中世の街並みを目的に来る人の、人気のある観光拠点となった。；部屋に戻ると五郎が来ており、シュウが待つ北時計に行くように勧める。；またポストシーズンでは他地域のアナウンサーが応援に来ることもある。；これは国王に承認され、来るべき戦いで決定的な役割を担うこととなる。；みんなのいる前で、あの声がなにをいって来ようとこたえてはいけない。；また他方では、作品搬入の面倒さから来る苦労を避けたくもありますし。；ある日執行吏が家に来て、この月のうちに家を出ていくように勧告した。；おそらくその前にもう胸が苦しくなり、自分の故郷に帰って来ようから。；とうとう女がこれから馬車を誂えに、自分で行って来ようと言い出した。；地球の運動速度は一定でないため、太陽は正午に真南に来るとは限らない。</t>
        </is>
      </c>
      <c r="J2009">
        <f>HYPERLINK("https://www.weblio.jp/content/来る", "词义详情")</f>
        <v/>
      </c>
      <c r="K2009">
        <f>HYPERLINK("https://yourei.jp/来る", "查看例句")</f>
        <v/>
      </c>
    </row>
    <row r="2010">
      <c r="A2010" t="inlineStr">
        <is>
          <t>基地</t>
        </is>
      </c>
      <c r="B2010" t="inlineStr">
        <is>
          <t>成功</t>
        </is>
      </c>
      <c r="C2010" t="inlineStr">
        <is>
          <t>読み方：きち
行動の基点となる場所。特に、軍隊・探検隊・登山隊などの活動の拠点。根拠地。「軍事—」「南極—」</t>
        </is>
      </c>
      <c r="D2010" t="inlineStr">
        <is>
          <t>基地内(2%)；基地航空隊；基地航空部隊；基地周辺；基地施設</t>
        </is>
      </c>
      <c r="E2010" t="inlineStr">
        <is>
          <t>本；元；基本；拠点；ホーム</t>
        </is>
      </c>
      <c r="F2010" t="inlineStr">
        <is>
          <t>前進基地；補給基地；中継基地；陸上基地；前哨基地</t>
        </is>
      </c>
      <c r="G2010" t="inlineStr">
        <is>
          <t>基地司令；基地建設；基地問題；基地村；基地外</t>
        </is>
      </c>
      <c r="H2010" t="n">
        <v>29</v>
      </c>
      <c r="I2010" t="inlineStr">
        <is>
          <t>以下で定期運用終了後も本系列が配置されていた基地ごとに解説を行う。；しかしもしミサイル基地の撤去に同意しなかった場合は意見が分かれた。；今度はフジを気絶させた後、謎の銃を使って基地の機器を破壊していく。；そのため8月22日の時点で詫間基地に残されていたのは3機であった。；兵器の正体を知らされないまま3人は兵器を持つ組織の基地に潜入する。；一時基地へ撤退した車両部隊は再編成を行い、再度救出へと出発する。；この植民地は小さな前進基地以上のものにはならず、成長しなかった。；島の北西部には在日米軍の伊江島補助飛行場があるなど基地の島でもある。；中継基地では燃料と食事が支給され、運転手は休息することができた。；彼らはスウェーデンの南部に位置するゴットランド島を基地とした。；戦争中期頃からは施設の整備の進んだフィリピンの基地を使用するようになった。；この駅は三岐鉄道の基地でもあり、東口を出た先には本社ビルがある。；基地を貫く1本の側線があり、この主線の先に操車場が設置されている。；このような軍政機関が予算編成や基地管理などの行政的な業務を行っている。；月基地の自爆装置も聖書によって繁殖した植物のために動作しなかった。；そのため高蔵寺ニュータウンは、基地を抱えたまま現在に至っている。；そこの氷は崩れそうな状態であり、安全な基地を設営するのは不可能であった。；競技の発祥は米軍基地内で兵など基地関係者が行っていたものと言われている。；ロシアは要請に応じてタジキスタン内のロシア軍基地の使用準備を開始した。；その主力となったものは、オーストラリアやハワイを基地とした潜水艦である。；特に駐屯地や基地周辺の住民に対しては別にツアーを用意していることが多い。；基地自体が厚木付近に所在している設定であり、リアルな描写となっている。；本部基地以外にも、レーダー基地や燃料基地などの地上施設を持つ。；第一特別基地隊司令部では、兵器として採用するか否かの審議が行われた。；観測隊出発まで基地の場所は決まらず、決定は隊長に一任されていた。；また、明治に入ると付近に陸軍基地が置かれ、軍都として発展した。；基地関係については全国約30箇所の飛行場周辺を対象に継続されていった。；その攻撃を回避した海賊たちはマダガスカルへ航海しその地に基地を作った。；基地防衛用やベレーノ・アバッキオ機が登場するが、いずれも撃墜される。</t>
        </is>
      </c>
      <c r="J2010">
        <f>HYPERLINK("https://www.weblio.jp/content/基地", "词义详情")</f>
        <v/>
      </c>
      <c r="K2010">
        <f>HYPERLINK("https://yourei.jp/基地", "查看例句")</f>
        <v/>
      </c>
    </row>
    <row r="2011">
      <c r="A2011" t="inlineStr">
        <is>
          <t>既知</t>
        </is>
      </c>
      <c r="B2011" t="inlineStr">
        <is>
          <t>成功</t>
        </is>
      </c>
      <c r="C2011" t="inlineStr">
        <is>
          <t>読み方：きち
すでに知っていること。すでに知られていること。「—の事実」⇔未知。</t>
        </is>
      </c>
      <c r="D2011" t="inlineStr">
        <is>
          <t>既知の最も；既知空域；既知種；既知最古；既知数</t>
        </is>
      </c>
      <c r="F2011" t="inlineStr">
        <is>
          <t>既知未知；既知の最も古い</t>
        </is>
      </c>
      <c r="G2011" t="inlineStr">
        <is>
          <t>既知関数；既知の海</t>
        </is>
      </c>
      <c r="H2011" t="n">
        <v>29</v>
      </c>
      <c r="I2011" t="inlineStr">
        <is>
          <t>また既知の動物の属と科をまとめてそれらの地理的分布をリストにした。；長年、数多くの既知の現象をうまくモデル化するために採用されている。；既知の血清型のすべてが様々な種類の組織細胞に感染することができる。；c は既知の固定された距離の測定に基づいて決定することができる。；上記のような問題点は対象が既知の微生物の場合には大幅に緩和される。；これはそれまでの既知の最古のベッドよりも大幅に古いものだった。；おおよそ興味ある分布に相当するグラフ構造は既知であると仮定される。；また、既知の種がオルニトプシス属の種として改名されることもあった。；ただし、そのような点がもとの正方形の辺上に存在しないことは既知である。；発見された中には既知の文献もあったが、それまで知られていない文献も多かった。；この惑星は、大きさが知られている既知の周連星惑星で最大の大きさを持つ。；既知の10の銘文には、発見順にaからjまでの名前が付けられている。；このため、研究ではない既知の技術を使った分析や製造を行う施設もそう呼ばれる。；このような特性は既知の他のヒト族には見られないものである。；現実には、コンパイラに指示すれば簡単に関数を既知にすることができる。；一般的には、等級がかなり近い既知の恒星をいくつか観測することとなる。；また、鞭毛を保有するなど、既知の藍色細菌とは全く異なる特徴を持つ。；この事実は既知のもので、かつアプヴェーアもそれに同意していた。；これは、発見当初、既知の惑星の中で最も密度の大きいものの一つであった。；そのため、ある鍵は固定長かつ既知の長さのメッセージにしか用いることはできない。；イオは太陽系の既知の天体の中では最も水の含有量が少ない天体である。；二足歩行する既知の新角竜類としては最大のものだと考えられている。；既知種の系統仮説の一例と、2021年現在の分類体系の一例を下に示す。；これはフィクションではあるが、その内容は既知の事実に忠実なものである。；NIHの所長は、「脳は既知の宇宙で最も複雑な物体」と発言している。；既知のドロマエオサウルス皮膚印象はすべて、このグループのものである。；光の速度は既知で正確に測定する事により距離を算出可能である。；発見された当時、既知の白色矮星の中で最も低光度のものであった。；これらの理由ため、既知の地球生物の各細胞には普遍的にATPが存在する。</t>
        </is>
      </c>
      <c r="J2011">
        <f>HYPERLINK("https://www.weblio.jp/content/既知", "词义详情")</f>
        <v/>
      </c>
      <c r="K2011">
        <f>HYPERLINK("https://yourei.jp/既知", "查看例句")</f>
        <v/>
      </c>
    </row>
    <row r="2012">
      <c r="A2012" t="inlineStr">
        <is>
          <t>きちっと</t>
        </is>
      </c>
      <c r="B2012" t="inlineStr">
        <is>
          <t>成功</t>
        </is>
      </c>
      <c r="C2012" t="inlineStr">
        <is>
          <t>［副］(スル)
１「きちんと1」に同じ。「スーツを—着る」
２「きちんと2」に同じ。「—時間を守る」
３「きちんと3」に同じ。「計算が—合う」</t>
        </is>
      </c>
      <c r="D2012" t="inlineStr">
        <is>
          <t>きちっとネクタイを締め</t>
        </is>
      </c>
      <c r="E2012" t="inlineStr">
        <is>
          <t>ちょうど；正確；ちゃんと；まさに；きちんと</t>
        </is>
      </c>
      <c r="H2012" t="n">
        <v>29</v>
      </c>
      <c r="I2012" t="inlineStr">
        <is>
          <t>脚本に書かれている言葉がきちっと読める人なんだろうなと思いました。；そんなものを作らせるなら、もっときちっとした写真に仕上がりますよ。；男はいい仕事しよう思うたら、家のことをきちっとしてあげる人が必要なんや。；仕方なく、上り端のところに、きちっと坐って、空っとぼけて見ていた。；それに対して、この本できちっと反論しておかなくてはいけないと思った。；夫の家は二代続いての銀行員の家庭、何ごとにもきちっとした生活上の掟がある。；俺に気づいた彼女は、顔をこちらに向けたままきちっとした仕草でお辞儀した。；やってきたオリは、深夜であるにもかかわらず、きちっと正装をしていた。；敵を何人作ろうが自分をきちっと貫き通す姿勢は とてもキレイだと思った。；顎がきちっと足にくっついていて、口をあける余地もないほどでした。；海軍がきちっとまとまっていなくて、その大事業の成ろうはずはないのである。；選択肢が多様だから、システムがきちっとしていないといけない。；まず、根拠のない農業批判に対してきちっと勉強して反撃しないとだめです。；寝衣が胸元できちっと合わされ、今まで病で臥っていた人間とは思えない。；けれど、家の中のことは、手をはぶかずに、きちっとやっていって下さいよ。；侍じゃないからきちっと合わせてはいけないんです。；つらい思いをしただけに、警察側にもう少しきちっとした形で原因を説明してもらいたかった。；奥さんがずぼらななりをして居るのに、いつもその子は、きちっとした風をして居た。；学校の制服らしいものをきちっと身につけている。；当該国の当局への報告もきちっと行なって、その上でMOFに報告してます。；女性刑事は三人ともきちっと制服を着ている。；社長はその点をきちっと見ていたようだが、恐れ入ったよな。；そして竹箒の先を跳ね上げぬようにきちっととめながら、ごみを集める。；軍人としてのきちっとした言葉使いをちゃんとさせようと。；最初から計算した通りにきちっとつくらはって、それがものの見事に完成している。；きちっと室内は整理してあるし、「こんなもの作ったよ」と料理を出されることがある。；こんな景色の中には不釣り合いな、きちっとした格好の男だった。；まだ当分は今の十二球団体制で、きちっと技術を磨いてほしいね。；樹を切り倒しても、植林計画がきちっとしていれば良いのである。</t>
        </is>
      </c>
      <c r="J2012">
        <f>HYPERLINK("https://www.weblio.jp/content/きちっと", "词义详情")</f>
        <v/>
      </c>
      <c r="K2012">
        <f>HYPERLINK("https://yourei.jp/きちっと", "查看例句")</f>
        <v/>
      </c>
    </row>
    <row r="2013">
      <c r="A2013" t="inlineStr">
        <is>
          <t>貴重</t>
        </is>
      </c>
      <c r="B2013" t="inlineStr">
        <is>
          <t>成功</t>
        </is>
      </c>
      <c r="C2013" t="inlineStr">
        <is>
          <t>読み方：きちょう
［名］(スル)とうとびおもんじること。非常に大切にすること。
「主人の尤(もっと)も—する命が」〈漱石・吾輩は猫である〉
［形動］［文］［ナリ］非常に大切なさま。得がたいものであるさま。「—な時間を割く」「—な体験」</t>
        </is>
      </c>
      <c r="D2013" t="inlineStr">
        <is>
          <t>貴重なもの(7%)；貴重品(7%)；貴重な資料(5%)；貴重な時間(2%)；貴重な存在(2%)</t>
        </is>
      </c>
      <c r="E2013" t="inlineStr">
        <is>
          <t>大事；有用；かわいい；めぼしい；目ぼしい</t>
        </is>
      </c>
      <c r="F2013" t="inlineStr">
        <is>
          <t>貴重書；大変貴重；貴重な文化財；貴重な体験；貴重な戦力</t>
        </is>
      </c>
      <c r="H2013" t="n">
        <v>29</v>
      </c>
      <c r="I2013" t="inlineStr">
        <is>
          <t>他に見られないテーマを扱ったものもあり貴重な内容のものが含まれる。；このような環境下では牛は貴重な財産であり、神聖視されることもある。；また、当時使われていた中世ポルトガル語の貴重な資料ともされている。；これらの中で最も貴重なのはスウェーデン北西部の鉄鉱石の鉱床である。；これらはバンドの長年に渡る継続的な活動で獲得された貴重な財産といえる。；二・二六事件の当日の状況、様子を鮮明に伝えた貴重な資料となっている。；その後、貴重な水生植物を保護するために、保護活動が行なわれている。；金は最も柔らかく貴重な金属であり、ジュエリーには非常に重要である。；大戦中のドイツを民間人の立場から観察した著作は貴重な記録である。；現在では、史上最も高価で貴重なコミックブックのひとつとなっている。；ただし、近年は市場への供給が減っており、貴重な木材となりつつある。；王室や教会を除いては、床を覆うことができないほど貴重なものとされた。；同時にこの頃には貴重な資源であったグアノの鉱山も荒廃してしまった。；田川伊田方面ホームにある駅舎は、開業時からのもので貴重な存在である。；実資の残した日記『小右記』はこの時代を知る貴重な資料となっている。；またこの年はハナム以外にももう一人との貴重な出会いがあった。；アメリカ合衆国では1940年代まで鶏肉は牛肉よりも貴重品であった。；製造量は年に数百キロにすぎず、六大茶類の中でももっとも貴重品。；これらは、当時の社会や文化を伝える資料としても貴重な価値をもっている。；どちらもオリジナルから複写されたもので数枚しか現存しない貴重なものだった。；元和4年の建築で、第二次世界大戦にも焼け残った貴重な建造物である。；ともに、中世・近世の京都寺院の状況を知る上では貴重な史料である。；現在は一般公開されており、当時の貴重な文物を見ることが出来る。；これが金文と呼ばれるもので、この時代の貴重な資料となっている。；断片では、プロクロスが書いた詳細なあらすじが最も貴重なものである。；特にこの頃の比較的早い時期に生産されるものが質のよいものとされ、貴重だという。；当初は輸入でしかもたらされない貴重品であり医薬品として扱われていた。；そしてあまり破砕されていない為、より貴重なアンモライトとされている。；圧送空気を用いた杭打機を使用して建設技術者として貴重な経験を得る。</t>
        </is>
      </c>
      <c r="J2013">
        <f>HYPERLINK("https://www.weblio.jp/content/貴重", "词义详情")</f>
        <v/>
      </c>
      <c r="K2013">
        <f>HYPERLINK("https://yourei.jp/貴重", "查看例句")</f>
        <v/>
      </c>
    </row>
    <row r="2014">
      <c r="A2014" t="inlineStr">
        <is>
          <t>議長</t>
        </is>
      </c>
      <c r="B2014" t="inlineStr">
        <is>
          <t>成功</t>
        </is>
      </c>
      <c r="C2014" t="inlineStr">
        <is>
          <t>読み方：ぎちょう
１会議の席で、議事を進行させ採決を行う人。また、機関としての会議を代表し、その活動の中心となる人。「—をつとめる」「共闘会議—」
２国会両議院や地方公共団体の議会で、議員中から選挙され、議事整理、議場の秩序維持、事務監督に当たり、議会を代表する人。</t>
        </is>
      </c>
      <c r="D2014" t="inlineStr">
        <is>
          <t>議長国；議長席；議長職；議長選挙；議長代理</t>
        </is>
      </c>
      <c r="E2014" t="inlineStr">
        <is>
          <t>会長；大統領；主宰；総裁；院長</t>
        </is>
      </c>
      <c r="F2014" t="inlineStr">
        <is>
          <t>会議長；同議長；会議議長；初代議長；貴族院議長</t>
        </is>
      </c>
      <c r="G2014" t="inlineStr">
        <is>
          <t>議長決裁権</t>
        </is>
      </c>
      <c r="H2014" t="n">
        <v>29</v>
      </c>
      <c r="I2014" t="inlineStr">
        <is>
          <t>大統領が欠員した場合は、首相と下院議長が共同で大統領職を代行する。；ヴェイユは前身である共同総会の設置以来初となる女性議長であった。；これは家達の30年にわたる議長としての態度を回顧したものでもある。；この総会では空席となっていた議長を選出するということで注目を集めた。；しかし議長国の一存次第なので彼らは必ず呼ばれるとは限らない。；議長の身の危険がなくなってからも、慣例として当時の様子が演じられる。；どの質問希望者を指名するかは議長がその場で即座に判断する。；ただし議長・副議長の職を離れた後は出身党派に復帰することが通例。；欧州議会、あるいはその前身の組織の議長には多くの著名な人物が就いてきた。；また、弁護士のグエン・フー・トが中央委員会幹部会議長に選出された。；レーニンは病床にあったが、新設されたソ連の行政府の議長に任命された。；アヌンナキの会議には必ず出席し、議長や判事のような役割を務める。；他の州とは異なり、議長以外の参事会員も市議会での多数決で選出される。；議員の席に相対する側は段差がつけられ、その上には議長や議会職員の席がある。；議長は会長が兼務するが、会長に事故のある場合は副会長が議長を務める。；この成果に自信を持ったボースは翌年の国民会議派議長に立候補した。；大統領が欠員した場合はジョゴルク・ケネシ議長が大統領代行を務める。；ただし議長が公正な討論が続いていると判断した場合は却下される。；どの国家を招待するかについては、基本的にはそのときの議長国の判断による。；クエールは宇宙開発及び産業政策を指揮し、国家宇宙会議議長に就いた。；総選挙の際には議長の選挙区には対立党は候補を出さないなどの配慮がなされる。；これ以降、貴族院議長は貴族院議員からの互選で選出されることになった。；議長・副議長・理事は大統領が上院の助言と同意に基づいて任命する。；国連の支持を受けている統一政府の首相は議長のである。；議長は大統領や首相などが担当する場合が多い。；彼は移住委員会及び公共建築・土地委員会の議長であった。；議長や委員会委員長も議員全体の中から選ばれるので、どの党からも選ばれる可能性がある。；とは、GLCの最後の議長でもあったケン・リヴィングストンが勝利した。；例えば、テキサス州の副知事は特に権限が強く、州上院の議長を務める。</t>
        </is>
      </c>
      <c r="J2014">
        <f>HYPERLINK("https://www.weblio.jp/content/議長", "词义详情")</f>
        <v/>
      </c>
      <c r="K2014">
        <f>HYPERLINK("https://yourei.jp/議長", "查看例句")</f>
        <v/>
      </c>
    </row>
    <row r="2015">
      <c r="A2015" t="inlineStr">
        <is>
          <t>几帳面</t>
        </is>
      </c>
      <c r="B2015" t="inlineStr">
        <is>
          <t>成功</t>
        </is>
      </c>
      <c r="C2015" t="inlineStr">
        <is>
          <t>読み方：きちょうめん
［名］角柱の角につけた面の一。角そのものは残すように、両側に段をつけたもの。もと几帳の柱によく用いられたところからいう。
［形動］［文］［ナリ］細かいところまで、物事をきちんと行うさま。決まりや約束にかなうように正確に処理するさま。「—な性格」「時間を—に守る」</t>
        </is>
      </c>
      <c r="D2015" t="inlineStr">
        <is>
          <t>几帳面な性格(9%)；几帳面な男(3%)；几帳面な字；几帳面な文字；几帳面すぎる</t>
        </is>
      </c>
      <c r="E2015" t="inlineStr">
        <is>
          <t>真面目；誠実；大真面目；大まじめ；まじめ</t>
        </is>
      </c>
      <c r="H2015" t="n">
        <v>29</v>
      </c>
      <c r="I2015" t="inlineStr">
        <is>
          <t>小さい几帳面な男子が必ずしも妻を愛し、婦人を尊敬するものではない。；何だよ、と帽子の位置を几帳面に決めながら、もっちゃんは返事をした。；彼は時間通り几帳面に、そして服装もきちんと整えて教室に入って来た。；ある程度の慎重さと几帳面さがあれば、問題なくこなせる種類の仕事だ。；そのように几帳面であったので、時々微笑させられるようなことがあった。；何事にも、几帳面だったことは、孔明の一性格であったように思われる。；グロウは几帳面に日記を付けていたほか、妻への手紙も欠かさなかった。；宝石商は極めて几帳面な人物で、約束の時間に遅れたことのない男だった。；仕事の上で彼ぐらいに几帳面で勤勉な人はあんまり見たことがない。；まな板に置いてあったトマトを几帳面なまでの正確さで切り分けていく。；懐かしささえ感じる几帳面な文字に、必要最低限のことだけ記してある。；几帳面な性格ですから、いままではちゃんと消していたと思います。；穏やかで几帳面で、なんでもきちんとしているところを尊敬していた。；彼女の英語は、学校で教わったとおりの、几帳面な表現と発音であった。；彼はいったい几帳面なたちで、前からちゃんと予定を作っておく方だった。；彼女のこのような几帳面さは自分のためではないかと彼は思い上がりかけていた。；几帳面な性格に見えたのだが、それは自分に興味あるものに限定されているようだ。；予定された通りに几帳面さ、状況に応じる柔軟さの折り合いがつかない。；紙片はホテルのメモ用紙で、そこに霞らしい几帳面な字で記されている。；周囲の人のことをいつも気に掛け、家事が好きで几帳面な人だった。；正確を旨とする几帳面な学者の記憶でも、記憶はこれほどに不慥なものである。；母は几帳面にこういうものまでちゃんと取っておく女だった。；彼女は教会へも行き、無関心な几帳面さで宗教上の務めを行なった。；そして夜、彼は性来の几帳面さで、ノートにその日のできごとを綴った。；セーターやシャツが几帳面に、店頭に並ぶかのように折り畳まれている。；そこには几帳面な字で少年にかけられた無数の呪いが全て書き記されてあった。；几帳面な子なら、今もその手紙を持っていてくれることだろう。；性格は几帳面で責任感が強かったといい、それがもとで亡くなったという。；彼はこの仕事を彼独得の几帳面な不器用さを発揮してやつてのけたのでした。</t>
        </is>
      </c>
      <c r="J2015">
        <f>HYPERLINK("https://www.weblio.jp/content/几帳面", "词义详情")</f>
        <v/>
      </c>
      <c r="K2015">
        <f>HYPERLINK("https://yourei.jp/几帳面", "查看例句")</f>
        <v/>
      </c>
    </row>
    <row r="2016">
      <c r="A2016" t="inlineStr">
        <is>
          <t>きちんと</t>
        </is>
      </c>
      <c r="B2016" t="inlineStr">
        <is>
          <t>成功</t>
        </is>
      </c>
      <c r="C2016" t="inlineStr">
        <is>
          <t>［副］(スル)
１よく整っていて、乱れたところのないさま。「洋服を—着る」「部屋が—している」
２正確な、また規則正しいさま。「集会時間に—集まる」「家賃を—払う」
３すきまや過不足のないさま。ぴったり。「帳尻が—合う」</t>
        </is>
      </c>
      <c r="D2016" t="inlineStr">
        <is>
          <t>きちんと並べ；きちんと揃え；きちんとたたん；きちんと整え；きちんと片づい</t>
        </is>
      </c>
      <c r="E2016" t="inlineStr">
        <is>
          <t>ちょうど；正確；ちゃんと；まさに；正確に</t>
        </is>
      </c>
      <c r="F2016" t="inlineStr">
        <is>
          <t>きちんきちんと；髪をきちんと；きちんと片付い；ネクタイをきちんと；毎日きちんと</t>
        </is>
      </c>
      <c r="H2016" t="n">
        <v>29</v>
      </c>
      <c r="I2016" t="inlineStr">
        <is>
          <t>きちんと対応できるようになったのは後半になってからだったという。；きちんとその仕事が出来る体制があれば独立行政法人でいいと思います。；きちんとした静かな生活が、安定して続くのを彼女はなによりも望んだ。；もっときちんとした論説として出すのがよかったんじゃないかとは思う。；その後は一族を抱え困窮したが、道義に基づく行為はきちんと行なった。；向ってきちんと椅子が置いてあるが、役人らしいのは影も見えねえ。；起承転結があって、僕にはきちんと構成がまとまっているように見える。；歩兵部隊には、数千ほどの兵士がおり、きちんと整列されていなかった。；本当に必要な装置だけが利用され、機関車にきちんとすえつけられていた。；五十を過ぎた立派な人がきちんとした衣冠姿で手に梅の一枝を持って言った。；これは表示される成分がきちんと含まれているかを保証しているとのことである。；その証拠に河上はその老人が元力士らしき体格もきちんと記録していた。；壁に続いてテーブルの上には私の新しい洋服がきちんと畳んで置いてあった。；作者自身は人間の身体の動きをきちんと描いたことが評価されたのではないかと語っている。；仮乗降場ではあったが、きちんとしたホームや駅名標まで設置されていた。；最後にしめて自分の役割をきちんと演じたのではないか。；ノンフィクション作家を名乗るのであれば、きちんと本人に取材すべき。；前者は割り当て番号をきちんと明記しておくなどで対策を取ることが出来る。；しかし当時はそれはきちんと理論化されておらず、科学的にも認められていなかった。；この作品は単行本にはきちんとペン入れされた状態で収録されている。；きちんとした制服を持っていたのはごく僅かであった。；ベッドから見ても、きちんと四時に合わせてあったことがわかった。；日本や日本語のことを、きちんと知っておきたいと思いまして。；こちらも職員にきちんとした給与を支払っていかなくてはならない。；きちんとした声を保つ為に毎日フィジカルトレーニングを行っている。；上の説明では typeをきちんと定義したことにはならない。；コミック版では職業名で呼ばれていた台詞がきちんとした名前に修正されている。；捜査される側の主張もきちんと報道されることが多い。；きちんとした店で修業していないのだから無理もありません。</t>
        </is>
      </c>
      <c r="J2016">
        <f>HYPERLINK("https://www.weblio.jp/content/きちんと", "词义详情")</f>
        <v/>
      </c>
      <c r="K2016">
        <f>HYPERLINK("https://yourei.jp/きちんと", "查看例句")</f>
        <v/>
      </c>
    </row>
    <row r="2017">
      <c r="A2017" t="inlineStr">
        <is>
          <t>きつい</t>
        </is>
      </c>
      <c r="B2017" t="inlineStr">
        <is>
          <t>成功</t>
        </is>
      </c>
      <c r="C2017" t="inlineStr">
        <is>
          <t>［形］［文］きつ・し［ク］
１物事の程度がはなはだしい。「—・い勾配(こうばい)」「日ざしが—・い」
２鼻や舌などへの刺激が強い。「—・いにおい」「—・い酒」
３力の入れ方・加わり方が強い。「洗濯物を—・く絞る」「目を—・く閉じる」
４ゆとりがなく、窮屈である。「帯が—・い」「去年の服が—・くなった」
５規律・要求などが厳しい。「—・いおきて」「—・く戒める」
６ある事柄をこなしたり、それに耐えたりするのが容易でない。「仕事が—・い」「からだが—・い」
７気性が激しい。気が強い。「—・いところのある子」「目つきが—・い」
[派生]きつがる［動ラ五］きつさ［名］</t>
        </is>
      </c>
      <c r="D2017" t="inlineStr">
        <is>
          <t>きつい口調(2%)；きつい言葉(2%)；きつい顔(2%)；きつい目(2%)；きつい仕事</t>
        </is>
      </c>
      <c r="E2017" t="inlineStr">
        <is>
          <t>強い；大きい；困難；大変；激しい</t>
        </is>
      </c>
      <c r="F2017" t="inlineStr">
        <is>
          <t>ちょっときつい；きつい匂い；少しきつい；きつい表情；きついカーブ</t>
        </is>
      </c>
      <c r="H2017" t="n">
        <v>29</v>
      </c>
      <c r="I2017" t="inlineStr">
        <is>
          <t>しかし彼女がふと母親の方を見た時、母親はきつい目をして彼女を見た。；時間に仕えながら仕事をするのは相当にきついことだろうと思われる。；こんなわかりきつた誤解をしたりそれに答えたりするのは吾々の恥辱だ。；見た目ではよくわからないと思いますが、きつと泣いているのでしょう。；家が古くなりすぎて、風のきつい夜なんかはおちおち眠っていられない。；お葉はいまあまりに緊張きつた一脚の足の肉にふれて驚ろいたのである。；これだけの量の資料、読んで理解するだけでも三日ではきついだろう。；有賀の喉から今まで聞いたことのない音が漏れ、私はきつく目を閉じた。；巨大な尻に当てた手がさらにきつく尻を締め付けたのをハリーは見た。；きつとその中には竜宮の精気みたいなものがこもつてゐるのでせうから。；夢のなかで綺麗な足だと思つて見たのは、きつと妻の足を見て居たのだ。；きつとそれだけで一つの面白い結果が徐々に生れて来るだらうと思ふのですね。；お前おらなんだら誰がちゃんこ鍋作るんじゃいときつうとめられました。；店に入って、きついやつを一杯注文すると、たちまち運ばれてきました。；帰りがけに、しばらくの間、誰も通してはならぬと言うきつい御命令で。；きつとあなたは私のことを信仰の無い奴だと思つてゐるだらうね。；格別きつかったわけでもないが、偕行社の勤めを終えたためだと思った。；きつとあの子は偉い人になつて帰つて来るから安心して待つてゐるがよい。；でもそのお話も終わりましたので、王さまはきつい顔をして言いました。；念のために、分りきつたことを説明する愚かさを我慢していたゞきたい。；鏡の中には、きつい眼をした初老の女がひとり、こちらを見返していた。；自分でも意外にきつい、はっきりとした、詰問する口調で彼女は言った。；軍隊だって大変だが、しかし拓ちゃんの仕事ほど、体にはきつくないぜ。；近くの村などで紙鳶の試合があつたりすると、きつと見に行くのであつた。；も一度ルネの憂鬱な顔が見たいのだけれど、きつと来て下さるでせうね。；おれの身体をたくさんの手がきつくつかんでゆり動かしているらしい。；また従輪もきつい曲線に対応することができず、撤去する必要があった。；お邸に出入りの商人衆もお役人にきついおしらべを受けることになるという。；その一部の構造は、こんにち使用されるものより極端で、きつく作用した。</t>
        </is>
      </c>
      <c r="J2017">
        <f>HYPERLINK("https://www.weblio.jp/content/きつい", "词义详情")</f>
        <v/>
      </c>
      <c r="K2017">
        <f>HYPERLINK("https://yourei.jp/きつい", "查看例句")</f>
        <v/>
      </c>
    </row>
    <row r="2018">
      <c r="A2018" t="inlineStr">
        <is>
          <t>喫煙</t>
        </is>
      </c>
      <c r="B2018" t="inlineStr">
        <is>
          <t>成功</t>
        </is>
      </c>
      <c r="C2018" t="inlineStr">
        <is>
          <t>読み方：きつえん
［名］(スル)タバコを吸うこと。「構内で—してはならない」「—室」</t>
        </is>
      </c>
      <c r="D2018" t="inlineStr">
        <is>
          <t>喫煙室(2%)；喫煙者(2%)；喫煙ルーム；喫煙禁止；喫煙スペース</t>
        </is>
      </c>
      <c r="E2018" t="inlineStr">
        <is>
          <t>吸う；一服；喫する；喫う；スモーキング</t>
        </is>
      </c>
      <c r="F2018" t="inlineStr">
        <is>
          <t>喫煙習慣；喫煙防止；喫煙所；非喫煙；阿片喫煙</t>
        </is>
      </c>
      <c r="G2018" t="inlineStr">
        <is>
          <t>喫煙室；喫煙所；喫煙具；喫煙コーナー；喫煙席</t>
        </is>
      </c>
      <c r="H2018" t="n">
        <v>29</v>
      </c>
      <c r="I2018" t="inlineStr">
        <is>
          <t>その過渡期にあって、バーでの喫煙は一定の条件の下で許可されている。；加えて2007年から店内喫煙禁止令が大きく客の減少に影響している。；協会に加盟していない少数の会社は、任意で喫煙出来るタクシーもあった。；大学では専用の喫煙スペースの設置も見られ、学生の利用もみられる。；しかしながら喫煙をしなかった場合の死亡理由については示されていない。；ストッセルは一度も喫煙したことがないにもかかわらず肺癌を発症した。；灰皿とは、主にタバコを喫煙する際に出た灰を入れるためのものである。；同研究チームの発表によると、従来の喫煙者と非喫煙者を調査・比較した。；女性の循環器系の健康に関わる喫煙の影響はより性の違いを示し始めている。；フランス - フランスではエヴァン法に基づき喫煙が規制されている。；喫煙の場合は中枢神経系に集中的に吸収されてしかも速効性であった。；欧州では19世紀ごろまでは、労働者等の大衆の喫煙方法とされていた。；しかし社会の喫煙に対する姿勢もあって完全な防止には至っていない。；この区間外では喫煙が可能であったため座席横の灰皿は残された。；禁煙に指定されている場所での喫煙は30万円以下の罰金に処せられる。；手術後は禁酒とともに禁煙を行ったが、その後再び喫煙を再開している。；ただし、禁煙席でも近くに喫煙スペースが設けられている場合がある。；反対に千代田区では開始当初は灰皿を設置せず、喫煙を禁止していた。；喫煙は2005年5月以来全てのバーとレストランで禁止されている。；公園内には喫煙場所が設けられており、そのほかの場所では禁煙となっている。；アルコールと煙草は禁止されていたが、ビリーは隠れて喫煙を続けた。；多くの女性は心臓の健康に関わる喫煙の影響が如実に後の生涯にはっきりわかる。；原因は飲酒・喫煙などで、急性扁桃炎からそのまま移行することもある。；女性が外で喫煙してはいけないという法律があるわけではない。；全席喫煙可能で、携帯電話の使用やカメラの撮影が禁止されている。；これは、それまで無視されていた喫煙の危険性を世間に認識させた最初の例である。；喫煙した親の服に着いた煙が影響を与える場合もある。；近年の喫煙率増加の以前に、女性は一般に男性と比較して喫煙の影響を経験した。；当時女性は指定された場所での喫煙のみ許可されており、違反者は逮捕されていた。</t>
        </is>
      </c>
      <c r="J2018">
        <f>HYPERLINK("https://www.weblio.jp/content/喫煙", "词义详情")</f>
        <v/>
      </c>
      <c r="K2018">
        <f>HYPERLINK("https://yourei.jp/喫煙", "查看例句")</f>
        <v/>
      </c>
    </row>
    <row r="2019">
      <c r="A2019" t="inlineStr">
        <is>
          <t>喫煙席</t>
        </is>
      </c>
      <c r="B2019" t="inlineStr">
        <is>
          <t>成功</t>
        </is>
      </c>
      <c r="H2019" t="n">
        <v>29</v>
      </c>
      <c r="I2019" t="inlineStr">
        <is>
          <t>さっき入ってきた三十過ぎの男は、奥の喫煙席に座った。；こうしてファミレスに集まる時は、喫煙席で皆がいっせいに火をつける。；彼女は大騒ぎする子供達をちらりと見てから、足早に喫煙席に向かった。；本来は三階が喫煙席になっているのだが、今日は閉鎖されて一般客は上れなくなっている。；喫煙席を設置したのは日本のみであった。；先頭車は側面の客用扉をはさんで普通席30席と喫煙席10席に分かれていて、トイレも設置されていた。；前述した生前最後のインタビューは肺癌の治療中に病院から一時帰宅して受けたものだったが、その際も喫茶店の喫煙席を指定していたことが記事中に記されている。；入口に近い喫煙席に陣取り、ウェイトレスにコーヒーを注文した。；京都市内の店舗はすべて喫煙席があり、分煙方式となっている。；が、だからこそ兄は三階の喫煙席を選んだはずだ。；レジカウンターで買ったコーヒーを持ってフロアに進むと、喫煙席に犬マンが立ち上がって手を上げた。；もはや、禁煙が原則であり「喫煙席」は特別に煙がお好きな向きのためにセットしてある、という感が強いのだ。；男は奥の喫煙席に座った。；喫煙席側の車体中央寄りにはサービスカウンターがあり、営業運転中には専任の乗務員が配置された。；全店が完全禁煙制のスターバックスと異なり、喫煙席を備える店舗がある。；一階は窓際のカウンター席だけ、階段を上がれば二階は禁煙席で三階が喫煙席。；振り向くと、かなめたちから離れた喫煙席で、大柄な男たちがこちらを見てにやにやしていた。；禁煙席と喫煙席に分かれていることが多い。；両側の先頭車には喫煙席も禁煙席も備え付けられていた。；喫煙可能な店舗の形態はガラスの壁で分煙する店舗、フロアによって喫煙席と禁煙席を分けている店舗など様々であった。；しかし分煙化が出来ない航空機は非喫煙乗客からの苦情が絶えず、1980年頃から喫煙席は徐々に減少していった。；ですから喫煙席の方がゆとりを持って射界が取れるんです。；旅客機内の全面禁煙が当然となりつつある中、喫煙席のみを設置し、喫煙者への便宜を図ることを目的としていた。；数日後、映画館前の喫煙席に一人座る紗枝子。；三階の喫煙席のすみっこから放たれている盗聴器の電波は、この場所からでも鮮明に受信できた。；小規模な喫茶店のなかには喫煙者に合わせたサービスを提供するものもある一方、スターバックスのような大規模チェーンは、企業方針として喫煙席を置いていない。；バッグを提げて中に入り、店員に先導されてフロアの奥の喫煙席に向かっていたら、後ろから呼び止められた。；分煙の一定程度の導入には理解を示すものの、バーなど喫煙を楽しむとされる場所については文化の一つとして許容すべきであるし、居酒屋なども喫煙席と禁煙席を設けてしかるべきとしている。；また、旧型座席にはかつて喫煙席を設定していた名残から肘掛けに灰皿を装備していたが、1999年に機内が禁煙となったため、新型座席には灰皿が設置されていない。</t>
        </is>
      </c>
      <c r="J2019">
        <f>HYPERLINK("https://www.weblio.jp/content/喫煙席", "词义详情")</f>
        <v/>
      </c>
      <c r="K2019">
        <f>HYPERLINK("https://yourei.jp/喫煙席", "查看例句")</f>
        <v/>
      </c>
    </row>
    <row r="2020">
      <c r="A2020" t="inlineStr">
        <is>
          <t>気遣う</t>
        </is>
      </c>
      <c r="B2020" t="inlineStr">
        <is>
          <t>成功</t>
        </is>
      </c>
      <c r="C2020" t="inlineStr">
        <is>
          <t>読み方：きづかう
［動ワ五（ハ四）］あれこれと気にかけて心配する。案じる。「安否を—・う」</t>
        </is>
      </c>
      <c r="D2020" t="inlineStr">
        <is>
          <t>思いやる；忖度する；斟酌する；勘ぐる；思い遣る</t>
        </is>
      </c>
      <c r="H2020" t="n">
        <v>29</v>
      </c>
      <c r="I2020" t="inlineStr">
        <is>
          <t>家に帰っていた頃は寝ている冴子を気遣って静かに帰るようにしていた。；どうして気遣ってくれる仲間への感謝の気持ちが出てこなかったんだよ!!；対米交渉に期待するが、一方では最悪の事態を気遣っているようだった。；母親の容態を気遣ったおきみは、それ以上の話をさせずに枕元を離れた。；あの時、誰よりも倒れた長門を気遣う行動に出ていたのはハルヒだった。；気遣う素振りをされたからといって、簡単に心を許すわけにはいかない。；その時、彼は看護婦でも急に部屋の扉を開けて入って来るのを気遣った。；毎日どちらかがどちらかの安否を気遣って不安にくれるなんて大変だから。；彼女は、いつも日本に残してきた娘の事を誰よりも気遣ってくれた。；こんなところで、先輩に気遣ってもらう資格なんて、まったくないのに。；オカンが病気であることも気遣ってそうしてくれようとしているのだろう。；先程の昂奮が過ぎたのか、と私は気遣うが、黙って眠ってしまっている。；こんな風に気遣ってくれる男などこの家には、誰一人としていなかったからだ。；家臣が病となった際、孫権が最も気遣ったのは呂蒙・凌統だったという。；昨日死にかけたのは彼女も同じなのに、自分よりも他人を気遣ってくれる。；崩月夕乃は、ただの弟子に過ぎない自分を、とても気遣ってくれるのだ。；性格は極めて温和で常に人を気遣うほどであったと伝えられている。；そんな自分の身体を気遣って、留守宅に何度も足を運んできてくれたという。；細かいことによく気がついたり、人をよく気遣ったりするのもこのためだ。；実際のところ、こうして自分を気遣っていてくれるだけでも、珍しいのだ。；それにしても、両親があれほど安否を気遣ってくるとは思っていなかった。；この登山家はそんな状態でありながらなお年下の娘の安全を気遣っている。；私のことを気遣う余裕があるのでしたら、ご自分の体調を気にしてください。；私はそれを見ると、諸戸道雄の身の上を気遣わないではいられなかった。；あろえの手にも相当の力がかかっているはずだが、今は気遣うヒマがない。；そしてシルヴィンが自分を気遣うはずなどないのだと、ディーノは思う。；あたしは、あんたなんかに気遣ってもらうほど、落ちぶれちゃいないわ!；自分で決めたことなのに、わたしのことまで気遣ってくれていた。；あれは由紀子に手を掛けさせまいと気遣っているからではないか。</t>
        </is>
      </c>
      <c r="J2020">
        <f>HYPERLINK("https://www.weblio.jp/content/気遣う", "词义详情")</f>
        <v/>
      </c>
      <c r="K2020">
        <f>HYPERLINK("https://yourei.jp/気遣う", "查看例句")</f>
        <v/>
      </c>
    </row>
    <row r="2021">
      <c r="A2021" t="inlineStr">
        <is>
          <t>きっかけ</t>
        </is>
      </c>
      <c r="B2021" t="inlineStr">
        <is>
          <t>成功</t>
        </is>
      </c>
      <c r="C2021" t="inlineStr">
        <is>
          <t>読み方：きっかけ
１物事を始める手がかり。糸口。また、原因や動機。「事態打開の—をつかむ」「ふとした—で知り合う」
２歌舞伎などの舞台で、俳優の出入り、音楽・照明の変化などの進行上の合図となる動作やせりふ。「下座(げざ)に—を渡す」
３符号。しるし。
「けいこ本の所々へ〇(まるいもの)や△(うろこ)や、色々な—をして」〈滑・浮世床・初〉
４気勢。心意気。
「男の—を外すまじきとて」〈甲陽軍鑑・一六〉</t>
        </is>
      </c>
      <c r="D2021" t="inlineStr">
        <is>
          <t>きっかけ作り；きっかけに親しく；きっかけづくり；きっかけに劇団四季；きっかけに仲良く</t>
        </is>
      </c>
      <c r="E2021" t="inlineStr">
        <is>
          <t>本；元；機；原因；縁</t>
        </is>
      </c>
      <c r="F2021" t="inlineStr">
        <is>
          <t>ちょっとしたきっかけ；どんなきっかけ；どういうきっかけ；興味を持つきっかけ；普及するきっかけ</t>
        </is>
      </c>
      <c r="H2021" t="n">
        <v>29</v>
      </c>
      <c r="I2021" t="inlineStr">
        <is>
          <t>彼はこの事件がきっかけで、彼女の心の中がわかるようになってしまった。；そのことが声の仕事をするきっかけになり、28歳で声優デビューする。；これがきっかけでシーズンを棒に振り、同年のスタメン出場は無かった。；これをきっかけにしてと呼ばれる中国独自のジャンルが誕生した。；隠れ家ではお祝いをするきっかけを見つけては頻繁にお祝いをしていた。；この小説をきっかけとして、大きな脚本の依頼が入ってくることになった。；これをきっかけに当番組はワイドショーの手法が積極的に持ち込まれた。；同誌の大ヒットをきっかけに漫画の出版を柱とするようになった。；これがのちの相対性理論を生み出すきっかけになったといわれている。；この件がきっかけとなり、後に年次改革要望書が作成される事になる。；中国伝統楽器を始めたきっかけはメンバーのほとんどが友達や周囲の影響だと答えている。；明への使者が殺害されたのをきっかけに文禄・慶長の役を起こした。；漫画とアニメとの違いを肌で感じ、この経験をきっかけにアニメ制作に興味を持つ。；これは現在、何千も存在する2国間航空協定を制定するきっかけとなった。；それが、彼の読者の多くにこれらの分野に関心を持たせるきっかけともなった。；この小説をきっかけに家康への再評価が始まっている。；フロドはこれをきっかけに仲間とは別に行動することを選んだ。；手話通訳の制度が誕生するきっかけとなり、やがて全国に波及していった。；しかしこの行動はハンガリーなどで領土回復運動が高まるきっかけとなった。；これをきっかけに義材と富子との関係は悪化してゆくことになる。；現在も歌手を目指すきっかけとなったYUKIを尊敬している。；浩太は過去に奉公人との悲恋がありそれが今の運動をするきっかけだという。；こういった議論は、コペルニクスが新たな体系を志向するきっかけになる。；このような測定が行われたきっかけは将軍徳川吉宗の蘭書解禁の政策。；瀬田駅設置へ向かうきっかけになったのは、東海道新幹線の建設であった。；途中出場ながら2得点を挙げ、この試合をきっかけに代表に定着した。；これがきっかけで、漫画の仕事の依頼が来るようになった。；この博物館が世界に知られることになったきっかけになった極めて珍しいサンプルがある。；これはアストリッド・リンドグレーンからの依頼がきっかけだった。</t>
        </is>
      </c>
      <c r="J2021">
        <f>HYPERLINK("https://www.weblio.jp/content/きっかけ", "词义详情")</f>
        <v/>
      </c>
      <c r="K2021">
        <f>HYPERLINK("https://yourei.jp/きっかけ", "查看例句")</f>
        <v/>
      </c>
    </row>
    <row r="2022">
      <c r="A2022" t="inlineStr">
        <is>
          <t>きっかり</t>
        </is>
      </c>
      <c r="B2022" t="inlineStr">
        <is>
          <t>成功</t>
        </is>
      </c>
      <c r="C2022" t="inlineStr">
        <is>
          <t>［副］
１時間・数量などが正確で過不足のないさま。かっきり。ちょうど。「—約束の時間に来る」「五キロ—の荷物」
２きわだって、はっきりしているさま。くっきり。
「—と日蔭を限って解け残った霜が白く見えて居た」〈長塚・土〉</t>
        </is>
      </c>
      <c r="D2022" t="inlineStr">
        <is>
          <t>きっかり五分；きっかり一分；きっかり一時間後；きっかり七時；きっかり八時</t>
        </is>
      </c>
      <c r="E2022" t="inlineStr">
        <is>
          <t>はっきり；ちょうど；正確；ちゃんと；まさに</t>
        </is>
      </c>
      <c r="F2022" t="inlineStr">
        <is>
          <t>時間きっかり；時半きっかり；分きっかり；正午きっかり；定刻きっかり</t>
        </is>
      </c>
      <c r="H2022" t="n">
        <v>29</v>
      </c>
      <c r="I2022" t="inlineStr">
        <is>
          <t>きっかり十分後に電話をかけたところ、さきほどとは違う声の女性が出た。；彼は言われた通り正午きっかりに相手のオフィスへ着くつもりであった。；きっかり五分が経過したと思ったとき、サイドテーブルの電話が鳴った。；そして私が予想していたとおり、八時きっかりに内田さんがやってきた。；このときほど父の愛情をきっかりと自分の心にうけとめたことはない。；二号と三号がドームに帰りかけたときに、きっかり五分が過ぎていた。；またきっかり一ポンド取るように、それより多くても少くてもいけない。；指定された午後一時きっかり、三島は異様ないでたちで現場に現われた。；天王寺駅の改札口で待っていると、二人とも七時きっかりにやってきた。；わたしたちはどんなに離れていてもきっかり同じ周期で生きてきたのだ。；気にくわないヤツではあるけど、きっかりと筋の通ったヤツなんだから。；十時三十分きっかりに、いや、さらに五分か十分遅れた方がよかったのかな?；マンネアがいったように、その旅にはきっかり二日かかったのだった。；十時きっかりに、ポワロは秘書のミス・レモンの部屋にはいっていった。；彼女は必ず、明日の朝十一時三十分きっかりに戻ってくるだろう。；あの交番の時計がきっかり七時になったら、一二一二って歩いてくるのよ。；五時きっかりにいつもの喫茶店へ行くと、滝川先生が先に来て待っていた。；遠い日の出来事だが、こまかい部分まできっかりと記憶に残っている。；あんたは初めっから恋愛と結婚がきっかり続いてるもんだと考えるのが厭なんだろ。；八時二十五分きっかりにあたしがもう一度海野のところに電話をかけるわ。；その空から、山々はきっかりとカミソリで切り取られたかのようだった。；もともと電話なんて、そうきっかりと秘密が守られているものではあるまい。；わしも半年にきっかり一度だけ会うことにしてるんだが。；部屋に入って来たときにも尋ねられたが、さっきは、きっかりとは答えなかった。；五時を五分きっかり過ぎたところで、今日も最初の客が来た。；きっかり八時半に母がわたしのところへコーヒーをもってきてくれることになっていた。；そして上着をつかむと一人、外へ出て行き、きっかり三時間後に戻った。；「きっかり九時二十五分すぎだったそうです」と警部は重々しくいった。；九時きっかりには、あの家へ行っていなければならないのだ。</t>
        </is>
      </c>
      <c r="J2022">
        <f>HYPERLINK("https://www.weblio.jp/content/きっかり", "词义详情")</f>
        <v/>
      </c>
      <c r="K2022">
        <f>HYPERLINK("https://yourei.jp/きっかり", "查看例句")</f>
        <v/>
      </c>
    </row>
    <row r="2023">
      <c r="A2023" t="inlineStr">
        <is>
          <t>気づく</t>
        </is>
      </c>
      <c r="B2023" t="inlineStr">
        <is>
          <t>成功</t>
        </is>
      </c>
      <c r="C2023" t="inlineStr">
        <is>
          <t>読み方：きづく
［動カ五（四）］
１それまで気にとめていなかったところに注意が向いて、物事の存在や状態を知る。気がつく。「誤りに—・く」「忘れ物に—・く」
２意識を取り戻す。正気に戻る。気がつく。「—・いたらベッドの上だった」</t>
        </is>
      </c>
      <c r="D2023" t="inlineStr">
        <is>
          <t>気づくだろ(2%)；気づくべき；気づくまい；気づくかもしれ；気づくことなく</t>
        </is>
      </c>
      <c r="E2023" t="inlineStr">
        <is>
          <t>発見；理解；わかる；知る；認識</t>
        </is>
      </c>
      <c r="F2023" t="inlineStr">
        <is>
          <t>すぐに気づく；怖じ気づく；ようやく気づく；はっと気づく；早く気づく</t>
        </is>
      </c>
      <c r="H2023" t="n">
        <v>29</v>
      </c>
      <c r="I2023" t="inlineStr">
        <is>
          <t>こいつはぼくの心のなかの自分でも気づかない意志を口にしているのか。；別に秘密に計画したわけではなく、世間の人が気づかなかつたのである。；雑誌のインタビューで指摘されるまで真島本人は気づかなかったという。；誰も列車の異常に気づかなかったが、リネンの袋の温度は上昇していた。；又尾行者も相手に気づかれる心配なく、相当接近して走ることが出来た。；停車した車内で彼女は我慢を続けるが、ついに先輩に気づかれてしまう。；弟と一緒に住んでいたが、弟は別の部屋にいて気づかなかったという。；これは重要な話の内容を部屋にいる誰かに気づかれるなという意味である。；ところが僕はそこに気づかないで、博士の部屋を調べてみようと決心した。；あたしたちにも気づかないように水を持って行ってやるようだから。；そしてだれにも気づかれぬうちに死骸をうまくかくしてしまいましょう。；地元民たちはあなたが無知だったから気づかなかったと主張するだろう。；彼はこの墓場が近頃みていた狼男たちの夢の舞台であることに気づいた。；彼女の声の才能は、教会の合唱団で歌い始めたときに最初に気づかれた。；しかし、ケインは両親の不和とその末の事件なのだと既に気づいていた。；さらに彼らは目や鼻を焼くような刺激臭のある霧が漂うことに気づいた。；半分近くの被災者が実際に水が浸入してきてから高潮の発生に気づいた。；中には、モラルに反して相手に気づかせないまま撮影をすることがある。；フランチェスコに自分でも気づかないほどの大きな変化が起きていた。；しかし、撤退兵たちはこの大きな支援に関してほとんど気づかなかった。；彼は首を振り、ひとりごと言ってるなんて気づきもしなかったと答えた。；自分のなかの気づかない悪意が形になって噴出したように感じられたのだ。；というより放棄したいと思った記憶など気づけば綺麗に消し飛んでいた。；気づけばひととおり、男にはいい思いをせずにきたことを話していた。；洋子は真が自分の写真屋にしばしば来店する客であると気づいて驚いた。；犯人が二人のどちらかに気づけば、近くに刑事も来ていると考えるだろう。；エジプトの医者は脈拍の存在、および脈拍と心臓の関係に気づいていた。；ゼロックスはPARCで開発された技術の価値に気づくのが遅れていた。；人や動物に当てた場合、当たった人は未来へ来たことに気づかない。</t>
        </is>
      </c>
      <c r="J2023">
        <f>HYPERLINK("https://www.weblio.jp/content/気づく", "词义详情")</f>
        <v/>
      </c>
      <c r="K2023">
        <f>HYPERLINK("https://yourei.jp/気づく", "查看例句")</f>
        <v/>
      </c>
    </row>
    <row r="2024">
      <c r="A2024" t="inlineStr">
        <is>
          <t>喫茶店</t>
        </is>
      </c>
      <c r="B2024" t="inlineStr">
        <is>
          <t>成功</t>
        </is>
      </c>
      <c r="C2024" t="inlineStr">
        <is>
          <t>読み方：きっさてん
コーヒー・紅茶などの飲み物や、軽食を出す飲食店。カフェ。</t>
        </is>
      </c>
      <c r="D2024" t="inlineStr">
        <is>
          <t>喫茶店経営；喫茶店兼；喫茶店エイヴォン；喫茶店ベルボー；喫茶店巡り</t>
        </is>
      </c>
      <c r="E2024" t="inlineStr">
        <is>
          <t>食堂；カフェ；茶店；カフェー；カフェテリア</t>
        </is>
      </c>
      <c r="F2024" t="inlineStr">
        <is>
          <t>経営する喫茶店；小さい喫茶店；一緒に喫茶店；当喫茶店；静かな喫茶店</t>
        </is>
      </c>
      <c r="H2024" t="n">
        <v>29</v>
      </c>
      <c r="I2024" t="inlineStr">
        <is>
          <t>喫茶店で手にとった写真雑誌の最初のページに双子の写真が載っていた。；彼女は近くの喫茶店で待っている友人・小林ひろと会ってほしいという。；食事類を提供する喫茶店を営業する場合は飲食店営業の許可が必要である。；映画館の周囲には喫茶店が軒を並べており、映画館は人々の交流の場だった。；喫茶店に出入りしていた共通の友達が、三上を松村の家に連れてきた。；大学卒業後の1962年実験劇団に田舎の喫茶店のマダム役で出演した。；喫茶店が他との差別化により飲食以外のサービスを提供した事が始まり。；何かしらの縁を感じた2人は喫茶店ブルージェイで話をすることにした。；喫茶店などのテーブル上には、星座占いの機械が置かれていることがある。；喫茶店でのアルバイト中にスカウトされて地元でモデルの仕事を開始する。；作者は実際にこの喫茶店に出入りし、その体験からこの作品を生み出した。；その他、喫茶店、居酒屋なども経営していたが、いずれも撤退している。；鹿児島市が発祥の地で、市内の多くの喫茶店や飲食店で提供されている。；ちなみにキャラクターや舞台となる喫茶店にはモデルが存在する。；過去に戻ることができると噂の喫茶店を舞台に、4つの奇跡の物語を描く。；こうした輸入豆はその需要のほとんどが喫茶店であったとみられる。；この低リプレイタイム中が喫茶店を舞台にした通常の状態にあたる。；喫茶店が登録有形文化財に登録されたのは同店が日本で初めてである。；毎回とある喫茶店を舞台に馬にまつわるすてきなストーリーを紹介する。；個人経営の喫茶店などでは、私服にエプロンをつけただけの場合が多い。；駅前の土産物屋は無くなり喫茶店が数軒と酒屋があるのみとなっている。；祖父母が経営していたはずの喫茶店は、今は美羽が店内を仕切っている。；もうひとつの夢であった喫茶店を経営するため調理師免許を取得。；野草館には市民が利用できる企画展示室や図書室、喫茶店などがある。；近年は廃業した喫茶店に住み着いた多くの猫が有名になりつつある区間でもある。；喫茶店やカフェでは、コクを出すためにエバミルクを用いることもある。；スタジオセットはその名の通り、喫茶店の店内をイメージしたものになっていた。；だが、犯人が指定した新橋の喫茶店を出た後で津波もまた力尽きてしまう。；喫茶店で話し相手に顔を向けたり、授業中に隣の席の女の子を見つめたりできる。</t>
        </is>
      </c>
      <c r="J2024">
        <f>HYPERLINK("https://www.weblio.jp/content/喫茶店", "词义详情")</f>
        <v/>
      </c>
      <c r="K2024">
        <f>HYPERLINK("https://yourei.jp/喫茶店", "查看例句")</f>
        <v/>
      </c>
    </row>
    <row r="2025">
      <c r="A2025" t="inlineStr">
        <is>
          <t>ぎっしり</t>
        </is>
      </c>
      <c r="B2025" t="inlineStr">
        <is>
          <t>成功</t>
        </is>
      </c>
      <c r="C2025" t="inlineStr">
        <is>
          <t>［副］すきまなく詰まっているさま。ぎっちり。「箱に—（と）詰める」「予定が—だ」</t>
        </is>
      </c>
      <c r="D2025" t="inlineStr">
        <is>
          <t>ぎっしり並ん(3%)；ぎっしりと並ん(2%)；ぎっしりと埋め；ぎっしり埋め；ぎっしりと並べ</t>
        </is>
      </c>
      <c r="E2025" t="inlineStr">
        <is>
          <t>ぴったり；密接；ぴたり；ぴたりと；ぎりぎり</t>
        </is>
      </c>
      <c r="F2025" t="inlineStr">
        <is>
          <t>天井までぎっしり；ないほどぎっしり；ぎっしり並べ；ぎっしりと書き；ぎっしり生え</t>
        </is>
      </c>
      <c r="H2025" t="n">
        <v>29</v>
      </c>
      <c r="I2025" t="inlineStr">
        <is>
          <t>人でぎっしりのその部屋のなかに、わたしは一人の味方も持っていなかった。；狭い道は両側にぎっしり並んだ家の間を切り通しのように山に向かっていた。；その時間が、この肉体の中にぎっしり詰まっていたことがあったのだ。；あなたも知ってのとおり、銀の皿やら黄金やらがぎっしりつまっている。；彼らはなおもぎっしりとわたしを取り囲み、その人数は数百にも達した。；縦に並べ終った丸太の上には更に小枝を縦横にぎっしりかぶせていった。；そして車のうしろにのせてあったカンバスの中に、ぎっしりつめこんだ。；箱のなかには、忍家に伝わる古文書や巻き物がぎっしり収められていた。；厖大な幾層かの建築の中に何万という蒐集品がぎっしりとつまっている。；ちなみに部屋の反対側にある棚は、ゲームソフトとDVDがぎっしりだ。；わたしと入口との間の約七メートルの所に、男女がぎっしりと詰まっている。；舟着場は花見客が乗って来た舟がぎっしり並んでいて、割り込む隙がない。；塀はないので病院のまわりにぎっしり茂った木が廊下から直接見える。；旅行鞄ほどの大きさのケースの中身は、ぎっしりと詰まった部品だった。；平たい台のようなものの上に、複雑な形の影がぎっしりとひしめいている。；広い通りの両側には女や子供たちがぎっしりと人垣を作っていた。；様々な太さの筆が機能的に並び、瓶や缶がぎっしりと詰め込まれている。；その壁には床から天井までぎっしりと棚が並んでいて、色々な物が置かれていた。；中の紙は大きくはなかったけれども、細かい文字がぎっしりと書いてあった。；いまとおなじように、大小さまざまな蝋燭が、ぎっしりと立ててあった。；このときの圧縮された恐怖の時間には矛盾がぎっしり詰まっていた。；私が持つこのカバンの中には、ぎっしりとキャッシュが詰まっています。；羊皮紙の表面には、なにやら不鮮明な文字がぎっしり書きこんであった。；峠の家には数十領の甲冑が鎧櫃におさめて、ぎっしりと積まれてあった。；頭上の枝葉はぎっしりと密生んでいて、葉洩日もほとんど落ちて来ない。；端から端まで同じような形の家がぎっしりと詰まっているのだ。；ぎっしりと並んだ鳥居のせいで石段はトンネルのようになっていて薄暗い。；宿屋の持ち主は、草をぎっしり集めて屋根を作るお金しかないようでした。；中を見てみると、白い用紙にぎっしり並んだ文字もワープロ文だった。</t>
        </is>
      </c>
      <c r="J2025">
        <f>HYPERLINK("https://www.weblio.jp/content/ぎっしり", "词义详情")</f>
        <v/>
      </c>
      <c r="K2025">
        <f>HYPERLINK("https://yourei.jp/ぎっしり", "查看例句")</f>
        <v/>
      </c>
    </row>
    <row r="2026">
      <c r="A2026" t="inlineStr">
        <is>
          <t>きっちり</t>
        </is>
      </c>
      <c r="B2026" t="inlineStr">
        <is>
          <t>成功</t>
        </is>
      </c>
      <c r="C2026" t="inlineStr">
        <is>
          <t>［副］(スル)
１すきまやずれがないさま。ぴったり。「ふたを—（と）閉める」「答えが—（と）合う」
２時間や数量に端数がないさま。きっかり。「—三時に着く」「一万円—」
３物事を確実に行うさま。「毎日—（と）予習をする」
４よく整っていて乱れのないさま。
「—と真面目(まじめ)くさって」〈谷崎・卍〉</t>
        </is>
      </c>
      <c r="D2026" t="inlineStr">
        <is>
          <t>きっちり分け；きっちりと閉め；きっちり閉め；きっちりとまとめ；きっちりと分け</t>
        </is>
      </c>
      <c r="E2026" t="inlineStr">
        <is>
          <t>ちょうど；正確；ちゃんと；まさに；きちんと</t>
        </is>
      </c>
      <c r="F2026" t="inlineStr">
        <is>
          <t>時間きっちり；ボタンをきっちり；スーツをきっちり；いつもきっちり；きっちりやる</t>
        </is>
      </c>
      <c r="H2026" t="n">
        <v>29</v>
      </c>
      <c r="I2026" t="inlineStr">
        <is>
          <t>どんなに密着しあっていてもきっちりと白と茶に色分けされているのだ。；口にはきっちりコルク栓がしてあり、首の周囲に小さな穴があいている。；胸も尻も少年のように平坦で、髪も爪もきっちりと切り揃えられていた。；文系とは言ってもAクラス内の平均点あたりをきっちりマークしている。；彼等は皆きっちり時間通り来たわ、だけど死は遅れてやって来るのね。；中心点からは、円をきっちり九分割するように九本の線が引かれている。；あの薄い毛に覆われた場所は、きっちりと新品の腰巻きに包まれていた。；でも、そんなきっちりと「行きましょう」と決めたわけでもないような。；無関心なふりをしてきっちり戸惑っている、いつもの彼女の顔が見たい。；だが彼は彼なりにきっちりと自分の中で割り切りを付けたのだろう。；三田を尊敬している学生の多いこの組は、きっちり時間に席についた。；筏がうまく平均をとるように、注意しながらきっちり積む必要があった。；膝の上または下につけるガーターはきっちりとしていなければならなかった。；私が特定の場所を取材してきっちり書いてはいないからでーす。；おそらく自分一人の手で、きっちり真相を明らかにしたかったのでしょう。；もうちょっと学問的というか、きっちりした言葉で言えば次のようになります。；いつもと違ってきっちりとまとめた髪型が、少し大人っぽく見せていた。；あの人は昔から、プライベートなところをきっちりさせていたからね。；母の電話さえなければ、あと二時間はきっちり身体を休められたのに。；この処理のおかけでユーザーは欲しい色の数をきっちり決めることができる。；なぜなら、弾の軌道は、「予測線」がきっちり教えてくれるではないか。；誰にも負けない技術を持つ職人のように、地歩をきっちりと固めている。；これを以って、行列式の概念がきっちりと確立されたと見なされている。；きっちりしてる筈なんですが、この状態で把握するのは無理だと思いますね。；たったの一日ではあるが、その一日分だけ、きっちりと秋が深まっている。；門扉は左右からきっちり閉じられ、内部をうかがい知ることはできない。；郷子は新聞の陰で舌打ちし、早知子の正面を向いてきっちり頭を下げた。；「まだきっちり正午にはなっておりません」それはまさしく合っていた。；ただのひとつも家具のない座敷は、きっちりとした長方形を描いている。</t>
        </is>
      </c>
      <c r="J2026">
        <f>HYPERLINK("https://www.weblio.jp/content/きっちり", "词义详情")</f>
        <v/>
      </c>
      <c r="K2026">
        <f>HYPERLINK("https://yourei.jp/きっちり", "查看例句")</f>
        <v/>
      </c>
    </row>
    <row r="2027">
      <c r="A2027" t="inlineStr">
        <is>
          <t>切手</t>
        </is>
      </c>
      <c r="B2027" t="inlineStr">
        <is>
          <t>成功</t>
        </is>
      </c>
      <c r="C2027" t="inlineStr">
        <is>
          <t>読み方：きって
《切符手形の意》
１「郵便切手」の略。
２「商品切手」の略。
３金銭受取の証明として発行する券。手形・切符・証書の類。
４昔、関所の通過や乗船などに必要とされた通行証。通り切手。</t>
        </is>
      </c>
      <c r="D2027" t="inlineStr">
        <is>
          <t>切手代；切手発行；切手商；切手蒐集家；切手コレクション</t>
        </is>
      </c>
      <c r="E2027" t="inlineStr">
        <is>
          <t>切って；裂いて；切り裂いて；引き裂いて；千切り</t>
        </is>
      </c>
      <c r="F2027" t="inlineStr">
        <is>
          <t>コーヒー切手；発行される切手；中国切手；御切手；新切手</t>
        </is>
      </c>
      <c r="G2027" t="inlineStr">
        <is>
          <t>切手収集；切手シート；切手展；切手趣味週間；切手カタログ</t>
        </is>
      </c>
      <c r="H2027" t="n">
        <v>29</v>
      </c>
      <c r="I2027" t="inlineStr">
        <is>
          <t>同様に、切手を購入するための従来の機械も多くの郵便局で利用できる。；日本の芸能人が海外の切手に登場したのは三波が初めてのことだった。；現在では最も多く発行されている切手の種類のひとつとなっている。；日本の芸能人が海外の切手に登場したのはこれが初めてのことだった。；この世界を毒で意味なくよごすことに先頭をきって反対した人たちなのだ。；有人宇宙飛行を描いた切手が発行されるのはこれが初めてのことであった。；その時に切手を所持していない場合は、改めて石銭を取ると規定された。；疲れきってぼんやりした、悪い表情をしてい、僕は胸をしめつけられた。；日本で現在、新切手の発行に際して使用される消印には次のものがある。；これとは別に東芝によって色検知方式の試験用に作成された切手がある。；その様子には清まで笑い出したが然し彼女は内心ひどく慴えきっていた。；他の切手の中には、数百ドルもの評価を与えられているものがある。；日本で発行されている切手には元号および西暦で発行年が記載されている。；判を押したのは、一般人が持っていた在庫の切手と区別するためである。；疲れきって家にたどりついたのは、もう明け方近くになってからだった。；まだ絶望しきってはおらず、わたしの感情は怒りと復讐に燃えていた。；もっとも僕は、同君は何も知らないと、すでによく信じきってはいます!；そのため切手のサイズに合わせて、最初からカットされている製品もある。；元々は下谷御切手町に位置していたが、1737年に現在地に移転した。；正刷切手は現地で印刷されたものもあれば、内地で印刷されたものもある。；馬屋をやってから、正面きってこんなことをいわれたのははじめてだった。；彼は当代きっての放蕩児と知られ、美人を見れば求め、また求められた。；その切手の上部には本楽曲のフレーズの一部が日本語で綴られている。；こうして現代のもっとも人気ある共同著作の幕がきっておとされたのである。；なぜかいまふたりはきってもきれない関係にあるように思えた。；だから、息子と正面きって相対することが出来ないでいるのかもしれない。；おれは帝国きっての拳術家の一人で、あらゆる技に通じた師匠についていた。；ただし切手による支払いは後に廃止され、代金引換のみへ一本化された。；中国の南部に位置する楚の国は当時中国きっての金の生産量を誇っていた。</t>
        </is>
      </c>
      <c r="J2027">
        <f>HYPERLINK("https://www.weblio.jp/content/切手", "词义详情")</f>
        <v/>
      </c>
      <c r="K2027">
        <f>HYPERLINK("https://yourei.jp/切手", "查看例句")</f>
        <v/>
      </c>
    </row>
    <row r="2028">
      <c r="A2028" t="inlineStr">
        <is>
          <t>きっと</t>
        </is>
      </c>
      <c r="B2028" t="inlineStr">
        <is>
          <t>成功</t>
        </is>
      </c>
      <c r="C2028" t="inlineStr">
        <is>
          <t>読み方：きっと
１模型・機械などの組み立て材料一式。
２ある目的のための道具一式。「パンク修理—」</t>
        </is>
      </c>
      <c r="D2028" t="inlineStr">
        <is>
          <t>きっとこんな；きっとうまく；きっとそういう；きっと死ん；きっと結ん</t>
        </is>
      </c>
      <c r="E2028" t="inlineStr">
        <is>
          <t>必ず；確かに；激しく；明確；正しく</t>
        </is>
      </c>
      <c r="F2028" t="inlineStr">
        <is>
          <t>たらきっと；唇をきっと；きっと仲良くなれる；きっとくちびるをかみしめ；きっと圭一くん</t>
        </is>
      </c>
      <c r="G2028" t="inlineStr">
        <is>
          <t>きっとどこかで；きっと大丈夫；きっと忘れない；きっと明日は；きっとしあわせ</t>
        </is>
      </c>
      <c r="H2028" t="n">
        <v>29</v>
      </c>
      <c r="I2028" t="inlineStr">
        <is>
          <t>きみなら、きっとうまくやるだろうと思ったが、しかし心配していたよ。；二人の友達もきっとあのレーヨン錦紗の幾反かを見せられたに相違ない。；そのときは、きっと今に実がなるぞ、と思って、楽しみにしたものです。；僕はきっと僕があんまりキャフェを飲むんで笑っているんだろうと思った。；あの時の御言葉の裏にはきっとこういう意味を含んでいたに相違ない。；このあなをほらせた人の子どもか孫が、きっとまだ権利を持っているよ。；この淑女の姿を彼が見てくれたら、きっときれいだと言ってくださるわ!；僕はもう一時間としないうちにきっと火がここまで来ると思った。；頭のいい馬だからきっと、自分で体を絞りにかかっていたんじゃないかな。；きっと彼等の親達が彼に教えて、そうしてまた彼の子供に伝えるのだろう。；若い士官の間では「明日はきっと艦長が一悶着起こすぞ」と噂していた。；あたしたちが死んだ弟を連れていけば、あの子は、きっと泣き出しますよ。；病気の西洋人は、きっと今までそこで寝ていたのにちがいありません。；きっと二階の方に、事件のあとを探しに行ったのに違いありません。；きっとこれは彼自身に喜びがあって、彼の仇の家に殃いごとがあるのだ。；誰かに殺されてやったかしらへんけれど、きっと私が敵を取ったげるしい。；飛行機に乗ったら、きっと妙な気持ちになるだろうな、と彼は思った。；そして、いつものとおりに、きっと、勝ってしまうにちがいないのです。；父が生きていれば、きっと活動していただろうと思うとやり切れなかった。；きっとこのおばあさんにも、以前は子や孫があったのかも知れません。；彼女はきっと始めから、例の植物の用途の説明の所から聞いていたに相違ない。；きっと彼らは避難できるシェルターがそう遠くないことを信じていたのだ。；揚州へ行けばきっとそういう婦人がいるという話をきいたのであった。；そんな時にも裕太は彼らを励ましきっと助けがくると希望を捨てない。；悪い事をすればきっとそれだけの罪をうけねばならんのです。；この姿勢で努力を続けることが、きっと結果につながっていくと信じています。；きっと、それを読み込んで、李監督は岡村さんを起用したんでしょうね。；きっとそれは死ぬまで見続けなければならない夢だったのだ。；きっと宇宙人が本物のお父さんを殺して入れ替わったんじゃないだろうか。</t>
        </is>
      </c>
      <c r="J2028">
        <f>HYPERLINK("https://www.weblio.jp/content/きっと", "词义详情")</f>
        <v/>
      </c>
      <c r="K2028">
        <f>HYPERLINK("https://yourei.jp/きっと", "查看例句")</f>
        <v/>
      </c>
    </row>
    <row r="2029">
      <c r="A2029" t="inlineStr">
        <is>
          <t>きっぱり</t>
        </is>
      </c>
      <c r="B2029" t="inlineStr">
        <is>
          <t>成功</t>
        </is>
      </c>
      <c r="C2029" t="inlineStr">
        <is>
          <t>［副］(スル)態度をはっきりと決めるさま。「—（と）あきらめる」「—（と）した態度」</t>
        </is>
      </c>
      <c r="D2029" t="inlineStr">
        <is>
          <t>きっぱりと答え(2%)；きっぱりと言い；きっぱりと言う；きっぱりと否定；きっぱりと首</t>
        </is>
      </c>
      <c r="E2029" t="inlineStr">
        <is>
          <t>断固；断然；頑として；敢然</t>
        </is>
      </c>
      <c r="F2029" t="inlineStr">
        <is>
          <t>きっぱりとうなずい；きっぱり断る；きっぱりと別れ；やがてきっぱり；きっぱりはねつけ</t>
        </is>
      </c>
      <c r="H2029" t="n">
        <v>29</v>
      </c>
      <c r="I2029" t="inlineStr">
        <is>
          <t>それから急に男は女のほうへ目を上げ、素気ないほどきっぱりと言った。；「彼はこんなものには慣れていないはずよ」 彼女はきっぱりといった。；「政治は自分らの関与すべきことではない」 大尉はきっぱりと言った。；また、その話はきっと誰かがきっぱりと批判するであろうとも思っていた。；その声が突然きっぱりした口調になったのでアーサーはびっくりした。；彼女は肩にまわされていた夫の腕をきっぱりとどけると、立ち上がった。；かれはこんな催しに出席したくなかったが、父にきっぱりといわれたのだ。；僕はそれを本気にしているから、君にきっぱりと僕の意見を言ってみましょう。；しかし、私はなにをいってきてもきっぱりことわろうと決心していた。；「知るもんですか」と彼女は同じぐらいきっぱりした口調で否定した。；彼女のためだったら、これまでの生活ときっぱり縁を切ろうと考えた。；「もう一ついっておきたいことがある」 ブレナンがきっぱりといった。；あなたは妙にきっぱりとした物の言いかたをなさいますわね。；わたしも以前は迷っていましたが、今度こそはきっぱりと決心がつきました。；アブダラはまた頭を下げましたが、さっきよりもっときっぱり言いました。；ナゼこんなに、きっぱりと言い得るだろうかということが不思議でした。；が、その青ざめた顔には、一種きっぱりした決心の色が現われていた。；そして、いよいよ明日行こうときめた前の日、私は父にきっぱりと言った。；老婆はわれに返り、客のきっぱりした調子に元気づけられた様子だった。；あそこまできっぱりと拒絶されたのに全然気にしていないなんて。；こんなきっぱりしたことを云うとは考えていなかったのだ。；だれの目にも、マチルドのきっぱりした性格が大きな難関だったのである。；声こそ十分には出なかったが、私はきっぱりとささやいたのだった。；あのとききっぱりと、これは魔法のコインではないと言われたのだ。；母があれはおぬいではありませんときっぱり人々にいっていた。；だが、口調はきっぱりとしていて、翻意させるのは無理だとだれもが感じた。；ホルスの心の声は老いて疲れていたが、きっぱりしていて響きが豊かだった。；足がきっぱりと、回れ右をしたかと思うと、信夫はもう駆け出していた。；これでポルトガルの商船と平戸港との関係はきっぱりと絶えたのである。</t>
        </is>
      </c>
      <c r="J2029">
        <f>HYPERLINK("https://www.weblio.jp/content/きっぱり", "词义详情")</f>
        <v/>
      </c>
      <c r="K2029">
        <f>HYPERLINK("https://yourei.jp/きっぱり", "查看例句")</f>
        <v/>
      </c>
    </row>
    <row r="2030">
      <c r="A2030" t="inlineStr">
        <is>
          <t>切符</t>
        </is>
      </c>
      <c r="B2030" t="inlineStr">
        <is>
          <t>成功</t>
        </is>
      </c>
      <c r="C2030" t="inlineStr">
        <is>
          <t>読み方：きっぷ
１金銭支払い済みの証拠となる紙片。乗車券・入場券・観覧券など。「電車の—」
２品物の引き換え、配給などのしるしに使う券。「交通違反の—を切られる」「衣料—」
３出場できる資格や権利。「甲子園への—を手にする」</t>
        </is>
      </c>
      <c r="D2030" t="inlineStr">
        <is>
          <t>切符売場(4%)；切符制；切符切り；切符販売；切符売り</t>
        </is>
      </c>
      <c r="E2030" t="inlineStr">
        <is>
          <t>券；チケット；乗車券；指定券；引換券</t>
        </is>
      </c>
      <c r="F2030" t="inlineStr">
        <is>
          <t>割引切符；等切符；配給切符；衣料切符；連絡切符</t>
        </is>
      </c>
      <c r="H2030" t="n">
        <v>29</v>
      </c>
      <c r="I2030" t="inlineStr">
        <is>
          <t>私の脚本が上演された時、私はその切符を彼女のお母さんにもあげました。；廃止前の切符や写真などが福知山鉄道館ポッポランドに展示されている。；この予選で男子は3チームが世界選手権の切符を手にすることができる。；運転手が下りてきて、懐中電灯で切符を調べてから、扉をあけてくれた。；駅夫は、それが何のためかわからずに、受け取つた切符を見つめてゐる。；ほとんど夜に来て、往復切符を購入し、いつも夜会服を着ていたという。；それまでは簡易委託駅であり、駅舎の中の出札口で切符を販売していた。；殺された男から、殺人現場となった電車の切符と手紙が送られてきたという。；そしてその翌日、うちから、三等の切符代とすれすれぐらいの金が来た。；その人の後援会があって、僕は先輩から切符を三枚押しつけられました。；ふたりは切符を買って、回転が終わるのを待ち、一つの箱に乗りこんだ。；また国際列車の切符購入時に身分証明書の提示を求められることもない。；それのみならず、私は当時その切符を臨検の警官の一人に見せたのである。；駅舎のホーム側にはこの切符の宣伝文が書かれたパネルが掲示されていた。；別所線・西丸子線の切符も販売し改札も独自のものを使うようになった。；公園名が記載された看板が切符の形をしており、駅があったことを伝えていた。；ポオル叔父さんは室の入口の番をしてゐる男に此の切符を見せました。；まあ半分は、高い価を出した大事の切符を使えば気が済むのでもあった。；そして汽車の切符を渡して行けと云ふので、渠は素直にその通りにした。；そして二等の切符でもかまわないからなぜ一等に乗らなかったのだろう。；いくら切符を同じ値で買っても早い奴とずぶとい奴が席を奪っている。；当駅には、まだ印刷機で列車の切符を印刷している事務所さえあった。；列車の切符を持っていない乗客はホームに入ることはできない。；ドラえもんの持っていた切符も廃止記念で購入した最終便の物だった。；簡易委託駅時代は出札業務のみを受託した人が切符の販売を行っていた。；駅は田んぼの中にあったが、配置された駅員が駅舎で切符を販売した。；また、温泉客のために主要駅から当駅までの往復割引切符が販売されていた。；通年発売はしているが、4月1日からの1年単位で切符を更新している。；それを肩にかけると非常に御機嫌で、切符パンチを嬉しそうに使用する。</t>
        </is>
      </c>
      <c r="J2030">
        <f>HYPERLINK("https://www.weblio.jp/content/切符", "词义详情")</f>
        <v/>
      </c>
      <c r="K2030">
        <f>HYPERLINK("https://yourei.jp/切符", "查看例句")</f>
        <v/>
      </c>
    </row>
    <row r="2031">
      <c r="A2031" t="inlineStr">
        <is>
          <t>規定</t>
        </is>
      </c>
      <c r="B2031" t="inlineStr">
        <is>
          <t>成功</t>
        </is>
      </c>
      <c r="C2031" t="inlineStr">
        <is>
          <t>読み方：きてい
［名］(スル)
１物事を一定の形に定めること。また、その定めた内容。きまり。規程。「—の書式」「概念を—する」
２法令の条文として定めること。また、法令の個々の条文。「第一条に—するところに従う」
３化学で、溶液の濃度の単位。1規定は溶液1リットル中に溶質1グラム当量を含むときの濃度で、1モル毎立方メートル。記号N
４「規定種目」の略。</t>
        </is>
      </c>
      <c r="D2031" t="inlineStr">
        <is>
          <t>規定する(7%)；規定される(3%)；規定通り；規定値；規定どおり</t>
        </is>
      </c>
      <c r="E2031" t="inlineStr">
        <is>
          <t>影響；決定；法；形成；指定</t>
        </is>
      </c>
      <c r="F2031" t="inlineStr">
        <is>
          <t>新規定；諸規定；明確な規定；車両規定；改正規定</t>
        </is>
      </c>
      <c r="G2031" t="inlineStr">
        <is>
          <t>規定投球回；規定違反；規定度；規定投球回数；規定打数</t>
        </is>
      </c>
      <c r="H2031" t="n">
        <v>29</v>
      </c>
      <c r="I2031" t="inlineStr">
        <is>
          <t>歴史は短いながら車両規定の変遷が激しく、廃止と復活も経験している。；この法では両親とその居住する教育学区の任務と責任を規定している。；これは中国の唐令の規定をそのまま日本に導入したものと考えられる。；しかし、原料のひとつである酵母をどの様に表示するのかの規定は無い。；技術用語以外の規定では、長音をつけることを原則としている規則もある。；これらの問題を避けるために、改変する際には次のような規定がある。；ファイルフォーマットはこれらデータの配置の仕方・形式を規定する。；厳密な規定が存在しないため、各地に多数のローカルルールが存在する。；捜査行為はすべて法律の規定の範囲内で行わなければならない。；また、法令で規定されている場面以外では鳴らしてはならないとされている。；ほかに1785年の「人種の概念の規定」など様々な論文を書いている。；下記の一覧は1928年に行われた称号規定変更後の形式をまとめたものである。；現在のオランダの選挙法は、上院は州ごとに選出されると規定されている。；以下の説明の規定については国際卓球連盟の規則に従って記述している。；広義では滋賀県を含めた2府4県を指す場合もあるが正式な規定は無い。；という5つの想定をもとにした「地政的コード」に規定されると論じた。；自己の意思以外での引退の規定は下記の通りである。；後述する官制・府兵制・均田制なども全て律令の規定するところである。；温度は、物質の熱振動をもとにして規定されているので、下限が存在する。；これらの憲章は、これらの町のデザインを具体的に規定していた。；国連憲章の規定にカバーされないNGOの協力に総会関連機関がある。；攻撃を成功させるとポイントとなり、規定のポイントを先取した選手が勝利する。；米国では、すべての州に複数の点で未成年者の解放というのが規定されている。；ハッピーマンデー制度や適正化規定の廃止によって事情が変わってきた。；国際水泳連盟では一般規則第5条と細則で以下のとおり規定している。；この語では内容が規定されていないのである。；プロトコルはクラスのメソッドインターフェースを規定する機構である。；基本的には列車沿革の一覧で以降、以下のように規定しています。；天皇の譲位は現皇室典範においては規定がなく、想定がされていなかった。</t>
        </is>
      </c>
      <c r="J2031">
        <f>HYPERLINK("https://www.weblio.jp/content/規定", "词义详情")</f>
        <v/>
      </c>
      <c r="K2031">
        <f>HYPERLINK("https://yourei.jp/規定", "查看例句")</f>
        <v/>
      </c>
    </row>
    <row r="2032">
      <c r="A2032" t="inlineStr">
        <is>
          <t>機転</t>
        </is>
      </c>
      <c r="B2032" t="inlineStr">
        <is>
          <t>成功</t>
        </is>
      </c>
      <c r="C2032" t="inlineStr">
        <is>
          <t>読み方：きてん
その場に応じた、機敏な心の働かせ方。「—がきく」「—をきかす」</t>
        </is>
      </c>
      <c r="D2032" t="inlineStr">
        <is>
          <t>機転で助けられ</t>
        </is>
      </c>
      <c r="E2032" t="inlineStr">
        <is>
          <t>気転；如才なさ；気働き；気ばたらき</t>
        </is>
      </c>
      <c r="F2032" t="inlineStr">
        <is>
          <t>発生機転</t>
        </is>
      </c>
      <c r="H2032" t="n">
        <v>29</v>
      </c>
      <c r="I2032" t="inlineStr">
        <is>
          <t>このようなキャラクターは運よりもむしろ自身の機転と能力を信頼する。；仕事をした出版社は、彼を傲慢で機転の利かない人物であるとみていた。；事の成否は、あとは己の知力と機転、そして何よりも運にかかっている。；速水の機転によって無事帰還し、これを期に二人の仲は急接近していった。；ゆかりの将来に傷がついてはいけないと相談された香子が機転を利かせる。；康熙帝時代の清を舞台に主人公、韋小宝が機転と運で出世していく作品。；殺気を抑えきれなかった私の落ち度か、咄嗟に反応したおまえの機転か。；他の諸侯たちは、いざ戦となっても、夏夷ほどの機転すら見せなかった。；このような行為は信仰からなると考えられ、富士信仰の大きな機転であった。；でもね、僕があなたからから教わったのは、機転でも応用でもなかったんだ。；それにしても、あの人は機転の利くほうではありませんね、絶対にね!；うまく見つけたもので、その機転はわたし自身にも愉快に思われた。；しかし、小美人たちの機転と進藤の活躍により暗殺団の襲撃は失敗する。；老練な彼女の機転で田村町に住んでいる富永副院長に電話がかけられる。；呉夫人の智略や機転はおおよそみな、こういう風なものであったという。；早速の機転で、時間がないからと言って、こっちの選手の練習を謝絶した。；病院や日常で起こった患者の症状や病気を、ある機転を使って治していくドラマ。；彼女は、機転の利かない思考や行動を何よりも嫌っていたのである。；息子の窮地を機転で救った上、彼にはそれ以上何のおとがめもなかったとか。；おれはとっさの機転であの場を救った広告部長を、実は見直していた。；すべては香さんの機転に感謝しないといけないな。；普通の人間ながら戦闘能力が高く、またゴライアス以上に機転がきく。；これというのもただ、おれが機転と分別に乏しいばかりに起こったことだ。；機転もきいて頭もいいこの少年は、少くとも自分のように半端な人生は送るまい。；ふだんなら働くべき機略も機転も、錆びついたようにきかないのである。；自力で全ての謎を解くには、紙のメモや相当の想像力や機転が求められる。；だが、レックミア侍従の勇気と、機転のおかげで、敵の企ては失敗した。；学はないが弁が立つうえ機転が利き、察しもよく状況把握も人一倍早い。；事務所にカンヅメにされた彼らはフリーライターの涼子の機転で脱出に成功。</t>
        </is>
      </c>
      <c r="J2032">
        <f>HYPERLINK("https://www.weblio.jp/content/機転", "词义详情")</f>
        <v/>
      </c>
      <c r="K2032">
        <f>HYPERLINK("https://yourei.jp/機転", "查看例句")</f>
        <v/>
      </c>
    </row>
    <row r="2033">
      <c r="A2033" t="inlineStr">
        <is>
          <t>起点</t>
        </is>
      </c>
      <c r="B2033" t="inlineStr">
        <is>
          <t>成功</t>
        </is>
      </c>
      <c r="C2033" t="inlineStr">
        <is>
          <t>読み方：きてん
物事の始まるところ。特に、鉄道・道路などの出発点。「東海道の—」⇔終点。</t>
        </is>
      </c>
      <c r="D2033" t="inlineStr">
        <is>
          <t>起点付近(3%)；起点側；起点方向；起点附近；起点方面</t>
        </is>
      </c>
      <c r="E2033" t="inlineStr">
        <is>
          <t>始め；初め；源；始まり；起源</t>
        </is>
      </c>
      <c r="F2033" t="inlineStr">
        <is>
          <t>正式な起点；起点から約；起点からすぐ；終起点；付近起点</t>
        </is>
      </c>
      <c r="G2033" t="inlineStr">
        <is>
          <t>起点言語</t>
        </is>
      </c>
      <c r="H2033" t="n">
        <v>29</v>
      </c>
      <c r="I2033" t="inlineStr">
        <is>
          <t>このうち中央本線は当駅が起点であり、当駅の所属線ともなっている。；このうち東北本線を所属線としており、釜石線は当駅を起点としている。；この世紀の芸術家たちの最大の起点は政治的な衝突に関係したものであった。；起点の衣掛交差点を合併前の高松市と旧・国分寺町の境界が通っていた。；なお、構内踏切がある駅は起点の西鉄福岡駅を出ると当駅が最初である。；当駅の所属線は東北本線であり、陸羽東線と石巻線は当駅が起点である。；起点から青江交差点まではかつて国道2号であり、当線と重複していた。；東京を起点とする東海道案の終点は当初は小牧ではなく三宮であった。；右上の写真は以前の黄色い柱に起点からの距離を記した一般的な距離標である。；かつては函館駅を起点に道内各地を結ぶ特急・急行列車が停車していた。；そこから起点に向かい左に折れ、約200mの区間は街道を踏襲している。；かつてはこの駅が起点だったこともあり、阪東橋駅側に渡り線がある。；そのため、白河上皇による院政開始をもって中世の起点とする事もある。；空中戦で圧倒的な強さを持ち、正確なフィードで攻撃の起点にもなる。；そして、2007年に舞浜駅を起点とする新たな路線の運行が開始された。；以下に、4車線化優先整備区間を道路ごとに起点に近い方から列挙する。；同一路線内で方向をそろえるため、基本的に起点を左にして右を下り方向とします。；最終的な起点位置は、首都高速3号渋谷線の連結を考慮して決定した。；起点から見て山陰本線の最初の鳥取県の駅で、また同県最北端の駅でもある。；開業時は、起点が京成上野駅ではなく、現在の押上線の押上駅だった。；ただし、録音の著作物が前述保護期間に発売された場合は発売年が起点となる。；これに伴い並行する小田原電気鉄道は起点を小田原駅に変更する形で廃止された。；元々東山線の起点であったこともあり、改札外には小さな地下街の跡がある。；当駅の所属線である伯備線と、当駅を起点とする芸備線が乗り入れている。；当駅の所属線である東北本線と、当駅を起点とする烏山線との分岐駅である。；駅番号は01とされており、道内各方面への起点と位置付けられている。；さまざまな利用の起点・目的点として代表される駅である。；起点から終点へと、沿道の風景や接続路線などを順次述べていくこととする。；道路標識に表記される距離はつねにこの庁舎を起点として計算されている。</t>
        </is>
      </c>
      <c r="J2033">
        <f>HYPERLINK("https://www.weblio.jp/content/起点", "词义详情")</f>
        <v/>
      </c>
      <c r="K2033">
        <f>HYPERLINK("https://yourei.jp/起点", "查看例句")</f>
        <v/>
      </c>
    </row>
    <row r="2034">
      <c r="A2034" t="inlineStr">
        <is>
          <t>軌道</t>
        </is>
      </c>
      <c r="B2034" t="inlineStr">
        <is>
          <t>成功</t>
        </is>
      </c>
      <c r="C2034" t="inlineStr">
        <is>
          <t>読み方：きどう
１電車などの軌条車両を走らせるための構造物からなる道。道床・枕木(まくらぎ)・レールなどからなる。「市電の—」
２天体が運行する道筋。「人工衛星の—」
３物体が運動するときに描く一定の道筋。「放物線の—を描く」
４物事の経過していく道筋。「生活の—を修正する」「—をはずれる」</t>
        </is>
      </c>
      <c r="D2034" t="inlineStr">
        <is>
          <t>軌道上(7%)；軌道線；軌道長半径；軌道投入；軌道敷設</t>
        </is>
      </c>
      <c r="E2034" t="inlineStr">
        <is>
          <t>道；路線；道路；鉄道；路</t>
        </is>
      </c>
      <c r="F2034" t="inlineStr">
        <is>
          <t>電気軌道；同じ軌道；軌道路線；軌道船；軌道交通</t>
        </is>
      </c>
      <c r="G2034" t="inlineStr">
        <is>
          <t>軌道要素；軌道修正；軌道離心率；軌道回路；軌道法</t>
        </is>
      </c>
      <c r="H2034" t="n">
        <v>29</v>
      </c>
      <c r="I2034" t="inlineStr">
        <is>
          <t>そして電子の属する軌道の種類に応じて、電子も分類されて呼称される。；衛星をこの軌道に投入する際には次のような手順をとるのが普通である。；この軌道の近日点は太陽の周りを周回する形でゆっくりと移動している。；軌道を指していることを明らかにする場合はカオス軌道と呼ぶ場合もある。；これは最外殻電子の主量子数が増加しより遠くの軌道となるためである。；軌道高度は、地上との輸送機往復を考慮して、低軌道で運用されている。；また、惑星の軌道が太陽を含む一平面上であることも暗に意味している。；このうち広電天満橋は軌道専用橋で、本線唯一の専用軌道区間でもある。；再起動させる上での最も深刻な問題は、正しい軌道に復帰させることだった。；これらの軌道ではラジカルは二量化し、電子が非局在化して安定化する。；さらに駅舎や軌道の状態は、とても現役路線とは思えないほど荒廃していた。；いずれも元は軌道として敷設され、後に鉄道へ変更されたものである。；この仕様では軌道へ到達するために上段ロケットが必要とされた。；道路上に残された軌道跡は、2006年から順次埋め立てが進んでいる。；主として長期にわたる軌道上の生活に特化して設計されているものを指す。；その他、大規模河川改修やトンネル工事などでも作業用の軌道が利用された。；内殻軌道および電子は結合の形成の間には基本的に変化しない。；イギリスは日本と異なり、軌道側を遮断して車道側を通過させる方式。；ボイジャー2号はもともと冥王星に接近するような軌道ではなかった。；そのため回を重ねるごとに地の声に近づくよう、少しずつ軌道修正していった。；この場合には軌道を大型の鉄道車両が走行していることになる。；彼は彗星は惑星の間を直線軌道で運行していると信じていた。；軌道ではない鉄道が関係するものはこれが最初である。；万物は宇宙の中心点である中心火の周囲を決まった軌道を通って周行するものとされた。；軌道制御には東西方向の制御と南北方向の制御がある。；ここでいう軌道とは、古典力学における軌道とは意味の異なるものである。；その原因は高いにあって宇宙船の軌道が変化したのではないかと考えられた。；この結果、たとえば単純なボールの投げ上げ運動でも、その軌道は複雑になる。；対称結合は基底軌道よりもエネルギー的に低く、反対称結合はより高い。</t>
        </is>
      </c>
      <c r="J2034">
        <f>HYPERLINK("https://www.weblio.jp/content/軌道", "词义详情")</f>
        <v/>
      </c>
      <c r="K2034">
        <f>HYPERLINK("https://yourei.jp/軌道", "查看例句")</f>
        <v/>
      </c>
    </row>
    <row r="2035">
      <c r="A2035" t="inlineStr">
        <is>
          <t>起動</t>
        </is>
      </c>
      <c r="B2035" t="inlineStr">
        <is>
          <t>成功</t>
        </is>
      </c>
      <c r="C2035" t="inlineStr">
        <is>
          <t>読み方：きどう
［名］(スル)動きや働きを起こすこと。特に、機器類が運転を開始すること。始動。「パソコンを—する」</t>
        </is>
      </c>
      <c r="D2035" t="inlineStr">
        <is>
          <t>起動する(18%)；起動時(9%)；起動させる(5%)；起動式(3%)；起動できる(2%)</t>
        </is>
      </c>
      <c r="E2035" t="inlineStr">
        <is>
          <t>開始；始める；スタート；発足；発射</t>
        </is>
      </c>
      <c r="F2035" t="inlineStr">
        <is>
          <t>初回起動；ゲーム起動；起動音；起動すれ；起動スイッチ</t>
        </is>
      </c>
      <c r="G2035" t="inlineStr">
        <is>
          <t>起動ディスク；起動因</t>
        </is>
      </c>
      <c r="H2035" t="n">
        <v>29</v>
      </c>
      <c r="I2035" t="inlineStr">
        <is>
          <t>このことは機体尾部のエアステアの設備が起動したことを意味していた。；小型大出力、起動時間の短さ、整備性の良さ等が評価された結果である。；再起動させる上での最も深刻な問題は、正しい軌道に復帰させることだった。；すると部室にあったパソコンが勝手に起動し、メッセージが表示される。；それが実行ファイルであった場合、正常に起動できなくなる場合もある。；ここで挙げた例は、データや状態の変化に反応して処理が起動されると呼ばれる。；ただしヴェーダ語では用いる機会が少なくなった起動相が頻繁に用いられる。；打ち上げ約1か月で全ての機器の起動を正常に終え、観測体制に入った。；なお、SP2以降では起動画面でエディション名が表示されなくなった。；この日の後半にヤングとデュークは再度着陸船に入り、機器を起動した。；他のOSのように、IPLから完全に再起動することを指すわけではない。；商用周波数での起動の困難のために無用に大出力の電動機を採用していた。；システムが起動できなくなったときのデータレスキューなどの用途で使われる。；完成した28号の起動実験が行われるが失敗、機体は爆散してしまう。；車体前方にスプロケットつきの誘導輪を設け、後方に起動輪が装備された。；起動加速度は地震計が起動して記録や警報が開始するときの数値である。；レンズカバーの開閉させるだけで連動してカメラ機能の起動・終了が可能。；そのためしっかり刺すと起動せず少し隙間を作ると起動する等の事例もあった。；感染すると、システム起動時に自動実行するプログラム群に自動登録される。；応用状態はOSが起動する際に操作状態を選択する機能である。；しかしガ・キーンを起動させるためにはマグネマンが二人必要だった。；また、ゲームの起動時画面にそのことが表示されるアダルトゲームもある。；一度インストールすればディスクがなくてもソフトを起動できるようになる。；映像系の場合、様々なソフトを同時起動して使用することが多い。；履帯では方向の変更は起動輪の左右回転数の差で行われる。；すなわち、この日に今日インターネットと呼ばれているネットワークが起動したのである。；これらのプログラムは起動時に自動的にチェックするような対応が取られている。；呼びかけに応じた約250名の生徒により、リヴァイアスは再起動する。；ポインターを画面の左上の端に動かすだけでも起動されるようになっている。</t>
        </is>
      </c>
      <c r="J2035">
        <f>HYPERLINK("https://www.weblio.jp/content/起動", "词义详情")</f>
        <v/>
      </c>
      <c r="K2035">
        <f>HYPERLINK("https://yourei.jp/起動", "查看例句")</f>
        <v/>
      </c>
    </row>
    <row r="2036">
      <c r="A2036" t="inlineStr">
        <is>
          <t>気取る</t>
        </is>
      </c>
      <c r="B2036" t="inlineStr">
        <is>
          <t>成功</t>
        </is>
      </c>
      <c r="C2036" t="inlineStr">
        <is>
          <t>読み方：きどる
［動ラ五（四）］
１体裁をつくろい、もったいぶったり、とりすましたりする。「人前で—・る」「—・った話し方」「—・らない人柄」
２（「…をきどる」の形で）そのものになった気で、それらしい振る舞いをする。「秀才を—・る」
３それと感づく。けどる。
「要介がどうか床をいそぐやうすゆゑ、女中—・るこころなり」〈洒・二蒲団〉
４心を配って、用意しておく。
「ここに一本あるから、肴も少し—・ってくんな」〈伎・四谷怪談〉</t>
        </is>
      </c>
      <c r="D2036" t="inlineStr">
        <is>
          <t>勿体ぶる；偉ぶる；お高くとまる；上品ぶる；スカす</t>
        </is>
      </c>
      <c r="H2036" t="n">
        <v>29</v>
      </c>
      <c r="I2036" t="inlineStr">
        <is>
          <t>あの頃ではこの程度のタイトルでも気取っているように見られたものだ。；気取ってると思われるかもしれないが、そうとしか言いようがないんだ。；これからは健司が死んだことを知っていると気取られない努力が必要だ。；万一にも犯人にわれわれの存在を気取られるわけにはいきませんからね。；しかしそうやって気取ったところで戦前は思うように書けなかったから。；確かにあの種の気取ったホテルは人を見て扱いを決めるところがある。；質素を気取っていても身に付いた品というものは隠しようのないものだ。；おれは気取つてなんかゐないぞつていふところを見せるつもりなんでせう。；笑いながら、自分がこの笑いを僅かも気取っていないのを彼は確かめた。；こうして彼は三年間だれにも気取られずにそこに身をひそめていました。；明日中には、気取られることもないまま十分な数の仕掛けが揃うだろう。；特にこういう気取った場所へ一人で飲みに来ると、嫌でも肩肘張ってさ。；食事は気取らない簡単なものだったが、夫人が一生懸命作ったのだろう。；書かれてある世界もケチな小市民の意味も無く気取つた一喜一憂である。；船に乗りつけている人々はどんなに気取っても歩きつきで判るのである。；あれは持前の声をわざと気取ってあんな優しいように見せてるんだろう。；私たちが見てるのと同じものを、気取った目で眺めてるだけのことよ。；驚きのあまり、いつもの気取った声はどこかに行ってしまったようだった。；普通男たちは例外なしに、多少とも気取ってはいって来るものである。；黒い服装で気取った身のこなしをする男がテーブルへ案内してくれた。；最後やからちょっと気取ろうかいうて、ドレスアップして行ったのよね。；いや、普段気取らないからこそこういう 時に気取りたいものではある。；奇妙な人を気取る女の子達が、必ずといっていい程に読んでいる本があった。；「その通りだよね」と答える三浦は特に気取っているわけではなかった。；天使でもないのに詩人と自称して気取っているへんな人物が多いのである。；今の一瞬の灯りで誰かに気取られなかったか心配してるようだった。；本当に頭のいい奴は、君みたいな気取った言いかたは、しないものだ。；どこかの舞台中継をしているらしく、気取った声のやりとりが続いている。；もっとも彼らはそれを洒落た都会的ムードと気取っているらしいのだが。</t>
        </is>
      </c>
      <c r="J2036">
        <f>HYPERLINK("https://www.weblio.jp/content/気取る", "词义详情")</f>
        <v/>
      </c>
      <c r="K2036">
        <f>HYPERLINK("https://yourei.jp/気取る", "查看例句")</f>
        <v/>
      </c>
    </row>
    <row r="2037">
      <c r="A2037" t="inlineStr">
        <is>
          <t>記入</t>
        </is>
      </c>
      <c r="B2037" t="inlineStr">
        <is>
          <t>成功</t>
        </is>
      </c>
      <c r="C2037" t="inlineStr">
        <is>
          <t>読み方：きにゅう
［名］(スル)所定の用紙などに書き入れること。「必要事項を—する」</t>
        </is>
      </c>
      <c r="D2037" t="inlineStr">
        <is>
          <t>記入する(17%)；記入される；記入欄；記入済み；記入しよ</t>
        </is>
      </c>
      <c r="F2037" t="inlineStr">
        <is>
          <t>直接記入；ここに記入；無記入；記入例；未記入</t>
        </is>
      </c>
      <c r="H2037" t="n">
        <v>29</v>
      </c>
      <c r="I2037" t="inlineStr">
        <is>
          <t>特に代表的な生物が含まれる群の場合、それらの生物も記入しましょう。；医師は彼に治療の前に多くの非常識なフォームに記入するよう要求する。；記入例も書かれているため、事前知識がなくてもわかりやすくなっている。；執筆してほしい記事がありましたらジャンル別に記入してください。；他の有効化の方式として乗客が記入する方式、駅窓口で行う方式がある。；これを本文中に記入することで、以下のような注意文が表示されます。；刻々に変化するのを時間を記入しながら次々と描いては私に見せた。；図書館テンプレートの画像がない場合は を記入する必要があります。；上記の目的を反映して、地図内には大きく分けて三つの要素が記入されている。；ページが上へ開き、立っていても記入ができるようにしたシリーズ。；五十音順で・出身者かつWikipediaに記事のある人物のみ記入。；以下の項目を専用ハガキに記入して送ることでゲームに参加できた。；ここで加藤肩吾に地図に大黒島の名前を記入するように指示した可能性がある。；大阪市を廃止し特別区を設置することに反対の場合は反対と記入する。；スタブ記事を作成したときや見つけたときは と記入してください。；教師は手に白墨と平素点を記入する手帳とを持って教室に入ってきました。；決定者が決めた数値を基に計算された重要度が階層の各要素に記入されている。；それらを記述したら末尾にそれより上位となるカテゴリを記入します。；助手は体重を取ると、帳簿の彼の名のところに一〇九フントと記入した。；名前が決まっていない場合には、母親の名前を記入するなどする。；事前に生徒に通知され、参加する生徒は申し込み用紙に記入し提出する。；その他のスタッフをご存知でしたら必要に応じて記入してください。；中央には額面が記入され、左右には発行年月日、発行番号が記入された。；分子の列に記入がないものはイオンだけが検出されていることを示す。；名称の列に記入のないものはこれまでに科学文献で名称が与えられていない分子である。；衣服には金色の縦縞が描かれ、正面中央や顔の左右には文字が記入される。；心理学関連の書きかけの項目には、記事の終わりに を記入します。；はじめ肩章に連隊番号が記入されていたが、防諜上の理由から廃止された。；指示した高度や速度等を記入し、記憶保持に役立てることができる。</t>
        </is>
      </c>
      <c r="J2037">
        <f>HYPERLINK("https://www.weblio.jp/content/記入", "词义详情")</f>
        <v/>
      </c>
      <c r="K2037">
        <f>HYPERLINK("https://yourei.jp/記入", "查看例句")</f>
        <v/>
      </c>
    </row>
    <row r="2038">
      <c r="A2038" t="inlineStr">
        <is>
          <t>絹</t>
        </is>
      </c>
      <c r="B2038" t="inlineStr">
        <is>
          <t>成功</t>
        </is>
      </c>
      <c r="C2038" t="inlineStr">
        <is>
          <t>読み方：きぬ
１蚕の繭からとった繊維。
２絹糸で織った織物。絹織物。</t>
        </is>
      </c>
      <c r="D2038" t="inlineStr">
        <is>
          <t>絹代(3%)；絹旗；絹製；絹服；絹衣</t>
        </is>
      </c>
      <c r="E2038" t="inlineStr">
        <is>
          <t>絹布；帛；絹地；シルク</t>
        </is>
      </c>
      <c r="F2038" t="inlineStr">
        <is>
          <t>薄絹；お絹；白い絹；黒い絹；赤い絹</t>
        </is>
      </c>
      <c r="G2038" t="inlineStr">
        <is>
          <t>絹見；絹織物；絹子；絹布；絹川</t>
        </is>
      </c>
      <c r="H2038" t="n">
        <v>29</v>
      </c>
      <c r="I2038" t="inlineStr">
        <is>
          <t>貴族の間では絹や毛などの上質な生地で作られたものが使用されている。；その間にユーラシア大陸の東西を結ぶ交易が始まり絹などが取引された。；彼の部隊は全員黒い絹のリボンを付け、槍にも黒の槍旗を付けていた。；本領である六院部の羊毛と北宋の歳幣の中の絹を交換して利益を上げた。；特にフィンランドで絹の生産を行うため必要な桑の導入が望まれていた。；かつては弦に絹が使われていたが、最近ではスチール弦が使われている。；戦後、日本の絹生産は衰退し、現在は主に中国からの輸入に頼っている。；素材は絹ではなく麻で、現在の着物と同じようにお端折を作って着用された。；基本的に身分の高いものだけが絹製の衣装・絣や紋織りなどを許された。；友人は絹代しかいないので、仕方なく絹代を誘って3人でライブに行く。；使用される材料はリネン、絹、供給危機の時代になると綿が用いられた。；直垂の素材は一定しないが、室町幕府将軍は白の無紋の絹を多く用いた。；材質は絹がほとんどだが、煎茶道では木綿のものが使われることもある。；萌黄色の独特の光沢を持ち、絹に比べて軽くて柔らかいのが特徴である。；糸と呼ばれる弦の場合絹が使用され、原料としては春繭が良いとされる。；古くは戦国時代に黒と白の絹を混ぜて撚り合わせた綱の記述が文献に見える。；彼は頭に絹の覆いをしており、耳には大きな金の耳飾りが2つ付いていた。；日本産の同属の中では小穂に絹毛状の毛が多い点で多くの種とは区別できる。；古くから絹の生産が盛んで、隣接する桐生市と並び絹織物が有名である。；耳は小さな垂れ耳、尾は巻き尾でこれらにも絹のような飾り毛がある。；天正3年、江戸氏が保護していた真言宗の僧侶に絹衣の着用を許可した。；絹は重要な嗜好品の一つで、これは帝国へ輸入され、加工されていた。；絹生産の中心地としてコトルやラグーサ共和国から来る商人町が出来た。；絹の商業生産に必要なカイコを飼育するために、広く栽培されている。；葉の裏面は当初は絹毛があるが、すぐに無くなって両面とも無毛となる。；中国の絵画はその多くが絹や紙のような脆弱な素材に描かれている。；生地は、通常は木綿が使われるが、稀に絹が使われた事例も見られる。；弦の種類も、もとは絹の弦を使用していたが金属弦を使用するようになった。；和装の場合、金属の鎖もしくは絹製の組紐をつけ帯に挟むのが普通である。</t>
        </is>
      </c>
      <c r="J2038">
        <f>HYPERLINK("https://www.weblio.jp/content/絹", "词义详情")</f>
        <v/>
      </c>
      <c r="K2038">
        <f>HYPERLINK("https://yourei.jp/絹", "查看例句")</f>
        <v/>
      </c>
    </row>
    <row r="2039">
      <c r="A2039" t="inlineStr">
        <is>
          <t>記念</t>
        </is>
      </c>
      <c r="B2039" t="inlineStr">
        <is>
          <t>成功</t>
        </is>
      </c>
      <c r="C2039" t="inlineStr">
        <is>
          <t>読み方：きねん
［名］(スル)
１思い出となるように残しておくこと。また、そのもの。「卒業を—して写真を撮る」「—品」
２過去の出来事・人物などを思い起こし、心を新たにすること。「創立五〇周年を—する式典」
[補説] 「紀念」とも書いた。</t>
        </is>
      </c>
      <c r="D2039" t="inlineStr">
        <is>
          <t>記念碑(17%)；記念事業(3%)；記念日(2%)；記念作品；記念行事</t>
        </is>
      </c>
      <c r="E2039" t="inlineStr">
        <is>
          <t>記憶；記す；メモリ；メモリー；上書</t>
        </is>
      </c>
      <c r="F2039" t="inlineStr">
        <is>
          <t>卒業記念；記念公演；記念企画；記念賞；記念講演</t>
        </is>
      </c>
      <c r="G2039" t="inlineStr">
        <is>
          <t>記念日；記念式典；記念品；記念公園；記念写真</t>
        </is>
      </c>
      <c r="H2039" t="n">
        <v>29</v>
      </c>
      <c r="I2039" t="inlineStr">
        <is>
          <t>その記念すべき最初のシーズンにボカ・ジュニアーズは優勝を果たした。；また面積が日本一小さな村で有名となり、記念観光で訪れる人も多かった。；これは1961年のタンザニア独立を記念して命名されたものである。；この戦勝を記念して造られたのがロンドンのトラファルガー広場である。；戦争やホロコーストによる死者のための記念碑も多く建てられている。；同年10月には、2022年も記念企画を継続して実施すると発表された。；戦後の凱旋行事も盛んであり、しばらくすると各地に記念碑が建てられた。；記念表彰は計画終了後に起業家たちが収集家を満足させるために制作した。；これは勝利で終えた戦いを象徴し、戦勝記念の一環である要素が反映している。；これを記念して一部電車にヘッドマークをつけ、同年9月まで運行された。；ソニック生誕20周年を記念した企画やメディアなど色々と発表された。；返却されなかったものは記念となるものに再生された後、設置される予定である。；ただしどちらの方法でも古いカードは記念カードなどであっても回収されることになる。；このことを記念してデルフゼイルにはメグレの像が建てられている。；旧駅には駅舎もあり、駅舎跡には記念碑が建てられている。；例えば、言語の助けなしには記念碑や彫像は自身の持つ意味を伝達できない。；同受賞を記念して編んだ詩集『わたしは月にはいかないだろう』刊行。；過去にはリスナーには様々な記念品が送られてきたという。；ただし歴史的な意味のある建造物のため、一部は記念碑として残されている。；ロンドンの墓地に立つオウエンの記念碑には次のように刻まれた。；当駅の改札口付近には、その受賞を記念した銘板が設置されている。；そして彼は自分自身の即位記念日に吉兆があると知ってその日に戦うべく進軍した。；スタンド内には2つのホームランの着弾点に記念するものが残されている。；現在ドーマーシュール通りの壁には記念プレートが掲げられている。；運河周辺には、戦車などこの戦争の残骸が記念碑として残されている。；現在は敷地の一角に記念碑が設けられているのみである。；映画化の記念に著名なクリエイター達から応援メッセージが送られた。；ヤマト運輸との貨客混載輸送を記念したラッピングバスも運行されている。；また、衣笠祥雄の連続試合出場記録を記念した石碑もその中にある。</t>
        </is>
      </c>
      <c r="J2039">
        <f>HYPERLINK("https://www.weblio.jp/content/記念", "词义详情")</f>
        <v/>
      </c>
      <c r="K2039">
        <f>HYPERLINK("https://yourei.jp/記念", "查看例句")</f>
        <v/>
      </c>
    </row>
    <row r="2040">
      <c r="A2040" t="inlineStr">
        <is>
          <t>記念品</t>
        </is>
      </c>
      <c r="B2040" t="inlineStr">
        <is>
          <t>成功</t>
        </is>
      </c>
      <c r="D2040" t="inlineStr">
        <is>
          <t>記念品贈呈</t>
        </is>
      </c>
      <c r="E2040" t="inlineStr">
        <is>
          <t>記憶；思い出；土産；形見；忘れ形見</t>
        </is>
      </c>
      <c r="H2040" t="n">
        <v>29</v>
      </c>
      <c r="I2040" t="inlineStr">
        <is>
          <t>バンクロフトは彼女から絵画やその他の記念品を購入することが出来た。；いまのうちに何か円高ドル安の記念品を買っておいた方がいいのではないか。；わずかばかりの手紙や記念品などを入れて鍵をかけた箱である。；彼は月面に記念品を二つ置いてきており、どちらも写真に記録した。；その跡はロックハンマーやマグネットなどと共に本作の記念品となった。；記念品を貰うことになった人は、このときにスタジオの中に入ることができる。；彼らは、なぜこんな薄気味悪い記念品をわざわざ持って帰るのだろう?；実は何か記念品を、と思って考えたんですが、見当がつかないの。；記念品でもあさっているんだろうと、彼はばかにしたように考えた。；このセンターでは大量の収集品と記念品の選択を提案している。；つまるところ、あの刑事たちに記念品が贈られるというだけのことさ!；その他の部品は長年に渡り記念品ハンターにより剥ぎ取られていった。；その中には南北戦争の時の書類や記念品も含まれていた。；これらのものは、わたしにとってはすでに死んでしまった世界の最後の記念品ですよ。；私は記念品を買うため狸小路に案内してもらうことにした。；両部門の当選作品各1編に5万円と記念品が、佳作に3万円が贈られる。；一九六一年に始まり、初めのころは還暦を迎えた人に記念品を贈ったりもしたらしい。；次郎・正子関連書籍や記念品の販売もあり、喫茶や弁当類の予約も可能。；記念品を販売する売店も設置されており、売店では簡単な飲み物も出される。；MLBでは機構やリーグが公式に製作や認定する訳ではなく、球団が製作する一種の記念品である。；記念品として買ったのだと主張なさってもそれは通用いたしません。；まあ、最初は記念品程度の気持ちで、面白い時計だなあくらいにしか思わなかったけどね。；何度も繰りかえすようだが、私はこの時計を誰かの結婚式の記念品にもらったのだ。；全てのチームに、最終的な得点に応じた賞金と記念品が贈られた。；招じ入れられた小さなホールには狐狩りの記念品がたくさん飾られてあった。；また世界で初めて金星表面に降下する予定だったため、記念品も搭載した。；それからときには、「記念品入り」の引出しを持ってきてくれるように頼んだ。；そしてビスマルクの標識を海図テーブルから拾うとそれを記念品にする。；記念品の中にはリヒトホーフェンの60個の撃墜記念の銀杯もあった。</t>
        </is>
      </c>
      <c r="J2040">
        <f>HYPERLINK("https://www.weblio.jp/content/記念品", "词义详情")</f>
        <v/>
      </c>
      <c r="K2040">
        <f>HYPERLINK("https://yourei.jp/記念品", "查看例句")</f>
        <v/>
      </c>
    </row>
    <row r="2041">
      <c r="A2041" t="inlineStr">
        <is>
          <t>機能</t>
        </is>
      </c>
      <c r="B2041" t="inlineStr">
        <is>
          <t>成功</t>
        </is>
      </c>
      <c r="C2041" t="inlineStr">
        <is>
          <t>読み方：きのう
［名］(スル)ある物が本来備えている働き。全体を構成する個々の部分が果たしている固有の役割。また、そうした働きをなすこと。「心臓の—」「言語の—」「正常に—する」</t>
        </is>
      </c>
      <c r="D2041" t="inlineStr">
        <is>
          <t>機能的(3%)；機能停止；機能付き；機能強化；機能低下</t>
        </is>
      </c>
      <c r="E2041" t="inlineStr">
        <is>
          <t>用；目的；能力；役割；務める</t>
        </is>
      </c>
      <c r="F2041" t="inlineStr">
        <is>
          <t>多機能；新機能；本社機能；通信機能；うまく機能</t>
        </is>
      </c>
      <c r="G2041" t="inlineStr">
        <is>
          <t>機能不全；機能障害；機能主義；機能拡張；機能和声</t>
        </is>
      </c>
      <c r="H2041" t="n">
        <v>29</v>
      </c>
      <c r="I2041" t="inlineStr">
        <is>
          <t>ここではあまり他の言語では見られない 特有の機能を中心に解説する。；いわゆる電子ガジェット類に機能の一つとして付属している場合もある。；脳機能の回復と記憶の再構成にはこの状態となることが重要とされている。；携帯電話の多機能性を活用して通信以外の用途へ使用する研究が進みつつある。；インストールしなくてもOASYSの基本機能を実行することができる。；その後の APL では、いくつかの命令型的な機能が追加されている。；現在では遺伝子は核酸の機能的単位を示すものとして事実上定義される。；これらには現在は、上記サーバ機能のいくつかは標準で含まれている。；このような状況から大企業の本社機能の移転などが行われるには至っていない。；は言語機能を必要十分の最低限まで単純化することを目指した言語である。；関数のオーバーロードは名称が同じ複数の関数を宣言できる機能である。；値型におけるパフォーマンス向上を意図した複数の機能が追加された。；経済は社会の中で希少性や効用性を持つ価値を配分する機能の一つである。；以下の機能のそれぞれを持つものもあれば、持たないものもある。；数々の玩具は、発育や様々な機能の発達に刺激を与える重要な道具である。；細胞小器官は生体膜で包まれた、細胞中で固有の機能を持つ部分である。；まずは同行に集中されていた各種金融機能が専門銀行に分割された。；最後に、集積回路が製品として正常に機能するかを確認する検査を行う。；ネットワークの状態を追跡し維持する集中監視機能や性能測定機能は存在しない。；こうして資本移動での経済の調整メカニズムはあまり機能しなくなる。；後のモデルはよりBASIC言語を含む多くの機能を追加した。；こういった機能は後のデジタルカメラの閲覧ソフトに継承され発展していった。；電話交換機からの給電のみで動作する基本的な機能として次があげられる。；サーバ機能を提供する主なソフトウェアの種類には以下がある。；階層に基づく分類では機能を提供する相手の階層によって分類される。；さらに機械分野でも制御機能の高度化に伴い自動車や各種産業機器にも組込まれている。；下記は主にパソコン用のパソコン通信向け機能を持った端末ソフトである。；赤外線通信機能などを搭載し、通信機能を生かしたゲームが流行した。；三権分立の観点から、国家の中枢機能を複数の都市に分割している国がある。</t>
        </is>
      </c>
      <c r="J2041">
        <f>HYPERLINK("https://www.weblio.jp/content/機能", "词义详情")</f>
        <v/>
      </c>
      <c r="K2041">
        <f>HYPERLINK("https://yourei.jp/機能", "查看例句")</f>
        <v/>
      </c>
    </row>
    <row r="2042">
      <c r="A2042" t="inlineStr">
        <is>
          <t>昨日</t>
        </is>
      </c>
      <c r="B2042" t="inlineStr">
        <is>
          <t>成功</t>
        </is>
      </c>
      <c r="C2042" t="inlineStr">
        <is>
          <t>読み方：きそ
《「きぞ」か。「そ」の清濁不明》昨夜。ゆうべ。また、昨日。
「ぬばたまの—は帰しつ今夜(こよひ)さへわれを帰すな道の長手を」〈万・七八一〉</t>
        </is>
      </c>
      <c r="D2042" t="inlineStr">
        <is>
          <t>昨日あたり；昨日以来；昨日みたい；昨日午後；昨日一昨日</t>
        </is>
      </c>
      <c r="F2042" t="inlineStr">
        <is>
          <t>ほんの昨日；晴昨日；昨日よりもさらに；昨日より少し；昨日見かけ</t>
        </is>
      </c>
      <c r="G2042" t="inlineStr">
        <is>
          <t>昨日のつづき；昨日・今日・明日；昨日の敵は今日の友；昨日の花；昨日の世界</t>
        </is>
      </c>
      <c r="H2042" t="n">
        <v>29</v>
      </c>
      <c r="I2042" t="inlineStr">
        <is>
          <t>道が悪いから、あんまり人が行かないつて、昨日の馬車屋が云つてたわ。；昨日から今朝にかけておれの行く所には必ず母親の目が光っているのだ。；そして倶楽部へ顔を出すようになったのは、ようやく昨日からであった。；昨日は何の事もなかつたんだのに、昨夜の中に私は何うかなつたのかしら?；矢作によればその姿は「昨日の馬とは別馬のような印象」だったという。；たしかにここは自分が生れた村で、ここを出たのはつい昨日のことだ。；担当記者の一人が昨日硬貨を一枚手に入れてきて、編集者の手に入った。；昨日の出來事から宵に相談した事など殆んど忘れて居るかの如くである。；昨日にかわり隆夫の様子がちがっているのは、どうしたことであろうか。；俺は昨日と今日、屋根に登っていたが、レース結果が一回も見えなかった。；昨日もそうであったし、一昨日もそうであったような気がするのです。；夏が早く終りすぎていたことを嘆いていた秋の日が、つい昨日のようだ。；昨日もお前また都へ下りて行って、悪い子供達と遊んで来たんでしょ?；昨日横浜から来る途中、十八マイルの間で、異る場所に乞食を四人見た。；昨日夫人からもらった採用通知の電話の最初の言葉なども、嫌だった。；地上の世界は、何の変りもなく、昨日も今日も同じ様に運転しているのだ。；今日崇拝される人は昨日の英雄をわたしたちの記憶から追いだしてしまう。；タカシが驚いた直後、ミサキの身体へ昨日と同じ痴漢の手が伸びてきた。；昨日は、一本の樹にまつわる過去の記憶のなかに、ワラスは生きていた。；その明くる日、若者はまた昨日のようにあてもなく歩いて行きました。；昨日海軍部内一般に出した訓示は、このようなことを戒めたものである。；昨日の刑事は二人の巡査を伴って、約束通り一時カッキリにやって来た。；昨日キャッチボールをしていた公園のベンチに座ってボンヤリしていた。；それに付けても、昨日かの武士の後を尾け損じたのが残念であった。；昨日のように出られても、こっちはとりようがありませんからね。；昨日怪塔王が砂の上におとしていったあの大きな変な形をした鍵のことです。；吉公は、昨日と同じようにして、一銭で二銭の納豆を騙して取りました。；昨日曳網の袋が裂けたので、我々は五マイルばかり離れた漁村へ行った。；所が、おまへは昨日習つた事を今日覚えて、いつまでも忘れないんだ。</t>
        </is>
      </c>
      <c r="J2042">
        <f>HYPERLINK("https://www.weblio.jp/content/昨日", "词义详情")</f>
        <v/>
      </c>
      <c r="K2042">
        <f>HYPERLINK("https://yourei.jp/昨日", "查看例句")</f>
        <v/>
      </c>
    </row>
    <row r="2043">
      <c r="A2043" t="inlineStr">
        <is>
          <t>技能</t>
        </is>
      </c>
      <c r="B2043" t="inlineStr">
        <is>
          <t>成功</t>
        </is>
      </c>
      <c r="C2043" t="inlineStr">
        <is>
          <t>読み方：ぎのう
あることを行うための技術的な能力。うでまえ。「—を身につける」「特殊—」</t>
        </is>
      </c>
      <c r="D2043" t="inlineStr">
        <is>
          <t>技能レベル；技能証明；技能教習；技能向上；技能訓練</t>
        </is>
      </c>
      <c r="E2043" t="inlineStr">
        <is>
          <t>技術；腕；業；技；職業</t>
        </is>
      </c>
      <c r="F2043" t="inlineStr">
        <is>
          <t>専門技能；知識及び技能；必要な技能；魔法技能；高度な技能</t>
        </is>
      </c>
      <c r="G2043" t="inlineStr">
        <is>
          <t>技能賞；技能者；技能試験；技能講習；技能士</t>
        </is>
      </c>
      <c r="H2043" t="n">
        <v>29</v>
      </c>
      <c r="I2043" t="inlineStr">
        <is>
          <t>それぞれ得意技能や初期の強さが異なり、仲間になる条件も多彩である。；この試験の公式目的は、「具体的な知識と技能」を評価することである。；理論的な知識と卓越した技能を持ち、天文観測に用いる機器を製作した。；技能証明には、上記の区分のほかさらに限定がつけられるものがある。；このマイナスCPの値は他の能力や特徴、技能に使用することができる。；戦闘技能・指揮能力共に優れ、同時に家族を愛する良き父親でもあった。；技能派力士が多かったのが特徴で、栃若時代の名わき役の部屋であった。；また進学講習や技能認定の資格取得についても積極的に推進していた。；技術協力とは、企業や個人が技術や技能を提供し協力することである。；希少価値のある高度な技能は一般に高く評価され、保護の対象となる。；教育制度の大部分は、教育・技能大臣を通じた政府の指導の下にある。；ピーに関連する重要な儀礼にはそれぞれ異なる技能を持つ専門家が関わる。；とのような伝統的な技能のゲームが、ゴットランドでは今でも行われている。；この技能レベルの上昇は、維持にかかるエネルギー消費も減少する。；この二つの職業を選択することで、それぞれの職業から技能を取ることができる。；ただし、個性が強すぎることと、技能的に洗練されていないことが欠点。；レベル制になっている場合もあり、技能レベルが高いほど得られる効果も高くなる。；そんな当時の青年層たちの中には、高い学歴や特殊な技能を持った者も多くいた。；江戸において林蔵は伊能忠敬の邸に出入りして測量技能の向上に努めた。；本コースの目標は小部隊指揮官で、あらゆる職種専門技能の者が参加する。；免許証は無いが、独自に技能を習得し飛行することは大変危険である。；東京芸術大学在学中には邦楽技能優秀者に与えられる安宅賞を受賞した。；また、一般企業で技能職が従事する工場等の業務を指すこともある。；各分野でその役割は異なっており、その分野に適した技能を持つ専門の人もいる。；技能に長けた者を意味する「師」という字が用いられるのもそれ故である。；他にも希望者には資格や免許及び各種技能の取得の教育を受けることができる。；庭に関する必要な知識、技能がより一層求められてくることとなる。；特殊技能を持つ日本軍将兵の中には長期の残留を求められて帰国が遅れた者もいた。；ただし、ある問題に適した分類器を特定する手法は科学というよりも技能である。</t>
        </is>
      </c>
      <c r="J2043">
        <f>HYPERLINK("https://www.weblio.jp/content/技能", "词义详情")</f>
        <v/>
      </c>
      <c r="K2043">
        <f>HYPERLINK("https://yourei.jp/技能", "查看例句")</f>
        <v/>
      </c>
    </row>
    <row r="2044">
      <c r="A2044" t="inlineStr">
        <is>
          <t>茸</t>
        </is>
      </c>
      <c r="B2044" t="inlineStr">
        <is>
          <t>成功</t>
        </is>
      </c>
      <c r="C2044" t="inlineStr">
        <is>
          <t>読み方：きのこ
《「木の子」の意》菌類のうち、顕著な子実体(しじつたい)を形成するもの。大部分は担子菌類に、一部は子嚢(しのう)菌類に属する。ふつう傘状をなし、山野の樹陰や朽ち木などに生じる。食用となるマツタケ・シイタケ・シメジなどと、有毒なテングタケ・ツキヨタケなどがある。くさびら。たけ。《季秋》「道かはす人の背籠や—にほふ／秋桜子」</t>
        </is>
      </c>
      <c r="D2044" t="inlineStr">
        <is>
          <t>茸狩り(5%)；茸状；茸採り；茸類；茸とり</t>
        </is>
      </c>
      <c r="E2044" t="inlineStr">
        <is>
          <t>キノコ；マッシュルーム</t>
        </is>
      </c>
      <c r="F2044" t="inlineStr">
        <is>
          <t>毛茸；小さな茸；しめじ茸；笑ひ茸；白い茸</t>
        </is>
      </c>
      <c r="H2044" t="n">
        <v>29</v>
      </c>
      <c r="I2044" t="inlineStr">
        <is>
          <t>そこには巨大な茸が生えていて、その下にも吸血鬼が住んでいるらしい。；食卓に並んだ茸の名を尋ねても川魚の種類を聞いても彼女はわからない。；畳には茸が生え、家の中で傘を差して立ったまま朝を迎えた日もあった。；僕は茸と名乗った覚えはないのに、篭に入れられちゃったようなもんさ。；枝編み細工の家は背の低い茸のような形で、森の木と似ていなくもない。；では何が茸の価値とその区別とを子供に知らしめたのであろうか。；いさが夏や秋に貯めた山菜や茸の塩漬けや干したものが入っているのだ。；茸は不漁であつたらしいが、何処からか彼等は青首の鴨を見附けて来た。；手も顔も小さくて、茸のように肌理がこまかく脆そうな老人であります。；左衛門尉は自分の前に茸のやうに踞つてゐるこの二人に目をつけた。；この頃には新しい雑誌が至るところで茸のように生えていた。；そして私の腰に提げている籠に眼をつけながら茸引きかと訊いた。；押入の隅に生えてきた茸を食べることはできるだろうかと考えた。；そして毛茸は毛の事に成ってはいれど元来この字に毛の意味は無い。；古代の日本にはどうやらこの種の霊茸があちこちに自生していたらしいのである。；結局、それは茸を洗うのや、芋の皮を剥いたりするのと同じことだった。；缶を持っていたのり子ちゃんが、茸のことを知らなかったはずはないんだ。；ほかの茸はともかく、松茸はこの山では豐かであるとは云へなかつた。；教え込まれた茸の価値はいわば彼に探求の目標を与えたのであった。；彼女はいやらしくなるような騒々しい音を立てながら茸を食べてしまった。；かれは、まだその茸を食べ終わらないうちに、その女と抱きあっていた。；自分は山近い農村で育ったので、秋には茸狩りが最上の楽しみであった。；中は無数の発光茸や発光苔の赤やオレンジの光で、ぼんやり光っていた。；彼女はもうとっくに帰って、茸の入った籠を置いてどこかへ行ったあとだった。；吸血鬼がやってくる前、ここには百種類もの茸が育っていたにちがいない。；また、さまざまの、初めて見るような茸の類が出てくることもある。；太郎は木の根元から茶色っぽい縁の白い茸の大きな塊を取り上げて見せた。；さうして、この部落では、その翌日にもう人々が茸を食べてゐたのであつた。；この世の至るところで、そんな茸を全身から生やして歩く人々を私は見てきた。</t>
        </is>
      </c>
      <c r="J2044">
        <f>HYPERLINK("https://www.weblio.jp/content/茸", "词义详情")</f>
        <v/>
      </c>
      <c r="K2044">
        <f>HYPERLINK("https://yourei.jp/茸", "查看例句")</f>
        <v/>
      </c>
    </row>
    <row r="2045">
      <c r="A2045" t="inlineStr">
        <is>
          <t>気の毒</t>
        </is>
      </c>
      <c r="B2045" t="inlineStr">
        <is>
          <t>成功</t>
        </is>
      </c>
      <c r="C2045" t="inlineStr">
        <is>
          <t>読み方：きのどく
［名・形動］(スル)《もと、自分の気持ちにとって毒になることの意で、「気の薬(くすり)」に対する語》
１他人の不幸や苦痛などに同情して心を痛めること。また、そのさま。「お—に存じます」「—な境遇」
２他人に迷惑をかけて申し訳なく思うこと。また、そのさま。「彼には—なことをした」
３気にかかること。不快に思うこと。また、そのさま。
「思ひもつかねえことを言はれると、おいらも腹は立たねえが—だ」〈人・辰巳園・初〉
４困ってしまうこと。きまりが悪いこと。また、そのさま。
「親方の手前—のおもはくにて、顔を真赤にしてゐる」〈滑・浮世床・初〉
[派生]きのどくがる［動ラ五］きのどくげ［形動］きのどくさ［名］</t>
        </is>
      </c>
      <c r="D2045" t="inlineStr">
        <is>
          <t>気の毒そう(5%)；気の毒なほど；気の毒な気；気の毒な男；気の毒な事</t>
        </is>
      </c>
      <c r="E2045" t="inlineStr">
        <is>
          <t>不幸；残念；哀れ；悲惨；惨め</t>
        </is>
      </c>
      <c r="F2045" t="inlineStr">
        <is>
          <t>御気の毒；大変気の毒；気の毒なレイク；気の毒そうに；気の毒さうな顔</t>
        </is>
      </c>
      <c r="H2045" t="n">
        <v>29</v>
      </c>
      <c r="I2045" t="inlineStr">
        <is>
          <t>その大切な奴を殺しちゃったんだから、お気の毒だが、もう分らねえよ。；町筋の商人たちはそう囁きあい気のどくそうに見て見ぬふりをしていた。；話は当然のことながら、この気のどくな男の投獄のことに落ちていった。；私のような不甲斐ない者を気の毒に思ってくれた一人の生活人がいたのだ。；彼を気の毒に思ったハーヴェイ艦長が上陸許可を与えていたのであった。；ただ、かわいそうに、と言って気の毒そうな顔をしていられただけだよ。；私の難を紳士が受けたようなもので、まことにお気の毒でござりました。；この追放された半羊神は気の毒な笛をこんなところでひとり吹いてゐた。；それを考えるとわたしはほんとにあなたにお気の毒でならないと思うのよ。；つまり、きのどくな父があれほど恐れていたことがやってきたのです。；それが一倍青ざめて、沈んでいるのですから、本当に気の毒な様でした。；移民局の職員が気の毒に思って連れ帰り、後に結婚させることもあった。；「この人がここにいられないのはお気のどくですわ」とティフリン夫人。；それで僕のおとっさんを始めみんな大変に気の毒に思っていられたのである。；永年あなたと同じような気の毒なめにあった人を見て知っています。；どうもその人には気の毒だが芸能の世界はそうした特殊なものなんでしょう。；桜井庄之助という若い侍は姉思いから飛んだことになって気の毒でした。；向いの家の窓から女が二三人顔を出して、気の毒そうに見ている。；それにこんなやっかいなことになったのは、気のどくだと思ってるんだぜ。；そして戦歿の英霊が気の毒なのも二十の美女を好む意味に於てであるか。；あんまり汗をかいているので気のどくな気がしているのだろう。；少年は気の毒に思って、坂を上るときに、その車の後を押してやりました。；とにかくおかげでだんだんぼくを気のどくがる人が近所にできた。；気のどくだとは思いやしたが、こいつばっかしはどうなるもんでもねえ。；あまり気の毒だから、切腹はもうおやめなさいと申したそうでございます。；この顔を隠していつも無理にやさしく作り笑いをしていた気の毒な女。；細君も好きなお酒をやめてくれるのかと思えば気の毒が先に立つ。；同時にまた次第に粟野さんの好意を無にした気の毒さを感じはじめた。；見たとすると、気の毒だが、君は永久にここから出すわけにはいかぬ。</t>
        </is>
      </c>
      <c r="J2045">
        <f>HYPERLINK("https://www.weblio.jp/content/気の毒", "词义详情")</f>
        <v/>
      </c>
      <c r="K2045">
        <f>HYPERLINK("https://yourei.jp/気の毒", "查看例句")</f>
        <v/>
      </c>
    </row>
    <row r="2046">
      <c r="A2046" t="inlineStr">
        <is>
          <t>希薄</t>
        </is>
      </c>
      <c r="B2046" t="inlineStr">
        <is>
          <t>成功</t>
        </is>
      </c>
      <c r="C2046" t="inlineStr">
        <is>
          <t>読み方：きはく
［名・形動］
１液体や気体などの濃度・密度がうすいこと。また、そのさま。「酸素の—な山頂」
２ある要素の乏しいこと。物事に向かう気持ち・意欲などの弱いこと。また、そのさま。「問題意識が—だ」</t>
        </is>
      </c>
      <c r="D2046" t="inlineStr">
        <is>
          <t>希薄化(8%)；希薄な大気(3%)；希薄地帯；希薄溶液；希薄な地域</t>
        </is>
      </c>
      <c r="E2046" t="inlineStr">
        <is>
          <t>薄い；貧しい；足りない；稀薄；薄っぺら</t>
        </is>
      </c>
      <c r="F2046" t="inlineStr">
        <is>
          <t>希薄気体；希薄地域；ひどく希薄；希薄混合気；希薄気体力学</t>
        </is>
      </c>
      <c r="G2046" t="inlineStr">
        <is>
          <t>希薄磁性半導体</t>
        </is>
      </c>
      <c r="H2046" t="n">
        <v>29</v>
      </c>
      <c r="I2046" t="inlineStr">
        <is>
          <t>これは支援の望みが薄い人口希薄な地域しか保持しないことを意味した。；祖父さんと同じ程度に古い家だったが、生活の匂いはまるで希薄だった。；高度をあげてゆくにつれ、地上の意識が希薄になってゆくようであった。；事実、マヨラナはますます自分の存在が希薄になるのを感じていたのだ。；物語は希薄であり、プロットはほとんどないといってもよいほどである。；夏は希薄で乾燥した空気と夏の低い湿度のために気温が大きく変化する。；郡の北部とミッテルラント運河南の帯状の一帯は特に人口が希薄である。；一定の領地を持たないために価値観が安定せず、魂が希薄になりやすい。；都市から離れた人口が希薄な地域を経由することから輸送量は少ない。；人口が希薄な地域では通常の方法で病院を経営する事ができない。；彼が変わったということも、私たちの愛情が希薄になったということも。；誰かを使うという発想そのものが希薄で、思考はすぐに停止してしまう。；彼らと生活を共にするうち、俺も時間の観念がだんだん希薄になってきた。；美人であることは間違いないのだが、彼女には固有の雰囲気が希薄だった。；多忙の工場経営者の父のもとに生まれ、父親との関係は希薄であった。；石杖さんには警戒心というものが希薄で、何を訊いても答えてくれる。；後期の主力商品となったが、この頃から隊員との連携が希薄になっていく。；あれだけ接近しても気配を感じないほど肉体が希薄になっていたキャスター。；この段階に至ると家産官僚の持っていた官僚としての性格は希薄となる。；あまりの苦痛に、どうやら現実感覚が希薄になってしまっているようだった。；「人間は希薄な空気の中に消えるものではない」将校は不機嫌にいった。；人口は希薄であり、1964年に建設された道が存在する程度である。；またトンネル部はスピード感覚が希薄になるため走行速度には注意を要する。；腕の部分の構造を希薄にして、ガラスの分子の間に滑り込ませたのである。；この嵐があった範囲は、当時の希薄な人口と記録の少なさゆえに不明である。；彗星の希薄なコマではX線を十分に反射することができないためである。；銀河の物質が極端に希薄な分布であることにより、衝突はを誘発し得る。；その多くが旧宗主国に忠誠を誓ったため、故郷との関係が希薄となった。；本体と並ぶと消えてしまうような、希薄な存在なのかもしれない。</t>
        </is>
      </c>
      <c r="J2046">
        <f>HYPERLINK("https://www.weblio.jp/content/希薄", "词义详情")</f>
        <v/>
      </c>
      <c r="K2046">
        <f>HYPERLINK("https://yourei.jp/希薄", "查看例句")</f>
        <v/>
      </c>
    </row>
    <row r="2047">
      <c r="A2047" t="inlineStr">
        <is>
          <t>規範</t>
        </is>
      </c>
      <c r="B2047" t="inlineStr">
        <is>
          <t>成功</t>
        </is>
      </c>
      <c r="C2047" t="inlineStr">
        <is>
          <t>読み方：きはん
１行動や判断の基準となる模範。手本。「社会生活の—」
２《(ドイツ)Norm》哲学で、判断・評価・行為などの基準となるべき原則。</t>
        </is>
      </c>
      <c r="D2047" t="inlineStr">
        <is>
          <t>規範的(10%)；規範性；規範化；規範体系；規範主義</t>
        </is>
      </c>
      <c r="E2047" t="inlineStr">
        <is>
          <t>基準；標準；規格；準拠；座標</t>
        </is>
      </c>
      <c r="F2047" t="inlineStr">
        <is>
          <t>倫理規範；道徳的規範；生活規範；文化的規範；王獣規範</t>
        </is>
      </c>
      <c r="G2047" t="inlineStr">
        <is>
          <t>規範倫理学；規範文法；規範的分析；規範字；規範法則</t>
        </is>
      </c>
      <c r="H2047" t="n">
        <v>29</v>
      </c>
      <c r="I2047" t="inlineStr">
        <is>
          <t>この時期に、インドで現れる大半の価値規範が形成されたと考えてよい。；なお、これらの規範は、科学界で広く受け入れられているものではない。；現在の規範はそれらの分析・発展を繰り返して完成したものである。；道徳的規範は、それぞれの地域の生態的状況や歴史の影響を受けている。；deを用いるのが規範的かそうでないか知る方法には次のようなものがある。；そのような経緯もあり、言語規範はどれも北朝鮮のものとほぼ同一である。；しかし彼らは同じ法律、宗教、道徳の規範に従うことを期待されていた。；それゆえ規範的には、双方と連合し続けていることになっていた。；これらは女性を守る為と貞淑さを求める事を規範としているからであるとされる。；これはそれ以後産業界で規範となる国際的な巨大企業の誕生であった。；どの住宅も同規模、内容に設計され、平等を規範としたものであった。；道徳的規範は、成文化された規則である法律と一致しない場合もある。；従来の規範表5つをひとつにまとめたことは、本表の特徴のひとつである。；実際に、牡丹峰楽団の公演などでも次のような非規範的な発音がみられる。；室町時代の面はと呼ばれ、江戸時代以降の能面の理想・規範とされた。；まず、子供達の物理的規範を強調し、それから大人たちも対象となった。；その後スウェーデンでは文学的規範を外国文献に求めることになる。；生徒規範の研究は研究者のみならず学校現場からの注目を集めた。；ここで導入されている自然法の規範によれば人間には所有権が認められている。；行為に対する規範的評価を明らかにする機能を規制的機能という。；つまり所与の社会的・医学的な規範・標準から離れた神経タイプと言われる。；イスラム以前のアラビア語は、複数の規範を持っていたと考えられている。；以下では、各国や各地域で実際に提唱・実施されている規範の具体例を記述する。；これら四大家の山水画は、後の明・清時代にも正統派絵画の規範とされた。；彼の最大の業績は一般意味論と呼ばれる規範を確立したことである。；それは、当時の女性に求められた規範と同様のものであった。；私はセルジュ・クラルスフェルトが示してくれた規範に従おうとした。；そこでウルトラ怪獣のデザインに当たり、 という三つの規範を定めた。；どちらの規範でも最初の規則は感覚のある生き物の命をとることを慎むことである。</t>
        </is>
      </c>
      <c r="J2047">
        <f>HYPERLINK("https://www.weblio.jp/content/規範", "词义详情")</f>
        <v/>
      </c>
      <c r="K2047">
        <f>HYPERLINK("https://yourei.jp/規範", "查看例句")</f>
        <v/>
      </c>
    </row>
    <row r="2048">
      <c r="A2048" t="inlineStr">
        <is>
          <t>基盤</t>
        </is>
      </c>
      <c r="B2048" t="inlineStr">
        <is>
          <t>成功</t>
        </is>
      </c>
      <c r="C2048" t="inlineStr">
        <is>
          <t>読み方：きばん
物事を成立させるための基礎となるもの。土台。「生活の—を固める」</t>
        </is>
      </c>
      <c r="D2048" t="inlineStr">
        <is>
          <t>基盤的(5%)；基盤整備(2%)；基盤技術；基盤強化；基盤作り</t>
        </is>
      </c>
      <c r="E2048" t="inlineStr">
        <is>
          <t>本；元；基本；拠点；ベース</t>
        </is>
      </c>
      <c r="F2048" t="inlineStr">
        <is>
          <t>権力基盤；都市基盤；勢力基盤；営業基盤；財政基盤</t>
        </is>
      </c>
      <c r="G2048" t="inlineStr">
        <is>
          <t>基盤施設；基盤地図情報</t>
        </is>
      </c>
      <c r="H2048" t="n">
        <v>29</v>
      </c>
      <c r="I2048" t="inlineStr">
        <is>
          <t>つまり最初の時点で白人至上主義的な考えが基盤に存在していたのである。；この港は集住の起源であり、カンペールの経済基盤の一つとなってきた。；オッチギンは遊牧と農耕を基盤にこの地で独立的な勢力を形成していた。；この期間は、苦難の連続だった一方で会社の基盤を造る期間でもあった。；彼は経済基盤を健全化し、それを実現するために専制的な支配を強めた。；さらに、人間の生活と活動に欠くことのできない基盤と位置づけられる。；上記を含め、最小二乗法の理論的基盤には次のような前提が設けられている。；さらに学校の宗教的基盤を、同志社と同一にすることの保証も確約した。；こうした都市は川の対岸のゲルマン人たちとの交易を経済基盤としていた。；ヘルシンキの経済は徐々に工業から今日の基盤となるサービス部門に移って来た。；一方、多くの国々で良心的兵役拒否権に法的基盤がないのも事実である。；特に太平洋ベルト地帯には前述の都市機能や経済基盤などが集中している。；メソポタミアの土地は肥沃であり、経済の基盤は農業に置かれていた。；ただし暗礁となるには基盤となる部分へのさらなる堆積が必要だった。；港周辺には工場が集積しており、ストラスブール経済の重要な基盤である。；ニューハンプシャー州は20世紀に経済的基盤の重要な転換を経験した。；新居住地にはドイツ都市法を基盤とした新しい特許状が与えられた。；センターは、国立天文台の基盤となる観測業務活動を支援する組織である。；古生代の岩はこうした地質学的な影響を受けない基盤となっている。；近未来を舞台にした小説では、医学や科学の知識を基盤としている。；こうした中で支援の原資となるIMFの資金基盤強化が急務となった。；林業やスイートピーなどの栽培を中心とした農業を基盤産業とする。；アフリカでは経済基盤も発達している方だとされる。；世界的な観光業の成立以前は農業が国の基盤だった。；第2に、政策機関は、自分の仕事や議論の基盤となることができる。；この研究により、複雑系と呼ばれる新しい科学分野の基盤が確立した。；アニメ版を基盤としてゲームボーイアドバンス用のゲームも発売された。；こうした発明は以後の技術発展の基礎となるものであり、人類の繁栄の基盤となった。；中世的な町が形成されたのはおそらく10世紀のことで貴族の荘園が経済の基盤となっていた。</t>
        </is>
      </c>
      <c r="J2048">
        <f>HYPERLINK("https://www.weblio.jp/content/基盤", "词义详情")</f>
        <v/>
      </c>
      <c r="K2048">
        <f>HYPERLINK("https://yourei.jp/基盤", "查看例句")</f>
        <v/>
      </c>
    </row>
    <row r="2049">
      <c r="A2049" t="inlineStr">
        <is>
          <t>厳しい</t>
        </is>
      </c>
      <c r="B2049" t="inlineStr">
        <is>
          <t>成功</t>
        </is>
      </c>
      <c r="C2049" t="inlineStr">
        <is>
          <t>読み方：きびしい
［形］［文］きび・し［シク］
１厳格で少しのゆるみも許さないさま。厳重である。「—・いしつけを受ける」「—・く取り締まる」「練習が—・い」
２いいかげんな対処が許されないさま。困難が多くて、大変なさま。「生活が—・い」「前途は—・い」
３自然現象などの程度が著しいさま。
㋐傾斜が急である。けわしい。「—・い山容」
㋑気象条件がなみはずれている。激しい。ひどい。「寒さが—・くなる」「残暑—・い折から」
４物事の状態が緊張・緊迫しているさま。「—・い国際情勢」「表情を—・くして会見する」
５すきまがなく密である。
「松—・しく生ひつづき」〈東関紀行〉
６なみはずれているとしてあきれ、また、感心するさま。たいしたことだ。結構だ。→厳し
「鯛の浜焼に、蛸(たこ)の桜煮、これは—・いお持たせぢゃな」〈伎・五大力〉
[補説]平安初期にはク活用。
[派生]きびしげ［形動］きびしさ［名］</t>
        </is>
      </c>
      <c r="D2049" t="inlineStr">
        <is>
          <t>厳しいもの(4%)；厳しい状況(2%)；厳しい批判；厳しい表情；厳しい環境</t>
        </is>
      </c>
      <c r="E2049" t="inlineStr">
        <is>
          <t>大きい；困難；大変；激しい；恐ろしい</t>
        </is>
      </c>
      <c r="F2049" t="inlineStr">
        <is>
          <t>最も厳しい；厳しい態度；厳しい制限；厳しい目；厳しい指導</t>
        </is>
      </c>
      <c r="H2049" t="n">
        <v>29</v>
      </c>
      <c r="I2049" t="inlineStr">
        <is>
          <t>これらに加えさらに厳しい指導基準を各生産地域が設けている場合もある。；ますは性格の厳しい人で自由に友人を作る事も遊ぶ事も許されなかった。；このような販売はバーの業務と考えられ、バーにはより厳しい制限がある。；単位生協での存続は厳しいため、多くの生協は事業連合に加盟している。；これがあのまま本宮に暮らしていたのでは、さすがに厳しかったはずだ。；以下、利用量が最大で要求レベルも厳しい、電子工業界を中心に記述する。；したがって彼らは他人にはみられない厳しさをもって言葉に臨むのである。；その声音は半分は厳しさを帯びていたが、残りの半分は嬉しそうだった。；父親は厳しいなんてものじゃなく、自転車ごと投げられたこともあると語る。；特に70年代はオイルショック等の要因で南北対立が厳しくなっていた。；それに寒さもかなり厳しかったので、火を焚いて暖をとる必要があった。；もちろん長い目で見ればうまくいくけど、ここ数日非常に厳しかった。；しかし、これらは李鴻章の予想をはるかに超えた厳しい条件であった。；占領軍の政策は過去の一切を否定するかのような厳しさで日本に迫っていた。；上流部は三国山脈などの高山地帯があり、冬季は雪が多く寒さが厳しい。；そのため、担任の先生の時には感情的な爆発を伴う厳しさを知らなかった。；あまり反対が厳しかったので、結局、その人とは会わないようになった。；最初のうちは予想していた以上に厳しかったけど、いまはうまく行っている。；新しい法を布告するたび、少し厳しすぎるのではと言う官吏が必ずいる。；北海道は北の芸所といわれるだけあって、観客の眼も耳も厳しかった。；現在も京都の祇園を中心とした花街で厳しいしきたりの下で活躍している。；それでも彼は妻が小さい子供に厳しすぎると心の中で思っているらしかった。；若い頃は、美人と呼ぶには厳しすぎる顔だちであったにちがいない。；結果としてユダヤ人は多くの都市で厳しい規則のもとに置かれた。；ただし南極半島など寒さが厳しい地域では、冬には海岸から見られなくなる。；また義持は武装だけでなく、飲酒に対しても厳しい禁止令を出している。；現在では、生物の持込には厳しい制限を敷く保護政策がとられている。；しかし、見張りの兵が辺りを厳しく監視しているため通ることができない。；父は芝居に厳しくセリフを覚えられないと学校に行かせてもらえなかった。</t>
        </is>
      </c>
      <c r="J2049">
        <f>HYPERLINK("https://www.weblio.jp/content/厳しい", "词义详情")</f>
        <v/>
      </c>
      <c r="K2049">
        <f>HYPERLINK("https://yourei.jp/厳しい", "查看例句")</f>
        <v/>
      </c>
    </row>
    <row r="2050">
      <c r="A2050" t="inlineStr">
        <is>
          <t>気品</t>
        </is>
      </c>
      <c r="B2050" t="inlineStr">
        <is>
          <t>成功</t>
        </is>
      </c>
      <c r="C2050" t="inlineStr">
        <is>
          <t>読み方：きひん
どことなく感じられる上品で気高い趣。「—のある物腰」「—の感じられる文章」</t>
        </is>
      </c>
      <c r="D2050" t="inlineStr">
        <is>
          <t>気品高く；気品高い；気品あふれる；気品たかく；気品溢れる</t>
        </is>
      </c>
      <c r="E2050" t="inlineStr">
        <is>
          <t>品；高貴；雅；自尊心；プライド</t>
        </is>
      </c>
      <c r="F2050" t="inlineStr">
        <is>
          <t>高雅な気品；難い気品；美しく気品；静かな気品；貴族的な気品</t>
        </is>
      </c>
      <c r="H2050" t="n">
        <v>29</v>
      </c>
      <c r="I2050" t="inlineStr">
        <is>
          <t>力と美と気品がこれほどまでに渾然一体となったものは見たことがない。；ファン・スウィーテンの頭部は自信を持った気品のある男のものである。；気品ある格式高い曲風で知られ、現在でも数多くの作品が愛されている。；けれどもその長い眉と黒く澄んだ眼の気品に打たれて又伏し眼になった。；夕顔のような気品は、それが以前侍の妻であったことをだれにも思わせた。；背高く年三十代の全体に何となく気品ある様子が自分の好奇心をひいた。；あれほど冷静で気品のある顔に、恐怖の色を見たのははじめてだった。；先生はただ気品のない画を掛けたものだと思ったばかりである。；生まれながらにしての気品というか、そういう空気がなにより重要なのだ。；お前の面立ちも一しほ気品が高く、昔は花にウソつく美人であつたらう。；中国地方広しといえど、これほど気品のある女性には会うことがなかった。；何処か沈んだやうな調子の声で、何気ない気品といつたものが感ぜられた。；玉子には犯しがたい気品と、誰の心をも捉えずにはおかない魅力があった。；男は、かなり気品のある、と同時にいそいそとした足どりで入って来た。；一人の背の高い、気品のある、天使のような婦人を想像していただきたい。；あの気品高く虫も殺さぬ顔をして外を歩いていた女たちが。；それは貧しい服装に恥じらいを感じない人々にいつも見られる気品である。；青年はその気品に打たれ、宮のお言葉に逆らってまで思いを遂げられない。；ミレルは最初から貴族の家に生まれついたかのような気品を漂わせていた。；ウジェニーの美しさ、気品とマナーの魅力は皇帝支配の輝きに貢献した。；気品のある人々に頭を下げさせるつもりでいるのも間違っている。；まことの貴族には、このやうな無邪気なつくろはぬ気品があるものだ。；雪のような白い肌をし、面長で鼻は高く、気品あふれる顔をなされていた。；アテーナーの上衣もまた、身につける者に神々しい気品を与えたという。；顔つきは醜かったが、気品のある態度と謙虚な心の人のように見受けた。；いま見ると、背もすらりとして気品もあるし、まるで違う人のようであった。；前から表情は明るかったが、今はそれに気品のようなものが付加されている。；この作品には気品はあるが、香気を持つまでに至らず終つてしまつたのだ。；やんごとなきかたをお乗せする馬は、鼻面が長く気品のあるのが選ばれる。</t>
        </is>
      </c>
      <c r="J2050">
        <f>HYPERLINK("https://www.weblio.jp/content/気品", "词义详情")</f>
        <v/>
      </c>
      <c r="K2050">
        <f>HYPERLINK("https://yourei.jp/気品", "查看例句")</f>
        <v/>
      </c>
    </row>
    <row r="2051">
      <c r="A2051" t="inlineStr">
        <is>
          <t>寄付</t>
        </is>
      </c>
      <c r="B2051" t="inlineStr">
        <is>
          <t>成功</t>
        </is>
      </c>
      <c r="C2051" t="inlineStr">
        <is>
          <t>読み方：きふ
［名］(スル)公共事業や社寺などに、金品を贈ること。「—を募る」「被災者に衣類を—する」「—金」</t>
        </is>
      </c>
      <c r="D2051" t="inlineStr">
        <is>
          <t>寄付する(9%)；寄付される(3%)；寄付者(2%)；寄付金；寄付額</t>
        </is>
      </c>
      <c r="E2051" t="inlineStr">
        <is>
          <t>寄贈；寄進；寄稿；拠出；寄附</t>
        </is>
      </c>
      <c r="F2051" t="inlineStr">
        <is>
          <t>寄付によって賄わ；莫大な寄付；直接寄付；多大な寄付；慈善寄付</t>
        </is>
      </c>
      <c r="G2051" t="inlineStr">
        <is>
          <t>寄付行為；寄付講座；寄付か；寄付き；寄付のお願い</t>
        </is>
      </c>
      <c r="H2051" t="n">
        <v>29</v>
      </c>
      <c r="I2051" t="inlineStr">
        <is>
          <t>これらのものは寄付や自己資金をもとにして利用者に無料で提供される。；そのため相反する主張を行う団体の両方に寄付を行っていることもある。；そのため、ほとんどの宗教では信徒から寄付が集められることとなった。；またこれらの領土や人民は国王の許可なく寺院に寄付することができた。；上記の中央共同募金会のように寄付それ自体を目的とした機関も存在する。；世界的に見ると寄付の社会への浸透度も国・地域によって大きく異なる。；そのため多くの企業が学校に寄付をするなどして支援している。；教会のメンバーはデュボイスの大学の学費を支払うために寄付を集めた。；これらの日語学校は基本的には移民たちの寄付で運用されていた。；彼は自分で財界から寄付を募って、研究所の予算を四倍にまで伸ばした。；海外から寄せられた義捐金にはヘレン・ケラーからの寄付も含まれていた。；この年には11勝を挙げたため、寄付の総額は110万円にまで達した。；現在は大阪市の緑化事業に寄付をするなど、慈善事業に力をいれている。；上智大学内にはクルップ社からの寄付で建てたクルップ・ホールがある。；そのため、大阪の八百八橋は皆町人の寄付で作られたといわれる位である。；スタンフォード夫妻は、大学を発展させるために約4千万ドルを寄付した。；車両は市に寄付されたが、保存活動は引き続き保存会が行っている。；サダカで寄付された学校などには寄進者の名前が刻まれることはない。；日本では、一般に寄付者と仲介者とに信託関係が発生すると考えられている。；その後も両組織に寄付をしており、他の大学にも寄付をしている。；なお、寄付された児童福祉施設はエンディングの際に表示されていた。；結婚していなかったピゼンデルは、その遺産を全て慈善事業に寄付した。；日本中で演説会をして回って、2年をかけて5000円の寄付を集めた。；売り上げは城の整備のほか被災した他地域の城に寄付されている。；同社は開発した懐中電灯をニューヨーク市警に寄付し好意的な反応を得た。；初めは固辞していたが、賞金を寄付するという条件で受賞することになる。；全員に十分な援助費が出ないのは卒業生の寄付が少ないため。；これは、彼女が病院に10万ドル以上を寄付したことを意味する。；寄付者の名前はキャンパス内の主要な建物の多くに刻まれている。</t>
        </is>
      </c>
      <c r="J2051">
        <f>HYPERLINK("https://www.weblio.jp/content/寄付", "词义详情")</f>
        <v/>
      </c>
      <c r="K2051">
        <f>HYPERLINK("https://yourei.jp/寄付", "查看例句")</f>
        <v/>
      </c>
    </row>
    <row r="2052">
      <c r="A2052" t="inlineStr">
        <is>
          <t>気風</t>
        </is>
      </c>
      <c r="B2052" t="inlineStr">
        <is>
          <t>成功</t>
        </is>
      </c>
      <c r="C2052" t="inlineStr">
        <is>
          <t>読み方：きふう
気性。気だて。特に、ある集団・地域内の人々に共通する気質。「代々伝わる進取の—」</t>
        </is>
      </c>
      <c r="D2052" t="inlineStr">
        <is>
          <t>気風が強く；気風が強い；気風がよく</t>
        </is>
      </c>
      <c r="E2052" t="inlineStr">
        <is>
          <t>エトス；エートス</t>
        </is>
      </c>
      <c r="F2052" t="inlineStr">
        <is>
          <t>そういう気風；そんな気風；尊重する気風；リベラルな気風；こういう気風</t>
        </is>
      </c>
      <c r="H2052" t="n">
        <v>29</v>
      </c>
      <c r="I2052" t="inlineStr">
        <is>
          <t>俺は決して明るくはないが、外に開けた気風を維持しているつもりだ。；なるほど当時の気風から見れば、これは何でもないことであったろう。；日本人は昔から芸術家を尊敬するところの高尚なる気風を持つ国民である。；この時代にはまだ武士が金銭をいやしむ気風は、特殊な人以外にはない。；このような考え方が当時の啓蒙主義的な気風のなかで広く受け入れられた。；そしてそれが種類こそ違ふが、一種の気風を形ちつくつて居るのは面白い。；彼一人がそうなることはクラスの平和のため、気風のために大変好かった。；またフレスコ画でも知られ、12世紀の表現の詳細や気風を表している。；少なくともそういう気風がもっと盛んになってほしいと私は思う。；そうしてふたりはしきりに今の学生間の消息と学生の気風とを語った。；これは大阪を中心にした上方の一般の気風であるかも知れません。；自由に描くことが許される気風の中で、後に有名になる多くの画家がここで育った。；この頃、どの家でも畑つくりをやっていて、気風がわかるようでしょうね。；初めて見る江戸の賑わいと、江戸者の気風に圧倒されていた感がある。；御大の直吉をはじめ社全体が、新聞が何を書こうが意に介せぬ気風であった。；秀吉が植えつけた華美な気風が、世間に根をひろげて花を咲かせていた。；海軍ではハイカラな気風があって、香水を使っている者は少なくなかった。；その代わり、何かにつけ、笑うことをよしとする気風が強く残った。；街とその気風は市壁の中に封じ込められてしまったのであった。；私どもの若い頃の都市中流家庭では、禁欲的な気風が生きていたからである。；こういった気風が、相当長期にわたって全琉球にみなぎっていたという。；そんな気風の中で、唐寅は自作の絵や書を売りながら生計を立てていく。；畑の黒土はわずかに息をはき風が吹いて花は強くゆれ、唐檜も動きます。；交通の要路にあるため、旅人をもてなすことを楽しみとする気風も強い。；だがきみはわたしと同じような気風の男だとわかったから、ひと肌脱ごう。；そこと正文夫婦の住む母家との間には一見して判る気風の相違が現れてゐた。；連歌などの流行もあり、武士の間でも優雅な気風が生まれつつあった。；床屋さんの気風つてものは、昔からこれや一種特別なものらしいね。；この奇抜な家を見ただけでも主人の気風が知られて、彼には早くも半分絶望感がきた。</t>
        </is>
      </c>
      <c r="J2052">
        <f>HYPERLINK("https://www.weblio.jp/content/気風", "词义详情")</f>
        <v/>
      </c>
      <c r="K2052">
        <f>HYPERLINK("https://yourei.jp/気風", "查看例句")</f>
        <v/>
      </c>
    </row>
    <row r="2053">
      <c r="A2053" t="inlineStr">
        <is>
          <t>起伏</t>
        </is>
      </c>
      <c r="B2053" t="inlineStr">
        <is>
          <t>成功</t>
        </is>
      </c>
      <c r="C2053" t="inlineStr">
        <is>
          <t>読み方：きふく
［名］(スル)
１高くなったり低くなったりしていること。「ゆるやかに—する丘」
２盛んになったり衰えたり、さまざまな変化があること。「—に富んだ人生」「感情の—が激しい」</t>
        </is>
      </c>
      <c r="D2053" t="inlineStr">
        <is>
          <t>起伏型；起伏式；起伏面；起伏堰；起伏山地</t>
        </is>
      </c>
      <c r="E2053" t="inlineStr">
        <is>
          <t>変化；波；浮き沈み；アップダウン；波瀾万丈</t>
        </is>
      </c>
      <c r="F2053" t="inlineStr">
        <is>
          <t>ゆるやかな起伏；緩やかな起伏；大きな起伏；小起伏；大きく起伏</t>
        </is>
      </c>
      <c r="H2053" t="n">
        <v>29</v>
      </c>
      <c r="I2053" t="inlineStr">
        <is>
          <t>顔と首の部分の皮膚は感情の起伏に応じて血流が変化し、よく赤くなる。；起伏があるのはこの部分だけで、他は直線も含めほぼ平坦となっている。；あとはストーリーの起伏にあわせて、各コマ内の影を考えねばならない。；地形は北に向かって起伏が高くなっており、平均高度は400mである。；一方で土地に起伏もあり、今は多くが暗渠となったが、小さな川もある。；地域内の起伏の多さと南に位置することから、多くの動物種が生息している。；そして二つとも土地の起伏の間に隠れ、約一里半ばかりの道で相通じている。；この頃2人は広く開けた海水域が近くにある起伏の多い地形を進んでいた。；バクーは起伏の激しい地形のため、とても深い場所に造られた駅がある。；地面の起伏しているこの都会の中を散歩してると、偶然それらに出会った。；公園内は起伏に富んでおり、西側と比べて東側の方が高くなっている。；四方を山や丘陵に囲まれた高原であり、起伏豊かな地形を形成している。；また、起伏が激しいため、この他に有料エレベーターも運行されている。；勿論その感情の波を起伏させる段取りには大地震や火事を使ふのである。；しかし激しい起伏が存在するので実際に工事する上で不便であった。；ジョージアは、起伏の多い地形にもかかわらず交通は比較的発達している。；起伏に富む地形での戦闘はイタリア半島での戦闘に近いものであった。；流域は主に越後山脈に属しているため起伏が激しく落差が非常に大きい。；そのような異様な状況に置かれた囚人たちの感情の起伏や葛藤を描いている。；大きな起伏や傾斜のついたコーナーを含む約400mのコースで行われる。；街道そのものは多くの場所で直線であるが、砂丘が続き起伏の多い道である。；低地の平野部よりも、地形に起伏のある山地などのほうが発生しやすい。；これは起伏により逆転層が形成されやすくなることなどが原因である。；アペニン山脈が州の多くを占めており、全体的に起伏の多い地形である。；丘陵の起伏がひどくて耕地が少なく、住民は半農半漁の生活をしている。；武蔵野台地の端に位置するため起伏に富み、緑豊かな閑静な地域にある。；スクリーブは起伏に富んだドラマが展開するリブレットを提供している。；コース全体の特徴は、地形の変化が激しく、起伏に富んでいることである。；南部を除く区間は平坦なコースとなっているが、島特有の起伏がある。</t>
        </is>
      </c>
      <c r="J2053">
        <f>HYPERLINK("https://www.weblio.jp/content/起伏", "词义详情")</f>
        <v/>
      </c>
      <c r="K2053">
        <f>HYPERLINK("https://yourei.jp/起伏", "查看例句")</f>
        <v/>
      </c>
    </row>
    <row r="2054">
      <c r="A2054" t="inlineStr">
        <is>
          <t>ギフト券</t>
        </is>
      </c>
      <c r="B2054" t="inlineStr">
        <is>
          <t>成功</t>
        </is>
      </c>
      <c r="C2054" t="inlineStr">
        <is>
          <t>読み方：ぎふとけん
⇒ギフトカード1</t>
        </is>
      </c>
      <c r="H2054" t="n">
        <v>19</v>
      </c>
      <c r="I2054" t="inlineStr">
        <is>
          <t>発行されたギフト券は、登録しているメールアドレスに送られる。；また、すでにTシャツを所持している者に対しては、ギフト券や手紙を送ったとしている。；従来、紙券として発行していたギフト券をデジタル化し、手軽に送り受けることが可能。；採用されると秋田市のケーキ店のギフト券がプレゼントされていたが、2006年11月現在はない。；また、近年、活用されている電子グリーティングカードでは、ギフト券を兼ねているものもあり、挨拶状だけではなく、贈答品としての側面も見られる。；同社はベルマーク運動に参加しており、グリーンスタンプギフト券・店名入りのポイント券・従来の紙スタンプ券を貼った商品交換台紙を、カタログに掲載されている商品との交換をする際にベルマークが配布される。；リニューアルを記念してこの日から一週間、データ放送を導入して本番組を含めた対象の時間帯にDaiichi-TVを視聴すると大手通販サイトのギフト券プレゼントも実施。；表紙には金額ではなく「1kg」の記載があり、裏面に「お好みのお米440円分とお引換いたします」と記載されているなお、同タイプの商品券にJA全農が発行する「おこめギフト券」があり、両者を区別せずに「おこめ券」ということも多い。；東京都食肉事業協同組合加盟であるが上部組織全国食肉事業協同組合連合会発行のお肉のギフト券は利用対象外。；新聞や加盟店での事業終了・払戻期間の公告・掲示で済むようになり、使用中止に伴う払い戻し期間が最低60日に短縮されたため、需要の低下した文具券や音楽ギフトカード、花とみどりのギフト券、ヘルスギフト券など使用停止になる金券が増えており、払い戻し期間を過ぎて、知らない間に「紙くず」となる例が増えている。；株式会社DYMが運営する「みんなのクーポン」が2011年1月10日9時に「スタート特別企画 ハーゲンダッツ ギフト券 100円キャンペーン」を掲載・販売したところアクセスが集中し、購入できない状態となっていた。；ふるさと納税の寄付者に対する返礼品として、Amazonで使えるギフト券を贈っていたことが発覚し問題となった。；次回以降チケット購入の際に1ポイント=1円として利用できるほか、楽天Edyやnanaco、各種ギフト券等に交換することができる。；貯まったポイントは、1ポイント=1円相当で現金や各種電子マネー、ギフト券、マイル、暗号資産へと交換が可能。；このほか、贈答用として、有効期間内であれば随時「グランドパス65」と引き換えられるギフト券がある。；その後Cmodeサイト上でサービス終了を2011年3月31日まで延期することが告知され、2011年1月から3月末までC-mode携帯サイト上で申し込むことにより、プリペイド残高に応じてプレミアムを加えた「コカ・コーラギフト券」に交換する取扱が行われた。；さらにゲストコーナーを設け、CDギフト券や、缶コーヒー「WONDA」が当たるプレゼントクイズが新設された。；ポンパレが2010年11月5日に掲載した「ハーゲンダッツ アイスクリーム ミニカップ 120ml 2個 ギフト券」660円分を100円で!；DMMマネーカード、コンビニでの「DMMギフト券」取り扱い、2012年チャリロト取り扱い開始。</t>
        </is>
      </c>
      <c r="J2054">
        <f>HYPERLINK("https://www.weblio.jp/content/ギフト券", "词义详情")</f>
        <v/>
      </c>
      <c r="K2054">
        <f>HYPERLINK("https://yourei.jp/ギフト券", "查看例句")</f>
        <v/>
      </c>
    </row>
    <row r="2055">
      <c r="A2055" t="inlineStr">
        <is>
          <t>気分</t>
        </is>
      </c>
      <c r="B2055" t="inlineStr">
        <is>
          <t>成功</t>
        </is>
      </c>
      <c r="C2055" t="inlineStr">
        <is>
          <t>読み方：きぶん
１快・不快など、ある期間持続する、やや漠然(ばくぜん)とした心身の状態。
㋐ある状況によってもたらされる、その時の心持ち。「仕事をする—になれない」「今日は—がのらない」「—を新たにする」
㋑からだの状態によって生じる気持ち。「船酔いで—が悪くなる」「—がすぐれない」
２その場の雰囲気(ふんいき)。趣。「音楽が会場の—を盛り上げる」「正月—が抜けない」「お祭り—」
３気質。気性。「さっぱりした—の人」
→気持ち［用法］</t>
        </is>
      </c>
      <c r="D2055" t="inlineStr">
        <is>
          <t>気分次第；気分良く；気分しだい；気分悪く；気分転換</t>
        </is>
      </c>
      <c r="E2055" t="inlineStr">
        <is>
          <t>気；感じ；思い；性；様子</t>
        </is>
      </c>
      <c r="F2055" t="inlineStr">
        <is>
          <t>いい気分；そんな気分；妙な気分；嫌な気分；複雑な気分</t>
        </is>
      </c>
      <c r="G2055" t="inlineStr">
        <is>
          <t>気分障害；気分屋；気分安定薬；気分変調；気分爽快</t>
        </is>
      </c>
      <c r="H2055" t="n">
        <v>29</v>
      </c>
      <c r="I2055" t="inlineStr">
        <is>
          <t>また、一人での旅の気分を味わってみたかったことも理由にあげている。；暇な時や気分が良い時はいつも愛聴の音楽を耳にしながらダンスしている。；不幸の上にさらなる不幸の連続で読み終わっても幸せな気分にはなれない。；また小旅行気分も味わえるこのルートを選択する旅客も少なくなかった。；私は自分が永遠に生きるのではないかと思うと、空恐ろしい気分になる。；衝動が行わせようとする事をすれば気分が良くなり、しなければ悪くなる。；坂井は自らがスポーツ選手になった気分で曲作りを行ったと語っている。；これらにおいてはそれを行う人々の態度や気分が鋳造されるのである。；ドミニク・ブスノによれば、彼の服の色が彼の気分に関係していたという。；月は人間の感情や情緒的気分などの心理的傾向を示すといわれている。；実験は気分が悪くなる乗客が続出したため、翌3月24日に中断された。；部屋にいながらにして様々な乗物での旅気分を味わうことのできる道具。；これで扇いだ風を浴びた者は、誰でもお祭り気分になって踊り出してしまう。；剣劇を得意としており、単なるパンチやキックよりも気分が乗るという。；自分でそのキャラクターなどを描けた気分になるという楽しみがある。；快速なポルカ・シュネルの数々ではさらに愉快な気分が強調されている。；コーダは長く、第1主題を元に気分を高揚させていき華やかに曲を結ぶ。；ふたりの若者を店に残して通りへ出た幸助は、喧嘩を収めたことで気分がよい。；その曲は死海文章のような、不気味なものを読んでいる気分にさせる。；大多は悩みながらも、小田が気分を害するのを覚悟で別の曲を依頼した。；毎回やるわけではなく内村の気分次第であった為半年に一回行う程度であった。；以降はD陣の気分が乗ったときに行くというスタイルになっている。；「かぁいいもの」の基準は特になく、ただの気分であると自覚している。；また洋楽が流れており、パーティ会場にいるゲストの気分を盛り上げる。；自分の好みや気分に合わせて付け替える事が可能となっている。；そのような状況になるとこの私は気分が高まり、一升の酒が飲めるのです。；しかし今日は気分が良くなったので、学校へ行くことにした。；このニーズが満たされたとき、自分自身について気分が良くなっている。；この戦闘をお祭り気分で見ていた北部の文民や政治家達もパニックに陥った。</t>
        </is>
      </c>
      <c r="J2055">
        <f>HYPERLINK("https://www.weblio.jp/content/気分", "词义详情")</f>
        <v/>
      </c>
      <c r="K2055">
        <f>HYPERLINK("https://yourei.jp/気分", "查看例句")</f>
        <v/>
      </c>
    </row>
    <row r="2056">
      <c r="A2056" t="inlineStr">
        <is>
          <t>気分転換</t>
        </is>
      </c>
      <c r="B2056" t="inlineStr">
        <is>
          <t>成功</t>
        </is>
      </c>
      <c r="C2056" t="inlineStr">
        <is>
          <t>読み方：きぶんてんかん
今までとは別の気分になること。気分を切り替えること。「—に散歩でもしないか」</t>
        </is>
      </c>
      <c r="D2056" t="inlineStr">
        <is>
          <t>気分転換法</t>
        </is>
      </c>
      <c r="E2056" t="inlineStr">
        <is>
          <t>リセット；リラックス；気晴らし；息抜き；リフレッシュ</t>
        </is>
      </c>
      <c r="F2056" t="inlineStr">
        <is>
          <t>良い気分転換</t>
        </is>
      </c>
      <c r="H2056" t="n">
        <v>29</v>
      </c>
      <c r="I2056" t="inlineStr">
        <is>
          <t>前者は覚えやすい・夢を乗せて走る・気分転換にいろんなところへ走る。；伸びをしただけでは気分転換にならず、机の脇のベッドにひっくり返る。；スペインではいつもだれかといっしょだったので、いい気分転換になった。；仕事部屋にはピアノを置き、時々仕事の気分転換に弾いていたといわれる。；作業効率はあまりよくないし誤字脱字も多いのだが、気分転換にはなる。；遊真はそのことを柑南から聞いたあと、気分転換にと彼女を遊びに誘う。；そこで気分転換のため、メンバーが一緒に過ごす時間を増やしたという。；神社へ行くことが気分転換になり、リラックス法になっているという。；常人の十倍もの仕事をして、疲れを知らぬ彼も、気分転換を必要としたのだ。；疲れ切った精神の気分転換のために、俺は一人砂浜に散歩へ来ているのだった。；この男は一度気になりだすと、絶対に気分転換ができない性である。；気分転換に、髪を伸ばしてみようかと思いたち、やがてロングになった。；そこでリサは気分転換に、友人に紹介された別の男性とデートをする。；ちょっと気分転換で夜風に当たっていて、ぼうっとしていたものですから。；気分転換にでもなればいいと思って、おれはデビドの広げた商品を覗いた。；これが別の船であったなら、しばらくは気分転換もおこなわれていたことだろう。；そして、毎日のさりげない気分転換も私には許されなかったのです。；気分転換のつもりだったのにそのまま最後まで読み切ってしまった。；特にアニメ作品からは刺激を受けつつも、気分転換に役立っているという。；私は電話が億劫なタチで、電話より手紙の方がずっと気が楽で気分転換になる。；気分転換なのだから、今書いているのとまったく違う感じの話を書こうと思いました。；気分転換をしようとテレビのスイッチを入れても、どうも心の底から楽しめない。；団平は気分転換のつもりだろうか、何度か監視の警官の前に立って抗議を申し込んだ。；父にすればそれも気分転換の一つだったんでしょう。；マミちゃんにもいえないこのことを、私は勤務中に思い出して気分転換をしていた。；気分転換にもなりますし、酒も女も料理もいいですからね。；複数個のグラスを持ち歩き、気分転換の為に付け替えを行うこともある。；気分転換にロボットといっしょにいるのも悪くなかった。；連載作品の執筆と同時に、気分転換のためにSNSで育児漫画を発表する。</t>
        </is>
      </c>
      <c r="J2056">
        <f>HYPERLINK("https://www.weblio.jp/content/気分転換", "词义详情")</f>
        <v/>
      </c>
      <c r="K2056">
        <f>HYPERLINK("https://yourei.jp/気分転換", "查看例句")</f>
        <v/>
      </c>
    </row>
    <row r="2057">
      <c r="A2057" t="inlineStr">
        <is>
          <t>規模</t>
        </is>
      </c>
      <c r="B2057" t="inlineStr">
        <is>
          <t>成功</t>
        </is>
      </c>
      <c r="C2057" t="inlineStr">
        <is>
          <t>読み方：きぼ
１物事の構造・内容・仕組みなどの大きさ。「雄大な—の構想」「地球—の環境汚染」
２手本。模範。
「国家の御宝、末代の—なり」〈盛衰記・二六〉
３要(かなめ)。眼目。
「松が咲きけりといふ言葉、この松が崎の能に—なれば」〈申楽談儀〉
４名誉。面目。
「氏族の—とする職なれば」〈太平記・一〇〉
５甲斐(かい)。ききめ。成果。
「勘当を赦(ゆる)されねば、伝授しても—がない」〈浄・手習鑑〉
６報い。代償。
「その代はり、十分(おもいれ)お骨折りの—はしやす」〈人・梅美婦禰〉
７根拠。証拠。
「大名の家に宝なくて家督の継ぎ目は何を以て—とする」〈浄・苅萱桑門〉</t>
        </is>
      </c>
      <c r="D2057" t="inlineStr">
        <is>
          <t>規模拡大；規模縮小；規模以上；規模こそ小さい；規模適正化</t>
        </is>
      </c>
      <c r="E2057" t="inlineStr">
        <is>
          <t>大きさ；スケール；スケイル</t>
        </is>
      </c>
      <c r="F2057" t="inlineStr">
        <is>
          <t>地球規模；同規模；人口規模；世界最大規模；中小規模</t>
        </is>
      </c>
      <c r="G2057" t="inlineStr">
        <is>
          <t>規模の利益；規模感；規模の経済性</t>
        </is>
      </c>
      <c r="H2057" t="n">
        <v>29</v>
      </c>
      <c r="I2057" t="inlineStr">
        <is>
          <t>会社の解散が予定されているなど、会社の規模を小さくするために行う。；日本へ派遣された艦隊は史上例をみない世界史上最大規模の艦隊であった。；バブル崩壊後出来たため当初構想されていたときよりも規模が縮小された。；とは市場全体の一部を構成する特定のニーズを持つ規模の小さい市場のこと。；自動車の美しさを競うコンテストや展示会も世界的な規模で開催される。；その範囲の総生産額は約97兆円でカナダを上回る規模ともなっている。；旅行業界では日本最大かつ世界有数の事業規模を有する企業である。；経済的な影響は大きく、毎時間400億円を超える規模と報道された。；世界的な規模ではクレジット機能付きのカードでの支払いが圧倒的に主流。；地球の大気は惑星規模の生態系を維持するのに重要な役割を果たしている。；もっとも、1986年時点で業容自体はかつての規模に戻りつつあった。；中世以前の戦いを扱ったものの場合は、部隊規模はもっと小さくなる。；この外力は確率的な現象であり、規模の大きなものほど頻度が低くなる。；なおダニエルズ・プランの次の計画もほぼ同規模で構想されている。；規模の大きなシステムではリグレッションテストを行うのがよい考えである。；この時の東西自由通路の規模は幅6メートル、延長90メートルだった。；国のGDPと比較しても、過半数の国よりも大きな規模を有している。；災害は法律で定義される場合もあるがその対象や規模は一律ではない。；これらは2001年以降には規模が縮小されるか、完全に閉鎖された。；規模を縮小の上改めて入曽駅周辺の再整備計画が立案されることになった。；各国に課せられた納税の規模は、当時の各国の国力に基づき判定された。；このため、農業交通形態の特殊性を考慮した規模構造となっている。；ただし、実際には同じ種類の地形であっても個体ごとの規模は多種多様である。；震源が深い地震は同じ規模の浅い地震に比べて地表での揺れは小さい。；同年にはやはり規模の大きな『主題と変奏』 作品41が書かれている。；幸福の科学の発表では数千人数万人の規模だと報告している。；日本国内においては、このことが栽培規模拡大への障害のひとつとなっている。；ワングはこれを資金としてワング・ラボラトリーズの規模を拡大させた。；時間が経過するとともに、同規模の銀河が衝突する事例は少なくなる。</t>
        </is>
      </c>
      <c r="J2057">
        <f>HYPERLINK("https://www.weblio.jp/content/規模", "词义详情")</f>
        <v/>
      </c>
      <c r="K2057">
        <f>HYPERLINK("https://yourei.jp/規模", "查看例句")</f>
        <v/>
      </c>
    </row>
    <row r="2058">
      <c r="A2058" t="inlineStr">
        <is>
          <t>希望</t>
        </is>
      </c>
      <c r="B2058" t="inlineStr">
        <is>
          <t>成功</t>
        </is>
      </c>
      <c r="C2058" t="inlineStr">
        <is>
          <t>読み方：きぼう
［名］(スル)
１あることの実現をのぞみ願うこと。また、その願い。「みんなの—を入れる」「入社を—する」
２将来に対する期待。また、明るい見通し。「—に燃える」「—を見失う」
３文法で、1の意を表す言い方。動詞に、文語では助動詞「たし」「まほし」、口語では助動詞「たい」などを付けて言い表す。
[補説]宇宙施設・書名は別項。→きぼう（宇宙施設） →希望（書名）</t>
        </is>
      </c>
      <c r="D2058" t="inlineStr">
        <is>
          <t>希望する(10%)；希望者；希望通り；希望すれ；希望どおり</t>
        </is>
      </c>
      <c r="E2058" t="inlineStr">
        <is>
          <t>思う；思い；光；可能性；夢</t>
        </is>
      </c>
      <c r="F2058" t="inlineStr">
        <is>
          <t>強い希望；ご希望；たいと希望；強く希望；たい希望</t>
        </is>
      </c>
      <c r="G2058" t="inlineStr">
        <is>
          <t>希望の党；希望的観測；希望の光；希望退職；希望ヶ丘</t>
        </is>
      </c>
      <c r="H2058" t="n">
        <v>29</v>
      </c>
      <c r="I2058" t="inlineStr">
        <is>
          <t>そしてそれは彼が社会民主党の新しい希望の星となったことでもあった。；彼らは日本を経由し、アメリカ合衆国を中心に各希望居住地に移住した。；しかしバーティはその結婚式への出席を希望し、女王の説得にあたった。；登録を希望する者は最初に認定大学レベルの建築学校で勉強する必要がある。；自動車での送迎も可能であるが、馬車を希望する大使が多いと言われる。；彼女は一人で帰国しようとしたが、この際に皇太子も同行を希望した。；彼は診断結果を公表し、他の男性に前立腺検査を受けるように希望した。；その他の材料や作り方の一部も草彅の希望により秘密がいくつかあった。；それに対して大西は「中央からは何も指示をしないように」と希望した。；店は売春宿で、加代は息子の希望とこの店に身を寄せていたのだった。；AとBは軸を中心に回転出来るため、希望する方向へ推力を向けられる。；結婚はしていたが、土田の希望により妻の存在は明らかにしていなかった。；どんなに絶望的な状況になっていってもアンネは最後まで希望を捨てなかった。；しかし本人や家族の希望があれば第一制服を着用して通学することも可能である。；その遺体は仏教に傾倒していた本人の希望で火葬されたようである。；しかし、それらの生徒の多くは当初昼間の時間帯での通学を希望していた。；加えて、張本の場合は自身も移籍を希望していたという事情もあった。；自身は大学院進学も希望していたが、両親の意向もあり家庭に入る。；ロンドンの科学博物館が展示したいとオーヴィルに希望を寄せてきた。；よく知られる逸話に、東郷は当初、鉄道技師になることを希望していた。；小学校に入学した希望が早退してもう学校には行かないと言う。；旅法師は己の不明を恥じながらも、人間の良心に希望を見出すのだった。；身を引くしかない百合は絶望して田倉家を出、希望の窯元にやってくる。；エリーザベトの希望で、遺体は故郷レッケンの教会で父の隣に埋葬された。；一郎は「早く学校に行きたい、行きたい」という強い希望をもっていた。；しかしかすかな希望を断続的に第32軍将兵に与える効果はあったという。；これはその地域、州などの独立の希望を示す表現として用いられることがある。；榎本らは総裁として徳川家の血統を引く者を迎えることを希望していた。；フェラーリは僕の希望したことを何も保証してくれなかった。</t>
        </is>
      </c>
      <c r="J2058">
        <f>HYPERLINK("https://www.weblio.jp/content/希望", "词义详情")</f>
        <v/>
      </c>
      <c r="K2058">
        <f>HYPERLINK("https://yourei.jp/希望", "查看例句")</f>
        <v/>
      </c>
    </row>
    <row r="2059">
      <c r="A2059" t="inlineStr">
        <is>
          <t>基本</t>
        </is>
      </c>
      <c r="B2059" t="inlineStr">
        <is>
          <t>成功</t>
        </is>
      </c>
      <c r="C2059" t="inlineStr">
        <is>
          <t>読み方：きほん
１判断・行動・方法などのよりどころとなる大もと。基礎。「—の型」「—を身につける」「—に忠実な演技」
→基礎［用法］
２（副詞的に用いて）基本的に。原則として。「—、先発メンバーは固定している」</t>
        </is>
      </c>
      <c r="D2059" t="inlineStr">
        <is>
          <t>基本的(37%)；基本設計(3%)；基本構造；基本理念；基本原理</t>
        </is>
      </c>
      <c r="E2059" t="inlineStr">
        <is>
          <t>本；元；中心；拠点；ベース</t>
        </is>
      </c>
      <c r="F2059" t="inlineStr">
        <is>
          <t>基本ルール；基本構成；基本システム；基本コンセプト；基本種</t>
        </is>
      </c>
      <c r="G2059" t="inlineStr">
        <is>
          <t>基本計画；基本方針；基本法；基本形；基本的人権</t>
        </is>
      </c>
      <c r="H2059" t="n">
        <v>29</v>
      </c>
      <c r="I2059" t="inlineStr">
        <is>
          <t>多くのRPGには全ての攻撃技の基本となる通常攻撃が実装されている。；教育研究上の基本となる組織の一つで、学生が所属する教育組織である。；インストールしなくてもOASYSの基本機能を実行することができる。；基本的に8両編成で運転されているが、一部は10両編成で運転される。；現在の日本語で最も基本的な文字であり、主に次のような場面で用いられる。；こうして遺伝現象の基本的な部分は分子の言葉で記述されるようになった。；Factoid型質問応答の基本的な処理の流れは、以下のようになる。；様々なローカルルールが存在するが、以下は基本的なルールの紹介である。；本作ではこの方法で敵を踏みつけるのが最も基本的な攻撃方法となる。；上に記した官僚制の基本的な特徴もヴェーバーの定義に基づいている。；つまり基本的な生命現象は進化的に保存されていると言える。；応用感情は輪において隣接する2つの基本感情の組み合わせからなる。；内陸の部族は狩猟採集が基本であり、何らかの形態の農業も行っていた。；しかし、いずれの手法もその基本は現象などの正確な観察である。；その後フリーホイール機構が普及し、自転車の基本がほぼ完成された。；以上の基本形状別・材料別の他には、ばねは次のような観点からも分類される。；数学における群とは、最も基本的と見なされる代数的構造の一つである。；基本戦略は、デッキが全て残っていることを前提としたものである。；以下は、 の基本的な3つの標準規格を定義した文書のリストである。；この意味で、電荷は素粒子が持つ最も基本的な性質の一つであると言える。；現在では基本字の一つとなっているが、W ももともとは合字である。；基本システムは前作と同じだが、いくつかの変更点が存在する。；これは異なる位相空間の間の関係を表す最も基本的な枠組みである。；患者にとっては、こうしたセルフケアはもっとも基本的なことといえる。；ゲームごとに多少のばらつきはあるが基本的なゲームシステムは同じである。；連邦法というものも確かにありはするが あくまで基本は州法なのである。；いわれた場所に行ってみると、なるほどそれらしき本がたくさん置かれていた。；棒を倒しあうことが目的の競技であるため、最も基本的な基準は1といえる。；電話交換機からの給電のみで動作する基本的な機能として次があげられる。</t>
        </is>
      </c>
      <c r="J2059">
        <f>HYPERLINK("https://www.weblio.jp/content/基本", "词义详情")</f>
        <v/>
      </c>
      <c r="K2059">
        <f>HYPERLINK("https://yourei.jp/基本", "查看例句")</f>
        <v/>
      </c>
    </row>
    <row r="2060">
      <c r="A2060" t="inlineStr">
        <is>
          <t>基本的</t>
        </is>
      </c>
      <c r="B2060" t="inlineStr">
        <is>
          <t>成功</t>
        </is>
      </c>
      <c r="C2060" t="inlineStr">
        <is>
          <t>読み方：きほんてき
［形動］物事の基本となるような性質をもっているさま。「その意見には—に賛成だ」</t>
        </is>
      </c>
      <c r="D2060" t="inlineStr">
        <is>
          <t>基本的構造；基本的権利；基本的かつ；基本的性格；基本的事項</t>
        </is>
      </c>
      <c r="E2060" t="inlineStr">
        <is>
          <t>必要；重要；由来；主要；第一</t>
        </is>
      </c>
      <c r="F2060" t="inlineStr">
        <is>
          <t>基本的考え方；基本的枠組み；基本的原則；基本的方針；基本的対処方針</t>
        </is>
      </c>
      <c r="G2060" t="inlineStr">
        <is>
          <t>基本的人権の尊重；基本的な力；基本的価値；基本的内容；基本的方向性</t>
        </is>
      </c>
      <c r="H2060" t="n">
        <v>29</v>
      </c>
      <c r="I2060" t="inlineStr">
        <is>
          <t>アクチュエータは基本的にエネルギーを与えることで運動を発生させる。；このようにその重要性と目的は基本的に精神的な特性を持っている。；基本的には客がゲームを行った結果に応じたサービスを一切行ってはならない。；基本的には怪事件調査のための組織で、怪獣との戦闘は特別任務である。；なお、最終節は基本的に全試合の開催日と試合開始時間を統一している。；安定的な秩序が維持されており、各国は基本的に平和に過ごしている。；基本的には同大会の開催日に運行されるため中止時は運行されない。；春になると溶けてしまうので基本的に冬季限定であり、毎年再建される。；一部の研究者はアステカの哲学を基本的に一神教的であると解釈している。；タイトル後に著者名が無い作品は基本的に巻毎に異なる作家が担当。；野球を好んでしている描写はあるが、基本的に運動能力は極めて低い。；またアメリカやオーストラリアのフリーウェイも基本的に無料である。；食事にワインを合わせる習慣があり、基本的にはその土地のワインを飲む。；基本的に土休日ダイヤでの運転であるが平日に設定される場合もある。；インド国内向けのサイトを除き、基本的にはIAST表記が中心である。；しかし、夏の会期後のもの以外は基本的に郵送申込にも利用可能である。；別の言い方をするとヨーロッパ哲学は基本的に存在論であったとも言える。；一部を除き、基本的には国鉄バスの車両称号をそのまま使用している。；ジェミニの司令船は、基本的にはマーキュリー宇宙船の拡大版であった。；人権、基本的自由を尊重する考え方は国連主要目的の柱の一つになった。；後者は雲の形をしており、基本的に赤地に白文字のものがよく使用される。；分野によって多少の差はあるが、基本的に講義の出欠を取ることはない。；この後、基本的に宋と日本とは正式な国交は開かれないままであった。；基本的には中欧とされるが、歴史的には東欧に分類されたことがある。；基本的に棒のどちらか一端のみが食べ物に接触することが前提となっている。；そのため、蒸し暑く感じる日はあるものの基本的には快適な気候である。；入線可能な列車は基本的に20 m級車では6両編成までに制限される。；放送内容は通常使用しているものと基本的に変更はない。；内殻軌道および電子は結合の形成の間には基本的に変化しない。</t>
        </is>
      </c>
      <c r="J2060">
        <f>HYPERLINK("https://www.weblio.jp/content/基本的", "词义详情")</f>
        <v/>
      </c>
      <c r="K2060">
        <f>HYPERLINK("https://yourei.jp/基本的", "查看例句")</f>
        <v/>
      </c>
    </row>
    <row r="2061">
      <c r="A2061" t="inlineStr">
        <is>
          <t>気まぐれ</t>
        </is>
      </c>
      <c r="B2061" t="inlineStr">
        <is>
          <t>成功</t>
        </is>
      </c>
      <c r="C2061" t="inlineStr">
        <is>
          <t>読み方：きまぐれ
［名・形動］
１気が変わりやすいこと。その時々の思いつきや気分で行動すること。また、そのさま。「—な性格」「—に習い事を始める」
２物事の変わりやすいこと。また、そのさま。「—な秋の空」</t>
        </is>
      </c>
      <c r="D2061" t="inlineStr">
        <is>
          <t>気まぐれな性格；気まぐれな風；気まぐれな思いつき；気まぐれな行動；気まぐれな微風</t>
        </is>
      </c>
      <c r="E2061" t="inlineStr">
        <is>
          <t>衝動；浮気；思いつき；虚偽；お天気</t>
        </is>
      </c>
      <c r="F2061" t="inlineStr">
        <is>
          <t>単なる気まぐれ；ちょっとした気まぐれ；こんな気まぐれ；どんな気まぐれ；そんな気まぐれ</t>
        </is>
      </c>
      <c r="G2061" t="inlineStr">
        <is>
          <t>気まぐれ天使；気まぐれコンセプト；気まぐれ指数；気まぐれロマンティック；気まぐれヴィーナス</t>
        </is>
      </c>
      <c r="H2061" t="n">
        <v>29</v>
      </c>
      <c r="I2061" t="inlineStr">
        <is>
          <t>あの二人はいつでも自分の気まぐれであなたを殺すことができるんです。；ただ単に将校の気まぐれで、後になって違ったとか言われないだろうか?；ぼくが彼女をほしいのは、じぶんの気まぐれを満足させたいからですよ。；それは僕の気まぐれというだけのことでしょう、そうじゃありませんか?；これだってまたすぐに変わって、何か別の気まぐれが始まると思います。；祭礼のとき気まぐれから二三人の友人と学校の帰りに靖国神社へいつた。；おれだって、気まぐれな愛情のために、命をかけることだってあろうね。；もし英語で話しかけると、その結果は気まぐれなものになりがちだった。；が、ちょうどその瞬間、中の一頭がなんの気まぐれからか突進してきた。；あなたは、でも、それをあたしの気まぐれとお嗤ひにならなかつたわね。；そういう若いうちの一時の気まぐれは、決して身のためになりません。；だから、父の気まぐれのままに私が行動したら、もの笑いの種となろう。；まあ、あのわがまま者に、もう一度最後の気まぐれをさせてやるんだね。；この頃、やっと気まぐれでない勉強の意味がわかりかかったようです。；伯爵中尉の気まぐれも非常であるが、小さい銀行員の僥倖も非常である。；人間にとっては、死への恐怖よりも神の気まぐれを恐れていた様子である。；今日の新町村の名を見てもずいぶん気まぐれな附け方をしたのが多い。；軍の判事はそそっかしくて気まぐれだと、すでに大勢の人が感じている。；私はこういう愛し方を、単に気まぐれの愛し方だとは思わなかった。；ところが僕たちの場合は、気まぐれを満足させようというだけの話じゃないか。；そんな金額が何だっていうの、気まぐれにそれぐらい使うのは朝飯前だ。；ここでは気まぐれな月の相に関係なく、大勢の人から血が滴っているからと。；正直に申し上げまして、その場の気まぐれにすぎなかったのでございます。；それを避けるために人間は次々と新しい気晴らしを求めて気まぐれに生きる。；気まぐれ人の気持ちや事件の結果に左右されない権力というものがありますよ。；駒田曰く「気まぐれに放送する」との事で、ほぼ月一で放送されていた。；俺が気まぐれにこれは前兆だと言ったら、否定しないばかりかそうだと言う。；或機関手を或機関車へ乗らせるのは気まぐれな神々の意志によるのである。；凡ては気まぐれな運命の僅かな歩み方に懸ってるような気がしてきた。</t>
        </is>
      </c>
      <c r="J2061">
        <f>HYPERLINK("https://www.weblio.jp/content/気まぐれ", "词义详情")</f>
        <v/>
      </c>
      <c r="K2061">
        <f>HYPERLINK("https://yourei.jp/気まぐれ", "查看例句")</f>
        <v/>
      </c>
    </row>
    <row r="2062">
      <c r="A2062" t="inlineStr">
        <is>
          <t>生真面目</t>
        </is>
      </c>
      <c r="B2062" t="inlineStr">
        <is>
          <t>成功</t>
        </is>
      </c>
      <c r="C2062" t="inlineStr">
        <is>
          <t>読み方：きまじめ
［名・形動］非常にまじめなこと。まじめすぎて融通がきかないこと。また、そのさま。「—な顔」</t>
        </is>
      </c>
      <c r="D2062" t="inlineStr">
        <is>
          <t>生真面目な顔(7%)；生真面目な性格(5%)；生真面目な表情(5%)；生真面目そう(3%)；生真面目な男</t>
        </is>
      </c>
      <c r="E2062" t="inlineStr">
        <is>
          <t>熱心；必死；まっすぐ；本気；真剣</t>
        </is>
      </c>
      <c r="F2062" t="inlineStr">
        <is>
          <t>生真面目な青年；生真面目な調子；どこまでも生真面目</t>
        </is>
      </c>
      <c r="H2062" t="n">
        <v>29</v>
      </c>
      <c r="I2062" t="inlineStr">
        <is>
          <t>だがこの生真面目なところは、別に絵にするのに邪魔になるわけではない。；だが現在のわしを生真面目だなんて呼ぶものは一人だってあるもんじゃない。；頑固で生真面目なあなたとこんな風に過ごせる時はそうないのですから。；「あれがどうかしましたか」 その小柄な男は生真面目な態度で言った。；青年が笑ったのに対して、山代の方は生真面目な表情を持ち続けていた。；生真面目にも上履きの横に小さく名前を書いているのがこいつらしい。；彼は父の正妻の兄で私と血の繋りはなく、生真面目で小心な男であった。；生真面目な顔で、拳銃をちょっと見てから、上着の右ポケットに入れた。；挨拶代わりのほんの冗談に生真面目に反応する壬生屋に、原は苦笑した。；生真面目なタイプ、なのだろうがそれだけではないようにレオには思えた。；両肩に父と母の手を置かれ、生真面目な表情でこちらを見つめている。；新幹線の窓の向こうでも生真面目な顔をしてホームの遊馬を見つめている。；仕方なく、梨央のほうも生真面目に現場監督を命じられたことを告げた。；若いと言っても生真面目な男達だけに、こんなことには慣れていない。；一見したところ生真面目そうなタイプだったが、なにをしている奴だったのか。；安積の大きな躯の中には、少年のように生真面目な性格が隠されている。；「お代は五十銭でございます」 黄良は、生真面目な調子で返事をする。；努めて明るく振る舞おうとはしているが、加藤は元々生まじめな性格だ。；これ迄にぼくは、生真面目過ぎるとか堅いとか、何度もいわれたものだ。；生真面目に背筋を反らした白い機体に乗っているのは、宗介なのだろう。；ぼくはこれ迄に、竪いとか生真面目とか冷やかされるのが普通であった。；そんな相手に一々生真面目に応じていては、生命がいくつあっても足りまい。；姉妹は笑みを絶やさず、口調の方はいっそう生真面目になって話をつづけた。；もっとも一代の方では寺田の野暮な生真面目さを見込んだのかも知れない。；旅順ではとてもこたえたのは、或いは生真面目過ぎたのかもわからない。；真っ当な常識人で生真面目な性格だった彼女は、こんな奴に殺されたのか。；生まじめな顔をして正面を向き、見合いでもしているように固くなっていた。；ショルダーバッグを両手で胸に抱いて、生真面目な顔をこちらに向けている。；単に遊びに来た奴は盆踊りで生真面目に躍るなんてことはしないだろうからな。</t>
        </is>
      </c>
      <c r="J2062">
        <f>HYPERLINK("https://www.weblio.jp/content/生真面目", "词义详情")</f>
        <v/>
      </c>
      <c r="K2062">
        <f>HYPERLINK("https://yourei.jp/生真面目", "查看例句")</f>
        <v/>
      </c>
    </row>
    <row r="2063">
      <c r="A2063" t="inlineStr">
        <is>
          <t>気まずい</t>
        </is>
      </c>
      <c r="B2063" t="inlineStr">
        <is>
          <t>成功</t>
        </is>
      </c>
      <c r="C2063" t="inlineStr">
        <is>
          <t>読み方：きまずい
［形］［文］きまづ・し［ク］互いの気持ちがしっくりと合わず不快なさま。打ち解けず、気づまりなさま。「友人との間が—・くなる」「—・い雰囲気」
[派生]きまずげ［形動］きまずさ［名］</t>
        </is>
      </c>
      <c r="D2063" t="inlineStr">
        <is>
          <t>気まずい沈黙(17%)；気まずい思い(13%)；気まずい雰囲気(11%)；気まずい空気(10%)；気まずいもの(3%)</t>
        </is>
      </c>
      <c r="E2063" t="inlineStr">
        <is>
          <t>気恥ずかしい；居心地の悪い；居心地が悪い；不体裁；煙たい</t>
        </is>
      </c>
      <c r="F2063" t="inlineStr">
        <is>
          <t>間に気まずい；気まずい別れ；ひどく気まずい；なんとなく気まずい；何となく気まずい</t>
        </is>
      </c>
      <c r="H2063" t="n">
        <v>29</v>
      </c>
      <c r="I2063" t="inlineStr">
        <is>
          <t>いままで一度だって気まずい思いなんかしたことのないお互いのなかだ。；お互いの気まずさは別れて幾日もしないうちに消えてきれいになるものだ。；気まずいまま食事が終わり、おれは逃げるように自分の部屋にもどった。；それがかえって、人間たちの間をいっそう気まずくさせてしまいました。；今まで儂との間で気まずいこともあっただろうが、よく我慢してくれた。；彼とは気まずいことになったのに、どんな顔をして会えばいいのだろう。；男性陣は気まずそうに黙って、食事の残りをもそもそと食べ続けている。；学校の友達と出会ったときに気まずいと考えているのではないかと思います。；男は一瞬気まずそうな表情をしたが、すぐにそれを笑顔でカバーした。；俺が困った顔になると、それを見た瀬菜は少々気まずそうに頬をかいた。；全員が同じように感じていたのだろう、気まずい感じの沈黙がおりた。；それが表面に出たのは、気まずい空気の中で、朝食を始めたときである。；気まずい雰囲気のまま、一家はレアードの自宅を後にすることとなった。；看板の方が早く終わったけど、鎌が足りなくてちょっと気まずかったな。；その日も二人は些細なことで言い争いをしてしまいお城は気まずい空気に。；のみならず気まずさを紛らすために何か言わなければならぬことも感じた。；わからないから、いまこうやって樹くんと気まずい時間をすごしている。；この先も一緒に仕事をしなければならないし、気まずくなるのは避けたい。；どちらも気まずくなって、今後会うのをさけるようになるかも知れない。；ぼくとのつきあいで気まずい思いをするようなことはまずまずあるまい。；二人とも表情から笑いを消し、気まずそうに、あらぬ方角を眺めている。；不思議なことに、こんな事件で家の中が気まずくなることはなかった。；きっと僕らが気まずい思いをしないように一人で待っていてくれたのだろう。；こうやって留守にしているのは、なにも気まずいことがあるためではない。；えてしてこんなつまらぬことで気まずいことになりがちなものですから。；電車の向かいの座席に座られたらずっと気まずくなりそうな少女だった。；たぶん一時の出放題であろうとは思っても、気まずさは決して減じない。；彼はポワロと共同で仕事をするのを気まずく思っているのであった。；大野久庵は気まずい顔をして自分の机の前にすわり、沈んだ声をだした。</t>
        </is>
      </c>
      <c r="J2063">
        <f>HYPERLINK("https://www.weblio.jp/content/気まずい", "词义详情")</f>
        <v/>
      </c>
      <c r="K2063">
        <f>HYPERLINK("https://yourei.jp/気まずい", "查看例句")</f>
        <v/>
      </c>
    </row>
    <row r="2064">
      <c r="A2064" t="inlineStr">
        <is>
          <t>期末</t>
        </is>
      </c>
      <c r="B2064" t="inlineStr">
        <is>
          <t>成功</t>
        </is>
      </c>
      <c r="C2064" t="inlineStr">
        <is>
          <t>読み方：きまつ
ある一定の期間の終わり。運営上・会計上の期間の終わり。「—試験」⇔期首。</t>
        </is>
      </c>
      <c r="D2064" t="inlineStr">
        <is>
          <t>期末時点(5%)；期末特番(5%)；期末期首(4%)；期末棚卸資産(3%)</t>
        </is>
      </c>
      <c r="F2064" t="inlineStr">
        <is>
          <t>各期末</t>
        </is>
      </c>
      <c r="G2064" t="inlineStr">
        <is>
          <t>期末テスト；期末手当；期末考査；期末勤勉手当</t>
        </is>
      </c>
      <c r="H2064" t="n">
        <v>29</v>
      </c>
      <c r="I2064" t="inlineStr">
        <is>
          <t>万葉時代の女の人の旅には目的がそんな風にはつきりきまつてはゐない。；おちかは心のきまつたふうでまた昨日の社員のところへ出かけて行つた。；その土地には伝統もなく礼儀もなく性格もなく感情もないにきまつてゐる。；その上、寺の世話方の役を引き受けるのは専ら彼にきまつてゐたものだ。；男の方のおつしやることは、きまつてるから、あたくしつまりませんの。；然しもしあの身体で歩いて帰るとすれば、途中で倒れるにきまつて居る。；諷刺の質を決定するものは何かといえば、それは思想にきまつている。；そしてさういふ議論をする人は、きまつて性の聖愛といふことを言ふ。；あなたはもうその人と踊ることにきまつてゐるのだと言ふやうだつた。；正式のカルタ会は五日ときまつたが、猛練習は二日の午後から始まつた。；実際には二十世期末の大きな波が状況を完全に書き換えてしまった。；女の生活を保証してやつても、必ずしも二号ときまつてゐるわけはないからね。；だからもう内の方さへうまく行けば、此の話は纏まるにきまつて居る。；生活のためには、必ずしも小説を書かねばいけないときまつて居らぬ。；ひとつ解決ができたとき、ひとつ謎がふえてゐるにきまつてゐるのだ。；すべてが自然に委されてあつたために、揃ふ顔がだんだんきまつて来た。；或ひはもうとつくに先生の肚の中では配役はきまつてゐたのかも知れない。；作者の根本の態度でちやんときまつてゐなければならないものである。；善の酬ひは幸福、悪の酬ひは悪報ときまつてゐないところが面白いのだ。；頭の中の量のきまつた金塊を、少しづつ小出しにしては生活してゐるのだ。；ある年齡に達した時、そんなおさきまつくらな氣持は、必ずありますね。；万一そんなことにでもなつたら、家の破滅はきまつてゐることでしたから。；きつとあなたのお手は寒いので凍えてゐらつしやるにきまつてをりますもの。；その癖、かれにはきまつた一人の相手があるのではなかつた。；上のほうへ行けば、さらにもつと上のほうからだまされたというにきまつている。；しかしこれと言つてきまつた相手があるのではなかつた。；爐邊にある古い屏風の側が爺やの夜なべをする塲所ときまつて居ました。；斯んな時は、近所の噂を掻き集めて來いと言ふにきまつて居るのです。；陸の子には僕たちの知らない色んな珍らしい物や事があるにきまつてるもの。</t>
        </is>
      </c>
      <c r="J2064">
        <f>HYPERLINK("https://www.weblio.jp/content/期末", "词义详情")</f>
        <v/>
      </c>
      <c r="K2064">
        <f>HYPERLINK("https://yourei.jp/期末", "查看例句")</f>
        <v/>
      </c>
    </row>
    <row r="2065">
      <c r="A2065" t="inlineStr">
        <is>
          <t>決まって</t>
        </is>
      </c>
      <c r="B2065" t="inlineStr">
        <is>
          <t>成功</t>
        </is>
      </c>
      <c r="C2065" t="inlineStr">
        <is>
          <t>読み方：きまって
［副］ある条件のもとでは必ずそうなるさま。いつも。必ず。「忙しいときに—人が来る」</t>
        </is>
      </c>
      <c r="D2065" t="inlineStr">
        <is>
          <t>決まっている(39%)；決まっており(6%)；決まっておら(2%)；決まってしまう；決まっておる</t>
        </is>
      </c>
      <c r="E2065" t="inlineStr">
        <is>
          <t>いつも；常に；必ず；一定；いつでも</t>
        </is>
      </c>
      <c r="H2065" t="n">
        <v>29</v>
      </c>
      <c r="I2065" t="inlineStr">
        <is>
          <t>決まっているのは一人ではなくみんなで力を合わせて挑戦する宿題だけ。；業者ごとに場所が決まっており、商品を見比べながら買うこともできた。；これに対して「酒に決まってんだろ」と返したことがさらに問題となる。；しかし、別に食後に飲まなければならないと決まっているわけではない。；仕事を終えて自宅に戻ると、決まってそれらの樹と話をするという。；出場応募用紙を入手した際にはまだ正式なバンド名が決まっていなかった。；江戸時代には、将軍から偏諱を受けることが決まっていた大名家もある。；ラジオも決まって巨人戦を中心とした全国中継カードを放送することが多い。；形状も作る人によって様々で、並んでいる棒の数すら決まっていない。；このIC付近は道路の具体的なルートが決まっておらず未着工である。；山中温泉で再開する計画があるが具体的な移転先は決まっていない。；また上記の通り公式ではなかったものの慣例上の一般的な配置は決まっていた。；胚発生の初期のどの細胞からどの組織が導かれるかは決まっていない。；当時の日本代表の親善試合の相手は海外のクラブチームと決まっていた。；この番組は時間帯によって全国ネット・任意ネットの枠が決まっている。；学生主体のイベントを大学祭と呼ぶ基準は特に公式に決まっているものはない。；県は地元との相談を始めているが、ルートや建設時期の具体案は決まっていない。；仲間になると決まってから、スパークが全部、事情を話してくれたのだ。；皆、指を大きく広げる練習の段になると決まって嬉しそうに語り出した。；二人の共演が決まっていた映画『戦争と平和』の撮影準備中のことだった。；北部に産するものは繁殖期が決まっており発情期は1月から3月である。；しかし下のくちばしが右に出るか左に出るかは決まっていない。；最大プレイヤー数は決まっていないが、6人程度に抑えるのが適当である。；それ以外の接辞をどのように選択するかは活用クラスによって決まっている。；トランプのスートのうち、どれが一番強いかは一般的には決まっていない。；またあらかじめ契約の終期が決まっていてその時期が到来したものがある。；グランプリの数は決まっておらず、卒業まで出られるという保障もない。；いつ、何作目でシリーズが終わるのかも、決まっていないことが多い。；このように現れる音的条件が決まっていない異音を自由異音という。</t>
        </is>
      </c>
      <c r="J2065">
        <f>HYPERLINK("https://www.weblio.jp/content/決まって", "词义详情")</f>
        <v/>
      </c>
      <c r="K2065">
        <f>HYPERLINK("https://yourei.jp/決まって", "查看例句")</f>
        <v/>
      </c>
    </row>
    <row r="2066">
      <c r="A2066" t="inlineStr">
        <is>
          <t>気まま</t>
        </is>
      </c>
      <c r="B2066" t="inlineStr">
        <is>
          <t>成功</t>
        </is>
      </c>
      <c r="C2066" t="inlineStr">
        <is>
          <t>読み方：きまま
［名・形動］
１遠慮や気がねをせずに、自分の思うままに行動すること。また、そのさま。「—な独り暮らし」
２わがままに振る舞うこと。また、そのさま。「—な言いぐさ」
→勝手(かって)［用法］
[派生]きままさ［名］</t>
        </is>
      </c>
      <c r="D2066" t="inlineStr">
        <is>
          <t>気ままな生活(4%)；気ままな旅；気ままな暮らし；気まま勝手；気ままな性格</t>
        </is>
      </c>
      <c r="E2066" t="inlineStr">
        <is>
          <t>任意；我儘；思い通り；恣意；随意</t>
        </is>
      </c>
      <c r="F2066" t="inlineStr">
        <is>
          <t>自由気まま；気随気まま</t>
        </is>
      </c>
      <c r="G2066" t="inlineStr">
        <is>
          <t>気ままにクラシック</t>
        </is>
      </c>
      <c r="H2066" t="n">
        <v>29</v>
      </c>
      <c r="I2066" t="inlineStr">
        <is>
          <t>私が本当に求めていたものは、新しい恋人でも気ままな暮らしでもない。；君のように、勝手気ままに生きられるといいと、いつも思っているんだ。；おれたちの社会では気ままな消費者でいることはもうできないのだ。；これまでにもよく、そのおかげで気ままにふるまったものでございます。；おまえたちは気ままにしていたけど、これからはそうはいきませんよ。；あの女を気ままにニューヨークを離れさせてやっていいんですかい?；女はどうも杓子定規にいかない気ままなところがあってこまってしまう。；きみを勝手気ままにさせたら、どんなことをするか、それが見たいんだよ。；今までのレポートを読む限り、彼女は気ままな旅を楽しんでいるようだ。；それはイヴンも同じで、普段は勝手気ままな山の暮らしを楽しんでいる。；それをいいことにして、気まま勝手な生活を始めてしまった夫が憎らしい。；四郎とも気ままに会えるし、外泊だってしようと思えば問題なくできる。；ただ気ままに街を歩いて、女の子はこっちの背中に付いてくるだけ。；一つはそういう安心が、彼をこんな気まま者にしてしまったのかもしれません。；家族はみな勝手気ままだったがそれなりに幸せな生活を手に入れる。；気ままに旅をして、きれいなものを見つけたらそれをカメラに収める。；一つはそういう安心が、彼をこんな気まま者にして了ったのかも知れません。；教授は妻や娘を虐げて、勝手気ままをやる種類の男にはほとんど見えません。；大自然と隣り合わせて気ままに生きていた日々が無性になつかしくなる。；そのあとは、本を読むなり映画を見るなりして、気ままな二時間をすごす。；みんな以前、気ままな書記のために追い帰された経験のある連中である。；恋をすることは気ままだが、御入内を目前にした姫君と恋をしてはならぬ。；もしかしたら、それほど気ままに生きているわけではないのかもしれない。；その日のゲームの参加者たちが気ままに設定しているに過ぎない。；空は開け 風は気ままに走り 笑いは 大地の上を 過ぎて行く。；ただ僕だけが変人であり、一人の自由と気まま勝手を楽しむのである。；この自由で気ままな蛮人を繋ぎとめる鎖などこの世界のどこにもないのだ。；自然を相手に気ままに生きている者を見すごすことは、権力の自己否定だ。；妙なことをすると思ったが、かねにまかせて気ままなことをしているのであろう。</t>
        </is>
      </c>
      <c r="J2066">
        <f>HYPERLINK("https://www.weblio.jp/content/気まま", "词义详情")</f>
        <v/>
      </c>
      <c r="K2066">
        <f>HYPERLINK("https://yourei.jp/気まま", "查看例句")</f>
        <v/>
      </c>
    </row>
    <row r="2067">
      <c r="A2067" t="inlineStr">
        <is>
          <t>決まり</t>
        </is>
      </c>
      <c r="B2067" t="inlineStr">
        <is>
          <t>成功</t>
        </is>
      </c>
      <c r="C2067" t="inlineStr">
        <is>
          <t>読み方：きまり
１物事が決まること。問題になっていたり面倒だったりした物事の終わり。決着。おさまり。「これで話は—だ」「仕事に—を付ける」
２よりどころとして定められている事柄。規則。通則。「—を破る」「—に従う」
３一定していること。いつものこと。定例。「散歩が朝の—だ」
４（多く「おきまり」の形で）言動がいつも同じで新鮮味がないこと。また、きまり文句。「お—の自慢話」
５面目。体裁。
「文三はお勢よりは—を悪がって口数をきかず」〈二葉亭・浮雲〉
６万事首尾よくいっていること。明和・安永（1764〜1781）ころの江戸の流行語。
「『朧月(おぼろづき)と五色丹前を買って参りやした』『おお—』」〈洒・辰巳之園〉
７遊里で、客と遊女が恋仲になること。また、その相手や間柄。
「今夜のぬしの客衆はとんだ—だの」〈咄・くだ巻〉</t>
        </is>
      </c>
      <c r="D2067" t="inlineStr">
        <is>
          <t>決まる可能性</t>
        </is>
      </c>
      <c r="E2067" t="inlineStr">
        <is>
          <t>落ちる；決定する；選ばれる；決定される；定まる</t>
        </is>
      </c>
      <c r="F2067" t="inlineStr">
        <is>
          <t>応じて決まる</t>
        </is>
      </c>
      <c r="H2067" t="n">
        <v>29</v>
      </c>
      <c r="I2067" t="inlineStr">
        <is>
          <t>共同生産の基本線が決まらないまま、話題を再び生産車種に戻してみた。；これに対して「酒に決まってんだろ」と返したことがさらに問題となる。；また、残されたものの用途が決まらないまま放置されているものもある。；あと二時間もしたら出なければならないのに、着ていく服が決まらない。；どのような車両を新製するかの方針が決まると、具体的な設計が行われる。；仕事を終えて自宅に戻ると、決まってそれらの樹と話をするという。；これによって、機関車の用途が決まってしまうといっても過言ではない。；江戸時代には、将軍から偏諱を受けることが決まっていた大名家もある。；どのような観点で推薦者が決まるのか、原則学外には公示されていない。；柔道など投げ技がきれいに決まることが勝利条件の一つであるものも多い。；ミスした時点でのエリアの進行状況に応じて、再スタートエリアが決まる。；もしあの娘がお前の妻に決まれば、二人ともさっさと彼を見限るだろう。；そのため、このアルバムのコンセプトも決まらないままであったという。；その後最初に決まった対戦カードからの正式な試合順を決める抽選を行う。；通常は、関連研究者内部で提唱されたものが淘汰されて決まるものである。；価格は、それが決まる仕方によって、いくつかの種類に分類されている。；珠の数・材質に決まりは無く、輪の大きさ・主珠の大きさで決められる。；また、決まった区間を往復する列車では、両端の駅を表示する場合がある。；二人の共演が決まっていた映画『戦争と平和』の撮影準備中のことだった。；競技後のインタビューでは「腕が決まらなかった」とコメントを残した。；多くの食品にはいわゆる旬があり、決まった時期にしか手に入らなかった。；よし、そうと決まれば一応、あらかじめ内容を教えておいてもらうかね。；しかし下のくちばしが右に出るか左に出るかは決まっていない。；このため、毎日1回から数回決まった時間に決まった場所の上空に現れる。；その後に、決まったゾーンの中のどこに入るかを決める本抽選をする。；日付は宗教ごとに決まった暦を使用するため、大部分は移動祝日になる。；ライブ活動を終了させる考えは日本公演時から既に決まりつつあったという。；しかしこうでもしなければ跡目が決まらないから、こうやったのであろう。；しかし、鹿取らの思いとは裏腹に、所属は決まらない状況が続いていた。</t>
        </is>
      </c>
      <c r="J2067">
        <f>HYPERLINK("https://www.weblio.jp/content/決まり", "词义详情")</f>
        <v/>
      </c>
      <c r="K2067">
        <f>HYPERLINK("https://yourei.jp/決まり", "查看例句")</f>
        <v/>
      </c>
    </row>
    <row r="2068">
      <c r="A2068" t="inlineStr">
        <is>
          <t>決まり文句</t>
        </is>
      </c>
      <c r="B2068" t="inlineStr">
        <is>
          <t>成功</t>
        </is>
      </c>
      <c r="C2068" t="inlineStr">
        <is>
          <t>読み方：きまりもんく
いつもきまって言う文句。また、型にはまった文句。</t>
        </is>
      </c>
      <c r="D2068" t="inlineStr">
        <is>
          <t>きまり文句；常套句；常套語；決り文句</t>
        </is>
      </c>
      <c r="H2068" t="n">
        <v>29</v>
      </c>
      <c r="I2068" t="inlineStr">
        <is>
          <t>不潔です、と決まり文句を口にしようとしたが、言葉が出てこなかった。；しかし、プロデューサーは次のような決まり文句を避けようとしている。；ぼくのキューを見て、いっしょにいつもの決まり文句を叫んでください。；威嚇のために大声で叫ぶ決まり文句は、自分には理解できない言語だった。；僕はそんな、巷間よく言われているような決まり文句を並べたいわけではない。；オーラーが記した、商人たちが契約の際に使う決まり文句の一覧だ。；「二、三伺いたいことがありましてね」 谷口は決まり文句から始めた。；手紙には、決まり文句の季節の挨拶の後に、こう書かれていた。；外部の者には、言挙げせずの決まり文句で、タブーの意味も秘密にしてきた。；青と銀につつまれた神官衣の人物が、正面で儀礼の決まり文句を唱えている。；例えば、エイヌ語を使い始めるときの決まり文句を国際音声記号で示す。；それは夫婦仲のうまくいかなくなった夫が、相手をけなすときの決まり文句であったからだ。；つまり決まり文句が重んじられる世界が、伝統の芸術の世界の一つのあり方。；こういうのが遠征狩猟がうまくゆかないときの決まり文句なのだ。；いつもの決まり文句を口にして、あはははは、と笑いながら寺の息子は去っていった。；どうも最近、この決まり文句を口にすることが多くなった。；このうえ議論をしたり、決まり文句を探すのは、もう沢山だったからである。；わしがどんなに元気そうに見えるかなどという決まり文句で時間を無駄にせんように頼むぞ。；もっとも、こうした言い方はここでは決まり文句になっています。；口先だけの連中が、馬鹿どもを感心させるために使っている決まり文句にすぎないよ。；この店ではそんなことはないから、というのが大抵のひどい話の後に続く決まり文句だ。；名無しの由来は、板が新設された当時流行していた振り込め詐欺の決まり文句から。；「治癒が考えていたよりも遅いですね」と、医者は決まり文句のように言う。；決まり文句以外に唯一、彼の方で口にしたことを。；こうした種類の文言は決まり文句であるから、特に現代語にすることはあるまい。；そんなときに最初に言う決まり文句がこれだ。；軌道ステーションが、幸運を祈るの決まり文句と出発許可を送ってきたからだ。；相手も心得たもので、指示されなくても自然にカメラに向かい、こういうときの決まり文句を繰り返していた。；帰ってきた戦士への決まり文句だった。</t>
        </is>
      </c>
      <c r="J2068">
        <f>HYPERLINK("https://www.weblio.jp/content/決まり文句", "词义详情")</f>
        <v/>
      </c>
      <c r="K2068">
        <f>HYPERLINK("https://yourei.jp/決まり文句", "查看例句")</f>
        <v/>
      </c>
    </row>
    <row r="2069">
      <c r="A2069" t="inlineStr">
        <is>
          <t>決まり悪い</t>
        </is>
      </c>
      <c r="B2069" t="inlineStr">
        <is>
          <t>成功</t>
        </is>
      </c>
      <c r="C2069" t="inlineStr">
        <is>
          <t>読み方：きまりわるい
［形］［文］きまりわる・し［ク］《心のおさまりが悪い意》体裁が悪く恥ずかしい。気恥ずかしい。きまりがわるい。「顔を合わせるのが—・い」</t>
        </is>
      </c>
      <c r="H2069" t="n">
        <v>5</v>
      </c>
      <c r="I2069" t="inlineStr">
        <is>
          <t>これもまた、父親が、決まり悪いときにする動作であると、悦子にはわかっている。；「ごめんな、勝手なこと言って」 片岡が決まり悪いように謝罪した。；家を出てから三十数年会うこともなかった母親と今さら頻繁に顔を合わせるのも決まり悪いやら照れ臭いやらで、近くに住むようになってからも部屋を訪ねるのはせいぜいふた月に一度ぐらいだった。；こうして出迎えているのが、なんとなく決まり悪いようだった。；それなら、相手の都合が悪くて「さよなら」ってことになっても、そんなに決まり悪い思いをしなくてすむんじゃない?</t>
        </is>
      </c>
      <c r="J2069">
        <f>HYPERLINK("https://www.weblio.jp/content/決まり悪い", "词义详情")</f>
        <v/>
      </c>
      <c r="K2069">
        <f>HYPERLINK("https://yourei.jp/決まり悪い", "查看例句")</f>
        <v/>
      </c>
    </row>
    <row r="2070">
      <c r="A2070" t="inlineStr">
        <is>
          <t>決まる</t>
        </is>
      </c>
      <c r="B2070" t="inlineStr">
        <is>
          <t>成功</t>
        </is>
      </c>
      <c r="C2070" t="inlineStr">
        <is>
          <t>読み方：きまる
［動ラ五（四）］
１不確か・未決定であった物事が最終的にはっきりして、動かない状態になる。さだまる。決定する。「方針が—・る」「有罪と—・る」
２変わらないで同じである。一定している。「毎朝—・った道を通る」「買う店が—・っている」
３（「…にきまっている」の形で）疑う余地がなく、当然である。きっとそうである。また、必ずそうなる。「冬は寒いに—・っている」「そんなことを言われれば、だれだって怒るに—・っている」
４スポーツや勝負事で、技がうまくかかったり、ねらいどおりに運んだりする。また、勝負がつく。「背負い投げが—・る」「速攻が—・る」「東土俵で—・る」
５（「きまっている」「きまってる」の形で）物事の型や服装などが、きちんとかっこうよくおさまる。さまになる。「背広が—・っている」
６歌舞伎などで、演技が高潮に達するか、ひと区切りついたとき、役者が形をつけたままでその動きをとめる。「花道の七三(しちさん)で—・る」
７男女の仲がうまくまとまる。
「今夜はお楽しみだの、—・ったのと、一座の女郎衆に言はれたが」〈洒・部屋三味線〉</t>
        </is>
      </c>
      <c r="D2070" t="inlineStr">
        <is>
          <t>決まる可能性</t>
        </is>
      </c>
      <c r="E2070" t="inlineStr">
        <is>
          <t>落ちる；決定する；選ばれる；決定される；定まる</t>
        </is>
      </c>
      <c r="F2070" t="inlineStr">
        <is>
          <t>応じて決まる</t>
        </is>
      </c>
      <c r="H2070" t="n">
        <v>29</v>
      </c>
      <c r="I2070" t="inlineStr">
        <is>
          <t>共同生産の基本線が決まらないまま、話題を再び生産車種に戻してみた。；これに対して「酒に決まってんだろ」と返したことがさらに問題となる。；また、残されたものの用途が決まらないまま放置されているものもある。；あと二時間もしたら出なければならないのに、着ていく服が決まらない。；どのような車両を新製するかの方針が決まると、具体的な設計が行われる。；仕事を終えて自宅に戻ると、決まってそれらの樹と話をするという。；これによって、機関車の用途が決まってしまうといっても過言ではない。；江戸時代には、将軍から偏諱を受けることが決まっていた大名家もある。；どのような観点で推薦者が決まるのか、原則学外には公示されていない。；柔道など投げ技がきれいに決まることが勝利条件の一つであるものも多い。；ミスした時点でのエリアの進行状況に応じて、再スタートエリアが決まる。；もしあの娘がお前の妻に決まれば、二人ともさっさと彼を見限るだろう。；そのため、このアルバムのコンセプトも決まらないままであったという。；その後最初に決まった対戦カードからの正式な試合順を決める抽選を行う。；通常は、関連研究者内部で提唱されたものが淘汰されて決まるものである。；価格は、それが決まる仕方によって、いくつかの種類に分類されている。；珠の数・材質に決まりは無く、輪の大きさ・主珠の大きさで決められる。；また、決まった区間を往復する列車では、両端の駅を表示する場合がある。；二人の共演が決まっていた映画『戦争と平和』の撮影準備中のことだった。；競技後のインタビューでは「腕が決まらなかった」とコメントを残した。；多くの食品にはいわゆる旬があり、決まった時期にしか手に入らなかった。；よし、そうと決まれば一応、あらかじめ内容を教えておいてもらうかね。；しかし下のくちばしが右に出るか左に出るかは決まっていない。；このため、毎日1回から数回決まった時間に決まった場所の上空に現れる。；その後に、決まったゾーンの中のどこに入るかを決める本抽選をする。；日付は宗教ごとに決まった暦を使用するため、大部分は移動祝日になる。；ライブ活動を終了させる考えは日本公演時から既に決まりつつあったという。；しかしこうでもしなければ跡目が決まらないから、こうやったのであろう。；しかし、鹿取らの思いとは裏腹に、所属は決まらない状況が続いていた。</t>
        </is>
      </c>
      <c r="J2070">
        <f>HYPERLINK("https://www.weblio.jp/content/決まる", "词义详情")</f>
        <v/>
      </c>
      <c r="K2070">
        <f>HYPERLINK("https://yourei.jp/決まる", "查看例句")</f>
        <v/>
      </c>
    </row>
    <row r="2071">
      <c r="A2071" t="inlineStr">
        <is>
          <t>君</t>
        </is>
      </c>
      <c r="B2071" t="inlineStr">
        <is>
          <t>成功</t>
        </is>
      </c>
      <c r="C2071" t="inlineStr">
        <is>
          <t>読み方：きみ
［名］
１一国の君主。天皇。天子。
２自分が仕えている人。主君。主人。「わが—」
３人を敬慕・親愛の情をこめていう語。「いとしの—」
４人名・官名などの下に添えて敬意を表す語。男女ともにいう。「師の—」
「明石の—」〈源・若菜下〉
５貴人や目上の人をいう語。お方。
「この—をば、私ものに思ほし」〈源・桐壺〉
６遊女。遊君。
「—達声をあげて…笑ひぬ」〈浮・一代男・五〉
７古代の姓(かばね)の一。もと皇親系の尊号で、天武天皇の八色(やくさ)の姓制では朝臣(あそみ)姓を与えられる者が多かった。
［代］二人称の人代名詞。
１多く男が同等または目下の相手に対していう語。「—、一緒に行こう」
２上代では多く女が男に対して、中古以後はその区別なく、敬愛の意をこめて相手をいう語。あなた。
「あかねさす紫野行き標野行き野守は見ずや—が袖振る」〈万・二〇〉
[下接語]大君・十善の君・万乗(ばんじょう)の君・儲(もう)けの君・嫁が君・我が君（ぎみ）兄君・姉君・尼君・父君・母君・姫君・村君・若君</t>
        </is>
      </c>
      <c r="D2071" t="inlineStr">
        <is>
          <t>君自身；君達；君みたい；君尾；君勇</t>
        </is>
      </c>
      <c r="E2071" t="inlineStr">
        <is>
          <t>主；お前；主人；殿；領主</t>
        </is>
      </c>
      <c r="F2071" t="inlineStr">
        <is>
          <t>小林君；姫君；俊夫君；k君；t君</t>
        </is>
      </c>
      <c r="G2071" t="inlineStr">
        <is>
          <t>君たち；君臨；君子；君のこと；君主制</t>
        </is>
      </c>
      <c r="H2071" t="n">
        <v>29</v>
      </c>
      <c r="I2071" t="inlineStr">
        <is>
          <t>他にも大院君が事件に強く関わっていたとする次のような言及がある。；君を悩ませているものをテーブルの上に並べてそれを眺めてみるんだ。；沢村君には悪いけれども、あのくらいの球には慣れてたんだよ、ぼくは。；ドイツの若者よ 私たちの人々の最善の努力は君の中に集約されている。；主は自分の心にかなう人を求めて、その人に民の君となることを命じられた。；君はヨーロッパのサッカーに通じているので、一つ協力してやってくれないか。；私は、君が自分を愛しているよりももっと深く君を愛している最愛のものだ。；僧から姫君の所在を聞いて会いに行くと姫君は唐后にそっくりであった。；ジブリにはそういうのがわかる人がいないんだけど、吾朗君、やらない?；上流の支流八手俣川には君が野ダムがあり桜の見所として知られている。；正解なら中央のテーブルに置いてあるトンガリ君をすべて獲得できた。；そうすれば、君は星全部が笑っているように見えるはずだから。；あなたはその人に油を注いで、わたしの民イスラエルの君としなさい。；この際球団は「君はもう近鉄の顔ではない」と告げたとされている。；アニメではサン・ジュストの最期と薫の君のその後が変更されている。；君にそんなことを言われなくたって、ちゃんと知っているし、わかっている!!；君と同じ研究を誰かがやっているかもしれないんだ。；これは、大院君が日本の要求を突き返すよう政府に命じたともいわれている。；そのころ、故式部卿宮の姫君が女一宮に出仕し、宮の君と呼ばれていた。；それまでの英主が愚君に変貌して女と酒に溺れて朝政を顧みなくなった。；「武士は二君に仕えず」のせいか、他家に仕えた者は多くが致仕している。；もし周りが成功を妬んで君を憎んでいるなら、君は正しいことをしてるんだよ!；それに、それを誰よりも一番分かっているのは君のはずだ。；君権の脆弱な封建制への回帰を主張しないのが穂積八束の立場である。；君は軽くあしらわれて花を持たせてもらっただけのことだ。；君は遠征先とかで、ソープランドへ行ったりしているんでしょう?；しかし、次の例のようにB君の方が上であるかのように話を持って行くことは可能である。；上の話では、A君とB君の状況を先ほどのテストの話から何も改変していない。；君には僕の想像にはないものを持っている。</t>
        </is>
      </c>
      <c r="J2071">
        <f>HYPERLINK("https://www.weblio.jp/content/君", "词义详情")</f>
        <v/>
      </c>
      <c r="K2071">
        <f>HYPERLINK("https://yourei.jp/君", "查看例句")</f>
        <v/>
      </c>
    </row>
    <row r="2072">
      <c r="A2072" t="inlineStr">
        <is>
          <t>気味</t>
        </is>
      </c>
      <c r="B2072" t="inlineStr">
        <is>
          <t>成功</t>
        </is>
      </c>
      <c r="C2072" t="inlineStr">
        <is>
          <t>読み方：きび
《「きみ」の音変化。また「び」は「味」の漢音とも》気持ち。心持ち。
「—が悪くって居ても起(た)っても居られませんもの」〈漱石・琴のそら音〉</t>
        </is>
      </c>
      <c r="D2072" t="inlineStr">
        <is>
          <t>気味わるい(3%)；気味わるく(3%)；気味わるさ；気味わるそう；気味わるがる</t>
        </is>
      </c>
      <c r="E2072" t="inlineStr">
        <is>
          <t>気；感じ；思い；様子；気持</t>
        </is>
      </c>
      <c r="F2072" t="inlineStr">
        <is>
          <t>風邪気味；いい気味；興奮気味；自嘲気味；うす気味</t>
        </is>
      </c>
      <c r="G2072" t="inlineStr">
        <is>
          <t>気味が悪い；気味悪い；気味悪く；気味が悪く；気味合い</t>
        </is>
      </c>
      <c r="H2072" t="n">
        <v>29</v>
      </c>
      <c r="I2072" t="inlineStr">
        <is>
          <t>手にした子供の首はザクロの実のようで気味の悪さに拍車をかけている。；初めは元妻やての娘たちは引き気味だったが、徐々に心を開いていく。；日本は最大の援助国の一つであるが、近年は援助額がやや減少気味である。；しかし、現実に得られる黄は赤気味であったり、緑気味であったりする。；ただし、栽培は放任気味に行うのであって完全に放任するわけではない。；夜道を走っていると、気味の悪い人形が道に立てられて塞がれていた。；開始当初から使用していたためか、音源が伸び気味でノイズも多少あった。；やや改変気味ではあるが、前半は原作に忠実にしようとしていた作品である。；その言葉を物影で聞いていたドクトルは、気味の悪い嘲笑を浮べていた。；最初は控え気味だった主人公も、徐々に彼女のペースに乗せられてゆくことに。；一方、ヨーロッパでは価格と信頼性からシマノ製品に押され気味である。；見得をする時も真っ赤な舌を出して異様な気味の悪さを強調する。；狭隘道路の区間もあるため通勤時間帯や週末などは常に渋滞気味である。；後半戦になると調子を崩し気味になり、9月に降格してシーズンを終えた。；ただしその内容に対しては、やや説明不足気味であったという評価もある。；しかし、チームは低迷し続け、森本自身の調子も下降気味になっていく。；赤気味でも緑気味でもない「理想の黄」が現実に得られるとは断言できない。；また、挿し木の際は無暗に水を与えずやや乾燥気味に管理すると良い。；やや乾燥気味のところにはコモウセンゴケやイシモチソウが生えている。；この大会よりセンターフォワードが引き気味に位置取る新システムがチームに導入された。；他のクラスメイトたちと比較しても平均的な体格だが、やややせ気味。；口の左端が下がり気味なため雑誌などの似顔絵ではへの字に描かれることが多い。；また機首が下がり気味であったこと、及び油温の上昇なども報告されている。；また、ランナーがいる際は足をあまり上げずにすり足気味で投球をしていた。；だが、艦底防御の計画変更などにより建造工程は遅れ気味であった。；おおむね一般のコチョウラン属のものより葉数が多く、立ち気味に生じる。；内容は物理学の全領域を扱うが、実際は物性物理学に偏り気味である。；しかし後半戦は若干失速気味となり、最終的な年間ランキングは4位となった。；他にも吸水性がよい紙、極端なものでは弾き気味の紙等特徴を備えているものもある。</t>
        </is>
      </c>
      <c r="J2072">
        <f>HYPERLINK("https://www.weblio.jp/content/気味", "词义详情")</f>
        <v/>
      </c>
      <c r="K2072">
        <f>HYPERLINK("https://yourei.jp/気味", "查看例句")</f>
        <v/>
      </c>
    </row>
    <row r="2073">
      <c r="A2073" t="inlineStr">
        <is>
          <t>奇妙</t>
        </is>
      </c>
      <c r="B2073" t="inlineStr">
        <is>
          <t>成功</t>
        </is>
      </c>
      <c r="C2073" t="inlineStr">
        <is>
          <t>読み方：きみょう
［名・形動］
１珍しく、不思議なこと。また、そのさま。「科学では説明できない—な現象」
２風変わりなこと。また、そのさま。「—な格好」
３非常に趣・おもしろみ・うまみなどがあること。また、そのさま。
「むむ、それは—だ。世話でもそれを煮てくんな」〈人・春告鳥・初〉
[派生]きみょうさ［名］</t>
        </is>
      </c>
      <c r="D2073" t="inlineStr">
        <is>
          <t>奇妙な形；奇妙な音；奇妙な感覚；奇妙な事件；奇妙な光景</t>
        </is>
      </c>
      <c r="E2073" t="inlineStr">
        <is>
          <t>特別；不思議；妙；異常；変</t>
        </is>
      </c>
      <c r="F2073" t="inlineStr">
        <is>
          <t>ひどく奇妙；奇妙なぐあいに；奇妙きてれつ；奇妙奇天烈；奇妙な浮遊</t>
        </is>
      </c>
      <c r="G2073" t="inlineStr">
        <is>
          <t>奇妙な味；奇妙奇天烈；奇妙キテレツ；奇妙な果実；奇妙な戦争</t>
        </is>
      </c>
      <c r="H2073" t="n">
        <v>29</v>
      </c>
      <c r="I2073" t="inlineStr">
        <is>
          <t>その奇妙な形態から、かつては硬骨魚類ではないと考えた研究者もいた。；すると、その壁からすすり泣きか悲鳴のような奇妙な声が聞こえてきた。；地震の前に動物が奇妙な行動ととったという報告は数多く記録されている。；その40分後には、意味のわからない断続音と奇妙な音が送られてきた。；娘と父の女友達の奇妙な交流と、二人をとりまく男たちとの関係を描く。；その奇妙な外見から危険な生物と誤解されることもあるが、無害である。；未解読の文字が記され、多数の奇妙な絵が描かれていることが特徴である。；研究過程でプログラム外の思考を行うなど奇妙な現象が見られた。；この奇妙な性質の原因が解明されるのは量子力学が導入されてからである。；ツノゼミ科の種類は、その胸部に奇妙な形の角を持つことで有名である。；そこには地球の言葉で以下のような奇妙な記録が書かれていた。；男は妻を捜し出すため、奇妙なシステムの閉鎖的な巨大病院に入り込む。；銀河系の中での位置を考えると、太陽の運動速度は非常に奇妙である。；しかし奇妙なことに、友人の飼い犬はその場で主人を待ち続けていた。；その生徒は誰かのいたずらだろうと思って奇妙な着信を放って置いた。；空港に向かう途中で次々にスミオに探し物の依頼をしていく奇妙な人物たち。；その奇妙な姿から日本では古くから栽培することがよくあった。；同様の奇妙な事件は、幼年時代のアダム・スミスの身にも起こっている。；この論文は革新的ではあるが、今日から見ると奇妙な点もいくつか見られた。；彼女は見間違いだと思ったが、リビングルームで奇妙なことが起こる。；この時に錨鎖穴の位置を既存のものを使用したため、奇妙な外見となった。；この奇妙な分布は古くから注目を集め、ネペンテス型分布などと呼ばれる。；しかし、現在ではそのような奇妙な模様は見られなくなっている。；これは非常に奇妙であり、仮説演繹法を改良する必要があることが分かる。；ある日の昼飯の時、ランティエが戻ってきて三人が奇妙な同居を始める。；アルキシーがわたしに話したいちいちがきみょうにわたしを興奮させた。；主従関係は変わっても、2人の奇妙な関係はその後も続いていたのだった。；母が看護に出かけてしまった事もあり、奇妙な同居生活をする羽目になる。；そんな二人はある日、猫のような目をした奇妙な少年・猫目小僧と出会う。</t>
        </is>
      </c>
      <c r="J2073">
        <f>HYPERLINK("https://www.weblio.jp/content/奇妙", "词义详情")</f>
        <v/>
      </c>
      <c r="K2073">
        <f>HYPERLINK("https://yourei.jp/奇妙", "查看例句")</f>
        <v/>
      </c>
    </row>
    <row r="2074">
      <c r="A2074" t="inlineStr">
        <is>
          <t>気味悪い</t>
        </is>
      </c>
      <c r="B2074" t="inlineStr">
        <is>
          <t>成功</t>
        </is>
      </c>
      <c r="C2074" t="inlineStr">
        <is>
          <t>読み方：きびわるい
［形］［文］きびわる・し［ク］「きみわるい」に同じ。「—・くて触れない」</t>
        </is>
      </c>
      <c r="D2074" t="inlineStr">
        <is>
          <t>気味悪いもの(3%)；気味悪い笑い；気味悪い音；気味悪い感じ；気味悪い沈黙</t>
        </is>
      </c>
      <c r="E2074" t="inlineStr">
        <is>
          <t>変；不気味；奇怪；無気味；怪異</t>
        </is>
      </c>
      <c r="F2074" t="inlineStr">
        <is>
          <t>ぬ気味悪い；こんな気味悪い</t>
        </is>
      </c>
      <c r="H2074" t="n">
        <v>29</v>
      </c>
      <c r="I2074" t="inlineStr">
        <is>
          <t>かれはわたしのほうを向いて、ぞっとするような気味悪い笑いを見せた。；準備室に幽霊が出るとか言って、気味悪いから学校に来るのいやだって。；気味悪く大きくなった木立ちになく梟の声を毎日邸の人は聞いていた。；なにか真っ黒な手で胸を押さえつけられたような気味悪さを感じました。；お町さんもかえってそれで、気味悪がっていたくらいでございますからね。；間もなく村田と、それにつづいて二三人の客が、気味悪そうに出て来た。；魔獣使いだからと言って、彼女を気味悪く思う者は、この島にはいない。；記憶が鮮明すぎて相手も覚えていないことが多く、よく気味悪がられる。；そう思うと、自分でも不思議なほど、気味悪さや恐怖感が消えていった。；だがお前は自分の様子がどんなに気味悪いか、自分で知らないだろう。；皮膚の色はまだまだらだったが、人に気味悪がられるほどではなかった。；妙な夢を見て恐れたり、夜分何者かの幻覚を生じて、気味悪がっていた。；私は背を流れる冷汗を、じっとりと気味悪く感じずにはいられなかった。；自分ばかりでなく、ほかの子供たちも気味悪がってそばへいかなかったのだ。；どうして私は後ろが気味悪くなって振り返ってしまったんだろう?；何か恐ろしい、世にも気味悪いことが起こりそうな気がしてならないのだ。；空も遠くの方も濛濛たる煙に覆われて、四辺は気味悪く黄濁して見えた。；こんな、こんな気味悪い物、もう一分だって一秒だって我慢できないわ!；なんだかあわれな人のようにも見え、また気味悪いようにも感じられたのです。；それとも、一般の人たちも気味悪がってこの通りへは入ってこないのだろうか。；左の眼に星の入っているのが、いよいよこの浪人を気味悪いものにしていた。；妙な夢を見て怖れたり、夜分何者かの幻覚を生じて、気味悪がっていた。；おかげで、おれはお姫のことを、離魂病じゃねえかと気味悪がったもんさ。；頭というと、これもまたひきつった皮膚が気味悪く光っているだけだ。；ひょっとするとどこかの気味悪い納骨堂のごみ捨て場なのかもしれない。；気味悪く真白な腹を照らされてさながら水のような光の中に浮いている。；いぶかしくもあったし、多少の気味悪さもあったが、すぐ覚悟をきめた。；坪井君はなお気味悪くなり、布に包み箱に納めて納戸に隠してしまった。；子供は今度は握った飯の上に乗った白く長方形の切片を気味悪く覗いた。</t>
        </is>
      </c>
      <c r="J2074">
        <f>HYPERLINK("https://www.weblio.jp/content/気味悪い", "词义详情")</f>
        <v/>
      </c>
      <c r="K2074">
        <f>HYPERLINK("https://yourei.jp/気味悪い", "查看例句")</f>
        <v/>
      </c>
    </row>
    <row r="2075">
      <c r="A2075" t="inlineStr">
        <is>
          <t>義務</t>
        </is>
      </c>
      <c r="B2075" t="inlineStr">
        <is>
          <t>成功</t>
        </is>
      </c>
      <c r="C2075" t="inlineStr">
        <is>
          <t>読み方：ぎむ
１人がそれぞれの立場に応じて当然しなければならない務め。「—を果たす」⇔権利。
２倫理学で、人が道徳上、普遍的・必然的になすべきこと。
３法律によって人に課せられる拘束。法的義務はつねに権利に対応して存在する。「納税の—」⇔権利。</t>
        </is>
      </c>
      <c r="D2075" t="inlineStr">
        <is>
          <t>義務教育(7%)；義務化(3%)；義務感(3%)；義務規定；義務兵役</t>
        </is>
      </c>
      <c r="E2075" t="inlineStr">
        <is>
          <t>務め；役；役割；責任；任務</t>
        </is>
      </c>
      <c r="F2075" t="inlineStr">
        <is>
          <t>報告義務；着用義務；支払う義務；設置義務；表示義務</t>
        </is>
      </c>
      <c r="G2075" t="inlineStr">
        <is>
          <t>義務づけ；義務教育学校；義務付ける；義務化；義務違反</t>
        </is>
      </c>
      <c r="H2075" t="n">
        <v>29</v>
      </c>
      <c r="I2075" t="inlineStr">
        <is>
          <t>このような場合に権利・義務関係をいかに処理すべきかが問題とされる。；これらの提案に従う義務があるなどと感じたりするべきではありません。；韓国では最近13歳から9歳にまで英語の義務教育の対象が下げられた。；トルコ政府は識字率向上のため義務教育を提供する学校を急速に作った。；義務教育ではないため英語講師は日本からの派遣ではなく現地採用である。；これらの提案に、従う義務があるなどと感じたりするべきではありません。；イタリアの中等教育は以下の2段階に分かれ、どちらも義務教育である。；それ以外は陝西省のように13年義務教育を実行している地域もある。；しかし、事故麦問題が起きている麦に対してはまだ義務化されていない。；また、イングランドでは二枚の布を胸に縫い付けることが義務化された。；共同体への忠誠義務を裏切った者は排除するべき種的変質者とされた。；彼は不公正な法律に反対することはキリスト教徒の義務であると信じていた。；日本の義務教育では必修鑑賞曲があげられるが、準拠する学校は少ない。；これらの提案に従う義務があるなどと感じるべきではありません。；この義務は、採用を制限しないよう指導する目的で2001年に廃止された。；Jリーグに所属するクラブはアカデミーをもつことを義務つけている。；なお、検察官の出席は義務ではないが出席をすることは可能である。；ノルウェーの中等教育は前期と後期に区分され、前者は義務教育である。；これにより市内すべての義務教育を行う学校が義務教育学校となった。；権利又は義務が特定人に専属し他の者に移転しない性質をいう。；国内での加工がある場合には表示義務に応じた表示がなされる。；このような性質を有する権利を一身専属権、義務を一身専属義務という。；明治世代の人の苦労を伝えるのは、自分達の世代の義務だと感じた。；義務教育は5歳から始まり、義務教育期間は5歳から18歳までである。；入祭の歌は義務ではないが、歌わない場合は入祭唱を唱えなければならない。；教育制度として、全国すべての子供に9年間の義務教育を適用している。；社会的義務とは、個人が属する社会に応じて従うべきとされることを意味する。；仲睦まじかったのはごく短い間で、国王は夫の義務を果たさなくなる。；義務教育後の教育としては私立高校からは大学へ進学する者が多い。</t>
        </is>
      </c>
      <c r="J2075">
        <f>HYPERLINK("https://www.weblio.jp/content/義務", "词义详情")</f>
        <v/>
      </c>
      <c r="K2075">
        <f>HYPERLINK("https://yourei.jp/義務", "查看例句")</f>
        <v/>
      </c>
    </row>
    <row r="2076">
      <c r="A2076" t="inlineStr">
        <is>
          <t>気難しい</t>
        </is>
      </c>
      <c r="B2076" t="inlineStr">
        <is>
          <t>成功</t>
        </is>
      </c>
      <c r="C2076" t="inlineStr">
        <is>
          <t>読み方：きむずかしい
［形］［文］きむづか・し［シク］《「きむつかしい」とも》
１我が強かったり神経質であったりして扱いにくい。機嫌が取りにくい。「愛想がよさそうに見えて、けっこう—・いところがある」
２不機嫌である。機嫌が悪い。「そう—・い顔をするなよ」
３気分がすぐれない。また、物事をするのが煩わしい。
「お—・しくは明日でもよろしうございます」〈人・梅美婦禰・初〉</t>
        </is>
      </c>
      <c r="D2076" t="inlineStr">
        <is>
          <t>気難しい性格(12%)；気難しい顔(10%)；気難しいところ(5%)；気難しい人物；気難しい父</t>
        </is>
      </c>
      <c r="E2076" t="inlineStr">
        <is>
          <t>神経質；荒々しい；不機嫌；潔癖；気むずかしい</t>
        </is>
      </c>
      <c r="H2076" t="n">
        <v>29</v>
      </c>
      <c r="I2076" t="inlineStr">
        <is>
          <t>引退後も気難しさは変わらず、気の向かないことはしようとしなかった。；気難しい二羽に気をとられているうち、腕に重く突き当るものを感じた。；彼女は卒業するまで気難しい顔をして本を読み続け、そして卒業していった。；もったいぶったところもなく、気難しいところもないのが気持よかった。；ただ一軒、ユダヤ人の気難しそうな爺さんのやっている古着屋があった。；気難しさも同道してくれれば文句ないのだが、あまり高望みはよくない。；傍らでは狩谷が気難しげな顔で、端末のキーボードに指を走らせていた。；患者の周囲の人々は患者をしばしば「単なる気難し屋」のような言葉で表す。；あの気難しい変り種の先生が保証するのだから間違いございません。；性格は気難しく、人が何かをしようとすると先を読んでそれを妨害したりもした。；言葉に気難しい私の父親がと言っていたのだから、たしかな名称にちがいない。；なかなか気難しい性格でもあり、ご褒美を与えないと、仕事をしなくなる。；私の父親はとても気難しい人で、そんな席に座ることはない人だった。；わたしは気難しい女の子だ、と思っていたのが今や遠い過去だった。；何年にもわたって気難しいという評判をとるようになっていた。；「かれは約束は守る」 「ここまでは」とレサは気難しい口調でいった。；気難しい老人のような顔で、木造モルタルのアパートが建ち並んでいた。；普段から気難しい男だが、いまはそれがさらに厳しく緊張している。；おそらくそれには、傲慢で気難しい彼の性格も一役買っているだろう。；ここ数日、やけに気難しいところがあったし、自分を避けている節もあった。；また気難しいと言われているため周りからは敬遠されていたりするが本人は気にはしていないようだ。；「私は海外旅行をしたことがないもんで」 源警部は気難しい顔をして言った。；カウンターの奥で、気難しい顔をした男が串に刺した鶏肉を焙っていた。；三袋目のポテトチップスを口に放りこんで、中村は気難しげにうなった。；演技でなければ、本当にフラン・ヴォネリとやらは気難しいのだろう。；知能の高さや警戒心の強さなどから、極端に気難しい性格を示す個体も少なくない。；だが女について慶次郎が意外に気難しいという噂は聞いたことがある。；どれにも写っているのは気難しそうな顔をした男だった。；アイレインが気難しい顔で本を読む女の子として覚えているように。</t>
        </is>
      </c>
      <c r="J2076">
        <f>HYPERLINK("https://www.weblio.jp/content/気難しい", "词义详情")</f>
        <v/>
      </c>
      <c r="K2076">
        <f>HYPERLINK("https://yourei.jp/気難しい", "查看例句")</f>
        <v/>
      </c>
    </row>
    <row r="2077">
      <c r="A2077" t="inlineStr">
        <is>
          <t>記名</t>
        </is>
      </c>
      <c r="B2077" t="inlineStr">
        <is>
          <t>成功</t>
        </is>
      </c>
      <c r="C2077" t="inlineStr">
        <is>
          <t>読み方：きめい
［名］(スル)氏名を書きしるすこと。「持ち物に—する」</t>
        </is>
      </c>
      <c r="D2077" t="inlineStr">
        <is>
          <t>記名式(22%)；記名押印(6%)；記名pasmo(2%)；記名証券(2%)；記名債券</t>
        </is>
      </c>
      <c r="E2077" t="inlineStr">
        <is>
          <t>記載；登録；登記；記帳；登載</t>
        </is>
      </c>
      <c r="F2077" t="inlineStr">
        <is>
          <t>表記名；記名式所持人払；記名式suica；記名式カード</t>
        </is>
      </c>
      <c r="G2077" t="inlineStr">
        <is>
          <t>記名捺印；記名被保険者</t>
        </is>
      </c>
      <c r="H2077" t="n">
        <v>29</v>
      </c>
      <c r="I2077" t="inlineStr">
        <is>
          <t>日崎山は矢張五万の図に記名してあるものを夫と認めてよいであろう。；記名式会員権の場合、利用者が変わったら名義を変更しなければならない。；夕刊フジの記事は記名制であるがzakzakでは記者名は省略される。；無記名式Suica扱いとなる場合は紛失時などの払い戻しができない。；投票は記名で行なうが、選考過程は公表されず、結果のみが公表される。；すべてを無記名で行うという点も、この手紙の陰険なところだった。；カルルクの存在は東西史料の両方に記されており、さまざまな記名がある。；記名式SUGOCAを利用している場合にはオートチャージが利用できる。；日本の選挙でも記名式に代り記号式の投票が行われていたことがある。；宿泊利用券は無記名式のため、会員本人でなくても同じ料金で利用できる。；一部の意見の影響を受けないように回答は無記名で行われる。；お礼は志として無記名でポストのような箱に、好きな金額を入れて帰る。；個人は、約一年以前、被告の利益となるような遺言状に記名調印している。；如月ゆり絵あてに来る手紙には、記名のものには返信を出すようにしている。；お客様登録をすることによってカード券面に名前を記名することもできる。；わたしの名前の次、記名のある最後の頁に岸本滋という名前があったのだ。；昔駒寄せのあった向側に机を並べて、来会者に記名させる人々が待っています。；つぎにいうまでもなく、明敏神のごとき名探偵なるものを廃したことである。；いかなるよき名を用いるとも、この二つの道の内容を言い尽くすことはできまい。；記名が必要とされているのみの場合は、自署を必要としない。；記名式カードにしたり、定期券を搭載したりする事は出来ない。；nimocaは記念カードを定期券や記名カードにする事が出来る。；次に、これと全く同じ文章を書いた手紙を、一週間以内にやはり無記名で三人に出してください。；はやかけんは一部を除いて記念カードも定期券や記名式カードにすることができる。；科学的批評の記名的な個性は少なくとも決して自慢になる条件ではないのである。；利用には、券面記載氏名の本人が使用する場合のみ有効とする記名式が原則である。；なお記名式の一般カードは、名義人以外は使用できない。；四CVの車のガソリン・タンクには無記名証券が一杯詰め込んであった。；無記名でこんな写真を送りつけ、そしらぬ顔で電話してくる。</t>
        </is>
      </c>
      <c r="J2077">
        <f>HYPERLINK("https://www.weblio.jp/content/記名", "词义详情")</f>
        <v/>
      </c>
      <c r="K2077">
        <f>HYPERLINK("https://yourei.jp/記名", "查看例句")</f>
        <v/>
      </c>
    </row>
    <row r="2078">
      <c r="A2078" t="inlineStr">
        <is>
          <t>決め付ける</t>
        </is>
      </c>
      <c r="B2078" t="inlineStr">
        <is>
          <t>成功</t>
        </is>
      </c>
      <c r="C2078" t="inlineStr">
        <is>
          <t>読み方：きめつける
［動カ下一］［文］きめつ・く［カ下二］
１一方的に断定する。「最初から犯人と—・ける」
２一方的にきびしくしかりつける。
「いらいらしているしず子は、あたまから弟を—・けた」〈山本有三・真実一路〉</t>
        </is>
      </c>
      <c r="D2078" t="inlineStr">
        <is>
          <t>決める；決定する；決断する；決定づける；レッテルを貼る</t>
        </is>
      </c>
      <c r="H2078" t="n">
        <v>29</v>
      </c>
      <c r="I2078" t="inlineStr">
        <is>
          <t>自殺すると書いてあるわけじゃないし、決め付けるのは早いと思う。；だが、沙都子の反応だけで決め付けるのは早計過ぎないだろうか?!；封蝋の刻印だけで、お父様の手紙だなんて決め付けることには同意できないわ。；内気で不器用な子供であった彼女を、愚鈍と決め付ける教師も少なくなかった。；堀口夫婦はいくらなんでも追いかけては来ないと決め付ける。；従ってトランシェ数のみによって機体の能力を決め付けるのは必ずしも妥当ではない。；だが、気付いていないと決め付けるのはあまりに楽天的だった。；柳沢が会った人間が即、主犯だなんて決め付けるわけもないもの。；知人から「決め付けるような言い方は控えた方がいい」と忠告され意識していると語っている。；だって、お母さんは大好きな時と大嫌いな時があって、どちらと決め付けることができなかったから。；これらの宗教では互いに自己を絶対化し、無価値なものと決め付けるか、あくまでも自己の宗教の枠内において他宗教の価値を認めるのが通常だった。；印象で決め付けるのはよくない。；劉少奇を「敵のスパイ」と決め付ける党の決定を読み上げたのも周恩来だった。；しかし、そう決め付けるには、元の記述が曖昧に過ぎる。；安易に魔術攻撃=ローマ正教と決め付けるには、あまりに不自然な状況だ。；僕がアルクェイドを対等の存在と認める以上は、彼女の僕に対する接近を不当と決め付ける理由は無い。；が、しかしである、だからといって、この文書の全部を偽物と決め付けることはできないはずだ。；しかし連合艦隊側の作戦指導の徹底が及ばなかった面も大きいのは前述した通りであり、一方的に第二艦隊側の作戦の無理解だと決め付けるのには無理がある。；会員の中には、この会社こそキングスレーキャピタルの関連会社であり別の会社と決め付けるのはどうかという主張もあるが、それを裏付ける証拠は存在しない。；しかしリバタリアニズムを信奉する人物がキリスト教の中絶・ゲイ反対に賛同していることからもわかるように、必ずしも両者が激しい意見の相違があると決め付けるのは誤りである。；だが、もちろん決め付けることはできない。；フランス政府の決定を暴挙と決め付けるのは簡単だが、ミッテランは就任当初から対日赤字に悩まされていた。；だけど、決め付けることはできないわ。；偏見や個人的嗜好で判断し、内容をよく確認しないまま低俗であると決め付ける場合もあり、その場合には逆に非難を受けることもある。；日本国憲法第20条によって完全な宗教の自由が保障された現在では、政府や裁判所等が特定宗派を邪と決め付けることは、建前上出来ないことになっている。；勝手に決め付けるなよっ!；ロマンチストが動物園を考えると、野生下が最善であると決め付けるため、歴史上、実行しなかった行為を要請する場合がある。；まだ決め付けるのは早い。；ポルトガル人が牛や馬を買い、生きたまま皮を剥いで素手で食べるとの記述については、ヨーロッパ人が化物だと決め付けることは東アジアでは一般的であるため、実際に目撃したものを著述したとは考えられない。</t>
        </is>
      </c>
      <c r="J2078">
        <f>HYPERLINK("https://www.weblio.jp/content/決め付ける", "词义详情")</f>
        <v/>
      </c>
      <c r="K2078">
        <f>HYPERLINK("https://yourei.jp/決め付ける", "查看例句")</f>
        <v/>
      </c>
    </row>
    <row r="2079">
      <c r="A2079" t="inlineStr">
        <is>
          <t>決める</t>
        </is>
      </c>
      <c r="B2079" t="inlineStr">
        <is>
          <t>成功</t>
        </is>
      </c>
      <c r="C2079" t="inlineStr">
        <is>
          <t>読み方：きめる
［動マ下一］［文］き・む［マ下二］
１不確実・未定であった物事をはっきりさせる。
㋐決定する。「日時を—・める」「方針を—・める」
㋑決心する。「こうと—・めたらなかなか変えない」「腹を—・める」
㋒選定する。「代表を—・める」
㋓結果をはっきりさせる。決着をつける。「勝ち越しを—・める」「勝負を—・める」
２約束する。「—・めた日に間に合わせる」
３そう思いこんで疑わない。一途にそう思う。「彼を犯人と—・めてかかる」
４（「…にきめている」の形で）そのようにすることを習慣としている。変えないで、いつも同じにしている。「朝食はパンに—・めている」
５意図的に好ましくない行動・態度をとる。きめこむ。「横着を—・める」
６かっこうよくぴったりした服装をする。「紺のスーツで—・める」
７歌舞伎などで、演技が高潮に達するか、ひと区切りついたとき、演者が動きを止めて形をつける。「舞台中央で片肌を脱いで—・める」
８スポーツなどで、ある技を成功させる。「スクイズを—・める」
９相撲・柔道などで、相手の差した両腕を抱え込んで動きを封じる。「かんぬきに—・める」
10強くとがめる。きめつける。
「行き端(は)（＝金ノ使イ道）を聞かうと—・めらるる」〈浄・重井筒〉
11飲んだり食べたりする。飲食する。また、違法な薬物などを摂取する。
「酒に咎(とが)をなするんぢゃあねえが、つい一斤—・めると」〈滑・浮世床・初〉
[用法]きめる・さだめる——「今後一年間の日程を決める（定める）」の場合は相通じて用いられる。◇「規約を決める（定める）」の場合も両語とも使えるが、ニュアンスに差があり、「決める」は単に規約を作ることを意味し、「定める」は規約を作るとともに、以後その状態を維持するという気持ちをも含んでいる。◇「決める」のほうが口語的で広く用いられ、「買うことに決める」「腹を決める」「会長を決める」など、はっきり決定する、の意味で使われる。また「技(わざ)を決める」など、うまく決着をつける、の意味でも用いられる。◇「定める」は「学校制度を定める」「税制を定める」など、改まった言い方で文章語的といえる。また、「ねらいを定める」「居を定める」など慣用的表現にも用いられ、これらは「きめる」では言い換えられない。◇類似の語に「決する」がある。「決する」には、いろいろあったがついに決定したという感じがある。「勝敗を決したのはあの一打だった」のように、やや文語的な表現となる。「決する」も「雌雄を決する」「意を決する」など、多く慣用句に用いる。</t>
        </is>
      </c>
      <c r="D2079" t="inlineStr">
        <is>
          <t>決めるべき；決めるべく；決める重要な要素</t>
        </is>
      </c>
      <c r="E2079" t="inlineStr">
        <is>
          <t>影響；決定；形成；指定；規定</t>
        </is>
      </c>
      <c r="F2079" t="inlineStr">
        <is>
          <t>決める王者議定；決める選考会；決めるなど好調；決めるなど活躍；決める重要な役割</t>
        </is>
      </c>
      <c r="H2079" t="n">
        <v>29</v>
      </c>
      <c r="I2079" t="inlineStr">
        <is>
          <t>どのカードをどの位置に置くのかはプレイヤーが自由に決める事ができる。；楽器の音階を決める穴配りと穴開けには高度の製作技術が必要とされる。；写真の出来に応じて現像するか否かをコマごとに決めることはできない。；ボックス構造の扱い方はある程度はユーザが任意に決めることができる。；勝率で上位を決める場合は、上位を基準にして以下のような数式になる。；大会によりことなるが、順位を決めるための追加試合を行うことがある。；神が十二支の動物を決める際、家の門の前に来た順番に決めることにした。；まず週始めに表示される仕事一覧から、請け負う仕事と担当者を決める。；長い時間軸では海洋の形の変化と陸海分布も海水準を決める要因になる。；これはエウロパにおける生命の居住可能性を決める上で重要な要素である。；アメリカが1941年後半に参戦を決めると、フォードもそれに従った。；父・エルンストは親友の医師の誘いでオーストラリアへの移住を決める。；国境を決める作業は長い時間をかけて行われ、1914年に完了した。；一度職業を決めると4種類の職業から違う種類に途中変更は効かない。；その後最初に決まった対戦カードからの正式な試合順を決める抽選を行う。；教区の変更の線引きは教会と国家が協議して決めるということになった。；俺、誰の獲物になるか決めろと言われるくらいの覚悟は多少していました。；そこでバンパーの提案で新たなチャンピオンレーサーを決める事にした。；その際、水準を基準にして収録するかしないかを決めることもある。；試合は1-2で敗れたが、ペレ自身は唯一の得点を決める活躍を見せた。；大きな穴の中心を決める下穴をあらかじめ開けておく必要がある。；土壌の種類と利用可能な水の量が栽培できる植物の種を決める。；その後に、決まったゾーンの中のどこに入るかを決める本抽選をする。；今後、各町村がそれぞれの議会で正式に決めるものと確信している。；購入価格は買い手が自由に決める方式となっており、話題になった。；米国などでは、コイントスで決めるのが習慣になっている州もある。；これらの分類は単純に元素の族や元素の周期だけで決めることはできない。；しかし非常に大型の船であったことから、攻撃のために追尾することを決める。；高校一年生の時にサッカー部を辞め、漫画一本に集中することに決める。</t>
        </is>
      </c>
      <c r="J2079">
        <f>HYPERLINK("https://www.weblio.jp/content/決める", "词义详情")</f>
        <v/>
      </c>
      <c r="K2079">
        <f>HYPERLINK("https://yourei.jp/決める", "查看例句")</f>
        <v/>
      </c>
    </row>
    <row r="2080">
      <c r="A2080" t="inlineStr">
        <is>
          <t>気持ち</t>
        </is>
      </c>
      <c r="B2080" t="inlineStr">
        <is>
          <t>成功</t>
        </is>
      </c>
      <c r="C2080" t="inlineStr">
        <is>
          <t>読み方：きもち
１物事に接したときに心にいだく感情や考え方。「—のこもった贈り物」「お—はよくわかります」
２ある物事に接したときに生じる心の状態。気分。感じ。「—のよい朝」「—の悪い虫」
３物事に対しての心の持ち方。心がまえ。「—を新たにする」「—を引きしめてかかる」
４からだの状態から生じる快・不快の感じ。気分。「—が悪く吐き気がする」
５相手に対する感謝の心や慶弔の意などを表す語。ふつう謙遜していうときに用いる。「ほんの—ですが」「—ばかりの品を送ります」
６（副詞的に用いて）ほんのわずか。「—長めに切る」
[用法]きもち・気分・ここち——「気持ち（気分、心地）がよい（悪い）」「すがすがしい気持ち（気分、心地）だ」のように、心の状態をいう場合には、相通じて用いられる。◇「気持ち」は心の状態だけでなく、考え方や考えの内容を表す。「どういうつもりなのか、彼の気持ちがわからない」の場合は、「気分」「心地」は使わない。◇「気分」は快・不快、明・暗などの心身の状態を中心に、「とりとめのない気分」「気分がすぐれない」「お祭り気分」「その場の気分を敏感に察する」など、ひろく漠然とした感じや雰囲気の表現にも及ぶ。◇「心地」は、「生きた心地がしない」「天にも上る心地」のような慣用表現として、また「住み心地」「乗り心地」のような熟語として用いられる。◇「気持ち（心持ち）右を向いてください」は、「気持ち」「心持ち」だけの用法である。</t>
        </is>
      </c>
      <c r="D2080" t="inlineStr">
        <is>
          <t>気持ち悪い；気持ち悪く；気持ち悪がら；気持ち悪そう；気持ちだったろ</t>
        </is>
      </c>
      <c r="E2080" t="inlineStr">
        <is>
          <t>気；感じ；思い；気持；感情</t>
        </is>
      </c>
      <c r="F2080" t="inlineStr">
        <is>
          <t>たいという気持ち；そんな気持ち；いい気持ち；同じ気持ち；どんな気持ち</t>
        </is>
      </c>
      <c r="G2080" t="inlineStr">
        <is>
          <t>気持ちいい；気持ちよ；気持ち良く；気持ち良；気持ちよい</t>
        </is>
      </c>
      <c r="H2080" t="n">
        <v>29</v>
      </c>
      <c r="I2080" t="inlineStr">
        <is>
          <t>日本の台湾に対する気持ちはその程度のものだったのかと残念に思った。；改めて自分の気持ちを確認した彼女は父の治療に協力する決意をする。；この行為から、執筆作業に対しての気持ちが入っていく面もあるという。；後になって戦争が終ってから、彼女は同情の気持ちを伝えることができた。；西洋の文学では、男性が男性に恋する気持ちも表現されてきた歴史がある。；それでも彼への気持ちを捨てられずに、待ち続け苦しむ日々が続いていた。；感情の一覧は、様々なことに感じて抱く気持ちを一覧にしたものである。；日本でプレーしただけあって日本人の気持ちを理解してくれる。；また、同意を求める文や無言でいる場合の疑問の気持ちを表すのに用いられる。；あそこまでしてもチャンピオンを獲りたいと思う気持ちは大事なこと。；また、食事の前後に読まない方が良いほどの気持ちの悪い話も含まれている。；自分ひとりが説明を聞いて納得しても我々の気持ちは収まらんよ。；気持ちを失ったとされる小狼にさくらはやっと自分の気持ちを伝える。；しかし私が考えを固執するときには、それに従う気持ちを失ってはいない。；激動の時代を迎えて、新たな気持ちでまた1からやってみたいと思います。；リーグ戦終了後の天皇杯では、気持ちのこもったプレーでチームを牽引。；その時の父と母の気持ちはどういうものだったのだろう?；結局その晩は複雑な気持ちを抱いた4人が一緒に鍋を囲むことになる。；こんな気持ちになったのは、私のレース経験で初めてのことだ。；この問題は選手の気持ちを取るか安全性を取るか、今なお意見が分かれている。；でも、彼らの気持ちを変えるのが自分の務めと自分に言い聞かせた。；みんなの気持ちが分かる性格で、専用のマスクとアーマーを着用している。；気持ちの根本がたがったわけではないことを確認できた三人は和解する。；ボシタ停止の決定は自己の存在を否定された気持ちをもつ辛い思いの人もいる。；あいつに負けたくないという気持ちがあったから必死になれた。；その頃のゲーリングは極めて気持ちのいい人間のように思えた。；認められたと思い、書きたい気持ちを大切にしたいと思った。；どうせやるなら半年前にやってほしかった、とそんな気持ちでした。；レースへ向けて気持ちが乗って来ない感じで、体も太い感じ。</t>
        </is>
      </c>
      <c r="J2080">
        <f>HYPERLINK("https://www.weblio.jp/content/気持ち", "词义详情")</f>
        <v/>
      </c>
      <c r="K2080">
        <f>HYPERLINK("https://yourei.jp/気持ち", "查看例句")</f>
        <v/>
      </c>
    </row>
    <row r="2081">
      <c r="A2081" t="inlineStr">
        <is>
          <t>着物</t>
        </is>
      </c>
      <c r="B2081" t="inlineStr">
        <is>
          <t>成功</t>
        </is>
      </c>
      <c r="C2081" t="inlineStr">
        <is>
          <t>読み方：きもの
１からだに着るものの総称。衣服。
２洋服に対して和服。特に長着。</t>
        </is>
      </c>
      <c r="D2081" t="inlineStr">
        <is>
          <t>着物を着換え；着物を着か；着物を着更；着物着；着物を着かえて</t>
        </is>
      </c>
      <c r="E2081" t="inlineStr">
        <is>
          <t>服；衣；衣装；衣服；洋服</t>
        </is>
      </c>
      <c r="F2081" t="inlineStr">
        <is>
          <t>赤い着物；新しい着物；黒い着物；美しい着物；派手な着物</t>
        </is>
      </c>
      <c r="G2081" t="inlineStr">
        <is>
          <t>着物モデル；着物屋；着物文化</t>
        </is>
      </c>
      <c r="H2081" t="n">
        <v>29</v>
      </c>
      <c r="I2081" t="inlineStr">
        <is>
          <t>黄八丈の着物に黒羽二重の紋付と云ふ拵へで人には医者だと号してゐる。；現在留袖や振袖は袖の形態から転じて着物そのものの名称になっている。；彼等は皆美しい着物を着ていて、沢山いた外国人達を大いに感心させた。；着ていた白い着物は、18年前に亡くなった母の妹の形見の着物だった。；第41回グラミー賞でも着物を着用してこの曲がパフォーマンスされた。；名前からよく誤解されるが公家の女性が着用していた着物の文様ではない。；なお彼が番組で着用していた黒い着物は、現在三遊亭王楽が着用している。；古くから栽培され、花が小さいので菊人形の着物によく使われている。；着物を脱ぐ間に、世話に立ったつやに葉子はこうようやくにしていった。；そのとき采女は身包みをはがれ、桜姫の着物は川へと落ちて流れてゆく。；さうして又この町はづれの陰惨たる風物と同じやうな色の着物を着てゐた。；現在は着物のデザインやティッシュボックスの製作などでも活躍している。；まだ着物中心だった時期は、菊人形や見世物人形に着せて展示していた。；着物の世界でも、この頃には、江戸上位の傾向が見られたのである。；以降はテレビドラマを中心に活動する一方、着物のモデル業も務める。；なお、セーラー服が制定される以前は着物に袴が着られていたようである。；ただし不完全な出来であるため、着物の色・肌の色が若干黒くなっている。；落語会の会場の横の建物が火事となり、着物にスニーカーで避難をした。；素材は絹ではなく麻で、現在の着物と同じようにお端折を作って着用された。；ひとりは赤、ひとりは青、もうひとりはまっ白の着物を着ていました。；何でもこんな着物はバルザックが、仕事をする時に着てゐたやうだ。；そうして又この町はずれの陰惨たる風物と同じような色の着物を着ていた。；江戸中期より着物を製造していたメーカーが前身である。；白薩摩は薄い木綿地の着物で、白地のものは夏の浴衣などに用いられる。；俯きながらも青年の凝視を感じる令嬢は、着物の襟などを気にしている。；令和の元号より梅と、日本の代表の花である桜を着物にあしらっている。；その女の子は身分のある者らしく良い着物を着て上品であった。；一例では、毎年数百人の日系メキシコ人達が着物で巡礼を行っている。；素肌の上にそのまま着用することもあれば、着物の上から着用することもある。</t>
        </is>
      </c>
      <c r="J2081">
        <f>HYPERLINK("https://www.weblio.jp/content/着物", "词义详情")</f>
        <v/>
      </c>
      <c r="K2081">
        <f>HYPERLINK("https://yourei.jp/着物", "查看例句")</f>
        <v/>
      </c>
    </row>
    <row r="2082">
      <c r="A2082" t="inlineStr">
        <is>
          <t>疑問</t>
        </is>
      </c>
      <c r="B2082" t="inlineStr">
        <is>
          <t>成功</t>
        </is>
      </c>
      <c r="C2082" t="inlineStr">
        <is>
          <t>読み方：ぎもん
１うたがい問うこと。「—を発する」
２本当かどうか、正しいかどうか、疑わしいこと。また、その事柄。「学説に—をいだく」「本物であるかどうかは—だ」</t>
        </is>
      </c>
      <c r="D2082" t="inlineStr">
        <is>
          <t>疑問視する(3%)；疑問点；疑問を投げかけ；疑問代名詞；疑問を持ち始め</t>
        </is>
      </c>
      <c r="E2082" t="inlineStr">
        <is>
          <t>質問；疑い；不安定；疑惑；疑念</t>
        </is>
      </c>
      <c r="F2082" t="inlineStr">
        <is>
          <t>素朴な疑問；大きな疑問；そういう疑問；疑問視；疑問をさしはさむ余地</t>
        </is>
      </c>
      <c r="G2082" t="inlineStr">
        <is>
          <t>疑問の声；疑問文；疑問詞；疑問名；疑問形</t>
        </is>
      </c>
      <c r="H2082" t="n">
        <v>29</v>
      </c>
      <c r="I2082" t="inlineStr">
        <is>
          <t>そのため、施されていない部分の防御効果については疑問視されていた。；その裁判の正当性は当時でも疑問とされ、冤罪であると信じられている。；地対空ミサイルも保有していたが、現在可動状態にあるかは疑問である。；このため地方の方言呼称や童謡がどれほど残っているかは疑問である。；ただしこの二つの領域に全ての疑問が含まれるというわけではない。；単純で素直な疑問から深く広範に影響を与える結果を多く出している。；また、同意を求める文や無言でいる場合の疑問の気持ちを表すのに用いられる。；これは義維の生年に疑問が多く、何年に誕生したか明確でないからである。；しかしながら、現代の学者たちはこの記述について強く疑問を抱いている。；日本語と同じ文の途中の疑問を表したい単語の直後にも使用する。；生息状況をもって「ミンミンゼミは暑さに弱い」とするには疑問が多い。；しかしの解説が収録されているなど、この説にも疑問点は多い。；しかし他の資料にはこの記述がなく、これを疑問視する論評もある。；経営判断としての投入なのであるが、それ自体に疑問を投げかけられた。；彼のキャスティングが発表されると成功の見通しに疑問を呈する者もいた。；これは国家が国民の生命与奪権まで与えることに疑問が提示された結果ともいえる。；しかし、それぞれの系譜によって大きく異同しており疑問視されている。；日本でも、ドイツの動きに刺激されて、民俗学の名称への疑問が起きている。；この裁判には疑問が多いことから、19世紀後半から検証が行われた。；このため、晴元・氏綱が実際に管領に就任したことを疑問視する説がある。；しかし、同時代人からエリウゲナの正統性に疑問が持たれた様子はない。；この疑問は現在においても科学的に解明されておらず、様々な説が存在する。；他人から見ればどうでもいいが気になる素朴な疑問をリポーターが取材に行く。；それではでどうしての内容が掲載されたかという疑問が生じる。；これに疑問を抱いたプランクは数度にわたり論文で原子論に反対した。；その中で中国とヨーロッパの知識を創造することの疑問について議論している。；だが、その人物が本当に新二であるかについてはいまだに疑問がある。；たけしが疑問に思っていることをフリップを元に紹介するコーナー。；思考とは何かという疑問は、人類の歴史の中で繰り返し問いかけられてきた。</t>
        </is>
      </c>
      <c r="J2082">
        <f>HYPERLINK("https://www.weblio.jp/content/疑問", "词义详情")</f>
        <v/>
      </c>
      <c r="K2082">
        <f>HYPERLINK("https://yourei.jp/疑問", "查看例句")</f>
        <v/>
      </c>
    </row>
    <row r="2083">
      <c r="A2083" t="inlineStr">
        <is>
          <t>客</t>
        </is>
      </c>
      <c r="B2083" t="inlineStr">
        <is>
          <t>成功</t>
        </is>
      </c>
      <c r="C2083" t="inlineStr">
        <is>
          <t>読み方：かく
〈客〉⇒きゃく
〈脚〉⇒きゃく</t>
        </is>
      </c>
      <c r="D2083" t="inlineStr">
        <is>
          <t>客たち(3%)；客用扉；客向け；客用ドア；客達</t>
        </is>
      </c>
      <c r="E2083" t="inlineStr">
        <is>
          <t>得意；ゲスト；乗客；観客；旅客</t>
        </is>
      </c>
      <c r="F2083" t="inlineStr">
        <is>
          <t>乗降客；観光客；海水浴客；女客；団体客</t>
        </is>
      </c>
      <c r="G2083" t="inlineStr">
        <is>
          <t>客室；客席；客間；客観；客観的</t>
        </is>
      </c>
      <c r="H2083" t="n">
        <v>29</v>
      </c>
      <c r="I2083" t="inlineStr">
        <is>
          <t>客は購入後に袋を開けるまで、組番は一切わからないようになっている。；あの人のように頭を使う仕事をしているお客さんは他にもいますから。；この口調で見るとこの御客さんはやはり金田君の世話になる人と見える。；別れた奥さんがお客さんにサービスするのを見るだけだって悲しいんだ。；原料の種類も七種に限らず、客の求めに応じて減じたり増したりできる。；私は後日、一度その楽食へ外国人のお客さんを連れて行ったことがある。；これはヤクルトの長所を顧客に説明し普及する必要があったためである。；間口を広く、お客さんを選ばないようなアニメにしたいと思っています。；すると中浮になっていた御客様は出て来ない訳には行きませんでした。；こっちのお客さんが嫌なやつばかりなのもそのせいなのだろうと思っていた。；顧客が単一の価格であらゆるサイズを購入できることを特長としている。；だけどめったにお客さんが来なくて、商売には全然なっていなかったわ。；十時を過ぎてから、どういうわけかぱったりお客さんが来なくなったの。；目の見えないお客さんははじめてだから、どうしようかと思ってたの。；お客さんが来てくれたということがたいへんな出来事なのだと感じられた。；おつまみが楽しみだなんて、お客さんたちに言われるようになるとはね。；この光景を見ていた観客の中には婦人客も多く、また清の皇族もいたという。；ただ、次から次へとお客さんが来るので、僕も応対はしなかったんです。；この方には一寸用があるんだから、荷物は君からお客さんに上げて呉れ!；その時まで、母は台所に行ったり、お客さんと話をしたりしていたのだ。；沿線は工場が多く、旅客列車はそれらの工場への通勤客が主に利用する。；お客さんたちは左右に走りまわったり、一つところに集まったりしている。；御客座にはほかにも境内にあった坂本神社の祭神などが合祀されている。；こんなんじゃいつまでたってもお客さん気分が抜けないじゃないか。；ですから、私はこの御客様のためにも来る日も来る日も御飯たきばかり。；この前は一人御客を川に落してしまいましたが、今日はそんなことはない。；御承知の通り、当方にお客さんが見えることは滅多にありませんのでね。；人気商売ですから、恋愛の話が出れば出るほどお客さんは減りますよね。；幕の間から客席を見ると、思ったよりずっと大勢のお客さんが入っていた。</t>
        </is>
      </c>
      <c r="J2083">
        <f>HYPERLINK("https://www.weblio.jp/content/客", "词义详情")</f>
        <v/>
      </c>
      <c r="K2083">
        <f>HYPERLINK("https://yourei.jp/客", "查看例句")</f>
        <v/>
      </c>
    </row>
    <row r="2084">
      <c r="A2084" t="inlineStr">
        <is>
          <t>規約</t>
        </is>
      </c>
      <c r="B2084" t="inlineStr">
        <is>
          <t>成功</t>
        </is>
      </c>
      <c r="C2084" t="inlineStr">
        <is>
          <t>読み方：きやく
団体内で協議して決めた規則。「組合—」「連盟—」</t>
        </is>
      </c>
      <c r="D2084" t="inlineStr">
        <is>
          <t>規約第(3%)；規約上(3%)；規約改正(2%)；規約案；規約変更</t>
        </is>
      </c>
      <c r="E2084" t="inlineStr">
        <is>
          <t>契約；約束；一致；承認；承知</t>
        </is>
      </c>
      <c r="F2084" t="inlineStr">
        <is>
          <t>連盟規約；権利に関する国際規約；本規約；会員規約；同規約</t>
        </is>
      </c>
      <c r="G2084" t="inlineStr">
        <is>
          <t>規約人権委員会；規約改定；規約共用部分</t>
        </is>
      </c>
      <c r="H2084" t="n">
        <v>29</v>
      </c>
      <c r="I2084" t="inlineStr">
        <is>
          <t>しかし、市の規約に照らし合わせて不審な点があるのは明らかであった。；労働組合の規約には、以下の各号に掲げる規定を含まなければならない。；個人が主催する為、規則や規約は使用する場所に準拠している場合が多い。；おおよそ、生物の種類と命名規約との対応関係は以下のようになっている。；会員規約によれば、実際に飛行した区間に応じて認定されることになっている。；ところが、イギリス、ドイツ、アメリカなどの国はこの規約を拒否する。；その後これがきっかけで、1964年に囲碁規約改正委員会が作られた。；また一般に実数 に対して と定義するが のときもそうであるかは規約による。；ポリシーや業務規約を自動化するための様々なが開発されてきた。；これは国際連盟規約第16条が史上唯一適用された事例であった。；実装規約と望みの動作が違っている場合だけ、必要な動作を設定すればよい。；しかし連盟規約では戦争や武力行使が全面的に禁止されることはなかった。；市民的および政治的権利に関する国際規約には次のように述べられている。；命名規約は大まかな方針では一致するものの、細部には多くの相違がある。；規約によりPGA会員は次の要件を満たされなければならないとされる。；各学校のPTAの名称は、各学校のPTAごとの規約により定められる。；ユーロリージョンの命名規約はリージョン自体の形式と同様に多様である。；ただしこの学名が規約上有効に命名されたのは1994年になってからである。；この規約はすべての細菌と古細菌の種から綱までの学名に適用される。；地方の事業を強力に武装させることで規約を守ることを監視できるよう地方の検査委員会が設立された。；なお、上記の規約の該当部分は後に以下のように修正された。；なお、病理医のなかには取り扱い規約を使わない方針を持つ人もいる。；さらに基本的な生活態度や日頃の礼儀作法など様々な規約を設けた。；この紋章の利用を保護するために、エシュヴェーゲ市は規約を設けている。；協力の目的は、メディア監督機関連盟規約において以下のように記されている。；寄宿舎自ら舎生規約を改正しないならば、学生課で勝手に改正するという。；もう一方の規約へと移るときは、 を で置き換えなければならない。；その原則を彼女は「規約」という形で明確にするようにしていった。；また、委員会は、本規約の規定の解釈について一般的意見を表明する。</t>
        </is>
      </c>
      <c r="J2084">
        <f>HYPERLINK("https://www.weblio.jp/content/規約", "词义详情")</f>
        <v/>
      </c>
      <c r="K2084">
        <f>HYPERLINK("https://yourei.jp/規約", "查看例句")</f>
        <v/>
      </c>
    </row>
    <row r="2085">
      <c r="A2085" t="inlineStr">
        <is>
          <t>逆</t>
        </is>
      </c>
      <c r="B2085" t="inlineStr">
        <is>
          <t>成功</t>
        </is>
      </c>
      <c r="C2085" t="inlineStr">
        <is>
          <t>読み方：ぎゃく
［音］ギャク（呉）ゲキ（漢）　［訓］さか　さからう
［学習漢字］5年
〈ギャク〉
１本来の方向・事態などと反対である。「逆境・逆行・逆転・逆風・逆流・逆輸入／可逆」
２支配や命令にさからう。正道にそむく。「逆心・逆賊／悪逆・横逆・弑逆(しいぎゃく)・大逆・反逆」
３さかのぼる。「逆上／吃逆(きつぎゃく)」
〈ゲキ〉
１普通とは方向が反対である。「逆鱗(げきりん)」
２出迎える。「逆旅」
３前もって。「逆睹(げきと)」
〈さか〉「逆子・逆夢」
［難読］吃逆(しゃっくり)・逆上(のぼ)せる</t>
        </is>
      </c>
      <c r="D2085" t="inlineStr">
        <is>
          <t>逆方向(2%)；逆向き；逆回転；逆輸入；逆側</t>
        </is>
      </c>
      <c r="E2085" t="inlineStr">
        <is>
          <t>反対；逆に；裏腹；相反；逆さ</t>
        </is>
      </c>
      <c r="F2085" t="inlineStr">
        <is>
          <t>上下逆；逆v；逆落；逆相；逆サイド</t>
        </is>
      </c>
      <c r="G2085" t="inlineStr">
        <is>
          <t>逆上；逆手；逆さ；逆らう；逆襲</t>
        </is>
      </c>
      <c r="H2085" t="n">
        <v>29</v>
      </c>
      <c r="I2085" t="inlineStr">
        <is>
          <t>逆に、ある状態をいくつかの状態の重ね合わせに分解することもできる。；現代では方向の基準は宇宙測地観測局の位置から逆に定義されている。；逆に子の側には、仲間を助ける際の瞬間的な判断と勇気が求められる。；逆に32ビット版PowerPCがサポートされる対応環境から外れた。；逆にメディアミックスは単数の情報を複数の媒体で展開することである。；逆に暑さには強く、夏が近づくと水を大量に飲み、大量に汗をかいた。；ここから逆に、恒星がどのような運動をしているかを分析することができる。；逆T字方式は、中央案内軌条式の新交通システムと類似した構造を持つ。；中央線では通勤快速より特別快速の方が上位だが、常磐線は逆であった。；逆に火の勢いが強くなると、周囲のものが熱などによって影響を受けやすい。；逆に、誕生時の木星は現在の2倍程度の大きさがあったと考えられる。；逆に、行動可能な部隊数などが自動またはランダムで制限される場合もある。；なぜなら用語が逆に使われているように見えるからである。；自動車が普及している国では、車両とは逆の通行区分になっている場合が多い。；近頃すっかり逆になってきちゃってね、曲の方が簡単になってきてるんですね。；その際イオンと電子では荷電の符号が逆なので、旋回の向きも逆になる。；が負のときは を今度は逆方向に伸び縮みさせることで同様に定める。；日本へ逆輸入する際に名前をそのまま残したようである。；レールも、車体を支えるアームとは逆側から、片持ちで支持されている。；いわゆる「拡大登録」がこれにあたるが、逆に縮小登録にも適用される。；彼らの知識はヨーロッパに逆輸入され、ルネサンスの開始を助けた。；逆に問題が悪条件であれば、データに含まれる誤差は大きく成長する。；逆に現代から見れば正当な主張をして批判に晒された人物も多い。；さらに は と同じ長さで向きだけが と逆になる。；全出力からエンジン停止、逆回転させて全出力までの時間は60秒以下であった。；逆に輸入額が多いのは日本やアフリカ諸国である。；逆に、相手が生きると思っている石を殺してしまえば、そこは自分の地となる。；逆にドルは流入したので、戦前からドル基準の国内物価が上昇した。；逆に生きていることを明示する場合は「生体」と呼ばれることもある。</t>
        </is>
      </c>
      <c r="J2085">
        <f>HYPERLINK("https://www.weblio.jp/content/逆", "词义详情")</f>
        <v/>
      </c>
      <c r="K2085">
        <f>HYPERLINK("https://yourei.jp/逆", "查看例句")</f>
        <v/>
      </c>
    </row>
    <row r="2086">
      <c r="A2086" t="inlineStr">
        <is>
          <t>逆上</t>
        </is>
      </c>
      <c r="B2086" t="inlineStr">
        <is>
          <t>成功</t>
        </is>
      </c>
      <c r="C2086" t="inlineStr">
        <is>
          <t>読み方：ぎゃくじょう
［名］(スル)激しい怒りや悲しみなどのために、頭に血が上ること。分別をなくし取り乱すこと。「—して刃物をふるう」</t>
        </is>
      </c>
      <c r="D2086" t="inlineStr">
        <is>
          <t>逆上する(8%)；逆上気味；逆上ぶり；逆上性；逆上感</t>
        </is>
      </c>
      <c r="E2086" t="inlineStr">
        <is>
          <t>興奮；狂気；娯楽；激情；狂乱</t>
        </is>
      </c>
      <c r="F2086" t="inlineStr">
        <is>
          <t>いくら逆上</t>
        </is>
      </c>
      <c r="G2086" t="inlineStr">
        <is>
          <t>逆上がり；逆上せる</t>
        </is>
      </c>
      <c r="H2086" t="n">
        <v>29</v>
      </c>
      <c r="I2086" t="inlineStr">
        <is>
          <t>自分は少し逆上していたので、そんな事はよく注意していられなかった。；英泉さんはあとで、あまりの恐ろしさに逆上したのだといってましたね。；彼女は彼女自身を、花が好きなのでそのために逆上する人間に比較した。；逆上したラツァは思わず手に持っていたナイフで彼女の頬を切りつける。；こういうときに何か言うと逆上させてしまうことを、経験から知っている。；逆上するとどうなるかというと、まず目の前がまっくらになるのである。；多分、自分も小源同様に逆上していたのではないかと、後になって思った。；だからもし逆上する者があらば血液よりほかにはあるまいと思われる。；犯人が自供するとばかり思い込んでいた刑事は、思わぬ展開に逆上した。；彼は新銭座で禿にやられてから、丸太を見ると逆上する癖がついていた。；途中で子音が入ったのに、逆上していて気がつかなかったのかもしれない。；あたしは、この人は逆上するとこういうことをするのかと少し意外に思った。；新三郎が澄江といい仲になっていると知って逆上したのかも知れない。；崖の周囲が警察に包囲される中、逆上した脱獄囚は夫婦を次々と殺害。；と言うより逆上する俺の意識などどこにも存在していないのだ。；そんなことは思っただけでも、驚きのあまりわたしは逆上してしまったろう。；それとも他の男性と際き合っていることを知って逆上したのか。；許されないとなると、かえって逆上して何をしでかすか自分でも分らない。；彼らは逆上した草食獣のすさまじさで敵に襲いかかっていったのである。；ときに、そこがはっきり見えないと言って逆上することがあります。；私は「いづこへ」の女が夜の遊びをもとめる時に、時々逆上して怒った。；もう若者でも人間でもなくて、性悪と逆上の塊が歩いてるようなものだった。；怯えて逆上した四人を抱えて、しかも侵入者に気を配ることはできない。；断って逆上でもされたら、ホテルや部屋からは逃げにくいと考えているのか。；動きまわって気をまぎらわしていないと、逆上してしまいそうだった。；みんな殺してやりたいやうな殺気があふれて、やにはに逆上してしまつた。；いきなり出現した男が、真奈美のこと、なんて言ったら親は逆上するのだ。；雨にけぶる夜空に、逆上していた半蔵も、はじめて細い一条の綱を見た。；それにしても逆上のあまりにきやつらを 殺してしまったことが悔やまれる。</t>
        </is>
      </c>
      <c r="J2086">
        <f>HYPERLINK("https://www.weblio.jp/content/逆上", "词义详情")</f>
        <v/>
      </c>
      <c r="K2086">
        <f>HYPERLINK("https://yourei.jp/逆上", "查看例句")</f>
        <v/>
      </c>
    </row>
    <row r="2087">
      <c r="A2087" t="inlineStr">
        <is>
          <t>脚色</t>
        </is>
      </c>
      <c r="B2087" t="inlineStr">
        <is>
          <t>成功</t>
        </is>
      </c>
      <c r="C2087" t="inlineStr">
        <is>
          <t>読み方：きゃくしょく
［名］(スル)《芝居の仕組み、筋書の意から》
１小説や事件などを舞台・映画・放送で上演できるように脚本にすること。「自伝を—したテレビドラマ」
２事実をおもしろく伝えるために粉飾を加えること。「話に多少—した部分もある」</t>
        </is>
      </c>
      <c r="D2087" t="inlineStr">
        <is>
          <t>脚色賞；脚色上演；脚色し直し；脚色演出</t>
        </is>
      </c>
      <c r="E2087" t="inlineStr">
        <is>
          <t>演出；修正；加工；アレンジ；リミックス</t>
        </is>
      </c>
      <c r="F2087" t="inlineStr">
        <is>
          <t>自ら脚色；大幅な脚色；大きく脚色；大胆な脚色；面白おかしく脚色</t>
        </is>
      </c>
      <c r="H2087" t="n">
        <v>29</v>
      </c>
      <c r="I2087" t="inlineStr">
        <is>
          <t>ともかく相当に近代化した脚色だが、素材は可なり古いものと見てよい。；映画冒頭ではこれが実際の事件を脚色した作品であると但し書きが入る。；当時の類似する他の多くの映画と同様、脚本は大きく脚色されている。；しかし、そうした報道には相当に脚色したとしか思えないものも多かった。；私は脚色の仕事をつづけながら、口から出まかせのでたらめの話をした。；近代創作の中では、この他にも名のある剣や槍を所有すると脚色されている。；彼らの専門は、フランスの戯曲をアメリカの舞台に脚色することであった。；脚色は充分苦労してゐるが、結局長すぎることゝ暗いことがいけない。；堺正章版との差別化を図るため、過去シリーズより大きく脚色している。；しかし、他の軍記物同様、脚色や歴史的史実との相違も指摘されている。；森氏に話し、十二月撮影の予定の「歌へば天国」を脚色させたいと思ふ。；実際には大幅に脚色された、今日で言うところの都市伝説に近いものである。；実話に題材を得たストーリーではあるが、その内容は大きく脚色されている。；それについてさまざまな推測がなされ、後世、多くの作品に脚色された。；また英国では自伝を脚色して、2010年にTVドラマ化もされている。；自身は後にこの記述をゴーストライターによる脚色であると主張した。；丘見は、脚色の香山滋から「もっとロマンを」と意見されていたという。；原作小説の執筆と並行して、ケアリーは自ら映画向けの脚色を行っていた。；非常に文献の乏しい時代であり、史実から大幅な脚色がなされている。；原作は、1959年に発表されたの同名小説であり、が映画用に脚色した。；第87回アカデミー賞では脚色賞と衣裳デザイン賞にノミネートされた。；劇中ではレース終盤のクライマックスパートが映画用に脚色されている。；作品の性質上、実際にあった出来事を反映しているが、脚色された部分も一部ある。；もちろん俗説としてはいろいろに脚色された話もあることはあるが。；しかしながら、この伝承は脚色されているとも考えられている。；しかし、それらには脚色も多く含まれるため注意が必要である。；レースでは残り2ハロンから他馬とは明らかに脚色の違う豪脚を披露。；原作を使用したエピソードもかなりの脚色が加えられた。；ただし、会話の部分についてはかなり脚色が加えられていると考えられている。</t>
        </is>
      </c>
      <c r="J2087">
        <f>HYPERLINK("https://www.weblio.jp/content/脚色", "词义详情")</f>
        <v/>
      </c>
      <c r="K2087">
        <f>HYPERLINK("https://yourei.jp/脚色", "查看例句")</f>
        <v/>
      </c>
    </row>
    <row r="2088">
      <c r="A2088" t="inlineStr">
        <is>
          <t>客席</t>
        </is>
      </c>
      <c r="B2088" t="inlineStr">
        <is>
          <t>成功</t>
        </is>
      </c>
      <c r="C2088" t="inlineStr">
        <is>
          <t>読み方：きゃくせき
劇場などの客の座席。</t>
        </is>
      </c>
      <c r="D2088" t="inlineStr">
        <is>
          <t>客席数(3%)；客席側；客席部分；客席後方；客席全体</t>
        </is>
      </c>
      <c r="E2088" t="inlineStr">
        <is>
          <t>客；席；椅子；座；観客</t>
        </is>
      </c>
      <c r="H2088" t="n">
        <v>29</v>
      </c>
      <c r="I2088" t="inlineStr">
        <is>
          <t>また大規模なスポーツやコンサートの会場の客席に使われる事例もある。；その劇場の客席の傾斜の具合がセット建設に都合がよかったためである。；また翼が上部にあることで翼の付近の客席からは上空の視界が遮られる。；客席入口前には運営資金を寄付した個人や団体の名前が掲げられている。；客席の方からはあたしたちの姿は完全に見えないのだろうと陽子は思った。；またイベント開催時には階段部分を客席として使用することも可能である。；舞台と客席との距離が近く臨場感の高い、演劇を主体としたホールである。；客席にはスタッフのみが待機して見守るという形で公演がスタートした。；酒台に向き合って二列ほど裸テーブルと椅子の客席が取ってあった。；そして自動車を呼んで、客席へは乗らず、本物の運転手の隣へ腰かけた。；目にしたのは客席全体が感動し、私に感謝する様子だったのです。；その時のギプスはツアーファイナルの仙台公演の際に客席に投げている。；病院の入院病床は旅客機の客席と同様、様々な行政規制で縛られている。；演奏には地元の合唱団など200名以上が参加し、客席は満杯となった。；開館当初の客席はすべて畳敷きであり、両側には花道が付けられていた。；可動式の客席を備えており、様々なジャンルや形態の上演を可能にしている。；そのため全体的にスタンドと客席が近くコンパクトな形になっている。；客席とステージの距離が近く、客がライブに積極的に参加することも可能である。；化粧室は客席配置により客室前方および後方いずれにも配置可能である。；幕が開くと、客席の雰囲気は斎藤がぞっとするほどに冷ややかであった。；音楽を主目的とした音響性能と多目的性を考慮して客席数は651席。；各店舗の客席に置かれている調味料類は、自社開発の製品を使用している。；客席はすり鉢状でコンクリート地に樹脂製のイスが固定設置されている。；舞台の大きさや客席数に応じた、大ホール・中ホール・小ホールを持つ場合がある。；明るくなって来た客席を見ると、みんな興奮のつかれかグッタリ伸びている。；当日は朝から雨が降っており、客席側の地面はぬかるんだ状態だった。；またコンサートなどではステージと客席の間に大型のディスプレーを配置する。；但し佐藤はライブには毎回、客席から参加しステージにも上がっている!；一般的に旅客機では、音楽や映画といった客席向けの娯楽が提供される。</t>
        </is>
      </c>
      <c r="J2088">
        <f>HYPERLINK("https://www.weblio.jp/content/客席", "词义详情")</f>
        <v/>
      </c>
      <c r="K2088">
        <f>HYPERLINK("https://yourei.jp/客席", "查看例句")</f>
        <v/>
      </c>
    </row>
    <row r="2089">
      <c r="A2089" t="inlineStr">
        <is>
          <t>虐待</t>
        </is>
      </c>
      <c r="B2089" t="inlineStr">
        <is>
          <t>成功</t>
        </is>
      </c>
      <c r="C2089" t="inlineStr">
        <is>
          <t>読み方：ぎゃくたい
［名］(スル)むごい扱いをすること。「動物を—する」</t>
        </is>
      </c>
      <c r="D2089" t="inlineStr">
        <is>
          <t>虐待される；虐待的；虐待者；虐待行為；虐待防止</t>
        </is>
      </c>
      <c r="E2089" t="inlineStr">
        <is>
          <t>圧迫；制圧；弾圧；抑圧；横暴</t>
        </is>
      </c>
      <c r="F2089" t="inlineStr">
        <is>
          <t>被虐待；子ども虐待；性的な虐待；ひどい虐待；肉体的な虐待</t>
        </is>
      </c>
      <c r="H2089" t="n">
        <v>29</v>
      </c>
      <c r="I2089" t="inlineStr">
        <is>
          <t>取り替え子と誤解されたことで、虐待されたり殺されたりした者もいた。；さらに囚人虐待事件への対応などの影響から退任を求める声が出始めた。；捕虜の間に階級が生じ、権力を持った捕虜が捕虜を虐待することもあった。；トッドは母親から愛される一方で、父親からは虐待され無視されていた。；虐待的で精神障害のある父親の下で成長して、彼は精神病になり始めた。；グアム収容所では収容されている容疑者が様々な虐待を受けたとされる。；虐待を受けている子どもは恐怖または愛情から親をかばうことがある。；娘・雪子はオニババと一緒に虐待するか、相手にしないかのどちらかだ。；過去の複数の父親とはいずれも仲が悪く、虐待を受けたこともある。；なお彼は2011年にも当時5歳になる息子に対する虐待を行っていた。；軍刑務所ではその運用の性質上、虐待などの問題が発生する事が多い。；逃亡に失敗した時のAとBにはいずれもMたちから激しい虐待が行われた。；やがて、虐待されている者同士で互いを監視するような状況になったという。；このポリシーは、女性虐待者を考慮に入れていないことでも批判されている。；これは南軍同調者が北軍から虐待されたことも要因になった可能性がある。；早くに父親が蒸発、残された母親に虐待されて育ったと称している。；だが、奴隷のように扱われ、時には父親などから虐待を受けていたという。；バイエルン公はウルリヒが姉を虐待していることに腹を立てていたのだった。；もう一人の少女は13歳だった2004年に虐待を蒙ったと言われている。；移送中の収容者のうち92人が虐待を受けて亡くなりこの町に埋葬された。；虐待を行っている親権者であっても、法律上家族等から排除されない。；ポケモンについては、ポケモンは人間に虐待されていると抗議を行った。；雇子達の中には粗末な食事しか出されず、親方から虐待を受ける者もいた。；虐待をされたことが原因で、PTSDやトラウマの症状が出る場合が多い。；その後に父親を釈放し、その虐待について噂を広めるよう指示を与えた。；中国は動物保護に熱心ではなく、ペットの虐待を防ぐ法律は何もなかった。；入手可能なデータにより、多くのポーランドの捕虜の虐待の事例が判明した。；またフェミニスト団体に彼女がこの結婚で受けた勘定的虐待の経験を語った。；だがそれは単なる傾向であり、多くの虐待被害者は虐待をしていないのである。</t>
        </is>
      </c>
      <c r="J2089">
        <f>HYPERLINK("https://www.weblio.jp/content/虐待", "词义详情")</f>
        <v/>
      </c>
      <c r="K2089">
        <f>HYPERLINK("https://yourei.jp/虐待", "查看例句")</f>
        <v/>
      </c>
    </row>
    <row r="2090">
      <c r="A2090" t="inlineStr">
        <is>
          <t>逆転</t>
        </is>
      </c>
      <c r="B2090" t="inlineStr">
        <is>
          <t>成功</t>
        </is>
      </c>
      <c r="C2090" t="inlineStr">
        <is>
          <t>読み方：ぎゃくてん
［名］(スル)
１それまでとは反対の方向に回転すること。逆回転。反転。「スクリューを—させる」⇔正転
２事の成り行きなどがそれまでとは反対になること。「形勢が—する」「—勝ち」</t>
        </is>
      </c>
      <c r="D2090" t="inlineStr">
        <is>
          <t>逆転する(9%)；逆転させる(2%)；逆転サヨナラ(2%)；逆転勝利；逆転機</t>
        </is>
      </c>
      <c r="E2090" t="inlineStr">
        <is>
          <t>反転；覆す；顛倒；ひっくり返す；翻す</t>
        </is>
      </c>
      <c r="F2090" t="inlineStr">
        <is>
          <t>再逆転；代打逆転；劇的な逆転；逆転器；逆転ko</t>
        </is>
      </c>
      <c r="G2090" t="inlineStr">
        <is>
          <t>逆転勝利；逆転勝ち；逆転優勝；逆転写；逆転現象</t>
        </is>
      </c>
      <c r="H2090" t="n">
        <v>29</v>
      </c>
      <c r="I2090" t="inlineStr">
        <is>
          <t>この時はかなりの接戦や逆転を経てのものであったが、翌年も連覇した。；この理論はまた、左利きの人々が脳の分業を逆転させていると予測する。；すなわちそれは形而上学の完了を逆転させることにおいて分解的である。；戦後の1960年を境に日本酒と洋酒の消費量が逆転することになった。；同点あるいは逆転となった失点が自身に記録されるか否かは関係ない。；吹くとその音を聞いた人が次にしようとしていた行動が逆転する。；したがって、鉄道線同様路線上とバス運行上で上下の逆転する区間が発生した。；性別によった地位が逆転したことで宗教上の変化がもたらされたと想定した。；その目的は、共産党を維持しつつ、経済の停滞を逆転させることだった。；こうした貿易風の発生域で生じる逆転層のことを、貿易風逆転と呼ぶ。；正逆転回転が必要でない用途では、単相または二相での駆動が可能である。；機械室内の機器配置はZ形通路形式とし、車体中央で通路配置が逆転する。；のび太は使用時に午前午後を逆転させて深夜に行動する羽目になった。；この試合で逆転の決勝2ランを放ち、明訓高校初出場初優勝に貢献した。；ストレートニュース形式の内容になったことから、本番組と立場が逆転した。；地球でも同様に猿と人間の地位が逆転してしまっていたのだ。；一部の国では分布の上部で男女比が逆転している場合がある。；同様に、山と谷の間でも風向が逆転することがあり、これを山谷風という。；しかしA国での小麦の価格とB国での小麦の価格が逆転する事はない。；これまで、movaのそれを下回っていたが、遂に逆転する事になった。；こちらが一打逆転の場面なのに落ち着いてベンチから見ていられない。；これで優勢になったレ・バンナが逆転の判定勝ちで王座防衛に成功した。；この大会では2月大会と勢力が逆転し、協会系活動家が激しく罵倒された。；しかし決勝ではピットのミスでハミルトンに逆転され2位に終わった。；全て逆の人もいれば特定の臓器のみ逆転している人もいる。；この爆弾を投げつけて爆発させると、その場にあるものの勝敗が逆転する。；この大敗で、それまで優勢だった後燕と北魏の力関係は完全に逆転した。；第4Qはスーパーボウル史上最も得点が入り何度も逆転が見られた。；文字の中には上下を逆転させただけで違う文字になるものもあるので、上下を統一することはとても重要である。</t>
        </is>
      </c>
      <c r="J2090">
        <f>HYPERLINK("https://www.weblio.jp/content/逆転", "词义详情")</f>
        <v/>
      </c>
      <c r="K2090">
        <f>HYPERLINK("https://yourei.jp/逆転", "查看例句")</f>
        <v/>
      </c>
    </row>
    <row r="2091">
      <c r="A2091" t="inlineStr">
        <is>
          <t>逆に</t>
        </is>
      </c>
      <c r="B2091" t="inlineStr">
        <is>
          <t>成功</t>
        </is>
      </c>
      <c r="C2091" t="inlineStr">
        <is>
          <t>読み方：ぎゃくに
［副］
１通常の関係とは反対に。「面接官に対して—質問をする」
２予想や期待とは反対に。かえって。「丁寧に言ったつもりが—失礼になる」</t>
        </is>
      </c>
      <c r="D2091" t="inlineStr">
        <is>
          <t>逆方向(2%)；逆向き；逆回転；逆輸入；逆側</t>
        </is>
      </c>
      <c r="E2091" t="inlineStr">
        <is>
          <t>反対；逆に；裏腹；相反；逆さ</t>
        </is>
      </c>
      <c r="F2091" t="inlineStr">
        <is>
          <t>上下逆；逆v；逆落；逆相；逆サイド</t>
        </is>
      </c>
      <c r="G2091" t="inlineStr">
        <is>
          <t>逆上；逆手；逆さ；逆らう；逆襲</t>
        </is>
      </c>
      <c r="H2091" t="n">
        <v>29</v>
      </c>
      <c r="I2091" t="inlineStr">
        <is>
          <t>逆に、ある状態をいくつかの状態の重ね合わせに分解することもできる。；現代では方向の基準は宇宙測地観測局の位置から逆に定義されている。；逆に子の側には、仲間を助ける際の瞬間的な判断と勇気が求められる。；逆に32ビット版PowerPCがサポートされる対応環境から外れた。；逆にメディアミックスは単数の情報を複数の媒体で展開することである。；逆に暑さには強く、夏が近づくと水を大量に飲み、大量に汗をかいた。；ここから逆に、恒星がどのような運動をしているかを分析することができる。；逆T字方式は、中央案内軌条式の新交通システムと類似した構造を持つ。；中央線では通勤快速より特別快速の方が上位だが、常磐線は逆であった。；逆に火の勢いが強くなると、周囲のものが熱などによって影響を受けやすい。；逆に、誕生時の木星は現在の2倍程度の大きさがあったと考えられる。；逆に、行動可能な部隊数などが自動またはランダムで制限される場合もある。；なぜなら用語が逆に使われているように見えるからである。；自動車が普及している国では、車両とは逆の通行区分になっている場合が多い。；近頃すっかり逆になってきちゃってね、曲の方が簡単になってきてるんですね。；その際イオンと電子では荷電の符号が逆なので、旋回の向きも逆になる。；が負のときは を今度は逆方向に伸び縮みさせることで同様に定める。；日本へ逆輸入する際に名前をそのまま残したようである。；レールも、車体を支えるアームとは逆側から、片持ちで支持されている。；いわゆる「拡大登録」がこれにあたるが、逆に縮小登録にも適用される。；彼らの知識はヨーロッパに逆輸入され、ルネサンスの開始を助けた。；逆に問題が悪条件であれば、データに含まれる誤差は大きく成長する。；逆に現代から見れば正当な主張をして批判に晒された人物も多い。；さらに は と同じ長さで向きだけが と逆になる。；全出力からエンジン停止、逆回転させて全出力までの時間は60秒以下であった。；逆に輸入額が多いのは日本やアフリカ諸国である。；逆に、相手が生きると思っている石を殺してしまえば、そこは自分の地となる。；逆にドルは流入したので、戦前からドル基準の国内物価が上昇した。；逆に生きていることを明示する場合は「生体」と呼ばれることもある。</t>
        </is>
      </c>
      <c r="J2091">
        <f>HYPERLINK("https://www.weblio.jp/content/逆に", "词义详情")</f>
        <v/>
      </c>
      <c r="K2091">
        <f>HYPERLINK("https://yourei.jp/逆に", "查看例句")</f>
        <v/>
      </c>
    </row>
    <row r="2092">
      <c r="A2092" t="inlineStr">
        <is>
          <t>脚本</t>
        </is>
      </c>
      <c r="B2092" t="inlineStr">
        <is>
          <t>成功</t>
        </is>
      </c>
      <c r="C2092" t="inlineStr">
        <is>
          <t>読み方：きゃくほん
演劇や映画などの仕組み・舞台装置、俳優のせりふ・動作などを記したもの。台本。本。映画・放送ではシナリオともいう。</t>
        </is>
      </c>
      <c r="D2092" t="inlineStr">
        <is>
          <t>脚本家；脚本執筆；脚本担当；脚本化；脚本段階</t>
        </is>
      </c>
      <c r="E2092" t="inlineStr">
        <is>
          <t>本；原作；ドラマ；芝居；演劇</t>
        </is>
      </c>
      <c r="F2092" t="inlineStr">
        <is>
          <t>自ら脚本；舞台脚本；基づいて脚本；脚本によるドラマオリジナル作品；脚本朗読会</t>
        </is>
      </c>
      <c r="G2092" t="inlineStr">
        <is>
          <t>脚本賞；脚本集</t>
        </is>
      </c>
      <c r="H2092" t="n">
        <v>29</v>
      </c>
      <c r="I2092" t="inlineStr">
        <is>
          <t>このプロジェクトで最初に脚本の執筆を頼まれたのが彼であったという。；映画公開後に発表された小説は、脚本と同時進行で書かれた部分もある。；この喜劇の脚本の記述の真実性への疑義は、避けようのないことである。；脚本以外の専門分野で活躍する人への依頼は、全て入院前に済ませていた。；以後もハントケはヴェンダースのいくつかの作品の脚本を手がけている。；この小説をきっかけとして、大きな脚本の依頼が入ってくることになった。；また、小学校の学習発表会などで演劇を発表する際にも脚本が使用される。；岐阜女子商業高校在学中に演劇を始め、主に脚本と役者を担当していた。；グリーンが最初に書いた脚本ではハッピーエンドとなるはずであった。；原作であるPCゲームに沿いつつもオリジナル要素を加えた脚本になっている。；鈴木は実際に脚本段階まで進んでいる企画が複数あると明かした。；製作決定後に脚本の多くが変更され、舞台もサンフランシスコに変更された。；脚本は自分では書かず、依田義賢や成澤昌茂などの脚本家に執筆させた。；この手紙には脚本の場面ごとの批判などがとうとうと続く。；脚本やデザインは日本で、撮影などはすべてアメリカで行われた。；企画と脚本段階で英語に翻訳し、CIEで許可されたもののみ製作がなされた。；脚本を一から学生が作成し、劇中歌や劇中曲は吹奏楽で自前で演奏する。；半年間休養した後、にっかつ撮影所に入社し、勤務しながら脚本を学ぶ。；テレビ版と同じレギュラーキャスト、脚本、監督、音楽を起用している。；スタッフのほとんどは脚本を読むことすら許されなった。；脚本まで完成していたが、円谷一社長の急死によって頓挫してしまった。；しかし、クレジットされていなくとも脚本の作業に参加することはあるという。；なかなか処女作が実現しない黒澤は、生活のために脚本を書き続けた。；そこで、多数の協力者が執筆した脚本を元に作品が創られている。；また脚本は主演を務めたラッセル・クロウからの提案による修正も行われた。；この脚本を持ってきたのは、川北曰くプロデューサーの富山省吾だった。；テレビドラマの脚本で高い評価を受ける一方、推理小説にも幅を広げた。；作風は自然主義リアリズムで、脚本執筆の際には徹底した調査を行った。；ドラマやアニメなどの原作・脚本名義で使用される。</t>
        </is>
      </c>
      <c r="J2092">
        <f>HYPERLINK("https://www.weblio.jp/content/脚本", "词义详情")</f>
        <v/>
      </c>
      <c r="K2092">
        <f>HYPERLINK("https://yourei.jp/脚本", "查看例句")</f>
        <v/>
      </c>
    </row>
    <row r="2093">
      <c r="A2093" t="inlineStr">
        <is>
          <t>客間</t>
        </is>
      </c>
      <c r="B2093" t="inlineStr">
        <is>
          <t>成功</t>
        </is>
      </c>
      <c r="C2093" t="inlineStr">
        <is>
          <t>読み方：きゃくま
来客を応接する部屋。客室。</t>
        </is>
      </c>
      <c r="D2093" t="inlineStr">
        <is>
          <t>客間兼；客間女中</t>
        </is>
      </c>
      <c r="E2093" t="inlineStr">
        <is>
          <t>座敷；客室；応接間；客座敷</t>
        </is>
      </c>
      <c r="F2093" t="inlineStr">
        <is>
          <t>大きな客間；兼客間；広い客間；顧客間；小さい客間</t>
        </is>
      </c>
      <c r="H2093" t="n">
        <v>29</v>
      </c>
      <c r="I2093" t="inlineStr">
        <is>
          <t>椅子と卓子のある客間の窓からは五六町の距離にある港の入口が見えた。；思想も感情も客間の礼儀内でしか運用できない人のやうな思ひすらした。；この部屋は一般に思われているようなベッドルームではなく客間である。；一分間ののち、一人の婦人が小さな女の児を連れて客間にはいって来た。；客間に缶詰にされた関係者の周囲で警官たちの動きがあわただしくなる。；客間が殆ど空になった時、メナルクはまたわたしのところへやって来た。；女性たちが客間に入ってまもなく、残りの女性たちがそれぞれに到着した。；その客間というのは、映画を見ている一同が、さっき食事をした部屋だ。；とは言うものの、スペイン岬の客間なるものを見て、一同は舌をまいた。；かつて彼は町のある客間で、貧民のために寄付金を集めたことがあった。；従僕がそれを買ってもどってきてみると、客間にはあるじひとりがいた。；私はあのとき客間の花がしおれていはしないかと思って見に行ったのでした。；客間に他人がいっぱいいることも忘れて、まったく夢中になっていた。；ところが非常に重大なことが客間女中のアリスの口から語られました。；豊里での最初の夜は、外から訪れる人のために用意された客間で過ごした。；大きな声で話していた矢代も急に客間へ出されたように声をひそめた。；老人が客間に引返して見ると、小川と名乗った客は、影も形もないのだ。；邪魔ではないかと云う、なんの用かわからないが客間へ上って貰った。；フェザートン少佐が呼ばれて、夫人の腕をとって客間へもどっていった。；幹太郎は六兵衛を呼んで茶を命じ、八畳の客間のほうへ重四郎を招いた。；さっきね、むこうの客間の暗がりに坐っていた、あれが運のつきだよね。；みんなの笑いものの例の青年が、彼女のあとを追って客間へやって来た。；長い間二人の争いがつづいてそれから彼らは客間へもどつて行った。；二階の客間の裏に水屋がある、その北向きの長四畳を使っているのであった。；客間の八畳には二つのソファと卓子と椅子、次の六畳が食堂になっていた。；一時間後に客間へはいっていったが、もはやなんの気配もとどめなかった。；妾はお客間の方の御用をしたことが、一度もないのでございますもの。；ポアロは、それらを一通り覗いて見ると、もう客間へ戻るといい出した。；前に自分の家の客間での場合と同じように良心のとがめなどは感じなかった。</t>
        </is>
      </c>
      <c r="J2093">
        <f>HYPERLINK("https://www.weblio.jp/content/客間", "词义详情")</f>
        <v/>
      </c>
      <c r="K2093">
        <f>HYPERLINK("https://yourei.jp/客間", "查看例句")</f>
        <v/>
      </c>
    </row>
    <row r="2094">
      <c r="A2094" t="inlineStr">
        <is>
          <t>華奢</t>
        </is>
      </c>
      <c r="B2094" t="inlineStr">
        <is>
          <t>成功</t>
        </is>
      </c>
      <c r="C2094" t="inlineStr">
        <is>
          <t>読み方：かしゃ
［名・形動］華やかにおごること。はででぜいたくなこと。また、そのさま。
「—なる京都を離れ鄙野なる諸国に派遣せらることは」〈田口・日本開化小史〉</t>
        </is>
      </c>
      <c r="D2094" t="inlineStr">
        <is>
          <t>華奢な体(5%)；華奢な身体(4%)；華奢な肩(3%)；華奢な手(3%)；華奢な指</t>
        </is>
      </c>
      <c r="E2094" t="inlineStr">
        <is>
          <t>細い；弱い；豪華；贅沢；繊細</t>
        </is>
      </c>
      <c r="F2094" t="inlineStr">
        <is>
          <t>華奢な靴；華奢な肢体；ひどく華奢；華奢なロリ系；華奢な体つき</t>
        </is>
      </c>
      <c r="H2094" t="n">
        <v>29</v>
      </c>
      <c r="I2094" t="inlineStr">
        <is>
          <t>一方は比較的華奢な形態でもう一方はわずかながら頑丈な形態であった。；もとがブルテリアであるとは考えられないほど小さく華奢な犬種である。；たそがれ時のようなその世界に、華奢な印象を与える少年の姿があった。；青年たちは、予想していたよりは華奢な体付きで、身軽な動きを見せた。；僕の華奢な肩や背中に、水しぶきと雨が両方混じり合って落ちてきます。；手は白かったが華奢でなく、足の格好も身分のある婦人とは見えなかった。；その華奢で貧弱な身体つきからして、完全な人間ではないと判断した。；どんな魔法が世界の宝をわたしのこんなに華奢な腕に捉えさせたのでしょう?；丈は高いが、そのつもりで見れば背中から腰への線がいかにも華奢だ。；華奢な茶杓をにぎつた手が意外にしたたかなものであつたことがわかる。；吹けば飛ぶような華奢な姿したものでも、さらに物に動ぜぬものもある。；華奢な女性型ボディの背に、やや青みの濃い髪が翼のように流れている。；最初に出てきたのは、金色の飾りがついたいかにも華奢な陶製の器だった。；ふわりとした袖に包まれた華奢な麻美の腕を、服の上から軽く叩いた。；顔を上げると、周囲の暗闇のなかでひときわ黒い、華奢な人影が見えた。；東京の学校へ行ってゐるといふ福本の娘の華奢な恰好も目についてゐた。；若い娘の華奢な腕が、糸を操って、なんとか安定させようとしている。；華奢な祝品の数々のほかには実用品も多く添えて源氏は贈ったのである。；男は少女の華奢な肩に腕をまわし、二人はぴったりよりそって歩いていた。；彼は一見痩せていて華奢だが、こんな時の力はなんと強いのだろう。；しかし、華奢な左手には、開始時にはなかったものがそっと握られていた。；小鳥の羽のように華奢で、しかし誰よりも力強く未来を指していた手。；華奢な身体で、生まれてから一度も陽に当たったことがなさそうな白い肌をしている。；それが見えなくなると、今度は華奢な女の足が突然空へ現れた。；華奢な感じの新しいビルで、見あげるとどの窓も暗く閉されていた。；その華奢な肉体が苦痛に堪え切れそうに思えなかったからである。；標本の中には、堅牢な形態と華奢な形態の2つの形態が存在していた。；その先には一見すると女のように華奢な体つきの人影があった。；彼女の華奢な肉体に、今の彼を振りほどくカがあるとは思えなかった。</t>
        </is>
      </c>
      <c r="J2094">
        <f>HYPERLINK("https://www.weblio.jp/content/華奢", "词义详情")</f>
        <v/>
      </c>
      <c r="K2094">
        <f>HYPERLINK("https://yourei.jp/華奢", "查看例句")</f>
        <v/>
      </c>
    </row>
    <row r="2095">
      <c r="A2095" t="inlineStr">
        <is>
          <t>脚立</t>
        </is>
      </c>
      <c r="B2095" t="inlineStr">
        <is>
          <t>成功</t>
        </is>
      </c>
      <c r="C2095" t="inlineStr">
        <is>
          <t>読み方：きゃたつ
《「脚榻子」の唐音》短いはしごを八の字形に合わせ、上に板をのせた形の踏み台。</t>
        </is>
      </c>
      <c r="D2095" t="inlineStr">
        <is>
          <t>脚立釣り</t>
        </is>
      </c>
      <c r="H2095" t="n">
        <v>29</v>
      </c>
      <c r="I2095" t="inlineStr">
        <is>
          <t>脚立に乗って、背伸びをしてやっと、一番上の棚に手が届く程度である。；たとえば、社長室の中央に脚立が置かれていたら、どうだったでしょうか?；昨年の台風の日には、脚立に立って彼女とおなじ目の位置で撮りました。；第一脚立を使用したところでそこまでは到達できないことも解った。；住宅所有者のものである短い脚立が開け放れた窓のところにあった。；彼はある教室から出てくると脚立を置き、ポケットからキーを取り出した。；設置するときにトーメンが昇降しないときは脚立で登ってすることがある。；スタントン氏が脚立からおりて来て、指を一本そっと箱の中に突っ込んだ。；日野原が使っていたアルミ製の小型脚立も、そのすぐ脇に倒れている。；主に高い所での作業の際に使用するアルミ製ハシゴ・脚立を製造販売している。；俺はむしろ、あいつが脚立から落ちそうになったから、助けようとしたんだ。；もともとここに置かれていた脚立を伸ばしたものである。；僕はあわててカウンターから出ると、彼女の脚立の代わりになった。；袋の中の電球の数をかぞえ終った時、脚立を忘れたことに気づいた。；民家の二階程度の高さならば、人間、脚立やロープなどの道具は必要ない。；高い棚の本を取るための脚立が一脚部屋の隅に置いてある。；彼らは椅子を脚立代りにしてその地図を一方の壁面に画鋲で留めはじめた。；脚立を捜しながら、岳志は天井の獅子座を桜に見せる時のことを想像した。；脚立に似た台座の上に小さな座面と小さな背もたれがついている。；彼は、車から降りていって、道端から脚立の上の人に声をかけた。；紗枝子はわれに返って、やっとの思いで脚立を下り、建物の陰に身を隠した。；榎本は、ショルダーバッグと脚立を抱えて、再び、こちらに戻ってきた。；その自転車の横には短い脚立がしっかりとくくりつけてある。；そして友達から脚立を借りて、アパートに来てくれたのだ。；この男性はその8ヵ月後の12月に作業中に意識を失い脚立から転落死した。；眼のまえの脚立のようにつったっている男はだれだろう。；前社長が使った脚立か何かは、どうしてなくなってたの?；といっても、脚立と姿見を動かしたぐらいで、そう大がかりなものではない。；乗降は足の側面をよじ登るようにして行われるが脚立等を使っても乗り降りが可能。</t>
        </is>
      </c>
      <c r="J2095">
        <f>HYPERLINK("https://www.weblio.jp/content/脚立", "词义详情")</f>
        <v/>
      </c>
      <c r="K2095">
        <f>HYPERLINK("https://yourei.jp/脚立", "查看例句")</f>
        <v/>
      </c>
    </row>
    <row r="2096">
      <c r="A2096" t="inlineStr">
        <is>
          <t>客観</t>
        </is>
      </c>
      <c r="B2096" t="inlineStr">
        <is>
          <t>成功</t>
        </is>
      </c>
      <c r="C2096" t="inlineStr">
        <is>
          <t>読み方：かっかん
［名］(スル)⇒きゃっかん（客観）</t>
        </is>
      </c>
      <c r="D2096" t="inlineStr">
        <is>
          <t>客観的(64%)；客観化(3%)；客観視(3%)；客観性(3%)；客観描写</t>
        </is>
      </c>
      <c r="F2096" t="inlineStr">
        <is>
          <t>主観客観；客観界；客観品質評価法；客観主観；客観態度</t>
        </is>
      </c>
      <c r="G2096" t="inlineStr">
        <is>
          <t>客観性；客観主義；客観写生；客観的証拠；客観的精神</t>
        </is>
      </c>
      <c r="H2096" t="n">
        <v>29</v>
      </c>
      <c r="I2096" t="inlineStr">
        <is>
          <t>他人の姿を見た句でなしに、自己の姿を客観したもののような気がする。；そこには少しも一定の客観的な相互の秩序は見出されることが出来ない。；ドイツ語の精神は、この場合には元来が、或る客観的なものを意味する。；であるから自然は今日の言葉で云えば、主観から独立な客観を意味する。；だからこそそれは客観的な文化形態ともなることが出来るわけである。；文は客観的な思想を含むが、文の真理値がその文の意味なのだとする。；人間の活動や力は世界の客観的な構造を変えることができるのか。；相手への攻撃と取られないように、客観的なデータの提示を行うものも多い。；もし客観的な価値が存在しないとすれば、人生は無意味なのだろうか?；あらゆる種類の感情で、死への執着は魅力と客観化の両方で明らかになる。；俺が眠っているとき、俺が起きているとき、外界は客観的に変りはない。；科学的な場とは、まさにそのような場で客観性を獲得できる場である。；味覚センサの用途としては食品開発等で味の客観的な評価に利用される。；計算法は器械的・客観的であるほど迅速かつ正確に計算することができる。；専門家の間で共通して有効であると認識されているような客観指標は存在しない。；この詩人は一度も客観的に自分を兄弟のうちに数へてみたことはなかつたらしい。；此にも根本の要求点は作家の同情を広大せよ、一層客観的なれといふにあり。；学校全体を客観視して見えてきた事実を新聞として発行している。；体験の芸術的客観化は必ずしも意識的になされることを必要としない。；然るに私は今やこの客観的であるということさえ疑わずにはいられない。；しかし平凡な人はどこまでも客観描写に終始してそれで終るがよろしい。；救いなのはインタビューする方で客観的に見ていられることだね。；そしてそれが客観説をば主観説から安全にしているように見える。；美は客観的なものであり、それは芸術のすべての自然な基盤である。；後期の著作では、彼はHGAは完全に分離した客観的な存在だと主張している。；現実の客観的な実在世界が、実は一定の方法を科学に向って指定するのだった。；またこの道徳的事実は心から独立しており、それゆえ客観的なものである。；何も客観に限らず主観もまた写生をすればよい、と考えて居るらしい。；しかしいわゆる客観的な物語や写生文の大部分の主資料となるものは人間である。</t>
        </is>
      </c>
      <c r="J2096">
        <f>HYPERLINK("https://www.weblio.jp/content/客観", "词义详情")</f>
        <v/>
      </c>
      <c r="K2096">
        <f>HYPERLINK("https://yourei.jp/客観", "查看例句")</f>
        <v/>
      </c>
    </row>
    <row r="2097">
      <c r="A2097" t="inlineStr">
        <is>
          <t>客観的</t>
        </is>
      </c>
      <c r="B2097" t="inlineStr">
        <is>
          <t>成功</t>
        </is>
      </c>
      <c r="C2097" t="inlineStr">
        <is>
          <t>読み方：きゃっかんてき
［形動］
１主観または主体を離れて独立に存在するさま。⇔主観的。
２特定の立場にとらわれず、物事を見たり考えたりするさま。「—な意見」「—に描写する」⇔主観的。</t>
        </is>
      </c>
      <c r="D2097" t="inlineStr">
        <is>
          <t>客観的事実(4%)；客観的実在；客観的存在；客観的かつ；客観的表現</t>
        </is>
      </c>
      <c r="E2097" t="inlineStr">
        <is>
          <t>平等；公平；公正；分析的；中正</t>
        </is>
      </c>
      <c r="F2097" t="inlineStr">
        <is>
          <t>客観的情勢；客観的条件；客観的基準；客観的知識；客観的資料</t>
        </is>
      </c>
      <c r="G2097" t="inlineStr">
        <is>
          <t>客観的精神；客観的処罰条件</t>
        </is>
      </c>
      <c r="H2097" t="n">
        <v>29</v>
      </c>
      <c r="I2097" t="inlineStr">
        <is>
          <t>客観的にあったことを、あったことゝして作品の上に再現しようとした。；法制度を科学的に分析するための客観的論理を提供した点に功績がある。；客観的に恋人がいなさそうな女性を「喪女」と名をつけて呼ぶ物もいる。；真理は超越的なものであるといっても、ただ客観的にあるものではない。；何等かの客観的真理というものを可能だと信じていたとは考えられない。；では、その客観的情勢の変化そのものは、どこから来ているのだろうか。；森は自身でカメラを持ち「客観的に自分たちを見ることができた」とした。；この像を単独で、客観的に分析するだけでは明るさの違いは説明できない。；作品として客観的にあらわれた意味の点から入っていてもいいと思ったので。；客観的構成物を作る試みは、モノの現実へのを具体化するものである。；単に対象を観照して、客観的に描写するというだけでは詩にならない。；すべて主観的なるものは詩であって、客観的なるものは詩でないのだ。；芸術心理学の客観的方法と体系の創造が美の心理学の最大の問題となる。；日本を世界の一国家として客観的にみる態度を養うことを目的とする。；我々は客観的になればなるだけ物の真相をますます能く知る事が出来る。；そしてそれは測定系がら自身客観的であり得るかどうか疑われている。；この危険をもたないためには彼は自己を公平に客観的に見なければならない。；この「道」は言葉によって客観的に捉えることができないとされている。；カテゴリーはかつて単に連続していただけのものに客観的必然性を与える。；そして独立な主体と主体とは、客観的に表現された文化を通じて結合される。；もう少し進んで科学は客観的、芸術は主観的のものであると言う人もあろう。；と云う意味は、それだけもう客観的の事実から遠ざかると云う事です。；父親は好んで聴いたが、母親は演奏がやや客観的すぎると感じていた。；測定尺度は客観的結果に基づくものと主観的結果に基づくものがある。；客観的要素の多い詩人は、広くはなるが、深くはならないのもそのためである。；だが、客観的に正信の著作であることを証明するには至っていない。；だから simile よりも一層客観的不類似の点を無視した訳になります。；であればこそこの合目的性が実質的・客観的・絶対的・であったのである。；そうした平田氏の信念を支えたものを、客観的に記述することは出来ない。</t>
        </is>
      </c>
      <c r="J2097">
        <f>HYPERLINK("https://www.weblio.jp/content/客観的", "词义详情")</f>
        <v/>
      </c>
      <c r="K2097">
        <f>HYPERLINK("https://yourei.jp/客観的", "查看例句")</f>
        <v/>
      </c>
    </row>
    <row r="2098">
      <c r="A2098" t="inlineStr">
        <is>
          <t>ギャラ</t>
        </is>
      </c>
      <c r="B2098" t="inlineStr">
        <is>
          <t>成功</t>
        </is>
      </c>
      <c r="C2098" t="inlineStr">
        <is>
          <t>《「ギャランティー」の略》出演料。契約料。</t>
        </is>
      </c>
      <c r="D2098" t="inlineStr">
        <is>
          <t>ギャラアップ；ギャラウェイ；ギャラリア；ギャラ交渉；ギャラ問題</t>
        </is>
      </c>
      <c r="F2098" t="inlineStr">
        <is>
          <t>安いギャラ；支払われるギャラ；高額ギャラ；高いギャラ</t>
        </is>
      </c>
      <c r="G2098" t="inlineStr">
        <is>
          <t>ギャラクシー；ギャラクシー賞；ギャラック；ギャラガー；ギャラクタス</t>
        </is>
      </c>
      <c r="H2098" t="n">
        <v>29</v>
      </c>
      <c r="I2098" t="inlineStr">
        <is>
          <t>ギャラの方も出来る限りのことをするつもりで上の方とも話しています。；ギャラがほとんどないのもそうだし、何よりも活動の場が限られていた。；だけども私と全く同じギャラが、スタイリストにも支払われているのよ!；現実を知られればギャラを叩かれるとでも思っているのかもしれない。；しかし未だ企画は承認されておらず流れてしまうとギャラも払えない。；日記には、営業の記述のあとに「」などとギャラの額が記されている。；より高いギャラを出す顧客の側につくのが、俺らの常識じゃなかったのか?；風間も最盛期には月に三本の作品に出て約百万円のギャラを手にした。；わたしはギャラハギとイシュタルといっしょにお風呂に入ってるんです。；なお芸能人が挑戦する場合、普通の番組なら出るはずのギャラは一切出ない。；殺しの仕事がうまくやれたら、ギャラを一千万円出すって言ったわ。；「法外なギャラの仕事があるんだけど」と藤田は電話で切り出したのだ。；ギャラなんてページ二万ぐらいしかなんないんだし、おまえが行ったら無駄な金だ。；この時は自ら、メンバーを含めたギャラ交渉・スケジュール管理をしていた。；後述の闇営業問題についても、ギャラの安さが背景にあったとされる。；四月からタレントのギャラを大幅にアップしろ、と言ってきたのです。；コブラの作品は、ラッシュは殆どギャラを手にすることはなかったという。；三流映画の脚本を一本でも書いてると、ギャラが、どーん、と高くなる。；うちの社長に話を通すというなら、同じ仕事でもギャラは跳ねあがる。；しかもギャラはいらず、自分の名はクレジットしなくてもいいとまで言った。；月三回の雑誌の撮影で得られるギャラはしれている。；ギャラのことは何も聞かなかったが、ぼくらの方もそんなことに興味はなかった。；あんたとすれば、ズンベからもとれるし、うちの店からもギャラが届く。；革靴はゼロワンに払ったギャラのせいで結局買うことはできなかった。；アメリカの大学の場合、ギャラを上げる手段の第一は学位をとることになるだろう。；彼女たちのほうが二倍もギャラが高いことを知っていたからです。；マッチメイクからギャラまで決めることができる運営権を持つ権力者。；おれ自身、ほかのメンバーにもっといいギャラを払ってやりたいと思っていたからね。；田中よりも多くギャラをもらっているわけでもない。</t>
        </is>
      </c>
      <c r="J2098">
        <f>HYPERLINK("https://www.weblio.jp/content/ギャラ", "词义详情")</f>
        <v/>
      </c>
      <c r="K2098">
        <f>HYPERLINK("https://yourei.jp/ギャラ", "查看例句")</f>
        <v/>
      </c>
    </row>
    <row r="2099">
      <c r="A2099" t="inlineStr">
        <is>
          <t>急</t>
        </is>
      </c>
      <c r="B2099" t="inlineStr">
        <is>
          <t>成功</t>
        </is>
      </c>
      <c r="C2099" t="inlineStr">
        <is>
          <t>読み方：きゅう
［音］キュウ（キフ）（呉）（漢）　［訓］いそぐせく
［学習漢字］3年
１進行がせかせかと速い。いそぐ。「急行・急進・急速・急流／早急・至急・性急」
２事態がさし迫っている。「急迫・急務・急用／応急・火急・危急・救急・緊急・不急」
３にわかに。突然。「急遽(きゅうきょ)・急激・急死・急転・急病・急変／短兵急」
４傾斜の度が大きい。「急峻(きゅうしゅん)・急坂」
５「急行」の略。「準急・特急」
［難読］急度(きっと)</t>
        </is>
      </c>
      <c r="D2099" t="inlineStr">
        <is>
          <t>急勾配(3%)；急カーブ；急降下；急成長；急角度</t>
        </is>
      </c>
      <c r="E2099" t="inlineStr">
        <is>
          <t>突然；急に；いきなり；急速；不意</t>
        </is>
      </c>
      <c r="F2099" t="inlineStr">
        <is>
          <t>急展開；急加速；急に明るく；急接近；急発進</t>
        </is>
      </c>
      <c r="G2099" t="inlineStr">
        <is>
          <t>急速；急激；急行；急遽；急死</t>
        </is>
      </c>
      <c r="H2099" t="n">
        <v>29</v>
      </c>
      <c r="I2099" t="inlineStr">
        <is>
          <t>公園内にある駐車場から滝までは急な坂道を約800m歩く必要がある。；これは、重い雪質の急な斜面である高田の地形から判断した結果である。；この後も急カーブが連続するために列車はスピードを落として走行する。；なお1963年頃には丸に2本の線入りの「急」表示のものも存在した。；急勾配があるため、主にエンジンを2台載せた強力気動車が使用された。；だが、付け柱の表面の場合には、変化は急で、全く反対の方向に生じる。；なのに毎日畳の上に正座させて説教するんだけど急に変わるわけないよね。；なお1番線の急カーブ部分には列車が停車しないようになっている。；流体のある位置にそれらが急に集められる場合に、渦を生じることが多い。；増沢は後に、この勝利で失いかけていた人気が急に復活したと振り返っている。；この結果、旧関急系の路線のみが近鉄として存続し、現在に至っている。；この場合には途中で急停止するので、かご内に閉じ込められることになる。；種別表示幕は白地に赤文字で「=急=」と表記されているのが特徴だった。；速水の機転によって無事帰還し、これを期に二人の仲は急接近していった。；同様の理由で山陽鉄道では例外的な急勾配区間瀬野八も誕生している。；急な雨には対応できず、その場合は一部の座席が濡れる席となる。；急な坂だらけの街であるので、長く住んでいる人でも息が切れて苦痛を感じることが多い。；急な需要増加のため、市場には多数の村正のニセ物が出回ることになった。；進水式の日程は昭和天皇に知らされており、工事を急ざるを得なかった。；島の周囲は南東部にある船着き場を除いてほとんどが急な断崖になっている。；飲用量が多い場合、急な飲酒は振戦せん妄を起こして致命的となりうる。；だが急に両親が海外に転勤となり、その結果千寿と二人暮らしになってしまう。；平安時代の寝殿造建物にはこのように大きく急勾配の屋根はなかった。；たとえば敷物の上に箱を置き、敷物を急に引っ張ってみれば明らかである。；飛翔は直線的であるが、急に飛ぶ方向を変えたりすることもできる。；松ヶ崎駅は参急との合併後に設けられた駅で、高架上で山田線と連絡した。；スポーツ新聞が急成長するきっかけをつかんだのもこの内紛劇からとされる。；急勾配の坂であり、登って降りる山型と、降りてから登る谷型がある。；急な坂が多く、深い霧に覆われることでも有名である。</t>
        </is>
      </c>
      <c r="J2099">
        <f>HYPERLINK("https://www.weblio.jp/content/急", "词义详情")</f>
        <v/>
      </c>
      <c r="K2099">
        <f>HYPERLINK("https://yourei.jp/急", "查看例句")</f>
        <v/>
      </c>
    </row>
    <row r="2100">
      <c r="A2100" t="inlineStr">
        <is>
          <t>救援</t>
        </is>
      </c>
      <c r="B2100" t="inlineStr">
        <is>
          <t>成功</t>
        </is>
      </c>
      <c r="C2100" t="inlineStr">
        <is>
          <t>読み方：きゅうえん
［名］(スル)困難な状況や危険に陥っている人を助けること。「—の手を差し伸べる」「被災者を—する」「—投手」</t>
        </is>
      </c>
      <c r="D2100" t="inlineStr">
        <is>
          <t>救援活動(5%)；救援隊(4%)；救援要請(3%)；救援登板(3%)；救援軍(3%)</t>
        </is>
      </c>
      <c r="E2100" t="inlineStr">
        <is>
          <t>助け；世話；援助；用途；補助</t>
        </is>
      </c>
      <c r="F2100" t="inlineStr">
        <is>
          <t>率いて救援；救援船；救援会；救援用；救援依頼</t>
        </is>
      </c>
      <c r="G2100" t="inlineStr">
        <is>
          <t>救援投手；救援部隊；救援車；救援陣；救援列車</t>
        </is>
      </c>
      <c r="H2100" t="n">
        <v>29</v>
      </c>
      <c r="I2100" t="inlineStr">
        <is>
          <t>社会的な活動にも積極的に参加し、松川事件の被告の救援に活躍もした。；いったん三次に戻ったのち、在郷軍人を集めた広島の救援活動に従事した。；しかしこの時は武田氏の救援に来た毛利元就の攻撃を受けて敗北している。；この初登板以降、引退まで全てが救援登板として起用されることとなる。；これらは甚大な被害によって外部からの救援を必要とする場合が多い。；明治神宮大会では右腕の痛みもあって決勝のみ救援登板して胴上げ投手。；メジャーデビューしてから引退するまで一度も救援登板がなかった。；大規模災害時の救援活動の拠点となる「防災道の駅」に選定されている。；呂布には兵糧が無いので救援を送れなかったがかわりに使者を送った。；その後、救援機がハイジャック機の止まっている滑走路の反対側に駐機。；津波でフェリーや港湾施設が破壊され孤立した大島への救援に当たった。；また李淵が魏刀児の包囲下に置かれたときは、軽騎を率いて救援した。；未来の悟飯が襲われたため、主人公と未来トランクスが救援に現れる。；幸いにも不発であったが、前進部隊発令により救援を中止して北上した。；北陽高校との準決勝に救援で登板したが、チームの勝利には至らなかった。；この間に存保の救援要請に応じて秀吉から仙石秀久が小豆島に派遣された。；劉琨は拓跋猗盧のもとへ使者を派遣し、腰を低く礼を尽くして救援を求めた。；攻城側を撃破するか撤退させられる有力な味方の救援軍を呼ぶ。；その後、当局が各方面から情報を集め、早急な救援隊の派遣が決定された。；また報道に徹するだけでなく各地で救援活動を行っている。；救援の戦士団は、ワゴン砲の砲撃でばらばらになったたくさんの死体を見た。；この出来事が災いして議会軍は相互不信に陥り、北部の救援に行けなかった。；自衛隊に救援要請を行い救援物資を投下してもらうという災害もあった。；これはニーデルライン川を渡って空挺部隊を救援する必要を示した。；国久は大隅国の国分方面に侵攻したが、忠昌が救援に出向いたため撤退。；駆逐艦4隻は北上して戦場を離脱、朝潮は単艦で野島の救援に向かった。；こうして孫権軍は陳蘭の救援に失敗し、張遼は陳蘭を斬ることができた。；また、セ・リーグのみで登板した投手としては連続救援登板の記録保持者だった。；同年10月に救援隊により遺体が確認され、遺品の一部が回収された。</t>
        </is>
      </c>
      <c r="J2100">
        <f>HYPERLINK("https://www.weblio.jp/content/救援", "词义详情")</f>
        <v/>
      </c>
      <c r="K2100">
        <f>HYPERLINK("https://yourei.jp/救援", "查看例句")</f>
        <v/>
      </c>
    </row>
    <row r="2101">
      <c r="A2101" t="inlineStr">
        <is>
          <t>休暇</t>
        </is>
      </c>
      <c r="B2101" t="inlineStr">
        <is>
          <t>成功</t>
        </is>
      </c>
      <c r="C2101" t="inlineStr">
        <is>
          <t>読み方：きゅうか
会社・官庁・学校などで認められた、休日以外の休み。「—をとる」「夏季—」</t>
        </is>
      </c>
      <c r="D2101" t="inlineStr">
        <is>
          <t>休暇中(9%)；休暇旅行；休暇届；休暇を与えられ；休暇先</t>
        </is>
      </c>
      <c r="E2101" t="inlineStr">
        <is>
          <t>節；暇；休み；タイム；休日</t>
        </is>
      </c>
      <c r="F2101" t="inlineStr">
        <is>
          <t>クリスマス休暇；長い休暇；上陸休暇；短い休暇；休暇講習</t>
        </is>
      </c>
      <c r="G2101" t="inlineStr">
        <is>
          <t>休暇旅行で；休暇村乗鞍高原；休暇小屋</t>
        </is>
      </c>
      <c r="H2101" t="n">
        <v>29</v>
      </c>
      <c r="I2101" t="inlineStr">
        <is>
          <t>高等学校の場合は休暇時の課題も提出することで授業時間数に含まれる。；大学入学前からモデルの仕事を始め、大学の休暇中には来日もしている。；なお、登場以前に勝手に休暇を取って圭一が代わりに働いたことがある。；夏にはシューベルトが熱望していた北オーストリアへの休暇旅行をした。；町の東側は北側の海岸線に沿ってフィエサなど旅行者用の休暇地がある。；最終的にベッシャーの計画に規定された6日分の無給休暇が実行された。；これらの他、大学の限られた職員や休暇で呼ばれた客人が城を訪問できる。；そのため農村域では学校でも休暇を設定しているのが普通であった。；ゴータは休暇を取り、20年行っていない父の故郷へ向かうことにする。；神戸はそのデータの分析を、休暇でロンドンに滞在中の右京に依頼する。；男性社員は事故以前から病気療養のため休暇を取り、通院治療中だった。；男性キャスターが休暇を取っている間には同局アナウンサーが担当する。；このとき、ハイデはバレエ団から休暇を取ってブラジルに向かっていた。；無秩序に建てられ続けた休暇施設は、海岸のほとんどどこからでも見える。；ツアー後、メンバーは長い休暇に入り、一旦、ファンの前から姿を消す。；これに伴い、1966年1月より3ヶ月に渡ってバンドは休暇に入った。；休暇中は作戦中には見られない女性らしい側面が見られる。；また休暇にはランマン夫妻に連れられて各地への旅行を体験した。；学校教員ならまとまった休暇を執筆に当てられると思ってのことでもあった。；スウェーデン代表チームの合宿は彼にとって休暇のようなものであった。；その他の乗客のほとんどは、夏の休暇を終えて自宅へと戻る途中の家族たちであった。；これらはストーリー中の選択に加え、何度も発生する休暇イベントで主に上昇する。；しかし翌年彼は休暇を願い出て、ヨーロッパで学ぶための旅に出た。；闇武芸一座との戦いを終えたパンじいは休暇のため房州に遊びに来ていた。；しかし大幅な仕様の変更に伴い、休暇を始めとする前作のシステムの多くが廃止された。；ツアー中のバディと連絡を取ると二日間の休暇があると言いました。；その後は、5ヶ月の休暇を挟んでの4戦目の未勝利戦で初勝利を挙げた。；カランは休暇を与えられるが、その間も仕事のことが忘れられない。；主人公達が休暇として訪れる先がここになっていることが多い。</t>
        </is>
      </c>
      <c r="J2101">
        <f>HYPERLINK("https://www.weblio.jp/content/休暇", "词义详情")</f>
        <v/>
      </c>
      <c r="K2101">
        <f>HYPERLINK("https://yourei.jp/休暇", "查看例句")</f>
        <v/>
      </c>
    </row>
    <row r="2102">
      <c r="A2102" t="inlineStr">
        <is>
          <t>嗅覚</t>
        </is>
      </c>
      <c r="B2102" t="inlineStr">
        <is>
          <t>成功</t>
        </is>
      </c>
      <c r="C2102" t="inlineStr">
        <is>
          <t>読み方：きゅうかく
においを感じる感覚。揮発性の化学物質の刺激を受けたときに生じる。臭覚(しゅうかく)。</t>
        </is>
      </c>
      <c r="D2102" t="inlineStr">
        <is>
          <t>嗅覚系；嗅覚情報；嗅覚センサー；嗅覚刺激；嗅覚性</t>
        </is>
      </c>
      <c r="E2102" t="inlineStr">
        <is>
          <t>臭覚</t>
        </is>
      </c>
      <c r="F2102" t="inlineStr">
        <is>
          <t>鋭敏な嗅覚；動物的な嗅覚；無嗅覚；本能的な嗅覚；するどい嗅覚</t>
        </is>
      </c>
      <c r="G2102" t="inlineStr">
        <is>
          <t>嗅覚受容体；嗅覚閾値；嗅覚受容神経；嗅覚障害；嗅覚ハウンド</t>
        </is>
      </c>
      <c r="H2102" t="n">
        <v>29</v>
      </c>
      <c r="I2102" t="inlineStr">
        <is>
          <t>この傾向は、嗅覚に関与すると予想されている遺伝子で確認されている。；ここから彼が特異な嗅覚によって知ることが出来た世界の説明が始まる。；「これにも臭いはありそうだな」 わたしは独自の嗅覚でそう判断した。；また、味見をせずに見た目と嗅覚のみでしか出来具合を判断していない。；彼らの組織と鋭敏な嗅覚は往々にして警察よりも先に事件を嗅ぎつける。；一方ではまた、嗅覚と性生活との関係を研究している学者もあるくらいである。；顔の形が問題になったりするのもそのせいだが、嗅覚もあなどれない。；鳥を嗅覚で捜索し、発見するとポインティングを行って主人に知らせた。；動きはゆったりとしているが、慎重で正確な嗅覚追跡は貴族に好まれた。；とは、犬の優れた嗅覚を利用して麻薬を探知する訓練が行われた犬である。；嗅覚コミュニケーションはいくつかの例を除いてまだ明らかになっていない。；詩人の嗅覚にはそれが人の香のやうに感じたのかも知れない。；この突起は嗅覚の発達や鳴き声の増大などに寄与したと考えられている。；安藤は、さらに一歩下がり、しかし嗅覚だけをドアの内側に集中させた。；目覚めると、どこからか謎の声が聞こえ、嗅覚が異常に良くなっていた。；鼻づらは先端が上を向いており、嗅覚も敏感であったことがうかがえる。；優れた嗅覚を持つが、毒草や血の匂いなどを嗅ぎ分けることはできない。；味覚と嗅覚が完全に一体になり、一つの異常に強烈な感覚になるのだった。；自分の無嗅覚性を彼女に話したのは、そんなときだったでしょう。；そういう点では、独特の嗅覚を持ち合わせているのかもしれなかった。；あなたたちがどこに逃げようと、私の嗅覚はあなたたちを追い続けていた。；だから美雨の場合も、嗅覚は単に回路として使われているだけのはずだ。；けれどやや理解力や嗅覚に長けて来ると、自然ぼくの疑問にもなっていた。；そして、嗅覚で知り得た情報を私は言語によって再構成することが出来ます。；逆に完全な闇の中では嗅覚が主になり、動かなくても匂いがすれば喰い付く。；これが一種の嗅覚とかなんとかいうものであることは、まちがいない。；の様な研究で女性の嗅覚は排卵期に最も鋭くなる事が示されている。；彼女は生まれてからずっと、嗅覚のかわりに計器を使っていたのだ。；ドクロちゃんの嗅覚がニンゲンよりはるかに優れているのはわかったから!</t>
        </is>
      </c>
      <c r="J2102">
        <f>HYPERLINK("https://www.weblio.jp/content/嗅覚", "词义详情")</f>
        <v/>
      </c>
      <c r="K2102">
        <f>HYPERLINK("https://yourei.jp/嗅覚", "查看例句")</f>
        <v/>
      </c>
    </row>
    <row r="2103">
      <c r="A2103" t="inlineStr">
        <is>
          <t>休学</t>
        </is>
      </c>
      <c r="B2103" t="inlineStr">
        <is>
          <t>成功</t>
        </is>
      </c>
      <c r="C2103" t="inlineStr">
        <is>
          <t>読み方：きゅうがく
［名］(スル)学生・生徒が在籍のまま学校を長期間休むこと。「病気で一年間—する」</t>
        </is>
      </c>
      <c r="D2103" t="inlineStr">
        <is>
          <t>休学する(7%)；休学中(7%)；休学期間；休学扱い；休学届</t>
        </is>
      </c>
      <c r="F2103" t="inlineStr">
        <is>
          <t>一時休学；一年休学；長期休学；途中休学；病気休学</t>
        </is>
      </c>
      <c r="H2103" t="n">
        <v>29</v>
      </c>
      <c r="I2103" t="inlineStr">
        <is>
          <t>病気ってことで休学扱いにしてもらっているけど、そろそろ行ってみる?；私は学校にいた時呼吸器を悪くして三月許り休学していたことがある。；とうとうその気の毒な人は学校を休学しなければならなくなりました。；入学直後から2年間休学して、働いて貯めた資金で日本内外を旅行した。；休学期間があった場合は、復学時には以前に在籍していた学年に戻る。；選ばれた者は学校を休学し演技や言語などの訓練を受けた。；彼は競技の参加を許可されたが、大学からの休学の許可を得るのは難しかった。；とても勉強なんかしてられなかったから休学することにして。；なお前年に休学していたため、2016年秋に大学を卒業している。；学校好きの私がわざと休学するなどとは想像つかなかった。；休学届が出ているから、戻ってくればまた以前のように学校に通えるわけだ。；病気休学した高校時代から京都学派の先人たちの本を好んで読み続ける。；大学では李栄と同級であったが、2年間休学して1945年に卒業した。；まもなく病気で二年ほど休学したが、その後は元気で大いに大学生活を楽しんだ。；彼らは各学校に籍を置いたまま休学とされ、徴兵検査を受け入隊した。；休職参加・休学参加の場合、帰国後すぐに元の職場・大学等に戻ることになる。；また1年休学し、タイとインドで難民ボランティア活動に従事している。；しかし父の倒産で、月謝不足から休学を強いられ、大阪電話局で働いた。；秋までに復学しないと、二年間休学のかたちになる可能性がつよかった。；病気休学のため、高等学校を1年遅れで卒業し、東北大学文学部に入学。；休学扱いだけど、こっちに戻ってくるかどうかはわからないって。；この頃、肺浸潤を患い、一ヶ月の入院と半年の休学をすることになる。；大学を1年間休学することを4月2日に自身のツイッターで発表した。；それらの理由もあって、休学・退学後に復学・再入学しない例が多い。；一年間休学して長岡先生は、そういう文献をいろいろ調べられました。；それの不可能なる人は当分休学するか地方の医専にでも転学せられよ。；この休学の間も趣味の写真に熱中していたようである。；博士課程中に大学院の先輩と結婚し、休学して夫の留学先であるニューヨークで生活する。；大学には十一月のうちに、ひとまず休学届を提出して受理されていた。</t>
        </is>
      </c>
      <c r="J2103">
        <f>HYPERLINK("https://www.weblio.jp/content/休学", "词义详情")</f>
        <v/>
      </c>
      <c r="K2103">
        <f>HYPERLINK("https://yourei.jp/休学", "查看例句")</f>
        <v/>
      </c>
    </row>
    <row r="2104">
      <c r="A2104" t="inlineStr">
        <is>
          <t>急遽</t>
        </is>
      </c>
      <c r="B2104" t="inlineStr">
        <is>
          <t>成功</t>
        </is>
      </c>
      <c r="C2104" t="inlineStr">
        <is>
          <t>読み方：きゅうきょ
［形動］［文］［ナリ］急に物事が行われるさま。
「寄宿舎に入れられた—な身の変化の中に」〈嘉村・途上〉
［副］あわただしく事を行うさま。いそいで。にわかに。「—出発する」</t>
        </is>
      </c>
      <c r="D2104" t="inlineStr">
        <is>
          <t>急遽取り止め</t>
        </is>
      </c>
      <c r="E2104" t="inlineStr">
        <is>
          <t>突然；急に；急速に；突如；さっと</t>
        </is>
      </c>
      <c r="F2104" t="inlineStr">
        <is>
          <t>受けて急遽；代役として急遽；急遽繰り上がり；急遽立ち上げ；急遽本作品</t>
        </is>
      </c>
      <c r="H2104" t="n">
        <v>29</v>
      </c>
      <c r="I2104" t="inlineStr">
        <is>
          <t>題名は当初は考えておらず、掲載するに当たって急遽思いついたという。；この時の台風の模様は撮影され、ストーリー上急遽役割が与えられた。；しかし、急遽設立したため事務所もなければスタッフもいなかった。；レースの出走直前、グレイラグは説明もなく急遽出走が取り消しされた。；その後、完成直前になって急遽映画として公開されることが決まった。；そのためグランゼコールと呼ばれる技術官僚養成機関が急遽設立された。；MTVから急遽インタビューを受けるなど、その模様は全米放送される。；この反対表明は急遽作られたためか、誤解と矛盾が多く、感情的な内容であった。；同番組の金曜メインは翌週の9月9日より江藤愛に急遽変更されている。；そのため、国は同市職員を急遽調査員に任命し、担当地域を再調査した。；失格後はダニエル・バーモントが急遽代わりに試合を裁くこととなった。；そこでこの選挙には急遽、妻の広川シズエが夫に代わって出馬して当選した。；稀に乱入が発生する場合もあるほか、急遽変更になる場合もある。；での中継から撤退するとしていたが、開局直前になって急遽中継を行うことが決まった。；これを重く見た共和国議会は急遽審議を行い軍事予算の増額を可決した。；ただし放送1週間前の時点では放送予定はなく、2日前に急遽発表された。；当日は術後療養中のため出演できず、急遽、彼女の代わりに出演した。；治療の為に入院したことにより全公演が急遽中止となった。；この際、日本への輸送時に一部破損が生じ、展示までに急遽修復されている。；しかし北岡が急遽仕事で行くことができずに末松一人だけがそこに行くことになる。；二軍のコーチももう決まっていたが、球団は急遽、辻のために育成部を創設。；急遽、第1次越冬隊で犬係だった北村が次の機で基地に向かうことになった。；そのため急遽対策として、宇宙服に赤い線を入れて個人を区別することにした。；には、5月26日に対東京ヤクルトスワローズ戦の指揮を急遽任された。；出走表掲載後に急遽変更する場合もあり、その際は場内で告知される。；同年秋には伯耆に急遽帰国し、各地へ侵攻した尼子勝久らの軍勢と戦った。；パーペンは休会中に大統領の解散命令書を急遽取りに行かせた。；このため急遽集結されたバンドであったと言われている。；このような事情から急遽製造されたものである。</t>
        </is>
      </c>
      <c r="J2104">
        <f>HYPERLINK("https://www.weblio.jp/content/急遽", "词义详情")</f>
        <v/>
      </c>
      <c r="K2104">
        <f>HYPERLINK("https://yourei.jp/急遽", "查看例句")</f>
        <v/>
      </c>
    </row>
    <row r="2105">
      <c r="A2105" t="inlineStr">
        <is>
          <t>休業</t>
        </is>
      </c>
      <c r="B2105" t="inlineStr">
        <is>
          <t>成功</t>
        </is>
      </c>
      <c r="C2105" t="inlineStr">
        <is>
          <t>読み方：きゅうぎょう
［名］(スル)営業・業務などを休むこと。「都合により本日—します」</t>
        </is>
      </c>
      <c r="D2105" t="inlineStr">
        <is>
          <t>休業中(12%)；休業する(9%)；休業状態(4%)；休業期間中；休業給付</t>
        </is>
      </c>
      <c r="E2105" t="inlineStr">
        <is>
          <t>お休み；臨時休業</t>
        </is>
      </c>
      <c r="F2105" t="inlineStr">
        <is>
          <t>一時休業；ため休業；休業期間；本日休業；臨時休業</t>
        </is>
      </c>
      <c r="G2105" t="inlineStr">
        <is>
          <t>休業要請；休業補償；休業手当；休業者</t>
        </is>
      </c>
      <c r="H2105" t="n">
        <v>29</v>
      </c>
      <c r="I2105" t="inlineStr">
        <is>
          <t>初日舞台あいさつは女優業を休業して以来初の公の場への登場となった。；事件以降、メディアに出演することはなく、事実上の休業状態となった。；引退したのか一時的な休業なのか事務所移籍したのかは明らかになっていない。；病気で倒れて約10年間は女優業をほぼ休業し、体調回復に努めていた。；神田正輝との結婚とそれに伴う休業前最後のオリジナルアルバムである。；長期休業に入らざるを得なくなったため、世界ヘビー級王座を返上した。；かつては冬季に休業していたが、周辺が開発されたため通年営業となった。；かつては冬場は休業していたが、2006年からは通年で営業している。；自治体等が休業する事から経由ルートを変更するところもある。；現在は予定していたスポンサーとの契約が白紙になったため休業中。；引退について明言は避けたものの、プロレス活動は休業するとしていた。；学校休業中には一部の列車が運行されない一方で、他の列車が設定されていることもある。；独立したレストランは基本的にスキーシーズンオフには休業している。；休業以降は特定の事務所等には属さずにフリーランサーとなって活動している。；かつては宿泊施設が数軒存在したが、現在は殆どが休業している。；中村は休業中であったために、作詞以外の活動全般に参加していない。；一時は休業していたが、2001年にはカジノとしての営業が再開された。；岡の病気療養による長期休業後、持ち役を引き継いだ人物は以下の通り。；休業中はロサンゼルスへダンス留学するなどして過ごしていた。；福留佑子は同日の最終回の放送及びブログで芸能界休業を発表している。；休業中もとんねるずの番組などにゲスト出演することもあった。；結婚などに伴い休業していたが2000年頃より活動を再開。；安西の休業のため、持ち役を引き継いだり代役を務めた人物は以下の通り。；映画は大ヒットしたが、その後俳優を休業してメイン州で作家活動に専念した。；なお、休業がなかった場合、又は通勤災害の場合は報告の必要はない。；この事故により営業再開ができなくなり長期休業を余儀なくされた。；中村の休業に伴い、持ち役を代演または引き継いだ声優は以下の通り。；また朗読活動も行っており、朗読は声優業を休業している時期も行っていた。；種田の休業に伴い、持ち役を代演または引き継いだ声優は以下の通り。</t>
        </is>
      </c>
      <c r="J2105">
        <f>HYPERLINK("https://www.weblio.jp/content/休業", "词义详情")</f>
        <v/>
      </c>
      <c r="K2105">
        <f>HYPERLINK("https://yourei.jp/休業", "查看例句")</f>
        <v/>
      </c>
    </row>
    <row r="2106">
      <c r="A2106" t="inlineStr">
        <is>
          <t>究極</t>
        </is>
      </c>
      <c r="B2106" t="inlineStr">
        <is>
          <t>成功</t>
        </is>
      </c>
      <c r="C2106" t="inlineStr">
        <is>
          <t>読み方：きゅうきょく
［名］(スル)物事をつきつめ、きわめること。また、その最後の到達点。究竟。「—の目的」
「この機器を益々修改(しゅうかい)し、工巧を—しければ」〈中村訳・西国立志編〉</t>
        </is>
      </c>
      <c r="D2106" t="inlineStr">
        <is>
          <t>究極的(19%)；究極体(4%)；究極の超人タッグ；究極魔法；究極兵器</t>
        </is>
      </c>
      <c r="E2106" t="inlineStr">
        <is>
          <t>極端；極；極度；極限；極点</t>
        </is>
      </c>
      <c r="F2106" t="inlineStr">
        <is>
          <t>究極vs至高；究極体デジモン；究極武闘伝；究極の到達点；究極体として登場</t>
        </is>
      </c>
      <c r="G2106" t="inlineStr">
        <is>
          <t>究極召喚；究極要因；究極超人あ〜る；究極の問い；究極タイガー</t>
        </is>
      </c>
      <c r="H2106" t="n">
        <v>29</v>
      </c>
      <c r="I2106" t="inlineStr">
        <is>
          <t>明らかに彼女は焼身自殺が究極的な抗議行動になると結論したのである。；そこから得られた技術を元に究極の対ゴジラ兵器メカゴジラが完成した。；究極的には、真の文法が得られた場合に限り文法性の評価が可能となる。；Oshoによれば、人間の究極的な目的は光明を得ることであるという。；縄張り意識が非常に強く、侵入者は究極体相手であろうと攻撃してくる。；究極体とほぼ同等の力を持っていると云われるが、争いは好まない性格。；初期の作品では彼女に「究極の花」を捧げるためにそれを探していた。；現在までのところ究極体以外のロイヤルナイツはマグナモンだけである。；修験道とは柱源の境界を得ることを究極の目的とする宗教である。；そこで政府は街の秩序を立て直すために究極の法システムを導入する。；今、インターネットは関連した情報の流れを速める究極の場所である。；しかし自由と正義、そして道徳の力が究極的には勝利をおさめるだろう。；そこでは超究極体の復活を企むデーモンによって平和が脅かされていた。；精神と力を究極的に高めて、その力を解放したベルゼブモンの真の姿。；世界の生態系バランスを崩すほどの能力を持つという超究極体でもある。；究極的には、長さのある配線には、ごくわずかにインダクタンスがある。；これまで4度持ち逃げされており、自身を究極のお人よしと呼んでいる。；最後の文字であることから最終・究極の意味で用いられる。；それは、量子力学が自然の究極の理論ではないという確信に基づいている。；未来、人類は究極エネルギーと思われた魔法の力を手に入れた。；対照的に20世紀後半のアメリカは究極的な個人主義の象徴と夢になった。；彼らは究極の環境で生きるために様々な決断を下し、戦っているのである。；さらにはMac miniなどはその究極の形と言えるかもしれない。；開発時点での究極の性能の実現を目指して開発された。；さいとうが確立した漫画制作の分業制は、自身の死をもって究極の形となった。；担当編集が最初に提案したタイトルは「究極学級委員ヤマザキ」だった。；魔獣師の究極の姿は、魔獣と合体して異形の姿となる「合身変」である。；そして人間には究極的なリアリティを認識する能力が備わっている。；同時に物質を構成する究極的な微粒子の運動という観念にも対応する。</t>
        </is>
      </c>
      <c r="J2106">
        <f>HYPERLINK("https://www.weblio.jp/content/究極", "词义详情")</f>
        <v/>
      </c>
      <c r="K2106">
        <f>HYPERLINK("https://yourei.jp/究極", "查看例句")</f>
        <v/>
      </c>
    </row>
    <row r="2107">
      <c r="A2107" t="inlineStr">
        <is>
          <t>窮屈</t>
        </is>
      </c>
      <c r="B2107" t="inlineStr">
        <is>
          <t>成功</t>
        </is>
      </c>
      <c r="C2107" t="inlineStr">
        <is>
          <t>読み方：きゅうくつ
［名・形動］
１空間や場所にゆとりがなく、自由に動きがとれないこと。また、そのさま。「—な服」「座席が—になる」
２思うようにふるまえず気詰まりであること。また、そのさま。「お偉方ばかりで—な会だ」「—な思いをする」
３形式張って堅苦しいこと。融通のきかないこと。また、そのさま。「—で面白みのない男」「—に考えすぎる」
４物や金が不足してままならないさま。「—な暮らし」
[派生]きゅうくつがる［動ラ五］きゅうくつさ［名］</t>
        </is>
      </c>
      <c r="D2107" t="inlineStr">
        <is>
          <t>窮屈そう(13%)；窮屈な思い(3%)；窮屈な姿勢；窮屈な感じ；窮屈な場所</t>
        </is>
      </c>
      <c r="E2107" t="inlineStr">
        <is>
          <t>狭い；厳しい；真面目；固い；堅い</t>
        </is>
      </c>
      <c r="F2107" t="inlineStr">
        <is>
          <t>こんな窮屈；そんな窮屈；窮屈そうに；窮屈な境遇；窮屈がら</t>
        </is>
      </c>
      <c r="H2107" t="n">
        <v>29</v>
      </c>
      <c r="I2107" t="inlineStr">
        <is>
          <t>人が人間の精神にできるだけ窮屈な柵を与えるのはもっともなことです。；彼は雰囲気の新しい発展を歓迎した一方、要素が窮屈すぎるとも感じた。；こうなると人と人の間に空間がなくなって、生きてるのが窮屈になる。；わたしはあの心の底までも窮屈にする抵当契約には引きずり込まれない。；大部分は借財の舊い穴へ埋めても彼は懷に窮屈を感じない程度に進んだ。；竪琴師を四人も引きつれてきたので多少窮屈な思いはするかもしれぬ。；それともまだ、そこの室までは行けないでどこかで窮屈がっているかしら。；その上窮屈な境遇にいる彼の意志は、ちっとも強くなっていないのです。；二人は坂を降りてようやく窮屈な場所から広場へ出た気になった。；そういう具合に葬むられた自分も早桶の中であまり窮屈な感じもしない。；人が人間の精神にできるだけ窮屈な柵を与えるのはもっともなことなのです。；今日の新聞はその政治的意見の発表が極めて窮屈であることは誰知らぬ者もない。；叔母のそばにいると、わたしには言うに言われぬ窮屈さが感じられた。；かれらはその夜を船の後甲板の下にある窮屈な部屋で過ごした。；彼等は韻文の形式に窮屈して、より拘束なき自由の音楽を呼ぼうとした。；クリストフが窮屈な服を着てるので楽には走れないことを見てとった。；それは、他人の存在がぼくのうちに一種の窮屈さをさしはさむからだった。；脚をのせたほうの反対側の肘掛に、いかにも窮屈そうに背中をあてた。；それにはなるべく窮屈な境遇にいなくてはならないと結論するのです。；あの窮屈なトンネルに到達しさえすれば安全だと、わたしは感じた。；唯物史観への教条的従属を強いられたことで極めて窮屈なものとなった。；それはその窮屈さのゆえに長いこと忘れられないドライブとなった。；あなたは、そのかわり、しばらく窮屈な思いをしなくてはなりません。；狭い窮屈な詩であるともいえるが、また特殊な稀有な詩とも言えるのである。；あなたと結婚したら、ぼくの半生はひどく窮屈なものになるでしょう。；現実の形象を観察し描写することは、私にとっては甚だ窮屈なのである。；大人の世界にあるような、きゅうくつな概念にとらわれないでいいからだ。；きみには少しのあいだ、きゅうくつな思いをしてもらわねばならない。；ただ君たちを窮屈にしさえすれば、それだけで気がすむのではあるまいか。</t>
        </is>
      </c>
      <c r="J2107">
        <f>HYPERLINK("https://www.weblio.jp/content/窮屈", "词义详情")</f>
        <v/>
      </c>
      <c r="K2107">
        <f>HYPERLINK("https://yourei.jp/窮屈", "查看例句")</f>
        <v/>
      </c>
    </row>
    <row r="2108">
      <c r="A2108" t="inlineStr">
        <is>
          <t>休憩</t>
        </is>
      </c>
      <c r="B2108" t="inlineStr">
        <is>
          <t>成功</t>
        </is>
      </c>
      <c r="C2108" t="inlineStr">
        <is>
          <t>読み方：きゅうけい
［名］(スル)仕事や運動などを一時やめて、休むこと。休息。「ゆっくり—をとる」</t>
        </is>
      </c>
      <c r="D2108" t="inlineStr">
        <is>
          <t>休憩室(11%)；休憩施設(5%)；休憩所(4%)；休憩中(3%)；休憩場所</t>
        </is>
      </c>
      <c r="E2108" t="inlineStr">
        <is>
          <t>停止；中断；休み；休止；タイム</t>
        </is>
      </c>
      <c r="F2108" t="inlineStr">
        <is>
          <t>昼休憩；トイレ休憩；乗務員休憩；昼食休憩；休憩なし</t>
        </is>
      </c>
      <c r="G2108" t="inlineStr">
        <is>
          <t>休憩時間；休憩タイム；休憩ロビー</t>
        </is>
      </c>
      <c r="H2108" t="n">
        <v>29</v>
      </c>
      <c r="I2108" t="inlineStr">
        <is>
          <t>ガソリンスタンドが設置されている休憩施設が連続している例は珍しい。；沿道には休憩施設を兼ねた駐輪場が設けられるなど整備は行われている。；当初1幕物として製作されたため休憩を入れることは容易ではなかった。；休憩日を決めたりスパーリングを行うのかどうかも週の初めに決める。；トイレがない車両で運行されるため平湯温泉バス停でトイレ休憩を行う。；一次オープンではトイレなどの休憩施設や交流館がオープンした。；上演時間は2時間以内ということで、休憩なしで上演される場合もある。；瑞鶴の貝塚艦長は退艦を拒否し、艦長休憩室に入って鍵をかけたという。；夕食後も自主練習やレポート作成等を行い、食事時間以外は休憩は無い。；また3階には自動販売機が設置され休憩スペースとして利用されている。；同時に休憩に入るときのジングル用にもうひとつ作品が採用された。；以下の場所には乗務員休憩詰所が設置され操車場として使用されている。；また、多くの外国人向けツアーが休憩を目的に立ち寄る場所でもある。；山頂部は小広くなっており、休憩用のテーブルとベンチが設置されている。；これは休憩所として設けられたもので峠の田島側に設置されている。；今後は前橋市内の神社にて休憩所として利用される予定となっている。；シカゴでは、昼間の対空戦闘に備えて艦長と副長が自室で休憩していた。；この温海川沿いを中心に、多数の休憩施設を設置したりと整備が進められた。；その後は40-50分ごとに10分程度の休憩をとることが普通である。；乗務員用トイレの隣には、電車折り返し時用の運転手の休憩室がある。；この道路網は、旅人のための宿屋や水を飲むための休憩場が設けられていた。；各チームはこの間に作戦を練ったり、選手を休憩させたりしている。；この場合、連続して演奏する場合もあるし、休憩を挟んで演奏する場合もある。；なお、これらの四天王戦前では休憩部屋のBGMが不穏なものに変わる。；公園で休憩していた片山義太郎に、知り合いの刑事が声をかけてきた。；また無料化に伴い、香取市高萩にあった高萩休憩所も営業終了となった。；当駅のために新たに道路も造られ、無料休憩所も設置されていた。；また、一部の休憩施設では地下水を利用できるよう設備の設置が行われている。；両院とも指名された者が同一であれば暫時休憩がそのまま散会となる。</t>
        </is>
      </c>
      <c r="J2108">
        <f>HYPERLINK("https://www.weblio.jp/content/休憩", "词义详情")</f>
        <v/>
      </c>
      <c r="K2108">
        <f>HYPERLINK("https://yourei.jp/休憩", "查看例句")</f>
        <v/>
      </c>
    </row>
    <row r="2109">
      <c r="A2109" t="inlineStr">
        <is>
          <t>急激</t>
        </is>
      </c>
      <c r="B2109" t="inlineStr">
        <is>
          <t>成功</t>
        </is>
      </c>
      <c r="C2109" t="inlineStr">
        <is>
          <t>読み方：きゅうげき
［形動］［文］［ナリ］物事の変化や動きなどが急で、はげしいさま。「気温の—な変化」</t>
        </is>
      </c>
      <c r="D2109" t="inlineStr">
        <is>
          <t>急激な変化(3%)；急激な増加；急激な人口増加；急激な上昇；急激な成長</t>
        </is>
      </c>
      <c r="E2109" t="inlineStr">
        <is>
          <t>急；突然；急に；いきなり；急速</t>
        </is>
      </c>
      <c r="F2109" t="inlineStr">
        <is>
          <t>以降急激；あまりにも急激；急激に拡大した；急激な増光；急激な減圧</t>
        </is>
      </c>
      <c r="H2109" t="n">
        <v>29</v>
      </c>
      <c r="I2109" t="inlineStr">
        <is>
          <t>ここでも急激な石高の高増しがみられるが後に反対を受けて戻している。；そのような急激な変化は今も続いているが、常にそうだったわけではない。；ところが約27億年前に大規模な火山活動があり大陸が急激に成長した。；海水の流れが急激になると浮袋が十分に機能しなくなることが原因である。；ひとつは強い衝撃を加えた時、もうひとつは急激に温度を変化させた時である。；このような急激な日本侵攻準備は、元に大きな負担をもたらすものであった。；日本でも例外ではなく、医薬品メーカーの再編が急激に進んでいるという。；新たに発明され急激に性能の向上したトランジスタの利用である。；終戦後急激に減少し、その後産業の回復につれて産出量は再度増加した。；またこの頃から稲荷神社の数が急激に増え、流行神と呼ばれる時もあった。；その際、急激に閉じることがないように動作を緩慢にする機能ももつ。；失業率は急激に上昇したものの、10年間の間に経済は回復を見せた。；一方で、組織の急激な穏健化に不満を抱いたを中心とする人々は分派を結成。；冠詞の用法は最近数百年間に北西ヨーロッパで急激に発達している。；敵・味方の区別をしやすくするため、この頃から急激に家紋の種類が増え始めた。；マスコミに取り上げられることもこの頃を境に急激に減っていった。；これらは急激な改革による不満対策と、文武両道の武士教育の意味がある。；リチウムの生産とその用途は、歴史的にいくつかの急激な転換点を経験している。；失敗時の病状悪化も指摘されたが、急激に治療法としての地位を確立している。；軸足をうまく使う方法を身に付けたことで、球速が急激に増加した。；また発症初期に急激に血糖値が上昇した場合、体重が減少することが多い。；この発言はその後急激な円高・ドル安を招いた原因の1つとされる。；転換点は、密かに進行して捉えにくい場合もあれば、急激に訪れる場合もある。；受精後に球果は急激に成長し同年の秋には熟すというパターンが多い。；こうした急激な環境変化は、そこに生息する人を含む生態系に大きな影響を与えた。；走ることで心拍数が急激に増加すると、循環器系統に過度の負担がかかる。；また、地すべりや崖崩れなどによってより急激に山体が変化することもある。；売上が急成長する企業では利益が出ているのに運転資金が急激に不足する場合がある。；その後、1904年2月に日露戦争が勃発し、鉄の需要が急激に増えた。</t>
        </is>
      </c>
      <c r="J2109">
        <f>HYPERLINK("https://www.weblio.jp/content/急激", "词义详情")</f>
        <v/>
      </c>
      <c r="K2109">
        <f>HYPERLINK("https://yourei.jp/急激", "查看例句")</f>
        <v/>
      </c>
    </row>
    <row r="2110">
      <c r="A2110" t="inlineStr">
        <is>
          <t>急減</t>
        </is>
      </c>
      <c r="B2110" t="inlineStr">
        <is>
          <t>成功</t>
        </is>
      </c>
      <c r="C2110" t="inlineStr">
        <is>
          <t>読み方：きゅうげん
［名］(スル)急に減ること。また、急に減らすこと。「売り上げが—する」⇔急増。</t>
        </is>
      </c>
      <c r="D2110" t="inlineStr">
        <is>
          <t>急減する(10%)</t>
        </is>
      </c>
      <c r="G2110" t="inlineStr">
        <is>
          <t>急減少函数</t>
        </is>
      </c>
      <c r="H2110" t="n">
        <v>29</v>
      </c>
      <c r="I2110" t="inlineStr">
        <is>
          <t>地上・空・海で繁栄していた爬虫類であったが、白亜紀の末には急減した。；一方でビデオ作品への出演は2010年代に急減し、ほとんどなくなった。；台湾が日本から分離したため、密取引は行われなくなり人口も急減。；同会会長は2010年頃の雨氷で急減したのが要因だと推測している。；この人口の急減が経済や社会に悪影響を与えたとされている。；イギリスの銀貨発行は14世紀に急減し、イタリアでも銀不足が起きている。；その後は一時的に、経済的な低迷も相まって輸送量は急減してしまった。；その数は1820年以降に急減したが、少数は1850年になっても残っていた。；最終的には天明8年には豊かと言われた備蓄金が81万両にまで急減している。；後に少子高齢化による人口急減が心配されつつあるが現在は人口がまだ増加を続けている。；ブラジルは近年は取引額が急減しているものの、北朝鮮に銅鉱石を輸出している。；このような経緯で導入されたマザーシャシーであるが、近年ではそれを扱うチームが急減してきている。；仕入れ価格の上昇に合わせて価格改定を数回実施したが、これを境に売上が急減。；十日以降、石油輸入量は急減し、一日平均十六、七万キロリットルとなった。；中国の人口は幾度も増加と急減を繰り返してきている。；しかし太陽系から見て伴星が主星に掩蔽された状態になるとX線は急減する。；夏からは監督の佐々木恭介に起用される機会が急減し、9月には球団からも引退を勧められる雰囲気となった。；食料の急減のため、アクラガスの指導者は都市の放棄を決断せざるを得なくなった。；その後、急減する前のレベルにまで回復している。；明治以降は高島炭鉱が島の主産業の座を占めていたが1986年に閉山後は人口が急減した。；この時までに開拓者の多くがインディアンを恐れて郡内から出て行ったために、郡の人口は急減していた。；物語が進むにつれ、乗員たちは人口が急減した世界で権力を握ろうとするさまざまな敵と戦うようになる。；その後も先発陣の一角として活躍するが、1983年には登板機会が急減。；他都市にみられるような戦中・戦後における人口の急減・急増がないのが京都市の特徴である。；外部からの資金である 「湾岸諸国の富裕層からの寄付」は急減しているという。；原因は1980年代から続く話者の急減と話者の高齢化・孤立化だという。；その結果、写真週刊誌のイメージは悪化し、各誌の売上げは急減した。；そのため、ウマの飼料を主目的としていたエンバク生産もそれにつれて急減した。；それは、領土を広げれば守るべき前線も増え、軍隊が分散して急減するからである。</t>
        </is>
      </c>
      <c r="J2110">
        <f>HYPERLINK("https://www.weblio.jp/content/急減", "词义详情")</f>
        <v/>
      </c>
      <c r="K2110">
        <f>HYPERLINK("https://yourei.jp/急減", "查看例句")</f>
        <v/>
      </c>
    </row>
    <row r="2111">
      <c r="A2111" t="inlineStr">
        <is>
          <t>急行</t>
        </is>
      </c>
      <c r="B2111" t="inlineStr">
        <is>
          <t>成功</t>
        </is>
      </c>
      <c r="C2111" t="inlineStr">
        <is>
          <t>読み方：きゅうこう
［名］(スル)
１急いで行くこと。「現地に—する」
２「急行列車」の略。「上りの—」</t>
        </is>
      </c>
      <c r="D2111" t="inlineStr">
        <is>
          <t>急行運転(3%)；急行停車駅(2%)；急行用(2%)；急行運用；急行線</t>
        </is>
      </c>
      <c r="E2111" t="inlineStr">
        <is>
          <t>特急；速達；エクスプレス；エキスプレス；急行列車</t>
        </is>
      </c>
      <c r="F2111" t="inlineStr">
        <is>
          <t>上り急行；線急行；下り急行；直通する急行；北神急行</t>
        </is>
      </c>
      <c r="G2111" t="inlineStr">
        <is>
          <t>急行線；急行バス；急行電車；急行便；急行券</t>
        </is>
      </c>
      <c r="H2111" t="n">
        <v>29</v>
      </c>
      <c r="I2111" t="inlineStr">
        <is>
          <t>かつて急行運転が行われていた際は、この駅で運転停車が行われていた。；その他の事業者には現在快速と急行がともに設定されている路線はない。；急行とは、仕事などを急いでやること、または目的地に急ぐことを指す。；かつては急行用の165系電車や通勤用の105系が主力車両であった。；上記の急行とは停車駅が異なり、宇治線内でも急行運転を実施していた。；いずれも後の改正で急行以下に格下げされ、それも更なる改正で消滅した。；唯一の途中駅である神宮丸太町駅には急行以下の種別の列車が停車する。；これらは普通用車両ではなく急行系車両の6両編成で運行された。；東京の池袋へは東上線の急行や快速で約1時間程度で行くことができる。；当時の急行はこれに加え住吉東駅・三国ヶ丘駅・初芝駅に停車していた。；それ以前は元特急車である2000形が実質的な急行専用車となっていた。；この列車は犬山駅で新鵜沼駅発着のミュースカイ・急行に接続している。；急行運転開始後は、路線名表示に代わって種別を表示するようにした。；市内で最も乗降人員が多い駅も草加駅であり、急行停車駅となっている。；シートピッチを急行形と同一とし、急行列車への使用も想定していた。；以前は日中の急行は武蔵小杉駅にて東横線の特急列車に接続していた。；名古屋本線は快速特急・特急・急行停車駅であるが待避線は存在しない。；急行は基本的に当駅を通過するが、当駅発着列車のみ停車する。；この区間には副都心線の各駅停車・通勤急行・急行も運転されている。；急行も運転されていたが2022年11月26日のダイヤ改正で廃止した。；この時に施行されなかった編成についても大井町線内急行運転開始時に施行された。；東上線池袋発着の急行以上の種別は従来通り1番線・4番線を通過する。；かつては当駅始発の名古屋方面行きの急行が1本設定されていた。；翌28日の朝、パリで手紙を受け取ったテオは兄のもとに急行した。；急行の臨時停車駅だったこともあり、ホーム有効長は8両編成分である。；それまで普通列車で運用されていた吊り掛け式駆動車は急行に転用された。；また、朝と夕方から夜間には、京王線新宿駅発着の急行も運行されていた。；本線急行との差異は電鉄富山 - 寺田間でも速達運転を行う点にある。；これにより、大井町線急行の中央林間行が新たに設定されることになった。</t>
        </is>
      </c>
      <c r="J2111">
        <f>HYPERLINK("https://www.weblio.jp/content/急行", "词义详情")</f>
        <v/>
      </c>
      <c r="K2111">
        <f>HYPERLINK("https://yourei.jp/急行", "查看例句")</f>
        <v/>
      </c>
    </row>
    <row r="2112">
      <c r="A2112" t="inlineStr">
        <is>
          <t>休講</t>
        </is>
      </c>
      <c r="B2112" t="inlineStr">
        <is>
          <t>成功</t>
        </is>
      </c>
      <c r="C2112" t="inlineStr">
        <is>
          <t>読み方：きゅうこう
［名］(スル)教師が講義を休むこと。講義がないこと。「学会出席のため—する」</t>
        </is>
      </c>
      <c r="D2112" t="inlineStr">
        <is>
          <t>休講日(3%)</t>
        </is>
      </c>
      <c r="H2112" t="n">
        <v>29</v>
      </c>
      <c r="I2112" t="inlineStr">
        <is>
          <t>仕事の都合ではじめの火曜日だけは休講にしようかとも、考え中です。；急に授業が休講になって、ミカちゃんと新宿の街を歩いていたときのことだ。；休講の時は近くの下宿に帰るか、このキハダの木の傍に憩うことにしていた。；大学は休講の多いところだし、休講のときは麻雀でもしなければ間が持たない。；大学が休講になったんでね、どうしたかなと思って来てみたら、このありさまだろ。；午後の講義が休講になったので、少し時間をずらして昼を食べることにしたのである。；大学でも端から先生方が倒れ、次々に休講となった。；前のページには、休講にした教授の名前を書き込んでいた。；あまり休講のなさそうな私が選ばれたゆえんである。；露子の方も、本職のフランス語教授が、大分、休講が多くなりはじめていた。；「授業は休講になったのでしょう」 だからここにいろと佐藤は言ったわけではない。；やむを得ぬ事情で休講する時には、だれかが代りに時間を使う。；そして休講しただけは後で補講することが、日本よりずっときちんと行われているようである。；今日、休講という教授を調べて、その部屋を拝借しているというわけである。；支離滅裂な講義を聞かされるより休講した方が、彼らも喜ぶに決まっている。；例えば、制服は定められているが普段の服装は自由、休講となった授業の時間は大学同様に学校に全く拘束されない、などである。；休講になったからといってぶらぶらしてないで図書館で読書でもしたらどうかと諫められてもおかしくはない。；ツェルニは現在、セルニウム鉱山での採掘作業もあって休講となっていた。；二人は他の学生たちと一緒に、教務部前の掲示板へ行き、休講などをチェックした。；時間割の最後の授業が休講となり、僕たちは当然のように雀荘へしけこむ。；このため、HKDI及びその関係施設での授業・職業訓練が2日間休講となった。；何か学校行事の取り決めがあるとかで今日は午後からの実技の授業は休講になり、俺達は教室で待機させられていた。；病気は如何ですと休講の件に見舞を言われて困る。；学生大会は、全学生が構成員であり出席義務があることから、学校側がその点に配慮して授業を休講とする場合もあるが、授業時間外に行なうことを原則としている場合もある。；授業は休講となるが、大学祭としては、まちかね祭の方が盛大に開催される。；しかも、講師がそろっていなくて、休講の日が多かった。；ただ懶く、暫くはどうにもならないという気持から、学校の方へは向う一週間休講の電話をかけさしておいた。；それでも病いがはかばかしくなく、季節によっては長い休講がよくあるという。；そのような場合には外出が危険であるため講義が休講になり、公共交通機関も運行休止になる場合がある。</t>
        </is>
      </c>
      <c r="J2112">
        <f>HYPERLINK("https://www.weblio.jp/content/休講", "词义详情")</f>
        <v/>
      </c>
      <c r="K2112">
        <f>HYPERLINK("https://yourei.jp/休講", "查看例句")</f>
        <v/>
      </c>
    </row>
    <row r="2113">
      <c r="A2113" t="inlineStr">
        <is>
          <t>求婚</t>
        </is>
      </c>
      <c r="B2113" t="inlineStr">
        <is>
          <t>成功</t>
        </is>
      </c>
      <c r="C2113" t="inlineStr">
        <is>
          <t>読み方：きゅうこん
［名］(スル)結婚を申し込むこと。プロポーズ。</t>
        </is>
      </c>
      <c r="D2113" t="inlineStr">
        <is>
          <t>求婚者(32%)；求婚する(11%)；求婚される(2%)；求婚運動；求婚しよ</t>
        </is>
      </c>
      <c r="E2113" t="inlineStr">
        <is>
          <t>プロポーズ；求愛；言い寄る；言寄る</t>
        </is>
      </c>
      <c r="F2113" t="inlineStr">
        <is>
          <t>傲慢な求婚；若い求婚；熱烈な求婚；強引な求婚；求婚者ども</t>
        </is>
      </c>
      <c r="H2113" t="n">
        <v>29</v>
      </c>
      <c r="I2113" t="inlineStr">
        <is>
          <t>求婚者たちと残された妻の間でメッセージを仲介したのはこの猫である。；そしてわたしは初めて真剣に女性に求婚することを考えることになった。；そこに若者が洞窟を訪れ、娘は若者に惹かれ二人の娘が若者に求婚する。；海のほうにいったいちばん若い求婚者もやはり何日か馬を進めました。；こんなときに求婚などするのは彼女に不意打ちを喰わせるようなものだ。；十代の頃からに求婚しており、彼女の住まう地方に足繁く通ったという。；彼はいつ辰之助が妹に求婚するかと、ながいあいだ待っていたのである。；ユダヤ人が彼女に求婚すると、彼女は海を離れることを条件に承諾する。；この兵部卿の宮などは軽薄な求婚者と同じには女王たちも見ていなかった。；自分の求婚を表現しようと思った言葉も、心の中で繰り返してみた。；求婚が一時の気紛れだと思ったのは、相手を善人に解し過ぎていたのだ。；展開部ではペネロープと求婚者たちの対立と彼女の煩悶などが表される。；キュロスは使者を通じ、自分の妻に迎えたいと称してこの女王に求婚した。；更にその兼家の四男である藤原道長から倫子への求婚がされたのである。；マーラは教会の信者の1人に求婚されており、父親もそれを喜んでいた。；いさかいはつづいたけれど、そこへもう一人の求婚者が登場してきた。；王子が再度韮作りの娘に求婚すると、娘は承諾し、みな幸せに暮らした。；プロイトスの娘たちは成長すると、全ギリシアの人々から求婚を受けた。；あんなにあわてて求婚しながら、結婚となると急にのんびりしてしまう。；テオクセナの方はしきりに求婚されたけれども再婚の決心がつきかねた。；こんな男の求婚を承諾したりなどして気でも変なのではないかね?；簡潔を貴ぶ為めに、これを新聞の求婚広告風に書き改めて次に紹介する。；あの求婚のときの言葉使いを思い出すと今でも怒りにみたされました。；わが師は、あなたが彼女に求婚するよう強く示唆しておられます。；王妃様がお若かった時には、王様はご求婚なさったではございませんか。；力試しに失敗した求婚者はブリュンヒルトに殺されてしまうのである。；お年を召された今、王妃様のほうに求婚者になれと仰せられるのですか?；求婚が一時の気紛れだと思つたのは、相手を善人に解し過ぎてゐたのだ。；人々の目をみはらせる美しさはあたりに住まうすべての求婚者にさせました。</t>
        </is>
      </c>
      <c r="J2113">
        <f>HYPERLINK("https://www.weblio.jp/content/求婚", "词义详情")</f>
        <v/>
      </c>
      <c r="K2113">
        <f>HYPERLINK("https://yourei.jp/求婚", "查看例句")</f>
        <v/>
      </c>
    </row>
    <row r="2114">
      <c r="A2114" t="inlineStr">
        <is>
          <t>救済</t>
        </is>
      </c>
      <c r="B2114" t="inlineStr">
        <is>
          <t>成功</t>
        </is>
      </c>
      <c r="C2114" t="inlineStr">
        <is>
          <t>読み方：きゅうさい
［名］(スル)
１苦しむ人を救い助けること。「難民を—する」
２神や仏の側からさしのべられる救い。キリスト教では、人間を罪や悪から解放し、真実の幸福を与えること。救い。
[補説]書名別項。→救済</t>
        </is>
      </c>
      <c r="D2114" t="inlineStr">
        <is>
          <t>救済するため(3%)；救済策(3%)；救済者；救済事業；救済活動</t>
        </is>
      </c>
      <c r="E2114" t="inlineStr">
        <is>
          <t>管理；協力；助け；維持；保護</t>
        </is>
      </c>
      <c r="F2114" t="inlineStr">
        <is>
          <t>被害者救済；難民救済；人類救済；世界救済；人権救済</t>
        </is>
      </c>
      <c r="G2114" t="inlineStr">
        <is>
          <t>救済法；救済史；救済論；救済合併；救済方法</t>
        </is>
      </c>
      <c r="H2114" t="n">
        <v>29</v>
      </c>
      <c r="I2114" t="inlineStr">
        <is>
          <t>しかし、その時点に於いては救済が約束されている訳では無いと考える。；個人の救済、個人の自由の確保のためには慎重な態度が必要だとされる。；また女人禁制があった旧来の仏教の中では稀な女性の救済が挙げられる。；原状回復などの特定的救済は名誉毀損の場合などに例外的に認められる。；彼にすれば、この堕落した生活が日常から救済される唯一の手段であった。；この会議で労働者の貧困救済を目的とした相互扶助協会が設立された。；ユダヤ人はこれに対して世界に救済を呼びかけたが、相手にされなかった。；これは当社を救済するための近鉄百貨店の経営基盤強化が目的であった。；例えば、教会にいくら寄進をしても救済されるかどうかには全く関係がない。；チベット死者の書によれば、死後の4日目に魂の救済に現れるとされる。；この医学生が岡山にあった被差別部落を支援救済する活動にも同行した。；したがって、自分が救済されるのかどうかをあらかじめ知ることはできない。；もともとこの合併話は経営悪化した徳陽シティの救済が主な目的であったとされる。；キリスト教の世界観は天地創造から終末の神の救済へと至るものであった。；個人間の取引の場合、売主と連絡がつかない限り、被害救済は難しい。；翌年、城下が大火に見舞われたため、その救済や建物の再建に当たった。；修道院やギルドなどで自発的に「貧しき人々」への救済が行われていた。；著作権が侵害された場合の救済手段として差止請求権が認められている。；現在、3回目の人類救済のために東西諸宗教を統合したとされる。；初期の仏教は己の救済だけ追究する内向的な思想であったという。；新潟県は国の基準では認定されない患者も救済する方向で条例制定を目指している。；またこの救済事業に賛同する400名近くの専門家により支えられている。；なおIMFは、韓国に対し救済融資をする傍ら国債発行量に枠を定めた。；ボールドウィンは失業者救済の核心部分は英国産業の保護にあると信じた。；公共事業による失業者救済、政府計画に基づく経済再建などを提案した。；この教会内では定期的に救済者コンサートが開催されている。；しかしその子供たちは、最終的には地蔵菩薩によって救済されるとされる。；それでもなお解決は見込めず、三菱東京に救済合併される形となった。；不正利用されたプレイヤーへの救済活動は完了していない。</t>
        </is>
      </c>
      <c r="J2114">
        <f>HYPERLINK("https://www.weblio.jp/content/救済", "词义详情")</f>
        <v/>
      </c>
      <c r="K2114">
        <f>HYPERLINK("https://yourei.jp/救済", "查看例句")</f>
        <v/>
      </c>
    </row>
    <row r="2115">
      <c r="A2115" t="inlineStr">
        <is>
          <t>休止</t>
        </is>
      </c>
      <c r="B2115" t="inlineStr">
        <is>
          <t>成功</t>
        </is>
      </c>
      <c r="C2115" t="inlineStr">
        <is>
          <t>読み方：きゅうし
［名］(スル)仕事・活動などを、一時休むこと。また、動きが止まること。「運転を—する」</t>
        </is>
      </c>
      <c r="D2115" t="inlineStr">
        <is>
          <t>休止すること(3%)；休止中(3%)；休止期間(2%)；休止される；休止後</t>
        </is>
      </c>
      <c r="E2115" t="inlineStr">
        <is>
          <t>間；止め；停止；中止；解消</t>
        </is>
      </c>
      <c r="F2115" t="inlineStr">
        <is>
          <t>小休止；一時休止；運行休止；活動休止；運転休止</t>
        </is>
      </c>
      <c r="G2115" t="inlineStr">
        <is>
          <t>休止駅；休止車両</t>
        </is>
      </c>
      <c r="H2115" t="n">
        <v>29</v>
      </c>
      <c r="I2115" t="inlineStr">
        <is>
          <t>このため、一部のコーナーが休止や前後の日への振り替えとなっている。；ツアー終了後は一時的に活動が休止され、ライブや作品発表が途絶える。；テレビ・ラジオでの活動含め、一切の芸能活動を休止することとなった。；重大な事件・事故が発生しても放送を休止することはほとんどない。；そして波の音が何分か流れた後、間を置かずに突然休止するパターンだった。；この時期はデキウス帝の激しかった迫害が小休止している時期であった。；この地上口は扉こそ閉じられているが、休止前と変わらない佇まいである。；終夜放送はあまり行われておらず、深夜は放送を休止する場合が多い。；楽章間に小休止を設けず、続けて次の楽章に入ることをアタッカという。；下記以外にも休止・廃止となった路線・区間は数多く存在する。；この影響で予定していた一部のコーナーが休止・各コーナー開始時刻が異なっていた。；戦後運行を再開するものの1949年に休止、1980年に廃止された。；この路線は2005年に営業が休止された後、線路はそのままになっていた。；以後火山活動はなく、江戸時代まで活動を休止したと考えられている。；本番組は国際的なスポーツ大会中継などで休止することが多かった。；その影響で、2008年までは、大会期間中に当番組の放送を休止した。；噴火活動は途中一時的な休止を挟みつつ1995年3月頃まで継続した。；冬季間は、上り・下りの副本線の使用を休止し、除雪されていなかった。；第二次世界大戦末期に一旦営業が休止されたが、戦後再開された。；他にも公営競技の主要な競走の中継により番組自体が休止となることがある。；この項では、運行撤退・廃止・休止・運行終了した路線について記す。；第1期は一回も休止されなかったので、これがシリーズ唯一の休止となった。；テニス中継の影響で一部の番組が時間繰り下げ・番組休止されることがあった。；かつては高速バスも運行していたが廃止され、貸切バス事業は休止中である。；短縮放送を実施する場合は中継やコーナーを休止することにより対応している。；NHK総合での放送時に年間予定以外の放送で休止が多かった。；坂本もアニメタルを前年に活動休止しており、加入に障害が無かった。；なお、かつては駐車場が設けられていたが、駅前再整備に伴い営業を休止した。；ただ、放送法等には休止にできる規定はなく、その根拠は明確にされていない。</t>
        </is>
      </c>
      <c r="J2115">
        <f>HYPERLINK("https://www.weblio.jp/content/休止", "词义详情")</f>
        <v/>
      </c>
      <c r="K2115">
        <f>HYPERLINK("https://yourei.jp/休止", "查看例句")</f>
        <v/>
      </c>
    </row>
    <row r="2116">
      <c r="A2116" t="inlineStr">
        <is>
          <t>給仕</t>
        </is>
      </c>
      <c r="B2116" t="inlineStr">
        <is>
          <t>成功</t>
        </is>
      </c>
      <c r="C2116" t="inlineStr">
        <is>
          <t>読み方：きゅうじ
［名］(スル)
１食事の席にいて世話をすること。また、その人。「家族の夕飯を—する」
２もと、官庁や会社などで、雑用をした人。</t>
        </is>
      </c>
      <c r="D2116" t="inlineStr">
        <is>
          <t>給仕頭(4%)；給仕女(3%)；給仕たち(3%)；給仕係；給仕役</t>
        </is>
      </c>
      <c r="E2116" t="inlineStr">
        <is>
          <t>出す；ボーイ；ウェイター；お手伝い；葉状</t>
        </is>
      </c>
      <c r="F2116" t="inlineStr">
        <is>
          <t>女給仕；御給仕；少年給仕；老給仕；若い給仕</t>
        </is>
      </c>
      <c r="G2116" t="inlineStr">
        <is>
          <t>給仕長</t>
        </is>
      </c>
      <c r="H2116" t="n">
        <v>29</v>
      </c>
      <c r="I2116" t="inlineStr">
        <is>
          <t>お君が給仕としてこの室に入ることを許されている唯一の者であります。；そして給仕の女と見えて美しい娘がその前にじっと行儀よく坐っている。；晩方には食事の時お給仕をつとめた娘が二人来て、我々と一緒に遊んだ。；そのうちに三人の者が順じゅんに坐って、後の二人はその給仕についた。；給仕の方でも警部の存在を、頭の隅でいつも意識している様に見えた。；母親は、お給仕をしながら父子の話をきいては、ときどき笑っています。；別に女が給仕するわけじゃなし、うどんを食って帰るだけの話だからね。；それは外でもない、彼と同じく給仕をしている木曾九万一少年であった。；そして給仕が酒を持って来ると、両人は席からはじかれるように立った。；食べる人は食べたい量を事前に注文し、給仕する側はそれを一度に提供する。；呼びに来た少女の給仕が豹一の表情を見てびっくりした程であった。；一九三〇年の給仕男はもう廊下で汗の匂いをかがれる存在ではない。；今度は流石に今迄の様に変な女を御給仕に出すことは差控えたらしい。；けれども、翌日行ってみると、やらされた仕事は給仕と同じことだった。；お民は此のカッフェーの給仕女の中では文学好きだと言われていた。；息子のお給仕をしたがるお母さんが何處にあるでせうと冷かしてゐる。；給仕はこんな場合の船長をかつて一度だって見たことがなかった。；それに心の底であてにしていた女が出て給仕をしないことがもの足らなかった。；これまで長年家族に仕えてきたから、給仕してくれれば大変ありがたい。；彼が食事を濟ましてしまふと、給仕は喫煙室に案内しようと言ひ出した。；お給仕されることには慣れているけれど、することには慣れていないんだねえ。；給仕の態度はいかにも秘密の味を運んで来たもののようである。；夏なんか肌脱ぎになって汗だくで、給仕君と棒押しなんかやりかねない。；すると二人のゐる所へ、給仕の谷がやつて来て、相場の話をし始めた。；給仕が外に見に行くと、隣の家の玄関前で立ったまま考え込んでいるという。；足蹴にされた少年給仕の、縊れて死んだ死体がその隅に横たわっている。；月に眼鼻を書いたような円顔の女給仕が、向うに立って私達の方を眺めていた。；ちょうどホテルの給仕などの長靴を持って来るのと同じことである。；お給仕に出ていた祖母も身体じゅうが氷のようになったそうです。</t>
        </is>
      </c>
      <c r="J2116">
        <f>HYPERLINK("https://www.weblio.jp/content/給仕", "词义详情")</f>
        <v/>
      </c>
      <c r="K2116">
        <f>HYPERLINK("https://yourei.jp/給仕", "查看例句")</f>
        <v/>
      </c>
    </row>
    <row r="2117">
      <c r="A2117" t="inlineStr">
        <is>
          <t>休日</t>
        </is>
      </c>
      <c r="B2117" t="inlineStr">
        <is>
          <t>成功</t>
        </is>
      </c>
      <c r="C2117" t="inlineStr">
        <is>
          <t>読み方：きゅうじつ
１休みの日。業務・授業などを休む日。
２国民の祝日のこと。</t>
        </is>
      </c>
      <c r="D2117" t="inlineStr">
        <is>
          <t>休日ともに；休日運休；休日および；休日昼間；休日以外</t>
        </is>
      </c>
      <c r="E2117" t="inlineStr">
        <is>
          <t>節；暇；休み；休暇；祝日</t>
        </is>
      </c>
      <c r="F2117" t="inlineStr">
        <is>
          <t>土曜休日；祝休日；休日限定；休日運転；平日休日</t>
        </is>
      </c>
      <c r="G2117" t="inlineStr">
        <is>
          <t>休日出勤；休日労働；休日返上；休日割引；休日ニ関スル件</t>
        </is>
      </c>
      <c r="H2117" t="n">
        <v>29</v>
      </c>
      <c r="I2117" t="inlineStr">
        <is>
          <t>備考で書かれている州名はその州だけで休日とされていることを示す。；また朝に休日運休の渚滑発上渚滑行の途中無停車列車が設定されていた。；激しい運動後や緊張が解けてほっとした時、休日などにも起こりやすい。；また朝7時台には土休日運休の養老発大垣行きの列車も設定されていた。；ただし一部の期間には休日であっても平日ダイヤで運行されることがある。；宣伝スタッフがいないというので休日になると手伝いに行っていた。；現在では一部の休日を除けば、散策を楽しむような静かな観光地である。；そして平日の作業時間外や休日はスタジオの事を考えない時間としている。；歌詞はマッカートニーの妻であるリンダと過ごした休日をもとにしたもの。；ただし、地域の輪番制で当番となっている場合などでは休日加算される。；平日は通勤客を重視し、土休日は日中を重視したダイヤが組まれている。；なお2010年4月以降は再度、祝休日も放送されるようになっていた。；全盛期には休日に一日で昼と夜の二回興行が行われることも多かった。；日中は土休日の下りを除いて特急と準急との緩急接続が行われている。；仕事終わりによく銭湯に訪れ、休日は地方の温泉に行くのを楽しみにしていた。；現在では一部の休日を除けば散策を楽しむような静かな観光地である。；駐車場もあまり広くないので、特に休日は駐車場が満車になりやすい。；この前後は、休日には買物客による交通渋滞の発生しやすい区間である。；これら4つの法律では休日を以下のように具体的に定めている。；また定休日がなくなった他、土休日は22時までの営業となっている。；休日には美濃町線を利用して岐阜市街地へ向かう兵隊の姿も見られたという。；休日とは、「休みの日」のことであり、業務・授業などを休む日である。；早朝・深夜と土休日の夜間をのぞき苦楽園口駅で上下列車の交換を行う。；平日の日中と土休日の始発から終電まではほぼ15分間隔となっている。；さらにこの深夜バスは土曜・休日でも下り便に限り運行されている。；さらに、休日に教室を開放することで、生徒の自習場所の確保をしている。；この時、土曜・休日を含めた日中に当駅折り返しの定期列車が設定された。；秋からは土曜・休日にも神戸本線・宝塚本線からの臨時列車が設定された。；なお、平日と土曜・休日では列車により、使用する車両と編成が異なる。</t>
        </is>
      </c>
      <c r="J2117">
        <f>HYPERLINK("https://www.weblio.jp/content/休日", "词义详情")</f>
        <v/>
      </c>
      <c r="K2117">
        <f>HYPERLINK("https://yourei.jp/休日", "查看例句")</f>
        <v/>
      </c>
    </row>
    <row r="2118">
      <c r="A2118" t="inlineStr">
        <is>
          <t>吸収</t>
        </is>
      </c>
      <c r="B2118" t="inlineStr">
        <is>
          <t>成功</t>
        </is>
      </c>
      <c r="C2118" t="inlineStr">
        <is>
          <t>読み方：きゅうしゅう
［名］(スル)
１吸い取ること。「汗を—する」
２外から内に取り入れて自分のものにすること。「知識を—する」「大資本に—される」
３音や光・粒子線などが物質を通過するとき、そのエネルギーや粒子が物質中に取り込まれて失われること。また、気体が液体や固体の内部に取り込まれること。
４生物体が生体膜を通して物質を内部に取り入れること。特に、栄養素を消化管壁の細胞膜を通して血管・リンパ管中に取り入れることをいい、主に小腸で行われる。植物では根から水分などを吸い入れることをいう。</t>
        </is>
      </c>
      <c r="D2118" t="inlineStr">
        <is>
          <t>吸収する(13%)；吸収合併(12%)；吸収される(7%)；吸収できる；吸収性</t>
        </is>
      </c>
      <c r="E2118" t="inlineStr">
        <is>
          <t>見え；看板；消化；誘致；アトラクション</t>
        </is>
      </c>
      <c r="F2118" t="inlineStr">
        <is>
          <t>衝撃吸収；消化吸収；吸収力；吸収帯；エネルギー吸収</t>
        </is>
      </c>
      <c r="G2118" t="inlineStr">
        <is>
          <t>吸収線；吸収分割；吸収スペクトル；吸収源；吸収剤</t>
        </is>
      </c>
      <c r="H2118" t="n">
        <v>29</v>
      </c>
      <c r="I2118" t="inlineStr">
        <is>
          <t>このフランスの金の吸収はとりわけロンドンの金準備への圧力となった。；少ないながらも存在していた記事はウィキペディアの方へ吸収された。；熱を吸収することを利用した黒色のフォイルが、料理に使用されている。；この時期のスコットランドは、イングランドに吸収される時代であった。；吸収が早いために、症状が出現した時点では胃洗浄は効果がないとされる。；最終的にインディヘナの伝統的な文化はこの文化的領域に吸収された。；クラッシャブルゾーンを設けて衝撃を吸収する構造になっているものもある。；さらに同年8月には大阪エアウェーズ自体が朝日航洋に吸収合併された。；寒中マラソンなどでかいた汗を吸収させ、終了後に背中側から引き抜く。；海水魚の食道には、NaClを吸収する能力があることが知られている。；他のスポーツで様々な動きを吸収し、それが野球の動きにも応用できているという。；骨も金属元素を多く含んでいることから、数百HU程度の高吸収値を示す。；なお、腎臓での再吸収障害のため尿糖の出る腎性糖尿は別の現象である。；分子形とイオン形では、吸収する光の波長が異なるので、違う色になる。；この強力な消化吸収能力が、偶蹄目の動物が繁栄した一因とされている。；接続法が直接法に吸収されているため、現在形が未来の出来事も表す。；その後 目の表面を通り、涙道を抜け、鼻をくだって最後に喉で吸収される。；雪は、入ってきた光をほとんど吸収することなく散乱光として送り出す。；こうした国民の不満を吸収したのがエリツィンら急進改革派である。；ナフタレンは脂溶性のため体内に吸収され易くなってしまい危険である。；残忍な性格で惑星の命、特に植物のエネルギーを好んで吸収して生きている。；師の文晁に倣って南画のみならず様々な系統の画派を広く吸収した。；吸収器でアンモニアを水が吸収しているアンモニア水溶液がつくられる。；RNA分子は植物の維管束系へ吸収され、その植物を食べる昆虫を殺す。；吸収した能力は、メニューの一番下に配置した能力と入れ替えることになる。；ブラックは氷が融解している最中は熱を吸収しても温度が変化しないことを発見した。；呼吸だけでなく皮膚からも容易に吸収され、体内に蓄積されやすい。；水性地は上の絵具層から多くの油分を吸収して塗膜が艶消しになり易い。；胎土を水で薄めたものであるが吸収性の高い石膏型へと注ぎ込まれる。</t>
        </is>
      </c>
      <c r="J2118">
        <f>HYPERLINK("https://www.weblio.jp/content/吸収", "词义详情")</f>
        <v/>
      </c>
      <c r="K2118">
        <f>HYPERLINK("https://yourei.jp/吸収", "查看例句")</f>
        <v/>
      </c>
    </row>
    <row r="2119">
      <c r="A2119" t="inlineStr">
        <is>
          <t>救助</t>
        </is>
      </c>
      <c r="B2119" t="inlineStr">
        <is>
          <t>成功</t>
        </is>
      </c>
      <c r="C2119" t="inlineStr">
        <is>
          <t>読み方：きゅうじょ
［名］(スル)危険な状態から救い助けること。被災者・遭難者などを救うこと。「沈没船の乗組員を—する」「人命—」</t>
        </is>
      </c>
      <c r="D2119" t="inlineStr">
        <is>
          <t>救助者(3%)；救助作業(3%)；救助される(3%)；救助船；救助任務</t>
        </is>
      </c>
      <c r="E2119" t="inlineStr">
        <is>
          <t>管理；助け；維持；保護；保存</t>
        </is>
      </c>
      <c r="F2119" t="inlineStr">
        <is>
          <t>生存者救助；救助信号；救助部隊；救助チーム；救助配備</t>
        </is>
      </c>
      <c r="G2119" t="inlineStr">
        <is>
          <t>救助活動；救助袋；救助犬；救助員；救助工作車</t>
        </is>
      </c>
      <c r="H2119" t="n">
        <v>29</v>
      </c>
      <c r="I2119" t="inlineStr">
        <is>
          <t>ロシア第1軍が救助に向かおうと試みたときには既に大勢は決していた。；救助されたアメリカ人の中にはアンソニー・ボーディン自身が含まれた。；残骸の窓から航空機関士の手が出ているのが発見され、全員救助された。；以上の項目に異常があれば救助者のリーダーがロード&amp;ゴーを宣言する。；結局、救助できたのは消火作業後だったが、福澤はすでに死亡していた。；訓練を受けていない市民救助者と訓練を受けている市民救助者でも一部異なる。；同救助袋は、火災発生直後から様々な欠陥があることは既に判明していた。；翌月までフィンバックで勤務し撃墜されたパイロットの救助にあたった。；熟練救助者は患者の呼吸を観察しながら、同時に脈拍の有無を確認する。；現場での猶予が30分と余裕のない任務であったが救助に成功した。；同様の事件は世界各地で発生し、国際秘密救助の基地も同様の被害を受ける。；頭部に裂傷を負って漂流中に意識を失った能村大佐も雪風に救助された。；本形式も連結器は装備していなかったが救助網は装備していた。；乗員2名乗客9名のうち、乗員2名は救助されたが乗客全員が死亡した。；彼は翌日に島から解放され、救助を呼んでくる予定であった。；そして、無事に《光と闇の最終対決》を終えたガリオン一行を救助する。；救助に向かうにしても、消火に向かうにしても厳しい条件下での事故だった。；漂着した乗員66名は先住民に救助を求めたが、逆に集落へ拉致された。；本基地には大規模災害等に対応する救助部隊が配置されている。；なお、下記は市民救助者のBLSとの違いを示すだけの範囲で要約している。；ここでは訓練をうけた救助者が行うべきBLSを中心に述べる。；そのため、潜水艦保有国は乗組員を救助する技術を研究してきた。；また、6名がボートで漂流した後に潜水艦「トパツィオ」に救助された。；神戸港の併用軌道区間の走行に備え、着脱式の救助網を装備していた。；実際にこれまで市民救助者が訴えられたケースはない。；万一の際に着水することで救助が期待できることも有利に働いた。；列車の乗客を救助したことでサリンの被害を受けた犠牲者もいる。；右舷キャビン扉上には、救助用のホイスト式ウインチが設置されている。；まず、ウォールデン大尉が救助に向かった補給部隊の下士官兵達の証言。</t>
        </is>
      </c>
      <c r="J2119">
        <f>HYPERLINK("https://www.weblio.jp/content/救助", "词义详情")</f>
        <v/>
      </c>
      <c r="K2119">
        <f>HYPERLINK("https://yourei.jp/救助", "查看例句")</f>
        <v/>
      </c>
    </row>
    <row r="2120">
      <c r="A2120" t="inlineStr">
        <is>
          <t>給食</t>
        </is>
      </c>
      <c r="B2120" t="inlineStr">
        <is>
          <t>成功</t>
        </is>
      </c>
      <c r="C2120" t="inlineStr">
        <is>
          <t>読み方：きゅうしょく
［名］(スル)学校や会社などで、児童・生徒・従業員などに食事を支給すること。また、その食事。</t>
        </is>
      </c>
      <c r="D2120" t="inlineStr">
        <is>
          <t>給食室(4%)；給食ユニット；給食施設；給食所；給食用</t>
        </is>
      </c>
      <c r="E2120" t="inlineStr">
        <is>
          <t>給餌；栄養供給；フィーディング</t>
        </is>
      </c>
      <c r="F2120" t="inlineStr">
        <is>
          <t>中学校給食；無料給食；集団給食；給食費；給食エリア</t>
        </is>
      </c>
      <c r="G2120" t="inlineStr">
        <is>
          <t>給食センター；給食当番；給食事業；給食委員会；給食記念日</t>
        </is>
      </c>
      <c r="H2120" t="n">
        <v>29</v>
      </c>
      <c r="I2120" t="inlineStr">
        <is>
          <t>拒否するのであれば、今日の昼から一人で給食を食べる覚悟が必要だろう。；その後もパン工場を拡張するなど給食の質の向上を積極的に行っていた。；その子はわがままで、嫌いな給食はみんなみーくんに食べてもらってた。；どうしても自分が一人で給食を食べている場面を、想像してしまうからだ。；中学校用に給食室は存在するが、高校用の購買室は現在運営されていない。；制服は前・後期共通で、前期課程には他の中学校と同様に給食がある。；小学校の給食のときに、班の子同士で机を向きあわせるようにした感じだ。；学校の給食よりずっとおいしいよ、などと子供は正直なことをいいよる。；遠隔授業でも給食を提供する高校や、昼食代を支給する自治体もあった。；それも給食のパンについてくるようなリーズナブルな値段のやつやね。；この運動は、1962年には何千人もの香港からの難民に給食を提供した。；午後の授業が始まる前に給食によるイベントが発生することがある。；そして、給食の用意をする僕たちの横を通って階段を下りていく。；給食のとき机を動かして班ごとにグループを作って食事をすることになっている。；月に一度から二度ほど、各担当校の栄養士が給食訪問を行っている。；また、今後は19日に再開予定の給食の安全対策を最終点検するとした。；このままだと、来月のあなたの給食代も滞納することになりかねないわよ。；しかし、日本で給食を無償化している自治体の数は極めて少ない状況である。；モデル活動のため自主的に食事制限しており、給食も半分しか食べなかった。；「小学校に行くとね、毎日給食なんだよー」 と沈んだ声で言ってもいた。；なかには、給食で使っているプラスチック食器のせいだという人もいる。；給食はくばってしまっていたが校門までみな子を送っていくことになった。；例えば給食係や体育係だったら、みんなの前に出なくてはならない。；土手の上から給食室の窓をうかがっても、ほとんど何も見えなかった。；自然あふれる環境で、学校のそばに栗の木があり、給食にも出されていた。；ところが今の小学校の給食はなかなかメニューが充実しているらしい。；昔はかなりの偏食で小学校中学年ごろまでは給食も満足に食べられなかった。；給食室というよりも、性能のいいこぢんまりした工場のようだった。；学校で給食費がなくなったとき、その少年が犯人だと決めつけられたのだった。</t>
        </is>
      </c>
      <c r="J2120">
        <f>HYPERLINK("https://www.weblio.jp/content/給食", "词义详情")</f>
        <v/>
      </c>
      <c r="K2120">
        <f>HYPERLINK("https://yourei.jp/給食", "查看例句")</f>
        <v/>
      </c>
    </row>
    <row r="2121">
      <c r="A2121" t="inlineStr">
        <is>
          <t>求職</t>
        </is>
      </c>
      <c r="B2121" t="inlineStr">
        <is>
          <t>成功</t>
        </is>
      </c>
      <c r="C2121" t="inlineStr">
        <is>
          <t>読み方：きゅうしょく
［名］(スル)職を探し求めること。「—活動」</t>
        </is>
      </c>
      <c r="D2121" t="inlineStr">
        <is>
          <t>求職中(13%)；求職者(10%)；求職広告(3%)；求職情報(3%)；求職支援(2%)</t>
        </is>
      </c>
      <c r="G2121" t="inlineStr">
        <is>
          <t>求職活動；求職者支援訓練</t>
        </is>
      </c>
      <c r="H2121" t="n">
        <v>29</v>
      </c>
      <c r="I2121" t="inlineStr">
        <is>
          <t>求職のために活動していたコントは頻繁に各界の有力者を訪ねていた。；中途求職のものにあっては前の会社をやめた理由が何より重大問題になる。；労働者だけでなく、求職中の学生やフリーランスなども保護の対象とした。；彼は求職がうまく行かずに空腹となり、光が丘の牛乳を漁っていたのだ。；援助される訓練は求職の範囲を拡大するための訓練である。；彼らの求職に対して、大学の就職斡旋部は、菱井銀行へ推薦してくれた。；きみには分からないだろうけど、求職して何も見つからないときは悲しいものだよ。；その結果、企業の求職人数は就職希望者を大幅に上回っていた。；東京に六十万の失業者があって、その人々は闇商売の面白さに求職していないと報じられている。；意に反して売れてしまった流行作家と求職中の姪っ子の物語である。；パリへの求職旅行から帰国した後の1779年4月26日にザルツブルクで作曲された。；公共職業安定所及び学校で取り扱った求職、求人情報を利用して作成する。；そんな零細出版社へ、元武道インストラクターのお調子者ビルが求職に訪れる。；彼なりに求職の手は打ったのだが、香しい反響はまだない。；雇用経験がまったくない若い求職や、就職できても質の低い仕事に追いやられるものが増加している。；シニア向け・介護人材向け求職サービスのポータルサイトを運営している。；平均として、女性は男性よりも求職時に給与以外の要素をする傾向があり、また旅行や配置転換を希望する傾向は低いとされる。；子張は求職の方法を知りたがっていた。；Aが相談所に提出した求職カードに前歴の記載はなく、この時点でIはAの前歴を知ることは出来なかった。；申訳のように、公共事業労働者の求職、工場主の求人のための一欄を設けているにすぎない。；もう習慣になっていますから、求職の一廻りをして、それからでないと朝飯が落着かないくらいです。；規定によれば五日が最高の宿泊日数だが、その一夜だけ他の類似のところで寝てくればよいのだから、みんなここを宿泊所として、どこかへ働きに出たり求職に歩いたりしている。；第二次世界大戦前の日本では、学生は既卒後に就職することが主流であり、その求職方法もまちまちであった。；その前日、求職のことをききにきたのは、昼まえだった。；アール・オーバーはセールスマンだったが、現在は求職中である。；そんなウォンの零細事務所へ、カンフーの得意なお調子者キットが求職に訪れる。；彼はそのため1951年にニューヨーク市のNBCに求職した。；身分の安定のためコロンビア大学に求職を申請するが、亜矢子によると、大学からの返事を待つ間不安から泣くこともあったという。；求職のための失業保障手当てはOECDの平均的な水準であった。</t>
        </is>
      </c>
      <c r="J2121">
        <f>HYPERLINK("https://www.weblio.jp/content/求職", "词义详情")</f>
        <v/>
      </c>
      <c r="K2121">
        <f>HYPERLINK("https://yourei.jp/求職", "查看例句")</f>
        <v/>
      </c>
    </row>
    <row r="2122">
      <c r="A2122" t="inlineStr">
        <is>
          <t>求人</t>
        </is>
      </c>
      <c r="B2122" t="inlineStr">
        <is>
          <t>成功</t>
        </is>
      </c>
      <c r="C2122" t="inlineStr">
        <is>
          <t>読み方：きゅうじん
［名］(スル)必要な働き手を求めること。「新聞紙上で—する」「—難」</t>
        </is>
      </c>
      <c r="D2122" t="inlineStr">
        <is>
          <t>求人数(5%)；求人企業；求人難；求人者；求人情報サービス</t>
        </is>
      </c>
      <c r="E2122" t="inlineStr">
        <is>
          <t>リクルート；社員募集；人員募集</t>
        </is>
      </c>
      <c r="F2122" t="inlineStr">
        <is>
          <t>アルバイト求人；求人掲載；求人サービス</t>
        </is>
      </c>
      <c r="G2122" t="inlineStr">
        <is>
          <t>求人情報；求人情報誌；求人サイト；求人票；求人欄</t>
        </is>
      </c>
      <c r="H2122" t="n">
        <v>29</v>
      </c>
      <c r="I2122" t="inlineStr">
        <is>
          <t>なんでも求人に百名応募してきた時から急に態度が変わったらしいのです。；ウィーゼルで求人があったときも大変な騒ぎでしたが、それ以上でした。；求人や催物などの情報誌も、それに似たような出発だったのではないか。；求人の際に女性は「未婚のみ」と条件が付けられることが行われている。；その求人は30万件以上を超え、多くの企業・ユーザーから賛同を得た。；群衆は中にいた職員を監禁状態にして、求人数が少ないことを迫った。；かと言って求人のためにあらたまった努力をしようとは思わない。；スポーツ用品店が一番よいのではないか、と彼は求人の冊子を手に取った。；学生課に行って求人の資料に目を通しても、その気にはなれなかった。；するとそこにはまるで私のために作られたような〝求人〟の囲み記事。；近年問題になっているのは、違法な求人広告と違法な契約内容である。；日本では、次のような求人手段が用いられてきた経緯がある。；また2020年7月より、地域に特化した求人記事制作サービスを開始。；どこの会社も雇ってくれないような、余ってる人しか求人で来ないんですよ。；平日は求人画面からお仕事を選択することでプレイするゲームを選択できる。；また、レデンが断っていた大規模な開発者からの求人をいくつか受けている。；JAPANとリクルートがかつて共同で運用していた求人情報サービス。；誰が先にその求人の事務所に乗りつけるか、まるで自転車競走です。；物価の安さや求人率の高さから、ナッシュビルは難民に人気となっている。；求人票が発行され次第、求人先へすぐ電話して翌日には就業できた。；「今は求人はしておりませんが」 と、受付の女性は冷たく言い放った。；なにしろ十日ごとに求人募集しているような、人の居つかない会社なんですから。；そのことを進路指導の教師に相談すると、教師は男性用の求人をすぐにとってきてくれた。；卒業後の進路は以前は就職が多く、県内外有力企業からの求人が多かった。；そして年末年始が重なり、事件直前には求人数はかなり激減していた。；全ての求人に番号を下記のように設けている。；求人ポータルサイトでは、職種や勤務地などの諸条件を容易に検索できる。；ジェーンは一つ一つ開いてみて、最後の一通の求人に応じて行ってみることにきめる。；その後の景気回復に伴って求人掲載数が増加していったため、掲載エリアを分割する動きが出ている。</t>
        </is>
      </c>
      <c r="J2122">
        <f>HYPERLINK("https://www.weblio.jp/content/求人", "词义详情")</f>
        <v/>
      </c>
      <c r="K2122">
        <f>HYPERLINK("https://yourei.jp/求人", "查看例句")</f>
        <v/>
      </c>
    </row>
    <row r="2123">
      <c r="A2123" t="inlineStr">
        <is>
          <t>休戦</t>
        </is>
      </c>
      <c r="B2123" t="inlineStr">
        <is>
          <t>成功</t>
        </is>
      </c>
      <c r="C2123" t="inlineStr">
        <is>
          <t>読み方：きゅうせん
［名］(スル)
１戦争中、合意により戦闘行為を一時中止すること。「—条約」
２争いごとを一時中止すること。「論争を一時—にする」</t>
        </is>
      </c>
      <c r="D2123" t="inlineStr">
        <is>
          <t>休戦後(7%)；休戦条約(5%)；休戦交渉(4%)；休戦状態(3%)；休戦期間(2%)</t>
        </is>
      </c>
      <c r="E2123" t="inlineStr">
        <is>
          <t>停戦</t>
        </is>
      </c>
      <c r="F2123" t="inlineStr">
        <is>
          <t>朝鮮戦争休戦；自然休戦期；イタリア休戦；休戦条項；休戦記念</t>
        </is>
      </c>
      <c r="G2123" t="inlineStr">
        <is>
          <t>休戦オマーン；休戦の客車</t>
        </is>
      </c>
      <c r="H2123" t="n">
        <v>29</v>
      </c>
      <c r="I2123" t="inlineStr">
        <is>
          <t>これを受けてルーデンドルフは徹底抗戦を主張して休戦反対派に転じた。；イタリア休戦後は、連合国側に投降した機体の方が多かったといわれる。；韓国学は朝鮮戦争が休戦となって以後に活発な研究が始まったとされる。；またポーランドとの休戦は期限付きで、再び戦争に入るのは明らかだった。；この休戦に参加したイギリスとドイツ将兵は合計で10万人以上とされる。；しかしながら休戦は強調された対立を解決するものでなかった。；政治家達は休戦条約と国際連盟にアメリカが加入すべきかについて議論していた。；他に主に貢献したのは、神の平和と休戦の導入を通して行動する教会であった。；このゲリラ問題が片付くまで北軍と南軍の間に一時的な休戦すら成立した。；休戦交渉に参加したユダヤ人銀行家カール・メルヒオールも批判された。；当初、容易に鎮圧可能と見られていたは休戦と戦闘再開を繰り返し長期化した。；幕府は実質的な敗北を認めざるを得ず、21日には休戦の勅許を得ていた。；この休戦でハーフ・ムーンが大西洋を越えて航海することが可能になった。；欧羅巴の天地は夜に入れり、これにて一時の休戦を許されたる形なり。；合意と、合意によってなされた休戦と政治構造により和平が進められた。；その後アテナイ軍は休戦条約の下で戦死者の死体を引き取り、帰国した。；こうさんすることを休せんぢようやくといつていくさをやすむことである。；数日後になって両者の間で7月31日から10月31日までの休戦が結ばれた。；そこでインド人は、アザド軍の解体を休戦期間中に行うことを要求した。；イタリア休戦後に生き残った車両の一部はドイツ軍でも使用された。；彼は休戦を維持したが、平和を回復することはできなかった。；セミノールは南フロリダでの居留地と引き換えに休戦することになった。；他には休戦に先立ち行われるいかなる活動にも制裁を加えないことを定めていた。；戦後、ドイツ捕虜の労働力を用いて休戦記念地の復旧作業が行われた。；その後、地元政治家がユニオニストと共和国側両方に休戦交渉を行った。；高橋正俊はポツダム宣言は条件付休戦条約であると考えられているとする。；この休戦が実現しておれば、戦争が再開される可能性は非常に小さかったであろう。；空と陸での戦いが続くなか、一時休戦したポルとマークは交渉した。；大会前には、選手が安全にギリシアを通行できるよう、休戦が宣言された。</t>
        </is>
      </c>
      <c r="J2123">
        <f>HYPERLINK("https://www.weblio.jp/content/休戦", "词义详情")</f>
        <v/>
      </c>
      <c r="K2123">
        <f>HYPERLINK("https://yourei.jp/休戦", "查看例句")</f>
        <v/>
      </c>
    </row>
    <row r="2124">
      <c r="A2124" t="inlineStr">
        <is>
          <t>急速</t>
        </is>
      </c>
      <c r="B2124" t="inlineStr">
        <is>
          <t>成功</t>
        </is>
      </c>
      <c r="C2124" t="inlineStr">
        <is>
          <t>読み方：きゅうそく
［名・形動］物事の起こり方や進み方が非常に速いこと。またそのさま。「—な時代の変化」「—に親しくなる」</t>
        </is>
      </c>
      <c r="D2124" t="inlineStr">
        <is>
          <t>急速な発展；急速な成長；急速潜航；急速充電；急速な拡大</t>
        </is>
      </c>
      <c r="F2124" t="inlineStr">
        <is>
          <t>急速進行性間質性肺炎；急速眼球運動；急速に拡大した；急速な産業化；急速な経済成長</t>
        </is>
      </c>
      <c r="G2124" t="inlineStr">
        <is>
          <t>急速冷凍；急速濾過；急速ろ過；急速進行性認知症；急速進行性糸球体腎炎</t>
        </is>
      </c>
      <c r="H2124" t="n">
        <v>29</v>
      </c>
      <c r="I2124" t="inlineStr">
        <is>
          <t>ALGOLは文字セットが急速に発展し多様化していた時代に登場した。；トルコ政府は識字率向上のため義務教育を提供する学校を急速に作った。；そのため、高度成長期以来減少してきた人口が、近年急速に増えている。；何百万人もの農民が工業化された都市に移動し、国は急速に発展した。；プロイセン軍の動員はフランス側の予測よりも遥かに急速に進んでいた。；晩年になるとじっとしていられない習慣が悪化、急速に老けていった。；南予は減少が急速に進んでおり、より効果的な対策が求められている。；戦時中にはアメリカ政府に戦争協力を行ったので革命路線は急速に後退。；開戦当時の建艦技術の程度がどうあれ、ローマは急速に適応していった。；彼等は急速に何十万人もの改宗者を集め、南部中に新しい教会を設立した。；この背景には1953年より登場したテレビの急速な普及がある。；戦争の危機が高まり、急速に事態が緊張化して制御不能となっていく。；この時期に北のモンゴル高原にはモンゴル帝国が急速に勢力を拡大していた。；戦国時代の連続した戦いは、兵法と技術の急速な発展をもたらした。；出版は急速に進められ、窮乏によるストレスからしばらくは解放された。；そのような中で党外勢力が台湾自決の旗を掲げ勢力を急速に増してきたのである。；このころから、中小商店から大型店への人の流れが急速に移行しつつあった。；急速な成長を見せているのは欧州諸国の被服製造の下請け産業である。；急速に拡大する領土にあって、経済も変化したと考えられるが詳細はよくわかっていない。；これらの試合の後、整理されたフットボールの試合は急速に人気を広げていった。；この急速な昇進には公武に強い権力を保持していた父の強い意向があったためである。；明治時代以降に横浜線や小田急線が開業すると駅近隣の発展は急速に進み始める。；内戦からの急速な復興を受けて、中印など外国企業の進出も盛んである。；耐性は急速に形成され、離脱症状が起こることは確認されていない。；こうした危急存亡の情勢はパリの革命的な性格を急速に強化した。；いわゆる大航海時代に、香料貿易で急速に発展したことで著名な都市である。；バスタードソードが登場する時期は鎧が急速に発達した時期と重なる。；のロボット型検索エンジンに採用されたことにより、急速に人気を集めた。；長州藩に敗北した幕府の威信は急速に弱まり、大政奉還へとつながった。</t>
        </is>
      </c>
      <c r="J2124">
        <f>HYPERLINK("https://www.weblio.jp/content/急速", "词义详情")</f>
        <v/>
      </c>
      <c r="K2124">
        <f>HYPERLINK("https://yourei.jp/急速", "查看例句")</f>
        <v/>
      </c>
    </row>
    <row r="2125">
      <c r="A2125" t="inlineStr">
        <is>
          <t>休息</t>
        </is>
      </c>
      <c r="B2125" t="inlineStr">
        <is>
          <t>成功</t>
        </is>
      </c>
      <c r="C2125" t="inlineStr">
        <is>
          <t>読み方：きゅうそく
［名］(スル)仕事などをやめて心身を休めること。くつろぐこと。「しばし—する」</t>
        </is>
      </c>
      <c r="D2125" t="inlineStr">
        <is>
          <t>休息する(7%)；休息所(4%)；休息日；休息時間；休息地</t>
        </is>
      </c>
      <c r="E2125" t="inlineStr">
        <is>
          <t>停止；中断；休み；休止；タイム</t>
        </is>
      </c>
      <c r="F2125" t="inlineStr">
        <is>
          <t>ご休息；短い休息；長い休息；十分な休息；坑夫休息</t>
        </is>
      </c>
      <c r="H2125" t="n">
        <v>29</v>
      </c>
      <c r="I2125" t="inlineStr">
        <is>
          <t>このようにして作用と休息とが交互に行われるのが我々の普通状態である。；日中にはあまり活動せず、外洋の海底に近い場所で単独で休息していた。；そのため、漢によって人々は休息を得て希望を持つことができたのです。；バーゼルにおける休息の一日は過ぎていき、私はここでの仕事を終えた。；主に朝と夕方に地上で活動し、夜間は茂みの中や小木の上で休息をとる。；中継基地では燃料と食事が支給され、運転手は休息することができた。；しかし、休息の日々はやがて終わり、戦争の影が彼らを包み込んでいく。；歩き出して一時間、小さな流れがあって、そこで第一回の休息をする。；彼の不幸とは反対にむしろすっかり休息しているように見えた。；彼等魚族も、秋に沢山物を食つて、いよいよ冬の休息に入るやうになる。；辛うじて生き残った魔族は勝利をいつか得るために休息の眠りについた。；休息場所は岩棚の下や岩の隙間で、毎日特定の場所に戻ってくる。；そうすれば、彼も休息する機会を得られただろうというのがその主張である。；休息は巣穴の外に出て風通しが良くかつ身を隠せる場所で休息している。；彼らはキイロショウジョウバエを使用して活動と休息のパターンを研究した。；そして妾はしばらくの間休息するために、自分の居間に入ったのであった。；休息はまた、ケアを受けている人にも前向きな体験を提供するものである。；午後早い時間に彼らは野営地に戻って、休息をとり、そして南に向かった。；夜間には、ねぐらとは違う場所に数頭集まって休息場所とすることもある。；休息した際は必ず朝となり、歩いているうちに昼と夜が訪れる。；国王は疲れているのでパリに立つまで2、3時間の休息が欲しいと言った。；今後は長期間の休息を取る予定で、いつ復帰するかは明言しなかった。；アメリカ・ツアーの後、休息もそこそこに本作のレコーディングに入る。；その目的は、過去も現在も、人々に休息の場所を与えることである。；けれど、そこが私の真の休息所であろうとはどうして考えられよう。；夜行性で昼間は樹洞や木の横枝などでほとんど動かず目を閉じて休息している。；勝利を確信していたタールトンは兵士たちに休息も与えず戦闘に突入した。；船長は海図室での休息中に信号の目撃報告を受けたが、何も対処しなかった。；第3段階は休息と平穏の段階で、財産の獲得、都市の建設などを行なう。</t>
        </is>
      </c>
      <c r="J2125">
        <f>HYPERLINK("https://www.weblio.jp/content/休息", "词义详情")</f>
        <v/>
      </c>
      <c r="K2125">
        <f>HYPERLINK("https://yourei.jp/休息", "查看例句")</f>
        <v/>
      </c>
    </row>
    <row r="2126">
      <c r="A2126" t="inlineStr">
        <is>
          <t>旧知</t>
        </is>
      </c>
      <c r="B2126" t="inlineStr">
        <is>
          <t>成功</t>
        </is>
      </c>
      <c r="C2126" t="inlineStr">
        <is>
          <t>読み方：きゅうち
古くからの知り合い。昔なじみ。「—の間柄」「—のよしみ」</t>
        </is>
      </c>
      <c r="D2126" t="inlineStr">
        <is>
          <t>旧知宅</t>
        </is>
      </c>
      <c r="F2126" t="inlineStr">
        <is>
          <t>親戚旧知</t>
        </is>
      </c>
      <c r="H2126" t="n">
        <v>29</v>
      </c>
      <c r="I2126" t="inlineStr">
        <is>
          <t>その時にはもう私には、此の男が自分の旧知の一人であることは確かだった。；そして、南は旧知の喜多條忠に相談し、制作を進行したとの経緯がある。；なかでただひとりの旧知の人物に彼はむしろ無感動な声をかけた。；また安藤助教授は偶然にも放射線科の主任教授と旧知の間であるという。；旧知の仲でそれはないだろうと憤慨しているところだから、話もしたくない。；ここには何回か足を運んでいるので、大体のものは旧知の間柄である。；ジャイアンツを担当している記者だったが、星野とは旧知の間柄だった。；初めのためらいが薄れれば、旧知の友たちとの話題には格好の思い出話。；旧知のおなさけを受けまいとする志も利左と同様であったに違いない。；その後、周奎と家族は法廷で証言し、少年と旧知であることを否認した。；皇帝は旧知の女性ドミティリアのためにサンパウロへ旅行をしてきた。；数日ぶりにあったわたしたちは、まるで旧知の友のように親しみをましていた。；ぎこちない挨拶の後、紹介されたのは旧知の人たちの夫人方である。；なお、デラーズとは旧知の仲であったことをうかがわせる発言をしている。；クロとは旧知の仲であり、彼はキッドと呼ばれていた頃の親友だった。；旧知の藩士邸に立ち寄ることは絶対に許さぬ方針だったからである。；小池と旧知の仲である杉浦は同団体の代表および会計責任者に就いた。；もう話したと思うが、娘たちの父親とはリヨンで旧知のあいだがらであった。；「親分」 八五郎はさすがにこの旧知の女の死骸を見ると緊張しました。；範馬勇次郎とは旧知の仲であり、しばしば対照的な描写がされている。；柴田は当時イギリス国立物理学研究所長を務めていたとは旧知の仲であった。；美術座には本庄君以外、旧知の諸君も大分ゐたが、会へば誰でも懐しい。；旧知なつかしい心から彼は訪ねられるだけ親戚や知人を訪ねたいと思った。；朱美を連れて来て、旧知の人に真贋を確認して貰う訳には行かないのである。；紹介された政治家の中には、高畑には旧知の顔が幾つかあった。；二人は初対面であったが、一見すると胸襟を開き、旧知の如く語りあう。；彼とは、実は十五年来の旧知の間柄なのだが、会ったのは七年ぶりだった。；山下さんがこの話を九州時代からの旧知に相談すると、こぞって反対された。；クウネルさんの言葉にあるようにそれこそ旧知の間柄で二人の呼吸は合っている。</t>
        </is>
      </c>
      <c r="J2126">
        <f>HYPERLINK("https://www.weblio.jp/content/旧知", "词义详情")</f>
        <v/>
      </c>
      <c r="K2126">
        <f>HYPERLINK("https://yourei.jp/旧知", "查看例句")</f>
        <v/>
      </c>
    </row>
    <row r="2127">
      <c r="A2127" t="inlineStr">
        <is>
          <t>宮殿</t>
        </is>
      </c>
      <c r="B2127" t="inlineStr">
        <is>
          <t>成功</t>
        </is>
      </c>
      <c r="C2127" t="inlineStr">
        <is>
          <t>読み方：きゅうでん
１天皇・国王などの住む御殿。
２神を祭る社殿。</t>
        </is>
      </c>
      <c r="D2127" t="inlineStr">
        <is>
          <t>宮殿内(3%)；宮殿建築；宮殿跡；宮殿群；宮殿造営</t>
        </is>
      </c>
      <c r="E2127" t="inlineStr">
        <is>
          <t>社；館；神社；殿；宮</t>
        </is>
      </c>
      <c r="F2127" t="inlineStr">
        <is>
          <t>トプカプ宮殿；旧宮殿；大宮殿；大統領宮殿；地下宮殿</t>
        </is>
      </c>
      <c r="G2127" t="inlineStr">
        <is>
          <t>宮殿松の間</t>
        </is>
      </c>
      <c r="H2127" t="n">
        <v>29</v>
      </c>
      <c r="I2127" t="inlineStr">
        <is>
          <t>この層には神殿や宮殿であるとされている大規模建造物が含まれている。；新宮殿は西と東に新しい建造物が追加され、その中央には中庭があった。；これらの宮殿は計画的に建設されており、また、規格化もなされている。；しかしこの宮殿は1893年フランスが占領したことから放棄された。；それ以来、歴代の国王とその家族が4つの宮殿に居住するようになった。；この男を殺さねば朕の心は乱れたままで、朕の宮殿も完成などするまい。；シャマシュ・シュム・ウキンは宮殿で自分と家族に火をかけ自殺した。；首都建設前の最初の数年間、彼は宮殿と王室礼拝堂の建設を監督した。；広場の中央にはこの宮殿の造営者であるフレデリク5世の騎馬像がある。；保存状態は悪くなく多くの浮彫で飾られた宮殿の城壁が発掘されている。；宮殿に勤務する人は約450名、年間の招待客は4万人にもなるという。；彼はポワチエのかつての伯爵たちが築いた中世の宮殿をさらに飾り立てた。；で造られた宮殿と拡張されたの歴史はこの時代から始まっている。；この宮殿の建築に関しては、フリードリヒ2世自ら設計の一部を行った。；クノッソスの新宮殿は、古宮殿よりもより壮大で巨大な建造物になった。；その為、古宮殿を取り壊し、その上に新しい宮殿を作る計画が生まれた。；これは、もともと帝室の宮殿に付属していた植物園を呼んだ名前であった。；この時代、環状道路の外側に市壁が設けられ、宮殿付属教会が建設された。；それによるとアムピトリーテーが隠れたのはオーケアノスの宮殿であった。；それはすぐに神殿に合わせて建てられた巨大な儀式用の宮殿であることがわかった。；これが知られた住吉仲皇子は反乱を起こして去来穂別の宮殿に火を放った。；建文帝は宮殿に火を放って自害したとされるが、遺体は発見されなかった。；同じく旧市街のベラルデ宮殿などにはがあり、絵画などが展示されている。；この城は何度も改築・増築が繰り返され、現在の旧宮殿の原型となった。；そこで彼女はそれを飼い馴らし、王たちの宮殿へ連れて行くのである。；これらの丘の最も東のものはサライブルヌの上のトプカプ宮殿の場所である。；宮殿跡には、ここを訪れた多くの画家たちのサインが残っている。；全ての山河が整地され、 皇帝の宮殿周辺を除く惑星全体が金属に覆われた。；そこで皇孫は宮殿を立て、そこでんだ後、海辺に進んで一人のを見かけた。</t>
        </is>
      </c>
      <c r="J2127">
        <f>HYPERLINK("https://www.weblio.jp/content/宮殿", "词义详情")</f>
        <v/>
      </c>
      <c r="K2127">
        <f>HYPERLINK("https://yourei.jp/宮殿", "查看例句")</f>
        <v/>
      </c>
    </row>
    <row r="2128">
      <c r="A2128" t="inlineStr">
        <is>
          <t>急騰</t>
        </is>
      </c>
      <c r="B2128" t="inlineStr">
        <is>
          <t>成功</t>
        </is>
      </c>
      <c r="C2128" t="inlineStr">
        <is>
          <t>読み方：きゅうとう
［名］(スル)物価や相場などが急激に上がること。「株価が—する」⇔急落。</t>
        </is>
      </c>
      <c r="D2128" t="inlineStr">
        <is>
          <t>急騰する(11%)</t>
        </is>
      </c>
      <c r="E2128" t="inlineStr">
        <is>
          <t>増加；飛躍；急増；一躍；高騰</t>
        </is>
      </c>
      <c r="H2128" t="n">
        <v>29</v>
      </c>
      <c r="I2128" t="inlineStr">
        <is>
          <t>アメリカが銀の法定備蓄を開始すると、国際市場での銀価格は急騰した。；民衆もまた、開港後の穀物価格の急騰に不満をつのらせていたのである。；その結果、食料が不足し価格が急騰するのは、自然の成り行きと言えた。；公定価格では一石九十九円二十銭であったのだから、約三倍の急騰である。；一般に、暴落は相場や価格が急騰し相場が過熱状態に起こることが多い。；炭素市場が急騰したニュースで、十回目の誕生日は吹き飛んでしまった。；都営バスの地方譲渡中止により、中古バス市場では車両価格が急騰した。；星虫の正体は依然として謎だったが、その株は再び急騰し続けている。；銅価格の急騰もあって日立鉱山は巨額の利益を挙げるようになった。；九七年のパラジウムの急騰以来、乖離幅が大きくなっているんです。；それが何故このような急騰となったのか。；それに合わせて、参戦にかかる経費が急騰するようになった。；この視点を実現させようとする際に、彼は国債を急騰させた。；曇りや雨の日が多く、低温と日照不足のため、野菜の価格が急騰した。；三越かなんかがものすごく急騰したとき、一時間に二百円ぐらい上がったときがあったものね。；このところ土地の価格が急騰したんで、これまでのような古いビルではだんだん収益があがらなくなってきたんだ。；むしろ、あの地価急騰の時代によくぞ手放さずにいたものだと祐次は感心した。；この動きが繰り返され、株式の購入が次々起こる事で株価が急騰する可能性がある。；そのため、日本の放送権料も、前大会と比べて約20倍に急騰した。；版画は、大きな人気を得て、品切れの状態が続き、価格は急騰した。；ギャングは酒の密輸で利益を上げ、よりアルコール度数の強い酒の人気が急騰した。；急騰した人気が一段落したこともあり、ここからそれまでの賑わいが急速に収縮していくこととなる。；イギリスの勝利の報告が入ると公債は急騰し、ネイサンは莫大な利益を上げることに成功した。；だが、それでも出荷数量を制限しているので、価格は下がらず急騰し続ける。；近年、世界的な資源価格急騰により資源供給国の割合が増えつつある。；それとも努力できる石炭の価格が、急騰するのだろうか。；とくに地価が狂乱急騰のさまをみせてきた今、慎平の気持ちが落ち着かないのは事実だ。；小説『風箏家族』と『灰花』で、紅楼夢賞を受賞して人気が急騰した。；Uberは、入国時に難民が拘留されていたJFK空港発での急騰価格を控えていた。</t>
        </is>
      </c>
      <c r="J2128">
        <f>HYPERLINK("https://www.weblio.jp/content/急騰", "词义详情")</f>
        <v/>
      </c>
      <c r="K2128">
        <f>HYPERLINK("https://yourei.jp/急騰", "查看例句")</f>
        <v/>
      </c>
    </row>
    <row r="2129">
      <c r="A2129" t="inlineStr">
        <is>
          <t>急に</t>
        </is>
      </c>
      <c r="B2129" t="inlineStr">
        <is>
          <t>成功</t>
        </is>
      </c>
      <c r="D2129" t="inlineStr">
        <is>
          <t>急勾配(3%)；急カーブ；急降下；急成長；急角度</t>
        </is>
      </c>
      <c r="E2129" t="inlineStr">
        <is>
          <t>突然；急に；いきなり；急速；不意</t>
        </is>
      </c>
      <c r="F2129" t="inlineStr">
        <is>
          <t>急展開；急加速；急に明るく；急接近；急発進</t>
        </is>
      </c>
      <c r="G2129" t="inlineStr">
        <is>
          <t>急速；急激；急行；急遽；急死</t>
        </is>
      </c>
      <c r="H2129" t="n">
        <v>29</v>
      </c>
      <c r="I2129" t="inlineStr">
        <is>
          <t>公園内にある駐車場から滝までは急な坂道を約800m歩く必要がある。；これは、重い雪質の急な斜面である高田の地形から判断した結果である。；この後も急カーブが連続するために列車はスピードを落として走行する。；なお1963年頃には丸に2本の線入りの「急」表示のものも存在した。；急勾配があるため、主にエンジンを2台載せた強力気動車が使用された。；だが、付け柱の表面の場合には、変化は急で、全く反対の方向に生じる。；なのに毎日畳の上に正座させて説教するんだけど急に変わるわけないよね。；なお1番線の急カーブ部分には列車が停車しないようになっている。；流体のある位置にそれらが急に集められる場合に、渦を生じることが多い。；増沢は後に、この勝利で失いかけていた人気が急に復活したと振り返っている。；この結果、旧関急系の路線のみが近鉄として存続し、現在に至っている。；この場合には途中で急停止するので、かご内に閉じ込められることになる。；種別表示幕は白地に赤文字で「=急=」と表記されているのが特徴だった。；速水の機転によって無事帰還し、これを期に二人の仲は急接近していった。；同様の理由で山陽鉄道では例外的な急勾配区間瀬野八も誕生している。；急な雨には対応できず、その場合は一部の座席が濡れる席となる。；急な坂だらけの街であるので、長く住んでいる人でも息が切れて苦痛を感じることが多い。；急な需要増加のため、市場には多数の村正のニセ物が出回ることになった。；進水式の日程は昭和天皇に知らされており、工事を急ざるを得なかった。；島の周囲は南東部にある船着き場を除いてほとんどが急な断崖になっている。；飲用量が多い場合、急な飲酒は振戦せん妄を起こして致命的となりうる。；だが急に両親が海外に転勤となり、その結果千寿と二人暮らしになってしまう。；平安時代の寝殿造建物にはこのように大きく急勾配の屋根はなかった。；たとえば敷物の上に箱を置き、敷物を急に引っ張ってみれば明らかである。；飛翔は直線的であるが、急に飛ぶ方向を変えたりすることもできる。；松ヶ崎駅は参急との合併後に設けられた駅で、高架上で山田線と連絡した。；スポーツ新聞が急成長するきっかけをつかんだのもこの内紛劇からとされる。；急勾配の坂であり、登って降りる山型と、降りてから登る谷型がある。；急な坂が多く、深い霧に覆われることでも有名である。</t>
        </is>
      </c>
      <c r="J2129">
        <f>HYPERLINK("https://www.weblio.jp/content/急に", "词义详情")</f>
        <v/>
      </c>
      <c r="K2129">
        <f>HYPERLINK("https://yourei.jp/急に", "查看例句")</f>
        <v/>
      </c>
    </row>
    <row r="2130">
      <c r="A2130" t="inlineStr">
        <is>
          <t>牛肉</t>
        </is>
      </c>
      <c r="B2130" t="inlineStr">
        <is>
          <t>成功</t>
        </is>
      </c>
      <c r="C2130" t="inlineStr">
        <is>
          <t>読み方：ぎゅうにく
食用とする牛の肉。ぎゅう。</t>
        </is>
      </c>
      <c r="D2130" t="inlineStr">
        <is>
          <t>牛肉屋(4%)；牛肉店；牛肉料理；牛肉加工；牛肉生産</t>
        </is>
      </c>
      <c r="E2130" t="inlineStr">
        <is>
          <t>牛；ビーフ</t>
        </is>
      </c>
      <c r="F2130" t="inlineStr">
        <is>
          <t>ブランド牛肉；いろは牛肉；高級牛肉；輸入牛肉；牛肉すきやき</t>
        </is>
      </c>
      <c r="G2130" t="inlineStr">
        <is>
          <t>牛肉麺；牛肉と馬鈴薯；牛肉トレーサビリティ法；牛肉のブルゴーニュ風；牛肉に関する取極</t>
        </is>
      </c>
      <c r="H2130" t="n">
        <v>29</v>
      </c>
      <c r="I2130" t="inlineStr">
        <is>
          <t>ブラジルへの牛肉輸出が2016年8月に再開されることが発表された。；この頃、東京にも十勝ワインと牛肉のレストランを開設し話題を呼んだ。；中国や台湾では豚肉を使うことが多いが、鶏肉・牛肉を使うものもある。；アメリカ合衆国では1940年代まで鶏肉は牛肉よりも貴重品であった。；アルゼンチンのほとんどの地域は、牛肉を多用した食事で知られている。；実際、日本は2003年5月からカナダからの牛肉輸入を禁止している。；大根と牛肉ばかり食していたため、やがて国中に牛がいなくなった。；怒りにあったとしても古代国民が牛肉を喰らったことのあったには疑いない。；決まったレシピはなく、豚肉ではなく牛肉や鶏肉が使われることもある。；今日知られる牛肉のルーラーデンは過去一世紀ほどから人気になってきた。；流通している肉は、牛肉が最も多く安価であり、豚肉の方が高価である。；運転台から降りてきたのは牛肉店の隣のガレージの運ちゃん三郎であった。；何かあるかというと牛があるというので、この山奥に牛肉は珍しい。；牛肉、豚肉、羊肉と並んで世界で日常的に食用にされる肉の一つである。；芋煮に牛肉が使われるようになったのは、昭和の初め頃からである。；米英兵たちは毎日牛一頭は消費しきれず、日本人の関係者にも牛肉が回って来たという。；当時東京市内各区のいろは牛肉店は二十軒以上盛業してゐたと思ひます。；インドでは牛肉を売ったり、食べたりしたと思われた人が殺害される事件も起きている。；馬肉の部位の名称とその特徴は、牛肉や豚肉のそれと大きなずれはない。；牛肉産業は肉用仔牛の飼育に携わっている生産者の多さで区分されている。；ところが、この肉食国に不思議にも日本のような良質の牛肉がないのである。；牛肉一件以来彼はそうした気持になっているのである。；しばらくすると主人が来て、牛肉、羊の肉、そのほかのものをくれた。；元はリャマの肉を用いていたが、現在は大部分が馬肉か牛肉である。；インド産以外の牛肉なら食べてもよいと考えるヒンドゥー教徒もいる。；肉のゆで汁をだしとして用いる場合も多く、牛肉のだしをユッスという。；牛肉輸入が再開された後も、2021年現在持ち込むことは出来ない。；牛肉のすき焼きが盛んになるのは日清戦争後の明治30年ごろ以後である。；魚を焼いても、牛肉を焼いても、その匂いは決してわしを満足させてくれぬ。</t>
        </is>
      </c>
      <c r="J2130">
        <f>HYPERLINK("https://www.weblio.jp/content/牛肉", "词义详情")</f>
        <v/>
      </c>
      <c r="K2130">
        <f>HYPERLINK("https://yourei.jp/牛肉", "查看例句")</f>
        <v/>
      </c>
    </row>
    <row r="2131">
      <c r="A2131" t="inlineStr">
        <is>
          <t>牛乳</t>
        </is>
      </c>
      <c r="B2131" t="inlineStr">
        <is>
          <t>成功</t>
        </is>
      </c>
      <c r="C2131" t="inlineStr">
        <is>
          <t>読み方：ぎゅうにゅう
牛の乳。白色の液体で、脂肪・たんぱく質・糖分などの栄養に富む。殺菌などの処理をして飲料とし、バター・チーズ・ヨーグルト・酸乳飲料などの原料とする。ミルク。
[補説]食品衛生法にもとづく「牛乳」は乳脂肪3.0パーセント以上のもの。牛乳類の種類と成分規格種類別名称無脂乳固形分乳脂肪分牛乳8.0パーセント以上3.0パーセント以上特別牛乳8.5パーセント以上3.3パーセント以上成分調整牛乳8.0パーセント以上規定なし低脂肪牛乳〃0.5パーセント以上1.5パーセント以下無脂肪牛乳〃0.5パーセント未満加工乳〃規定なし乳飲料乳固形分※3.0パーセント以上※乳固形分は、無脂乳固形分と乳脂肪分の合計。</t>
        </is>
      </c>
      <c r="D2131" t="inlineStr">
        <is>
          <t>牛乳販売；牛乳入り；牛乳ビン；牛乳店；牛乳箱</t>
        </is>
      </c>
      <c r="E2131" t="inlineStr">
        <is>
          <t>乳；ミルク；おっぱい；乳汁；市乳</t>
        </is>
      </c>
      <c r="F2131" t="inlineStr">
        <is>
          <t>新鮮な牛乳；いちご牛乳；牛乳車；牛乳色；熱い牛乳</t>
        </is>
      </c>
      <c r="G2131" t="inlineStr">
        <is>
          <t>牛乳配達；牛乳瓶；牛乳パック；牛乳石鹸；牛乳アレルギー</t>
        </is>
      </c>
      <c r="H2131" t="n">
        <v>29</v>
      </c>
      <c r="I2131" t="inlineStr">
        <is>
          <t>一口食べればまるで牛乳を飲んでいるかのような濃厚なミルク感が特徴。；その飲んでいる写真が新聞の記事になり牛乳会社の目に止まった。；妊娠中に牛乳を多く飲むと子供の身長が高くなるという研究結果がある。；牛乳やチーズは一般的な製品で、肉や卵のために鶏や鳩が飼われていた。；牛乳は、多くの家庭の平日の食事で子供も大人も飲む日常的飲料である。；また、朝に飲む牛乳といった小さなアイテムを交換してくれることもある。；技術的には木、米、生ゴミ、牛乳等からも製造可能であるとされている。；日本ではあまり目にしないが、韓国にはバナナ牛乳という人気商品がある。；彼は求職がうまく行かずに空腹となり、光が丘の牛乳を漁っていたのだ。；また、1895年には牛乳の購入が記録されている点も注目される。；ただし日本同様、現在の中国でも酪農と牛乳は一般に普及している。；大豆は、牛乳や卵と同等の良質なタンパク質であるとの評価を得ている。；中世の台所では、牛乳はすぐに腐敗するので、常食として置かれていた。；チーズ生産は、過剰生産された牛乳の消費手段という側面も持っている。；こうした人口の増加が牛乳の流通構造の変化を生じさせた。；それよりも牛乳中の溶存酸素の量が酸化や風味に影響するといわれる。；後者の場合には、牛乳を常飲することで活性が再び上昇する可能性がある。；客車扱いされていた小荷物車で小包、馬、牛乳などを急行輸送していた。；牛乳の生産も重要になっており、乳牛の保有量は州内の半分近い。；かつては学校給食の牛乳としてよく提供されていたが、現在は停止している。；イギリスで一般的な種類の牛乳入り紅茶と比べ、牛乳の量が多いことが特徴。；タンパク質の含有率が他の穀物と比べて多く、その構成は牛乳と似ている。；郡の西部と北部はその経済要素として農業が強く、牛乳では州内最大の生産郡である。；「淡路島牛乳」ブランドの牛乳やその他の乳製品を生産・販売していた。；牛乳に酵素を加えカードとした後にアオカビをまぜ、さらに塩も加える。；小さい頃から牛乳が好きで毎日飲んでいたが、家族も背が高いので遺伝だと言っている。；例えば牛乳計は、乳製品で使用するために特別設計された浮秤である。；その時群集の中から一人の男が現れ、「牛乳泥棒は私です」と叫んだ。；これは乳糖不耐症の人々の為にラクトースを分解した牛乳を作るのに使われている。</t>
        </is>
      </c>
      <c r="J2131">
        <f>HYPERLINK("https://www.weblio.jp/content/牛乳", "词义详情")</f>
        <v/>
      </c>
      <c r="K2131">
        <f>HYPERLINK("https://yourei.jp/牛乳", "查看例句")</f>
        <v/>
      </c>
    </row>
    <row r="2132">
      <c r="A2132" t="inlineStr">
        <is>
          <t>窮乏</t>
        </is>
      </c>
      <c r="B2132" t="inlineStr">
        <is>
          <t>成功</t>
        </is>
      </c>
      <c r="C2132" t="inlineStr">
        <is>
          <t>読み方：きゅうぼう
［名］(スル)金銭や物品が著しく不足して苦しむこと。「生活が—する」</t>
        </is>
      </c>
      <c r="D2132" t="inlineStr">
        <is>
          <t>窮乏化(7%)；窮乏生活(3%)；窮乏状態(2%)；窮乏期</t>
        </is>
      </c>
      <c r="E2132" t="inlineStr">
        <is>
          <t>貧乏；赤字；貧困；困窮；貧</t>
        </is>
      </c>
      <c r="F2132" t="inlineStr">
        <is>
          <t>経済的窮乏；罪悪及び窮乏；ひどく窮乏</t>
        </is>
      </c>
      <c r="H2132" t="n">
        <v>29</v>
      </c>
      <c r="I2132" t="inlineStr">
        <is>
          <t>秋になって、ぼくは以前にもまして窮乏生活を強いられることになった。；羅馬の財政は、この帝の当時、非常なる窮乏を告げてきたのであります。；なるほど彼のホテルから見ても、それはおそろしい窮乏を物語っている。；出版は急速に進められ、窮乏によるストレスからしばらくは解放された。；劉芳は窮乏した生活の中でも志操を守って読書し学問してやまなかった。；その苦役のために、青壮年が奪われて、村の窮乏は恒久化したのである。；私は長い旅をし、そして非常な窮乏に耐え、眠ればこの蝶の夢をみていた。；しかし当時藩の財政が窮乏しており、藩主は工事の実行に反対した。；わたしはこの前のひどい戦争の最中に生まれて、戦後の窮乏の中で育ちました。；窮乏農村には「自治返上」の叫びをさえ挙げている処があるそうである。；私は窮乏生活を送っていたが、また同時に一種の享楽生活を送っていたのである。；貧乏人は窮乏を描いた文芸に接する事によってその心を慰む事が出来る。；とくに死ぬ二、三年まえの窮乏はひどいものだったと聞いています。；しかし窮乏はもう布片も、若干の金をも畝の上に置かせなかった。；夫が無暴な渡航を思立って、見も知らぬ外国へ渡り窮乏したおりのことである。；寛延年間にはすでに窮乏していたとされる藩財政は悪化の一途をたどった。；窮乏はいやが上にせまる、何処の劇場でも対手にはしてくれない。；どんな窮乏にあっても、セント・キルダ住民はいくつかの点で幸運だった。；いうまでもないことだが、私の財政はいっそう窮乏の度を加えた。；したがってこの場合の政策は近隣窮乏化型の政策である。；最も窮乏していた頃、若い娘らがよく自分の後ろをふり返って見るのに彼は気づいた。；慢性的な窮乏状態のなかで、父はすでに積極的に生きる意欲を失っていた。；わたしはそこに飲食の窮乏がないようになどと願いはしない。；従ってかかる個人的行動は窮乏の部類の下に属することは出来ない。；彼女の一生は日々の窮乏との苦いたたかいのうちにすぎ去ったのだ。；そうであるからわれわれは、人々に窮乏に堪えよ、などとは説きはせぬ。；窮乏生活は続いていたが、不思議なことに女官たちの食事は少しずつ改善されている。；あらゆる種類の飢饉と窮乏とが、剣を免れた人間を完全に滅ぼしてしまう。；昔、ひどく窮乏してゐた書生時代から、彼はさういふやり方で生活して居た。</t>
        </is>
      </c>
      <c r="J2132">
        <f>HYPERLINK("https://www.weblio.jp/content/窮乏", "词义详情")</f>
        <v/>
      </c>
      <c r="K2132">
        <f>HYPERLINK("https://yourei.jp/窮乏", "查看例句")</f>
        <v/>
      </c>
    </row>
    <row r="2133">
      <c r="A2133" t="inlineStr">
        <is>
          <t>究明</t>
        </is>
      </c>
      <c r="B2133" t="inlineStr">
        <is>
          <t>成功</t>
        </is>
      </c>
      <c r="C2133" t="inlineStr">
        <is>
          <t>読み方：きゅうめい
［名］(スル)道理や真理をつきつめて明らかにすること。「真相を—する」</t>
        </is>
      </c>
      <c r="D2133" t="inlineStr">
        <is>
          <t>究明する(21%)；究明しよ(5%)；究明機構</t>
        </is>
      </c>
      <c r="E2133" t="inlineStr">
        <is>
          <t>研究；調査；調べ；検討；捜査</t>
        </is>
      </c>
      <c r="F2133" t="inlineStr">
        <is>
          <t>事故原因究明；真実究明；実態究明；究明するため</t>
        </is>
      </c>
      <c r="H2133" t="n">
        <v>29</v>
      </c>
      <c r="I2133" t="inlineStr">
        <is>
          <t>しかし、問題はどの説がはたして妥当かの究明にあるのではありません。；本作の目的は、この屋敷の謎を2人の主人公を使って究明することである。；私は拙い筆をもって、真相を究明すべき責任を自分に課することにした。；産霊のシステムを究明することに喜びを感じ、実験をするヒであった。；研究者としては、「都市と文化の関係を究明すること」をテーマとした。；一つの事実を究明するために私立探偵を雇ったといってもいいだろう。；そしてこの現象の原因はまだはっきりと究明されていないのだ。；日米が日中戦争・太平洋戦争に至った原因を究明していく番組である。；事態の究明および生存者の発見・確保がサムスらの任務となっている。；なんにせよ、キャスターには事態を究明する気がまったくないようだ。；しかし、原因を究明し続けるからと言って、その答えが出ることは稀である。；こうなったら、なんとしてもその原因を究明したいと思っている。；しかし、いずれの事件も現在まで原因の究明および犯人の逮捕には至っていない。；どちらかに原因があるのであろうが、その原因を究明するのが怖い。；事故の原因を究明するための会議は、悲痛な空気の中で始められた。；また、特殊な化学組成を持つ堆積岩の成因を究明した研究でも知られる。；ここの究明に至ると、そこにある新鮮さは不死鳥的なものがあります。；ゾンビ発生の原因を究明するために、一体捕獲することを望んだのだ。；しかし彼の研究は原因の究明に劣らず重要で、深い意味をもっている。；こういう場合に、科学的に原因の究明をやることは、かなり困難な仕事である。；その重要な意味がなんであるか究明しなくてはならない。；爆発する原因が不明の為に、アーチャーに原因を究明するように命令している。；今後の文献調査や議論等で究明されることが期待される。；プログラムがそのまま実行を続けてしまうと問題の原因を究明することが困難となる可能性が高い。；この沈没事故ののち、事故の原因の究明と関係者の裁判が行われた。；故に四書五經の中に、その來歴の徹底的に究明されたものは一部もない。；これは疑惑のままでとどめておいて何にも究明しないほうがよくはないかな?；根本の原因を究明してこそ、全体の把握に至れるというものじゃないか。；明日の婦人の創造力成長への課題は主にこの点への究明にかかっていると思われるのである。</t>
        </is>
      </c>
      <c r="J2133">
        <f>HYPERLINK("https://www.weblio.jp/content/究明", "词义详情")</f>
        <v/>
      </c>
      <c r="K2133">
        <f>HYPERLINK("https://yourei.jp/究明", "查看例句")</f>
        <v/>
      </c>
    </row>
    <row r="2134">
      <c r="A2134" t="inlineStr">
        <is>
          <t>給与</t>
        </is>
      </c>
      <c r="B2134" t="inlineStr">
        <is>
          <t>成功</t>
        </is>
      </c>
      <c r="C2134" t="inlineStr">
        <is>
          <t>読み方：きゅうよ
［名］(スル)
１給料。官公庁・会社などで支給される給料・諸手当の総称。
２金品などをあてがい与えること。また、そのもの。「制服を—する」</t>
        </is>
      </c>
      <c r="D2134" t="inlineStr">
        <is>
          <t>給与支払；給与体系；給与未払い；給与等；給与地</t>
        </is>
      </c>
      <c r="E2134" t="inlineStr">
        <is>
          <t>提供；供給；報酬；給料；賃金</t>
        </is>
      </c>
      <c r="F2134" t="inlineStr">
        <is>
          <t>平均給与；公務員給与；秘書給与；給与遅配；給与以外</t>
        </is>
      </c>
      <c r="G2134" t="inlineStr">
        <is>
          <t>給与所得者；給与所得；給与計算；給与等級；給与明細</t>
        </is>
      </c>
      <c r="H2134" t="n">
        <v>29</v>
      </c>
      <c r="I2134" t="inlineStr">
        <is>
          <t>従業員側は経営側に日本人駐在員の給与を公表するよう迫ったとされる。；これは日官労が当時参加していた官庁給与共闘を発展させたものである。；また給与の一部は強制的に預金させられるなど、利用条件が設けられた。；ある時点ではアメリカ連合国から給与を受け取っていた可能性がある。；これらの土地には代わりに定額給与を受け取る国家の役人らが任命された。；連隊の給与から3万ドルを抑えて部隊を東部の戦場に移動させる提案をした。；上流貴族だけでなく、中下流貴族もまた数千万円の給与を得ていた。；給与体系等は不明だが、アルバイトや貧乏暮らしをしている怪人も多い。；また人件費削減も頻繁に行われており、選手給与も大きく変遷している。；江戸時代の武士の給与体系は石高制であり、基本的に米で支給されていた。；それは彼女の仕事の重要性を認めてはいたが、相変わらず給与は無かった。；大半の消費財の価格を自由化し、国の各部門の職員給与の額に上限を設けた。；数十人の架空のアシスタントを立て、給与を水増ししていたとされている。；そのため、給与された恩賞に対する不満は常に潜在していたと言ってよい。；なお、食堂を利用する場合はその場での支払では無く給与から天引きとなる。；マッチの上限を金額ではなく授業員の給与額の一定割合とする会社もある。；ポーは大砲の弾を準備する特別技術兵に昇進し、給与も二倍になった。；公務員に採用された場合、大学卒業者と同等の給与棒が適用される。；なお、当チームは給与未払いによりACLへの参加権が剥奪されている。；学生も警察職員であることから、地方公務員法に基づき給与が支給される。；憲兵になるには志願によったが、給与が高いことから応募は多かった。；また、彼はインフレーション率に応じて議員給与を下げようと提案していた。；従業員は給与明細を参照することでも給与体系を知ることが出来る。；特別給も比較方法は一般給与と同じだが、単位に年間支給割合を用いる。；給与支払いの遅れが重なり、元から低い将兵の士気もますます低下した。；その結果、末端の兵士は不十分な装備と給与未払いに苦しむことになる。；給与ベースが低いため、結婚を機に他業界に転職する男性職員も少なくない。；例えば、1783年に兵士の給与のために80万ドルの借用書を発行した。；これらの給与は数世紀前に設定され、1日あたりの生活費を反映する。</t>
        </is>
      </c>
      <c r="J2134">
        <f>HYPERLINK("https://www.weblio.jp/content/給与", "词义详情")</f>
        <v/>
      </c>
      <c r="K2134">
        <f>HYPERLINK("https://yourei.jp/給与", "查看例句")</f>
        <v/>
      </c>
    </row>
    <row r="2135">
      <c r="A2135" t="inlineStr">
        <is>
          <t>急用</t>
        </is>
      </c>
      <c r="B2135" t="inlineStr">
        <is>
          <t>成功</t>
        </is>
      </c>
      <c r="C2135" t="inlineStr">
        <is>
          <t>読み方：きゅうよう
急ぎの用事。「—ができる」</t>
        </is>
      </c>
      <c r="D2135" t="inlineStr">
        <is>
          <t>急用があったら；急用気動車</t>
        </is>
      </c>
      <c r="E2135" t="inlineStr">
        <is>
          <t>急ぎ</t>
        </is>
      </c>
      <c r="H2135" t="n">
        <v>29</v>
      </c>
      <c r="I2135" t="inlineStr">
        <is>
          <t>それに急用でも出来たのなら電話一本でも事務所に連絡を入れるはずだ。；あの二人は、ホテルに着いてすぐ、奥さんの方に急用が出来てしまった。；明日の処刑のことで急用があって、警察から派遣されてきた者だと言った。；ドアの外にいる誰かは、何か急用があって訪ねてきたのかもしれない。；彼女は急用ができたからと受診をキャンセルして、家に帰ってしまった。；元々別のメンバーが急用で出られなくなり、直前に代役として出場した。；急用のときは仕方なく飛行機に乗るが、時間があるときには列車を利用する。；急用ではないが、ちょっと用があって出たのだと真面目に答えました。；電話をかけても、急用と言っているから、会社にいない可能性が高い。；そこで、日本行きの急用ができたばあいには、こんな手が用いられている。；もし急用ができてこられなくなったのなら、電話くらいはくれるはずである。；それが、急用ができたからといって参加を取りやめたような気がする。；翌日、男は娘に急用が出来て数日でかけなければならくなったと話す。；「急用だそうですよ」といわれると、起きないわけには、いかなかった。；実は、警部も一緒に来る筈だったんだが、急用があって、来られなくてね。；それだけだったら、何か急用ができたのだろうくらいで済ませられる。；先に帰った男が、途中で急用を思いついて、ホテルへ、先廻りしている。；はたまた、急用でかけてきている会社の同僚からかもしれないではないか。；現場へ出ている時に役員連絡が入るのは、よほどの急用に違いない。；手をつないでスーパーマーケットに向かいながら、急用の電話のときは?；おれは急用じゃないのでと言葉を濁し、礼をいって次の店にかけ直す。；七時にこのマンションで会うと言ったあと、靖子には急用ができた。；着いたとしたならば、その上に何の急用あっての金だろうか。；ぼくは前から待っていた弁護士二人を、急用だからといって飛ばして前へ進んだ。；ドアなんか開けちゃいけないと思ったんだけど、何んか急用でも出来たんだと思ったのよ。；出来得るならばどうか二十日程の間にこちらに帰って来たいと思って居るほどの急用。；東京から西に親類はなく、急用のできた心当りも関係者にはまったくない。；そこには、急用が出来たので出掛ける、夕飯は食べてくると書かれていた。；工事人には急用が出来たからと断わって善助と有馬は湯俣へ下りはじめた。</t>
        </is>
      </c>
      <c r="J2135">
        <f>HYPERLINK("https://www.weblio.jp/content/急用", "词义详情")</f>
        <v/>
      </c>
      <c r="K2135">
        <f>HYPERLINK("https://yourei.jp/急用", "查看例句")</f>
        <v/>
      </c>
    </row>
    <row r="2136">
      <c r="A2136" t="inlineStr">
        <is>
          <t>休養</t>
        </is>
      </c>
      <c r="B2136" t="inlineStr">
        <is>
          <t>成功</t>
        </is>
      </c>
      <c r="C2136" t="inlineStr">
        <is>
          <t>読み方：きゅうよう
［名］(スル)仕事などを休んで、気力や体力を養うこと。「温泉で—する」</t>
        </is>
      </c>
      <c r="D2136" t="inlineStr">
        <is>
          <t>休養明け(3%)；休養中(3%)；休養後(2%)；休養日；休養期間</t>
        </is>
      </c>
      <c r="E2136" t="inlineStr">
        <is>
          <t>休み；休止；休息；休む；休</t>
        </is>
      </c>
      <c r="F2136" t="inlineStr">
        <is>
          <t>自然休養；あと休養；放牧休養；年内休養；判明し休養</t>
        </is>
      </c>
      <c r="G2136" t="inlineStr">
        <is>
          <t>休養王座</t>
        </is>
      </c>
      <c r="H2136" t="n">
        <v>29</v>
      </c>
      <c r="I2136" t="inlineStr">
        <is>
          <t>これが影響したのか姫路でレースを使われる予定も回避し、休養に入る。；翌日より胃の上部に生じた癌の治療のためチームを離れ休養に入った。；患者がよく休養を取った後に治療を開始することが大切なのである。；休養後、グループはスタジオに戻り新しいアルバムの制作に取り掛かる。；半年間休養した後、にっかつ撮影所に入社し、勤務しながら脚本を学ぶ。；間もなく、身分の高い湯治客がムゲンドルフへ休養に来るようになった。；故障が多いので左投手が先発するときは休養を取りながらプレーした。；春シーズンの出走はこれが最後となり、休養に入ることとなった。；同地域はまた八方自然休養林にも指定されており自然の宝庫である。；縫合手術を受け、思わぬ形で再度の休養を強いられることになった。；休養を経て、このころには従来の線の細さが解消されつつあった。；しかし後に喘鳴症を患い、この治療のために長期の休養を余儀なくされた。；その後はJBCクラシックを目指していたが、骨瘤を発症し休養に入る。；しかし、国内では無類の強さを誇り、休養を経てから帝王賞を勝利する。；スペイン艦隊は準備ができておらず、フランス艦隊は休養を必要としていたからである。；競走後には大型馬ゆえに持病としていた裂蹄が慢性化し、休養に入る。；この地区では観光と休養地の開発を行なう企業が待ち望まれている。；但し症状は軽く、1ヶ月間の休養で3月の100周年記念杯に出走した。；以降も故障と休養を繰り返したが、その間も勝ちきれないものの善戦をしていた。；その後、有馬記念出走を目指していたが調教中に骨折し、休養に入った。；藤井は大臣辞職後、しばらくは休養に専念した後に政治活動を再開した。；当年はこれでシーズンを終え、翌年のクラシック戦線に向け休養に入る。；翌日の検査で喉に肉芽腫が発見され、治療のため半年間休養した。；休養の後、一時的に体の機能が高まることがあり、超回復期と呼ばれる。；自宅で休養をとるバフィーの前にケイレブの姿をしたファーストが現れる。；精神的な理由で6年間の休養生活に入り、表舞台から姿を消した。；この辺りには大企業が存在しておらず、綺麗な環境の休養地が保存されている。；休養回復の間に彼は幾つかの新曲を書き、バンドの方向性を熟考した。；翌日に行われた精密検査で左第3指骨々折が判明、1年間の休養に入る。</t>
        </is>
      </c>
      <c r="J2136">
        <f>HYPERLINK("https://www.weblio.jp/content/休養", "词义详情")</f>
        <v/>
      </c>
      <c r="K2136">
        <f>HYPERLINK("https://yourei.jp/休養", "查看例句")</f>
        <v/>
      </c>
    </row>
    <row r="2137">
      <c r="A2137" t="inlineStr">
        <is>
          <t>急落</t>
        </is>
      </c>
      <c r="B2137" t="inlineStr">
        <is>
          <t>成功</t>
        </is>
      </c>
      <c r="C2137" t="inlineStr">
        <is>
          <t>読み方：きゅうらく
［名］(スル)物価や相場などが急激に下がること。「株価が—する」⇔急騰。</t>
        </is>
      </c>
      <c r="D2137" t="inlineStr">
        <is>
          <t>暴落；急降下；惨落</t>
        </is>
      </c>
      <c r="H2137" t="n">
        <v>29</v>
      </c>
      <c r="I2137" t="inlineStr">
        <is>
          <t>ロシアが必死にドルを買うよう要請したためルーブルは急落に陥った。；この発表を受け、学習塾を経営する企業などの教育関連の株が急落した。；その後まではまずまずの数字を残していたが、になって成績が急落。；風間の話を信じる気持ちは僕の中で〇・三パーセント程度にまで急落した。；これらの山はとても急峻であり、斜面は町に向かって急落している。；ところが、この事件から程なくして急落したはずの支持率が元に戻っている。；こうすれば城兵の士気は急落して、城はすぐにでも自落すると考えたのである。；以上のことが明らかにされると、ヴェリコフの命の値段は急落した。；プラネット・ハリウッドが急落した要因としては、次の点が指摘されている。；決定的な証拠こそなかったが、この件により牧場の信用は激しく急落した。；しかし会社は全体としては成功しておらず、彼らの株は急落した。；特に問題となったのが日立鉱山に供給された石炭の質が第二次世界大戦時に入って急落したことである。；しかし後半戦は疲労からか登板のたびに失点することが多く、防御率は急落。；この事件により、同社の株価は急落し、社長交代を迫られることになった。；テレビの視聴率は前半で大差がついたこともあり、後半急落した。；それ以外に1986年初めに原油価格が急落し、交易条件が改善した。；それが地価の急落でたちゆかなくなってしまい、ついに倒産したのだという。；しかし以後は成績が急落し、からまでの3年間勝ち星なしに終わる。；しかしこれで燃え尽きたかのように翌年から成績は急落。；それがあっけなく急落したのは、まず、連年の戦の負担が限界に達していたためだ。；その後、出来高が小さくなる時は、たいてい株価は急落している場合が多い。；森を離れたとたんに道は急落していて、その下に四方山にかこまれた盆地があります。；この日は取引開始直後から急落を起こした。；しかし、少なくとも5位までには指名されるだろうと思われていた評価は、怪我の影響で急落してしまった。；打撃では打率が急落し、本塁打、打点などでも数字を大きく落とした。；通貨マナトが対米ドルで急落しており、年を追うごとに数値は低くなっている。；彼の異端性が明らかになると、会衆は寄り付かなくなり、寄付も急落した。；しかし、その厳しい内容から訴訟や問題も多く、80年代に入ると人気が急落。；大抵はUFOと誤解されるような軌道を描くか、途中まで飛んでから、地面に急落するか。</t>
        </is>
      </c>
      <c r="J2137">
        <f>HYPERLINK("https://www.weblio.jp/content/急落", "词义详情")</f>
        <v/>
      </c>
      <c r="K2137">
        <f>HYPERLINK("https://yourei.jp/急落", "查看例句")</f>
        <v/>
      </c>
    </row>
    <row r="2138">
      <c r="A2138" t="inlineStr">
        <is>
          <t>胡瓜</t>
        </is>
      </c>
      <c r="B2138" t="inlineStr">
        <is>
          <t>成功</t>
        </is>
      </c>
      <c r="C2138" t="inlineStr">
        <is>
          <t>読み方：きうり
⇒きゅうり（胡瓜）</t>
        </is>
      </c>
      <c r="D2138" t="inlineStr">
        <is>
          <t>胡瓜漬；胡瓜もみ；胡瓜みたい；胡瓜苗</t>
        </is>
      </c>
      <c r="E2138" t="inlineStr">
        <is>
          <t>キュウリ；黄瓜</t>
        </is>
      </c>
      <c r="H2138" t="n">
        <v>29</v>
      </c>
      <c r="I2138" t="inlineStr">
        <is>
          <t>ここにもわずかばかりだが胡瓜の畑を作ってあるのが彼には奥床しかった。；茄子や胡瓜に水をやつてゐる男が、彼女の姿を見て叮嚀にお辞儀をした。；何もない時には胡瓜、ほそ身のもの、これは田舎みそがよいやうである。；この建物の裏で三人の十五、六の少年がしきりに芋や胡瓜を刻んでいた。；胡瓜程の大きさになると、薄い輪切りにして味噌汁の実にして食べる。；庭の隅にほんのちょっぴり茄子と胡瓜を自分で植えては育てていたの。；胡瓜ひとつにしても、日本の胡瓜と外国のそれとでは比べものにもならない。；直子がコーヒーと胡瓜のサンドイッチを彼のテーブルへ持って来た。；土地の農家では胡瓜を大量に塩漬にして一年中の用に備へてゐる。；蟹のような顔をした男と、胡瓜のような顔をした男である。；塩はあったから、魔利は水々した胡瓜の皮に極上のサラドを、空想した。；男はできるだけ卑猥なことを言い、胡瓜でぴちゃぴちゃと女の頬を叩く。；初めは何んとも思はなかつたが、それが二度三度と続けて来ると突然今日食べた胡瓜の事を思ひ出した。；胡瓜の汁の味でも濁川の湯のものなどには比べものにはならない。；心の中には、どうかして胡瓜を食べたのを隠して居る償ひをしようと云ふ気がつきまとつて居た。；だが、なぜ後世渡来の胡瓜をば、水の精霊の好むものと考へたのだらう。；夜の分には、塩鮭の切り身と、それから胡瓜の酢のものを作ろうと思う。；青くさい胡瓜の汁は少しだけ力と勇気とを与えてくれました。；土用の丑の日には、村の農家では胡瓜を海や川に流して河童を祭った。；今日は食べる物がないから砂糖湯を飲む、そして胡瓜を食べる。；熱と光がバケツの内側で反射してその量を増したので、胡瓜を変色させたのだろうか。；胡瓜のサンドイッチは思いきって大きな皿に、かなりの量があった。；「きっと胡瓜の温床がいくつもあるんだわ」とアリスは思いました。；我々は胡瓜と豆腐ばかり食べて、夜になると仕事を始めた。；野菜では、胡瓜とかサラダとか、見た眼に新鮮な感じのするものを好みます。；小さい胡瓜のような形の実に手を触れて、そのはじけるのを喜んだ幼い日のことを思い出す。；胡瓜のサンドイッチのことをお胡瓜と言うのが彼女の癖なのだ、とヨシオは思った。；ここ何日も晴天がつづき、胡瓜やいんげんも疲れたように葉をたらしていた。；泉の水は溢れていさゝ小川をなし、胡瓜などつくれる野の畑へと流れ行く。</t>
        </is>
      </c>
      <c r="J2138">
        <f>HYPERLINK("https://www.weblio.jp/content/胡瓜", "词义详情")</f>
        <v/>
      </c>
      <c r="K2138">
        <f>HYPERLINK("https://yourei.jp/胡瓜", "查看例句")</f>
        <v/>
      </c>
    </row>
    <row r="2139">
      <c r="A2139" t="inlineStr">
        <is>
          <t>給料</t>
        </is>
      </c>
      <c r="B2139" t="inlineStr">
        <is>
          <t>成功</t>
        </is>
      </c>
      <c r="C2139" t="inlineStr">
        <is>
          <t>読み方：きゅうりょう
労働者・使用人などに対して、雇い主が支払う報酬。俸給。</t>
        </is>
      </c>
      <c r="D2139" t="inlineStr">
        <is>
          <t>給料袋；給料未払い；給料支払い；給料分；給料遅配</t>
        </is>
      </c>
      <c r="E2139" t="inlineStr">
        <is>
          <t>報酬；賃金；給与；月給；俸給</t>
        </is>
      </c>
      <c r="F2139" t="inlineStr">
        <is>
          <t>高い給料；安い給料；少ない給料；乏しい給料；高額な給料</t>
        </is>
      </c>
      <c r="G2139" t="inlineStr">
        <is>
          <t>給料泥棒；給料ファクタリング；給料明細</t>
        </is>
      </c>
      <c r="H2139" t="n">
        <v>29</v>
      </c>
      <c r="I2139" t="inlineStr">
        <is>
          <t>彼にとってわずかな給料のために父の下で働くことは不幸なことであった。；給料は袋に入ったまま妻に渡して、必要額だけ妻から受け取っていた。；クラブは財政的な問題を抱えており、選手への給料の遅配などもあった。；国会議員の秘書の給料等に関する法律の全部を改正する形で制定された。；より高い給料はイケア社員への主要な投資であるとイケアは述べている。；会社員時代に自分の給料や周りの環境・上司などに疑問を持つようになる。；犯人は当日校長が給料を取りに行く事を知っていた上での犯行だと思われた。；押川は院長の職に留まるが給料は半減するということで合意が成立する。；ところが給料袋を運んでいる時に山賊に奪われギャリスが殺害される。；フベニールに所属していた時に貰った初めての給料は、全て祖父に渡した。；店やイベントで手に入る資産は保有していると収入が発生し給料に加算される。；とし最大12ヶ月分の給料を支払う金銭解決が用いられると指摘している。；操業も、高い給料で多数のドイツ人技師を雇用した上で開始されている。；それが机を並べて同じ給料をもらうのは、基本的に無理がある。；この先の3か月分の給料を前貸ししてもらうようなことはできない。；給料が高いから中国に行くのではなく、日本に研究者としてのポストがない。；給料に関する限りでは、彼は父が職を辞してから仕事を始めていた。；その理由は、多くの労働者が給料が低いサービス部門で仕事を見つけるからだ。；男女で名称が異なる職業もあるが給料額は同じである。；給料が高く今まで非協力的だった案内係の加入に従来の組合員の中に不満が起きる。；一時期は社長が自分の田畑を処分して従業員の給料を支払っていたという。；当然、協会から出る給料はなく、会長を始め協会役員は無給で働いていた。；両親は慣習的に教員の給料を支払うことを期待されているのである。；給料は200マルクでヴィーガースハウスの下にいた頃の2倍になった。；ただ賞与が出た際には給料から天引きの形で国債を買わされたという。；あげはと小鳥は工場でアルバイトをし、給料分の資材を受け取っていた。；時報の業務から得られる収入でラングレーの給料と研究予算をまかなった。；漫画で得る収入が三越の給料を三倍ほど上回ったことで独立を決意したという。；ただし、彼らのほとんどは、自分の会社から給料をもらっていた。</t>
        </is>
      </c>
      <c r="J2139">
        <f>HYPERLINK("https://www.weblio.jp/content/給料", "词义详情")</f>
        <v/>
      </c>
      <c r="K2139">
        <f>HYPERLINK("https://yourei.jp/給料", "查看例句")</f>
        <v/>
      </c>
    </row>
    <row r="2140">
      <c r="A2140" t="inlineStr">
        <is>
          <t>丘陵</t>
        </is>
      </c>
      <c r="B2140" t="inlineStr">
        <is>
          <t>成功</t>
        </is>
      </c>
      <c r="C2140" t="inlineStr">
        <is>
          <t>読み方：きゅうりょう
１小さな山。おか。
２ゆるやかな起伏の低い山が続く地形。「—地帯」</t>
        </is>
      </c>
      <c r="D2140" t="inlineStr">
        <is>
          <t>丘陵地帯(19%)；丘陵上(5%)；丘陵部(5%)；丘陵コース；丘陵地域</t>
        </is>
      </c>
      <c r="E2140" t="inlineStr">
        <is>
          <t>丘；岡；ヒル；高岡；高丘</t>
        </is>
      </c>
      <c r="F2140" t="inlineStr">
        <is>
          <t>低い丘陵；独立丘陵；小丘陵；緩やかな丘陵；小高い丘陵</t>
        </is>
      </c>
      <c r="H2140" t="n">
        <v>29</v>
      </c>
      <c r="I2140" t="inlineStr">
        <is>
          <t>山地を背にし海に面しており、丘陵地帯を中心とした地勢となっている。；駅の周辺は帷子川の流れる谷の底で南北ともに丘陵地帯となっている。；丘陵地が多く、古代より多くの都市が防衛のため丘陵上で営まれてきた。；四方を山や丘陵に囲まれた高原であり、起伏豊かな地形を形成している。；古墳時代後期の6世紀になると丘陵地帯に古墳が作られるようになった。；南北方向に長い丘陵や渓谷は、動物や植物の種の多さに寄与している。；南側の低丘陵には福原要害城があり、こちらを福原城とする資料もある。；翌年夏に完成し、里山地形を活かした丘陵コース18ホールが登場した。；北部・西部は吉備高原の南部に位置し、南部もまた丘陵地帯を形成している。；山や丘陵の上り坂に設定されたコースを走るタイムレースである。；元来は砂丘だった場所に設置されたコースゆえ基本的には丘陵コースになる。；なお、多数の丘が連続して存在している所のことを丘陵という。；つまり、山岳や丘陵の斜面では河谷とは逆に「陽」は南側斜面にあたる。；丘陵地帯を中心に、江戸時代以前から平成にかけて採掘が行われていた。；面積の大部分を山林が占め、丘陵間の谷地は田畑として利用されていた。；西部には丘陵が存在するが、国土の最高地点でも749mにすぎない。；次に、半島西部のルートを海岸寄りにするか、丘陵部にするかが検討された。；さらにトゥムラック丘陵にはいくつかの墓地と第二次大戦の碑がある。；仙台市都心部から見て南にある、南北に長い高館丘陵の東側斜面にあった。；集落間の争いを避けるために丘陵に移住したとされる。；ホーム部分は丘陵を切り崩して作られたため、掘割構造となっている。；この地に城が構えられていた時代は、丘陵は河口に突き出していた。；この両丘陵の間を七北田川に沿って河岸段丘による平地が東西に広がる。；町の北西部に丘陵地帯があり、その他は平坦な地形になっている。；州東部の主要な町の多くがこの丘陵線に沿ってある。；城と丘陵で囲まれた地域は武家地となり、丘陵には切通しが開かれた。；西部には標高400メートルほどの丘陵が発達する山林地帯を有している。；駅はルィビヂ川によって形成された丘陵地帯の上に位置している。；そこはより温暖な気候の丘陵地帯で、県人口の多くが集中している。</t>
        </is>
      </c>
      <c r="J2140">
        <f>HYPERLINK("https://www.weblio.jp/content/丘陵", "词义详情")</f>
        <v/>
      </c>
      <c r="K2140">
        <f>HYPERLINK("https://yourei.jp/丘陵", "查看例句")</f>
        <v/>
      </c>
    </row>
    <row r="2141">
      <c r="A2141" t="inlineStr">
        <is>
          <t>ぎゅっと</t>
        </is>
      </c>
      <c r="B2141" t="inlineStr">
        <is>
          <t>成功</t>
        </is>
      </c>
      <c r="C2141" t="inlineStr">
        <is>
          <t>［副］強く力を入れて締めたり握ったりするさま。「タオルを—しぼる」「—抱きしめる」</t>
        </is>
      </c>
      <c r="D2141" t="inlineStr">
        <is>
          <t>ぎゅっと握りしめ(7%)；ぎゅっとつかん(3%)；ぎゅっと抱きしめ(3%)；ぎゅっと目を閉じ(2%)；ぎゅっと握り締め(2%)</t>
        </is>
      </c>
      <c r="E2141" t="inlineStr">
        <is>
          <t>しっかり；ぴったり；密接；ぴたり；ぴたりと</t>
        </is>
      </c>
      <c r="F2141" t="inlineStr">
        <is>
          <t>唇をぎゅっと；腕をぎゅっと；目をぎゅっと；拳をぎゅっと；両手でぎゅっと</t>
        </is>
      </c>
      <c r="H2141" t="n">
        <v>29</v>
      </c>
      <c r="I2141" t="inlineStr">
        <is>
          <t>こんな人がと思うと、怒りが私のなかでぎゅっと凝縮して言葉となった。；それでね、あの人あたしの両手をぎゅっと握って、こう言ってくれたの。；口をぎゅっと結んでテーブルに座っているルーシーを配慮してのことだ。；そして手をたたきそうになったのをやっとのことでぎゅっと握りしめた。；しかし直後、ぎゅっと一度強く瞬きし、鋭い声で集声器に向けて叫んだ。；信用すらしていない青年の肩に隠れて、アトリはぎゅっと目をつぶった。；彼は私のからだに巻きつけていた片手へぎゅっと力こめて答えた。；ぎゅっと丸まっていたので、どこに頭があるのかもわからなかったそうだ。；何か隠し物でもあるのか、右の手を後の方へぎゅっと廻して放さなかった。；良はその目に耐えられず、震えながらぎゅっと目を閉じてしまった。；地面に座ったまま、口をぎゅっと結び、血の気の失せた顔で震えていた。；目に見えぬ網が身を包み、ぎゅっと絞りこまれてくるのを肌で感じていた。；返事のかわりにぎゅっと抱きしめてやってから、お初は身体を起こした。；アスナは言葉にできない感情に打たれ、両手を胸の前でぎゅっと握った。；俺は桜花の悲しそうな横顔を見つめて、その手をぎゅっと握ってやった。；その手をぎゅっと握ってから、やっとシリカも少しだけ笑うことができた。；小夜は、ぎゅっとつぶった目のうらに広がる闇を、じっと見つめていた。；傍らにいたなでしこが少年の手をぎゅっと握って励まし続けてくれた。；外は新緑にむせるようで、彼女の感情がぎゅっと圧搾されたこともある。；一度ぎゅっと目を閉じて、それからしっかりと見開き、蓉子の顔を見た。；口を手で覆い、眉をぎゅっと寄せて何かを我慢するような顔を作る。；他人の体にできた傷を、ぎゅっと押さえることで、自分の体に移動させる。；そのときを待っていたかのように、杖のさきをぎゅっとつかまれた。；太い眉をしかめ、大きな口をぎゅっとひき緊めるのが、彼の癖であった。；ふとそんな気がして、心臓が氷を当てられたようにぎゅっと縮んだ。；もう痛いのが胃だかどこだか判らなくなり、右手でぎゅっと胸を掴んだ。；おそるおそる彼女の横顔を窺うと、眉を寄せてぎゅっと目を閉じている。；ぎゅっと握った両手は前にいる大人の服を掴み、小さな口は半分開いたままだ。；直葉は両手を膝の上でぎゅっと握り、眼を見開いて和人の顔を見つめた。</t>
        </is>
      </c>
      <c r="J2141">
        <f>HYPERLINK("https://www.weblio.jp/content/ぎゅっと", "词义详情")</f>
        <v/>
      </c>
      <c r="K2141">
        <f>HYPERLINK("https://yourei.jp/ぎゅっと", "查看例句")</f>
        <v/>
      </c>
    </row>
    <row r="2142">
      <c r="A2142" t="inlineStr">
        <is>
          <t>寄与</t>
        </is>
      </c>
      <c r="B2142" t="inlineStr">
        <is>
          <t>成功</t>
        </is>
      </c>
      <c r="C2142" t="inlineStr">
        <is>
          <t>読み方：きよ
［名］(スル)社会や人のために役に立つこと。貢献。「世界平和に—する」</t>
        </is>
      </c>
      <c r="D2142" t="inlineStr">
        <is>
          <t>寄与すること(13%)；寄与できる；寄与する可能性；寄与度；寄与しうる</t>
        </is>
      </c>
      <c r="E2142" t="inlineStr">
        <is>
          <t>役割；サービス；扱い；勤務；有効</t>
        </is>
      </c>
      <c r="F2142" t="inlineStr">
        <is>
          <t>大きな寄与；多大な寄与；直接寄与；著しく寄与；何らかの寄与</t>
        </is>
      </c>
      <c r="G2142" t="inlineStr">
        <is>
          <t>寄与分；寄与危険度；寄与危険；寄与危険割合</t>
        </is>
      </c>
      <c r="H2142" t="n">
        <v>29</v>
      </c>
      <c r="I2142" t="inlineStr">
        <is>
          <t>フランスの芸術に寄与したことにより、会員に選出された日本人がいる。；一方でオズボーンの寄与にはほとんど評価を受けていないものもある。；江戸時代に柔道整復術の体系化に寄与した人物として以下があげられる。；軍隊の持つ多様な能力も原則的にこの機能に寄与するためにある。；この最後の反応にもアルコール脱水素酵素が逆反応の形で寄与している。；この観測は発見には寄与していないが、正確な軌道を求めるのに貢献している。；更に言えば、かまどの発達は文明の発達に大きく寄与したとも考えられる。；基礎心理学の知見を活かして現実生活上の問題の解決や改善に寄与する。；エレギーアの発展にこの二人の詩人が寄与した部分は確かに大きい。；日本の工業教育の研究および発展に寄与することを目的とする。；この突起は嗅覚の発達や鳴き声の増大などに寄与したと考えられている。；沖縄県では大手の企業であるため、文化事業等の協賛にも寄与している。；南北方向に長い丘陵や渓谷は、動物や植物の種の多さに寄与している。；戦闘力こそ高くないものの、パイロットの生存率の向上に寄与している。；第4師団はコレヒドール島上陸に成功し同攻略戦の勝利に大きく寄与した。；運動は四肢を中心に行われるようになり、尾の寄与は少なくなった。；これは単にデザインだけではなく、空気抵抗の減少にも大きく寄与している。；屯倉の発展に犬養部の設置が大きく寄与していたことが考えられる。；また、関係諸方面と協力して学術文化の向上発展に寄与することを目的とする。；イズニク陶器の発達には、このことが大きく寄与していると言われている。；範頼の活動は日本史上初の東国政権の成立に大きく寄与したのである。；ただ一部は徴用されずに国内に残留し、戦後の生産に寄与することとなった。；もし単一の寄与構造がこれを達成できないならば、共鳴が利用される。；国内の文化財の研究や運用に寄与する全ての職員の養成に協力する。；各種研究機はソ連の航空機技術の発展に大きく寄与した。；こうした環境・器材は工業材料の開発だけでなく、創薬にも寄与する。；これは宇宙の研究と理解のために寄与した人物、団体に贈られる。；実験社会心理学の発展に寄与し、情動の二要因理論の提唱で知られる。；しかしこのルートは1往復しか運行されず利便性にはほとんど寄与しなかった。</t>
        </is>
      </c>
      <c r="J2142">
        <f>HYPERLINK("https://www.weblio.jp/content/寄与", "词义详情")</f>
        <v/>
      </c>
      <c r="K2142">
        <f>HYPERLINK("https://yourei.jp/寄与", "查看例句")</f>
        <v/>
      </c>
    </row>
    <row r="2143">
      <c r="A2143" t="inlineStr">
        <is>
          <t>清い</t>
        </is>
      </c>
      <c r="B2143" t="inlineStr">
        <is>
          <t>成功</t>
        </is>
      </c>
      <c r="C2143" t="inlineStr">
        <is>
          <t>読み方：きよい
［形］［文］きよ・し［ク］
１よごれ・にごり・くもりなどがなく美しい。「谷川の—・い流れ」「月が—・く澄み渡る」
２心に不純なところがない。清廉潔白である。「—・い関係」「—・き一票」
３態度がきっぱりしていさぎよい。思いきりがよい。「—・く別れる」
４（「聖い」とも書く）おかしがたい雰囲気である。神聖である。「—・しこの夜」
「神奈備の—・き御田屋(みたや)の垣つ田の」〈万・三二二三〉
５（連用形を副詞的に用いて）残すところのないさま。
「—・う忘れてやみぬる折ぞ多かる」〈枕・二七六〉
[派生]きよげ［形動］きよさ［名］</t>
        </is>
      </c>
      <c r="D2143" t="inlineStr">
        <is>
          <t>清い心(5%)；清い水(5%)；清いもの(3%)；清い泉(2%)；清い交際</t>
        </is>
      </c>
      <c r="E2143" t="inlineStr">
        <is>
          <t>純粋な；透明な；澄んだ；清潔な；清らかな</t>
        </is>
      </c>
      <c r="F2143" t="inlineStr">
        <is>
          <t>清い霊気；清い生活；清いまま；ぬ清い；清い仲</t>
        </is>
      </c>
      <c r="H2143" t="n">
        <v>29</v>
      </c>
      <c r="I2143" t="inlineStr">
        <is>
          <t>それゆえに私の生涯は実に前の生涯より清い生涯になったかも知れませぬ。；この清く健かになった心を持って、新しく地上の生活に参加し活動する。；私のいろいろな仕事を見ている姉は、いつも清い美しい目をしていた。；弱かったがしかし清かった一二年前の生活が眼の前に浮かんで通った。；第一、今まで中学生に馬鹿にされるぐらいの清い交際を続けてきたんだ。；目的の焼鳥に到達するまでは、断じて身を清くしておかなくてはならぬ。；俺だって今日までいつも清く正しく生きて来たわけじゃないんだから。；おまえさまにはお心がお清いゆえ、人の悪心がお見えになりませぬのじゃ。；清い心をもってその路を歩めば、人を幸せにできるのだと信じていた。；女子 はい、その娘の体は、今もなお鈴蘭のように清い体でござります。；しかし己れを清くするのは、それによって他をも清めんためではないか。；かれは灌木をくぐり水ぎわへ降りて、比較的に清い水を一杯くんで来た。；清からは三個の大恩を受けており、私はその恩を忘れた日はありません。；そんな、あんたのいうように清い恋やったら交際してもええやないか。；貧しく小さな仕事とはいえ、出来る紙は強く正しく清いものであります。；わたしは若い人たちが、清くあってくれることを願わずにいられない。；才能豊かな人は、このロシアでは、身を清くしてはいかれないのよ。；そしてその美しさは清い美しさだと云う事もよく知っていた。；二二五 土のけがれを知らぬ魂が、客としてやって来た、清い世界から。；中央の神殿は心の清い男女しか入ることができないように囲いがされている。；そのうち幾人かの人々は、裸足で清く澄んだ水の中を歩きだしました。；皆の内で杉子は図ぬけて美しいばかりではなく、清い感じがしていた。；弟の手がそっとうしろから彼女の清い眉の上を蔽うたこともある。；結婚前には心を張り、体を清くして、美しい恋愛に用意していなければならぬ。；江戸時代に清から日本に伝えられ、西日本でわずかに栽培されている。；清い友情とやらがどこまで続くのか、確かめさせてもらおうじゃないの。；空には清い日の光が放射し、地上には輝かしい生活が初められている。；このロボットは、この湖を管理し、水を清く保つ機械の番をしておる。；いつまでもいつまでも清く美しくありたいという夢があったのです。</t>
        </is>
      </c>
      <c r="J2143">
        <f>HYPERLINK("https://www.weblio.jp/content/清い", "词义详情")</f>
        <v/>
      </c>
      <c r="K2143">
        <f>HYPERLINK("https://yourei.jp/清い", "查看例句")</f>
        <v/>
      </c>
    </row>
    <row r="2144">
      <c r="A2144" t="inlineStr">
        <is>
          <t>今日</t>
        </is>
      </c>
      <c r="B2144" t="inlineStr">
        <is>
          <t>成功</t>
        </is>
      </c>
      <c r="C2144" t="inlineStr">
        <is>
          <t>読み方：きょう
１今過ごしている、この日。本日。こんにち。「選挙は—行われる」
２その日と同じ日付や曜日の日。「来年の—会いましょう」</t>
        </is>
      </c>
      <c r="D2144" t="inlineStr">
        <is>
          <t>今日限り；今日明日；今日あたり；今日はじめて；今日我々</t>
        </is>
      </c>
      <c r="E2144" t="inlineStr">
        <is>
          <t>現在；今；現代；近年；最近</t>
        </is>
      </c>
      <c r="F2144" t="inlineStr">
        <is>
          <t>今日午後；今日でもまだ；今日ハ；きのう今日；今日顧みられる</t>
        </is>
      </c>
      <c r="G2144" t="inlineStr">
        <is>
          <t>今日この頃；今日だけは；今日の出来事；今日も一日；今日出海</t>
        </is>
      </c>
      <c r="H2144" t="n">
        <v>29</v>
      </c>
      <c r="I2144" t="inlineStr">
        <is>
          <t>アメリカ合衆国のポピュラー音楽が今日に至るまで与えた影響は大きい。；この標本が今日知られている全てのユーカリ属の種の基準となっている。；今日ではあまり行われていないスタイルも、過去には数多く存在していた。；これは今日の日本で一般にイメージされる家系図とは異なるものであった。；今日の科学では合理的に説明できない超自然な能力を指すための名称。；トルコの南東にある今日のディヤルバクルの東側および南側に相当する。；こちらが今日も使われているポルトランドセメントと同じものである。；その結果起こった様々な出来事は今日までも論争の的になっている。；今日にも残る結婚式などでの忌み言葉も言霊の思想に基づくものである。；その後も研究が進み、今日では非常に様々な種類のダイオードが存在する。；今日の英国王位継承権を保持する人物は、全員がゾフィーの子孫である。；今日考えられている各『阿含経』の所持部派を示すと以下のようになる。；今日でも高年齢層のなかにはペンシルベニアドイツ語を話す人々が多い。；今日、ライプツィヒ市での戦闘のコースはモニュメントで示されている。；今日では反応の種類に応じて多くの種類の触媒が開発されている。；今日でも、速度を必要としない機器はこのモードのみをサポートする。；今日ではシミュレーションといえば後者のことをさす場合が圧倒的に多い。；今日に続く日本人の生活様式もこの時代にルーツが求められるものが多い。；これらのほとんどは、今日ではまったく効果がないことが明らかになっている。；今日、技術革新の成果を取り入れた蒸気自動車が再び開発されつつある。；瀬戸内海は縄文時代から今日に至るまで、多様な漁業の場となってきた。；今日の人口の大部分はあの当時子どもだったか、まだ生まれてもいませんでした。；その際に沈降によって形成された大陸棚は今日でも海面下に残っている。；日本民俗学の開拓者であり、多数の著作は今日まで重版され続けている。；これは今日でも映画館を劇場と呼称したりすることからも窺える。；その後フグ食の文化は山口県を中心に全国でも復活し、今日に至っている。；今日見られる自転車である安全型自転車が作られたのは1885年である。；だが、ラテン語が今日の欧州で重視されているとまでいうことはできない。；最初の新聞は1873年に発行され、今日では何百もの印刷所がある。</t>
        </is>
      </c>
      <c r="J2144">
        <f>HYPERLINK("https://www.weblio.jp/content/今日", "词义详情")</f>
        <v/>
      </c>
      <c r="K2144">
        <f>HYPERLINK("https://yourei.jp/今日", "查看例句")</f>
        <v/>
      </c>
    </row>
    <row r="2145">
      <c r="A2145" t="inlineStr">
        <is>
          <t>器用</t>
        </is>
      </c>
      <c r="B2145" t="inlineStr">
        <is>
          <t>成功</t>
        </is>
      </c>
      <c r="C2145" t="inlineStr">
        <is>
          <t>読み方：きよう
［名・形動］
１からだを思うように動かして、芸事・工作などをうまくこなすこと。また、そのさま。「手先が—だ」「—に箸(はし)を使う」
２要領よく、いろいろな物事を処理すること。また、そのさま。「何事も—にこなす」
３抜けめなく立ち回ること。また、そのさま。「世渡りが—だ」
４不平不満なく、受け入れること。いさぎよいこと。また、そのさま。
「なんにも言わずに、—に買っときなさい」〈里見弴・多情仏心〉
「気遣ひしやるな、逃げはせぬと、もっとも—な白状」〈浄・淀鯉〉
５すぐれた才能のあること。また、その人。
「武家の棟梁(とうりゃう)と成りぬべき—の仁(じん)」〈太平記・一三〉
[派生]きようさ［名］</t>
        </is>
      </c>
      <c r="D2145" t="inlineStr">
        <is>
          <t>器用な手つき；器用な真似；器用な男；器用な選手；器用な人間</t>
        </is>
      </c>
      <c r="F2145" t="inlineStr">
        <is>
          <t>器用な手さばき；器用な拓一；器用な手先；器用不器用；器用な指先</t>
        </is>
      </c>
      <c r="G2145" t="inlineStr">
        <is>
          <t>器用仕事</t>
        </is>
      </c>
      <c r="H2145" t="n">
        <v>29</v>
      </c>
      <c r="I2145" t="inlineStr">
        <is>
          <t>これは著者がよほど器用な生まれの人でない限りそれは出来ない相談だ。；外からだけでは、そんな器用なカラクリは出来るものじゃございません。；だがカートは嘘をつきながら安心顔ができるほど器用な性格ではない。；こいつは器用にウソをつけるタイプじゃない 多分本当の事を言っている。；御恥しいが僕の悪作の中にはさう云ふ器用さだけの作品も交つてゐる。；酒と勝負事が好きで、人間は器用なんだが、仕事に一向身が入りません。；実際のところエジプトでは多くの器用で賢明な医師が医術を行っていた。；鬼貫 おれはあんまり好きではないが、江戸の其角はまつたく器用だな。；これまで見たこともない琥珀の葉巻き用パイプが入っているだけだった。；自身を器用ではないと自己評価しており、人の何倍も練習を行っているという。；特別な目的の器用なマニピュレーターを変更したりすることができる。；わたしが羨ましかったのは、単に彼女の手先の器用さのみではなかった。；また、器用以上人から尊敬されることはなかろうと思うのであります。；だが彼等は器用な筆を持っていても、帝展の新画一つ批評するものがない。；どんな器用な音楽家でも、この真似だけはとても出来ないさうである。；打撃も器用に使いこなすことからニュータイプの柔術家と呼ばれていた。；外からだけでは、そんな器用なカラクリは出來るものぢや御座いません。；器用に指がその紐をほどいて、僕は本物のダイナマイトをはじめてみた。；そうして出来上がったもののなかにはなかなか器用なものがあった。；サーシャが器用に微調整と帯域幅を制御し、ことばははっきりしてきた。；下あごのひげを器用に動かし、海底のどろや砂をさぐりえものをさがす。；うしろを向かない帆村に、なぜそんな器用なことができたであろうか。；そのとき私は不滿だつたが、やはりただの器用な工藝家なんだらうか?；一本のやはり裸の男の脚が、器用にその裸体をころがし、向きをかえる。；それは器用なものだつたと思ふ、あなたは才能のある人だから。；運搬用の蝋燭台もいろいろあり、そのある物は実に器用に出来ている。；センター返しや逆方向への流し打ちが上手く、器用な一面ももっていた。；また、打順は1番以外を全て打った経験がある器用な選手でもあった。；あらゆる手作業を器用にさせたり、哲学をはじめとする学問に精通させる。</t>
        </is>
      </c>
      <c r="J2145">
        <f>HYPERLINK("https://www.weblio.jp/content/器用", "词义详情")</f>
        <v/>
      </c>
      <c r="K2145">
        <f>HYPERLINK("https://yourei.jp/器用", "查看例句")</f>
        <v/>
      </c>
    </row>
    <row r="2146">
      <c r="A2146" t="inlineStr">
        <is>
          <t>驚異</t>
        </is>
      </c>
      <c r="B2146" t="inlineStr">
        <is>
          <t>成功</t>
        </is>
      </c>
      <c r="C2146" t="inlineStr">
        <is>
          <t>読み方：きょうい
驚き不思議がること。また、驚くほど素晴らしい事柄や現象。「—の目をみはる」「宇宙の—」</t>
        </is>
      </c>
      <c r="D2146" t="inlineStr">
        <is>
          <t>驚異的なスピード；驚異的な回復；驚異的な身体能力；驚異的な成績；驚異的なペース</t>
        </is>
      </c>
      <c r="E2146" t="inlineStr">
        <is>
          <t>不思議；驚き；天才；奇跡；怪</t>
        </is>
      </c>
      <c r="F2146" t="inlineStr">
        <is>
          <t>さまざまな驚異；考えると驚異的；驚異的な追い上げ；驚異軍艦；驚異的な粘り</t>
        </is>
      </c>
      <c r="G2146" t="inlineStr">
        <is>
          <t>驚異の部屋；驚異の世界；驚異の小宇宙；驚異の定理；驚異の年</t>
        </is>
      </c>
      <c r="H2146" t="n">
        <v>29</v>
      </c>
      <c r="I2146" t="inlineStr">
        <is>
          <t>それが驚異的なのは間違いないが、彼の身体のことはいつも心配している。；外宇宙に進出した人類は、次々と驚異的な天体や生命体と出会っていく。；しかも1875年のシーズンで24連勝するなど驚異的な成績を残した。；このような歴史を経て驚異そのもののカールズバッド洞窟が誕生した。；ベース機の各種武装が2倍に増強され、驚異的な砲撃力を獲得している。；私は小児のように常に驚異の眼を見張っていることは出来なくなった。；全治10か月とも言われていたが医師も驚く驚異的な回復力を見せる。；ボールの形になると驚異的な弾力性とスピードを得ることができる。；シーズン中の復帰は絶望的かと思われたが、驚異的な回復で9月に復帰。；そして、彼らはほとんど車がいない高速道路で驚異的な速度を達成した。；驚異的な勝負強さを誇り、土壇場でチームを救うプレーが数多くあった。；大舞台での驚異的な勝負強さもジョーダンの特徴のひとつである。；メタンフェタミンは製造が容易なため、現地で驚異的な量で製造されている。；驚異的な記憶力や記憶法について、池田義博本人は次のように語っている。；このような気候条件から、今日でも驚異的な高山都市を形成するに至った。；ポーランドの人口やポーランド語話者数を考えるとこれも驚異的といえる。；そんな驚異の身体能力を用いて悪事を働いていて多くの逸話を残している。；これは単に自然現象が、驚異的な程に数学的性質を有しているからである。；驚異的な記憶力もとくにこの症状の躁状態のときにしばしば見られる現象である。；当時としては驚異的な768MBものメモリーを搭載することができた。；フランスの歴史家はマルティニークでの戦闘を驚異的な成功だとした。；私のイベントは多くの場合、驚異を感じながら行なわれるのです。；続いてアングルシー島の驚異と、アイルランドの驚異を少数挙げている。；加算機市場は20世紀に入ると驚異的な成長を記録することとなる。；日本の近代化が驚異的な速度で成し遂げられたことはほぼ定着した見解である。；ニューズウィークはこのことについて驚異的であるとの反応を示した。；しかしバーンズが驚異的な活躍ができたのはこの年までだった。；しかし、スウェーデンの驚異的な粘り腰の戦略はここから始まったのである。；ゴールドバーグの驚異の174連勝が始まると、すぐに人気は回復した。</t>
        </is>
      </c>
      <c r="J2146">
        <f>HYPERLINK("https://www.weblio.jp/content/驚異", "词义详情")</f>
        <v/>
      </c>
      <c r="K2146">
        <f>HYPERLINK("https://yourei.jp/驚異", "查看例句")</f>
        <v/>
      </c>
    </row>
    <row r="2147">
      <c r="A2147" t="inlineStr">
        <is>
          <t>教育</t>
        </is>
      </c>
      <c r="B2147" t="inlineStr">
        <is>
          <t>成功</t>
        </is>
      </c>
      <c r="C2147" t="inlineStr">
        <is>
          <t>読み方：きょういく
［名］(スル)
１ある人間を望ましい姿に変化させるために、身心両面にわたって、意図的、計画的に働きかけること。知識の啓発、技能の教授、人間性の涵養(かんよう)などを図り、その人のもつ能力を伸ばそうと試みること。「—を受ける」「新入社員を—する」「英才—」
２学校教育によって身につけた成果。「—のある人」
[補説]作品名別項。→教育</t>
        </is>
      </c>
      <c r="D2147" t="inlineStr">
        <is>
          <t>教育学区(2%)；教育プログラム；教育会；教育係；教育用</t>
        </is>
      </c>
      <c r="E2147" t="inlineStr">
        <is>
          <t>示し；教え；指導；知識；学</t>
        </is>
      </c>
      <c r="F2147" t="inlineStr">
        <is>
          <t>公共教育；基礎教育；教育環境；教育分野；教育熱心</t>
        </is>
      </c>
      <c r="G2147" t="inlineStr">
        <is>
          <t>教育者；教育委員会；教育大学；教育委員；教育学者</t>
        </is>
      </c>
      <c r="H2147" t="n">
        <v>29</v>
      </c>
      <c r="I2147" t="inlineStr">
        <is>
          <t>このシステムは現在主に共通教育棟で学んでいる学生に使用されている。；コンピュータ生成解剖学モデルは教育や運用の両方の目的で使用される。；現在では、学部組織と大学院の研究教育組織は必ずしも一致していない。；教育研究上の基本となる組織の一つで、学生が所属する教育組織である。；特にその深刻さを強調する場合には、教育病理または教育危機とも呼ぶ。；この機種は教育市場向けモデルのため一般にはほとんど出回っていない。；この時点で祖父母は子供たちに正しい言語使用法を教育する役割を担う。；この法では両親とその居住する教育学区の任務と責任を規定している。；トルコ政府は識字率向上のため義務教育を提供する学校を急速に作った。；海上保安庁には、初級職員となる者の教育を担当する以下の施設がある。；その結果、教育の無料化と非識字率の大幅な低下といった成果を上げた。；それ以外の大学でも共通教育などの名前に代わって教養教育は行われている。；マルクスが小学校教育を受けたという記録は今のところ発見されていない。；ブッカー・T・ワシントンが黒人教育のために創設したも支援している。；それ以外は陝西省のように13年義務教育を実行している地域もある。；教育施設の中でももっぱら教育のために設立される施設を学校と呼ぶ。；しかも内戦時代には学校への襲撃もあったなど教育は立ち遅れている。；これは蔣介石が友人の呉稚暉に息子の教育係を依頼する意味があった。；とりわけ教育や医療などの公共サービスを充実させるよう提言している。；この発表を受け、学習塾を経営する企業などの教育関連の株が急落した。；上記の各学校においても中等教育以上は男子教育の場でしかなかった。；アイルランド語もその一例だが、アイルランドのみで教育が行われている。；この他、一般向けモデルをベースにした、教育市場向けのモデルが存在した。；その一方で教育・組み込み向けなどへの営業展開もなされていた。；これには、教育の必要性と教育の可能性の二面から論じられることが多い。；教育用には独自に簡易ネットワークシステムまで構築して利用していた例もある。；イスタンブールの他のいくつかの高校は独自の教育や入学条件を特徴としている。；つまり蔣経国は万竹小学校で初めて本格的な近代的な教育を受けることになった。；これにはユダヤ人が歴史的に教育熱心であったという背景もある。</t>
        </is>
      </c>
      <c r="J2147">
        <f>HYPERLINK("https://www.weblio.jp/content/教育", "词义详情")</f>
        <v/>
      </c>
      <c r="K2147">
        <f>HYPERLINK("https://yourei.jp/教育", "查看例句")</f>
        <v/>
      </c>
    </row>
    <row r="2148">
      <c r="A2148" t="inlineStr">
        <is>
          <t>驚異的</t>
        </is>
      </c>
      <c r="B2148" t="inlineStr">
        <is>
          <t>成功</t>
        </is>
      </c>
      <c r="C2148" t="inlineStr">
        <is>
          <t>読み方：きょういてき
［形動］驚くほどすばらしいさま。「—な記録を残す」</t>
        </is>
      </c>
      <c r="D2148" t="inlineStr">
        <is>
          <t>驚異的スピード；驚異的発展</t>
        </is>
      </c>
      <c r="E2148" t="inlineStr">
        <is>
          <t>不思議；最高；見事；すばらしい；素晴らしい</t>
        </is>
      </c>
      <c r="H2148" t="n">
        <v>29</v>
      </c>
      <c r="I2148" t="inlineStr">
        <is>
          <t>犬の絵のついたやつで、なんの説明もしなかったのだが、驚異的に売れた。；すでに二隻を沈めているクルツの腕の方が、驚異的といっていいくらいだ。；もともと利用率の驚異的低さで有名な図書室に、今は俺たち以外の人の姿はない。；ここに通って、成績を驚異的にあげた生徒はけっこう多いからだ。；プロ野球では一般に3〜4割あれば十分、5割あれば驚異的と言われる。；踊る女の子達は驚異的に細い腰をして、長い足をしている。；そして飲み干した後の紙杯をどこに捨てるかと考える、驚異的に無駄な時間が過ぎる。；その時期、他の面でも女子のマメさは驚異的にアップしました。；その情報収集能力も驚異的でアメリカの捜査当局でさえ出し抜かれた。；フランスの物価高に悲鳴をあげていた私には、驚異的にうれしくやすかった。；よろよろした足取りが早まり、やせ衰えた脚が驚異的スピードで動いた。；それからの発達スピードはまさに驚異的だった。；その笑顔がもたらした変化は驚異的だった。；あのように驚異的で神秘的な怪物がぼくの好奇心をすごくかきたててしまった。；アルバムバージョンの収録とはいえ、既に収録アルバムが発売されている中でのこの粘りは、驚異的だったと言える。；プントの大航海をしたエジプト人は、もう一つの驚異的達成をしてみせたのである。；二十世紀末まで、マイナス成長したのは七四年と九八年の二回だけで、驚異的に成長し続けたのです。；身長はそれほど高くないが、肩幅が広く、肩周りの筋肉が驚異的に発達していた。；犬は驚異的に高い知性を持ち、自分で餌を準備し皿の後片付けまでこなしていた。；着用したロードを保護し、その肉体の働きを驚異的に引き上げるとされる伝説の装束。；自動車産業などの驚異的発展を見た現在では、今井に先見の明があったとも評価されている。；もしくは、自分の神経が驚異的に杜撰になっているのか。；メルボルンはオーストラリア最大の都市となり、植民地は驚異的に富むことになった。；プロトタイプが導入された当初、その結果は驚異的だった。；監督であったディディエ・デシャンは「驚異的だった」とシーズンを振り返った。；五人はしばしば立ち止って、驚異的にも見える速度で追いついて来る加藤を見ていた。；私たちの使っている文字は彼らにとって驚異的らしい。；驚異的能力を持つにもかかわらず、MOS型LSIは、静電気に弱い。；いくらインフレの世の中でも、いきなり二・五倍にはねあがったりするなんて驚異的です。</t>
        </is>
      </c>
      <c r="J2148">
        <f>HYPERLINK("https://www.weblio.jp/content/驚異的", "词义详情")</f>
        <v/>
      </c>
      <c r="K2148">
        <f>HYPERLINK("https://yourei.jp/驚異的", "查看例句")</f>
        <v/>
      </c>
    </row>
    <row r="2149">
      <c r="A2149" t="inlineStr">
        <is>
          <t>教員</t>
        </is>
      </c>
      <c r="B2149" t="inlineStr">
        <is>
          <t>成功</t>
        </is>
      </c>
      <c r="C2149" t="inlineStr">
        <is>
          <t>読み方：きょういん
学校で児童・生徒・学生を教育する職務についている人。教育職員。教師。</t>
        </is>
      </c>
      <c r="D2149" t="inlineStr">
        <is>
          <t>教員採用試験；教員生活；教員時代；教員数；教員検定試験</t>
        </is>
      </c>
      <c r="E2149" t="inlineStr">
        <is>
          <t>先生；師；教師；師匠；教官</t>
        </is>
      </c>
      <c r="F2149" t="inlineStr">
        <is>
          <t>学校教員；専任教員；女教員；担当教員；中等教員</t>
        </is>
      </c>
      <c r="G2149" t="inlineStr">
        <is>
          <t>教員養成；教員室；教員免許状；教員資格；教員組合</t>
        </is>
      </c>
      <c r="H2149" t="n">
        <v>29</v>
      </c>
      <c r="I2149" t="inlineStr">
        <is>
          <t>その中には、フェローではない教員代表者や学生代表者も含まれていた。；当然教員出身者が就任することが多く、大学では学長に次ぐ地位となる。；翌1924年からは自身の研究と並行して、植物学の指導教員となった。；適切な規模と内容がなければならず、教員と学生・生徒が所属する。；教員は中学校及び高等学校の授業を併せて担当していることが多い。；また生徒からの直接の支払いや賄賂に要求する教員もいると報告されている。；また、大学院生の場合は任期付きで、大学の教員扱いとなることも多い。；また教員のほとんどがキャンパス内か近隣に住むフルタイム教員である。；学校教員ならまとまった休暇を執筆に当てられると思ってのことでもあった。；アメリカ海軍中佐でパイロットの父と看護学校教員の母との間に生まれる。；アピラックは1961年にエンジニアの父と教員の母との間に生まれる。；母や叔父、叔母は元学校教員であり、2人の姉も高等学校教員となった。；教室には教員が控えて、質問に答えたり、アドバイスしたりしている。；この決定をみて、今度は東華学校の教員が一斉に総辞職することになった。；一方、フランクは教員生活において緊張を強いられる場面も経験していた。；第二次世界大戦前の日本の教員は、師範学校の卒業生が中心を占めていた。；以後、警官・鉄道員・郵便夫等の制服、また教員の服装などが西洋化した。；また、教員の校務分掌に関連した会議や研修などで出張することもある。；中学では、週5時間は日本人英語教員が検定教科書に基づいて授業を行う。；両親が教員だったため自身も同じように教員を志望したが、叶わなかった。；教員と学生また学生同士の距離は非常に近く、その関係は生涯に渡って継続すると言われている。；これは主にプロテスタントの教員からカトリック多数への変化をもたらした。；会長の選出には、選挙や学級代表による協議、教員推薦など様々である。；これらの特別教室の多くには教員が授業準備をするための準備室が併設されている。；また、教員生活は大変満足できるものであった、とも述べている。；両親は慣習的に教員の給料を支払うことを期待されているのである。；教員及び学生の半数以上は外国人となり、教育研究は英語で行われる。；そのため、同年に田園調布雙葉中学校・高等学校で生物の教員となる。；このモードで一定の条件を満たすと、該当ジャンルの教員を進行役に選択できる。</t>
        </is>
      </c>
      <c r="J2149">
        <f>HYPERLINK("https://www.weblio.jp/content/教員", "词义详情")</f>
        <v/>
      </c>
      <c r="K2149">
        <f>HYPERLINK("https://yourei.jp/教員", "查看例句")</f>
        <v/>
      </c>
    </row>
    <row r="2150">
      <c r="A2150" t="inlineStr">
        <is>
          <t>教科</t>
        </is>
      </c>
      <c r="B2150" t="inlineStr">
        <is>
          <t>成功</t>
        </is>
      </c>
      <c r="C2150" t="inlineStr">
        <is>
          <t>読み方：きょうか
学校教育で、児童・生徒が学習する知識や技術を系統立てて組織した一定の分野。国語・社会・算数・理科など。</t>
        </is>
      </c>
      <c r="D2150" t="inlineStr">
        <is>
          <t>教科ごと；教科指導；教科学習；教科内容；教科等</t>
        </is>
      </c>
      <c r="E2150" t="inlineStr">
        <is>
          <t>分野；科；フィールド；学科；科目</t>
        </is>
      </c>
      <c r="F2150" t="inlineStr">
        <is>
          <t>専門教科；全教科；普通教科；好きな教科；他教科</t>
        </is>
      </c>
      <c r="G2150" t="inlineStr">
        <is>
          <t>教科書検定；教科目；教科用図書；教科教育；教科書体</t>
        </is>
      </c>
      <c r="H2150" t="n">
        <v>29</v>
      </c>
      <c r="I2150" t="inlineStr">
        <is>
          <t>どのように学ぶかと言うことが一つの教科になっていること自体を批判。；だってこの問題、学期末に行われたどの教科のテストよりも難しいんだ。；認知心理学上の実験手段を教科内容と教材の構成に応用した事例である。；普通教科としての家庭は、小学校・中学校・高等学校に設置されている。；それとも州は単に学童に一定の教科を教えるように要求するだけですか?；わかってはいたものの、私は一学期よりどの教科も成績が落ちていた。；またそれ以外の生徒は教科係・教室内の係に属することとなる。；英語プログラムでは、生徒はタイ語と社会以外の全ての教科を英語で学ぶ。；後者を選ぶ場合はDPにおいて必要な英語力や教科の知識力が求められる。；高等女学校の成績は各教科ともほぼ80点以上で、上位クラスであった。；また、覚えた特技を使うことでも各教科の経験値が増えるようになった。；また、多くの教科では常勤教諭のほかに非常勤講師も授業を行っている。；プログラムの内容は6つのテーマを柱とした教科融合型の教育となっている。；教科の一覧は、日本の現在および過去の教科とその分野の一覧である。；それぞれの教科で専門的に教えた方が、学習効果が上がる時期になっている。；日本各地の小学校がそれぞれ教科外の時間に取り組んでいる内容を紹介していた。；一年生は全教科を修了し二年生からは福祉系か農業系を選択し修了する。；それ以外の専門教科については、特別に次のように分類されている。；教育研究において特に中高一貫教育の研究が全体と教科で行われている。；各教科の内容に目を通してみたが、そう難しい内容ではなかったのでホッとした。；ほかの教科に比して、英語だけは教科書にポップな絵が満載されている。；高等学校では、いずれかの教科にすべての科目が属するという形になった。；この際に普通教育の1教科であった図画も国定教科書を使うこととなる。；ジェームズは自分で機械にかかり、マーサの指導のための教科を用意した。；変だ、変だと首をひねっているうちに、全教科のテストが終了した。；移転を機に「教科センター方式」が導入されており、近畿では唯一である。；英語や数学など一部の教科では習熟度別少人数授業も行われている。；ちょうど、試験前夜、英数国理社すべての教科を勉強し尽くしたように。；芸術の選択教科は美術であり、音楽の授業は普通教科のみであった。</t>
        </is>
      </c>
      <c r="J2150">
        <f>HYPERLINK("https://www.weblio.jp/content/教科", "词义详情")</f>
        <v/>
      </c>
      <c r="K2150">
        <f>HYPERLINK("https://yourei.jp/教科", "查看例句")</f>
        <v/>
      </c>
    </row>
    <row r="2151">
      <c r="A2151" t="inlineStr">
        <is>
          <t>強化</t>
        </is>
      </c>
      <c r="B2151" t="inlineStr">
        <is>
          <t>成功</t>
        </is>
      </c>
      <c r="C2151" t="inlineStr">
        <is>
          <t>読み方：きょうか
［名］(スル)強くすること。さらに強くすること。「体力の—をはかる」「警備を—する」</t>
        </is>
      </c>
      <c r="D2151" t="inlineStr">
        <is>
          <t>強化する(12%)；強化される(3%)；強化型；強化指定；強化外装</t>
        </is>
      </c>
      <c r="E2151" t="inlineStr">
        <is>
          <t>統一；統制；増強；補強；激化</t>
        </is>
      </c>
      <c r="F2151" t="inlineStr">
        <is>
          <t>連携強化；権限強化；体制強化；能力強化；チーム強化</t>
        </is>
      </c>
      <c r="G2151" t="inlineStr">
        <is>
          <t>強化選手；強化人間；強化委員；強化服；強化プラスチック</t>
        </is>
      </c>
      <c r="H2151" t="n">
        <v>29</v>
      </c>
      <c r="I2151" t="inlineStr">
        <is>
          <t>これらの墓地の一部は構造の強化や安定化が必要な状態にあると見られる。；この記事によれば、このバージョンが含む大幅な強化は以下の通りである。；新開発の近接信管を搭載して、低高度目標との交戦能力を強化している。；彼らが前述の強化細胞を移植しているかどうかは作中では語られていない。；これに対応するため幕府は有力大名を領地に戻して治安を強化させていた。；しかし政府の統制下にある事には変わりなくメディアの規制も強化されている。；しかし、その本質は人間の生態改造にあるのではなく、精神強化にある。；本作における進化とは生物のそれと同一ではなく成長や強化に当たるものである。；年内に全ての非施行車を強化するため、各電車区でも工事が行われた。；加えて、私たちが望んでいた日本の軍事的役割の強化にもつながるのです。；彼らは、自身の信念を強化するために疑似科学を利用することが多い。；対象協会との協力関係を強化するため、世界中に開発事務所が設置されている。；しかし防御施設が旧式で地形も不利な点を持つことを認識し強化に着手した。；C型の1段目のモータケースを延長し、打ち上げ能力を大幅に強化した。；この予測された事態に対して建物は爆撃に備えて強化されていた。；この動きは都市の新しい役割を強化し、成長の継続を促進させた。；地方銀行では初めて本部機能を東京に移し、情報収集機能を強化した。；各種条件で入手できるアイテムによりキャラクターの強化が可能。；自身の権力強化のために、セルビア民族主義を国民に扇動し、利用した。；運動量も豊富であり、自宅に低酸素室を設置して心肺の強化に努めている。；しかしジョンソン大統領は依然として軍事強化の路線を変えなかった。；それまでの北面武士に加えて西面武士を設置し、軍事力の強化を図った。；社会風潮の悪化防止のために規制の強化が必要とする意見が述べられることもある。；勝頼の時代になってから領域が拡大せず領国支配が強化された。；こうした兵農分離政策は江戸時代に強化され、職業は世襲制となった。；並行して、キリスト教の制限と貿易の管理強化を進め、社会の安定化に努めた。；クラブ事務所との併設となり、チームとの連携をより強化することになった。；陵墓が今日のように整備され、管理が強化されるようになったのは明治以後のことである。；また、田中内閣は国内で思想取締強化を図ったことでも知られている。</t>
        </is>
      </c>
      <c r="J2151">
        <f>HYPERLINK("https://www.weblio.jp/content/強化", "词义详情")</f>
        <v/>
      </c>
      <c r="K2151">
        <f>HYPERLINK("https://yourei.jp/強化", "查看例句")</f>
        <v/>
      </c>
    </row>
    <row r="2152">
      <c r="A2152" t="inlineStr">
        <is>
          <t>教会</t>
        </is>
      </c>
      <c r="B2152" t="inlineStr">
        <is>
          <t>成功</t>
        </is>
      </c>
      <c r="C2152" t="inlineStr">
        <is>
          <t>読み方：きょうかい
宗教を同じくし、その教えを守り伝えようとする人々の団体。また、その教えを述べ、礼拝儀式を行うための建物。特にキリスト教でいうが、他宗教でも用いられる。</t>
        </is>
      </c>
      <c r="D2152" t="inlineStr">
        <is>
          <t>教会組織；教会内；教会総会；教会共同体；教会墓地</t>
        </is>
      </c>
      <c r="E2152" t="inlineStr">
        <is>
          <t>宗教；聖堂；教会堂；会堂；礼拝堂</t>
        </is>
      </c>
      <c r="F2152" t="inlineStr">
        <is>
          <t>バプテスト教会；古い教会；修道院教会；同教会；小さな教会</t>
        </is>
      </c>
      <c r="G2152" t="inlineStr">
        <is>
          <t>教会法；教会音楽；教会員；教会会議；教会建築</t>
        </is>
      </c>
      <c r="H2152" t="n">
        <v>29</v>
      </c>
      <c r="I2152" t="inlineStr">
        <is>
          <t>これは、都市内にあったどの教会よりも大きな建物であったためである。；教会自体が政治的活動に関わるかどうかは、教会それぞれ異なっている。；自ら地元の教会内に用意し、死後に埋葬された墓地は極めて質素である。；地元の伝承ではラボックの一人当たりの教会の数では国内最大と言われる。；修道院設立に伴い、現存する修道院教会の建設は1507年に始まった。；プロテスタント諸国の教会からの援助は続いていて交流も盛んである。；サッカーの試合と教会の活動は典型的な社会的交流と娯楽の源泉である。；教会の教理では神の恩寵は人間が認識できるものではないとされていた。；教会の修道院は勉学と研究の場であり、のちに現代の大学の基礎となった。；いずれにせよ、教会の完成は都市建設から教区分離までの間であった。；フランクフルト市で最も古い建物であるユスティヌス教会はここにある。；なお米国聖公会でも同性愛結婚聖別式を行う教会と行わない教会がある。；同時期に古代教会内でも正典化の議論が本格化したと推定される。；教会のリーダーは男性であるべきと主張し、結婚は苦難を招くと説いた。；フランス派は、教会と連携を保ちつつ形式的、儀式的なものは排除した。；交叉部まで工事が進んでいた教会は1105年礼拝室の奉献が行われた。；数百の教会が破壊され、弾圧を恐れた数万の民衆が山野に逃れている。；バロック様式の教会としては初めてのものであったと考えられている。；この時代、環状道路の外側に市壁が設けられ、宮殿付属教会が建設された。；宙に浮いていた教会土地財産の売却を一気に進めることもできるはずだった。；第二のタイプはパリにおけるもので、教師は教会から給料を支払われる。；一方、ピピンの寄進に始まる教会の世俗領主化は教会を堕落させていた。；またこのころから教会に出入りし、神や信仰、罪などの問題に悩み始める。；現在この教会はビーレフェルトで唯一の福音主義改革派の教会である。；この教会は市内中央部、ハイデルベルク城からも遠くない場所に位置する。；彼らは一族のために、教会においても高い地位を得ることができた。；そのため新教会法典は、ラテン教会にのみ適用される法典となっている。；平和主義ゆえにたびたび友会は歴史上平和教会のひとつとみなされてきた。；エリーザベトの希望で、遺体は故郷レッケンの教会で父の隣に埋葬された。</t>
        </is>
      </c>
      <c r="J2152">
        <f>HYPERLINK("https://www.weblio.jp/content/教会", "词义详情")</f>
        <v/>
      </c>
      <c r="K2152">
        <f>HYPERLINK("https://yourei.jp/教会", "查看例句")</f>
        <v/>
      </c>
    </row>
    <row r="2153">
      <c r="A2153" t="inlineStr">
        <is>
          <t>境界</t>
        </is>
      </c>
      <c r="B2153" t="inlineStr">
        <is>
          <t>成功</t>
        </is>
      </c>
      <c r="C2153" t="inlineStr">
        <is>
          <t>読み方：きょうかい
１土地のさかい。「隣国との—」
２物事のさかい。「哲学と文学の—」</t>
        </is>
      </c>
      <c r="D2153" t="inlineStr">
        <is>
          <t>境界付近(5%)；境界線；境界面；境界上；境界部</t>
        </is>
      </c>
      <c r="E2153" t="inlineStr">
        <is>
          <t>限り；縁；端；境；外れ</t>
        </is>
      </c>
      <c r="F2153" t="inlineStr">
        <is>
          <t>t境界；明確な境界；境界地域；境界紛争；境界争い</t>
        </is>
      </c>
      <c r="G2153" t="inlineStr">
        <is>
          <t>境界条件；境界層；境界駅；境界領域；境界石</t>
        </is>
      </c>
      <c r="H2153" t="n">
        <v>29</v>
      </c>
      <c r="I2153" t="inlineStr">
        <is>
          <t>しかし物語が進むにつれて、次第に二人の精神から境界が失われていく。；その後1943年に周辺区と境界を調整して現在の区域となっている。；江戸時代初期、各藩は隣接する藩との間で境界争いが盛んとなった。；ドイツが東西に分割されていた当時の境界などがその例である。；駅の西または南側は河内長野市との境界になるため同市の利用者が多い。；古代から何らかの境界を表すものとして石がおかれることがあった。；かつては細胞境界上に小孔が存在しては血球の通路になると考えられていた。；起点の衣掛交差点を合併前の高松市と旧・国分寺町の境界が通っていた。；アルカロイドとその他の窒素を含む天然化合物との境界は明確ではない。；小山町と御殿場市の境界も未確定のため、同市と隣接する可能性もある。；このために東のミシシッピ州との境界は確定できない要素がある。；市の境界とはいえ、住宅地の中を通り抜ける小さな目立たない川である。；国際水路機関の定義によれば、その境界は以下の各地点を結んだものである。；ただし、どの段階で実用でなくなったのか明確な境界線を引くのは困難である。；前穂高岳以外は主に長野県松本市と岐阜県高山市の境界に位置している。；両社の財産上の境界は下曽我方にある第一場内信号機に設定されている。；四條畷市にある唯一の駅であるが、寝屋川市との境界付近に位置している。；北と西と南西の境界は海だが、陸続きである南東と東の境界は曖昧である。；不思議なことに右葉の上下亜区を境界する構造は存在しない。；伝統的にヨーロッパとアジアの境界の一部を形成する川である。；駅舎は芝山町と成田市との境界上に所在するが、所在地は芝山町である。；修験道とは柱源の境界を得ることを究極の目的とする宗教である。；右図にみられるように、境界についてはいくつかの異なる定義もある。；再編後も運行管理と営業エリア分けでは引き続き境界となっている。；これらの熱帯低気圧が地理的な境界線を越えた場合は呼び方が変わる。；境界では波動関数とその導関数の連続性に関する通常条件が適用される。；アフリカの角に明確な境界はないが、おおよそ次のような範囲である。；これらの間にははっきりした境界はなく、連続的に移行している。；境界が単純でない場合にはグリーン関数を解析的に求めるのは大変困難である。</t>
        </is>
      </c>
      <c r="J2153">
        <f>HYPERLINK("https://www.weblio.jp/content/境界", "词义详情")</f>
        <v/>
      </c>
      <c r="K2153">
        <f>HYPERLINK("https://yourei.jp/境界", "查看例句")</f>
        <v/>
      </c>
    </row>
    <row r="2154">
      <c r="A2154" t="inlineStr">
        <is>
          <t>協会</t>
        </is>
      </c>
      <c r="B2154" t="inlineStr">
        <is>
          <t>成功</t>
        </is>
      </c>
      <c r="C2154" t="inlineStr">
        <is>
          <t>読み方：きょうかい
ある目的のため会員の協力で設立・運営される会。</t>
        </is>
      </c>
      <c r="D2154" t="inlineStr">
        <is>
          <t>協会会長(5%)；協会理事(2%)；協会会員；協会副会長；協会賞</t>
        </is>
      </c>
      <c r="E2154" t="inlineStr">
        <is>
          <t>団体；党；リーグ；同盟；連盟</t>
        </is>
      </c>
      <c r="F2154" t="inlineStr">
        <is>
          <t>同協会；文化協会；歴史協会；日本レコード協会；振興協会</t>
        </is>
      </c>
      <c r="G2154" t="inlineStr">
        <is>
          <t>協会国際衛星放送；協会系酵母；協会貨物約款</t>
        </is>
      </c>
      <c r="H2154" t="n">
        <v>29</v>
      </c>
      <c r="I2154" t="inlineStr">
        <is>
          <t>マルクスは1864年に設立された国際労働者協会の創立宣言を書いた。；以降、FIFAは一定の自治が行われている地域の協会も認可している。；さいか屋がその後ホテル内に開業させた小型店は協会加盟店ではない。；増田の訃報は日本看護家政紹介事業協会広報誌に小さく紹介されていた。；一方で、準大手私鉄の中には同協会に加盟していない鉄道事業者もある。；従来、役員は地域協会の職員や元選手などサッカー関係者で占められてきた。；日本には多くのトルコ友好協会があり、交流が積極的に行われている。；彼はや、南アフリカ放送協会のような親政府的な報道機関から非難された。；一時期は王立協会の実験監督を務め、同協会の協議会の一員でもあった。；同年、日本宣伝美術協会九州地区委員となり、自宅を小倉事務所とした。；パリではこのような協会は無く、これが初めてのことであった。；彼らは戦後まもなく新作曲派協会を結成することになる。；対象協会との協力関係を強化するため、世界中に開発事務所が設置されている。；また、協会の会長博士は当時もっとも優れた公衆衛生学者であった。；こうして、ボーマルシェを代表とした劇作家協会が誕生したのである。；この段階ではまだ、協会側はビデオ判定のテストをしていないように推測される。；加盟協会に所属するクラブチームの成績を元にしたランキング。；一連の原発事故報道が評価され2012年度の日本新聞協会賞を受賞した。；なお、所属先がない選手は登録先の陸上競技協会が所属先として記載される。；日本に例を取ると、日本放送協会と放送大学学園が公共放送に該当する。；もちろんいずれの協会にも属していない連もある。；本賞はハリウッド外国人映画研究協会の会員の投票により選定される。；アメリカ熱傷協会では以下のような治療が紹介されている。；ドイツ社会民主党では、同協会の創設をもって自党の創設と見做している。；ハンター試験に合格したプロハンターは全員がハンター協会の会員となる。；図書館・情報専門職協会によりlibrarianの資格が認定される。；日本スポーツ協会の加盟団体ではあるが、JOCには直接加盟団体とはなっていない。；会員約500人と国内でも最少の組合である石工協会の本部があった。；政府の名称変更に合わせ産経新聞や日本放送協会ほかメディアも呼称を変更した。</t>
        </is>
      </c>
      <c r="J2154">
        <f>HYPERLINK("https://www.weblio.jp/content/協会", "词义详情")</f>
        <v/>
      </c>
      <c r="K2154">
        <f>HYPERLINK("https://yourei.jp/協会", "查看例句")</f>
        <v/>
      </c>
    </row>
    <row r="2155">
      <c r="A2155" t="inlineStr">
        <is>
          <t>業界</t>
        </is>
      </c>
      <c r="B2155" t="inlineStr">
        <is>
          <t>成功</t>
        </is>
      </c>
      <c r="C2155" t="inlineStr">
        <is>
          <t>読み方：ぎょうかい
１同じ産業や商業に関係する人々の社会。同業者の世界。「金融—」
２特に、マスコミ・広告など情報産業に関係する人々の社会。「—人」</t>
        </is>
      </c>
      <c r="D2155" t="inlineStr">
        <is>
          <t>業界内(3%)；業界全体；業界関係者；業界最大手；業界大手</t>
        </is>
      </c>
      <c r="E2155" t="inlineStr">
        <is>
          <t>実業家；実業界</t>
        </is>
      </c>
      <c r="F2155" t="inlineStr">
        <is>
          <t>ゲーム業界；出版業界；テレビ業界；ファッション業界；放送業界</t>
        </is>
      </c>
      <c r="G2155" t="inlineStr">
        <is>
          <t>業界初；業界紙；業界標準；業界人；業界用語</t>
        </is>
      </c>
      <c r="H2155" t="n">
        <v>29</v>
      </c>
      <c r="I2155" t="inlineStr">
        <is>
          <t>主に次の二つのハードウェア記述言語が業界で主流として使われている。；ワーナー・マイカルの進出当初は業界内では失敗するものと思われていた。；そのため、損益確定が早い一般酒に力を入れる動きが泡盛業界には多い。；この現象は映画業界で話題になり、それ以降同じような映画が乱立した。；ジャズ業界の知識を援用して音楽方面に取材した作品を複数発表している。；建築用以外にも電気や水道など施工図を必要とする業界にも普及した。；旅行業界では日本最大かつ世界有数の事業規模を有する企業である。；現在精油の業界は、巨大で強力な一握りの国際的企業に支配されている。；その後映画の魅力にとりつかれ、映画業界の仕事に興味を持ち始める。；テレビ業界のみならず、出版業界からも番組の存在が注目された。；このころは業界では評価されるが、一般的には無名の状態であった。；シューティングゲーム、ゲーム業界に影響を与えたものや出来事を記す。；そして次第に音楽産業は印刷業者からレコード業界へと移っていった。；同作は映画業界関係者が予想したよりも高い興行収入を記録し、成功を収めた。；また、2000年代以降は海外でのNゲージ業界の再編が更に進行した。；ちなみに、F2とはテレビ業界の視聴率用語で主婦層を表す言葉である。；業界10位の会社が5位のシアーズを買収する試みは大きく話題となった。；当時のコンピュータ業界では最大となる買収であった。；出演料の高騰は新人声優の登用など、この後の業界構造に影響を与えた。；この一連の事件はゲーム業界の歴史において最悪の出来事となった。；それほどRSシリーズがバス業界に与えた印象が強かったのである。；これら研究所などで研究開発に携わっていた業界の著名人を以下に挙げる。；インディペンデント紙はイギリスの報道業界の重大な緊迫期に創刊された。；これらの主な標準規格の他にもそれぞれの業界ごとや企業ごとの規格が存在する。；また、医療業界でも医師が子供の患者に使用する例がある。；日本の音楽業界ではシングルの発売が先行するケースが多く欧米と異なる。；メーカー独自の仕様ではなく、業界の標準となっている仕様を用いることをオープン化という。；以降ミックは映画業界で俳優、監督業にも手を伸ばすようになった。；年一回、新作ネタのライブを行うという形で、業界関係者の目に止まる。</t>
        </is>
      </c>
      <c r="J2155">
        <f>HYPERLINK("https://www.weblio.jp/content/業界", "词义详情")</f>
        <v/>
      </c>
      <c r="K2155">
        <f>HYPERLINK("https://yourei.jp/業界", "查看例句")</f>
        <v/>
      </c>
    </row>
    <row r="2156">
      <c r="A2156" t="inlineStr">
        <is>
          <t>共学</t>
        </is>
      </c>
      <c r="B2156" t="inlineStr">
        <is>
          <t>成功</t>
        </is>
      </c>
      <c r="C2156" t="inlineStr">
        <is>
          <t>読み方：きょうがく
［名］(スル)男女が同じ学校、同じ教室で一緒に学ぶこと。「男女—」→別学</t>
        </is>
      </c>
      <c r="D2156" t="inlineStr">
        <is>
          <t>共学化(37%)；共学部；共学制；共学幼稚園；共学大学</t>
        </is>
      </c>
      <c r="F2156" t="inlineStr">
        <is>
          <t>完全共学；戦後共学</t>
        </is>
      </c>
      <c r="H2156" t="n">
        <v>29</v>
      </c>
      <c r="I2156" t="inlineStr">
        <is>
          <t>共学化した宮一の男子にも部名が命名されており、今なお存続している。；また女子高としての設置も検討されていたが直前に共学に変更になった。；元々女子校であったが生徒減少で定員割れになり、共学へ変更になった。；以後、共学化に向けて別組織だった両部の交流は盛んになっていった。；戦後共学化には性格の異なった2つの社会過程があったと考えられている。；私の中学は共学だったから、そこで男女の協力という事態が生まれる。；私は小学校だけは、西宮市の甲東園にある共学の私立学校に通っていた。；もともとは男子校だったのだそうで、共学になった今でも男子のほうが多い。；わたしは地元の村立中学を出て、共学の、ごく普通の高校に進学した。；もともとが男子高だったため、共学になった今も、男子の数が多い。；これに基づいて県教委も改めて共学化を推進することを確認した。；この大学は小さな共学私立教養系大学であり、1781年に設立された。；こうゆうのを見てるとわたしも共学にすればよかったかなって思う。；ほとんどの選手があまりにも女に弱いため、共学にするかどうか悩んでいる。；この方式は1955年の市民法改正まで継続された後、共学に変更された。；かつては女子高で商業科が設置されていたが、共学化を前に廃止されている。；共学となったその日、海外からの留学生と新しい先生が入ってくることになる。；というか逆に小学校からずっと共学の俺にはその特殊性がサッパリ分からない。；僕の通ってる学校は共学だし、女の子なんて珍しくもなんともない。；このように現在の女子大学は、共学の四年制大学と変わらない性格をもつ。；共学でも、学科・コースにより男子のみ、女子のみとしている学校がある。；幼稚園から女子校に通っていた百瀬ひな子は、高校では共学に入学する。；学費が安いなどのこともあり、共学化以降は定員超えになる事が多い。；共学だったがもはやクラスの男子に敵はいなかった。；共学ではあったが、どういうわけか男女の比率が、極端に異なっていたのである。；共学の大学へ入ると、そこの学校の男のコとしか、仲良くなれないのですね。；俺はずっと共学だからそういう風には感じないけど、やっぱりこういうのは新鮮?；それまでは共学の女子高校生の作法室などに使われていたらしい。；半世紀以上、女子高としての歴史があったが1974年に共学化された。</t>
        </is>
      </c>
      <c r="J2156">
        <f>HYPERLINK("https://www.weblio.jp/content/共学", "词义详情")</f>
        <v/>
      </c>
      <c r="K2156">
        <f>HYPERLINK("https://yourei.jp/共学", "查看例句")</f>
        <v/>
      </c>
    </row>
    <row r="2157">
      <c r="A2157" t="inlineStr">
        <is>
          <t>教科書</t>
        </is>
      </c>
      <c r="B2157" t="inlineStr">
        <is>
          <t>成功</t>
        </is>
      </c>
      <c r="C2157" t="inlineStr">
        <is>
          <t>読み方：きょうかしょ
１教科の主たる教材として用いられる図書。教科用図書。
２あることを学ぶのに適している本。「ビジネスパーソンのための—」
[補説]比喩的に「手本」「定石」「正統」などの意味で用いられることがある。「—のような試合運び」「—どおりに捜査を進める」</t>
        </is>
      </c>
      <c r="D2157" t="inlineStr">
        <is>
          <t>教科書倉庫；教科書通り；教科書編纂；教科書会社；教科書どおり</t>
        </is>
      </c>
      <c r="E2157" t="inlineStr">
        <is>
          <t>本；書；著作；著書；巻</t>
        </is>
      </c>
      <c r="F2157" t="inlineStr">
        <is>
          <t>音楽教科書；英語教科書；修身教科書；用教科書；学校教科書</t>
        </is>
      </c>
      <c r="G2157" t="inlineStr">
        <is>
          <t>教科書体；教科書問題；教科書採択；教科書裁判；教科書疑獄</t>
        </is>
      </c>
      <c r="H2157" t="n">
        <v>29</v>
      </c>
      <c r="I2157" t="inlineStr">
        <is>
          <t>戦後に入ってからは教科書だけでなく一般用の書籍も扱うようになった。；中国の高校教科書でも本物と印象づけられる紹介をされている例がある。；学者は研究書で評価されるというが、教科書で評価された数少ない学者。；日本教育音楽協会編纂の音楽教科書にも伴奏譜の作曲で貢献をしている。；日本でも中学校用のすべての国語教科書に彼の作品が収録されている。；金属及び関連材料に関する専門書や学生向けの教科書類を刊行している。；教科書に多数の作品が収録されており、また合唱曲の作詞でも知られる。；また、この時の彼の活動が、高校の英語の教科書の題材に採用されている。；教科書に載っているような半古典近似法に関連した議論は次節で述べる。；彼女の仕事は彼の影響の大きい1931年の教科書の第二巻の基礎であった。；私が教科書を音読してると、アクセントが違うなんて注意もされました。；ERモデルの基本はたいていのデータベースの教科書で触れられている。；教科書レベルから大学受験を超える程度の著書まで幅広く出版している。；様々な言語に翻訳されており、標準的な教科書として使用されている。；後に教科書にも掲載され、読書感想文の課題図書にも挙げる学校も多い。；タイでは小学校の教科書にも登場するほどの民族の英雄である。；この本は長い間、イギリスで最も良く使われる経済学の教科書となった。；数が十分でない上に、イギリスの教科書を使用していたのである。；基本的な分野であるため、講義科目や教科書名で多用される用語である。；後に彼女の夫に禁じられたが、街灯と使い古した教科書で勉強を続けた。；全国で同内容の教科書が配布され、各地域それぞれの言語で教育が行われた。；戦前の東京府青山師範学校では、教育学の教科書に使われていたという。；日本の一部の英語教科書にもローザの公民権運動についての記述がある。；日本では童謡として知られ、小学校の音楽の教科書などにも載っている。；しかし国史を扱う小学校社会教科書には靺鞨族に対する内容は全くない。；英語の授業で小林が教科書を読むと教室がシーンとなったという。；社会科の教科書にビゴーの絵が掲載されるようになったのもこれ以降である。；これは教科書および専門書がロシア語で書かれた物しか存在しなかったからである。；費用は初年度91万円に別途、教科書・制服・制定品などの費用も必要。</t>
        </is>
      </c>
      <c r="J2157">
        <f>HYPERLINK("https://www.weblio.jp/content/教科書", "词义详情")</f>
        <v/>
      </c>
      <c r="K2157">
        <f>HYPERLINK("https://yourei.jp/教科書", "查看例句")</f>
        <v/>
      </c>
    </row>
    <row r="2158">
      <c r="A2158" t="inlineStr">
        <is>
          <t>共感</t>
        </is>
      </c>
      <c r="B2158" t="inlineStr">
        <is>
          <t>成功</t>
        </is>
      </c>
      <c r="C2158" t="inlineStr">
        <is>
          <t>読み方：きょうかん
［名］(スル)他人の意見や感情などにそのとおりだと感じること。また、その気持ち。「—を覚える」「—を呼ぶ」「彼の主張に—する」</t>
        </is>
      </c>
      <c r="D2158" t="inlineStr">
        <is>
          <t>共感する(8%)；共感できる(4%)；共感的(2%)；共感しやすい；共感ボックス</t>
        </is>
      </c>
      <c r="E2158" t="inlineStr">
        <is>
          <t>理解；同情；了解；同調；共鳴</t>
        </is>
      </c>
      <c r="F2158" t="inlineStr">
        <is>
          <t>深い共感；大きな共感；深く共感；強く共感；共感的理解</t>
        </is>
      </c>
      <c r="G2158" t="inlineStr">
        <is>
          <t>共感性；共感能力；共感力；共感の粉</t>
        </is>
      </c>
      <c r="H2158" t="n">
        <v>29</v>
      </c>
      <c r="I2158" t="inlineStr">
        <is>
          <t>話の構成が一般サラリーマンでも理解・共感しやすい設定になっている。；しかしこのときも、彼の理想は一般の共感を獲得するには至らなかった。；その勇気ある行動には多くの共感の声が寄せられたが2000年に破局。；また人間には自分と立場の異なる人にも共感する能力があるおかげでもある。；共感の技術であるため、相手の気持ちを理解しているほど効果がある。；出演者がさまざまなテーマに基づき、カメラの前で共感を得ようとする。；また、共感と尊敬をこめて一般の労働者階級に属する人々を描いてもいた。；著述家の共感が得られるかどうかは、王党派か自由党派かに左右された。；日本でも、作品は数多く繰り返し上演され、大きな共感を呼び起こした。；この運動以降、中国の青年達に共産主義思想への共感が拡大していく。；しかし、実際には、レイモン・バールに共感していたわけではなかった。；今でも作品の数々が人々の恋心に共感を呼び高く評価されている。；サーカスでの経験がアンチヒーローへの共感として現れているとされる。；本を片付けながら、ジョーは自分が心酔している共感主義のことを語る。；結局は彼らの主張に共感できず、最終的に自身の思想を理論化することを放棄した。；この言葉が野球ファンの共感を得たため、照明灯は設置されてこなかった。；このフェスタは、住民たちの共感を得ており、大変に人気のある祭である。；番組で紹介され、本部長の共感を得たメッセージは「社判」が押される。；ポーランドの自由回復の悲願はヨーロッパ中から大きな共感を得た。；このころは柳宗悦の民芸運動にも共感を寄せているが、のちに訣別する。；また、平成三部作のように子供と共感して力を発揮するシーンも見られる。；ババが教えた共感を実践する代わりに、人は彼の名前で戦争を始める。；マルキエビッチは貴族であったが、普通の労働者たちへの共感を抱いていた。；二編の論文には、常に理論的な批判を伴いながらも、共感の見解が含まれている。；ファンが聖蹟桜ヶ丘を訪れる動機に、この要素への共感もあると考えられた。；少女に共感した牧原が彼女に触れると「火に包まれた家」が見えるという。；強い個性を表しながらも、読者の共感を広く呼んでいる点が評価されている。；その姿勢は、一般民衆のみならず様々な人々の共感や信頼を得ることになった。；英国の社会状況を反映した物語は若者の共感を集めた。</t>
        </is>
      </c>
      <c r="J2158">
        <f>HYPERLINK("https://www.weblio.jp/content/共感", "词义详情")</f>
        <v/>
      </c>
      <c r="K2158">
        <f>HYPERLINK("https://yourei.jp/共感", "查看例句")</f>
        <v/>
      </c>
    </row>
    <row r="2159">
      <c r="A2159" t="inlineStr">
        <is>
          <t>競技</t>
        </is>
      </c>
      <c r="B2159" t="inlineStr">
        <is>
          <t>成功</t>
        </is>
      </c>
      <c r="C2159" t="inlineStr">
        <is>
          <t>読み方：きょうぎ
［名］(スル)一定の規則に従って、技術や運動能力の優劣を互いにきそうこと。「陸上—」「珠算—」</t>
        </is>
      </c>
      <c r="D2159" t="inlineStr">
        <is>
          <t>競技用(4%)；競技場(4%)；競技規則；競技者；競技生活</t>
        </is>
      </c>
      <c r="E2159" t="inlineStr">
        <is>
          <t>戦；試合；ゲーム；戦い；比べ</t>
        </is>
      </c>
      <c r="F2159" t="inlineStr">
        <is>
          <t>各競技；正式競技；公開競技；アイスダンス競技；野球競技</t>
        </is>
      </c>
      <c r="G2159" t="inlineStr">
        <is>
          <t>競技場；競技者；競技大会；競技種目；競技団体</t>
        </is>
      </c>
      <c r="H2159" t="n">
        <v>29</v>
      </c>
      <c r="I2159" t="inlineStr">
        <is>
          <t>全競技がオーストラリアで開催されたのは、この大会が初めてとなった。；なお競技時間は区分以外にも、大会運営に応じてに変更されることがある。；サッカー選手とは、サッカーにおいて競技を実際に行う者のことである。；アイスホッケー用以外の靴を競技に用いるのは危険なため禁止されている。；大会に参加すると競技ごとの参加得点として10ポイントが与えられる。；硬式テニスのシングルスと同サイズのコートで競技されることになった。；そこで行われる競技の中に棒倒しがあり、第一回開校祭から続いている。；なお、この試合の中継がすべての競技を通じて最高の視聴率を獲得した。；なお、現在ターンテーブル式は準競技用モデルが残るのみとなっている。；長い歴史を持つ競技ゆえに数多くの決まり手やその呼称が考案された。；そこでこれらの競技では20世紀初頭から選手のプロ化が始まった。；この事件が競技中に起きたことから、全スポーツ界に大きな衝撃が広がる。；主に女子の競技であり、男子では主に110メートルハードルが行われる。；さりながら、競技運動の目的は単純で狭いが、柔道の目的は複雑で広い。；ロデオ競技にその技術が使われてはいるが、ロデオ競技とは別物である。；公式競技は屋内で行われ、時間内に多くの得点を挙げたチームが勝利となる。；競技の方は続行し、2020年東京オリンピック出場を目指すとされた。；フィギュアスケートを正確に描く競技から発展したことに由来する。；現在でもスポーツ競技などの合図や信号用などとして一般的に用いられる。；また、サッカーなどスポーツ競技内ではUAEを使用することが多い。；ともに国民体育大会のソフトボール競技開催地となって以来の交流による。；これらの競技は現在のラグビーフットボールに似ていると思われる。；特に以下の分類で同じ分類の競技ではより多くなっている。；主に男子の競技であり、女子では100メートルハードルが行われる。；競技はドラッグストリップと呼ばれる直線の専用レース場で行われる。；競技に使用されるトラックは、多くの場合競技専用に開発された車両が使用される。；競技規則を整備し加盟団体の統括と世界的な競技大会の運営を担う。；競技が可能な道路幅と路面状況であることが開催の条件となる。；サッカーや野球などの競技でチームのレプリカユニフォームが製造されている。</t>
        </is>
      </c>
      <c r="J2159">
        <f>HYPERLINK("https://www.weblio.jp/content/競技", "词义详情")</f>
        <v/>
      </c>
      <c r="K2159">
        <f>HYPERLINK("https://yourei.jp/競技", "查看例句")</f>
        <v/>
      </c>
    </row>
    <row r="2160">
      <c r="A2160" t="inlineStr">
        <is>
          <t>協議</t>
        </is>
      </c>
      <c r="B2160" t="inlineStr">
        <is>
          <t>成功</t>
        </is>
      </c>
      <c r="C2160" t="inlineStr">
        <is>
          <t>読み方：きょうぎ
［名］(スル)集まって相談すること。「対策を—する」</t>
        </is>
      </c>
      <c r="D2160" t="inlineStr">
        <is>
          <t>協議会(14%)；協議員；協議機関；協議委員会；協議体</t>
        </is>
      </c>
      <c r="E2160" t="inlineStr">
        <is>
          <t>議論；相談；会談；審議；対話</t>
        </is>
      </c>
      <c r="F2160" t="inlineStr">
        <is>
          <t>推進協議；連絡協議；対策協議；同協議；連立協議</t>
        </is>
      </c>
      <c r="G2160" t="inlineStr">
        <is>
          <t>協議離婚；協議離縁</t>
        </is>
      </c>
      <c r="H2160" t="n">
        <v>29</v>
      </c>
      <c r="I2160" t="inlineStr">
        <is>
          <t>これを受けて韓国は緊急の国家安全保障会議を開催して対応を協議した。；ベトナム側が協議事項としなかったことが、韓国には幸いしたのである。；そこで門下が協議し、冬を迎える前に温泉での療養を行うことになった。；教区の変更の線引きは教会と国家が協議して決めるということになった。；幾人かの大人は、後の捕虜交換の協議によって交換もしくは解放された。；彼はオーストリア皇帝や廷臣たちと作戦計画や補給関連の協議を持った。；中継本数についてはシーズン前にロッテ球団との協議の上で決めている。；道路の使用開始の際に事業施行者から自治体への協議、通知等は行われない。；離婚が協議されたものの、結局、二人は不幸な結婚生活を続けることとなった。；なお、これらの中には当協議会の旧称などから想起されるものもある。；当初は、県央地域全体で政府案に沿った合併協議が進められていた。；再勧告により協議が再開され最終的に各自治体とも合併に合意した。；またこの会議の後、留萌市が存続協議から一時的に離脱する事態となった。；これらはいずれも地位協定に基づく協議と合意の対象としている。；近隣の玉名市等と合併を協議していたが、2004年11月に断念した。；政府を代表して、アハーンは労使間の間で賃金の合意について協議した。；第11条で6ヶ月以内に再度協議することを定めたのみであった。；彼は査察条件について合意する前に自らと協議しなかったことで憤っていた。；このほかにも多くの国が欧州連合への加盟協議を続けている。；会長の選出には、選挙や学級代表による協議、教員推薦など様々である。；FDAは開発側が協議のために定期的に来訪していると述べている。；証券処理調整協議会に販売が委ねられた株式は根拠法が多岐にわたった。；通常10年単位で河川管理者と協議して更新することとなっている。；主に全国映画教育協議会に加盟する大学の学部・学科を記載する。；同年12月11日には市民、志木市、開発業者の三者協議の会が発足した。；また、幕閣と協議した末、信長に「室町殿御父」の称号を与えて報いた。；その後、当時の町長だけが訓子府町と置戸町を交えて協議を進めていた。；さらに南アフリカの建築専門家協議会にも登録する必要がある。；なお和解協議は継続されていたが、同3月17日で打ち切られている。</t>
        </is>
      </c>
      <c r="J2160">
        <f>HYPERLINK("https://www.weblio.jp/content/協議", "词义详情")</f>
        <v/>
      </c>
      <c r="K2160">
        <f>HYPERLINK("https://yourei.jp/協議", "查看例句")</f>
        <v/>
      </c>
    </row>
    <row r="2161">
      <c r="A2161" t="inlineStr">
        <is>
          <t>行儀</t>
        </is>
      </c>
      <c r="B2161" t="inlineStr">
        <is>
          <t>成功</t>
        </is>
      </c>
      <c r="C2161" t="inlineStr">
        <is>
          <t>読み方：ぎょうぎ
１礼儀の面からみた立ち居振る舞い。また、その作法・規則。「—よく座る」「—が悪い」
２しわざ。行状。
「悉皆(しっかい)盗人の—か」〈浄・大経師〉
３仏語。行事の儀式のやり方。</t>
        </is>
      </c>
      <c r="D2161" t="inlineStr">
        <is>
          <t>行儀よく(31%)；行儀悪く(4%)；行儀良く(4%)；行儀見習い(3%)；行儀わるく</t>
        </is>
      </c>
      <c r="E2161" t="inlineStr">
        <is>
          <t>行動；行い；態度；行為；仕方</t>
        </is>
      </c>
      <c r="F2161" t="inlineStr">
        <is>
          <t>御行儀；行儀正し；行儀見習；行儀よく正座；行儀よく坐</t>
        </is>
      </c>
      <c r="G2161" t="inlineStr">
        <is>
          <t>行儀正しく；行儀正しい</t>
        </is>
      </c>
      <c r="H2161" t="n">
        <v>29</v>
      </c>
      <c r="I2161" t="inlineStr">
        <is>
          <t>ちゃんと行儀よくしていて、わしがどんなことをたずねても答えるのだ。；そして給仕の女と見えて美しい娘がその前にじっと行儀よく坐っている。；それほどこの娘のことを、行儀も身持ちも頭もいいと思っていたわけだ。；世子といえどもやはり行儀に坐っていて足一つ横へ出す事もせられない。；そのお行儀のよさがこの戦争の中途ごろまでは続いてゐたやうである。；こんな行儀のええ婆さんの世話は初めてだと近所のおかみさんはいった。；人の石を殺しに行くことしか知らない行儀の悪い碁になってしまった。；それで、まず普通はネコたちは行儀がよかったが、一匹だけ例外がいた。；まるで、こういうことで冗談をいうのは行儀が悪いと思ってるみたい。；この小磯先生の目に、私たち夫婦は何とも行儀が悪く見えたのであろう。；そうしてその左右に十六むさしに似たる形が四個ずつ行儀よく並んでいる。；快活に話しあっている二人もあり、行儀よく並んでかけているのもあった。；やはり主君を待っているという気持からか、行儀よくしているのである。；白砂の毛布の上に行儀よく母と妙と太郎が三人並んで寝たままだった。；今これを上から見ると、そこに四つの体をなして行儀よく並んでいる。；別にこの女が行儀の悪さを気にするような玉だというわけではないが。；この辺りの建物を見るように、滝氏は行儀がいいが、冷たいのである。；お行儀よく葉のうえにすわって、その葉を食べていればいいんですわ。；誰でも普段は礼儀正しく感じ良くお行儀良くしていなくてはいけない。；元来から行儀のよくない髯でみんな思い思いの姿勢をとって生えている。；横に長い長方形のマンションが、通りを挟んで行儀よく二列に並んでいる。；行儀が悪いと母に怒られることがあったけどその格好が好きだった。；その証拠に骸骨たちは行儀よく漕ぐのを止めて次の命令を待っている。；向うの家の二階の窓には、百合や薔薇の鉢植が行儀よく幾つも並んでゐる。；枕は落ちて、行儀を外し、衾はその下に何もないかのようで平べッたい。；田舎の人でも、実に日本と違って、行儀がよいので、大変気もちがよい。；こんなふうに笑うのはお行儀が悪いのか、母親に確かめるためだった。；長い話が終わると、行儀見習いの若い者が短刀を三に載せて運んできた。；シトロンが決して落ちないようにするには、常に行儀よくしていればいい。</t>
        </is>
      </c>
      <c r="J2161">
        <f>HYPERLINK("https://www.weblio.jp/content/行儀", "词义详情")</f>
        <v/>
      </c>
      <c r="K2161">
        <f>HYPERLINK("https://yourei.jp/行儀", "查看例句")</f>
        <v/>
      </c>
    </row>
    <row r="2162">
      <c r="A2162" t="inlineStr">
        <is>
          <t>供給</t>
        </is>
      </c>
      <c r="B2162" t="inlineStr">
        <is>
          <t>成功</t>
        </is>
      </c>
      <c r="C2162" t="inlineStr">
        <is>
          <t>読み方：きょうきゅう
［名］(スル)
１必要に応じて、物を与えること。「被災者に物資を—する」
２販売のために、商品を市場に出すこと。また、その数量。⇔需要。</t>
        </is>
      </c>
      <c r="D2162" t="inlineStr">
        <is>
          <t>供給する(16%)；供給される(6%)；供給区域(3%)；供給事業；供給源</t>
        </is>
      </c>
      <c r="E2162" t="inlineStr">
        <is>
          <t>提供；出す；用意；発行；配給</t>
        </is>
      </c>
      <c r="F2162" t="inlineStr">
        <is>
          <t>安定供給；燃料供給；電気供給；エネルギー供給；水供給</t>
        </is>
      </c>
      <c r="G2162" t="inlineStr">
        <is>
          <t>供給量；供給者；供給力；供給契約；供給曲線</t>
        </is>
      </c>
      <c r="H2162" t="n">
        <v>29</v>
      </c>
      <c r="I2162" t="inlineStr">
        <is>
          <t>そして各需要家に発電所から電気を供給するためのシステムを構築した。；この仕様の中では外部データの入力または計算結果の出力は供給しない。；これはチャーチル首相がソ連に大量の航空機を供給していたからである。；多くの川では漁業も盛んであり、重要な食料供給源の一つとなってきた。；そのためほとんどの地域はプロパンガスによってガスが供給されている。；水の雲は惑星内部から供給される熱を受けて、雷のエネルギーを蓄積する。；現在でも北陸電力は全国でもトップクラスの安さで電力を供給している。；仕事を外部に取り出すとエネルギーを外部から供給する必要ができてしまう。；ただし、近年は市場への供給が減っており、貴重な木材となりつつある。；供給とは、購入または販売のために利用可能な財またはサービスの量である。；携帯電話は供給せずPHSのみ供給していたメーカーも存在する。；江戸時代に入り鎖国がなされると、国内で硝石を供給せざるを得なくなる。；ベントン母型彫刻機を導入して新たに活字を供給する事例が出現した。；これは2007年の年末に、商品の供給が追いつかなかったためである。；後にセントアンソニー滝は製粉所の動力を供給するために活用された。；FeliCaチップの供給数に余裕が無いため全機種対応にならなかった。；生物の栄養供給の形は、食う・食われるの形だけをとるものではない。；狭義には、その中でも商品やサービスの供給・提供が行われていない市場とされる。；逆に燃焼速度が遅いガスが供給されると、バーナーから離れようとする。；現在の都市計画制度はこの時期にできた住宅供給関連の法律や概念に由来するともいえる。；ロシアは56か国および東部ウクライナの反乱部隊へ武器を供給した。；中国は全世界の緑茶の約75パーセントを供給する主要生産国である。；古くは単純に外部からエネルギーを供給しなくても永久に運動を続ける装置と考えられていた。；そのため、ニュースも以下に上げる各系列から供給された。；この発明によって、産業と家庭に経済的に電力を供給することが可能となった。；当時、ルーマニア軍の装備品を供給していたのはソ連であった。；日本は施設栽培が主流に行われており、年間を通じて安定的に供給されている。；ユダヤ人労働者や供給業者から告発されたことはなかった。；これ以降14世紀までの間、ヨーロッパでの紙の供給地は、イタリアとなった。</t>
        </is>
      </c>
      <c r="J2162">
        <f>HYPERLINK("https://www.weblio.jp/content/供給", "词义详情")</f>
        <v/>
      </c>
      <c r="K2162">
        <f>HYPERLINK("https://yourei.jp/供給", "查看例句")</f>
        <v/>
      </c>
    </row>
    <row r="2163">
      <c r="A2163" t="inlineStr">
        <is>
          <t>境遇</t>
        </is>
      </c>
      <c r="B2163" t="inlineStr">
        <is>
          <t>成功</t>
        </is>
      </c>
      <c r="C2163" t="inlineStr">
        <is>
          <t>読み方：きょうぐう
その人が置かれた、家庭環境・経済状態・人間関係などの状況。身の上。境涯。「恵まれた—に育つ」</t>
        </is>
      </c>
      <c r="D2163" t="inlineStr">
        <is>
          <t>境遇改善；境遇惡變；境遇次第</t>
        </is>
      </c>
      <c r="E2163" t="inlineStr">
        <is>
          <t>状態；場；様子；立場；定め</t>
        </is>
      </c>
      <c r="F2163" t="inlineStr">
        <is>
          <t>不幸な境遇；悲惨な境遇；どんな境遇；そういう境遇；みじめな境遇</t>
        </is>
      </c>
      <c r="H2163" t="n">
        <v>29</v>
      </c>
      <c r="I2163" t="inlineStr">
        <is>
          <t>しかしながらそのいずれが本なりやと言えば、境遇は末で人が本である。；私が口出する事じゃないですが、なぜそんな境遇になったか尋ねません。；このような境遇は、後に彼の作品に幾度も登場するテーマとなっている。；きみはここから出るべきだ、きみはこの惨めな境遇にもう耐えられない。；彼はすべての点で自分達の置かれている境遇をよく知りつくしていた。；ふたりは境遇を同じくする当事者同士のこの対面を互いに喜んだという。；血の繋がらない愛情の無い家庭で育った翼の境遇を知り暦は愕然とする。；たぶん自分のような境遇の娘が生活を求めるには妾という道も一筋ある。；そこでは、夜になるとさまざまな境遇を持った猫たちが集会を開いている。；何かしなくては一日の生命を保ちがたい男の境遇よりもまだみじめである。；それには小さい時から境遇や、また私の受けた心の傷やのせいもありますがね。；どんなことが私の境遇に起こってきても文句をいわないでそのまま受けよう。；そこではじめてそういう境遇にわれわれはおかれることができるのであります。；何をやってもうまくいかない自らの境遇が、反映されているかのようであった。；数日後、自分の境遇とよく似た恋愛ドラマがラジオで流れてしまう。；人の性格や境遇は千差万別なので、犯罪の動機や原因も人それぞれである。；こうした境遇のうちに、私はともかくも十四の春、高等小学だけを出た。；自分は決心さえすればどんな境遇にでも自分をはめ込む事ぐらいできる女だ。；でもきっときみがぼくの境遇だったら、ぼくと同じことをしたかもしれないよ。；彼は過去に母親に捨てられた経験から、同じ境遇の人を放っておけない性分。；大分くどい所はあるが、やはり二首目の歌に、境遇も、時代も出てゐる。；それに伴い、境遇に不満を募らせた奴隷が大規模な反乱を起こすこととなる。；そんな彼の悩みは、自分の境遇があまりに他の子供と違いすぎることだった。；共感力が非常に高く、自身と似た境遇をした人には優しい態度を取る。；当初身元が分からず、特異な境遇が世界中に報道されて話題となった。；却つて父の苦しい境遇に同情する、泣き度いやうな表情が現れてゐた。；あなたがたは求めずしてその境遇を体験するの機会を得られたのだ。；予が現在かういふ長い手紙を君に書き送り得る境遇にゐるといふ事である。；また、卑弥呼と天照大御神の登場の境遇が類似しているという説もある。</t>
        </is>
      </c>
      <c r="J2163">
        <f>HYPERLINK("https://www.weblio.jp/content/境遇", "词义详情")</f>
        <v/>
      </c>
      <c r="K2163">
        <f>HYPERLINK("https://yourei.jp/境遇", "查看例句")</f>
        <v/>
      </c>
    </row>
    <row r="2164">
      <c r="A2164" t="inlineStr">
        <is>
          <t>教訓</t>
        </is>
      </c>
      <c r="B2164" t="inlineStr">
        <is>
          <t>成功</t>
        </is>
      </c>
      <c r="C2164" t="inlineStr">
        <is>
          <t>読み方：きょうくん
［名］(スル)教えさとすこと。また、その内容・言葉。「—をたれる」「—を得る」</t>
        </is>
      </c>
      <c r="D2164" t="inlineStr">
        <is>
          <t>教訓的(6%)；教訓書；教訓状；教訓めい；教訓性</t>
        </is>
      </c>
      <c r="E2164" t="inlineStr">
        <is>
          <t>教え；教義；戒め；戒律；諺</t>
        </is>
      </c>
      <c r="F2164" t="inlineStr">
        <is>
          <t>大きな教訓；いい教訓；御教訓；よい教訓；良い教訓</t>
        </is>
      </c>
      <c r="G2164" t="inlineStr">
        <is>
          <t>教訓抄；教訓主義；教訓劇；教訓絵；教訓のススメ</t>
        </is>
      </c>
      <c r="H2164" t="n">
        <v>29</v>
      </c>
      <c r="I2164" t="inlineStr">
        <is>
          <t>世俗的で教訓的なこの絵が描かれた背景にはおそらく2つの起源がある。；今後の教訓となるような1000年後に残したい報道映像を放送する。；寂静の巻は教えをそのまま述べたが、この巻は物語の形式で教訓を述べる。；この教訓からイスラエル空軍はより本格的な救難部隊設立の検討を始めた。；友鶴事件の教訓を踏まえて計画された当初の計画要目は以下の様であった。；この話の教訓は、持っているもので満足すべきだということである。；ロシアは蒙昧で時間の外に立ち、他の人類に教訓を与えるためにのみ存在する。；中共軍はこれらの教訓を素早く学び、や狙撃稜線での戦闘で適用された。；これらは第一次世界大戦の西部戦線で大きな効果を持って使われ得た教訓だった。；清仏戦争の教訓の全てが清帝国の前近代的な指揮系統や装備を示していた。；過去の現実のサバイバル事例の記録は、非常に優れた情報や教訓を含んでいる。；この事件を教訓に、以降の公開行事では警備人員が大幅に増強されている。；明暦の大火の教訓を元に整備され、江戸三大広小路の一つに挙げられる。；最後の段落には、初期の平和を取り戻し教訓を述べる部分が必ずある。；このことから、これを教訓として規制の強化が図られ、全国で実行された。；いずれあなたも人生で学ばなければならない教訓を学ぶことができるのかもしれません。；これを教訓に女鳥羽川にかかる橋には橋脚が取り付けられていない。；本事件を教訓に、隣接する複数県警が合同で誘拐訓練を行うようになった。；この事故を教訓にして、トンネル内での防災設備の重要性が再認識された。；このおかげでドロシーは個人行動とキリスト教コミュニティから教訓を得た。；一方でその劇場の創設者は、暴動とアスター劇場の終焉から教訓を得た。；理由は、事実に基づく教訓と、そこから得られる人間性への理解を求めたためである。；他のサンリオアニメ作品と比べ道徳的かつ教訓的な内容の作品が多い。；理由は後世のために海軍が行った良い事も悪い事も残し、教訓とするためだったと言う。；ヴィクトリア朝時代の小説のスタイルを持ち、教訓的な道徳寓話である。；テイ橋の教訓からフォース橋は強風の影響を考慮して設計されている。；「時間を無駄にしてはならない」という教訓を人に教えるための道具。；その後、この失敗を教訓とし、軍上層部は改めて強靭な組織作りを進めた。；この事故を教訓として、ECは化学工場の安全規制を定めたを定めている。</t>
        </is>
      </c>
      <c r="J2164">
        <f>HYPERLINK("https://www.weblio.jp/content/教訓", "词义详情")</f>
        <v/>
      </c>
      <c r="K2164">
        <f>HYPERLINK("https://yourei.jp/教訓", "查看例句")</f>
        <v/>
      </c>
    </row>
    <row r="2165">
      <c r="A2165" t="inlineStr">
        <is>
          <t>強行</t>
        </is>
      </c>
      <c r="B2165" t="inlineStr">
        <is>
          <t>成功</t>
        </is>
      </c>
      <c r="C2165" t="inlineStr">
        <is>
          <t>読み方：きょうこう
［名］(スル)無理を押しきって強引に行うこと。「採決を—する」「—突破」</t>
        </is>
      </c>
      <c r="D2165" t="inlineStr">
        <is>
          <t>強行する(9%)；強行突破(7%)；強行出場(5%)；強行犯(4%)；強行偵察(3%)</t>
        </is>
      </c>
      <c r="E2165" t="inlineStr">
        <is>
          <t>敢行；決行；断行；竜騎兵</t>
        </is>
      </c>
      <c r="F2165" t="inlineStr">
        <is>
          <t>強行渡河；強行すれ；強行策；強行採決；強行指名</t>
        </is>
      </c>
      <c r="G2165" t="inlineStr">
        <is>
          <t>強行採決；強行着陸；強行法規；強行日程；強行規範</t>
        </is>
      </c>
      <c r="H2165" t="n">
        <v>29</v>
      </c>
      <c r="I2165" t="inlineStr">
        <is>
          <t>また住民の協力も得られないため攻撃を強行しても成果が出なかった。；この併合強行がクラウディウス時代に起きた大きな反乱の原因となった。；開幕直前に右手薬指を骨折したが完治しないまま開幕戦を強行出場する。；欧陽脩は嫌いな書物・国家の検閲を経ない出版の禁止を強行している。；ついにはジオン軍のコロニー落としが強行され、地球は大被害を受けた。；しかし科学文明が発展し魔女の力を恐れた人間族の王が魔女狩りを強行する。；当時の日本軍は、南号作戦の名の下に石油の強行輸送を計画していた。；日本軍はこのことに気がつかず、実効の少ない作戦を強行した形となった。；フルシチョフは鉄道の管轄は自分にあると主張したが、ベリヤは強行した。；多号作戦のような前線への強行輸送船団の指揮に活用された例もある。；このように作戦指揮権で問題を内包した状態での作戦強行となった。；一時は意識を失い担架で運ばれるも、その後意識を取り戻し強行出場した。；このように多くの反対があったにもかかわらず、大王はこの布陣を強行した。；NASAは事故の可能性を事前に警告されていたが、打ち上げを強行した。；この事には政権内でも批判が噴出したが、サーレハは出馬を強行した。；それにも関わらず合衆国が計画を強行したことから、国内でも批判が殺到。；これには政権からの反対があったが、プランクは実施を強行した。；日産自動車側からは指名見送りの要望があったが、大洋が強行指名した。；大友の老中・吉岡長増達は反対していたが、義鎮は命令を強行させている。；この頃から、猪木派の強行な新日本への内部介入が表面化していった。；この試合は腰と背中を痛めたまま強行出場していたことがレコ本人の口から語られている。；わが党や住民の反対を無視して総合演習を強行し、このような事故を起こした責任は重大だ。；直ちに着陸しなければならない事情がある場合には構わず着陸を強行する。；強行突入任務を想定して開発されており、数機のMSを搭載することも可能である。；助かったグループはいずれも強行下山せず待機したことで難を逃れた。；しかし国民情緒法と俗称される以下の法律が国策で強行され、適用された。；しかし彼は実験が中断されることを恐れてこの事故を地上クルーに報告せずに実験を強行した。；第二水雷戦隊は再びガダルカナル島への強行輸送作戦に従事することになった。；強行出場を続けたが不振に拍車をかけることとなり、打撃成績はさらに低下した。</t>
        </is>
      </c>
      <c r="J2165">
        <f>HYPERLINK("https://www.weblio.jp/content/強行", "词义详情")</f>
        <v/>
      </c>
      <c r="K2165">
        <f>HYPERLINK("https://yourei.jp/強行", "查看例句")</f>
        <v/>
      </c>
    </row>
    <row r="2166">
      <c r="A2166" t="inlineStr">
        <is>
          <t>強硬</t>
        </is>
      </c>
      <c r="B2166" t="inlineStr">
        <is>
          <t>成功</t>
        </is>
      </c>
      <c r="C2166" t="inlineStr">
        <is>
          <t>読み方：きょうこう
［名・形動］自分の立場・主張を強い態度であくまでも押し通そうとすること。また、そのさま。「—な態度」「—に反対する」
[派生]きょうこうさ［名］</t>
        </is>
      </c>
      <c r="D2166" t="inlineStr">
        <is>
          <t>強硬策(7%)；強硬な態度(6%)；強硬な姿勢(5%)；強硬な反対(4%)；強硬的</t>
        </is>
      </c>
      <c r="E2166" t="inlineStr">
        <is>
          <t>強い；固い；頑丈；硬い；ハード</t>
        </is>
      </c>
      <c r="F2166" t="inlineStr">
        <is>
          <t>強硬態度；対外強硬；強硬な外交姿勢；強硬な反共主義者；強硬な対決姿勢</t>
        </is>
      </c>
      <c r="G2166" t="inlineStr">
        <is>
          <t>強硬姿勢；強硬論；強硬手段；強硬路線；強硬外交</t>
        </is>
      </c>
      <c r="H2166" t="n">
        <v>29</v>
      </c>
      <c r="I2166" t="inlineStr">
        <is>
          <t>このことが、後の彼の強硬な態度につながっているとするものである。；両親はそれには強硬に反対しており何の援助もできないと通告してきていた。；日本製糖業界側の一方的かつ強硬な態度は日本国内からも批判を浴びた。；こうして事件は解決したが、日本側の強硬な対応は内外で問題となった。；信長は強硬策を用いて大河内城の攻撃を図るも失敗し、戦いは長期化した。；北方では匈奴が王莽の強硬な外交政策に反発して以来勢力を増していた。；こうした強硬策は、教会および民衆から、皇帝が反発を買う要因となった。；だが、ソ連側は有利に戦争を進めており、強硬な姿勢で交渉に臨んでいた。；しかし、イスラーム国家の拡張に伴い、強硬な姿勢は維持できなくなる。；編集性向は保守的であるとされ、韓国の新聞の中でも強硬派に属する。；何度かの修正が加わったが、譲れない所にはヴェルディは強硬だった。；また渡邉はプレーオフ制に最後まで強硬に反対していた一人である。；残る家老は、最も強硬に内膳に反発していた川井伊勢守ただ一人になる。；ニューカッスル公爵の指示で2人は強硬な態度に出て、交渉を成功させた。；しかし、最高裁判所が強硬な南部の見解を是認したことが象徴的なものになった。；これにソ連が反対してソ連統治地区で東ドイツマルクを発行し、強硬策に出た。；このような開国・開化に最も強硬に反対したのが衛正斥邪派であった。；逆に実のない強硬策が提案された時には問題点を鋭く指摘し、一蹴している。；しかし彼の強硬政策は後のインド大反乱の原因の一つとなった。；一方で、1997年にスーダンの政府は、強硬な姿勢を後退させ始めた。；強硬な姿勢を持ち過激な発言が多いため、大きな論議を呼ぶことが多かった。；結果アジア太平洋地域では強硬な帝国主義政策が遂行されることになった。；一方、ポーランドは英仏からの軍事援助を頼みに、ドイツの要求を強硬に拒否。；しかし、遺族が強硬な態度で拒否したために適用されなかった。；アメリカでは最も強硬な反共主義者達がこの決定に反対した。；公園管理事務所職員の撤去要請と「公園法」を根拠に強硬な制止を続けた。；こうした扱いに不満を持ったAP は、権益拡大を強硬に主張した。；禁止品目を減少させることでフランスは同意したが、ロシアの強硬な反対で成立しなかった。；ベルカ政府は周辺諸国に強硬な態度を見せるようになっていった。</t>
        </is>
      </c>
      <c r="J2166">
        <f>HYPERLINK("https://www.weblio.jp/content/強硬", "词义详情")</f>
        <v/>
      </c>
      <c r="K2166">
        <f>HYPERLINK("https://yourei.jp/強硬", "查看例句")</f>
        <v/>
      </c>
    </row>
    <row r="2167">
      <c r="A2167" t="inlineStr">
        <is>
          <t>競合</t>
        </is>
      </c>
      <c r="B2167" t="inlineStr">
        <is>
          <t>成功</t>
        </is>
      </c>
      <c r="C2167" t="inlineStr">
        <is>
          <t>読み方：きょうごう
［名］(スル)
１せりあうこと。きそいあうこと。「大手各社が—する市場」
２私法上、単一の事実または要件について、評価あるいはその効果が重複すること。また、刑法で、同一行為が数個の罪名にあたること。
３コンピューターで、異なるソフトウエアやハードウエアが、同じファイルにアクセスしたり、同じデバイスを利用したりすることで、動作が不安定になったり、データ更新の整合性が失われたりすること。</t>
        </is>
      </c>
      <c r="D2167" t="inlineStr">
        <is>
          <t>競合する(24%)；競合他社(7%)；競合関係(5%)；競合相手(3%)；競合的(2%)</t>
        </is>
      </c>
      <c r="E2167" t="inlineStr">
        <is>
          <t>対抗；争い；戦う；競技；勝負</t>
        </is>
      </c>
      <c r="F2167" t="inlineStr">
        <is>
          <t>競合路線；直接競合；競合メーカー；主な競合；非競合</t>
        </is>
      </c>
      <c r="G2167" t="inlineStr">
        <is>
          <t>競合状態；競合モデル；競合阻害剤；競合性；競合阻害</t>
        </is>
      </c>
      <c r="H2167" t="n">
        <v>29</v>
      </c>
      <c r="I2167" t="inlineStr">
        <is>
          <t>同じ季節に競合して提供しないものを比較する事は本質的に意味がない。；また、各プロジェクト間で編集競合した場合、調整の場の提供をします。；しかし、神戸本線で行われているような競合対策は一切行われていない。；また、東海道新幹線と競合しないように路線位置の調整が行われている。；大手の大軌が競合線を運行するとなれば吉野鉄道は存続の危機である。；JR東日本が競合する飛行機との比較広告を出稿する初の事例であった。；この時期にはイングランドと競合しつつも繊維産業が発展をみせた。；いずれも元軌道線であり、これらとの競合も市電にとって脅威となった。；これには瀬戸内海航路との競合があったことが一因であると言われている。；ロック方式の考え方は「競合を起こしうる変更は事前に許可しない」である。；なお、多数あった競合誌もこの頃までにはほぼ整理されている。；フルダー・ツァイトゥングに競合する日刊紙はその後出版されていない。；住友グループで競合している住友不動産とは一定の距離を置いている。；競合を避ける為にはセマフォやロックなどで競合を回避しなければならない。；競合する江若鉄道に対抗するため複線で直進的なルートで建設されている。；ESA が担当する部分は ESA の他の計画と資金的に競合していた。；反面、機材の競合も多く、整備や部品管理などの効率が悪くなっている。；だが競合社が20社ほどあった中の最後発だった事もあり、差別化を模索。；約12nt以上にうまく成長できたときにRNAはようやく競合に勝つ。；分社後は各々の営業地域でグループ社同士の複数競合も多々見られる。；市街地では、1km以内に10店以上のコンビニが並んで競合している。；A320と競合する737についても同様の後継機問題を抱えていた。；この段階では、EJSM は他の探査計画と予算的に競合する状態にあった。；皮肉にも五島は今まで競合相手を合併する際に用いてきた口実を逆に使われてしまった。；鯨類と漁業との競合は個々のケースで考える必要があるとしている。；そこで連邦と州の反トラスト法の競合適用が問題となることがある。；販売にあたって競合商品とされたのは森永ミルクキャラメルであった。；競合誌と比べても、ドラマ化作品よりもアニメ化作品が多いのも特徴である。；上越新幹線を除いて競合路線がなく、埼玉県内の路線でも混雑率が高い。</t>
        </is>
      </c>
      <c r="J2167">
        <f>HYPERLINK("https://www.weblio.jp/content/競合", "词义详情")</f>
        <v/>
      </c>
      <c r="K2167">
        <f>HYPERLINK("https://yourei.jp/競合", "查看例句")</f>
        <v/>
      </c>
    </row>
    <row r="2168">
      <c r="A2168" t="inlineStr">
        <is>
          <t>教材</t>
        </is>
      </c>
      <c r="B2168" t="inlineStr">
        <is>
          <t>成功</t>
        </is>
      </c>
      <c r="C2168" t="inlineStr">
        <is>
          <t>読み方：きょうざい
授業や学習に用いる諸種の材料。教科書・副読本・標本などをいう。</t>
        </is>
      </c>
      <c r="D2168" t="inlineStr">
        <is>
          <t>教材用(3%)；教材費；教材開発；教材映画；教材等</t>
        </is>
      </c>
      <c r="E2168" t="inlineStr">
        <is>
          <t>教科書；テキスト；教本；教科用図書；テキストブック</t>
        </is>
      </c>
      <c r="F2168" t="inlineStr">
        <is>
          <t>英語教材；学校教材；教育教材；音楽教材；理科教材</t>
        </is>
      </c>
      <c r="G2168" t="inlineStr">
        <is>
          <t>教材社；教材園；教材整備隊</t>
        </is>
      </c>
      <c r="H2168" t="n">
        <v>29</v>
      </c>
      <c r="I2168" t="inlineStr">
        <is>
          <t>この作品は学校の教材として使用され、また映画や演劇にもなっている。；かつては中学校向けの教材も扱っていたが、現在はすでに撤退している。；認知心理学上の実験手段を教科内容と教材の構成に応用した事例である。；小学校から中学校まで英語の学習の機会が多く、全部英語の教材も使用。；テストの内容は学習に使用された特定の教材に由来することは避けられる。；オリジナルの個別指導専用教材を使用するなど様々な工夫がされている。；ゆとり教育などの教育方針の転換などに合わせた教材に力を入れている。；アメリカでは番組内のエピソードを教材として使用している教師もいる。；講演ではロボットにはセレンディピティがあって教材向きと語っている。；同作品は翻訳され、日本の大学でも教材として使用している学校は多い。；日本でもそれらを模倣する形で教材用として販売されるようになった。；それを利用しての生理学的研究や教材としての利用も考えられている。；夫に支えられながら、教材にラップを取り入れるなど努力を重ねていく。；主に中学校・高等学校向け図書教材の出版事業が中心の企業である。；また教材や研究用として近年3DCGを活用したものも多く見られる。；この王讃歌はその後メソポタミア社会で長く学校の教材として使われた。；KWL表は教材を効果的に読ませるために考案された教育の手法である。；教材やセミナーで提供される内容は、自己啓発プログラムと呼称される。；ここでは一般的に理科の教材などで使用されている手順にそって記述する。；母親は仕事が終わった後も学研の教材を地域に配るアルバイトをしていた。；ピアノ演奏の教材として企画され、難度が漸進的に上昇する構成である。；上記以外にも、カワイ音楽教室の教材にある歌を歌ったりもしている。；現在では人形が現存する学校において日米交流や教材として利用されている。；この本はフランスの大学で日本語教材として1997年に採用された。；いち日本人力士の本が海外の学校教材として採用されたのは異例である。；作成は時間外に行われ、教材費等は会社経費として負担されなかった。；これは17世紀までイスラム圏とヨーロッパの医学部で教材に使われた。；戦後は教師や教材、さらには電気も不足するなどの困難に直面した。；このようなクラス編成以外にも教材も実験的な教材を多用している。</t>
        </is>
      </c>
      <c r="J2168">
        <f>HYPERLINK("https://www.weblio.jp/content/教材", "词义详情")</f>
        <v/>
      </c>
      <c r="K2168">
        <f>HYPERLINK("https://yourei.jp/教材", "查看例句")</f>
        <v/>
      </c>
    </row>
    <row r="2169">
      <c r="A2169" t="inlineStr">
        <is>
          <t>凶作</t>
        </is>
      </c>
      <c r="B2169" t="inlineStr">
        <is>
          <t>成功</t>
        </is>
      </c>
      <c r="C2169" t="inlineStr">
        <is>
          <t>読み方：きょうさく
農作物の出来が非常に悪いこと。ひどい不作。「二年続きの—」《季秋》⇔豊作。</t>
        </is>
      </c>
      <c r="D2169" t="inlineStr">
        <is>
          <t>凶作時(2%)；凶作地；凶作対策；凶作続き；凶作飢饉</t>
        </is>
      </c>
      <c r="E2169" t="inlineStr">
        <is>
          <t>飢饉；不作；凶荒</t>
        </is>
      </c>
      <c r="F2169" t="inlineStr">
        <is>
          <t>豊作凶作；東北凶作；ひどい凶作；極端な凶作</t>
        </is>
      </c>
      <c r="H2169" t="n">
        <v>29</v>
      </c>
      <c r="I2169" t="inlineStr">
        <is>
          <t>だが藩が凶作でつぶれても、誰も同情はしないのだと治憲は思っていた。；凶作を懸念はしているが、まだそれがはっきりと見えたわけではなかった。；云うまでもなく之は凶作匡救のための一つの根本対策の心算なのである。；新玉の春は来ても忘れられないのは去年の東北地方凶作の悲惨事である。；凶作のこわさを知っている者は、金よりも年貢の手かげんのほうを望む。；頻繁に起こる凶作や分割相続権が、この領邦の住民を貧しくしていった。；ところが凶作中には彼は同じ分量をほとんど三倍の価格で買うことが出来た。；八戸藩では領知高2万石のうち1万1千石が損毛となる大凶作となった。；凶作は、栽培している農作物の収穫量が通常より極端に少ない状態のこと。；でも、凶作だろうとなんだろうと、男は戦を起こしたがるものですわ。；連年の凶作に加えて、昨年は夏から冬にかけての麻疹の大流行があった。；加えて、明治2年の大凶作により、一揆の気配までもが高くなっていた。；当然のごとくこれらの手法は全く効果を上げず、凄まじいまでの凶作になった。；これらの地域は豊作・凶作のイベントカードを引いた時の発生判定単位となる。；凶作あるいは不作とは期待に反してが無いかまたは大きく減ることである。；これでは大凶作になるのも無理のないことであろう。；近ごろでは、明治三十八年に産米十九万石という大凶作がありましてね。；そして九月に入っていよいよ凶作を疑い得なくなったあとの藩の対応は迅速だった。；時を同じくしてハーディの住むヤムの村は寒さからくる凶作に見舞われていた。；そんなわけで、凶作のうわさは、表だたない形でささやかれるだけだった。；くどいようだが、東北の農民は凶作だから飢えているんじゃないんだ。；夏からの疫病と凶作が重なって世間は道真どのの祟りと信じはじめている。；それがこの凶作になって露骨に表面にあらわれてきたのだ。；ガムビア地方に三年間も続いた大凶作の時に、多数の人民は奴隷となった。；天明年間にも天候不順から凶作となり、そのために藩内で暴動が起こった。；今年の凶作と疫病とて、あの者の怨霊のせいだと巷では騒いでおるらしい。；従ってこの年は天候による凶作年ではなく、二次的に発生した凶年であった。；そうすれば凶作問題なども自ずから解決の途につくはずであろう。；その年の収穫期を凶作に終わらせたくないと願わないものはなかったのである。</t>
        </is>
      </c>
      <c r="J2169">
        <f>HYPERLINK("https://www.weblio.jp/content/凶作", "词义详情")</f>
        <v/>
      </c>
      <c r="K2169">
        <f>HYPERLINK("https://yourei.jp/凶作", "查看例句")</f>
        <v/>
      </c>
    </row>
    <row r="2170">
      <c r="A2170" t="inlineStr">
        <is>
          <t>教師</t>
        </is>
      </c>
      <c r="B2170" t="inlineStr">
        <is>
          <t>成功</t>
        </is>
      </c>
      <c r="C2170" t="inlineStr">
        <is>
          <t>読み方：きょうし
１学校などで、学業・技芸を教える人。先生。教員。「数学の—」「家庭—」
２宗教上の教化を行う人。</t>
        </is>
      </c>
      <c r="D2170" t="inlineStr">
        <is>
          <t>教師たち(4%)；教師達；教師役；教師陣；教師生活</t>
        </is>
      </c>
      <c r="E2170" t="inlineStr">
        <is>
          <t>先生；師；師匠；教員；教官</t>
        </is>
      </c>
      <c r="F2170" t="inlineStr">
        <is>
          <t>美術教師；ピアノ教師；学校教師；国語教師；女性教師</t>
        </is>
      </c>
      <c r="G2170" t="inlineStr">
        <is>
          <t>教師なし学習；教師びんびん物語；教師の日；教師用指導書；教師夏休み物語</t>
        </is>
      </c>
      <c r="H2170" t="n">
        <v>29</v>
      </c>
      <c r="I2170" t="inlineStr">
        <is>
          <t>それができないのは規則を作った教師そのものが変態だとしか思えない。；事務所や店などで子どもや生徒が大人や教師に話しかけるときにも使う。；この抗議は教師がもう一度絵を描くようにと励ますまで二日半続いた。；生徒の互選・選挙もしくは教師の指名で数名ずつか一名ずつ選ばれた。；大学で競技者としての生活は終えて卒業後は教師になるつもりでいた。；韓国では兵役などの影響もあり教師は権威主義の傾向があるとされてきた。；発狂の原因を探るために教師を務める叔父に事件の調査を依頼される。；カリフォルニアは他州にくらべて予算や教師のレベルで遅れを取っている。；中学校の音楽教師から影響を受けてクラシック音楽を愛好するようになる。；当時高校のドイツ語教師であったフリッツ・カルシュからドイツ語を学んだ。；その際、教師らに褒められた嬉しさから演劇を楽しいと思うようになった。；内容は講話、学年別の番組、教師向けの番組の3種類で構成されていた。；第二のタイプはパリにおけるもので、教師は教会から給料を支払われる。；アメリカからのキリスト教宣教師もリベリア各地で活動を行っている。；予想に反して、父親や教師や政治家も含め2000人もの人間が集まった。；また彼は、数え切れないほどの生徒を指導した熱心な教師であった。；当時のヨーロッパでは研究職にある知識人が高校の教師を務めることは普通のことであった。；学校は再建や建築され、新しい教師は養成しなければならなかった。；従来の教育では、教師の役割は知識を学習者にコピーすることだった。；したがって、パリではヨーロッパ中からの教師にとって第一の場所になった。；この時点の夢は文学と演劇の教師になることで、大学では演劇部に所属していた。；当初は高校から大学に進学して、教師になろうと考えていた。；ルソーは音楽が好きであったため音楽家を自称して音楽教師になろうとした。；父はかつて小学校の教師をしており、当時の教え子に伊藤聖史が居た。；この事件を前後して教師のストライキ実施方法で日教組内で対立をもたらした。；他の生徒や教師にも癖のある人物が多数在籍する。；そこでは対話が重んじられ、教師と生徒の問答によって教育が行われた。；父は科挙に挑戦してことごとく失敗したため、貧しい教師生活をしていた。；中学の文化祭で演奏しようとしたところ、その前に教師たちの前で演奏することに。</t>
        </is>
      </c>
      <c r="J2170">
        <f>HYPERLINK("https://www.weblio.jp/content/教師", "词义详情")</f>
        <v/>
      </c>
      <c r="K2170">
        <f>HYPERLINK("https://yourei.jp/教師", "查看例句")</f>
        <v/>
      </c>
    </row>
    <row r="2171">
      <c r="A2171" t="inlineStr">
        <is>
          <t>行事</t>
        </is>
      </c>
      <c r="B2171" t="inlineStr">
        <is>
          <t>成功</t>
        </is>
      </c>
      <c r="C2171" t="inlineStr">
        <is>
          <t>読み方：ぎょうじ
１恒例として日を定め取り行う催し。「創立記念の—が執り行われる」「年中—」
２おこない。行状。
「第二を—自由の権という」〈小川為治・開化問答〉
３平安時代、朝廷の諸儀式をつかさどった役。行事官。
４江戸時代、商人や町内の組合などを代表して事務をとった人。行司。
５ある事柄を中心となって担当すること。また、その人。責任者。世話人。
「東大寺を造る—の良弁僧正といふ人」〈今昔・一一・一三〉</t>
        </is>
      </c>
      <c r="D2171" t="inlineStr">
        <is>
          <t>行事等；行事食；行事予定；行事作法；行事ごと</t>
        </is>
      </c>
      <c r="E2171" t="inlineStr">
        <is>
          <t>席；機会；催し；催し物；催物</t>
        </is>
      </c>
      <c r="F2171" t="inlineStr">
        <is>
          <t>公式行事；様々な行事；各種行事；文化行事；行われる行事</t>
        </is>
      </c>
      <c r="H2171" t="n">
        <v>29</v>
      </c>
      <c r="I2171" t="inlineStr">
        <is>
          <t>来訪行事を実施するのは地区住民のなかで資格を持つ者に限られている。；宗教関係の行事に使われる聖堂は学校ではなく教会の管轄になっている。；実施する方針の自治体では、運動会のみならず地域の行事にも参加する。；様々な組織の行事にも大学が加盟する組織で活動・出場するのが一般的である。；これらは、ハレの行事の時の儀式的な食事の際に天皇が用いたものである。；毎月の代表委員会の司会進行運営、その他学校の行事の計画などを行う。；沖縄では泡盛は日常だけでなく旧暦行事や祝いの席の酒にもなっている。；戦後の凱旋行事も盛んであり、しばらくすると各地に記念碑が建てられた。；しかし、選考や授賞式などの諸行事は他の部門と合同で実施されている。；また芸術保育類型を設立しており校内外の行事に活発的に活動している。；室町幕府において既に公式の行事として採用されたことが知られている。；早稲田大学が主催する重要な行事、講演会はここで行われることが多い。；放生会は古代インドに起源をもつ行事で中国や日本にも伝えられたという。；また、会員同士の交流を促進するためさまざまな行事を行うところもある。；この行事は数十年前からシュタインハイム歴史協会の主導で行われている。；毎年この日には、原子力に関係する機関や企業等で記念行事が行われている。；国家行事を含むモスクワの重要なイベントが行われる場所でもある。；高校においても、同様の行事がさまざまな名称で行われることがある。；クリスマス行事は幼稚園・保育所・小学校などでも行われることがある。；この行事は、この日は主要通りの店が閉店するため、ほとんど宣伝されず。；行事の由来とされる中国の歳事は、元々太陰太陽暦で十二月の歳事だった。；この牛達は明らかに奉納行事における生贄として用意されたものである。；日本では一般に春の行事であるが、欧米では、一般に秋の行事である。；数年前からアルトシュタットの金細工師の館周辺で行事が行われている。；校外学習は、中学校生活で初めての旅行的行事で、日帰りで実施される。；山笠期間中は行事参加者の間ではキュウリを食べることが御法度となる。；上記と異なる理由で、特別行事がある際もノーチャイムになることがある。；多くの社会的行事に招待されるようになり、それをうまく利用した。；この広場は国家的行事や宗教行事がおこなわれる場所になっている。</t>
        </is>
      </c>
      <c r="J2171">
        <f>HYPERLINK("https://www.weblio.jp/content/行事", "词义详情")</f>
        <v/>
      </c>
      <c r="K2171">
        <f>HYPERLINK("https://yourei.jp/行事", "查看例句")</f>
        <v/>
      </c>
    </row>
    <row r="2172">
      <c r="A2172" t="inlineStr">
        <is>
          <t>教室</t>
        </is>
      </c>
      <c r="B2172" t="inlineStr">
        <is>
          <t>成功</t>
        </is>
      </c>
      <c r="C2172" t="inlineStr">
        <is>
          <t>読み方：きょうしつ
１学校で授業を行う部屋。
２大学で、専攻科目ごとの研究室。また、教科別に教員の所属する部屋。
３学習指導や技芸の教授をする所。また、その組織や催し。「進学—」「手芸—」</t>
        </is>
      </c>
      <c r="D2172" t="inlineStr">
        <is>
          <t>教室内；教室棟；教室教授；教室長；教室講師</t>
        </is>
      </c>
      <c r="E2172" t="inlineStr">
        <is>
          <t>クラス；コース；学年；学級；教場</t>
        </is>
      </c>
      <c r="F2172" t="inlineStr">
        <is>
          <t>各教室；普通教室；同じ教室；体験教室；分教室</t>
        </is>
      </c>
      <c r="G2172" t="inlineStr">
        <is>
          <t>教室系技官</t>
        </is>
      </c>
      <c r="H2172" t="n">
        <v>29</v>
      </c>
      <c r="I2172" t="inlineStr">
        <is>
          <t>しかし、多くの場合は新たな教室の数や必要な設備は増やされなかった。；普通教室の多くは2棟にあり、エアコンが全ての教室に設置されている。；式が終了して教室に入ると、なぜかさっきの2人組が教室の中にいた。；教室名、委員会名の表記や職員室での簡単なやり取りは全て英語である。；未成年層が多い地域であるため、学習塾や各種教室は多く開業している。；小学生の頃に空手教室に入ったが、それは長続きせずすぐに止めている。；大会後、正平はダンスをやめようと決め、教室にも行かなくなっていた。；部屋そのものでなく、そこで学ぶ人の集まりを教室と呼ぶことがある。；自分の教室に授業開始時刻まで滞在していれば、授業に参加することが出来た。；また、各教室にプロジェクターを設置するなど先端的な教育を行っている。；高等学校と同じ校舎内の1階に中学校の職員室・教室がすべて入っている。；書生らの面倒見もよく、教室の研究生を博士にすることでは京大一だった。；ただし、生徒数減少のためにあまり使われない教室が少なからず存在する。；最近では洞海湾周辺の3つの小学校で、環境修復体験教室も行っている。；教室には、家族を失望させない程度に定期的に顔を出す程度であった。；このような自習は基本的に学校の教室で、授業の時間に行われるものである。；以前はB棟にも教室があったが、クラス数の減少等により現在はない。；この博物館には1900年頃の古い教室が完全に保存されている。；教室が南に面している場合、一般的に教壇のある側は西向きに設計される。；ここに旧京都府中学校校舎の一部の払い下げを受け、3教室を確保した。；教室に入ると壁にかけられた「やればできる」が目に飛び込んで来る。；この計画は、高校生が実際に教室で学ぶ時間を増やそうとするものだった。；教室の窓から突き落とされた事故の頃から、高里は何かを思い出しかけていた。；日本における一般的なフラ教室の先生をクム・フラと指すことは少ない。；また、様々な授業で使用される選択教室が5つ、講義室が3つ存在する。；教室棟にはI・II棟合わせて4基のエレベーターが設置されている。；中学卒業後に歌手を目指して大阪へ出て、働きながら歌謡教室に通う。；エアコンは、本館のほぼ全ての教室、別館の一部教室に設置されている。；教室内は基本的に独立した部屋は設けられていない。</t>
        </is>
      </c>
      <c r="J2172">
        <f>HYPERLINK("https://www.weblio.jp/content/教室", "词义详情")</f>
        <v/>
      </c>
      <c r="K2172">
        <f>HYPERLINK("https://yourei.jp/教室", "查看例句")</f>
        <v/>
      </c>
    </row>
    <row r="2173">
      <c r="A2173" t="inlineStr">
        <is>
          <t>業者</t>
        </is>
      </c>
      <c r="B2173" t="inlineStr">
        <is>
          <t>成功</t>
        </is>
      </c>
      <c r="C2173" t="inlineStr">
        <is>
          <t>読み方：ぎょうしゃ
１商工業などの事業を営んでいる人。「出入りの—」
２同じ種類の事業や商売をしている人。同業者。「—仲間」「—間の相場」</t>
        </is>
      </c>
      <c r="D2173" t="inlineStr">
        <is>
          <t>業者たち；業者側；業者等；業者向け；業者達</t>
        </is>
      </c>
      <c r="E2173" t="inlineStr">
        <is>
          <t>ディーラー；トレーダー</t>
        </is>
      </c>
      <c r="F2173" t="inlineStr">
        <is>
          <t>密輸業者；出版業者；開発業者；専門業者；民間業者</t>
        </is>
      </c>
      <c r="G2173" t="inlineStr">
        <is>
          <t>業者間転売品</t>
        </is>
      </c>
      <c r="H2173" t="n">
        <v>29</v>
      </c>
      <c r="I2173" t="inlineStr">
        <is>
          <t>ブラジルやオーストラリアでも掃除は専門業者が行うのが一般的である。；高知県の屋台は不許可営業を行っているのではないかと見る業者もある。；密輸業者も含んだ植民地の商人たちは抗議活動に大きな役割を果たした。；近年は、フィンテックを活用した新業態の業者も出てくるようになった。；また、これらのサービスにインターネットを利用している業者もある。；一部の鉄道・軌道業者では運転手を社内呼称として用いる業者もある。；かつては駅弁も販売されていたが、業者が撤退したため販売は終了している。；イギリス支配は多くの一般人のみならず、貿易業者にとって高くついた。；隕石と称して岩石を売る業者があるが、本物である可能性は極めて低い。；可能性があるとすれば個人で通関業者となるしかないがこれは非常に困難である。；このとき売春婦たちがおびえたため、業者は売春婦たちに客を取らせた。；永井が紹介したサイトは摘発された業者とは別とする報道があった。；明治時代には、大規模で営業を目的とした無尽業者が発生していった。；この時業者は60軒あり、場所取りはくじ引きの上決められたという。；地域一円の織物業者のみで結成した健保組合の成立は、日本初であった。；業者がこの公表をしない場合は農林水産省が業者名を公表する。；古くからスポーツ用品の生産が盛んで、現在も50近くの業者が存在する。；また、この頃専門工事業者の調達に着目した方式が注目されるようになった。；ケロッグの成功を見て、後追いのシリアル業者が40社以上設立された。；そして、QWERTY配列は他の業者にも徐々に採用されていった。；日本国内においてもこれらを輸入販売している業者が存在する。；日本では以下で示すように、チート関連業者側が敗訴となった判例がある。；業者ごとに得意分野があり、家具に強い業者や車に強い業者などが存在する。；同じ業者が別の善良な業者を装いさらに契約させるケースがある。；二次的に他の加工業者へと渡り、更に加工される物は、単に製品と呼ばれる。；一般的には、近在の工務店を中心にした業者に見積もりや工事を依頼する。；肉・魚・豆腐などの生鮮食料品は外部の業者が移動販売に来るのを利用する。；これはまた時には民間業者によって開発された墓地にもこのスタイルが採用された。；それらの調製元は小規模零細の業者がほとんどであり、衰退傾向にある。</t>
        </is>
      </c>
      <c r="J2173">
        <f>HYPERLINK("https://www.weblio.jp/content/業者", "词义详情")</f>
        <v/>
      </c>
      <c r="K2173">
        <f>HYPERLINK("https://yourei.jp/業者", "查看例句")</f>
        <v/>
      </c>
    </row>
    <row r="2174">
      <c r="A2174" t="inlineStr">
        <is>
          <t>教授</t>
        </is>
      </c>
      <c r="B2174" t="inlineStr">
        <is>
          <t>成功</t>
        </is>
      </c>
      <c r="C2174" t="inlineStr">
        <is>
          <t>読み方：きょうじゅ
［名］(スル)
１学問や技芸を教え授けること。「書道を—する」
２児童・生徒・学生に知識・技能を授け、その心意作用の発達を助けること。
３大学や高等専門学校・旧制高等学校などで、研究・教育職階の最高位。また、その人。「大学—」</t>
        </is>
      </c>
      <c r="D2174" t="inlineStr">
        <is>
          <t>教授職；教授陣；教授資格；教授兼；教授室</t>
        </is>
      </c>
      <c r="E2174" t="inlineStr">
        <is>
          <t>示し；教育；教え；管理；指揮</t>
        </is>
      </c>
      <c r="F2174" t="inlineStr">
        <is>
          <t>特任教授；文学部教授；同教授；経済学部教授；法学部教授</t>
        </is>
      </c>
      <c r="G2174" t="inlineStr">
        <is>
          <t>教授会；教授言語；教授学；教授代理；教授と美女</t>
        </is>
      </c>
      <c r="H2174" t="n">
        <v>29</v>
      </c>
      <c r="I2174" t="inlineStr">
        <is>
          <t>その場で教授が初めてソーンヒルに接触して、すべての事情を説明する。；しかしここで知遇を得たジョセフ・ベル教授からは大きな影響を受けた。；特別版では数名が仲谷教授を補佐する形や、後任教授となる形を取った。；教授はベッドに起き上がっていて、遠くで悲鳴が聞こえただけと言う。；教授はベッドの中にいて、マーカー夫人は家の裏で仕事をしている。；そして教授の隠していた資料を、ロシア大使館へ届けてほしいと願った。；はじめは員外教授の地位であったが、1892年には正教授となった。；そこで、やむなくもう一度教授の名を使ったのだとする解釈である。；また解任された行政法の教授に対するヒアリングなどもなされていない。；各地で天然理心流を教授した近藤三助の高弟には以下のような人物がいる。；ウィロビー・スミスには、教授の屋敷への道を尋ねたときに偶然会っていた。；教授職は1964年に辞したものの、その後も無給で講義は行っていた。；教授職を退いた後は村の子供にフランス語やダンスを教えながら余生を過ごした。；こういった学生たちが教授室に入って、出てきたときにはひどく傷ついていたものだ。；同年、父がリーズ大学での教授職を提供され、一家でイングランドに戻った。；しかし、大学にこの論文を提出した際、教授陣はその内容を完全に理解できなかった。；また、シラーは本来は歴史学ではなく哲学教授の資格を持っていた。；凶器は、教授の机の上にいつも置いてある小型ナイフのようだ。；ハーバード大学やそこの教授のウォルター・ウィレットはこう記している。；妻は比較文学研究者で東京大学教養学部教授等を務めた前田陽一の長女。；女性はコーラム教授の妻でアンナといい、ロシアから来たと話した。；鹿児島大学大学院より教授が派遣され、集中講義形式で授業が行われている。；初期の陸軍戸山学校にて、教官として生徒隊に軍事教養を教授している。；教授はソーンヒルに彼女を助けるために協力するように要請する。；アルジェリアで哲学教師となり、以後パリ第8大学教授などを務めた。；経営学部教授としてスポーツメディア論・野球型などを専門分野としていた。；また専門教育課程において経済学を日本語で教授した最初の学校でもある。；藤井聡内閣官房参与・京都大学大学院教授が新編集長に就任した。；その間の1924年には彼は教授に任命されている。</t>
        </is>
      </c>
      <c r="J2174">
        <f>HYPERLINK("https://www.weblio.jp/content/教授", "词义详情")</f>
        <v/>
      </c>
      <c r="K2174">
        <f>HYPERLINK("https://yourei.jp/教授", "查看例句")</f>
        <v/>
      </c>
    </row>
    <row r="2175">
      <c r="A2175" t="inlineStr">
        <is>
          <t>享受</t>
        </is>
      </c>
      <c r="B2175" t="inlineStr">
        <is>
          <t>成功</t>
        </is>
      </c>
      <c r="C2175" t="inlineStr">
        <is>
          <t>読み方：きょうじゅ
［名］(スル)受け入れて自分のものとすること。受け入れて、味わい楽しむこと。「自由を—する」「テレビの恩恵を—している」</t>
        </is>
      </c>
      <c r="D2175" t="inlineStr">
        <is>
          <t>享受する(29%)；享受できる(10%)；享受者；享受しよ；享受出来る</t>
        </is>
      </c>
      <c r="E2175" t="inlineStr">
        <is>
          <t>楽しむ；味わう；享楽；賞味；面白がる</t>
        </is>
      </c>
      <c r="F2175" t="inlineStr">
        <is>
          <t>享受すること；享受する一方</t>
        </is>
      </c>
      <c r="H2175" t="n">
        <v>29</v>
      </c>
      <c r="I2175" t="inlineStr">
        <is>
          <t>FAは今日彼らが享受している全国的な支配にはまだ達していなかった。；高機能素材の特性を享受するためには、その特徴を理解した対応が必要。；しかし本作品では両者は平和的に共存し、自然の豊かさを享受している。；芸術が繁昌するのは芸術家と享受者の間に個性の一致があるからだろう。；このような条件下だったことで昼間にもドームへ多くの光を享受させた。；それができなければ現在を享受するために将来を犠牲にしなければならない。；彼の禁欲的な簡素な生活は十二分の享受のための前提であり準備である。；しかし領土の概念から引き出される経済利益は、双方が共同で享受する。；われわれの現実からすれば考えられないような自由を享受している。；これらのサービスは、あらゆる人が享受する権利をもつと考えられている。；もっともそうした特権をいち早く享受したい必要を感じたわけではない。；彼女はここで、彼らからの寵愛を受けては自分の幸福な身を享受していた。；迷宮街の道具屋は商売をする上で非常に大きなメリットを享受していた。；そしてそれで、オペラを音楽として享受するには十分なはずなのである。；それを自分のものにする必要さえなく、ただ享受だけで十分だったのである。；文化を享受するには一定の教養が必要であり、少数者のものであった。；彼らは耐えきれぬほどの法悦を享受していると思われているようだ!；そしてふと私はその時享受していた自分の境遇が呪わしくなったのだ。；藝術に關して眞の享受は或る創作活動であると云はれるのと同樣である。；それは、職業上高い地位を得た者だけが享受しているのではない。；これは、人間や企業が享受している権利を自然にも拡大しようとするものである。；政府のあらゆる役人は人民の権力のほんの一部を限られた時間のみで享受する。；エレマンを糧とし、始原的なものを享受することで生きているのである。；以上のように、相互に利益を享受することで、両者は結ばれていた。；彼の享受しているものは独身者の不幸ではなくて独身者の特権なのだ。；私はその瞬間に何の後悔もないくらいに、今日の幸せを享受しよう。；この例外はオランダであり、そこでは比較的高い程度の寛容さを享受できた。；相手の未来を想像し、その先で関わるすべての人が価値を享受できる仕事を。；幸福に生きんがためには、幸福を享受すべき生そのものの必要を認めぬ訳には行かぬ。</t>
        </is>
      </c>
      <c r="J2175">
        <f>HYPERLINK("https://www.weblio.jp/content/享受", "词义详情")</f>
        <v/>
      </c>
      <c r="K2175">
        <f>HYPERLINK("https://yourei.jp/享受", "查看例句")</f>
        <v/>
      </c>
    </row>
    <row r="2176">
      <c r="A2176" t="inlineStr">
        <is>
          <t>教習</t>
        </is>
      </c>
      <c r="B2176" t="inlineStr">
        <is>
          <t>成功</t>
        </is>
      </c>
      <c r="C2176" t="inlineStr">
        <is>
          <t>読み方：きょうしゅう
［名］(スル)特別な知識・技術などを教えて習得させること。</t>
        </is>
      </c>
      <c r="D2176" t="inlineStr">
        <is>
          <t>教習生(8%)；教習用(5%)；教習車(3%)；教習コース(3%)；教習機関</t>
        </is>
      </c>
      <c r="E2176" t="inlineStr">
        <is>
          <t>教育；練習；稽古；トレーニング；養成</t>
        </is>
      </c>
      <c r="F2176" t="inlineStr">
        <is>
          <t>学科教習；自動車教習；路上教習；高速教習；運転教習</t>
        </is>
      </c>
      <c r="G2176" t="inlineStr">
        <is>
          <t>教習車；教習指導員；教習時限数；教習資格認定証；教習所物語</t>
        </is>
      </c>
      <c r="H2176" t="n">
        <v>29</v>
      </c>
      <c r="I2176" t="inlineStr">
        <is>
          <t>教習費用も大型二種と大きな差はないため中型二種免許の需要は少ない。；いずれの場合も教習時間は限定なしの場合よりAT限定のほうが長くなる。；学科教習第一段階は、道路上で運転するための基本的な知識を学習する。；資格を有するには教習所で教習を行い年一回の書き換えも必要となる。；ジャクソンはバーサと滞在中に運転の教習を受けていたところだった。；それは鬼語の教習を受けていても、間違いなく感じられるだろ?；だが結局その知識や教習がやがてそれ等自身を逆に批判し返す程の発達を遂げた。；最近では普通二種教習が可能な教習所として全国で最初に指定された歴史がある。；江戸の端唄の教習は、師匠を中心とした連と呼ばれる組織によって行われた。；各自動車教習所はこの基準を基に料金プランや教習プランを立てている。；教習の内容は広範で、エンジンのかけ方から運転技術の指導まで含まれる。；編隊飛行・アクロバット教習ともに行えるのはシリーズ中でも本作のみ。；しかし現在もMT車を使用し高速教習を行う教習所も若干存在する。；彼女らは労働の代りに、ロシヤ語の特別の教習を受けてきているのだ。；同校では技能教習を担当したほか、学科教習で教壇に立つこともあった。；また全国で初めて教習のコンピュータ管理を実現した。；また、高速教習には、下記のような高級車が用いられることもある。；自動車教習所などで、主に教習生が自動車の運転を学ぶために使用されているものである。；また、ザフト兵のアカデミースクールで教習機としても使用されている。；金策のため通常は半年の教習コースを修了するのに3年半を費やした。；銀河たちに後宮教習が開始されたのは、槐暦元年六月のなかばであった。；また、第二段階での技能教習の一日当たり最大時限数は3時限とされている。；伎楽の教習者には課税免除の措置がとられるなど、官の保護もあった。；共有自転車を所有しており、教習生が無料で利用できる。；鋭角とは日本の四輪自動車教習及び免許試験に使用される狭路の一種。；これに加えて軍の教習生が存在するが、人数は不詳である。；教習所では僕は仮免許の試験に合格し、路上教習の教程に入っていた。；教習中に性格が変わり暴走したが、それ以降は免許を取った設定になっている。；試験・ブレーキ練習・教習で貯めたポイントを利用して新しい車両を手に入れることができる。</t>
        </is>
      </c>
      <c r="J2176">
        <f>HYPERLINK("https://www.weblio.jp/content/教習", "词义详情")</f>
        <v/>
      </c>
      <c r="K2176">
        <f>HYPERLINK("https://yourei.jp/教習", "查看例句")</f>
        <v/>
      </c>
    </row>
    <row r="2177">
      <c r="A2177" t="inlineStr">
        <is>
          <t>郷愁</t>
        </is>
      </c>
      <c r="B2177" t="inlineStr">
        <is>
          <t>成功</t>
        </is>
      </c>
      <c r="C2177" t="inlineStr">
        <is>
          <t>読み方：きょうしゅう
１他郷にあって故郷を懐かしく思う気持ち。ノスタルジア。「故国への—を覚える」「—にかられる」
２過去のものや遠い昔などにひかれる気持ち。「古き良き時代への—」
[補説]書名別項。→郷愁</t>
        </is>
      </c>
      <c r="D2177" t="inlineStr">
        <is>
          <t>郷愁めいた</t>
        </is>
      </c>
      <c r="E2177" t="inlineStr">
        <is>
          <t>懐かしさ；望郷；懐古；ノスタルジア；懐旧</t>
        </is>
      </c>
      <c r="H2177" t="n">
        <v>29</v>
      </c>
      <c r="I2177" t="inlineStr">
        <is>
          <t>それは、東北地方出身の社長の郷愁に似たものであったのかも知れない。；私はそこに来て手紙を書き、そこに来て人生の郷愁を見るのが好きだ。；私はそこに來て手紙を書き、そこに來て人生の郷愁を見るのが好きだ。；私が雨に濡れた鉄道小屋に郷愁を感じるのは、そのせいだろうと思う。；「女主人」の右の文を読んでいて私は何か郷愁のようなものを感じた。；これが『郷愁』であり、ヘッセの作家的な地位を確立させた作品である。；動物ですら、食慾などを意とせぬ郷愁があるではないか、と云うなかれ。；科学主義で死は無であると規定されては、郷愁もなにもあったものではない。；しかし、誰だって、年をとると故郷に郷愁みたいな気持を感じるもんです。；エンジンの響きが絶えず郷愁のようなものを私の身体に伝えて来る。；オスタルギーの存在した時代、および当時の事物への郷愁のことである。；その一つ一つにカルーソーの郷愁と愛情が沁み出していると言ってもいい。；強い郷愁を覚える部分で、夢の男は一部兄のようでもあり父親のようでもあった。；しかしその結果私は郷愁に似たなつかしさの感情を取り戻すことができた。；彼は星良と同様、ヘミングウェイに強い郷愁を抱いている男である。；それは真実であればあるほど、吾々は自然に対する一種の郷愁を感ずる。；とにかく、褐色の肉体の乱舞は、見る者に、何かへの郷愁を感じさせた。；産地熊本県と名札にかいてあるのにも郷愁に似たものをそゝられました。；かような子供の時代への郷愁が、どうして砂漠愛の感情と結びついたか。；いま広場にいる大部分の人にとって、郷愁ははじめて味わう感情だろう。；そのくせマンマルのぼくへの郷愁があるのか、会うたびに同じことを言う。；洋楽の手法で日本人の情緒感と原始的郷愁を踏まえた作品を多く残した。；俳優たちの演技は上々のもので、その郷愁の解放の仕方も新鮮である。；此は決して郷愁がさせる業でもなければ、感傷主義の私生児でもない。；郷愁をおびた土佐節を聞いていると、高松のあの港が恋しくなってきた。；その一つは、江戸時代を描くことに依って味わい得る郷愁への訴えである。；だがひどく率直なその響きには聴く者の胸に郷愁の様な感覚を生み出すのだ。；当時はアメリカへの幻滅感、疎外感とか郷愁の念が主なる原因だったからだ。；その匂いの底にある東洋的な香りに、リタはなぜか郷愁のような思いを抱いた。</t>
        </is>
      </c>
      <c r="J2177">
        <f>HYPERLINK("https://www.weblio.jp/content/郷愁", "词义详情")</f>
        <v/>
      </c>
      <c r="K2177">
        <f>HYPERLINK("https://yourei.jp/郷愁", "查看例句")</f>
        <v/>
      </c>
    </row>
    <row r="2178">
      <c r="A2178" t="inlineStr">
        <is>
          <t>恐縮</t>
        </is>
      </c>
      <c r="B2178" t="inlineStr">
        <is>
          <t>成功</t>
        </is>
      </c>
      <c r="C2178" t="inlineStr">
        <is>
          <t>読み方：きょうしゅく
［名・形動］(スル)
１おそれて身がすくむこと。
「家畜伝染のやまいとあるから、われ人ともに、—はいたしましたものの」〈魯文・安愚楽鍋〉
２相手に迷惑をかけたり、相手の厚意を受けたりして申し訳なく思うこと。おそれいること。また、そのさま。「—ですが窓を開けてくださいませんか」「お電話をいただき—しております」
[派生]きょうしゅくがる［動ラ五］きょうしゅくげ［形動］</t>
        </is>
      </c>
      <c r="D2178" t="inlineStr">
        <is>
          <t>恐縮する(8%)；恐縮千万；恐縮いたし；恐縮ぶり；恐縮致し</t>
        </is>
      </c>
      <c r="F2178" t="inlineStr">
        <is>
          <t>いただいて恐縮；大変恐縮；恐縮千</t>
        </is>
      </c>
      <c r="H2178" t="n">
        <v>29</v>
      </c>
      <c r="I2178" t="inlineStr">
        <is>
          <t>ユダヤ人はひどく恐縮しながらほとんど横さまに彼の傍へ歩いて行った。；今度は五位の男を使いにして手紙をもらったことに僧都は恐縮していた。；私は恐縮して礼をのべ、当日の夕食に出席しないわけにはいかなかった。；が、向うでは、それをひどく恐縮して、何でもよいことにしてしまった。；僕の行動がまるで知らない人にまで心配をかけたのは全く恐縮の次第だった。；そしてその妙な認定に相手が少し恐縮しているのを見て、彼は言い添えた。；だが、コアトル自身は自らが神と崇められていることには恐縮している。；恐縮した横溝はそのとき、十三に喀血の前歴があることを知ったという。；呼びだすようで恐縮ですが、ちょっと公園まで来ていただけませんか?；その時振り返ったミケは、こちらが恐縮してしまうほどに驚いていた。；おほめにあずかって恐縮ですけれど、あのひとはなぜそんなことするの。；運転手は、私を警察の者とでも思ったのか、非常に恐縮して言った。；法子は恐縮しつつ、これで本当に自分も家族の一員になれたのだなと思った。；後ろの席の二人組もこれには恐縮しきって、ぐうの音も出ない様子である。；後で本人からよく謝らせますからって、彼女も恐縮しきっていましたよ。；やっとのことで労働者は二人に恐縮そうにお叩頭して出ていった。；しかし、今度の、少女の首を取ったことだけは、全く恐縮しているようだ。；父は安西より地位が高いのであるから、先方でも恐縮して挨拶に来た。；まことに恐縮だが放蕩無頼の兵士みたいな振舞はつつしんでくれたまえ。；彼は、ひどく恐縮した顔で、ずんぐりとした背中を丸めて正座していた。；ただ、恐縮しきりの管理人夫婦を一言もとがめようとしないのは感心だ。；院はこれにもお驚きになって恐縮の意を表されながら式の座へお着きになった。；恐縮ですがウィルソンさん、もう一度お話を聞かせてくださいませんか。；こんな形で中隊長と顔をあわせるのは、恐縮というより奇妙な気分だった。；「それにしても、少し惜しかったような気はするな」 源義は恐縮した。；勘定奉行は大いにご隠居に叱られたが、恐縮の姿を示して叱られていた。；どうも恐縮だが、この自作の七言絶句はたゞ文字を並べただけのやうだ。；私の作ったものは、銀座の店でも売りましたが、恐縮したことがあります。；コーラの入ったプラスティックのカップを両手に、彼は恐縮して言った。</t>
        </is>
      </c>
      <c r="J2178">
        <f>HYPERLINK("https://www.weblio.jp/content/恐縮", "词义详情")</f>
        <v/>
      </c>
      <c r="K2178">
        <f>HYPERLINK("https://yourei.jp/恐縮", "查看例句")</f>
        <v/>
      </c>
    </row>
    <row r="2179">
      <c r="A2179" t="inlineStr">
        <is>
          <t>教職</t>
        </is>
      </c>
      <c r="B2179" t="inlineStr">
        <is>
          <t>成功</t>
        </is>
      </c>
      <c r="C2179" t="inlineStr">
        <is>
          <t>読み方：きょうしょく
児童・生徒・学生を教育指導する職務。</t>
        </is>
      </c>
      <c r="D2179" t="inlineStr">
        <is>
          <t>教職につい(3%)；教職追放；教職員；教職資格；教職実践</t>
        </is>
      </c>
      <c r="E2179" t="inlineStr">
        <is>
          <t>教員免許状</t>
        </is>
      </c>
      <c r="F2179" t="inlineStr">
        <is>
          <t>主教職；教科又は教職；教職復帰</t>
        </is>
      </c>
      <c r="G2179" t="inlineStr">
        <is>
          <t>教職員組合；教職課程；教職者；教職大学院；教職免許</t>
        </is>
      </c>
      <c r="H2179" t="n">
        <v>29</v>
      </c>
      <c r="I2179" t="inlineStr">
        <is>
          <t>スネイプが闇の魔術の教職につきたがっている事はみんなが知っていた。；まともに会話してくれないんだったら 教職という立場を利用してやる。；のちに父親も世俗的教育システムの中で新たに教職を得ることができている。；そして、友人の何人か、もしかしたら自分自身が教職を選んでいるのだ。；教職なんか大学で資格さえとってしまえば、誰にだってなれてしまうもの。；小学校時代には時代的に太平洋戦争の経験者がまだ現役で教職を行っていた。；戦後はロンドンでの教職に復帰したが、健康上の理由でウェールズに戻った。；教員を目指す学生のために「教職ゼミ」を講師になってすぐ立ち上げる。；我々の仲間に、最近大学の教職についた背の高い外国人がいた。；彼は機会を見て、教職などは退いて、他の仕事に転じたかつたのであつた。；父が朝鮮で教職にあったため、幼少から中学卒業までを朝鮮で過ごす。；かといって、サラリーマンになるのも嫌だったので教職を目指した。；いま、自分も教職にあって思うのだが、森先生は本当に優れた教育者だった。；教職の傍らで詩を執筆しており、代表作は「海の見える街で」である。；あなたは危険思想の持主ということで、大学から教職追放になっている。；その後各地で教職につくが、第二次世界大戦が起こり軍に召集され、負傷。；トンプソンは小学校で教職を務める傍ら、夜間には法律の勉強をした。；しかし余は教会と教職とに問わずしてただちに人の霊魂に訴えた。；択捉時代に按手礼を受けて、正式にメソジスト教会の正式な教職になる。；ジャックは後に父の許しを得てキプロス島に戻り、大司教職にも復帰した。；しかしながらすぐ教職を辞め、父親の力を借りて政治の世界に入った。；父はカトリック教会付属の寄宿制学校の教職を得てフライブルクに移った。；教職への資質能力を実際の人物を見て評価する試験である。；教員不足を問題視した文科省は教職を志望する学生との意見交換を行った。；無産運動家の横田忠夫と結婚したため、教職を追われるようになった。；放っておくと転職しがちな教師を教職に引き留めておくための餌だ。；彼の著作はこの教職について以降に発表されたものが多い。；塚田真一を引き取った石井夫妻は、ふたりとも教職についているという。；もし先生までがそんな風にお考えになるんでしたら、続けて教職についている資格のある先生は一人も居なくなります。</t>
        </is>
      </c>
      <c r="J2179">
        <f>HYPERLINK("https://www.weblio.jp/content/教職", "词义详情")</f>
        <v/>
      </c>
      <c r="K2179">
        <f>HYPERLINK("https://yourei.jp/教職", "查看例句")</f>
        <v/>
      </c>
    </row>
    <row r="2180">
      <c r="A2180" t="inlineStr">
        <is>
          <t>興じる</t>
        </is>
      </c>
      <c r="B2180" t="inlineStr">
        <is>
          <t>成功</t>
        </is>
      </c>
      <c r="C2180" t="inlineStr">
        <is>
          <t>読み方：きょうじる
［動ザ上一］「きょうずる」（サ変）の上一段化。「遊びに—・じる」</t>
        </is>
      </c>
      <c r="D2180" t="inlineStr">
        <is>
          <t>遊ぶ；飲む打つ買う；酒色にふける；遊び呆ける</t>
        </is>
      </c>
      <c r="F2180" t="inlineStr">
        <is>
          <t>笑い興じる；うち興じる</t>
        </is>
      </c>
      <c r="H2180" t="n">
        <v>29</v>
      </c>
      <c r="I2180" t="inlineStr">
        <is>
          <t>二日と三日は、女中達や家臣の若者と遊びに興じ、酒を飲んで過ごした。；夜になっても家に戻らず、外で無駄話に興じている娘は存外に多かった。；人間大の状態で出現し、道路でボール遊びに興じる子供たちを驚かせる。；互いに針仕事をしながら話に興じていたが、その手を止めて考え込んだ。；博士はいつも人を煙に巻いて打興じるといつた種類の人ではなかつた。；夜は夜とて芝居やオペラに行かないときは家でたわむれ興じるのであった。；ようやく初めて村の女性たちとゆっくり世間話に興じることができた。；私たち二人は台所の作業台に椅子を寄せて、おしゃべりに興じていた。；さすがにカードに興じるような真似はしていないが、邪魔ではある。；この句は恋猫が雄にも雌にもひげがあるのに興じたもので、前書がある。；テレビの話題は、すでに消えていて、先輩達はまったく別の話に興じていた。；いつもはその校舎裏でボール遊びに興じる生徒の姿が、きょうは見えない。；ある日、時頼夫妻は双六に興じていたところ、夫人が負けそうになった。；まして飛稚は毎日近くの小川へ行って魚とりに興じているばかりである。；やがて何ごともなかつたように舟の男女は笑い興じながら漕いで行く。；不思議に思って覗いてみると、内部では悪魔や魔女が踊り興じていた。；私にしても、持ち場を離れて彼とのお喋りに興じるわけにはいかない。；彼女は、何も池や湖で無邪気に水遊びに興じていたわけではなかった。；そして行動を共にした友人とビールを味わったり、ダンスに興じたりもした。；暇があれば山に入り狩に興じていた十年前にはなかった感情である。；このときは光國も弟たちも畳を蹴破りかねぬ勢いで相撲に興じていた。；釣り人が川で釣りをしている最中に、一人の坊主が現れて長話に興じる。；彼女の祭儀が終わった後、住民は夜通し祭りに興じたといわれている。；それから二時間ばかり世間話に興じてから、お勤めにかかるのが普通である。；三年生両名がアトラクションに興じている間に、俺達で会議を進行する。；子供たちがあつまって砂遊びに興じる様子を描いたデザインとなっている。；それにしてもいい年をしてスプーン投げに興じるとは馬鹿な犬だ。；竜介らが立ち話に興じていたわきを、何組かの人たちが通りすぎて行った。；部屋の角では八歳になった彼女の妹が人形遊びに興じていた。</t>
        </is>
      </c>
      <c r="J2180">
        <f>HYPERLINK("https://www.weblio.jp/content/興じる", "词义详情")</f>
        <v/>
      </c>
      <c r="K2180">
        <f>HYPERLINK("https://yourei.jp/興じる", "查看例句")</f>
        <v/>
      </c>
    </row>
    <row r="2181">
      <c r="A2181" t="inlineStr">
        <is>
          <t>矯正</t>
        </is>
      </c>
      <c r="B2181" t="inlineStr">
        <is>
          <t>成功</t>
        </is>
      </c>
      <c r="C2181" t="inlineStr">
        <is>
          <t>読み方：きょうせい
［名］(スル)
１欠点・悪習などを正常な状態に直すこと。「発音を—する」「歯列—」
２刑務所・少年院などに収容されている人たちの改善更生のための処遇を行うこと。従来の「行刑」に代わって用いられている語。「—施設」「—職員」</t>
        </is>
      </c>
      <c r="D2181" t="inlineStr">
        <is>
          <t>矯正する(15%)；矯正省(5%)；矯正される(2%)；矯正センター；矯正区</t>
        </is>
      </c>
      <c r="E2181" t="inlineStr">
        <is>
          <t>教育；指導；改善；改良；改正</t>
        </is>
      </c>
      <c r="F2181" t="inlineStr">
        <is>
          <t>屈折矯正；公衆安全矯正；ジョージア州矯正；矯正器具；矯正処遇</t>
        </is>
      </c>
      <c r="G2181" t="inlineStr">
        <is>
          <t>矯正局；矯正管区；矯正歯科；矯正教育；矯正治療</t>
        </is>
      </c>
      <c r="H2181" t="n">
        <v>29</v>
      </c>
      <c r="I2181" t="inlineStr">
        <is>
          <t>言語と文章との崩れて行くのを矯正して行くのが文学者の任務でしょう。；生來の素質を、最もよく利用し、僕の性質を矯正したり訓練したりして。；現在のソ連の政治犯たちが労働させられているのも「矯正」の方である。；悪の道に迷い込んでしまったものを矯正して、真の人間性を回復させる。；母后より咎められ矯正したのだが、最近また復活してしまったのである。；この点は今後吾等の大いに務めて自ら矯正すべきところであろう。；フレームを矯正するだけでも、どれだけの手間がかかると思ってるんだ。；それでおれは矯正されたかといえば、そんなことは一度もなかった!；われわれは彼等の政治的道念の誤りを矯正してやるつもりで戦ったのです。；まだ矯正されていなかった時代にもおまえを愛していたんだ。；マンウェにはメルコールの悪が矯正されたように思われたからである。；薬も用意してきたんだけど、士郎を矯正するにはそんな物じゃ効かないの。；わしのことばだけで矯正することはできないだろうが、念のために言っておくよ。；悪いことは年のいった女房などに遠慮なく矯正させて使ってください。；最初の誤りを、二度めの誤りによって矯正することはできないのである。；研究生指導科では、思想上の理由で退学した学生生徒の指導矯正を図る。；歯の矯正をしているが、ゲーム中で見られることはほとんどない。；この施設はミシシッピ州矯正省のためにGEOグループが運営している。；そうして、モイラの悪癖の矯正は不可能であるのを、改めて知ったのだ。；ほどなくして着いたのは旧管理区よりの旧中央矯正区の受刑者宿舎だった。；少年達を矯正するのに、上にいくらえらい人がいてもだめであった。；犯罪への傾向は矯正困難なほどに深化しており、再犯の可能性も高い。；それらをのちに矯正することは困難であると言われている。；わたしはこれまでにも何ヵ所か犯罪人矯正植民地を訪れたことがあります。；その不公平を矯正する為には、女自身が世の中の仕事に関与しなければならぬ。；ただし、成長期では自然治癒力により同じ長さに矯正されることも多い。；視力を矯正するためのものだが、色付きのものを使えば瞳の色を変えられる。；犯罪的傾向のある者は、コンピューターの指示で矯正されていった。；郡内未編入領域でアラバマ州矯正省がブロック矯正施設を運営している。</t>
        </is>
      </c>
      <c r="J2181">
        <f>HYPERLINK("https://www.weblio.jp/content/矯正", "词义详情")</f>
        <v/>
      </c>
      <c r="K2181">
        <f>HYPERLINK("https://yourei.jp/矯正", "查看例句")</f>
        <v/>
      </c>
    </row>
    <row r="2182">
      <c r="A2182" t="inlineStr">
        <is>
          <t>強制</t>
        </is>
      </c>
      <c r="B2182" t="inlineStr">
        <is>
          <t>成功</t>
        </is>
      </c>
      <c r="C2182" t="inlineStr">
        <is>
          <t>読み方：きょうせい
［名］(スル)権力や威力によって、その人の意思にかかわりなく、ある事を無理にさせること。「参加を—する」</t>
        </is>
      </c>
      <c r="D2182" t="inlineStr">
        <is>
          <t>強制的(23%)；強制する(7%)；強制される(3%)；強制移住(3%)；強制送還(2%)</t>
        </is>
      </c>
      <c r="E2182" t="inlineStr">
        <is>
          <t>押しつけ；強要；牽制；束縛；課す</t>
        </is>
      </c>
      <c r="F2182" t="inlineStr">
        <is>
          <t>半強制；強制労働；強制着陸；強制徴用；強制参加</t>
        </is>
      </c>
      <c r="G2182" t="inlineStr">
        <is>
          <t>強制的；強制労働；強制力；強制移住；強制捜査</t>
        </is>
      </c>
      <c r="H2182" t="n">
        <v>29</v>
      </c>
      <c r="I2182" t="inlineStr">
        <is>
          <t>ある地点のある高度にある空気を強制的に上昇させることを考える。；本人によれば、この頃、勉強や稽古を強制されたことはなかったという。；ただし、逮捕後に強制的に警察署などに連行することは許されていない。；着用や制作が強制されることはなく、各家庭の判断に委ねられていた。；特に何かを強制させようとするとそれが顕著に現れ極めて攻撃的になった。；原則として労働者を一人でも使用する事業は強制適用事業とされる。；消費者側に複雑な判断能力が必要となるが必ずしも強制するものでは無い。；父は翌年に死んだため、ヨーゼフは軍人になることを強制されずに済んだ。；そのため、農民の家族分割や居住地の強制的な変更が検地の度になされた。；そのため走行中にゲームオーバーで強制的に運行中止となることはなくなった。；そのためこのアニメを学校で強制的に鑑賞させることに否定的な意見を持つも多い。；嘔吐行為を強制的に停止させようとするとパニック状態に陥る場合がある。；道三の突然の引退は家臣達により強制的に行われたと思われる。；そこで、特定の要件を満たす場合には減損処理を強制することになった。；ハバード自身は何の行動もとらず、罰金が強制されることも無かった。；しかし南北朝時代以降になるとすぐに殺されたり自殺を強制されることが多くなった。；これら強制的なバッジには示される色や形によって特別な意味があったのである。；このうち台湾などでは火災保険に強制付帯させる制度となっている。；貧しい人々は、変動する経済の必要に合わせることを強制されていたのか?；換気扇は空気を強制的に移動させることで、人工的に風を作ることができる。；なおこの際に強制的に還俗させられており、再度剃髪したのは帰国直前である。；このライブでは、ステージ破損のため30分でライブを強制終了した。；チェコ人の教養層に対し、ドイツ語が行政や高等教育の場で強制された。；貞操帯は強制的に装着させられる場合と、自発的に装着する場合がある。；決定名称を強制するためにあるものではありません。；このため、5500系では強制換気のために天井に換気ファンを設置した。；強制的な入院には、精神保健指定医という精神科医の資格が必要である。；強制連行された日本人により建てられた多くの建築は現在でも現役で使用されている。；この対応は 楽天モバイルでも同様で周知がないまま強制的に変更になっている。</t>
        </is>
      </c>
      <c r="J2182">
        <f>HYPERLINK("https://www.weblio.jp/content/強制", "词义详情")</f>
        <v/>
      </c>
      <c r="K2182">
        <f>HYPERLINK("https://yourei.jp/強制", "查看例句")</f>
        <v/>
      </c>
    </row>
    <row r="2183">
      <c r="A2183" t="inlineStr">
        <is>
          <t>行政</t>
        </is>
      </c>
      <c r="B2183" t="inlineStr">
        <is>
          <t>成功</t>
        </is>
      </c>
      <c r="C2183" t="inlineStr">
        <is>
          <t>読み方：ぎょうせい
１国家の統治作用のうち、立法と司法以外の作用の総称。法のもとに、公共の目的の実現を目指して行われる。
２内閣をはじめとする国の機関または公共団体が、法律・政令その他の法規に従って行う政務。
３「行政機関」の略。「事故の多発は—の怠慢による」</t>
        </is>
      </c>
      <c r="D2183" t="inlineStr">
        <is>
          <t>行政地名(22%)；行政官(5%)；行政的(3%)；行政機構(2%)；行政共同体(2%)</t>
        </is>
      </c>
      <c r="F2183" t="inlineStr">
        <is>
          <t>行政施設；行政体；広域行政；行政部門；行政面</t>
        </is>
      </c>
      <c r="G2183" t="inlineStr">
        <is>
          <t>行政区；行政区画；行政上；行政府；行政区分</t>
        </is>
      </c>
      <c r="H2183" t="n">
        <v>29</v>
      </c>
      <c r="I2183" t="inlineStr">
        <is>
          <t>しかし施設面や交通の便、および行政側の影響などでいずれも頓挫した。；この都市はその創設期からすでに市議会と市長が行政運営を行っていた。；この頃から国や自治体など行政が主体となった組織的な研究が活発化した。；核となる地域は茅ケ崎駅周辺であり、行政、商業の中心地となっている。；自治体行政の分散を図る観点から、ハムは住民共同体 を形成している。；朝鮮十三道には道長官が任命されそれぞれの支所で行政任務に従事した。；パークにはワチラーウットから任命された副王が派遣され行政を行った。；遠く日本からも都市行政関係者などが多数ストラスブールを視察している。；藤沢駅は市役所等行政施設の最寄り駅であり、市の中心となる駅である。；ラオスではムアンは県の下位の行政区分である郡を表す行政用語である。；行政を行うために、大統領は閣僚を米国の内諾を得たうえで指名する。；このうち渭北地区と渭東地区については現代も行政的に用いられている。；行政的には「首都特別区」と呼ばれ、県と同等の地位を与えられている。；このような軍政機関が予算編成や基地管理などの行政的な業務を行っている。；インカ帝国ではキープと呼ばれる縄の道具を記録や行政管理に用いていた。；英国は行政システムと法制度を設置した上で伝統的な首長制を通じたを行った。；目標の達成には行政の威令が行き届かない現状を改善しなければならない。；今後は行政レベルでの対応も必要になると考えられる。；行政は住民を押さえ付けはしても福利厚生はほとんど行わない。；これらは行政各省に属するものでは無いため、独立機関と呼ばれることが多い。；天皇の行政大権の行使に国務大臣の輔弼を必要とする体制を定めたこと。；日本で初めて行政のバックアップを受けた劇団として多くの関心を集めた。；カッセル市の行政構造はヘッセン市町村法に基づいて整備されている。；これがコソボとセルビアの行政的な境となって今日に至っている。；厚生大臣は、日本の廃止された国務大臣で社会保障行政を所管していた。；中央官であり、通常は都に居住して神宮関係の行政に従事した。；特許とは異なり、行政が意図的に認可を行わないことが認められていない。；サービスエリア内の行政情報や地域向けの番組が放送される。；行政管轄として軌道は土木行政に属する道路行政で、鉄道は鉄道行政となる。</t>
        </is>
      </c>
      <c r="J2183">
        <f>HYPERLINK("https://www.weblio.jp/content/行政", "词义详情")</f>
        <v/>
      </c>
      <c r="K2183">
        <f>HYPERLINK("https://yourei.jp/行政", "查看例句")</f>
        <v/>
      </c>
    </row>
    <row r="2184">
      <c r="A2184" t="inlineStr">
        <is>
          <t>業績</t>
        </is>
      </c>
      <c r="B2184" t="inlineStr">
        <is>
          <t>成功</t>
        </is>
      </c>
      <c r="C2184" t="inlineStr">
        <is>
          <t>読み方：ぎょうせき
事業や学術研究の上で獲得した成果。「—をあげる」「—を残す」</t>
        </is>
      </c>
      <c r="D2184" t="inlineStr">
        <is>
          <t>業績回復；業績賞；業績低迷；業績不振；業績向上</t>
        </is>
      </c>
      <c r="E2184" t="inlineStr">
        <is>
          <t>功；手柄；偉業；功労；事績</t>
        </is>
      </c>
      <c r="F2184" t="inlineStr">
        <is>
          <t>主な業績；重要な業績；顕著な業績；研究業績；偉大な業績</t>
        </is>
      </c>
      <c r="G2184" t="inlineStr">
        <is>
          <t>業績悪化；業績評価；業績改善；業績予想；業績改善計画</t>
        </is>
      </c>
      <c r="H2184" t="n">
        <v>29</v>
      </c>
      <c r="I2184" t="inlineStr">
        <is>
          <t>シクストゥス5世の業績で忘れてはならないのは教会制度の整備である。；また商品企画・開発の面での力不足が指摘され、徐々に業績も悪化した。；またグリーンの業績をまとめた文献として次のようなものが参照できる。；歴史上、彼は多くの反権威主義的な業績を残したと受け止められている。；クーンによれば、パラダイムとは次の二つの特徴を持つ業績の事である。；この業績から、後に電位差の単位がボルトと名付けられることになった。；ネルンストは、電気化学の分野でもいくつかの重要な業績をあげている。；彼らの業績は、ある意味で今日の積分の始まりとも呼べるものであろう。；教頭時代にもレムセンとの研究に従事し、化学工業界での業績を残した。；また、人物記事においては業績よりも個人の人物像に詳細な記述がみられる。；哲学でも業績を残し、「生命への畏敬」の概念で世界平和にも貢献した。；元は法学者で、教皇庁では主に外交の分野で目覚しい業績を挙げていた。；時には話を始める前に彼の業績について簡単なクイズを出すこともあった。；ヨハネス・ファン・デル・ワールスの業績の重要さは以下の点にある。；その後別の店に引き抜かれて業績を上げたが、同店はその翌年に倒産した。；常に業績トップで、社屋は近未来的なデザインの高層ビルになっている。；フランクリンは科学や発明に興味を示し、独学で様々な業績を残した。；多くの業績を残した彼の肖像は、ノルウェーの紙幣にも描かれていた。；戦後、小川の業績は広く知られるようになり、現在では定説となっている。；クラウジウスの業績の中で最も有名なものが熱力学への貢献である。；この時期揖斐川電気は不況の影響で業績不振であり経営再建中であった。；彼の業績は征服戦争に成功したことだけにあるのではない。；カロザース博士は当時から後の業績に見られるような高い独創性を発揮していた。；彼が建てた教会の中でも最高の業績に上げられるのが、1381年に完成したである。；マルコーニの業績は他の様々な科学者や発明家の成果の上に成り立っている。；希土類元素の発見や、多数の元素の原子量の精密な決定に業績を残した。；夫妻の業績を最も早く評価したのはイギリスだった。；その業績は不整脈や興奮性媒質についての後の研究でよく引用されている。；それだけでなく電気を使ったテクノロジー全般が彼の業績から発展したものである。</t>
        </is>
      </c>
      <c r="J2184">
        <f>HYPERLINK("https://www.weblio.jp/content/業績", "词义详情")</f>
        <v/>
      </c>
      <c r="K2184">
        <f>HYPERLINK("https://yourei.jp/業績", "查看例句")</f>
        <v/>
      </c>
    </row>
    <row r="2185">
      <c r="A2185" t="inlineStr">
        <is>
          <t>競争</t>
        </is>
      </c>
      <c r="B2185" t="inlineStr">
        <is>
          <t>成功</t>
        </is>
      </c>
      <c r="C2185" t="inlineStr">
        <is>
          <t>読み方：きょうそう
［名］(スル)
１互いに同じ目的に向かって勝敗・優劣をきそい合うこと。「生産高を—する」「—力がある」「生存—」
２生物の、ある生息空間や食物をめぐる相互作用。異種どうしの種間競争と同一種どうしの種内競争がある。</t>
        </is>
      </c>
      <c r="D2185" t="inlineStr">
        <is>
          <t>競争者(4%)；競争的(2%)；競争力(2%)；競争意識；競争関係</t>
        </is>
      </c>
      <c r="E2185" t="inlineStr">
        <is>
          <t>戦；大会；試合；ゲーム；戦い</t>
        </is>
      </c>
      <c r="F2185" t="inlineStr">
        <is>
          <t>開発競争；過当競争；獲得競争；熾烈な競争；販売競争</t>
        </is>
      </c>
      <c r="G2185" t="inlineStr">
        <is>
          <t>競争相手；競争心；競争率；競争激化；競争入札</t>
        </is>
      </c>
      <c r="H2185" t="n">
        <v>29</v>
      </c>
      <c r="I2185" t="inlineStr">
        <is>
          <t>もはやアメリカが片手を背中に縛られたまま競争する必要はないのです。；またこれは航空優勢の獲得競争という本格的な航空戦の開始でもあった。；フランスでは職員群ごとに競争試験が行われそれに基づき採用者が選ばれる。；この戦争が個人の怨恨や競争関係を解決する理由になることもあった。；競争部門のチャンピオンクラスを除いては誰でも出品することができる。；たいていはその過程で野外での競争には弱くなっているからと考えられる。；こうしてこの戦争は、冷戦の体制競争という側面も有するようになった。；現在、理美容業は従来にない競争の時代を迎え、業態も多様化している。；フォノフィルムが衰退したのはアメリカ国内の競争の激化が原因だった。；これに対応して、フランスには競争力のある活発な宇宙産業が育まれた。；この当時、アメリカ合衆国とソ連の間では核開発競争が盛んであった。；ソロプレイの感覚が大きいと同時に、他プレイヤーとの競争も重要である。；経営活動上の問題点としては、過当競争が最も大きな問題であるとされた。；ゲームと呼ばれているものは、ルールや競争を共通の要素として持っている。；そのため、大きな競争はなく規制緩和の影響も大きく受けることは少ない。；この様な状況のもと、差別化こそが競争優位を維持する唯一の方法である。；しかし、近年は店舗数の増加や人口減少などにより競争が激化している。；また映画業界を荒れ狂っていた劇場建設・買収の競争にも参入した。；人口が多いため、大学進学率はそれほど高くないものの、競争は激しい。；ドイツでは各省庁が欠員状況などに応じて競争試験を実施して採用を決定する。；また、アメリカ空軍と海軍も記録の更新競争を行う形となっていた。；上記のように世界的な競争力を持つ企業もあり、高度な科学技術力を有している。；ただしそこに到達するまでは厳しい競争に勝ち抜く必要があった。；他の種との競争に敗れた種や変化する環境に順応できなかった種は絶滅していった。；両社は当時存在していた春木競馬場への競馬輸送でも互いに競争をしていた。；さらに、この路線では他社との競争以上に重要な事実が判明した。；入札は競争企業にクローズド形式なものとオープン形式なものとに分類される。；これは同年に競争制限的取引慣行規正法が改正されたことによる。；このような競争者間の合意はほとんどの場合、当然違法とされる。</t>
        </is>
      </c>
      <c r="J2185">
        <f>HYPERLINK("https://www.weblio.jp/content/競争", "词义详情")</f>
        <v/>
      </c>
      <c r="K2185">
        <f>HYPERLINK("https://yourei.jp/競争", "查看例句")</f>
        <v/>
      </c>
    </row>
    <row r="2186">
      <c r="A2186" t="inlineStr">
        <is>
          <t>競走</t>
        </is>
      </c>
      <c r="B2186" t="inlineStr">
        <is>
          <t>成功</t>
        </is>
      </c>
      <c r="C2186" t="inlineStr">
        <is>
          <t>読み方：きょうそう
［名］(スル)一定の距離を走ってその速さをきそうこと。「オートバイ—」「障害物—」</t>
        </is>
      </c>
      <c r="D2186" t="inlineStr">
        <is>
          <t>競走馬(5%)；競走成績(3%)；競走名(3%)；競走生活；競走後</t>
        </is>
      </c>
      <c r="E2186" t="inlineStr">
        <is>
          <t>レース；走る；ランニング；駆ける；レイス</t>
        </is>
      </c>
      <c r="F2186" t="inlineStr">
        <is>
          <t>本競走；同競走；級競走；大競走；在校競走</t>
        </is>
      </c>
      <c r="G2186" t="inlineStr">
        <is>
          <t>競走中止；競走馬名；競走車；競走除外；競走能力喪失</t>
        </is>
      </c>
      <c r="H2186" t="n">
        <v>29</v>
      </c>
      <c r="I2186" t="inlineStr">
        <is>
          <t>このため、競走がどちらの意味で用いられているか注意する必要がある。；そして彼らは自分たちが持っている自動車で競走をすることを考えた。；夏障害でも多くの競走が施行され、一部でグレード競走も行われている。；競走後も日ごとに動きが良化し、厩舎内でも特に優れた馬と見られ始めた。；その他、2日目以降に予選敗退者を対象とした以下の競走が開催される。；現在、全主催者の全競走を発売しているのは楽天競馬とSPAT4のみ。；なお、日本馬が海外の競走に出走した際にはそのレースが放送される。；ヨーロッパ最大の競走の一つで、国際的に著名なスポーツの催しである。；下記は通常の競輪にて用いられるラインであり、250競走では異なる。；一般に1シーズンの間、この3競走すべてに優勝した馬を三冠馬と呼ぶ。；特に記載のない発売所では、南関東公営競馬の全競走を発売している。；上記以外は競走場で定められたものを必要に応じて購入する。；アメリカやヨーロッパでは多くの競走で外国馬にも門戸を開いている。；この段階で事前に登録された競走馬は出走する競走を指定される。；凱旋門賞の成功にあやかって、世界各地に国際的な大競走が創設された。；また、ラジオ福島の実況は競走の重要さに応じて他地域へネットされる。；やがて競馬が専門化すると競走用の馬種が模索されることとなった。；この競走は高崎競馬場で開催される唯一のダートグレード競走であった。；逆に全く競走成績の伴わなかった馬が種牡馬として大成することもある。；競走得点は着順が良いほど、また格の高いレースほど高く設定されている。；以下は日本においてアラブ系の競走馬を対象にした主な競走の一覧である。；また、競走対象の数が枠数以下であった場合は枠による賭式は設定されない。；しかしその対象範囲は競走毎に異なるため複雑であった。；連勝単式には対象となる競走対象の数により以下の2つに分類される。；この指定された競走以外への出走投票は認められない。；これに伴いGI級競走の桜花賞および宝塚記念を京都競馬場で開催した。；しかし順調な調整と鍛錬が妨げられ、結果的には競走成績に反映された。；もっと細かくなったものは四分戦、細分戦、コマ切れの競走と呼ばれる。；また、最終競走締切予定時刻は3ヶ月毎に変更して重複を回避している。</t>
        </is>
      </c>
      <c r="J2186">
        <f>HYPERLINK("https://www.weblio.jp/content/競走", "词义详情")</f>
        <v/>
      </c>
      <c r="K2186">
        <f>HYPERLINK("https://yourei.jp/競走", "查看例句")</f>
        <v/>
      </c>
    </row>
    <row r="2187">
      <c r="A2187" t="inlineStr">
        <is>
          <t>共存</t>
        </is>
      </c>
      <c r="B2187" t="inlineStr">
        <is>
          <t>成功</t>
        </is>
      </c>
      <c r="C2187" t="inlineStr">
        <is>
          <t>読み方：きょうそん
［名］(スル)《「きょうぞん」とも》二つ以上のものが同時に生存・存在すること。「動物と人間とが—する」</t>
        </is>
      </c>
      <c r="D2187" t="inlineStr">
        <is>
          <t>共存する(21%)；共存できる(3%)；共存関係(2%)；共存共栄；共存状態</t>
        </is>
      </c>
      <c r="E2187" t="inlineStr">
        <is>
          <t>両立；併存；並存；共在</t>
        </is>
      </c>
      <c r="F2187" t="inlineStr">
        <is>
          <t>うまく共存；国家共存；とも共存；共存社会；相共存</t>
        </is>
      </c>
      <c r="G2187" t="inlineStr">
        <is>
          <t>共存同衆；共存性</t>
        </is>
      </c>
      <c r="H2187" t="n">
        <v>29</v>
      </c>
      <c r="I2187" t="inlineStr">
        <is>
          <t>しかしこれは異なるレベルでの解釈であり、共存し得ないものではない。；二つの民族は対立と融和を繰り返しながら緊張状態の中で共存している。；獣の姿をした生物群と共存し、白を基調としたヨーロッパ的文化の世界。；その為同じ機械に同じフォルダ内で共存させているとデータを共有できる。；これは当社が「メーカーの系列政策との共存」を掲げているためである。；しかし魚卵石サイズのものが普通サイズのものと共存することもある。；このような生態系の変化は、共存する種と環境の進化に影響を与える。；現在多くの団体では大規模曲と小規模曲が共存している状態である。；豊かな緑に囲まれた中にも近代的な大都会があるなど自然と人とが共存する地方。；でもあなたのその時期に、私はちっ共そんなことは知りませんでした。；現在スイスでは、さまざまな異なるジャンルの映画が共存している。；しかし今大会ではうまく共存し、両者とも世界的に高評価を得た。；そのため輝線星雲は誕生したばかりの散開星団と共存していることが多い。；ストーリーも含め、魔獣との共存をシリーズ全体のテーマとしている。；これも非イスラーム的国際法の元での共存を目指した新解釈であるとされる。；二相共存の条件はそれぞれの相での化学ポテンシャルが等しいことである。；この作品は光と闇の戦いではなく、光と闇の共存を描いている。；ダイビングの第一線から引退した後は、イルカと人間との共存を訴えた。；同じ地域に漁村と農村が共存していると考えたほうが良い島もある。；後の時代では、それらの生物と惑星Zi原生の生物が共存する状況にある。；擬人化された動物キャラクターと人間が共存している社会が基本的な世界観である。；そうやって、ふたつの存在が共存する世界を乱す者など居る筈もなかった。；すべてのチャンネルを同じPCに共存してインストールして使用できる。；両者は共通の観念や工芸技術を持ち、共存する形で発展をしつづけた。；改心後のえんまは、愛と勇気に目覚めて鬼と人間との共存を訴えていた。；ウルトラ戦士の活躍により、各種族が平和に共存するようになった時代。；ファンタジー作品では、神と人が共存する世界を舞台にした物語を描いている。；現在はそれ以前の旧制度下に入学した生徒と今般の新制度下の生徒との共存状態である。；物語の舞台となる惑星・アスタリアではロボットと人間が共存して暮らしている。</t>
        </is>
      </c>
      <c r="J2187">
        <f>HYPERLINK("https://www.weblio.jp/content/共存", "词义详情")</f>
        <v/>
      </c>
      <c r="K2187">
        <f>HYPERLINK("https://yourei.jp/共存", "查看例句")</f>
        <v/>
      </c>
    </row>
    <row r="2188">
      <c r="A2188" t="inlineStr">
        <is>
          <t>兄弟</t>
        </is>
      </c>
      <c r="B2188" t="inlineStr">
        <is>
          <t>成功</t>
        </is>
      </c>
      <c r="C2188" t="inlineStr">
        <is>
          <t>読み方：きょうだい
１片親または両親を同じくする男の子供たち。兄と弟。また、その間柄。けいてい。
２男女の別なく、片親または両親を同じくする子供たち。また、その間柄。兄弟姉妹。「姉二人、兄二人の五人—の末っ子」「—げんか」
３養子縁組みなどにより親を同じくする間柄になった者。また、自分の兄弟姉妹の配偶者または自分の配偶者の兄弟姉妹。義理の兄弟。
４親しい男性どうしが、くだけた場面で用いる呼び名。「おい—、ひとつ頼むよ」
５「兄弟分(ぶん)」に同じ。
[補説]2・3は「兄妹」「姉弟」「姉妹」とも書く。書名別項。→兄弟</t>
        </is>
      </c>
      <c r="D2188" t="inlineStr">
        <is>
          <t>兄弟たち(3%)；兄弟達；兄弟愛；兄弟会社；兄弟関係</t>
        </is>
      </c>
      <c r="E2188" t="inlineStr">
        <is>
          <t>兄；弟；兄さん；兄貴；実弟</t>
        </is>
      </c>
      <c r="F2188" t="inlineStr">
        <is>
          <t>三兄弟；三人兄弟；竜堂兄弟；同母兄弟；四人兄弟</t>
        </is>
      </c>
      <c r="G2188" t="inlineStr">
        <is>
          <t>兄弟子；兄弟分；兄弟団；兄弟弟子；兄弟車</t>
        </is>
      </c>
      <c r="H2188" t="n">
        <v>29</v>
      </c>
      <c r="I2188" t="inlineStr">
        <is>
          <t>その本の裏表紙には母親が撮影した幼いころの兄弟の写真を使っていた。；兄弟は彼らの制作映画にしばしば特定の俳優たちを起用することで知られる。；他に誰も入れない兄弟2人だけの世界は、この後東京に行ってからも続く。；ハイムは釈放されたが、彼の兄弟二人は強制収容所に送られて死去した。；彼は四人兄弟の三人目で、幼いガガーリンの世話は姉が行うこともあった。；長男と次男は財津が生まれる前に他界していたため、3人兄弟で育った。；しかし、党の路線をめぐり、徐々に兄弟間で対立が目立つようになった。；そのため、母方の叔父であるが父の死後、コペルニクスと兄弟を育てた。；一方でこうした群れに、兄弟ではない個体が含まれることもある。；と様々な権限を有したうえでの三界の兄弟王となったのである。；この飯富源四郎が虎昌・山県昌景兄弟の父親にあたると考えられている。；そして、兄弟は長船派から独立して、新しく鵜飼派を立てたのだという。；兄弟の中で最も父親と性格が似ていて、字も似ているという。；しかし、間もなく兄弟は分割された遺領を独占するために争い始めた。；男三人兄弟の長男で、俳優をやっている弟の三浦剛は次男にあたる。；父親は軍人で、三人の兄と弟一人という男兄弟に囲まれて育った。；時の権力者である藤原実頼・師輔の兄弟の力が働いていたと思われる。；兄弟はみな芸術的なことが好きで、原平はとくに絵が好きだった。；しかしその即位によって兄弟同士の争いが起こるなど紛糾していた。；幼少期は仕事で忙しい両親に代わり、主に家政婦が兄弟の面倒を見ていた。；孤児であり、出演した作品に両親や兄弟が登場するシーンはない。；この三角関係が後の兄弟の不和の原因となったとする説があり、賛否ある。；兄弟の妻をめとることは、聖書の教えに抵触する恐れがあったためである。；兄弟の中では最も活溌であり、そのことは1つ違いの兄宮とよく比較された。；父親も母親も同じ馬の場合を特に全兄弟と呼び、母親だけが同じ場合は半兄弟と呼ぶことがある。；外観的特徴に百式との共通点が多く、いわば兄弟機とも言える機体である。；兄の政治と「早川兄弟商会金属文具製作所」を設立して販売を開始した。；家族の多くが音楽好きで兄弟はチェロ、ギター、ウクレレなどを嗜んだ。；ハインリヒ・ルイトポルトはこの二人の兄弟の間の次男であった。</t>
        </is>
      </c>
      <c r="J2188">
        <f>HYPERLINK("https://www.weblio.jp/content/兄弟", "词义详情")</f>
        <v/>
      </c>
      <c r="K2188">
        <f>HYPERLINK("https://yourei.jp/兄弟", "查看例句")</f>
        <v/>
      </c>
    </row>
    <row r="2189">
      <c r="A2189" t="inlineStr">
        <is>
          <t>境地</t>
        </is>
      </c>
      <c r="B2189" t="inlineStr">
        <is>
          <t>成功</t>
        </is>
      </c>
      <c r="C2189" t="inlineStr">
        <is>
          <t>読み方：きょうち
１その人の置かれている立場。「苦しい—に立たされる」
２ある段階に達した心の状態。「悟りの—」
３芸術などの、分野・世界。「新しい—を開拓する」
４場所。土地。環境。〈日葡〉</t>
        </is>
      </c>
      <c r="D2189" t="inlineStr">
        <is>
          <t>境地帯；境地開拓；境地そのもの；境地あまねく</t>
        </is>
      </c>
      <c r="E2189" t="inlineStr">
        <is>
          <t>域；心境；高み</t>
        </is>
      </c>
      <c r="F2189" t="inlineStr">
        <is>
          <t>新しい境地；新たな境地；そういう境地；高い境地；こんな境地</t>
        </is>
      </c>
      <c r="H2189" t="n">
        <v>29</v>
      </c>
      <c r="I2189" t="inlineStr">
        <is>
          <t>ところが阿難はまだ前の二人の弟子にも劣っていた境地の身分であった。；味の世界で、どんな人の境地をも分っていなければならないからである。；荘子はその境地を見るのを楽しみにしてこそ麗姫に逢いに来たのである。；彼の茶道は今日多くの茶人のような浅薄な境地に立っているのではない。；あの貧しい絵土瓶がどうしてこんな境地に達し得るのでありましょうか。；只ほれぼれと云う境地は、今の時代の人間の味いがたいところであろう。；こゝに於て心の自由と境地の寂寞とは亦一致して分ちがたいものとなる。；ゴータマは出家する前にすでに初禅の境地を体得していたとされている。；また最も高揚された情緒と言ふものは斯ういふ境地なのではあるまいか。；実践することで到達できる心の境地を四段階のレベルに分けている。；それはむしろ現代を超越した境地に価値があるともいえるでしょう。；彼の生地は現在はポーランド領であるが、当時は独露国境地帯であった。；自分はどうしてさう云ふ境地に身を置くことが出来ないだらう。；晩年は病を得たこともあり、写実に加え人間味ある歌風の新境地に入った。；そして、それがついに、俊一を新たな音楽の境地へと導くことになった。；これらの作品は、晩年の寂寥と宗教的境地に満ちていると評されている。；二人はこうして、静かな秋の夜にひたり得る無心の境地を味わいました。；第二の方法は、決して到達することの出来ない完成の境地を人に示すことである。；ああした境地は、決して私自身の力だけで開けて来たものではありません。；物音がすべて聞えないばかりでなく、外界と全く絶縁された境地でした。；これなどは、容易に、絵では描きあらわされない境地であろうと思います。；それでは人類はついに、いかなる境地にたどりつかんとするのであろうか?；ありやうをいへば、私は今さういふ境地にありつきたいと念つてゐるのだ。；もつと強烈な光瑤の理想的美の境地を、作品で顕現してほしいのである。；そういう芸術境地が氏の小説その他の作品に漂っているのである。；この字は、以上の説明で明らかな如く、あくまで習って達した境地である。；この念願を実行していること、そのことが完全な幸福の境地である。；両親を助け、余暇には小学校の先生を教えたりしながら独自の境地を拓く。；詩もその境地に到って、遂にいのちのうたとなったのであると思います。</t>
        </is>
      </c>
      <c r="J2189">
        <f>HYPERLINK("https://www.weblio.jp/content/境地", "词义详情")</f>
        <v/>
      </c>
      <c r="K2189">
        <f>HYPERLINK("https://yourei.jp/境地", "查看例句")</f>
        <v/>
      </c>
    </row>
    <row r="2190">
      <c r="A2190" t="inlineStr">
        <is>
          <t>強調</t>
        </is>
      </c>
      <c r="B2190" t="inlineStr">
        <is>
          <t>成功</t>
        </is>
      </c>
      <c r="C2190" t="inlineStr">
        <is>
          <t>読み方：きょうちょう
［名］(スル)
１ある事柄を特に強く主張すること。「事の重大さを—する」
２絵画・音楽などで、ある一部分を特に目立つように表現すること。
３取引相場が上がろうとしている状態。</t>
        </is>
      </c>
      <c r="D2190" t="inlineStr">
        <is>
          <t>強調する(23%)；強調される(5%)；強調しよ；強調表示；強調しすぎる</t>
        </is>
      </c>
      <c r="E2190" t="inlineStr">
        <is>
          <t>ストレス；アクセント；強める；力説；強勢</t>
        </is>
      </c>
      <c r="F2190" t="inlineStr">
        <is>
          <t>みを強調；強調画像法；強調する傾向；強調する意図；強調する演出</t>
        </is>
      </c>
      <c r="G2190" t="inlineStr">
        <is>
          <t>強調音；強調子音</t>
        </is>
      </c>
      <c r="H2190" t="n">
        <v>29</v>
      </c>
      <c r="I2190" t="inlineStr">
        <is>
          <t>これは自分がベドウィン出身であることを強調するためであるとされる。；これは歴代当主にならって大内家当主である事を強調するためであった。；市場は商業学上は市場現象のうち特に商品の流通を強調して把握される。；特にその深刻さを強調する場合には、教育病理または教育危機とも呼ぶ。；現在の環境と同じ種類の缶を使うとその季節の環境がより強調される。；ただし文の途中であっても強調を表したい単語の直後に置かれることもある。；楽天は契約を続けていたが、案内でもほとんど強調されていなかった。；モナルキア主義は神の唯一性を強調することでこの三者を解釈しようとした。；音楽だけでなく、何事に対してもドイツ的なものを強調する傾向にあった。；イタリア統一の大義を強調する意味合いがあったものと推測されている。；プログラムは英国モデルを採用しているが、在宅支援を強調している。；必ずしもクラブミュージックとしての性格を強調するものではなかった。；前方の結合は、より強い線やくさびで強調してもよいし、しなくてもよい。；これらのビルは高さを強調するように最上部に尖塔が設けられた。；死亡したことをはっきりさせたり強調する場合は「死体」と呼び区別される。；なお、コード中で強調表示されている予約語の記法は処理系に依存する。；また、胸や腰の曲線を強調するためにタイトなデザインが採用された。；が閉曲面のときはそのことを強調して、面積分の事を とも表記する。；中世美学に関するエーコの研究が強調するのは理論と実践の区別である。；の始点と終点が一致するときはそのことを強調して とも表記する。；武より文の面が強調されており、台湾などでは受験の際に礼拝される。；このことを強調する開発者の立場から、そのような説明がなされる。；チャーチルは自分が常に海軍の専門家から同意を得て作戦を実行したことを強調した。；また、現在国民党政府が支配する台湾でも、盧溝橋事件を強調している。；このような中、マリは夫と自分それぞれの功績を区別して強調するようになった。；彼はまた次のようにも書いて、武蔵野の個性、唯一性を強調している。；中波放送で放送法に触れない程度まで高域を強調する装置もあった。；原作の硬派な世界観とは異なるヒーロー性を強調した物語が目指されていた。；チェコの音楽の解釈でも、民族的な特徴を安易に強調することはない。</t>
        </is>
      </c>
      <c r="J2190">
        <f>HYPERLINK("https://www.weblio.jp/content/強調", "词义详情")</f>
        <v/>
      </c>
      <c r="K2190">
        <f>HYPERLINK("https://yourei.jp/強調", "查看例句")</f>
        <v/>
      </c>
    </row>
    <row r="2191">
      <c r="A2191" t="inlineStr">
        <is>
          <t>協調</t>
        </is>
      </c>
      <c r="B2191" t="inlineStr">
        <is>
          <t>成功</t>
        </is>
      </c>
      <c r="C2191" t="inlineStr">
        <is>
          <t>読み方：きょうちょう
［名］(スル)互いに協力し合うこと。特に、利害や立場などの異なるものどうしが協力し合うこと。「労資が—する」「—性」</t>
        </is>
      </c>
      <c r="D2191" t="inlineStr">
        <is>
          <t>協調的(8%)；協調路線(5%)；協調体制；協調動作；協調融資</t>
        </is>
      </c>
      <c r="E2191" t="inlineStr">
        <is>
          <t>協力；共同；連携；和；提携</t>
        </is>
      </c>
      <c r="F2191" t="inlineStr">
        <is>
          <t>米協調；協調運動；協調型；とも協調；協調組合</t>
        </is>
      </c>
      <c r="G2191" t="inlineStr">
        <is>
          <t>協調関係；協調運転；協調外交；協調会；協調行動</t>
        </is>
      </c>
      <c r="H2191" t="n">
        <v>29</v>
      </c>
      <c r="I2191" t="inlineStr">
        <is>
          <t>現代は離れた場所の人々が協調することがかつてないほど容易になっている。；だが、国際的な協調体制のある地域では存在しない概念といってよい。；ワシントン体制への道に通じた日本による対米協調政策の結果であった。；地の色である青は欧州旗からとっており、欧州との協調路線を象徴する。；当初はうまくいっていたが政治家と協調する姿勢から次第に対立するようになる。；こうしたテレビとの連携は、今日の映画・テレビ協調路線の流れをつくった。；また、以後この三つの鉄道の協調体制は統合まで続くこととなった。；協調するノード数を増加させると誤検知の可能性を減らすことができる。；彼らは協調して働いてアルフの動きを滑らかでそれらしいものにした。；それをきっかけに、Sahanaは情報管理と協調のために作成された。；この群れは協調して逃げ、捕食者の注意が1個体に向かうことを妨げる。；繰り返しゲーム化によって協調が発生し、国際制度の説明にも使われる。；しかしこの時期、ソ連はまだ独立小農業者党と協調する動きを見せていた。；両自治体はこうしたやり方で国際協調に寄与する役割を果たしている。；JTWCの任務のうち、海軍の担当分はと協調して運用されている。；グラントは自分が考案した多方面の協調攻撃が失敗した事も認識した。；宗教的にはカトリック教会の特権を保護し、教会と協調する道を選んだ。；民衆に対しても慈悲のある統治を行い、元老院との協調も失わなかった。；第一次大戦後のイギリスの国際政治は戦後協調体制の確立から始まった。；あらゆる種類のメッセージを統合的に管理し、協調型文書管理を実現。；しかし、これらの立体配座間の変化が協調的に起こることを示す証拠はない。；そのために米欧との協調に慎重な考慮を必要とするとされた。；これは、活性部位への基質結合が協調的であることを示す場合が多い。；女性が話す内容は、相互の協調を目的とした私的で感覚的な情報交換である。；友好的で協調性が高いため、性格面ではペットによく適した犬種である。；例えば相利共生は協調的な適応を二つの種の間に引き起こすかも知れない。；主な機能は目を動かして、目的の場所に手を伸ばすなど感覚と運動の協調などである。；すなわち割引因子が十分に高い場合に協調が生まれる可能性がある。；以降は陸軍の戦略と協調し、以前反対していた日本本土攻略作戦にも賛成した。</t>
        </is>
      </c>
      <c r="J2191">
        <f>HYPERLINK("https://www.weblio.jp/content/協調", "词义详情")</f>
        <v/>
      </c>
      <c r="K2191">
        <f>HYPERLINK("https://yourei.jp/協調", "查看例句")</f>
        <v/>
      </c>
    </row>
    <row r="2192">
      <c r="A2192" t="inlineStr">
        <is>
          <t>共通</t>
        </is>
      </c>
      <c r="B2192" t="inlineStr">
        <is>
          <t>成功</t>
        </is>
      </c>
      <c r="C2192" t="inlineStr">
        <is>
          <t>読み方：きょうつう
［名・形動］(スル)二つまたはそれ以上のものの、どれにもあること。どれにもあてはまること。また、そのさま。「—の理解」「国民に—な意見」「両者に—する特徴」</t>
        </is>
      </c>
      <c r="D2192" t="inlineStr">
        <is>
          <t>共通する(17%)；共通化(3%)；共通項；共通点；共通運用</t>
        </is>
      </c>
      <c r="F2192" t="inlineStr">
        <is>
          <t>全国共通；シリーズ共通；万国共通；共通設計；共通事項</t>
        </is>
      </c>
      <c r="G2192" t="inlineStr">
        <is>
          <t>共通語；共通性；共通祖先；共通の敵；共通部分</t>
        </is>
      </c>
      <c r="H2192" t="n">
        <v>29</v>
      </c>
      <c r="I2192" t="inlineStr">
        <is>
          <t>このシステムは現在主に共通教育棟で学んでいる学生に使用されている。；この解釈から証言として知られることになる共通の信仰形態が出現した。；しかし、それぞれの要素に例外が多く、全員の共通項を示すのは難しい。；それ以外は天神大牟田線で運用されている車両が終日共通で運用される。；これらの言語グループにはいくつかの重要な共通の特徴が見られる。；鰹節は節類の代表的なもので加工の工程や製品の形状の名称が共通する。；この範囲の中で選手にお金をかけるのはJリーグクラブと共通である。；ムーアの法則は技術のすべての形を予測すると共通に信じられている。；しかしのちに親への不満を共通の話題にして姉妹仲はよくなった。；いずれの編成も以下の共通する改造を郡山総合車両センターで施工した。；やや特殊ながら、ほとんど全人類に共通の好意的な挨拶を紹介しておく。；考えられるのは彼らには同じDNAを持つ共通の祖先がいるということ。；写真の性質はフィルムとデジタルで異なるが、共通した観点が存在する。；このために気体の状態では物質の種類を問わずに共通の性質が表れやすい。；多くの主要ウェブブラウザのUIには、以下のような共通の要素がある。；それ以外の大学でも共通教育などの名前に代わって教養教育は行われている。；その後1922年にイギリスの支配する3地域に共通通貨が導入された。；上記のように主な動物は日本本土と共通、あるいは関係が深いものである。；チャイルドの定義以外に、すべての文明に共通するものとして次がある。；そのためプロテスタントの全宗派に共通する定義を下すことはできない。；ダーツは様々なゲームが存在するが大半のゲームでは基本動作は共通している。；非常に古い歴史を持つ楽器であり、起源はトランペットと共通である。；稽古道具や試合方法が共通化していき、後の現代武道へと繋がっていく。；したがって485系とは基本設計は共通としながらも以下の相違点が存在する。；金丸の長男と竹下の長女は結婚し共通の孫までいる関係なのは有名である。；民俗学もまた隣接分野として共通の研究テーマを共有することが多い。；上記の三つの系は効率の高低はあるがほぼ共通の手法を用いることができる。；共通の趣味となった音楽に嵌まり、仕事を半年余りで投げ出してしまう。；こうした文化的な共通性はミクロネシア東部に行くほど色濃くなっている。</t>
        </is>
      </c>
      <c r="J2192">
        <f>HYPERLINK("https://www.weblio.jp/content/共通", "词义详情")</f>
        <v/>
      </c>
      <c r="K2192">
        <f>HYPERLINK("https://yourei.jp/共通", "查看例句")</f>
        <v/>
      </c>
    </row>
    <row r="2193">
      <c r="A2193" t="inlineStr">
        <is>
          <t>共通点</t>
        </is>
      </c>
      <c r="B2193" t="inlineStr">
        <is>
          <t>成功</t>
        </is>
      </c>
      <c r="C2193" t="inlineStr">
        <is>
          <t>読み方：きょうつうてん
二つ以上のものに共通して存在する物事や性質。通有点。「二つの話には—がある」</t>
        </is>
      </c>
      <c r="D2193" t="inlineStr">
        <is>
          <t>共通点が多い(8%)；共通点が多く(3%)；共通点が見られる(2%)；共通点以外；共通点が認められる</t>
        </is>
      </c>
      <c r="E2193" t="inlineStr">
        <is>
          <t>共通項；最大公約数；類似点</t>
        </is>
      </c>
      <c r="F2193" t="inlineStr">
        <is>
          <t>数少ない共通点</t>
        </is>
      </c>
      <c r="H2193" t="n">
        <v>29</v>
      </c>
      <c r="I2193" t="inlineStr">
        <is>
          <t>いずれも体に多くの目を持つ妖怪ではあるが、それ以外の共通点はない。；各作品はそれぞれ独立した企画であり、題名にも設定にも共通点はない。；形態的共通点は少ないが、旧体系ではイラクサ目とされていた科が多い。；実際に敵キャラクターのデザインやステージ数などに共通点が見られる。；また東接する山東省で発見された北辛文化とも共通点も指摘されている。；内容はオリジナル米版よりも、英版のアクションマンとの共通点が多い。；登場人物などに一部共通点はあるが、他作品とは直接的な関わりはない。；もちろん、友情は仲間意識と多くの共通点を持っているのも確かである。；一見すると両種は大きく異なっているが、いくつかの共通点をもつ。；層別はデータの共通点や癖、特徴によりグループ分けを行うことをいう。；ここで彼女は、神経症の若者と共通点のあるあらゆる宗教体験をした。；同時期設計の区間運転用旅客車であるデニ2000形との共通点が多い。；外見に関してはほぼオリジナルとの共通点は見られない上に性格も異なる。；そんな過保護なわたしの生活とこの歌はとても共通点があると思う。；この地域の人々は周辺の州の人々よりも互いに共通点が多い。；また、まだ誰にも気づかれていないが登場人物の名前には共通点があるのだという。；全メンバーが芸名を使用していて本名を公開しないことが共通点。；前述のようにアニメは全く別設定の別作品となっており、物語の共通点は全くない。；あくまで名前に共通点があるだけでテーマやカテゴリというわけではない。；共に放送内容はNHKを中心に、民放の番組も放送している共通点がある。；これはルーシーと沢山の共通点を持つが、別の属だと考えられている。；これは貴族社会でよくある政略結婚で、夫婦の共通点はほとんどなかった。；共通点は、出汁が普通は肉ではなく魚やエビからとられることである。；この時間帯の帯番組での同一スタイルの番組での共通点と言える。；こうした体験をするにつれての彼らの基本的な性格は、共通点を持っている。；おもに花の形態の共通点でまとめられているが、現在では多系統とされる。；外観的特徴に百式との共通点が多く、いわば兄弟機とも言える機体である。；そのため、この共通点は両者の類縁関係を示すものと判断されたこともあった。；性能比較のため機器類に相違点はあるが、以下の共通点がある。</t>
        </is>
      </c>
      <c r="J2193">
        <f>HYPERLINK("https://www.weblio.jp/content/共通点", "词义详情")</f>
        <v/>
      </c>
      <c r="K2193">
        <f>HYPERLINK("https://yourei.jp/共通点", "查看例句")</f>
        <v/>
      </c>
    </row>
    <row r="2194">
      <c r="A2194" t="inlineStr">
        <is>
          <t>協定</t>
        </is>
      </c>
      <c r="B2194" t="inlineStr">
        <is>
          <t>成功</t>
        </is>
      </c>
      <c r="C2194" t="inlineStr">
        <is>
          <t>読み方：きょうてい
［名］(スル)
１紛争・競争などを避けるため、協議して取り決めをすること。また、その事柄。「業者間で価格を—する」
２国家間の文書による合意。条約の一種であるが、条約ほど厳格な形式をとらない。「日米漁業—」</t>
        </is>
      </c>
      <c r="D2194" t="inlineStr">
        <is>
          <t>協定書；協定違反；協定校；協定案；協定調印</t>
        </is>
      </c>
      <c r="E2194" t="inlineStr">
        <is>
          <t>大会；予定；契約；配置；約束</t>
        </is>
      </c>
      <c r="F2194" t="inlineStr">
        <is>
          <t>姉妹都市協定；連携協定；秘密協定；国際協定；協力協定</t>
        </is>
      </c>
      <c r="G2194" t="inlineStr">
        <is>
          <t>協定締結；協定破棄；協定税率；協定世界時との差；協定関税率</t>
        </is>
      </c>
      <c r="H2194" t="n">
        <v>29</v>
      </c>
      <c r="I2194" t="inlineStr">
        <is>
          <t>またイタリアやフランスと協定を結ぶことを目指すことが確認された。；ソ連から独立した中央アジア諸国と中国との国境協定も個別に結ばれた。；これは、連盟を通じて直接締結された初のヨーロッパの国際協定だった。；他大学間協定 卒業単位の一部を他の教育機関で取得することができる。；そのため、協定内およびその周辺では、比較的住環境が維持されている。；そのため検査という言葉は調査に改められ、協定が締結されたという。；ただし受入国の警察部隊は特別な協定に基づけば侵入することは出来る。；同協定に基づく停戦を監視するため国際連合ルワンダ支援団が展開した。；以下の海外大学と協定を結び、学生交換事業や海外研修などを実施している。；また同年に英国と協定を結び、メキシコとの間で米墨戦争を行って勝利した。；北海道大学では18か国48校の大学と大学間の留学協定を結んでいる。；アメリカなどの地域では他の国際的協定を修正するまで承認は待たれている。；キャンパスおよび付属施設に隣接する5自治体と協定を締結している。；南北和平協定により国内最大の開発事業が進み、ホテルや橋が建設された。；この条約にはポーランドを独ソで分割する秘密協定も付属していた。；阿波丸は日米間の協定で安全航行を保障されていたものの、攻撃を受けた。；戦える力を失ったら我々は何を材料に彼らと協定を結べるというのか。；WTO協定第12条に基づく加入交渉を経て新たに加盟した国がこれに該当する。；また、フランスも5月15日に新たな協定を結んで関係を強化した。；世界各地にある農業大学を中心に18の大学と姉妹校協定を結んでいる。；このほか、留学生の入学前支援のため京都日本語学校と協定を結んでいる。；これらの協定は戦後の中東地域の混乱を増大させる要因ともなった。；図書館の広域自治体間相互利用協定により、以下の市民にも開かれている。；景観計画区域内の土地の所有者等は、景観協定を締結することができる。；翌年には日本とキューバの通商協定が締結され、現在も継続中である。；神奈川大学では世界各国の前述の協定校と留学生の交換を行っている。；候補者同士は選挙があるごとに小選挙区と比例区における協定を結ぶ。；対してゲーリングはイギリスはもはや何があってもこの協定通りに行動するだろうと確信した。；イタリア統治のための議会や協定が数々ヴェローナで行われた。</t>
        </is>
      </c>
      <c r="J2194">
        <f>HYPERLINK("https://www.weblio.jp/content/協定", "词义详情")</f>
        <v/>
      </c>
      <c r="K2194">
        <f>HYPERLINK("https://yourei.jp/協定", "查看例句")</f>
        <v/>
      </c>
    </row>
    <row r="2195">
      <c r="A2195" t="inlineStr">
        <is>
          <t>強敵</t>
        </is>
      </c>
      <c r="B2195" t="inlineStr">
        <is>
          <t>成功</t>
        </is>
      </c>
      <c r="C2195" t="inlineStr">
        <is>
          <t>読み方：きょうてき
強力な敵。手ごわい相手。</t>
        </is>
      </c>
      <c r="D2195" t="inlineStr">
        <is>
          <t>強敵たち(2%)；強敵達；強敵相手；強敵ステップ</t>
        </is>
      </c>
      <c r="E2195" t="inlineStr">
        <is>
          <t>ライバル；好敵手；難敵；手ごわい相手；手ごわい敵</t>
        </is>
      </c>
      <c r="F2195" t="inlineStr">
        <is>
          <t>様々な強敵；新たな強敵；いかなる強敵；がたい強敵</t>
        </is>
      </c>
      <c r="H2195" t="n">
        <v>29</v>
      </c>
      <c r="I2195" t="inlineStr">
        <is>
          <t>五十人からの強敵が出てくる中で、十人に入るのは大変なことなのよ?；こいつが今回の大会にも出てくるんだとしたら、恐ろしい強敵になるだろう。；競走もピラミッドの上部へ来るほどに、強敵が現われ苛烈になってくる。；ガードマンたちも、次々に現れる強敵に向かって必死の乱射を開始した。；彼は背中に傷を負わされたことを知っても、自分の強敵は犬だと思っている。；つかのま、強敵が目のまえにあらわれたときの圧倒的な恐怖を感じた。；今度の若者はそいつらより強敵ではあったが、倍も絞めておけばいいだろう。；強敵なのは分かりきっていたが、むしろ雄一はさっぱりした気分だった。；彼はその視線の先の空間に強敵の顔をえがいていたにちがいない。；その強敵は、亡師殺害の一件とは、まったく関係のない男なのである。；三十六歩では全身の守りがそなわって、いかなる強敵にもあたれるのだ。；確かに彼は強敵だが、それでも防戦に徹すれば私とて簡単には敗れません。；又蔵という若者を、強敵だと感じたのは間違っていなかったのである。；「それは、なかなか強敵ですね」 スレインが困ったような表情をした。；強敵におそわれ、身体がすくんでしまってもがいているような声だった。；これほどの強敵と相見えること、そして実際に戦うことができるのだ。；こうしたインド内だけの問題ではなく、イラン方面からも強敵が迫ってきた。；忍者たちは強敵に忍び寄ることで茂みの中央に精神を集中させていた。；右膳は、今日まで、この様に不気味な強敵に圧迫された経験がなかった。；だが、どんな強敵でも、不死身のDが相手では、最後には敗れてしまう。；シャ・バッグは俺にとって唯一信じられる友であり、最大の強敵だった。；今日は作戦勝ちをしたが次はどうなるか分らない強敵だ。；どこの誰かも、その目的も分からないが、強敵であるのは間違いない。；これほどの強敵を前にして、もう立ち止まることなどできようはずがない。；ひとつは、例の強敵アムンゼンの南極到着が確認されたことであった。；しかも当時、信長の有力な部将は遠隔の地において強敵と対峙していた。；ルフィ達は島を探索する道中、封印から現れた強敵達と戦うことになる。；己の腕に見合う強敵にしか興味を示さないため、簡単な任務や弱い敵を嫌う。；この強敵をやっつけておかないと、あとがうるさいと感じたのだろう。</t>
        </is>
      </c>
      <c r="J2195">
        <f>HYPERLINK("https://www.weblio.jp/content/強敵", "词义详情")</f>
        <v/>
      </c>
      <c r="K2195">
        <f>HYPERLINK("https://yourei.jp/強敵", "查看例句")</f>
        <v/>
      </c>
    </row>
    <row r="2196">
      <c r="A2196" t="inlineStr">
        <is>
          <t>仰天</t>
        </is>
      </c>
      <c r="B2196" t="inlineStr">
        <is>
          <t>成功</t>
        </is>
      </c>
      <c r="C2196" t="inlineStr">
        <is>
          <t>読み方：ぎょうてん
［名］(スル)《天を仰ぐほど驚く意》ひどくびっくりすること。「—して腰を抜かす」</t>
        </is>
      </c>
      <c r="D2196" t="inlineStr">
        <is>
          <t>仰天いたし；仰天ぶり；仰天エピソード</t>
        </is>
      </c>
      <c r="E2196" t="inlineStr">
        <is>
          <t>驚き；驚愕；驚嘆；愕；驚</t>
        </is>
      </c>
      <c r="F2196" t="inlineStr">
        <is>
          <t>仰天する；見て仰天；ビックリ仰天；吃驚仰天；さすがに仰天</t>
        </is>
      </c>
      <c r="G2196" t="inlineStr">
        <is>
          <t>仰天ニュース；仰天・平成元年の空手チョップ；仰天パニックシアター；仰天プラン</t>
        </is>
      </c>
      <c r="H2196" t="n">
        <v>29</v>
      </c>
      <c r="I2196" t="inlineStr">
        <is>
          <t>群れの仲間は、背中に人間を乗せた仲間を見て、これまたびっくり仰天。；仰天したブリタニーは人生で初めて自分の健康に気を遣うようになった。；「あの女は夫と一緒にいますのじや」 ロックは仰天してカッとなつた。；広島の惨状には仰天したが、どんな爆弾が落ちたのかまだ知らなかった。；こんなことをしようとするなんてと、そこにいた二人は仰天したようだった。；帰国したネイサンがメイと会話している様子をみたジュリーは仰天した。；その正門の門卒たちは、いきなり門闕の前に現れた数百の民に仰天した。；私たちは仰天して、彼女に発見されまいと松屋の階段を駆け降りて逃げた。；群集たちは仰天し、その周囲へ集まったり、その周囲から逃げたりした。；民衆はノアダが一人きりで広場を歩いているのを見て、びっくり仰天した。；のちにこの話を聞いた小泉純一郎がそれで人が来るのかと仰天した。；その船は朝靄の中からふいに姿をあらわし、港にいた人々を仰天させた。；だがこの奇妙な場所では自分が平均値だと知って、仰天する者もいる。；それから仰天したことには、相手は炸裂弾でわれわれを攻撃し始めたのだ。；そして彼女の次の行動は、さらにわたしを仰天させることとなった。；一つには、びっくり仰天して、はっきり物が考えられなかったせいもある。；お初も仰天したが、見張りの男の驚きようといったら滑稽なほどだった。；我々がこれらの天体の中に見るものは、すべて我々をびっくり仰天させる。；そして向こうを見たとたんに、びっくり仰天して腰を抜かしそうになった。；彼女は、自分の歯の数が上の姉たちよりも少ないことを知った時は仰天した。；今日、そのブルーゲルはびっくり仰天させられることになるはずだった。；スノッドグラース氏が、びっくり仰天した沈黙を破る最初の人となった。；この新しい暴露は、最初のそれよりもいっそう彼女を仰天させました。；それはもう驚きなどというものではなくて、仰天であり、恐慌であった。；私には悲しみは初めてだったが、にもかかわらずそれは私を仰天させてしまった。；吃驚仰天した顔をしたが、ぽんと樋の口を突出されたように飛んだもの。；警備兵たちはもう網を抜け出していたが、目の前の光景に仰天した。；きみがもどってきても逮捕されなかったので、わたしは仰天した。；この思いもかけぬ出来事にセリファンはすっかり仰天してしまった。</t>
        </is>
      </c>
      <c r="J2196">
        <f>HYPERLINK("https://www.weblio.jp/content/仰天", "词义详情")</f>
        <v/>
      </c>
      <c r="K2196">
        <f>HYPERLINK("https://yourei.jp/仰天", "查看例句")</f>
        <v/>
      </c>
    </row>
    <row r="2197">
      <c r="A2197" t="inlineStr">
        <is>
          <t>郷土</t>
        </is>
      </c>
      <c r="B2197" t="inlineStr">
        <is>
          <t>成功</t>
        </is>
      </c>
      <c r="C2197" t="inlineStr">
        <is>
          <t>読み方：きょうど
１自分が生まれ育った土地。故郷。「—の誇り」「—愛」
２その地方・土地。「—史」</t>
        </is>
      </c>
      <c r="D2197" t="inlineStr">
        <is>
          <t>郷土博物館(10%)；郷土研究(5%)；郷土館(5%)；郷土誌(3%)；郷土的(2%)</t>
        </is>
      </c>
      <c r="E2197" t="inlineStr">
        <is>
          <t>出身；国；里；故郷；田舎</t>
        </is>
      </c>
      <c r="F2197" t="inlineStr">
        <is>
          <t>郷土室；山梨郷土；八戸郷土；郷土かるた；郷土望景</t>
        </is>
      </c>
      <c r="G2197" t="inlineStr">
        <is>
          <t>郷土資料；郷土史；郷土史家；郷土芸能；郷土玩具</t>
        </is>
      </c>
      <c r="H2197" t="n">
        <v>29</v>
      </c>
      <c r="I2197" t="inlineStr">
        <is>
          <t>現在では教科書供給に加えて、東三河地方の郷土本などを出版している。；郷土館の近くにノイヤールスゼンガー記念碑が2005年に建立された。；一方で郷土文化への関心も強く、民俗学者の柳田国男とも交流している。；共和国は、ロシア民族以外の民族が郷土としている地域に建てられている。；郷土の市場の人達は相撲協会を解雇された自身を変わらず応援していた。；一方で、國學院大學内に郷土研究会を創設するなどして活発に活動する。；同じ建物に市の郷土・地方文化図書館および市文書館も入居している。；その一つが、郷土博物館になっている建物で1797年の建造である。；これらのうちいくつかは、ボルクホルツハウゼン郷土館に展示されている。；地元の人々は羽犬は良い犬との説に立ち、郷土の誇りとしている。；またこの年は「日本郷土童謡名曲集」をはじめ精力的に著書も出版した。；シェーセル郷土博物館では19世紀の生活や仕事ぶりを展示している。；郷土博物館は、1988年から町の中心にある旧町役場で運営されている。；正面玄関に展示されている大型の馬の埴輪は、郷土の古墳から出土したもの。；自身のことを郷土研究者であり山岳研究者であると位置づけている。；木祖村郷土館で関連資料を見学できるほか、地元商店で購入可能である。；この中にはドイツに送還された戦没者や郷土で死亡した者を含む。；当時の駅名標は芦田湖のほとりにある郷土民俗資料館に展示されている。；絵画や彫刻といった分野の郷土芸術の特別展示が不定期になされている。；あくまで郷土伝承の域を出ない話と見るべきであろう。；施設警備のために防衛地区本部には非現役部隊の郷土防衛中隊が設けられていた。；イベントの大部分は郷土協会と文化協会が共同で運営する文化・郷土博物館で開催される。；この場所には現在郷土博物館の建物が建てられている。；最福寺内の郷土歴史資料館には秀和の展示コーナーも設置されている。；郷土の文化財保護と調査にいそしみ、沓掛城址の研究でも知られている。；スポーツクラブの他に数多くの郷土クラブや文化クラブがある。；また、習志野では郷土の詩人シュトルムの詩に作曲した歌曲を残している。；蒲原平野や農民などを主なモチーフとし、郷土に根ざした作品を制作した。；シンシナティ・チリはこの地域で最も有名な郷土料理だと言える。</t>
        </is>
      </c>
      <c r="J2197">
        <f>HYPERLINK("https://www.weblio.jp/content/郷土", "词义详情")</f>
        <v/>
      </c>
      <c r="K2197">
        <f>HYPERLINK("https://yourei.jp/郷土", "查看例句")</f>
        <v/>
      </c>
    </row>
    <row r="2198">
      <c r="A2198" t="inlineStr">
        <is>
          <t>共同</t>
        </is>
      </c>
      <c r="B2198" t="inlineStr">
        <is>
          <t>成功</t>
        </is>
      </c>
      <c r="C2198" t="inlineStr">
        <is>
          <t>読み方：きょうどう
［名］(スル)
１複数の人や団体が、同じ目的のために一緒に事を行ったり、同じ条件・資格でかかわったりすること。「—で経営する」「—で利用する」「三社が—する事業」
２「協同」に同じ。</t>
        </is>
      </c>
      <c r="D2198" t="inlineStr">
        <is>
          <t>共同体(7%)；共同開発(4%)；共同経営(3%)；共同代表；共同設立</t>
        </is>
      </c>
      <c r="E2198" t="inlineStr">
        <is>
          <t>協力；接続；合併；合流；結合</t>
        </is>
      </c>
      <c r="F2198" t="inlineStr">
        <is>
          <t>共同出資；共同訓練；共同皇帝；共同使用；共同創設</t>
        </is>
      </c>
      <c r="G2198" t="inlineStr">
        <is>
          <t>共同研究；共同生活；共同制作；共同開発；共同作業</t>
        </is>
      </c>
      <c r="H2198" t="n">
        <v>29</v>
      </c>
      <c r="I2198" t="inlineStr">
        <is>
          <t>また下記以外に加盟局が共同で制作したドラマを放送する地域もある。；当初は西日本新聞社と共同で球団を設立しようとしたが、これには頓挫。；いわゆる「共同皇帝制」が採用されたのはこれが初めての事例となった。；自治体行政の分散を図る観点から、ハムは住民共同体 を形成している。；どちらが皇帝で、どちらがその共同皇帝かは民衆の間ですら明らかであった。；侯外廬は戦国時代に疲弊する農業共同体の農民思想の代弁だと主張した。；これら全てを効果的に作動させるには、共同してある操作が必要とされた。；双方のファンの取り込みを目指した共同キャンペーンなどを展開している。；ヨーロッパ各国が共同で設立した欧州宇宙機関で中心的な役割を果たしている。；これを受けて、今後5社共同で大西洋路線の運営・管理を行う方針である。；また、味噌などと同様に、各集落で共同で作られることもしばしばあった。；現代の科学者は、大きな科学共同体の中で生かされているような面がある。；このような場所は寺や神社が所有していたり、近隣共同体の共有財産であったりした。；海外留学生と、共同プログラムに所属する日本人学生の交流の場も提供する。；同博物館は、当時フランス・アメリカ・イギリスの各国政府が共同で運営していた。；そのため、武器の開発や生産は国際共同が主流となりつつある。；彼は伯爵と共にド・ディオン・ブートン社を共同設立した人物でもあった。；遺体はウィーン郊外のサンクト・マルクス墓地の共同墓穴に埋葬された。；独特の丸い形状の家はハインライン自身が妻と共同で設計したものである()。；現在の駅舎は地域間交流施設クローバと共同の建物を使用している。；全ての最高峰に登頂したバスは自分のなしたことをウェルズと共同執筆した。；共同作品のうち主にアルバム単位の作品を下記する。；他にも、大韓民国の現代ロテムと共同で高速鉄道の車両を手がけている。；次の各号のいずれかに該当する場合は、共同新設分又は吸収合併をしてはならない。；この新聞社との資本関係が非常に強く、社屋も共同で使用している。；師団単位の訓練や砲兵などの他兵科との共同訓練の経験はほとんど無かった。；米国はイギリス・フランス・カナダ・ドイツ等と共同でアフガニスタンに攻撃を行った。；共同使用解消後に改札外通路となり、西口歩道橋と接続するようになった。；部屋以外の設備は共同使用の場合が多く、基本的に相部屋である。</t>
        </is>
      </c>
      <c r="J2198">
        <f>HYPERLINK("https://www.weblio.jp/content/共同", "词义详情")</f>
        <v/>
      </c>
      <c r="K2198">
        <f>HYPERLINK("https://yourei.jp/共同", "查看例句")</f>
        <v/>
      </c>
    </row>
    <row r="2199">
      <c r="A2199" t="inlineStr">
        <is>
          <t>協同</t>
        </is>
      </c>
      <c r="B2199" t="inlineStr">
        <is>
          <t>成功</t>
        </is>
      </c>
      <c r="C2199" t="inlineStr">
        <is>
          <t>読み方：きょうどう
［名］(スル)複数の人または団体が、力を合わせて物事を行うこと。共同。「住民が—して地域の振興に努める」「産学—」</t>
        </is>
      </c>
      <c r="D2199" t="inlineStr">
        <is>
          <t>協同作戦(3%)；協同作業(2%)；協同組織(2%)；協同主義(2%)；協同的</t>
        </is>
      </c>
      <c r="E2199" t="inlineStr">
        <is>
          <t>協力；共同；接続；合併；統合</t>
        </is>
      </c>
      <c r="F2199" t="inlineStr">
        <is>
          <t>非協同；協同攻撃；協同企画；雌雄協同；戦協同</t>
        </is>
      </c>
      <c r="G2199" t="inlineStr">
        <is>
          <t>協同組合連合会；協同民主党；協同体；協同バス；協同組織金融機関</t>
        </is>
      </c>
      <c r="H2199" t="n">
        <v>29</v>
      </c>
      <c r="I2199" t="inlineStr">
        <is>
          <t>それら全てが相互に作用して、共通の目標に向けて協同しているのである。；フォイリッヒはこの産業における多くの非常に成功した企業と協同した。；こうした協同関係は必要になるごとに皇帝から認可されるものだった。；この方法を実現しようとすれば、第一に愛の世界的協同が必要になります。；特に深い関係があるとも思えない個体間での協同作業が見られる場合もある。；多要素系の協同現象の理論であるシナジェティクスの提唱で知られる。；これは、世界宣教の使命を果たすための協同運動を目指すものであった。；三者がそれぞれの目的の実現のために協同し、学芸大クラブが設立された。；これらはイギリス陸軍の4個軍と協同するために4個旅団に編成された。；ただし、協同村建設の夢はオウエンの志となってその後も胸中に残った。；蟻は何万、何十万といふ程多数のものが自治協同の生活をしてをります。；坂本らの部隊と協同して戦ったのか、動かなかったのか不明である。；しかし協同社会では有用な仕事は身体の障害のある人にも提供される。；ひとつの目的にむかって、ふたり以上の人間が協同作業をする場合のことである。；多くが個人商品であるが、宇川加工所として会員が協同する場合もある。；男が女と協同し尊敬し合う事を忘れるのは決して名誉でありません。；非協同者の政治的非暴力も、多くの場合に於て、この試練に耐へ得ない。；そこで多様な能力や専門分野を持つ者が集まって協同することで調和が生まれる。；三人協同で何かをする場合には、会長ひとりと、ふたりの秘書を選ぶ。；ゲートをくぐって扉を開くと、そこはいわゆる協同機関の建物の中だった。；大戦中は両者の関係は良好であり、しばしば協同して作戦行動を行なった。；町で死者が次々に出ると、女子修道院は修道院と協同して手当てを行った。；Withoutaboxは世界中の映画祭と映画製作者と協同している。；これらの航空部隊が砲兵隊と協同して着弾観測を行うこともあった。；だが評価が低くとも、その非凡な協同力はイベント主催者によく知られていた。；これでは作戦が成立するはずもなく、空海協同の打ち合わせの時間もない。；科学が実際に役に立つためには、この協同研究が絶対に必要である。；幸い近く平和が成立したところで急速に心からの協同は至難である。；サービス以外の商品にのみ言及し、政策の協同は含んでいない。</t>
        </is>
      </c>
      <c r="J2199">
        <f>HYPERLINK("https://www.weblio.jp/content/協同", "词义详情")</f>
        <v/>
      </c>
      <c r="K2199">
        <f>HYPERLINK("https://yourei.jp/協同", "查看例句")</f>
        <v/>
      </c>
    </row>
    <row r="2200">
      <c r="A2200" t="inlineStr">
        <is>
          <t>競売</t>
        </is>
      </c>
      <c r="B2200" t="inlineStr">
        <is>
          <t>成功</t>
        </is>
      </c>
      <c r="C2200" t="inlineStr">
        <is>
          <t>読み方：きょうばい
［名］(スル)複数の買い手に値をつけさせて、最高価格を申し出た者に売る方法。法律では、「けいばい」とよびならわされている。せり売り。「—に付す」</t>
        </is>
      </c>
      <c r="D2200" t="inlineStr">
        <is>
          <t>競売にかけられ(14%)；競売人(6%)；競売に出さ；競売場；競売に掛けられ</t>
        </is>
      </c>
      <c r="E2200" t="inlineStr">
        <is>
          <t>競；オークション；競り；公売；売立</t>
        </is>
      </c>
      <c r="F2200" t="inlineStr">
        <is>
          <t>競売法；帝位競売；競売目録；競売に付せられ</t>
        </is>
      </c>
      <c r="G2200" t="inlineStr">
        <is>
          <t>競売物件；競売入札妨害罪</t>
        </is>
      </c>
      <c r="H2200" t="n">
        <v>29</v>
      </c>
      <c r="I2200" t="inlineStr">
        <is>
          <t>競売人は買いそうな入札者に次々と目を向けながらちょっと待っていた。；ジャンケンで負けた方は身につけているものをぬいで競売にするのです。；またローマから追放されただけでなく、彼の財産は全て競売にかけられた。；どうやら私の眠りはひどく安い値段で競売にかけられているようだった。；それは海外の競売場で最悪の出会い方をしたライアン・ゴールドだった。；依頼主は競売がここまで白熱するとは予想していなかったのだと彼は説明した。；前の晩私が彼に競売のことを話すと、彼はぜひ一緒に行きたいと言ったのだ。；これは競売にかけられたバンクシーの作品の中で2番目に高い価格である。；当時は馬券販売や賞金などはなく、競走馬の競売用競走が行われていた。；でもここにある本をロンドンの競売場へ持ち込めば、金になるだろう。；銀行の金庫を補填するために、二人の娘をここへ競売に来たのである。；ヨーロッパのあちこちの国での販売と競売を担当しています。；わたしは競売のことを書いているのではない、自分の感じを書いているだけである。；この男が、何とかして私を手に入れたいと、競売人に私の産地を尋ねました。；住む人がなく、放置されていた建物を国が競売にかけたためであった。；王子が坐ったと思うと、競売人は自分の名を呼ばれたので、店に近づいてきました。；競売はその後も続けられたが、もう僕らの関心はそこにはなかった。；彼は競売人に、依頼主に相談の電話をさせてほしいと言った。；競売の日にこれらの品物だけは買手がなくて、自然私に残されたのであつた。；なんでも王室の御用商人が開いた競売で手に入れてきたんだとかいう品でね。；このような大規模な競売の場合、一つの出品物にかけられる時間はおよそ五分。；メイナードは、財政的な理由で手紙の競売を余儀なくされたと述べた。；以上のような点を踏まえて、競売場を利用するときは気をつけなければならない。；連中が競売でわたしより高く落とすことだって充分にあり得ます。；存命のノーベル賞受賞者のメダルが競売されたのは、史上初めてとなる。；もう段取りは前もって終わっていますから、競売はそれでおしまいです。；競売にかけたりして国の返済能力が落ちたらどうするのかと凄んでみせたのである。；ヨーロッパの海軍界に競売に出されていたものである。；家族がまだ住んでいる家と土地を競売で売り払い、債権を回収に走るのだ。</t>
        </is>
      </c>
      <c r="J2200">
        <f>HYPERLINK("https://www.weblio.jp/content/競売", "词义详情")</f>
        <v/>
      </c>
      <c r="K2200">
        <f>HYPERLINK("https://yourei.jp/競売", "查看例句")</f>
        <v/>
      </c>
    </row>
    <row r="2201">
      <c r="A2201" t="inlineStr">
        <is>
          <t>脅迫</t>
        </is>
      </c>
      <c r="B2201" t="inlineStr">
        <is>
          <t>成功</t>
        </is>
      </c>
      <c r="C2201" t="inlineStr">
        <is>
          <t>読み方：きょうはく
［名］(スル)
１相手にあることをさせようと、おどしつけること。「人質を取って—する」「—状」「—電話」
２刑法上、他人に恐怖心を生じさせる目的で害を加えることを通告すること。民法上の強迫に対応。</t>
        </is>
      </c>
      <c r="D2201" t="inlineStr">
        <is>
          <t>脅迫する(8%)；脅迫的(3%)；脅迫状；脅迫される；脅迫事件</t>
        </is>
      </c>
      <c r="E2201" t="inlineStr">
        <is>
          <t>脅威；脅し；威；威嚇；脅かす</t>
        </is>
      </c>
      <c r="F2201" t="inlineStr">
        <is>
          <t>脅迫犯；脅迫容疑；暴行又は脅迫；恐ろしい脅迫；執拗な脅迫</t>
        </is>
      </c>
      <c r="G2201" t="inlineStr">
        <is>
          <t>脅迫電話；脅迫者；脅迫文；脅迫罪；脅迫的</t>
        </is>
      </c>
      <c r="H2201" t="n">
        <v>29</v>
      </c>
      <c r="I2201" t="inlineStr">
        <is>
          <t>脅迫を知らないで失踪した車を見た連邦警察にまで追われることになる。；またジャケのもとには彼等を代表から外すようにとの脅迫が舞い込んだ。；また、担当職員が半分脅迫されるような形で保護認定したケースもあるという。；彼らが脅迫する対象は主にアメリカで成功した同胞たちであった。；世間を騒がせるのが目的で、脅迫に関する殺意等は無かったと主張した。；彼は死の脅迫を受け、警察の警護下に置かれなければならなかった。；暴動の中で脅迫や無許可の集会などを理由に三度警察に拘束されている。；坂口の息子・竜太も下山一派の脅迫や同級生からのいじめを受けていた。；後に神社側を脅迫したとして関係者が逮捕されることがあった。；政府発表によると誘拐や脅迫によって戦闘員を確保していたとのこと。；しかし、矢十字党は要求を呑まなければ国内の主な教会を破壊すると脅迫。；これが原因で彼女は王党派と疑われ、家には人が押し掛けて脅迫を受けた。；彼を脅迫して加藤の「親殺し」を自白させ、ICレコーダーに録音する。；「この村で一番美しい娘をよこせ」と村人をフォルスの力を使って脅迫。；テオはこの脅迫を真剣なものと捉えず、一切の保護を拒否したと言われている。；準備会は行為者や以後の脅迫に対して毅然たる姿勢をとることを表明した。；当時ローマでは属州統治に現地民への脅迫や搾取・収賄を行う者が頻繁にいた。；そして暴力団に入ったなどの嘘で脅迫し、部屋へと呼び出すことに成功する。；しかし貞彦は新和グループの松尾から脅迫を受け、何者かに殺害される。；当局に協力する者は、しばしば脅迫され、時には殺害されたりもした。；ヴァイマール騎兵がこの町に火をかけると脅迫してきたのである。；催促にきた政府委員は脅迫をうけたり、なかには殺害された者もいた。；他にも様々な脅迫を行い金銭を要求していたようである。；試合に負けた際や良いプレーが出来なかった際には家族を含めて殺害脅迫を受けたことが退団の理由と説明した。；その流れの中でテロ予告や脅迫があり、さまざまな規制・統制が進んでいる。；主な方法としては武器や脅迫などの暴力的手段を用いて行われる。；将軍はより若い将校達を逮捕させると脅迫したが、マウは彼らを保護して逮捕させなかった。；君を脅迫し続ける自分が嫌になったから自殺する。；彼女もまた「指示に従わねば息子を殺す」とアリアに脅迫されていたのだった。</t>
        </is>
      </c>
      <c r="J2201">
        <f>HYPERLINK("https://www.weblio.jp/content/脅迫", "词义详情")</f>
        <v/>
      </c>
      <c r="K2201">
        <f>HYPERLINK("https://yourei.jp/脅迫", "查看例句")</f>
        <v/>
      </c>
    </row>
    <row r="2202">
      <c r="A2202" t="inlineStr">
        <is>
          <t>恐怖</t>
        </is>
      </c>
      <c r="B2202" t="inlineStr">
        <is>
          <t>成功</t>
        </is>
      </c>
      <c r="C2202" t="inlineStr">
        <is>
          <t>読み方：きょうふ
［名］(スル)おそれること。こわいと思うこと。また、その気持ち。「—にかられる」「人心を—せしめる事件」「—心」</t>
        </is>
      </c>
      <c r="D2202" t="inlineStr">
        <is>
          <t>恐怖心；恐怖感；恐怖体験；恐怖そのもの；恐怖漫画</t>
        </is>
      </c>
      <c r="E2202" t="inlineStr">
        <is>
          <t>恐れ；警戒；怖；脅威；狼狽</t>
        </is>
      </c>
      <c r="F2202" t="inlineStr">
        <is>
          <t>本能的な恐怖；がたい恐怖；強い恐怖；冷たい恐怖；はげしい恐怖</t>
        </is>
      </c>
      <c r="G2202" t="inlineStr">
        <is>
          <t>恐怖感；恐怖政治；恐怖症；恐怖小説；恐怖王</t>
        </is>
      </c>
      <c r="H2202" t="n">
        <v>29</v>
      </c>
      <c r="I2202" t="inlineStr">
        <is>
          <t>すると守備兵たちは高所を抑えられた恐怖から砦から逃げ去っていった。；これは個人の中でも変化するため、恐怖を乗り越えることは可能である。；安永自身も食事中のミホノブルボンに接近することは恐怖だったという。；またラッセルは、宗教や信仰を死や神秘的なものへの恐怖にあるとした。；クラム自身も、自分には女性に対する異常な恐怖心があると認めている。；恐怖と恐れと共に人の影にいた彼らが人間との戦争を始め、今に至る。；死ぬと全く何もなくなってしまう、ということが耐え難い恐怖であった。；三木は暴動に恐怖を感じたが、彼女の姿を見ると尻込みは出来なかった。；フロースガール王は恐怖を感じるも、何もできないまま12年が過ぎた。；虐待を受けている子どもは恐怖または愛情から親をかばうことがある。；興奮したり、笑い出したり、密かに恐怖を感じていたこともあっただろう。；当初は、「極刑が予想される恐怖から、態度を変えた」と思われていた。；そして罰にはその恐怖から犯罪を抑止する社会的な効果があると考えられた。；またこの事件で男に自分の後に立たれる事に恐怖を覚える事になる。；群集がユダヤ人共同体に近づくと、恐怖のあまり自ら死を選ぶものもあった。；巨大な人食いザメの恐怖と、それに立ち向うブロディ一家を描いた作品。；この間、オデュッセウスは恐怖でただ見ていることしかできなかった。；自身のなかに生まれて初めて『恐怖』という感情が芽生えていることを。；場外乱闘が何処で起こっているかわからないので、観客が恐怖を味わう。；その恐怖は恐怖症や権威への恐れなど、様々な不安へと転換される。；また夜には連合軍の空襲の恐怖にさらされることも多くなっていった。；男性恐怖症とは対人恐怖の現れのひとつで、恐怖対象が男性であるもの。；「恐怖は人類の最も古い感情である」というラヴクラフトの言葉がある。；恐怖漫画家が書いた、この形而上学的作品に影響を受けた文化人は多い。；閉ざされた狭い空間・場所にいることに極度の恐怖を感じる症状のことである。；当時の日本の人々はたった一人の男に恐怖していた。；富江の恐怖を前面には出さず、失われた記憶の探求部分が強調されている。；戦場での恐怖が以降の作品に大きな影響をもたらした。；全てが全てホラーや恐怖を与えるものではなく、感動するものなども存在する。</t>
        </is>
      </c>
      <c r="J2202">
        <f>HYPERLINK("https://www.weblio.jp/content/恐怖", "词义详情")</f>
        <v/>
      </c>
      <c r="K2202">
        <f>HYPERLINK("https://yourei.jp/恐怖", "查看例句")</f>
        <v/>
      </c>
    </row>
    <row r="2203">
      <c r="A2203" t="inlineStr">
        <is>
          <t>興味</t>
        </is>
      </c>
      <c r="B2203" t="inlineStr">
        <is>
          <t>成功</t>
        </is>
      </c>
      <c r="C2203" t="inlineStr">
        <is>
          <t>読み方：きょうみ
１その物事が感じさせるおもむき。おもしろみ。興。
「人生の最も深き—あり」〈高村・友の妻〉
２ある対象に対する特別の関心。「—がわく」「—を引く」「—に満ちた表情」「—の的」
３心理学で、ある対象を価値あるものとして、主観的に選択しようとする心的傾向。教育学では、学習の動機付けの一つ。</t>
        </is>
      </c>
      <c r="D2203" t="inlineStr">
        <is>
          <t>興味を持ち始め；興味ぶかい；興味をもた；興味関心；興味ふかい</t>
        </is>
      </c>
      <c r="E2203" t="inlineStr">
        <is>
          <t>注意；注目；関心；娯楽；知りたい</t>
        </is>
      </c>
      <c r="F2203" t="inlineStr">
        <is>
          <t>深い興味；興味ぶかく；興味ぶかげ；興味を失くし；興味を覺える</t>
        </is>
      </c>
      <c r="G2203" t="inlineStr">
        <is>
          <t>興味津々；興味深；興味深く；興味本位；興味しんしん</t>
        </is>
      </c>
      <c r="H2203" t="n">
        <v>29</v>
      </c>
      <c r="I2203" t="inlineStr">
        <is>
          <t>また最近では人気キャラクターを用いて子供の興味を引くものが多い。；幼いころから科学や自然に興味を持ち、植物採集に頻繁に出かけていた。；共通の趣味・興味を持つ仲間が定期的に集まって形成する団体をいう。；それまで女子プロレスに興味を示さなかった一般層の獲得に成功している。；この頃は、武術よりも漫画に興味を持ち、自分で漫画を描くほどだった。；父が持っていたトランペットに興味を示し、12歳の頃から吹き始める。；引退後の姿はまったく謎に包まれており、人々の興味の対象となった。；ユーモアがあるそれらの発言は野球に興味のない人々にも親しまれている。；しかしながら、ガルボがこの話に興味を示したかどうかは伝わっていない。；そもそもバブル景気の崩壊以降若者が自動車に興味を示さなくなっていった。；具体的には色に興味がある人は色が付いた夢を見る、などである。；哲学に興味を持ち、寮の友人たちと自己解放について徹夜で議論をした。；美術をはじめとする芸術一般にも興味を持ち相互に影響した。；その後映画の魅力にとりつかれ、映画業界の仕事に興味を持ち始める。；彼が仕事を始めて間もない頃は、生体分子の研究にはあまり興味が無かった。；その後、無線に興味があったことから電気学園福島工業高等学校に入学。；その一方、予備知識を持たない興味本心だけの参加者の増加もしている。；ゴ集団の中には人類の文化・芸術に興味を示して熟達する者もいた。；また同時期、ザップが興味を持つようになったのが軍事学・哲学であった。；引退では以前から興味のあった教育の分野に進むと宣言。；連続体仮説に興味を持ち研究を続けたが、存命中に成果は得られなかった。；漫画とアニメとの違いを肌で感じ、この経験をきっかけにアニメ制作に興味を持つ。；父は薬局を営んでおり、父の仕事を手伝いながら科学への興味を育んだ。；聖光学院在学時に授業で建築模型を製作して以来建築に興味を抱いていた。；GNUが有名になるにつれて、GNUに興味を持つ企業が現れはじめた。；その頃から映画に興味を持ち始め、一時漫画から離れて映画漬けの日々を送る。；当初、資金は同様の問題を解くことに興味を持っていた農学部から出ていた。；欧州出身者には珍しく歌劇の指揮にはほとんど興味を示さなかった。；ヘンドリックスの側もマイルスの音楽に興味を持っていたが故のことであった。</t>
        </is>
      </c>
      <c r="J2203">
        <f>HYPERLINK("https://www.weblio.jp/content/興味", "词义详情")</f>
        <v/>
      </c>
      <c r="K2203">
        <f>HYPERLINK("https://yourei.jp/興味", "查看例句")</f>
        <v/>
      </c>
    </row>
    <row r="2204">
      <c r="A2204" t="inlineStr">
        <is>
          <t>業務</t>
        </is>
      </c>
      <c r="B2204" t="inlineStr">
        <is>
          <t>成功</t>
        </is>
      </c>
      <c r="C2204" t="inlineStr">
        <is>
          <t>読み方：ぎょうむ
１職業や事業などに関して、継続して行う仕事。
２法律で、社会生活において反復・継続して行う活動のこと。職業上の活動に限らず、娯楽のための個人的な行為も含まれるが、家事や育児など家庭生活上の活動は含まれない。→業務上過失</t>
        </is>
      </c>
      <c r="D2204" t="inlineStr">
        <is>
          <t>業務等；業務執行；業務部；業務全般；業務提携</t>
        </is>
      </c>
      <c r="E2204" t="inlineStr">
        <is>
          <t>仕事；務め；目的；役；役割</t>
        </is>
      </c>
      <c r="F2204" t="inlineStr">
        <is>
          <t>主な業務；管理業務；日常業務；窓口業務；集配業務</t>
        </is>
      </c>
      <c r="G2204" t="inlineStr">
        <is>
          <t>業務提携；業務委託駅；業務内容；業務上；業務委託</t>
        </is>
      </c>
      <c r="H2204" t="n">
        <v>29</v>
      </c>
      <c r="I2204" t="inlineStr">
        <is>
          <t>機関とは学校や病院等の部隊を維持運営するための業務を担う組織である。；このような販売はバーの業務と考えられ、バーにはより厳しい制限がある。；これは通信主管庁の業務を他の者が担ってはならないとする原則である。；当該業務を遂行する為に多数の局を計画的に開設する事業者が該当する。；特に若手の場合は、電話番など取的と同じような業務を行うこともある。；経営状況を勘案して、海外から撤退して業務を国内に限る邦銀もあった。；国によっては、郵便局が上記の郵便以外の業務を行っている場合がある。；このような業務を行う銀行が誕生したのは近代以降である。；また過去には損害保険代理店業務・旅行業者の代理店業務を行っていた。；このような軍政機関が予算編成や基地管理などの行政的な業務を行っている。；鎮火後の修理の間も、建物が閉鎖されることなく通常の業務が続けられていた。；通常は、狭義には、自社の業務過程の一部を外部に委託することを指す。；これらを、小型の衛星に搭載するための研究、設計や開発業務を行う。；このカードに関わる業務の一部をユーシーカードへ業務委託している。；今までの免許取得者はこれまで同様に業務を行うことができる。；保健所の業務を例示すると次のような多様な業務の全部又は一部を行っている。；放送業務は分割準備会社に移行し社名も現在のRSK山陽放送に変更した。；このため、一部の収納業務は市内の郵便局の貯金窓口でも対応している。；州の法律に規定された業務範囲以外の治療や検査が必要な場合は他の医療機関を紹介する。；日本でも、このような業務形態が定着し、宅配ピザと呼ばれるようになった。；損傷していなくても、現在発行されていない旧紙幣は同様にこの交換業務の対象となる。；集札箱があるが、前述のように無人駅のため改札業務は行っていない。；実際の業務は市の指定管理者が甲迎館の施設管理を含めて行っている。；鉄道では区間という呼称は運転業務や旅客営業業務でも多用される。；以前はレンタサイクル業務を行っていたが、2015年現在は行っていない。；また運転士以外の運転業務に就く際にも色覚が正常である必要がある。；この他の市内に所在する集配業務を行わない郵便局は、以下の通り。；普通銀行は次の業務を営むことができ、それ以外の業務は行うことができない。；三原駅が管理し、東広島市が駅業務を受託し運営する簡易委託駅である。</t>
        </is>
      </c>
      <c r="J2204">
        <f>HYPERLINK("https://www.weblio.jp/content/業務", "词义详情")</f>
        <v/>
      </c>
      <c r="K2204">
        <f>HYPERLINK("https://yourei.jp/業務", "查看例句")</f>
        <v/>
      </c>
    </row>
    <row r="2205">
      <c r="A2205" t="inlineStr">
        <is>
          <t>共鳴</t>
        </is>
      </c>
      <c r="B2205" t="inlineStr">
        <is>
          <t>成功</t>
        </is>
      </c>
      <c r="C2205" t="inlineStr">
        <is>
          <t>読み方：きょうめい
［名］(スル)
１振動体が、その固有振動数に等しい外部振動の刺激を受けると、振幅が増大する現象。振動数の等しい二つの音叉(おんさ)の一方を鳴らせば、他方も激しく鳴りはじめるなど。電気振動のときには共振ということが多い。
２分子の構造が、一つの化学構造式で表せず、二つ以上の式の重ね合わせとして表される状態。
３他人の考えや行動などに心から同感すること。「主義に—する」</t>
        </is>
      </c>
      <c r="D2205" t="inlineStr">
        <is>
          <t>共鳴する(13%)；共鳴者(2%)；共鳴胴；共鳴現象；共鳴器</t>
        </is>
      </c>
      <c r="E2205" t="inlineStr">
        <is>
          <t>理解；同情；了解；共感；同調</t>
        </is>
      </c>
      <c r="F2205" t="inlineStr">
        <is>
          <t>強く共鳴；永年共鳴；共鳴体；共鳴点；表面プラズモン共鳴</t>
        </is>
      </c>
      <c r="G2205" t="inlineStr">
        <is>
          <t>共鳴音；共鳴構造；共鳴弦；共鳴効果；共鳴エネルギー</t>
        </is>
      </c>
      <c r="H2205" t="n">
        <v>29</v>
      </c>
      <c r="I2205" t="inlineStr">
        <is>
          <t>トルストイの平和思想に共鳴し、農業を営みながら彼の作品を翻訳した。；太陽系の衛星の中には以下のような共鳴に近い関係のものも存在する。；通過する空気の摩擦音を生ぜずに声を共鳴させる音を側面接近音と呼ぶ。；これは本質的にはケクレ構造の間の共鳴という古い考え方のままである。；平均運動共鳴の結果、軌道が安定化することも不安定化することもある。；自動車用では、ヘルムホルツの共鳴器や拡張室を利用したものが多い。；ギターのボディに共鳴板が張られているために、振動で大きな音が出る。；彼の民謡への興味と背景知識はデンマーク人に特別共鳴するのである。；ピアノは地面に直接置かれており、壮大な自然環境と音楽を共鳴させている。；いわゆる高次共鳴には、次のような限られた数の天体のみが知られている。；この共鳴のため、惑星系は半永久的に安定な状態にあると予測されている。；そしてこのように共鳴により生成した新しい軌道を混成軌道と呼んだ。；しかし、聴こえてくる彼らの世界にヴィースラーは次第に共鳴していく。；もし単一の寄与構造がこれを達成できないならば、共鳴が利用される。；通常、小惑星の共鳴と衝突のプロセスには数千万年かかるためである。；その時にケロロの父に共鳴をしてほしいと言われた際は見事に共鳴してみせた。；それと同時に共鳴核となった紅音がこれまでの会話の末に得たデータの一部を提供する。；中心に配置された低音弦は端に配置された時よりも多くの共鳴を得ることができる。；太陽系の惑星や衛星の間には次の5つの平均運動共鳴のみが知られている。；そのためミランダが過去に二次共鳴を通過したという仮説が提案されている。；ただし、他の管楽器と異なり気柱の共鳴を用いているのではない。；地球の気候システム自体が10万年の共鳴周期を持っている可能性はある。；これに対しては複数の極限構造間の共鳴という形で説明することになった。；小さな天体の場合は共鳴によって軌道が不安定化する場合の方が多い。；こうすることにより、演奏をしやすくしたり、共鳴を豊かにする効果がある。；共鳴は音を大きくさせ、遠くにいるメスも呼び出すことができるようになる。；この共鳴のため、波のような構造をしている可能性がある。；なお、軌道共鳴する彗星で逆行軌道をとることが判明したのはこれが初である。；その発生には二人以上の意思の共鳴が必須であるとされる。</t>
        </is>
      </c>
      <c r="J2205">
        <f>HYPERLINK("https://www.weblio.jp/content/共鳴", "词义详情")</f>
        <v/>
      </c>
      <c r="K2205">
        <f>HYPERLINK("https://yourei.jp/共鳴", "查看例句")</f>
        <v/>
      </c>
    </row>
    <row r="2206">
      <c r="A2206" t="inlineStr">
        <is>
          <t>教諭</t>
        </is>
      </c>
      <c r="B2206" t="inlineStr">
        <is>
          <t>成功</t>
        </is>
      </c>
      <c r="C2206" t="inlineStr">
        <is>
          <t>読み方：きょうゆ
［名］(スル)
１教えさとすこと。
２（教諭）教育職員免許法による普通免許状を有する、幼稚園、小・中・高等学校、中等教育学校、特別支援学校の正教員。旧制では、中等学校の正規の教員をいった。</t>
        </is>
      </c>
      <c r="D2206" t="inlineStr">
        <is>
          <t>教諭時代；教諭兼；教諭所；教諭免許；教諭経験</t>
        </is>
      </c>
      <c r="E2206" t="inlineStr">
        <is>
          <t>教育；教え；指導；伝える；授業</t>
        </is>
      </c>
      <c r="F2206" t="inlineStr">
        <is>
          <t>高等女学校教諭；音楽教諭；社会科教諭；女性教諭；同校教諭</t>
        </is>
      </c>
      <c r="H2206" t="n">
        <v>29</v>
      </c>
      <c r="I2206" t="inlineStr">
        <is>
          <t>教諭にも手紙を書くなどしてコンタクトをとったが、取材を拒否された。；・2015年5月28日ごろ男性教諭が学校で死亡する事件が発生した。；また、逮捕された教諭は過去に3回、体罰で処分を受けていたとのこと。；教諭と学校側は話し合いの場を持とうとしたが、Aの両親は出席を拒否。；男性教諭は、試合に出すかどうかをコーチと相談し、出場させることにした。；Kは一般の教諭とは異なり、派手な服装で授業を行う目立つ存在だった。；また、多くの教科では常勤教諭のほかに非常勤講師も授業を行っている。；その後、顎が外れた状態で5時間以上、男性教諭の傍に立っていたという。；入試デュエルでクロノス教諭に勝利した十代は学園生活を満喫していた。；これでぼくも晴れてみんなと同じなやみをきょうゆすることになりました。；民間会社勤務を経て、学校教諭となり、静岡県教組委員長などを歴任。；母は小学校の養護教諭であり、長濱が通っていた小学校の教諭でもあった。；大学では美術教諭の資格を取得しており、アマチュア画家でもある。；根津 公子は、日本の中学校の元家庭科教諭、後の特別支援学校に移動。；これを期に、高校時代の同級生で幼稚園の教諭をしていた女性と結婚。；今後はプロ選手の活動と並行して通信教育で小学教諭の資格も目指す。；児童・両親が主張した、教諭の「いじめ」の主な内容は次のとおりである。；担任、副担任と各クラスに教諭が二人ずつ着く一般的な編成である。；イスタンブールに着いた二人は教諭を探し出し、教諭は二人を家に迎える。；群像劇の形式を取り、児童や教諭など様々な人物の視点で物語が進む。；現在は奈良県立高取国際高等学校教諭として後進の指導にあたっている。；明治期、教授、教諭などを補佐する職として助教の語が用いられていた。；大学卒業後、京都師範学校教諭を経て農商務省に入省し農務局属となる。；校章は、開校当時に在籍していた同校教諭が描いた物が採用される。；報道されたような教諭の「いじめ」や「体罰」は実際には行われていない。；校歌も、開校当時に在籍していた教諭が作詞・作曲した応募曲が採用される。；音楽の授業を受け持っていた音楽教諭の小田美樹も歌うことができなかった。；講師は、教諭又は助教諭に準ずる職務に従事する学校職員のことである。；作詞は当時の校長であった小嶋登、作曲は音楽教諭の坂本浩美による。</t>
        </is>
      </c>
      <c r="J2206">
        <f>HYPERLINK("https://www.weblio.jp/content/教諭", "词义详情")</f>
        <v/>
      </c>
      <c r="K2206">
        <f>HYPERLINK("https://yourei.jp/教諭", "查看例句")</f>
        <v/>
      </c>
    </row>
    <row r="2207">
      <c r="A2207" t="inlineStr">
        <is>
          <t>供与</t>
        </is>
      </c>
      <c r="B2207" t="inlineStr">
        <is>
          <t>成功</t>
        </is>
      </c>
      <c r="C2207" t="inlineStr">
        <is>
          <t>読み方：きょうよ
［名］(スル)相手が欲する物品・利益などを与えること。「武器の—」「便宜を—する」</t>
        </is>
      </c>
      <c r="D2207" t="inlineStr">
        <is>
          <t>供与する(8%)；供与体(5%)；供与される(3%)；供与事件；供与国</t>
        </is>
      </c>
      <c r="E2207" t="inlineStr">
        <is>
          <t>与え；くれる；提供；出す；与える</t>
        </is>
      </c>
      <c r="F2207" t="inlineStr">
        <is>
          <t>利益供与；便宜供与；武器供与；無償供与；技術供与</t>
        </is>
      </c>
      <c r="H2207" t="n">
        <v>29</v>
      </c>
      <c r="I2207" t="inlineStr">
        <is>
          <t>これら一連の供与にもフォードからの資金援助があったといわれている。；ほぼ全機が陸軍で使用されたものの、若干機がイスラエルに供与された。；朝鮮戦争では日本を経由して投入され、その後韓国陸軍にも供与された。；また、ほとんどの企業が総会屋への利益供与を行っていたことが判明した。；カタンガ兵はソ連から兵器装備を供与され、キューバ兵に訓練を受けた。；これらのミサイル艇は、東側諸国やその同盟国に広く供与・輸出された。；企業が共同で技術開発を行う場合と、既存の技術を供与するケースがある。；供与された国で独自に各形式の仕様を混載して改良された車両も数多く存在する。；近年では日本だけでなく、アメリカ合衆国からも巡視船を供与されている。；一人の被害者も出さずに、利益を供与して解散することが出来た。；La-11を供与された国でも、同様の経過を辿ったと考えられている。；また株主権の濫用的な行使の禁止につき、利益供与の禁止の項目を参照。；ホルティ提督を支持する軍隊はルーマニア軍から武器を供与されている。；人民解放軍全体で使用された他、様々な国の軍隊や武装勢力に供与された。；製品やサービスとして販売されるものやライセンス供与されるものもある。；ワクチン供与に特化した活動を行っていることが同法人の特徴である。；鹵獲品および同盟国から供与されている武器・兵器類は一部省略してある。；ただしライセンス供与は今後も続けていくとの発表を行っている。；日本以外ではタイにも少数の一型が供与されており、こちらは戦後もしばらくの間運用されていた。；輸出された武器は対立するグループ間へ供与され、捕虜の確保を促すこととなった。；また、一定数が満州国軍やインド国民軍など同盟軍にも供与されている。；最初に保有したジェット機は1965年に供与されたB-57であった。；改造機は保管措置がとられて南ベトナム空軍に供与される事は無かった。；それまで供与されていたアメリカ合衆国製ダッジWCと交代する形で運用された。；M1とM9の各種バズーカは第二次世界大戦で連合国各国に供与された。；日本より多額のODAが供与されており、日本車の中古車も人気が高い。；この時、中国から巡回医療チームが派遣され、同時に医薬品も供与された。；その後は東側諸国に供与されたと思われるが、具体的な戦歴は不明。；本型の搭載装備のほとんどは、MSA協定に基づきアメリカから供与された。</t>
        </is>
      </c>
      <c r="J2207">
        <f>HYPERLINK("https://www.weblio.jp/content/供与", "词义详情")</f>
        <v/>
      </c>
      <c r="K2207">
        <f>HYPERLINK("https://yourei.jp/供与", "查看例句")</f>
        <v/>
      </c>
    </row>
    <row r="2208">
      <c r="A2208" t="inlineStr">
        <is>
          <t>教養</t>
        </is>
      </c>
      <c r="B2208" t="inlineStr">
        <is>
          <t>成功</t>
        </is>
      </c>
      <c r="C2208" t="inlineStr">
        <is>
          <t>読み方：きょうよう
［名］(スル)
１教え育てること。
「君の子として之(これ)を—して呉れ給え」〈木下尚江・良人の自白〉
２
㋐学問、幅広い知識、精神の修養などを通して得られる創造的活力や心の豊かさ、物事に対する理解力。また、その手段としての学問・芸術・宗教などの精神活動。
㋑社会生活を営む上で必要な文化に関する広い知識。「高い—のある人」「—が深い」「—を積む」「一般—」</t>
        </is>
      </c>
      <c r="D2208" t="inlineStr">
        <is>
          <t>教養人(4%)；教養豊か；教養系；教養講座；教養書</t>
        </is>
      </c>
      <c r="E2208" t="inlineStr">
        <is>
          <t>文化；教育；知識；学；栽培</t>
        </is>
      </c>
      <c r="F2208" t="inlineStr">
        <is>
          <t>高い教養；深い教養；豊かな教養；幅広い教養；基礎教養</t>
        </is>
      </c>
      <c r="G2208" t="inlineStr">
        <is>
          <t>教養部；教養番組；教養課程；教養学科；教養教育</t>
        </is>
      </c>
      <c r="H2208" t="n">
        <v>29</v>
      </c>
      <c r="I2208" t="inlineStr">
        <is>
          <t>日本では教養・思想面の著作翻訳が多く出版され、広く読者を得ている。；リットは、教養の内容がそれ自体でも価値あることをしばしば強調した。；高兌は政治手腕にも優れていたが、教養人・文化人としても優れていた。；ローマで成長したヴォノネスはローマ風の習慣や教養を身に付けていった。；武将としての能力だけでなく、和歌にも優れた教養人であったと伝わる。；主に寺の僧や貴族などの教養層によって継承されてきた文字である。；文化を享受するには一定の教養が必要であり、少数者のものであった。；機関車の仕組みや鉄道従業員の役割を紹介する教養的な内容となっている。；しかし、教養層を除いてはフランス語の能力は低く、使用頻度も少ない。；同賞を受賞するのは3回目だが教養番組部門で受賞するのは初めてだった。；三条西実枝と並び、この時代を代表する教養人として名が知られていた。；母のマリアはポーランドの血を引く教養人で、ピアノの才能があった。；ヨーロッパでは重要な教養の一つと考えられていたものである。；有名中学校の入試問題などの教養問題が2000問以上収録されている。；と即座に歌で答え、その教養に驚いて白けてしまったという記述がある。；おなあは暇に飽かせて多くの書物に触れ、この時期に多くの知識と教養を得た。；すなわち、教養こそ財として重きを置くべきとする教育がなされていた。；父と同じ教養人でもあり、和歌や能楽、絵画にも通じた文化人であった。；しかし逆に当時の森林官吏の教養知識の程度が推察されることにもなった。；教養系大学であり、国内ランキングでも常に上位に位置している。；中世の職人とは異なる、高い教養と科学的知識を持つ建築家の誕生である。；歌詞も曲も単純で、音楽的教養の高くない人にも歌えるものであった。；優れた教養人でもあり、将軍徳川綱吉の学問の師匠を務め多くの著書を残した。；さらに自らも優れた教養人であり、多くの俳句に関する著作を残している。；これらの従事者はほとんどの場合、読み書きができ、十分な教養があった。；ここで強調されるのは教養ではなく訓練であり、学課ではなく軍務であった。；その極めて高い教養力が伺え、現代において問題の多い作家の一人である。；よく授業をサボり、制服もほとんど着ないが、かなりの教養を身につける。；その柄行きから着物がどの物語を主題としているのを当てるのも教養の内だったからである。</t>
        </is>
      </c>
      <c r="J2208">
        <f>HYPERLINK("https://www.weblio.jp/content/教養", "词义详情")</f>
        <v/>
      </c>
      <c r="K2208">
        <f>HYPERLINK("https://yourei.jp/教養", "查看例句")</f>
        <v/>
      </c>
    </row>
    <row r="2209">
      <c r="A2209" t="inlineStr">
        <is>
          <t>郷里</t>
        </is>
      </c>
      <c r="B2209" t="inlineStr">
        <is>
          <t>成功</t>
        </is>
      </c>
      <c r="C2209" t="inlineStr">
        <is>
          <t>読み方：きょうり
１生まれ育った土地。ふるさと。
２むらざと。村落。〈日葡〉</t>
        </is>
      </c>
      <c r="D2209" t="inlineStr">
        <is>
          <t>郷里広島；郷里熊本；郷里へ帰つて；郷里高知；郷里鹿児島</t>
        </is>
      </c>
      <c r="E2209" t="inlineStr">
        <is>
          <t>生まれ；故郷；産地；生地；出身地</t>
        </is>
      </c>
      <c r="F2209" t="inlineStr">
        <is>
          <t>ご郷里；わが郷里；郷里へ歸つて；郷里福岡</t>
        </is>
      </c>
      <c r="G2209" t="inlineStr">
        <is>
          <t>郷里制</t>
        </is>
      </c>
      <c r="H2209" t="n">
        <v>29</v>
      </c>
      <c r="I2209" t="inlineStr">
        <is>
          <t>郷里にいた頃は裁判所の職員をしながら教員を目指していた経歴を持つ。；高校3年生のときに父が謎の自殺をしたので、母の郷里の名古屋に移る。；郷里の環境に身を置くことで、ミホの神経症状は次第に回復していった。；高校は郷里から非常に離れていたため親元を離れ1人暮らしを送っていた。；また同時期、陶淵明が郷里の生活を主題とする田園詩を作るようになる。；しかしその後不品行を理由に軍から追放され、郷里に引退し死去した。；郷里である北海道をはじめ、日本各地に多くの野外彫刻が設置されている。；公則は徒歩で父の遺体を背負って郷里に帰り、このことで有名になった。；周処は若い頃は乱暴者でよく狼藉を働き、郷里の人々に恐れられていた。；また郷里を始め各地に学校を設立するなど社会事業にも力を尽くした。；戦時中も両親は岩手県出身だったこともあり、一家をあげて郷里に疎開。；郷里では良く他者の面倒を見たので、見識のある人士は皆彼を重んじた。；更に曽国藩が来て、協力して城を包囲したが、父の死でともに郷里に帰った。；また晩年は、妻の郷里である天草に帰り、そこで亡くなったともいう。；郷里の人々はそれらに驚き、王祥の孝心がもたらしたのだと思ったという。；成功後も商人達は本宅や郷里を大切にし、金堂の優れた景観を発展させた。；岩大五率いるミャオ族軍に郷里が包囲されると、団練を組織して戦った。；イタリア各地で制作しているが、生涯のかなりの部分を郷里とその周辺で過ごしている。；脚が不自由なこともあってか、彼は一度も郷里の熊野へは帰ることがなかった。；鄭玄が郷里に戻る事になった際、馬融はこれを非常に惜しんだという。；するとみな郷里への帰還を望んだので、呂光はこれに従う事とした。；なお、敦は亡くなる前に戸籍を祖父の郷里の埼玉県久喜市に移していた。；津世子の多くの作品には、郷里秋田にゆかりを持つ人物や場面が出てくる。；書院はのち各地の郷里士林の根拠となり、中央政治にも大きな影響を及ぼった。；郷里では廃仏毀釈により廃寺となっていた寺を利用して私塾を開いた。；名古屋に定住してから後も、郷里の画家の指導や世話を行った。；帰国後は、郷里遠野を中心とした調査・研究を行うようになる。；三歳の時、母の郷里である韓国に渡り小学校を卒業した。；湘東王蕭繹が荊州刺史となると、世譜は郷里の人を率いて蕭繹に仕えた。</t>
        </is>
      </c>
      <c r="J2209">
        <f>HYPERLINK("https://www.weblio.jp/content/郷里", "词义详情")</f>
        <v/>
      </c>
      <c r="K2209">
        <f>HYPERLINK("https://yourei.jp/郷里", "查看例句")</f>
        <v/>
      </c>
    </row>
    <row r="2210">
      <c r="A2210" t="inlineStr">
        <is>
          <t>恐竜</t>
        </is>
      </c>
      <c r="B2210" t="inlineStr">
        <is>
          <t>成功</t>
        </is>
      </c>
      <c r="C2210" t="inlineStr">
        <is>
          <t>読み方：きょうりゅう
中生代の三畳紀に出現し、白亜紀末に絶滅した爬虫(はちゅう)類の総称。骨盤の形によって竜盤類と鳥盤類とに大別され、肉食性と草食性がある。白亜紀の草食性のものには体長35メートルを超すものもいた。</t>
        </is>
      </c>
      <c r="D2210" t="inlineStr">
        <is>
          <t>恐竜たち(2%)；恐竜化石(2%)；恐竜型；恐竜博物館；恐竜達</t>
        </is>
      </c>
      <c r="F2210" t="inlineStr">
        <is>
          <t>竜脚類恐竜；小型恐竜；巨大な恐竜；非鳥類型恐竜；大型恐竜</t>
        </is>
      </c>
      <c r="G2210" t="inlineStr">
        <is>
          <t>恐竜類；恐竜帝国；恐竜戦車；恐竜戦隊ジュウレンジャー；恐竜様類</t>
        </is>
      </c>
      <c r="H2210" t="n">
        <v>29</v>
      </c>
      <c r="I2210" t="inlineStr">
        <is>
          <t>地上に残された最後の恐竜の卵を巡る神と悪魔の決戦の物語が始まった。；肩の作りが特殊なため、恐竜のような絶滅動物と比較されることも多い。；これは化石の発掘当初は研究の不足から恐竜だと考えられたためである。；白亜紀に行ったが、我々が想像しているような恐竜の世界ではなかった。；恐竜型モデルはトリ型モデルの胴体をさらに前後に長くしたものである。；以下では属性がどのような恐竜のグループで構成されているかを説明する。；シリーズを通し、主に恐竜に変形するキャラクターにその名が使われる。；ワイト島はヨーロッパで恐竜の化石が最も豊富な場所のひとつでもある。；悪戦苦闘の末、恐竜関係の作業が完了したのは7月に入ってからだった。；また他の恐竜のような巣に並んだ形ではなく列になった卵の発見記録がある。；再創造の際、恐竜を含む管理なく生存できない生物は復活させなかった。；このドラマでの恐竜は現在の人間と変わらない生活を送っていた。；頭骨の上部が骨質で覆われていることを特徴とする鳥盤目の恐竜である。；たとえば、恐竜がどのような活動をしていたかについては多くの論がある。；なお、恐竜をその骨盤のみで分類する方法は現在ではもはや主流ではない。；原住恐竜の他にも、密林の上層部を歩く動物などが存在しているという。；前時代に恐竜から分岐した鳥類では、この時代に真鳥類が出現している。；現在は砂漠だが古代には植物の豊かな地域であり、大型恐竜が多く生息した。；恐竜たちの大部分は温血であり、体が羽毛や毛に覆われているものも多い。；これは、哺乳類が恐竜を捕食していた例もあったことを意味している。；また、彼の目から見た地上での恐竜の生態、植物などを紹介していく。；どれもオリジナルの恐竜の形をしたキャラクターとなっている。；他にも最も原始的な特徴を備えた恐竜の一つ、エオラプトルが産出した。；恐竜の中では大きな脳を持ち、高い知能を持ち合わせていた可能性がある。；ミクロラプトルなどが発見されるまでは長い間世界最小の恐竜であった。；いわゆる恐竜の子孫だとされ、飛翔するようになった鳥類ですら泳げる。；そこには広大なジャングルが茂り、恐竜が闊歩する世界が広がっていた。；名人はタマゴの中に居たため無事だった恐竜たちと共に冒険の旅に出た。；他のグループの恐竜と異なり、海からの距離との相関はなかったようである。</t>
        </is>
      </c>
      <c r="J2210">
        <f>HYPERLINK("https://www.weblio.jp/content/恐竜", "词义详情")</f>
        <v/>
      </c>
      <c r="K2210">
        <f>HYPERLINK("https://yourei.jp/恐竜", "查看例句")</f>
        <v/>
      </c>
    </row>
    <row r="2211">
      <c r="A2211" t="inlineStr">
        <is>
          <t>強力</t>
        </is>
      </c>
      <c r="B2211" t="inlineStr">
        <is>
          <t>成功</t>
        </is>
      </c>
      <c r="C2211" t="inlineStr">
        <is>
          <t>読み方：きょうりょく
［名・形動］力や作用が強いこと。また、そのさま。ごうりき。「—な味方」「運動を—に推進する」
[派生]きょうりょくさ［名］</t>
        </is>
      </c>
      <c r="D2211" t="inlineStr">
        <is>
          <t>強力な武器；強力な攻撃；強力なエンジン；強力な敵；強力な魔法</t>
        </is>
      </c>
      <c r="F2211" t="inlineStr">
        <is>
          <t>強力無比；強力な血管収縮；強力犯係；強力な還元剤；強力な酸化剤</t>
        </is>
      </c>
      <c r="G2211" t="inlineStr">
        <is>
          <t>強力粉；強力造船所；強力わかもと；強力ネオミノファーゲンシー；強力ハイポンプガス</t>
        </is>
      </c>
      <c r="H2211" t="n">
        <v>29</v>
      </c>
      <c r="I2211" t="inlineStr">
        <is>
          <t>古代のアテネであるアテナイは強力な都市国家であったことで知られる。；シンボリックス社はそのプログラムを拡張して更に強力なものにした。；これは河川の水運の規模の大きさと、強力な防衛力に支えられていた。；しかし、それらは強力すぎるため、変換の適用は制限される必要がある。；強力な敵が次々と出てくるため通常のステージと比べ難易度は高い。；徳川家康はこの一件で前田系勢力を吸収し、徳川党はより強力となった。；現在精油の業界は、巨大で強力な一握りの国際的企業に支配されている。；一般的にこの分野では統計物理学と呼ばれる強力な手法が使われる。；日本ではかつて強力と呼ばれていた人々がシェルパと名乗っていることもある。；パタウィウムは、すぐに無数の戦闘要員を集められるほど強力であった。；河川総合開発と並行して強力に実施されていたのが農地開拓である。；絶対的な権限を公安委員会に集めて強力な革命機関が整備された。；なお、哲学では、強力な還元主義が主要な立場になることは稀である。；農業版河川総合開発ともいえるこの事業は北上川流域でも強力に実施された。；そこに到達するためには、強力なロケットを使用する以外に手段はなかった。；毒は有していないが、巨象をも絞め殺してしまう強力な尾を具えている。；首長は現在でも強力な権威を持っており、無視しえない存在である。；これらは当時のいかなる水雷艇よりも大型・強力であり、かつ高速であった。；よってそれが登場する将棋の駒の中では、特に強力で重要な駒となる。；こうした後進産業国では政府の強力なリードのもとで産業育成がなされた。；この強力な消化吸収能力が、偶蹄目の動物が繁栄した一因とされている。；人口が劇的に増加し、文化と政治の複雑さを増したという強力な証拠がある。；これは四酸化オスミウムに類似した構造と特性を持つ強力な酸化剤である。；そのためインスリン注射などの強力な治療を常に必要とすることがほとんどである。；MKMOは長銃身を特徴とし、拳銃弾としては強力なを採用していた。；近くに強力な磁石があると影響を受けて変化することがある。；その新制度の中でも強力な権限を与えられたのが「公安総局」である。；この補助機関車には、その時代毎に最強力の機関車があてられた。；市がもつ公共空間利用権の付与権限が市民の強力な武器となった。</t>
        </is>
      </c>
      <c r="J2211">
        <f>HYPERLINK("https://www.weblio.jp/content/強力", "词义详情")</f>
        <v/>
      </c>
      <c r="K2211">
        <f>HYPERLINK("https://yourei.jp/強力", "查看例句")</f>
        <v/>
      </c>
    </row>
    <row r="2212">
      <c r="A2212" t="inlineStr">
        <is>
          <t>協力</t>
        </is>
      </c>
      <c r="B2212" t="inlineStr">
        <is>
          <t>成功</t>
        </is>
      </c>
      <c r="C2212" t="inlineStr">
        <is>
          <t>読み方：きょうりょく
［名］(スル)力を合わせて事にあたること。「—を仰ぐ」「事業に—する」</t>
        </is>
      </c>
      <c r="D2212" t="inlineStr">
        <is>
          <t>協力する(8%)；協力者(6%)；協力的(3%)；協力体制；協力プレイ</t>
        </is>
      </c>
      <c r="E2212" t="inlineStr">
        <is>
          <t>共同；味方；サポート；援助；連携</t>
        </is>
      </c>
      <c r="F2212" t="inlineStr">
        <is>
          <t>全面協力；制作協力；ご協力；戦争協力；相互協力</t>
        </is>
      </c>
      <c r="G2212" t="inlineStr">
        <is>
          <t>協力会社；協力隊；協力ゲーム；協力一致；協力行動</t>
        </is>
      </c>
      <c r="H2212" t="n">
        <v>29</v>
      </c>
      <c r="I2212" t="inlineStr">
        <is>
          <t>各プレイヤーは協力して各ステージごとに設定された勝利条件を目指す。；ただし、捜査情報の一部を公開して広く国民の協力を求める場合もある。；多くの場合、彼は現在の協力者に次にどこを訪問すればよいか尋ねていた。；また住民の協力も得られないため攻撃を強行しても成果が出なかった。；警官や中畑らの協力もあって、螢が無事に戻ったのは夜中のことだった。；かつての国鉄は解体され、官民協力体制の下で委託経営が行われている。；納税拒否のような非協力的な行為にも空軍が出動して懲罰作戦を行った。；クロアチアは帝国内の他地域と比較しても体制側に協力的だった。；兵庫県は様々な景色を持つため、多くの映像産業に積極的に協力している。；山縣もこれに同意したが、清浦は海軍の協力が得られず組閣を断念した。；こうして、あの戦争に協力する方向へと向かってしまったのです。；一方で新羅への攻撃では百済は高句麗と連携し、更に倭国とも協力した。；しかし古賀らの動きは音楽界の主流派の非協力という形で抵抗を受ける。；ナジャフに入り、アメリカ主導の暫定統治政権に協力的な姿勢を見せた。；会員が減少したにもかかわらず関連施設は増加し、協力者会の会員数も増えた。；他のプレイヤー協力プレイをすることで、共に強い敵を倒したりすることも出来る。；の創設メンバーであり、ラングーンの新聞『』の創刊にも協力していた。；準会員は天文学会の目的に賛同し協力する会員であり、資格を問わない。；そこで、多数の協力者が執筆した脚本を元に作品が創られている。；連盟では当時活躍していた著名美術家たちにも協力を求めた。；それ以前にも、一部に復刊ドットコムの協力で復刊されたものもある。；これは相手が協力するときは常に協力するが相手が裏切っても時々協力する戦略である。；その目的は、連帯感・協力・調和・団結力などを養う点にあるとされる。；しかし本人の意志だけでは解決することが難しいため、周囲の理解や協力が求められる。；国連憲章の規定にカバーされないNGOの協力に総会関連機関がある。；当時の仏教関係の大学研究者が一致協力し、校訂作業に当たった。；その他の基幹局は、既存支局への人員派遣という形で協力を行っている。；また、シャムは後にこの地域のイギリスと協力することになった。；自分が今回協力すれば相手も次回協力してくれるかもしれないので協力は有利かもしれない。</t>
        </is>
      </c>
      <c r="J2212">
        <f>HYPERLINK("https://www.weblio.jp/content/協力", "词义详情")</f>
        <v/>
      </c>
      <c r="K2212">
        <f>HYPERLINK("https://yourei.jp/協力", "查看例句")</f>
        <v/>
      </c>
    </row>
    <row r="2213">
      <c r="A2213" t="inlineStr">
        <is>
          <t>強烈</t>
        </is>
      </c>
      <c r="B2213" t="inlineStr">
        <is>
          <t>成功</t>
        </is>
      </c>
      <c r="C2213" t="inlineStr">
        <is>
          <t>読み方：きょうれつ
［名・形動］力・作用・刺激が強く激しいこと。また、そのさま。「—なパンチ」「—な個性」「—なにおい」
[派生]きょうれつさ［名］</t>
        </is>
      </c>
      <c r="D2213" t="inlineStr">
        <is>
          <t>強烈な印象(4%)；強烈な光(2%)；強烈な個性(2%)；強烈なインパクト；強烈な衝撃</t>
        </is>
      </c>
      <c r="E2213" t="inlineStr">
        <is>
          <t>強い；大きい；大変；激しい；恐ろしい</t>
        </is>
      </c>
      <c r="F2213" t="inlineStr">
        <is>
          <t>強烈な臭い；強烈なパンチ；強烈な痛み；強烈な打撃；強烈な悪臭</t>
        </is>
      </c>
      <c r="H2213" t="n">
        <v>29</v>
      </c>
      <c r="I2213" t="inlineStr">
        <is>
          <t>人間回復への強烈な願望を訴えたヒューマニズムが描かれた小説である。；前半に多い雨の場面も、登場人物たちの孤独感を強烈に浮き彫りにした。；性能は強烈な震撼力を特徴とし、同時に地域的な破壊力を持っている。；そのまま再び強烈になって管が第3主題を繰り返すところからが展開部。；この作品で無垢な主人公を演じて強烈な印象を残して話題になった。；疲れを知らない豊富な運動量と強烈なミドルシュートが特徴の選手であった。；しかし一方で原発の操業停止にはリトアニア国民の強烈な反対もあった。；悟りを得る時に強烈な光に包まれる場合があることから、光明と呼ばれる。；戦闘時には様々な効果を付与した砂をかける他、強烈なビンタで戦う。；せわしない動きの後に、強烈な下降音型が登場する不気味なものである。；死後時間が経過したサメやエイの体からは、強烈なアンモニア臭がする。；テネブリズムは、光と闇の強烈なコントラストを用いた絵画のスタイル。；それは戦後生れの私を含めて若い世代にも強烈な感動を与えてきたのではないかと思う。；強烈な印象を残した戦いは戦後の文化にも影響を与えた。；阿南の自決は終戦を具体的、強烈な形で全陸軍に告示することとなった。；日本主義は、強烈な反響を呼んだが、次のような多少の反対論もあった。；ほとんどのスズメバチ類と違って、強烈な日差しの間に多く活動している。；それは水没予定地の住民による強烈な反対運動の展開によるものである。；このように定式化された青年保守派の主張は強烈な主張であった。；夏季に強烈な北西風の影響を受ける為、滑走路は十字型に配置されている。；イスラエル警察は強烈な反発運動の発生を懸念してパレードの中止を要請。；その瓦礫から強烈なトルコ民族主義の旗を掲げて近代トルコが形成される。；チックスに向けられた憎悪の強烈さは家族の安全を脅かすものだった。；強烈な打球が飛んでくることが多いため大きめでポケットも深いものが一般的。；そこで司馬は今後の人生の方向性を左右するような強烈な体験をすることになる。；これはもつとも強烈な自由を求めながら、実は主人持ちの文学ではないだらうか?；地球に初めて来た際には空気に強烈な違和感を覚えていた。；ハープのグリッサンドも加え、強烈になったところで展開部にはいる。；演奏のみならず、モヒカン刈りの頭で、日本のファンに強烈な印象を残した。</t>
        </is>
      </c>
      <c r="J2213">
        <f>HYPERLINK("https://www.weblio.jp/content/強烈", "词义详情")</f>
        <v/>
      </c>
      <c r="K2213">
        <f>HYPERLINK("https://yourei.jp/強烈", "查看例句")</f>
        <v/>
      </c>
    </row>
    <row r="2214">
      <c r="A2214" t="inlineStr">
        <is>
          <t>行列</t>
        </is>
      </c>
      <c r="B2214" t="inlineStr">
        <is>
          <t>成功</t>
        </is>
      </c>
      <c r="C2214" t="inlineStr">
        <is>
          <t>読み方：ぎょうれつ
［名］(スル)
１多くの人や物などが列をつくって並ぶこと。また、その列。「店頭に—ができる」「—して開場を待つ」
２供奉(ぐぶ)の列をなして行くこと。また、その列。
３数字や文字を方形に並べたもの。例えば、2行3列の行列とは、三つ横に並ぶ数の組を縦に二つ並べたものをいい、その数字や文字を要素とよぶ。マトリックス。</t>
        </is>
      </c>
      <c r="D2214" t="inlineStr">
        <is>
          <t>行列a；行列車；行列式；行列表現；行列全体</t>
        </is>
      </c>
      <c r="E2214" t="inlineStr">
        <is>
          <t>線；路線；行；列；筋</t>
        </is>
      </c>
      <c r="F2214" t="inlineStr">
        <is>
          <t>提灯行列；大行列；次正方行列；s行列；祭礼行列</t>
        </is>
      </c>
      <c r="G2214" t="inlineStr">
        <is>
          <t>行列の先頭；行列の積；行列のできる法律相談所；行列要素；行列環</t>
        </is>
      </c>
      <c r="H2214" t="n">
        <v>29</v>
      </c>
      <c r="I2214" t="inlineStr">
        <is>
          <t>このような行列はやはり色と補色が互いに対応しあっているものである。；彼はさらに行列式と積の関係についても後少しのところまでいっている。；上にあげた順番では十番と十一番のあいだに、神輿の行列が入っている。；注意すべきは線型写像を表す行列は基底の取り方に依存することである。；産業連関表は、産業ごとの生産・販売等の取引額を行列形式にした指標。；葬儀には康次郎そっくりの子どもの手を引いた女性が行列を作ったという。；複素数は、行列を のブロックに分けたときの区分対角行列に対応する。；しかしこうした性質は行列ゲーム以外のゲームでは必ずしも成立するとは限らない。；さらに、 が大きい場合には一般項の公式や行列表現を利用してでの計算を行う。；経済学では経済上の関係のシステムを説明するのに行列が用いられる。；また行や列の数を無限に増やした行列というものを考えることもできる。；ようやくたどり着いたトイレも同様の客で行列ができていることも珍しくない。；それが後に、祭りの時に歌われた行列聖歌として、その使用が拡大した。；属性値行列には2つの列があり、1つ目は素性名、もう一方が値である。；行列を構成する行の数と列の数の対を型 あるいはサイズという。；複素数の行列表現と全く同様に、四元数も行列で表現することができる。；となるが、こうした性質を満たすには係数は行列でなくてはならない。；ただし、別の検査行列の値と一致するため誤訂正を起こすことになる。；もし彼女が人間の女の子だったら、きっと男の子たちが長い行列を作ったはずです。；古くから行列や整理券といった手法は商品販売の際に行われていた。；同駅には指定券を入手できなかった客の行列ができることがあった。；したがって 行 列行列のことを 型行列などと呼ぶこともある。；その後も利用状況や場内の行列整理を目的として度々乗り場変更がある。；人目につくときにはたいてい多数の個体からなる行列をなしているのも特徴の一つである。；現在も製造機は設置されており、長い行列を作ることもある。；客寄せの才能があり、焼きそば屋台の宣伝をした際には店に行列ができた。；行列の冪を計算するために固有値に関するある種の知識が必要である。；販売時には多くの客が来訪し、行列になることは毎回のことである。；次に示すパンクチャリング行列は最もよく使われているものである。</t>
        </is>
      </c>
      <c r="J2214">
        <f>HYPERLINK("https://www.weblio.jp/content/行列", "词义详情")</f>
        <v/>
      </c>
      <c r="K2214">
        <f>HYPERLINK("https://yourei.jp/行列", "查看例句")</f>
        <v/>
      </c>
    </row>
    <row r="2215">
      <c r="A2215" t="inlineStr">
        <is>
          <t>共和</t>
        </is>
      </c>
      <c r="B2215" t="inlineStr">
        <is>
          <t>成功</t>
        </is>
      </c>
      <c r="C2215" t="inlineStr">
        <is>
          <t>読み方：きょうわ
［名］(スル)二人以上の人が共同し和合して事に当たること。
「君民—して」〈金子堅太郎訳・政治論略〉</t>
        </is>
      </c>
      <c r="D2215" t="inlineStr">
        <is>
          <t>共和国軍(10%)；共和政府(9%)；共和国側(9%)；共和制(5%)；共和学院(3%)</t>
        </is>
      </c>
      <c r="F2215" t="inlineStr">
        <is>
          <t>民主共和；蒙古共和；共和運動；共和同盟；共和両党</t>
        </is>
      </c>
      <c r="G2215" t="inlineStr">
        <is>
          <t>共和国；共和政ローマ；共和制；共和政；共和派</t>
        </is>
      </c>
      <c r="H2215" t="n">
        <v>29</v>
      </c>
      <c r="I2215" t="inlineStr">
        <is>
          <t>荷車の方は共和政府で取り上げて、田舎者の方は王の政府にくれてやれ。；このときの、イゼルローン共和政府の場合がそうであったかもしれない。；ソビエト連邦の各国の中には共和国内に自治共和国を持つものもあった。；その中には、新たに「共和国籍」を導入すべきとの提案も含まれていた。；軍隊を持たない共和政府が、内に王党と闘いながら連合諸王と対立する。；のちに司が共和学院を設立したのは、この当時の経験が影響したのだろう。；しかし、すぐに自分が成立を助けた共和政府に失望することになった。；気になるのは隣国スペインの共和政権で、その転覆を計画し、準備した。；しかし、あなたは共和宇宙でももっとも重要な人物の一人でいらっしやる。；ケリーの記録はもちろん、共和宇宙のほとんどの惑星に送られている。；おかげで、今では、共和宇宙で一番移住するのか難しい国かもしれなかった。；共和政府軍の連中は眠っているか、出発したか、どちらかでございますよ。；政権の座に着いた共和政府の新首脳部は、事態を把握していなかった。；ここから、ブビア共和国へは、週一便の飛行機が出ているだけだった。；それもだれのため何のためかと言えば、共和のためではないか!；ひとりは軍人で指揮官であり、ひとりは市民で共和政府の派遣委員であった。；新しい議会は普通選挙に基づき、民主的な共和国が誕生することになった。；貨幣はヱネチア共和政府の鋳造したもので、羽の生えた獅子の図がある。；ノヴゴロド公国はヨーロッパの中でも先進的な共和制の伝統を育んできた。；ペルーには北アメリカの自由な共和国と丁度正反対のものが存していた。；これを見たブランデンブルク選帝侯は共和国への支持を宣言した。；共和宇宙に知らぬ人がないというケリーの言葉は決して誇張ではない。；その後、国道276号岩内共和道路の工事のため、公園全体が移動した。；これらを徴兵すればある程度の共和国軍を備えることができたはずである。；ワシントンがこの協会を非共和者だと非難した後、協会はほとんど消えていった。；厲王が追放先で亡くなると、共和が終わり、息子の宣王が権力を握った。；その後、地元政治家がユニオニストと共和国側両方に休戦交渉を行った。；アイルランドで教育を受けた後、アイルランド共和同盟に入った。；彼らは現在ロシア連邦内の一共和国であるカルムイク共和国に居住している。</t>
        </is>
      </c>
      <c r="J2215">
        <f>HYPERLINK("https://www.weblio.jp/content/共和", "词义详情")</f>
        <v/>
      </c>
      <c r="K2215">
        <f>HYPERLINK("https://yourei.jp/共和", "查看例句")</f>
        <v/>
      </c>
    </row>
    <row r="2216">
      <c r="A2216" t="inlineStr">
        <is>
          <t>ギョーザ</t>
        </is>
      </c>
      <c r="B2216" t="inlineStr">
        <is>
          <t>成功</t>
        </is>
      </c>
      <c r="C2216" t="inlineStr">
        <is>
          <t>読み方：ぎょーざ
《(中国語)》中国料理の点心の一。小麦粉を練って伸ばした薄い皮で、豚のひき肉や細かく刻んだ野菜を包んで半月形にし、焼いたり、蒸したり、ゆでたりしたもの。チャオズ。</t>
        </is>
      </c>
      <c r="D2216" t="inlineStr">
        <is>
          <t>ギョーザ屋(6%)</t>
        </is>
      </c>
      <c r="H2216" t="n">
        <v>29</v>
      </c>
      <c r="I2216" t="inlineStr">
        <is>
          <t>つるっとした水ギョーザがおいしくて、夫と二人で三皿も食べてしまった。；ギョーザにかぶりつきながら刑務所のことや啓次郎のことを夢中で話した。；今回は最初から金ギョーザのあるあの店に行った。；次の日は、山本益博さんの本に出ていたギョーザの店に行く。；竜井茶を飲み、饅頭のようなものや、ギョーザのようなものをたべていた。；室内に焼き魚の匂いが残っていてもいけないし、過去二日三日焼き肉、ギョーザの類を食べてもだめ。；あなたの家では冷凍のギョーザをよく食べるでしょう。；松井さんが特別にギョーザを作ってくれていた。；ここにはバーの女給さんたちが店がはねてからギョーザやタンメンを喰べに集まったものだ。；また、遠征に行く機会の多い宇都宮ではギョーザダンスを踊る。；日本人がよく知っている中華料理の一つにギョーザがあるが、実際のギョーザは、中国と日本で大きな差がある。；彼女のビルの一階にギョーザ屋があってね。；それにダイコンだけじゃねえ、ギョーザも入れただろうが!；私はそりゃあ、パンとギョーザを食べたかもしれないが、甘いものはこの二ヶ月間口にしていない。；このため、日本でギョーザを食べる時のような調味料を入れる小皿は各人に用意されない。；さらに首尾よくギョーザ屋を見つけたとしても、そこで出てくるのはわれわれがよく知っている焼き餃子ではない。；ギョーザを食べ、日本酒を飲み、パイカルなどを飲むと一同はますます意気軒昂となった。；そろそろ来る頃だとは思っていたので、私は「はあい」と返事をして、冷凍庫にしまってあったギョーザのパックを出してから玄関を開けた。；もっともギョーザなんてのは、君ンちだって簡単にうまいやつがつくれる食いものではあるがね。；ふだんはラーメンとか、ギョーザなんかを出すようなところなんですけど、一人いくらの予算でこうしてくれって言いますとね、コースが出ます。；昼過ぎて職員が大皿に蒸しギョーザを大盛りにして現れたときだけは、いっせいに声を上げて立ち上がって、立ったまま勢いよく食べ始めた。；饅頭もギョーザも、中身はなにも入っていないようだ。；さて、新宿二丁目の停留所でギョーザの匂いを発しながらバスを降りた一行は、狭い路地を入っていく。；お昼のこととて、ギョーザや炒め物をのっけた飲茶のワゴンが行ったり来たりしている。；先ず、戦後はじめて、東京に出来た店に、ギョーザ屋がある。；昨夜のギョーザに勝るとも劣らぬ味であった。；つまり生煮えのギョーザにひっかけて、子供を生みますよ、と夫婦は答えさせられるわけである。；改札の左側にはギョーザ屋に五、六人が列をつくっている。；ちょっと見るとラーメンやギョーザの出前とほとんど変らない。</t>
        </is>
      </c>
      <c r="J2216">
        <f>HYPERLINK("https://www.weblio.jp/content/ギョーザ", "词义详情")</f>
        <v/>
      </c>
      <c r="K2216">
        <f>HYPERLINK("https://yourei.jp/ギョーザ", "查看例句")</f>
        <v/>
      </c>
    </row>
    <row r="2217">
      <c r="A2217" t="inlineStr">
        <is>
          <t>許可</t>
        </is>
      </c>
      <c r="B2217" t="inlineStr">
        <is>
          <t>成功</t>
        </is>
      </c>
      <c r="C2217" t="inlineStr">
        <is>
          <t>読み方：きょか
［名］(スル)
１願いを聞き届け、ある行為・行動を許すこと。「外出の—が下りる」「使用を—する」
２ある行為が一般に禁止されているとき、特定の場合にそれを解除し、適法にその行為ができるようにする行政行為。警察許可・財政許可・統制許可などがある。</t>
        </is>
      </c>
      <c r="D2217" t="inlineStr">
        <is>
          <t>許可される(3%)；許可証；許可なし；許可書；許可状</t>
        </is>
      </c>
      <c r="E2217" t="inlineStr">
        <is>
          <t>認め；命；命令；与える；聞く</t>
        </is>
      </c>
      <c r="F2217" t="inlineStr">
        <is>
          <t>不許可；事業許可；建設許可；無許可；特別許可</t>
        </is>
      </c>
      <c r="G2217" t="inlineStr">
        <is>
          <t>許可なく；許可申請；許可制；許可なし；許可なき</t>
        </is>
      </c>
      <c r="H2217" t="n">
        <v>29</v>
      </c>
      <c r="I2217" t="inlineStr">
        <is>
          <t>高知県の屋台は不許可営業を行っているのではないかと見る業者もある。；商品ごとに個別に実験データを提出し審査を受け許可される必要がある。；デンスロウの挿絵は許可を得て製作された多くのグッズで多くみられた。；パイロットが許可を受けたと勘違いしたことが原因であると報道されている。；この時期の重商主義政策では、王が設立許可を出した会社が主役だった。；食事類を提供する喫茶店を営業する場合は飲食店営業の許可が必要である。；日本ではエンジンカウルには描かれないが、アメリカでは許可されている。；特定アルコールは許可を受けずに誰でも購入して自由に使用することができる。；そしてサリー・フランク人たちもまたローマの同盟軍となる許可を得た。；入学を許可した大学は、補習を行うことで進級のための指導を行っている。；島の位置未確定のため借地許可は下りなかったが、船の寄港は認められた。；貸した土地に茶店等を設ける時は寺の許可とし茶店での宿泊はさせない。；しかしが書いた他の人物に関する伝記を読んで、彼に発行の許可を与えた。；通年滞在許可を発行する際は労働市場テストを行なうことになっている。；許可期間は6ヶ月で、各新聞は6ヶ月ごとに許可を更新する必要がある。；しかしながら着用を禁止するまたは許可する法令というものは存在しない。；他の作家たちは出席許可を得なかったか、自分から諦めてしまった。；引用は権利者に無許可で行うことができ、これは著作権侵害にならない。；サーバには、TLSを使用しない接続の許可・拒否のオプションがある。；外国人は特別に許可された場合を除いて観光が許可されている島以外には入ることができない。；企画と脚本段階で英語に翻訳し、CIEで許可されたもののみ製作がなされた。；この改札口の利用はアメリカ軍の許可を受けた者に限定される。；ただし、製造・輸入・使用・販売には、経済産業大臣の許可が必要である。；このときに限りすべての急病人搬送に官民すべての車両の使用を許可した。；スピッツも、シングル曲を使用しないことを条件に楽曲提供を許可した。；ただし、麻酔科を標榜するには厚生労働省の許可を得なければならない。；金めっきを含む金製品の製造は大蔵大臣の許可を要するものとなった。；このときにどの進路への進入を許可するかを表示するのが進路表示機である。；検閲で原稿が不許可となったために放送を行うことを断念した候補もいたとされる。</t>
        </is>
      </c>
      <c r="J2217">
        <f>HYPERLINK("https://www.weblio.jp/content/許可", "词义详情")</f>
        <v/>
      </c>
      <c r="K2217">
        <f>HYPERLINK("https://yourei.jp/許可", "查看例句")</f>
        <v/>
      </c>
    </row>
    <row r="2218">
      <c r="A2218" t="inlineStr">
        <is>
          <t>漁業</t>
        </is>
      </c>
      <c r="B2218" t="inlineStr">
        <is>
          <t>成功</t>
        </is>
      </c>
      <c r="C2218" t="inlineStr">
        <is>
          <t>読み方：ぎょぎょう
魚介類の捕獲・採取や養殖などを行う産業。</t>
        </is>
      </c>
      <c r="D2218" t="inlineStr">
        <is>
          <t>漁業関係者；漁業被害；漁業関係者；漁業基地；漁業会社</t>
        </is>
      </c>
      <c r="E2218" t="inlineStr">
        <is>
          <t>水産業；水産事業</t>
        </is>
      </c>
      <c r="F2218" t="inlineStr">
        <is>
          <t>農林漁業；農漁業；内水面漁業；古くから漁業；網漁業</t>
        </is>
      </c>
      <c r="G2218" t="inlineStr">
        <is>
          <t>漁業権；漁業者；漁業組合；漁業資源；漁業法</t>
        </is>
      </c>
      <c r="H2218" t="n">
        <v>29</v>
      </c>
      <c r="I2218" t="inlineStr">
        <is>
          <t>多くの川では漁業も盛んであり、重要な食料供給源の一つとなってきた。；経済は漁業が中心であり、また、古くから続く塩の生産も行われている。；羊産業は島の代表な産業だが、近年の主力は漁業にとって代わっている。；瀬戸内海は縄文時代から今日に至るまで、多様な漁業の場となってきた。；西湖では現在漁業は行われておらず、湖水は灌漑にも用いられていない。；漁業関係者が作ったものと考えられるが、作成理由が分からないものも多い。；一次産業が中心であり、ココナッツ栽培と漁業が主な経済となっている。；第1種漁港は主に地元の漁業に、第2種漁港はより広い利用があるもの。；一方で、これらの漁業が沿岸地域の産業を支えていることは否定できない。；海岸の大代地区には漁業に従事する人々が暮らしていたようである。；タロンの下では失敗していた漁業や農業のような産業が順調に成長し始めた。；元々は漁業をしていた場所を埋め立て地として千葉県浦安市に設立した。；西側は漁業施設や水産会社施設、民宿、住民の生活の場が広がっている。；沿岸には砂泥域が広がっており、板びき網漁業などが行われている。；漁業のほかには蒲鉾をはじめとする魚肉練り製品の製造が盛んである。；漁具は、人間が漁業を中心とする漁撈活動に用いている道具の総称である。；浦とは漁業、商業を中心とした地域で旧町村に置いて中心的な地域であった。；また、魚介類を逃げられないように閉じ込める筌なども漁業で使われた。；この際には全ての水門を開けたが、日向湖の漁業に大きな影響が出た。；天の川沿いに農業を、海岸沿いに漁業を主とする集落が点在している。；産業としての漁業のほか、川釣りも人気のあるレジャーのひとつである。；農業は、伝統的な分類では林業・漁業と同じ第一次産業に分類される。；現代における公海の漁業は、自由から管理の方向へ進んでいるともいえる。；また漁業関係者との交渉など広く対外折衝に関わってきたことでも有名である。；市旗・市章に描かれているチョウザメの漁業もヴォルガ川沿岸で行われている。；一方で海・山の豊富な自然にも恵まれ、農業・漁業も盛んである。；日本では漁業被害を防ぐため1959年以降駆除の対象としている。；海岸から離れては主要産業の漁業が困難になるという問題もあった。；漁業の対象のほか、スポーツ・フィッシングの対象にもされている。</t>
        </is>
      </c>
      <c r="J2218">
        <f>HYPERLINK("https://www.weblio.jp/content/漁業", "词义详情")</f>
        <v/>
      </c>
      <c r="K2218">
        <f>HYPERLINK("https://yourei.jp/漁業", "查看例句")</f>
        <v/>
      </c>
    </row>
    <row r="2219">
      <c r="A2219" t="inlineStr">
        <is>
          <t>局限</t>
        </is>
      </c>
      <c r="B2219" t="inlineStr">
        <is>
          <t>成功</t>
        </is>
      </c>
      <c r="C2219" t="inlineStr">
        <is>
          <t>読み方：きょくげん
［名］(スル)ある一定の部分に範囲を限ること。「問題を—して検討する」</t>
        </is>
      </c>
      <c r="D2219" t="inlineStr">
        <is>
          <t>局限する(9%)；局限化(8%)；局限される(7%)；局限せら(5%)</t>
        </is>
      </c>
      <c r="E2219" t="inlineStr">
        <is>
          <t>決定；限り；指定；限定；限界</t>
        </is>
      </c>
      <c r="H2219" t="n">
        <v>29</v>
      </c>
      <c r="I2219" t="inlineStr">
        <is>
          <t>門数が少ないのは装備可能位置が艦中央部に局限されたためである。；そうしてこの欠如がいかに彼らの作を局限しているかを悟るであろう。；そうすると、誰がこんな仕掛けをしたにしろ、だいぶ時間が局限される。；自己に局限された個人は小さなものではないでしょうか。；また、話をやあ公のすきなものの方にのみ局限しなければならない。；主に文学の世界に於てであるが、勿論そこに局限される理由はないし、又あってはならない。；天の川は、もう天の一角に局限された微かな霧のような帯などではなかった。；利休だって今いるとしたら、決して昔愛していたものなどに局限されてはいないであろう。；さて、その翌日から、おれの新聞をみる眼が局限されてきた。；今にして思えば、局限された思惟の行く先はこのようなものでしかなかったであろう。；戦争が朝鮮に局限されているかぎり、中国は北朝鮮軍の特別な補給地域であった。；そしてそれは宇宙の森羅万象に比べては、ほんの局限された一部分に過ぎない。；それも生きるか死ぬかの局限状況の世界になあ。；常識の通用性はそれぞれの社会に局限されているのがつねである。；当初は改造箇所を局限し、重整備のために還納されてくる一一型や二一型を改造する予定であった。；遊牧地が次第に局限されて、各旗の境界ができていたのである。；しかし、問題を局限するため私は、先づ、俳優を中心に話を進めて行かうと思ふ。；男に対する女の性の純潔などという局限されたものでもなかった。；わたしの歩みを局限するためではなくて、わたしの欲望と心配とを制限するためである。；他の権威他の拘束は、どれも皆法律の権威拘束の中に包括され局限されねばならないのだ。；これらのうち、被害局限化の観点から第1案がまず棄却された。；常識の通用性は局限されているが、しかしその社会に属する限り誰もそれをもつことを要求されている。；しかし自己の情緒を中心とする場合には、勢いその情緒の範囲の内に画が局限せられる恐れもある。；この世の中は可能性にみちていると思われているが、その可能性も、ほとんど個人的な経験のごくわずかなものに局限されている。；当時でも、この方法は十分科学的ということはできない、精神現象の生物的性格に局限された扱いかたであった。；と云つても、収入が途絶してしまつてゐるのだから、その範囲は極めて狭く局限されるのだつた。；脱出の局限時間はもうあと五十三パーセントしか残っていません!；各発電機4基を2基ずつ前後にシフト配置することで被害の局限化を図った。；一般に近代軍艦では火災の危険を局限するために可燃物を極力排除していることが多い。</t>
        </is>
      </c>
      <c r="J2219">
        <f>HYPERLINK("https://www.weblio.jp/content/局限", "词义详情")</f>
        <v/>
      </c>
      <c r="K2219">
        <f>HYPERLINK("https://yourei.jp/局限", "查看例句")</f>
        <v/>
      </c>
    </row>
    <row r="2220">
      <c r="A2220" t="inlineStr">
        <is>
          <t>曲線</t>
        </is>
      </c>
      <c r="B2220" t="inlineStr">
        <is>
          <t>成功</t>
        </is>
      </c>
      <c r="C2220" t="inlineStr">
        <is>
          <t>読み方：きょくせん
角がなく、連続的に曲がっている線。カーブ。「ゆるやかに—を描く」</t>
        </is>
      </c>
      <c r="D2220" t="inlineStr">
        <is>
          <t>曲線通過(3%)；曲線的(3%)；曲線上(2%)；曲線区間；曲線半径</t>
        </is>
      </c>
      <c r="E2220" t="inlineStr">
        <is>
          <t>カーブ；湾曲；反り；曲り；彎曲</t>
        </is>
      </c>
      <c r="F2220" t="inlineStr">
        <is>
          <t>美しい曲線；優美な曲線；特性曲線；緩やかな曲線；ゆるやかな曲線</t>
        </is>
      </c>
      <c r="G2220" t="inlineStr">
        <is>
          <t>曲線の特異点；曲線あてはめ；曲線回帰</t>
        </is>
      </c>
      <c r="H2220" t="n">
        <v>29</v>
      </c>
      <c r="I2220" t="inlineStr">
        <is>
          <t>より多くの数量が対応するように変化した場合、曲線は右方に移動する。；ホームの信濃町寄りは曲線区間にあり、電車との隙間が広く開いている。；また機関車なども動力車の特性に合わせて加速曲線を自由に設定できる。；曲線が長く続くなどの場合、複数の中継信号機を設置することもある。；また、この合成曲線でガラス転移点をほぼ確実に予測することができる。；また、胸や腰の曲線を強調するためにタイトなデザインが採用された。；デザインも曲線を巧みに使用した張りのあるモダンなものへと変化した。；またこの定義での2つの線は線であって直線ではないので、曲線も含まれる。；以前は、曲線の手前にホームがあったが、その西隣に現ホームが建設された。；他にも、底面が直線と曲線で構成される半円や扇形のものも想定される。；我々の銀河系の回転曲線はこの21cm線を使った方法で求められている。；実部が のときに上記と同じく軌跡は繰り返し原点を通る曲線になる。；当駅のホームは曲線上にあるため、電車との間が最大で15cm開いている。；その湾曲は脊柱のあらゆる曲線のなかでもっとも目立たないものである。；駅廃止後の2007年には、曲線改良工事により線形変更が実施された。；曲線的な建築は当然ながら曲線的な屋根を必要とするためである。；急曲線など速度を制限する必要のある区間の始点に設置される標識である。；すなわち接線同士の直交を以って二つの曲線の直交を定義するのである。；ホームは曲線を描いており、線路も通過列車があるためカントがつけてある。；曲線分岐器の場合は両方の軌間線の交角をもってクロッシング角とする。；これは曲線の中央部よりも尾の部分により注目したモデルである。；複数の曲線をもつ複雑な形状の定規が数枚で一組になっている。；後に行われたコース改修により4コーナーは以前よりも曲線が緩和された。；今日では、カテナリに似た、放物線その他の曲線が使われることもある。；現在でも曲線半径が綺麗な数字になっていないのはこのためである。；曲線への移行の背景として、ドライバーに緊張を持続させる意図がある。；ボギー台車は曲線に追従して回転できるため、曲線の通過が容易となる。；これは曲線部分の通過速度を上げるため車体傾斜機能を持たせようとしたためである。；ナバテア文字を元に極めて曲線的にしたものがアラビア文字となった。</t>
        </is>
      </c>
      <c r="J2220">
        <f>HYPERLINK("https://www.weblio.jp/content/曲線", "词义详情")</f>
        <v/>
      </c>
      <c r="K2220">
        <f>HYPERLINK("https://yourei.jp/曲線", "查看例句")</f>
        <v/>
      </c>
    </row>
    <row r="2221">
      <c r="A2221" t="inlineStr">
        <is>
          <t>極端</t>
        </is>
      </c>
      <c r="B2221" t="inlineStr">
        <is>
          <t>成功</t>
        </is>
      </c>
      <c r="C2221" t="inlineStr">
        <is>
          <t>読み方：きょくたん
［名・形動］
１普通の程度から大きく外れていること。一方にはなはだしくかたよっていること。また、そのさま。「議論が—から—へ走る」「—な言い方」
２もののいちばんはし。
[派生]きょくたんさ［名］</t>
        </is>
      </c>
      <c r="D2221" t="inlineStr">
        <is>
          <t>極端な例(3%)；極端に少ない(3%)；極端な場合；極端に少なく；極端に低い</t>
        </is>
      </c>
      <c r="E2221" t="inlineStr">
        <is>
          <t>大；先；最後；非常；末</t>
        </is>
      </c>
      <c r="F2221" t="inlineStr">
        <is>
          <t>極端に小さく；極端に悪く；比べて極端；極端に狭い；極端すぎる</t>
        </is>
      </c>
      <c r="G2221" t="inlineStr">
        <is>
          <t>極端紫外線リソグラフィ；極端気象</t>
        </is>
      </c>
      <c r="H2221" t="n">
        <v>29</v>
      </c>
      <c r="I2221" t="inlineStr">
        <is>
          <t>曲の長さも短いものが多く、数秒で終わるような極端に短いものもある。；中古車市場では、極端な多走行車であっても取引が行われる事例がある。；ニヤゾフ政権時代は極端な報道規制により海外から多くの批判を受けた。；先進国の経済が中東の石油に極端に依存していることが明らかとなった。；ダンクーガのデザインは、それまでと比べて線が極端に省略されている。；極端に高い人件費率は、合理化が進んでいないことを如実に示していた。；例えば「妄想」などの症状は、その区別が不可能になる極端な例である。；暖かすぎたり寒すぎたりし、極端な傾向があるが、決して正常ではない。；プロストは雨のレースを極端に苦手としている、と評されることが多い。；極端に天気が変わりやすく地震などの自然災害も他地域と比べて多い。；津田昌樹は、技術や知識のレベルには極端な個人差があると述べている。；製造工程が極端に単純化されたため、労働者は非人間的な労働を強いられた。；極端に言えば与えられたミッションを達成しても戦争には負けてしまう事もある。；その後は若年層を除いて極端なミニスカートの流行がたびたび見られる。；超純水とは主に産業分野で用いられる用語で、極端に純度の高い水を指す。；バットは、川上哲治も驚くほど極端にグリップの細いものを使っていた。；極端な排水不良地や痩せ地でない限り、場所を選ぶことはほとんどない。；また塩分が多すぎる場合も、極端な好塩菌しかその環境では生きられない。；極端な場合、実際には統治していない場所を政治的理由から首都と主張することもある。；見た目は普通の裏ソフトだが、摩擦が極端に少なく回転がかかりにくい。；現実検討力が極端に低くなると、心の中で思ったことと実際に起きたことの区別がつかない。；極端にソフトウェアに依存した兵器「シャフト」の設定となっている。；種族IIIの星は極端に大きく高温で寿命が短かったと考えられている。；これは肉類を煮たときのアクの発生原理を極端にしていることになる。；軍馬の育成を目的に設計されており、極端な高低差はその名残である。；その一方で、翼竜の翼は極端に長く伸びた薬指1本で支持されている。；一つの作品について極端に異なる二つのバージョンが存在する場合に問題は深刻になる。；日本軍部の極端論者の意見が書き変えられたもの。；特徴として高崎線とその他の路線での乗客数が極端に違う状況となっており。</t>
        </is>
      </c>
      <c r="J2221">
        <f>HYPERLINK("https://www.weblio.jp/content/極端", "词义详情")</f>
        <v/>
      </c>
      <c r="K2221">
        <f>HYPERLINK("https://yourei.jp/極端", "查看例句")</f>
        <v/>
      </c>
    </row>
    <row r="2222">
      <c r="A2222" t="inlineStr">
        <is>
          <t>極力</t>
        </is>
      </c>
      <c r="B2222" t="inlineStr">
        <is>
          <t>成功</t>
        </is>
      </c>
      <c r="C2222" t="inlineStr">
        <is>
          <t>読み方：きょくりょく
［副］力の限りを尽くすさま。できる限り。「—争いを避ける」「—努力する」</t>
        </is>
      </c>
      <c r="D2222" t="inlineStr">
        <is>
          <t>極力避ける(3%)；極力少なく；極力抑える；極力減らし；極力減らす</t>
        </is>
      </c>
      <c r="E2222" t="inlineStr">
        <is>
          <t>なるべく；できれば；出来るだけ；可能な限り；できる限り</t>
        </is>
      </c>
      <c r="F2222" t="inlineStr">
        <is>
          <t>極力短く；影響を極力；極力防ぐ；極力省き；極力共通化</t>
        </is>
      </c>
      <c r="H2222" t="n">
        <v>29</v>
      </c>
      <c r="I2222" t="inlineStr">
        <is>
          <t>ゲストが歌手のとき以外の番組でかける曲は極力新人歌手を選んでいる。；そのためユーザーは自分で入力する項目を極力少なくすることができた。；その後の大会では極力昼のうちに挑戦できるゼッケンまで下げられている。；さういふ趣味ならば、少くとも私にとつては極力排斥すべき趣味である。；つまり、暴走する毒蝮に極力制限を加えない路線を選択したわけである。；分割は極力避けるべきですが、以下の場合は分割を検討してもよいでしょう。；しかし彼は自分の昂奮を極力他人に知られたくないようすであった。；彼は暗殺されないために最高権力者を連想させる振る舞いを極力避けた。；極力新製車グループと同等となるように改造されたグループである。；わが平靖号は、これから極力、ノーマ号の後をつけていくことにしよう。；子供鉄道は原型となる鉄道に極力似せようとすることが試みられている。；箱入り娘とはお嬢様の一類型で、極力他人に接触させずに育てられた娘。；呼吸を極力しないようにしていたため、身体に負担を掛けなければならなかった。；特にイタリアは馬産国ではなかったので馬の消耗を極力防ぐことが重要であった。；同作ではカードが反応した場合、対象に極力干渉してはならないとされている。；これはサーバーとプレイヤーとの接続応答速度を極力短くするためである。；水の浸入箇所を極力少なくするために型は基本的にワンピースである。；それらの村は従前からあった人間活動に極力影響の出ない場所に建設された。；この他、死を連想させる言葉や表現も直接的なものは極力避けられている。；そのため、他の社員に歓迎されない者が社員となる可能性を極力排除している。；原稿の各ページには極力全ページにノンブルが打ってある必要がある。；紛失したボタンに極力似た物を付けるため世界中のボタンを保管している。；ただし企業名は放送されず、企業名が含まれる商品名は極力使用しない。；「最小」にするには先頭形状を極力長くすればよいと従来は考えられてきた。；同様の理由から、魔法といった非日常の要素は極力抑える方針が取られた。；経国が総統となって以降、方良は極力表舞台に出る事を避けるようになった。；その際、世俗的な音楽とは区別するために楽器による伴奏を極力排除した。；座席の脚台は楕円形として、足元の空間を極力広くすることをねらった。；窓寸法は極力大きくし、熱線吸収ガラスを使用してカーテンを省略した。</t>
        </is>
      </c>
      <c r="J2222">
        <f>HYPERLINK("https://www.weblio.jp/content/極力", "词义详情")</f>
        <v/>
      </c>
      <c r="K2222">
        <f>HYPERLINK("https://yourei.jp/極力", "查看例句")</f>
        <v/>
      </c>
    </row>
    <row r="2223">
      <c r="A2223" t="inlineStr">
        <is>
          <t>去就</t>
        </is>
      </c>
      <c r="B2223" t="inlineStr">
        <is>
          <t>成功</t>
        </is>
      </c>
      <c r="C2223" t="inlineStr">
        <is>
          <t>読み方：きょしゅう
１背き離れることと、つき従うこと。
２どう身を処するかの態度。進退。「今後の身の—に迷う」「—を決する」</t>
        </is>
      </c>
      <c r="D2223" t="inlineStr">
        <is>
          <t>去就不明；去就問題</t>
        </is>
      </c>
      <c r="E2223" t="inlineStr">
        <is>
          <t>進退；出処進退；進退去就</t>
        </is>
      </c>
      <c r="H2223" t="n">
        <v>29</v>
      </c>
      <c r="I2223" t="inlineStr">
        <is>
          <t>地方の郷士は常に支配者への去就を頭に置かねば生きては行けなかった。；彼の去就の前には、さすがのロンドン警視庁も全然無力の観さえあった。；女の去就に関心を持っている自分の心を知って、われながら驚いた。；そのため、帰国後に試合の可否及び去就を改めて話し合うことになった。；それには男たちの去就が大きな問題となってくるはずである。；それと同時に、私の去就をめぐって二つの極端な意見が流れてきた。；京都貴紳が去就にまよって綱の切れた舟のようになったとしても無理はない。；そもそも何だってあんたがあたしの去就に口を出すのさ。；有力企業の中で去就がはっきりしないのは、ホンダだけとなった。；去就のはっきりしない気分でもぞもぞしているのは嫌である。；されに諸金山を分析してその去就を教え、国の財源の基礎を確立するのに貢献した。；去就に迷っている平泉寺もやがては味方に付くだろうと予想された。；以降の記録は存在せず、藤原仲麻呂の乱における去就も明確ではない。；しかし、去就が噂されていた前田は2007年シーズン限りで監督を退任。；城に戻って、ゆっくりと情勢を見てから去就を決めても遅くはないと考えた。；つい先頃までの彼は、頼朝の召をうけても、去就に迷っていたのである。；人はめいめいの中で、いずれにしろおのれの去就を決めなければならなかつた。；ゾラは畫に於ては取捨の別を立てながら、文に於ては去就の分を明にせざりき。；そういう目前の去就についてもモスクワが私を牽く力は強いのである。；しかしとにかく、去就にまよっていたものに方向があたえられたと云うべきだろう。；その懸念は、家康からくどく言われている小早川秀秋の去就であった。；徳川方に味方すると誓った今泉孫右衛門の去就も明らかではなかった。；この軌道は、1915年に電気軌道に変更されたが、機関車の去就は定かでない。；同年で契約が切れることから去就が注目されていた。；残る1機はトリントン基地襲撃に参加するが、その後の去就は不明。；私は友人の去就に依存して一喜一憂する方ではない。；次に、問題となるのは、小谷城の浅井長政の去就についてであった。；伝右衛門の去就しだいで、ふたりの運命は決定するようなものだ。；谷の去就は鉱毒問題の解決におおきな影響があるはずだった。</t>
        </is>
      </c>
      <c r="J2223">
        <f>HYPERLINK("https://www.weblio.jp/content/去就", "词义详情")</f>
        <v/>
      </c>
      <c r="K2223">
        <f>HYPERLINK("https://yourei.jp/去就", "查看例句")</f>
        <v/>
      </c>
    </row>
    <row r="2224">
      <c r="A2224" t="inlineStr">
        <is>
          <t>居住</t>
        </is>
      </c>
      <c r="B2224" t="inlineStr">
        <is>
          <t>成功</t>
        </is>
      </c>
      <c r="C2224" t="inlineStr">
        <is>
          <t>読み方：きょじゅう
［名］(スル)住むこと。すまい。「—者」</t>
        </is>
      </c>
      <c r="D2224" t="inlineStr">
        <is>
          <t>居住する(18%)；居住性(5%)；居住地(3%)；居住者(2%)；居住可能</t>
        </is>
      </c>
      <c r="E2224" t="inlineStr">
        <is>
          <t>家；室；屋；館；居</t>
        </is>
      </c>
      <c r="F2224" t="inlineStr">
        <is>
          <t>居住スペース；居住人口；多数居住；居住棟；居住エリア</t>
        </is>
      </c>
      <c r="G2224" t="inlineStr">
        <is>
          <t>居住区；居住者；居住地域；居住空間；居住まい</t>
        </is>
      </c>
      <c r="H2224" t="n">
        <v>29</v>
      </c>
      <c r="I2224" t="inlineStr">
        <is>
          <t>それぞれの部族がどの地方に居住していたのかも多くの場合不明である。；彼らは日本を経由し、アメリカ合衆国を中心に各希望居住地に移住した。；それ以外は大陸や島であり、人間が居住する土地の多くは北半球にある。；現在居住しているというだけではその場所が住所であるとは限らない。；また居住スペースは人体活動を維持できる十分な重力がある必要がある。；この両市街地・集落に酪農従事者世帯以外の住民の大半が居住している。；これに分類される人々の主要な居住地はサハラ以南のアフリカ大陸である。；火星の過去の居住性や現存する生命の可能性を評価する調査が行われている。；残っている洞窟に実際に西郷が居住していたという記録は存在しない。；その他、本系列では運転室の前後寸法が拡大され、居住性が改善された。；国民は、居住する地理範囲に一つの国家を形成することが予定される。；は戦前から朝鮮で居住しており、その子孫も大韓民国に住居している。；居住性やキャンプに慣れていない人でも設営できることが重視される。；地下資源の発見などにより居住限界を超えて入植が行われることもある。；また少数ではあるが、ユダヤ人やサマリア人も居住していたとされる。；これはエウロパにおける生命の居住可能性を決める上で重要な要素である。；また、居住性・性能向上の観点から小型タクシーのクラスアップが進んだ。；大西洋沿岸のほぼすべての地域には有史以前から人類が居住していた。；居住用ではなくイベントなどで雨と日光を防ぐためのものである。；ガニメデの海での生命の居住可能性については、いくつかの推論がある。；帝国内部での自由な移動と居住の保証が大英帝国隆盛の大きな要因となった。；現在の廿日市市域に人が居住しはじめたのは有史以前の時代のことである。；しかしながら、この当時は人口の大半がヨーロッパロシアに居住していた。；統計によると20の共通する国の出身者がロンドンに居住している。；このため客室と出入台はすべて仕切り扉で分離され居住性が向上した。；ネイティブ・アメリカンのカドがこの地域に居住していた記録がある。；李垠は皇太子時代から東京に留学しており、その後も東京に居住した。；これを機に退社すると、一時はアメリカのアーカンソー州に居住していた。；ホビットが数多くの集落をつくって居住している地域とされる。</t>
        </is>
      </c>
      <c r="J2224">
        <f>HYPERLINK("https://www.weblio.jp/content/居住", "词义详情")</f>
        <v/>
      </c>
      <c r="K2224">
        <f>HYPERLINK("https://yourei.jp/居住", "查看例句")</f>
        <v/>
      </c>
    </row>
    <row r="2225">
      <c r="A2225" t="inlineStr">
        <is>
          <t>巨匠</t>
        </is>
      </c>
      <c r="B2225" t="inlineStr">
        <is>
          <t>成功</t>
        </is>
      </c>
      <c r="C2225" t="inlineStr">
        <is>
          <t>読み方：きょしょう
その方面、特に芸術の分野で際立ってすぐれた人。大家。「画壇の—」</t>
        </is>
      </c>
      <c r="D2225" t="inlineStr">
        <is>
          <t>巨匠たち(9%)；巨匠監督；巨匠カラヴァッジョ；巨匠達；巨匠ティツィアーノ・ヴェチェッリオ</t>
        </is>
      </c>
      <c r="E2225" t="inlineStr">
        <is>
          <t>主；先生；主人；部長；師匠</t>
        </is>
      </c>
      <c r="F2225" t="inlineStr">
        <is>
          <t>代表する巨匠；老巨匠；両巨匠；三巨匠；巨匠として知られる</t>
        </is>
      </c>
      <c r="H2225" t="n">
        <v>29</v>
      </c>
      <c r="I2225" t="inlineStr">
        <is>
          <t>彼は他の皇帝の巨匠の頭になり、イコン画家の学校全体を形成しました。；この巨匠は、死んだときちょうどその合唱曲を書いているところだった。；また、後にイギリス映画界の巨匠と呼ばれるような監督達も現れ始めた。；イタリアの巨匠たちの絵画をどん欲に吸収して1630年に帰ってきた。；それ以前の巨匠たちが紹介され、評価されるのはもう少しあとのことになる。；宗琳が、この世界的な巨匠から徹底して仕込まれたのはそのことだった。；バローはこういう場合たいていの巨匠が着用する燕尾服を着ていなかった。；この作品は後世の巨匠たちにも大きな影響を与えた絵画でもある。；没後も一定の評価はあったが、忘れられた過去の巨匠の側面が強かった。；広い意の印象派でクレーは私のベスト・スリーに入る巨匠といってよい。；しかるに日本の美術館には、西洋の巨匠の作が並んでいないばかりでない。；在学中からウィーン幻想派の巨匠たちと接触し、その後を継承している。；お稽古の足しにはならないが、巨匠の最後の作品としての貫禄は充分だ。；みな古いものばかりで、然るべく声価の定まった巨匠のものばかりです。；パリを訪れたロシア貴族も競ってこの高名な巨匠に肖像画を注文した。；ハープ界の巨匠ヨセフ・モルナールもかつてはここで指導をしていた。；ソーントンが原画を描き、当時の版画界の巨匠たちを雇って製作された。；エルスハイマーは教会で巨匠たちの作品を見て学ぶことに時間を費やしていた。；建物は、日本建築界の巨匠である黒川紀章が設計・プロデュースをした。；幼いころから絵の才能を示し、オランダの巨匠の作品の写真を模写して絵を学んだ。；日本自身の生み出した巨匠の作さえも並んでいないのである。；しかし軍事と経済の著しい後退と反比例するかのように巨匠たちが活躍した。；この巨匠の体力というか人間力はもうバケモノとしか言いようがない。；三池崇史監督をはじめ、数多くのホラー映画の巨匠たちを敬愛している。；特にこの派の巨匠の中、セザンヌは観照に於て最もよく徹底している。；彼も多くの巨匠指揮者と同じく、年齢を重ねてテンポは遅くなった。；世界的に現代スペイン・リアリズムの巨匠と評されている画家である。；これで老巨匠はいっそう幸せな気持ちになるだろう。；廊下の角で振り返ると、巨匠は案山子のように突っ立ったままだった。</t>
        </is>
      </c>
      <c r="J2225">
        <f>HYPERLINK("https://www.weblio.jp/content/巨匠", "词义详情")</f>
        <v/>
      </c>
      <c r="K2225">
        <f>HYPERLINK("https://yourei.jp/巨匠", "查看例句")</f>
        <v/>
      </c>
    </row>
    <row r="2226">
      <c r="A2226" t="inlineStr">
        <is>
          <t>拒絶</t>
        </is>
      </c>
      <c r="B2226" t="inlineStr">
        <is>
          <t>成功</t>
        </is>
      </c>
      <c r="C2226" t="inlineStr">
        <is>
          <t>読み方：きょぜつ
［名］(スル)相手の頼みや要求をこばむこと。「要求を—される」「面会—」</t>
        </is>
      </c>
      <c r="D2226" t="inlineStr">
        <is>
          <t>拒絶する(16%)；拒絶される(4%)；拒絶理由；拒絶すれ；拒絶しよ</t>
        </is>
      </c>
      <c r="E2226" t="inlineStr">
        <is>
          <t>拒否；排除；遠慮；辞退；振る</t>
        </is>
      </c>
      <c r="F2226" t="inlineStr">
        <is>
          <t>頑なに拒絶；きっぱりと拒絶；強く拒絶；強い拒絶；はっきりと拒絶</t>
        </is>
      </c>
      <c r="G2226" t="inlineStr">
        <is>
          <t>拒絶査定；拒絶感；拒絶査定不服審判</t>
        </is>
      </c>
      <c r="H2226" t="n">
        <v>29</v>
      </c>
      <c r="I2226" t="inlineStr">
        <is>
          <t>友人の関係になったはずが、やがて総一郎は雪野を拒絶するようになる。；しかしプロデューサーはマックイーンの年齢を理由にそれを拒絶した。；全体計画は拒絶され、改めて近い将来土地利用計画から立案がなされる。；周囲の資産家たちはみな妻に迎えたいと画策したが、彼女は一切拒絶した。；更に性真法親王もこの事態に驚いて一宮弟子入りの拒絶を通告してきた。；また「巨人出身」であることに露骨な拒絶反応を示すファンもいたという。；その際、賊出身の人物を家来にすることを嫌った関羽に拒絶されている。；カロリーネが遺体解剖を拒絶したため、具体的な死因は分かっていない。；折々に様々な宗教学者の関心を惹きつけたが、そうした学者を拒絶した。；事実を否定するほどでもない悲しみの場合は、怒りによる拒絶は発生しない。；だがこの姿勢はしかし神話を明確に拒絶するほど徹底したものでもなかった。；すなわち QoS が保証できないときには新しいサービス要求を拒絶する。；朝鮮では、仁祖が清の要求を拒絶したことから丙子の乱となっていた。；そして、最終的に出版にこぎつけるまでに約12の出版社に拒絶された。；彼女を拒絶したフランスが初の女性会員を選出するのは1979年であった。；ほとんどの掩蔽壕の兵士は、ドイツの軍法会議を恐れて投降を拒絶した。；初め拒絶していたレオノーラが遂に表に出ると、そこにはアルヴァーロ。；ムージスはこの頃離婚の手続きを開始し、ヴァラドンの一切を拒絶した。；しかしこの草案は内容が保守的にすぎるとしてGHQに拒絶されている。；時同じくして同ユニット加入を申し込んできたモハメド・ヨネを拒絶。；キリスト教が擬人化された神を拒絶するようになったのは4世紀以降とされている。；最初の相手はロシアの娘アレクサンドラだが、彼のプロポーズを拒絶した。；インディアナ州のマイアミ族などは連邦政府の承認を拒絶し続けている。；彼自身は軍事関連のプロジェクトで働くことや政府からの援助を受けることを拒絶した。；佐和は身籠ったことを竜三にだけは話した方がいいと言うがおしんは拒絶する。；このクラブは一部では歓迎されたが、他方では激しい拒絶にあった。；日本側から親日政権への参加等を求められたが、顔は一切拒絶した。；一度はバンドとして拒絶し説得に応じスタジオ入りしたのは発売の11日前だった。；CDはこれらを拒絶し、その対応として政権はグルグを逮捕しようとした。</t>
        </is>
      </c>
      <c r="J2226">
        <f>HYPERLINK("https://www.weblio.jp/content/拒絶", "词义详情")</f>
        <v/>
      </c>
      <c r="K2226">
        <f>HYPERLINK("https://yourei.jp/拒絶", "查看例句")</f>
        <v/>
      </c>
    </row>
    <row r="2227">
      <c r="A2227" t="inlineStr">
        <is>
          <t>漁船</t>
        </is>
      </c>
      <c r="B2227" t="inlineStr">
        <is>
          <t>成功</t>
        </is>
      </c>
      <c r="C2227" t="inlineStr">
        <is>
          <t>読み方：ぎょせん
漁業とそれに関連する仕事に使用する船。</t>
        </is>
      </c>
      <c r="D2227" t="inlineStr">
        <is>
          <t>漁船団；漁船員；漁船用；漁船等；漁船乗組員</t>
        </is>
      </c>
      <c r="E2227" t="inlineStr">
        <is>
          <t>釣り船；釣舟；漁舟；釣り舟；釣船</t>
        </is>
      </c>
      <c r="F2227" t="inlineStr">
        <is>
          <t>小さな漁船；マグロ漁船；小型漁船；大型漁船；遠洋漁船</t>
        </is>
      </c>
      <c r="G2227" t="inlineStr">
        <is>
          <t>漁船法；漁船再保険及び漁業共済保険特別会計；漁船登録番号</t>
        </is>
      </c>
      <c r="H2227" t="n">
        <v>29</v>
      </c>
      <c r="I2227" t="inlineStr">
        <is>
          <t>以後はより大型で全く設計の異なる漁船が建造されていくことになる。；二人は同じ漁船で戦場を脱出し、ハンガリーに戻るまでの間ともにいた。；以後も引き続き、大型漁船を中心に各種船舶の建造・修理を行っている。；この番号は漁船の所有者が変わっても県外に出ない限り保持される。；この問題は、オランダがバス船と呼ばれる大型漁船を投入することで解決した。；そのとき、敏郎が所有する漁船が港に到着し、敏郎本人が船から現れる。；かつてあった漁船はほとんど存在せず、主にヨットが見られるだけとなった。；降伏した相手はアザラシ狩りの漁船であり、この際に戦闘は起きていない。；大きな群が漁船から逃げていく様子は劇的であるとも表現される。；半島には17の港があり、主に漁船とプレジャーボートが利用している。；一般の船も小型の漁船などが就航しており、やはり蒸気機関で動いている。；漁船上や、海岸などで釣りをする時などにも用いられることがある。；父親は漁船の船長をしていたが、暮らしは決して裕福ではなかった。；ジョーダンによれば、漁船の釣り針でも数千羽が死亡しているという。；犯行の数月前には、300万円の新車と40万円の漁船を購入していた。；彫像はニコの手に入っており、翌朝多数の漁船とともに港へ入ってきた。；彼は二人の兄弟とともに漁船を出し、渦の起こる近くで漁をしていた。；謎の光のおかげで付近を航行中の漁船が遭難を免れたということもあった。；前身の新潟鐵工所造船工場時代から、おもに漁船を中心に建造している。；従来型の補助として建造された漁船タイプの敷設艇で漁敷とも呼ばれる。；残った漁船の借金を共同で返済した後は、名瀬に移り住み小学校に入学。；港には年間数千の漁船が出入りするほか、クルーズ船も主に夏に寄港する。；それから8時間後、彼らの乗った救命ボートはカナダの漁船に発見された。；漁業活動はいまや限界に達しているが多くの漁船が入る港である。；彼は続けて武装漁船への攻撃を指揮し、川上への撤退を強いた。；この中には日本の漁船第五福竜丸やマーシャル諸島の住人も含まれている。；漁船の上で、獲ったばかりの魚を材料に作られたことに始まる漁師料理である。；また市場を通さずに、漁船から卸へと直接取引きされるものも少なくない。；ただ敷設任務のために漁船とは以下のような違いがあった。</t>
        </is>
      </c>
      <c r="J2227">
        <f>HYPERLINK("https://www.weblio.jp/content/漁船", "词义详情")</f>
        <v/>
      </c>
      <c r="K2227">
        <f>HYPERLINK("https://yourei.jp/漁船", "查看例句")</f>
        <v/>
      </c>
    </row>
    <row r="2228">
      <c r="A2228" t="inlineStr">
        <is>
          <t>漁村</t>
        </is>
      </c>
      <c r="B2228" t="inlineStr">
        <is>
          <t>成功</t>
        </is>
      </c>
      <c r="C2228" t="inlineStr">
        <is>
          <t>読み方：ぎょそん
漁業を主な生業としている海辺の村。漁民の住む村。</t>
        </is>
      </c>
      <c r="D2228" t="inlineStr">
        <is>
          <t>漁村であり；漁村ニューリン；漁村集落；漁村特有；漁村部落</t>
        </is>
      </c>
      <c r="F2228" t="inlineStr">
        <is>
          <t>農漁村；一漁村；農村漁村；貧しい漁村；小漁村</t>
        </is>
      </c>
      <c r="H2228" t="n">
        <v>29</v>
      </c>
      <c r="I2228" t="inlineStr">
        <is>
          <t>今ではどんなに変っているか知りませんが、その頃はひどい漁村でした。；これほどの有名な都市ではなくて漁村のような港からも船は出ている。；昨日曳網の袋が裂けたので、我々は五マイルばかり離れた漁村へ行った。；そして私は、心の平和を求めて、この明るい風景のある漁村を訪れたのだ。；四人が歩いて到着したのは、木浦の町から五キロも西に離れた漁村だった。；この隊は小休止した後で4マイル北にある漁村のレニューズに移動した。；駅付近は1990年代初めまでは漁村地域で、駅から海が見えていた。；その中で呼松は近世以前からの古い歴史を持つ規模の大きな漁村であった。；あたり一面にはどこの漁村にも特有の、死んだ魚の匂いが漂っていた。；漁村に育った彼はその雲の知識を子供のときから持っていた。；小説には、漁村から水平線を望むと蜃気楼が見られる、と書いてあった。；逆に漁村に住む者は、オフシーズンには牧畜や都市生活を営む人もいる。；島に似た匂いがすると小夜は思ったが、目が慣れてくると漁村の規模が大きい。；サンテノガ村はディナールの中心となっており、よくある漁村であった。；明治五年には若松村は戸数二〇、人口五八〇の一漁村にすぎなかった。；高知県足摺岬の西側にある小さな漁村に住む少年が、海に出ていった。；古くから漁村が興り、NATOの基地が建設されたことで急速に発展した。；同じ地域に漁村と農村が共存していると考えたほうが良い島もある。；S村という漁村は、この前山代と一緒に行った三津から数里離れていた。；漁村の坂道で荷物を引きずっているのは老いた私ではなかったろうか。；彼は地中海岸の一漁村を都の建設地と定め、アレクサンドリアと命名した。；小木の港からやや離れたところに宿根木と呼ぶ小さな漁村があります。；夫の生まれた漁村に住みはじめてからの年月が、私の頭の中を流れていった。；状態のよくない道路が市街のコンクリートの通りと近隣の漁村を結んでいる。；現在の伊方町の東部、佐田岬半島のほぼ中央に位置する農漁村であった。；わたしの父の生まれた苫前は、日本海に面した北海道の一漁村である。；彼もいないし、あの漁村は、誰もいなくなってしまってるんです。；漁村の岸のところに着いて、一行五人のものは船から上つた。；私は左右に気を配りながら、漁村の間をうねうねと抜ける砂の道を歩いた。</t>
        </is>
      </c>
      <c r="J2228">
        <f>HYPERLINK("https://www.weblio.jp/content/漁村", "词义详情")</f>
        <v/>
      </c>
      <c r="K2228">
        <f>HYPERLINK("https://yourei.jp/漁村", "查看例句")</f>
        <v/>
      </c>
    </row>
    <row r="2229">
      <c r="A2229" t="inlineStr">
        <is>
          <t>巨大</t>
        </is>
      </c>
      <c r="B2229" t="inlineStr">
        <is>
          <t>成功</t>
        </is>
      </c>
      <c r="C2229" t="inlineStr">
        <is>
          <t>読み方：きょだい
［名・形動］非常に大きいこと。また、そのさま。「—な船体」
[派生]きょだいさ［名］</t>
        </is>
      </c>
      <c r="D2229" t="inlineStr">
        <is>
          <t>巨大化(3%)；巨大な影；巨大な岩；巨大な建物；巨大な石</t>
        </is>
      </c>
      <c r="E2229" t="inlineStr">
        <is>
          <t>大きい；恐ろしい；すごい；膨大；すさまじい</t>
        </is>
      </c>
      <c r="F2229" t="inlineStr">
        <is>
          <t>巨大組織；巨大な渦状星雲；巨大宇宙船；巨大核質dna；巨大怪生物</t>
        </is>
      </c>
      <c r="G2229" t="inlineStr">
        <is>
          <t>巨大化；巨大地震；巨大企業；巨大惑星；巨大都市</t>
        </is>
      </c>
      <c r="H2229" t="n">
        <v>29</v>
      </c>
      <c r="I2229" t="inlineStr">
        <is>
          <t>現在精油の業界は、巨大で強力な一握りの国際的企業に支配されている。；城や港などから端を発して、それが巨大化したのが特徴的である。；大装飾画のために建てた高さ15メートルの巨大なアトリエであった。；ボーゾックの構成員が使用する巨大車両で、こちらも様々な種類がある。；このような巨大衝突の繰り返しで、金星、地球が形成されたと考えられる。；阿蘇山は巨大な火山ゆえに、その周辺はたくさんの温泉に恵まれている。；ハリセンの威力の大きさを表現する目的で、非常に巨大に作ることもある。；遠距離通勤者や出張者もよく利用しており、周辺には巨大駐車場がある。；また、ロンドン自体が巨大な消費市場であるため、商業活動も活発である。；最後まで残った冥王星の特徴的な点は、巨大な衛星カロンと大気である。；この海進はベアパウ海と呼ばれ、巨大なに海洋堆積物が保存されている。；地球の月は、地球形成末期に起きた巨大衝突の産物であるとする説が有力である。；また実際に巨大な合成数の素因数分解の計算機実験も行われている。；前線方面軍は極東方面の海軍を含めた全軍を統括する巨大な軍となった。；全体の構造は巨大な顎のようで、酸性のDNAをくわえる深い溝がある。；巨大な刀を武器としていたようだが詳細は不明。；そしてその場所に巨大な家を建てさせたのである。；アメリカのチェサピーク湾で頻繁に目撃されている巨大な生物。；統合・合併で誕生した巨大銀行を指す場合もある。；ブリッジタウン市内には巨大な橋があり、町のシンボルになっている。；居所である紫宮は四柱が支える大きなひさしを持つ 巨大な宮殿であった。；大船観音と通称される全長約25メートルの巨大白衣観音像で知られる。；いずれも鉄骨の構造を大胆に剥き出しにした巨大建築物を施行した。；また、近年ポーランドで巨大なシェールガス埋蔵量が確認されている。；特に巨大な木の場合は足を四本にした「行灯」と呼ばれる方法で伐採する。；敵キャラクターの中には、2マス以上の面積を占める巨大な敵も存在する。；地球に落ちる隕石の大きさがそれほど大きくなくても巨大なクレーターができる。；その領土の範囲は人類史上において大英帝国に次ぐ2番目の巨大さだった。；中期古墳の際だった傾向としては、何といってもその巨大化である。</t>
        </is>
      </c>
      <c r="J2229">
        <f>HYPERLINK("https://www.weblio.jp/content/巨大", "词义详情")</f>
        <v/>
      </c>
      <c r="K2229">
        <f>HYPERLINK("https://yourei.jp/巨大", "查看例句")</f>
        <v/>
      </c>
    </row>
    <row r="2230">
      <c r="A2230" t="inlineStr">
        <is>
          <t>ぎょっと</t>
        </is>
      </c>
      <c r="B2230" t="inlineStr">
        <is>
          <t>成功</t>
        </is>
      </c>
      <c r="C2230" t="inlineStr">
        <is>
          <t>［副］(スル)突然予期しないことに出会って、驚き動揺するさま。「鍵を落としたかと—した」</t>
        </is>
      </c>
      <c r="D2230" t="inlineStr">
        <is>
          <t>ぎょっと息をのん(4%)；ぎょっとなり(4%)；ぎょっとなる(3%)；ぎょっと立ちすくん(2%)；ぎょっと息をのみこん</t>
        </is>
      </c>
      <c r="F2230" t="inlineStr">
        <is>
          <t>おもわずぎょっと；おもわずぎょっと；一瞬ぎょっと；ぎょっとなりまし</t>
        </is>
      </c>
      <c r="H2230" t="n">
        <v>29</v>
      </c>
      <c r="I2230" t="inlineStr">
        <is>
          <t>ぎょっとしながらあたりを見まわしたが、そばには、だれもいなかった。；ぎょっとなった運転手の顔を見たのを最後に、目を閉じて床に伏せる。；若い僧たちが光國の姿を見て、眉をひそめたり、ぎょっとなったりした。；王子は一瞬ぎょっと青ざめましたが、元の顔に戻り、そしらぬ風でした。；衛生兵は内田を見て一瞬ぎょっとしながらも、目と足に応急手当をした。；きっと、良は、少しぐらいぎょっとさすようななりで素敵なくらいだぜ。；膝まで海に浸かった祖母の姿が目に入り、折笠弥生はぎょっとなった。；言われるまま部屋に入り、そこに置かれたものを見た瞬間、僕はぎょっとなった。；弓子はぎょっとなって、電灯のスイッチに手をかけたまま立ちすくんだ。；今の内心の叫びを聞かれてしまったのではないか、と僕はぎょっと体を竦めた。；ぎょっとなってすくむと、蜘蛛の巣が少女の顔に引っかかったのである。；ふと、誰かが湯上り場に入って来たような気がして、思わずぎょっとなった。；廊下の壁はかなり長い間が鏡になっていて始めての客は思わぬ所に自分の姿を発見してぎょっとなる。；そのとたん、彼は思わずぎょっと、そこに立ちすくんでしまったのである。；貴子はぎょっとなり、今の話を聞かれていただろうかと思った。；ぎょっとこちらを見たアルベルトを無視して、艦長席にしっかりと体を固定する。；ぎょっと大きく目を見開いたシルヴィンは、慌てて飛竜の向きを変える。；と、その時、みしッと云う幽かな音がしたので彼は思わずぎょっとなった。；その日の夕方、朝日新聞の号外を手にしたときわたしは、ぎょっとなった。；その荒涼さには、七兵衛ほどのくせものも、ぎょっとせざるを得なかった。；三人はぎょっとうえを仰いだが、鳥じゃないから、飛んでいくわけにはいかぬ。；金四郎は門外の地に横わっている怪物をみて、思わずぎょっとなった。；最後に、奥宮の家を出るとき、隣の女房が云った言葉には、ぎょっとなった。；讃美歌ではないかと、宇治は血走った眼をぎょっと見開いて女を眺めた。；しかし、その中を一瞥したとたん、俊助は思わずぎょっと呼吸をのんだ。；それ以上に、ぎょっとなったのは傍らに侍っていた紋太夫であった。；「亡くなられた母者が守っておられる」 ぎょっと清貫は立ち止まった。；ぎょっとなって後退りし、短い悲鳴をあげてまた暖炉から飛び出した。；思わずぎょっと右手で拳銃を押えながら、宇治は目を凝らして近づいた。</t>
        </is>
      </c>
      <c r="J2230">
        <f>HYPERLINK("https://www.weblio.jp/content/ぎょっと", "词义详情")</f>
        <v/>
      </c>
      <c r="K2230">
        <f>HYPERLINK("https://yourei.jp/ぎょっと", "查看例句")</f>
        <v/>
      </c>
    </row>
    <row r="2231">
      <c r="A2231" t="inlineStr">
        <is>
          <t>拠点</t>
        </is>
      </c>
      <c r="B2231" t="inlineStr">
        <is>
          <t>成功</t>
        </is>
      </c>
      <c r="C2231" t="inlineStr">
        <is>
          <t>読み方：きょてん
活動の足場となる重要な地点。「販売の—を築く」「軍事—」</t>
        </is>
      </c>
      <c r="D2231" t="inlineStr">
        <is>
          <t>拠点施設；拠点駅；拠点病院；拠点港；拠点防衛</t>
        </is>
      </c>
      <c r="E2231" t="inlineStr">
        <is>
          <t>本；元；基本；ホーム；ベース</t>
        </is>
      </c>
      <c r="F2231" t="inlineStr">
        <is>
          <t>重要な拠点；軍事拠点；製造拠点；防衛拠点；練習拠点</t>
        </is>
      </c>
      <c r="G2231" t="inlineStr">
        <is>
          <t>拠点空港；拠点校；拠点局；拠点防御方式</t>
        </is>
      </c>
      <c r="H2231" t="n">
        <v>29</v>
      </c>
      <c r="I2231" t="inlineStr">
        <is>
          <t>それらのほとんどは韓国に開発拠点を置き、中国で生産されたものだった。；レバノンに存在する劇場の大部分は首都ベイルートに拠点を構えている。；しかし、そのカナダのウィニペグを拠点とするバンドは訴訟を継続した。；後にメタリカも拠点をサンフランシスコに移し、人気を確立していった。；以後ドイツと日本を拠点に、ヨーロッパの各地で活動を続けている。；北久里浜駅と京急久里浜駅の間には輸送上の拠点となる車両基地がある。；埼玉県内を主な営業地域としているため、直接の海外拠点は保有していない。；この団体がシュルレアリスムの影響を受けた画家たちの一大拠点となった。；同社は後の1993年にタルサを拠点とするNewsTrakとなった。；生活拠点地区は駅前に拠点性を持つ大型商業施設や動線整備がされている。；ニューヨーク州に拠点を持つ企業には以下のようなものがある。；三沢基地がレーダー運用の後方支援の拠点となる可能性も指摘されている。；もっとも、古式捕鯨の行われた地域は近代捕鯨産業でも重要な拠点だった。；当駅及び当駅周辺は相模原市北部の交通・商業の拠点地域としての役割を持つ。；スコットランドのを購入し、そことニューヨークを生活拠点とした。；しかしターリバーンは国内の他勢力の拠点を次々に攻略し、勢力を拡大し続けた。；幕府・大名の拠点のある城を中心とした町のほかは基本的に農村と考えられていた。；直轄領の安土を拠点に畿内を中心に東海地方・北陸地方などを支配した。；さらに上海を拠点としていた浙江財閥の抵抗も強くなっていった。；ミラノのマンションとリミニ付近の別荘の2つを拠点とした生活を送った。；大規模災害時の救援活動の拠点となる「防災道の駅」に選定されている。；当駅周辺地区は横浜市における主要な生活拠点に指定されている。；次の機関が施設を設置するなどして、拠点として利用している。；この場合、途中の補給拠点として日本の港を利用することが望まれた。；周南市街の西端として拠点駅となっており、当駅折り返しのバスも多い。；その組織を通じて輸出市場の調査や販売の拠点作りに協力した人など多くが助力した。；その多くは、川の流れの変化や政治的拠点の喪失などにより衰退した。；清軍に強く抵抗されたものの、虎山周辺の抵抗拠点を占領した。；ダーウィンはここを拠点にして、モンテビデオ一帯の調査旅行を行っている。</t>
        </is>
      </c>
      <c r="J2231">
        <f>HYPERLINK("https://www.weblio.jp/content/拠点", "词义详情")</f>
        <v/>
      </c>
      <c r="K2231">
        <f>HYPERLINK("https://yourei.jp/拠点", "查看例句")</f>
        <v/>
      </c>
    </row>
    <row r="2232">
      <c r="A2232" t="inlineStr">
        <is>
          <t>去年</t>
        </is>
      </c>
      <c r="B2232" t="inlineStr">
        <is>
          <t>成功</t>
        </is>
      </c>
      <c r="C2232" t="inlineStr">
        <is>
          <t>読み方：きょねん
今年の前の年。昨年。《季新年》</t>
        </is>
      </c>
      <c r="D2232" t="inlineStr">
        <is>
          <t>去年の秋ごろ；去年以来；去年の春ごろ；去年死ん；去年の夏ごろ</t>
        </is>
      </c>
      <c r="E2232" t="inlineStr">
        <is>
          <t>前年；昨年；往年；旧年；ラストイヤー</t>
        </is>
      </c>
      <c r="F2232" t="inlineStr">
        <is>
          <t>去年の秋の末；去年よりずっと；去年の六月ごろ</t>
        </is>
      </c>
      <c r="G2232" t="inlineStr">
        <is>
          <t>去年四月；去年十二月；去年六月；去年十月；去年三月</t>
        </is>
      </c>
      <c r="H2232" t="n">
        <v>29</v>
      </c>
      <c r="I2232" t="inlineStr">
        <is>
          <t>年に一枚葉を出すが、常緑であるため去年の葉が残っている個体も多い。；「かくとしも知らでや去年のこの頃は君を空ら行く田鶴にたとえし」と。；姉は、私の去年の春の事、即ちH病院へ彼を尋ねたことは全く知らない。；君が去年来はじめた時ぶんはまだ小用の時は唐紙の外へ出てしたのだが。；ナンダーMAXに集められた中には去年は居なかったものも含まれていた。；去年の自分は自分の敵である位に考えなければならないのである。；初めて書いてみたのは、去年の夏、もう暑中休暇に間のない頃であつた。；去年の秋、私の姉が死んだけれど、家からはなんの知らせもなかった。；あいつは去年も一緒に行って、少しは土地の勝手を知っている筈だ。；去年上高地へ行った帰りには大阪のある女学校の生徒たちと一緒になった。；去年の夏から秋にかけて、江戸の空にはときどき大きい光り物が飛んだ。；新玉の春は来ても忘れられないのは去年の東北地方凶作の悲惨事である。；去年の秋の氾濫の迹の恐ろしい大谷川の縁へ笹村は時々出かけて行った。；半七は去年泊まった上州屋へゆくことにして、ここで三五郎に別れた。；去年の春登ったときはありませんでしたから再度測量しているのだと思われます。；お馨さんは去年此処の海を犬吠ヶ崎の方へ上って米国に渡ったのである。；それを知って居た男は関係者自身で去年の秋死んでしまった。；去年の代金を渡さなけれや、後を寄越さないつて云つて来てるんですが。；まだ真の来たてのお作と一所に越した去年の今夜のことなど想い出された。；去年の冬より籠めた力が此一時に發するやうに花は滿身の力を籠めて開く。；君は去年の正月僕の家へ来てからその後一度も顔を見せないね?；彼女は実に去年の嘘をも五分前の嘘のやうに覚えてゐた。；そこには、去年一度も家から出たことのない老嬢が、静かに眠っていました。；虎杖や去年の実を結んだままのハマナシが、砂の上にしがみついている。；お住はもう一度去年よりは一層願にかけたやうに壻をとる話を勧め出した。；そのそばにわら家があって、すべてが去年のままの景色でありました。；去年家にゐて出前持をしてたあの久吉な、今島の内の丸利にゐますのや。；室は去年と同じく、義兄の書齊に隣つた二階の隅の六疊を貸して呉れた。；去年の夏訪れた時に誰もいなかった食堂を兼ねた居間には、すべての家族がいた。</t>
        </is>
      </c>
      <c r="J2232">
        <f>HYPERLINK("https://www.weblio.jp/content/去年", "词义详情")</f>
        <v/>
      </c>
      <c r="K2232">
        <f>HYPERLINK("https://yourei.jp/去年", "查看例句")</f>
        <v/>
      </c>
    </row>
    <row r="2233">
      <c r="A2233" t="inlineStr">
        <is>
          <t>拒否</t>
        </is>
      </c>
      <c r="B2233" t="inlineStr">
        <is>
          <t>成功</t>
        </is>
      </c>
      <c r="C2233" t="inlineStr">
        <is>
          <t>読み方：きょひ
［名］(スル)要求や提案を聞き入れないで断ること。拒絶。「立ち退き要求を—する」</t>
        </is>
      </c>
      <c r="D2233" t="inlineStr">
        <is>
          <t>拒否する(14%)；拒否される(2%)；拒否反応；拒否し続け；拒否すれ</t>
        </is>
      </c>
      <c r="E2233" t="inlineStr">
        <is>
          <t>非難；放棄；拒絶；遠慮；辞退</t>
        </is>
      </c>
      <c r="F2233" t="inlineStr">
        <is>
          <t>一切拒否；強く拒否；宣誓拒否；受け入れ拒否；事実上拒否</t>
        </is>
      </c>
      <c r="G2233" t="inlineStr">
        <is>
          <t>拒否感</t>
        </is>
      </c>
      <c r="H2233" t="n">
        <v>29</v>
      </c>
      <c r="I2233" t="inlineStr">
        <is>
          <t>様々な理由から兵役を拒否する人間も増えてきており問題となっている。；この理由は標準治療の拒否や、遅れが原因であると推測されるとしている。；アリほどの著名な人物で、他に徴兵を拒否したものは誰一人いなかった。；しかし、ヴィシー政府はドイツへの協力を拒否することは出来なかった。；この会社のメンバーには、サロンへの出展を拒否することが期待された。；そして、連合国に講和を提案したが拒否され、結局戦争へと進んでいく。；氏綱は関東の諸領主に奉加を求めたが、両上杉氏はこれを拒否している。；社長である欽本立はこの要求を拒否したため、同紙は発行停止となった。；他人に自分の服を洗われることを拒否し、自分で洗濯を行っていたという。；そのために、ヨーク公が必要としていた兵も物資も追加投入を拒否された。；彼は娘に直接に願ったが拒否され、とうとう娘をさらって家を飛び出した。；ローマ教皇インノケンティウス13世はこの宣言の受け入れを拒否した。；これに対しナポレオンは封鎖令の継続を求めたが、ロシアはこれを拒否。；しかし内容の過激さから、予定していた部署からの出版を拒否される。；タグをつけられた選手はプレーを拒否することもできるが、無報酬となる。；瑞鶴の貝塚艦長は退艦を拒否し、艦長休憩室に入って鍵をかけたという。；ブランドは膝の手術を受けたことで身体的に軍隊から拒否される理由はなくなったのである。；サーバには、TLSを使用しない接続の許可・拒否のオプションがある。；しかし一部のユダヤ教徒はマスクを拒否し、その理由を次のように述べた。；この悪い癖のため、逸見政孝の追悼番組で出演を拒否されたこともあった。；見学者のうち女性のみが拒否され問題となった例 も多数ある。；議員達はその名前を言うように要求したが、ロベスピエールは拒否。；この時、彼の採用を拒否した会社の中にはユダヤ系企業もあった。；自殺を禁じられたキリシタンであったので、切腹を拒否して斬首された。；この時、香落ち戦の第6局を升田が対局拒否をする陣屋事件が起こった。；これを拒否したパイロットは革命派に拘束されたが、3月2日に解放された。；所長は上層部に取り計らってみると回答したが、結局交渉は拒否された。；イルマリネンは娘を要求するが、娘が拒否、彼は悲嘆に暮れて帰国する。；なお、この事件以降セレシュはドイツ国内でのプレーを拒否してきた。</t>
        </is>
      </c>
      <c r="J2233">
        <f>HYPERLINK("https://www.weblio.jp/content/拒否", "词义详情")</f>
        <v/>
      </c>
      <c r="K2233">
        <f>HYPERLINK("https://yourei.jp/拒否", "查看例句")</f>
        <v/>
      </c>
    </row>
    <row r="2234">
      <c r="A2234" t="inlineStr">
        <is>
          <t>許容</t>
        </is>
      </c>
      <c r="B2234" t="inlineStr">
        <is>
          <t>成功</t>
        </is>
      </c>
      <c r="C2234" t="inlineStr">
        <is>
          <t>読み方：きょよう
［名］(スル)そこまではよいとして認めること。大目にみること。「—の範囲をこえる量」「—しがたいミス」</t>
        </is>
      </c>
      <c r="D2234" t="inlineStr">
        <is>
          <t>許容する(16%)；許容される(12%)；許容量(6%)；許容できる(5%)；許容値</t>
        </is>
      </c>
      <c r="E2234" t="inlineStr">
        <is>
          <t>許可；承認；許し；認める；許す</t>
        </is>
      </c>
      <c r="F2234" t="inlineStr">
        <is>
          <t>許容説；許容限界；許容限度；御許容；許容荷重</t>
        </is>
      </c>
      <c r="G2234" t="inlineStr">
        <is>
          <t>許容差；許容電流；許容回転数；許容損失；許容錯乱円</t>
        </is>
      </c>
      <c r="H2234" t="n">
        <v>29</v>
      </c>
      <c r="I2234" t="inlineStr">
        <is>
          <t>一部の言語では、ある種の到達不能コードは言語の仕様上許容されない。；これは連邦議会以外の機関に規則の制定の制定を広く許容する法律である。；駐車場は十分な台数があるが、道路の方が許容量を超えている状態である。；したが って、使用機械の種類は自然のもつ許容限界の範囲で決定される。；削除基準は2ちゃんねるで禁止となっている性的表現が許容されている。；リスクが許容可能かどうか判断する際には以下の要素が考慮される。；このため、線路を低くすることでトンネルの許容高さが改良された。；これらの4個の分画物は、別々に使用する場合にだけ使用が許容される。；このパラドックスは、CPUの設計に許容される期間の制限から生じた。；また男女が同時にというのは、混浴の場合が唯一許容されている例である。；主に男性が私的な場面で用いるが、フォーマルな場での使用も許容される。；その際には中央の軸に横動を許容するなどの対策が必要となる。；ERTMS信号設備が使用されている路線の最大許容速度は右表のとおりである。；にもかかわらず、多くの関数型言語は60前後の要素まで許容されている。；その場合、「あるいは」は排他的ではなく、両方が真の場合を許容する。；さらに許容を超えた電圧が誘導されると発光素子が破壊されることもある。；これらの値には許容値が定められているが、ISOや各国の国家標準で異なる。；これらは、いずれも形稽古の中で許容されるべきでない概念である。；もちろん許容値を超える無信号があった場合は無信号絶対停止のためEBが動作する。；南でも一部の場合に続け書きが許容されるが、北では続け書きが原則となっている点が異なる。；この推定値は、恒星の変動に10 ppmを許容するように作成された。；について解が存在する = その の値をとることが許容された区間。；しかし、これらの規定はおとり捜査一般を許容するものとは解釈されていない。；ここで側受部はコロで曲線通過時に横方向の変位を許容する構造とした。；続け書きが許容されているものは、以下のような場合である。；当時の水準では柔軟な記述を許容するなど、扱いやすく高機能なものだった。；近年、いくつかのクラブでは女性も許容されるようになった。；設計主任の平賀大佐は損傷時の浸水極限の為これを許容したと伝えられる。；どのような嘘が文化的に許容されるかは、その文化ごとに異なる。</t>
        </is>
      </c>
      <c r="J2234">
        <f>HYPERLINK("https://www.weblio.jp/content/許容", "词义详情")</f>
        <v/>
      </c>
      <c r="K2234">
        <f>HYPERLINK("https://yourei.jp/許容", "查看例句")</f>
        <v/>
      </c>
    </row>
    <row r="2235">
      <c r="A2235" t="inlineStr">
        <is>
          <t>清らか</t>
        </is>
      </c>
      <c r="B2235" t="inlineStr">
        <is>
          <t>成功</t>
        </is>
      </c>
      <c r="C2235" t="inlineStr">
        <is>
          <t>読み方：きよらか
［形動］［文］［ナリ］けがれなく澄みきって美しいさま。清純なさま。「—な谷川の流れ」「—な愛」
[派生]きよらかさ［名］</t>
        </is>
      </c>
      <c r="D2235" t="inlineStr">
        <is>
          <t>清らかな水(4%)；清らかな心；清らかな流れ；清らかな空気；清らかな菩薩</t>
        </is>
      </c>
      <c r="E2235" t="inlineStr">
        <is>
          <t>綺麗；純；清潔；純白；清浄</t>
        </is>
      </c>
      <c r="F2235" t="inlineStr">
        <is>
          <t>最も清らか；白く清らか；美しい清らか；もっと清らか；気高く清らか</t>
        </is>
      </c>
      <c r="H2235" t="n">
        <v>29</v>
      </c>
      <c r="I2235" t="inlineStr">
        <is>
          <t>妻たるものは夫の前では天使のように清らかでなくちゃなりませんのよ。；この池が象徴として深く、清らかにできていることに私は感謝している。；赤人はこのような清らかな美を自然に見出し、それを求めているのです。；清らかな涙を前に、自分の行なったことの恐ろしさだけ際立つ気がした。；清らかな水や空気、自然豊かな福井県の環境が調質なそばを育てている。；人生のあらゆる良いもの、美しいもの、清らかなものに引きつけられる。；正式に結婚していないままであったため、二人の関係は清らかなままだった。；結婚の前のことは、今、思いだしてもみんな清らかな面をもっていた。；彼女の周りには、常に澄んだ空気と清らかな水が存在しているようだった。；そのとき私は、自分ながらも実に涼しい清らかな声が出たやうな気がした。；神や幼児の清らかさではなく、汚れを知った人間の持つきれいさであった。；いつも僕は全く清らかな気持で、その美しい少女を懐しむことができた。；目には見えず、しかし清らかな何かが、結界の中にさらなる線を引いた。；崖を下りて停車場の方へ行く道傍には清らかな小流が音を立てゝ流れて居た。；清らかな、日に輝いて、妙なる歌をうたって流れている水に渇している。；これも私は心から、清らかな心から、親身になって言っているんですよ。；下の部屋ではまるで気のつかなかつたベッドの新鮮さ、この清らかさ。；清らかな翼のうちに包まれて、静に高く高く昇ってゆくがような気がした。；まるで、野の白百合のような、清らかで目鼻立ちの整った少女であった。；幸福の湯気が彼女の眼をうるおして、涙に清らかさとやさしさを与えた。；清らかな水の中が、たちまち炎の燃えたつように明るく輝いて見えました。；それは水に洗われた童女のようにきよらかにさえ見える笑顔であった。；私は未だ甞てそんな清らかな純な空を見たことがないような気がした。；冷たい冬の空気さえ忘れるほど、その姿はあまりにも清らかだったからだ。；そう覚悟して来た一念が、その清らかな眼に炎となって燃えている。；私はその魂をいやが上にも清らかに曇りなくしたいと念じたのです。；今は清らかではあるが力弱い正義感だけがその指導者を支へてゐた。；年の終わりから新しい年の始まりへと燃えつづける、きよらかな火を。；月の光の中を近づいてくる少女は、あまりにも純真で、清らかに見えた。</t>
        </is>
      </c>
      <c r="J2235">
        <f>HYPERLINK("https://www.weblio.jp/content/清らか", "词义详情")</f>
        <v/>
      </c>
      <c r="K2235">
        <f>HYPERLINK("https://yourei.jp/清らか", "查看例句")</f>
        <v/>
      </c>
    </row>
    <row r="2236">
      <c r="A2236" t="inlineStr">
        <is>
          <t>距離</t>
        </is>
      </c>
      <c r="B2236" t="inlineStr">
        <is>
          <t>成功</t>
        </is>
      </c>
      <c r="C2236" t="inlineStr">
        <is>
          <t>読み方：きょり
１二つの場所や物事の間の隔たり。「前の車との—を縮める」「考え方に—がありすぎる」
２人との関係で、相手に対する気持ちの上での隔たり。「—を置いてつきあう」「相手の態度に—を感じる」
３数学で、二点を結ぶ線分の長さ。また、二つの図形上の点を結ぶ線分のうちの最短のものの長さ。</t>
        </is>
      </c>
      <c r="D2236" t="inlineStr">
        <is>
          <t>距離適性；距離感；距離測定；距離制；距離短縮</t>
        </is>
      </c>
      <c r="E2236" t="inlineStr">
        <is>
          <t>間；違い；差；異なり；長さ</t>
        </is>
      </c>
      <c r="F2236" t="inlineStr">
        <is>
          <t>直線距離；射程距離；長い距離；最短距離；移動距離</t>
        </is>
      </c>
      <c r="G2236" t="inlineStr">
        <is>
          <t>距離空間；距離計；距離化可能；距離函数；距離延長</t>
        </is>
      </c>
      <c r="H2236" t="n">
        <v>29</v>
      </c>
      <c r="I2236" t="inlineStr">
        <is>
          <t>手や尻を後ろに突いてしまった場合はその地点までの距離が記録となる。；しかし、この時点で回避するにはあまりにも時間と距離が足りなかった。；距離のコース種別は、最後の直線コースを走行する際の馬場で記述する。；異なる測定方法を相互相関させることで距離を限定することができる。；ただし、駅間距離の短縮は違和感のない範囲でこれまで同様に存在する。；三崎口駅南の国道134号を潜る形で僅かな距離だが線路は続いている。；過去のそれより小さい距離で起きた事象を我々は観測できていない。；両選手はピスト中央に4mの距離をおいて構えの姿勢から試合を開始する。；直通列車を中心に運転距離は長いものの、トイレは設置されていない。；この空間までの現在の距離であるは、約450億光年と推定されている。；こうした比だけからは天体までの具体的な距離を知ることはできない。；彼は、電荷の間に働く力は距離の2乗に反比例していることを発見した。；導線法を長い距離にわたって続けると、段々と誤差が大きくなってくる。；アンドロメダ銀河との距離はおよそ75万光年と比較的近い位置にある。；この区間は互いに隣同士の駅が見えるほど駅間距離が短い。；このような長大な距離を直接測定することは事実上不可能である。；楽器に対しては距離をとり、一歩ほど引いた位置に立って紐を構えた。；至近距離で大きな羽を広げてアピールされると、怖く感じるほどである。；電線と周囲との距離をとることで空気を絶縁体として利用することも多い。；以下のものは駅からかなりの距離があるが、当駅が入口となる名所。；現在天文学では、恒星までの距離を示すときにはパーセクが用いられる。；超距離不等式からは三角不等式が導かれるので、超距離は距離でもある。；中山道より距離が短い事もあり、その通行者はかなり多かったようである。；このように、同じ集合に対して定めることのできる距離は一つではない。；さらに観測精度が向上し、徐々に推定距離が長く算定されるようになった。；歴史的にもバスクの他地域と異なる歴史を有し、他地域とは距離を置いている。；ただし、山田線内の実キロ数は旧青山トンネル経由の距離が記されている。；特にレーダーから測定対象までの距離が遠方にある場合、減衰が大きい。；発射地点から攻撃可能な目標地点までの最大距離が射程である。</t>
        </is>
      </c>
      <c r="J2236">
        <f>HYPERLINK("https://www.weblio.jp/content/距離", "词义详情")</f>
        <v/>
      </c>
      <c r="K2236">
        <f>HYPERLINK("https://yourei.jp/距離", "查看例句")</f>
        <v/>
      </c>
    </row>
    <row r="2237">
      <c r="A2237" t="inlineStr">
        <is>
          <t>嫌い</t>
        </is>
      </c>
      <c r="B2237" t="inlineStr">
        <is>
          <t>成功</t>
        </is>
      </c>
      <c r="C2237" t="inlineStr">
        <is>
          <t>読み方：きらい
［名・形動］
１きらうこと。いやだと思うこと。また、そのさま。「—な食物」「運動が—な人」⇔好き。
２（「きらいがある」の形で用いる）好ましくない傾向。懸念。「独断の—がある」「考えすぎる—がある」
３（「きらいなく」の形で用いる）差別。区別。「男女の—なく入学を許可する」
４連歌・連句で、句の配置上、避けなければならないきまり。
５（「…ぎらい」の形で）名詞または他の語句に付いて、その物事をするのがいやであること、また、そのような人の意を表す。「勉強—」「食わず—」</t>
        </is>
      </c>
      <c r="D2237" t="inlineStr">
        <is>
          <t>嫌う人も多い；嫌う人も少なく；嫌う者も少なく</t>
        </is>
      </c>
      <c r="E2237" t="inlineStr">
        <is>
          <t>嫌；嫌い；憎悪；嫌悪；憎む</t>
        </is>
      </c>
      <c r="F2237" t="inlineStr">
        <is>
          <t>ひどく嫌う；もっとも嫌う；そんなに嫌う；一番嫌う；激しく嫌う</t>
        </is>
      </c>
      <c r="H2237" t="n">
        <v>29</v>
      </c>
      <c r="I2237" t="inlineStr">
        <is>
          <t>私はあなたのような娘さんならだれからも嫌われるはずがないと答えた。；わたしは父に嫌われているんじゃないかと、しばしば思うことがあった。；東京での仕事や文化を嫌うようになり、大阪にて別名義で活動を始める。；複雑な家庭環境で育ったため、本人はその話題に触れられることを嫌う。；島さんの妻は人に好かれないばかりでなく、むしろ嫌われていたようだ。；赤松自身は、喧嘩は嫌いだったつもりだが腕力には自信があったという。；一方でコーヒーは嫌いで「泥水」と呼ぶなど極端な発言も口にしている。；学校ではクラスの人気者連中に媚を売っていて、ますます嫌われている。；おそらく彼の最大の短所は人を介して報告を聞くことを嫌うことである。；これは恐ろしいことで、憧れていたあの人たちには絶対嫌われたくない。；留置場へ入れられた事なんかを君に言うと、君に嫌われると思ったんだ。；この頃、ラスプーチンはロシアで最も嫌われる人物の一人となっていた。；ルソーが嫌いな人物をヒュームが弁護するのが我慢できなくなっていた。；何をするかわからない等の理由で嫌いなのは子供恐怖症である確率が高い。；住民がこの場所をそんなに酷く嫌うなら、邪魔が入ることもないだろう。；ポターには子どもがいないため、子どもが嫌いだったとよく言われていた。；少しずつロックを嫌いになり始めている自分が嫌になっていた。；これであの男が、いかにあたしに 嫌われているか分かったろ母さんは。；ただこの金さん、事業を拡大しすぎてしまい警察に嫌われてしまった。；宗教的な理由で、混血を嫌う地域がある為、それ以外の地域で行われる。；ウィルス種であるが卑怯なことは嫌い、卑怯な奴は仲間と思っていない。；氏は近来女の中でも殊に日本の芸者及びそうした趣味の女を嫌う様です。；ローレンスは他の町で嫌われる産業を呼ぶことで雇用を増そうともした。；今まで愛していると言われ続けた少女が、突然、嫌いだと言われた顔ですよ。；ただし、決して嫌っている訳では無く、単に苦手にしているだけである。；ああ、一人の人からは嫌われ、 それを別の人からからかわれるなんて!；一方、眼鏡商人からは、流行するたびに必ずといってよいほど嫌われた。；しかしボブは、レオが妻以外の家族や周囲から嫌われていることを知る。；頭にはポンポンのようなものがついており、触れられるのを極度に嫌う。</t>
        </is>
      </c>
      <c r="J2237">
        <f>HYPERLINK("https://www.weblio.jp/content/嫌い", "词义详情")</f>
        <v/>
      </c>
      <c r="K2237">
        <f>HYPERLINK("https://yourei.jp/嫌い", "查看例句")</f>
        <v/>
      </c>
    </row>
    <row r="2238">
      <c r="A2238" t="inlineStr">
        <is>
          <t>嫌う</t>
        </is>
      </c>
      <c r="B2238" t="inlineStr">
        <is>
          <t>成功</t>
        </is>
      </c>
      <c r="C2238" t="inlineStr">
        <is>
          <t>読み方：きらう
［動ワ五（ハ四）］
１いやがって、その対象とかかわりたくないと思う。好ましくないものとして、避ける。「世間から—・われる」「不誠実な人を—・う」
２はばかって、それをしないようにする。また、そうすることをいやだと思う。「葬式は友引の日を—・う」「相手の差し手を—・う」
３（人になぞらえた言い方で）それがあるとそこなわれやすいので避けるべきである。「塩は湿気を—・う」
４（「きらわず」の形で用いる）区別する。わけへだてをする。「相手—・わず論争を挑む」「所—・わずつばをはく」
５連歌・連句で、句の配列上、同類の言葉を付けたり、ある特定の語を特定の場所に使ったりすることを忌み避ける。
６よくないものとして退ける。
「穢(きたな)き奴(やっこ)どもを—・ひ賜ひ棄て賜ふに依りて」〈続紀・宣命・一九詔〉
[用法]きらう・いやがる——「ゴキブリを嫌う（いやがる）」では相通じて用いられるが、「ごきぶりを嫌って、見るのもいやがった」では「嫌う」「いやがる」を入れ換えると不自然になる。◇「嫌う」はいやだと思う気持ちを示すだけだが、「いやがる」は嫌う気持ちを態度や言葉に表すことである。「母と別れるのをいやがって泣いた」「いやがる相手を交渉の場に引き出す」などでは「嫌う」は使わない。◇類似の語に「いとう」がある。「いとう」はやや古い言葉で、「世をいとう」のように、できれば避けたいものだという気持ちが強い。◇また、「おからだ、十分においといください」は、悪い要素を避けておいたわりくださいの意で、「いとう」独特の用法。</t>
        </is>
      </c>
      <c r="D2238" t="inlineStr">
        <is>
          <t>嫌う人も多い；嫌う人も少なく；嫌う者も少なく</t>
        </is>
      </c>
      <c r="E2238" t="inlineStr">
        <is>
          <t>嫌；嫌い；憎悪；嫌悪；憎む</t>
        </is>
      </c>
      <c r="F2238" t="inlineStr">
        <is>
          <t>ひどく嫌う；もっとも嫌う；そんなに嫌う；一番嫌う；激しく嫌う</t>
        </is>
      </c>
      <c r="H2238" t="n">
        <v>29</v>
      </c>
      <c r="I2238" t="inlineStr">
        <is>
          <t>私はあなたのような娘さんならだれからも嫌われるはずがないと答えた。；わたしは父に嫌われているんじゃないかと、しばしば思うことがあった。；東京での仕事や文化を嫌うようになり、大阪にて別名義で活動を始める。；複雑な家庭環境で育ったため、本人はその話題に触れられることを嫌う。；島さんの妻は人に好かれないばかりでなく、むしろ嫌われていたようだ。；赤松自身は、喧嘩は嫌いだったつもりだが腕力には自信があったという。；一方でコーヒーは嫌いで「泥水」と呼ぶなど極端な発言も口にしている。；学校ではクラスの人気者連中に媚を売っていて、ますます嫌われている。；おそらく彼の最大の短所は人を介して報告を聞くことを嫌うことである。；これは恐ろしいことで、憧れていたあの人たちには絶対嫌われたくない。；留置場へ入れられた事なんかを君に言うと、君に嫌われると思ったんだ。；この頃、ラスプーチンはロシアで最も嫌われる人物の一人となっていた。；ルソーが嫌いな人物をヒュームが弁護するのが我慢できなくなっていた。；何をするかわからない等の理由で嫌いなのは子供恐怖症である確率が高い。；住民がこの場所をそんなに酷く嫌うなら、邪魔が入ることもないだろう。；ポターには子どもがいないため、子どもが嫌いだったとよく言われていた。；少しずつロックを嫌いになり始めている自分が嫌になっていた。；これであの男が、いかにあたしに 嫌われているか分かったろ母さんは。；ただこの金さん、事業を拡大しすぎてしまい警察に嫌われてしまった。；宗教的な理由で、混血を嫌う地域がある為、それ以外の地域で行われる。；ウィルス種であるが卑怯なことは嫌い、卑怯な奴は仲間と思っていない。；氏は近来女の中でも殊に日本の芸者及びそうした趣味の女を嫌う様です。；ローレンスは他の町で嫌われる産業を呼ぶことで雇用を増そうともした。；今まで愛していると言われ続けた少女が、突然、嫌いだと言われた顔ですよ。；ただし、決して嫌っている訳では無く、単に苦手にしているだけである。；ああ、一人の人からは嫌われ、 それを別の人からからかわれるなんて!；一方、眼鏡商人からは、流行するたびに必ずといってよいほど嫌われた。；しかしボブは、レオが妻以外の家族や周囲から嫌われていることを知る。；頭にはポンポンのようなものがついており、触れられるのを極度に嫌う。</t>
        </is>
      </c>
      <c r="J2238">
        <f>HYPERLINK("https://www.weblio.jp/content/嫌う", "词义详情")</f>
        <v/>
      </c>
      <c r="K2238">
        <f>HYPERLINK("https://yourei.jp/嫌う", "查看例句")</f>
        <v/>
      </c>
    </row>
    <row r="2239">
      <c r="A2239" t="inlineStr">
        <is>
          <t>きらきら</t>
        </is>
      </c>
      <c r="B2239" t="inlineStr">
        <is>
          <t>成功</t>
        </is>
      </c>
      <c r="C2239" t="inlineStr">
        <is>
          <t>［副］(スル)光り輝いているさま。「星が—（と）輝く」「—したひとみ」</t>
        </is>
      </c>
      <c r="D2239" t="inlineStr">
        <is>
          <t>きらきら光る(10%)；きらきらと輝い(7%)；きらきら輝い(4%)；きらきらと輝く(3%)；きらきら輝く(3%)</t>
        </is>
      </c>
      <c r="E2239" t="inlineStr">
        <is>
          <t>輝き；光る；輝く；キラキラ；スパーク</t>
        </is>
      </c>
      <c r="F2239" t="inlineStr">
        <is>
          <t>受けてきらきら；眼をきらきら；きらきら光らせ；きらきらかがやい；きらきらと反射</t>
        </is>
      </c>
      <c r="G2239" t="inlineStr">
        <is>
          <t>きらきらひかる；きらきらうえつ；きらきらアフロ；きらきらみちのく；きらきら星変奏曲</t>
        </is>
      </c>
      <c r="H2239" t="n">
        <v>29</v>
      </c>
      <c r="I2239" t="inlineStr">
        <is>
          <t>そのうちに僕はすぐ目の前にさざ波のきらきら立っているのを見つけた。；女は小さなきらきらする目でおれを上から下まで見まわして、言った。；肥えた多血質の顔が白くなり、その眼は怒りのためにきらきらしていた。；陽を受けてきらきらときらめく寺院の姿が、早くも視界にはいってきた。；涙の粒みたいな姿をしていて、体じゅうきらきら光っているんじゃない?；彼女の手はぶるぶる震え、きらきら輝く瞳は涙でいっぱいになっていた。；月の光りが一面に青白い布を拡げたようで木の葉がきらきら光っていた。；きらきら光る黒の夜会服を着て、頭にはダイヤが星のように輝いている。；そして火のように赤いたくさんの星が、アフリカの空にきらきらと輝いていた。；電気の光できらきらと光る海面の天井が頭上に果てしなく広がっている。；こうして暗いなかにいても、あなたの眼のきらきらするのが見える。；北の山へ雲の峰が出て新築の学校の屋根がきらきらしているが風は涼しい。；それはあまりきらきらしていて、宝石か大きなチョウチョのようでした。；白いのと黒いのと、うしろに赤い陽を受け、動くたびにきらきら輝いていた。；朝置く露のようなきらきら光る二粒のうれし涙がその頬をつたっていた。；しかもそのきらきらする顔かたちが そのことをいまにひとに知らせている。；船頭のうしろのところの水が、陽をてりかへしてきらきら光つてゐました。；海のかなたの大空を見上げたとき、女の子の眼はきらきらと輝きました。；市のたつ広場では二つの大きな噴泉が音をたてながらきらきらと光っていた。；きらきら日が光る寒い日で、開けた風よけガラスから風が吹きこんでくる。；アスランさえ、緑の草の上にきらきら光る黄色い一点としか見えません。；もっとも目をきらきらさせているところを見ると、わざと言ったに違いない。；丸い小銭ほどの光の輪のなかで無数の星のようなものがきらきらと光っていた。；なお、きらきらと輝く白雲母は吉良の地名の由来になったといわれている。；明かりを受けてその目はきらきら輝いているように彼には見えた。；梁の上にピストルがきらきらと光って、その口がこっちを向いていた。；私の眼には雨に濡れた舗道の上に街の燈火のきらきら光るのが映りました。；マリイは日の光が床の上に落ちてきらきらしているのを、無心で眺めている。；その間を房一の乗つた真新しい自転車のハンドルがきらきら日に光つた。</t>
        </is>
      </c>
      <c r="J2239">
        <f>HYPERLINK("https://www.weblio.jp/content/きらきら", "词义详情")</f>
        <v/>
      </c>
      <c r="K2239">
        <f>HYPERLINK("https://yourei.jp/きらきら", "查看例句")</f>
        <v/>
      </c>
    </row>
    <row r="2240">
      <c r="A2240" t="inlineStr">
        <is>
          <t>気楽</t>
        </is>
      </c>
      <c r="B2240" t="inlineStr">
        <is>
          <t>成功</t>
        </is>
      </c>
      <c r="C2240" t="inlineStr">
        <is>
          <t>読み方：きらく
［名・形動］
１心配や苦労がなく、のんびりとしていられること。また、そのさま。「—な身分」「—に暮らす」
２物事にこだわらないで、のんきなさま。「—なことを言う」
[派生]きらくさ［名］</t>
        </is>
      </c>
      <c r="D2240" t="inlineStr">
        <is>
          <t>気楽なもの(4%)；気楽そう(3%)；気楽な生活；気楽なもん；気楽な調子</t>
        </is>
      </c>
      <c r="E2240" t="inlineStr">
        <is>
          <t>楽；のんびり；快適；気軽；快い</t>
        </is>
      </c>
      <c r="F2240" t="inlineStr">
        <is>
          <t>一番気楽；こんな気楽；気楽な稼業；気楽な仕事；気楽な雰囲気</t>
        </is>
      </c>
      <c r="G2240" t="inlineStr">
        <is>
          <t>気楽に殺ろうよ</t>
        </is>
      </c>
      <c r="H2240" t="n">
        <v>29</v>
      </c>
      <c r="I2240" t="inlineStr">
        <is>
          <t>こんなに気楽にアメリカで旅したことはふたりともまだ一度もなかった。；この村の人で、私の職業を誰一人知っているもののないのが気楽である。；気楽そうにしていたが、自分の店を出て以来ずっと緊張していたらしい。；気楽に写真を撮る時代でも生活でもなかったから、と父は説明してたわ。；またどんな気楽さと利益とが ほかの善のおもてに示されていたのです。；作文のお時間にも、私は気楽に書いて、普通のお点をもらっていました。；第一昼間人間の作っておく路などを、降りてきたのは気楽過ぎていた。；搗てて加えて一家の実際の事情は岡目で見るほど決して気楽でなかった。；それぞれ、どことなく自分の家に帰ってきたような気楽な雰囲気がある。；面倒な文学論などせず自由で気楽な雰囲気が伝わってくる逸話である。；ぼくは自分の自由をかなり気楽にたのしむことができたと信じている。；気楽なスナップ写真を自分のアルバムから探したけれど、いいのがない。；誰とも話ができないのなら、一人でいるほうが気楽だったのだろう。；主人公が気楽な性格のため、全体的に楽しんで描いていると語っている。；ただ恢復を待つばかりの病人ははた目には気楽そうに見えるのであろう。；それで私は言葉に束縛されることなしに、気楽に作曲することができます。；そしてその日の光はもはや、前日の朝のように気楽に輝いてはいなかった。；クラスで一位を占めるより、ビリでいる方が気楽でいいと思っている。；ただし、気らくに、責任を持たずに考えておいて下さいというだけですよ。；こんな上下騒がしい時に、そんな気楽な事をよく思ひついたものですな。；そしてやつらはあんなに気楽に世の中を渡って、思いのままにやっている。；そんな事を気にしてゐると思ふと、君なんぞは気楽な人間と云ふものだね。；これだけは他人には絶対に言わぬと心を決めると、あとはかえって気楽である。；しかし今ならもっと気楽な気持ちで町に出られるのではないか。；でも、だれからも注意されてゐない気楽さつてものを、一度は味つてみたい。；一ブロックだけ走る間は、気楽とはいえなかったが、それでも無事だった。；読む事を知つてゐる人は手許に読物を置いてゐないのが一番気楽なものだ。；今日の政治の気楽なのを知って、わしは驚くとともにそら怖しくなった。；しかし、明日試験だというのに、自分はこんなキラクなことを書いている。</t>
        </is>
      </c>
      <c r="J2240">
        <f>HYPERLINK("https://www.weblio.jp/content/気楽", "词义详情")</f>
        <v/>
      </c>
      <c r="K2240">
        <f>HYPERLINK("https://yourei.jp/気楽", "查看例句")</f>
        <v/>
      </c>
    </row>
    <row r="2241">
      <c r="A2241" t="inlineStr">
        <is>
          <t>煌びやか</t>
        </is>
      </c>
      <c r="B2241" t="inlineStr">
        <is>
          <t>成功</t>
        </is>
      </c>
      <c r="D2241" t="inlineStr">
        <is>
          <t>立派；見事；派手；豪華；鮮やか</t>
        </is>
      </c>
      <c r="H2241" t="n">
        <v>29</v>
      </c>
      <c r="I2241" t="inlineStr">
        <is>
          <t>煌びやかで華やかな学園祭の舞台裏で少女の計画は順調に進展していた。；二人で煌めくような夜空と同じくらい煌びやかな夜の街並みを眺めている。；煌びやかな袈裟を着た僧侶がやってきて、祭壇の前でお経を唱えはじめた。；煌びやかに見える経営者の日常や現実をわかりやすく歌の世界で表現することを目標としている。；この白鷺の絵は非常に美しい絵であり、表装も煌びやかであった。；こんな一〇〇〇メートル以上の雪山の頂上に、煌びやかな街がひとつあるわけですからね。；服の柄や煌びやかな都市などをテクスチャを使って表現するなど、映像的にも斬新な試みが行われている。；昼間は煌びやかな電飾は楽しめないが、それでも妙には華やいだ気分になる。；「ジェットコースターのような煌びやかで大人な恋愛」をテーマに作られた楽曲となっている。；ホテルではディナーショーを開催し煌びやかなステージをみせている他、舞台でも歌声を披露する。；こんどは絢爛たる森のものの夢の内部という、煌びやかな獄に投じられていたのです。；陽の光を受けて流れるそれは、まるで絹のように艶やかで、銀細工のように煌びやかだった。；砂浜に伸びた浴衣の裾は、煌びやかな赤い尾を揺らめかせる熱帯魚のようだった。；大好きな姉を連れ戻すために舞琴が入学したのは、それまでの自分とは無縁だった煌びやかな世界。；婦人服・小物・アクセサリーなど煌びやかで妖艶な雰囲気のアイテムを発表している。；言葉のイメージから荘厳な教会や煌びやかな宮殿を思い浮かべていた上条だったが、実際にそこにあったのは、中世の要塞だった。；煌びやかな大部屋におき、華やかな勝負に興じよう身分なら、俺はこんな状況にないんや。；商店には煌びやかな飾りが施され、あちこちから聞こえるのはジングルベル。；ケリーは普段から煌びやかな服を着ていて、いつでもペットの猿を肩に乗せ、日本人のお供を従えていたこともあった。；人々はサンクトペテルブルクの宮廷は驚くほど煌びやかで、ツァーリの家族は親切な人ばかりだと噂している。；どこか舌っ足らずながらも、コーラス部にでも入ったほうがいいのではないかと思えるほどの声量であり、その表情は夜明け付近の金星のように煌びやかだった。；煌びやかなタワーマンションで繰り広げられる女たちの闇を描いたサスペンスドラマ。；煌びやかな貴族社会の影で、抑圧された民衆の不満やブルジョアジーの台頭による不穏な空気が流れはじめていた。；同作品では、煌びやかな女子野球チームで一人浮く根暗なチームメンバーをコミカルに演じた。；デカールの中には金属表現を再現するためのものもあり、関節などに貼るだけで煌びやかかつメカニックなメッキのような質感を表現可能にしている。；それは派手さであり、客の呼び込みであり、商品をいかに煌びやかに見せるかという工夫であった。；眼前にまっすぐ開けた谷の奥に、たくさんのかがり火と、煌びやかな武器防具の照り返しが見えた。；二人の衣裳はウェディングドレスを思わせる煌びやかな純白。；しばし煌びやかな夜景に見入ってから、ふと顔を真上に向けた。</t>
        </is>
      </c>
      <c r="J2241">
        <f>HYPERLINK("https://www.weblio.jp/content/煌びやか", "词义详情")</f>
        <v/>
      </c>
      <c r="K2241">
        <f>HYPERLINK("https://yourei.jp/煌びやか", "查看例句")</f>
        <v/>
      </c>
    </row>
    <row r="2242">
      <c r="A2242" t="inlineStr">
        <is>
          <t>煌く</t>
        </is>
      </c>
      <c r="B2242" t="inlineStr">
        <is>
          <t>成功</t>
        </is>
      </c>
      <c r="D2242" t="inlineStr">
        <is>
          <t>煌く旗(6%)；煌く黄金(2%)</t>
        </is>
      </c>
      <c r="E2242" t="inlineStr">
        <is>
          <t>光る；輝く；きらきら；スパーク；きらめく</t>
        </is>
      </c>
      <c r="H2242" t="n">
        <v>29</v>
      </c>
      <c r="I2242" t="inlineStr">
        <is>
          <t>東漢氏の兵士達の槍の穂先が陽光に煌くが、攻撃して来る気配ではない。；腹が一杯になった隊長は煌く星を眺めていたが、次第に瞼が重くなる。；誰にもなにも言わせない、それは煌くように素晴らしい日々だった。；満天に煌く星々の下を、花の香りに包まれて二人は寄り添って歩いた。；煌く何かがナイフだと気付いた瞬間、美智子は恐怖で体を硬直させた。；その煌く二つの眼光を浴びながら、ついに賽は投げられたと、彼は感じた。；ぼんやり見ている私の眼に、何か煌く物が見えた。；深淵の闇を思わせる深紅の髪は、弱々しい街灯の光の下ですら煌く黄金に。；朝日そのもののように煌く笑顔で、シャナが自分を見上げている。；この詩が「星の煌く旗」と名前を変えられ、アメリカ合衆国の国歌に採用された。；輝く獣と煌く獣の覚醒を促す神殿を、乗り手亡き後も守護し続けていた。；彼は夜、森の中で煌く星を見て感動し、木の枝に多くのロウソクを飾ることでその景色を再現しようとした。；シャハールと彼が率いる少数の騎士達は、煌く奔流となり丘陵を駆け下ってきたからである。；宇宙の色を映したような、煌く不思議な色の瞳。；クリスマスイブのイルミネーションはまるで光の洪水のように煌く。；肩の上の銀色をした髪が突然月光で煌く滝にように映った。；彼の視線を遮るのは銀色に煌く水の幕である。；吐く息はもうもうと白く、空を振り仰ぐ目に、煌く無数の星々が映る。；お小枝は夢の狭間で、記憶の底で幽かに煌く思い出の欠片をみつけるだろう。；その初期の作る処は、その煌く断面の羅列なのである。；怜悧に煌く緑潭色の瞳を悦楽に乱れさせ、妖しい紫菫色に変えさせてみたい。；あれも、チュデルキンの両眼のすぐ前に浮かんで煌く赤光もまた、大型の熱素因なのだ。；煌くほどに怜悧な緑潭色で、彼はマクシミリアン・ローランドを睨めつけた。；きらきら瓦斯燈の煌く下に 小さい娘が 哀れな声で 私の奇麗な花を買って頂戴な と 呼びながら立っている。；煌く星をぎっしり詰めた天の川が、 うねりながら、ゆっくりと流れている。；星達の煌く夜空の彼方にある「星の国」には、星の精という人々の願いを叶えることを仕事とする者がいた。；極彩色のブランドと煌く宝石を身に纏い、香子は片手を腰に、顎を突き上げる。；だから人は煌くのだ。；その煌くような闇にドップリ浸かりきって抜けられず、社会人としてまともに暮らしていけなくなった奴が何人もいるらしい。</t>
        </is>
      </c>
      <c r="J2242">
        <f>HYPERLINK("https://www.weblio.jp/content/煌く", "词义详情")</f>
        <v/>
      </c>
      <c r="K2242">
        <f>HYPERLINK("https://yourei.jp/煌く", "查看例句")</f>
        <v/>
      </c>
    </row>
    <row r="2243">
      <c r="A2243" t="inlineStr">
        <is>
          <t>切り</t>
        </is>
      </c>
      <c r="B2243" t="inlineStr">
        <is>
          <t>成功</t>
        </is>
      </c>
      <c r="C2243" t="inlineStr">
        <is>
          <t>読み方：きり
［名］
１区切り。切れ目。「—のよいところでやめる」「—をつける」
２（多く「きりがない」「きりのない」などの形で用いる）かぎり。はて。際限。「欲をいえば—がない」
３（限り）商品の先物取引で、受け渡しの期限。限月(げんげつ)。「先—(さきぎり)」
４芸能で、最後の部分。
㋐謡曲で、1曲の最後の部分。
㋑浄瑠璃・歌舞伎で、一段・一幕の最後の部分。「四の—」
㋒寄席(よせ)で、その日の最後の出し物。また、その演者。
㋓「切能(きりのう)」の略。
㋔「切狂言(きりきょうげん)」の略。
５碁で、相手の石の接続を切断すること。また、そのような手。
［接尾］助数詞。やや厚めに切ったものを数えるのに用いる。
「干し瓜三—ばかり食ひ切りて」〈宇治拾遺・七〉</t>
        </is>
      </c>
      <c r="D2243" t="inlineStr">
        <is>
          <t>切りだし(3%)；切りまし；切り拓い；切り揃え；切り欠き</t>
        </is>
      </c>
      <c r="E2243" t="inlineStr">
        <is>
          <t>切れ目；区切り；キリ</t>
        </is>
      </c>
      <c r="F2243" t="inlineStr">
        <is>
          <t>肉切り；逃げ切り；追い切り；厚切り；切りたい</t>
        </is>
      </c>
      <c r="G2243" t="inlineStr">
        <is>
          <t>切り出し；切り離さ；切り替える；切り離し；切り札</t>
        </is>
      </c>
      <c r="H2243" t="n">
        <v>29</v>
      </c>
      <c r="I2243" t="inlineStr">
        <is>
          <t>これは本が書かれた江戸時代に流行していた紋切り遊びの手法である。；そのため、根が伸びた後で幹を切り二年後に期待するという方法がある。；切り顎は、声がこもらずに聴こえやすくするための構造とも考えられる。；切り妻屋根が特徴で、内部には待合所と業務用の倉庫が設けられている。；生徒は目に涙を浮かべて助けを求めたが、ロムニーは髪を切り続けたという。；内壁の濡れも計算に入っているので、振って液切りをしてはならない。；しばらくゆっくりして次のスタートを切りたいと思います。；原生代の始まりは切りの良い数字である25億年前が広く用いられている。；これは主に森林を切り拓いてのシャカオの栽培が広がったためである。；皮膚だけでなく、かなり深く切り、血の量も相当で、すぐ病院に行っている。；この他、北側のホームには工事用車両のための切り欠き線がある。；それに耐え切り不老不死を得ることができる者は、数百年に一人。；そのため肉の切り方や魚の切り方とは分けない。；部下たちは疲れ切り、休ませようと近くの島に寄港することにした。；これ以外にも下記のような様々な造りや切り方が存在する。；定紋は初代から三代目までが三升の中に男、以後は隅切り角に一葉紅葉。；画面を見ながらカミソリでテープ切断する「手切り編集」が可能だった。；トレードマークであった長髪を切り、短髪になったのもこの頃からである。；毛切りには平切りのほか山切りなどがある。；レースではダイイチルビーをクビ差抑え切り、初の重賞制覇を果たした。；季節の表現は切り方や色でも表現される。；そこで健磐龍命は鬼八の体をばらばらに切り、それぞれを離れた場所に埋めた。；日本では写真の花切りがマンゴーの切り方として定着している。；近年では、神農椰子や桔梗蘭などの切り葉類の農業生産が増えている。；アルル在住時にいわゆる「耳切り事件」の直後に描かれたものだと言われる。；水上は反骨心から切りにいかず、以降は長髪がトレードマークとなった。；そのため、メジロパーマーに逃げ切りを許すことになったとされた。；連結器の取り付け高さを若干高くしたことから正面下部に切り欠きができている。；この件もありアニマテイルズは一度し切り直すことが決められた。</t>
        </is>
      </c>
      <c r="J2243">
        <f>HYPERLINK("https://www.weblio.jp/content/切り", "词义详情")</f>
        <v/>
      </c>
      <c r="K2243">
        <f>HYPERLINK("https://yourei.jp/切り", "查看例句")</f>
        <v/>
      </c>
    </row>
    <row r="2244">
      <c r="A2244" t="inlineStr">
        <is>
          <t>霧</t>
        </is>
      </c>
      <c r="B2244" t="inlineStr">
        <is>
          <t>成功</t>
        </is>
      </c>
      <c r="C2244" t="inlineStr">
        <is>
          <t>読み方：きり
《動詞「き（霧）る」の連用形から》
１地表や海面付近で大気中の水蒸気が凝結し、無数の微小な水滴となって浮遊する現象。古くは四季を通じていったが、平安時代以降、秋のものをさし、春に立つものを霞(かすみ)とよび分けた。気象観測では、視程1キロ未満のものをいい、これ以上のものを靄(もや)とよぶ。《季秋》「—しばし旧里に似たるけしき有り／几董」
２液体を細かい水滴にして空中に飛ばしたもの。「—を吹いてアイロンをかける」
[補説]書名別項。→霧
[下接語]雲霧・黒い霧（ぎり）秋霧・朝霧・薄霧・川霧・狭(さ)霧・初秋(はつあき)霧・山霧・夕霧・夜霧</t>
        </is>
      </c>
      <c r="D2244" t="inlineStr">
        <is>
          <t>霧状；霧粒；霧深い；霧積；霧野</t>
        </is>
      </c>
      <c r="E2244" t="inlineStr">
        <is>
          <t>雲；ガス；霞；靄；かすみ</t>
        </is>
      </c>
      <c r="F2244" t="inlineStr">
        <is>
          <t>白い霧；深い霧；海霧；冷たい霧；薄い霧</t>
        </is>
      </c>
      <c r="G2244" t="inlineStr">
        <is>
          <t>霧雨；霧散；霧の中で；霧香；霧笛</t>
        </is>
      </c>
      <c r="H2244" t="n">
        <v>29</v>
      </c>
      <c r="I2244" t="inlineStr">
        <is>
          <t>冷たいカリフォルニア海流のために海岸近くで霧が発生することが多い。；直後からまた深い霧に包まれ空襲圏外まで無事に離脱することができた。；霧に覆われている時は花弁を閉じ、太陽が顔を出すと急いで花弁を開く。；霧が晴れると、くらいど丸が煙と蒸気に包まれて沈んでいくのが見えた。；だがその日だけは不思議な霧がかかり、いつもと雰囲気が違っていた。；エーデル・ダム周辺は深い霧に覆われていたため、接近は困難であった。；霧のあるステージでは、庭の半分ほどが霧に覆われ、ゾンビが見えない。；さらに彼らは目や鼻を焼くような刺激臭のある霧が漂うことに気づいた。；雨や霧では見通しが悪くなり、光が届かなくなるため避けるべきである。；霧がかかっており、兵士達は一人のモードック族も見つけられなかった。；霧に十分に光が当たっているときは霧粒をはっきりと確認することができる。；なお、山の地面に接する霧または雲のことをガスと呼ぶことがある。；貨物船が霧の中に入っていく前に魚雷を3本発射したが、すべて外れた。；政府と戦うレジスタンスで霧原兄弟の両親の工場を拠点にしている。；予測画像圧縮法が改良され、霧やモヤの中での残像現象を回避している。；ヨーロッパの町並みと、そう霧のかかった田園地帯とかが浮かんでくる。；霧に覆われることが多く、また常に吹いている風の影響で木は生えていない。；しかしながらロシア艦隊を助けた霧に対しては細心の警戒が必要であった。；避難可能な最後の状況である翌日の5月3日、以前のように霧の出ていた。；たびたび霧が発生し、その際には視界が悪く、走行には注意が必要になる。；またチランジア属などには霧・露から水分を吸収しているものがある。；そう主張するシボを霧亥は無言で担ぎ上げ、自動工場に向けて歩き出す。；春から夏にかけて海霧が発生しやすく、秋から冬にかけては晴天が続く。；夏は、夕方と朝に太平洋からの霧と低い雲が動いてくることが多い。；この時期はしばしば雨が降り、濃い地上霧に覆われることが多い。；ガセだと思って帰ろうとするが霧が濃すぎてとても運転できる状態にない。；濃い霧と無線機の故障のため、ロシア艦隊は連携が取れなかったのである。；霧は通常白色だが工場地帯では煙と塵埃のために灰色や黄色になることがある。；霧が立ち込める溶岩荒野を歩いている私を、後ろから誰かがついてくる。</t>
        </is>
      </c>
      <c r="J2244">
        <f>HYPERLINK("https://www.weblio.jp/content/霧", "词义详情")</f>
        <v/>
      </c>
      <c r="K2244">
        <f>HYPERLINK("https://yourei.jp/霧", "查看例句")</f>
        <v/>
      </c>
    </row>
    <row r="2245">
      <c r="A2245" t="inlineStr">
        <is>
          <t>義理</t>
        </is>
      </c>
      <c r="B2245" t="inlineStr">
        <is>
          <t>成功</t>
        </is>
      </c>
      <c r="C2245" t="inlineStr">
        <is>
          <t>読み方：ぎり
１物事の正しい筋道。また、人として守るべき正しい道。道理。すじ。「—を通す」「—にはずれた行為」
２社会生活を営む上で、立場上、また道義として、他人に対して務めたり報いたりしなければならないこと。道義。「—が悪い」「君に礼を言われる—はない」「—をわきまえる」
３つきあい上しかたなしにする行為。「—で参加する」
４血族でない者が結ぶ血族と同じ関係。血のつながらない親族関係。「—の母」
５わけ。意味。
「新訳の経は猶、文詞甚だ美なりと言へども、—淡く薄し」〈今昔・七・一二〉</t>
        </is>
      </c>
      <c r="D2245" t="inlineStr">
        <is>
          <t>義理じゃない；義理天上；義理固い；義理の息子にあたる；義理の甥にあたる</t>
        </is>
      </c>
      <c r="E2245" t="inlineStr">
        <is>
          <t>責任；任務；義務；任；債務</t>
        </is>
      </c>
      <c r="F2245" t="inlineStr">
        <is>
          <t>不義理；そんな義理；義理天上日出；義理回状；義理の曾孫</t>
        </is>
      </c>
      <c r="G2245" t="inlineStr">
        <is>
          <t>義理の妹；義理堅い；義理立て；義理堅く；義理チョコ</t>
        </is>
      </c>
      <c r="H2245" t="n">
        <v>29</v>
      </c>
      <c r="I2245" t="inlineStr">
        <is>
          <t>それらの人々とともに、義理の家族との生活は彼の写真の主題となった。；既に慨世の養子として育てられていた守矢と雪は義理の兄・姉に当たる。；義理の姉妹となった2人は同じ屋根の下での生活をスタートさせる。；このため義理の孫にあたる広利を養子に迎えて家督5千石を相続させた。；その義理の兄はジョゼフに学者を紹介してさらに教育を受けさせた。；趣味は映画や絵画鑑賞で、義理半分だが絵を購入することもあった。；ごく普通の学生である主人公は、義理の姉である津村曜子と2人暮らし。；クロード・モネの義理の娘で、モネの絵に何度も描かれたと結婚した。；この結果隆信と直茂は従兄弟であると同時に義理の兄弟の関係にもなった。；明喬死去時は明次が幼少のため、弟の義理が養子となって跡を継いだ。；しかし、彼は義理の娘の演技への興味を後押しすることはなかった。；途中で義理の息子を仲間に入れ、幾つかの町に立ち寄っては資金や武器を集めた。；祥邨から号を変えたのは、渡辺庄三郎への義理を重んじたからとされる。；時には、彼女の城は義理の息子に迫害された人々の避難所にもなった。；夜羽は義理の両親を事故でなくし、妹と幼い弟たちを育てている高校2年生である。；少女は家に帰ったが、いじわるな義理の姉妹に迎え入れられただけであった。；義理の弟のプリーストリーの研究のために多くの支援を行った。；その後は圭二の義理の息子が経営するスマイルファームで余生を送った。；義理の娘も教区民のためには辞任した方が良いとの立場を取り悲しみは増し加わった。；天保期にはすでに諸方面に不義理を生じさせ、借入が困難な状態に陥っていた。；その後、のちに天津市長になった潘毓桂とも義理の娘として縁を結んだ。；その後、息子と義理の息子がその事業の共同経営者になった。；こうして2人と義理の兄妹になるという奇妙な生活が始まるのだった。；しかしある時、パイドラーは義理の息子ヒッポリュトスを愛してしまう。；イスラエル第2代首相モシェ・シャレットとは義理の兄弟の関係になる。；これらは老夫婦と結婚した息子、義理の娘、孫、未婚の子供達から成る。；それどころか、過去には京本が父、松重がその義理の息子を演じている。；そしてタイトルの通り、義理とは言え姉弟の間でキスを繰り返している次第。；頼員は妻と義理の父に説得されて、後醍醐天皇を裏切ることに決めた。</t>
        </is>
      </c>
      <c r="J2245">
        <f>HYPERLINK("https://www.weblio.jp/content/義理", "词义详情")</f>
        <v/>
      </c>
      <c r="K2245">
        <f>HYPERLINK("https://yourei.jp/義理", "查看例句")</f>
        <v/>
      </c>
    </row>
    <row r="2246">
      <c r="A2246" t="inlineStr">
        <is>
          <t>切り上げる</t>
        </is>
      </c>
      <c r="B2246" t="inlineStr">
        <is>
          <t>成功</t>
        </is>
      </c>
      <c r="C2246" t="inlineStr">
        <is>
          <t>読み方：きりあげる
［動ガ下一］［文］きりあ・ぐ［ガ下二］
１区切りをつけて終わりにする。「仕事を早めに—・げる」
２計算で、求める位未満の端数を1として一けた上の位の数に加える。「小数点以下を—・げる」⇔切り捨てる。
３通貨の対外価値を高くする。「ドルを—・げる」⇔切り下げる。</t>
        </is>
      </c>
      <c r="D2246" t="inlineStr">
        <is>
          <t>完成；停止；中止；終わる；解消</t>
        </is>
      </c>
      <c r="H2246" t="n">
        <v>29</v>
      </c>
      <c r="I2246" t="inlineStr">
        <is>
          <t>我々は切り上げることにして、待たせてあったタクシーへと駆け込んだ。；天文台のほうの仕事は昼のうちには切り上げると彼女は話していた。；それでその問題を切り上げるかと思っていると、小林はすぐ元へ帰って来た。；「すっかり酔っぱらっちゃいましたね」おれは切り上げる口調で言った。；スコット隊は物資に不足してきたので作戦を切り上げることにした。；セッティングが確認できたので、走行を途中で切り上げる余裕もみせた。；彼のどこにも得意らしい様子を認めなかった私は、無事にその場を切り上げる事ができました。；これを目にした闇子は幼少期の自分たちがしたことを思い出し、調査を切り上げる。；神官はしどろもどろになり、祝詞は途中で切り上げる気になったらしい。；代表のくだらない話を取るのを、もう少し早く切り上げるのだった。；私は早くこの場面を切り上げることしか、考えていなかった。；こういう場合の慣例通り、女子は男子よりも早めに授業を切り上げる。；このため、追加得点を狙うか切り上げるかの判断がゲームのポイントになっている。；鴻から電話を掛けたのだとしても、電話を切り上げるのは忠利のほうなのだ。；松岡は世間話などで時間を取らず、話を早く切り上げることにした。；だから僕は、話を早く切り上げるために、少し余計な口を利く必要を感じた。；何故いつもそうやって話を早く切り上げるんだよ。；そんな彼が、今の平坦で戦いもない生活を切り上げろ、と言わない。；主任さんの食事が終わるのに合わせて、切り上げることにした。；いい加減にして切り上げると、足はもう厩橋の方に向いて居ります。；彼らはほどほどにして切り上げることにした。；これでは半戦で切り上げるわけにはいかない。；今夜は話はこれで切り上げるとしようかな?；米艦隊は西へ向かったのち、戦闘を切り上げるべく南へ転針する。；「もう遅いから」とか適当な理由をつけて、会話を切り上げるつもりだった。；あれを聞いてここは切り上げることにしよう。；だが、ある特殊な事情で、フェドー島での滞在を自分から切り上げることになった。；話を簡単に切り上げるために、私は最後の一例を引用する。；しかしそれで、火憐は話を切り上げることを決意したらしい。</t>
        </is>
      </c>
      <c r="J2246">
        <f>HYPERLINK("https://www.weblio.jp/content/切り上げる", "词义详情")</f>
        <v/>
      </c>
      <c r="K2246">
        <f>HYPERLINK("https://yourei.jp/切り上げる", "查看例句")</f>
        <v/>
      </c>
    </row>
    <row r="2247">
      <c r="A2247" t="inlineStr">
        <is>
          <t>切り替える</t>
        </is>
      </c>
      <c r="B2247" t="inlineStr">
        <is>
          <t>成功</t>
        </is>
      </c>
      <c r="C2247" t="inlineStr">
        <is>
          <t>読み方：きりかえる
［動ア下一］［文］きりか・ふ［ハ下二］今までのものをやめて別のものにする。「考え方を—・える」「テレビのチャンネルを—・える」「新制度に—・える」</t>
        </is>
      </c>
      <c r="D2247" t="inlineStr">
        <is>
          <t>切り替えるべき</t>
        </is>
      </c>
      <c r="E2247" t="inlineStr">
        <is>
          <t>変更；変化；交換；改造；移行</t>
        </is>
      </c>
      <c r="F2247" t="inlineStr">
        <is>
          <t>随時切り替える；素早く切り替える</t>
        </is>
      </c>
      <c r="H2247" t="n">
        <v>29</v>
      </c>
      <c r="I2247" t="inlineStr">
        <is>
          <t>本作では職業を切り替えることで、攻撃範囲のみならず属性も変化する。；さらに武器はステージ中で自由に切り替えることができるようになっている。；また巨大時でも任意に姿を切り替えることで臨機応変に攻撃や回避を行う。；中学時代はクラリネットを演奏していたが後にまたピアノに切り替える。；これは、オンとオフを切り替えるための儀式のようなものであるという。；オプションで操作タイプを切り替えることで操作方法の変更ができる。；このため反対していた村々は負担軽減に切り替えることを余儀なくされた。；また照射中にモードスイッチをオフに切り替えることでもオフにできる。；天候の変化が起こったとき、レイヤーを簡単に切り替えることができる。；ホーム画面は3ページで構成され、フリック操作でページを切り替える。；眼をサーチモードに切り替えると数キロ先の物体もしっかり視認できる。；状況に応じて、様々な機能を持つバイザーに切り替えることができる。；その後流氷が流れていることを考慮したチーフは舵を手動に切り替える。；なお、再発した場合は再手術は行なわず、ヨード治療などに切り替える。；また二人が同じ画面にいる場合、操作をもう一人の主人公に切り替えることが出来る。；進行方向は車体に取り付けられたスイッチを手動で切り替える方式だった。；従来品同様に、回転させることでそれぞれに切り替えることができる。；信号機は時刻や交通状況に応じて自動と手動を切り替えるようプログラムされている。；主人公をスイッチすることで主人公を切り替える事ができる。；CNGタンクが空になれば、ガソリン燃料での走行に自動で切り替える。；人斬り状態への変貌が再現されており、任意に切り替えることが可能。；一般的なオシロスコープの動作と蓄積動作を切り替えることができる。；これはテーマエンジンを切り替えることで実現されていて、多くのテーマが提供されている。；デスクトップ版とモバイル版とページ表示を切り替える設定が可能である。；なお、従来通りに平仮名のみの表記に切り替えることも可能である。；またチップと人の姿とを任意に切り替えることができるらしい。；操作は自由に切り替えることができ、各ミッションを進めていくことができる。；複数のエリアに分割し、放送区域を時間差で切り替える手法もある。；力攻めをするが、犠牲が大きいとの判断から兵糧攻めに切り替える。</t>
        </is>
      </c>
      <c r="J2247">
        <f>HYPERLINK("https://www.weblio.jp/content/切り替える", "词义详情")</f>
        <v/>
      </c>
      <c r="K2247">
        <f>HYPERLINK("https://yourei.jp/切り替える", "查看例句")</f>
        <v/>
      </c>
    </row>
    <row r="2248">
      <c r="A2248" t="inlineStr">
        <is>
          <t>義理堅い</t>
        </is>
      </c>
      <c r="B2248" t="inlineStr">
        <is>
          <t>成功</t>
        </is>
      </c>
      <c r="C2248" t="inlineStr">
        <is>
          <t>読み方：ぎりがたい
［形］［文］ぎりがた・し［ク］対人関係の義理を大切にして、おろそかにしない。「—・い昔気質の人」</t>
        </is>
      </c>
      <c r="D2248" t="inlineStr">
        <is>
          <t>義理堅い性格(10%)；義理堅いところ(5%)；義理堅い人物(4%)；義理堅い一面(3%)</t>
        </is>
      </c>
      <c r="E2248" t="inlineStr">
        <is>
          <t>義理堅く</t>
        </is>
      </c>
      <c r="H2248" t="n">
        <v>29</v>
      </c>
      <c r="I2248" t="inlineStr">
        <is>
          <t>勝気でも確り者でも、武士の義理堅さには、さすがに打たれた様子です。；こんなに義理堅い男がまだ存在したのかと思わせる人物だった。；勝氣でも確り者でも、武士の義理堅さには、さすがに打たれた樣子です。；その辺は細かいというか義理堅いというか、こまめなのもこのふたりである。；その日のうちに、義理堅く檜山が寄越した使いから顛末と伝言を聞いた。；ミッドグラット人は自分たちの気質を義理堅いと評価しているのだ。；また、権威や管領職への敬意は、謙信の義理堅さを表しているとも言える。；見かけはああですが、妙に義理堅いところがあるんですよ。；義理堅いといったら、あのぐらい律気な男もいませんからね。；それでも義理堅いところがある男ですから、二度、三度と逢瀬を重ねます。；彼女自身もまた、勿論、その義理堅いことを自信して疑わなかったのである。；そのあたりを理解している義理堅い冒険者が返礼の品を持ってこの部屋に訪れることもしばしばあった。；その義理堅さはハリウッドでも美談として評判となり、日本にも伝えられた。；友人のような義理堅さ、家族のような温かさがあったため、その長い時間を共にすることができました。；ミスター・エルトンは性格もいいし、明るくて、義理堅くて、上品だわ。；中国の人というのは、そういうことには、たいへん義理堅いところがあるでしょう。；また家臣の忠誠度はなく、従来のシリーズでは義理堅いとされている武将であっても裏切ることがある。；けれども義理堅い点において、むしろ武士に似たところがありはしないかと疑われます。；その陽子とか云う人は本当に、天然記念物に指定される程に義理堅い人なのかもしれない。；それに、わたくしこれでも義理堅い昭和生まれの人間でございます。；あの話もしたいし、この話もしたいんだけど、義理堅い原田としては沈黙せざるを得ないのよね。；暴力的な反面、非常に義理堅い一面もあり、他人に借りを作ることをよしとしない性格でもある。；その社長が宗家の趣味がゲームと知って義理堅い事に、自社で発売される全てのゲームを只で送ってきていたのだ。；だがそう思いつつも父だけの善良さ、柔和さ、義理堅さにもなかなかなれないのである。；京都は今もって義理堅いのか、この借金取りも月末すぎるとピタリと来なくなる。；しかし父子の、義理堅い人物像は今も文献によって伝わっている。；今回も義理堅く、多忙な時間を割いてやってきているのだろう。；過去に自身が過ごしていた孤児院に対して匿名で寄付を続けている義理堅い一面を持つ。；美晴らを使ってあれほど冷酷な仕打ちをしておきながら、一方で妙に義理堅いところがあったりするのだ。</t>
        </is>
      </c>
      <c r="J2248">
        <f>HYPERLINK("https://www.weblio.jp/content/義理堅い", "词义详情")</f>
        <v/>
      </c>
      <c r="K2248">
        <f>HYPERLINK("https://yourei.jp/義理堅い", "查看例句")</f>
        <v/>
      </c>
    </row>
    <row r="2249">
      <c r="A2249" t="inlineStr">
        <is>
          <t>ぎりぎり</t>
        </is>
      </c>
      <c r="B2249" t="inlineStr">
        <is>
          <t>成功</t>
        </is>
      </c>
      <c r="C2249" t="inlineStr">
        <is>
          <t>頭頂にあるつむじ。転じて、頭の頂上。
「爪先(つまさき)より—まで打ち込み」〈浄・宵庚申〉</t>
        </is>
      </c>
      <c r="D2249" t="inlineStr">
        <is>
          <t>ぎりぎりいっぱい；ぎりぎり間に合う；ぎりぎり通れる；ぎりぎり届く；ぎりぎり処置を受け</t>
        </is>
      </c>
      <c r="E2249" t="inlineStr">
        <is>
          <t>直前；ぴったり；寸前；密接；間近</t>
        </is>
      </c>
      <c r="F2249" t="inlineStr">
        <is>
          <t>限界ぎりぎり；最後のぎりぎり；期限ぎりぎり；ラインぎりぎり；縁ぎりぎり</t>
        </is>
      </c>
      <c r="G2249" t="inlineStr">
        <is>
          <t>ぎりぎりアイルー村</t>
        </is>
      </c>
      <c r="H2249" t="n">
        <v>29</v>
      </c>
      <c r="I2249" t="inlineStr">
        <is>
          <t>彼はそれをぎりぎりの決心といった調子でゆっくりと口にしたのだった。；古いだけであまり良い建物とはいえず、道路ぎりぎりに建てられている。；ぎりぎりでエネルギーが残ってくれるのではないかと期待もしている。；しかし、ぎりぎりと晴明の左手を噛んでいる犬の首は下に落ちなかった。；そのぎりぎりのところまでいって、とうとうこの作家は生きられなかった。；そのことをお知らせするのを、ぎりぎりの時まで延ばしておいたのです。；己がこれならやれると思う最後のぎりぎりの時、それがその時なんだ。；さらにまずいことには、崖っぷちもぎりぎりの所を調べ始めたのである。；だれもが、耐久力のぎりぎりの場に身を置いて、物をいっているのである。；時間ぎりぎりに滑りこんだこともあるが、無言の抗議の意味もあった。；一匹がまっすぐ顔に向かって飛んできたが、ぎりぎりのところで向きを変えた。；新しいマンションは、南側に広く庭を取るせいでぎりぎり北側へ寄せてある。；さっきから打ち消しこらえていたものが、ぎりぎりのところに来ている。；そう思わせておいて、ぎりぎりのところで正しい選択をすればいい。；体を張った反則ぎりぎりへの挑戦は、勝利に向けた危険への挑戦でもあった。；私たち、今は本当にぎりぎりの、裸の生活を強いられているでしょう。；手前のところではぎりぎりのところ一万五千フランしか出せませんな。；それらを捨てて身軽になりたい気持に、かれはぎりぎりまで抵抗した。；ぎりぎりと大気を軋ませるようにして伝わってくるのは、憎しみなのだ。；タイリーは手とヘルメットを使い地面ぎりぎりでボールをキャッチした。；その直前と直後の状況に応じて、ぎりぎりの瞬間をとらえたいと思っていた。；警部補の心には親戚がぎりぎりに現れないかという一縷の望みがあった。；澄江は実はぎりぎりのところで生きていたのではなかったろうか。；やっと立ち上がったときにはもう時間は本当にぎりぎりだった。；ぼく自身は正気の限界ぎりぎりまで神経が立っていたんですから。；ぎりぎりで、命をながらえることができたのを、トロガイは感じていた。；貴族社会の序列では最下段の縁のぎりぎり端っこのほうにいるようなもの。；だが家族の者のはたらく能力は、もうぎりぎりのところまで達しているのだ。；それは道徳の限界ぎりぎりにまで迫ったほど、すごく精巧な人形だった。</t>
        </is>
      </c>
      <c r="J2249">
        <f>HYPERLINK("https://www.weblio.jp/content/ぎりぎり", "词义详情")</f>
        <v/>
      </c>
      <c r="K2249">
        <f>HYPERLINK("https://yourei.jp/ぎりぎり", "查看例句")</f>
        <v/>
      </c>
    </row>
    <row r="2250">
      <c r="A2250" t="inlineStr">
        <is>
          <t>規律</t>
        </is>
      </c>
      <c r="B2250" t="inlineStr">
        <is>
          <t>成功</t>
        </is>
      </c>
      <c r="C2250" t="inlineStr">
        <is>
          <t>読み方：きりつ
１人の行為の基準として定められたもの。おきて。「—を守る」
２一定の秩序。「—正しい生活」
[補説] 「規律」は集団や機構の秩序を維持する決まり、「紀律」は風紀に関する取り締まりに用いられることが多い。</t>
        </is>
      </c>
      <c r="D2250" t="inlineStr">
        <is>
          <t>規律違反(3%)；規律正しい(3%)；規律正しく；規律委員会；規律維持</t>
        </is>
      </c>
      <c r="E2250" t="inlineStr">
        <is>
          <t>目；法；管理；決め；命</t>
        </is>
      </c>
      <c r="F2250" t="inlineStr">
        <is>
          <t>厳しい規律；不規律；無規律；自己規律；党規律</t>
        </is>
      </c>
      <c r="H2250" t="n">
        <v>29</v>
      </c>
      <c r="I2250" t="inlineStr">
        <is>
          <t>船内は厳しい規律と潜水艦の攻撃への不安から異様な雰囲気に包まれた。；そのため捜査官を規律するための原則がいくつも定められている。；すると生徒たちは大人しくなり、規律をよく守るようになったという。；これは非常に厳しい訓練と規律、そして完全に専門的な統率力を必要とする。；会社側はこの勝利をもとにさらに積極的に職場規律の確立と合理化を進めた。；一方で、イギリスとの戦争遂行には近代的な軍隊の規律と組織を必要としていた。；しかし、そのために軍の規律はとれず、率いるサルタ州軍の支援も失った。；これらが全て、軍隊の秩序、規律および生活の全ての側面に影響した。；重大な規律違反の疑いで共産党中央規律検査委員会の調査を受けている。；この学校では伝統的に受け継がれる文化と規律正しい生活を送る生徒がいる。；規律は弛緩し、部隊への給養も問題となっていたためBIAは解散された。；彼の演説の才能は系統的な自己規律と習慣的な訓練を必要とした。；規律違反の処分は、事実に基づいて慎重におこなわなくてはならない。；その規律と互助は、彼らが80年代に至るまで権力を維持することを助けた。；正官があまりに多いと不必要な規律に拘束されて労多くして功がない。；大陸軍に軍事演習の基本や規律を教え、戦いを勝利に導いたとされている。；その内容は、コルヴァイが様々な規律の団体と関係を持っていたことを示している。；なお、語幹については、他の用言とは異なり、第二章で規律されている。；独ソ戦時、督戦隊の組織と軍内の規律強化のために前線に派遣された。；これは「命令は命令」という軍人としての規律に従ったためであるという。；服装は自由化されているが、ズボンやスカートの丈などに規律がある。；解任の理由は規律を守らない若手を指揮し切れなかったのが最大の理由だった。；オデッサに向かうよう命じられたが、妻との同行を主張して規律委員会にかけられた。；トゥーレはフランス側を撤退させたが、同軍隊が指揮する規律と火力に驚いた。；一方で規律を守るため厳しい処置を行ったという伝承も存在した。；それから緩衝器の品質調査は定期的な整備管理の範囲で規律された。；父は子供たちに規律と時間を厳守することの重要性を教え込んだ。；多くの場合、これは重要な党員を政府の規律に組み入れるためのものでもある。；脱走者もほとんど出ず、部隊は絶えず集団で移動を続け、規律も維持された。</t>
        </is>
      </c>
      <c r="J2250">
        <f>HYPERLINK("https://www.weblio.jp/content/規律", "词义详情")</f>
        <v/>
      </c>
      <c r="K2250">
        <f>HYPERLINK("https://yourei.jp/規律", "查看例句")</f>
        <v/>
      </c>
    </row>
    <row r="2251">
      <c r="A2251" t="inlineStr">
        <is>
          <t>切り抜ける</t>
        </is>
      </c>
      <c r="B2251" t="inlineStr">
        <is>
          <t>成功</t>
        </is>
      </c>
      <c r="C2251" t="inlineStr">
        <is>
          <t>読み方：きりぬける
［動カ下一］［文］きりぬ・く［カ下二］
１敵の囲みなどを切り破って逃れる。「敵陣を—・ける」
２困難な状況や危険な状態からやっとのことで抜け出る。「ピンチを—・ける」</t>
        </is>
      </c>
      <c r="D2251" t="inlineStr">
        <is>
          <t>凌ぐ；生き延びる；乗り切る；やり過ごす；踏みとどまる</t>
        </is>
      </c>
      <c r="F2251" t="inlineStr">
        <is>
          <t>うまく切り抜ける；なんとか切り抜ける</t>
        </is>
      </c>
      <c r="H2251" t="n">
        <v>29</v>
      </c>
      <c r="I2251" t="inlineStr">
        <is>
          <t>ここでは、戦争を切り抜けた数棟の建物の他は近代的な目的建築が多い。；我々はこの車屋の包囲を切り抜けてから、やっと馬車の上の客になった。；私はどうしてこのおそろしい立場から切り抜けたものでございましょう。；熱病だのなんだのという病気を切り抜けさせるのは容易でないんでなあ。；厳しい戦いになるだろうが、諸君の力なら切り抜けられると信じている。；自分はその紙一重の境を切り抜けてみせる、と彼は考えていただろうか。；この事故を切り抜けても、そんな経済状態では意味がないですからね。；われわれがみごとに試練を切り抜けたことにも気づかないみたいである。；うまくいけば、この絶望の難関を切り抜けることができるかもしれない。；私は板ばさみになっているわけですが、きっとまた切り抜けるでしょう。；いま脳裏にあるものはこの危機をどう切り抜けるかその一つしかなかった。；たびたび逮捕されることもあったが、その場を切り抜け釈放されている。；この事件を予言した本に沿って行動、天使を切り抜けることに成功する。；すべてを切り抜けてよい結果に達する道をはたして見つけられるだろうか。；これを無事に切り抜けたら、おれの髪は真っ白になっているのではないか。；今切り抜けて来た波瀾の結果はすでに彼女の気分に働らきかけていた。；どうやってこの事態を切り抜けたらいいのか、ぼくには見当もつかなかった。；藁にもすがる気持ちで何かこの場を切り抜ける方法はないかと探した。；ほかの人間が切り抜けられぬ場合でも私なら切り抜けられるでしょう。；みんなで、どうやって切り抜けたんだろうって噂してたんですけどね。；彼の命を盾にできれば、あるいはこの場を切り抜けられるかもしれない。；これまで俺がどんな事態に遭遇し、どうやって切り抜けてきたのかを。；無ければ無いで、またどんなにかして切り抜けてやって行けたのだもの。；危険な沼沢地を切り抜けて山に到達すると、そこには洞窟群があった。；だから難局を切り抜けるには、自分たちの能力に頼るより手がないのだ。；あんたがニューヨークの危機を切り抜けてこられたのも、多分そのおかげさ。；これ以上はご迷惑をかけずになんとか自分の力で切り抜けるつもりですから。；俺たちは、超常的な力と自分たちの力を合わせ、難局を切り抜けたのだ。；足の遅い馬車で、この場を切り抜けるのは困難であろうと判断したのである。</t>
        </is>
      </c>
      <c r="J2251">
        <f>HYPERLINK("https://www.weblio.jp/content/切り抜ける", "词义详情")</f>
        <v/>
      </c>
      <c r="K2251">
        <f>HYPERLINK("https://yourei.jp/切り抜ける", "查看例句")</f>
        <v/>
      </c>
    </row>
    <row r="2252">
      <c r="A2252" t="inlineStr">
        <is>
          <t>切り開く</t>
        </is>
      </c>
      <c r="B2252" t="inlineStr">
        <is>
          <t>成功</t>
        </is>
      </c>
      <c r="C2252" t="inlineStr">
        <is>
          <t>読み方：きりひらく
［動カ五（四）］
１切って中を開く。「封を—・く」
２（「切り拓く」とも書く）山を崩したり荒れ地を開墾したりして、道路・宅地・田畑などにする。「丘を—・いて宅地にする」
３敵の囲みを破って、進路をつくる。「血路を—・く」
４困難や障害を乗り越えて進路を開く。「運命を—・く」「新境地を—・く」</t>
        </is>
      </c>
      <c r="D2252" t="inlineStr">
        <is>
          <t>切り開くべく(3%)；切り開くべき</t>
        </is>
      </c>
      <c r="E2252" t="inlineStr">
        <is>
          <t>開削；開鑿；切り拓く；切りひらく；切開く</t>
        </is>
      </c>
      <c r="H2252" t="n">
        <v>29</v>
      </c>
      <c r="I2252" t="inlineStr">
        <is>
          <t>彼は書物からの学問はないままこの世の中で自分の道を切り開いてきた。；わたくしも同行の人々と馬に乗り、岩を切り開いた山道を登って行った。；自分が物理学者になろうとするのは、学問の先端を切り開くためである。；道の両側は切り開かれて、壁の色からして古びた民家が数軒並んでいる。；騎士はいつまでもそうやって道を切り開いて行かなくてはなりませんでした。；道路から細い坂道を上ると、山を切り開いた場所に二軒の家がみられた。；ラスチニャックもまたこの男に頼って運を切り開いたことを認めている。；この運動は1975年1月17日法成立への道を切り開くことになった。；その内側にミンテップ王の宮殿のさまざまな部屋が切り開かれているのだ。；ね、僕たちは、自分で自分の運命を切り開いて行かなきやならないんだぜ。；同時に未開拓地を自ら切り開いた者にはその土地が与えられるようになった。；私はそれぞれの人がジャングルの中で自分の道を切り開くことを望んでいる。；お前は、誰のことも考へないで、一人で、自分の運命を切り開いて行け。；しかしそんな学生もやがては己の手で未来を切り開く必要がある。；アメリカの大自然を日本画の技法で描き、新しい美の世界を切り開いた。；巨大な動物は腹から喉まで切り開かれて、力を失った塊のように地面に倒れた。；文学や戯曲の分野で、新しい表現方法を切り開いたことがその理由だった。；自分で道を切り開いてゆく努力は他のどんな作家とも変わりはない、ともいう。；彼はなんとかそこで自分の道を切り開いてゆけるものと思っていた。；こいつを利用して、まだ自由への道を切り開くことができるのではあるまいか。；四人のうち、三人までは、頭の上が、ぱっくりと切り開かれているのだ。；それにもかかわらず、金川夫婦は懸命に、人生を切り開こうとしていた。；王朝が五百年続いたのは、彼らが切り開いてきた道が正しかったからだ。；あなたの運命を切り開いていくのは子供の存在ではなくあなた自身でなくてはいけない。；あの男の祖父が持っていた時点では、まだページは切り開かれていなかったのだ。；この中で東北大学ライナックが切り開いた様々な分野の成果が報告された。；海岸線の崖を切り開いて建設されたコンパクトな打ち上げ施設である。；さっきのアメリカ人が、シャツを切り開くんだからナイフを出せといった。；それ以前は山を切り開いて道を作ったため「割山峠」と呼ばれていた。</t>
        </is>
      </c>
      <c r="J2252">
        <f>HYPERLINK("https://www.weblio.jp/content/切り開く", "词义详情")</f>
        <v/>
      </c>
      <c r="K2252">
        <f>HYPERLINK("https://yourei.jp/切り開く", "查看例句")</f>
        <v/>
      </c>
    </row>
    <row r="2253">
      <c r="A2253" t="inlineStr">
        <is>
          <t>気流</t>
        </is>
      </c>
      <c r="B2253" t="inlineStr">
        <is>
          <t>成功</t>
        </is>
      </c>
      <c r="C2253" t="inlineStr">
        <is>
          <t>読み方：きりゅう
温度や地形の変化によって大気中に起こる空気の流れ。「—に乗って飛行する」</t>
        </is>
      </c>
      <c r="D2253" t="inlineStr">
        <is>
          <t>気流制限；気流速度；気流式；気流剥離；気流始動</t>
        </is>
      </c>
      <c r="E2253" t="inlineStr">
        <is>
          <t>風；ウインド；ウィンド</t>
        </is>
      </c>
      <c r="F2253" t="inlineStr">
        <is>
          <t>上昇気流；激しい気流；冷たい気流；肺気流；強い気流</t>
        </is>
      </c>
      <c r="H2253" t="n">
        <v>29</v>
      </c>
      <c r="I2253" t="inlineStr">
        <is>
          <t>どの言語でも使用されていないが、頬は気流を生成するために使われる。；むろん、飛んでいるあいだは気流によって機体を支えられているわけだ。；すると、2つの方向からこの気流が流れてきてぶつかる地域が出現する。；そうすれば気流や潮流を調べて、どのように流れて来たかわかりますから。；博士はガスを収縮させて、北へ向かう気流に乗るために降りていった。；もちろん凧はそれよりもさらに上へ上へと上昇気流にのっていったわ。；気流および発声の仕組みと並んで言語音の主要な構成要素の一つである。；空気は気流に乗って上昇できる一方、地面や岩にぶつかると死亡する。；それから新しい気流に出会って、東に直角に、一〇〇キロほど押された。；造雪量と雪質を最適化するには、水と気流の混合比や圧力が重要である。；気流や天候の乱れが多いため、ホバリングさせるのが困難な場合が多い。；岩壁の近くでは気流がさかんに渦巻き、予測不可能なだけに危険だった。；こうすることによりリヤタイヤ付近の気流の流れを改善することができた。；呼気音の反対である吸気音は気流が口または鼻を通って内側に流れる。；思いなしか、ひえびえとした気流が昨日とは何か変って感じられたものだ。；そこで、翼上を音速を超えた気流が流れる際の状態を計算する問題を選択した。；この中でドーヴェは、熱帯低気圧が気流の回転渦であることを主張した。；地形によっては気流の乱れなどを考慮してヘリが近づけないこともある。；岩がなめらかなのは、さっきのような気流によって磨かれたものらしい。；ところが千島の沖へかかった頃から、急に気流の状態がよくなった。；剣はさすがに激しい気流にふるえて、それで、キャノピーを叩いたのだ。；これから、気流は山に阻まれて平地と谷を進んだらしいことが分かる。；涸沢の標高は二千四百、三俣小屋は二千六百、気流の状態も極度に悪い。；気流にながされそうなへリコプターを、あっけにとられてながめている。；何か眼に見えない気流が波打って来て、彼を昂奮させて来たらしい。；気流が鋭い縁に接触する、あるいは鋭い縁が空気中を移動する。；隆起の相違によつて気流に変化があるのは当然だからである。；中からさッとひえびえとした気流が流れだして、検事たちの顔をなでた。；教室の空気のように、風速が小さく、かつ方向が一定しない気流を測定する。</t>
        </is>
      </c>
      <c r="J2253">
        <f>HYPERLINK("https://www.weblio.jp/content/気流", "词义详情")</f>
        <v/>
      </c>
      <c r="K2253">
        <f>HYPERLINK("https://yourei.jp/気流", "查看例句")</f>
        <v/>
      </c>
    </row>
    <row r="2254">
      <c r="A2254" t="inlineStr">
        <is>
          <t>器量</t>
        </is>
      </c>
      <c r="B2254" t="inlineStr">
        <is>
          <t>成功</t>
        </is>
      </c>
      <c r="C2254" t="inlineStr">
        <is>
          <t>読み方：きりょう
１ある事をするのにふさわしい能力や人徳。「指導者としての—に乏しい」
２その人の才徳に対して世間が与える評価。面目。多く、男性についていう。「—を上げる」
３顔だち。容貌(ようぼう)。多く、女性についていう。「—のよい娘」
４もののじょうず。名人。
「笛の御(おん)—たるによって」〈平家・四〉</t>
        </is>
      </c>
      <c r="D2254" t="inlineStr">
        <is>
          <t>器量よし(9%)；器量自慢；器量良し；器量望み；器量好し</t>
        </is>
      </c>
      <c r="E2254" t="inlineStr">
        <is>
          <t>力；技術；腕；能力；才能</t>
        </is>
      </c>
      <c r="F2254" t="inlineStr">
        <is>
          <t>ご器量；よい器量；無器量；美しい器量；それだけの器量</t>
        </is>
      </c>
      <c r="H2254" t="n">
        <v>29</v>
      </c>
      <c r="I2254" t="inlineStr">
        <is>
          <t>その器量のないことが即ち世間の言葉を許して置くことになっていた。；われわれ夫婦のどちらに似たのだろうと思われるくらい無器量な娘でした。；このことは彼等がそれだけの器量の人間でしかなかつたことを示してゐる。；器量はおれが鑒識にも過ぎた男に渡したからは、もう用のないこの身体。；さて四人目の女が一度離婚したことのある人で、器量がよくて財産がある。；器量があっても運のない者は、ついには英雄的事業を成しとげられない。；石翁を背景に大名筋から金品を捲き上げるだけの器量があった位である。；ふたりとも器量よしだってことは同じなんだけど、あとは全部違ってるわ。；ところで、程太守にはひとりの娘がいて、なかなかの器量よしであった。；さて四人目の女が一度離婚したことのある人で、器量が好くて財産がある。；並々ならぬ器量が、一生を馬子で終わるべき少年とは見えないのである。；腹を立ててかれこれ言ってみたところで、器量をさげるばかりだからだ。；器量もいいから、餓鬼連中はみんないいなり次第で男を男とも思わねえ。；チンコロの中でも一番小さい一番キリョウの悪い一匹かも知れません。；おれは一度か二度その娘を見かけたが、そう悪くないきりょうだぜ。；チルーは那覇でも評判の器量よしで夫と仲睦まじく生活していたそうだ。；わたしあの人に負けない器量よしだとアテネじゅうの人が認めているのに。；この手紙のなかで自分でもいってるとおり、器量はいいとはいえませんでした。；自分から申すのも何ですが、私は子供の頃から器量よしで通っておりました。；しかし、同僚の女たちに負け目を感じるほどの器量だとは思つてゐなかつた。；外に女の一人や二人を囲う器量は今の忠兵衛には充分あるとお文も認めている。；きりょうよしのステファネットは騾馬から降りながらそう教えてくれた。；私は自分の理想と器量との間に考察がなければならないことに初めて気がついた。；このわたしの器量のいいところが、あの坊さんには分らないだろうか。；バイロンは彼女がそうわるい器量でないことは認めなければならなかった。；いま一人、道三には信長と同じくその器量を高く見込んだ者がいた。；しかし別にこれというほどの器量をもったものもいなかった。；きりょうのいい娘で、背の高さは中ぐらい、ほっそりとした体つきです。；器量はよかったが、衣裳がないので、そんな所で働いているのだった。</t>
        </is>
      </c>
      <c r="J2254">
        <f>HYPERLINK("https://www.weblio.jp/content/器量", "词义详情")</f>
        <v/>
      </c>
      <c r="K2254">
        <f>HYPERLINK("https://yourei.jp/器量", "查看例句")</f>
        <v/>
      </c>
    </row>
    <row r="2255">
      <c r="A2255" t="inlineStr">
        <is>
          <t>気力</t>
        </is>
      </c>
      <c r="B2255" t="inlineStr">
        <is>
          <t>成功</t>
        </is>
      </c>
      <c r="C2255" t="inlineStr">
        <is>
          <t>読み方：きりょく
何かを行おうとする精神力。気持ちの張り。「—が充実している」「—に乏しい」</t>
        </is>
      </c>
      <c r="D2255" t="inlineStr">
        <is>
          <t>気力もなく(4%)；気力体力；気力ゲージ；気力旺盛；気力充実</t>
        </is>
      </c>
      <c r="E2255" t="inlineStr">
        <is>
          <t>力；エネルギー；元気；根；油</t>
        </is>
      </c>
      <c r="F2255" t="inlineStr">
        <is>
          <t>そんな気力；それだけの気力</t>
        </is>
      </c>
      <c r="H2255" t="n">
        <v>29</v>
      </c>
      <c r="I2255" t="inlineStr">
        <is>
          <t>妻を亡くしてからはかつてのような気力を失っていったと言われている。；あまりのみじめさに心もぼんやりして考える気力もなくなってしまった。；その血を引くとあらば、悪魔のごとき力を秘めているのも当然といえた。；彼はそれを捨てずにおいて、そうする気力があるときにだけそれを見た。；私はもう無罪の判決を嬉しいと感じる気力もない程疲れ切っていました。；が、私にはこれ以上、もう兄に問い質すだけの気力はありませんでした。；橋の所まで送って行く気力もなく、川岸へ出る露路の角で別れてしまった。；というよりもそれだけの気力が出ないほど疲れていたのであろう。；それに、私には何時間も車を運転している気力がありませんでした。；負けてたり気力を失ったりしているときは、慎重にプレーしないといけない。；気力の尽きかけた彼の存在はまるで形のない影のようなものに違なかった。；というよりも飲む気力を失い、その日から再び病床についてしまったのだ。；私は紳士がなんたるかを、また紳士の気力をよく承知しております。；その時の思いが蘇れば作品を作る気力とアイデアがわくかもしれないと。；いうにいえぬ異様な顔つきだったが、それをなんだと思う気力もない。；昨日も今日も、何日も寝てゐた、起きあがる気力がなくなつたのである。；気力をなくし、生きるためにこの部屋から出ない方がいいと思いました。；この頃は、此経験が、多くの場合に、精神気力の低落に伴ふ様になつた。；夢で瞥見したあるものとの全面的かつ完全な一致に私は言葉と気力を失った。；近年ではこの他にも気力変化が詳細に設定されることも多い。；その間に自分の生活はまるで気力の抜けた平衡を失したものに変わっていた。；彼はありたけの気力を使って、非難者らを不快がらせ叫ばせようとした。；三人の方を見るには見たが、地面から顔を上げる気力はなかった。；手も足もかけ場に窮して、一息でも気力を失うと墜死するところでした。；探し疲れて、もう上陸する気力もなく、ただ船で彼を待っていたわ。；他のみんなは静かに話していたが、とても内容に耳を傾ける気力はなかった。；この男は何事にも強くて、大蛇と戦う気力は充分だと皆が思うのは当然だった。；そういう気力には、逃げようとする運までも、寄ってくるというもんだ。；そして検査を受け医師からお墨付きをもらうのだが、取り戻せない気力。</t>
        </is>
      </c>
      <c r="J2255">
        <f>HYPERLINK("https://www.weblio.jp/content/気力", "词义详情")</f>
        <v/>
      </c>
      <c r="K2255">
        <f>HYPERLINK("https://yourei.jp/気力", "查看例句")</f>
        <v/>
      </c>
    </row>
    <row r="2256">
      <c r="A2256" t="inlineStr">
        <is>
          <t>切る</t>
        </is>
      </c>
      <c r="B2256" t="inlineStr">
        <is>
          <t>成功</t>
        </is>
      </c>
      <c r="C2256" t="inlineStr">
        <is>
          <t>読み方：きる
［動ラ五（四）］
１つながっているものを断ったり、付いているものを離したりする。特に、刃物などでものを分け離す。「枝を—・る」「爪(つめ)を—・る」「二センチ角に—・る」
２
㋐刃物などで人を傷つけ、または、殺す。「一刀のもとに人を—・る」
㋑鋭利なもので、からだの一部を傷つける。「ナイフで手を—・る」
㋒切開手術をする。「盲腸を—・る」
３ふさがっているものや閉じてあるものを開ける。「封を—・る」
４遠慮なく、鋭く批判する。「芸能界を—・る」
５
㋐溝をほる。「ねじ山を—・る」
㋑部屋や土間の一部を掘り下げて炉やこたつをつくる。「いろりを—・る」
㋒謄写版のやすりの上で、鉄筆で文字を書く。「原紙を—・る」
６
㋐続いている物事を、そこでやめたり断ったりする。「話を—・る」「電話を—・る」
㋑続いている人との関係をなくする。「縁を—・る」
㋒器械を操作して電流を止める。「スイッチを—・る」「ラジオを—・る」
㋓道や列などを横切って通る。「行列を—・って進む」
７券などにパンチを入れたり、その一部を離したりする。「切符を—・る」
８振り落としたり、したたらせたりして水分などを取り去る。「傘のしずくを—・る」「ざるに上げて水気を—・る」
９一面に広がっているものを分けるようにして勢いよく進む。「波を—・って走る」「肩で風を—・る」
10トランプ・カルタ・花札などで、札をよくまぜ合わせる。「カードをよく—・って配る」
11
㋐囲碁で、相手の石の連続を断つ。
㋑将棋で、駒(こま)を交換し、手に持つ。特に、大駒を小駒と交換する。「飛車を—・る」
12免職・解雇・除名する。「従業員の首を—・る」
13物事に区切りをつける。
㋐時期や数量を限定する。「期限を—・る」「先着一〇〇名で—・る」
㋑ある基準の数値以下・以内にする。割る。「一〇〇メートル一〇秒を—・る」「元値を—・って売る」
㋒伝票や小切手などを発行する。「小切手を—・る」
14際立った、または、思いきった行為・動作をする。
㋐他に先立って始める。「彼がまず口を—・った」「攻撃の火蓋(ひぶた)を—・る」
㋑威勢のいい、または、わざと目立つような口ぶり・態度をする。「たんかを—・る」「札びらを—・る」
㋒歌舞伎や能で、強い感情を表すためにある目立つ表情・動作をする。「面(おもて)を—・る」「見得(みえ)を—・る」
15ハンドル・舵(かじ)などを操作して、進む方向を変える。「ハンドルを右に—・る」「カーブを—・る」
16卓球・テニス・ゴルフなどで、打球に特殊な回転を与えたり、その進路を曲げたりするように打つ。カットする。
17トランプで、切り札を出して勝負に出る。「クラブのエースで—・る」
18空中にきまった形を描く。「手刀—・って懸賞を受け取る」
19（「鑽る」とも書く）石と金属を打ち合わせたり、木と木をこすり合わせたりして発火させる。「火を—・る」
20（動詞の連用形に付いて）
㋐完全に、また、最後までその行為をする。…し終える。…し尽くす。「力を出し—・る」「売り—・る」
㋑限界にきて、これ以上の事態は考えられない状態である。すっかり…する。「疲れ—・る」「弱り—・った表情」
㋒きっぱり…する。「引き止めるのを振り—・る」「関係を断ち—・る」
21物事を決定する。終える。
「いまだ勝負も—・らぬに」〈今昔・二八・三五〉
22（木を切って）つくる。
「今年はたびをも—・ってはかせい」〈和泉流狂・木六駄〉
[補説]広く一般的には「切る」を用い、人などには「斬る」、立ち木などには「伐る」、枝・葉・花などには「剪る」、布・紙などには「截る」を用いることがある。
[可能]きれる
［動ラ下二］「き（切）れる」の文語形。
[下接句]大見得を切る・肩で風を切る・金片(かねびら)を切る・久離(きゅうり)を切る・九字(くじ)を切る・口を切る・口火を切る・首を切る・鯉口(こいぐち)を切る・さくを切る・札片(さつびら)を切る・自腹を切る・杓子(しゃくし)で腹を切る・十字を切る・正面を切る・白(しら)を切る・仁義を切る・堰(せき)を切る・啖呵(たんか)を切る・手を切る・泣いて馬謖(ばしょく)を斬(き)る・肉を切らせて骨を切る・腹を切る・火蓋(ひぶた)を切る・臍(へそ)の緒切ってから・棒先を切る・身を切る・見得を切る・身銭を切る・髻(もとどり)を切る・元結を切る・指を切る・連木で腹を切る</t>
        </is>
      </c>
      <c r="D2256" t="inlineStr">
        <is>
          <t>切るべき；切るような風；切るような音；切るような寒風；切る鋭い音</t>
        </is>
      </c>
      <c r="E2256" t="inlineStr">
        <is>
          <t>完成；停止；中止；終わる；分割</t>
        </is>
      </c>
      <c r="F2256" t="inlineStr">
        <is>
          <t>千切る；登り切る；噛み切る；渡り切る；切るような冷たい</t>
        </is>
      </c>
      <c r="H2256" t="n">
        <v>29</v>
      </c>
      <c r="I2256" t="inlineStr">
        <is>
          <t>私のほうでも実はそういうふうに口火を切ろうとしていたところなのだ。；それが書かれていたメモ用紙の一部が、妙な形に切られていたのである。；この車両にも装置は搭載されていたが、事故当時ATPは切られていた。；自民党が政権を失った後、政権に復帰するまで髪を切らないと宣言した。；これを切ってしまうと能力が発揮できなくなるなどの描写もある。；いまでは当然の手でもあるが、当時は飛車先を切る利を重視しなかった。；行ってみようかと電話を切ろうとしたところで、ようやく相手が出た。；エンジンを切ろうとしたところで、ドアのすぐ横の人影が目に入った。；サムイルが後に首を切られた場所はサムイレツと呼ばれるようになった。；じゃ、あとでなと言って切ろうとしたとき、真智子の震え声が聞こえた。；そして彼女の身を切るような写真は一躍この時代を表す象徴となった。；そうか、男性の背中を切ろうと思えば、若干だが高い位置になるだろう。；またヨーロッパ大国との同盟関係はすべて切ったほうがいいと訴えていた。；按摩師の男とは佐藤ヨシの家に滞在中、正式に縁を切ることに成功した。；多くは竹を切って蓋をしたもので、側面には細長い穴が開いている。；電源を切っても記憶内容が保持される不揮発性メモリの一種でもある。；本人はまったく気づかず、切られた髪は結ったまま道に落ちていたという。；その女性は、その兵士に殴られ、ナイフで顔や首、髪を切られたという。；同年5月7日放送分からタイトルを本タイトルに変更して再スタートを切った。；再び4回目の試験を合格し、競走生活晩年の6歳を暮れまで走り切った。；これは回転したときに、風を切る音が出るようにした仕掛けである。；頭があるのだから切ることはできるであろう、たわけたことを言うでない。；髪を切ろうと思った初めの気組とは、いつか別のものに変っていった。；このような状況に備えて彼らは自ら手綱を切るためのナイフを携えていた。；一人が巨大なノコギリのようなものを対象の両足へ切るように往復させる。；スイッチを切ろうとしたのだが、それがどこにあるのかわからない。；その人間そっくりの白い歯がきりきりと指の肉を噛み切ろうとしている。；時間の都合上、歌の途中か笑い始めの所で切られることが多かった。；しばらく沈黙がつづいていたが、かれは口を切ろうともしなかった。</t>
        </is>
      </c>
      <c r="J2256">
        <f>HYPERLINK("https://www.weblio.jp/content/切る", "词义详情")</f>
        <v/>
      </c>
      <c r="K2256">
        <f>HYPERLINK("https://yourei.jp/切る", "查看例句")</f>
        <v/>
      </c>
    </row>
    <row r="2257">
      <c r="A2257" t="inlineStr">
        <is>
          <t>着る</t>
        </is>
      </c>
      <c r="B2257" t="inlineStr">
        <is>
          <t>成功</t>
        </is>
      </c>
      <c r="C2257" t="inlineStr">
        <is>
          <t>読み方：きる
［動カ上一］［文］［カ上一］
１衣類などを身につける。からだ全体または上半身にまといつける。着用する。「着物をきる」「上着をきる」
２物事を自分の身に引き受ける。
㋐（「…をきる」の形で）身に負う。かぶる。「ひとの罪をきる」
㋑（「…にきる」の形で）相手の行為をありがたく受ける。こうむる。「恩にきる」
[補説] 「きる」は本来、衣服などを身につける意で、着物以外に袴(はかま)・笠・烏帽子・兜(かぶと)・布団・刀などについても用いられた。現代では主としてからだ全体や上半身に着用するものをいい、袴やズボンなどは「はく」、帽子や笠などは「かぶる」、刀などは「おびる」というように、どの部分につけるかによって異なる語が用いられる。</t>
        </is>
      </c>
      <c r="D2257" t="inlineStr">
        <is>
          <t>着るべき；着るような服；着るもの食べもの</t>
        </is>
      </c>
      <c r="E2257" t="inlineStr">
        <is>
          <t>つける；着用；着用する；帯びる；被る</t>
        </is>
      </c>
      <c r="H2257" t="n">
        <v>29</v>
      </c>
      <c r="I2257" t="inlineStr">
        <is>
          <t>多くの歯は抜け落ち、食事や服を着るのにも非常に長い時間がかかった。；住むに家なく着る物もない人間が、はるかに余裕ある生活を営んでいる。；彼は巡礼の着る粗末な服を身につけると、スイスの方に向かっていった。；すべての種族はある時期には何かシャツに相当するものを着るものらしい。；制服は、特別な地位にない官人が朝廷の公事を行うときに着る服である。；子供は多少色のあるものを着るが、成人は決められた色のものしか着ない。；梅川は全員に服を着ることを許可して、昼までに2人の人質を解放した。；その日着ようと選んだのは、霧にけぶる森のような淡い緑灰色の衣装だ。；こういう服を着ると自分はこんなふうにもなるのか、という発見があるの。；また、千秋たちが着るスチュワーデスの制服も実際の物が使われている。；大きめなサイズ感のアイテムが好きで、兄のお下がりを着ることもある。；それ以外の者には、19世紀以降に縫製した衣服を着る習慣が普及した。；基本的にはいつも裸だが、おしゃれをするときは服を着ることもある。；私は結婚の花冠を つけよう 私が着るのは 旅人の赤茶の衣ではない。；こいつは、おれたちの服のようにただ着ればいいので皮膚みたいなものなんだ。；私達の着る物でも、食べる物でも、すべての上にそれが表れて居ます。；着付けの資格を持っているのでイベントでは着物を着ることが多い。；体操服は学校指定のものに限り、冬季はその上に学校指定の上着を着る。；こんな小さな服を、いったいどうすれば着ることが出来るのだろう。；朝鮮の両班のみが、色付きや柄付きの服を着ることを許されていた。；特定の組み合わせの服を着ると特殊技を使う事が可能になる。；白衣を着ろとまでは言いませんが、あれではまるで悪ガキではないですか。；濡れた着物を着れば、冷たさときみ悪さを感じない者はないだろう。；少し身長は伸びているものの、制服さえ着ればおそらく何とかなるだろう。；胸が大きくなり始めてからは肩が出るような少し露出の高い服も着るようになった。；青年はそれを着ることで、自身の職業が画家であることをほのめかしている。；をするときと、当時公事と呼ばれたことを行うときに着る服である。；いかなる服を着ようと、どこへ行こうと、何を研究しようと自由なはずなのに。；中央に穿たれた穴から頭を出して着るごく単純な構成の衣装である。</t>
        </is>
      </c>
      <c r="J2257">
        <f>HYPERLINK("https://www.weblio.jp/content/着る", "词义详情")</f>
        <v/>
      </c>
      <c r="K2257">
        <f>HYPERLINK("https://yourei.jp/着る", "查看例句")</f>
        <v/>
      </c>
    </row>
    <row r="2258">
      <c r="A2258" t="inlineStr">
        <is>
          <t>布</t>
        </is>
      </c>
      <c r="B2258" t="inlineStr">
        <is>
          <t>成功</t>
        </is>
      </c>
      <c r="C2258" t="inlineStr">
        <is>
          <t>読み方：きれ
［名］
１
㋐物の切れ端。「板の—」「布—」
㋑（「布」「裂」とも書く）織物を切ったもの。また、織物。布(ぬの)。「木綿の—」「余り—(ぎれ)」
㋒書画などの、古人の筆跡の断片。断簡。「高野—(ぎれ)」「古筆—(ぎれ)」
２刃物の切れぐあい。切れ味。「包丁の—がにぶる」
３
㋐頭脳や技術の働きの鋭さ。「頭の—のいい人」「技に—がない」
㋑投げた球の曲がりぐあいの鋭さ。「カーブの—がいい」
㋒さらっとして後に残らない口あたり。「—のいいウイスキー」
４
㋐水気などがなくなること。また、そのぐあい。「油の—がよくないフライ」
㋑付着していたものや残っていたものがなくなること。また、そのぐあい。「泡の—のよい洗剤」「痰(たん)の—をよくする薬」
５目じりの切れ込みのぐあい。「—の長い目」
６石材の体積の単位。一切れは1尺立方で、約0.028立方メートル。
７（「ぎれ」の形で）名詞の下に付き、そのものを使い切っている意を表す。「期限—」「在庫—」
８同類の中の末端の一人。はしくれ。
「望んで軍(いくさ)に立ってこそ男の—ともいふべけれ」〈浄・用明天王〉
［接尾］助数詞。
１切ったものを数えるのに用いる。「たくあん一—」「ようかん二—」
２江戸時代、一分金を数えるのに用いる。
「白銀五百匁二包み、小判二十五両一歩合わせて四十—」〈浄・二枚絵草紙〉
[下接語]板切れ・紙切れ・半切れ・一切れ・棒切れ・襤褸(ぼろ)切れ（ぎれ）当て切れ・有り切れ・歌切れ・裏切れ・恵比須(えびす)切れ・木切れ・錦(きん)切れ・小切れ・古(こ)切れ・古代切れ・古筆切れ・細(こま)切れ・時代切れ・竹切れ・裁ち切れ・継ぎ切れ・出切れ・共切れ・布切れ・端(は)切れ・古(ふる)切れ・名物切れ・寄せ切れ</t>
        </is>
      </c>
      <c r="D2258" t="inlineStr">
        <is>
          <t>布切れ(2%)；布片；布張り；布施；布團</t>
        </is>
      </c>
      <c r="E2258" t="inlineStr">
        <is>
          <t>素；生地；クロス；織物；織り</t>
        </is>
      </c>
      <c r="F2258" t="inlineStr">
        <is>
          <t>黒い布；赤い布；ぼろ布；ボロ布；防水布</t>
        </is>
      </c>
      <c r="G2258" t="inlineStr">
        <is>
          <t>布告；布教；布陣；布地；布施</t>
        </is>
      </c>
      <c r="H2258" t="n">
        <v>29</v>
      </c>
      <c r="I2258" t="inlineStr">
        <is>
          <t>その関係で最近では布・糸ともにカラフルな色合いの物も出てきている。；主に木の板で作られるが、一部にガラスや布・紙などを用いるものもある。；王がかごにかけられた布を取ると、中には赤いバラが入っていたという。；羊毛と布産業のための単位は、単位をそれらの商品に特有なものにした。；多くは着用者の身体を保護する役割が強い丈夫な布や皮革で作られている。；あて布を必要とするものや、まったくアイロン掛けができないものもある。；脚にはたくさんの鈴がついたベルトをつけ、白いハンカチ大の布を持つ。；また、イングランドでは二枚の布を胸に縫い付けることが義務化された。；ある日の夜、二つの布包みを咥えた一羽のコウノトリが飛行していた。；材料は羊毛や麻の繊維を編んだものや皮革や布でできたものなどがある。；なお外側の布がコットンのものは縮んでしまう可能性があり要注意である。；細長い布からなっており、様々なスタイルで体を包み込むようにまとう。；リボン類も布のものばかりでなくプラスチック類のものが登場した。；昭和末期でも地元の人は木綿布を買い求める時に寸模と呼んでいたという。；これらの布製品を洗濯したあと保管するための部屋はリネン室という。；かつて日本から移民が渡った地であり、日本語で布市とも称した。；経済的にも商業的にも非常に重要な地で、繊維業と布が名産であった。；座席表布は木の枝をモチーフとした紫系のジャガード織が採用された。；土地の面積に使われる反と、布の大きさを表す反とがある。；線である経と緯を交差させて面である布にする装置が機である。；一定の間隔ごとに色の異なる布を交互につないで作った幕をあるいはという。；部室には壁一面に布スクリーンが張ってあり、24時間上映可能である。；いくつかのスタイルでは、8m程度の布を必要とする場合もある。；枕は、そのまま用いずに薄い布でできた枕カバーで包んで使うことが多い。；また、古代ローマでは兵士がファカールという細い布を首に結んでいた。；表面に光を反射する加工のされた布のことをスパンコールと呼ぶ場合もある。；多くのアフリカ絵画や布の作品でさえ、3次元的に体験されるよう意図されている。；通常のミシンのような直線縫いはできず、布の端だけを縫うことができる。；絵画は次第に洞窟や建物の壁面から離れ、独立した板や布に描かれるようになった。</t>
        </is>
      </c>
      <c r="J2258">
        <f>HYPERLINK("https://www.weblio.jp/content/布", "词义详情")</f>
        <v/>
      </c>
      <c r="K2258">
        <f>HYPERLINK("https://yourei.jp/布", "查看例句")</f>
        <v/>
      </c>
    </row>
    <row r="2259">
      <c r="A2259" t="inlineStr">
        <is>
          <t>きれい</t>
        </is>
      </c>
      <c r="B2259" t="inlineStr">
        <is>
          <t>成功</t>
        </is>
      </c>
      <c r="C2259" t="inlineStr">
        <is>
          <t>読み方：きれい
［形動］［文］［ナリ］
１色・形などが華やかな美しさをもっているさま。「—な花」「—に着飾る」
２姿・顔かたちが整っていて美しいさま。「—な脚」「—な女性」
３声などが快く聞こえるさま。「—な発音」
４よごれがなく清潔なさま。「手を—に洗う」「—な空気」「—な選挙」
５肉体的な交渉がないさま。純潔。「—な関係」
６乱れたところがないさま。整然としているさま。「机の上を—に片づける」
７（「きれいに」の形で）残りなく物事が行われるさま。すっかり。「—に忘れる」「—にたいらげる」
→美しい［用法］
[派生]きれいさ［名］</t>
        </is>
      </c>
      <c r="D2259" t="inlineStr">
        <is>
          <t>きれいさっぱり(4%)；きれい好き；きれいじゃない；きれいに片づけられ；きれいすぎる</t>
        </is>
      </c>
      <c r="E2259" t="inlineStr">
        <is>
          <t>いい；よい；美しい；良い；見事</t>
        </is>
      </c>
      <c r="F2259" t="inlineStr">
        <is>
          <t>きれいに切り揃え；きれいにぬぐわ；きれいに拭い去ら；きれいに刈りこま；きれいずき</t>
        </is>
      </c>
      <c r="G2259" t="inlineStr">
        <is>
          <t>きれいごと；きれいな水；きれい事；きれいな空；きれいなジャイアン</t>
        </is>
      </c>
      <c r="H2259" t="n">
        <v>29</v>
      </c>
      <c r="I2259" t="inlineStr">
        <is>
          <t>荒れてしまった目は、茶でしかきれいにすることができなかったという。；耐弾層が保護の役割をしていたため、当時の面影がきれいに残っていた。；その服は自分がこれまでに見たこともないほど、きれいだというのに。；かうして寢ながら見てゐると、あなたの喉や何かはひどくきれいなのに。；こちらの方がキーボードコントローラを使うよりも高速できれいだった。；花がきれいなことから、人為的に植えられることも多いと見られている。；娘らは、いずれも美しく着飾って、これまでになくきれいに見えました。；そして、これできれいにままっ子どものかたがついたと安心していました。；しばらくすると、怪物はきれいに焼けた肉を持って張の前に来ました。；また、目的である日焼けをむらのないきれいなものにすることができる。；それに女の子だったら、きっと車庫の中もきれいにお掃除してくれるわ。；なんですか知りませんけれども今夜はもうそのお話はきれいにやめましょう。；新しいむすめとなる女の子のために、部屋をきれいにしておきたいのです。；柔道など投げ技がきれいに決まることが勝利条件の一つであるものも多い。；ただしその様式は、王朝の治世ときれいに一致して始終したのではない。；青や赤やでぬったご門があって、龍宮ってこんなきれいなところかなあ。；着物はもうちゃんと乾かして、きれいにして、寝床の傍に置いてあった。；きれいに膝ののびる、すっきりとした彼女の歩きかたが、ぼくは好きだ。；河沿いの家で出来たことは、河沿いの家できれいに仕末して去り度い。；中山陵や明の孝陵や石人石獣をみたり、紅葉がなかなかきれいであった。；平凡で特徴はないかもしれないが、よく見るときれいに整った体つきだ。；ただきれいというだけではなく、声の質をもって、ものを言うという才能。；学校の運動場には大きなさくらの木があって、きれいに花が咲きました。；多くは石かコンクリートでできていて、欄干がきれいに装飾されている。；なぜなら、一日よく働いて、自分の身をきれいにする暇もなかったからです。；彼の観察がそれによってきれいに説明できると考えたからである。；着ているものは見るからに粗末だったが、きれいでさっぱりしていた。；片桐は、みんなが部屋をきれいにすることには、とくに反対はしなかった。；古くなった葉はきれいに剥がれ落ちるため、幹はなめらかなままである。</t>
        </is>
      </c>
      <c r="J2259">
        <f>HYPERLINK("https://www.weblio.jp/content/きれい", "词义详情")</f>
        <v/>
      </c>
      <c r="K2259">
        <f>HYPERLINK("https://yourei.jp/きれい", "查看例句")</f>
        <v/>
      </c>
    </row>
    <row r="2260">
      <c r="A2260" t="inlineStr">
        <is>
          <t>亀裂</t>
        </is>
      </c>
      <c r="B2260" t="inlineStr">
        <is>
          <t>成功</t>
        </is>
      </c>
      <c r="C2260" t="inlineStr">
        <is>
          <t>読み方：きれつ
亀の甲の模様のように、ひびが入ること。また、その割れ目。ひび割れ。「日照りで—を生じた水田」「親子の関係に—が入る」</t>
        </is>
      </c>
      <c r="D2260" t="inlineStr">
        <is>
          <t>亀裂骨折；亀裂が生じ始め；亀裂調査センター；亀裂だらけ；亀裂発生</t>
        </is>
      </c>
      <c r="E2260" t="inlineStr">
        <is>
          <t>対立；衝突；摩擦；葛藤；確執</t>
        </is>
      </c>
      <c r="F2260" t="inlineStr">
        <is>
          <t>深い亀裂；疲労亀裂；小さな亀裂；決定的な亀裂；深刻な亀裂</t>
        </is>
      </c>
      <c r="H2260" t="n">
        <v>29</v>
      </c>
      <c r="I2260" t="inlineStr">
        <is>
          <t>もはや二人が元に戻ることはないほどの亀裂が入ってしまっていた。；怒り時は角や脚の棘が黄緑色に変化し、翼には亀裂のような光の帯が走る。；ただ耐水性ではなく、亀裂を生じさせやすいので単体では殆ど用いない。；しかし夫婦の間に入っていた亀裂は高松での生活でも徐々に大きくなっていた。；ナルムクツェが移動したあとに出来た亀裂などから地形が形成されていった。；そこで、整備員がどの程度の確率で疲労亀裂を発見出来るかを算出した。；この自殺は、ユーロニモスと彼の友人たちの間の亀裂の原因となった。；亀裂の入った会堂塔屋部分の復旧の見積もりは数千万円に上ったという。；畑地のなかに深さ数mの亀裂が生じるため、農業を放棄する原因となる。；しかしその前にはすでに二人の関係には亀裂が入っていた。；この亀裂は、整備時のパイロンと翼の接触に起因すると結論づけられた。；このことで、サスケは横取りされたと激怒して2人の仲に亀裂が生じた。；具体的には鹿の肩甲骨を焼き、その亀裂の形や大きさで吉凶を判断した。；そのため、外から見ると、建物に亀裂が入って分断したように見える。；このときの対立から生じた父との亀裂は終生、修復されることはなかった。；この態度はラッセルと、ファンや記者との間に決定的な亀裂を生じさせた。；傘の表面に亀裂の様な模様がひろがっているものは花冬菇と呼ばれる。；ソロンが出発してから4年間の間は、古い社会的な亀裂が再び現れた。；このように家臣団との関係にも亀裂が生じるようになっていた。；しかし、三教授はこれを聞き入れず鴎外との間に亀裂が生じてしまう。；つまり先に工具で亀裂を入れてからロープで引き倒したものと明らかになった。；設計を担当したサン・ピエトロ大聖堂の鐘塔から大きな亀裂が見つかった。；しかし、お互いを信頼していた二人の間には、いつしか亀裂が走ってしまう。；亀裂が整備作業中に生じたことは、別の2機からも確証が得られた。；亀裂が発見された場合の対処指示が不明確で、複数通りに解釈できるものだった。；その結果として、詩壇はさらに大衆詩と芸術詩の間の亀裂を深めている。；地図はザッハーブ海域のロング・クラックと呼ばれる亀裂を示していた。；道路の亀裂は南北方向に生じ、道路を横切るようなものはなかった。；多くの人々がこの亀裂の出現する瞬間を目撃している。</t>
        </is>
      </c>
      <c r="J2260">
        <f>HYPERLINK("https://www.weblio.jp/content/亀裂", "词义详情")</f>
        <v/>
      </c>
      <c r="K2260">
        <f>HYPERLINK("https://yourei.jp/亀裂", "查看例句")</f>
        <v/>
      </c>
    </row>
    <row r="2261">
      <c r="A2261" t="inlineStr">
        <is>
          <t>切れ目</t>
        </is>
      </c>
      <c r="B2261" t="inlineStr">
        <is>
          <t>成功</t>
        </is>
      </c>
      <c r="C2261" t="inlineStr">
        <is>
          <t>読み方：きれめ
１切れてできたあと。「包丁で—を入れる」
２続いて並んでいるものの、とぎれたところ。「行列の—」
３継続して行われている物事の、いったんとぎれるところ。ひと区切りついたところ。「仕事の—」「文章の—」
４物事や関係などの尽きた時。「金の—が縁の—」</t>
        </is>
      </c>
      <c r="D2261" t="inlineStr">
        <is>
          <t>切れ目なく(15%)；切れ目なし；切れ目切れ目；切れ目無く；切れ目ごと</t>
        </is>
      </c>
      <c r="E2261" t="inlineStr">
        <is>
          <t>間；傷；中断；隙間；切断</t>
        </is>
      </c>
      <c r="F2261" t="inlineStr">
        <is>
          <t>切れ目なく続い；切れ目なく続く；切れ目なく続け；深い切れ目；細い切れ目</t>
        </is>
      </c>
      <c r="H2261" t="n">
        <v>29</v>
      </c>
      <c r="I2261" t="inlineStr">
        <is>
          <t>グルーは、緑と青の切れ目にどの時点をとるかで無数の定義がありうる。；たった今切ったばかりの布の切れ目から、死体の白い皮膚が見えていた。；林はどこまでつづいているのか、切れ目なくどこまでもひろがっている。；雲の切れ目からのぞいている星がひとつ、ひどく明るいように思われた。；ビルの切れ目からのぞく空がいつも明るく晴れていることを別にすれば。；ゆっくりと、彼が呟く指示のとおりに、岩の表面に深い切れ目ができた。；飛んでいく鳥を見送って、彼は遠くに野原の切れ目があるのに気づいた。；鼻は顔の中央部の口と耳の中間に、縦に切れ目がはいっているだけのもの。；崖を回ると、そこは向こうの崖と幅三四間の深い切れ目を作っていた。；曲は切れ目なく演奏されるが、大きく3つの部分に分けることが出来る。；手で簡単にちぎって食べられるよう、パンに7本の切れ目が入っている。；その棚の二つの切れ目が、今這入って来た入口と、奥へ通ずる扉である。；一寸ほどの大きさの木片には、幾つかの切れ目や削った跡が付いている。；大陸を指す最も狭義の概念は切れ目がない主要な陸地ということになる。；固形のものには切れ目が入っており、簡単に分けられるようになっている。；ジュアグが海岸線の切れ目にわたしの注意を喚起したのはそのときだった。；よくよく見るとそれは線というよりも切れ目のように思われた。；この切れ目のまんなかに白い点が見えるんだけど、最初は何かわからない。；胴の切れ目は右脇で閉じ合わせるものが多く、これは胴丸と同様である。；それは川の流れのように、一瞬の波紋はあっても切れ目なく続いていた。；唯一、切れ目ない攻撃を仕掛けてくるのは小型幻獣の群れだけだった。；ナイフで切れ目を入れておいて布を裂き、長く繋げてロープにするのだ。；人の流れはあとからあとから押し寄せ、まるで切れ目というものがない。；下顎の歯は基部が広く隣の歯と結合し、これらが切れ目無い刃を形成している。；跡切れ跡切れの眠りの切れ目に、いつもそのような心持が続いていたのだ。；この水道管の両側に沿って切れ目なくえんえんと耕作地がつづいている。；前述のように、切れ目を入れて様々な具材や餡を挟んで食べることが多い。；ひとつだけ歯抜けになったフェンスの切れ目からなかにはいっていく。；玄関の外に出ると、雲の切れ目から弱い朝の陽射しが降り注いでいた。</t>
        </is>
      </c>
      <c r="J2261">
        <f>HYPERLINK("https://www.weblio.jp/content/切れ目", "词义详情")</f>
        <v/>
      </c>
      <c r="K2261">
        <f>HYPERLINK("https://yourei.jp/切れ目", "查看例句")</f>
        <v/>
      </c>
    </row>
    <row r="2262">
      <c r="A2262" t="inlineStr">
        <is>
          <t>切れる</t>
        </is>
      </c>
      <c r="B2262" t="inlineStr">
        <is>
          <t>成功</t>
        </is>
      </c>
      <c r="C2262" t="inlineStr">
        <is>
          <t>読み方：きれる
［動ラ下一］［文］き・る［ラ下二］
１力が加わって、ひと続きのもの、つながっているものなどが分かれる。「ひもが—・れる」「緊張の糸が—・れる」
２傷ついたり、裂け目ができたりする。「ひびが—・れる」「手の—・れるような札(さつ)」
３
㋐破れ崩れる。「堤防が—・れる」
㋑こすれてへる。すりきれる。「着物の裾が—・れる」「靴下が—・れる」
４つながっていた関係がなくなる。「縁が—・れる」「彼女とはもう—・れた」
５
㋐今まで続いていたものが、途中やあるところでなくなる。「音信が—・れる」「電話が—・れる」「—・れた雲間から光がさす」
㋑並び続いているものがとだえる。「町並みが—・れる」「人通りが—・れる」
６
㋐売れたり使いきったりして今まであった物がなくなる。「品物が—・れている」「油が—・れる」
㋑それが有効である一定の時間・期間が終わりになる。「期限が—・れる」「車検が—・れる」「麻酔が—・れる」
㋒ある基準以下になる。不足する。「元値が—・れる」「目方が—・れる」
７突然おこりだす。逆上する。かっとなる。「彼はすぐに—・れるから怖い」
８振り落としたり、したたらせたりした結果、水分がなくなる。「洗った野菜の水気が—・れる」
９進む方向が横へそれる。左右いずれかへ曲がる。「道が左へ—・れる」「打球が—・れる」
10トランプ・カルタなどの札(ふだ)がよくまじり合う。
11囲碁で、石がつながらない状態になる。
12
㋐刃物の切れ味が鋭い。「よく—・れる刀」
㋑見事な効果を示す。「技が—・れる」
㋒頭の働きが速く、物事をてきぱきと処理する能力にすぐれる。「頭が—・れる」「—・れる男」
13（「息がきれる」の形で）激しい運動などのあと、せわしく苦しそうに呼吸する。
14（「しびれがきれる」の形で）
㋐足がしびれる。
㋑待ちくたびれる。
15（動詞の連用形に付いて、多く打消しの語を伴って用いる）
㋐最後までしとおすことができる。「こらえ—・れずに泣き出す」「逃げ—・れないと観念する」
㋑すっかり…することができる。「食べ—・れないほどのごちそう」
16物事のきまりがつく。
「よき事もわろき事も其時ことは—・るるなり」〈愚管抄・五〉
17勢力をもつ。幅が利く。
「わしゃあこではえらう—・れるがな」〈滑・膝栗毛・五〉
18気前よく振る舞う。金離れがよい。
「是でもはづむ所では随分—・れて見せるよ」〈滑・浮世床・初〉
[下接句]油が切れる・息が切れる・堪忍袋の緒(お)が切れる・痺(しび)れが切れる・手が切れる・元が切れる</t>
        </is>
      </c>
      <c r="D2262" t="inlineStr">
        <is>
          <t>切れるだろ；切れる可能性；切れるような鋭い；切れるような札束</t>
        </is>
      </c>
      <c r="F2262" t="inlineStr">
        <is>
          <t>千切れる；逃げ切れる；よく切れる；いい切れる；すり切れる</t>
        </is>
      </c>
      <c r="H2262" t="n">
        <v>29</v>
      </c>
      <c r="I2262" t="inlineStr">
        <is>
          <t>しかも種が切れると、その都度きっとお兼さんの方から供給されていた。；機能面では、注ぎ口を手で切れるスタイルが近年主流となってきている。；この時から最後のことばの切れるまで、彼女は顔を赤くしたままであった。；このままでは、空気の供給が切れるのをじっと待つようなものだった。；ただし、能力が切れると魂が抜けてしまいただの人形になってしまう。；そしてそれらの栄誉はすべて君たち自身の才能のゆえだと言い切れる。；そしてこの糸に虫がかかると、縦糸との接点で切れるようになっている。；呉は新しく鋳らせた剣を持っていまして、それが甚だよく切れるのです。；なかなかそれ位のことで諦らめ切れるAの悪魔趣味ではなかったのです。；たった、四十四や五で、歩いても息が切れるほど老衰するものだろうか?；刀には仕掛けがしてあり、切っ先だけがよく切れるようになっている。；例えばワイヤが切れると、列車が在線していても検知に失敗してしまう。；同時にすべての部分が切れるということも、実際にはありえないことだ。；その向こう側へ渡り切れれば、たいていの嵐はもう後を追ってこない。；書いてある事は、どうにか書き切れる所まで、書き切つてゐる筈だから。；それで封じ切れればそれはそれで済んでしまうものだったのかもしれない。；あんなことがなければたぶん最強の騎士になっていたはずだし、頭も切れる。；わたしの悟性が確かなら、アジア連合の将軍には頭の切れるのがいるようだ。；この時突然庄三郎は千切れるような悲鳴を上げ、握った拳を頭上で振った。；そして服のどこかが引き千切れるほど疾く去って行ったのである。；それがなかなかあきらめ切れる物でないことは、わたしも知っている。；条網で糸が切れれば網全体が壊れてしまうが、実際にはそのようなことがない。；だけど、結婚してくれといわれて、わたしはマドンと切れる気になったの。；黒角牛の肉もそれくらい早く切れれば、商売もマシになると早く気づけ。；なお、一本糸に虫がかかった場合、これを取り去ると当然糸が切れる。；彼はただ、その身震いを抑え切れるかどうかを心配しただけだった。；なおどのような手段をもってしても、その着信は切れることが無い。；その中に指を突っ込んだら、きっと硝子のかけらのように切れるだろう。；この際に、先端を残さないようにしなければならず、途中で切れると再生する。</t>
        </is>
      </c>
      <c r="J2262">
        <f>HYPERLINK("https://www.weblio.jp/content/切れる", "词义详情")</f>
        <v/>
      </c>
      <c r="K2262">
        <f>HYPERLINK("https://yourei.jp/切れる", "查看例句")</f>
        <v/>
      </c>
    </row>
    <row r="2263">
      <c r="A2263" t="inlineStr">
        <is>
          <t>記録</t>
        </is>
      </c>
      <c r="B2263" t="inlineStr">
        <is>
          <t>成功</t>
        </is>
      </c>
      <c r="C2263" t="inlineStr">
        <is>
          <t>読み方：きろく
［名］(スル)
１将来のために物事を書きしるしておくこと。また、その書いたもの。現在では、文字に限らず、映像や音声、それらのデジタルデータも含んでいう。「—に残す」「実験の—」「議事を—する」
２競技などで、数値として表された成績や結果。また、その最高数値。レコード。「—を更新する」
３歴史学・古文書学で、史料としての日記や書類。</t>
        </is>
      </c>
      <c r="D2263" t="inlineStr">
        <is>
          <t>記録される；記録保持者；記録更新；記録係；記録簿</t>
        </is>
      </c>
      <c r="E2263" t="inlineStr">
        <is>
          <t>収録；記述；記事；記載；登録</t>
        </is>
      </c>
      <c r="F2263" t="inlineStr">
        <is>
          <t>最多記録；最高記録；記録保持；出場記録；古い記録</t>
        </is>
      </c>
      <c r="G2263" t="inlineStr">
        <is>
          <t>記録媒体；記録映像；記録装置；記録所；記録会</t>
        </is>
      </c>
      <c r="H2263" t="n">
        <v>29</v>
      </c>
      <c r="I2263" t="inlineStr">
        <is>
          <t>以下の表はリチャードが保存していた旅行記録に基づいたものである。；これ以後、木星を観測して、その位置で年を記録することはなくなった。；また、記録の仕方によっても人や社会が影響を受けるとする考察もある。；リプレイとはテーブルトークRPGのプレイ風景を記録したものである。；家族に向けた手紙には地図を描いて送り、学んだことをフランス語で記録した。；言葉・言語を伝達し記録するために線や点を使って形作られた記号のこと。；映像機器とは、映像を表示したり、記録したりすることを目的にした機器。；記録は、安定した形で定着・保存された状態にある情報である。；通算では9勝を記録しているが、結局タイトルには手が届かなかった。；右の図はドルトンが実験を記録する際に使った記号群を示している。；インカ帝国ではキープと呼ばれる縄の道具を記録や行政管理に用いていた。；フランスで1919年頃試験線が建設されたが、詳細な記録は残されていない。；登場人物の登場の仕方や変化の仕方、展開などもノートに記録した。；第一次世界大戦は空前の戦死傷率を記録して、社会に大きな傷跡を残した。；地球以外の天体に生物が発見された事例は記録されていない。；中国では西城から伝わったとみられ、紀元前4世紀にはすでに記録がある。；没年は確実な記録はないが永正3年に87歳で没したとするものが多い。；以下は2009年から現在までのモータースポーツ活動の記録である。；テレビでは事件発生直後から、さまざまな場所・方向から記録された映像が放送された。；彼らの記録的な総販売枚数は、世界中で2億から3億枚と推定されている。；また、日本人が自転車競走に参加したのも同年、との記録がある。；とは、科学的調査の活動内で、観察と記録によって生成されるデータである。；単に容量が必要なだけであれば、複数枚のメディアに記録すれば良いからである。；このほか記録にのみ残っている作品が少なくとも10点はある。；それ以来、アイルランドは記録的な金利で長期債を売却することができた。；これが、山頂からの眺望を得るために登山をした最初の記録とされる。；CDと同様、信号の記録は非常に細かい楕円形のくぼみで行われている。；文明の発展に伴い、社会にもさまざまな事件やできごとを記録するようになった。；そのときの衝撃はアポロ11号が月面に設置した地震計に詳細に記録された。</t>
        </is>
      </c>
      <c r="J2263">
        <f>HYPERLINK("https://www.weblio.jp/content/記録", "词义详情")</f>
        <v/>
      </c>
      <c r="K2263">
        <f>HYPERLINK("https://yourei.jp/記録", "查看例句")</f>
        <v/>
      </c>
    </row>
    <row r="2264">
      <c r="A2264" t="inlineStr">
        <is>
          <t>議論</t>
        </is>
      </c>
      <c r="B2264" t="inlineStr">
        <is>
          <t>成功</t>
        </is>
      </c>
      <c r="C2264" t="inlineStr">
        <is>
          <t>読み方：ぎろん
［名］(スル)互いの意見を述べて論じ合うこと。また、その内容。「—を戦わす」「—を尽くす」「仲間と—する」</t>
        </is>
      </c>
      <c r="D2264" t="inlineStr">
        <is>
          <t>議論される；議論好き；議論百出；議論めい；議論ずき</t>
        </is>
      </c>
      <c r="E2264" t="inlineStr">
        <is>
          <t>主張；判断；態度；対立；論</t>
        </is>
      </c>
      <c r="F2264" t="inlineStr">
        <is>
          <t>様々な議論；大きな議論；活発な議論；さまざまな議論；長い議論</t>
        </is>
      </c>
      <c r="G2264" t="inlineStr">
        <is>
          <t>議論領域；議論学</t>
        </is>
      </c>
      <c r="H2264" t="n">
        <v>29</v>
      </c>
      <c r="I2264" t="inlineStr">
        <is>
          <t>このうち第3版が英語へ翻訳され、主な議論はその版の内容で行われた。；制定過程に外国人が関与した点については、議論が今もなお続いている。；文献の内容が法然自身の語った思想であるか否かについては議論がある。；どの解釈がチューリングの意図したものなのかについては議論があった。；アルタイ諸語との関係、また日本語との関係もしばしば議論の的となる。；XMLを使用すべきかとの議論が何年も続けられているが、進展は遅い。；日本でもマナー違反利用問題・無料化継続の是非が議論され出している。；次第に議会と国王との対立から議会の地位をめぐる議論が紛糾していった。；どちらも一長一短があり、両者の違いは論文などで議論されることもある。；北海道ではストーンサークルが多く発掘され考古学上議論を呼んでいる。；おそらくゲームを定義づけようとした最初の議論と考えられている。；同時期に古代教会内でも正典化の議論が本格化したと推定される。；哲学に興味を持ち、寮の友人たちと自己解放について徹夜で議論をした。；教科書に載っているような半古典近似法に関連した議論は次節で述べる。；馬に乗ったリソフチツィを題材に描いたこの絵に関して多くの議論がある。；適当な条件の下では、この議論をもっと明確化することができる。；当時は議論も多く、特にボストン市中心を通る95号線が問題とされた。；あとは全く同様の議論を繰り返すことで次の偏微分方程式が得られる。；こうした問題についての議論にはっきりとした結論は出ていない。；彼らの説は完全に受け入れられたわけではなく、この問題は今も議論が続いている。；このことから定説となるには至っておらず、現在も様々な説が議論されている。；この場合、どちらが正しいか、間違っているかの議論はあまり意味がない。；戦争中の彼の行動はかなりの議論を呼ぶこととなった。；近年になって、異文化の中で性格を研究することをテーマにした議論が出てきた。；この制約がどの程度実際の進化に影響するかについては議論がある。；この理論を元に活発に議論が行われているのが、パンスペルミア説である。；この問題は依然一部の研究者を中心に議論の的となっている。；ヒッチコックの女性の描写は、さまざまな学術的議論の対象となってきた。；この議論は現代における聖餐式に、どのようなパンを用いるかに影響する。</t>
        </is>
      </c>
      <c r="J2264">
        <f>HYPERLINK("https://www.weblio.jp/content/議論", "词义详情")</f>
        <v/>
      </c>
      <c r="K2264">
        <f>HYPERLINK("https://yourei.jp/議論", "查看例句")</f>
        <v/>
      </c>
    </row>
    <row r="2265">
      <c r="A2265" t="inlineStr">
        <is>
          <t>疑惑</t>
        </is>
      </c>
      <c r="B2265" t="inlineStr">
        <is>
          <t>成功</t>
        </is>
      </c>
      <c r="C2265" t="inlineStr">
        <is>
          <t>読み方：ぎわく
本当かどうか、不正があるのではないかなどと疑いをもつこと。また、その気持ち。疑い。「—の目で見る」「—を招く言動」「—が晴れる」
[補説]書名別項。→疑惑</t>
        </is>
      </c>
      <c r="D2265" t="inlineStr">
        <is>
          <t>疑惑事件；疑惑をかけられ；疑惑をもたれ；疑惑報道；疑惑をいだか</t>
        </is>
      </c>
      <c r="E2265" t="inlineStr">
        <is>
          <t>不明；疑問；疑い；不安定；不審</t>
        </is>
      </c>
      <c r="F2265" t="inlineStr">
        <is>
          <t>恐ろしい疑惑；不正疑惑；ドーピング疑惑；深い疑惑；不倫疑惑</t>
        </is>
      </c>
      <c r="G2265" t="inlineStr">
        <is>
          <t>疑惑の判定；疑惑の影；疑惑の家族</t>
        </is>
      </c>
      <c r="H2265" t="n">
        <v>29</v>
      </c>
      <c r="I2265" t="inlineStr">
        <is>
          <t>上記の説に加えツインタワーの崩壊には他にも疑惑があるといわれている。；特に有名なものを挙げるが、やらせ写真との疑惑があるものもある。；オリゲネスが異端の疑惑をうけたのは以下のような理由からであった。；その声は中國ではないかと放映当初において視聴者から疑惑が出ていた。；下記は大会中各種メディアによって疑惑報道がなされた事例である。；ヤラが権力を保持するために選挙規定の改竄をしているとの疑惑が広がった。；夫に殺されるのではとの疑惑の念に取り憑かれた新妻を描いている。；コッホは関与を否定しつつも解明を約束したが、疑惑は消えなかった。；こうしたことが彼の死にまつわる疑惑を形成することにもなった。；父親はこの疑惑を否定したが、別居中の母親が警察に訴えたため同日逮捕された。；ロシアはこの事件に関与したとの疑惑を否定している。；翌29日には、同疑惑に関連して捜査を受けていた山崎進一が自殺している。；本事件は冤罪疑惑があることで知られ、以下の点がピックアップされている。；そして告発を受けた検察によってこの疑惑が捜査されることになった。；これらの研究に当初から疑惑が無かったわけではない。；このため選挙直後から不正疑惑をめぐって政権を批判するデモが開かれた。；一方で、大統領となって以降も汚職疑惑は次々と出てきている。；汚職疑惑をめぐる調査委員会への出席を求める司法命令に応じていなかった。；加えて、工連の交際費から政治献金をしているとの疑惑も持ち上がった。；よって、中国が第三国経由で武器・弾薬を横流しした疑惑が持たれている。；その後、党の調査で新たに秘書、スタッフに対する暴行疑惑も判明した。；だが、経済の停滞や度重なる汚職疑惑により国民の支持を失っていった。；しかし同年シリーズの第7戦では大杉勝男に疑惑の本塁打を打たれた。；このことから内容に疑惑が持たれるようになった。；しかしその直後からその瓶子は贋作ではないかという疑惑がもたれていた。；に公表されたミッチェル報告書の中で不正薬物使用の疑惑があると指摘された。；これは、太陽ですら完全なものではないという疑惑を投げかける発見になった。；国益のための軍事的な行動は国際社会にとっては疑惑の対象となるからである。；姫井の不倫疑惑や離党届の提出騒動などを問題視した結果であるとしている。</t>
        </is>
      </c>
      <c r="J2265">
        <f>HYPERLINK("https://www.weblio.jp/content/疑惑", "词义详情")</f>
        <v/>
      </c>
      <c r="K2265">
        <f>HYPERLINK("https://yourei.jp/疑惑", "查看例句")</f>
        <v/>
      </c>
    </row>
    <row r="2266">
      <c r="A2266" t="inlineStr">
        <is>
          <t>極めて</t>
        </is>
      </c>
      <c r="B2266" t="inlineStr">
        <is>
          <t>成功</t>
        </is>
      </c>
      <c r="C2266" t="inlineStr">
        <is>
          <t>読み方：きわめて
［副］
１程度がはなはだしいさま。この上なく。非常に。「解決は—難しい」「病状は—悪い」
２きっと。必ず。
「こは—やうある事にこそ」〈読・弓張月・後〉</t>
        </is>
      </c>
      <c r="D2266" t="inlineStr">
        <is>
          <t>極めて高い(3%)；極めて少ない(2%)；極めて低い；極めて珍しい；極めて少なく</t>
        </is>
      </c>
      <c r="E2266" t="inlineStr">
        <is>
          <t>よく；最も；非常；非常に；かなり</t>
        </is>
      </c>
      <c r="F2266" t="inlineStr">
        <is>
          <t>極めて難しい；極めて多く；極めて大きい；口を極めて；極めて低く</t>
        </is>
      </c>
      <c r="H2266" t="n">
        <v>29</v>
      </c>
      <c r="I2266" t="inlineStr">
        <is>
          <t>自ら地元の教会内に用意し、死後に埋葬された墓地は極めて質素である。；この段階になればもはや事態を収拾しようとすることは極めて困難となる。；これは中世に行われていた極めて不合理な裁判を排除するものである。；生息環境は様々であり、上記のゴキブリのように極めて身近な例もある。；この対策はうまくいき、女真の間での抗争は極めて激しいものとなった。；警察はどこにも存在しないし、犯罪を抑圧する手段は極めて限られている。；古丁銀は以下のものが知られているが、いずれも現存極めて稀少である。；そのため熱帯低気圧を接近前に観測して対策をとることは極めて重要である。；また、旧ユーゴスラビア諸国出身のサッカー監督は極めて多いと言える。；野球を好んでしている描写はあるが、基本的に運動能力は極めて低い。；リストは で極めて頻繁に用いられるため、特別な構文が用意されている。；しかし、必須元素では無いため、効果は極めて小さいと考えられている。；ヤクシマの名を冠した植物は極めて数が多く、以下のようなものがある。；これは中世西欧社会が極めて非中央集権的な社会となる要因となった。；隕石と称して岩石を売る業者があるが、本物である可能性は極めて低い。；彼の父親は極めて立派な人物であり、私も非常に尊敬しています。；日本の司法試験が極めて難関であることは海外の弁護士にも知られている。；このレンズの利点は、 といったものであり、特性は極めて優れている。；日本書紀と比較すると、古事記の記事は極めて簡潔なものになっている。；場所は東は上総国、西は肥後国と当時の物語としては極めて範囲が広い。；このため、ペグの調整が不完全な状態であると調弦が極めて困難である。；以来、再打上げの噂があるが現在の政治情勢ではその可能性は極めて低い。；船を守る兵がいなかったので極めて容易なことであった。；現時点ではこの時代がどのようなものになるかを決定することは極めて困難である。；この調子で損失が続けば、その数は極めて大きなものとなるだろう。；大学の漫画研究会出身で、初の連載でヒットという極めて稀な例であった。；後者の意味での鎖はツォルンの補題で極めて重要な役割を果たす。；後世アッシリアと呼ばれる地方に人が居住し始めたのは極めて古い。；当時としては極めて正確かつ包括的な天体観測を実施したことで知られる。</t>
        </is>
      </c>
      <c r="J2266">
        <f>HYPERLINK("https://www.weblio.jp/content/極めて", "词义详情")</f>
        <v/>
      </c>
      <c r="K2266">
        <f>HYPERLINK("https://yourei.jp/極めて", "查看例句")</f>
        <v/>
      </c>
    </row>
    <row r="2267">
      <c r="A2267" t="inlineStr">
        <is>
          <t>極める</t>
        </is>
      </c>
      <c r="B2267" t="inlineStr">
        <is>
          <t>成功</t>
        </is>
      </c>
      <c r="C2267" t="inlineStr">
        <is>
          <t>読み方：きわめる
［動マ下一］［文］きは・む［マ下二］
１（極める）これより先はないというところまで行き着く。「富士山頂を—・める」「頂点を—・める」
２（極める・窮める）極点に達した状態になる。この上もない程度までそうなる。「ぜいたくを—・める」「困難を—・める」
３（極める）残るところなく尽くす。「口を—・めてほめる」「理を—・めて言う」
４（究める・窮める）深く研究して、すっかり明らかにする。「真理を—・める」「道を—・める」
５終わらせる。
「この渚に命をば—・めむ」〈源・明石〉
６決める。定める。
「何(いづ)れも様、これに—・めさせられまするか」〈虎寛狂・鬮罪人〉
７「きわまる」に同じ。
「数ふるも三冬の後の冬なればいとど寒さの—・めゆくかな」〈新撰六帖・一〉</t>
        </is>
      </c>
      <c r="D2267" t="inlineStr">
        <is>
          <t>極める格闘技における関節技；極める場合もあれ</t>
        </is>
      </c>
      <c r="H2267" t="n">
        <v>29</v>
      </c>
      <c r="I2267" t="inlineStr">
        <is>
          <t>ひとつのことを極めるには、あまりにあちこちに寄り道をしすぎなのだ。；その間の表現は自在を極めるに至るこそ人間と人間との接触の理想であろう。；戦争は今後更に凄惨にして最悪を極めることを覚悟しなければならぬ。；前転しないで横転し、相手を首を刈って後方に倒して極める方法もある。；演技だと分かってはいるものの、その光景は凄惨を極めるものだった。；彼は、高さを極めるというスポーツの限界に敗れたわけではなかった。；また、こうした歴史を、詳細を極める数多くのイラストに残している。；長州処分が不振を極める中で幕兵の士気は落ち、幕府の財政は悪化した。；どうなるか確かな事はもちろん今から極めることは出来ない。；服以外の髪型や靴なども同様に変化し、絢爛豪華さを極めるようになった。；この一大魔術組織がどちらに着くのか、予想するのは困難を極めるだろう。；相手と同じ向きで極める場合が多いが逆向きで極める場合もある。；うつ伏せの相手に極める場合が多いが仰向けの相手に極める場合もある。；戦局が困難を極める1944年には、複数の東條英機暗殺が計画された。；自分が製造しておらぬものを自分の所有と極める法はなかろう。；さらに国家腐敗が進行しているため、事態は深刻さを極めるものとなっている。；かくして吾輩はついにこの家を自分の住家と極める事にしたのである。；両手または片手で受けの右手首を掴み、受けの背中側に持っていき極める。；しかし、それは一般の人々の人生の方向を極める時の役には立たないと思います。；そうなれば、この男が再び職を見つけることは困難を極めることは間違いない。；真理を極めるのは僧の務めであり、それを信じるのは衆生の務めであった。；講師として多忙を極める中、電気学の歴史について執筆することを決意。；また、タッグマッチで相手二人を同時に極める技を持っているのも特徴である。；それがつまりは、内的な感動を表現する諸条件を極めるということだ。；仏の道を極める畢生の覚悟をもたらしてくれた八本の御手に。；今を生き延びさえすれば、藍原組は紺野の元に再び繁栄を極めるだろう。；全体の調整はできるけど、一つのものを極めることはできない。；ところが記録のある時代は、どうかするとそれを一つに極めることが出來ます。；浮固の体勢で相手の背中に膝を押し当ててから極めるキャメルクラッチ。</t>
        </is>
      </c>
      <c r="J2267">
        <f>HYPERLINK("https://www.weblio.jp/content/極める", "词义详情")</f>
        <v/>
      </c>
      <c r="K2267">
        <f>HYPERLINK("https://yourei.jp/極める", "查看例句")</f>
        <v/>
      </c>
    </row>
    <row r="2268">
      <c r="A2268" t="inlineStr">
        <is>
          <t>究める</t>
        </is>
      </c>
      <c r="B2268" t="inlineStr">
        <is>
          <t>成功</t>
        </is>
      </c>
      <c r="C2268" t="inlineStr">
        <is>
          <t>読み方：きわめる
［動マ下一］［文］きは・む［マ下二］
１（極める）これより先はないというところまで行き着く。「富士山頂を—・める」「頂点を—・める」
２（極める・窮める）極点に達した状態になる。この上もない程度までそうなる。「ぜいたくを—・める」「困難を—・める」
３（極める）残るところなく尽くす。「口を—・めてほめる」「理を—・めて言う」
４（究める・窮める）深く研究して、すっかり明らかにする。「真理を—・める」「道を—・める」
５終わらせる。
「この渚に命をば—・めむ」〈源・明石〉
６決める。定める。
「何(いづ)れも様、これに—・めさせられまするか」〈虎寛狂・鬮罪人〉
７「きわまる」に同じ。
「数ふるも三冬の後の冬なればいとど寒さの—・めゆくかな」〈新撰六帖・一〉</t>
        </is>
      </c>
      <c r="D2268" t="inlineStr">
        <is>
          <t>究めるべく</t>
        </is>
      </c>
      <c r="E2268" t="inlineStr">
        <is>
          <t>覚える；検討する；分析する；論じる；極める</t>
        </is>
      </c>
      <c r="H2268" t="n">
        <v>29</v>
      </c>
      <c r="I2268" t="inlineStr">
        <is>
          <t>兎にしても、そのくらいの見究めははじめからついているつもりでした。；深く学問を究めたこともなく、新しい知識を貪欲に吸収したこともない。；彼等がこの上どんな挙動に出るかを究めてみなければならなくなりました。；つまらないことでもいいから、一つの道を究めた者は何かを掴んでいる。；ものの真相はなかなか小さな虫の生活でさえ究められるものではない。；地上時代の学問は、形態的には、かなりのところまで究められていた。；彼は廊下に人気の絶えたのを見究めてから、密に男の室へ入って見た。；このことなくしては、伊藤律を見究めることは困難なような気がする。；女の武器を最高に利用して、女の可能性の限界を見究めるために。；ここで正面から見究めねばならないような気持になっていた。；すっぽんを買うときには、よく爪の先を究めねばならないのである。；たとい八万の法蔵を究めたとて、極楽の門が開けるわけではありません。；なぜならわたしの知識の程度では、それ以上のことを究めるのは不可能なのである。；古代文化を究めるために今残されている最も大切な文化財である。；かくするには地震や火山の何物であるかを究めることが第一である。；したがって、その本性を究めることは、本来的に生物学の一分野となる。；科学や哲学で究めても解らないものなら文学や宗教でどうして満足出来る乎。；三年の旅から戻られたのは、剣を究められたからか、世津殿への妄執か?；書いてあることが実際あったことでなければ、それは何であるかを究めずにはおきません。；もちろん、究めるほどその真相へ近づくことはできるかも知れません。；能では、どうすれば人がいちばん動かないで動き得るかを究めてゐるやうである。；しかしこの問題を究めるためには、雪そのものの正体を掴まなければならない。；私のための小さいサマリア女は多分自分の働きの結果を一層よく見究めるためだったろう。；わたしは自分の反抗心を見究めて、それをあらゆるものに向けた。；自分の不徳をいい出すには、それを見かつ究めなければならない。；彼の理を究めた確実な目に対しては、取巻き連も取りつく島がなかった。；かようにして科学の前提となっているものを究め、その根拠を明かにするのが哲学である。；本来大学は、自分で究めてみたい分野、自分で研究したいテーマがあって行くところだ。；劇作に於ても、その例外の生れるところを究めなくてはなりません。</t>
        </is>
      </c>
      <c r="J2268">
        <f>HYPERLINK("https://www.weblio.jp/content/究める", "词义详情")</f>
        <v/>
      </c>
      <c r="K2268">
        <f>HYPERLINK("https://yourei.jp/究める", "查看例句")</f>
        <v/>
      </c>
    </row>
    <row r="2269">
      <c r="A2269" t="inlineStr">
        <is>
          <t>気を付ける</t>
        </is>
      </c>
      <c r="B2269" t="inlineStr">
        <is>
          <t>成功</t>
        </is>
      </c>
      <c r="C2269" t="inlineStr">
        <is>
          <t>読み方：きをつける
１注意を払う。「失礼のないように—・ける」
２元気をつけさせる。
「なまじひなる事し出して敵に—・けつることよ」〈太平記・三〇〉
３気づかせる。思い出させる。
「中々なる軍(いくさ)して敵に—・けてはかなふまじとて」〈太平記・三二〉</t>
        </is>
      </c>
      <c r="D2269" t="inlineStr">
        <is>
          <t>警戒する；目を向ける；注意を払う；留意する；注意を向ける</t>
        </is>
      </c>
      <c r="H2269" t="n">
        <v>29</v>
      </c>
      <c r="I2269" t="inlineStr">
        <is>
          <t>いずれかの要素ばかり気にして、他の要素を無視するようでは良くない。；これらのことからノーベルは死後の評価を気にするようになったという。；気は目には見えないが何らかの働きのあるものととらえることができる。；日本人が観ても気恥ずかしさを感じないことを意図した作品となった。；斉信は時間になっても辞去する気になれず、二人して泣き続けたという。；一方で自分が足を引っ張っていることを気にしているような場面も見られる。；こうなると当然最終戦も稲尾との雰囲気になり稲尾自身もその気になる。；試合中アキレス腱が切れたが気にする事はなくそのまま試合を続けたそう。；以上をまとめて命名の先頭に立体配置命名を付けると次のようになる。；また、イングランドでは二枚の布を胸に縫い付けることが義務化された。；気がつくと2時間半経過しており、その間の記憶は一切失われていたという。；またファルマリの方は逆にメルコールの方が全く気にもかけなかった。；知られている限り、全ての藍藻は好気環境下で酸素発生型光合成を行う。；すっかりその気になって痛みも忘れた新郎と、いそいそとその場を去る。；予約人数を変更したことが気になって様子を見に来たのだった。；藤上はただ弁護士を付けろとだけ繰り返し、大鼾をかいて寝てしまった。；パウリは自分の研究成果が彼の名前で紹介されないことになっても気にしなかった。；それを無視して、ふと気が付けば、村中の男たちが彼を殺す準備をしていた。；このときの出会いはマルクスの誤解もあって、実に素気ないものであった。；それに初めての芝を気にしたのか、直線で追ってもあんまり延びない。；それにしてもかなり深い問題を抱えているような気がする。；VR元年は実は人間の歴史とともに始まったと言えるような気もする。；しかし以下の表のように、表記上は有声音・気音がそのまま保たれる。；気をつけなければならないのは無痛性狭心症というものもあることである。；だがホスの極寒の吹雪に巻き込まれ、雪の中で気を失って倒れてしまう。；自らで操縦し各国を時間を気にせずに移動するようになった。；アニメでもグレートサイヤマンの正体と同じくらい強さが気になると発言していた。；自動車のナンバープレートは郡名の最初の文字を付けることになっている。；FNN結成後は系列放送局が独自のタイトルを付けるようになっていった。</t>
        </is>
      </c>
      <c r="J2269">
        <f>HYPERLINK("https://www.weblio.jp/content/気を付ける", "词义详情")</f>
        <v/>
      </c>
      <c r="K2269">
        <f>HYPERLINK("https://yourei.jp/気を付ける", "查看例句")</f>
        <v/>
      </c>
    </row>
    <row r="2270">
      <c r="A2270" t="inlineStr">
        <is>
          <t>金色</t>
        </is>
      </c>
      <c r="B2270" t="inlineStr">
        <is>
          <t>成功</t>
        </is>
      </c>
      <c r="C2270" t="inlineStr">
        <is>
          <t>読み方：かないろ
１金属の色。
２金めっき、または、真鍮(しんちゅう)製の銚子や提子(ひさげ)。〈易林本節用集〉</t>
        </is>
      </c>
      <c r="D2270" t="inlineStr">
        <is>
          <t>金色燦然たる；金色髑髏；金色の巻き毛；金色燦爛；金色の縁取り</t>
        </is>
      </c>
      <c r="E2270" t="inlineStr">
        <is>
          <t>金；黄色；黄金；山吹色；黄金色</t>
        </is>
      </c>
      <c r="F2270" t="inlineStr">
        <is>
          <t>金色燦然；淡い金色；大きな金色；長い金色；美しい金色</t>
        </is>
      </c>
      <c r="G2270" t="inlineStr">
        <is>
          <t>金色堂；金色のライオン；金色のリボン；金色の翼；金色院</t>
        </is>
      </c>
      <c r="H2270" t="n">
        <v>29</v>
      </c>
      <c r="I2270" t="inlineStr">
        <is>
          <t>頭部と前胸の背面には金色の毛が密生しているのはこの種の特徴である。；するとさっきの金色の生物がアメーバ状の透明な姿に変えて迫ってきた。；村には夜になると金色の牝馬がやって来て、畑を荒らされて困っていた。；現在の時刻は先端に金色の球か太陽の絵が付けられた時針で示される。；これらの中には、背景が銀色でなく金色になっているものも、時々ある。；有効期限表示部分の地の色が金色となっていることからこう呼ばれる。；その円光はぼんやり黄金いろにかすみうしろにある青い星も見えました。；渦の中心からピラミッドが現れ、その中から巨大な金色の像が出現した。；すると、女の子の指は、そっくりそのまま金いろになってしまいました。；司令官用の金色の制服ではなく、科学・医療部門用の青の制服を着用する。；王は不思議に思い、その岩を動かしてみると金色の蛙の姿をした子供がいた。；その鳥の羽は、どこからどこまですっかり金いろに輝いていました。；マヌはその金色の魚を瓶の中に入れて育てたが、魚はすぐに大きくなった。；その黄色が光を受けるさまを金色と見たのが名の由来である。；町の旗は、1980年3月17日に制定されたもので、緑と金色である。；近隣の丘が朝日を浴びて金色に輝くのにちなんで名づけられたとされる。；またこの場合8分の1の確率でドンちゃんゲーム時の表示が金色になる。；全体を囲む金色の帯の中には、計画名と飛行士の名前が記されている。；もっともよく知られたビールは金色をしたデリリウム・トレメンスである。；スペシャル版の時や公式サイトなどでは金色で表示されることが多い。；空の黄金いろに染まるのをながめていて、夏の夕暮れの近いのがわかった。；スペインの国章の城との違いは門の色が青ではなく金色となっている箇所である。；側面と端面の上部は金色に、下部は暗いオリーブグリーンに塗装された。；外はもう太陽がすっかり沈んで、西の空は美しい黄金いろに照りはえていた。；彼の左側面は赤に金色の横帯が入り、銀のポールがその一部を覆っている。；でも、わたしには、この方の黄金いろの髪の毛でもうわかっていたの。；太陽はしばしば金色の球で表され、24時間で地球のまわりを1周する。；成熟すると皮が金色にみえることから「黄金のなす」ともいわれている。；指揮官専用機体は頭部パーツが変更され、ウイングが金色に変更される。</t>
        </is>
      </c>
      <c r="J2270">
        <f>HYPERLINK("https://www.weblio.jp/content/金色", "词义详情")</f>
        <v/>
      </c>
      <c r="K2270">
        <f>HYPERLINK("https://yourei.jp/金色", "查看例句")</f>
        <v/>
      </c>
    </row>
    <row r="2271">
      <c r="A2271" t="inlineStr">
        <is>
          <t>銀色</t>
        </is>
      </c>
      <c r="B2271" t="inlineStr">
        <is>
          <t>成功</t>
        </is>
      </c>
      <c r="C2271" t="inlineStr">
        <is>
          <t>読み方：ぎんいろ
銀のような輝きのある灰白色。しろがねいろ。「—の翼」</t>
        </is>
      </c>
      <c r="D2271" t="inlineStr">
        <is>
          <t>銀色塗装；銀色の細い</t>
        </is>
      </c>
      <c r="E2271" t="inlineStr">
        <is>
          <t>銀；シルバー；シルヴァー；銀灰色；銀鼠</t>
        </is>
      </c>
      <c r="F2271" t="inlineStr">
        <is>
          <t>小さな銀色；長い銀色；大きな銀色；青銀色；銀色の胸部装甲</t>
        </is>
      </c>
      <c r="G2271" t="inlineStr">
        <is>
          <t>銀色の雨；銀色の少女；銀色の悪夢；銀色の道；銀色の空</t>
        </is>
      </c>
      <c r="H2271" t="n">
        <v>29</v>
      </c>
      <c r="I2271" t="inlineStr">
        <is>
          <t>すぐ目の前の地面に、小さな銀色に光ったものが、落ちていたからです。；両社のレース用車両はともに銀色の車体をしていたことからそう呼ばれた。；これらの中には、背景が銀色でなく金色になっているものも、時々ある。；しかるにAncemaでは多少とも銀色を帯びているなどの違いがある。；ブレーキは、使用時の熱で銀色から金色に変化するように作られている。；向かって右は、赤地に銀色の鍵が中央の分割線から半分だけ現れている。；身は細長い銀色をしており、頭は比較的鋭く、口はやや上を向いている。；二級は端に黒線の入った銀色の台布に黒の戦車が刺繍されている。；すると、あとには銀色の細いナイフの刃のようなものが残りました。；その中央に有名な飛行の詳細を記した銀色の地球儀が置かれている。；男は、小さな箱の中から、銀色に光る小豆粒ほどの石を取り出しました。；体色は銀色または黄褐色で、目を通る位置と頭部後方に黒色の帯が入る。；赤地に銀色で、翼を持ち武装した人物が銀のドラゴンと戦っている図柄。；全身が白い姿をしているが、ゲーム中では銀色の羽を持つと言われることが多い。；上部は青地に、銀色で赤い舌を出した馬の頭部が右向きに描かれている。；全体を覆っていたのは銀色から青を経て緑に至る虹のような光沢です。；主部は四分割で向かって左上と右下が銀色、右上が黒、左下が赤である。；左側は銀色逆向き斜め帯の下に赤い爪と舌を持った左右逆向きの黒い獅子。；塔の大きな門の中に金色の獅子と引き上げられた銀色の格子が見られる。；その上と下にそれぞれ1つずつ金の蕊を持つ銀色のバラが描かれている。；その上部は、青地で銀の山に一本の塔をもつ赤い屋根の銀色の教会。；シルバーとはいうものの背景色によって銀色以外にも様々な種類がある。；そんな中に銀色の鱗状の部分を持ち、銀色の金属光沢を持つものもある。；太陽は銀色になったり、周りに青い光冠を伴って青色になったりする。；表面は銀色に代表される金属光沢があると報告されることが多い。；上記のように海生魚の大部分は銀色ががることでカモフラージュされている。；図柄: 9つの食塩の結晶を並べた形を模した銀色の横帯で上下二分割。；中には1963年に初登場した青色と銀色のダーレクも登場している。；すると僕の眶の裏に銀色の羽根を鱗のように畳んだ翼が一つ見えはじめた。</t>
        </is>
      </c>
      <c r="J2271">
        <f>HYPERLINK("https://www.weblio.jp/content/銀色", "词义详情")</f>
        <v/>
      </c>
      <c r="K2271">
        <f>HYPERLINK("https://yourei.jp/銀色", "查看例句")</f>
        <v/>
      </c>
    </row>
    <row r="2272">
      <c r="A2272" t="inlineStr">
        <is>
          <t>禁煙</t>
        </is>
      </c>
      <c r="B2272" t="inlineStr">
        <is>
          <t>成功</t>
        </is>
      </c>
      <c r="C2272" t="inlineStr">
        <is>
          <t>読み方：きんえん
［名］(スル)
１タバコを吸う習慣を断つこと。「健康のため—する」
２タバコを吸うのを禁止すること。「—車」</t>
        </is>
      </c>
      <c r="D2272" t="inlineStr">
        <is>
          <t>禁煙化(4%)；禁煙運動；禁煙学会；禁煙治療；禁煙法</t>
        </is>
      </c>
      <c r="F2272" t="inlineStr">
        <is>
          <t>全席禁煙；禁酒禁煙；全館禁煙；日本禁煙；全車禁煙</t>
        </is>
      </c>
      <c r="G2272" t="inlineStr">
        <is>
          <t>禁煙車；禁煙パイポ；禁煙外来；禁煙タクシー；禁煙ファシズム</t>
        </is>
      </c>
      <c r="H2272" t="n">
        <v>29</v>
      </c>
      <c r="I2272" t="inlineStr">
        <is>
          <t>こうやってみても絶対に禁煙するまでになるにはおよそ一年かかった。；横須賀・総武快速線はこの区間に指定されており全面禁煙となっていた。；デッキとコンパートメント席を除き運転開始当初から禁煙とされていた。；神奈川県条例では以下の交通関係施設を第1種禁煙施設に指定している。；煙草をやめて六カ月になるが、禁煙というのも楽しみの一種かも知れぬ。；しかし、禁煙令だけはあまり効果をあげることができなかったらしい。；ニコチン・タールが入っていないので、禁煙するために使われたりする。；ただし禁煙運動が進む中、この引き下げには慎重論も根強く残っている。；「ここは禁煙よ、お・じ・さ・ま」 河合は苦笑すると原に頭を下げた。；私は一生禁煙しようと思わぬし、思っても実行出来る私ではない。；またこの改正でデッキに設置されていた灰皿が撤去され全面禁煙となった。；また健康面にも配慮されており、全社的に禁煙制度が導入されている。；高梨は禁煙運動にも抵抗しているし、夫婦の危機にも抵抗している。；通知の内容によっては国や自治体に全面禁煙反対の要望をすると語った。；禁煙に指定されている場所での喫煙は30万円以下の罰金に処せられる。；手術後は禁酒とともに禁煙を行ったが、その後再び喫煙を再開している。；いまの目標は禁煙にあり、それには人に会わないほうがいいのです。；第二次世界大戦後から始まる禁煙運動は主にアメリカ合衆国から始まって。；この法律が施行されたことにより、様々な施設で禁煙・分煙が進み始めた。；公園内には喫煙場所が設けられており、そのほかの場所では禁煙となっている。；私と番頭はつい先日も禁煙の勝負をして、互いにすぐ負けてしまった。；「ここ禁煙なんですけど」 私が言うと横目で睨み返し、煙草を戻した。；ヘビースモーカーが禁煙するときの気持ちのようなものでしょうか。；しかし、みさえの出産が近づいたのを期に禁煙し、現在は吸っていない。；病室内は禁煙ですから、煙草は必ず廊下中央の喫煙室で吸ってください。；勾留中は禁煙を余儀なくされていたから、煙草が肺に沁みてうまかった。；スウェーデンも同様の禁煙法を2005年7月1日付から施行させた。；全面禁煙の場所においてはたばこの販売は原則として認められていない。；禁煙してやめられない人は、何度断念したか正確に覚えてますか?</t>
        </is>
      </c>
      <c r="J2272">
        <f>HYPERLINK("https://www.weblio.jp/content/禁煙", "词义详情")</f>
        <v/>
      </c>
      <c r="K2272">
        <f>HYPERLINK("https://yourei.jp/禁煙", "查看例句")</f>
        <v/>
      </c>
    </row>
    <row r="2273">
      <c r="A2273" t="inlineStr">
        <is>
          <t>金額</t>
        </is>
      </c>
      <c r="B2273" t="inlineStr">
        <is>
          <t>成功</t>
        </is>
      </c>
      <c r="C2273" t="inlineStr">
        <is>
          <t>読み方：きんがく
具体的な数字で表される金銭の量。きんだか。「莫大(ばくだい)な—」</t>
        </is>
      </c>
      <c r="D2273" t="inlineStr">
        <is>
          <t>金額式；金額以上；金額ベース；金額分；金額表示</t>
        </is>
      </c>
      <c r="E2273" t="inlineStr">
        <is>
          <t>額；値；価格；料金；値段</t>
        </is>
      </c>
      <c r="F2273" t="inlineStr">
        <is>
          <t>合計金額；額面金額；同じ金額；一定金額；必要な金額</t>
        </is>
      </c>
      <c r="H2273" t="n">
        <v>29</v>
      </c>
      <c r="I2273" t="inlineStr">
        <is>
          <t>ルピーが最も多く使われている国家は、人口・金額ともにインドである。；資料によれば当時の金額で約1200万円ほどだったといわれている。；ある研究では、被験者は実際の金額の分配を決める行動実験に参加した。；大抵は保釈される被告人の逃亡のおそれがないような金額が設定される。；ニ号研究に投入された研究費は、当時の金額で約2000万円であった。；これに非消費支出分を加算した金額が相対的貧困線以上の実収入となる。；このため、国民生活は実質的な収入金額以上に安定しているといえる。；この金額は最終的に全て達成され、最終合計額は676万円に上った。；チャンスゲームには賞品の種類や金額に合わせて様々なものがあった。；子供が得ることができる金額は、契約されている仕事の種類に基づくこととなる。；これで紙に金額を書くと、それを小切手のように現金として使用できる。；乗車券においては、通常の乗車区間表記の他に金額式表記のものもある。；その規模は金額ベースで日本最大であり知名度は群を抜いていた。；ノーマルに近い状態で残っているものは常識外れの金額で取引されている。；日本アニメの主な輸出先は北米で、金額では過半数を占めると言われる。；ただし、以下の場合にはこの料金を使用せず、特に定めた金額となる。；諸侯から贈られる金額は相当の額に及び、そのため生活は楽であった。；自分が一生の間に酒によって失った金額をすべて計算するというものである。；この場合、新たに3人を決め直してから同じ商品の金額を当ててもらっていた。；おつりはもらえないので、乗る前にちょうどの金額を用意する必要がある。；入札の金額幅はこの時点で400億円超のレベルと推察されたという。；普請金は組合の位置する場所によって課せられる金額が異なっていった。；第3次長期計画は3兆円近い膨大な金額の設備投資を伴う計画であった。；この金額は発売されなかった新薬の研究開発費用も含めた金額である。；当時の金額で2億円の工事費が投入されたとも伝わっている。；家計調査では、家計が支出した金額だけでなく購入数量も調査している。；これに加え以下の各金額相当額をサラリーキャップに加算することができる。；そのため金額の変更を行うには国会の決議が必要との指摘がある。；この金額は損益に関係なく行われるもので、固定給に近いものである。</t>
        </is>
      </c>
      <c r="J2273">
        <f>HYPERLINK("https://www.weblio.jp/content/金額", "词义详情")</f>
        <v/>
      </c>
      <c r="K2273">
        <f>HYPERLINK("https://yourei.jp/金額", "查看例句")</f>
        <v/>
      </c>
    </row>
    <row r="2274">
      <c r="A2274" t="inlineStr">
        <is>
          <t>近眼</t>
        </is>
      </c>
      <c r="B2274" t="inlineStr">
        <is>
          <t>成功</t>
        </is>
      </c>
      <c r="C2274" t="inlineStr">
        <is>
          <t>読み方：ちかめ
１近視。近視眼。⇔遠目。
２目先のことにとらわれた見方。あさはかな考え。
「目の先ばかり見える—どもを相手にするな」〈鴎外・阿部一族〉</t>
        </is>
      </c>
      <c r="D2274" t="inlineStr">
        <is>
          <t>近眼鏡(25%)；近眼らしい四十前後</t>
        </is>
      </c>
      <c r="F2274" t="inlineStr">
        <is>
          <t>強い近眼；ド近眼；分厚い近眼</t>
        </is>
      </c>
      <c r="H2274" t="n">
        <v>29</v>
      </c>
      <c r="I2274" t="inlineStr">
        <is>
          <t>左内は近眼なので、細かい作業をする時や本を読む時は眼鏡を使用する。；しかしその近眼のせいで全く関係の無い人物や物に話しかけてしまう。；非常な近眼で文字の大きい漢籍でも眼鏡にくつつけるやうにして読んだ。；ただし、ひどい近眼で、ふだんは目の前のものもはっきりしないという。；そして近眼鏡の奥に眼を一つぎろりとさして、それから向うへ出て行った。；びっくりした近眼の乳母はその立派な乳母車を押して帰ってきてしまった。；近眼であり、それが彼の他人に無関心な超然性に影響を与えていたという。；バビントン氏は、人の好さそうな近眼の眼で部屋のなかを眺め廻していた。；その原因を何であるとも気がつかずに居たが、それは近眼であるためであつた。；彼女のひどい近眼が一層頭にわるいのだろうと思い、不安を覚えた。；別に何か怒っているわけではなく、ただ近眼ゆえのことである。；若い頃は軽い近眼だったが、最近は小さい文字が見えにくくなった。；そして大きな近眼鏡をかけその向うの眼はまるで黄金いろでした。；やつ、ひどい近眼で、おれが声をかけても、そばへ来るまでわからないんだ。；近眼の伸子にも、そこまで近づいた父親の顔は手にとるように見わけられた。；勉強家らしく、強度の近眼だと思われるのになぜか、眼鏡をかけていない。；しかもメモをとる時には近眼なのか、女子学生のような眼鏡をかけていた。；こう云っている男は近眼目がねを掛けた痩男で、柄にない大きな声を出すのである。；今にして私は私の近眼でなかったことを幸いと思う。；分厚い近眼鏡の奥から白い三角の眼で見つめられるたびに、そう思う。；ヘレナは近眼のこともあって、夫のからだに触れそうになるまで近づいていった。；これをかけるのを陽二はあまり好きではないらしいのだが、もともと私はひどい近眼だった。；どっちにしろ、実際にすれ違った時は、ひどい近眼の目で見ているわけだ。；近眼の方は、眼鏡をとって遠くのものをのぞいてためしてごらんなさい。；試みに眼鏡屋へ行ってみたが、近眼の度が進んでるのではなかった。；岩崎の目は近眼鏡の奥で、いつものような人の魂を凍らせる冷酷さで光る。；博士は例の強い近眼鏡を光らせて、崩壊してゆく自動車を熱心にじっと見つめていた。；このあいだまでは近眼だったけど、この頃は気のせいか老眼もきてるような気がするの。；近眼だから、哲朗がなにを指さしているのか、よく見えないのである。</t>
        </is>
      </c>
      <c r="J2274">
        <f>HYPERLINK("https://www.weblio.jp/content/近眼", "词义详情")</f>
        <v/>
      </c>
      <c r="K2274">
        <f>HYPERLINK("https://yourei.jp/近眼", "查看例句")</f>
        <v/>
      </c>
    </row>
    <row r="2275">
      <c r="A2275" t="inlineStr">
        <is>
          <t>緊急</t>
        </is>
      </c>
      <c r="B2275" t="inlineStr">
        <is>
          <t>成功</t>
        </is>
      </c>
      <c r="C2275" t="inlineStr">
        <is>
          <t>読み方：きんきゅう
［名・形動］重大で即座に対応しなければならないこと。また、そのさま。「事は—を要する」「—な（の）用事がある」</t>
        </is>
      </c>
      <c r="D2275" t="inlineStr">
        <is>
          <t>緊急脱出(3%)；緊急用(3%)；緊急連絡；緊急停止；緊急会議</t>
        </is>
      </c>
      <c r="E2275" t="inlineStr">
        <is>
          <t>非常；急；危機；早期；特急</t>
        </is>
      </c>
      <c r="F2275" t="inlineStr">
        <is>
          <t>緊急援助；緊急令；緊急医療；緊急展開；緊急通信</t>
        </is>
      </c>
      <c r="G2275" t="inlineStr">
        <is>
          <t>緊急事態；緊急事態宣言；緊急避難；緊急地震速報；緊急性</t>
        </is>
      </c>
      <c r="H2275" t="n">
        <v>29</v>
      </c>
      <c r="I2275" t="inlineStr">
        <is>
          <t>任務には緊急のものがあり、ここで発生する戦闘では全員参加となる。；これを受けて韓国は緊急の国家安全保障会議を開催して対応を協議した。；この状態でのみ行使できる緊急プログラムが存在するらしいが詳細は不明。；アテンダント側からは緊急停止の他、水平復帰や回転制御も可能である。；電車緊急特別改造工事の実施項目と施行両数、実施内容は以下の通り。；人口が急増し、必要な土地が不足し、救貧法改正が緊急の課題になった。；特に緊急性の無い内容の放送を行い、騒音公害となっているケースもある。；それだけの金があれば他にもっと緊急を要する道路問題はいくらでもある。；自動車ではガードレールなどにすり寄せて緊急に停止させる方法もある。；緊急の際、法律事項について天皇が議会にかけずに発することができた。；胴体長や収容力の減少に合わせて、貨物扉や緊急脱出口の配置が変更された。；参戦が発表されたのが開催2日前の10月23日という緊急参戦となった。；また全てのロボットに緊急停止スイッチの装着が義務付けられている。；自衛権は緊急に不正な攻撃を受けた場合に武力を運用する権利である。；この火災は、緊急の要件としては対処されなかった可能性があるという。；跡地には、緊急報道への対応などを行う「情報棟」を建設する予定である。；ノンスクランブル放送は地震や津波などの緊急報道時にも適用される。；なお、試合のわずか4日前にオファーをもらっての緊急参戦であった。；冬月駆逐艦長指揮下の第三輸送隊は南大東島への緊急輸送任務を行う。；こうした理由もあり豊富な水量を持つ利根川水系の水利用が緊急の課題となる。；大会3日前の10月3日に出場が発表されるという緊急出場となった。；さらに燃えさかる司令船のすぐ上には、緊急脱出用ロケットがあった。；なお勅令によっては緊急の必要を認めた経緯についてふれる場合がある。；第二次世界大戦後の経済発展期、ドイツでは緊急の労働者を捜していた。；しかし、この場合でも緊急止むを得ない場合と大学の要請のある場合に限定される。；緊急勅令はすべての場合について内閣総理大臣と全大臣が副署している。；この緊急時における脱出手段を提供するのがダイバーズナイフである。；従って、拠点の数が多くとも、緊急対処が早いとは一概には言えない。；しかし、憲法改正は緊急の課題であるとは考えられていなかった。</t>
        </is>
      </c>
      <c r="J2275">
        <f>HYPERLINK("https://www.weblio.jp/content/緊急", "词义详情")</f>
        <v/>
      </c>
      <c r="K2275">
        <f>HYPERLINK("https://yourei.jp/緊急", "查看例句")</f>
        <v/>
      </c>
    </row>
    <row r="2276">
      <c r="A2276" t="inlineStr">
        <is>
          <t>金魚</t>
        </is>
      </c>
      <c r="B2276" t="inlineStr">
        <is>
          <t>成功</t>
        </is>
      </c>
      <c r="C2276" t="inlineStr">
        <is>
          <t>読み方：きんぎょ
フナを原種とする観賞用の淡水魚。和金・琉金(りゅうきん)・出目金・頂天眼・オランダ獅子頭(ししがしら)・蘭鋳(らんちゅう)・キャリコなど、品種は極めて多い。品種によってひれ・目・頭部・体形・体色などに著しい変化がみられる。中国の原産で、日本へは文亀2年（1502）に渡来。《季夏》「思ひ出も—の水も蒼を帯びぬ／草田男」</t>
        </is>
      </c>
      <c r="D2276" t="inlineStr">
        <is>
          <t>金魚屋(4%)；金魚売り；金魚みたい；金魚池；金魚入れ</t>
        </is>
      </c>
      <c r="F2276" t="inlineStr">
        <is>
          <t>大きな金魚；駄金魚；金魚養殖；金魚新聞；小さな金魚</t>
        </is>
      </c>
      <c r="G2276" t="inlineStr">
        <is>
          <t>金魚すくい；金魚のフン；金魚藻；金魚売；金魚掬い</t>
        </is>
      </c>
      <c r="H2276" t="n">
        <v>29</v>
      </c>
      <c r="I2276" t="inlineStr">
        <is>
          <t>あんたが遊びにこない日は、あの人の顔が思案にくれた金魚になるがね。；上から見るとまるで蝶が羽を広げたように見えとても優雅な金魚である。；最近はもう金魚以外の生き餌はあげてないみたいです、私の事務所では。；台にのってる小さな木の箱に、二三十銭の駄金魚が六七匹飼ってあった。；絶望しながらも、自己及び狹い自己の世界を愛せずにはゐられない金魚。；火防の神が祭られていて、金魚市が今も毎年7月24日に開かれている。；自分では気づかずに、ずいぶんと長い時間、ぼくはその金魚を眺めていた。；彼女は自分を、再び、家鴨のいる池の中へ移される金魚のように思った。；その人はまた彼のために尾の長い金魚をいくつも買ってくれた。；その中に飼われていた数匹の金魚は、突然の出火の犠牲になってしまった。；見ると、向うの卓子の上の大きな硝子鉢に、金魚が四五匹はいっていた。；娘の前にはガラス鉢が置いてあって、金魚が四ひきはいっていました。；半出来の金魚池の方を眺めながら当惑し切っている私の表情を感じたのであろう。；板にとりつけ、中に金魚が入れてあるが、花生に使用することも出来る。；一般には小さなボールとポイと呼ばれる金魚を掬う道具を用いて行う。；三人はなおしきりに金魚をながめて年相当な会話をやってるらしい。；その金魚から目をそらせることができなくなってしまったくらいだ。；金魚の中では桁外れに大きくなるため、ジャンボオランダと命名された。；父は引かるるままに三児のあとから表にある水鉢の金魚を見にいった。；それは湯のなかで生きている金魚だというんだから、珍らしいわけですね。；いつからいるんだか、二人とも忘れてしまっている色の薄いたった三匹の金魚である。；長い優美な尻尾を引きながら青い藻の中に見え隠れする金魚の群がある。；当時は金魚はよほど珍しいものであったとみえて、大きなのは一尾五両も七両もした。；水の中で金魚が凍るように、彼らは、宙天の空気の中で凍りそうであった。；人間で金魚の骨を見た人が何人いるかしら、全くたいへんなことを忘れていたものだ。；その薬がだんだん剥げるにしたがって、金魚は弱って死んだのであろう。；金魚屋は、酒に酔っていると思ったようだが、そんなことはなかった。；金魚の泳いでいる中へ棒をいれて、かきまわしかねないように見えました。；金魚の専門家で協力したいと言ってる者もあるそうである。</t>
        </is>
      </c>
      <c r="J2276">
        <f>HYPERLINK("https://www.weblio.jp/content/金魚", "词义详情")</f>
        <v/>
      </c>
      <c r="K2276">
        <f>HYPERLINK("https://yourei.jp/金魚", "查看例句")</f>
        <v/>
      </c>
    </row>
    <row r="2277">
      <c r="A2277" t="inlineStr">
        <is>
          <t>金庫</t>
        </is>
      </c>
      <c r="B2277" t="inlineStr">
        <is>
          <t>成功</t>
        </is>
      </c>
      <c r="C2277" t="inlineStr">
        <is>
          <t>読み方：きんこ
１金銭・財宝を保管するための倉庫。かねぐら。
２現金・重要書類・貴重品などを盗難や火災から守り安全にしまっておくための鋼鉄製などの箱や室。
３国または地方公共団体の現金出納機関。
４特別法によって設立された特殊金融機関の名称。農林中央金庫・商工組合中央金庫の二つがある。信用金庫・労働金庫は一般の金融機関。</t>
        </is>
      </c>
      <c r="D2277" t="inlineStr">
        <is>
          <t>金庫番；金庫入り組；金庫みたい；金庫券；金庫係</t>
        </is>
      </c>
      <c r="F2277" t="inlineStr">
        <is>
          <t>手提金庫；当金庫；地下金庫；大きな金庫；隠し金庫</t>
        </is>
      </c>
      <c r="G2277" t="inlineStr">
        <is>
          <t>金庫破り；金庫株</t>
        </is>
      </c>
      <c r="H2277" t="n">
        <v>29</v>
      </c>
      <c r="I2277" t="inlineStr">
        <is>
          <t>またカメラと資料を保管するための金庫がある鍵付きの部屋で行われた。；衣裳入れの大型の重ねになっているものもあるが、多くは金庫用である。；もちろん今ではそういう場合は、多くの人が郵便局の金庫を利用します。；かなり危険だったが今日の夕方レッジポイントへ行き、金庫の中を見た。；そうして金庫にもその他の物にも手を触れた形跡はありませんでした。；アイザークスンは金庫のところへゆっくり歩いて行って、それを開いた。；あなたもご承知のように、僕は金庫の鍵を持っているのですからね。；彼が開いた金庫の中には無かったのですから仕方がありません。；例の金庫の中にも二人の關係を示すやうな何物も見當りはしなかつた。；それは開扉されようとする金庫の中を、誰よりも早く見たいがためだった。；ボブの一時逃走もあったが、増えた仲間で今度は兵器工場の金庫を狙う。；必死の思いで金庫を開けたマットだったが、そこには何も入っていなかった。；銀行の金庫を補填するために、二人の娘をここへ競売に来たのである。；私はレコードを入れた卓上金庫を抱いて、深夜の街を自分の家に帰りました。；二人の怪物は、この手提金庫の為に、あのような恐ろしい争いをしたのだ。；店だった場所は焼け野原と化し、焼け跡に金庫のみが残っていたという。；存続金庫は盛岡信金で、合併後の名称も存続金庫名をそのまま継承した。；鍵を入れただけのことで、金庫の扉は、ビクともしないじゃないかッ!；その金庫のひらきかたは、おとうさんのほかには、だれも知らないのだ。；金庫の中には天才芸術家パラドックスの残した絵画の欠片が残されていた。；私は四五年前からある信託会社の地下室の保護金庫を借りて居りました。；ところが、この金庫の中に、卿をひどく当惑させるものが待っていた。；それはコンビネーション・ロックを備えた現代の金庫に比せるだろう。；扉のすぐ横には黒塗りの立派な金庫も、ちゃんと口を開けて置いてありました。；お金を金庫に入れていた理由についてネルドルムは次のように主張している。；そこで完成したのがデニス・スプーナーの書いた「死の大金庫」であった。；万一の場合のためにいろんな書類は第一銀行の保護金庫に入れておく筈です。；強い素材で製作可能であるため、金庫や北米の刑務所などでよく見られる。；それを考えないと、あの金庫の部屋に忍びこんだことが信ぜられない。</t>
        </is>
      </c>
      <c r="J2277">
        <f>HYPERLINK("https://www.weblio.jp/content/金庫", "词义详情")</f>
        <v/>
      </c>
      <c r="K2277">
        <f>HYPERLINK("https://yourei.jp/金庫", "查看例句")</f>
        <v/>
      </c>
    </row>
    <row r="2278">
      <c r="A2278" t="inlineStr">
        <is>
          <t>近郊</t>
        </is>
      </c>
      <c r="B2278" t="inlineStr">
        <is>
          <t>成功</t>
        </is>
      </c>
      <c r="C2278" t="inlineStr">
        <is>
          <t>読み方：きんこう
都市周辺の地域。</t>
        </is>
      </c>
      <c r="D2278" t="inlineStr">
        <is>
          <t>近郊交通；近郊電車；近郊路線；近郊鉄道；近郊形</t>
        </is>
      </c>
      <c r="E2278" t="inlineStr">
        <is>
          <t>郊外；市外；周辺部；町はずれ；町外れ</t>
        </is>
      </c>
      <c r="F2278" t="inlineStr">
        <is>
          <t>パリ近郊；都市近郊；ロンドン近郊；モスクワ近郊；ロサンゼルス近郊</t>
        </is>
      </c>
      <c r="G2278" t="inlineStr">
        <is>
          <t>近郊農業；近郊形電車；近郊型；近郊形車両；近郊型電車</t>
        </is>
      </c>
      <c r="H2278" t="n">
        <v>29</v>
      </c>
      <c r="I2278" t="inlineStr">
        <is>
          <t>大阪近郊の貨物駅の中では近代化された設備を持ち、機能的な駅である。；さらにいくつかのレギオナルバーン路線が近郊交通の役割を担っている。；前述のように、東京近郊では多数の運転系統が東北本線を走行している。；大阪や名古屋の近郊区間では普通・快速列車が比較的高頻度に運転される。；この配置は当形式以降のJR九州の近郊・一般形車両にも採用されている。；近郊には大規模な油田があり、石油化学コンビナートが建設されている。；また、近郊の町へ向かうバスの多くもこのバスターミナルを発着する。；パリ近郊のマシーに保存食品製造所を開いてびん詰めの製造を開始する。；イギリスではロンドンおよび、その近郊では定期乗車券のかわりにがある。；本部はエジプトの首都カイロ近郊にある10月6日市に置かれている。；撮影場所は兵庫県、大阪港近郊等が撮影場所として紹介されたことがある。；日本では1923年の関東大震災後、東京近郊で露天市が成立している。；営業地域は知多半島を中心に、名古屋市近郊や三河地域に展開している。；東京近郊の時計坂という町にある木造2階建ての建物で、本作の主な舞台。；松前町は、典型的な都市近郊であり、一般的な意味での観光地ではない。；そのような中で以下の車両は文献等で近郊形として分類されることもある形式である。；晩年は信仰に拠り所を求め、ハンブルク近郊にあるの自宅で妻と暮らした。；さらに首都圏・近郊地域で使用された電車の廃車に伴う解体作業も実施している。；球団名はピッツバーグ近郊に流れる河川からとったものだった。；ロッテルダム近郊の町、ゴーダで作られたことからこの名前がついた。；これには近郊の自治体の人口は含まれていない。；バーゼルとその近郊には30を超える数の美術館および博物館がある。；歴代の公爵・公妃はいずれもナント大聖堂か近郊の修道院に埋葬されてきた。；ベルリン近郊に人工の丘を造り、そこや自然の丘から飛行実験を行なった。；製作がNHK名古屋放送局であることから舞台が東京近郊から名古屋へと変更されている。；現在のレンヌ近郊の町ルドンの名は、ルドヌの町の名にも反映された。；また、阪神地域の都市近郊農村地帯になっており、農業が盛んである。；もっとも、民営化と前後して大都市近郊の路線の電化も少し行われた。；ノヴォシビルスク駅からは近郊電車のエレクトリーチカも運行されている。</t>
        </is>
      </c>
      <c r="J2278">
        <f>HYPERLINK("https://www.weblio.jp/content/近郊", "词义详情")</f>
        <v/>
      </c>
      <c r="K2278">
        <f>HYPERLINK("https://yourei.jp/近郊", "查看例句")</f>
        <v/>
      </c>
    </row>
    <row r="2279">
      <c r="A2279" t="inlineStr">
        <is>
          <t>均衡</t>
        </is>
      </c>
      <c r="B2279" t="inlineStr">
        <is>
          <t>成功</t>
        </is>
      </c>
      <c r="C2279" t="inlineStr">
        <is>
          <t>読み方：きんこう
［名］(スル)二つまたはそれ以上の物事の間で、力や重さなどの釣り合いがとれていること。バランス。「—が崩れる」「—を保つ」</t>
        </is>
      </c>
      <c r="D2279" t="inlineStr">
        <is>
          <t>均衡状態(3%)；均衡点；均衡化；均衡ラウンドa；均衡理論</t>
        </is>
      </c>
      <c r="E2279" t="inlineStr">
        <is>
          <t>安定；平均；バランス；調和；平衡</t>
        </is>
      </c>
      <c r="F2279" t="inlineStr">
        <is>
          <t>戦力均衡；微妙な均衡；危うい均衡；長期均衡；均衡ラウンド</t>
        </is>
      </c>
      <c r="G2279" t="inlineStr">
        <is>
          <t>均衡価格；均衡速度；均衡集合</t>
        </is>
      </c>
      <c r="H2279" t="n">
        <v>29</v>
      </c>
      <c r="I2279" t="inlineStr">
        <is>
          <t>提出された意見は比較的均衡していたが、わずかに現状維持が多かった。；均衡概念およびそれに準じた概念のうち、代表的なものを以下に挙げる。；パラメータを変化させると、均衡行動に大きな変化が起こることになる。；この地位は通常の抑制と均衡の対象とならず、再選を求める必要が無い。；これは戦力や人気面で不均衡にならないための措置であったとされている。；この均衡は新発明を導入しようとする起業家によって破壊され続けている。；信と慧、精進と定などは対であり、その力の発達には均衡が必要である。；安定的な成長率の実現は非常に困難で、ナイフ・エッジの均衡とも呼ばれる。；それは不幸ではあるがこれ以上改善されることはない、私の魂の中の不均衡である。；どちらの側も強力になりすぎてこの均衡を崩さないようにすることが大切である。；神々がノーラスから去ったことにより世界を構成する力は均衡を失った。；質的応答均衡でもっとも一般的なものは間違いなくロジット均衡である。；インフレの防止のため均衡予算を主張し、GHQ経済科学局も支持した。；あの作品あたりからメーカーと作家の力が均衡して共同作業のようになり始めた。；彼は、土地と労働により構成される二部門の均衡モデルを構築した。；これにより新しい財市場の均衡点では、国民所得が増加することとなる。；また北魏制では桑の産地であるかどうかでかなりの不均衡が出ることになる。；一方で防衛側は侵攻のコントロールを減少させることで均衡状態を形成しようとする。；ガスパリ法は、イタリアのテレビ・ラジオ制度再均衡法のことである。；半分離均衡は、シグナルよりもタイプのほうが多いときに生じうる。；このように制度とは構造に誘導された均衡を導くものであるとここでは考えられる。；組織の3要素の均衡が組織成立の条件であり、存続の前提となる。；ブラックバーンは当選後直ぐに州予算の均衡を諮る方法を検討し始めた。；このように無数の均衡が存在することはフォーク定理で示される。；不利であった北軍は徐々に勢力を盛り返し、均衡を保つことに成功した。；貿易不均衡とは基本的に一国全体の貯蓄と投資の不均衡に過ぎない。；市と連邦政府・州政府との間の資金関係には大きな不均衡がある。；緊張は一般的な貿易の不均衡というよりは特定の産業における特定の問題で一層激しくなっていた。；とによってはじめて導入され、限定合理性のもとでの均衡概念を与えた。</t>
        </is>
      </c>
      <c r="J2279">
        <f>HYPERLINK("https://www.weblio.jp/content/均衡", "词义详情")</f>
        <v/>
      </c>
      <c r="K2279">
        <f>HYPERLINK("https://yourei.jp/均衡", "查看例句")</f>
        <v/>
      </c>
    </row>
    <row r="2280">
      <c r="A2280" t="inlineStr">
        <is>
          <t>銀行</t>
        </is>
      </c>
      <c r="B2280" t="inlineStr">
        <is>
          <t>成功</t>
        </is>
      </c>
      <c r="C2280" t="inlineStr">
        <is>
          <t>読み方：ぎんこう
１預金や定期積金の受け入れ、資金の貸付け、手形割引、為替取引などを行う金融機関。中央銀行・普通銀行・政府金融機関などがある。
２需要の多いものや緊急時に必要とされるものなどを確保・保管しておいて、それを供給する団体や組織。「血液—」「人材—」</t>
        </is>
      </c>
      <c r="D2280" t="inlineStr">
        <is>
          <t>銀行員(5%)；銀行頭取；銀行取締役；銀行側；銀行等</t>
        </is>
      </c>
      <c r="E2280" t="inlineStr">
        <is>
          <t>バンク；銭荘；預金金融機関</t>
        </is>
      </c>
      <c r="F2280" t="inlineStr">
        <is>
          <t>横浜正金銀行；康和銀行；取引銀行；大同銀行；東京銀行</t>
        </is>
      </c>
      <c r="G2280" t="inlineStr">
        <is>
          <t>銀行強盗；銀行口座；銀行業務；銀行業；銀行局</t>
        </is>
      </c>
      <c r="H2280" t="n">
        <v>29</v>
      </c>
      <c r="I2280" t="inlineStr">
        <is>
          <t>それを銀行もしくは銀行のATMにもっていくと換金することができる。；この結果、本校の卒業者は半数近くが銀行・会社・商店員の職に就いた。；銀行はメガバンク再編前から上位都銀のほぼすべてが店舗を構えていた。；このような業務を行う銀行が誕生したのは近代以降である。；蒲生4交差点にある4つの角のうち、3つの角には銀行が立地している。；ただし銀行の貸し出しは信用創造によるものだので意味が変わってくる。；まずは同行に集中されていた各種金融機能が専門銀行に分割された。；ロンドンは世界のどの都市よりも多い480の海外の銀行がある。；数字の銀行名で、唯一数字の部分の英称が英語読みの銀行であった。；はドイツ最大級の金融機関の一つであり、ドイツ最大の州立銀行である。；ロンバード家は中世イギリスのロンドンにある銀行コミュニティであった。；日本銀行では以下の種類の資金吸収オペレーションを行っている。；この目的は開発銀行がバークレイズへ出資したのと全く同じである。；北口駅前から海岸までの通りが青海の中心部で、銀行の支店などがある。；父親は最初弁護士を目指していたが、かなわずに銀行員となった。；これは株式を発行して国民から資金を集め、産業企業に投資する銀行だった。；この点が株式会社である銀行とは組織形態が異なる。；駅付近には銀行や大規模な商店など一通りのものがそろっている。；統合・合併で誕生した巨大銀行を指す場合もある。；香港返還の前後に、政府は銀行の基本的なルールや規制を作った。；銀行免許取得後、2011年以降をめどに開業を目指しているとしていた。；本店を設置している銀行・協同組織金融機関は以下のとおりである。；日本銀行では以下の種類の資金供給オペレーションを行っている。；製造業が一社単独で銀行支援に動くというのは異例の事態であった。；声優になる前銀行員であった服巻浩司はその後保育士と声優を兼業している。；富士銀行の現役銀行員が自行の顧客を殺害した事件として注目された。；ほとんどのアフリカ諸国は、銀行への送金の支払いを制限している。；前述のように、無利子銀行には無配当の口座と有配当の口座が存在する。；短期運用でもトップ・テンを既出の大銀行が占める点に変わりない。</t>
        </is>
      </c>
      <c r="J2280">
        <f>HYPERLINK("https://www.weblio.jp/content/銀行", "词义详情")</f>
        <v/>
      </c>
      <c r="K2280">
        <f>HYPERLINK("https://yourei.jp/銀行", "查看例句")</f>
        <v/>
      </c>
    </row>
    <row r="2281">
      <c r="A2281" t="inlineStr">
        <is>
          <t>銀行員</t>
        </is>
      </c>
      <c r="B2281" t="inlineStr">
        <is>
          <t>成功</t>
        </is>
      </c>
      <c r="C2281" t="inlineStr">
        <is>
          <t>読み方：ぎんこういん
銀行の職員。行員。</t>
        </is>
      </c>
      <c r="D2281" t="inlineStr">
        <is>
          <t>銀行員大卒初任給(2%)；銀行員時代；銀行員みたい；銀行員らしく；銀行員タイプ</t>
        </is>
      </c>
      <c r="H2281" t="n">
        <v>29</v>
      </c>
      <c r="I2281" t="inlineStr">
        <is>
          <t>この都に大勢いる銀行員と云うものの中で、この男には何の特色もない。；入団時にはすでに妻がおり、安定していた銀行員の職を離れて入団した。；あたりの女たちの視線がおれと三十すぎの女銀行員を不服そうに往復した。；その間違いがどこで起こったのか、銀行員達は必死で調べたことであろう。；生きている不幸な銀行員と死んだ幸福でも不幸でもない銀行被害者。；由紀子はダンサー時代に知りあった銀行員と結婚して札幌にいるらしい。；父親は銀行員で、コネチカット州の高校を経てイェール大学を卒業した。；彼は捜査一課の刑事というより、まるで銀行員のようなタイプである。；銀行員である父親の仕事の関係により阿久根市・鹿児島市などで育った。；帰国した銀行員はそのことを、江坂産業につとめている友人の一人に話した。；元銀行員ときくと、成程、そういうイメージもないことはないと思った。；父親は銀行員になる以前に「サトウキビ農園の監督」だったことはある。；あの銀行員のお姉さんはいい目をしていた、信頼してもいいと思う。；伯爵中尉の気まぐれも非常であるが、小さい銀行員の僥倖も非常である。；だが、死んだのが日本人だということも、銀行員だったとも聞かなかった。；私はそういう事務服の女子銀行員に、緊縛写真を見ていたのかもしれない。；数週前にオーストラリアの銀行員のことを新聞で読んだ。；コロンビア大学時代にはニューヨークにて銀行員として勤務していた。；婿さんの新吉さんは五ツちがいの今年二十八で申分のない温厚な銀行員。；七年前に結婚した妻がおり、五歳と三歳の女の子もいる銀行員だったのです。；それに比べるとむくどりはまるで銀行員みたいに地味な格好をしているの。；またある時は銀行員に成り済まし、偽物の仮説事務所まで作ってしまう。；銀行員であった父親の転勤により、幼少期に日本から大連へと移住した。；いつか商売をしたいと思った内田は、直接社長と話ができる銀行員の道を選んだ。；「自分は銀行員としての成功を確信していた」と周囲に話していた。；冒頭、トップが銀行員にしていた相談は、そのための借金だったのだ。；それに犯人を追ってきた銀行員の一人がつきそっていました。；父親は最初弁護士を目指していたが、かなわずに銀行員となった。；行内でうろうろしているような人間は銀行員とは言えねえんだぞ。</t>
        </is>
      </c>
      <c r="J2281">
        <f>HYPERLINK("https://www.weblio.jp/content/銀行員", "词义详情")</f>
        <v/>
      </c>
      <c r="K2281">
        <f>HYPERLINK("https://yourei.jp/銀行員", "查看例句")</f>
        <v/>
      </c>
    </row>
    <row r="2282">
      <c r="A2282" t="inlineStr">
        <is>
          <t>禁止</t>
        </is>
      </c>
      <c r="B2282" t="inlineStr">
        <is>
          <t>成功</t>
        </is>
      </c>
      <c r="C2282" t="inlineStr">
        <is>
          <t>読み方：きんし
［名］(スル)《古くは「きんじ」とも》ある行為を行わないように命令すること。「通行を—する」「外出—」</t>
        </is>
      </c>
      <c r="D2282" t="inlineStr">
        <is>
          <t>禁止する(9%)；禁止される(4%)；禁止令(3%)；禁止処分；禁止区域</t>
        </is>
      </c>
      <c r="E2282" t="inlineStr">
        <is>
          <t>防ぐ；邪魔；防止；抑制；阻止</t>
        </is>
      </c>
      <c r="F2282" t="inlineStr">
        <is>
          <t>通行禁止；原則禁止；上映禁止；一切禁止；上演禁止</t>
        </is>
      </c>
      <c r="G2282" t="inlineStr">
        <is>
          <t>禁止命令；禁止事項；禁止措置；禁止規定；禁止法</t>
        </is>
      </c>
      <c r="H2282" t="n">
        <v>29</v>
      </c>
      <c r="I2282" t="inlineStr">
        <is>
          <t>大正9年には日本社会主義同盟が結成されるが翌年に禁止されてしまう。；これは特定のIPアドレスからのアクセスを禁止することで果たされる。；ただし、いずれの国も、輸入したフォアグラの販売は禁止されていない。；ただし、曹洞宗の規則では選挙時の買収の禁止という項目は存在しない。；手紙や電話は検閲を受け、英語以外の言語で電話をすることは禁止された。；その最も一般的な方法は、ある特定のユーザの編集を禁止することである。；僧は都の漢陽に入ることを禁止された上、賎民階級に身分を落とされた。；禁止とは、ある行為を行ってはいけないこと、またはその状態をいう。；ただし、女性が財産として自動車を所有することは禁止されていない。；その対策としては、飲酒禁止年齢を用いた対策が効果的といわれている。；現在では水銀の回収装置のない状況でのこの作業は禁止されている。；また、アメリカの個人や団体が日本の暴力団と取引を行うことは禁止される。；専門家は強い禁止が研究を壊滅的にしてしまうことを警告している。；ネルウァ帝は自らに対するこのような代物を作る事を全面的に禁止した。；台湾の解禁で主要国で日本映画を上映禁止するのは韓国だけとなった。；一夫多妻制は一般的には法律で禁止されているが、例外が存在する。；そして6月22日には社民党は全ての活動を禁止されて消滅することとなった。；名誉革命での権利の章典においても議会の承認なしの課税は禁止された。；なお、住民票コードを民間が利用することは、法律で禁止されている。；こちらの商品は金属製品の切断を禁止されているものが多い。；セゲダは禁止されたのは新規の町の建設であって旧市の城壁ではないと答えた。；剣道の組織的活動は禁止され、明治維新についで二度目の危機を迎えた。；斎は程度に応じてこれらの食品を禁止または許可するものである。；アルコールと煙草は禁止されていたが、ビリーは隠れて喫煙を続けた。；競技によってはインナーウェアの着用が禁止されている場合がある。；兵器を搭載して戦闘準備を整えた状態のコックピット内映像撮影も禁止されている。；日本では計量法により取引・証明に用いることは禁止されている。；イスラム法では、禁止と義務の体系だけでなく、さらに細分化されている。；多くのウィキではある特定のページへの一切の編集を禁止することができる機能を備えている。</t>
        </is>
      </c>
      <c r="J2282">
        <f>HYPERLINK("https://www.weblio.jp/content/禁止", "词义详情")</f>
        <v/>
      </c>
      <c r="K2282">
        <f>HYPERLINK("https://yourei.jp/禁止", "查看例句")</f>
        <v/>
      </c>
    </row>
    <row r="2283">
      <c r="A2283" t="inlineStr">
        <is>
          <t>均質</t>
        </is>
      </c>
      <c r="B2283" t="inlineStr">
        <is>
          <t>成功</t>
        </is>
      </c>
      <c r="C2283" t="inlineStr">
        <is>
          <t>読み方：きんしつ
［名・形動］成分や密度、また品質などにむらがなく一様であること。また、そのさま。等質。「—な水溶液」「—な製品を生産する」</t>
        </is>
      </c>
      <c r="D2283" t="inlineStr">
        <is>
          <t>均質化(17%)；均質性(10%)；均質的(4%)；均質核生成；均質圧延</t>
        </is>
      </c>
      <c r="E2283" t="inlineStr">
        <is>
          <t>均一；同質；等質；同質的</t>
        </is>
      </c>
      <c r="G2283" t="inlineStr">
        <is>
          <t>均質圧延装甲；均質化温度</t>
        </is>
      </c>
      <c r="H2283" t="n">
        <v>29</v>
      </c>
      <c r="I2283" t="inlineStr">
        <is>
          <t>一般に、地下構造が複雑で不均質な場所ではb値が大きいとされている。；そのおかげで、大した努力をしなくても文化的な均質性を保持していた。；これは光の反射を一定にすることで見た目に均質感を与える目的がある。；均質化が窮極の意味するところなら宇宙を支配するものこそ無ではないか。；従って、能力を揃え一定の密度で均質な観測をする性能が必要とされた。；空間の均質性を考えると、こちらへ招く手段も同じでなければならん。；諸兵科連合は均質性を維持する階梯以下にまで適用される場合もある。；この描写法は、空間の奥行きを抑制し、画面全体が平面的に均質化する。；だが、この野蛮時代の変異は、高度の均質性や安定性を獲得しなかった。；これらの言語の違いにもかかわらず、彼らは文化的には非常に均質な集団である。；そこでは、空間や時間のあり方は均質なものではなく異質性を孕んでいた。；他の店で売っているような、朱い、澄んで均質化した色彩にならないのだ。；イブン・ハイサムはまた、月の模様を月が均質でない証拠だとする。；この圧力が蓄積される過程では、力や熱などのエネルギーが不均質になってしまう。；星雲が均質的であるとするなら、環は分裂しそうにないからである。；これは宇宙が大きな規模では均質であるという宇宙原理を支持する結果である。；この星団に含まれる恒星は均質ではなく、核からの距離に伴って変化している。；有名人は、彼女を有名人と信じこんでいる文化と均質化しなくちゃならない。；が、最大の問題は、脳というのは非常に均質なものだということです。；ところが見かけの多様さにもかかわらず、ここでの世界はのっぺりと均質的である。；粒子が均質で圧縮や曲げに高い強度を持ち、経年変化等への耐性が高い。；そうでなきゃ、宇宙はとうに均質化して何もない世界になっているだろうからね。；躊躇や迷いのない断固としたノックで、音は不自然なくらい均質だった。；材料が等方均質の場合の、3次元一般状態での関係式については、 を参照。；鬆とは、本来は均質であるべきものの中にできた空間をいう。；一方で味の均質化のため、焼き鳥のタレは本社ビル内の工場でまとめて生産している。；混合とは、2つ以上の異なる成分に適当な操作を加えて均質なものを得ること。；その結果、チェコ語の各方言同士の均質性が比較的高水準に実現した。；イベリコ山系の地質は複雑であり、均質な体系であると定義するのは困難である。</t>
        </is>
      </c>
      <c r="J2283">
        <f>HYPERLINK("https://www.weblio.jp/content/均質", "词义详情")</f>
        <v/>
      </c>
      <c r="K2283">
        <f>HYPERLINK("https://yourei.jp/均質", "查看例句")</f>
        <v/>
      </c>
    </row>
    <row r="2284">
      <c r="A2284" t="inlineStr">
        <is>
          <t>近所</t>
        </is>
      </c>
      <c r="B2284" t="inlineStr">
        <is>
          <t>成功</t>
        </is>
      </c>
      <c r="C2284" t="inlineStr">
        <is>
          <t>読み方：きんじょ
１ある場所からちかいところ。近辺。付近。「自宅はこの—です」
２近くの家。「—づきあい」「隣—」</t>
        </is>
      </c>
      <c r="D2284" t="inlineStr">
        <is>
          <t>近所づきあい；近所迷惑；近所同士；近所じゅう；近所隣</t>
        </is>
      </c>
      <c r="E2284" t="inlineStr">
        <is>
          <t>側；近く；あたり；周囲；周辺</t>
        </is>
      </c>
      <c r="F2284" t="inlineStr">
        <is>
          <t>ご近所；御近所；近所づき合い；近所の菓子屋；近所のうなぎ屋</t>
        </is>
      </c>
      <c r="G2284" t="inlineStr">
        <is>
          <t>近所合壁；近所のガキ；近所いじめ；近所の金魚は弥富のきんちゃん</t>
        </is>
      </c>
      <c r="H2284" t="n">
        <v>29</v>
      </c>
      <c r="I2284" t="inlineStr">
        <is>
          <t>心中した2人は近所でも仲がいいと評判の夫婦だったが子供はなかった。；高校生のときに近所に住んでいた女性モデルから薦められ業界入りした。；以前には近所の子供たちが折原のプレイを見に来るほどだったという。；失望から学校に行かなくなり、近所の森や山で時間を潰す日々を送った。；近所の女性が自身の所有地と等価交換をして2012年に市に寄贈した。；他にもこの近所には名の知られたあらゆる大型店舗が出店している。；自動車は近所のポンコツでも立派に動きだすので夫人に感心されていた。；このとき周辺住民を近所から転居させて宿場町を作ったと考えられている。；その狂人の若者は、幼い頃に両親を亡くし、近所の人に育てられていた。；これは、近所の人たちが室内履きでやって来たことに由来したと言われる。；幼い頃より家の近所にあった芝居小屋にもぐりこんでいたと言われる。；近所の1人は「あれぐらい頭がいい人はいままで見たことがない」と言う。；だれもがとてもよくしてくれ、通訳さんや近所の人も色々と助けてくれた。；ピアノを得意としており、近所の子供に家でピアノを教えている。；この頃から、基次郎は近所の人々の実生活を意識的に見るようになった。；通りを挟んだすぐ近所には、ヘミングウェイ博物館が設けられている。；すると近所で火事があり、自分の首を提灯のように持ってその場を逃げる。；宮沢は当時の自宅がこの近所で、中学校を卒業するまで大泉に住んでいた。；森川信が近所に住んでおり、小学校時代は喜劇役者になるのが夢だった。；祖父に将棋のルールを教えてもらい、近所の子ども教室で将棋を覚える。；ナビゲーターを使えばご近所はもちろん他の星へも遊びに行くことができる。；近所の人たちから、子供たちの受検指導を依頼されたことがきっかけだった。；ヴィトーはその後近所でファヌッチよりはるかに尊敬される存在になった。；重力の及ぶ範囲は、部屋の中程度から野比家の近所辺りまで調節できる。；小学校4年の時に父親の影響を受けて、近所の松島道場で柔道を始めた。；幼い頃に近所の住人から笛を貸してもらったことで、音楽に興味を抱く。；心配になった親族や近所の住民が通りを探したが、見付からなかった。；撮影スタジオは自宅の近所であったため、自転車で通っていた。；発声練習は欠かさないらしく、その声は近所から苦情が来るほど大きい。</t>
        </is>
      </c>
      <c r="J2284">
        <f>HYPERLINK("https://www.weblio.jp/content/近所", "词义详情")</f>
        <v/>
      </c>
      <c r="K2284">
        <f>HYPERLINK("https://yourei.jp/近所", "查看例句")</f>
        <v/>
      </c>
    </row>
    <row r="2285">
      <c r="A2285" t="inlineStr">
        <is>
          <t>禁じる</t>
        </is>
      </c>
      <c r="B2285" t="inlineStr">
        <is>
          <t>成功</t>
        </is>
      </c>
      <c r="C2285" t="inlineStr">
        <is>
          <t>読み方：きんじる
［動ザ上一］「きん（禁）ずる」（サ変）の上一段化。「私語を—・じる」</t>
        </is>
      </c>
      <c r="D2285" t="inlineStr">
        <is>
          <t>禁じるべき</t>
        </is>
      </c>
      <c r="E2285" t="inlineStr">
        <is>
          <t>禁止；防ぐ；邪魔；防止；阻止</t>
        </is>
      </c>
      <c r="F2285" t="inlineStr">
        <is>
          <t>固く禁じる；厳しく禁じる</t>
        </is>
      </c>
      <c r="H2285" t="n">
        <v>29</v>
      </c>
      <c r="I2285" t="inlineStr">
        <is>
          <t>本作品は現在に至るまで中華人民共和国での一般上映が禁じられている。；これは週のうち一定の日は領主同士武力で争う事を禁じたものであった。；主婦の座についた母の菊が食べながらの会話を禁じるもっと前のことだ。；獣肉を食べることを禁じられていた仏教徒の多い国ではより重視される。；ソ連時代に禁じられていた放送・出版も活発に行われるようになった。；日本の一般人の海外渡航は禁じられていたが、仏僧だけは例外であった。；それぞれ自分に関係しないスペースへの立ち入りは堅く禁じられている。；スウェーデン評議会においては外国人の関与を禁じる法律が制定された。；戦争を回避するためにあらゆる戦争行為は禁じられなければならない。；学齢期に達していない者は、義務教育諸学校への入学は禁じられている。；自殺を禁じられたキリシタンであったので、切腹を拒否して斬首された。；法令は対象者が死去した後に文化勲章を追贈することを禁じてはいない。；道中私語を禁じるとの事であつたが、みんなそんな命令は守つてゐない。；民間で星讖について学ぶ事を禁じ、それでも学んだ者はみな死刑とした。；蜜蜂の輸入を禁じる法律が可決されたが、形の上だけの効果しかなかった。；たとえ|皇 帝 陛下その人にであろうと、それを禁じる権限はない。；一人が事を起こしたからといって同年兵を制裁することも禁じる。；ユーザーがそのソフトウェアの性能データを公表することを禁じる契約も存在する。；この分類は州内で最も厳しいものであり、流域内の開発を禁じるものである。；用心深いのはいいが、子供たちが駆け回るのまで禁じることはできない。；音楽は、楽器を所有したり演奏したりすることが禁じられている。；第一次世界大戦に敗れたドイツ軍は航空機の保有を禁じられていた。；医者は撮影で出払っていて見当たらず、我々は出歩くことも禁じられた。；アメリカ最大の宗派であるキリスト教は自殺を禁じているからである。；競技によっては、特定の数字の使用を禁じるルールが採用される場合もある。；しっかりしてくれボブ、その手段は禁じるって一言命令すれば済む話だ。；睡眠を禁じる実験の被験者たちが奇妙に変貌していくという内容である。；日本でも、会計検査院と法務省は個人名義でのマイル取得を禁じている。；末期養子がこのように厳しく禁じられたのは、次のような事情による。</t>
        </is>
      </c>
      <c r="J2285">
        <f>HYPERLINK("https://www.weblio.jp/content/禁じる", "词义详情")</f>
        <v/>
      </c>
      <c r="K2285">
        <f>HYPERLINK("https://yourei.jp/禁じる", "查看例句")</f>
        <v/>
      </c>
    </row>
    <row r="2286">
      <c r="A2286" t="inlineStr">
        <is>
          <t>金銭</t>
        </is>
      </c>
      <c r="B2286" t="inlineStr">
        <is>
          <t>成功</t>
        </is>
      </c>
      <c r="C2286" t="inlineStr">
        <is>
          <t>読み方：きんせん
１貨幣の総称。かね。ぜに。「—に細かい人」「—感覚」
２金で鋳造した銭。金貨。</t>
        </is>
      </c>
      <c r="D2286" t="inlineStr">
        <is>
          <t>金銭的(11%)；金銭面(4%)；金銭上(3%)；金銭トラブル；金銭欲</t>
        </is>
      </c>
      <c r="E2286" t="inlineStr">
        <is>
          <t>足；金；丸；お金；銭</t>
        </is>
      </c>
      <c r="F2286" t="inlineStr">
        <is>
          <t>金銭援助；金銭以外；金銭支援；金銭出納；金銭その他</t>
        </is>
      </c>
      <c r="G2286" t="inlineStr">
        <is>
          <t>金銭トレード；金銭問題；金銭感覚；金銭債権；金銭的価値</t>
        </is>
      </c>
      <c r="H2286" t="n">
        <v>29</v>
      </c>
      <c r="I2286" t="inlineStr">
        <is>
          <t>怒りが動機ではなく、金銭など利益の取得を目的としたクレームもある。；現在では特に子供に金銭を与える習慣及びその金銭の意で用いられている。；その名の通り、馬や牛の糞を集めて、それを金銭に換えて生活していた。；貴族・僧侶に多額の金銭や領土を与え、国内勢力を次々に味方につける。；記者たちに金銭を渡してCIA製の記事を新聞や雑誌に掲載させた。；幼いムーアは金銭的な豊かさより優先すべきものがあると教えられた。；しかし、そこで金銭面を整理したのち会社は再び開花することになる。；この金銭に関して税務上の申告がどのようにされているか定かではない。；女性側が男性側から結納で受け取った金銭をそのまま持参することもある。；しかし、2011年に金銭的な理由でプロジェクトは中断してしまった。；元々は、いずれも金銭またはそれに関わるものをモチーフとしている。；他にも、希少度の高いシールを金銭で取引するといった問題も発生した。；プレシャスを金銭目的や世界征服など多様な目的で収集する集団の総称。；被災地域への一般からの援助は物資よりも金銭のほうが確実である。；時間と金銭の概念があり、移動する距離が長ければ長いほど大きく消費する。；この事件の背景には、政治的、社会的、そして金銭的な動機があった。；権利変換を希望しない者は事業者から権利額に相当する金銭等を受け取る。；また、文献史料に記載はない銀銭片も先の金銭と共に見つかっている。；ドイツはヨーロッパの中でも金銭面の条件がよいため、各国から選手が集まってくる。；家賃の他にも、物件を借用する際に必要となる金銭が存在する場合がある。；其のオフに金銭面を巡ってクラブと合意に至る事ができず監督を退任した。；その時彼は金銭的な援助を申し出たが兄弟は頑として受け入れなかったという。；日本語でも銀行、路銀などの語で「銀」に金銭の意味を持たせている。；金銭と権力に誘われた彼女はダマスカスのムアーウィヤの宮廷へと急いだ。；ここで実際に金銭を支払ってもよいが、それは面倒なだけである。；今日、神社に納める金銭のことを「初穂料」と呼ぶのはこれに由来する。；しかし両親の愛情を思い出し、本当の幸せは金銭と関係ないことに気づく物語。；主に金銭の授受が含まれる医療の面で、問題となるケースがある。；しかし彼によると金銭的な問題はあったもののそれが決定的な原因だったわけではないという。</t>
        </is>
      </c>
      <c r="J2286">
        <f>HYPERLINK("https://www.weblio.jp/content/金銭", "词义详情")</f>
        <v/>
      </c>
      <c r="K2286">
        <f>HYPERLINK("https://yourei.jp/金銭", "查看例句")</f>
        <v/>
      </c>
    </row>
    <row r="2287">
      <c r="A2287" t="inlineStr">
        <is>
          <t>金属</t>
        </is>
      </c>
      <c r="B2287" t="inlineStr">
        <is>
          <t>成功</t>
        </is>
      </c>
      <c r="C2287" t="inlineStr">
        <is>
          <t>読み方：きんぞく
一般に、金属光沢をもち、熱や電気をよく伝え、強度が大きくて折れにくく、展性・延性をもち、常温で固体の物質の総称。重金属と軽金属、貴金属と卑金属、遷移金属と非遷移金属などに分類される。</t>
        </is>
      </c>
      <c r="D2287" t="inlineStr">
        <is>
          <t>金属音(5%)；金属的(3%)；金属性；金属製品；金属棒</t>
        </is>
      </c>
      <c r="E2287" t="inlineStr">
        <is>
          <t>金；メタル；金属元素；金鉄</t>
        </is>
      </c>
      <c r="F2287" t="inlineStr">
        <is>
          <t>金属球；全金属；金属類；金属ばね；小さな金属</t>
        </is>
      </c>
      <c r="G2287" t="inlineStr">
        <is>
          <t>金属板；金属加工；金属片；金属バット；金属イオン</t>
        </is>
      </c>
      <c r="H2287" t="n">
        <v>29</v>
      </c>
      <c r="I2287" t="inlineStr">
        <is>
          <t>現代でも様々な場で使用されており、鉄に次いで重要な金属材料といえる。；固体にはガラスのように透明なものと金属のように不透明なものがある。；この高い金属存在量を説明するために、主に3つの理論が提唱されている。；鉄が普及する以前には、もっとも広く利用されていた金属であった。；金は最も柔らかく貴重な金属であり、ジュエリーには非常に重要である。；金属を変質させる可能性を信じており、そのための実験も行っている。；この様な場合は溶融塩を電気分解することで単体金属を得ることができる。；銀は導電率が非常に高い金属だが、高価であるため配線には使われない。；同時に金属の性質も示し、第14族で最も反応性の低い金属族となっている。；金属と半金属ではフェルミ準位 は少くとも一つのバンドの内部にある。；日本国内では日本飛行機/Pilatus B4金属機が普及している。；従ってほとんどの場合、別の金属を添加した合金を用いて装飾品を作る。；この特性は加工しやすさを意味し金属が世界中に普及した大きな要因である。；そして燃焼の際には、そのうちの一方の気体が金属と結合するとした。；これは、銀という金属は可視光線の反射率が金属中で最大のためである。；またこの色は金属の価数や配位環境を反映して様々な色に変化する。；このような金属をつくる元素は宇宙の誕生とともに生成された訳ではない。；日本ではギャラリー画像のような金属製の箱型をしたものがほとんどとなっている。；黒色火薬はそれまで不可能だった場所でも金属や鉱石の採掘を可能にした。；非常に反応性が高く、多くの金属や有機物と反応し塩化物を形成する。；これは、非常に電気を流しやすい金属であっても例外ではない。；鉱業においては鉱石を電気分解して金属を得る電解精錬が行われている。；古くから用いられてきたことから錫を金属の代名詞とする言い回しも多い。；金属の表面に他の金属を圧延して貼り合わせる技術はといい区別する。；ボルタは最も発電効率のよい金属電極の組み合わせを亜鉛と銀だとした。；これは金属中の電子を記述するのに良いモデルとなる。；後述のように、ステンレス鋼は金属組織別に大きく5つに分類される。；金属錯体の中心金属においては、また別の酸化数の計算方法が行われる。；こちらの商品は金属製品の切断を禁止されているものが多い。</t>
        </is>
      </c>
      <c r="J2287">
        <f>HYPERLINK("https://www.weblio.jp/content/金属", "词义详情")</f>
        <v/>
      </c>
      <c r="K2287">
        <f>HYPERLINK("https://yourei.jp/金属", "查看例句")</f>
        <v/>
      </c>
    </row>
    <row r="2288">
      <c r="A2288" t="inlineStr">
        <is>
          <t>勤続</t>
        </is>
      </c>
      <c r="B2288" t="inlineStr">
        <is>
          <t>成功</t>
        </is>
      </c>
      <c r="C2288" t="inlineStr">
        <is>
          <t>読み方：きんぞく
［名］(スル)同じ勤務先に勤め続けること。「20年—した職員」「永年—者」</t>
        </is>
      </c>
      <c r="D2288" t="inlineStr">
        <is>
          <t>勤続者(6%)；勤続三(5%)；勤続疲労(4%)；勤続二(4%)；勤続十(4%)</t>
        </is>
      </c>
      <c r="F2288" t="inlineStr">
        <is>
          <t>以上勤続；永年皆勤勤続；勤続四；二十年勤続；勤続二十</t>
        </is>
      </c>
      <c r="H2288" t="n">
        <v>29</v>
      </c>
      <c r="I2288" t="inlineStr">
        <is>
          <t>あの人は頭の毛の色素がなくなるまで勤続してこの頃漸く三級になった。；二十一歳から勤め出して、私はその春で丸四年勤続したわけであった。；四半世紀も勤続したACBを間もなく去るのだから、それも当然だろう。；それに三年働いても四年勤続しても臨時工つて言ふ手は無えだらう。；自分など覚えてからこのかたずっと勤続しているようである。；利益分配の対象は6カ月以上勤続した素行に問題のない労働者に限られた。；育っていくためには長期にわたって勤続していなければならない。；そして勤続二十年以上の医者の中から自分が病院長に抜擢された。；店員に喜ばせ、ことに七八年勤続者などには、非常に励みを与えている。；父親はイギリス陸軍に21年勤続し、その後公務員になった人物だった。；美邦の試練をパスしたベテランの彼らですら平均勤続期間は一ヶ月だった。；大野美津子は勤続四年にして、もう同期入社の男性と月二万円の収入の違いがある。；勤続十年の経験上、怪しい人物はすぐに見分けがつくつもりだった。；当時の退職金予想額が十四年勤続で二百四十万円という時代の話である。；それを境に番組の勤続疲労が現れるようになっていった。；というのは、割増の率は、勤続年限が長ければ長いほどよくなるからだ。；亀井は、勤続二十年のベテランで、十津川が一番信頼している部下だった。；勤続章は、僅に湾曲した4つの腕部を持つ『名誉十字』の形をとっている。；検証の結果、殺されていたのは牛乳屋の主夫婦と勤続五年の店員であると確認された。；各種の理由から勤続後の独立開業が困難であったため、戦前のいわゆる丁稚よりも厳しい環境であった。；また、勤続歴の長い社員が比較的多いことでも知られている。；勤続三十年、地域社会の安全と環境の向上に大きく貢献したって。；彼は50年間勤続したことを理由に、帝国劇場に援助を要請した。；ロンドン在住のジョン・バッキンガムは勤続10年の生真面目な銀行員。；やはり教員をしている夫と共働きで、もう勤続二十年近くになり、子供も二人いる。；昇任せずとも長年勤続すれば上位の級に昇給できる仕組みである。；この勤続章の獲得は党の地方指導者にとっては大きな関心の的であり、党の文献のなかにはその申請に関わる多くの文書が存在する。；こちらは三十年間の勤続で、その間処女でいることが求められた。；夫に転勤の内示が出たのは、夫婦そろって勤続十三年めになろうとしていた三月のことであった。</t>
        </is>
      </c>
      <c r="J2288">
        <f>HYPERLINK("https://www.weblio.jp/content/勤続", "词义详情")</f>
        <v/>
      </c>
      <c r="K2288">
        <f>HYPERLINK("https://yourei.jp/勤続", "查看例句")</f>
        <v/>
      </c>
    </row>
    <row r="2289">
      <c r="A2289" t="inlineStr">
        <is>
          <t>近代</t>
        </is>
      </c>
      <c r="B2289" t="inlineStr">
        <is>
          <t>成功</t>
        </is>
      </c>
      <c r="C2289" t="inlineStr">
        <is>
          <t>読み方：きんだい
１現代に近い時代。また、現代。「—都市」
２歴史の時代区分の一。広義には「近世」と同義であるが、一般には封建制社会のあとの資本主義の社会をいう。日本史では明治維新から太平洋戦争の終結まで、西洋史では市民革命・産業革命からロシア革命までの時代。</t>
        </is>
      </c>
      <c r="D2289" t="inlineStr">
        <is>
          <t>近代的(26%)；近代以降(4%)；近代化(4%)；近代日本(2%)；近代以前</t>
        </is>
      </c>
      <c r="E2289" t="inlineStr">
        <is>
          <t>現代；近世；モダン；当代；現今</t>
        </is>
      </c>
      <c r="F2289" t="inlineStr">
        <is>
          <t>近代兵器；近代医学；近代以後；近代産業；近代絵画</t>
        </is>
      </c>
      <c r="G2289" t="inlineStr">
        <is>
          <t>近代文学；近代国家；近代建築；近代科学；近代社格制度</t>
        </is>
      </c>
      <c r="H2289" t="n">
        <v>29</v>
      </c>
      <c r="I2289" t="inlineStr">
        <is>
          <t>明治に入ると、近代的な会社・企業組織などの考えが日本にも伝わった。；近代的な欧米の図書館制度を日本に最初に紹介したのは福沢諭吉である。；この統一的な状態を破壊したものが、近代的な国民国家の成立と言える。；これが近代ボウリングのルールの原型になっていったと考えられている。；日本の近代以前の歴史上の戦争を題材とした場合は通常時代劇と呼ばれる。；日本とチベットの本格的な接触・交流が始まるのは近代以降である。；以下に、現在使われている近代的なオーケストラの配置の一例を示す。；古代から近代に至るまで中国人の倫理規定の最重要項目となってきた。；この戦争では史上初めて近代的な機械技術が主戦力として投入された。；近代以降、多くの文学賞が創設され、作家の発掘と育成に貢献している。；鉄道は、マネや印象派の画家が追求した近代性を象徴する主題であった。；需要自体が少ないため、近代的な品種改良もあまり行われてはいない。；近代にはステムは短くなり、ベースラインにも達しないようになった。；古代的な牧歌的天皇像を当てはめることで近代天皇像への批判となる。；自然主義と象徴主義の登場をもって古典的近代と言われる時代が始まる。；最初の問題は発展途上国の近代的産業はあまり効率がよくないことだ。；つまり蔣経国は万竹小学校で初めて本格的な近代的な教育を受けることになった。；イギリスは近代的な地税制度を導入してインドの民衆を困窮させた。；衣料、雑貨を営業し、近代に入って呉服類を中心に営業を継続拡張した。；この頃までに近代日本語が多くの文筆家らの努力で形成された。；だが、近代的な戦闘理論が成立したのはナポレオンの時代に入ってからである。；世界創造紀元はロシアなどの正教会諸国でも近代に至るまで使用されていた。；近代以降よりさまざまな創意工夫が凝らされたライターが開発されてきた。；近代以前の日本では、中国経由で伝わった仏教に関わる形で、インドが知られた。；近代に入ると、電気やガスで集中的に加熱することが可能になる。；もっとも、古式捕鯨の行われた地域は近代捕鯨産業でも重要な拠点だった。；近代日本文学は中国・朝鮮の近代文学の形成に大きな影響を与えた。；さらに近代以降には西洋由来の語を中心とする外来語が増大している。；反対に、近代的な歴史学に直接に史料となりうるものに、碑文がある。</t>
        </is>
      </c>
      <c r="J2289">
        <f>HYPERLINK("https://www.weblio.jp/content/近代", "词义详情")</f>
        <v/>
      </c>
      <c r="K2289">
        <f>HYPERLINK("https://yourei.jp/近代", "查看例句")</f>
        <v/>
      </c>
    </row>
    <row r="2290">
      <c r="A2290" t="inlineStr">
        <is>
          <t>緊張</t>
        </is>
      </c>
      <c r="B2290" t="inlineStr">
        <is>
          <t>成功</t>
        </is>
      </c>
      <c r="C2290" t="inlineStr">
        <is>
          <t>読み方：きんちょう
［名］(スル)
１心やからだが引き締まること。慣れない物事などに直面して、心が張りつめてからだがかたくなること。「—をほぐす」「—した面もち」
２相互の関係が悪くなり、争いの起こりそうな状態であること。「—が高まる」「—する国際情勢」
３生理学で、筋肉や腱(けん)が一定の収縮状態を持続していること。
４心理学で、ある行動への準備や、これから起こる現象・状況などを待ち受ける心の状態。</t>
        </is>
      </c>
      <c r="D2290" t="inlineStr">
        <is>
          <t>緊張関係(2%)；緊張感(2%)；緊張状態(2%)；緊張緩和；緊張気味</t>
        </is>
      </c>
      <c r="E2290" t="inlineStr">
        <is>
          <t>調子；ストレス；張る；神経質；テンション</t>
        </is>
      </c>
      <c r="F2290" t="inlineStr">
        <is>
          <t>軍事的緊張；異様な緊張；さすがに緊張；かなり緊張；政治的緊張</t>
        </is>
      </c>
      <c r="G2290" t="inlineStr">
        <is>
          <t>緊張病；緊張性頭痛；緊張型頭痛；緊張音</t>
        </is>
      </c>
      <c r="H2290" t="n">
        <v>29</v>
      </c>
      <c r="I2290" t="inlineStr">
        <is>
          <t>緊張の高い時のほか、何かに夢中になっているときにも笑いは生じない。；このように緊張した政治環境の中で発生したのが9月30日事件だった。；このことはその後のエクアドルとの関係に強い緊張を生むことになった。；自身の競技前から強い緊張が襲っている様子を見せた中での挑戦となった。；俺は2年目与田さんが投げていた球を見て『これはいかん』と緊張した。；この時は、本番で緊張するばかりで芝居を楽しむ余裕はなかったという。；この緊張関係は、逆説的に新たな文化を生み出すきっかけとなっている。；そして遂に張り詰めていた緊張の糸が切れ、ある事件が起こってしまう。；しかも国際関係の緊張が高まってリン鉱石の輸入に不安材料が出てきた。；アリカ学院には初めから、相反した要素の緊張関係があったようである。；いずれもムスリムであるが、両者の関係は長年緊張を伴うものだった。；彼はこの都市におけるユダヤ人とアラブ系市民の間の緊張に衝撃を受けた。；台湾と中国の緊張について「台湾は実質的に独立している」と指摘した。；この時代には大規模な環濠集落が形成され軍事的な緊張があったと考えられる。；羞恥心は精神的な緊張を強め、症状を悪化させる一助となるからである。；その緊張感からピールには常に落ち着きがないところがあったという。；全ての筋緊張がカタレプシー様に消失して地上に倒れてしまうなどする。；激しい運動後や緊張が解けてほっとした時、休日などにも起こりやすい。；南北戦争が、詩に緊張した感じを与えていると考えている人も多い。；このことは楽団員およびクレンペラーとの間に緊張関係をもたらした。；戦争の危機が高まり、急速に事態が緊張化して制御不能となっていく。；しかし、いくつかのグループとの関係が緊張していたにすぎないと見る向きもある。；政治的緊張が続く幕末には、武器や軍艦が日本の主要輸入品となった。；東西緊張緩和の背景には東ドイツが外貨を獲得しようとしたことも大きい。；政治的緊張の中でブリテン南部の沿岸部各地に義勇軍が集結していった。；首の表面に皺を関連する筋膜を緊張させ、口角を下方に引く働きを持つ。；やはり新しいパターンは出るかも知れないという緊張感だけは失ってはならない。；彼らは数か月後に和解したが、まだ彼らの関係は緊張した状態のままだった。；長くない命に最後まで緊張した精神を維持させる薬だ。</t>
        </is>
      </c>
      <c r="J2290">
        <f>HYPERLINK("https://www.weblio.jp/content/緊張", "词义详情")</f>
        <v/>
      </c>
      <c r="K2290">
        <f>HYPERLINK("https://yourei.jp/緊張", "查看例句")</f>
        <v/>
      </c>
    </row>
    <row r="2291">
      <c r="A2291" t="inlineStr">
        <is>
          <t>筋肉</t>
        </is>
      </c>
      <c r="B2291" t="inlineStr">
        <is>
          <t>成功</t>
        </is>
      </c>
      <c r="C2291" t="inlineStr">
        <is>
          <t>読み方：きんにく
収縮性をもつ動物特有の運動器官。原生・中生・海綿動物を除くすべてに存在。脊椎動物では量が多く、たんぱく質に富む。骨格に付着する骨格筋と、心臓壁をなす心筋は横紋筋からなり、胃腸などの壁をなす内臓筋は平滑筋からなる。骨格筋は多数の筋線維が束状に集まり、紡錘状などの形となっている。筋。</t>
        </is>
      </c>
      <c r="D2291" t="inlineStr">
        <is>
          <t>筋肉組織；筋肉内；筋肉隆々；筋肉細胞；筋肉労働</t>
        </is>
      </c>
      <c r="E2291" t="inlineStr">
        <is>
          <t>筋；腕力</t>
        </is>
      </c>
      <c r="F2291" t="inlineStr">
        <is>
          <t>顔面筋肉；たる筋肉；強靭な筋肉；あらゆる筋肉；しなやかな筋肉</t>
        </is>
      </c>
      <c r="G2291" t="inlineStr">
        <is>
          <t>筋肉痛；筋肉少女帯；筋肉量；筋肉注射；筋肉内注射</t>
        </is>
      </c>
      <c r="H2291" t="n">
        <v>29</v>
      </c>
      <c r="I2291" t="inlineStr">
        <is>
          <t>これらの特徴は顎の筋肉の体積や長さの増大にも関連した可能性がある。；なお側頭窓はヒトでは顎の筋肉と側頭部とを結ぶための穴に相当する。；基本的には筋肉が付くのと同じくらいのペースで落ちると言われている。；タンパク質の生成・分解を調整することによって筋肉の維持に関与する。；なぜなら、筋肉は収縮速度が遅い方が大きな力を発揮できるからである。；その周辺には、餌を取り込むための筋肉が発達しているのが通例である。；この他にも、筋肉は見た目の色から赤筋と白筋の2種にも分類される。；ロボットダンスに、全身の筋肉を弾くような動きを加えたダンスである。；それにともない、後半身を支える腰帯とその周囲の筋肉も変化している。；他にも溶血毒や細胞毒、心臓毒や筋肉毒などの毒素も含んでいる事もある。；このとき母親は筋肉を痙攣させて体温を上げ、卵を保温して発生を促す。；筋肉を収縮させながら力を発揮する運動ではほとんどDOMSが生じない。；胃壁の筋肉が発達し、腸管は極めて長いなど消化器の構造に特徴がある。；天体の運動理論や、骨と筋肉による動物の運動の理論の基礎を築いた。；また長い筋肉を持っていることから、顎を大きく開くことができたと推定されている。；首から下の神経が切断され内臓・臓器の筋肉が緩むのが原因とされている。；ある一点に集中する痛みとは違い、筋肉が骨に付着するラインに沿って起こる。；一連の動作の中で一度静止して瞬間的に筋肉を収縮させ、音に合わせる。；筋肉が減りがちな高齢者にプロテイン摂取が勧められている場合もある。；X線画像では筋肉内部に縮緬状と呼ばれる特徴的なガス像を見ることができる。；暖かな日差しの中の花畑で目覚めた、類い稀な筋肉を持つ主人公の青年。；一般体性運動ニューロンは以下のような経路を通って筋肉を収縮させる。；この筋肉が収縮することで顔面の皮膚に様々な表情をつくることができる。；この中で神経節は上下の節に分かれており、それぞれ軸上と軸下の筋肉へとなる。；その一方で頻繁に新鮮な動物の死体からも筋肉を切り取って肉団子を作る。；国枝も素質は認めていたが、身体には筋肉が足りないと考えていた。；筋肉細胞では、収縮に関わるタンパク質に結合することが不可欠である。；つまりこの動作によりすべての筋肉をバランスよく鍛えることができる。；しかし後の研究ではフリルの骨に大きな筋肉付着部があった事が確認されていない。</t>
        </is>
      </c>
      <c r="J2291">
        <f>HYPERLINK("https://www.weblio.jp/content/筋肉", "词义详情")</f>
        <v/>
      </c>
      <c r="K2291">
        <f>HYPERLINK("https://yourei.jp/筋肉", "查看例句")</f>
        <v/>
      </c>
    </row>
    <row r="2292">
      <c r="A2292" t="inlineStr">
        <is>
          <t>近年</t>
        </is>
      </c>
      <c r="B2292" t="inlineStr">
        <is>
          <t>成功</t>
        </is>
      </c>
      <c r="C2292" t="inlineStr">
        <is>
          <t>読み方：きんねん
最近の数年間。ここ数年。「—にない豊漁」</t>
        </is>
      </c>
      <c r="D2292" t="inlineStr">
        <is>
          <t>近年急速；近年注目；近年増加；近年増え；近年稀</t>
        </is>
      </c>
      <c r="E2292" t="inlineStr">
        <is>
          <t>今日；現代；最近；この頃；近頃</t>
        </is>
      </c>
      <c r="F2292" t="inlineStr">
        <is>
          <t>近年急激；近年再開発；近年著しく；近年減少傾向；近年主流</t>
        </is>
      </c>
      <c r="H2292" t="n">
        <v>29</v>
      </c>
      <c r="I2292" t="inlineStr">
        <is>
          <t>近年では学校生徒だけでなく一般市民も利用可能な学校内プールもある。；近年は千葉市のベッドタウンの性格が強くなり人口は増加を続けている。；エンジンは近年では珍しい存在となりつつあるOHVを使用している。；近年では、さらに広範囲に渡って使用されていた可能性も指摘されている。；付近には大学や高校が多く、近年、宅地やマンション開発も進んでいる。；近年ではアニメなどの流行により、その対象は広い世代に拡大しつつある。；この事件は近年のアメリカ史上最大の生物兵器による攻撃だと言われる。；近年ではCM劇場の形をとらない形態でCMが放送される作品も増えている。；近年では魔術師のカードが複数枚入ったセットも出版されている。；ウェイトの著作のうちいくつかは近年になっても出版されている。；これらは化石では確認しにくいが、近年では少しずつ研究が進められている。；これらの表現は近年ではあまり使われなくなってきている。；近年のプロの対局では、第一手のほぼすべてが隅から始まっている。；近年の店舗ではマイクの下に注文を表示するディスプレイが導入されている。；また近年ではコース中でゴミを捨てて良い区間が一部に限定されている場合もある。；しかしながら、近年ではこの最高気温を記録した月に雪が降ることもある。；近年はG8諸国を中心に先進国との外交活動を積極的に推進している。；近年はそれらの国々の一部は中欧または中東欧とされることが増えている。；近年では腕時計型やハードディスクを搭載した機種も発売されている。；近年は麻薬密輸や凶悪犯罪対策のために警察支援活動を実施している。；近年ではインターネット経由で無償でダウンロードできるものも多い。；近年では電子データ化された大蔵経も利用できるようになっている。；近年では北西部や西部の都市開発も進み、新興住宅街が成立している。；平成以降に被り物キャラで一時的に復活していたが近年は見られなくなった。；近年はストーリー性のある軽妙なコメディ作品も多く執筆している。；区分論において近年とりわけ注目されたのは森博達による分析である。；文字・マーク式のものもあるが、近年は液晶ディスプレイ方式が増加している。；近年でも一部のイスラム教徒のクルド人がキリスト教に改宗した者もいる。；そのため近年では県外の工業団地に移転する企業が相次いでいる。</t>
        </is>
      </c>
      <c r="J2292">
        <f>HYPERLINK("https://www.weblio.jp/content/近年", "词义详情")</f>
        <v/>
      </c>
      <c r="K2292">
        <f>HYPERLINK("https://yourei.jp/近年", "查看例句")</f>
        <v/>
      </c>
    </row>
    <row r="2293">
      <c r="A2293" t="inlineStr">
        <is>
          <t>勤勉</t>
        </is>
      </c>
      <c r="B2293" t="inlineStr">
        <is>
          <t>成功</t>
        </is>
      </c>
      <c r="C2293" t="inlineStr">
        <is>
          <t>読み方：きんべん
［名・形動］仕事や勉強などに、一生懸命に励むこと。また、そのさま。「—な学生」
[派生]きんべんさ［名］</t>
        </is>
      </c>
      <c r="D2293" t="inlineStr">
        <is>
          <t>勤勉家；勤勉ぶり；勤勉実直；勤勉性；勤勉な学生</t>
        </is>
      </c>
      <c r="E2293" t="inlineStr">
        <is>
          <t>使用；適用；要請；応用；アプリケーション</t>
        </is>
      </c>
      <c r="F2293" t="inlineStr">
        <is>
          <t>勤勉哲学；勤勉倹約；勤勉なサラリーマン；勤勉な労働；勤勉な努力家</t>
        </is>
      </c>
      <c r="G2293" t="inlineStr">
        <is>
          <t>勤勉手当</t>
        </is>
      </c>
      <c r="H2293" t="n">
        <v>29</v>
      </c>
      <c r="I2293" t="inlineStr">
        <is>
          <t>かつて夫が勤勉に向かっていたデスクの上には書類や本が散乱している。；いちばん勤勉な役人の一人で、あの人のことはいろいろ話されています。；君の勤勉さが能力に負けないとしたら、わたしは君の成功を疑いませんよ。；君がふつうの能力しか持っていないなら、勤勉がその不足を補うだろう。；むしろわたしは、彼女の勤勉な仕事ぶりを何か英雄的なもののように思った。；何と云っても日本人が勤勉で優れているところがあると考えていいんでしょうね。；それにつれて人間自身はだんだん勤勉でなくなりつつあるのかも知れない。；私はとても無口で遠慮勝ちになり、大いに勤勉になろうとつとめました。；その2つの側面はと勤勉性であり、それぞれ組織の中間レベルを形作る。；彼女以上もっと勤勉、誠実に勉強するのは、とても不可能なことだった。；それが怠慢や放埓の結果ではなく、勤勉な労働の結果であるからだろう。；仕事の上で彼ぐらいに几帳面で勤勉な人はあんまり見たことがない。；若いころは主に商人として働いており、非常に勤勉でもあったという。；勤勉な日本の大人達には、テレビを見続ける必然がなかったのである。；一方で民衆からはその勤勉ぶりを褒め称えられ、絶大な人気を得ていた。；勤勉な誠実なそれらのりっぱな労働者らは皆、多くの美徳をもっていた。；彼らはその両方をかちえるに充分なほどの勤勉と能力を持っていた。；それまで勤勉で質素な生活を旨としていた国民にも、それを推奨した。；勤勉になり、精神が集中でき、積極的で忠実な人間にする薬ですからね。；野口は自分の母がいかに勤勉家か話したが、父についてはふれなかった。；いや、ひかりさんは勤勉に働いていたけれど、ぼくはごろごろしていた。；正直で勤勉で良識をもってるだけで足りると、いつも好んで言っていた。；ほとんどルチウスと同じくらい勤勉で、部屋の仲間から尊敬をうけていた。；相手になっているのは、これも勤勉な隣街の大きな靴店のおやじだ。；かれはじつに勤勉で、毎晩三時ごろまで、たいてい事務所で働いていた。；彼女は、きっと親切や勤勉を抽んじてその家の為に努力するでしょう。；勤勉家と云えば立派であるが当時の状況はそれほど働かねば業が成立せぬのだ。；台湾の土地は熱帯地に強く勤勉な台湾人農民によって既に耕されていた。；かといって、授業に耳を傾ける勤勉な学生にまで進化する気はない。</t>
        </is>
      </c>
      <c r="J2293">
        <f>HYPERLINK("https://www.weblio.jp/content/勤勉", "词义详情")</f>
        <v/>
      </c>
      <c r="K2293">
        <f>HYPERLINK("https://yourei.jp/勤勉", "查看例句")</f>
        <v/>
      </c>
    </row>
    <row r="2294">
      <c r="A2294" t="inlineStr">
        <is>
          <t>吟味</t>
        </is>
      </c>
      <c r="B2294" t="inlineStr">
        <is>
          <t>成功</t>
        </is>
      </c>
      <c r="C2294" t="inlineStr">
        <is>
          <t>読み方：ぎんみ
［名］(スル)《3が原義》
１物事を念入りに調べること。また、念入りに調べて選ぶこと。「よく—した材料を用いる」
２罪状を調べただすこと。詮議(せんぎ)。「役人の—を受ける」
３詩歌を吟じてその趣を味わうこと。
「むさとそしるべき歌とはおぼえぬなり。よくよく—し給へ」〈戴恩記〉</t>
        </is>
      </c>
      <c r="D2294" t="inlineStr">
        <is>
          <t>吟味する(14%)；吟味役(4%)；吟味与力；吟味すれ；吟味所</t>
        </is>
      </c>
      <c r="E2294" t="inlineStr">
        <is>
          <t>研究；みる；評価；調査；調べ</t>
        </is>
      </c>
      <c r="F2294" t="inlineStr">
        <is>
          <t>御吟味；学問吟味；素読吟味；就いて吟味；十分吟味</t>
        </is>
      </c>
      <c r="G2294" t="inlineStr">
        <is>
          <t>吟味物調役</t>
        </is>
      </c>
      <c r="H2294" t="n">
        <v>29</v>
      </c>
      <c r="I2294" t="inlineStr">
        <is>
          <t>玉と石とを区別する前には、石も一応採集して吟味しなければならない。；種々の材料の関係を理論的に吟味して、当然の結論に到達したまでです。；この技術の名称として、他に提案され吟味されたものの一部を次に示す。；そこで私は唯我論に私のできるだけ周到な吟味と批判とを加えてもみた。；東京では折々そんなのを売っているからよほど吟味して買わねばならん。；表には役部屋のほかに吟味所があり、その土間は付属の牢に続いている。；自分の仕事のしぶりを時々吟味してみることは何と大切でしょう。；今まで見なかったのは、何と何だったかを吟味しているのでしょう。；この見方にも突込んで吟味せなければならない所もあるがお預けとする。；彼は客と石の吟味をした後に、己の石を碁笥に入れて盤の上に置いた。；そのために諸知識の系統と家系を吟味することが必要と述べている。；一本ずつ吟味して見ると先生の髯は一本ごとにひょろひょろしている。；れいのご深遠なご吟味をまたおはじめになったのでございましょうか。；任務分析とは与えられた任務の内容を吟味して達成すべき目標を明確化することである。；ソクラテスはその容姿端麗の評判を聞き、魂の吟味もしてみたいと思う。；その句を吟味する者はこの境をよく区別して考えなければならん。；ここでは情報を吟味した上で、より正確であろう情報についてまとめておく。；クラスポイントに影響するのは結果のみで、試合内容は吟味されない。；吟味の結果は僧が云ったように三左衛門が二目の負けとなっていた。；これは全集ではなく、作者が吟味し基準に適うもののみが収録された。；薬も改めて吟味してみましたし、効果に変りのないことも慥かめたのです。；この二重の吟味で、もうなにも食物の残っていないことがわかった。；曾の子の任は平陽の太守であったが、もう人をやって吟味をさしてあった。；ただ示した図に関するような極めて簡単な一般的場合のみを吟味する。；移籍に伴い当初の予定は遅れたが、その代わりにリリースを吟味することができた。；物奉行は今日の大臣・長官に相当し、その下に次官級の吟味役が置かれた。；その男で正しいのか再吟味させると、バレットは別の男を選び出した。；私はまず、理解するべきものかどうかを吟味するために読むの。；しかし作品は少しく吟味してゆくときは、それを発見するであらう。</t>
        </is>
      </c>
      <c r="J2294">
        <f>HYPERLINK("https://www.weblio.jp/content/吟味", "词义详情")</f>
        <v/>
      </c>
      <c r="K2294">
        <f>HYPERLINK("https://yourei.jp/吟味", "查看例句")</f>
        <v/>
      </c>
    </row>
    <row r="2295">
      <c r="A2295" t="inlineStr">
        <is>
          <t>緊密</t>
        </is>
      </c>
      <c r="B2295" t="inlineStr">
        <is>
          <t>成功</t>
        </is>
      </c>
      <c r="C2295" t="inlineStr">
        <is>
          <t>読み方：きんみつ
［名・形動］(スル)
１物と物とがすきまなくくっつくこと。物事の関係が密接なこと。また、そのさま。「—な連絡をとる」
「更に—して行く車に車夫達の姿は見えなくなり」〈横光・上海〉
２非常に厳しいこと。また、そのさま。厳格。
「—ニ仰セ付ケラルル」〈日葡〉
[派生]きんみつさ［名］</t>
        </is>
      </c>
      <c r="D2295" t="inlineStr">
        <is>
          <t>緊密な関係(18%)；緊密な連携(4%)；緊密化(4%)；緊密な協力(3%)；緊密な連絡(2%)</t>
        </is>
      </c>
      <c r="E2295" t="inlineStr">
        <is>
          <t>近い；密接；身近；手近；間近い</t>
        </is>
      </c>
      <c r="F2295" t="inlineStr">
        <is>
          <t>緊密な関連；緊密な統合；緊密な友好；緊密な調節；緊密な結合</t>
        </is>
      </c>
      <c r="G2295" t="inlineStr">
        <is>
          <t>緊密イオン対</t>
        </is>
      </c>
      <c r="H2295" t="n">
        <v>29</v>
      </c>
      <c r="I2295" t="inlineStr">
        <is>
          <t>一部のマイナーな政治家は、そのグループや思想と緊密に関係してきた。；もちろん私どもだけではありませんでしたし、緊密な関係ではありません。；父親と同様にムウタディドの権力は軍との間の緊密な関係に依存していた。；大学院は、創設時国際連盟と国際労働機関との緊密な連携関係にあった。；この他にフロートー市との間にも組織構成上の緊密な結びつきがある。；ハ、各段階に応じ隣接区相互間に於ても緊密なる連絡をとらしめること。；いかにも彼らの哲学は論理の厳密と連絡の緊密とを欠いているであろう。；こうした経緯から、現在でもフランスとの緊密な関係を維持している。；これに先立ちポーランドのいくつかの郡と緊密な自治体関係を築いた。；ジミーら当時の捜査官と緊密に連携しながら逮捕に向けた準備を進めていた。；また朝鮮半島危機に対して日米韓で緊密に連携していくことで一致した。；また理事会を中心に関係官庁、経済諸団体と緊密な連携をつくっている。；つぎつぎに生まれる緊密な結びつきが、さらに大きな感動をもたらした。；クリミア戦争中の英仏間に存在した緊密な協力関係は一瞬にして消滅した。；その後、ナーセルはアメリカと緊密な関係を作りたいと願望を表明した。；彼らが緊密に作曲を行ったのは『サマー・デイズ』以来のことであった。；しかし規模は小さくエジプトとの緊密な接触を示す証拠は少ない。；ソチミルコはメキシコシティとは湖を使った水運で緊密に結ばれていた。；どんなに緊密な瞬間でさえも、これが理解だ、とはたして言えるかしら?；その名前はふたご座に由来し、カハール体との緊密な関係を表している。；遺体埋葬の必要がないので、石塔だけが緊密に並べられることが多い。；ルーベンスは人物像を緊密で一体なモチーフにまとめ上げて表現している。；この危機に対応して、ASEANは中国、韓国、日本と緊密に連携した。；この他に、アメリカ合衆国オハイオ州のと緊密な友好関係を築いている。；従って、否応なく一致協力し、緊密に結束しなければならない筈である。；また、宗像市との関係がとても緊密であり、経済的に相互依存している。；この道路は泡沫会社乱立時代に発展した地区間を緊密に連結している。；同年代の終わりには、との緊密な関係により、会員数は40名を超えた。；彼とこの平野の人々との間のつながりはさうして深く緊密なものになつて行つた。</t>
        </is>
      </c>
      <c r="J2295">
        <f>HYPERLINK("https://www.weblio.jp/content/緊密", "词义详情")</f>
        <v/>
      </c>
      <c r="K2295">
        <f>HYPERLINK("https://yourei.jp/緊密", "查看例句")</f>
        <v/>
      </c>
    </row>
    <row r="2296">
      <c r="A2296" t="inlineStr">
        <is>
          <t>勤務</t>
        </is>
      </c>
      <c r="B2296" t="inlineStr">
        <is>
          <t>成功</t>
        </is>
      </c>
      <c r="C2296" t="inlineStr">
        <is>
          <t>読み方：きんむ
［名］(スル)会社などにつとめて仕事をすること。また、その仕事。「市役所に—する」</t>
        </is>
      </c>
      <c r="D2296" t="inlineStr">
        <is>
          <t>勤務する(11%)；勤務中(2%)；勤務経験；勤務地；勤務時代</t>
        </is>
      </c>
      <c r="E2296" t="inlineStr">
        <is>
          <t>務め；サービス；扱い；働く；勤め</t>
        </is>
      </c>
      <c r="F2296" t="inlineStr">
        <is>
          <t>会社勤務；出版社勤務；局勤務；海外勤務；部勤務</t>
        </is>
      </c>
      <c r="G2296" t="inlineStr">
        <is>
          <t>勤務時間；勤務医；勤務評定；勤務条件；勤務形態</t>
        </is>
      </c>
      <c r="H2296" t="n">
        <v>29</v>
      </c>
      <c r="I2296" t="inlineStr">
        <is>
          <t>通勤列車は毎日勤務先と家との間を往復する大量の住民を運んでいる。；かつて満鉄に勤務した田中季雄は太平洋戦争後に次のように語っている。；一方で午後から登庁し、夜まで勤務することには不満も持たれていた。；勤務後から間もなく人気が出て、夏が終わる頃には店の売れっ子になった。；いつごろからかはっきりしないが、父親は海外勤務になったという。；宮殿に勤務する人は約450名、年間の招待客は4万人にもなるという。；勤務地が大きく変わることはないが、別の分野を担当させられる。；米軍基地に勤務するイタリア人の父親と日本人の母親の間に生まれた。；大学卒業後からの半年間は、慶應義塾大学病院の中央検査部に勤務していた。；いずれも、出演の時点で勤務していた毎日放送が製作に出資した作品。；それ以前にも自身の勤務する小学校でユースホステルを臨時に設置していた。；その後は交番勤務を見下す姿勢を改め、毎年南部の墓参りに行っている。；海兵隊は海軍の艦船で共に勤務するなど、連携した活動を行っている。；半年間休養した後、にっかつ撮影所に入社し、勤務しながら脚本を学ぶ。；スペインの竜騎兵は平時において治安維持のため各都市で勤務していた。；その後孫文政権に許され、家族は父の仕事の勤務地となった上海へと移った。；生活のためにサンクトペテルブルク・ワルシャワ鉄道で勤務したこともあった。；番制度によって勤務に当たることを当番と呼び、現在でも用いられている。；奇遇にも、父が勤務していたプラハの歩兵第102連隊に配属先された。；第5地区にはドブロスやアンナが勤務していた病院がある医療地区であった。；なお荒木はかつて、中井が所属した民社党の本部事務局に勤務していた。；速水奨は貿易会社勤務の傍ら劇団四季の研究所などに所属していた。；長男・士郎は父と同じく原子物理学者で日本原子力研究所に勤務していた。；翌月までフィンバックで勤務し撃墜されたパイロットの救助にあたった。；医師である父親がインターン勤務で山梨県にいた関係で山梨市に生まれる。；百貨店での勤務経験を元にした、経営方法からの批評を特徴とする。；自ら販売した作品で、マクドナルドの店員が勤務中に出演する物が存在する。；中学から高校の初めまでは晋平の勤務地の関係で、札幌で生活した。；彼は潜水艦勤務経験のある唯一の大統領である。</t>
        </is>
      </c>
      <c r="J2296">
        <f>HYPERLINK("https://www.weblio.jp/content/勤務", "词义详情")</f>
        <v/>
      </c>
      <c r="K2296">
        <f>HYPERLINK("https://yourei.jp/勤務", "查看例句")</f>
        <v/>
      </c>
    </row>
    <row r="2297">
      <c r="A2297" t="inlineStr">
        <is>
          <t>禁物</t>
        </is>
      </c>
      <c r="B2297" t="inlineStr">
        <is>
          <t>成功</t>
        </is>
      </c>
      <c r="C2297" t="inlineStr">
        <is>
          <t>読み方：きんもつ
１してはならない物事。また、しないほうがよい物事。「病気に酒は—だ」「油断は—」
２好ましくないもの。嫌いなもの。
「百姓は春のじとじと降り続く雨が—だと書いてあるよ」〈宇野浩二・苦の世界〉</t>
        </is>
      </c>
      <c r="D2297" t="inlineStr">
        <is>
          <t>禁物である(21%)；禁物であつ；禁物であろ</t>
        </is>
      </c>
      <c r="E2297" t="inlineStr">
        <is>
          <t>タブー；禁忌；忌み</t>
        </is>
      </c>
      <c r="F2297" t="inlineStr">
        <is>
          <t>一切禁物；絶対禁物；一番禁物</t>
        </is>
      </c>
      <c r="H2297" t="n">
        <v>29</v>
      </c>
      <c r="I2297" t="inlineStr">
        <is>
          <t>だが、もう用がないと、顔に出したり口にしたりすることは禁物だった。；学問をするには研究が必要かも知れないけれども、交際に研究は禁物よ。；夫婦のあいだではもう長いこと「仕官」の話は禁物のようになっていた。；ボスの女だからと言って、気を許して仕事の話をするのは禁物なのだ。；こんな風の日に、暗くなってから車で海岸の岩棚に降りるのは禁物だ。；主取をした後のことなども、計算に入れると、深入りは禁物だと思った。；何しろ夫婦の間で或事の隔てがあると云ふことが一番の禁物なんだからねえ。；まだ敵とも味方ともわからない娘に手持ちのカードをすべて見せるのは禁物だ。；基本的に、パラノイアの人には、頭ごなしの否定は禁物とされています。；ただ、何をするにしても健康が一番大切ですから無理は禁物です。；でもそのあんただってあの人のことを話題にするのは禁物よ。；どこの主人でも、抱えとお客とあまり親密になることは禁物なんだわ。；過度に感情的な態度をとったり、本人の意見を封じてしまうのも禁物です。；とにかく、何人によらず、知っている人間に会うのは今の僕には禁物なのだ。；この家族のいるところでは政治の話をするのは禁物だった。；がしかし、これは大変に重大な問題ですので、先を急ぐのは禁物です。；少しでも百合沢の消息を知りたがっているような行動こそ、禁物であろう。；すでにいったとおり、住居のまわりで煙を立てるのは禁物であった。；今のところ不審な人影やレンズの反射光はないようだが、油断は禁物だ。；一発では死なない敵が多い為、二発目でバラバラになるまで油断は禁物。；革命あるいは革新の動機に、私利の要素がふくまれることは禁物である。；一旦、白点が消えても水中で増殖している可能性があるので油断は禁物。；何か言えばほんとうにされかねないから、こういうたぐいの予想は禁物ね。；また、下した命令に部下が従っているかぎり、批評や批判は禁物です。；戦いにはあらゆる予測が禁物であることを、骨髄に徹して知っている。；どんな些細なトラブルでも、後に尾を引くような処理の仕方は禁物だ。；たとへ病気がはつきりしなくても正直にありのまゝを云ふのは禁物だつた。；先方が強い場合には、シナ人とやつらの金とを別にするのは禁物だ。；天才的な人間が学校で示すことは、教授たちにとって由来禁物である。</t>
        </is>
      </c>
      <c r="J2297">
        <f>HYPERLINK("https://www.weblio.jp/content/禁物", "词义详情")</f>
        <v/>
      </c>
      <c r="K2297">
        <f>HYPERLINK("https://yourei.jp/禁物", "查看例句")</f>
        <v/>
      </c>
    </row>
    <row r="2298">
      <c r="A2298" t="inlineStr">
        <is>
          <t>金融</t>
        </is>
      </c>
      <c r="B2298" t="inlineStr">
        <is>
          <t>成功</t>
        </is>
      </c>
      <c r="C2298" t="inlineStr">
        <is>
          <t>読み方：きんゆう
金銭の融通。特に、資金の借り手と貸し手のあいだで行われる貨幣の信用取引。</t>
        </is>
      </c>
      <c r="D2298" t="inlineStr">
        <is>
          <t>金融業者(4%)；金融システム(4%)；金融会社(3%)；金融業界(3%)；金融取引(2%)</t>
        </is>
      </c>
      <c r="E2298" t="inlineStr">
        <is>
          <t>ファイナンス</t>
        </is>
      </c>
      <c r="F2298" t="inlineStr">
        <is>
          <t>金融分野；金融改革；金融関連；貿易金融；金融犯罪</t>
        </is>
      </c>
      <c r="G2298" t="inlineStr">
        <is>
          <t>金融政策；金融庁；金融業；金融危機；金融市場</t>
        </is>
      </c>
      <c r="H2298" t="n">
        <v>29</v>
      </c>
      <c r="I2298" t="inlineStr">
        <is>
          <t>傘下にインターネットを軸に金融関連事業を行う事業会社を数多く設立した。；江戸時代には天領となり、経済・交通・金融・商業の中心地として発展。；まずは同行に集中されていた各種金融機能が専門銀行に分割された。；中国の過去数年の金融改革を評価したうえで、さらなる改革を求めた。；中心部より南西にはビジネスと金融の中心であるパウリスタ通りがある。；一方、日本では質問に答えるだけで計算できる金融電卓が主流である。；しかしながら、近年金融部門で重要な地位を得るようになっている。；金融安定委員会の調査では注目されなかったインドでも近年は社会問題化している。；金融行政に大きな発言力を持っており、金融族のドンといわれていた。；中央銀行とは、国家や一定の地域の金融システムの中核となる機関である。；この金融システムは戦後の経済復興・高度経済成長に大きく貢献した。；やはり後半の経済・金融・企業や市場関連のニュースは特に取り扱いが厚い。；上院金融委員会で大いに活躍し同委員会を代表する大物議員であると言えた。；その後は宗教運動に積極的に参加し、金融業務はアレンが引き継いだ。；それはウォール街での有力な金融業者に当てはまる世界の長の用語に似ている。；これで機能はともかく、地方金融の面倒まで見る立場となった。；ニューヨーク証券取引所をはじめ米国の金融史とゆかりのある地区である。；毎回最新の歌謡曲を放送し、暮らしと金融に関する情報を紹介している。；経済を中心に企業・金融に関係した話題を提供する。；もともとは誌名が示すように、金融・経済に特化した雑誌であった。；中国経済史上、山西商人は全国に勢力を延ばし、中国の金融を支配した。；身近な金融機関として地域社会の発展に貢献することを経営理念とする。；あらた監査法人はこの監査五部と金融部が分離独立する形で設立されたものである。；金融改革を起こして産業融資を行う近代的金融業の確立に努めた。；ラヴォアジエはフランスの金融および徴税制度を改革しようとした。；このため製造・金融・流通・運輸・国防などの大規模システムで多く使用されている。；これが盛田昭夫の金融部門進出という悲願達成へのスタートとなった。；北部のベイジングストークは州都から企業と金融の中心部が広がってきている。；エドモンはフランス植民地金融社を1949年にという名前で改組した。</t>
        </is>
      </c>
      <c r="J2298">
        <f>HYPERLINK("https://www.weblio.jp/content/金融", "词义详情")</f>
        <v/>
      </c>
      <c r="K2298">
        <f>HYPERLINK("https://yourei.jp/金融", "查看例句")</f>
        <v/>
      </c>
    </row>
    <row r="2299">
      <c r="A2299" t="inlineStr">
        <is>
          <t>金曜日</t>
        </is>
      </c>
      <c r="B2299" t="inlineStr">
        <is>
          <t>成功</t>
        </is>
      </c>
      <c r="C2299" t="inlineStr">
        <is>
          <t>読み方：きんようび
「金曜」に同じ。</t>
        </is>
      </c>
      <c r="D2299" t="inlineStr">
        <is>
          <t>金曜日更新；金曜日深夜；金曜日夜；金曜日放送；金曜日ごと</t>
        </is>
      </c>
      <c r="F2299" t="inlineStr">
        <is>
          <t>最終金曜日；隔週金曜日；毎金曜日；金曜日限定；金曜日配信</t>
        </is>
      </c>
      <c r="G2299" t="inlineStr">
        <is>
          <t>金曜日の天使；金曜日のライオン；金曜日には花を買って</t>
        </is>
      </c>
      <c r="H2299" t="n">
        <v>29</v>
      </c>
      <c r="I2299" t="inlineStr">
        <is>
          <t>番組名の変更は単純に放送曜日が金曜日以外になったためだと思われる。；隣接するで行われる学校対抗戦のために金曜日の授業は休みとなっていた。；なお、日本では従来土曜日の公開が多いが、本作は金曜日に公開された。；金曜日には金谷ヒデユキの替え歌コーナーを放送していた時期があった。；金曜日はメインとなるカウントダウンと各種コーナーにて構成されていた。；番組は、基本的に月曜日から金曜日までの5回の放送で同じ主題を扱う。；半年後の1997年10月からは金曜日深夜にも本番組の枠が設けられた。；一般的には月曜日から金曜日までの同時刻に放送される番組を指す。；全員が金曜日までに空港から立ち去っていたにもかかわらず、である。；金曜日のオフィス向けに放送されていた番組で、内容は音楽が中心であった。；羊の格好をした小男がドアから入ってきたのは金曜日の午後だった。；また不定期だが金曜日に各地で行われる公開録音から放送することもある。；実際、ローマ教皇庁は金曜日に肉を食べてはいけないとの公表はしていない。；伎楽面の展示は、作品保護のため、金曜日・土曜日のみ公開されている。；金曜日に肉を食べないカトリック教徒向けに1963年に発売開始された。；金曜日の放送が無くなったことから、以後はトークが主体の番組になった。；また園田競馬場のナイター競走は金曜日に行われるので、発売されない。；改編ごとに平日の番組を金曜日で分割するか否かが別れることが多い。；隔週金曜日の正午から新しい回を視聴する事ができる様になっていた。；現在、本枠においてアニメ枠が存続しているのは金曜日のみである。；は、大阪・ABCラジオで金曜日の昼に放送されていたラジオ番組である。；この祭りは9月の最後の金曜日から10月の第2日曜日まで続けられる。；週単位に年毎の曲を選択し、毎週金曜日にその週の総集編を放送した。；これ以降は、体調を考慮して月曜日と金曜日の放送に出演するようになった。；配信はPC向けと携帯向けが交互に隔週金曜日に更新される形で行われた。；金曜日と土曜日に放送されていた内容についてはイマドキッを参照のこと。；通常は近畿広域圏限定だが、BS2でも第3金曜日に放送されていた。；同年2月2日から終了までは月曜日から金曜日までの放送であった。；月曜日から金曜日までの約10分間放送されていた、いわゆる帯番組だった。</t>
        </is>
      </c>
      <c r="J2299">
        <f>HYPERLINK("https://www.weblio.jp/content/金曜日", "词义详情")</f>
        <v/>
      </c>
      <c r="K2299">
        <f>HYPERLINK("https://yourei.jp/金曜日", "查看例句")</f>
        <v/>
      </c>
    </row>
    <row r="2300">
      <c r="A2300" t="inlineStr">
        <is>
          <t>勤労</t>
        </is>
      </c>
      <c r="B2300" t="inlineStr">
        <is>
          <t>成功</t>
        </is>
      </c>
      <c r="C2300" t="inlineStr">
        <is>
          <t>読み方：きんろう
［名］(スル)
１心身を労して仕事にはげむこと。
「共に王事に—せよ」〈藤村・夜明け前〉
２賃金をもらって一定の仕事に従事すること。「—学生」</t>
        </is>
      </c>
      <c r="D2300" t="inlineStr">
        <is>
          <t>勤労大衆(9%)；勤労階級(7%)；勤労婦人(4%)；勤労動員(3%)；勤労青年(3%)</t>
        </is>
      </c>
      <c r="E2300" t="inlineStr">
        <is>
          <t>勤務；働く；労働；勤める；就労</t>
        </is>
      </c>
      <c r="F2300" t="inlineStr">
        <is>
          <t>勤労精神；勤労女性；若い勤労；勤労観；勤労性</t>
        </is>
      </c>
      <c r="G2300" t="inlineStr">
        <is>
          <t>勤労奉仕；勤労動員；勤労意欲；勤労青少年；勤労感謝の日</t>
        </is>
      </c>
      <c r="H2300" t="n">
        <v>29</v>
      </c>
      <c r="I2300" t="inlineStr">
        <is>
          <t>こういうことをいっても、何もアメリカ人の勤労をわらうわけではない。；ヨオロッパには、人類の勤労が最良の指導を受け得る可能性が最も多い。；そしてこれはきっと勤労生活をしない娘にひどいのだと思います。；そのため、勤労とは働くことを含むが単に働くことをさすのではない。；この噂が伝わったとき、ソヴェト同盟の勤労大衆はみんな思わず笑った。；勤労せぬものは卒業論文を書くことになっているとて、秋声論を書く話。；或る者は勤労と厳しい苦行の生活を求めて苦痛と労働とにその身を練った。；非情な企業規定と自身の勤労観の間で翻弄される人々の憤懣を描いている。；そして他の生産的勤労の需要は減少し、その受ける支払は減少するであろう。；神はただ一瞬のうちに、多年の勤労と努力との結果を消滅させ得る。；勤労階級の娘さん達は、殆どすべて何かの程度で生活の必要から職業についている。；つまり陪審機も管理ビデオも、国民が無私の勤労で支持せん仕組みなり。；すべての主婦、学生のために勤労婦人こそトップに立ってそれを求めている。；都会の勤労婦人の生活だって決してこれにまさったものではなかった。；勤労人民の生活条件の安定は、最もソヴェト同盟がまさっているだろう。；しかしそれよりも、もっと重視すべきものは、アメリカ人の勤労精神である。；お前は一日の糧を買ふ代をさへ 自分の勤労で酬いられた事があるか。；大会には党勤労団体部長・書記の李日煥と党部長の李頭城が出席。；三人にはそういう勤労中断の十分ないわれがあったばかりではない。；従来は勤労青年のみ対象だったが、第50回から学生も参加できるようになった。；学校へ行けば勤労だけだからきっと身体に無理となる。；若い勤労婦人は最も危険・有害なあらゆる生産部門においてさえ活動しました。；その家作は、商店街にあって、主に若い勤労女性が借りているのです。；それは社会秩序の一つの環は意味するが、生産勤労の様式を示す職業ではない。；その時期に、日本ではじめて農民の勤労姿が、郵便切手の上にうつされた。；その結果として国民の勤労ぶりに対して強い非難が挙げられている。；勤労階級と、文学が遊離してきた原因も、この事情の他の一面のあらわれであった。；あなたの勤労のおかげで私はこのようなありがたい書物を読むことができて深く感謝いたします。；勤労女性のための施設として建てられたが男性も利用できる。</t>
        </is>
      </c>
      <c r="J2300">
        <f>HYPERLINK("https://www.weblio.jp/content/勤労", "词义详情")</f>
        <v/>
      </c>
      <c r="K2300">
        <f>HYPERLINK("https://yourei.jp/勤労", "查看例句")</f>
        <v/>
      </c>
    </row>
    <row r="2301">
      <c r="A2301" t="inlineStr">
        <is>
          <t>苦</t>
        </is>
      </c>
      <c r="B2301" t="inlineStr">
        <is>
          <t>成功</t>
        </is>
      </c>
      <c r="C2301" t="inlineStr">
        <is>
          <t>読み方：く
［音］ク（呉）　［訓］くるしい　くるしむくるしめる　にがい　にがる
［学習漢字］3年
〈ク〉
１味がにがい。「苦汁・苦味／甘苦」
２精神的・肉体的につらい思いをする。くるしい。くるしみ。「苦学・苦境・苦行・苦心・苦戦・苦痛・苦悩・苦楽・苦労／艱苦(かんく)・刻苦・困苦・辛苦・痛苦・病苦・貧苦・労苦」
３にがにがしい。「苦言・苦笑・苦情」
４程度がひどい。「苦寒」
〈にが〉「苦手・苦味・苦虫」
［難読］苦力(クーリー)・苦汁(にがり)</t>
        </is>
      </c>
      <c r="D2301" t="inlineStr">
        <is>
          <t>苦もなく(14%)；苦しげな(7%)；苦勞(3%)；苦鳴(2%)；苦惱</t>
        </is>
      </c>
      <c r="E2301" t="inlineStr">
        <is>
          <t>困難；試み；痛み；苦痛；苦しみ</t>
        </is>
      </c>
      <c r="F2301" t="inlineStr">
        <is>
          <t>飛苦；少しも苦；苦艱；苦るし；苦も無く</t>
        </is>
      </c>
      <c r="G2301" t="inlineStr">
        <is>
          <t>苦痛；苦しみ；苦しい；苦笑；苦手</t>
        </is>
      </c>
      <c r="H2301" t="n">
        <v>29</v>
      </c>
      <c r="I2301" t="inlineStr">
        <is>
          <t>遺書は残されていないが、一般に失態を苦にしたものと解釈されている。；遺書によれば自分の病とそれまでの桐座の経営を苦にしてのことであった。；ハンデ師をしていたので情報を覚える事は何ら苦にならなかったという。；その上に苦が手の警官までに顔を合わせねばならないじゃないか。；僕は善い加減な返事をしながら、だんだんこの散歩を苦にし出しました。；しかし、1897年には父親が病を苦に猟銃自殺を果たし衝撃を受けた。；老人が放蕩な主人やこの不幸な結婚生活を苦にしているのを彼女は知っていた。；というのは、今はそんなことをほんの少しでも苦にはしなかったのだ。；僕は君が君自身の内面生活に於いて苦のない人でない事は熟知してゐる。；仏教において苦の原因の構造を示して表しているのは、十二縁起である。；私はこの苦の衆生を安んずるために誕生したのだから、尊いとしている。；その後社長は、それを苦にしたのか遺書を残して死んでいるのが発見された。；しかしこれ等は、決して解釈に苦むほど困難な問題ではございません。；如何にして新聞雜誌を讀む可きか、此問題が僕にとつては一苦勞である。；そのころ馮勝の本軍は女直の苦屯で納哈出の部下観童を降伏させていた。；内外角とも苦にしない打撃には、対戦した江本孟紀らから定評があった。；おはまは例の苦のない声で小唄をうたいながら台所の洗い物をしている。；愛の荊棘よ、末期の苦の時、この罪ある心の中にその針を突き通し給へ。；実際に薬を飲んでみるが、あまりの苦さにやはりタンクの水を飲んでしまう。；それ等も目のある人が見れば何の苦もなく見分けが附くものである。；此の一幅さへあれば一家の窮状は何の苦もなく脱することが出来る。；これは一般に後世、苦を説明する時にいわれる三苦にもよく示される。；王子から苦と楽の関係を問われた釈迦は、自身の修行時代を語り出す。；人間たちが悪魔の群れに様々な責め苦を受ける地獄を描いた場面。；此の一幅さえあれば一家の窮状は何の苦もなく脱することが出来る。；だが、完成した薬は苦すぎて大人でさえも飲むことができない。；人の一生は苦であり永遠に続く輪廻の中で終わりなく苦しむことになる。；ロバートは、動物が苦まないように追跡して殺さなければと主張する。；その理由は、丙午の年であるために、縁が遠いのを苦にしてである。</t>
        </is>
      </c>
      <c r="J2301">
        <f>HYPERLINK("https://www.weblio.jp/content/苦", "词义详情")</f>
        <v/>
      </c>
      <c r="K2301">
        <f>HYPERLINK("https://yourei.jp/苦", "查看例句")</f>
        <v/>
      </c>
    </row>
    <row r="2302">
      <c r="A2302" t="inlineStr">
        <is>
          <t>具</t>
        </is>
      </c>
      <c r="B2302" t="inlineStr">
        <is>
          <t>成功</t>
        </is>
      </c>
      <c r="C2302" t="inlineStr">
        <is>
          <t>読み方：ぐ
［音］グ（呉）　［訓］そなえる　そなわるつぶさに
［学習漢字］3年
１必要なものをそろえる。そなえる。そなわる。「具象・具体・具備・具有／不具」
２そなえておく器物。「家具・玩具(がんぐ)・器具・工具・寝具・道具・農具・馬具・武具・仏具・文具・夜具・用具」
３詳しく申し立てる。つぶさに。「具申・具陳／敬具」
［名のり］とも
［難読］玩具(おもちゃ)</t>
        </is>
      </c>
      <c r="D2302" t="inlineStr">
        <is>
          <t>具那たち；具教；具體的；具店；具體的</t>
        </is>
      </c>
      <c r="E2302" t="inlineStr">
        <is>
          <t>手段；材料；道具；ツール；食材</t>
        </is>
      </c>
      <c r="F2302" t="inlineStr">
        <is>
          <t>男具；宝具；遊具；留め具；灯具</t>
        </is>
      </c>
      <c r="G2302" t="inlineStr">
        <is>
          <t>具体的；具合；具現；具材；具足</t>
        </is>
      </c>
      <c r="H2302" t="n">
        <v>29</v>
      </c>
      <c r="I2302" t="inlineStr">
        <is>
          <t>店の一角に並べられた具を客が取れるようにしているところも見られる。；後に本人が語ったところによると、終日拘束具をつけられていたという。；卓球台の他にも、公園等で設置されている遊具などを製造販売する企業。；回転する床の上に、床の回転に合わせて上下する座席を備えた遊具である。；厨子は、収納具の一種であり、次のような用途で用いられるものである。；この機械による生産の結果、締め具の寸法が標準化されることになった。；ハマンは自分で用意した処刑具で自分が処刑されることになった。；またその形状を生かし、中に小さな具が入るような料理法を取ることが多い。；奈良時代の短甲は様々なパーツが付属した皆具の甲であると考えられる。；具としてご当地グルメの讃岐うどんが入っている事が大きな特徴である。；酒令用なので酒令具と呼ばれ、各目にはその目が出たときにする行為が記されている。；一般的には靴をしっかりと固定することで、その走行具の操作性を高める。；形状にはこだわらないが、合掌礼拝の際に用いる法具として大切にする。；また、直接身体を用いるものと打具としてラケットを用いるものがある。；その他の宝具については、所有しているキャラクターの説明を参照のこと。；魔神戦争の際には鏡像の魔神に姿を奪われ、聖具も奪われてしまっている。；金属の評価のために、様々な測定法や測定機具が開発されている。；商品の中には皮のみで具が入ってないものもある。；しかし一方で、その刑具は十字形ではなかったとする学説が存在していた。；これは門や壁を爆破するよう特に設計された火具である。；中国では鶏肉のみで他の具を加えないのが一般的である。；その他の具は、各家庭・料理屋で相違があり、決まったものはない。；肉以外の具を使わず、着色料で赤くしたものを指す場合も多い。；正午過ぎには薩摩軍の増援として兵具方一番隊と一番遊撃隊が到着した。；味噌汁の具を増やすための乾燥させた具が単独で市販されている場合もある。；日本のカレーの具にはジャガイモ・ニンジン・タマネギが使われている。；尾灯は角形のものが制御灯と一体の灯具に収めて妻面向かって左よりの窓下に設置されている。；しかし、その特殊性から様々な保護具や他の野手とは異なる用具を着用している。；リコイルスプリングユニットはレシーバーカバーの留め具を兼ねている。</t>
        </is>
      </c>
      <c r="J2302">
        <f>HYPERLINK("https://www.weblio.jp/content/具", "词义详情")</f>
        <v/>
      </c>
      <c r="K2302">
        <f>HYPERLINK("https://yourei.jp/具", "查看例句")</f>
        <v/>
      </c>
    </row>
    <row r="2303">
      <c r="A2303" t="inlineStr">
        <is>
          <t>具合</t>
        </is>
      </c>
      <c r="B2303" t="inlineStr">
        <is>
          <t>成功</t>
        </is>
      </c>
      <c r="C2303" t="inlineStr">
        <is>
          <t>読み方：ぐあい
１活動や機能からみた物事の状態。「エンジンの—を調べる」「雨戸の滑り—」「風は吹くし波は高いしといった—であった」
２健康の状態。「—が悪いので休む」
３物事の運び方。「こんな—にやろう」
４物事を行うにあたっての状況。都合。「話の—でどうなるかわからない」「午前中は—が悪い」「うまい—に電車が来た」
５体面。体裁。「ここまできて断るのは—が悪い」
[用法]具合・調子——「からだの具合（調子）がいい」「機械の具合（調子）が悪い」などでは相通じて用いられる。◇「具合」は、「味の具合を見る」「客の集まり具合がいい」「今辞めるのは具合が悪い」のように、物事の状態や周囲の状況を実際に確かめていうのに用いることが多い。◇これに対して「調子」は、動き・勢いなどのようすを外部から感覚的にとらえていうことに用いて、「今日の彼はいつもと調子が違う」「その調子、その調子」「調子を合わせる」のように使う。◇類似の語に「加減」がある。「からだの加減が悪い」のように、「具合」や「調子」と同じように用いるほか、「風呂の加減をみる」のように、程度の意味もある。また、「ほろ酔い加減」「上向き加減」のように接尾語としても用いる。</t>
        </is>
      </c>
      <c r="D2303" t="inlineStr">
        <is>
          <t>具合よく；具合悪い；具合悪そう；具合悪く；具合わるい</t>
        </is>
      </c>
      <c r="E2303" t="inlineStr">
        <is>
          <t>状態；様子；程度；状；事態</t>
        </is>
      </c>
      <c r="F2303" t="inlineStr">
        <is>
          <t>うまい具合；そんな具合；どんな具合；いい具合；妙な具合</t>
        </is>
      </c>
      <c r="H2303" t="n">
        <v>29</v>
      </c>
      <c r="I2303" t="inlineStr">
        <is>
          <t>その劇場の客席の傾斜の具合がセット建設に都合がよかったためである。；と言う具合に、表示された通りに行動すると最終的に望む結果が得られる。；Y字のところにいる場合は、両手に1本ずつ糸を持つような具合である。；冬芽の大きさ、色や毛の生え具合は種を区別する上で大切な情報である。；あなたの脳をちょうどいい具合に刺激するパズルがあるだけなのです。；彼は聖パトリック寺院の葬儀に出席していられないほど具合が悪かった。；また、こういう環境で育った子供は、脳の発達具合にまで違いがみられる。；本人いわく、朝起きたときの空気でその日の腰の具合がわかるらしい。；なおこの過程の振幅は、オフシェルからの離れ具合に依存して減少する。；また、味見をせずに見た目と嗅覚のみでしか出来具合を判断していない。；ストーリーの進行具合に応じて二つ名とアイコンの選択肢は増えていく。；教師は生徒の進行具合に合わせて各運動ごとに教程を選択できた。；時間を設定しているが、運行の具合によって若干の遅れが生じることもある。；その後は、熱発と球節の具合が悪いために連戦することができなかった。；光の当たり具合によっては、CDの裏のような構造色を見ることもできる。；光線の具合によっては点灯していない方の表示を読み取ることができる。；喧嘩になりかけている所へ、うまい具合に米屋の隠居が通りかかった。；と の結びつき具合を示す母関数係数は と定義され、これは である。；また、呼び上げのときの声の通り具合や声量は評価の対象ともなっている。；そのうち膝の具合が快方に向かったため、映画学校には通わなくなった。；だが、不思議なことに米をはじめとした食糧の減り具合が激しくなる。；そのような人々では時に完全に離脱するまでの間、具合が良くないことが続く。；この試合で以前から負傷していた腰の具合が悪化して一時は歩くのも困難な状況になったという。；天候は最も明確な例であり、晴天時と雨天時の混雑具合の開きは大きい。；日常語で「体の具合はどうですか」と聞く時には、健康状態を尋ねている。；JISを例にすると、ステンレス鋼の指定は以下のような具合である。；たとえば日本産のカシの木の場合、葉の形の描写は以下のような具合である。；この時期の困窮具合を証明する資料として人口の比較が挙げられる。；下にはうまい具合に草花の茂ったポケットがあり、怪我人は出なかった。</t>
        </is>
      </c>
      <c r="J2303">
        <f>HYPERLINK("https://www.weblio.jp/content/具合", "词义详情")</f>
        <v/>
      </c>
      <c r="K2303">
        <f>HYPERLINK("https://yourei.jp/具合", "查看例句")</f>
        <v/>
      </c>
    </row>
    <row r="2304">
      <c r="A2304" t="inlineStr">
        <is>
          <t>区域</t>
        </is>
      </c>
      <c r="B2304" t="inlineStr">
        <is>
          <t>成功</t>
        </is>
      </c>
      <c r="C2304" t="inlineStr">
        <is>
          <t>読み方：くいき
くぎられた一定範囲の場所。「立ち入り禁止—」「受け持ち—」</t>
        </is>
      </c>
      <c r="D2304" t="inlineStr">
        <is>
          <t>区域内(7%)；区域外；区域ごと；区域全体；区域変更</t>
        </is>
      </c>
      <c r="E2304" t="inlineStr">
        <is>
          <t>地域；地区；地方；領域；一帯</t>
        </is>
      </c>
      <c r="F2304" t="inlineStr">
        <is>
          <t>営業区域；同区域；指定区域；居住区域；担当区域</t>
        </is>
      </c>
      <c r="G2304" t="inlineStr">
        <is>
          <t>区域区分；区域外再送信；区域外就学；区域市政局；区域外就学制度</t>
        </is>
      </c>
      <c r="H2304" t="n">
        <v>29</v>
      </c>
      <c r="I2304" t="inlineStr">
        <is>
          <t>主に薄明活動性で、人間の手の入った区域では夜行性になりがちである。；その後1943年に周辺区と境界を調整して現在の区域となっている。；区域は全てもとの早良郡の一部で、福岡市に段階的に編入されていった。；一部の区域で住居表示に関する法律に基づく住居表示が実施されている。；明治維新直前の領域は、現在の和歌山県に下記を加えた区域に相当する。；明治維新直前の領域は、現在の大分県から下記を除いた区域に相当する。；また、射水市の例外となっている区域は後に当郡の所属となっている。；都の機関でありながら、その全区域を担当しない特殊な機関である。；鹿児島市編入時に従来の大字の区域の全部より町の区域が設定された。；手前側の道路も含めて画面に見える区域の全てが元は貯木場だった。；そのため区域はちょうど博多湾を三方から囲むような形になっている。；さらに旧藩・宰判の区域を単位とした方言区画を設定することができる。；また、字区域の一種である字丁目をもつ町区域は、町名欄に示している。；これらの行政区域の下には、特級市・市・区域・郡・区・地区がある。；現在でもその多くが一定区域までしか男性の進入を認めていない。；上記の伊奈町以外では、現在の行政区画では概ね以下の区域に相当する。；まず658年にはバルカン半島南部のスラブ人居住区域に遠征を行った。；キリスト教区域のほとんどは、そこに住んでいたにちなんで命名されている。；廃止時は発足時の5大字及び牟礼岡の区域の3町丁から構成されていた。；区域に入場する際に同乗する警備役の兵士の撮影は禁止されている。；また重点区域とされている150か国には国事務所が設置されている。；駅北側区域は2007年に入って土地の収用が進み、開発が動き出した。；この火は市の港に最も近い区域まで燃え広がり、かなりの被害をもたらした。；市の中央部西寄りに位置し、区域は旧与野市の範囲にほぼ相当する。；区域北部にある日本製鉄八幡製鐵所戸畑地区が区の面積の約半分を占める。；京都の住民は、京都御苑の区域を指して単に「御所」と呼ぶことが多い。；中世頃までは現区域の大半が海辺に面していたと推定される。；上記の宮代町以外に、現在の行政区画のおおむね以下の区域に相当する。；現在の江東区の区域は、古くは海面と散在する小島があるだけであった。</t>
        </is>
      </c>
      <c r="J2304">
        <f>HYPERLINK("https://www.weblio.jp/content/区域", "词义详情")</f>
        <v/>
      </c>
      <c r="K2304">
        <f>HYPERLINK("https://yourei.jp/区域", "查看例句")</f>
        <v/>
      </c>
    </row>
    <row r="2305">
      <c r="A2305" t="inlineStr">
        <is>
          <t>食い違う</t>
        </is>
      </c>
      <c r="B2305" t="inlineStr">
        <is>
          <t>成功</t>
        </is>
      </c>
      <c r="C2305" t="inlineStr">
        <is>
          <t>読み方：くいちがう
［動ワ五（ハ四）］
１組み合わせた部分がうまく合わない。「継ぎ目の模様が—・う」
２物事や意見などがうまく一致しない。「見積書と—・う」「両者の言い分が—・う」</t>
        </is>
      </c>
      <c r="D2305" t="inlineStr">
        <is>
          <t>異なる；違う；相違；分かれる；矛盾する</t>
        </is>
      </c>
      <c r="F2305" t="inlineStr">
        <is>
          <t>全く食い違う</t>
        </is>
      </c>
      <c r="H2305" t="n">
        <v>29</v>
      </c>
      <c r="I2305" t="inlineStr">
        <is>
          <t>嫌いな点や食い違っている点を幾つあげても嫌いになれないのはなぜだ。；われわれの考えがそれぞれどこかで食い違っていたことは当然でしょう。；一部の回の制作データには混乱があり、放送とサイトで食い違っている。；思うに両者の問題は吾々の今の問題と多少食い違った所を有つであろう。；そして現存する文献の中にはお互いにその内容が食い違うものもある。；情報が食い違ってしまうのは 誤解や不審を招いてしまうからさ・・・。；関心と同情を要求しているのだが、君の態度はそれと食い違っていた。；が、静嵐の言葉と自分が感知している気配が僅かに食い違っていたのだ。；実に、実際の遺体埋葬の場所と墓地と食い違っている場合が多いのである。；なんだかすべての考え方がジゼルとは食い違っているような気がしてきた。；同じ本を見ているのに、そこまで印象が食い違うことなんてあるのか?；君が覚えていることと、おれが覚えていることは、どこか食い違っている。；方向がお互いに逆なのではなくて、方向が食い違っているのである。；裁判ではこの人影の正体が焦点となるが、二人の主張は全く食い違う。；同じ本を読んだはずなのに、その内容が大きく食い違っているのだ。；これは昨年10月の議会での発言と食い違っているように思われた。；これは昨年10月11日の議会での発言と食い違っているように思われた。；警察官たちや少年たちの説明が食い違っている理由は説明がついていない。；世界の変化の幅があまりに大きくなると、記憶と事実が食い違ってしまうんだ。；しかし、物事の結果が、本人の意図と食い違うことは、何処にでもある。；そう言ったなら上機嫌の顔と言葉とが食い違っていただろうから。；しかし、私は六十前後のように思えるのだがと、意見は食い違った。；はじめから気持が食い違って主客はちょっと気まずい無言をつづけていた。；しかし、この病気の被害者を主体に見れば、話は大きく食い違うことになる。；顎の具合でも確かめるように、口を半開きにして、左右に食い違わせる。；早く植え付けをしないと、思っていたのと食い違ってきてしまう可能性がある。；だが話を進めてゆくうちに、二人の話が食い違っているのに気が付き始めます。；話はそれぞれに食い違っていたが、そのなかからコナンは多くのことを学んだ。；この都市がどの部族に属する都市であったかについては食い違う記述がある。</t>
        </is>
      </c>
      <c r="J2305">
        <f>HYPERLINK("https://www.weblio.jp/content/食い違う", "词义详情")</f>
        <v/>
      </c>
      <c r="K2305">
        <f>HYPERLINK("https://yourei.jp/食い違う", "查看例句")</f>
        <v/>
      </c>
    </row>
    <row r="2306">
      <c r="A2306" t="inlineStr">
        <is>
          <t>食い止める</t>
        </is>
      </c>
      <c r="B2306" t="inlineStr">
        <is>
          <t>成功</t>
        </is>
      </c>
      <c r="C2306" t="inlineStr">
        <is>
          <t>読み方：くいとめる
［動マ下一］［文］くひと・む［マ下二］物事がそれ以上進まないように防ぎ止める。「延焼を—・める」「侵入を—・める」</t>
        </is>
      </c>
      <c r="D2306" t="inlineStr">
        <is>
          <t>食い止めるべく(5%)；食い止める防御様式</t>
        </is>
      </c>
      <c r="E2306" t="inlineStr">
        <is>
          <t>停止；中止；ブロック；防止；阻止</t>
        </is>
      </c>
      <c r="H2306" t="n">
        <v>29</v>
      </c>
      <c r="I2306" t="inlineStr">
        <is>
          <t>幾つかの部隊がその地域にいたが、攻撃を食い止めることは出来なかった。；一人で落ちてくる滝の水を食い止めている、というのが今の騎央だった。；だが長期的な目で見れば巨大提携の流れを食い止めることは出来ない。；戦争は環境破壊を最小限に食い止めながら行うのがこの世界のルールだ。；だからこの事件だけはこれ以上の発展は何としても食い止めなければいけない。；しかもバーンサイドの南部側面から攻撃を3時間以上も食い止めていた。；そのカナエの不気味さは、この部屋に時間が流れるのを食い止めている。；戦争の資料や遺跡を保存することによって、戦争の風化を食い止めたい。；万一のことを考えて、少しでも被害を小さく食い止めるようにしては?；ひょっとしたら騒ぎを最小限に食い止めることができるんじゃないかい。；彼が七万の敵をたった一人で食い止めたから、連合軍は救われたのよ!；私もあなたも、その失敗を食い止めることが出来ないかもしれない。；中領軍に任じられていた桓秘は、左衛将軍殷康と車門で敵を食い止めた。；呪文が当てにならない以上このふたりが食い止めているのを期待するしかない。；その間、自分ひとりで敵を引きつけ、食い止めることができるだろうか。；タナーにはこれが、敵の襲撃を食い止める役には立たないように思われた。；何としても今度の惨劇は食い止めなくてはならないと、歯を食いしばって。；ここで食い止めておけば、岡田か滝本がやがて加勢に来てくれるだろう。；東芝も試験的に二、三百台生産しただけで、損害を最小限に食い止めた。；市内で火災をある程度食い止められていた唯一の場所は、周辺のみであった。；オズボーン効果の発生を食い止める方法はこれまでも数多く試みられてきた。；水際で食い止めなければならないとすれば、あれをあのままにしておけない。；この時は香港市内のトリを全て処分することで流行を食い止めた。；ハンナによって自殺は食い止められたものの、事件は大きな問題となる。；いくら敵の作戦を食い止めるためとはいえ、自分の片腕を犠牲にするなんて。；食い止めたのは、ノリス家のおばあちゃんと孫のリッチーの二人だった。；あなたほどの勢門のお方でもこの不運は食い止められなかったのね。；そしてそれを食い止めることの出来なかった己れへの怒り。；わしの力をもってしても、それを食い止めることは不可能じゃ。</t>
        </is>
      </c>
      <c r="J2306">
        <f>HYPERLINK("https://www.weblio.jp/content/食い止める", "词义详情")</f>
        <v/>
      </c>
      <c r="K2306">
        <f>HYPERLINK("https://yourei.jp/食い止める", "查看例句")</f>
        <v/>
      </c>
    </row>
    <row r="2307">
      <c r="A2307" t="inlineStr">
        <is>
          <t>悔いる</t>
        </is>
      </c>
      <c r="B2307" t="inlineStr">
        <is>
          <t>成功</t>
        </is>
      </c>
      <c r="C2307" t="inlineStr">
        <is>
          <t>読み方：くいる
［動ア上一］［文］く・ゆ［ヤ上二］自分のした行為について、まちがいや悪い点があったことに気づき、残念に思ったり反省したりする。後悔する。「前非を—・いる」
→悔やむ［用法］</t>
        </is>
      </c>
      <c r="D2307" t="inlineStr">
        <is>
          <t>悔いるべき</t>
        </is>
      </c>
      <c r="E2307" t="inlineStr">
        <is>
          <t>後悔；嘆く；後悔する；惜しむ；悔恨</t>
        </is>
      </c>
      <c r="H2307" t="n">
        <v>29</v>
      </c>
      <c r="I2307" t="inlineStr">
        <is>
          <t>そのような未来かもしれぬが、わたしは決して悔いることはないだろう。；過去の選択を悔いることも、今ここに立っていることを焦ることもない。；彼が自分の投機を一度も悔いることがなかったのは確かだと思います。；自分だけが救われたと悔いるのか、 自分以外が汚れていると恨むのか。；昨日の一件があったばかりだというのに自分の行動は軽率すぎたのかと悔いる。；僕はわざわざ宿の湯にはいらずに來たことを、悔いるやうな氣持であつた。；悔いることを知らず、野蛮で、自分自身の情熱だけに夢中になっている。；何も悔いることはないのです、と彼はもう一度繰り返していった。；そして、自分の求めた結婚に、悔いるような気持は一瞬でも起らなかった。；二人は恋に落ち、それがきっかけで少女はこれまでの自分の行いを悔いるようになる。；そしてもしわたしが何事かを悔いるとすればおそらくそれはわたしの善行である。；ああ、あの夜のことが原因だったのかって、後ですごく悔いると思うの。；彼は一生を妻に捧げて来たので、その点では、彼は何も悔いることはなかった。；妻はといえば、十分愛したつもりの庸三には悔いるところもなかった。；ダイアーはわたしの東への遠征をとめようとしたことで、悔いるべきだろう。；その痛みに耐え、悔いる事が、失われたものへの鎮魂に他ならない。；てんで自分の妻という考えを持つことの出来なかったのを悔いるような心も出て来た。；私はこの姉から影響されたことを悔いる気はない。；俺にはもう本当に罪を悔いる事は出来ないのだ、否、感じる事も出来ないのだと彼は思つた。；津波を軽視した友人が犠牲になり、青年は彼を助けられなかったことを悔いる。；今私はいくら我れと我が身に省みて見ても、何ら悔いるところがない。；その男をほかの女にゆずって、奈々子はいささかも悔いるふうがない。；わたしが呼吸することや愛することを悔いることのできないのを、知っているのだ。；しかし、オジーは後にこの番組の出演を了承したことを悔いる発言をしている。；この熱狂が醒めても、自分は行為を悔いることはあるまいと思った。；過って、武器を手に得たことを悔いるように、長柄を捨てて、逃げかけた。；そのためにはこの地球上から彼らを掃滅することになっても、悔いることはないと思う。；いつか彼らも自分の愚かさを悔いることになるんだろうと。；そして彼らは等しく葉子を見誤っていたことを悔いるように見えた。</t>
        </is>
      </c>
      <c r="J2307">
        <f>HYPERLINK("https://www.weblio.jp/content/悔いる", "词义详情")</f>
        <v/>
      </c>
      <c r="K2307">
        <f>HYPERLINK("https://yourei.jp/悔いる", "查看例句")</f>
        <v/>
      </c>
    </row>
    <row r="2308">
      <c r="A2308" t="inlineStr">
        <is>
          <t>食う</t>
        </is>
      </c>
      <c r="B2308" t="inlineStr">
        <is>
          <t>成功</t>
        </is>
      </c>
      <c r="C2308" t="inlineStr">
        <is>
          <t>読み方：くう
［動ワ五（ハ四）］
１食物をかんでのみ込む。食べる。「飯を—・う」
２生活をする。暮らしを立てる。「こんな薄給では—・っていけない」
３口で物をしっかり捕らえる。食いつく。「えさを替えたら魚がよく—・う」
４虫などがかじって物を傷める。また、虫などがからだを刺す。「衣魚(しみ)の—・った書籍」「蚊に—・われる」
５しっかりと間に挟む。また、縄状のものが物にめり込む。「ファスナーに布地が—・われる」
６金銭・時間などがかかる。費やす。「この車はガソリンを—・う」「手間ひま—・う仕事」
７（「年をくう」の形で）かなりの年齢になる。「いたずらに年を—・うばかりだ」
８他の勢力範囲・領域に入り込む。侵す。「縄張りを—・う」
９スポーツなどで、強い相手を負かす。「強敵を—・う」
10演劇・映画などで、ある俳優の演技が勝っていて共演者をしのぐ。「脇役に—・われる」
11他から、ある行為、特に望ましくない行為を受ける。こうむる。「門前払いを—・う」「お目玉を—・う」「肩すかしを—・う」
12（「人をくう」の形で）ばかにする。侮る。「人を—・った態度」
13自分の利益のために、だまして人を利用する。食い物にする。「タレント志望の少女たちを—・う芸能プロダクション」
14演劇で、上演台本の一部を省略する。カットする。
15口で軽く挟んで物を支える。くわえる。ついばむ。
「春霞流るるなへに青柳の枝—・ひ持ちてうぐひす鳴くも」〈万・一八二一〉
16かみつく。歯をたてる。
「指(および)ひとつを引き寄せて—・ひてはべりしを」〈源・帚木〉
17薬などを飲む。
「つとめて—・ふ薬といふもの」〈かげろふ・中〉
[補説]現代語では、食する意では「食う」がぞんざいで俗語的とされ、一般に「食べる」を用いる。しかし、複合語・慣用句では「食う」が用いられ、「食べる」とは言い換えができないものもある。「たべる（たぶ）」はもともと謙譲・丁寧な言い方であったが、敬意がしだいに失われ通常語となった。
[可能]くえる
[下接句]泡を食う・一杯食う・犬も食わぬ・同じ釜(かま)の飯を食う・鬼を酢にして食う・糟(かす)を食う・霞(かすみ)を食う・気に食わない・臭い飯を食う・背負(しょ)い投げを食う・粋(すい)が身を食う・すかを食う・側杖(そばづえ)を食う・他人の飯を食う・年を食う・栃麺棒(とちめんぼう)を食う・取って食う・煮て食おうと焼いて食おうと・煮ても焼いても食えない・塗り箸(ばし)で素麺(そうめん)を食う・弾みを食う・人を食う・冷や飯を食う・道草を食う・無駄飯を食う・割を食う</t>
        </is>
      </c>
      <c r="D2308" t="inlineStr">
        <is>
          <t>食うべき；食うべから；食うべし；食うとる；食う寝るところ</t>
        </is>
      </c>
      <c r="E2308" t="inlineStr">
        <is>
          <t>生活；食事；食べる；生きる；上がる</t>
        </is>
      </c>
      <c r="F2308" t="inlineStr">
        <is>
          <t>貪り食う；よく食う；煮て食う；取って食う；飯食う</t>
        </is>
      </c>
      <c r="H2308" t="n">
        <v>29</v>
      </c>
      <c r="I2308" t="inlineStr">
        <is>
          <t>わたしは知らぬままに何ほどか妹の肉を食わない事がないとも限らん。；その金を作ってくれる実業家を軽んずるなら食わずに死んで見るがいい。；彼は、もと百姓に生れついたのだが、近年百姓では食って行けなかった。；食えない心配の前には、男に触れてもらえぬことなどどれほどのことか。；ただし、魚を離れて泳ぎだしたものが魚に食われる例も多いようである。；がそこへ一人の老人が来たので、少年はいもりを食う必要はなくなった。；しかもいまのように食えないとき随分骨を折って食べて生活しています。；質を置いてでも食おうというのだから、身分の低い人たちであったろう。；下の方は小さい滝があったので右へ巻いたが、藪で意外に時間を食った。；前もって食糧を蔵い込んであるのかしらんがとにかく食いに出て来ない。；いよいよ別れて了えば私は明日の日から自分で食うことを考えねばならぬ。；私はただ間を借りたばかりで家では飯も食わないのだから話す機会もない。；冬の食いもたれと悪ガスを掃除するにはこれに越したものは考えられない。；人間の体に入った悪魔の子はその人間の魂を食いつくしてしまうという。；私は殆ど餓死せんばかりに腹が空いていたので、何でも食う気であった。；このようにしてでも自然食を食えば、たしかにその人は健康かもしれない。；ただし、この鳥は目もよく発達しており、夜に洞窟外に出て果実を食う。；毒も皿も食ってくれよう、そう思ってやり出した仕事があの組合の事よ。；食えなかったらなにかほかのことをしてください、女はそう思ったんです。；支那には虎に食われたのを知らずに天に上ったと思っていた話がある。；彼女は夫や客の為に食事の用意をして置いて、一緒に食おうともしなかった。；現に、いま食えないために娘を売りに出しかねない家さえ出てきている。；ジャックは夜の街へと繰り出し、次々と人を殺しその肉を食っていった。；初めの間は腹のへって来るのが楽みで、一日に五回ずつ食ってやった。；わたしはこの記事を見た当座、腹が立って三日ばかり飯も食えなかった。；穴の中に隠れてくらすにしても、人間は何か食わずには生きられませんよ。；精進日には魚なら食えるが鳥は肉食となるゆえ食えぬことになっている。；だからわたしは自分に食ってかからねばならないものは何一つなかった。；方は少しおくれていると、その一人が食いながら独り言をいうのである。</t>
        </is>
      </c>
      <c r="J2308">
        <f>HYPERLINK("https://www.weblio.jp/content/食う", "词义详情")</f>
        <v/>
      </c>
      <c r="K2308">
        <f>HYPERLINK("https://yourei.jp/食う", "查看例句")</f>
        <v/>
      </c>
    </row>
    <row r="2309">
      <c r="A2309" t="inlineStr">
        <is>
          <t>空間</t>
        </is>
      </c>
      <c r="B2309" t="inlineStr">
        <is>
          <t>成功</t>
        </is>
      </c>
      <c r="C2309" t="inlineStr">
        <is>
          <t>読み方：くうかん
１物体が存在しないで空いている所。また、あらゆる方向への広がり。「—を利用する」「宇宙—」「生活—」
２哲学で、時間とともにあらゆる事象の根本的な存在形式。それ自体は全方向への無限の延長として表象される。→時間
３数学で、理論で考える前提としての一つの定まった集合。その要素（元）を点とよぶ。普通は三次元のユークリッド空間をいう。
４物理学で、物体が存在し、現象の起こる場所。古典物理学では三次元のユークリッド空間をさしたが、相対性理論により空間と時間との不可分な相関性が知られてからは四次元のリーマン空間も導入された。</t>
        </is>
      </c>
      <c r="D2309" t="inlineStr">
        <is>
          <t>空間的(4%)；空間内；空間上；空間移動；空間そのもの</t>
        </is>
      </c>
      <c r="E2309" t="inlineStr">
        <is>
          <t>間；スペース；隙；隙間；広がり</t>
        </is>
      </c>
      <c r="F2309" t="inlineStr">
        <is>
          <t>狭い空間；広い空間；閉鎖空間；バナッハ空間；異空間</t>
        </is>
      </c>
      <c r="G2309" t="inlineStr">
        <is>
          <t>空間分解能；空間演出；空間群；空間周波数；空間識</t>
        </is>
      </c>
      <c r="H2309" t="n">
        <v>29</v>
      </c>
      <c r="I2309" t="inlineStr">
        <is>
          <t>主として何らかの社会と関連のある空間を意味する多義的な言葉である。；数ベクトル空間 にこれらのそれぞれを適用して、にすることができる。；こうして生じる空間パターンはチューリング・パターンと呼ばれている。；そして、瞬間瞬間の意識体験は高次元空間上の一点で指定されるとする。；一般的に DOS とは、空間的および時間的に平均されたものを言う。；なお、半順序空間と名前の似たは別概念であるので注意が必要である。；この空間までの現在の距離であるは、約450億光年と推定されている。；この特徴付けは、周辺空間 にも依存するものであることに留意する。；生態系はしばしば以下のような、関連する生息空間に基づいて分類される。；また新設された連絡通路は今までに比べてラグジュアリーな空間となっている。；これによって、計算で定めたはずの空間上の一点の信頼性が損なわれる。；ミツバチが利用した空間の形状によっては巣板が傾いていることもある。；屋根がガラス張りになっており、開放感のある空間として作られている。；時間と空間の捉え方も2人の見解が大幅に相違しており、互いに衝突していた。；改札口部分の巨大なドーム空間は、地下とは思えない空間を演出している。；一方、類型地域は世界に同様の性格を有する空間がいくつか存在する。；また、機構をなすリンクのうち一つは空間に固定されているとする。；彼は時間、空間の直観形式でもって、人間は様々な現象を認識すると考えた。；これは、火室の邪魔板の上の空間が延長された構造となっている。；近年では紙製でも発泡スチロールのように紙に空間を持たせたものも存在する。；アパートやホテルなどでは、一つの空間の部屋複数を単位としても部屋という。；筆記具がない場合には空間に向かって人差し指で文字を示す空書が用いられる。；有人宇宙船の内部は無重量状態であり、人間が生活するための空間も狭い。；空間の3次元に時間を加えた4次元が、人間の認識している次元数である。；その空間だけで一瞬ですべてを表現する芸術である。；と言い、無限分割される空間には無限分割される時間が対応する、とする。；街路を計画する際には、非標準的な空間的解決法が用いられた。；この頃から、音楽における空間の要素に関心を示すようになった。；これによって空間が拡大し、従来より多くの旅客を輸送できることとなった。</t>
        </is>
      </c>
      <c r="J2309">
        <f>HYPERLINK("https://www.weblio.jp/content/空間", "词义详情")</f>
        <v/>
      </c>
      <c r="K2309">
        <f>HYPERLINK("https://yourei.jp/空間", "查看例句")</f>
        <v/>
      </c>
    </row>
    <row r="2310">
      <c r="A2310" t="inlineStr">
        <is>
          <t>空気</t>
        </is>
      </c>
      <c r="B2310" t="inlineStr">
        <is>
          <t>成功</t>
        </is>
      </c>
      <c r="C2310" t="inlineStr">
        <is>
          <t>読み方：くうき
１地球を包む大気圏の下層部分を構成する無色透明な混合気体。高度数十キロまでは、水蒸気を除くと組成がほぼ一定で、体積比で窒素78.09、酸素20.95、アルゴン0.93、二酸化炭素0.03のほかネオン・ヘリウムなどを含む。乾燥空気1リットルの重さはセ氏零度、1気圧のとき1.293グラム。
２その場の雰囲気。「職場の—になじむ」「険悪な—が流れる」「自由な—を吸う」</t>
        </is>
      </c>
      <c r="D2310" t="inlineStr">
        <is>
          <t>空気中(4%)；空気さなぎ；空気式；空気穴；空気管</t>
        </is>
      </c>
      <c r="E2310" t="inlineStr">
        <is>
          <t>様子；地球；土；気配；雰囲気</t>
        </is>
      </c>
      <c r="F2310" t="inlineStr">
        <is>
          <t>新鮮な空気；不穏な空気；重苦しい空気；暖かい空気；気まずい空気</t>
        </is>
      </c>
      <c r="G2310" t="inlineStr">
        <is>
          <t>空気ばね；空気圧縮機；空気圧；空気ブレーキ；空気銃</t>
        </is>
      </c>
      <c r="H2310" t="n">
        <v>29</v>
      </c>
      <c r="I2310" t="inlineStr">
        <is>
          <t>ただしこの場合は空気制動のみとなり、本来の性能は発揮できなくなる。；さらにフックは呼吸が空気の特定の成分に関係していると結論付けていた。；揚力が生じているとき周囲の空気にはどこかで必ず逆向きの運動が起きる。；空気が冷やされると、それ以上の水蒸気を保持することができなくなる。；また光や温度以上にワインを変化させてしまうのは空気である。；湿った空気中では酸化レニウムを形成するため僅かに表面が曇っていく。；全空気方式は、熱輸送に空気のみを用いるもので中央式の代表的なものである。；電離作用が強いので透過力は小さく、紙や数cmの空気層で止められる。；絞り出された樹液は淡い黄色をしているが空気に触れると黒に変化する。；例えば、呼気で作った空気の輪を通って遊ぶイルカなどがこれに当たる。；中心付近で行き場を失った空気は、上昇気流に乗って上空へと運ばれる。；イギリスのロンドンでは9世紀半ばに既に「空気の悪さ」が知られていた。；このため、空気中で使用する爆薬とは成分が異なるものが使用されている。；切り口を空気に数十分程度さらしておくと風味が強くなるといわれている。；空気中で不安定な物質であるため、研究もまた不活性雰囲気下で行われる。；電線と周囲との距離をとることで空気を絶縁体として利用することも多い。；リは空気を呼吸し、ヒトの頭部・腕・生殖器と魚の下半身を持つという。；空気は出入りさせるが虫は出入りさせないようにする場合、網戸を加える。；潮解は物質が空気中の水をとりこんで自発的に水溶液となる現象のこと。；さらにその大半が定期旅客で、日中は空気輸送状態だったようである。；従ってまず、現地で停戦協定を実行して空気を緩和することが重要である。；床下に設けられた換気扇で空気の流れを作ることで、温度管理をする。；実験から彼は燃焼には空気に含まれる何らかの物質が関係していると結論付けていた。；さらに水を飲むときに一緒に空気を飲み込むと、放屁の原因になった。；水や空気の中では、光の速度は真空中を移動する時より低下する。；圧送空気を用いた杭打機を使用して建設技術者として貴重な経験を得る。；空気入りタイヤは適正量の空気が入っていなければ役割を果たさない。；しかし空気も食料も幾ばくかは余裕があり、当分は生存が可能ではある。；そのためある種の微生物では空気中の酸素分圧では生育不可能となる。</t>
        </is>
      </c>
      <c r="J2310">
        <f>HYPERLINK("https://www.weblio.jp/content/空気", "词义详情")</f>
        <v/>
      </c>
      <c r="K2310">
        <f>HYPERLINK("https://yourei.jp/空気", "查看例句")</f>
        <v/>
      </c>
    </row>
    <row r="2311">
      <c r="A2311" t="inlineStr">
        <is>
          <t>ぐうぐう</t>
        </is>
      </c>
      <c r="B2311" t="inlineStr">
        <is>
          <t>成功</t>
        </is>
      </c>
      <c r="C2311" t="inlineStr">
        <is>
          <t>［副］
１空腹で腹が鳴るさま。また、その音を表す語。「おなかが—（と）いう」
２深く寝入ったさま。また、いびきの音を表す語。「—（と）眠りこむ」「—（と）高いびきをかく」</t>
        </is>
      </c>
      <c r="D2311" t="inlineStr">
        <is>
          <t>ぐうぐう寝(16%)；ぐうぐう鳴る(3%)；ぐうぐうねこんでしまい；ぐうぐうぐうぐう；ぐうぐう鳴りだし</t>
        </is>
      </c>
      <c r="H2311" t="n">
        <v>29</v>
      </c>
      <c r="I2311" t="inlineStr">
        <is>
          <t>息子は朝は呑気にぐうぐう寝ていたが、いつの間にかいなくなっていた。；それから二階へ上って来るとぐうぐういう程腹のすいた処へ晩餐の熱燗。；私どもの若い時分には横になるとすぐにぐうぐう寝たものですがな。；現に今私がこうやって万年筆を走らしている間も、ぐうぐう寝ています。；それでも吉田君は気持がよさそうにぐうぐうと鼾を立てながら眠っている。；この頃には空腹で腹がぐうぐう鳴っていたので、わたしは足を早めた。；ぐうぐう鳴る腹を抱えながら里香の病室に入ると、そこは真っ暗だった。；すぐ、その唐櫃の中から、ぐうぐうと大いびきの声が聞こえだしました。；一番前の列に席があるというのに、授業中ぐうぐう眠っていた。；そのうちごろりと横になった私はいつのまにかぐうぐうと眠っていた。；王子はぐうぐうといびきをかいて、まるで石のようにねむりこんでいます。；わたしは、もうお腹がぐうぐうなってよだれがたれそうなほどだった。；もう昼すぎだってえのに、よくもこうぐうぐう寝られたもんだなあ。；敬済は晩飯をとる元気もなく、ぐうぐう二階のベッドで寝てしまった。；第一僕はぐうぐう寝てしまうから、いつどんなに吠えるのか全く知らんくらいさ。；すると、また別のぐうぐうという音がして、穴の中から二つの大きな頭が現れた。；時間が経って腹が減れば、ぐうぐうと遠慮も何もなしに騒ぎ始める。；狸は楽屋で図々しくもエノケンの膝を枕にぐうぐう眠りはじめたそうだ。；私がこの手紙を書き始めた時、兄さんはぐうぐう寝ていました。；ミセス・シュヴルーズは当直なのに、ぐうぐう自室で寝ていたのですぞ!；もちろん大尉は、ベッドの中で、ぐうぐういびきをかいて寝ていた。；おれはここまで考えたら、眠くなったからぐうぐう寝てしまった。；その山のてつぺんで 一本の 大きなきうりが ぐうぐう眠つてゐました。；自分の裸の胸と、ぐうぐう鼾をかいているダニーを絶望的な気分で見下ろす。；兵隊たちは、みんなぐうぐういびきをかいて寝ているんですからね。；それで、そのまま横になって、ぐうぐう寝てしまいましたがね。；酒井は、昼の疲れから、いつも夜八時頃にはぐうぐう寝ていた。；彼女もおなかの虫がぐうぐういっていたから、つい承知した。；おなかがすいてぐうぐうとなっているのに気がついてメノリはちょっと驚いた。</t>
        </is>
      </c>
      <c r="J2311">
        <f>HYPERLINK("https://www.weblio.jp/content/ぐうぐう", "词义详情")</f>
        <v/>
      </c>
      <c r="K2311">
        <f>HYPERLINK("https://yourei.jp/ぐうぐう", "查看例句")</f>
        <v/>
      </c>
    </row>
    <row r="2312">
      <c r="A2312" t="inlineStr">
        <is>
          <t>空港</t>
        </is>
      </c>
      <c r="B2312" t="inlineStr">
        <is>
          <t>成功</t>
        </is>
      </c>
      <c r="C2312" t="inlineStr">
        <is>
          <t>読み方：くうこう
旅客・貨物の航空輸送のための施設をもつ公共用の飛行場。エアポート。
[補説]書名別項。→空港</t>
        </is>
      </c>
      <c r="D2312" t="inlineStr">
        <is>
          <t>空港内；空港建設；空港周辺；空港ビル；空港アクセス</t>
        </is>
      </c>
      <c r="E2312" t="inlineStr">
        <is>
          <t>飛行場；エアポート；ドローム</t>
        </is>
      </c>
      <c r="F2312" t="inlineStr">
        <is>
          <t>新空港；地域空港；当空港；地方空港；主要空港</t>
        </is>
      </c>
      <c r="G2312" t="inlineStr">
        <is>
          <t>空港線；空港連絡バス；空港リムジンバス；空港施設；空港連絡鉄道</t>
        </is>
      </c>
      <c r="H2312" t="n">
        <v>29</v>
      </c>
      <c r="I2312" t="inlineStr">
        <is>
          <t>効率化が可能になるようだが空港側にもそれに応じた設備が必要になる。；空港と市街地との間の移動にはタクシーやバスを利用することができる。；また、このような正式な表記法のほかに空港独自に滑走路名が存在する。；連絡橋の空港側付近では一部区間で当連絡橋道路部と並走する区間がある。；州内全域に小型の空港が鏤められており、一般用途飛行に使われている。；当初の計画では1973年の空港開業時に6両編成5本が必要とされた。；ただし、空港は山陰本線に近いものの、鉄道とは直接接続されていない。；京阪バスが市内だけでなく、空港連絡線や長距離線などを運転している。；車両数が少ないこともあり、2013年現在空港線への入線経験はない。；日本との直行便はないので、ヨーロッパなどの空港で乗継が必要となる。；都心部の駅や空港には案内のための電光掲示板が多く設置されている。；なお、これ以降は市内に定期旅客便が就航する空港は設置されていない。；このほか、空港内での輸送用にはラッピングバスなども在籍している。；また、空港の運営者とターミナルビルの運営者とは異なる場合もある。；トラベレックスが運営する両替所が空港内の数箇所に設置されている。；アメリカの空港から来るメキシコ行き航空路の大半が利用している。；かつて、空港と広島市内を結ぶ空港連絡鉄道の構想がいくつか存在した。；ニューアーク・リバティ国際空港は国内でも利用客数の多い空港である。；従って当市から空港に行くのはバスや車の利用が多くなる。；それにより空港数が大幅に増加したが、空港の風景は殺風景なままだった。；州内には他にも約12の商業空港と多くの一般用と空港がある。；入口は空港へ向かうほどには急ぐ必要がないとみて見送りとされた。；橋には歩道も設置されており、徒歩で空港と対岸の行き来も可能である。；この他、空港にはウクライナ空軍の使用機等を展示するも併設されている。；空港と道の駅を同一施設で運営しているのは、ほかに能登空港がある。；このバイパス線の場合は60分で両空港間を結ぶことになっている。；同番組は、韓国の新しい空港に草彅が一人で降り立つところから始まった。；空港の敷地内に短期用の駐車場がある他、敷地外には長期用の駐車場がある。；空港内のみならず、空港周辺を飛行する航空機の様子もうかがうことができる。</t>
        </is>
      </c>
      <c r="J2312">
        <f>HYPERLINK("https://www.weblio.jp/content/空港", "词义详情")</f>
        <v/>
      </c>
      <c r="K2312">
        <f>HYPERLINK("https://yourei.jp/空港", "查看例句")</f>
        <v/>
      </c>
    </row>
    <row r="2313">
      <c r="A2313" t="inlineStr">
        <is>
          <t>空席</t>
        </is>
      </c>
      <c r="B2313" t="inlineStr">
        <is>
          <t>成功</t>
        </is>
      </c>
      <c r="C2313" t="inlineStr">
        <is>
          <t>読み方：くうせき
１空いている座席。「会場内に—が目立つ」「ハワイ便の—を探す」
２欠員となっている職や地位。「会長のポストはしばらく—とする」</t>
        </is>
      </c>
      <c r="D2313" t="inlineStr">
        <is>
          <t>空席だらけ；空席状況；空席照会；空席危機；空席状態</t>
        </is>
      </c>
      <c r="E2313" t="inlineStr">
        <is>
          <t>空き；空位；欠員；空き席</t>
        </is>
      </c>
      <c r="F2313" t="inlineStr">
        <is>
          <t>一つ空席；以降空席；以来空席；隣りの空席</t>
        </is>
      </c>
      <c r="G2313" t="inlineStr">
        <is>
          <t>空席情報</t>
        </is>
      </c>
      <c r="H2313" t="n">
        <v>29</v>
      </c>
      <c r="I2313" t="inlineStr">
        <is>
          <t>空席に入るためにはまったくあいている別のバンドに行かねばならない。；隊員たちは一つの空席をおいてとなり合って席をとるようになっていた。；ようやく雨もやみ雷も去った後、人々が眼にしたのは空席の玉座だった。；その男はじっと舞台を見ていたが、やがて彼の斜め前の空席に腰を下した。；一つ空席を挟んで横の席にいた生徒が、顔だけこちらを向けて教えてくれた。；すなわち、副大統領は、大統領が空席の場合に大統領になるとしている。；通路を案内されてくる人の群れで、たちまち、空席がふさがっていった。；議会議長は大統領職が空席となった場合は一時的に大統領代行を務める。；見ると先程まで空席だと思っていた席にサラリーマン風の男が座っていた。；副大統領職はなく大統領席が空席の場合首相が暫定的に権限を行使する。；彼は待っているといったまま、すぐ私の前の空席に腰をおろしました。；観客席には所々空席がみえ、その最下段の椅子に二人の男が坐っている。；この頃に市医師が空席になったので市委員会が彼を任命したのは自然のことであった。；ところが、後の場合には電子のあるバンドのいずれにも空席はない。；このようにアメリカを拒否した場合に、その空席を埋めるべきは誰か?；それ故、観客が一人もいない舞台でも空席に向かって客いじりを行う。；工藤の話はすでに始まっていて、若い社員が唯一の空席に敏彦を案内した。；私もそれに倣い、ずっと後方の席に空席を見つけ、そこで煙草を吸った。；では次に空席が発生した際に裁判所を定員5人まで縮小するとされていた。；その扉の前に設けられた座席は、空席であるうちのひとつである。；大隅が語り出すと私らの右の方の空席へ二人連れの女が入った。；そのうちの二つが空席だったため、ヴァシリキ・タヌは首相に任命された。；この総会では空席となっていた議長を選出するということで注目を集めた。；議員に空席が生じた場合には、特別選挙によって後任の議員が任命された。；自分がそこに行くまでは、その空席は自分を待ち自分をひきつけるであろう。；後のその隣に空席が出来たときに女の方でそこへ行って何かしら話をしていたのである。；二人は、テーブルの端に空席を発見し、並んで腰掛けることができた。；空席ならば途中の駅で他の客が乗って来る可能性もある。；殺されて空席となった廷臣の官位や軍の役職には弟や甥など一族をつけた。</t>
        </is>
      </c>
      <c r="J2313">
        <f>HYPERLINK("https://www.weblio.jp/content/空席", "词义详情")</f>
        <v/>
      </c>
      <c r="K2313">
        <f>HYPERLINK("https://yourei.jp/空席", "查看例句")</f>
        <v/>
      </c>
    </row>
    <row r="2314">
      <c r="A2314" t="inlineStr">
        <is>
          <t>偶然</t>
        </is>
      </c>
      <c r="B2314" t="inlineStr">
        <is>
          <t>成功</t>
        </is>
      </c>
      <c r="C2314" t="inlineStr">
        <is>
          <t>読み方：ぐうぜん
［名・形動］何の因果関係もなく、予期しないことが起こること。また、そのさま。「—の一致」「—に見つける」⇔必然。
[派生]ぐうぜんさ［名］
［副］思いがけないことが起こるさま。たまたま。「—旧友に出あう」</t>
        </is>
      </c>
      <c r="D2314" t="inlineStr">
        <is>
          <t>偶然発見；偶然再会；偶然見つけ；偶然通り；偶然居合わせ</t>
        </is>
      </c>
      <c r="E2314" t="inlineStr">
        <is>
          <t>つい；ふと；一致；たまたま；何となく</t>
        </is>
      </c>
      <c r="F2314" t="inlineStr">
        <is>
          <t>ほんの偶然；不幸な偶然；不思議な偶然；奇妙な偶然；偶然遭遇</t>
        </is>
      </c>
      <c r="G2314" t="inlineStr">
        <is>
          <t>偶然的；偶然の産物；偶然誤差；偶然論；偶然という名の必然</t>
        </is>
      </c>
      <c r="H2314" t="n">
        <v>29</v>
      </c>
      <c r="I2314" t="inlineStr">
        <is>
          <t>このように二者が独自の過程を経て偶然にも同じ形式の問題に落ち着いた。；偶然にもその精神科医はブランドの友人である医者と知り合いであった。；大胆な発想に一同驚いていたところに偶然にも近藤本人が通りかかった。；様々な偶然の発見により、ダイナモから様々な装置が発明されていった。；主人公の江口洋助役には偶然本名が一字違いだった江口洋介が選ばれた。；上部だけ残る国会議事堂は、ミニチュアが偶然燃え残ったものであった。；転居先が完治のアパートだと知ったさとみは偶然を装い訪ねたのだった。；この時偶然傍を通りかかった原辰徳にその姿を目撃されていることになっている。；偶然相打ちしたとしても、相手の大尉が確実に減った事しか分からない。；そこへ偶然、退学してトラックの運転手になっていた市野が通りかかる。；偶然の検査をきっかけに発見されることが多く、無症状の患者がほとんどである。；この成功の影には一つの偶然があったと伝えられている。；偶然居合わせたイギリス人医師が、着陸の様子をビデオで撮影していた。；なお、偶然の一致ではあるが春日井市には当社の工場が所在している。；西武でも黄色を主体とした塗装を採用していたが、これは偶然の一致である。；世界最初の抗生物質として有名なペニシリンもまた偶然から見つかった。；路留もまた偶然見つけたアルバムから小南が要の娘であることを知る。；これらの例が実際に日本軍を参考にしたものか、偶然の類似なのかは不明である。；ただし作者によれば、特別に計算したわけではなく、全くの偶然とのことである。；しかし偶然ではあったが、その発言が違う形で現実となった。；後の展開を受け、偶然の一致と説明を変更するようになった。；偶然にも池田の死の前日に同作で別のインタビューに答えていた。；上記作家の小説作品の多くが深夜叢書から刊行されていることは単なる偶然ではない。；しかし、言語間に規則的な音韻対応があれば、偶然である可能性は低くなる。；一方、西洋では偶然のことをまれにあるものだと考えられている。；また実際の武器が誤解や歴史的偶然によって伝説を生む場合がある。；ウィロビー・スミスには、教授の屋敷への道を尋ねたときに偶然会っていた。；生涯において偶然にも秋篠宮家とはいくつかの点で縁が重なっている。；仕事に行き詰った際に再現する物のヒントを偶然に得た事もある。</t>
        </is>
      </c>
      <c r="J2314">
        <f>HYPERLINK("https://www.weblio.jp/content/偶然", "词义详情")</f>
        <v/>
      </c>
      <c r="K2314">
        <f>HYPERLINK("https://yourei.jp/偶然", "查看例句")</f>
        <v/>
      </c>
    </row>
    <row r="2315">
      <c r="A2315" t="inlineStr">
        <is>
          <t>空想</t>
        </is>
      </c>
      <c r="B2315" t="inlineStr">
        <is>
          <t>成功</t>
        </is>
      </c>
      <c r="C2315" t="inlineStr">
        <is>
          <t>読み方：くうそう
［名］(スル)現実にはあり得ないような事柄を想像すること。「—にふける」「—家」</t>
        </is>
      </c>
      <c r="D2315" t="inlineStr">
        <is>
          <t>空想的(8%)；空想家；空想癖；空想力；空想世界</t>
        </is>
      </c>
      <c r="E2315" t="inlineStr">
        <is>
          <t>イメージ；理想；幻；幻想；錯覚</t>
        </is>
      </c>
      <c r="F2315" t="inlineStr">
        <is>
          <t>こんな空想；楽しい空想；単なる空想；奔放な空想；勝手な空想</t>
        </is>
      </c>
      <c r="G2315" t="inlineStr">
        <is>
          <t>空想上の；空想科学；空想的社会主義；空想科学読本；空想科学小説</t>
        </is>
      </c>
      <c r="H2315" t="n">
        <v>29</v>
      </c>
      <c r="I2315" t="inlineStr">
        <is>
          <t>その空想は、何年も前から犯人の頭の中で徐々に形作られていくという。；しかしその家に近づいた私の眼は私の空想を小気味よく裏切ってくれた。；あれは、みんな自分の描いた空想に過ぎなかったと思ったでありましょう。；反地球とは、太陽を挟んだ地球の反対側にあると空想された架空の惑星。；最初を知らねばならぬと思うのは、それは空想であると考えていただきたい。；空想の中では大活躍し素敵な女性と結ばれても、現実では失敗ばかり。；お前の今言つてゐる事には、大いに詩人的空想が手伝つてゐるのだらうね。；この曲はこのまま空想の歌になっていくのだろうと思っていた。；おれは時々こんな空想を浮べながら、ぼんやり往来の人音を聞いてゐる。；三人はまたその音を聞いて心の中でいろいろの空想にふけりました。；つまり空想的な物語を通じて子供は権力を獲得することができるようになる。；空想の中で構成される観念や感覚に現れるイメージより微小なものはない。；三枚の切り札の不思議な物語がふたたび彼の空想にあらわれて来た。；情熱と空想の世界にゐらつしやる時が一番先生の生地に近い時だと思ひます。；先生の仰云る言葉は一つ一つ皆空想から生れたものゝやうに思はれます。；そんな事があつたかも知れませんけれども、我々には空想する事も出来ません。；バンド空想委員会ではベースのほか、作曲とコーラスも担当していた。；爺さんは感傷的なところがあるので、空想して楽しんだのだと思います。；空想化することなしには何事も考えられぬようになっていた。；また女性を射殺し、彼らの死体と屍姦をするという空想に夢中になった。；空想の中であなたがほかの女と一所に何処かへ逃げていってしまったっていいわ。；しかし彼女の空想は芸術とはほとんど縁のない未来の生活の上に休み勝ちだった。；ちなみに最終回では石橋の空想の中で空を飛ぶという設定になっている。；ところが『空想病』には世界を崩壊させかねない危険が隠されていた。；楽曲自体はアップライト・ピアノから広がる空想世界をイメージしている。；これらの物語には殺人や自殺、空想的な事件を題材とした陰惨な話が含まれる。；これは空想ではなく、歴史的な経験知識に基づく時代画期と考えられる。；ところが、ある日偶然の出来事から再び私の空想が働き出すようになったのである。；この時に小説に没頭し、自分の途方もない空想の世界を豊かにしたのである。</t>
        </is>
      </c>
      <c r="J2315">
        <f>HYPERLINK("https://www.weblio.jp/content/空想", "词义详情")</f>
        <v/>
      </c>
      <c r="K2315">
        <f>HYPERLINK("https://yourei.jp/空想", "查看例句")</f>
        <v/>
      </c>
    </row>
    <row r="2316">
      <c r="A2316" t="inlineStr">
        <is>
          <t>空中</t>
        </is>
      </c>
      <c r="B2316" t="inlineStr">
        <is>
          <t>成功</t>
        </is>
      </c>
      <c r="C2316" t="inlineStr">
        <is>
          <t>読み方：そらなか
《「ソラナカ」「空中」とも書く》空港内に設けられた商店街。従来からある旅客向けの土産物店や飲食店に加え、有名店を誘致したり限定品を販売したりして、空港そのものを目的とした客も呼び込もうとするもの。駅ナカの空港版。</t>
        </is>
      </c>
      <c r="D2316" t="inlineStr">
        <is>
          <t>空中高く；空中分解；空中に浮かん；空中発射；空中爆発</t>
        </is>
      </c>
      <c r="E2316" t="inlineStr">
        <is>
          <t>空；宙</t>
        </is>
      </c>
      <c r="F2316" t="inlineStr">
        <is>
          <t>空中技；空中強襲；空中目標；空中指揮；空中停止</t>
        </is>
      </c>
      <c r="G2316" t="inlineStr">
        <is>
          <t>空中写真；空中給油；空中給油機；空中分解；空中線</t>
        </is>
      </c>
      <c r="H2316" t="n">
        <v>29</v>
      </c>
      <c r="I2316" t="inlineStr">
        <is>
          <t>そのため空中の音を聞くための聴覚を強化する必要があったからである。；超長波を用いて、潜水艦との通信中継の他、空中指揮を行う機体である。；また、一部のガンは地上発射時と空中発射時で弾の性能・性質が変化する。；設定上は地上や空中よりも海中で戦うことの方が得意とされている。；その高さの位置に目に見えない床ができ、空中を自在に歩くことができる。；それには女性らしき人物が複数の球を空中に投げ上げている様子が描かれている。；吸盤を自分の背中につければ、自分の体を空中に浮かべることもできる。；そこに、チェシャ猫が空中に頭だけ出して出現し、女王たちを翻弄する。；細い糸で作られた網を空中に渡し、そこに飛んできた野鳥を捕らえる。；トンボは、空中の一点に留まる事ができ、宙返りが観察された種もある。；三隻中、唯一地中を移動することができ、空中に飛行することも可能。；・アイコプター空中で一度上昇後落下しながらクルクルと回転して攻撃。；また、航空機である飛行形態は空中での旋廻性能に優れた特性を持つ。；朝の時間帯には、空中をクマゼミが飛び交っている様子がよく見られる。；水中および空中を、イカのように水平に滑走して槍状の頭部で攻撃する。；そんなある日、大は空中を走る列車から投げ出され、落ちる夢を見た。；空中勤務体力検査に合格した学生は、卒業後、飛行訓練が実施される。；空中にある測定点の高さをいう場合は、「高度」の用語を用いることが多い。；空中雑菌として出現することもあり、自然界に広く見られるものである。；これは機体が空中分解したことを示唆するものである。；すると突然、空中に大声が響き渡ったかと思うと、鬼神達はみな姿を消した。；飛翔あるいは飛行とは、空中を進むこと、空中を移動することである。；時空間でなくとも現実空間の空中を浮遊して移動することも出来る。；一部の機体は民間でも使われ、訓練飛行や空中写真撮影などに広く用いられた。；なお、本機は地上・空中・宇宙戦に対応する全領域機として設計されている。；突如空中に現れたクジラは自分が何者かを認識しようと努力しているうちに死ぬ。；これは空中にいても有効なため、二段ジャンプができることになる。；空中からの体当たり攻撃と足の鋭い鈎爪と長い尻尾を使って敵と戦う。；軽快に飛行し、素速く、空中で他の鳥から略奪することが知られている。</t>
        </is>
      </c>
      <c r="J2316">
        <f>HYPERLINK("https://www.weblio.jp/content/空中", "词义详情")</f>
        <v/>
      </c>
      <c r="K2316">
        <f>HYPERLINK("https://yourei.jp/空中", "查看例句")</f>
        <v/>
      </c>
    </row>
    <row r="2317">
      <c r="A2317" t="inlineStr">
        <is>
          <t>空白</t>
        </is>
      </c>
      <c r="B2317" t="inlineStr">
        <is>
          <t>成功</t>
        </is>
      </c>
      <c r="C2317" t="inlineStr">
        <is>
          <t>読み方：くうはく
［名・形動］
１書類などの書き込むべきところに、何も書いてないこと。また、その部分。
２継続しているものの一部分が欠けていること。何も存在しないこと。また、そのさま。ブランク。「記憶の—を埋める」「—な（の）時間」</t>
        </is>
      </c>
      <c r="D2317" t="inlineStr">
        <is>
          <t>空白地域(2%)；空白部分；空白期；空白状態；空白感</t>
        </is>
      </c>
      <c r="E2317" t="inlineStr">
        <is>
          <t>空；スペース；空虚；虚；真空</t>
        </is>
      </c>
      <c r="F2317" t="inlineStr">
        <is>
          <t>長い空白；大きな空白；大空白；分空白；奇妙な空白</t>
        </is>
      </c>
      <c r="G2317" t="inlineStr">
        <is>
          <t>空白地帯；空白域；空白の一日；空白文字；空白区</t>
        </is>
      </c>
      <c r="H2317" t="n">
        <v>29</v>
      </c>
      <c r="I2317" t="inlineStr">
        <is>
          <t>番組ホームページでのコーナー表記は空白の入れる場所で区別している。；空白地となった東部には、ドイツ人の移住が行われることになっていた。；相手から出し抜けに名前を尋ねられると、頭の中が空白になってしまう。；各曲の間にはほとんど空白がなく、一部の曲はクロスフェードしている。；私の廿代はこうした苦い空白のうちに過ぎて行ってしまうのでしょうか。；このような空白時間を法律的にはいかに処理したらよいのであろうか。；私は心を驚かされた感がしてその空白の多い一枚の紙を見入つてゐた。；何人かの名前は有名であるが我々の記録では空白の時期である。；上部の空白部に書く場合が多いが、別紙に書いて接続する場合もある。；それがわれわれ二人の愛情の歴史を空白にする筈はないと思ふ。；当時、壁の外で教会建設が進められていたが疫病流行で空白の期間が生じた。；本州での分布は広いものの北に偏りがあって南には明確な分布の空白がある。；不思議なことにはこれに関する自分の記憶が全く空白になっている。；この怨霊から解放された数日間の空白状態というものは、奇妙なものだ。；すると彼には空白のなかに残されている枯木の姿が眼に甦って来た。；日本への情報の空白を痛感してドイツ民俗学の学史理解にも重点をおいた。；この沿線は鉄道網の空白地域であったため、路線整備の効果も高かった。；さらに、最初にクリックしたマスが必ず空白のマスになる仕様になった。；今日ならば何でも出来るぞ、と空白のなかに途轍もない夢が浮上つてくる。；本人は空白の才で何をするかという明確な考えは持っていなかった。；小説を書こうとしている自分は、いまおなじような空白を目の前に見ているのか。；この単行本化までにかかった時間は、後に「空白の5年間」と呼ばれる。；水尾地区は空白地であったため、地元の要望も受けて運行を開始した。；英語の正書法で空白が含まれ、複数の語のように見えるからである。；自分は一体何者なのか、記憶の空白を取り戻したいという思いを強くする。；カーニングを行わない場合は、文字の間に不自然な空白を招いてしまう。；中には30項目の生産品は国家の空白を埋めたなど、多様な需要にも対応できる。；ここで、構文規則を正しく翻訳するには空白が必要であるとしている。；また、この政治の空白をついて過激派組織が勢力を拡大させている。</t>
        </is>
      </c>
      <c r="J2317">
        <f>HYPERLINK("https://www.weblio.jp/content/空白", "词义详情")</f>
        <v/>
      </c>
      <c r="K2317">
        <f>HYPERLINK("https://yourei.jp/空白", "查看例句")</f>
        <v/>
      </c>
    </row>
    <row r="2318">
      <c r="A2318" t="inlineStr">
        <is>
          <t>空爆</t>
        </is>
      </c>
      <c r="B2318" t="inlineStr">
        <is>
          <t>成功</t>
        </is>
      </c>
      <c r="C2318" t="inlineStr">
        <is>
          <t>読み方：くうばく
［名］(スル)「空中爆撃」の略。</t>
        </is>
      </c>
      <c r="D2318" t="inlineStr">
        <is>
          <t>空爆作戦；空爆目標；空爆開始；空爆停止；空爆支援</t>
        </is>
      </c>
      <c r="E2318" t="inlineStr">
        <is>
          <t>空襲</t>
        </is>
      </c>
      <c r="F2318" t="inlineStr">
        <is>
          <t>大規模な空爆；ガウ空爆；限定的な空爆；都市空爆；対独空爆</t>
        </is>
      </c>
      <c r="H2318" t="n">
        <v>29</v>
      </c>
      <c r="I2318" t="inlineStr">
        <is>
          <t>重慶成都方面への我空爆は、昭和十六年以来始めてのことであるという。；明日の会議は10月30日に空爆か侵攻を行うかで開かれる予定であった。；内乱初期にアメリカ軍の空爆であいた巨大な穴がいくつも残っていた。；やがて、点を並べたように敵機が雲の間から現われて来、空爆を始める。；第二次世界大戦では激しい空爆の対象となり、街の多くが破壊された。；第二次世界大戦で、空爆によって一部が破壊されたが、再び使用された。；陸海軍の飛行機はほとんど一日に一度は漢口を空爆しに飛んで行った。；そういうことになるのは、多分大規模の空爆の連続する時であろう。；戦場での捕虜尋問で間近に迫った日本軍の空爆を避けることもあった。；最大の被害をもたらしたのは、アメリカ軍の爆撃機による空爆であった。；一方、この時点では当初掲げたISへの空爆は行われていなかったとされる。；明日あたりは、きっと東京か名古屋辺がまた空爆されることと思う。；それを狙って米軍による空爆も開始され、市民は疎開を余儀なくされた。；オバマはバイトゥッラー・メフスードの組織を含む空爆の拡大を命じた。；この空爆を受けて、インドとパキスタンの関係が悪化することとなった。；彼はこの空爆で兵士4人が負傷し、車両5台が破壊された述べている。；空爆を受けたら混乱に陥って食糧不安になるだろうと皆そのことを心配している。；ドイツが今のように弱体化したのはその軍需工場を空爆された為であるという。；この時の取材をまとめた「空爆の下で」も同じく平和出版から出版。；連合軍の空爆で破壊された鉄道に代わる撤退路を確保する為だった。；同年に休戦の客車がここで空爆によって破壊されたと信じられている。；ほかにも、砲撃や空爆は絶大な破壊力をもち、戦況を大きく変化させる。；第二次世界大戦では、パトラはイタリアによる重要な空爆目標になった。；激しい空爆と砲撃が行われた後、5月16日の夜に主攻撃が始まった。；しかし、それゆえに第二次世界大戦では空爆の対象となり、街は荒廃した。；広範囲な空爆作戦が行なわれたが、日本軍の抵抗には遭遇しなかった。；この施設は、戦争の進行とともに空爆の目標とされるようになった。；と言っても、それはまずセルビア人勢力に対する空爆という形をとった。；殊に今日は空爆ということもありますから、いよいよ油断はなりません。</t>
        </is>
      </c>
      <c r="J2318">
        <f>HYPERLINK("https://www.weblio.jp/content/空爆", "词义详情")</f>
        <v/>
      </c>
      <c r="K2318">
        <f>HYPERLINK("https://yourei.jp/空爆", "查看例句")</f>
        <v/>
      </c>
    </row>
    <row r="2319">
      <c r="A2319" t="inlineStr">
        <is>
          <t>空腹</t>
        </is>
      </c>
      <c r="B2319" t="inlineStr">
        <is>
          <t>成功</t>
        </is>
      </c>
      <c r="C2319" t="inlineStr">
        <is>
          <t>読み方：くうふく
腹が減ること。すきばら。「—を満たす」⇔満腹。</t>
        </is>
      </c>
      <c r="D2319" t="inlineStr">
        <is>
          <t>空腹感(7%)；空腹時(3%)；空腹状態；空腹度；空腹ギャグ</t>
        </is>
      </c>
      <c r="E2319" t="inlineStr">
        <is>
          <t>飢え；餓え；飢；空腹感；ひもじい</t>
        </is>
      </c>
      <c r="F2319" t="inlineStr">
        <is>
          <t>激しい空腹；ひどい空腹；猛烈な空腹；はげしい空腹；強烈な空腹</t>
        </is>
      </c>
      <c r="G2319" t="inlineStr">
        <is>
          <t>空腹時血糖</t>
        </is>
      </c>
      <c r="H2319" t="n">
        <v>29</v>
      </c>
      <c r="I2319" t="inlineStr">
        <is>
          <t>空腹の苦痛と、自分が何と戦ってるのか分からない苦痛、これが全てだ。；こんな空腹のまま鬼ヶ島に着いても、鬼と満足に戦うなんて無理ですよ。；空腹感から時刻を特定するのに必要な条件として以下のものが考えられる。；もう食事時間を遙かに過ぎていたので、二人とも、ひどく空腹であった。；それから空腹になると自分の乘つて居る馬から降りて馬足を刺絡します。；泣きたいと思えば、空腹と最近の虐待を思えば、すぐできることだった。；朝よりも空腹はひどく、すぐ眼の上まで頭をミルクのなかに突っこんだ。；男は、空腹を抱えながら、町の中をさまよわなければなりませんでした。；急に空腹が感じられてきたので、ハンモックから降りにかかろうとした。；もう時刻が過ぎて空腹でもあったし、跟けて来る者のようすも見たかった。；そしてまだ晩飯を濟ましてなかつたので、三人ともひどく空腹であつた。；お昼を食べなかったせいで、空腹が、いまごろからだに響いてきたのだ。；こうした混乱は、疲労と空腹とそして光のせいにすぎないとわかっていた。；空腹になると村を荒らしまわったので村人の犠牲は増えるばかりだった。；これらの症状は、早朝空腹時に強く出る傾向があると考えられている。；その疲労から私は彼等の空腹をはつきり認めることができたのである。；そしてまだ晩飯を済ましてなかったので、三人ともひどく空腹であった。；人々は空腹になったり、食べたり、疲れたり、休息をとったりしている。；その中でマリユスは出血のために死に、彼は空腹のために死にはすまいか。；腰の皮籠には用意の獣の乾肉があるので空腹は気にしなかった。；そうして何はともあれ空腹を満たすものを手に入れたいと思ったのだった。；空腹時には出会った人を無理矢理眠らせて夢を食べてしまう事もあるという。；空腹で待っていられなかったのだろうが、私はいやな気がした。；この頃には空腹で腹がぐうぐう鳴っていたので、わたしは足を早めた。；HVAの空腹時血漿量は、男性よりも女性の方が高いことが知られている。；ひとたび戦闘が終わると、サグラモールは病と空腹のため倒れてしまう。；おそらく歌で子供たちの空腹を忘れさせようとしているのだった。；そのことが私のその日の大空腹の原因となったのである。；耳が聾者のようにびいんと鳴って聞えなくなっているうえに空腹が迫って来た。</t>
        </is>
      </c>
      <c r="J2319">
        <f>HYPERLINK("https://www.weblio.jp/content/空腹", "词义详情")</f>
        <v/>
      </c>
      <c r="K2319">
        <f>HYPERLINK("https://yourei.jp/空腹", "查看例句")</f>
        <v/>
      </c>
    </row>
    <row r="2320">
      <c r="A2320" t="inlineStr">
        <is>
          <t>区画</t>
        </is>
      </c>
      <c r="B2320" t="inlineStr">
        <is>
          <t>成功</t>
        </is>
      </c>
      <c r="C2320" t="inlineStr">
        <is>
          <t>読み方：くかく
［名］(スル)土地などをいくつかの部分に区切ること。また、その区切った一つ一つ。「小さく—した分譲地」</t>
        </is>
      </c>
      <c r="D2320" t="inlineStr">
        <is>
          <t>区画整理(2%)；区画内；区画割り；区画ごと；区画整備</t>
        </is>
      </c>
      <c r="E2320" t="inlineStr">
        <is>
          <t>地域；部分；地区；地方；土地</t>
        </is>
      </c>
      <c r="F2320" t="inlineStr">
        <is>
          <t>居住区画；小区画；各区画；土地区画；搭載区画</t>
        </is>
      </c>
      <c r="G2320" t="inlineStr">
        <is>
          <t>区画整理事業；区画線；区画道路；区画化；区画漁業権</t>
        </is>
      </c>
      <c r="H2320" t="n">
        <v>29</v>
      </c>
      <c r="I2320" t="inlineStr">
        <is>
          <t>駅構内・駅舎は広大であるが今では使われず閉鎖されている区画が多い。；この場合、区画内の通路などは持分に応じて共有の扱いになったという。；連合国は占領区画を事前に決めていたが、戦闘の影響で流動化していた。；上から見るとH型をしておりS1とS2と呼ばれる区画に分かれている。；その背後には、筏の離れた区画で、別の3名が作業しているのが見える。；このように艦内容積が増大したことで、区画的に余裕がある艦となった。；また歯科治療区画もあるほか、下記のような後方支援機能を備えている。；国勢調査はこれとは別の区画が設定されており、合計11の区から成る。；しかし江戸時代の大番組の組番号と、現在の町目の区画は一致しない。；拘置区画には女性の未決囚も収容され、女性の刑務官も配置されている。；その後1896年に郡区画改正が行われ、姶良郡に属するようになった。；しかし、建物や区画のための溝は、室町時代以降まで発見されていない。；これが現在も戦前とほとんど変わらない区画の街並みとなっている理由である。；葉の裏面は赤紫色を帯び、葉脈が隆起して多数の区画が形成されている。；それぞれの村は都市の中に自分の区画をもち、母胎となった村と結ばれていた。；やがて多数の「ひび」を区画化して設置することが行われるようになった。；郡は大化の改新以後の区画の呼び方であるが、以下では場所の名前とする。；その後1997年度に撤去されたが、電話室の区画はそのまま残されている。；現在は市街地の下にあり、工事のときに小区画を調査するしかない。；居住区画もあり、その中には外国人が住んでいたものもあった。；女性専用区画が設定されていることもあるが、基本的には男女共用である。；しかし動物は、そう巧く画面のちょうどよい場所で、喧嘩をしてくれない。；官庁街や住宅街などの区画整備を推進して西部に高級住宅街を造成した。；内部は板塀や材木列で区画され、区画の中に複数の建物が多数建てられた。；区画整理された区域に建物はまだ少なく、写真左上に3代目駅舎が見える。；区画には正式な名称が存在するが、市民の記憶から失われているため番号で呼ばれている。；最上部にはメルダーズが指揮を執るための、広い司令部区画が存在する。；その後も都市区画は、非常に明瞭な都市化の意図に沿って開発されていった。；ただし中間区画は設定されておらず、抗堪性は最低限のものとなっている。</t>
        </is>
      </c>
      <c r="J2320">
        <f>HYPERLINK("https://www.weblio.jp/content/区画", "词义详情")</f>
        <v/>
      </c>
      <c r="K2320">
        <f>HYPERLINK("https://yourei.jp/区画", "查看例句")</f>
        <v/>
      </c>
    </row>
    <row r="2321">
      <c r="A2321" t="inlineStr">
        <is>
          <t>区間</t>
        </is>
      </c>
      <c r="B2321" t="inlineStr">
        <is>
          <t>成功</t>
        </is>
      </c>
      <c r="C2321" t="inlineStr">
        <is>
          <t>読み方：くかん
１道路や鉄道などの、ある地点と他の地点との間。「不通—」
２数学で、実数の集合の中のある限られた範囲。</t>
        </is>
      </c>
      <c r="D2321" t="inlineStr">
        <is>
          <t>区間内；区間列車；区間便；区間運転；区間記録</t>
        </is>
      </c>
      <c r="E2321" t="inlineStr">
        <is>
          <t>行程</t>
        </is>
      </c>
      <c r="F2321" t="inlineStr">
        <is>
          <t>一部区間；同区間；運行区間；電化区間；運転区間</t>
        </is>
      </c>
      <c r="G2321" t="inlineStr">
        <is>
          <t>区間急行；区間快速；区間新記録；区間車；区間準急</t>
        </is>
      </c>
      <c r="H2321" t="n">
        <v>29</v>
      </c>
      <c r="I2321" t="inlineStr">
        <is>
          <t>それに伴い、この時点で本系列の運用区間は以下のように変更された。；また列車の運転する区間や異なる路線への直通列車の設定を検討する。；なお、グリーン車の連結していない区間を含めて発行することができる。；これらの区間は、2023年4月1日に使用開始することが発表された。；定義より、ある関数が区間 上一様連続ならばそれは 上連続でもある。；すると今度は濃い霧がモワモワと発生し、瞬く間に辺りは白に包まれた。；乗り入れ相手先の部分でのみ使用され国鉄区間では採用・使用されていない。；この区間は互いに隣同士の駅が見えるほど駅間距離が短い。；また近年ではコース中でゴミを捨てて良い区間が一部に限定されている場合もある。；その後、交流と直流の電化区間を接続する標準的な方法として普及する。；あんな炎に包まれてしまっては、瞬く間に全てが燃えてしまうだろう。；通りまでの短い距離を歩く間にも、背中に汗が噴き出すのが分かった。；この際、同区間は単線として運転され、列車は1番線ホームに発着した。；一部の資料では、第一期線の全区間を含めて谷山線としていることもある。；停車駅や運行区間など詳しくは、各種別および各路線の記事を参照のこと。；この早婚の習慣がつづく間は彼らは常に悲惨な生活をすべきである、と。；また、通過運転を行う区間では、到着放送の結びに到着駅名の再案内を行う。；バスを利用した場合、その時点ではバス利用区間や日時などが印字されない。；鉄道路線とは、出発地と目的地の間に敷設された鉄道の線路の区間である。；路線のうち涙橋停留場より谷山停留場の間は専用軌道区間となっている。；営業外列車や臨時列車によってはこれ以外の区間・路線を走行する場合がある。；国道17号とほぼ並行し、一部区間を除き同じ市町村を経由している。；その際には高輪から南の馬込へ伸びる区間も東京都が建設することになった。；しかしアメリカでの産駒は活動開始時から活躍し、瞬く間に成功を収めた。；扶兄弟は、またその隣り村に逃げたが、ここでは一息つく間もなかった。；この区間は新鎌ケ谷の街の開発にあわせ、連続立体交差化が行われた。；東京メトロで停車予告音を使用しているのはこの区間のみである。；しかし、それが観客の圧倒的支持を受け、瞬く間に大きな人気を獲得した。；導関数 の値がつねに であるような区間では、関数 の値は一定である。</t>
        </is>
      </c>
      <c r="J2321">
        <f>HYPERLINK("https://www.weblio.jp/content/区間", "词义详情")</f>
        <v/>
      </c>
      <c r="K2321">
        <f>HYPERLINK("https://yourei.jp/区間", "查看例句")</f>
        <v/>
      </c>
    </row>
    <row r="2322">
      <c r="A2322" t="inlineStr">
        <is>
          <t>茎</t>
        </is>
      </c>
      <c r="B2322" t="inlineStr">
        <is>
          <t>成功</t>
        </is>
      </c>
      <c r="C2322" t="inlineStr">
        <is>
          <t>読み方：なかご
１物の中央部。中心。また、しん。
「—のできた飯を噛んで食べた」〈嘉村・途上〉
２ウリ類の中心の種子を含んだ柔かな部分。
３（「茎」とも書く）刀剣類の、柄(つか)に入っている部分。
４入れ子づくりのもので、中に入るもの。「重箱の—」
５中空の鋳物を作る際に、中空となる部分に入れる鋳型。外形の鋳型は主型(おもがた)という。
６鏃(やじり)の根もと。篦(の)の中に入る部分。
７三味線・胡弓(こきゅう)の棹(さお)の下端で、胴の中に隠れている部分。中木(なかぎ)。
８《堂の中央に安置することから》斎宮の忌み詞で、仏。
「釈迦の—金銅(かね)の像」〈北野本欽明紀〉</t>
        </is>
      </c>
      <c r="D2322" t="inlineStr">
        <is>
          <t>茎先(2%)；茎頂；茎部；茎種；茎はごく短く</t>
        </is>
      </c>
      <c r="E2322" t="inlineStr">
        <is>
          <t>柄；幹；殻；外皮；外殻</t>
        </is>
      </c>
      <c r="F2322" t="inlineStr">
        <is>
          <t>細い茎；長い茎；有茎；肉茎；若い茎</t>
        </is>
      </c>
      <c r="G2322" t="inlineStr">
        <is>
          <t>茎状突起；茎突舌骨筋；茎頂培養；茎茶；茎崎</t>
        </is>
      </c>
      <c r="H2322" t="n">
        <v>29</v>
      </c>
      <c r="I2322" t="inlineStr">
        <is>
          <t>葉は茎の成長の際にそこで完全に作られ、その後に展開するだけである。；これが茎であるか根であるかについては、長く議論の対象となってきた。；葉や茎などは、維管束植物のそれに似てはいるが、はるかに簡単である。；もっともひろく知られているのは双子葉植物の茎に見られるものである。；茎は4メートルになるものから30センチメートルほどのものまである。；胞子体の地上部には茎しかなく、よく育ったものは30cmほどになる。；そのため、花茎ではなく普通葉が生じている茎のように見えることがある。；茎は太く硬くなるため杖の材料にもされ、アカザの杖は最高級とされる。；茎の先端付近の葉は厚くなっていることがあり、ここに無性芽を生じる。；また、葉や茎に浮袋を形成して水面に浮くようになっているものもある。；ただし海外では葉や茎に至るまで赤くなる系統も知られている。；こちらの方は、茎が立ち上がるために知っていれば区別は簡単である。；砂が吹き飛ばされて何メートルも横に伸びた茎が露出する場合もある。；梅の実に付いている茎は竹串などで取り除き、傷のある実があれば除く。；それだと地上に立ち上がっている部分が茎でなければならない。；茎の外側の筋の部分は固いため、筋を引くようにして取り除いて使われる。；生殖器は茎の先端や葉の間に生じ、さくは柄を伸ばしてその先につく。；茎の節が発達し、茎の横断面では維管束が散在また多輪に配置している。；不定根は茎の節から生じることが多く、このような根は節根ともよばれる。；何年も越冬できて大株になってくると茎が木質化し、低木のようになる。；この突然変異で、オレンジは茎と逆側の底部に第2の果実を生じさせた。；茎の維管束が葉へと入るため、葉の上側では茎の維管束に隙間が生じる。；茎の先端にツクシの頭部のような胞子葉群をつけ、ここに胞子ができる。；茎の節ごとに葉がつき、花の基部では縮小して包葉となる場合もある。；はじめは地上の茎と同じくらいの12mmくらいであるが長めに伸びていく。；しかし茎である証拠に、花は偽球茎の先端の葉の根元の内側から出る。；もともとcaneは植物の茎を指し、細く弾力のある植物を指していた。；茎の表面には多数の気根が出た跡が残るので、樹皮には多数の突起がある。；また、茎から水平に枝を伸ばし、その先端に芽が生じて新しい株を作る。</t>
        </is>
      </c>
      <c r="J2322">
        <f>HYPERLINK("https://www.weblio.jp/content/茎", "词义详情")</f>
        <v/>
      </c>
      <c r="K2322">
        <f>HYPERLINK("https://yourei.jp/茎", "查看例句")</f>
        <v/>
      </c>
    </row>
    <row r="2323">
      <c r="A2323" t="inlineStr">
        <is>
          <t>釘</t>
        </is>
      </c>
      <c r="B2323" t="inlineStr">
        <is>
          <t>成功</t>
        </is>
      </c>
      <c r="C2323" t="inlineStr">
        <is>
          <t>読み方：くぎ
一端をとがらせた金属や竹・木などの細い棒。打ち込んで物と物とを接合・固定したり、物を掛けたりするのに用いる。「—を打つ」「—を抜く」</t>
        </is>
      </c>
      <c r="D2323" t="inlineStr">
        <is>
          <t>釘勘(2%)；釘打ち；釘を刺す；釘を打つ音；釘みたい</t>
        </is>
      </c>
      <c r="E2323" t="inlineStr">
        <is>
          <t>金釘</t>
        </is>
      </c>
      <c r="F2323" t="inlineStr">
        <is>
          <t>古釘；木釘；太い釘；大釘；本釘</t>
        </is>
      </c>
      <c r="G2323" t="inlineStr">
        <is>
          <t>釘付け；釘抜き；釘抜；釘を刺す；釘宮理恵</t>
        </is>
      </c>
      <c r="H2323" t="n">
        <v>29</v>
      </c>
      <c r="I2323" t="inlineStr">
        <is>
          <t>打ち込んだ後では検査ができないため使った釘の箱を見て確認するしかない。；その中の一本の杭の横に大きな南京釘が打ってあるのが見えるだろう。；なるほど、そう聞くと、釘の位置が、ちょうどそんなふうになっていた。；釘に毒を塗ってわざと踏むような場所に投げて置いたに違いございません。；ノドをしめて殺しているが、両の目に一寸釘をうちこんでいるのである。；僕が今もつてゐるこの三本には、どれにも飾は銀の釘一本打つてない。；初期の釘は鉄などの金属ではなく木や動物の骨が用いられた。；左の端の小板の釘を動かしてみたが、それは違うのか、扉は開かない。；また、遺体の頭頂部には一本の長い釘が打ち込まれていたのが見つかった。；斜釘は長天とも呼ばれ、牌九牌を使ったドミノによく似たゲームである。；特に、釘読みの技術に関しては右に出るものがいないほどの実力を誇る。；板葺きらしい屋根に一寸釘でもたたきつけるように雨が降りつけていた。；子供たちは、竿のような長い棒の先に釘や針金をつけてお団子を盗んだ。；ところが、ここで注意を要するのは、それを支えている釘の位置なのです。；運動の時にそとで釘を拾って来て、二人の室の間の壁に穴をあけた。；ねじや釘のような締結部も異種金属接触腐食が問題となる箇所である。；山本屋じゃあ、これから俺の手におえねえほど古釘を取っておくってよ。；そこで今度は、釘をもとのとおりにさして、それを注意ぶかく眺めた。；踏んだ釘にはある恐しい毒薬が塗られてあったことが発見されたのだった。；これは金の鞘の下に十字架が描かれた釘が埋め込まれている事とも一致する。；誘導釘を数多く叩いて正面から見ていると感覚に狂いが生じてくる。；但し、鈴木滋は常にこの順で着手されるわけではない旨釘を刺している。；これは地球に打ちこまれた蛇眼石の釘みたいなものなのである。；画をかけるべき釘もなければ英雄や聖徒の胸像を安置すべき棚もない。；球ゲージも、板ゲージも釘痩せ部以外の箇所が計測部となることが多い。；釘穴や背面に残る壁土などから堂内の壁面を荘厳していたと考えられる。；釘の頭に石がふれた瞬間、彼は全身が弾きかえされるような気がした。；鉄製の釘が製造されるようになったのは西洋では紀元前1000年頃とされる。；その後の調べで、散乱していた釘は約千本以上であることが判明。</t>
        </is>
      </c>
      <c r="J2323">
        <f>HYPERLINK("https://www.weblio.jp/content/釘", "词义详情")</f>
        <v/>
      </c>
      <c r="K2323">
        <f>HYPERLINK("https://yourei.jp/釘", "查看例句")</f>
        <v/>
      </c>
    </row>
    <row r="2324">
      <c r="A2324" t="inlineStr">
        <is>
          <t>区切り</t>
        </is>
      </c>
      <c r="B2324" t="inlineStr">
        <is>
          <t>成功</t>
        </is>
      </c>
      <c r="C2324" t="inlineStr">
        <is>
          <t>読み方：くぎり
１会話や文章などの、意味・発音上の切れ目。くぎれ。
２物事の切れ目。段落。きり。「仕事に—をつける」</t>
        </is>
      </c>
      <c r="D2324" t="inlineStr">
        <is>
          <t>区切りごと；区切りつい；区切りつく；区切り区切り；区切り符号</t>
        </is>
      </c>
      <c r="E2324" t="inlineStr">
        <is>
          <t>間；区別；中断；休止；途絶え</t>
        </is>
      </c>
      <c r="F2324" t="inlineStr">
        <is>
          <t>明確な区切り；一旦区切り；桁区切り；コンマ区切り；七字区切り</t>
        </is>
      </c>
      <c r="G2324" t="inlineStr">
        <is>
          <t>区切り記号；区切り打ち</t>
        </is>
      </c>
      <c r="H2324" t="n">
        <v>29</v>
      </c>
      <c r="I2324" t="inlineStr">
        <is>
          <t>最初の予定とはずいぶん変わってしまったものの、区切りはつきました。；草を焼く火がひと区切りの川まで燃えねば消えぬもの、と書いてあった。；この巻以降は未定稿であり、いずれも内容に区切りが付けられていない。；ここで区切りの位置は比較的エネルギーの高さに大きな差がある位置を示す。；やはり、そうしたことが人の心に小さな区切りを与えるものなのだろうか。；ここでは、時代を適切に区切って、各区切りの中での出来事を記述する。；いずれは仕事に区切りがついたら萱野君といっしょに訪ねたいと思います。；全く切見世は先生のお蔭で安穏に商売をしているようなものだからねえ。；六十をひと区切りに、また一から始めるのを、もう二度くり返している。；これは長途の旅の区切りなり、一段落することも意味しているのである。；損益を計算するためには、どこかで時間的な区切りを設ける必要がある。；区切りの回ではなく、その次の回に記念ゲストを呼ぶのが恒例化している。；板材でコートを区切り、また、球が外へ行かないようにする場合もある。；その光は昼の部分と夜の部分の区切りがつけられないほどのまばゆさだった。；それぞれの区切りは、その前の区切りから見て一定の比率となっている。；人生に区切りをつけるのは人おのおのの勝手だとひとりで合点していた。；また、夜や昼といった区切りがなく、季節の変化だってあるわけがない。；直吉はそのとき、何となく人生の一つの区切りを感じたのかも知れない。；これを人生のひと区切りと考え、版画研究のためのフランス遊学を計画。；話しがひと区切りしたところで康平はふと耳をすますような表情になった。；人込みを避けて通路を進みながら、真九郎は隣を歩く切彦の横顔を見る。；つまり、色を表す言葉の数によって、虹の色の区切り方が違うのである。；なぜ心に勝っただけで、彼女は美くしく切り上げられないのだろうか。；ただわかっているのは、二十万回がひとつの区切りということだけね。；この年における加藤の登山行為の一つの区切り点が打たれたのである。；昼寝を邪魔されたような、区切りの悪い気分で椅子から身体を起こす。；だから一日一日と区切ってはいても、それが正確な区切りである保証もない。；あれにつづくすぐの時期から出発位までは一つの区切りとなります。；そんなことを言うが、天然自然にそういう区切りがあるのではないか。</t>
        </is>
      </c>
      <c r="J2324">
        <f>HYPERLINK("https://www.weblio.jp/content/区切り", "词义详情")</f>
        <v/>
      </c>
      <c r="K2324">
        <f>HYPERLINK("https://yourei.jp/区切り", "查看例句")</f>
        <v/>
      </c>
    </row>
    <row r="2325">
      <c r="A2325" t="inlineStr">
        <is>
          <t>区切る</t>
        </is>
      </c>
      <c r="B2325" t="inlineStr">
        <is>
          <t>成功</t>
        </is>
      </c>
      <c r="C2325" t="inlineStr">
        <is>
          <t>読み方：くぎる
［動ラ五（四）］
１言葉や文章などに、意味・内容や音節などのまとまりで切れ目をつける。句読点や段落を施す。「一言一言—・って話す」
２ある広さをもつものを、境をつけていくつかに分ける。境界を設ける。「広間をカーテンで—・る」
[可能]くぎれる</t>
        </is>
      </c>
      <c r="D2325" t="inlineStr">
        <is>
          <t>分離；分割；区分；切る；区画</t>
        </is>
      </c>
      <c r="H2325" t="n">
        <v>29</v>
      </c>
      <c r="I2325" t="inlineStr">
        <is>
          <t>ただその山が迫って、水が小さくいくつかに区切られているだけである。；黒い大きな物体が、建物と建物に区切られた空を占領しつつあったのだ。；北東から南西に向かう道路と北西から南東に向かう道路で区切られている。；ここでの行は改行コードによって区切られていることを前提としていた。；赤音さんはイルカみたいに脳の中を区切ることができるのかもしれない。；ここでは、時代を適切に区切って、各区切りの中での出来事を記述する。；朝の十分、夕方の十分と時間を区切って、むさぼるように書物を読んだ。；参加した各国には以下のように範囲を区切った番号が割り当てられる。；昼時でもあり、荒縄で簡単に区切られた駐車場には数台の車が見えた。；いつもの様に時間を区切る鐘が校舎に響き、授業時間の終わりを告げる。；東方は那珂川が村境を区切っていて、他三方は山に囲まれた小さな山村。；どんな具合に区切っているのか知らないが、四軒の家がそこに建っている。；碁盤目に区切られた座席の上に、 きれいに配置された学生たちの頭。；その文章を、四句ずつ区切っていくと、全く異った通信が現われてきた。；「お・ん・な・と・も・だ・ち」と一語ずつ区切って誇らしげに言うのだ。；市壁と新市街は10メートルから30メートルの道路で区切られている。；騎士の足下の波帯で区切られた銀地の基部には 2本の黒い横帯がある。；同一河川の途中で名称が変わる場合は「-」で区切って記載している。；壁や天井や柵などの目に見える仕切りで区切られている場合は簡単だ。；shape は、太さのない境界線で内側と外側を区切ったものである。；基本的には2列が縦線で区切られ、左列に幹が、右列に葉が記載される。；だから一日一日と区切ってはいても、それが正確な区切りである保証もない。；しかし、それは一瞬のことで、彼女はゆっくりと区切るように言った。；ホッパー船の船首から船尾までの間はいくつかの部分に区切られている。；これが誤って不適切な場所でトラックが区切られてしまったのである。；そうこうしていると、話を区切るように会長が「それで」と切り出した。；店内は青い照明で、四人掛けの席はすべて個室のように区切られている。；開始の区切り文字は無く、@で区切る事でユーザー情報の終わりを示す。；さらに近寄ってみると、ドアには枠を区切って彫刻がほどこされていた。</t>
        </is>
      </c>
      <c r="J2325">
        <f>HYPERLINK("https://www.weblio.jp/content/区切る", "词义详情")</f>
        <v/>
      </c>
      <c r="K2325">
        <f>HYPERLINK("https://yourei.jp/区切る", "查看例句")</f>
        <v/>
      </c>
    </row>
    <row r="2326">
      <c r="A2326" t="inlineStr">
        <is>
          <t>括る</t>
        </is>
      </c>
      <c r="B2326" t="inlineStr">
        <is>
          <t>成功</t>
        </is>
      </c>
      <c r="C2326" t="inlineStr">
        <is>
          <t>読み方：くくる
［動ラ五（四）］
１ひもや縄などを掛けて、ばらばらの物を一つにまとめて縛る。束ねる。「古新聞をひもで—・る」
２ある物に他の物を縛りつける。ひっくくる。「犯人を木に—・る」
３物事にまとまりをつける。締めくくる。「話を—・る」
４一つにまとめる。ひとまとまりにする。「数式a＋bを括弧で—・る」「アイドルとひと言で—・るのは無理がある」
５（「縊る」とも書く）自分で首をつって命を絶つ。縊死(いし)する。「首を—・る」
６（「たかをくくる」の形で）程度を予測する。物事を軽くみる。見くびる。「ちょっとした傷とたかを—・る」
７（「腹をくくる」の形で）覚悟を決める。決意を固める。「腹を—・って結果を待つ」
８くくり染めにする。
「ちはやぶる神代も聞かず竜田川からくれなゐに水—・るとは」〈古今・秋下〉
９自由を拘束する。引き留める。
「耳へ入れば夜明けまで—・られる」〈浄・天の網島〉
[可能]くくれる
[用法]くくる・しばる——「荷物をひもでくくる（しばる）」「犯人をくくる（しばる）」などでは、相通じて用いられる。◇「くくる」は「袖口をくくる」「括弧(かっこ)でくくる」のように、ばらばらな物をまとめる意に重点があり、この場合「しばる」は使わない。◇「しばる」は「傷口をしばる」「校則でしばる」など、動かないようにする、束縛するの意に重点があり、この場合「くくる」は使わない。◇類似の語に「むすぶ」「しめる」がある。ひもなどの端を組み合わせてつなぐのが「むすぶ」で、より強く結ぶのが「しめる」である。</t>
        </is>
      </c>
      <c r="D2326" t="inlineStr">
        <is>
          <t>結ぶ；付ける；下げる；張る；掛ける</t>
        </is>
      </c>
      <c r="H2326" t="n">
        <v>29</v>
      </c>
      <c r="I2326" t="inlineStr">
        <is>
          <t>魚はあまりに大きく、この船より大きな船を横に括りつけたようだった。；私の子どものころは、そう肚を括って自分の道を選んだ人間も多かった。；腰下には足首を括った緑色のふくらんだ袴のような物を身につけていた。；悲惨な収容小屋や荷車に括りつけられ輸送される患者などの写真もある。；それから二人で王を馬に括りつけ、静かに女王の宮殿へつれて行つた。；しかし、実績面からも三強と括られることに、良太は不満を感じていた。；それも、そうやって括りつけられているのは、一枚どころの話ではない。；「世代論で括られては仕方がありませんな」 辰夫はゆっくりと言った。；いくらなんでも自宅が襲われることなどないだろうと高を括っていた面がある。；そして私はこれらの謎のやうな詩を總括して再びさきの獨斷を繰り返す。；両手と両足も括られているようだったので、あっさりと努力を放棄した。；似た境遇の者の中には、夜逃げする人間もいれば、首を括る人間もいた。；これは装飾のためとも見られるし、または袖口を括る用意とも受取れた。；またアシの葉には他の禾本類の葉と同じく先の方に少しの括れがある。；数枚が一気に掲載されても纏めて一括りで1ポイントとなるのが基本。；鍵蔵も昼飯を入れていた弁当箱を取って風呂敷に包み、腰に括りつけた。；何かと一括りにされがちだが、実は文化・言語・民族ともに全然違う。；読もうと思って三脚几に括りつけて来た二三冊の書籍もほどく気にならん。；更に狭い地域や都市を一括りにして九州経済、大阪経済などと呼ぶこともある。；之は、日本ラジオとしては確かに括目に値いする現象と云わねばならぬ。；まあ、そんな括りではないことくらい、最初からわかっていたことだ。；今思うに、その頃は強制的な二重生括に疲れていたのかもしれない。；下表は各ハプログループを大きな括りで集計したものであることに注意。；とりあえず括るには括ったが、これはあまりしっかりとはいかなかった。；とりあえず括るには括ったが、これはあまりしっかりとはいかなかった。；こうなっては浅見も木で鼻を括ったような対応ばかりしているわけにはいかない。；場所も移動するようで、そのうち根が散ってしまうだろうと高を括っていた。；より大きな括りではインド・太平洋大語族に含まれるとする説もある。；もしや名刺でも括りつけてはないかと葉裏まで覗いて見たが何もない。</t>
        </is>
      </c>
      <c r="J2326">
        <f>HYPERLINK("https://www.weblio.jp/content/括る", "词义详情")</f>
        <v/>
      </c>
      <c r="K2326">
        <f>HYPERLINK("https://yourei.jp/括る", "查看例句")</f>
        <v/>
      </c>
    </row>
    <row r="2327">
      <c r="A2327" t="inlineStr">
        <is>
          <t>潜る</t>
        </is>
      </c>
      <c r="B2327" t="inlineStr">
        <is>
          <t>成功</t>
        </is>
      </c>
      <c r="C2327" t="inlineStr">
        <is>
          <t>読み方：くぐる
［動ラ五（四）］《古くは「くくる」とも》
１物の下や狭い間・中を、姿勢を低くして通って向こう側へ出る。また、門やトンネルなどを通り抜ける。「暖簾(のれん)を—・って店に入る」「障害物競走ではしごを—・る」「校門を—・る」
２水の中にもぐる。「海に—・って魚貝をとる」
３簡単に通り抜けることができない所を巧みにごまかして通る。厳しい監視や規律などのすきをねらって事を行う。「法の網を—・る」
４困難や危険の中を何とか切り抜けていく。「火炎を—・って脱出する」「砲煙弾雨の下を—・る」
[可能]くぐれる</t>
        </is>
      </c>
      <c r="D2327" t="inlineStr">
        <is>
          <t>潜るまい</t>
        </is>
      </c>
      <c r="E2327" t="inlineStr">
        <is>
          <t>飛び込む；潜在的な；潜む；潜伏する；ダイブする</t>
        </is>
      </c>
      <c r="F2327" t="inlineStr">
        <is>
          <t>かい潜る</t>
        </is>
      </c>
      <c r="H2327" t="n">
        <v>29</v>
      </c>
      <c r="I2327" t="inlineStr">
        <is>
          <t>そして彼を殺害した者はまだその被害者の部屋に潜んでいるのだと思う。；俺たちが、地下に潜って強さを感じられるようになったということかな。；われわれは皆同じ道を辿っていて、やがては同じ門を潜るでしょうから。；集落全体に獣たちが潜んでいることを主人公は鋭敏に感じて父に訴える。；不自然に抑えつけられた無言の瞬間にはむしろ物凄い或物が潜んでいた。；そしてその眼に何か云い出しかねているような思いの潜んでいるのを見た。；角をつかんで顎をあげさせていれば、水に潜ってしまうこともないという。；私はいつも神様の国へ行こうとしながら地獄の門を潜ってしまう人間だ。；さらに暗い場所に潜んでいるため、生息状況が掴みにくい種類でもある。；アーケードを潜ると映画のセットのように無機質な通りが展開している。；しばしば森の中に潜んだり、子供を追い回したりするように描写される。；しかし、いずれにしても、今この門を潜るのは少し無謀なことであった。；昨日のせっかくの決意にもかかわらず今日は観光できず地下に潜っていた。；三崎口駅南の国道134号を潜る形で僅かな距離だが線路は続いている。；主に夜行性であり、日中は岩の下や岩の間などに潜んでいることが多い。；斧足はヒトデなどの外敵から身を守るために砂の中に潜るのに使われる。；金も電話もいっさい使わずにどこかに潜るなんて普通なら考えられない。；代助は門を潜って、格子の外から、頼むと声を掛けてみようかと思った。；いくら何でも生身の人間がこんなに長く海に潜っていられるだろうか。；錘が引っ掛っている傍まで歩いて行くと、いきなり頭を下にして潜った。；それから、彼の潜ってきた過去を記事にして良いか否かは本人に確認しろよ。；最後は下関駅の先で海の下に潜って、再び地上に出るとそこは九州である。；ほんの数メートル地下に潜るだけで冷んやりとした空気が流れていた。；誰も彼も、自分のすぐ間近に恐ろしい殺人鬼が潜んでいるように感じた。；それが何処かに潜んでおったのが、機に触れて現われて来たのである。；そして跡には、大の男が何人も並んで潜れそうなほどの大きな穴が残される。；キュウセンなど一部の種は、夜には砂に潜って眠ることが知られている。；父や母は特に感情上複雑な理由でも潜んでいるのではないかと案じたらしい。；ところが田郷さん、その婦人は、まだこの館の中に潜んでいるのですよ。</t>
        </is>
      </c>
      <c r="J2327">
        <f>HYPERLINK("https://www.weblio.jp/content/潜る", "词义详情")</f>
        <v/>
      </c>
      <c r="K2327">
        <f>HYPERLINK("https://yourei.jp/潜る", "查看例句")</f>
        <v/>
      </c>
    </row>
    <row r="2328">
      <c r="A2328" t="inlineStr">
        <is>
          <t>草</t>
        </is>
      </c>
      <c r="B2328" t="inlineStr">
        <is>
          <t>成功</t>
        </is>
      </c>
      <c r="C2328" t="inlineStr">
        <is>
          <t>読み方：そう
［名・形動］
１意気が盛んで勇ましいこと。また、そのさま。「その志を—とする」
２30歳前後の血気盛んな年ごろ。また、その年ごろの男性。「—にして大家の貌がある」
［接尾］（「草」とも書く）助数詞。灸をすえる回数を数えるのに用いる。
「此の日の灸、肩腎并せて曲池に百五十—」〈蔗軒日録〉</t>
        </is>
      </c>
      <c r="D2328" t="inlineStr">
        <is>
          <t>草野球(2%)；草叢；草丘；草ぼうぼう；草津市</t>
        </is>
      </c>
      <c r="E2328" t="inlineStr">
        <is>
          <t>薬草；手書き；ハーブ；草本；牧草</t>
        </is>
      </c>
      <c r="F2328" t="inlineStr">
        <is>
          <t>語り草；一年草；高い草；全草；痺れ草</t>
        </is>
      </c>
      <c r="G2328" t="inlineStr">
        <is>
          <t>草履；草木；草地；草むら；草薙</t>
        </is>
      </c>
      <c r="H2328" t="n">
        <v>29</v>
      </c>
      <c r="I2328" t="inlineStr">
        <is>
          <t>馬歯は一生を通じて硬い草を食べ続けるため上下に長い形状をしている。；小さな家族で暮らし、草と泥で作られた巣とダムの周りに縄張りを持つ。；昔描かれた絵にはこの機の周りには草も生えないというものがある。；昼間に活動する種もあり、それらは草の間や樹上などで生活している。；馬が食べる草が生えていたことから名が付いたと言われている。；草や藁など損傷しやすいものを絵画に使うようになったのもこの頃からである。；しかし、その頃は草軽も沿線を中心に乗合自動車の営業を開始していた。；ヤマヨモギとサボテンのいくつかの種と草の多くの種はどこでも見られる。；小さな木の枝のような姿の草もあるが、それとは異なった姿の植物も数多い。；しかし、実際には草風隊の隊長として新政府軍に抵抗する行動を取った。；アダムが作られた時にはエデンの園の外には野の木も草も生えていなかった。；セリフを一切覚えずに現場入りをした事は語り草にもなっている。；地下部を含めて全草を利用する例もあるが、日本薬局方では地上部とされる。；ジョン・マーティンと組んでいた頃に起こした事件は今も語り草になっている。；何故彼らは、本来地球外の植物である酔魂草の培養を行っているのか?；樹木の上に木の枝や草の茎、樹木の細い根などを組み合わせた巣を作る。；競走水面の大きさが特徴のひとつで、周辺は木や草で囲まれている。；現在は駅のすぐ横を流れる草道川にその名残を留めているのみである。；かつては草の滑走路を持つがあったが、1973年に閉鎖されている。；現在は草野球、少年野球などを中心に一般利用向けに供用されている。；やがてマルシェチとリボーの間には語り草になるほどの深い絆が生まれた。；初期の頃は草野球に参加する描写も何度か見られた。；木の枝先などで小さな昆虫類・クモ類・木の実など、草の種子を食べる。；クスノキ科の植物の葉を食べるアオスジアゲハやその仲間の種の食草である。；かれらはこれで、硬い木の実や草の実などを食べていたと思われる。；なお、ドイツ国内で口座振替を草分けたのは国際港ハンブルクである。；その時の石投げの命令、逃げ道の選び方は、のちまで語り草になっている。；植木鉢とは植木や草・花など様々な植物を植えるための容器の総称である。；山の頂上の平坦な地点には牧場があり、ヒツジが草を食む姿も見られる。</t>
        </is>
      </c>
      <c r="J2328">
        <f>HYPERLINK("https://www.weblio.jp/content/草", "词义详情")</f>
        <v/>
      </c>
      <c r="K2328">
        <f>HYPERLINK("https://yourei.jp/草", "查看例句")</f>
        <v/>
      </c>
    </row>
    <row r="2329">
      <c r="A2329" t="inlineStr">
        <is>
          <t>臭い</t>
        </is>
      </c>
      <c r="B2329" t="inlineStr">
        <is>
          <t>成功</t>
        </is>
      </c>
      <c r="C2329" t="inlineStr">
        <is>
          <t>読み方：くさい
［形］［文］くさ・し［ク］
１不快なにおいを感じる。いやなにおいがする。「ごみ捨て場が—・くにおう」「息が—・い」
２疑わしいようすである。怪しい。「あのそぶりはどうも—・い」「—・い仲」
３演劇などで、せりふの言い方や動作が大げさすぎてわざとらしい。「—・い芝居」
［接尾］《形容詞型活用［文］くさ・し（ク活）》名詞またはそれに準じるものに付く。
１…のようなにおいがする意を表す。「汗—・い」「こげ—・い」
２…のようなようすであるの意を表す。「年寄り—・い」「インテリ—・い」
３上にくる語の意を強める。「けち—・い」「てれ—・い」
[派生]くさがる［動ガ五］くさげ［形動］くささ［名］くさみ［名］
[下接語]青臭い・汗臭い・阿呆(あほ)臭い・磯(いそ)臭い・田舎臭い・陰気臭い・胡散(うさん)臭い・白粉(おしろい)臭い・男臭い・女臭い・金(かな)臭い・黴(かび)臭い・きな臭い・吝嗇(けち)臭い・焦げ臭い・酒臭い・しち面倒臭い・邪魔臭い・洒落(しゃら)臭い・熟柿(じゅくし)臭い・小便臭い・素人臭い・辛気(しんき)臭い・饐(す)え臭い・乳臭い・土臭い・照れ臭い・泥臭い・鈍(どん)臭い・糠味噌(ぬかみそ)臭い・鈍(のろ)臭い・馬鹿(ばか)臭い・バタ臭い・半可臭い・人臭い・日向(ひなた)臭い・貧乏臭い・古臭い・分別臭い・仏臭い・抹香臭い・水臭い・面倒臭い・野暮(やぼ)臭い（ぐさい）生(なま)臭い・寝臭い・物臭い</t>
        </is>
      </c>
      <c r="D2329" t="inlineStr">
        <is>
          <t>臭い匂い；臭い息；臭いにおい；臭いが強く；臭い空気</t>
        </is>
      </c>
      <c r="E2329" t="inlineStr">
        <is>
          <t>匂い；香；香り；怪しい；におい</t>
        </is>
      </c>
      <c r="F2329" t="inlineStr">
        <is>
          <t>嫌な臭い；キナ臭い；不快な臭い；カビ臭い；貧乏臭い</t>
        </is>
      </c>
      <c r="H2329" t="n">
        <v>29</v>
      </c>
      <c r="I2329" t="inlineStr">
        <is>
          <t>でもこの臭いからみて、道の先にはきっと仲間がいるに違いありません。；そばには共同の大きい掃溜めがあって、一種の臭いが半七の鼻をついた。；なにもかもが芝居臭かったが、それがまたぴったりとくる男でもあった。；川の水の匂いが臭くなったのも、もうひとつの原因だったのかも知れない。；臭い街で働く退廃的な労働者なら、無報酬には絶対耐えられないだろう。；昭和30年代になると獲れた魚が油臭くて買い手がつかなかったという。；私は、自分の体が臭くなってしまったかも知れないな、と少し思った。；しかしその生まれゆえに彼女の体からは魚の臭いが消えなかった。；アル中だったという人がいるほどの酒好きで、昼からいつも酒臭かった。；書生に『お前先に入れと命じたが、とても臭くて入れません』といった。；実家が漬物屋だったことで、独特の臭いが影響し、大の漬物嫌いだった。；家人たちは水をかけて洗ってやったが、臭いはどうしてもとれなかった。；すると臭い匂いがするに拘わらず少しも厭いなく拭き取ったり何かする。；これが原因かは不明だが、彼らは常に腐った魚のような臭いに覆われている。；彼女が無感動でいるような作品は、もう僕の眼には迂散臭く思われるのだ。；その意味で、いわゆる臭いによる情報伝達とはまた異なったものである。；しかし、その状態でも別の種類の臭いへの感度は低下しないのが特徴である。；願わくば、それはすべて臭くない金銭で建てられたものであってほしい。；さっきチューインガムを買ってやったら臭いを嗅いだだけで嘔吐すのよ。；二人が家の中にはいってみると、なにからなにまで臭くにおっておりました。；以前は空気が煙草臭かった記憶があるが、そんなこともまるでない。；ハチに鼻を刺された出来事 や魚の臭いから、虫と魚が嫌いとされる。；さっきから、部屋の中が妙に化粧品臭かったのは、これだったのかと思う。；僕は膠臭いココアを飲みながら、人げのないカッフェの中を見まわした。；活劇専門の立役は臭くなくてはいけないからズレるのが宿命なのである。；いくつかの電気機器は人間が臭いを感じる程度のオゾンを発生させる。；あたし西洋酒は大概なものは好き、日本酒は口が臭くなるから嫌いだけれど。；特に感覚は数万体の獲物の臭いを嗅ぎ分けて追跡できるほど強力である。；生のニンニクを煮たり炒めたりした時の臭いの元となる物質でもある。</t>
        </is>
      </c>
      <c r="J2329">
        <f>HYPERLINK("https://www.weblio.jp/content/臭い", "词义详情")</f>
        <v/>
      </c>
      <c r="K2329">
        <f>HYPERLINK("https://yourei.jp/臭い", "查看例句")</f>
        <v/>
      </c>
    </row>
    <row r="2330">
      <c r="A2330" t="inlineStr">
        <is>
          <t>草花</t>
        </is>
      </c>
      <c r="B2330" t="inlineStr">
        <is>
          <t>成功</t>
        </is>
      </c>
      <c r="C2330" t="inlineStr">
        <is>
          <t>読み方：くさばな
花の咲く草。また、草に咲く花。《季秋》</t>
        </is>
      </c>
      <c r="D2330" t="inlineStr">
        <is>
          <t>草花図；草花屋；草花文；草花丘陵；草花遊び</t>
        </is>
      </c>
      <c r="F2330" t="inlineStr">
        <is>
          <t>美しい草花；小さな草花；いろいろな草花；可憐な草花；丈夫な草花</t>
        </is>
      </c>
      <c r="H2330" t="n">
        <v>29</v>
      </c>
      <c r="I2330" t="inlineStr">
        <is>
          <t>草花のある広場へはいってみるといよいよ失望しなければならなかった。；警備隊時代は警備船と称し、船名には草花に由来する名前が付けられた。；しかし、草花の側の立場で考えてみると、どういうことになるだろうか。；書籍や草花は、多くの人たちにとってパンと同じくらい必要なのである。；お断りしておきますが、西洋の草花の名のついているのは洋館なんです。；私はぼんやりと床の間の掛軸や竹籠に挿してある草花などを眺めていた。；が、未だに門内か庭かに何か白い草花の沢山咲いていたのを覚えている。；哀れな女のたましいを草花に宿らせたような伝説は諸国にたくさんある。；彼の書籍の中からは草花の模様のある濃い色の布片が出て来た。；私も少し前から田舎で、草花作りをしたくてたまらないのでございますよ。；とりわけ心を奪われたのは草花で、花にはいちばん長く見入っていた。；かわいがって育てている数々の草花くらいは残しておいてもいいでしょうか。；虫にも草花にも、あなたにだって私にだって、何にでも神が宿っている。；私には天も星も樹木も草花も鳥もまた何よりも人間の群れが私の周囲にあります。；本物の樹木や草花が見れない嘆きなど、大野は一度も感じたことがない。；彼女は家の前の道傍で、草花を摘んでゐたのだが、それから分らない。；ある時には山を歩きながら草花を取ったり、岩梨を取ったりするのである。；ガーデニング霊園は季節ごとの草花に囲まれ、雰囲気が明るいのが特徴。；私と二人の娘とは部屋の装飾をするために山に羊歯の葉や草花を採りに行った。；水・空・木・草花など、自然をテーマに描いた色彩あふれる作風が特徴。；なんとなく、草花のような弱々しいものは嫌いなのではないかと思っていた。；生えているのが草花だけで、根を張り大きな葉を広げる木がないためである。；花言葉を用いて草花を楽しむ習慣が日本に輸入されたのは明治初期とされる。；そしてこれらの雑草、これらの草花のほかには何も残ったものはないのです。；自然の名前、植物や草花に芸名を求めることは、当時最も一般的であった。；そこはその家の横手で、草花などを植えた庭のよく見えるところであった。；花壇は伸びたいだけ伸びた秋の草花で、ちょっとした茂みになっていた。；下にはうまい具合に草花の茂ったポケットがあり、怪我人は出なかった。；そして、また最も小さい小さい虫を見ても草花を見てもさう思ふ。</t>
        </is>
      </c>
      <c r="J2330">
        <f>HYPERLINK("https://www.weblio.jp/content/草花", "词义详情")</f>
        <v/>
      </c>
      <c r="K2330">
        <f>HYPERLINK("https://yourei.jp/草花", "查看例句")</f>
        <v/>
      </c>
    </row>
    <row r="2331">
      <c r="A2331" t="inlineStr">
        <is>
          <t>鎖</t>
        </is>
      </c>
      <c r="B2331" t="inlineStr">
        <is>
          <t>成功</t>
        </is>
      </c>
      <c r="C2331" t="inlineStr">
        <is>
          <t>読み方：じょう
［名］
１他人に開けられないように、ドア・引き出し・金庫などに取り付け、鍵(かぎ)で開閉する装置。「—を掛ける」「—をはずす」
２（錠）錠剤。「ビタミン—」
[補説]1は本来「鎖」であるが、後世「錠」の字を当てるようになった。
［接尾］（錠）助数詞。錠剤の数を数えるのに用いる。「食後二—ずつ服用する」
［アクセント］1はジョー、2はジョー。</t>
        </is>
      </c>
      <c r="D2331" t="inlineStr">
        <is>
          <t>鎖dna(2%)；鎖状；鎖rna；鎖切断；鎖港</t>
        </is>
      </c>
      <c r="E2331" t="inlineStr">
        <is>
          <t>チェーン；脈；絆；枕木；連環</t>
        </is>
      </c>
      <c r="F2331" t="inlineStr">
        <is>
          <t>側鎖；二本鎖；一本鎖；重鎖；dna鎖</t>
        </is>
      </c>
      <c r="G2331" t="inlineStr">
        <is>
          <t>鎖骨；鎖さ；鎖帷子；鎖かたびら；鎖し</t>
        </is>
      </c>
      <c r="H2331" t="n">
        <v>29</v>
      </c>
      <c r="I2331" t="inlineStr">
        <is>
          <t>すなわち前述の方法の様にすべての二重鎖DNA に反応することはない。；これらの架橋は隣接する多量体鎖と相互に結合して硬さを持たせている。；最後の段階は娘鎖伸長に関わるタンパク質が親鎖に集合することである。；フィデリオは、修理したばかりの鎖の重い荷物を運びながら入ってくる。；スピード戦を得意とし、鎖でつながれた2本のトマホークを武器とする。；ただし、両酵素の間に、非酵素的に進む側鎖の閉環反応が含まれている。；粘弾性緩和の原因は各温度で高分子鎖の分子運動 が異なるためである。；複製開始第2段階は娘鎖合成の足掛かりとなるプライマーの合成である。；また、親鎖と新たに合成された娘鎖が新しい塩基対を形成しなければならない。；ゲノムは8つの領域があり、マイナス一本鎖型RNAで構成されている。；膜には、二重らせんよりも一本鎖のDNAへの吸着性が強いものを選ぶ。；炭化水素の構造はトポロジー的には鎖状構造と環構造のいずれもとりうる。；後者の意味での鎖はツォルンの補題で極めて重要な役割を果たす。；ヘリカーゼは、片方の鎖に沿って種類毎に決まった方向に動きながら働く。；欧州議会には黒の燕尾服、銀の鎖を着用している180人の門衛がいる。；他の13頭は行方不明または鎖に繋がれたまま餓死した状態で発見された。；鍵をそれぞれの鎖に付いている錠に合わせたが開かなかった。；側鎖の形状を予測する問題に特化した手法としては、やなどがある。；この反応は塩基配列の決定やDNA鎖の切断などに使うことができる。；このため信号機が停止現示にならないときは、鎖錠したままにする。；したがって可塑剤は嵩高い側鎖をもつものが有用な特性を示すことが多い。；貴金属製の鎖に記章が付いたものであり、鎖を首に掛けて着用する。；が、ジデオキシ法、ないし鎖停止法と呼ばれ広く知られているものである。；幕府はまず横浜鎖港の交渉を始めることとした。；両3'末端からそれぞれ一本の娘鎖が合成されるが、これは同時期ではない。；投票で決まった武器鎖で対戦することになった。；この本は次のような出来事の鎖を構築した。；壁や床に鎖や金具で固定したり、家具と天井の間で棒を突っ張らせたりする。；この時点ではL鎖の複製は3分の1までだが、遅れながらも完了する。</t>
        </is>
      </c>
      <c r="J2331">
        <f>HYPERLINK("https://www.weblio.jp/content/鎖", "词义详情")</f>
        <v/>
      </c>
      <c r="K2331">
        <f>HYPERLINK("https://yourei.jp/鎖", "查看例句")</f>
        <v/>
      </c>
    </row>
    <row r="2332">
      <c r="A2332" t="inlineStr">
        <is>
          <t>腐る</t>
        </is>
      </c>
      <c r="B2332" t="inlineStr">
        <is>
          <t>成功</t>
        </is>
      </c>
      <c r="C2332" t="inlineStr">
        <is>
          <t>読み方：くさる
［動ラ五（四）］
１細菌の作用で植物性・動物性のものが分解して変質する。食物などがいたむ。腐敗する。「魚が—・る」
２からだの組織が破れ崩れる。うみただれる。「凍傷で指先が—・る」
３木・繊維・金属などが風化したり酸化したりしてぼろぼろになる。朽ち崩れる。腐敗・腐食する。「柱が—・る」「さびて—・ったナイフ」
４物が変質して、嫌なにおいがついたり汚れたりして使えなくなる。「金魚鉢の水が—・る」
５純な心が失われてだめになる。精神が救いようがなく堕落する。「性根が—・っている」
６思いどおりに事が運ばないため、やる気をなくしてしまう。いや気がさす。めいる。「気が—・る」「原稿が没になって—・っている」
７（他の動詞の連用形に付いて）その動作をする人に対する軽蔑・ののしりの気持ちを表す。「いばり—・る」「つまらんことを言い—・る」
８賭(か)け事で負ける。
「夕べ胴が—・ってありたけ取られ」〈咄・御前男・四〉
９すっかり濡れる。びしょ濡れになる。
「—・った着物はしぼって引きさげ」〈滑・膝栗毛・三〉
［動ラ下二］「くされる」の文語形。</t>
        </is>
      </c>
      <c r="D2332" t="inlineStr">
        <is>
          <t>腐るほどある(8%)；腐ることなく</t>
        </is>
      </c>
      <c r="E2332" t="inlineStr">
        <is>
          <t>腐敗；悪くなる；衰える；堕ちる；いたむ</t>
        </is>
      </c>
      <c r="F2332" t="inlineStr">
        <is>
          <t>早く腐る</t>
        </is>
      </c>
      <c r="H2332" t="n">
        <v>29</v>
      </c>
      <c r="I2332" t="inlineStr">
        <is>
          <t>芝居なんて物を見ると臓腑が腐っちゃって仕事に身が入らなくなるんだ。；まったく我々の意志は、確かに彼らのそれに劣らず腐っているのである。；操車場にきたときからすでに腐りきっていて、手のつけようがなかった。；といって古い肉を買って来て四日も五日も置いたら忽ち腐ってしまいます。；僕は身体が半分腐って来た今でも決して昔の考えをすててはいないよ。；銀器の水がいつまでも腐らないことは経験的に古くから知られていた。；大量の肉が腐らないように多くの人に知らせなければならなかった。；空気に触れなければ腐りにくいといい、ヨーロッパでは水道管に用いた。；何週間も前に死んでいるのに、腐っている様子がないとサムは指摘する。；腐った杭でも夜のあいだ馬をキツネの襲撃から守るには足りるのである。；内側から腐る暇もなく、人々は一枚岩のような信仰心を保っていられた。；常にそこからは物の腐ったような臭いが漂い、ぼくは気持ち悪くなった。；超能力SFなら腐るほど読んできたつもりの僕も、この設定には驚いた。；冬は水が腐らないからまだいいけれど、梅雨時や夏にきてごらんなさい。；流れない水は空気まで腐らせそうで、朝と夕方のほかは外へ出られなかった。；たとえその肉体は腐っていても、在りし日の面影は認められるであろう。；俺は、俺の周囲にゐる連中の体が腐つて行くのを毎日見せつけられたんだ。；腐りかけたような古い木のドアには、蜘蛛の巣が幾層も張りついている。；表面を腐った肉が覆う世界で僕はただ一人学生服を着て学校に通っている。；エピソードは腐るほどありますが、そいつをお聞きになりたいですか?；お互ひに味気ない思ひをさせ合ひ、気を腐らせられてゐるのであります。；ストの直接の原因は、商店の一つが配給した肉が腐っていたことだった。；つまり看板本体は落下した後腐ってなくなったが文字だけは残ったのである。；お前らを皆殺しにしたいほど憎んでいるやつなんて、腐るほどいるんだ。；虫のわくごとく地にこれをわかせたものは、宋朝自体の腐土ではないか。；並んだ椅子はどれも腐りはじめていて、とても腰を下ろす気にはなれない。；少し物の腐ったような匂いと、それから漁船のタアルの匂いも少しした。；そのような手合いは都に行けば腐るほどいる、とは口にしなかったが。；地下室の主は生きながらに腐り落ち、この世ならざる虫に集られている。</t>
        </is>
      </c>
      <c r="J2332">
        <f>HYPERLINK("https://www.weblio.jp/content/腐る", "词义详情")</f>
        <v/>
      </c>
      <c r="K2332">
        <f>HYPERLINK("https://yourei.jp/腐る", "查看例句")</f>
        <v/>
      </c>
    </row>
    <row r="2333">
      <c r="A2333" t="inlineStr">
        <is>
          <t>櫛</t>
        </is>
      </c>
      <c r="B2333" t="inlineStr">
        <is>
          <t>成功</t>
        </is>
      </c>
      <c r="C2333" t="inlineStr">
        <is>
          <t>読み方：くし
《「串(くし)」と同語源》髪の毛をすいたり、髪に挿して飾りに使ったりする道具。黄楊(つげ)・竹・鼈甲(べっこう)・合成樹脂などで作る。「髪に—を入れる」</t>
        </is>
      </c>
      <c r="D2333" t="inlineStr">
        <is>
          <t>櫛状(4%)；櫛枝(2%)；櫛鱗；櫛角別；櫛歯</t>
        </is>
      </c>
      <c r="E2333" t="inlineStr">
        <is>
          <t>クシ；梳；コーム</t>
        </is>
      </c>
      <c r="F2333" t="inlineStr">
        <is>
          <t>櫛御気；横櫛；竪櫛；花櫛；櫛森家</t>
        </is>
      </c>
      <c r="G2333" t="inlineStr">
        <is>
          <t>櫛形；櫛田神社；櫛田川；櫛比；櫛引</t>
        </is>
      </c>
      <c r="H2333" t="n">
        <v>29</v>
      </c>
      <c r="I2333" t="inlineStr">
        <is>
          <t>この独特の歯で樹木の葉を櫛で漉き取るように食べていたと推測される。；歯を備えた櫛は古代エジプトで既に広く使用されていたと考えられている。；残っている髪は黒くて長く、それをすべてうしろに櫛でなでつけていた。；セルロイドの有用性は、櫛以外にも様々な商品を製造する機会も与えた。；彼女は櫛をとってきて髪をとかしてやりたい衝動をやっとのことで抑えた。；男は左手に櫛を持ち、妙に警戒するような態度を見せながら言った。；髪の毛ももはや整えられたようにも櫛を入れられたようにも見えなかった。；櫛は彼の袖から落ちたので、それを私が窓の下で見つけたわけだ。；ここでは音源に金属の櫛歯を使うものをオルゴールと呼ぶこととする。；洗ってまだ乾ききっていない髪を、彼は櫛を使ってポマードでまとめた。；ぬれ羽色の髪に、つげの櫛の美しさは見れば見る程味の出る美である。；研究者によると、櫛と神の関係をよく示している伝承としている。；挿し櫛のはいった小箱につけられた飾りの造花に御歌が書かれてあった。；父親は櫛など薄い紙に包んで来て、そっと鏡台の上に置いてくれなどした。；そのときおあいは何心なく不意に例の櫛のことを思い出した。；女の執念の残っていそうな櫛やかんざしのたぐいも拾い出されなかった。；「彼の顔はきれいで、髪の毛はよく櫛が通っていた」とヤダヴは言った。；思わず立ち上ると彼は髪を解きつけた浴室の真紀子の櫛を探しにいった。；お妃は、自分も心得ている魔術を使って、毒のある櫛をつくったのです。；そしてものの五分と経たないうちに櫛を振り落して叔母が帰って来た。；万七の手から受取った櫛をお町の朦朧たる酔眼の前へ持って行きます。；前にはきれいに櫛が当たり濡れていた髪が、いまは乾いて、風で揺れていた。；もう一人がそれに加わり、二人して櫛をひっぱったがうまくいかなかった。；四畳ほどの温突部屋に朝鮮着物の三人の女たちが余念なく櫛を編んでいる。；櫛の歯で擦ったような文様のある土器を特徴とするためこの名がある。；僕は握っていた櫛をそこへほうりつけて、一目散にまた逃げて帰った。；最後にそこにある櫛を取って頭まで梳いてぐずぐずしていたに違なかった。；私はその櫛を握ったまま、しかたなしに友人のいるカフェーへ引返した。；そのうちに一行の一人が汀の水草に流れかかっている櫛を見つけた。</t>
        </is>
      </c>
      <c r="J2333">
        <f>HYPERLINK("https://www.weblio.jp/content/櫛", "词义详情")</f>
        <v/>
      </c>
      <c r="K2333">
        <f>HYPERLINK("https://yourei.jp/櫛", "查看例句")</f>
        <v/>
      </c>
    </row>
    <row r="2334">
      <c r="A2334" t="inlineStr">
        <is>
          <t>くじ</t>
        </is>
      </c>
      <c r="B2334" t="inlineStr">
        <is>
          <t>成功</t>
        </is>
      </c>
      <c r="C2334" t="inlineStr">
        <is>
          <t>読み方：くじ
岩手県北東部の市。久慈港は漁港・工業港。昭和59年（1984）宮古とをつなぐ三陸鉄道北リアス線が開通。平成18年（2006）3月、山形村と合併。人口3.7万（2010）。</t>
        </is>
      </c>
      <c r="D2334" t="inlineStr">
        <is>
          <t>くじぶん(2%)；くじ券；くじ取ら；くじ付き；くじ取り</t>
        </is>
      </c>
      <c r="E2334" t="inlineStr">
        <is>
          <t>籤；引札；引き札；籖</t>
        </is>
      </c>
      <c r="F2334" t="inlineStr">
        <is>
          <t>おくじ；ロトくじ；お年玉くじ；外れくじ；開封くじ</t>
        </is>
      </c>
      <c r="G2334" t="inlineStr">
        <is>
          <t>くじけ；くじい；くじか；くじら；くじく</t>
        </is>
      </c>
      <c r="H2334" t="n">
        <v>29</v>
      </c>
      <c r="I2334" t="inlineStr">
        <is>
          <t>いいくじを引けるかどうかで私の将来が決まってしまうような気がした。；神秘に近いものが毎時おくじに現われているようにさえ思うのであった。；しかし悪いくじを引くのはわたしの宿命であって、こんどもそうだった。；以下の車両は2009年4月16日をもってくじの販売が終了している。；既に三人の間には、それぞれの相手はくじでもして決めてあるらしい。；くじの配布は手を変え品を変え、現在でも何らかの宣伝で使用されている。；いつもと同じように、船の三区画構成に応じて、くじはつくられていた。；遺跡からは、そのために使われたといわれる名前を書いたくじが出土している。；ただし、意味が同じくじがあるケースではこれは問題とはならない。；どのコーナーを誰が実施するかをくじを引いて決める、という特徴がある。；あんこくじの おぼうさんに なって 二三ねん たった ときでした。；魂たちは「くじ」の番号順に「生涯の見本」の中から望みの生涯を選ぶ。；あたしだってもっと寝たかったけど、くじで負けちまったから仕方なくさ。；姫は、なんにしたところで、もっと悪いくじをひいてもよかったのだ。；会のときくじを引いて伊藤先生のところへ安藤さんと行く事になった。；くじなどを利用して、立候補者毎に等しい確率で当選者を選出する方式。；これを行う一般的な方法には、くじを引く、乱数表を使用するなどがある。；エディは仕事熱心で、誰かれなく声をかけ続け、結局悪いくじを引いた。；日本国内で法令の下で正規に販売されているくじは次の通りである。；くじの結果、今回のホルモーの場所設定権は立命館白虎隊に与えられた。；この松は南観音山とくじを引いて選んでおり、松取式と呼ばれている。；また末広町は十三番山と決められていたが、現在はくじを引いている。；後は残りの高校が1校ずつくじを引いていき、すべての組み合わせが決定する。；そしてくじのことを思い出して、夢はまだ涸れたわけではないと唇を噛んだ。；そなた達の軍にせめよせられて自ら喉をつくほどの意くじなしではないのじゃ。；だが、本当のところは、彼らのどちらが短いくじを引いたかさえも知らなかった。；翌日の昼休みに各課の代表と役席代表の支店長がくじを引くことになった。；番組初期の頃は紐くじ方式で、カップル成立か否かを判断していた。；栄介は、その男の目がくじと薄い帳簿の間を、往復するのをみつめていた。</t>
        </is>
      </c>
      <c r="J2334">
        <f>HYPERLINK("https://www.weblio.jp/content/くじ", "词义详情")</f>
        <v/>
      </c>
      <c r="K2334">
        <f>HYPERLINK("https://yourei.jp/くじ", "查看例句")</f>
        <v/>
      </c>
    </row>
    <row r="2335">
      <c r="A2335" t="inlineStr">
        <is>
          <t>挫く</t>
        </is>
      </c>
      <c r="B2335" t="inlineStr">
        <is>
          <t>成功</t>
        </is>
      </c>
      <c r="C2335" t="inlineStr">
        <is>
          <t>読み方：くじく
［動カ五（四）］
１手足の関節などに無理な力が加わって、関節やその周りを痛める。捻挫(ねんざ)する。「足を—・く」
２勢いをそぎ、弱らせる。おさえる。「弱きを助け強きを—・く」「出鼻を—・く」
［動カ下二］「くじける」の文語形。</t>
        </is>
      </c>
      <c r="D2335" t="inlineStr">
        <is>
          <t>挫くこと(23%)；挫くため(17%)</t>
        </is>
      </c>
      <c r="E2335" t="inlineStr">
        <is>
          <t>鎮める；砕く；弱める；捻挫；捻る</t>
        </is>
      </c>
      <c r="H2335" t="n">
        <v>29</v>
      </c>
      <c r="I2335" t="inlineStr">
        <is>
          <t>李は再び独立をほのめかすことで、段の意図を挫くことに成功している。；これはやる気を挫くかもしれないが2つのことを行うことで実現できる。；彼らは大冒険帝国とデラデューンの危険な野望を挫くことができるのか?；此れは勇二郎の心を挫くためのものにほかならぬにちがひありません。；我は最強にして最多の勝利を掴む者、人と悪魔の敵意を挫く者なり、と。；折角うまいと自信を持っているところを挫くこともないだろうと黙っているけれど。；もし敵が調子にのって何かやるつもりなら、その出鼻を挫くのも一案であろう。；かれらの試みを挫くことはできませんか?；信長のこの行為は義昭の権威の否定、反信長勢力の士気を挫く目的があったと考えられる。；こういった意図を挫くために、リチャード獅子心王は彼女を夫に命じて監禁させた。；直接、その手で無影を殺すのではなく、彼の意図を挫くことが報復の代わりになるのではと考えるようになった。；若き公爵の処刑は統領政府に対抗する王党派の士気を挫く目的があったとされる。；その恐怖も、彼の意志を挫くほど強くはなかった。；これはむしろコーティカルテの戦意を挫く方向に働いてしまう。；しめやかに、見る者の勇気を挫くように、船は海から波止場へ滑り込んで来た。；蛮族にはここで徹底的に恐怖を味わわせて、以後の抵抗の気運を挫く必要があるのだ。；これだけでも、わたしの意気を挫くのに充分であった。；日本による重慶爆撃は数十万の市民を殺害したが、中国の抗戦意志を挫くことは出来なかった。；上るときはまだしもだが、下りるとなると百ぺんぐらい足を挫くのが落ちだろう。；以後は能動的宣伝または戦闘宣伝と呼ばれる敵軍の士気を挫く事を目的とした活動に重点が置かれるようになる。；余は挫けはしない、何者と雖も余を挫くことは出来ない。；処罰ではその精神を挫くことはできなかった。；義勇軍はルツェルン市民の決意を挫くことができなかった。；政府は分離主義者たちの意図を挫くために戦争状態を宣言し、軍部の介入を命令した。；もし彼がこの勢いを挫くようなばかであったならば、私もまたわが貴族たちのほとんど全部がそうしたように、学校からただ書物への憎悪だけを持ち帰ったことと思います。；三掛け声のその一つ、敵のかかるを挫くのそれだ!；見ただけで腰を抜かすほどの大軍が迫ってくるなら、うまくいけば闘わずして相手の戦意を挫くことも、期待していいことだ。；そして、岡村七郎兵衛が言葉を継ごうとすると、その出ばなを挫くように云った。；また、その威容により敵兵の士気を挫く効果があると認められた。</t>
        </is>
      </c>
      <c r="J2335">
        <f>HYPERLINK("https://www.weblio.jp/content/挫く", "词义详情")</f>
        <v/>
      </c>
      <c r="K2335">
        <f>HYPERLINK("https://yourei.jp/挫く", "查看例句")</f>
        <v/>
      </c>
    </row>
    <row r="2336">
      <c r="A2336" t="inlineStr">
        <is>
          <t>くじける</t>
        </is>
      </c>
      <c r="B2336" t="inlineStr">
        <is>
          <t>成功</t>
        </is>
      </c>
      <c r="C2336" t="inlineStr">
        <is>
          <t>読み方：くじける
［動カ下一］［文］くじ・く［カ下二］
１手足の関節に無理な力が加わって、関節やその周りを痛める。捻挫(ねんざ)する。「足が—・ける」
２勢いや意欲がそがれる。「気持ちが—・ける」</t>
        </is>
      </c>
      <c r="D2336" t="inlineStr">
        <is>
          <t>くじけることなく(14%)</t>
        </is>
      </c>
      <c r="E2336" t="inlineStr">
        <is>
          <t>参る；がっかりする；落胆する；屈する；弱る</t>
        </is>
      </c>
      <c r="H2336" t="n">
        <v>29</v>
      </c>
      <c r="I2336" t="inlineStr">
        <is>
          <t>しかし常にいっしょに住んでいると、いかなる力もくじけるものである。；くじけそうなのを、そうならないように努力するということもなかった。；こうまで見張られているんでは、と勇気もくじけ、前を通るのをやめた。；家族の者にあってると、秘密がもれたり、勇気がくじけたりするからだ。；その圧力に負けてしまう、そこでくじけてしまう女性は少なくないのです。；悪意に満ちたその叫びを遠くから聞くだけで、人の意志はくじけてしまう。；これを登っていくことを考えると、気がくじけてしまいそうだった。；これで敵の意志はくじけるに違いない、とアシュラムは確信していた。；みんなが困っているのに、何もできない自分にくじけそうになるパオ。；私はもう一度私の決心を新たにして、くじけないようにとお祈りをしました。；なまじ瑞枝の手紙にほだされて、勇気がくじけたのがいけなかったのだ。；そして、玄関で外へ出る恐怖にくじけそうになっていたことも、わかっていた。；ちょっとくらい困ったことがあったって、簡単にくじけやしないよな。；これが運命と信じこんでいるので、かなりの失敗にもくじけない。；美緒の前で、くじけたようすを見せることはできなかったのだから。；私も気がくじけて手紙をかくのも物憂くて、こんな御無沙汰になりました。；その時間があまり長いので、わたしの希望はくじけそうになった。；さらに二敗三敗してもくじけぬ神経というのも、常人ではないであろう。；一歩でも後戻りすれば、意志の力がくじけてしまうように思われたからだ。；元々嫌いな武芸はもうそれだけですっかり気がくじけてその後は勉強をせなくなった。；シャーミアンは早くもくじけそうになったのだが、少女は怯む気配もない。；そのルーヴルが一日で見つくせるわけがないと聞いて、気がくじけた。；そのあまりにイノセントな様子に思わず弱気な心がくじけそうになる。；私は彼女の家から出て来るときには、気持がくじけ砕けがっかりしています。；心細い困難な旅で、一行のうちの元気な者も次第に気力がくじけてきました。；くじけそうになったとき、どれだけの力をいただいたか分かりません。；なんとも言いはしなかったが、気がくじけてしまってる様子だった。；もしもあの美しい目を私に向けたら、勇気がくじけたにちがいない。；これですっかり彼らの勇気はくじけ、退却して遠くの丘へ引きあげた。</t>
        </is>
      </c>
      <c r="J2336">
        <f>HYPERLINK("https://www.weblio.jp/content/くじける", "词义详情")</f>
        <v/>
      </c>
      <c r="K2336">
        <f>HYPERLINK("https://yourei.jp/くじける", "查看例句")</f>
        <v/>
      </c>
    </row>
    <row r="2337">
      <c r="A2337" t="inlineStr">
        <is>
          <t>くじ引き</t>
        </is>
      </c>
      <c r="B2337" t="inlineStr">
        <is>
          <t>成功</t>
        </is>
      </c>
      <c r="C2337" t="inlineStr">
        <is>
          <t>読み方：くじびき
くじを引くこと。くじで物事を決めること。抽籤(ちゅうせん)。</t>
        </is>
      </c>
      <c r="D2337" t="inlineStr">
        <is>
          <t>くじ引き等</t>
        </is>
      </c>
      <c r="E2337" t="inlineStr">
        <is>
          <t>宝くじ；富くじ</t>
        </is>
      </c>
      <c r="H2337" t="n">
        <v>29</v>
      </c>
      <c r="I2337" t="inlineStr">
        <is>
          <t>が、それをやってはくじ引きで席を決めた意味がなくなってしまうわけで。；事前に各グループのスタッフが代表でくじ引きをし、出演順が決められた。；唯一指名した巨人が、くじ引き抽選なしに桑田を獲得した格好となった。；くじ引きの結果、この二人が最初に基地周辺の警備を担当することになった。；また入学者の半分を学力考査、残りの半分をくじ引きで選ぶ学校もある。；この時業者は60軒あり、場所取りはくじ引きの上決められたという。；このため、通常実施される管轄地域に関するくじ引きは実施されなかった。；二人はくじ引きをし、岩間が江戸に出て兎角に挑戦することになった。；どのクラスがどこで降りるかは各クラスの代表者がくじ引きで決める。；馬券購入後にくじ引きで自分の馬券の番号に対応する馬が決まるのである。；諸星さん、あなたが調理を担当することは、くじ引きで決まったことよ。；東大総長選では、もう一人の候補と同票数となり、くじ引きで当選した。；ファミコンがくじ引きで当たったのと時を同じくして彼は漫画を描くようになっていた。；そのため、どちらを上位当選者とするかはくじ引きで決定した。；通学する学校はくじ引きで決められ、バス通学は幼稚園から開始される。；みんなで一列になり、店のマスターが用意したくじ引きを引いて行く。；同じ馬に複数の投票があった場合はくじ引きで決める。；どちらがどの分割部をとるかはくじ引きで決められた。；くじ引きタイプの商品として6枚入りの袋が10束になり販売されていた。；プロイセンでは、徴兵される者を選ぶために農民たちが村でくじ引きを行った。；執政官の管轄地域は、くじ引きではなく元老院特別令で決定されたと思われる。；そして面倒な委員にされることもなく、くじ引きで得た席も窓際の前から三番目。；従って、通常とは異なって担当戦線のくじ引きは行われなかった。；その後のパーティーのシーンでは名前も登場せず、くじ引きに当たったかどうかも不明。；の審理権を庶民院からくじ引きで選出される議員委員会に移した。；翌1984年にくじ引きで2人が開業し、坪は1985年より開業した。；くじ引きでしぶしぶ担任になっても、いないことにして過ごしたい。；また、本来はフリートークもくじ引きをして行われるものである。；通常は要人の個人的な選択で選ばれるが、たまにくじ引きで選ばれることもあった。</t>
        </is>
      </c>
      <c r="J2337">
        <f>HYPERLINK("https://www.weblio.jp/content/くじ引き", "词义详情")</f>
        <v/>
      </c>
      <c r="K2337">
        <f>HYPERLINK("https://yourei.jp/くじ引き", "查看例句")</f>
        <v/>
      </c>
    </row>
    <row r="2338">
      <c r="A2338" t="inlineStr">
        <is>
          <t>くしゃくしゃ</t>
        </is>
      </c>
      <c r="B2338" t="inlineStr">
        <is>
          <t>成功</t>
        </is>
      </c>
      <c r="C2338" t="inlineStr">
        <is>
          <t>［副］(スル)
１紙・布などを丸めたりもんだりして、しわだらけにするさま。「書き損じた便箋(びんせん)を—（と）丸める」
２いらいらして気分が晴れないさま。「雨続きで気分が—する」
３整っていないさま。雑然としているさま。
「—した目鼻立も」〈秋声・黴〉
４音を立てて物をかむさま。「ガムを—（と）かむ」
［形動］
１1に同じ。「着物が—になる」
２顔などがしわだらけなさま。「顔を—にして泣く」
３形がひどく乱れているさま。「—な髪の毛」
［アクセント］はクシャクシャ、はクシャクシャ。</t>
        </is>
      </c>
      <c r="D2338" t="inlineStr">
        <is>
          <t>くしゃくしゃに丸め(5%)；くしゃくしゃに乱れ；くしゃくしゃに歪ん；くしゃくしゃにまるめ；くしゃくしゃに歪め</t>
        </is>
      </c>
      <c r="E2338" t="inlineStr">
        <is>
          <t>皺くちゃ；くちゃくちゃ；皺苦茶</t>
        </is>
      </c>
      <c r="F2338" t="inlineStr">
        <is>
          <t>髪をくしゃくしゃ；頭をくしゃくしゃ；髪の毛をくしゃくしゃ；ポケットからくしゃくしゃ；急にくしゃくしゃ</t>
        </is>
      </c>
      <c r="H2338" t="n">
        <v>29</v>
      </c>
      <c r="I2338" t="inlineStr">
        <is>
          <t>そして発見されたときには実際そうしてくしゃくしゃにしてあったのさ。；なぜか彼女は顔をくしゃくしゃにして、いまにも泣き出しそうに見えた。；押し開けた扉の向こうに、顔をくしゃくしゃにしたセシルが立っていた。；それから急に眼の辺りをくしゃくしゃにさせたかと思うと、泣きはじめた。；父親は手袋みたいにくしゃくしゃになって二つ返事で乗ってきたのです。；彼はくしゃくしゃの目に、好奇心を満々と浮かべて僕をじっと見ていた。；続いて修三が顔をくしゃくしゃにして続き、上下の人間が入り混じった。；あなたがそんなこと聞かすものだから、気持がくしゃくしゃしちゃった。；携帯電話を返すと、お姉ちゃんはぼくの頭をくしゃくしゃにして笑った。；くしゃくしゃになりそうなその顔を見ながら、首相は静かにいった。；顔をくしゃくしゃにしてなおも走り寄ってくる男の子に声をかけた。；やがて手にとりだしたのは、くしゃくしゃになった青い封筒であった。；息を詰め、顔をくしゃくしゃに歪め、それでも声は上げずに泣いていた。；白くなった髪はくしゃくしゃで、やつれた顔には深い皺が刻まれている。；しかし秀彦は何が気に入らないのか顔をくしゃくしゃにして激しく泣いた。；くしゃくしゃの制服を着て泣く彼女はとても小さく、とても幼く見えた。；ポケットの中には、くしゃくしゃになったはがきが一まいはいっていた。；しかし、ベッドの裾はくしゃくしゃに乱れているだけで、猫の姿はない。；僕は思わず彼女の髪に指を差し入れ、くしゃくしゃと掻き混ぜてしまう。；作りかけのパッチワークは裁縫箱の中でくしゃくしゃに丸められていた。；どうやら彼の身体の大きさとくしゃくしゃした耳に興味を持っているらしかった。；美しい流れるような髪は、くしゃくしゃになって、彼女の額に垂れていた。；かつてこの同じ木の下に座って髪をくしゃくしゃにしていた人だ。；顔をくしゃくしゃにするような印象的な笑い方をする人だ。；僕は袂の底から、くしゃくしゃになった煙草を一本出して火を点じた。；顔をくしゃくしゃにし、泣いているような笑っているような表情を浮かべる。；浴槽の中まで持ちこんで、くしゃくしゃに握って丸い玉にしてしまった。；濃い色の髪は眠っているあいだにくしゃくしゃになっているが、それでも魅力的だ。；くしゃくしゃになっていた記憶の断片が一つ一つ広げられていく。</t>
        </is>
      </c>
      <c r="J2338">
        <f>HYPERLINK("https://www.weblio.jp/content/くしゃくしゃ", "词义详情")</f>
        <v/>
      </c>
      <c r="K2338">
        <f>HYPERLINK("https://yourei.jp/くしゃくしゃ", "查看例句")</f>
        <v/>
      </c>
    </row>
    <row r="2339">
      <c r="A2339" t="inlineStr">
        <is>
          <t>くしゃみ</t>
        </is>
      </c>
      <c r="B2339" t="inlineStr">
        <is>
          <t>成功</t>
        </is>
      </c>
      <c r="C2339" t="inlineStr">
        <is>
          <t>読み方：くしゃみ
《「くさめ」の音変化》鼻の粘膜が刺激されて起こる、反射的に激しく息を吐き出す生理現象。《季冬》</t>
        </is>
      </c>
      <c r="D2339" t="inlineStr">
        <is>
          <t>くしゃみ一つ</t>
        </is>
      </c>
      <c r="F2339" t="inlineStr">
        <is>
          <t>小さなくしゃみ；小さくくしゃみ；盛大なくしゃみ；くしゃみなんか</t>
        </is>
      </c>
      <c r="G2339" t="inlineStr">
        <is>
          <t>くしゃみをしたら；くしゃみ講釈</t>
        </is>
      </c>
      <c r="H2339" t="n">
        <v>29</v>
      </c>
      <c r="I2339" t="inlineStr">
        <is>
          <t>古賀さんの歌を聞きながら桜を見ていると、くしゃみと涙が出てきた。；自分のくしゃみで目を覚まして、また一日が始まったのだと認識した。；足元ばかり見ていたら、頭の上からくしゅんと猫のくしゃみが聞こえた。；そのうち一匹が鼻の頭にとまり、彼は思わずくしゃみをしてしまった。；実のところ、ドラゴンがくしゃみをするのを聞いた者はいるだろうか?；コソコソ動いているような音に続き、くしゃみが出たから疑いようがない。；くしゃみしながら彼は、彼の傍で心配そうに彼を見つめている花子を思った。；すると命が宿り女性はくしゃみをして、マオリの始祖となったとされる。；悪魔や神が関係しているくしゃみだから、これは西洋の話である。；くしゃみが出ると、誰かここにいない人が噂をしているのである。；戸口あたりにいた人たちが、いっせいにくしゃみをはじめたからでした。；また、くしゃみでも人間やテーブル等を吹き飛ばしてしまう威力がある。；みなさんは瞬やくしゃみをしないで目をまんまろに開いて見ていて下さい。；みなさんは瞬やくしゃみをしないで目をまんまろに開いて見てゐて下さい。；その子が万一いまにもくしゃみをしようものなら、お命にかかわるだろう。；リチアスなど、やつの許可がなければくしゃみ一つできんような状態だ。；フロウバックは排尿の際やくしゃみをして力んだ拍子などにも出てくる。；くしゃみをしたひとが健康であるようにとの発言である。；そう思ったときくしゃみが出て、ちょっとだけ頭がはっきりした。；かれは猛烈なくしゃみをして運転手を睨みつけると慌てて建物の中へ姿を消した。；いつのまにかくしゃみが止まったのも忘れて、わたしはまた泣きたくなった。；ああそういうことなら、確かに、面と向かってくしゃみはあまりしないものだ。；流派によっては男が最後に「くっさめ」と大きなくしゃみをして終わる。；ロレンスがそんなことを思っていると、ホロは大きくくしゃみをした。；このように、くしゃみ後の呪文はよくある事だったと推定される。；そのとたん、犬の鼻をくすぐりでもしたのでしょう、犬がくしゃみをしました。；俺あ営庭の真中で大けなくしゃみ一つしただけで、かえってきたったがな。；ディーノの肩の上に乗っていた小さな飛竜が、ひとつ大きなくしゃみをした。；口の中と目玉はひっくりかえりそうになってくしゃみが出はじめた。</t>
        </is>
      </c>
      <c r="J2339">
        <f>HYPERLINK("https://www.weblio.jp/content/くしゃみ", "词义详情")</f>
        <v/>
      </c>
      <c r="K2339">
        <f>HYPERLINK("https://yourei.jp/くしゃみ", "查看例句")</f>
        <v/>
      </c>
    </row>
    <row r="2340">
      <c r="A2340" t="inlineStr">
        <is>
          <t>苦渋</t>
        </is>
      </c>
      <c r="B2340" t="inlineStr">
        <is>
          <t>成功</t>
        </is>
      </c>
      <c r="C2340" t="inlineStr">
        <is>
          <t>読み方：くじゅう
［名・形動］
１にがくてしぶいこと。
２苦しみ悩むこと。また、そのさま。「—を味わう」「—の色を浮かべる」
「彼は—な表情のままじっと煙草を吸っていたが」〈横光・上海〉</t>
        </is>
      </c>
      <c r="D2340" t="inlineStr">
        <is>
          <t>苦痛；苦しみ；悩み；苦悩；苦衷</t>
        </is>
      </c>
      <c r="H2340" t="n">
        <v>29</v>
      </c>
      <c r="I2340" t="inlineStr">
        <is>
          <t>ずっとあとの巻に見る苦渋や推敲のあとが感じられない気がするのだが。；それはこの家の人間たちにとって苦渋の選択であることに違いあるまい。；私が私でしかないことの苦渋は、そして、そのたびに私にかえってきた。；その顔が苦渋に染まっているのを見るのは非常に不思議な気分になる。；私の背中にのせられて運ばれながら先生は苦渋に満ちた溜息をついた。；それでなくても苦渋な顔が、いまは形容しようのない顔になっている。；しかしそれは苦渋や不安や恐怖の感情でいっぱいになった一歩だ。；人間の人生や選択には、常に苦渋やストレスがつきものではあるんです。；といいたいところだけどのりちゃんの顔が苦渋に満ちているのはなぜだろう。；彼女は、息子の言葉に含まれた寂しさと苦渋に、胸がどきどきし始めた。；もっとも苦渋の意を表に出したのは、ジェスター公爵に他ならなかった。；このような苦渋は誰でも大なり小なり経験していることである。；「ある言いがかりの的にされたんですよ」かれは苦渋に満ちた声で言った。；私はあの苦渋にみちた自責だけは今もなほ歴々と思ひ出すことができる。；大学は学生生活の質よりも大学の運営維持を取った形の苦渋の決断になった。；彼の表情は、それはもう悔しそうな、抑えきれない苦渋に満ちていた。；その口調には苦渋が滲んでいたが、司教は気づいたふうではなかった。；俳優出身の大統領の苦渋に満ちた顔を、おれはたやすく想像できた。；しかしそれは苦渋や不安や恐怖の感情で一ぱいになった一歩だ。；この提供期間の延長はマイクロソフト社にとっては苦渋の選択である。；然し、この淋しい解釈は明らかに私を一種の苦渋と圧迫感へ誘ひ込んだ。；わずかな苦渋が見え隠れするが、それで意見まで曲がるようには思えない。；健康問題と経済事情を考慮しての苦渋の決断だったのだろう。；大き目のフロックコートに首を埋め、苦渋の表情で恐るべき敵を迎える。；そして父は吉住の言葉に反応していちいち苦渋の声を上げていた。；母親だけの家庭に育てられた八木沼浩平は子供の頃から苦渋を嘗めて育った。；十二国が一つ慶国は王のいない苦渋の時を経て新たな王を得た。；それは彼にしてみれば苦渋の決断だったが、他に手がなかった。；衝撃的な報告をしたあとで、藤山は苦渋に満ちた表情で言った。</t>
        </is>
      </c>
      <c r="J2340">
        <f>HYPERLINK("https://www.weblio.jp/content/苦渋", "词义详情")</f>
        <v/>
      </c>
      <c r="K2340">
        <f>HYPERLINK("https://yourei.jp/苦渋", "查看例句")</f>
        <v/>
      </c>
    </row>
    <row r="2341">
      <c r="A2341" t="inlineStr">
        <is>
          <t>駆除</t>
        </is>
      </c>
      <c r="B2341" t="inlineStr">
        <is>
          <t>成功</t>
        </is>
      </c>
      <c r="C2341" t="inlineStr">
        <is>
          <t>読み方：くじょ
［名］(スル)害を与えるものを追い払うこと。「害虫を—する」「コンピューターウイルスを—する」</t>
        </is>
      </c>
      <c r="D2341" t="inlineStr">
        <is>
          <t>駆除する(14%)；駆除される(3%)；駆除剤；駆除法；駆除しよ</t>
        </is>
      </c>
      <c r="F2341" t="inlineStr">
        <is>
          <t>駆除などにより生息；ネズミ駆除；有害鳥獣駆除；駆除作業；回虫駆除</t>
        </is>
      </c>
      <c r="G2341" t="inlineStr">
        <is>
          <t>駆除業者；駆除作戦</t>
        </is>
      </c>
      <c r="H2341" t="n">
        <v>29</v>
      </c>
      <c r="I2341" t="inlineStr">
        <is>
          <t>また、腸内寄生虫を駆除する効果があることは古くから知られています。；切れた根からでも再生が可能で繁殖力が強く、駆除が困難な雑草である。；かつては多数の猫が生息していたが、2009年に駆除され減少している。；もしこれが駆除されないと、最悪の場合家を出なければいけない事もある。；石垣島で駆除されたイタチザメは焼却処分されており利用されていない。；モグラは害虫を駆除するから人間の為になる動物だと言われているね。；かつては水田雑草として駆除の対象であったが、現在は見るのも難しい。；私はむしろ、この世から害虫を駆除したようなすがすがしさをおぼえた。；これらの種は有害物と見なされ、駆除するための様々な手段が採られた。；それを完全に駆除するのに、月期のほとんど大部分を費やしたものだ。；船には、ネズミの駆除のために猫を飼うことが古代より行われてきた。；こうして、ヒアリ駆除計画がはじまったのは、一九五八年のことである。；このため、現在は国の補助を受けてエイの駆除などの対策が行われている。；スパイウェアを発見・駆除するものはアンチスパイウェア等と呼ばれる。；かかる虫をさえも駆除しないという、その怠慢さが気になるのである。；だがブラックバスの増加が懸念されており、近年では駆除も行われている。；そのため直播き栽培を採用する地域では歴史的に排除・駆除の対象となっている。；ペルセポリス周辺の地域では、ヘビ類その他の毒のある動物が駆除された。；また、経済や自然に大きな影響を与える外来種も駆除が強く求められている。；悪の怪獣であっても駆除されることは稀でほとんどが怪獣島に収容されている。；さらに害虫を手作業で駆除するなどの毎日の手入れも相当な労力だった。；さらにこの変化をネズミ駆除の成功によるとすることはできない。；現在も外来種の駆除や拡散を防ぐための各種の対策が継続して進められている。；当時の記録では、駆除のため捕獲した数だけで360億匹を超えたという。；特定外来生物の指定を受けてからは駆除が行われている例もある。；サン・ニコラス島にもかつて野猫がいたが2011年に駆除が行われた。；駆除の対象とすべきかどうかには、慎重な判断が必要である。；東日本では鉄砲を用いた害獣駆除を目的とした狩猟が実施されていた。；かつての書物にはその駆除法が記されたものもあった。</t>
        </is>
      </c>
      <c r="J2341">
        <f>HYPERLINK("https://www.weblio.jp/content/駆除", "词义详情")</f>
        <v/>
      </c>
      <c r="K2341">
        <f>HYPERLINK("https://yourei.jp/駆除", "查看例句")</f>
        <v/>
      </c>
    </row>
    <row r="2342">
      <c r="A2342" t="inlineStr">
        <is>
          <t>苦情</t>
        </is>
      </c>
      <c r="B2342" t="inlineStr">
        <is>
          <t>成功</t>
        </is>
      </c>
      <c r="C2342" t="inlineStr">
        <is>
          <t>読み方：くじょう
１他から害や不利益などをこうむっていることに対する不平・不満。また、それを表した言葉。「—を言う」「—が殺到する」
２苦しい事情。
「或は関東の—を演(の)べ」〈染崎延房・近世紀聞〉</t>
        </is>
      </c>
      <c r="D2342" t="inlineStr">
        <is>
          <t>苦情が寄せられ(3%)；苦情をいわ；苦情が多く；苦情件数；苦情申し立て</t>
        </is>
      </c>
      <c r="E2342" t="inlineStr">
        <is>
          <t>文句；不平；不服；怨み；クレーム</t>
        </is>
      </c>
      <c r="F2342" t="inlineStr">
        <is>
          <t>苦情おばさん</t>
        </is>
      </c>
      <c r="G2342" t="inlineStr">
        <is>
          <t>苦情相談</t>
        </is>
      </c>
      <c r="H2342" t="n">
        <v>29</v>
      </c>
      <c r="I2342" t="inlineStr">
        <is>
          <t>また、他の生徒達も同少年と同じくいじめられていたようで苦情も来た。；その場にいた他の2人の警官には過去に苦情を受けた記録はなかった。；番組放送時から男女問わず視聴者からの苦情も非常に多く寄せられていた。；特定の著名なケースのメディア報道以外に苦情と執行の公的記録は無い。；また番組に寄せられた苦情の手紙の一部を持参して訪れるケースもあった。；規定以外の村の費目の割当などに、最先に苦情を言出すのは此人に限る。；雨天の際は運休としたが、運転日の途中から雨になった日には苦情が出た。；また、腐敗している死体が自宅から見えるという苦情も多く寄せられた。；しかし当初はジーパン姿での出演には苦情の方も多くあったという。；しかしこの段階になると富士市の住民より苦情が相次ぐようになっていた。；協力要請と情報が不足していることについての一般からの多くの苦情があった。；発声練習は欠かさないらしく、その声は近所から苦情が来るほど大きい。；コロナ対策などでわかりきった内容のことを毎日放送され苦情が来る例もある。；そのため、ハンガリーとイタリアのチームから大会側に苦情が寄せられた。；これは海軍側から嫌がらせを止めるように苦情が来るまで続けられた。；これらの点が問題視され、国外市場で多数の苦情が寄せられる事態となっていた。；Ofcomは苦情で取り上げられた問題が調査に値しないと判断・決定した。；この像が公開された時、市民からは多くの苦情が寄せられた。；なおこの組織が設立されるまでは苦情の申し立てに先の言語を使用することはできない。；騒音や安全性の苦情が寄せられたために2週間後には舗装しなおされた。；これに対し、銅山側は登記日が同一ではないと困ると苦情を申し立てた。；我々の仕事の中心は、客から寄せられた商品の苦情に対する応対です。；規定以外の村の費目の割當などに、最先に苦情を言ひ出すのは此人に限る。；公共交通機関を利用する場合、大声の私語や席取りなどの苦情が多い。；しかし不思議なことに女子からの苦情はほとんどなく、むしろ彼を支持する声の方が多い。；ムンバイ警察は以前から住民に警告し始めていたが、苦情は出されなかった。；ただ、苦情を受けた学校もそれにしっかりと対応し、現在は落ち着いている。；自治体への苦情が寄せられているが対応は役所によりまちまちである。；大部分の苦情は、製品/サービスおよび配送問題に関してのものだった。</t>
        </is>
      </c>
      <c r="J2342">
        <f>HYPERLINK("https://www.weblio.jp/content/苦情", "词义详情")</f>
        <v/>
      </c>
      <c r="K2342">
        <f>HYPERLINK("https://yourei.jp/苦情", "查看例句")</f>
        <v/>
      </c>
    </row>
    <row r="2343">
      <c r="A2343" t="inlineStr">
        <is>
          <t>苦心</t>
        </is>
      </c>
      <c r="B2343" t="inlineStr">
        <is>
          <t>成功</t>
        </is>
      </c>
      <c r="C2343" t="inlineStr">
        <is>
          <t>読み方：くしん
［名］(スル)物事を成し遂げようといろいろ試みたり考えたりして苦労すること。「—に—を重ねる」「—が実る」「—して作る」</t>
        </is>
      </c>
      <c r="D2343" t="inlineStr">
        <is>
          <t>苦心談(2%)；苦心さんたん；苦心惨澹；苦心経営；苦心惨憺</t>
        </is>
      </c>
      <c r="E2343" t="inlineStr">
        <is>
          <t>使用；適用；要請；苦労；応用</t>
        </is>
      </c>
      <c r="F2343" t="inlineStr">
        <is>
          <t>かなり苦心；御苦心；たる苦心；ご苦心；多年苦心</t>
        </is>
      </c>
      <c r="H2343" t="n">
        <v>29</v>
      </c>
      <c r="I2343" t="inlineStr">
        <is>
          <t>娘達にも自分と同じように質の高い教育を身に付けさせることに苦心した。；それがわかるようにするところに作者の人知れぬ苦心があるのではないか。；ネロは苦心して描いた大事な絵を提出した公会堂に向かって歩きました。；当初は故障が多く、関係者が苦心したことは、このタイプも同様である。；のちの取材で、もっとも製作に苦心した水槽だったと職員は述べている。；右の歌も同じく心の世界を詠っているが、表現はさらに純化されている。；あれほどの苦心と喜びとで定めた住居は、もう狭く醜いものに思われた。；工場の技師長の今井田はこゝに目をつけて必死に苦心しているそうです。；柱をもつて人物を切るといつた絵画上の苦心の傾向に漸次移動していつた。；それを見て居なければ成らぬお品の苦心は容易なものではなかつたのである。；そいつは、何ぜ、こうまで苦心をして君を逃亡させなければならないのか。；それから又石の牛の額へ銭を投げてのせることに苦心したことも思ひ出した。；私の母は何処までも知らぬ分で其金も私の苦心から出たことにした。；それから又石の牛の額へ銭を投げてのせることに苦心したことも思い出した。；彼は口も使って苦心の結果、その手紙というのを開くことに成功した。；こうした考えにいたく心さいなまれたある晩のこと、彼女は独り言した。；苦心しながら二人で作り上げた曲「愛に戻る道」はコーラに採用された。；長い間いろいろと苦心していた雑誌の保証金が、ようやく手にはいった。；だから、一つ又一つと苦心をして新手の方法を考えなければならない。；町方でも苦心して捕えようとしたが、捕えることが出来なかったそうだ。；こうした折衷的立場をとることによって党の分裂を回避しようと苦心した。；よほどの苦心をして何かから搾り取って寄せ集めでもしたものに違いない。；当時少しずつ流行して来た蘭学に趣味を持ち、苦心して読みにかかっていた。；書いてるうちに脳溢血を起こしかけたほど苦心を重ねたものだった。；しかも芸術家の人知れない苦心などゝいふものは商人にとつては関心事ではない。；甥がいくら苦心しても、人工の雨では遂に彼を呼ぶことが能なくなった。；だが捕物小説を書くのが楽しいといっても、作者に苦心はないわけではない。；白鳥会以来の苦心と努力とは、いったい何を目あてにしたものだったのだ。；この場になって、その間の父の苦心というものを考えてみないではなかった。</t>
        </is>
      </c>
      <c r="J2343">
        <f>HYPERLINK("https://www.weblio.jp/content/苦心", "词义详情")</f>
        <v/>
      </c>
      <c r="K2343">
        <f>HYPERLINK("https://yourei.jp/苦心", "查看例句")</f>
        <v/>
      </c>
    </row>
    <row r="2344">
      <c r="A2344" t="inlineStr">
        <is>
          <t>屑</t>
        </is>
      </c>
      <c r="B2344" t="inlineStr">
        <is>
          <t>成功</t>
        </is>
      </c>
      <c r="C2344" t="inlineStr">
        <is>
          <t>読み方：くず
１物のかけらや切れ端などで役に立たないもの。「糸—」「裁ち—」
２いい部分を取ったあとの残りかす。「—米」「売れ残りの—」
３役に立たない人のたとえ。「人間の—」
→塵(ごみ)［用法］</t>
        </is>
      </c>
      <c r="D2344" t="inlineStr">
        <is>
          <t>屑籠(9%)；屑入れ；屑箱；屑みたい；屑拾い</t>
        </is>
      </c>
      <c r="E2344" t="inlineStr">
        <is>
          <t>破片；塵；瓦礫；ごみ；スクラップ</t>
        </is>
      </c>
      <c r="F2344" t="inlineStr">
        <is>
          <t>岩屑；藁屑；糸屑；野菜屑；綿屑</t>
        </is>
      </c>
      <c r="G2344" t="inlineStr">
        <is>
          <t>屑鉄；屑物；屑かご；屑肉；屑米</t>
        </is>
      </c>
      <c r="H2344" t="n">
        <v>29</v>
      </c>
      <c r="I2344" t="inlineStr">
        <is>
          <t>わたしのところへくる頭のおかしい手紙は全部、その屑籠へ入れている。；それは火と麻屑とを一緒に置くようなもので、危険だからと言うのです。；妻が時々パンの屑を芝生にまいてやるので、それを食べに来るのである。；屑のようなものだけれど、こうして日本でみるとなつかしいもんですな。；ほかの三人は顔をうつぶせにして散らかったごみ屑のなかに倒れていた。；でも女性を人間として扱わないような、あんな人間は、人間の屑ですわ。；家へ帰ってもなお心の底へ木炭とパンの屑とが溜っている如く感じる。；いろいろな関係者から手渡されたものや、屑籠から拾い集めたものです。；しかし私は、これが決して単なる屑法案であるとは思っていないのである。；それとおなじように、あなたがたもいずれは屑の山へと捨てられるだろう。；しかもより高級な材料へのシフトで毛屑は大きく価値を下げていた。；それは三人の門番の女と、籠を負い鉤杖を持った屑拾いの女とであった。；そして、何かをおおっているらしい中の葉屑を一トつかみ取って捨てた。；雨が降ると、溝の中に藁屑を浮かべて、それが流れてゆくのを見ていた。；やがて二匹の鼠が用心深く出て来て、床に落ちているパン屑を食べ始めた。；女中は料理場で捨てる食ものゝ屑に鴎が寄って来るのだと言いました。；ほら、溝のなかの台所屑だって、この光のなかでは美しく見えるだろう。；なんにも出来ないで、不平ばかり並べてる奴は、人間の屑だと思つてる。；あたりは赤と白との水引の屑が茄子の茎人蔘の葉の中にちらばっている。；岩屑を積んでつくった障壁を迂回したとき、一瞬何かが光るのが見えた。；指先にあった赤い毛糸の糸屑だと思っていたものは、切り傷の痕だった。；三人は、パン屑のまじった白砂糖を捨てずに皿に取っておくようになった。；そしてさらに眼を下に落とすと、屑籠の中の赤いものが眼に付いた。；エッゲ山地の尾根に石や岩屑を多く含む砂状のポドゾルが広がっている。；お島は糸屑を払いおとして、裏の方にある紙漉場の方へ急いで出ていった。；私はぼうっとなって寝台の上のガラス屑みたいなものの小山をみつめた。；こぼれ屑を受けるために、手のひらをすぼめて顎の下に当てがっている。；警察の連中が来る前に、床のカンナ屑を片付けておいたほうがいいぜ。；残った屑で長いロープを作り、ふたたび夜になった時には仕事は完成していた。</t>
        </is>
      </c>
      <c r="J2344">
        <f>HYPERLINK("https://www.weblio.jp/content/屑", "词义详情")</f>
        <v/>
      </c>
      <c r="K2344">
        <f>HYPERLINK("https://yourei.jp/屑", "查看例句")</f>
        <v/>
      </c>
    </row>
    <row r="2345">
      <c r="A2345" t="inlineStr">
        <is>
          <t>ぐずぐず</t>
        </is>
      </c>
      <c r="B2345" t="inlineStr">
        <is>
          <t>成功</t>
        </is>
      </c>
      <c r="C2345" t="inlineStr">
        <is>
          <t>読み方：ぐずぐず
［副］(スル)
１のろのろといたずらに時間を費やすさま。「借金の返済を—（と）引き延ばす」
２ぶつぶつ不平を言うさま。また、幼児がむずかるさま。「いつまでも—言うな」
３天候がはっきりしないさま。「梅雨時の—した天気」
４物の煮えたつ音。また、そのさまを表す語。
「鍋の—と濁った声を立てて居る間」〈長塚・土〉
［形動］
１ゆるんでしまりのないさま。また、しまりがなくなり崩れるさま。「帯が—になる」「豆腐が—になる」
２態度がはっきりしないさま。また、物事にしまりがないさま。
「其(その)夜代助は平岡と遂に—で分れた」〈漱石・それから〉
[補説] 「愚図愚図」は当て字。［アクセント］はグズグズ、はグズグズ。</t>
        </is>
      </c>
      <c r="D2345" t="inlineStr">
        <is>
          <t>ぐずぐずしてる(4%)；ぐずぐずしていれ；ぐずぐず言う；ぐずぐずいう；ぐずぐずしてはいなかった</t>
        </is>
      </c>
      <c r="E2345" t="inlineStr">
        <is>
          <t>ゆっくり；徐々に；そろそろ；躊躇；ゆったり</t>
        </is>
      </c>
      <c r="F2345" t="inlineStr">
        <is>
          <t>以上ぐずぐず；もうぐずぐず；ここでぐずぐず；一刻もぐずぐず；まだぐずぐず</t>
        </is>
      </c>
      <c r="H2345" t="n">
        <v>29</v>
      </c>
      <c r="I2345" t="inlineStr">
        <is>
          <t>あなたから金を借りている人のようにあたしはぐずぐずしてはいません。；こんな事を言ってぐずぐずしている中に時間がたってしまうじゃないか。；そして彼は何が行われるのか少しでも聞こうと思ってぐずぐずしていた。；僕もぐずぐずしていれば、今ごろはあんな高いところを飛んでいたのだ。；すでに春だというのに、まだわれわれは冬の中にいてぐずぐずしている。；ぐずぐずしていると、みんながぼくを残して行ってしまうかもしれない。；こんなところでぐずぐずしていたら、確実に自殺することになるだろう。；が、それが分らないといって、ぐずぐずしていられないこの場であった。；ほかの部屋のほうで、二人は、ほとんど一時間ほどもぐずぐずしていた。；が、何しろこの上ぐずぐずしていては大変なことになるかもしれません。；ぐずぐずしているから、また宇宙艇が三隻ばかり煙になってしまったぞ。；それで郷里の人がその青年をぐずぐずと呼んでいたのは正解であります。；ぐずぐずしていたら、どこへ行っても金の工面がつかなくなってしまう。；會社へなンかぐずぐず行つてゐるより、早く出て行きたいと思ひますよ。；ぐずぐずしているうちに、とんでもないことにならんとも限らんからね。；いつまでもベッドの中でぐずぐずして、会社に行く準備をしたがらない。；彼はぐずぐず挨拶を長引かし、明日また来るように言われるのを待った。；事態はまだそれほど悪化してはいないようだが、ぐずぐずしてはいられぬ。；こんなところにぐずぐずして生きながら灰になるのをまっているのかい。；すぐに出掛けて行ってもよいのですがなんだかぐずぐずして居りました。；私もそれをおくらせるほど、ぐずぐずしているわけでもありませんので。；それからぐずぐずする二人を追いたてるように、二階の教室へ行かせた。；そういう点でこの人は常に率直で、そしてぐずぐず考えなかったんです。；こんな事をいってぐずぐずしていてはおっ母さんが待遠に思うでしょう。；私は鏡のところにほんのちょっとの間しかぐずぐずしていなかった。；もはやこれ以上ぐずぐず考えてはいられないほど有力な証拠だった。；だいぶ時間をむだにしたから、これ以上ぐずぐずしてはいられないのだ。；わけは分からないが、ぐずぐずしていては、いいつけに背くことになる。；私は、自分が何をしたいのかわからず、精神がぐずぐずになっていました。</t>
        </is>
      </c>
      <c r="J2345">
        <f>HYPERLINK("https://www.weblio.jp/content/ぐずぐず", "词义详情")</f>
        <v/>
      </c>
      <c r="K2345">
        <f>HYPERLINK("https://yourei.jp/ぐずぐず", "查看例句")</f>
        <v/>
      </c>
    </row>
    <row r="2346">
      <c r="A2346" t="inlineStr">
        <is>
          <t>くすぐったい</t>
        </is>
      </c>
      <c r="B2346" t="inlineStr">
        <is>
          <t>成功</t>
        </is>
      </c>
      <c r="C2346" t="inlineStr">
        <is>
          <t>読み方：くすぐったい
［形］［文］くすぐった・し［ク］
１くすぐられるなど、皮膚が刺激を受けて、むずむずした感じがするさま。こそばゆい。「背中が—・い」
２なんとなく恥ずかしいような気持ちがするさま。きまりが悪い。「そんなにほめられると—・い」
[派生]くすぐったがる［動ラ五］くすぐったげ［形動］くすぐったさ［名］</t>
        </is>
      </c>
      <c r="D2346" t="inlineStr">
        <is>
          <t>くすぐったいよう(22%)；くすぐったい思い(4%)；くすぐったい感じ(3%)；くすぐったい気持(3%)；くすぐったい感触</t>
        </is>
      </c>
      <c r="E2346" t="inlineStr">
        <is>
          <t>不安；胸騒ぎ；疑懼；不安心；疑惧</t>
        </is>
      </c>
      <c r="F2346" t="inlineStr">
        <is>
          <t>ちょっとくすぐったい；妙にくすぐったい；変にくすぐったい；くすぐったいような気持ち</t>
        </is>
      </c>
      <c r="H2346" t="n">
        <v>29</v>
      </c>
      <c r="I2346" t="inlineStr">
        <is>
          <t>胸の底で花の蕾がほころぶみたいにその辺りがくすぐったくなってくる。；時々寝言で自分の名前を呼ばれるたびに、くすぐったい気持ちになった。；千世子は何となくくすぐったい様な気持がしながらその話をきいて居た。；感覚はないのだけど、その動き方だけでなんだかくすぐったくなった。；素っ気ない言葉がなぜかくすぐったくて、私は一人でにやにやしていた。；我々は我々の皮膚に、鞭の打撃をくすぐったいと思わせることができるか。；まだ十代の若い二人が、肩を寄せ合って、くすぐったいような顔をしている。；筆の先に触れたような、くすぐったい感覚に、セィミヤは身を硬くした。；肘から先が妙にくすぐったくて、力を込めていないと震えそうだった。；耕作はその笑い顔をみると、何となく、くすぐったい気がするのだった。；くすぐったいところになると、どの本を見てもやっぱり、くすぐったい。；私はひどくくすぐったかったので、思わず少年の上に倒れかかってしまいました。；こっちがくすぐったくなるような笑顔で、桜は殺人的な返答をする。；道太は少しずつ落ち著いてくると同時に、気持がくすぐったくなってきた。；青年の言葉から反応したままに云うのだろうが、くすぐったい。；「くすぐったいわ」 身をすくませながら、俺の背中に手を回してくる。；隊員一同も、わらいもできず、くすぐったいかおをして唇をかんでいる。；そこはくすぐったいような匂いと色調とを持った高雅な女性の寝室であった。；そして、銀行の前を通るたび、栄介はくすぐったい気分にならざるを得ない。；皮膚のうちがわをくすぐったくして熱の玉がはしっていた。；不意にくすぐったいような、気持ちいい感覚が身体の中で広がった。；それを言われる度に、私はくすぐったいような気持ちになる。；足の裏を見られているだけで氷見子はくすぐったくなった。；そこに自分の名前を発見して、遠山はくすぐったい思いに駆られた。；彼はくすぐったいような心持ちで、とうとうその金をふところに収めて出た。；俺も偉くなったものだな、と彼は何かくすぐったいような嬉しさを感じるのである。；クラスの顔が笑ってしまったのは、その言葉がものすごくくすぐったかったからだ。；彼女は笑いながらも同時にくすぐったい思いがした。；肌を撫でられくすぐったくて、竜児は少しも黙っていられなかった。</t>
        </is>
      </c>
      <c r="J2346">
        <f>HYPERLINK("https://www.weblio.jp/content/くすぐったい", "词义详情")</f>
        <v/>
      </c>
      <c r="K2346">
        <f>HYPERLINK("https://yourei.jp/くすぐったい", "查看例句")</f>
        <v/>
      </c>
    </row>
    <row r="2347">
      <c r="A2347" t="inlineStr">
        <is>
          <t>くすぐる</t>
        </is>
      </c>
      <c r="B2347" t="inlineStr">
        <is>
          <t>成功</t>
        </is>
      </c>
      <c r="C2347" t="inlineStr">
        <is>
          <t>読み方：くすぐる
［動ラ五（四）］
１皮膚の敏感な部分を軽く刺激し、むずむずして笑いたくなるような感じを起こさせる。「わきの下を—・る」
２人の心を軽く刺激し、そわそわさせたり、いい気持ちにさせたりする。「母性本能を—・る」「虚栄心を—・る」
３演芸・文章・会話などで、人をことさらに笑わせようとして、こっけいなことを言ったり、演じたりする。「下(しも)がかったねたで観客を—・る」</t>
        </is>
      </c>
      <c r="D2347" t="inlineStr">
        <is>
          <t>擽る；こそぐる</t>
        </is>
      </c>
      <c r="H2347" t="n">
        <v>29</v>
      </c>
      <c r="I2347" t="inlineStr">
        <is>
          <t>へんにくすぐり小説になっていないところがイギリス流なのだと思う。；家を出てくる時に使ったばかりのシャンプーの香りが鼻腔をくすぐった。；と幌村は俺の自尊心をくすぐるような尊敬をこめた視線で驚いてみせた。；だが自尊心をくすぐるこの夢が実現できないことはよくわかっていた。；この時も、幼児は、あなたが本当にくすぐると思っているわけではない。；こんな人物にかつて会ったことがあると記憶の底をくすぐるのだ。；男がわき腹をくすぐっても少女はなされるがままに水面に頭をたれている。；中に入るとこの緊張感とは無縁の紅茶のいい香りが鼻をくすぐ った。；あとはくすぐられるような雪ちゃんの笑い声がしばらく二階中に響き渡った。；また、クチナシのような女の子らしい香りが俺の鼻腔をくすぐってきて。；一方彼は、自分の例の雄鶏気分が多分にくすぐられることを意識する。；しかしその前に、男のあごの下をチョコッとくすぐるのは忘れなかった。；これ以上私の好奇心をくすぐることになるようだったら返事はしないでくれよ。；隣家の木槿が少女のすらりとした首の近くの肩を葉の影でくすぐっている。；特に女性人気が高く、その母性本能をくすぐったためであるとも言われる。；多田の鼻の下をくすぐり、会社名義の手形を切って切って切りまくった。；山の中で、いつもの僕僕の香りが一際なまめかしく王弁の心をくすぐる。；夫の上になって体を寄せながらキスをし、指で彼の乳首をくすぐった。；あれはアレクセイをくすぐるだけで、それ以上のことはありませんわ。；それにはくすぐるような言葉なんか書かれていませんでした。；誰かがふいに傘の先をつき出して、前を歩いていた女の尻をくすぐる。；今までのくすぐるような感覚とは度が違うほどの快感が、背中を反らせた。；闇の中、紙くずをこすり合わせたようなひそひそ声が私の耳をくすぐる。；健は恐ろしいような、心臓のあたりをくすぐられるような気持になっていた。；相手は初めはくすぐったがっていたが、そのうちにくすくす笑いが止まった。；おれは紙製の女の乳房をくすぐり、尻をなで、グラスを重ねていたのだ。；犬をくすぐっていた手で、額にかかる髪の毛を耳の後ろにかき上げる。；裸の赤ん坊が、母親のくすぐる手に声をあげて笑うように、私は声をあげた。；見惚れていると、秀吉が小さく動いてさらさらの髪が僕の腕をくすぐった。</t>
        </is>
      </c>
      <c r="J2347">
        <f>HYPERLINK("https://www.weblio.jp/content/くすぐる", "词义详情")</f>
        <v/>
      </c>
      <c r="K2347">
        <f>HYPERLINK("https://yourei.jp/くすぐる", "查看例句")</f>
        <v/>
      </c>
    </row>
    <row r="2348">
      <c r="A2348" t="inlineStr">
        <is>
          <t>崩す</t>
        </is>
      </c>
      <c r="B2348" t="inlineStr">
        <is>
          <t>成功</t>
        </is>
      </c>
      <c r="C2348" t="inlineStr">
        <is>
          <t>読み方：くずす
［動サ五（四）］
１まとまった形の物をこわして、その形を変えたり、原形をなくしたりする。「崖(がけ)を—・して道を整備する」「足場を—・す」
２
㋐整った形や状態を乱す。「姿勢を—・す」「ひざを—・して楽にする」「強気の構えを—・さない」
㋑安定した状態を乱し、悪くする。「調子を—・す」「身を—・す」
３（「相好(そうごう)をくずす」などの形で）顔をほころばす。
４字画を省略する。行書や草書で書く。「字を—・して書く」
５同額の小銭にかえる。両替する。「一万円札を—・す」
６値段を負ける。値引きする。「値を—・して売る」
７効果をなくす。だめにする。
「釣込まれて、𠮟る声を—・して笑って仕舞う」〈二葉亭・浮雲〉
[可能]くずせる</t>
        </is>
      </c>
      <c r="D2348" t="inlineStr">
        <is>
          <t>崩すことなく(4%)；崩すまい；崩す可能性；崩すべく</t>
        </is>
      </c>
      <c r="E2348" t="inlineStr">
        <is>
          <t>変更；変化；改造；動く；改正</t>
        </is>
      </c>
      <c r="F2348" t="inlineStr">
        <is>
          <t>打ち崩す；大きく崩す；掘り崩す</t>
        </is>
      </c>
      <c r="H2348" t="n">
        <v>29</v>
      </c>
      <c r="I2348" t="inlineStr">
        <is>
          <t>それは田舎の方がずっとよく昔を守って習慣を崩さないからであります。；不思議なことに彼は雪の上に坐った姿勢だけは崩そうとはしなかった。；カレナスが元の位置に戻るまで、他の者が形を崩さずにいるのが見えた。；それは、貴族と下層階級の象徴的な壁の一部が崩されることを意味した。；去年の秋小さな盛りにしていた土を崩すだけだったから何でもなかった。；何とかして彼が二人の間に築いた壁を突き崩そうとしているに違いなかった。；この原則を崩すと、単位系を導入する意味の多くが失われるからである。；輸送中に状態を崩していることが多く種にもよるが飼育は難しいとされる。；そして、その姿勢を崩さないまま、よく通る声ではっきりとこう言った。；特に通常技の強攻撃には放った後で体勢を大きく崩すものが多数存在する。；しかし、あくまで母親への忠誠心を崩さない夫の態度に彼女は絶望する。；すべてが解決するまで、警察組織が慎重姿勢を崩すことはないのだろう。；特に毎年の主演女優は必ずと言ってよいほど途中で体調を崩していた。；つまり、レインが崩そうとしている崖に、より近い場所にいたのである。；それは、それまでの体制を崩す決潰の口になると自覚していたからです。；形を崩さずに食べやすいよう、提供時は硬い紙製の箱に入れて出される。；一番に槍合わせをして相手を突き崩し、兄・忠分に譲って首を獲らせた。；そして白湯温泉という別の丘で、それを崩そうとする仲間を殺したのだ。；歌麿はあっと思ったが、制作の緊張はその一瞬に突き崩されてしまった。；彼はどの部でも話し込まないようにし、挨拶だけにして早足を崩さない。；私はすつかり、そのひとを信用してゐた気持ちが崩されてしまつたンだわ。；他人を自分の地位に引き崩すと云ふのが、それとも社会主義であらうか?；一週間程度の観光旅行でも、環境や食事の変化で体調を崩すことが多い。；そのカーサが今は厳しい表情を崩そうともせず、若い主人を見つめていた。；江戸時代には城跡があったようだが鉄道建設の際に崩されたという。；その他に早期に崩されたため場所が不明だが、円墳6基が存在していた。；すなわち、敵を斃し、なお心を敵に残し、姿勢を崩さず構えている態度!；着る場合には、色のコンビネーションの基礎を崩さないようにしている。；いくと決めたときのゴール前への入り方や、崩しのアイディアのところ。</t>
        </is>
      </c>
      <c r="J2348">
        <f>HYPERLINK("https://www.weblio.jp/content/崩す", "词义详情")</f>
        <v/>
      </c>
      <c r="K2348">
        <f>HYPERLINK("https://yourei.jp/崩す", "查看例句")</f>
        <v/>
      </c>
    </row>
    <row r="2349">
      <c r="A2349" t="inlineStr">
        <is>
          <t>ぐずつく</t>
        </is>
      </c>
      <c r="B2349" t="inlineStr">
        <is>
          <t>成功</t>
        </is>
      </c>
      <c r="C2349" t="inlineStr">
        <is>
          <t>読み方：ぐずつく
［動カ五（四）］
１はっきりした行動・態度をとらずにいる。ぐずぐずする。「決心がつかないまま—・いている」
２だだをこねる。ぐずる。「子供が—・いて寝つかない」
３雨が降ったりやんだりで、天候がはっきりしない。「—・いた天気が続く」
[補説] 「愚図」は当て字。</t>
        </is>
      </c>
      <c r="D2349" t="inlineStr">
        <is>
          <t>小降り；小雨が降る；霧雨が降る</t>
        </is>
      </c>
      <c r="H2349" t="n">
        <v>29</v>
      </c>
      <c r="I2349" t="inlineStr">
        <is>
          <t>あいつとくるとおれのようにぐずついちゃいないんで疾風迅雷のようだ。；まだまだベッドの上でぐずついているほうがましなような気もしだした。；天気がぐずついて道の状態が不明な時は、必ず小屋の者を客につけた。；酒保にぐずついてた数人の監視は、列に加わるために駈け出していった。；しかしどうにもできないことにぐずついてるような男ではなかった。；東海地方に台風が近づいている影響で、朝からぐずついた空模様だった。；この地方では当局の認可、あの県では教会の同意、のためにぐずつく。；驚いたと云うよりも、やっぱり馬鹿にしたぐずつき方である。；わたしはほんの一瞬、鏡の前にぐずついていただけだった。；こうしてぐずついているうちに盗賊共の逃げてくれるのを望んでいるのではないかと疑った。；フィリスが心を決めかねて、ぐずついているのではないかと、心配になるのだった。；朝のうちはぐずついて、一雨来そうな空あいだったが、今じゃ日が照っている。；すでにこの土地で何年も暮らした体験を持つ妻のぐずつきに、かまっている余裕はなかった。；だが女だから往生ぎわが悪くて、なかなか最後の一毛をぐずつきよる。；かなり前からぐずつきそうな天気だったが、とうとう降り始めた。；しばらくぐずついた天気が続いていたのだが、今日はからりとした快晴である。；もう一人のほうはその場にぐずついている。；頭をいそがしく動かしながら、そいつはまだタンクのそばをぐずついている。；しかし、そのときのかれは、そのわけを考えつこうとぐずついたりはしなかった。；朝の三時には夜が明けて、薄暮は夜の九時までぐずついていた。；いつもの年なら天気がぐずつく春先にも、雨はほとんど降らなかった。；僕は人を選ぶのにぐずついてはしない。；しかし女は辺石のところでぐずついている。；帰ろうとしたが、帰れずぐずついているうちに八時になった。；それでも朝は床の中にぐずついていた。；歌舞伎町から古い親戚を訪ねて横浜にやって来て以来、空はいつもぐずついている。；天気は周期的に変わることもあるが、全国的にぐずついた天気が多くなる。；一方、他の連中は街道にぐずついて立っていた。；昼近くまでぐずついていることがあった。</t>
        </is>
      </c>
      <c r="J2349">
        <f>HYPERLINK("https://www.weblio.jp/content/ぐずつく", "词义详情")</f>
        <v/>
      </c>
      <c r="K2349">
        <f>HYPERLINK("https://yourei.jp/ぐずつく", "查看例句")</f>
        <v/>
      </c>
    </row>
    <row r="2350">
      <c r="A2350" t="inlineStr">
        <is>
          <t>燻る</t>
        </is>
      </c>
      <c r="B2350" t="inlineStr">
        <is>
          <t>成功</t>
        </is>
      </c>
      <c r="C2350" t="inlineStr">
        <is>
          <t>読み方：いぶる
［動ラ五（四）］よく燃えないで煙が出る。くすぶる。「くべた生木が—・る」</t>
        </is>
      </c>
      <c r="D2350" t="inlineStr">
        <is>
          <t>売れない；伸び悩んだ；煙る；燻っている；烟る</t>
        </is>
      </c>
      <c r="H2350" t="n">
        <v>29</v>
      </c>
      <c r="I2350" t="inlineStr">
        <is>
          <t>若木のように煙をあげて燻ることはせず、身の奥に光も熱も秘めたまま。；ここで野村は他球団で燻っていた投手たちの獲得を目指すことにした。；体の中に怒りが燻ったまま、ぼくも彼に背を向け、自分の席に着いた。；いまも忘れられぬ、美しい人妻への思慕は、源氏の胸の底に燻っていた。；これはこの区間へのトランスラピッド建設計画が燻っていたためである。；狭い道路の両側には低い屋根の店がぽつぽつと燻んだようにならんでいた。；しかし「まだ抗争が燻っているので広島には来てくれるな」と断られた。；それで子供心にも、家全体が黒っぽく燻んだように思われたのかもしれない。；これは燻るだけの下手なやり方、初めての人がよくする失敗とのことです。；すでに客は退場していたが、まだ余韻のようなものが燻っている感じだった。；やがて灰色の泥がグツグツと燻っている大きなぬかるみにさしかかった。；陰性な日本のことであるから、もう少し燻った形のものでも起きるだろう。；桶屋になって家庭を持ったが、巡査志望は心の隅にいつまでも燻っていた。；炉に燻る香の匂いと床の間の花の籠った匂いでおまえは頭が痛いといった。；ブリキの暖炉の中には薪が燻って、煙が薄暗い室の中に一杯に満ちていた。；今もなお問うことを止めた疑問として、それは、私の中に燻り続けている。；蚊遣は片靡きもせず、作者の座右に細々と燻りつつあるものと想像する。；そして4年前の受賞以来燻っていた八郎は翌年春の陶芸展で金賞を受賞。；薮蚊の群が侘しい音をさせて襲って来る頃で、縁側には蚊遣を燻らせた。；それはニーナたちの目に見えないところで大火になろうと燻っているのではないか?；今でも、やれるわけはないのは百も承知で、その思いは胸のうちに燻っている。；こういう感覚は、幕末以来燠火のように前田家家中に燻りつづけていた。；この類の皿を見ればいずれも黒く燻って日々働いた歴史が読める。；公社の中でも一番広い中央演算室は煙をあげて燻る溶岩の柱に覆われてしまった。；燻んだようでいて、芯のある独特の声に、蓮見は顔から血が引くのがわかった。；狸を燻り出すために、君は自分の身体に火をつけたっていうのか。；線香や焼香の様な香を燻らせて供えるものとは違い、身体に塗る香である。；自分はまだ、あの時と同じ位置に燻っているのだろうか。；その後、十両で長く燻っていたが1879年6月場所に新入幕を果たした。</t>
        </is>
      </c>
      <c r="J2350">
        <f>HYPERLINK("https://www.weblio.jp/content/燻る", "词义详情")</f>
        <v/>
      </c>
      <c r="K2350">
        <f>HYPERLINK("https://yourei.jp/燻る", "查看例句")</f>
        <v/>
      </c>
    </row>
    <row r="2351">
      <c r="A2351" t="inlineStr">
        <is>
          <t>薬</t>
        </is>
      </c>
      <c r="B2351" t="inlineStr">
        <is>
          <t>成功</t>
        </is>
      </c>
      <c r="C2351" t="inlineStr">
        <is>
          <t>読み方：くす
［語素］くすりの意を表す。「—師」「—玉(くすだま)」</t>
        </is>
      </c>
      <c r="D2351" t="inlineStr">
        <is>
          <t>薬瓶；薬罐；薬屋；薬籠；薬量</t>
        </is>
      </c>
      <c r="E2351" t="inlineStr">
        <is>
          <t>医薬品；薬剤；薬品；医薬；メディシン</t>
        </is>
      </c>
      <c r="F2351" t="inlineStr">
        <is>
          <t>装薬；お薬；抗ヒスタミン薬；魔法薬；選択薬</t>
        </is>
      </c>
      <c r="G2351" t="inlineStr">
        <is>
          <t>薬剤；薬品；薬草；薬局；薬剤師</t>
        </is>
      </c>
      <c r="H2351" t="n">
        <v>29</v>
      </c>
      <c r="I2351" t="inlineStr">
        <is>
          <t>この事実は、ひとつの薬がそれらすべてに有効である可能性を示唆している。；このような仙薬の話が、若返りの薬の発想の由来となったとも見られる。；話も終わり、「死」を受け入れた彼は眠りに着くように薬で昏睡状態に。；吸入薬の量は小児であろうが成人であろうが変化がないのが一般的である。；ドイツ語やその他の中央ヨーロッパ言語では今でもこれがこの薬の名称である。；以下に挙げるのは、現在でも入手が可能な単薬を使用した処方である。；この薬を飲んだ者を思い通りに動かすには、反対の言葉を言う必要がある。；ウイルスタンパク質の構造を発見したことは、有効な薬の開発に役立つ。；コーヒーや紅茶と一緒に薬を飲んでいけないと言われている理由は主にここにある。；などの理由が挙げられており、便秘治療薬の購入者は女性が圧倒的に多い。；街に到着すると彼はすぐに総督に海賊の要求を伝え、薬はすぐに集められた。；長くない命に最後まで緊張した精神を維持させる薬だ。；情報筋の話では、死因は心不全で、遺体のそばに薬が見つかったという。；遂に天皇は病の身となってしまい、薬や祈祷をもってしても効果はなかった。；邸宅にある救急箱では傷を処置できる薬もなく、誰もが大声で泣いていた。；そうして1980年代には、ブロックバスター薬が登場することになる。；これは全米で販売されているOTC薬の中で総売上高が3位以内だという。；主にデザートなどにされる一方、不老長寿の薬としても珍重されている。；過去の病歴のため劉はいくつかの薬を常用していたが、それも取り上げられた。；当時は移植過程で、牛の脳の成分を一部利用した薬が使用されていたためである。；このため、薬を処方するためだけの専門家が必要になりつつある。；ヒ素のもとは明らかではなかったが、薬か化粧品に含まれていた可能性がある。；ヨーロッパでは、ゲンチアナのような苦い薬を、胃腸薬に使用していた。；ところが、保健室の養護教諭が作った謎の薬を飲んで女の子になってしまう。；また、牛黄が上薬に分類されているのに対し蟾酥は下薬に分類されている。；独特の輝きから眼病薬や解毒剤としての効能があるとも信じられていた。；主な商いは化粧屋・小間物屋であったが、中には薬屋などもあった。；抗精神病薬の副作用はいくつかの異なる薬によって管理することができる。；このため風邪をひいても薬は飲まず、よほどではない限り医者へは行かない。</t>
        </is>
      </c>
      <c r="J2351">
        <f>HYPERLINK("https://www.weblio.jp/content/薬", "词义详情")</f>
        <v/>
      </c>
      <c r="K2351">
        <f>HYPERLINK("https://yourei.jp/薬", "查看例句")</f>
        <v/>
      </c>
    </row>
    <row r="2352">
      <c r="A2352" t="inlineStr">
        <is>
          <t>薬指</t>
        </is>
      </c>
      <c r="B2352" t="inlineStr">
        <is>
          <t>成功</t>
        </is>
      </c>
      <c r="C2352" t="inlineStr">
        <is>
          <t>読み方：くすりゆび
《薬を水に溶かしたりつけたりしたところから》親指から数えて4番目の指。紅(べに)差し指。名無(なな)し指。</t>
        </is>
      </c>
      <c r="F2352" t="inlineStr">
        <is>
          <t>右手薬指；左薬指</t>
        </is>
      </c>
      <c r="H2352" t="n">
        <v>29</v>
      </c>
      <c r="I2352" t="inlineStr">
        <is>
          <t>彼からの指輪を左手の薬指にしている女性はもうすでにいるのですから!；この先左手の薬指に縁がなければ、きっと将来はお局様で通るに違いない。；雨にも驚いたが、私の薬指に気がついた邦子には心の底から驚かされた。；あたしの左の手の薬指に光っているダイヤモンドをよく見てちょうだい。；開幕直前に右手薬指を骨折したが完治しないまま開幕戦を強行出場する。；右手の薬指まで来た時、 「ここ、後もう僅かだろう」 治夫は訊いた。；そしてもうひとつ、ガラスの小瓶が薬指と小指の間に引っかかっていた。；唐突に口を開いたのは、小指と薬指の付け根を舐め終わった直後だった。；右のシャツの袖にいくつかの血の汚れがあったのは本当だが、やつはくすり指を見せた。；犯人はきっと、結婚指輪を奪うために、くすり指を持っていったんです。；前に出して構えている半助の左手の薬指が、折れ曲がってあらぬ方を向いている。；「こいつ、本物になりそうだ」 薬指の指輪をいじりながら私は言った。；身体から薬指だけが、ゆっくり引き離されてゆくような感じだった。；その薬指に情報部本部ビル一階分を破壊するだけの爆発力を持つ指輪型爆弾が光った。；右手の中指と薬指にベルトが巻きつき、付け根から折れて真横を向いた。；葉山はかまわず、秘唇のほうにくすり指をおろして、百合の谷を探った。；小指と薬指の先を見たらわかるが、彼の指サックはかなり精巧なものだよ。；その中でも小指と薬指は足型の肉塊から突きでた疣のようにしか見えなかった。；紙をまきつけていたくすり指はふかく折りまげてかくしていたのである。；行助が見ると、少年は、左手の薬指の背に、幾子、と刺青がしてあった。；本を読む石坂様をよく見れば、左手の薬指に、青い大きな石の指輪があった。；見ると確かに、薬指の先が切れて僅かに血が出ていた。；これは薬指の腱が両隣の指の腱と繋がっているためであり、異常ではない。；父はくすり指でこんこんと扉をたたいてから、ふらりと台所に入ってきた。；私が失ったのは左手の薬指の第一関節から先で、左というと茶椀を持つほうの側である。；男性と出会ったとき、つい左手の薬指に目がいってしまう。；平木はリサの手を取り、その左の薬指にサンゴの指輪をはめようとする。；その曲は、戦争で右中指と薬指を欠いた彼でも演奏できるように作曲されていたのだ。；弥生は不思議なものを見るように、薬指にはまった結婚指輪を眺めている。</t>
        </is>
      </c>
      <c r="J2352">
        <f>HYPERLINK("https://www.weblio.jp/content/薬指", "词义详情")</f>
        <v/>
      </c>
      <c r="K2352">
        <f>HYPERLINK("https://yourei.jp/薬指", "查看例句")</f>
        <v/>
      </c>
    </row>
    <row r="2353">
      <c r="A2353" t="inlineStr">
        <is>
          <t>崩れる</t>
        </is>
      </c>
      <c r="B2353" t="inlineStr">
        <is>
          <t>成功</t>
        </is>
      </c>
      <c r="C2353" t="inlineStr">
        <is>
          <t>読み方：くずれる
［動ラ下一］［文］くづ・る［ラ下二］
１まとまった形をし、安定していたものが、支える力を失ってこわれる。また、こわれてばらばらになる。「がけが—・れる」「積み荷が—・れる」
２
㋐整っていた形や状態が乱れる。「人垣が—・れる」「隊形が—・れる」
㋑整った、好ましい形や状態が悪くなる。「姿勢が—・れる」「生活態度が—・れる」「信頼関係が—・れる」
３天気が悪くなる。「天候は午後からしだいに—・れるでしょう」
４同額の小銭に替えられる。「一万円札が—・れますか」
５相場などが急落する。「値が—・れる」</t>
        </is>
      </c>
      <c r="D2353" t="inlineStr">
        <is>
          <t>崩れることなく；崩れる可能性；崩れるかもしれ；崩れる鬼影</t>
        </is>
      </c>
      <c r="E2353" t="inlineStr">
        <is>
          <t>失敗；崩壊；破損；倒壊；崩壊する</t>
        </is>
      </c>
      <c r="F2353" t="inlineStr">
        <is>
          <t>大きく崩れる；雪崩れる；笑い崩れる；そのまま崩れる；笑み崩れる</t>
        </is>
      </c>
      <c r="H2353" t="n">
        <v>29</v>
      </c>
      <c r="I2353" t="inlineStr">
        <is>
          <t>そのため陽である体が崩れると霊は陰に下り、それを人は死と言い申す。；なお、墓石が崩れる恐れがあるため、内部に入ることは禁止されている。；そして門の外へ出たかと思うと崩れるように大声を出して笑った。；我方の抗戦力がそう敵の予定通り崩れるとは思われなかったからである。；崩壊とは、物質や状態などが、それまでの状態から崩れる・壊れること。；挨拶もそこそこに、その家を出ると車の上に崩れるように身を投げた。；私は淵のあちこちに小さな渦ができては崩れるのをしばらく見ていました。；すると池上は笑み崩れるような顔になって、家の中に上って来ました。；その笑顔が、泣いてでもゆくように素速く崩れるのは、私の気のせいか。；第一それを認めたら、俺が学校で習ってきたこと一切が崩れるからな。；犠牲の上に成り立つ幸せは、やはりその犠牲の為に崩れるんじゃないかと。；一方でマーティンは橋が崩れる前からその兆候と原因を突き止めていた。；それがはっきりし出した頃、世界ががらがらと崩れるような音がした。；あんなに大切に大切に幸せな家庭を築いてきたのに、崩れる時は一瞬。；グラスのなかで氷の崩れる澄んだ音が、奇妙に切なく胸にひびいてきた。；その向こうから崩れるように小さな人影が二つ部屋の中に転がり込んできた。；レベル表示は最大99までとなっているが、それ以上は表示が崩れる。；袖部分の革が融け崩れるように流れ、薄い翼へと形を変えて肩から伸びた。；けれどこの計画も神の聖旨でないならばまた崩れるかもしれません。；フランスの兵士達は、マジノラインが崩れるときに始めて戦争を見たのだ。；彼は崩れるようにそこへ膝をつくと、老人の膝のうえに顔を押しあてて泣きだした。；平和というすぐにも崩れる砂山の高さはいかなる努力で維持されているのか。；以後、父は崩れる危険があると言って、その部屋に入ることを禁じた。；それより竈があまり古くなるとひとりでに崩れることがあるんですよ。；ごうおん 炎や物の崩れる轟音の中で、その声ははっきりと聞き取れた。；引きつ引かれつ巧みに平均を保ちつつあった二人の位置はたちまち崩れる。；役目を終えた剣を床に落とし、俺は力なく崩れるアスナの体を抱き止めた。；なお、保利にはその旨を伝えており、師弟関係が崩れることはなかった。；崩れる身体が、形を留めなくなり、やがて煙のように消えてしまった。</t>
        </is>
      </c>
      <c r="J2353">
        <f>HYPERLINK("https://www.weblio.jp/content/崩れる", "词义详情")</f>
        <v/>
      </c>
      <c r="K2353">
        <f>HYPERLINK("https://yourei.jp/崩れる", "查看例句")</f>
        <v/>
      </c>
    </row>
    <row r="2354">
      <c r="A2354" t="inlineStr">
        <is>
          <t>癖</t>
        </is>
      </c>
      <c r="B2354" t="inlineStr">
        <is>
          <t>成功</t>
        </is>
      </c>
      <c r="C2354" t="inlineStr">
        <is>
          <t>読み方：くせ
《「曲(くせ)」と同語源》
１無意識に出てしまうような、偏った好みや傾向。習慣化している、あまり好ましくない言行。「爪をかむ—」「なくて七—」「怠け—(ぐせ)がつく」
２習慣。ならわし。「早起きの—をつける」
３一般的でない、そのもの特有の性質・傾向。「—のある味」「—のある文章」
４折れ曲がったりしわになったりしたまま、元に戻りにくくなっていること。「髪の—をとる」「着物の畳み—(ぐせ)」→癖に→その癖
[下接語]足癖・髪癖・噛(か)み癖・酒癖・尻(しり)癖・其(そ)の癖・手癖・難癖・一癖・筆癖・読み癖（ぐせ）歌癖・着癖・口癖・抱き癖・出癖・寝癖・話し癖</t>
        </is>
      </c>
      <c r="D2354" t="inlineStr">
        <is>
          <t>癖がつい(3%)；癖があつ；癖が強く；癖っ毛；癖みたい</t>
        </is>
      </c>
      <c r="E2354" t="inlineStr">
        <is>
          <t>習慣；性癖；習わし；一癖</t>
        </is>
      </c>
      <c r="F2354" t="inlineStr">
        <is>
          <t>一癖も二癖；妙な癖；飲酒癖；空想癖；そういう癖</t>
        </is>
      </c>
      <c r="G2354" t="inlineStr">
        <is>
          <t>癖三酔</t>
        </is>
      </c>
      <c r="H2354" t="n">
        <v>29</v>
      </c>
      <c r="I2354" t="inlineStr">
        <is>
          <t>直線では内から進出を試みたが、右に右にもたれる癖を再び見せていた。；食事中の会話で話を強調する時にスプーンを振り回す癖があったという。；一方で監督の癖が強く反映された作品のため、見る人を選ぶとの声もある。；ベンチの端から、忍者のように体半分を出したり隠れたりする癖が有名。；曲のヒントは内田のポエム癖を知っていたスタッフの提案であるという。；やはり吃音癖のある2代目圓歌に弟子入りしたのは偶然であったという。；しかし、その延長で自分の後ろ脚をかじる癖がついてしまうものもいる。；特定の対象に向かって指を指す時は人差し指ではなく中指で指す癖がある。；一方で、読んだ書物の登場人物になりきって演技を試みる癖があった。；メンバーは個性的で癖の強い人物ばかりで国籍も年齢もバラバラである。；そんなことを知らずにツアーに参加した客は、みな訳ありや癖がある者ばかり。；自分と違う意見が来ると意味もなく「わがままだなぁ」と言う癖がある。；小さいころからの癖で、カメラを向けられるとすぐ変顔をしてしまう。；そこは美男美女だらけだが一癖も二癖もある人々が集まるところだった。；オリジナルで使用する事が少なく、必ず改造する癖があるようだ。；また、岸によると、山中は照れるとすぐ顎を撫でるのが癖だったという。；ゲームの要であるジャンプ操作にも癖があり攻略には慣れと時間を要する。；キャラクターの性能や通常技の仕様が他のキャラクターと若干異なり、癖がある。；投手の癖を観察して球種を予測する事を途中からしなくなった。；自身が作った言葉を著名なパイロットの格言であるかのように語る癖がある。；アンペグはそのアンプの対となる、癖はあるが独特な楽器を製作した。；とっても心配性で、大事なものを口いっぱいに入れて歩く癖がある。；ちなみに大半のポケモンは自分の名前の一部を言葉の最後につける癖を持っている。；ナンパ癖があり、どんな状況でも綺麗な女性に声をかけることを忘れない。；この悪い癖のため、逸見政孝の追悼番組で出演を拒否されたこともあった。；まわしを取った際に顔が上がる癖を修正し、技術が向上したことが優勝の要因となった。；記譜法に見られる癖も、フランス音楽とのつながりをほのめかしている。；層別はデータの共通点や癖、特徴によりグループ分けを行うことをいう。；またキャビネット構造に由来する音の癖もあり、これが欠点とされる。</t>
        </is>
      </c>
      <c r="J2354">
        <f>HYPERLINK("https://www.weblio.jp/content/癖", "词义详情")</f>
        <v/>
      </c>
      <c r="K2354">
        <f>HYPERLINK("https://yourei.jp/癖", "查看例句")</f>
        <v/>
      </c>
    </row>
    <row r="2355">
      <c r="A2355" t="inlineStr">
        <is>
          <t>管</t>
        </is>
      </c>
      <c r="B2355" t="inlineStr">
        <is>
          <t>成功</t>
        </is>
      </c>
      <c r="C2355" t="inlineStr">
        <is>
          <t>読み方：かん
［音］カン（クヮン）（呉）（漢）　［訓］くだ
［学習漢字］4年
〈カン〉
１くだ。また、くだ状の容器。「気管・血管・信管・土管・導管・配管・試験管・真空管」
２吹き鳴らす楽器。「管弦・管楽器／金管・木管」
３筆の軸。筆。「彩管・筆管」
４視野の狭いこと。「管見」
５担当の範囲を取り締まる。「管下・管轄・管掌・管制・管理／移管・主管・所管・保管」
６「管理」の略。「管財／食管・選管・入管」
〈くだ〉「手管」
［名のり］うち・すげ
［難読］煙管(キセル)・只管(ひたすら)</t>
        </is>
      </c>
      <c r="D2355" t="inlineStr">
        <is>
          <t>管理人(3%)；管路；管編成；管府；管式</t>
        </is>
      </c>
      <c r="E2355" t="inlineStr">
        <is>
          <t>パイプ；笛；筒；チューブ；煙管</t>
        </is>
      </c>
      <c r="F2355" t="inlineStr">
        <is>
          <t>発射管；ゴム管；ガス管；卵管；ブレーキ管</t>
        </is>
      </c>
      <c r="G2355" t="inlineStr">
        <is>
          <t>管轄；管理人；管制；管内；管区</t>
        </is>
      </c>
      <c r="H2355" t="n">
        <v>29</v>
      </c>
      <c r="I2355" t="inlineStr">
        <is>
          <t>トイレは後述のとおり使用停止だったため、便所流し管が撤去された。；テレビのトランジスタ化以後はアメリカ製の傍熱管を使ったものもあった。；次に酸素を豊富に含んだ後気嚢内の空気が後方から肺管に送り込まれる。；左右それぞれ1本の管となっているが、左右共に管の途中で性質が変わる。；のちに固体撮像素子が登場し、その後主流は管から板に変わっている。；管壁に近づくほど流速は小さくなり、管の中心で最も流速が大きくなる。；走行補機解放はブレーキ管の接続ができないなど安全面での問題も多かった。；中央付近にやや着色した管があって、これが消化管と考えられている。；樋管に木材を使っていた時代では、腐食するために交換する必要があった。；微小管への出入りの速度もエネルギーによって変化することがわかる。；専用の発光部は用途に合わせて、いろいろなタイプの放電管が用いられる。；隣の個体の入る管との間は共骨とよばれ、そこを埋める組織は共肉といわれる。；遠心力鋳鋼管をホームの柱として使用したのは、この駅が日本初である。；表面の防錆油塗布の有無や管端形状についても、必要に応じて指定可能。；木製の頭部管では独立した部品としてマウスピースを持たないものが多い。；また、胃管中で養われている神は修行者自身の姿で現れることもある。；このため、円錐管が多く占める楽器では用途が音程の微調整に制限される。；また伸ばした際の管の形状が異なると言われるが、相反する異なる意見が出ている。；カプセル本体を保護する埋設管がある場合も同様の金属類が使われることが多い。；動物一般では、体内に袋があり、体表に続く管によってつながっている。；モノスコープは高解像のフライング・スポット管の技術を利用している。；古代から知られており、多くの場合5つかそれ以上の管を束ねて作られる。；このような構造は無脊椎動物のいわゆる腎管とほぼ同じものである。；大量の涙を流した際に出てくる鼻水は、涙が鼻涙管を経由して排出されたものである。；このときフックは管の太さと水位の上昇に相関関係があることを報告している。；金型を次第に小さくして連続して通すことで、細い管の製造も可能。；歯髄を取り去った後の根管は埋められ、必要であればクラウンが作られる。；トーマス・エジソンが蓄音機に使った蝋管はその研究所で発明された。；持ち替えは一部で存在するものの、全体としては伝統的な2管編成に近い。</t>
        </is>
      </c>
      <c r="J2355">
        <f>HYPERLINK("https://www.weblio.jp/content/管", "词义详情")</f>
        <v/>
      </c>
      <c r="K2355">
        <f>HYPERLINK("https://yourei.jp/管", "查看例句")</f>
        <v/>
      </c>
    </row>
    <row r="2356">
      <c r="A2356" t="inlineStr">
        <is>
          <t>具体</t>
        </is>
      </c>
      <c r="B2356" t="inlineStr">
        <is>
          <t>成功</t>
        </is>
      </c>
      <c r="C2356" t="inlineStr">
        <is>
          <t>読み方：ぐたい
物事が、直接に知覚され認識されうる形や内容を備えていること。「—案」⇔抽象。</t>
        </is>
      </c>
      <c r="D2356" t="inlineStr">
        <is>
          <t>具体的(83%)；具体化(11%)；具体性(3%)；具体案；具体像</t>
        </is>
      </c>
      <c r="E2356" t="inlineStr">
        <is>
          <t>体現；具現；具象</t>
        </is>
      </c>
      <c r="F2356" t="inlineStr">
        <is>
          <t>具体化す；具体的な争訟；具体化せら；具体的な方策；具体的な使途</t>
        </is>
      </c>
      <c r="G2356" t="inlineStr">
        <is>
          <t>具体例；具体化；具体策；具体美術；具体的有用労働</t>
        </is>
      </c>
      <c r="H2356" t="n">
        <v>29</v>
      </c>
      <c r="I2356" t="inlineStr">
        <is>
          <t>これは町の中の音など具体音を録音し、レコードで編集するものである。；このほか、構想路線には以下の路線も含まれるが、具体化されていない。；これら具体音の導入は、商業音楽などの分野にも決定的な影響を与えた。；具体的な政治の場面での影響は残り続けたと指摘できる面も否めない。；ただし、具体的な言語の種類で対応する「音」が異なってしまっている。；道路上・付帯施設等での具体的な情報の媒体には以下のようなものがある。；阪神電気鉄道と合意に達し、建て替えの為の具体的な検討に入るとした。；どのような車両を新製するかの方針が決まると、具体的な設計が行われる。；抽象的なイメージよりも具体的な何かがあった方が理解しやすいためである。；が具体的な値を取るいくつかの場合についてはさまざまな証明が与えられた。；また介入軍の撤退問題については、具体的な時期が曖昧なままにされた。；人文科学研究の一例は、歴史的手法で具体化された歴史的研究である。；この試験の公式目的は、「具体的な知識と技能」を評価することである。；こうした比だけからは天体までの具体的な距離を知ることはできない。；このような半群の具体的な例は少ないが、そのほとんどはである。；塩化カリウムの具体的な精製方法はいくつかあることが知られている。；ただし、信盛の撤退戦での具体的な活躍を記した記録や史料は一切ない。；当初案からの具体的な変更点・決定点は以下の通りである。；各言語の具体的なアクセントについてはそれぞれの言語の項目を参照。；開発された時期、性能、採用の経緯など、具体的な設定は存在しない。；なお、この時点では本州の店舗についての具体的な決定はなされていない。；計算できる範囲で具体的な数値に置き換えていくと、表は次のようになる。；この時点での具体的な改修計画としては、次のようなものであった。；札幌市は、検討会議に対して具体的な路線延伸案を提案する予定だった。；しかし具体的な政策を出さないと国民がついて行けない。；駅東方の山津田地区側についてはルート変更の話は具体化していない。；ただし、薬屋の商売については具体的なことはほとんど描写されていない。；これは、順位戦以外の具体的な昇段規定が存在しなかったためである。；ハウス食品で発売している製品の具体的な主な種類は次の通り。</t>
        </is>
      </c>
      <c r="J2356">
        <f>HYPERLINK("https://www.weblio.jp/content/具体", "词义详情")</f>
        <v/>
      </c>
      <c r="K2356">
        <f>HYPERLINK("https://yourei.jp/具体", "查看例句")</f>
        <v/>
      </c>
    </row>
    <row r="2357">
      <c r="A2357" t="inlineStr">
        <is>
          <t>具体的</t>
        </is>
      </c>
      <c r="B2357" t="inlineStr">
        <is>
          <t>成功</t>
        </is>
      </c>
      <c r="C2357" t="inlineStr">
        <is>
          <t>読み方：ぐたいてき
［形動］はっきりとした実体を備えているさま。個々の事物に即しているさま。「—な方法」「—に指示する」⇔抽象的。</t>
        </is>
      </c>
      <c r="D2357" t="inlineStr">
        <is>
          <t>具体的にどの；具体的内容；具体的にどんな；具体的にどういう；具体的かつ</t>
        </is>
      </c>
      <c r="E2357" t="inlineStr">
        <is>
          <t>具体的に；具象的</t>
        </is>
      </c>
      <c r="F2357" t="inlineStr">
        <is>
          <t>具体的権利；具体的政策；具体的論理；具体的成果；具体的操作段階</t>
        </is>
      </c>
      <c r="G2357" t="inlineStr">
        <is>
          <t>具体的権利説；具体的危険犯；具体的ケース；具体的事実の錯誤</t>
        </is>
      </c>
      <c r="H2357" t="n">
        <v>29</v>
      </c>
      <c r="I2357" t="inlineStr">
        <is>
          <t>しかし、それがどのような料理であったのか具体的にはわかっていない。；大陸と島など他の地理的概念と同様に、具体的かつ普遍的な定義はない。；しかしながらそれが具体的にどのような関係にあるのかはまだ明らかではない。；具体的には中南米のプランテーションで生産された砂糖が送られてきた。；具体的には、グリズリー生息地域での護身用がわかりやすい例と言える。；具体的には、背中側が濃く、腹側が薄い色をしているのがこれである。；より具体的には以下のような要素を考慮してハードウェアの構成が検討される。；古典期は、時代区分のための用語で、具体的には次のようなものがある。；具体的には、悪と戦うスーパーヒーロー的に描かれているものを指す。；具体的に から を引いた数を としたとき、 に を足した数は になる。；従って、具体的事件の捜査についての指示や命令行うことはできない。；これは曖昧さ回避のページに似ていますが、わかりやすく具体的です。；また同時代の武士の墓も出土しており、埋葬形態を具体的に把握した。；また選考合格後も、事例などを扱いながら具体的に学ぶ研修が課される。；ばねによって実現したい機能に、具体的には次のようなものが挙げられる。；小川が指摘するポイントは多岐にわたるが、具体的には以下のものがある。；西洋音楽にあっては、作曲とは具体的には楽譜を作成する作業である。；ただ、具体的に何に何処まで関与したかは資料がなくほとんど明らかにされていない。；具体的にいうと形の異常と大きさの異常に分けることができる。；舞台は未来の地球で、具体的に何世紀なのかは記述されていない。；具体的には以下の場合に該当する場合について、保護決定通知が行われる。；オムツをつけていることを示唆する発言があるが、具体的には語られなかった。；カクテルを具体的に表現したとき、しばしば「酒+何か」と表現される。；具体的には伊勢神宮の方角を拝んだことを意味すると考えられている。；周が殷を滅ぼしたのは具体的に何年の出来事かを推定する作業が進められている。；党大会で決定された事業形態を具体的に組織化し、細部機関への指導を行う。；構想段階であって、公用語化に向けた具体的で進行中の計画があるわけではない。；具体的には、成長の停止、逆に異常な速度の成長、新種の出現などである。；「直線」に相当するものは測地線で、いまの場合具体的には大円である。</t>
        </is>
      </c>
      <c r="J2357">
        <f>HYPERLINK("https://www.weblio.jp/content/具体的", "词义详情")</f>
        <v/>
      </c>
      <c r="K2357">
        <f>HYPERLINK("https://yourei.jp/具体的", "查看例句")</f>
        <v/>
      </c>
    </row>
    <row r="2358">
      <c r="A2358" t="inlineStr">
        <is>
          <t>砕く</t>
        </is>
      </c>
      <c r="B2358" t="inlineStr">
        <is>
          <t>成功</t>
        </is>
      </c>
      <c r="C2358" t="inlineStr">
        <is>
          <t>読み方：くだく
［動カ五（四）］
１強い力を加えて、固い物やかたまりになっている物を細かくする。「岩を—・く」
２勢いを弱らせる。計画などをつぶす。くじく。「野望を—・く」
３
㋐（「心をくだく」の形で）あれこれと心を悩ます。思い悩む。「善後策に日夜心を—・く」
㋑（「身をくだく」の形で）労苦をいとわず懸命に尽くす。身を粉にする。「会社の再建に身を—・く」
４物事をわかりやすく説明する。平たく言う。「内容を—・いて説明する」
５細かく分ける。細分する。
「四十八手のその内を、百手(ももて)に—・きて」〈仮・竹斎・上〉
[可能]くだける
［動カ下二］「くだける」の文語形。
[下接句]肝胆を砕く・気を砕く・肝(きも)を砕く・心を砕く・心肝を砕く・心気を砕く・肺肝を砕く・身を砕く</t>
        </is>
      </c>
      <c r="D2358" t="inlineStr">
        <is>
          <t>砕くべき；砕くような音；砕くべく</t>
        </is>
      </c>
      <c r="E2358" t="inlineStr">
        <is>
          <t>破る；割る；鎮める；破砕；弱める</t>
        </is>
      </c>
      <c r="F2358" t="inlineStr">
        <is>
          <t>かみ砕く；うち砕く；撃ち砕く；細かく砕く；搗き砕く</t>
        </is>
      </c>
      <c r="H2358" t="n">
        <v>29</v>
      </c>
      <c r="I2358" t="inlineStr">
        <is>
          <t>そのすぐ下にある顎に、奥歯を砕きかねないほどの力が加えられていく。；それが恐ろしゅうて、わしは何度この人形をうち砕こうとしたかしれぬ。；あちこちで噂を聞いては、その女をものにしようと心を砕く、金を遣う。；そして、その流れはなにものをも砕く勢いで押し出して来るに違いない。；二人は畑の端の方から、耕したばかりの黒い土を少しずつ砕いていった。；私と父と母で作られた家族という結束を砕こうとするための打算なのだ。；頭を砕かれたものに仕事だからという言いわけが通るとお思いですか?；それらの破壊力は、たったの一撃でもこの男の頭部を砕きかねないのだ!；冷たい水を飲もうとアイスピックで氷を砕いていて指を突いてしまった。；どこか近くで気配を消して令嬢の身の安全に心を砕いているはずだ。；リウイが魔法像の頭を砕くことができたのは偶然が重なってのことだ。；山から石を切り出すよりは、そこに立っている石を砕く方が簡単でしょう。；頭の骨を砕いたから、きっと殺してしまったものと思っていたろう。；すでに私は砕かれていたから母の泣声には何の迫力もおぼえなかった。；彼はその夜、寝床に入ってからも、子路のためにいろいろと心を砕いた。；そこまで考えたのだが、事実は新之丞のわずかなのぞみを無残に砕いた。；その内面にある能力までは設計できず、こうして一撃防ぐ度に砕かれる。；彼は、次の日の仕事の邪魔になる、岩の塊を鶴嘴で砕こうとしていた。；危険と混乱が大量に孵化するより早く、卵を砕いておくべきであろう。；それにまた今はすっかり開いた口をそのままにしておこうと心を砕いてもいた。；もし、そうなら〝魂砕き〟をひと振りするだけで、片がつくに違いない。；預金量の拡大と融資量の安定とそれによる収益の確保にのみ心を砕いた。；これまで孤独だった彼女は、こなごなに砕かれた夢の実現を彼に託した。；この刻印が入った物はすべて時砕きの所有物であることを意味します。；掴んだ相手を凍らせながら砕く技であり、エサの保存にも使われている。；硝子を砕くとその下から一町四方を占領した広大な花園が現われて来た!；こんな手合を相手にする時は、牛の頭蓋をも砕きそうなスパナで充分だ。；デイヴィッドはその時計を粉々に砕いてしまいたいような衝動を覚えた。；胸板にめり込めば、その間にあるものすべてを砕いて背中から飛びでる。</t>
        </is>
      </c>
      <c r="J2358">
        <f>HYPERLINK("https://www.weblio.jp/content/砕く", "词义详情")</f>
        <v/>
      </c>
      <c r="K2358">
        <f>HYPERLINK("https://yourei.jp/砕く", "查看例句")</f>
        <v/>
      </c>
    </row>
    <row r="2359">
      <c r="A2359" t="inlineStr">
        <is>
          <t>くたくた</t>
        </is>
      </c>
      <c r="B2359" t="inlineStr">
        <is>
          <t>成功</t>
        </is>
      </c>
      <c r="C2359" t="inlineStr">
        <is>
          <t>［副］
１物がよく煮えている音。また、そのさま。ぐつぐつ。ぐたぐた。「—（と）煮える鍋」
２疲れたり弱ったりして、力の抜けたさま。また、古くなって張りのなくなったさま。
「法師は—と絶え入りて」〈著聞集・一〇〉
３細かくなるさま。ずたずた。
「杖の—と折るるほど打ちたれば」〈弁内侍日記〉
［形動］
１疲れたり弱ったりして、力の抜けたさま。「—に疲れる」
２古くなって張りがなくなったさま。「着古して、—になった服」
３物が煮えて原形をとどめなくなったさま。「—になるまで煮る」</t>
        </is>
      </c>
      <c r="D2359" t="inlineStr">
        <is>
          <t>くたくたに疲れ果て；くたくたにつかれ</t>
        </is>
      </c>
      <c r="E2359" t="inlineStr">
        <is>
          <t>ふらふら；ぼろぼろ；へとへと</t>
        </is>
      </c>
      <c r="F2359" t="inlineStr">
        <is>
          <t>身も心もくたくた；疲れてくたくた</t>
        </is>
      </c>
      <c r="H2359" t="n">
        <v>29</v>
      </c>
      <c r="I2359" t="inlineStr">
        <is>
          <t>くたくたに疲れていたせいか、それ以上は考えごとに集中できなかった。；うしろから見る彼の肩や背までくたくたに疲れた人のようであった。；彼は椅子に腰をおろしたと思うと、くたくたに疲れて眠ってしまった。；図書館に着くなり眠ってしまったのは、くたくたに疲れていたせいだ。；こっちがあんたのためにくたくたになるまで働いているあいだにさ。；二十六日だったかな、アムクロに着いたときには、もうくたくただった。；ここでこいつら全員にやられてしまったらきっと心も体もくたくたになるだろう。；くたくたに疲れていたが、体が軽くなったことで、疲労感が軽減された。；大人たちだって、昨夜も一晩中、村長さんを探したからみんなくたくた。；自分のところの農奴の娘たちを、それこそくたくたになるまで踊らせる。；工場では人数が少ないので、一人二役も三役もやるので、もうくたくた。；それであまりの刺激の多さに、夕方帰ってきたときにはくたくたになっていた。；そしてくたくたになって指の輪から離れ、天井のほうへ浮いていった。；静子はまた泣きはじめて、くたくたと草の上にしゃがみこんでしまった。；操舵手はほかの人の分の勤務までさせられて、くたくたに疲れていたのです。；するとまた翌年の洪水に、勢のつよい鰻がくたくたになって流れてきた。；衰弱と恐怖にくたくたになっていたにもかかわらず彼らは揃って食事をした。；ぼくはひどい怪我はしていなかったが、それより体全体がくたくたに疲れていた。；吾一たちはくたくたになって、川っぷちの土の上に腰をおろしていた。；その日は女先生もくたくたになって帰って行ったが、翌日、またやって来た。；結局、ノイローゼのようになり、私もそうだが三歳の娘もくたくたになる。；長い旅をしてきたので、みんなくたくたに疲れきっておりました。；秋が深まってから大きな事件の連続で十二名はくたくたになった。；診療所からルイスの家まで雪のなかを走ってきたせいで、くたくただった。；わたしは興奮のあまり、眠いとも感じなかったが、くたくたに疲れていた。；最初の一日が終わったころには、全身がくたくたになっていた。；昨秋以来わたしは心臓が弱く、三浦もこの一週間くたくたになっていた。；彼はくたくたに疲れて居りながら、自分で満足しているものがあるようだった。；前の車から降りてきた斜方が、もうくたくたになっている四人の日本人にいった。</t>
        </is>
      </c>
      <c r="J2359">
        <f>HYPERLINK("https://www.weblio.jp/content/くたくた", "词义详情")</f>
        <v/>
      </c>
      <c r="K2359">
        <f>HYPERLINK("https://yourei.jp/くたくた", "查看例句")</f>
        <v/>
      </c>
    </row>
    <row r="2360">
      <c r="A2360" t="inlineStr">
        <is>
          <t>砕ける</t>
        </is>
      </c>
      <c r="B2360" t="inlineStr">
        <is>
          <t>成功</t>
        </is>
      </c>
      <c r="C2360" t="inlineStr">
        <is>
          <t>読み方：くだける
［動カ下一］［文］くだ・く［カ下二］
１固い物やかたまりになっている物が、衝撃などで小さくばらばらになる。「コップが粉々に—・ける」「波が—・ける」
２釣り合いがとれなくなって、くずれる。また、何かをしようとする気持ちや勢いがすっかり衰える。くじける。「腰が—・ける」「闘志が—・ける」
３堅苦しさが取れて打ち解ける。「雰囲気が—・けてくる」
４話・文章などが、わかりやすくなる。「—・けた表現」
５深刻に思い悩む。
「むらきもの心—・けてかくばかり我(あ)が恋ふらくを知らずかあるらむ」〈万・七二〇〉
６形が整わなくなる。いい加減になる。
「歌姿のあまりに—・けて侍る」〈落書露顕〉</t>
        </is>
      </c>
      <c r="D2360" t="inlineStr">
        <is>
          <t>砕けるような音(2%)；砕ける鈍い音；砕ける嫌な音；砕ける白い；砕けるような激痛</t>
        </is>
      </c>
      <c r="E2360" t="inlineStr">
        <is>
          <t>破損；崩れる；割れる；崩落；損壊</t>
        </is>
      </c>
      <c r="F2360" t="inlineStr">
        <is>
          <t>当たって砕ける；砕ける鈍い；白く砕ける；落ちて砕ける；折れ砕ける</t>
        </is>
      </c>
      <c r="H2360" t="n">
        <v>29</v>
      </c>
      <c r="I2360" t="inlineStr">
        <is>
          <t>顔からそれていった噴水が反対の森のうえに砕け散って霧を立てていた。；二人を隔てていた氷が砕けたように思われて、心が輝かしくなっていた。；レルドリンはガラスの砕けた窓からいましがた矢を放ったところだった。；また技術系雑誌の記事や技報に比較すると若干砕けた表現がなされる。；魂が割れ砕けるようなその声に、誰もが皆一瞬その場に釘付けになった。；さながら天も地も一時に砕け落ちるかと疑われんばかりの物音であった。；少し砕けた表現では、そのような曲線は長さが無限大であるなどという。；見上げた瞬間、それは壁面の岩棚のひとつに触れ砕けずに大きく跳ねた。；私はあのとき自分の叫声を聞き、自分の頭が砕ける音を聞きたかったのだ。；その時、カイルロッドは自分の内部でなにかが砕ける音を聞いた気がした。；ガラスの砕けるような響きが葉をゆするや、あっと驚きの声が上がった。；そう思うとたちまち崖下に砕けているどうどうたる海の音が、聞えて来た。；避難民たちの骨の砕ける音や叫声を聞かなかった人はひとりもいない。；どどんと雪のごとく砕ける波を背景に、拳法のからだが宙に躍り上った。；時としてはその瓦が、踏み砕けたかと思われる音がするのでありました。；砕けてしまう恐れがあって大変危険なため、使用するべきではない。；かれの周囲一帯には石や砕けた岩の大きな破片がいっぱいちらばっている。；がじゃがじゃと何枚ものガラスが砕けるような音がしたのは、その時だった。；すなわち、場合によっては検査の過程で砕けてしまう可能性が否めない。；橋を渡ると、水がさらさらといって、岩に激して、白く砕けていました。；若し又それが石で出来てゐるものなら、最初の強い一と打ちで砕けて了ふ。；そしてその岸近いところにあるかくれた礁のところだけに波が白く砕けてゐる。；波はいつもおよそどの方向から来て、どこでどんなふうに砕けるか。；しかし、大型船が高速で通る時には、舳先に砕ける波の音が聞こえます。；そこから先は急速に砕けて、下の地表に届くころには霧になっている。；小次郎が、これで打たれたとすれば、脳骨が砕けたことは当然だろう。；形態は滅びるといっても、それは、波が引いて砕けるのと同じことである。；次の瞬間、人には決して破壊できぬはずのクヴェルは粉々に砕け散った。；骨が砕けるまで強情を張り通して、とうとう獄門になったのは二た月前だ。</t>
        </is>
      </c>
      <c r="J2360">
        <f>HYPERLINK("https://www.weblio.jp/content/砕ける", "词义详情")</f>
        <v/>
      </c>
      <c r="K2360">
        <f>HYPERLINK("https://yourei.jp/砕ける", "查看例句")</f>
        <v/>
      </c>
    </row>
    <row r="2361">
      <c r="A2361" t="inlineStr">
        <is>
          <t>くださる</t>
        </is>
      </c>
      <c r="B2361" t="inlineStr">
        <is>
          <t>成功</t>
        </is>
      </c>
      <c r="C2361" t="inlineStr">
        <is>
          <t>読み方：くださる
［動ラ五（四）］《動詞「くだされる」（下一）の五段化》
１「与える」「くれる」の尊敬語。お与えになる。くだされる。「祝電を—・った」
２（補助動詞）「お」を伴った動詞の連用形、「ご（御）」を伴った漢語、また、動詞の連用形に接続助詞「て」を添えたものなどに付いて、その動作の主が恩恵を与える意を、恩恵を受ける者の立場から敬意を込めて表す。「お話し—・る」「ご理解—・る」「助けて—・る」
［動ラ下二］「くだされる」の文語形。</t>
        </is>
      </c>
      <c r="D2361" t="inlineStr">
        <is>
          <t>くださるでしょ(5%)；くださるなら(4%)；くださるだろ(3%)；くださるんです；くださるようお願い</t>
        </is>
      </c>
      <c r="E2361" t="inlineStr">
        <is>
          <t>くれる；与える；述べる；下さる；給う</t>
        </is>
      </c>
      <c r="F2361" t="inlineStr">
        <is>
          <t>許してくださる；せてくださる；わかってくださる；愛してくださる；助けてくださる</t>
        </is>
      </c>
      <c r="H2361" t="n">
        <v>29</v>
      </c>
      <c r="I2361" t="inlineStr">
        <is>
          <t>わざわざ短い記事を自ら作ってリストするような行為はお控えください。；わたしにじぶんで判断することを許してくださらなくてはいけませんわ。；次の彼女のために人生が並んでいるどんな挑戦にも挑戦してください。；あなたがそこまで考えてくださるとは、当てにしていなかったんですよ。；表のすぐ下に がある場合は、前後番組を記事の末尾に移してください。；文章は企画経緯から製作工程の順を追って説明するようにしてください。；いまでもあの方がどこかでわたしを待っていてくださるような気がするの。；ひとがご自分にしてくれるようなことを わしらにしてくださるのだ。；あなたがたがこの任務を立派に成功させてくださることを信じております。；ここで告知している議論が終了したときはその旨を報告してください。；哲学関連で翻訳してほしい記事がある人はここで依頼してください。；あなたがわたしに会いにここにおいでくださった日のわたしもそうでした。；わたしにいわせてくださるなら絶対あの人にそんな事はさせませんよ。；各競技のルール、戦略の詳細はそれぞれの競技の項目を参照してください。；良くしていただき過ぎですよ、どうしてこんなにしてくださるのですか?；そして良い行いを最後まで全うできる根気を与えてくださいますように。；それぞれが存在意義をもった分類体系であることを心にとめてください。；教授にお願いしたら、私のまだ見ていない日記を全部出してくださった。；わたくしが同じ気持ちなのをお認めくださることになるわけですから。；ドーミン夫人がおまえのために、口ぞえしてくださったのを忘れてたよ。；この淑女の姿を彼が見てくれたら、きっときれいだと言ってくださるわ!；私があなたに一つの言葉をいうと、あなたが別の言葉で答えてくださる。；あの時分、あなたは私のこの考えに同意してくださらなかったのでした。；お化粧したりするのが面倒だから、あなたがこっちに来てくださらない?；哲学関連で書いてほしい記事がある人はここで依頼してください。；自己申告でもよいので、こちらに記事名と日付を書いていってください。；それでお金はわしに渡してくださるのかな、それとも国庫のほうへでも?；生きているうちに私の加えたあやまちは皆ゆるしていてくださるだろう。；私が考えていたことが真実であることを認めてくださっただけでも十分です。</t>
        </is>
      </c>
      <c r="J2361">
        <f>HYPERLINK("https://www.weblio.jp/content/くださる", "词义详情")</f>
        <v/>
      </c>
      <c r="K2361">
        <f>HYPERLINK("https://yourei.jp/くださる", "查看例句")</f>
        <v/>
      </c>
    </row>
    <row r="2362">
      <c r="A2362" t="inlineStr">
        <is>
          <t>くたびれる</t>
        </is>
      </c>
      <c r="B2362" t="inlineStr">
        <is>
          <t>成功</t>
        </is>
      </c>
      <c r="C2362" t="inlineStr">
        <is>
          <t>読み方：くたびれる
［動ラ下一］［文］くたび・る［ラ下二］
１長時間からだや頭を使ったため、疲れて元気がなくなる。「歩きつづけて—・れる」
２年老いたり苦労が続いたりして気力や若さを失う。「人生に—・れる」「生活に—・れた顔」
３衣服などが長く使われたため、古くみすぼらしくなる。「—・れた背広」
４（他の動詞の連用形に付いて）その動作を続けるのが、疲れていやになる。「待ち—・れる」
→疲(つか)れる［用法］</t>
        </is>
      </c>
      <c r="D2362" t="inlineStr">
        <is>
          <t>くたびれるでしょ</t>
        </is>
      </c>
      <c r="E2362" t="inlineStr">
        <is>
          <t>疲れる；消耗する；燃え尽きる；萎える；めげる</t>
        </is>
      </c>
      <c r="H2362" t="n">
        <v>29</v>
      </c>
      <c r="I2362" t="inlineStr">
        <is>
          <t>二人が話している間に、くたびれた様子で音もなく入ってきたのである。；裁判所ではただ坐って待ってるだけでもおそろしくくたびれますからね。；そしてその東西の長さにおいてはまったくくたびれるだけの距離がある。；よほど遠くから旅をしてきたのか、男はひどくくたびれているようだった。；夜は迫ってくるし、これまでの運動でずいぶんくたびれてもいたので。；皆くたびれて居るだらうけれどそれにも構はず墓の検分に来てくれたのだ。；こうしてみると、彼女の顔はくたびれきった三十女のそれであった。；そして宿屋へ着いた時は十里も十五里も歩いたやうにくたびれてゐた。；働く前から体も心もくたびれて居て、くたびれるのが商売のやうになつた。；働く前から体も心もくたびれて居て、くたびれるのが商売のやうになつた。；目のなかに、くたびれたワゴン車が入ってき、店の前で堰に寄せられた。；彼が一番長いこと将校をのせて、くたびれ儲けをした最後の男だった。；一週間ばかり、考えに考えてこればかり書いていたので、くたびれもした。；元は誰かのペットだったのだろう、くたびれて汚れた首輪をはめている。；すべてが終わってしまってから、身体のくたびれ方で見当をつけるしかない。；わたしもくたびれましたから、ここらで少し休ませてもらいましょうか。；とにかく、それが熊神教の背後にあるいささかくたびれた考えなんだ。；くたびれたような横顔も、鼻から顎にかけての線がきれいに整っていた。；他人の八二歳の生涯を生きるということは、本当にくたびれることでした。；「雨だぜ、雨」 入ってきたのは、ややくたびれた感じの中年男だった。；馬車の中でも、もう皆くたびれていると見えて、誰も口を噤んでいた。；くたびれて帰った娘たちを慰めてやるのは母親の心づくしだ、と云うのだ。；あれこれ考えているうちに、ぼくは、すっかりくたびれてしまいました。；くたびれきった彼の神経はなにより充分な休息を必要としていた。；だからあの日もくたびれて、あんなことになってしまったんだと思う。；工藤が少しでもくたびれたシャツを着ているのを、九野は見たことがない。；平素の彼からは想像もつかないほど、マキシーンはくたびれ果てていた。；がくん、と止まる度にムッとするのは自分がくたびれている証拠である。；しかし帰るとくたびれて居るので直に哲学の勉強などに取り掛る気はない。</t>
        </is>
      </c>
      <c r="J2362">
        <f>HYPERLINK("https://www.weblio.jp/content/くたびれる", "词义详情")</f>
        <v/>
      </c>
      <c r="K2362">
        <f>HYPERLINK("https://yourei.jp/くたびれる", "查看例句")</f>
        <v/>
      </c>
    </row>
    <row r="2363">
      <c r="A2363" t="inlineStr">
        <is>
          <t>果物</t>
        </is>
      </c>
      <c r="B2363" t="inlineStr">
        <is>
          <t>成功</t>
        </is>
      </c>
      <c r="C2363" t="inlineStr">
        <is>
          <t>読み方：かぶつ
くだもの。</t>
        </is>
      </c>
      <c r="D2363" t="inlineStr">
        <is>
          <t>果物籠；果物類；果物皿；果物鉢；果物栽培</t>
        </is>
      </c>
      <c r="E2363" t="inlineStr">
        <is>
          <t>果実；フルーツ；水菓子</t>
        </is>
      </c>
      <c r="F2363" t="inlineStr">
        <is>
          <t>おいしい果物；乾燥果物；甘い果物；乾果物；立派な果物</t>
        </is>
      </c>
      <c r="G2363" t="inlineStr">
        <is>
          <t>果物ナイフ；果物店；果物狩り；果物の女王</t>
        </is>
      </c>
      <c r="H2363" t="n">
        <v>29</v>
      </c>
      <c r="I2363" t="inlineStr">
        <is>
          <t>いったん口に入れた果物の種や皮などを再度口から出す行為は印象が悪い。；一部の果物はルール変更オプションを購入するために必要な場合もある。；工業以外にも農業も行われており、果物やワインの生産も盛んである。；中の間の床脇の地袋の戸に描かれた鸚鵡と果物籠の図は呉春の筆である。；産業の中では農業が盛んであり、野菜や果物などを多く輸出している。；また、彼らのほかにも、動物と化した野菜や果物が次々と登場している。；季節を問わず野菜や果物類が手に入るようになったのは、最近のことである。；多くのHOFでは客が長居をするほど果物などをサービスで提供する。；農業はコメ、果物などの生産のほか、装飾用の花の生産が盛んである。；前日に大久保警視が置いた果物籠をもって内部の犯人に呼び掛けだした。；千疋屋は、果物の輸入・販売を専門とする日本の小売業者の屋号である。；農業生産額でみると、鶏が多く、続いて野菜・米・果物の順になっている。；ミシガン湖の温暖化効果があるので、果物は州西部で主に栽培されている。；主にイネ科植物を食草としているが飼育下では野菜や果物なども良く食べる。；この作品はほとんどの登場人物の名前に野菜や果物など植物の名前が使われている。；物語中に出てくる地名には、主に果物の名がつけられている。；またマルメロや他の野生の果物はジャーに入れて保存しなければならない。；彼女はドイツ滞在中キュウリを食べていなかったが生野菜や果物は食べていた。；登場人物の名前が、下記のように果物からとられている点で統一されている点も特徴である。；果物農業とホップの栽培がこのカウンティの大部分で伝統的な農業活動だった。；捕虜となって最初の夜に、北朝鮮軍はアメリカ軍捕虜に水と果物と煙草を与えた。；この3つの生活習慣病である人の多くは果物の摂取が制限される必要がある。；郡内の主な産業は農業であり、コメ、果物などが生産されているほか。；野菜と果物を多く食べた子供は尿中のカルシウムの排出量が少なかった。；甘味と酸味が強い果物は、ワインの味を硬質で薄いボディに感じさせる。；多くの果樹園では商業的栽培のための果物や堅果のなる果樹で構成されている。；みんなで落ちた果物を片づけている間に、ホームズの姿は消えてしまっていた。；体には独特の香りがあり、果物のような芳香と感じる人もいる。；果物や野菜は通常店の最初の通路にあり、次にパンやケーキが並ぶ。</t>
        </is>
      </c>
      <c r="J2363">
        <f>HYPERLINK("https://www.weblio.jp/content/果物", "词义详情")</f>
        <v/>
      </c>
      <c r="K2363">
        <f>HYPERLINK("https://yourei.jp/果物", "查看例句")</f>
        <v/>
      </c>
    </row>
    <row r="2364">
      <c r="A2364" t="inlineStr">
        <is>
          <t>くだらない</t>
        </is>
      </c>
      <c r="B2364" t="inlineStr">
        <is>
          <t>成功</t>
        </is>
      </c>
      <c r="C2364" t="inlineStr">
        <is>
          <t>読み方：くだらない
［連語］《動詞「くだる」の未然形＋打消しの助動詞「ない」》まじめに取り合うだけの価値がない。程度が低くてばからしい。くだらぬ。くだらん。「—◦ない話」「—◦ないまちがい」「—◦ない連中と付き合う」
→詰まらない［用法］</t>
        </is>
      </c>
      <c r="D2364" t="inlineStr">
        <is>
          <t>くだらないこと(17%)；くだらないもの(6%)；くだらない話(3%)；くだらない事；くだらない男</t>
        </is>
      </c>
      <c r="E2364" t="inlineStr">
        <is>
          <t>無駄；だめ；駄目；無用；やくざ</t>
        </is>
      </c>
      <c r="F2364" t="inlineStr">
        <is>
          <t>こんなくだらない；なんてくだらない；実にくだらない；あんなくだらない；どんなくだらない</t>
        </is>
      </c>
      <c r="G2364" t="inlineStr">
        <is>
          <t>くだらないうた；くだらないい</t>
        </is>
      </c>
      <c r="H2364" t="n">
        <v>29</v>
      </c>
      <c r="I2364" t="inlineStr">
        <is>
          <t>まだあのくだらない男を愛していて、その男のことをやはり考えていた。；そんなくだらない音の羅列を得る為に私はお前と契約したんじゃないぞ!!；彼の手や首にぶら下がっている人間は三十人をくだらなかったのである。；このすべてのくだらないものの中に、美がどうして発見されるのであろう。；作家は、例外なしに実にくだらない人間なのだと自分は思っています。；けれども彼女の話の方が私のくだらない話よりどれだけ実があつたか知れない。；あんなやつは死ぬまでくだらない原稿を一人で書いていればいいんだと思った。；世の中のことは、どんなこともよくよく考えてみればくだらないのだ。；オレらは彼女の笑った顔が見たくて、よくくだらない物語を二人で考えた。；靴がぬれてるとぶつぶつ言うのは、ぼくにはくだらないことだと思えた。；こんなくだらない家で、だれが子供みたいに監督されてられるもんか。；また、あまりにもくだらない答えを言った場合は即座に雷が落とされる。；くだらないそんなのあるわけないとは思いつつも、想像せずにはいられない。；くだらないどうでもいい話がこれほど、楽しいとは樹は思ってもいなかった。；どうして自分が、こんなくだらないことばかり考えているのかわからない。；くだらない絵だと思ったからって、そんなこと、どうだっていいんだよ。；酒を飲むと、僕は非常にくだらない事でも、大声で言えるようになる。；女のくだらなさから一歩も未だ出ていなかったことを笑って下さい。；前者の人々は、くだらない耳だけを問題とするのを、決して許さなかった。；人の数は出入りが激しいので変動はあるが、数万はくだらないという。；どんなくだらない作品でもいいからとにかく書くことだと私は思った。；周囲にいる百人以上の人たちが、今夜はみなくだらない凡俗どもに見えた。；くだらない冗談が好きで、時には度を越した悪ふざけに至ることがある。；くだらない話をしながら歩いていると、うしろから声をかけられた。；クソくだらない言い伝えの一つや二つで俺がなびくとでも思ってるのか。；全国からの目撃例を集めたもので、くだらない内容といえるだろう。；そしてあなたの方から先にあんなくだらない手紙をやり始めたにちがいないですね。；学生の頃はそれこそ、くだらない話を、延々と夜通ししていたんだから。；しかし、この客はくだらないことばかりきいていたのではなかった。</t>
        </is>
      </c>
      <c r="J2364">
        <f>HYPERLINK("https://www.weblio.jp/content/くだらない", "词义详情")</f>
        <v/>
      </c>
      <c r="K2364">
        <f>HYPERLINK("https://yourei.jp/くだらない", "查看例句")</f>
        <v/>
      </c>
    </row>
    <row r="2365">
      <c r="A2365" t="inlineStr">
        <is>
          <t>下り</t>
        </is>
      </c>
      <c r="B2365" t="inlineStr">
        <is>
          <t>成功</t>
        </is>
      </c>
      <c r="C2365" t="inlineStr">
        <is>
          <t>読み方：くだり
１上から下へ、高いところから低いところへ移動すること。また、その道や流れ。「急な—が続く」「川—」⇔上(のぼ)り。
２鉄道の路線や道路で、各線区ごとの起点から終点への方向。また、その方向に走る列車・バス。⇔上(のぼ)り。
３都から地方へ行くこと。「東(あずま)—」「海道—」⇔上(のぼ)り。
４（土地の名に付けて接尾語的に用いて）遠く隔った場所の意を表す。くんだり。
「わざわざ鎌倉—まで出掛けて」〈漱石・彼岸過迄〉
５時間が移ってある刻限の終わり近くになること。また、その時。
「申(さる)の—になり候ひにたり」〈宇治拾遺・一一〉
６《北に内裏があったところから》京都内で北から南に行くこと。⇔上(のぼ)り。
「大宮を—に二条を東へざざめいて引きければ」〈平治・中〉
７電気通信網における、中心から末端に向かう方向。無線・有線通信の基地局から端末、インターネット上でのプロバイダーから利用者のパソコン、通信衛星から通信機など、各通信網の末端方向を下りと見なす。下り方向の回線または通信経路をダウンリンクという。⇔上り。
[下接語] 東(あずま)下り・天(あま)下り・御(お)下り・オランダ下り・海道下り・川下り・京下り・上り下り・腹下り</t>
        </is>
      </c>
      <c r="D2365" t="inlineStr">
        <is>
          <t>下りて来(3%)；下り列車(3%)；下りホーム(2%)；下りてくる；下りていく</t>
        </is>
      </c>
      <c r="E2365" t="inlineStr">
        <is>
          <t>降り；降下；下降；下がり；下落</t>
        </is>
      </c>
      <c r="F2365" t="inlineStr">
        <is>
          <t>下りてゆく；下り口；下りかけ；下り方面；流れ下り</t>
        </is>
      </c>
      <c r="G2365" t="inlineStr">
        <is>
          <t>下り線；下り坂；下りよ；下り松；下りれ</t>
        </is>
      </c>
      <c r="H2365" t="n">
        <v>29</v>
      </c>
      <c r="I2365" t="inlineStr">
        <is>
          <t>近隣住民が線路脇の土手を階段状にして上り下りしているケースもある。；その一方で、上り同士・下り同士の普通の対面接続が終日行われている。；地下10階に下り先へ進む彼らの前に村正を手にした侍が立ちはだかる。；平日夕方の下り方向では運行されず、後述する通勤快速が代わりとなる。；王質が山を下り村に帰ると知っている人は誰一人いなくなっていた。；上りホーム側に駅舎があり、ホーム西端に下りホームへの跨線橋がある。；上りホーム側に面して駅舎があり、下りホームへは跨線橋で連絡している。；下りホームと上りホームとは、新山口寄りにある跨線橋で連絡している。；当駅北野寄りに渡り線があり、下り列車の5番線への入線が可能である。；構内東側に駅舎があり、下りホームへは江津方の跨線橋で連絡していた。；南北に伸びるホームの西側を下り列車が、東側を上り列車が使用する。；駅舎は下りホーム側にあり、上りホームへは構内踏切で連絡している。；下りホーム側に駅舎があり、上りホームへは構内踏切で連絡している。；また上り・下りの運転が可能のため、前作よりボリューム感が増した。；通常は下りの速度が上りの速度よりも高速に設定されている。；一方の既存線は、上下4車線を下り一方向として運用することになった。；下りは15分等間隔で運転されているが、上りは少しずれが生じている。；これに合わせて久々原駅の新設された下りホームが利用開始された。；連絡改札口は大江戸線ホーム中央の階段を下りた所に設置されている。；島の位置未確定のため借地許可は下りなかったが、船の寄港は認められた。；駅舎は下りホーム側にあり、反対側の上りホームへは跨線橋で連絡している。；事故当時、小山は前記国道1号線を駆け下りていたところだったという。；貨物列車などの通過列車は基本的に下り1番線、上り2番線を通過する。；上り・下りのホームへ降りる階段と、駅の東側・西側に降りる階段がある。；なお、南側の路線に下り列車が、北側の路線に上り列車が停車する。；かつて駅舎は以前は下り方に設置されていたが、現在は橋上駅舎となっている。；日中は当駅で上りと下りの電車が交換するダイヤになっている。；駅舎は上りホーム側にあり、下りホームへは地下道で連絡している。；駅舎は上りホーム側にあり、下りホームへは跨線橋で連絡している。</t>
        </is>
      </c>
      <c r="J2365">
        <f>HYPERLINK("https://www.weblio.jp/content/下り", "词义详情")</f>
        <v/>
      </c>
      <c r="K2365">
        <f>HYPERLINK("https://yourei.jp/下り", "查看例句")</f>
        <v/>
      </c>
    </row>
    <row r="2366">
      <c r="A2366" t="inlineStr">
        <is>
          <t>下る</t>
        </is>
      </c>
      <c r="B2366" t="inlineStr">
        <is>
          <t>成功</t>
        </is>
      </c>
      <c r="C2366" t="inlineStr">
        <is>
          <t>読み方：おる
［動ラ上二］「おりる」の文語形。</t>
        </is>
      </c>
      <c r="D2366" t="inlineStr">
        <is>
          <t>下るまい；下る官使；下るれろ</t>
        </is>
      </c>
      <c r="E2366" t="inlineStr">
        <is>
          <t>低下；降伏；落ちる；後退；観念</t>
        </is>
      </c>
      <c r="F2366" t="inlineStr">
        <is>
          <t>ぶら下る；垂れ下る；少し下る；引き下る；駆け下る</t>
        </is>
      </c>
      <c r="H2366" t="n">
        <v>29</v>
      </c>
      <c r="I2366" t="inlineStr">
        <is>
          <t>時代が下って江戸時代にも、中国やオランダから移入された記録がある。；北のスイス国境をなすグラン・サン・ベルナール峠から下った街である。；北の起点である三条通からすぐ南側が南に向かって下る坂になっている。；敷地の端では、エイヴォン川が滝になって流れ下るようになっています。；そこで彼女の手を取ると、テイグリンの渡り瀬に続く道を下っていった。；元町商店街から1本南に下った東西の道に面したところに鎮座している。；また、駅舎はホームの福間方の端から坂を下ったところに設けられていた。；けれどもこんな下らない男には下らぬ心配事にかまけさせておくがいい。；やることといえば、日に四人と下らぬ牢死人の検屍ぐらいのものである。；更にそこから下って北鎌倉駅前の道で出たすぐ左側の橋は十王橋という。；この時追放されたユダヤ人の数は、一六万人を下らなかったと言われている。；さらに時代を下った現在では、ほぼ採用されることのない過去の役となっている。；しかし私にとっては決して詰らぬものでも、下らぬことでもないのです。；大雨が降った場合、これが一気に流れ下って土石流となる可能性がある。；また、山頂からわずかに西の方へ下ったところはカタクリの群落がある。；このまま声をかけずに崖を下ろうとすれば、矢を射かけられるだろう。；一度命令が下れば死をも恐れず戦場へ行けと激励することだってできるんだ。；時代は下ってムガル帝国を経て18世紀までイスラーム国家が存続した。；いずれも南の山脈から下ってきた過去の氷河が形成した地形である。；北に進み階段を下れば、海が広がる砲台跡の長崎ノ鼻の先端に到着する。；とるにたらん下らん奴らに、金のために官職を売り物にするとは何事だ。；下らんことばかり書いて、肝心の用事を書く場所がなくなってしまった。；ホームの最も上り方の階段を下ると、コンコース・改札口に通じている。；そこの本はどの本も下らない、嘘とわかるようなものばかりだった。；他の神々のように動物の姿を取ることはなく、時代が下っても変わらなかった。；夜半少し前に、ルーズベルトは家族と別れて馬車でマーシー山を下った。；下って江戸時代等に全国の諸身分集団を組織化した公家も本所と呼ばれている。；あなたは本気でこんな下らんことを、ご自分やぼくになさるんですか?；素六もその騒動の中で指揮に当たっていたが、江戸に戻るよう命令が下った。</t>
        </is>
      </c>
      <c r="J2366">
        <f>HYPERLINK("https://www.weblio.jp/content/下る", "词义详情")</f>
        <v/>
      </c>
      <c r="K2366">
        <f>HYPERLINK("https://yourei.jp/下る", "查看例句")</f>
        <v/>
      </c>
    </row>
    <row r="2367">
      <c r="A2367" t="inlineStr">
        <is>
          <t>口</t>
        </is>
      </c>
      <c r="B2367" t="inlineStr">
        <is>
          <t>成功</t>
        </is>
      </c>
      <c r="C2367" t="inlineStr">
        <is>
          <t>読み方：く
〈口〉⇒こう
〈工〉⇒こう
〈公〉⇒こう
〈孔〉⇒こう
〈功〉⇒こう
〈垢〉⇒こう
〈紅〉⇒こう
〈貢〉⇒こう</t>
        </is>
      </c>
      <c r="D2367" t="inlineStr">
        <is>
          <t>口をきか；口をつぐん；口径；口をつい；口飲ん</t>
        </is>
      </c>
      <c r="E2367" t="inlineStr">
        <is>
          <t>言葉；開始；入口；開設；隙間</t>
        </is>
      </c>
      <c r="F2367" t="inlineStr">
        <is>
          <t>ひと口；電話口；大きな口；昇降口；改札口</t>
        </is>
      </c>
      <c r="G2367" t="inlineStr">
        <is>
          <t>口実；口元；口笛；口論；口もと</t>
        </is>
      </c>
      <c r="H2367" t="n">
        <v>29</v>
      </c>
      <c r="I2367" t="inlineStr">
        <is>
          <t>いったん口に入れた果物の種や皮などを再度口から出す行為は印象が悪い。；当駅には、広場口南側と広場口北側のそれぞれにバスターミナルがある。；株式会社の株式に相当する投資口を時価で市場で購入することができる。；ところがとされ、現在ではイスラエル人口の過半を占めるに至っている。；長い舌を出して敵キャラクターやアイテムを口に含むことができる。；駅構内にあった階段の一部は博物館への直通連絡口に使われたものがあった。；ずっと伝えられずにいた彼女への想いを口にして、物語は幕を閉じる。；ただ降伏も戦死もしないと口にしていた中島だけは今以て行方が知れない。；なお、この建物横の旧改札口のあった場所は現在駐輪場となっている。；東豊線の駅では早い段階で南改札口の全ての改札機がカード対応になった。；なお、タマネギ隊員の横顔が描かれるときはなぜか普通の口の形状になる。；その他の戦線に戦局悪化の口封じに駆り出された兵士も少なくなかった。；この地上口は扉こそ閉じられているが、休止前と変わらない佇まいである。；新木場寄り改札口とホームとの間を連絡するエレベーターが設置されている。；両者は吹口の部分が共通なので、この部分だけを差し替えることもできる。；南改札口の外はLoop金山の地下2階となっており、店舗が数軒ある。；運転席背後に非常用脱出口が設けられたため、仕切部の窓が小型化された。；実は灯の両親が贈賄に加担しており、灯と両親は口封じに殺害されかける。；近鉄名古屋駅が隣接しており1番線に近鉄連絡改札口が設けられている。；大型の口を持つ魚食性の種類と、小さな口の小動物食性の種類がいる。；蒸気は常に吸気口から排気口へ一方方向へ流れるのでこの名称で呼ばれる。；これは各子音の調音位置を口の内から外の順に並べたものである。；かつては北口を名乗っていたが、北東口誕生に伴い北西口と改名。；全員がタマネギ風の髪型で、同じ形の眼鏡をかけ、菱形の口をしている。；この宣言は、やがて日本にも入ってきて、日本も口話法が主流になっていった。；体の先頭の体節は先節といい、節足動物の眼と口はここに由来する。；日本語では「眼は心の窓」「目は口ほどにものを言い」という表現がある。；左へ行くほど舌が前に出、上へ行くほど口が狭まることを表す。；東口への通路と中央口を結ぶ通路はつながっていなかった。</t>
        </is>
      </c>
      <c r="J2367">
        <f>HYPERLINK("https://www.weblio.jp/content/口", "词义详情")</f>
        <v/>
      </c>
      <c r="K2367">
        <f>HYPERLINK("https://yourei.jp/口", "查看例句")</f>
        <v/>
      </c>
    </row>
    <row r="2368">
      <c r="A2368" t="inlineStr">
        <is>
          <t>愚痴</t>
        </is>
      </c>
      <c r="B2368" t="inlineStr">
        <is>
          <t>成功</t>
        </is>
      </c>
      <c r="C2368" t="inlineStr">
        <is>
          <t>読み方：ぐち
［名］言ってもしかたのないことを言って嘆くこと。「くどくど—を並べる」
［名・形動］《(梵)mohaの訳。痴・無明とも訳す》仏語。三毒の一。心性が愚かで、一切の道理にくらいこと。心の迷い。また、そのさま。
「—な人々の異常に放縦(ほうしょう)な迷信的な崇敬を」〈中勘助・犬〉</t>
        </is>
      </c>
      <c r="D2368" t="inlineStr">
        <is>
          <t>愚痴外来；愚痴一つ；愚痴ひとつ；愚痴っぽい；愚痴めい</t>
        </is>
      </c>
      <c r="E2368" t="inlineStr">
        <is>
          <t>抜け；馬鹿；ばか；足りない；愚か</t>
        </is>
      </c>
      <c r="F2368" t="inlineStr">
        <is>
          <t>こんな愚痴；愚痴ひとつこぼさ；愚痴一つこぼさ</t>
        </is>
      </c>
      <c r="G2368" t="inlineStr">
        <is>
          <t>愚痴り；愚痴っぽく；愚痴っぽい；愚痴ら；愚痴っぽ</t>
        </is>
      </c>
      <c r="H2368" t="n">
        <v>29</v>
      </c>
      <c r="I2368" t="inlineStr">
        <is>
          <t>でも私をここへ連れてきたのはこんな愚痴を言うためじゃないでしょう。；先生と同じようにあなたを信用して、愚痴を言ってはいけませんかしら?；わたしは今年で二十六歳になるが、彼女の口から愚痴を聞いたことがない。；イリヤはこれまでにも愚痴ひとつこぼさずいろんな役割をつとめてきた。；今ではもう決して愚痴をこぼしませんし、いつも楽しそうにしています。；それだけで足りなくてそのあと何度も電話かけてきて、愚痴とからみなのよ。；たとえそのため海軍をやめねばならなくなっても、私は少しも愚痴はいわぬ。；長年、一緒に暮して来たって長患いになれば愚痴の一つも出るもんです。；しばらくして表ノ間の座敷へ帰ると、まだやめずに愚痴をこぼしている。；彼女達は、友達や親には言えない不満や愚痴や将来の夢を書いて送ってくる。；ひとりしかない息子があれでは、愚痴のひとつもいいたくなります。；同僚の仕事の愚痴を聞くのはまるで「仕事をしている」みたいで嫌だった。；また愚痴を云ふやうですが、僕の生活を、半面に於て不幸にしてゐる。；それはいったん涙となって噴き出すとその瞬間から愚痴の形をとる。；何か言われるたび、美和子は波江に愚痴をこぼさずにはいられなかった。；それとも自分がいるからもう愚痴を述べる暇もなくなったのか。；もし勝手に本を売られたのなら、愚痴の一つでもこぼしそうなものだ。；愚痴も厭味も浪之助としては、云い出さないではいられないではないか。；このため、ラジオで発表する際の林原は冗談や愚痴交じりで説明していた。；ナオズミだけは、いつまでも親身になって、ぼくの愚痴を聞いてくれた。；刺激的な仕事とは言えないが、そのことで愚痴をこぼしたりはしない。；バイト先の愚痴や、家で起こった嫌なこと、楽しいことを彼女は話す。；よし話が出来たところが今更いつてみてもみんな愚痴に堕ちてしまふ。；でも私の場合などは愚痴をいう理由の一番少ない方でした。；おしんは竜三になぜ髪結いしてはならないのかと不満と愚痴をこぼす。；他の人の愚痴は平気なのに、何故だか彼女の話だけが鼻についた。；というのは、彼女の話のほとんどが愚痴だということに気がついたからだ。；そんな太田に愚痴を聞いてもらうだけで、私はずいぶん救われたのだ。；それなら初めからやるなよ、と愚痴の一つも空に向けて放ちたくなる。</t>
        </is>
      </c>
      <c r="J2368">
        <f>HYPERLINK("https://www.weblio.jp/content/愚痴", "词义详情")</f>
        <v/>
      </c>
      <c r="K2368">
        <f>HYPERLINK("https://yourei.jp/愚痴", "查看例句")</f>
        <v/>
      </c>
    </row>
    <row r="2369">
      <c r="A2369" t="inlineStr">
        <is>
          <t>口癖</t>
        </is>
      </c>
      <c r="B2369" t="inlineStr">
        <is>
          <t>成功</t>
        </is>
      </c>
      <c r="C2369" t="inlineStr">
        <is>
          <t>読み方：くちぐせ
《古くは「くちくせ」とも》癖のようにいつも言うこと。また、その言葉。</t>
        </is>
      </c>
      <c r="D2369" t="inlineStr">
        <is>
          <t>口癖みたい</t>
        </is>
      </c>
      <c r="H2369" t="n">
        <v>29</v>
      </c>
      <c r="I2369" t="inlineStr">
        <is>
          <t>「量も大切だが最後を決するのは質と精神だ」を口癖としていたという。；結婚していたときは、杏子から口癖のように聞かされてきた言葉だった。；それにルネは口癖のように彼女に向ってこんなことを繰り返していた。；ほかに人がいなきゃ会社もいいところなんだがなというのが彼の口癖だった。；「こうなると思った」 それは多分、生まれる前に聞いた他人の口癖だ。；何でも、昔はもっとのんびりしていたと云うのが父の口癖だったようです。；剣の道はまず心から、と亡くなった祖母は口癖のように言っていた。；それは子供の頃から聞きなれた、ふくの口癖が移ったせいでもあった。；全国をバイクで旅するが口癖だが東京より西へはまだ走ったことがないようだ。；ふと、彼女は、夫が口癖のやうに子供を欲しがつてゐたことを思ひ出した。；そうして「あの頃はいい時代だったよ」とかならず口癖のようにして言った。；「俺は電気に殺されるに違いないんだ」と彼は口癖のように言っていたもんだ。；そして今ではもうあなたのことを口癖のようにしております。；「花から学べ」「人間は絶望しないことが大事なんだ」が口癖であった。；背中にマントをつけたそのヒーローはいつもそう言うのが口癖だった。；殺して欲いの死にたいのと、口癖にいうていて、いざとなるとその通り。；閉じた歯の間から、無意識に、口癖になっている短い曲の口笛が洩れた。；と、課長は、刑事時代からの口癖になっている言葉を、口の中でいってみた。；京極堂の口癖のように、この世には不思議なことなど何ひとつないのだろう。；「あなたは本当にお父さんに似ているわ」 というのが母の口癖になった。；親友の口癖を真似てみて、ほんのちょっとだけ笑えたような気がした。；その日からマーカスは人が変わり「世の中はすべて金だ」が口癖になった。；この奥さんは昔から若くつてゐたいと云ふ事を、口癖のやうにしてゐる人だつた。；その上、道徳なんか下らないことだと、口癖のように言ってるでしょう。；幼い頃、神戸でのあの楽しかった日々に母が口癖のように言っていた言葉を。；「風に芯が出てきたらすぐ冬だぞ」 これは祖母の晩秋の口癖だった。；このようなことは、この入道がいつも口癖のように言っていること。；この口癖は幼い頃からのもので、幼馴染みのユモミの口癖でもある模様。；建設途中の通天閣を見上げながらの、それが彼の口癖だったという。</t>
        </is>
      </c>
      <c r="J2369">
        <f>HYPERLINK("https://www.weblio.jp/content/口癖", "词义详情")</f>
        <v/>
      </c>
      <c r="K2369">
        <f>HYPERLINK("https://yourei.jp/口癖", "查看例句")</f>
        <v/>
      </c>
    </row>
    <row r="2370">
      <c r="A2370" t="inlineStr">
        <is>
          <t>口コミ</t>
        </is>
      </c>
      <c r="B2370" t="inlineStr">
        <is>
          <t>成功</t>
        </is>
      </c>
      <c r="C2370" t="inlineStr">
        <is>
          <t>読み方：くちこみ
うわさ・評判などを口伝えに広めること。「—で売れる」
[補説]マスコミをもじった語。1960年代の初めに使われだした。</t>
        </is>
      </c>
      <c r="D2370" t="inlineStr">
        <is>
          <t>口コミ情報；口コミ等；口コミ投稿；口コミで徐々に；口コミ効果</t>
        </is>
      </c>
      <c r="E2370" t="inlineStr">
        <is>
          <t>伝聞；言伝；風の便り；又聞き；仄聞</t>
        </is>
      </c>
      <c r="H2370" t="n">
        <v>29</v>
      </c>
      <c r="I2370" t="inlineStr">
        <is>
          <t>たいして宣伝もしていなかったから、口コミで伝わっていったのだろう。；営業資金は口コミや、自ら出向いて街で声をかけたりして集めていた。；口コミ、知人の紹介などで会社から直接通訳を依頼されるケースもある。；こんなふうに口コミで伝えられますから、お客さんが映画を見にいきます。；コイデさんの知っている例では「口コミで」がもっとも多かったそうだ。；客の口コミで話題が広がり様々な地元メディアに紹介されるようになった。；番組は、視聴者からの口コミ情報を基にした内容で放送されていた。；昨日起こった事件を今日記事に出来なければ、先に口コミで広がっちゃいますわ。；仮面クラブだったが、やってみると口コミでいろいろな人間が集まって来た。；心霊手術はアメリカでは口コミによって、かなり評判になっているのだ。；その口コミは多くがテレビに出演したパンくんについてのものだった。；中高生などの若者の口コミによって、同社初のヒット小説の1冊となる。；借用方法が簡単と評判もよく、口コミで小樽市民の間によく知られている。；また仕事を探す際には、企業ごとにまとまった口コミを読むことができる。；つまり、このサイトは当初口コミだけで販売していたのである。；薬でずらせることが、口コミで先輩から後輩に伝わっているのである。；ユーザーの口コミと共に全国のレストラン情報が掲載されている。；当初の生徒は2名であったが、口コミで広まり通学生が増加していく。；それぞれの口コミには、以下のような情報が記載されている。；その他にも特例子会社や口コミのデータをまとめて分析をした記事などが掲載されている。；あれは、みな、湘南付近の怪事件が、口コミで伝わったせいに違いない。；お客様に驚きと感動を与えて信頼され、口コミで広げることを目指している。；その後口コミによって次第に観客が増え、会場が満杯になるようになった。；その他、口コミなども知名度戦略の中で看過できない影響力を持っている。；特に利用されるメディアに限定される事なく、その中には人から人へと伝わっていく口コミも含まれる。；しかしその陰には、現代の口コミとでもいうべき、インターネットの存在があった。；大した宣伝もしていないのに、客の口コミで普及したとのこと。；日本では、キャストの多くが無名ながら評判が口コミで広がってヒットした。；どうしても行う場合はRMT業者を評価するサイトや口コミ等から判断を行うしかない。</t>
        </is>
      </c>
      <c r="J2370">
        <f>HYPERLINK("https://www.weblio.jp/content/口コミ", "词义详情")</f>
        <v/>
      </c>
      <c r="K2370">
        <f>HYPERLINK("https://yourei.jp/口コミ", "查看例句")</f>
        <v/>
      </c>
    </row>
    <row r="2371">
      <c r="A2371" t="inlineStr">
        <is>
          <t>口先</t>
        </is>
      </c>
      <c r="B2371" t="inlineStr">
        <is>
          <t>成功</t>
        </is>
      </c>
      <c r="C2371" t="inlineStr">
        <is>
          <t>読み方：くちさき
１口の先端。「—をとがらせる」
２本心でないうわべだけの言葉。ただ口でだけ言っている言葉。また、ものの言い方。「—だけの約束」「—で人を言いくるめる」「—のうまい人」</t>
        </is>
      </c>
      <c r="D2371" t="inlineStr">
        <is>
          <t>口先一つ；口先ひとつ；口先三寸；口先丈</t>
        </is>
      </c>
      <c r="E2371" t="inlineStr">
        <is>
          <t>言葉；言；言語；用語；舌</t>
        </is>
      </c>
      <c r="G2371" t="inlineStr">
        <is>
          <t>口先介入</t>
        </is>
      </c>
      <c r="H2371" t="n">
        <v>29</v>
      </c>
      <c r="I2371" t="inlineStr">
        <is>
          <t>岩吉が口先だけでものを言う人間でないことを、二人はよく知っていた。；しかし、神戸くんが口先でいいかげんなことをいってるとは思いません。；口先のうまい商人の彼は、商業の町ルーセラーレを象徴する人物である。；ところが第二のアメリカ向けには、口先のみの同意が返ってくるのみ。；ラジのいっていることが口先だけでないということがわかったからだ。；それは君が口先で否定してもぼくがいちばんよく知っている。；だが、それすら自分の口先一つでどうにでもなるような脆弱さを持っている。；それよりも口先だけで非難してやるがいい、どうあろうとてもね。；だがこのことは口先や一時の興奮でできることではなかった。；大体、海ば渡ってきとる人間の腹ん中は、口先とは大分違いますけんな。；その言葉は口先だけのもの、私どものは胸の底から溢れ出たものでございます。；しかし何を云っても口先で人を云いくるめようとする心だけは宜しくない。；いずれにせよ、口先だけで死を望んでも、桜は真に死ぬことを是とはせん。；僕はいつまでも口先で諸君と争っていることが面倒くさくなって来たんだ。；その時の彼の態度は、ここに述べている彼の考えが口先だけでないことを証明している。；よし嘘でないにしたところで、単に口先の云い前と思わなければならなかった。；ただ口先きばかりを働かしたとてとても徹底的な仕事は出来るものではない。；その代わりに彼は、噛み合う歯と広い口先は魚食性を示していると述べた。；体は硬い皮膚に覆われているが口先はやわらかく、感覚に優れている。；鼻孔はアザラシ類と同様に口先先端部から口先の上部へ移動している。；口さきで言い合いをやっとるだけで、それ以上、一歩も出てはおらん。；そういう意味では口先だけのネット人間ではなかったことになる。；頭骨は平たくて長く、口先の幅は広いという進歩的な特徴を持っている。；強制されてのそれでもなければ、口さきだけのお世辞でもないと俺は思った。；また歯は非常に貧弱で、口先が幅の狭い嘴状になっているのも特徴的。；古泉はフッと口先で笑って俺との会話を打ち切り、ハルヒに目を向けた。；しかし、こうした案はすべてただ口先だけでおわってしまうのが常だった。；数キ口先で、氷の巨大な錨がフィアンマを抱えたまま起爆した音だった。；本当ですよ、これは口先だけでこう言うんじゃない、心からのことなんです。</t>
        </is>
      </c>
      <c r="J2371">
        <f>HYPERLINK("https://www.weblio.jp/content/口先", "词义详情")</f>
        <v/>
      </c>
      <c r="K2371">
        <f>HYPERLINK("https://yourei.jp/口先", "查看例句")</f>
        <v/>
      </c>
    </row>
    <row r="2372">
      <c r="A2372" t="inlineStr">
        <is>
          <t>口ずさむ</t>
        </is>
      </c>
      <c r="B2372" t="inlineStr">
        <is>
          <t>成功</t>
        </is>
      </c>
      <c r="C2372" t="inlineStr">
        <is>
          <t>読み方：くちずさむ
［動マ五（四）］
１詩や歌などを思いつくままに口にしたり歌ったりする。「懐かしの歌を—・む」
２うわさをする。
「不義淫乱の噂を—・めば」〈当世下手談義・五〉</t>
        </is>
      </c>
      <c r="D2372" t="inlineStr">
        <is>
          <t>口ずさむ声が聞こえ</t>
        </is>
      </c>
      <c r="E2372" t="inlineStr">
        <is>
          <t>口吟む</t>
        </is>
      </c>
      <c r="H2372" t="n">
        <v>29</v>
      </c>
      <c r="I2372" t="inlineStr">
        <is>
          <t>閉じた唇から楽しい音楽を口ずさみ、おれは残りのかねをしまい込んだ。；母親のように、いつもそれを口ずさんでいたのではないかと思います。；下町は少し悠さんの歌を聞いていたが、すぐに自分も口ずさみはじめた。；彼女は懐しい故里の野の歌を口ずさむ、 ありし日の彼が愛した調べを。；私はつぎつぎと上から落ちてくるこの道具をうけとめながら口ずさんだ。；テレビの中の歌手にあわせて口ずさむと、盈の浅黒い顔が心に広がった。；こんな詩を口ずさんでいる人間と、まともな対話が成立するであろうか。；すなわち元はこの土地にも同じ歌が、幼い人々に口ずさまれていたのである。；翌日とかに、気がつくと口ずさんでいたりしたのではないだろうか。；私はそういう時、自分の心を静めるために、いつも一つの歌を口ずさむ。；王宮の前で星の印を描いた子供や、ヘイゼルが口ずさんでいたあの曲だ。；口ずさんでいるのを子供に聞かれ、意味を質問されても、答えやすい。；そのあいだあの人は昔の歌のきれぎれを、しきりと口ずさんでおりました。；私はこの詩句を口ずさむことで、いつも人生に賑わいを感じるのですが。；そのとき、静かな声がローランサン夫人の耳に、ある言葉を口ずさんだ。；死んだ祖父が晩酌をする時、よく口ずさんでいた古い唄がきこえてきた。；そして次のような詩を、ひそかに口ずさむ静かな声が聞こえました。；美空ひばりの歌を自然に口ずさみ気づいた頃には歌の世界を目指していた。；ここでも利休は前掲の慈鎮和尚の歌を口ずさんだかもしれないのである。；学生どもの口ずさむメロディが何度も頭の中でリフレインしていただけだ。；顔を上げて、由希子は音のありかを探るように自分でも口ずさんでみた。；克己は寝床で、入浴しているAが歌を口ずさんでいるのを耳にしている。；自分の室の前に立つと、鼻声で何か口ずさんでいる民夫の声が聞えた。；廊下を歩きながら口ずさんだだけで憶えられた薬の名前をすぐ忘れる。；かつてある夜のこと、眠らずに横になりながら、ふと詩句を口ずさんだ。；水たまらねば月も宿らずと、口ずさんでやりたいような気分になりました。；それはほとんどが民謠で、他の連中は、楽の音に合わせて口ずさんだ。；機嫌のいい酔漢が出鱈目な歌を口ずさんでいるような呑気な調子である。；かれはよく知っているメロディを耳にしてそっと口ずさんでいた。</t>
        </is>
      </c>
      <c r="J2372">
        <f>HYPERLINK("https://www.weblio.jp/content/口ずさむ", "词义详情")</f>
        <v/>
      </c>
      <c r="K2372">
        <f>HYPERLINK("https://yourei.jp/口ずさむ", "查看例句")</f>
        <v/>
      </c>
    </row>
    <row r="2373">
      <c r="A2373" t="inlineStr">
        <is>
          <t>口出し</t>
        </is>
      </c>
      <c r="B2373" t="inlineStr">
        <is>
          <t>成功</t>
        </is>
      </c>
      <c r="C2373" t="inlineStr">
        <is>
          <t>読み方：くちだし
［名］(スル)他人の話に割り込んで自分の意見を言うこと。差し出口。容喙(ようかい)。「だいじな話に横から—するな」</t>
        </is>
      </c>
      <c r="D2373" t="inlineStr">
        <is>
          <t>口出しすること(5%)；口出しできる；口出しする権利；口出し線；口出しする資格</t>
        </is>
      </c>
      <c r="E2373" t="inlineStr">
        <is>
          <t>荷物；障害；故障；邪魔；妨害</t>
        </is>
      </c>
      <c r="F2373" t="inlineStr">
        <is>
          <t>口出しでき；一切口出し；よけいな口出し；いっさい口出し；うるさく口出し</t>
        </is>
      </c>
      <c r="H2373" t="n">
        <v>29</v>
      </c>
      <c r="I2373" t="inlineStr">
        <is>
          <t>そのようなことをいうと、決まって口出しをしてくる学者たちがいる。；結婚相手を決めるといっても、それに口出しする権利はまったくないの。；あなた様が口出しされないなら、手前は指示通り動かなければなりません。；しかし、私は口出しはせずに、負傷した足をいたわりながら坐っていた。；他人の恋愛事に相談とは言え口出しをする趣味は持ち合わせていない。；頼んでもいないのに、何かと文代は文化委員の仕事に口出しをしてくる。；そういう人に、ああしろこうしろなんて口出しできる人間はいないんです。；だから何の関係もない、彼の離婚話にもっともらしく口出ししていたわけだ。；宇宙に文句を言っても始まらないから他人のことにはあまり口出ししません。；おかげで誰にも口出しされずに、現場の画像を調べ直すことができる。；この人は、ほんとうによけいな口だし以外のことができないのだろうか。；余計な口出しはしたくなかったが、これはなんといっても結婚なのだ。；営業に編成に球場に口出しが過ぎるという声が多くあったのは確かだ。；相手のことを思えばこそ、つい要らざる口出しもしたくなるのだろう。；他人が口出しするようなことじゃないと思って黙って見てたけどんもぉ限界よ。；それに最近、何かというと口出ししてくる警察が黙っているだろうか?；設計段階からかなりの口出しをしていたから、艦の形状はすべて頭に入っていた。；まあ、達也もこの展開を予想していたからさっきは口出ししなかったのだが。；君のからだは君のものだから、どう使おうと他人が口出しは出来ないもんな。；隣で妻が心配気な表情で宇兵を見ているが、余計な口出しは一切ない。；こんどはだれにも口出しさせずに成功させなくちゃならない。；ロシアがこのような手段を講じても、ヨーロッパは口出しできません。；儀式のあいだは口出ししない約束だが、終わってからまでは縛られていない。；今まで老人は口出しも出来ずに黙っていたが、今は違っていた。；学会の裁定にまでは口出しできなくても、発表順ぐらいは操作できたのか。；間桐家の事情は複雑らしく、慎二と桜の関係に口出しすることはできない。；ここは下手に口出しせず、マーナが心の整理をつけるのを待つべきだろう。；それにリディアとのことを認めるとか、こいつに口出しされたくない。；しかし、こういう横からの口出しはいかがなものかと内心では思っていた。</t>
        </is>
      </c>
      <c r="J2373">
        <f>HYPERLINK("https://www.weblio.jp/content/口出し", "词义详情")</f>
        <v/>
      </c>
      <c r="K2373">
        <f>HYPERLINK("https://yourei.jp/口出し", "查看例句")</f>
        <v/>
      </c>
    </row>
    <row r="2374">
      <c r="A2374" t="inlineStr">
        <is>
          <t>口に合う</t>
        </is>
      </c>
      <c r="B2374" t="inlineStr">
        <is>
          <t>成功</t>
        </is>
      </c>
      <c r="C2374" t="inlineStr">
        <is>
          <t>読み方：くちにあう
飲食物の味が好みに合う。「お—・えばよろしいのですが」</t>
        </is>
      </c>
      <c r="D2374" t="inlineStr">
        <is>
          <t>好む；好んで食べる</t>
        </is>
      </c>
      <c r="H2374" t="n">
        <v>29</v>
      </c>
      <c r="I2374" t="inlineStr">
        <is>
          <t>この段階では主鏡の位置合わせが行われておらず、焦点は合っていない。；これらの要素は、単独で存在するのではなく、相互に関係し合っている。；いったん口に入れた果物の種や皮などを再度口から出す行為は印象が悪い。；当駅には、広場口南側と広場口北側のそれぞれにバスターミナルがある。；また、東西お互いに相手を非難するプロパガンダ放送を流し合っていた。；かつての夫と妻は距離をおいたまま、身じろぎもせず互いを見つめ合う。；周王室の領土は東西に分裂し、狭い範囲で互いに争い合う有様であった。；しかし、復帰したショーンはこれを認めずに互いに王者を主張し合った。；遊戯として雪を投げ合うことは古くから行われていたものとみられている。；プレーヤーの特定の趣味嗜好に合うか合わないかで分類する場合もある。；株式会社の株式に相当する投資口を時価で市場で購入することができる。；ところがとされ、現在ではイスラエル人口の過半を占めるに至っている。；私は共産主義者に命を狙われているし、危険な目には何度も合いました。；娘の姉たちは嫉妬の色を隠せないでいるが、一家は娘の幸福を喜び合う。；波打つので、見かけ上は押し合って南北に上下しているように見える。；このようにして細胞集団は互いに影響し合い大きな構造を形成する。；通常は利用部門が利用目的に合ったデータのみを所持するものである。；かぶった者は一寸法師のように帽子のサイズに丁度合う程度に小さくなる。；これにより一族の中での世代間の長幼の序を確認し合うことができる。；また一部の建築技術などはイスラム文化と相互に影響し合っている。；混合物とは、単体の複数の種類のものが混じり合ってできたもののこと。；しかし、現実には、同種の財を互いに輸出・輸入し合う場合も見られる。；青森市立三内西小学校と同時に隣り合うように建てられた中学校である。；大学入学後に自分が大学に合っていないと感じることをミスマッチ入学と呼ぶ。；そうした様々なせめぎ合いがこのアルバムには反映されているという。；長い舌を出して敵キャラクターやアイテムを口に含むことができる。；そのため、1日交代で学校に通って授業内容を教え合ったりしていたという。；貨幣博物館蔵 その後これら寺院群は政治に口を出すようになった。；駅構内にあった階段の一部は博物館への直通連絡口に使われたものがあった。</t>
        </is>
      </c>
      <c r="J2374">
        <f>HYPERLINK("https://www.weblio.jp/content/口に合う", "词义详情")</f>
        <v/>
      </c>
      <c r="K2374">
        <f>HYPERLINK("https://yourei.jp/口に合う", "查看例句")</f>
        <v/>
      </c>
    </row>
    <row r="2375">
      <c r="A2375" t="inlineStr">
        <is>
          <t>嘴</t>
        </is>
      </c>
      <c r="B2375" t="inlineStr">
        <is>
          <t>成功</t>
        </is>
      </c>
      <c r="C2375" t="inlineStr">
        <is>
          <t>読み方：くちばし
《「口端(くちばし)」の意》鳥類の口の部分に突出する、上下のあごの骨の表面が角質化したもの。えさをとるほか、水飲み、羽の手入れにも使う。食性により形はさまざま。カモノハシやウミガメにもみられる。</t>
        </is>
      </c>
      <c r="D2375" t="inlineStr">
        <is>
          <t>嘴状(2%)；嘴基部(2%)；嘴先端；嘴鴉；嘴管</t>
        </is>
      </c>
      <c r="E2375" t="inlineStr">
        <is>
          <t>くちばし；喙；觜</t>
        </is>
      </c>
      <c r="F2375" t="inlineStr">
        <is>
          <t>上嘴；鋭い嘴；下嘴；大きな嘴；赤い嘴</t>
        </is>
      </c>
      <c r="G2375" t="inlineStr">
        <is>
          <t>嘴骨；嘴平伊之助；嘴細鴉</t>
        </is>
      </c>
      <c r="H2375" t="n">
        <v>29</v>
      </c>
      <c r="I2375" t="inlineStr">
        <is>
          <t>口にはよく発達した口球があり、その中に嘴状の顎板と歯舌をそなえる。；歯が融合して嘴状となっていることが、ベラ科との重要な鑑別点である。；尾は比較的長いが、長い嘴をもつ典型的なカワセミ科の形態をしている。；嘴の上部にある角質突起は嘴に沿った単純な形状で、角状にはならない。；嘴の先端と翼の下半分は黒色をしており、腹は黒と白の縞模様をしている。；吻部には広がった角質の嘴を持ち、数百の発達した頬歯を備えていた。；アヒル口とは、鳥類のアヒルの嘴に似た形状を持つ人間の口を指す言葉。；オスは頭部が青灰色で、嘴から眼を通り側頭部にかけて黒い筋模様が入る。；大きな目に見える赤い模様は擬態で、嘴状の部分に本当の目がある。；花の唇がたちまち変じて、鳥の嘴にでも化けるような、部屋働の驚き方。；目の回りには白い皮膚の露出した領域があり、嘴までつながっている。；橙色の羽毛や鋭い嘴を持ち、他の鳥竜種よりも鳥類に近い姿をしている。；長い尾と比較的小さなくちばしを持ち、その両側面には嘴縁突起がある。；ツノメドリ類のように獲物を加えて離さないように太い嘴を持つ種もいる。；他のアジサシ類と比べると嘴が太く、足が長めであることが特徴である。；嘴は直線的で太く長いが、いくつかの属ではやや湾曲し先端が上下へ向かう。；眼上部に眉状の白い筋模様と、嘴から眼を通り側頭部にかけて黒い筋模様が入る。；プランクトン食を支持する軟組織の薄層が嘴に存在した可能性も高い。；現生のカメ類の特徴である嘴を持っていたが、歯を残していた。；雌のからだは雄に比べて淡く、嘴やめの周囲の黄色い部分が目立たない。；嘴のように突き出していた口は頬まで裂け、タラコ唇のようになっている。；また歯は非常に貧弱で、口先が幅の狭い嘴状になっているのも特徴的。；その結果、そうやって埋められた面から嘴だけが突き出した姿となる。；一部の動物では口の縁が硬化して嘴を形成し、歯を失っている。；先端部はやや急に狭まって短めの嘴状となり、その口には2つの小歯がある。；ボイトゥーテイは巨大なオウムの頭と嘴を持つ巨大な蛇の姿をとる。；額にはくちばしが延長したような「額板」があり、額板と嘴は白色である。；先端には短い嘴があり、また腺があって粘り、先端にやや硬い環がある。；繁殖期前に雄は、嘴を上に向け頸を高く伸ばすディスプレイ行為を行う。</t>
        </is>
      </c>
      <c r="J2375">
        <f>HYPERLINK("https://www.weblio.jp/content/嘴", "词义详情")</f>
        <v/>
      </c>
      <c r="K2375">
        <f>HYPERLINK("https://yourei.jp/嘴", "查看例句")</f>
        <v/>
      </c>
    </row>
    <row r="2376">
      <c r="A2376" t="inlineStr">
        <is>
          <t>口走る</t>
        </is>
      </c>
      <c r="B2376" t="inlineStr">
        <is>
          <t>成功</t>
        </is>
      </c>
      <c r="C2376" t="inlineStr">
        <is>
          <t>読み方：くちばしる
［動ラ五（四）］
１無意識のうちにしゃべってしまう。「激怒してあらぬことまで—・る」
２調子に乗って、言ってはならないことをうっかり言う。「つい秘密を—・る」</t>
        </is>
      </c>
      <c r="D2376" t="inlineStr">
        <is>
          <t>言う；云う；表す；述べる；放つ</t>
        </is>
      </c>
      <c r="H2376" t="n">
        <v>29</v>
      </c>
      <c r="I2376" t="inlineStr">
        <is>
          <t>心にもないことを口走ってしまっている、そう思うこともできただろう。；同時に私は、自分で行って夫を殺してやるということを口走ったのです。；鍵番の男が前にいることも忘れて、大きな声で考えていたことを口走った。；そのときダーンリイが、誰かを待っているようなことを口走ったという。；あの女の担当を続けるならわたしの担当を降りろ、と口走ってしまった。；うっかりしたことを口走ったら取り返しのつかないことになりかねない。；それにその幽霊は、出る度毎に、似たようなことを口走るわけでしょう?；それに乗って直芳が下を見た時に、思わず知らず口走ったのであった。；わたしは熱にうかされていたときに何度かラムベルトのことを口走った。；心の準備もなく、重大なことを口走ってしまった、と慌てているのだろう。；どうしたら雛田が自分を好きなままでいてくれるだろうかと考えて口走った。；その上、私に神のことさえ口走ったのは打算でいう必要などどこにもない。；だが、長身の影の方では、長谷の意を受けるかのように口走るのだった。；口走った言葉でジョージ卿が変わったかと見れば、一人悦に入っている。；今朝もその話になったとき、自分が電話をしましょうと口走ってしまった。；人の好さそうな志摩子さんの顔を見たら、つい口走ってしまったのだ。；しかし追究して馬鹿なことを口走られては困るから、もう構わなかった。；くだらぬことを口走らせようというのが、悪魔の作戦なのかもしれない。；なぜ、フラウ・ボウの名前を口走ったのだろうかと、自分でも不思議だ。；稀ではあるが彼はこんな支離滅裂かついい加減なことを口走ってきた。；ユウはわけのわからない言葉を口走りながら、機体を必死に操作した。；ツバイも何か意味にならない事を口走りながらアインともみ合っている。；今自分が違う男の名前を口走ったことに、気がついていないとしか思えなかった。；また、あのとき口走った大作のことばは、いったいどういう意味だろう。；今思うと、確かにどうして俺はあんなわけのわからない事を口走ったのだろうか。；どうやら俺は決定的に取り返しのつかないことを口走ってしまったようだ。；逆上していることは確かだが、朱実の口走っていることに嘘はないらしい。；警察がそれをつかんで追及すると、きみは〝誰かの謀略だ〟と口走った。；わけのわからない言葉を口走りながら、かれは部屋から飛び出した。</t>
        </is>
      </c>
      <c r="J2376">
        <f>HYPERLINK("https://www.weblio.jp/content/口走る", "词义详情")</f>
        <v/>
      </c>
      <c r="K2376">
        <f>HYPERLINK("https://yourei.jp/口走る", "查看例句")</f>
        <v/>
      </c>
    </row>
    <row r="2377">
      <c r="A2377" t="inlineStr">
        <is>
          <t>唇</t>
        </is>
      </c>
      <c r="B2377" t="inlineStr">
        <is>
          <t>成功</t>
        </is>
      </c>
      <c r="C2377" t="inlineStr">
        <is>
          <t>読み方：くちびる
１口腔の入り口を囲む薄い皮に覆われた部分。飲食・発音・呼吸の器官。口唇(こうしん)。
２花びら。
「春くれど野べの霞につつまれて花の笑(ゑ)まひの—も見ず」〈永久百首〉</t>
        </is>
      </c>
      <c r="D2377" t="inlineStr">
        <is>
          <t>唇をきつく；唇をわななか；唇を固く；唇を尖らせる；唇を引き結ん</t>
        </is>
      </c>
      <c r="E2377" t="inlineStr">
        <is>
          <t>下唇；脣；上唇；リップ</t>
        </is>
      </c>
      <c r="F2377" t="inlineStr">
        <is>
          <t>薄い唇；赤い唇；厚い唇；紅い唇；唇歯摩擦音</t>
        </is>
      </c>
      <c r="G2377" t="inlineStr">
        <is>
          <t>唇をかみしめて；唇音；唇を奪う；唇形花；唇歯音</t>
        </is>
      </c>
      <c r="H2377" t="n">
        <v>29</v>
      </c>
      <c r="I2377" t="inlineStr">
        <is>
          <t>このチクチクする感じは腕から顔の方へ拡大していき、唇や舌に達する。；下顎は長くて湾曲しており、下唇を両側から囲んで先端で互いに接する。；外側核からの線維は顔面神経頬枝となって頬筋と頬唇筋を支配している。；唇や顔の一部や手は運動野の細胞の特に大きい領域を占めている。；下唇は長さより幅が大きく、先端は切り落とされたような形となっている。；これによって舌と唇の間の空間が広くなり、周波数が下がるのだという。；唇にもその症状が発生し、顔面と手の治療は困難だと言われている。；ビヨンセはその言葉を言った後に唇の上に指を添えて「おっと」と言う。；下唇と上歯で閉鎖を作り、一気に開放することによって起こる破裂の音。；舌や唇などの調音器官の位置・動きは通常発声とほとんど変わらない。；外唇縁は狭い幅で反転して薄いリップ状となり、辺縁に褐色小点が並ぶ。；唇は両方とも歯の上に丸め、上唇がさらに「」に沿っていることが多い。；説明を終えると、今度はアルマンドラの方からハンクに唇を重ねてくる。；唇を長時間開けたままにするため、口の端が炎症を起こすことがある。；下唇と上歯が接近することで作られた隙間から生じる音。；奏者は正面ではなくやや左を向き、右に首をかしげて唇を歌口に当てる。；下唇を上の歯の内側に置き、それをはじいて元の位置に戻すことで音を出す。；両唇と硬口蓋の二カ所を接近することで作られた隙間から生じる音。；殻口は軸唇に鋸歯状の低いギザギザが並ぶが、その他に突起などはない。；唇の丸みを伴ったものを円唇母音、そうでないものを非円唇母音と呼ぶ。；節足動物の体において下唇と呼ばれる構造は、以下の例が挙げられる。；リップクリームの使用目的は唇と外気との間に薄い油膜を作ることである。；唇は薄くあまり頑丈ではないが、筒のように前に突き出すことができる。；殻口は内・外唇ともに肥厚して狭く縦長に開き、両側に歯状突起が並ぶ。；この病気により彼の唇は青色になったり、急性な窒息を起こしたりした。；舌や唇などをあまり緊張させずに発音することが特徴である。；これらは下唇の小さい鱗の腹側にあるのが側面からも見える。；彼の身体は完全に骨化しており、わずかに唇を動かすことのみ可能であった。；この義体には下唇が無いので栄養パックの交換などで必要な栄養を補う。</t>
        </is>
      </c>
      <c r="J2377">
        <f>HYPERLINK("https://www.weblio.jp/content/唇", "词义详情")</f>
        <v/>
      </c>
      <c r="K2377">
        <f>HYPERLINK("https://yourei.jp/唇", "查看例句")</f>
        <v/>
      </c>
    </row>
    <row r="2378">
      <c r="A2378" t="inlineStr">
        <is>
          <t>口ぶり</t>
        </is>
      </c>
      <c r="B2378" t="inlineStr">
        <is>
          <t>成功</t>
        </is>
      </c>
      <c r="C2378" t="inlineStr">
        <is>
          <t>読み方：くちぶり
話し方のようす。ものの言い方。言葉つき。「偉そうな—」「大人の—をまねる」</t>
        </is>
      </c>
      <c r="D2378" t="inlineStr">
        <is>
          <t>口ぶりでこう</t>
        </is>
      </c>
      <c r="E2378" t="inlineStr">
        <is>
          <t>口調；言い方；話し方；口吻；口振り</t>
        </is>
      </c>
      <c r="F2378" t="inlineStr">
        <is>
          <t>慎重な口ぶり；げな口ぶり；さりげない口ぶり；穏やかな口ぶり；やうな口ぶり</t>
        </is>
      </c>
      <c r="H2378" t="n">
        <v>29</v>
      </c>
      <c r="I2378" t="inlineStr">
        <is>
          <t>しかしその後会ったときの口ぶりから、結婚はしていないように感じた。；彼女の口ぶりからまだ一度もそこを訪ねていないことは明らかである。；先輩の口ぶりは、まるで俺がその転校生の事を知っているような感じだ。；その口ぶりは、まるで日美香がここにいることを知っていたようだった。；年老いた父親は、息子の存在などすでに忘れているような口ぶりだった。；あの口ぶりだとその連中に狙われたものは確実に命を落としているらしい。；それはわたくしと一緒に散歩に出たときの口ぶりでも想像されます。；さらに二人の口ぶりが愚痴や文句を超えていることにはもっと驚いた。；しかも彼の口ぶりではどうやら何か端緒をつかんでいる様子なのです。；その口ぶりから、アンリエッタがその結婚を望んでいないことがわかる。；しかし、子爵の口ぶりによると、何か複雑な家庭的事情があったらしい。；ひとを見下ろしたような口ぶりで話す若者に、一瞬領主は気をのまれた。；まるで、自分の過去に何千年もの文明が控えているかのような口ぶりだった。；先生も伊吹さんにお会いになったことがおありのような口ぶりでしたからね。；彼の口ぶりでは、どうやらわしを手下の一人と思い込んでいるらしいぞ。；さっきの電話の口ぶりが、なんだかそんなふうに感じられましたからね。；半三郎の口ぶりは静かであるが、これまでとは違った調子があった。；仮面の男は、また会えるようなことを確信をこめた口ぶりで言っていた。；姉の口ぶりからいってもその類のものが存在することは確かです。；努めて何でもないような口ぶりでしたけれど、どこか焦ったような感じで。；まるでその天災が彼女一人のためにのみ起ったかのような口ぶりで話した。；何でも明日にでも牝牛を売るような口ぶりにはみんなも驚いて笑い出した。；その口ぶりを聞けば、彼がその気にならないことははっきりしていた。；しかも口ぶりからすると、それぞれが俺と結ばれているような印象を受ける。；やっと相手の口を開かせられたからだろう、余裕が戻った口ぶりだ。；メノリが糸胞にやられるのをよろこんでいるみたいな口ぶりじゃないか。；まるでレンブラントの作といわれるかとでも思っていたような口ぶりである。；こういうシニックな口ぶりになった時、彼の頭脳は最もよく働いている。；もし、医者の強い反対さえなければ、いまでも続けたそうな口ぶりだった。</t>
        </is>
      </c>
      <c r="J2378">
        <f>HYPERLINK("https://www.weblio.jp/content/口ぶり", "词义详情")</f>
        <v/>
      </c>
      <c r="K2378">
        <f>HYPERLINK("https://yourei.jp/口ぶり", "查看例句")</f>
        <v/>
      </c>
    </row>
    <row r="2379">
      <c r="A2379" t="inlineStr">
        <is>
          <t>口紅</t>
        </is>
      </c>
      <c r="B2379" t="inlineStr">
        <is>
          <t>成功</t>
        </is>
      </c>
      <c r="C2379" t="inlineStr">
        <is>
          <t>読み方：くちべに
１化粧のために唇に塗る紅。ルージュ。
２器物の縁、特に陶磁器の口縁を赤く彩色すること。また、彩色したもの。</t>
        </is>
      </c>
      <c r="D2379" t="inlineStr">
        <is>
          <t>口紅棒；口紅を濃く；口紅を引き直し；口紅を塗りなおし；口紅異次元獣</t>
        </is>
      </c>
      <c r="F2379" t="inlineStr">
        <is>
          <t>真っ赤な口紅；濃い口紅；薄く口紅；真赤な口紅；濃く口紅</t>
        </is>
      </c>
      <c r="H2379" t="n">
        <v>29</v>
      </c>
      <c r="I2379" t="inlineStr">
        <is>
          <t>家にある口紅が似ていると思ったってさ、それくらいで、持ってくるか?；どこから手に入れたのか、ワインレッドの口紅を引いている者もあった。；三十すぎた女だったら手元に三七〇〇円あったら口紅を買うものだという。；付いているのは口紅に相違ないが、それは唇から付いたんじゃありません。；口紅の跡がグラスの縁につくのではないかという想像が一瞬頭に浮かんだ。；初めて塗った口紅はなんだかそこだけが急に十は歳をとったようにみえた。；付いてゐるのは口紅に相違ないが、それは唇から付いたんぢやありません。；色の入ったリップクリームは、わずかに残った口紅を隠してくれるのだ。；昼の間きちんと描かれていた眉や口紅は、枕にこすれて落ちてしまった。；下着姿を晒しているのに、口紅のことが気になるものかと不思議だった。；前にね、お茶碗のふちに、前の日の口紅が残っていたことがあるんです。；しかし、その何かが、あの真赤な口紅に通じているのかも知れなかった。；私は真赤に老婆の口紅の跡のついているところを避けて反対側から飲んだ。；ほんの少しいつもと違う色の口紅を選ぶことで、女は歩き方まで変わるのだ。；目立たないようにしたいときは、赤い口紅をつけないようにしていた。；ちょうど口紅を持ち歩くように、第二の天性みたいになってるんですわ。；これまであまりつけたことのない、燃えたぎるような真紅の口紅だった。；口紅をつけたきみをはじめて見たけど、高校生じゃない顔になってた。；あのバッグの中には、口紅や手鏡に混じって拳銃が入っているのだろう。；だが彼女がテーブルに置いたグラスに口紅はついていなかった。；口紅をきれいに引き直してから、少し左右を向いた顔もチェックする。；しかもその口紅は、頬のあたりまではみ出すように塗りたくられていた。；ぼくの視界の中で、紅い口紅がくっきりとついたストローが揺れていた。；唇にも口紅は塗られておらず、そのほかの化粧もまったくしていなかった。；マオはディオールの口紅を彼女に渡して、〝あんたはいい女になるわよ。；いずれも口紅らしいものが使われている点でも共通している。；おしろい気のない顔に、口紅だけをさして、髪は結び下げにしていた。；唯一の例外は、反町愛が郡司教授から分析を依頼された口紅のことだった。；口紅なんかつけて、赤い花柄の洋服なんて着ちゃってて、なんだあれは。</t>
        </is>
      </c>
      <c r="J2379">
        <f>HYPERLINK("https://www.weblio.jp/content/口紅", "词义详情")</f>
        <v/>
      </c>
      <c r="K2379">
        <f>HYPERLINK("https://yourei.jp/口紅", "查看例句")</f>
        <v/>
      </c>
    </row>
    <row r="2380">
      <c r="A2380" t="inlineStr">
        <is>
          <t>ぐちゃぐちゃ</t>
        </is>
      </c>
      <c r="B2380" t="inlineStr">
        <is>
          <t>成功</t>
        </is>
      </c>
      <c r="C2380" t="inlineStr">
        <is>
          <t>［副］(スル)
１水分を多く含んでやわらかくなったり形が崩れたりしているさま。また、そういうものをつぶしたり、まぜたりしたときの音を表す語。「—した雪どけ道」
２愚痴や不満などをしつこく言うさま。「—（と）文句を言う」
［形動］
１水気をたっぷり含んでやわらかくなったり形が崩れたりしているさま。「ぬれて—になった新聞紙」
２物事が混乱して、きちんとしていないさま。「—に結んだ帯」「—に書きなぐったメモ」
［アクセント］はグチャグチャ、はグチャグチャ。</t>
        </is>
      </c>
      <c r="D2380" t="inlineStr">
        <is>
          <t>びしょびしょ；グチャグチャ；ドロドロ；ぐしょぐしょ；ぐじゃぐじゃ</t>
        </is>
      </c>
      <c r="H2380" t="n">
        <v>29</v>
      </c>
      <c r="I2380" t="inlineStr">
        <is>
          <t>何かわけの分からない生物が路上でぐちゃぐちゃになって死んでいた。；指の先は、他の犬に喰いちぎられたのか、ぐちゃぐちゃになってました。；麻子さんは頭の先から顎の下まで、汗と涙でもうぐちゃぐちゃだった。；よく見ると、通路をはさんだ向かいの壁もぐちゃぐちゃになっている。；口のなかで臓物色のなにかぐちゃぐちゃしたものが噛み砕かれている。；歩くたびにびしょびしょのブーツの中で足がぐちゃぐちゃ音をたてた。；でも・・・でも・・・ 頭の中は、再びぐちゃぐちゃだ・・・。；あの子だって、銀行に勤めてて、不倫だとかでぐちゃぐちゃになった。；懸命に平静を装ってはいたが、頭の中はぐちゃぐちゃに混乱していた。；そして、嵐みたいにぐちゃぐちゃになった心の一方で、頭はクリアでもいた。；イヴリンはこう書いたが、すぐに線をぐちゃぐちゃと引いて消した。；その笑顔を、あたしは涙でぐちゃぐちゃの顔で、いつまでもいつまでも見ていた。；口の中がぐちゃぐちゃになっていて、見ていて気持ち悪い。；ぐちゃぐちゃに震えたその足で、最初の一歩を踏み出そうとする。；宅に入ると、助手が運んでくれた荷物は、ぐちゃぐちゃに壊れている。；肉体が他人の体とぐちゃぐちゃに一体となって死んでゆくとき、母は表現できないほどの喜びを感じていたのではないか。；体中に無事なところはないだろうというほど、ぐちゃぐちゃに傷ついている。；僕は、一人目は写真でしか見てないんだけれども、二人目なんかはぐちゃぐちゃ。；この前もあたしの本をぐちゃぐちゃにしたのよ!；視界のすべてが、ぐちゃぐちゃに歪んでまともに目の前が見えない。；最後のほうは、自分でもなに言ってるかわかんないくらい言葉がぐちゃぐちゃになっていた。；単に、残雪が解けて境内がぐちゃぐちゃではないかと危ぶんだからだ。；本来そこにあったはずの調和がぐちゃぐちゃに崩れて、まったく別の何かがそこに出現してしまう。；頭の中なんて始めっからぐちゃぐちゃなんだよ!；猫は暴れて部屋がぐちゃぐちゃに汚れて、みんなで大掃除しなくてはならなかった。；これならきっと、人が死んだりぐちゃぐちゃになったりはしない、楽しい内容に違いない。；彼女は涙でぐちゃぐちゃになった顔を上げた。；そして、床一面に、点々と赤いぐちゃぐちゃしたものが落ちているのにも気がついた。；そうでなければ、相手は顔の骨をぐちゃぐちゃに潰されて、即死していただろう。</t>
        </is>
      </c>
      <c r="J2380">
        <f>HYPERLINK("https://www.weblio.jp/content/ぐちゃぐちゃ", "词义详情")</f>
        <v/>
      </c>
      <c r="K2380">
        <f>HYPERLINK("https://yourei.jp/ぐちゃぐちゃ", "查看例句")</f>
        <v/>
      </c>
    </row>
    <row r="2381">
      <c r="A2381" t="inlineStr">
        <is>
          <t>口調</t>
        </is>
      </c>
      <c r="B2381" t="inlineStr">
        <is>
          <t>成功</t>
        </is>
      </c>
      <c r="C2381" t="inlineStr">
        <is>
          <t>読み方：くちょう
１口に出したときの言葉の調子。「—のいい、気のきいた言い回し」
２ものの言い方のようす。声の出し方や言葉の使い方などに表れた特徴。「改まった—」「師の—をまねる」</t>
        </is>
      </c>
      <c r="D2381" t="inlineStr">
        <is>
          <t>口調でこう；口調で尋ね；口調で言いまし；口調で話しはじめ；口調で話し始め</t>
        </is>
      </c>
      <c r="E2381" t="inlineStr">
        <is>
          <t>音；調子；響き；調；言い方</t>
        </is>
      </c>
      <c r="F2381" t="inlineStr">
        <is>
          <t>静かな口調；命令口調；穏やかな口調；厳しい口調；丁寧な口調</t>
        </is>
      </c>
      <c r="H2381" t="n">
        <v>29</v>
      </c>
      <c r="I2381" t="inlineStr">
        <is>
          <t>転身前後で口調や性格が大きく変わる場合が多いが、声優は変わらない。；この口調で見るとこの御客さんはやはり金田君の世話になる人と見える。；だが少女は敏捷にそれを利用して、子供つぽい口調で話しはじめてゐた。；ちよつとしたことを云ふにもすぐ激したやうな口調になる若ものである。；その歯切れのよい口調には、何かしら耳なれた響きがあったではないか。；口調は関西弁だが、アニメでは後にほとんど標準語で話すようになった。；またウィル・オ・ウィスプの口調が前作同様になっているものも存在した。；しかしより以上自然な口調にもう一改良の余地はあるように思った。；私は彼の使った通りを、彼と同じような口調で、再び彼に投げ返したのです。；東北訛りに似た独特の口調と傍若無人ともいえる振る舞いが特徴である。；多くの異なった口調や主張のエイリアンと様々な対話をすることができる。；当初は関西弁で書かれ更新されていたが、現在では普通の口調になっている。；クラスごとの口調は、通常口調とワイルド口調の2つに分別されている。；その広東語訛りの口調が魅力となり、日本での芸能活動の中で定着した。；彼が真摯な口調で話すと、彼の声ははっきりと大きな声で会場に響き渡った。；原作初期では普通の女口調だったが、最近では理沙同様男口調になっている。；けだるそうな口の利き方であったが、その口調には妙な魅力があった。；群山の話の口調が、彼の地所に家を建てた男にそっくりであったから。；その口調に動かされた健三は、自然古風な自分の父を眼の前に髣髴した。；彼はまた兄のような口調でいろんな話を聞かせてくれます。；彼の口調は強く感情的だったが、内省的で気弱な面を垣間見せてもいた。；そのため、ナギや美希、歩と異なり、男口調で話したことは一度もない。；それ以来実家にいる母に電話をすると、母の口調は自身を心配するものに変わった。；勝利メッセージからもその様子が見てとれ、口調は全て片仮名で表記される。；同じくたけしのキャラクターである鬼瓦権造を彷彿とさせる口調が特徴。；中川夫人はその折立ち合ったので、勧誘員の口調を思い出したのである。；このドラマ上での森田の剣道着姿や台詞、口調を物真似される事もある。；少女の口調で返事をしたのは意外にも赫ら顔の百姓男だった。；その内の首領らしい覆面の男が重々しい口調でこんなことを云ったのです。</t>
        </is>
      </c>
      <c r="J2381">
        <f>HYPERLINK("https://www.weblio.jp/content/口調", "词义详情")</f>
        <v/>
      </c>
      <c r="K2381">
        <f>HYPERLINK("https://yourei.jp/口調", "查看例句")</f>
        <v/>
      </c>
    </row>
    <row r="2382">
      <c r="A2382" t="inlineStr">
        <is>
          <t>朽ちる</t>
        </is>
      </c>
      <c r="B2382" t="inlineStr">
        <is>
          <t>成功</t>
        </is>
      </c>
      <c r="C2382" t="inlineStr">
        <is>
          <t>読み方：くちる
［動タ上一］［文］く・つ［タ上二］
１腐って形がくずれたりぼろぼろになったりする。「—・ちて今にも壊れそうな廃屋」
２評判が衰えてしまう。すたれる。「今なお—・ちることのない名声」
３むなしく人生を終える。「世に出ることもなく—・ちる」</t>
        </is>
      </c>
      <c r="D2382" t="inlineStr">
        <is>
          <t>朽ちることなく(2%)</t>
        </is>
      </c>
      <c r="H2382" t="n">
        <v>29</v>
      </c>
      <c r="I2382" t="inlineStr">
        <is>
          <t>もとからガタのきているこの地区でも頭二つ抜けた朽ちっぶりであった。；なんとかしなくては、全く自分で自分を朽ちさせてしまうようなものだ。；李張は朽ちかけた衣服に包まれた白骨を抱いてその眼の前にあらわれた。；無限かと思えるほどの可能性を残して、心朽ちぬままに身が朽ちたのだ。；頭部にはかつて角のついた大修道院長の帽子だったものが朽ちていた。；政治的疑問は取りあえず放っておいて、朽ちかけた石階段を駆け上がる。；舟つき場のタイヤもボコボコに朽ちて、今はもう使われていないらしい。；かなり年代物で、朽ちかけていたのか途中であっさりと千切れてしまった。；将来に希望を繋ぐには朽ちかけて来た命の綱が今にも切れそうである。；わたくしはたれにも知られず巨きな森のなかで朽ちてしまうのです。；この町の、人家を離れた山間に、朽ちかけた野舞台があったためである。；ジープで山道をたどり、今はすでに朽ちてない襲われた家の跡に立った。；朽ちかけた建物の隅の椅子の上で、市朗は昨夜と同じように膝を抱えている。；兄は私を土の臭いを嗅いで朽ちて行っても惜しくないように見ていた。；それは老い朽ちるための時間ではなく、成熟と発酵に必要な時間だった。；しかし、注意してみると、原のそこかしこに太い切株が朽ちかけている。；壁面は、ぼんやりした星雲の光で見たほどには朽ちていなかったのだ。；斯くの如くしてわたくしの身は草木の如く徒に老い朽ちて行くのである。；窓は吹き破られたりひびが入ったりしており、椅子の木は朽ちていた。；棟が低く、萱葺きの朽ちかかったような屋根に手が届くくらいであった。；朽ちない肉体を持つ存在だったのに、たった二十五年でこの姿である。；朽ちた革の袋を下げた一人は、三枚の木の羽根のついた鳴子を振っている。；はやる小説ばかりある中で、この一冊は朽ちない美しさを持っているだろう。；どうにもならぬ人間たちが朽ちかかつた階段を降りて巷へ出て行く。；西北隅の部屋などは、もう朽ちかけて足を踏みいれることもできなかった。；それは明らかに、スタート台の右端でひっそり朽ちていた十号機だった。；ならばこの土牢から一歩も出ずに朽ちようと、同じことではありませぬか!；お仲の骨はすっかり朽ちて、この杉の一部となっているに違いない。；わたくしはたれにも知られず巨きな森のなかで朽ちてしまふのです。</t>
        </is>
      </c>
      <c r="J2382">
        <f>HYPERLINK("https://www.weblio.jp/content/朽ちる", "词义详情")</f>
        <v/>
      </c>
      <c r="K2382">
        <f>HYPERLINK("https://yourei.jp/朽ちる", "查看例句")</f>
        <v/>
      </c>
    </row>
    <row r="2383">
      <c r="A2383" t="inlineStr">
        <is>
          <t>靴</t>
        </is>
      </c>
      <c r="B2383" t="inlineStr">
        <is>
          <t>成功</t>
        </is>
      </c>
      <c r="C2383" t="inlineStr">
        <is>
          <t>読み方：か
［常用漢字］　［音］カ（クヮ）（呉）（漢）　［訓］くつ
〈カ〉くつ。「軍靴・製靴・半靴(ほうか)・隔靴掻痒(かっかそうよう)」
〈くつ（ぐつ）〉「靴音・靴下・靴墨／雨靴・革靴・木靴・短靴・長靴・半靴」</t>
        </is>
      </c>
      <c r="D2383" t="inlineStr">
        <is>
          <t>靴をはい(4%)；靴跡；靴先；靴直し；靴足袋</t>
        </is>
      </c>
      <c r="E2383" t="inlineStr">
        <is>
          <t>履物；下足；履き物；履きもの；はき物</t>
        </is>
      </c>
      <c r="F2383" t="inlineStr">
        <is>
          <t>ズック靴；古靴；白い靴；高い靴；深靴</t>
        </is>
      </c>
      <c r="G2383" t="inlineStr">
        <is>
          <t>靴音；靴屋；靴底；靴紐；靴箱</t>
        </is>
      </c>
      <c r="H2383" t="n">
        <v>29</v>
      </c>
      <c r="I2383" t="inlineStr">
        <is>
          <t>そして何度も悪魔は靴に大量に金を入れるが靴は一杯になる事はなかった。；そこで兵隊が自分の靴一杯に金が入ったならば立ち去ろうと条件を出す。；外国では自動車の相対価格が上昇し、自動車が輸出され靴が輸入される。；歩き始めたばかりの子供向けの靴には整形外科学的機能が施されている。；このうちおよそ600足の靴がマリキナ市の靴博物館に展示されている。；アイスホッケー用以外の靴を競技に用いるのは危険なため禁止されている。；靴はそれ以外の履物に比べ覆う面が多いため、足を保護する効果が高い。；襲われた男の痛みは両の手を挙げた仕草や脱げた靴などで表現されている。；また、小型で柄付きのものは布製の靴を水洗いするためにも用いられる。；登下校時の靴は黒あるいは白を基調としていれば特に指定はされていない。；ローマ兵士にはと呼ばれる左右の形が同じではない靴が支給された。；回転靴製法は現代でもダンス用など一部の特殊な靴に使われている。；主に靴のデザインを手がけていたが、服のデザインも手がけるようになる。；農民として働く事ができなくなった彼はロンドンで靴作りを学んだ。；ディタの家には、クリスチャンが作ってくれた靴専用のコーナーがある。；当初は靴の甲全面に装着されていたが、代を経るごとに修正されている。；当初は靴を玄関で預けていたが、後に靴のまま上がるようになった。；企業や学校などでは衣類や靴、清掃用具等を収納するために利用される。；その2日後のフリーでは演技直前の6分間練習の後に靴の問題が発生した。；無色を含めていろいろな色のものがあり、靴の色に合わせて選ぶ事ができる。；その靴を履いたネッサローズは、たちまち歩くことが出来るようになる。；これを靴につけると、自分の身代りとして意のままに操ることができる。；彼は妻と息子をゴリへ残し、トビリシに靴工場を見つけてそこへ移住した。；しかし子供は、靴がぼろぼろになるまで何度も歩いて家に帰ってきてしまう。；享保になって、はじめて筒の短い足袋が一般化し、これを半靴と称した。；カウボーイブーツはアメリカのカウボーイが使用していた乗馬靴である。；靴の作り方を知らないため、その後十年がかりで職人から学んだという。；一方、別の少年は家の靴製造工場を継ぐことよりもサッカーに興味がある。；帰国後靴が壊れていたことがわかり靴を換えなければならなかった。</t>
        </is>
      </c>
      <c r="J2383">
        <f>HYPERLINK("https://www.weblio.jp/content/靴", "词义详情")</f>
        <v/>
      </c>
      <c r="K2383">
        <f>HYPERLINK("https://yourei.jp/靴", "查看例句")</f>
        <v/>
      </c>
    </row>
    <row r="2384">
      <c r="A2384" t="inlineStr">
        <is>
          <t>苦痛</t>
        </is>
      </c>
      <c r="B2384" t="inlineStr">
        <is>
          <t>成功</t>
        </is>
      </c>
      <c r="C2384" t="inlineStr">
        <is>
          <t>読み方：くつう
からだや心に感じる苦しみや痛み。「—に顔がゆがむ」「精神的—を与える」</t>
        </is>
      </c>
      <c r="D2384" t="inlineStr">
        <is>
          <t>苦痛以外；苦痛なし；苦痛そのもの；苦痛感；苦痛と死</t>
        </is>
      </c>
      <c r="E2384" t="inlineStr">
        <is>
          <t>困難；痛み；苦しみ；悩み；苦</t>
        </is>
      </c>
      <c r="F2384" t="inlineStr">
        <is>
          <t>肉体的な苦痛；精神的な苦痛；大きな苦痛；著しい苦痛；ひどい苦痛</t>
        </is>
      </c>
      <c r="H2384" t="n">
        <v>29</v>
      </c>
      <c r="I2384" t="inlineStr">
        <is>
          <t>それでも止めることを選択できない場合、それを続けるのが苦痛になる。；現実の中で強い自我意識を持つ人物の人生の苦痛と真実を描く作家である。；この治療法であれば吐き気・嘔吐や脱毛がないので患者の苦痛が少ない。；それは人類や病気や苦痛と同じように古い、永遠の黒いポエジーである。；そして、芸術家たちは美としての苦痛を表現しているのだと主張した。；その啓示に従うものもいるが、啓示を苦痛と感じ悪の道に進む者もいる。；診断基準Eは著しい苦痛あるいは機能の障害であることを要求している。；またハーンが戦死したことに苦痛と満足のこんがらかったものを感ずる。；主に患者の苦痛の軽減や一時的な症状改善の目的で行われる治療のことである。；苦痛は本物なのかと、何度も他の囚人や刑務所長の間で議論になった。；心配性の人は不安な状態でいる間、疲労し肉体的な苦痛を感じる傾向にある。；生姜の根を新しくむくたびに犠牲者の苦痛の持続時間が更新されていく。；彼女にとってより苦痛であったのは、私と連絡が取れなかったことである。；シャーマンは苦痛にもがきながら「誰がやったかわからない」と答えた。；なお、この病気には痛みや苦痛が無いため、特に治療の必要はない。；数千人の幸福と喜びは、一人の人間の苦痛を補うことまではできない。；自身の子供時代の苦痛な出来事を映画化したものである。；障害や重大な苦痛を引き起こさない限り、それ自体は診断上適切ではない。；この頃は特にピアノが好きではなく、むしろ苦痛だったという。；根本的に対人関係を苦手・苦痛としている者が起こるのが前提である。；この苦痛を伴う方法は、参政権論者や医療専門家から非難を浴びた。；日本統治での恐怖と凶暴さ、我々の祖先の苦痛と勇気を、記録しています。；これは従来の処刑器よりも苦痛を与えないとされた。；彼女は、身体的苦痛を制御するためにオピオイドを実験的に使用した。；急な坂だらけの街であるので、長く住んでいる人でも息が切れて苦痛を感じることが多い。；そして、苦痛に耐えながら改造手術を受けて電気人間となった。；非適応的で、臨床的に著しい苦痛や機能の障害を呈している必要がある。；それは最も名誉ある仕事であると同時に、苦痛と孤独を知る仕事でもあった。；しかし、過剰な刺激を与えた場合には、痛みや苦痛を感じさせる場合もある。</t>
        </is>
      </c>
      <c r="J2384">
        <f>HYPERLINK("https://www.weblio.jp/content/苦痛", "词义详情")</f>
        <v/>
      </c>
      <c r="K2384">
        <f>HYPERLINK("https://yourei.jp/苦痛", "查看例句")</f>
        <v/>
      </c>
    </row>
    <row r="2385">
      <c r="A2385" t="inlineStr">
        <is>
          <t>覆す</t>
        </is>
      </c>
      <c r="B2385" t="inlineStr">
        <is>
          <t>成功</t>
        </is>
      </c>
      <c r="C2385" t="inlineStr">
        <is>
          <t>読み方：くつがえす
［動サ五（四）］
１ひっくり返す。裏返す。「大波が船体を—・す」
２倒して滅ぼす。転覆させる。「政権を—・す」
３それまで正しいものとされてきた考え方や決定を根本から変える。「常識を—・す」「第一審の判決を—・す」
[可能]くつがえせる</t>
        </is>
      </c>
      <c r="D2385" t="inlineStr">
        <is>
          <t>覆すべく；覆す可能性；覆す画期的；覆す快進撃；覆す新しい</t>
        </is>
      </c>
      <c r="E2385" t="inlineStr">
        <is>
          <t>逆転；壊滅；倒す；反転；打倒</t>
        </is>
      </c>
      <c r="H2385" t="n">
        <v>29</v>
      </c>
      <c r="I2385" t="inlineStr">
        <is>
          <t>なぜ子供のときに聞いた言葉が、おとなになったいま覆されるのだろう。；この際彼は祖父の11代公の時代に行われた工事成果のいくつかを覆した。；こうして日本酒の概念を覆す酒が誕生したが、当時は厳しい声が上がった。；信長は百余年続いた戦国時代の常識を覆す奇想天外の策を考案していた。；ロンドンへ接続するその集中的なサービスを覆さないことを認めた。；それにしても私に覆さって来るあの人たちの雰囲気はいいとはいえないわ。；「常識を覆す」のは結果であって、それが目的であってはならないのだ。；どれほどの力を持つ戦士であっても、圧倒的な数の不利を覆すのは難しい。；田辺は自分の常識を覆す現象が次々と目の前で起きた衝撃に恐怖した。；わたしがそうしたいと言ったら、彼女にそれを覆すことはできないのである。；ところでこの散歩こそ彼の気分を、彼の決心を完全に覆させるものになった。；こうしたシャロンの行動はオスロ合意の経緯をすべて覆すものであった。；プロの魔術師であっても、これだけの状況を覆す事はできないだろう。；一、二審で認められた再審の開始を最高裁が覆した初のケースとされる。；そこで予想を覆す出来事が待っているのが不幸な上条さんのパターンなのよ?；自分たちの決定を覆すような敵対意見には耳を貸さないのが普通です。；そして、高岡をよく知る人間によってこれまでの事実が覆されてしまう。；小さな波が一つ覆さつて引いた時には石は見えませんでした。；既にして策あり、その神算鬼謀をもって時の不利を覆すつもりであった。；そしてそれは刑事の気負いを根本から覆すような内容であるにちがいない。；しかし1928年に戦国時代の遺跡から筆が発見されたのでこの説は覆された。；いったんは改修継続の同意を得たのだが、覆された結果となった。；親父には、おそらく僕の結婚の意志を簡単に覆す自信があっただろうと思う。；けれど、ルールが覆されて初めて、人は自分が何から守られていたか知る。；何人もの男の決心とやらを覆した経験はあるが、今度は駄目だと一発でわかる。；王は王妃に遵守の撤回を求められても、一度した約束を覆すのを拒んだ。；どの時点でどの情報が提示されたのか、そしてその情報が覆されたのはいつなのか。；簡単な事実だからこそ、それを覆すようなホロの夢はあまりにも難しいのだ。；ところがこの方針が、日本電気の反対にあって覆されることになった。</t>
        </is>
      </c>
      <c r="J2385">
        <f>HYPERLINK("https://www.weblio.jp/content/覆す", "词义详情")</f>
        <v/>
      </c>
      <c r="K2385">
        <f>HYPERLINK("https://yourei.jp/覆す", "查看例句")</f>
        <v/>
      </c>
    </row>
    <row r="2386">
      <c r="A2386" t="inlineStr">
        <is>
          <t>くっきり</t>
        </is>
      </c>
      <c r="B2386" t="inlineStr">
        <is>
          <t>成功</t>
        </is>
      </c>
      <c r="C2386" t="inlineStr">
        <is>
          <t>［副］(スル)物の姿や形が非常にはっきりとしているさま。「—（と）した画像」</t>
        </is>
      </c>
      <c r="D2386" t="inlineStr">
        <is>
          <t>くっきりと見え(3%)；くっきりと浮かび(2%)；くっきりと浮き；くっきりと浮かん；くっきりとつい</t>
        </is>
      </c>
      <c r="E2386" t="inlineStr">
        <is>
          <t>はっきり；明瞭；ありあり；ありありと；判然</t>
        </is>
      </c>
      <c r="F2386" t="inlineStr">
        <is>
          <t>背景にくっきり；くっきりと白く；くっきりと白い；くっきりと影；くっきりと刻ま</t>
        </is>
      </c>
      <c r="H2386" t="n">
        <v>29</v>
      </c>
      <c r="I2386" t="inlineStr">
        <is>
          <t>あの靴跡があまりくっきりと残っていなかったことを忘れないでください。；それははっきりと姿を現わし、その表面に手の形がくっきりと見えていた。；下にはその顔が鏡にうつしたように、くっきりと水にうつッていました。；その奥の庭の端れの壁の上にくっきりと黒く塗った人形が吊してあった。；やっぱり、くっきりと白い三日月は昨日のように残っているのであった。；だが、彼女の心の中に、そのことだけがくっきりと残っているのだった。；体の模様がくっきりしており網の目のように見えることからこの名がある。；例の山々は裸岩の尖峯をなして植物帯の上にくっきりと聳え立っていた。；この黒い人影は、向こうの山の緑を背にして、くっきりと浮かんで見えた。；この額の下には、くっきりとした、まっすぐの眉を描かねばならない。；切れ長の目とくっきりした眉は、美人というよりは凛々しい印象だった。；ふと、俺は坂口の右の目尻にくっきりと傷が走っていることに気付いた。；防水布が暗い影を地上に投げ、その両端に楔形の光がくっきりと見えた。；彼は入江の向こうに、空を背にくっきり浮かびだしてきた丘に眼をやった。；そしてその向こうに、黒々とした大陸が、暗闇の中にくっきりと見えた。；今しも天井を走った稲妻が、突然その男の姿をくっきりと照らしだした。；昼下がりの太陽がアスファルトの上にくっきりと二人の影を落としている。；メトネの表面はアルベドの異なる2つの領域にくっきりと分かれている。；電話線の束のようなわだちがくっきりと小径の中央に残っているのだ。；よろよろ歩いて行くと、正面の高いところに光がくっきり燃えている。；太陽の光が、彼らの頭やからだの側面を、くっきりと照らし出していた。；夜の空が海の上いっぱいに広がり、星がどれもみなくっきりと鮮明だった。；そこに、くっきりした字で285大浦と書いた紙がはりつけられている。；髪は黒々とし、茶色の目の上に、まっすぐな二本の眉がくっきりしていた。；この更に重要な街道には、地面にくっきりと車輪の跡がついていた。；それが、ぎらぎらした日の光の中に、くっきりと而も遠く浮出していた。；おれの方を向いている背中に彫りものがくっきりと描かれていた。；焼きごてを当てたように、くっきりとそこには描かれているマークがあった。；彼女の深紅色のローブは伝統的な金星風に身体の線をくっきり見せている。</t>
        </is>
      </c>
      <c r="J2386">
        <f>HYPERLINK("https://www.weblio.jp/content/くっきり", "词义详情")</f>
        <v/>
      </c>
      <c r="K2386">
        <f>HYPERLINK("https://yourei.jp/くっきり", "查看例句")</f>
        <v/>
      </c>
    </row>
    <row r="2387">
      <c r="A2387" t="inlineStr">
        <is>
          <t>屈指</t>
        </is>
      </c>
      <c r="B2387" t="inlineStr">
        <is>
          <t>成功</t>
        </is>
      </c>
      <c r="C2387" t="inlineStr">
        <is>
          <t>読み方：くっし
《指を折って数える意から》多くの中で、特に数え上げるに値するほどすぐれていること。指折り。「国内—の強豪チーム」</t>
        </is>
      </c>
      <c r="D2387" t="inlineStr">
        <is>
          <t>有数；突出；格別；抜群；卓越</t>
        </is>
      </c>
      <c r="H2387" t="n">
        <v>29</v>
      </c>
      <c r="I2387" t="inlineStr">
        <is>
          <t>そんな中で屈指の美人姉妹に席をつめてもらえる俺は絶対についている。；そのことが、一帯をアフリカ屈指の景勝地・狩猟地にしてきたのである。；リンカン司教は、中世にはイングランドの中でも屈指の力を持っていた。；今後は、ヨーロッパでも屈指の展覧会設備となることが目指されている。；地下86mに位置し、世界でも屈指の深い場所にある駅となっている。；江戸時代には幕府が管理する長さ120間の東海道屈指の大橋であった。；モビルスーツの整備にかけてはアーガマ内でも屈指の技術を持っている。；図書館の書籍量、各研究機関など、世界でも屈指の規模とレベルを誇る。；フランスを流れる川としては長さ・流域面積とも屈指のものとなっている。；城の周囲に水路を縦横に張り巡らせた九州屈指の難攻不落の城とされる。；サヴォイア家は欧州でも屈指の名家であり、権威ある貴族の一族だった。；国内では最大、世界的に見ても屈指の有力な海洋調査船となっている。；両軍合わせて120隻超というこの海戦の規模は当時屈指のものだった。；髪をのばしたため、イラストが本作で屈指の可愛さになってしまいました。；約250種知られている粘着式の食虫植物中では屈指の大型種である。；この試合は新人王戦の中でも屈指の好勝負として語り継がれる程であった。；木蘭を演じた人は、当時の中国でも屈指の美人女優であったとか。；ここには九州でも屈指の熊本県の母なる菊池川が南北に流れている。；また大規模競技場やカナダ東部屈指の映画・テレビスタジオもある。；当時揚水発電としては日本最大、世界でも屈指の揚水発電所と呼ばれた。；終わってみれば史上でも屈指の勝率となる67勝15敗の成績だった。；この事件はニューヨーク社交界の歴史の中でも屈指のスキャンダルとなった。；列強に支配されていた中国人の怒りと悲しみが伝わる屈指の名場面となっている。；日本書紀に、当時の歴代天皇が訪れたことが記載されている日本屈指の古湯である。；漁師を生涯の仕事と決めなければ、辺境でも屈指の戦闘士となっていただろう。；日本は周りが全て海に面しているために、世界的に見ても屈指の海運国である。；飲食系およびデザイン・芸術系学部は台湾屈指の大学とみなされている。；国内では屈指の大きさの太陽像を得ることができる。；善行は人型戦車を使った戦術理論では日本でも屈指の人物だぞ。</t>
        </is>
      </c>
      <c r="J2387">
        <f>HYPERLINK("https://www.weblio.jp/content/屈指", "词义详情")</f>
        <v/>
      </c>
      <c r="K2387">
        <f>HYPERLINK("https://yourei.jp/屈指", "查看例句")</f>
        <v/>
      </c>
    </row>
    <row r="2388">
      <c r="A2388" t="inlineStr">
        <is>
          <t>靴下</t>
        </is>
      </c>
      <c r="B2388" t="inlineStr">
        <is>
          <t>成功</t>
        </is>
      </c>
      <c r="C2388" t="inlineStr">
        <is>
          <t>読み方：くつした
靴をはくときなどに、足に直接つける衣料。ストッキング・ソックスなど。くつたび。</t>
        </is>
      </c>
      <c r="D2388" t="inlineStr">
        <is>
          <t>靴下をはい(4%)；靴下留め；靴下止め；靴下をはか；靴下一足</t>
        </is>
      </c>
      <c r="E2388" t="inlineStr">
        <is>
          <t>ソックス</t>
        </is>
      </c>
      <c r="F2388" t="inlineStr">
        <is>
          <t>黒い靴下；絹靴下；赤い靴下；長い靴下；新しい靴下</t>
        </is>
      </c>
      <c r="G2388" t="inlineStr">
        <is>
          <t>靴下屋；靴下フェティシズム；靴下人形</t>
        </is>
      </c>
      <c r="H2388" t="n">
        <v>29</v>
      </c>
      <c r="I2388" t="inlineStr">
        <is>
          <t>私は側にあった布切れを彼に与えておき、靴下を二枚重ねて足に穿いた。；ブロアは靴下をはいた足で階段の降り口へ音のしないように走っていった。；あの汚れた私の靴も靴下も掃除されてゐて、見苦しくはなくなつてゐた。；古い靴下で作られた小さな袋が捕虜のズボンの内側に取り付けられていた。；ベルトが穴のあいた靴下をはいているのにはオメー夫人も眉をひそめた。；それから、自分の靴下のことがなんだかひどく気がかりのようだったな。；これからは、だれがおまえたちに靴下や靴をはかせてくれるのかしらね?；真名古は靴下のままノソノソと地面を歩いて、玄関からまた内部へ入る。；その靴下止めは追剥どもにも、どうしたのやらおぼえがありませんでした。；そして私の妻が服をぬぐのを手伝い、私の靴や靴下もぬがせようとした。；何十ぺんツギをあてたか分らぬような、雑巾のような靴下をはいている。；彼は快活な背の低い老人で、教服をまくって下から赤い靴下を出していた。；当初は東京都江戸川区にて営業し、靴下の製造・販売をメインとしていた。；靴下の先は通常分割されていないが、つま先が分割されている靴下もある。；彼女は黒い靴下を椅子の傍に蛇のやうにうねうねさせて、窓ぎはに立つた。；僕が最初に行ったところは、先に見ておいた靴下と手袋の売場だった。；いままで部屋の中では、靴下しかはいていなかったのですからね。；今はボタン穴のかがり方と靴下のつぎ方を教えてやっております。；当時の報道によると1日に毛糸の靴下200足が使われていたという。；そのとき彼はふと、さっきラズミーヒンが言った靴下のことを思い出した。；わたしは真相を知ったために、きみに靴下を捜して来てくれと頼んだ。；紫色の靴下をはいていなければ若い将校とでも思うところだった。；そして、靴下を相手にラオコーンそっくりの様子をして見せたものだ。；日本では、学生は制服を着て、靴と靴下を穿かなければいけなかった。；それも皆ヘレネが靴下留めにパリスの手を触れさしたからではないか。；彼女はそれをポケットから取り出した古い靴下の底に入れた。；かなり皺くちゃな服に靴をはいていたが、靴下ははいていなかった。；ほかに理由がありますか、脱ぎたいから靴や靴下なしで歩いたのでしょう。；黒い靴下を腿のつけ根まではいた巴里のカンカン踊りをやった時なのだ。</t>
        </is>
      </c>
      <c r="J2388">
        <f>HYPERLINK("https://www.weblio.jp/content/靴下", "词义详情")</f>
        <v/>
      </c>
      <c r="K2388">
        <f>HYPERLINK("https://yourei.jp/靴下", "查看例句")</f>
        <v/>
      </c>
    </row>
    <row r="2389">
      <c r="A2389" t="inlineStr">
        <is>
          <t>ぐっすり</t>
        </is>
      </c>
      <c r="B2389" t="inlineStr">
        <is>
          <t>成功</t>
        </is>
      </c>
      <c r="C2389" t="inlineStr">
        <is>
          <t>［副］
１深く眠っているさま。熟睡するさま。「—（と）眠っている」
２物を突きさす音、また、そのさまを表す語。
「泥濘(ぬかるみ)へ—片足を踏み込み」〈荷風・つゆのあとさき〉
３十分にするさま。
「雪を掻いて祝儀を貰ひ、晩には—暖まらう」〈伎・霜夜鐘十字辻筮・四〉</t>
        </is>
      </c>
      <c r="D2389" t="inlineStr">
        <is>
          <t>ぐっすり寝(9%)；ぐっすり眠りこん(4%)；ぐっすり眠る(3%)；ぐっすりと眠りこん(2%)；ぐっすりと寝(2%)</t>
        </is>
      </c>
      <c r="E2389" t="inlineStr">
        <is>
          <t>すやすや；昏々</t>
        </is>
      </c>
      <c r="F2389" t="inlineStr">
        <is>
          <t>晩ぐっすり；そのままぐっすり；朝までぐっすり；疲れてぐっすり；ぐっすり眠りこけ</t>
        </is>
      </c>
      <c r="H2389" t="n">
        <v>29</v>
      </c>
      <c r="I2389" t="inlineStr">
        <is>
          <t>しかし、二人ともその時刻にはぐっすり眠っていたことは明らかだった。；我々の中でその朝ぐっすり眠った者は一人もいなかったのではないだろうか。；二人とも殆んど息をしてないかのように、安らかにぐっすり眠っていた。；怖い夢も見ないで、多分この世界に来て初めて本当にぐっすり寝ました。；やがてそれがかあっと頭にくるのを感じたが、ぐっすり眠ってしまった。；北軍が攻撃した時、少女はぐっすりと眠っていたことを意味していた。；気を失っているはずの紗耶香の顔は、ぐっすりと眠っているように見えた。；丁度その時刻には、私は何も知らずに、連絡船の中でぐっすり寝ていた。；おまけにわれわれの時間のほとんど半分はぐっすり眠りこけているのだ。；ぼくは安心して、ピートを胸に抱いたままもう一度ぐっすりと熟睡した。；娘はぐっすりと寝込んでいたので、婦人は何度も声をかけて呼びました。；それで私は枕に頭をつけるやいなや、死んだようにぐっすり眠りました。；疲れが出たのだろう、私はいつの間にかぐっすりと睡り込んでしまった。；伸びをしたかったが、別の候補が脚に巻きつくようにしてぐっすり眠っている。；地上では人々は何も知らずにぐっすりと眠っているはずだった。；ぐっすり寝ているんだろうから、今夜はそっとしておいてあげたら?；彼が帰ってきたとき、われわれはめいめいのベッドでぐっすり眠っていた。；これでお腹が一杯になって、いい気持で木賃宿の第一夜はぐっすり寝た。；彼の寝台の傍で番をしていた老人は、恐らくぐっすり眠っているのだろう。；そのうちに新吉はそのままぐっすりと寝こんでしまったのです。；木曜日の夜ぐっすりと眠ることができた者は誰ひとりなかったことと思う。；しかしやまねは、ぐっすり眠りこんでいて、何の否定もしませんでした。；弥兵衛は疲れたような鼾を聞かせて、死んだようにぐっすりと眠っていた。；すると彼女は安心して眠り、私もまたぐっすり寝込んでしまいました。；スザンヌの部屋へそっと近づいてみたが彼女はぐっすり眠っているようだった。；後の半分は、殺人現場の近くだとぐっすり眠れない、というところかな。；彼はとろとろと眠りに落ち始め、ついにぐっすりと寝こんでしまった。；彼女はさっきと同じように、ぐっすりと死んだように眠っていた。；にもかかわらず、ついぐっすりと眠りこんでしまった自分に腹をたてていた。</t>
        </is>
      </c>
      <c r="J2389">
        <f>HYPERLINK("https://www.weblio.jp/content/ぐっすり", "词义详情")</f>
        <v/>
      </c>
      <c r="K2389">
        <f>HYPERLINK("https://yourei.jp/ぐっすり", "查看例句")</f>
        <v/>
      </c>
    </row>
    <row r="2390">
      <c r="A2390" t="inlineStr">
        <is>
          <t>屈する</t>
        </is>
      </c>
      <c r="B2390" t="inlineStr">
        <is>
          <t>成功</t>
        </is>
      </c>
      <c r="C2390" t="inlineStr">
        <is>
          <t>読み方：くっする
［動サ変］［文］くっ・す［サ変］
１
㋐折れ曲がる。かがむ。かがまる。「腰が—・する」
㋑何かをしようとする意欲・気力がなくなる。くじける。「失敗に—・せずやりとおす」
㋒負けて服従する。屈服する。「権力に—・する」「いかなる批判にも—・しない」
２
㋐体や指などを折り曲げる。かがめる。「膝(ひざ)を—・する」
㋑縮める。「身を—・して恐懼(きょうく)する」
㋒外圧などのために気力をなくす。くじく。「志を—・せず」
㋓勢いをくじいて従わせる。服従させる。「力で敵を—・する」</t>
        </is>
      </c>
      <c r="D2390" t="inlineStr">
        <is>
          <t>与える；属する；譲渡；従う；カーブ</t>
        </is>
      </c>
      <c r="H2390" t="n">
        <v>29</v>
      </c>
      <c r="I2390" t="inlineStr">
        <is>
          <t>あたしも、自分の小さい家を守るためには屈せずに立とうと思ってるの。；そんな相手に膝を屈する事は、自身が間違っていると宣言する事になる。；教育は特定の方法で構成されており、子供はそれに屈する必要があるのだ。；物質の力を尊重する結果は、物質の盲目な力の前に屈することであつた。；特に、抑えがたい髪は、あくまで死に屈することができないようだった。；人は状況や外からの力に屈するんじゃない、内から負けがこんでくるんだわ。；今日ドイツが八方に敵を受けて年を経て容易に屈せざるは何がためであるか。；ここで膝を屈するわけにはいかないのだと、充分に解っていたはずだった。；眼をやられても、あの松永なら屈せずに飛びかかって来るにちがいない。；どの大名の行政権にも屈せず、どの大名もそこでは軍事行動ができない。；おまえが特別なのかは知れぬが、おまえが屈すれば入れ替わる事になろう。；何度も負傷したが屈する事無く戦い続け、その名声はいよいよ高まった。；警察がテロリストの脅迫に屈することは、絶対に避けなければならない。；王子は不満足な結果を受け入れたが、圧力に屈するのはこれが最後であった。；そしてその解決のためにはいかなる権威にも屈せぬことです。；老猫の見開かれた目には決して屈することのない何かが宿っている。；ルークはそこでも権力に屈せず、あくまで反体制の姿勢を貫こうとする。；仰臥位の場合は踵の下に手をおき、アクセルを踏むように足を底屈する。；残された道といえば、もう不幸に身を屈することだけなんだ。；しかも今夜の如きは、危険にも屈せず二度までも侵入していらした。；ここで彼の要求に屈すれば、豊島や恵子の死が無意味になってしまいます。；なかでも珍妙なのは、正面玄関の上の時計台に指を屈せねばならなかった。；どんな剛気な人間も、土台が崩れていく恐怖には屈せざるをえない。；それでも屈せずに、選んだ問題だけは、どうにかこうにか解決を附けた。；我々がそんなに簡単に屈する国民だと思っているのか!；だがな、俺はお前の不屈の魂が、俺に屈する姿が見たかったのだ。；最後まで屈することなく死の直前まで大いに罵り続けたという。；それとも自然の獰猛を前に太古の人類がそうであったように膝を屈するのでしょうか。；剛腹な樗陰も、有力作家たちに反対されては屈せざるを得なかった。</t>
        </is>
      </c>
      <c r="J2390">
        <f>HYPERLINK("https://www.weblio.jp/content/屈する", "词义详情")</f>
        <v/>
      </c>
      <c r="K2390">
        <f>HYPERLINK("https://yourei.jp/屈する", "查看例句")</f>
        <v/>
      </c>
    </row>
    <row r="2391">
      <c r="A2391" t="inlineStr">
        <is>
          <t>屈折</t>
        </is>
      </c>
      <c r="B2391" t="inlineStr">
        <is>
          <t>成功</t>
        </is>
      </c>
      <c r="C2391" t="inlineStr">
        <is>
          <t>読み方：くっせつ
［名］(スル)
１折れ曲がること。
「畑から畑を継いでは幾十度の—をなしつつ」〈長塚・土〉
２物の考え方やその表現などが素直でなく、わかりにくいところがあること。「—した心理」「—した表現」
３光や音などの波動が、ある媒質から他の媒質に進むとき、その境界面で進行方向を変えること。</t>
        </is>
      </c>
      <c r="D2391" t="inlineStr">
        <is>
          <t>屈折率(13%)；屈折語(2%)；屈折矯正；屈折点；屈折異常</t>
        </is>
      </c>
      <c r="E2391" t="inlineStr">
        <is>
          <t>折れ；カーブ；カール；折り；ひだ</t>
        </is>
      </c>
      <c r="F2391" t="inlineStr">
        <is>
          <t>屈折波；屈折矯正手術；屈折語尾</t>
        </is>
      </c>
      <c r="H2391" t="n">
        <v>29</v>
      </c>
      <c r="I2391" t="inlineStr">
        <is>
          <t>初期の作品は個人の屈折した生活を描写することに主眼が置かれている。；正確に光を屈折させ、同じ正確さで女の心をある陶酔感で吸収して行く。；この解釈では複数の可能な屈折率および厚さの値が答えとして得られる。；対立したものは、形式が似てゐて、どの点かに違つた屈折が出来て来る。；ガラスをそれと同じ屈折率のある液体に入れれば見えなくできるわけだ。；ご子息の場合は、どうも攻撃型非行が屈折して現われているようですね。；彼は屈折の苦痛を忘れ、マチエールの遊びを心得すぎてしまったようだ。；どうして小説などという屈折した複雑なものを生産できるでしょうか。；あの審議委員の中じゃ、特に山田さんなんかは屈折の多い人ですからね。；屈折計器の基本的性質も研究し、理論の基本表現とその応用を行った。；水面で屈折したおれの表情は、やつにはどんなふうに見えていたのだろうか。；それでは今までの彼女の心の屈折は全くひとり相撲ではなかったか。；デートガールを買うような客は、どこかに屈折したものを抱えている。；だが、アリスの場合はそうした屈折した行動を取るとは考えられない。；屈折したその後の生のさなかで、この僧堂の記憶はもっとも鮮明である。；彼のほうの屈折がずっと前にふっきれていたのがわかったからさ。；しかしながら、眼光学系の各々の屈折面では明確な光軸は定義されない。；それが群贅の屈折した愛情なのかもしれないと思ったことはある。；常識では考えられないような屈折した論理が、この村には働いている。；ただし、屈折はこの議論に含まれず、光ではなく視線が対象である。；屈折しているように見えるけど、彼らなりの必死のポーズなのかもしれない。；伯爵の性格には、まったくなんとも説明のつかない屈折が示されていました。；自分の中に、それほど複雑な屈折があるとは、思ってもいなかった。；全宇宙はより偉大な存在の上に屈折して見えるしみにすぎないのか?；でもみんな社会の底辺に押し込められて、どこかに心の屈折を抱えている。；屈折が多いため入り江が九十九もあるとして九十九湾の名を冠せられた。；古英語の名詞は、文の中での語の役割を語尾の形で表すために屈折をする。；だから大抵の人は私のことを精神的に屈折した倣慢な女だと思っていたのね。；そうして東コースが伸び切って屈折するところがグリンデルワルト駅である。</t>
        </is>
      </c>
      <c r="J2391">
        <f>HYPERLINK("https://www.weblio.jp/content/屈折", "词义详情")</f>
        <v/>
      </c>
      <c r="K2391">
        <f>HYPERLINK("https://yourei.jp/屈折", "查看例句")</f>
        <v/>
      </c>
    </row>
    <row r="2392">
      <c r="A2392" t="inlineStr">
        <is>
          <t>ぐったり</t>
        </is>
      </c>
      <c r="B2392" t="inlineStr">
        <is>
          <t>成功</t>
        </is>
      </c>
      <c r="C2392" t="inlineStr">
        <is>
          <t>［副］(スル)疲れたり弱ったりして、力が抜けたさま。ぐたっと。「—（と）横たわる」「あまりの暑さに—する」</t>
        </is>
      </c>
      <c r="D2392" t="inlineStr">
        <is>
          <t>ぐったりと疲れ(2%)；ぐったりと椅子；ぐったりと倒れ；ぐったりと力；ぐったりと動か</t>
        </is>
      </c>
      <c r="E2392" t="inlineStr">
        <is>
          <t>ぐたっと</t>
        </is>
      </c>
      <c r="F2392" t="inlineStr">
        <is>
          <t>もうぐったり；そのままぐったり；急にぐったり；ぐったり倒れ；ソファにぐったり</t>
        </is>
      </c>
      <c r="H2392" t="n">
        <v>29</v>
      </c>
      <c r="I2392" t="inlineStr">
        <is>
          <t>ちょっとのあいだ彼は、そのままの姿勢で頭をたれてぐったりしていた。；他のカップルたちも事を終えた様子で、工場の床でぐったりとしている。；ぐったりするほど疲れて、幸福な気持ちになって、わたしは傍屋を出た。；彼は非常に疲れていたので、誰よりも先にぐったりと椅子に腰をおろした。；ぐったりしていた首をまっすぐにし、ゆっくりと意識を回復してきた。；身体じゅうの骨が鉛でできているかのように、ぐったり疲れきっていた。；夢の中で演説までしたのでぐったりしているが、なんにしても一大事だ。；彼はぐったりした、疲れたような気持で、ぼんやりと窓の外を眺めていた。；そして今ではぐったりした蛇のようになって、反省をしはじめたのである。；それとも私の息が精進していて、ぐったりしているとでもおっしゃるの?；ぐったりとして半ば参ってしまっているようなようすはぼくと同じであった。；彼女の身体はこわれた人形のように夫の腕の中にぐったりしていた。；ぐったりと床の上に座り込んでいると、ヨンが彼女の側までやってきた。；置き去りにしてきた、ぐったりと動かない何人かのことを忘れていた。；犬たちは敷石の冷たさを求めて、ぐったりとした恰好で長くなっていた。；若い尼僧院長は死人のように蒼い顔で私の腕のなかにぐったりしていた。；男は、僕の手を払いのけようとしたが、その手はぐったりと力弱かった。；全身の力を抜いてぐったりとなったまま、長いあいだそうしていた。；私は激しい格闘でもした人のようにぐったりとなって壁によりかかった。；ぐったりした男の身体を引きずって、二人は大理石の床の上を進み出た。；達也は顔から首筋を血だらけにして、ぐったりと男の腕の中に倒れていた。；一人の技術者が、ぐったりとして動かない愚人のわきで作業をしている。；彼女は頭をぐったり枕に押しあてて、涙ぐんだ眼を異様に輝かしていた。；わたしは血まみれの姿でぐったりして、女たちのところにたどりついた。；ところが二度とも、家へ帰ってから三、四日ぐったりしてしまったのでした。；シートンはさながら生命のないもののようにぐったりと横たわっていた。；赤いダァリヤはぐったりとなってその手のなかに入って行きました。；そんな仕事を二、三日つづけてしていたので疲れが出てぐったりしているのである。；ゆっくりと部屋に入ってくると、ぐったりと椅子に身体を投げだした。</t>
        </is>
      </c>
      <c r="J2392">
        <f>HYPERLINK("https://www.weblio.jp/content/ぐったり", "词义详情")</f>
        <v/>
      </c>
      <c r="K2392">
        <f>HYPERLINK("https://yourei.jp/ぐったり", "查看例句")</f>
        <v/>
      </c>
    </row>
    <row r="2393">
      <c r="A2393" t="inlineStr">
        <is>
          <t>くっつく</t>
        </is>
      </c>
      <c r="B2393" t="inlineStr">
        <is>
          <t>成功</t>
        </is>
      </c>
      <c r="C2393" t="inlineStr">
        <is>
          <t>読み方：くっつく
［動カ五（四）］
１ある物に他の物がぴったりつく。接合する。付着する。「よく—・く接着剤」
２身を寄せる。つき従う。「親に—・いて離れない子」
３味方になる。くみする。「敵方に—・く」
４俗に、特定の相手に情愛を感じ、親しくなる。親しくなって肉体関係をもつ。「好いた者どうしが—・く」
５食いつく。
「おれが何時(いつ)鼻を—・かれた」〈滑・浮世風呂・四〉</t>
        </is>
      </c>
      <c r="D2393" t="inlineStr">
        <is>
          <t>くっつくかもしれ</t>
        </is>
      </c>
      <c r="F2393" t="inlineStr">
        <is>
          <t>ぴったりとくっつく；互いにくっつく；ぴたりとくっつく；くっつくほど顔</t>
        </is>
      </c>
      <c r="H2393" t="n">
        <v>29</v>
      </c>
      <c r="I2393" t="inlineStr">
        <is>
          <t>分裂してすぐのこともあれば、まだくっついている間のこともあります。；槍の柄の先端は刃ではなくて、小さな球体がくっついているだけだった。；それに魚のほうだってピクとも動かず、何もくっつこうともしなかった。；政治家と実業家は男と女のようにくっつきやすい体質を持っているんだ。；これらの島のうち、いくつかは構造的に近くの大陸とくっついている。；あるいは、階段を上ってるうちに片手が手摺にくっついて離れなかった。；くっつかれるのがいやなら、いまの世に生きることをやめた方がいい。；男の手が女の肩にかかると、二人はぴったりくっついて一つの影となった。；十か十一のゼロがくっつくと、もう頭の回路のスイッチが切れてしまう。；黒人女の匂いは汗と一緒に僕にくっつき、それを嗅ぐと倒れそうになる。；その後に長く引いて居る影もその間にすきのないほどくっついて居る。；血にくっついている繊維や髪の毛などは、そのままにしておいてもよい。；そこにあるのは、古い船とか衛星とかで、それがひとつにくっついてる。；わたしは親方にすり寄ったと思うと、もう目がくっついたように思った。；昨日から何も口にしていないので、腹の皮が背中にくっつきそうだ。；有川だから、あんなよろしくない顔の女がくっつくのだと思ったものだ。；鏡に近づき過ぎて、鼻が鏡の中のハリーの鼻とくっつきそうになった。；つまり両側から圧迫することで傷がもう一度くっつくと考えたらしい。；襖を開けてみると二人の姉妹はぴったりとくっつき合って泣いていた。；わたしは生きた肉から心にくっついているたねを引き出そうとやってみた。；わたしは、あんなお尻に螫のくっついたような悪い者とは違うんです。；すると何者かが確かに僕の背なかにくっつくようにして足を止めた。；彼は「君がお直さんなどの傍に長くくっついているから悪いんだ」と答えた。；これは、土台の部分を歩く虫がくっつくようになっているものである。；飛んでいく途中で方向を変えて、自分のくっつく場所がわかるんだ。；下手に動くと唇と唇がくっつきそうな距離まで近づいて、彼女は言う。；顔が長いので、それだけで顎が首の付け根辺りにくっつきそうだった。；定紋入りの赤ちゃけたボタンがそこに一つだけくっついているのが見えた。；根元だけはくっついてるけど、先のほうでボールをつかむことができる。</t>
        </is>
      </c>
      <c r="J2393">
        <f>HYPERLINK("https://www.weblio.jp/content/くっつく", "词义详情")</f>
        <v/>
      </c>
      <c r="K2393">
        <f>HYPERLINK("https://yourei.jp/くっつく", "查看例句")</f>
        <v/>
      </c>
    </row>
    <row r="2394">
      <c r="A2394" t="inlineStr">
        <is>
          <t>くっつける</t>
        </is>
      </c>
      <c r="B2394" t="inlineStr">
        <is>
          <t>成功</t>
        </is>
      </c>
      <c r="C2394" t="inlineStr">
        <is>
          <t>読み方：くっつける
［動カ下一］
１物と物とをすきまなくぴったりつける。「のりで—・ける」
２中心となるもののそばに置く。また、関連させる。「見本に詳しい説明を—・ける」
３味方に加える。つき従わせる。「中立派を味方に—・けて勝つ」
４俗に、二人を引き合わせて、恋人や夫婦として結びつける。「友人に姪(めい)を—・ける」</t>
        </is>
      </c>
      <c r="H2394" t="n">
        <v>29</v>
      </c>
      <c r="I2394" t="inlineStr">
        <is>
          <t>あたしは一日のうちに何度もその絵の前で鼻をくっつけていたものだ。；あっちこっちに部屋をくっつけて、数階建ての家になったように見えた。；名前を麗々しくくっつけて具合の悪い点では、だれもが同じことだった。；小さな両手を子供のように頭にくっつけて、ヴィクトリカが眠っていた。；顕微鏡写真装置も同様にしてこの実験台の上にくっつけてしまうのである。；佐伯は街で買って来た赤い色の水歯磨の瓶を鼻にくっつけながら歩いた。；大きな板のような戦略地図を体をくっつけるようにして倒れている。；あまりいっぱい入っているので誰もが膝を抱え、肩をくっつけ合っている。；別に書いておいた字を取ってくっつけたようなところが見受けられる。；きみこそ、腕にそんなものをくっつけて、どうやって歯を磨いてるんだ?；それは爆発準備ができており、船をくっつけている磁気に感応している。；鏡に顔をくっつけている今は、鏡の中の先輩にキスしてるみたいに見える。；お二人をくっつけられるんじゃないか、という下心があってのことです。；ガラスに額をくっつけてみたが、内部にはだれの姿も見えなかった。；仕方なく弟は朝になると娘達を後ろにくっつけたまま、町へ向かう。；男は金庫の扉に顔をくっつけんばかりにして、右に左にダイヤルを回す。；が、相手は反対側の窓に顔をくっつけ、宇田川に顔を見せようとしない。；かぎがかかっていたのではなくて、くっつけられていたにちがいない。；窓へ顔をくっつけて左手を見ると、そっちに停車場らしいものが見える。；たぶんもともとあった蔵にくっつけるように家を建てたんだろう。；保護者の中には試験当日に会場の門や壁に水飴をくっつける者もいる。；それはドアと窓の中間の壁に頭をくっつけているベッドだった。；ジッと足の裏をくっつけたままにしていることに耐えられなかった。；ケータイのように、いつも頭にくっつけている機械なんて、ほかにない。；中学と高校の頃は、クラスで仲のいい友達と机をくっつけてお弁当を食べた。；板の端に足をかけて、手さげ鞄を胸にくっつけて、重心を板の上に置く。；婦人連の衣裳には急にいろんな装飾がくっつけられるようになった。；婦人たちの服装にはいろんな飾りがごてごてとくっつけられるようになった。；それにもっともらしい説明と数字を後からくっつけてるだけだろ?</t>
        </is>
      </c>
      <c r="J2394">
        <f>HYPERLINK("https://www.weblio.jp/content/くっつける", "词义详情")</f>
        <v/>
      </c>
      <c r="K2394">
        <f>HYPERLINK("https://yourei.jp/くっつける", "查看例句")</f>
        <v/>
      </c>
    </row>
    <row r="2395">
      <c r="A2395" t="inlineStr">
        <is>
          <t>ぐっと</t>
        </is>
      </c>
      <c r="B2395" t="inlineStr">
        <is>
          <t>成功</t>
        </is>
      </c>
      <c r="C2395" t="inlineStr">
        <is>
          <t>［副］
１瞬間的に力を入れるさま。また、物事をひと息に行うさま。「両手で—押す」「酒を—飲み干す」
２感動や激しい感情がこみあげてくるさま。「胸に—きた」「怒りを—こらえる」
３息や言葉などが急につまるさま。
「だしぬけにこんな事を言われて、僕は—詰まったのである」〈蘆花・思出の記〉
４状態の程度が今までと大きく隔っているさま。一段と。ぐんと。「値段は去年に比べて—高い」
５ちょっとものを言うさま。
「ぴったり釘を打たれて、—も云えず」〈二葉亭・浮雲〉
６すっかり。ことごとく。
「何の某(なにがし)といはるる女郎も、床の内での鼻歌などで—愛想の尽きることだ」〈洒・傾城買指南所〉</t>
        </is>
      </c>
      <c r="D2395" t="inlineStr">
        <is>
          <t>ぐっと堪え；ぐっと飲ん；ぐっと少なく；ぐっと握りしめ；ぐっと伸ばし</t>
        </is>
      </c>
      <c r="E2395" t="inlineStr">
        <is>
          <t>より；強く；もっと；深く；大変</t>
        </is>
      </c>
      <c r="F2395" t="inlineStr">
        <is>
          <t>手をぐっと；頭をぐっと；腕をぐっと；ぐっと高く；ぐっとアクセルを踏み込ん</t>
        </is>
      </c>
      <c r="H2395" t="n">
        <v>29</v>
      </c>
      <c r="I2395" t="inlineStr">
        <is>
          <t>ペリイ・メイスンは三〇二号室のドアに向って頭をぐっと引いてみせた。；それでも受けたものであるからしかたなしに眼をつむってぐっと飲んだ。；その車は彼らから二十フィートぐらい離れた所でぐっと向きを変えた。；そしていいところを見せようと、グラス一杯をぐっと一息でからにした。；あなたの親切と同情心にぐっときたのは、ここ何年もなかったことだ。；脚へぐっと一本の棒を通して、十脚ぐらいずつ動かないようにしてある。；僕はその時も今と同じくぐっと我慢して、もう一度訴えてみました。；私はそれをぐっと押えつけて眼を閉じたまま、暫くの間机にもたれていた。；ああ云う公開のとき、もっと、ぐっと人を選ぶことは出来ないものか。；まず鼻を鳴らし、低いうなり声をあげ、爪を広げ、脚をぐっと伸ばした。；女は、男の首にまいた腕をぐっとしめながら、男の耳もとにささやいた。；崖下の人通の無い場所を幸い彼はぐっと強い調子でイベットに迫った。；二、三のあらくれ男の腕が黙ってぐっとつかめば、それきりだったろう。；それまでは君はこごんで歩いていたが、そのとき体をぐっと十分に伸ばした。；手に触れられることさえたまらないのに、ぐっと抱き寄せられているのだ。；それで小さい女の子は、母親のそばにぐっとからだをすり寄せました。；その時始めて気が付いて見ると、父の頬が何時の間にかぐっと瘠けていた。；魔法博士の黄金怪人は、さらに、ぐっとふたりの前に近づいてきました。；もう一人の男の顔の上半分は、ぐっと引きおろしてかぶった帽子で隠れていた。；かれは、それからぐっとひと口飲んで、そいつをかれの右手の男にまわした。；そのとき、一巻きして足の下におさえていた船尾の綱が、ぐっと張った。；私たちという心持も、この頃ではぐっと内に自分たちの間に向っています。；たとえば一本の足を折りまげようとすると、その足はまずぐっと伸びる。；頭をぐっとあげて大またに歩いてくる姿は、恐れを知らぬ風体である。；山賊ひげの下で口を開き、頭をぐっとのけぞらしたので顎の重なりが見えた。；ペルスランは逆らわれることに慣れていないので、ぐっと頭を起こした。；あいつの金色の手がぐっと五メートルものびて、箱を取っていたのだろうか。；強い火酒を大きいコップに半分ばかりも生で飲むと、ぐっと元気づいた。；それからぐっとぼくのほうへ体をよせて、ささやくような声でこう言った。</t>
        </is>
      </c>
      <c r="J2395">
        <f>HYPERLINK("https://www.weblio.jp/content/ぐっと", "词义详情")</f>
        <v/>
      </c>
      <c r="K2395">
        <f>HYPERLINK("https://yourei.jp/ぐっと", "查看例句")</f>
        <v/>
      </c>
    </row>
    <row r="2396">
      <c r="A2396" t="inlineStr">
        <is>
          <t>くつろぐ</t>
        </is>
      </c>
      <c r="B2396" t="inlineStr">
        <is>
          <t>成功</t>
        </is>
      </c>
      <c r="C2396" t="inlineStr">
        <is>
          <t>読み方：くつろぐ
［動ガ五（四）］
１仕事や心配ごとなどを忘れて、伸び伸びとする。心身をゆったりと休める。気がねなくのんびりと振る舞う。「温泉につかって—・ぐ」「—・いだ雰囲気」
２窮屈な服装・姿勢などをやめて、楽なかっこうになる。「浴衣に着替えて—・ぐ」
３能楽で、演者が演能の途中で観客に背を向けていることをいう語。一時的に、その登場人物が、場面から身を隠したことを意味する。
４ゆるむ。ゆるくなる。
「冠(かうぶり)の額すこし—・ぎたり」〈源・若菜上〉
５ゆとりがある。余地ができる。
「数定まりて、—・ぐ所もなかりければ」〈源・澪標〉
[可能]くつろげる
［動ガ下二］「くつろげる」の文語形。</t>
        </is>
      </c>
      <c r="F2396" t="inlineStr">
        <is>
          <t>飲んでくつろぐ</t>
        </is>
      </c>
      <c r="H2396" t="n">
        <v>29</v>
      </c>
      <c r="I2396" t="inlineStr">
        <is>
          <t>その様子を穴の中から聞いていたジェリーはようやくくつろぐのだった。；なにか筋の通った予測がたてられるまでは、くつろぐ気になれなかった。；そこでエルヴィスはテレビを見ながらベースを練習してくつろいでいた。；みな酒が進んでいる様子だが、くつろいでいるという感じではなかった。；これが一日中でいちばん気分がおちつき、くつろいで話のできる時間だ。；彼女はチャタレイ夫人と対するときのほうが、くつろいだ気持になった。；「ちょっと悪くない場所でな、ここは」と彼はくつろいだ調子で云った。；内部は煖房がきいていて、家に帰ったくつろぎが体をつつみこんできた。；鎧を脱いでくつろいでいた昨夜と違って、みんなしっかり武装していた。；どうにもこのくつろいだ態度からするとすぐにはでていきそうにない。；自宅でくつろいでいたマクミリアンは彼の引退会見でこのことを知った。；食事が終ったあとのくつろいだ気分で、僕は何気なく千枝子に質問した。；ふたりはオープンフロント近くの席にゆったりとくつろいで座っている。；そこに彼は、喜びと心のくつろぎの最も豊かな泉の一つを発見した。；ひどくくつろいだ気分でいたが、自分ではそう思っているわけではなかった。；どちらにしても人目を気にせずくつろぐには充分すぎる施設が整っている。；ディー・へイズルトンの姿には、何か気分をくつろがせるものがあった。；我々の霊魂の最もくつろいだ最も自然な態度こそ、最も立派な態度なのだ。；酒の二、三杯と明るいリンボル相手にくつろいだ方がずっといいだろう。；そしてAの家を出る頃ようやく調和したくつろぎに帰ることが出来ました。；源氏と紫の上とがくつろいで並んでいるさまは、みとれるばかりだった。；陣中でいつでも甲冑を身に付けられる状態のままくつろぐ際などに取った。；彼はその中に入っていて、ただ時計を見たりしてくつろいでいた。；そんな光景を、劉は自室でくつろぎながらスクリーン越しに眺めていた。；けれどもルーンには、その姿勢をくずしてくつろぐ気はないようだった。；部屋でプレスリーはテレビを見ながらベースを練習しながらくつろいでいた。；今日は図書室の自分の席に座ると、完璧にくつろいだ気分になりました。；むしろ、適度な距離をおいて、くつろがせようと心がけている気がした。；まあ冗談はともかく、こういう時はもうちょっとくつろいでください。</t>
        </is>
      </c>
      <c r="J2396">
        <f>HYPERLINK("https://www.weblio.jp/content/くつろぐ", "词义详情")</f>
        <v/>
      </c>
      <c r="K2396">
        <f>HYPERLINK("https://yourei.jp/くつろぐ", "查看例句")</f>
        <v/>
      </c>
    </row>
    <row r="2397">
      <c r="A2397" t="inlineStr">
        <is>
          <t>くどい</t>
        </is>
      </c>
      <c r="B2397" t="inlineStr">
        <is>
          <t>成功</t>
        </is>
      </c>
      <c r="C2397" t="inlineStr">
        <is>
          <t>［形］［文］くど・し［ク］
１同じようなことを繰り返して言ったり長々と続けたりして、うんざりさせる。しつこくて、うるさい。「表現が—・い」「—・い質問」
２味つけや配色などがしつこい。「色が—・い」
[派生]くどさ［名］</t>
        </is>
      </c>
      <c r="D2397" t="inlineStr">
        <is>
          <t>くどいよう(21%)；くどい話(2%)；くどいやう；くどい奴；くどい説明</t>
        </is>
      </c>
      <c r="E2397" t="inlineStr">
        <is>
          <t>うるさい；執拗に；しつこく；やかましい；しつこい</t>
        </is>
      </c>
      <c r="F2397" t="inlineStr">
        <is>
          <t>くどいようです；掻きくどい；まはりくどい；かなりあくどい；少しくどい</t>
        </is>
      </c>
      <c r="H2397" t="n">
        <v>29</v>
      </c>
      <c r="I2397" t="inlineStr">
        <is>
          <t>そのことに彼らが、苦しみ恐れながら生きた姿を私はくどいまで書いた。；くどいようだが、ぼくはどこへも逃げようのない立場に置かれていた。；くどいようだが、妙な動きをしても、二人の命はないと思ってくれたまえ。；守はくどいほど彼女を安心させることばを並べなければならなかった。；くどいやうですが、こんな雨に濡れては大変なことになるかも知れませんよ。；お前は今度の事件は中国に関係があると、くどく言っとったからな。；この研究の以下の部分はかなりくどい説明と弁解なしには、公表できない。；古典というものが、廻りくどいようでもいいところがあるんでしょうね。；くどいようにも思われたが、フランソワは最後まで続けることにした。；くどいようだが、これはおれがここに坐っていて考えたことだぜ。；が、彼の廻りくどい話をきいているうちに、少しずつそれがわかってきた。；大分くどい所はあるが、やはり二首目の歌に、境遇も、時代も出てゐる。；ただ、くどいほど言っておくが、自分を過大評価するのだけはやめとけ。；あんたが立派な英語で彼女をくどくことができる時まではね。；彼がお蝋をくどくのに、加速度的な熱を加えたことはいうまでもない。；あまりくどい訊き方をしたところで、事実の歪曲が酷くなって終わりだ。；くどく説明を要しないナチとは違う本質が語られているのではあるまいか。；あまりくどくいう事はかえって貴兄の心に適わないかと思いますので。；くどいほど詫びた後、このことは表立てないようにと二人に頼んだ。；いや、私がくどく書くまでもない、そんなことはもう知れわたっているのだ。；きみの女房になったにしても、もうくどく気はねえから、安心しろ。；くどくいうが、お前さんは、騒乱の世に逢わば国家の大事に任ずる人だ。；だけどなぜ私がほかのことをくどくいう必要がありましょう。；でも、言葉つきははっきりしていたし、それきり、くどく言わないんです。；そういえばラーメンで女をくどくのもこの男くらいのものだろう。；くどいようだが、おはヨーグルトがけしからんといっているのではない。；くどいほど言いますけど、日本の農政はこの百何十年、間違い続けでした。；私も診察なら病院へ来たまえなどと廻りくどいことは言わないから。；くどいようだが付け加えておくと、それが悪いと言っているわけではないのだ。</t>
        </is>
      </c>
      <c r="J2397">
        <f>HYPERLINK("https://www.weblio.jp/content/くどい", "词义详情")</f>
        <v/>
      </c>
      <c r="K2397">
        <f>HYPERLINK("https://yourei.jp/くどい", "查看例句")</f>
        <v/>
      </c>
    </row>
    <row r="2398">
      <c r="A2398" t="inlineStr">
        <is>
          <t>句読点</t>
        </is>
      </c>
      <c r="B2398" t="inlineStr">
        <is>
          <t>成功</t>
        </is>
      </c>
      <c r="C2398" t="inlineStr">
        <is>
          <t>読み方：くとうてん
文の切れ目や文中の意味の切れ目などに添える符号。句点と読点。広義には、句点・読点のほか、感嘆符・疑問符・中黒(なかぐろ)・コンマ・かっこ類などをも含めていうこともある。</t>
        </is>
      </c>
      <c r="D2398" t="inlineStr">
        <is>
          <t>句読点なし；句読点シリーズ</t>
        </is>
      </c>
      <c r="E2398" t="inlineStr">
        <is>
          <t>点；ちょん；句読；パンクチュエーション</t>
        </is>
      </c>
      <c r="H2398" t="n">
        <v>29</v>
      </c>
      <c r="I2398" t="inlineStr">
        <is>
          <t>彼はまるで句読点を置くように、何か一言いうたびにこの笑いをはさんだ。；だけどもあの人の文章は、ずうっと句読点なしで読んでいけるんですね。；僕等は句読点の原則すら確立せざる言語上の暗黒時代に生まれたるものなり。；西洋語風の句読点が用いられるようになったのもこの頃である。；読点は句読点の一つで、日本語文書で文の途中の区切りに打たれる約物。；同時期のに見られるように、疑問符のような句読点も使われていた。；一つの句読点でも変えられたと思ったら、腹わたが煮えくり返ります。；その他のここに収録されていない句読点は と他の多くのブロックに散在している。；歌の表記に一字空けや句読点、ダッシュを用いているところが独特である。；また、アルメニア文字の句読点は西欧言語とは形や使用法が若干異なる。；句読点シリーズはソロ楽器のためのシリーズで、現在までに7作書かれている。；というようなことが、主語と句読点のほとんどない文章になっていた。；句読点が二十五だから、これを百字から引いて七十五字だ。；たとえば日本語では、括弧の受けや句読点が行の頭に来ることは許されない。；結果は物事を行う流れの中での句読点を意味する事象ともいえる。；一方、現代ヘブライ語では西洋の句読点と同じものを使用している。；そうなると句読点をぶら下げ処理してもどのみち箱組みは保持できない。；引用符と句読点を打つことにより、この文の理解は次のように簡単になる。；バーテンダーは職業的な笑みを適切な句読点のように浮かべ、仕事に戻っていった。；新聞のコラムでは句読点のかわりに別の記号を用いることがある。；現在は、それ以外の言語でも西洋と同じ、または類似した句読点を採用していることが多い。；そして親父の贔屓目かもしれないが、と心の中で句読点を打ちながら父は思う。；適切な句読点の位置を探し当て、文の意味を通らせる言葉遊びに使われる。；見ると例の記事に句読点が二つつけ加へられてあつた。；句読点のように使ったり、植字上の装飾として使用することもある。；これは顔文字なのか誤植なのか、適切な句読点の表現なのかが議論されている。；この句は、以下のように句読点を加えることで明瞭に理解できるようになる。；この文言は句読点や頭文字の異なる多数の種類が存在している。；文章の句読点の切り方すら変っておりません。</t>
        </is>
      </c>
      <c r="J2398">
        <f>HYPERLINK("https://www.weblio.jp/content/句読点", "词义详情")</f>
        <v/>
      </c>
      <c r="K2398">
        <f>HYPERLINK("https://yourei.jp/句読点", "查看例句")</f>
        <v/>
      </c>
    </row>
    <row r="2399">
      <c r="A2399" t="inlineStr">
        <is>
          <t>国</t>
        </is>
      </c>
      <c r="B2399" t="inlineStr">
        <is>
          <t>成功</t>
        </is>
      </c>
      <c r="C2399" t="inlineStr">
        <is>
          <t>読み方：くに
１国家。また、その占めている地域。国土。「—の財政」「海の彼方の—」
２地方。地域。「北の—」
３古代から近世までの行政区画の一。大化の改新によって定められ、明治維新まで続いた。「駿河の—」
４生まれ育った土地。郷里。故郷。「盆と正月には—へ帰る」「—は富山です」
５（主に、天(あめ)に対して）地。大地。
「天の壁(かき)立つ極み、—の退(そ)き立つ限り」〈祝詞・祈年祭〉
６国府。また、そこの役人。
「—に仰せ給ひて、手輿(たごし)作らせ給ひて」〈竹取〉
７任国。領国。知行所。
「紀伊守—に下りなどして」〈源・空蝉〉
８国の政治。国政。
「尾張に下りて—行ひけるに」〈宇治拾遺・三〉
９帝位。天皇の位。また、その政務。
「御—譲らむこと近くなり侍りぬるを」〈宇津保・国譲中〉
[下接語]葦原(あしはら)の中つ国・天つ国・浦安の国・御(お)国・御伽(おとぎ)の国・華胥(かしょ)の国・神の国・唐(から)国・異(こと)国・言霊(ことだま)の幸(さきわ)う国・玉垣の内つ国・常世(とこよ)の国・外(と)つ国・根の国・日出(い)ずる国・日の入る国・御(み)国・瑞穂(みずほ)の国・黄泉(よみ)の国・我が国（ぐに）北国・島国・山国・雪国</t>
        </is>
      </c>
      <c r="D2399" t="inlineStr">
        <is>
          <t>国全体；国指定；国公；国将軍；国有林</t>
        </is>
      </c>
      <c r="E2399" t="inlineStr">
        <is>
          <t>世界；出身；分野；国家；領域</t>
        </is>
      </c>
      <c r="F2399" t="inlineStr">
        <is>
          <t>日本国；三国；甲斐国；邪馬台国；加盟国</t>
        </is>
      </c>
      <c r="G2399" t="inlineStr">
        <is>
          <t>国家；国際；国民；国王；国境</t>
        </is>
      </c>
      <c r="H2399" t="n">
        <v>29</v>
      </c>
      <c r="I2399" t="inlineStr">
        <is>
          <t>州内には31の国が保護する原生地の全体あるいは一部が含まれている。；北米やオーストラリアなど多くの国でそれに準じた処分が行われている。；また、こうした翻訳が重要な役割を果たした国として日本が挙げられる。；またタイに渡った山田長政のように、その国で重用される例も見られた。；獣肉を食べることを禁じられていた仏教徒の多い国ではより重視される。；何百万人もの農民が工業化された都市に移動し、国は急速に発展した。；つまり、これらの条約に加盟していない国との関係で問題になるに過ぎない。；中にはゴローニンや高田屋嘉兵衛のように相手国の捕虜になった人もいた。；一国の首相や大統領が女性である国も次第に増えてきている。；前1500年頃にはパンジャーブ地方に進行し国の基礎を築いたとされる。；テキサスの地域を最初に領有権主張したヨーロッパの国はスペインだった。；G8サミット国や招待国以外でも、特定の分野で参加することができる。；国によっては、郵便局が上記の郵便以外の業務を行っている場合がある。；光が新たに生まれた国の名付けを読者に委ねるシーンで物語は幕を閉じる。；そのほか、いくつかの国には、国内機関が定めたローカルなコードがある。；サミットの新たなメンバー国を増やすには、全参加国の支持が必要となる。；国のGDPと比較しても、過半数の国よりも大きな規模を有している。；多くの国が加盟国と変わらないほどの欧州連合と密接な関係を持っている。；一方では、合計372万人のチリ人が、2011年に他の国を訪問した。；こうした後進産業国では政府の強力なリードのもとで産業育成がなされた。；多くの国で携帯電話の契約数が固定電話の契約数を超えている。；ルールが日本のものにかなり近い国と、それなりに異なる国がある。；政治的な事情により、事実上の首都と形式上の首都が異なる国もある。；首都が最大都市である国もあれば、首都と最大都市が異なる国もある。；時代的比較では、死刑が廃止された国での廃止前・廃止後を比較する試みがされる。；ただし、一部の国や地域では、独自の観点から広軌を導入したところもある。；標準軌鉄道の存在する国・地域とその路線長、同国内での割合は以下の通り。；しかしながら国民登録においては4つの名の記載を求める国が多い。；多くの国から派遣された科学者たちが、研究や実験を行っている。</t>
        </is>
      </c>
      <c r="J2399">
        <f>HYPERLINK("https://www.weblio.jp/content/国", "词义详情")</f>
        <v/>
      </c>
      <c r="K2399">
        <f>HYPERLINK("https://yourei.jp/国", "查看例句")</f>
        <v/>
      </c>
    </row>
    <row r="2400">
      <c r="A2400" t="inlineStr">
        <is>
          <t>国々</t>
        </is>
      </c>
      <c r="B2400" t="inlineStr">
        <is>
          <t>成功</t>
        </is>
      </c>
      <c r="D2400" t="inlineStr">
        <is>
          <t>国々村々</t>
        </is>
      </c>
      <c r="E2400" t="inlineStr">
        <is>
          <t>各国；諸国；列国</t>
        </is>
      </c>
      <c r="F2400" t="inlineStr">
        <is>
          <t>遠い国々；こうした国々；そうした国々；関東御知行国々；知行国々内乃</t>
        </is>
      </c>
      <c r="H2400" t="n">
        <v>29</v>
      </c>
      <c r="I2400" t="inlineStr">
        <is>
          <t>これは19世紀以前の世界の他の国々では他に例がない平和の世である。；決勝では、決勝に参加していない国々も含めて全ての国が投票を行う。；現在では多くの国々がUPUに加盟しているためそのようなことはない。；他の国々に比しても、極めて複雑で多層的な構造を有するに至っている。；これらの国々では核ミサイルが運用されているものと考えられている。；第二次世界大戦ではフランス軍を始めとする様々な国々で使用された。；前者の一部と後者の大半の国々では、同性愛自体が犯罪化されている。；ほとんどの国々では、以上の5つを全て組み合わせて運用されている。；ロタリンギアと総称される地域には、現在の以下の国々や地方が含まれる。；近年はそれらの国々の一部は中欧または中東欧とされることが増えている。；周辺の国々に居住する2000万人以上の人々に水を供給している。；マイクロソフトは多くの国々に本部を設置し、国際的な企業となった。；アメリカ合衆国を含む多くの国々は彼の帝国を承認しなかった。；そして、どちら側にも分類できない多数の国々の存在が指摘されるようになった。；インドではこれが他の国々と同時に公開された初めてのハリウッド映画だった。；その他の国々も中立・同盟を結びスウェーデンの勢いは頂点に達した。；これらの地域にはキエフ・ルーシをはじめとするルーシの国々が誕生した。；類似の表現として、周辺国に影響力のある国々を列強と言うことがある。；「魏志倭人伝」の記述によれば朝鮮半島の国々とも使者を交換していた。；現代では他の国々でもスーパーキャビテーション魚雷の開発が行われている。；これは日本に限ったことではなく、他の国々でも同様の傾向があると思われる。；現在では反捕鯨側に立っている国々も、過去には捕鯨国だった場合がある。；類似した考え方は、日本以外の国々、様々な国・共同体にも見られる。；南アフリカなど南半球の国々では重要な食用魚で日本にも輸入されている。；現代、大部分の国々では機械式の信号はまったくないか、あっても少数である。；一方、多くの国々で良心的兵役拒否権に法的基盤がないのも事実である。；尚、これらは多くの国々が実際に経験した歴史的展開でもある。；現在アフリカ諸国を中心とした40余りの国々が参加している。；また、スペイン圏の国々の国民には以下のような愛称が付けられる。</t>
        </is>
      </c>
      <c r="J2400">
        <f>HYPERLINK("https://www.weblio.jp/content/国々", "词义详情")</f>
        <v/>
      </c>
      <c r="K2400">
        <f>HYPERLINK("https://yourei.jp/国々", "查看例句")</f>
        <v/>
      </c>
    </row>
    <row r="2401">
      <c r="A2401" t="inlineStr">
        <is>
          <t>くねくね</t>
        </is>
      </c>
      <c r="B2401" t="inlineStr">
        <is>
          <t>成功</t>
        </is>
      </c>
      <c r="C2401" t="inlineStr">
        <is>
          <t>［副］(スル)
１幾度も曲がって続くさま。「—（と）した細い道」
２からだを柔らかく曲げるさま。また、しなを作るさま。「腰を—（と）させて踊る」</t>
        </is>
      </c>
      <c r="D2401" t="inlineStr">
        <is>
          <t>くねくねと曲がる；くねくねと続い；くねくねと動き；くねくねと続く；くねくねと身</t>
        </is>
      </c>
      <c r="E2401" t="inlineStr">
        <is>
          <t>蛇行；うねうね；曲折；七曲り；くねる</t>
        </is>
      </c>
      <c r="F2401" t="inlineStr">
        <is>
          <t>体をくねくね；腰をくねくね；長いくねくね；からだをくねくね</t>
        </is>
      </c>
      <c r="H2401" t="n">
        <v>29</v>
      </c>
      <c r="I2401" t="inlineStr">
        <is>
          <t>河は巨大な疲れた蛇のようにくねくねとネッソスの町の中を流れている。；わしの目には葡萄畑のなかをくねくねと流れる青いガロンヌ川が見える。；くねくね曲がる線を見ていると、チャーメインは頭が混乱してきました。；光は前後左右にくねくねと揺れ動き、蛇のダンスのような動きを見せた。；アラビアのヘソを出して腰をくねくねさせるダンスは地元ではみられない。；足もとを見ると、くねくねした藻の生えているのが氷を透かして見える。；横たわっていると、冷たいくねくねしたものが私の体の上をこえていった。；そんなに急ではないけれど、くねくねと曲がりながら山を下っていく。；くねくねと続く路地の壁が、猛烈な速度で前から後ろへと流れていく。；その夜、かれらはくねくねと流れる小川の、木のない堤に野営を張った。；ふうーん、と江美は両手をうしろに組みながら体をくねくねとさせた。；そして煙草の火が、車の中で、くねくねと判じ難い弧を描くのが見える。；目の前に、世界で二番目に好きな建物のくねくねした影が見えた。；そういう道がくねくねと湾曲しながら、どこまでもどこまでもつづいている。；蛇のようにくねくねと動き、まるで骨がないように見えるのだ。；これはスネークキャンデーのように、くねくねもうねうねもしていない。；目に見えない巨人が、森の中にくねくねと残した溝に沿って、低く飛んでいく。；すぐに博物館から出てしまうと、目の前の道を進んで、くねくねした坂を登っていく。；東に岬がくねくねと伸びており、青い海が緑の山の中に複雑に入り込んでいる。；娘は長いくねくねした回廊を通って、判事を門房まで案内して行った。；胸の前で両手をあわせていやんいやんをするようにしてくねくね羞じらっている。；くねくねと曲がった線や直線が深く刻まれていたけれど、文字ではなかった。；前方には、岩だらけの丘をくねくねと、名ばかりの道が続いていた。；継ぎ目のない黒い岩の帯が、顔を雲の中に隠している巨人のほうにくねくねと上っていた。；自動車は物珍しい長崎の町をくねくねと幾度か曲がりつつ進んでいった。；家と家の間の細い路地をくねくねと入り込んだ場所に、小さなお社があったのだ。；山羊の径が岩場にくねくねと通じていたので、道に迷う怖れはなかった。；それを整理するために、わたしは馴染みのある細い路地をくねくねと進んだ。；好子は身体をくねくねと動かし、何か言いたそうにして太郎を見た。</t>
        </is>
      </c>
      <c r="J2401">
        <f>HYPERLINK("https://www.weblio.jp/content/くねくね", "词义详情")</f>
        <v/>
      </c>
      <c r="K2401">
        <f>HYPERLINK("https://yourei.jp/くねくね", "查看例句")</f>
        <v/>
      </c>
    </row>
    <row r="2402">
      <c r="A2402" t="inlineStr">
        <is>
          <t>配る</t>
        </is>
      </c>
      <c r="B2402" t="inlineStr">
        <is>
          <t>成功</t>
        </is>
      </c>
      <c r="C2402" t="inlineStr">
        <is>
          <t>読み方：くばる
［動ラ五（四）］
１物を、適当な量に分けて、それぞれに行き渡るようにする。割り当てて渡す。「カードを—・る」「招待状を—・る」
２方々に届けて回る。配達する。「新聞を—・る」
３配慮や注意などを行き渡らせる。方々に行き届かせる。「心を—・る」「目を—・る」
４必要に応じてそれぞれ適当な場所に分けて置く。配置する。「見張りを要所に—・る」
５嫁がせる。縁づける。
「皆さまざまに—・りておとなびさせたり」〈源・東屋〉
[可能]くばれる</t>
        </is>
      </c>
      <c r="D2402" t="inlineStr">
        <is>
          <t>配るべき</t>
        </is>
      </c>
      <c r="E2402" t="inlineStr">
        <is>
          <t>置く；設置する；設ける；分配；配達</t>
        </is>
      </c>
      <c r="H2402" t="n">
        <v>29</v>
      </c>
      <c r="I2402" t="inlineStr">
        <is>
          <t>自分が何になるかは配られたキャラクターカードで決定することとなる。；彼女は頭の中で次のような内容のパンフレットを配ることを考えていた。；楽器の音階を決める穴配りと穴開けには高度の製作技術が必要とされる。；そんなら部下が失敗しないように気を配るのがあんたの責任じゃないか。；また、店外でビラ配りをしているときの撮影も禁止している店舗もある。；当然のことながら、机の上には彼女のための答案用紙は配られなかった。；これがはたち前の青年かとあやしまれるほどの気の配りではあるまいか。；そこで片眼は手をとめて、もう一枚の後から配られた方に手を出した。；プレイヤーはそれに気を配りつつ、敵を撃破していかなければならない。；ますます隊員たちは、おたがいのことに目を配るようになってきている。；いかにもこの程度のことは書きそうだが、無料で配りなんぞはしねえさ。；さらに様子を窺うように周りに視線を配ると、ゆっくりと近づいてきた。；長年の訓練で、眠りながら外部に気を配る特殊能力を彼女は持っている。；おそらく贔屓筋に配るための、宣伝用のカードに作らせたものでしょう。；生徒たちに配られたこのカードには、名前と顔写真が印刷されていた。；どちらにしろ、夫は私の反応にそれほど気を配っているようには思えない。；その友達がどっちに投票するか、そんなところまで気を配ることはない。；この作者は動物好きらしく、森の動物たちにプレゼントを配らせている。；また公開時にはギララの写真入りの時間表が劇場で子供たちに配られた。；どんなことが書かれていても、街で配られている情報などたくさんだ。；関ケ原を越えるまで二人は、周囲を走る他の車に気を配り緊張し続けた。；大きな方から十匹ずつ選んで、竹細工の皿にのせ、妻に近所へ配らせた。；そこで、いつでも子供のひとりが自分のそばにいるように気を配った。；古代ギリシアでは、意外なことにほとんどトイレには気を配らなかった。；その気になると、とてもこまかく気持ちを配ることのできる女性だから。；攻撃の直前に配られたらしいこういう刺戟的な絵葉書がたくさんあった。；敷地内には入らないようにと荻原の指示があったので歩道で客に配った。；彼が肉の方に気を配ってる間に、私は酒の方に眼をつけるのである。；劇団の宣伝のチラシ配りや大道具のしごとを好きでもないがやっていた。</t>
        </is>
      </c>
      <c r="J2402">
        <f>HYPERLINK("https://www.weblio.jp/content/配る", "词义详情")</f>
        <v/>
      </c>
      <c r="K2402">
        <f>HYPERLINK("https://yourei.jp/配る", "查看例句")</f>
        <v/>
      </c>
    </row>
    <row r="2403">
      <c r="A2403" t="inlineStr">
        <is>
          <t>首</t>
        </is>
      </c>
      <c r="B2403" t="inlineStr">
        <is>
          <t>成功</t>
        </is>
      </c>
      <c r="C2403" t="inlineStr">
        <is>
          <t>読み方：このかみ
《「子の上(かみ)」の意から》
１長男。
「—を箭田珠勝大兄(やたのたまかつのおひね)の皇子と曰す」〈欽明紀〉
２兄。または、姉。
「この男の—も衛府の督(かみ)なりけり」〈伊勢・八七〉
３年上の者。年長者。
「それが年は、われにこよなく—にぞおはせし」〈宇津保・蔵開中〉
４うじのかみ。氏の首長。
「諸氏の人等、各可(よ)き—を定めて申し送れ」〈天武紀〉
５多くの人の上に立つもの。かしら。
「その—と思へる上手ども」〈源・若菜下〉</t>
        </is>
      </c>
      <c r="D2403" t="inlineStr">
        <is>
          <t>首をかしげ(2%)；首なし；首元；首邑；首を長く</t>
        </is>
      </c>
      <c r="E2403" t="inlineStr">
        <is>
          <t>頭；頭部；暇；解雇；解任</t>
        </is>
      </c>
      <c r="F2403" t="inlineStr">
        <is>
          <t>ゆっくりと首；長い首；小さく首；百首；首根っ子</t>
        </is>
      </c>
      <c r="G2403" t="inlineStr">
        <is>
          <t>首相；首位；首長；首筋；首席</t>
        </is>
      </c>
      <c r="H2403" t="n">
        <v>29</v>
      </c>
      <c r="I2403" t="inlineStr">
        <is>
          <t>かつては茅の輪の小さいものを腰につけたり首にかけたりしたとされる。；なおこの設定画は首から上を安彦の画と切り貼りしたものになっていた。；隊員たちが全員首に赤いマフラーを巻いていることからこの名がついた。；すると森の方から兎が飛んできて切り株に首をぶつけて死んでしまった。；ある時、王は妻の不貞を知り、妻と相手の奴隷たちの首をはねて殺した。；竜三は怪我は首と右肩なのだから手が自由にならない筈がないと言う。；現地の政治情勢に到着したばかりのマゼランが首を突っ込んでしまった。；頭の角の形状と生え方および首のひれの形状はそれぞれの首で違う。；死亡時には首の後ろにあったコブが野球ボール大にまで大きくなっていた。；多くのメスが首毛を持っており、ある姿勢を取るとそれがはっきりわかる。；司教・主教も首からかけているがそのほかの服装で判断することができる。；酋長の首を献上しており、このようなことが四回もあったと伝えられる。；満潮時に首から肩の辺りまで水に漬かる高さに逆さに磔を行ったという。；首を取られ残された遺体は、彼を崇める地元の領民によって埋葬された。；いくらか首が落とされたのは確かだが、それらは罪ある者の首だった。；さらに狩った首の数が多ければ、特別な衣服や装飾をつける権利を得る。；現存する陶淵明の作品は、詩・散文を合わせて130余首が伝えられる。；奏者は正面ではなくやや左を向き、右に首をかしげて唇を歌口に当てる。；また、日本の武士が敵の首を切り落とす文化にも共通のものがある。；つまり母衣を身に付けているのといないのでは、首の扱いに待遇差があった。；新古今和歌集に収録された当歌は、後に『百人一首』に採録されている。；そばに置いてあった大刀を使って天皇の首を切り落としてしまった。；釈迦の弟子となった舎利弗はすぐに最高の悟りを得て教団の上首となった。；脚とボックス本体の間に回転軸を設け首振りを可能にした製品も発売されている。；血を吸われたものの首周辺には、2箇所から4箇所の穴が開いている。；その根拠のひとつは、ウマル・ハイヤームの四行詩の中の次の一首である。；馬の首から上が人間の上半身に置き換わったような姿をしている。；貴金属製の鎖に記章が付いたものであり、鎖を首に掛けて着用する。；また、古代ローマでは兵士がファカールという細い布を首に結んでいた。</t>
        </is>
      </c>
      <c r="J2403">
        <f>HYPERLINK("https://www.weblio.jp/content/首", "词义详情")</f>
        <v/>
      </c>
      <c r="K2403">
        <f>HYPERLINK("https://yourei.jp/首", "查看例句")</f>
        <v/>
      </c>
    </row>
    <row r="2404">
      <c r="A2404" t="inlineStr">
        <is>
          <t>首飾り</t>
        </is>
      </c>
      <c r="B2404" t="inlineStr">
        <is>
          <t>成功</t>
        </is>
      </c>
      <c r="C2404" t="inlineStr">
        <is>
          <t>読み方：くびかざり
宝石・貴金属などをつないだ、首にかける装飾品。ネックレス。</t>
        </is>
      </c>
      <c r="D2404" t="inlineStr">
        <is>
          <t>首飾りと長衣</t>
        </is>
      </c>
      <c r="E2404" t="inlineStr">
        <is>
          <t>ネックレス；首輪；頸飾り；チョーカー；首飾</t>
        </is>
      </c>
      <c r="H2404" t="n">
        <v>29</v>
      </c>
      <c r="I2404" t="inlineStr">
        <is>
          <t>首飾りを手にしたままだったので、そのとき血がついたものと思われる。；李夫は棺の中へ入れてある首飾などに眼をつけているところであった。；日本は千年あまり前まで首飾りをかける風習の最も普及していた国である。；その山が、おのれの首にかかる首飾りに彫ってあるものと同じ名だとは?；もし又首飾を盗った者を被害者自身とすれば、殺人の動機はどこにあるか?；彼は、工場でも、私を処刑した時も、首に銀色の首飾りをしていました。；黒ずくめの服装とドクロの首飾りには、さすがに少し驚いているらしい。；オージンは彼女がどのようにして首飾りを得たかを自分は知っていると言った。；ある日、フレイヤはドヴェルグ達が美しい首飾りを作っているのを見た。；黒みがかった濃い赤色の身体に、それぞれ色の違う首飾りをかけている。；そうそう、スルピシアに首飾りを返したときのことを話しておかなくては。；その額には首飾りの玉よりもっと大きな汗の玉が光っていた。；そして窓ごしに見はっていて、あなたが首飾りを隠すところを見たんです。；やつらは、あなたが首飾りを持って来ていることを知っています。；ディードリットの手のなかにあった水晶の首飾りは形も残さず消滅していた。；泉、杉男の目を見つめながら、いきなり自分の首飾りの糸を引き千切る。；また、骨のビーズの首飾りをつけて埋葬された嬰児も発見されている。；こよみの師匠である美鎖が常時身につけている首飾りと同じ形状の物体だ。；スコットは改めてその首飾りを首に掛け、鏡で自分の顔を覗いてみた。；このことはなお首かざりや衣の模様などからも証明せられる。；首にかけていた時価一億円の首かざりは、むろん影も形もなかったのである。；あの老シェルパも、この首飾りを見、それから心を開いてくれたのだ。；違うのは、首にかかっていた竜の牙の首飾りがなくなっていることぐらいだろう。；あの首飾りを手にした、少なくとも二人の男が相ついで命を落としているわけだ。；それまで身に付けていた首飾りを外し、侍女が捧げ持つ箱に収める婦人。；この写真を見つけて、壊れてしまった首飾りをなおしたことがあった。；それは首飾りなどの垂れによくついている、一種のペンダントなんだ。；さっき雲を背景にして見えた黒い石は、美鎖が普段首から下げている魔法の首飾りだったのだ。；それなのに、モハメッドはまだ、どの妻にもこの首飾りをやっていない。</t>
        </is>
      </c>
      <c r="J2404">
        <f>HYPERLINK("https://www.weblio.jp/content/首飾り", "词义详情")</f>
        <v/>
      </c>
      <c r="K2404">
        <f>HYPERLINK("https://yourei.jp/首飾り", "查看例句")</f>
        <v/>
      </c>
    </row>
    <row r="2405">
      <c r="A2405" t="inlineStr">
        <is>
          <t>首輪</t>
        </is>
      </c>
      <c r="B2405" t="inlineStr">
        <is>
          <t>成功</t>
        </is>
      </c>
      <c r="C2405" t="inlineStr">
        <is>
          <t>読み方：くびわ
１犬や猫の首にはめる輪。
２装飾として首にかける輪。ネックレス。首飾り。</t>
        </is>
      </c>
      <c r="D2405" t="inlineStr">
        <is>
          <t>首輪状；首輪式降着装置；首輪付き；首輪型；首輪をつかん</t>
        </is>
      </c>
      <c r="E2405" t="inlineStr">
        <is>
          <t>ネックレス；首飾り；頸飾り；チョーカー；首飾</t>
        </is>
      </c>
      <c r="F2405" t="inlineStr">
        <is>
          <t>首輪式；黒い首輪</t>
        </is>
      </c>
      <c r="H2405" t="n">
        <v>29</v>
      </c>
      <c r="I2405" t="inlineStr">
        <is>
          <t>首輪を着ける行為は服従する側であることを示しているのかも知れない。；まるで有刺鉄線で作られた首輪を引っ張られている獣のような音だった。；犬になったおいらを売るときは首輪をちゃんと持ってなくちゃいけない。；すると、後ろから赤い首輪をつけた、一匹のキジトラの猫がついてきた。；前と後ろに入れたまま、首輪と手錠、それで街の中を歩かせるのですね。；ぼくは寝返りを打ったが、首が、馬の首輪をかけられたような感じだった。；帰りに、まだ、ポケットに首輪が入ったままであることに気がついた。；下部は赤い舌を出し、赤い首輪をして向かって左に向かって歩く黒い熊。；もともと犬用の首輪をペットプレイに用いることが一般的と解釈されている。；新城は怒りに血をたぎらせている千早を呼び、その首輪を強くつかんだ。；直人たちの目の前でも、実際に爆弾首輪を着けた犬が1匹犠牲となった。；サドの対応に憤慨した彼女は、脱走した悪魔と誤解し彼に首輪をはめた。；その上、首輪には飾りの意味も兼ねて、ゴツい南京錠が取り付けてある。；首輪がついていたから誰かの飼い猫だってことはわかっていたわ。；彼が犬の上に身をかがめて、何か首輪を直しているところらしかった。；家に戻って犬にさっそく新しい首輪と新しい引き綱を付けて海岸まで散歩に行く。；体毛は暗灰色で、喉元には白からやや黄色みがかった首輪状の帯がある。；このゲームを成立させる上で、最も重要なアイテムが首輪である。；胸に太くて白い首輪状の模様、その後ろに茶色の同様の模様がかかる。；よくも首輪から抜けてこられたものだ、あんな大きな耳をしていて。；赤い首輪に太い鎖がつながっていたが、それを持って制御するはずの人間は見えない。；外側に棘々がついている首輪なので、安易にポケットにも入れられないし。；こうして暗殺チームを恐怖という名の首輪をつけた状態に置いた。；金属製の首輪、後肢を踏んばった、それは確かに大型種の犬を思わせた。；なお、このときに首の急所を守る役割を果たしていたのが先述の首輪である。；腕をゆるめると、ドナはふわりと地面に降り、首輪の後ろを脚でかいた。；首には犬の首輪かと思うほど太い金のネックレスが、異様な光を放っていた。；シャーナは信じられない表情で、カークの手にある自分の首輪を見つめた。；しかも、金銀で造った首輪には、次のような字が、浮き上っていました。</t>
        </is>
      </c>
      <c r="J2405">
        <f>HYPERLINK("https://www.weblio.jp/content/首輪", "词义详情")</f>
        <v/>
      </c>
      <c r="K2405">
        <f>HYPERLINK("https://yourei.jp/首輪", "查看例句")</f>
        <v/>
      </c>
    </row>
    <row r="2406">
      <c r="A2406" t="inlineStr">
        <is>
          <t>工夫</t>
        </is>
      </c>
      <c r="B2406" t="inlineStr">
        <is>
          <t>成功</t>
        </is>
      </c>
      <c r="C2406" t="inlineStr">
        <is>
          <t>読み方：くふう
［名］(スル)
１よい方法や手段をみつけようとして、考えをめぐらすこと。また、その方法や手段。「新しい方法を—する」
２仏道修行などに専念すること。特に禅宗で、座禅に専心すること。</t>
        </is>
      </c>
      <c r="D2406" t="inlineStr">
        <is>
          <t>工夫すれ；工夫次第；工夫しよ；工夫努力；工夫せら</t>
        </is>
      </c>
      <c r="E2406" t="inlineStr">
        <is>
          <t>デザイン；構想；発明；考案；細工</t>
        </is>
      </c>
      <c r="F2406" t="inlineStr">
        <is>
          <t>さまざまな工夫；新工夫；道路工夫；できるよう工夫；新しい工夫</t>
        </is>
      </c>
      <c r="G2406" t="inlineStr">
        <is>
          <t>工夫紅茶</t>
        </is>
      </c>
      <c r="H2406" t="n">
        <v>29</v>
      </c>
      <c r="I2406" t="inlineStr">
        <is>
          <t>したがって、より出力を上昇させるためにさまざまな工夫が考えられた。；しかし、後には独自の拡張・工夫が、特に効率の面で多くなされている。；女性にも取り組みやすいような踊りを取り入れるなど工夫されたという。；そのためにも、火の周りに断熱的な構造を作るのは重要な工夫である。；これらの情報を格納する場合には、HTMLのような工夫が必要になる。；同書に記載されているその他の構造上の特徴では、 等の工夫がある。；日本では雁木を設けて雪が道に積もらないようにする工夫が昔からあった。；当時は気温の測定者が各自それぞれ独自の工夫をしていたようである。；しかし、レースごとの違いを明確にするための工夫がなされていた。；これを回避するため、影ができないように「無影灯」が工夫されている。；警備所にはこれらを円滑にチェックして中に入れる工夫も求められる。；このため子供たちが自然に番組に引きつけられるよう随所に工夫がされている。；これも左手を一切使用せず運転可能とするための工夫である。；契約によるタイトなスケジュールを維持するため様々な工夫が行われた。；小容量の時代であっても高度なグラフィックスを描く方法が工夫されていた。；世界各地でそれぞれ、液体を携行するための数々の工夫が行われていた。；盤面はスポーツや映画などを題材にさまざまな工夫が凝らされている。；これにより少ない門数でも迅速に火砲を敵艦に向けられる工夫であった。；遅発性が薬物の減量で改善しないこともあり治療に工夫が必要となる。；滴音の反響を大きくするには底部に水を溜める工夫をする必要がある。；これは燃焼室の大型化を避け、震動を避けるための工夫であるといわれる。；表現技法は、様々な文章の中に見られる表現上の技術や工夫である。；平凡に指し進めては居飛車有利が定説で振り飛車側は工夫が求められる。；後世の評価も低いが、一部には宗与独自の工夫と見られる作品もあるという。；最近では回転中の意図せぬ分解を防ぐ工夫がなされており、分解が非常に困難な物もある。；最近では自治体が工夫し、出席率が上昇しているところもある。；一般に、エネルギーの伝送をスムーズに行うには様々な工夫が必要である。；そのため、ベッドの下にトランクが入るようにするなどの工夫がなされている。；編纂作業には、当時まだ非力だったコンピュータを工夫・活用したという。</t>
        </is>
      </c>
      <c r="J2406">
        <f>HYPERLINK("https://www.weblio.jp/content/工夫", "词义详情")</f>
        <v/>
      </c>
      <c r="K2406">
        <f>HYPERLINK("https://yourei.jp/工夫", "查看例句")</f>
        <v/>
      </c>
    </row>
    <row r="2407">
      <c r="A2407" t="inlineStr">
        <is>
          <t>区分</t>
        </is>
      </c>
      <c r="B2407" t="inlineStr">
        <is>
          <t>成功</t>
        </is>
      </c>
      <c r="C2407" t="inlineStr">
        <is>
          <t>読み方：くぶん
［名］(スル)
１くぎって分けること。区別していくつかに分けること。区分け。「—された分譲地」
２論理学で、ある概念の外延を一定の原理に従っていくつかに分けていく論理的操作。類概念をそれに従属する種概念に分けること。</t>
        </is>
      </c>
      <c r="D2407" t="inlineStr">
        <is>
          <t>区分される(11%)；区分上；区分できる；区分ごと；区分室</t>
        </is>
      </c>
      <c r="E2407" t="inlineStr">
        <is>
          <t>一部；部；部分；限り；分類</t>
        </is>
      </c>
      <c r="F2407" t="inlineStr">
        <is>
          <t>軍隊区分；小区分；時期区分；試験区分；自然区分</t>
        </is>
      </c>
      <c r="G2407" t="inlineStr">
        <is>
          <t>区分所有者；区分的；区分所有法；区分所有；区分機</t>
        </is>
      </c>
      <c r="H2407" t="n">
        <v>29</v>
      </c>
      <c r="I2407" t="inlineStr">
        <is>
          <t>なお競技時間は区分以外にも、大会運営に応じてに変更されることがある。；そして1918年に今日知られている区分とほぼ同じ区分を公表した。；なお、案内標では各ホームを右表のように色で区分して案内している。；これらの区分は歌手の声域というよりむしろ声の特性、音色に関係する。；二つの小宗教はアブラハムの宗教のどの区分にもまったく該当しない。；国鉄の普通列車に使われる車両は座席配置により次のように区分される。；ただし現時点では明確な区分の基準が規定されているものではない。；また本区分ではワンマン運転時対応のため以下の特化した装備を持つ。；これらの領土は次のような地方行政区画に区分され統治されている。；自動車の通行区分は日本や宗主国のイギリスなどと同じ左側通行である。；貿易論が前者であり、前者のみを指して国際経済学と区分する場合もある。；そのため、車両導入の予算区分には独特の用語が使用されている。；客室部の側窓は209系各区分と同様、車端部を除き固定窓を用いた。；下記のような先古典期中期から古典期後期までの時期区分名が用いられる。；日本では一般的には下記の表の様に区分されることが多い。；JR東日本では本系列以降の車両を「新系列車両」として区分している。；その対向側はクロスシートが設置されたため600番台が区分がされた。；大気は、温度変化を基準にして、鉛直方向に4つの層に区分されている。；現在では、細石器を伴う文化はオーリニャック文化から区分されている。；気候型を区分するには各月毎の平均気温と降水量のデータがあればよい。；なお、生涯が2世紀に渡っている場合はあとの世紀に区分するものとする。；自動車が普及している国では、車両とは逆の通行区分になっている場合が多い。；この年のリーグ戦は、前後半の区分がない1シーズン制で開催された。；営業用列車はさらに、下記のようにいくつかに区分されている。；以前は、小説と物語の間には明確な区分があるとされてきた。；伝統的なリンネの分類体系では、鳥類は爬虫類と別の区分とされている。；この時の体験はその前後で日蓮の布教を大きく区分する意味を持つ。；現在は行政区分としての機能は失われ、単なる地理的区分となっている。；これを営業中・事業中路線の道路名に区分すると以下のようになる。</t>
        </is>
      </c>
      <c r="J2407">
        <f>HYPERLINK("https://www.weblio.jp/content/区分", "词义详情")</f>
        <v/>
      </c>
      <c r="K2407">
        <f>HYPERLINK("https://yourei.jp/区分", "查看例句")</f>
        <v/>
      </c>
    </row>
    <row r="2408">
      <c r="A2408" t="inlineStr">
        <is>
          <t>区別</t>
        </is>
      </c>
      <c r="B2408" t="inlineStr">
        <is>
          <t>成功</t>
        </is>
      </c>
      <c r="C2408" t="inlineStr">
        <is>
          <t>読み方：くべつ
［名］(スル)あるものと他のものとが違っていると判断して分けること。また、その違い。「善悪の—」「公私を—する」</t>
        </is>
      </c>
      <c r="D2408" t="inlineStr">
        <is>
          <t>区別する(22%)；区別される(10%)；区別できる(4%)；区別なく；区別点</t>
        </is>
      </c>
      <c r="E2408" t="inlineStr">
        <is>
          <t>分類；整理；区分；差別；分ける</t>
        </is>
      </c>
      <c r="F2408" t="inlineStr">
        <is>
          <t>明確な区別；はっきりと区別；厳密な区別；区別すらつか；区別する実益</t>
        </is>
      </c>
      <c r="G2408" t="inlineStr">
        <is>
          <t>区別意識</t>
        </is>
      </c>
      <c r="H2408" t="n">
        <v>29</v>
      </c>
      <c r="I2408" t="inlineStr">
        <is>
          <t>各分野間には関連領域が存在するため明確に区別することは難しい。；江戸時代以前に成立した伝統的なものを人形芝居と呼んで区別することも。；なお、この区別は便宜的なもので分類上においては明確なものではない。；また、がんなどの異常な細胞と正常細胞を区別することにも利用される。；ほかにも点を上に打ったり下に打ったりすることで同綴語を区別した。；また、アリアとレチタティーヴォも明確には区別されなくなっていった。；コラード系は日本では明確に区別されず一般にケールと呼ばれている。；また軍用機のうち武装を持つものを戦闘用航空機と呼んで区別する。；無神論の異なる形態を区別するために様々なカテゴリーが用いられてきた。；衆生と生命でない物質との境は、ある存在が識を持つか否かで区別される。；彼女は何事にもとくべつに頭をつかって考えたりするふうはなかった。；さう云ふ時には何とかうまく云つてをとなしく別れてくればいゝんです。；これは赤と緑を十分に区別できないいわゆる「赤緑色盲」の状態である。；かつては温度と熱の概念の区別が明確にされていなかった。；死亡したことをはっきりさせたり強調する場合は「死体」と呼び区別される。；日常会話や文章などでは両者は区別されるのが普通である。；仏教の影響を受ける以前の神道を「古神道」と呼び区別する場合もある。；生のままたべたのでとくべつに美味しくはなかったが、いい香いだった。；左右の概念は、鏡像関係にある二つの存在を区別するためにも援用される。；前者と後者を区別し、前者のみを近似アルゴリズムと呼ぶ場合もある。；漢語拼音の名称は、それらと特に区別する必要がある場合用いられる。；民主日本は、過去の君主日本とは、まつたく別のものとなつたのである。；一方で、筆記体では のようであり、それらと区別することが可能である。；そのため、学術論文や専門的な書籍などでは通常こちらの区別が用いられる。；狭義では数値解析と数値計算は異なるが、両者を区別しないことにする。；そのため、生きている状態と死んでいる状態をはっきりと区別することはできない。；中世美学に関するエーコの研究が強調するのは理論と実践の区別である。；両者が一応全く別のものであることに就いてはもはや何人にも異論はあるまい。；両者が区別して使われるようになったのは15世紀以降である。</t>
        </is>
      </c>
      <c r="J2408">
        <f>HYPERLINK("https://www.weblio.jp/content/区別", "词义详情")</f>
        <v/>
      </c>
      <c r="K2408">
        <f>HYPERLINK("https://yourei.jp/区別", "查看例句")</f>
        <v/>
      </c>
    </row>
    <row r="2409">
      <c r="A2409" t="inlineStr">
        <is>
          <t>熊</t>
        </is>
      </c>
      <c r="B2409" t="inlineStr">
        <is>
          <t>成功</t>
        </is>
      </c>
      <c r="C2409" t="inlineStr">
        <is>
          <t>読み方：くま
１食肉目クマ科の哺乳類の総称。全般に大形で、がっしりした体格をし、足の裏をかかとまで地面につけて歩く。ヨーロッパ・アジア・北アメリカおよび南アメリカ北部に分布し、ホッキョクグマ・マレーグマなど7種があり、多くの亜種が知られる。日本にはヒグマ・ツキノワグマがすむ。《季冬》「餌を欲りて大きな—となって立ち／汀女」
２《立ち見席の前に設けられた鉄柵に寄る姿が、檻(おり)の中の熊に似ているところから》劇場で立ち見する人。
３（動植物名の上に付き、接頭語的に用いて）強い、大きいなどの意を表す。「—蝉(くまぜみ)」「—蜂(くまばち)」
[補説]曲名別項。→熊</t>
        </is>
      </c>
      <c r="D2409" t="inlineStr">
        <is>
          <t>熊神；熊狩り；熊撃ち；熊みたい；熊本放送</t>
        </is>
      </c>
      <c r="E2409" t="inlineStr">
        <is>
          <t>クマ</t>
        </is>
      </c>
      <c r="F2409" t="inlineStr">
        <is>
          <t>子熊；大きな熊；直熊；母熊；熊送り</t>
        </is>
      </c>
      <c r="G2409" t="inlineStr">
        <is>
          <t>熊本県；熊野；熊谷；熊本市；熊本県熊本市</t>
        </is>
      </c>
      <c r="H2409" t="n">
        <v>29</v>
      </c>
      <c r="I2409" t="inlineStr">
        <is>
          <t>また熊の出現が予想される山では猟友会に応援要請がかかることもある。；なお、沢の水は飲むことができない他、熊への注意・対策が必要である。；カモシカや熊の目撃報告が年に数回あるので一応警戒したほうがよい。；ある大きな森の中の道を歩いていると、目の前に1頭の熊が現われた。；恐ろしい熊が出ると言われる山道を行くと、目の前に大きな熊が現れる。；黒い耳を除いて全身黄色で、デフォルメした熊のような二頭身のデザイン。；死体発見直後の映画関係者や熊の湯関係者からの聞き取りも詳細化されている。；尚、場合によっては主人が到着する前に熊を倒してしまうこともある。；熊の湯は江戸時代から平田内川上流に湧出する温泉として知られていた。；桓雄はある熊の願いをかなえて女にし、この熊女との間に子をもうけた。；国際的には豚肉がほとんどであるが、熊や犬の肉が原因となることもある。；骨器製造者の間では、贅沢品である熊脂の利用が浸透するようになった。；奥多摩では毎年のように熊に人間が襲われる事故が発生している。；熊の出て来る最後のシーンは、次話に予定されていたシーンが移動されたものである。；夫婦は熊化されているが、他の登場人物は人間として描かれている。；それは、口に含んでいるあいだ、その姿を熊に変えるものであった。；今でも、熊ではなく猫の仲間だと誤解している中国人が少なくない。；今までで最も洗練されていると思われる発見は熊の頭の形をした何らかの兵器である。；また別伝では、カリストーは熊にされた後も十数年間生き続けている。；カナダでは、それが大型熊を除いてどんな猟獣にも適切であることがわかった。；さらにイクパスイの表面に彫られた装飾は海の神、熊などを表すと考えた。；彼女はもとの美しい容姿とは似ても似つかぬ、熊の姿に変えられたのである。；内容は人を殺すのではなく熊のぬいぐるみを次々にめちゃくちゃにするもの。；主人公が森を出る途中にばったりと熊に出会い、君は逃げないのか?；冬になる前に殺された子熊の霊=生命は、神々の世界=霊界へと旅立つ。；「私」は図書室を出、まだ茶を飲んでいた熊の少女に事情を説明する。；ロシア軍は得利寺駅に火を放って熊岳城に撤退、第二軍の勝利に終わった。；彼女はもとの美しい容姿とは似ても似つかぬ、熊の姿に変えられてしまった。；しかし熊は次第に孫から離反し始めたため、怒った黄は熊の下を出奔した。</t>
        </is>
      </c>
      <c r="J2409">
        <f>HYPERLINK("https://www.weblio.jp/content/熊", "词义详情")</f>
        <v/>
      </c>
      <c r="K2409">
        <f>HYPERLINK("https://yourei.jp/熊", "查看例句")</f>
        <v/>
      </c>
    </row>
    <row r="2410">
      <c r="A2410" t="inlineStr">
        <is>
          <t>組合</t>
        </is>
      </c>
      <c r="B2410" t="inlineStr">
        <is>
          <t>成功</t>
        </is>
      </c>
      <c r="C2410" t="inlineStr">
        <is>
          <t>読み方：くみあい
１（組み合い）互いに組みついて争うこと。組み打ち。「取っ—」
２共通の目的のために何人かが寄り合って仲間を作ること。また、その人々。組。
「まさか一人じゃあるまい。—か」〈鴎外・普請中〉
３民法上、二人以上の者が出資し合って共同の事業を営むことを約束する契約によって成立する団体で、法人となる資格がないもの。
４特別法によって、特定の共同目的を果たすために、一定の資格のある者で組織することを認められている団体。協同組合・共済組合など。
５「労働組合」の略。「—運動」</t>
        </is>
      </c>
      <c r="D2410" t="inlineStr">
        <is>
          <t>組合長(7%)；組合連合会；組合側；組合活動；組合理事長</t>
        </is>
      </c>
      <c r="E2410" t="inlineStr">
        <is>
          <t>会；会社；組織；企業；クラブ</t>
        </is>
      </c>
      <c r="F2410" t="inlineStr">
        <is>
          <t>同組合；工業組合；商業組合；畜産組合；酒造組合</t>
        </is>
      </c>
      <c r="G2410" t="inlineStr">
        <is>
          <t>組合員；組合わせ；組合立；組合わ；組合せ論</t>
        </is>
      </c>
      <c r="H2410" t="n">
        <v>29</v>
      </c>
      <c r="I2410" t="inlineStr">
        <is>
          <t>現在ある組合の多くが何らかの形でこの時期に端を発したものである。；そこで組合を作ろうにも同調者がいれば良いが、そうでない場合もある。；翌年8月31日には組合の大会で諮った上で連合会からの脱退している。；多摩川衛生組合が組織されるまでは町が独自にごみ処理を行なっていた。；個人間で行うものから組合やギルド等の特定のグループ内で行うものがある。；地域一円の織物業者のみで結成した健保組合の成立は、日本初であった。；組合加盟には様々な規定があり、それらをクリアしなければならない。；現役世代を圧迫するとして廃止や廃止の検討をしている組合が出てきている。；従業員に住宅・菜園・学校を提供し、食糧不足に備えて組合を整備した。；東京俳優生活協同組合に所属し、同組合の創立メンバーの一人であった。；その後も結成されようとしている組合との交渉役をベネットに任せている。；党の創設は容共的な労働組合との政略的な連携を通じたものだった。；期成会の支援のもと、各地の職工たちは職業別組合を結成していった。；多くの県で同業組合が設立されたものの、戦時中は統制が敷かれていた。；争議行為は数多くあったが、組合の運営などは比較的安定していたといえる。；映画脚本家組合が調査を行い、ニュース雑誌もこの話題を取り上げた。；会員約500人と国内でも最少の組合である石工協会の本部があった。；組合主催者として、デモを行う労働者の妻や子供達を組織して有名になった。；その後十年間にこの方針が組合の基調となり今日に至っている。；普請金は組合の位置する場所によって課せられる金額が異なっていった。；剰余金が発生した場合の組合員への還元等は、他の生協と同様である。；アメリカホテル組合会社が発行権を買収して現在に至る。；機労結成から動労解散に至るまで機関区出身者が組合指導者の大半を占めた。；しかし同時に、健全な組合がないがゆえのリスクの側面をも見る必要がある。；東映動画時代、組合活動を通じて宮崎に与えた思想的影響は少なくない。；ニューヨークに「日本米国両商組合会社」を設立して雑貨等の販売に従事。；強大な労働組合と強大な企業は2つの悪と見ていると話していた。；この組合結成を怒った弥生は、教授数人を首謀者と断定して辞職させた。；組合の所在地は新居浜市役所内にあり新居浜市長が組合長となっていた。</t>
        </is>
      </c>
      <c r="J2410">
        <f>HYPERLINK("https://www.weblio.jp/content/組合", "词义详情")</f>
        <v/>
      </c>
      <c r="K2410">
        <f>HYPERLINK("https://yourei.jp/組合", "查看例句")</f>
        <v/>
      </c>
    </row>
    <row r="2411">
      <c r="A2411" t="inlineStr">
        <is>
          <t>組み合わせる</t>
        </is>
      </c>
      <c r="B2411" t="inlineStr">
        <is>
          <t>成功</t>
        </is>
      </c>
      <c r="C2411" t="inlineStr">
        <is>
          <t>読み方：くみあわせる
［動サ下一］［文］くみあは・す［サ下二］
１二つ以上のものを取り合わせてひとまとまりにする。「何種類もの花を—・せた花束」
２競技・勝負事などで戦う相手を決める。「力の接近したチームを—・せる」
３からみ合わせたり交差させたりして、物をつなぎ合わせる。「材木を十文字に—・せる」「指を—・せる」</t>
        </is>
      </c>
      <c r="D2411" t="inlineStr">
        <is>
          <t>組み合わせる形で製造</t>
        </is>
      </c>
      <c r="E2411" t="inlineStr">
        <is>
          <t>合併；結合；合成；合同；混合</t>
        </is>
      </c>
      <c r="F2411" t="inlineStr">
        <is>
          <t>うまく組み合わせる；正しく組み合わせる</t>
        </is>
      </c>
      <c r="H2411" t="n">
        <v>29</v>
      </c>
      <c r="I2411" t="inlineStr">
        <is>
          <t>さまざまな目的に応じて複数のプログラムを組み合わせることも可能。；実際のシステムでは、用途に応じてこれら複数の処理を組み合わせる。；いくつかのベクトルを組み合わせると他のベクトルを作ることができる。；磁石の向きや強さを様々に組み合わせることで数千の組み合わせが可能である。；交接姿勢は雌雄が人間が両手の指を組み合わせたように腕を組み合わせる。；異なるスキルを連続して組み合わせることで特別な効果を発揮するものもある。；この場合、平文と鍵を組み合わせるのには排他的論理和がよく使われる。；これは、一般に次のような手法を組み合わせることで実現される。；項を置換し組み合わせると最終的に以下の慣習的な形式が得られる。；特定のロールを組み合わせる事で意図的に連携の成功率を上げることも可能。；これらを組み合わせることで、1 から 3999 の値が表現できる。；そのまま使えるものもあるが、組み合わせることで新しいものが作れる。；熱処理と物理的な力を組み合わせることで金属の性質の改善を行うことが多い。；不透明度と組み合わせることによって様々な効果を出すことができる。；列挙型の値を組み合わせるためには列挙セットクラスを使用する必要がある。；初期の自動車工場では業者から送られてきた部品を組み合わせる組み立て工場であった。；問題の分割手法には領域分割、機能分割があり、両方を組み合わせることもある。；複数のキーワードを組み合わせることで意味が変わるものが多い。；チームシンボルはこれにリーダーのイニシャルの飾り文字を組み合わせる。；この方法は、 独自の復帰文と組み合わせる事でより柔軟な制御をする事ができる。；またこの2種類を組み合わせることでより実用的かつ高度的な活動が可能になる。；また、パーツの数が多いほど組み合わせる数がどんどん増えていく。；下記のタイプを組み合わせることにより、さまざまな形の腕珠がある。；雅号は多くの場合本名から一字を取り、もう一字と組み合わせる。；また、自白剤のみでなくいくつかの手法を組み合わせることも多い。；実際の工事はこれらの作業を組み合わせることが多い。；なお、一部のアイテムは組み合わせることで、新たなアイテムを作ることも可能。；また、複数の色を組み合わせることで微細な色合いを表現することが出来る。；これに組み合わせる陰イオンの種類を選択することで、多様な構造を合成できる。</t>
        </is>
      </c>
      <c r="J2411">
        <f>HYPERLINK("https://www.weblio.jp/content/組み合わせる", "词义详情")</f>
        <v/>
      </c>
      <c r="K2411">
        <f>HYPERLINK("https://yourei.jp/組み合わせる", "查看例句")</f>
        <v/>
      </c>
    </row>
    <row r="2412">
      <c r="A2412" t="inlineStr">
        <is>
          <t>組み込む</t>
        </is>
      </c>
      <c r="B2412" t="inlineStr">
        <is>
          <t>成功</t>
        </is>
      </c>
      <c r="C2412" t="inlineStr">
        <is>
          <t>読み方：くみこむ
［動マ五（四）］あるものを全体の一部としてその中に入れる。組み入れる。「予算に—・む」「組織下に—・まれる」</t>
        </is>
      </c>
      <c r="D2412" t="inlineStr">
        <is>
          <t>組み込む形(2%)；組み込むべく</t>
        </is>
      </c>
      <c r="E2412" t="inlineStr">
        <is>
          <t>含む；入れる；合併；統合；総合</t>
        </is>
      </c>
      <c r="H2412" t="n">
        <v>29</v>
      </c>
      <c r="I2412" t="inlineStr">
        <is>
          <t>寝た格好で壁に組み込むのもあれば、座った格好で壁になるものもいた。；戦術核をこの理論にどう組み込むのかという問題が生じてきたのである。；特に公園は、相互に要素の関連している風景を組み込むように設計された。；なおトイレは編成にクハ115形が組み込まれているため未設置である。；南側階段は運動系部活動で練習のメニューに組み込まれている部もある。；室内に単独で立てられたものではなく既に建物に組み込まれている。；コンガやドラムセットなど他の楽器に組み込んでの演奏も一般的である。；以下はフランス王領に組み込まれた年代順に番号付けしたものである。；離脱した編成の経年の浅い車両を他編成に組み込む組成変更が行われた。；そのためコードをOSのベースに組み込む際には必ず守る必要がある。；編成の中央に組み込まれ、編成の分割を考慮して簡易運転台を設置する。；基本技のなかには基本動作およびその応用形が組み込まれている。；平日は朝・昼に学校があるので、夕方にしか予定を組み込む事が出来ない。；前述したが、過去には8500系に組み込まれていた車両も存在した。；囲炉裏は床に組み込んで設置される場合と土間に設置される場合とがある。；洞内にある縦穴を公開ルートに組み込んだ全国でも珍しい観光洞である。；太陽電池モジュールに電子回路を組み込んだものが製造され始めている。；モーターに組み込むために専用のリング型のバリスタが製造されている。；これらを本系列の中間に組み込むことにより必要車両数を確保した。；抗菌目的で素材に銀イオンを組み込むことへの利用も考えられている。；これは操舵機構を制御するために無線操縦装置を組み込む事が可能である。；ライブラリで提供されるものと、言語に組み込まれているものがある。；システム面でも今までのシリーズの要素を組み込んだりと色々な面で強化された。；この再設計の中に、主脚を引き込み式とする案が組み込まれていた。；料金が高すぎたのか、愛称を組み込む条件だったのか、原因は分からない。；その時、新教会堂内の壁に組み込まれたガラス礎石が光り輝くのである。；トリプルアクセルも練習では成功させており、競技に組み込むこともある。；無伴奏歌唱は、教会の最初期からキリスト教の典礼に組み込まれていた。；テーマは自然への祝福であったが、デザインに現代科学の要素を組み込んだ。</t>
        </is>
      </c>
      <c r="J2412">
        <f>HYPERLINK("https://www.weblio.jp/content/組み込む", "词义详情")</f>
        <v/>
      </c>
      <c r="K2412">
        <f>HYPERLINK("https://yourei.jp/組み込む", "查看例句")</f>
        <v/>
      </c>
    </row>
    <row r="2413">
      <c r="A2413" t="inlineStr">
        <is>
          <t>組み立てる</t>
        </is>
      </c>
      <c r="B2413" t="inlineStr">
        <is>
          <t>成功</t>
        </is>
      </c>
      <c r="C2413" t="inlineStr">
        <is>
          <t>読み方：くみたてる
［動タ下一］［文］くみた・つ［タ下二］個々の材料・部品などを組み合わせて、一つのまとまった物を作り上げる。「模型を—・てる」「考えを—・てる」</t>
        </is>
      </c>
      <c r="D2413" t="inlineStr">
        <is>
          <t>建設；構成；製造；制作；生産</t>
        </is>
      </c>
      <c r="H2413" t="n">
        <v>29</v>
      </c>
      <c r="I2413" t="inlineStr">
        <is>
          <t>それにこの装置に似たものを組み立てる作業をはじめるときでもないし。；部分的にはISSに結合して軌道上で組み立てることが計画されていた。；事実に先立って理論を組み立てるのは、ひどい間違いを起こすものだよ。；自分を組み立てるための腕と脳を自分の肉体に組み込もうとしている。；体を大きくしようと思ったら、もっとがっしりと組み立てる必要がある。；恋人が我々にたいして勝手なイメージを組み立てるのは困ったものである。；それは大型のカメラで、彼らはそれを箱から取り出して組み立てるのだった。；と人混みの先から何かを組み立てるような異様な金属音が連続する。；本機は、出発地点で輸送時の状態から10分で組み立てることが出来る。；歌詞は辞書から変わった言葉を抽出して語感から組み立てることもある。；事前に原稿が用意される場合と、即興で内容を組み立てる場合がある。；それで大きなものから小さなものまで自由自在に組み立てることができる。；シートンはそれに対抗する防衛方式を組み立てることができたこと。；また、V2ロケットを作るのに十分な部品を組み立てることができた。；再度敵に知られぬロジックを組み立てることは大変なことである。；それでも、自分の行動を詳細に組み立てるまで、彼は座席から動かなかった。；頭は上下逆さの状態で置かれている為ひっくり返して組み立てる必要がある。；「きさげ集」は、骨・寸法の木その他の分子を集めて、組み立てるのか。；この は同じくギリシア語の「組み立てる」を元に作られた語句である。；顧客は自宅などで受け取ったキットを指定された手順に従い組み立てる。；ボールキープに優れ、中盤の底でゲームを組み立てる能力に秀でている。；考えの式を組み立てるための記号をもたないと思われるからである。；私たちは彼らの作から、正しい工藝の思想を組み立てることができぬ。；攻撃面では、アウトレットの基点になって攻撃を組み立てる役割を担う。；これを組み立てるのは容易ではないなと、舛谷はがっくりと肩を落とした。；おまえたちの死は宇宙の秩序を組み立てる諸部分の一つである。；ボトムアップ方式では、より小さいものから複雑なものを組み立てる。；そのほかのものは分割して発注し、ここにあつめて組み立てればいい。；ぼくは佳子の、崩壊した構成物をパズルのように組み立てるのに熱中した。</t>
        </is>
      </c>
      <c r="J2413">
        <f>HYPERLINK("https://www.weblio.jp/content/組み立てる", "词义详情")</f>
        <v/>
      </c>
      <c r="K2413">
        <f>HYPERLINK("https://yourei.jp/組み立てる", "查看例句")</f>
        <v/>
      </c>
    </row>
    <row r="2414">
      <c r="A2414" t="inlineStr">
        <is>
          <t>汲む</t>
        </is>
      </c>
      <c r="B2414" t="inlineStr">
        <is>
          <t>成功</t>
        </is>
      </c>
      <c r="C2414" t="inlineStr">
        <is>
          <t>読み方：くむ
［動マ五（四）］
１器物や手のひらなどを使って、水などをすくい取る。また、ポンプなどの機械によって水などを容器に移し入れる。「井戸水を—・む」「釜から茶柄杓(びしゃく)で湯を—・む」
２酒・茶などを器につぐ。また、ついで飲む。「お茶を—・む」
３人の心の内を推し量る。立場・事情などを察してよく理解する。思いやる。酌量する。「苦しい心中を—・む」「相手の意向を—・む」
４物事の趣を味わう。「—・めども尽きぬ思い」
「せめて弾く形の美しさに情趣を—・みたい」〈谷崎・蓼喰ふ虫〉
５精神・立場などを受け継ぐ。「アララギ派の流れを—・む」
[可能]くめる
[補説]2で、酒をつぐ場合は「酌む」と書く。</t>
        </is>
      </c>
      <c r="D2414" t="inlineStr">
        <is>
          <t>取る；飲む；上がる；注ぐ；仰ぐ</t>
        </is>
      </c>
      <c r="H2414" t="n">
        <v>29</v>
      </c>
      <c r="I2414" t="inlineStr">
        <is>
          <t>駅の近くから水を汲んで、集落に運んでいる女や子供たちの姿が見える。；つまりこの泉からみな都へと水を汲んでゆくならわしになっていたのです。；美しい女が井戸で水を汲んでいたので、水をわけてもらって船に戻った。；それを汲んで来て小屋の外にある中凹になった大きな岩に湛えてあった。；一時間前に、うちのやつが水を汲んだときにはなんでもなかったんです。；あなたは今ここへ水を汲みに来ていた、十五六の娘が御好きでしょう。；川の水を汲んでは掛けていたため、みな水からあがったように濡れていた。；しかし何時の世になっても皆が改めて汲みに来るだろうと思う泉が一つある。；そしてそのあとではっきり汲みとれなかった点をいくつか問いただした。；作者は不明であるが、タルノヴォ派の流れを汲む人物と考えられている。；ならば、お二人の御師匠もやはり神農様の流れを汲んでいるわけでして。；館は十ほどあったが、その中で一番大きな館の中で酒が汲み交されていた。；「水を汲んで来てもらいたいが」 下僚の一人は彼の老人の家へ往った。；しかしこの疲れた足で金性水を汲みに行くのは容易な事ではない。；特に大寒に汲まれた水は「寒の水」といわれ、貴重なものとされている。；どうしたのかしら、水を汲んでゆきながらおせんは微かに不安を感じた。；別の入れ物で水を汲み入れても、こぼしてしまうこともあると思います。；おれの註文を聴いてから玉川まで水を汲みに行ったわけじゃああるめえ。；だれもがそうなってしまったら、肥汲みも隠亡もやるやつがいなくなる。；このとき、遠くにある泉や小川から水を汲んでくるのは女性の仕事である。；昼は平気で水を汲みに来たりして居つても、日暮れ方から隠れてしまふ。；今から1300年ほど前、真間の井に水を汲みに行く一人の女性がいた。；俺の視線を受けた麻奈実は、それだけで俺の気持ちを汲んでくれたらしい。；どんな苦労のもとに男が水を汲んできたのか、考えるひまもなかった。；水がほしいといわれるので、機から下りて遠いところまで汲みに行きました。；で、東吾も墓地の入口の井戸まで行って、新しい水を汲んで来てやった。；そこに気がついたので、おれには少し意味が汲みとれるようになったのだ。；水を汲んで見上げると、乗越には雪が波の崩れのようにかぶさっていた。；番組終了後、MBSラジオでは当番組の流れを汲んだ番組を放送している。</t>
        </is>
      </c>
      <c r="J2414">
        <f>HYPERLINK("https://www.weblio.jp/content/汲む", "词义详情")</f>
        <v/>
      </c>
      <c r="K2414">
        <f>HYPERLINK("https://yourei.jp/汲む", "查看例句")</f>
        <v/>
      </c>
    </row>
    <row r="2415">
      <c r="A2415" t="inlineStr">
        <is>
          <t>酌む</t>
        </is>
      </c>
      <c r="B2415" t="inlineStr">
        <is>
          <t>成功</t>
        </is>
      </c>
      <c r="C2415" t="inlineStr">
        <is>
          <t>読み方：くむ
［動マ五（四）］
１器物や手のひらなどを使って、水などをすくい取る。また、ポンプなどの機械によって水などを容器に移し入れる。「井戸水を—・む」「釜から茶柄杓(びしゃく)で湯を—・む」
２酒・茶などを器につぐ。また、ついで飲む。「お茶を—・む」
３人の心の内を推し量る。立場・事情などを察してよく理解する。思いやる。酌量する。「苦しい心中を—・む」「相手の意向を—・む」
４物事の趣を味わう。「—・めども尽きぬ思い」
「せめて弾く形の美しさに情趣を—・みたい」〈谷崎・蓼喰ふ虫〉
５精神・立場などを受け継ぐ。「アララギ派の流れを—・む」
[可能]くめる
[補説]2で、酒をつぐ場合は「酌む」と書く。</t>
        </is>
      </c>
      <c r="D2415" t="inlineStr">
        <is>
          <t>酌むべき(13%)</t>
        </is>
      </c>
      <c r="E2415" t="inlineStr">
        <is>
          <t>取る；飲む；上がる；注ぐ；仰ぐ</t>
        </is>
      </c>
      <c r="H2415" t="n">
        <v>29</v>
      </c>
      <c r="I2415" t="inlineStr">
        <is>
          <t>屋根の下は男と女が坐って、酒を酌みかわすくらいの余裕をもっている。；この水を酌んで紙コップに願いを書くと願いがかなえられるとされている。；しずかに妻木君が這入って来て眼くばせ一つせずにお茶を酌んで出した。；小兵衛とは親しかったが、酒を酌みかわすときも、ほとんど無言なのだ。；中島は二人の子供等と最後の酒を酌み、酔って手を叩きながら歌った。；あの夜は強いて朗らかに酒を酌んだが、いまのような軽さはなかった。；茶屋から借りた茣蓙を草の上に敷いて、新之助と良庵が酒を酌んでいた。；まだ来ぬ旅人も酌む酒の苦さを知ったら、 誰がこんな宿へなど来るものか!；それを、一日に何回となく杓子で酌み出しては鍋にいれてくるのだ。；一同が酒を酌みあっているとき、とつぜん公孫勝は立ちあがっていった。；彼は、亥十郎の眼光のなかにある気持を充分に酌みとって仔細を聞いていた。；家康はその言葉に喜び、深夜まで酒を酌んで別れたと伝わる。；順を追って、ひとつ今夜は酒酌みながら、それの吉報をおはなししよう。；祝言の杯を酌んでいる席から聟盗みをして攫って来たのだと聞いて驚きもした。；時と人こそちがえ、人々は幸右衛門の心根を充分に酌みとることができた。；それから私たちは酒を酌みはじめ、そして酒のほうがわれわれよりも強くなるほどになりました。；それからは二人は昼も夜も酒を酌みながら語り暮らし、魚客は楽しくて帰ることも忘れていた。；その後で茶を酌み乍ら、藤浪君が女房を離縁したと云ふことを自分から云つた。；気持ちを酌んでやるのも大事なことじゃねえのか?；彼女は私の意を正しく酌んで、一も二もなく同意してくれた。；お茶酌みに付き添っている関根刑事の負担を少しでも軽くしようと考えたからである。；すなわち集団的人間の類型的見かたを個人が酌みとることを意味する。；中納言はくつろいだ姿で、北の方や末の姫に相手をさせながら酒を酌んでいた。；酒はいかなる酒にもあれ、君の酌みて給はらんに、旨からぬことやはある。；片岡君は人生最後の酒を酌む為めに愛玩の逸品を使ったのである。；わたしは、主にひとりで炉端の酒を酌みながら、天井の破れ凧を見あげた。；茶を酌んだとて漏るわけでなく、高臺の割れたのがいけないといふ。；その晩は何年ぶりかで一緒に酒を酌みかわしながら、私はくわしくようすを聞いた。；俺の意図を酌んでくれたのは、微動だにしないアルマだけだった。</t>
        </is>
      </c>
      <c r="J2415">
        <f>HYPERLINK("https://www.weblio.jp/content/酌む", "词义详情")</f>
        <v/>
      </c>
      <c r="K2415">
        <f>HYPERLINK("https://yourei.jp/酌む", "查看例句")</f>
        <v/>
      </c>
    </row>
    <row r="2416">
      <c r="A2416" t="inlineStr">
        <is>
          <t>組む</t>
        </is>
      </c>
      <c r="B2416" t="inlineStr">
        <is>
          <t>成功</t>
        </is>
      </c>
      <c r="C2416" t="inlineStr">
        <is>
          <t>読み方：くむ
［動マ五（四）］
１
㋐がっちりと、互いのからだに取りつき合う。取り組む。「四つに—・む」
㋑同じ目的で何かをするために仲間になる。組になる。「彼と—・んで事業を始める」
２
㋐ものを互い違いに交差させたりからみ合わせたりする。「腕を—・む」「足を—・む」
㋑材料・部分を順序に従って合わせたり結んだりして、まとまりのある全体を作り上げる。「ひもを—・む」「足場を—・む」
㋒統一あるものにまとめ上げる。組織したり編成したりする。「徒党を—・む」「時間割を—・む」
㋓活字を、指定に従って原稿どおりに並べる。「版を—・む」
[可能]くめる
[下接句]鬼とも組む・座を組む・手を組む・徒党を組む・膝(ひざ)を組む・四つに組む</t>
        </is>
      </c>
      <c r="D2416" t="inlineStr">
        <is>
          <t>組む形；組むべき；組むよう命じ</t>
        </is>
      </c>
      <c r="E2416" t="inlineStr">
        <is>
          <t>建設；構成；設立；組織；形成</t>
        </is>
      </c>
      <c r="H2416" t="n">
        <v>29</v>
      </c>
      <c r="I2416" t="inlineStr">
        <is>
          <t>この時期には車両数の関係で750形同士で編成を組むことが多かった。；この頃、兄と一緒にバンドを組んだライブをやっていたこともあった。；初期にはアーケードゲームにて専用の電子回路を組んで実現されていた。；これと同時に三田証券と組んでイベントを証券化することも発表された。；先輩と後輩の関係だったが仲がよく、2人でユニットなどを組んでいた。；そのほか、下記のような延長運転の実施や特別編成が組まれたことがある。；初期のコンピュータにもプラグボードでプログラムを組むものがあった。；グループを組むことができ、最大10名まで同一グループに所属できる。；スッポンタケ城と仲が良いが、向こうは一時的に組んでいるだけである。；各政党が組む連合の組み合わせとしていくつかのモデルが作られている。；特に土休日ダイヤの夕方は日中とほぼ同じダイヤを組んでいることが多い。；また、同僚の松永友幸アナらとバンドを組んで活動していたこともある。；複数の人とチームを組むときは、敏捷が早い順に敵に対して攻撃を行う。；本作の監督である小林恒夫とはその後も多くの作品で組むことになる。；その節中に、好調子の選手と不調子の選手とをわざと同じカードに組むこと。；私たちと手を組むようなことは恥ずかしいことだと思われてもいるでしょう。；この事情から、 の3点を目的とした局間ネットワークが組まれていった。；基本的には通常の番組を組むが、冒険的な企画が行われることがある。；また、団体対抗戦では現在では考えられないようなカードが組まれている。；個人ユーザーが複数人でチームを組んで競い合う状況が生まれている。；遺体は金属製の台に乗せられ、ダフマの近くまで葬列を組んで送られる。；大北とは高校生のときからコンビを組んでいて、文化祭などに出ていた。；しかし事業の調整や道路の整備のための予算は組まれなかった。；ゲーム開始時に2人のキャラクターを選び、コンビを組んで戦っていく。；採寸は顧客が立った状態で肩の高さで腕を組んだ姿勢で行われた。；流域は木材の生産が盛んであり、かつてはその木を筏に組んで流していた。；編成は7両編成まで組むことができるが、一部の車両では制限がある。；槍兵には密集隊形を組ませ、周囲と両翼に袖のように投射兵を配置した。；グレートショットはかつて彼らと組んでいたが裏切りにあったらしい。</t>
        </is>
      </c>
      <c r="J2416">
        <f>HYPERLINK("https://www.weblio.jp/content/組む", "词义详情")</f>
        <v/>
      </c>
      <c r="K2416">
        <f>HYPERLINK("https://yourei.jp/組む", "查看例句")</f>
        <v/>
      </c>
    </row>
    <row r="2417">
      <c r="A2417" t="inlineStr">
        <is>
          <t>工面</t>
        </is>
      </c>
      <c r="B2417" t="inlineStr">
        <is>
          <t>成功</t>
        </is>
      </c>
      <c r="C2417" t="inlineStr">
        <is>
          <t>読み方：くめん
［名］(スル)《「ぐめん」とも》
１いろいろ手段・方法を考えて手はずを整えること。特に、なんとか工夫して金銭を用意すること。算段。「旅費を—する」
２金回り。ふところぐあい。
「—のいい馴染に逢って、ふもとの山寺に詣でて鹿の鳴声を聞いた処」〈鏡花・眉かくしの霊〉
３相談。談合。
「扨母の心も休めたく、此の亭主に—し」〈浄・天の網島〉</t>
        </is>
      </c>
      <c r="D2417" t="inlineStr">
        <is>
          <t>工面する(14%)；工面でき(5%)；工面しよ</t>
        </is>
      </c>
      <c r="E2417" t="inlineStr">
        <is>
          <t>都合；算段；資金繰り；切り盛り；金繰り</t>
        </is>
      </c>
      <c r="F2417" t="inlineStr">
        <is>
          <t>施工面；苦しい工面；工面するため；工面する必要</t>
        </is>
      </c>
      <c r="H2417" t="n">
        <v>29</v>
      </c>
      <c r="I2417" t="inlineStr">
        <is>
          <t>その女は今は近所に住んでいる小工面のよいある大工に嫁入りしていた。；どうかして僕が他から工面しなければならないのは貴女にも解るでせう。；好いた女を連れて旅行するくらゐな金はどうかして工面がつくものだよ。；ぐずぐずしていたら、どこへ行っても金の工面がつかなくなってしまう。；或はそのための旅に出るだけの金も、工面すれば出来ない筈はなかった。；わたし、じきにお金を工面してここから出れるようにしてあげますから。；クラムは、わざわざ工面してでも、降りて来ずにはいられなかったのだ。；所がそれはしないで、私が金を工面して買ってやらなきゃならないんです。；学資の工面に追われていた母親のことが今はじめて胸をちくちく刺した。；しかし、私は貧乏で、金の工面がつかないと白状せずにいられなかった。；それなのに引越さなかったのは、結局は金の工面がつかないせいである。；ほんの数時間の猶予で四万ポンドを工面しなければなりませんでした。；でも不破のお義父様はわたくしのために二十八両を工面なさいました。；女のための金の工面は、酒の金の工面とはまた別のところにあった。；その橋を修理する工面が私にはどうしてもつかなかったのです。；いろいろ工面してその後につづけたのが文房具などを売る店であった。；この為竹田は生涯にわたり生活資金の工面に苦労させられることになる。；そうまでして資金を切り詰めなくては社員の給与を工面できなかった。；だが、やっと金を工面してそれを手に入れたときのうれしさといったらない。；向かいの小田さんも娘ムムムに約束のお金が工面できずに困っていた。；その気持ちを察して妻が「何とか工面して行ってきたら」と言ってくれた。；社内ローンでないとしたら、車を買うお金はどこで工面をつけたのだろう。；中絶の費用がいると言っていたから、峰岸が工面してやると約束した。；しかしヨーク公はその生活を維持する資金を工面することに苦慮した。；鷲尾はわざわざ旅費を工面して帰ってこなければよかったと後悔していた。；東京へ帰るには、二十円も工面しなければならぬと云う事が頭にちらつく。；お延の叔父岡本の好意で、津田の入院費を工面してくれることになった。；仕方がないから、叔父に一時の工面を頼んで、當座の片を付けて貰つた。；彼らはコードを書き、報道やユーザやお金の工面をしなければならなかった。</t>
        </is>
      </c>
      <c r="J2417">
        <f>HYPERLINK("https://www.weblio.jp/content/工面", "词义详情")</f>
        <v/>
      </c>
      <c r="K2417">
        <f>HYPERLINK("https://yourei.jp/工面", "查看例句")</f>
        <v/>
      </c>
    </row>
    <row r="2418">
      <c r="A2418" t="inlineStr">
        <is>
          <t>雲</t>
        </is>
      </c>
      <c r="B2418" t="inlineStr">
        <is>
          <t>成功</t>
        </is>
      </c>
      <c r="C2418" t="inlineStr">
        <is>
          <t>読み方：うん
［音］ウン（呉）（漢）　［訓］くも
［学習漢字］2年
〈ウン〉
１くも。「雲海・雲散・雲集／暗雲・暁雲・巻雲(けんうん)・彩雲・紫雲・瑞雲(ずいうん)・星雲・戦雲・白雲・風雲・雷雲」
２高いこと、遠いことなどのたとえ。「雲客・雲桟・雲上人(うんじょうびと)」
３出雲(いずも)国。「雲州」
〈くも（ぐも）〉「雲脚・雲間／雨雲・浮雲・薄雲・黒雲・白雲・夏雲・雪雲・綿雲」
［名のり］も・ゆく
［難読］雲丹(うに)・雲母(きらら)・東雲(しののめ)・雲雀(ひばり)・雲脂(ふけ)・水雲(もずく)・雲呑(ワンタン)</t>
        </is>
      </c>
      <c r="D2418" t="inlineStr">
        <is>
          <t>雲ひとつ；雲一つない；雲平；雲塊；雲状</t>
        </is>
      </c>
      <c r="E2418" t="inlineStr">
        <is>
          <t>霧；ガス；霞；靄；かすみ</t>
        </is>
      </c>
      <c r="F2418" t="inlineStr">
        <is>
          <t>黒い雲；三雲；薄い雲；香雲；白い雲</t>
        </is>
      </c>
      <c r="G2418" t="inlineStr">
        <is>
          <t>雲南；雲の上；雲海；雲水；雲雀</t>
        </is>
      </c>
      <c r="H2418" t="n">
        <v>29</v>
      </c>
      <c r="I2418" t="inlineStr">
        <is>
          <t>この辺りの大気はおそらく、いくらかの硫酸を含む濃い雲の領域だろう。；水の雲は惑星内部から供給される熱を受けて、雷のエネルギーを蓄積する。；また、光を弱めることで雲が太陽の前を通過するシーンが描写された。；なお、山の地面に接する霧または雲のことをガスと呼ぶことがある。；さらに、アンモニアの雲の下には薄い水の雲が存在すると予想される。；逆に残りの約9ヶ月は雨期に当たり、雲と雨ばかりの多湿な日々が続く。；これで作った雲は灰色になり、先端から電撃を発射することができる。；その雲は星の宝物である「クリスタル」を狙ってやってきたのであった。；元素99は、爆発の雲の中を漂っていたろ紙の中からすぐに発見された。；青空を表現するときには、すじ雲の存在が空の高さを感じさせやすくする。；これは、オールトの雲の分布が球殻状であると推定する根拠になっている。；後者は雲の形をしており、基本的に赤地に白文字のものがよく使用される。；雷を発生させる雲を雷雲と呼び、その時に雲は帯電状態となっている。；地球の観測写真を撮影するためには、雲がないことが必須であった。；雲から凝縮して大きめの水滴となって地上に落ちてくる水は雨と呼ぶ。；この節では、特に断りのないものは、全て「雲」が使用するものとする。；電位差が発生した雲または大地などの間に発生する光と音を伴う放電現象。；大気を持つ太陽系の惑星のほとんどでは、地球と同じように雲が発生する。；このような収縮が起こると、雲の衝突や分裂の過程で恒星が誕生する。；雲との一番大きな違いは水滴の大きさなどではなく、両者の定義の違いである。；屋根の下にある天井部分は「天」と呼ばれ、雲や空が描かれていた。；雲や隙間の形が、列をなして並んだように見えることも多い。；この美しい玉は雲を湧かせ雨を降らせることが出来る不思議な玉でもあります。；同様に、中心核に照らされたガス雲も場所ごとに異なる速度を持つと考えられる。；海上の高気圧は含んでいる水分が多いためさらに雲は生じやすくなる。；この地で吐蕃軍が守る連雲堡を落とし、5千人を殺し、千人を捕らえた。；最も低い所に浮かび、灰色または白色で、層状あるいは霧状の雲のこと。；これらの収縮する雲は途中で分裂する場合があり、この場合連星を形成する。；地震雲とは大きな地震の前後に出現するといわれる雲である。</t>
        </is>
      </c>
      <c r="J2418">
        <f>HYPERLINK("https://www.weblio.jp/content/雲", "词义详情")</f>
        <v/>
      </c>
      <c r="K2418">
        <f>HYPERLINK("https://yourei.jp/雲", "查看例句")</f>
        <v/>
      </c>
    </row>
    <row r="2419">
      <c r="A2419" t="inlineStr">
        <is>
          <t>曇り</t>
        </is>
      </c>
      <c r="B2419" t="inlineStr">
        <is>
          <t>成功</t>
        </is>
      </c>
      <c r="C2419" t="inlineStr">
        <is>
          <t>読み方：くもり
１雲で空が覆われている状態。気象用語としては雲量が9以上、視程1キロ以上で、降水や雷のない状態の天気をいう。
２透明なものや光をよく反射するものなどが、曇ってぼんやりすること。また、その状態。「眼鏡の—」
３気持ち、また表情などが、明るさを失って沈むこと。わだかまりがあること。
「満面の—は拭(ぬぐ)い消されなかった」〈魯庵・社会百面相〉
４公明でないこと。うしろぐらいこと。「—なき身」
[下接語] （ぐもり）朝曇り・雨(あま)曇り・薄曇り・内曇り・卯(う)の花曇り・潮曇り・霜曇り・高曇り・棚曇り・花曇り・春曇り・本曇り・夕曇り・雪曇り</t>
        </is>
      </c>
      <c r="D2419" t="inlineStr">
        <is>
          <t>曇る低き空</t>
        </is>
      </c>
      <c r="E2419" t="inlineStr">
        <is>
          <t>陰る</t>
        </is>
      </c>
      <c r="F2419" t="inlineStr">
        <is>
          <t>白く曇る；曇るともなく；時々曇る</t>
        </is>
      </c>
      <c r="H2419" t="n">
        <v>29</v>
      </c>
      <c r="I2419" t="inlineStr">
        <is>
          <t>それが当然のことかも知れないが、どこかに曇りが出来たような感じだ。；顔一面が曇っていったが、言いわけめいたことは一言も口にしなかった。；過ぎた後の先きに控えている事を思って、心の曇ることもないのだから。；青いはずの空が、黒 はいいろ くも 煙で灰色に曇ったように見えた。；私はじっと彼を見つめ、その目がどんより曇っていることを見てとった。；朝から曇っていて、もしかしたら中止になるんじゃないかと不安だった。；四五日ほども引続いて、毎日曇っていた冬の空は、とうとう雨になった。；見ていると、霧に曇った人影が一人だんだん自分の方へ近づいて来た。；これは、梅雨時のために、前後の日も同様に雨や曇りが多いからである。；音をたてないように気をつけて、窓についた水滴の曇りを左手で拭った。；初めて口をきいたのは霜月中旬の、曇った風の強い午後のことであった。；曇っているので太陽の位置は見えないが、時刻は夕方に近づいている。；湿った空気中では酸化レニウムを形成するため僅かに表面が曇っていく。；朝から曇っていたし、風の向きや匂いで天候が変わることは予想していた。；たとえこちらの眼が曇っていて、直ぐにはその好風景は味わえなくとも。；雨・曇りの日にあっては能力が下がるので、単独での設置は現実的でない。；もう此頃から空はすっかり曇って、時折り霧が捲いて来るようになった。；曇った空とその砂塵の中で真白い一枚の布は何かを感じているように動く。；彼の顔は一瞬曇ったかと思うとまたすぐ晴れる、秋の空のようだった。；或冬曇りの午後、わたしは中央線の汽車の窓に一列の山脈を眺めてゐた。；君も覚えているだろう、客間にどんより曇った小さな鏡がかかっている。；ついに東の断崖に達したのはどんより曇ったある日の午後のことだった。；酒を飲むガラスのコップなど冷蔵庫で冷やして曇って出て来るのである。；或ひは、働くことによつて曇りも汚がれもしない魂の存在を知つてゐる!；夜、独り戸外に出る時は、きっと或る一種の不安に心が曇るのを覚えた。；闇は深く空は曇っていたので、彼は何も見つけることができなかった。；そのためにもわずかな曇りも今のうちに拭い去った方が得策かもしれない。；まるで巨大な曇りガラスの奥で千人ものダンサーが蠢いているかのようだ。；自分の思い通りになって満足していると思いきや、お母さんの顔は曇っていた。</t>
        </is>
      </c>
      <c r="J2419">
        <f>HYPERLINK("https://www.weblio.jp/content/曇り", "词义详情")</f>
        <v/>
      </c>
      <c r="K2419">
        <f>HYPERLINK("https://yourei.jp/曇り", "查看例句")</f>
        <v/>
      </c>
    </row>
    <row r="2420">
      <c r="A2420" t="inlineStr">
        <is>
          <t>曇る</t>
        </is>
      </c>
      <c r="B2420" t="inlineStr">
        <is>
          <t>成功</t>
        </is>
      </c>
      <c r="C2420" t="inlineStr">
        <is>
          <t>読み方：くもる
［動ラ五（四）］《「雲」の動詞化》
１空が、雲や霧などで覆われる。「どんよりと—・る空」
２透明な物や光っていた物などが、他の物に薄く覆われたりさえぎられたりして、よく見通せない。輝きのない状態になる。「鏡が—・る」「涙で目が—・る」
３悲しみや心配事のために、心や顔つきなどに明るさが失われて沈んだ状態になる。「悲しげに—・った表情」「声が—・る」
４容姿などが地味すぎて映えない。
「御容貌(かたち)など、いと華やかにここぞ—・れると見ゆるところなく」〈源・初音〉
５能で、能面が少し下向きになる。</t>
        </is>
      </c>
      <c r="D2420" t="inlineStr">
        <is>
          <t>曇る低き空</t>
        </is>
      </c>
      <c r="E2420" t="inlineStr">
        <is>
          <t>陰る</t>
        </is>
      </c>
      <c r="F2420" t="inlineStr">
        <is>
          <t>白く曇る；曇るともなく；時々曇る</t>
        </is>
      </c>
      <c r="H2420" t="n">
        <v>29</v>
      </c>
      <c r="I2420" t="inlineStr">
        <is>
          <t>それが当然のことかも知れないが、どこかに曇りが出来たような感じだ。；顔一面が曇っていったが、言いわけめいたことは一言も口にしなかった。；過ぎた後の先きに控えている事を思って、心の曇ることもないのだから。；青いはずの空が、黒 はいいろ くも 煙で灰色に曇ったように見えた。；私はじっと彼を見つめ、その目がどんより曇っていることを見てとった。；朝から曇っていて、もしかしたら中止になるんじゃないかと不安だった。；四五日ほども引続いて、毎日曇っていた冬の空は、とうとう雨になった。；見ていると、霧に曇った人影が一人だんだん自分の方へ近づいて来た。；これは、梅雨時のために、前後の日も同様に雨や曇りが多いからである。；音をたてないように気をつけて、窓についた水滴の曇りを左手で拭った。；初めて口をきいたのは霜月中旬の、曇った風の強い午後のことであった。；曇っているので太陽の位置は見えないが、時刻は夕方に近づいている。；湿った空気中では酸化レニウムを形成するため僅かに表面が曇っていく。；朝から曇っていたし、風の向きや匂いで天候が変わることは予想していた。；たとえこちらの眼が曇っていて、直ぐにはその好風景は味わえなくとも。；雨・曇りの日にあっては能力が下がるので、単独での設置は現実的でない。；もう此頃から空はすっかり曇って、時折り霧が捲いて来るようになった。；曇った空とその砂塵の中で真白い一枚の布は何かを感じているように動く。；彼の顔は一瞬曇ったかと思うとまたすぐ晴れる、秋の空のようだった。；或冬曇りの午後、わたしは中央線の汽車の窓に一列の山脈を眺めてゐた。；君も覚えているだろう、客間にどんより曇った小さな鏡がかかっている。；ついに東の断崖に達したのはどんより曇ったある日の午後のことだった。；酒を飲むガラスのコップなど冷蔵庫で冷やして曇って出て来るのである。；或ひは、働くことによつて曇りも汚がれもしない魂の存在を知つてゐる!；夜、独り戸外に出る時は、きっと或る一種の不安に心が曇るのを覚えた。；闇は深く空は曇っていたので、彼は何も見つけることができなかった。；そのためにもわずかな曇りも今のうちに拭い去った方が得策かもしれない。；まるで巨大な曇りガラスの奥で千人ものダンサーが蠢いているかのようだ。；自分の思い通りになって満足していると思いきや、お母さんの顔は曇っていた。</t>
        </is>
      </c>
      <c r="J2420">
        <f>HYPERLINK("https://www.weblio.jp/content/曇る", "词义详情")</f>
        <v/>
      </c>
      <c r="K2420">
        <f>HYPERLINK("https://yourei.jp/曇る", "查看例句")</f>
        <v/>
      </c>
    </row>
    <row r="2421">
      <c r="A2421" t="inlineStr">
        <is>
          <t>悔しい</t>
        </is>
      </c>
      <c r="B2421" t="inlineStr">
        <is>
          <t>成功</t>
        </is>
      </c>
      <c r="C2421" t="inlineStr">
        <is>
          <t>読み方：くやしい
［形］［文］くや・し［シク］
１物事が思うとおりにならなかったり、はずかしめを受けたりして、あきらめがつかず、腹立たしい気持ちだ。残念でたまらない。「負けて—・い思いをする」「—・かったら見返してやれ」
２後悔される。くやまれる。
「わが心しぞいや愚(をこ)にして今ぞ—・しき」〈記・中・歌謡〉
[補説] 本来は、「くやし」は「悔いる」に対する形容詞で自分の行為について後悔する気持ちを表し、1の意については「くちおし」を使ったが、のちにこの使い分けはなくなった。
[派生]くやしがる［動ラ五］くやしげ［形動］くやしさ［名］</t>
        </is>
      </c>
      <c r="D2421" t="inlineStr">
        <is>
          <t>悔しい思い(13%)；悔しい気持ち；悔しいシーズン；悔しいらしい；悔しい経験</t>
        </is>
      </c>
      <c r="E2421" t="inlineStr">
        <is>
          <t>残念；気の毒；無念；遺憾；申し訳ない</t>
        </is>
      </c>
      <c r="F2421" t="inlineStr">
        <is>
          <t>少し悔しい；非常に悔しい；とても悔しい；よほど悔しい；大変悔しい</t>
        </is>
      </c>
      <c r="H2421" t="n">
        <v>29</v>
      </c>
      <c r="I2421" t="inlineStr">
        <is>
          <t>映画を見ても言葉が理解できないことが悔しくなり、韓国留学を決めた。；彼女に勝ちの味を教えてあげられなかったことには悔しさも感じています。；喜んでいる自分の姿を想像すればするほど、悔しさが胸を満たしていく。；見物していた百姓たちがあざけるような声を上げているのが悔しいのだ。；普段内村がほとんど料理をしない事もあり南原は本気で悔しがっていた。；悔しさがからだ中にいっぱい詰まってる気がしてなんだか足が重かった。；お民さんは決してあなたに叱られたとて悔しがるような人ではありません。；その悔しさから、問題を抱えているのを承知で無理を強いたかもしれない。；声に出して本を読むのなんて何年かぶりで、悔しいことに緊張してしまう。；始めから勝負の結果は明らかだったのだが、やっぱり負けるのは悔しい。；裏口で死体袋の到着を待っていた執事は、あてが外れて悔しそうだった。；そして自分よりも先に到着した麗子に対して、悔しげな表情を露にした。；悔しさがないので、勝負師としては次の段階に行っているのかなと思う。；ケロロが時々言う正論には悔しい表情を見せながらも認める部分はある。；それだけじゃなく、精神の方もちゃんと成長しているから悔しいんだけど。；間違っていると分かっていても何もできない自分がひどく悔しかった。；私は肛門の快楽を知らないことに、以前から大変悔しい思いをしてきた。；敵がどうこうよりも、求められた本の在庫がないことが悔しいのだろう。；別に笑いがとりたいわけではないけれど、負けたみたいでちょっと悔しい。；けれど今は、嫌だとか怖いとか思うよりも悔しさのほうが勝っていた。；ところが意に反し、相手は全然、慌てたり悔しそうにしたりしなかった。；ぐったりしてるみんなの中で、木下が悔しそうに先生を見上げて言った。；そしてまた、思惑通り佳江の後をついて階段を降りている自分が悔しい。；娘の両親は悔しさに夜もろくに寝られず、母親はとうとう床に就いた。；あやつらが自分についていれば秀吉に万に一つも負けないと、悔しかった。；「ママは僕たちのこと全然信用してないんだ」ロンが悔しそうに言った。；達也が驚くのも無理はなく、亜夜子が悔しさに唇を噛むのも当然だった。；横にいた美沙に、プププと馬鹿にされたように笑われたのが悔しかった。；王はこの時以後、嬉しいときも悔しいことも感情を出さないようになった。</t>
        </is>
      </c>
      <c r="J2421">
        <f>HYPERLINK("https://www.weblio.jp/content/悔しい", "词义详情")</f>
        <v/>
      </c>
      <c r="K2421">
        <f>HYPERLINK("https://yourei.jp/悔しい", "查看例句")</f>
        <v/>
      </c>
    </row>
    <row r="2422">
      <c r="A2422" t="inlineStr">
        <is>
          <t>悔しがる</t>
        </is>
      </c>
      <c r="B2422" t="inlineStr">
        <is>
          <t>成功</t>
        </is>
      </c>
      <c r="C2422" t="inlineStr">
        <is>
          <t>読み方：くやしがる
［動ラ五（四）］悔しさを態度・表情に表す。「歯ぎしりして—・る」</t>
        </is>
      </c>
      <c r="D2422" t="inlineStr">
        <is>
          <t>後悔；惜しむ；悔恨；恨む；怨む</t>
        </is>
      </c>
      <c r="H2422" t="n">
        <v>29</v>
      </c>
      <c r="I2422" t="inlineStr">
        <is>
          <t>普段内村がほとんど料理をしない事もあり南原は本気で悔しがっていた。；お民さんは決してあなたに叱られたとて悔しがるような人ではありません。；妻はいわれた通りやって自信はあったんだけど、と悔しがっている。；兄は戦争に間に合わなかったことを歯ぎしりするばかりに悔しがっていた。；すっかり南国へ旅立つ気でいた平太郎は歯がみをして悔しがったという。；空き地の多くが急速に開発され、「田舎で」育った人々を悔しがらせた。；おれを逮捕したかったのにできなかったことを悔しがってる。；妖怪は名前を当てられたことを悔しがって、教会から去っていった。；それまでは自分が行っていたことを自分にされた晁錯は、激しく悔しがった。；いくら嘆いても、いくら悔しがっても、失われた時は戻ってこないのですね。；アズリルの表情は見えないが、悔しがっていることが伝わってきた。；その手紙のせいで、またも策略がうまく行かず、悔しがるマスカリーユ。；アンダーソンの墓には花が置かれたが、これは北軍兵を悔しがらせた。；他の女性達の悔しがることといったらなかったですよ。；満足しているのでもなければ、悔しがっているのでもない。；けれどその老人は怒っても悔しがってもいなかった。；初こそ悔しがって武者振り付いても見たが、勘ちゃんは喧嘩の名人だ。；県大会決勝で破った相手が全国でベスト8までいき、悔しがった。；鳥居は目をひきつらせて悔しがったが、こればかりは如何ともしがたい。；神の正体を知って落胆し、自分が神に創造された存在であることを悔しがっていたのだ。；実際、大輔も彼女が現実の女でないことを、密かに悔しがっていた。；継母と妹は悔しがっていたが、どこからか飛んできた石に当たって死んでしまった。；これを悔しがった彼らは再度サアロア族の部落への侵攻を試みた。；あとには縛られて悔しがる逆仁ばかりが残り、六波羅は陥落したのだった。；スピードワゴンの小沢一敬がこのバンドに入れなかったことを悔しがっていた。；そのため、当時の人々は蔡京が死刑を免れたことを悔しがったといわれている。；この集団的犬食いの光景をみたら、涙を流して悔しがるに違いない。；孫権は彼が攻めてくると聞くといつも悔しがっていた。；こちらが手も足も出ずに悔しがっているのを厳重な守りの中から見物していればいいのである。</t>
        </is>
      </c>
      <c r="J2422">
        <f>HYPERLINK("https://www.weblio.jp/content/悔しがる", "词义详情")</f>
        <v/>
      </c>
      <c r="K2422">
        <f>HYPERLINK("https://yourei.jp/悔しがる", "查看例句")</f>
        <v/>
      </c>
    </row>
    <row r="2423">
      <c r="A2423" t="inlineStr">
        <is>
          <t>悔やむ</t>
        </is>
      </c>
      <c r="B2423" t="inlineStr">
        <is>
          <t>成功</t>
        </is>
      </c>
      <c r="C2423" t="inlineStr">
        <is>
          <t>読み方：くやむ
［動マ五（四）］
１失敗したことや、十分にできなかったことなどを、あとから残念に思う。後悔する。「若いころの不勉強が—・まれる」
２人の死を惜しみ悲しむ。「親友の死を—・む」
[用法]くやむ・くいる——「過ぎ去ったことを悔やんでも（悔いても）仕方がない」「忠告に従わなかったことを悔やむ（悔いる）」など、あとから残念に思うの意では相通じて用いられる。◇日常的に用いられるのは「くやむ」で、「悔やまれる」のような使い方もある。「あの時の一言が今となっては悔やまれる」◇「くいる」は「前非を悔いる」のように、自分について反省する倫理的な感じが強く、文章語的である。◇類似の語に「後悔する」がある。「後で後悔する」のような誤用が生まれるほど、「悔やむ」「悔いる」に代わって用いられる。</t>
        </is>
      </c>
      <c r="D2423" t="inlineStr">
        <is>
          <t>後悔；悲嘆；嘆く；惜しむ；悔恨</t>
        </is>
      </c>
      <c r="H2423" t="n">
        <v>29</v>
      </c>
      <c r="I2423" t="inlineStr">
        <is>
          <t>その程度で流してしまったことを、僕は一週間後に悔やむことになった。；そして学校の廊下で彼女に声をかけなかったことを今更ながら悔やんだ。；今となってはひとつ目でやめておけばよかったと悔やむばかりだった。；闇のなかでも見える眼を持たないことが、つくづく悔やまれてならんね。；今日ばかりはジャクソムも火蜥蜴が一匹もそばにいないのが悔やまれた。；こんなものを得意がって兄に教えたことが悔やまれて仕方なかった。；だってあなたは、あたしにしたことを悔やんで自分を切ったわけじゃない。；好きでもなかったのに、そうあとになって悔やんだりしないだろうか。；先日の件で協力できなかったことを少し悔やんでいたようでしたから。；そのあとずいぶん長いあいだ、天吾は自分の行いを悔やむことになった。；チームから除籍されたことを、君の百倍も悔やんでいるのはこの僕だろ?；それを記憶できなかったことは一生かけて悔やんでもまだ足りない。；後の事も先の事も、悔やむ暇があるのなら今を楽しまなければ勿体無い。；一人の兵士のために王がいつまでも悔やんでいては、民に示しがつきません。；両親もこんな事ならあんな学校に入れるんじゃなかったと悔やんでいましてね。；そして自分に彼らに尾いて行くだけの技術がないことを痛切に悔やんだのだ。；コルチナへ行くなどと言うのではなかったと悔やまれてならなかった。；それを思うと、ここで合流できなかったことを悔やまずにはいられなかった。；だがのちに彼は、この手ぬかりを、大いに悔やむこととなったのである。；そのうちに事故で死んだと知って、申し訳ないことをしたと悔やんでいた。；人生の終わりにきて、何も悔やむことのない人は、おそらくいないだろう。；南ノ大陸のことなどもちだすような生意気なことをしたのが悔やまれる。；日本の自分の部屋を考えると、私は日本に生まれたことを悔やんだ。；事が終ってしまってから良くなかったと悔やんでも取り返しがつかないこと。；そんな冷やかしの言葉をかけたことを、片岡はすぐに悔やむことになる。；自分の失踪が事件のきっかけになったことを、悔やんでいるみたいだった。；見つめて、自分がその彼女を今の苦境に置いてしまったことを悔やむ。；そんなつまらぬことをいってしまったのが悔やまれてならなかった。；ここで初めて兄王に対しての怒りと、何もできなかった自分を悔やむ。</t>
        </is>
      </c>
      <c r="J2423">
        <f>HYPERLINK("https://www.weblio.jp/content/悔やむ", "词义详情")</f>
        <v/>
      </c>
      <c r="K2423">
        <f>HYPERLINK("https://yourei.jp/悔やむ", "查看例句")</f>
        <v/>
      </c>
    </row>
    <row r="2424">
      <c r="A2424" t="inlineStr">
        <is>
          <t>くよくよ</t>
        </is>
      </c>
      <c r="B2424" t="inlineStr">
        <is>
          <t>成功</t>
        </is>
      </c>
      <c r="C2424" t="inlineStr">
        <is>
          <t>［副］(スル)いつまでも気にかけて、あれこれと思い悩むさま。「—（と）心配する」「—するな」</t>
        </is>
      </c>
      <c r="D2424" t="inlineStr">
        <is>
          <t>くよくよすること(4%)；くよくよ考える(3%)；くよくよ心配(2%)；くよくよ悩ん(2%)；くよくよ思い悩ん</t>
        </is>
      </c>
      <c r="E2424" t="inlineStr">
        <is>
          <t>不機嫌；構う；不安がる；惧れる；介意</t>
        </is>
      </c>
      <c r="H2424" t="n">
        <v>29</v>
      </c>
      <c r="I2424" t="inlineStr">
        <is>
          <t>そして出発したいと思うなら、ほかのことなどくよくよしないがいいよ。；おれはくよくよ文句を言ったりして時間を無駄にしたりはしなかった。；言い換えればくよくよちゃんになってしまったんだろうと佐藤は思った。；だから、そんな恐ろしいことは、くよくよ考えないほうがいいのである。；そういつまでもくよくよするんじゃないの、こっちに来てらくになさい。；なんだか私一人くよくよ心配しているのが馬鹿馬鹿しくなったものですよ。；タクシーを使った日など、しまったなとしばらくくよくよするほどだ。；ただし、あんまりおめえがくよくよしすぎて食えねえのなら話は別だがな。；小さなことにくよくよするようなことなど、すっかりなくなってしまった。；もうじき再会するのだから、あまりくよくよしないようにとありました。；大勢の医師にかかったけどみんなくよくよするなといってくれた。；といって、一人でくよくよ悩んだりせず、積極的な行動で解決していった。；それに、この不健康な部屋でくよくよしているよりはましかと思った。；一人でくよくよ悩んで具合まで悪くなってしまったじゃありやせんか。；貴女も今言ったように、くよくよ為ないで、身体を大事にお暮しなさい。；あなたは一体、自分一人でくよくよ考え込む癖があっていけないわよ。；まあこの件は僕に任せておいて、くよくよお考えにならないのがいいですよ。；性格も大らかで大雑把、何かあってもくよくよするタイプには見えないのだ。；自分は、くよくよしていることを許されるには、あまりに深刻すぎる。；いまでもあんなことでくよくよしていたら、世界一のおおばかだと思う。；こんな人がかえってひとりになるとくよくよしたりするからだ。；できるだけのことはしたのだから、これ以上くよくよするのはよしましょう。；「将来の仕事をきめようとくよくよ考えてたからだろう」 父親がいった。；だがいまは、過去の失敗をくよくよ思いわずらっているときではない。；それで、帰ってきてからいろんなことをくよくよ考え始めたのよ。；あの人が帰って来た時、あたしくよくよした心配顔は見せまい。；ではなぜ、おれはくよくよと心配し、冷や汗を流しているのだろうか。；お互いにあまりくよくよするのは身の毒でございましょう。；言葉で友を悲しませたことがあっても、くよくよしてはならない。</t>
        </is>
      </c>
      <c r="J2424">
        <f>HYPERLINK("https://www.weblio.jp/content/くよくよ", "词义详情")</f>
        <v/>
      </c>
      <c r="K2424">
        <f>HYPERLINK("https://yourei.jp/くよくよ", "查看例句")</f>
        <v/>
      </c>
    </row>
    <row r="2425">
      <c r="A2425" t="inlineStr">
        <is>
          <t>蔵</t>
        </is>
      </c>
      <c r="B2425" t="inlineStr">
        <is>
          <t>成功</t>
        </is>
      </c>
      <c r="C2425" t="inlineStr">
        <is>
          <t>読み方：くら
１家財・商品などを安全に保管するための建物。倉庫。
２歌舞伎などで、予定していた興行をやめにすること。→御蔵(おくら)1
３鎌倉・室町時代、質屋のこと。</t>
        </is>
      </c>
      <c r="D2425" t="inlineStr">
        <is>
          <t>蔵経；蔵入り；蔵太郎；蔵六；蔵造り</t>
        </is>
      </c>
      <c r="E2425" t="inlineStr">
        <is>
          <t>所有；店舗；保有；有；倉庫</t>
        </is>
      </c>
      <c r="F2425" t="inlineStr">
        <is>
          <t>浜蔵；六蔵；猛蔵；額蔵；五郎蔵</t>
        </is>
      </c>
      <c r="G2425" t="inlineStr">
        <is>
          <t>蔵人；蔵前；蔵相；蔵人頭；蔵元</t>
        </is>
      </c>
      <c r="H2425" t="n">
        <v>29</v>
      </c>
      <c r="I2425" t="inlineStr">
        <is>
          <t>師匠林家彦六が正蔵を名乗っていた時に真打になった最後の弟子である。；もともと曳馬城だった部分には、江戸時代には米蔵などが置かれていた。；私撰であるため家に蔵されていたが、撰を終えた後に朝廷に献上された。；しかし万斉・似蔵のことを覚えているなど必ずしも忘れているわけではない。；落札者は明らかにされていないため、再び個人蔵となったものと思われる。；杉本家住宅の旧米蔵では京都女子大学の公開講座などが開催されてきた。；このようなタイプは日本では雪蔵あるいは雪中貯蔵庫などと呼ばれる。；貨幣博物館蔵 その後これら寺院群は政治に口を出すようになった。；複数の系統の本文を混合したもので、宮内庁書陵部蔵のものが知られる。；このうち諏訪市には5蔵あり、全てが国道20号線沿いに位置している。；寺蔵記録では東照宮や弁天堂があったことが記されるが、現存しない。；次に描かれた作品、オレンジ色の壁を背に杖を手にした構図の作品は個人蔵。；道路に面した表側は店であることが多く、裏の方に住まいや蔵などを設けた。；また当時現存していた仏書を西本願寺学林に収め続蔵経を編纂している。；八蔵の肉が尽きた後、西川は船長に殺されることを恐れるようになる。；蔵六という男はこれまでの人生においておよそ能動的に行動したことがない。；六千石の藩蔵が二棟出来ると砺波郡各地からの年貢米が収納された。；米蔵があった関係上、一部の有力町人も出入りが許されていた。；また、挙母祭りの山車蔵に、城の建物の解体部材を転用したものがある。；川越の蔵造りの街並みを代表する観光名所で市のシンボルとなっている。；藩主・島津斉彬に認められて勘定所郡方、次いで三島方蔵役に任じられた。；私が歴任した官の印綬はすべて蔵にしまっておくように。；郭内には6棟の米蔵が建てられ、食糧基地としての性格を持っていた。；当初は録音状態が満足するに至らなかった為に、発売される予定はなく蔵入りになった。；蔵の街を通る路線の中でも本数が多いので観光客の利用も多い。；天台宗では四種の四諦を立て、これらを蔵・通・別・円の四教に配当する。；三の丸は大手郭とも言い、米蔵や家老の角田家・井上家の屋敷があった。；ラサのガンデンポタンへの帰属をへて、ラサの駐蔵大臣の属下に入った。；但し個人蔵とされているものの中には現在所在不明になっているものもあるとされている。</t>
        </is>
      </c>
      <c r="J2425">
        <f>HYPERLINK("https://www.weblio.jp/content/蔵", "词义详情")</f>
        <v/>
      </c>
      <c r="K2425">
        <f>HYPERLINK("https://yourei.jp/蔵", "查看例句")</f>
        <v/>
      </c>
    </row>
    <row r="2426">
      <c r="A2426" t="inlineStr">
        <is>
          <t>暗い</t>
        </is>
      </c>
      <c r="B2426" t="inlineStr">
        <is>
          <t>成功</t>
        </is>
      </c>
      <c r="C2426" t="inlineStr">
        <is>
          <t>読み方：くらい
［形］［文］くら・し［ク］
１光が弱い。光が少なくて、物がよく見えない。「辺りが—・い」「—・い夜道」⇔明るい。
２色彩が黒みがかった感じである。くすんでいる。「—・い緑色」⇔明るい。
３気持ちが晴れ晴れせず、沈み込んでいる。また、人にそのような印象を与えるさま。「—・い気分」「—・い世相」「表情が—・い」⇔明るい。
４不幸な感じである。また、人に触れられたくない事情がある。「—・い過去をもつ」
５その事について希望がもてない。期待できない。「見通しが—・い」⇔明るい。
６その方面・分野のことに知識が乏しい。不案内である。「地理に—・い」「事情に—・い」⇔明るい。
７物事を判断する能力がない。愚かである。
「—・き人の、人をはかりて、その智を知れりと思はん、さらに当たるべからず」〈徒然・一九三〉
８文化がまだ発達していない。未開である。
「時—・きに鍾(あた)れり」〈神武紀〉
９不足している。不十分である。
「我が韃靼(だったん)は大国にて、七珍万宝—・からずと申せども」〈浄・国性爺〉
[派生]くらさ［名］
[下接語] （ぐらい）後ろ暗い・薄暗い・小(お)暗い・小(こ)暗い・木(こ)暗い・仄(ほの)暗い</t>
        </is>
      </c>
      <c r="D2426" t="inlineStr">
        <is>
          <t>暗い影(3%)；暗い部屋(2%)；暗い中(2%)；暗い顔(2%)；暗いところ</t>
        </is>
      </c>
      <c r="E2426" t="inlineStr">
        <is>
          <t>重い；馬鹿；闇の；薄暗い；陰気</t>
        </is>
      </c>
      <c r="F2426" t="inlineStr">
        <is>
          <t>暗い森；暗い海；まだ暗い；暗い穴；暗い表情</t>
        </is>
      </c>
      <c r="G2426" t="inlineStr">
        <is>
          <t>暗い鏡；暗い日曜日；暗い太陽のパラドックス；暗いところで待ち合わせ；暗いい</t>
        </is>
      </c>
      <c r="H2426" t="n">
        <v>29</v>
      </c>
      <c r="I2426" t="inlineStr">
        <is>
          <t>暗いところでは色が見えないし、多くの条件が一致しなければ見えない。；しかしその火も消えてしまうと、あたりは前よりも暗くなってしまった。；完全とまではいかないが、それでも日中だとは思えないほどに暗かった。；暗くなって再び明かりをつけると、その場にもうひとりいたのは小兵衛。；やがて、実は男の妻が最近自殺したばかりだという暗い過去が明らかに。；窓が小さく内部に部屋が多く、日中でも室内が暗くなる作りになっている。；お前は六〇〇フィートもの深さの、暗くて冷たい水の中にいるんだろう。；複雑な有機化合物がこのような暗い表面を構成していると考えられている。；身分違いの恋や暗い過去を負った主人公などを描いた作品が多かった。；最後にはそのままゆっくりと暗くなっていき、黒色矮星へと移っていく。；そこに停滞しているのはそれだけあなたの暗い過去を暗くするばかりです。；目が慣れると暗い物まで見えるようになるため正確な測定ができない。；老舗然としているといえば聞こえはいいが、やはり以前は店が暗かった。；皆既日食が起こると空がかなり暗くなり星の観測も可能な状態になる。；各点の大きさは主星の見かけの明るさに対応しており、小さいほど暗い。；加えて、成長にともない体盤上部表面の網目模様がより暗くなっていく。；最接近した後は急激に暗くなり、急速に太陽に近づくのが観測された。；ここに至っても二・二六事件は山下の人生に暗い影を投げかけていた。；当日は生憎低い雲が立ち込めており、昼間でも暗いような状況であった。；色は、白が基本だが、暗い色のスコート用に濃紺や黒も用意されている。；夜はますます明けて来て谷の中は微暗かったが、空は明るくなっていた。；また同時に、その当時発見されていた恒星の中で最も暗いことが分かった。；そのため、街灯などの影響を受けにくい夜間に暗くなる場所で栽培する。；こうした状況下で、ロシアとの戦争には暗く不安な見通しが立ち始めた。；この地形は、暗い堆積物に覆われたクレーターであると考えられている。；少年たちはいずれも過去に凶悪犯罪を犯すなどの暗い過去を持っていた。；これは暗い場所でも手探りで操作できるようにとの意図が込められている。；だが、仕事は彼女に満足した成績では出来上らず、彼女は尚お暗かった。；先行半球とクレーター内部に見られる暗い領域の性質は分かっていない。</t>
        </is>
      </c>
      <c r="J2426">
        <f>HYPERLINK("https://www.weblio.jp/content/暗い", "词义详情")</f>
        <v/>
      </c>
      <c r="K2426">
        <f>HYPERLINK("https://yourei.jp/暗い", "查看例句")</f>
        <v/>
      </c>
    </row>
    <row r="2427">
      <c r="A2427" t="inlineStr">
        <is>
          <t>位</t>
        </is>
      </c>
      <c r="B2427" t="inlineStr">
        <is>
          <t>成功</t>
        </is>
      </c>
      <c r="C2427" t="inlineStr">
        <is>
          <t>読み方：い
［音］イ（ヰ）（呉）（漢）　［訓］くらい
［学習漢字］4年
１その物の置かれた場所や立場。「位相・位置／体位・転位・部位・方位」
２官職などにおける地位・身分。「位階／栄位・王位・学位・官位・高位・皇位・在位・爵位・叙位・譲位・即位・退位・地位・優位」
３比べたり量ったりするときの基準。「単位・本位」
４等級。また、順位を表す語。「一位・首位・順位・上位・段位・品位」
５人の敬称。「各位」
［名のり］くら・たか・ただ・ただし・つら・なり・のり・ひこ・ひら
［難読］三位一体(さんみいったい)・従三位(じゅさんみ)</t>
        </is>
      </c>
      <c r="D2427" t="inlineStr">
        <is>
          <t>位相空間；位以上；位継承；位側；位中将</t>
        </is>
      </c>
      <c r="E2427" t="inlineStr">
        <is>
          <t>ところ；等；位置；程度；立場</t>
        </is>
      </c>
      <c r="F2427" t="inlineStr">
        <is>
          <t>三位；一位；五位；好位；どの位</t>
        </is>
      </c>
      <c r="G2427" t="inlineStr">
        <is>
          <t>位置づけ；位置付け；位相；位階；位下</t>
        </is>
      </c>
      <c r="H2427" t="n">
        <v>29</v>
      </c>
      <c r="I2427" t="inlineStr">
        <is>
          <t>その場合は坐位で膝を立てで額を膝につけられるかで判定することもある。；小数点より左を整数部と呼んで、右から一の位、十の位の数を記述する。；日本では1951年から約30年間、日本人の死亡原因の一位を占めた。；檀石槐の死後は大人たちの位はみな世襲されることになったのである。；これは注視した後、正中位に戻した時に逆向きに認められる眼振である。；しかし、司教位は本来一人の人間が一つしか持つことができないものである。；またこの色は金属の価数や配位環境を反映して様々な色に変化する。；その代わりにエドワード3世が放棄したのはフランス王位のみだった。；現在日本で主流となっている正位型は独自に作成された。；さらにアメリカGPで日本人最高位タイの3位フィニッシュを果たした。；すでに廃絶した侯爵位だが画家サルバドール・ダリもに叙位されていた。；なお常磐緩行線の他路線への接続のない駅では利用者数一位である。；後位側ドアには隣接して車椅子対応の洋式トイレが設置されている。；一の位と十の位を足して10になる数字を縁起が良いと言って好んでいる。；ブルグント王位自体は神聖ローマ帝国滅亡まで歴代皇帝が保持し続けた。；これは異なる位相空間の間の関係を表す最も基本的な枠組みである。；万の位で車両のサイズ、千・百の位で製造会社、十・一の位で用途を示す。；それぞれの位の量は更に上記の数字の和に分解され、大きい順に並べて書かれる。；角居はルメールに好位につけるよう指示し、その通りに位置についた。；スタートで折り合いを欠いたが、先行馬の背後に収まる好位に位置した。；最高位のグランクロワは日本人では皇族や伊藤博文などが受章している。；また、通常とは異なる方向に列車が進入するようになっていることを反位という。；即ち「が」はゼロを意味し、十の位の空位を意識させるためにも役立つ。；春の選抜が終わった時点で、巨人が一位指名してくれたらプロに行こうと決めた。；これは一般の位相空間において列の代わりにネットを考える動機を与える。；項部硬直は非常に重要な所見であるが臥位が取りにくいことも多い。；これら公爵家の子孫たちは、最終的には国王位を巡って相争うようになる。；常用対数を利用して、非常に大きい数や非常に小さい数の位を求めることができる。；二位式の信号機は用いられず、三位式の信号機のみ用いられる。</t>
        </is>
      </c>
      <c r="J2427">
        <f>HYPERLINK("https://www.weblio.jp/content/位", "词义详情")</f>
        <v/>
      </c>
      <c r="K2427">
        <f>HYPERLINK("https://yourei.jp/位", "查看例句")</f>
        <v/>
      </c>
    </row>
    <row r="2428">
      <c r="A2428" t="inlineStr">
        <is>
          <t>位する</t>
        </is>
      </c>
      <c r="B2428" t="inlineStr">
        <is>
          <t>成功</t>
        </is>
      </c>
      <c r="C2428" t="inlineStr">
        <is>
          <t>読み方：くらいする
［動サ変］［文］くらゐ・す［サ変］その地位・場所をしめる。位置する。「業界トップに—・する」「本州のほぼ中央に—・する」</t>
        </is>
      </c>
      <c r="D2428" t="inlineStr">
        <is>
          <t>位置；占める</t>
        </is>
      </c>
      <c r="F2428" t="inlineStr">
        <is>
          <t>占位する；次に位する；襲位する；昇位する；円位する</t>
        </is>
      </c>
      <c r="H2428" t="n">
        <v>29</v>
      </c>
      <c r="I2428" t="inlineStr">
        <is>
          <t>枝のない葉ばかりの茶は五円、時によると五円五十銭位することもある。；武士が並の人間より上に位するようになっているのはそのためだ。；河南省の中北部に位するこの町の西部には、有名な洛陽の町があった。；世には福を得ようとする希望よりも尚幾層か上層に位する立派な希望がある。；世には福を得んとする希望よりも猶幾層か上層に位する立派な希望がある。；勘次はそれでも幾ら位するものかと思つて聞いたら一罎が三圓だといつた。；これは全くその文字通りの意義であって、中間に位する人というに外ならぬ。；後に位は王や皇帝の次席に位する単なる領主の称号となった。；普通九階位に分類されていて、熾天使は最上位に位する天使なんです。；一切の根源に位し生のあらゆる形態を支へる基礎的層は自然的生である。；友永が狙っていた射点に、橋本の隊が占位することになってしまった。；トルはネモ艦長が先日語った海水の赤い同名の湾の端に位する町であった。；琉球王朝では、遠方より來る神を地神の上に位せしめて居た樣である。；したがって一分子に一箇所でのみ配位する錯体では滴定を行うのは難しい。；隠岐国に於ては百姓の次に位する間脇と称する階級ありたるのみ。；そして、自分はそれらの学者たちの上に位するからというわけで、そうした知識をみな自分のものだと考えていた。；だがそれは彼の仕事の頂点に位し、彼の生命のもっとも輝かしい発現である。；それから町の中央に位する百瀬の家の大きな門構えが見えます。；社会の下層に位する人々の扱い方は一そう変っている。；それは存在としての歴史とロゴスとしての歴史との丁度中間に位する。；これを素朴で普通人の思想よりずっとうしろに・ずっと低いところに・位するものだと信ずるのである。；クルーズ川の岸辺に位し、国王の所有に属する尖った小鐘楼のある城館。；これを素朴で普通人の思想よりずっとうしろに・ずっと低いところに・位するものと信ずるのである。；これまた人口の上よりも物産の上よりも、南米首府中の第一に位す。；かなり急速に昇位するが、当時大活躍していた金刺氏の大きな力があったと考えられる。；畢竟するに其気品高尚にして性慾以上に位するが故なりと言わざるを得ず。；かくのごとく人類の生存競争はいずれの階段にも必ずあるが、そのいちばん上に位する階段は現在のところでは国である。；あの艦の占位する高度まで上昇するのに必要な揚力を獲得するまで加速する必要がある。；支那では狐というものを人間と獣類との中間に位する動物と認めているらしい。</t>
        </is>
      </c>
      <c r="J2428">
        <f>HYPERLINK("https://www.weblio.jp/content/位する", "词义详情")</f>
        <v/>
      </c>
      <c r="K2428">
        <f>HYPERLINK("https://yourei.jp/位する", "查看例句")</f>
        <v/>
      </c>
    </row>
    <row r="2429">
      <c r="A2429" t="inlineStr">
        <is>
          <t>ぐらぐら</t>
        </is>
      </c>
      <c r="B2429" t="inlineStr">
        <is>
          <t>成功</t>
        </is>
      </c>
      <c r="C2429" t="inlineStr">
        <is>
          <t>［副］(スル)
１物が揺れ動いて安定しないさま。また、事柄や気持ちなどが動揺するさま。「歯が—する」「地震で建物が—（と）揺れる」「方針が—していて信頼できない」
２湯などが煮え立つさま。「鍋の湯が—（と）煮え立つ」
３めまいがして倒れそうになるさま。くらくら。「二日酔いで頭が—する」
［形動］揺れ動いて、安定しないさま。「古びて—ないす」
［アクセント］はグラグラ、はグラグラ。</t>
        </is>
      </c>
      <c r="D2429" t="inlineStr">
        <is>
          <t>ぐらぐらする(12%)；ぐらぐらと揺れ(7%)；ぐらぐら揺れる(3%)；ぐらぐらゆれ(3%)；ぐらぐらとゆれ</t>
        </is>
      </c>
      <c r="E2429" t="inlineStr">
        <is>
          <t>ふらふら；ぐらり；よたよた；ひょろひょろ；よちよち</t>
        </is>
      </c>
      <c r="F2429" t="inlineStr">
        <is>
          <t>体をぐらぐら；左右にぐらぐら；ぐらぐら揺れ動い；ぐらぐら揺れだし；ぐらぐらゆれる</t>
        </is>
      </c>
      <c r="G2429" t="inlineStr">
        <is>
          <t>ぐらぐらッと；ぐらぐらぐらぐら；ぐらぐらぐら；ぐらぐらッ</t>
        </is>
      </c>
      <c r="H2429" t="n">
        <v>29</v>
      </c>
      <c r="I2429" t="inlineStr">
        <is>
          <t>今この瞬間にだってまだ腹の底ではぐらぐらと怒りが煮えているはずだ。；水のなかをそろそろ進み、片手はぐらぐらする石を必死につかんでいる。；肩を揺する度に、生まれたばかりの子供のように頭がぐらぐらと揺れた。；僕は 秋の夜の、目がぐらぐらするほどな 星の無数の穴を見上げて立つ。；ぼくはぐらぐらする乳歯を気にしながら机に向かい研究の整理をした。；船はまだあそこにいるだろう、ぐらぐらの埠頭につながれているはずだ。；一本抜けてほっとしていると、またしばらくして別の歯がぐらぐらとする。；それくらいの位置で足を止めて、そこでぐらぐらと左右に揺れているだけだ。；彼が動きを止めると、身体がぐらぐらとぐらついていることがわかった。；ただ激しい嫉妬が頭をぐらぐらさせるばかりに嵩じてくるのを知っていた。；ただ激しい嫉妬が頭をぐらぐらさせるばかりに嵩じて来るのを知っていた。；おまえの歯がちょうどはえはじめたころ、私のが一本ぐらぐらしだした。；食事をしている間も、昂奮した頭脳が、時々ぐらぐらするようであった。；ぐらぐらしていたり、ほかのものにとけこんでいて境がわからなかったり。；精で三四杯あほり立てたので酔が一時に発して眼がぐらぐらして来た。；とうとう三度めに石は壁から離れて、ちょっとのあいだぐらぐらと揺れた。；ユグノの頭は、まるで死人の頭のようにぐらぐらと肩のあいだでゆれた。；その光はぐらぐらと揺らぎながら脇手と床上の指を交互に照らしだした。；撞球室では、例の脚のぐらぐらした紳士たちそのほかが遊んでいる。；目的に向ってぐらぐらしたりせず、岩のようにしっかりしなさい。；また、そのぐらぐらしている小舟からは、一目だけしか見られなかった。；わたしの心はぐらぐらだったのに、みんなは自分の信念をちゃんと持ってて。；と、笑いながら酔漢のように身体を自由にぐらぐらさせて歩きたくなって来た。；私の中で何かがぐらぐらと煮立ち、黒い壁を破って溢れ出そうとしていた。；わずか一杯の酒にも頭がぐらぐらして、ヒステリを起こすのだった。；以前ぐらぐらしていた石段のひとつがまだなおっていなかったのだ。；この体勢は五分が限界であって、じきに私たちの体はぐらぐら揺れ始める。；車はまるで荒い波のなかの舟のように、ぐらぐら揺れながら進んだ。；平衡感覚がひどく失調しているらしく、俺の視界はぐらぐらと揺れ続ける。</t>
        </is>
      </c>
      <c r="J2429">
        <f>HYPERLINK("https://www.weblio.jp/content/ぐらぐら", "词义详情")</f>
        <v/>
      </c>
      <c r="K2429">
        <f>HYPERLINK("https://yourei.jp/ぐらぐら", "查看例句")</f>
        <v/>
      </c>
    </row>
    <row r="2430">
      <c r="A2430" t="inlineStr">
        <is>
          <t>暮らし</t>
        </is>
      </c>
      <c r="B2430" t="inlineStr">
        <is>
          <t>成功</t>
        </is>
      </c>
      <c r="C2430" t="inlineStr">
        <is>
          <t>読み方：くらし
１暮らすこと。一日一日を過ごしていくこと。「都会での—に慣れる」
２日々の生活。生計。「豊かな—」「—の足しにする」</t>
        </is>
      </c>
      <c r="D2430" t="inlineStr">
        <is>
          <t>暮らしている(15%)；暮らしぶり；暮らし始め；暮らしたい；暮らしていく</t>
        </is>
      </c>
      <c r="E2430" t="inlineStr">
        <is>
          <t>生活；人生；暮し；生活様式</t>
        </is>
      </c>
      <c r="F2430" t="inlineStr">
        <is>
          <t>ひっそりと暮らし；離れて暮らし；貧しい暮らし；二軍暮らし；贅沢な暮らし</t>
        </is>
      </c>
      <c r="G2430" t="inlineStr">
        <is>
          <t>暮らしのデザイン</t>
        </is>
      </c>
      <c r="H2430" t="n">
        <v>29</v>
      </c>
      <c r="I2430" t="inlineStr">
        <is>
          <t>集落内でトラブルもなく平和に暮らしているように見えたと書いている。；「生活」は人間的・社会的に暮らしていく面から定義されることもある。；それでも彼らは貧しくとも日々の生活の中で幸せを得て暮らしていた。；小さな家族で暮らし、草と泥で作られた巣とダムの周りに縄張りを持つ。；村の子供たちに読み書きを教えて暮らしていた半蔵は、意を決して上京。；その後、義顕は太田川で子・朝綱や旧臣らと農業をして暮らしたという。；そのため、人々は扇状地などの高い場所で暮らしていたと推測される。；料理好きな面もあり、元暗殺者とは思えない普通の家庭的な暮らしをしている。；彼は小屋を買うのに十分な貯蓄ができるまでその家族の元で暮らした。；ヒマラヤの山麓の村に地元の少女と暮らしている日本人と思われる男がいた。；コロラド州の大部分の住民はこの都市化の進んだ一帯に暮らしている。；父が残してくれたお金で世田谷区千歳烏山に家を建てて暮らし始める。；長渕はデビューし上京して間もない頃、当駅近くのアパートで暮らしていた。；音楽を通して彼は全人類の暮らしを豊かなものにしてくれたのです。；手紙には東京で無事に暮らしを立てていることが綴られていた。；上京してすぐに暮らした部屋は、建築家の黒川紀章の設計したものだった。；縄文時代から人が暮らしていた可能性があるとされており、出土品も存在する。；海岸の大代地区には漁業に従事する人々が暮らしていたようである。；晩年は信仰に拠り所を求め、ハンブルク近郊にあるの自宅で妻と暮らした。；リンは幼い頃、両親や部族の仲間を山賊の襲撃で失い一人で暮らしていた。；ロランがヴィシニティで暮らし始めて2年が経った夏至の日の夜のこと。；最近の調査では金華山にはイノシシが暮らしている痕跡が見つかっている。；動物にも好感があり、1人暮らしの時には猫を飼っていたこともある。；その年の暮れに彼女は別居中の夫と離婚し、シェーラーと暮らし始めた。；祖母との2人暮らしは極貧そのもので、洗面器で米を炊いていたという。；家庭は円満で、一家は以前ルターが暮らしていた修道院の建物に住んでいた。；映画スター、そう映画スターなどというのは嘘だらけの暮らしでしょう。；人類は名前と地形の変わった各大陸で暮らしている。；従って、安心した暮らしを求めて帰依する者が多かったと考えられる。</t>
        </is>
      </c>
      <c r="J2430">
        <f>HYPERLINK("https://www.weblio.jp/content/暮らし", "词义详情")</f>
        <v/>
      </c>
      <c r="K2430">
        <f>HYPERLINK("https://yourei.jp/暮らし", "查看例句")</f>
        <v/>
      </c>
    </row>
    <row r="2431">
      <c r="A2431" t="inlineStr">
        <is>
          <t>暮らす</t>
        </is>
      </c>
      <c r="B2431" t="inlineStr">
        <is>
          <t>成功</t>
        </is>
      </c>
      <c r="C2431" t="inlineStr">
        <is>
          <t>読み方：くらす
［動サ五（四）］
１日が暮れるまで時間を過ごす。時を過ごす。「一日を読書で—・す」
２日々を送る。月日を過ごす。「余生は郷里で—・したい」
３生活する。また、生計を立てる。「少ない収入でなんとか—・している」
４（他の動詞の連用形に付いて）一日中その事をし続ける意を表す。「遊び—・す」「泣き—・す」
[可能]くらせる</t>
        </is>
      </c>
      <c r="D2431" t="inlineStr">
        <is>
          <t>暮らす貧しい</t>
        </is>
      </c>
      <c r="E2431" t="inlineStr">
        <is>
          <t>生活；生きる；過ごす；暮す；起居</t>
        </is>
      </c>
      <c r="F2431" t="inlineStr">
        <is>
          <t>共に暮らす；ひっそりと暮らす；楽しく暮らす；遊んで暮らす；遊び暮らす</t>
        </is>
      </c>
      <c r="H2431" t="n">
        <v>29</v>
      </c>
      <c r="I2431" t="inlineStr">
        <is>
          <t>しばらくは自分の好きなように暮らそうと思っている、と彼女はいった。；穴の中から滅多に外には出ず、一生を一人で暮らすことも珍しくはない。；ニューヨークに到着すると、同じ地方出身者が暮らす地区へと向かった。；隣近所に隠しても、別の土地に移しても、一緒に暮らそうとするだろう。；それでわたしもいつもあすのことを考えて暮らさなくてはならなかった。；一緒に暮らそうとか言われたら、どう返事をしたもんかと私は身構えた。；位置は島の中央よりやや北にあり、島全体の人口である57人が暮らす。；母の小与は実家の田舎で留加をつれて暮らすことを決意し、町を去った。；あと半年ぐらい、入れ替わったまま暮らさないかとあの人は言ったのだ。；物心をついて間もないこの頃以降は旧制中学校卒業までを京都で暮らす。；つい勢いで、一緒に暮らそうなどと言ってしまったらどうしようと思った。；孫家で暮らすビーデルやパンもこれらの料理を気にせずに食べている。；彼女の収入がなくなったら、僕の収入だけで暮らさなければならないのだ。；夫を失った母親のもとで一家六人が暮らさなければならなかったのだ。；父は外国航路の船員で、子供の頃は離れて暮らすことも多かったという。；あたしを働かせる気も、東京で暮らさせる気も最初からなかったくせに。；一人で暮らす母を気にかけ、道中頻繁に電話をかけたり訪ねたりしていた。；二人は、たがいに別れて暮らさなければならないのを悲しく思いました。；これは実際のシマリスが兄弟で暮らす習性ゆえであり血縁を想像させた。；地区名は「聖人の如く平和に暮らすことを願って」の命名とされている。；僕のために、世間の冷たい視線を浴びながら暮らさなければならないんだよ。；人類史の初期の間は、人々が暮らすのにはより適した肥沃な地であった。；かつて5家族が生活していた空間に700人が暮らすゲットーもあった。；それに私はその不安を心に収めて、まるで孤独で暮らさねばならなかった。；だが、なぜこんな子供が自分一人きりで暮らさなくてはならんのだ?；母親の許しも得て弘子は源太郎の家でしばらく暮らすことになった。；彼女は一年のうち数カ月をこの島に人目を避けて暮らそうとしている!；泥や砂の上で暮らすものは、やや特殊な形の腹足を持つ例がある。；そんな時、死期が近いという父親の呼びかけで一緒に暮らすことになる。</t>
        </is>
      </c>
      <c r="J2431">
        <f>HYPERLINK("https://www.weblio.jp/content/暮らす", "词义详情")</f>
        <v/>
      </c>
      <c r="K2431">
        <f>HYPERLINK("https://yourei.jp/暮らす", "查看例句")</f>
        <v/>
      </c>
    </row>
    <row r="2432">
      <c r="A2432" t="inlineStr">
        <is>
          <t>ぐらつく</t>
        </is>
      </c>
      <c r="B2432" t="inlineStr">
        <is>
          <t>成功</t>
        </is>
      </c>
      <c r="C2432" t="inlineStr">
        <is>
          <t>［動カ五（四）］
１安定した状態にあるべきものが、不安定に揺れ動く。ぐらぐらする。「いすが—・く」「奥歯が—・く」
２気持ちや考えなどが、揺れ動いて定まらなくなる。「自信が—・く」「信念が—・く」</t>
        </is>
      </c>
      <c r="D2432" t="inlineStr">
        <is>
          <t>動揺；揺れる；ふらふら；震動；迷う</t>
        </is>
      </c>
      <c r="H2432" t="n">
        <v>29</v>
      </c>
      <c r="I2432" t="inlineStr">
        <is>
          <t>歯がぐらつくほどビンタを取られなければならないほどのことなのか。；すこしぐらついていたのを、前の日に発見して、用意してきたらしい。；彼が動きを止めると、身体がぐらぐらとぐらついていることがわかった。；勢いをつけての刺突では、ぐらつかせる程度の威力にしかなっていない。；行政機構はぐらついていたので多くの場所でペストによる襲撃で崩壊した。；単に身代わりになるだけなら、いざとなれば決心がぐらつく恐れがある。；それとも、そう度々決心しなおさなければきみの決定がぐらつくのかね?；そのぐらついた体を目にしたとたん、切ない思いが再び胸に戻ってきたのだ。；飛びたったときにぐらついては今のお説教も説得力がなくなってしまう。；遠いプラットフォームに現れた小さな影に、未羽がその肩をぐらつかせた。；かれらの論旨は、私をけっして説得できなかったが、私をぐらつかせた。；竜彦は、逮捕状を請求したときの確信が少しぐらついてくる思いがした。；この男のぐらついた勇気が崩れ去る時がまもなく来るにちがいない。；あらためて、今度はぐらついたりしない椅子に乗って、棚の上を探った。；そしてこのときすぐにその気になったわけではないが、大いに決心がぐらついた。；わたしにたいするこの人の信頼までぐらつかせてしまうではないか。；ぐらついた襲撃者の顎に父の膝がぶちあたり、影はどさっと地面に倒れた。；センター内に展示されていた複数のロケットがぐらついて倒れた。；ところが、だんだん経験を積むにつれてこの自信がぐらつき出してきた。；しかし、その確信をぐらつかせるような出来事が、その日の午後に起こった。；不覚だが、日本の土地を踏んでみて、その決心がぐらついたと言えよう。；視界が狭まり、下手なカメラマンが撮影しているかのようにぐらついた。；こんなことでは、わたしの確信をぐらつかすことはできなかった。；幕府三代、武家の覇業としたら、もうこの辺でぐらついていい所である。；ただ自分がその任かどうかといふことになると、彼女の自信はぐらついて来る。；かの女の側にいるうちに、ぼくの気持はだんだんぐらついていった。；一度聞いた事実関係は、何度聞き直してもぐらつくことなく一貫していた。；わたしたち、人の噂ぐらいで、簡単に気持がぐらつく人間とちがいますもの。；シミュラの司教への支持も、いささかぐらつくことになるのではないかな。</t>
        </is>
      </c>
      <c r="J2432">
        <f>HYPERLINK("https://www.weblio.jp/content/ぐらつく", "词义详情")</f>
        <v/>
      </c>
      <c r="K2432">
        <f>HYPERLINK("https://yourei.jp/ぐらつく", "查看例句")</f>
        <v/>
      </c>
    </row>
    <row r="2433">
      <c r="A2433" t="inlineStr">
        <is>
          <t>比べる</t>
        </is>
      </c>
      <c r="B2433" t="inlineStr">
        <is>
          <t>成功</t>
        </is>
      </c>
      <c r="C2433" t="inlineStr">
        <is>
          <t>読み方：くらべる
［動バ下一］［文］くら・ぶ［バ下二］
１二つ以上のものをつき合わせて差異や優劣などを調べる。比較する。「身長を—・べる」「今年は例年に—・べ雪が少ない」
２優劣や勝敗を競う。競争する。「力の程を—・べる」「腕前を—・べる」
３心を通わせ合う。
「年ごろよく—・べつる人々なむ、別れがたく思ひて」〈土佐〉</t>
        </is>
      </c>
      <c r="D2433" t="inlineStr">
        <is>
          <t>比べるとかなり；比べるとやや；比べると非常；比べるとはるか；比べると少ない</t>
        </is>
      </c>
      <c r="E2433" t="inlineStr">
        <is>
          <t>比較；対抗；戦う；競技；勝負</t>
        </is>
      </c>
      <c r="F2433" t="inlineStr">
        <is>
          <t>比べると小規模；比べると大幅；比べると小さい；比べると極めて；比べると遥か</t>
        </is>
      </c>
      <c r="H2433" t="n">
        <v>29</v>
      </c>
      <c r="I2433" t="inlineStr">
        <is>
          <t>加群の理論はベクトル空間のそれと比べてより複雑なものになっている。；台風の通過・被害が多いが、九州のほかの県と比べると少ない方である。；このときから、皇室との関係が他の顕官に比べてより深いものとなった。；これまで情報通信用に使われてきたメタル線と比べ、以下の特徴がある。；栗東に比べると当施設は交通アクセスが不便であるとも指摘されている。；他の作戦級に比べると、兵器の個性が出るためか、一般にも人気が高い。；例えば一般に英日翻訳に比べて日英翻訳の能力は低い段階にあった。；企業で高い地位を占める女性も増えているが、男性に比べるとまだ少ない。；殷代と比べて周代はこの文が非常に長いものとなっていることに特徴がある。；塩化水素などの他のハロゲン化水素の場合に比べて性質が異なる点がある。；これは2番目に傾斜が小さい木星の値に比べてもと非常に小さい値である。；このような観測の難しさから、水星の理解は他の惑星と比べて遅れた。；日本の参加が他国と比べて遅れた理由は、いくつか指摘されている。；芳香環は、他の不飽和環構造に比べ安定であると同時に反応性も異なる。；これは完全な文字認識に比べて処理も軽く、入力もしやすいとされている。；これは当時のほかの王族の蔵書と比べても、突出して高い比率であった。；前作と比べるとデータ的な部分が増えており、シビアな作品となっている。；フォースの使い手は、平均的な人口に比べて数が非常に限られている。；海軍は当時の英海軍の前には比べるまでもなく非力な存在でしかなかった。；そうでない作品でも、同時期の他の少年漫画に比べて人間ドラマ性が強い。；ここは当初案と比べてルートが大きく北寄りに移動した。；ただし他党と比べて「専守防衛」の武力行使自体にもかなり慎重である。；合併経緯からか泉区は仙台市の他区と比べて特別的扱いが多いと見られている。；そのため主系列の寿命に比べると、この段階にいる長さはずっと短くなる。；これは戦前の交通統合が関東・関西地区と比べて先行したことが影響している。；震源が深い地震は同じ規模の浅い地震に比べて地表での揺れは小さい。；その数・収容率と強固な構造は、他国の防空壕と比べても群を抜いている。；現代と比べて娯楽が少ない当時、旅の持つ意味ははるかに大きかった。；巨人の監督の胴上げに比べて、巨人の対戦相手チームの胴上げは少ない。</t>
        </is>
      </c>
      <c r="J2433">
        <f>HYPERLINK("https://www.weblio.jp/content/比べる", "词义详情")</f>
        <v/>
      </c>
      <c r="K2433">
        <f>HYPERLINK("https://yourei.jp/比べる", "查看例句")</f>
        <v/>
      </c>
    </row>
    <row r="2434">
      <c r="A2434" t="inlineStr">
        <is>
          <t>暗闇</t>
        </is>
      </c>
      <c r="B2434" t="inlineStr">
        <is>
          <t>成功</t>
        </is>
      </c>
      <c r="C2434" t="inlineStr">
        <is>
          <t>読み方：くらやみ
１まったく光がなく、暗いこと。また、その所。くらがり。
２人目につかないところ。人の知らないところ。「—に葬り去る」
３見通しがたたず、将来に希望の持てないこと。「病気つづきで先は—だ」</t>
        </is>
      </c>
      <c r="D2434" t="inlineStr">
        <is>
          <t>暗闇大使；暗闇阪；暗闇の向こう側；暗闇の牛みたい；暗闇まぎれ</t>
        </is>
      </c>
      <c r="E2434" t="inlineStr">
        <is>
          <t>影；闇；蔭；暗；暗がり</t>
        </is>
      </c>
      <c r="F2434" t="inlineStr">
        <is>
          <t>薄暗闇；完全な暗闇；偉大なる暗闇；深い暗闇；濃い暗闇</t>
        </is>
      </c>
      <c r="G2434" t="inlineStr">
        <is>
          <t>暗闇仕留人；暗闇祭；暗闇でドッキリ；暗闇にベルが鳴る；暗闇の丑松</t>
        </is>
      </c>
      <c r="H2434" t="n">
        <v>29</v>
      </c>
      <c r="I2434" t="inlineStr">
        <is>
          <t>各部隊は暗闇の中で出発したが、日中の準備の状況は砦からも見えていた。；しかも、僕は暗闇のなかを無鉄砲に歩き出すようには感じていなかった。；この本の中でニューエイジの背後に働く暗闇の力について語られている。；実験室の中は一瞬、深い暗闇に包まれたが、これはどうしたことだろう。；そこには暗闇の中に自動車の運轉手が荷物を背負ひに來て待つてゐた。；暗闇と湿地のために混乱する中で兵士の中には仲間と逸れる者もいた。；暗闇の中で戦う時、鞘を刀の先に引っかけて相手の位置を探るのである。；暗闇に目が慣れた時、一条の光が向うの扉の下から、視界に飛び込んだ。；目の前にはただ一面に、大きな大きな暗闇がひろがっているばかりでした。；ただ一人残されたわたしに向かって、暗闇から足音と哄笑が近づいてくる。；月もまだ出ぬ暗闇ながら、ひろびろと焼野原がつづいているのがわかる。；そんな暗闇の中で、見えもせぬ本を楯に、君はなにを考えているのだ?；魔人のやつ、その雨戸の外の暗闇にまちぶせしていたのかも知れません。；その体のほとんどは暗闇と憎悪でできており、獲物が恐怖するのを喜ぶ。；こうなると何事も、暗闇だからといって安心してするわけにはゆかなかった。；グレルは暗闇に潜んで、通りがかかった者を捕食することに生きている。；いずれにせよ、くら闇のなかでは〝捕り手〟の答えがよく見えなかった。；そうだとしたら、俺は暗闇の中、どこにだっていることになるんだ。；その瞬間、彼女の目は暗闇の猫の瞳のような細く不気味なものになる。；彼女は窓を開けて空を見上げたが、上空には暗闇しか見えなかった。；化け物は洞窟の暗闇に適応しており目が全く見えていないのだった。；半時間かそれ以上、二人は真っ暗闇の中で一言も話さずに黙って座っていた。；実はね、あの隠し戸の外の暗闇でお金儲をしようという考えなんです。；さうするには大学も何も潰してしまつて、世間をくら闇にしなくてはならない。；すると、廊下の暗闇から私は一人の人間が近づいてくるのをみとめたのである。；その世界は暗闇の魔女によって悪の世界へと変えられようとしていた。；暗闇から現れることで敵は混乱し、噂は現実より誇張され警告になる。；あいつは暗闇のなかで、眼が見えるくらいだから、忍術も使うかも知れん。；しかしながら、数日後に武石峠近くの暗闇沢で2人の遺体が発見される。</t>
        </is>
      </c>
      <c r="J2434">
        <f>HYPERLINK("https://www.weblio.jp/content/暗闇", "词义详情")</f>
        <v/>
      </c>
      <c r="K2434">
        <f>HYPERLINK("https://yourei.jp/暗闇", "查看例句")</f>
        <v/>
      </c>
    </row>
    <row r="2435">
      <c r="A2435" t="inlineStr">
        <is>
          <t>グリーン車</t>
        </is>
      </c>
      <c r="B2435" t="inlineStr">
        <is>
          <t>成功</t>
        </is>
      </c>
      <c r="C2435" t="inlineStr">
        <is>
          <t>読み方：ぐりーんしゃ
特別料金を必要とするJRの特級車。車両にはクローバーをかたどった緑色のマークを付けている。</t>
        </is>
      </c>
      <c r="D2435" t="inlineStr">
        <is>
          <t>グリーン車用(3%)；グリーン車指定席(3%)；グリーン車扱い；グリーン車連結；グリーン車suicaシステム</t>
        </is>
      </c>
      <c r="F2435" t="inlineStr">
        <is>
          <t>全車グリーン車；パノラマグリーン車；半室グリーン車；建グリーン車；自由席グリーン車</t>
        </is>
      </c>
      <c r="H2435" t="n">
        <v>29</v>
      </c>
      <c r="I2435" t="inlineStr">
        <is>
          <t>そのうち女性二人と男性二人は、グリーン車から降りてきたようである。；上記のように主に通勤時間帯でない日中のグリーン車利用が可能だった。；彼はグリーン車の外へ出て、デッキのあたりからその女を監視していた。；母もグリーン車なら変な人はいないだろうと、ひとりで行かせてくれた。；扉横の車体や内ドアにはグリーン車を表す四つ葉のマークが標記される。；グリーン車のドアがあけ放しになっていて、彼はあわてて顔をそむけた。；このときはグリーン車の設定がなく、全車が普通車指定席となっていた。；試験中は遅くまで勉強しているので、子供にグリーン車を使わせたい。；また、同施設内のミニシアターの座席にグリーン車の座席が使われている。；この場合、一部「はるか」にグリーン車2両の列車が発生する事になる。；夜の電車は酔客がまじって、かなり混んでいたのでグリーン車に乗った。；そのグリーン車のあたりを見てみるが、ホームにも車内にも霞の姿はない。；また、ファーストクラスやグリーン車の搭乗も以前から廃止されている。；グリーン車は四人がけであるから、通路をはさんで反対側がCDとなる。；田島が、グリーン車からホームにおりたとたん、背後から肩を叩かれた。；グリーン車用は大人用のみ、普通車用は大人用と子供用が発売されている。；普通車のみ製作され、寝台車やグリーン車については製作されていない。；かつてはグリーン車や普通車自由席があったが、いずれも廃止されている。；グリーン車でもなく、普通の背のまっすぐな座席に、むかいあって座った。；営業時には特別車両としてグリーン車とは異なる料金設定がなされていた。；両編成とも普通車のみの編成でグリーン車は設定されていない。；仕事でしか乗ることのないグリーン車は、いつも座席が固く感じた。；この車掌室はグリーン車等の特別席が装備されている車両に入っていることが多い。；警部はごていねいにグリーン車の券まで送ってくれたのであった。；JR九州線の特急・急行列車のグリーン車・普通車指定席を利用出来る。；よるグリーン車と知らず、苦笑しつつグリーン車にのせて頂くことにした。；私が、グリーン車に行けば、二十八人の乗客は、解放してくれるのか?；キハ40系では初めてグリーン車であるキロ40形とキロ48形が誕生した。；グリーン車のトイレがふさがっていたので、次の車両まで行った。</t>
        </is>
      </c>
      <c r="J2435">
        <f>HYPERLINK("https://www.weblio.jp/content/グリーン車", "词义详情")</f>
        <v/>
      </c>
      <c r="K2435">
        <f>HYPERLINK("https://yourei.jp/グリーン車", "查看例句")</f>
        <v/>
      </c>
    </row>
    <row r="2436">
      <c r="A2436" t="inlineStr">
        <is>
          <t>繰り返す</t>
        </is>
      </c>
      <c r="B2436" t="inlineStr">
        <is>
          <t>成功</t>
        </is>
      </c>
      <c r="C2436" t="inlineStr">
        <is>
          <t>読み方：くりかえす
［動サ五（四）］
１同じことをもう一度、あるいは何度もする。反復する。「失敗を—・す」「歴史は—・す」
２本のページなどをめくる。
「戸棚から暦を出して—・して見ると」〈漱石・吾輩は猫である〉</t>
        </is>
      </c>
      <c r="D2436" t="inlineStr">
        <is>
          <t>繰り返すまい</t>
        </is>
      </c>
      <c r="E2436" t="inlineStr">
        <is>
          <t>再現；重ねる；再発；反復；再演</t>
        </is>
      </c>
      <c r="F2436" t="inlineStr">
        <is>
          <t>もう一度繰り返す；延々と繰り返す；繰り返すしかない</t>
        </is>
      </c>
      <c r="H2436" t="n">
        <v>29</v>
      </c>
      <c r="I2436" t="inlineStr">
        <is>
          <t>ループは、繰り返しを継続するかどうかを判断するための条件式を持つ。；集団を形成するようになる有史以来、人類が繰り返してきたものである。；特定の条件が成立している限り、特定の処理を繰り返し何度でも実行する。；議会は繰り返し結婚を請願したが、彼女は常に言葉を濁して答えていた。；一度クリアしたステージは任意のものを選択し繰り返しプレイできる。；再形成された超大陸はしばらくするとまた分裂を始め、以上を繰り返す。；その後合意が得られた会員で、次の一巡を開始することを繰り返していく。；そんな繰り返される戦いの一つ、20世紀末の日本が本作の舞台である。；自動車はその歴史のなかで様々な構造が現れ、変遷を繰り返してきた。；つまり同じ文法的条件の語を同じ場所におく、繰り返しのリズムである。；何度もこんなことを繰り返せば反りが強くなって使い物にならなくなる。；自発的に何かを繰り返すようにすることを指して使われることもある。；工程設計を見ると同じような作業が2回繰り返されていることがわかる。；また治療しても他の部位への接触転移が多く再発を繰り返すことが多い。；日常生活とは、人が生きるために日々繰り返しやっていることである。；すべての高分子は、モノマーと呼ばれる繰り返しの単位からできている。；高速で繰り返すことによりビブラートの効果を得るなどの応用技もある。；金管が第1主題の動機を繰り返して再び激しくなるところから展開部。；なお、干渉縞が現れるためには実験を繰り返し何度も行う必要がある。；また生涯で少なくとも60回以上引越しを繰り返したことも知られている。；その後も勲旧勢力と士林勢力は繰り返し衝突し、政局は混乱を続けていた。；あとは全く同様の議論を繰り返すことで次の偏微分方程式が得られる。；この、最初に紹介される一日が、以降何度も繰り返される一日である。；同じ議論を繰り返せば高々 n 回までの操作で定理の前半が示された。；また測定の繰り返し自体によって物差しの磨耗が進行するかもしれない。；後の時代、繰り返し生成・消滅している宇宙という考え方が成立したという。；シマックの作品には同じ基本的考え方とテーマが繰り返し登場する。；ICカードの場合はチャージして繰り返しカードを使用することもできる。；これを何度も繰り返すことで、その者が悪さをしないように調教する。</t>
        </is>
      </c>
      <c r="J2436">
        <f>HYPERLINK("https://www.weblio.jp/content/繰り返す", "词义详情")</f>
        <v/>
      </c>
      <c r="K2436">
        <f>HYPERLINK("https://yourei.jp/繰り返す", "查看例句")</f>
        <v/>
      </c>
    </row>
    <row r="2437">
      <c r="A2437" t="inlineStr">
        <is>
          <t>来る</t>
        </is>
      </c>
      <c r="B2437" t="inlineStr">
        <is>
          <t>成功</t>
        </is>
      </c>
      <c r="C2437" t="inlineStr">
        <is>
          <t>読み方：きたる
［動ラ五（四）］《「きいた（来至）る」の音変化》
１やって来る。くる。「米大統領—・る」「冬—・りなば春遠からじ」
２使いものにならなくなる。古くなっていたむ。古くさくなる。ぼける。
「角琴柱(かくことぢ)はちと—・ったから打ち直させうと思ふよ」〈滑・浮世風呂・二〉
３異性に、ほれこむ。
「年増(としま)のお麦めは自己(おいら)に九分九厘—・ってゐて」〈滑・七偏人・三〉
４（動詞の連用形に付いて）…し続けて現在にまで及ぶ。「行い—・る」</t>
        </is>
      </c>
      <c r="D2437" t="inlineStr">
        <is>
          <t>来る前；来るだろ；来るべき；来る途中；来るだら</t>
        </is>
      </c>
      <c r="E2437" t="inlineStr">
        <is>
          <t>くる；行く；至る；到着；起こる</t>
        </is>
      </c>
      <c r="F2437" t="inlineStr">
        <is>
          <t>帰って来る；戻って来る；入って来る；近づいて来る；つて来る</t>
        </is>
      </c>
      <c r="G2437" t="inlineStr">
        <is>
          <t>来る福招き猫まつり</t>
        </is>
      </c>
      <c r="H2437" t="n">
        <v>29</v>
      </c>
      <c r="I2437" t="inlineStr">
        <is>
          <t>こちらの座席では隣にほかの客が来ることがなく、安心して利用できる。；角の初期位置に玉が来るため、角をうまく移動させることが必要になる。；僕はアメリカに来て野球が楽しいと思えるだけで、成功だと思うんです。；それでも気配を感じたのか、もう一人が次の部屋から出て来ようとした。；それで今もあなたがここに来られたのはあなたがそれと悟られての事だ。；私は彼がまた私達の前に現われて来ようとは少しも信じてはいなかった。；驟雨のまさに来ようとする前のようなシーンとした静かさが感じられた。；まさか鶴田がそんな時間に訪ねて来ようとは予測もしていませんでした。；こういう感じが来ようと知らなかったし格別それを期待していなかった。；その他に運営の責任感から来るものか家の権利書まで持ち出そうとした。；だから男の人は本当に愛することなんか出来っこないとあたしは思うわ。；それに、君は一度も仙台に俺を訪ねて来ようともしなかったじゃないか。；やがてその灰色の幕は森の頭を撫でて、後方から前へと持って来られた。；この最後の情愛をも人々が争いに来ようとは、彼は思ってもいなかった。；日本でも、鎌倉時代に元が攻めて来たとき元軍により使用されたという。；べつに怪我も無い様子だが、よくあの火の中を無事で逃げて来られたね。；以前には近所の子供たちが折原のプレイを見に来るほどだったという。；何でも来いという調子だった、自分にはいつでも用意が出来ていたのだ。；何処までもかかる立場から歴史的に発展し来ったものでなければならない。；今日は、中世の街並みを目的に来る人の、人気のある観光拠点となった。；部屋に戻ると五郎が来ており、シュウが待つ北時計に行くように勧める。；またポストシーズンでは他地域のアナウンサーが応援に来ることもある。；これは国王に承認され、来るべき戦いで決定的な役割を担うこととなる。；みんなのいる前で、あの声がなにをいって来ようとこたえてはいけない。；また他方では、作品搬入の面倒さから来る苦労を避けたくもありますし。；ある日執行吏が家に来て、この月のうちに家を出ていくように勧告した。；おそらくその前にもう胸が苦しくなり、自分の故郷に帰って来ようから。；とうとう女がこれから馬車を誂えに、自分で行って来ようと言い出した。；地球の運動速度は一定でないため、太陽は正午に真南に来るとは限らない。</t>
        </is>
      </c>
      <c r="J2437">
        <f>HYPERLINK("https://www.weblio.jp/content/来る", "词义详情")</f>
        <v/>
      </c>
      <c r="K2437">
        <f>HYPERLINK("https://yourei.jp/来る", "查看例句")</f>
        <v/>
      </c>
    </row>
    <row r="2438">
      <c r="A2438" t="inlineStr">
        <is>
          <t>狂う</t>
        </is>
      </c>
      <c r="B2438" t="inlineStr">
        <is>
          <t>成功</t>
        </is>
      </c>
      <c r="C2438" t="inlineStr">
        <is>
          <t>読み方：くるう
［動ワ五（ハ四）］
１精神の正常な調和がとれなくなる。気が違う。気がふれる。「気が—・う」「—・ったようにわめく」
２物事・機械の働きや状態が正常でなくなる。「時計が—・う」「音程の—・った歌声」「歯車が—・う」
３ねらい・見込みなどが外れる。予測・計画通りにならない。「手元が—・う」「見通しが—・う」
４物事に異常に熱中して見さかいがつかなくなる。おぼれる。「かけ事に—・う」「女に—・う」
５（他の動詞の下に付いて）普通の程度を越えて激しく動き回る。ひどく…する。「踊り—・う」「荒れ—・う」
６神霊・もののけが取りついて、普通ではない行動をする。神がかりになる。
「こは物に—・はせ給ふか」〈宇治拾遺・一五〉
７激しく動き回ったり、舞い踊ったりする。
「ひとへに死なんとぞ—・ひける」〈平家・四〉
８ふざける。じゃれつく。
「あれ御亭(ごて)さん、—・ひなんすな」〈洒・遊子方言〉</t>
        </is>
      </c>
      <c r="D2438" t="inlineStr">
        <is>
          <t>狂うだろ；狂うことなく；狂うたか；狂うたよう；狂うとる</t>
        </is>
      </c>
      <c r="E2438" t="inlineStr">
        <is>
          <t>動揺する；壊れる；慌てる；おかしくなる；壊れてしまう</t>
        </is>
      </c>
      <c r="F2438" t="inlineStr">
        <is>
          <t>猛り狂う；暴れ狂う；たけり狂う；燃え狂う；大きく狂う</t>
        </is>
      </c>
      <c r="H2438" t="n">
        <v>29</v>
      </c>
      <c r="I2438" t="inlineStr">
        <is>
          <t>それというのも彼女がひどく怒って気が狂ったようになっていたからだ。；今語っているところを何者かに見られたと老人は狂ったように走り去る。；次の次のトップと噂されていた千花の順序が大きく狂うことになるのだ。；これを見た外国人は、声をかぎりに叫んで、狂わんばかりに喜びました。；このままじゃあすの朝までに死んでしまうか、気が狂ってしまうかです。；今まで、どんな男と関係したのかを考えると気が狂ってしまいそうになる。；男の人生が狂う時には常に女の影あり、とでもいったところだろうか。；ただ恋に狂うている筈の、彼の瞳ばかりは、刃のように澄みきっていた。；気が狂うほどのホームシックにかかったのは山崎の妻だけではなかった。；目の前で大きく踊り狂う炎は、まるで舌なめずりしているように見える。；これは青赤黒で書きわけられた私の肉体の調子の狂った交響楽である。；この話を聞いて、ぼくがどんなに気も狂わんばかりの感動を受けたか。；巨人の長い攻撃が続き、槙原のリズムが狂うのではないかと心配された。；それともこんなことをいう私のほうが、気が狂っているのでしょうか?；哀れな、子供を失って気の狂った、おきぬのことを思い出したからです。；最後の卵を口の中に入れて守るが、自身は頭に攻撃を受けて狂ってしまった。；やがて男女の恋の方位図が狂っていき、彼らに皮肉な恋の結末が訪れる。；当時は大艦巨砲主義が主流であったため、源田は気が狂ったと噂された。；彼の精神が永続的に狂うものかどうかは、数日中に明らかになるであろう。；様々な時代にジョーカー団が干渉した結果、歴史が狂ってしまったのだ。；ただ狂暴で一途な精神が彼女のうちに荒狂っているとしか思えなかった。；こんなところでもう一日足どめされたら、退屈で気が狂うといっている。；彼女は気が狂おうとしているのであり、自分でもそれをさとっていた。；俺はなあ、こんなに頭を使って、よく気が狂わんものだと思うことがある。；動作時に円盤の回転に遅れが出るのでリズムが狂ったりする欠点がある。；彼が一生そこにつながれるものと思いこんで、気も狂わんばかりだった。；お蔭で朝のうちに考えておいたその夜の予定は、すっかり狂ってしまった。；我々は何時間も狂ったように馬に拍車をかけ続け、馬は倒れんばかり。；絶対に狂わず正確なもの と云う それを或日本の海軍将官が英国で買った。</t>
        </is>
      </c>
      <c r="J2438">
        <f>HYPERLINK("https://www.weblio.jp/content/狂う", "词义详情")</f>
        <v/>
      </c>
      <c r="K2438">
        <f>HYPERLINK("https://yourei.jp/狂う", "查看例句")</f>
        <v/>
      </c>
    </row>
    <row r="2439">
      <c r="A2439" t="inlineStr">
        <is>
          <t>くるくる</t>
        </is>
      </c>
      <c r="B2439" t="inlineStr">
        <is>
          <t>成功</t>
        </is>
      </c>
      <c r="C2439" t="inlineStr">
        <is>
          <t>［副］
１物が軽く続いて回るさま。「—（と）回る風車」
２いく重にも巻きつけるさま。また、まるめるさま。「包帯を—（と）巻く」
３丸くて愛らしいさま。くりくり。「目が—（と）してかわいい」
４休まないで身軽に働くさま。「一日中—（と）働く」
５方針や考えなどが定まらないさま。「—（と）変わる当局の答弁」
６滞ることなく物事が行われるさま。すらすら。
「男も女も—とやすらかに読みたるこそ」〈枕・一五八〉</t>
        </is>
      </c>
      <c r="D2439" t="inlineStr">
        <is>
          <t>くるくると回転(4%)；くるくる回り(2%)；くるくるまわし(2%)；くるくる回る；くるくると回り</t>
        </is>
      </c>
      <c r="E2439" t="inlineStr">
        <is>
          <t>回転；回る；廻る；スピン；舞う</t>
        </is>
      </c>
      <c r="F2439" t="inlineStr">
        <is>
          <t>眼をくるくる；くるくるくるくる；くるくるまわる；くるくるとよく；くるくるとまわり</t>
        </is>
      </c>
      <c r="G2439" t="inlineStr">
        <is>
          <t>くるくるお好み焼き；くるくるバス；くるくるッと；くるくるミラクリング；くるくるくりくり</t>
        </is>
      </c>
      <c r="H2439" t="n">
        <v>29</v>
      </c>
      <c r="I2439" t="inlineStr">
        <is>
          <t>それだけではない、双方の黒眼がくるくると勝手なほうへ活動し始めた。；そしてその峰打ちが、彼の目の中のすべてのものをくるくる回転させた。；背中に散った髪を、一まとめにして、指の先でくるくるとよりをかけた。；そう、今目の前にいる女の子達のように、くるくるとよく喋りよく笑う。；くるくるとその場で回り、やがて風を失ったタコのように地面に落ちる。；見ると西洋の画に善くある、眼の丸い、くるくるした子供の顔であった。；それにひどく深くて急でしたからのぞいて見ると全くくるくるするのでした。；血をすゝるやうな男の唇に わけても わけても 月はくるくる舞つてゐた。；みんなは眼をくるくるさせていたが、プリムロウズだけはそうでなかった。；瞼の部屋の中は真暗だが、渦のような七色のものがくるくる舞っている。；イザアトは頭がくるくる廻るような気がしだしたので、寝ようと言った。；くるくると変化するその表情は、やはり王女らしいものとは言えなかった。；火曜と金曜と彼奴とが私の心の中にくるくると廻転して妙な謎を拵える。；私の心は千里はなれた磯にいて、浪にくるくる舞い狂っていたのである。；イコの目の前で、そこに映し出される光景は、くるくると変わってゆく。；すると、シュッと音がしたかと思うと、管がくるくるとまわりはじめた。；ハリーは急いでメンフクロウの所に行き脚から手紙を外しくるくる広げた。；くるくるした、いつもの驚いたような眼が私の方を見て懐しそうに笑っている。；上包はくるくると開いて、やまと新聞の一の面が颯と膝の上に広がった。；そのため彼の身体はしばしばコマのように他愛なくくるくると回った。；トラックの内側の芝生の上で、くるくると回転しているひとがいた。；くるくると舞いながら拳銃は檻の背後へ落ちたのであろう、ドチャーン!；頭の中には野崎亜希からの手紙の文面ばかりがくるくると回っていた。；そのうちに、小さなかげは、くるくるとぼくを中心にしてまわりはじめた。；毛をくるくると巻きつけるとぼくの指が燃えてしまいそう。；彼の黒い瞳がくるくると動き、物を隠せるようなところを追っていた。；ワインのくるくるなどまったく知らない十代の若者に見えた。；そしてくるくるくると空中で三回ほど回転しながら、すっくと地上に立った。；それにも気づかず麻実と茂はくるくるといつまでも踊り続けていた。</t>
        </is>
      </c>
      <c r="J2439">
        <f>HYPERLINK("https://www.weblio.jp/content/くるくる", "词义详情")</f>
        <v/>
      </c>
      <c r="K2439">
        <f>HYPERLINK("https://yourei.jp/くるくる", "查看例句")</f>
        <v/>
      </c>
    </row>
    <row r="2440">
      <c r="A2440" t="inlineStr">
        <is>
          <t>ぐるぐる</t>
        </is>
      </c>
      <c r="B2440" t="inlineStr">
        <is>
          <t>成功</t>
        </is>
      </c>
      <c r="C2440" t="inlineStr">
        <is>
          <t>［副］
１物が続いて回るさま。「—（と）腕を回す」
２物をいく重にも巻きつけるさま。「縄を—（と）巻きつける」</t>
        </is>
      </c>
      <c r="D2440" t="inlineStr">
        <is>
          <t>ぐるぐる巻き(11%)；ぐるぐる回り(3%)；ぐるぐる回る(3%)；ぐるぐるまわし；ぐるぐると回転</t>
        </is>
      </c>
      <c r="E2440" t="inlineStr">
        <is>
          <t>渦；螺旋；渦巻き</t>
        </is>
      </c>
      <c r="F2440" t="inlineStr">
        <is>
          <t>ぐるぐると渦；ぐるぐると巻い；ぐるぐると歩き；首をぐるぐる；腕をぐるぐる</t>
        </is>
      </c>
      <c r="G2440" t="inlineStr">
        <is>
          <t>ぐるぐるナインティナイン；ぐるぐるカーテン；ぐるぐるっと；ぐるぐるぐる；ぐるぐる目</t>
        </is>
      </c>
      <c r="H2440" t="n">
        <v>29</v>
      </c>
      <c r="I2440" t="inlineStr">
        <is>
          <t>同じ道をいったり来たり、ぐるぐる輪をかいて歩きまわったりするんだ。；ぐるぐる体をまわして四辺を見たが、小女の姿はどこにも見えなかった。；彼女は夫が助けに来るのを信じて部屋の中をぐるぐる歩き回っていた。；今自分は、その蛇が皿を巻いたような丘の小道をぐるぐると下りて行く。；すべてがぐるぐる巻かれた糸玉のようにこんぐらかってしまうのだった。；あんまりサイクルホールの話をしたから何だか頭がぐるぐるしちゃった。；グラスはオースティンの指をつけたまま、ぐるぐるまわりつづけていた。；両方の足の先は、軍隊用のゲートルみたいな布でぐるぐる巻いてあった。；そうして「恩」が世の中をぐるぐる回ってゆくことを指しているとした。；卒倒する代りに眼のまえのものがみんな、ぐるぐると回っておりました。；下方の曲りくねった道は山をぐるぐるまきにしていなかったではないか。；その上をぐるぐる飛んでいるうちに、形状の奇妙さにも眼を惹かれた。；魚が、水面近くにあがってきて、狂ったようにぐるぐる輪を描いていた。；わたくしの素材であった物質はすべて空間の中をぐるぐる回転する地球にあった。；生理状態は殆んど苦にする暇のない位、一つ事をぐるぐる回って考えた。；あのわけのわからないものたちは僕を僕を僕のなかでぐるぐると廻転さす。；皿の形をした銀河は、皿をまわすように、ぐるぐるまわっているのです。；すると青年は、室の中をぐるぐる、いつまでも同じように歩き続けている。；王女は怒りのあまり腕をふりながら、部屋の中をぐるぐると歩きまわった。；だが、気持ちがぐるぐるするばかりで、うまく、言葉になってくれない。；私の夢はいつもそうした灯の周りに暈となってぐるぐると廻るのです。；彼は室の中をぐるぐる歩き廻りながら、我を忘れかけることが多かった。；わたしは台所の中を、一時間もつづけて、ぐるぐると飛びまわりました。；乗っていた代助は、二重の頭がぐるぐる回転するほど、風に吹かれた。；それは地球が地軸を中心に回転していくにつれてぐるぐる回っていた。；白い繃帯をぐるぐるまきつけた額の下の眼が、じっと彼を凝視めている。；寒さと不安に、目の前がぐるぐる回り、歩きながら何度も気が遠くなった。；なお見ているとこれが次第に大きくなって突然ぐるぐると廻り出す。；彼はぐるぐるまあるく部屋を飛び廻り夫人と隠れん坊をして遊びました。</t>
        </is>
      </c>
      <c r="J2440">
        <f>HYPERLINK("https://www.weblio.jp/content/ぐるぐる", "词义详情")</f>
        <v/>
      </c>
      <c r="K2440">
        <f>HYPERLINK("https://yourei.jp/ぐるぐる", "查看例句")</f>
        <v/>
      </c>
    </row>
    <row r="2441">
      <c r="A2441" t="inlineStr">
        <is>
          <t>苦しい</t>
        </is>
      </c>
      <c r="B2441" t="inlineStr">
        <is>
          <t>成功</t>
        </is>
      </c>
      <c r="C2441" t="inlineStr">
        <is>
          <t>読み方：くるしい
［形］［文］くる・し［シク］
１痛みや圧迫感で、肉体的にがまんができない。「激しいせきこみで息が—・い」「満員の乗客に押されて胸が—・い」
２悩み・せつなさ・悲しさ・後悔などで、心が痛んでつらい。「—・い胸のうち」「—・い試練に耐える」
３物や金銭のやりくりが思うようにならない。「—・い家計」
４無理を承知で、ある事をするさま。こじつけるさま。「ずいぶん—・い言い訳だ」
５（多く否定の形で）差し支えがある。都合が悪い。
「切捨てても—・くない奴だ」〈円朝・怪談牡丹灯籠〉
６（多く「ぐるしい」の形で、動詞の連用形に付いて）快くない、しにくいなどの意を表す。「見—・い振る舞い」「聞き—・い話」
７不愉快になりおもしろくない。見ぐるしい。聞きぐるしい。
「前栽の草木まで心のままならず作りなせるは、見る目も—・く」〈徒然・一〇〉
[派生]くるしがる［動ラ五］くるしげ［形動］くるしさ［名］
[用法]くるしい・つらい——「せきがひどく、息をするのも苦しい（つらい）」「仕事が苦しい（つらい）」のように相通じて用いられる。◇「くるしい」は一般的な苦痛の状況を、「つらい」は精神的苦痛について用いることが多い。「苦しい立場」は動くに動けない状況を、「つらい立場」は困っている精神状況を表すのに重点がある。「家計が苦しい」とはいうが、「家計がつらい」とは普通は言わない。◇類似の語に「せつない」がある。「せつない」は、悲しさや恋しさなどのために、胸がしめつけられるような思いを表し、「せつないほどの愛情」「せつない胸の内」のように用いる。◇「病に苦しむ人の姿を見るのはつらい」は「苦しい」とはいわないが、「せつない」と置き換えることはできる。</t>
        </is>
      </c>
      <c r="D2441" t="inlineStr">
        <is>
          <t>苦しい思い(3%)；苦しいもの(3%)；苦しい生活(3%)；苦しい立場(2%)；苦しい戦い</t>
        </is>
      </c>
      <c r="E2441" t="inlineStr">
        <is>
          <t>困難；複雑；大変；難しい；悲しい</t>
        </is>
      </c>
      <c r="F2441" t="inlineStr">
        <is>
          <t>苦しい展開；こんな苦しい；非常に苦しい；どんなに苦しい；苦しい状態</t>
        </is>
      </c>
      <c r="G2441" t="inlineStr">
        <is>
          <t>苦しいい；苦しいいく；苦しいッ</t>
        </is>
      </c>
      <c r="H2441" t="n">
        <v>29</v>
      </c>
      <c r="I2441" t="inlineStr">
        <is>
          <t>野枝はこの数日来の神経の疲れが一時に出て起きているのも苦しかった。；私は自分で苦しくてならないのですけれど、そうなるわけがあるのです。；反対にお台所のほうは日一日と苦しくなってゆくことが仕方なかった。；彼はその場になって、かすかにでもそう感ぜねばならぬのが苦しかった。；しかし生活が苦しく、父から声優の仕事を紹介され、現在に至っている。；あのままになりましては私の責任になりますことと苦しく思っておりました。；その暮らしは決して裕福なものではなく、どちらかというと苦しかった。；苦しかったとか、学校へ行きたかったとか、そんなことは何も言わない。；苦しかったとか、学校へ行きたかったとか、そんなことは何もいわない。；少しだけ、彼のことが兄のように感じられたことを思えば苦しかった。；ここまで来ると、心臓が口の外へ出てしまうかと思うほど苦しかった。；胸のどこかが引きはがされるような感じが苦しくしめつけるのであった。；歩くだけで苦しかったのに、羽が生えたように身体が軽く感じられました。；お高は、行く気のないところへ、そういってこられるのが、苦しかった。；担当裁判の多くで勝訴する優秀な弁護士であったが生活はなお苦しかった。；午後七時になって、急に苦しくなって、やりかけていた実験を中止した。；私はいきが切れて苦しかったが、好都合な電車を捕えたことで満足した。；そしてその時心にも無い嘘を云わなければならないことが苦しかった。；兄弟がまたいっしょになっても非難するのを玉鬘夫人は苦しく思った。；次いでウトゥムノの攻城戦にかかったがこれは長く苦しいものであった。；この長いひとうねがレーヴィンにはことに苦しかったように思われた。；今は何もかもが苦しくて、確信を持って話せる言葉は何もなかったのだ。；ただ、受け入れた途端、あれだけ苦しかった体が嘘のように楽になった。；胸のあたりが、苛立ちに似たわけのわからない感情で、今も苦しかった。；一分たりとも教師の話を聞きもらすことのできない毎日が苦しかった。；やがてやっと眼を開きましたが、呼吸が苦しく、口もきけませんでした。；出席した三百人が苦しかった時代の思い出話を、それぞれの胸に刻んだ。；この期間中、そしてその後も、大石の立場は非常に苦しかったのである。；お店の経営が苦しかった頃、浦越さんのお世話になったことがあります。</t>
        </is>
      </c>
      <c r="J2441">
        <f>HYPERLINK("https://www.weblio.jp/content/苦しい", "词义详情")</f>
        <v/>
      </c>
      <c r="K2441">
        <f>HYPERLINK("https://yourei.jp/苦しい", "查看例句")</f>
        <v/>
      </c>
    </row>
    <row r="2442">
      <c r="A2442" t="inlineStr">
        <is>
          <t>苦しむ</t>
        </is>
      </c>
      <c r="B2442" t="inlineStr">
        <is>
          <t>成功</t>
        </is>
      </c>
      <c r="C2442" t="inlineStr">
        <is>
          <t>読み方：くるしむ
［動マ五（四）］
１からだに痛みや苦しみを感じる。「病気に—・む」
２心につらく思う。思い悩む。「恋に—・む」「貧乏で生活に—・む」
３思うような処理方法が見つからず困る。窮する。「理解に—・む」「判断に—・む」
４力を尽くして物事を行う。骨折る。苦労する。「—・んだ甲斐(かい)がある」
［動マ下二］「くるしめる」の文語形。</t>
        </is>
      </c>
      <c r="D2442" t="inlineStr">
        <is>
          <t>苦しむだろ；苦しむ活字中毒者地獄；苦しむだら；苦しむところです</t>
        </is>
      </c>
      <c r="E2442" t="inlineStr">
        <is>
          <t>受ける；食う；苦悩；痛む；被る</t>
        </is>
      </c>
      <c r="F2442" t="inlineStr">
        <is>
          <t>悩み苦しむ；もだえ苦しむ；悶え苦しむ；悶え苦しむ；こんなに苦しむ</t>
        </is>
      </c>
      <c r="H2442" t="n">
        <v>29</v>
      </c>
      <c r="I2442" t="inlineStr">
        <is>
          <t>幼い頃の記録は不明確であるが、父親に理解されず苦しんだようである。；病気で苦しむ人に薬を与えると言っておきながら与えなかった者が落ちる。；十両には落ちなかったがこれら2度の負傷には最後まで苦しむ事になった。；それでも彼への気持ちを捨てられずに、待ち続け苦しむ日々が続いていた。；晩年は目がほとんど見えず、歯も無く、関節炎に苦しんでいたとのこと。；父の勧めで法学を学ぶが、自分の性質と合わない学問に非常に苦しんだ。；数千の負傷した北軍兵が食料や水あるいは医療介護もなく苦しんでいた。；ケボキアンは自殺装置の使用を病気で苦しんでいる者に限定している。；これはギーガーにとってはまったく理解に苦しむ出来事であったという。；実際に金は苦しんでいたが、それ以上に南宋軍の弱体化が顕著であった。；しかし、そんな彼らも本当は自分と同様に悩んだり苦しんだりしていた。；妖精の妻を連れて城に戻った若者だが、二人を迎えた母は嫉妬に苦しんだ。；しかし皮肉にもこの年は多くのライダーが怪我に苦しんだシーズンであった。；晩年は飲料水を得られず苦しんでいる人々の人権問題に取り組んでいた。；格太郎が密閉された長持の中で苦しんでいる内に、おせいが帰ってくる。；南軍の南西と中央の攻撃部隊も連絡が行き届かず命令を誤解して苦しんだ。；ある修道女が庭仕事中に蜂に刺され、痛みに苦しんでいると騒ぎになる。；ある時アングリマーラが托鉢していると難産で苦しんでいる女性がいた。；単純ながら、最初は意外なほど言葉を思いつかず、苦しむかもしれない。；そこで少しでも苦しんでいる人達のために自分達が力になれたらと思いました。；彼女はここで病に倒れ、この後生涯を通して病気に苦しむことになる。；イギリス艦隊の乗組員は経験が十分ではなく湾の中での風の扱いに苦しんでいた。；この裏には以前から苦しんでいた背中の痛みの問題があった。；ツタンカーメンは多くの疾患に苦しんでいた可能性が示唆されている。；他球団のマークが厳しくなり、内角の速球に苦しんだのが原因であった。；普段は簡単にできるのに遭難時にはそれができないので人々は苦しむことになる。；死因は脳卒中であったらしいが、苦しんだ形跡は見られなかったという。；前領主の有馬家のために起こった一揆の余波に苦しんだとされている。；多くの家族が栄養不良や飢えに苦しんでいた当時にこれは難しい選択だった。</t>
        </is>
      </c>
      <c r="J2442">
        <f>HYPERLINK("https://www.weblio.jp/content/苦しむ", "词义详情")</f>
        <v/>
      </c>
      <c r="K2442">
        <f>HYPERLINK("https://yourei.jp/苦しむ", "查看例句")</f>
        <v/>
      </c>
    </row>
    <row r="2443">
      <c r="A2443" t="inlineStr">
        <is>
          <t>苦しめる</t>
        </is>
      </c>
      <c r="B2443" t="inlineStr">
        <is>
          <t>成功</t>
        </is>
      </c>
      <c r="C2443" t="inlineStr">
        <is>
          <t>読み方：くるしめる
［動マ下一］［文］くるし・む［マ下二］
１からだに苦痛を与える。「持病に—・められる」
２心に苦痛を与える。「無茶をして親を—・める」
３困らせる。閉口させる。「質問責めにして講師を—・める」</t>
        </is>
      </c>
      <c r="D2443" t="inlineStr">
        <is>
          <t>苦しめるためなら</t>
        </is>
      </c>
      <c r="E2443" t="inlineStr">
        <is>
          <t>傷つける；責める；悩ます；いたぶる；苛める</t>
        </is>
      </c>
      <c r="F2443" t="inlineStr">
        <is>
          <t>ひどく苦しめる；そんなに苦しめる；長く苦しめる；これ以上苦しめる</t>
        </is>
      </c>
      <c r="H2443" t="n">
        <v>29</v>
      </c>
      <c r="I2443" t="inlineStr">
        <is>
          <t>これを身に付けて死ぬものは誰でも永遠の炎で苦しめられることはない。；あなたの子供の存在は、どこをどうまわりまわっても彼を苦しめるだけ。；神を苦しめるほどの痛みを前に、人の身で欺瞞を続けられるはずがない。；こうした悲しみをここに描いて、読者の心を苦しめるのはやめにしよう!；あなたの心を苦しめるその愛を、私の腕の中で涸らしておしまいなさい。；しかし一週間もすると様々な問題がミュージシャンたちを苦しめ始める。；私はいったい、何のために彼をそのように苦しめることをしたのでしょう?；そして、その後二年にもわたって俺を苦しめることになる言葉を選択した。；第二に吉田を苦しめるのはこの不安には手段があると思うことだった。；俺の方が怜悧になると、お前は涙といふ武器で俺を苦しめるんだからな。；が、一日一日とかさんで行く費用が、家族の頭を苦しめる問題であった。；あなたの子供の存在は、どこをどうまわりまわっても彼を苦しめるだけだ。；まことに我々は、いかに多くの苦しめる心を我々の周囲に感ずるだろう。；この先きお父さんを苦しめるやうなことは決してしないでせうから!；大きな翼で強風を生じさせては家屋などを破壊し、人々を苦しめていた。；でもあのひとには、いつまでもわたしを苦しめることが必要なのだわ。；次の世紀には再建されたが、コルドリエ会の革命の運命に苦しめられた。；だが、恭介の勝手な行動で、彼女を苦しめるわけにはいかないと思った。；何か理由があって、自分を苦しめるために、心にもないことを言っている。；僕が発見した事実というのは、その男を苦しめると同時に僕を苦しめる。；自分を苦しめるだけでは足りず、この上何をしようとするのだろう。；一方で、その当時は年に4回ほど尻の猛烈な痒みに苦しめられてもいた。；もし、神がいると言うのなら、どうして、自分をこんなに苦しめるのか?；好きなために、わざと相手を苦しめるってことが、きみにはわかるかい?；人を苦しめるために人間も色んなことをするだろうけど、自殺はしないね。；人を苦しめるために人間も色んなことをするだらうけど、自殺はしないね。；斉家文化は、末期には西から東へと縮小し、人口の減少に苦しめられた。；それを確実にしても、一層、その幸うすそうな妻を苦しめるだけだろう。；やさしい心を苦しめる原因には、この二つの事情のほかにはないはずです。</t>
        </is>
      </c>
      <c r="J2443">
        <f>HYPERLINK("https://www.weblio.jp/content/苦しめる", "词义详情")</f>
        <v/>
      </c>
      <c r="K2443">
        <f>HYPERLINK("https://yourei.jp/苦しめる", "查看例句")</f>
        <v/>
      </c>
    </row>
    <row r="2444">
      <c r="A2444" t="inlineStr">
        <is>
          <t>車</t>
        </is>
      </c>
      <c r="B2444" t="inlineStr">
        <is>
          <t>成功</t>
        </is>
      </c>
      <c r="C2444" t="inlineStr">
        <is>
          <t>読み方：くるま
１軸を中心にして回転する仕組みの輪。車輪。
２車輪を回転させて進むようにしたものの総称。自動車・自転車・荷車など。特に、現在では自動車を、明治・大正時代では人力車を、中古・中世では牛車(ぎっしゃ)をさすことが多い。「—で駆けつける」
「三中は茶屋より人力車(くるま)雇いて今戸の家に帰りしが」〈荷風・かたおもひ〉
３紋所の名。車輪をかたどったもの。源氏車など。
[補説]2で人力車の場合には「俥」とも書く。「俥」は国字。
[下接語] （ぐるま）空き車・網代(あじろ)車・遊び車・雨(あま)車・石車・出(いだし)車・糸繰り車・井戸車・牛車・乳母(うば)車・扇車・抱え車・風(かざ)車・肩車・空(から)車・唐(から)車・鎖車・口車・源氏車・腰車・御所車・三泣き車・地車・調べ車・滑り車・外車・大八車・手繰(たぐ)り車・段車・辻(つじ)車・土車・綱車・爪(つめ)車・手車・砥石(といし)車・戸車・荷車・猫車・歯車・箱車・半蔀(はじとみ)車・弾み車・八丁車・鳩(はと)車・花車・羽根車・膝(ひざ)車・引っ越し車・文(ふ)車・踏み車・風流(ふりゅう)車・ベルト車・摩擦車・水車・矢車・宿車・横車・ロープ車・綿繰り車</t>
        </is>
      </c>
      <c r="D2444" t="inlineStr">
        <is>
          <t>車端部；車室；車高；車籍；車重</t>
        </is>
      </c>
      <c r="E2444" t="inlineStr">
        <is>
          <t>車両；自動車；輪；環；車輪</t>
        </is>
      </c>
      <c r="F2444" t="inlineStr">
        <is>
          <t>救急車；本車；グリーン車；車端；専用車</t>
        </is>
      </c>
      <c r="G2444" t="inlineStr">
        <is>
          <t>車体；車内；車輪；車種；車線</t>
        </is>
      </c>
      <c r="H2444" t="n">
        <v>29</v>
      </c>
      <c r="I2444" t="inlineStr">
        <is>
          <t>中古車市場では、極端な多走行車であっても取引が行われる事例がある。；また1次車で窓かまちに取り付けられていた小形テーブルは廃止された。；なお、グリーン車の連結していない区間を含めて発行することができる。；さらには、新製車ばかりでなく旧形車の更新改造で改装する例も見られた。；機関車では、牽引性能を発揮するためにある程度の軸重を必要としている。；奇数番号車のドアは品川方に向かって開き、偶数番号車はこの逆に開く。；主に国内農業で使用されるピックアップトラックや多目的車が製造されている。；客室部の側窓は209系各区分と同様、車端部を除き固定窓を用いた。；所有するコンテナや機関車に使用しており、こちらも商標登録されている。；最高時速は58キロメートルであり、これは後の機関車の基準となった。；入線可能な列車は基本的に20 m級車では6両編成までに制限される。；書籍やテレビ等で、この車を購入したことに触れていることが多い。；なおズームカーの運用は繁忙期には通常の21m車での運用に変更される。；船や車も用いられず、甲冑を着て戦う事もないと、戦乱の無い世界を描く。；側窓は車端部は固定窓、それ以外の2連窓は開閉可能な下降窓である。；また、1941年に一時廃止されていた三等寝台車が1956年に復活。；これは3扉化工事とは別件で実施されたため、2扉車にも施工されていた。；機関車は蒸気機関車風の外装になっているが、ディーゼル機関車である。；かつては3ドア車も在籍していたが、現在はすべて廃車されている。；東洋車・日立車の最終的な製造数および内容は下記の通りである。；なお、転換クロスシートは本形式の後継車である2100形で採用された。；二輪車においては、1980年以前には大排気量車にも搭載されていた。；この時点での大井町線の冷房車は全23編成中わずか2編成であった。；機関車により推進して運転する時に用いるための運転台を備えている車両もある。；近代的な交通機関として鉄道が実用化された当初から用いられてきた機関車である。；このような機関砲装備の対空戦車の存在意義を疑問視する意見もある。；直流専用車または交流専用車を使用することができるが、地上設備が複雑になる。；エタノールとガソリンの混合燃料に対応した車の販売も増加している。；初期の半鋼製車では窓の高さが客車や従来の電車よりも若干高い位置とされた。</t>
        </is>
      </c>
      <c r="J2444">
        <f>HYPERLINK("https://www.weblio.jp/content/車", "词义详情")</f>
        <v/>
      </c>
      <c r="K2444">
        <f>HYPERLINK("https://yourei.jp/車", "查看例句")</f>
        <v/>
      </c>
    </row>
    <row r="2445">
      <c r="A2445" t="inlineStr">
        <is>
          <t>くるむ</t>
        </is>
      </c>
      <c r="B2445" t="inlineStr">
        <is>
          <t>成功</t>
        </is>
      </c>
      <c r="C2445" t="inlineStr">
        <is>
          <t>読み方：くるむ
［動マ五（四）］巻くようにして物をつつむ。「書類を風呂敷で—・む」
→包(つつ)む［用法］
[可能]くるめる
［動マ下二］「くるめる」の文語形。</t>
        </is>
      </c>
      <c r="D2445" t="inlineStr">
        <is>
          <t>覆う；包む；カバーする；包み込む；被せる</t>
        </is>
      </c>
      <c r="H2445" t="n">
        <v>29</v>
      </c>
      <c r="I2445" t="inlineStr">
        <is>
          <t>彼は相手の女を布にくるんで、顔や胸などすっかり見えなくさせました。；何かくるむものを持ってくればよかった、とそのときになって気づいた。；もっと男そのものを吹きくるんでしまう花粉のようなものが匂い立った。；くるまは前に山代と一緒に走った同じ海岸の道を、こんどは逆に走った。；くるまはいつか洗濯板のようになっている道を、八〇キロで走っている。；無雪期なら今は秋山郷であれどこであれ、くるまがどんどん入ってゆく。；なるほど半分開かれている窓から夜気がくるまの内部へ流れ込んでいた。；ああいう男がそばにいると、まったく気分までが悪くなってくるんだ。；やがて刑事が二人のあいだを引きはなすと細木原君はくるまのなかへ。；男の人が馬にのり、女の人が、くるまを走らせることになっていました。；くるまは初め舗装のない道路を走って行くが、そのうちに半舗装になる。；くるまは父と娘を乗せて、漸く秋の気の流れ始めた東京の街を走った。；一人の女が、毛布にくるんだものを持って、彼らの方に駆け寄ってきた。；人の動きもくるまの群れも見えず、薄汚れた建物の側面だけが見えている。；村に転居してきた人間が、祭り囃子に浮かれて様子を見に出てくるんだ。；その世界では、本当に誰もがきみの言う〝くるま〟を操り道をゆくのか?；そう、ここが安全な家の中じゃないって事が より興奮してくるんだ。；裸のアンナを布団にくるむと、ママは部長に呼ばれて部屋を出ていった。；彼女はバスタオルに身をくるんで、ベッドの端にしばらく腰掛けていた。；くるまは、二つの山の間には入って行かないで右手に折れたのである。；それが、ここにくるまえにわたしがおぼえている最後の記憶だった。；東京のくるまの数は、三年前とはかなり大きい違いがある筈であった。；どこか遠くの方でくるまの音はしていたが、ひどく静かであった。；架山は二人の乗組員に礼を言って、近くに待っていたくるまに乗った。；一枚取り出してそれに猫の死体を入れ、そっとくるんで後部座席に置いた。；それに、ばかな学生どもを相手にし、研究の金もなしとくるんだからね。；この場合も招待所を出ると、くるまのところまで行くのが大変である。；彼女は少年をガリオンのお古の長衣でそっとくるんでいる最中だった。；架山はくるまのところで、案内者が堂から出て来るのを待っていた。</t>
        </is>
      </c>
      <c r="J2445">
        <f>HYPERLINK("https://www.weblio.jp/content/くるむ", "词义详情")</f>
        <v/>
      </c>
      <c r="K2445">
        <f>HYPERLINK("https://yourei.jp/くるむ", "查看例句")</f>
        <v/>
      </c>
    </row>
    <row r="2446">
      <c r="A2446" t="inlineStr">
        <is>
          <t>暮れ</t>
        </is>
      </c>
      <c r="B2446" t="inlineStr">
        <is>
          <t>成功</t>
        </is>
      </c>
      <c r="C2446" t="inlineStr">
        <is>
          <t>読み方：くれ
１太陽が沈むころ。夕暮れ。また、日の暮れること。「日の—が早まる」⇔明け。
２ある期間、特に季節の終わり。「秋の—」
３年の終わり。年末。歳末。「—も押し詰まりまして」《季冬》</t>
        </is>
      </c>
      <c r="D2446" t="inlineStr">
        <is>
          <t>暮れかけ(3%)；暮れかかる；暮れなずむ；暮れ方；暮れてしまう</t>
        </is>
      </c>
      <c r="E2446" t="inlineStr">
        <is>
          <t>夕方；夕；夕刻；年末；夕暮れ</t>
        </is>
      </c>
      <c r="F2446" t="inlineStr">
        <is>
          <t>同年暮れ；暮れたら；暮れ六ツ；暮れかかり；暮れはじめ</t>
        </is>
      </c>
      <c r="G2446" t="inlineStr">
        <is>
          <t>暮れよ；暮れれ；暮れ残る；暮れ易い；暮れん</t>
        </is>
      </c>
      <c r="H2446" t="n">
        <v>29</v>
      </c>
      <c r="I2446" t="inlineStr">
        <is>
          <t>事が判明したときにはすでに日も暮れて、捕まえることができなかった。；痩せこけた静かな姿が、暮れゆく闇の中でゆっくりと消えていきました。；勿論日が暮れてから、厩橋向うの本宅を抜けて来る事も稀ではなかった。；暮れの有馬記念では通常の蹄鉄を装着して出走することが可能となった。；再び4回目の試験を合格し、競走生活晩年の6歳を暮れまで走り切った。；百日ほどすると、毛羽が生えて、朝に飛んで行っては暮れに帰って来た。；そのあとは暮れの桐花賞へ向かったが、雪の影響でレースが中止となった。；ドロシーは悲しみに暮れ、人形を本当の子供であると信じていたのだ。；そこへ主人が酒樽を持って慰労に来て、日が暮れたら戻れと言って帰る。；ブランドは彼女に愛着を抱き、彼女が去ったときには悲しみに暮れた。；同年暮れには、その年誕生したばかりのCROSSから作品を出している。；日が暮れて峠道にさしかかった時に五六人の山賊があらわれて道を塞いだ。；仕事の手につかぬ一日が暮れて、 何に疲れたとも知れぬ疲がある。；我々とともにある死者はその弱弱しい手を挙げて暮れ行く彼方を示した。；このままでは納期に間に合わない恐れがあり、娘も両親も悲嘆に暮れた。；教え子の浜野は師の訃報で悲しみに暮れながらも、台湾での事業を継続。；勧告を回避するには大金が必要なことを知った二人は途方に暮れてしまう。；イルマリネンは娘を要求するが、娘が拒否、彼は悲嘆に暮れて帰国する。；スキーが静かに滑って、賽の河原にきたころ日はようやく暮れて行った。；この時期の小説『山の暮れに』も骨壷作りの男が主人公の物語である。；馬も騎手もこの春のグランドジャンプと暮れの大障害のタイトルを目指す。；宅配の仕事もできず途方に暮れているキキを突然ウルスラが訪ねてくる。；男も嵐でキャラバンを守る護衛を失い途方に暮れていた所であった。；途方に暮れたサミアは、夜になってもアブラの店の前で座り込んでいた。；佐藤はその経緯を「戦いすんで日が暮れて」に書いて直木賞を受賞した。；日が暮れても両者の勝敗はつかず、寄せ手はそれぞれの陣営に退却した。；橘がトラックに着いた頃にはすっかり日が暮れてしまっていた。；一家は悲しみに暮れ、レイチェルはゲージを連れて実家に帰ることにした。；日が暮れ始めて、完全に日が見えなくなるまでの時間帯を夕方と呼ぶことが多い。</t>
        </is>
      </c>
      <c r="J2446">
        <f>HYPERLINK("https://www.weblio.jp/content/暮れ", "词义详情")</f>
        <v/>
      </c>
      <c r="K2446">
        <f>HYPERLINK("https://yourei.jp/暮れ", "查看例句")</f>
        <v/>
      </c>
    </row>
    <row r="2447">
      <c r="A2447" t="inlineStr">
        <is>
          <t>くれぐれも</t>
        </is>
      </c>
      <c r="B2447" t="inlineStr">
        <is>
          <t>成功</t>
        </is>
      </c>
      <c r="C2447" t="inlineStr">
        <is>
          <t>読み方：くれぐれも
［副］
１何度も心をこめて依頼・懇願したり、忠告したりするさま。「—お大事に」
２何度考えても。かえすがえす。
「—嬉しきものにかの時の訓戒を記して」〈露伴・いさなとり〉</t>
        </is>
      </c>
      <c r="D2447" t="inlineStr">
        <is>
          <t>くれぐれもよろしく(8%)；くれぐれも頼ん(2%)；くれぐれも御；くれぐれも気をつける；くれぐれも忘れ</t>
        </is>
      </c>
      <c r="E2447" t="inlineStr">
        <is>
          <t>どうか；どうぞ；是非；願わくは；何とぞ</t>
        </is>
      </c>
      <c r="F2447" t="inlineStr">
        <is>
          <t>くれぐれも頼ま；くれぐれも言い含め；くれぐれも心して；くれぐれも宜しく；くれぐれもお頼み</t>
        </is>
      </c>
      <c r="H2447" t="n">
        <v>29</v>
      </c>
      <c r="I2447" t="inlineStr">
        <is>
          <t>くれぐれもわたくしに会うまで、何も行動しないように言ってください。；くれぐれもこの金をお前の農家に送る父さんの心を忘れないでください。；あなたは大切な存在なのですから、くれぐれもそのことを忘れないように。；わざわざああやつて訪ねて來て、くれぐれも頼んで行つたんですから。；くれぐれも、お屋敷のほかのところを歩き回ったりしないでくださいね。；「わしもくれぐれも意見したいと言っていたと言うがよい」 と言う。；しかしくれぐれも気をつけなくてはいけない、警戒を怠ってはいけないよ。；息子のことをお頼みしますと、くれぐれも云って帰りましたそうです。；しかし、山を占拠するのが任務であるとくれぐれも言われて来たのであろう。；一生に一度ぎりだぞと、くれぐれも念を押して言い残されたことがある。；ただし、くれぐれも言っておくが、一切危険はないとわかってからだ。；わたしからランジーに、くれぐれもよろしくと伝えていただけませんか?；第五、われわれとおなじ階級出の女はくれぐれも愛してはならぬこと。；それよりおまえたちふたり、道中くれぐれも気をつけて行くようにな。；是非貴方にさし上げてくれと親爺がくれぐれも申しおいた事なんですから。；この点は、誤解のないようにくれぐれも注意しなければならない。；これは私の意見でございまして、くれぐれも繰り返して申し上げます。；僕が幸福を祈ると、くれぐれも幸福を祈ると、彼は黙って僕の手を握った。；あなたの希望を話しあう相手にさえも、くれぐれも注意することが必要です。；ついては私の名前を口にされないように、くれぐれもお願いしますよ。；新聞やTVはどうにでもなりますが、くれぐれも週刊誌にはご注意を!；決して隠して置いてはならないと、くれぐれも云い聞かせて帰った。；くれぐれも、国の大事とは無関係な、生きている価値のない男になどなるな。；おれに会いに帰ってくる時を選ぶにあたっては、くれぐれも気をつけてほしい。；人は放っておくと花見百姓になってしまうものだからくれぐれも注意しなくてはならない。；けれど僕はあの男の面倒を見るようにと、纓子からくれぐれも頼まれたのだ。；まあその辺のことを、くれぐれも注意して置いてもらひたいと言つてをられるのだ。；さりながら強いてというわけではないと、くれぐれも申し含められました。；くれぐれも言っておくが、心にもない返事は、この場合ぜひやらないでくれ。</t>
        </is>
      </c>
      <c r="J2447">
        <f>HYPERLINK("https://www.weblio.jp/content/くれぐれも", "词义详情")</f>
        <v/>
      </c>
      <c r="K2447">
        <f>HYPERLINK("https://yourei.jp/くれぐれも", "查看例句")</f>
        <v/>
      </c>
    </row>
    <row r="2448">
      <c r="A2448" t="inlineStr">
        <is>
          <t>くれる</t>
        </is>
      </c>
      <c r="B2448" t="inlineStr">
        <is>
          <t>成功</t>
        </is>
      </c>
      <c r="C2448" t="inlineStr">
        <is>
          <t>読み方：くれる
［動ラ下一］［文］く・る［ラ下二］
１人が自分に、または自分の側の者にものを与える。「いつも姉が小遣いを—・れる」「友達が妹に花を—・れた」
２自分が相手にものを与える。また、相手に対してある行為をしたり、加えたりする。相手を与え手より低い者として卑しめる気持ちを込めた言い方で、「くれてやる」の形になることも多い。「鳥にえさを—・れる」「盆栽に水を—・れる」「平手打ちを—・れてやる」
３（補助動詞）動詞の連用形に接続助詞「て」を添えた形に付く。
㋐人が自分に、または自分の側の者に対して何かをすることを表す。「手伝って—・れる」「秘密にしておいて—・れ」「母がセーターを編んで—・れる」
㋑こちらが、相手に不利益になるようなことを与えることを表す。「痛い目にあわせて—・れるぞ」
[補説] （1）対等の間柄か、または目下の関係にある人に対して用いる。目上の人に対したり、尊敬の意を表す場合は「くださる」を用いる。（2）下一段活用であるが、命令形は「くれ」を用いるのが一般的。（3）3㋐は、その行為が好意的、恩恵的になされる場合が多いが、「とんでもないことをしてくれたなあ」のように、その行為を受ける側が被害をこうむったり、不利益になるときにも用いることがある。</t>
        </is>
      </c>
      <c r="D2448" t="inlineStr">
        <is>
          <t>くれるだろ(5%)；くれるなら；くれるかもしれ；くれるでしょ；くれるんです</t>
        </is>
      </c>
      <c r="E2448" t="inlineStr">
        <is>
          <t>与える；上げる；提供する；送る；授与</t>
        </is>
      </c>
      <c r="F2448" t="inlineStr">
        <is>
          <t>来てくれる；教えてくれる；やってくれる；言ってくれる；助けてくれる</t>
        </is>
      </c>
      <c r="H2448" t="n">
        <v>29</v>
      </c>
      <c r="I2448" t="inlineStr">
        <is>
          <t>眠っている相手を棒で触ると、棒を持っている人の命令を聞いてくれる。；それから僕に黙っていてくれろって頼んだ事も皆新聞へ出してやります。；この邸宅はミス・ハワードとその友人たちが用意してくれたものだった。；やがて肉体は女性でも自身を男性として愛してくれる女性と同棲に至る。；しかし文字の起源を考える上では重要な情報をもたらしてくれることもある。；紙に書いた手紙や荷物などを、指定した相手のもとまで運んでくれる。；変わった事をやらなければならないという思考から解放してくれたという。；キミは、とにかく反対なら反対のようにちゃんと言うてくれるからいい。；神がもう一度跳ぶ機会を与えてくれた今大会で競技生活を終わりたい。；ファンの人たちが僕の決断を理解し、尊重してくれることを望んでいる。；この淑女の姿を彼が見てくれたら、きっときれいだと言ってくださるわ!；私の人相を見ることが出来るだろうから見てくれろと、こう言うのです。；彼は兵士や民衆が自発的に自分の大義に従ってくれると思い込んでいた。；最後も後ろからダンスインザムードが来たとき、もう一度伸びてくれた。；一方同時に多くの地方人が、料理をしてくれる家族を残してパリに集まった。；その上、僕の詩の鍵を握った連中は、概して僕を外界から守ってくれた。；どちらかと言うと、みんなが来てくれる感じになっていったんです。；おれの心を本当に判ってくれるのが、この世の中に何人いるだろうか?；ぼくはどうしても八っちゃんに足らない碁石をくれろといいたくなった。；使徒は自動で戦ってくれるが、悪魔くんが行動を命令することもできる。；二時ごろまで寝てて、奥さんが全部ちゃんとやってくれるんだから。；突然一人の僧が現れ、手に持っていた梨の実を私に与えて食べさせてくれた。；日本でプレーしただけあって日本人の気持ちを理解してくれる。；日本のファンに最後のKO勝ちを捧げたいと思ってるから待っていてくれ!；暁さんは私の役者道にいつもいてくれて、必ず助けてくれる神様だった。；商品の販売者の側から見れば、自動で販売を行ってくれる機械である。；保証が切れても有償で修理や交換に応じてくれるメーカーや代理店もある。；ストーリーモードの登場キャラクターがこのモードを説明してくれる。；何か作業をしているとき、本人に代わってその作業の続きをやってくれる道具。</t>
        </is>
      </c>
      <c r="J2448">
        <f>HYPERLINK("https://www.weblio.jp/content/くれる", "词义详情")</f>
        <v/>
      </c>
      <c r="K2448">
        <f>HYPERLINK("https://yourei.jp/くれる", "查看例句")</f>
        <v/>
      </c>
    </row>
    <row r="2449">
      <c r="A2449" t="inlineStr">
        <is>
          <t>暮れる</t>
        </is>
      </c>
      <c r="B2449" t="inlineStr">
        <is>
          <t>成功</t>
        </is>
      </c>
      <c r="C2449" t="inlineStr">
        <is>
          <t>読み方：くれる
［動ラ下一］［文］く・る［ラ下二］
１（暮れる）太陽が沈んであたりが暗くなる。夜になる。「日が—・れる」⇔明ける。
２（暮れる）季節や年月が終わりに近づく。「今年も無事に—・れた」⇔明ける。
３（暮れる）同じことを繰り返しして、時が過ぎる。あけくれする。「今日も一日畑仕事で—・れた」
４悲しみなどで暗い気持ちのまま時を過ごす。「悲嘆に—・れる」「涙に—・れる毎日」
５どうしたらよいか見通しが立たず困ってしまう。思い惑う。「途方に—・れる」「思案に—・れる」
６（「目がくれる」の形で）欲望に心を奪われて正常な判断ができなくなる。「金に目が—・れる」
７激しい感情のため、目先が暗くなる。目がくらむ。
「いかにしなし奉り給はむとするにかあらむと思ふに、目—・るる心地して」〈落窪・一〉</t>
        </is>
      </c>
      <c r="D2449" t="inlineStr">
        <is>
          <t>暮れるとすぐ；暮れる間もなく；暮れると間もなく；暮れるとまもなく；暮れると一緒</t>
        </is>
      </c>
      <c r="E2449" t="inlineStr">
        <is>
          <t>終わる；終る；終える；暗くなる；打ち上げる</t>
        </is>
      </c>
      <c r="F2449" t="inlineStr">
        <is>
          <t>暮れるまえ；とっぷりと暮れる；暮れるしかない</t>
        </is>
      </c>
      <c r="H2449" t="n">
        <v>29</v>
      </c>
      <c r="I2449" t="inlineStr">
        <is>
          <t>日が暮れるまえにどんなことをしてでも、なかに入ってやろうと決めた。；日の暮れる前から何処の家でも申合わせたように雨戸を立ててしまった。；男の好みそうな料理を朝から準備のにけっこう一日は忙しく暮れるのだ。；二人がそこにいるのを許されている時間は、日が暮れるまでであった。；きわめて複雑な利害と力のからみ合いのままでこの年は暮れるであろう。；ただ早く日が暮れることだけを願いながら、彼らは黙々と進んでいった。；陽が暮れると彼女は稼ぎに出る、帰る時にはきっと札を握っていました。；二人はそこで日の暮れるのを待ったうえ、夜の八時ころに町へおりていった。；埋葬はヴォージラールの墓地で行なわれますが、日が暮れる少し前です。；女はその晩から日が暮れると必ず来て、王の許に一泊して帰って往った。；日の暮れる頃にどこへか出て行って、夜の更けた頃に帰って来たようです。；夕方に長い散歩をし、日が暮れると音楽を聴きながら一人で本を読んだ。；そのかわり日の暮れるまでこの荒れ地をすこし散歩してみたいと思います。；それから日の暮れるまで進みましたけれどどこにも人の居そうな所が見えない。；そこで、車を借りてそれを乗せ、日の暮れる頃師匠の家へ運んで来ました。；日が暮れるまでは肩を組んで踊り、酒を飲んでいたのに唐突な展開だった。；まだ暮れるに早い時刻というのに、みな酒気をおびて赤い顔をしている。；最初見たとき、それを暮れる空の色のせいだと考えていたのである。；日が暮れると、もう誰も海岸の方へ出てゆく者がありませんでした。；林を出て海岸に沿って歩き、やがて日も暮れる頃に彼はやっと里を見つけた。；女はその晩を初めとして、日が暮れると来て夜が明けると帰って往った。；悲しみに暮れるハリー、警察は何もしないことを悟り、ある決意をする。；攀り始めたら日が暮れる前にその牙の寺院とやらに到達せねばならん。；その話しぶりを聞いてゐると、左門はただ途方に暮れるばかりであつた。；日が暮れると、どこからともなく女たちが現れ、男たちの手を引いた。；悲しみに暮れるサイケだったが、突然地面が崩れて池に転落してしまう。；男はこんな場所で誰にも知られず死んでしまうのかと途方に暮れる。；一体、この数年間、わたしは何をやっていたのだろう、と途方に暮れる。；私たちは、村はずれの野原で、日の暮れるのも知らずに遊んでいました。</t>
        </is>
      </c>
      <c r="J2449">
        <f>HYPERLINK("https://www.weblio.jp/content/暮れる", "词义详情")</f>
        <v/>
      </c>
      <c r="K2449">
        <f>HYPERLINK("https://yourei.jp/暮れる", "查看例句")</f>
        <v/>
      </c>
    </row>
    <row r="2450">
      <c r="A2450" t="inlineStr">
        <is>
          <t>黒い</t>
        </is>
      </c>
      <c r="B2450" t="inlineStr">
        <is>
          <t>成功</t>
        </is>
      </c>
      <c r="C2450" t="inlineStr">
        <is>
          <t>読み方：くろい
［形］［文］くろ・し［ク］
１墨のような色をしている。「—・い色の服」
２黒みがかっている。黒に近い色である。「日に焼けて—・い顔」「冬の—・い海」
３汚れて黒ずんでいる。きたない。「—・く手あかのついた辞書」
４犯罪・不正の疑いが強い。「—・いうわさが絶えない人」
５心がよこしまである。邪悪である。「腹の—・い男」
６不吉である。「—・い死の影」
７その道に熟練している。くろうとである。
「大道売りの砂糖漬を常住(じゃうぢゅう)なめつけて居やぁがるから、言語は—・いもんだ」〈滑・浮世床・初〉
[派生]くろげ［形動］くろさ［名］
[下接語] 面(おも)黒い・真っ黒い（ぐろい）青黒い・赤黒い・浅黒い・薄黒い・か黒い・どす黒い・腹黒い</t>
        </is>
      </c>
      <c r="D2450" t="inlineStr">
        <is>
          <t>黒い影(5%)；黒い髪(2%)；黒い目；黒い服；黒い人影</t>
        </is>
      </c>
      <c r="E2450" t="inlineStr">
        <is>
          <t>邪悪；真っ暗；真っ黒；浅黒い；どす黒い</t>
        </is>
      </c>
      <c r="F2450" t="inlineStr">
        <is>
          <t>小さな黒い；黒い塊；黒い点；黒い斑点；黒いコート</t>
        </is>
      </c>
      <c r="G2450" t="inlineStr">
        <is>
          <t>黒い霧；黒い雨；黒い霧事件；黒いカーテン；黒い空</t>
        </is>
      </c>
      <c r="H2450" t="n">
        <v>29</v>
      </c>
      <c r="I2450" t="inlineStr">
        <is>
          <t>はじめて会ったその晩、彼らは恐ろしい悪魔のような黒い影に襲われる。；黒い文字で英語とアフリカーンス語の両方でメッセージが書かれている。；かつては、黄色の柱の側面に黒い文字で距離の数字を書いたものであった。；後に、水の色が黒く変色していた、異常な味がしたと主張した客もいた。；そして、彼の髪もまた黒かったかどうか、とても知りたく思うのだった。；長い黒い髪をとかしている姿が目撃されるというが、近づいてはならない。；太陽黒点とは、太陽表面を観測した時に黒い点のように見える部分のこと。；影ぶんちんで固定した影にこの液をかけると、影が黒いまま実体化する。；背が高く、細身で彼の髪と髭は彼がかなり年をとるまでずっと黒かった。；日常語ではこれらの全身が黒いカラスを通常は区別することはない。；黒染めとは髪を黒くあるいは自然な髪色に染めることのここでの言い方。；一方、黒い蛇の正体は、白い蛇を排除するべく生み出された蛇のコピー。；片方のプレイヤーは黒い石を、もう一方のプレイヤーは白い石を使う。；第一背鰭の前縁と尾鰭の後縁は黒く、胸鰭の後縁は白くなることがある。；さらにその周囲に三角形状の黒い斑紋が入り、和名の由来になっている。；メスは頭部と胸部の黒い部分に褐色を帯びて、オスは夏羽の喉部が黒い。；特有の黒い線が前足にあり、名前の由来となる先端が黒い短い尾を持つ。；夜行性のため触角が長くなっており、触角は白い部分が多く一部は黒い。；重力で黒い玉が常に眼球の下にあるので、下を向いている様に見える。；康太郎の眼はまだ黒かったが、しかしこの父はもう普通の人ではなかった。；ただし不完全な出来であるため、着物の色・肌の色が若干黒くなっている。；二本の黒い柱の外側の短い壁のように見えるものにも軟錦が貼られている。；そこでは隣町との合併を巡って政治家たちの黒い取引が渦巻いていた。；こちらは黒っぼくて背が高く、尖塔のひとつから煙がたなびいています。；しかし誕生直後は全身が黒く、白くなったのは2歳の春だったという。；この状態となったモンスターは体の色が黒くなり、能力が大幅に上昇する。；成長するにしたがって黒い帯が消え、全身が赤や褐色に変化してゆく。；試合では天気や時間帯に関係なく必ず目の下に黒いペイントをしている。；ぼくの体にしてもたいして違いはないけれども、草の色がずっと黒かった。</t>
        </is>
      </c>
      <c r="J2450">
        <f>HYPERLINK("https://www.weblio.jp/content/黒い", "词义详情")</f>
        <v/>
      </c>
      <c r="K2450">
        <f>HYPERLINK("https://yourei.jp/黒い", "查看例句")</f>
        <v/>
      </c>
    </row>
    <row r="2451">
      <c r="A2451" t="inlineStr">
        <is>
          <t>苦労</t>
        </is>
      </c>
      <c r="B2451" t="inlineStr">
        <is>
          <t>成功</t>
        </is>
      </c>
      <c r="C2451" t="inlineStr">
        <is>
          <t>読み方：くろう
［名］(スル)
１精神的、肉体的に力を尽くし、苦しい思いをすること。「—が絶えない」「—を共にする」「—の種」「—して育てた子供」
２（多く「ごくろう」の形で）人に世話をかけたり、厄介になったりすること。「ご—をかける」「ご—さま」→御苦労(ごくろう)</t>
        </is>
      </c>
      <c r="D2451" t="inlineStr">
        <is>
          <t>苦労する(7%)；苦労話；苦労してる；苦労知らず；苦労いたし</t>
        </is>
      </c>
      <c r="E2451" t="inlineStr">
        <is>
          <t>努力；戦う；尽力；苦；苦悩</t>
        </is>
      </c>
      <c r="F2451" t="inlineStr">
        <is>
          <t>大変な苦労；かなり苦労；どんな苦労；取越苦労；こんな苦労</t>
        </is>
      </c>
      <c r="G2451" t="inlineStr">
        <is>
          <t>苦労性</t>
        </is>
      </c>
      <c r="H2451" t="n">
        <v>29</v>
      </c>
      <c r="I2451" t="inlineStr">
        <is>
          <t>苦労した練習の成果で本番では誰一人失敗したレギュラーはいなかった。；そのため、デザインを考える上であまり苦労を感じたことはないという。；発売と同時に製品の確保と出荷調整に苦労するほど売れる状態となった。；また他方では、作品搬入の面倒さから来る苦労を避けたくもありますし。；部族は新たな寒さと雪の土地での生活を始めるが、苦労の連続だった。；そのために帰国後、型にはまった日本語でしか話すことができず苦労した。；限られた予算の中でこのような内装を施すのは苦労したと伝えられる。；しかし幕下に昇進してからは三段目との往復が続き苦労した時期があった。；そのため、原とコンタクトを取りたい者は非常に苦労する事が多いという。；アフリカ時代の経験や医者時代の苦労した経験が作品のあちこちに反映されている。；当時はまだ電話そのものが珍しく、加入者が集まらずに苦労した時代。；全ての苦労が報われ、夢は叶うと言い続けて実現させた瞬間であった。；イギリスで国民人気を獲得したキャロラインだが、家庭では苦労させられた。；原本人はこの評価を受けて「今までの苦労は何だったんだろう」と語っている。；しかし兎だけは、どんなに苦労しても何も採ってくることができなかった。；本来、人前に出るのが苦手でモデル初期は撮影に大変苦労したという。；他の候補は主要な訴えをムセベニのそれに匹敵させようと苦労した。；結婚生活のはじめの頃は慎吾の収入が少なかったため、生活に苦労する。；つまり、マグ一人だけが強いと特にボス戦で苦労を強いられることになる。；最初にその苦労を背負ったのは日本の皆さんで、私は敬意を払っている。；大関以上には左四つの名手が多いため、それらの力士にも苦労している。；明治世代の人の苦労を伝えるのは、自分達の世代の義務だと感じた。；やはり複座の機体からの単座への乗り換えは苦労が伴ったようである。；彼女の主な関心は絵画だったので学校でミッチェルは苦労した。；新しいデータを追加することはできなかったため、開発には非常に苦労したとのこと。；この為竹田は生涯にわたり生活資金の工面に苦労させられることになる。；実際に妻はよくできた母親で、子供のためならいかなる苦労も惜しまなかった。；ジャケットへの使用許可を得るためにこの女性を探し出すのに苦労したという。；撮影期間のうちほとんどは雨が降っているかか風が強く、非常に苦労したらしい。</t>
        </is>
      </c>
      <c r="J2451">
        <f>HYPERLINK("https://www.weblio.jp/content/苦労", "词义详情")</f>
        <v/>
      </c>
      <c r="K2451">
        <f>HYPERLINK("https://yourei.jp/苦労", "查看例句")</f>
        <v/>
      </c>
    </row>
    <row r="2452">
      <c r="A2452" t="inlineStr">
        <is>
          <t>玄人</t>
        </is>
      </c>
      <c r="B2452" t="inlineStr">
        <is>
          <t>成功</t>
        </is>
      </c>
      <c r="C2452" t="inlineStr">
        <is>
          <t>読み方：くろうと
１技芸などに熟達した人。ある一つの事を職業、専門としている人。専門家。くろと。「—と思わせる包丁さばき」⇔素人(しろうと)。
２芸者・ホステスなど、水商売の女性。くろと。⇔素人(しろうと)。</t>
        </is>
      </c>
      <c r="D2452" t="inlineStr">
        <is>
          <t>玄人はだし(8%)；玄人好み(4%)；玄人女(2%)；玄人っぽい(2%)；玄人向け</t>
        </is>
      </c>
      <c r="E2452" t="inlineStr">
        <is>
          <t>先生；師；師匠；名人；名手</t>
        </is>
      </c>
      <c r="F2452" t="inlineStr">
        <is>
          <t>いわゆる玄人；玄人裸足</t>
        </is>
      </c>
      <c r="G2452" t="inlineStr">
        <is>
          <t>玄人志向；玄人受け</t>
        </is>
      </c>
      <c r="H2452" t="n">
        <v>29</v>
      </c>
      <c r="I2452" t="inlineStr">
        <is>
          <t>相手はどこかで客をとってるような玄人女に決まってるんですからね。；結婚しても、切れずに続いてしまう玄人女の話をしているのです。；敵はおそらく、こんなことにかけてはかなり玄人っぽい人間なのだろう。；流石に玄人にこのような企てをする人が居ないのはさもあるべき事である。；御次には、玄人はだしの芸達者がたくさんいたのは、そのためであった。；劇場内部のいわゆる玄人は勿論のこと、外部の素人もみんなそう信じていた。；その前で二十四五のすっきりした玄人あがりの女が何か出して居る。；玄人というほどの経験がある訳じゃないけど、素人という訳でもない。；その点から、これは玄人でなく、素人の強盗だろうという結論になった。；あの宝石箱をこじあけるのは、私には高級な玄人の仕事のような気がします。；だけどああいうの、成功すると玄人でも案外引っかかるかも知れないわね。；そこからだんだん、「現在の玄人には無いもの」が生れて来るのも事実です。；そうした玄人の域に達するに欠けていたものを身につけられるのは獄内だけである。；それに、玄人が撮影したかと思えるほどの、見事な写真でもある。；作る次第を見ていると、玄人の技となって始めて充分な細工になることが分る。；役者には家代々の玄人があるが、俳優にはその方の才能だけでなれる。；口惜しかつたが、さきは、いつの場所でも欠かしたことのない玄人である。；お経に玄人はだしというのも可笑しいが、かなり年期の入った声である。；それはその道の玄人であるものが見せる笑い、その玄人には人が見せない笑いだった。；とくに鯉を料理らせれば藤孝ほどの者はその道の玄人にもいないといわれている。；そうでなかったら、競馬評論家という玄人は大金持になっているはずだ。；さらに「玄人がやって、今の行政や政治の状況ですから」と皮肉った。；けれども玄人は、大きな字で地図の端から端までひろがっているような名を選ぶのだ。；劇場なんかでね、玄人などから誘導的視線を受けた場合の心得だね。；玄人になりそうでならない、すれすれのところのような気がする。；玄人好みと申しましたが、もちろん初めての方にもたいへん興味が深いと存じます。；写真を見るとどちらも玄人っぽい顔の美人で、容貌はよく似ている。；そんな暇があれば玄人の教育にもっと努力せねばならぬ、という主張にもよるのであった。；たゞ、玄人と指す場合、最初の一回は、玄人は自然に指してゐるのである。</t>
        </is>
      </c>
      <c r="J2452">
        <f>HYPERLINK("https://www.weblio.jp/content/玄人", "词义详情")</f>
        <v/>
      </c>
      <c r="K2452">
        <f>HYPERLINK("https://yourei.jp/玄人", "查看例句")</f>
        <v/>
      </c>
    </row>
    <row r="2453">
      <c r="A2453" t="inlineStr">
        <is>
          <t>黒字</t>
        </is>
      </c>
      <c r="B2453" t="inlineStr">
        <is>
          <t>成功</t>
        </is>
      </c>
      <c r="C2453" t="inlineStr">
        <is>
          <t>読み方：くろじ
１黒い色で書いた文字。
２《収支決算で、収入超過額を黒で書くところから》収支決算の結果、余剰が生じること。また、その余剰金。黒。⇔赤字。</t>
        </is>
      </c>
      <c r="D2453" t="inlineStr">
        <is>
          <t>黒字化(7%)；黒字決算(2%)；黒字路線；黒字国；黒字額</t>
        </is>
      </c>
      <c r="E2453" t="inlineStr">
        <is>
          <t>繁盛</t>
        </is>
      </c>
      <c r="F2453" t="inlineStr">
        <is>
          <t>大幅な黒字；経常収支黒字；財政黒字；営業黒字；貿易黒字</t>
        </is>
      </c>
      <c r="G2453" t="inlineStr">
        <is>
          <t>黒字経営；黒字転換；黒字倒産；黒字と赤字；黒字有用論</t>
        </is>
      </c>
      <c r="H2453" t="n">
        <v>29</v>
      </c>
      <c r="I2453" t="inlineStr">
        <is>
          <t>しかも日本の貿易の黒字をだしているのは、上位三〇社くらいでしょう。；日本は韓国との貿易でいま年間三十億ドルの莫大な黒字をあげています。；レッチャーが州知事であった各年で州の黒字が少しではあるが拡大した。；現在は赤字と黒字の営業所を抱えているが安定した経営を目指している。；貞ん中には白い帯があり、それには太い黒字でカーターと書いてあった。；このため、1975年にはコンピュータ部門を黒字にすることができた。；そればかりか同盟の期間中、全体としては大幅な黒字を記録したという。；イギリス商人の記述によると、この時期の鉄道の運営は黒字であったという。；次第にトラックの利用も増加したことで、就航から半年で黒字を達成した。；まあ、前回の駅横劇場での黒字があるから、金には困っていないんだ。；そのような理由でグループ経営破綻の時点では営業黒字ではあった。；政府はアヘン政策に焦点を当て、植民地の収支予算を黒字に安定させた。；このため、日本との貿易ではモーリタニアは大幅な黒字を計上している。；銀地と黒字に左右二分割され幅の狭い金の横帯がそれを貫いている。；約10億元の黒字となり、少なくとも数字上では成功を収めた大会となった。；出てくお金を最小限に留めておけば、最初から黒字にできるわけじゃん。；通常、缶全体が暗緑色に塗られており、内容が側面に黒字で書いてある。；会社の経営は順調で、設立2年目には3500円あまりの黒字を出した。；現在の看板は黒字に赤いロブスターが象徴的なものとなっている。；これを製品化してアメリカ東海岸で売っても黒字にはなりまへん。；収益は黒字であったことが判明しているが、その正確な額を明らかにしていない。；なお、日本法人は、海外法人中では成績が良く、黒字での閉鎖となった。；日本との貿易は日本の大幅な黒字であり、日本からは機械類や自動車が主に輸出される。；これらは黒字を維持していたため、ケーブルカー廃止後も引き続き運行された。；日本人のみの経営となった最初の年度、明治9年度には大幅な黒字に転じた。；TECH CAMP事業は好調で4教室に増えた拠点も全て黒字だった。；経常収支の赤字を問題とする向きが多いが、景気が悪化しても黒字になる。；白地に黒字で「Smap」とのみ書かれたシンプルなものとなっている。；年金運用は大正世代までは子供数が4人から6人の複数で黒字化していた。</t>
        </is>
      </c>
      <c r="J2453">
        <f>HYPERLINK("https://www.weblio.jp/content/黒字", "词义详情")</f>
        <v/>
      </c>
      <c r="K2453">
        <f>HYPERLINK("https://yourei.jp/黒字", "查看例句")</f>
        <v/>
      </c>
    </row>
    <row r="2454">
      <c r="A2454" t="inlineStr">
        <is>
          <t>加える</t>
        </is>
      </c>
      <c r="B2454" t="inlineStr">
        <is>
          <t>成功</t>
        </is>
      </c>
      <c r="C2454" t="inlineStr">
        <is>
          <t>読み方：くわえる
［動ア下一］［文］くは・ふ［ハ下二］
１今まであるものに、さらに他のものを添えて合わせる。現在あるものの上に付け足す。また、そのようにして数量や度合いを増す。「だし汁を—・える」「規約に一項を—・える」「列車が速度を—・える」
２同じことをする人の集まりに含める。仲間に入れる。「一行に—・える」「役員に—・える」
３ある作用を他におよぼす。影響を与える。「危害を—・える」「一撃を—・える」「手心を—・える」「説明を—・える」
４あるものを付ける。載せる。
「それに判を—・へよ」〈今昔・三一・二四〉
[補説]室町時代以降はヤ行にも活用した。→加ゆ
[用法]くわえる・そえる——「もう一品加える（添える）」「言葉を加える（添える）」などでは相通じて用いる。◇「加える」はあるものに他のものを入れて一つにしたり、何らかの作用を他に与えたりすること。「2に3を加える」「仲間に加える」「攻撃を加える」などと用いる。◇「添える」はすでに満たされ、完成しているものに、さらに何かを付け加える意。「贈り物に手紙を添える」「舞台に花を添える」◇類似の語に「足す」がある。「足す」は、必要量が満たされるように足りないものを補い加える意。「煮物が焦げないように水を足す」などと用いる。</t>
        </is>
      </c>
      <c r="D2454" t="inlineStr">
        <is>
          <t>加えるべき；加えるべく；加える可能性；加えるよう命じ；加える飲み方</t>
        </is>
      </c>
      <c r="E2454" t="inlineStr">
        <is>
          <t>増加；与える；入れる；合計；もたらす</t>
        </is>
      </c>
      <c r="F2454" t="inlineStr">
        <is>
          <t>附け加える；加えることによって作ら</t>
        </is>
      </c>
      <c r="H2454" t="n">
        <v>29</v>
      </c>
      <c r="I2454" t="inlineStr">
        <is>
          <t>委員会から任命された建築家たちは市の本来の設計には手を加えなかった。；この場合、契約は国家間もしくはそれにメーカーを加えたケースが多い。；それまで歌だけのステージに芝居を加える舞台公演の第一号であった。；加えて前衛的なロックアーティストも芸術音楽のアルバムを発表した。；現在の地形に加えて、形成過程や内部構造も考慮して分類されている。；とにかく彼は此の地上を支配し、出来る限りの悪を人に加えようとしている。；承認後、最終的な文章には編集上のわずかな変更しか加えることができない。；これに加え、現代漢語通用字表ではさらに3500字が追加されている。；カタログスペックはほぼ同一ながら、細かな改良が多数加えられている。；ゲームにSFアニメ的なエッセンスを加えるために行った設定といえる。；バスに加えて、タクシーも市内のどこでも利用することができる。；この生石灰に水を加えると熱を発しながら水酸化カルシウムを生成する。；空気は出入りさせるが虫は出入りさせないようにする場合、網戸を加える。；ひそかに忍び寄り、背後から確実な攻撃を加えようとは考えていないのだ。；加えて、そのルールはこれらの証明の初期の生成には必ずしも重要なものではない。；江戸時代に入ると、人間の側から砂丘に手を加えるようになっていく。；動作させるOSにいくらかの変更を加えることが必要な場合もある。；国内版からそのまま移植されているのではなく、様々な変更が加えられている。；加えては1997年に、も2002年に否定的な意見を発表している。；ベースにしたPOWERの特徴に、さらにいくつかの変更を加えた。；命題論理の体系に変項と量化子を加えて拡張したものが述語論理である。；葉が持っている独特の香気を活かすために、調理の最後に加えるとよい。；旧来の組織に一を加えようとも二を引こうとも何ともしませんでした。；主君の妹を、更にその中に加えようとする秀吉の心にうごめくものは何か。；だから決して、病苦の上に更に彼らの薬の苦さを加えようとはしなかった。；今後の出来事をわかりやすくするために多少の説明を加えよう。；これにアンモニアを加えると青く変化することで鑑定することができる。；二つの金属板に加えられた電圧により力が生じることによって指示する。；彼らはそのことを知って、リーダーに制裁を加えようとしたのかもしれない。</t>
        </is>
      </c>
      <c r="J2454">
        <f>HYPERLINK("https://www.weblio.jp/content/加える", "词义详情")</f>
        <v/>
      </c>
      <c r="K2454">
        <f>HYPERLINK("https://yourei.jp/加える", "查看例句")</f>
        <v/>
      </c>
    </row>
    <row r="2455">
      <c r="A2455" t="inlineStr">
        <is>
          <t>銜える/咥える</t>
        </is>
      </c>
      <c r="B2455" t="inlineStr">
        <is>
          <t>无结果</t>
        </is>
      </c>
      <c r="H2455" t="n">
        <v>0</v>
      </c>
      <c r="J2455">
        <f>HYPERLINK("https://www.weblio.jp/content/銜える/咥える", "词义详情")</f>
        <v/>
      </c>
      <c r="K2455">
        <f>HYPERLINK("https://yourei.jp/銜える/咥える", "查看例句")</f>
        <v/>
      </c>
    </row>
    <row r="2456">
      <c r="A2456" t="inlineStr">
        <is>
          <t>詳しい</t>
        </is>
      </c>
      <c r="B2456" t="inlineStr">
        <is>
          <t>成功</t>
        </is>
      </c>
      <c r="C2456" t="inlineStr">
        <is>
          <t>読み方：くわしい
［形］［文］くは・し［シク］《「くわ（細）し」と同語源》
１細かいところまで注意や調査などがよく行き渡っている。詳細である。「—・い地図」「事情を—・く説明する」
２細部までよく知っている。精通している。「魚には特に—・い人」「事情を—・く知っている男」⇔疎い。
[派生]くわしげ［形動］くわしさ［名］</t>
        </is>
      </c>
      <c r="D2456" t="inlineStr">
        <is>
          <t>詳しいこと(18%)；詳しい話(5%)；詳しい事情(4%)；詳しい説明(3%)；詳しい情報(2%)</t>
        </is>
      </c>
      <c r="E2456" t="inlineStr">
        <is>
          <t>知っている；正確；明るい；正しい；正確に</t>
        </is>
      </c>
      <c r="F2456" t="inlineStr">
        <is>
          <t>さらに詳しい；詳しい記述；詳しい解説；詳しい知識；詳しい研究</t>
        </is>
      </c>
      <c r="G2456" t="inlineStr">
        <is>
          <t>詳しい方；詳しいい</t>
        </is>
      </c>
      <c r="H2456" t="n">
        <v>29</v>
      </c>
      <c r="I2456" t="inlineStr">
        <is>
          <t>たしかに彼は仲間のうちでは女性の服装の流行について一番詳しかった。；詳しい起源は不明であるが、この地に在来の言語であろうとされている。；左之助が江戸に出た時期も、どこに住んでいたのかも詳しいことは不明。；母が詳しい説明をしないため、わけがわからないまま旅館に行くさつき。；しかし、そこでも詳しい引退の理由は、本人の口からは語られなかった。；なお、兵隊同士でも上下の階級が存在するようだが、詳しいことは不明。；実数体上の空間を考える場合には、もう少し詳しく述べることができる。；しかし、必ずしもそこまで詳しいレベルでの分析を意味しない場合も多い。；誰がどこで始めたか、いつ頃始まったのか、詳しいことは不明である。；純粋な遺伝子をもつ集団は絶滅したため、詳しいことは分かっていない。；少女向け性教育漫画のため、少年の体の変化はあまり詳しく描かれていない。；東海地方や全国のニュース・出来事に関する疑問を詳しく紹介していく。；第二版の方が少し詳しくなり、具体的な項目が例として入っています。；それを見て占いに詳しい者は、これは吉兆の表れと言って喜んだという。；人間を守護するのが役割とされているが詳しい神話は伝わっていない。；古くから知られているにもかかわらず、詳しいことはあまりわかっていない。；この時に信長との調整役を務めたとあるが、詳しいことは不明である。；またどのような点が異なる点であったのかなど、詳しい説明は行われていない。；最後の階では、豊富な記録写真で描かれる工場の歴史が詳しく紹介されている。；メンバー同士の不仲説が解散理由として噂されているが、詳しくは不明。；停車駅や運行区間など詳しくは、各種別および各路線の記事を参照のこと。；ニュースの紹介の後、気になるニュースや出来事などを詳しく解説する。；わしはあの地を通り過ぎて、土地の人から詳しゅう聞いて来たのじゃ。；ここで時間を少し巻き戻して、A340の設計過程を詳しく見てみる。；ここで時間を少し巻き戻して、A330の設計過程を詳しく見てみる。；一方で全国の観光地理にある程度詳しいと有利に働く分野でもある。；これらの話は委員会スタッフも結局はそれ以上の詳しい調査に入らずに終わっている。；テレビ版では詳しい設定画が描かれていたものの、劇中には登場しなかった。；地球帰還後のことは、立花隆『宇宙からの帰還』に詳しく記されている。</t>
        </is>
      </c>
      <c r="J2456">
        <f>HYPERLINK("https://www.weblio.jp/content/詳しい", "词义详情")</f>
        <v/>
      </c>
      <c r="K2456">
        <f>HYPERLINK("https://yourei.jp/詳しい", "查看例句")</f>
        <v/>
      </c>
    </row>
    <row r="2457">
      <c r="A2457" t="inlineStr">
        <is>
          <t>企てる</t>
        </is>
      </c>
      <c r="B2457" t="inlineStr">
        <is>
          <t>成功</t>
        </is>
      </c>
      <c r="C2457" t="inlineStr">
        <is>
          <t>読み方：くわだてる
［動タ下一］［文］くはだ・つ［タ下二］《足をつま立てる意の「くわた（翹）つ」から転じたもの。近世初期ごろまで「くわたつ」》計画を立てる。計画を試みる。または、実行しようとする。「乗っ取りを—・てる」</t>
        </is>
      </c>
      <c r="D2457" t="inlineStr">
        <is>
          <t>企てるべき</t>
        </is>
      </c>
      <c r="E2457" t="inlineStr">
        <is>
          <t>見る；思う；計画；予定；考える</t>
        </is>
      </c>
      <c r="H2457" t="n">
        <v>29</v>
      </c>
      <c r="I2457" t="inlineStr">
        <is>
          <t>そこで幕府のみならず民間にもこの貿易を企てるものが輩出したのである。；そこで之を説明しようと企てるのが他の一つの説明の仕方である。；こうした行為をする者が将来社会に出て何を企てるであろうか。；しかし、強盗の事が夫人に知られてしまい、教授は彼女の抹殺を企てる。；これほどのことを企てるからには、前もってそれは立っているはずじゃ。；その一方で老人の目を非常に嫌悪しており、ついには老人を殺すことを企てる。；そこに普天間派の幹部らが一緒になって犯行を企てるようになった。；こんなぼろ切れのような軍隊では、もはや何を企てることもできないであろう。；俊寛 それからは彼の企てることは恐ろしいことばかりになった。；幾年後に於て、春駒が、どんな形によつてそれ等の人に復讐を企てるか。；これは盲人に色彩の性質と美との説明を企てるようなものである。；しかし、今それに抗するために何かを企てるといっても、すでに遅すぎた。；しかし、この地方にそんなことを企てるほど大きな無法者の集団もありません。；その夜からかれらは復仇を企てるべきだったが、別の道をえらんだ。；警備兵はいるかもしれないが、よもや逃亡を企てる者があろうとは思っていないだろう。；右衞門佐が叛逆を企てるなら、場數のある侍に相談せずには置くまい。；が、それを利用してさらに抜け駆けを企てるプレイヤーも存在する。；今に彼らが企てることはすべて、もはや不可能なものがなくなってしまうだろう。；そして、一刻も早くセリを韓国に帰そうと計画を企てるが次々と失敗。；そうすれば、俺だけは死んでみせるぞといって死を企てる者がきっと出てくるに違いないと思う。；彼は手錠をはめられていなかったが、逃亡を企てるようなことはあるまいと思った。；わたしが旅を企てるのは、帰ってくるためでもぜひ目的地まで行くためでもない。；お前のロから、おれたちのことを聞き出そうと企てることも十分に考えられる。；しかしこの際それらの動機がそれぞれの強さで存在せぬということをわれわれはその瞬間に企てることはできない。；とにかくある事件を企てる、それを成功して人を凌駕しようとする精神がこの男を支配している。；稔は周辺に伸びて来る官憲の手を察知して海外への逃亡を企てる。；破壊を企てる人間の行為は即ち自然の力である。；一方、幕府とは別に、薩摩藩は独自に博覧会に参加することを企てる。；しかし、船がいまの状態では、そんな航海を企てるのは狂気の沙汰だった。</t>
        </is>
      </c>
      <c r="J2457">
        <f>HYPERLINK("https://www.weblio.jp/content/企てる", "词义详情")</f>
        <v/>
      </c>
      <c r="K2457">
        <f>HYPERLINK("https://yourei.jp/企てる", "查看例句")</f>
        <v/>
      </c>
    </row>
    <row r="2458">
      <c r="A2458" t="inlineStr">
        <is>
          <t>加わる</t>
        </is>
      </c>
      <c r="B2458" t="inlineStr">
        <is>
          <t>成功</t>
        </is>
      </c>
      <c r="C2458" t="inlineStr">
        <is>
          <t>読み方：くわわる
［動ラ五（四）］
１あるものに、さらに他のものが添えられてその数・量・程度が増す。「会員が新しく—・る」「要素が—・る」「貫禄が—・る」
２ある事に参加する。仲間に入る。「一行に—・る」「話に—・る」
３度合いが強くなる。その程度や状態が増す。「暑さが—・る」「スピードが—・る」
４ある作用が他に及ぶ。行き渡る。「圧力が—・る」
[可能]くわわれる</t>
        </is>
      </c>
      <c r="D2458" t="inlineStr">
        <is>
          <t>加わるべき；加わるよう説得；加わる可能性；加わるべく；加わるよう呼びかけ</t>
        </is>
      </c>
      <c r="E2458" t="inlineStr">
        <is>
          <t>参加する；与えられる；参戦する；入れられる；加えられる</t>
        </is>
      </c>
      <c r="H2458" t="n">
        <v>29</v>
      </c>
      <c r="I2458" t="inlineStr">
        <is>
          <t>そんな時にまた別の刺激が加われば、いったいどうなってしまうことか。；実際の会議にはイタリアも参加し、さらに翌年にはカナダも加わった。；体の外側から皮膚に力が加わっても皮膚でそれを跳ね返したりできる。；このときエネルギーの測定は摂動が加わってない状態で行われている。；番組開始当初は3人だけで進行していたが、途中から編集長が加わった。；どんなことにも源氏の片影が加わればそのものが光づけられるのである。；しかし旅の仲間に加わることはなく、風のように現れては去ってしまう。；これらにプラスチック製のものが加わわるのは戦後になってからである。；これに江戸時代に入ると日本独特と云われる大筒抱え打ちの業が加わった。；遊牧的な生活を送る雌が新たな群れに加わるのは雄よりも遥かに難しい。；ゲバラ家の家柄からしても、かれは容易にその一員に加われたであろう。；展開部で最初に扱われるのは第1主題だが、やがて三連音動機も加わる。；パーティにいるとイベントに加わるなどしてゲームを盛り上げてくれる。；これに従来幹部の権力争いが加わり、彼らは王仁三郎を厳しく攻撃した。；サヴォイアは遅れて同盟に加わったため、大きな役割は果たさなかった。；歌い始めた会衆にも加わらず、ぼんやりと隅の席から人々を眺めている。；強靭な発条さえも弾性限界を越えた力が加われば折れてしまうのである。；さらに、地方でも中央組織に加わっていない組織が作られている。；組が違うキャラクターは、途中で出会ったり仲間に加わったりすることはない。；スタイルや形態における実験が主題における新しい自由さに加わってきた。；中村は選手としては加わらず、部の運営やルールの指導などにあたった。；遠くの見物人は自分たちの加われない出来事を眺めているだけだった。；昨晩だって旅川があの宴会に加わらなかったのは別に腹が立ちもしない。；そのような対の幾つかにおいては、調音点の変化が更に加わる事がある。；その列に加わらずに、二人は歩いて規子の住んでいるマンションに向った。；またこれと同時にタレントのベッキーがレギュラーに加わることになった。；心配ないって、彼らは自分たちには危害が加わらないことを知っている。；申請が許可されればお互いのフレンドのページに名前と顔写真が加わる。；今日のところはたたかいに加わらず、うしろで見ていてもらいたいのよ。</t>
        </is>
      </c>
      <c r="J2458">
        <f>HYPERLINK("https://www.weblio.jp/content/加わる", "词义详情")</f>
        <v/>
      </c>
      <c r="K2458">
        <f>HYPERLINK("https://yourei.jp/加わる", "查看例句")</f>
        <v/>
      </c>
    </row>
    <row r="2459">
      <c r="A2459" t="inlineStr">
        <is>
          <t>軍艦</t>
        </is>
      </c>
      <c r="B2459" t="inlineStr">
        <is>
          <t>成功</t>
        </is>
      </c>
      <c r="C2459" t="inlineStr">
        <is>
          <t>読み方：ぐんかん
１海軍の艦艇で、戦闘力をもつものの総称。
２艦艇の種類の一。旧日本海軍では戦艦・巡洋艦・航空母艦・潜水母艦・水上機母艦・海防艦・砲艦などをいう。駆逐艦・潜水艦などは含まない。
３「軍艦巻き」の略。</t>
        </is>
      </c>
      <c r="D2459" t="inlineStr">
        <is>
          <t>軍艦建造；軍艦籍；軍艦岩；軍艦四；軍艦頭</t>
        </is>
      </c>
      <c r="E2459" t="inlineStr">
        <is>
          <t>戦艦；軍船；兵船；戦列艦；艨艟</t>
        </is>
      </c>
      <c r="F2459" t="inlineStr">
        <is>
          <t>洋式軍艦；帆走軍艦；大型軍艦；軍艦役；巨大な軍艦</t>
        </is>
      </c>
      <c r="G2459" t="inlineStr">
        <is>
          <t>軍艦旗；軍艦奉行；軍艦マーチ；軍艦島；軍艦行進曲</t>
        </is>
      </c>
      <c r="H2459" t="n">
        <v>29</v>
      </c>
      <c r="I2459" t="inlineStr">
        <is>
          <t>海岸への侵攻準備が進む中、援護の軍艦は艦砲射撃の開始に備えていた。；まさにその時に、ドイツ帝国海軍の有力な軍艦2隻が到着した事になる。；当初は商船型にする方針だったが、実際には軍艦式の構造と配置になった。；基本は原作での軍艦編までをベースとしているが、原作とは異なる点がある。；これにより、館山湾には様々な軍艦・潜水艦などが見られるようになる。；時代により様々な任務や大きさの軍艦に対して使用された名称である。；妙高は大型軍艦としては、太平洋戦争で最初に損害を受けた艦となった。；聖ニコライの名は、この都市で建造された最初の軍艦の名前にも採用された。；近世になって大砲が軍艦に搭載されると、衝角戦は主流ではなくなった。；当時の軍艦建造は、それほど重大な責任感を持って行われていた。；第一次世界大戦中において商船が軍艦を撃沈した唯一の事例と見られる。；これによると、艦隊は3隻以上の軍艦を以て編成されるものとされた。；峠付近からは軍艦のような形をした荒船山の艫岩を眺望することができる。；韓国海軍でも軍艦で出る生活ごみを全部海に捨てていることが判明している。；その直後に日本にも軍艦を率いて現れ日英修好通商条約を締結した。；これは薩摩藩と長州藩以外の藩が外国の軍艦を導入した一例である。；一方、軍艦の大型艦に蒸気機関が採用されたのはそれよりも遅かった。；学校名および登場人物名の多くは旧日本軍の軍艦・軍用機に由来する。；陸軍として編成された軍閥が所有していた5隻の軍艦を編成したものだった。；このためイギリスとオランダから軍艦2隻を購入する案もあった。；放送当時のメディアでは、本部は島の形をした軍艦であると紹介しているものも存在した。；また軍艦の進水式には国内で蒸留されたウィスキーが使われることもある。；一方、ヴォスパー社は積極的に輸出用の軍艦を設計し、市場に発表していた。；著名な複数のイギリス海軍軍人がおり、それに基づいて命名された軍艦がある。；嘘の申告やこっそり軍艦を移動させるなどの反則はもってのほかである。；また、軍艦が外国港に入港する場合には、礼砲等の外交儀礼が行われる。；また、英連邦諸国や日本のように軍艦旗と商船旗が異なる場合もある。；軍艦には艦長は1名しかいないが、士官は複数名いるのが通常である。；水上の軍艦には潜航中の潜水艦を見つける方法も、攻撃の手段も無かった。</t>
        </is>
      </c>
      <c r="J2459">
        <f>HYPERLINK("https://www.weblio.jp/content/軍艦", "词义详情")</f>
        <v/>
      </c>
      <c r="K2459">
        <f>HYPERLINK("https://yourei.jp/軍艦", "查看例句")</f>
        <v/>
      </c>
    </row>
    <row r="2460">
      <c r="A2460" t="inlineStr">
        <is>
          <t>ぐんぐん</t>
        </is>
      </c>
      <c r="B2460" t="inlineStr">
        <is>
          <t>成功</t>
        </is>
      </c>
      <c r="C2460" t="inlineStr">
        <is>
          <t>［副］
１物事が勢いよく進行するさま。どんどん。「病気が—（と）よくなる」
２力強く物事をするさま。ぐいぐい。「ロープを—引っぱる」</t>
        </is>
      </c>
      <c r="D2460" t="inlineStr">
        <is>
          <t>ぐんぐん近づい(4%)；ぐんぐん大きく(3%)；ぐんぐん進ん；ぐんぐん歩い；ぐんぐん迫ってくる</t>
        </is>
      </c>
      <c r="E2460" t="inlineStr">
        <is>
          <t>徐々に；絶えず；着々；コツコツ；こつこつ</t>
        </is>
      </c>
      <c r="F2460" t="inlineStr">
        <is>
          <t>向かってぐんぐん；ぐんぐん進み；方へぐんぐん；ぐんぐんスピードを上げ；ぐんぐんスピードをあげ</t>
        </is>
      </c>
      <c r="H2460" t="n">
        <v>29</v>
      </c>
      <c r="I2460" t="inlineStr">
        <is>
          <t>それが、はじめの月と反対の方向に、ぐんぐんとまわりだしたのである。；老人はだまったまま先に立って、ぐんぐん奥のほうへはいっていきます。；ああして塔をぐんぐんと、われわれのほうへ伸ばしてよこすのはだれか。；ベルナルドはぐんぐん前のほうへ出て行って、彼女のために扉をあけた。；ある歌詠みの話ですが、その標準はぐんぐん変つて行くさうですからね。；東からぐんぐん勢力を伸ばしてきた大国が自分たちの隣まで来てしまった。；あれだけ走り続けた翼がスピードをぐんぐんと上げているのだから。；相手の気持ちなどかんがえずに、ぐんぐん自分の思うとおり押して来る。；彼女は私の胸へぐんぐん寄りかかってき、全身の重みをぶっつけてきた。；二人は鞄をきちんと背負い、川を渡って丘をぐんぐん登って行きました。；ふたりは、ぐんぐん逃げたのですが、死はもう目のまえに迫っていました。；彼はぐんぐん階段をくだって、巨大な空気浄化装置のある部屋に達した。；壁一枚隔てた階段室の隣の空間を、鋼鉄製の箱がぐんぐん上昇してくる。；手がはなしたくてもみんなは夢中になつてぐんぐん人をひきずりまはす。；動き始めたと思うまもなく、船はあらい海の上へぐんぐんすべり出した。；警官たちは、細いまっすぐの鉄ばしごを、ぐんぐん登っていきました。；しかし、それも瞬間、飛行機はそのまままたぐんぐんとあがって往った。；新興国アメリカは中国貿易の面でもぐんぐんイギリスに迫ろうとしていた。；草木は草木でいつさいに ああ どんなにぐんぐんと伸びてゆくことか。；バスティ族はほかの梯子を何本もかけて、下の岩棚へぐんぐん登ってくる。；わたしはぐんぐん高度をあげ、火星の空をものすごいスピードで飛んだ。；男たちの汚れた手がぐんぐん近づいてくるのを、恐怖に震えながら見つめていた。；老人は、巨大な気球がぐんぐん上昇して小さくなってゆくのを見上げていた。；風があると、たこはおもしろいように、ぐんぐんと空へ上がるのでした。；馴染みの店らしく、彼はぐんぐんと進んで一番奥の席に私たちを導いた。；ファテナーの目の前で火の車輪がまわり、ぐんぐん大きくなっていった。；足のはやい、力のつよい男たちが、自分たちだけでぐんぐん先へ行った。；その間にも、天界船はぐんぐん雷の潜むあたりに向けて高度を下げてきた。；岩塊は栄介が心で命じたとおり、先頭のモスクへぐんぐん接近している。</t>
        </is>
      </c>
      <c r="J2460">
        <f>HYPERLINK("https://www.weblio.jp/content/ぐんぐん", "词义详情")</f>
        <v/>
      </c>
      <c r="K2460">
        <f>HYPERLINK("https://yourei.jp/ぐんぐん", "查看例句")</f>
        <v/>
      </c>
    </row>
    <row r="2461">
      <c r="A2461" t="inlineStr">
        <is>
          <t>群集</t>
        </is>
      </c>
      <c r="B2461" t="inlineStr">
        <is>
          <t>成功</t>
        </is>
      </c>
      <c r="C2461" t="inlineStr">
        <is>
          <t>読み方：ぐんじゅ
［名］(スル)《「くんじゅ」とも》人々が大ぜい群がり集まること。また、その人々。
「囲繞—する者、恰も雲霞の如く」〈竜渓・経国美談〉</t>
        </is>
      </c>
      <c r="D2461" t="inlineStr">
        <is>
          <t>群集墳；群集シーン；群集シミュレーション；群集萎縮；群集一同</t>
        </is>
      </c>
      <c r="E2461" t="inlineStr">
        <is>
          <t>グループ；群；集団；団；大勢</t>
        </is>
      </c>
      <c r="F2461" t="inlineStr">
        <is>
          <t>微生物群集；化学合成生物群集；化石群集；てる群集；植物群集</t>
        </is>
      </c>
      <c r="G2461" t="inlineStr">
        <is>
          <t>群集心理；群集事故；群集生態学；群集構造；群集劇</t>
        </is>
      </c>
      <c r="H2461" t="n">
        <v>29</v>
      </c>
      <c r="I2461" t="inlineStr">
        <is>
          <t>どこか離れた町の中を群集に足を踏まれたり、もまれたりしているのだ。；まもなくすべての群集の中でただ一人の人物だけがそこに残された。；その群集の声は神戸の海浜にある新しい運上所にまで響き伝わっていた。；群集たちは仰天し、その周囲へ集まったり、その周囲から逃げたりした。；ほかの人々は、自動車のうえを見るよりも、そのまわりの群集をみている。；群集がユダヤ人共同体に近づくと、恐怖のあまり自ら死を選ぶものもあった。；安定した群集では、その種組成が長期にわたり変わらないと考えられる。；群集は不安の中にもこの有難い場所からもう動かうとはしなかつた。；いかなる大森林といえども、人を隠すことその大群集に及ぶものはない。；一行は火祭りの準備のために薪を運んでいる群集にこれ幸いと紛れ込む。；子路の旗色の悪いのを見た群集は、この時ようやく旗幟を明らかにした。；物語に関与しない群集や通行人などがキャラクターと呼ばれることは少ない。；一帯にはかつて円墳数基が群集したというが、本古墳以外は失われている。；さらに、それに動物群集をまとめて考えることで生態系の概念が生まれた。；この勇敢な探検隊をよく見ようとして群集は自動車の周囲へ寄って来た。；公使らはいずれも声のする窓の方へ行って、熱狂する群集をながめた。；志があらばあんまり群集しないで念仏をして報恩のこととでもするがよい。；さてある日の朝、オリオン号をながめていた群集は一事変を目撃した。；このような群集内に存在する各種間の個体数の等しさを、均等度と呼ぶ。；群集の頭越しに、三人の男が組み立てている赤い木の台みたいなものが見えた。；彼らのあとにつづいてる群集の大部隊は、兇暴で不確信で浅見だった。；警察官は群集に対して解散するように警告したが群集は解散しなかった。；今日はじめて、無数の海鳥のにわかに来たりて船の前後に群集するを見る。；そのあとには百姓や女房や子供やの群集が土埃を立ててついて来る。；通ってゆくのは武装した群集であり、ながめているのは慴えた群集であった。；血に飢えてる恐ろしい群集のあいだを彼と一緒に通ってください。；しかも多くの人たちが群集し、雑沓している中から神の声は聞こえてきたのです。；この群集の中に、もしや田中の姿が見えはせぬかと三人皆思った。；ああいま群集はどこへ行つたか かれらの幻想はどこへ散つたか。</t>
        </is>
      </c>
      <c r="J2461">
        <f>HYPERLINK("https://www.weblio.jp/content/群集", "词义详情")</f>
        <v/>
      </c>
      <c r="K2461">
        <f>HYPERLINK("https://yourei.jp/群集", "查看例句")</f>
        <v/>
      </c>
    </row>
    <row r="2462">
      <c r="A2462" t="inlineStr">
        <is>
          <t>群衆</t>
        </is>
      </c>
      <c r="B2462" t="inlineStr">
        <is>
          <t>成功</t>
        </is>
      </c>
      <c r="C2462" t="inlineStr">
        <is>
          <t>読み方：ぐんしゅう
群がり集まった人々。群集。</t>
        </is>
      </c>
      <c r="D2462" t="inlineStr">
        <is>
          <t>群衆シーン；群衆整理；群衆行動；群衆事故；群衆制御</t>
        </is>
      </c>
      <c r="E2462" t="inlineStr">
        <is>
          <t>グループ；群；集団；団；大勢</t>
        </is>
      </c>
      <c r="F2462" t="inlineStr">
        <is>
          <t>物見高い群衆；おびただしい群衆；リンチ群衆；騒々しい群衆；祝祭群衆</t>
        </is>
      </c>
      <c r="G2462" t="inlineStr">
        <is>
          <t>群衆心理；群衆雪崩；群衆の中の一つの顔；群衆妄覚；群衆シミュレーション</t>
        </is>
      </c>
      <c r="H2462" t="n">
        <v>29</v>
      </c>
      <c r="I2462" t="inlineStr">
        <is>
          <t>上官は新しい指示がないので群衆を帰らせた方がいいとの返事であった。；クレンツはこの群衆を押しとどめるのはもはや無理であると感じていた。；多くの関係者がこの男性たちが群衆や兵士を最初に撃ったと主張する。；ここに再び不満は爆発し、群衆は両者の擁護のために騒乱状態となった。；ガスに追われた群衆の多くが事件現場となるボグサイド地区へと逃れた。；王より手前に集まっている群衆の中にも重要な人物が混じっている。；しかし彼は他の群衆と一緒に、助けを求める皇帝のか細い声に走り寄った。；大群衆が移動するのにあわせて警備の目をすり抜けようとも試みた。；日本では中世より強訴など群衆の力をもとにした政治活動が見られる。；群衆に故意に車両で突っ込んでいく戦略はテロリストに用いられている。；しかし、集まりすぎた群衆が邪魔になり、離陸することが出来ずにいた。；群衆は中にいた職員を監禁状態にして、求人数が少ないことを迫った。；警察が群衆を解散させようとする試みは失敗に終わっている。；地区役場に設置されていた2つのカルバリン砲が群衆に向けて発射された。；これは市内でこれまでに見られた中で最大の群衆であった。；合唱が重要な役割を果たし、とくに第2幕の群衆のシーンは印象的である。；ギブソンは群衆に襲われそうになったが、警察が介入して逮捕された。；これはマタイが個人の言葉、ヨハネが群衆の言葉を多用するためである。；宿泊先のホテルは病状を案じる1万人以上もの大群衆に囲まれてしまう。；群衆が成果物を提出すると、その成果物は依頼主に帰属することになる。；リンカーンは列車で就任式に向かう途中、北部中の群衆や議員に演説した。；群衆シーンに他の漫画のキャラやプロレスラーを登場させていることも多い。；群衆が家に帰る望みもなく待っている駅の光景は数日間続いた。；このことに基づき、群衆は自分たちが見たいと思っていたものを見たと彼は考えている。；彼女は泣き叫び、処刑台の周囲に集まった恐ろしい群衆に慈悲を乞うた。；買い占め人とみられた商人の何人かが群衆に襲撃され破壊や放火の対象になった。；その様子とは怒り狂った群衆が警官を殺害していた様子である。；集まった群衆は田明雲と張仁煥をその場で私刑にすべきだと主張した。；組織には、集団や群衆には存在しない、以下のような特徴がある。</t>
        </is>
      </c>
      <c r="J2462">
        <f>HYPERLINK("https://www.weblio.jp/content/群衆", "词义详情")</f>
        <v/>
      </c>
      <c r="K2462">
        <f>HYPERLINK("https://yourei.jp/群衆", "查看例句")</f>
        <v/>
      </c>
    </row>
    <row r="2463">
      <c r="A2463" t="inlineStr">
        <is>
          <t>軍備</t>
        </is>
      </c>
      <c r="B2463" t="inlineStr">
        <is>
          <t>成功</t>
        </is>
      </c>
      <c r="C2463" t="inlineStr">
        <is>
          <t>読み方：ぐんび
国を守るため、または戦争をするために必要な兵員・兵器・軍事施設などをそろえること。また、その装備。</t>
        </is>
      </c>
      <c r="D2463" t="inlineStr">
        <is>
          <t>軍備増強(9%)；軍備制限(4%)；軍備計画(2%)；軍備充実(2%)；軍備拡大</t>
        </is>
      </c>
      <c r="E2463" t="inlineStr">
        <is>
          <t>武装</t>
        </is>
      </c>
      <c r="F2463" t="inlineStr">
        <is>
          <t>再軍備；航空軍備；第三次軍備；新軍備；洋式軍備</t>
        </is>
      </c>
      <c r="G2463" t="inlineStr">
        <is>
          <t>軍備管理；軍備縮小；軍備強化；軍備拡張競争；軍備範囲</t>
        </is>
      </c>
      <c r="H2463" t="n">
        <v>29</v>
      </c>
      <c r="I2463" t="inlineStr">
        <is>
          <t>地元の工業系企業は軍備品の生産に転換し、戦前に比べ高い利益を得た。；日本は軍備を西洋化し、朝鮮を征討しようとしているとする記事である。；軍事問題委員会の委員長になり、州兵の軍備を強く主張する者となった。；またこの頃から北方を重視する軍備はこの時点で既に開始されている。；この場合、縮小される軍備は条約内で定義された種類の装備に限定される。；ソ連は、主要軍備の保有量と工業生産力においてドイツを上回っていた。；これは、前年の義和団の乱を受けての軍備増強が目的であったとされる。；その中で欧米から知識を得て、軍備を強化する動きは確かに見られた。；二つの対外戦争を挟んだこの時期、日本海軍の軍備も急速に強化された。；さてその侵入する敵軍を追い返すべき軍備は仏蘭西にはないのであった。；故に信用が第一で、次が財政、軍備は更にその次に來るべきものである。；山根や私は、どのような形であれ、日本が軍備を持つことに反対であった。；ヒトラー政権下で軍が作成した軍備計画でも、大幅な拡大が提唱されていた。；つまり外征を目的とした近代軍備を整備し大幅な増強を図ろうとした。；一部の若者はドイツに送られ、ドイツの軍備生産の補充に大きく向けられた。；思うに軍備制限を実現し得るの時期も決して遠くはないであろう。；然るに会議して帰国すれば直ちに軍備を修めて戦争の用意をしていた。；あいつがルアサを占領してから、近隣諸城では、軍備をはじめました。；といって、王室までが軍備や戦争をすっかり放棄したわけではない。；しかし一時的な戦術や戦略として戦争や軍備に反対しているのではありません。；原料逼迫は工業の能率を下げ、軍備拡大のテンポも目に見えて低下した。；戦争に向けたドイツの軍備再建や特にドイツ空軍の創設に反対する著書を出版した。；軍備を整備するために各国はそれぞれに方針を定めている。；軍備が強大であるからといって、国家も民族も尊敬されはしない。；これだけの軍備を具えたとき、海軍は対米戦に自信ないと言えなくなったのである。；そこで、イギリスなどの援助を受けて大規模な海軍軍備の増強が図られた。；以上は軍備計画であって、制定時に発足できた歩兵連隊はなかった。；これはナチス体制下のドイツ国防軍の急速な軍備拡大の種子となっている。；このことは軍備の再建にも影響を及ぼし、後のマジノ線建設の要因となった。</t>
        </is>
      </c>
      <c r="J2463">
        <f>HYPERLINK("https://www.weblio.jp/content/軍備", "词义详情")</f>
        <v/>
      </c>
      <c r="K2463">
        <f>HYPERLINK("https://yourei.jp/軍備", "查看例句")</f>
        <v/>
      </c>
    </row>
    <row r="2464">
      <c r="A2464" t="inlineStr">
        <is>
          <t>軍服</t>
        </is>
      </c>
      <c r="B2464" t="inlineStr">
        <is>
          <t>成功</t>
        </is>
      </c>
      <c r="C2464" t="inlineStr">
        <is>
          <t>読み方：ぐんぷく
軍人の制服。</t>
        </is>
      </c>
      <c r="D2464" t="inlineStr">
        <is>
          <t>軍服姿(9%)；軍服着用；軍服風；軍服支給部隊長；軍服改良事業</t>
        </is>
      </c>
      <c r="F2464" t="inlineStr">
        <is>
          <t>黒い軍服；赤い軍服；青い軍服；新しい軍服；古い軍服</t>
        </is>
      </c>
      <c r="H2464" t="n">
        <v>29</v>
      </c>
      <c r="I2464" t="inlineStr">
        <is>
          <t>この時代の軍服の標準として高い帽子が採用されたのはそのためである。；その中には、若い妻をつれた軍服姿の米国の士官も三四人と数へられた。；タイトルデザインでは軍服を着たブルドッグのイラストが描かれている。；この軍服のもう一つの目的は狭い戦車の中でも活動しやすくすることだった。；朝鮮人民軍の軍服が制定されたのは1947年のことであると思われる。；軍服を着ている場合は無言のまま国旗に顔を向け、軍隊式の敬礼を行う。；日本の侍たちの何人かが洋式の軍服を着用していたのとは対照的であった。；そのデザインは南欧や植民地を中心に多くの国の軍服に影響を与えた。；戦場での装備や軍服改良など土佐の近代的兵制導入へ一石を投じている。；軍服ばかりを着てるT伯の和服姿は珍しいものに違いありませんでした。；しかし倦怠からの解放以上に戦争を鼓舞するのは軍服を着ることである。；聯隊長その他も駈付けて見ると、M大尉は軍服を着たままで倒れていた。；全員軍服を着用しており、胸の前で右腕を水平にする独特の敬礼をする。；顔と軍服が濡れているのを感じて、どこかに負傷したなと思った。；将軍のあとに続いてオリーヴ色の新式の軍服を着けた士官が二三人通る。；また軍服を改造した忍者のような服を着て、右腕に何かを付けている。；軍服を起源とするが、流行するにしたがって非軍事的な用途でも着用された。；遺体には首が無く、略章をつけた軍服に白い手袋をしていたとされる。；集まったのはすべてセルビア人であり、その中には軍服を着ている者もいた。；正式な物は黒とされるが、軍服では赤やオレンジ等の色も見られる。；そこで軍服の所定の位置に簡略化された略綬を付ける事がよく行われる。；「夏服」は基本的に「軍服」に同じであったが次の点のみ異なっていた。；若い役者が軍服を着て町を歩いたため、住民は懐かしそうにそれを眺めた。；この事は20世紀の軍服に求められるコンセプトに通ずるものであった。；また、転じて現在主流となっている背広型軍服の上着もそう呼ばれている。；カッザーフィーは陸軍軍人だがこのときなぜ海軍の軍服姿だったかは不明。；そして嵐の夜、純白の軍服を着た武夫が白馬に乗って小夜を迎えにくる。；軍服の色が黒く、トーテンコップの襟章を使っているのが特徴的である。；新設された旅団はアメリカ軍の軍服・車輌・武器などを大量に必要としていた。</t>
        </is>
      </c>
      <c r="J2464">
        <f>HYPERLINK("https://www.weblio.jp/content/軍服", "词义详情")</f>
        <v/>
      </c>
      <c r="K2464">
        <f>HYPERLINK("https://yourei.jp/軍服", "查看例句")</f>
        <v/>
      </c>
    </row>
    <row r="2465">
      <c r="A2465" t="inlineStr">
        <is>
          <t>訓練</t>
        </is>
      </c>
      <c r="B2465" t="inlineStr">
        <is>
          <t>成功</t>
        </is>
      </c>
      <c r="C2465" t="inlineStr">
        <is>
          <t>読み方：くんれん
［名］(スル)
１あることを教え、継続的に練習させ、体得させること。「きびしい—にたえる」「—して生徒を鍛える」
２能力・技能を体得させるための組織的な教育活動のこと。「職業—」
[用法]訓練・練習——「訓練（練習）を積む」などでは相通じて用いられる。◇「訓練」はある技術について教え込み、身につけさせることだが、「練習」は自らが繰り返したり、工夫したりして技術の向上をはかることをいう。「教官は練習生に対して訓練を開始した」「よく訓練された盲導犬」「短距離走のスタートの練習をしている」などの「訓練」「練習」は互いに置き換えることはできない。◇類似の語に「稽古(けいこ)」がある。「稽古する」は「練習する」の意、「稽古をつける」は「訓練する」の意で、主に武術、芸事などに関して、「寒稽古に励む」「お茶の稽古に通う」などと用いる。</t>
        </is>
      </c>
      <c r="D2465" t="inlineStr">
        <is>
          <t>訓練中；訓練用；訓練場；訓練施設；訓練部隊</t>
        </is>
      </c>
      <c r="E2465" t="inlineStr">
        <is>
          <t>実際；示し；教育；教え；指導</t>
        </is>
      </c>
      <c r="F2465" t="inlineStr">
        <is>
          <t>戦闘訓練；基礎訓練；共同訓練；猛訓練；厳しい訓練</t>
        </is>
      </c>
      <c r="G2465" t="inlineStr">
        <is>
          <t>訓練所；訓練センター；訓練校；訓練機；訓練学校</t>
        </is>
      </c>
      <c r="H2465" t="n">
        <v>29</v>
      </c>
      <c r="I2465" t="inlineStr">
        <is>
          <t>このため鉄道事業者ではホームドア異常時に対応した訓練も必要となる。；また一般相対性理論を研究するには数学の訓練が足りないことがわかった。；現代ではバーチャルリアリティを利用した訓練装置も開発されている。；正式な訓練を受けずにピアノ演奏を習得し、一家のピアニストになった。；その後の訓練は再び日本航空テクニカルセンターの訓練施設で実施する。；チャージャーで訓練を終えた兵は大西洋での対潜水艦任務に従事した。；世界中の博物館との連携による巡回展計画や国際訓練プログラムがある。；ある夜、私の機はプラットで訓練中に、衝突でエンジン火災を起こした。；警察予備隊の訓練は、基本的にアメリカ軍事顧問の監督下で進められた。；難度が高く、馬・騎手ともによく訓練されていないと行うことができない。；また、ソ連と対立する中国も武器や訓練でムジャヒディンを支援した。；そこでは異なるキリスト教派の訓練機関が合併してが設立されたばかりであった。；しかし、実際の戦闘訓練を十分に受けていなかったために戦死者も多かった。；利用条件としては訓練は月15日以内、年間180日以内とされている。；その時になればアメリカは専門的な訓練を積んだ士官が必要となる。；飼われている馬では、訓練次第でこれを意図的にさせることができる。；訓練や集中を必要としないとされる点は、ほかの手当て療法と大きく異なる。；訓練を受けていない市民救助者と訓練を受けている市民救助者でも一部異なる。；この装置は訓練装置としては画期的で大勢のパイロットが養成された。；一般営業用車両を現車訓練に用いることが難しくなったことも一因である。；飛行士らが受けた訓練の中には、選抜試験の項目と重複するものもあった。；訓練次第ではさまざまな歩法で歩いたり駆けたり、ジャンプすることができる。；そのため、最終的に半数は現地の中国人から採用して訓練した部隊となった。；つまり艦隊としての総合訓練も、水雷戦隊としての訓練もできなかった。；しかし修理が開始されると訓練ができなくなるといった理由からこれは行われなかった。；外観は飛行訓練中の高い空気力学的荷重に耐えられるように改造されていた。；訓練時または作戦時、頻繁に故障するようでは運用できない。；その後、大阪側の地下線にも設置され、定期的に設置訓練が行われている。；その目的はエジプトと全中東における図書館の専門職員を訓練することである。</t>
        </is>
      </c>
      <c r="J2465">
        <f>HYPERLINK("https://www.weblio.jp/content/訓練", "词义详情")</f>
        <v/>
      </c>
      <c r="K2465">
        <f>HYPERLINK("https://yourei.jp/訓練", "查看例句")</f>
        <v/>
      </c>
    </row>
    <row r="2466">
      <c r="A2466" t="inlineStr">
        <is>
          <t>毛</t>
        </is>
      </c>
      <c r="B2466" t="inlineStr">
        <is>
          <t>成功</t>
        </is>
      </c>
      <c r="C2466" t="inlineStr">
        <is>
          <t>読み方：け
１生物の体表に生えている糸状のもの。鞭毛(べんもう)・繊毛・刺毛・剛毛・羽毛なども含む。
㋐哺乳類の皮膚に生じる表皮の変形器官。全身のほとんどを覆う、角質の構造物。
㋑頭髪。髪の毛。「—を染める」
㋒羊毛。「—のシャツ」
㋓植物体の表面に生じる細長い糸状のもの。「タンポポの—」
㋔鳥などの羽毛。「鳥の—をむしる」
２細い毛状のもの。「ブラシの—」
３非常にわずかなことをたとえるのに用いる。「そんな気は—ほどもない」
４鎧(よろい)の威(おどし)の糸。おどしげ。
「同じ—の鎧を二両まで置きたりけるを」〈太平記・二六〉
５作物。特に稲の穂の実り。作毛。
「秋の—の上を賜ひて下ぐべきにてありけるに」〈沙石集・三〉
６魚のうろこ。特に鯉のうろこ。
「鯉に限って、うろこをふくとは申さぬ、—をふくと申す」〈虎寛狂・惣八〉
[下接語] 兎(う)の毛・裏毛・尾羽毛・髪の毛・猫っ毛・三毛・身の毛（げ）愛嬌(あいきょう)毛・青毛・赤毛・葦(あし)毛・命毛・入れ毛・産(うぶ)毛・上(うわ)毛・枝毛・後(おく)れ毛・威(おどし)毛・鹿(か)毛・糟(かす)毛・川原(かわら)毛・癖毛・栗(くり)毛・黒毛・逆(さか)毛・差し毛・地毛・棕櫚(しゅろ)毛・尻(しり)毛・白毛・梳(す)き毛・立ち毛・力毛・縮れ毛・月毛・旋(つむじ)毛・虎(とら)毛・鳥毛・夏毛・二毛・和(にこ)毛・抜け毛・鼻毛・雲雀(ひばり)毛・斑(ぶち)毛・冬毛・解(ほつ)れ毛・巻き毛・睫毛(まつげ)・眉(まゆ)毛・尨(むく)毛・無駄毛・胸毛・脇(わき)毛・綿毛</t>
        </is>
      </c>
      <c r="D2466" t="inlineStr">
        <is>
          <t>毛毬(2%)；毛衣；毛足；毛だらけ；毛毛</t>
        </is>
      </c>
      <c r="E2466" t="inlineStr">
        <is>
          <t>髪；髪の毛；羽毛；頭髪；体毛</t>
        </is>
      </c>
      <c r="F2466" t="inlineStr">
        <is>
          <t>被毛；長い毛；巻毛；三毛；腺毛</t>
        </is>
      </c>
      <c r="G2466" t="inlineStr">
        <is>
          <t>毛布；毛利；毛利氏；毛沢東；毛色</t>
        </is>
      </c>
      <c r="H2466" t="n">
        <v>29</v>
      </c>
      <c r="I2466" t="inlineStr">
        <is>
          <t>黒色の毛に覆われており、たいていは胸・腰のあたりに白い模様がある。；老人は毛の内部の色素が失われるため、灰色の毛に発達する傾向がある。；貴族の間では絹や毛などの上質な生地で作られたものが使用されている。；全身が毛深く、油っ気の強い足の裏毛を用いて水上を歩くことが出来る。；冬芽の大きさ、色や毛の生え具合は種を区別する上で大切な情報である。；本科の魚の口には毛のような歯が生えており、これを表したものであろう。；羊毛は一つの層から、他の動物の毛はさらに多くの層から構成される。；毛が生えたままの動物の生皮を張っていることが最大の特徴である。；多くのメスが首毛を持っており、ある姿勢を取るとそれがはっきりわかる。；白い毛のものと茶色の毛のもの、白と茶色がまだらになったものがいる。；子房の先端から花弁が出るが、その周辺には往々にして毛が並んでいる。；筆とは、毛の束を軸の先端に付けた、字や絵を書くための道具である。；指や爪、あるいは様々な毛の束があり、それなりの機能を果たしている。；また夏毛は刺毛で構成されており、冬毛は刺毛と綿毛で構成されている。；アメリカ合衆国などの国では認められていない毛の色もある。；これを内側毛帯の腹側と背側とに分け、それぞれを底部と被害の前後径とした。；毛およびそれを囲む組織である毛包から構成される器官を毛器官という。；これは爪と毛が構造的に非常に類似しているからである。；顔の形は耳からの長い飾り毛の為に横に広がって見える。；金属チップに通す毛量に制限があるため一本あたりの太さは細くなる。；価格を抑えるために、中心の長い部分だけにイタチの毛を使う場合もある。；この過程で「毛」の表記は省略されたが、「け」の読みは残されている。；数多のこれらの毛を編んで作られたのが鬼太郎のちゃんちゃんこである。；一般に黄褐色の毛を持つ馬のこと、またはその状態そのものを指す。；それぞれの毛の方向はそれに対応するものと考えられる。；殻皮に毛をもつ種は色々な科に見られるが、その意味はよく分かっていない。；そのほか、利き手の関係や発毛の程度など、あらゆる側面を検討した。；鼻の色は黒、もしくは白い毛が混じったもので下記の歌にあるような赤ではない。；全身が毛に覆われているため、体表に汗をかいても熱が逃げにくいためとされる。</t>
        </is>
      </c>
      <c r="J2466">
        <f>HYPERLINK("https://www.weblio.jp/content/毛", "词义详情")</f>
        <v/>
      </c>
      <c r="K2466">
        <f>HYPERLINK("https://yourei.jp/毛", "查看例句")</f>
        <v/>
      </c>
    </row>
    <row r="2467">
      <c r="A2467" t="inlineStr">
        <is>
          <t>下</t>
        </is>
      </c>
      <c r="B2467" t="inlineStr">
        <is>
          <t>成功</t>
        </is>
      </c>
      <c r="C2467" t="inlineStr">
        <is>
          <t>読み方：か
［音］カ（漢）ゲ（呉）　［訓］した　しも　もと　さげる　さがる　くだる　くだす　くださる　おろす　おりる
［学習漢字］1年
〈カ〉
１空間的位置関係の低い方。「下部・下方／階下・眼下・地下・直下・天下・皮下」
２時間・順序が後の方。「下記・下元・下弦／以下」
３階級・身分・程度が低い方。「下院・下情・下層・下等・下僚」
４空間的・時間的範囲を限定する語。「県下・言下・時下・城下・目下・占領下」
５支配・影響を受ける側。「管下・麾下(きか)・傘下・配下・部下・門下」
６貴人の尊称に添える語。「閣下・貴下・殿下・陛下」
７脇付(わきづけ)に用いる語。「机下・虎皮下」
８上から下へ、高い方から低い方へ移動する。「下降／却下・降下・沈下・低下・投下・落下」
９中央から地方へ、中心から周辺へ移る。「西下・南下」
10上位者から下位者へ渡し与える。「下賜・下付・下命」
〈ゲ〉
１の1に同じ。「下界・下段／上下」
２の2に同じ。「下巻・下刻・下旬」
３の3に同じ。「下品・下郎・下剋上(げこくじょう)・下世話／凡下」
４の8に同じ。「下山・下車・下馬・下落・下痢」
５の9に同じ。「下向・下野」
６の10に同じ。「下知／宣下」
７へりくだる。「卑下」
〈した〉「下着・下手・下見・下役／靴下・手下・年下・軒下・幕下・目下・床下」
〈しも〉「下座・下手／風下・上下(かみしも)・川下」
〈もと〉「足下・膝下(ひざもと)」
［難読］下火(あこ)・下炬(あこ)・下司(げす)・下種(げす)・下衆(げす)・白帯下(こしけ)・下枝(しずえ)・下総(しもうさ)・下野(しもつけ)・下手(へた)</t>
        </is>
      </c>
      <c r="D2467" t="inlineStr">
        <is>
          <t>下顎；下唇；下半分；下野国；下におか</t>
        </is>
      </c>
      <c r="E2467" t="inlineStr">
        <is>
          <t>もと；底；低；尻；裾</t>
        </is>
      </c>
      <c r="F2467" t="inlineStr">
        <is>
          <t>統治下；落下；占領下；政権下；管轄下</t>
        </is>
      </c>
      <c r="G2467" t="inlineStr">
        <is>
          <t>下さい；下げ；下し；下記；下ろし</t>
        </is>
      </c>
      <c r="H2467" t="n">
        <v>29</v>
      </c>
      <c r="I2467" t="inlineStr">
        <is>
          <t>区の長期基本計画によると、都市核と指定された地域は下の6つである。；さらに、アンモニアの雲の下には薄い水の雲が存在すると予想される。；ニュースは敗戦・占領下で自信を失っていた日本国民に大きな力を与えた。；その後、1892年までに全ての首長国がイギリスの保護下に置かれた。；かつての国鉄は解体され、官民協力体制の下で委託経営が行われている。；最後は下関駅の先で海の下に潜って、再び地上に出るとそこは九州である。；ピクセルは通常、左下から右下へ、これを下から上に向かって保存する。；北に隣接するセルビアは紛争当事国となって国際的な制裁下に置かれた。；ある日、ゼウスとポセイドンの兄であるハデスが彼女の下を訪ねてきた。；知られている限り、全ての藍藻は好気環境下で酸素発生型光合成を行う。；一定圧力下で常温の水をゆっくり加熱すると、ある温度で蒸気に変わる。；彼の下にいた研究者の一部はパロアルト研究所へと移っていった。；近年の店舗ではマイクの下に注文を表示するディスプレイが導入されている。；日本統治下の私鉄路線は、韓国ではアメリカ占領時期に国有化された。；また、日本IBMの下には更に複数の子会社と関連会社が存在している。；下の左手には、下の右手には、上の左手には、上の右手にはを持つ。；宇宙環境下における細胞は地上での実験では見られない挙動を示す。；なお、斬首より軽いとされるのが銃殺、その下が一般的な絞首刑である。；教育制度の大部分は、教育・技能大臣を通じた政府の指導の下にある。；あるいは南を下、北を上とした時、東の方向が右、西の方向が左となる。；最近では法治を重視する政策の下、一定の役割を果すようになってきている。；詳しくは下に記した表の中にある「生成方法」項目を参照されたい。；最高指導者の下に指導者評議会があり、その下に各委員会が設置されている。；またブロックの上にいる敵はそのブロックを下から叩くことで倒すことができる。；残された「暁の星」はフェルキンの下で数々の混乱を経ながら続いた。；さらに口は開くと下を向き、湖底の餌をついばんで食べやすくなっている。；独立後、政府は主要産業を国有化し、保護政策の下で工業を発展させてきた。；娘で各種アイテム開発のプロであるからくり博士の日向おぼろの下に逃れた。；現行憲法下において法律を発案・提出する手続には、以下の三つがある。</t>
        </is>
      </c>
      <c r="J2467">
        <f>HYPERLINK("https://www.weblio.jp/content/下", "词义详情")</f>
        <v/>
      </c>
      <c r="K2467">
        <f>HYPERLINK("https://yourei.jp/下", "查看例句")</f>
        <v/>
      </c>
    </row>
    <row r="2468">
      <c r="A2468" t="inlineStr">
        <is>
          <t>計</t>
        </is>
      </c>
      <c r="B2468" t="inlineStr">
        <is>
          <t>成功</t>
        </is>
      </c>
      <c r="C2468" t="inlineStr">
        <is>
          <t>読み方：けい
［音］ケイ（漢）　［訓］はかるはからうはか　ばかり
［学習漢字］2年
１数える。はかる。「計器・計算・計測・計量／会計・合計・集計・推計・統計・累計」
２はかる器具。「温度計・体重計」
３企てる。はかりごと。「計画・計略／奇計・生計・設計・早計・大計・謀計」
［名のり］かず・かずえ</t>
        </is>
      </c>
      <c r="D2468" t="inlineStr">
        <is>
          <t>計らい(3%)；計測器；計畫；計約；計画法</t>
        </is>
      </c>
      <c r="E2468" t="inlineStr">
        <is>
          <t>計画；企画；プログラム；合計；通算</t>
        </is>
      </c>
      <c r="F2468" t="inlineStr">
        <is>
          <t>計つて；計帳；合わせて計；計八；火計</t>
        </is>
      </c>
      <c r="G2468" t="inlineStr">
        <is>
          <t>計算；計測；計器；計り；計上</t>
        </is>
      </c>
      <c r="H2468" t="n">
        <v>29</v>
      </c>
      <c r="I2468" t="inlineStr">
        <is>
          <t>現在までに計15章が発表されており、以下の通りに構成されている。；また、ビデオ化の際に新たに15話が制作され、計39話になっている。；治療対象群が3段階と、治療できないものの、計4段階に分類している。；同時にフランスの計量体系に基づくべきであるとの見解も示された。；南棟で死亡した民間人は計630人であり、北棟の半分以下の数字だった。；M0クラスになると、日本の地震計観測網でも捉えられない場合がある。；男子・女子の群像はいずれも4人一組で、計16人の人物が描かれている。；折原は途中で計5時間ほど睡眠を取ったのが敗因ではないかと述べている。；開発は中止となり、制式採用されることなく計9機の生産に留まっている。；市内ではJR九州が3路線、西鉄が2路線の計5路線が運行されている。；光圀は藩主時代計11回帰国しており、歴代藩主の中では最多である。；この計23機でより実戦的な評価作業と原型機の洗い直しが行われた。；なお、これまでにバハマでは計6人のNBAプレイヤーを輩出している。；同計画により計699隻の艦からなる海軍の建設が推進された。；都市高速鉄道は1968年に施行された都市計画法に規定されたものである。；二次予選の勝ち抜き者とシード者の計16名によるトーナメントである。；さらに太平洋戦争終結時までに最終的には計82路線が認定された。；「尺相当目盛り付き長さ計」の姿形は次の写真のようなものである。；測定のための停電が許されない場合は、漏れ電流計による測定を行う。；電池は即用のほか予備2個を銃床内に収納でき、計4個が付属していた。；画面右上には、どこまで潜っているかを示す深度計がメートル単位で表示されている。；これは湿っぽい雰囲気を変えようとした赤塚流の粋な計らいだったという。；あずさ達のクラスの生徒は男子14名女子16名の計30名で構成されている。；本路線の建設にあたっては、計22台のシールドマシンが使用された。；東西南北に3つずつの計12の門があり、これも夜間には閉じられる。；朝ラッシュ時7・8時台の上りは高田発基準で計7本運転されている。；八王子駅発着列車は、朝に下りが、夜間に上りが計2往復運転される。；警察庁のまとめでは計604人が「処分」されたことになっている。；「道東地方」については面積が広いため3分割し計6地域とされている。</t>
        </is>
      </c>
      <c r="J2468">
        <f>HYPERLINK("https://www.weblio.jp/content/計", "词义详情")</f>
        <v/>
      </c>
      <c r="K2468">
        <f>HYPERLINK("https://yourei.jp/計", "查看例句")</f>
        <v/>
      </c>
    </row>
    <row r="2469">
      <c r="A2469" t="inlineStr">
        <is>
          <t>刑</t>
        </is>
      </c>
      <c r="B2469" t="inlineStr">
        <is>
          <t>成功</t>
        </is>
      </c>
      <c r="C2469" t="inlineStr">
        <is>
          <t>読み方：ぎょう
〈刑〉⇒けい
〈形〉⇒けい</t>
        </is>
      </c>
      <c r="D2469" t="inlineStr">
        <is>
          <t>刑吏(4%)；刑法上(2%)；刑執行；刑四郎；刑律</t>
        </is>
      </c>
      <c r="E2469" t="inlineStr">
        <is>
          <t>処分；処刑；罰；処罰；刑罰</t>
        </is>
      </c>
      <c r="F2469" t="inlineStr">
        <is>
          <t>最高刑；銃殺刑；重い刑；十字架刑；斬首刑</t>
        </is>
      </c>
      <c r="G2469" t="inlineStr">
        <is>
          <t>刑務所；刑罰；刑法；刑事さん；刑期</t>
        </is>
      </c>
      <c r="H2469" t="n">
        <v>29</v>
      </c>
      <c r="I2469" t="inlineStr">
        <is>
          <t>日本では死罪に次いで重い刑であったが、1908年に廃止されている。；日本の報道では上記のように無期刑と終身刑は別の刑とし表現されてきた。；複数で行なった場合は刑が重くなり、団体行動への対応を考慮している。；この刑は世界的に実施例があるが、中国におけるものが最も有名である。；また使用にも制限があり、場合によっては刑に処されることさえあった。；しかし、この車輪刑が失敗に終わったため彼女は打ち首の刑に処された。；このケースは現在では司法取引により刑の執行猶予の状態となっている。；この事例は、帝位を追われた皇帝に切断刑が加えられた最初の例となった。；そのため孫臏はの刑に処された上、面にを入れられて獄中に幽閉された。；男性の去勢を行う宮刑は当時の概念では肉刑には入っていなかった。；十字架刑はペルシャ人が考案し、最初に使用したものと考えられている。；しかし一方で、その刑具は十字形ではなかったとする学説が存在していた。；これを実施して4年目、こんどはが法を犯し、鼻切りの刑に処せられた。；刑を恐れた販売業者は、1ダース購入した客に1個追加することにした。；観念的競合の場合は、その最も重い刑により処断することとされている。；刑を終えた後は故郷に帰って結婚し、平穏な人生を送ったという。；死刑が最高刑であった時代に、実際に処刑が行われたこともある。；また、女性は入墨・過怠牢舎が科刑された上で、7人が収容されている。；刑の宣告猶予には、保護観察を伴うものとこれを伴わないものとがある。；アメリカに23ある死刑廃止州では絶対的終身刑が最高刑となっている。；ただし、着手未遂と実行未遂の区別自体は刑法上重要な意味を持たない。；これらの国では長期の禁錮と短期の拘留のように刑種が別の区分になっていない。；日本でも天武天皇の時代以後、唐の影響を受けて五刑が導入された。；刑の施行の翌日に王は婚約を公表し、その2週間後に2人は正式に結婚した。；この後刑吏が受刑者に槍を刺し死亡を確認することがあったという。；これとは別に、切腹を含めた閏刑が、禁錮刑へと統一する形で廃止された。；法律上刑を減軽すべき一個又は二個以上の事由があるときは、次の例による。；日本では、律令制の確立ともに、唐にならって杖刑・笞刑が制定された。；その恩赦の申請が却下されて初めて、刑の執行が可能になったのだという。</t>
        </is>
      </c>
      <c r="J2469">
        <f>HYPERLINK("https://www.weblio.jp/content/刑", "词义详情")</f>
        <v/>
      </c>
      <c r="K2469">
        <f>HYPERLINK("https://yourei.jp/刑", "查看例句")</f>
        <v/>
      </c>
    </row>
    <row r="2470">
      <c r="A2470" t="inlineStr">
        <is>
          <t>芸</t>
        </is>
      </c>
      <c r="B2470" t="inlineStr">
        <is>
          <t>成功</t>
        </is>
      </c>
      <c r="C2470" t="inlineStr">
        <is>
          <t>読み方：げい
［音］ゲイ（呉）（漢）
［学習漢字］4年
１草木を栽培すること。「園芸・種芸・農芸」
２修練によって得た技能。「芸術・芸人・芸能／演芸・学芸・技芸・曲芸・工芸・至芸・手芸・多芸・武芸・文芸・無芸・六芸(りくげい)」
３安芸(あき)国。「芸州」
[補説] 「(うん)」は香草の名で、「藝」の新字体「芸」とは別字。
［名のり］き・すけ・のり・まさ・よし</t>
        </is>
      </c>
      <c r="D2470" t="inlineStr">
        <is>
          <t>芸能人(2%)；芸達者；芸夢；芸協；芸格</t>
        </is>
      </c>
      <c r="E2470" t="inlineStr">
        <is>
          <t>ネタ；芸能；エンターテイメント；謡；演芸</t>
        </is>
      </c>
      <c r="F2470" t="inlineStr">
        <is>
          <t>職人芸；珍芸；遊芸；一発芸；素人芸</t>
        </is>
      </c>
      <c r="G2470" t="inlineStr">
        <is>
          <t>芸人；芸名；芸者；芸能；芸能人</t>
        </is>
      </c>
      <c r="H2470" t="n">
        <v>29</v>
      </c>
      <c r="I2470" t="inlineStr">
        <is>
          <t>その後もこの3人で一緒に芸を披露するなどの仲が続いているという。；奈良時代にはすでに家芸を父子相伝する習慣があったと考えられている。；街の人たちをステージに呼び、彼らに芸などを披露してもらう企画。；戦国時代には、猿楽の芸の内容に大きな発展はなかったと考えられている。；一発芸のコーナーが終了した時点で最も得点の多い解答者がトップ賞に輝いた。；前期で一度だけ行われたゲーム、用意された小道具を使って一発芸をする。；番組内容は、ゲストとのトークと彼らによる芸の披露が主になっていた。；演じ手も、芸に熟達した僧達を中心に行われるようになっていった。；猿を使った芸は日本へは奈良時代に中国から伝わったとされている。；その芸を邪道とする意見も少なくなかったが、熱心なファンを獲得し続けた。；毎年秋には祭りが開かれ、舞台では太鼓、歌芸など様々な催し物がある。；水族館で飼育している個体に芸を覚えさせることにも成功している。；滑稽芸は狂言や笑いを扱う演芸になり、独自の芸能文化を築いていった。；その中に、伴馬は本格的な江戸風の芸を身につけて帰ってきた。；そのため、花街ではいかに質の高い芸舞妓を保持するかが今後の問題である。；一部を除き、極細の線もすべてこの筆を使っており職人芸と評されている。；なんでも器用だったことから「毛内の百人芸」などとも呼ばれていた。；芸とは、万年青における葉の状態や葉姿、柄などの特徴の総称をいう用語。；一方、世阿弥は足利義満の興味が自分の芸から離れていくことを感じていた。；その後も彼の番組では十八番のように「パネル芸」が行われるようになる。；新コンビながら、共に10年以上の経験で培われた芸で高い評価を得た。；二人とも芸で身を立て、姉のゑつは特に柳橋一の芸達といわれるほどだった。；実兄がこの年に亡くなり一門の総帥になるも、芸はあまり伸びなかった。；都内にある落語定席の一つであり、落語を中心に色物芸も多数上演する。；もとは正月の祝福芸だが、現在は季節を問わず慶事の際などにも披露される。；このとき初演ではちょうちん芸平という旅奴が出たが、現在は出ない。；これは、素の芸であることを前提とする落語の大きな特徴であるといえるだろう。；以後、着物を着ての落語スタイルでの芸を披露することがある。；また、芸に対する真剣さやこだわりも起用の決め手となっているという。</t>
        </is>
      </c>
      <c r="J2470">
        <f>HYPERLINK("https://www.weblio.jp/content/芸", "词义详情")</f>
        <v/>
      </c>
      <c r="K2470">
        <f>HYPERLINK("https://yourei.jp/芸", "查看例句")</f>
        <v/>
      </c>
    </row>
    <row r="2471">
      <c r="A2471" t="inlineStr">
        <is>
          <t>経緯</t>
        </is>
      </c>
      <c r="B2471" t="inlineStr">
        <is>
          <t>成功</t>
        </is>
      </c>
      <c r="C2471" t="inlineStr">
        <is>
          <t>読み方：いきさつ
物事のこみいった事情。事件の経過。「これまでの—を語る」</t>
        </is>
      </c>
      <c r="D2471" t="inlineStr">
        <is>
          <t>経緯ゆえ；経緯記；経緯愚説</t>
        </is>
      </c>
      <c r="E2471" t="inlineStr">
        <is>
          <t>話；歴史；話し；由来；過去</t>
        </is>
      </c>
      <c r="F2471" t="inlineStr">
        <is>
          <t>歴史的な経緯；どのような経緯；どういう経緯；詳しい経緯；そうした経緯</t>
        </is>
      </c>
      <c r="G2471" t="inlineStr">
        <is>
          <t>経緯儀；経緯線；経緯台；経緯台式架台</t>
        </is>
      </c>
      <c r="H2471" t="n">
        <v>29</v>
      </c>
      <c r="I2471" t="inlineStr">
        <is>
          <t>建設経緯・運行形態・駅一覧・延伸計画などの詳細は以下の項目を参照。；これが失敗に終わった経緯に関してはいくつかの話が伝えられている。；このような経緯があり、後に中距離の普通列車も停車するようになった。；歴史的な経緯から広島市や岡山県とも異なる独自の気質を持つとされる。；そこからカイロネイアの戦いに至るまでの経緯はほとんど知られていない。；技法的観点、素材的観点は伝統的には組成などと通称された経緯がある。；こうした経緯から、現在でもフランスとの緊密な関係を維持している。；オマルがターリバーンの指導者となった経緯については複数の説がある。；しかしこの様な結果になった経緯については大きく異なる見解が出されている。；またこの経緯からロシアではソ連時代からヒマワリを国花としている。；検察によれば、問題となった行為の経緯は次のようであるとされる。；経緯は人により様々であるが、一般的には下記のパターンのいずれかである。；ただし、前述の経緯から徳島線の列車が走る線路も高徳線に所属している。；元々狭い場所に建設された経緯があり、バリアフリー化は困難な状況だった。；この図はあくまで概略であり、より詳細な分類方法と経緯があることに注意。；こうしたシャロンの行動はオスロ合意の経緯をすべて覆すものであった。；ちなみにこうした経緯が郵便貯金の拡大につながったと考えられる。；しかし平成になって、経緯は不明ながら野生イノシシが再定着している。；以上のような経緯で、本形式の電装品はすべて三菱電機で製造された。；下り快速線のホームがやや傾いた状態であるのは、この経緯のためである。；各国の議会の呼称には、それぞれの歴史や経緯が含まれている。；合併経緯からか泉区は仙台市の他区と比べて特別的扱いが多いと見られている。；更に細かい分類方法と経緯があり、この図はあくまで概略である事に注意。；初代司会者の決定の経緯については、資料によって内容が異なっている。；extがLinuxで採用されたのはその経緯があったためである。；独立の経緯以来、インドとの間では緊張関係が継続している。；過去には法務省内でも死刑の存廃やあり方などを議論してきた経緯がある。；以上の経緯のために、入れ替え以前の数字との単純な比較ができなくなっている。；以上の経緯をもってルシファーは悪魔の名となったとされる。</t>
        </is>
      </c>
      <c r="J2471">
        <f>HYPERLINK("https://www.weblio.jp/content/経緯", "词义详情")</f>
        <v/>
      </c>
      <c r="K2471">
        <f>HYPERLINK("https://yourei.jp/経緯", "查看例句")</f>
        <v/>
      </c>
    </row>
    <row r="2472">
      <c r="A2472" t="inlineStr">
        <is>
          <t>敬意</t>
        </is>
      </c>
      <c r="B2472" t="inlineStr">
        <is>
          <t>成功</t>
        </is>
      </c>
      <c r="C2472" t="inlineStr">
        <is>
          <t>読み方：けいい
尊敬する気持ち。「—を表する」「—を払う」「—をこめる」</t>
        </is>
      </c>
      <c r="D2472" t="inlineStr">
        <is>
          <t>敬意を払うべき；敬意表現；敬意を表すべき；敬意を払つて；敬意を表せざる</t>
        </is>
      </c>
      <c r="E2472" t="inlineStr">
        <is>
          <t>尊敬；名誉；尊重；崇拝；栄誉</t>
        </is>
      </c>
      <c r="F2472" t="inlineStr">
        <is>
          <t>高い敬意；敬意をもたれ；敬意を表すべく</t>
        </is>
      </c>
      <c r="H2472" t="n">
        <v>29</v>
      </c>
      <c r="I2472" t="inlineStr">
        <is>
          <t>いずれも他の土地の人が、訪問した土地に敬意を表してをいう語である。；自然を真に認め敬意を払う者のみが知識に到達できると考えたのである。；そうしたこともあって、内田百閒らの随筆で敬意を持って扱われている。；このようなランドンの姿勢は、紳士的であると多くの人々の敬意を集めた。；私は大統領へのどんな敬意も義務で負わされているとは思いません。；現在、その地には彼らの犠牲に敬意を表する記念碑が建てられている。；最初にその苦労を背負ったのは日本の皆さんで、私は敬意を払っている。；父や姉とは違い、小人の弟ティリオンには敬意と優しさをもって接する。；ニューヨークコーチングクラブに敬意を表したためこの名称になった。；郡の名称はジョン・コーヒー将軍に敬意を表して付けられた。；明治期にあっては御城碁の最後の経験者として敬意を受けていたとされる。；常に相手に敬意を払い、相手の気持ちを汲み取って物を言い、行動する。；この修道院はトゥールの聖マルティヌスに敬意を表する形で建造された。；ナムタルを迎えた神々の中で、ネルガルだけが彼に敬意を示さなかった。；近代以前、修道院長は特別な敬意を持ってメンバーに扱われる存在であった。；父親の友人である初代オークランド男爵に敬意を表したものである。；ルキウス帝はアウレリウス帝ほどフロントから敬意を受けていなかった。；ローマ国家への敬意以外に女神ローマを信仰する理由は全くない。；Uの文字は大学のクラブに起源を持つことに敬意を表している。；やがて上流階級のどのメンバーにも適用される礼儀と敬意のひとつになった。；宗教的な題材を用いた作品や、過去の作曲家に敬意を表した作品が多いことも特徴である。；さらに3人称複数は3人称単数に敬意を示すのに用いることができる。；軍を嫌悪しつつも立派な人物へは敵味方を問わず敬意を払っていた。；非常に気が進まないが、家族の伝統に敬意を表してコニャックは置いていく。；タイトルや歌詞には古から伝わる日本語や日本文化への敬意が込められている。；周囲に必要とされるのは、一貫して、敬意を保ち、裁かない態度である。；病院は地元出身の画家フェルナン・レジェに敬意を表して改装作業を行った。；二人の遺体は所持品により確認され、敬意をもって丁重に埋葬された。；一部の人は敬意を払いたく思い、大聖堂の草の上で一晩寝たとされる。</t>
        </is>
      </c>
      <c r="J2472">
        <f>HYPERLINK("https://www.weblio.jp/content/敬意", "词义详情")</f>
        <v/>
      </c>
      <c r="K2472">
        <f>HYPERLINK("https://yourei.jp/敬意", "查看例句")</f>
        <v/>
      </c>
    </row>
    <row r="2473">
      <c r="A2473" t="inlineStr">
        <is>
          <t>経営</t>
        </is>
      </c>
      <c r="B2473" t="inlineStr">
        <is>
          <t>成功</t>
        </is>
      </c>
      <c r="C2473" t="inlineStr">
        <is>
          <t>読み方：けいえい
［名］(スル)
１事業目的を達成するために、継続的・計画的に意思決定を行って実行に移し、事業を管理・遂行すること。また、そのための組織体。「会社を—する」
２政治や公的な行事などについて、その運営を計画し実行すること。「国家の—」
３測量して、建物をつくること。
「十兵衛が辛苦—むなしからで、感応寺生雲塔いよいよ物の見事に出来上り」〈露伴・五重塔〉
４物事の準備や人の接待などにつとめはげむこと。けいめい。
「湯を沸(わ)かすやら、粥(かゆ)を煮るやら、いろいろ—してくれたそうでございます」〈芥川・運〉
５急ぎあわてること。けいめい。
「早朝告げあり。—参入す」〈小右記・長保元年一一月〉</t>
        </is>
      </c>
      <c r="D2473" t="inlineStr">
        <is>
          <t>経営する(14%)；経営者(4%)；経営権(2%)；経営破綻；経営状況</t>
        </is>
      </c>
      <c r="E2473" t="inlineStr">
        <is>
          <t>行う；運営；管理；指揮；指導</t>
        </is>
      </c>
      <c r="F2473" t="inlineStr">
        <is>
          <t>企業経営；ホテル経営；球団経営；経営分離；経営難</t>
        </is>
      </c>
      <c r="G2473" t="inlineStr">
        <is>
          <t>経営陣；経営学；経営難；経営学部；経営不振</t>
        </is>
      </c>
      <c r="H2473" t="n">
        <v>29</v>
      </c>
      <c r="I2473" t="inlineStr">
        <is>
          <t>LLCには大きく分けて、社員直接経営型と経由経営型の二種類がある。；こうした経営努力の結果、同年8月6日に鉄道の当面の存続が決定した。；かつての国鉄は解体され、官民協力体制の下で委託経営が行われている。；経営状況を勘案して、海外から撤退して業務を国内に限る邦銀もあった。；この発表を受け、学習塾を経営する企業などの教育関連の株が急落した。；植民地を獲得したあとは、その植民地を統治・経営することになる。；ペンシルバニア鉄道は辞めたがその経営陣とは密接な関係を保っていた。；しかし、本格的な経営は困難な状態で、西域都護を派遣できずにいた。；開業後の輸送状況も好調であったことから、経営面でも負担にはならなかった。；しかし社長は不在であったため、小林が経営の実権を握ることになった。；小林新社長が経営安定化とチーム成績向上を迫られた一年となった。；このような経歴から、同年10月3日より上田電鉄の経営となっている。；経営活動上の問題点としては、過当競争が最も大きな問題であるとされた。；中には開発によって農業をやめた住民が商店を経営するということもあった。；ジョサイアの死後、その息子であるジョサイア二世が経営を引き継いだ。；こうして病院は人件費を一定に抑え、経営を安定させようと図る。；建設および経営にはニューヨーク・ニュージャージー港湾公社があたっていた。；経営学部国際経営デザイン学科の1年次が全寮制教育を行う予定である。；このような経営陣で会社を運営し、鉄道用地の買収を開始する。；下記の区間は利用者が多い区間で経営状況は開示されていない。；現在では京成電鉄の経営は当時に比べて改善しているが出資比率等は変わっていない。；鉄道を中心にした経営ではなく、主力は路線バス・貸切バス事業となっている。；相模原線の建設は、後年になって経営に大きな問題を生じさせる結果となった。；経営は専務である妻と二人三脚で行い、店舗は妻の実家の軒先を借りていた。；実際の藩牧経営は地元農民に転嫁され、夫役を徴収して行われていた。；荘園は、公的支配を受けない一定規模以上の私的所有・経営の土地である。；これは特に整備新幹線の並行在来線が経営分離されることで発生することが多い。；過去に以下の経営形態で鉄道事業を行っていた事業者があった。；野球チームの経営はオーナー企業の広報活動の二次的なものに過ぎないからである。</t>
        </is>
      </c>
      <c r="J2473">
        <f>HYPERLINK("https://www.weblio.jp/content/経営", "词义详情")</f>
        <v/>
      </c>
      <c r="K2473">
        <f>HYPERLINK("https://yourei.jp/経営", "查看例句")</f>
        <v/>
      </c>
    </row>
    <row r="2474">
      <c r="A2474" t="inlineStr">
        <is>
          <t>敬遠</t>
        </is>
      </c>
      <c r="B2474" t="inlineStr">
        <is>
          <t>成功</t>
        </is>
      </c>
      <c r="C2474" t="inlineStr">
        <is>
          <t>読み方：けいえん
［名］(スル)
１表面では敬う態度で、実際にはかかわりを持たないようにすること。「口うるさいので周囲から—される」
２かかわりを持つことを嫌ってその物事を避けること。「めんどうな仕事を—する」
３野球で、投手が打者との勝負を避け、故意に四球を与えること。「強打者を—する」</t>
        </is>
      </c>
      <c r="D2474" t="inlineStr">
        <is>
          <t>敬遠する(15%)；敬遠される(13%)；敬遠されがち(3%)；敬遠しがち；敬遠気味</t>
        </is>
      </c>
      <c r="E2474" t="inlineStr">
        <is>
          <t>回避；忌避；疎外；ないがしろ；仲間はずれ</t>
        </is>
      </c>
      <c r="F2474" t="inlineStr">
        <is>
          <t>最多敬遠；連続敬遠；敬遠作戦；敬遠する傾向；敬遠される傾向</t>
        </is>
      </c>
      <c r="H2474" t="n">
        <v>29</v>
      </c>
      <c r="I2474" t="inlineStr">
        <is>
          <t>なにしろ一羽一万円するのであるから、初めから敬遠しているのである。；皮肉にもそういう大竹のほうが、モデルになる女優たちから敬遠された。；キリスト教を信仰していたため敬遠されたことがその理由であった。；ジャンヌをはじめ様々な女性に声をかけるが、たいてい敬遠されている。；手早に言へば、彼は或る敬遠のさびしさを味ひながら成長したのである。；そんな性格が部内の仲間から敬遠される原因になったのかもしれない。；奴がそれまで敬遠していたのは、マーセラが子供を持っていたからだ。；このためシリアル型やフラッシュメモリに比べて敬遠される傾向にある。；もっとも酒も煙草もコーヒーも、相変らず敬遠して、神妙にはしていた。；もし選ぶことが許されるならまさに私が敬遠するタイプの刑事だ。；いや、あの女性でないにしても、大抵の女は敬遠しそうなものではないか。；明らかにうんざりするようなこの男の話を敬遠しようという腹なのだ。；彼の取って付けたような豹変の態度に、弱いものは怯えて敬遠し出した。；手柔かいのでも、あまり民衆的ではないようだからここには敬遠する。；彼らを敬遠しようとしたが、その時わたしは彼らが興奮している原因を見つけた。；きょうだいたちは父を敬遠していたが、私には話のわかる父だった。；この大論文は、もちろん現代の気象学者からは、態よく敬遠されている。；ほとんどの作家がこの語を敬遠する一方で、数人の作家はこれを受け入れた。；こうした姿勢が、後に歴代政権に敬遠されるもととなったという評価もある。；秋好は大学の授業中に子供のような理想論を発表するために周りから敬遠されていた。；どちらかといえば敬遠気味のこんな態度はただに当時の観客ばかりではなかった。；ただし愛情だけあって、金のない男はもちろん敬遠すべきである。；植物観察では相手にされることが少なく、敬遠されることが多い点でも共通している。；こうした赤色は血液を連想させてしまい消費者に敬遠されることもある。；西ヨーロッパと、その植民地では、不名誉なと同様に敬遠対象であった。；三塁側の三原監督は、ここで権藤に山内を敬遠するように指示を出した。；ただし、日本では「煮ても焼いても食えない」とされて敬遠されてきた。；また、車両保守部門からも重装備過ぎる車両として敬遠されがちであった。；ただこうした演出法は極端だと敬遠されたともいわれる。</t>
        </is>
      </c>
      <c r="J2474">
        <f>HYPERLINK("https://www.weblio.jp/content/敬遠", "词义详情")</f>
        <v/>
      </c>
      <c r="K2474">
        <f>HYPERLINK("https://yourei.jp/敬遠", "查看例句")</f>
        <v/>
      </c>
    </row>
    <row r="2475">
      <c r="A2475" t="inlineStr">
        <is>
          <t>経過</t>
        </is>
      </c>
      <c r="B2475" t="inlineStr">
        <is>
          <t>成功</t>
        </is>
      </c>
      <c r="C2475" t="inlineStr">
        <is>
          <t>読み方：けいか
［名］(スル)
１時間が過ぎること。「10年の歳月が—した」
２ある時間内の物事の進行・変化のぐあい。成り行き。「手術後の—は良好」「試合の途中—」
３ある場所・段階を通りすぎること。
「即是れ人類の当(まさ)に—す可(べ)き階級なり」〈福沢・文明論之概略〉
４小さな天体が大きな天体の前面を通過する現象。</t>
        </is>
      </c>
      <c r="D2475" t="inlineStr">
        <is>
          <t>経過する(7%)；経過後；経過観察；経過措置；経過時間</t>
        </is>
      </c>
      <c r="E2475" t="inlineStr">
        <is>
          <t>行く；開発；展開；発展；成長</t>
        </is>
      </c>
      <c r="F2475" t="inlineStr">
        <is>
          <t>以上経過；近く経過；死後経過；戦闘経過；時間的経過</t>
        </is>
      </c>
      <c r="G2475" t="inlineStr">
        <is>
          <t>経過表；経過図</t>
        </is>
      </c>
      <c r="H2475" t="n">
        <v>29</v>
      </c>
      <c r="I2475" t="inlineStr">
        <is>
          <t>本の中では数十年が経過しており、誰も当時の自分を知る者はなかった。；ほとんどの場合は発生から年月が経過してからまとめの形で掲載している。；プルタルコスはアッピアノスのそれとは大きく異なる経過を述べている。；宇宙の誕生から現在までの経過時間は様々な方法やモデルに基づいて計算されている。；気がつくと2時間半経過しており、その間の記憶は一切失われていたという。；この会議とその後の経過によってニカイア派が正統の地位を占めていく。；これらの近代的な検査が存在しなかった場合は身体診察で経過観察を行っていた。；なお、時代の経過とともに建設費がいかに上昇したかは次の例で表される。；胎勢は分娩経過中に変化することもあり、難産の要因となることもある。；戦闘が発生したシーンは、ラウンドと呼ばれる単位で時間の経過を管理する。；一般国道の路線を指定する政令に基づく起終点および経過地は次の通り。；このような歴史的経過から、GBSの名称には以下の様々が混在している。；行為の時から10年を経過したときも、提起することができなくなる。；前回の改造から10年以上経過したこともあり、以下の変更点がある。；NHK名古屋放送局のテレビ放送もやっと5年を経過した状況であった。；但し発売から相当年数経過の作品では対応していないため注意が必要であった。；経過が一定ではなく様々なパターンをとることが分かる。；しばらく経過した1945年の初め頃、他の傷病兵と後方に送られる。；この時のWinkの一時再開は、前年から以下のような経過を経て実現している。；時間が経過するとともに、同規模の銀河が衝突する事例は少なくなる。；これらの経過は以下のように整理することができる。；このような経過を経て登場したのが、7000系パノラマカーである。；JET研究では最終発作から3週間以上経過したあとに行なっている。；これらの組織は戦後は、経過措置団体を経て日本経済団体連合会となった。；著作権は、著作者が死亡してから70年を経過するまでの間、存続する。；死後時間が経過したサメやエイの体からは、強烈なアンモニア臭がする。；番組の随所・合計で途中経過が伝えられたがその経過が次の通り。；ただし、2000年代中期以降は時間経過の設定が曖昧になっている。；時の経過とともに、INGRESは新しい標準SQLに移行していった。</t>
        </is>
      </c>
      <c r="J2475">
        <f>HYPERLINK("https://www.weblio.jp/content/経過", "词义详情")</f>
        <v/>
      </c>
      <c r="K2475">
        <f>HYPERLINK("https://yourei.jp/経過", "查看例句")</f>
        <v/>
      </c>
    </row>
    <row r="2476">
      <c r="A2476" t="inlineStr">
        <is>
          <t>警戒</t>
        </is>
      </c>
      <c r="B2476" t="inlineStr">
        <is>
          <t>成功</t>
        </is>
      </c>
      <c r="C2476" t="inlineStr">
        <is>
          <t>読み方：けいかい
［名］(スル)危険や災害に備えて、あらかじめ注意し、用心すること。「徹夜で—にあたる」「インフレを—する」</t>
        </is>
      </c>
      <c r="D2476" t="inlineStr">
        <is>
          <t>警戒心(11%)；警戒するよう；警戒警報；警戒隊；警戒網</t>
        </is>
      </c>
      <c r="E2476" t="inlineStr">
        <is>
          <t>見る；注意；恐怖；守る；監視</t>
        </is>
      </c>
      <c r="F2476" t="inlineStr">
        <is>
          <t>厳重な警戒；無警戒；警戒体制；警戒音；警戒用</t>
        </is>
      </c>
      <c r="G2476" t="inlineStr">
        <is>
          <t>警戒態勢；警戒区域；警戒色；警戒監視；警戒レベル</t>
        </is>
      </c>
      <c r="H2476" t="n">
        <v>29</v>
      </c>
      <c r="I2476" t="inlineStr">
        <is>
          <t>そのなかで、議会は革命の推進役となった軍に警戒を強めつつあった。；少数の警備員で多数の施設を警戒することが出来るため費用が安くすむ。；主に警備施設内に設置されている駐車場で警戒する業務である。；飫肥藩や、家督争いになった垂水島津家を警戒してのことだったという。；しかし国防軍は親衛隊の軍隊化を徐々に警戒するようになりはじめた。；早々と警戒体制を緩めたことには当時の兵士らにも奇妙に感じたとの声も多い。；しかし英仏から警戒されたうえ、ロシアがあてにならなかった。；警戒中のヘリコプターが不審人物を発見するが、犯人を逃がしてしまう。；この頃より警察が出動して警戒に当たるとともに、自主避難も始まった。；京方の使者である押松はその少し後に到着し、警戒していた幕府方に捕らえられた。；私学校徒達はこれを不審に思い、その目的を聞き出すべく警戒していた。；それぞれ役割があり、案内・警戒・規制・指示の各種類ごとに設置者が決められている。；これを警戒したイギリスは艦隊を派遣してド・ゴール将軍の攻略に協力することとした。；この津波被害を受け、アメリカ合衆国は地震警戒システムをつくった。；ジェーンは贈り物を返した上、王と2人きりにならないよう警戒していた。；オスのみが出す警戒声は鳥類の中でも最も大きく歓声のような独特な声である。；主に幹部移送・偵察・捜査・警戒・広域捜索の各任務で運用している。；第八艦隊司令部はアメリカ軍機動部隊に襲撃されることを警戒して離脱を決定。；また後述する事故が元となって、雷に対する警戒を徹底させることでも有名。；これは親や群れの成鳥がその姿を見て警戒音を発するのを聞いて覚えるという。；主力部隊は主隊と警戒隊から成り、鳳翔は山本長官直率の主隊に属した。；これは長年に渡って保護されてきたからであり、保護されていない地域にいる個体は警戒心が強い。；この日も米艦の警戒が厳重であり、翌6月1日に作戦は中止となった。；警戒心が強く、声が聞こえても姿が見えないことが多い。；川を潜ることで武田軍の警戒の目をくらまし、無事に包囲網を突破した。；警戒心が低いのか人の近くにも寄ってくる。；空気より重いガスで、非常に引火しやすく、厳重な警戒が必要である。；反面、激しい性格と反抗的な態度から政府に警戒されるようになる。；そのため、これを警戒した他のディアドコイとの対立が激化することとなった。</t>
        </is>
      </c>
      <c r="J2476">
        <f>HYPERLINK("https://www.weblio.jp/content/警戒", "词义详情")</f>
        <v/>
      </c>
      <c r="K2476">
        <f>HYPERLINK("https://yourei.jp/警戒", "查看例句")</f>
        <v/>
      </c>
    </row>
    <row r="2477">
      <c r="A2477" t="inlineStr">
        <is>
          <t>軽快</t>
        </is>
      </c>
      <c r="B2477" t="inlineStr">
        <is>
          <t>成功</t>
        </is>
      </c>
      <c r="C2477" t="inlineStr">
        <is>
          <t>読み方：けいかい
［名・形動］(スル)
１軽々としていて、動きのすばやいこと。また、そのさま。「—な身のこなし」
２軽やかで、気持ちがよいこと。また、そのさま。「—なリズム」
３病気がよくなること。症状が軽くなること。「手術が成功してかなり—する」
[派生]けいかいさ［名］</t>
        </is>
      </c>
      <c r="D2477" t="inlineStr">
        <is>
          <t>軽快なリズム；軽快気動車；軽快な動き；軽快な音楽；軽快なフットワーク</t>
        </is>
      </c>
      <c r="E2477" t="inlineStr">
        <is>
          <t>回復；軽い；治癒；軽やか；身軽</t>
        </is>
      </c>
      <c r="F2477" t="inlineStr">
        <is>
          <t>明るく軽快；軽快な曲；自然軽快；軽快な足どり；軽快な印象</t>
        </is>
      </c>
      <c r="G2477" t="inlineStr">
        <is>
          <t>軽快電車</t>
        </is>
      </c>
      <c r="H2477" t="n">
        <v>29</v>
      </c>
      <c r="I2477" t="inlineStr">
        <is>
          <t>軽快ないでたちをした運用方士官が水夫を連れて甲板を急ぐのであった。；エンジンや電気系統などは現代の物を使用しており軽快に走行する。；平一郎にはあまりに軽快すぎるような気もしたが悪い気はしなかった。；二人の走って行く様は、檻から解放された獣かのように軽快であった。；パワーと大きさに負けないシャシーを新開発し、軽快な走りを披露した。；アセンブリ言語で書かれていることもあって非常に軽快な動作である。；子供の場合は柴胡桂枝湯に変更しなくともすぐに軽快することが多い。；楽器構成は軽快なアコースティック・ギターの演奏を中心に据えている。；前半はロンド形式のような構成になっており、軽快な主題が支配する。；軽快に飛行し、素速く、空中で他の鳥から略奪することが知られている。；機体が軽量だったため速力・運動性・上昇力に優れた軽快な機体となった。；病気を治癒させたり、症状を軽快にさせるための行為のことである。；夕飯の時は、またお角を相手にして、軽快に四方山の話を語り出でました。；このため横長の平屋であっても軽快な印象を与えるデザインが特徴的である。；充実した機能を搭載するが、画面構成はシンプルであり軽快に動作する。；軽快なフットワークとリーチの長さがあり、サイズ、強さも備えている。；このためライブラリ全体のサイズが小さく、非常に軽快な動作が可能である。；軽快な守備ですぐにレギュラーとなり、には初のオールスター出場を果たす。；庭は閉ざされていたが、自然は軽快で豊かで放逸で香気を発していた。；作品の前半はほぼト音記号のみで書かれており、軽快な響きを持つ。；軽快な言葉つきや態度などが、いよいよ軽快になるばかりであった。；以後も、勝負強い打撃と軽快な守備で三塁手のレギュラーとして活躍した。；軽快さと高いカスタマイズ性を売りにしたウィンドウマネージャである。；だが私は大いに、そしてある種の軽快さをもって働きもした。；それを自分のマシンで、しかも軽快なスピードで味わえるようになったのです。；リアリティは劣るものの動作の軽快さから未だに使っている人も多い。；他ソフトと比べても非常に軽快な動作が特徴である。；身体能力が高く、強肩と反応のよさを生かした軽快な内野守備を見せる。；戦後日本車の輸出での強みが小型軽快であることは、この時点で確定していた。</t>
        </is>
      </c>
      <c r="J2477">
        <f>HYPERLINK("https://www.weblio.jp/content/軽快", "词义详情")</f>
        <v/>
      </c>
      <c r="K2477">
        <f>HYPERLINK("https://yourei.jp/軽快", "查看例句")</f>
        <v/>
      </c>
    </row>
    <row r="2478">
      <c r="A2478" t="inlineStr">
        <is>
          <t>計画</t>
        </is>
      </c>
      <c r="B2478" t="inlineStr">
        <is>
          <t>成功</t>
        </is>
      </c>
      <c r="C2478" t="inlineStr">
        <is>
          <t>読み方：けいかく
［名］(スル)ある事を行うために、あらかじめ方法や順序などを考えること。また、その考えの内容。もくろみ。プラン。「—を立てる」「—を練る」「工場移転を—する」</t>
        </is>
      </c>
      <c r="D2478" t="inlineStr">
        <is>
          <t>計画案；計画段階；計画どおり；計画中止；計画変更</t>
        </is>
      </c>
      <c r="E2478" t="inlineStr">
        <is>
          <t>予定；考える；設計；デザイン；企画</t>
        </is>
      </c>
      <c r="F2478" t="inlineStr">
        <is>
          <t>作戦計画；当初計画；暗殺計画；再建計画；度計画</t>
        </is>
      </c>
      <c r="G2478" t="inlineStr">
        <is>
          <t>計画通り；計画都市；計画経済；計画書；計画局</t>
        </is>
      </c>
      <c r="H2478" t="n">
        <v>29</v>
      </c>
      <c r="I2478" t="inlineStr">
        <is>
          <t>このコンサートは第31回G8サミットと同時になるように計画された。；ただしこの時点ではフランス側の作戦計画は察知できてはいなかった。；新宿区の都市計画道路に基づき、主に以下の路線が建設・計画中である。；この映像は今後の計画検討の際などに利用される予定である。；またこの他ににもストライキの計画があったが、寸前で交渉が妥結した。；会議では、初期の頃の空軍のX-20計画を含む様々な提案がなされた。；そのため、目的に応じて、この二つの行動を計画的に行わなければならない。；また、将来の道路のアンダーパス計画の設置スペースを確保している。；夫人は伯爵が来たら計画がぶち壊しなので何とかやりすごそうとする。；この点から都市計画が提案されており、計画は今も進められている。；記念表彰は計画終了後に起業家たちが収集家を満足させるために制作した。；規模を縮小の上改めて入曽駅周辺の再整備計画が立案されることになった。；この計画を積極的に提唱したのはラムズフェルド国防長官だと言われている。；彼らを中心とする人々が、その後新幹線計画を推進することになる。；彼はオーストリア皇帝や廷臣たちと作戦計画や補給関連の協議を持った。；イスラエルはで、先の1600戸を合わせ5万戸の入植を計画している。；それとともに、町と町を結ぶ新たなライトレール網も計画されている。；Itaniumのサポートは一度は計画されたが、市場導入には至っていない。；これまで開発が行われてこなかった当駅西口エリアでも再開発が計画されている。；鉄道運行計画では、車両運用という形で車両の使用計画が立てられている。；後述するように乗り入れ対応の車両である6500形の導入計画を有している。；このような「何かをする計画」の場合には を用い、 は用いない。；キセノンを追加したより汚染の少ない改良バルーンが計画されている。；以下の新駅建設の話が以前より出ているが、いずれも具体的計画には至っていない。；東西方向の高速道路はのみで、過去に持ち上がったとの計画は破棄された。；ロシア語では、日本語の「計画」に当たる意味で用いられるのはである。；浜田は異なる市場向けに両方の計画を採用することにした。；州内に9か所のカジノがあり、建設中または計画中のものが3か所ある。；具体的な計画は以下のものがあげられている。</t>
        </is>
      </c>
      <c r="J2478">
        <f>HYPERLINK("https://www.weblio.jp/content/計画", "词义详情")</f>
        <v/>
      </c>
      <c r="K2478">
        <f>HYPERLINK("https://yourei.jp/計画", "查看例句")</f>
        <v/>
      </c>
    </row>
    <row r="2479">
      <c r="A2479" t="inlineStr">
        <is>
          <t>警官</t>
        </is>
      </c>
      <c r="B2479" t="inlineStr">
        <is>
          <t>成功</t>
        </is>
      </c>
      <c r="C2479" t="inlineStr">
        <is>
          <t>読み方：けいかん
警察官のこと。</t>
        </is>
      </c>
      <c r="D2479" t="inlineStr">
        <is>
          <t>警官たち(9%)；警官達；警官隊；警官役；警官ども</t>
        </is>
      </c>
      <c r="E2479" t="inlineStr">
        <is>
          <t>警察；警察官；巡査；察；ポリス</t>
        </is>
      </c>
      <c r="F2479" t="inlineStr">
        <is>
          <t>若い警官；元警官；武装警官；悪徳警官；女性警官</t>
        </is>
      </c>
      <c r="G2479" t="inlineStr">
        <is>
          <t>警官殺し；警官練習所；警官ミッション；警官の血</t>
        </is>
      </c>
      <c r="H2479" t="n">
        <v>29</v>
      </c>
      <c r="I2479" t="inlineStr">
        <is>
          <t>証拠もなく、証人もいなければこれ以上の捜査はできないと警官が言う。；男性警官が詳しく事件当時の恥ずかしい状況を聞くのはまだいいという。；この騒動以降は自身から警官と挨拶などをするようになったと述べている。；パトカーの色が青に変更されると同時に制服警官の制服も青になった。；医者もそうだし、警官も消防士もそうなのだから、作家もそうですよね?；日本の警察では、警官の装備は拳銃が右・警棒が左の配置になっている。；今日も2グループの間で争いが起きるが警官の呼子笛の音に止められる。；捜査会議の場で台詞がある女性警官はオリンピア・デュカキスであった。；警官や中畑らの協力もあって、螢が無事に戻ったのは夜中のことだった。；加えて、警察と反対派の間で衝突が発生し、警官側に負傷者が発生した。；彼は火のついたものを持った人影を見て、警備を行っていた警官に急報した。；キングは南部でこれまで見た中でも最悪の警官による残忍さだと言った。；更生して警官になった主人公は何者の意図によるのか、その秘密を追う。；本物のスレーターはヘンドリックスが湖で見つけた氷漬けの警官だった。；翌日警官たちはトマスがモネを持って美術館へ来るのを待ち構えていた。；本映画では、警官の訊問場面以降の沖野の運命が新たに描かれている。；そんな彼だが、妻で地元の警官のペネロペはそんな彼を励まし続けていた。；しかし車の上など高い場所に乗ると警官と同じようにピストルに切り替わる。；ドイツの市民権はドイツの警官になるためには必要とされない。；同月ジルバーバウアーの警官の職は停止され、彼の裁判が開始された。；その男性的な風貌から若い頃は警官や軍人役を持ち役とした。；相沢事件以降は憲兵・警視庁警官が二人の周囲を警戒・監視している。；寝過ぎてしまったと思うが、護衛していたはずの警官達はどこにも見当たらない。；マーヴィンと話しているうちに、警官が死んだ理由が分かってくる。；私がそこへ戻ると、人力車の車夫と警官たちが狂人を取り押さえていた。；警察に勤務する者は軍と同様に警官と文民に分けられている。；その五ヶ月後に大陪審は8名のデモ参加者および8名の警官を起訴した。；また、射殺した警官が所持していた拳銃を女性行員に命じて奪わせた。；ヌーナンの弟を殺したのはホイスパーでなく、当時の警官であること。</t>
        </is>
      </c>
      <c r="J2479">
        <f>HYPERLINK("https://www.weblio.jp/content/警官", "词义详情")</f>
        <v/>
      </c>
      <c r="K2479">
        <f>HYPERLINK("https://yourei.jp/警官", "查看例句")</f>
        <v/>
      </c>
    </row>
    <row r="2480">
      <c r="A2480" t="inlineStr">
        <is>
          <t>計器</t>
        </is>
      </c>
      <c r="B2480" t="inlineStr">
        <is>
          <t>成功</t>
        </is>
      </c>
      <c r="C2480" t="inlineStr">
        <is>
          <t>読み方：けいき
物の長さ・重さ、また、速さなどを計る器械。計量器械。メーター。</t>
        </is>
      </c>
      <c r="D2480" t="inlineStr">
        <is>
          <t>計器盤(17%)；計器類(16%)；計器板(2%)；計器パネル；計器着陸装置</t>
        </is>
      </c>
      <c r="E2480" t="inlineStr">
        <is>
          <t>機械；機器；機材；器械；インジケーター</t>
        </is>
      </c>
      <c r="F2480" t="inlineStr">
        <is>
          <t>アナログ計器；飛行計器；工業計器；各種計器；用計器</t>
        </is>
      </c>
      <c r="G2480" t="inlineStr">
        <is>
          <t>計器着陸装置；計器飛行方式；計器用変圧器；計器用変成器；計器用変流器</t>
        </is>
      </c>
      <c r="H2480" t="n">
        <v>29</v>
      </c>
      <c r="I2480" t="inlineStr">
        <is>
          <t>当時のホンダ車に共通する飛行機風の計器類のデザインは印象的である。；試験結果は飛行中にNAV計器が誤った表示をする可能性を示していた。；それから、計器板と同じくらい複雑な切削機の上で一つの型をつくった。；中には計器類の写真を貼った板の前に椅子を並べただけの装置もある。；このためパイロットは故障した計器類を使用せずに機体を着陸させている。；速度や姿勢を表示する計器や主要な飛行制御装置は左側の機長席にある。；われわれが最初の計器探査を行なった直後から、作動を始めたようです。；屈折計器の基本的性質も研究し、理論の基本表現とその応用を行った。；空港では新世代の計器着陸装置であるタレス 420が使用されている。；また、人間の計器としての感覚特性を研究するために行われる場合もある。；ぼくはあちこちと見て歩いて、たくさんのすぐれた計器類を発見した。；また、この企画での計測用に番組オリジナルの様々な計器が登場した。；その男はドイツ語を話し、ロケットの計器類の表示もドイツ語だった。；計器が数えるほどしかついていないパネルに一枚の紙がとめてあった。；雨が降っているがどうかの観測には目視のほか、計器では感雨計を用いる。；時間旅行の速度を示す計器盤の小さな針がますます速度を上げて回転した。；監視所内には計器類やスクリーンが天井から床までビッシリ並んでいる。；停電や故障したときなど、緊急事態に備えた予備計器も用意されている。；一番上に並んでいる計器の右から三番めの四角い箱型の計器を見てくれたまえ。；従来の機械式計器では、一つの情報を表すのに最低一つの表示面を必要とした。；疲労のため、目は計器の数字を追ってはいるものの思考がついていかない。；また、計器機器類や主機械もダメージを受け一部区画に浸水が起こった。；彼は計器のスイッチをぱちぱちと切りかえて、指針の動きに気をつけた。；自動車草創期にこの板に計器類を取り付けたのが始まりとされる。；この計器盤の前でキャンプなんかする奴は、まったくの余計者なんだよ。；また、ノッチ表示灯の設置、計器類・スイッチ類の配置の見直しを実施。；二人はいまや、息づまるほどの不安の中で、計器類の針に目をこらした。；しかし、内装は再現されているものの、計器類は全く機能していない。；理由は計器装置の類がほとんど破壊されたからであります。</t>
        </is>
      </c>
      <c r="J2480">
        <f>HYPERLINK("https://www.weblio.jp/content/計器", "词义详情")</f>
        <v/>
      </c>
      <c r="K2480">
        <f>HYPERLINK("https://yourei.jp/計器", "查看例句")</f>
        <v/>
      </c>
    </row>
    <row r="2481">
      <c r="A2481" t="inlineStr">
        <is>
          <t>景気</t>
        </is>
      </c>
      <c r="B2481" t="inlineStr">
        <is>
          <t>成功</t>
        </is>
      </c>
      <c r="C2481" t="inlineStr">
        <is>
          <t>読み方：けいき
１売買や取引などに現れる経済活動の状況。特に、経済活動が活気を帯びていること。好景気。「—が上向く」「—が回復する」「—のいい店」
２活気があること。威勢がよいこと。「一杯飲んで—をつける」「—よく太鼓を打ち鳴らす」
３人気。評判。
「牛肉も伝染病のふうぶんで大きに—を落としましたが」〈魯文・安愚楽鍋〉
４物事のようす。ありさま。また、情景。景色。
「幾分厳(いか)めしい—を夜陰に添えたまでで」〈漱石・彼岸過迄〉
５和歌・連歌・俳諧で、景色や情景のおもしろさを主として詠むこと。景曲。「—の句」</t>
        </is>
      </c>
      <c r="D2481" t="inlineStr">
        <is>
          <t>景気よく(9%)；景気低迷(4%)；景気悪化(2%)；景気刺激；景気付け</t>
        </is>
      </c>
      <c r="E2481" t="inlineStr">
        <is>
          <t>財政；売れ行き；商い；財政状況；財政状態</t>
        </is>
      </c>
      <c r="F2481" t="inlineStr">
        <is>
          <t>世界的な景気；復興景気；戦時景気；ゴム景気；インフレ景気</t>
        </is>
      </c>
      <c r="G2481" t="inlineStr">
        <is>
          <t>景気回復；景気づけ；景気循環；景気対策；景気刺激策</t>
        </is>
      </c>
      <c r="H2481" t="n">
        <v>29</v>
      </c>
      <c r="I2481" t="inlineStr">
        <is>
          <t>景気の可い様な事を書いてやつて安心さしたのに、と思つて四辺を見た。；日給一円八十銭で、家族七人と来ちゃ、景気のいい筈がねえじゃねえか?；戦争景気が及ぶ場所は、直接戦場となっていない国であることが多い。；あとで景気でもよくなればだが、大事な子は殺される、物価は高くなる。；この業務は法令で定められているため、景気に左右されない職種である。；景気が悪い時に増税して、財政再建が成功した例は世界的に見てもない。；大正三年になると、問題にならないほど今度は景気が悪くなりました。；景気が良かったら、もっとお金のかかる大作を映画化するんだろうけど。；こういう話は景気をつけるだけならよいが、必ず悪い影響があるものである。；この景気低迷の期間中心街の建物の大半が変更を加えられずに残った。；そこへ持って来て、筍を三本、景気に描いたのは、どう云う了見だろう。；そこに住んでいる商人たちはみんな景気がよさそうであった。；能登守自身もまた馬に乗っては、この工事の景気を時々巡視に行きました。；あの時は強ひて景気をつけてゐたから、君には有為多望の様に見えたんだらう。；あの時は強いて景気をつけていたから、君には有為多望の様に見えたんだろう。；其れも小学校や中学校の生徒のように多勢景気よく練って来るのではない。；フランス人はフォアグラを買うことに景気付けの意味合いもあるという。；威勢ついでにあたれとおっしゃったからね、景気をつけているんですよ。；景気予測とは、将来の景気がどうなるかについての予測のことである。；企業を心のより所としている彼らが、景気が悪くなって初めてロボットから個人に戻る。；少ない客を載せた円太郎は、雪汗を飛ばせながら景気よく駆けて来る。；国内総生産を構成する主要な要素の一つであり、景気に与える影響が大きい。；また、景気の波に左右されやすい証券市場で安定収入が得られるか。；やっぱり、じゃ、工場だなんて大きな顔していても、景気はよくねえんだな?；失業率は景気と相関があると言われているが、動きが一致するとは限らない。；公共投資は景気刺激効果をもたらし、GDP上昇に繋がるとされている。；また景気の見通しが暗い時期には期待利潤率がマイナスになる場合もある。；全体の感じが我国の西部諸州に於る、新しい、然し景気のいい村である。；スカートの長さの流行と景気の動向との関連などが取り上げられることもある。</t>
        </is>
      </c>
      <c r="J2481">
        <f>HYPERLINK("https://www.weblio.jp/content/景気", "词义详情")</f>
        <v/>
      </c>
      <c r="K2481">
        <f>HYPERLINK("https://yourei.jp/景気", "查看例句")</f>
        <v/>
      </c>
    </row>
    <row r="2482">
      <c r="A2482" t="inlineStr">
        <is>
          <t>契機</t>
        </is>
      </c>
      <c r="B2482" t="inlineStr">
        <is>
          <t>成功</t>
        </is>
      </c>
      <c r="C2482" t="inlineStr">
        <is>
          <t>読み方：けいき
１きっかけ。動機。「失敗を—に体制を立て直す」
２ヘーゲルの弁証法の用語。全体を構成するために不可欠な要素。また、事物の動的過程において、その変化・発展を規定する本質的・必然的な通過段階。</t>
        </is>
      </c>
      <c r="D2482" t="inlineStr">
        <is>
          <t>契機に徐々に</t>
        </is>
      </c>
      <c r="E2482" t="inlineStr">
        <is>
          <t>本；元；機；原因；縁</t>
        </is>
      </c>
      <c r="F2482" t="inlineStr">
        <is>
          <t>大きな契機；重要な契機；突入契機；諸契機；発展する契機</t>
        </is>
      </c>
      <c r="H2482" t="n">
        <v>29</v>
      </c>
      <c r="I2482" t="inlineStr">
        <is>
          <t>再評価の動きがあらわれたのは、皮肉にも竹林自身の死が契機であった。；種社会は様々な契機によって分裂し、別の種社会を形成するようになる。；このユニフォームが採用される契機になったのは山下大輔の入団である。；軍隊の組織が大きく変化した契機となった事件にフランス革命がある。；孫策はこれを契機に袁術からの独立を決意し、完全な自立勢力となった。；これを契機に前述の岡田屋も店舗を近畿日本四日市駅前に移転している。；政府の行政改革を契機に、日本学術会議も改革が求められるようになる。；それまで新聞記者であった司馬が作家となる契機となった作品である。；ブラバム自身は1969年の負傷を契機に引退を考えるようになっていた。；また、本作の受賞は日本映画産業が国際市場に進出する契機となった。；このことは日本人労働者がオーストラリアに向かう契機となった。；これを契機に研究が進んだ結果、各地で種分化が進んでいることが判明した。；虐殺を契機に戦争が再開すると、アンリはカトリック側で参戦している。；これを契機に日本の政府与党は有事法制の整備に向けた検討を開始していく。；時局柄、空襲が土地の買収の契機となったことさえあったようである。；その経験から、同党は「自主独立の重大性を認識させる契機」となった。；この一戦を契機に名の知れた存在となると同時に悪評も聞かれるようになった。；この経験がモータースポーツに人生を賭ける契機になったといわれる。；これが契機となって、後にファラデーとの間に交流が生まれている。；第一章では文明期への移行の契機が整理されている。；これが契機となって緒方自身は国際連合の仕事に関わるようになる。；この二十五三昧が12世紀後半の共同墓地出現の契機とも考えられている。；この成功を契機に、日本での成功を求めて韓国芸能人の来日が相次いだ。；このことが契機となって1970年代以降、発着ホームが行き先別に固定化された。；それは技術とデザインの面も含めて日本の自動車業界として一つの契機となった。；これがオーストラリアに日本人が進出する契機となった。；これは当時悪人扱いだった曹操の評価を改める大議論の契機となった。；これが契機となり、新しい校舎が建設されることになった。；同年勃発した朝鮮戦争の特需で経営基盤の安定と企業成長の契機をつかんだ。</t>
        </is>
      </c>
      <c r="J2482">
        <f>HYPERLINK("https://www.weblio.jp/content/契機", "词义详情")</f>
        <v/>
      </c>
      <c r="K2482">
        <f>HYPERLINK("https://yourei.jp/契機", "查看例句")</f>
        <v/>
      </c>
    </row>
    <row r="2483">
      <c r="A2483" t="inlineStr">
        <is>
          <t>敬具</t>
        </is>
      </c>
      <c r="B2483" t="inlineStr">
        <is>
          <t>成功</t>
        </is>
      </c>
      <c r="C2483" t="inlineStr">
        <is>
          <t>読み方：けいぐ
《謹んで申し上げますの意》手紙などの末尾に用いる語。「拝啓」と対応する。敬白。</t>
        </is>
      </c>
      <c r="H2483" t="n">
        <v>17</v>
      </c>
      <c r="I2483" t="inlineStr">
        <is>
          <t>そして在来の拝啓敬具などの文範そのままの手紙を、人は書かなくなってしまった。；敬具 モリー・ウィーズリーより 追伸、切手は不足していないでしょうね。；更に手紙の本文は、「拝啓」の様な言葉で始まり、「敬具」の様な言葉で終わり、本文だと分かる。；最後に、「敬具、エリオット・グローヴナー」と署名してから、解決策とだけで、裏づけとなる補助資料の提出については、一言も言及していないことに、ケントは気がつくだろうかしらと思った。；妻への手紙には「ドイツ国民を太陽の下へ導きあげるべく、神、あるいは天の摂理によって定められている」と書き、友人への個人的な手紙には文末に「ハイル・ヒトラー、敬具、E・ロンメル」と記す程になっていた。；「Yours only,」は、ジャケットのタイトルが筆記体で書かれていることから分かるように、「敬具」等と同類の手紙の〆の言葉である。；その上、考えてみると、その手紙は「拝啓、前略」からはじまり「敬具」で終っていたが、これも平目がどこからか写してきたもので、ラブ・レターに「拝啓、前略」と書くことの可笑しさに当時の二人は気づいてはいなかった。；ちなみにスカウト同士の手紙では、敬礼の代わりに拝啓と同様の扱いとして「三指」を、敬具と同様の扱いとして「弥栄」という字を添え、敬意を相手に伝えることが多い。；わたしに言はせれば、電話のおしまひはやはり、きちんと、 「では、ごめん下さい」 とか、 「さやうなら」 とか言つて終るべきなので、それは手紙がすべて、「敬具」とか「不一」とか「あらあらかしこ」とかで終るべきなのとおんなしなのである。；敬具 トーマス・クリンプルシャム ピカデリー百十番地 ピーター・ウィムジー卿殿「おやおや」パーカーはいった。；敬具、 J・F・ブレトランド、というわけなの。；敬具 十月二日 竜太 父上様 母上様 追伸 初給料を五十五円頂きました。；拝啓と書き出し敬具と結ぶ。；自分でペン先をインクに浸け、「拝啓」「前略」「敬具」「草々」「暑中お見舞い申し上げます」などと書きながら、たちまち用紙を埋めてしまった。；何某様、敬具など。；敬具、J・ダヴンポート、とある。；妹よ、 凝念敬具。</t>
        </is>
      </c>
      <c r="J2483">
        <f>HYPERLINK("https://www.weblio.jp/content/敬具", "词义详情")</f>
        <v/>
      </c>
      <c r="K2483">
        <f>HYPERLINK("https://yourei.jp/敬具", "查看例句")</f>
        <v/>
      </c>
    </row>
    <row r="2484">
      <c r="A2484" t="inlineStr">
        <is>
          <t>経験</t>
        </is>
      </c>
      <c r="B2484" t="inlineStr">
        <is>
          <t>成功</t>
        </is>
      </c>
      <c r="C2484" t="inlineStr">
        <is>
          <t>読み方：けいけん
［名］(スル)
１実際に見たり、聞いたり、行ったりすること。また、それによって得られた知識や技能など。「—を積む」「—が浅い」「いろいろな部署を—する」
２哲学で、感覚や知覚によって直接与えられるもの。
[用法]経験・体験——日常的な事柄については「経験（体験）してみて分かる」「はじめての経験（体験）」などと相通じて用いられる。◇「経験」の方が使われる範囲が広く、「経験を生かす」「人生経験」などと用いる。◇「体験」は、その人の行為や実地での見聞に限定して、「恐ろしい体験」「体験入学」「戦争体験」のように、それだけ印象の強い事柄について用いることが多い。</t>
        </is>
      </c>
      <c r="D2484" t="inlineStr">
        <is>
          <t>経験者(5%)；経験的；経験豊富；経験不足；経験豊か</t>
        </is>
      </c>
      <c r="E2484" t="inlineStr">
        <is>
          <t>受ける；得る；知る；感じる；体験</t>
        </is>
      </c>
      <c r="F2484" t="inlineStr">
        <is>
          <t>優勝経験；未経験；実務経験；実戦経験；留学経験</t>
        </is>
      </c>
      <c r="G2484" t="inlineStr">
        <is>
          <t>経験則；経験主義；経験論；経験談；経験点</t>
        </is>
      </c>
      <c r="H2484" t="n">
        <v>29</v>
      </c>
      <c r="I2484" t="inlineStr">
        <is>
          <t>歴史は短いながら車両規定の変遷が激しく、廃止と復活も経験している。；首相経験者が暗殺されるのは二・二六事件以来であり、戦後初である。；その後南アフリカ社会は体制移行期の危機的な混乱を何度も経験した。；圧倒的に経験が少ないブランドを起用したのはカザンの選択であった。；このようなこともあり、善光寺地震を始め、多数の地震を経験してきた。；その後本格的にプロの道に進み、1949年にレコーディングを初経験。；手法には経験的なものから非経験的なものまで多数存在する。；歴代韓国大統領で初の日本統治時代を経験していない世代の大統領である。；なお以下は一度も導入経験がない社局を記載し、三重県の一部を含めている。；経験的な証拠を異なって解釈することからいかに科学的な論争が巻き起こるか。；演じられているキャラクターを好きになった経験がある人には理解できると思います。；計量経済学的分析に力を発揮することが経験的に証明されている。；この年から2020年まで40年の間、一度も最下位を経験しなかった。；開幕から5試合は、ここ2年間のJ1在籍経験チームとの対戦となった。；各キャラクターは戦闘で経験を積むことでレベルアップが可能である。；フランス留学の経験から陸軍の近代化案を提唱するようになった。；ブロックがこうした主張を行う背景には一定の経験がある。；地方で経験を積んだ後、中央に戻って中央の差遣と寄禄官を与えられる。；ハンブルクの学校やル・コルビュジエの事務所で建築を学んだ経験がある。；劇団や舞台での経験が声優業にも良い影響を与えているという意見もある。；元ウルグアイ代表経験を持つウーゴ・フェルナンデスが監督に就任した。；漫画とアニメとの違いを肌で感じ、この経験をきっかけにアニメ制作に興味を持つ。；また経験は行動の獲得に、遺伝子は本能に影響を与えると言及される。；多くの男性と同じく私も同性愛経験があるし、恥ずかしく思ってもいない。；もっとも、索敵計画はこれまでの経験から早くに出すように改善はされていた。；こんな気持ちになったのは、私のレース経験で初めてのことだ。；原型の素材はさまざまであり、作成には高度な知識・技術・経験が要求される。；顔の浮かぶ特定の個人に向けて映画を作るという経験はそれ以来のことだった。；彼は妊娠中の妻と子の死を含め、彼の人生で多くの試練を経験した。</t>
        </is>
      </c>
      <c r="J2484">
        <f>HYPERLINK("https://www.weblio.jp/content/経験", "词义详情")</f>
        <v/>
      </c>
      <c r="K2484">
        <f>HYPERLINK("https://yourei.jp/経験", "查看例句")</f>
        <v/>
      </c>
    </row>
    <row r="2485">
      <c r="A2485" t="inlineStr">
        <is>
          <t>軽減</t>
        </is>
      </c>
      <c r="B2485" t="inlineStr">
        <is>
          <t>成功</t>
        </is>
      </c>
      <c r="C2485" t="inlineStr">
        <is>
          <t>読み方：けいげん
［名］(スル)負担・苦痛などを減らして軽くすること。また、減って軽くなること。「税の—」「痛みを—させる薬」</t>
        </is>
      </c>
      <c r="D2485" t="inlineStr">
        <is>
          <t>軽減するため(10%)；軽減される(7%)；軽減させる(3%)；軽減できる(3%)；軽減しよ</t>
        </is>
      </c>
      <c r="E2485" t="inlineStr">
        <is>
          <t>減少；治療；解放；縮小；削減</t>
        </is>
      </c>
      <c r="F2485" t="inlineStr">
        <is>
          <t>被害軽減；負荷軽減；疲労軽減；地租軽減；大きく軽減</t>
        </is>
      </c>
      <c r="G2485" t="inlineStr">
        <is>
          <t>軽減措置</t>
        </is>
      </c>
      <c r="H2485" t="n">
        <v>29</v>
      </c>
      <c r="I2485" t="inlineStr">
        <is>
          <t>主に患者の苦痛の軽減や一時的な症状改善の目的で行われる治療のことである。；王の間の床から重量軽減の間の最上部までの総高さは21mを超える。；頭蓋骨と下顎の両方に空洞があり、頭部の重量を軽減する効果があった。；しかし守備面での負担が軽減されたこともあって打撃面が一気に開花。；宇宙天気予報によってこれらの被害が軽減されることが期待されている。；このような問題を軽減するための道具も販売されている。；また、近年ではパワーステアリングの普及でこの問題は更に軽減されている。；これらの性質は後述するキャッシュ即消しの影響を軽減する追加効果もある。；そのほか、ビタミンB12の補給に頭痛軽減の効果のある可能性がある。；以下は、該当する項目に応じ、数千円単位で保険料が軽減される場合がある。；重さを軽減することを目的に無塗装で表面保護の塗膜だけで処理する場合もある。；同サービスは災害発生時に発生しやすい輻輳を軽減する効果が期待されている。；モノラル受信にすればほんの少しは改善されるが、すこし軽減される程度。；街道は10km長い道筋となったが、建設に伴う困難ははるかに軽減された。；なお、藩内の百姓に藩政府が課す年貢が軽減された事実は一切ない。；美術館などで作品の色への影響を軽減するために利用される。；その一つが農民の負担を軽減する目的で行ったさまざまな減税・復興政策だった。；ストレスの多い環境を改善することによって症状の軽減に繋がるとされる。；運転台からの視界は広がり、正面デッキ扉の廃止で隙間風も軽減された。；幕府の統治はアイヌの負担を若干軽減したが、基本的な支配構造には手を付けなかった。；穴あきとしたのはコンクリート橋の欠点である重量を軽減するためである。；このため多くの国々では、鉱山の悪影響を軽減するよう規制を設けている。；デキストロプロポキシフェンは弱から中程度の痛みの軽減に処方される。；空気抵抗を軽減するために頭部形状が大幅に変更されている。；またマスメディアやインターネット技術などがこの問題を軽減できるとの主張もある。；これにより受光面に到達する光の動きを抑えることで手ぶれを軽減させる。；こうした問題を軽減するために薪を乾燥させることが大切となる。；これらの分子はポドフィロトキシンの毒性を軽減する目的で創製された。；最新携帯電話の一部に なる通話時騒音軽減システムを搭載している。</t>
        </is>
      </c>
      <c r="J2485">
        <f>HYPERLINK("https://www.weblio.jp/content/軽減", "词义详情")</f>
        <v/>
      </c>
      <c r="K2485">
        <f>HYPERLINK("https://yourei.jp/軽減", "查看例句")</f>
        <v/>
      </c>
    </row>
    <row r="2486">
      <c r="A2486" t="inlineStr">
        <is>
          <t>稽古</t>
        </is>
      </c>
      <c r="B2486" t="inlineStr">
        <is>
          <t>成功</t>
        </is>
      </c>
      <c r="C2486" t="inlineStr">
        <is>
          <t>読み方：けいこ
［名］(スル)《古(いにしえ)を稽(かんが)えるの意》
１芸能・武術・技術などを習うこと。また、練習。「—に励む」「—をつける」「毎日—して上達する」
２芝居などで、本番前の練習。下げいこ。リハーサル。「総—」
３昔の書を読んで物の道理や故実を学ぶこと。学問。
「学窓に蛍を集めて、—に隙なき人なれば」〈太平記・一二〉</t>
        </is>
      </c>
      <c r="D2486" t="inlineStr">
        <is>
          <t>稽古中；稽古着；稽古場；稽古所；稽古熱心</t>
        </is>
      </c>
      <c r="E2486" t="inlineStr">
        <is>
          <t>研究；実際；調査；教育；学</t>
        </is>
      </c>
      <c r="F2486" t="inlineStr">
        <is>
          <t>代稽古；猛稽古；厳しい稽古；激しい稽古；稽古土俵</t>
        </is>
      </c>
      <c r="G2486" t="inlineStr">
        <is>
          <t>稽古事；稽古屋；稽古館；稽古ばし</t>
        </is>
      </c>
      <c r="H2486" t="n">
        <v>29</v>
      </c>
      <c r="I2486" t="inlineStr">
        <is>
          <t>このころから落語の演目を多数稽古しておりのちに自身の財産になった。；こんなことは自然の能力であって、稽古を積んで得られることではない。；また、家康との合戦に向けた武芸の稽古の際も家臣らの指導を担当した。；白の稽古着に黒もしくは紺色の馬乗袴を着用することが決められている。；本人によれば、この頃、勉強や稽古を強制されたことはなかったという。；何年稽古をしても、応用できなければ、ことごとく人にやられてしまう。；稽古道具や試合方法が共通化していき、後の現代武道へと繋がっていく。；治療以降は膝の脱臼も水がたまることもなく稽古ができているという。；もし稽古をつけていたらせっかくの江戸らしさが失われていただろう。；武道館は、武道の稽古や試合を主に行うための日本の屋内競技場である。；これ以外に人間の動きを単純化した稽古体系もあったが、現在は行われていない。；障害を克服するため、剣道や居合の稽古をより行うようになったという。；角館の街の中では相変わらず稽古を続ける青田と柔道部員の姿があった。；結局、武術の稽古を本格的に始めるのは大学進学後になってからになる。；さらに受験勉強の忙しさから、自宅での武術の稽古にも参加しなかった。；入門当初はおっつけや摺り足に課題があり、稽古で改善を重ねていった。；これを経て、ようやく的前に上がり28m先の的に向かった稽古ができる。；なお基本稽古・移動稽古という練習の名称自体は他の空手団体と同じだが。；多くの相撲部屋は、一般人の希望があれば稽古の見学を受け入れている。；家元である千家当主が直属の門弟に稽古をつけてその分の教授料を取る。；よく稽古をつけてくれた大関前の山の引退が出世を止めた一因ともいわれる。；このバンドはプロの稽古不足にもかかわらず、すぐに聴衆が増えた。；打撃は牽制程度に用いることが多く、打撃中心の稽古は行われない。；初めから黒帯より強い自信があるんだったら、稽古する必要がないではないか。；ノールールでやりあうことはあまりせず、約束組手をメインに稽古をする。；稽古以外の戦闘を行った天使は、掟を破ったとして跡形もなく消滅する。；初心者が初めて学ぶ稽古であり、棒と遊びながら上達を目指す稽古体系。；この秋から主要会員約10名が中山正敏の指導で空手の稽古を始めた。；その下に日章旗が掲揚され、稽古の際に神拝が行われるようになった。</t>
        </is>
      </c>
      <c r="J2486">
        <f>HYPERLINK("https://www.weblio.jp/content/稽古", "词义详情")</f>
        <v/>
      </c>
      <c r="K2486">
        <f>HYPERLINK("https://yourei.jp/稽古", "查看例句")</f>
        <v/>
      </c>
    </row>
    <row r="2487">
      <c r="A2487" t="inlineStr">
        <is>
          <t>敬語</t>
        </is>
      </c>
      <c r="B2487" t="inlineStr">
        <is>
          <t>成功</t>
        </is>
      </c>
      <c r="C2487" t="inlineStr">
        <is>
          <t>読み方：けいご
話し手または書き手が相手や話題の人物に対して敬意を表す言語表現。日本語では敬意の表し方によって、ふつう、尊敬語・謙譲語・丁寧語の3種に分けられる。敬譲語。→尊敬語→謙譲語→丁寧語→待遇表現
[補説] 「敬語の指針」（平成19年2月文化審議会答申）では、敬語の働きと適切な使い方をより深く理解することを目的として、従来の3種類に対し、尊敬語、謙譲語Ⅰ・謙譲語Ⅱ（丁重語）、丁寧語・美化語の5種類に分けて解説している。</t>
        </is>
      </c>
      <c r="D2487" t="inlineStr">
        <is>
          <t>敬語表現(3%)；敬語法；敬語体系；敬語口調；敬語を使わなけれ</t>
        </is>
      </c>
      <c r="F2487" t="inlineStr">
        <is>
          <t>テヤ敬語；正しい敬語；相対敬語；最敬語；マニュアル敬語</t>
        </is>
      </c>
      <c r="H2487" t="n">
        <v>29</v>
      </c>
      <c r="I2487" t="inlineStr">
        <is>
          <t>記憶をなくし始める前と違って、敬語をあまり使わなくなってきていた。；ひとりごとをつぶやくのにだって、敬語を使わなければならないのです。；もうわかったと思いますが、敬語というのは、古い時代の言葉なんです。；本作では珍しい、ハヤテが基本的に敬語を使わず会話するキャラクター。；あるいは、敬語をつけないほうが、社会的な感覚が発達してゐるのである。；また、敬語がうまく使えないようでは翻訳はできないとも語っている。；しかしこれとて便宜上の言葉で、敬語と云うことは出来ないかもしれない。；相手が自分よりえらくなかったら、敬語なんか使わずに、命令口調です。；性格も以前とほとんど変わらないが、敬語で話すことが多くなった。；この敬語を抜いたことばづかいには、どこやら前のとは違った響きがあった。；敬語を使っているらしいのだが、どこか変な言葉だなとぼんやり思うだけだった。；秋田方言を含む東北方言は一般に複雑な敬語体系を発達させていない。；内部の人間の行動に敬語をつけたのは、刑事を客とみなさなかったからであろうか。；「敬語の指針」ではこうした時代を経た様々な変化が反映されている。；義景でさえ敬語をつかい、まるで貴人のあつかいをしている人物である。；レゾムが敬語を使っているところからかなり地位は高いと思われる。；ヨーロッパ近代語に敬語があるかないかは敬語の定義次第である。；会話までは聞こえないが、きっと敬語をつかって話しているだろうと思える。；また、一部の敬語は同じ由来を持っているとも指摘されている。；新しい敬語の使用を促進するという彼女の努力は最初は無視された。；戦後は一般的な敬語のうち最上級の表現に差し替えて報道されるようになった。；ジャワ語は、日本語と同様に敬語が発達していることでも知られる。；紀州弁には他の方言に見られる敬語に相当する言葉が少ないことが特徴である。；そのなかでも、藩都だった弘前市付近は敬語が発達し都会的な言葉とされる。；師の息子というだけで、子供にまで敬語を使う男を、竜憲は苦手にしていた。；おまえごときに敬語を使ってやったんだから、裏があるのは当然のことじゃないか。；高い知性を持っているため、人間の言葉を話すことができ、敬語で会話する。；敬語だってつかえるじゃないか、とイタルは思いながら自分も礼を言った。；敬語で話すものの他人を見下すような慇懃無礼な態度を取っている。</t>
        </is>
      </c>
      <c r="J2487">
        <f>HYPERLINK("https://www.weblio.jp/content/敬語", "词义详情")</f>
        <v/>
      </c>
      <c r="K2487">
        <f>HYPERLINK("https://yourei.jp/敬語", "查看例句")</f>
        <v/>
      </c>
    </row>
    <row r="2488">
      <c r="A2488" t="inlineStr">
        <is>
          <t>傾向</t>
        </is>
      </c>
      <c r="B2488" t="inlineStr">
        <is>
          <t>成功</t>
        </is>
      </c>
      <c r="C2488" t="inlineStr">
        <is>
          <t>読み方：けいこう
１物事の大勢や態度が特定の方向にかたむくこと、または、かたむきがちであること。「最近の消費者の—」「彼は大げさに言う—がある」
２思想的にある特定の方向にかたよること。特に、左翼的思想にかたよること。「—小説」
３心理学で、一定の刺激に対して、一定の反応を示す生活体の素質。</t>
        </is>
      </c>
      <c r="D2488" t="inlineStr">
        <is>
          <t>傾向が強い(3%)；傾向が強く(2%)；傾向が見られる；傾向がみられる；傾向が著しく</t>
        </is>
      </c>
      <c r="E2488" t="inlineStr">
        <is>
          <t>流れ；性質；流行；モード；好み</t>
        </is>
      </c>
      <c r="F2488" t="inlineStr">
        <is>
          <t>多い傾向；高い傾向；こうした傾向；縮小傾向；傾向が甚し</t>
        </is>
      </c>
      <c r="G2488" t="inlineStr">
        <is>
          <t>傾向と対策；傾向スコア・マッチング；傾向推定</t>
        </is>
      </c>
      <c r="H2488" t="n">
        <v>29</v>
      </c>
      <c r="I2488" t="inlineStr">
        <is>
          <t>しかし系統誤差の原因と傾向をこのように特定することは一般には難しい。；物理的性質の似たアミノ酸はよく似たコドンに対応している傾向がある。；地歌は非常に曲数が多く、歴史も長いため実に様々な傾向の曲が存在する。；二上だけでなく戦後の棋士達はそうした行為をしない傾向があった。；一方で通勤用の車両では迅速な乗降のために扉の数を増やす傾向にある。；男子の方が女子よりも出席率が高い傾向が報告されている。；歌詞が文学的なタンゴは歌がつけられた演奏になる傾向にある。；西部の人口が多いために民主党が州全体の結果を制する傾向にある。；暗いところから明るいところに移動したがる傾向がある。；これに対し3Dでのステージの端は、 のいずれかとなる傾向にある。；一般には価格が上昇すると需要は減少する傾向がある。；一方では子どものゲームは非常に幸運ベースである傾向がある。；前面以外は装甲が比較的薄い傾向にあり弱点になっていることが多い。；近年は人口減少傾向にあったが、2013年から連続で増加に転じている。；しかしながら、これらの集団内での話し手の数は年々減少する傾向にある。；銃が手軽に手に入る社会であるため、スイスでは自殺にも銃を用いる傾向がある。；高位の役が期待されるため、賭けの総額も必然的に増加する傾向にある。；ただしこれは彼女だけではなく大勢の貴族達の間にもそのような傾向は見られたらしい。；風が強くなるほど風浪の高さは大きくなる傾向があり見た目の形状も変化する。；そのため次第に高速バス路線が増加の傾向を見せる様になった。；近年では建築意匠を完成後に建築写真という形で保存する傾向もある。；この点古代ギリシア人及びその哲学には二つの傾向が見られた。；この傾向はコンピューターRPGにおいて特に顕著なものとなっている。；新作になるほど現実性の追求から仕事はさらに複雑化する傾向にある。；南宋時代に長期政権を維持した他の宰相にも類似の傾向をみることができる。；それぞれの色は友好色を支援したり、敵対色の行動を阻害する傾向にある。；現代の真理概念は様々な形で修正を受け、相対的な傾向を強めている。；結果、淡いビールはラガーの切れの良い傾向だが香りの豊かさを備えている。；このような傾向は同時代の儒学研究に共通にみられるものである。</t>
        </is>
      </c>
      <c r="J2488">
        <f>HYPERLINK("https://www.weblio.jp/content/傾向", "词义详情")</f>
        <v/>
      </c>
      <c r="K2488">
        <f>HYPERLINK("https://yourei.jp/傾向", "查看例句")</f>
        <v/>
      </c>
    </row>
    <row r="2489">
      <c r="A2489" t="inlineStr">
        <is>
          <t>蛍光灯</t>
        </is>
      </c>
      <c r="B2489" t="inlineStr">
        <is>
          <t>成功</t>
        </is>
      </c>
      <c r="C2489" t="inlineStr">
        <is>
          <t>読み方：けいこうとう
１照明器具の一。低圧のアルゴンおよび水銀蒸気中の放電によって発生した紫外線が、ガラス管内壁に塗ってある蛍光体に当たって発光するようにした放電灯。
２《蛍光灯がすぐ点灯しないところから》反応のにぶい人。頭の回転の遅い人。</t>
        </is>
      </c>
      <c r="D2489" t="inlineStr">
        <is>
          <t>蛍光灯化(3%)；蛍光灯カバー；蛍光灯照明；蛍光灯器具；蛍光灯用</t>
        </is>
      </c>
      <c r="F2489" t="inlineStr">
        <is>
          <t>明るい蛍光灯；直管蛍光灯；型蛍光灯；薄暗い蛍光灯；直流蛍光灯</t>
        </is>
      </c>
      <c r="H2489" t="n">
        <v>29</v>
      </c>
      <c r="I2489" t="inlineStr">
        <is>
          <t>また当初から室内灯に蛍光灯を装備したことも進んだ特徴であった。；視界は薄暗く、朝だというのにビルの窓から蛍光灯の輝きが濡れていた。；彼の報告は蛍光灯を開発するアメリカの研究プログラムを刺激した。；そばに蛍光灯がついている掲示板があって、彼はその明かりに近づいた。；女の顔色が悪く見えたのは、この青みがかった蛍光灯の光のせいだろうか。；窓を見上げたとき、蛍光灯を点けたままにしてきたことに気がついた。；教室の蛍光灯は消されており、窓から入るやわらかい光がすべてだった。；私は机の上の蛍光灯のスイッチを入れ、新製品紹介の原稿を書きはじめた。；天井に並んでいる蛍光灯の光だけが、部屋の内部を照らし出している。；鏡を覗き込むと、蛍光灯のせいで顔色の悪い自分がこちらを睨んでいた。；その上部側面には、蛍光灯にしか見えない長い円筒が設置されている。；高い天井の蛍光灯の光を反射して、鎖のついたメガネがきらりと光った。；角に書きこまれた黒い丸印が、蛍光灯の光にぼんやりと照らされていた。；それを見てはじめて、蛍光灯ではなく、自分の目がおかしいのだと気づいた。；みそだれの油に蛍光灯の光が反射して、小さな楕円形がいくつも見えた。；ただし、3号車に限っては半間接照明の蛍光灯を連続して配置している。；廊下についた蛍光灯が山田三吉の姿を妙にしらじらと浮き立たせていた。；下り口は壁にあいたドアで、その中は蛍光灯が一本だけついている狭い階段だった。；また室内灯も1963年にそれまでの白熱灯を蛍光灯に変更している。；蛍光灯は教室を明るくしただけでなく、生徒たちの気持ちにも変化をもたらした。；榎本は、そのトランクスを両手に持って蛍光灯の光の下にかざしてみる。；頭上の四角い笠のついた蛍光灯が油をたらしているような音を立てている。；ワンマン運転関連機器と座席表布が交換され、蛍光灯が5本増設された。；室内灯は1・2次車が白熱灯であったが、3次車は蛍光灯となっている。；顔色がいつになく青白く見えるのは、蛍光灯の光のせいばかりではあるまい。；閉じた瞼の裏に蛍光灯の残像が白く輝き、一瞬後に歪んだ円に変わった。；車内の蛍光灯にはいずれもアクリル製のカバーが取り付けられている。；蛍光灯の光がいっせいに瞼のなかに侵入し、痛みはなかったが目を閉じた。；壁のスイッチを入れると、天井の蛍光灯が何度か明滅してから点いた。</t>
        </is>
      </c>
      <c r="J2489">
        <f>HYPERLINK("https://www.weblio.jp/content/蛍光灯", "词义详情")</f>
        <v/>
      </c>
      <c r="K2489">
        <f>HYPERLINK("https://yourei.jp/蛍光灯", "查看例句")</f>
        <v/>
      </c>
    </row>
    <row r="2490">
      <c r="A2490" t="inlineStr">
        <is>
          <t>警告</t>
        </is>
      </c>
      <c r="B2490" t="inlineStr">
        <is>
          <t>成功</t>
        </is>
      </c>
      <c r="C2490" t="inlineStr">
        <is>
          <t>読み方：けいこく
［名］(スル)
１よくない事態が生じそうなので気をつけるよう、告げ知らせること。「再三の—を無視する」「事前に—する」
２柔道の反則で、「技あり」と同等となるもの。禁止事項を犯したり、「注意」が二度目の場合に主審が宣告する。</t>
        </is>
      </c>
      <c r="D2490" t="inlineStr">
        <is>
          <t>警告する(10%)；警告音；警告灯；警告文；警告しよ</t>
        </is>
      </c>
      <c r="E2490" t="inlineStr">
        <is>
          <t>注意；警戒；忠告；警報；戒め</t>
        </is>
      </c>
      <c r="F2490" t="inlineStr">
        <is>
          <t>無警告；事前警告；警告標識；警告信号；警告装置</t>
        </is>
      </c>
      <c r="G2490" t="inlineStr">
        <is>
          <t>警告射撃；警告処分；警告試合；警告弾</t>
        </is>
      </c>
      <c r="H2490" t="n">
        <v>29</v>
      </c>
      <c r="I2490" t="inlineStr">
        <is>
          <t>・・・・・・ 今日、詩人がなしうることは、警告することだけである。；他にも妙な噂が広がったり、他の組織からの警告を受けたといわれる。；なお、同判例によっては逮捕時に警告をすることは必要とされていない。；専門家は強い禁止が研究を壊滅的にしてしまうことを警告している。；なお、導入と同時に通過列車接近時の警告音の音程が変更されている。；警報は、重大な災害の起こるおそれのある旨を警告して行う予報である。；ワシントンの任命は戦争が切迫していたフランスに対する警告であった。；金管の警告的な響きで展開部となり、第1主題をフガート的に展開する。；被弾しなかった学生たちは第1科学室へと走り、中の教師に警告した。；その存在は、来訪者たちの警告が真実であることを証明するものでもあった。；ヴィンセントは警告を無視して逃走しようとしたので、砲撃を開始する。；コードの塊をテストし、必要ならそれに関して警告することができる。；これは、同じく賞金目当てに来る者たちへの警告の意味を兼ねていた。；歴史的な視点からは、カルヴァン派への警告とする解釈も提示されている。；警備員はこれまで誰も西の悪い魔女を倒したことがないと警告する。；警告は指定時間に、設定された動作を起こすための機能である。；これらの設定を変更すると登録されない旨の警告が出る。；警告メッセージはプログラムの半分のサイズを使用している。；しかし技術習熟度が低いために総合効率は落ちる可能性が高いと警告している。；CDCは最大12週間は生徒を学校に集めないように警告している。；この警告機能はデジタルタコグラフと連動させているものも存在する。；フランス海軍はこのときタイの官警から警告を受けたが無視して侵入を開始した。；ただし、実際には事前に警告を行うため、無礼討ちにまで至るのは稀である。；また、レイも自分たちが狙われていることに気づき、仲間に警告を行う。；男は関東総合通信局から二度も警告されていたがこれを無視して送信を続けていた。；日本の添付文書では、禁忌よりも先に夢遊行動の警告が書かれている。；また警告を受けたパイロットは速やかに対処をしなければならない。；航空機が異常に接近する前に、レーダー画面上に警告を表示する機能である。；しかしそのまま一挙に体を捨ててとった場合、警告または反則負けとなる。</t>
        </is>
      </c>
      <c r="J2490">
        <f>HYPERLINK("https://www.weblio.jp/content/警告", "词义详情")</f>
        <v/>
      </c>
      <c r="K2490">
        <f>HYPERLINK("https://yourei.jp/警告", "查看例句")</f>
        <v/>
      </c>
    </row>
    <row r="2491">
      <c r="A2491" t="inlineStr">
        <is>
          <t>掲載</t>
        </is>
      </c>
      <c r="B2491" t="inlineStr">
        <is>
          <t>成功</t>
        </is>
      </c>
      <c r="C2491" t="inlineStr">
        <is>
          <t>読み方：けいさい
［名］(スル)新聞・雑誌などに、文章・写真などを載せること。「全文を—する」「—禁止」</t>
        </is>
      </c>
      <c r="D2491" t="inlineStr">
        <is>
          <t>掲載される(7%)；掲載作品；掲載分；掲載順；掲載号</t>
        </is>
      </c>
      <c r="E2491" t="inlineStr">
        <is>
          <t>発表；導入；記載；公表；挿入</t>
        </is>
      </c>
      <c r="F2491" t="inlineStr">
        <is>
          <t>号掲載；多数掲載；再掲載；ゲスト掲載；みを掲載</t>
        </is>
      </c>
      <c r="G2491" t="inlineStr">
        <is>
          <t>掲載拒否</t>
        </is>
      </c>
      <c r="H2491" t="n">
        <v>29</v>
      </c>
      <c r="I2491" t="inlineStr">
        <is>
          <t>ルールが単純なことから新聞・雑誌・クイズ番組等でもよく掲載される。；アニメとは設定やストーリーが異なる上、雑誌掲載時とも内容が異なる。；このことは、一部では矢田の件が原因ではと追究する記事が掲載された。；掲載しているのはRELEASEのアナウンスがされたバージョンのみ。；この項では臨時便扱いなど一部を除く西日本鉄道直営の路線を掲載する。；なお、本誌の漫画だけではなく、現地の漫画家の作品も掲載されている。；この冊子には下記の2本の漫画と、映画最新情報などが掲載されていた。；ペンネームは漢字だったが、雑誌掲載時にひらがなにされていたという。；学生の調査事例の代表的なものは『実験計画法第三版』に掲載されている。；題名は当初は考えておらず、掲載するに当たって急遽思いついたという。；本項では掲載後、書籍などに収録されていないものを記載している。；データ書き込み時におけるパリティ計算方法の一例を下記に掲載する。；また広島県版でも、衛星・ラジオ面にてハーフサイズで掲載されている。；日記に掲載されているだけでも23作品をこの時期に読破している。；過去に演奏されたスタイルと、現在も演奏されているスタイルの双方を掲載している。；また本シリーズが主に掲載された雑誌の名称でもある。；これは世界で最も短い手紙として『ギネス世界記録』に掲載されている。；IANAに登録されているスキームで、利用が続いている一部を掲載する。；掲載作品がこれらの姉妹誌の間で移籍することも多い。；近年では、車体一面に広告を掲載しているラッピング車両も多く存在している。；鼻行類は、同名の書籍に掲載された、想像上の生物である小獣の一群。；この短編の少し異なるバージョンが一年後にオムニ誌に掲載された。；JR線で唯一、全列車が掲載されている紙の時刻表が存在しない路線である。；橋本の小説が文芸誌に掲載されたのはこの作品が初めてであった。；時刻はその都度近鉄の公式ホームページでも掲載されることになっている。；具体的には少年漫画雑誌に掲載されていることで分類される。；美濃部議員の釈明演説が新聞に掲載されると、攻撃はかえって増幅した。；一度だけ番外編が連載漫画と同じページに掲載されたことがある。；作者は何事もなかったかのようにダイエー対中日の日本シリーズを掲載した。</t>
        </is>
      </c>
      <c r="J2491">
        <f>HYPERLINK("https://www.weblio.jp/content/掲載", "词义详情")</f>
        <v/>
      </c>
      <c r="K2491">
        <f>HYPERLINK("https://yourei.jp/掲載", "查看例句")</f>
        <v/>
      </c>
    </row>
    <row r="2492">
      <c r="A2492" t="inlineStr">
        <is>
          <t>経済</t>
        </is>
      </c>
      <c r="B2492" t="inlineStr">
        <is>
          <t>成功</t>
        </is>
      </c>
      <c r="C2492" t="inlineStr">
        <is>
          <t>読み方：けいざい
［名］(スル)
１
㋐人間の生活に必要な財貨・サービスを生産・分配・消費する活動。また、それらを通じて形成される社会関係。
㋑金銭のやりくり。「わが家の—は火の車だ」
㋒費用や手間のかからないこと。倹約。「弁当を持っていくほうが—だ」
２《「経国済民」「経世済民」の略》国を治め民を救済すること。政治。
「事業を為して天下を—するは、豈に政府に立のみに止らんや」〈織田訳・花柳春話〉</t>
        </is>
      </c>
      <c r="D2492" t="inlineStr">
        <is>
          <t>経済的(12%)；経済状態；経済関係；経済研究所；経済基盤</t>
        </is>
      </c>
      <c r="E2492" t="inlineStr">
        <is>
          <t>財政；省；節約；倹約；経済性</t>
        </is>
      </c>
      <c r="F2492" t="inlineStr">
        <is>
          <t>経済力；経済情勢；経済生活；経済社会；不経済</t>
        </is>
      </c>
      <c r="G2492" t="inlineStr">
        <is>
          <t>経済学；経済学部；経済学者；経済活動；経済成長</t>
        </is>
      </c>
      <c r="H2492" t="n">
        <v>29</v>
      </c>
      <c r="I2492" t="inlineStr">
        <is>
          <t>数十年後も、通信や情報の改革が地元経済の大部分を活性化させている。；石油が発見されて以来、州経済は石油産業の状況に大きく依存してきた。；しかし、多くの国民は民政化後かえって汚職や経済が悪化したと感じた。；コミュニティ・カレッジは経済の発展と共に成長し入学者が増えている。；またロシアに並ぶ輸出相手国であった中国の需要が減少するなど経済環境が悪化。；経済的な影響は大きく、毎時間400億円を超える規模と報道された。；当時、南部と北部との経済・社会・政治的な相違が拡大していた。；州域の大半は田園であり、この落差が州の政治や経済に影響している。；以前に経済の中心をなしていた農業は産業の工業化により重要度が低下した。；経済は社会の中で希少性や効用性を持つ価値を配分する機能の一つである。；フランス経済は世界恐慌の影響を1931年まで逃れることに成功した。；このように東名のルート選択は、経済比較を綿密に行ったうえで決定した。；彼は経済基盤を健全化し、それを実現するために専制的な支配を強めた。；州経済の発展は都市スプロール現象とそれに付随する兆候を生んできた。；社会的・政治的・経済的な変化の多くが社会に定着した。；一方でサービス業が成長し、イングランドの経済の重要な位置を占めている。；隣国サウジアラビアとは橋で結ばれているため、経済的な結びつきが強い。；ダイヤモンド産業はイスラエル経済を語るうえで重要な位置を占める。；更に狭い地域や都市を一括りにして九州経済、大阪経済などと呼ぶこともある。；農業はカリフォルニア州経済の大変重要な分野であり続けている。；こうして資本移動での経済の調整メカニズムはあまり機能しなくなる。；経済建設を重視し、穏健な改革を訴え、都市市民らの支持を集めたとされる。；その目的は、共産党を維持しつつ、経済の停滞を逆転させることだった。；エスワティニ経済は各種産業がバランスよく開発され、多角化している。；事実的な意味で経済が政治とどのように関わっているのかには4つの主要な考え方がある。；急速に拡大する領土にあって、経済も変化したと考えられるが詳細はよくわかっていない。；パリは「光の都」と呼ばれ、ロンドンに匹敵する経済都市に成長した。；農業地帯の政治と経済の権力を維持するために、古い選挙区割りに固執した。；またインド系商人も南アフリカ内部の流通業に進出、現地経済を支えた。</t>
        </is>
      </c>
      <c r="J2492">
        <f>HYPERLINK("https://www.weblio.jp/content/経済", "词义详情")</f>
        <v/>
      </c>
      <c r="K2492">
        <f>HYPERLINK("https://yourei.jp/経済", "查看例句")</f>
        <v/>
      </c>
    </row>
    <row r="2493">
      <c r="A2493" t="inlineStr">
        <is>
          <t>経済的</t>
        </is>
      </c>
      <c r="B2493" t="inlineStr">
        <is>
          <t>成功</t>
        </is>
      </c>
      <c r="C2493" t="inlineStr">
        <is>
          <t>読み方：けいざいてき
［形動］
１経済・金銭に関係のあるさま。「—に楽になる」「—格差」
２費用や手間などがかからないさま。むだがなく安上がりなさま。「燃費がいい—な車」</t>
        </is>
      </c>
      <c r="D2493" t="inlineStr">
        <is>
          <t>経済的理由(3%)；経済的基盤；経済的支援；経済的損失；経済的価値</t>
        </is>
      </c>
      <c r="E2493" t="inlineStr">
        <is>
          <t>質素；倹約；つましい；エコノミック；エコノミカル</t>
        </is>
      </c>
      <c r="F2493" t="inlineStr">
        <is>
          <t>経済的余裕；経済的困難；経済的苦境；経済的問題；経済的成功</t>
        </is>
      </c>
      <c r="G2493" t="inlineStr">
        <is>
          <t>経済的負担；経済的援助；経済的地位；経済的自由主義；経済的不平等</t>
        </is>
      </c>
      <c r="H2493" t="n">
        <v>29</v>
      </c>
      <c r="I2493" t="inlineStr">
        <is>
          <t>戦争能力は軍事力だけでなく経済的要素は国力の重要な構成要素である。；交通の要衝であったことと重要な教会の存在が経済的繁栄をもたらした。；また経済的にも既にイギリス帝国が斜陽しつつあるのは明らかであった。；この制度は主に社会的、政治的、経済的影響のある事件で利用されている。；社会的・経済的交流の増加に伴い、異文化間の文化の交流も増加した。；また公爵になった後の慶喜は経済的にも宗家から自立するようになった。；文はソビエト連邦で進行中の政治的・経済的変革への支持を表明した。；おそらくシェイクスピア自身が経済的に大きな成功を収めていたためである。；経済的にも商業的にも非常に重要な地で、繊維業と布が名産であった。；経済的余裕のない中で音楽大学に通う資金援助を受けることとなった。；この修道院は経済的困窮のため1616年に廃止され、市に譲渡された。；南宋時代には長江流域の開発がさらに進められ経済的には絶頂を迎えた。；前者は伝統的なビール会社であり、後者は経済的に成功している。；また、宗像市との関係がとても緊密であり、経済的に相互依存している。；この他に政治が強く関与した経済的進出としては、鉄道の建設が挙げられる。；アテネはテッサロニキ以前に経済的にギリシャでは最も重要な都市ある。；死刑の適用に際して経済的・人種的差別が存在しているとの指摘もある。；経済的困難もあったが、後援者の助けもあり何度かイギリスに短い旅をしている。；経済的理由で進学できず、卒業すると生計のために働くことを余儀なくされた。；首都の役割を失ったことが、パルマで経済的・社会的危機を誘発した。；ニューハンプシャー州は20世紀に経済的基盤の重要な転換を経験した。；この経済的側面についての指摘はレーニンの著作に大きな影響を与えている。；さらに瀬戸内海に面した海上交通の便のおかげで、経済的に豊かであった。；トゥールーン朝時代は経済的、また行政的・文化的な再編の時代であった。；世界の人々の経済的・社会的福祉の実現は、国連の主要な目的の一つである。；その一方で経済的には対英依存が深まり、対英輸入は輸出の2倍に達していた。；県内の市の中で最も南に位置しており経済的には愛知県の主要都市と結びつきが強い。；政治的には民主主義に、経済的には資本主義に基づく社会だとされる。；マンハイムの経済的繁栄は近過去の工業系企業の受け入れにあった。</t>
        </is>
      </c>
      <c r="J2493">
        <f>HYPERLINK("https://www.weblio.jp/content/経済的", "词义详情")</f>
        <v/>
      </c>
      <c r="K2493">
        <f>HYPERLINK("https://yourei.jp/経済的", "查看例句")</f>
        <v/>
      </c>
    </row>
    <row r="2494">
      <c r="A2494" t="inlineStr">
        <is>
          <t>警察</t>
        </is>
      </c>
      <c r="B2494" t="inlineStr">
        <is>
          <t>成功</t>
        </is>
      </c>
      <c r="C2494" t="inlineStr">
        <is>
          <t>読み方：けいさつ
１社会公共の秩序と安全を維持するため、国家の統治権に基づき、国民に命令・強制する作用。行政警察。
２国民の生命・身体・財産の保護、犯罪の予防・捜査、被疑者の逮捕、交通の取り締まりおよび公安の維持を目的とする行政機能。また、その機関。
３「警察署」の略。</t>
        </is>
      </c>
      <c r="D2494" t="inlineStr">
        <is>
          <t>警察当局；警察側；警察隊；警察署；警察関係</t>
        </is>
      </c>
      <c r="E2494" t="inlineStr">
        <is>
          <t>警官；署；警察官；巡査；察</t>
        </is>
      </c>
      <c r="F2494" t="inlineStr">
        <is>
          <t>治安警察；現地警察；都市警察；警察部長；所轄警察</t>
        </is>
      </c>
      <c r="G2494" t="inlineStr">
        <is>
          <t>警察署；警察庁；警察署長；警察本部；警察組織</t>
        </is>
      </c>
      <c r="H2494" t="n">
        <v>29</v>
      </c>
      <c r="I2494" t="inlineStr">
        <is>
          <t>現代でも軍隊や警察などで敵の攻撃から身を守るために使用されている。；警察は深い交際があったのではないかと捜査を進めていると報道された。；警察は小沼の背後に何らかの指導者か関係団体が存在するはずと見ていた。；オーストラリア政府は警察や軍人など66人を派遣することを決定した。；警察等が犯罪を捜査した場合、事件を検察官に送致しなければならない。；警察にこの件を届けた桔梗だが、部屋に戻ると間淵の死体は消えていた。；警察はどこにも存在しないし、犯罪を抑圧する手段は極めて限られている。；その告発はスリランカ警察の調べで事実無根であることが判明している。；イギリスでは原則として犯罪の捜査と訴追の権限は警察が有している。；以上3つがその計画であり、警察を軍隊の代わりにすることを意図していた。；長野県では、まだ警察が動員されていないと思われていたためである。；その後の警察の捜査では動機も犯人の見当も付かないままである。；シティは女王の承認を得ていない唯一の自治体であり、独自の警察を有する。；少年院送致の処分は警察や裁判所に前歴が残るだけで前科にはならない。；警察は事件性はないと述べたが、自殺であったという正式な発表はしなかった。；警察で一般的に用いられるオートバイは黒バイなどと呼ばれ区別されている。；このため軍隊と警察は多くの点で特徴を共有している。；そのため、捜査の際には警察や軍との連携を図る場合もある。；近年は麻薬密輸や凶悪犯罪対策のために警察支援活動を実施している。；警察では事故が原因だと考えていたが、ジョンは2人とも殺害されたと思っていた。；市警察は市が設置する警察であり、管轄は設置主体である市の全域となる。；各主要都市でも学生と警察隊が衝突し、186人の死者を出した。；警察から、事故の原因は泥酔運転と速度の出し過ぎと発表された。；この事件の際に7日から翌日8日にかけて現地警察がデモ参加者を逮捕。；警察から連絡を受けたアターソンは、刑事をハイドの住居に案内した。；現在の州の大半ではトルーパーズが唯一の警察として機能している。；犯人自ら警察に通報したものの、警察は特に法的措置は取らなかった。；警察の狙撃手は軍隊の狙撃手とはその任務や戦術を含めて多くの点で異なる。；退職した刑事が迷宮入りした過去の事件を再検討する作品は警察ものに分類される。</t>
        </is>
      </c>
      <c r="J2494">
        <f>HYPERLINK("https://www.weblio.jp/content/警察", "词义详情")</f>
        <v/>
      </c>
      <c r="K2494">
        <f>HYPERLINK("https://yourei.jp/警察", "查看例句")</f>
        <v/>
      </c>
    </row>
    <row r="2495">
      <c r="A2495" t="inlineStr">
        <is>
          <t>計算</t>
        </is>
      </c>
      <c r="B2495" t="inlineStr">
        <is>
          <t>成功</t>
        </is>
      </c>
      <c r="C2495" t="inlineStr">
        <is>
          <t>読み方：けいさん
［名］(スル)
１物の数量をはかり数えること。勘定。「—が合う」
２加減乗除など、数式に従って処理し数値を引き出すこと。演算。「損失額はざっと—しても一億円」
３結果や成り行きをある程度予測し、それを予定の一部に入れて考えること。「多少の失敗は—に入れてある」「—された演技」「—外」</t>
        </is>
      </c>
      <c r="D2495" t="inlineStr">
        <is>
          <t>計算すること(3%)；計算される(3%)；計算できる(3%)；計算式；計算上</t>
        </is>
      </c>
      <c r="E2495" t="inlineStr">
        <is>
          <t>予想；推定；予測；勘定；数える</t>
        </is>
      </c>
      <c r="F2495" t="inlineStr">
        <is>
          <t>計算法；運賃計算；計算ずく；軌道計算；計算書</t>
        </is>
      </c>
      <c r="G2495" t="inlineStr">
        <is>
          <t>計算量；計算機科学；計算機科学者；計算尺；計算モデル</t>
        </is>
      </c>
      <c r="H2495" t="n">
        <v>29</v>
      </c>
      <c r="I2495" t="inlineStr">
        <is>
          <t>この仕様の中では外部データの入力または計算結果の出力は供給しない。；提供されるサービスは主に計算処理とデータの保存・利用に大別される。；最初の大きな仕事は月の位置を計算するプログラムを作成することだった。；このため科学技術分野などの高度な数学的計算を行うことに優れている。；そのような計算機が1940年代に電子式のコンピュータへと進化した。；この計算方法はヒッパルコスとプトレマイオスが使っていた方法である。；無限級数をはじめの数項だけで計算することによる誤差が代表的である。；計算複雑性理論は計算問題の難しさを様々な計算資源の観点で分析する。；フランシウムの融点は計算上およそ27 付近になると推定されている。；宇宙の誕生から現在までの経過時間は様々な方法やモデルに基づいて計算されている。；名前のとおり机の上で使うのに適した大きさの小型計算機である。；このフェルミエネルギーを計算するために、Nが大きい場合を見てみる。；他の区間と跨いで乗車する際は特急料金は特例区間外のみで計算される。；これを使って、重力赤方偏移の大きさを計算すると以下のようになる。；始めの測定結果は、量子論に基づく計算値との間で非常に良い一致を示した。；これによって、計算で定めたはずの空間上の一点の信頼性が損なわれる。；これらを並べると延長30キロメートルを超える長さになる計算であった。；以下のような計算は定義されないため実行してはならない。；父親が驚いて計算をやり直したところ、息子が指摘した通りであったという。；データ書き込み時におけるパリティ計算方法の一例を下記に掲載する。；計算できる範囲で具体的な数値に置き換えていくと、表は次のようになる。；大規模・高速の計算能力を達成することを目的としている。；これはデータの値から算術的に計算して得られる統計指標値の一つである。；このやり方で計算されたイオン化エネルギーは実験と定性的に一致する。；これはメモリからデータを取ってきながら計算するよりもずっと高速に動作した。；その後はさらに複雑な計算がより高速に行えるようになっている。；表面系に関してはスラブ近似を用いて計算するのが最も標準的である。；計算法は器械的・客観的であるほど迅速かつ正確に計算することができる。；他にも様々な計算能力を持つパターンが発見されている。</t>
        </is>
      </c>
      <c r="J2495">
        <f>HYPERLINK("https://www.weblio.jp/content/計算", "词义详情")</f>
        <v/>
      </c>
      <c r="K2495">
        <f>HYPERLINK("https://yourei.jp/計算", "查看例句")</f>
        <v/>
      </c>
    </row>
    <row r="2496">
      <c r="A2496" t="inlineStr">
        <is>
          <t>計算高い</t>
        </is>
      </c>
      <c r="B2496" t="inlineStr">
        <is>
          <t>成功</t>
        </is>
      </c>
      <c r="C2496" t="inlineStr">
        <is>
          <t>読み方：けいさんだかい
［形］［文］けいさんだか・し［ク］金銭の計算に細かく、けちである。また、利害・損得に敏感である。勘定高い。「—・く万事に抜け目のない人」</t>
        </is>
      </c>
      <c r="D2496" t="inlineStr">
        <is>
          <t>計算高いところ(7%)；計算高い性格(3%)；計算高い人間(3%)；計算高い男(3%)；計算高い面(3%)</t>
        </is>
      </c>
      <c r="E2496" t="inlineStr">
        <is>
          <t>狡猾な；抜け目のない；老獪な；小賢しい；ずる賢い</t>
        </is>
      </c>
      <c r="H2496" t="n">
        <v>29</v>
      </c>
      <c r="I2496" t="inlineStr">
        <is>
          <t>健司を殺してから、弥生には今までと違う計算高い面が現れてきていた。；計算高い行動をとることもあれば、純粋すぎる行動をすることもある。；知性派で計算高いが、狡猾で目的のためなら手段を選ばない冷酷な性格。；学生時代は、兄のウダイに比べて物静かで計算高い性格だったとされる。；主人の顔が計算高い商人のものへと変わっていく。；信彦はいかにも田舎の百姓の風情で、とくに計算高いような表情はしていない。；天吾は小松のそういう計算高い面があまり好きにはなれなかった。；重太郎と暮らすようになって、悪意や計算高さのない男であるとわかってきていた。；美津子が計算高いことは承知の上で、可愛いところもある、と思っているのだ。；晋は、あたしを恋人として紹介する相手と、しない相手を計算高く分けていた。；見かけからは想像もつかないくらい、ギーブは臆病でしかも計算高い男であった。；計算高く、男を自分から誘いこむ天性の悪女になっていたからである。；真帆は非常に有能で計算高く、有能で計算高い自分に誇りを持っている。；真帆は非常に有能で計算高く、有能で計算高い自分に誇りを持っている。；どんなに計算高い人間でも、その計算をふと忘れることがある。；ケアルは彼を良い友人だと信頼しているようだが、マリナは彼の計算高さを見抜いていた。；母屋の裏側は大きな庭になっており、昼間のうちは池と、計算高い配置の緑が見える。；雄牛のように太い首をして、一見粗雑そうに見えるが、そのくせかなり計算高い。；案外しっかりしている、言い方を変えれば計算高いところもあるのだなと思った。；計算高い鬚黒に誤算があったとしたら、玉鬘に本気でほれたことだ。；ある観察者は彼のことを「冷静で、計算高いフクロウ」と表現した。；根は商人であり、ひじょうに計算高いといわれております。；カーネギーが子供の頃から人並外れて計算高い性格であったことを物語るエピソードである。；その子供っぽさの面からも、その計算高さの面からも。；両方とも、それはおタマの計算高い経験においてなされたものよりもはるかに複雑で素早い思考を示していた。；計算高いデルマリナ商人たちが、そんな危険をあえて冒すはずはなかった。；人間らしい計算高さを、考略を、ぼくは期待していたのだろうか。；「借りるときの保証人はだれにする」 とわたしは計算高い女になり、訊いてみた。；理性の時代であり冷たい計算高い現実主義の時代であった。</t>
        </is>
      </c>
      <c r="J2496">
        <f>HYPERLINK("https://www.weblio.jp/content/計算高い", "词义详情")</f>
        <v/>
      </c>
      <c r="K2496">
        <f>HYPERLINK("https://yourei.jp/計算高い", "查看例句")</f>
        <v/>
      </c>
    </row>
    <row r="2497">
      <c r="A2497" t="inlineStr">
        <is>
          <t>軽視</t>
        </is>
      </c>
      <c r="B2497" t="inlineStr">
        <is>
          <t>成功</t>
        </is>
      </c>
      <c r="C2497" t="inlineStr">
        <is>
          <t>読み方：けいし
［名］スル軽くみること。軽く考えて、その価値や影響力を認めないこと。「人命を—する風潮」⇔重視。</t>
        </is>
      </c>
      <c r="D2497" t="inlineStr">
        <is>
          <t>軽視する(18%)；軽視される(4%)；軽視でき(3%)；軽視されがち；軽視しすぎ</t>
        </is>
      </c>
      <c r="E2497" t="inlineStr">
        <is>
          <t>無視；拒絶；軽蔑；侮辱；無視する</t>
        </is>
      </c>
      <c r="F2497" t="inlineStr">
        <is>
          <t>議会軽視；生命軽視；著しく軽視；軽視する風潮；軽視する傾向</t>
        </is>
      </c>
      <c r="H2497" t="n">
        <v>29</v>
      </c>
      <c r="I2497" t="inlineStr">
        <is>
          <t>そしてドイツ各地の中でも騎士が最も軽視されている領邦の一つだった。；政府の支援を必要とするもっと遠くの開発中の地域はさらに軽視される。；それゆえ当初はグラビア撮影などの歌に関係の無い仕事を軽視している。；彼はダホを助けたが、自分の身の安全性を軽視していたのかもしれない。；大手との契約があったこの頃より、客を軽視するバカ芸風が確立された。；しかしこうした考え方は分子系統解析が行われるまでは軽視されていた。；それは世間が芸術を軽視しているから、というのが飯塚氏の意見である。；大きな出来事だけを重大視して、小さな出来事を軽視してはいけない。；だが、どうやら他人に軽視される回数が少しばかり平均より多いらしい。；一つは軽視されてきた領域に注意を向けさせる才能を持っていた。；もちろん我らは道義を中心とするが、しかも力を軽視するものではない。；われわれを軽視しないで、脳や心臓と同じように骨でガードしてほしいと。；陛下を守ることは当然として、自分自身の生命も軽視してもらっては困る。；実際、このような基本的な統治機能でさえ、しばしば軽視されていた。；このため保守派からはチェコの伝統を軽視していると批判され続けた。；そして、砦は20世紀中頃まで軽視され、破壊が進むままにされていた。；政治的・文化的にはやや保守化し、一部の人権拡大の要求は軽視された。；われわれはこの実験そのものが持つ人体への有害な作用を軽視していない。；これを第二中学軽視と受け取った第二中学生が不満を増幅させていった。；いまの時代に、科学を軽視する人などいるはずがないといわれるかもしれない。；それを十分に経験した信長は、解放された民衆の力を決して軽視しはしなかった。；女尊男卑する文化と建物構造も女重視で男軽視の構造になっている。；そのため、一部イギリス軍将校はアメリカ軍を軽視している者も存在した。；その考えはアメリカヘの軽視があったといわれても仕方がなかった。；これは少しも映画技術家を軽視することにはならないと思ふ。；彼は美貌であるためにかえってすべての女性を軽視していた傾きさえあった。；反乱軍は、段達を軽視しており、段達のことを「段姥」と呼称していた。；だから営業部や制作部の連中には、いつも軽視され続けてきたのだ。；即位後はコンスタンティノス9世モノマコスと同じく、軍事を軽視した。</t>
        </is>
      </c>
      <c r="J2497">
        <f>HYPERLINK("https://www.weblio.jp/content/軽視", "词义详情")</f>
        <v/>
      </c>
      <c r="K2497">
        <f>HYPERLINK("https://yourei.jp/軽視", "查看例句")</f>
        <v/>
      </c>
    </row>
    <row r="2498">
      <c r="A2498" t="inlineStr">
        <is>
          <t>掲示</t>
        </is>
      </c>
      <c r="B2498" t="inlineStr">
        <is>
          <t>成功</t>
        </is>
      </c>
      <c r="C2498" t="inlineStr">
        <is>
          <t>読み方：けいじ
［名］(スル)人に伝えるべき事柄を、紙に書くなどしてかかげ示すこと。また、その文書など。「合格者の氏名を—する」</t>
        </is>
      </c>
      <c r="D2498" t="inlineStr">
        <is>
          <t>掲示する(10%)；掲示される(5%)；掲示物；掲示場；掲示用泉質名</t>
        </is>
      </c>
      <c r="E2498" t="inlineStr">
        <is>
          <t>広告；看板；ポスター；掲げる；張り出し</t>
        </is>
      </c>
      <c r="F2498" t="inlineStr">
        <is>
          <t>掲示用；駅掲示時刻表；ポスター掲示；広告掲示；車内掲示</t>
        </is>
      </c>
      <c r="G2498" t="inlineStr">
        <is>
          <t>掲示板荒らし</t>
        </is>
      </c>
      <c r="H2498" t="n">
        <v>29</v>
      </c>
      <c r="I2498" t="inlineStr">
        <is>
          <t>ホームにはATC機器室設置工事が行われている旨の掲示がされている。；これらのポスターは市全体の多数のバスや電車の停留所にも掲示された。；現在でも各教室や体育館など、学校のさまざまな場所で掲示されている。；誰がこの文書を作成し掲示したのかは未だに明らかになってはいない。；ホーム側には貝殻を貼り付けた文字を利用した駅銘板が掲示されている。；駅舎のホーム側にはこの切符の宣伝文が書かれたパネルが掲示されていた。；写真の車両は西部方面行きの系統に使用中のため、青色幕を掲示している。；負けた市は勝った市のPRポスターを1年間掲示することになっている。；予約のある座席には予約されている区間を示したカードが掲示される。；特に掲示等はないが、観光客向けにはレンタサイクルが用意されている。；掲示されているポスターなどを固定している画鋲を取り外すための道具。；他の自治体でも、同様のポスターを各地に掲示しているところもある。；また、ドア脇の広告枠に広告ステッカーが掲示されていることもある。；レスキュー隊の活動を記録した事件や事故の写真が掲示されている。；ただしこれは最新ニュースを掲示するという目的もあってのことであった。；車内には中日の選手の写真や中日の歴史に関する写真などが掲示された。；また裁判所などでは裁判所の掲示板に掲示して公示とすることもある。；また、開業当初の写真が掲示されている記念碑が建立されている。；イベント名の表示された幕を掲示して運行される場合もある。；運転席後ろに運転士の所属基地と氏名を表記した名札が掲示されている。；後半開始直後、運営本部が横断幕を確認のうえ問題がある掲示物と判断。；この回より、教室後方には歴代のバカの肖像画が掲示されるようになった。；その成果は戸山祭や学校説明会の際の発表や掲示によって見ることができる。；当バスの運行ダイヤ等の路線情報は、以下の場所に掲示されていた。；そのため、フロント部分に行き先を記載した紙が掲示してある場合もある。；それ以前はシンボルマーク「Rits」が掲示されていたが改修された。；この令は県庁に掲示され、民衆にもこの戦いの大義名分を知らしめた。；現在のドイツなど、複数の国では掲示行為自体が処罰の対象となる。；二酸化炭素泉は、掲示用泉質名に基づく温泉の泉質の分類の一種である。</t>
        </is>
      </c>
      <c r="J2498">
        <f>HYPERLINK("https://www.weblio.jp/content/掲示", "词义详情")</f>
        <v/>
      </c>
      <c r="K2498">
        <f>HYPERLINK("https://yourei.jp/掲示", "查看例句")</f>
        <v/>
      </c>
    </row>
    <row r="2499">
      <c r="A2499" t="inlineStr">
        <is>
          <t>刑事</t>
        </is>
      </c>
      <c r="B2499" t="inlineStr">
        <is>
          <t>成功</t>
        </is>
      </c>
      <c r="C2499" t="inlineStr">
        <is>
          <t>読み方：けいじ
１刑法の適用を受け、それによって処理される事柄。「—責任を問われる」⇔民事。
２犯罪の捜査を主任務とする警察官の通称。私服で勤務することが多く、階級では巡査・巡査部長など。</t>
        </is>
      </c>
      <c r="D2499" t="inlineStr">
        <is>
          <t>刑事たち(9%)；刑事課長；刑事達；刑事役；刑事司法</t>
        </is>
      </c>
      <c r="E2499" t="inlineStr">
        <is>
          <t>警察；警察官；ポリス；デカ；岡っ引</t>
        </is>
      </c>
      <c r="F2499" t="inlineStr">
        <is>
          <t>女刑事；元刑事；ベテラン刑事；西本刑事；老刑事</t>
        </is>
      </c>
      <c r="G2499" t="inlineStr">
        <is>
          <t>刑事事件；刑事裁判；刑事訴訟法；刑事部；刑事ドラマ</t>
        </is>
      </c>
      <c r="H2499" t="n">
        <v>29</v>
      </c>
      <c r="I2499" t="inlineStr">
        <is>
          <t>大阪の街を舞台に日米の刑事たちが協力してヤクザと戦う物語を描いた。；当時はSF物から刑事物まであらゆるジャンルの小説が掲載されていた。；登場する隊員の多くは特務係を拡大解釈した刑事として設定されている。；また渥美が役者を目指すようになったのにはある刑事の言葉があると言う。；本ドラマは刑事・吉村の視点で物語が描かれていく構想となっている。；そして大津サービスエリアに配置された刑事はキツネ目の男を発見する。；一方で、同時に導入された刑事免責制度は、対象の犯罪を限定していない。；彼は刑事に嘘の自白をすると、ロキシーは彼に捧げる歌を心の中で歌う。；刑事ドラマは、主に刑事を主人公とするテレビドラマのジャンルの一つ。；ペットが人に被害を与えた場合、刑事・民事の責任を問われることがある。；ただし、捜査員である刑事が捜査を離れて事件関係者を保護することもある。；副署長のほかに警視職として、刑事・地域の2管理官を課長の上に置く。；新しい犯罪現象に対する刑事規制の限界と今後の可能性を主な研究テーマとする。；Aは捜査を担当した刑事、弁護士、関係者を訪ね歩いて情報を集めた。；話はこじれて、江藤を殴り倒した青年は鈴木刑事らに連行されていった。；そこから警視庁の取調室で刑事に監視されながらの珍妙な研究が始まった。；たまたま勤務帰りの刑事・木場修太郎がその列車に乗り合わせていた。；殺人課への通報に対応した刑事が自動的にその事件を担当する事となるのだ。；犯行や犯罪現場で犯人像を推定する作業は現場の警察官や刑事でも行っている。；ただし、刑事処罰はないので事実上黙認されている状態となっている。；なぜ学生刑事が生まれてきたのかを理解していない!；全作とも主人公が探偵または刑事であり、事件解決を目的としている。；元捜査幹部は「癖の強い異能の刑事を使うのがうまかった」と語っている。；現在は、女性が刑事・地域など比較的危険な部門へ配属されることも増えている。；するとそこへチャーリーが現れ、二人の刑事をショットガンで射殺する。；警察から連絡を受けたアターソンは、刑事をハイドの住居に案内した。；殺人課の刑事は、どうしたわけか他に類を見ないほどの個性派揃いである。；事件関係者の家で食事にありつくことを仕事の生き甲斐とする刑事。；ロケは毎回地方で行われ、豪華ゲストが地方の刑事役で出演していた。</t>
        </is>
      </c>
      <c r="J2499">
        <f>HYPERLINK("https://www.weblio.jp/content/刑事", "词义详情")</f>
        <v/>
      </c>
      <c r="K2499">
        <f>HYPERLINK("https://yourei.jp/刑事", "查看例句")</f>
        <v/>
      </c>
    </row>
    <row r="2500">
      <c r="A2500" t="inlineStr">
        <is>
          <t>形式</t>
        </is>
      </c>
      <c r="B2500" t="inlineStr">
        <is>
          <t>成功</t>
        </is>
      </c>
      <c r="C2500" t="inlineStr">
        <is>
          <t>読み方：けいしき
１物事が存在するときに表に現れている形。外形。⇔実質。
２物事を行うときの一定のやり方。事務上の手続き、儀礼的な交際などについていう。「—にのっとる」「—を踏む」
３形だけで実質の伴わないこと。おざなり。「—だけのあいさつ」「—にとらわれる」
４芸術作品で主題・思想を表すために、作品を構成する諸要素を配置・配合する一定の手法。
５哲学で、事物や事象の成立・発現のしかたやその構造、またそれらの関係などを抽象したもの。⇔内容。
[補説]自動車・航空機などについては「型式」と書き、「かたしき」と読む慣習がある。
[用法]形式・様式——「文書の形式（様式）を統一する」などでは相通じて用いられる。◇「形式」は定まったやり方の意で、「形式にのっとって行う」などと用いる。また、形だけで内容を伴わないことを「形式に流れる」「形式的なあいさつ」などともいう。◇「様式」は同類のものに共通する、他の類とは違った流儀や型の意で、いくつかの「形式」を抽象化して得られた一般的な特徴をいう。「生活様式」「行動様式」「ゴシック様式の建築」などと用いる。</t>
        </is>
      </c>
      <c r="D2500" t="inlineStr">
        <is>
          <t>形式的(3%)；形式名；形式消滅；形式化；形式番号</t>
        </is>
      </c>
      <c r="E2500" t="inlineStr">
        <is>
          <t>形；体；形態；公式；儀式</t>
        </is>
      </c>
      <c r="F2500" t="inlineStr">
        <is>
          <t>各形式；同形式；新形式；他形式；オムニバス形式</t>
        </is>
      </c>
      <c r="G2500" t="inlineStr">
        <is>
          <t>形式上；形式主義；形式称号；形式言語；形式論理</t>
        </is>
      </c>
      <c r="H2500" t="n">
        <v>29</v>
      </c>
      <c r="I2500" t="inlineStr">
        <is>
          <t>これらの問題を総合的に解決するために導入されたのが本形式である。；また、文字を表形式にして扱う方法も古くから存在し、利用されてきた。；理論的に明解であり扱いも容易であるため、形式的な説明を先に述べる。；この形式は一部の例外を除いて、以降のシリーズにも引き継がれている。；この後は中期と呼ばれ、コーダの拡張など古典派形式の拡大に成功した。；形式の与え方は鉄道事業者によって様々であり、統一されたものはない。；その使われ方や形式は様々な変遷をへて、現在用いられる形に至っている。；この形式を発明したのはフランチェスコ・ベルニだと信じられている。；ファイルフォーマットはこれらデータの配置の仕方・形式を規定する。；ほとんどの形式では正規表現を構築するために次の演算子を提供している。；現在のような形式となったのは江戸時代中期のころとされる。；下に記述するのは、日本国内で起きたことを年表形式で記述したものである。；番組放送中はスタジオ内の様子の写真がスライドショー形式で表示された。；本形式のデザインは日立製作所デザイン研究所が行ったものである。；下記の一覧は1928年に行われた称号規定変更後の形式をまとめたものである。；なお、放送ではADTSと呼ばれるヘッダ形式で伝送されることが多い。；本形式は登場以来需要の変化に対応するため、頻繁に編成が組みかえられた。；本系列の編成総数は、東京地下鉄における同一形式の最大編成数である。；これは『ストリップド』の拡張版であり、複数の形式でリリースされた。；そこで1935年に開発を始め1936年から製造されたのが本形式である。；クンマーの理想数の理論は非常に形式的で、とても難解なものであった。；言語はこういった情報伝達形式の一つである限りで研究される。；導き出された情報を予報の種類に合わせてまとめ、適切な形式で発表する。；形式の古いラーガほど感情は抑制され、神への献身や祈りが中心となる。；この時期の形式を昭和中期まで伝えたコンビに砂川捨丸・中村春代がいる。；彼は時間、空間の直観形式でもって、人間は様々な現象を認識すると考えた。；鉄道車両には、その種類や使用目的を示すために形式が与えられる。；二重変奏曲の形式は、後に交響曲第9番の第3楽章でも利用されている。；各形式とも同一編成中で下2桁は同番号または同番号+50となっている。</t>
        </is>
      </c>
      <c r="J2500">
        <f>HYPERLINK("https://www.weblio.jp/content/形式", "词义详情")</f>
        <v/>
      </c>
      <c r="K2500">
        <f>HYPERLINK("https://yourei.jp/形式", "查看例句")</f>
        <v/>
      </c>
    </row>
    <row r="2501">
      <c r="A2501" t="inlineStr">
        <is>
          <t>掲示板</t>
        </is>
      </c>
      <c r="B2501" t="inlineStr">
        <is>
          <t>成功</t>
        </is>
      </c>
      <c r="C2501" t="inlineStr">
        <is>
          <t>読み方：けいじばん
１掲示する文書を貼り出すための板。
２「電子掲示板システム」の略。→ビー‐ビー‐エス（BBS）</t>
        </is>
      </c>
      <c r="D2501" t="inlineStr">
        <is>
          <t>掲示板サイト；掲示板上；掲示板外；掲示板等；掲示板システム</t>
        </is>
      </c>
      <c r="E2501" t="inlineStr">
        <is>
          <t>ボード；電子掲示板；掲示板システム；ビービーエス</t>
        </is>
      </c>
      <c r="F2501" t="inlineStr">
        <is>
          <t>殺人依頼掲示板；公式掲示板；系掲示板；心中掲示板；専用掲示板</t>
        </is>
      </c>
      <c r="H2501" t="n">
        <v>29</v>
      </c>
      <c r="I2501" t="inlineStr">
        <is>
          <t>また一般の掲示板や議員ブログにも市民の意見の大半が公開されている。；通常の掲示板のように、発言のたびに名前を変えることは不可能である。；画像ダウンロードさせるためにツイッターや掲示板で宣伝を行っていた。；掲示板など動的に内容が変化するサイトのフィルタリングが可能である。；また、中華人民共和国の掲示板でも、この記者の行動は絶賛されている。；ここまで14戦して掲示板を外したのは1戦と堅実な走りを見せていた。；開設間もない1988年7月末の時点で、掲示板の数は11個であった。；なお規制に関しては後述のように掲示板を閲覧する際にも適用される。；また裁判所などでは裁判所の掲示板に掲示して公示とすることもある。；レースでは後方を進んだが、前には届かず掲示板に載るのがやっとだった。；またサイトには掲示板があり、ユーザーのリアルタイムでの交流もあった。；サイトの掲示板においてはレスは遅れてもしっかりと返事をしている。；また12日には大学の掲示板に同窓生を対象とした解明文を掲載している。；掲示板では、対面しての論争とは違い、相手の話を遮ることができない。；番組のスタジオの背景や掲示板などは、空港をイメージしてデザインされている。；しかし、掲示板は資金難のために機能を停止する事態がしばしば起きている。；普通の掲示板に投稿するときよりも、推敲をしてから書き込みましょう。；結局威力の修正は行われなかったが、この変更で公式掲示板は落ち着いた。；恐怖に悩まされる毎日の中で、主人公は掲示板を通じてある人物と出会う。；住民同士の交流も、掲示板やサークルなどを利用して行われている。；主要な入口にある掲示板に地図と規則が表示されている。；これらは掲示板上で行われている性質上、報告内容を含め全ユーザーに公開されている。；掲示板スクリプトなどはくずはすくりぷとを改造したものが使われていた。；掲げられたテーマに同調する者が集まり、掲示板などを利用する仕組み。；また、草創期の2ちゃんねるを含む多数の掲示板で自らの主張を展開する。；掲示板には男性がクラブの関係者に集団で暴行された詳細が写真付きで投稿された。；その後後継の掲示板が設置されているが問題が再燃している。；サービス停止前も中国教育ネットでオンライン人数が最も多い掲示板だった。；日本の掲示板に取り付けられるCaptchaとしては一番有名であろう。</t>
        </is>
      </c>
      <c r="J2501">
        <f>HYPERLINK("https://www.weblio.jp/content/掲示板", "词义详情")</f>
        <v/>
      </c>
      <c r="K2501">
        <f>HYPERLINK("https://yourei.jp/掲示板", "查看例句")</f>
        <v/>
      </c>
    </row>
    <row r="2502">
      <c r="A2502" t="inlineStr">
        <is>
          <t>傾斜</t>
        </is>
      </c>
      <c r="B2502" t="inlineStr">
        <is>
          <t>成功</t>
        </is>
      </c>
      <c r="C2502" t="inlineStr">
        <is>
          <t>読み方：けいしゃ
［名］(スル)
１傾いて斜めになること。また、その度合い。かたむき。「船が右舷に—する」
２気持ちや考え方がある方向に偏っていくこと。「自然主義への—を深める」
３地層の層理面と水平面とのなす角度。測定にクリノメーターを用いる。</t>
        </is>
      </c>
      <c r="D2502" t="inlineStr">
        <is>
          <t>傾斜面(3%)；傾斜角(3%)；傾斜式；傾斜装置；傾斜機構</t>
        </is>
      </c>
      <c r="E2502" t="inlineStr">
        <is>
          <t>傾向；坂；好み；斜面；勾配</t>
        </is>
      </c>
      <c r="F2502" t="inlineStr">
        <is>
          <t>車体傾斜；急な傾斜；なだらかな傾斜；緩やかな傾斜；ゆるやかな傾斜</t>
        </is>
      </c>
      <c r="G2502" t="inlineStr">
        <is>
          <t>傾斜する；傾斜路；傾斜装甲；傾斜角度；傾斜計</t>
        </is>
      </c>
      <c r="H2502" t="n">
        <v>29</v>
      </c>
      <c r="I2502" t="inlineStr">
        <is>
          <t>建物は地形の傾斜にあわせて、1階部分も2階部分も地面に接している。；また傾斜に強いことから山砲の輸送など山間部での行動にも適していた。；なお、コーナーだけでなく直線部分も内側に傾斜しているのが一般的である。；メロンのある前頭部は若干膨らんでおり緩やかに前方へと傾斜している。；信頼性を確保するために、車体傾斜装置の制御系統は二重化されている。；傾斜面上にホームがあるため、駅舎はホームより下層に設けられている。；洞口からホールまでは下り傾斜となっており、ノッチ状形態が見られる。；南の谷に面する傾斜には、細長い平場が上・中・下の3段作られていた。；名前からも分かるように平坦になっているがやや南側に傾斜がある。；中間台車に設置される引張棒は、側面から見て傾斜した状態で装備される。；傾斜面上にホームがあるため、地上からは階段を上ってホームに入る。；緩傾斜式の構造は、それほど波のエネルギーが強くない場合に用いられる。；南斜面は断層崖となっているため急傾斜で海岸線まで落ち込んでいる。；試験的に装備されていた車体傾斜関連の機器は撤去された。；また、汽笛も限界内に収まるよう、後方に傾斜して取り付けられている。；シーズンが来ると、ホームの対面の傾斜面にたくさんの水仙の花が咲く。；降雪に備えた屋根が高く二段の傾斜を有した木造平屋建ての建物であった。；それはわずかに傾斜しているが、特に目立たない開けた草地に建てられた。；コーナー部分はおよそ30度、直線が2ないし4度内側に傾斜している。；側窓は0系同様に傾斜させることで屋根部との面変化を少なくした。；直線では外埒側から内埒側に向かって傾斜しているのもこのコースの特徴である。；日本で最も急な勾配がある区間より、さらに3倍ほど急な傾斜である。；これは曲線部分の通過速度を上げるため車体傾斜機能を持たせようとしたためである。；別説では、傾斜がきつく風が越えないで元へ戻ってしまうことに由来するという。；前頭部は傾斜角を大きくとり、大型の曲面ガラスを採用した流線型とされた。；リエルは彼らの問題に対し支援を行う考えに容易に傾斜していった。；イギリスは自身で保護国化したエジプトの開発に傾斜していた。；またアーレイ・バーク級から導入された重要な要素が傾斜船型の採用である。；敷地は傾斜しているため、レベルの違いをステップによって調整している。</t>
        </is>
      </c>
      <c r="J2502">
        <f>HYPERLINK("https://www.weblio.jp/content/傾斜", "词义详情")</f>
        <v/>
      </c>
      <c r="K2502">
        <f>HYPERLINK("https://yourei.jp/傾斜", "查看例句")</f>
        <v/>
      </c>
    </row>
    <row r="2503">
      <c r="A2503" t="inlineStr">
        <is>
          <t>芸術</t>
        </is>
      </c>
      <c r="B2503" t="inlineStr">
        <is>
          <t>成功</t>
        </is>
      </c>
      <c r="C2503" t="inlineStr">
        <is>
          <t>読み方：げいじゅつ
１特定の材料・様式などによって美を追求・表現しようとする人間の活動。および、その所産。絵画・彫刻・建築などの空間芸術、音楽・文学などの時間芸術、演劇・映画・舞踊・オペラなどの総合芸術など。「—の秋」「—品」
２学芸と技術。</t>
        </is>
      </c>
      <c r="D2503" t="inlineStr">
        <is>
          <t>芸術家(30%)；芸術的(4%)；芸術上；芸術活動；芸術論</t>
        </is>
      </c>
      <c r="E2503" t="inlineStr">
        <is>
          <t>美術；アート；作物；工芸；技芸</t>
        </is>
      </c>
      <c r="F2503" t="inlineStr">
        <is>
          <t>芸術界；現代芸術；芸術表現；芸術観；芸術音楽</t>
        </is>
      </c>
      <c r="G2503" t="inlineStr">
        <is>
          <t>芸術大学；芸術作品；芸術性；芸術品；芸術学部</t>
        </is>
      </c>
      <c r="H2503" t="n">
        <v>29</v>
      </c>
      <c r="I2503" t="inlineStr">
        <is>
          <t>加えて前衛的なロックアーティストも芸術音楽のアルバムを発表した。；画学校の設立には、京都だけでなく日本国の芸術界の存亡がかかっていた。；紀元前からギリシャは哲学や文化、芸術にさまざまな影響を与えてきた。；芸術ホールには噴水と様々な塑像が設置された小さな公園が付属している。；未来派の主要な芸術家・美術家としては以下のような人物が挙げられる。；その動きは文芸・美術・音楽・演劇などさまざまな芸術分野に及んだ。；これ以後この催しは、国際的に最も重要な現代芸術展の一つに発展した。；美術をはじめとする芸術一般にも興味を持ち相互に影響した。；ピアチェンツァは、イタリアで芸術都市の名声が高いものの一つである。；この世紀の芸術家たちの最大の起点は政治的な衝突に関係したものであった。；ヒューストンは文化・芸術活動を行う団体・施設を200以上有している。；かなり芸術的な詩なので、どちらかというと歌つきの演奏が多い。；このモンロッチの村の環境がミロの芸術に大きな影響を与えたようである。；作品の新たな制作法を開発するという形で芸術を再発明することも行われてきた。；ゴ集団の中には人類の文化・芸術に興味を示して熟達する者もいた。；芸術ホールは著名な建築家によるヨーロッパの美術館・博物館建築である。；しかし実際には一人で勉強し、芸術の新しい流れにほとんど影響を受けなかった。；「芸術にあっては知覚のプロセスそのものが目的 」であるからである。；国に金を出させて自分の勝手なゲイジュツをやってしまう人間か。；多くの彫刻家は、芸術を生み出す新たな手法および素材を模索している。；しかしながら、ピョートルは文学と芸術には深い関心は持たなかった。；専門料理は技術であり、また特に高度なものは芸術の一種と捉えられることもある。；同時に劇作にも関心を持ち、のちに独自の芸術を生み出す原動力となる。；日本を含む世界各地の前衛芸術に影響を与え、現代芸術の先駆となった。；ホッパーの両親は、商業芸術を学んで手に職をつけるように言った。；また、その流れを汲む合理主義的・機能主義的な芸術を指すこともある。；また、ある作品や活動の程度が非常に高いとき、これを芸術と呼ぶ場合がある。；また芸術保育類型を設立しており校内外の行事に活発的に活動している。；私は純粋に古風な美徳に則った全く新しい芸術の到来を予見しています。</t>
        </is>
      </c>
      <c r="J2503">
        <f>HYPERLINK("https://www.weblio.jp/content/芸術", "词义详情")</f>
        <v/>
      </c>
      <c r="K2503">
        <f>HYPERLINK("https://yourei.jp/芸術", "查看例句")</f>
        <v/>
      </c>
    </row>
    <row r="2504">
      <c r="A2504" t="inlineStr">
        <is>
          <t>継承</t>
        </is>
      </c>
      <c r="B2504" t="inlineStr">
        <is>
          <t>成功</t>
        </is>
      </c>
      <c r="C2504" t="inlineStr">
        <is>
          <t>読み方：けいしょう
［名］(スル)前代の人の身分・仕事・財産などを受け継ぐこと。承継。「伝統芸能を—する」</t>
        </is>
      </c>
      <c r="D2504" t="inlineStr">
        <is>
          <t>継承する(11%)；継承者(6%)；継承権(3%)；継承される；継承させる</t>
        </is>
      </c>
      <c r="E2504" t="inlineStr">
        <is>
          <t>家督；後継；相続；遺産；継ぐ</t>
        </is>
      </c>
      <c r="F2504" t="inlineStr">
        <is>
          <t>家督継承；特別継承；事業継承；代々継承；継承権第一位</t>
        </is>
      </c>
      <c r="G2504" t="inlineStr">
        <is>
          <t>継承戦争；継承国家；継承国；継承式；継承盃</t>
        </is>
      </c>
      <c r="H2504" t="n">
        <v>29</v>
      </c>
      <c r="I2504" t="inlineStr">
        <is>
          <t>さらに、施設も旧九重のものを継承し九重の方が部屋を出て行く形となった。；これに対し、女性に継承権が存在する場合は3つのパターンが存在する。；神を生み出す神話は王が神の息子であり継承者であると主張している。；古代から使われ続けてきた旧東成郡を区名として現在に継承している。；この期間に生まれた音楽は現代まで継承されているものも多い。；ただ、頼家の弟実朝の家督継承の際にはまず征夷大将軍に任官している。；マルカム2世には娘2人しかおらず、王位は娘たちの息子らが継承した。；これらのクラスはすべてFilterクラスに相当するものを継承している。；継承は、スーパークラスが一つに限られる単一継承をサポートしている。；ダヴィズが継承者を主張するがイングランド軍に捕らえられて処刑された。；これは前述のコントラルトヴィオラの大きさをほぼ継承したものと言える。；これは唐代において造形された毘沙門天の古い姿を継承したものである。；このスタイルは、以降のシリーズでも継承されていくことになる。；同日よりビブレのファッションビル型店舗の運営がOPAに継承された。；このためJRグループへの継承車は他系列へ改造された車種以外存在しない。；長洲地区のいくつかの町を除き全域が明治以来の大字を継承している。；また、Goのように、継承を全くサポートしていない言語も存在する。；継承の目的は、単純なクラスに基づいてもっと複雑なクラスを構成することである。；マハトマは複数存在し、チェラにその秘儀を継承していくと考えられた。；地位はわからないが織田信長の家督継承のころには織田家の重鎮であった。；これが、現在のフランスのカードのデザインに継承されている。；インスタンス化できる他の具象クラスが継承するためにのみ存在する。；こういった機能は後のデジタルカメラの閲覧ソフトに継承され発展していった。；他にアルディーティ兵のアナキスト的な価値観もを中心に継承されている。；現在では伝統的な技法を継承する鍛冶は非常に少なくなっている。；アカデミーは伝統的なフランス絵画のスタンダードを継承していた。；継承権は第一王子にあり、したがって第一王子がファラオになる。；当駅はその交通結節点の役割を発展的に継承することになる。；Wingデザインやハードウェアキーボードなどはそのまま継承された。</t>
        </is>
      </c>
      <c r="J2504">
        <f>HYPERLINK("https://www.weblio.jp/content/継承", "词义详情")</f>
        <v/>
      </c>
      <c r="K2504">
        <f>HYPERLINK("https://yourei.jp/継承", "查看例句")</f>
        <v/>
      </c>
    </row>
    <row r="2505">
      <c r="A2505" t="inlineStr">
        <is>
          <t>形状</t>
        </is>
      </c>
      <c r="B2505" t="inlineStr">
        <is>
          <t>成功</t>
        </is>
      </c>
      <c r="C2505" t="inlineStr">
        <is>
          <t>読み方：けいじょう
人・物の形やありさま。「複雑な—」</t>
        </is>
      </c>
      <c r="D2505" t="inlineStr">
        <is>
          <t>形状変更；形状変化；形状や大き；形状記憶；形状ゆえ</t>
        </is>
      </c>
      <c r="E2505" t="inlineStr">
        <is>
          <t>顔；姿；形；型；表情</t>
        </is>
      </c>
      <c r="F2505" t="inlineStr">
        <is>
          <t>前面形状；近い形状；車体形状；複雑な形状；同じ形状</t>
        </is>
      </c>
      <c r="G2505" t="inlineStr">
        <is>
          <t>形状関数；形状抗力；形状因子；形状記憶繊維；形状記憶樹脂</t>
        </is>
      </c>
      <c r="H2505" t="n">
        <v>29</v>
      </c>
      <c r="I2505" t="inlineStr">
        <is>
          <t>先端形状・太さ・長さなどは扱うねじに合わせてさまざまな種類がある。；もっとも普通の形状はユーフォニアムを小型にしたような形をしている。；形状が日本列島に似ており、独自の文化が発達しているといわれている。；このような銭の形状は、中国古代の半両銭に由来するものとされている。；馬歯は一生を通じて硬い草を食べ続けるため上下に長い形状をしている。；鰹節は節類の代表的なもので加工の工程や製品の形状の名称が共通する。；一般人からすると形状が奇妙だったり開発・運用が秘密だったりする。；やつでの葉のような形状と佐世保の文字から古くは「葉港」と呼ばれた。；山はそれぞれ特徴のある形状であり、それにちなんだ山名のものもある。；ラッキーゾーンが廃止されグラウンド形状が改められた直後のシーズン。；これは、錠前が特定の形状の鍵のみしか受け入れないことに例えられる。；スカートが当初より大型タイプとなり、パンタ台の形状も変化している。；灰皿は陶製の物であるが、木枠に入っているなど特殊な形状をしている。；また同じ用途でも、切れ刃の角度が異なるものなど様々な形状がある。；大砲はその形状・構造や用途・歴史的経緯等によって様々な分類がある。；また、刃は円錐状以外にも「剣」のように平たい形状のものも出てきた。；また、通常木型は形状のみでなく、分割方法も製品に準じて製作される。；このモードでは一般的に表面形状などの分布は測定されない。；形状が植物のユリに似ていると考えられたことから名付けられた。；ミツバチが利用した空間の形状によっては巣板が傾いていることもある。；また、作成された形状は下の表のルールでほかの形状に変換できる。；口金の形状には多数の種類があり、電球の用途に応じ選択されている。；以上の基本形状別・材料別の他には、ばねは次のような観点からも分類される。；他の標識に合わせた色・文字体変更がなされたが、形状は変更されていない。；なお、タマネギ隊員の横顔が描かれるときはなぜか普通の口の形状になる。；黒のみで色分けしない場合は、文字で形状を表示することとされる。；形状は、物を乗せる皿状の部分と手で持つための柄で構成される。；その性質上、格子の形状によっては一部の値のみで表すことが出来る。；この弱い結合により、DNAの全体的な形状は変形せず、のままとなる。</t>
        </is>
      </c>
      <c r="J2505">
        <f>HYPERLINK("https://www.weblio.jp/content/形状", "词义详情")</f>
        <v/>
      </c>
      <c r="K2505">
        <f>HYPERLINK("https://yourei.jp/形状", "查看例句")</f>
        <v/>
      </c>
    </row>
    <row r="2506">
      <c r="A2506" t="inlineStr">
        <is>
          <t>軽食</t>
        </is>
      </c>
      <c r="B2506" t="inlineStr">
        <is>
          <t>成功</t>
        </is>
      </c>
      <c r="C2506" t="inlineStr">
        <is>
          <t>読み方：けいしょく
軽い簡単な食事。「—をとる」</t>
        </is>
      </c>
      <c r="D2506" t="inlineStr">
        <is>
          <t>軽食コーナー(4%)；軽食店(3%)；軽食堂；軽食類；軽食屋</t>
        </is>
      </c>
      <c r="E2506" t="inlineStr">
        <is>
          <t>スナック；おやつ；間食；軽い食事；お八つ</t>
        </is>
      </c>
      <c r="F2506" t="inlineStr">
        <is>
          <t>軽食メニュー</t>
        </is>
      </c>
      <c r="H2506" t="n">
        <v>29</v>
      </c>
      <c r="I2506" t="inlineStr">
        <is>
          <t>座敷にはテーブルが置かれ、その上にはお茶やお酒や軽食が並んでいる。；日本の店舗においてはこれら以外にも軽食やスイーツが提供されている。；意味は現在と同じで、食事と食事の間に食べる軽食および習慣のこと。；軽食とは、手間をかけず短時間で食べることが出来る食事のことである。；まあこれはファーストフードではないにしても、軽食だと思ってください。；バスクで食べられている軽食ピンチョは、スペイン各地に普及している。；クルトの塊は軽食もしくは冷たい飲料に加えて提供されることもある。；食事は決まった時間に取り、軽食は避け、自分が食べたものを日記に記録した。；バルやカフェで軽食と共にビールやワインを飲んで職場に戻る人もいる。；素泊まりが基本だが、朝はパンやジュースなどの軽食を無料提供している。；週末には観客の行列ができ、館内では軽食の売り子が座席近くを回った。；食堂以外にはバーとビュッフェがあり、アルコール類と軽食が供された。；付近の労働者が何人か、仕事着のままカウンターで軽食を食べていた。；ジャマールは、順番を待つ人々相手に軽食を売って大もうけしたのです。；中世のペイストリーには小さなタルトもあり、軽食に豊かさを加えていた。；新店舗は2階が喫茶室となっているが、軽食の提供はおこなわれていない。；現代ではパンやサンドイッチなどの軽食を食す際に手食の名残が残っている。；立席で軽食の提供を前提とした車両の場合はビュフェと呼ばれる。；踊りが始まると、彼らは軽食を食いに厨房へ降りて行ったのである。；オランダには独自のファストフードがあり、軽食店で販売している。；城には大きな人形が展示され中世の道具が所蔵されているほか、軽食店もある。；商売柄よく旅行をしますが、仕事前に出される軽食と言うと僕は必ず蕎麦を注文します。；手にしているのはヤツメウナギを油で揚げた安くて一般的な軽食だ。；料金には軽食も含まれており、バックパックの収納場所も用意されている。；観光地らしく、駅前には土産物店と軽食堂が二十軒ほども並んでいる。；彼の父親は、ニューヨークで昼食用の軽食を出す屋台をいくつか所有していた。；ほとんどの肉料理は安価な肉を材料に工場で作り冷凍して軽食店に供給される。；したがって、かなり長時間になるのが普通で、軽食やコーヒーも出る。；うしろにはビールのおかわりや軽食の追加がはいったベニーの網袋を引っぱっている。</t>
        </is>
      </c>
      <c r="J2506">
        <f>HYPERLINK("https://www.weblio.jp/content/軽食", "词义详情")</f>
        <v/>
      </c>
      <c r="K2506">
        <f>HYPERLINK("https://yourei.jp/軽食", "查看例句")</f>
        <v/>
      </c>
    </row>
    <row r="2507">
      <c r="A2507" t="inlineStr">
        <is>
          <t>形成</t>
        </is>
      </c>
      <c r="B2507" t="inlineStr">
        <is>
          <t>成功</t>
        </is>
      </c>
      <c r="C2507" t="inlineStr">
        <is>
          <t>読み方：けいせい
［名］(スル)一つのまとまったものに作り上げること。形づくること。「人格を—する」</t>
        </is>
      </c>
      <c r="D2507" t="inlineStr">
        <is>
          <t>形成する(19%)；形成される(9%)；形成過程；形成不全；形成警報</t>
        </is>
      </c>
      <c r="E2507" t="inlineStr">
        <is>
          <t>なる；影響；構成；設立；決定</t>
        </is>
      </c>
      <c r="F2507" t="inlineStr">
        <is>
          <t>非芽胞形成；再形成；腫瘍形成；価格形成；国家形成</t>
        </is>
      </c>
      <c r="G2507" t="inlineStr">
        <is>
          <t>形成期；形成層；形成訴訟；形成権；形成外科学</t>
        </is>
      </c>
      <c r="H2507" t="n">
        <v>29</v>
      </c>
      <c r="I2507" t="inlineStr">
        <is>
          <t>表面にマグネタイトを形成する方法が一般的だがまったく充分ではない。；またこの事件の直後の6億年前には最後の大規模な陸地形成が起こった。；このような細胞外構造の形成には、分泌システムが大きく関係している。；集団を形成するようになる有史以来、人類が繰り返してきたものである。；信仰の歴史は古く、ビルマ族が同地に王国を形成する以前から存在した。；現在の地形に加えて、形成過程や内部構造も考慮して分類されている。；帝国がキリスト教を採用したことで、中世のキリスト教が形成された。；国民は、居住する地理範囲に一つの国家を形成することが予定される。；湿った空気中では酸化レニウムを形成するため僅かに表面が曇っていく。；また、日本では個人の思想や教えによってグループが形成されている。；データの内容に依存しないデータ構造とリスト操作コードを形成可能である。；核膜は細胞分裂の際に一時消失することがあるが終期には再形成される。；この条件から外れると領海を形成するために有効な領土ではなくなる。；この時代には大規模な環濠集落が形成され軍事的な緊張があったと考えられる。；恒星が誕生する際には、質量の小さい恒星ほど形成される可能性が高い。；この時点では緩やかな政治連合を形成していたと考えられている。；水を主成分とする海は地球誕生後まもなく形成され、現在まで継続している。；このような巨大衝突の繰り返しで、金星、地球が形成されたと考えられる。；また、日本国家の形成に影響を与えたとされている宗教である。；まず平原の低いところに水が集まって河道が形成されるのが幼年期である。；非常に反応性が高く、多くの金属や有機物と反応し塩化物を形成する。；大統領および8人の副大統領と21人の閣僚で閣僚評議会が形成される。；日本の大都市の一部では古書店が複数集まる古書店街が形成されている。；内殻軌道および電子は結合の形成の間には基本的に変化しない。；この頃までに近代日本語が多くの文筆家らの努力で形成された。；河川の上流から流れてきた砂などが堆積することにより形成される。；オスは単独で生活するか、優位のオスは群れの周囲に縄張りを形成する。；地球の月は、地球形成末期に起きた巨大衝突の産物であるとする説が有力である。；脊椎動物などでは原腸胚期の後、神経管が形成される神経胚期へと進む。</t>
        </is>
      </c>
      <c r="J2507">
        <f>HYPERLINK("https://www.weblio.jp/content/形成", "词义详情")</f>
        <v/>
      </c>
      <c r="K2507">
        <f>HYPERLINK("https://yourei.jp/形成", "查看例句")</f>
        <v/>
      </c>
    </row>
    <row r="2508">
      <c r="A2508" t="inlineStr">
        <is>
          <t>形勢</t>
        </is>
      </c>
      <c r="B2508" t="inlineStr">
        <is>
          <t>成功</t>
        </is>
      </c>
      <c r="C2508" t="inlineStr">
        <is>
          <t>読み方：けいせい
変化する物事の、その時その時の状態や勢力の関係。「—が逆転する」「—不利」</t>
        </is>
      </c>
      <c r="D2508" t="inlineStr">
        <is>
          <t>形勢逆転(5%)；形勢判断；形勢わるし；形勢非；形勢不利</t>
        </is>
      </c>
      <c r="E2508" t="inlineStr">
        <is>
          <t>状態；流れ；様子；傾向；事態</t>
        </is>
      </c>
      <c r="F2508" t="inlineStr">
        <is>
          <t>不利な形勢；そういう形勢；細かい形勢；布施屋形勢；容易ならぬ形勢</t>
        </is>
      </c>
      <c r="G2508" t="inlineStr">
        <is>
          <t>形勢戸</t>
        </is>
      </c>
      <c r="H2508" t="n">
        <v>29</v>
      </c>
      <c r="I2508" t="inlineStr">
        <is>
          <t>ばかりか、周囲の形勢は日々に非なりというふうにさえなってきていた。；作家は身辺の状況と天下の形勢に応じて時々その立場を変えねばならん。；彼らも観客たちも知っているように、形勢は彼らにまったく不利だった。；この形勢がこのままで続いたら、どんな事にたち至ったか思いやられる。；また実際の形勢判断における目算の意味から見ても正しい定義ではない。；一般に、自分の地と相手の地を数えて形勢判断することを目算と言う。；この形勢に最初の変化をもたらしたのは、一六〇〇年の関ヶ原の戦である。；わたしは、形勢が悪いということを、おまえさんに隠しておきたくない。；この形勢の下に王子はインドへの航路の発見を意図し始めたらしい。；だんだんもつれて、これから何がでてくるか分らない形勢になりましたな。；それに代わって各種工業が進出し、工場地帯を形勢することになる。；ただし、ムマキルが混乱することで形勢が逆転する描写は描かれている。；大統領にもはや形勢を挽回することは不可能と伝えるためであった。；その間に貞之助も妙子も、形勢険悪と見て早いこと姿を消してしまった。；僕が中学校へ入った頃の東西引佐村は今述べたような形勢だった。；ところで今のところ形勢が有利なのはどこの家なんでしょう?；彼には形勢が彼の方に悪くなっていることがわかりかけた。；援軍のおかげで戦闘での形勢は一転し、ミクマク族は撤退を強いられた。；そして、レヴァームの圧倒的な産業力の前に形勢は徐々に逆転していく。；ただ現在の視点で見るとそれほど形勢は離れていないようである。；それがどうだ、わずか一日しかそれを楽しめそうもない形勢になってきたとは。；六時に指しかけになった時の形勢では大いに有望だと思ったらしい。；明治三十八年以後は日露戦争の結果であろう、だいぶ形勢が変ってきた。；真実形勢が悪いのだと思いこみ、さてほんとうに敗けてしまうのである。；常子は形勢を察したので扉のところに行つて「鶴子さん」とさう呼んだ。；あるいは戦争の形勢泰衡に不利なるを知って後のことであったのかも知れない。；さうしてその近辺には家も何もない、今とは形勢が非常に変つて居たものと見える。；あと一分もすれば、彼女はまたひと騒動起こしかねない形勢だった。；もう形勢はどう動かすこともできないところまで来ているらしい。</t>
        </is>
      </c>
      <c r="J2508">
        <f>HYPERLINK("https://www.weblio.jp/content/形勢", "词义详情")</f>
        <v/>
      </c>
      <c r="K2508">
        <f>HYPERLINK("https://yourei.jp/形勢", "查看例句")</f>
        <v/>
      </c>
    </row>
    <row r="2509">
      <c r="A2509" t="inlineStr">
        <is>
          <t>継続</t>
        </is>
      </c>
      <c r="B2509" t="inlineStr">
        <is>
          <t>成功</t>
        </is>
      </c>
      <c r="C2509" t="inlineStr">
        <is>
          <t>読み方：けいぞく
［名］(スル)
１前から行っていることをそのまま続けること。また、そのまま続くこと。「討議を—する」
２以前からのことを受け継ぐこと。継承。
「オヤノショウギョウヲ—スル」〈和英語林集成〉</t>
        </is>
      </c>
      <c r="D2509" t="inlineStr">
        <is>
          <t>継続する(12%)；継続的(8%)；継続される(2%)；継続中；継続使用</t>
        </is>
      </c>
      <c r="E2509" t="inlineStr">
        <is>
          <t>続く；連続；維持；続ける；守る</t>
        </is>
      </c>
      <c r="F2509" t="inlineStr">
        <is>
          <t>戦争継続；継続参戦；戦闘継続；活動継続；継続販売</t>
        </is>
      </c>
      <c r="G2509" t="inlineStr">
        <is>
          <t>継続戦争；継続教育；継続審議；継続的インテグレーション；継続的デリバリー</t>
        </is>
      </c>
      <c r="H2509" t="n">
        <v>29</v>
      </c>
      <c r="I2509" t="inlineStr">
        <is>
          <t>ループは、繰り返しを継続するかどうかを判断するための条件式を持つ。；当選した場合、タレント活動を継続するかどうかはその者の判断による。；アメリカでは映画のジャンルとして野球映画が継続して制作されている。；日本でもマナー違反利用問題・無料化継続の是非が議論され出している。；他にも新潟に関連するイベントを開催しており、関係を継続している。；シーズンごとに運転が継続され、2015年5月29日まで運転された。；両者の暴力停止が合意されたが、交渉再開は停戦継続を条件としている。；こうしてルーズベルト大統領の承認を得て、戦時中も試合は継続された。；フランスはこの戦争後もスペインと戦争を1659年まで継続した。；この姿勢はWeb小説のコミカライズが流行した以降も継続している。；これはかつての馬車で行われていた用途の継続でもあった。；終了した側はもう一方が終了するまで受信可能の状態を継続する。；また墓を建てても、子孫らがそれに継続的に参拝するとは限らない。；水を主成分とする海は地球誕生後まもなく形成され、現在まで継続している。；動植物の長く継続的な観察から至る所で続く生存のための努力を理解できた。；イージスシステムは継続的な改良を受け、多数のバージョンが生じている。；同部隊がボラユル軍団として再編された際も作戦課長の任務を継続した。；大隈は帰化法の採用には応じたものの、条約改正交渉の継続を主張した。；部分的に沈んでいる島も含めて、その数は継続的に多くなっている。；同年10月には、2022年も記念企画を継続して実施すると発表された。；これに対しナポレオンは封鎖令の継続を求めたが、ロシアはこれを拒否。；これらの実績により、水戸はJリーグから加盟継続が正式に承認された。；衣料、雑貨を営業し、近代に入って呉服類を中心に営業を継続拡張した。；今中期防においても戦車定数の削減事業は継続される予定となっている。；これらの対策は翌年以降も継続して取り入れられている。；しかし、これ以降もポリ塩化ビニル生産のために製造自体は継続されている。；当初は同年4月10日までの予定だったが継続使用されている。；定年退職後も雇用契約を継続するかどうかは各自の判断にゆだねられる。；独立の経緯以来、インドとの間では緊張関係が継続している。</t>
        </is>
      </c>
      <c r="J2509">
        <f>HYPERLINK("https://www.weblio.jp/content/継続", "词义详情")</f>
        <v/>
      </c>
      <c r="K2509">
        <f>HYPERLINK("https://yourei.jp/継続", "查看例句")</f>
        <v/>
      </c>
    </row>
    <row r="2510">
      <c r="A2510" t="inlineStr">
        <is>
          <t>軽率</t>
        </is>
      </c>
      <c r="B2510" t="inlineStr">
        <is>
          <t>成功</t>
        </is>
      </c>
      <c r="C2510" t="inlineStr">
        <is>
          <t>読み方：けいそつ
［名・形動］物事を深く考えずに軽々しく行うこと。また、そのさま。かるはずみ。「—な判断」⇔慎重。
[派生]けいそつさ［名］</t>
        </is>
      </c>
      <c r="D2510" t="inlineStr">
        <is>
          <t>軽率な行動(6%)；軽率な発言；軽率な行為；軽率な判断；軽率な言葉</t>
        </is>
      </c>
      <c r="E2510" t="inlineStr">
        <is>
          <t>軽い；やたら；無謀；むやみ；軽薄</t>
        </is>
      </c>
      <c r="F2510" t="inlineStr">
        <is>
          <t>あまりにも軽率；かかる軽率；軽率きわまる</t>
        </is>
      </c>
      <c r="H2510" t="n">
        <v>29</v>
      </c>
      <c r="I2510" t="inlineStr">
        <is>
          <t>しかしそれらの軽率な態度でさえ否定されるような雰囲気ではなかった。；協力していれば避けられた過失や軽率な行動の全部を残念に思うのです。；もうあれ以来軽率に感情を告げたりすることもなく慎んでいるのである。；まわりに家があるのを見なかったらきっと軽率なことをしでかしたろう。；ひとり書に限らず、知らざればこそなに恐れずに軽率にするものである。；よく見る前にすぐ行動を起こし、軽率な選択をしてしまう危険があります。；慎重な行動をとるようつとめていて、そんな軽率なことをするはずがない。；無事人間に戻ったら、もう軽率な行動を取らないように気をつけてね。；そのように愚昧な時代が再びくることがないと思うのは軽率であろう。；とすると、やっぱり軽率なことは言わないほうがいいのかもしれない。；しかし経之は母の前では、軽率にその名前を口にすることを控えた。；先刻、会議がはじまる前に心ないことを口にしたのは、おれの軽率さだ。；わしが軽率に相手を選ぶことができなかった理由が、これでわかったろうな。；わたしの考えでは、女性はそのような軽率なふるまいを慎むべきである。；友人の軽率な発言に顔をしかめながら、麗子は瑞穂の頭の傷を確認した。；すべては、女の軽率な行動から起こった事件ということになるのだろうか。；しかし、日ごろの慎重な性格にもかかわらず軽率なことをしたものである。；だれそれには軽率なところがございますなど、わたしに告げた者はなかった。；昨日の一件があったばかりだというのに自分の行動は軽率すぎたのかと悔いる。；それに、インドのために軽率なことができないこともわかっていた。；たしかにときには軽率なことをしたが、彼は決してばかではなかった。；ポカとか軽率というのとは違う失着だったが、問題はその後にもあった。；軽率に、顔を出したくないが、心の中では、うずうずして、待っていた。；それはなにもかもがいかにも軽率な判断に過ぎなかったからとするの他はないのである。；砂漠のことと同じように、余り軽率に人に言うなと警告したのだろう。；単に詩的な気持から、軽率な冒険をしてはならぬと思つたのであつた。；わたしたちはみな勇敢で軽率で、並はずれた父たちと母の子なのである。；あの二人をわざわざ接近させるようなことをして、おまえこそ軽率じゃないのか?；あの軽率な男が自分でこのド・レナル夫人に手紙を出すようにわしに勧めたのだ。</t>
        </is>
      </c>
      <c r="J2510">
        <f>HYPERLINK("https://www.weblio.jp/content/軽率", "词义详情")</f>
        <v/>
      </c>
      <c r="K2510">
        <f>HYPERLINK("https://yourei.jp/軽率", "查看例句")</f>
        <v/>
      </c>
    </row>
    <row r="2511">
      <c r="A2511" t="inlineStr">
        <is>
          <t>携帯</t>
        </is>
      </c>
      <c r="B2511" t="inlineStr">
        <is>
          <t>成功</t>
        </is>
      </c>
      <c r="C2511" t="inlineStr">
        <is>
          <t>読み方：けいたい
［名］(スル)
１身につけたり、手に持ったりすること。「非常食を—する」
２《「ケータイ」と書くことが多い》「携帯電話」の略。</t>
        </is>
      </c>
      <c r="D2511" t="inlineStr">
        <is>
          <t>携帯型；携帯可能；携帯無線機；携帯レーザー；携帯式</t>
        </is>
      </c>
      <c r="E2511" t="inlineStr">
        <is>
          <t>持つ；輸送；運ぶ；所持；搬送</t>
        </is>
      </c>
      <c r="F2511" t="inlineStr">
        <is>
          <t>携帯番号；携帯火器；携帯モード；携帯電話事業；携帯武器</t>
        </is>
      </c>
      <c r="H2511" t="n">
        <v>29</v>
      </c>
      <c r="I2511" t="inlineStr">
        <is>
          <t>サイトオリジナルの携帯ラジオやコラムなどを会員向けに配信している。；すぐ近くの別の得意先にいてはってんけど、携帯鳴らして連絡とったよ。；もちろん携帯の番号は伝えてあったが、かけてくるとは思っていなかった。；一方で、旅行先などで使用できる携帯タイプは現在も発売されている。；携帯機とは違い生物でないものをモチーフにしたものも多く登場する。；携帯ラジオ用のスピーカーは絶対に大きくて重いものであってはならない。；携帯の公式サイトでは、プロデューサー日記のコーナーも担当している。；最も重要な点は、彼ら自身が自衛のために武器を携帯していたことである。；そしてライブが始まり、健二のピアノの前には通話中の携帯が置かれる。；前述に各人の携帯着信音を書いてあるが、これ以外に流れる場合もある。；主に軍隊や警察の制服に装着され、刀や拳銃を携帯するために用いられる。；この場合、携帯であるか否かに関係なく、同じ情報を提供することになる。；逆に、合法に所持・携帯していても使用に不法性を問われることもある。；各競馬場ごとに予想・携帯がしやすいよう分冊されているのも特徴である。；紹介ページとメインメニュー以外は携帯からしか見ることができない。；携帯型の通信機もあり、車両から離れた場所であっても通信が可能である。；町奴は町人である故、武士の様な刀や長い脇差の携帯が許されなかった。；後に携帯移動衛星業務が定義され、携帯基地局に相当するものとなった。；また携帯しやすいため補助的な武装としても利用されたと考えられている。；PC版特集記事で評判の良かった記事を、携帯版に再編集して掲載した。；携帯を出して裕生にかけようとすると、葉が消え入りそうな声で言った。；そんな中、彼らは携帯のメッセージで互いの人生を交換したいと送り合う。；警察官等に提示を求められた際に携帯していないと、罰金を課せられる。；これは必要最低限の装備だけを携帯することをコンセプトに作られていた。；童顔のため年齢確認されることが多く、身分証明証を常に携帯している。；電車の中でずっと眠り続けていた藤原君の携帯を借りて、奥さんに電話した。；箱の大きさは携帯向けの小箱から、卓上用の大箱まで様々なものがある。；ダイバーに特に人気の高いパラオでは法律で携帯が義務付けられている。；旅行先など温水洗浄便座のない場所で使用できるよう携帯タイプとしたもの。</t>
        </is>
      </c>
      <c r="J2511">
        <f>HYPERLINK("https://www.weblio.jp/content/携帯", "词义详情")</f>
        <v/>
      </c>
      <c r="K2511">
        <f>HYPERLINK("https://yourei.jp/携帯", "查看例句")</f>
        <v/>
      </c>
    </row>
    <row r="2512">
      <c r="A2512" t="inlineStr">
        <is>
          <t>形態</t>
        </is>
      </c>
      <c r="B2512" t="inlineStr">
        <is>
          <t>成功</t>
        </is>
      </c>
      <c r="C2512" t="inlineStr">
        <is>
          <t>読み方：けいたい
１生物や機構などの組織体を外から見たかたちやありさま。形体。「政治—」
２⇒ゲシュタルト</t>
        </is>
      </c>
      <c r="D2512" t="inlineStr">
        <is>
          <t>形態的(3%)；形態変化；形態形質；形態異常；形態ごと</t>
        </is>
      </c>
      <c r="E2512" t="inlineStr">
        <is>
          <t>姿；形；型；種；類</t>
        </is>
      </c>
      <c r="F2512" t="inlineStr">
        <is>
          <t>運行形態；販売形態；様々な形態；繁殖形態；さまざまな形態</t>
        </is>
      </c>
      <c r="G2512" t="inlineStr">
        <is>
          <t>形態素；形態論；形態形成；形態模写；形態素解析</t>
        </is>
      </c>
      <c r="H2512" t="n">
        <v>29</v>
      </c>
      <c r="I2512" t="inlineStr">
        <is>
          <t>この解釈から証言として知られることになる共通の信仰形態が出現した。；属や種を特徴付けるのは頭部周辺で、それぞれ特徴的な形態をしている。；物体間で仕事を通じて移動する以外のエネルギーの移動形態を熱という。；しかし同時にこのような形態の戦争は現実の戦争で出現しているわけではない。；また、マツの形態的特徴は樹木以外の生物の名前に使われることもある。；また多くの宗教で霊と呼ばれる形態の生物の存在を想定している。；これは日本国内では他にあまり見られない地域形態となっている。；この動きから従来の農業とは異なる様々な農業の形態が生まれた。；様々な物質で以下のようないくつかの形態の磁気的な振る舞いが見られる。；これを反映して形態をはじめ生物学的な性質には大きな多様性が見られる。；このため、学研都市線とJR東西線はほぼ一体の運行形態となっている。；エンターテインメント産業とほぼ同じ事業形態で運営が行われている。；無神論の異なる形態を区別するために様々なカテゴリーが用いられてきた。；近年ではCM劇場の形をとらない形態でCMが放送される作品も増えている。；この現象のうち特に形態的な変化を示すものを細胞変性効果と呼ぶ。；我々地球上生命の形態は、地球の環境に適応して進化を遂げた結果である。；スタイルや形態における実験が主題における新しい自由さに加わってきた。；バックパッカーは、他の旅行形態と同様に、論争の的であり続けている。；内陸の部族は狩猟採集が基本であり、何らかの形態の農業も行っていた。；イタリアの繊維産業と深く結びついた工業形態となっていることが分かる。；以下は特定の部位に存在し、特徴的な機能・形態を持つ分類である。；の都市計画理論は、再び理想的な都市形態を論ずることが多くなってきた。；眼を形態で大きく分類すると単眼・複眼・カメラ眼の3つに分けられる。；過去独立して存在していたジャスダックも株式会社形態であった。；ただし、それらの形態は、小さな形の種にとどまっていたものが多い。；先頭化改造では103系0番台と同形態の非貫通の運転台が設置された。；魂はそれ自身を進化の中で連続する形態と自己同一化している。；このため、農業交通形態の特殊性を考慮した規模構造となっている。；法律の定義以外にも、施設の収容人数・目的等によって様々な形態がある。</t>
        </is>
      </c>
      <c r="J2512">
        <f>HYPERLINK("https://www.weblio.jp/content/形態", "词义详情")</f>
        <v/>
      </c>
      <c r="K2512">
        <f>HYPERLINK("https://yourei.jp/形態", "查看例句")</f>
        <v/>
      </c>
    </row>
    <row r="2513">
      <c r="A2513" t="inlineStr">
        <is>
          <t>携帯電話</t>
        </is>
      </c>
      <c r="B2513" t="inlineStr">
        <is>
          <t>成功</t>
        </is>
      </c>
      <c r="C2513" t="inlineStr">
        <is>
          <t>読み方：けいたいでんわ
無線を用いて長距離通信のできる小型の移動電話。音声通話以外に、電子メールの送受信、インターネット接続、デジタルカメラ、ワンセグなど種々の機能をもつものは、特にスマートホンまたはフィーチャーホンと呼ばれる。ケータイ。セルラーホン。モバイルホン。</t>
        </is>
      </c>
      <c r="D2513" t="inlineStr">
        <is>
          <t>携帯電話向け(3%)；携帯電話用(2%)；携帯電話事業；携帯電話サービス；携帯電話等</t>
        </is>
      </c>
      <c r="E2513" t="inlineStr">
        <is>
          <t>電話；番号；ナンバー；携帯；電話番号</t>
        </is>
      </c>
      <c r="F2513" t="inlineStr">
        <is>
          <t>au携帯電話；カメラ付き携帯電話；製携帯電話；携帯電話版；携帯電話サイト</t>
        </is>
      </c>
      <c r="G2513" t="inlineStr">
        <is>
          <t>携帯電話会社；携帯電話事業者；携帯電話機；携帯電話アプリ；携帯電話ゲーム</t>
        </is>
      </c>
      <c r="H2513" t="n">
        <v>29</v>
      </c>
      <c r="I2513" t="inlineStr">
        <is>
          <t>一部ではあるが、日本国内の海外携帯電話販売店にて販売されている。；携帯電話の多機能性を活用して通信以外の用途へ使用する研究が進みつつある。；また、多数のサービスを1台の携帯電話で利用することが可能である。；これにより2006年後半以降の携帯電話でL4が使われる事になった。；また、携帯電話やスマートフォンのカメラにも搭載されている場合が多い。；かつては携帯電話、デジタルカメラも手がけていたが現在は撤退している。；携帯電話との連携機能を利用しないと手に入らない隠しモンスターも存在する。；設備の制御は携帯電話などのモバイル機器からも可能であるという。；観光客のために携帯電話で情報が表示出来るようQRコードが付いている。；携帯電話での普及状況は、おサイフケータイの項もあわせて参照の事。；レギュラー末期に放送された、電車内を舞台にした携帯電話を使ったコント。；このことはタイでの携帯電話普及が進む背景となっている。；その一方、アメリカではPalmOSを採用した携帯電話が登場している。；携帯電話は従来はほとんどの場所でサービスエリア圏外となっていた。；携帯電話は供給せずPHSのみ供給していたメーカーも存在する。；当然ながら、電力やインターネット・携帯電話等の使用可能地域である。；携帯電話の無線ネットワークに接続して無線通信をおこなう装置である。；さまざまな情報を、同社の携帯電話に配信し待受画面に表示するものである。；このワームはBluetoothを使用して近くの携帯電話に伝播する。；移動式電話は、かつての自動車電話やその後に登場した携帯電話などである。；多くの国で携帯電話の契約数が固定電話の契約数を超えている。；各地域での携帯電話の通信規格はおおむね以下のようになっている。；しかし、ドコモの携帯電話へ移行する際、以下の問題は避けられなかった。；インターネットには触れず、携帯電話も所有していないという。；日本国内においては、携帯電話と比較した場合、以下の特徴があった。；携帯電話内のデータを、携帯電話内に搭載された音源が処理し音を鳴らしている。；現在では一般に、折り畳み式を含む従来型の携帯電話等と区別されて使用される。；携帯電話と対応した音の出る記事も掲載していた。；また、一部の携帯電話の端末本体の装飾にも用いられる場合もある。</t>
        </is>
      </c>
      <c r="J2513">
        <f>HYPERLINK("https://www.weblio.jp/content/携帯電話", "词义详情")</f>
        <v/>
      </c>
      <c r="K2513">
        <f>HYPERLINK("https://yourei.jp/携帯電話", "查看例句")</f>
        <v/>
      </c>
    </row>
    <row r="2514">
      <c r="A2514" t="inlineStr">
        <is>
          <t>毛糸</t>
        </is>
      </c>
      <c r="B2514" t="inlineStr">
        <is>
          <t>成功</t>
        </is>
      </c>
      <c r="C2514" t="inlineStr">
        <is>
          <t>読み方：けいと
羊などの動物の毛を紡いで作った糸。編物・毛織物などに用いる。《季冬》</t>
        </is>
      </c>
      <c r="D2514" t="inlineStr">
        <is>
          <t>毛糸玉(3%)；毛糸編み；毛糸屋；毛糸紡績；毛糸帽</t>
        </is>
      </c>
      <c r="E2514" t="inlineStr">
        <is>
          <t>羊毛；ウール；ウーステッド；梳毛糸</t>
        </is>
      </c>
      <c r="F2514" t="inlineStr">
        <is>
          <t>白い毛糸；黒い毛糸；青い毛糸；黄色い毛糸</t>
        </is>
      </c>
      <c r="H2514" t="n">
        <v>29</v>
      </c>
      <c r="I2514" t="inlineStr">
        <is>
          <t>よく気のつくおフミさんが、家からいろんな残り毛糸を持ってきました。；そばではお柳さまが、人形の様に冷たい顔をして毛糸の編物をしている。；私は手芸売場で何冊かの本を選び、それに出ていた毛糸玉を買ってきた。；銭湯帰りだろう、風呂桶を持った毛糸の帽子をかぶった男が歩いていた。；五匹の白い毛糸玉はまったく同じ、どれが雄かどれが雌かもわかりません。；その前には、赤い毛糸で編まれた帽子をかぶった水子地蔵が並んでいる。；月の中ごろに、母親から来た小荷物には、毛糸のシャツがはいっていた。；女は毛糸の襟巻をし、腰から下を毛布で包み、紙人形をこしらへてゐる。；というわけで数字をもらったサーシャは毛糸を買いに行ったのだった。；五円玉のゴムボールを青い毛糸編みのカバーで包んでくれた少女がいた。；父親のくれた毛糸の手袋をして、手と手とを大事そうに組み合せている。；指先にあった赤い毛糸の糸屑だと思っていたものは、切り傷の痕だった。；当時の報道によると1日に毛糸の靴下200足が使われていたという。；私が入るとつづいて毛糸の襟巻をした若い男がはいって来て入口の戸を閉めた。；で、部屋へ戻って、上から垂れた二本の毛糸を部屋の窓にくくりつけた。；この工場は合成繊維が毛糸よりも人気が出て、変化する技術の犠牲になった。；或晩芝居へ行ったら、前の席の娘さんの襟から毛糸のほつれが長く出ていた。；クレップシャツの上に毛糸の腹巻きをしている風采がどうもいやらしい。；おばあさんの部屋は食堂の隣だから、毛糸は斜になっているわけです。；足には二足の薄手の毛糸の靴下と、二足の厚手の靴下を重ねてはいていた。；煙筒からは煙草の煙よりも細い煙が風のない空に、毛糸のように上っていた。；毛糸のショオルが母のものだということにすら、姉は気づいていない。；いつもそれで遊んでいるのか、黄色の毛糸はだいぶ毛羽だって汚れている。；また毛糸玉など、巻いてはいるが、どちらの巻き方とも言えないものもある。；窓ふきサービスを始めたウォレスは、毛糸屋のウェンドレンに恋をする。；橋の上を走る女の子の赤い毛糸が、一瞬緑に映じて消えて行った。；それが毛糸のようにほぐれかけて、意識がしだいにはっきりしてきた。；そよぐ雑草の海の中で点々と毛糸の塊のような猫たちが散在している。；毛糸や糸を用いてキャンバスやガラス窓、外壁などに作品を制作する。</t>
        </is>
      </c>
      <c r="J2514">
        <f>HYPERLINK("https://www.weblio.jp/content/毛糸", "词义详情")</f>
        <v/>
      </c>
      <c r="K2514">
        <f>HYPERLINK("https://yourei.jp/毛糸", "查看例句")</f>
        <v/>
      </c>
    </row>
    <row r="2515">
      <c r="A2515" t="inlineStr">
        <is>
          <t>経度</t>
        </is>
      </c>
      <c r="B2515" t="inlineStr">
        <is>
          <t>成功</t>
        </is>
      </c>
      <c r="C2515" t="inlineStr">
        <is>
          <t>読み方：けいど
地球上の位置を表す座標の一。ある地点を通る子午線（経線）と本初子午線（英国旧グリニッジ天文台を通る子午線）との間の角度。本初子午線を基準とし、東へ東経180度まで、西へ西経180度まで区分される。⇔緯度。</t>
        </is>
      </c>
      <c r="D2515" t="inlineStr">
        <is>
          <t>経度差(3%)；経度方向(3%)；経度委員会(2%)；経度測定；経度一四</t>
        </is>
      </c>
      <c r="E2515" t="inlineStr">
        <is>
          <t>子午線；経線</t>
        </is>
      </c>
      <c r="F2515" t="inlineStr">
        <is>
          <t>経度一；同経度；正確な経度；採用経度；点経度</t>
        </is>
      </c>
      <c r="G2515" t="inlineStr">
        <is>
          <t>経度賞；経度の歴史</t>
        </is>
      </c>
      <c r="H2515" t="n">
        <v>29</v>
      </c>
      <c r="I2515" t="inlineStr">
        <is>
          <t>経度の測定方法は当時航海上の重要問題で各国で懸賞がかけられていた。；距離を求めるには両地点での経度・緯度をもとにして計算を行う必要がある。；そのため地球全体を描く場合は、経度で見て近い側と遠い側を分けて描く。；との2人の女性が経度委員会に提案を提出したことが知られている。；フランスの地形図ではパリ基点の経度表示のために現在も使用されている。；しかしこの時の測定結果は、実際の経度とはかけ離れたものであった。；さらに、緯度や経度を調整すれば任意の場所の内部を見ることも可能。；翌日の一一時に牛車は経度一四五度線上のウィメラ河のほとりに着いた。；そのため、偏角を測定すればその場所の経度が求められると主張した。；経度委員会もこれを認め懸賞金の残り全額が授与されることになった。；地球上では、各地点の時刻はほぼ経度に沿うように設定されている。；これは当時は精巧な時計が無く、経度の測定が困難だったためと考えられる。；この日時計は太陽時が分かるよう設計されているので、経度は重要ではない。；この方法で経度が求められることは、日本では高橋至時がすでに知っていた。；水路の地図を作り、海岸沿いの主要な港と要塞の経度、緯度を測定した。；当時、まだ正確な時計がなかったため、特に経度の正確な測定が困難だった。；この日旅行者たちは経度一四一度線を三〇分だけ越えて進んだ。；位置を特定するのに不足しているデータは経度ということになる。；このような技術を使うことで、数cmの誤差で経度を求めることができる。；正確に言えば、英国がかつてそこにあった経度、とするべきだろう。；六角形は目に見える大気中のその他の雲のように経度が移動しない。；一方で、ドリルの方法は観測地点の正確な経度を把握する必要がある。；そしてその翌年から本格的に観測を行い、経度測定に役立たせようとした。；さらには観測地点の経度が正確に把握できていなかったことなども悪影響した。；紙筒を覗き込んでいる人の後ろにいるのが、経度を測定している人。；IKONOSと同じく衛星は与えられた経度を午前10時半に通過する。；中には一定の経度を保ちながら、海王星を1周する雲の帯も存在している。；位置を記述する方法で最も古くからの方法は、緯度と経度によるもの。；また、経線緯線が記載されているが経線には経度が記載されていない。</t>
        </is>
      </c>
      <c r="J2515">
        <f>HYPERLINK("https://www.weblio.jp/content/経度", "词义详情")</f>
        <v/>
      </c>
      <c r="K2515">
        <f>HYPERLINK("https://yourei.jp/経度", "查看例句")</f>
        <v/>
      </c>
    </row>
    <row r="2516">
      <c r="A2516" t="inlineStr">
        <is>
          <t>系統</t>
        </is>
      </c>
      <c r="B2516" t="inlineStr">
        <is>
          <t>成功</t>
        </is>
      </c>
      <c r="C2516" t="inlineStr">
        <is>
          <t>読み方：けいとう
１一定の順序を追って続いている、統一のあるつながり。「同じ—の言語」
２血統。血筋。「父方の—」
３同じ方面や種類に属していること。「青—の色」
４個々のものを順序立てて並べ、全体がひとつながりのものとして機能するようにまとめたもの。システム。「電気—の故障」「バスの運転—」
５働きに応じて分けた身体の器官の集まり。
６進化の面からみた生物間のつながり。類縁関係。
７遺伝学上、共通の祖先をもつ個体群。微生物の場合は菌種ともいう。</t>
        </is>
      </c>
      <c r="D2516" t="inlineStr">
        <is>
          <t>系統的(3%)；系統関係；系統位置；系統分割；系統ごと</t>
        </is>
      </c>
      <c r="E2516" t="inlineStr">
        <is>
          <t>生まれ；構成；組織；系；システム</t>
        </is>
      </c>
      <c r="F2516" t="inlineStr">
        <is>
          <t>同系統；電気系統；各系統；線系統；命令系統</t>
        </is>
      </c>
      <c r="G2516" t="inlineStr">
        <is>
          <t>系統的；系統解析；系統樹；系統名；系統群</t>
        </is>
      </c>
      <c r="H2516" t="n">
        <v>29</v>
      </c>
      <c r="I2516" t="inlineStr">
        <is>
          <t>この問題の系統だった研究はデータマイニングの分野で研究されている。；このような元素の増加に伴い、特性に応じた分類や系統立てが行われた。；停電に備えて異なる二系統から受電できるようになっていることが多い。；そのため終点で折り返して同じルートを戻る場合に違う系統番号となる。；このパターンは系統とは関係なく世界中のカタツムリに多く見られる。；尾の短い鳥翼類の系統のうち、最初に多様化を遂げたのが反鳥類である。；特急列車や一部普通列車を除く大半の列車が当駅で系統が分離されている。；文明初期の中心となったのは民族系統が不明のシュメール人である。；寄生性の獲得はさまざまな生物の系統上で独立して何度も起こったようである。；また遺伝的固定度が高い状態から選抜し、系統化するため効率的である。；油漏れ・錆・その他水による機械系統への損傷の徴候は見られなかった。；いずれの系統もDMVを使用して鉄道区間の阿佐東線へ乗り入れている。；VAIOと色系統が同じ事もありセットで購入する人も多かった。；株札・花札などは、いずれもこの系統のカルタから変化したものである。；古くは三葉虫と系統的に近いと思われたこともあるが、のちに否定されている。；なお、歴史上モンゴル語の表記には別系統の文字も数種類使用されている。；電気系統の構造も変更されて車両に搭載した蓄電池式となった。；この系統の電車群は1937年までに合計48両が製造されている。；そのため能力を身に着けるならば自身の系統にマッチしたものが良いとされる。；多くの念系統を十二分に発揮できるが、念以上の制約や誓約が必要とされる。；近年ではDNAの比較に基づく系統推定が盛んに行われている。；なお、中央線・青梅線系統どちらも名称は通勤快速に統一されている。；フランスと同じく、司法訴訟と行政訴訟は別の系統の裁判所が担当する。；コンピュータ同士の相互のやり取りを組織して系統立てることが重要である。；車両では基本的に赤色表記で表示方法は伊勢崎線系統と同じである。；概ね郡山駅で系統は分割されているが、朝夕の一部列車は直通運転する。；以前は11番系統と同様に新浦安温泉・日の出南まで運行されていた。；この系統樹からこれら2つを除いたもののうち現生種が「爬虫類」となる。；発車標の更新後は、本線系統の列車の発車時刻等も表示されるようになった。</t>
        </is>
      </c>
      <c r="J2516">
        <f>HYPERLINK("https://www.weblio.jp/content/系統", "词义详情")</f>
        <v/>
      </c>
      <c r="K2516">
        <f>HYPERLINK("https://yourei.jp/系統", "查看例句")</f>
        <v/>
      </c>
    </row>
    <row r="2517">
      <c r="A2517" t="inlineStr">
        <is>
          <t>芸能</t>
        </is>
      </c>
      <c r="B2517" t="inlineStr">
        <is>
          <t>成功</t>
        </is>
      </c>
      <c r="C2517" t="inlineStr">
        <is>
          <t>読み方：げいのう
１映画・演劇・落語・歌謡・音楽・舞踊など、主に大衆演芸向けの娯楽の総称。「古典—」「—人」
２学問・芸術・技能などについてのすぐれた能力。
「社会上の地位は何できまると云えば…第三には—で極る場合もある」〈漱石・野分〉
３教養として身につけなければならない学問・芸術などの技芸。礼・楽・射・御・書・数の六芸(りくげい)のほか、詩歌・書画・蹴鞠(しゅうきく)など。
４生花・茶の湯・歌舞音曲などの芸事。</t>
        </is>
      </c>
      <c r="D2517" t="inlineStr">
        <is>
          <t>芸能界(4%)；芸能プロ(2%)；芸能情報(2%)；芸能史；芸能一家</t>
        </is>
      </c>
      <c r="E2517" t="inlineStr">
        <is>
          <t>芸；エンターテイメント；演芸；芸事；大衆芸能</t>
        </is>
      </c>
      <c r="F2517" t="inlineStr">
        <is>
          <t>芸能欄；芸能マスコミ；芸能センター；芸能番組；舞台芸能</t>
        </is>
      </c>
      <c r="G2517" t="inlineStr">
        <is>
          <t>芸能界；芸能事務所；芸能活動；芸能プロダクション；芸能界入り</t>
        </is>
      </c>
      <c r="H2517" t="n">
        <v>29</v>
      </c>
      <c r="I2517" t="inlineStr">
        <is>
          <t>卒業生に芸術・芸能の分野で活躍している人物が多いことでも知られる。；主に子供たちを対象にしたもので世界に類を見ない日本の芸能である。；ニュースや芸能情報は扱わず、旅やグルメなどの生活情報が中心である。；また、当時は芸能の仕事の勉強の一環で藤村俊二の付き人を務めていた。；黎明期の芸能はシャーマニズム儀礼の形をとっていたと考えられている。；後夜祭団体と呼称される芸能祭に出演していない団体の出演もある。；同朋衆とは室町時代以降将軍の近くで雑務や芸能にあたった人々のこと。；芸道は、芸能・技芸を日本独自のかたちで体系化したもののことを指す。；その後はバーを経営する傍ら、タレントとして芸能・講演活動を行った。；その一方、芸能情報は番組開始時から晩年までほとんど扱うことがなかった。；ただし事件レポーターが芸能分野の話題を追いかけたりすることもある。；そして芸能文化にかかわる学術書や雑誌も盛んに発行されるようになった。；東大寺の大仏開眼供養の時には他の諸芸能とともに大規模に上演された。；また、境内では芸能の興行も行われ農民の娯楽の場所にもなっていた。；は、オスカープロモーション所属女性で構成される芸能ユニットである。；この模様はFNNスーパーニュースの芸能情報コーナーで紹介された。；芸能とは、芸術の諸ジャンルのうち人間をもって表現する技法のことである。；晩年は大阪に拠点を移し、同地の芸能プロであるMC企画に所属していた。；宝巻は、中国の明清時代に流行した宗教芸能の台本を指す用語である。；日本の諸芸能のうち、演芸など大衆芸能的なものの起源とされている。；滑稽芸は狂言や笑いを扱う演芸になり、独自の芸能文化を築いていった。；この頃テレビ朝日の昼の番組で、芸能解説をやっていたのもこれが原因だという。；一遍の起した時衆教団に、芸能に優れた者が集まったものが起源とされる。；この担当アナウンサーは特に決まっていないが、芸術・芸能番組を担当する者が多い。；また、クラスメイトと芸能新聞のようなものを発行したこともある。；通常の学習塾としてだけでなく芸能コースも併設し演技指導も行っている。；その一方で芸能界から引退し、宝塚にいたころのことを秘密にしていた者も多かった。；近世文学・芸能の研究を経て、戯曲・小説の創作を手がけ、演出も行う。；当時猿楽と呼ばれたこの芸能は観阿弥・世阿弥の親子二代の下で発展した。</t>
        </is>
      </c>
      <c r="J2517">
        <f>HYPERLINK("https://www.weblio.jp/content/芸能", "词义详情")</f>
        <v/>
      </c>
      <c r="K2517">
        <f>HYPERLINK("https://yourei.jp/芸能", "查看例句")</f>
        <v/>
      </c>
    </row>
    <row r="2518">
      <c r="A2518" t="inlineStr">
        <is>
          <t>競馬</t>
        </is>
      </c>
      <c r="B2518" t="inlineStr">
        <is>
          <t>成功</t>
        </is>
      </c>
      <c r="C2518" t="inlineStr">
        <is>
          <t>読み方：けいば
１それぞれの馬に騎手が乗って所定の距離を一緒に走らせ、速さをきそわせるもの。現在は、勝ち馬・着順などを当てる賭けの対象として行われ、競馬法によって認可された団体が勝ち馬投票券（馬券）を発売し、的中者に配当金が支払われる。
２「競(くら)べ馬」に同じ。
「御祈には百番の芝田楽、百番の一つ物、—、流鏑馬(やぶさめ)」〈平家・一〉
３「競馬香」の略。</t>
        </is>
      </c>
      <c r="D2518" t="inlineStr">
        <is>
          <t>競馬場(4%)；競馬開催(3%)；競馬界(3%)；競馬第；競馬好き</t>
        </is>
      </c>
      <c r="F2518" t="inlineStr">
        <is>
          <t>中山競馬；阪神競馬；東京競馬；近代競馬；サラブレッド競馬</t>
        </is>
      </c>
      <c r="G2518" t="inlineStr">
        <is>
          <t>競馬の競走；競馬中継；競馬学校；競馬ファン；競馬新聞</t>
        </is>
      </c>
      <c r="H2518" t="n">
        <v>29</v>
      </c>
      <c r="I2518" t="inlineStr">
        <is>
          <t>競馬場によっては、下記の距離外にも施行可能な距離が設定されている。；選考は毎年1月に新聞・放送の競馬担当記者の投票を元に行われている。；競馬も行われているが、他のギャンブルの陰に隠れてあまり人気が無い。；このため競馬会は、まず京都1場だけでの競馬再開を目指すことにした。；やがて競馬が専門化すると競走用の馬種が模索されることとなった。；その後は、競馬・ボートなどでも採用されるようになり、現在に至る。；第一回競馬では一日11レースを行い、4日間で合計44レースを実施。；同年末には土曜競馬スタート以来派遣を続けた『勝馬』も一旦撤退した。；彼は競馬を楽しんでいるし、着差を付けないで勝つことが好きなんだ。；スポーツアナウンサーになってから10年ほど、競馬の実況も担当した。；競馬が行われるような時代には、アイルランドはイギリスの一地方とされてきた。；走路内や走路脇には競馬を行うために必要な設備や装置が存在する。；全般に運が強く、これまで競馬や数々の懸賞などを当てた経験がある。；また大師線にも競馬観客輸送に対応した増発ダイヤが用意されている。；公式ページには、馬のことを語る専用ページがあるなど競馬好きで知られる。；梅田は岸に対し、ハナで競馬をしないよう、前年と同様の指示を行った。；主に競馬関連のコラムをスポーツ新聞各紙の中央競馬面に執筆していた。；高さは競馬場によって差があり、また衝撃を受けると落下するものもある。；数台の自動車とヘリコプターを持ち、競馬とギャンブルを趣味にしている。；調教で乗った時にイメージした通りの競馬をしてくれました。；両社は当時存在していた春木競馬場への競馬輸送でも互いに競争をしていた。；これはのちに映画『ベン・ハー』の戦車競馬のシーンで有名になった。；フランスで近代的な競馬が始まったのは19世紀の初頭である。；そのため結局この年も秋競馬はル・トランブレー競馬場で行なわれた。；ラッシュ時及び競馬開催時には101系の5両編成で運行されていた。；競馬の業務・運営を行う目的と関係者や観客が観戦をする目的を兼ね備えた施設。；その中の一つが競馬をはじめとする西洋式の馬文化であった。；アウトフィットはシーゲルとドル箱の競馬通信社を巡って対立していた。；オセアニアの競馬シーズン序盤に開催される最強馬決定戦のひとつである。</t>
        </is>
      </c>
      <c r="J2518">
        <f>HYPERLINK("https://www.weblio.jp/content/競馬", "词义详情")</f>
        <v/>
      </c>
      <c r="K2518">
        <f>HYPERLINK("https://yourei.jp/競馬", "查看例句")</f>
        <v/>
      </c>
    </row>
    <row r="2519">
      <c r="A2519" t="inlineStr">
        <is>
          <t>経費</t>
        </is>
      </c>
      <c r="B2519" t="inlineStr">
        <is>
          <t>成功</t>
        </is>
      </c>
      <c r="C2519" t="inlineStr">
        <is>
          <t>読み方：けいひ
１一定している平常の費用。また、物事を行うのに必要な費用。「必要—」「物価高で—がかさむ」
２国または地方公共団体などの活動のために必要な財政支出。
３製造原価のうち、材料費・労務費を除いたすべての費用。
[用法]経費・費用——何かに要する金銭の意では「経費（費用）がかさむ」「経費（費用）を出し合う」のように相通じて用いられる。◇「経費」は、継続的に、一定の枠の中で必要とされる金銭の意が強く、「営業の経費を節約する」「年間経費」のように用いる。◇「費用」は何かをするために必要とする金銭の意で、「改築にかなりの費用がかかる」「旅行の費用を積み立てる」などと用いる。</t>
        </is>
      </c>
      <c r="D2519" t="inlineStr">
        <is>
          <t>経費削減(10%)；経費負担；経費節約；経費等；経費増</t>
        </is>
      </c>
      <c r="E2519" t="inlineStr">
        <is>
          <t>用；入り；代；値；費用</t>
        </is>
      </c>
      <c r="F2519" t="inlineStr">
        <is>
          <t>運行経費；かかる経費；莫大な経費；運営経費；総経費</t>
        </is>
      </c>
      <c r="H2519" t="n">
        <v>29</v>
      </c>
      <c r="I2519" t="inlineStr">
        <is>
          <t>集められた資金は中止による経費や次回の開催準備のために使用される。；その利益は体制維持のために必要な経費や核・ミサイル開発に利用された。；王室費とは、国王及び王室が日常の生活のために必要とする経費のこと。；会社が商品の価格を変更しない理由は、商品が負っている経費による。；希望小売価格と引き換え価格との差額は流通経費・印刷代とされている。；しかし、多額の経費を要したため、実際には建設されることはなかった。；この様な票が生じるため、自書式投票では時間と経費がかさむ事になる。；また、国境通過の際の関税を廃止したことで経費がさらに削減された。；しかし抜本的な対策を行うには経費がかかるため、改修は容易ではなかった。；会議開催や事務所設置などで費やされた経費は4900万円であった。；一方の賃金は一人あたり年間約18万円で、残りは経費に当てられている。；作成は時間外に行われ、教材費等は会社経費として負担されなかった。；これは開始当時は深夜帯の番組であることから経費を抑えるためでもあった。；他にも、一豊の築城監督の経費を出すために、髪を売ったと言う話もある。；この段階で、予想される開発経費は概算で50億ドル強にまで増加していた。；研究経費旧帝国大学は、研究成果の一部を特許として多数公開している。；プロ入り後はあまりの頻繁さに会社の経費で落としていたという。；時給と書けば理解しやすいが、チャージには賃金以外の経費も含まれる。；和歌山電鐵移管後は大幅な経費削減を行った結果赤字額が激減している。；再建造は手間のかかる工程であり、全くの新造より時間も経費もかかった。；しかし葬儀にかかる経費は必要であるため、完全に無料というわけではない。；財やサービスを生み出すために直接必要とした経費の総称である。；シャトルバスの運行には、年間約7600万円の経費が発生している。；しかし、自社の列車運行は維持経費を削減するため気動車を採用している。；プロファイリングは莫大な経費が水の泡にならないように行うものである。；長引く不況下で一円でも経費削減をしたい多くの企業が注目している手法である。；実際、本級の調達費のうち、電子機器関連の経費のみで約半分を占めている。；その結果、東海道本線の速達性は改善され、運行経費も大幅に削減された。；土砂の搬出処分と新規購入の二重の経費を掛けていたことになる。</t>
        </is>
      </c>
      <c r="J2519">
        <f>HYPERLINK("https://www.weblio.jp/content/経費", "词义详情")</f>
        <v/>
      </c>
      <c r="K2519">
        <f>HYPERLINK("https://yourei.jp/経費", "查看例句")</f>
        <v/>
      </c>
    </row>
    <row r="2520">
      <c r="A2520" t="inlineStr">
        <is>
          <t>警備</t>
        </is>
      </c>
      <c r="B2520" t="inlineStr">
        <is>
          <t>成功</t>
        </is>
      </c>
      <c r="C2520" t="inlineStr">
        <is>
          <t>読み方：けいび
［名］(スル)変事に備えて警戒し、防備すること。「—を厳重にする」「国境を—する」</t>
        </is>
      </c>
      <c r="D2520" t="inlineStr">
        <is>
          <t>警備隊(11%)；警備兵(7%)；警備業務；警備部隊；警備員</t>
        </is>
      </c>
      <c r="E2520" t="inlineStr">
        <is>
          <t>見る；備え；安全；守る；抑え</t>
        </is>
      </c>
      <c r="F2520" t="inlineStr">
        <is>
          <t>警備任務；国家警備；警備第；警備部長；治安警備</t>
        </is>
      </c>
      <c r="G2520" t="inlineStr">
        <is>
          <t>警備会社；警備部；警備艦；警備局；警備艇</t>
        </is>
      </c>
      <c r="H2520" t="n">
        <v>29</v>
      </c>
      <c r="I2520" t="inlineStr">
        <is>
          <t>保安隊・警備隊の任務遂行のための行動には下記のようなものがあった。；これと同時に松前藩は北方警備の役割を再度担わされることにもなった。；主に警備施設内に設置されている駐車場で警戒する業務である。；また、海防警備の強化や織物業を中心とした新産業の奨励などに努めた。；彼は火のついたものを持った人影を見て、警備を行っていた警官に急報した。；ゲーム理論を応用した警備研究は、警備ゲーム理論の研究が中心となる。；海上・港湾での警備業務を主任務としており、警察の機動隊に相当する。；最近では上記4つの分類に含まれないような新しい警備モデルが展開されている。；このプールは夏の指定された日時以外は警備会社により警備されている。；区域に入場する際に同乗する警備役の兵士の撮影は禁止されている。；これより先に西ベルリン市民数十人が上り東側警備兵をからかい始めていた。；他にも元警察官を数人入社させることで沿線の警備を行うこととした。；最高裁判所の指揮下にある独自の警察組織が警備に当たっている。；警備政策やセキュリティもゲーム理論の主要な応用分野の一つである。；哨戒艇は基本的に警備任務に従事するものであるが、実戦経験も存在する。；警備員は、広義では警備に従事する労働者およびそのような職業を指す。；大通公園で開催される催し物の警備は、この事件をきっかけに強化された。；一部の駅や駅のテナントアトレ等の警備は子会社のSCSPが行っている。；堂童子の童子は扉の開閉を担当し、他の5人の練行衆は入口を警備する。；父がリベリアの政権を握っていた時は警備担当を務めていた。；警備所にはこれらを円滑にチェックして中に入れる工夫も求められる。；明治元年の戊辰戦争では新政府軍に与して、京都周辺の警備を担当した。；翌週彼の官邸を警備していた米海兵隊員が銃を持った2人を殺害した。；現在の官邸では警備の関係上、取材スペースと執務エリアは分離されている。；警備対象施設に警備員を常駐させず、一定の時刻に施設を訪れる形式である。；また、水晶都市内の警備はアニメ版と異なり、衛兵が多数存在している。；これらの艇は、普段は通常の巡視艇と同様の警備救難業務にあたっていた。；一号警備業務や三号警備業務の教育において必修科目とされ全員が訓練を受ける。；メンバー全員がサングラスと黒い警備員のような衣装を着用している。</t>
        </is>
      </c>
      <c r="J2520">
        <f>HYPERLINK("https://www.weblio.jp/content/警備", "词义详情")</f>
        <v/>
      </c>
      <c r="K2520">
        <f>HYPERLINK("https://yourei.jp/警備", "查看例句")</f>
        <v/>
      </c>
    </row>
    <row r="2521">
      <c r="A2521" t="inlineStr">
        <is>
          <t>警備員</t>
        </is>
      </c>
      <c r="B2521" t="inlineStr">
        <is>
          <t>成功</t>
        </is>
      </c>
      <c r="D2521" t="inlineStr">
        <is>
          <t>警備員たち(4%)；警備員室；警備員達；警備員さん；警備員詰所</t>
        </is>
      </c>
      <c r="E2521" t="inlineStr">
        <is>
          <t>セキュリティ；ガードマン；ボディーガード；監視員</t>
        </is>
      </c>
      <c r="F2521" t="inlineStr">
        <is>
          <t>夜間警備員；保安警備員；学校警備員；民間警備員；グータラ警備員</t>
        </is>
      </c>
      <c r="G2521" t="inlineStr">
        <is>
          <t>警備員検定</t>
        </is>
      </c>
      <c r="H2521" t="n">
        <v>29</v>
      </c>
      <c r="I2521" t="inlineStr">
        <is>
          <t>ところがそのとき廊下の向うのドアがあいて、二人の警備員が出てきた。；駐車場の門の前まで来ると、脇に警備員がひとり立っているのが見えた。；あの警備員はこちらよりも頭と肩だけ背が高いし、しかも武装している。；警備員は警備をしており、被害者全員は、問題ない状態だと判断された。；ビルの警備員をやりつつ、ギターでの楽曲製作に励む日々を送っていた。；これほど危険な武器を装備した者が、普通の警備員などではあり得ない。；少数の警備員で多数の施設を警戒することが出来るため費用が安くすむ。；現在の日本のように、民間警備会社の警備員が装備している場合もある。；私の寝台付近を持ち場にしている警備員はある大国の海軍司令官だった。；警備員の一人はまわりになにもないところにいて、身体を固定できなかった。；他にも客や警備員などの3人がこの時の発砲で死亡し、7人が負傷した。；警備員が彼らを捕獲するまで彼女は必死に無視しようと努めていた。；警備員は他人の需要に応じ契約された範囲内で権限の委託を受ける。；地元での最終戦には警備員や警察官が大動員されて不測の事態に備えた。；機関室の外側の廊下では、二人の保安警備員がドアを開けようとしていた。；警備員は、広義では警備に従事する労働者およびそのような職業を指す。；きみときみの部下の警備員はこのトンネルを進んでいってくれ。；侵入者に気付いた警備員たちから追われた末に、二人は別々に脱出する。；強姦される前にロジャーが到着して警備員を殺し、二人は地下に隠れる。；巨大なビルディングの壁にもたれて見ていると、警備員がかねを運んでいた。；しかし内部にいる警察官や警備員から武器を取ることは可能である。；二人の警備員が赤い目をして、あくびをしながら小走りに駈け寄ってきた。；うちの特別警備員のことを言っておられるのだと思いますが?；そこでは銃を持った警備員が、青い夜空と崖の境で右左に動いている。；聞いた上で、どうしても納得がいかなかったら、警備員を呼ぶがいい。；警備員が校舎外に出てみたところ、校庭中央に大量の机と椅子が置かれていた。；警備対象施設に警備員を常駐させず、一定の時刻に施設を訪れる形式である。；防犯カメラを設置し、警備員が常駐するなど、安全面も力を入れている。；警備員たちは屋敷のまわりにはいたが、中には誰もいなかった。</t>
        </is>
      </c>
      <c r="J2521">
        <f>HYPERLINK("https://www.weblio.jp/content/警備員", "词义详情")</f>
        <v/>
      </c>
      <c r="K2521">
        <f>HYPERLINK("https://yourei.jp/警備員", "查看例句")</f>
        <v/>
      </c>
    </row>
    <row r="2522">
      <c r="A2522" t="inlineStr">
        <is>
          <t>景品</t>
        </is>
      </c>
      <c r="B2522" t="inlineStr">
        <is>
          <t>成功</t>
        </is>
      </c>
      <c r="C2522" t="inlineStr">
        <is>
          <t>読み方：けいひん
１商品に添えて客に贈るおまけの品物。「—付き大売り出し」
２催しなどで、主催者側が参加者に贈る品物。「福引きの—」
３パチンコや射的などの遊技で、得点者に与える品物。</t>
        </is>
      </c>
      <c r="D2522" t="inlineStr">
        <is>
          <t>景品類(2%)；景品交換(2%)；景品買い；景品用；景品付き</t>
        </is>
      </c>
      <c r="E2522" t="inlineStr">
        <is>
          <t>おまけ；プレミアム；プレミア；オマケ；景物</t>
        </is>
      </c>
      <c r="F2522" t="inlineStr">
        <is>
          <t>用景品；様々な景品；過大な景品；豪華な景品；向け景品</t>
        </is>
      </c>
      <c r="G2522" t="inlineStr">
        <is>
          <t>景品交換所；景品表示法違反</t>
        </is>
      </c>
      <c r="H2522" t="n">
        <v>29</v>
      </c>
      <c r="I2522" t="inlineStr">
        <is>
          <t>ちょうどいい、さっきの景品買いの一件を、ここで相談してはどうです。；フィールドの奥側には景品をディスプレイできる棚が新たに装備された。；私は人間の世の中には買物でなくっても景品と云うものはある、と思う。；でもそれは結局うまくいかず、景品用に作ったこの曲が余っちまってね。；ランクがついていない景品は同一景品だとしてももらうことはできない。；学校から帰宅すると、兄たちはホールの管理、母と妹は景品交換をした。；どちらも何かの景品でもらったと思われる、趣味の悪いマグカップだった。；残ったドアに景品が移動してくることはあっても、出ていくことはないからである。；景品ごとに必要となるTCが異なり、プレイ時にポイントを消費する。；右回りだと景品が奥へと戻ってしまい獲得ラインから遠のいてしまう。；当時発売されて間もないパンティーストッキングを景品としていた。；いきなりお得意の目の前に景品を並べたてずにはいられなかった。；上記のゲームで獲得した「39ボウヤ」を景品と交換することができる。；百円ばかり玉を買ってから、景品係の女に、俺は、昨夜と同じ質問をした。；一九九+一と書いてあり、裏に、換えた景品の名前が書いてあります。；対戦で得たポイントを消費して、様々な景品を得る事が出来る。；そのためパチンコでは出玉を現金ではなく景品と交換しなければならない。；三百個ほどだったが玉を息子にプレゼントして、景品に替えるように言った。；最初にプレーヤーが景品のあるドアを選んだ時に限り、ドアを開ける。；ところが大勢の子供たちが引けども引けども、誰一人景品は当たらない。；メダルゲームは、日本の第4号営業同様に景品との交換が可能である。；その際の景品はカプセルに入れられた菓子などが使用されていた。；むしろ性の欠陥を埋めるべく提供された巨大な景品に目を向けるべきである。；天才・狩野すみれの勉強グッズ、それはあまりに魅力的な景品であった。；それは先生がポケットマネーを出して景品を買って、生徒に題を出すんです。；どこまでもパチンコの景品であるかのように取りつくろわなければなるまい。；また、同店舗のクレーンゲームのプレイを行うと本作の景品袋が手に入れられた。；まとめて購入した残りなのか、もしくは、景品として受け取ったものなのか。；オリオンの遥にいつか景品カウンターで耳打ちされたことを思い出した。</t>
        </is>
      </c>
      <c r="J2522">
        <f>HYPERLINK("https://www.weblio.jp/content/景品", "词义详情")</f>
        <v/>
      </c>
      <c r="K2522">
        <f>HYPERLINK("https://yourei.jp/景品", "查看例句")</f>
        <v/>
      </c>
    </row>
    <row r="2523">
      <c r="A2523" t="inlineStr">
        <is>
          <t>警部</t>
        </is>
      </c>
      <c r="B2523" t="inlineStr">
        <is>
          <t>成功</t>
        </is>
      </c>
      <c r="C2523" t="inlineStr">
        <is>
          <t>読み方：けいぶ
警察官の階級の一。警視の下、警部補の上に位する。一般職の地方公務員。役職は、警察庁・警視庁の係長、道府県警察本部の課長補佐、警察署の課長など。</t>
        </is>
      </c>
      <c r="D2523" t="inlineStr">
        <is>
          <t>警部さん(4%)；警部長；警部役；警部殿；警部モロ</t>
        </is>
      </c>
      <c r="F2523" t="inlineStr">
        <is>
          <t>磯川警部；中村警部；サム警部；風祭警部；ホン警部</t>
        </is>
      </c>
      <c r="G2523" t="inlineStr">
        <is>
          <t>警部交番；警部マクロード；警部派出所；警部補・古畑任三郎</t>
        </is>
      </c>
      <c r="H2523" t="n">
        <v>29</v>
      </c>
      <c r="I2523" t="inlineStr">
        <is>
          <t>警部自身が大きい疑問符を五分ほど前にふったその女が殺されたのだった。；府警は手帳が発見されたかどうかや男性警部の処分を公表していない。；ホームズたちはロンドン警視庁に行き、警部と刑事に同行してもらった。；警部さんは巡視隊を編成すると、勇しく先頭に立って歩きはじめました。；一地区は警視が担当する数個の区域からなり、数名の警部が置かれている。；警察では捜査本部が設けられ、等々力警部の指揮のもと捜査が開始される。；検察庁の特別捜査隊にその人ありと聞こえた、名警部山形だったから。；彼の頭部にある手術のあとのみにくい縫目が、警部をふるえあがらせた。；警部は男の服を借りてもらうつもりだったので、そのことを足柄警官にいった。；警部は偶然マーゴのハンドバッグの中の鍵が彼女の鍵ではないことに気づいた。；父親は警視庁警部であり、事件に関する情報は自然と耳に入ってくる。；本作においては、警視庁捜査一課・佐治警部との対立が軸となっている。；すると、その首脳部の警部たちは、共にうなずいて課長の前を下った。；ガス灯の明るさが合図となっていて、部屋にモートン警部が入ってくる。；たとえ気のせいでも、いちおう中村警部に報告したほうがいいと思いました。；検事にも警部にも、それはすこしも、おどろきをあたえないものだった。；「さあ、それがどうもわからんのですよ」 警部は顔をしかめて言った。；警部は首を上下に振って大きい決心を示しました。；以降も、同作に始まるチェン警部シリーズをアメリカで英語で発表し続けている。；その一隻には、とくに英国警視庁の有名なる探偵スミス警部も乗っていた。；三浦が犯人ではないかと激昂し殴っているところを久能警部に止められる。；階級は警部補だったが原作、テレビアニメへの登場と同時に警部へ昇進した。；ファンはラム警部と反目し合うが、部屋を改造して住むことにする。；「どこに見えるんですかネ」 スミス警部は双眼鏡をつかんでたずねた。；「なるほど面白い推理ですね」と大江山警部は大きく頭をふって云った。；夜が明ける頃、ハイメ警部はアレックスから事の経緯を聞きだしていた。；このことは天皇一行にも「警部が責任を取り、自決した」と報告されたという。；すると博士の頭の中に浮かんだ回答が、山形警部の声で出て来た。；金田一は登場せず、磯川警部だけは出番は多くはないものの登場する。</t>
        </is>
      </c>
      <c r="J2523">
        <f>HYPERLINK("https://www.weblio.jp/content/警部", "词义详情")</f>
        <v/>
      </c>
      <c r="K2523">
        <f>HYPERLINK("https://yourei.jp/警部", "查看例句")</f>
        <v/>
      </c>
    </row>
    <row r="2524">
      <c r="A2524" t="inlineStr">
        <is>
          <t>軽蔑</t>
        </is>
      </c>
      <c r="B2524" t="inlineStr">
        <is>
          <t>成功</t>
        </is>
      </c>
      <c r="C2524" t="inlineStr">
        <is>
          <t>読み方：けいべつ
［名］(スル)いやしいもの、劣ったものなどとみなして、ばかにすること。さげすむこと。「—に値する振る舞い」「いかにも—した笑い方」</t>
        </is>
      </c>
      <c r="D2524" t="inlineStr">
        <is>
          <t>軽蔑する(13%)；軽蔑的(4%)；軽蔑される(3%)；軽蔑してる；軽蔑感</t>
        </is>
      </c>
      <c r="E2524" t="inlineStr">
        <is>
          <t>侮辱；軽視；侮蔑；蔑視；見下す</t>
        </is>
      </c>
      <c r="F2524" t="inlineStr">
        <is>
          <t>深い軽蔑；内心軽蔑；軽蔑なさる；軽蔑的な意味合い；軽蔑されよ</t>
        </is>
      </c>
      <c r="G2524" t="inlineStr">
        <is>
          <t>軽蔑していた愛情</t>
        </is>
      </c>
      <c r="H2524" t="n">
        <v>29</v>
      </c>
      <c r="I2524" t="inlineStr">
        <is>
          <t>この場合、この用語には軽蔑的な意味はなく、一般的な開発手法を指す。；もともとは理想主義的な言葉であるが、現在では軽蔑的に使われている。；選挙の話がでると軽蔑されてるようなヒガミが起るらしい風でもあった。；これは攻撃第一主義によるもので戦闘機が軽蔑されていたためである。；不貞を働いた妻を一途に愛したことで知られるが、妻からは軽蔑された。；彼の眼に一人の人をどん底まで軽蔑しきつた嘲りの色がかたまりついた。；これはあえて人を軽蔑するのでもなく、また自ら尊大にするのでもない。；しかしながら、これらを軽蔑的に表現する時期であったことも示唆される。；だから、勿論彼はこの作者らしくない作者を、心の底から軽蔑してゐた。；男のお友達にも、それから女のお友達にも、だんだん軽蔑されてきました。；だがメアリは、自分を憎み軽蔑している男の所へ嫁に行こうとしている。；あたしはその短篇を読んだ時ほど、芥川龍之介を軽蔑したことはないわ。；しかし裸で歩くことがことさらに軽蔑の一原因となったと思ってはいけない。；ところが僕はすべて化粧の施されない世界を軽蔑と同時に憎んでもゐる。；するとやっぱり軽蔑する男と結婚するほかはないことになるわね。；しかし、この言葉は中国系カナダ人にいくらか軽蔑的ともいわれている。；ガレノスはしばしば彼を言及していたが、いつでも軽蔑を伴っていた。；もし着陸してから調べてみて弾が出ているようなら私は貴方を軽蔑しますよ。；が、彼はさう云ふ種類の芸術には、昔から一種の軽蔑を持つてゐた。；多くの場合、ローデシア人は去った人々を軽蔑的に描写し続けました。；父の属すると母の属するの双方が、この異民族間での結婚を軽蔑視していた。；実際には、非常に言葉があっても軽蔑、軽蔑的に使用される傾向にあった。；過去においても現在にも輝かしい証明のある科学を軽蔑したのである。；父は農場を継いでもらいたかったが、フォードは農作業を軽蔑していた。；また遊女だからとて軽蔑するのはお師匠様の教えではありません。；が、彼はそういう種類の芸術には、昔から一種の軽蔑を持っていた。；誰よりも民衆を愛した君は 誰よりも民衆を軽蔑した君だ。；そしてその事をもう決して前のように軽蔑しなくなりました。；むしろさういふ生き方や、こぢつけや、解釈を彼は最も軽蔑してゐた。</t>
        </is>
      </c>
      <c r="J2524">
        <f>HYPERLINK("https://www.weblio.jp/content/軽蔑", "词义详情")</f>
        <v/>
      </c>
      <c r="K2524">
        <f>HYPERLINK("https://yourei.jp/軽蔑", "查看例句")</f>
        <v/>
      </c>
    </row>
    <row r="2525">
      <c r="A2525" t="inlineStr">
        <is>
          <t>刑務所</t>
        </is>
      </c>
      <c r="B2525" t="inlineStr">
        <is>
          <t>成功</t>
        </is>
      </c>
      <c r="C2525" t="inlineStr">
        <is>
          <t>読み方：けいむしょ
自由刑に処せられた者を収容する施設。刑事施設の一種。→拘置所→留置施設
[補説]大正11年（1922）より「監獄」に代わって用いられるようになった語。</t>
        </is>
      </c>
      <c r="D2525" t="inlineStr">
        <is>
          <t>刑務所内(4%)；刑務所長；刑務所行き；刑務所生活；刑務所暮らし</t>
        </is>
      </c>
      <c r="E2525" t="inlineStr">
        <is>
          <t>牢；監獄；牢獄；獄；拘置所</t>
        </is>
      </c>
      <c r="F2525" t="inlineStr">
        <is>
          <t>州立刑務所；矯正管区に属する刑務所；州刑務所；豊多摩刑務所；同刑務所</t>
        </is>
      </c>
      <c r="G2525" t="inlineStr">
        <is>
          <t>刑務所図書館；刑務所の前；刑務所廃止運動；刑務所のルールブック；刑務所のリタ・ヘイワース</t>
        </is>
      </c>
      <c r="H2525" t="n">
        <v>29</v>
      </c>
      <c r="I2525" t="inlineStr">
        <is>
          <t>妻子を殺した上に刑務所を脱走した男の生きんがための逃亡生活を描く。；二人はノーフォークで再会する事を約束して刑務所を後にするのだった。；刑務所ではラジオを置く・新聞を取る・労働はせずに快適に暮らしていた。；今度は一生刑務所暮らしか、FBIと取引するかどちらかしかなかった。；刑務所のような場所では強いレイゲンがスポットを支配するようになる。；刑務所に於いて彼の拘留期間は告発されることなく繰り返し延長された。；チカチーロが刑務所に勾留されているあいだは、特別な警戒が取られた。；閉鎖した刑務所の代わりに、より近代的な複数の刑務所が建てられている。；以後こうした問題や刑務所の様子がマスコミなどで報道されるようになった。；犠牲になったのはイリノイ州の刑務所を出所して間もない青年だった。；服役後は刑務所の内と外での意見対立により組織を追放されたとされている。；そのため、刑務所への服役が出所後の犯罪を誘発してしまう場合もある。；刑務所からホテルや博物館などへの変更が行われることもある。；息子が服役した際に刑務所制度を見直したことがきっかけで実現したという。；フィリピンのとある刑務所では、囚人達の教育の一環で導入されている。；今回は精神異常者を収監する施設ではなく、通常の刑務所に収監された。；雷震は1970年に刑務所を出たが、その後も特務警察の監視を受けた。；なお、全国で唯一練習船を保有しているのが当刑務所の特色である。；最後に刑務所に収容されたのは、1973年彼女が76歳のときであった。；また、ドバイで秘密刑務所を中国が運営していると報じられたことがある。；ロイドの両親は未婚で若く、父親はほとんど刑務所にいる状態で育った。；刑務所で出逢った殺人犯2人がお互いに惹かれあっていく様を描く物語。；刑務所のトイレのシーンの撮影がスタンド下のトイレで行われた。；強い素材で製作可能であるため、金庫や北米の刑務所などでよく見られる。；刑務所の服役囚や災害現場の被災者もこの方式で遺言をすることが可能。；また、刑務所以外の刑事施設からの逃走が含まれていないことに注意する。；刑務所内でも模範囚の場合美容師の教育を受けることが可能である。；イギリスは1858年にここを発見し、刑務所などに使用していた。；刑務所内では記録は許されないので、その描写は記憶によっている。</t>
        </is>
      </c>
      <c r="J2525">
        <f>HYPERLINK("https://www.weblio.jp/content/刑務所", "词义详情")</f>
        <v/>
      </c>
      <c r="K2525">
        <f>HYPERLINK("https://yourei.jp/刑務所", "查看例句")</f>
        <v/>
      </c>
    </row>
    <row r="2526">
      <c r="A2526" t="inlineStr">
        <is>
          <t>契約</t>
        </is>
      </c>
      <c r="B2526" t="inlineStr">
        <is>
          <t>成功</t>
        </is>
      </c>
      <c r="C2526" t="inlineStr">
        <is>
          <t>読み方：けいやく
［名］(スル)
１二人以上の当事者の意思表示の合致によって成立する法律行為。売買・交換・贈与・貸借・雇用・請負・委任・寄託など。「—を結ぶ」「三年間の貸借を—する」→単独行為→合同行為
２約束を取り交わすこと。また、その約束。
「日来の—をたがへず、まゐりたるこそ神妙なれ」〈平家・二〉
３ユダヤ教・キリスト教に特徴的な思想で、救いの恩恵に関して神と人間との間で交わされた約束。モーセを仲介者としてイスラエル民族に与えられたものを旧約、キリストの十字架上の犠牲を通じてなされたものを新約という。</t>
        </is>
      </c>
      <c r="D2526" t="inlineStr">
        <is>
          <t>契約書；契約キャスター；契約終了；契約アナウンサー；契約条件</t>
        </is>
      </c>
      <c r="E2526" t="inlineStr">
        <is>
          <t>約束；一致；承認；承知；納得</t>
        </is>
      </c>
      <c r="F2526" t="inlineStr">
        <is>
          <t>メジャー契約；賃貸契約；代理店契約；複数年契約；出演契約</t>
        </is>
      </c>
      <c r="G2526" t="inlineStr">
        <is>
          <t>契約満了；契約期間；契約金；契約者；契約解除</t>
        </is>
      </c>
      <c r="H2526" t="n">
        <v>29</v>
      </c>
      <c r="I2526" t="inlineStr">
        <is>
          <t>伸び悩んでいた個人契約数が一気に伸び始めたのはこの頃からである。；この場合、契約は国家間もしくはそれにメーカーを加えたケースが多い。；しかし共同通信側がそれぞれの契約社に異議申し立てをしたことはない。；ただし、それは毎月作品を採用かつ量産された場合の契約条件であった。；同契約では、開発のすべてがGNU GPLであることを要求していた。；これは、そのような契約を将来に渡って無効化することを目的としている。；専門的な分野の雑誌は、契約制で企業や個人宅に直接配送するものがある。；楽天は契約を続けていたが、案内でもほとんど強調されていなかった。；バイエルン・ミュンヘンとの契約が切れた2008年限りで現役を引退。；弁護士等の士業が契約に関与する場合にはこの方式が好まれる傾向にある。；大きな契約や結婚、IDカードなど以外には通称を用いるのが普通である。；いずれのサービスも無料になるのは申込月や契約月の翌月からとなる。；棋戦の契約は通常3年契約で行われており、異例の長期の提案となった。；一方、フランスでは契約責任の帰責の根拠は契約の拘束力とされている。；はアルファロメオと契約し、新たに開幕したF1世界選手権に参戦する。；フリーランスのスタッフと番組制作案件ごとに契約している場合も多い。；このシナイ山での契約は、ユダヤ教の重要な原点のひとつとされている。；また、一度契約が切れてしまうと新規での製品購入が必要であった。；また、キャンプに練習生として参加していた西村卓朗と契約を締結した。；旧来の日本では、契約等の書面を作成するには以下の慣習が存在していた。；代わりに会場と契約して場所を提供している形になる。；多くの国で携帯電話の契約数が固定電話の契約数を超えている。；プロモーターとの契約が成立した時点でプロ活動が可能になる。；契約に際してNSUから提示された条件は以下のようなものだった。；以後NBAのスター選手の多くはナイキと同様の契約を結ぶようになった。；最終的にはグラマン社と契約し、1997年に全機の改修が完了した。；契約財産制とは夫婦財産契約に基づく財産関係である。；形式には契約型と会社型の2つがありうるが、多くは会社型で上場されている。；そのため、各放送局が個別で契約アナウンサーを採用する例が比較的多い。</t>
        </is>
      </c>
      <c r="J2526">
        <f>HYPERLINK("https://www.weblio.jp/content/契約", "词义详情")</f>
        <v/>
      </c>
      <c r="K2526">
        <f>HYPERLINK("https://yourei.jp/契約", "查看例句")</f>
        <v/>
      </c>
    </row>
    <row r="2527">
      <c r="A2527" t="inlineStr">
        <is>
          <t>経由</t>
        </is>
      </c>
      <c r="B2527" t="inlineStr">
        <is>
          <t>成功</t>
        </is>
      </c>
      <c r="C2527" t="inlineStr">
        <is>
          <t>読み方：けいゆ
［名］(スル)
１目的地へ行く途中、ある地点を通ること。けいゆう。「京都—で奈良へ行く」
２物事が中間のある機関を経ること。けいゆう。「部長を—して提案する」</t>
        </is>
      </c>
      <c r="D2527" t="inlineStr">
        <is>
          <t>経由するルート；経由する必要；経由する路線；経由で結ぶ路線；経由する便</t>
        </is>
      </c>
      <c r="F2527" t="inlineStr">
        <is>
          <t>線経由；インターネット経由；ネットワーク経由；アメリカ経由；駅経由</t>
        </is>
      </c>
      <c r="G2527" t="inlineStr">
        <is>
          <t>経由便</t>
        </is>
      </c>
      <c r="H2527" t="n">
        <v>29</v>
      </c>
      <c r="I2527" t="inlineStr">
        <is>
          <t>彼らは日本を経由し、アメリカ合衆国を中心に各希望居住地に移住した。；ドイツの金貨はイングランド経由でアメリカへ渡ったものとされている。；ここまでの区間は名神経由で各地へ向かう高速バスも多く通過している。；またその一部はオランダ経由で、江戸時代の日本にも輸入されていた。；桜通線と東山線との乗り換えは連絡通路を経由することで可能である。；この値には他線から桑名駅を経由して養老線に乗車する人員は含まない。；ネットワーク経由でバグの修正や性能・機能の向上がメーカーより提供される。；紹介経由は連携先の病院からの紹介で入院するものをいう。；日本国内で合法に利用するには同社経由で販売・貸与されるものに限られる。；ここで経由する自動車専用道路はすべて無料で通行することができる。；また両鉄道路線とも一旦神奈川県を経由しないと当駅に至ることはできない。；これらは中川短絡線を経由する名阪特急の編成に合わせているためである。；ただし、山田線内の実キロ数は旧青山トンネル経由の距離が記されている。；それよりも多いのが、西洋の言語を経由して借用された語である。；スイスを経由してフランス軍の占領下にあったベルリンに帰還した。；ライブラリへの参照は全てこのシンボルテーブルを経由して行われる。；日本には遣隋使・遣唐使によって、また朝鮮経由で中国から伝えられた。；現在は中国ルートよりロシアから北海道を経由するルートが主流になっていると考えられている。；近年ではインターネット経由で無償でダウンロードできるものも多い。；近代以前の日本では、中国経由で伝わった仏教に関わる形で、インドが知られた。；国道17号とほぼ並行し、一部区間を除き同じ市町村を経由している。；中国から直接伝播するルートと、朝鮮半島を経由する場合が存在した。；横浜市営バスにより、当駅を経由・発着する路線バスが運行されている。；イスラムを経由した学術的な著作がこの世紀には多数ラテン語訳された。；スカイライナー経由で運行する座席指定有料特急列車の列車愛称である。；この動きに対して直義は京を放棄して北陸を経由して鎌倉へ逃亡した。；また、一部の列車は東北本線を経由して盛岡駅発着で運転している。；そのため、名古屋経由の方が距離が長いにもかかわらず料金的には割安となる。；北は清水経由、子は子飼橋経由で、原則往復とも同じ番号を表示する。</t>
        </is>
      </c>
      <c r="J2527">
        <f>HYPERLINK("https://www.weblio.jp/content/経由", "词义详情")</f>
        <v/>
      </c>
      <c r="K2527">
        <f>HYPERLINK("https://yourei.jp/経由", "查看例句")</f>
        <v/>
      </c>
    </row>
    <row r="2528">
      <c r="A2528" t="inlineStr">
        <is>
          <t>経理</t>
        </is>
      </c>
      <c r="B2528" t="inlineStr">
        <is>
          <t>成功</t>
        </is>
      </c>
      <c r="C2528" t="inlineStr">
        <is>
          <t>読み方：けいり
［名］(スル)
１会計・給与に関する事務。また、それを処理すること。「—に明るい」
２治めととのえること。
「天下を—することなど一向に相談もならぬ物になったでござる」〈西周・百一新論〉</t>
        </is>
      </c>
      <c r="D2528" t="inlineStr">
        <is>
          <t>経理部長(9%)；経理担当(6%)；経理課(4%)；経理室(4%)；経理局長(3%)</t>
        </is>
      </c>
      <c r="E2528" t="inlineStr">
        <is>
          <t>会計；大蔵省；主計；財務省；簿記</t>
        </is>
      </c>
      <c r="F2528" t="inlineStr">
        <is>
          <t>経理関係；経理業務；経理委員；経理処理；経理マン</t>
        </is>
      </c>
      <c r="G2528" t="inlineStr">
        <is>
          <t>経理学校；経理部門；経理研究所；経理操作</t>
        </is>
      </c>
      <c r="H2528" t="n">
        <v>29</v>
      </c>
      <c r="I2528" t="inlineStr">
        <is>
          <t>また、それまで経理官になかった准士官の階級が置かれるようになった。；当初は経理局や編成局に所属し、報道局に入ったのはそのあとである。；一般経理などは犯罪傾向の進んでない健康な男性受刑者におこなわせる。；経理の部屋に入ったのは、始業定刻の九時より十五分ほど前であった。；母親は何度も勤め先を変えており最終的に経理系の仕事に落ち着いた。；陸軍武官官等表ノ件中改正による陸軍経理官の階級は次のとおりである。；いずれの場合も徴発は経理官が同行しなければならないとされた。；でもケイリ、そんなの調べちゃうくらいにここに来るのが楽しみだったの?；経理部長は土曜日の晩に帳簿類を二階の社長室へあげて帰る習慣になっていた。；ただし、この情報はいまのところ経理なんかでは利用しないことになっているの。；部長の小泉が経理の部屋に入ってきたときは、十二時少し前であった。；日本に留学して日本大学法科を卒業し、帰国して東陸銀行経理となる。；経理の部屋に入った朝倉は、わざと眉をしかめ、左手で額を揉んでいた。；現地法人の経理にはひと通り目を通しましたが、とくに問題はないようです。；彼が道場を持つようになったら、秋田に経理をやってもらうつもりだった。；ノン子というのもモデルクラブ時代の友人で、彼女は経理をしていた。；区分経理特別会計とは、他の会計と区分する必要がある場合に設置される。；この形態の場合は機体を購入するので、経理的には資産を所有することになる。；海外の軍隊の経理将校などはこの資格を有することが多い。；これらの警察官とは身分の異なる文民が経理担当に任命されている。；もう卒業してしまった君枝のことなど、ケイリが知っている筈はないのだから。；社員三十人の小さな会社のことで、彼は経理部長を兼任している。；五時の終業時間がくる前に、朝倉は経理部長の小泉に電話を入れた。；戦後は政治活動の傍ら、1953年まで企業の経理係などをしていた。；ひいては、西部二部隊経理部の、全員の功績にも影響することになるからね。；生きて行くためには仕事が要るし、彼にできる仕事といったら経理くらいなものだ。；道徳は人生を経理するに必要だろうけれど、人生の真味を味わう助にはならぬ。；経理局に勤務していたとき大蔵省への予算説明などを担当したことがあり自ら予算を作ったこともあった。；経理が出来る者はいないため、東映の経理に全部頼んで会社を作ってもらった。</t>
        </is>
      </c>
      <c r="J2528">
        <f>HYPERLINK("https://www.weblio.jp/content/経理", "词义详情")</f>
        <v/>
      </c>
      <c r="K2528">
        <f>HYPERLINK("https://yourei.jp/経理", "查看例句")</f>
        <v/>
      </c>
    </row>
    <row r="2529">
      <c r="A2529" t="inlineStr">
        <is>
          <t>競輪</t>
        </is>
      </c>
      <c r="B2529" t="inlineStr">
        <is>
          <t>成功</t>
        </is>
      </c>
      <c r="C2529" t="inlineStr">
        <is>
          <t>読み方：けいりん
１職業選手によって行われる自転車競走。自転車競技法によって都道府県及び総務大臣に指定された市町村が開催し、車券を売って財政収入を得、またその着順的中者に払戻金を交付する。
２（「ケイリン」と書く）自転車競技の一種。一斉にスタートし、はじめは動力付き自転車の先導によってトラック内を集団で走る。先導は徐々に速度を上げていき、フィニッシュ前およそ750メートルで走路を離れ、残りの周回で着順を競う。オリンピックでは、2000年のシドニー大会から正式種目。</t>
        </is>
      </c>
      <c r="D2529" t="inlineStr">
        <is>
          <t>競輪界(4%)；競輪場(3%)；競輪開催(2%)；競輪中継；競輪王</t>
        </is>
      </c>
      <c r="F2529" t="inlineStr">
        <is>
          <t>競輪一家；モーニング競輪；競輪用；競輪ルーキーシリーズ；伊東競輪</t>
        </is>
      </c>
      <c r="G2529" t="inlineStr">
        <is>
          <t>競輪場；競輪学校；競輪祭；競輪場外車券売場；競輪場前</t>
        </is>
      </c>
      <c r="H2529" t="n">
        <v>29</v>
      </c>
      <c r="I2529" t="inlineStr">
        <is>
          <t>競輪でもしているみたいに、一人で悦にいっている男っているんだよね。；下記は通常の競輪にて用いられるラインであり、250競走では異なる。；伝統あるGI開催に加え、競輪界に新たな歴史を築くために創設された。；今日は最初から機嫌がよさそうだから、また競輪で穴でも当てたのだろう。；重賞レースでは、現地競輪場とスタジオを結び2元中継で放送している。；うち1名が出演尚 競輪で特番がある場合などには出演しない場合がある。；彼は私が競輪で数万円を事もなげに失ったのを読んで、目をつけたのである。；競輪といえば、フラワーライン出現以前は点と点の戦いが主であった。；競輪の話題を中心に、スポーツと自転車に関する話題を提供していた。；プレミアムサービスで放送される競輪中継・分析専門チャンネルである。；彼ら以外に競輪の不正を行いうる立場にいる者はいないのである。；廃止以後、女子競輪はしばらくの間、競輪界では黒歴史扱いされてきた。；以降も競輪番組のMCなど経営と並行してタレントとして活動を行う。；それは同時に他の競輪に於ても、ほぼ同様の効果を発揮する力をもっているものだ。；選手同士の連携は公営競技としての競輪とは異なりそれほど重視されない。；競輪にも競馬にも金はかかるし、酒にも女にもそれ以上の金はかかる。；競輪では3着までに入ることを「確定板に乗る」と表現することがある。；出場が決まった選手は開催前日の指定時間までに競輪場へ入らなければならない。；FIIのようなレースにわざわざ出掛けてくるのはよほどの競輪好きさ。；また、高校の野球部の後輩である合志正臣の競輪入りを勧めたとされる。；競輪のレース中継やミッドナイト競輪を中心とした特別番組を制作・配信。；この年は競輪界のこれまでの図式が大きく変わった年となった。；競輪ってのはな、毎日どこかで必ず開催されているもんなんだよ。；そして2月には秩父宮妃杯競輪を優勝して高らかに復活をアピールした。；したがって他の競輪投票システムと異なり、重勝式車券は購入できない。；特に1948年に始まった競輪は大きな人気を獲得しつつあった。；競輪、競馬の資金に、サラ金を利用したのが、そもそもの間違いだった。；そのため、ラインについても通常の競輪とは異なる形で引かれている。；競輪のレース映像の配信システムには以下のものがある。</t>
        </is>
      </c>
      <c r="J2529">
        <f>HYPERLINK("https://www.weblio.jp/content/競輪", "词义详情")</f>
        <v/>
      </c>
      <c r="K2529">
        <f>HYPERLINK("https://yourei.jp/競輪", "查看例句")</f>
        <v/>
      </c>
    </row>
    <row r="2530">
      <c r="A2530" t="inlineStr">
        <is>
          <t>経歴</t>
        </is>
      </c>
      <c r="B2530" t="inlineStr">
        <is>
          <t>成功</t>
        </is>
      </c>
      <c r="C2530" t="inlineStr">
        <is>
          <t>読み方：けいれき
［名］(スル)
１今まで経験してきた仕事・身分・地位・学業などの事柄。履歴。「—を偽る」
２実際に見聞きしたり体験したりすること。経験。
「凡(およ)そ前日来—した事を問われる儘(まま)に、はっきり答えた」〈鴎外・最後の一句〉
３年月を経ること。年月の過ぎ去ること。「百余歳の星霜を—す」
４ある地域内をめぐり歩くこと。
「山河を—し又南費府に至る」〈東海散士・佳人之奇遇〉</t>
        </is>
      </c>
      <c r="D2530" t="inlineStr">
        <is>
          <t>経歴書；経歴等；経歴を持つ人物；経歴不明；経歴紹介</t>
        </is>
      </c>
      <c r="E2530" t="inlineStr">
        <is>
          <t>キャリア；素性；身元；履歴；生い立ち</t>
        </is>
      </c>
      <c r="F2530" t="inlineStr">
        <is>
          <t>選手経歴；輝かしい経歴；詳しい経歴；政治経歴；珍しい経歴</t>
        </is>
      </c>
      <c r="G2530" t="inlineStr">
        <is>
          <t>経歴放送；経歴詐称疑惑</t>
        </is>
      </c>
      <c r="H2530" t="n">
        <v>29</v>
      </c>
      <c r="I2530" t="inlineStr">
        <is>
          <t>ただし経歴等の設定は毎回変化するか、そもそも明らかにされていない。；主に若手芸人のインタビューを事務所、経歴など問わずに掲載している。；本名名義でWWEに所属した経歴があり、現在はTNAに所属している。；年平均で7回、最大で年24回の時代劇の撮影に利用された経歴がある。；また同著には千葉自身も過去には女性にふられたという経歴記載もある。；デビュー年は不明だが、声優としての経歴は1990年以降からである。；江戸時代には武家の女性の基本の帯結びだった経歴があり格調が高い。；元消防士の経歴を持ち、他アーティストへの楽曲提供なども行っている。；このような経歴から、オランダではEU圏内選手と同等の権利を有する。；私は長い経歴の中で、これほど才能のある若者に出逢ったことがありません。；同社に入籍後は、既存車と編成を組み替えられ、以下の配置経歴を持つ。；激昂しやすい性格と、一度は死を宣告された経歴が原因ともいわれる。；ここでは菊タローの正体だと言われている菊澤光信の経歴も記載する。；捏造や虚言の多さから情報の信ぴょう性が低く、その経歴には謎が多い。；本形式は、種車別および経歴の別によって5つのグループに分類される。；このような経歴から、同年10月3日より上田電鉄の経営となっている。；張豊勝は台湾の数多くのタレントにダンスや振付を指導してきた経歴を持つ。；本系列は出自が様々であったように、その後の経歴も様々であった。；大学でも1年後輩の清水直行とはロッテ入団までの経歴が同じであった。；分化能の消失は細胞の経歴を反映したエピジェネティックな変化である。；アリストパネスの著作以外の経歴はあまり詳細には伝わっていない。；岡野は経歴からもわかるように人生のほとんどを明治大学で過ごした。；このグループは400形に包含された車両群で唯一改番された経歴がない。；各参考文献内の年譜、経歴内などで言及されている作品を中心に記載。；エピソード項目ではなく、経歴項目の後に順番をもってきても良い。；青年に成長してからジェダイの騎士になった珍しい経歴のジェダイである。；出身校や前職等、タレント転身前の経歴については公式発表が無く不明。；日本の江戸時代の家譜のように、詳細な経歴を書き入れたものもある。；その後、潜水艦艦長や第二潜水戦隊参謀など潜水艦関係の経歴が多い。</t>
        </is>
      </c>
      <c r="J2530">
        <f>HYPERLINK("https://www.weblio.jp/content/経歴", "词义详情")</f>
        <v/>
      </c>
      <c r="K2530">
        <f>HYPERLINK("https://yourei.jp/経歴", "查看例句")</f>
        <v/>
      </c>
    </row>
    <row r="2531">
      <c r="A2531" t="inlineStr">
        <is>
          <t>経路</t>
        </is>
      </c>
      <c r="B2531" t="inlineStr">
        <is>
          <t>成功</t>
        </is>
      </c>
      <c r="C2531" t="inlineStr">
        <is>
          <t>読み方：けいろ
１通って行く道。通る道順。道すじ。「逃走—」
２物事がたどってきた筋道。過程。「地域変遷の—」
３（径路）ほそみち。こみち。
「一方は本道なるも、路程遠く、一方は—なるも、甚だ近し」〈竜渓・経国美談〉</t>
        </is>
      </c>
      <c r="D2531" t="inlineStr">
        <is>
          <t>経路変更(3%)；経路上(2%)；経路情報；経路図；経路探索</t>
        </is>
      </c>
      <c r="E2531" t="inlineStr">
        <is>
          <t>通り；道；路線；道路；路</t>
        </is>
      </c>
      <c r="F2531" t="inlineStr">
        <is>
          <t>シグナル伝達経路；飛行経路；同じ経路；最短経路；生合成経路</t>
        </is>
      </c>
      <c r="G2531" t="inlineStr">
        <is>
          <t>経路選択；経路依存性；経路特定区間；経路集約；経路障害</t>
        </is>
      </c>
      <c r="H2531" t="n">
        <v>29</v>
      </c>
      <c r="I2531" t="inlineStr">
        <is>
          <t>ドイツなどでは、かなり若いころに2つの経路のうちどちらを選ばせる。；一方で、第二区線の敷設経路についてもいくつかの案が提示されていた。；これらの列車は出発地や途中の経路により以下のように名付けられていた。；こんにち存在する天然ガスも同様な経路で生成したと考えられている。；この監視は通常のネットワークとは別の経路で行われることが多い。；これに伴い、両者の乗り換えは最短経路の場合を除いて不可能となった。；同路線の経路変更後は当駅を経由するバスが設定されていない。；視覚センサを持ちマークで示した経路を自分で判断して歩くことが出来た。；あるネットワークの構成図とその中心に位置するルータの経路表を右に示す。；仙台と山形の間の鉄道構想においては、路線の経路が問題となっていた。；道路は経路の説明のためのもので予定地や廃線跡が転用されたものではない。；基本的に日本は島国であるために陸路の接近経路を求めることはできない。；さらに道路の新設や変更が運行経路に影響を及ぼすこともあります。；電流経路を短くすることが可能で高周波特性が良いなどの特徴がある。；系および外部が元の状態に戻りさえすれば、元に戻す変化の経路は問わない。；また、段階1から先の段階へと基質を導入するための経路も存在する。；日本語に入った経路・時期が複数あったため読み方は多様である。；アフリカ起源と考えられていたが、その移動経路が謎であった。；歴史的な経緯から、山陽本線との間に経路特定区間が設定されている。；また奥行きが大きいことから、搬入経路や置き場所の考慮も必要である。；一般体性運動ニューロンは以下のような経路を通って筋肉を収縮させる。；それら無数の経路を計算上で合成すると求める結果となる。；通行道路の制限は、営業路線のみならず回送時の経路も同様に行われていた。；この反応は不可逆で、糖新生の際は別の経路を使わなければならない。；現在はかつての常野線の一部経路を那須烏山市営バスが運行している。；通常こうした遺伝子にコードされるタンパク質は同じ経路で機能する。；RNAの核外輸送には、RNAの種類ごとにさまざまな経路が存在する。；殆どの生合成経路に関連する、最も重要な化合物といっても過言ではない。；引き込み線の一部経路は東急こどもの国線として現在も利用されている。</t>
        </is>
      </c>
      <c r="J2531">
        <f>HYPERLINK("https://www.weblio.jp/content/経路", "词义详情")</f>
        <v/>
      </c>
      <c r="K2531">
        <f>HYPERLINK("https://yourei.jp/経路", "查看例句")</f>
        <v/>
      </c>
    </row>
    <row r="2532">
      <c r="A2532" t="inlineStr">
        <is>
          <t>怪我</t>
        </is>
      </c>
      <c r="B2532" t="inlineStr">
        <is>
          <t>成功</t>
        </is>
      </c>
      <c r="C2532" t="inlineStr">
        <is>
          <t>読み方：けが
［名］(スル)《「怪我」は当て字で、動詞「けがる」の語幹からかという》
１あやまってからだに傷を負うこと。また、その傷。負傷。
２思わぬ過ち。過失。損失。「慣れないことに手を出して—をする」
３思いがけない事態。不測の結果。
「—と申しながら、面目もござない」〈咄・きのふはけふ・上〉</t>
        </is>
      </c>
      <c r="D2532" t="inlineStr">
        <is>
          <t>怪我を負わせる；怪我防止；怪我がち；怪我を防ぐため；怪我明け</t>
        </is>
      </c>
      <c r="E2532" t="inlineStr">
        <is>
          <t>傷；負傷；損傷；害；傷口</t>
        </is>
      </c>
      <c r="F2532" t="inlineStr">
        <is>
          <t>お怪我；大きな怪我；ひどい怪我；大した怪我；軽い怪我</t>
        </is>
      </c>
      <c r="G2532" t="inlineStr">
        <is>
          <t>怪我の功名</t>
        </is>
      </c>
      <c r="H2532" t="n">
        <v>29</v>
      </c>
      <c r="I2532" t="inlineStr">
        <is>
          <t>ソウルでの大怪我の後は腕も細くなり左手に力が入らない状態であった。；従来製品よりも外れやすい反面、怪我をしにくいように改良されている。；大会前からの自身の右膝の怪我もあり、不本意な結果で本大会を終えた。；胸部・肩・鎖骨などに受けても骨折するほどの大怪我となりがちである。；長いSHOCKの歴史の中では、様々な怪我やトラブルも経験している。；また、前半では活躍するものの後半では怪我の影響か失速する様を見せた。；竜三は怪我は首と右肩なのだから手が自由にならない筈がないと言う。；また、その部分の皮膚は骨より弱いので裂けるなどの怪我を負いやすい。；チームはアウェーゴールの差で敗退し、自身の怪我も悪化してしまった。；頭髪の出る部分の皮膚に怪我をすると再生した皮膚から頭髪が出ない。；この時期にオラジュワンは怪我や不整脈で試合を欠場したこともあった。；非常に練習熱心であったがそれが原因で毎年のように怪我を繰り返していたという。；また、後年になって両膝の怪我の原因が腰にあったことを明かしている。；シーズン序盤から怪我による選手離脱とそこから来る得点不足に喘いた。；堤は制止する際に足を滑らせてステージから落ちたが、怪我はなかった。；現代の生活では下駄を履き慣れないため、転んで怪我をする場合もある。；しかし、膝の怪我が悪化し幕内では1場所も勝ち越す事は出来なかった。；怪我せず、一年間投げ抜くための基礎はその3年間で作ったと思うから。；その後も怪我に苦しみ、一時は東幕下45枚目まで番付を落としていた。；おれは天才ではないので、致命的な怪我はしないだろうと思っている。；その後も怪我の多い藤本と併用される形で出場し、のリーグ初優勝に貢献。；彼は怪我の原因が明らかになった時のジョーンズの反応を恐れたと後に記している。；また顔面への打撃は、鼻血などの怪我が発生することもあるとされる。；最初はゴールキーパーだったが、肩の怪我を機にフォワードに転向した。；怪我や病気などと虚偽をして棄権することも事実上許されていない。；自分が大怪我をしても、それまでしていた行為を続行することがしばしばある。；は、怪我で出遅れたこともあり、調整の意味で二軍の試合に数試合出場した。；この下に落ちた子供が丸太と地面の間に挟まれて大怪我をする事故も在った。；彼らは共に戦ってくれたり、怪我の治療を行ったりしてくれる。</t>
        </is>
      </c>
      <c r="J2532">
        <f>HYPERLINK("https://www.weblio.jp/content/怪我", "词义详情")</f>
        <v/>
      </c>
      <c r="K2532">
        <f>HYPERLINK("https://yourei.jp/怪我", "查看例句")</f>
        <v/>
      </c>
    </row>
    <row r="2533">
      <c r="A2533" t="inlineStr">
        <is>
          <t>外科</t>
        </is>
      </c>
      <c r="B2533" t="inlineStr">
        <is>
          <t>成功</t>
        </is>
      </c>
      <c r="C2533" t="inlineStr">
        <is>
          <t>読み方：げか
手術的な方法によって病気やけがなどを治療する医学の分野。脳外科・心臓外科・小児外科などに分かれる。⇔内科。</t>
        </is>
      </c>
      <c r="D2533" t="inlineStr">
        <is>
          <t>外科医(41%)；外科的(9%)；外科病院(3%)；外科病棟；外科部長</t>
        </is>
      </c>
      <c r="E2533" t="inlineStr">
        <is>
          <t>外科学</t>
        </is>
      </c>
      <c r="F2533" t="inlineStr">
        <is>
          <t>神経外科；第一外科；第二外科；野戦外科；流外科</t>
        </is>
      </c>
      <c r="G2533" t="inlineStr">
        <is>
          <t>外科学；外科医；外科的処置；外科室；外科療法</t>
        </is>
      </c>
      <c r="H2533" t="n">
        <v>29</v>
      </c>
      <c r="I2533" t="inlineStr">
        <is>
          <t>これらの外科的手術は、儀礼的な面から発達した可能性も否定できない。；第二次世界大戦の時には、英国空軍の外科部門のトップの地位にあった。；たとえば、私のような外科医には、とにかく手術の結果が求められます。；上述の通り負傷により脚を悪くしたことを理由に外科医を志望している。；病気とそれに伴う外科的治療は彼にとってツアーへの参加を困難なものとした。；この場合は外科的に手術で治療しないと勃起障害などの原因となる。；外科医・栗崎道有の治療もあって命は助かったものの、額の傷は残った。；世界で最も優れた外科医でもそれが不可能と考えていると告げた。；肺結核の外科的治療を専門としたが、ほか社会評論など著作を多く書いた。；いくつかの専門分野で専門的、外科的および看護サービスを提供する。；この時の担当医だった13歳上の外科部長の山形基夫と6月に結婚した。；彼の研究はドイツの外科組織から強い抵抗を受け、英語でそれを伝えるのに苦労した。；心臓血管外科学とは、心臓や血管などを中心に扱う外科学の一分野である。；床屋は外科医が職業として確立されるまで、外科的な治療を行っていた。；死後に検死した外科医は、彼は解剖学上は男性であることを明らかにした。；彼は地元の軍病院の外科医である父から医学の訓練を受けていた。；外科医を信用するために、外科学の知識の詳細を全て知る必要はない。；心疾患などの合併症に対しては外科的な対応も含めて治療が行われている。；また、200種類以上の自身の外科用器具コレクションを紹介している。；外科・内科・歯科・耳鼻科のほか、入院室・事務所で構成されていた。；外科的治療が困難な場合は再出血防止のための保存的治療を行う。；また外科領域では主にインプラントの分野で活用が進んでいる。；ディアナは貴重な外科医を失いたくないため、放置していたことが分かる。；女性が外科医になったり、外務省に勤務したりするなどの女性政策を推進した。；が、悪化している場合は手術など外科的治療が必要になる。；外科的治療で尿道閉塞を解消した後も、約3割の症例で症状は解消しない。；また、英国医師会、イングランド王立外科医協会の会長の職を歴任した。；特定の病院や医局に属さない、フリーランスの女性外科医の活躍を描く。；外科的方法をとるまでもなく、軟膏や眼帯によって回復は促進される。</t>
        </is>
      </c>
      <c r="J2533">
        <f>HYPERLINK("https://www.weblio.jp/content/外科", "词义详情")</f>
        <v/>
      </c>
      <c r="K2533">
        <f>HYPERLINK("https://yourei.jp/外科", "查看例句")</f>
        <v/>
      </c>
    </row>
    <row r="2534">
      <c r="A2534" t="inlineStr">
        <is>
          <t>汚らわしい</t>
        </is>
      </c>
      <c r="B2534" t="inlineStr">
        <is>
          <t>成功</t>
        </is>
      </c>
      <c r="C2534" t="inlineStr">
        <is>
          <t>読み方：けがらわしい
［形］［文］けがらは・し［シク］けがれている。きたならしい。自分まで汚れそうで不快な感じがする。「—・い金」「そんな話は耳にするのも—・い」
[派生]けがわらしげ［形動］けがらわしさ［名］</t>
        </is>
      </c>
      <c r="D2534" t="inlineStr">
        <is>
          <t>汚らわしいもの(10%)；汚らわしい手(2%)；汚らわしい女；汚らわしい行為；汚らわしい言葉</t>
        </is>
      </c>
      <c r="E2534" t="inlineStr">
        <is>
          <t>汚い；不潔；いやらしい；卑しい；汚ない</t>
        </is>
      </c>
      <c r="F2534" t="inlineStr">
        <is>
          <t>こんな汚らわしい；あんな汚らわしい</t>
        </is>
      </c>
      <c r="H2534" t="n">
        <v>29</v>
      </c>
      <c r="I2534" t="inlineStr">
        <is>
          <t>そしてその顔には汚らわしいものでも見るような表情が浮かんでいた。；金が何よりも醜悪で汚らわしいのは人間に才能さえも与えるからです。；だから俺は、レナを汚らわしいと思わないし、恐ろしいとも思わない!!；いや、それより私は短刀を取ってあの汚らわしい心臓に突き立ててやる。；さような汚らわしい言葉で呼ばれるような者では、けっしてございませぬ。；汚らわしいと、どこか見えないところへ持っていってもらいたいとの様子があった。；ウィルの汚らわしい意図はわかっているはずなのに、脅えの色はゼロだ。；双黒だか闇持つ者だか知らねえけど、身体は汚らわしい人間の血と肉でできてる。；汚らわしい人の血など、流れ切ってしまっても惜しいとは思わぬわ。；いかに美しい女の口から漏れてくる音といえども、奇妙な汚らわしさがあった。；ましてやそれが、汚らわしい金のために動くときては言語道断ではないか。；美津子は見るのも汚らわしく、部屋に入ることもできませんでした。；本当の藍丸王ならば、そんな汚らわしいものをお持ちになる筈はない。；それをさも汚らわしいもののように、海へ捨てよとは、あまりと申せば。；これが汚れた世界だとすれば、こんな世界の存在を余儀なくさせる世間もまた汚らわしい筈だ。；この相手と話す事さえ汚らわしくて、式は一言も口にしない。；ああ神様、あたしは娘と一緒に住めない、あたしはあんまり汚らわしい!；汚らわしいマグルのように、そうやって床に這いつくばって拾うがいい。；それは人間が汚らわしいと決めているからにすぎない。；たった11歳の少女に、そんな汚らわしいことはさせたくなかった。；ふと、自分に触れようとした汚らわしい男のことを思い出して笑みが消える。；だから善良な者の目からみると悪であるとか、汚らわしいとかそういう風に思われてたね。；私は私の内に住んでいる魂までが卑屈なものになったような汚らわしさと憤怒とを同時に感じた。；私の顔をちらりと見て、汚らわしいものでも見たようにすぐに視線を室戸に振った。；殺人の汚名を着せるために男の恋を利用するなんて汚らわしいと!；ナターシャは、汚らわしい、そのお金を持って出ていって、と叫んだ。；こういう男とは、口をきくのも汚らわしいというような表情だった。；ああ、汚らわしい男がスヌープチェリの耳を引きちぎろうとしたんだ。；もう、あんな汚らわしい宇宙船を操縦する心配もしなくてよくなりました。</t>
        </is>
      </c>
      <c r="J2534">
        <f>HYPERLINK("https://www.weblio.jp/content/汚らわしい", "词义详情")</f>
        <v/>
      </c>
      <c r="K2534">
        <f>HYPERLINK("https://yourei.jp/汚らわしい", "查看例句")</f>
        <v/>
      </c>
    </row>
    <row r="2535">
      <c r="A2535" t="inlineStr">
        <is>
          <t>毛皮</t>
        </is>
      </c>
      <c r="B2535" t="inlineStr">
        <is>
          <t>成功</t>
        </is>
      </c>
      <c r="C2535" t="inlineStr">
        <is>
          <t>読み方：けがわ
１毛がついたままの獣の皮。「—のコート」《季冬》
２漢字の構成部分の一。「皰(ほう)」「皺(しゅう)」などの「皮」の称。皮(ひ)の皮(かわ)。</t>
        </is>
      </c>
      <c r="D2535" t="inlineStr">
        <is>
          <t>毛皮外套；毛皮商人；毛皮会社；毛皮用；毛皮取引</t>
        </is>
      </c>
      <c r="E2535" t="inlineStr">
        <is>
          <t>皮；ファー；外皮；獣皮；毛革</t>
        </is>
      </c>
      <c r="F2535" t="inlineStr">
        <is>
          <t>黒い毛皮；厚い毛皮；高価な毛皮；大きな毛皮；アメリカ毛皮</t>
        </is>
      </c>
      <c r="G2535" t="inlineStr">
        <is>
          <t>毛皮貿易；毛皮を着たヴィーナス；毛皮のマリー；毛皮のマリーズ；毛皮族</t>
        </is>
      </c>
      <c r="H2535" t="n">
        <v>29</v>
      </c>
      <c r="I2535" t="inlineStr">
        <is>
          <t>中には羽毛や毛皮の組織で見られる構造色を維持しているものもあった。；その社会は東部からの工業製品や西部からの毛皮を運ぶ中継点になった。；毛皮商人に関係することで笑ったのかと聞いても、それは違うという。；この犬はその毛皮に水等を接触させるとワインを生じさせる能力をもっている。；この砦の北には毛皮商人たちのコミュニティであるが後になって建設された。；よく、汚れた雪男と誤称され、背の高い白い毛皮の動物とされてしまう。；アストラカンとするには生後数日以内に毛皮を採取しなければならない。；毛皮が上質なため、中国やロシアでは産業的な人工飼育が行われている。；この際には、この新発見された島で得たラッコの毛皮や肉も持ち帰られた。；ほぼ体全体が毛皮に覆われているが、尾は基部以外は皮膚が裸出していた。；我々が毛皮を得ていたインディアンがその住まいから逃げ出したからだ。；人間の平均より少なくとも30cmは背が低く、体は薄い毛皮に覆われる。；初期植民地で成功したのは毛皮用動物の捕獲と交易から得られたものだった。；冬季には高級将校の間ではコートの襟に毛皮をつけるのが流行ったという。；飛行帽には木綿の布製の夏季用と内側に毛皮を使用した冬季用があった。；同時に、その頭骨のものとされる、やはり一つ目の毛皮も公開されている。；比較的、高級路線での商品展開をしており、毛皮製品等も取り扱っていた。；森の中の四角い形とキツネの顔は、豊かな鉱物資源と毛皮を示している。；毛皮が利用されることもあり、生息地の大部分で狩猟の対象となっている。；当初の主な事業は、ホテルの宴会場などでの宝石や毛皮販売であった。；毛皮を得る上で、その動物の他の部分が利用されることもある。；暗殺を実行した4人は全員白いコートに毛皮の帽子をしていた。；トムはサメに毛皮を剥ぎ取られたのも構わず一目散に逃げ去って行った。；かぶっている毛皮はウィルス種のガルルモンのデータを集めて作った。；さらにその後、毛皮を目的とするアザラシの乱獲問題などにも手を広げた。；ドレスの下に着ている青い服にも白い毛皮で縁取りがされている。；一方で毛皮は商取引が規制されていることから、需要は少ないと考えられている。；毛皮に対する需要はヨーロッパの流行が変わって低下していった。；体には短い毛が隙間なく生えており、毛皮として利用されてきた。</t>
        </is>
      </c>
      <c r="J2535">
        <f>HYPERLINK("https://www.weblio.jp/content/毛皮", "词义详情")</f>
        <v/>
      </c>
      <c r="K2535">
        <f>HYPERLINK("https://yourei.jp/毛皮", "查看例句")</f>
        <v/>
      </c>
    </row>
    <row r="2536">
      <c r="A2536" t="inlineStr">
        <is>
          <t>劇</t>
        </is>
      </c>
      <c r="B2536" t="inlineStr">
        <is>
          <t>成功</t>
        </is>
      </c>
      <c r="C2536" t="inlineStr">
        <is>
          <t>読み方：げき
［音］ゲキ（慣）　［訓］はげしい
［学習漢字］6年
１物の働きや程度がはげしい。「劇症・劇毒・劇薬」
２仕事がめまぐるしい。忙しい。「劇職／繁劇」
３芝居。「劇場・劇団・劇的／演劇・歌劇・活劇・観劇・喜劇・惨劇・史劇・新劇・悲劇」</t>
        </is>
      </c>
      <c r="D2536" t="inlineStr">
        <is>
          <t>劇作家(3%)；劇しい；劇しく；劇作品；劇術</t>
        </is>
      </c>
      <c r="E2536" t="inlineStr">
        <is>
          <t>舞台；ドラマ；脚本；芝居；演劇</t>
        </is>
      </c>
      <c r="F2536" t="inlineStr">
        <is>
          <t>作劇；近代劇；シェイクスピア劇；歌舞伎劇；古典劇</t>
        </is>
      </c>
      <c r="G2536" t="inlineStr">
        <is>
          <t>劇団；劇中；劇的；劇場版；劇作家</t>
        </is>
      </c>
      <c r="H2536" t="n">
        <v>29</v>
      </c>
      <c r="I2536" t="inlineStr">
        <is>
          <t>進行役である舞台監督によって劇が展開されていく手法が取られている。；リヴァプールを率いた経験もありこの就任劇には一部で反発が起きた。；この倒産劇は政治家としての河本の評価にも影響を与えることとなった。；アポロホールでは子供向けの劇や音楽会、映画会などが開催されている。；ジャコビアン期の演劇で風刺劇の他に人気があったのは復讐劇であった。；作内に思い出したように登場しては物語に絡んでくる劇中劇のシリーズ。；第二期に入るとアイスキュロスの作劇法を完全に自分のものにした。；ショーはシェイクスピアを超えるような劇を書きたいとも熱望していた。；また過去の作品のパロディの愛用もストッパードの作劇法の特徴である。；姉妹仲は非常に良く、好きな時代劇をよく一緒に見たりしている。；劇とは関係なくこれらの音楽の一部だけを演奏会で採り上げることも多い。；さらにその後、この事件をもとにした劇や映画も製作されている。；これは、メディアミックスの走りともいうべき前代未聞の交代劇である。；以降、大阪を題材とした創作劇を中心として公演活動に取り組んでいる。；中学の演劇部に所属し、いずれも興味を持ったのは政治劇であった。；バーゴインは当時著名な劇作家であり、多くの人気のあった戯曲を残した。；この倒産劇自体はそれほど世間の注目を浴びたわけではなかった。；以後は一女優として、劇の他にテレビのレポーターなどでも活躍した。；この解雇劇の経緯についてははっきりとした報道はなされていない。；二階堂擁立劇は結局田中の支持を受けることが出来ずに立ち消えになった。；スポーツ新聞が急成長するきっかけをつかんだのもこの内紛劇からとされる。；これは時代劇と刑事ドラマと特撮ヒーロー番組に言える特徴であった。；しかし、この追放劇すらもセルダンの計画に予定されていた事柄であった。；近年の帯ドラマによく見られる「愛憎劇」の要素を絡ませた作品である。；その後引越しの際に発生した従業員の大規模な退職が最後の脱出劇となった。；なお、最終話ではそれらが劇中劇であったことを示唆する描写が最後に入る。；直前の試合で勝利し、リーグ首位に立つ中での異例の退任劇となった。；このため王侯貴族のみならず、一般民衆にもその劇が受け入れられた。；アガサはロンドンで3本の戯曲を同時に上演した最初の女性劇作家となった。</t>
        </is>
      </c>
      <c r="J2536">
        <f>HYPERLINK("https://www.weblio.jp/content/劇", "词义详情")</f>
        <v/>
      </c>
      <c r="K2536">
        <f>HYPERLINK("https://yourei.jp/劇", "查看例句")</f>
        <v/>
      </c>
    </row>
    <row r="2537">
      <c r="A2537" t="inlineStr">
        <is>
          <t>劇場</t>
        </is>
      </c>
      <c r="B2537" t="inlineStr">
        <is>
          <t>成功</t>
        </is>
      </c>
      <c r="C2537" t="inlineStr">
        <is>
          <t>読み方：げきじょう
演劇・映画・舞踊などを観客に見せるための建物。「円形—」「国立—」</t>
        </is>
      </c>
      <c r="D2537" t="inlineStr">
        <is>
          <t>劇場公開(5%)；劇場用(2%)；劇場未公開(2%)；劇場映画；劇場内</t>
        </is>
      </c>
      <c r="E2537" t="inlineStr">
        <is>
          <t>シアター；芝居小屋；テアトル；能楽堂；常設館</t>
        </is>
      </c>
      <c r="F2537" t="inlineStr">
        <is>
          <t>同劇場；野外劇場；映画劇場；市立劇場；各劇場</t>
        </is>
      </c>
      <c r="G2537" t="inlineStr">
        <is>
          <t>劇場公開；劇場アニメ；劇場公演；劇場盤；劇場版アニメ</t>
        </is>
      </c>
      <c r="H2537" t="n">
        <v>29</v>
      </c>
      <c r="I2537" t="inlineStr">
        <is>
          <t>両親は映画好きで、テレビの洋画劇場を親と一緒によく見ていたという。；大劇場で映画イベントが開かれるのは、大劇場創設以来初めてとなる。；レバノンに存在する劇場の大部分は首都ベイルートに拠点を構えている。；また、パドヴァには劇場なども置かれ、この地方の文化の中心地である。；テレビで公開された後の劇場用追加撮影でバックアップ用の車両が使われた。；立派な帝立の劇場や美術・音楽などの学校を有し、文化が振興されていた。；このような構造を採用した施設を宇宙劇場と呼ぶことがある。；ここまでは劇場用に作られたため収録時間が6分から9分の間で一定しない。；近年ではCM劇場の形をとらない形態でCMが放送される作品も増えている。；それらの劇場はコンサートや演劇の公演などに使われている。；シネコンには従来型の映画館にない新技術を導入した劇場もある。；映画館は、不特定数の観客に対して映画を専門的に上映する劇場・施設。；本作は従来型の劇場とIMAX劇場の両方で公開されたシリーズ初の作品だった。；これは今日でも映画館を劇場と呼称したりすることからも窺える。；市政府ビルおよび劇場はソ連時代に建設された建築である。；上映時間はテレビ版が74分、ヨーロッパで劇場公開された版は90分。；ファッション雑誌などのモデルやテレビCM、劇場作品などに出演する。；劇場は一時アメリカ軍に接収されたが、長男ヴィーラントに返還された。；当時は劇場の役者への演技指導や、施設のプロデュースを行っていた。；これ以降はカール・マルクス劇場で海外のバンドの公演が行われるようになった。；演劇の劇場との区別のため、用いられる例は少なくなっている。；この変わり目の鮮やかさと迫力は劇場でなければ味わえないものである。；同年には劇場作品全10作が収録されているDVDが発売された。；ここでは、劇場映画化されたことのある作品に限定して列挙する。；劇場公開された代表的な作品としては次のようなものがある。；そのため、すべての劇場でこの音響効果を再現するのは不可能であったという。；ウィーンの芸術をドイツ化するために、ドイツ演劇の劇場の設立を考えた。；地元の劇場で働いた後、カルフォルニア芸術大学で再び演技を学んだ。；本来が劇場とは関係なく発展してきたので、劇的な表現は少ない。</t>
        </is>
      </c>
      <c r="J2537">
        <f>HYPERLINK("https://www.weblio.jp/content/劇場", "词义详情")</f>
        <v/>
      </c>
      <c r="K2537">
        <f>HYPERLINK("https://yourei.jp/劇場", "查看例句")</f>
        <v/>
      </c>
    </row>
    <row r="2538">
      <c r="A2538" t="inlineStr">
        <is>
          <t>激増</t>
        </is>
      </c>
      <c r="B2538" t="inlineStr">
        <is>
          <t>成功</t>
        </is>
      </c>
      <c r="C2538" t="inlineStr">
        <is>
          <t>読み方：げきぞう
［名］(スル)数量がはげしい勢いでふえること。「都市人口が—する」⇔激減。</t>
        </is>
      </c>
      <c r="D2538" t="inlineStr">
        <is>
          <t>激増する(12%)；激増ぶり</t>
        </is>
      </c>
      <c r="H2538" t="n">
        <v>29</v>
      </c>
      <c r="I2538" t="inlineStr">
        <is>
          <t>人口の激増と都市基盤の建設でビョルヴィカは大きく姿を変えていった。；これ等の不良少年少女は震災後激増して、今日の数に達したものである。；公務員の個人と家族が町に移動してきたことによって人口も激増した。；犯罪率は70年代よりは増えていたが、それほど激増していたわけではない。；それは少年少女の病気が俄かに激増して来ているという事実であった。；廃止の理由は、道路幅が狭いのにもかかわらず自動車交通が激増したためとされている。；固より次第に激増する雑多な思想の混乱激動に出会うのは覚悟の前です。；さらに驚くべき事実は彼女のお蔭で私の患者がメキメキと激増した事であった。；風が霧を吹きはらってくれなければ、衝突がおこる可能性が激増する。；しかし、20世紀末に交通量が激増するに従って状況が急速に悪化した。；禁煙の影響もあって口寂しさから甘いものを食べまくり体重が激増した。；大正十二年九月以降、東京の市中に二重の職業を持つ婦人が激増した。；同様に他師管からの兵員に頼る師団以下の部隊は日中戦争後に激増した。；つまり宮井に協力することは、フィリピンの犯罪激増に加担することだ。；こういった適応は大型化に伴う体重の激増に対応したものである。；その原因は禁猟などによるエゾシカの個体数激増にあると見られている。；また一五五七年にもシュヴァーベンガウに鼠が激増したことを伝える記録がある。；晩年、民衆への負担が激増していく中で享楽に耽ったため財政が悪化。；更に時代を経ると、新道も次第に交通量の激増を支えられなくなってきた。；船舶の撃沈が激増すればこれらの弱点が表面化してくると思われる。；夏には、毎年20万人近くの観光客の来訪によって島の人口は激増する。；貨物量の激増を受けて関門鉄道トンネルが開通したのは1942年である。；吾輩の講演を依頼する向きがソレ以来、激増して来たのには面喰った。；現在の政治はあまりにも元のままのやり口で、しかも実際の問題はあまりにも激増してきた。；この1960年代から1970年代に個体数は激増したと考えられている。；現世の苦しさを逃れるために、太平道などの庇護に入るものが激増した。；これに対し輸送需要は激増したことからバス事業の急速な再建を要請されるようになった。；元来フライボールピッチャーであるため被弾が激増し、成績は悪化した。；それはカンザス州において例外ではなく、州内の失業者数は激増した。</t>
        </is>
      </c>
      <c r="J2538">
        <f>HYPERLINK("https://www.weblio.jp/content/激増", "词义详情")</f>
        <v/>
      </c>
      <c r="K2538">
        <f>HYPERLINK("https://yourei.jp/激増", "查看例句")</f>
        <v/>
      </c>
    </row>
    <row r="2539">
      <c r="A2539" t="inlineStr">
        <is>
          <t>劇団</t>
        </is>
      </c>
      <c r="B2539" t="inlineStr">
        <is>
          <t>成功</t>
        </is>
      </c>
      <c r="C2539" t="inlineStr">
        <is>
          <t>読み方：げきだん
演劇の上演・研究を目的として組織された団体。</t>
        </is>
      </c>
      <c r="D2539" t="inlineStr">
        <is>
          <t>劇団名；劇団四季；劇団内；劇団公演；劇団活動</t>
        </is>
      </c>
      <c r="E2539" t="inlineStr">
        <is>
          <t>座；一座；演劇集団</t>
        </is>
      </c>
      <c r="F2539" t="inlineStr">
        <is>
          <t>小劇団；アマチュア劇団；人形劇団；新劇団；主宰する劇団</t>
        </is>
      </c>
      <c r="G2539" t="inlineStr">
        <is>
          <t>劇団四季；劇団ひまわり；劇団俳優座；劇団青年座；劇団民藝</t>
        </is>
      </c>
      <c r="H2539" t="n">
        <v>29</v>
      </c>
      <c r="I2539" t="inlineStr">
        <is>
          <t>他の事務所や劇団からの移籍者も多く、特に演劇系からの移籍者が多い。；また劇団惑星ピスタチオとの共演でも注目され上岡演劇賞も受けている。；劇団に所属はしていないが芝居好きなため、舞台には積極的に立っている。；さまざまな作品で主役を演じており、劇団の代表的な女優の一人であった。；劇団へ出資や依頼をする外部組織は制作作業に関与しない限り製作者となる。；同時期に放送局の放送劇団に入り、俳優の傍ら放送劇も書くようになる。；劇団や舞台での経験が声優業にも良い影響を与えているという意見もある。；そのため、金はかかるとたちまち運営に行き詰ってしまい、劇団は分裂。；しかしながら、彼女への思いは通じず、やがて劇団はパリを離れてしまう。；日本で初めて行政のバックアップを受けた劇団として多くの関心を集めた。；両親は巡業劇団を持っていたため、子供の頃から舞台に立っていた。；卒業後は両親を安心させるために繊維会社に就職するも並行して劇団に入る。；そのため引退決意後は主宰していた劇団の稽古場も畳み東北地方に移住。；声優になる以前は児童向け劇団に所属し、舞台役者として活躍していた。；人見知りだった性格を治そうと、父親が劇団に入れたということだった。；除隊後も復学はせず、24歳の時に釜山の地方劇団で演技活動を始めた。；教師をしながら劇団に所属し、その後俳優活動に専念するために退職した。；大学卒業後は国民文化研究所を経て、知人の紹介で劇団泉座へ入団。；上演の準備は、古典的な演劇と現代演劇など、分野や劇団ごとに異なっている。；劇団への入団が叶わない中、偶然、テアトル・エコーと縁があって入団。；日本国外の劇団一覧とは、日本以外に本拠地を置く劇団の一覧である。；俳優となる前は学校や地元の劇団の舞台に立っていた。；退団した場合も劇団からは公表されない場合がほとんどである。；日本大学芸術学部卒業後も仲間と劇団を組んで公演を行っていた。；以降、同劇団の看板俳優として活躍するほか、外部公演にも多数出演。；また劇団ウェブページなどでは濃い紫や赤が使用されることがある。；この劇団は主に教育的端緒を提供することを目的としている。；その時期に友人に誘われて見た舞台に衝撃を受け劇団に入団。；ヘンリー・カウが音楽を担当する劇団でもあり、ここで即興の多くを学ぶ。</t>
        </is>
      </c>
      <c r="J2539">
        <f>HYPERLINK("https://www.weblio.jp/content/劇団", "词义详情")</f>
        <v/>
      </c>
      <c r="K2539">
        <f>HYPERLINK("https://yourei.jp/劇団", "查看例句")</f>
        <v/>
      </c>
    </row>
    <row r="2540">
      <c r="A2540" t="inlineStr">
        <is>
          <t>劇的</t>
        </is>
      </c>
      <c r="B2540" t="inlineStr">
        <is>
          <t>成功</t>
        </is>
      </c>
      <c r="C2540" t="inlineStr">
        <is>
          <t>読み方：げきてき
［形動］劇を見ているように緊張や感動をおぼえるさま。ドラマチック。「—な生涯」</t>
        </is>
      </c>
      <c r="D2540" t="inlineStr">
        <is>
          <t>劇的な変化(4%)；劇的な効果(2%)；劇的効果；劇的な展開；劇的な勝利</t>
        </is>
      </c>
      <c r="E2540" t="inlineStr">
        <is>
          <t>美しい；素晴らしい；ドラマチック；ドラマティック</t>
        </is>
      </c>
      <c r="F2540" t="inlineStr">
        <is>
          <t>劇的シイン；劇的なブザービーター；劇的な幕切れ；劇的な同点ゴール；劇的文体</t>
        </is>
      </c>
      <c r="G2540" t="inlineStr">
        <is>
          <t>劇的ビフォーアフター；劇的ラジオ</t>
        </is>
      </c>
      <c r="H2540" t="n">
        <v>29</v>
      </c>
      <c r="I2540" t="inlineStr">
        <is>
          <t>本シリーズは新作が出るたびにシステムが劇的に変わっている場合が多い。；町の包囲はこの時点で劇的に緩和され、包囲の終わりは近いかに思われた。；仕事と機械の数が大きくなると最適解を求めることが劇的に難しくなる。；基本的な命令を実行しようとすると、全体の性能は劇的に低下した。；海に向かって劇的に標高が落ちるため、海岸には崖が形成されている。；いずれも試合も終了間際のゴールで決着するという劇的な展開となった。；この戦争の性格は南北戦争最後の10ヶ月間に劇的に展開していった。；日本の食事習慣は、1950年から1975年の間でも劇的に変化した。；そのため、レースに劇的な展開が突然起きることも起きたことがある。；この後に勃発した第一次世界大戦では、航空機が劇的な進化を遂げた。；町の状況が劇的に変化したのは、産業が導入された1950年代からである。；人口が劇的に増加し、文化と政治の複雑さを増したという強力な証拠がある。；本来が劇場とは関係なく発展してきたので、劇的な表現は少ない。；劇的効果を得るために、死や詩人などの原作には登場しない登場人物が登場する。；ボーマルシェはこの件について、自身を英雄のごとく劇的に描いている。；その差が劇的であるため、ノルウェー人は冬をととに分けて呼ぶことが多い。；その過程ではしばしば劇的な価値観の転換を伴うことがある。；大きな群が漁船から逃げていく様子は劇的であるとも表現される。；このような超低音はモノディの劇的な感情表現の表出に効果的であった。；経済専門家の大半はこの出来事を近代経済史の中でもっとも劇的なことと見ていた。；このためプロの歌手になったからと言って、デビュー直後に劇的な変化はなかった。；これが劇的に改善され子供の生存率が伸びたのは産業革命期である。；外部から取られた写真はヴィクトリア朝に行われた再建の劇的な効果を表している。；各種医薬品が劇的に進歩した現在では、治療に用いられることはない。；詩が規則的な節に分かれず、劇的、叙事的に発展する場合によく採用される。；長沼も劇的な変化が必要だと理解し加茂更迭および岡田就任を了承した。；しかしアメリカの参戦によって英仏軍の士気は劇的に向上している。；ペストは国の行政や政治、経済、交易、文化の中枢へと劇的に成長した。；三十年戦争の戦場となったサールブールは、劇的なまでに人口が減少した。</t>
        </is>
      </c>
      <c r="J2540">
        <f>HYPERLINK("https://www.weblio.jp/content/劇的", "词义详情")</f>
        <v/>
      </c>
      <c r="K2540">
        <f>HYPERLINK("https://yourei.jp/劇的", "查看例句")</f>
        <v/>
      </c>
    </row>
    <row r="2541">
      <c r="A2541" t="inlineStr">
        <is>
          <t>激安</t>
        </is>
      </c>
      <c r="B2541" t="inlineStr">
        <is>
          <t>成功</t>
        </is>
      </c>
      <c r="C2541" t="inlineStr">
        <is>
          <t>読み方：げきやす
［名・形動］値段が通常に比べて著しく安いこと。また、そのさま。「—ツアー」</t>
        </is>
      </c>
      <c r="D2541" t="inlineStr">
        <is>
          <t>激安dvd(5%)；激安価格(3%)；激安問屋(3%)</t>
        </is>
      </c>
      <c r="E2541" t="inlineStr">
        <is>
          <t>格安；破格の値段；捨て値</t>
        </is>
      </c>
      <c r="H2541" t="n">
        <v>29</v>
      </c>
      <c r="I2541" t="inlineStr">
        <is>
          <t>歩いて十分のところに開店した激安店に客を奪われたのが致命的だったという。；ギターは、激安のシャブを求めて来週あたり、川口へ行ってくるという。；日本では著作権の保護期間が終了したことから現在激安DVDが発売されている。；そして、超激安映画のために、約2億円をかけた怒涛の宣伝活動が展開された。；夕方のニュース画面から激安ショップの情報が流れだした。；日本でも大創産業などから激安VHS・DVDが発売されている。；主人公は両親に先立たれ、家賃激安の幽霊話付きの部屋へ引っ越すことになる。；なお、日本では著作権の保護期間が完全に終了したことから現在、複数の会社から激安DVDが発売中である。；代わりに学園都市では一般的に寮の家賃や学食などが激安になるので結局プラマイゼロなのだった。；一方は最近急速に勢力を伸ばした自作マニアむけの激安DIYショップである。；そんなとき、大和田が経営する激安店と出会い、森山はついにかつらデビューを果たすのだが・・・。；今宵は激安のみほだぞ、メチルアルコールみたいなのくるぞ多分。；開店すると、激安を売りにした店が立ち並び、マスコミにも取り上げられるようになった。；番組は、視聴者から寄せられた激安情報をもとにスタッフが取材・報告するコーナー「関西価格調査隊」を中心に構成。；他携帯電話事業者もこの頃には激安プランを提供している場合もあり、高校生への携帯電話の普及が進み始めポケベルの契約数を支えた学生にとってもポケベルの魅力は全く無くなってしまった。；お店のコーヒーって普通こんな激安じゃねーだろ!?；また、日本においては著作権の保護期間が終了したと考えられることから現在複数の会社から激安DVDが発売中。；同社の「激安革命シリーズ」のうちのひとつ。；正月以外は年中無休で営業し、店頭には激安商品をたくさん積み上げ、通行人の足を止めていた。；とある欠陥だらけの激安物件を購入した若夫婦が様々な悪夢に直面する様をユーモラスかつコミカルに描いている。；また、日本においては著作権の保護期間が終了したと考えられることから現在、複数の会社から激安DVDが発売中。；文庫センターの向かいの「ニューバーグ」で激安のハンバーグでも食おうか?；なお、著作権の保護期間が50年の国では、大部分の作品がパブリックドメインとなっていることから、現在、一部の作品は激安DVDで発売中。；「お金がなくても幸せに暮らそう」をコンセプトに、貧乏でも幸せな人生を送る女性「ボンビーガール」を紹介するのをメインとし、激安スーパーなどお得情報も紹介していた。；今度は通話秒数で激安競争が来ないものか。；「激安店」の登場であり、「高級ブランド志向」の一般化である。；価格面では全般的にディスカウント志向が強いものの、極端な激安販売や数量限定販売は行わない。；なお、現在はパブリックドメインであることから激安DVDも発売中で、こちらは1946年版となる。；昨日、二次会へ流れていった知り合いを見かけて訊いたところ、あれからみんなは激安カラオケでさらに盛り上がったらしい。</t>
        </is>
      </c>
      <c r="J2541">
        <f>HYPERLINK("https://www.weblio.jp/content/激安", "词义详情")</f>
        <v/>
      </c>
      <c r="K2541">
        <f>HYPERLINK("https://yourei.jp/激安", "查看例句")</f>
        <v/>
      </c>
    </row>
    <row r="2542">
      <c r="A2542" t="inlineStr">
        <is>
          <t>激励</t>
        </is>
      </c>
      <c r="B2542" t="inlineStr">
        <is>
          <t>成功</t>
        </is>
      </c>
      <c r="C2542" t="inlineStr">
        <is>
          <t>読み方：げきれい
［名］(スル)はげまして、奮い立たせること。「選手団を—する」「𠮟咤—」</t>
        </is>
      </c>
      <c r="D2542" t="inlineStr">
        <is>
          <t>激励する(11%)；激励会；激励賞；激励される；激励しよ</t>
        </is>
      </c>
      <c r="E2542" t="inlineStr">
        <is>
          <t>勧め；サポート；援助；促進；応援</t>
        </is>
      </c>
      <c r="F2542" t="inlineStr">
        <is>
          <t>鼓舞激励；直接激励；激励する会；激励するため</t>
        </is>
      </c>
      <c r="H2542" t="n">
        <v>29</v>
      </c>
      <c r="I2542" t="inlineStr">
        <is>
          <t>一同の様子をわざわざ見に来る者、激励に訪れる者も後を絶たなかった。；それは非常に強調な、人を激励する様な、ワンステップ風のものなんだ。；古参兵たちは、激励が無くとも自分たちのすべきことをよく理解していた。；外側の激励と、内の反省とが、明らかによい効果を見せて来たのは人形だ。；躊躇する親兵衛だが、七犬士の声に激励され、共に生きていく決意をする。；弱虫の若様をこれまでに激励したのはたしかに正三君のおてがらだった。；その時、コロッケに激励されたのをきっかけに続けることを決意する。；松陰に召喚命令が出たと知って、激励しようということになったらしい。；部下を激励していて叫び続けている時に血管が切れたためと言う。；それを知った上でなお自殺せず、生きて政治の責務を果たすよう激励される。；話は、みんなが希望を失った中で、パウロが全員を激励する場面に移った。；そのうち約170件は敗れた八重樫東への感謝や激励を伝える内容だった。；援助と激励を求めて彼はロンドンに出てくるのだが、両方とも得ることは無かった。；ここで、辰野氏の好意に満ちた激励の言葉を書き列ねる必要はあるまい。；また、負傷した兵士が入院する病院にも頻繁に訪れ、兵士たちを激励した。；菊池半助はその側面にかかって、部下の変装組に、激励の声をからした。；こうした中、馬喰町で部下を叱咤激励していた副長正時は銃弾に倒れた。；激励のお手紙を含め、ファン郵便物の全てに私は深く感謝している。；特に東日本大震災直後には、県内各地を自主的に訪問し激励して回った。；彼は自分の研究グループを如才なく相互に理解し絶えず激励して導いた。；また積極的に前線の兵士を激励し、軍内にあった保守的な姿勢を転換した。；ただ、クレーの絵に刺戟され激励されて、文章を書いたことは確かである。；それは、まだ周恩来の関心と激励のもとで完成した歴史著作であった。；それからそれぞれ皆のところへ出かけて、言葉をかけて激励した。；特にうつ病では、激励をしてしまうことは、むしろ医学上の禁忌である。；激励のかけ声とともに、わたしは秘密のドアに全身でぶつかっていった。；船で知り合った、中学の先輩、Kさんからの親切な激励状だったのです。；彼は尻込みする部下を叱咤激励しながら、先に立って娘のほうへ突進した。；それは私の苦行を激励する恩師の慈悲ぶかい瞳のように思われたのだった。</t>
        </is>
      </c>
      <c r="J2542">
        <f>HYPERLINK("https://www.weblio.jp/content/激励", "词义详情")</f>
        <v/>
      </c>
      <c r="K2542">
        <f>HYPERLINK("https://yourei.jp/激励", "查看例句")</f>
        <v/>
      </c>
    </row>
    <row r="2543">
      <c r="A2543" t="inlineStr">
        <is>
          <t>下校</t>
        </is>
      </c>
      <c r="B2543" t="inlineStr">
        <is>
          <t>成功</t>
        </is>
      </c>
      <c r="C2543" t="inlineStr">
        <is>
          <t>読み方：げこう
［名］(スル)学校を出て帰途につくこと。「台風が来るので早く—させる」⇔登校。</t>
        </is>
      </c>
      <c r="D2543" t="inlineStr">
        <is>
          <t>下校する(15%)；下校時(10%)；下校途中(9%)；下校中(5%)；下校しよ</t>
        </is>
      </c>
      <c r="F2543" t="inlineStr">
        <is>
          <t>最終下校；完全下校；登校下校；早く下校；一緒に下校</t>
        </is>
      </c>
      <c r="H2543" t="n">
        <v>29</v>
      </c>
      <c r="I2543" t="inlineStr">
        <is>
          <t>実際に、下校の途中、学校の近くの道傍で声を掛けられた子もいました。；いっしょに下校したりお茶したり二人でおんなじ部屋で過ごしたりして。；二人が上履きのまま下校したのでなければ、そういうことになるだろう。；帰る家がいっしょであるため、時々、下校途中で合流することがあった。；これで、部活に参加している生徒以外はほとんど下校してしまうだろう。；そんな彼女が学校から下校の際に少女と出会うことから物語は動き出す。；下校時間は過ぎていないはずなのに、校舎や校長官舎に人の気配はない。；なお、学期中の活動は最終下校時刻までに校門をでることとなっている。；大半の生徒が下校した後の冬の廊下は、思ったよりずっと声が響いた。；残っていた生徒も大半が下校したらしく、校舎はだいぶ静かになっていた。；ここは、下校する生徒たちが次から次へと通り過ぎていく並木道である。；きっとこれからも一緒に学校に来て、一緒に下校するぐらいの知り合い。；結野も電車を使っているわけだから、下校路が同じになるのは当然だ。；また門脇小学校でも既に下校していた生徒のうち7名が死亡している。；その声に驚いて、前を歩いていた下校途中の生徒たちが振り返った。；下校時間には全員学校を出るように教師たちからは厳命されていた。；下校する他の生徒たちが、驚いたみたいに二人を見て通り過ぎていく。；確かにここまで歩いて声をかければ、周りに下校途中の生徒はいない。；講義の、その日の時間割りをすべて終えて、僕は下校することになった。；バスの路線はないが下校時間には生徒用の運行が校舎までくる。；下校時刻にはまだ間があるのに、廊下に人の姿はほとんどなかった。；おそらくこの子は、下校してすぐにここへ来て、箱を持って立ったのだろう。；夕方になれば生徒たちは下校していって、校舎はとたんに静かになる。；姉妹は天気が良いので送迎バスに乗るのをやめ歩いて下校することにする。；予定がキャンセルになったから、久しぶりに早く下校したかもしれない。；下校ルートの坂道をだらだら下っていると自然に男女間で距離ができる。；部活をやっている生徒ですらもうほとんど下校している時間である。；すでに下校したわけでもなかったようなので、たぶん間が悪かったのだろう。；午後になるとまず小学生が下校して来て、つづいて中高校生が帰って来る。</t>
        </is>
      </c>
      <c r="J2543">
        <f>HYPERLINK("https://www.weblio.jp/content/下校", "词义详情")</f>
        <v/>
      </c>
      <c r="K2543">
        <f>HYPERLINK("https://yourei.jp/下校", "查看例句")</f>
        <v/>
      </c>
    </row>
    <row r="2544">
      <c r="A2544" t="inlineStr">
        <is>
          <t>今朝</t>
        </is>
      </c>
      <c r="B2544" t="inlineStr">
        <is>
          <t>成功</t>
        </is>
      </c>
      <c r="C2544" t="inlineStr">
        <is>
          <t>読み方：けさ
今日の朝。この朝。こんちょう。「—から熱がある」「—大雨が降った」</t>
        </is>
      </c>
      <c r="D2544" t="inlineStr">
        <is>
          <t>今朝早く(2%)；今朝がた；今朝起き；今朝九；今朝六</t>
        </is>
      </c>
      <c r="F2544" t="inlineStr">
        <is>
          <t>今朝吾；今朝はじめて；今朝届い；今朝別れ；今朝出発</t>
        </is>
      </c>
      <c r="G2544" t="inlineStr">
        <is>
          <t>今朝雄；今朝子；今朝白；今朝吉；今朝平</t>
        </is>
      </c>
      <c r="H2544" t="n">
        <v>29</v>
      </c>
      <c r="I2544" t="inlineStr">
        <is>
          <t>昨日から今朝にかけておれの行く所には必ず母親の目が光っているのだ。；昨夜の老人は村長で、今朝も早く何か特別の用があって出かけたらしい。；お道は今朝から宿に居なかつたが今こゝでお道を見やうとは意外であつた。；すべてが今朝出掛に頭の中へ収めて行った光景と少しも変っていなかった。；私が今朝王仁さんの屍体を発見したとき、ドアの鍵はかかっていません。；それは春らしい今朝の出来事が、そのひとの心を憂はしくしたのである。；地震のために折れ落ちたのかそれとも今朝の暴風雨で折れたのか分らない。；暗くなつた部屋のなかは今朝ものを片づけ、掃除をしたままの姿である。；今朝の夜明けに初めての空襲があって、駅も少しばかりの被害を受けた。；その時は起き抜けに、今朝咲いた花の数を勘定し合って二人が楽にした。；今朝鎌倉町へ行ったのを見て、あわててここへ渡りをつけに来たのさ。；さて今朝もらった塩魚をこの遠くから来られたお客に差し上げたものか?；それに今朝から、私はもう君に捕えられたものだと自分で思っていた。；未来に今朝のような明るさを覚えたことが近頃の自分にあるだろうか。；そこへもつて来て、今朝は珍しく下痢患者が三人もやつて来ましてな。；幸に今朝二人里へ行ったという小屋があって、そこへ泊ることになった。；そういえば鐘の音さえも、今朝からずっととだえているような気がする。；今朝の彼はまだ誰も来ないうちから一種の待ち設けのために緊張を感じていた。；もう少し早く今朝出て来れば好かつたことを思つたところで為方がなかつた。；今朝、最後の一手を置いたから、わずか三日もあればこの仕事も完遂だ。；この謎かけが今朝の第一便で来て、本人はその次の列車で来ることになっている。；兄の知らせを受け取ったのが今朝で、あなたのことは大絶賛でしたよ。；今朝は昨夜からの記事の一件で、早く社へ出ることになっていた。；結局、私は今朝、デルフィーヌをあらゆるところに連れてゆきましたよ。；むろん昨夜の今朝、こうして訪ねてくるものとは夢想だにしなかつた。；さういへば鐘の音さへも、今朝からずつととだえてゐるやうな気がする。；今朝コーヒーを飲んだ時、突如として坊津行きを思い立ったのではない。；彼は苦笑しながら、昨夕と今朝の間に自分の経過した変化を比較した。；その時の庫次爺の顔を四十余年後の今朝ありありと思い浮べたのである。</t>
        </is>
      </c>
      <c r="J2544">
        <f>HYPERLINK("https://www.weblio.jp/content/今朝", "词义详情")</f>
        <v/>
      </c>
      <c r="K2544">
        <f>HYPERLINK("https://yourei.jp/今朝", "查看例句")</f>
        <v/>
      </c>
    </row>
    <row r="2545">
      <c r="A2545" t="inlineStr">
        <is>
          <t>けしからん</t>
        </is>
      </c>
      <c r="B2545" t="inlineStr">
        <is>
          <t>成功</t>
        </is>
      </c>
      <c r="C2545" t="inlineStr">
        <is>
          <t>読み方：けしからん
［連語］《形容詞「け（怪）し」の未然形に打消しの助動詞「ぬ」の付いた「けしからぬ」の音変化》道理にはずれていて、はなはだよくない。不届きだ。「うそをつくとは—◦ん」</t>
        </is>
      </c>
      <c r="D2545" t="inlineStr">
        <is>
          <t>けしからんこと(13%)；けしからん話(3%)；けしからん奴(3%)；けしからんやつ；けしからんじゃない</t>
        </is>
      </c>
      <c r="E2545" t="inlineStr">
        <is>
          <t>不純な；邪な；偽善的な；不届きな；下心がある</t>
        </is>
      </c>
      <c r="H2545" t="n">
        <v>29</v>
      </c>
      <c r="I2545" t="inlineStr">
        <is>
          <t>そこまで考えて来ると、これはケシカランことであると思ったのである。；それはけしからん話であるが、この話はこれまでにも耳にしたことがある。；労働者の会合を料理屋で開くなんてけしからんと私は云つてやりました。；そこへもってきて相手は海賊だ、けしからんことを企んで不思議はない。；これまで一度でも、ぼくはけしからん望みを胸に感じたことがあったろうか?；逃亡した武士がけしからんのは、おまえの父を殺したからではない。；これは社会的な問題としてみて実にけしからんことなのである。；平の医者が、院長に命令するのだから、こんなにケシカランことはない。；かれが火蜥蜴をもっているなんてけしからんとでもいうようだった。；はなはだけしからんことだが、その計画をそいつが横取りしてしまった。；しかし、なにかけしからん噂があるということは、ちゃんと知ってます。；すれば市民たちは、悪い所業の話を聞いて、みなけしからんというだろう。；くどいようだが、おはヨーグルトがけしからんといっているのではない。；なるほど意味の取り方によって、わが輩の言葉はけしからん言葉である。；「実にけしからん、容易ならぬ事件だ」と彼はぷりぷりしながらいった。；自分たちの手の届かないところで何かやっているのはけしからん。；これが遊びでなく、真面目なことであったら、全くケシカランことである。；お二人の間にけしからんことが起こりませんようにな。；これらの現象をけしからんなどと言うつもりはまるでない。；けしからんことに、とうてい若いとはいえないやつが数人混じっている。；けしからん女といわれましょうから、もしあの人の閨の世話などいたしましたら。；自分のけしからん願望が誰にもわからないと確信して、彼はいい気になって想像していた。；いや、俺がこんなことを言うのは、だからけしからんと君を非難してるんじゃないぜ。；けしからん、と非難された黒柳側の人々の応答も珍妙なものであった。；なるほど当然なくらいけしからんことが多いのは確かだ。；が、けしからん巧みなもので、その単純性が一般に受け入れられるのだろう。；君は心の中で友人をひどく非難して、相手が非常にけしからん仕打ちをしたと思うだろう。；お医者様のような立派な先生方をからかうなんて、甚だけしからんと思うね。；女房なども近くに付いていないでけしからんことだ。</t>
        </is>
      </c>
      <c r="J2545">
        <f>HYPERLINK("https://www.weblio.jp/content/けしからん", "词义详情")</f>
        <v/>
      </c>
      <c r="K2545">
        <f>HYPERLINK("https://yourei.jp/けしからん", "查看例句")</f>
        <v/>
      </c>
    </row>
    <row r="2546">
      <c r="A2546" t="inlineStr">
        <is>
          <t>景色</t>
        </is>
      </c>
      <c r="B2546" t="inlineStr">
        <is>
          <t>成功</t>
        </is>
      </c>
      <c r="C2546" t="inlineStr">
        <is>
          <t>読み方：けいしょく
風景。けしき。
「自分の国の—やら、習慣やら」〈漱石・永日小品〉</t>
        </is>
      </c>
      <c r="D2546" t="inlineStr">
        <is>
          <t>景色そのもの；景色画；景色はい；景色がい；景色よき</t>
        </is>
      </c>
      <c r="E2546" t="inlineStr">
        <is>
          <t>所；場；舞台；眺め；背景</t>
        </is>
      </c>
      <c r="F2546" t="inlineStr">
        <is>
          <t>いい景色；同じ景色；そんな景色；雄大な景色；素晴らしい景色</t>
        </is>
      </c>
      <c r="H2546" t="n">
        <v>29</v>
      </c>
      <c r="I2546" t="inlineStr">
        <is>
          <t>アラスカ州では国内で最も表情豊かで未開発の景色をみることができる。；その景色の開放的なイメージは、日本の映像文化にもよく登場している。；いくら描いても描いても本当の景色で見るような色には描けませんでした。；頭に浮かんでくる景色を文章化していくだけで自分が書いた感覚はなかった。；のどかな景色が広がる中、小さな学校で子供たちが元気に過ごしている。；この地域はイギリスでもっとも景色の美しい地域であると広く考えられている。；こういう平和に満ちた景色は世界のどこにも見られないであろう。；世界の美しい景色と飛行機のコラボレーションを撮ることを得意とする。；兵庫県は様々な景色を持つため、多くの映像産業に積極的に協力している。；さらに遠くには浅間山をも望むことができるなど、景色の良さが知られる。；また多くの文人が訪れ、風光明媚な景色を見て自身の作品に残している。；その敷地は他に無いような景色や付属する建物でも有名である。；その目的のために彼らの詩の材料として生まれた国の景色や伝統を探索した。；また、ホロデッキのように周りの景色も自由に変化させることが可能。；助士側前面の窓が大きくなっており、前方の景色が見やすくなっていた。；停留所は周りの景色を確認しながら自分で把握することが求められる。；タイトルは、日常の面での景色を形にしたいという想いで命名された。；観光船はこれらの地区の高い山と青々としたフィヨルドの景色を回っている。；これらはその時の私の心もちと、不思議な位似つかはしい景色だつた。；一番は、日本の春の景色を、二番は、日本の秋の景色を歌った歌詞である。；作品は共通して大胆で直截的な景色作りが行われていることが指摘されている。；なお、舞台である岐阜の景色は実際に取材したものが描かれている。；大部分が日本海に面し、山陰海岸の景色を眺めながら走ることができる。；ここには石灰岩でできた山や、石灰岩起源の特徴的な景色を掲載した。；当時は火星で見た景色は実際の火星の景色と似ていると話題になったという。；自然界でも、特に風のない時の湖沼の水面は鏡となって景色を映し出す。；ゾーイは「自分が死にかけたとき、私は地獄の景色を見た」と主張する。；アトリウムはガラスで覆われているので海など外の景色が見える。；そして目の前に広がった景色から受けた衝撃の大きさにロバの背から落ちそうになった。</t>
        </is>
      </c>
      <c r="J2546">
        <f>HYPERLINK("https://www.weblio.jp/content/景色", "词义详情")</f>
        <v/>
      </c>
      <c r="K2546">
        <f>HYPERLINK("https://yourei.jp/景色", "查看例句")</f>
        <v/>
      </c>
    </row>
    <row r="2547">
      <c r="A2547" t="inlineStr">
        <is>
          <t>消しゴム</t>
        </is>
      </c>
      <c r="B2547" t="inlineStr">
        <is>
          <t>成功</t>
        </is>
      </c>
      <c r="C2547" t="inlineStr">
        <is>
          <t>読み方：けしごむ
紙に鉛筆などで書いた字や絵を、こすって消すのに用いるもの。ゴム・プラスチックなどでできている。ゴム消し。
[補説]書名別項。→消しゴム</t>
        </is>
      </c>
      <c r="D2547" t="inlineStr">
        <is>
          <t>消しゴムハンコ；消しゴムつき鉛筆</t>
        </is>
      </c>
      <c r="E2547" t="inlineStr">
        <is>
          <t>護謨；消ゴム；イレーザー</t>
        </is>
      </c>
      <c r="F2547" t="inlineStr">
        <is>
          <t>小さな消しゴム；消しゴムつき；砂消しゴム</t>
        </is>
      </c>
      <c r="G2547" t="inlineStr">
        <is>
          <t>消しゴムはんこ</t>
        </is>
      </c>
      <c r="H2547" t="n">
        <v>29</v>
      </c>
      <c r="I2547" t="inlineStr">
        <is>
          <t>もし他の部屋へ行くとしたら、消しゴムより先に他の紙を探したでしょう。；人間の一生を消しゴムで消してしまうようなわけにいくはずがない。；いずれにしても消しゴム工場の労働者は、確実に給料をもらっているのだ。；おそらくこの世のどこかの隅に、消しゴムの墓場への入口があるのだろう。；それが病みつきになってしまって、今度で消しゴムの数も十二になる。；透明なため従来の白い消しゴムとは異なり、消したい文字の部分が見える。；書いた内容は消しゴムで消すことができず、破り捨てることもできない。；私はある日、教室の机で一人ぼんやりと消しゴムを眺めていた。；この消しゴムで消した顔は目がなくても物が見え、口がなくても喋る事が出来る。；壁についたカンテラや窓を消しゴムで撃って壊すとランダムで出現する。；そう思いながら取り出してみると、それは真新しい消しゴムであった。；消しゴムで消してもよかったのだが、そのときはできなかった。；同じ苛立ちを感じた人もいたらしく、所々線を消しゴムで消した跡もあった。；台本に書いたアドリブなどは盗まれないように消しゴムで全部消していく。；みんなは教室の中で友達とふざけあい、消しゴムの投げあいをする。；そうなったところでやっと消しゴムが出動していくのであった。；いつもの文房具店に、いつも使っている消しゴムが売ってなかったからである。；また蝋を含むため紙への定着性がよいが、消しゴムで消しにくい。；消しゴムとは、主に鉛筆などで書かれたものを消去するときに使う文房具。；そこに蛙の消しゴムを入れたビニール袋を紐で括りつけていたのだが。；みていると、高学年の生徒で十円の消しゴムを買う者はほとんどひとりもいなかった。；瞑の投げた消しゴムは、それができないほどの速度ではなかった。；その範囲は 消しゴムに対応するまでに拡張された。；大事に大事に使ってきた消しゴムをなくしてしまったのだ。；一と口に消しゴムといっても、こんなに沢山の種類があるのだ。；自分の教室から持ってきたのか、新品の消しゴムを持って微笑む遠坂。；視野の端から端まで素早く動く彼女の人差指は、消しゴムのようなものだ。；プレイヤーは画面上の消しゴムを操作し、文章だけでなくイラストも消していくことで物語が進行する。；消しゴムがスパイではないという人がいたら証拠を見せてほしい。</t>
        </is>
      </c>
      <c r="J2547">
        <f>HYPERLINK("https://www.weblio.jp/content/消しゴム", "词义详情")</f>
        <v/>
      </c>
      <c r="K2547">
        <f>HYPERLINK("https://yourei.jp/消しゴム", "查看例句")</f>
        <v/>
      </c>
    </row>
    <row r="2548">
      <c r="A2548" t="inlineStr">
        <is>
          <t>下車</t>
        </is>
      </c>
      <c r="B2548" t="inlineStr">
        <is>
          <t>成功</t>
        </is>
      </c>
      <c r="C2548" t="inlineStr">
        <is>
          <t>読み方：げしゃ
［名］(スル)電車や自動車から降りること。また、電車から降りて駅の改札を出ること。降車。「東京駅で—する」「途中—」⇔乗車。</t>
        </is>
      </c>
      <c r="D2548" t="inlineStr">
        <is>
          <t>下車する(12%)；下車駅(4%)；下車後(3%)；下車徒歩(3%)；下車すぐ(2%)</t>
        </is>
      </c>
      <c r="F2548" t="inlineStr">
        <is>
          <t>途中下車；停留所下車；終点下車；駅下車；笹下車庫</t>
        </is>
      </c>
      <c r="H2548" t="n">
        <v>29</v>
      </c>
      <c r="I2548" t="inlineStr">
        <is>
          <t>下車した乗客たちの間から、背の高い女性が轢かれたという声が上がる。；塩山駅で下車すると案の如く空は雲切れがして程なく晴れそうな気配だ。；途中に夜叉神峠があり、鳳凰山へ登る場合はここで下車することになる。；現実的には乗車・下車共に駅によらず宣言すればどこでも可能である。；逆に当駅で下車する場合は運賃や乗車券は回収箱に入れることになる。；乗車駅証明書発行機が設置されているのでそれを利用し下車駅で清算も可能。；案内放送の内容は次の停車駅の名と下車時の扉を含めている。；北へ向かう乗客はここで下車し検査を受けることになる。；下車駅では、自動改札機にある投入口にトークンを投入して出場する。；それから今日の午後二時九分で、同じ服装をした青年が下車した。；必ず次の便に乗車する時などは下車時に乗務員にその旨を伝えておくことも可能である。；駅下車後空知川を渡り2キロメートルほど東へ行くとダムに到着する。；現在では、美術館に行くには後者で下車するのが一般的である。；なお、ホームには月ヶ瀬梅林下車駅との大きな標柱が立てられている。；大洞窟行きは直行であるが、おにの館行きは住吉神社前でも下車可能。；有人駅で下車する場合、一部を除き駅改札口で運賃を支払うことが多い。；nimocaを使う場合は下車時に乗務員に提示すれば降りられる。；それにつづいて、下車客はそれぞれ自分の家へ帰りかけた。；そのような中、K3はタクシーからいったん下車し、車外で電話をかけた。；なお、実証運行時は太字のバス停では必ず一旦下車する必要があった。；停車した時もみだりに下車せずに、係員の指示に従うようにされた。；この構造から、カバタシュ方面は乗車専用・下車専用ホームで別れている。；また、下車後、バスやタクシーに乗り継ぐ必要があるものがほとんどである。；父親は爆発の数分前に車から下車していた。；ユニークな点としては、下車操縦が考えられていたことが挙げられる。；朝のラッシュ時には品川方面から乗車してきた旅客の多くがここで下車する。；以下のいずれも赤羽岩淵駅では発売されていないので下車駅で申し出て購入する。；チャンは途中で下車すると待ち構えていた男子生徒たちに拉致された。；鉄道で行く場合は、ターミナル1駅で下車してバスに乗り換える必要がある。</t>
        </is>
      </c>
      <c r="J2548">
        <f>HYPERLINK("https://www.weblio.jp/content/下車", "词义详情")</f>
        <v/>
      </c>
      <c r="K2548">
        <f>HYPERLINK("https://yourei.jp/下車", "查看例句")</f>
        <v/>
      </c>
    </row>
    <row r="2549">
      <c r="A2549" t="inlineStr">
        <is>
          <t>下宿</t>
        </is>
      </c>
      <c r="B2549" t="inlineStr">
        <is>
          <t>成功</t>
        </is>
      </c>
      <c r="C2549" t="inlineStr">
        <is>
          <t>読み方：げしゅく
［名］(スル)
１ある期間、あらかじめ契約を結んで部屋を借り、部屋代・食費などを払って居住すること。また、その家。「大学の近くに—する」
２宿泊費の安い下等な旅館。安宿。したやど。</t>
        </is>
      </c>
      <c r="D2549" t="inlineStr">
        <is>
          <t>下宿先(5%)；下宿生活(2%)；下宿料；下宿部屋；下宿住まい</t>
        </is>
      </c>
      <c r="E2549" t="inlineStr">
        <is>
          <t>宿；合宿；寄宿舎；寄宿；下宿屋</t>
        </is>
      </c>
      <c r="F2549" t="inlineStr">
        <is>
          <t>素人下宿；学生下宿；安下宿；新しい下宿；早く下宿</t>
        </is>
      </c>
      <c r="G2549" t="inlineStr">
        <is>
          <t>下宿人；下宿前；下宿村</t>
        </is>
      </c>
      <c r="H2549" t="n">
        <v>29</v>
      </c>
      <c r="I2549" t="inlineStr">
        <is>
          <t>高等学校から附属に入る生徒には、隠れて下宿する者もいたほどである。；その下宿は大きい低い天井の部屋で、家具らしい物はほとんどなかった。；下宿の主人にきいてみても、前の家をたれが借りているのか知りませんでした。；実家から遠い場所に学校があったため、親元を離れて下宿生活を開始した。；三時ニ歸宿とあるのは芥川のところから下宿に戻つたことをいつてゐる。；このとき、父が岡田郡長に就任したため永は家を出て下宿通学を経験した。；二人は下宿の住人だから仕方がないけれど、私は何の関係もない異邦人だ。；林望が英国に留学した際、ボストンの家に下宿していたことでも知られる。；青年は以前兄と同じ下宿にいた上野の美術学校の卒業期の洋画科生である。；幼馴染の高里 七瀬の家で下宿をしながら新しい生活を送ろうとしていた。；すると、下宿の玄関先に死んだはずの彼女が幽霊と化して立っていた。；日本の民間人や、市内に下宿していた日本軍人も拘束の対象となった。；水島と女との奇蹟のために、彼は下宿の自分の六畳間を提供したのであつた。；授業のないときには下宿先に引きこもり小説を読みふける日々を送る。；緑雨が初めて私の下宿を尋ねて来たのはその年の初冬であった。；下宿の人達は、彼が毎日鞄の蓋を開けたり閉めたりしてゐるのを見てゐた。；民間下宿を全国で初めて発足させ、知的障害児・者の療育に力をそそぐ。；この家には若い頃良寛が下宿しており、子のない里佐に可愛がられていた。；麻素子さんは僕を下宿に訪ねてきたことのない人であるし用件がわからない。；時々国の僕へ宛てたあいつの手紙が、こっちの下宿へ転送されて来るからね。；そして、青年は半ば強引にかつての自分の家への下宿を決め込んでしまう。；厳しい規則が存在する家庭や下宿、寮で決められていることが多い。；下宿の机の上にこれがあれば、これはどうしたのかと、友人たちが訊くだろう。；バチストは行くあてのないガランスに、彼の下宿の空き部屋を紹介する。；生まれ育った町を離れて、この近くにひとりで下宿し、学校にかよっていた。；彼は、マハン・サンノム老人の経営する素人下宿に住居しているのだった。；そして立ち上ったと見る間に砲弾のように下宿の囲いの中に闖入してきた。；ある晩約束しておいたのにエディーが来ないのでどうしたのかと思って彼の下宿へ行って見た。；その行動力と熱意に押された相澤は法子を自宅に下宿させる事にした。</t>
        </is>
      </c>
      <c r="J2549">
        <f>HYPERLINK("https://www.weblio.jp/content/下宿", "词义详情")</f>
        <v/>
      </c>
      <c r="K2549">
        <f>HYPERLINK("https://yourei.jp/下宿", "查看例句")</f>
        <v/>
      </c>
    </row>
    <row r="2550">
      <c r="A2550" t="inlineStr">
        <is>
          <t>下旬</t>
        </is>
      </c>
      <c r="B2550" t="inlineStr">
        <is>
          <t>成功</t>
        </is>
      </c>
      <c r="C2550" t="inlineStr">
        <is>
          <t>読み方：げじゅん
月の21日から末日までの間。月の終わりのころ。下澣(げかん・かかん)。→上旬→中旬</t>
        </is>
      </c>
      <c r="D2550" t="inlineStr">
        <is>
          <t>下旬頃(2%)；下旬以降；下旬ごろ</t>
        </is>
      </c>
      <c r="F2550" t="inlineStr">
        <is>
          <t>正月下旬；毎月下旬；今月下旬；昨年十一月下旬</t>
        </is>
      </c>
      <c r="H2550" t="n">
        <v>29</v>
      </c>
      <c r="I2550" t="inlineStr">
        <is>
          <t>すると、五月の下旬になって、ある日ミスラ氏から一封の手紙が着いた。；この年の下旬にはオランダ経由でフランスに帰国している。；収穫期は3月中旬から下旬の間で、機械を使わずに一本ずつ手で収穫する。；まだ四月の下旬であるというに、彼はめずらしい粽なぞを見つけて来た。；七月も下旬になって、達也もようやく身動きが取れるようになってきた。；五月も下旬になり、ここ数日のあいだ気温の高い日がつづいていた。；編集には、音楽はが担当し、1975年下旬から撮影が開始された。；国内受験者は試験の翌月下旬から結果をウェブサイトで見ることができる。；それはその年の五月から建築にかかり、八月の下旬に出来あがったものである。；同月下旬、ジャスティン・リンが第3作の監督を務めることが決まった。；八月の下旬に市民団体からの要望書が作成されこれが市長に送られた。；収録は横浜にぎわい座で毎月中旬もしくは下旬の夕方に行われていた。；九月も下旬になったころのことで、ちょうど馬籠は秋の祭りの前日にあたる。；五月の下旬にはいった時、架山は二泊の予定で北陸に旅行することになった。；十一月の下旬にはもうこの北国の街に水気の多い霰が一斉に降っていた。；南京で八日、上海で四日間の取材を終えて帰国したのは一月の下旬であった。；四月も下旬になって、鳥島と倉橋が連れだって見舞いに来てくれた。；九月も下旬とはいえ、紅葉には早いし、京都になにかみたいものがあるでもない。；ナカシマ工業から訴えられて二週間が過ぎ、いまはもう、五月も下旬だ。；十一月の下旬のある雨の日の昼休み、見覚えのない奴が僕の机の前に近づいてきた。；一〇月下旬になると、蛍光灯が勝手にはずれて床に落下する事件が続発した。；数日の後、もう下旬に入って二三日たっていた。；八月の下旬にはイギリスの軍艦四隻が長崎に来航して、開港をせまった。；ボルドーの赤を持って中原さんの家を訪れたのは、一月も下旬に入ってからだった。；また同月下旬に開催された10周年記念ライヴで本人達からファンに直接報告された。；九月の下旬に日本を発ち、タンボチェで月を見て、すぐ帰って来ます。；この二人が正式にひとところに集い、言葉を交わすのは五月も下旬のことである。；三月の下旬に呉を出る時は、次は沖縄に行くということが分っていた。；太宰が下曾我に静子を訪ね、懐妊を知らされたのは、三月の下旬である。</t>
        </is>
      </c>
      <c r="J2550">
        <f>HYPERLINK("https://www.weblio.jp/content/下旬", "词义详情")</f>
        <v/>
      </c>
      <c r="K2550">
        <f>HYPERLINK("https://yourei.jp/下旬", "查看例句")</f>
        <v/>
      </c>
    </row>
    <row r="2551">
      <c r="A2551" t="inlineStr">
        <is>
          <t>化粧</t>
        </is>
      </c>
      <c r="B2551" t="inlineStr">
        <is>
          <t>成功</t>
        </is>
      </c>
      <c r="C2551" t="inlineStr">
        <is>
          <t>読み方：けしょう
［名］(スル)
１紅(べに)やおしろいなどを使って、顔を美しく見えるようにすること。つくり。けそう。「念入りに—する」
２物の表面を美しく飾ること。「壁を白いペンキで—する」「雪—」
３うわべだけのこと。虚飾。
「差いた刀は、—か、伊達(だて)か」〈浄・碁盤太平記〉</t>
        </is>
      </c>
      <c r="D2551" t="inlineStr">
        <is>
          <t>化粧着(2%)；化粧気；化粧品；化粧部屋；化粧板</t>
        </is>
      </c>
      <c r="E2551" t="inlineStr">
        <is>
          <t>作り；模様；装飾；飾り；飾る</t>
        </is>
      </c>
      <c r="F2551" t="inlineStr">
        <is>
          <t>濃い化粧；派手な化粧；御化粧；薄く化粧；美しく化粧</t>
        </is>
      </c>
      <c r="G2551" t="inlineStr">
        <is>
          <t>化粧室；化粧板；化粧台；化粧道具；化粧水</t>
        </is>
      </c>
      <c r="H2551" t="n">
        <v>29</v>
      </c>
      <c r="I2551" t="inlineStr">
        <is>
          <t>再び化粧が流行した背景にはヨーロッパとイスラーム社会の争いがある。；白塗りの顔や必要以上に濃い化粧などをするのがお決まりになっている。；墓室内部は天井がアーチ式になっており、壁は白漆喰で化粧されている。；奴に近づいてみれば、これは恐ろしや、戦闘化粧をしているじゃないか。；ただし、化粧坂からどのような経路で村岡に至っていたかは不明である。；化粧をした日本人初の男性歌手と言われていたが本人は否定した。；女優の卵である彼女は周りを見返すために自分に化粧をするように依頼する。；おとよさんは少し化粧をしたと見え、えもいわれないよい香りがする。；天候やTPOに合わせた化粧の使い分けが定着したのもこのころである。；さらに男性の化粧や女性の権利など現代では驚くような事実もわかっている。；大分類すると用途により家庭用、身辺化粧用、工業用などに分類される。；すると、化粧をした一つの顔がひたいを窓ガラスに押しつけていました。；入浴客の女性のひとりが、化粧をほどこしてくれたのだと姉は言った。；うす化粧をした彼女の顔に、不安の暗い影がありありと浮かんでいた。；そのため眉を美しく見せることは化粧の中でも重要度が高い。；自分の顔がだんだん醜い表情を取り出したので、あわてて化粧をしたりした。；製品化された商品はないが、医薬品や化粧品への応用が期待できる。；日本では江戸時代中期に町人文化が隆盛し、髪結いや化粧が一般化した。；男女関わらず化粧をする事が多く、男子でも軽い化粧などがよく見られる。；穏やかな青白い顔には化粧跡はなく、よく手入れされた髪は染めてない。；広島県北西部では神方が着面せず、白塗りの化粧をして舞うことが多い。；白い化粧煉瓦を張った長い塀が、いかにも澄んだ冬の空気を映していた。；見ると御主人がお嬢さまにお化粧をしておあげになっているのでした。；主な商いは化粧屋・小間物屋であったが、中には薬屋などもあった。；鎌倉では化粧坂を越え北条高時を破ったがその後の消息は不明である。；現在では毛筆に加えて画筆・化粧筆の地域ブランドとして確立している。；実際、人に化粧を施すには業務独占資格である美容師免許が必要となる。；あの女は五十に近いくせに、寝るときにゃ化粧なんかしているんですからね。；母と女中とは前に立ち後ろに立ちして化粧を手伝う事だろう。</t>
        </is>
      </c>
      <c r="J2551">
        <f>HYPERLINK("https://www.weblio.jp/content/化粧", "词义详情")</f>
        <v/>
      </c>
      <c r="K2551">
        <f>HYPERLINK("https://yourei.jp/化粧", "查看例句")</f>
        <v/>
      </c>
    </row>
    <row r="2552">
      <c r="A2552" t="inlineStr">
        <is>
          <t>消す</t>
        </is>
      </c>
      <c r="B2552" t="inlineStr">
        <is>
          <t>成功</t>
        </is>
      </c>
      <c r="C2552" t="inlineStr">
        <is>
          <t>読み方：けす
［動サ五（四）］
１燃えている火をなくならせる。「たき火を—・す」「ろうそくを吹いて—・す」
２電気機器のスイッチを切ったり、ガス栓をひねったりして、その働きを止める。「電灯を—・す」「ガスを—・す」
３
㋐ぬぐったり塗ったりして、今まで見えていたものを見えなくする。「黒板の字を—・す」「壁の落書きを—・す」
㋑姿を見えなくする。行方をくらます。「忽然(こつぜん)と姿を—・す」
４
㋐今まであったものを取り去ってなくす。存在や形跡をなくす。「証拠を—・す」「痛みを—・す薬」
㋑吸収するようにして、音やにおいなどをなくす。「話し声が騒音に—・される」「魚の臭みを生姜(しょうが)で—・す」
５否定する。うちけす。
「何か手懸りは有りそうなものだねと、お京の言うを—・して」〈一葉・わかれ道〉
６空いた時間を費やす。時間をつぶす。月日を過ごす。
「それ迄は何処(どこ)かに時間を—・さなければならぬ」〈森田草平・煤煙〉
７殺す。「裏切者は—・せ」
８歌舞伎の用語。
㋐下座音楽をしだいに弱めていって止める。
㋑黒子などが舞台で不必要になったものを片付ける。
９非難する。けなす。
「その話は古いぞ古いぞと—・されければ」〈咄・露がはなし・一〉
10（「肝(きも)をけす」の形で）非常にびっくりする。肝をつぶす。
「沖に釣する舟をば敵(かたき)の舟かと肝を—・し」〈平家・灌頂〉
[可能]けせる</t>
        </is>
      </c>
      <c r="D2552" t="inlineStr">
        <is>
          <t>消すべく；消すまい；消すよう命じる</t>
        </is>
      </c>
      <c r="E2552" t="inlineStr">
        <is>
          <t>殺す；除く；削除；除去；絶滅</t>
        </is>
      </c>
      <c r="F2552" t="inlineStr">
        <is>
          <t>掻き消す；うち消す；全て消す；とり消す；踏み消す</t>
        </is>
      </c>
      <c r="H2552" t="n">
        <v>29</v>
      </c>
      <c r="I2552" t="inlineStr">
        <is>
          <t>いかにアメリカ人になりたがっても、過去二千余年の歴史は消されない。；いかに燃え出しても、この家にはそれを消そうとするものがありません。；それも他の風が来ると跡方もなく消されてしまうようなものかも知れない。；これは消すのが追いつかないだけであり、許可されていることではない。；雨は天井を打ち、それに消されて、ほかの音はほとんど聞こえなかった。；その後もその絵が上手く描かれているので絵は消されずに維持されていた。；私は首をふって、その言葉を大急ぎで頭の中から消そうとするのだった。；滝川は一瞬考えて、稜線沿いに移動して敵の視界から姿を消そうとした。；そこで氷が姿を消すまで2週間待ち、やがてゆっくりと東へ進み始めた。；そのせいで村人たちはいきなり明かりを消されたような感覚に包まれる。；そのため曲がかかっている時には列車の走行音が消されていることも多い。；その後は、国政の場では議論されなくなり、政治の表舞台から姿を消す。；藤井も同作を最後に日本テレビ系アニメの企画から姿を消す事となった。；たとえ先輩であろうと、わたしを消そうとするならもう我慢なんてしない。；地球では、都市の照明のため、星の光はほとんど消されてしまっている。；マークはこのスクリーンが消されているのをいままで見たことがなかった。；ここにはまだ一度も吹き消されたことのない神火が、細々と燃えている。；ただ、それは顔に出そうになる感情をこすって消そうとしていたのだろう。；西荻窪の街は夜の深い闇の中に存在自体を消そうとしているようだった。；これらの人々は、表向き奴隷から解放した後、すべて消されたのである。；調査していく中で魔法を知る者たちの記憶が次々と消されていく。；私はあなたが個人であることを消すためにここにいるのではない。；干草の束を部隊の通り道と港との間に置き、活動の音を消すようにした。；太極図のタトゥーは消すつもりだと述べていたが、現在も残されている。；そしていままた、第二の後継者と目されるこの石五郎さまを消そうとする。；その沈黙で、今計らずも立ててしまった音を消そうと思ったのである。；まず、すでにある写本を分解し、書かれた文字等を消すことから始める。；同時に迎えが来るので嵐が起きる、広瀬は逃げるように伝えて姿を消す。；慌てて手を離し、握り締めていた服の皺を必死に伸ばして消そうとした。</t>
        </is>
      </c>
      <c r="J2552">
        <f>HYPERLINK("https://www.weblio.jp/content/消す", "词义详情")</f>
        <v/>
      </c>
      <c r="K2552">
        <f>HYPERLINK("https://yourei.jp/消す", "查看例句")</f>
        <v/>
      </c>
    </row>
    <row r="2553">
      <c r="A2553" t="inlineStr">
        <is>
          <t>下水</t>
        </is>
      </c>
      <c r="B2553" t="inlineStr">
        <is>
          <t>成功</t>
        </is>
      </c>
      <c r="C2553" t="inlineStr">
        <is>
          <t>読み方：げすい
１住宅の台所・風呂場や、工場などから流れ出る汚れた水。⇔上水。
２下水を流す溝。下水道。下水管。</t>
        </is>
      </c>
      <c r="D2553" t="inlineStr">
        <is>
          <t>下水溝(8%)；下水汚泥(2%)；下水設備；下水工事；下水路</t>
        </is>
      </c>
      <c r="E2553" t="inlineStr">
        <is>
          <t>下水道；どぶ；汚水；下水管；下水溝</t>
        </is>
      </c>
      <c r="F2553" t="inlineStr">
        <is>
          <t>用地下水；都市下水</t>
        </is>
      </c>
      <c r="G2553" t="inlineStr">
        <is>
          <t>下水処理；下水管；下水内郡；下水処理施設；下水道事業</t>
        </is>
      </c>
      <c r="H2553" t="n">
        <v>29</v>
      </c>
      <c r="I2553" t="inlineStr">
        <is>
          <t>下水が流れこんでいる水の不快感にさえ目をつむれば簡単なことだった。；この人形はきっと、その下水から流れこんできたにちがいありません。；これは通りの下水の排水口からあがってくるものと同じものであった。；サーラは知らなかったが、そこはザーンの地下を流れる下水の川だった。；このことは私が前から気づいていたが下水で汚染した水の性質である。；あんな巨大なものが町の下水にいるということが信じられなかった。；下水はきれいにして水と泥にわけ、水は送りかえして工場用水に使います。；疫病の最初に病例は殆ど完全に下水を経てテムズ川の水を介していた。；そのうち、ついに一人が下水溝から脱出して、みんなを解放したのである。；その講釈によると、奉天には昔から今日に至るまで下水と云うものがない。；そしてそれらの欠陥のある稚魚は、惜しげもなく下水の中に捨てられた。；それから、シカゴの下水会社で喞筒の番人をやっているのもあるという。；建物が下水道に接続されていない場合、下水システムを考慮する必要がある。；町の下水の約半分はこの名前の川に入り、残りはハンバー川に棄てられた。；下水に流れこむ水の量はいっこうに減らず、むしろ増してゆくばかりだ。；泥に押し流され壁にぶつけられ、下水の汚物のように体は流されていく。；この一連の流行は飲料用の水が下水によって汚染されたために発生している。；公共の場所にどれだけ資本がはいっているか、道はどうか、下水はどうか。；静かな流れの中に身を沈め、下水溝のよどんだ流れをさかのぼって進む。；マンホールの下を流れている下水の水位も、相当あがっているはずだ。；私の足は細切れになってヴィラ・デステの下水を流れていったのだ。；その人の心の風景を常に流れていたに違いない、「己れをとほす」氷の下水。；朝になって雨がやんでも、下水に流れこむ水の量がすぐに減るわけではない。；これは下水施設の余剰となる容積率を活用して新ビルの規模を拡大するものである。；この崖の根元のところに、大きな下水が流れこんでいるんですよ。；普通なら下水に並行してついているはずの足場は、にごった波の下に沈んでいた。；下水がつまっているのか、ときどき胸の悪くなるような悪臭が漂ってくる。；この川に下水が捨てられ、内容は潮とともに行ったり来たりして浮かんでいた。；潮は取水場を何マイルも越えてそれとともに下水からのゴミを運んでいた。</t>
        </is>
      </c>
      <c r="J2553">
        <f>HYPERLINK("https://www.weblio.jp/content/下水", "词义详情")</f>
        <v/>
      </c>
      <c r="K2553">
        <f>HYPERLINK("https://yourei.jp/下水", "查看例句")</f>
        <v/>
      </c>
    </row>
    <row r="2554">
      <c r="A2554" t="inlineStr">
        <is>
          <t>削る</t>
        </is>
      </c>
      <c r="B2554" t="inlineStr">
        <is>
          <t>成功</t>
        </is>
      </c>
      <c r="C2554" t="inlineStr">
        <is>
          <t>読み方：へずる
［動ラ五（四）］《古くは「へつる」》
１削って取る。取って減らす。「小遣いを—・られる」
２上前をはねる。かすめ取る。「売り上げをこっそり—・る」
[可能]へずれる</t>
        </is>
      </c>
      <c r="D2554" t="inlineStr">
        <is>
          <t>削るような音；削るべき；削る場合及び加える</t>
        </is>
      </c>
      <c r="E2554" t="inlineStr">
        <is>
          <t>制限；減少；取る；低下；限定</t>
        </is>
      </c>
      <c r="F2554" t="inlineStr">
        <is>
          <t>大きく削る</t>
        </is>
      </c>
      <c r="H2554" t="n">
        <v>29</v>
      </c>
      <c r="I2554" t="inlineStr">
        <is>
          <t>そこは大きな肉の塊が、ナイフで削られたようにきれいに失われていた。；一分二分ずつ、隣とそことの境が削りとられてゆき、近づいてゆくのだ。；削った土の量では不足であったため、近隣の山からも土が運び込まれた。；県立博物館にある貴重品を削って球にするわけにはいかないでしょうから。；しかも北側の壁の方は、半分ほど削りとられて、大きな口をあけている。；いろいろなサイズの鉛筆に備え、多くの削り穴があいているものもある。；戦前に作られていた木うその中には、木肌を削らずに残したものもある。；それをチョウナで削って岩塩の部分を残してバーと呼ばれる板状にする。；こんなナイフで鉛筆を削るはずもなく、しかしただの飾りとも思えない。；かなりいい歳になってからリノリウムを削って作り始めた版画だという。；陸軍の予算を削った分を、海軍の強化に回すべきであると強調していた。；彼には削つた柱があり、こつちは、柱を削る道具さへも用意してゐない。；彼には削つた柱があり、こつちは、柱を削る道具さへも用意してゐない。；しばしば古いものは表面を削って再利用されたり裏を使ったりされた。；これが自分の命をどれくらい削る行為なのか、もはや予測もつかない。；斜面を削って作った平地に、崩れかけた寺のお堂がぽつんと立っている。；これまでに墳丘東側は墓地化しており、墳丘は大きく削平を受けている。；北側には住宅建設のために削られた部分があり、西側には鉄道が通っている。；其中一番古くからあつて、一番長く伝はつて居るのは、削り掛けである。；彼は己の末路を理解したのか、やがて削板の顔を見上げてこう言った。；二十万石の大大名が改易削封になれば、何百何千人の難儀ばかりでない。；斜面を削った土を盛って二台止められる駐車場と十五坪の庭が確保できた。；そこは商売側も考慮し、駐車用の敷地を削って店自体を拡大している。；あの若さで、身を削るような思いをしてるんだなあと思うとせつなくなる。；それは小屋の前の火山灰質の地面を削って其処いらを泥流と化していた。；すでに古代樹の幹は半分ほどが削れ、いつ倒れてもおかしくない様子だ。；タルバーグの役割は予算を削られないようレムニと対応することだった。；削られた跡は深い谷となり、現在の地形ができあがったと考えられている。；正にひと撥ずつ命を削って音を出されているように私には聞こえます。</t>
        </is>
      </c>
      <c r="J2554">
        <f>HYPERLINK("https://www.weblio.jp/content/削る", "词义详情")</f>
        <v/>
      </c>
      <c r="K2554">
        <f>HYPERLINK("https://yourei.jp/削る", "查看例句")</f>
        <v/>
      </c>
    </row>
    <row r="2555">
      <c r="A2555" t="inlineStr">
        <is>
          <t>桁</t>
        </is>
      </c>
      <c r="B2555" t="inlineStr">
        <is>
          <t>成功</t>
        </is>
      </c>
      <c r="C2555" t="inlineStr">
        <is>
          <t>読み方：けた
１家などで、柱の上に横に渡して垂木(たるき)を受ける材。梁(はり)と打ち違いになる。
２橋で、柱脚上の長手方向にあって橋板を支える水平材。はしげた。
３そろばんの珠(たま)を縦に貫く串(くし)のような棒。
４位取り記数法によって数を表したときの、並んでいる数の位置。位(くらい)。「—を間違える」</t>
        </is>
      </c>
      <c r="D2555" t="inlineStr">
        <is>
          <t>桁勝利(9%)；桁本塁打(2%)；桁得点(2%)；桁着順(2%)；桁目</t>
        </is>
      </c>
      <c r="E2555" t="inlineStr">
        <is>
          <t>横木；トラバース；横梁</t>
        </is>
      </c>
      <c r="F2555" t="inlineStr">
        <is>
          <t>一桁；主桁；三桁；トラス桁；箱桁</t>
        </is>
      </c>
      <c r="G2555" t="inlineStr">
        <is>
          <t>桁行；桁外れ；桁橋；桁数；桁はずれ</t>
        </is>
      </c>
      <c r="H2555" t="n">
        <v>29</v>
      </c>
      <c r="I2555" t="inlineStr">
        <is>
          <t>そこから転じて、2桁以上の数の全桁が同じ数字で構成されていること。；州道はその重要さと場所に応じて1桁から4桁の番号が付けられている。；このため、車両番号は正面非常扉の白色部の下に4桁表示で記載された。；そのため、2007年は一度も二桁勝利を挙げることが出来なかった。；各形式とも同一編成中で下2桁は同番号または同番号+50となっている。；自己最多の6勝を挙げたが、目標としていた2桁勝利には届かなかった。；総合通信局から与えられるコールサイン5桁目の数字順に記載している。；車両には4桁の番号が付けられており、以下の規則に基づいている。；またこの主翼の主桁は左右一体構造で作られた頑丈なものであった。；最終行は3桁の応答コードの直後にスペースをつけ、テキストを続ける。；桁が上がるごとに左へ桁をずらしながら書いていき最後に足し合わせる。；車両番号はカタカナの記号の下に書かれている一桁以上の数字である。；球団で新人投手が二桁セーブを挙げるのは当時初めてのことだった。；またUNIVACなどのコンピュータでは丸穴の90桁のカードが使われた。；さらにP-1側が若干カーブするなど他の主桁とは形状が著しく異なる。；更に先発投手陣が総崩れとなり、2桁勝利を挙げた投手は皆無であった。；結果、革命を支持した民衆も離反し、最終的に支持率が一桁に落ち込む。；簡単な応用として複数桁の整数同士も同じように求める事ができる。；月日にもソートを行うために二桁になるように数字を加えている。；視聴率は当初苦戦していたが、次第に2桁を取る週が出るようになる。；シーズンでは112試合に出場し、本塁打も3年ぶりに2桁を到達した。；各形式とも固定編成中で下2桁は同番号または同番号+50となっている。；その後も、2005年10月以降はほぼ2桁台の視聴率を維持していた。；主構造は主桁など、床構造を支えて荷重を下部構造に伝達する役割がある。；そのため軌道桁から床面までの距離を詰められるという特徴があった。；英字記号の次の数字は年式を表し、製造年の西暦の下1桁が用いられる。；車両には4桁の番号が付けられており、以下の法則に基づいている。；結果的に馬超・韓遂らの反乱を招いたため、死者は5桁に上ったという。；このように中央大橋では主塔、主桁、ケーブルの全てが白で統一されている。</t>
        </is>
      </c>
      <c r="J2555">
        <f>HYPERLINK("https://www.weblio.jp/content/桁", "词义详情")</f>
        <v/>
      </c>
      <c r="K2555">
        <f>HYPERLINK("https://yourei.jp/桁", "查看例句")</f>
        <v/>
      </c>
    </row>
    <row r="2556">
      <c r="A2556" t="inlineStr">
        <is>
          <t>下駄</t>
        </is>
      </c>
      <c r="B2556" t="inlineStr">
        <is>
          <t>成功</t>
        </is>
      </c>
      <c r="C2556" t="inlineStr">
        <is>
          <t>読み方：げた
１木をくりぬき、歯を作りつけにし、台部に三つの穴をあけて鼻緒をすげた履物。歯はふつう2本で、別の材を差し込むものもある。
２活字印刷の校正刷りで、必要な活字がないときに活字を裏返して入れる伏せ字。下駄の歯のような形「〓」をしている。伏せ字。
[下接語] 東(あずま)下駄・駒(こま)下駄・差し下駄・薩摩(さつま)下駄・高下駄・田下駄・堂島(どうじま)下駄・庭下駄・塗り下駄・のめり下駄・引き摺(ず)り下駄・日和(ひより)下駄・雪下駄・露地下駄</t>
        </is>
      </c>
      <c r="D2556" t="inlineStr">
        <is>
          <t>下駄屋(6%)；下駄をはい(4%)；下駄箱；下駄音；下駄穿き</t>
        </is>
      </c>
      <c r="E2556" t="inlineStr">
        <is>
          <t>サボ</t>
        </is>
      </c>
      <c r="F2556" t="inlineStr">
        <is>
          <t>女下駄；新しい下駄；塗下駄；鉄下駄；朴歯下駄</t>
        </is>
      </c>
      <c r="G2556" t="inlineStr">
        <is>
          <t>下駄履き；下駄記号；下駄スケート；下駄占い；下駄履</t>
        </is>
      </c>
      <c r="H2556" t="n">
        <v>29</v>
      </c>
      <c r="I2556" t="inlineStr">
        <is>
          <t>私は自分が下駄を引きずってすさんだ歩き方をしているのに気がついた。；家に入るときに外への短い散歩のために木製の下駄が用意されている。；その推定は被害者の家で発見された女の下駄によって確かめられました。；犬に靴をもって行かれたままだから、仕方なく下駄をはいて来たのであった。；彼も妻も低い下駄、草鞋、ある時は高足駄をはいて三里の路を往復した。；現代の生活では下駄を履き慣れないため、転んで怪我をする場合もある。；下駄を二三度鳴らして、一間ほど来たとき、女も余と同じ平面に立った。；下駄は二個所斜に鋸を入れてあるので丁度三枚の齒があるやうに見える。；敬太郎が二階から玄関へ下りた時は、例の女下駄がもう見えなかった。；彼が下駄をはいて、父のそばに立った時には、彼はもうけろりとしていた。；他にも体重が重かったことから通常の下駄ではすぐすり減ってしまった。；僕の穿いていた一円の下駄が割れたら十二銭のやつを買って穿かせました。；誰だってこんな下駄を穿いているのは気持がよくありませんからな。；四人は、一列になって深い雪から下駄を抜きながら絵馬堂の方へ行った。；長谷川は急いで降りてゆき、玄関の下駄をつっかけて、見に行ってみた。；あたしあの時なんでも構はず出てゐる下駄を突つかけて出た覺えがあるの。；わからんことはない、小林さだ子の下駄だとお前の妻は云うているのだ。；中国北部や朝鮮半島では下駄の使用が元々一般的でなく現在は使用されていない。；彼は帆村が下駄をはいて上ってきたのに、すこし呆れている風だった。；平安時代末期に描かれた絵には、鼻緒のある下駄が描かれている例がある。；家を出る時、自分でも知らないで下駄を持って来たものと見える。；気が付いた時はもう、足早な下駄の音が路次から出て来かかっていた。；考えるともなく考えているミネの耳に、片びっこの下駄の音が聞えてきた。；とかく文部省はやかましい事を言うが、私はその下駄論者だったと言う。；私はこの下駄屋では新聞代の代りに下駄や草履をもらったこともある。；どの下駄が足によくあうかは、足にあてて見なければわかりません。；足は一本歯の下駄のようになっており、白くて長いたてがみを持つ。；ここにて下駄をぬぐべしと云うような制札がまったくどこにもないのである。；下駄の音は、門をはいってから、忍び足をしているのか、低くなっていた。</t>
        </is>
      </c>
      <c r="J2556">
        <f>HYPERLINK("https://www.weblio.jp/content/下駄", "词义详情")</f>
        <v/>
      </c>
      <c r="K2556">
        <f>HYPERLINK("https://yourei.jp/下駄", "查看例句")</f>
        <v/>
      </c>
    </row>
    <row r="2557">
      <c r="A2557" t="inlineStr">
        <is>
          <t>桁違い</t>
        </is>
      </c>
      <c r="B2557" t="inlineStr">
        <is>
          <t>成功</t>
        </is>
      </c>
      <c r="C2557" t="inlineStr">
        <is>
          <t>読み方：けたちがい
［名・形動］
１そろばんの桁を違えること。数の位取りを間違えること。
２価値や規模などが、他と比較にならないこと。また、そのさま。桁はずれ。「あの横綱は—な（の）強さだ」</t>
        </is>
      </c>
      <c r="D2557" t="inlineStr">
        <is>
          <t>桁違いに大きい(4%)；桁違いに大きく(3%)；桁違いに多い(3%)；桁違いに小さい；桁違いに少ない</t>
        </is>
      </c>
      <c r="E2557" t="inlineStr">
        <is>
          <t>非常；特別；異常；上手；異例</t>
        </is>
      </c>
      <c r="H2557" t="n">
        <v>29</v>
      </c>
      <c r="I2557" t="inlineStr">
        <is>
          <t>その軽妙な足捌きひとつで、前の踊り娘とは桁違いの腕とわかるほどだ。；何も考えていないけど、この結界自体は桁違いの技術でくくられている。；この教師は地方の素封家の一人息子で、桁違いの財産家だったのである。；シマロンは大陸の殆どを領土化していたから、兵の数は桁違いだった。；これらは同時期に出現する他の敵に比べて桁違いな強さを持つ。；前にもいくつか敵の基地を襲ったこともあったけど、それらとはけた違いだ。；そしてそれまでとは桁違いのスピードで、赤い聖機人に襲いかかった。；桁違いの破壊力で生命そのものを萎えさせてしまうような力があった。；桁違いがわるいとは言わないが、それより女の素行を調べる必要がある。；しかもそれは他のさまざまな大量の商品と宣伝競争ができるような桁違いの金だ。；蓋し氷河期の災禍は世界の有する工業力とは桁ちがいに激甚なのである。；どこへ行っても彼の日常からは桁違いの高級な雰囲気があって、息がつまりそうになる。；エスパーは、それとは桁違いに大きな能力を持っているだけの話だ。；空港施設の巨大さと旅客の数は、乗りこんだ空港とはけたちがいだった。；その際、パワーとスピードが桁違いに上がっている描写が見られた。；これは、強磁性の効果の方が反磁性よりも桁違いに大きいからである。；訳の分からないコンセプトだが、間違いなくこの人形は桁違いに強かった。；作者のどこかけた違いの志と芸術的意図が写真の門からは感じられるようだった。；だが一般相対性理論はそれと桁ちがいに重要な内容を含んでいる。；名古屋を中心とする中京圏では、量やサービスが他地域と桁違いなことで知られる。；ところがそれがまるで桁ちがいの数字であったのである。；ただ一つ計算違いがあるとすれば、それはこの敵の持つ桁違いのスピードとパワー。；アシュトの宇宙船を知っているものは全然桁ちがいの規模に慣れているのだ。；だからその辺の人間とは抵抗力がけた違いなはずよ。；千が百とは桁ちがいにちがいないが、この際ぜいたくは言えないし商売にはなるからだ。；流行の正義をかざして来るだけの彼らとは、持っている情報の量が桁違いである。；身長だけならさほどでもないものの、とにかく筋肉の総量が桁違いなのだ。；剣尖から、これまでとは質量ともに桁ちがいの妖気が吹きつけてくる。；紫虹の場合は、雷蔵にくらべると、桁ちがいにことが重大なはずである。</t>
        </is>
      </c>
      <c r="J2557">
        <f>HYPERLINK("https://www.weblio.jp/content/桁違い", "词义详情")</f>
        <v/>
      </c>
      <c r="K2557">
        <f>HYPERLINK("https://yourei.jp/桁違い", "查看例句")</f>
        <v/>
      </c>
    </row>
    <row r="2558">
      <c r="A2558" t="inlineStr">
        <is>
          <t>獣</t>
        </is>
      </c>
      <c r="B2558" t="inlineStr">
        <is>
          <t>成功</t>
        </is>
      </c>
      <c r="C2558" t="inlineStr">
        <is>
          <t>読み方：けだもの
《毛の物の意》
１全身に毛が生え、4足で歩く哺乳動物。けもの。
２人間としての情味のない人をののしり卑しんでいう語。</t>
        </is>
      </c>
      <c r="D2558" t="inlineStr">
        <is>
          <t>獣たち(4%)；獣じみ；獣舎；獣骨；獣面</t>
        </is>
      </c>
      <c r="E2558" t="inlineStr">
        <is>
          <t>動物；生物；生き物；生体；鳥獣</t>
        </is>
      </c>
      <c r="F2558" t="inlineStr">
        <is>
          <t>汚染獣；幼獣；巨獣；早駆け獣；騎獣</t>
        </is>
      </c>
      <c r="G2558" t="inlineStr">
        <is>
          <t>獣人；獣脚類；獣のように；獣医師；獣医学</t>
        </is>
      </c>
      <c r="H2558" t="n">
        <v>29</v>
      </c>
      <c r="I2558" t="inlineStr">
        <is>
          <t>獣の姿をした生物群と共存し、白を基調としたヨーロッパ的文化の世界。；山伏は鉄杖で獣を叩き殺し、自分の役目は終わったと言って村を去った。；吸収した獣の技はMPを消費して召喚を行うことで使うことができる。；単独もしくは母親と幼獣からなる数頭の群れを形成することが多い。；獣戦士よりも高い知能を有し、ガルス以外は人間を模した顔をしている。；その専用武器ごとに「心獣解放技」と呼ばれる必殺技を放つことが可能。；熊などの大型獣を昇降できるように重量は300kgまで対応していた。；獣害の報告の都合などもあって科学的な分類は明治期に開始された。；ペアもしくはその幼獣から構成される小規模な群れを形成し、生活する。；投げ縄で獣を捕らえるようにして虫を捕らえることが名の由来である。；狐という字が使用されているが、鳥・獣・人の画像が使用されるものである。；その力こそが悟郎の前世が奪った四聖獣の力の源である獣神具であった。；鉄也のグレートマジンガーは初出撃で戦闘獣を一蹴してその力を示した。；戦闘時は獣のような腰を落とした姿勢で走るのが特徴である。；そこで目にしたのは調査隊に化けていた超古代怨念翼獣シビトゾイガー。；巨大な機械獣を駆使して犯罪行為を行う輩が跳梁跋扈し始めたのである。；過去に確認されたことのないその獣は日本のものではないということしかわからない。；道具は専ら木や石・大型獣の皮などを利用して作られている。；姿は人間に近いものの、顔は獣のようで、高い鼻、長い耳と牙を持つ。；機動性を重視し、機体重量を軽くするために装甲に強獣の骨を用いている。；そして夜になると冬木の町は謎の獣とそれを率いるように立つ少女が現れるようになる。；鼻行類は、同名の書籍に掲載された、想像上の生物である小獣の一群。；優勝して自分の風雲拳の最強を証明すべく、獣神武闘会への出場を決めた。；蒙恬が獣の毛を集めて作り、始皇帝に献上したのが筆の始まりとされていた。；人類が手も足も出なかったラダム獣を事もなく打ち砕いてみせた。；一般的にはカバもしくはサイに似た獣の姿で描かれることが多い。；この法律により、と畜場以外の場所での獣畜のと殺・解体は規制される。；インサラウムの準騎士クラスの戦士および機体が次元獣と化したクラス。；人外の青の獣と白の獣が目付黒衣衆によって捕らえられようとしていた。</t>
        </is>
      </c>
      <c r="J2558">
        <f>HYPERLINK("https://www.weblio.jp/content/獣", "词义详情")</f>
        <v/>
      </c>
      <c r="K2558">
        <f>HYPERLINK("https://yourei.jp/獣", "查看例句")</f>
        <v/>
      </c>
    </row>
    <row r="2559">
      <c r="A2559" t="inlineStr">
        <is>
          <t>けち</t>
        </is>
      </c>
      <c r="B2559" t="inlineStr">
        <is>
          <t>成功</t>
        </is>
      </c>
      <c r="C2559" t="inlineStr">
        <is>
          <t>［名・形動］
１（「吝嗇」とも書く）むやみに金品を惜しむこと。また、そういう人や、そのさま。吝嗇(りんしょく)。「何事につけても—な男だ」
２粗末なこと。価値がないこと。また、そのさま。貧弱。「—な賞品をもらった」
３気持ちや考えが卑しいこと。心が狭いこと。また、そのさま。「—な振る舞いをするな」「—な料簡」「—な根性」
４縁起の悪いこと。不吉なこと。また、難癖(なんくせ)。
５景気が悪いこと。また、そのさま。不景気。
「あんまり—な此の時節」〈浄・矢口渡〉
[派生]けちさ［名］</t>
        </is>
      </c>
      <c r="D2559" t="inlineStr">
        <is>
          <t>けちんぼ(8%)；けち臭い(2%)；けちな男；けちな野郎；けちな根性</t>
        </is>
      </c>
      <c r="E2559" t="inlineStr">
        <is>
          <t>哀れ；安価；不良；粗末；貧弱</t>
        </is>
      </c>
      <c r="F2559" t="inlineStr">
        <is>
          <t>あけち；こんなけち；負けち；あんなけち；ひどいけち</t>
        </is>
      </c>
      <c r="G2559" t="inlineStr">
        <is>
          <t>けちくさい；けちん坊；けちら；けちらし；けちんぼう</t>
        </is>
      </c>
      <c r="H2559" t="n">
        <v>29</v>
      </c>
      <c r="I2559" t="inlineStr">
        <is>
          <t>何度もけちがついているのだから、あんなものは捨ててしまうと言った。；雇われる前にちゃんと会ってあのけちなすみかも見ておくべきでしたよ。；女の頭お前のような毒竜は、毒竜仲間で けちにしていなさるが好い。；そういった学校の教科書で教えられるようなそんなけちな知識ではない。；兄い、まさかお前が自分で書くようなけちな真似はしねえだろうな。；あんたみたいな、けちな男の子どもなんか、私だって生みたくないわよ。；ぼくを迎えたおまえの態度に、けちをつけようなどと思っているわけではない。；あなたは自分が疚しいものだから、私にもけちをつけたいんでしょう。；客が付いたのか、けちが付いたからか、暗がりへと去って行ったのだ。；この家は、けちんぼということで、町でもだれ知らぬはなかったのです。；ところが世の人から少しも爪はじきされないけちんぼがたくさんいる。；そうなったら、けちな銀行もコストがどうのこうのいうてる場合やない。；明らかに、だれ一人そいつの権威にけちをつけようとするものはいなかった。；実際、私たちは、船長の命令で、薪には幾分けちなくらいであったのだ。；それで、あたしはあの人のことを、けちだといって攻撃したんです。；三好屋の二階には、深夜、けちな賭博の集りなどもあるらしいとのこと。；ソフィー・ヌヴーの妙な横槍でけちがついたものの、大きな影響はない。；けち兵衛さん、あまりの寒さに、ふとんにはいっても寝つかれません。；あの人がどうなろうと、あたしの知ったことじゃないわ、けちなちびなんか。；そのうえ法律文書の作成は心得たもの、だれにもけちはつけられなかった。；たとえば、けちだと言われまいと思って知行を多く与える類である。；役にたつとしたら自分のけちなプライドを満たそうとする場合だけだ。；だが、不幸は、多くの場合、人をけちな、執念深い人間にするばかりだ。；この青年は合理主義者といわれていたが、実はけちな男であった。；しかしその利益たるや到底六分の配當は不可能な位けち臭いものなのだ。；自分の家族だからけちになり力を入れてくれないのだ。；伯爵の悪口を言うたねが見当らぬままに、彼は伯爵がけちであると言ったのだ。；会議などの席上、他人の意見に対してけちをつけずにいられない性格。；しかしその結果は反対に、けちな男だと思われるだけなのだ。</t>
        </is>
      </c>
      <c r="J2559">
        <f>HYPERLINK("https://www.weblio.jp/content/けち", "词义详情")</f>
        <v/>
      </c>
      <c r="K2559">
        <f>HYPERLINK("https://yourei.jp/けち", "查看例句")</f>
        <v/>
      </c>
    </row>
    <row r="2560">
      <c r="A2560" t="inlineStr">
        <is>
          <t>決</t>
        </is>
      </c>
      <c r="B2560" t="inlineStr">
        <is>
          <t>成功</t>
        </is>
      </c>
      <c r="C2560" t="inlineStr">
        <is>
          <t>読み方：けつ
［音］ケツ（漢）ケチ（呉）　［訓］きめる　きまる
［学習漢字］3年
１えぐられて切れる。「決河・決壊・決裂」
２きっぱりとどちらかにきめる。きまる。「決意・決議・決算・決心・決戦・決断・決着・決定／解決・自決・先決・対決・判決・未決・論決」
３可否をきめること。「可決・採決・否決・票決」
４思い切って。きっぱりと。「決然」
５（「蹶(けつ)」と通用）急にはね起きるさま。「決起」
６（「訣(けつ)」と通用）わかれる。「決別」
[補説] 「决」は俗字。
［名のり］さだ</t>
        </is>
      </c>
      <c r="D2560" t="inlineStr">
        <is>
          <t>決つてゐる(8%)；決斗(4%)；決まつ(3%)；決つた(3%)；決答(2%)</t>
        </is>
      </c>
      <c r="E2560" t="inlineStr">
        <is>
          <t>最後；落；落ち；結局；終わり</t>
        </is>
      </c>
      <c r="F2560" t="inlineStr">
        <is>
          <t>決つて居り；口決；マル決；ヲ決；秘決</t>
        </is>
      </c>
      <c r="G2560" t="inlineStr">
        <is>
          <t>決して；決め；決勝；決意；決心</t>
        </is>
      </c>
      <c r="H2560" t="n">
        <v>29</v>
      </c>
      <c r="I2560" t="inlineStr">
        <is>
          <t>第三の市民 まだあの男と決つた訳ではない、これからでも拒否できる。；制限時間内に勝負が決しない場合はチームの総体力が多い方の勝ちとなる。；決局、プロの現場に残った者はほとんどおらず、みんなカタギになった。；次の瞬間には彼は今までとは全く別な決斷的の態度で門内に入つた。；再び町へ戻り神父に相談をすると、考えあぐねた末に神父が決を下した。；どんなに苦しくても、それは自分で決 着をつけねばならないことだ。；簡単な決をとるだけなので、十分ほどで終わるという話だったんです。；だから俺は言つたのだ、あの男が追放と決つた時、そいつは不当だとね。；その日の夜だったら僕はここで『印判秘決集』と云う珍本を読んでいた。；執行部門はその名前のとおり、決策局が決定した政策を実行する部門である。；何よりも、一流の人物の文章ならあるに決つてゐる生気がまつたくない。；戦の勝敗が決しないうちは彼女が生きていたほうが都合《つ ごう》がよい。；俺の人種が立ち上つたのは掠奪の時と決つてゐた、死肉を漁る狼の様に。；またそのエネルギーを用うる破壊力は瞬間に戦争の決を与える力ともなるであろう。；けふは拙者がお孃さんのお相手をすることに、昨日から決まつてゐるのだ。；はじめの交渉の仕方一つで、どうにでもなるんで、決つた標準は無いのやでなあ。；あなたはあの人とヴァルドルジュ侯との決鬪の話を聞いた事はありませんか。；仮りに何方かに決つた所でそれで何か出て来るといふわけのものでもありますまい。；もし、そういう羽目にもなれば、自分一人だけの所決にしようと決心しました。；形ちは違つても結局以上のやうなものになるに決つてゐた。；ジョージ・デュランド卿は、全くの話が、ごく有名な決律家なのだった。；規定時間終了時点で勝敗が決しない場合は、PK方式にて勝者を決定する。；そして五万部出すといふ危険は冒さなかつた、決局五百部にきめたのである。；待時決は之を秋から以後に行ひますから、或は秋後決とも云ひます。；もちろんこれだけの店だから、鮪だつていいに決つてゐるけれど。；一つの毛孔から一本の毛が出るものとは決まつてゐない。；自由とは、自己のあり方を、自己の責任において決しうることをいう。；最後の決に到着するまでに、彼女がどんな路を辿ったかは想像に難いことではない。；教誨師の講話なんて面白くないのに決つてゐるからみんな喜んだのだ。</t>
        </is>
      </c>
      <c r="J2560">
        <f>HYPERLINK("https://www.weblio.jp/content/決", "词义详情")</f>
        <v/>
      </c>
      <c r="K2560">
        <f>HYPERLINK("https://yourei.jp/決", "查看例句")</f>
        <v/>
      </c>
    </row>
    <row r="2561">
      <c r="A2561" t="inlineStr">
        <is>
          <t>血圧</t>
        </is>
      </c>
      <c r="B2561" t="inlineStr">
        <is>
          <t>成功</t>
        </is>
      </c>
      <c r="C2561" t="inlineStr">
        <is>
          <t>読み方：けつあつ
血液が動脈血管内を流れているときに示す圧力。ふつう上腕部で測る。心臓が収縮して血液を送り出したときの最大血圧（収縮期血圧）と、弛緩(しかん)したときの最小血圧（拡張期血圧）とで示す。</t>
        </is>
      </c>
      <c r="D2561" t="inlineStr">
        <is>
          <t>血圧低下(7%)；血圧上昇(5%)；血圧降下作用；血圧値；血圧腎症</t>
        </is>
      </c>
      <c r="F2561" t="inlineStr">
        <is>
          <t>正常血圧；急激な血圧；高値血圧；血圧上昇作用；血圧上昇抑制</t>
        </is>
      </c>
      <c r="G2561" t="inlineStr">
        <is>
          <t>血圧測定；血圧反射機能；血圧降下剤；血圧上昇ホルモン</t>
        </is>
      </c>
      <c r="H2561" t="n">
        <v>29</v>
      </c>
      <c r="I2561" t="inlineStr">
        <is>
          <t>モクロベミドでは血圧上昇作用は低く、通常の食事では問題とならない。；あれ以来血圧の高くなっている閑子はのぼせたような顔をいつもしていた。；その他にも、血圧上昇抑制作用や抗腫瘍作用などがあるとの報告がある。；おれと二人きりになっちゃったら、血圧が急上昇して倒れてしまうのでは。；血圧の方がなんでもなかったら、帰りに眼鏡屋へ寄ってきましょうよ。；東京ダイヤルが始まる時間になると自然と血圧があがったといわれる。；血圧は下ったけれども仕事ができなくなったじゃ、お困りでしょうからね。；魚に高血圧があるかどうかは知らぬが、イロンがそうでなかったのは確かだ。；はっきりいうと、あなたがここへこられた日の血圧はかなり危険な状態でした。；これは、血圧が、測定限界値未満にまで下がっていることを示している。；自分はただ、思いのほか血圧が高かったことに強い衝撃を受けただけなのだ。；これだけのことを言うのに、血圧が倍は上がったような気がする。；さっきはよくわからなかったんだけど、血圧がひどく高いんですって?；血圧ってやつは、自分で高いと意識すると、それ以上に高くなるんですよ。；急に寒い部屋に来て、血圧を高めたのかも知れないと、啓造は気づいた。；だが聖美の血圧はすぐには下降せず、一〇〇前後をいったりきたりしていた。；血圧値は家族性であると思われるが、明確な遺伝パターンは確認されていない。；心臓をはじめとする内臓には疾病はないし、血圧が高いわけでもない。；これからは、血圧を訊かれたら、百二十と七十と答えることにします。；死を意識した人間の強度の血圧亢進によるものとも考えられるからである。；でも、血圧が下って仕事ができなくなったという話は聞いたことがありません。；このとき田中の血圧は二〇〇にハネ上がり、血尿が出ていたのである。；酸素はマスクから供給されるが心拍も血圧も乱れ、息が早くなっていた。；義男の血圧が高いことばかり、しきりに心配していたような気がする。；その代わり、冬の間は彼女に血圧の測り方を習って孝夫が行くことにした。；頚動脈洞反射の性質上、その時の血圧状態が一番落ちやすさに影響する。；何となく体の不調を感じて、急に血圧が心配になったのかもしれないですね。；血圧を低下させる作用からか抑制系の反応が現れることもある。；現在の血圧は百十八と七十二、脈拍は六十の数字を示していた。</t>
        </is>
      </c>
      <c r="J2561">
        <f>HYPERLINK("https://www.weblio.jp/content/血圧", "词义详情")</f>
        <v/>
      </c>
      <c r="K2561">
        <f>HYPERLINK("https://yourei.jp/血圧", "查看例句")</f>
        <v/>
      </c>
    </row>
    <row r="2562">
      <c r="A2562" t="inlineStr">
        <is>
          <t>決意</t>
        </is>
      </c>
      <c r="B2562" t="inlineStr">
        <is>
          <t>成功</t>
        </is>
      </c>
      <c r="C2562" t="inlineStr">
        <is>
          <t>読み方：けつい
［名］(スル)自分の意志をはっきりと決めること。また、その意志。決心。「—の程を語る」「固く—する」
→決心［用法］</t>
        </is>
      </c>
      <c r="D2562" t="inlineStr">
        <is>
          <t>決意する(16%)；決意表明；決意ス；決意シ；決意ハ</t>
        </is>
      </c>
      <c r="E2562" t="inlineStr">
        <is>
          <t>決定；判断；結論；覚悟；決心</t>
        </is>
      </c>
      <c r="F2562" t="inlineStr">
        <is>
          <t>固い決意；断固たる決意；固く決意；重大な決意；悲壮な決意</t>
        </is>
      </c>
      <c r="H2562" t="n">
        <v>29</v>
      </c>
      <c r="I2562" t="inlineStr">
        <is>
          <t>コミューン指導者たちは各々死を決意してそれぞれの死を選んでいった。；そして、人々の笑顔を守るために蘇った怪人たちと戦うことを決意する。；母の小与は実家の田舎で留加をつれて暮らすことを決意し、町を去った。；この事件は、北条家に降伏を決意させることとなったといわれている。；それを聞いたア太郎は無理を承知の上で花を咲かせることを決意する。；事件は、彼に反対勢力を徹底的に根絶する決意を固めさせたといわれる。；地元のバンドコンテストで優勝したことがきっかけでプロを目指すことを決意。；この曲の持つ凄味は禁酒の決意からくる反応と説明することも可能といえる。；孫策はこれを契機に袁術からの独立を決意し、完全な自立勢力となった。；有王から娘の手紙を受け取った俊寛は死を決意して、食を断ち自害した。；そのため結局国王はボールドウィンに組閣の大命を与えることを決意した。；彼は元の自分とは出来るだけ違った、新しい人間になろうと決意したのである。；作者自身の自主避難体験を描くことを決意していたことも連載の中で描かれている。；現地の決意であるべきで常時編成しておくようなものではない。；時は流れ、成長した主人公は、帰らぬ父を捜すために旅立つ決意をする。；養成所を訪れた2人は、師匠と再会し叱咤され舞台への復帰を決意する。；そこで陣営は、これまで避けてきた長距離の遠征への挑戦を決意する。；平和を愛するダイ族は戦いを決意し、その日から長い戦いが始まった。；この間に自殺を心配した母親が島を訪れたこともあり、学校を続けることを決意する。；そして彼は自らがその旗印として帝位請求者にならんと決意したのである。；また、大学のボート部に参加しようと決意したことも状況を変える効果をもたらした。；復活した洋は、ネオショッカーから人類を守るために戦うことを決意する。；女王によれば、この時ピールは決意に満ちた表情であったという。；ヒトラーがホロコーストを決意したのは1941年夏であったと言われる。；その後厚生経済学及び社会的選択理論の研究者になることを決意した。；ヴェルレーヌはランボーとの関係を終わりにして妻のもとに帰る決意をしていた。；戦犯裁判の評決の発表の後、マンネルヘイムは大統領の辞職を決意した。；しかし、右肩痛を発症したことをきっかけに、現役からの引退を決意した。；赤い沼の水で回復した楠見博士たちは、再び実験を開始することを決意する。</t>
        </is>
      </c>
      <c r="J2562">
        <f>HYPERLINK("https://www.weblio.jp/content/決意", "词义详情")</f>
        <v/>
      </c>
      <c r="K2562">
        <f>HYPERLINK("https://yourei.jp/決意", "查看例句")</f>
        <v/>
      </c>
    </row>
    <row r="2563">
      <c r="A2563" t="inlineStr">
        <is>
          <t>欠員</t>
        </is>
      </c>
      <c r="B2563" t="inlineStr">
        <is>
          <t>成功</t>
        </is>
      </c>
      <c r="C2563" t="inlineStr">
        <is>
          <t>読み方：けついん
定員に満たないこと。また、その数。「—が出る」「—を補充する」</t>
        </is>
      </c>
      <c r="D2563" t="inlineStr">
        <is>
          <t>欠員補充(9%)；欠員状態；欠員充当；欠員無投票；欠員状況</t>
        </is>
      </c>
      <c r="E2563" t="inlineStr">
        <is>
          <t>空き；空席</t>
        </is>
      </c>
      <c r="H2563" t="n">
        <v>29</v>
      </c>
      <c r="I2563" t="inlineStr">
        <is>
          <t>具体的には欠員の数が以下の人数に達したときに補欠選挙が実施される。；支配は二人であることもあり一人は欠員のままであることもあります。；後述の理由で選挙は行われなかったので欠員が補充されることはなかった。；そのため、どの艦でも欠員のために大なり小なり運用に支障が生じていた。；大統領が欠員した場合は、首相と下院議長が共同で大統領職を代行する。；第2回以降は欠員補充のため下位当選の何人かが半期議員となっている。；これと同時に、上院の2つの欠員を埋めるための特別選挙も実施される。；その欠員を埋めるためのオーディションで選ばれたのがオリビアである。；大統領に欠員が生じた場合は、30日以内に後任の大統領を選出する。；グランプリシリーズに欠員が出た際に、派遣選手決定に影響を与える。；しかし欠員の募集難で、もしかしたら質が低下するおそれがあるのです。；ドイツでは各省庁が欠員状況などに応じて競争試験を実施して採用を決定する。；中国では通常欠員とされる介が正式におかれ四等官がそろっている。；それにともない欠員が生じ、同年6月に大東町議会議員選挙が行われた。；この規定は主に欠員が生じた場合適用されることがある。；前述の欠員補充募集が開始された1988年以降では以下の年で実施された。；欠員がなけりゃ、おまえがいくら望んだって、それは通るもんじゃない。；次から次へと欠員ができ、それを補充する熟練兵が払底しているのだ。；また欠員がある州・地域ではその憲法で定られている場合に特別選挙が実施される。；数日前までは、締切時間には、わずか五人か六人の欠員しかなかった。；もっともこの原則は、中納言の地位に欠員が出来なければ昇進は不可能であった。；また、大統領の欠員時には後任の大統領が選出されるまで大統領代行を務める。；基本的に定員制を取っているために、欠員が出たパートのみを募集する。；編輯員の二人までがおりから始まった事変に召集されて、欠員があったのだ。；ジャーヴィスが銀行に欠員のあることを耳にしたら、ご一報ください。；大統領が欠員した場合はジョゴルク・ケネシ議長が大統領代行を務める。；彼女の選挙区ではその後、欠員補充のための特別選挙が実施された。；しかし、その船は水夫の欠員がなかったので、彼の要求はしりぞけられた。；時に内閣に欠員が出て鉱税反対論者の李三才を採用するかが論議された。</t>
        </is>
      </c>
      <c r="J2563">
        <f>HYPERLINK("https://www.weblio.jp/content/欠員", "词义详情")</f>
        <v/>
      </c>
      <c r="K2563">
        <f>HYPERLINK("https://yourei.jp/欠員", "查看例句")</f>
        <v/>
      </c>
    </row>
    <row r="2564">
      <c r="A2564" t="inlineStr">
        <is>
          <t>血液</t>
        </is>
      </c>
      <c r="B2564" t="inlineStr">
        <is>
          <t>成功</t>
        </is>
      </c>
      <c r="C2564" t="inlineStr">
        <is>
          <t>読み方：けつえき
動物の血管系内を循環している体液。有形成分の血球・血小板と液体成分の血漿(けっしょう)からなる。体内各部への酸素や栄養の補給、二酸化炭素や老廃物の除去、抗体による防衛反応、体温の維持などの働きをする。血(ち)。</t>
        </is>
      </c>
      <c r="D2564" t="inlineStr">
        <is>
          <t>血液中(10%)；血液脳関門(4%)；血液サンプル；血液型；血液供給</t>
        </is>
      </c>
      <c r="E2564" t="inlineStr">
        <is>
          <t>血；血潮；血汐；生き血；生血</t>
        </is>
      </c>
      <c r="F2564" t="inlineStr">
        <is>
          <t>血液浄化；血液標本；血液障害；血液塗抹；新鮮な血液</t>
        </is>
      </c>
      <c r="G2564" t="inlineStr">
        <is>
          <t>血液検査；血液凝固；血液循環；血液製剤；血液細胞</t>
        </is>
      </c>
      <c r="H2564" t="n">
        <v>29</v>
      </c>
      <c r="I2564" t="inlineStr">
        <is>
          <t>血液脳関門を通過することを期待しての使用では単体でも使用される。；上記のように効能・効果は多数あるが、実際には血液がん中心に使われる。；トリアムシノロンは血液中の白血球の数を減少させる効果もあるとされる。；少量の飲酒は、血管を拡張させて血液の流れを良くして血行を改善する。；献血とは輸血や血液製剤製造のために無償で血液を提供することである。；その血液を絞り取るために特別に作らせた器具が鉄の処女であるとされる。；全身へ血液を送るポンプという性質上、重篤な症状を起こすものも多い。；脂溶性が高いため容易に血液脳関門を通過し、短時間で作用を発揮する。；以下のケースは血液に細菌が混入している恐れがあるため不可となる。；死者の清拭や、葬儀の際の血液や体液との接触が感染拡大の原因である。；この理論では血液は多数回消費と産生を繰り返さねばならなかった。；また、組織に広く分布するために血液や組織液中にいる時間が長い。；四元素説の他には、魂は、頭や胸ではなく血液にやどっているとした。；もちろん、手足に血液が回らなくなるため長時間行うわけにはいかない。；血液脳関門の評価を行うための実験系がいくつか知られている。；一部の研究では、ラミブジンは血液脳関門を通過することが示されている。；鳥類の網膜は、櫛状体と呼ばれる扇状の血液供給システムを持っている。；こうしてできたグルコースは血液中に放出され、他の細胞に運ばれる。；こうして肺を通過した後の血液は酸素を豊富に含み、動脈血と呼ばれる。；そもそも血液型への関心自体が薄く、自分の血液型を覚えていない人も多い。；中世から、ビートは消化器系から血液系の病を治療するのに用いられてきた。；血液脳関門は、血液と脳の組織液との間の物質交換を制限する機構である。；心臓を取り巻く冠動脈は心筋へ栄養と酸素を含んた血液を供給している。；カフェインが吸収されて血中に入ると、血液脳関門を通過することができる。；広義には静脈性の血液が増加した状態を示す鬱血も定義に含まれる。；すなわち両児間で血液が行き来し、循環を共有しているということになる。；流血状態が続くと身体中の血液の量が減少し、生命の危険をもたらす。；また、健康人の血液には現れることのない赤芽球が出現している。；血液の流れが阻害されて酸素の供給が滞ることでも頭痛が起こりうる。</t>
        </is>
      </c>
      <c r="J2564">
        <f>HYPERLINK("https://www.weblio.jp/content/血液", "词义详情")</f>
        <v/>
      </c>
      <c r="K2564">
        <f>HYPERLINK("https://yourei.jp/血液", "查看例句")</f>
        <v/>
      </c>
    </row>
    <row r="2565">
      <c r="A2565" t="inlineStr">
        <is>
          <t>結果</t>
        </is>
      </c>
      <c r="B2565" t="inlineStr">
        <is>
          <t>成功</t>
        </is>
      </c>
      <c r="C2565" t="inlineStr">
        <is>
          <t>読み方：かくなわ
《「かくのあわ」の音変化。「かく」は香菓、「あわ」は泡緒(あわお)（ひもの名）の意という》
１昔の菓子の名。小麦粉を練って細長いひもが曲がりくねったような形に作り、油で揚げた唐(から)風のもの。かくのあわ。
２《1がねじれているところから》心があれこれと乱れること。
「ゆく水の絶ゆる時なく—に思ひ乱れて」〈古今・雑体〉
３刀やなぎなたを上下左右に振り回すこと。大勢の敵を相手にして勇ましく戦うさまをいう。
「蜘蛛手(くもで)、—、十文字、蜻蛉(とんぼ)返へり、水車、八方すかさず斬(き)ったりけり」〈平家・四〉</t>
        </is>
      </c>
      <c r="D2565" t="inlineStr">
        <is>
          <t>結果生じる；結果オーライ；結果待ち；結果通知；結果生み出さ</t>
        </is>
      </c>
      <c r="E2565" t="inlineStr">
        <is>
          <t>影響；効果；最後に；最終的に；その結果</t>
        </is>
      </c>
      <c r="F2565" t="inlineStr">
        <is>
          <t>観測結果；分析結果；良い結果；計算結果；試験結果</t>
        </is>
      </c>
      <c r="G2565" t="inlineStr">
        <is>
          <t>結果発表；結果論；結果次第；結果無価値論；結果的加重犯</t>
        </is>
      </c>
      <c r="H2565" t="n">
        <v>29</v>
      </c>
      <c r="I2565" t="inlineStr">
        <is>
          <t>この仕様の中では外部データの入力または計算結果の出力は供給しない。；その結果同じ画像をGIFにした場合よりサイズが大きくなってしまう。；上記コードをウェブブラウザ上で実行すると、以下の結果が表示される。；このことはブレスト合同が不完全なものに終わる結果にも影響があった。；張は各種の版本を検討した結果、紹煕本は非常に優れていると提唱した。；このことはアメリカの圧倒的軍事力を世界中に見せつける結果となった。；インド仏教が密教化したのは、周辺の宗教から影響を受けた結果である。；小型大出力、起動時間の短さ、整備性の良さ等が評価された結果である。；この結果はゲオルク・カントールには得ることができなかったものである。；以下は理論値ではなく、ある期間の観測結果からの年間の回数である。；その結果、小学校への導入は当初の予定どおりには実現しなかった。；地震計の観測結果を基に図に表し、断層の位置や動いた方向を解析する。；その結果、知的創作物を誰でも自由に利用できると説かれることが多い。；研究結果として懸垂式と一緒にまとめられたものが、日本跨座式である。；彼らはドイツの会議でこの結果を発表したが、誰にも評価されることはなかった。；これらの法則は、天体の運行などの観測結果をよく説明することができた。；両選手とも合流後すぐ試合に出場し、求められた役割を果たし結果を残していった。；この結果、旧関急系の路線のみが近鉄として存続し、現在に至っている。；こうなると、もはや通常の操作ではその作業結果を残す方法がない。；西部の人口が多いために民主党が州全体の結果を制する傾向にある。；これは国家が国民の生命与奪権まで与えることに疑問が提示された結果ともいえる。；しかし最近類を探し当てることができない結果、この表現に至ることも多い。；米国は、第二次世界大戦の結果としてイランの統治への干渉を開始した。；Borexinoの測定値と組み合わせた結果が2011年に公表された。；結果として、観測者に対して相対運動する時計は進み方が遅れて見える。；その結果、一見しただけでは原因を見つけられないバグを作成する危険がある。；この結果、惑星上には有意な季節変化がほとんどないと考えられる。；社会的変化と開発の結果としてメディアの客の特徴が変化する。；焼きつけ工程では、いくつかの調整によって結果を変えることができる。</t>
        </is>
      </c>
      <c r="J2565">
        <f>HYPERLINK("https://www.weblio.jp/content/結果", "词义详情")</f>
        <v/>
      </c>
      <c r="K2565">
        <f>HYPERLINK("https://yourei.jp/結果", "查看例句")</f>
        <v/>
      </c>
    </row>
    <row r="2566">
      <c r="A2566" t="inlineStr">
        <is>
          <t>結核</t>
        </is>
      </c>
      <c r="B2566" t="inlineStr">
        <is>
          <t>成功</t>
        </is>
      </c>
      <c r="C2566" t="inlineStr">
        <is>
          <t>読み方：けっかく
１結核菌の感染によって起こる慢性の感染症。感染症予防法の2類感染症の一。侵された部位により肺結核・腸結核・脊椎カリエスなどがある。特に肺結核をいうことが多い。結核症。
２堆積物(たいせきぶつ)や堆積岩中に生じた塊で周囲より硬いもの。</t>
        </is>
      </c>
      <c r="D2566" t="inlineStr">
        <is>
          <t>結核患者(6%)；結核性(4%)；結核治療；結核療養；結核予防</t>
        </is>
      </c>
      <c r="E2566" t="inlineStr">
        <is>
          <t>肺結核；ルンゲ；テーベー；結核症</t>
        </is>
      </c>
      <c r="F2566" t="inlineStr">
        <is>
          <t>腎臓結核；性結核；小児結核；結核対策；粟粒結核</t>
        </is>
      </c>
      <c r="G2566" t="inlineStr">
        <is>
          <t>結核療養所；結核性髄膜炎；結核病；結核予防会；結核予防法</t>
        </is>
      </c>
      <c r="H2566" t="n">
        <v>29</v>
      </c>
      <c r="I2566" t="inlineStr">
        <is>
          <t>また1937年には兄弟の一人が結核に倒れ、父親も同じ病で他界した。；廃止時には結核患者のほか、一部の病床に循環器病患者も入院していた。；また結核のように、治療法が発見されている病気でも死に至ることがある。；結核を含む呼吸器疾患および循環器疾患の専門的な医療を行なっていた。；結核で死の床にいるときにメロディーを完成し、3週間後に亡くなった。；王子の背骨が曲がるようになって結核であることが判明したのである。；しかし一旦回復した結核の症状が重くなったためバーデンにて養生した。；戦後、母が結核の治療のために転地療養した際には母の実家で育てられた。；しかし、現代の調査ではそれが否定され、結核で死んだことが判明している。；この日の前後に世界中で結核撲滅に向けてさまざまなイベントが行われている。；こうなると効く薬が全くないと言われ、結核薬で肺結核が治せなくなる。；革命の少し前から軽症の結核だったが周囲に知らせることはなかった。；死因の明確な記録は残されていないが、結核によるものと考えられている。；感染症の専門家でジュネーブの本部では結核対策部長などを歴任した。；一方で本物のケイオニウスは結核の病にかかり、ローマに戻っていた。；結核患者は若者の集団であるから、裏山は男女の密会の場にもなった。；忠雄が結核で仙台に入院後、妹の勧めで看護婦と産婆の資格取得を決意。；検査ではなく結核治療目的に開発されたが効果はなかった。；そのため結核患者の病室床・壁などの周辺環境消毒にも利用される。；これらの外傷性の死亡を除いた場合には、結核が死因のトップとなっている。；また健康問題にも関心があり、カナダで最初の抗結核財団の創設に関与した。；結核に冒されていたことから死後多数の作品が焼却されたという。；ただし、被爆や結核のせいか、大学卒業時まではガリガリにやせていた。；ジョンが13歳であったときに長姉マーガレットが結核のために死亡した。；結核をできるだけ悪化させないようにと、より乾燥した西部へと移住を決意。；現在では、このころから至時は結核を患っていたと推定されている。；彼は後のこれらの問題を自身の結核に責があるとしている。；また、部屋や衣服が何から何まで汚く、後述の結核で亡くなったとのこと。；内容は結核の諸知識をはじめ様々な立場から専門的あるいは文学的に書かれた記事であった。</t>
        </is>
      </c>
      <c r="J2566">
        <f>HYPERLINK("https://www.weblio.jp/content/結核", "词义详情")</f>
        <v/>
      </c>
      <c r="K2566">
        <f>HYPERLINK("https://yourei.jp/結核", "查看例句")</f>
        <v/>
      </c>
    </row>
    <row r="2567">
      <c r="A2567" t="inlineStr">
        <is>
          <t>欠陥</t>
        </is>
      </c>
      <c r="B2567" t="inlineStr">
        <is>
          <t>成功</t>
        </is>
      </c>
      <c r="C2567" t="inlineStr">
        <is>
          <t>読み方：けっかん
欠けて足りないこと。不備な点。「論理上の—を衝(つ)く」「—商品」</t>
        </is>
      </c>
      <c r="D2567" t="inlineStr">
        <is>
          <t>欠陥品；欠陥宝貝；欠陥だらけ；欠陥住宅；欠陥製品</t>
        </is>
      </c>
      <c r="E2567" t="inlineStr">
        <is>
          <t>非；穴；傷；障害；難</t>
        </is>
      </c>
      <c r="F2567" t="inlineStr">
        <is>
          <t>大きな欠陥；何らかの欠陥；こうした欠陥</t>
        </is>
      </c>
      <c r="G2567" t="inlineStr">
        <is>
          <t>欠陥商品；欠陥住宅；欠陥干渉粒子；欠陥翻訳；欠陥化学</t>
        </is>
      </c>
      <c r="H2567" t="n">
        <v>29</v>
      </c>
      <c r="I2567" t="inlineStr">
        <is>
          <t>梅村体の重大な欠陥は一つの詩の中に同じ文字を何度も使うことである。；マクドウェルの作戦は理論的には十分であったが、幾つか欠陥があった。；この制度設計の欠陥は、国家のガバナンスの観点からすれば深刻である。；この時ツポレフが表明した欠陥のほとんどは些細なものばかりであった。；しかし報告は技術的および組織的な欠陥に対して非常に批判的であった。；凄惨な事故に至った原因は、ガードレールの構造上の欠陥とされている。；一方で、開発を急ぎすぎたために様々な欠陥を抱え込むことにもなった。；ドイツではストーリー上の欠陥を理由に評価は賛否両論となっている。；これらの銃が作戦運用上の欠陥を持つことは戦場において深刻な問題だった。；反面、本銃はノウハウのなさを露呈するような重大な欠陥も持っていた。；欠陥とは、理想状態を想定できる物事における理想状態との違いである。；このような欠陥住宅は、地震時に家が移動したり転倒したりしやすい。；そしてその背景にはそれを許す組織体制上の数多くの欠陥があった。；この機体の事故原因は致命的な欠陥ではなく充分に改良が可能だった。；同救助袋は、火災発生直後から様々な欠陥があることは既に判明していた。；複数の観測法で同じ傾向の結果が出たために、方法的欠陥とは考えられなくなった。；実際の爆発事故は製造上の欠陥か取り扱い上の問題がほとんどである。；脆弱性につながる一般的な種類のソフトウェアの欠陥は次のとおりである。；欠陥のあるセクタはいずれの場合でもそのまま放置される訳ではない。；独自の見解にもとづいて管理の欠陥を否定した原審は審議不十分である。；重大な欠陥が発見された場合は、それを修正した候補版が再度提供されることがある。；その後排水管に多くの欠陥が発見されて、1986年には再度停止された。；この重大な欠陥を理由にマークI手榴弾は採用後まもなく生産中止となった。；そのため正体が明かされた後、ダークブレインに欠陥品とされ破壊された。；実は再生手術には欠陥があり、再生後の寿命はわずか1か月であった。；しかし天守は老朽化と構造上の欠陥のために明治21年に解体された。；その結果、のような重大なセキュリティ上の欠陥も修正されないままとなった。；録音に欠陥があったため一部26日からの録音が使われている。；ニューヨーク教育局は多くの欠陥がある小学校、中学校、高校を閉鎖してきた。</t>
        </is>
      </c>
      <c r="J2567">
        <f>HYPERLINK("https://www.weblio.jp/content/欠陥", "词义详情")</f>
        <v/>
      </c>
      <c r="K2567">
        <f>HYPERLINK("https://yourei.jp/欠陥", "查看例句")</f>
        <v/>
      </c>
    </row>
    <row r="2568">
      <c r="A2568" t="inlineStr">
        <is>
          <t>血管</t>
        </is>
      </c>
      <c r="B2568" t="inlineStr">
        <is>
          <t>成功</t>
        </is>
      </c>
      <c r="C2568" t="inlineStr">
        <is>
          <t>読み方：けっかん
体内各部に血液を送る管。動脈・静脈・毛細血管に分けられる。</t>
        </is>
      </c>
      <c r="D2568" t="inlineStr">
        <is>
          <t>血管内(4%)；血管拡張(3%)；血管壁(2%)；血管収縮；血管周囲</t>
        </is>
      </c>
      <c r="E2568" t="inlineStr">
        <is>
          <t>脈；静脈；脈絡；青筋；気脈</t>
        </is>
      </c>
      <c r="F2568" t="inlineStr">
        <is>
          <t>太い血管；大血管；心臓血管；心血管；青い血管</t>
        </is>
      </c>
      <c r="G2568" t="inlineStr">
        <is>
          <t>血管内皮細胞；血管新生；血管炎；血管障害；血管内皮</t>
        </is>
      </c>
      <c r="H2568" t="n">
        <v>29</v>
      </c>
      <c r="I2568" t="inlineStr">
        <is>
          <t>血管が膨張して神経を圧迫することで起こるのではないかと考えられる。；首の下の皮膚にたるみがあり、そこを通る血管から体熱を放散している。；血管の離断がある場合は静脈損傷、神経損傷を合併していることが多い。；その原因は血管の圧迫による説が有力で、腫瘍が発見されることもある。；血管や神経が傷ついて、手の血流が低下したり麻痺が生じることがある。；少量の飲酒は、血管を拡張させて血液の流れを良くして血行を改善する。；イソプロテレノールの副作用もまた多くは心血管系への作用の結果である。；雄はその後、栄養を雌の皮膚から伸びた血管を通じて得るようになる。；また同様に四肢の骨折では骨片によって神経や血管を損傷することもある。；心臓にも血管にも作用するがジルチアゼムと比べて圧倒的に心臓への作用が強い。；片頭痛はかつて、血管の問題のみが原因で起きるものだと考えられていた。；心臓血管外科学とは、心臓や血管などを中心に扱う外科学の一分野である。；未熟な血管が存在することもあり、この場合血行性転移を起こしやすい。；血管外科医の扱う対象は心臓・脳を除く体の全ての部位の血管に及ぶ。；静脈は、毛細血管から発生した静脈血を心臓に送るために使われる血管。；急性肺血管反応試験で無反応の場合に以下の肺血管拡張薬が用いられる。；甲状腺は周囲に血管や気管が密集し、これまでは手術が困難とされてきた。；このように血管外に投与された薬物が全身循環に到達する過程を吸収という。；これら各種血管を描出するために冠動脈造影では様々な条件で撮影される。；角膜には血管が侵入せず、酸素や栄養分は涙や前眼房水から供給される。；声帯の血管裂傷の手術のため第2弾のアルバムを発表するのが遅れた。；また、頭を強打して血管が損傷するなどの外傷的な事項でも発生する。；研究者たちは、血管内部の寄生虫を駆除するためのさまざまな研究を始めた。；心血管性失神を除外できない場合は入院が必要となることがある。；摘出された血管を用いたin vitro 実験では効果が現れない。；背・腹鼻甲介の粘膜は呼吸部で多数の鼻腺と豊富な血管が分布する。；氷や非常に冷たい水は、血管収縮を起こし逆に傷を深くする可能性があり避けられる。；小さな血管と毛細血管では内皮細胞は専ら1種類の細胞しかみられない。；これは胎児の肺血管抵抗が高く、一方で体血管抵抗が低いことによる。</t>
        </is>
      </c>
      <c r="J2568">
        <f>HYPERLINK("https://www.weblio.jp/content/血管", "词义详情")</f>
        <v/>
      </c>
      <c r="K2568">
        <f>HYPERLINK("https://yourei.jp/血管", "查看例句")</f>
        <v/>
      </c>
    </row>
    <row r="2569">
      <c r="A2569" t="inlineStr">
        <is>
          <t>決議</t>
        </is>
      </c>
      <c r="B2569" t="inlineStr">
        <is>
          <t>成功</t>
        </is>
      </c>
      <c r="C2569" t="inlineStr">
        <is>
          <t>読み方：けつぎ
［名］(スル)会議である事柄を決定すること。また、その決定した内容。「企業の誘致を—する」
[補説]原則として、ある事柄について決定することを「議決」、決定した内容を「決議」と使い分けることもあるが、明確な根拠はなく、法令文でも両者の区別をせず使用する例がある。</t>
        </is>
      </c>
      <c r="D2569" t="inlineStr">
        <is>
          <t>決議案(2%)；決議文；決議機関；決議事項；決議採択</t>
        </is>
      </c>
      <c r="E2569" t="inlineStr">
        <is>
          <t>決定；結論；判決；投票；決める</t>
        </is>
      </c>
      <c r="F2569" t="inlineStr">
        <is>
          <t>総会決議；同決議；反対決議；弾劾決議；感謝決議</t>
        </is>
      </c>
      <c r="H2569" t="n">
        <v>29</v>
      </c>
      <c r="I2569" t="inlineStr">
        <is>
          <t>この時はアメリカも賛成に回ったが、イスラエルはこの決議を無視した。；これを受け、本来与える必要はないが恩賞を与えることが決議されている。；なお、この決議において近隣の集落およびについては言及されなかった。；添え名は国家に功績のある場合などに元老院の決議などにより与えられた。；「不登録」と決議された物件は、原則として再推薦することができない。；このような決議は1928年にBIEが誕生して以来初めてのことであった。；実際にこの規定に基づいて決議がなされたのは、次の3例がある。；足掛け2年に渡ったこの会議は最終的にフォティオスの排斥を決議した。；プロレタリア通信派も解散を決議した後に、一部が革共同に合流した。；その文言を削除すれば、同決議に賛同してもよいとの姿勢が示された。；なお、町田市議会の決議では、路線開業と同時に駅開設となっていた。；また、関西3空港の機能維持・強化を求める国への要望書を決議した。；内閣不信任決議可決当日に衆議院を解散しなかったのはこの時だけである。；しかし、決議そのものは各国議会から無視されてしまっていた。；そのため金額の変更を行うには国会の決議が必要との指摘がある。；一方のオッタヴィアーニはこれを単独の決議文として成立させようとしていた。；第十五号決議は1960年9月の第三回党大会で正式に承認された。；公会議の決議した教令は第70条までの内容に付属教令を加えた計71項目に及ぶ。；そして株主総会で会社解散を決議、1936年1月14日に廃止された。；しかし、米国の名指しは避け、具体的な制裁なども決議されなかった。；なお、議会の建議案決議で創設された経緯から、特定の創設者は存在しない。；他の決議ではこの時期の結婚が禁止された。；教皇はさらに決議事項の円滑な実現のための枢機卿委員会を任命した。；逆に首相の信任決議が否決された時以外、内閣は連邦議会を解散できない。；IAUの最終決議5Aでは、太陽を周回する天体を3つの分類に分けた。；この決議は法的拘束力を持たないため、宣言の内容を強要することはできない。；アル・ムラツチ州議会議員が他の議員数名と連名で決議案を提出した。；米国、イスラエルの代表団は、これに猛反発し、決議をボイコットした。；青梅電気鉄道は国有化後にいったん解散を決議したが、実際は解散しなかった。</t>
        </is>
      </c>
      <c r="J2569">
        <f>HYPERLINK("https://www.weblio.jp/content/決議", "词义详情")</f>
        <v/>
      </c>
      <c r="K2569">
        <f>HYPERLINK("https://yourei.jp/決議", "查看例句")</f>
        <v/>
      </c>
    </row>
    <row r="2570">
      <c r="A2570" t="inlineStr">
        <is>
          <t>月給</t>
        </is>
      </c>
      <c r="B2570" t="inlineStr">
        <is>
          <t>成功</t>
        </is>
      </c>
      <c r="C2570" t="inlineStr">
        <is>
          <t>読み方：げっきゅう
月ごとにきまって支払われる給料。月俸。サラリー。「—日」</t>
        </is>
      </c>
      <c r="D2570" t="inlineStr">
        <is>
          <t>月給日(3%)；月給制(3%)；月給取り(2%)；月給袋(2%)；月給十</t>
        </is>
      </c>
      <c r="E2570" t="inlineStr">
        <is>
          <t>報酬；給料；賃金；給与；俸給</t>
        </is>
      </c>
      <c r="F2570" t="inlineStr">
        <is>
          <t>月給五；日給月給；月給とり；月給以外；安い月給</t>
        </is>
      </c>
      <c r="H2570" t="n">
        <v>29</v>
      </c>
      <c r="I2570" t="inlineStr">
        <is>
          <t>宅が月給を取らないだけでも十分の理由になるさうぢやありませんか。；宅が月給を取らないだけでも十分の理由になるそうじゃありませんか。；月給十三日分で買つた靴だと何日か雀部の誇つた顔を思出したのである。；雑誌の編輯全部をやって広告とりまでして、道子の月給は五十円である。；静雄は私より早く社会に出たので、月給の一部を私に呉れたこともある。；服装と月給とで人間の価値を定めたがるのは、普通一般の人の相場だ。；月給も七十円になっているからふたりで生活できないことはなかった。；月給十五円でよくもそんなことを言えるものだと邦子は腹がたった。；恋愛して、母となる時、では会社は月給つきの休暇を四ヵ月くれますか?；この頃は紳士方は大変です、月給がふっとぶような服代になってしまった。；これはサラリーマン時代から続いていて、月給袋に手をつけたことはない。；当時百円の月給取と云へば、勿論人に羨まれる身分だつたのに相違ない。；それなら月給はどうするかというと、それは満遍なく取っているそうだ。；アゴ・アシ・コーマン付き、月給百万円のリーダーがこうして誕生した。；ふと、今日はわが社でも月給と上半期のボーナスとが出る日だなと思った。；わずかな月給から買いだめた蔵書が二十何年のうちに二千冊余になっていた。；カメラマンが十人いたが、杉山がトップで三百円の月給をもらっていた。；それなら月給は何うするかといふと、それは滿遍なく取つて居るさうだ。；彼女はただ月給そのものを手に入れてみたかったのであろう。；父が破産するに及んで月給取りになった久内は、こうもつぶやいている。；私の場合でいえば、四年間無給で、五年目に月給九千何百円をもらった。；月給二十万円なら悪くはない、サラリーマンならそう思うかも知れぬ。；ウィンドーにはおよそ僕の月給では手に入らないような宝石が並べてあった。；私たちは毎日のように店頭に押しかけて月給袋の底をハタいたものである。；つまり鯨の会社のように会社にして、月給制度にするだけのことさ。；月給等の形而下のことをのみ欲するを理想と呼ぶのは大なる誤りであろう。；娘 あたしの月給が倍になれば、二人でやつて行けるんだけどなあ。；息子が月給を全額渡していたのを積み立てておいてくれたのである。；乗組員たちは帽子をまわして賤別を集め、船長は月給の半分を奮発した。</t>
        </is>
      </c>
      <c r="J2570">
        <f>HYPERLINK("https://www.weblio.jp/content/月給", "词义详情")</f>
        <v/>
      </c>
      <c r="K2570">
        <f>HYPERLINK("https://yourei.jp/月給", "查看例句")</f>
        <v/>
      </c>
    </row>
    <row r="2571">
      <c r="A2571" t="inlineStr">
        <is>
          <t>結局</t>
        </is>
      </c>
      <c r="B2571" t="inlineStr">
        <is>
          <t>成功</t>
        </is>
      </c>
      <c r="C2571" t="inlineStr">
        <is>
          <t>読み方：けっきょく
［名］
１囲碁で、1局を打ちおえること。終局。
２いろいろの経過を経て落ち着いた最後。結末。
「話は随分長かったが、要するに覚束(おぼつか)ない—に陥ったのである」〈左千夫・春の潮〉
［副］いろいろなことがあったうえで、最後に落ち着くさまを表す。最終的には。つまるところ。結句。「あれこれやってみたが、—だめだった」「二人は—元のさやにおさまった」</t>
        </is>
      </c>
      <c r="D2571" t="inlineStr">
        <is>
          <t>結局最後；結局実現；結局そのまま；結局失敗；結局中止</t>
        </is>
      </c>
      <c r="E2571" t="inlineStr">
        <is>
          <t>最後；落；やはり；落ち；末</t>
        </is>
      </c>
      <c r="F2571" t="inlineStr">
        <is>
          <t>結局頓挫；結局だめ；結局離婚；結局無駄；結局破談</t>
        </is>
      </c>
      <c r="H2571" t="n">
        <v>29</v>
      </c>
      <c r="I2571" t="inlineStr">
        <is>
          <t>これらの動きには学生野球界は強く反対したものの、結局は認められた。；大日本軌道側も電車化を受け入れたが、結局実現はみることはなかった。；結局10月末にはガリポリ半島から撤退することが委員会で決定された。；攻撃しても、結局残ったミサイルで反撃される可能性があったのである。；結局、このオペラは作曲家であるスメタナ自身の指揮の下で上演された。；この後イタリアはドイツ軍によって占領されたため、結局戦場になった。；そして、連合国に講和を提案したが拒否され、結局戦争へと進んでいく。；しかし、結局1985年に問題がなくなったとして追加廃止承認された。；結局通過せずに遮断機が上がるため、踏切の遮断時間が長くなっている。；しかし結局ナポレオン4世は現地でズールー族の槍を食らって戦死した。；通算では9勝を記録しているが、結局タイトルには手が届かなかった。；脱出装置を予定して開発が始まったが、結局実現はしなかった。；しかし同提言は巨額の費用がかかることなどから、結局採用されなかった。；しかし、過去に目を閉ざす者は結局のところ現在にも盲目となります。；結局政府は土地の私有を認めざるを得なくなり、律令制度は崩壊した。；なお、結局このゲームは制作中止となり、世に出ることはなかった。；本体を作ろうとする試みもあったが結局、完成には至っていない。；しかし結局のところ新造艦としての航空戦艦は一隻も実現していない。；結局、この系列設計の通りに製造されたのは「乙B20」のみであった。；結局、上記の学連選抜チームの記載のとおり、関東のチームのみとなった。；結局、通常のサッカーモードから90度回転した配置で試合を開催。；後継を次男の兼通と三男の兼家が争うが、結局兼通に関白が宣下される。；結局ファラデーは旅行が終わるまで助手兼従者として働くことになった。；結局この議論は第三軍司令部が現地に到着する7月ごろまで持ち越される。；結局バディはその施設を追い出されて間もなく貧窮のうちに死亡した。；諸国は課税再開を要請したが、結局即位10年まで課税停止は延長された。；朱熹は何度も辞退したが、何度も推薦を受け、結局翌年3月にに赴いた。；何度か6両編成化の話はあったが、結局廃車まで実現されなかった。；結局のところ、満洲国の大部分は戦略的に放棄されることとなったのである。</t>
        </is>
      </c>
      <c r="J2571">
        <f>HYPERLINK("https://www.weblio.jp/content/結局", "词义详情")</f>
        <v/>
      </c>
      <c r="K2571">
        <f>HYPERLINK("https://yourei.jp/結局", "查看例句")</f>
        <v/>
      </c>
    </row>
    <row r="2572">
      <c r="A2572" t="inlineStr">
        <is>
          <t>欠勤</t>
        </is>
      </c>
      <c r="B2572" t="inlineStr">
        <is>
          <t>成功</t>
        </is>
      </c>
      <c r="C2572" t="inlineStr">
        <is>
          <t>読み方：けっきん
［名］(スル)勤めを休むこと。出勤すべき日に出勤しないこと。「風邪で欠勤する」「無断欠勤」「欠勤届」</t>
        </is>
      </c>
      <c r="D2572" t="inlineStr">
        <is>
          <t>欠勤する(7%)；欠勤届け；欠勤扱い；欠勤理由</t>
        </is>
      </c>
      <c r="E2572" t="inlineStr">
        <is>
          <t>留守；不在；欠場；欠席；不参</t>
        </is>
      </c>
      <c r="F2572" t="inlineStr">
        <is>
          <t>無欠勤；長期欠勤；欠勤届；病気欠勤</t>
        </is>
      </c>
      <c r="H2572" t="n">
        <v>29</v>
      </c>
      <c r="I2572" t="inlineStr">
        <is>
          <t>その日、会社という組織が外部にあることをすっかり忘れて欠勤していた。；そういうわけで彼らはテーブルへ向かって、三通の欠勤届を書きだした。；あれだけ無断で欠勤していても、受け入れてくれる会社のようだった。；お勤めなんだけど、無遅刻、無欠勤、何でもきちんと予定を立ててるの。；欠勤の訳を尋ねてみたが、女は不服そうに何の連絡もないと答えた。；二日続けての欠勤は余程のことがない限り避けなくてはならない。；プロに直してもらいたいと思ったが、この日プロは欠勤であった。；「欠勤ばかりで仕事にならん者は整理したい」 菅原は厳しい発言をした。；理由は頻繁な欠勤と遅刻、それにともなう勤務成績の急激な悪化だった。；典子には欠勤は告げずに、いつもと同じ時刻に彼はアパートを出た。；幸いなことに松村は二日間無断欠勤しただけで、この日は出社してきた。；そんな時、淳司は欠勤していた部下から電話を受け、あわてて出て行った。；僕は会社へ長距離電話をかけ、工場長から長期欠勤の許可を得て入院した。；これまでのあいつなら、一日たりとも病気で欠勤したりしない。；しかしそれにしては、雨の日も雪の日も無遅刻無欠勤のエイである。；われわれの在学中田丸先生はほとんど一度も欠勤されなかったような気がする。；入院していて、夫が会社を長期欠勤して、看病に当っているとも聞いていた。；その日の朝から妻は用があって実家へ帰っていたので、欠勤しても気兼ねはなかった。；撮影当日に無断欠勤されてしまうと、現場に穴が開くからである。；そこに電話をすると、田川は一昨日からかぜを理由に欠勤しているという。；そのホステスは彼がいなくなった日から、店を無断欠勤しているの。；それで栄一は会社に欠勤届を出して、三日程板野郡の方へ帰つて行つた。；担任の小野先生が病気で欠勤した時、他のクラスの先生が交替で教えに来た。；其内五週間も経た、お秀は出て来ないのみならず、欠勤届すら出さない。；田舎の学校では、生徒や教師の長期欠勤が家族や農業への関わりのため起きる。；私もなつかしくて見に行ったが、生憎その日市十郎は病気で欠勤した。；機械とは違うんだから、半期に二日や三日の欠勤は不可抗力じゃなかろうか?；私は自分の会社に欠勤の電話をしてから蕗男の部屋へ行き、彼が帰ってくるまで泥のように眠った。；その為め一週間休んだが、忌引が入っているから、欠勤は三日に過ぎない。</t>
        </is>
      </c>
      <c r="J2572">
        <f>HYPERLINK("https://www.weblio.jp/content/欠勤", "词义详情")</f>
        <v/>
      </c>
      <c r="K2572">
        <f>HYPERLINK("https://yourei.jp/欠勤", "查看例句")</f>
        <v/>
      </c>
    </row>
    <row r="2573">
      <c r="A2573" t="inlineStr">
        <is>
          <t>結構</t>
        </is>
      </c>
      <c r="B2573" t="inlineStr">
        <is>
          <t>成功</t>
        </is>
      </c>
      <c r="C2573" t="inlineStr">
        <is>
          <t>読み方：けっこう
［名］(スル)
１全体の構造や組み立てを考えること。また、その構造や組み立て。構成。「布置—」
「法則を設けて物語を—するは」〈逍遥・小説神髄〉
２もくろみ。計画。
「基房亡(ほろぼ)すべき—にて候ふなり」〈平家・三〉
３したく。用意。
「お斎(とき)を下されうずると有る程に、畏ったと云ひて参れば、中々—を取り調へて」〈虎明狂・宗論〉
４⇒トラス
［形動］［文］［ナリ］
１すぐれていて欠点がないさま。「—な眺め」「—なお点前(てまえ)」「—な御身分」
２それでよいさま。満足なさま。「お値段はいくらでも—です」「サインで—です」
３それ以上必要としないさま。「もう—です」
４気だてがよいさま。
「一つ汲んで下されと、下々にも—に詞(ことば)遣ひて」〈浮・禁短気・二〉
［副］完全ではないが、それなりに十分であるさま。「子供でも—役に立つ」「—おもしろい」
［アクセント］はケッコー、はケッコー。</t>
        </is>
      </c>
      <c r="D2573" t="inlineStr">
        <is>
          <t>結構いい；結構な事；結構な話；結構多い；結構でし</t>
        </is>
      </c>
      <c r="E2573" t="inlineStr">
        <is>
          <t>建設；構成；まるで；かなり；組織</t>
        </is>
      </c>
      <c r="F2573" t="inlineStr">
        <is>
          <t>もう結構；大いに結構；こんな結構；大変結構；たいへん結構</t>
        </is>
      </c>
      <c r="H2573" t="n">
        <v>29</v>
      </c>
      <c r="I2573" t="inlineStr">
        <is>
          <t>何方にしても女中は新しい帯さへ締める事が出来たらそれで結構なのだ。；なお、作った料理が紹介すらされないなど結構不遇な扱いを受けている。；学生 そう云うお話なら、何をどうすると云うことが分かって結構です。；また病気になっても施薬病院があって結構な薬を銭も取らずにくれる。；むしろ大抵の場合には「結構です」と云って推薦するのを例としていた。；もちろん今日でなくとも結構でして、いつかおついでのときでいいんです。；そのためにはレコードは非常に結構なものだと私は思っています。；いつからともなく屋根裏でほこりにうもれていた古いやつで結構である。；つまり質本位に考えるならば四十八本大いに結構といわなければならぬ。；店の方は、四時からでございますから、それまでなら結構でございます。；駅前にはほとんど人影を見ないが、市街地に向かうバスは結構出ている。；話の糸尻の結ばれぬ所は、質問で聞きついで頂ければ結構だと思ひます。；なかなか理想通りにはいかぬが、表面だけでも粛清されたのは結構である。；なんなら、お部屋の方で、おやすみになりながらでも結構でございます。；もしご意見があったらで結構ですので頭の片隅にでも置いておいてください。；ただ 承りまするだけで、それがしかし何より私には結構でございます。；当時漫研で出会った面々の中には同じ業界で働く人も結構いるという。；島民のために、結婚を無理強いしたけれど、これはこれで結構なことだ。；この意味から考えると、芳夫さんが三越をやめるのは大に結構なことだ。；死にに行くより金を沢山出して良い道を取る方が結構じゃないか。；後にご迷惑になっても相済みませぬ、門は開かなくとも結構でございます。；又藝術を説明して表現であり創造であると云ふのは固より結構である。；勉強も結構だけれど、花やかな夢は活字の中にあるんぢやないでせう。；昆布のだしは実に結構なものであって、魚の料理には昆布だしにかぎる。；うまくそれに成功するならば、我々の社会にこれほど結構なものはないのである。；何もかもが結構であるが、ただ案じられるのは来るべき夏の水難である。；でも、僕はいつも自分自身でそういうことを結構やっていたんだ。；だがともかくも食べられているうちは、まだ結構と云ってもいい。；入力環境が無かったり余力が無い場合などでは無理に表記しなくて結構です。</t>
        </is>
      </c>
      <c r="J2573">
        <f>HYPERLINK("https://www.weblio.jp/content/結構", "词义详情")</f>
        <v/>
      </c>
      <c r="K2573">
        <f>HYPERLINK("https://yourei.jp/結構", "查看例句")</f>
        <v/>
      </c>
    </row>
    <row r="2574">
      <c r="A2574" t="inlineStr">
        <is>
          <t>決行</t>
        </is>
      </c>
      <c r="B2574" t="inlineStr">
        <is>
          <t>成功</t>
        </is>
      </c>
      <c r="C2574" t="inlineStr">
        <is>
          <t>読み方：けっこう
［名］(スル)思い切って実行すること。「悪天をついて登頂を—する」「スト—中」</t>
        </is>
      </c>
      <c r="D2574" t="inlineStr">
        <is>
          <t>決行する(20%)；決行日(3%)；決行しよ(3%)；決行される；決行直前</t>
        </is>
      </c>
      <c r="E2574" t="inlineStr">
        <is>
          <t>実行；敢行；強行；断行；催行</t>
        </is>
      </c>
      <c r="F2574" t="inlineStr">
        <is>
          <t>攘夷決行；スト決行；クーデター決行；大事決行；自殺決行</t>
        </is>
      </c>
      <c r="H2574" t="n">
        <v>29</v>
      </c>
      <c r="I2574" t="inlineStr">
        <is>
          <t>当時は全く楽器の演奏経験が無かったが、1週間後にツアーを決行した。；一つ和服に長靴をはく事にしようかと思っているがまだ決行せずにいる。；すでに京を発足する時から、総攻撃は三日に決行すると揚言している。；食事のほうはその日のうちに決行され、新しく雇った従僕が給仕をした。；迷うていた者もその詞に力づけられて、毒流しを決行することになった。；君は遺言状の作成されたその晩を選んで、悪事を決行する気になりますか?；第一、そのような大事を決行するに堪えられる人がございましょうか。；決行するとは全然予期しなかった特殊飛行は、僕の病気までを宙返らせた。；なお、押出し決行日は、田中の国会質問日があえて選ばれたものである。；夜間の脱出も検討されたが、潮と夜間の強風のために決行できなかった。；難民が逃亡せしをもって、今は猶予すべきでなく殺戮を決行したようだ。；そのうちの何を選んで決行したかがその人の人生なのだ。；これが樺太横断を決行しようとする私たちの使用車だというのだから驚く。；がたったそれだけのことが彼にとってはなかなか決行できなかった。；寺院の整理も行なわれ、水戸藩や岡山藩は早い時期にこれを決行している。；平家方では夜襲を決行するか意見が分かれたため実行されなかった。；決行の前日、予想外のことが起き、サーシャの身にも危険が迫っていた。；だが、それはすべてある式典でテロを決行するための作戦だったのだ。；けれど、その目的を思い切って決行する勇気がなかったらしいんです。；自分の座を奪われてはなるものかと全力を挙げて嫌がらせを決行する。；そんなに自分を不幸にしたければ、あなたが御自身で決行なさるがいいわ。；皇帝の住む屋敷への潜入は難なく成功、暗殺決行の時は近づいてゆく。；私たちがここに来た春以来からでさえも、三度も決行されている。；もし仇討がこの春決行されたら、百二十余名の同志があったはずだ。；飛び降りの決行には非常な恐怖が伴い、しばしばこのような逡巡が起こる。；悪天候で中止も検討される中、激しい雨に打たれながらライブを決行する。；新たに若い命知らずの隊員を集め、捨て身の作戦を決行しようとする。；決行して見ると在来の恐怖が根拠のないものであることが解った。；この情報が同日午後の第二次攻撃を決行するきっかけとなった。</t>
        </is>
      </c>
      <c r="J2574">
        <f>HYPERLINK("https://www.weblio.jp/content/決行", "词义详情")</f>
        <v/>
      </c>
      <c r="K2574">
        <f>HYPERLINK("https://yourei.jp/決行", "查看例句")</f>
        <v/>
      </c>
    </row>
    <row r="2575">
      <c r="A2575" t="inlineStr">
        <is>
          <t>結合</t>
        </is>
      </c>
      <c r="B2575" t="inlineStr">
        <is>
          <t>成功</t>
        </is>
      </c>
      <c r="C2575" t="inlineStr">
        <is>
          <t>読み方：けつごう
［名］(スル)二つ以上のものが結びついて一つになること。また、結び合わせて一つにすること。「原子が—して分子になる」</t>
        </is>
      </c>
      <c r="D2575" t="inlineStr">
        <is>
          <t>結合すること(4%)；結合させる；結合型；結合性；結合ドメイン</t>
        </is>
      </c>
      <c r="E2575" t="inlineStr">
        <is>
          <t>関係；縁；共同；接続；合併</t>
        </is>
      </c>
      <c r="F2575" t="inlineStr">
        <is>
          <t>共有結合；直接結合；強く結合；h結合；膜結合</t>
        </is>
      </c>
      <c r="G2575" t="inlineStr">
        <is>
          <t>結合組織；結合タンパク質；結合エネルギー；結合的；結合定数</t>
        </is>
      </c>
      <c r="H2575" t="n">
        <v>29</v>
      </c>
      <c r="I2575" t="inlineStr">
        <is>
          <t>他にも例は少ないものの様々な結合様式が存在することがわかっている。；このエネルギー評価内で最も計算コストが高いのが非結合部分である。；構造によっては、各結合の間にある原子を特定して表示することがある。；領土と不可分に結合しており、領水のみ単独では処分の対象とならない。；これらの種類の結合は似た電気陰性度を持つ原子間でのみ安定である。；この重なり合いのため、電子が結合領域に存在する可能性が最も高くなる。；前方の結合は、より強い線やくさびで強調してもよいし、しなくてもよい。；これは最初の2つの楽章を結合させ、終楽章を簡素化したものであった。；そして燃焼の際には、そのうちの一方の気体が金属と結合するとした。；イギリスでは友会の歴史を通じて高度の組織的な結合が見られる。；これは、分子内の結合や官能基の種類を特定するために一般に使用される。；非結婚的な結合である同性愛者の共同生活が存在していることを認めている。；画像の左上のヒドロキシ基の結合は立体化学が不明または特定できない。；後半のアクチノイドの錯体の結合は、イオン性が強いと考えられている。；内殻軌道および電子は結合の形成の間には基本的に変化しない。；右から左につづけて書かれ、前後とつなげるための結合形が発達している。；また、接触面に結合が生じると、クーロン摩擦は非常に悪い近似となる。；この弱い結合により、DNAの全体的な形状は変形せず、のままとなる。；これはリボソームの主要な部分が小胞体に結合しているためである。；最も単純なジカルボン酸はカルボキシ基同士が結合したシュウ酸である。；対称結合は基底軌道よりもエネルギー的に低く、反対称結合はより高い。；共有結合が重結合である場合、その共有結合の結合次数はであるという。；この効果はほかのタンパク質と複合体と結合することで発揮される。；デングウイルスは皮膚に入るとすぐに、ランゲルハンス細胞と結合する。；含気骨には大きな空気の満たされた空洞があり、呼吸器と結合している。；真核生物のmRNA分子とそれに結合したタンパク質を合わせてと呼ぶ。；電気鉄道事業者などでは、分離操作・結合操作と呼ばれることがある。；ただしこのとき多重度の異なる結合は別の種類の線として区別する。；上記の母音単独で用いる文字のほか、子音字に結合する母音記号がある。</t>
        </is>
      </c>
      <c r="J2575">
        <f>HYPERLINK("https://www.weblio.jp/content/結合", "词义详情")</f>
        <v/>
      </c>
      <c r="K2575">
        <f>HYPERLINK("https://yourei.jp/結合", "查看例句")</f>
        <v/>
      </c>
    </row>
    <row r="2576">
      <c r="A2576" t="inlineStr">
        <is>
          <t>結婚</t>
        </is>
      </c>
      <c r="B2576" t="inlineStr">
        <is>
          <t>成功</t>
        </is>
      </c>
      <c r="C2576" t="inlineStr">
        <is>
          <t>読み方：けっこん
［名］(スル)夫婦になること。「お見合いで—する」「—式」「—生活」→婚姻(こんいん)
[補説]2014年6月に実施した「あなたの言葉を辞書に載せよう。2014」キャンペーンでの「結婚」への投稿から選ばれた優秀作品。◆親に反対されても強引に一緒になり、子に反対されても強硬に別れるもの。coniさん◆お化け屋敷。入る時はドキドキし、入ったら恐怖を体験し、出口に来た時、光と笑みが待っている。あしだかおるさん◆「自由な不安」が「不自由な安心」に変わること。あきさん◆互いの「空気」になること。はるたぬさん◆目に見えない「愛」を見えるように変換する行為。ototamaさん◆幸せの種を買うこと。咲くか枯れるかは育て方次第。トクホさん◆これからの人生を一人で決められなくなること。一人で決断しなくて良くなること。bolnoさん◆縁のあった他人が、お互いの慣習を持ちあい二人の慣習を作り出すもの。ふらおさん2014年1月24日放送「笑っていいとも!」の優秀作品◆お米の固さの好みを受け入れること。木下優樹菜さん◆愛で始まり、やがて憎悪に変わり、感謝で終わるもの。タモリさん2014年5月27日放送「ノンストップ!」での出演者作品◆独りの寂しさより二人のわずらわしさを選ぶこと。ハイヒール・リンゴさん</t>
        </is>
      </c>
      <c r="D2576" t="inlineStr">
        <is>
          <t>結婚する(10%)；結婚前；結婚しよ；結婚すれ；結婚以来</t>
        </is>
      </c>
      <c r="E2576" t="inlineStr">
        <is>
          <t>結婚式；婚姻；婚礼；結ばれる；祝言</t>
        </is>
      </c>
      <c r="F2576" t="inlineStr">
        <is>
          <t>早く結婚；結婚なんか；幸福な結婚；ご結婚；正式な結婚</t>
        </is>
      </c>
      <c r="G2576" t="inlineStr">
        <is>
          <t>結婚後；結婚生活；結婚相手；結婚式場；結婚披露宴</t>
        </is>
      </c>
      <c r="H2576" t="n">
        <v>29</v>
      </c>
      <c r="I2576" t="inlineStr">
        <is>
          <t>家族の存続を重視する朝鮮の伝統社会では、結婚が成人の指標とされた。；式には、結婚したばかりの作家であり友人の大江と妹ゆかりも参列した。；彼女は類い稀な変わらぬ美貌を得たが、結婚や子宝には恵まれなかった。；生涯結婚することが無く、一般的には子供もいなかったと言われる。；この立春のない年を盲年と呼び、結婚には不向きであるとの伝承がある。；結婚時に妻は結婚前の姓をそのまま用いることも、夫の姓に変えることも可能。；教会のリーダーは男性であるべきと主張し、結婚は苦難を招くと説いた。；結婚はしていたが、土田の希望により妻の存在は明らかにしていなかった。；多喜との結婚を許されなかったため、駆け落ち同然で江戸に出たという。；このメンバーの中にはそのままオールナイターズと結婚したメンバーもいる。；金丸の長男と竹下の長女は結婚し共通の孫までいる関係なのは有名である。；私生活では、2004年に皮膚科の医師と結婚したことを公表している。；この時期に成功し、30歳の時にロシア女性と結婚したが、後に離婚。；日本企業は、結婚した男性は独身男性よりも一人前であると考えている。；これらの英雄のほとんどはヘレネーに結婚を申し込んだ男たちだった。；かねてから問題視されていたのが、王妹マーガレット王女の結婚問題だった。；非結婚的な結合である同性愛者の共同生活が存在していることを認めている。；その際、同年結婚した最初の妻を伴ってのフィリピン行きとなった。；この結婚は、結婚以外に道のない女と結婚のチャンスのない男の結婚であった。；最初の子どもが生まれるのは結婚して3年というのが平均的だった。；ヘンリーは14歳になり結婚できる年齢となったが、結婚に抵抗した。；結果としてルターは数多くの修道者たちに結婚を斡旋するようになった。；だが、結婚してから1年ほどの間に、彼女の容姿は変わり果てていった。；ここで紹介されているのは結婚斡旋業から転じたものである。；結婚はしなかったが、恋愛がまったくなかったわけではないことが日記から判明している。；就職により生活の目途が立ったため、学生の身分を維持したまま結婚した。；また、女のメロウが人間の男と結婚し、子供を産むこともあるという。；この身分違いの結婚は貴族たちからの不評を買うことになる。；恋多き性格で、何度か結婚寸前まで話が進んだこともあるがいずれも破局。</t>
        </is>
      </c>
      <c r="J2576">
        <f>HYPERLINK("https://www.weblio.jp/content/結婚", "词义详情")</f>
        <v/>
      </c>
      <c r="K2576">
        <f>HYPERLINK("https://yourei.jp/結婚", "查看例句")</f>
        <v/>
      </c>
    </row>
    <row r="2577">
      <c r="A2577" t="inlineStr">
        <is>
          <t>傑作</t>
        </is>
      </c>
      <c r="B2577" t="inlineStr">
        <is>
          <t>成功</t>
        </is>
      </c>
      <c r="C2577" t="inlineStr">
        <is>
          <t>読み方：けっさく
［名・形動］
１作品が非常にすぐれたできばえであること。また、その作品。「数々の—を残す」
２言動などが突飛でひどくこっけいなこと。また、そのさま。「それは—な話だ」</t>
        </is>
      </c>
      <c r="D2577" t="inlineStr">
        <is>
          <t>傑作選(6%)；傑作集；傑作機；傑作群；傑作コント</t>
        </is>
      </c>
      <c r="E2577" t="inlineStr">
        <is>
          <t>大作；名作；佳作；名曲；名画</t>
        </is>
      </c>
      <c r="F2577" t="inlineStr">
        <is>
          <t>代表する傑作；傑作として名高い；sf傑作；傑作として高く評価；代表的傑作</t>
        </is>
      </c>
      <c r="G2577" t="inlineStr">
        <is>
          <t>傑作機シリーズ</t>
        </is>
      </c>
      <c r="H2577" t="n">
        <v>29</v>
      </c>
      <c r="I2577" t="inlineStr">
        <is>
          <t>いずれもミャスコフスキーの作品のうちでは演奏の機会が多い傑作である。；で放送されているコーナーの傑作選やリニューアル後の見所を紹介した。；松本清張原作の映画の中でも、特に傑作として高く評価されてきた作品。；TBSラジオで前週に放送がなかった場合、過去の傑作集が放送される。；インテンデンテ駅の彼女の装飾は、現代タイル芸術の傑作とされている。；常磐津節の中では初期の作品だが、上下二巻の大曲で傑作との評価が高い。；古典的な名作や多くのバリエーションを生み出した傑作などを紹介する。；番組は、過去に制作された傑作コントを厳選・再編集した内容になる。；前半の数作は傑作とは言えないまでもどれも独特の力強いドラマ展開をもっている。；名前の意味は一生のうちでの傑作もしくは注力した作品を示す。；分かり易い筋といなせな鳶の者の生活が描写された世話物の傑作である。；ソウルオリンピック開催後、魅力的な音色感に溢れた傑作を次々と発表。；そして後のピエール・ブーレーズらにも影響を与えた傑作である。；もしかしたら現場のパワーで大傑作になっているかもしれませんよ!；カラヴァッジオの傑作の一つで、画家本人の署名がされた唯一の作品である。；また同社より新作を含めた傑作選がコンビニコミックとして刊行された。；現代に至るまで、その傑作が世界の舞台で上演されている。；現在では多くの人から映画史に残る傑作の一つとして認識されている。；この後、幾度かここから傑作とされるアルバムを送り出すことになる。；アメリカ・メイン州の小さな島で暮らす老姉妹の夏の日々を淡々と描く傑作。；ヤクルトでの小早川さんなどもいますが、僕こそが一番の傑作だと思っています。；また過去に放送されたドラマの傑作選も放送されている。；主たる骨格はわずか38年で完成、これは初期イングランド建築の傑作。；コンピレーション・アルバム『傑作』に収録されたが廃盤になっている。；入院中の体験をもとに医療体制の風刺をまぶした傑作であった。；映画は後にフランス各地で公開され、イーストウッドの傑作の一つに数えられている。；そんなものがあってもなくても傑作ができれば条例なんてすっ飛んでしまう。；いろんな要素が重なって傑作シリーズが生まれたんだと思う。；これらは、激しい運動の瞬間を巧みにとられた傑作といわれる。</t>
        </is>
      </c>
      <c r="J2577">
        <f>HYPERLINK("https://www.weblio.jp/content/傑作", "词义详情")</f>
        <v/>
      </c>
      <c r="K2577">
        <f>HYPERLINK("https://yourei.jp/傑作", "查看例句")</f>
        <v/>
      </c>
    </row>
    <row r="2578">
      <c r="A2578" t="inlineStr">
        <is>
          <t>決算</t>
        </is>
      </c>
      <c r="B2578" t="inlineStr">
        <is>
          <t>成功</t>
        </is>
      </c>
      <c r="C2578" t="inlineStr">
        <is>
          <t>読み方：けっさん
［名］(スル)
１金銭の勘定を締めくくること。収入と支出の総計算。
２企業会計で、一会計期間の経営成績と期末の財政状態とを明らかにするために行う手続き。
３国または地方公共団体が、出納の完結した一会計年度の歳入・歳出について、予算と実績とを対比して作成する確定的計算。</t>
        </is>
      </c>
      <c r="D2578" t="inlineStr">
        <is>
          <t>決算報告(6%)；決算委員長(3%)；決算日；決算行政監視；決算時</t>
        </is>
      </c>
      <c r="E2578" t="inlineStr">
        <is>
          <t>精算；総決算；収支決算</t>
        </is>
      </c>
      <c r="F2578" t="inlineStr">
        <is>
          <t>期決算；赤字決算；収支決算；黒字決算；衆議院決算</t>
        </is>
      </c>
      <c r="G2578" t="inlineStr">
        <is>
          <t>決算委員会；決算書；決算発表；決算公告；決算短信</t>
        </is>
      </c>
      <c r="H2578" t="n">
        <v>29</v>
      </c>
      <c r="I2578" t="inlineStr">
        <is>
          <t>つまり会社側により公表されていた決算数字はでたらめなものであった。；なぜなら、われわれは神の御前でそれを決算しなければなりませんから。；その仕事を彼は自分の今日までの作品の総決算にしようと考えつづけていたのだ。；発生順に書いてゆく備忘的な記録であり、帳簿の保存や決算はなかった。；之が今の処わが国に於けるブルジョア哲学の総決算であるように見える。；一九七 以上の一切が終ったとき、私の勘定は次のようにして決算せられる。；現在のわれわれはその決算表をつきつけられているのである。；総決算の時は必ず来る、誰も想像出来ない様な大戦争が起るであろう。；以下では、決算状況表に定められた、最も一般的な方法について説明する。；それは、自分自身の総決算を事の序にしてもよいと覚悟をきめたからである。；議員を辞任しはしたが、現職の決算委員長の犯罪はなんとしてもまずい。；しかるにいよいよその決算をやる段になると、不思議な現象が起って来た。；国の予算の編成、決算の作成、会計制度の企画立案を主な業務としている。；組合を認めて、代表を出させて、年に一遍正直な決算報告書を見せるんだ。；そうして、結局負けてしまった者はなんだかんだといって決算しないだろう。；この二、三日、わたしは自分の身体の内部財産について決算をしてみました。；同じ日付であっても、決算月や決算日によって何年度となるかは変わる。；貴族や仏教寺院が管理する荘園でも決算報告が制度化されていた。；三十八年の八九三な過ごし方の総決算を今からつけるわけだ。；本会議は各種条例の制定、予算、決算、その他の承認や認定が行われる。；が、概して没落史は歴史上いつも至極かんたんに総決算されすぎている。；この意味においてイズムは会社の決算報告に比較すべきものである。；僕は過去の生活の総決算の為に自殺するのである。；ただ、この形をとると、会社の業務活動と決算を政府に報告しなければならなくなる。；秋の決算に備えなければならない時期にきていた。；その一方で赤字決算であるものの倒産しない企業も多数存在する。；この年の決算報告で債務超過が解消されたことが発表され、チーム消滅の危機は脱出した。；最終決算のためには将来を待つしかないであろう。；会社自体も五十九年度には、二十年ぶりに減収減益の決算を発表した。</t>
        </is>
      </c>
      <c r="J2578">
        <f>HYPERLINK("https://www.weblio.jp/content/決算", "词义详情")</f>
        <v/>
      </c>
      <c r="K2578">
        <f>HYPERLINK("https://yourei.jp/決算", "查看例句")</f>
        <v/>
      </c>
    </row>
    <row r="2579">
      <c r="A2579" t="inlineStr">
        <is>
          <t>決して</t>
        </is>
      </c>
      <c r="B2579" t="inlineStr">
        <is>
          <t>成功</t>
        </is>
      </c>
      <c r="C2579" t="inlineStr">
        <is>
          <t>読み方：けして
［副］「けっして1」に同じ。</t>
        </is>
      </c>
      <c r="D2579" t="inlineStr">
        <is>
          <t>決して忘れ；決してそんな；決して悪い；決して少なくない；決して悪く</t>
        </is>
      </c>
      <c r="E2579" t="inlineStr">
        <is>
          <t>絶対；絶対に；二度と；誓って；金輪際</t>
        </is>
      </c>
      <c r="F2579" t="inlineStr">
        <is>
          <t>決して少なく；もう決して；決して珍しく；決して良い；決して然らざ</t>
        </is>
      </c>
      <c r="H2579" t="n">
        <v>29</v>
      </c>
      <c r="I2579" t="inlineStr">
        <is>
          <t>朕はこれに同意したこともなければ、今後も決して同意しないであろう。；この位置にある物体は決して地球や月に遮られることがないからである。；作家の中には自身の作品の会話文に決して疑問符を使わない者もいる。；母は、子供時代の彼が決して頭が良いとは思えなかったと振り返った。；ロシア第1軍が救助に向かおうと試みたときには既に大勢は決していた。；本人自らやる作品は派手なミスが多く、決して得意というわけではない。；決して近代的な国際関係の中に自国が置かれたとは考えていなかった。；ENIACの設計は一種独特であり、決して他では採用されなかった。；しかしこの時期のコルトレーンの演奏は決して評判の良いものではなかった。；暖かすぎたり寒すぎたりし、極端な傾向があるが、決して正常ではない。；しかしこの条約は、決してサーミ人の権利を侵害するものではなかった。；良いイメージの眼鏡キャラクターの概念が登場したのは決して最近ではない。；情報収集には決して秘密・非合法な手段ばかりが用いられるわけではない。；どんな場所だろうと、私が到着するまで決して始めさせることはなかったのだ。；このためヴァラールが最初に構想した世界は決して実現しなくなってしまった。；投手のリズムを最優先し、決して自分の意思を主張しない捕手であった。；戦争によって勝ち得た権利を放棄することをアメリカは決して同意しない。；この時代、技術を真似して盗むことは決して悪いことではなかったのである。；そして「決して入るな」と言われた地下室にうっかり足を運んでしまう。；彼は人を怒らせるかもしれないが、人を欺くことは決してしなかった。；しかし、どうしても皮をむく必要があるなら、決して生のうちにむくな。；と述べており、決してネガティブなイメージの言葉ではないと説明している。；一方で天皇と道長・彰子の関係が決して良好ではなかったと見る説もある。；魔王は戦争で敗れることはあっても、決して滅ぼされることはなかった。；しかし、汪に続く国民党幹部は決して多くなく、日本軍撤退もなかった。；決して『人間ならそのくらいのミスはあるさ』といった姿勢がみられない。；このようなガリバルディの革命事業は、決して満足のいくものではなかった。；しかし、古代・中世にはエーゲ海の航海は決して安全なものではなかった。；実際に食べる事ができる料理は決して多くは無かった。</t>
        </is>
      </c>
      <c r="J2579">
        <f>HYPERLINK("https://www.weblio.jp/content/決して", "词义详情")</f>
        <v/>
      </c>
      <c r="K2579">
        <f>HYPERLINK("https://yourei.jp/決して", "查看例句")</f>
        <v/>
      </c>
    </row>
    <row r="2580">
      <c r="A2580" t="inlineStr">
        <is>
          <t>月謝</t>
        </is>
      </c>
      <c r="B2580" t="inlineStr">
        <is>
          <t>成功</t>
        </is>
      </c>
      <c r="C2580" t="inlineStr">
        <is>
          <t>読み方：げっしゃ
指導を受ける謝礼として月ごとに支払う金。特に、授業料。</t>
        </is>
      </c>
      <c r="D2580" t="inlineStr">
        <is>
          <t>月謝五；月謝制；月謝値上げ；月謝不要</t>
        </is>
      </c>
      <c r="E2580" t="inlineStr">
        <is>
          <t>学費；学資；授業料；謝金；指導料</t>
        </is>
      </c>
      <c r="H2580" t="n">
        <v>29</v>
      </c>
      <c r="I2580" t="inlineStr">
        <is>
          <t>それに又月謝やその他の費用がとても民衆には払われるものでない。；私はただ母が月謝を入れてくれたのをもって来たばかりだ。；その頃クレーマンの月謝というのは一週一回で、数百金であったそうだ。；あんたにかけた月謝の分、返してくれって言ってるんじゃないのよ。；私には私の給料がクラスの月謝の総額より多そうな気がしていた。；それは少なくとも月に五十銭ぐらいの月謝を払わなくては教えてくれる人はないです。；確かにあたしは高校の月謝の三千数百円しか持って出なかった。；先生の月謝なんか、みんなその場で書いて「はい」って先生に渡すしね。；両親は孫を溺愛していて、高い私立の月謝を払ってくれたほどである。；貧乏で月謝の払えないような子でも、一向に嫌な顔もせず教えている。；その後同年12月時点で、コンビ間での月謝制度は廃止になった模様。；お母さんは家中をさがしましたが、月謝の袋は出て来ませんでした。；何とかその月謝をベースに生活を始めたが、とても、それだけでは食えない。；しかし父の倒産で、月謝不足から休学を強いられ、大阪電話局で働いた。；バラはその児童らのために月謝の要らない学校を作り、彼らを受け入れた。；これは今日の弟子達が置いて行つた月謝の全部だ。；前述の全日制コースのほかに、月謝制のコースも設けられている。；月謝を払って学校へ行くのでも、保険にはいるのでもそうである。；月謝を払う余裕のある家が少なく、学校もあまり実用的なことは教えなかった。；月謝の代わりにおばあちゃまの弟子たちに英語を教えるという約束だった。；月謝は、初めに母に持たされたものを、多すぎる、と半分お返しになった。；贋物贋筆を買うのは月謝を出すのだから、少しも不当の事ではない。；あたしはそんなことを月謝も払わずに毎月やってもらっていた。；女子も入学可の医学校としては、成医会講習所があったが、月謝半年分。；この商売は月謝をとって噺を教えてくれるのではない。；でも、主人だから、月謝ただのせいか、一向に声がよくならないといっている。；学校にはほとんど行かず月謝を使い込んで寄席や映画に行った。；自分で教室を探してきてさっさと入学の手続きを取り、月謝だけは親に出してもらった。；贋物贋筆を買ふのは月謝を出すのだから、少しも不当の事では無い。</t>
        </is>
      </c>
      <c r="J2580">
        <f>HYPERLINK("https://www.weblio.jp/content/月謝", "词义详情")</f>
        <v/>
      </c>
      <c r="K2580">
        <f>HYPERLINK("https://yourei.jp/月謝", "查看例句")</f>
        <v/>
      </c>
    </row>
    <row r="2581">
      <c r="A2581" t="inlineStr">
        <is>
          <t>欠如</t>
        </is>
      </c>
      <c r="B2581" t="inlineStr">
        <is>
          <t>成功</t>
        </is>
      </c>
      <c r="C2581" t="inlineStr">
        <is>
          <t>読み方：けつじょ
［名］(スル)
１必要な物事が欠けていること。「判断力の—」「道徳心が—している」
２「欠字2」に同じ。</t>
        </is>
      </c>
      <c r="D2581" t="inlineStr">
        <is>
          <t>欠如ゆえ；欠如そのもの；欠如感</t>
        </is>
      </c>
      <c r="E2581" t="inlineStr">
        <is>
          <t>不足；不十分；欠く；不完全；剥奪</t>
        </is>
      </c>
      <c r="F2581" t="inlineStr">
        <is>
          <t>完全な欠如；自信欠如；病識欠如；意志欠如</t>
        </is>
      </c>
      <c r="H2581" t="n">
        <v>29</v>
      </c>
      <c r="I2581" t="inlineStr">
        <is>
          <t>社会的孤立と社会的な支援の欠如は、自殺のリスク増加と関連している。；このような愛他的情操の欠如は遺伝による器官的な異常によるとされた。；この証拠文書の欠如は、実践がやがて共通財産になるためと言われている。；新しい建築作品は想像力が欠如していると思った人々によって批判された。；人々はモチベーションの欠如のため、自身を受容することが困難である。；しかしこのことはホンダの技術力の欠如を意味しているわけではない。；その結果、副操縦士への信頼が欠如し、致命的な決定を下してしまった。；彼らは民衆詩派として注目されたが、芸術性の欠如などを批判された。；この遅れの一部は原子炉建設で未熟な下請けの監督の欠如が原因であった。；しかし、犬を扱う技術の欠如が間もなく明らかとなり、歩みは鈍かった。；そのため、一部には両者の関連性の欠如が問題として指摘されている。；彼らの活動を可能にした最大の要因は統治の欠如と治安要員の不在であった。；ところが反乱は、ヘンリー王の情報網と指導者の組織化の欠如で敗北した。；闇とは単なる光の欠如であり、研究の対象になることもない。；しかしながらまもなくこの計画は明確な要素や対象が欠如しているとして批判された。；しかし、条約の内容ではポーランドの支援の欠如が述べられた。；しかし台本での創意性に欠如していたため民間で広まるには至らなかった。；封建制は官僚と文字にした記録が欠如した一方で公共の安全を齎した。；いったいなんで実在の人を特徴づける性格が内面の欠如になるんです?；この明快性の欠如は以下に示された見解の諸相違のうちのいくつかを示すものであるかもしれない。；終わりなき継続の広く拡がった予測は本質的に幻想の欠如に由来する。；このような価格調整の欠如は経済が不均衡に陥る理由を説明する。；この番組に対する否定的な評価の多くはオリジナリティの欠如を指摘している。；これは、文書の隙間と一部の主要な挿し絵の欠如に基づいている。；ペドロの学業が幅広いのにもかかわらず、彼の教育の欠如は明らかだった。；それは訴えの内容を証明する証拠の欠如を意味する。；歴史的資料の欠如のため、バタクの正確な起源は知られていない。；「蛙飛び型開発」は分譲地間の関係またはその欠如を意味する用語である。；加えて報告書ではクロスエアの安全管理が欠如していたことなどを指摘した。</t>
        </is>
      </c>
      <c r="J2581">
        <f>HYPERLINK("https://www.weblio.jp/content/欠如", "词义详情")</f>
        <v/>
      </c>
      <c r="K2581">
        <f>HYPERLINK("https://yourei.jp/欠如", "查看例句")</f>
        <v/>
      </c>
    </row>
    <row r="2582">
      <c r="A2582" t="inlineStr">
        <is>
          <t>結晶</t>
        </is>
      </c>
      <c r="B2582" t="inlineStr">
        <is>
          <t>成功</t>
        </is>
      </c>
      <c r="C2582" t="inlineStr">
        <is>
          <t>読み方：けっしょう
［名］(スル)
１原子・分子・イオンなどが規則正しく立体的に配列されている固体物質。日常的には単結晶をさすが、多結晶をさすこともある。「雪の—」
２ある事柄が積み重なり、他のある形をとって現れること。「愛の—」「日々の努力が—する」</t>
        </is>
      </c>
      <c r="D2582" t="inlineStr">
        <is>
          <t>結晶化(6%)；結晶性(4%)；結晶体(3%)；結晶構造解析(3%)；結晶中(2%)</t>
        </is>
      </c>
      <c r="E2582" t="inlineStr">
        <is>
          <t>効果；成果；収穫；産物；クリスタル</t>
        </is>
      </c>
      <c r="F2582" t="inlineStr">
        <is>
          <t>針状結晶；思考結晶；白い結晶；白色結晶；再結晶</t>
        </is>
      </c>
      <c r="G2582" t="inlineStr">
        <is>
          <t>結晶化；結晶格子；結晶片岩；結晶学；結晶粒</t>
        </is>
      </c>
      <c r="H2582" t="n">
        <v>29</v>
      </c>
      <c r="I2582" t="inlineStr">
        <is>
          <t>エリアが崩壊するか、肩の結晶体を破壊されない限り、ほぼ無敵である。；この結晶については大量の商業的な技術情報を入手することが出来る。；エナメル小柱の中の水酸燐灰石の結晶の配置は非常に複雑となっている。；この反応で生成した塩化水銀の結晶を凝縮すると濃度の高いものとなる。；規則的パターンで並んで構成されている物質は結晶と呼ばれる。；結晶池で塩が堆積した後は収穫機等で水平に塩の層を削り取り採塩する。；内部レジスタは超音波を結晶中で反射させその遅延時間を利用していた。；そのような結晶構造には以下のように名前が付けられている。；板状結晶が集まってバラの花のように見えるものを砂漠のバラという。；両方の試薬が先史時代に利用可能だったので結晶は古くから観察されていた。；超短パルスレーザーによって結晶核を発生させる方法も開発されている。；実は消滅時に心を結晶化させられ、ゼアノートの手に落ちていた事が判明。；なぜなら空孔を一切含まない理想的な結晶が最もよい凝縮状態だからである。；ゴニオメーターは、結晶を選択した方向に配置するために使用される。；写真のフィルムなどの工業用途に用いられる塩化銀の自然結晶である。；圧電効果を示す結晶に電圧を印加すると、逆に結晶の形が若干変化する。；このような結晶性樹脂としての特性を生かした各種用途に用いられている。；したがって全ての結晶に対してどのように結晶軸を取るかが決められている。；第一段階は測定対象物質の適切な結晶を得ることである。；結晶の成長は環境に依存するため、必ずしも等方向的ではなく一定の形状にはならない。；現実の結晶では、格子欠陥や不純物を完全に排除することは不可能である。；さらに結晶の種類によっては六方晶系その他の構造を取るものもある。；結晶相は低抵抗でアモルファス相は高抵抗である事を利用してデータの記録に利用する。；近年では基板上に結晶を成長させて剥がす方法も実用化の域に達しつつある。；結晶はほぼ金属のような電気伝導性を示し、最初のとして報告された。；晶洞には結晶の形が明らかなものも少なくないが、塊状で産することが多い。；液体をある有限の速さで冷却していくと結晶化せずに過冷却液体になる。；結晶構造が氷に似ているため、水が結晶する際の種となりやすい。；結晶と別の結晶との間に残された不連続な境界面が結晶粒界となる。</t>
        </is>
      </c>
      <c r="J2582">
        <f>HYPERLINK("https://www.weblio.jp/content/結晶", "词义详情")</f>
        <v/>
      </c>
      <c r="K2582">
        <f>HYPERLINK("https://yourei.jp/結晶", "查看例句")</f>
        <v/>
      </c>
    </row>
    <row r="2583">
      <c r="A2583" t="inlineStr">
        <is>
          <t>決勝</t>
        </is>
      </c>
      <c r="B2583" t="inlineStr">
        <is>
          <t>成功</t>
        </is>
      </c>
      <c r="C2583" t="inlineStr">
        <is>
          <t>読み方：けっしょう
最後の勝負を決めること。競技などで、優勝者を決めること。また、その試合。「—戦」</t>
        </is>
      </c>
      <c r="D2583" t="inlineStr">
        <is>
          <t>決勝大会；決勝リーグ；決勝線；決勝進出；決勝本塁打</t>
        </is>
      </c>
      <c r="E2583" t="inlineStr">
        <is>
          <t>決勝戦；ファイナル</t>
        </is>
      </c>
      <c r="F2583" t="inlineStr">
        <is>
          <t>大会決勝；ダブルス決勝；faカップ決勝；トーナメント決勝；シングルス決勝</t>
        </is>
      </c>
      <c r="G2583" t="inlineStr">
        <is>
          <t>決勝進出；決勝トーナメント；決勝点；決勝レース；決勝ラウンド</t>
        </is>
      </c>
      <c r="H2583" t="n">
        <v>29</v>
      </c>
      <c r="I2583" t="inlineStr">
        <is>
          <t>その最大の要因はウィンブルドン決勝で3年連続で対戦したことである。；特に高校野球では、決勝より準決勝の方が面白いといわれることもある。；決勝では同じく人気を集めていたミシガン州立大学スパルタンズと対戦。；チームが2度目の優勝を決めたナビスコカップ決勝には出場できなかった。；同年の大学全日本選手権でも決勝で再試合の末に関学を降して優勝した。；決勝はJ1リーグ戦でこれまで1度も勝利をした事がない川崎と対戦。；翌年夏は県予選決勝に進出するが川之江高に敗れ、甲子園出場を逸する。；日本では走路の決勝線のある側の外周に東-南向きに設置されることが多い。；ゼムノヴィッチ体制初の大会となった天皇杯は2大会ぶりに決勝に進出した。；テムジンガンダムの後継機として決勝用に開発されていたとされる。；これで天皇杯決勝は東洋工業時代を含めて9連敗となってしまった。；通常は土曜深夜に予選を放送し、翌日に決勝の模様が放送される。；また一部地方予選決勝はダイジェストで放送されることもある。；同日、走高跳の予選に出場、1m83cmを飛んで翌日の決勝へ進んだ。；準決勝・決勝とも上位チームは勝利または引き分けでも勝利の権利を得られる。；明治神宮大会では右腕の痛みもあって決勝のみ救援登板して胴上げ投手。；直線に入っても盛り返すことができず、後方のまま決勝線を通過。；インディ500では、予選と決勝でドライバーを交代させることができる。；決勝で入来祐作擁する本田技研に敗れたが、大会の優秀選手に選ばれた。；決勝に於いては前半は互角の結果を残したものの、後半は負け続けてしまった。；同年の夏の甲子園にも出場し、決勝で植松精一のいた静岡高を降し優勝。；そんな中、2005年大会も決勝進出するも最下位に終わってしまう。；決勝でも4位に入り、日本と並ぶ世界の強豪国に位置付けられている。；決勝判定写真は平地競走などと同様にスリットカメラ方式を採用している。；国体では、決勝で福岡大大濠を3番手投手として登板し優勝に貢献した。；決勝ではまたもやベンフィカと対戦し、延長前半に得点して初優勝に貢献した。；フィニッシュは決勝線にトルソーが到達した時と定められている。；翌年の第83回大会では大会50年ぶりとなる連覇を目指したが決勝で敗れた。；同年の夏は県予選決勝に進出するが、明石高に敗れ甲子園には届かなかった。</t>
        </is>
      </c>
      <c r="J2583">
        <f>HYPERLINK("https://www.weblio.jp/content/決勝", "词义详情")</f>
        <v/>
      </c>
      <c r="K2583">
        <f>HYPERLINK("https://yourei.jp/決勝", "查看例句")</f>
        <v/>
      </c>
    </row>
    <row r="2584">
      <c r="A2584" t="inlineStr">
        <is>
          <t>決心</t>
        </is>
      </c>
      <c r="B2584" t="inlineStr">
        <is>
          <t>成功</t>
        </is>
      </c>
      <c r="C2584" t="inlineStr">
        <is>
          <t>読み方：けっしん
［名］(スル)心を決めること。考えを決めること。「やっと—がつく」「こうと—した以上は必ずやる」
[用法]決心・決意——「すべてを忘れて再出発することを決心（決意）した」「社長はA社との合併を決心（決意）した」のように、心（気持ち）を定めるの意では相通じて用いられる。◇「決心」は考えを決めるというところに重点があり、「決意」は意志を固めるというところに重点がある。したがって「なかなか決心がつかない」場合に「決意」を用いることを普通はしない。◇「今年中に結婚する決心をした」「優勝を目指してがんばる決意です」の場合、「決意」と「決心」は交換できないこともないが、それぞれを置き換えることによって、表現される内容に原文と微妙な違いを生じる。</t>
        </is>
      </c>
      <c r="D2584" t="inlineStr">
        <is>
          <t>決心いたし；決心致し；決心なさい；決心した心；決心なさる</t>
        </is>
      </c>
      <c r="E2584" t="inlineStr">
        <is>
          <t>決定；判断；決意；意志；結論</t>
        </is>
      </c>
      <c r="F2584" t="inlineStr">
        <is>
          <t>一大決心；固く決心；かたく決心；ご決心；固い決心</t>
        </is>
      </c>
      <c r="H2584" t="n">
        <v>29</v>
      </c>
      <c r="I2584" t="inlineStr">
        <is>
          <t>原作ではこの行為がきっかけで、現在住んでいる家を買う決心がついた。；この公演は評判を呼び、自信をつけた金太郎は俳優になる決心がついた。；彼は自身の幼い息子であったを教育のためイングランドへと送る決心をした。；ついに作曲の決心をした際にも恐る恐るの様相で、妻にこう述べている。；こういった理由から志賀は地上で搭乗員の支援に徹することを決心した。；それでも産む決心をするが、信じられないほどの困難が待ち受けていた。；彼女はその現実を目の当たりにして、彼らのためになろうと決心した。；すなわち、ヒトが意識する前にすでに脳は決心に向けて活動し始めている。；これらの動きは、日本軍にこの方面への増援部隊の投入を決心させた。；その後、孝子はもう一度生活をやり直そうと夫のもとへ戻る決心をする。；老衰で寝たきりになったタムを、私と妻は最後まで見取ろうと決心する。；これを使ってアルバムを使って日本に帰る決心がついたんです。；翌日、二人はそれぞれ過去に別れを告げ、共に生きていく決心をする。；しかしチャーリーは工場を維持し従業員を雇用し続けることを決心する。；しかし、彼はイエズス会士や司法官ではなく、詩人になろうと決心した。；パリでライナスに会ったサブリナは二人で生きていくことを決心した。；最下位で入学したが、大学を出るときは絶対に一番になると決心したという。；それは不思議なことではあったが、医者に尋ねに行こうと決心させる力があった。；自らの手で曽根を殺害することを決心した秀一は、完全犯罪を計画する。；楽団のメンバーから多くの手紙や署名が届けられ、決心に至ったという。；自殺を決心している人に、自殺を容易にする援助を行うと自殺幇助罪となる。；謝ろうと決心してママの寝室の前に立つと、ドアの隙間から強烈な光が。；この橋寺は魅力的な相手だったが、再婚の決心がついていないようだった。；父が狩りに出ている間に、ハンナは決心して装置のスイッチを入れる。；お来は嘆きながらも身代りとなることを決心し、ともに奥へと入った。；しかし偶然にも成功してしまったことを機にゆりかは決心する。；中野は「俺も馬の仕事をやりたい」と思っていたが、決心がつかなかった。；この決心は、その後の彼の人生に影響を与える、大きな転機となった。；彼女はその後、演技のキャリアを追求するため女優に成ることを決心した。</t>
        </is>
      </c>
      <c r="J2584">
        <f>HYPERLINK("https://www.weblio.jp/content/決心", "词义详情")</f>
        <v/>
      </c>
      <c r="K2584">
        <f>HYPERLINK("https://yourei.jp/決心", "查看例句")</f>
        <v/>
      </c>
    </row>
    <row r="2585">
      <c r="A2585" t="inlineStr">
        <is>
          <t>結成</t>
        </is>
      </c>
      <c r="B2585" t="inlineStr">
        <is>
          <t>成功</t>
        </is>
      </c>
      <c r="C2585" t="inlineStr">
        <is>
          <t>読み方：けっせい
［名］(スル)会や団体などの組織を作ること。「劇団を—する」</t>
        </is>
      </c>
      <c r="D2585" t="inlineStr">
        <is>
          <t>結成当初；結成時；結成当時；結成以来；結成メンバー</t>
        </is>
      </c>
      <c r="E2585" t="inlineStr">
        <is>
          <t>設置；建設；構成；設立；組織</t>
        </is>
      </c>
      <c r="F2585" t="inlineStr">
        <is>
          <t>バンド結成；コンビ結成；グループ結成；チーム結成；ユニット結成</t>
        </is>
      </c>
      <c r="H2585" t="n">
        <v>29</v>
      </c>
      <c r="I2585" t="inlineStr">
        <is>
          <t>大正9年には日本社会主義同盟が結成されるが翌年に禁止されてしまう。；もともとはフランスの核実験などに反対して結成された政治的団体であった。；元々は、清朝末期に李鴻章が結成した地方軍・淮軍が主体となっている。；同じ職場で働いている人たちで結成したチームが参加できる大会。；ソブーザ2世の政党結成に対する発令や宣言は現在も廃止されていない。；再度、ソ連共産党やナチス党をモデルにした独裁政党の結成を目指した。；また、7月27日に海部は自由改革連合を結成して代表に就任している。；この決定に反発した息子は独立してウダーシー派を結成した。；卒業後もアンサンブルグループを結成してコンサート活動を行う。；その後も結成されようとしている組合との交渉役をベネットに任せている。；期成会の支援のもと、各地の職工たちは職業別組合を結成していった。；正式に認可されたのは1216年であり、この年が正式な結成日となっている。；この場合はアメリカとは異なり、当初から国家が主体となって結成される例がほとんどである。；JNNは結成当初から特定の新聞との関係を持っていない。；オールナイトフジの最終回に可能な限りのメンバーを集め一度だけ再結成された。；また日本で軍事教育を受けていた同盟会会員による丈夫団も結成されている。；一方で、組織の急激な穏健化に不満を抱いたを中心とする人々は分派を結成。；院内会派とは、2人以上の院所属議員で結成する団体のことである。；その後15年の間に4つの連が結成され、高円寺で賞を獲得する連も出てきた。；厳しく変わらない戦況に、日本軍はらいむ隊結成計画を再び立ち上げる。；これは雑誌社に名を借りた事実上の「名無しの党」組織結成を目指していた。；満州事変後、右翼学生が国家主義を前面に掲げて団体を結成しはじめる。；このなかから、社会党青年部を基礎に社青同が1960年に結成された。；クリティカァに籍を置く調査員の中でも特に優秀な者で結成される。；地方民放局では労働組合自体が結成されていないところもある。；これは中世の古いハンザ同盟の伝統に基づき結成された。；通常時には党の組織的活動はほとんどみられず、各選挙ごとに党の委員会が結成されて活動する。；全共闘は各大学等で結成されたため、その時期・目的・組織・運動方針などはそれぞれである。；YMO結成後もしばらくは、メンバーは並行する形で別の音楽活動を行っていた。</t>
        </is>
      </c>
      <c r="J2585">
        <f>HYPERLINK("https://www.weblio.jp/content/結成", "词义详情")</f>
        <v/>
      </c>
      <c r="K2585">
        <f>HYPERLINK("https://yourei.jp/結成", "查看例句")</f>
        <v/>
      </c>
    </row>
    <row r="2586">
      <c r="A2586" t="inlineStr">
        <is>
          <t>欠席</t>
        </is>
      </c>
      <c r="B2586" t="inlineStr">
        <is>
          <t>成功</t>
        </is>
      </c>
      <c r="C2586" t="inlineStr">
        <is>
          <t>読み方：けっせき
［名］(スル)出席すべき会合などに出ないこと。また、生徒や学生が学校を休むこと。「同窓会に—する」「授業を—する」⇔出席。</t>
        </is>
      </c>
      <c r="D2586" t="inlineStr">
        <is>
          <t>欠席する(12%)；欠席者(3%)；欠席日数；欠席届；欠席理由</t>
        </is>
      </c>
      <c r="E2586" t="inlineStr">
        <is>
          <t>留守；不在；欠場；欠勤；不参</t>
        </is>
      </c>
      <c r="F2586" t="inlineStr">
        <is>
          <t>無欠席；病気欠席；称して欠席；ご欠席；欠席続き</t>
        </is>
      </c>
      <c r="H2586" t="n">
        <v>29</v>
      </c>
      <c r="I2586" t="inlineStr">
        <is>
          <t>来ると約束したのに、最後になって欠席させてくれと言ってきたのですわ。；勝手に全員が出席していると決めてかかっていたが、欠席者がいたらしい。；オランダは2003年のから1回も欠席せずに参加する唯一の国である。；ワークスマセラティはドイツでの失敗の後、再び欠席することとなった。；江川事件の対応を巡ってそれに抗議したボイコットのため欠席となった。；「このところ欠席が多いぞ」 と、三人の先生からヨシオは注意された。；また、この裁判には被告となった男性は欠席、答弁書を提出しなかった。；また番組初期には本来の理由だけでなく番組内での欠席の理由が付けられていた。；この3つは転出入や欠席をしない限り在学中に2回経験することとなる。；この頃には飲酒量も多くなり、しばしば二日酔いで練習を無断欠席した。；切除手術は無事終了したものの、療養のため直後の株主総会を欠席した。；小学時代は6年間の欠席が3日程だったことから皆勤賞をもらっていた。；またメンバーがライブ欠席等の際にポジションチェンジが頻繁に行われる。；だから彼はその時間に合わせてしばしば授業を欠席し、パン店へいくこととなった。；午後から行くつもりであったのにとうとう欠席してしまった。；富永倫子が欠席のときは、他のRKBアナウンサーが代わりに出演する。；撮影を欠席した坂本はジャケットの裏表紙に1人で大きく登場している。；マチルドと対立関係にあったウジェニー皇后は出産のため欠席していた。；遅刻なり欠席なりの連絡が、彼女から届いているのではないかと思ったのだ。；ただし、セメスター毎に1回のみ、理由なしでの欠席が認められている。；仕事などで家人が全員そろわなければ、欠席者の食事を取り分けておく。；次の日中学に行ったとき、同級の美しい少年が一人欠席していた。；生徒は自殺する直前に入学後初めて学校を欠席していた。；そちたちは、余らが危険にさらされているのを承知の上で欠席した。；松原が番組を欠席するのは前番組から通算してはじめてとなる。；今日は社は休む日、学校は二時間あるのだが欠席し、朝から家にいる。；特に大学において、欠席者が不正に出席点を獲得する目的で行われる。；そして未出席の議員のほぼ全員が、体調不良による欠席となっていた。；また番組内では欠席があったり欠席の後に復帰するメンバーもいる。</t>
        </is>
      </c>
      <c r="J2586">
        <f>HYPERLINK("https://www.weblio.jp/content/欠席", "词义详情")</f>
        <v/>
      </c>
      <c r="K2586">
        <f>HYPERLINK("https://yourei.jp/欠席", "查看例句")</f>
        <v/>
      </c>
    </row>
    <row r="2587">
      <c r="A2587" t="inlineStr">
        <is>
          <t>結束</t>
        </is>
      </c>
      <c r="B2587" t="inlineStr">
        <is>
          <t>成功</t>
        </is>
      </c>
      <c r="C2587" t="inlineStr">
        <is>
          <t>読み方：けっそく
［名］(スル)
１ひもや縄などで結んで束にすること。「角材を一〇本ずつ—する」
２志を同じくする者が団結すること。「仲間の—が固い」「みんなで—して事に当たる」
３衣服や甲冑(かっちゅう)を身に着けること。身じたくすること。
「夜半に—して、…剣が峰の天頂迄登って」〈漱石・それから〉</t>
        </is>
      </c>
      <c r="D2587" t="inlineStr">
        <is>
          <t>結束力(9%)；結束強化；結束感；結束機；結束テープ</t>
        </is>
      </c>
      <c r="E2587" t="inlineStr">
        <is>
          <t>共同；接続；合併；統合；合流</t>
        </is>
      </c>
      <c r="F2587" t="inlineStr">
        <is>
          <t>強い結束；固い結束；強固な結束；政治的結束；固く結束</t>
        </is>
      </c>
      <c r="G2587" t="inlineStr">
        <is>
          <t>結束主義；結束機；結束信二</t>
        </is>
      </c>
      <c r="H2587" t="n">
        <v>29</v>
      </c>
      <c r="I2587" t="inlineStr">
        <is>
          <t>このように、系統間の結束は現在ではほとんど消滅した形となっている。；ケースとハナブサも党の結束のために候補を一本化すべきだと主張した。；またアシア属州から利益を得ていた元老院議員が結束した可能性もある。；グループは内部でさらにいくつかの部族に分かれ、いずれも結束が強い。；村は貧しかったが、結束が強く独立心旺盛で集団化に応じていなかった。；シャルル8世の成功を危険視した諸侯が教皇を中心に結束し始めていた。；東海の雄である瀬戸一家は戦士の集団であり一枚岩の結束を伝統とする。；それは新たな出会いを困難とさせてしまい、姉妹間の結束は強かった。；しかし、どのグループにも反対するものがおり、反ドルススで結束した。；目撃した何かを確認するためにあらためてチームの結束を強くする。；結束の強い真宗門徒の接触があり、縁故かつてがあったとも考えられる。；庄内藩は、藩史に見られるように藩主・家臣・領民の結束が極めて固い。；一方被害民の結束もようやく固くなってきたし、一般の輿論も動いてきた。；従って、否応なく一致協力し、緊密に結束しなければならない筈である。；エストニア諸郡は、共同作戦を行うほどの大きな結束力には欠けていた。；主人と女中の報告をきいて、全従業員は結束して、隔離反対を陳情した。；これで、ブライアンを除くメンバー間に残っていた結束も失われてしまった。；各領地も離れており、具体的にどの程度の結束力であったかまでは不明である。；また、縁金と共に本来2つに分かれている柄を結束させる効果がある。；そして純粋のナチス党員の学者たちが結束して盛に研究をしている。；それは同時に一党一族と言う概念の下、結束していた時代が終わったことを示している。；クビライに仕えた王惲も武士の様子を「騎兵は結束す」 と記している。；これらの事態に、自分の死後も菊池一族の結束を守るために制定したものである。；九州でも民権派が結束して九州改進党が発足し、玄洋社にも誘いが来た。；女は半分いるのだから、その連中に結束されては、男はたまったものではない。；このせいでクラスの結束力も緩んで、練習にならなくなってしまう。；ヒンデンブルク大統領は国民的右翼勢力が遂に結束したことを歓迎した。；強く結束された群というよりも、単に良い餌場に集まっているだけかもしれない。；と発言し、『苦難の行軍』に言及して体制の結束を高める方針を示した。</t>
        </is>
      </c>
      <c r="J2587">
        <f>HYPERLINK("https://www.weblio.jp/content/結束", "词义详情")</f>
        <v/>
      </c>
      <c r="K2587">
        <f>HYPERLINK("https://yourei.jp/結束", "查看例句")</f>
        <v/>
      </c>
    </row>
    <row r="2588">
      <c r="A2588" t="inlineStr">
        <is>
          <t>げっそり</t>
        </is>
      </c>
      <c r="B2588" t="inlineStr">
        <is>
          <t>成功</t>
        </is>
      </c>
      <c r="C2588" t="inlineStr">
        <is>
          <t>［副］(スル)
１顔・からだなどが急にやせ衰えるさま。「ほおが—（と）こける」
２一度に気力を失うさま。がっかりするさま。「試合に負けて—する」</t>
        </is>
      </c>
      <c r="D2588" t="inlineStr">
        <is>
          <t>げっそりとやつれ(7%)；げっそりとこけ(5%)；げっそりやつれ(5%)；げっそりこけ(4%)；げっそりと痩せ(4%)</t>
        </is>
      </c>
      <c r="E2588" t="inlineStr">
        <is>
          <t>華奢；疲弊；ほっそり；スマート；細身</t>
        </is>
      </c>
      <c r="F2588" t="inlineStr">
        <is>
          <t>げっそり窶れ；げっそりと落ち</t>
        </is>
      </c>
      <c r="H2588" t="n">
        <v>29</v>
      </c>
      <c r="I2588" t="inlineStr">
        <is>
          <t>大規模表示面を見ていた気象班長が、げっそりした顔でそれに同意した。；両頬はげっそりと肉が落ち、肌にも生気のようなものが全く見られない。；すると暗いげっそりした影がエリザベスの顔の上に落ちかかってくる。；しかし、第四回の無踊会の時、彼女の肉体の力はげっそり鈍って見えた。；私がげっそりしているのを見ながら、どうしたのだともきかなかった。；異常にむくんだ父親の顔なのだが、小鼻の肉が、げっそりと落ちている。；母親の再婚相手がそのころは家にいて、一連の事件にげっそりしていた。；ひそかな不安のため彼はげっそりするような不眠状態から逃れられなかった。；げっそりと頬がこけたひともいれば、変にむくんだ感じのひともいます。；豊かな頬の肉はげっそりと痩せて、顔の色は水のように蒼白くなった。；頬がげっそりとこけていて、顔色も悪く、いまにも倒れそうに見える。；ポンプを動かし続けて、自分は頬がげっそり落ちたような気がした。；蝋燭のおぼろげな明かりの中の彼らの顔は、げっそりと頬がこけていた。；その肩が、妙にげっそりと疲れて見えたのは気のせい、だろうか。；佐八のげっそりと骨立った顔を眺めながら、登は心の中でそう呟いた。；せっかく勇作と話せているのに、内容は勝負宣言でげっそりしてしまう。；頬がげっそりとこけて、そのせいか眼窩が昔よりずっと大きく見えた。；頬からはげっそりと肉が落ち、えぐれているような印象すら受ける。；けれども、そんなことを三晩も続けると、おようは見るからにげっそりとしてきた。；数週間後に、ニップがげっそりとやつれた顔をして工舎にもどってきた。；夜のあいだにたくさん詩を書き、朝になると、げっそりやつれた顔をしていた。；唇はわなないて、肉のげっそり落ちたこぶしは、ぶるぶると震えていた。；げっそりとした表情で三番機の点検をしている舞のもとに現れたのは夜になってからだった。；ダルシュー氏は病のため顔はげっそりとし、熱のため目はとろんとしていた。；彼らのげっそりした顔を一目みれば、新しい知らせが何もないのは明白だった。；英士がげっそりしている間に、少年は店を出て行ってしまった。；プレイ後はげっそりして二度とやりたいとは思わないだろう。；蝋燭の明かりに照らされた彼らの顔は、げっそりと疲れきってみえた。；頬はげっそりして、知らない者が見たらどちらが殺人者なのかわからぬほどだったろう。</t>
        </is>
      </c>
      <c r="J2588">
        <f>HYPERLINK("https://www.weblio.jp/content/げっそり", "词义详情")</f>
        <v/>
      </c>
      <c r="K2588">
        <f>HYPERLINK("https://yourei.jp/げっそり", "查看例句")</f>
        <v/>
      </c>
    </row>
    <row r="2589">
      <c r="A2589" t="inlineStr">
        <is>
          <t>欠損</t>
        </is>
      </c>
      <c r="B2589" t="inlineStr">
        <is>
          <t>成功</t>
        </is>
      </c>
      <c r="C2589" t="inlineStr">
        <is>
          <t>読み方：けっそん
［名］(スル)
１物の一部が欠けてなくなること。「器物が—する」
２決算上の損失。赤字。「大きな—を出す」</t>
        </is>
      </c>
      <c r="D2589" t="inlineStr">
        <is>
          <t>欠損症(8%)；欠損マウス；欠損金；欠損部分；欠損補助</t>
        </is>
      </c>
      <c r="E2589" t="inlineStr">
        <is>
          <t>障害；欠点；誤り；損失；損</t>
        </is>
      </c>
      <c r="F2589" t="inlineStr">
        <is>
          <t>視野欠損；累積欠損；心室中隔欠損；部位欠損；遺伝子欠損</t>
        </is>
      </c>
      <c r="G2589" t="inlineStr">
        <is>
          <t>欠損値；欠損歯</t>
        </is>
      </c>
      <c r="H2589" t="n">
        <v>29</v>
      </c>
      <c r="I2589" t="inlineStr">
        <is>
          <t>そのかわり、欠損した部分を補うように、新たな体を私に与えたのです。；美しい少年ではあったけれど、どこかえも言われぬ欠損感のある少年。；この段階で、俺ははじめて男の右腕が肩から欠損しているのに気付いた。；いくつかの部品が欠損していたものの、ロシアに持ち帰って復元された。；これは、頭蓋顔面欠損の治療を受けている子供たちのために設立された。；記事に3年分の欠損はあるが、現在では吾妻鏡の最善本と目されている。；そのためBNB欠損部であり神経終末と神経根にしかアクセスできない。；通常の歯数よりも少ないものは、歯の先天欠損や歯数不足と呼ばれる。；う蝕とは、歯の実質欠損のなかで、生物的要因が原因であるものである。；また肉体を欠損しても他の部位の筋肉を用いることでその場での再生が可能。；あるアスペリティですべり欠損が破壊強度を超えた時に地震が発生する。；構造全体を維持することが不可能なほどの欠損が生じた時に。；図を使用して、欠損データメカニズムを詳細に説明することができる。；NRCでは毎月一千万ドルから千二百万ドルの欠損をつづけていた。；一部部材を欠損したものの、大部分の部材は当時の様式を保ち現存する。；欠損したキルアラの肉体に同化し、彼女の肉体そのものとなっていたのだ。；その後もBAEは、欠損続きの状態であったため、組織再編を実施した。；これはラクナ梗塞にて組織欠損、空洞化した後の所見と考えられている。；資料の欠損した部分はコンドル設計の他事例や同時期の建築から推定するなどした。；欠損屍体にしてしまっては、引き取りのときに買い叩かれることになる。；このとき指の一部を欠損、その欠損した部分は後に手術を受け修復している。；たぶん指の幾本かが欠損しているのではないだろうか。；補綴とは、身体の欠損した部位の形態と機能を人工物で補うことを指す。；ブリッジとは、一般に少数歯の欠損に対して用いる補綴物の一種である。；これらの結果は自閉症に関連する社会的欠損があらわれたものと考えられる。；また、是非知りたいのはどうやってフェンウィックが指を欠損したかです。；ただ手帖を記憶していた脳の部分が欠損したので、その記憶を失っただけのことだ。；これは更に心室中隔欠損の形態・場所により更に4つの形態に分類される。；したがって、補強筋を入れずに施工すると断面欠損につながってしまう。</t>
        </is>
      </c>
      <c r="J2589">
        <f>HYPERLINK("https://www.weblio.jp/content/欠損", "词义详情")</f>
        <v/>
      </c>
      <c r="K2589">
        <f>HYPERLINK("https://yourei.jp/欠損", "查看例句")</f>
        <v/>
      </c>
    </row>
    <row r="2590">
      <c r="A2590" t="inlineStr">
        <is>
          <t>決断</t>
        </is>
      </c>
      <c r="B2590" t="inlineStr">
        <is>
          <t>成功</t>
        </is>
      </c>
      <c r="C2590" t="inlineStr">
        <is>
          <t>読み方：けつだん
［名］(スル)
１意志をはっきりと決定すること。「—を迫られる」「転職を—する」
２正邪善悪を判断・裁決すること。
「直に訴へを聞こし召し明(あきら)め、理非を—せられしかば」〈太平記・一〉</t>
        </is>
      </c>
      <c r="D2590" t="inlineStr">
        <is>
          <t>決断する(7%)；決断力；決断すれ；決断衛星</t>
        </is>
      </c>
      <c r="E2590" t="inlineStr">
        <is>
          <t>決定；判断；決意；意志；結論</t>
        </is>
      </c>
      <c r="F2590" t="inlineStr">
        <is>
          <t>大きな決断；重大な決断；最終的な決断；決断しかね；ご決断</t>
        </is>
      </c>
      <c r="G2590" t="inlineStr">
        <is>
          <t>決断の時；決断主義；決断疲れ</t>
        </is>
      </c>
      <c r="H2590" t="n">
        <v>29</v>
      </c>
      <c r="I2590" t="inlineStr">
        <is>
          <t>ファンの人たちが僕の決断を理解し、尊重してくれることを望んでいる。；出たら俳優を続けることはできないかもしれないと引退覚悟の決断であった。；この時コンスタンティヌス1世は深刻な決断を迫られていたと見られる。；これは私が今までにした中でもっとも難しい決断ですが、私は安心している。；もはやイギリスにはいられないと考え、フランスに帰る決断をした。；多くの批判を集めた1兆円増資の決断も、結果としては成功に終わった。；明は戦闘が遼東半島まで及ばぬよう日本軍を阻むために出兵を決断した。；詩人になることに父が明らかに反対したゆえの決断である。；人が自由な決断をすると、現にあるものは本来あるべきものから転落する。；この決断にはジョンの家族からの説得もあったといわれる。；この決断はのちに起こる東日本大震災の遺体の取り扱いに方向性を示す。；自分の母と妻を殺害すると決断したとも書かれていた。；その状況を聞いた若井は父親へ何度も離婚を勧めたが、父親は決断しかねていた。；不安やうつ病の人は、正しい決断を下すのに苦労することがよくある。；孫権は以前のことも含めてついに決断し、虞翻を追放し交州に左遷した。；主宰自らの決断で伝統ある俳誌の幕引きを行ったことで俳壇に衝撃を与えた。；京都への還幸は源氏の挙兵に対応するため清盛が決断したといわれている。；ここで田中は、アメリカよりも早く日中国交正常化を果たすことを決断した。；若い頃から読書が一番の楽しみであったので大きな決断だった。；公演を楽しみにしている人たちのために中止にはできないと秀子は無料にすることを決断する。；国王の決断と議会への提案がなければフランスは周辺国と開戦できないのである。；東洋興業がとった決断はストリップから完全に手を引く事であった。；この経験は強く心に刻まれ、後のMLB挑戦を決断する要因の一つにもなった。；同時期にムッソリーニは参戦主義者の理由に賛同することを決断した。；そしてソルケルスソンは全島民は改宗すべきであるという決断を下した。；この結果に衝撃を受けたケネディ大統領はアメリカ軍の本格投入をすることを決断した。；結局田路が住友へ行くと決めたことが大きく影響し、住友入社を決断した。；費用も、ファゴットを目指すかどうか個人が決断するうえでの大きな要因である。；競技委員は最終的にテストジャンプを見て決断する事とした。</t>
        </is>
      </c>
      <c r="J2590">
        <f>HYPERLINK("https://www.weblio.jp/content/決断", "词义详情")</f>
        <v/>
      </c>
      <c r="K2590">
        <f>HYPERLINK("https://yourei.jp/決断", "查看例句")</f>
        <v/>
      </c>
    </row>
    <row r="2591">
      <c r="A2591" t="inlineStr">
        <is>
          <t>決着</t>
        </is>
      </c>
      <c r="B2591" t="inlineStr">
        <is>
          <t>成功</t>
        </is>
      </c>
      <c r="C2591" t="inlineStr">
        <is>
          <t>読み方：けっちゃく
［名］(スル)物事のきまりがついて終わりになること。「—をつける」「—を見る」「交渉が—する」</t>
        </is>
      </c>
      <c r="D2591" t="inlineStr">
        <is>
          <t>決着戦；決着をつけるべく；決着をつけなけれ；決着を付けよ；決着をつけるつもり</t>
        </is>
      </c>
      <c r="E2591" t="inlineStr">
        <is>
          <t>最後；決定；末；止め；最終</t>
        </is>
      </c>
      <c r="F2591" t="inlineStr">
        <is>
          <t>最終的な決着；最終決着；早期決着；早く決着；レコード決着</t>
        </is>
      </c>
      <c r="H2591" t="n">
        <v>29</v>
      </c>
      <c r="I2591" t="inlineStr">
        <is>
          <t>時間内に決着が付かなかった場合はポイント数の多い選手が勝利となる。；そのため曲折があったが政治的決着で池田が会長に就任した経緯がある。；特に相入玉になった場合は、勝敗の決着をつけること自体が困難になる。；といった事項が確認され、教会側に叙品権が与えられることで決着した。；その時、室内の明かりが全て消えギースは逃亡し、一応の決着を付けた。；しかし、税収面でイリノイ州政府との対立があり、決着はついていない。；両社のトップが腕相撲の試合を行うことで決着をつけることにしたのである。；規定の試合時間を終了しても試合の決着がつかなかった際に行う。；Q資料がどんなものであったのかという議論はいまだに決着を見ていない。；父の代で分裂した上那須家の那須氏資と対立したが、決着はつかなかった。；この戦いはウダーイン治世中には完全な決着を見ることはなかったらしい。；総合的にはナポレオンの死の原因は現在に至っても決着していない。；しかし、途中で沙世子が負傷したため、決着をつけることができなかった。；で決着がつくことが多いが、上記のようにか、それ以上を要求されることが多い。；このほかに特殊な勝利条件を成立させた場合も勝敗が決着する。；その海戦は嵐が両軍の艦隊を四散させ被害を与えたため決着せずに終わった。；そのため最終的な決着が描かれぬまま連載終了となった。；湯起請などは犯罪の解明だけでなく境相論を決着させる際にも用いられた。；古代アテナイでは議論を行った後に、決着しない場合には多数決が行われた。；天正9年、叔父・武田勝頼と三島で戦ったが、決着はつかずに終わった。；悪天候に苦労しながらの海戦は、決着がつかないまま物別れに終わった。；数見は何としても再延長戦迄の試合の中で決着をつけたかった。；この議論に決着がついたのは17世紀に入ってからであった。；ハイギョ類とシーラカンス類のどちらに近いかは未だ決着がついていない。；これで決着がつかない場合、以下のような方法が採用される。；現在の番勝負では決着をつける必要があるため、奇数番の勝負が普通である。；代わりにウダイがワトバーンに謝罪することで決着させることを提案した。；この裁判に明確な決着を付けず、独自の判断も示さなかった。；この案件は1998年に決着したが、どうなったのかは明らかにされていない。</t>
        </is>
      </c>
      <c r="J2591">
        <f>HYPERLINK("https://www.weblio.jp/content/決着", "词义详情")</f>
        <v/>
      </c>
      <c r="K2591">
        <f>HYPERLINK("https://yourei.jp/決着", "查看例句")</f>
        <v/>
      </c>
    </row>
    <row r="2592">
      <c r="A2592" t="inlineStr">
        <is>
          <t>決定</t>
        </is>
      </c>
      <c r="B2592" t="inlineStr">
        <is>
          <t>成功</t>
        </is>
      </c>
      <c r="C2592" t="inlineStr">
        <is>
          <t>読み方：けつじょう
［名］(スル)あることが定まって動かないこと。また、信じて疑わないこと。「—心」
「一旦生きんと—したる上は」〈露伴・いさなとり〉
［副］疑いなく。きっと。必ず。
「御方(みかた)—打ち負け候ひぬと覚え候ふなれば」〈太平記・一六〉</t>
        </is>
      </c>
      <c r="D2592" t="inlineStr">
        <is>
          <t>決定する(14%)；決定される(5%)；決定戦(4%)；決定打；決定付け</t>
        </is>
      </c>
      <c r="E2592" t="inlineStr">
        <is>
          <t>影響；形成；指定；判断；規定</t>
        </is>
      </c>
      <c r="F2592" t="inlineStr">
        <is>
          <t>閣議決定；最終決定；順位決定；優勝決定；正式決定</t>
        </is>
      </c>
      <c r="G2592" t="inlineStr">
        <is>
          <t>決定権；決定づけ；決定づける；決定版；決定論</t>
        </is>
      </c>
      <c r="H2592" t="n">
        <v>29</v>
      </c>
      <c r="I2592" t="inlineStr">
        <is>
          <t>同じ報告では最終的な決定は国家発展開発委員会に委ねられたとされる。；続いてハー・ゴビンド・コラナが残りのコドンを決定することができた。；この規則に を加えたものから八元数の乗法構造は完全に決定される。；ロシアは5月にバルト海に所在する艦船群の極東派遣を決定・発表した。；通常の数学においても多くの決定不可能問題の例が知られている。；編集方針の決定や原資料の選択は政治的に有力者が主導したものと推測されている。；天文学に基づいて年ごとに決定される国家の祝日は世界的にみても珍しい。；現時点ではこの時代がどのようなものになるかを決定することは極めて困難である。；問題の源を特定したら、次はどのようにその問題を修正するかを決定する作業である。；例えば、与えられた整数が完全数であるかどうかは決定することができる。；そして権力は集団において意思決定することで行使されると考えた。；この決定に反発した息子は独立してウダーシー派を結成した。；天皇の決定をうけて吉田善吾海軍大臣は「第一号艦」を大和と命名した。；多くの場合は以下の組み合わせによりゲームの仕様が決定する。；裁判所の決定を実行するためには行政府の権力が必要となる。；各期ごとに試行錯誤が重ねられ、挑戦者決定リーグの開催方式が変更された。；一次予選・二次予選・挑戦者決定トーナメントの3段階で挑戦者を決定する。；挑戦者決定戦のみ三番勝負で行い、先に2勝したものが挑戦者となる。；そして、その値を使用してその後の処理の流れを決定する。；たとえばキャンディランドは作成される決定の要素を事実上全く持っていない。；これは決定不可能性が示された歴史的に最初の問題である。；また週末に予定されていたNFLのレギュラーシーズンも中止が決定された。；各言語の影響力の違いも外国地名の決定要素として無視できない重みがある。；トルーマンは公表の意思を固め、リーヒの提唱した変更を行うと決定した。；順位の決定に当たっては、勝率や勝ち点を使用するのが一般的である。；しかし派遣が決定したのは15時で、暴徒らは既に議事堂内に侵入していた。；株主を構成員とし、株式会社の基本的な方針や重要な事項を決定する。；これは通信において重要な概念であり、妥当な通信量を決定するのに使われる。；速度を落とした際に各選手のおおよそのコース取りが決定する。</t>
        </is>
      </c>
      <c r="J2592">
        <f>HYPERLINK("https://www.weblio.jp/content/決定", "词义详情")</f>
        <v/>
      </c>
      <c r="K2592">
        <f>HYPERLINK("https://yourei.jp/決定", "查看例句")</f>
        <v/>
      </c>
    </row>
    <row r="2593">
      <c r="A2593" t="inlineStr">
        <is>
          <t>欠点</t>
        </is>
      </c>
      <c r="B2593" t="inlineStr">
        <is>
          <t>成功</t>
        </is>
      </c>
      <c r="C2593" t="inlineStr">
        <is>
          <t>読み方：けってん
１不十分なところ。足りないところ。短所。あら。「—を補う」「—をつく」
２学校の成績で、必要な点数に足りないこと。落第点。
[用法]欠点・弱点——「燃料を食うのが、この車の欠点（弱点）だ」「相手の欠点（弱点）をつく」「欠点（弱点）を補う」など、相通じて使われることが多い。◇「欠点」は難ずるべきところ、改めるべきところという意味合いが強く、「弱点」は十分でない弱い部分という意味合いで用いられる。「他人に対する思いやりに欠けるのが彼の欠点だ」を「弱点」で置き換えることには無理がある。「彼の弱点をつかむ」を「欠点」に置き換えることはできない。◇類似の語に「短所」がある。「短所」は、「気が短く怒りっぽいのが彼の短所だ」のように「欠点」と相通じて用いられるが、性格的なことについて用いられることが多い。</t>
        </is>
      </c>
      <c r="D2593" t="inlineStr">
        <is>
          <t>欠点だらけ；欠点が目立つよう；欠点ゆえ；欠点が認識</t>
        </is>
      </c>
      <c r="E2593" t="inlineStr">
        <is>
          <t>非；穴；傷；障害；隙</t>
        </is>
      </c>
      <c r="F2593" t="inlineStr">
        <is>
          <t>やすいという欠点；致命的な欠点；重大な欠点；やすい欠点；主な欠点</t>
        </is>
      </c>
      <c r="H2593" t="n">
        <v>29</v>
      </c>
      <c r="I2593" t="inlineStr">
        <is>
          <t>また、建造費や運用コストなどが高くつくことも欠点のひとつといえる。；終盤においても以下の欠点があり、利用上の問題点となるときがあった。；動作時に円盤の回転に遅れが出るのでリズムが狂ったりする欠点がある。；このように、それぞれの方法には、それぞれに利点と欠点が挙げられる。；そのような欠点を解決した印刷発行式の食券販売機が広く普及した。；これまでの製品において欠点とされる部分を改善すべく開発された製品である。；のちにこの欠点は改良され、一般兵士でも搭乗可能な機体が生産されている。；これは様々な欠点があり、有料同人企画を除き殆どが頓挫してしまった。；初代モデルの欠点であった、撮影画像の下部が緑色になる問題が修正された。；VLIWが主流になれなかったのは、以下のような欠点があったためとした。；一般に露地栽培と比較して、以下のような利点・欠点があるとされる。；連結リストの別の欠点は、参照のための余分な領域を必要とする点である。；この手法の欠点はランダムアクセスの効率が悪くなってしまうことである。；しかし、以前の短波通信と同じく通信が不安定という欠点も持っていた。；ただし、個性が強すぎることと、技能的に洗練されていないことが欠点。；こうした欠点を補うためも含めた主な改良点は次の通りである。；また、ホームの増設やホーム幅の拡張も困難である欠点も存在する。；この方法は、静態地誌の欠点を解消するために考えられた方法である。；この欠点を小さくしようとすれば曲線を緩くする以外に方法はない。；この術には欠点が存在していたが、仙人モード会得と同時に克服している。；欠点としては、時空が静的なものであるため完全には相対論的ではない。；このため発射地点を特定され敵の反撃を招きやすいという欠点がある。；しかし、不必要、スパム目的でも書き込むことができるのが欠点である。；また、一旦気嚢に穴が開くとガスの漏出が全体に影響するなどの欠点もある。；XML仕様の設計では、SGMLの欠点を解決すべく文法を簡素化した。；その一方で同システムの長期使用は人間の脳にダメージを与える欠点を持つ。；相手の政策上の欠点や人格上の問題点を批判して信頼を失わせる選挙戦術のこと。；ライト兄弟の機体には、遅れて登場した他の飛行機と比べて大きな欠点があった。；また、アミロースが多い米は栽培が難しく収量も少なくなる欠点がある。</t>
        </is>
      </c>
      <c r="J2593">
        <f>HYPERLINK("https://www.weblio.jp/content/欠点", "词义详情")</f>
        <v/>
      </c>
      <c r="K2593">
        <f>HYPERLINK("https://yourei.jp/欠点", "查看例句")</f>
        <v/>
      </c>
    </row>
    <row r="2594">
      <c r="A2594" t="inlineStr">
        <is>
          <t>月賦</t>
        </is>
      </c>
      <c r="B2594" t="inlineStr">
        <is>
          <t>成功</t>
        </is>
      </c>
      <c r="C2594" t="inlineStr">
        <is>
          <t>読み方：げっぷ
１代金などの全額を一時に払わないで、月々に割り当てて分割払いにすること。月賦払い。また、その月々の支払い金。「—で返済する」
２「月賦販売」の略。
３月々に割り当てること。〈日葡〉</t>
        </is>
      </c>
      <c r="D2594" t="inlineStr">
        <is>
          <t>月賦払い(4%)；月賦販売(4%)；月賦建築；月賦診療所</t>
        </is>
      </c>
      <c r="E2594" t="inlineStr">
        <is>
          <t>分割払い；リボルビング払い；月賦払い；分割支払い；リボ払い</t>
        </is>
      </c>
      <c r="H2594" t="n">
        <v>29</v>
      </c>
      <c r="I2594" t="inlineStr">
        <is>
          <t>アメリカの葬儀屋が上陸して葬式の月賦販売をはじめたというのである。；彼はその時分、月賦の車を乗り廻し、しかし酒もかなり強くなっていた。；月賦で無理した高い時計を他人に減価償却されるのが癪なのであろう。；雑誌を買っていた金は、高くなった洋服の月賦にまわさねばならない。；テレビは月賦が払えんようになったから、電気店が取り返しにきている。；月賦で誰か譲ってくれないかと思いながら、耕作は草を取って行く。；京子さんの方にも金がかからなくなったから、月賦払いなら楽だろう。；月賦購買者に対する信用のレヴェルが、あらゆる記録を破ってしまった。；この家のため月賦で買った美しい家具にも、何か卑しいものがある。；あとから月賦みたいに返していくとしても、それで競輪の資金ができるのだ。；だが、そのうちいつか、月賦が払えなくなってしまったらどうだろう?；早くに夫を亡くして、寡婦となった祖母は、その土地を月賦で買う約束をした。；移ってから月賦屋で買った小さな机だけが、そぐわぬ形で家庭の新しさを語っていた。；いま月賦の住宅は春頃申込の十四五軒をやっている。；その保険金で家の月賦が完済されたことを嘆く妻の独白で幕が閉じる。；「なにしろ月賦で口説くやつだから」 と、男たちは陽気に笑い合った。；スイス製で、まだ月賦も終ってないのに、と泣きたくなって来た。；建築費の月賦で、まだ残っていた、あの話じゃないかね?；里見八郎の写真に刺戟されたのか、圭子も最近カメラを月賦で買ったのである。；そう書きながら、ぼくが思い浮べているのは、たとえば月賦制度の普及ぶりなどのことだ。；こんな形で月賦と殺し屋が結びつけられるとはねえ、といった感じだ。；さつきもお話がありましたが、われわれはこの分譲地を月賦で買つてゐる。；だから川と云うようなものの、実は幅の広い瀑を月賦に引き延ばしたくらいなものである。；月賦はやっと払い終ったのであるが、ビデオテープが高くてあまり買えない。；もしかするとカメラを彼に月賦で買うことをイヴォンヌが承認したのも同じ理由からかも知れない、と私は想像した。；私は月賦や借金が大嫌いなので何を買うにもキャッシュで払わなければならない。；そして御一緒に大木さんをお訪ねになりましては、月賦でゞも支払ふことになさいましては?；月賦の心理と同じで、簡単に応じてしまう危険があった。；金額を提示されたら、わたしは月賦ででも返済する覚悟だった。</t>
        </is>
      </c>
      <c r="J2594">
        <f>HYPERLINK("https://www.weblio.jp/content/月賦", "词义详情")</f>
        <v/>
      </c>
      <c r="K2594">
        <f>HYPERLINK("https://yourei.jp/月賦", "查看例句")</f>
        <v/>
      </c>
    </row>
    <row r="2595">
      <c r="A2595" t="inlineStr">
        <is>
          <t>欠乏</t>
        </is>
      </c>
      <c r="B2595" t="inlineStr">
        <is>
          <t>成功</t>
        </is>
      </c>
      <c r="C2595" t="inlineStr">
        <is>
          <t>読み方：けつぼう
［名］(スル)乏しいこと。不足すること。「資金が—する」「ビタミン—症」</t>
        </is>
      </c>
      <c r="D2595" t="inlineStr">
        <is>
          <t>欠乏状態；欠乏感；欠乏性；欠乏星；欠乏説</t>
        </is>
      </c>
      <c r="E2595" t="inlineStr">
        <is>
          <t>不足；不十分；欠く；不完全；欠如</t>
        </is>
      </c>
      <c r="F2595" t="inlineStr">
        <is>
          <t>亜鉛欠乏；鉄欠乏；ビタミン欠乏；栄養欠乏；金属欠乏</t>
        </is>
      </c>
      <c r="G2595" t="inlineStr">
        <is>
          <t>欠乏からの自由</t>
        </is>
      </c>
      <c r="H2595" t="n">
        <v>29</v>
      </c>
      <c r="I2595" t="inlineStr">
        <is>
          <t>リンが欠乏すると植物は様々な手段を用いてリンの吸収量を増加させる。；アルカリ性となると可溶性鉄はさらに減少し植物は鉄欠乏となりやすい。；彼は、彼の理智の限界が想像力の欠乏にあることを理解しないのである。；根の細胞壁に貯蔵された鉄は、植物が鉄欠乏になると徐々に吸収される。；そういうような意味の絵にはどうも欠乏し切っているのが文展である。；このように極めて金属量の少ない恒星は極超金属欠乏星と呼ばれている。；「無為の聖」が、力の欠乏を装飾する用語になるべきではございません。；すなわちいかにしてもただ無事に欠乏なく籠城の目的を達しうれば可なり。；この画像の左側には緑色の正常な葉が、中央には黄色の鉄欠乏の葉がある。；だから家庭的の音が欠乏している、と人にいわれたかもしれない。；田舎に疎開した子が素朴に欠乏しているということは意味ふかいことだ。；ある者らにはあらゆる享有、他の者らすなわち民衆にはあらゆる欠乏。；あれにもやはり人間の科学知識の欠乏が原因の一つになっていたという話である。；何故なれば彼女は常に人生の核の欠乏を痛感してゐるからである。；ドイツ自身の欠乏と混乱とがこんな所までも波及しているかという気がする。；今の我邦に最も欠乏しているものは何であるというに母である。；よい格好ではあるが、突き出ていないために精神力の欠乏を語っている顎。；数時間後、ポーター隊の弾薬が欠乏してきたので、退却命令が出された。；病気は健康の欠乏というより積極的な意味のものとなった。；物資の欠乏がかくまでに人の心を濁らせるものかと暗然たるものがあった。；つまり貧家の子供は自然に栄養その他の欠乏から体格が悪くなるのだろう。；面白いことに鉄欠乏は普通の畜産ではほとんど問題ではなかった。；貨幣は何でも買うことができるので、あらゆる欠乏を改善することができる。；天香さんが私たちに欠乏しているといわれるのはかかる力のことなのであろうと思います。；一方、海から遠く離れた大陸内部では欠乏が生じることがある。；今の時代に創造的思想の欠乏せるは、思想家の罪にあらず、時代の罪なり。；アルカリを欠乏させないことで健康を保つことができるということである。；また古典派作家らのうちで彼の気色を害したことは、自由の欠乏であった。；輸送力の欠乏から屍体はすべて曠野に遺棄するほかはなかったのである。</t>
        </is>
      </c>
      <c r="J2595">
        <f>HYPERLINK("https://www.weblio.jp/content/欠乏", "词义详情")</f>
        <v/>
      </c>
      <c r="K2595">
        <f>HYPERLINK("https://yourei.jp/欠乏", "查看例句")</f>
        <v/>
      </c>
    </row>
    <row r="2596">
      <c r="A2596" t="inlineStr">
        <is>
          <t>月末</t>
        </is>
      </c>
      <c r="B2596" t="inlineStr">
        <is>
          <t>成功</t>
        </is>
      </c>
      <c r="C2596" t="inlineStr">
        <is>
          <t>読み方：げつまつ
月の終わり。つきずえ。</t>
        </is>
      </c>
      <c r="D2596" t="inlineStr">
        <is>
          <t>月末払い；月末金曜日；月末週</t>
        </is>
      </c>
      <c r="F2596" t="inlineStr">
        <is>
          <t>一〇月末；本月末</t>
        </is>
      </c>
      <c r="H2596" t="n">
        <v>29</v>
      </c>
      <c r="I2596" t="inlineStr">
        <is>
          <t>仕送りの金とアルバイトの金はほとんど同時に月末に入ってくるからだ。；毎月一度月末に勘定とりのような正確さで来るので、そう思うのだろう。；三島の上京は月末と聞いておったが、どうやらもう上京しておるらしい。；月末なのに今月分の給料だってもらってないし、もう義務はないはずよ。；この事故で艦首を破損したが直ちに修理され、月末には任務を再開した。；月末までに146回の飛行が行われた後、機体はいったん解体された。；ただし、月末はリスナーからのメールを読んでそれに答える形式となる。；時は月末、女王様の財布には、なんと千円しか入ってなかったのである!；月末に近づいたせいか、この頃は帰る人が一日増しに多くなった。；典子もその例にならって月末まであと三週間会社へ出てくることになった。；毎日四億円ずつ放出されている現状では月末には二百八十億円になろう。；月末までに両隊はPAVN基地地域を発見したが、接触はほとんどなかった。；花のお金は月末に精算して戻ってくると、加藤さんは、みのりに説明した。；まだ月初めだが、こういう状況が続くと月末になってから苦労する。；それは、月末になると自分を軽蔑せねばならぬような事情が私にあったからである。；それは、月末になると自分を軽蔑せねばならぬやうな事情が私にあつたからである。；座は、土曜ではあるが、ワッといふ入りではない、やっぱり月末である。；月末にスコフィールドは香港に向けて出航、11日には日本に向かった。；またそれまでの勝利回数に応じて、月末に隠しイベントが発生する。；月末か、そうでなくても来月のうちには、家に問合わせがくるに違いない。；だが、カフエへ出かけるのも月初めと月末の二三日であとは金がなかつた。；銀行の森田が言うように月末までには、あと四、五口はあるだろう。；苦心の末やっと見つけたと思うと、もう月末になっていて、すぐ次の月が来る。；それから間もなくその月の月末報告を作るべき日が来た。；淡海堂の江口君への返書、月末までに少女小説書くとの手紙などを出す。；それから間もなくその月の月末報告を作るべき日が來た。；ただし、月末は図書整理日とされ、閉館されているので注意されたい。；・突発の仕事は月末に集中することが多く、月末は自分の予定が立たない。；月末の検診があった日は、疲れがあるので早く寝ることにしている。</t>
        </is>
      </c>
      <c r="J2596">
        <f>HYPERLINK("https://www.weblio.jp/content/月末", "词义详情")</f>
        <v/>
      </c>
      <c r="K2596">
        <f>HYPERLINK("https://yourei.jp/月末", "查看例句")</f>
        <v/>
      </c>
    </row>
    <row r="2597">
      <c r="A2597" t="inlineStr">
        <is>
          <t>月曜日</t>
        </is>
      </c>
      <c r="B2597" t="inlineStr">
        <is>
          <t>成功</t>
        </is>
      </c>
      <c r="C2597" t="inlineStr">
        <is>
          <t>読み方：げつようび
「月曜」に同じ。</t>
        </is>
      </c>
      <c r="D2597" t="inlineStr">
        <is>
          <t>月曜日以外；月曜日放送；月曜日更新；月曜日夜；月曜日深夜</t>
        </is>
      </c>
      <c r="F2597" t="inlineStr">
        <is>
          <t>隔週月曜日；翌月曜日；翌週月曜日；最終月曜日；第一月曜日</t>
        </is>
      </c>
      <c r="G2597" t="inlineStr">
        <is>
          <t>月曜日から始まる平年；月曜日のたわわ</t>
        </is>
      </c>
      <c r="H2597" t="n">
        <v>29</v>
      </c>
      <c r="I2597" t="inlineStr">
        <is>
          <t>また、特定の月の特定の週の月曜日と定められている国民の祝日もある。；金曜JUNKに移動した現在は翌週の月曜日の昼ごろに配信されていた。；「月曜日の夜に街から女性が消えた」と言われるほどの社会現象となる。；番組は、基本的に月曜日から金曜日までの5回の放送で同じ主題を扱う。；なお月曜日はその地域のチームがナイターである場合のみ放送する局がある。；一般的には月曜日から金曜日までの同時刻に放送される番組を指す。；その月曜日以外の振替休日の初適用日は2008年の5月6日となった。；放送から2日後の月曜日午後にはPodcastでも配信されている。；この日は月曜日で試合が無く、生まれたばかりの愛娘を抱く機会があった。；しかし月曜日は休日になることが多く、科目といえない状況となっている。；タイトルは彼女の犯行動機のひとつが「月曜日が嫌い」だったことによる。；同日夜にこの模様が放送され、翌週月曜日の放送ではこのことをネタにした。；過去には月曜日の深夜に再放送が行われていたが、途中から行われていなかった。；バラの月曜日のパレードは、1859年以降その開催が証明されている。；また、原則1試合だった月曜日に複数試合開催されることになった。；エンディングの背景では月曜日から土曜日までの上下の背景が異なっている。；これ以降は、体調を考慮して月曜日と金曜日の放送に出演するようになった。；設立当初は毎週月曜日および火曜日の21時45分からの放送であった。；二人は月曜日に会う事にし、その月曜日、武藤は夢のような一晩を過ごした。；ある月曜日の夜、突然車に乗って太郎は&lt;僕&gt;の家に遊びに来た。；同年2月2日から終了までは月曜日から金曜日までの放送であった。；月曜日から金曜日までの約10分間放送されていた、いわゆる帯番組だった。；本番組は、基本的に読売テレビ制作枠があった月曜日に放送されることが多かった。；月曜日に行動を選択することでゲームの中の1週間が始まる。；週の始まりは日曜日から月曜日に改められ、年や月の始まりも月曜日となった。；主に学生や社会人など、月曜日から学校や勤務が始まる人に起こりうる症状とされる。；また、放送曜日が本作から月曜日から土曜日までの週6日の放送となった。；放送の中で、番組収録は月曜日に行われているとたびたび明かされている。；読売テレビでは、以前からアニメ番組は一貫して月曜日に編成されていた。</t>
        </is>
      </c>
      <c r="J2597">
        <f>HYPERLINK("https://www.weblio.jp/content/月曜日", "词义详情")</f>
        <v/>
      </c>
      <c r="K2597">
        <f>HYPERLINK("https://yourei.jp/月曜日", "查看例句")</f>
        <v/>
      </c>
    </row>
    <row r="2598">
      <c r="A2598" t="inlineStr">
        <is>
          <t>結論</t>
        </is>
      </c>
      <c r="B2598" t="inlineStr">
        <is>
          <t>成功</t>
        </is>
      </c>
      <c r="C2598" t="inlineStr">
        <is>
          <t>読み方：けつろん
［名］(スル)
１考えたり論じたりして最終的な判断をまとめること。また、その内容。「調査の—を出す」
２論理学で、推論において前提から導き出された判断。終結。断案。⇔前提。</t>
        </is>
      </c>
      <c r="D2598" t="inlineStr">
        <is>
          <t>結論付け(10%)；結論ありき；結論めい；結論づけ；結論できよ</t>
        </is>
      </c>
      <c r="E2598" t="inlineStr">
        <is>
          <t>最後；決定；判断；終わり；決意</t>
        </is>
      </c>
      <c r="F2598" t="inlineStr">
        <is>
          <t>同じ結論；結論付ける；そういう結論；最終的な結論；明確な結論</t>
        </is>
      </c>
      <c r="G2598" t="inlineStr">
        <is>
          <t>結論づける；結論づけよ</t>
        </is>
      </c>
      <c r="H2598" t="n">
        <v>29</v>
      </c>
      <c r="I2598" t="inlineStr">
        <is>
          <t>結論は出なかったが明日はこれまでにない接近行動があるだろうと予測。；名称、様式・形式が何から由来しているかについての結論は出ていない。；その結果、敵に衝突することが最も効果的な方法という結論を得ている。；停止性問題の否定的な結論は、計算可能であることの限界を示している。；どちらに属するかは現在研究者間で意見が二分しており結論は出ていない。；思考とは確立された技術などと異なり、必ずしも結論に至るものではない。；シミュレーションの結果炉心損傷に至る事態は発生しないと結論された。；しかしこの研究には方法的な問題点があり結論を出すことはできない。；情報処理の過程では大別して情報整理・分析・総合・結論の過程を経る。；さらにフックは呼吸が空気の特定の成分に関係していると結論付けていた。；結果や結論を説明するための仮説を形成することを言うこともある。；この会議に集まった専門家たちは最終的に以下の結論に達した。；どちらの仮説を採用しても、は真でありかつ偽であるという結論に至る。；このように、東縁については諸説出ており現在も結論は揺れ動いている。；こうした問題についての議論にはっきりとした結論は出ていない。；これらの論文のうち、効果に否定的な結論を示す論文は63件中4件ある。；判断が構成されると、次にこれを前提に置いて結論が導き出される。；トマス・アクィナスは特定の詳細規定があれば、以下の事を結論付けている。；実験から彼は燃焼には空気に含まれる何らかの物質が関係していると結論付けていた。；しかしその後、時代区分論争自体が結論のでないまま下火になっていく。；コクランレビューによる2008年の報告は以下のように結論している。；これに自民党は反発し、政府もスト権についての結論は出せないとした。；科学的な知識と理解を用いて観察や測定その他のデータ及び結論を説明したり解釈したりすること。；ラービは自分の研究を発表するだけでなく促進させる必要があると結論付けた。；この団体は2007年に国内導入は困難という結論に達し、解散した。；そして椎名は翌12月1日に後継総裁について結論を出したいと話した。；ポーランド隊の結論には問題があると早くから言われていた。；パウロ書簡以外の書物の著者の問題についても結論は得られていない。；この例のように二つの前提から結論を導き出す演繹を三段論法という。</t>
        </is>
      </c>
      <c r="J2598">
        <f>HYPERLINK("https://www.weblio.jp/content/結論", "词义详情")</f>
        <v/>
      </c>
      <c r="K2598">
        <f>HYPERLINK("https://yourei.jp/結論", "查看例句")</f>
        <v/>
      </c>
    </row>
    <row r="2599">
      <c r="A2599" t="inlineStr">
        <is>
          <t>蹴飛ばす</t>
        </is>
      </c>
      <c r="B2599" t="inlineStr">
        <is>
          <t>成功</t>
        </is>
      </c>
      <c r="C2599" t="inlineStr">
        <is>
          <t>読み方：けとばす
［動サ五（四）］
１蹴って飛ばす。また、足先で強く蹴る。「ボールを—・す」「馬に—・される」「塀を—・す」
２要求・勧誘などを、とりあわないで拒否する。「要求を—・す」</t>
        </is>
      </c>
      <c r="D2599" t="inlineStr">
        <is>
          <t>拒否；拒絶；遠慮；辞退；振る</t>
        </is>
      </c>
      <c r="H2599" t="n">
        <v>29</v>
      </c>
      <c r="I2599" t="inlineStr">
        <is>
          <t>色沼のつま先の傷は、閉じた扉を必死に蹴飛ばした時にできたのだろう。；線路際の石ころが二つ三つ、彼の足に蹴飛ばされて、下へ落ちて行った。；蹴飛ばされないのは、ただその人がこちらの抵抗を恐れているからだ。；今の攻防で、その動かぬ身体は蹴飛ばされて部屋の隅にまで移動していた。；そのような時でも手は絶対使わず、主に足で相手を蹴飛ばしていた。；少し考えてみると、私が蹴飛ばした程度で彼がひるむようには思えません。；使者の到来との声を聞き岩藤は、これで許してやるとお初を蹴飛ばした。；運動の激しい午次郎が薄い衾を蹴飛ばし、腹を出して寝息をたてている。；床に落ちた血まみれの刃を、田崎の伸ばした手の先から夏貴が蹴飛ばす。；と何かを蹴飛ばしたような音がして、その部屋から一人の男性が飛び出してきた。；そして、いびきをかいて眠りこけている仲間の足やら椅子を蹴飛ばした。；ホーリーボールは蹴飛ばすことで敵を倒したり壁を破壊したりできる。；小石をひとつ蹴飛ばすだけで、世界の運命を左右してしまうかも知れない。；馬は女を蹴飛ばすのみならず、その上に女を不縹緻にさへするものだ。；殴られるか、蹴飛ばされるか、それともこのまま殺されるかもしれない。；人なつっこいな、と思って安心していると、いきなり蹴飛ばしたりする。；突き上げるような衝撃があって、部屋全体が蹴飛ばされたようだった。；出口近くで、アイラは床に落ちていた棒のようなものを蹴飛ばしてしまう。；足元に転がってた湯飲みは手代たちに蹴飛ばされて庭に落ちてしまった。；自分の足がなにをしようとしているか気づかないうちに私は充電台を蹴飛ばしていた。；すくなくととも、今回の奇妙な命令を蹴飛ばす気はなさそうだった。；沙都子が布団を蹴飛ばしてお腹を見せながら寝ていたことがあったと思う。；しかしお前は一眼見た役者の美しさのために、俺の愛情を蹴飛ばした。；金髪がずっとそばへ寄ったのは、女に蹴飛ばされない用心だったのだ。；こういう通りは歩くのに退屈なので、何か道端のものを蹴飛ばすのである。；明智は、一人の裸婦の腰のあたりを、いやという程蹴飛ばしたのである。；時々小さな石ころを川へ蹴飛ばして、それがぽーんと静かな音を立てる。；ゴミといっしょに蹴飛ばしたせいか、ネズミが抗議の声をあげていた。；男は、はだかの足を宙におよがせてはねおき、また犬を蹴飛ばそうとした。</t>
        </is>
      </c>
      <c r="J2599">
        <f>HYPERLINK("https://www.weblio.jp/content/蹴飛ばす", "词义详情")</f>
        <v/>
      </c>
      <c r="K2599">
        <f>HYPERLINK("https://yourei.jp/蹴飛ばす", "查看例句")</f>
        <v/>
      </c>
    </row>
    <row r="2600">
      <c r="A2600" t="inlineStr">
        <is>
          <t>貶す</t>
        </is>
      </c>
      <c r="B2600" t="inlineStr">
        <is>
          <t>成功</t>
        </is>
      </c>
      <c r="C2600" t="inlineStr">
        <is>
          <t>読み方：けなす
［動サ五（四）］ことさらに悪い点を取り上げて非難する。くさす。「他人の作品を—・す」「口で—・して心で褒める」
[可能]けなせる</t>
        </is>
      </c>
      <c r="D2600" t="inlineStr">
        <is>
          <t>傷つける；中傷；汚す；誹謗；冒す</t>
        </is>
      </c>
      <c r="H2600" t="n">
        <v>29</v>
      </c>
      <c r="I2600" t="inlineStr">
        <is>
          <t>本作は批評家から貶されたことで有名になったゲームの一つとなった。；源氏は、決して人の目の前で、ほめたり貶したり、する男ではなかった。；新しいもの 旧いところがある、かう云つて新しいものを貶さうとする。；ただし、思考回路がショートしてしまうと貶し言葉を言い続けてしまう。；これは文学評価としては誉め言葉だが、この本としては貶し言葉である。；有名でないのみならず後の伝説においてはむしろあらわに貶しめられている。；相手を責めたり貶してても実現しないから 実現させる為の言葉を贈りますよ。；この引用に先立って彼は種々の文を挙げて鬼神を貶しめているのである。；それすら人々は彼は二世だから、英語屋だから、と言って貶した。；人と議論すると、大勢の前で面と向かって貶すことがあった。；「なにもそこまで身を貶しめなくても」 という声が周辺にあったのも事実だ。；そこに閉じこめられたことのない者が、貶すと腹が立つのである。；この男は自分の立場を弁証する積りか、何彼につけて夫婦者を貶す。；意地の悪い姑は、何かといえばモトを「役立たずの癖にお高い」と貶す。；褒めているのか貶しているのか、どちらともつかぬ調子である。；けちな器だと自身を貶しつつ、でも、どうすることもできなかった。；褒めているのか貶しているのか、判断しづらい発言は止めて欲しい。；しかし実際或批評家は佐佐木君を貶したものと思ひこんでゐたさうであります。；僕等の誉めたり貶したりするのも畢竟は自己を表現する為であらう。；厄を振り払うには返歌に相手の歌を否定したり貶したりする内容を込める。；かつ、「源氏」を貶しめられると、私のことを悪くいわれた気がする。；こいつが、妙な女と一しょにしてくれと云いよって、父を貶しくさる。；どの女郎からも貶され虐げられてきたが小桃だけは彼女に優しくしてくれた。；しかし実際或批評家は佐佐木君を貶したものと思いこんでいたそうであります。；これはスタンフォードを貶す内容だったと広く受け止められている。；そんな時には彼はきまつてあなたの肩を持ち、さうして私を貶しめていひます。；お父さんは僕のことを横着ものだといって貶しても、自分もこの通り瓢箪鯰である。；しかし実際ある批評家は佐佐木君を貶したものと思いこんでいたそうであります。；スミスは激怒し、自分を貶した記者が集う酒場に文句を言いに行った。</t>
        </is>
      </c>
      <c r="J2600">
        <f>HYPERLINK("https://www.weblio.jp/content/貶す", "词义详情")</f>
        <v/>
      </c>
      <c r="K2600">
        <f>HYPERLINK("https://yourei.jp/貶す", "查看例句")</f>
        <v/>
      </c>
    </row>
    <row r="2601">
      <c r="A2601" t="inlineStr">
        <is>
          <t>気配</t>
        </is>
      </c>
      <c r="B2601" t="inlineStr">
        <is>
          <t>成功</t>
        </is>
      </c>
      <c r="C2601" t="inlineStr">
        <is>
          <t>読み方：きはい
１「けはい（気配）1」に同じ。
「何か門に近づく—がする」〈木下尚江・良人の自白〉
２「けはい（気配）2」に同じ。</t>
        </is>
      </c>
      <c r="D2601" t="inlineStr">
        <is>
          <t>気配が感じられる；気配がまったく；気配が濃く；気配が感ぜられ；気配がありあり</t>
        </is>
      </c>
      <c r="E2601" t="inlineStr">
        <is>
          <t>気；感じ；様子；現れ；影</t>
        </is>
      </c>
      <c r="F2601" t="inlineStr">
        <is>
          <t>ただならぬ気配；異様な気配；不穏な気配；気配すらない；そういう気配</t>
        </is>
      </c>
      <c r="G2601" t="inlineStr">
        <is>
          <t>気配値</t>
        </is>
      </c>
      <c r="H2601" t="n">
        <v>29</v>
      </c>
      <c r="I2601" t="inlineStr">
        <is>
          <t>ふと気がつくと、頭の上に、人でも歩いているような気配が感じられた。；イスラエルはその連合軍に含まれていなかったが、支援の気配はあった。；なんだか今にもそのピストルの口が僕の方にきそうな気配を感じたのだ。；女優になることを夢見ており、若い頃は犯罪の道に進む気配はなかった。；ある日、番組を配信していた田代は、窓の外から何者かの気配を感じる。；ノックは二回ずつ何度か繰り返され、それから人の気配は去っていった。；春の気配が近づいた季節に、仕事の都合で彼は例の温泉に滞在した。；農婦は人の気配に気づいて顔をこちらに向けじろじろとぼくを見回した。；しかし、ドアはしまったままで、人がはいってくるけはいはさらにない。；エレノアに誰かと付き合っている気配を感じたのは彼女のことだったのだ。；だが、一度ならず彼女は今にもエセックスに同意しそうな気配を見せた。；午後が夜に変わり、夜が朝になり、行方不明者が現れる気配はなかった。；高里の病室に入った広瀬は、高里の傍らに何者かの気配と白い腕を見る。；ロス卿は「星に分けられないが、分かれそうな気配もある」としている。；ふと杉林の中に、人のけはいがするのに気がついて、ぼくは顔をあげた。；夜の気配が近づくたびに、あらゆる不安と絶望の蘇らないものがなかつた。；玄関の方へ寄った薬の看板のかげでは、お島の忍び泣するけはいがした。；けはい 影のように、靴音も気配もなく、それが霧の中を近づいて来る。；アメリカ合衆国のモーラーは、既に計画中止の気配が濃厚となっていた。；ジェファースンは家の中に別の人物が絵を描いている気配を感じる。；今私は北海道の地に来て、札幌の静かで深い秋のけはいの中に沈んでいる。；その時ふふうと云うような何物かが鼻の端で息をするようなけはいがした。；塩山駅で下車すると案の如く空は雲切れがして程なく晴れそうな気配だ。；戦争という大殺人の近づく気配が身にせまっているせいかも知れない。；いつからともなく、さういふ気配が感じられるやうになつたのだ。；嵐の気配があったが、そうなると安全なのは筏の中央部だけだった。；やがて、だれかに見られているけはいを感じて、急にふりかえってみた。；ある日、台所で洗い物をしていた彼女は背後に何かの気配を感じる。；そのとたん、主人はすぐ身近に人のけはいがせまるような感じをうけた。</t>
        </is>
      </c>
      <c r="J2601">
        <f>HYPERLINK("https://www.weblio.jp/content/気配", "词义详情")</f>
        <v/>
      </c>
      <c r="K2601">
        <f>HYPERLINK("https://yourei.jp/気配", "查看例句")</f>
        <v/>
      </c>
    </row>
    <row r="2602">
      <c r="A2602" t="inlineStr">
        <is>
          <t>下品</t>
        </is>
      </c>
      <c r="B2602" t="inlineStr">
        <is>
          <t>成功</t>
        </is>
      </c>
      <c r="C2602" t="inlineStr">
        <is>
          <t>読み方：げひん
［名・形動］
１品格・品性が劣ること。卑しいこと。また、そのさま。「—な人」「—な言葉遣い」⇔上品。
２品質の劣った物。⇔上品。
[派生]げひんさ［名］</t>
        </is>
      </c>
      <c r="D2602" t="inlineStr">
        <is>
          <t>下品な言葉(4%)；下品な笑い声；下品な冗談；下品な表現；下品な顔つき</t>
        </is>
      </c>
      <c r="E2602" t="inlineStr">
        <is>
          <t>平凡；汚い；不穏；俗；卑劣</t>
        </is>
      </c>
      <c r="F2602" t="inlineStr">
        <is>
          <t>ひどく下品；上品下品；下品な連中；下品な言葉遣い；下品な行為</t>
        </is>
      </c>
      <c r="H2602" t="n">
        <v>29</v>
      </c>
      <c r="I2602" t="inlineStr">
        <is>
          <t>それでも、決して下品にならなかったのは不思議としか言いようがない。；話が下品になるようだが、人間は便所の中でさまざまな癖を示すものだ。；これはやはり車中で私に云った言葉を、ただ下品にしたにすぎなかった。；この人は私が思っているよりもはるかに下品な女なのかも知れない。；それにしても母がこれほど下品な笑い声をたてるとは想像もしなかった。；私が彼のことを下品なので有名だ、と書いたのを見て、彼は本当に喜んだ。；下品な話だけれど、便器に向かってオナニーをしているのだとわかった。；彼等は雪穂の姿を見つけると、ほぼ例外なく下品な声をあげるのだった。；斎入は下品な顔の男であつたと言ふやうに書いてあつたので驚いた。；彼をマルティン・ルターと呼ぶのは下品なこととされるようになった。；殊にさう云ふ賤しい眼のよく動く妻を持つてゐる男が彼には下品に見えた。；酒と女にだらしない下品な性格の三枚目だが騎士の魂は失っていない。；多くの彫金製のセミが下品に見えるのは此の点を考えないためである。；お下品なタイトル好きの私の本の中でも、もっともお下品なタイトルの本。；だって正直にいって、あたしはその男を少しも下品だと感じなかったんだもん。；といって、金と権力で男の肉体を手に入れているといった下品な話でもない。；心に迷いがあるとそれが絵筆に伝わって、自然に絵も下品になるのじゃ。；僕は、その女が学生とそっくりの、強靱で下品な顎を持っているのを見た。；上品な微笑を浮かべていた唇が、別の時には下品な笑みを溜めたりもする。；庄吉は唇に杯を持ってゆくその女の少し下品な険のある横顔を眺めていた。；ローマ人だってわけのわからない言葉を使っているけど、残酷で下品よ。；テノールの声も下品だったし、歌の妙な癖のある節まわしも下品だった。；物を喰い喰い道を歩いているところなどを見るといかにも下品である。；ロンの下品な言葉遊びが分悪くトレローニー先生の耳に入ってしまった。；単なる諷刺やあるいは下品にしただけのものではなかった事実に注意すべきだ。；あなた方はわたしの下品な唸り声を聞くのがおいやなんでしょう。；その顔には何か陰気なところがあり、表情にも下品な感じがあった。；彼女が下品なことを言ったりしたりすると、僕はぞくぞくするほど興奮した。；この下品なところが日本人に合っているのじゃないかと思う。</t>
        </is>
      </c>
      <c r="J2602">
        <f>HYPERLINK("https://www.weblio.jp/content/下品", "词义详情")</f>
        <v/>
      </c>
      <c r="K2602">
        <f>HYPERLINK("https://yourei.jp/下品", "查看例句")</f>
        <v/>
      </c>
    </row>
    <row r="2603">
      <c r="A2603" t="inlineStr">
        <is>
          <t>煙い</t>
        </is>
      </c>
      <c r="B2603" t="inlineStr">
        <is>
          <t>成功</t>
        </is>
      </c>
      <c r="C2603" t="inlineStr">
        <is>
          <t>読み方：けぶい
［形］［文］けぶ・し［ク］「けむい」に同じ。「生木がいぶって—・い」
[派生]けぶがる［動ラ五］けぶさ［名］</t>
        </is>
      </c>
      <c r="H2603" t="n">
        <v>29</v>
      </c>
      <c r="I2603" t="inlineStr">
        <is>
          <t>煙か雲かのやうな空虚さが、自分の胸の中に空洞をいくつも造り始めた。；煙か雲かわからないが、火明かりの照り返しで、不気味な赤さに輝いていた。；あなたは馬の上に居て、すこし煙いかしれません。；妙な、煙かなんかみたいな、雲のようなものだったのよ。；雲か煙か、晴天にこの一種の怪物の出現を仰ぎみた時に、わたしはいい知れない恐怖を感じた。；空は煙か雨かと思うほどで、傘さして通る人や、濡れて行く馬などの姿が眼につく。；「煙いなあ」 とごまかしたが、煙のための涙なのではなかった。；もうこの蚊帳があれば今年の夏は煙い辛抱をしなくとも宜いです。；煙くって目が開かれぬほどであった。；どうもこげくせえし、煙くなってきやがったから、手でこすってみると、畳が燃えてやがる。；煙いのを我慢すべき、居心地のよくない座であった。；その煙か、雲か、ひくくたれこめた空から、煤のようなものがふってくる。；意思を持って蠢く煙か霧のような姿をしているが、完全な気体生物ではなく触手で物体に触れる事が出来る。；薫物が煙いほどに焚かれていて、この室内に起ち居する女の衣摺れの音がはなやかなものに思われた。；「それはいけませぬ」 その声ははるかに遠くなり、ついいままで煙かなんぞのように、おぼろに見えていた影はなくなっていた。；地平のある一点から、奇妙な煙か霧のようなものが立ちのぼっているのを、その場の十数人がたしかめた。；人間は煙い所と愛のない所には生きてはいられない、という諺がありますが、正にそのとおりですね。；煙かと思ひなしに思ふべきものもなきに失望致し申し候。；今まで面白いと思い、たのしいと思い、価値あると思ったことが、すべて、煙か灰のように消えてしまったのです。；狭い通りに白動車の姿はなく、足が煙く頑丈そうな体格の馬が、馬単をカタカタと引いていました。；だから部屋に入るなりリリィが口にした、 「煙い」 という言葉は、まあ当然といえば当然だった。；だが要するに、その熱は一様で・変化なく・まんべんなくゆきわたるし・まぶしくも煙くもないし・壁暖炉のように我々に風を吹きつけることもないが、確かに他の色々な点では、我々のそれともよく似た点を持っている。；なんだかタバコでも吸ったみたいに、もくもくと煙くて、甘い香りがする。；井上に目の前でこうして明らさまにすぱすぱやられると、太郎自身、煙草など煙いばかりだと、実感をもって思うのである。；其時、行手の闇を裂いて、雲か煙か三条の柱が、ぐるぐる巻き乍ら走って来た。；煙突から煙か蒸気を吹き出しており、船の背後へ川面と平行にたなびいている。；正面の石段を下りていくと、バラの園に飛び回る妖精の光が、瞬き、煙いた。；ゴトゴトと動く木製のエスカレーターで地下深いプラットホームへ降りていくと、途中から煙いような小便臭いような匂いがしてくる。；煙ッたくて涙が出た。</t>
        </is>
      </c>
      <c r="J2603">
        <f>HYPERLINK("https://www.weblio.jp/content/煙い", "词义详情")</f>
        <v/>
      </c>
      <c r="K2603">
        <f>HYPERLINK("https://yourei.jp/煙い", "查看例句")</f>
        <v/>
      </c>
    </row>
    <row r="2604">
      <c r="A2604" t="inlineStr">
        <is>
          <t>煙たい</t>
        </is>
      </c>
      <c r="B2604" t="inlineStr">
        <is>
          <t>成功</t>
        </is>
      </c>
      <c r="C2604" t="inlineStr">
        <is>
          <t>読み方：けぶたい
［形］［文］けぶた・し［ク］「けむたい」に同じ。「たき火が—・い」
[派生]けぶたがる［動ラ五］けぶたげ［形動］けぶたさ［名］</t>
        </is>
      </c>
      <c r="D2604" t="inlineStr">
        <is>
          <t>煙たい存在(25%)；煙たいところ(4%)；煙たいもの(3%)</t>
        </is>
      </c>
      <c r="E2604" t="inlineStr">
        <is>
          <t>気まずい；居心地が悪い；気不味い；気疎い</t>
        </is>
      </c>
      <c r="H2604" t="n">
        <v>29</v>
      </c>
      <c r="I2604" t="inlineStr">
        <is>
          <t>中には、煙たく思われつつも利用し利用されという関係の警察官もいる。；秀吉にすれば、幾分か煙たい男であったには違いないがと思ったろう。；けど、わたしは若い女の子たちには煙たい存在だからさ、お局さまだから。；魚戸は、本艇に搭乗以来、僕を煙たそうにして避けているように見えた。；ああいう人格者は煙たいんだけれど、ちょっと挨拶して行きますかね。；その家に生まれてその家を嗣いだ大名でも、門閥家老は煙たいものである。；政治家と芸術家との間にはいつもなにか煙たいものがあらう。；煙たいこと、雨もりすること、悪い女房をもつことだと世間では言っています。；あたしと同じように彼女を煙たく思ってる子は何人かいたけど、誰も手を出せなかった。；それでさえ彼はどこかに煙たいところをもっていた。；保呂草は今、煙草を口にくわえ、煙たそうにしながら運転をしている。；前作「誰もが/煙たい」から約6ヶ月ぶりのリリースとなるシングル。；従って関口氏も彼には憚らねばならない煙たい存在であった。；それだけに、勘定方の同僚にとっては煙たく思えるのではないだろうか。；却ってそれを知っていたればこそ、煙たくて用うることが出来なかったのである。；房能としてはかねては煙たいやつと思っていたろうが、背に腹はかえられない。；尊敬はされているが、男たちにとっては煙たい存在でもある。；表題曲2曲目の「煙たい」はワンマンツアーで先行して披露されていた。；奈良木は狐沢が煙たい存在になったのだろうと、舞子は敏夫に言った。；初めの頃は、親父の密命を受けて私を監視してるんだろうなと思い、煙たく思っていた。；お陰で室内で薪を燃やしているというのに、煙たさは感じなかった。；グレイスは最初の頃こそヘンリーを煙たく思っていたが、徐々に彼に心を開いていくのだった。；その幽が煙たく思えるあんたこそ、街に生きるべき猫なのよ。；そんな鈴木であるにもかかわらず、河越卯平はだんだんと彼を煙たく思い始めたようだ。；同じ霊能者でも、父親のほうは少々煙たいと思う程度で、それ以上の感覚はない。；煙たい義母のいる事務室の方からは見えないように、昭二が道路の方へ出てきてくれた。；だから現在のぼくの子供らから、ぼくを見れば、ぼくという父にも多少どこかに祖父的な煙たさがあるかもしれない。；煙たい存在の前会長が相談役に退いた分だけ、鈴木のパワーが強化されたとも言える。；が、それでも宮下には弥太郎が依然として煙たい存在には変りなかった。</t>
        </is>
      </c>
      <c r="J2604">
        <f>HYPERLINK("https://www.weblio.jp/content/煙たい", "词义详情")</f>
        <v/>
      </c>
      <c r="K2604">
        <f>HYPERLINK("https://yourei.jp/煙たい", "查看例句")</f>
        <v/>
      </c>
    </row>
    <row r="2605">
      <c r="A2605" t="inlineStr">
        <is>
          <t>煙</t>
        </is>
      </c>
      <c r="B2605" t="inlineStr">
        <is>
          <t>成功</t>
        </is>
      </c>
      <c r="C2605" t="inlineStr">
        <is>
          <t>読み方：えん
［常用漢字］　［音］エン（呉）（漢）　［訓］けむる　けむり　けむいけぶい
〈エン〉
１けむり。「煙害・煙突・煙幕／薫煙・黒煙・硝煙・人煙・炊煙・噴煙・砲煙」
２煙のようにかすんだもの。もや。「煙雨・煙霞・煙霧／雲煙・水煙」
３すす。「松煙・油煙」
４タバコ。「愛煙・喫煙・禁煙・嫌煙・節煙」
〈けむり〉「潮煙・砂煙・血煙・土煙・湯煙」
[補説] 「烟」は異体字。
［難読］煙管(キセル)・煙草(タバコ)・狼煙(のろし)・煙火(はなび)</t>
        </is>
      </c>
      <c r="D2605" t="inlineStr">
        <is>
          <t>煙室；煙道；煙台；煙がもうもうと；煙路</t>
        </is>
      </c>
      <c r="E2605" t="inlineStr">
        <is>
          <t>烟；噴煙；スモーク；煙霧；燻煙</t>
        </is>
      </c>
      <c r="F2605" t="inlineStr">
        <is>
          <t>黒い煙；青い煙；濃い煙；細い煙；薄い煙</t>
        </is>
      </c>
      <c r="G2605" t="inlineStr">
        <is>
          <t>煙突；煙管；煙幕；煙草の煙；煙り</t>
        </is>
      </c>
      <c r="H2605" t="n">
        <v>29</v>
      </c>
      <c r="I2605" t="inlineStr">
        <is>
          <t>この時機体後部から煙を出しながら雲の下を飛行している姿が目撃された。；後の調査で、この時の煙の原因は空調が過熱したことだったと判明した。；炎に包まれた時は、全身から白い煙のようなものを放出して消し止める。；ほかの階段と同じようにF階段にも既に大量の煙が充満していたのだった。；近隣の小学校の校長は療養所の煙突から煙が出るのが恐ろしいと言った。；スギの葉から作られる線香は匂いよりも煙の量を重視したものである。；イギリス側は煙で港内の様子がわからなくなったため一旦港外に出た。；これは呪を唱え目、鼻、口から水では消えない火や煙を出す術である。；条件を満たしていない場合、使用しても煙が出るだけで効果は発揮されない。；煙室にある通常の煙突は点火時のみ使用し、点火後は蓋で塞がれていた。；以前はヘビースモーカーを自認していたが、現在は減煙に成功している。；また、装置そのものが煙が覆う地域の間際に位置することが必須となる。；体内に業火を宿し、全身に煙と影を纏う大きな人のような姿をしている。；煙などにも強い植物であるため、中国では工場や鉱山の緑化に用いられる。；そのため強い熱と濃い煙に妨げられ、救助隊員たちの救出活動は遅れた。；これを肺まで深く吸引した後に吐き出しても実際の煙草同様に煙が見える。；両者に共通するのはドアが開いたときに外に漏れてくる大麻の煙の匂いである。；霧は通常白色だが工場地帯では煙と塵埃のために灰色や黄色になることがある。；特殊なものでは、燃焼によって発生する光や煙を利用するものがある。；煙の粒子には小さいほど急速に拡散する性質もあり壁などに付着する。；ところがその4分後には異臭に加えて目視できるほどの煙が発生した。；移動するときに煙のように物体を残して自分自身は進んでいく。；煙台炭礦線によって日本への輸出や、満州地域での利用が行われていた。；一首目、煙が手前にあれば、その向こうのけむりの影は、普通は見えない。；食べられるといっても若いうちだけであり煙がでるようになったらもはや食べることはできない。；そのままでは、後ろに煙を若干出すものの、煙はすぐに消えてしまう。；時として胸の上に鏡が置かれ、鏡から煙が生じている様子で描かれる場合もある。；終日立ち込めるカトマンズの霧は火葬場の煙であるとさえ言われている。；白リンの煙は概して非常に高温で、接触すると火傷を生じることがある。</t>
        </is>
      </c>
      <c r="J2605">
        <f>HYPERLINK("https://www.weblio.jp/content/煙", "词义详情")</f>
        <v/>
      </c>
      <c r="K2605">
        <f>HYPERLINK("https://yourei.jp/煙", "查看例句")</f>
        <v/>
      </c>
    </row>
    <row r="2606">
      <c r="A2606" t="inlineStr">
        <is>
          <t>煙る</t>
        </is>
      </c>
      <c r="B2606" t="inlineStr">
        <is>
          <t>成功</t>
        </is>
      </c>
      <c r="C2606" t="inlineStr">
        <is>
          <t>読み方：けぶる
［動ラ五（四）］《「けむる」の古形》
１「けむる1」に同じ。
「御飯を焚(たい)て居て、余り—・りましたから」〈鉄腸・雪中梅〉
２「けむる2」に同じ。
「裏町は—・るように白い砂けむりをあげて」〈宇野浩二・晴れたり君よ〉
３「けむる3」に同じ。
「いつしかと気色だつ霞の、木の芽もうち—・り」〈源・初音〉
４ほんのりと美しく見える。
「面付きいとらうたげにて眉のわたりうち—・り」〈源・若紫〉
５火葬にされる。
「向ひ居てみるにも悲し—・りにし人を桶火の灰によそへて」〈和泉式部続集〉</t>
        </is>
      </c>
      <c r="D2606" t="inlineStr">
        <is>
          <t>煙るような雨(3%)；煙る光を帯び</t>
        </is>
      </c>
      <c r="E2606" t="inlineStr">
        <is>
          <t>燻る；烟る；燻ぶる</t>
        </is>
      </c>
      <c r="H2606" t="n">
        <v>29</v>
      </c>
      <c r="I2606" t="inlineStr">
        <is>
          <t>と云ってもちろん煙りのように、消えてなくなってしまったのではない。；ニューヨークの雨は霧を煙らせ、人と人を寄せつけないようにしている。；林の中から、土煙りのほかに空の方へ向かってとび出してくるものがある。；はて、不思議だと思う間もなく、その姿は煙りのように消えてしまった。；道路と隣接してならび、いまは雨に煙っているビルの壁まで達する通路だ。；一つは矢傷を受けた篳篥で、もう一つは煙るような色合いの玉笛だった。；ただ老人の手にある花は色や形は同じに見えても、どこか霧のように煙っていた。；赤と白が煙る中、ニルフィリアはそれらを押しのけるようにして現れた。；街道の向こう側では巨大な鳥籠に似たゴルフ練習場が雨に煙っていた。；それよりも、さつきから煙りが眼にしみ、涙が出て來て仕方がなかつた。；五、六〇メートル前方で、エレベーターの巨大な箱が雨に煙っている。；階段の脇の硝子窓を少し開けて表通りを見ると、坂の街が白く煙っていた。；やがて煙るような雨の中に、黒い橋と長い枝を垂れた柳が見えて来た。；たちまち台場の中は土煙りに被われて、陣小屋からは火の手が上がった。；しかし子供ってものは、どうして父親をああ煙ったがるのですかねえ。；濃い灰色の衣は煙る雨と影の中に溶けこんで、ほとんどわからないくらいだ。；これらの扉は開いており、中からうっすらと煙った明かりが射している。；あの煙りが前に見えたんだが、もうずっと、後ろになってしまった。；霧雨に煙るホテル街を見おろして、おれはぼんやりと心を冷やしていた。；まだ五時前だというのに森の中は薄暗く、視界は煙って見えにくい。；次第に淀の駅の船着場も近いと聞くころには、煙るような雨が川の上へ来た。；その無氣味な煙りの中には、ときどき稻妻のやうなものが光つてゐた。；お道が歸つて來る迄と待つてゐた魚を燒く煙りが、土間一ぱいにこめた。；その無気味な煙りの中には、ときどき稲妻のようなものが光っていた。；ずっと遠くまで霞んでいて、山の近い木立ちなどは淡く煙って見えた。；酒に酔うと云う言葉はあるが、煙りに酔うと云う語句を耳にした事がない。；雨に煙る黄昏の町を抜け二町とは離れていない永田の家に行った。；芽吹いたばかりの柔らかな葉に、林全体が蒼みを帯びた緑に煙っている。；町を出外れると、白く煙るようにみえていた林檎畑が道の左右に迫ってきた。</t>
        </is>
      </c>
      <c r="J2606">
        <f>HYPERLINK("https://www.weblio.jp/content/煙る", "词义详情")</f>
        <v/>
      </c>
      <c r="K2606">
        <f>HYPERLINK("https://yourei.jp/煙る", "查看例句")</f>
        <v/>
      </c>
    </row>
    <row r="2607">
      <c r="A2607" t="inlineStr">
        <is>
          <t>獣</t>
        </is>
      </c>
      <c r="B2607" t="inlineStr">
        <is>
          <t>成功</t>
        </is>
      </c>
      <c r="C2607" t="inlineStr">
        <is>
          <t>読み方：けだもの
《毛の物の意》
１全身に毛が生え、4足で歩く哺乳動物。けもの。
２人間としての情味のない人をののしり卑しんでいう語。</t>
        </is>
      </c>
      <c r="D2607" t="inlineStr">
        <is>
          <t>獣たち(4%)；獣じみ；獣舎；獣骨；獣面</t>
        </is>
      </c>
      <c r="E2607" t="inlineStr">
        <is>
          <t>動物；生物；生き物；生体；鳥獣</t>
        </is>
      </c>
      <c r="F2607" t="inlineStr">
        <is>
          <t>汚染獣；幼獣；巨獣；早駆け獣；騎獣</t>
        </is>
      </c>
      <c r="G2607" t="inlineStr">
        <is>
          <t>獣人；獣脚類；獣のように；獣医師；獣医学</t>
        </is>
      </c>
      <c r="H2607" t="n">
        <v>29</v>
      </c>
      <c r="I2607" t="inlineStr">
        <is>
          <t>獣の姿をした生物群と共存し、白を基調としたヨーロッパ的文化の世界。；山伏は鉄杖で獣を叩き殺し、自分の役目は終わったと言って村を去った。；吸収した獣の技はMPを消費して召喚を行うことで使うことができる。；単独もしくは母親と幼獣からなる数頭の群れを形成することが多い。；獣戦士よりも高い知能を有し、ガルス以外は人間を模した顔をしている。；その専用武器ごとに「心獣解放技」と呼ばれる必殺技を放つことが可能。；熊などの大型獣を昇降できるように重量は300kgまで対応していた。；獣害の報告の都合などもあって科学的な分類は明治期に開始された。；ペアもしくはその幼獣から構成される小規模な群れを形成し、生活する。；投げ縄で獣を捕らえるようにして虫を捕らえることが名の由来である。；狐という字が使用されているが、鳥・獣・人の画像が使用されるものである。；その力こそが悟郎の前世が奪った四聖獣の力の源である獣神具であった。；鉄也のグレートマジンガーは初出撃で戦闘獣を一蹴してその力を示した。；戦闘時は獣のような腰を落とした姿勢で走るのが特徴である。；そこで目にしたのは調査隊に化けていた超古代怨念翼獣シビトゾイガー。；巨大な機械獣を駆使して犯罪行為を行う輩が跳梁跋扈し始めたのである。；過去に確認されたことのないその獣は日本のものではないということしかわからない。；道具は専ら木や石・大型獣の皮などを利用して作られている。；姿は人間に近いものの、顔は獣のようで、高い鼻、長い耳と牙を持つ。；機動性を重視し、機体重量を軽くするために装甲に強獣の骨を用いている。；そして夜になると冬木の町は謎の獣とそれを率いるように立つ少女が現れるようになる。；鼻行類は、同名の書籍に掲載された、想像上の生物である小獣の一群。；優勝して自分の風雲拳の最強を証明すべく、獣神武闘会への出場を決めた。；蒙恬が獣の毛を集めて作り、始皇帝に献上したのが筆の始まりとされていた。；人類が手も足も出なかったラダム獣を事もなく打ち砕いてみせた。；一般的にはカバもしくはサイに似た獣の姿で描かれることが多い。；この法律により、と畜場以外の場所での獣畜のと殺・解体は規制される。；インサラウムの準騎士クラスの戦士および機体が次元獣と化したクラス。；人外の青の獣と白の獣が目付黒衣衆によって捕らえられようとしていた。</t>
        </is>
      </c>
      <c r="J2607">
        <f>HYPERLINK("https://www.weblio.jp/content/獣", "词义详情")</f>
        <v/>
      </c>
      <c r="K2607">
        <f>HYPERLINK("https://yourei.jp/獣", "查看例句")</f>
        <v/>
      </c>
    </row>
    <row r="2608">
      <c r="A2608" t="inlineStr">
        <is>
          <t>家来</t>
        </is>
      </c>
      <c r="B2608" t="inlineStr">
        <is>
          <t>成功</t>
        </is>
      </c>
      <c r="C2608" t="inlineStr">
        <is>
          <t>読み方：けらい
１主君や主家に仕える者。家臣。従者。
２親・尊族を敬い礼を尽くすこと。転じて、他人に礼を尽くすこと。
「文籍(ぶんせき)にも—といふことあるべくや」〈源・藤裏葉〉
３朝廷の公事(くじ)や故実を習うために摂家などに出入りする者。
[補説]古くは「家礼」「家頼」などと書き、「家来」は中世以降の表記。</t>
        </is>
      </c>
      <c r="D2608" t="inlineStr">
        <is>
          <t>家来たち(12%)；家来ども(4%)；家来共(2%)；家来衆；家来達</t>
        </is>
      </c>
      <c r="E2608" t="inlineStr">
        <is>
          <t>家臣；奴隷；従者；使用人；召使い</t>
        </is>
      </c>
      <c r="F2608" t="inlineStr">
        <is>
          <t>ご家来；忠実な家来；わが家来；内匠頭家来</t>
        </is>
      </c>
      <c r="H2608" t="n">
        <v>29</v>
      </c>
      <c r="I2608" t="inlineStr">
        <is>
          <t>突然の事態に慌てて寄って来た家来に自分は正気であると伝えたという。；それを見て、ほかの家来たちがまたぶつぶつもんくをいいはじめました。；そして、家来どもが高すぎたとか横にそれたとか言うのを聞いて満足する。；鬼の全盛の期間つとめあげた奴だから、これも気の荒い家来だそうでな。；この上はもうお前はわしの家来ではなくて、あっぱれ帝の臣下なのだぞ。；しかし竜が泉を守っていた為派遣された家来たちの大部分がこの竜に殺された。；金太郎はこの家来たちをお供に連れて、一日山の中を歩きまわりました。；「あの枕を持っている男をここへ呼べ」 家来の一人は道度の傍へきた。；薩摩の大名は江戸に来るため家来と共に、五百マイル以上の旅行をした。；しかし地主が殿様で小作がその家来だった昔の関係が今でも残っている。；これには家来のみならず、列席していた将たちさえも唖然とさせられた。；殿様は困っておしまいになって、家来たちを集めて御相談なさいました。；家来の家も立ち並び、江戸や地方から訪れる人で賑わいを見せたという。；獲物を追っているうちに、家来たちから離れ、森の中で迷ってしまった。；今夜も荷作りの達しが来たが、自分と家来ばかりでは纏め方が判らない。；ここにいるのは猫ばかりで、それがみんな三毛猫のごけらいなのです。；暫くして隊長は縁に進んで女の子を追ひ退けると五六人の家来が皆従ふ。；家康はこれを見て彼の家来に命じて人数の少い方を手伝ってやれといった。；家来は女王が行方知れずになつたのを夜の中に聞いてゐたのである。；高木彦右衛門および事件の当事者や他家来など9名がその場で殺される。；これで解決策を思いついた地頭は、家来に命じて鏡を一つ持ってこさせた。；アムレートはその手紙を夜の間に家来を殺してくれるようにと書き換える。；後の始末は家来たちに任せ帰ろうといって道誓と江田はその場を去った。；また大名らも家来を率いて幕府政庁を訪れ将軍に舞を披露していた。；物を云うものがない、しかし家来達は恐ろしそうに、主人を見つめていた。；その際、賊出身の人物を家来にすることを嫌った関羽に拒絶されている。；その時に政府の方から私と私の家来二人をあの地に差し向けることになった。；そのため、双方の家来が戦って200余人が殺される騒ぎが起きたという。；でも人に見られるときまりが悪い、御家来衆はなんとお思いなさるだろう。</t>
        </is>
      </c>
      <c r="J2608">
        <f>HYPERLINK("https://www.weblio.jp/content/家来", "词义详情")</f>
        <v/>
      </c>
      <c r="K2608">
        <f>HYPERLINK("https://yourei.jp/家来", "查看例句")</f>
        <v/>
      </c>
    </row>
    <row r="2609">
      <c r="A2609" t="inlineStr">
        <is>
          <t>下落</t>
        </is>
      </c>
      <c r="B2609" t="inlineStr">
        <is>
          <t>成功</t>
        </is>
      </c>
      <c r="C2609" t="inlineStr">
        <is>
          <t>読み方：げらく
［名］(スル)物価や相場、また、物事の価値などがさがること。「株価が—する」</t>
        </is>
      </c>
      <c r="D2609" t="inlineStr">
        <is>
          <t>下落する(13%)；下落傾向；下落せしめる；下落局面；下落すれ</t>
        </is>
      </c>
      <c r="E2609" t="inlineStr">
        <is>
          <t>減少；低下；落ちる；後退；衰退</t>
        </is>
      </c>
      <c r="F2609" t="inlineStr">
        <is>
          <t>物価下落；大きく下落；地価下落；著しく下落；大幅な下落</t>
        </is>
      </c>
      <c r="G2609" t="inlineStr">
        <is>
          <t>下落合駅；下落合焼とりムービー；下落率；下落合村；下落幅</t>
        </is>
      </c>
      <c r="H2609" t="n">
        <v>29</v>
      </c>
      <c r="I2609" t="inlineStr">
        <is>
          <t>日本国内でも近年稀に見る価格下落が始まり取引に影響が出始めた。；ここに住んでいる人たちの魂は、犬や豚よりも下落しているようだと思う。；そのため、ビットコインの価格が上昇すれば、金や銀の価格は下落した。；これは利子率が下落するほど投機的需要が増大することを意味している。；後半には経済の下落に歯止めがかかったが、真の経済回復は訪れなかった。；しかし、これは2014年から2017年の間の一時的な下落であった。；特に輸出関連のメーカーなどは30年前の株価まで下落する状況であった。；競技人口と観客の下落のため、この大会は現在3年に1度開かれている。；米価の下落や飼料用米への転作などもあり、藁不足が深刻になっている。；これは、それまで確保していた諸侯、騎士の地位を下落させるものであった。；ニュースの後、ビットコインは大幅に下落したが、その後価格は回復した。；そのポイント失効の影響もあり、年間最終ランクは67位まで下落した。；数ポイントの下落なら我々の懐に何百万ポンド転がり込んだかもしれない。；最近は数字が下落しているものの、過去に何度も世界自殺統計のトップであった。；逆に保存状態が極端に悪い場合など、価格が格段に下落する場合は多々ある。；一方で、デフレ不況下にある日本の製造業の価格は下落し続けている。；米価下落には朝鮮や台湾からの米流入の影響もあったといわれる。；楽しみや嗜好もここまで下落しては行つまりで人の前へ持出す事も出来ない。；自国の通貨の価値を下落させる国がいくつかあったこともその理由のひとつである。；ブラジルやチリなどのように国際的な物価の下落にも影響を受けなかったのである。；パフォーマンスが向上し、価格が下落することでユーザも大きく増加した。；有権者の支持率が下落するのと比例するように番組の視聴率も低迷した。；彼によれば、この下落は応じられた活動のためにすべての国で特に顕著であったという。；僅か三四人の例でさえ、女の場合の条件の下落に気がつくのだ。；しかしその時以来金の価格は下落し現在も下がり続けている。；このような努力にも関わらず、比較的好景気だった状況で株価は下落した。；の利用の減少がその結果としての価格を下落せしめるであろうことは明らかである。；そのために郊外に空屋が殖えて来て、家賃がドシドシ下落するという。；また、他の地域でも価格の大幅な下落が指摘されている。</t>
        </is>
      </c>
      <c r="J2609">
        <f>HYPERLINK("https://www.weblio.jp/content/下落", "词义详情")</f>
        <v/>
      </c>
      <c r="K2609">
        <f>HYPERLINK("https://yourei.jp/下落", "查看例句")</f>
        <v/>
      </c>
    </row>
    <row r="2610">
      <c r="A2610" t="inlineStr">
        <is>
          <t>げらげら</t>
        </is>
      </c>
      <c r="B2610" t="inlineStr">
        <is>
          <t>成功</t>
        </is>
      </c>
      <c r="C2610" t="inlineStr">
        <is>
          <t>［副］しまりなく、大声で笑うさま。「人目をはばからず—（と）笑う」</t>
        </is>
      </c>
      <c r="D2610" t="inlineStr">
        <is>
          <t>げらげらと笑い(10%)；げらげら笑いだし(6%)；げらげら笑い出し(5%)；げらげら笑う(5%)；げらげら笑いつづけ</t>
        </is>
      </c>
      <c r="H2610" t="n">
        <v>29</v>
      </c>
      <c r="I2610" t="inlineStr">
        <is>
          <t>議員の多くはまるでその悲懐を解せぬもののようにげらげら笑っていた。；心の中で、わたしが何も知らないのだと言ってげらげら笑っている感じだ。；母は私を見てげらげら笑い、次に口紅を出してきて私の唇を赤く塗った。；忠道は郎党らがなにもない庭に倒れ込んだのを眺めてげらげらと笑った。；それをまたわれわれ三人の男がげらげら笑いながらみてたという寸法です。；しかし、群衆はただげらげら笑ってますます増加して来るばかりであった。；その瞬間、大公がわたしを見たと思うと、急にげらげらと笑いだしました。；げらげらと笑ってゆく声が、茫然と見ていた若い者たちの耳に残った。；うちの彼がげらげら笑いながら手拍子をとっているのが情けなかった。；順平も尻を振って見せ、げらげら笑い、そしてあたりを見廻すのだった。；今、この言葉を持ち出したならば、人々はげらげらと笑い出すことだろう。；事実彼は、その血の十字架の上をげらげら笑いながら踏んであるいた。；すると、少し離れたところの岸で、げらげら笑っている者があった。；犯人は複数で、猫を押さえつけ、げらげら笑いながら猫に傷を入れていく。；それをあの人はげらげら笑いながら、千度もくり返して聞かせるんですよ。；男たちはもちろん聞き耳を立て、にやにや、げらげらと笑いだしたのよ。；この書面を読み終わると、私はげらげら笑いださずにいられなかった。；ジョンが想像していることを知って、ボアズはげらげら笑いだした。；ところがぼくはまったくその反対だものだから、思わずげらげら笑ってしまったのだ。；童馬はあっけにとられて相手を眺めていたが、ふいにげらげら笑い出した。；だが、あまりげらげら笑うので、するりと体が離れてしまいそうになった。；その三人は、げらげら笑いながら小屋の中をあちこちひっくり返しだしたよ。；この女子職員は翌日退職したものの、今もなおげらげら笑いつづけているという。；歌はわたしを心の中でげらげら笑わせ、外面ではしずかにほほえませた。；店の内外にいる野次馬たちは、げらげらと笑いながらそれを見物していた。；私は彼のびっくりした顔を見ながら、わざとげらげら笑った。；そばで見ていたスタジオの連中が、げらげら笑いだしました。；この老人は今もなおげらげら笑いつづけているという。；皆はそいつの表情を見つめながらげらげら笑っていた。</t>
        </is>
      </c>
      <c r="J2610">
        <f>HYPERLINK("https://www.weblio.jp/content/げらげら", "词义详情")</f>
        <v/>
      </c>
      <c r="K2610">
        <f>HYPERLINK("https://yourei.jp/げらげら", "查看例句")</f>
        <v/>
      </c>
    </row>
    <row r="2611">
      <c r="A2611" t="inlineStr">
        <is>
          <t>下痢</t>
        </is>
      </c>
      <c r="B2611" t="inlineStr">
        <is>
          <t>成功</t>
        </is>
      </c>
      <c r="C2611" t="inlineStr">
        <is>
          <t>読み方：げり
［名］(スル)大便が液状もしくはそれに近い状態で排泄(はいせつ)されること。腹下し。</t>
        </is>
      </c>
      <c r="D2611" t="inlineStr">
        <is>
          <t>下痢症；下痢気味；下痢性；下痢患者；下痢等</t>
        </is>
      </c>
      <c r="E2611" t="inlineStr">
        <is>
          <t>下り；下痢症；腹下し；痢；下り腹</t>
        </is>
      </c>
      <c r="F2611" t="inlineStr">
        <is>
          <t>ひどい下痢；性下痢；猛烈な下痢；慢性的な下痢；過ぎると下痢</t>
        </is>
      </c>
      <c r="G2611" t="inlineStr">
        <is>
          <t>下痢便；下痢原性大腸菌</t>
        </is>
      </c>
      <c r="H2611" t="n">
        <v>29</v>
      </c>
      <c r="I2611" t="inlineStr">
        <is>
          <t>紙の袋に入れ、下痢どめにと腹に入れていた懐炉をその袋に入れてやる。；といってあんまり脂肪分ばかり毎日食べさせたから子供が下痢を起した。；栄養失調に伴う下痢の発生はほとんど全員に及んだといってもよかった。；しかしちょうどこれと同じ下痢にかつて千葉で半年間いじめられたのだ。；発生の最初の3日に起きた例では殆ど何の前駆的な下痢も見られなかった。；その日の昼頃突然姉の所から赤坊が大変な下痢だと云ふ知らせが来た。；そこへもつて来て、今朝は珍しく下痢患者が三人もやつて来ましてな。；実際に中間の下痢例がコレラを感染させたのでなければのことである。；ただし昨夜の高熱のせいか、下痢を発して朝から四五回つづけている。；それにおれは肥満止めの薬を飲みすぎて慢性の下痢になってしまった。；下痢と痙攣が最初の症状で、次に一時的に症状が治まる偽回復期がある。；だったら金なんか出さずに頭の一つも下げりゃやってくれるんじゃねえの?；母親を幼くして失ったかげりが、男を惹く性的魅力になっているらしい。；一体下痢をする度に大きい蘇鉄を思ひ出すのは僕一人に限つてゐるのかしら?；このあと、下痢で苦しみながらインドのバスに揺られる地獄行が続く。；当初は体が受け付けずに下痢を起こしたこともあったが次第に慣れていったという。；水を飲むとき一緒に食べると下痢にならないとも言われた。；この酵素は、動物やヒトの下痢の原因になっていると考えられている。；魚や貝が食べられなかったり、そばも下痢を発症する事から食べなかった。；このような状態では夏期に下痢と赤痢が流行し子供は生命が危くなる。；一方で、1回の食事で大量に摂取すると、下痢を発症する可能性がある。；ひどい下痢をおこして、まるで、赤痢にかかったようになってしまった。；沼には一羽の小さな鴫とたげり《・・・》のほかはなにもいなかった。；それに熱も出さず、食べ物を戻したり、下痢をすることもなくなっている。；それは旅の終りであったし下痢もひどかったので私は疲れきってもいたのだ。；水分が多い場合は液状になることもあり、その場合は下痢といわれる。；誰でも食物の脂肪分が不足すると秘結しますし多過ぎると下痢します。；よく聞いて見ると使に出た間も二三度は下痢したと言つた。；これはほとんどの場合は感染性ではなく別の原因で起る下痢であるからである。</t>
        </is>
      </c>
      <c r="J2611">
        <f>HYPERLINK("https://www.weblio.jp/content/下痢", "词义详情")</f>
        <v/>
      </c>
      <c r="K2611">
        <f>HYPERLINK("https://yourei.jp/下痢", "查看例句")</f>
        <v/>
      </c>
    </row>
    <row r="2612">
      <c r="A2612" t="inlineStr">
        <is>
          <t>蹴る</t>
        </is>
      </c>
      <c r="B2612" t="inlineStr">
        <is>
          <t>成功</t>
        </is>
      </c>
      <c r="C2612" t="inlineStr">
        <is>
          <t>読み方：ける
［動ラ五（四）］
１足で勢いよく突く。また、足にはずみをつけるようにして突いて飛ばす。「馬に—・られる」「ボールを—・る」
２足で地面などを強く押す。「床を—・って高くジャンプする」「水を—・って泳ぐ」
３（「席をける」の形で）怒って荒々しくその場を立ち去る。「裁定を不満とし、席を—・って退場する」
４要求・提案などを受け入れないで、きっぱり断る。はねつける。拒絶する。「組合の要求を—・る」「与えられた役を—・る」
[補説]下一段の「ける」が江戸時代後半から四段に活用するようになったもの。しかし、現代語でも「け散らす」「け飛ばす」などの複合語には下一段活用が残存しており、命令形も「けれ」のほか「けろ」も用いられる。
[可能]けれる</t>
        </is>
      </c>
      <c r="D2612" t="inlineStr">
        <is>
          <t>拒否；拒絶；遠慮；辞退；振る</t>
        </is>
      </c>
      <c r="F2612" t="inlineStr">
        <is>
          <t>軽く蹴る；強く蹴る；打つ蹴る</t>
        </is>
      </c>
      <c r="H2612" t="n">
        <v>29</v>
      </c>
      <c r="I2612" t="inlineStr">
        <is>
          <t>私はもう一度女が男を蹴るだろうと予想したが、女はそこで足を止めた。；私は拳銃を取り上げて小屋の扉を蹴開いて縄梯子を伝わって丘へ下りた。；そして動物と取っ組み合いになると棒と重い靴で打ったり蹴ったりした。；死因は公表されていないが、頭部を馬に蹴られたことと考えられている。；ボールが外に出たタッチライン上よりボールを蹴ってプレーを再開する。；ドレイクもその後につづいて、室内にはいるとドアを足で蹴ってしめた。；まるで踏まれたり蹴られたりとはこのことだと愚痴っている人もあった。；やがて彼女のまわりに立っていた人間の一人が脇腹のあたりを軽く蹴った。；別に女房からブタれたり蹴られたりするわけではないのになぜこわいか。；嫌なら蹴るか殴るか爆発するか頭突きするか逃げるかなにかするだろう。；そこには二三人の子供がいて、その石を拾って石蹴をして遊んでいた。；これまでシノンは、脚で空気を蹴る感覚で随意飛行を制御してきたのだ。；そしてお前なんかに俺の氣持はわからないと疊を蹴つて次の友を訪ふ男。；他流派の影響も受けたせいか、横蹴りも多々見られるようになっている。；複数の敵をまとめて蹴り落とすと、敵の数に応じて得点に倍率がかかる。；彼が競子を蹴ったのは、彼が競子のために乱されたからではなかったか。；外で声がひびいたと思うと、扉を足で蹴りあけて、コナンが入ってきた。；とりわけ、最初に蹴られた肋骨の痛みは単なる打撲ではなさそうだった。；衆は立つ足もなくあわて惑う、牛あれて一蹴りに駈け散らして飛び行く。；若い男との取っ組みあいのさなか、もう一人の男に蹴られたあとである。；屍者は死の瞬間に足を蹴ったので靴のカカトが外れかけていたのです。；それが、俺の下顎が蹴り上げられたものだと 知るには数秒かかった。；巡査は時々この車は一体誰のものかといって、靴で一つ蹴って行った。；それでも少女は声を出さず、足をばたつかせて椎葉の膝を蹴ろうとする。；人は殴られていても、いや蹴られていても、あれこれものを考えるのだ。；気づいたときには、蹴りで顔を潰された後輩の男の死体が転がっていた。；教経は一人を海に蹴り落とすと、二人を組み抱えたまま海に飛び込んだ。；蹴ってやりたくなったが、悪魔である彼が人間に姿を見せるのは御法度だ。；ボールを蹴れば彼が何者であるかはすぐに分るのに、それができないのだ。</t>
        </is>
      </c>
      <c r="J2612">
        <f>HYPERLINK("https://www.weblio.jp/content/蹴る", "词义详情")</f>
        <v/>
      </c>
      <c r="K2612">
        <f>HYPERLINK("https://yourei.jp/蹴る", "查看例句")</f>
        <v/>
      </c>
    </row>
    <row r="2613">
      <c r="A2613" t="inlineStr">
        <is>
          <t>けれど/けれども</t>
        </is>
      </c>
      <c r="B2613" t="inlineStr">
        <is>
          <t>无结果</t>
        </is>
      </c>
      <c r="H2613" t="n">
        <v>0</v>
      </c>
      <c r="J2613">
        <f>HYPERLINK("https://www.weblio.jp/content/けれど/けれども", "词义详情")</f>
        <v/>
      </c>
      <c r="K2613">
        <f>HYPERLINK("https://yourei.jp/けれど/けれども", "查看例句")</f>
        <v/>
      </c>
    </row>
    <row r="2614">
      <c r="A2614" t="inlineStr">
        <is>
          <t>険しい</t>
        </is>
      </c>
      <c r="B2614" t="inlineStr">
        <is>
          <t>成功</t>
        </is>
      </c>
      <c r="C2614" t="inlineStr">
        <is>
          <t>読み方：けわしい
［形］［文］けは・し［シク］
１傾斜が急で、登るのに困難であるさま。「—・い山道」
２困難や危険な事態が予想されるさま。「再建への道は—・い」
３怒りや緊張のため、言葉や表情などがとげとげしいさま。「—・い声」「—・い目つき」
４自然現象などが、荒々しく激しいさま。
「磯にをる波の—・しく見ゆるかな沖になごろや高く行くらん」〈山家集・中〉
５危険である。危うい。
「我—・しき事に出会ひしは四十三度。一度も手を負はざりしに」〈浮・諸国ばなし・三〉
６あわただしい。せわしい。忙しい。
「取り上げ婆呼んで来てやる—・しき時も、茶漬飯を食はずにはゆかぬものなり」〈浮・胸算用・四〉
[派生]けわしげ［形動］けわしさ［名］</t>
        </is>
      </c>
      <c r="D2614" t="inlineStr">
        <is>
          <t>険しい表情(9%)；険しい顔(8%)；険しい地形(5%)；険しい山(4%)；険しい道(3%)</t>
        </is>
      </c>
      <c r="E2614" t="inlineStr">
        <is>
          <t>急；大変；厳しい；鋭い；深刻</t>
        </is>
      </c>
      <c r="F2614" t="inlineStr">
        <is>
          <t>険しい声；険しい峡谷；険しい丘；険しい断崖；険しい峠</t>
        </is>
      </c>
      <c r="H2614" t="n">
        <v>29</v>
      </c>
      <c r="I2614" t="inlineStr">
        <is>
          <t>険しき崖の中ほどにありて、人などはとても行きうべきところにあらず。；危難を遁がれた島君は険しい峠を上へ上へと力の続く限り駈け上がった。；そいつはよくある鬼とかモンスターとかの険しく強そうな表情ではない。；夫人と向きあって、相変らず険しい眼をしてじっと何か考えていられる。；温泉を目指してしばらく行ったころ、左側に険しい丘が姿を見せてくる。；ほんとに自分達は危い険しい路に深入りして来たのでないかと思われた。；その眼が険しくなったのは、少年が動作を止めた理由が判ったからである。；腰をさすって見上げた雲の中のお月様はとても険し気でありました。；かれの言うとおり、岩棚は険しく上昇する新たな通路に通じていた。；ひろみは、前に会った時よりも、表情が、険しくなっている感じがした。；一同が城に行く、険しい道を登り始めた頃は、もう昼過ぎになっていた。；しかし、途中には険しい森に大きな川、やっとたどり着いた街にも危険。；思わず見上げると、自分を見下してゐる相手の険しい目と視線が合った。；万之助の目が急に険しくなったような気がして、新一郎はひやりとした。；しかし険しく、冬になれば慣れた者にも恐れられる程、厳しい環境になる。；ひとり、またひとりと追えるたびに、講師の表情は険しくなっていった。；険しき崖の中ほどにありて、人などはとても行き得べき処にあらず。；そばで覗き込んでいた翠の顔も険しく、明らかに俺の精神を心配していた。；それらは、静かな時の連続のうちに、険しい巖のように立ち並んでいた。；これらの部分は不必要なカーブや険しい坂道を避ける形で改良された。；周囲の地形は険しくないが、その分を補うために濠がめぐらされていた。；山はここから見てもおなじように高く、そしておなじように険しい。；どの渓谷もみな、よほど険しい深いV字型渓谷になっているのであろう。；フランス軍は西側が険しすぎて襲撃ができないと考えたため狼狽した。；番兵は扉の両脇に立ち、飾りがついたヘルメットの下の目を険しくする。；今のところまだ道は険しそうだが、テルはなかなかうまくやってるよ。；どこに目を向けても、岩が険しく荒あらしくなっていくばかりだった。；来る事をも禁じてある際なので私は険しい顔をして二人を見た。；するとそれをどう聞いたのか、夫人は唇の色まで変えて険しい眼をして申しました。</t>
        </is>
      </c>
      <c r="J2614">
        <f>HYPERLINK("https://www.weblio.jp/content/険しい", "词义详情")</f>
        <v/>
      </c>
      <c r="K2614">
        <f>HYPERLINK("https://yourei.jp/険しい", "查看例句")</f>
        <v/>
      </c>
    </row>
    <row r="2615">
      <c r="A2615" t="inlineStr">
        <is>
          <t>件</t>
        </is>
      </c>
      <c r="B2615" t="inlineStr">
        <is>
          <t>成功</t>
        </is>
      </c>
      <c r="C2615" t="inlineStr">
        <is>
          <t>読み方：くだり
《「下(くだ)り」と同語源》
１文章における記述の一部分。章。条。段。「冒頭の—がよく書けている」
２前に述べた事柄。くだん。
「上の—啓せさせけり」〈大和・一六八〉</t>
        </is>
      </c>
      <c r="D2615" t="inlineStr">
        <is>
          <t>件以上；件以来；件以降；件書類；件程度</t>
        </is>
      </c>
      <c r="E2615" t="inlineStr">
        <is>
          <t>こと；もの；場合；事；事件</t>
        </is>
      </c>
      <c r="F2615" t="inlineStr">
        <is>
          <t>万件；数件；條件；証拠物件；関スル件</t>
        </is>
      </c>
      <c r="G2615" t="inlineStr">
        <is>
          <t>件名；件名標目表；件名標目</t>
        </is>
      </c>
      <c r="H2615" t="n">
        <v>29</v>
      </c>
      <c r="I2615" t="inlineStr">
        <is>
          <t>後にシューマンは長い手紙を書いてリストに送ってこの件を水に流した。；この件でゲッベルスはユダヤ人問題からの撤退を余儀なくされたという。；しかし裁判ではこれらの件は殺人認定に影響を与えることはなかった。；特に後者の件はソビエト連邦のも独自に発見しており、と呼ばれている。；この時期のやらせ質問依頼が他にも数件なされていることが確認されている。；石鑑はこれに従ったが、髪を抜かれた長史はこの一件を石虎へ報告した。；この件をきっかけに、久保は1年以上執筆から距離を置くことになった。；一般的に他人が行う場合は下記の4条件を全て満たす場合に容認される。；ここには、中国で行われたとみられる数千件の執行は含まれていない。；警察にこの件を届けた桔梗だが、部屋に戻ると間淵の死体は消えていた。；第三世界の国々で発生した数件を除いて、ほとんど平和的に解決していた。；徳川家康はこの一件で前田系勢力を吸収し、徳川党はより強力となった。；弟・興綱が殺害された一件以降徐々に、尚綱と高経の関係が悪化してくる。；この雑誌は無料で、市内や周辺地区での約700件の情報が掲載されている。；だがこの一件は逆にナチ党への得票を一層減らしただろうと見られている。；この件は、未確定の事項がまだ残っており、現在も交渉が続けられている。；オリヴァーの件にしても、人々に感動を与えたのは彼の演技だった。；この件がきっかけとなり、後に年次改革要望書が作成される事になる。；この一件から、悪路の多い日本では独立式への不信感が強くなっていた。；テネシー州では一件の制限額を超える相続財産には相続税を課している。；外交的には勝利したものの、この件はイギリス国民の批判を集めた。；この件に関してペイジは、レコード会社が勝手にやったと主張している。；この件には二度も違憲判決が下っているにもかかわらずである。；まず、ラ・サールはその件で、ラ・サール家を出なければならなかった。；この不動明王の一件は、文観の沙汰によるものだったとも言われている。；また同役員の話には、横領の件と不適切会計の件の間に矛盾があるという。；同日に告示された「市徽章設定ノ件」には、以下のとおり記されている。；ボーマルシェはこの件について、自身を英雄のごとく劇的に描いている。；後に開発者もこの件については「やりすぎだった」とコメントしている。</t>
        </is>
      </c>
      <c r="J2615">
        <f>HYPERLINK("https://www.weblio.jp/content/件", "词义详情")</f>
        <v/>
      </c>
      <c r="K2615">
        <f>HYPERLINK("https://yourei.jp/件", "查看例句")</f>
        <v/>
      </c>
    </row>
    <row r="2616">
      <c r="A2616" t="inlineStr">
        <is>
          <t>券</t>
        </is>
      </c>
      <c r="B2616" t="inlineStr">
        <is>
          <t>成功</t>
        </is>
      </c>
      <c r="C2616" t="inlineStr">
        <is>
          <t>読み方：けん
［音］ケン（漢）
［学習漢字］6年
金銭などの代わりに約束の印とする紙片。「金券・沽券(こけん)・証券・食券・馬券・旅券・乗車券」</t>
        </is>
      </c>
      <c r="D2616" t="inlineStr">
        <is>
          <t>券食堂；券等；券発行；券片；券番</t>
        </is>
      </c>
      <c r="E2616" t="inlineStr">
        <is>
          <t>切符；チケット；乗車券；指定券；寝台券</t>
        </is>
      </c>
      <c r="F2616" t="inlineStr">
        <is>
          <t>号券；引換券；入場券；招待券；前売券</t>
        </is>
      </c>
      <c r="G2616" t="inlineStr">
        <is>
          <t>券面；券種；券売；券面書画台</t>
        </is>
      </c>
      <c r="H2616" t="n">
        <v>29</v>
      </c>
      <c r="I2616" t="inlineStr">
        <is>
          <t>共同製作の学習研究社と協力して全国の家庭も対象に前売券を販売した。；自動券売機などの設置はなく、当駅で乗車券を購入することはできない。；しかし当駅においては導入後、セット券以外は一度も発売していない。；一部の列車運行会社は管轄下にある駅で入場券の発売を中止している。；もともと「券」を指す語ではあるが、クーポン券と称される場合もある。；各鉄道会社は地域の事情に合わせた各種の割引乗車券を発売している。；自動券売機は設置されておらず、廃止まで発券窓口で乗車券を発売した。；これは、招待券の配布店舗が東京周辺の南関東に限られていたことによる。；自動券売機の設置はなく、駅舎内の出札窓口で乗車券を手売りしていた。；公開された証拠には、クーパーが使用した1971年の航空券も含まれる。；そのため、個別の券に比べて何らかの割引やサービスをつけることが多い。；前売り券を購入し、その券で町内各地の飲食店でサービスが受けられる。；我々は有効範囲が不明な周遊券を持っており、旅に出てとにかくそれを使ってみる。；かつては簡易委託駅であり、委託駅員が常備券・補充券を発売していた。；通行券は、高速道路などの有料道路を通行する際に必要となる券である。；以降、マルス端末等のJR単独券を発券できる端末は設置されていない。；唯一の社員配置駅で、窓口で乗車券やグッズなどを発行・販売している。；日本で通常見られる定期券や回数券のような乗車券は一般的ではない。；普通券などは、自動改札機の脇に設置されている有人通路で改札を受ける。；それら欠点を解消して発行されたのがこの一円券を含むいわゆる改造券である。；JR券は発売範囲を限定して9時 - 17時30分の間のみ発売する。；現在は駅舎内の自動券売機で乗車券を購入することになっている。；常備券を駅舎内の窓口で販売しており、手売りの入場券が販売されている。；そのためセット券購入のために徹夜組が並んだことがあった。；キャシーは、ポールが歌っていたパブで券もぎ係をしていた女性であった。；それぞれの共同浴場に設置されている自動販売機で入浴券を購入する。；人気売り場は販売数も多いために、当せん券が多く出る可能性があると言える。；上記のミュー定期券とは異なり、こちらは利用可能な乗車券の制限がない。；また、一定額の購入で駐車場のサービス券を発行する店舗もある。</t>
        </is>
      </c>
      <c r="J2616">
        <f>HYPERLINK("https://www.weblio.jp/content/券", "词义详情")</f>
        <v/>
      </c>
      <c r="K2616">
        <f>HYPERLINK("https://yourei.jp/券", "查看例句")</f>
        <v/>
      </c>
    </row>
    <row r="2617">
      <c r="A2617" t="inlineStr">
        <is>
          <t>現～</t>
        </is>
      </c>
      <c r="B2617" t="inlineStr">
        <is>
          <t>成功</t>
        </is>
      </c>
      <c r="C2617" t="inlineStr">
        <is>
          <t>読み方：あら
［接頭］名詞に付いて、目に見える形をもつ、現にこの世に存在する、の意を表す。「—人神(あらひとがみ)」「—神(あらがみ)」</t>
        </is>
      </c>
      <c r="H2617" t="n">
        <v>0</v>
      </c>
      <c r="J2617">
        <f>HYPERLINK("https://www.weblio.jp/content/現～", "词义详情")</f>
        <v/>
      </c>
      <c r="K2617">
        <f>HYPERLINK("https://yourei.jp/現～", "查看例句")</f>
        <v/>
      </c>
    </row>
    <row r="2618">
      <c r="A2618" t="inlineStr">
        <is>
          <t>権威</t>
        </is>
      </c>
      <c r="B2618" t="inlineStr">
        <is>
          <t>成功</t>
        </is>
      </c>
      <c r="C2618" t="inlineStr">
        <is>
          <t>読み方：けんい
１他の者を服従させる威力。「行政の—が失墜する」「親の—を示す」
２ある分野において優れたものとして信頼されていること。その分野で、知識や技術が抜きんでて優れていると一般に認められていること。また、その人。オーソリティー。「—ある賞を受賞する」「心臓外科の—」</t>
        </is>
      </c>
      <c r="D2618" t="inlineStr">
        <is>
          <t>権威付け；権威づけ；権威失墜；権威性；権威回復</t>
        </is>
      </c>
      <c r="E2618" t="inlineStr">
        <is>
          <t>力；勢力；押し；権力；権限</t>
        </is>
      </c>
      <c r="F2618" t="inlineStr">
        <is>
          <t>宗教的権威；最高権威；政治的権威；大きな権威；高い権威</t>
        </is>
      </c>
      <c r="G2618" t="inlineStr">
        <is>
          <t>権威者；権威主義体制；権威筋；権威に訴える論証；権威主義的パーソナリティ</t>
        </is>
      </c>
      <c r="H2618" t="n">
        <v>29</v>
      </c>
      <c r="I2618" t="inlineStr">
        <is>
          <t>権威的には重要な称号だが、命令権や血統とは直接関係ないものだった。；そのうちの銀の鍵は現世的な権威を、金の鍵は宗教的な権威を示している。；各分野の権威が編纂した百科事典を自由に利用できるサービスを謳った。；彼女は王国内を広く旅し、国王の権威を守らせ戦争を阻止しようと努めた。；このようにクシャーナ朝の権威は滅亡した後も長く現地に残ったのであった。；この後、地上の権威が人間のファラオに移ったとエジプト人は信じていた。；中世では王侯貴族などが権威を誇示するための椅子の意匠が発達した。；民権運動の思想は、天皇の権威を拠り所にする政府に容れられなかった。；この小説では、不道徳と権威の否定的な描写が重要なテーマである。；アリストテレスの権威が絶対とされた中世は、この動物分類が支配的であった。；下賜された人物とその子孫が権威の象徴として「伝世」したともみられる。；これは、大臣が非常に高い権威を有していたことを意味する。；ランボーは家出を繰り返して家族や大人の権威に反抗した詩人である。；この頃には唐政府の権威は更に衰えており、実質的には独立勢力である。；特に江戸時代には、三公は親王よりも上位とされ、その権威は高かった。；宗教は、宗教的な権威、教祖などへの信頼・信仰を前提にしている。；国王の権威とローマ教皇制を回復する狙いを持っていたのである。；サヴォイア家は欧州でも屈指の名家であり、権威ある貴族の一族だった。；このような元后の権威の根拠はどこに求められるだろうか。；毎年一度、年齢、性別無制限で開催される国内大会で最も権威のある大会。；寄稿者は外国から来るものも多く、中にはその分野における最高の権威もいた。；歴代の皇帝はこれを人心掌握や権威の保持など、政治的に利用した。；この発想は、チベット仏教が対中国的に自らの権威を強調するのに利用された。；エッセネ派は思想的に第二神殿の権威を否定していたと思われる。；その他にも重要かつ権威ある高等教育機関をいくつか挙げると、次のとおりである。；周王の権威の低下により、宗教的な品よりも実用品が求められたのが原因とされる。；この二つの大学は、ルーマニアではもっとも権威ある大学である。；単に正しい作法なるものを指導することで自己の権威を示そうとしてきただけではないか。；天守はそれに加えて、城主の権威を誇示するための象徴性を求めるのである。</t>
        </is>
      </c>
      <c r="J2618">
        <f>HYPERLINK("https://www.weblio.jp/content/権威", "词义详情")</f>
        <v/>
      </c>
      <c r="K2618">
        <f>HYPERLINK("https://yourei.jp/権威", "查看例句")</f>
        <v/>
      </c>
    </row>
    <row r="2619">
      <c r="A2619" t="inlineStr">
        <is>
          <t>原因</t>
        </is>
      </c>
      <c r="B2619" t="inlineStr">
        <is>
          <t>成功</t>
        </is>
      </c>
      <c r="C2619" t="inlineStr">
        <is>
          <t>読み方：げんいん
［名］(スル)ある物事や、ある状態・変化を引き起こすもとになること。また、その事柄。「失敗の—をつきとめる」「不注意に—する事故」「—不明の病気」⇔結果。</t>
        </is>
      </c>
      <c r="D2619" t="inlineStr">
        <is>
          <t>原因物質；原因と考えられ；原因菌；原因遺伝子；原因と思われる</t>
        </is>
      </c>
      <c r="E2619" t="inlineStr">
        <is>
          <t>もと；起こり；起り；因；誘因</t>
        </is>
      </c>
      <c r="F2619" t="inlineStr">
        <is>
          <t>大きな原因；何らかの原因；根本原因；根本的な原因；死亡原因</t>
        </is>
      </c>
      <c r="G2619" t="inlineStr">
        <is>
          <t>原因究明；原因と結果；原因論；原因療法；原因において自由な行為</t>
        </is>
      </c>
      <c r="H2619" t="n">
        <v>29</v>
      </c>
      <c r="I2619" t="inlineStr">
        <is>
          <t>その原因は関門海峡を閉鎖するか否かの主張の違いにあるとされている。；それが原因で喧嘩になることもあったが、負けたことがなかったという。；この理由は標準治療の拒否や、遅れが原因であると推測されるとしている。；しかし、これらの原因が何であるのか、約100年近く謎とされていた。；利用客が大きく伸びない理由としては、主に次の点が原因とされている。；これらの現象が調査されるうち、雨水の変質に原因を見ることとなった。；これは主に政府の制限を回避した中国での違法な産出が原因となっている。；この原因は、飛行士が体を動かしたことによるものであると考えられた。；このように波ができる原因はいくつもあるが、最も一般的な原因は風である。；パイロットが許可を受けたと勘違いしたことが原因であると報道されている。；この奇妙な性質の原因が解明されるのは量子力学が導入されてからである。；何故ならその行為の原因は、行為者の自由な決定でないからである。；そうなった原因はわからないが、おそらく不在期間が長すぎたのであろう。；この衝突は技術的なものであると同時にそれぞれの時代背景にも原因がある。；英語に習熟していない移民もその一つの原因であると考えられている。；コペルニクスの事例は「科学理論の交代が起こる原因」に示唆を与える。；また、後年になって両膝の怪我の原因が腰にあったことを明かしている。；自殺の原因については、一年ほど前から鬱病を患っていたとされている。；このことが1933年に日本が国際連盟から脱退する主要な原因となった。；貨物輸送量減少の原因は道路網の整備によるトラック輸送への転換である。；サキは後にこの傷が原因で失明しかけ、スイスで治療を行うことになる。；それが非常に多くのカーネル内のキャッシュミスの原因になっている。；原因は不明であり、かつ原因が不明であることを本症の定義とする。；当時は常時接続が一般的ではなかったのが原因だといわれている。；これがフーリエ解析より計算量が少なくて済むことの大きな原因である。；仏教において苦の原因の構造を示して表しているのは、十二縁起である。；本人はこの変化を国王としての責任の重圧が原因だと主張している。；信号交差点付近での路上駐車が渋滞の原因となっている事例は多くみられる。；粘弾性緩和の原因は各温度で高分子鎖の分子運動 が異なるためである。</t>
        </is>
      </c>
      <c r="J2619">
        <f>HYPERLINK("https://www.weblio.jp/content/原因", "词义详情")</f>
        <v/>
      </c>
      <c r="K2619">
        <f>HYPERLINK("https://yourei.jp/原因", "查看例句")</f>
        <v/>
      </c>
    </row>
    <row r="2620">
      <c r="A2620" t="inlineStr">
        <is>
          <t>減益</t>
        </is>
      </c>
      <c r="B2620" t="inlineStr">
        <is>
          <t>成功</t>
        </is>
      </c>
      <c r="C2620" t="inlineStr">
        <is>
          <t>読み方：げんえき
利益が減ること。⇔増益。</t>
        </is>
      </c>
      <c r="H2620" t="n">
        <v>29</v>
      </c>
      <c r="I2620" t="inlineStr">
        <is>
          <t>熊本地震に伴う支援金などがあったため、前年度に比べて減益となった。；これに伴う大幅な減収減益を克服し、1983年6月、会長に就任した。；城戸の会社のトップはみな技術屋上りだから経理に暗く、受註はあるのに減益している。；その結果、本サービスは開始からわずか半年ほどで終了することとなり、会社は初の減益へ転落する苦境に陥っていた。；ブルームバーグによると、2015年第4四半期には相当の減益を記録していた。；特にイオンモールが開業した2013年は対前年比27億円の大幅な減益を記録してしまった。；このためタカラが大幅な減益となる一因となった。；一次大戦後には特需があったが、その反動で1920年代に赤字や減益となる企業が増加した。；これについて京急は感染症の影響等による減収・減益があり、工事着手は困難であると説明している。；大幅な営業減益となっている競合他社と比べると、プライベートブランド商品を重視した価格訴求型の商品戦略ではなく、ナショナルブランド商品や地域に根ざした地場商品を中心にした価値訴求型の戦略が顧客からの支持を得ていると論評されている。；辞任劇の背景にはZOZOスーツやキャンペーンの失敗や上場以来初めての減益に加え、美術品の購入などに自社株を担保にして買ったものが多数あるなど借金問題が指摘される。；日露戦争後の1906年に燃料の石炭価格が高騰した影響で一旦減益となったが、産炭地の九州北部に近接する地の利から中国地方の他の事業者に比して影響は小さく、この時期でも減配は行っていない。；これについてJR東日本は新型コロナウイルス感染症の影響等による減収・減益はあるとしながらも連続立体交差事業を進めたいとしており、事業費削減や工期短縮の検討に協力する意向である。；国際的な資金調達を受けるために、1980年にスタンダード&amp;プアーズから受けたコマーシャルペーパー発行体格付けA-1を維持する必要に迫られ、減益は何としても避けなければならなかった。；このため、高速バスの多くが運休や減便となり、貸切バスも受注数も大幅に減り、減収、減益を余儀なくされている。；これは鉄道省にとっては逆に年間約200万円の減収を意味し、また航路とトンネル関係の資本費や年間の運営経費を考えると、航路もトンネルも年間経費は約100万円と見積もられたため、トンネル開通による誘発需要がなければ国鉄にとっては減益となる。；しかし、売り上げを抗生物質に大きく依存していたため、薬剤耐性菌の問題が取り沙汰されて抗生物質自体の売れ行きが鈍くなると、一時急激な減益。；ドキュメンタリーやドラマに比較して格段に安上がりにできるのは、過当な番組競争で軒並み減益という経営の曲がり角に立たされたテレビ局にとって大きな魅力であった。；この決算発表と合わせて公表した2021年度の業績見込は成長投資などのため前年比減益としたが、株式市場では予想を下回ったとして「失望売り」が起きた。；減益のために民放テレビ各局で、特別番組が激減しているにもかかわらず、相変わらずキクタレの活躍は花々しかった。；ダイエーの系列会社になったとはいえ、創業者の吉友が語っていた「自主独立を貫く」という方針で忠実屋は様々な対策を取るも、1993年2月期の利益は大幅減益という惨憺たる結果になり、社長の谷島は株主・社員に迷惑は掛けられないと、1993年6月にダイエーの中内に合併話を持ちかけた。；しかし急成長の代償として内部管理が疎かとなり、1980年代に入ると折からの景気後退、1984年5月に破綻したペン・スクエア銀行から購入していた債権の劣化等から経営が悪化、1982年は大幅な減益決算となる。；その後は好業績が続かず、完成した立石発電所分の供給先確保失敗に東邦電力への供給一部打ち切りが重なって減益となり、1930年下期に年率10パーセント配当へ抑制された。；これを期に開始したハッピーボーナス・ハッピータイムなど新割引サービスとインセンティブの支出増加で2004年3月期は減益・赤字決算となり、2004年6月にはハッピータイムを終了。；こうして金利収入・非金利収入は引き続き伸長したものの、大口融資先であったオリエントコーポレーションの赤字転落に伴い、再び引当金の積み増しを迫られ、2007年3月期決算では4期ぶりの減益となった。；木内政雄取締役会長の指名を受け、創業以来初の経常減益となり、セゾングループ消滅の年ともなった2001年から良品計画代表取締役社長を務め、リストラなどを進め、3期連続の過去最高益を実現した2008年に代表取締役会長に退いた。；政府および日本銀行が国際収支改善のため強力な金融引き締め策をとったため、産業界は減益・減収、資金不足に陥り、操業短縮により在庫調整をおこなった。；アイフル、アコムは黒字ながら大幅減益となった。；しかし、2001年度下期に約30店舗の大量出店に踏み切った新店が伸び悩んだことで、2002年2月期中間決算は現収で2桁減益となるなど、この食品スーパーの大量出店策は裏目に出る結果となった。</t>
        </is>
      </c>
      <c r="J2620">
        <f>HYPERLINK("https://www.weblio.jp/content/減益", "词义详情")</f>
        <v/>
      </c>
      <c r="K2620">
        <f>HYPERLINK("https://yourei.jp/減益", "查看例句")</f>
        <v/>
      </c>
    </row>
    <row r="2621">
      <c r="A2621" t="inlineStr">
        <is>
          <t>現役</t>
        </is>
      </c>
      <c r="B2621" t="inlineStr">
        <is>
          <t>成功</t>
        </is>
      </c>
      <c r="C2621" t="inlineStr">
        <is>
          <t>読み方：げんえき
１旧日本陸海軍の常備兵役の一。所属部隊に入り、軍務に従っていること。また、その将校や兵士。→予備役→後備役
２現在ある地位・職などに就いて活動していること。また、その人。「—の選手」「—を退く」
３在学中に上の学校などを受験する者。また、その試験に合格した者。特に、大学受験についていう。浪人に対する語。</t>
        </is>
      </c>
      <c r="D2621" t="inlineStr">
        <is>
          <t>現役最後(3%)；現役引退(3%)；現役時；現役中；現役復帰</t>
        </is>
      </c>
      <c r="E2621" t="inlineStr">
        <is>
          <t>健在；働き盛り；衰え知らず</t>
        </is>
      </c>
      <c r="F2621" t="inlineStr">
        <is>
          <t>もって現役；シーズン限りで現役；当時現役；現役軍人；現役大学生</t>
        </is>
      </c>
      <c r="G2621" t="inlineStr">
        <is>
          <t>現役引退；現役引退後；現役続行；現役選手；現役復帰</t>
        </is>
      </c>
      <c r="H2621" t="n">
        <v>29</v>
      </c>
      <c r="I2621" t="inlineStr">
        <is>
          <t>日本国内で現役のバスが外国まで足を伸ばした大変珍しい事例である。；現役世界年長となったこのゴールは、海外のメディアも取り上げている。；初優勝時のメンバーで最後の現役選手だった角富士夫が現役を引退した。；負傷交代となり、結果的にこれが現役最後の一軍での試合出場となった。；中には現役の会長などを抑えて事実上の最高実力者となっている場合もある。；は一軍出場もなく球団から戦力外通告を受け、この年限りで現役を引退。；バイエルン・ミュンヘンとの契約が切れた2008年限りで現役を引退。；は現役期間とタイトル戦の終了・創設時期の関係で獲得機会のなかったもの。；この事故がきっかけで現役力士の自動車運転が禁止され、現在に至る。；現役最晩年に最も活躍し、メディアでも注目を浴びた非常に珍しい選手である。；しかし、壁の一部に現役当時に描かれた選手の絵が残されている。；番組のコメンテーターの総称で、名の通り全員が現役の弁護士である。；現役では最も高い評価を受けているピアニストのうちのひとりである。；さらに駅舎や軌道の状態は、とても現役路線とは思えないほど荒廃していた。；自身は翌年が現役最後の年になると覚悟していたという。；しかし、父は選手としてプレーを続けたが後に膝の故障が基で現役を引退した。；現役中にこの栄誉に浴したのは2013年現在もマシューズのみである。；また、2003年からチームを牽引してきた中村憲剛が現役を引退した。；短期間で使われなくなる言葉もあり、下記の言葉の全てが現役の用語ではない。；虎雄の現役当時とは違い、自民党入党への抵抗も薄れていたと見られる。；関取に昇進することはできず、2010年1月場所限りで現役引退した。；西中金方面が現役の頃は、レールバスの停泊と給油をここで行っていた。；NHKの中継では登場しない年がある現役の監督も、例年数名起用している。；引退から約半年後の2012年1月8日、現役復帰することが発表された。；そして、現役を引退してからも、サッカーに関わり続けることと思います。；現役22年で肘や肩の故障はほとんどなかったことを誇りにしている。；この称号は、設立以来、現役のイギリスの君主によって保持されてきた。；群馬ダイヤモンドペガサスに所属していたラミレスが現役を引退した。；現役世代を圧迫するとして廃止や廃止の検討をしている組合が出てきている。</t>
        </is>
      </c>
      <c r="J2621">
        <f>HYPERLINK("https://www.weblio.jp/content/現役", "词义详情")</f>
        <v/>
      </c>
      <c r="K2621">
        <f>HYPERLINK("https://yourei.jp/現役", "查看例句")</f>
        <v/>
      </c>
    </row>
    <row r="2622">
      <c r="A2622" t="inlineStr">
        <is>
          <t>検閲</t>
        </is>
      </c>
      <c r="B2622" t="inlineStr">
        <is>
          <t>成功</t>
        </is>
      </c>
      <c r="C2622" t="inlineStr">
        <is>
          <t>読み方：けんえつ
［名］(スル)
１調べあらためること。
「二十句の佳什を得るために千句以上を—せざるべからず」〈子規・墨汁一滴〉
２公権力が書籍・新聞・雑誌・映画・放送や信書などの表現内容を強制的に調べること。日本国憲法では禁止されている。
３精神分析の用語。無意識の層の中にある非道徳的で危険な願望を、超自我が抑圧・変形すること。</t>
        </is>
      </c>
      <c r="D2622" t="inlineStr">
        <is>
          <t>検閲官(6%)；検閲制度(2%)；検閲委員会；検閲台本；検閲当局</t>
        </is>
      </c>
      <c r="E2622" t="inlineStr">
        <is>
          <t>見る；調査；比較；検査；テスト</t>
        </is>
      </c>
      <c r="F2622" t="inlineStr">
        <is>
          <t>映画検閲；検閲係；厳しく検閲；検閲済；検閲なし</t>
        </is>
      </c>
      <c r="H2622" t="n">
        <v>29</v>
      </c>
      <c r="I2622" t="inlineStr">
        <is>
          <t>この種の検閲は、自由な社会の最も基本的な原則とは完全に矛盾している。；手紙や電話は検閲を受け、英語以外の言語で電話をすることは禁止された。；検閲に一般的に使用されるいくつかの技術の詳細は以下のとおり。；これは、研究や保管のためというよりも検閲を目的としたものだった。；検閲と政府や警察による様々なものの監視の問題も広く議論された。；アメリカには上からの検閲はないがコードと呼ばれる報道の自主規制がある。；欧陽脩は嫌いな書物・国家の検閲を経ない出版の禁止を強行している。；そのころ全国の新聞は一県一紙に統合され、掲載記事への検閲も強化されていた。；国家にとっては、広告内容の事前の検閲が可能になったことが挙げられる。；彼らの番組はその内容の過激さからBBCの一番の検閲対象となった。；原稿検閲の規定は廃止され、まったくの届け出主義となったのである。；また地域ごとによってホークスのオリジナル版と検閲版が公開されていた。；裁判所の命令も検閲の主体には含まれないものとされている。；しかし、厳しい検閲によって、この事業はたちまち困難になっていった。；検閲で原稿が不許可となったために放送を行うことを断念した候補もいたとされる。；企業のグローバル化が進んでいる現在は検閲の形も変わりつつある。；検閲が激しく厳しい時代であったが、1936年まで編集長を務めた。；しかし戦争中は、この本を出版することは軍事的検閲のために妨害された。；内務省の検閲対象は民間であり、軍部やその外郭団体は管轄外であった。；また8月にも結婚の教会儀式に反対する記事を書いたのが検閲官に却下された。；は、検閲を実行するための用いられる一連の法規範を利用することができた。；オフラインでの検閲とは別に扱われることが多いが、問題点は同様である。；開発時から秘密兵器扱いとされ、写真は検閲での不許可対象だった。；当時、報道はGHQの検閲下に置かれ、報道が遅れたのもそのためであった。；この曲に限らず、検閲行為は戦前のほぼ全てのヒット曲に対して行われた。；全ての反対の検閲と抑圧は国の悪い経済状態ともに彼の治世を幾分暗くした。；こうした検閲の歴史を踏まえて規定されたのがこの規定である。；テレビやラジオは当局の検閲を通過したもののみが放送される。；そのことは、この作品がまだ厳しい検閲下で書かれたことを考慮する必要がある。</t>
        </is>
      </c>
      <c r="J2622">
        <f>HYPERLINK("https://www.weblio.jp/content/検閲", "词义详情")</f>
        <v/>
      </c>
      <c r="K2622">
        <f>HYPERLINK("https://yourei.jp/検閲", "查看例句")</f>
        <v/>
      </c>
    </row>
    <row r="2623">
      <c r="A2623" t="inlineStr">
        <is>
          <t>喧嘩</t>
        </is>
      </c>
      <c r="B2623" t="inlineStr">
        <is>
          <t>成功</t>
        </is>
      </c>
      <c r="C2623" t="inlineStr">
        <is>
          <t>読み方：けんか
《が原義》
［名］(スル)言い合ったり殴り合ったりしてあらそうこと。いさかい。「—をふっかける」「—するなら外でしろ」「口—」
［名・形動］騒がしいこと。また、そのさま。
「旅客人民共に群がり其—なること製鉄場にあるが如く」〈井上勤訳・月世界旅行〉</t>
        </is>
      </c>
      <c r="D2623" t="inlineStr">
        <is>
          <t>喧嘩沙汰；喧嘩っ早い；喧嘩口論；喧嘩好き；喧嘩相手</t>
        </is>
      </c>
      <c r="E2623" t="inlineStr">
        <is>
          <t>反対；戦い；戦闘；抵抗；対抗</t>
        </is>
      </c>
      <c r="F2623" t="inlineStr">
        <is>
          <t>喧嘩なんか；激しい喧嘩；兄妹喧嘩；内輪喧嘩；派手な喧嘩</t>
        </is>
      </c>
      <c r="G2623" t="inlineStr">
        <is>
          <t>喧嘩腰；喧嘩両成敗；喧嘩早い；喧嘩祭り；喧嘩番長</t>
        </is>
      </c>
      <c r="H2623" t="n">
        <v>29</v>
      </c>
      <c r="I2623" t="inlineStr">
        <is>
          <t>それが原因で喧嘩になることもあったが、負けたことがなかったという。；噂によれば、喧嘩ばかりして元いた学校を追い出されてしまったらしい。；また、テレビ番組ではカメラが回っていても喧嘩を始めるときがあった。；出会ってから一度も大きな喧嘩をしたことがないと随所で語っている。；一説によると、この頃2人は一度だけ喧嘩になりそうだったことがある。；そのため、往来の人々がこの喧嘩を見物するために大勢集まったという。；複数匹を同時飼育する際には命に関わるほどの喧嘩をする場合がある。；北海道天塩町を舞台に、喧嘩に明け暮れた過去を持つ若者の物語である。；かつて共に一朝に教えを受けた元弟弟子林家彦六とは喧嘩友達であった。；湘北高校に入学直後に怪物とも言われる赤木剛憲に挑発し喧嘩を売った。；いつも警察と喧嘩ばかりしてるが犯人の残忍さに腹が立ってきた。；幼少時から非常に凶暴で喧嘩っ早く目立ちたがり屋な気質が現れていた。；嘘から始めた喧嘩だったが、ふたりはだんだん本気になっていく。；腕力に価値を置く子供の集団では、喧嘩に強いことが優越感の根拠になる。；そのため、レコーディング現場でスタッフと喧嘩になることもあった。；売られた喧嘩を谷川が買う乱戦となったが、最後は羽生の勝ちとなった。；ふたりの若者を店に残して通りへ出た幸助は、喧嘩を収めたことで気分がよい。；喧嘩になりかけている所へ、うまい具合に米屋の隠居が通りかかった。；喧嘩を売っていない人を攻撃する事もでき、倒すと経験値も得られる。；竜兵会に喧嘩に強いメンバーが多いのはそのためと言われている。；女性も喧嘩に参加することがあるが、女性の場合は腰をぶつけ合う。；中学生の頃には喧嘩をしすぎたために、中学を卒業できなかったと語っている。；ただし、自分より弱い相手とは喧嘩をしなかったと語っている。；ある捜査関係者は、この喧嘩が実際にあったかどうか疑わしいとしている。；酒と女と喧嘩三昧の生活をしているが、遊女や知人からの人気は高い。；ヨーロッパに眼を向けると、フランスでもパリの市民は喧嘩好きだったという。；話の筋ではこのあと、二人が喧嘩のふりをして酒と馳走を奪いに行く件となる。；まき散らしたのが胡椒だけに、まさに「喧嘩に故障が入る」形となった。；喧嘩っ早い性格である一方で、どこか抜けた所があり、ファンから愛された。</t>
        </is>
      </c>
      <c r="J2623">
        <f>HYPERLINK("https://www.weblio.jp/content/喧嘩", "词义详情")</f>
        <v/>
      </c>
      <c r="K2623">
        <f>HYPERLINK("https://yourei.jp/喧嘩", "查看例句")</f>
        <v/>
      </c>
    </row>
    <row r="2624">
      <c r="A2624" t="inlineStr">
        <is>
          <t>見解</t>
        </is>
      </c>
      <c r="B2624" t="inlineStr">
        <is>
          <t>成功</t>
        </is>
      </c>
      <c r="C2624" t="inlineStr">
        <is>
          <t>読み方：けんかい
物事に対する考え方や価値判断。「—の相違」「—を明らかにする」</t>
        </is>
      </c>
      <c r="D2624" t="inlineStr">
        <is>
          <t>見解を異に；見解も出さ；見解をのべ</t>
        </is>
      </c>
      <c r="E2624" t="inlineStr">
        <is>
          <t>見；目；考え；側；眼</t>
        </is>
      </c>
      <c r="F2624" t="inlineStr">
        <is>
          <t>統一見解；こうした見解；さまざまな見解</t>
        </is>
      </c>
      <c r="H2624" t="n">
        <v>29</v>
      </c>
      <c r="I2624" t="inlineStr">
        <is>
          <t>オウエンと労働組合指導者との間で見解の相違が存在していたのである。；このような問題点があるため、この見解はほとんど支持されなくなった。；このような問題があるため、この見解もほとんど支持されなくなった。；一方でや、といった研究者たちはこの主張に懐疑的な見解を示している。；この見解は両者を批判するリバタリアニズムの立場からも主張されている。；類似の見解はカトリックのフェデリコ・バルバロからも提示されていた。；我については、仏教とヒンドゥー教で最も見解の異なる点の一つである。；ハーバート・バターフィールドは以下のように否定的な見解を示している。；また犯人の精神鑑定を担当した精神科医も同様の見解を示しているという。；もっとも江戸時代後期以降は、この見解が意識された可能性がある。；しかし、フェヒナーの実験の解釈については否定的な様々な見解がある。；同時にフランスの計量体系に基づくべきであるとの見解も示された。；これとは別に高句麗語をツングース語の一派とする伝統的な見解がある。；しかしこの様な結果になった経緯については大きく異なる見解が出されている。；これにより男性本位との批判が起こったことが関係しているとの見解もある。；日本では819条第5項の規定を類推適用して解決すべきとの見解がある。；親告罪においては告訴されない限りは犯罪ではない、と言う見解もある。；数学上の問題が一段落したのち、新たな見解がいくつか提案された。；したがってヒンドゥー教がいつ始まったかについては見解が分かれている。；時間と空間の捉え方も2人の見解が大幅に相違しており、互いに衝突していた。；日ソどちらが先に条約に違反したかを巡っては、様々な主張・見解がある。；資本主義に対する主な思想的立場からの見解や批判には以下がある。；初期より晩年の方を高く評価する見解も示されている。；尚、現在では一種とされるシャチであるが、複数の種に分割する見解もある。；従って、この見解によっても意思の内容は相当抽象的にならざるを得ない。；その名前もギリシア語に由来するものではないというのが一般的な見解である。；対応ゲームが存在しないことについては各メディアでも良い見解は持っていなかった。；人魚は一匹と数えるのが一応正しいとされるが、一人と数える見解もある。；ジェーンは完全な傀儡であり、しかも即位自体を認めない見解もある。</t>
        </is>
      </c>
      <c r="J2624">
        <f>HYPERLINK("https://www.weblio.jp/content/見解", "词义详情")</f>
        <v/>
      </c>
      <c r="K2624">
        <f>HYPERLINK("https://yourei.jp/見解", "查看例句")</f>
        <v/>
      </c>
    </row>
    <row r="2625">
      <c r="A2625" t="inlineStr">
        <is>
          <t>限界</t>
        </is>
      </c>
      <c r="B2625" t="inlineStr">
        <is>
          <t>成功</t>
        </is>
      </c>
      <c r="C2625" t="inlineStr">
        <is>
          <t>読み方：げんかい
物事の、これ以上あるいはこれより外には出られないというぎりぎりの範囲、境。限り。「広葉樹分布の北の—」「能力の—を知る」「体力の—に挑戦する」
[用法]限界・限度——「疲労が限界（限度）に達している」「限界（限度）を超える」などでは、相通じて用いられる。◇「限界」は、それ以上進めなくなるところという意が強く、「限度」は、あらかじめそこまでと限られたところという意が強い。◇「体力（能力）の限界を感じた」は「限度」に置き換えられないし、「有給休暇は二週間を限度とする」は「限界」に置き換えられない。◇類似の語に「極限」がある。「極限」はぎりぎりのところという意が強く、「能力の極限に挑む」などのほか、「極限状態」のような熟語も生む。</t>
        </is>
      </c>
      <c r="D2625" t="inlineStr">
        <is>
          <t>限界値；限界線；限界突破；限界以上；限界速度</t>
        </is>
      </c>
      <c r="E2625" t="inlineStr">
        <is>
          <t>程度；限り；範囲；制限；程</t>
        </is>
      </c>
      <c r="F2625" t="inlineStr">
        <is>
          <t>技術的な限界；弾性限界；許容限界；物理的な限界；無限界</t>
        </is>
      </c>
      <c r="G2625" t="inlineStr">
        <is>
          <t>限界集落；限界効用；限界費用；限界状況；限界利益</t>
        </is>
      </c>
      <c r="H2625" t="n">
        <v>29</v>
      </c>
      <c r="I2625" t="inlineStr">
        <is>
          <t>このためには水が必要となるが、もともと水不足であるため限界がある。；このようにして、独自アーキテクチャの維持に次第に限界が見えてきた。；ただし、つとむの姿でバーディーの運動能力を発揮するには限界がある。；実際の i の限界は、使っているシステムやコンパイラの仕様による。；ただしこの能力には限界がある為に、一定期間ごとに交換する必要がある。；これは世界の理解に一定の限界を認めることであり、不可知論を伴う。；イタリア側でもピギーバック輸送に合わせて限界の拡大が行われた。；一説には師の逍遥から小説家としての限界を指摘されたからとも言われる。；これは耐熱限界が向上したためで、パワー自体はもとより余裕があった。；また、改造には限界が存在するので上位機に買い換えた方が良い場合もある。；出演者は能力の限界を試され、普段出さない自分の姿を出させられている。；形状が自由であるというのは、メッセージの量に限界が無いことを意味する。；下部にはスカートを設置したが連結器の関係で高さを限界まで下げている。；彼はブランショとは似て非なる方法で文学の限界、言語の限界に挑んだ。；有川は、このシーンでぬいぐるみ表現の限界に挑戦したことを語っている。；個々の限界便益に他者へ与える外部費用が含まれていないためである。；さらに、被写界深度の限界があるためマイクロスコープを用いても同様。；京都での布教に限界を感じて鎌倉に下向し、幕府の庇護を得ようとした。；パンタグラフカバーは、在来線の車体限界の関係上搭載されていない。；そのためもはや近代戦争は、個人の頭の中だけで軍隊を運用できる限界を超えてしまった。；プロペラ機は原理的にジェット機よりも遥かに低い速度で限界に達する。；これは「職業声優の限界」を感じ、新しい可能性を模索するためだという。；また、汽笛も限界内に収まるよう、後方に傾斜して取り付けられている。；自己契約や双方代理など代理権の限界については108条に定めがある。；引退は体力・気力の限界だけでなく人間関係が原因なのではないか?；試験で確認された運用限界や性能は、控えめに設定されていた計画値を上回った。；その間にもSystem 7は既に基本設計が古く様々な部分で限界が見えていた。；それにも限界があり、徐々にプレートアーマーは用いられなくなる。；彼の記憶研究にはいくつかの限界があった。</t>
        </is>
      </c>
      <c r="J2625">
        <f>HYPERLINK("https://www.weblio.jp/content/限界", "词义详情")</f>
        <v/>
      </c>
      <c r="K2625">
        <f>HYPERLINK("https://yourei.jp/限界", "查看例句")</f>
        <v/>
      </c>
    </row>
    <row r="2626">
      <c r="A2626" t="inlineStr">
        <is>
          <t>見学</t>
        </is>
      </c>
      <c r="B2626" t="inlineStr">
        <is>
          <t>成功</t>
        </is>
      </c>
      <c r="C2626" t="inlineStr">
        <is>
          <t>読み方：けんがく
［名］(スル)
１実際のありさまを見て知識を広めること。「裁判所を—する」「社会—」
２体調などの都合で、体育実技などを実際に行わないで、見て学ぶこと。「風邪のため水泳を—する」</t>
        </is>
      </c>
      <c r="D2626" t="inlineStr">
        <is>
          <t>見学すること(7%)；見学できる(6%)；見学ツアー；見学可能；見学コース</t>
        </is>
      </c>
      <c r="E2626" t="inlineStr">
        <is>
          <t>見物；視察；観覧；参観</t>
        </is>
      </c>
      <c r="F2626" t="inlineStr">
        <is>
          <t>練習見学；スタジオ見学；一般見学；学校見学；見学する事</t>
        </is>
      </c>
      <c r="G2626" t="inlineStr">
        <is>
          <t>見学会</t>
        </is>
      </c>
      <c r="H2626" t="n">
        <v>29</v>
      </c>
      <c r="I2626" t="inlineStr">
        <is>
          <t>そのため通常は立ち入る事が出来ない建物内を一部見学可能にしていた。；展示者見学以外にも来場者のための以下のようなイベントも開かれていた。；大きな要塞のいくつかは一般公開されており内部を見学することができる。；見学通路からのみ見ることができるが、保護のため各種の制限がある。；博物館は、見学できる部分を増やそうとしたが、それは実現しなかった。；日本のほとんどの大手ビールメーカーの工場では見学コースが整備されている。；一般参加不可能で学内のみで行われているが、見学は自由に可能である。；見学は車庫内の業務や列車運行の妨げとならない範囲で一年中可能である。；施設の見学の他に、下記のような体験ができるため、家族連れが多い。；兄がNHKでミキサーをしており、高校時代に何回か見学に行っていた。；見学は完全予約制で、数日前に予め電話をするかチケットの入手が必要。；なお、2024年からはこの見学ルートが一般開放されることになった。；博物館の近くに位置する騎士の城砦を歩いて見学することもできる。；そのほかの部分も見学できるツアーもあるが、別に申し込みが必要となる。；また、教育の一環として現地の学生が集団で見学に訪れることも多い。；また一部の高校では進学先理解のために大学や研究施設を見学先とする例もある。；旧県立醸造支場も隣接しており、歴史的な建造物も見学することができる。；一部の場所では、石塁が露出した状態で見学できるようになっている。；球場近くには同社の工場や博物館もあり、そちらは一般客の見学も可能。；損傷部分の保存を考え、2階座敷見学には事前予約が必要となっている。；しかし恋愛部の見学をしているうちに「恋愛」に興味を持っていく。；見学の最後にはできたてのビールの試飲が可能であることが多い。；この設備は当駅で発売されている入場券で見学することができる。；一般人が見学をする方法はいくつかあるが、主なものは下記の通り。；見学が可能となるよう、一部をガラス張りにした構造が採用された。；「幽霊ファン」のような層がいて、幽霊見学ツアーなどが行われている。；従ってダムの真下から放流を気にすることなくダムを見学することが出来る。；多くの相撲部屋は、一般人の希望があれば稽古の見学を受け入れている。；幽霊ファンのような層が存在し、幽霊見学ツアーなどが行われている。</t>
        </is>
      </c>
      <c r="J2626">
        <f>HYPERLINK("https://www.weblio.jp/content/見学", "词义详情")</f>
        <v/>
      </c>
      <c r="K2626">
        <f>HYPERLINK("https://yourei.jp/見学", "查看例句")</f>
        <v/>
      </c>
    </row>
    <row r="2627">
      <c r="A2627" t="inlineStr">
        <is>
          <t>玄関</t>
        </is>
      </c>
      <c r="B2627" t="inlineStr">
        <is>
          <t>成功</t>
        </is>
      </c>
      <c r="C2627" t="inlineStr">
        <is>
          <t>読み方：げんかん
《2が原義》
１建物・住居の主要な出入り口。「正面—」
２禅宗で、玄妙な道に入る関門。転じて、禅寺の方丈への入り口。
３寺の書院の入り口や公家の車寄せ、また、武家の入り口の式台のある所。
４江戸時代、名主宅のこと。玄関を構えることを許されたのでいう。</t>
        </is>
      </c>
      <c r="D2627" t="inlineStr">
        <is>
          <t>玄関先(4%)；玄関前(3%)；玄関ホール(2%)；玄関脇；玄関ドア</t>
        </is>
      </c>
      <c r="E2627" t="inlineStr">
        <is>
          <t>入り；ドア；門；扉；戸</t>
        </is>
      </c>
      <c r="F2627" t="inlineStr">
        <is>
          <t>大玄関；狭い玄関；広い玄関；暗い玄関；玄関駅</t>
        </is>
      </c>
      <c r="G2627" t="inlineStr">
        <is>
          <t>玄関番；玄関払い；玄関マット；玄関網戸；玄関子</t>
        </is>
      </c>
      <c r="H2627" t="n">
        <v>29</v>
      </c>
      <c r="I2627" t="inlineStr">
        <is>
          <t>対象形の魅力をもつこの住居は柱のある玄関や狭い窓を自由に使っている。；玄関を入って正面の最奥部に台所が設けられもっとも私的な空間となる。；その証拠は中心を外れた入り口とアクロポリスの玄関に近い位置である。；家に帰り、玄関のところでネリーが飛び出して来て叫び声を上げていた。；青森駅の正面玄関が明治末に新町通り奥に移転してから新町は発展した。；交通手段が船のみであることから、正面玄関なども船着場側に存在する。；この人物は結局建物の西玄関上の中央に置かれるものとされた。；一般閲覧室へ続く正面玄関ではなく、建物西側にある専用の入口から入る。；正面中央の玄関とその奥の廊下を挟んで南北に部屋を配置する。；南御門から入ると正式な入口である式台があり、奥に玄関が建っていた。；玄関上部の二人の女性像はヨーロッパとアジアを象徴している。；建物の玄関または主要な出入り口が接する位置の基礎番号を住居番号とする。；演奏が終わってブリークが自宅に戻ると玄関前でインディゴが待っていた。；現場の状況は玄関と窓は施錠されていたが、勝手口はわずかに開いていた。；外観は黄土色で、車寄せのような玄関を備えた立派な建物となっている。；しかし、玄関のみは新校舎に取り付けられて引き続き利用されることとなった。；このバージョンの収録は、メ〜テレ本社の玄関ホールで行われていた。；当初は靴を玄関で預けていたが、後に靴のまま上がるようになった。；このホテルの玄関ロビーに動いていない大きな振り子時計が置いてあった。；実際に、村の家々は、眺めの美しい湖の方向に窓や玄関が向いている。；家庭用の下駄箱は木製が多く家屋玄関に造り付けられている場合もある。；節右衛門がふと外を見ると、奇妙な男が唄いながら玄関に立っている。；契約者の家の玄関先かポストに上手く新聞を投げ込むことを目的とする。；給仕が外に見に行くと、隣の家の玄関前で立ったまま考え込んでいるという。；翌11月18日午前10時頃、自宅玄関で山口夫妻の遺体が発見された。；展示ケースは同校の正面玄関を入ってすぐ右にある部屋にある。；公式ホームページや各校舎の正面玄関を入ってすぐにその姿を確認する事が出来る。；北翼には事務所と住居があり、その中央には主玄関があった。；発電所玄関横には実際に使用されていた水車が二分割された状態で展示されていた。</t>
        </is>
      </c>
      <c r="J2627">
        <f>HYPERLINK("https://www.weblio.jp/content/玄関", "词义详情")</f>
        <v/>
      </c>
      <c r="K2627">
        <f>HYPERLINK("https://yourei.jp/玄関", "查看例句")</f>
        <v/>
      </c>
    </row>
    <row r="2628">
      <c r="A2628" t="inlineStr">
        <is>
          <t>元気</t>
        </is>
      </c>
      <c r="B2628" t="inlineStr">
        <is>
          <t>成功</t>
        </is>
      </c>
      <c r="C2628" t="inlineStr">
        <is>
          <t>読み方：げんき
［名・形動］
１心身の活動の源となる力。「—が出る」「—横溢(おういつ)」
２体の調子がよく、健康であること。また、そのさま。「—な子供」「お—ですか」
３天地の間にあって、万物生成の根本となる精気。
[派生]げんきさ［名］</t>
        </is>
      </c>
      <c r="D2628" t="inlineStr">
        <is>
          <t>元気よく(5%)；元気そう(3%)；元気づい；元気な声；元気な姿</t>
        </is>
      </c>
      <c r="E2628" t="inlineStr">
        <is>
          <t>力；エネルギー；盛ん；健康；幸福</t>
        </is>
      </c>
      <c r="F2628" t="inlineStr">
        <is>
          <t>明るく元気；ひどく元気；若い元気；元気出せよ；元気はつらつ</t>
        </is>
      </c>
      <c r="G2628" t="inlineStr">
        <is>
          <t>元気いっぱい；元気づける；元気を出して；元気です；元気づけよ</t>
        </is>
      </c>
      <c r="H2628" t="n">
        <v>29</v>
      </c>
      <c r="I2628" t="inlineStr">
        <is>
          <t>容体が心配されたものの病院での検査終了後には元気な姿が確認された。；主に少女たちに希望、元気や未来をヒット曲の数々を完全収録している。；明るくて元気な強い人と見られることが多いが、実際は泣き虫だという。；病床にあっても「元気になったらまた飛行機に乗りたい」と語っていた。；しかし明るく元気だったみちるは、無口で陰のある少女に成長していた。；これを飲むと雨をパワーに変えるため、飲んで雨にぬれると元気になる。；元気に散歩していたカービィの前に、黒い姿をしたメタナイトが現れる。；この時期でも本人はいたって元気な様子を見せ、病識が無い場合が多い。；後日、もう元気になったかと王国へ行ってみるが、もぬけの空であった。；ただし召喚獣は階を移動すると消え、呼び出すたびに元気が消費される。；使っているうちにこの箸を壊すことは元気に育っている証拠とされる。；大阪のおばちゃんパワーで世界を元気にすることを目的に結成された。；元気に活動している時はこの尾がまっすぐに高く掲げられる。；病院では折り紙で千羽鶴を折れば元気になると信じて鶴を折りつづけた。；プレイに失敗すると成績発表時には元気がなくなっている。；自らの表現を元気にするのは、時代と切り結ぶことだ、と考えるに至った。；太宗はこれを聞いて元気がよいのに喜び、「真にわが弟なり」と言った。；ところがこの日、モリエールはいつもに増して朝から元気がなかった。；また、作者は元気な女性を描きたいということで本作品を執筆した。；そのような時は、みんなが協力してくれると元気になるという。；ムーラ亡き後もWWEで元気な姿を見せるなどファンを楽しませていた。；しかし旦那の様子はいつもと変わらず、元気のない新吉を心配する。；翌日、元気がない五十鈴を心配しつつ、旅の間の出来事を悩む仲間たち。；飼育直後から、元気に仲間と泳いでいると新聞・テレビで伝えられた。；幼少の頃は比較的大人しかったが徐々に元気で活発な少女に育っていった。；体の波の形でガッツポーズをつくっており、明るく元気な性格を表現している。；昨日まで元気であったが突然の事であったとのこと。；心の中にあるいのちの星に勇気や元気が湧いて来るからとのこと。；うわべだけの元気のよさとは違う、内面的なパワーが伝わってきたんです。</t>
        </is>
      </c>
      <c r="J2628">
        <f>HYPERLINK("https://www.weblio.jp/content/元気", "词义详情")</f>
        <v/>
      </c>
      <c r="K2628">
        <f>HYPERLINK("https://yourei.jp/元気", "查看例句")</f>
        <v/>
      </c>
    </row>
    <row r="2629">
      <c r="A2629" t="inlineStr">
        <is>
          <t>研究</t>
        </is>
      </c>
      <c r="B2629" t="inlineStr">
        <is>
          <t>成功</t>
        </is>
      </c>
      <c r="C2629" t="inlineStr">
        <is>
          <t>読み方：けんきゅう
［名］(スル)物事を詳しく調べたり、深く考えたりして、事実や真理などを明らかにすること。また、その内容。「中世史を—する」「対策を—する」「—者」「—発表」</t>
        </is>
      </c>
      <c r="D2629" t="inlineStr">
        <is>
          <t>研究者(13%)；研究センター；研究成果；研究室；研究家</t>
        </is>
      </c>
      <c r="E2629" t="inlineStr">
        <is>
          <t>調査；検討；分析；勉強；学問</t>
        </is>
      </c>
      <c r="F2629" t="inlineStr">
        <is>
          <t>科学研究；研究テーマ；研究員；研究チーム；研究書</t>
        </is>
      </c>
      <c r="G2629" t="inlineStr">
        <is>
          <t>研究会；研究室；研究開発；研究家；研究機関</t>
        </is>
      </c>
      <c r="H2629" t="n">
        <v>29</v>
      </c>
      <c r="I2629" t="inlineStr">
        <is>
          <t>米国では理論だけの研究はほとんどなく理論と実証の往復が重視される。；また一般相対性理論を研究するには数学の訓練が足りないことがわかった。；一方でや、といった研究者たちはこの主張に懐疑的な見解を示している。；携帯電話の多機能性を活用して通信以外の用途へ使用する研究が進みつつある。；そのため彼は、基本的に絵の研究をするためにこれら自画像を描いていた。；中国やその周辺の東アジア諸国で信仰・研究されていた宗教、または学問。；人文科学研究の一例は、歴史的手法で具体化された歴史的研究である。；コワルスキの活動と の存在によって、英国は 研究の中心地となった。；現代の聖書研究でもっとも広く支持されている仮説は二資料仮説である。；適性試験に合格すれば学位取得のための研究を開始することを認められる。；そこにはロバート・ゴダード博士の初期の研究の成果も取り入れられている。；これらは化石では確認しにくいが、近年では少しずつ研究が進められている。；気象学の研究の中では、人工降雨などの気象制御の試みも行われてきた。；本研究は治験者が実際に瞑想を行い、ペアワイズ比較を用いて行われた。；これらの研究者の中には有機半導体の研究から移ったものもいる。；の性格上、その歴史には定理の自動証明の研究が大きく関係している。；ところが、哲学の場合は名前を聞いただけでは何を研究する学問なのか分からない。；古代以来の各時代や社会と建築の関係、工法の発達などを研究する。；動物媒の受粉様式は動物と植物の共進化の例として研究がなされている。；中世美学に関するエーコの研究が強調するのは理論と実践の区別である。；見かけの大きさが小さいため、視覚的に研究することは困難である。；人間の心を扱う研究は古代の占星術が扱うテーマのひとつであったともいわれている。；この点は、物理化学研究の伝統を持つ欧米とは大きく異なった状況にある。；これらのゲノム解読以降の研究を総称してポストゲノムと呼ぶことがある。；しかし、電気に関する研究が本格化するのは19世紀になってからである。；数理社会学や合理的選択理論の手法を用いた研究も盛んになっている。；これらは独立したものではなく、それぞれが関連し合って一連の研究を形作る。；また、大学院は教育だけでなく、大学における研究活動を行う機関である。；以上のような日本博物学史の詳細な研究は、1970年代頃から始まった。</t>
        </is>
      </c>
      <c r="J2629">
        <f>HYPERLINK("https://www.weblio.jp/content/研究", "词义详情")</f>
        <v/>
      </c>
      <c r="K2629">
        <f>HYPERLINK("https://yourei.jp/研究", "查看例句")</f>
        <v/>
      </c>
    </row>
    <row r="2630">
      <c r="A2630" t="inlineStr">
        <is>
          <t>減給</t>
        </is>
      </c>
      <c r="B2630" t="inlineStr">
        <is>
          <t>成功</t>
        </is>
      </c>
      <c r="C2630" t="inlineStr">
        <is>
          <t>読み方：げんきゅう
［名］(スル)給料を減らすこと。特に、制裁や懲戒処分として、一定期間、その人の給料を減らすこと。「経営不振で—される」「—処分」⇔増給。</t>
        </is>
      </c>
      <c r="H2630" t="n">
        <v>29</v>
      </c>
      <c r="I2630" t="inlineStr">
        <is>
          <t>容疑者とこんなふうに接触していたとなったら減給や停職じゃ済まんのだぜ。；この問題で同社は社長を減給とするなど、役員に処分を行った。；このほか、嶋田を含め13人の職員が減給や訓告などの処分を受けた。；経営陣もこの責任を取り、社長の山谷とGMの上原和人が減給となった。；同行した部長2人も9月から二か月間2割減給の懲戒処分を受けている。；その後も給料を減給されたが真面目に刑事として勤務していた。；教育長および教育部長は減給相当の処分と判断されたが、すでに退職していたので処分は実施されなかった。；然るに、このたびの減給および恩賞の遅れていることは、何としても納得がいかない。；これで、何もなかったら、馘にならないまでも、減給は、必至だろう。；これを受け同社は、幹部社員の減給や役職の降格などを実施。；朝日新聞の記者が取材のために訪問しても、取材に対応して減給されることを恐れて店員は後ずさりして対応しなかった。；仕事だ、深瀬さんを怒らせたら減給な、と言われれば神名はやるしかない。；髪が耳にかかってただけでうるさく言われるだろうし、ましてやピアスなんかしようものなら減給もんだろうし、自由なんかまったくないんだよ。；その際出された処分はほとんどが減給や戒告止まりだったため、生徒には試合禁止などの厳しい処分をするのに職員には優しいのかという批判があがった。；初動捜査を担当しているため多くの事件で最初の証人として登場するが、その証言の多くは矛盾を含んでいるため検事から減給されることが多い。；禁忌を犯したわたしは減給され、それに個室に呼ばれて懇々と説教をされてしまうはずだ。；つい一昨年一千三百五十名の整理と一割二分との減給をやったばっかりなのだから、この親心に信用出来ないのは無理からぬことだ。；国歌斉唱時に起立を拒否した教員には、減給や戒告などの処分が下ることもあった。；西郷軍に勝ったのに、予算不足で減給とはと反乱。；なお前副町長は既に町を退職していたため、問題発覚当初に町が下した減給・戒告などの処分対象者には含まれていなかった。；また降格されると減給になるという理由で現在の教師としての地位をできるだけ保とうとする努力が見られる。；平均一二・五パーセントの減給であり、レベロ自身は二五パーセントを返上した。；日本の労働者解雇に関する厳格な規制下では減給・企業側指定の労働者解雇は困難である。；減給の条例案は翌6月の町議会に提出される予定である。；逆に能力が下がれば段やクラスも下がり減給する。；小池は市政の混乱の責任として減給十分の五、三ヶ月を受けた。；減給の条例改正案は否決されたものの、問責決議案は可決された。；増田は減給1ヶ月の処分を受け、翌年には増田が「母親への誹謗中傷文書を学校の機材を使って印刷した」ことを理由に処分を受けている。；感心したが、だめだと減給のせいかと、あとで気づく。</t>
        </is>
      </c>
      <c r="J2630">
        <f>HYPERLINK("https://www.weblio.jp/content/減給", "词义详情")</f>
        <v/>
      </c>
      <c r="K2630">
        <f>HYPERLINK("https://yourei.jp/減給", "查看例句")</f>
        <v/>
      </c>
    </row>
    <row r="2631">
      <c r="A2631" t="inlineStr">
        <is>
          <t>言及</t>
        </is>
      </c>
      <c r="B2631" t="inlineStr">
        <is>
          <t>成功</t>
        </is>
      </c>
      <c r="C2631" t="inlineStr">
        <is>
          <t>読み方：げんきゅう
［名］(スル)いいおよぶこと。話がある事柄までふれること。「あえて古い事件に—する」</t>
        </is>
      </c>
      <c r="D2631" t="inlineStr">
        <is>
          <t>言及する(9%)；言及される(9%)；言及綱領</t>
        </is>
      </c>
      <c r="E2631" t="inlineStr">
        <is>
          <t>触れる；暗示；論及；引喩</t>
        </is>
      </c>
      <c r="F2631" t="inlineStr">
        <is>
          <t>一切言及；明確な言及；詳しく言及；直接的な言及；言及するくだり</t>
        </is>
      </c>
      <c r="H2631" t="n">
        <v>29</v>
      </c>
      <c r="I2631" t="inlineStr">
        <is>
          <t>初期のクエーカーにつけられた様々な呼称は今でも言及されることがある。；現代ではフランク族を象徴する武器のひとつとしてしばしば言及される。；なお診療外の非医療分野のアルバイトは禁止について言及されていない。；人間界と花魔法界での時間の流れの違いなどについての言及は特に無い。；特に、ENIACがこの方式だったということは歴史上よく言及される。；また、マザー牧場側でも検索上の注意として当駅の存在に言及していた。；しかしボーアが波動関数の収縮という考えに言及したことは一度もない。；銃が登場するシーンでは、登場人物が弾丸の残量について言及している。；彼の思想には、すべてのものは微小なアートマンだと言及する部分がある。；で言及されているような地上建築物はここには描かれていない。；また経験は行動の獲得に、遺伝子は本能に影響を与えると言及される。；アテナイオスは他の多くの料理本にも言及したが、それらは全て失われた。；ただしドラマの中では押収した車体を白く塗装したという言及はない。；大衆の記憶に残り、以来、アイルランドの民族主義運動でも言及される。；これらは当時のアメリカ大陸に存在したと考え難いと言及している。；ストラボンの言及の後、ムセイオンに何が起こったのかは不明である。；遠田はさらに、これらを番組戦略と捉え、捨て企画の放送について言及。；この部分は諺解本にのみ言及があり、解例本には記載されていない。；これらは二冊ともプトレマイオスの『アルマゲスト』で言及されている。；フランス革命への最初の言及を記録したとされる手紙には、次のように書いている。；当時の右翼運動史の流れの中に位置づけて言及されることが多い。；初夜権を題材にしたり、その存在について言及した作品などを挙げる。；またサブジャンルは多くの場合そのジャンルでのスタイルとして言及される。；呂布の娘の婚約相手として、袁術の子も外交交渉の場で言及されている。；占星術で最も頻繁に言及される天体は月であり、大半を占めている。；これ以降、ヒトラーは自らの命令根拠が成文法にあるとは言及しなくなった。；また、中世シチリア王国に言及する際にも適用されることがある。；より早くから文献に言及されている集落も、現在のバイロイト市に含まれている。；これが英語で初めて豆腐に言及した文献と考えられている。</t>
        </is>
      </c>
      <c r="J2631">
        <f>HYPERLINK("https://www.weblio.jp/content/言及", "词义详情")</f>
        <v/>
      </c>
      <c r="K2631">
        <f>HYPERLINK("https://yourei.jp/言及", "查看例句")</f>
        <v/>
      </c>
    </row>
    <row r="2632">
      <c r="A2632" t="inlineStr">
        <is>
          <t>研究室</t>
        </is>
      </c>
      <c r="B2632" t="inlineStr">
        <is>
          <t>成功</t>
        </is>
      </c>
      <c r="C2632" t="inlineStr">
        <is>
          <t>読み方：けんきゅうしつ
研究をするための部屋。「—に閉じこもって実験する」</t>
        </is>
      </c>
      <c r="D2632" t="inlineStr">
        <is>
          <t>研究室内；研究室長；研究室出身；研究室教授；研究室助手</t>
        </is>
      </c>
      <c r="E2632" t="inlineStr">
        <is>
          <t>研究所；試験場；ラボ；科学研究所；実験室</t>
        </is>
      </c>
      <c r="F2632" t="inlineStr">
        <is>
          <t>主宰する研究室；研究室配属；研究室副手；服部研究室；調査研究室</t>
        </is>
      </c>
      <c r="H2632" t="n">
        <v>29</v>
      </c>
      <c r="I2632" t="inlineStr">
        <is>
          <t>研究室に出入りするスタッフには特別な訓練を受けていない者もいた。；目的のリガンドが研究室で合成された後、従来の方法で分析が行われる。；一人京都へ向った浩三は、服部の世話で大学の研究室で働くようになる。；夏期休業中には大学の研究室を訪ね、短期集中で研究を行うこともある。；放射性が非常に強いため研究室でしか作られず天然には観察されない。；安価な化合物であるため、研究室レベルで合成することはほとんどない。；そのため、放送サークルのほかゼミや研究室単位で参加する学生もいる。；より柔軟に利用したい研究室向けにはキット化されたシステムがある。；非常勤の講師は大学に研究室を持っておらず大学で過ごす時間も短い。；高山研究室に席を置きながら土木工学科八十島研究室で交通計画を研究。；また、ミランダの研究室で囚われていた本物のミアを発見して保護した。；現在の彼の研究室の研究テーマには次のようなものがある。；これは研究室が近い将来に閉鎖されることを意味していた。；城研究室では、コンピュータ開発の最初の一歩をスタートさせた。；広く用いられており市販もされているが、研究室で合成することも可能である。；公設試験研究機関や大学のキノコ関連の研究室が開催している場合もある。；また、いずれも博士か研究室に在籍していた人物の設定である。；それらの多くは、現在でも世界中の研究室で活発に研究されている。；山田の研究室サイトは多数のページで構成され、掲載情報も多岐にわたる。；アームストロングはこの地下にあった研究室でFMラジオを開発した。；これは研究室レベルでハロゲン化水素を入手する簡単な方法である。；過去に番組で共演していた入山章栄の研究室に所属し、国際経営理論を専攻。；そのため、小さい研究室や研究プロジェクトでも購入可能だった。；大学の研究室には青酸カリがあり、昼間は鍵をかけずに保管しているらしい。；こうして得た利益の一部を使って、ネルンストは研究室を拡張した。；多くの場合、天体物理学的な物理過程は地球上の研究室では再現できない。；当初はシュネル博士の研究室で作った薬品を販売する会社であった。；研究室で強圧的な指導が行われていたことは知られていた。；広島・長崎の降下物の分析は1945年に木村健二郎研究室で行われた。</t>
        </is>
      </c>
      <c r="J2632">
        <f>HYPERLINK("https://www.weblio.jp/content/研究室", "词义详情")</f>
        <v/>
      </c>
      <c r="K2632">
        <f>HYPERLINK("https://yourei.jp/研究室", "查看例句")</f>
        <v/>
      </c>
    </row>
    <row r="2633">
      <c r="A2633" t="inlineStr">
        <is>
          <t>研究所</t>
        </is>
      </c>
      <c r="B2633" t="inlineStr">
        <is>
          <t>成功</t>
        </is>
      </c>
      <c r="D2633" t="inlineStr">
        <is>
          <t>研究所所長(3%)；研究所長；研究所研究員；研究所内；研究所客員研究員</t>
        </is>
      </c>
      <c r="E2633" t="inlineStr">
        <is>
          <t>研究室；試験場；ラボ；科学研究所；実験室</t>
        </is>
      </c>
      <c r="F2633" t="inlineStr">
        <is>
          <t>同研究所；経済研究所；中央研究所；文化研究所；国立研究所</t>
        </is>
      </c>
      <c r="H2633" t="n">
        <v>29</v>
      </c>
      <c r="I2633" t="inlineStr">
        <is>
          <t>これらは有名な中世の研究所に対する文化的背景を提供するものである。；同年には州中央身体文化研究所のコーチ育成学校を卒業している。；過去にはジョナサン博士の研究所を襲撃、博士の殺害にも使用されている。；国内で知られるブランドの多くがコロラドの工場や研究所で生れた。；ここでは、1955年の航空技術研究所の設置のころまでを前史とする。；彼らは火星の研究所から盗まれた珍獣・ダイムの卵を探しているという。；本形式のデザインは日立製作所デザイン研究所が行ったものである。；これらは独立性を持ち、寄宿舎で、同時に研究所的な性格を持っていた。；そのため南口からは多くの研究所方面行きのバスが発着している。；その中心部はチューリッヒ市街地に点在する多くの建物と研究所よりなる。；また、研究所も設置されるようになり、彼らの働く場所が出現した。；また、当研究所内の設備を利用した数々の研究が行われている。；タシュケントには大学や研究所をはじめとする複数の高等教育機関がある。；神奈川県横浜市金沢区の海洋研究開発機構横浜研究所に設置されている。；全国の国立大学附置研究所の中で最も古い歴史を有する研究所の一つである。；その後、同じく母親が研究所詰めであるアスカも同居することとなった。；研究所からの資金提供はなく、OSには名前も付けられていなかった。；彼は自分で財界から寄付を募って、研究所の予算を四倍にまで伸ばした。；速水奨は貿易会社勤務の傍ら劇団四季の研究所などに所属していた。；同研究所はこれらの施設の管理・運営も行っている。；これら研究所などで研究開発に携わっていた業界の著名人を以下に挙げる。；このほか、大学に属する主な研究施設に以下の研究所がある。；しかし多くの国が恒常的な研究所を大陸上に設置している。；研究所から逃げ出したのちに巨大化し、付近の海で船舶を襲っていた。；東京における生活は、午前は研究所、午後は焼絵をした工場で過ごした。；大学や研究所の発行する通常の紀要の形式を徹底的に真似ている。；大学卒業後は国民文化研究所を経て、知人の紹介で劇団泉座へ入団。；この専用車は本田技術研究所特注のエアサスペンション仕様になっていた。；サンダーマスク復活のきっかけを作って殉職した高瀬博士が残した研究所。</t>
        </is>
      </c>
      <c r="J2633">
        <f>HYPERLINK("https://www.weblio.jp/content/研究所", "词义详情")</f>
        <v/>
      </c>
      <c r="K2633">
        <f>HYPERLINK("https://yourei.jp/研究所", "查看例句")</f>
        <v/>
      </c>
    </row>
    <row r="2634">
      <c r="A2634" t="inlineStr">
        <is>
          <t>謙虚</t>
        </is>
      </c>
      <c r="B2634" t="inlineStr">
        <is>
          <t>成功</t>
        </is>
      </c>
      <c r="C2634" t="inlineStr">
        <is>
          <t>読み方：けんきょ
［名・形動］控え目で、つつましいこと。へりくだって、すなおに相手の意見などを受け入れること。また、そのさま。「—な態度」「—に反省する」
[派生]けんきょさ［名］</t>
        </is>
      </c>
      <c r="D2634" t="inlineStr">
        <is>
          <t>謙虚な態度(3%)；謙虚な姿勢(2%)；謙虚な気持ち；謙虚な人柄；謙虚な性格</t>
        </is>
      </c>
      <c r="E2634" t="inlineStr">
        <is>
          <t>卑屈；謙遜；卑下；謙譲；慎ましやか</t>
        </is>
      </c>
      <c r="H2634" t="n">
        <v>29</v>
      </c>
      <c r="I2634" t="inlineStr">
        <is>
          <t>私はこの選出を謙虚に受け止め、それに伴う責任の重さを認識している。；幸福とはまさにこの瞬間だわ、と彼女は謙虚にそう自分に言いきかせた。；適度な心配性と謙虚な部分はあるが舞台に上がると性格がまったく変わる。；彼の演説で行われた様子から革命への忠実さと謙虚が感じられたとされる。；謙虚な心の彼らを、美の国における大なる者と言い得ないであろうか。；自然とのほとんど宗教的な交感は、このようにして謙虚な少年に許された。；当時の学者としては大変に謙虚で、自らの功績を語ることは少なかった。；このような謙虚な態度だからこそ、私には何度もお声がかかるのだ。；謙虚になりたいのなら、まず人はおのれに以下のことを問わねばならない。；人たるものは神のおいいつけを謙虚にお受けいたさねばなりませぬ。；この自己の身体と精神とにたいする自信は彼から謙虚さをうばったようだ。；何にむかって老師がそれほど謙虚になっているのかわからなかった。；生活のために生活を理解する必要を持たない謙虚な善良な婦人として。；勇気と謙虚さはなかなか同じ器に入らないものでありますから。；彼は謙虚な男であったが、それを認めないわけにはいかなかった。；この理論は謙虚なもので、観察をそのまま表現したものにちかかった。；このときエマには、素朴さと謙虚さこそがなにより大切なように思われた。；どんなに心を謙虚にして、新たに自然な生活の拘束を甘受したことだろう!；領民にも大名とは到底思われぬほどの謙虚さと愛とをもって交わった。；そこには、わたしに対してほとんど示したことのない謙虚さがあった。；いつも疲れた喋り方をしており、謙虚で優しく流されやすい性格である。；謙虚というテーマで質問される限り修道女たちの答えはひとつだった。；そうした謙虚さを忘れたまま、もうずいぶん長いあいだ歩いてきたような気がした。；それはときに度を超して、謙虚というよりも卑屈に思えるほどだった。；しかし、謙虚さと誠実さがなければ市民の信頼も協力も得られない。；謙虚な人間なら、研究の成果が世に出たこと自体をよろこぶだろう。；自分たちの力不足に謙虚になり、その対応の遅さを恥ずかしいと感じた。；それは重大な責任であり、彼はそういうものの前に自分が謙虚な気持になるのを感じた。；謙虚で丁寧で腰低いだろ、最初は嫌味かと思ったけど、ありゃ性格だな。</t>
        </is>
      </c>
      <c r="J2634">
        <f>HYPERLINK("https://www.weblio.jp/content/謙虚", "词义详情")</f>
        <v/>
      </c>
      <c r="K2634">
        <f>HYPERLINK("https://yourei.jp/謙虚", "查看例句")</f>
        <v/>
      </c>
    </row>
    <row r="2635">
      <c r="A2635" t="inlineStr">
        <is>
          <t>兼業</t>
        </is>
      </c>
      <c r="B2635" t="inlineStr">
        <is>
          <t>成功</t>
        </is>
      </c>
      <c r="C2635" t="inlineStr">
        <is>
          <t>読み方：けんぎょう
［名］(スル)本業のほかに他の事業・仕事を兼ね行うこと。また、その事業・仕事。「会社勤めと塾の教師を—する」</t>
        </is>
      </c>
      <c r="D2635" t="inlineStr">
        <is>
          <t>兼業する(13%)；兼業作家(3%)；兼業化；兼業部門；兼業選手</t>
        </is>
      </c>
      <c r="G2635" t="inlineStr">
        <is>
          <t>兼業主婦；兼業主夫</t>
        </is>
      </c>
      <c r="H2635" t="n">
        <v>29</v>
      </c>
      <c r="I2635" t="inlineStr">
        <is>
          <t>年齢や体格を問わずに入門者を広く受け入れており、兼業も認めている。；兼業作家であり、日中は別の仕事があるため、主に深夜に描いている。；彼は兼業で居酒屋を経営しており、そこで人々を観察していたと思われる。；民信局は郵便局と為替銀行の面をもっており、貿易を兼業する者もいた。；カメラ教室の先生も兼業しているので、初歩的なミスは出来なかった。；経営者は、他の事業を兼業している場合もあり、帳場には管理人がいた。；しばらくは国立国会図書館職員との兼業作家として執筆活動を続けていた。；声優になる前銀行員であった服巻浩司はその後保育士と声優を兼業している。；知念家は初め、紺屋であったが後に紅型の型付も兼業するようになった。；その後半は漫画家との兼業であり、二つの仕事は互いに影響を与え合っている。；香港で各種事業を兼業していた農民の家庭に生まれる。；なお、実際のルールである野球協約ではプロ野球選手の兼業は禁止されている。；また吉野町側の千股には江戸中期には農業兼業の旅館が7戸があった。；だが、逆にいえば、兼業しなければたべていくことができないのだ。；若い頃には兼業でやっていたことは忘れたようだ。；オードリー・マンソンは美術モデルの他に女優や作家も兼業していた。；農業専門の小野家より、商業を兼業している鈴木家に魅力を持ったからでもあった。；また、バンドは東京に移る際に兼業していた職を辞職し、東京進出している。；それに注目した地元タウン誌から原稿依頼があり、兼業作家となる。；電気供給事業も兼業していたが京都電燈と競合となり1918年合併された。；また酒屋や小商いを営む者もおり、兼業として筵の生産も行われていた。；議員が兼業禁止に該当するか否かの決定は、議会が行う。；いずれもバスと兼業だが、過去にはタクシー専業の事業者もあった。；大学卒業後に就職した製造小売業との兼業を経て、ライターとして活動。；国土の大部分において、これらの豊富な産業は農業と兼業する形で行われていた。；ほとんどは女優も兼業しており、映画に出演しながら挿入歌を唄うことが多い。；歴々な文學者でも金が欲しければ、別な仕事を兼業してゐなければならない。；中には田丸屋のように、土蔵造りの一構えを持って質屋を兼業したものもある。；生家は木造和船を一艘所有した回漕業と綿屋の兼業で生計を立てていた。</t>
        </is>
      </c>
      <c r="J2635">
        <f>HYPERLINK("https://www.weblio.jp/content/兼業", "词义详情")</f>
        <v/>
      </c>
      <c r="K2635">
        <f>HYPERLINK("https://yourei.jp/兼業", "查看例句")</f>
        <v/>
      </c>
    </row>
    <row r="2636">
      <c r="A2636" t="inlineStr">
        <is>
          <t>現金</t>
        </is>
      </c>
      <c r="B2636" t="inlineStr">
        <is>
          <t>成功</t>
        </is>
      </c>
      <c r="C2636" t="inlineStr">
        <is>
          <t>読み方：げんきん
［名］
１手持ちのかね。その場で受け渡しをすることのできる金銭。また、金銭をその場で受け渡しすること。キャッシュ。「—で支払う」「—の持ち合わせがない」
２通用の貨幣。小切手・手形・為替などに対していう。キャッシュ。通貨。「—に換える」
３簿記・会計で、2と同じように扱われるもの。
㋐簿記上、通貨およびいつでも通貨に換えられる小切手・送金為替手形など。
㋑キャッシュフロー計算書で、手許現金と要求払預金のこと。
４まとまった額の金銭。げんなま。「—が渡る」「—を積まれる」
［形動］目先の利害損得によってすぐ態度や主張を変えるさま。「—なやつだ」
[派生]げんきんさ［名］</t>
        </is>
      </c>
      <c r="D2636" t="inlineStr">
        <is>
          <t>現金収入(3%)；現金化；現金強奪；現金決済；現金約</t>
        </is>
      </c>
      <c r="E2636" t="inlineStr">
        <is>
          <t>金；銭；金銭；金子；金銀</t>
        </is>
      </c>
      <c r="F2636" t="inlineStr">
        <is>
          <t>現金五；還流現金；現金ポイントカード；直接現金；現金運搬</t>
        </is>
      </c>
      <c r="G2636" t="inlineStr">
        <is>
          <t>現金書留；現金払い；現金自動預け払い機；現金化；現金機</t>
        </is>
      </c>
      <c r="H2636" t="n">
        <v>29</v>
      </c>
      <c r="I2636" t="inlineStr">
        <is>
          <t>権利書は最終的に最も高い値段を提示したプレイヤーが現金で購入する。；死んだ者には用がないと言わんばかりの、げんきんで冷酷な態度である。；出場時には自動精算機で現金または他のカードで精算することもできた。；土地の権利書をもとにして銀行から、権利書価格の半分の現金を得られる。；現金・回数券利用の場合は一般路線と同じ区間制の運賃を徴収していた。；現在は運行事業者にかかわらず乗車カードは利用できず現金のみとなる。；現金輸送車の中に現金およびジュラルミンケースは残されていなかった。；プレイヤーはその現金とこれまでの戦いの賞金をゲームで利用できる。；入館料は直接現金ではなくチャージ式のカードを購入しての支払である。；ドア横に2台あり、入って左側は床に置く形の運賃箱で現金対応である。；硬貨計算機を接続し、現金の入出金が完全に機械管理されるものも多い。；また、少人数戦は土地を買いすぎてしまい現金不足になることもある。；ちなみにこの時に100万ドルを現金で引き出された銀行は翌日潰れた。；現金にこだわらない大小さまざまな業者とは株式交換で事業を買収した。；また、運賃は路線ごとに異なるが、現金以外で乗車することはできない。；これで紙に金額を書くと、それを小切手のように現金として使用できる。；なお、現金で購入するため、資金が赤字の場合は購入ができないので注意。；また、会員の勧誘に成功すると現金が獲得できる旨も語られている。；BBに現金を要求していたソフトバンク関連元社員らが逮捕された。；現金は毎日の出入りが多いため、専用の補助簿を設けて管理することが多い。；現代のように現金になったのは江戸時代からだといわれてる。。；内容は4月8日に指定場所へ現金6000万円を持ってくるよう要求。；産業が極めて限定されている烏坵では貴重な現金収入源となっている。；幽霊は元のキャラクターのもっていた現金を含むアイテムを所持している。；このような預金から必要に応じて引き出された現金が市中で流通する。；また他人から現金や商品・株券などを借り受けて売買する手法などがある。；メリットは現金をトークンの貸出機で集中的に管理する事ができる点にある。；と仕訳を行った場合、現金の減少と、土地の増加を表すこととなる。；ICを所持していない場合は各駅ホームにある券売機での現金購入となる。</t>
        </is>
      </c>
      <c r="J2636">
        <f>HYPERLINK("https://www.weblio.jp/content/現金", "词义详情")</f>
        <v/>
      </c>
      <c r="K2636">
        <f>HYPERLINK("https://yourei.jp/現金", "查看例句")</f>
        <v/>
      </c>
    </row>
    <row r="2637">
      <c r="A2637" t="inlineStr">
        <is>
          <t>原形</t>
        </is>
      </c>
      <c r="B2637" t="inlineStr">
        <is>
          <t>成功</t>
        </is>
      </c>
      <c r="C2637" t="inlineStr">
        <is>
          <t>読み方：げんけい
もとのかたち。変化する前のかたち。「—に復する」「—を保つ」</t>
        </is>
      </c>
      <c r="D2637" t="inlineStr">
        <is>
          <t>原形式；原形車；原形をほぼ；原形通り；原形復旧</t>
        </is>
      </c>
      <c r="F2637" t="inlineStr">
        <is>
          <t>殆ど原形；原形先頭車</t>
        </is>
      </c>
      <c r="G2637" t="inlineStr">
        <is>
          <t>原形質連絡；原形質膜；原形質流動；原形質分離；原形不定詞</t>
        </is>
      </c>
      <c r="H2637" t="n">
        <v>29</v>
      </c>
      <c r="I2637" t="inlineStr">
        <is>
          <t>おそらく雲林院の原形にも登場しなかったのであろうと推測されている。；今に至る千年間の文化の最も素朴な原形へたった数年で戻ったのである。；一般的には豆の原形が存在するものを指して用いられるが、例外もある。；護符が床に落ち るよりも早く、原形も残さず炭化した女が床に倒れた。；友永機が衝突した上部であり、二重の打撃を受けて艦橋は原形を失った。；この時代の州や県は現在のロシア連邦の多くの州や地方の原形となっている。；正気に戻った時には、領主は原形を留めない血塗れの肉塊となっていた。；古代の国史の地名の原形らしいものは殆ど全部この地で見ることができます。；そこには原形にかえされた男らしさや女らしさが見られるのでしょうか。；現在行われているものも、原形を留めるものは少ないといわれている。；各種の遺構が原形に近く残っている点で、群馬県内でも稀な城跡である。；熱の洗礼を受けた砂は原形を破壊されガラスのようになっている。；その際に向かって左方の大部分を切り取ったので原形は失われている。；いわんや伝宸翰本を原形に近いものとして立証しようとしたのではない。；世界の七不思議のひとつに挙げられるが、現在は原形をとどめていない。；この物質的な記憶、記憶の原形こそ、霊と呼ばれるものなのではないだろうか。；都下に当時の防空壕が原形のまま残されていれば、貴重な戦争資料である。；岩手軽便鉄道では、あまり改造を加えず、原形を保ったまま使用された。；ここで発生した生命は、その後に展開する生物世界すべての原形となるものでした。；フェンシングの原形は、中世の騎士たちによる剣術にあるとされている。；今に至る千年間の文化の最も素朴な原形へたつた数年で戻つたのである。；これに対して、その前から原形となる祭祀が存在したとする説もある。；群れが退いたあとには、すでに人の原形をとどめていない男の身体があった。；あたしの炎で燃やしたら、原形を留めた本なんか残るわけないじゃないの。；これを原形とした曲が24回配信分の放送ではバックがついた状態で公開される。；ただしその際の修復で屋根形状の原形を失っている点は惜しまれる。；米澤は、準備会が現在の原形を持つのは自身が代表になってからとしている。；尋常な思考からすれば、三千年前の遺体が原形を留めているはずはない。；被告の足はもはやその原形をとどめず、むろん歩くことなど不可能だった。</t>
        </is>
      </c>
      <c r="J2637">
        <f>HYPERLINK("https://www.weblio.jp/content/原形", "词义详情")</f>
        <v/>
      </c>
      <c r="K2637">
        <f>HYPERLINK("https://yourei.jp/原形", "查看例句")</f>
        <v/>
      </c>
    </row>
    <row r="2638">
      <c r="A2638" t="inlineStr">
        <is>
          <t>原型</t>
        </is>
      </c>
      <c r="B2638" t="inlineStr">
        <is>
          <t>成功</t>
        </is>
      </c>
      <c r="C2638" t="inlineStr">
        <is>
          <t>読み方：げんけい
１もとの型。もとになる構造・構成をもつもの。「平城京の—は長安である」
２鋳物や彫刻作品などのもとになる型。土や石膏などで作る。「粘土で—を作る」
３洋裁で、服を作るときに基本となる平面製図のもとの型。
４動植物の、現存する諸種の類から抽象して、それらの根源とされる型。「ウマの—」
５心理学で、現象の背後にあって、その現象を発生させる根源的なもの。</t>
        </is>
      </c>
      <c r="D2638" t="inlineStr">
        <is>
          <t>原型機(5%)；原型炉；原型艦；原型製作；原型といわれる</t>
        </is>
      </c>
      <c r="E2638" t="inlineStr">
        <is>
          <t>オリジナル；プロトタイプ；原本；原書；原版</t>
        </is>
      </c>
      <c r="F2638" t="inlineStr">
        <is>
          <t>石膏原型；古い原型；量産原型；原型白熱灯；原型原生中心柱</t>
        </is>
      </c>
      <c r="H2638" t="n">
        <v>29</v>
      </c>
      <c r="I2638" t="inlineStr">
        <is>
          <t>これが近代ボウリングのルールの原型になっていったと考えられている。；しかし、前漢代の遺跡から紙の原型とされるものが多数見つかっている。；これがその後日本国内で製造されるバス車体の原型となったといわれている。；その原型となったイギリスの代表的な公安職は下記のようなものであった。；原型は中国にもあるが多数の溝を付けたすり鉢は日本の備前焼に始まる。；原型の素材はさまざまであり、作成には高度な知識・技術・経験が要求される。；このインの誕生からまもなく、タヴァンの原型が誕生したと考えられる。；後世のアッシリア社会の原型は、この頃既に形成されていたと考えられる。；現在の東京都区部の中央部に位置し、その前身及び原型に当たる。；騎馬像の原型となる粘土製の馬の像が完成したのは1492年である。；この計23機でより実戦的な評価作業と原型機の洗い直しが行われた。；中国海南島出身の華僑が東南アジアの各国に広めたのが原型と言われる。；完成度の高いバージョンであり、その後のDelphiの原型となった。；彼らは隠遁者、隠修士などと呼ばれたが、これが修道士の原型となった。；ヨーロッパの中世にはすでにミス・コンテストの原型とも言えるものがあった。；標山には移動神座のような役割があり、山車の原型であるといわれている。；これらのアメリカでの大会群は現在の全米オープンの原型である。；この時、作品の原型となるコンテ・筋書き的なものが「原作」にあたる。；この星座が、現代のオリオン座の原型になったものと考えられている。；完成したときに果実の原型が比較的保たれているものはプレザーブという。；原型か形代かは別にして、朝廷側が宝剣の回収に失敗したのは確定している。；現代の地車の様式の原型が登場したのは江戸末期から明治にかけてと考えられる。；日本の和鐘は中国の南北朝時代の蝋型法が原型になっているとされる。；江戸時代中期にあたる17世紀末に原型ができたと推測されている。；原型機から多少の改良がおこなわれており、宇宙用の各種機構が廃されている。；しかし、過去には紙の質も印刷も悪く劣化していき原型が残らない恐れがある。；この鳳輦こそが、1300年の歳月を経て今に伝わる神輿の原型である。；は、全体の枠となる物語を分析し、次の3つの説話が原型になっているとした。；市中心部には、ゲーテの旧邸宅がほぼ原型のままで保存されている。</t>
        </is>
      </c>
      <c r="J2638">
        <f>HYPERLINK("https://www.weblio.jp/content/原型", "词义详情")</f>
        <v/>
      </c>
      <c r="K2638">
        <f>HYPERLINK("https://yourei.jp/原型", "查看例句")</f>
        <v/>
      </c>
    </row>
    <row r="2639">
      <c r="A2639" t="inlineStr">
        <is>
          <t>権限</t>
        </is>
      </c>
      <c r="B2639" t="inlineStr">
        <is>
          <t>成功</t>
        </is>
      </c>
      <c r="C2639" t="inlineStr">
        <is>
          <t>読み方：けんげん
１国家や公共団体が、法令の規定に基づいて職権を行うことのできる範囲。
２代理人や法人の機関が、法律または契約に基づいてなしうる権能の範囲。
３個人がその立場でもつ権利・権力の範囲。「君にはその—はない」「—を越える」</t>
        </is>
      </c>
      <c r="D2639" t="inlineStr">
        <is>
          <t>権限を与えられ(2%)；権限強化；権限代行；権限行使；権限拡大</t>
        </is>
      </c>
      <c r="E2639" t="inlineStr">
        <is>
          <t>押し；権；管轄；権力；権威</t>
        </is>
      </c>
      <c r="F2639" t="inlineStr">
        <is>
          <t>大統領権限；強大な権限；強い権限；強力な権限；法的権限</t>
        </is>
      </c>
      <c r="G2639" t="inlineStr">
        <is>
          <t>権限移譲；権限付与；権限移譲式</t>
        </is>
      </c>
      <c r="H2639" t="n">
        <v>29</v>
      </c>
      <c r="I2639" t="inlineStr">
        <is>
          <t>ユーザーのデータのみを扱うユーティリティは通常の権限で実行できる。；州知事は他の州とは異なり予算についてかなりの権限が与えられている。；キュレーター職は学芸員の中でも企画を担当する権限を有する人を指す。；その目的と権限は英米の確執で政治的に妥協して定められたものである。；実質的な権限を持つ大統領が、議会から選出される政治体制も存在する。；しかし強大な権限を握っていた政治工作系統は蔣経国の指示に抵抗した。；当時は風・雨による運転規制なども駅長権限で行われていたのである。；統治の困難な関東では、鎌倉府に権限を集中する必要があったためである。；一方で、権限に伴う実際の強制力は十分とは言えなかった面もあった。；戦前、検察官は捜査を主宰するとされ、強い指揮権限が認められていた。；司法警察員のみが有する特別の権限としては、以下のようなものがある。；誰もが自由であり、誰もが他の者の諸権利に関与する権限はない。；イギリスでは原則として犯罪の捜査と訴追の権限は警察が有している。；その結果、イギリスの判事は立法権限者に拘束されないのが伝統だった。；裁判所に、法律が憲法に適合するか否か審査する権限が与えられている。；その組織員は、市や郡の条例を含め州内全ての法律を執行する権限がある。；日本国憲法の解釈は、それぞれの機関が権限の範囲内で行なっている。；中央銀行はこの通貨量を調整する権限を持つため大きな影響力を持つ。；権限は人に与えられるものではなく、自分で発揮するものである。；ただし広岡は「自身に監督をクビにする権限はなかった」と話している。；絶対的な権限を公安委員会に集めて強力な革命機関が整備された。；憲法裁判所は法律が憲法に違反しているか否かを審査する権限を有する。；一方、政治体制は絶対君主制を維持し、全ての権限を自身に集中させた。；周王が天下を統治する権限は天からの命令を背景にしているとされたのである。；と様々な権限を有したうえでの三界の兄弟王となったのである。；広い意味では、宣伝・配給など監督の権限が及ばない分野の関係者も指す。；英語のは、共和政ローマ時代に護民官が保持していた権限 に由来する。；地区別の行政業務については、17の地区事務所がその権限を有している。；しかし2008年の憲法改正により一度廃止され、権限は議会に移った。</t>
        </is>
      </c>
      <c r="J2639">
        <f>HYPERLINK("https://www.weblio.jp/content/権限", "词义详情")</f>
        <v/>
      </c>
      <c r="K2639">
        <f>HYPERLINK("https://yourei.jp/権限", "查看例句")</f>
        <v/>
      </c>
    </row>
    <row r="2640">
      <c r="A2640" t="inlineStr">
        <is>
          <t>言語</t>
        </is>
      </c>
      <c r="B2640" t="inlineStr">
        <is>
          <t>成功</t>
        </is>
      </c>
      <c r="C2640" t="inlineStr">
        <is>
          <t>読み方：げんぎょ
「げんご（言語）」に同じ。
「旦暮の説法読誦の声は市人(しじん)の—よりも多からしむ」〈浄・出世景清〉</t>
        </is>
      </c>
      <c r="D2640" t="inlineStr">
        <is>
          <t>言語的(2%)；言語能力；言語版；言語仕様；言語化</t>
        </is>
      </c>
      <c r="E2640" t="inlineStr">
        <is>
          <t>言葉；言；用語；舌；弁</t>
        </is>
      </c>
      <c r="F2640" t="inlineStr">
        <is>
          <t>他言語；様々な言語；主要言語；関数型言語；話される言語</t>
        </is>
      </c>
      <c r="G2640" t="inlineStr">
        <is>
          <t>言語学者；言語道断；言語障害；言語表現；言語習得</t>
        </is>
      </c>
      <c r="H2640" t="n">
        <v>29</v>
      </c>
      <c r="I2640" t="inlineStr">
        <is>
          <t>ここではあまり他の言語では見られない 特有の機能を中心に解説する。；独立後は世代間で使用できる言語が異なっていることが問題となっている。；このように真理概念は特定の言語に相対的に定義されなければならない。；非常に大きな影響力のあったAberMUDはB言語で記述されていた。；このような言語は1つのアプリケーションのためだけに設計されている。；この仮想機械方式による の実行方法は の言語仕様にも含まれている。；ほかの言語でもよくみられるような制御構造を用いることができる。；一般に、音声の音響的な特徴と言語的な特徴を分離して扱うことが多い。；ただし、具体的な言語の種類で対応する「音」が異なってしまっている。；異なる言語同士が接触し、双方の特徴を保ったまま複雑に混合した言語。；これは中国語以外の言語で書かれた最初の麻雀についての記述であった。；特にトンガとロツマの言語に関連するものを含む面が顕著に現れている。；そのようなコースでは適当な言語のコンパイラを実際に作らせることが多い。；ドイツ語が公用語であり、ほとんどの住民が日常使っている言語でもある。；どちらを選ぶかは関連する文章やその言語の習慣によるものとする。；いずれにしてもその変換は、翻訳元と翻訳先の言語に特化したものになる。；一方、「キーワード」は言語仕様上特別な意味を持った語のことである。；は言語機能を必要十分の最低限まで単純化することを目指した言語である。；多民族国家であるため、言語と同様、宗教にも地理的な分布が存在する。；英語をはじめとした多くの言語で、をそのまま翻字した語が採用されている。；言語がいつどのように生まれたのか分かっておらず、複数の仮説が存在する。；他に、以下のようなスタイルで仕様が与えられている言語もある。；言葉・言語を伝達し記録するために線や点を使って形作られた記号のこと。；高橋の作品の多くは英語や他のヨーロッパ言語に翻訳されている。；多くのプラットフォームで動作し、日本語を含む多くの言語が利用できる。；動物が使うことがない言語によって特徴づけるようになったのである。；それを受けてまずジェームズ・ゴスリンがC++の拡張言語を提出した。；これらの新機能は最初のバージョンのB言語には見られなかった。；また、最近ではこれらの言語の処理系でも性能が向上してきている。</t>
        </is>
      </c>
      <c r="J2640">
        <f>HYPERLINK("https://www.weblio.jp/content/言語", "词义详情")</f>
        <v/>
      </c>
      <c r="K2640">
        <f>HYPERLINK("https://yourei.jp/言語", "查看例句")</f>
        <v/>
      </c>
    </row>
    <row r="2641">
      <c r="A2641" t="inlineStr">
        <is>
          <t>健康</t>
        </is>
      </c>
      <c r="B2641" t="inlineStr">
        <is>
          <t>成功</t>
        </is>
      </c>
      <c r="C2641" t="inlineStr">
        <is>
          <t>読み方：けんこう
［名・形動］
１異状があるかないかという面からみた、からだの状態。「—がすぐれない」「—優良児」
２からだに悪いところがなく、丈夫なこと。また、そのさま。「—を保つ」「—な肉体」
３精神の働きやものの考え方が正常なこと。また、そのさま。健全。「—な考え方」「—な笑い」
[派生]けんこうさ［名］</t>
        </is>
      </c>
      <c r="D2641" t="inlineStr">
        <is>
          <t>健康上(4%)；健康的(4%)；健康そう(2%)；健康問題；健康体</t>
        </is>
      </c>
      <c r="E2641" t="inlineStr">
        <is>
          <t>いい；よい；良い；元気；具合</t>
        </is>
      </c>
      <c r="F2641" t="inlineStr">
        <is>
          <t>健康科学部；健康リスク；健康情報；御健康；健康関連</t>
        </is>
      </c>
      <c r="G2641" t="inlineStr">
        <is>
          <t>健康診断；健康食品；健康被害；健康保険；健康管理</t>
        </is>
      </c>
      <c r="H2641" t="n">
        <v>29</v>
      </c>
      <c r="I2641" t="inlineStr">
        <is>
          <t>他のリラクセーション法と同じくらいには健康に良いと考えられている。；また毎日三食饅頭だけで過ごし健康を害しかかったこともよく知られる。；これにより健康な場合に対しどれだけ聞こえが悪くなったかが示される。；娘夫婦から母子ともに健康で無事出産したことをメールで報告を受けた。；公衆衛生は、集団の健康の分析に基づく地域全体の健康への脅威を扱う。；コロラド州は健康のために運動をする人の比率が高いという評判がある。；現在は医療・健康・福祉・情報・教育を軸とする都市型大学になっている。；これらに対しても規制が行われ、現在も健康影響の評価が進められている。；特に健康な人を対象にした臨床研究では信頼性はかなり限定的である。；「健康な生物」がそれを生み出したから尿が健康だと言われるのである。；ただし健康に配慮してさまざまなビタミン類も配合している製品は多い。；人間以外の動物も、人間同様に、健康であれば耳垢は自然に排出される。；ジャックは自分と違って健康な赤ん坊へ憎悪をつのらせていたのである。；その治療にはヒ素が用いられたため、余計に健康を害することとなった。；若い年齢で肩部、臀部と下背の上にしばしば出現するが健康上に問題はない。；なお、イギリスでは救急搬送は国民健康サービスの業務となっている。；日本では、健康に悪影響を与える側面もあるという調査結果が出ている。；これらの飲料は大量に飲めば、それだけ健康になるというものではない。；水分補給や健康維持のために飲むだけでなく、文化としての茶道も確立。；王建の健康上の理由で、結婚生活は数日しか続かず、子供はいなかった。；さらに、医師が健康のための食事法について報告するようになった。；しかし同時期に夫・四十郎の健康が悪化したことが最終的な辞退に繋がった。；健康上の理由などからしばしば公の活動から退くことがあった。；葉にはポリフェノールが多く含まれているため、健康茶として利用される。；余りの変貌ぶりから健康不安が囁かれたが、この時はあくまで否定していた。；なお、糖分が析出した状態で使用しても、健康上の問題は発生しない。；高度に複雑化した現代社会の健康問題を解決する専門家・研究者の育成を目指している。；生物が生物である要件のひとつであるほか、健康を定義する重要な要素でもある。；健康麻将とも呼ばれ、脳のトレーニングや老化防止にも活用されている。</t>
        </is>
      </c>
      <c r="J2641">
        <f>HYPERLINK("https://www.weblio.jp/content/健康", "词义详情")</f>
        <v/>
      </c>
      <c r="K2641">
        <f>HYPERLINK("https://yourei.jp/健康", "查看例句")</f>
        <v/>
      </c>
    </row>
    <row r="2642">
      <c r="A2642" t="inlineStr">
        <is>
          <t>現行</t>
        </is>
      </c>
      <c r="B2642" t="inlineStr">
        <is>
          <t>成功</t>
        </is>
      </c>
      <c r="C2642" t="inlineStr">
        <is>
          <t>読み方：げんこう
現在行われていること。「—の制度」「内容は—どおりで変更はない」</t>
        </is>
      </c>
      <c r="D2642" t="inlineStr">
        <is>
          <t>現行行政地名(43%)；現行制度；現行モデル；現行行政町名；現行ダイヤ</t>
        </is>
      </c>
      <c r="F2642" t="inlineStr">
        <is>
          <t>現行製品；現行品；現行店舗；現行車種；現行車両</t>
        </is>
      </c>
      <c r="G2642" t="inlineStr">
        <is>
          <t>現行法；現行憲法；現行犯逮捕；現行犯人；現行法規</t>
        </is>
      </c>
      <c r="H2642" t="n">
        <v>29</v>
      </c>
      <c r="I2642" t="inlineStr">
        <is>
          <t>北段は現行の和平東路三段を経由する以外に下記のルートが検討された。；移転前の駅は現行の駅よりも南側の像がある広場付近に南北に建っていた。；現行の規定では、部屋の継承などについて複数の基準が設けられている。；ワンマン運転開始前は、現行のホームの反対側に駅舎とホームがあった。；現行の各種の全地球的測地系はどれもこれと同様の考え方を元にしている。；現行のは1984年5月16日制定され、その後数回の改正を経たもの。；都営地下鉄新宿線開業時の改正で現行通りの靖国通り経由に改められた。；このホームは現行の銀座線電車の床面より15センチ程高くなっている。；また障害もかつては3つあったが、1974年より現行の2つになった。；現行の編成では編成組成や機器の違いからそれぞれ呼称方法がある。；当初はレバー式が多かったが現行型はプッシュボタンが主流となっている。；なお、現在インドで製造販売されている現行モデルのの輸入販売は行っていない。；現行コースでは青梅線と沿う形で進んでいるが踏切は存在していない。；また、現行のロゴマークも河の水をイメージしてデザインされたものである。；なお、現行のナイスパスの裏面に店舗などで利用可能な旨の文言はない。；これは途中から現行の甲虫を思わせるデザインに変更されている。；なお、当初の設定時では後述の様に現行よりも年齢が異なるキャラが存在する。；現行の国際音声記号には存在しないが、以下の記号が使われることがある。；これは国家社会主義理論の強化のため現行党綱領を詳述化したものだった。；こうした試みは日本の現行の硬直化した出版流通システムでは難しいと言われている。；なお、漢字表の名称は現行と同じ「常用漢字表」とすることが確定した。；こうして現行路線の基礎となる3系統のネットワークができあがった。；現行のチーム名での優勝がないのも横浜DeNAベイスターズのみである。；なお、この段階では現行の9条に相当する条文は8条に置かれていた。；古くからの地名にゆかりがないこと、また、、現行維持が選択されている。；大正以降の現行の演出の多くはここまでで幕となり終了する。；これにより最大車両編成数が現行の55編成から58編成に増加する。；現行の計画は3年ごとに式典をクリーブランドで開催するよう求めている。；現行名へ変更されてから、短いサイクルでトップの交代が繰り返されている。</t>
        </is>
      </c>
      <c r="J2642">
        <f>HYPERLINK("https://www.weblio.jp/content/現行", "词义详情")</f>
        <v/>
      </c>
      <c r="K2642">
        <f>HYPERLINK("https://yourei.jp/現行", "查看例句")</f>
        <v/>
      </c>
    </row>
    <row r="2643">
      <c r="A2643" t="inlineStr">
        <is>
          <t>言行</t>
        </is>
      </c>
      <c r="B2643" t="inlineStr">
        <is>
          <t>成功</t>
        </is>
      </c>
      <c r="C2643" t="inlineStr">
        <is>
          <t>読み方：げんこう
言葉と行い。口で言うことと実際に行うこと。「—が一致しない」</t>
        </is>
      </c>
      <c r="D2643" t="inlineStr">
        <is>
          <t>言行不一致(5%)；言行一致(4%)</t>
        </is>
      </c>
      <c r="H2643" t="n">
        <v>29</v>
      </c>
      <c r="I2643" t="inlineStr">
        <is>
          <t>お前はいつでも心にもない言行に、美しい名を与える詐術を用いていた。；頭の鋭い兄さんの言行にも気のつかないところに矛盾があるかも知れません。；坊さんたちの言行から判断するに、どうもそう思われる節が多々あるわ。；あまりに純粋な言行を煙たがれ激戦地に送られた、という噂が戦後出た。；あなたは言行の一致した人ですから、その手をひっこめることはあり得ません。；言行一致の美名を得るためにはまず自己弁護に長じなければならぬ。；翁は善いと思つたことは直ぐに言行に移し表明するのを常としました。；単にお前が殊勝な言行さえしていれば、社会は無事に治まって泰平なのだ。；元來はその官職は天子の言行でも自由に批判する役に居る人が兼ねて居つたのである。；どの人物の言行にも、はっきりと片づいた動機づけをすることができない。；彼女の多くの言行もそれを裏書きしているようだ。；言行一致の美名を得る為にはまず自己弁護に長じなければならぬ。；外に現はれた言行でなく自己の心の動きだけでも、その前と後とでは自己の生活に変化がある。；外に現われた言行でなく自己の心の動きだけでも、その前と後とではその心理に変化がある。；私は学校を代表する言行のわるい生徒で、そうしたことがあってもなんの不思議もない。；聖人伝とは、キリスト教の聖人や殉教者の言行や生涯を記録した文書。；その言行は、浄土真宗の法味に富み、のちに聞書が多数出版されていった。；妙好人は、もっぱらその言行をもって周囲から尊称された人物とも言える。；ただし、その言行には異様なものが多く、風狂僧や神異僧の部類に属する。；彼はどう見ても大人物とは見えなかったが、特に大事な仕事に没頭している時の言行はひどいものであった。；礼とは、さまざまな行事のなかで規定されている動作や言行、服装や道具などの総称。；その言行が作中にいかに小説化して表現されているかは読者が容易にたどり得るであろう。；しかも男だけとは限らず、その言行は〝大奥〟にすら影響を与えた。；彼女の言行や歴史的実在性の証明はほぼ残されてない。；さらに、対立する伝承が複数ある場合は、イマームの言行を優先する。；先ほどの裕人様の言行を見ていれば分かるといいますか〜。；軽輩の中の無為な人々が、同僚の言行に対して、理解を持ち出してきた。；主な法嗣に無雲義天や寿峰義登がおり、大円禅師伝が言行を伝えている。；そして、私のいろいろな欠点や矛盾した言行も私が述べていることの真実性を冒すものではない。</t>
        </is>
      </c>
      <c r="J2643">
        <f>HYPERLINK("https://www.weblio.jp/content/言行", "词义详情")</f>
        <v/>
      </c>
      <c r="K2643">
        <f>HYPERLINK("https://yourei.jp/言行", "查看例句")</f>
        <v/>
      </c>
    </row>
    <row r="2644">
      <c r="A2644" t="inlineStr">
        <is>
          <t>原稿</t>
        </is>
      </c>
      <c r="B2644" t="inlineStr">
        <is>
          <t>成功</t>
        </is>
      </c>
      <c r="C2644" t="inlineStr">
        <is>
          <t>読み方：げんこう
１印刷・公表するもののもとになる文章・書画・写真など。特に、その目的で文章を書いたもの。「—を執筆する」「—の締め切り」「写真—」
２演説・講演などの草案。「—を棒読みする」</t>
        </is>
      </c>
      <c r="D2644" t="inlineStr">
        <is>
          <t>原稿紙(3%)；原稿依頼；原稿書き；原稿執筆；原稿料</t>
        </is>
      </c>
      <c r="E2644" t="inlineStr">
        <is>
          <t>コピー；ドラフト；底本；原案；稿</t>
        </is>
      </c>
      <c r="F2644" t="inlineStr">
        <is>
          <t>生原稿；直筆原稿；応募原稿；演説原稿；放送原稿</t>
        </is>
      </c>
      <c r="G2644" t="inlineStr">
        <is>
          <t>原稿料</t>
        </is>
      </c>
      <c r="H2644" t="n">
        <v>29</v>
      </c>
      <c r="I2644" t="inlineStr">
        <is>
          <t>数千枚の原稿を捨てながら作品の完成度を上げることに努力したという。；ヴォルフェンビュッテルの原稿は特に以下のような説明を提供している。；彼はまた、万年筆で慎重に原稿を書く習慣があることでも知られていた。；新しい文房具を買うことができないので、彼は古い原稿の裏に執筆した。；ハリスはこの挨拶の日本語の原稿をアルバムで保存していたとされている。；またフラットベッドタイプで自動原稿送り装置を装備したものもある。；内容の難しさのみならず、原稿が未完成であったことも編集を困難にした。；担当編集者によると、荻原の原稿はあとからの校正がほとんど入らない。；この原稿は誤字があまりにも多かったため、永井本人が驚く程であった。；これまでの連載作の中では珍しく、毎号原稿を掲載できていたようだ。；三つ目族の謎編の漫画原稿を撮影した映像に声と効果音をつけたもの。；横原稿は参照用に使用されるため、文字が詰まった状態で表示される。；訃報を伝えるような速度でニュース原稿を読み、抗議を表したという。；日本語版、ドイツ語版などはそれぞれロシア語原稿から直接翻訳された。；しかし以後、直哉は正月用の頼まれ原稿程度のものしか執筆しなくなる。；このとき、同時に原稿に対しての具体的な評価をつけることが求められる。；一度だけ出版社で働いたこともあり、原稿の断り状を送る作業をしていた。；後に「丸善に払う為に私は原稿を書き始めたのである」と回想している。；端末は原稿執筆のみならず、ニュース制作に必要な機能にアクセスできる。；同時に自分がこれまで書いた評論などの原稿や詩作を整理しはじめる。；に連載された原稿を元にして大幅な改稿や書下ろしが加えられたものである。；馬琴が手探りで記し、路が書き継いだ原稿が早稲田大学に現存している。；すると翌日には文字原稿の内容を一字一句記憶できているというもの。；家族には原稿を「こさえるかわりに書いたのだもや」と語ったという。；出版関係では原稿や写真フィルム等の輸送でも頻繁に利用される。；司法大臣から昭和天皇への奏上の原稿には次のように書かれていた。；この指定を行う場合には、必ず版下原稿に無効箇所を指定する必要がある。；次から次に原稿を持ち込むために一度に3本の作品が掲載されることもあった。；アロイシウス・リリウスの提出した原稿そのものは残されていない。</t>
        </is>
      </c>
      <c r="J2644">
        <f>HYPERLINK("https://www.weblio.jp/content/原稿", "词义详情")</f>
        <v/>
      </c>
      <c r="K2644">
        <f>HYPERLINK("https://yourei.jp/原稿", "查看例句")</f>
        <v/>
      </c>
    </row>
    <row r="2645">
      <c r="A2645" t="inlineStr">
        <is>
          <t>原告</t>
        </is>
      </c>
      <c r="B2645" t="inlineStr">
        <is>
          <t>成功</t>
        </is>
      </c>
      <c r="C2645" t="inlineStr">
        <is>
          <t>読み方：げんこく
民事訴訟・行政事件訴訟において、裁判所に訴えを提起したほうの当事者の第一審における呼び名。⇔被告。</t>
        </is>
      </c>
      <c r="D2645" t="inlineStr">
        <is>
          <t>原告側(17%)；原告敗訴；原告勝訴；原告被告；原告代理人</t>
        </is>
      </c>
      <c r="E2645" t="inlineStr">
        <is>
          <t>訴人；告訴人</t>
        </is>
      </c>
      <c r="F2645" t="inlineStr">
        <is>
          <t>訴訟原告；原告請求；原告x；私訴原告；原告有利</t>
        </is>
      </c>
      <c r="G2645" t="inlineStr">
        <is>
          <t>原告適格</t>
        </is>
      </c>
      <c r="H2645" t="n">
        <v>29</v>
      </c>
      <c r="I2645" t="inlineStr">
        <is>
          <t>人数は減らされたが、原告らはこれに同意、ようやく裁判が開始された。；訴訟費用は原告の負担とするとの判決を求める旨も記載するのが通常である。；国は水俣病発生の責任を認めず、原告と国との裁判はその後も続いた。；しかし、原告の少年が裁判に姿を見せなかったことで不起訴となった。；この件に関して複数の原告が個人または集団で賠償訴訟を起こしている。；同鑑定では、価格決定に原告側が主張するDCF法を採用したとされている。；原告側は人格権の侵害を理由に違憲と主張していたが判断はなされなかった。；原告は前述の補償を求めて、この事件をドイツの裁判所に持ち込んだ。；上告審の最高裁判所でも、控訴審の判決が支持され原告の敗訴が確定した。；原告は被告の行為が著作権及びであると主張しその仮差止を申し立てた。；原告によれば、契約では小説の登場人物はすべて匿名性を保つはずであった。；この裁判において、横浜市は原告・被告のいずれとしても関与していない。；そのため、抗弁の成立が認められ、原告の請求は認められないことになる。；原告患者が出頭できない場合には病院や公民館などで出張尋問を実施した。；これが決め手となって片岡博士は敗訴を認め、原告側の勝利となった。；しかし原告側にはCTSが立地する平安座島の住民は存在しなかった。；直訴はすべて原告が死罪と確定しているものと広く認識されているがこれは誤解である。；鈴木茂三郎が起こした警察予備隊違憲訴訟では原告代理人を務めている。；また審理に用いられる言語については、原告が選択することができる。；原告は20人の子供を代表した13名のトピカの両親たちであった。；一方で元上司は争う内容の答弁書を提出し、原告側に請求棄却を求めた。；東京地裁での判決をそのまま支持する形で原告の請求は棄却される形となった。；原告側はこれらの時間にも賃金が支払われるべきだとしている。；これによって原告の訴えの利益が消滅したので、本件は却下されている。；なお、一審では原告が勝訴したが、控訴審では原告の訴えが棄却された。；原告の慰安婦らは韓国政府は米軍のためのポン引きだったと批判している。；原告は1974年に同行が行った買いオペで不当な利益が生じていると主張。；主に鈴木清順が日活を提訴した民事裁判の原告支援を目的とした団体である。；兄である鄭大均は、原告である妹を批判した上で、日本への帰化を勧めている。</t>
        </is>
      </c>
      <c r="J2645">
        <f>HYPERLINK("https://www.weblio.jp/content/原告", "词义详情")</f>
        <v/>
      </c>
      <c r="K2645">
        <f>HYPERLINK("https://yourei.jp/原告", "查看例句")</f>
        <v/>
      </c>
    </row>
    <row r="2646">
      <c r="A2646" t="inlineStr">
        <is>
          <t>検査</t>
        </is>
      </c>
      <c r="B2646" t="inlineStr">
        <is>
          <t>成功</t>
        </is>
      </c>
      <c r="C2646" t="inlineStr">
        <is>
          <t>読み方：けんさ
［名］(スル)ある基準をもとに、異状の有無、適不適などを調べること。「所持品を—する」「適性—」</t>
        </is>
      </c>
      <c r="D2646" t="inlineStr">
        <is>
          <t>検査時；検査法；検査室；検査役；検査場</t>
        </is>
      </c>
      <c r="E2646" t="inlineStr">
        <is>
          <t>研究；みる；調査；調べ；試験</t>
        </is>
      </c>
      <c r="F2646" t="inlineStr">
        <is>
          <t>薬物検査；dna検査；mri検査；検査入院；車両検査</t>
        </is>
      </c>
      <c r="G2646" t="inlineStr">
        <is>
          <t>検査結果；検査方法；検査対象；検査機器；検査キット</t>
        </is>
      </c>
      <c r="H2646" t="n">
        <v>29</v>
      </c>
      <c r="I2646" t="inlineStr">
        <is>
          <t>病院のほか、無料にて日本の各自治体が検査を行っていることがある。；彼は診断結果を公表し、他の男性に前立腺検査を受けるように希望した。；許可を受けた後も毎年の銃砲検査と更新時に使用状況のチェックを受ける。；東京方の連結器は検査時の編成分割に対応した密着連結器を装備する。；予備の編成がないため、検査や故障の場合はE129系が代走していた。；これらの近代的な検査が存在しなかった場合は身体診察で経過観察を行っていた。；患者の負担は比較的軽い検査であり、病気のスクリーニングに用いられる。；一般的に組織検査は厳密な癌の型判定の基本であると理解されている。；あくまで、検査値で肝機能障害がわかりにくい場合に測定する項目である。；車両のすべての構成部分で完全な検査が、5日区分を2回取り実施される。；大学卒業後からの半年間は、慶應義塾大学病院の中央検査部に勤務していた。；最後に、集積回路が製品として正常に機能するかを確認する検査を行う。；投入される路線に到着した新しい車両は、入念な検査と試運転が行われる。；免許局の無線設備の変更をする際には原則として検査を受けねばならない。；電気生理学的検査の代表的なものであり、日常診療で広く利用されている。；ただし、1編成しか在籍していなかったため、検査日は0系が代走した。；そのため検査という言葉は調査に改められ、協定が締結されたという。；このため電波監理局の検査合格と同時に開局しなければならなかった。；また、同時に腎機能を検査しなければ、解釈することは全く不可能である。；しかしドイルはすでに40歳過ぎだったため、陸軍の兵役検査に落ちた。；集められたスクラップは使用前に成分検査や放射能探知検査が行われる。；当初は4月にも最終検査を受けて営業運転を再開する予定であった。；当改造は武蔵丘車両検修場にて実施され、多くは検査と同時に行われている。；また、言語仕様にない場合でも強い型検査を行うことができる。；しかしその間も、崋山の自宅から押収された文書類の検査は続けられていた。；法の趣旨は臨床検査のセンターではなく臨床検体の検査センターである。；またMIBGシンチグラフィーの検査に影響を与えることが知られている。；州の法律に規定された業務範囲以外の治療や検査が必要な場合は他の医療機関を紹介する。；大腸菌及び大腸菌群の検査には用途に応じて多くの培地が使用される。</t>
        </is>
      </c>
      <c r="J2646">
        <f>HYPERLINK("https://www.weblio.jp/content/検査", "词义详情")</f>
        <v/>
      </c>
      <c r="K2646">
        <f>HYPERLINK("https://yourei.jp/検査", "查看例句")</f>
        <v/>
      </c>
    </row>
    <row r="2647">
      <c r="A2647" t="inlineStr">
        <is>
          <t>健在</t>
        </is>
      </c>
      <c r="B2647" t="inlineStr">
        <is>
          <t>成功</t>
        </is>
      </c>
      <c r="C2647" t="inlineStr">
        <is>
          <t>読み方：けんざい
［名・形動］
１元気で無事に暮らしていること。また、そのさま。「祖母は—です」
２それまでと変わりなく、十分に能力を発揮していること。また、そのさま。「ベテランの—ぶりを示す」</t>
        </is>
      </c>
      <c r="D2647" t="inlineStr">
        <is>
          <t>健在である(18%)；健在であり(6%)；健在ぶりをアピール；健在ぶりを示し；健在ぶりを見せ</t>
        </is>
      </c>
      <c r="E2647" t="inlineStr">
        <is>
          <t>無事；現役；健全；息災；老健</t>
        </is>
      </c>
      <c r="F2647" t="inlineStr">
        <is>
          <t>ご健在；今なお健在；御健在；唯一健在；健在ぶりを見せつけ</t>
        </is>
      </c>
      <c r="H2647" t="n">
        <v>29</v>
      </c>
      <c r="I2647" t="inlineStr">
        <is>
          <t>グラミー賞を獲得しシナトラの人気が健在であることを世界中に示した。；しかし東横浜駅や横浜港駅は一部を損傷したのみで大半は健在であった。；スタートの早さは現在も健在で同ハン選手を置き去りにすることが多い。；ソビエト連邦が健在時には、多くの軍人が他の東側諸国で訓練を受けた。；この時代に立ち上げたサイトのいくつかは、今も形は違うが健在なものもある。；駅前の踏切脇には、当時からあったと思われる商店の建物も健在である。；原作では、叔父の他に彼の妻も耳が不自由ながら健在のようである。；現在、跡地にはヒンドゥー寺院が建てられるが、温泉は今も健在である。；変幻自在で予想の付かないプレーぶりは健在で すぐにレギュラーへ定着。；第二波攻撃隊は、別の米空母が健在である可能性も報告している。；現在も健在のゴシック建築の聖カテジナ教会はこの時期に建てられた。；現在はWNCのほか他団体にも出場中のいまだ健在の選手でもある。；そして室号である左辺亭をつけた建物が、霊洞院の境内に今も健在である。；一度の爆発で複数の敵を倒すと獲得スコアが上昇するシステムは本作でも健在。；レーキ角の大きさは健在であるが、フロント部分に大きな変化が見られる。；両親が共に健在なので、集会所の裏手の倉庫ではなく実家で生活している。；母親に関しては作中では殆ど触れられていないが、健在であるらしい。；引退後もトレーニングを続け、その腕っ節は年齢を重ねても健在だった。；後の調査で、彼はまだ健在であり、マルセイユに住んでいることが分かった。；なお、二徹の妻は全く登場しておらず、健在かどうかについても不明。；その当時の駅舎はまだ健在であり、レストランとして使用中である。；彼女に病毒をうつした夫の方は健在で、時々見舞いに来ているという。；人気の旧作が再び映画化されるなど人気の健在ぶりを示した。；継母が健在の折、冬の極寒の際に魚が食べたいと言い、王祥は河に行った。；僕は八洲さんが健在であつたならばと、芥川夫人のために惜んでゐる。；なお、前作にて評価の高かったBGMのオーケストラ演奏も健在である。；そこに新たなアクションを取り入れており、おなじみの高難易度は健在。；さらに、彫刻美術そのものは真臘が分裂状態にあった時代でも健在であった。；これは蒿里山廟がなお健在であったと言うことを示すものである。</t>
        </is>
      </c>
      <c r="J2647">
        <f>HYPERLINK("https://www.weblio.jp/content/健在", "词义详情")</f>
        <v/>
      </c>
      <c r="K2647">
        <f>HYPERLINK("https://yourei.jp/健在", "查看例句")</f>
        <v/>
      </c>
    </row>
    <row r="2648">
      <c r="A2648" t="inlineStr">
        <is>
          <t>現在</t>
        </is>
      </c>
      <c r="B2648" t="inlineStr">
        <is>
          <t>成功</t>
        </is>
      </c>
      <c r="C2648" t="inlineStr">
        <is>
          <t>読み方：げんざい
［名］(スル)
１過去と未来の間。過去から未来へと移り行く、今。また、近い過去や未来を含む、今。副詞的にも用いる。「数千年の時を経て—に至る」「—のところ見通しは立っていない」「—、出張中です」
２（時間を表す語の下に付き、接尾語的に用いて）変化する物事の状態をある時点で区切って示すときの、その時点。「八月末日—の応募者数」
３現に存在すること。目の前にあること。「—する最重要課題」
４（「現在の」の形で血縁関係などを表す語を修飾して）正真正銘の。まぎれもない。
「いはんや彼らは—の孫なり。しかも嫡孫なり」〈曽我・三〉
５（副詞的に用いて）明白な事実であるさま。また、近い将来そのことが実現するのが確実であるさま。
「そなたは—奥様になることぢゃ」〈浮・棠大門屋敷〉
６仏語。三世(さんぜ)の一。今、生をうけているこの世。現世。
７文法の時制の一。今の時点での動作・状態など表すときに用いる形。現在形。</t>
        </is>
      </c>
      <c r="D2648" t="inlineStr">
        <is>
          <t>現在主流；現在保有する；現在流通；現在フリー；現在休校中</t>
        </is>
      </c>
      <c r="E2648" t="inlineStr">
        <is>
          <t>今；時代；今日；現代；最近</t>
        </is>
      </c>
      <c r="F2648" t="inlineStr">
        <is>
          <t>自己同一的現在；現在群馬大学教育学部；現在ルーヴル美術館；現在大英博物館；現在東京国立博物館</t>
        </is>
      </c>
      <c r="G2648" t="inlineStr">
        <is>
          <t>現在位置；現在進行；現在世；現在形；現在日</t>
        </is>
      </c>
      <c r="H2648" t="n">
        <v>29</v>
      </c>
      <c r="I2648" t="inlineStr">
        <is>
          <t>現在は、初期の手法 をより高速化したアルゴリズムが使用されている。；グレゴリオ暦はその後数百年かけて各国で採用され、現在に至っている。；現在知られている大陸とは別に、別な観点に立った大陸と呼ぶ対象もある。；現在の旅は非常に多様であり、さまざまに分類することが可能である。；現在はオーストリアの都市であるが、当時は神聖ローマ帝国領であった。；以下の環境はかつて対応されていたが、現在では公式には対応されていない。；かつては地方振興局が設置されていたが統合・再編されて現在に至る。；現在よく知られているこれらの用語は、初期の実装に由来するものである。；また昔話を題材にした作品も黎明期から現在に至るまで作られている。；現在ではインターネットを利用した電子メディア上で表現されるものもある。；交流は現在でも続いており時々スポーツニュースでも放送されている。；現在も残るイエズス会布教所跡はこのときに建設されたものがほとんどである。；これが現在の日本将棋連盟の前身で、連盟はこの年を創立の年としている。；セントヘレンズ山は州内で現在も活動を続けている唯一の火山である。；水を主成分とする海は地球誕生後まもなく形成され、現在まで継続している。；現在の日本ルールでは、6目半を先手の黒が負担しなければならない。；メンバーには現在釜石市にある鉄の歴史館館長を務める佐々木諭がいた。；この時に配られた旗が現在の氷旗のデザインの元になっている。；現在ではインターネットに代表される電子メディア上で表現されるものもある。；ここでは現在市販されている二輪のオートバイとして一般的なものを示す。；当初は本名での作品発表であったが、後に現在のペンネームに改名。；画像は現在の盧溝橋で、章宗時代に完成したものが基礎となっている。；学年誌での設定に基づくが、すべてが現在も活かされているとは限らない。；現在はもはや非公式な通称であるが、改名前の略称はMSKKであった。；現在の秋田県を含む東北地方北部はこの時点で、朝廷に属していなかった。；過去に演奏されたスタイルと、現在も演奏されているスタイルの双方を掲載している。；これが、現在のフランスのカードのデザインに継承されている。；インテルが現在使用している名称はIntel486プロセッサである。；現在でもフリマアプリやネットオークションなどで盛んに取引されている。</t>
        </is>
      </c>
      <c r="J2648">
        <f>HYPERLINK("https://www.weblio.jp/content/現在", "词义详情")</f>
        <v/>
      </c>
      <c r="K2648">
        <f>HYPERLINK("https://yourei.jp/現在", "查看例句")</f>
        <v/>
      </c>
    </row>
    <row r="2649">
      <c r="A2649" t="inlineStr">
        <is>
          <t>原作</t>
        </is>
      </c>
      <c r="B2649" t="inlineStr">
        <is>
          <t>成功</t>
        </is>
      </c>
      <c r="C2649" t="inlineStr">
        <is>
          <t>読み方：げんさく
翻訳・改作・脚色などをする前の、もとの作品。「—に忠実に映画化する」</t>
        </is>
      </c>
      <c r="D2649" t="inlineStr">
        <is>
          <t>原作通り；原作ゲーム；原作同様；原作第；原作版</t>
        </is>
      </c>
      <c r="E2649" t="inlineStr">
        <is>
          <t>本；脚本；シナリオ；台本；スクリプト</t>
        </is>
      </c>
      <c r="F2649" t="inlineStr">
        <is>
          <t>原作どおり；原作初期；原作料；原作コミックス；原作準拠</t>
        </is>
      </c>
      <c r="G2649" t="inlineStr">
        <is>
          <t>原作小説；原作漫画；原作コミック；原作ファン；原作品</t>
        </is>
      </c>
      <c r="H2649" t="n">
        <v>29</v>
      </c>
      <c r="I2649" t="inlineStr">
        <is>
          <t>アニメは原作と違いストーリーが大幅に変更されたものになっている。；小説などの原作を持たないテレビ番組オリジナルのキャラクターである。；原作の登場人物の大半は登場せず、レギュラーとなるマシンは5台のみ。；ほかに原作版と同様の機体や、上記との中間的な機体も登場している。；それぞれが原作を元にしたほぼ独立したストーリーで設定もそれぞれ異なる。；翻案作品の方が有名なケースでも、原作を記事の主体として執筆します。；各種設定が原作および以前の作品と異なるように変更されている。；宮部が原作のある作品を発表するのは、このノベライズ作品が初である。；原作に超サイヤ人がまだ登場していなかった為、その様な描写になった。；従来の原作の枠を越えて実現したいわゆる「夢の対戦」は以下の通り。；また、机も以前のスチールの机から原作と同じ木机に変更されている。；小説では原作ゲームとは異なる、独自の展開・設定がなされている。；ただしアニメ版の公式ガイドブックにはちゃんと原作通りに書いてある。；リメイク作品が原作ということもあり、初めて新主人公が登場しない章。；また、ラストシーンは原作から変わることが開始前より明言されている。；映画や原作と同様に、この曲もシリーズのこれまでの作品より暗くできている。；なお、原作での主人公はチーフであり、物語はその視点で描かれている。；原作登場のアイテムとアニメオリジナルのアイテムが存在した。；原作とは設定や話の展開が異なる部分が多く、特に第二章は大きく異なっている。；松本清張原作の映画の中でも、特に傑作として高く評価されてきた作品。；原作であるPCゲームに沿いつつもオリジナル要素を加えた脚本になっている。；原作単行本第6 -10巻から選ばれたエピソードをアニメ化したもの。；なお、本作では隠れている目が原作アニメとは逆になっている。；原作が完結したあかつきには、そこまでアニメ化されたらうれしいです。；原作・OVAアニメ・ゲームソフトのすべてに当駅が何度も登場する。；原作と映画にあった、ラストシーンの泉と佐久間の関係も変更されている。；また、原作・アニメ版には登場しないオリジナルの魔法や技が複数登場する。；以下に解説されている他メディアの全シリーズに対する原作作品。；およびそれを原作・題材としたテレビアニメ・ゲームなどを指す。</t>
        </is>
      </c>
      <c r="J2649">
        <f>HYPERLINK("https://www.weblio.jp/content/原作", "词义详情")</f>
        <v/>
      </c>
      <c r="K2649">
        <f>HYPERLINK("https://yourei.jp/原作", "查看例句")</f>
        <v/>
      </c>
    </row>
    <row r="2650">
      <c r="A2650" t="inlineStr">
        <is>
          <t>検察</t>
        </is>
      </c>
      <c r="B2650" t="inlineStr">
        <is>
          <t>成功</t>
        </is>
      </c>
      <c r="C2650" t="inlineStr">
        <is>
          <t>読み方：けんさつ
［名］(スル)
１取り調べて事情を明らかにすること。
「吉野以下をして急に之(これ)を—せしむ」〈独歩・愛弟通信〉
２犯罪を捜査し、犯人および証拠を発見して公訴を提起すること。また、そうした業務を担う検察官や検察庁の総称としても用いられる。</t>
        </is>
      </c>
      <c r="D2650" t="inlineStr">
        <is>
          <t>検察局(6%)；検察側(3%)；検察使(2%)；検察長官；検察陣</t>
        </is>
      </c>
      <c r="E2650" t="inlineStr">
        <is>
          <t>調査；調べ；検討；捜査；捜索</t>
        </is>
      </c>
      <c r="F2650" t="inlineStr">
        <is>
          <t>連邦検察；国際検察；検察総長；検察内部；州検察</t>
        </is>
      </c>
      <c r="G2650" t="inlineStr">
        <is>
          <t>検察側；検察庁；検察審査会；検察当局；検察事務官</t>
        </is>
      </c>
      <c r="H2650" t="n">
        <v>29</v>
      </c>
      <c r="I2650" t="inlineStr">
        <is>
          <t>革命検察部長在職時に残った予算を政府に返上したことで話題となった。；少年の無実の根拠、検察が主張する証拠の不証明は下記のとおりである。；検察は下記の点からシンプソンがニコールを殺害した犯人だと主張した。；検察によれば、問題となった行為の経緯は次のようであるとされる。；この事件はイタリア国内で大きく取り上げられ、ローマの検察なども動いた。；現在、ブルガリア検察は事件についての調査を行っているところである。；検察は、彼女が自宅で窒息死または絞殺されたという見解を示している。；近年では、検察の経済界との関係が冤罪事件の原因だと主張する者もいる。；必要とあらば検察が提示した文書の自分のサインを否認しさえした。；同年12月から放送のドラマ バットガイズー悪の都市ーに検察役で主演。；検察にはジャンイルの父も呼ばれるが結局ソヌの父の件は時効になる。；検察は判決を覆すのは困難と判断して上告を断念、Dに無罪が確定した。；遺族からの要請を受け、ロシア検察は2018年に事件の再調査を開始。；警察と検察が深い協力関係にあった当時としては異例の対応であった。；このことが、警察や検察に無理な捜査を強いているのではないかという意見がある。；これにより検察は再捜査を行った上で起訴の可否を再び判断することとなる。；以下は検察に逮捕された者からなされた指摘である。；アンドレは、信奉者の映画を制作した疑いが連邦検察局にかけられている。；検察は李に勝負操作を依頼したブローカー2人を拘束して陳述を確保した。；然し、幸か不幸か検察に関することは何等の経験も知識もございません。；そして告発を受けた検察によってこの疑惑が捜査されることになった。；陪審員の選考は速やかに進み、弁護団は検察の選択に挑戦はしなかった。；さらには検察の2人の専門家の医療の証人らは異なる証言をした。；イの逃亡を助けた彼の知人は、犯人隠匿の容疑で検察に書類送検された。；この事件が起訴されるまでの全過程を通じて、検察団はどのように行為したか。；このため検察でも慎重を期して検討が行われ、10月4日に結論が発表された。；検察によると、彼はまだ権力がなかった頃に地方の財産を企業に横流ししたとされている。；これに対し本間をはじめとした愛大教職員・学生が検察・警察へ猛抗議。；Dは最初から一貫して無罪を主張をしていたが検察は死刑を求刑した。</t>
        </is>
      </c>
      <c r="J2650">
        <f>HYPERLINK("https://www.weblio.jp/content/検察", "词义详情")</f>
        <v/>
      </c>
      <c r="K2650">
        <f>HYPERLINK("https://yourei.jp/検察", "查看例句")</f>
        <v/>
      </c>
    </row>
    <row r="2651">
      <c r="A2651" t="inlineStr">
        <is>
          <t>減産</t>
        </is>
      </c>
      <c r="B2651" t="inlineStr">
        <is>
          <t>成功</t>
        </is>
      </c>
      <c r="C2651" t="inlineStr">
        <is>
          <t>読み方：げんさん
［名］(スル)生産量が減ること。また、生産量を減らすこと。「米を—する」⇔増産。</t>
        </is>
      </c>
      <c r="H2651" t="n">
        <v>29</v>
      </c>
      <c r="I2651" t="inlineStr">
        <is>
          <t>水を大量に使用する工場では減産を余儀なくされるところもあった。；銅鉱はボルの経済の基本となるもので、減産の影響は町全体で見られた。；共産主義体制の頃、ワイン生産は減産されたが、1990年から復活した。；この汚染で中国全土で毎年1000万トン以上の穀物が減産になっている。；厳しい減産に踏み切ったにもかかわらず、在庫は一向に減る気配がない。；これは1930年代の世界大恐慌期に超低金利と大幅減産が続いた事実に基づいていた。；脱退理由は明らかにされていないが、原油の減産要求や拠出金の多さに不満を感じたものとされている。；日本列島の貴金属は江戸時代に減産しており、植民地からの産出が重要となった。；住民に権利がある場合は企業に課税して住民に補償を与えることになるので費用負担者は企業であり、企業に権利がある場合は住民側から企業の減産に補償を与えることになるので費用負担者は住民である。；年末には需要復調の兆しが見えたため、減産措置を続けるも縮小で合意した。；第一次世界大戦で大手石炭採掘企業の施設が破壊されて減産し、第二次世界大戦前にはイギリスなどから輸入していた。；しかしその後の出荷数は伸び悩んでおり、表立って公表はされていないものの当初予定よりも大幅に減産しているのは確実と見られている。；エチレンはじめ石油化学製品の減産は二〇パーセント近いものになりそうである。；この事故の影響でパロマは、2006年7月時点で国内生産を3割減産した。；そのあおりを受けて、今度は鈴鹿工場が大幅減産に追い込まれた。；塩田はここ十数年拡張を続けているが、古いものは次々と改修しなければ効率が落ち、減産を招く。；大幅な減産など本格的な敗戦処理は、五十九年度決算から始まった。；植物は空気中のオゾン量の変化に敏感に反応することが知られており、小麦や大豆のような重要な穀物の減産は空気中のオゾン量の増加の結果であるのかもしれない。；しかし、その後4月6日にボーイングは同型機の生産を2割減産させると発表した。；アメリカの戦略家の多くは戦争によってアメリカの石油の供給が危険なほどに減産することを懸念しており、彼らは最大の石油供給国であるサウジアラビアの王室と良い関係を築こうとしてきた。；この線は紙製品や工場燃料の石油、化学薬品などの輸送に使用されていたが、工場の減産に伴い1994年4月ごろに廃止された。；ヤマハは過剰在庫を抱えていたにもかかわらず、減産しなかったことから、生産の逆転という形になって現れた。；赤穂の藩には、特産の塩が多少減産しようと、さしてめげないだけのゆとりがあった。；減産の理由は、農家戸数からみればよく分るので、第一次計画の開始された昭和二十七年には、北海道の農家は二十三万七千戸あった。；藤沢は生産調整の直前になって初めて、三菱銀行に減産に伴う緊急融資を依頼した。；メサビ鉄山も減産に転じ、ダルース港の地位は低下した。；大々的な宣伝が出来なかったこともあり、目標とした月販二千台には遠く及ばず、秋口には早々と大幅な減産に追い込まれた。；これにも関わらず、農家たちは収益性の高いタバコ生産の減産に伴う経済的な損失を少しでも減らすよう政府に求めている。；こうした減産傾向は、2006年には生産者が12軒で平均年齢は55歳と高齢化や減少が進んでいることによるものとされている。</t>
        </is>
      </c>
      <c r="J2651">
        <f>HYPERLINK("https://www.weblio.jp/content/減産", "词义详情")</f>
        <v/>
      </c>
      <c r="K2651">
        <f>HYPERLINK("https://yourei.jp/減産", "查看例句")</f>
        <v/>
      </c>
    </row>
    <row r="2652">
      <c r="A2652" t="inlineStr">
        <is>
          <t>原産</t>
        </is>
      </c>
      <c r="B2652" t="inlineStr">
        <is>
          <t>成功</t>
        </is>
      </c>
      <c r="C2652" t="inlineStr">
        <is>
          <t>読み方：げんさん
最初に産出したこと。また、したもの。「ヒマラヤ—の品種」</t>
        </is>
      </c>
      <c r="D2652" t="inlineStr">
        <is>
          <t>原産のセントハウンド犬種(2%)；原産種；原産の牧羊犬種；原産のポインター犬種；原産のテリア犬種</t>
        </is>
      </c>
      <c r="F2652" t="inlineStr">
        <is>
          <t>ヨーロッパ原産；北アメリカ原産；フランス原産；北米原産；アフリカ原産</t>
        </is>
      </c>
      <c r="G2652" t="inlineStr">
        <is>
          <t>原産国；原産地名称；原産地呼称制度；原産地呼称統制；原産地表示</t>
        </is>
      </c>
      <c r="H2652" t="n">
        <v>29</v>
      </c>
      <c r="I2652" t="inlineStr">
        <is>
          <t>またその国の原産であったりその国に広く見られるものとも限らない。；野生生物公園はイギリス原産の動植物を生きたまま収容した展示である。；アビシニアの名を冠してはいるが、現在ではエジプト原産との説が有力。；コショウはインド原産であるが、世界中の熱帯域で広く栽培されている。；ロシアでは非常に人気のある犬だが、原産国外では極めて珍しい存在である。；中国南部原産だが、日本を含むアジア各地へ分布を広げている外来種である。；中国の原産で、日本へ渡来したのは17世紀初めの江戸時代ごろとされる。；原産は、東アフリカと考えられているが、現在では世界中に分布している。；高級織物のカシミアは、この地域原産のの毛から作られたことに由来する。；日本列島を中心に分布していることから、日本が原産であると推定されている。；身近な花木のほとんどは、日本や中国などの東アジア原産の植物である。；南アメリカ原産であるが、現在の日本ではごく広く普通に見られる雑草。；ヨーロッパ原産で日本には明治時代に観賞用に導入された帰化植物である。；マレー諸島原産と思われているが、正確な中心的起源地は不明である。；原産はインドと言われるが、世界的に広がって、農業上の大害虫であった。；シャガは中国原産で、かなり古くに日本に入ってきた帰化植物である。；日本には四種ほどの原産種があるほか、いくつかの帰化種がある。；かつては、中国南部・台湾原産とされていたが、自生種の存在も確認されている。；毛製のショール類はインドやパキスタン方面原産であることが多い。；中国東南部原産であるが、日本などでも庭や神社に植栽されている。；外国原産のインコなどで、日本国内で生まれた個体を地子、地仔という。；観賞用に栽培されているものの多くはヨーロッパ原産のドイツスズランである。；これらの植物の多くはヨーロッパ原産のものではない。；その名前が示すように本来はヨーロッパ原産とされるが、人間や物の移動に伴って世界中に広がった。；現在本種はスペインの国犬として指定され、原産国内では人気のある犬種である。；FCIにも公認犬種として登録され、原産国外でも飼育が行われている。；本種の形態的特徴は大陸原産のオオタナゴにきわめて類似している。；日本でもやや人気のある同国原産のバセンジーとは親せき関係にある。；日本ではインド原産のゴマよりも古くから利用されている。</t>
        </is>
      </c>
      <c r="J2652">
        <f>HYPERLINK("https://www.weblio.jp/content/原産", "词义详情")</f>
        <v/>
      </c>
      <c r="K2652">
        <f>HYPERLINK("https://yourei.jp/原産", "查看例句")</f>
        <v/>
      </c>
    </row>
    <row r="2653">
      <c r="A2653" t="inlineStr">
        <is>
          <t>検事</t>
        </is>
      </c>
      <c r="B2653" t="inlineStr">
        <is>
          <t>成功</t>
        </is>
      </c>
      <c r="C2653" t="inlineStr">
        <is>
          <t>読み方：けんじ
１検察官の職階の一。検事長の下、副検事の上に位する。
２検察官の旧称。</t>
        </is>
      </c>
      <c r="D2653" t="inlineStr">
        <is>
          <t>検事さん(3%)；検事補(2%)；検事側；検事たち；検事代理</t>
        </is>
      </c>
      <c r="E2653" t="inlineStr">
        <is>
          <t>検察官；検察；副検事</t>
        </is>
      </c>
      <c r="F2653" t="inlineStr">
        <is>
          <t>担当検事；主任検事；ブルーノ検事；連邦検事；地区検事</t>
        </is>
      </c>
      <c r="G2653" t="inlineStr">
        <is>
          <t>検事局；検事正；検事長；検事調書；検事の本懐</t>
        </is>
      </c>
      <c r="H2653" t="n">
        <v>29</v>
      </c>
      <c r="I2653" t="inlineStr">
        <is>
          <t>さらに衝撃的なことに地方検事が証拠のトウモロコシの穂軸を提出する。；このことが少年法が検事先議制を採用した背景にあるという見解もある。；列車運転業務妨害事件や検事・市長宅への投石事件などを起こしていた。；少年は検事スネドンの質問にさえまともに答えようとしない事もあった。；トレイシーは1873年まで地方検事を務めた後、弁護士業を開業した。；戦争前の東京区裁判所検事時代に担当したゾルゲ事件で評価を高めた。；裁判官出身弁護士と検事出身弁護士にはいくつかの違いがみられる。；しかし、現実の検事が事件ひとつひとつを警察のようには捜査しない。；検事も陪審員も、母親の死直後の彼の行動を不謹慎と感じたのだろう。；ホルヘに協力していた地方検事のデンバーはデータを隠したために殺される。；それらの人と会うことができたのは、検事冥利につきると思っている。；作品は今後も検事時代・弁護士時代、長編・短編こだわらずに続く予定。；田中はキーナン検事と会談を重ね、日本陸軍の組織関係などを説明した。；ニューヨーク市の5つの郡はそれぞれ地区検事を四年の任期で選出する。；戦後の極東国際軍事裁判で検事側にたって軍部の紙芝居統制を証言した。；とダラス警察は地方検事補テリ・ムーア にこうした捜査結果を示した。；彼は1846年から1849年までフランクリン郡の地方検事であった。；現在のチャールズ・ヘインズは1989年より地方検事の職についている。；だが検事の抵抗で、釈放まではさらに1年近い月日がかかることとなった。；日本のマスメディアでは、ジャクソンに続きスネドン検事も批判された。；検事になったのは起訴猶予になった容疑者が立ち直った例をみたのがきっかけ。；その後は再び日本を出国、検事として国際警察と共同で捜査活動を行っている。；担当検事に話を聞きに行くが、まったく相手にされない。；検事を定年退官した後で最高裁判事に任命されたのは横井が初めて。；検事は捜査権を持ってはいるが義務付けられてはいない。；スネドン検事は裁判中にオーストラリアに行っていたが、本人は調査のためと語った。；検事に何か言いたいことはないかと聞かれた船長は「私は我慢しています」と繰り返す。；一時期までは「女性なのに刑事や検事だ」と特別な位置づけが必要であった。；この間のイエイツは、1996年のなどに関与したの裁判で検事を務めている。</t>
        </is>
      </c>
      <c r="J2653">
        <f>HYPERLINK("https://www.weblio.jp/content/検事", "词义详情")</f>
        <v/>
      </c>
      <c r="K2653">
        <f>HYPERLINK("https://yourei.jp/検事", "查看例句")</f>
        <v/>
      </c>
    </row>
    <row r="2654">
      <c r="A2654" t="inlineStr">
        <is>
          <t>原始</t>
        </is>
      </c>
      <c r="B2654" t="inlineStr">
        <is>
          <t>成功</t>
        </is>
      </c>
      <c r="C2654" t="inlineStr">
        <is>
          <t>読み方：げんし
１物事のはじめ。おこり。元始。「—の地球」
２初期の段階であること。組織・構造などが単純で、未分化・未発達なこと。「—キリスト教」
３自然のままで、人為の加えられていないこと。「—の森林」</t>
        </is>
      </c>
      <c r="D2654" t="inlineStr">
        <is>
          <t>原始的な特徴(2%)；原始教団；原始生活；原始的な形態；原始性</t>
        </is>
      </c>
      <c r="E2654" t="inlineStr">
        <is>
          <t>由来；源；始まり；起源；起こり</t>
        </is>
      </c>
      <c r="F2654" t="inlineStr">
        <is>
          <t>原始主義；原始仏典；原始美術；原始人類；原始教会</t>
        </is>
      </c>
      <c r="G2654" t="inlineStr">
        <is>
          <t>原始人；原始林；原始時代；原始惑星系円盤；原始星</t>
        </is>
      </c>
      <c r="H2654" t="n">
        <v>29</v>
      </c>
      <c r="I2654" t="inlineStr">
        <is>
          <t>原始的なウシ亜科の特徴とされる幅が広いまま上唇に達する鼻鏡を持つ。；杯竜類の名は、彼らが共有する原始的な両凹型の椎骨の形状に由来する。；玩具の中でも最も原始的なものであり、古くから連綿と伝えられてきた。；この方式のATSも、原始的なものではあるが車内信号の一種と言える。；シカよりも原始的と考えられたが、実際にはそのような系統位置にはない。；そのような観点から、子嚢菌類中では原始的な群であると考えられていた。；ディンゴに近い原始的な犬種であるが、生い立ちはよく分かっていない。；古代より原始信仰の対象であったとされているが、その始まりは諸説ある。；エウロパではある種が進化し、原始的な社会を構成するまでに至っている。；このような特徴は、被子植物における原始的な特徴とされることが多い。；例えば原始的な国家もあれば、近未来的な技術を保有する国家も存在する。；もう一つはある語を、それより原始的な要素によって分析する方法である。；そのため、最も原始的な霊長目のメンバーと考えられたこともあった。；原始的な特徴をもつ化石動物の一群で、絶滅した無顎類などが含まれる。；リュカ数列の値は少数の例外を除いて原始約数を持つことが知られている。；このことから、最も原始的な種類のペンギンであると考えられている。；この類は昆虫の中でも原始的なグループで、3億年前から存在している。；発見された羽毛は比較的原始的な物で現生の動物ではキーウィのものに近い。；他にも最も原始的な特徴を備えた恐竜の一つ、エオラプトルが産出した。；原始生活展示館は、出土した土器や竪穴建物の解説などが施されている。；原始的な生命も持っており、進化的に古い防御方法であると考えられている。；かつてのカルノサウルス類の大部分はより原始的な獣脚類に再分類された。；大陸軍の医療の状態は、当時のあらゆる軍隊と同じく原始的なものであった。；後述するように、形態的にはハゼ亜目のなかで原始的とみられる特徴を持つ。；発掘された建物や壁は当時の生活様式が原始的なままだったことを示している。；約半世紀の間一般の利用が制限されたため、照葉樹林の原始風景が広がる。；イクチオステガと同時代に生きていたが、より原始的な特徴を持っていた。；上記の は無数に存在するので、原始ピタゴラス数は無数に存在する。；食虫目には、原始的な性質を共有する雑多なグループが含まれていた。</t>
        </is>
      </c>
      <c r="J2654">
        <f>HYPERLINK("https://www.weblio.jp/content/原始", "词义详情")</f>
        <v/>
      </c>
      <c r="K2654">
        <f>HYPERLINK("https://yourei.jp/原始", "查看例句")</f>
        <v/>
      </c>
    </row>
    <row r="2655">
      <c r="A2655" t="inlineStr">
        <is>
          <t>見識</t>
        </is>
      </c>
      <c r="B2655" t="inlineStr">
        <is>
          <t>成功</t>
        </is>
      </c>
      <c r="C2655" t="inlineStr">
        <is>
          <t>読み方：けんしき
１物事を深く見通し、本質をとらえる、すぐれた判断力。ある物事に対する確かな考えや意見。識見。「—を備えた人物」
２気位(きぐらい)。みえ。「彼女はいやに—が高い」</t>
        </is>
      </c>
      <c r="D2655" t="inlineStr">
        <is>
          <t>見識らない；見識らぬ男；見識りの</t>
        </is>
      </c>
      <c r="E2655" t="inlineStr">
        <is>
          <t>理解；品；判断；意見；読</t>
        </is>
      </c>
      <c r="F2655" t="inlineStr">
        <is>
          <t>深い見識；顔見識；広い見識；立派な見識；御見識</t>
        </is>
      </c>
      <c r="H2655" t="n">
        <v>29</v>
      </c>
      <c r="I2655" t="inlineStr">
        <is>
          <t>地元の人はあんな土地を買って何をするのかと堤の見識を疑ったようだ。；自分たちの小さな見識を寄せ集めて判断したルールの中だけで生きているの。；ゲアリドは増加する費用と、訓練されていない判事の見識を問題にした。；見識がせまいくせに小気のきいた者がその位置につくと、一層そうなる。；そのうち二人は別に組をくんで、彼をも他の三人をも見識らぬふりをしていた。；その見識が生きるか死ぬかはこれから先にかかっているのですよ。；この見識か虚栄かのために、名古屋城下に住むことがいやになりました。；しかし良いソファーを買うにはそれなりの見識と経験と哲学が必要なのだ。；見識も普通の人間より持っているとばかり今日まで考えていた。；女座の方は、けんしきの高いこの屋敷の御老女様を中心に、数多の女中。；理宗にその見識を認められ、著作郎となり、後に各地の知事を歴任する。；立派な見識だが、五味さんは棋士を買い被っている気がしないでもない。；ナースステーションでは、見識らぬ若い看護婦が一人、本を読んでいた。；マムルークたちの美に対する見識はあらゆる側面で発現されて作用する。；何となれば若い男女はまだ配偶たる人物を鑑別するだけの見識がありません。；文章が得意であったが実務に当る見識や才能も具えていたようである。；それより先年先生のご見識もただならぬものがありとお見受けいたした。；郷里では良く他者の面倒を見たので、見識のある人士は皆彼を重んじた。；気軽い会話の中でもその見識には驚かされることもしばしばであった。；また今日一日ほど自分で見識を下げたと思つたことはない。；その事による見識が画期的な小型カメラの開発に生かされることになった。；親戚縁者らしい十人ほどが集まっていたが牧子の顔見識りはなかった。；彼は非常に幅広い音楽文化の見識を持ち 数多くの音楽学の研究 に参加した。；日本には日本の精神病学がなければならぬという見識に基づいていたのである。；勇気という点では林より上かも知れんが、見識気節の点では林に及ばない。；父は意外な女の見識に、話の腰を折られて、やむをえず席を立とうとした。；パリーを出てから、旅行について私は一つの見識を持つようになった。；将来の見透しについても、自分ほどの見識を持っている者はおるまい。；一方で、自動車の社会的側面にも独自の見識を披露していた。</t>
        </is>
      </c>
      <c r="J2655">
        <f>HYPERLINK("https://www.weblio.jp/content/見識", "词义详情")</f>
        <v/>
      </c>
      <c r="K2655">
        <f>HYPERLINK("https://yourei.jp/見識", "查看例句")</f>
        <v/>
      </c>
    </row>
    <row r="2656">
      <c r="A2656" t="inlineStr">
        <is>
          <t>堅実</t>
        </is>
      </c>
      <c r="B2656" t="inlineStr">
        <is>
          <t>成功</t>
        </is>
      </c>
      <c r="C2656" t="inlineStr">
        <is>
          <t>読み方：けんじつ
［名・形動］手堅く確実なこと。確かであぶなげのないこと。また、そのさま。「—な手段」「—に生活する」
[派生]けんじつさ［名］</t>
        </is>
      </c>
      <c r="D2656" t="inlineStr">
        <is>
          <t>堅実な守備(5%)；堅実な走り(3%)；堅実な経営(2%)；堅実な設計；堅実経営</t>
        </is>
      </c>
      <c r="E2656" t="inlineStr">
        <is>
          <t>安全；安心；正しい；正直；直</t>
        </is>
      </c>
      <c r="F2656" t="inlineStr">
        <is>
          <t>堅実な試合；堅実な打撃；堅実な人生；中正堅実；堅実な選手</t>
        </is>
      </c>
      <c r="H2656" t="n">
        <v>29</v>
      </c>
      <c r="I2656" t="inlineStr">
        <is>
          <t>どうも古典の方が充実しており堅実でもあるように思われるからである。；翌年以降の打撃に影響が出たが、堅実な守備や走塁でチームに貢献した。；翻訳雑誌にしたのだって、その方が堅実な商売ができると計算したからだ。；このため足は遅いが確実に連絡しており、中央への堅実な進出手段となる。；彼女は服装に度外れな大金を投ずるようなことはしない堅実な婦人です。；ここまで14戦して掲示板を外したのは1戦と堅実な走りを見せていた。；彼の手は、繊細さを残しながら貧弱ではなく、堅実そうな印象を与える。；常に上ばかりを見ていた割に、その堅実な商売に満足している部分があった。；堅実が一番を、業界の常識としたプラットフォーム企業を目指している。；賞讃が私の心を堅実にしてくれたと云ったら、人は笑うでしょうか。；だが彼女とならば、堅実で落ち着いた生活を手に入れられるような気がした。；また、堅実な設計から現在もこれをフラグシップとする航空会社も多い。；研究熱心で曲の解釈に優れ、堅実で正確な地歌の演奏家として知られる。；地味だが堅実な育児の本を出版している会社名が、彼の名の右上にあった。；地味で堅実なスタートであったが、チームは予算不足に苦戦していた。；他のチームと比べて際立った特徴は無いが、堅実なプレーを持ち味とする。；自分たちの成果に揺らぎがない者に特有の、最も堅実な自信の現れだった。；その後はおもにダート競走の自己条件に出走し、堅実な走りを見せていた。；そしてその動き方の方がはるかに堅実で自然であろうから。；一つは国、一つは社会、社会が堅実に発達しなければ国も治まらない。；そしてその顔にはちょっと見よりも堅実な思慮分別の色が明かに読まれた。；ゴシック系フォントを用い、未来にまっすぐ進む堅実なイメージを表現。；依頼されたものを堅実に、リアリズム手法でガッチリ撮ってきてくれる。；瓜谷長造が成功した要因はいくつか考えられるが、その第一は堅実さである。；それにしても救急業務は予想以上に堅実に運営されているようだ。；その客観描写が堅実であるというのはその人が堅実であるからである。；最も堅実な、とは、最も人間らしい・最も我々らしい・という意味である。；派手さはないが堅実なプレーでゴール下を支配し、リバウンドを獲得する。；彼の死から彼の評価は堅実にあがり、彼の市場はめざましく広がった。</t>
        </is>
      </c>
      <c r="J2656">
        <f>HYPERLINK("https://www.weblio.jp/content/堅実", "词义详情")</f>
        <v/>
      </c>
      <c r="K2656">
        <f>HYPERLINK("https://yourei.jp/堅実", "查看例句")</f>
        <v/>
      </c>
    </row>
    <row r="2657">
      <c r="A2657" t="inlineStr">
        <is>
          <t>現実</t>
        </is>
      </c>
      <c r="B2657" t="inlineStr">
        <is>
          <t>成功</t>
        </is>
      </c>
      <c r="C2657" t="inlineStr">
        <is>
          <t>読み方：げんじつ
いま目の前に事実として現れている事柄や状態。「夢と—」「—を直視する」「—に起きてしまった事故」⇔理想。</t>
        </is>
      </c>
      <c r="D2657" t="inlineStr">
        <is>
          <t>現実的(11%)；現実化；現実生活；現実そのもの；現実感覚</t>
        </is>
      </c>
      <c r="E2657" t="inlineStr">
        <is>
          <t>世界；実際；事実；まったく；全く</t>
        </is>
      </c>
      <c r="F2657" t="inlineStr">
        <is>
          <t>現実問題；超現実；厳しい現実；現実感；社会的現実</t>
        </is>
      </c>
      <c r="G2657" t="inlineStr">
        <is>
          <t>現実感；現実味；現実性；現実主義；現実離れ</t>
        </is>
      </c>
      <c r="H2657" t="n">
        <v>29</v>
      </c>
      <c r="I2657" t="inlineStr">
        <is>
          <t>これらは後に王がダイエーの監督に就任することから現実のものとなる。；しかしやがて彼らは第一次世界大戦でその現実に直面することになった。；テクノロジーの時代にあっては在庫とは単に現実にあるものを意味する。；しかし現実には予算人員とも不足して事業を起こせる状態ではなかった。；それ故に良い政府はその現実に責任を取らなければならないと考えた。；その結果、オリエンタリズムから自由に現実を見ることはできなくなる。；舞台背景も重視されず、謎を成立させるために非現実的な設定の作品もある。；まず大陸反攻が非現実的であることが誰の目にも明らかになったことである。；また、現実とは違った法則を設定した世界を作り出すことも考えられる。；仮定を用いることにより非現実的な事象を対象とすることも可能である。；神話はそれらと関連した出来事が起こるたびに現実のものとなった。；しかし、このような絶対的戦争は現実の戦史には見られない戦争である。；書かれた時間や場所から切り離されたそれらは、もはや現実ではない。；しかし、現実に得られる黄は赤気味であったり、緑気味であったりする。；司はゲームの世界でも現実同様の五感を得、他にも特別な力を与えられる。；また現実の歴史と限りなく類似したものでなければならない。；現実の世界ではグーゴルプレックスの値の例となるものを探すのは難しい。；または現実にないものをあるものとして存在させるために表現する手段である。；この名前を自らに付けたのは現実を直視したときの彼等の覚悟だといわれている。；キリスト教徒を全部合わせても住民の5割以下に過ぎない現実がある。；作品の舞台や内容も、より「現実の過酷さ」に近付いた形となっている。；しかし、彼の評価式は価格が負になることもありうるために非現実的であった。；それ以外のことは抽象的であり、現実の政治では意味がないという。；ネットワークの通信速度が高速化した2010年代において現実化した。；現実のバンド構造や状態密度が大きく変化する場合には適用できない。；光海君は即位すると破綻した財政の再建と現実的な外交施策を展開した。；基礎心理学の知見を活かして現実生活上の問題の解決や改善に寄与する。；厳しい現実にさらされながらも、黒板家の三人はたくましく生きていく。；目覚めていながら夢を見ているかのように現実から離れて何かを考えている状態をいう。</t>
        </is>
      </c>
      <c r="J2657">
        <f>HYPERLINK("https://www.weblio.jp/content/現実", "词义详情")</f>
        <v/>
      </c>
      <c r="K2657">
        <f>HYPERLINK("https://yourei.jp/現実", "查看例句")</f>
        <v/>
      </c>
    </row>
    <row r="2658">
      <c r="A2658" t="inlineStr">
        <is>
          <t>現時点</t>
        </is>
      </c>
      <c r="B2658" t="inlineStr">
        <is>
          <t>成功</t>
        </is>
      </c>
      <c r="C2658" t="inlineStr">
        <is>
          <t>読み方：げんじてん
現在の時点。今(いま)現在。「—でははっきりしたことは言えない」</t>
        </is>
      </c>
      <c r="D2658" t="inlineStr">
        <is>
          <t>現在；今；今日；現代；最近</t>
        </is>
      </c>
      <c r="H2658" t="n">
        <v>29</v>
      </c>
      <c r="I2658" t="inlineStr">
        <is>
          <t>現時点では複数の学校の生徒会が連携して調査を行っている最中である。；しかし現時点では、20億ドル以上に上昇するだろうと予測されている。；現時点でも能力を維持できると判断されれば55歳を越えて活躍できる。；ただし現時点では明確な区分の基準が規定されているものではない。；現時点ではこれらは門を定めないままに亜門以下を決める形を取っている。；現時点で同盟を組べき相手は、イギリスとイタリアであるとしている。；生息数ははっきりしないが、現時点では絶滅のおそれはないとされている。；なお今作品は現時点では日本語訳等の付属する国内盤は発売されていない。；ただし現時点では全く加盟会社の無いスカイチームよりは有利とも言える。；現時点で活動している他のメーカーとしてディープスなどが上げられる。；現時点での重要な功績は、6番目の界であるクロミスタ界の提案である。；そのためファンから続編を望む声も多いが、現時点での製作の予定はない。；現時点では、木星型惑星がこのような核を持つのか否かは不明である。；現時点ではこの時代がどのようなものになるかを決定することは極めて困難である。；現時点でワリオランドシリーズで発売された最後のタイトルでもある。；月や他の天体の場合、現時点ではこうしたことは明らかに困難である。；しかし、現時点ではその概念の確立に努力が注がれている段階である。；にもかかわらず、現時点で、日本では1作たりとも商業公開されていない。；ただし、現時点では希釈効果が発生する詳細なメカニズムは不明である。；メジャーデビュー後に4人で作品を発売したのは現時点で本作のみである。；従って現時点で新規に開発が予定されている水力発電所計画は存在しない。；第7章の出来事から数年後の話だが、具体的な時系列は現時点で不明。；現時点で派生型はないが、給油機型や電子妨害型などが構想されている。；また、本作は現時点でカップリング曲が収録された最後のアルバムである。；ここには本プロジェクトの、現時点までの大まかな流れと状況を記します。；現時点で最も長くMCUに出演しているキャラクターの一人である。；この文字に関する正式な名前、発音などは、現時点では判明していない。；ただし、決定的な証拠が存しないため、現時点では不明とするほかない。；また最終競技者でない選手が完全制覇を達成したのも現時点で唯一の事例である。</t>
        </is>
      </c>
      <c r="J2658">
        <f>HYPERLINK("https://www.weblio.jp/content/現時点", "词义详情")</f>
        <v/>
      </c>
      <c r="K2658">
        <f>HYPERLINK("https://yourei.jp/現時点", "查看例句")</f>
        <v/>
      </c>
    </row>
    <row r="2659">
      <c r="A2659" t="inlineStr">
        <is>
          <t>元首</t>
        </is>
      </c>
      <c r="B2659" t="inlineStr">
        <is>
          <t>成功</t>
        </is>
      </c>
      <c r="C2659" t="inlineStr">
        <is>
          <t>読み方：げんしゅ
１国の首長。
２国際法上、外部に対して一国を代表する資格をもつ国家機関。君主国では君主、共和国では大統領など。</t>
        </is>
      </c>
      <c r="D2659" t="inlineStr">
        <is>
          <t>元首たる大統領(3%)；元首格；元首ニコラス・ブルーム；元首就任；元首ニシテ統治</t>
        </is>
      </c>
      <c r="E2659" t="inlineStr">
        <is>
          <t>王；大統領；首相；国王；女王</t>
        </is>
      </c>
      <c r="F2659" t="inlineStr">
        <is>
          <t>各国元首；同盟元首；国家元首；女性元首；共同元首</t>
        </is>
      </c>
      <c r="G2659" t="inlineStr">
        <is>
          <t>元首政；元首制</t>
        </is>
      </c>
      <c r="H2659" t="n">
        <v>29</v>
      </c>
      <c r="I2659" t="inlineStr">
        <is>
          <t>このことから、「日本に元首は存在しない」とする解釈も存在している。；自由惑星同盟には、市民に選ばれた元首はいても、皇帝など存在しない。；各国の元首や、大スターなどが、飛行機の時間待ちをする部屋であろう。；このころの天皇の生活は、国家の元首でありながら質素をきわめていた。；そのような事態を防ぐには、元首に公表していただかねばならんでしょう。；元首といっても、絶対的な権力を持っているわけでは決してない。；そしていま、その人が国家の最高元首として意思を明確にしようとしている。；現在、元首が同時に複数存在する国はサンマリノとアンドラのみである。；従って、厳密には国家評議会議長が単独で元首となるわけではなかった。；一日も早くブエノス・ゾンデを占拠しろというのが元首の要求である。；元首の要件で特に重要なのは、外国に対して国家を代表する権能である。；しかし行政はスペイン陸軍が行っており、将軍が事実上の元首でもあった。；元首にして行政府の長である大統領は議会から選出され、内閣を組織する。；尊敬すべき元首、ニコラス・ブルーム氏が作戦室のドアの前に立っていた。；対外的には、天皇は元首であるが実際の行政権執行者は内閣としていた。；外国の皇太子等元首に近い者の死についても同様の表記を用いる場合がある。；わが国の新聞の第一面が大臣や外国元首の写真であるのといい対照。；相手が外国の元首となれば、やはり大勢の関係者の間で出迎えることになる。；現代において、国家・組織による暗殺を公に宣言している国・組織と元首。；後にブレアは「彼女は元首であり、私は彼女の首相だった」と振り返る。；元首である大統領は議会で選出され、大統領の任期も連動して4年である。；さらに、天皇と内閣総理大臣が元首の役割を分担しているとの見解もある。；恭子が狙っているのは、首相が、誰か外国の元首を出迎えるときであった。；ブルガリアの大統領と外国の元首が参加する式典がここでよく行われている。；本条が規定しているのは、もっぱら国の元首としての天皇の大権である。；米国は、イギリスにも、そして元首である女王にも連絡なしに介入を行った。；人類発祥の地である地球に本部があり、地球政府の元首が事務総長を兼ねた。；そして政党の力を利用してそのリーダーを元首などの国家指導者に就任させる。；「象徴天皇制は天皇が元首でないので君主制としない説もある」とされる。</t>
        </is>
      </c>
      <c r="J2659">
        <f>HYPERLINK("https://www.weblio.jp/content/元首", "词义详情")</f>
        <v/>
      </c>
      <c r="K2659">
        <f>HYPERLINK("https://yourei.jp/元首", "查看例句")</f>
        <v/>
      </c>
    </row>
    <row r="2660">
      <c r="A2660" t="inlineStr">
        <is>
          <t>研修</t>
        </is>
      </c>
      <c r="B2660" t="inlineStr">
        <is>
          <t>成功</t>
        </is>
      </c>
      <c r="C2660" t="inlineStr">
        <is>
          <t>読み方：けんしゅう
１［名］(スル)職務上必要とされる知識や技能を高めるために、ある期間特別に勉強や実習をすること。また、そのために行われる講習。「入社後—を受ける」「海外—」
２入国管理法における外国人の在留資格の一。日本国内の企業等で、研修生として、社員研修や工場見学など実務を伴わない研修を受けることができる。→技能実習</t>
        </is>
      </c>
      <c r="D2660" t="inlineStr">
        <is>
          <t>研修所(8%)；研修センター(4%)；研修施設(4%)；研修室(3%)；研修員</t>
        </is>
      </c>
      <c r="E2660" t="inlineStr">
        <is>
          <t>研究；調査；検討；分析；勉強</t>
        </is>
      </c>
      <c r="F2660" t="inlineStr">
        <is>
          <t>教育研修；在外研修；宿泊研修；研修事業；研修科</t>
        </is>
      </c>
      <c r="G2660" t="inlineStr">
        <is>
          <t>研修医；研修旅行；研修プログラム；研修所前</t>
        </is>
      </c>
      <c r="H2660" t="n">
        <v>29</v>
      </c>
      <c r="I2660" t="inlineStr">
        <is>
          <t>以上の全項目を標準どおり実施する場合の研修時間は約32時間となる。；・特別研修という年間の目標を達成した学校のみで行われる研修がある。；その後、全国、さらには外国にも内観研修所が設けられるようになった。；座学と実践、海外研修が一つとなっている授業なども設置されている。；また選考合格後も、事例などを扱いながら具体的に学ぶ研修が課される。；帰国隊員向けの研修や進路相談などがJICAによって実施されている。；アメリカ・イギリス・ブラジル・中国での研修が行われていた。；また、現在活躍中のアナウンサー、キャスターの研修なども行っている。；以下の海外大学と協定を結び、学生交換事業や海外研修などを実施している。；などの各種オーディション落選者が研修を経てデビューすることがある。；研修先であったJAWAに施設を賃貸し、不動産運用を図ることとした。；学校の修学旅行や、自治会・町内会等の研修にも使用されることがある。；中央・地方の党幹部、政府幹部が一定期間、党校に研修に来ることもある。；教師がグループワークを通して、授業分析を行う研修手法が公開された。；その他、アメリカ・オレゴン州方面の海外研修制度も用意されている。；ただし2002年頃から、この研修の運用状況が問題視されるようになった。；毎年世界中から多数のスカウトのリーダーたちが研修を行うためにここを訪れる。；潮哲也とは、研修所の同期でありクラスも同じで一緒に遊びに行く仲であった。；ただし企業や科警研、海外への長期出向や長期研修などがある場合がある。；主に教育市場・公共施設・企業の研修施設などが対象であった。；FBIが主催する研修等に参加できるなど、国際的に活動する機会もある。；横浜市内で新入社員研修を受け、当初は作家業との両立を志向していた。；また、教員の校務分掌に関連した会議や研修などで出張することもある。；企業・自治体・組織の新人教育や各種研修を代行する会社にも講師登録している。；研修期間を終えて数日後、ツァップはフランクフルトに向けて旅立った。；さらにオンタリオ州のみならずカナダ全国の教職員研修に用いられた。；後日、完治の職場に故郷から研修で上京中の親友青木が訪ねてきていた。；各信用金庫が共同で利用する研修施設で1965年5月に開設された。；稀に、研修と並行して4月の入社時からレギュラー番組を獲得する例もある。</t>
        </is>
      </c>
      <c r="J2660">
        <f>HYPERLINK("https://www.weblio.jp/content/研修", "词义详情")</f>
        <v/>
      </c>
      <c r="K2660">
        <f>HYPERLINK("https://yourei.jp/研修", "查看例句")</f>
        <v/>
      </c>
    </row>
    <row r="2661">
      <c r="A2661" t="inlineStr">
        <is>
          <t>厳重</t>
        </is>
      </c>
      <c r="B2661" t="inlineStr">
        <is>
          <t>成功</t>
        </is>
      </c>
      <c r="C2661" t="inlineStr">
        <is>
          <t>読み方：げんじゅう
［名・形動］
１いいかげんにせず、きびしい態度で物事に対処するさま。「戸締まりを—にする」「—な監視」「—に抗議する」
２おごそかなさま。いかめしいさま。また、霊験あらたかなさま。
「其の荘厳(しゃうごん)、微妙(みめう)にして—なること限りなし」〈今昔・一・三一〉
[派生]げんじゅうさ［名］</t>
        </is>
      </c>
      <c r="D2661" t="inlineStr">
        <is>
          <t>厳重な警戒(3%)；厳重な監視(2%)；厳重な警備(2%)；厳重な管理；厳重な抗議</t>
        </is>
      </c>
      <c r="E2661" t="inlineStr">
        <is>
          <t>厳しい；厳密；厳格；喧しい；ごりごり</t>
        </is>
      </c>
      <c r="F2661" t="inlineStr">
        <is>
          <t>厳重な緘口；厳重な報道管制；厳重な箝口令；厳重戒告処分；厳重な秘仏</t>
        </is>
      </c>
      <c r="G2661" t="inlineStr">
        <is>
          <t>厳重注意処分；厳重抗議；厳重に監視された列車</t>
        </is>
      </c>
      <c r="H2661" t="n">
        <v>29</v>
      </c>
      <c r="I2661" t="inlineStr">
        <is>
          <t>家は常に厳重に施錠されており、家族も容易に入ることはできなかった。；犯人の捜索は極めて秘密に、同時にこんな田舎にしては厳重に行われた。；さすがに怪物も厳重な警戒におびえたのか、ついに姿を現わさなかった。；そしてピーターたちが庭に入ることができないように囲いを厳重にした。；だが夜とても邸のまわりには厳重な見張り番がついているではないか。；望月少佐は不必要と思われるまで厳重に老博士の病室を監視しつづけた。；現在日本で実施している転売対策としては最も厳重であると言われている。；しかも舞台と観客席のあいだは、げんじゅうに連絡がたたれているのだ。；食物ワクチンの作物は厳重に管理された環境下で栽培しなければならない。；更に地道の死後、組の名跡を断絶させられるなど厳重な処分が行われた。；これらの本は厳重に管理され、簡単に閲覧することはできないとされている。；そして、その肉体は迷宮の地下深くに厳重に封印を施されているという。；近くにある八森銀山は、江戸時代には出入りが厳重に監視されていた。；これが逃げてしまうと幸せも逃げてしまうといわれていて、厳重に管理されていた。；機体の写真撮影はアングルや撮影距離などが厳重に管理・制限される。；都から出るには、厳重に警備されている市門を通過せねばならない。；しかしそのありかには厳重な結界が張られており、入ることができない。；危険が充満したバスを発見しようとバス会社と京都府警は厳重体制に入った。；これらの史蹟はその活用法が決まる時まで厳重に覆われて保管されている。；プロメトリックの提供するテスト環境には厳重な管理がされている。；窓から正面のドアを見ると、これはまたなんという厳重な戸締まりであろう。；そのため回復後しばらくはこれらの化合物との接触を厳重に回避する必要がある。；日本潜水艦近くにありと知って、五隻からなる巡洋艦隊が厳重に守っています。；この日も米艦の警戒が厳重であり、翌6月1日に作戦は中止となった。；生息地では厳重に保護されており、主に繁殖個体のみが少数流通する。；その結果、映画館によっては厳重な警備が施されるところも出てきた。；この上はいやが上にも警戒を厳重にする外に手段はない。；警官たちが駈けつけて、いよいよ、厳重な板戸をうち破っているのだろう。；また相当厳重な家探しをした結果、秘密の部屋は発見されなかった。</t>
        </is>
      </c>
      <c r="J2661">
        <f>HYPERLINK("https://www.weblio.jp/content/厳重", "词义详情")</f>
        <v/>
      </c>
      <c r="K2661">
        <f>HYPERLINK("https://yourei.jp/厳重", "查看例句")</f>
        <v/>
      </c>
    </row>
    <row r="2662">
      <c r="A2662" t="inlineStr">
        <is>
          <t>原書</t>
        </is>
      </c>
      <c r="B2662" t="inlineStr">
        <is>
          <t>成功</t>
        </is>
      </c>
      <c r="C2662" t="inlineStr">
        <is>
          <t>読み方：げんしょ
１翻訳書・書写本などに対して、そのもとになっている書物。原本。
２外国の文字で書かれている書物。特に欧米の書物。洋書。</t>
        </is>
      </c>
      <c r="D2662" t="inlineStr">
        <is>
          <t>原書第；原書図書館</t>
        </is>
      </c>
      <c r="E2662" t="inlineStr">
        <is>
          <t>オリジナル；マスター；原型；プロトタイプ；原本</t>
        </is>
      </c>
      <c r="H2662" t="n">
        <v>29</v>
      </c>
      <c r="I2662" t="inlineStr">
        <is>
          <t>半年くらいまえからいるんだけど、いつもなんかの原書を読んでるのさ。；日本語の本は一冊もなく、ほとんどがドイツ語の古めかしい原書である。；彼はその間に、熱心に横文字の書いてある原書を幾冊となく読み耽った。；翻訳するといふことは、原書を少くとも十遍繰り返して読むことである。；原書の一巻本は、戦後大陸から引き揚げて来てから、丸善で手に入れた。；そのため、原書を早く読んだほうが大きな顔のできた時期もあった。；日本では天干星とも言われるが、中国の原書にはこうした表現は見られない。；新幹線の中で分厚い原書を読むなど、気障な人間と見られたに違いない。；どこから送られて来るのか、母の机の上には原書の資料が積み上げられている。；あの貴公子は今時分きっと原書をひらいているのだろうな、と後は思う。；ところが、実際は日本人が書いたものは、いかによくても原書とはいわない。；後に言った三つの書物は、背革の文字で見ると、ドイツの原書である。；逐語訳はせず、原書を読んで筋を理解したうえで一から文章を創作していた。；そのころ、ちょうど母親がイギリス旅行でお土産に原書を買ってきてくれて。；机の上には原稿用紙と原書らしきものとイタリア語の辞書が乗っている。；没後に1907年出版の第1編を原書に忠実に復刻して出版されたもの。；しかし重要な本はできるだけ原書で読むようにしなければならぬ。；原書の文字がかすれていて、ここからあとは判読しがたいからである。；原書では初の単行本だが、日本では刊行順序が変わり2冊目となった。；銘々自分の訳したのが原書に一致して居ると信じて居られるに違いあるまい。；邦訳は英文の原書の第1巻の途中までが3冊に分けて発行されている。；けれども、中津には原書もなければ、おしえてくれる先生もありません。；めいめい自分の訳したのが原書に一致していると信じておられるに違いあるまい。；ほとんどがアラビア語の原書で、カーシムは学者肌の行者だったようだ。；主にイタリア語の原書のようで、中に英語やドイツ語のものも混じっている。；英語の講師は東大の学生が務め、原書で物語などを読むというものであった。；一度少女は押入れの中から覗いている美術の原書を見つけた。；さきほどまでとなりに座っていた男は、私が原書を読みはじめたら少し厭な顔をしていた。；その代りに原書出版年以降の欺瞞行為の事例や科学界の動きを解説する章が追加された。</t>
        </is>
      </c>
      <c r="J2662">
        <f>HYPERLINK("https://www.weblio.jp/content/原書", "词义详情")</f>
        <v/>
      </c>
      <c r="K2662">
        <f>HYPERLINK("https://yourei.jp/原書", "查看例句")</f>
        <v/>
      </c>
    </row>
    <row r="2663">
      <c r="A2663" t="inlineStr">
        <is>
          <t>検証</t>
        </is>
      </c>
      <c r="B2663" t="inlineStr">
        <is>
          <t>成功</t>
        </is>
      </c>
      <c r="C2663" t="inlineStr">
        <is>
          <t>読み方：けんしょう
［名］(スル)
１実際に物事に当たって調べ、仮説などを証明すること。「理論の正しさを—する」
２裁判官や捜査機関が、直接現場の状況や人・物を観察して証拠調べをすること。「現場—」「実地—」</t>
        </is>
      </c>
      <c r="D2663" t="inlineStr">
        <is>
          <t>検証するため(3%)；検証できる；検証される；検証実験；検証作業</t>
        </is>
      </c>
      <c r="E2663" t="inlineStr">
        <is>
          <t>検査；審査；視察；閲覧；点検</t>
        </is>
      </c>
      <c r="F2663" t="inlineStr">
        <is>
          <t>科学的な検証；動作検証；比較検証；検証不可能；実験的検証</t>
        </is>
      </c>
      <c r="G2663" t="inlineStr">
        <is>
          <t>検証結果；検証委員会；検証記事；検証チーム；検証動画</t>
        </is>
      </c>
      <c r="H2663" t="n">
        <v>29</v>
      </c>
      <c r="I2663" t="inlineStr">
        <is>
          <t>作成した規則を過去のデータを用いて検証し評価する事ができること。；このあたりの事情は2冊の著作の中で徹底的かつ詳細に検証されている。；九州・沖縄地区の様々な問題を検証し、スタジオのゲストに話を聞いた。；男女の運転には、以下の差があることが様々な実験により検証されている。；今後については一旦休止してこれまでの活動の検証を行なうとしている。；現在ではこの島の環境全体が進化検証の場所として保護されている。；最終的に残った人と合う約束をして相手が来てくれるかを検証。；一般向けには販売が行われていない開発・検証機も存在した。；この裁判には疑問が多いことから、19世紀後半から検証が行われた。；たいていの場合は先にある程度の理論的予測があってそれを検証するために行われる。；歴史的文脈で宗教書を捉えた時には、その来歴は当然検証の対象となる。；そのため今後も検証されていく価値があると認められている。；しかし、父・貴はこうした検証を拒否しており、事実であるか疑わしい。；ソクラテスは彼の検証方法を、様々な具体的な定義を欠く概念に適用した。；解釈が主観的なため再現性を重視する科学の検証に耐えられてないと言われている。；これらの色素の薬理的有用性が検証される研究が望まれるところである。；そして最終的に飛行試験によりソフトウェアやシステム全体の検証が行われた。；またCIAが噂の広がり方を検証するために流した情報だという説もある。；また、「私は検証主義者であると告白する準備もある」とも述べている。；このようなプロセスで設計された試作の検証を繰り返し、最適化を図る。；また、フランス宮廷では食物の毒の検証に用いられたと伝えられる。；注意深く、データの形式および内容が正しいものであると検証すべきである。；専門家や記者の解説を交えながら、話題の背景などを検証していく。；これはこのコードを検証する多くのテストのひとつである。；という疑問が起き、多くの人やゲームサイトがトレーラーの検証を行った。；そのため国家ベースの翻訳事務局が検証し、新語の生成を行っている。；これらの見解については現在も検証・研究・調査が続いている。；書物や古文書それ自体や内容の真偽などを検証する作業を史料批判と呼ぶ。；差の有無などの検証にも無作為抽出が理論的前提となった様々な手法が使われる。</t>
        </is>
      </c>
      <c r="J2663">
        <f>HYPERLINK("https://www.weblio.jp/content/検証", "词义详情")</f>
        <v/>
      </c>
      <c r="K2663">
        <f>HYPERLINK("https://yourei.jp/検証", "查看例句")</f>
        <v/>
      </c>
    </row>
    <row r="2664">
      <c r="A2664" t="inlineStr">
        <is>
          <t>健勝</t>
        </is>
      </c>
      <c r="B2664" t="inlineStr">
        <is>
          <t>成功</t>
        </is>
      </c>
      <c r="C2664" t="inlineStr">
        <is>
          <t>読み方：けんしょう
［名・形動］健康で元気なこと。また、そのさま。すこやか。多く手紙文で、「ご健勝」の形で用いる。「ご—のことと存じます」</t>
        </is>
      </c>
      <c r="D2664" t="inlineStr">
        <is>
          <t>健康；元気；健全；達者；健やか</t>
        </is>
      </c>
      <c r="H2664" t="n">
        <v>17</v>
      </c>
      <c r="I2664" t="inlineStr">
        <is>
          <t>lhikishiは強い生命力を持つ水生植物なので、健勝を祈る意味がある。；辿り着くと、健勝杯の輝く取っ手にそれぞれ片手を伸ばした。；ボク栃錦は蹲居して、手刀を切って、〝けんしょう金〟をもらってるところです。；名前の読みを「けんしょう」としている場合がある。；ショールに身を包んだモル・プラットは、鋪道に花の束を置いたまま、愛する青年の健勝を祈念した。；いつも健勝でよいの。；「けんしょうじょう」とも「たてまさじょう」とも読まれている。；戦後三十六年、共にあの北満の地で熱い青春を分かちあった同志が一堂に会し、たがいの健勝を喜び昔日を偲び尚一層の親睦と今後の弥栄を図るを目的に、会員、御家族一同奮ってお集まり下さい。；曹操は、堂に坐して、健勝をよろこび、堂内をうち眺め、壁に一つの碑文を書した画軸のあるのに気づき、 「これは、いかなるものか」 と訊ねた。；二泊三日にわたる賀宴の皮切りは、尼公の、この上の延命健勝を祈る法会、そのあとで舞楽が演じられる。；設置者は学校法人北都健勝学園。；まず、閣下の健勝を祝します。；カナレットは1768年に没したが、晩年も健勝で視力が確かであったらしく、『サン・マルコの聖歌隊』という素描絵には、『我ズアネ・アントニオ・ダ・カナル、ヴェネツィアにてサン・マルコ・ドゥカーレ教会の聖歌隊をメガネ無しで描く 68歳 1766』との自筆がある。；本名・けんしょう。；遙かに、獨京伯林なる、巖谷小波先生の健勝を祈る。；Ghost like girlfriendはシンガーソングライター・トラックメイカーの岡林健勝のソロプロジェクト。；「賢勝」は「健勝」であらう。</t>
        </is>
      </c>
      <c r="J2664">
        <f>HYPERLINK("https://www.weblio.jp/content/健勝", "词义详情")</f>
        <v/>
      </c>
      <c r="K2664">
        <f>HYPERLINK("https://yourei.jp/健勝", "查看例句")</f>
        <v/>
      </c>
    </row>
    <row r="2665">
      <c r="A2665" t="inlineStr">
        <is>
          <t>懸賞</t>
        </is>
      </c>
      <c r="B2665" t="inlineStr">
        <is>
          <t>成功</t>
        </is>
      </c>
      <c r="C2665" t="inlineStr">
        <is>
          <t>読み方：けんしょう
１すぐれた作品、クイズの正解者、また、捜し物を見つけ出した人などに与えるという条件で、賞金や賞品をかけること。また、その賞金・賞品。「—がつく」「—に当たる」「—小説」
２相撲で、企業などが、主に幕内力士の取組にかける賞金。1本が6万2000円（平成30年現在）。「大相撲夏場所千秋楽に132本の—がかけられる」</t>
        </is>
      </c>
      <c r="D2665" t="inlineStr">
        <is>
          <t>懸賞小説(11%)；懸賞募集(7%)；懸賞公募(4%)；懸賞品(2%)；懸賞金</t>
        </is>
      </c>
      <c r="E2665" t="inlineStr">
        <is>
          <t>報酬；賞金；褒美；恩賞；謝礼</t>
        </is>
      </c>
      <c r="F2665" t="inlineStr">
        <is>
          <t>脚本懸賞；莫大な懸賞；懸賞当選；懸賞企画；懸賞試合</t>
        </is>
      </c>
      <c r="G2665" t="inlineStr">
        <is>
          <t>懸賞論文；懸賞問題；懸賞広告；懸賞応募；懸賞旗</t>
        </is>
      </c>
      <c r="H2665" t="n">
        <v>29</v>
      </c>
      <c r="I2665" t="inlineStr">
        <is>
          <t>なお、投げ花に代わる形で導入されたものが現在まで続く懸賞金である。；この懸賞が話題を読んで、様々な論評が同作に加えられることとなった。；経度の測定方法は当時航海上の重要問題で各国で懸賞がかけられていた。；それもええが、どうも懸賞小説でやってもそれほどの効果はあるまい。；所がいつ頃からか、彼は雑誌や新聞の懸賞に応募することを覚え出した。；樽の中から他人手を借りずに出てきたら懸賞金をやるというのである。；懸賞募集にもっていったのだから、当然完成した作品だったのだろう。；いまのところぼくたちは、五万ドルの大懸賞に望みをかけています。；専門家の評価を知るには懸賞に応募するのが一番の近道だったからだ。；あんたを捕えたものには、三万の懸賞金と、皇帝の宮殿の中での高い地位。；ただし横綱クラスでも毎回のように大量の懸賞がかけられるとは限らない。；私に朝日新聞の懸賞募集の社告を知らせてくれたのが、この弟であった。；私たちはキャラメルを売るためにつぎからつぎへと懸賞売出しをやった。；当面の目標は、懸賞でコネのついた雑誌に原稿をもちこむことであった。；別に懸賞ではなかったが、私は多大の興味をもって考えるを常とした。；それ以来、私は懸賞ハガキを送るたびに、この二つのジンクスを守った。；だが45巻には懸賞で漫画出演権に当選した大阪在住の男の子が出演していた。；全般に運が強く、これまで競馬や数々の懸賞などを当てた経験がある。；つまり、彼がまだ懸賞に当選して小説を書きはじめたばかりの新人時代からね。；つまり改造の懸賞小説はいわゆる新興芸術派作家の育成には功績があったようだ。；この論文は翌年に懸賞当選論文として採用されたが、反対意見も多かった。；特別大懸賞考へ物及び十月号の普通考へ物の方は御通知に及びません。；彼はわたしのそうした考えを発展させ、懸賞に応募するようすすめた。；絵柄は年々変更され、期間限定タイプや懸賞で当たるタイプなどもある。；G・グリーンはあちこちの雑誌や新聞などで懸賞記事を書いている。；そのため懸賞募集も実施されていないが、4月21日から放送が開始された。；いずれにしろ、この男は、何かの意味で、一千万円の懸賞に関係しているだろう。；私はそれまで改造の懸賞に応募してその都度落選してゐたのである。；この場所でかけられた懸賞は全部で1625本となり、史上最多を更新した。</t>
        </is>
      </c>
      <c r="J2665">
        <f>HYPERLINK("https://www.weblio.jp/content/懸賞", "词义详情")</f>
        <v/>
      </c>
      <c r="K2665">
        <f>HYPERLINK("https://yourei.jp/懸賞", "查看例句")</f>
        <v/>
      </c>
    </row>
    <row r="2666">
      <c r="A2666" t="inlineStr">
        <is>
          <t>減少</t>
        </is>
      </c>
      <c r="B2666" t="inlineStr">
        <is>
          <t>成功</t>
        </is>
      </c>
      <c r="C2666" t="inlineStr">
        <is>
          <t>読み方：げんしょう
［名］(スル)減って少なくなること。また、減らして少なくすること。「漁獲量が—する」「体重を—する」⇔増加。</t>
        </is>
      </c>
      <c r="D2666" t="inlineStr">
        <is>
          <t>減少する(12%)；減少し続け；減少症；減少せしめる；減少効果</t>
        </is>
      </c>
      <c r="E2666" t="inlineStr">
        <is>
          <t>低下；落ちる；衰退；縮小；滅亡</t>
        </is>
      </c>
      <c r="F2666" t="inlineStr">
        <is>
          <t>数減少；著しく減少；年々減少；血小板減少；利用者減少</t>
        </is>
      </c>
      <c r="G2666" t="inlineStr">
        <is>
          <t>減少率</t>
        </is>
      </c>
      <c r="H2666" t="n">
        <v>29</v>
      </c>
      <c r="I2666" t="inlineStr">
        <is>
          <t>ただし英語新聞も割合こそ減少しているものの部数自体は増加している。；九州新幹線が開業し、特急列車が廃止された区間は大幅に減少している。；収入総合計額については増加した時期もあったが、最近では減少している。；日本は最大の援助国の一つであるが、近年は援助額がやや減少気味である。；またロシアに並ぶ輸出相手国であった中国の需要が減少するなど経済環境が悪化。；南予は減少が急速に進んでおり、より効果的な対策が求められている。；ウミガメは捕獲や生息環境の悪化などのために生息数が減少している。；貨物輸送量減少の原因は道路網の整備によるトラック輸送への転換である。；収入総合計額が増加した時期もあったが、最近では減少している。；そのため四国全体はもとより、県単位でも4県全てで減少となっている。；ただし、その後もポーランド国内でのユダヤ人人口は減少を続けた。；そのため実際には変換の際に損失があるため二次側でエネルギーが減少する。；また、ある場合には精子数の減少が見られることが報告されている。；共産党の支配地域の拡大は裏を返せば国民党の支配地域の減少を意味する。；敗北した場合は、CPレベルが減少した状態で出現待ち状態になる。；会員が減少したにもかかわらず関連施設は増加し、協力者会の会員数も増えた。；トンネル抜け前後で粒子のエネルギーは変わらないが確率振幅は減少する。；北上するに従って雨量が減少していき、北部では雨期は年に一度となる。；かつて塗料に大量に使用されていたが最近は毒性を考慮して使用が減少している。；その一方で、青森県などでは予想されたほど出生数は増えず人口が減少した。；一般には価格が上昇すると需要は減少する傾向がある。；しかしながら、これらの集団内での話し手の数は年々減少する傾向にある。；これは価格が上がるほど需要量が減少することによる。；本格的に外国人避暑客が減少したのは、戦後に入ってからである。；これは転移が起きたときに鉄の体積が減少することの説明になる。；現在では農業人口は減少し都市近郊農業型へと転換している。；現在では減少しているが、高齢者の中には日本語を話せる人もいる。；しかしその数は次第に減少していくことになった。；そのため、県全体では2000年頃から人口は減少に転じている。</t>
        </is>
      </c>
      <c r="J2666">
        <f>HYPERLINK("https://www.weblio.jp/content/減少", "词义详情")</f>
        <v/>
      </c>
      <c r="K2666">
        <f>HYPERLINK("https://yourei.jp/減少", "查看例句")</f>
        <v/>
      </c>
    </row>
    <row r="2667">
      <c r="A2667" t="inlineStr">
        <is>
          <t>現象</t>
        </is>
      </c>
      <c r="B2667" t="inlineStr">
        <is>
          <t>成功</t>
        </is>
      </c>
      <c r="C2667" t="inlineStr">
        <is>
          <t>読み方：げんしょう
１人間が知覚することのできるすべての物事。自然界や人間界に形をとって現れるもの。「不思議な—が起こる」「一時的な—」「自然—」
２哲学で、
㋐本体・本質が外的に発現したもの。
㋑カント哲学で、主観によって感性的に受容された内容が、時間・空間およびカテゴリーなどの主観にそなわる認識形式によって、総合的に統一されたもの。その背後にある物自体は不可知とされる。
㋒フッサールの現象学で、意識に現前し、直接的に自らを現している事実。本体などの背後根拠との相関は想定しない。</t>
        </is>
      </c>
      <c r="D2667" t="inlineStr">
        <is>
          <t>現象そのもの；現象自体；現象形態；現象学；現象即</t>
        </is>
      </c>
      <c r="E2667" t="inlineStr">
        <is>
          <t>事象；フェノメノン</t>
        </is>
      </c>
      <c r="F2667" t="inlineStr">
        <is>
          <t>呼ばれる現象；不思議な現象；同じ現象；生命現象；怪現象</t>
        </is>
      </c>
      <c r="G2667" t="inlineStr">
        <is>
          <t>現象論；現象界；現象世界；現象主義；現象的意識</t>
        </is>
      </c>
      <c r="H2667" t="n">
        <v>29</v>
      </c>
      <c r="I2667" t="inlineStr">
        <is>
          <t>物質はそうした現象や出来事が起こる場や対象のような位置を占めている。；最近高支持率地域の溶解現象が勢いを増していることが確認されている。；同様の現象は、現在までにアメリカ国外を含めてしばしば発生している。；後の研究より幾つかの前兆現象が発生していたことが報告されている。；普通の階段でも見た目をエスカレーター風に変えると同様の現象がでる。；これは地球の中央海嶺で見られるものと似た現象であると考えられる。；これらの現象が調査されるうち、雨水の変質に原因を見ることとなった。；同様の現象は諏訪湖でも観察されており、神が通った跡と説明されている。；このような現象がみられるのは運動皮質に前述の体性機能があるためである。；一般に心霊現象は科学的には説明のつかない現象であるとされることが多い。；この現象は武則天時代から問題になっていたが、その後も増え続けていた。；こうした現象を引き起こす進化の様式は、今では共進化と呼ばれている。；まず文献を調査し、その後交霊会で観察した現象をテストしようと試みた。；ブルゴーニュでこの手法を用いると、という現象が起こる可能性がある。；つまり基本的な生命現象は進化的に保存されていると言える。；この外力は確率的な現象であり、規模の大きなものほど頻度が低くなる。；この現象のため、一つの文字でいくつもの音を表すことになった。；仮説とは、推測ではあるが、観察した現象や事実を説明できるものである。；この現象のうち特に形態的な変化を示すものを細胞変性効果と呼ぶ。；しかし、特定の現象が特によく発達しているものを選ぶ、と云う場合もある。；当番組のリクエストランキングにだけトップに位置する現象が多々あった。；しかし、いずれの手法もその基本は現象などの正確な観察である。；カバーとはある楽曲が複数の歌手に共有される現象である。；進化は、生物の形質が世代を経る中で変化していく現象のことである。；過程の詳細は判明していないが、他にも元素合成を起こす宇宙の現象がある。；電位差が発生した雲または大地などの間に発生する光と音を伴う放電現象。；しかし、前述のように、質量が増加する現象は古くから知られていた。；そして電気は一種類だとし、強さや量の違いが様々な現象を引き起こすとした。；このような現象は、退化と言われ、進化の一側面をなすと考えられる。</t>
        </is>
      </c>
      <c r="J2667">
        <f>HYPERLINK("https://www.weblio.jp/content/現象", "词义详情")</f>
        <v/>
      </c>
      <c r="K2667">
        <f>HYPERLINK("https://yourei.jp/現象", "查看例句")</f>
        <v/>
      </c>
    </row>
    <row r="2668">
      <c r="A2668" t="inlineStr">
        <is>
          <t>現状</t>
        </is>
      </c>
      <c r="B2668" t="inlineStr">
        <is>
          <t>成功</t>
        </is>
      </c>
      <c r="C2668" t="inlineStr">
        <is>
          <t>読み方：げんじょう
現在の状態、ありさま。「—を打破する」「—に甘んじる」「—分析」「—維持」</t>
        </is>
      </c>
      <c r="D2668" t="inlineStr">
        <is>
          <t>現状である(8%)；現状打破；現状保存；現状報告；現状調査</t>
        </is>
      </c>
      <c r="E2668" t="inlineStr">
        <is>
          <t>現況</t>
        </is>
      </c>
      <c r="F2668" t="inlineStr">
        <is>
          <t>厳しい現状；難しい現状；現状復旧；困難な現状；にくい現状</t>
        </is>
      </c>
      <c r="G2668" t="inlineStr">
        <is>
          <t>現状変更；現状分析；現状認識；現状把握；現状追認</t>
        </is>
      </c>
      <c r="H2668" t="n">
        <v>29</v>
      </c>
      <c r="I2668" t="inlineStr">
        <is>
          <t>広告などは、その他の販売関連業の収入に依存しているのが現状である。；このダークエネルギーの真の正体は現状ではほぼ推測の対象にすぎない。；このため、各種資料の民族構成比率は統一されていないのが現状である。；この場合整備形態としては現状を維持するものから復元的な整備がある。；一部の人々は、このような現状は不幸であり皮肉であると考えている。；ただしこれらの原則や政策は現状から考えて実施することは大きな困難である。；このような我が国の現状を憂慮されなければならい事態におかれている。；現状の歴史的・疫学的データでは、その地理的起源を特定できていない。；またソ連の現状など当時タブーとされていたことを積極的に書いた。；中華人民共和国・大韓民国の現状や反日運動などに批判的な姿勢をとる。；このため現状では、あまり多くの分析は出来無いとの指摘が挙がっている。；ただし、すべての血族が土岐桔梗を使ったとはいえないのが現状である。；業団体の意思の統一が図られることが、現状ではかなり難しいと思われる。；しかし現状では行政の予算が厳しいことから市は難色を示している。；上杉隆は政府自らが記者の身分を確認しない現状の方が危険だと指摘している。；目標の達成には行政の威令が行き届かない現状を改善しなければならない。；そのため現状ではDVD・BDに両規格の音声が収録されることも多い。；現状では前者の調査がほとんど進んでいないため不明である。；あなたはマンガ界の現状を知らなすぎるようですと書いてあった。；しかし仏教の教えと現状に疑問を持ち、医師である味岡三伯の門を叩いた。；現状を厳しく批判したため公刊を許されなかったが、秘かに筆写された。；ラス・カサスはしきりに枢機会議に書簡を送っては現状を報告していた。；そのため、作品の全体像を知ることはほぼ不可能なのが現状である。；現状を維持する分には、容易に改修ができたと思われている。；しかし、欧州の本来的な医薬分業制度の普及にはまだ程遠い現状である。；患者の多くは死ぬ場所に自宅を希望しているが、現状では大部分は病院で亡くなっている。；更に従来の仏教の間でも現状を批判する動きが高まってきた。；このように、法的に曖昧な地位に置かれているのが公設秘書の現状である。；こうした現状に対し、往年のプレイヤーは否定的な考えを持つ傾向が強い。</t>
        </is>
      </c>
      <c r="J2668">
        <f>HYPERLINK("https://www.weblio.jp/content/現状", "词义详情")</f>
        <v/>
      </c>
      <c r="K2668">
        <f>HYPERLINK("https://yourei.jp/現状", "查看例句")</f>
        <v/>
      </c>
    </row>
    <row r="2669">
      <c r="A2669" t="inlineStr">
        <is>
          <t>原子力</t>
        </is>
      </c>
      <c r="B2669" t="inlineStr">
        <is>
          <t>成功</t>
        </is>
      </c>
      <c r="C2669" t="inlineStr">
        <is>
          <t>読み方：げんしりょく
原子核の変換や核反応に伴って放出される多量のエネルギー。ふつう、ウランやプルトニウムの核分裂、放射性物質の崩壊、重水素・トリチウムなどの核融合により放出される核エネルギーをいう。</t>
        </is>
      </c>
      <c r="D2669" t="inlineStr">
        <is>
          <t>原子力施設(4%)；原子力エネルギー(4%)；原子力開発(3%)；原子力エンジン(3%)；原子力安全(2%)</t>
        </is>
      </c>
      <c r="E2669" t="inlineStr">
        <is>
          <t>核エネルギー</t>
        </is>
      </c>
      <c r="F2669" t="inlineStr">
        <is>
          <t>原子力事業；英国原子力；原子力プラント；原子力分野；原子力企業</t>
        </is>
      </c>
      <c r="G2669" t="inlineStr">
        <is>
          <t>原子力潜水艦；原子力発電；原子力空母；原子力船；原子力研究所</t>
        </is>
      </c>
      <c r="H2669" t="n">
        <v>29</v>
      </c>
      <c r="I2669" t="inlineStr">
        <is>
          <t>D1Gは部品のテストと原子力訓練ユニットの訓練のために使用された。；彼が原子力支持を公に表明したのは最近だが、その考え方は長年持っていた。；無機材料工学を専門としており、かつては原子力関連の研究をしていた。；また、社会党中央も原子力発言に対する姿勢を反対の方向で明確にした。；また日本で行なう原子力研究には、外国の秘密の知識は一切教わらない。；国内各所に設置されたアメリカ海軍原子力学校の卒業生が訓練を受けた。；毎年この日には、原子力に関係する機関や企業等で記念行事が行われている。；原子力エネルギー科学情報グループは両報告の内のいずれかを委託されている。；基地横に原子力や核攻撃を展示している国立原子力博物館が所在している。；次いで原子力教科書シリーズの作成を提案、同著の著者の一人となった。；医療機関、原子力関係の各機関、様々な企業・団体で講演が依頼される。；原子力地区の建設時期には人口が増加し、操業が始まると税収が増加した。；同夜、原子力チームが施設を一掃できるように1号機は停止させられた。；現在の主要業務は原子力発電所を初めとする原子力施設の安全監督業務である。；日本が占領されていた日本学術会議の創立時には原子力研究は禁止されていた。；川内原発での事故に備えた大規模な原子力防災訓練が実施されている。；原子力動力との対比のために通常動力での潜水艦の特徴を以下に示す。；また、1950年代以降の原子力エネルギーの活用も含まれることがある。；なお、原子力施設以外の放射線業務従事者にはこのような登録制度はない。；これによりスターリンはソ連の原子力プログラムを開始するように命じた。；これは、フランスで初めて原子力施設が撤去された例となった。；原子力に関連する技術の研究や生産がリッチランドの主要産業である。；主に航空機の設計に適用されているが、原子力プラントなどにも応用されている。；これはアイオワ級戦艦や原子力ミサイル巡洋艦にも搭載されたものである。；さらに、数隻が建造された原子力巡洋艦もプログラムに加えられた。；原子力の時代から、化石燃料を使う時代にまで逆行しているところもある。；アメリカでは軍の将軍が、ソ連では原子力の学者が殺された。；これらはその性質上、原子力特殊潜水艦と呼ばれることもある。；後に東京電力は6号機を以降の原子力標準ユニットのベースとした。</t>
        </is>
      </c>
      <c r="J2669">
        <f>HYPERLINK("https://www.weblio.jp/content/原子力", "词义详情")</f>
        <v/>
      </c>
      <c r="K2669">
        <f>HYPERLINK("https://yourei.jp/原子力", "查看例句")</f>
        <v/>
      </c>
    </row>
    <row r="2670">
      <c r="A2670" t="inlineStr">
        <is>
          <t>件数</t>
        </is>
      </c>
      <c r="B2670" t="inlineStr">
        <is>
          <t>成功</t>
        </is>
      </c>
      <c r="C2670" t="inlineStr">
        <is>
          <t>読み方：けんすう
事件や事柄の数。「事故の—」</t>
        </is>
      </c>
      <c r="D2670" t="inlineStr">
        <is>
          <t>件数自体</t>
        </is>
      </c>
      <c r="F2670" t="inlineStr">
        <is>
          <t>相談件数；事故件数；登録件数；倒産件数；ダウンロード件数</t>
        </is>
      </c>
      <c r="H2670" t="n">
        <v>29</v>
      </c>
      <c r="I2670" t="inlineStr">
        <is>
          <t>この季節にこれだけ死亡件数が多いのには、何か理由があるはずである。；一九八三年一九歳 昭和五八年の日本の離婚件数は一七万九一五〇。；検事が証拠がためをすることになるのだが、それには、件数が多すぎる。；近年は改善の傾向にあるとされるといわれるものの、なおその件数は多い。；しかし、全米の多くの都市同様に、犯罪件数の多い地域は限られている。；ただし、の件数が年々増加している為に引き続き注意が必要とされている。；この表では左側の低い数字は右側のより高いビルの件数を含んでいる。；さらに、検索結果は並び順や表示件数を変えて表示させることができる。；以下の表に各計算サービスが対象としている論文の件数を示す。；この統計は実際の犯罪件数ではなく、人口当たりの数字になっている。；彼はあまりにも急激に増加する犯罪件数のために非常に多忙にみえた。；一九四八年に人権擁護委員会が置かれてから取扱った件数八八一七件。；また、リーマンショック後の近年は、総犯罪件数はむしろ減少している。；システムがダウンした時に、全国で入力していた件数は相当なものだろう。；そして、検討すべき問題の件数はふえる一方、複雑になる一方なのである。；一方、このような人口増加は窃盗など犯罪件数の増加にも繋がっている。；現在は衝突被害軽減ブレーキシステムによって事故件数は減少している。；捕獲を開始してからは、年々捕獲数、被害相談件数ともに減少している。；現象になるほどの件数が報告されているとは言えないわ。；の約10万件を超えて日本での販売件数の記録を20年ぶりに塗り替えた。；件数の増加はMTNプログラムを利用した小型の起債が多かったためである。；人口あたりの死刑執行件数は、正確な統計がある国家としては最も高い。；取引件数だけをみると凄い数字になるので、彼らはびっくりしているだけです。；二〇一一年のUFO目撃件数は、一〇年前の四倍以上になっている。；絶対件数だけを見れば、航空事故やハイジャックが他機種に比べて多い。；彼らによる膨大な件数の残虐行為や処刑そして犯罪が記録されている。；七三年一年間に、東京で起こった強盗件数は、三百六十一件であった。；同時期に殺人件数も増え、殺人の大部分が銃によるものであった。；併合されていた間の死刑執行件数は過去200年分を上回るほどになった。</t>
        </is>
      </c>
      <c r="J2670">
        <f>HYPERLINK("https://www.weblio.jp/content/件数", "词义详情")</f>
        <v/>
      </c>
      <c r="K2670">
        <f>HYPERLINK("https://yourei.jp/件数", "查看例句")</f>
        <v/>
      </c>
    </row>
    <row r="2671">
      <c r="A2671" t="inlineStr">
        <is>
          <t>減税</t>
        </is>
      </c>
      <c r="B2671" t="inlineStr">
        <is>
          <t>成功</t>
        </is>
      </c>
      <c r="C2671" t="inlineStr">
        <is>
          <t>読み方：げんぜい
［名］(スル)税金の額を減らすこと。「—して負担を軽くする」⇔増税。</t>
        </is>
      </c>
      <c r="D2671" t="inlineStr">
        <is>
          <t>減税措置(4%)；減税政策(3%)；減税案(2%)；減税額；減税法案</t>
        </is>
      </c>
      <c r="F2671" t="inlineStr">
        <is>
          <t>恒久減税；消費税減税；大幅減税；大規模減税；大型減税</t>
        </is>
      </c>
      <c r="G2671" t="inlineStr">
        <is>
          <t>減税日本・反tpp・脱原発を実現する党；減税策；減税対象；減税問題；減税派</t>
        </is>
      </c>
      <c r="H2671" t="n">
        <v>29</v>
      </c>
      <c r="I2671" t="inlineStr">
        <is>
          <t>また石橋内閣が提唱していた1千億円減税も就任直後に実施している。；そしてその中で、大規模減税を行ったレーガノミクスに否定的である。；同党は政府の経済への介入を削減して中産階級の自由な事業と減税を求めた。；その一つが農民の負担を軽減する目的で行ったさまざまな減税・復興政策だった。；アイルランドはまた、減税措置のおかげもあって映画撮影の盛んな土地でもある。；そのスピーチ内で彼の主要政策が減税であることを述べた。；中間所得層への減税をも提案しているが、これは票取りのためだけとの批判も呼んだ。；彼が戦争回避の外交に努めたのも土地税減税維持の観点が大きかった。；そのため、減税は将来に対してツケを残すものであるという批判もある。；現在では欧州通貨システムの中での減税システムをもっている。；そのため2010年度には市民税減税が実施されることとなった。；推進した政策は、支出削減及び減税、教育バウチャーの導入などである。；同時に州の債権への格付けが上昇し、在任中に二度、減税を実施した。；この調査は、米国の貿易収支がアイルランドで提供されている減税機会の影響を受けることを示した。；大幅な減税を続けながら、次々と得意の経済政策を打ち出していく。；減税や増税をすることで経済成長を促進したり抑制したりすることが出来る。；これを受け1997年12月、橋本内閣は2兆円の特別減税を表明した。；減税額に上限が存在したため、部分的には定額減税の側面があった。；加えて、共和党が減税や犯罪抑止を掲げ勝利を重ねたのも大きい。；増税して減税するなら財政赤字はたいして減らないがそれでは意味がない。；減税の正当性を根拠づけるためによく用いられるが実証的なデータは乏しい。；この減税ではタバコ税を除いて、直接税・間接税のほとんどが対象となった。；その際、既存エネルギー税の一部について減税や廃止が行われた。；また減税の実施により市債の発行高が増加する見込みとなった。；改革ではこの他年金制度や国営企業、銀行の民営化や減税にも取り組んだ。；アメリカにおける1980年代の減税の基となった概念である。；国民には大規模な減税も実施します。；マクドネルは高所得層や大企業への減税停止を考えている。；風景に関する地役権を土地所有者と交渉し、保存のための減税と取引されている。</t>
        </is>
      </c>
      <c r="J2671">
        <f>HYPERLINK("https://www.weblio.jp/content/減税", "词义详情")</f>
        <v/>
      </c>
      <c r="K2671">
        <f>HYPERLINK("https://yourei.jp/減税", "查看例句")</f>
        <v/>
      </c>
    </row>
    <row r="2672">
      <c r="A2672" t="inlineStr">
        <is>
          <t>建設</t>
        </is>
      </c>
      <c r="B2672" t="inlineStr">
        <is>
          <t>成功</t>
        </is>
      </c>
      <c r="C2672" t="inlineStr">
        <is>
          <t>読み方：けんせつ
［名］(スル)
１建物・施設・道路などを、新たに造ること。「ダムを—する」
２新しい機構や組織を作り上げること。「平和な社会を—する」</t>
        </is>
      </c>
      <c r="D2672" t="inlineStr">
        <is>
          <t>建設中(2%)；建設費用；建設当時；建設地；建設資金</t>
        </is>
      </c>
      <c r="E2672" t="inlineStr">
        <is>
          <t>設置；構成；設立；組織；製造</t>
        </is>
      </c>
      <c r="F2672" t="inlineStr">
        <is>
          <t>ダム建設；鉄道建設；工場建設；都市建設；発電所建設</t>
        </is>
      </c>
      <c r="G2672" t="inlineStr">
        <is>
          <t>建設省；建設計画；建設会社；建設業；建設事業</t>
        </is>
      </c>
      <c r="H2672" t="n">
        <v>29</v>
      </c>
      <c r="I2672" t="inlineStr">
        <is>
          <t>また、道路の建設やバス・モノレールの運行ができるようになっている。；九州では全ての県に空港があるなど全国に空港の建設が行われた。；しかも、その割合はイギリス人がインドで建設したものが多くを占めた。；新宿区の都市計画道路に基づき、主に以下の路線が建設・計画中である。；ダラス地域高速輸送は米国南西部では初となるライトレールを建設した。；インドや中近東でも比較的早い時期から鉄道の建設が始まっている。；しかし、そのルートの相当部分が後の東海道新幹線建設で役立てられた。；このため、この間を連絡する高架鉄道の建設が行われることになった。；この新市域にイスラエルは大型のユダヤ人入植地を次々と建設している。；州道の建設と保守、および州全体の交通計画は州交通局が担当している。；現在も残るイエズス会布教所跡はこのときに建設されたものがほとんどである。；今回の公共施設の建設を巡る住民投票は全国的に見ても稀な事例である。；イタリア系と中国系の人々もこの時期に鉄道建設のためにやってきた。；工事開始に伴い改札口は分離され、西武側に新たに駅舎が建設された。；元々狭い場所に建設された経緯があり、バリアフリー化は困難な状況だった。；日本では高度経済成長期に大量に建設した橋が、大量に老朽化しつつある。；整備を進めやすいために道路よりも鉄道を優先して建設された。；昼間のみ線路建設が可能なA列車を用いて線路を建設していく。；フランスで1919年頃試験線が建設されたが、詳細な記録は残されていない。；まして壁の建設は想像してもまず不可能という判断で思いも寄らなかった。；経済建設を重視し、穏健な改革を訴え、都市市民らの支持を集めたとされる。；現在ではマンションなどの建設も進み住宅街としても発展している。；日本人のシベリア抑留者の強制労働により建設されたことで知られている。；また各地に温泉が湧き出ており、公衆浴場が古くから建設・利用されてきた。；その際には高輪から南の馬込へ伸びる区間も東京都が建設することになった。；以下の新駅建設の話が以前より出ているが、いずれも具体的計画には至っていない。；現代も残る大戦車競技場が建設されたのもこの頃と言われる。；地方の小規模な橋では、建設年の記録が残っていない例もある。；中国国境とはと呼ばれる道路が建設されている。</t>
        </is>
      </c>
      <c r="J2672">
        <f>HYPERLINK("https://www.weblio.jp/content/建設", "词义详情")</f>
        <v/>
      </c>
      <c r="K2672">
        <f>HYPERLINK("https://yourei.jp/建設", "查看例句")</f>
        <v/>
      </c>
    </row>
    <row r="2673">
      <c r="A2673" t="inlineStr">
        <is>
          <t>健全</t>
        </is>
      </c>
      <c r="B2673" t="inlineStr">
        <is>
          <t>成功</t>
        </is>
      </c>
      <c r="C2673" t="inlineStr">
        <is>
          <t>読み方：けんぜん
［名・形動］
１身心が正常に働き、健康であること。また、そのさま。「—な発達をとげる」
２考え方や行動が偏らず調和がとれていること。また、そのさま。「—な社会教育」
３物事が正常に機能して、しっかりした状態にあること。また、そのさま。「—な財政」
[派生]けんぜんさ［名］</t>
        </is>
      </c>
      <c r="D2673" t="inlineStr">
        <is>
          <t>健全化(5%)；健全なる(4%)；健全な発展(4%)；健全育成(3%)；健全な発達(2%)</t>
        </is>
      </c>
      <c r="E2673" t="inlineStr">
        <is>
          <t>いい；よい；良い；健康；元気</t>
        </is>
      </c>
      <c r="F2673" t="inlineStr">
        <is>
          <t>経営健全；健全経営；健全なる発達；健全な個人主義；健全な青少年</t>
        </is>
      </c>
      <c r="G2673" t="inlineStr">
        <is>
          <t>健全財政；健全なマクロ；健全な法治国家のために声をあげる市民の会；健全なる精神は健全なる身体に宿る；健全なネットワークビジネスを育てる議員連盟</t>
        </is>
      </c>
      <c r="H2673" t="n">
        <v>29</v>
      </c>
      <c r="I2673" t="inlineStr">
        <is>
          <t>その他、本人が健全でも周囲の証言で精神病患者とされるケースもある。；彼は経済基盤を健全化し、それを実現するために専制的な支配を強めた。；授業料収入の減少を前に、学校は健全な財政の維持に懸念を持っていた。；そのために健全な発達を阻害してそこから発達していないわけです。；既に人員削減は限界であったが、さらに経営健全化への努力は重ねられた。；四輪駆動車の安全普及やモータースポーツの健全な発展を目指している。；供給面重視の経済によって経済の健全さを回復することも約束した。；唐津市上峰町と子供の健全育成等を目的に総合交流宣言を交わしている。；気象業務の健全な発達を図ることを任務とする国土交通省の外局である。；旧地球連邦時代末期、軍の異常体質は兵器開発から健全さを奪っていた。；スポーツを通じた子どもの健全育成などの社会貢献事業を推進した。；ほとんどが健全な生態系から逸脱し、常識では考えられない生物である。；健全な議論もその前提に欠陥があれば、健全でない結論に至ることがある。；これらの作品の中で、彼女は健全で優しい女性ばかりを演じていた。；彼の主張の二つの部分がともに健全であれば時間はまやかしでしかないに違いない。；健全な個人が健全な社会を作り、健全な社会は健全な個人を育むように。；研究からも、ペットが子どもの健全な心を育てることが判明している。；ほぼ事前に予測された通りの画像を取得し、各カメラが健全な状態であることを確認した。；加盟企業については健全であるとされているが企業名は非公開である。；文書による出演契約の明確化が実現し、業界ルールの健全化が進んだ。；前提が真であるような妥当な論証を健全であると呼ぶ場合がある。；国際民間航空に関する原則と技術を開発・制定し、その健全な発達を目的とする。；しかし同時に、健全な組合がないがゆえのリスクの側面をも見る必要がある。；クラブは健全経営で知られており、創立以来借金をしたことがない。；健全なドイツの音楽的感覚とは少したりとも相通ずるところのない現象なのである。；これはまず会社が健全な文化、スポーツ活動を支援、奨励した点が挙げられる。；農家はこの期間に肥料を保管する環境的に健全な施設を備えなければならない。；健全な精神を持っているだけでは十分ではない。；青少年の健全育成を目的としており、同目的での使用ならば割引料金となる。</t>
        </is>
      </c>
      <c r="J2673">
        <f>HYPERLINK("https://www.weblio.jp/content/健全", "词义详情")</f>
        <v/>
      </c>
      <c r="K2673">
        <f>HYPERLINK("https://yourei.jp/健全", "查看例句")</f>
        <v/>
      </c>
    </row>
    <row r="2674">
      <c r="A2674" t="inlineStr">
        <is>
          <t>元素</t>
        </is>
      </c>
      <c r="B2674" t="inlineStr">
        <is>
          <t>成功</t>
        </is>
      </c>
      <c r="C2674" t="inlineStr">
        <is>
          <t>読み方：げんそ
１万物の根源をなす、それ以上分割できない要素。ギリシャ哲学の四元素（地・水・空気・火）、仏典の四大（地・水・火・風）など。
２原子番号の等しい原子だけからなる物質。現在は水素をはじめ118種とされる。他分野で用いる元素と区別して、化学元素ともいう。
[補説]2で、自然界に存在するのは原子番号92のウランまで。93番以上の元素は超ウラン元素、104番以上の元素は超アクチノイド元素とよばれ、加速器を使って人工的に合成される。→周期表［補説］</t>
        </is>
      </c>
      <c r="D2674" t="inlineStr">
        <is>
          <t>元素組成；元素転換；元素界；元素力；元素同士</t>
        </is>
      </c>
      <c r="E2674" t="inlineStr">
        <is>
          <t>要素；因子；素子；エレメント；構成単位</t>
        </is>
      </c>
      <c r="F2674" t="inlineStr">
        <is>
          <t>番元素；軽い元素；各元素；軽元素；構成する元素</t>
        </is>
      </c>
      <c r="G2674" t="inlineStr">
        <is>
          <t>元素合成；元素名；元素分析；元素鉱物；元素の周期</t>
        </is>
      </c>
      <c r="H2674" t="n">
        <v>29</v>
      </c>
      <c r="I2674" t="inlineStr">
        <is>
          <t>このような元素の増加に伴い、特性に応じた分類や系統立てが行われた。；それまでは質量が同じまたは重い元素のみがこの過程で生成されていた。；実験の結果はかつての結果と一致しており、 元素の登録が申請された。；そして、鉄よりも重い元素は超新星爆発時に生成したと考えられている。；鉄などの金属系の元素を多数取り込んだため金属質な体表となっている。；追加される周期は、第7周期よりも多くの元素を含むことが予想される。；一番有名な人の手で作られた合成元素にはプルトニウムが上げられる。；化学的性質が実験的に調べられている中で、最も重い元素の一つである。；元素99は、爆発の雲の中を漂っていたろ紙の中からすぐに発見された。；絶対的な重さを持つ元素で、自然な状態では全元素の中心に位置する。；惑星上では、ある元素がほかの元素に転換することは非常に稀である。；このような金属をつくる元素は宇宙の誕生とともに生成された訳ではない。；この族は元素を分類する上で最も重要な方法と考えられている。；そのため、原子の中で価電子の配置の仕方は元素の性質に直結している。；ただし、日本語では最卓越した元素を冒頭に持ってくるのが一般的である。；これは価電子数が同じ元素が近似した性質を持つことを表していた。；また元素の変成も困難であるため、必要な材料元素は用意する必要がある。；これらビッグバンにおける元素生成は約10分間で終了したと言われる。；フランシウムは合成でなく自然において発見された最後の元素である。；これらの任意の元素を表すために化学式中ではしばしば X と表記される。；また、鉄より重い元素は超新星爆発時に生成したと考えられている。；化学的結合とは、実際に合金中の元素が水素と化合することを意味する。；これらの岩石種と、採取される有用元素の間には明確な相関関係がある。；ニッケルを含めたこれらの元素が水素化反応には良く用いられている。；実際に多様な元素が工業的に使用されるようになったのは20世紀からである。；これらの元素はいずれも、イッテルビーから名称の一部をとって命名された。；このような過程は宇宙における多くの安定した元素の存在を説明するために必要である。；それが理由によりこれらの元素は植物の主要栄養元素と呼ばれている。；そのためには純粋な新元素の塊を得なければならない。</t>
        </is>
      </c>
      <c r="J2674">
        <f>HYPERLINK("https://www.weblio.jp/content/元素", "词义详情")</f>
        <v/>
      </c>
      <c r="K2674">
        <f>HYPERLINK("https://yourei.jp/元素", "查看例句")</f>
        <v/>
      </c>
    </row>
    <row r="2675">
      <c r="A2675" t="inlineStr">
        <is>
          <t>幻想</t>
        </is>
      </c>
      <c r="B2675" t="inlineStr">
        <is>
          <t>成功</t>
        </is>
      </c>
      <c r="C2675" t="inlineStr">
        <is>
          <t>読み方：げんそう
［名］(スル)現実にはないことをあるかのように心に思い描くこと。また、そのような想念。「—を抱く」「戦争のない未来を—する」</t>
        </is>
      </c>
      <c r="D2675" t="inlineStr">
        <is>
          <t>幻想的(23%)；幻想殺し(2%)；幻想性；幻想世界；幻想種</t>
        </is>
      </c>
      <c r="E2675" t="inlineStr">
        <is>
          <t>理想；幻；空想；錯覚；妄想</t>
        </is>
      </c>
      <c r="F2675" t="inlineStr">
        <is>
          <t>水晶幻想；そんな幻想；甘い幻想；奇怪な幻想；奇妙な幻想</t>
        </is>
      </c>
      <c r="G2675" t="inlineStr">
        <is>
          <t>幻想曲；幻想郷；幻想文学；幻想小説；幻想交響曲</t>
        </is>
      </c>
      <c r="H2675" t="n">
        <v>29</v>
      </c>
      <c r="I2675" t="inlineStr">
        <is>
          <t>雪をテーマにし、その幻想性を表現した未発表の小説が募集されている。；さらに元は他人の幻想構造であった巨大化の能力も構造を持つ形で会得。；しかしその希望は、わずか数年後には幻想であったことが明らかとなる。；絶対的な覇権への幻想など気にせずに今までとは異なる組織が必要だ。；彼女が1ヶ月ごとに恋人を変えるのは幻想の世界に生きるためだったのだ。；幻想シーンの一部も再撮影し、これらの素材を編集して完成させた。；その間の村の子供たちの心象風景を現実と幻想の交錯として描いた物語。；幻想的な朝霧が立ち込める光景で有名であり、撮影ファンが多く訪れる。；幻想的だが、根底には現実から取材したものがテーマになっていた。。；帰宅するなり横になっていたが、極めて刺激的な幻想に彩られていた。；小さくなった時には動物と会話ができるおばさんの、幻想的な冒険を描く。；ドイルの幻想的なイマジネーションが高く評価されている作品である。；一方のサテュロスは野生を象徴し繁殖力と関係のある幻想的な存在である。；彼の作品は詩的で幻想的で、そしてしばしば哲学的であろうとする。；在学中からウィーン幻想派の巨匠たちと接触し、その後を継承している。；途中に何度も登場する幻想シーンではジョン・ケージの曲が多用されている。；捏造された百科事典に語られる幻想国家とその文化をめぐる奇譚である。；また妖精のような発光体が舞うなど幻想的な風景が見えるようになる。；独特の幻想的な作風で知られ、シュルレアリスムの先駆者とも言われる。；梶井はこの実体験を主題にして発展させ幻想的な『Kの昇天』を描いた。；子供時代に見た故郷の風景や、不思議な幻想が以降の作品のキーノートになる。；そして最も幻想的な要素として飛空石と呼ばれる、宙に浮く岩が存在する。；体験の幻想性を決定づけるのは、神経学的要因ではなく社会的な要因である。；本来は虫駆除のための行事であり、川沿いに灯った万灯が幻想的な帯を作る。；同じく上田万年にも国民的文学の夢とその世界的発展の幻想を根付かせた。；鹿之助はこの技法を用いて、静けさに満ちた幻想的な風景画を多く残した。；子供だけが存在する幻想的な世界を特徴としている。；なお、この技術は木山春生が幻想御手を作る際参考にしたとされる。；それも純の漫画の中のことらしく、現実と幻想の境界は曖昧になる。</t>
        </is>
      </c>
      <c r="J2675">
        <f>HYPERLINK("https://www.weblio.jp/content/幻想", "词义详情")</f>
        <v/>
      </c>
      <c r="K2675">
        <f>HYPERLINK("https://yourei.jp/幻想", "查看例句")</f>
        <v/>
      </c>
    </row>
    <row r="2676">
      <c r="A2676" t="inlineStr">
        <is>
          <t>現像</t>
        </is>
      </c>
      <c r="B2676" t="inlineStr">
        <is>
          <t>成功</t>
        </is>
      </c>
      <c r="C2676" t="inlineStr">
        <is>
          <t>読み方：げんぞう
［名］(スル)
１撮影したフィルム・乾板などを薬品で処理して、映像をあらわし出すこと。デジタルカメラの場合、撮影・記録したRAW形式の未加工のデータを、専用のソフトウエアを使って処理することを指す。
２ある事柄が、ある形をとってあらわれること。また、その形。
「是れも亦圧制政府の—である」〈鉄腸・花間鶯〉</t>
        </is>
      </c>
      <c r="D2676" t="inlineStr">
        <is>
          <t>現像する(7%)；現像処理(3%)；現像機；現像後；現像工程</t>
        </is>
      </c>
      <c r="E2676" t="inlineStr">
        <is>
          <t>くる；開発；来る；展開；発展</t>
        </is>
      </c>
      <c r="F2676" t="inlineStr">
        <is>
          <t>未現像；発色現像；raw現像；リバーサル現像；現像剤</t>
        </is>
      </c>
      <c r="G2676" t="inlineStr">
        <is>
          <t>現像所；現像室；現像タンク；現像技師；現像主薬</t>
        </is>
      </c>
      <c r="H2676" t="n">
        <v>29</v>
      </c>
      <c r="I2676" t="inlineStr">
        <is>
          <t>急いで現像する必要もないだろうから、普通のカメラで充分ではないか。；写真の出来に応じて現像するか否かをコマごとに決めることはできない。；こうして何度やっても失敗し、一年半もたったが現像がうまく行かない。；そこで現像で生成した銀も未反応の臭化銀も両方とも溶解させてしまう。；また、逆に東映作品であっても同社で現像していない作品も存在する。；一部でCTPに対応した現像レスプレートなどの技術も開発されている。；撮影後数分のうちに、カメラの中で現像ができている流行のカメラだった。；既に現像ずみの百本のうち、七本までは、現在までに分析し終えました。；いつも夜に焼きつけや現像をするので帰りがおそくなるのだと言っている。；そして夜は写真の現像などしたり、焼付けたりして時間を消している。；全ての写真は二枚ずつ現像され、その一組は、現在、警察のところにある。；どうしてもその日のうちに現像しておきたいフィルムがあったのだ。；次に、第一現像で現像されなかった部分を反応させるための処理が行われる。；つまり撮影されたものは任意の期間を置いたのちに現像され映像化されてよいわけである。；このフィルムを現像させよう、そうすればもっといろいろなことがわかる。；すぐスピード・プリント・サービスに出して、現像してもらったのよ。；必要な機材はすべて購入し、誰からの助けもなしに現像し、撮影した。；さすがにまだ僕の写真が現像されているということはないだろう。；昼間習つた事を、其の晩現像して、翌る朝焼きつけるのではないか知ら。；客のフィルムを現像したり焼付したりする、いまでいうDPEの仕事だ。；現像はすませていないが、そのフィルムはポケットに四本も入っている。；ファイルの中には彼が亡くなったときに持っていたカメラから現像した写真があった。；自動現像機などのメーカーであるエフシー製作所を設立し、社長を務めた。；この方法は現像処理と呼ばれるが、この方法も4種類に分類される。；現在は自治体から大幅に拡大し、セルビアで最速の現像領域になっている。；工作ではホバークラフトを作ることもあり、写真では現像もしていた。；写真撮影には熱心で自ら現像も手がけ、現在もなお多くの写真が残されている。；それにしてもうまいところへ隠しインキの現像薬を隠したものである。；研究の仕事で顕微鏡写真を現像していた父親から現像の仕方を教わる。</t>
        </is>
      </c>
      <c r="J2676">
        <f>HYPERLINK("https://www.weblio.jp/content/現像", "词义详情")</f>
        <v/>
      </c>
      <c r="K2676">
        <f>HYPERLINK("https://yourei.jp/現像", "查看例句")</f>
        <v/>
      </c>
    </row>
    <row r="2677">
      <c r="A2677" t="inlineStr">
        <is>
          <t>原則</t>
        </is>
      </c>
      <c r="B2677" t="inlineStr">
        <is>
          <t>成功</t>
        </is>
      </c>
      <c r="C2677" t="inlineStr">
        <is>
          <t>読み方：げんそく
多くの場合に共通に適用される基本的なきまり・法則。「—を立てる」「—から外れる」「—として部外者の立ち入りを禁止する」</t>
        </is>
      </c>
      <c r="D2677" t="inlineStr">
        <is>
          <t>原則禁止；原則非公開；原則廃止；原則無料；原則どおり</t>
        </is>
      </c>
      <c r="E2677" t="inlineStr">
        <is>
          <t>法；定め；規定；ルール；規制</t>
        </is>
      </c>
      <c r="F2677" t="inlineStr">
        <is>
          <t>大原則；一般原則；三原則；四原則；原理原則</t>
        </is>
      </c>
      <c r="G2677" t="inlineStr">
        <is>
          <t>原則論</t>
        </is>
      </c>
      <c r="H2677" t="n">
        <v>29</v>
      </c>
      <c r="I2677" t="inlineStr">
        <is>
          <t>これは通信主管庁の業務を他の者が担ってはならないとする原則である。；また、開通後の名称変更は原則的に行われないが、中には例外もある。；技術用語以外の規定では、長音をつけることを原則としている規則もある。；イギリスでは原則として犯罪の捜査と訴追の権限は警察が有している。；ただしこれらの原則や政策は現状から考えて実施することは大きな困難である。；日本語諸方言では原則として、同じ類の語は同じ型のアクセントを持つ。；そして、入門時に所属した部屋から、他部屋への移籍は原則認められない。；そのため捜査官を規律するための原則がいくつも定められている。；終局後に反則が判明した場合も、原則として反則をした側の負けとなる。；原則「キッズケータイ」に付けられているが、下記のように例外もある。；道路記事ではスタブテンプレートは原則としてのみを使用してください。；使用車両は原則的に6000系だが、通勤形電車も使用されることがある。；これらの原則は個人差が大きいので画像診断学での利用では注意が必要である。；全路線が原則として、バリアフリー対応の小型車両で運行されている。；カッコ内は主な系統のうち、原則として毎日、終日運行されている区間。；昇級は1つ上の組に上がり、降級は1つ下の組に下がるのが原則である。；文字体系の呼称や用語の表記は、原則として次の文献に見えるものによった。；非核三原則を打ち出したのは佐藤内閣であり、受賞はその点を評価された。；この文字が表す音素は原則としてもしくは、またはその類似音である。；各種類のカードに定められたルール上の原則はカードの効果によって無視されることがある。；以前は8両編成で運行されていたが、原則10両編成で運転された。；原則として全線通しの運転であるが、始終発は以下の通り区間運転となる。；国際補助言語の選択と制度化の原則は、バハイ教の重要な教義の中にある。；人は必ず国籍を持ち、かつ唯一の国籍を持つべきとする原則である。；構造的には原則として以下のようになっていたとされる。；「不登録」と決議された物件は、原則として再推薦することができない。；これらの主なものは王位継承決定の規則と王領不可譲の原則である。；北は清水経由、子は子飼橋経由で、原則往復とも同じ番号を表示する。；路線の駅一覧テンプレートの大原則は以下の通りとします。</t>
        </is>
      </c>
      <c r="J2677">
        <f>HYPERLINK("https://www.weblio.jp/content/原則", "词义详情")</f>
        <v/>
      </c>
      <c r="K2677">
        <f>HYPERLINK("https://yourei.jp/原則", "查看例句")</f>
        <v/>
      </c>
    </row>
    <row r="2678">
      <c r="A2678" t="inlineStr">
        <is>
          <t>謙遜</t>
        </is>
      </c>
      <c r="B2678" t="inlineStr">
        <is>
          <t>成功</t>
        </is>
      </c>
      <c r="C2678" t="inlineStr">
        <is>
          <t>読み方：けんそん
［名・形動］(スル)へりくだること。控え目な態度をとること。また、そのさま。「—して何も語らない」
「（小サナ花ハ）きわめて—な、有るか無きかのものである」〈寅彦・病室の花〉</t>
        </is>
      </c>
      <c r="D2678" t="inlineStr">
        <is>
          <t>謙遜な態度；謙遜な心；謙遜家；謙遜な気持；謙遜な言葉</t>
        </is>
      </c>
      <c r="E2678" t="inlineStr">
        <is>
          <t>遠慮；卑下；嗜み；謙譲；慎み</t>
        </is>
      </c>
      <c r="F2678" t="inlineStr">
        <is>
          <t>御謙遜；謙遜な気持ち</t>
        </is>
      </c>
      <c r="H2678" t="n">
        <v>29</v>
      </c>
      <c r="I2678" t="inlineStr">
        <is>
          <t>彼は謙遜する人間ではないので、これは本気でそう言っているのだった。；私にはその答えが謙遜過ぎてかえって世間を冷評するようにも聞こえた。；私たちは謙遜に偏見なしに自分たちのおかれている周囲の現実を眺める。；自分で自分の体冷静に見て一応そう謙遜して言ってるだけじゃないよ。；彼はこれらの人々の前に謙遜になろうなどと考えたことはなかったのです。；それは何より先に謙遜なる心の回復を意味するのでなければならない。；腹芸ができないと言ったのは謙遜でも牽制でもなく本当のことなのだろう。；相手は謙遜ではなく、限りなく自分自身を過大評価している御仁だろう?；彼は謙遜な男ではあったけれども、それをみとめないではいられなかった。；彼らに差別意識は毛頭ないが、謙遜とは馬鹿のすることだと思っている。；意はそれでよいが夫人の謙遜をそのまま肯定した言葉は少し気の毒である。；謙遜などではなく、本当に基礎的な知識しかぼくは持っていません。；また、謙遜にパン焼きなどの修道院内の様々な労働に熱心に取り組んだ。；自己の生活に對して實際的に謙遜に考へねばならぬことを教へられた。；私はこの心持ちを謙遜な心持ちだとも高慢な心持ちだとも思っていない。；彼は気さくで謙遜であっただけでなく、とても美しい演奏を披露した!；謙遜ではなく、本気でそう思っている兄を見て、妹は深くため息をついた。；私は謙遜なる心持ちでいったのだけれどあまり好感情は与えませんでした。；人を使うことに巧みな人は、何ごとも謙遜してへりくだった姿勢をとる。；出来るだけ身を落して謙遜の最低音を掻き鳴らして見てゐたといふ訳さ。；お乗せする力などありませんと、謙遜そうに言うことはないんや。；ただし自分に関係あるものを思いつき次第に悪くいうのが謙遜だと信じている。；あなたは謙遜して、あまり表には出しませんが常にきちんと努力をなされている。；謙遜とかではなく、クラスで噂になった男子等も皆無なのであった。；将軍も礼儀だから何度も謙遜し辞退したあとで、ようやくその席についた。；そんな特に、謙遜の言葉が出るのは、民族性のなさしめることであろう。；謙遜のしすぎだと言われそうだけれど、実際にそうなのだもの。；彼女は感謝して彼の愛撫をうけたが、その態度は謙遜といってもいいほどだった。；謙遜したものだから最早談話が済んだと思って、老爺は行ってしまった。</t>
        </is>
      </c>
      <c r="J2678">
        <f>HYPERLINK("https://www.weblio.jp/content/謙遜", "词义详情")</f>
        <v/>
      </c>
      <c r="K2678">
        <f>HYPERLINK("https://yourei.jp/謙遜", "查看例句")</f>
        <v/>
      </c>
    </row>
    <row r="2679">
      <c r="A2679" t="inlineStr">
        <is>
          <t>現存</t>
        </is>
      </c>
      <c r="B2679" t="inlineStr">
        <is>
          <t>成功</t>
        </is>
      </c>
      <c r="C2679" t="inlineStr">
        <is>
          <t>読み方：げんそん
［名］(スル)《「げんぞん」とも》現在、実際にあること。現実に存在していること。「—する最古の文献」</t>
        </is>
      </c>
      <c r="D2679" t="inlineStr">
        <is>
          <t>現存する最古(3%)；現存最古；現存する唯一；現存する最も古い；現存数</t>
        </is>
      </c>
      <c r="E2679" t="inlineStr">
        <is>
          <t>所在；既存；存在</t>
        </is>
      </c>
      <c r="F2679" t="inlineStr">
        <is>
          <t>唯一現存；移築され現存；現存例；解体され現存；移築現存</t>
        </is>
      </c>
      <c r="G2679" t="inlineStr">
        <is>
          <t>現存艦隊主義；現存天守；現存量；現存在分析；現存しない星座</t>
        </is>
      </c>
      <c r="H2679" t="n">
        <v>29</v>
      </c>
      <c r="I2679" t="inlineStr">
        <is>
          <t>最も大きな彫刻はエジプトの神殿や墓から出土したものが現存している。；ただし現存する一里塚の多くは道の片側にのみ存在していることが多い。；修道院設立に伴い、現存する修道院教会の建設は1507年に始まった。；これがおそらく唯一の現存するシベリウスの自作自演だろうと思われる。；火星の過去の居住性や現存する生命の可能性を評価する調査が行われている。；晩年は電気の研究に注力したが、その成果はほとんど現存していない。；現存球団では東北楽天ゴールデンイーグルスで達成した選手はいない。；ギリシア悲劇のほとんどは散逸しており、現存するのは 等のみである。；現存するケルト語派の言語とそれぞれの話者人口は、以下の通りである。；複数の研究から、現存する最も近縁な種はミノバトと示唆されている。；南大阪線の現存する全車両の制御器は日立製作所製で統一されている。；次に挙げる著作はエウクレイデスのものとされているが、現存しない。；現存する最古の都市とされるサナア旧市街は世界遺産に登録されている。；同分局で製作された機械の中で現存する唯一のものである。；なお一覧中には、廃業、撤退などにより現存していないメーカーを含む。；その多くが様々な場所で偶像破壊され、最も多くの現存作品はドイツにある。；同書は大ベストセラーにもかかわらず現存数が少なく入手困難である。；馬琴が手探りで記し、路が書き継いだ原稿が早稲田大学に現存している。；なお、類似の装飾は中世後期のものがトスカーナには多く現存している。；大量生産されたため、動態車両6両を含む多くの車両が現存している。；これが駿府城唯一の現存建築物であり、三島市文化財に指定されている。；現存する陶淵明の作品は、詩・散文を合わせて130余首が伝えられる。；なお、当線を運営していた会社は関鉄筑波商事に社名変更し、現存する。；旧マイカルが展開していた業態の中では唯一現存している業態である。；近年まで開業当時の駅舎が現存していたが、2018年に改築された。；著書が現存せず、どのような説を唱えたのかははっきりしない。；現存するマヤの写本は、大部分が破損したものを含めて4冊のみである。；なお四角い土俵は各地の神社や南部相撲などに現存し使用されている。；実際に使用された物のいくつかは現存しておりヨーロッパ各地の博物館などで見ることが出来る。</t>
        </is>
      </c>
      <c r="J2679">
        <f>HYPERLINK("https://www.weblio.jp/content/現存", "词义详情")</f>
        <v/>
      </c>
      <c r="K2679">
        <f>HYPERLINK("https://yourei.jp/現存", "查看例句")</f>
        <v/>
      </c>
    </row>
    <row r="2680">
      <c r="A2680" t="inlineStr">
        <is>
          <t>現代</t>
        </is>
      </c>
      <c r="B2680" t="inlineStr">
        <is>
          <t>成功</t>
        </is>
      </c>
      <c r="C2680" t="inlineStr">
        <is>
          <t>読み方：げんだい
１現在の時代。今の世。当世。「—社会」
２歴史上の時代区分の一。ふつう、日本史では第二次大戦後の時代、世界史では第一次大戦後の時代をさす。</t>
        </is>
      </c>
      <c r="D2680" t="inlineStr">
        <is>
          <t>現代的(5%)；現代風；現代版；現代化；現代科学</t>
        </is>
      </c>
      <c r="E2680" t="inlineStr">
        <is>
          <t>現在；今；時代；今日；近年</t>
        </is>
      </c>
      <c r="F2680" t="inlineStr">
        <is>
          <t>現代文化；現代作家；現代アメリカ；現代日本人；現代表記</t>
        </is>
      </c>
      <c r="G2680" t="inlineStr">
        <is>
          <t>現代人；現代社会；現代日本；現代的；現代劇</t>
        </is>
      </c>
      <c r="H2680" t="n">
        <v>29</v>
      </c>
      <c r="I2680" t="inlineStr">
        <is>
          <t>現代の若者達は、意識の奥でみんなババを引いてしまったと感じている。；現代の地図上の左右、つまり地図の北を上にしたときの左右ではない。；古代の哲学者たちはしばしば現代でいう論理学者や数学者を兼ねていた。；現代のような自然科学は19世紀になってようやく誕生したものである。；現代でも様々な場で使用されており、鉄に次いで重要な金属材料といえる。；アメリカ合衆国の新形式主義運動も現代のソネットへの関心に貢献した。；さらに現代では、イギリスの植民地文化にも大きな影響を受けている。；古くバリトンパートを表すのに使われたが、現代ではあまり見られない。；教会の修道院は勉学と研究の場であり、のちに現代の大学の基礎となった。；現代でも食料・飲み水・農業・輸送などあらゆる面で国民生活を支えている。；現代においてこのような伝承、古代の証言を支持するのは少数派である。；現代数学において基礎的な役割を果たし、幅広い分野に応用されている。；現代的な仕様のシステムでは余分にディスク領域を使用しても問題はない。；この期間に生まれた音楽は現代まで継承されているものも多い。；この方向の違いを共に取り入れたのが現代の日本の花火技術である。；現代では主に自身の性格やそれに基づいた相性を知るために利用する人がいる。；明治三十一年勅令第九十号これは、現代の表記に直すと次の通りである。；その技法は形を変えつつも途絶えることなく以降の現代へ続いている。；このふたつは現代の日本語においてもそれぞれ重要な役割を担っている。；現代の聖書研究でもっとも広く支持されている仮説は二資料仮説である。；近・現代では、概して言えば、十進法表記が用いられていることが多い。；現代でも旧・家臣団が鳴沢家当主の法要に列席するために集まってくる。；現代で主流となっているのは65年〜70年ごろの成立という説である。；この3者が現代スーダンの住民対立の大きなグループとしてあげられる。；現代でも簡単にシーケンスデータを表現するものとしてよく使われている。；もう一つは、現代の目から見れば意外な事に高速機としてであった。；それらの多くは現代でもロシアの文化を代表するものとして親しまれている。；これは現代では素粒子物理学などの物理学の諸分野でも常識となっている。；現代の製図ペンは多様な線幅のペン先が揃えられているのが一般的である。</t>
        </is>
      </c>
      <c r="J2680">
        <f>HYPERLINK("https://www.weblio.jp/content/現代", "词义详情")</f>
        <v/>
      </c>
      <c r="K2680">
        <f>HYPERLINK("https://yourei.jp/現代", "查看例句")</f>
        <v/>
      </c>
    </row>
    <row r="2681">
      <c r="A2681" t="inlineStr">
        <is>
          <t>見地</t>
        </is>
      </c>
      <c r="B2681" t="inlineStr">
        <is>
          <t>成功</t>
        </is>
      </c>
      <c r="C2681" t="inlineStr">
        <is>
          <t>読み方：けんち
［名］(スル)
１物事を考えたり論じたりする場合の、よりどころとなる立場。観点。「教育的な—に立つ」
２土地を実際に見て調べること。</t>
        </is>
      </c>
      <c r="D2681" t="inlineStr">
        <is>
          <t>見地ヨリ；見地区；見地カラ</t>
        </is>
      </c>
      <c r="E2681" t="inlineStr">
        <is>
          <t>見；目；眼；判断；立場</t>
        </is>
      </c>
      <c r="F2681" t="inlineStr">
        <is>
          <t>高い見地；そういう見地；こうした見地</t>
        </is>
      </c>
      <c r="H2681" t="n">
        <v>29</v>
      </c>
      <c r="I2681" t="inlineStr">
        <is>
          <t>これまで教育的な見地から各方面の協力が得られた事で継続してこれた。；そこで僕は専門的な見地からデータを精査して、独特の意見を発表する。；業績を高く評価する意見はあっても、実用語学の見地からの評価である。；そのため一般の人々からも脳生理学的見地からも多くの批判を受けた。；同様の見地から、判例の拘束力も事実上のものにすぎないとされている。；言語設計の見地からはこれで十分であるが、以下のような欠点もある。；この見地よりする戦争の発達史および将来への予見が本研究の眼目である。；その発端は部派仏教への批判的見地から起こった側面があるとされている。；こういう見地の下に彼は有害な言葉五十以上を見つけ出したのである。；そのため神の存在は道徳的実践的見地から要請されねばならない、とした。；右のごとき道元の見地は、彼の「道得」の論に十分示されていると思う。；これがまた俳句が他の文学に比較して格段の見地を有することになっている。；彼はこの見地から、詩は一気に読み得るものでなければならないと主張しました。；ただ僕はおまえを僕の見地へ立たして見さえすればよかったんだ。；主題は自ら階級的見地で扱われていて、或る場合はひどく上手でさえあるのだ。；政治的見地からすれば彼自身、不幸な最後を予想しない訳ではなかったろう。；それはクェーカーの教義をさまざまな見地から絵に描くことであった。；ただ私の言うのは、人間的見地からみて、価値が小さいということだ。；それ以前の慶長見地では大窪村一村としてまとめられて見地されている。；その上に私のこの希望を正当と思わせるもう一つの見地がある。；依然として彼我の境を有して、我の見地から彼を描かなければならぬ。；この歴史についてもも少し違った見地からの新しい研究がほしい。；それは彼がなお哲学的な見地で、万事にこころをもやしていたときである。；考古学的見地や伝統的な踊りからタイで無数の武器が一度も使われたことは証明されていない。；以下、これまでに言語学的見地から唱えられた主要な説について解説する。；さもなくば、人間の見地からはそのほうは存在せぬことになろう。；金融政策の見地から、預金通貨の動向の調査は非常に大きな意味を持つ。；また今より三十年前には、暴動はなお他の見地からも考察されていた。；またコストダウンの見地から国鉄電車と同一の部品が一部に用いられている。</t>
        </is>
      </c>
      <c r="J2681">
        <f>HYPERLINK("https://www.weblio.jp/content/見地", "词义详情")</f>
        <v/>
      </c>
      <c r="K2681">
        <f>HYPERLINK("https://yourei.jp/見地", "查看例句")</f>
        <v/>
      </c>
    </row>
    <row r="2682">
      <c r="A2682" t="inlineStr">
        <is>
          <t>現地</t>
        </is>
      </c>
      <c r="B2682" t="inlineStr">
        <is>
          <t>成功</t>
        </is>
      </c>
      <c r="C2682" t="inlineStr">
        <is>
          <t>読み方：げんち
１ある事が実際に行われている、また行われる場所・土地。現場。「—におもむく」「—採用」
２現在、自分が住んでいる土地。「—に永住する」</t>
        </is>
      </c>
      <c r="D2682" t="inlineStr">
        <is>
          <t>現地住民(2%)；現地語；現地民；現地入り；現地取材</t>
        </is>
      </c>
      <c r="E2682" t="inlineStr">
        <is>
          <t>現場；戦場；フィールド；戦地；野辺</t>
        </is>
      </c>
      <c r="F2682" t="inlineStr">
        <is>
          <t>現地生産；現地企業；現地政府；現地通貨；現地事務所</t>
        </is>
      </c>
      <c r="G2682" t="inlineStr">
        <is>
          <t>現地時間；現地調査；現地法人；現地生産；現地調達</t>
        </is>
      </c>
      <c r="H2682" t="n">
        <v>29</v>
      </c>
      <c r="I2682" t="inlineStr">
        <is>
          <t>現地で地名が変化したのに、周辺言語が古い地名を保存することもある。；このため現地での日本関連イベントに招聘されて公演をする機会が多い。；製作される映画は英語のものと現地語のものがほぼ半分ずつと言われている。；日本として新幹線の車両技術を輸出・現地導入した初めての事例である。；スープはやや現地化されているが、基本的には日本のものと大差はない。；現地の政治情勢に到着したばかりのマゼランが首を突っ込んでしまった。；海外に輸出されたアニメの主題歌を現地語吹き替えで歌っている例もある。；これは現地でニュースとして扱われており、日本でも一部報道された。；なお、本誌の漫画だけではなく、現地の漫画家の作品も掲載されている。；現地では通常モドリ・ピノまたはモドリ・ブルグンデツと呼ばれている。；韓国人が現地でロシア人に襲撃され、死亡した例も複数報じられている。；ルクッルスは現地のものと合わせて5個軍団を中核とする軍を編成した。；現地語のクレオール語がフランス語を語源とするのは、ここに由来する。；民間からも難民を助ける会などのNGOが現地で援助活動をしていた。；現地政府はその中に治安攪乱の意図を持った者がいないか心配した。；上記と近い意味もあるが、より、現地報告的な色彩が強い作品を意味する。；しかし結局ナポレオン4世は現地でズールー族の槍を食らって戦死した。；スペインの植民地であった頃に、現地議会の急進独立派のメンバーであった。；なおこれらの区間も現地案内標識では「東九州道」の表記がされている。；中国では日本から技術導入した工場が現地製造している。；現地では日本と同じくタクシーなどとして数多く使用されている。；現地の決意であるべきで常時編成しておくようなものではない。；従ってまず、現地で停戦協定を実行して空気を緩和することが重要である。；そして現地に到着するとスキピオの助言に逆らって直ちに攻撃を命じた。；またこの時、現地にあった韓侯国が入れ替わりに現在の陝西省に移った。；台湾では日本の作品の翻訳だけでなく、現地作家の作品もあり、高い人気がある。；現地の住民の間ではパトワと呼ばれるクレオールの一種が使われる。；そのため、最終的に半数は現地の中国人から採用して訓練した部隊となった。；この事件の際に7日から翌日8日にかけて現地警察がデモ参加者を逮捕。</t>
        </is>
      </c>
      <c r="J2682">
        <f>HYPERLINK("https://www.weblio.jp/content/現地", "词义详情")</f>
        <v/>
      </c>
      <c r="K2682">
        <f>HYPERLINK("https://yourei.jp/現地", "查看例句")</f>
        <v/>
      </c>
    </row>
    <row r="2683">
      <c r="A2683" t="inlineStr">
        <is>
          <t>建築</t>
        </is>
      </c>
      <c r="B2683" t="inlineStr">
        <is>
          <t>成功</t>
        </is>
      </c>
      <c r="C2683" t="inlineStr">
        <is>
          <t>読み方：けんちく
［名］(スル)家屋などの建物を、土台からつくり上げること。また、その建物やその技術・技法。「注文—」「木造—」「耐震—」</t>
        </is>
      </c>
      <c r="D2683" t="inlineStr">
        <is>
          <t>建築物(8%)；建築家(4%)；建築事務所；建築様式；建築技術</t>
        </is>
      </c>
      <c r="E2683" t="inlineStr">
        <is>
          <t>建設；構成；組織；建物；システム</t>
        </is>
      </c>
      <c r="F2683" t="inlineStr">
        <is>
          <t>大建築；公共建築；石造建築；土木建築；住宅建築</t>
        </is>
      </c>
      <c r="G2683" t="inlineStr">
        <is>
          <t>建築物；建築様式；建築設計；建築学科；建築基準法</t>
        </is>
      </c>
      <c r="H2683" t="n">
        <v>29</v>
      </c>
      <c r="I2683" t="inlineStr">
        <is>
          <t>登録を希望する者は最初に認定大学レベルの建築学校で勉強する必要がある。；実際の墨俣城は簡易な建築や柵で構成されたものであったとされている。；しかし、駅の建築基準を満たさなかったため、結局新たに建設し直した。；登録サービスは建築の程度を提供する機関の認定も提供している。；たとえば、日本で建築用に使われているものには以下のような寸法がある。；建築用以外にも電気や水道など施工図を必要とする業界にも普及した。；その字面からこの日に建築事を行うと三軒隣まで亡ぼすとされたためである。；また、建築運動 メタボリズムグループへの影響力のある後援者だった。；建立当時の人々にはキエフ以東で最も美しい建築として崇敬されていた。；芸術ホールは著名な建築家によるヨーロッパの美術館・博物館建築である。；建築・料理なども同様にイタリア化したものになっている。；中央口駅舎は初代新歌舞伎座の設計で有名な建築家・村野藤吾の設計。；これらの建物は、前述の建築指示により軒高が揃うように建設されている。；これが駿府城唯一の現存建築物であり、三島市文化財に指定されている。；市政府ビルおよび劇場はソ連時代に建設された建築である。；多くの地域と同じようにバビロニアの古い建築を代表するものは宗教建築である。；元和4年の建築で、第二次世界大戦にも焼け残った貴重な建造物である。；アメリカ大陸で多くの建築作品があり、日本にもいくつか作品を残している。；ハンブルクの学校やル・コルビュジエの事務所で建築を学んだ経験がある。；古代以来の各時代や社会と建築の関係、工法の発達などを研究する。；古代ローマ人はローマ帝国の各地に同様のコンクリート建築を建設した。；また籠城のための武器の買い入れ、総構の修理・櫓の建築なども行った。；旧海軍時代に建てられた古い建築物も多く残っているのが特徴。；三角形の辺の長さを計算できることは、特に建築において重要である。；英語圏の国ではほとんどが建築調査測量を明確な職業と見なしている。；また、以下はテンプル地区への激しい爆撃に耐えた著名な建築である。；メキシコでは建築事業が建築家以外の個人によってなされるのが一般的である。；近年では建築意匠を完成後に建築写真という形で保存する傾向もある。；父王から相続した豊かな富は、宮廷での奢侈と豪奢な建築に費やされた。</t>
        </is>
      </c>
      <c r="J2683">
        <f>HYPERLINK("https://www.weblio.jp/content/建築", "词义详情")</f>
        <v/>
      </c>
      <c r="K2683">
        <f>HYPERLINK("https://yourei.jp/建築", "查看例句")</f>
        <v/>
      </c>
    </row>
    <row r="2684">
      <c r="A2684" t="inlineStr">
        <is>
          <t>顕著</t>
        </is>
      </c>
      <c r="B2684" t="inlineStr">
        <is>
          <t>成功</t>
        </is>
      </c>
      <c r="C2684" t="inlineStr">
        <is>
          <t>読み方：けんちょ
［形動］［文］［ナリ］際立って目につくさま。だれの目にも明らかなほどはっきりあらわれているさま。「—な業績」「徴候が—に現れる」</t>
        </is>
      </c>
      <c r="D2684" t="inlineStr">
        <is>
          <t>顕著である(12%)；顕著な例(3%)；顕著であり(3%)；顕著な特徴；顕著な普遍的価値</t>
        </is>
      </c>
      <c r="E2684" t="inlineStr">
        <is>
          <t>目立つ；優れて；著しい；ひときわ；注目すべき</t>
        </is>
      </c>
      <c r="F2684" t="inlineStr">
        <is>
          <t>顕著な性的二形；顕著な大陸性気候；顕著ナル者；顕著な功労；顕著な実例</t>
        </is>
      </c>
      <c r="H2684" t="n">
        <v>29</v>
      </c>
      <c r="I2684" t="inlineStr">
        <is>
          <t>特にトンガとロツマの言語に関連するものを含む面が顕著に現れている。；顕著な雨季は見られないものの、降雨のほとんどは夏の数ヶ月に起こる。；特に何かを強制させようとするとそれが顕著に現れ極めて攻撃的になった。；実際に金は苦しんでいたが、それ以上に南宋軍の弱体化が顕著であった。；その少女の持つ神秘性を、とくに顕著に表すようなスタイルでもある。；一般にハッカーと広く目される人には、一定の顕著な共通点が見出される。；鉱物の粒度が大きくなり縞状の構造が顕著になったものを片麻岩という。；それが最も顕著に出ている有名な例は目の付き方であろう。；この傾向はコンピューターRPGにおいて特に顕著なものとなっている。；白亜紀後期は中央構造線の活動が最も顕著であったと考えられている。；入信した大名の領地では、特に顕著にキリスト教が広がることになった。；ただし、性能に顕著な差を感じるほどではないとする証言もある。；島全体が神域とされたため、血や死といった穢れの忌避は顕著であった。；これが大規模な風同士が接触して顕著な気象が起こることの初めての考えとなった。；新興住宅地の新設駅が徐々に設備内容を充実させていった顕著な例といえる。；顕著な例としてスペイン・オーストリアのハプスブルク家が挙げられる。；いくつかの物理現象は、対象が小さくなるほどその影響が顕著になる。；これらの非線形の影響が顕著になるのは振幅が大きい低音域のときである。；その他にも新幹線の開通で空港の旅客数が顕著に減少する例が多い。；なお、戦前の統計によると、現在とは逆に東高西低の傾向が顕著であった。；さらに、近年顕著な傾向だが、ヒーローはすべてを救えないときもある。；特に中東・北アフリカ地域での極度の貧困率の増加が顕著となっている。；ブリスベンの経済は主に第二次、第三次産業の発展が顕著に見られる。；地球の長い歴史をみると、顕著な海面上昇と海面低下は何度も発生している。；ロンとハーマイオニーの恋愛関係は、原作よりも映画の方が顕著である。；実験データはこの理論の予測精度が他の理論のものと比べて顕著に高いことを示している。；土手に設けられたため、ホームの幅が狭く、特に高尾寄りは顕著である。；逃亡農民の数を抑えるための対策もなされ、農奴制への移行が顕著になった。；一方、碧海郡明治村の明治航空基地では顕著な被害は記録されていない。</t>
        </is>
      </c>
      <c r="J2684">
        <f>HYPERLINK("https://www.weblio.jp/content/顕著", "词义详情")</f>
        <v/>
      </c>
      <c r="K2684">
        <f>HYPERLINK("https://yourei.jp/顕著", "查看例句")</f>
        <v/>
      </c>
    </row>
    <row r="2685">
      <c r="A2685" t="inlineStr">
        <is>
          <t>県庁</t>
        </is>
      </c>
      <c r="B2685" t="inlineStr">
        <is>
          <t>成功</t>
        </is>
      </c>
      <c r="C2685" t="inlineStr">
        <is>
          <t>読み方：けんちょう
県知事を長とし、県の行政事務を取り扱う役所。「—所在地」</t>
        </is>
      </c>
      <c r="D2685" t="inlineStr">
        <is>
          <t>県庁内(3%)；県庁移転(2%)；県庁職員；県庁所在都市；県庁方面</t>
        </is>
      </c>
      <c r="F2685" t="inlineStr">
        <is>
          <t>奈良県庁；金沢県庁；県庁正門；県庁機能；筑摩県庁</t>
        </is>
      </c>
      <c r="G2685" t="inlineStr">
        <is>
          <t>県庁舎；県庁前；県庁通り；県庁前駅；県庁前交差点</t>
        </is>
      </c>
      <c r="H2685" t="n">
        <v>29</v>
      </c>
      <c r="I2685" t="inlineStr">
        <is>
          <t>校長は県庁に出て行ったきり、帰ったのかどうかもはっきりしなかった。；はじめて私のところにあらわれたときは、神戸の県庁の役人をしていた。；四日めには県庁のテーブルで、県貴族団の財産の検査が行なわれた。；県庁があった場所は若森県庁跡の名でつくば市の史跡に指定されている。；県庁はすでに開いていて、その中へ入れば公衆電話ぐらいある筈であった。；建築では、県庁・病院・学校などを当時としては大きな規模で多数作った。；そのため、県庁内では課長以上のクラスに沖縄県人が入ることがなかった。；かつて県庁が置かれていた四日市市が所属していた三重郡に由来する。；中学校の校長先生のところへ相談に行ったら、県庁へ紹介してくれた。；将来は力士になるとは全く考えておらず、教師か県庁員を志していた。；又、厄介などこかの県庁に引張り出しに来たのかと思ったに違いない。；車から県庁の向かいの原っぱを眺めたが、どこまでも夕闇に包まれていた。；また県庁の役人でも来たかなと思つてゐると、どうもさうでない。；県庁などのビルが立ち並ぶ市街地は当駅より7kmほど北西方向にある。；公的な場で宇都宮への県庁移転が論じられたのはこれが初めとされる。；それは県庁の役人だけでなく、建設省の偉い役人にまで及んだそうです。；県庁が所管していた国の業務の一部は政府の地方庁が継承している。；福井県は国土総合開発法の施行を機に県庁内に総合開発調査係を設置。；これは、廃藩置県後の県の合併で、県庁を失った地域でも同様である。；県庁のある町で、しかも東京に近く、最も発達しない町は浦和である。；この令は県庁に掲示され、民衆にもこの戦いの大義名分を知らしめた。；つい二、三日前も、県民三千名が大挙県庁に押しかけた報らせがあった。；県庁など栃木県の主要施設を抱え、県の中心ともいえる地域である。；運動の過程で、暴徒化した住民らが県庁等を襲撃し、騒擾事件に発展した。；決して無能で県庁を辞めざるをえなかったのではないことも、すぐに知れた。；県の人口が約二〇〇万、県庁のあるこの町の人口が二五万。；そのようにして彼は県庁の所にき、それから神学校の所まできた。；県庁の周囲や中庭には、ドイツ兵、ファシスト兵が大勢たむろしていた。；県庁内では「水上君の気ちがひの御柱」と噂されていると新聞に書かれた。</t>
        </is>
      </c>
      <c r="J2685">
        <f>HYPERLINK("https://www.weblio.jp/content/県庁", "词义详情")</f>
        <v/>
      </c>
      <c r="K2685">
        <f>HYPERLINK("https://yourei.jp/県庁", "查看例句")</f>
        <v/>
      </c>
    </row>
    <row r="2686">
      <c r="A2686" t="inlineStr">
        <is>
          <t>限定</t>
        </is>
      </c>
      <c r="B2686" t="inlineStr">
        <is>
          <t>成功</t>
        </is>
      </c>
      <c r="C2686" t="inlineStr">
        <is>
          <t>読み方：げんてい
［名］(スル)
１物事の範囲や数量を限ること。「参加資格を—する」「200部—」
２思考の対象の性質・範囲などを狭めて明確に定めること。</t>
        </is>
      </c>
      <c r="D2686" t="inlineStr">
        <is>
          <t>限定的(9%)；限定される(7%)；限定生産；限定盤；限定版</t>
        </is>
      </c>
      <c r="E2686" t="inlineStr">
        <is>
          <t>決定；指定；条件；制限；限界</t>
        </is>
      </c>
      <c r="F2686" t="inlineStr">
        <is>
          <t>生産限定；季節限定；台限定；ファンクラブ限定；完全限定</t>
        </is>
      </c>
      <c r="G2686" t="inlineStr">
        <is>
          <t>限定版；限定盤；限定販売；限定品；限定商品</t>
        </is>
      </c>
      <c r="H2686" t="n">
        <v>29</v>
      </c>
      <c r="I2686" t="inlineStr">
        <is>
          <t>異なる測定方法を相互相関させることで距離を限定することができる。；サイト上で無料で参照できるランキングは一部に限定されている。；ただし飛脚の絵は会社の社章でもあるので用途を限定して使用されている。；しかし、これは戦争の限定された本質を明らかにしているに過ぎない。；しかし無料で医療が受けられる範囲は、法定の範囲に限定されている。；特に健康な人を対象にした臨床研究では信頼性はかなり限定的である。；産業の未成熟で限定的な輸送力しか必要としない地域に建設される事例が多い。；消化不良も改善しうるとの研究結果があるがエビデンスは限定される。；ただし乾燥した地中海沿岸では、古くから森林の発達は限定的であった。；これを受け植物界の範囲はさらに限定的なものへと変化していく。；軍隊と社会の関係は一般的に限定されたものとなりやすい。；ただし、動物の行動や発生といった限定的なものはいくつか実験されている。；書かれた言語や民族、国、時代などを限定して研究することも多い。；また近年ではコース中でゴミを捨てて良い区間が一部に限定されている場合もある。；これらの島の王国政務における影響は限定されているが、確かに存在する。；対して一般の歩兵部隊ではごく限定的な数が運用されるのみである。；そのため作品の大半は舞台が同じ都市に限定されている。；このほか、イベント等の際に鉄道線限定の一日乗車券を販売することがある。；主流はヨーロッパでモペッド向けに使用される例など、限定的なものである。；この改札口の利用はアメリカ軍の許可を受けた者に限定される。；以下の記載は、基本的に路線バスとしての高速バスに限定して記述する。；不公正な取引方法に該当する手段が多いが、それに限定されるものではない。；すべてのパートナーについて、その責任が限定されているのが特徴である。；ここでは、劇場映画化されたことのある作品に限定して列挙する。；同年7月以降はが当駅限定の弁当を新幹線改札内の売店で販売している。；カタカナ語のデザインは、形状、表面の設計に限定して用いることがある。；よって、馬にかかる負担を考慮すれば出走可能な競走は大きく限定されることになった。；よって、首座主教の権限は他の国・地域の聖公会に比しても限定的である。；諸外国においても責任無能力者の範囲を限定する立法が多くなっている。</t>
        </is>
      </c>
      <c r="J2686">
        <f>HYPERLINK("https://www.weblio.jp/content/限定", "词义详情")</f>
        <v/>
      </c>
      <c r="K2686">
        <f>HYPERLINK("https://yourei.jp/限定", "查看例句")</f>
        <v/>
      </c>
    </row>
    <row r="2687">
      <c r="A2687" t="inlineStr">
        <is>
          <t>減点</t>
        </is>
      </c>
      <c r="B2687" t="inlineStr">
        <is>
          <t>成功</t>
        </is>
      </c>
      <c r="C2687" t="inlineStr">
        <is>
          <t>読み方：げんてん
［名］(スル)誤りや違反などがある場合に、点数を減らすこと。また、その減らす点数。</t>
        </is>
      </c>
      <c r="D2687" t="inlineStr">
        <is>
          <t>減点される(13%)；減点対象(5%)；減点方式(3%)；減点法；減点処分</t>
        </is>
      </c>
      <c r="F2687" t="inlineStr">
        <is>
          <t>五十点減点</t>
        </is>
      </c>
      <c r="H2687" t="n">
        <v>29</v>
      </c>
      <c r="I2687" t="inlineStr">
        <is>
          <t>煙突上部には1本の棒が立てられているが、その棒を触ると減点になる。；ただし、他人から親切にされると貯めたポイントから減点されてしまう。；首を鶴のように内に曲げたり、チャカついているのも大幅な減点材料だ。；減点にならない警告を残した状態でも100点を取る事が可能である。；おそらくは君が勝者になるだろうが、減点が付いては教会が黙っていない。；グリフィンドールとしては、これ以上減点される余裕はないはずだろう?；ランキング表には今週どれくらい減点されたのかも明記されていた。；こういう印象の弱いタイトルは減点対象になるみたいですよ。；違う色の敵を撃ってもミスにはならないが評価が減点される。；誰かさんがポコポコ減点を追加してくれるからそうしないといけないだけで。；演技はこのライディングエリア内で行われ、エリア外に出た場合は減点となる。；さらに、演技が終わった後に、総合観察の採点が記され、減点が行われる。；ぼくの気持ちで減点したとしても、まあなかなかのスタイルである。；広報 あまりに多いから、出てきた時点で減点したくなりますよ。；こうして、全セクション終了時点で減点合計が一番少ない者が勝者となる。；この事件が終息しないうちは、ほかの何をやっても減点なんだ。；一回戦は、頭を下げて減点を取られたが、文句なく判定勝ちを収めた。；演舞の際は鳴子を使用することを求められ、使用しない場合は減点対象になる。；残念ながらよく受けたのですが持ち時間をオーバーして、減点となりました。；着地地点がK点に達しなかった場合は減点され、超えた場合は加算される。；競技形式はいくつかあるが、基本的に採点は減点方式で行われる。；大減点があった場合の認定は原則として認められていない。；結果レフェリーが 減点ではなく一発で失格の裁定になり王座獲得ならず。；完全な演技には満点が与えられ、そうでない場合は減点される。；これまでのシリーズとは違い、乗り込む乗客をドアで挟んでしまった時に減点はされない。；また団旗の布部分を地面につけると減点になる。；理由が正当でも決断が遅れていれば、減点されるのが東條の採点法だった。；逆に、ルールを逸脱した解答をした場合などには減点対象となる。；最も広く採用されているのは10点満点の減点方式である。</t>
        </is>
      </c>
      <c r="J2687">
        <f>HYPERLINK("https://www.weblio.jp/content/減点", "词义详情")</f>
        <v/>
      </c>
      <c r="K2687">
        <f>HYPERLINK("https://yourei.jp/減点", "查看例句")</f>
        <v/>
      </c>
    </row>
    <row r="2688">
      <c r="A2688" t="inlineStr">
        <is>
          <t>原典</t>
        </is>
      </c>
      <c r="B2688" t="inlineStr">
        <is>
          <t>成功</t>
        </is>
      </c>
      <c r="C2688" t="inlineStr">
        <is>
          <t>読み方：げんてん
引用や翻訳などのよりどころになる、もとの文献。「—を引用する」</t>
        </is>
      </c>
      <c r="D2688" t="inlineStr">
        <is>
          <t>原典批判；原典通り；原典資料；原典訳；原典研究</t>
        </is>
      </c>
      <c r="E2688" t="inlineStr">
        <is>
          <t>オリジナル；底本；原本；原書；種本</t>
        </is>
      </c>
      <c r="F2688" t="inlineStr">
        <is>
          <t>アラビア語原典；ギリシア語原典；ヘブライ語原典；速記原典；旧原典</t>
        </is>
      </c>
      <c r="H2688" t="n">
        <v>29</v>
      </c>
      <c r="I2688" t="inlineStr">
        <is>
          <t>参照時点で原典が存在せず転記となっているなど正確性も不明であった。；本物の原典は、自らのページを魔法陣に変えて半永久的に活動し続ける。；魔道書の『原典』にも記されていない事をいっぱい知っていたのだろう。；しかしそのペルシア語その他の原典があるかどうか疑わしい模様である。；松山敏の名で詩集、詩の翻訳などを出すが、原典訳ではないものも多い。；しかし、多くの演奏家は原典通りに未完成のまま演奏しているようである。；中国では原典となる著書が既に多数存在し、ポピュラーな物語りだった。；イソップ寓話の原典については、存在したかどうかも含めて不明である。；更新された原典は、古い版に含まれていない文字の識別だけに用いてもよい。；黒い星印は、この画像の原典たる論文が主題とするの化石産出地を示す。；なぜなら音楽的な解釈の原典は口承により表現されてきたからである。；またスンナ派とシーア派の両方の原典に記載され、受け入れられている。；原典には章の区別などは無いが、慣習的に34の節に分けられたりもする。；新しい時間軸における彼の役割は原典となる作品とほぼ同様である。；一部のアイテムのデザインと動きが原典基準に変更されている。；それは原典そのものが自動制御の魔法陣のようになってしまうからだと言った。；下に附け加えたのは原典の番号で、そのあとは私の翻訳の題名である。；一部のキャラクターには原典に登場しないゲームオリジナルの必殺技を持つ。；原典にアメリカにて撮影された10分程度のシーンを追加した内容となっている。；原典を読むことによって最も多く自分自身の考えを得ることもできるのである。；両者は共に同一の原典から訳されたもので一定の対応関係がある。；この版の著者たちはオリバシオスのこの本の原典を求めるのに苦心をした。；二つの互いに反立し合う取り扱いがなされた痕跡が原典には残されている。；以下の記述においても、原典のまま表記の揺れを残して記している。；それならば、もっと強大な力を持つ『原典』に直接動いてもらえば良い。；原典には章の区分は無いが、慣用的には33の章に分けられている。；前に述べた規則的に読むという必要は原典の場合において特に大きいであろう。；原典では体内に操縦者がいたが、本作品では自我を持って動いている。；これは日本独自の翻案であり、原典においてはそのような設定はない。</t>
        </is>
      </c>
      <c r="J2688">
        <f>HYPERLINK("https://www.weblio.jp/content/原典", "词义详情")</f>
        <v/>
      </c>
      <c r="K2688">
        <f>HYPERLINK("https://yourei.jp/原典", "查看例句")</f>
        <v/>
      </c>
    </row>
    <row r="2689">
      <c r="A2689" t="inlineStr">
        <is>
          <t>原点</t>
        </is>
      </c>
      <c r="B2689" t="inlineStr">
        <is>
          <t>成功</t>
        </is>
      </c>
      <c r="C2689" t="inlineStr">
        <is>
          <t>読み方：げんてん
１長さを測定する場合に基準となる点。
２物事を考えるときの出発点。「—に帰って考えなおす」「戦後思想の—」
３《origin》数学で、座標の基準になる点。平面・空間では座標軸の交点、数直線上では0点。
４マージャンで、勝ち負けをはかる基準となる点数。</t>
        </is>
      </c>
      <c r="D2689" t="inlineStr">
        <is>
          <t>原点回帰；原点中心；原点o；原点攻防戦；原点方位角</t>
        </is>
      </c>
      <c r="E2689" t="inlineStr">
        <is>
          <t>基準；参考；起点；出発点；目安</t>
        </is>
      </c>
      <c r="F2689" t="inlineStr">
        <is>
          <t>経緯度原点；水準原点</t>
        </is>
      </c>
      <c r="H2689" t="n">
        <v>29</v>
      </c>
      <c r="I2689" t="inlineStr">
        <is>
          <t>特に後者を社会に埋めこまれたものとし、市場の原点があると注目する。；これは解を考える範囲として原点を含まない場合には考える必要がある。；この中で最上流部に計画されていた前鬼口ダムが池原ダムの原点である。；さまざまなゲームを遊ぶことを可能にした携帯型ゲーム機の原点である。；グルヌイユは失望し幻滅して彼の人生の原点であるパリへ移動し始めた。；学生クラブが原点ということもあり、クラブは若い選手を中心に活動した。；ベクトル空間からどの点が原点であるかを忘れたものと考えることもできる。；もちろんギコネコ的なキャラクターの原点がまったく無かった訳ではない。；実部が のときに上記と同じく軌跡は繰り返し原点を通る曲線になる。；日本 海外で活躍する日本人も含む 救い出した鍵盤ハーモニカが原点。；コミックスの帯では、同作者の百合の原点的作品と解説されている。；また特に、どの点が原点を与えるのかを認識することができない。；設立された「中森小科学ロケットクラブ」が後のまっすぐの原点となる。；物体の位置を表現するには原点からの位置ベクトルを使う方法もある。；ある時空上の点を出発した光は、出発点を原点とした光的な領域の上を運動する。；舞台を作る仕事の原点は子ども時代にあるのかもと話した。；原点が決まると原点から観測に都合の良い地点を選んで原方位を決定する。；バンドものの原点とも言われ、男性の漫画ファンにも人気を博した。；また 2 つの固有ベクトルは分布の中心が原点となるように配置してある。；ここでいう法線は直線と原点とを結ぶ最短の線分のことを指している。；こうした慈善型の援助は、国際協力の世界では原点とも言える活動である。；また森が取り組んだ改革に今日の日本代表チームの原点があるともいわれる。；金星紅旗は、統一ベトナムの原点であるベトミンの旗が基になっている。；のちに蘭学の道を経て思想家となる過程にも、この学統が原点にある。；回転中心を原点とする座標系を考えると、これらの定義は同等である。；が原点を中心とする半径 の円上を動くとき、 は から まで変化する。；誤解または混同されがちであるが、建物自体が水準原点であるわけではない。；ウルトラスの応援スタイルの原点となったこの年を創立年としている。；しかし、原点を中心とした2次モーメントを考えることは可能である。</t>
        </is>
      </c>
      <c r="J2689">
        <f>HYPERLINK("https://www.weblio.jp/content/原点", "词义详情")</f>
        <v/>
      </c>
      <c r="K2689">
        <f>HYPERLINK("https://yourei.jp/原点", "查看例句")</f>
        <v/>
      </c>
    </row>
    <row r="2690">
      <c r="A2690" t="inlineStr">
        <is>
          <t>限度</t>
        </is>
      </c>
      <c r="B2690" t="inlineStr">
        <is>
          <t>成功</t>
        </is>
      </c>
      <c r="C2690" t="inlineStr">
        <is>
          <t>読み方：げんど
そこまでと限られている程度。認めうる範囲の、ぎりぎりのところ。かぎり。「我慢にも—がある」「—を超える」「融資—額」
→限界［用法］</t>
        </is>
      </c>
      <c r="D2690" t="inlineStr">
        <is>
          <t>限度額(8%)；限度いっぱい；限度内；限度以上；限度以下</t>
        </is>
      </c>
      <c r="E2690" t="inlineStr">
        <is>
          <t>程度；限り；範囲；制限；程</t>
        </is>
      </c>
      <c r="F2690" t="inlineStr">
        <is>
          <t>最大限度；上昇限度；一定限度；最少限度；必要な限度</t>
        </is>
      </c>
      <c r="G2690" t="inlineStr">
        <is>
          <t>限度額認定証</t>
        </is>
      </c>
      <c r="H2690" t="n">
        <v>29</v>
      </c>
      <c r="I2690" t="inlineStr">
        <is>
          <t>なお、一部のカードでは目的別に複数の限度額が設定されている場合がある。；国は自治体に対して補助限度額の範囲内で費用の半分以内の補助を行う。；金円券政策失敗の最大の原因は発行限度額を無視して発行を続けた点にある。；それがある程度の限度を越えた時は目の前にぶら下がったスイッチを入れる。；俺さなど構うな言ったげんども、暇あ見づけっど顔を見に来てくれたべし。；既述の枠組みが構築された後に段階的にこの限度額は引き上げられてきた。；さうして妻に送るべき十二圓は私の收入から分割し得べき最大限度であります。；彼は、これがロシアの求める最小限度の要求であること清国側に説明した。；メルキオルの放縦は、少なくとも初めのうちはある限度を越えなかった。；そもそも、家長の権限なるものを、わしは最少限度にしか用いておらん。；しかし、ファスト映画の1つの問題は引用に必要な限度がないことです。；部署に最少限度の兵員を残して、あと二十名ばかりのものが集ってきた。；エルヴィスでは四ページが限度だろう、これより多くてはいけない気がする。；ある時代が享け容れるものには限度があるといふことになるのであらうか?；また彼は自分の望みに限度をわきまえており、その筋目は明らかであった。；自分の権利を最大限度に要求することははなはだ卑劣に陥る所以と思う。；この価格が契約価格で、近年は最低価格に限度を設ける場合も少なくない。；それで稲の一日を縮めるのに、或る限度があることはもちろんである。；受け入れ可能な宿泊者数に限度があるため完全予約制となっている。；それぞれ1か月の限度額は本会員・家族会員の合算額での算出となる。；彼はこの時の運転手であり、血中アルコール濃度は法定限度を超えていた。；これと同様に人の張る気も自然にその持続し易い間はおよそ限度がある。；個体が子をつくり育てることに当てられる資源や時間には限度がある。；ただし、各サッカー協会が選手を戻せるのは年間7回までが限度である。；これは被害者の家族から「限度を超えている」と批判されている。；クラブ全体の収入を元に使用限度額が毎年発表される。；人間の知覚が耐えうる限度を超えた何か途方もなく強い音の衝撃を受けたかのように。；当初ユニバーサルは作品の成功を見込み、製作予算に限度をつけなかった。；資金は楽しむために必要なものではあるが限度を超えてこれを増やす理由があろうか?</t>
        </is>
      </c>
      <c r="J2690">
        <f>HYPERLINK("https://www.weblio.jp/content/限度", "词义详情")</f>
        <v/>
      </c>
      <c r="K2690">
        <f>HYPERLINK("https://yourei.jp/限度", "查看例句")</f>
        <v/>
      </c>
    </row>
    <row r="2691">
      <c r="A2691" t="inlineStr">
        <is>
          <t>検討</t>
        </is>
      </c>
      <c r="B2691" t="inlineStr">
        <is>
          <t>成功</t>
        </is>
      </c>
      <c r="C2691" t="inlineStr">
        <is>
          <t>読み方：けんとう
［名］(スル)よく調べ考えること。種々の面から調べて、良いか悪いかを考えること。「—を重ねる」「—の余地がある」「問題点を—する」</t>
        </is>
      </c>
      <c r="D2691" t="inlineStr">
        <is>
          <t>検討する(12%)；検討される(3%)；検討会議；検討し始め；検討課題</t>
        </is>
      </c>
      <c r="E2691" t="inlineStr">
        <is>
          <t>研究；みる；考える；調査；調べ</t>
        </is>
      </c>
      <c r="F2691" t="inlineStr">
        <is>
          <t>比較検討；検討対象；調査検討；詳細な検討；慎重な検討</t>
        </is>
      </c>
      <c r="G2691" t="inlineStr">
        <is>
          <t>検討会；検討中；検討チーム；検討事項</t>
        </is>
      </c>
      <c r="H2691" t="n">
        <v>29</v>
      </c>
      <c r="I2691" t="inlineStr">
        <is>
          <t>導入までに数度社会実験を行いながら他路線も含めて検討が進められる。；リュティはソ連の要求を議会に知らせず、ドイツの要求の検討を行った。；また列車の運転する区間や異なる路線への直通列車の設定を検討する。；張は各種の版本を検討した結果、紹煕本は非常に優れていると提唱した。；そのほか、地球以外の惑星でも類似の動力による飛行が検討されている。；物体の変形や破壊などに対する負担の大きさを検討するのに用いられる。；また5年ごとに会議を開き、条約の運営状況を検討することを定めている。；初期に連盟が検討した問題は、パリ講和条約で指定されたものだった。；F1選手権への追加の検討が一度でもなされたレースイベントは以下。；その問題に対し、学校・教育側は方言の授業を設ける等を検討している。；この映像は今後の計画検討の際などに利用される予定である。；より具体的には以下のような要素を考慮してハードウェアの構成が検討される。；登場前には窓上にも赤帯を巻くことも検討されたが、実現しなかった。；当SAを活用した形でスマートインターチェンジの建設が検討されている。；チェコの工場を閉鎖して別の国に工場を新設することを検討している企業も多い。；日本人が購入を検討する場合には欧米人との体格の差に注意する必要がある。；紛失の場合と同様に新たな番号のカードへ切り替え再発行の依頼も検討する。；予後の悪いタイプや万が一再発してしまったときは移植医療を検討する。；保護すべきとの声もあったが、それでもまだ莫大な数がおり検討されなかった。；スマートグリッド等の総合的な対策が各国で検討推進されている。；ヘンダーソン基地艦砲射撃に参加する案も検討されたが取りやめとなった。；日本でもアメリカ方式の養成方式を行うことが検討されている。；陸軍中央では1944年初頭に組織的な航空特攻の検討が始まった。；句構造文法ベースではなく依存文法や格文法などを検討することもある。；その会議で様々な特攻対策が検討され、一部は実現されていった。；日大側は設備の設置を検討したが、老朽化により屋根がもたないと判断。；ロシアが開発を検討していた有人宇宙船でソユーズを代替する予定だった。；現役世代を圧迫するとして廃止や廃止の検討をしている組合が出てきている。；なお、これらの亜種の分布域は明瞭でないため、検討が必要とされている。</t>
        </is>
      </c>
      <c r="J2691">
        <f>HYPERLINK("https://www.weblio.jp/content/検討", "词义详情")</f>
        <v/>
      </c>
      <c r="K2691">
        <f>HYPERLINK("https://yourei.jp/検討", "查看例句")</f>
        <v/>
      </c>
    </row>
    <row r="2692">
      <c r="A2692" t="inlineStr">
        <is>
          <t>見当</t>
        </is>
      </c>
      <c r="B2692" t="inlineStr">
        <is>
          <t>成功</t>
        </is>
      </c>
      <c r="C2692" t="inlineStr">
        <is>
          <t>読み方：けんとう
１大体の方向・方角。「駅はこの—です」
２はっきりしていない事柄について大体の予想をすること。見込み。「犯人の—はついている」「—をつける」
３版画や印刷で、刷る紙の位置を決めるための目印。その形からトンボともいう。
４（接尾語的に用いて）数量を表す語に付いて、その程度の数量であることを表す。…ぐらい。「五〇人—」</t>
        </is>
      </c>
      <c r="D2692" t="inlineStr">
        <is>
          <t>見当もつか(20%)；見当がつい(6%)；見当違い(5%)；見当がつきませ；見当もつきませ</t>
        </is>
      </c>
      <c r="E2692" t="inlineStr">
        <is>
          <t>推定；推測；想定；予測；察し</t>
        </is>
      </c>
      <c r="F2692" t="inlineStr">
        <is>
          <t>大体見当；見当識；およそ見当；見当すらつか；見当識喪失</t>
        </is>
      </c>
      <c r="G2692" t="inlineStr">
        <is>
          <t>見当ら；見当ちがい；見当り；見当たり；見当違</t>
        </is>
      </c>
      <c r="H2692" t="n">
        <v>29</v>
      </c>
      <c r="I2692" t="inlineStr">
        <is>
          <t>一体自分は何を調べているのか、それも確かな見当は付いていなかった。；私は三十くらいと見当をつけたが、実際はもういくつか上だったらしい。；彼は今でもその時の彼女が幾つぐらいの歳ごろであったか見当がつかない。；そうすれば世に行われると、まあ、こういう見当をつけたのであります。；あんな時刻になぜラジオが鳴ってたのか、僕には見当がつきませんよ。；しかし、いまの僕には、なにをしたらいいのか、見当もつかないのです。；長瀬さんと呼ばれてゐたが、どういふ役目の人だか見当がつかなかつた。；コンティニ宮がどこにあるかさえも、まったく見当がつきませんでした。；日光の視えぬ穴の底では、今が昼か夜か、それすらも殆ど見当が付かぬ。；たいがいの見当はついているんだが、ぼくがわざと捜しに行かないんだ。；私あ自分でどこに居たか知りませんがね、火の手はお宅様の見当でしょう。；だが、新フリスコ港につくのがいつになるやら、見当がつかなくなった。；しかし、彼はそれをどう書いていいのか、さっぱり見当がつかなかった。；しかし実際に当って見ると、どれがどうなるのか一寸見当が付きにくい。；そこを見分ける必要がありますが、大体は地図を見れば見当がつきます。；目を閉じて横の方へうんと投げて、どの見当で音がするか当ててみる。；彼は、しかし、これからどうしていいのか、少しも見当がつかなかった。；彼が見当をつけていたあたりよりも、かなり左にそれた位置だった。；その為め独り合点になってしまって、相手には何のことか見当がつかない。；そう思うのだが、しかし、なにをすれば良いのか見当がつかなかった。；何となく画家のうちにもおおよその見当を自分で発見して来た如くである。；だからわたしはどこからわたしの原料がきているのか見当がついた。；しかしどういう処へ自分は連れられて来たのか見当が付かなかった。；けれども、それでは一体、どうすればいいのか、まるで見当がつかない。；ここまでくると、もはや俗物には見当がつかないと云うべきかも知れない。；が、それでもまだどこと云う見当がつかないのですこし困っていた。；彼は考えに考えたが、さて何をいったい考えたらいいのか見当がつかなかった。；しかし婦人参政権はいつ女の手に入るかはまったく見当がつかない。；まだ私は、知らぬ物や、何であるのか更に見当もつかぬ物まで喰っている。</t>
        </is>
      </c>
      <c r="J2692">
        <f>HYPERLINK("https://www.weblio.jp/content/見当", "词义详情")</f>
        <v/>
      </c>
      <c r="K2692">
        <f>HYPERLINK("https://yourei.jp/見当", "查看例句")</f>
        <v/>
      </c>
    </row>
    <row r="2693">
      <c r="A2693" t="inlineStr">
        <is>
          <t>健闘</t>
        </is>
      </c>
      <c r="B2693" t="inlineStr">
        <is>
          <t>成功</t>
        </is>
      </c>
      <c r="C2693" t="inlineStr">
        <is>
          <t>読み方：けんとう
［名］(スル)困難に屈せず、がんばって闘うこと。不利な条件があるのによく努力すること。「—をたたえる」「強敵に伍して—する」</t>
        </is>
      </c>
      <c r="D2693" t="inlineStr">
        <is>
          <t>健闘する(8%)；健闘ぶり；健闘を祈ります；健闘むなしく；健闘虚しく</t>
        </is>
      </c>
      <c r="E2693" t="inlineStr">
        <is>
          <t>活躍；大活躍；快進撃；大暴れ；活躍ぶり</t>
        </is>
      </c>
      <c r="F2693" t="inlineStr">
        <is>
          <t>ご健闘；善戦健闘；獲得するなど健闘；御健闘；引き分けるなど健闘</t>
        </is>
      </c>
      <c r="H2693" t="n">
        <v>29</v>
      </c>
      <c r="I2693" t="inlineStr">
        <is>
          <t>個人タイムトライアルでも安定した成績を残し総合でも3位と健闘した。；同大会では結成して間もないにもかかわらず準決勝に進出するなど、健闘。；しかし、この大会でデビューした国々の中で唯一ハンガリーは健闘した。；最後は敗者復活戦で敗れてしまった彼であったが、8位入賞と健闘した。；翌年に日本で開催された世界選手権に出場し、強豪国相手に健闘を見せた。；たった一つの戦闘に勝利したことを全員で大いに喜び、健闘を称えあっていた。；更に一部の日本語用語も、より健闘精神を煽るものへと変えられた。；十両の土俵でも健闘していたが、2000年9月場所前に現役を引退した。；東洞窟では海軍部隊と南部隊が、ここでも多数の死傷者を出しながら健闘していた。；個人総合でも日本女子で唯一決勝に進み、15位に入る健闘を見せた。；そのうえ、海軍の健闘と惨敗が、陸軍をかなりムキにさせたともいえる。；敗れはしたが、3大会連続で決勝進出チームを相手に3-1と健闘した。；直線で失速したものの、脚部不安のなか牡馬に伍しての5着と健闘した。；その後も山岳で健闘して総合7位に入り、マリア・ビアンカを獲得した。；と思うとまた杯を向けては、豪放に気を変えて、その健闘を励ましたりした。；以降も夏のクイーンステークスで2着に入るなど牝馬路線で健闘を続けた。；この正成の健闘に刺戟されて、次々と天皇方に味方するものが出て来たのである。；このアルバムはヨーロッパ及びアメリカのチャートでも健闘した。；NBAの有力選手なしで残した3位という結果を大健闘だと評価する者もいた。；視聴率としては高いとは言えないが、当時の状況を思えば大健闘の数字である。；彼等は、六波羅は尚健闘を続け天皇方の軍を支えて善戦しているものと考えていた。；これで三戦目の選手が健闘すれば、まだ優勝の望みもあるのだ。；しかし年間ランキングでは初のWRカー参戦ながら10位と健闘した。；も4月に単独首位に立つなど健闘したものの、徐々に調子を落としていった。；一方前年5位と健闘したリュク・ルブランはここで力尽きて去っていった。；伝蔵は二、三人を相手になお健闘していましたが、討取られてしまいました。；また、支持を拡大してきた第3党の自由民主党は、6議席増と健闘した。；調教師は、海外出身の調教師が多いなか、香港出身者も健闘している。；まさか知季がここまで健闘するとは思っていなかったのだ。</t>
        </is>
      </c>
      <c r="J2693">
        <f>HYPERLINK("https://www.weblio.jp/content/健闘", "词义详情")</f>
        <v/>
      </c>
      <c r="K2693">
        <f>HYPERLINK("https://yourei.jp/健闘", "查看例句")</f>
        <v/>
      </c>
    </row>
    <row r="2694">
      <c r="A2694" t="inlineStr">
        <is>
          <t>剣道</t>
        </is>
      </c>
      <c r="B2694" t="inlineStr">
        <is>
          <t>成功</t>
        </is>
      </c>
      <c r="C2694" t="inlineStr">
        <is>
          <t>読み方：けんどう
日本の武道の一。面・籠手(こて)・胴・垂(たれ)などの防具を着装し、決められた相手の部位を竹刀で打ったり突いたりして勝敗を争う競技。</t>
        </is>
      </c>
      <c r="D2694" t="inlineStr">
        <is>
          <t>剣道場(4%)；剣道大会(3%)；剣道師範；剣道着；剣道連盟</t>
        </is>
      </c>
      <c r="F2694" t="inlineStr">
        <is>
          <t>現代剣道；剣道部；女子剣道；剣道道場；剣道教室</t>
        </is>
      </c>
      <c r="G2694" t="inlineStr">
        <is>
          <t>剣道家；剣道範士；剣道教士；剣道形；剣道具</t>
        </is>
      </c>
      <c r="H2694" t="n">
        <v>29</v>
      </c>
      <c r="I2694" t="inlineStr">
        <is>
          <t>男三人兄弟で兄と弟は野球をしていたがイトキンだけ剣道をやっていた。；バレーボールや剣道などつま先に瞬間的な力がかかる競技で起きやすい。；晩年に失明したが、剣道では視力のある者のごとく稽古していたという。；自宅の敷地内には剣道場があり、町の人たちにも存在は知られている。；制服を好み、学生時代は常に詰襟学生服か剣道着で生活していたという。；野球を始めたのは中学校の頃からで小学校時代は剣道をやっていた。；このドラマ上での森田の剣道着姿や台詞、口調を物真似される事もある。；晩年は津田一伝流を思い出せず現代剣道のみを指導していたようである。；剣道のような防具を身につけて短い竹刀を用いて打突しあう競技である。；障害を克服するため、剣道や居合の稽古をより行うようになったという。；加藤は剣道七段でもあり、剣道の有段者に天然理心流を教授したという。；剣道は今でも仕事の後で練習をしているとのことで、発声練習にもなるという。；剣道では、真正面から突垂等に直線的に攻撃する技のことを突きと称する。；剣道の組織的活動は禁止され、明治維新についで二度目の危機を迎えた。；関東学生剣道連盟とは別に東京都学生剣道クラブという組織が存在する。；剣道の競技化を嫌い、切り返しや掛かり稽古等基本を徹底して指導した。；六段以上の合格者は全剣連の広報誌や大手剣道雑誌に氏名が公表される。；剣道では過去に5名の十段が存在したが現在では廃止されている。；思斉会は第二次大戦後の剣道復興に多大な貢献をもたらすこととなった。；小学生のときは剣道をしていたが、中学校入学時にバレーボール部へ入る。；下記には構えを記しておくが、剣道修行者は、下記のようには表現はしない。；金太郎も父の命で剣道を習い、宿子たちと修身や四書五経などを学んだ。；父は地元の学校の校長で剣道の指導者だった阿部利蔵、母はコトだった。；伝統の断絶を危惧する声もあり、1992年に大学剣道では解禁された。；しかし剣道は三段で、インターハイで山口県代表に選ばれるほどの腕前。；剣道に青春をかける対照的な少女の成長をユーモラスかつ爽やかに描く。；現代の剣道はルールのあるスポーツにも分類されるが、後述のように論争がある。；現在も警視庁の武道専科生は剣道のみならず小野派一刀流を学んでいる。；剣道の防具を参考に空手用に作られたもので、布、皮を主素材としている。</t>
        </is>
      </c>
      <c r="J2694">
        <f>HYPERLINK("https://www.weblio.jp/content/剣道", "词义详情")</f>
        <v/>
      </c>
      <c r="K2694">
        <f>HYPERLINK("https://yourei.jp/剣道", "查看例句")</f>
        <v/>
      </c>
    </row>
    <row r="2695">
      <c r="A2695" t="inlineStr">
        <is>
          <t>言動</t>
        </is>
      </c>
      <c r="B2695" t="inlineStr">
        <is>
          <t>成功</t>
        </is>
      </c>
      <c r="C2695" t="inlineStr">
        <is>
          <t>読み方：げんどう
人前で言ったり、したりすること。言葉と行い。言行。「軽はずみな—を慎む」</t>
        </is>
      </c>
      <c r="D2695" t="inlineStr">
        <is>
          <t>言動不一致</t>
        </is>
      </c>
      <c r="E2695" t="inlineStr">
        <is>
          <t>行い；態度；行為；仕方；振る舞い</t>
        </is>
      </c>
      <c r="F2695" t="inlineStr">
        <is>
          <t>異常な言動；奇妙な言動；奇矯な言動；不可解な言動；差別的言動</t>
        </is>
      </c>
      <c r="H2695" t="n">
        <v>29</v>
      </c>
      <c r="I2695" t="inlineStr">
        <is>
          <t>顔見せがないことから、外部で言動が噂になることもほとんどなかった。；この言動には白鳥と近い主張をしていた者達の間からも批判が出た。；反国王派だったこれまでの言動と一致しない態度が非難され、支持を失った。；周囲にいる者は、被害者にも責任の一端があったかのような言動は避ける。；ここではソクラテスの言動は揶揄のために誇張されていると考えられる。；ウリベは政治家としても大統領としてもその言動が議論の対象になった。；言動は原作やアニメ版と変わらないが、生徒たちには信頼されている。；尚、後に本人が語ったところでは巨人への入団を希望しての言動であったとのこと。；北朝鮮のメディアではアメリカを敵国扱いする言動が繰り返されている。；もっとも、権力を恐れてこれまでの言動を翻した者の方がはるかに多かった。；しかし父に簒奪の意図があると知って、不満を抱き、言動にも現れた。；また、アーネストが少しでも反抗的な言動や態度があれば体罰があった。；当然のようにFBIの保護はあったが、行動や言動は自由であった。；しかし、この選挙の際のニクソンの言動が後々まで尾を引くこととなった。；行動や言動も映画1作目と原作版を合わせたものとなっている。；晩年のオーヴィルには、飛行機を発明したことを後悔する旨の言動がある。；その非道な言動は、過去に起きた事件のトラウマによる決意に由来する。；戦闘になると普段とは打って変わり攻撃的な言動に変わり、恐怖を忘れて戦っている。；彼らからの投稿を元に源石がアナウンサーらしからぬ言動で進行していた。；その結果、バーの言動は大きく変わり、8か月もの間に入院していた。；皮肉屋のような言動が目立つが、根はしっかりしていて目はまっすぐとした青年。；登場人物のほとんどが独特のノリを持っており、奇抜な言動・行動が多い。；服装だけでなく、癖や言動などもマナーの上では取り沙汰されやすい。；実際は3歳児以前から言語に遅れがみられ、ほかにも言動が尊大に見られる。；この悪夢のような安息日の後もツヴィの言動は常に議論の対象となっていた。；コンビ時代末期は仲が悪く、宮川が星田の言動に常にイライラしていた。；遺書は残されておらず、事前に自殺を示唆するような言動は見られなかったという。；彼女も愛を受けられずに育ったため、感情表現は下手で冷めた言動が多い。；以後内部告発者は連邦捜査官に協力して監督者の言動を密かに録音した。</t>
        </is>
      </c>
      <c r="J2695">
        <f>HYPERLINK("https://www.weblio.jp/content/言動", "词义详情")</f>
        <v/>
      </c>
      <c r="K2695">
        <f>HYPERLINK("https://yourei.jp/言動", "查看例句")</f>
        <v/>
      </c>
    </row>
    <row r="2696">
      <c r="A2696" t="inlineStr">
        <is>
          <t>現に</t>
        </is>
      </c>
      <c r="B2696" t="inlineStr">
        <is>
          <t>成功</t>
        </is>
      </c>
      <c r="C2696" t="inlineStr">
        <is>
          <t>読み方：げんに
［副］ある事が想像や理屈ではなく、事実であるさま。現実に。実際に。「そういう風習は—行われている」「—この目で見た」</t>
        </is>
      </c>
      <c r="D2696" t="inlineStr">
        <is>
          <t>現に生き；現にこうして；現に存在する；現にそういう；現に在る</t>
        </is>
      </c>
      <c r="E2696" t="inlineStr">
        <is>
          <t>実際；事実；まったく；全く；実際に</t>
        </is>
      </c>
      <c r="F2696" t="inlineStr">
        <is>
          <t>現にあの；今現に；いま現に；際現に；實現に</t>
        </is>
      </c>
      <c r="H2696" t="n">
        <v>29</v>
      </c>
      <c r="I2696" t="inlineStr">
        <is>
          <t>現に先生がおなじ手紙の中に例におあげになりました事だつてさうです。；現に一度だけの参戦者というのもありそういう意味では貴重な映像も多い。；現に最近、ある女に失恋していたという様な事実まで現れて来たのです。；現に今私が書いてゐる小説でも、正に判然と書きたいから書いてゐます。；現にわたしの家などでは、この頃もまだランプをとぼしていたのである。；町子 はつきりもなにも、現に、誰が見たつてわかるぢやありませんか。；よしや現に幽霊を見たる人ありとするも、そのものは真の幽霊ではない。；この説もかなり有力であったらしく、現にわたしの父などもそれを主張していた。；現にそのひとりの女は颶風の最中に彼と話していたらしいという。；現にその時代の道路の一部が残っているし、また牛小舎の遺物もある。；現に彼も昨日の午後はこの一枚の十円札の上に彼の魂を賭けていたのである。；私の夢を現にして下すったのは、それじゃア、あの方だったのだわね。；現に我らが広大な領土を統治していることで実証されていることだ。；「所有者のない動産」とは現に何人の所有にも属していない動産をいう。；現に商売人なればこそ此のわしは百万円の金をこの腕で作ったのだ。；人が自由な決断をすると、現にあるものは本来あるべきものから転落する。；現にその後そういう徴候を屡々目撃しなければならなかったのだから。；いや、最近ではない、今現にその女性はここにいるのかもしれない。；現に館小・館中の校章や校歌は現在でも学校行事などで使われている。；現に彼が持っていた郊外の或地面などは生姜さえ碌に出来ないらしかった。；現に我々の太陽は確かにすべての恒星中の最大なものではない。；現に、ロツパ自身にしても、世が世ならこんなことはやらないだらう。；現にこの劇場なぞは町でも二三番目に数えられていたのだからね。；現に僕は、昨日も帽子を脱らず、頭も下げないで友人と別れて來たよ。；現に、泉州から曾て私の家に来てゐた若者は、帯のことを帽子と言うてゐた。；また西田天香氏もその約束を信じて現に出家の生活を持続しています。；さればといって現に苦労がある世の中から逃れるには死より外に道がありません。；現に着地の瞬間足の指を踏まれて骨折した事故例が報告されている。；現にやっているのは、仕事をしない牛だけ見まわって、草を食わせるんです。</t>
        </is>
      </c>
      <c r="J2696">
        <f>HYPERLINK("https://www.weblio.jp/content/現に", "词义详情")</f>
        <v/>
      </c>
      <c r="K2696">
        <f>HYPERLINK("https://yourei.jp/現に", "查看例句")</f>
        <v/>
      </c>
    </row>
    <row r="2697">
      <c r="A2697" t="inlineStr">
        <is>
          <t>現場</t>
        </is>
      </c>
      <c r="B2697" t="inlineStr">
        <is>
          <t>成功</t>
        </is>
      </c>
      <c r="C2697" t="inlineStr">
        <is>
          <t>読み方：げんじょう
「げんば（現場）1」に同じ。
「今夜こそ—を見届けたぞ」〈啄木・葬列〉</t>
        </is>
      </c>
      <c r="D2697" t="inlineStr">
        <is>
          <t>現場付近；現場復帰；現場写真；現場指揮；現場海域</t>
        </is>
      </c>
      <c r="E2697" t="inlineStr">
        <is>
          <t>所；場；舞台；シーン；場面</t>
        </is>
      </c>
      <c r="F2697" t="inlineStr">
        <is>
          <t>墜落現場；医療現場；殺害現場；火災現場；制作現場</t>
        </is>
      </c>
      <c r="G2697" t="inlineStr">
        <is>
          <t>現場監督；現場近く；現場周辺；現場責任者；現場主義</t>
        </is>
      </c>
      <c r="H2697" t="n">
        <v>29</v>
      </c>
      <c r="I2697" t="inlineStr">
        <is>
          <t>日本における蘭学導入草創期の経緯が現場にいた者の目で描かれている。；第一発見者の男性・現場に駆け付けた救急隊員の証言から新たに判明した。；スケジュールが切迫した制作現場では手塚治虫と対立することもあった。；リポーターまたはレポーターとは、現場にて取得した情報を報告する人。；このため愛媛県警は近年では現場の監視のため機動隊を投入している。；そのため、レコーディング現場でスタッフと喧嘩になることもあった。；ゲストとしてグラビアアイドルや取材現場の記者が登場することもあった。；この年をもって現場からも完全に引退することとなった。；現場では開始時に機械を操作するだけで後は自動的に行われる。；また、松浦とは後に主演した『星のカービィ』でも現場を共にしている。；当日現場を通行する列車は線路内に人が立ち入る危険があるため徐行する。；指揮隊は、上記のような災害現場での総合指揮・統括の任務を担当している。；もう一つは、医師は臨床現場で効果を確認している、という反論である。；不二子がルパンと関係があるという情報を掴んだ銭形も現場に潜入する。；これに沿って、日本の教育現場においては訓令式での表記を教えている。；その大国の思惑と現場での混乱した雰囲気の中でブラントは苦悩していた。；これらが喧嘩の現場に残されていたので、持ち帰ったのだそうだ。；現場では体当たり攻撃するくらいじゃないとだめと考えていた。；事故機の墜落現場が後にアメリカ合衆国国定歴史建造物に認定された。；番組台本は無く、収録現場で即興のトークを収録したものを放送している。；また、現場でも長年の主従意識は容易に解消できるものではない。；使用現場ではずれてしまうと演奏不能になるため、それを防ぐためとされる。；現場での猶予が30分と余裕のない任務であったが救助に成功した。；登録前からこの言葉は現場を中心に使われるようになり、一般にも広まっていった。；実地データは、制御されていない現場の環境で収集された生データである。；日本の現場の記者らは、その微妙なバランス取りに悩まされる事となった。；パットンはその後自主的に被害にあった兵と現場にいた兵士達に謝罪している。；耐薬品性などにも優れているため医療現場で使用される多くの製品に使用されている。；同日朝、息子は現場の多摩川の川面に浮かんだ状態の西部を発見した。</t>
        </is>
      </c>
      <c r="J2697">
        <f>HYPERLINK("https://www.weblio.jp/content/現場", "词义详情")</f>
        <v/>
      </c>
      <c r="K2697">
        <f>HYPERLINK("https://yourei.jp/現場", "查看例句")</f>
        <v/>
      </c>
    </row>
    <row r="2698">
      <c r="A2698" t="inlineStr">
        <is>
          <t>原爆</t>
        </is>
      </c>
      <c r="B2698" t="inlineStr">
        <is>
          <t>成功</t>
        </is>
      </c>
      <c r="C2698" t="inlineStr">
        <is>
          <t>読み方：げんばく
「原子爆弾」の略。</t>
        </is>
      </c>
      <c r="D2698" t="inlineStr">
        <is>
          <t>原爆開発(3%)；原爆被災(3%)；原爆製造；原爆被害；原爆被爆</t>
        </is>
      </c>
      <c r="E2698" t="inlineStr">
        <is>
          <t>原子爆弾；ピカ；ピカドン；ぴか；核分裂爆弾</t>
        </is>
      </c>
      <c r="F2698" t="inlineStr">
        <is>
          <t>原爆災害；原爆攻撃；原爆慰霊碑；型原爆；原爆搭載</t>
        </is>
      </c>
      <c r="G2698" t="inlineStr">
        <is>
          <t>原爆ドーム；原爆症；原爆実験；原爆犠牲者；原爆の図</t>
        </is>
      </c>
      <c r="H2698" t="n">
        <v>29</v>
      </c>
      <c r="I2698" t="inlineStr">
        <is>
          <t>結局日本の原爆開発は最も進んだところでも基礎段階を出ていなかった。；ただし軍が原爆製造過程で計画的に行った作業の一部で、事故ではない。；ウェルズなど原爆の例ひとつ取ってみてもそういう人のひとりであろう。；この方法は原爆を所有している国が実行する意志さえあれば可能であろう。；木越はそれで京大でも原爆の研究をしていることを初めて知ったという。；原爆を問題にしたわけではなく、ただ話のスタートに使っただけです。；通称マンハッタン計画と呼ばれる原爆の開発・製造プロジェクトである。；原爆のことを書いたその本は、彼の生活を四五ヶ月支へてくれたのである。；この節では広島に落とされた原爆の破壊力に関する科学的な記述をする。；原爆のことを書いたその本は、彼の生活を四五ヵ月支えてくれたのである。；メイソンリーを制限していた戦中の日本もまた原爆開発に着手していた。；一方、各種意見を総合すれば、彼らも数年以内に原爆を所有するらしい。；ラッサールが広島で原爆に被災してしまうのも、このような経緯による。；のみならず大地震の被害は時として原爆水爆の被害に劣らないのである。；第二次世界大戦の後半にはイギリスの原爆プロジェクトに参加した。；なお、日本軍も原爆の開発を試みたが基礎研究の域は出ていなかった。；この覚書は原爆の爆発から、その後の放射性降下物までを予測していた。；それがまた原爆被害者達の死や苦しみを無駄にしないためのいちばんの道でしょう。；原爆開発に従事した科学者の中には戦後の原子力政策に関わった者も多い。；原爆の秘密裏の検討は連合国側・枢軸国側ともに行われていたとされる。；原爆がどんなに恐ろしい兵器だったのか、その時さちはまだ知らなかった。；裁判人がいつまた特急原爆の運轉手などを開業しないかぎりもないのだから。；原爆反対はよいが、それを錦の御旗とすることには、弊害が伴ってくる。；「星はみている」の他に、数本の原爆をテーマにした作品があるとされる。；その分は原爆の方へ廻されるであろうから、結果は同じことである。；原爆の投下は目視が厳命されており、上空の視界の情報が重要であった。；これに対してアメリカの教会の代表は日本に原爆を投下した罪を謝罪した。；数ヶ月前、原爆がまだ噂に過ぎなかった頃、次のような話が広く信じられていた。；かれもまた、ヒロシマの原爆炸裂直後に生まれた危機の世代の一人だった。</t>
        </is>
      </c>
      <c r="J2698">
        <f>HYPERLINK("https://www.weblio.jp/content/原爆", "词义详情")</f>
        <v/>
      </c>
      <c r="K2698">
        <f>HYPERLINK("https://yourei.jp/原爆", "查看例句")</f>
        <v/>
      </c>
    </row>
    <row r="2699">
      <c r="A2699" t="inlineStr">
        <is>
          <t>顕微鏡</t>
        </is>
      </c>
      <c r="B2699" t="inlineStr">
        <is>
          <t>成功</t>
        </is>
      </c>
      <c r="C2699" t="inlineStr">
        <is>
          <t>読み方：けんびきょう
微小な対象を拡大して観察する装置。光学顕微鏡では、対物レンズによって物体の倒立拡大実像を作り、それをさらに接眼レンズで拡大する。→電子顕微鏡</t>
        </is>
      </c>
      <c r="D2699" t="inlineStr">
        <is>
          <t>顕微鏡的(6%)；顕微鏡写真(6%)；顕微鏡下(6%)；顕微鏡観察(3%)；顕微鏡検査</t>
        </is>
      </c>
      <c r="E2699" t="inlineStr">
        <is>
          <t>マイクロスコープ</t>
        </is>
      </c>
      <c r="F2699" t="inlineStr">
        <is>
          <t>顕微鏡学者；位相差顕微鏡；顕微鏡画像；超顕微鏡；観察する顕微鏡</t>
        </is>
      </c>
      <c r="G2699" t="inlineStr">
        <is>
          <t>顕微鏡的多発血管炎；顕微鏡図譜</t>
        </is>
      </c>
      <c r="H2699" t="n">
        <v>29</v>
      </c>
      <c r="I2699" t="inlineStr">
        <is>
          <t>実のところ、本当の雪を顕微鏡で覗いたのはこの時が初めてなのである。；装置の多くはインターネットを介して顕微鏡像を観察することができる。；ミズニラを他種と確実に区別するには胞子の顕微鏡的観察が必要になる。；この鏡は特に選ばれた顕微鏡用デッキガラスを銀メッキしたものである。；顕微鏡が生物研究に利用されるようになると、これもこの説に利用された。；望遠鏡や顕微鏡の発明なしには近代科学の発達は考えられないであろう。；これは、最初に細胞の構造の詳細まで顕微鏡で観察を試みた例である。；顕微鏡写真装置も同様にしてこの実験台の上にくっつけてしまうのである。；発生過程の研究は、顕微鏡観察が行われるようになってから発達した。；多くの顕微鏡レベルの解剖学的な構造が彼にちなんで名付けられている。；顕微鏡のステージを上下させることで複数の焦点面から情報を集められる。；三ツ目族の第三の目や顕微鏡でようやくハッキリ見えるレベルで小さい。；実のところ本物の雪を顕微鏡で覗いて見たのはこの時が初めてなのである。；この科の最も独特の顕微鏡的な特徴は、長い担子器を持つことである。；当時の寒夜に顕微鏡観察を行うには、かなりの苦労があったという。；第七図は摸写図と顕微鏡写真とが極めて著しい類似を示している例である。；彼は、顕微鏡下で赤血球を観察した最初の人物であったかもしれない。；これらの技術の中で、STED顕微鏡は最も成功したものの1つである。；それに写真器と顕微鏡とが揃えば当座はそれで実験が始められるのである。；顕微鏡サイズから大きいサイズまで、測定物に応じたラインナップあり。；コレラ毒の構造が顕微鏡で見えないことはこの考えに反するものではない。；解剖学では1831年以降、顕微鏡を用いて細胞レベルの研究を進めた。；また、カバン本体にはレントゲンカメラや顕微鏡の機能も付属している。；また、試料を顕微鏡で観察できる状態にしたものをプレパラートという。；またその細胞は、2歳まで増加し、顕微鏡的には一生つづくと発表した。；このタイプの保存では、顕微鏡レベルまでの微細な情報が保存される。；彼の傍には南側の窓下に据えられた洋卓の上に一台の顕微鏡が載っていた。；必要に応じて諸臓器から組織を採取し作製した標本を顕微鏡で観察する。；顕微鏡を使うと組織の構造をもっと深くまで見ることができる。</t>
        </is>
      </c>
      <c r="J2699">
        <f>HYPERLINK("https://www.weblio.jp/content/顕微鏡", "词义详情")</f>
        <v/>
      </c>
      <c r="K2699">
        <f>HYPERLINK("https://yourei.jp/顕微鏡", "查看例句")</f>
        <v/>
      </c>
    </row>
    <row r="2700">
      <c r="A2700" t="inlineStr">
        <is>
          <t>見物</t>
        </is>
      </c>
      <c r="B2700" t="inlineStr">
        <is>
          <t>成功</t>
        </is>
      </c>
      <c r="C2700" t="inlineStr">
        <is>
          <t>読み方：けんぶつ
［名］(スル)
１催し物や名所旧跡などを見て楽しむこと。「芝居を—する」「高みの—」
２見物人。「—が多い」
３見る価値のあるおもしろいもの。みもの。</t>
        </is>
      </c>
      <c r="D2700" t="inlineStr">
        <is>
          <t>見物する(8%)；見物席(3%)；見物しよ；見物できる；見物衆</t>
        </is>
      </c>
      <c r="E2700" t="inlineStr">
        <is>
          <t>旅行；遊び；訪問；観光；訪れる</t>
        </is>
      </c>
      <c r="F2700" t="inlineStr">
        <is>
          <t>花火見物；市内見物；御見物；江戸見物；映画見物</t>
        </is>
      </c>
      <c r="G2700" t="inlineStr">
        <is>
          <t>見物客</t>
        </is>
      </c>
      <c r="H2700" t="n">
        <v>29</v>
      </c>
      <c r="I2700" t="inlineStr">
        <is>
          <t>そのため、往来の人々がこの喧嘩を見物するために大勢集まったという。；地下道から階段を上がったところは、島のようになった狭い見物席です。；フランス語の少しも分からぬ支那人が二人パリに来て、芝居を見物した。；近くで画を見ていた二三人の見物が皆云い合せたようにこちらを見た。；暫くすると多くもない見物が皆出て行ってしまって、僕一人になった。；後者は浴場の建物の前面で行われる競技を見物するためのものである。；自然豊かな地区となっており、春の桜、秋のいちょう並木は見物である。；大テントの中の千人いじょうの見物の顔が、全部うしろをむいたのです。；時間があれば、ちょっとよって見物したいが、あいにく行く余裕がない。；見物はたいてい火のかかるのを、今か今かと待っていたのである。；見物たちのうちに、これをしもお芝居と考えるものは、一人もいなかった。；毎年4月頃に三ッ島地区の有志の方により桜見物の舟が運行されている。；見物の目がこれを見るだけの明がなくては仕方がないわけである。；ただし、数日過ぎた頃に評判を聞きつけた町人たちの見物が許されている。；このイベントには周辺地域から見物する価値のある歴史的な自動車が参加する。；彼は見物達の方を向いて、声のない、顔一杯の笑いを笑っていた。；この2人もエキストラに参加したのか、ただの見物だったのかは不明。；科学的な研究のための場合もあれば、見物のための場合もある。；もっとも他人の火事を見物するような心持ちではいられないのはもちろんだ。；拘留孫岩はずいぶん昔から有名だったとみえ、神武天皇も見物に行かれた。；大勢の人々が彼女が晒し台に架けられているのを見物にやって来た。；この、舞台での問答が、前のほうの見物に聞こえたから、たまりません。；御趣味としては歌舞伎見物が何よりお好きであつたと聞いてをります。；で、こんな場所は、何の見物にも、つい足踏をした事の無いのが多い。；私はやむを得ず竹内氏の一行と、見たくもない風景を見物に出かけた。；とくに子供たちが、生まれて初めての職業野球を目を輝かせて見物に来た。；その見物の輪のなかに、さっきのゾウが、きょとんとして立っていました。；場合によって、そのことを期待した者が見物に集まってくることもあったという。；そのまた見物の向うの空には、墓原の松が五六本、天蓋のように枝を張っている。</t>
        </is>
      </c>
      <c r="J2700">
        <f>HYPERLINK("https://www.weblio.jp/content/見物", "词义详情")</f>
        <v/>
      </c>
      <c r="K2700">
        <f>HYPERLINK("https://yourei.jp/見物", "查看例句")</f>
        <v/>
      </c>
    </row>
    <row r="2701">
      <c r="A2701" t="inlineStr">
        <is>
          <t>見物客</t>
        </is>
      </c>
      <c r="B2701" t="inlineStr">
        <is>
          <t>成功</t>
        </is>
      </c>
      <c r="D2701" t="inlineStr">
        <is>
          <t>見物客たち；見物客輸送</t>
        </is>
      </c>
      <c r="H2701" t="n">
        <v>29</v>
      </c>
      <c r="I2701" t="inlineStr">
        <is>
          <t>開業にあわせて点灯された桜橋のガス灯には見物客が列をなしたという。；それまで誰も近づこうとしなかった見物客のうち一人が、足を一歩進めた。；この祭りは毎春メノキンの地所で開催され、数千の見物客を集めている。；船の上では見物客が右往左往し、なかには川に落ちるような騒ぎだった。；こんな情緒的光景の展開される場面では、美しい見物客の姿もあった。；群馬県知事らが出席した開通式には多くの見物客が集まったという。；いつ見物客が来るかも分らないのに、そんな手間のかかることするかしら?；春先には桜の名所である比治山に、ここを通って多くの見物客が訪れる。；見物客にしてみれば、この場にいるべきではない理由は三つある。；クルマの周りで見物客らが、携帯電話のカメラをこちらに向けている。；付近一帯は公園化されて春には桜が咲きほこり大勢の見物客が訪れる。；お文の前を見物客が頻繁に往来し、低く揚がる花火はほとんど見えない。；護衛がこの絵のためだけに1人ついて、見物客の反応に注意することになった。；「誰か、この男と闘う者はないか」 形の後で、座長が見物客に言った。；それは動物園で珍奇な動物を初めて見た見物客の目と少しも変わりはないのだ。；昭和四五年度には、県内外の見物客約八五万人が徳島をおとずれている。；それ故、完成当時は日本各地から多くの見物客がここを訪れた。；その使命は、毎年多くの観光客や見物客に海軍を宣伝することである。；当時はそこに川が流れており見物客は川を迂回して向かわなければならなかった。；以前は縁もゆかりもない見物客にまで家に上げて豪勢に振舞ったそうである。；パウワウの間に部族を超えた踊りがあり、誰もが、見物客でも参加できる。；この祭りは多くの人々の楽しみであり、見物客の人だかりができる。；ほかの見物客に迷惑となりますから、どうか次の展示品のほうへ。；その子供は皆が見ている前で鞭打たれ、見物客はそれを見て子どもを嘲笑った。；また南側には大庭城址公園があり春になると桜の見物客で混雑する。；御輿が通る道の両側には見物客が折り重なって大名行列を待っている。；そのため江戸市中の大評判となり、物見高い見物客が押すな押すなの騒ぎ。；杣小屋は、見物客がほとんど素通りしてしまうので発見が遅れたのだ。；浴衣を着て、髷を結った、身体の大きな男七人の見物客のうちのひとりだ。</t>
        </is>
      </c>
      <c r="J2701">
        <f>HYPERLINK("https://www.weblio.jp/content/見物客", "词义详情")</f>
        <v/>
      </c>
      <c r="K2701">
        <f>HYPERLINK("https://yourei.jp/見物客", "查看例句")</f>
        <v/>
      </c>
    </row>
    <row r="2702">
      <c r="A2702" t="inlineStr">
        <is>
          <t>見聞</t>
        </is>
      </c>
      <c r="B2702" t="inlineStr">
        <is>
          <t>成功</t>
        </is>
      </c>
      <c r="C2702" t="inlineStr">
        <is>
          <t>読み方：けんぶん
［名］(スル)実際に見たり聞いたりすること。また、それによって得た経験・知識。けんもん。「—を広める」「実地に—する」</t>
        </is>
      </c>
      <c r="D2702" t="inlineStr">
        <is>
          <t>見聞記(5%)；見聞集(2%)；見聞談；見聞録；見聞誌</t>
        </is>
      </c>
      <c r="E2702" t="inlineStr">
        <is>
          <t>情報；経験；データ；知識；体験</t>
        </is>
      </c>
      <c r="F2702" t="inlineStr">
        <is>
          <t>直接見聞；実際に見聞；安政見聞誌；狭い見聞；異界見聞</t>
        </is>
      </c>
      <c r="G2702" t="inlineStr">
        <is>
          <t>見聞録；見聞諸家紋；見聞まま；見聞覚知</t>
        </is>
      </c>
      <c r="H2702" t="n">
        <v>29</v>
      </c>
      <c r="I2702" t="inlineStr">
        <is>
          <t>帰国した吉田は、アメリカで見聞したことを技術幹部会の席で報告した。；もっともいまここでわたしは自分の見聞のすべてを物語るつもりはない。；江戸時代初期に遭難して日本に漂着した際の見聞をまとめたものである。；あの全旅行でぼくが見聞したもののなかでも、もっとも驚くべき発明だ。；これらの多くの見聞したものを少し思い出して書いて見る事にし様。；記事やテレビで見聞すると、抗議しても相手にされず、気の毒なものだ。；昨年の秋以来の見聞でわたしはどの位成長したか知れないと思います。；空想ではありますが、日常の見聞が幾分姿を変へてゐる部分もあります。；しかし直接見聞したことではないので、あまり立ち入らないことにする。；そして物見遊山気分で見聞したことをナポレオン皇帝に伝えたのですよ。；彼は見聞が広いので、私は彼からずいぶん教えられるところがあった。；わたしの収集した情報では、彼のことを見聞した月人も一人もいない。；東方で見聞したことが真実だと知っているのは、実際に足を運んだ者だけ。；この男は明らかに重要なことはなにも見聞していなか ったのだ。；実際に彼らの驚くべき秘技をひそかに見聞する機会も数度はあった。；イギリスに帰国後、オーストラリアで見聞した事件を題材にして絵画を描いた。；わたくしは日常見聞する世間の出来事を記載することを好んでいる。；生活上の見聞と感覚の発達した日本人はそう感じるのである。；特定の場所にはフランスが残した文化的遺産を見聞できるものがある。；ただ、彼が善徳女王時代の新羅を見聞した一人になったことは事実である。；明が物見高そうに都を見聞していると、美しい役人たちから声をかけられた。；あなたの今まで見聞したことを報らせてくれ、ということだったそうです。；もっとも、彼女も入居前のことで、実際に見聞したわけではないらしいが。；この金が少しでもキミの見聞を広げるのに役立てばいいと思っているのだ。；こうした各地での見聞やサアディー自身の経験が随所に書かれている。；翌朝私は起き出るや否や、昨夜見聞した一切のことを小屋の主人に語りました。；制作方法は、実際に絵師が見聞したのではなく、当時の新聞を元にしている。；私の浅薄な見聞から推しての話だが、外国の漫画でも皆そうではあるまいか。；その見聞記や魏の政府の公文書などが、魏志の記事の基礎になっている。</t>
        </is>
      </c>
      <c r="J2702">
        <f>HYPERLINK("https://www.weblio.jp/content/見聞", "词义详情")</f>
        <v/>
      </c>
      <c r="K2702">
        <f>HYPERLINK("https://yourei.jp/見聞", "查看例句")</f>
        <v/>
      </c>
    </row>
    <row r="2703">
      <c r="A2703" t="inlineStr">
        <is>
          <t>原文</t>
        </is>
      </c>
      <c r="B2703" t="inlineStr">
        <is>
          <t>成功</t>
        </is>
      </c>
      <c r="C2703" t="inlineStr">
        <is>
          <t>読み方：げんぶん
翻訳・校訂・改作・加筆などをする前の、もとの文章。「—に忠実に翻訳する」</t>
        </is>
      </c>
      <c r="D2703" t="inlineStr">
        <is>
          <t>原文どおり；原文通り；原文入力ルール；原文表記；原文テキスト</t>
        </is>
      </c>
      <c r="E2703" t="inlineStr">
        <is>
          <t>文；文章；テキスト；本文；テクスト</t>
        </is>
      </c>
      <c r="F2703" t="inlineStr">
        <is>
          <t>英語原文；中国語原文；フランス語原文；め原文；ギリシャ語原文</t>
        </is>
      </c>
      <c r="G2703" t="inlineStr">
        <is>
          <t>原文兵衛；原文字；原文雄</t>
        </is>
      </c>
      <c r="H2703" t="n">
        <v>29</v>
      </c>
      <c r="I2703" t="inlineStr">
        <is>
          <t>この書物の原文はポルトガル語で書かれていたと言われるが現存しない。；ドイツ語のよめる人はいつもドイツ語の原文はよくわかると云っていた。；四 十四五日 原文は六七日だが、第十六回に十四五日とあるので改めた。；ただ私は、原文の全体の調子から見て、どちらかというととに同意したい。；五 軍民とはなんのやましい関係も持ちませんでした 原文は水米無交。；日記帳は子供用のもので、もう一つは誰かにあてた手紙の原文らしい。；その書物の原文の妙味を味わい得るくらいにはギリシャ語の力があった。；第一は通信すべき原文、第二は鍵語、第三はできあがった暗号文である。；ところが、実はこの記事は現在に至るまで、その原文が見つかっていない。；原文のヘブライ語聖書では、一度だけ額に一本の角の生えた動物が出てくる。；現在はインターネット・書籍で原文・訳文・注釈等が公開されている。；これは各ページが左右二段組みになっているギリシャ語原文の書籍である。；なお原文中の大仏胎内の「中の柱のくさび」は何を指すかは不明である。；一五 草鞋 前に麻鞋をはいたことになっているが、原文のママとした。；報告書原文に使用された団体名はにフランス語で表記されている。；全ての手紙は複写機でコピーされたものであり、原文は見つかっていない。；ドイツ語原文からの翻訳で完訳済で出版の見込みのある作品が対象となる。；これは、原文の、一つないし複数の翻訳版に基づいていることがある。；現在に至るも邦訳はないが、2012年にドイツ語原文で出版された。；ただし、第1編だけは朝鮮半島・中国・日本を原文のまま収めている。；様々な文献の中で言及されているが、原文は現存していない。；クシナダヒメがその後どうなったのかは原文では明記されていない。；一三 大工 原文は回人となっているが、百回本に匠人とあるのに従った。；この語学力を活かし、様々な国の古典文学を原文で読むのを得意としている。；アメリカの短篇ミステリを原文で読み、翻訳に値するかどうかを決める。；原文のままでは読みにくいので、わかる範囲で直して引用を続ける。；アラビア語の原文と英語訳はともにムスリム世界連盟が発行するものだった。；一二 役人 原文は山人となっているが、百回本に公人とあるのに従った。；私もその方が面白いという気もしたが、原文をくりかえし読んでいるうちに。</t>
        </is>
      </c>
      <c r="J2703">
        <f>HYPERLINK("https://www.weblio.jp/content/原文", "词义详情")</f>
        <v/>
      </c>
      <c r="K2703">
        <f>HYPERLINK("https://yourei.jp/原文", "查看例句")</f>
        <v/>
      </c>
    </row>
    <row r="2704">
      <c r="A2704" t="inlineStr">
        <is>
          <t>憲法</t>
        </is>
      </c>
      <c r="B2704" t="inlineStr">
        <is>
          <t>成功</t>
        </is>
      </c>
      <c r="C2704" t="inlineStr">
        <is>
          <t>読み方：けんぼう
《「けんぽう」とも》
⇒吉岡憲法(よしおかけんぼう)
「憲法染」の略。</t>
        </is>
      </c>
      <c r="D2704" t="inlineStr">
        <is>
          <t>憲法制定(5%)；憲法第(3%)；憲法発布；憲法問題；憲法解釈</t>
        </is>
      </c>
      <c r="E2704" t="inlineStr">
        <is>
          <t>憲章；本法；基本法；国法；コンスティチューション</t>
        </is>
      </c>
      <c r="F2704" t="inlineStr">
        <is>
          <t>新しい憲法；暫定憲法；連邦憲法；同憲法；カンザス州憲法が修正</t>
        </is>
      </c>
      <c r="G2704" t="inlineStr">
        <is>
          <t>憲法上；憲法違反；憲法裁判所；憲法修正；憲法草案</t>
        </is>
      </c>
      <c r="H2704" t="n">
        <v>29</v>
      </c>
      <c r="I2704" t="inlineStr">
        <is>
          <t>しかしこれらの憲法はほとんど組織構成の規定しか持たないものであった。；そこで制定された第一共和国憲法は議会が大統領を選出すると定めていた。；裁判所に、法律が憲法に適合するか否か審査する権限が与えられている。；憲法裁判所は法律が憲法に違反しているか否かを審査する権限を有する。；国民の要件は憲法で定めている場合もあれば法律に委ねている場合もある。；憲法が制定されたのは1875年で、日本の大日本帝国憲法よりも早い。；変更を支持する憲法専門家の主張では、違憲性はないと判断している。；またフランス植民地では1794年に法と憲法で奴隷制度を廃止していた。；現在の憲法では州政府が予算のバランスを維持することを求めている。；しかし、この憲法は恐怖政治の採用のため実際には施行されなかった。；効力上から定義すれば憲法とは主権者が憲法と称する法令の全体である。；な憲法的な性格であるにもかかわらず、同様の性質を持つ国もいくつか存在する。；ここで彼らは憲法を制定するまで解散しないことに同意した。；固有の意味の憲法とは、国の統治の基本に関する国家の基礎法をいう。；憲法の特別写本は新大統領がこれに手を置いて宣誓するためだけに使用される。；またこの憲法では音楽を国家の最高原理であると規定していた。；中華民国では憲法施行以後、これまでに3回の政権交代が行われている。；このことは、憲法というのは国家権力を制限する法であることを意味する。；有事法制の整備に際しては、あくまで憲法の枠内法制整備が実施された。；どちらもテキサス州憲法で設立され、恒久的大学基金の枠を持っている。；当条約と類似の著名な主張、各国憲法、国際条約などには以下がある。；オランダ憲法は憲章で言及されている王国の制度を制定、制限する。；すでに憲法を超越する存在であったニヤゾフのこの発表は各国を驚かせた。；加えてこの憲法が普通選挙と議会の年次予算承認権を認めている点にも反対した。；その結果、ドイツ帝国の憲法体制が最も日本に適すると信ずるに至った。；インディアナ州は法または憲法で州財政を平衡させるよう要求していない。；発議権は憲法の下で議会が法制化する可能性のある法にのみ及ぶ。；なお、国の基礎法である憲法は、実定法の体系では公法に属する法である。；委員会は、この「憲法改正四原則」に基づいて憲法を逐条的に検討した。</t>
        </is>
      </c>
      <c r="J2704">
        <f>HYPERLINK("https://www.weblio.jp/content/憲法", "词义详情")</f>
        <v/>
      </c>
      <c r="K2704">
        <f>HYPERLINK("https://yourei.jp/憲法", "查看例句")</f>
        <v/>
      </c>
    </row>
    <row r="2705">
      <c r="A2705" t="inlineStr">
        <is>
          <t>厳密</t>
        </is>
      </c>
      <c r="B2705" t="inlineStr">
        <is>
          <t>成功</t>
        </is>
      </c>
      <c r="C2705" t="inlineStr">
        <is>
          <t>読み方：げんみつ
［形動］［文］［ナリ］誤りや手落ちのないように、細かいところまできびしく目を行き届かせていて、すきがないさま。「—な検査を受ける」「—に言えば多少異なる」
[派生]げんみつさ［名］</t>
        </is>
      </c>
      <c r="D2705" t="inlineStr">
        <is>
          <t>厳しい；厳格；厳重；精密；精緻</t>
        </is>
      </c>
      <c r="H2705" t="n">
        <v>29</v>
      </c>
      <c r="I2705" t="inlineStr">
        <is>
          <t>これは両者がともに数学の厳密主義の開始者であった事にも関係する。；歴代天皇の厳密な確定が要請されたのは、明治時代になってからである。；この本は厳密な体系学の調査研究であるが実用的でもある珍しい本である。；日本国は民族別の統計を詳細に取っていないため厳密には不明である。；言葉や能力の定義を厳密に定めた総合ルールと呼ばれるものがある。；この項目で特に断りなく白灯と書いてある場合は、厳密な純白ではない。；この解釈によりレーマーの観測の厳密結果を計算することが可能になる。；これらの意味と日本語における「神」は厳密には意味が異なるとされる。；これについては、厳密に科学的または疫学的な根拠があるわけではない。；一般的には、これらの用語は、それほど厳密に区別されずに使われている。；一般的に組織検査は厳密な癌の型判定の基本であると理解されている。；厳密に言えば後者の場合、前者のテンポをよりゆっくりにしたものである。；パルティア美術の独特な特徴は正面主義原則を厳密に守った人物描写である。；アメリカ側の資料なので、厳密には機銃配置などで異なる部分がある。；したがって、現在の「塔」の用法に厳密な定義が存在するわけではない。；全ホーム双方向に発着できるため、厳密な方向分けは行われていない。；ただしその当時どこまで厳密な「年」の概念を持っていたかは定かでない。；主に以下のように分類されるが、厳密に区別できるわけではない。；厳密には放射率は波長に依存するため、この関係は近似的なものである。；なお、彼らは全員本作のスタッフで、厳密にはキャラクターではない。；しかし日常会話では厳密さを問題としないため、そのことが忘れられがちになる。；各パートにおける人数も、厳密に規定されていない楽曲が大多数である。；従って、厳密には国家評議会議長が単独で元首となるわけではなかった。；ただし、光月は月の時間間隔を定めていないので厳密な定義が存在しない。；厳密な意味での順序数はその対象よりも前にある対象の数に等しい。；ただしこれらの違いは連続的で、厳密に区別できるものではない。；これは厳密にいえば、「正しい法が隠れ行われなくなること」である。；ただし、現在でも洗礼は受けておらず、厳密にはクリスチャンではない。；多くの非西洋文化の場合、宗教と哲学との厳密な分離は存在しない。</t>
        </is>
      </c>
      <c r="J2705">
        <f>HYPERLINK("https://www.weblio.jp/content/厳密", "词义详情")</f>
        <v/>
      </c>
      <c r="K2705">
        <f>HYPERLINK("https://yourei.jp/厳密", "查看例句")</f>
        <v/>
      </c>
    </row>
    <row r="2706">
      <c r="A2706" t="inlineStr">
        <is>
          <t>件名</t>
        </is>
      </c>
      <c r="B2706" t="inlineStr">
        <is>
          <t>成功</t>
        </is>
      </c>
      <c r="C2706" t="inlineStr">
        <is>
          <t>読み方：けんめい
１ある一定の観点から分類した一つ一つの項目の名。「—索引」
２図書館で、本の内容から引けるように分類した項目の名。「—目録」
３電子メールにおいて、そのメールのタイトル（表題）のこと。</t>
        </is>
      </c>
      <c r="D2706" t="inlineStr">
        <is>
          <t>件名索引(4%)；件名細目(4%)；件名通り(3%)</t>
        </is>
      </c>
      <c r="E2706" t="inlineStr">
        <is>
          <t>目；タイトル；題；題名；表題</t>
        </is>
      </c>
      <c r="G2706" t="inlineStr">
        <is>
          <t>件名標目</t>
        </is>
      </c>
      <c r="H2706" t="n">
        <v>29</v>
      </c>
      <c r="I2706" t="inlineStr">
        <is>
          <t>これは判決のあった事件の件名索引であり、書記官によって作成された。；件名とは公布文でその法令を引用する際に用いられる名称のことです。；ぶるぶると自分の携帯電話が震えたのであわてて取り出すと件名なしの着信。；LCSHに収録されている件名標目は、主標目と件名細目に分けられる。；件名細目は、主標目で表現している概念をさらに特定の側面に限定して表現しているものに使用する。；その謎を繙く鍵は、件名にギリシア数字が用いられていることだ。；正式な件名を「木造の継ぎ手及び仕口の構造方法を定める件」という。；労働に関する団体の主要役職員への就職禁止等に関する件を廃止すると規定し、件名の改正を無視した形になっている。；件名は片仮名で表記される場合と平仮名で表記される場合がありますが、どちらでも構いません。；このことから携帯電話による電子メールの件名欄の使用傾向がうかがえる。；告示の件名が漢数字の場合とアラビア数字の場合があるがすべてもとのHPのままとしてある。；本令は題名が存在しないため、上諭に記載された件名が便宜上の名称として使用されている。；次のメールの件名は「金額を提示して下さい」になっている。；件名・分類は人的かつ知的な成果であり、訓練された専門家が情報資源に対し主題の説明を与えるものである。；特に件名索引は世相を反映した項目だてを行っており、一般的な分類法とは違った記事検索を可能にしている。；山水の趣が優れているとされたことから山曲を表す「盩」と水曲を表す「厔」が件名に採用された。；赤羽線の10連化および山手線輸送改善の件名で新製され、池袋電車区に配属された。；その件名通り、戦時民事特別法を廃止することを目的としたものであるが、当法律の附則には、廃止されてもなお効力を有する条文が規定されている。；告白メールの件名に書かれていた言葉とは?；頼子からの文面は件名に「バス停で待つ」とだけあって、急いで立ち上がる。；本来件名は正式に付されていないため、内容の変更があればそれにより、件名も変更になるので特に改正はされないので件名の改正というのは異例のことである。；ここでいう「主題」には件名と分類の2種がある。；ついでに件名は、ギリシア数字で『1』を示す『alpha』のはずだ。；この法律の件名・題名の沿革は、次の通りである。；一件目は黒猫からで、件名はなく、本文も短く一言、『三時半に校舎裏で待つ』とだけ書かれている。；この標的型攻撃メールは、職員の知人の送信者名で職員を飲み会へ誘う件名で送信されていた。；ここで薄冊とは数件の行政文書・司法文書である件名または内閣文庫である細目を1冊に綴じたものを指す。；日本の学術学会でも、CFPという件名でメールを送ることが多い。；件名通りこの法律は、主として軍人及び軍属以外の者に交付された賜金国庫債券を無効とすることを目的としたものである。</t>
        </is>
      </c>
      <c r="J2706">
        <f>HYPERLINK("https://www.weblio.jp/content/件名", "词义详情")</f>
        <v/>
      </c>
      <c r="K2706">
        <f>HYPERLINK("https://yourei.jp/件名", "查看例句")</f>
        <v/>
      </c>
    </row>
    <row r="2707">
      <c r="A2707" t="inlineStr">
        <is>
          <t>賢明</t>
        </is>
      </c>
      <c r="B2707" t="inlineStr">
        <is>
          <t>成功</t>
        </is>
      </c>
      <c r="C2707" t="inlineStr">
        <is>
          <t>読み方：けんめい
［名・形動］かしこくて、物事の判断が適切であること。また、そのさま。「—な処置」「早く報告したほうが—だ」
[派生]けんめいさ［名］</t>
        </is>
      </c>
      <c r="D2707" t="inlineStr">
        <is>
          <t>賢明なる(4%)；賢明な判断；賢明な方法；賢明な選択；賢明な策</t>
        </is>
      </c>
      <c r="E2707" t="inlineStr">
        <is>
          <t>正当；合理的；聡明；利口；賢い</t>
        </is>
      </c>
      <c r="F2707" t="inlineStr">
        <is>
          <t>一番賢明；賢明なる読；賢明なやりかた；賢明な忠告；賢明な助言</t>
        </is>
      </c>
      <c r="G2707" t="inlineStr">
        <is>
          <t>賢明女子学院；賢明学院幼稚園・小学校・中学校・高等学校；賢明女子学院短期大学</t>
        </is>
      </c>
      <c r="H2707" t="n">
        <v>29</v>
      </c>
      <c r="I2707" t="inlineStr">
        <is>
          <t>賢明でなかった者は、嵐の通ったあとに死体か狂人となって発見された。；結局家庭ではなく自身の才能を発揮する人生を選ぶほうが賢明である。；もとの平凡へ戻るための調節作用だったと解釈するのが賢明でしょうよ。；しかし後に金が発見されたことで、この買収が賢明だったことが分かった。；このサロンでフランスの新聞を引用したりするのは賢明でなかったろう。；おそらく最も賢明なのは、自分自身を打明け話の相手とすることである。；私はこの極めて賢明な医師を非難するために言っているのではない。；あの人をこの家から追い出しなすった方が賢明じゃございませんかしら?；賢明な青年は妻を迎えるまえに、その性格を知らなければなりません。；父は賢明な人でしたから、四十枚の金貨を無駄にしたくなかったのです。；彼は立派な人物であって、彼の教えの多くは正しく賢明なものだったのだ。；それゆえ賢明なるおれたちは皆、体から命をとりだし、隠しておくのだ。；おそらくイェレミーアスを模範にしたほうがもっと賢明だったのだろう。；たとえふたたび南に帰るにしても、やはり剣を持っていたほうが賢明だろう。；しかし頭を冷やしてみると、自分がどれほど賢明だったかわかってきた。；しかし彼は賢明だったから直ぐに本社へ通信を送るようなことはしなかった。；実際のところエジプトでは多くの器用で賢明な医師が医術を行っていた。；おそらく賢明なことだろうが、それを視覚的に再現しようとはしなかった。；すぐに横に曲がって別の水路を試みたほうが賢明ではないでしょうか?；ジュリアスは彼を見て、もうこれ以上何も言わないほうが賢明だと思った。；なにか賢明な妥協の道を見つけなくてはならないとローダンは思っていた。；自分が代々木から一定の距離をおいているのは非常に賢明であった。；しかし、さらに多くの金が誤ったあるいは賢明でない使われ方をした。；これ以上、大事な兵を粗末に失うことは、賢明な策ではございますまい。；私のことを云々するすべての者のうちで、彼はまだいちばん賢明です。；彼を教えたもっとも賢明な彼の僧侶ですら証明することはできまい。；おなじころ到着した薬剤師もそれは賢明なやりかたではないと考えました。；曾子ほどの賢明さと、母の厚い信頼があっても、信じられなくなります。；これまで父は、賢明にもごく少数の者しか信用せずに生きてきた。</t>
        </is>
      </c>
      <c r="J2707">
        <f>HYPERLINK("https://www.weblio.jp/content/賢明", "词义详情")</f>
        <v/>
      </c>
      <c r="K2707">
        <f>HYPERLINK("https://yourei.jp/賢明", "查看例句")</f>
        <v/>
      </c>
    </row>
    <row r="2708">
      <c r="A2708" t="inlineStr">
        <is>
          <t>懸命</t>
        </is>
      </c>
      <c r="B2708" t="inlineStr">
        <is>
          <t>成功</t>
        </is>
      </c>
      <c r="C2708" t="inlineStr">
        <is>
          <t>読み方：けんめい
［形動］［文］［ナリ］力のかぎり努めるさま。全力をつくすさま。精一杯。「—な努力」「—にこらえる」「一生—」
[派生]けんめいさ［名］</t>
        </is>
      </c>
      <c r="D2708" t="inlineStr">
        <is>
          <t>懸命に生きよう</t>
        </is>
      </c>
      <c r="E2708" t="inlineStr">
        <is>
          <t>困難；大変；難しい；熱心；必死</t>
        </is>
      </c>
      <c r="F2708" t="inlineStr">
        <is>
          <t>懸命に宥め；懸命に押し殺し</t>
        </is>
      </c>
      <c r="H2708" t="n">
        <v>29</v>
      </c>
      <c r="I2708" t="inlineStr">
        <is>
          <t>そしてこの二人は懸命になればなるほど画に通俗性がでゝくるのである。；それから閑人なものだから、懸命になって赤い実のなる木を集め始めた。；そんな時代でも村民は教育の灯を消してはならないと懸命に踏ん張った。；人生を懸命に生きる主なき人間の新たな主となるため魔界よりやってきた。；彼女が親爺の嫌な仕事を懸命で助けるのも、そんなところからきていた。；もっと、いじらしい、懸命な思いで私の傍にいてくれたのかも知れない。；これを目にとめた修験者たちは、不思議に思って懸命の介抱を行なった。；乗っているパイロットは懸命に制御しようとしたが、船は墜落し爆発した。；懸命に運命と戦った馨の姿に礼子は心を打たれ、子供の出産を決意する。；為吉とおしかとは、田畑の仕事を打ちやって息子の看護に懸命になった。；めたん子は懸命になつて只わけも言はずに、通すまいとするだけだつた。；アリスチドの言ふのは嘘だと云つて、娘は一しよう懸命に言ひわけをした。；戦後の1946年に夫と死別後も懸命に働きつつ、5人の子供を育てた。；しかし彼らの懸命なプレイも、この時のピストンズには十分ではなかった。；何だか込み入った事を懸命に書いていたと見えて、耳を赤くしていた。；無い智慧をしぼって懸命に努めても、みんな、悪くなる一方じゃないか。；これらのフランス艦は、イギリス艦の追跡を逃れようと懸命になっていた。；末川先生の指導のもとで、優秀な若い研究者が懸命に勉強している。；懸命な努力にもかかわらず、この建物は基礎壁に至るまで焼失した。；余命2年だったはずの夢千代だが、病気と闘いながら懸命に生きていた。；乗員達は5時間にも及ぶ消火及び排水作業を懸命に行い、艦を維持した。；懸命に選手の待遇改善に努めたことで、巨人はじめ各球団から疎まれた。；それでも強い罪悪感を伴った羞恥が、一方の私に懸命の抵抗を試みさせる。；沖の島での懸命なリハビリの末、左手で美しい字を書くまでになった。；飲み屋で懸命に働きながらも自分の元を去った父に恨み言をこぼす母。；僕はそのとき彼女から自己の記録を保持するために懸命の努力をつづけている選手のような印象を受けた。；私は下宿の、何一つ道具らしい物の無い四畳半の部屋で、懸命に書いた。；あなたも今夜は懸命にしてゐらつしやるのでせうね。；でも、あなたの懸命に走る姿に心打たれ、自殺を思いとどまりました。</t>
        </is>
      </c>
      <c r="J2708">
        <f>HYPERLINK("https://www.weblio.jp/content/懸命", "词义详情")</f>
        <v/>
      </c>
      <c r="K2708">
        <f>HYPERLINK("https://yourei.jp/懸命", "查看例句")</f>
        <v/>
      </c>
    </row>
    <row r="2709">
      <c r="A2709" t="inlineStr">
        <is>
          <t>倹約</t>
        </is>
      </c>
      <c r="B2709" t="inlineStr">
        <is>
          <t>成功</t>
        </is>
      </c>
      <c r="C2709" t="inlineStr">
        <is>
          <t>読み方：けんやく
［名・形動］(スル)むだを省いて出費をできるだけ少なくすること。また、そうするさま。「小遣いを—する」
「平生(へいぜい)人には吝嗇(りんしょく)と云われる程の、—な生活をしていて」〈鴎外・高瀬舟〉</t>
        </is>
      </c>
      <c r="D2709" t="inlineStr">
        <is>
          <t>倹約家(10%)；倹約ぶり；倹約政策；倹約しよ；倹約すれ</t>
        </is>
      </c>
      <c r="E2709" t="inlineStr">
        <is>
          <t>経済；省；経済的；節約；質素</t>
        </is>
      </c>
      <c r="F2709" t="inlineStr">
        <is>
          <t>諸事倹約；自ら倹約；御倹約；清廉倹約；率先して倹約</t>
        </is>
      </c>
      <c r="H2709" t="n">
        <v>29</v>
      </c>
      <c r="I2709" t="inlineStr">
        <is>
          <t>そうとも知らずわずかの車賃を倹約するつもりで我慢して歩いて行った。；スカウルスは倹約のため食事の種類や量を規制する法を制定している。；いよいよ金につまってきたので、なけなしの残りを大切に倹約していた。；故郷の家へその半分を送っても、倹約をすれば一年は生活することができる。；最初ベネット氏が結婚したとき、倹約はまったく無用と考えられました。；倹約家の彼女がこれだけの金をひとりで遊びなどに費うはずもない。；焼き肉の匂いで食事ができるものなら、それこそえらい倹約ではないか!；倹約が当たり前の時世となれば多少の楽しみも許されるようになるだろう。；だからなるたけ無理はしないで倹約してやって行くのが一番自然でいいのです。；すこし倹約して貯金すれば、と言ったところで、無駄だと分かってるし。；私があの倹約家の少年に接吻したのは、かれが美少年だからではない。；肉を倹約するために、その日には、船ではみんな、お魚をたべたのです。；即位した煬帝はそれまでの倹約生活から豹変し奢侈を好む生活を送った。；ちょうど正面にある街路の光が少し階段に差して灯火の倹約となっていた。；結婚について倹約したり、その光輝をそぐようなことをしてはいけない。；が時々、御献費を倹約すれば靴が買えるなどと思うことがありました。；だが同時にその厳しい倹約政策から不満を漏らす家臣の記録もまた残っている。；養子は自分の代で財産を減らすわけにいかないから何事にも倹約を心がける。；渋谷からバス代も倹約して、中野の自宅まで歩いて帰ったこともある。；兄の家の倹約なことも、骨の折れることも、この馳走が一切を語っていた。；まだその他にもないことはないんだけど、今は倹約して腕を持たせてやるだけにしてあるの。；特に倹約家ではありませんでしたし、わりと気楽に費っていたと思います。；英龍は自身や自身の役所、支配地の村々まで積極的な倹約を実施した。；任地にあっては清廉倹約につとめ、私童を使って木材の伐採をしていた。；まさか倹約のつもりで、こんなむくいのない仕事をしているんじゃないだろう?；聖書出版業の大富豪ジム・スミスは非常に倹約家のスーと結婚している。；貧しい小僧がバス代を倹約して、たった一個のまぐろを食べようとする。；おまえ一人で倹約して金をためて病院を建てたのだ。；焼肉の匂いで食事ができるものなら、それこそえらい倹約ではないか!</t>
        </is>
      </c>
      <c r="J2709">
        <f>HYPERLINK("https://www.weblio.jp/content/倹約", "词义详情")</f>
        <v/>
      </c>
      <c r="K2709">
        <f>HYPERLINK("https://yourei.jp/倹約", "查看例句")</f>
        <v/>
      </c>
    </row>
    <row r="2710">
      <c r="A2710" t="inlineStr">
        <is>
          <t>原油</t>
        </is>
      </c>
      <c r="B2710" t="inlineStr">
        <is>
          <t>成功</t>
        </is>
      </c>
      <c r="C2710" t="inlineStr">
        <is>
          <t>読み方：げんゆ
油井(ゆせい)から採掘されたままの精製していない石油。通常は黒色の悪臭ある液体。</t>
        </is>
      </c>
      <c r="D2710" t="inlineStr">
        <is>
          <t>原油高(3%)；原油生産(2%)；原油代(2%)；原油タンカー；原油供給</t>
        </is>
      </c>
      <c r="E2710" t="inlineStr">
        <is>
          <t>石油；重油</t>
        </is>
      </c>
      <c r="F2710" t="inlineStr">
        <is>
          <t>原油採掘；原油安；原油取引；産原油；原油処理</t>
        </is>
      </c>
      <c r="G2710" t="inlineStr">
        <is>
          <t>原油流出；原油流出事故；原油先物</t>
        </is>
      </c>
      <c r="H2710" t="n">
        <v>29</v>
      </c>
      <c r="I2710" t="inlineStr">
        <is>
          <t>以上のものにかぎらず原油の時点から流動点は重要な要素となっている。；これらの地質構造に基づいて、原油生産のための掘削が計画されている。；この地が原油生産地にも近く輸送の便にめぐまれていたからである。；流出した原油の問題はいまだにこの地域が抱える問題であり続けている。；アメリカ市場での原油の価格は、早くも四十ドル近くまで上昇していた。；基本的に産油国は原油高が継続するよう様々な政治活動をするためである。；六基の原油貯蔵タンクは、一万八千四百七十六トンの鋼材を必要とした。；オレフィン分は精製された後にできるもので、原油中には殆ど見られない。；しかし、BPがなぜNRCに原油代の前払いを要求したのかわからない。；原油を二十万トンの船に満載したとするとそれは百四十五万バーレルにあたる。；原油がものすごい勢いで上がってくるので、それに浮かんで上がった。；キルクーク油田など周辺の油田から採掘される原油が主要な産業である。；産地を問わず原油には含まれるが、特にナフテン基原油に多く含まれる。；油田は1953年に発見され、原油の生産は1954年より開始された。；国内の原油生産のほとんどが集中しており、主要な油田ではがある。；原油中では何百万年も化学的に変化せずに存在し続けている。；原油が流出した面積が分かれば、流出した原油の総合的な体積が分かる。；そのころBPは自分のところで抱えていたクエートの原油の処分に困っていた。；原油輸送を中心とする大型タンカーは大きさによっていくつかに分類される。；現在では原油の輸出はイラン・イラク戦争前の四分の三になっている。；四日市コンビナートでは中東産の硫黄分の多く含んだ原油を使用していた。；言ってみれば、世界の原油の大半を握るアラブ諸国のストライキである。；樺太周辺の大陸棚の地下には、豊富な原油・天然ガスが埋蔵されている。；サッシンはこの計画を具体化するためにその原油供給先をさがしていたのである。；以後、原油生産を確保するための人員が集まって町が形成された。；我々はもはや原油の自然埋蔵に依存しないでガソリンを合成することができる。；原油は、油田から採掘したままの状態で、精製されていない石油をいう。；地区で生産される原油の多くはセリア近隣で産出され、専ら輸出用である。；この油田では、最大で日産 の原油を産出できる施設が整えられている。</t>
        </is>
      </c>
      <c r="J2710">
        <f>HYPERLINK("https://www.weblio.jp/content/原油", "词义详情")</f>
        <v/>
      </c>
      <c r="K2710">
        <f>HYPERLINK("https://yourei.jp/原油", "查看例句")</f>
        <v/>
      </c>
    </row>
    <row r="2711">
      <c r="A2711" t="inlineStr">
        <is>
          <t>兼用</t>
        </is>
      </c>
      <c r="B2711" t="inlineStr">
        <is>
          <t>成功</t>
        </is>
      </c>
      <c r="C2711" t="inlineStr">
        <is>
          <t>読み方：けんよう
［名］(スル)
１一つのものを二つ以上の用途に使うこと。「晴雨—の傘」
２一つのものを二人以上で一緒に使うこと。共用。「自転車を兄と—する」</t>
        </is>
      </c>
      <c r="D2711" t="inlineStr">
        <is>
          <t>兼用車(5%)；兼用できる(3%)；兼用球場；兼用選手；兼用スタジアム</t>
        </is>
      </c>
      <c r="F2711" t="inlineStr">
        <is>
          <t>朝昼兼用；待合室兼用；肉兼用；アメフト兼用；貨客兼用</t>
        </is>
      </c>
      <c r="G2711" t="inlineStr">
        <is>
          <t>兼用法</t>
        </is>
      </c>
      <c r="H2711" t="n">
        <v>29</v>
      </c>
      <c r="I2711" t="inlineStr">
        <is>
          <t>はいって行くとその室は、台所と食堂と寝室とに兼用されてるものだった。；食卓と勉強机とに兼用してるただ一つのテーブルで、二人は晩を過ごした。；テントは機械修理工場兼用となったが、もちろん食堂にも当てられていた。；これは魚群探知機と作動原理が同じなので兼用になっている場合も多い。；建物は、元は1961年に旭川市内に建てられた店舗兼用の住宅だった。；店舗と兼用していた住宅も、後には別の地所に家を建てて移り住んだ。；そこで有蓋車と兼用することのできる車両を開発することになった。；閘室内の暗渠の口は、給水時にも排水時にも兼用する設計が普通である。；同路線はもともと、ほかの兼用車で運行されていたが、専用車を投入したもの。；このため路線によっては未参加事業者のサイトと兼用する必要がある。；駅舎は待合室兼用の簡易なものであり、直接ホームに入る形になっている。；現在では、オーバードライブを調整することで兼用される場合が多い。；残ったひとつは〝床〟と呼ばれ、すべての役を兼用するよう要求されていた。；スキー場ベース付近に宿泊者および日帰り客兼用の大規模駐車場がある。；やがて、あの出入口兼用の窓のところに消えていくのが見えました。；居間と寝室が兼用になっていて、隅々には花が美しくいけられていた。；待合室兼用の簡易な駅舎しかなく、直接ホームに入る形になっている。；中央ガラス部は非常扉を兼用し、上に跳ね上げて開く方式である。；佳子がこの家にきてから食堂兼用に改装された台所は広く明るい。；指定席券などの発行と兼用している機器の場合は定期券発行機とは呼ばない。；デザイン上は男女の差が無く兼用となっており、指導者用のスカートも廃止された。；標準塗色以外では、路線・貸切兼用車は若干の意匠変更がされている。；朝食と兼用になった昼食を終えてから、僕は予定通りプールに向かった。；一部の駅では、分割案内板をホーム番号表示と兼用していた事例もあるが、現存しない。；下りホームのエレベーターはコンコース - 地上との連絡も兼用している。；なお、現在学校などにある講堂は体育館などと兼用となっていることが多い。；両者は使用目的が異なっており、1つのタブを両者で兼用している機体もある。；これを一個で兼用させるというのは、どう考えても任務過重である。；結婚したばかりの彼は、この仕事をハネムーン兼用の旅行にすることにしたのである。</t>
        </is>
      </c>
      <c r="J2711">
        <f>HYPERLINK("https://www.weblio.jp/content/兼用", "词义详情")</f>
        <v/>
      </c>
      <c r="K2711">
        <f>HYPERLINK("https://yourei.jp/兼用", "查看例句")</f>
        <v/>
      </c>
    </row>
    <row r="2712">
      <c r="A2712" t="inlineStr">
        <is>
          <t>権利</t>
        </is>
      </c>
      <c r="B2712" t="inlineStr">
        <is>
          <t>成功</t>
        </is>
      </c>
      <c r="C2712" t="inlineStr">
        <is>
          <t>読み方：けんり
１ある物事を自分の意志によって自由に行ったり、他人に要求したりすることのできる資格・能力。「邪魔する—は誰にもない」「当然の—」「—を主張する」⇔義務。
２一定の利益を自分のために主張し、また、これを享受することができる法律上の能力。私権と公権とに分かれる。「店の—を譲る」⇔義務。→ライツ（rights）
３権勢と利益。</t>
        </is>
      </c>
      <c r="D2712" t="inlineStr">
        <is>
          <t>権利書；権利侵害；権利を与えられ；権利擁護；権利保護</t>
        </is>
      </c>
      <c r="E2712" t="inlineStr">
        <is>
          <t>権；資格；特権；切符；特典</t>
        </is>
      </c>
      <c r="F2712" t="inlineStr">
        <is>
          <t>法的権利；正当な権利；権利に関する国際規約；権利及び義務；権利継承自治体</t>
        </is>
      </c>
      <c r="G2712" t="inlineStr">
        <is>
          <t>権利関係；権利義務；権利章典；権利と義務；権利行使</t>
        </is>
      </c>
      <c r="H2712" t="n">
        <v>29</v>
      </c>
      <c r="I2712" t="inlineStr">
        <is>
          <t>このような場合に権利・義務関係をいかに処理すべきかが問題とされる。；攻撃権を得たチームは、当初4回連続のプレーを行う権利が与えられる。；その他に運営の責任感から来るものか家の権利書まで持ち出そうとした。；両チームは前後半それぞれ3回ずつのタイムアウトの権利を有している。；この動きと革命の権利という言葉に動かされ、奴隷を解放する者もいた。；ひかりは自分こそ選ぶ権利など最初からないのをわかっていなかったと語る。；また、同じく建物にめり込んだ場合は建物の所有者が権利を主張できる。；誰もが自由であり、誰もが他の者の諸権利に関与する権限はない。；これらのサービスは、あらゆる人が享受する権利をもつと考えられている。；さらに狩った首の数が多ければ、特別な衣服や装飾をつける権利を得る。；国民が国家に対し、行為や給付、制度の整備などを要求する権利である。；野球のテレビ中継などでは「勝利投手の権利が消滅した」と表現される。；また同時に、SFWAの委員会が候補作を追加する権利を認められた。；戦争によって勝ち得た権利を放棄することをアメリカは決して同意しない。；前述の通りリーチを掛けて和了った場合にのみ裏ドラの権利が得られる。；スペインは事実上権利だけで領土の所有はしていなかった。；日テレプラスでは権利上の都合により音楽PVが全てカットされていた。；ルートの権利を手にいれるためのツールの1つにはルートキットがある。；ある者が特定の相手方に対して一定の行為をするよう要求できる権利をいう。；その領域はジョージア州とサウスカロライナ州が権利放棄したものだった。；国家は社会的な権利を保障するため積極的に関与することを求められるようになった。；日本において、全ての公務員は団体行動を行う権利は認められていない。；映画の権利を奪うことは映画を貶めることになることを悟って欲しい。；植民地が自治領となったとき、自ら度量衡を管理する権利も獲得した。；何度かの法令改正で、兵員の将来と権利を保障する制度が導入された。；設権証券とは権利の発生には証券の作成が要件となっている証券をいう。；権利を使うとそのエキストラポイントを先取したほうが勝ちとなる。；現在では新しいペンシルパズルの考案者に権利は発生しないと考えられている。；実質的にこの共同体は権利を保有しているが、土地を売ることはできない。</t>
        </is>
      </c>
      <c r="J2712">
        <f>HYPERLINK("https://www.weblio.jp/content/権利", "词义详情")</f>
        <v/>
      </c>
      <c r="K2712">
        <f>HYPERLINK("https://yourei.jp/権利", "查看例句")</f>
        <v/>
      </c>
    </row>
    <row r="2713">
      <c r="A2713" t="inlineStr">
        <is>
          <t>原理</t>
        </is>
      </c>
      <c r="B2713" t="inlineStr">
        <is>
          <t>成功</t>
        </is>
      </c>
      <c r="C2713" t="inlineStr">
        <is>
          <t>読み方：げんり
１事物・事象が依拠する根本法則。基本法則。「てこの—」「民主主義の—」
２哲学で、他のものを規定するが、それ自身は他に依存しない根本的、根源的なもの。</t>
        </is>
      </c>
      <c r="D2713" t="inlineStr">
        <is>
          <t>原理的(9%)；原理上；原理原則；原理論；原理そのもの</t>
        </is>
      </c>
      <c r="E2713" t="inlineStr">
        <is>
          <t>説；理論；原則；ルール；体系</t>
        </is>
      </c>
      <c r="F2713" t="inlineStr">
        <is>
          <t>同じ原理；行動原理；動作原理；基本的な原理；作動原理</t>
        </is>
      </c>
      <c r="G2713" t="inlineStr">
        <is>
          <t>原理主義者；原理主義的；原理日本；原理研究会；原理講論</t>
        </is>
      </c>
      <c r="H2713" t="n">
        <v>29</v>
      </c>
      <c r="I2713" t="inlineStr">
        <is>
          <t>つまり、時代が進めば進むほど証明の可能性が原理的に狭められてきた。；原理的には、総当たり戦またはそれに近い方式でのみ発生するものである。；そしてその支配原理を実現する手段は普通選挙・直接選挙であるとした。；この装置の原理は精密な計測を必要とするその後の研究者に広く使われた。；この原理からナックルは極僅かな回転と縫い目の向きが重要だとされる。；これらの装置は加熱原理と熱源の違いによって以下のように分類される。；本シリーズではヤマトの波動砲と同原理であると劇中で明言されている。；これを構造色といい、シャボン玉がさまざまな色に見えるのと同じ原理。；自由以外の社会的な基本財をどのように分配するかを示すための原理である。；プロペラ機は原理的にジェット機よりも遥かに低い速度で限界に達する。；改良と言ってもそれらは活版印刷の原理に直接踏み込むものではなかった。；第一にはそれらの出力機器の原理が異なっているためである。；この連鎖は全生物に共通の原理であるためセントラルドグマと呼ばれる。；これは肉類を煮たときのアクの発生原理を極端にしていることになる。；ダイポールアンテナの原理を応用したアンテナには次のような種類がある。；行為の根本的な理由は欲求であるが、人間の欲求は単一の原理ではない。；多くは古典の改良などで作品を残したが、まったく新しい原理の開発でも活躍した。；既に無底の内で働いていたこの原理は自然の第一の原理である。；これらは透析の原理を考えることである程度の説明は可能である。；会話ボットに分類されるプログラムの中には異なる原理で動作するものもある。；またこの憲法では音楽を国家の最高原理であると規定していた。；燃料を使用するタイプの焜炉では原理上、常に換気に注意する必要がある。；このためコンストラクタの実行手順といったものは原理的に存在しない。；科学というのは、かつて自然法則だと見なされた原理を多く含んでいる。；物語の作者が主人公の行動原理に対して批判的である場合などはこの限りではない。；原理的に粘性流領域では気体の対流も加わるため、正確な値を示さない。；劇中描写はこれだけであり、作動原理や理論の詳細は一切不明である。；変分原理を利用したこの手法を指して「変分原理」と言われる事も多い。；これによりフランス第三共和政を形成していた原理は事実上崩壊した。</t>
        </is>
      </c>
      <c r="J2713">
        <f>HYPERLINK("https://www.weblio.jp/content/原理", "词义详情")</f>
        <v/>
      </c>
      <c r="K2713">
        <f>HYPERLINK("https://yourei.jp/原理", "查看例句")</f>
        <v/>
      </c>
    </row>
    <row r="2714">
      <c r="A2714" t="inlineStr">
        <is>
          <t>減量</t>
        </is>
      </c>
      <c r="B2714" t="inlineStr">
        <is>
          <t>成功</t>
        </is>
      </c>
      <c r="C2714" t="inlineStr">
        <is>
          <t>読み方：げんりょう
［名］(スル)目方や分量が減ること。また、減らすこと。特に、体重を減らすこと。「試合のために—する」⇔増量。</t>
        </is>
      </c>
      <c r="D2714" t="inlineStr">
        <is>
          <t>減量する(7%)；減量化(2%)；減量中；減量制度；減量特典</t>
        </is>
      </c>
      <c r="E2714" t="inlineStr">
        <is>
          <t>減少；低下；落ちる；低減；下降</t>
        </is>
      </c>
      <c r="F2714" t="inlineStr">
        <is>
          <t>急激な減量；無理な減量；大幅な減量；過酷な減量；ポンド減量</t>
        </is>
      </c>
      <c r="G2714" t="inlineStr">
        <is>
          <t>減量騎手</t>
        </is>
      </c>
      <c r="H2714" t="n">
        <v>29</v>
      </c>
      <c r="I2714" t="inlineStr">
        <is>
          <t>見事減量に成功して、八十キロから六十三キロにした時は、大変だった。；習慣的な有酸素運動やカフェインの減量はよく不安の治療に用いられる。；そこで決意し、前記の減量をやり、まあまあのスタイルを保持している。；彼は普段は五十八、九キロであるから、バンタム級でも、減量は可能だ。；肥満の人は減量手術をすることによって糖尿病が改善されることが多い。；このほかにも養豚副産物の減量・活用に向けた研究は進められている。；しかし実際には金貨の自由鋳造は認めず、減量して調整したのみであった。；遅発性が薬物の減量で改善しないこともあり治療に工夫が必要となる。；なお、減量が厳しいこともあって、本格的な階級変更には慎重な姿勢を示した。；彼はいままで減量の心配は一度だってしたことがなかった。；また急に服薬を止めたり、減量した場合に離脱症状が起こる可能性がある。；突然の内服中止、手術時、少量服薬時の減量には特に注意が必要である。；だって、彼女を人並みの体に減量させることができなかったからね。；なお、階級をウェルター級に落としたためプロ初の大幅減量となった。；「運動は減量に何の効果も無い」と明言している人物は何人もいる。；社会人時代に「体を絞らないと使わない」と言われて必死に減量した。；いずれの場合も有害事象が発生した場合には減量、休止もしくは中止する。；公務員たちは減量をやり過ぎたボクサーのような表情で、こちらを見ていた。；わたしね、減量中は一週間くらい、ほとんどなにも食べられないの。；ボクサーとはまず減量に耐えることが仕事であるといった職業なのだ。；体重の減少量の殆どは水分であり脂肪ではないため減量は一時的なものである。；この食事を続けた結果、彼らは平均で週に2ポンドの減量を見せた。；術時に腫瘍を摘出できないときは腫瘍減量術や試験開腹を行うこともある。；OIHは特にオピオイド使用を急激に減量・中止する時などに発症する。；減量をし過ぎて栄養失調となり、それがもとで脚気になったこともあった。；ゴミの減量化に努めていたつもりが、逆に処理を妨げていたとは。；多くが低カロリーなので減量効果があったとする体験談は驚くべきことではない。；世の減量に苦しむ女性に喧嘩を売っているのでしょうか、前川さん。；あと二人合わせて六キロ減量するだけでいいんだ。</t>
        </is>
      </c>
      <c r="J2714">
        <f>HYPERLINK("https://www.weblio.jp/content/減量", "词义详情")</f>
        <v/>
      </c>
      <c r="K2714">
        <f>HYPERLINK("https://yourei.jp/減量", "查看例句")</f>
        <v/>
      </c>
    </row>
    <row r="2715">
      <c r="A2715" t="inlineStr">
        <is>
          <t>原料</t>
        </is>
      </c>
      <c r="B2715" t="inlineStr">
        <is>
          <t>成功</t>
        </is>
      </c>
      <c r="C2715" t="inlineStr">
        <is>
          <t>読み方：げんりょう
ある物品を作るもとになる材料。「石油を—とする洗剤」</t>
        </is>
      </c>
      <c r="D2715" t="inlineStr">
        <is>
          <t>原料として用いられる；原料供給；原料として使われる；原料米；原料用</t>
        </is>
      </c>
      <c r="E2715" t="inlineStr">
        <is>
          <t>スタッフ；材料；素材；材；資材</t>
        </is>
      </c>
      <c r="F2715" t="inlineStr">
        <is>
          <t>工業原料；主な原料；合成原料；副原料；化粧品原料</t>
        </is>
      </c>
      <c r="H2715" t="n">
        <v>29</v>
      </c>
      <c r="I2715" t="inlineStr">
        <is>
          <t>原料の種類も七種に限らず、客の求めに応じて減じたり増したりできる。；しかし、原料のひとつである酵母をどの様に表示するのかの規定は無い。；ただし、日本国内では、二番搾りだけを原料に製品化したビールはない。；日本酒は一般には米と水を原料に醸造によって作られる伝統的な酒をいう。；その原料に使われるチキサニの木が周囲に生えていたから、との説がある。；江戸時代から南九州で広く栽培されているサツマイモを原料とした焼酎。；糸と呼ばれる弦の場合絹が使用され、原料としては春繭が良いとされる。；同線は、工場への原料輸送や工場からの製品輸送に使用されていた。；一次発酵に必要な期間は、季節、原料、積み方などの諸条件で変化する。；主に製造原料である樹脂が到着していたほか、成品の発送が行われていた。；故に日本の服飾は長く、主に植物繊維を原料とするものばかりであった。；口紅は紅花が原料のものが使われていたが、極めて高価な品とされていた。；また、燃料用であれば例えばエチレンを原料に工業的に生産する場合もある。；日本酒、または和酒は、通常は米と麹と水を主な原料とする清酒を指す。；日本国内で売られている製品でも、海外産の原料を含む場合がある。。；一方、紙の原料不足については、特に19世紀には大きな問題となった。；また、焼酎の主原料としても使用されることがありそば焼酎と呼ばれる。；エジプトの乾燥した湖等で得られ、ガラスの原料やミイラ製造に使用された。；毒性物質のいくつかは、原料や反応の中間体など様々な形で利用されている。；調合に用いる副原料は生産者によって異なるが、以下がよく使用される。；原料コストを抑えられ、ドイツでは年間10万トンが生産されている。；そのためアラスカの上質な原料を輸入し国内で漬け込み生産を行っている。；大部分は同一工場内でアセチルセルロースなどの原料として使用されている。；糖蜜を分離していないため原料本来の風味が残るのが特徴である。；しかし原料の穀物不足であった時期には幾度か製造が禁止された。；一方でこうした都市間を結んで原料を大量に流通させるシステムが必要とされるようになった。；実際は金属製品が輸入されているに過ぎず、原料や製作器具も輸入に頼っていた。；日本ではゴーダチーズやチェダーチーズが原料に使われることが多い。；大麦は主食となるほか、この地域で大変好まれたビールの原料ともなった。</t>
        </is>
      </c>
      <c r="J2715">
        <f>HYPERLINK("https://www.weblio.jp/content/原料", "词义详情")</f>
        <v/>
      </c>
      <c r="K2715">
        <f>HYPERLINK("https://yourei.jp/原料", "查看例句")</f>
        <v/>
      </c>
    </row>
    <row r="2716">
      <c r="A2716" t="inlineStr">
        <is>
          <t>権力</t>
        </is>
      </c>
      <c r="B2716" t="inlineStr">
        <is>
          <t>成功</t>
        </is>
      </c>
      <c r="C2716" t="inlineStr">
        <is>
          <t>読み方：けんりょく
他人を強制し服従させる力。特に国家や政府などがもつ、国民に対する強制力。「—を振るう」「—者」</t>
        </is>
      </c>
      <c r="D2716" t="inlineStr">
        <is>
          <t>権力争い；権力基盤；権力者；権力掌握；権力欲</t>
        </is>
      </c>
      <c r="E2716" t="inlineStr">
        <is>
          <t>押し；権；権限；権威；パワー</t>
        </is>
      </c>
      <c r="F2716" t="inlineStr">
        <is>
          <t>大きな権力；絶大な権力；絶対的な権力；最高権力；皇帝権力</t>
        </is>
      </c>
      <c r="G2716" t="inlineStr">
        <is>
          <t>権力闘争；権力分立；権力関係；権力機構；権力の空白</t>
        </is>
      </c>
      <c r="H2716" t="n">
        <v>29</v>
      </c>
      <c r="I2716" t="inlineStr">
        <is>
          <t>権力を握ったヌルハチの自分への態度が尊大になることに不満を覚えた。；武器はその能力以外に民族や権力の象徴のような特別な意味を持つ場合がある。；その権力は市民革命を経て徐々に制限され、立憲君主に移行していった。；開拓者が政治的な権力を望んだので政治的な理由から分割された。；ただし、白河上皇は当初から強い権力を有していたわけではなかった。；国家組織および権力を是認して行われる不当逮捕や言論統制などがある。；よってその権力はきわめて小さく、大統領の補佐機関であるといえる。；しかしそれまでの権力争いと違って、それぞれの後ろには各軍閥勢力がいた。；これらは、主要な全体議会と立法機関の法律を批准する権力を持っていた。；もしこれに向かって権力を適用する者あらば、国家は則ち国家ならず。；アメリカの統治機構は権力の機能的拡散と権力の地域的拡散を特徴とする。；君主に権力を集中し、それを迅速に適材に委ねる必要があったのである。；なぜならばそれまでピサ侯が既に権力から閉め出されていたからである。；その後明帝は皇帝の権力の強化を図るが、325年に若くして崩御した。；西洋の冠・王笏などは権力の象徴であるが、同時に装飾の役割を果たした。；つまり、強大な権力をもってしても制御できないものと例えられたのである。；そして権力は集団において意思決定することで行使されると考えた。；よってその権力は極めて小さく、大統領の補佐機関であるといえる。；農業地帯の政治と経済の権力を維持するために、古い選挙区割りに固執した。；裁判所の決定を実行するためには行政府の権力が必要となる。；自身の権力強化のために、セルビア民族主義を国民に扇動し、利用した。；権力の機能には他者の積極的な服従と消極的な服従の両方が含まれる。；この急速な昇進には公武に強い権力を保持していた父の強い意向があったためである。；こうしてバイエルン大公と司教は市内での支配的権力をほぼ失った。；また、信玄期に確立した大名権力により独自の領国支配が展開された。；首長が権力を持とうとするのを妨げる集団世論が働いているのである。；こうした事態に対応して、各国で権力の集中と国家体制の整備が進むようになった。；ジョージ1世がトーリーに不信感を持ったため権力はホイッグに移った。；洪武帝は独裁権力の確立を目指し中書省を廃止して六部を直属とした。</t>
        </is>
      </c>
      <c r="J2716">
        <f>HYPERLINK("https://www.weblio.jp/content/権力", "词义详情")</f>
        <v/>
      </c>
      <c r="K2716">
        <f>HYPERLINK("https://yourei.jp/権力", "查看例句")</f>
        <v/>
      </c>
    </row>
    <row r="2717">
      <c r="A2717" t="inlineStr">
        <is>
          <t>言論</t>
        </is>
      </c>
      <c r="B2717" t="inlineStr">
        <is>
          <t>成功</t>
        </is>
      </c>
      <c r="C2717" t="inlineStr">
        <is>
          <t>読み方：げんろん
口で言ったり文章にしたりして思想や見解を発表し、論じること。また、その論。「—で対抗する」
「口もあれば筆もあるから颯々と—して」〈福沢・福翁自伝〉</t>
        </is>
      </c>
      <c r="D2717" t="inlineStr">
        <is>
          <t>言論活動(9%)；言論人(8%)；言論出版；言論報国会；言論自由</t>
        </is>
      </c>
      <c r="E2717" t="inlineStr">
        <is>
          <t>態度；議論；話し合い；論議；弁論</t>
        </is>
      </c>
      <c r="F2717" t="inlineStr">
        <is>
          <t>批判的な言論；保守言論；過激な言論；活発な言論；言論圧迫</t>
        </is>
      </c>
      <c r="G2717" t="inlineStr">
        <is>
          <t>言論統制；言論界；言論弾圧；言論機関；言論統廃合</t>
        </is>
      </c>
      <c r="H2717" t="n">
        <v>29</v>
      </c>
      <c r="I2717" t="inlineStr">
        <is>
          <t>勤務中の記者が襲われて死亡するのは、日本の言論史上初めてであった。；この本の前半の論文を読むと、戦争中のいわゆる言論が耳に甦ってくる。；言論の上に於て、彼は余りに多くの対象を取り上げすぎたかも知れない。；晩年には南京事件の存在に否定的な立場からの言論活動を活発に行った。；之が今日主張型の言論を要望させる一等根本的な要因ではないだろうか。；而もこのエネルギーには単なる言論や思想のエネルギーでは事足りない。；その言論はこの際数を無視しても通用し得るということを忘れてはならぬ。；クリストフは言論の場を求めて社会主義の新聞に文章を投稿してしまう。；他方では言論内容の公共性を考慮しなければならない場合も少なくはない。；それに加えて、好ましくない言論に対して適用できる法律も整備された。；之が日本の文武半官僚政府の、言論文化に就いての社会常識なのである。；と主張し、恋愛至上主義的な価値観を押し付ける言論人たちを批判した。；タージョッサルタネがこのような言論界の動きを知っていたのは明らかである。；言論は自由だなんていうが、身の危険までは守ってくれないのだ。；権力が非常の場合有害な言論や投票を無視し得るのは当然である。；第一の自由は、世界のあらゆる場所における言論・表現の自由である。；夫は一般に云って言論活動全体にとっての問題でなくてはならぬ。；それでも黄は、上海で雑誌を刊行するなどして反内戦の言論活動を続けた。；彼の言論は反発を呼び、松本の民衆から石を持って故郷から追い出された。；言論や文章が微笑を失うのは、たしかに思想の消化不良に基因している。；ここでも日本の知識人たちは、主に当時のドイツ言論に倣っていた。；八月二十九日 言論出版集会結社等がだんだん自由になってくるようだ。；社会政策家たる僕の言論は従って社会政策的と云われる可きものである。；思想、言論においてはもっと充分に自由でなければならないのは、結構だ。；雑誌『思想界』を創刊し、朴正煕政権下での言論面での抵抗に寄与した。；われわれは言論の完全な自由を獲得したのではないか?；言論に対しては言論で対抗することが民主主義社会の鉄則だからである。；現代中国の言論自由化の先駈けとして評価され世界各国に配信された。；彼は政府に批判的な言論活動をしたため、しばしば投獄を受けた。</t>
        </is>
      </c>
      <c r="J2717">
        <f>HYPERLINK("https://www.weblio.jp/content/言論", "词义详情")</f>
        <v/>
      </c>
      <c r="K2717">
        <f>HYPERLINK("https://yourei.jp/言論", "查看例句")</f>
        <v/>
      </c>
    </row>
    <row r="2718">
      <c r="A2718" t="inlineStr">
        <is>
          <t>子</t>
        </is>
      </c>
      <c r="B2718" t="inlineStr">
        <is>
          <t>成功</t>
        </is>
      </c>
      <c r="C2718" t="inlineStr">
        <is>
          <t>読み方：す
［接尾］人名または人を表す名詞に付いて、親愛の気持ちや軽い敬意を表す。特に遊里で用いる。
「ああ、是々(これこれ)太夫—、待って貰(もら)はう」〈伎・韓人漢文〉</t>
        </is>
      </c>
      <c r="D2718" t="inlineStr">
        <is>
          <t>子たち；子さん；子達；子機；子院</t>
        </is>
      </c>
      <c r="E2718" t="inlineStr">
        <is>
          <t>言葉；子供；北；少年；男子</t>
        </is>
      </c>
      <c r="F2718" t="inlineStr">
        <is>
          <t>我が子；栞子；桜子；蓉子；チョン子</t>
        </is>
      </c>
      <c r="G2718" t="inlineStr">
        <is>
          <t>子供たち；子ども；子孫；子会社；子どもたち</t>
        </is>
      </c>
      <c r="H2718" t="n">
        <v>29</v>
      </c>
      <c r="I2718" t="inlineStr">
        <is>
          <t>第二に、すでに子や孫がいる場合は彼らも処刑しなければ意味がない。；驚くべきことに、この子マウスは父親マウスと同様に異常行動を示した。；逆に子の側には、仲間を助ける際の瞬間的な判断と勇気が求められる。；葉ではない各点に対しその点の子の数が常に であるような木を分木という。；弱い子供を助けてくれ、病気で寝ている子はアンモを拝むと治るという。；仏教では親が子を生むのではなく、子が親を選ぶのだといいます。；ところが、方法に間違いがあったことから失敗し、不具の子であった。；遊びの終わりは明瞭で、子がすべて捕まった時点でそのゲームは終了する。；後にプリアモスの子であることが明らかとなって、王宮に迎えられた。；彼は妊娠中の妻と子の死を含め、彼の人生で多くの試練を経験した。；あの子が部屋に入ってくるたびに大騒ぎになったものでした。；世良田満氏の子である経氏に始まり、その子重氏と以後子孫繁栄した。；公式には男女を問わず子はいないため、子孫は存在しない。；カフェの裏で殺害された親子の子は、手の指を揃えて切断されていた。；子の命名において使用できる文字には制限が設けられている。；アンキセスの子がローマの元となった都市を築いた英雄アイネイアースである。；医神アスクレーピオスがアポローンの子とされるのはそのためである。；翌2009年6月に男の子を授かり、合わせて4人の子の父親となった。；北は清水経由、子は子飼橋経由で、原則往復とも同じ番号を表示する。；利己的個体は多くの子を残し、次第に利己的な個体は数を増していくであろう。；この間に、まだ隠れていない子は早急に隠れなくてはならない。；黒が2の所に打つと隅の白4子が取れて大きな黒地ができる得をする。；名前の知られている子は以下のものがある。；遊佐の両親の話では、いつも歌っているような子であったという。；その伝承によると、親季の戦死後、その子の有親も南朝方として戦った。；子を宿したファナがサバヒーを食べたがるのでファンは毎日漁に出た。；現在は妻と一番下の子と共にノースカロライナ州グリーンズボロに在住。；こうして子が全員発見されると、最初に発見された子が新たな鬼となり、次のセットを開始する。；第十四代天皇の足仲彦は日本武尊の子であり父と同様に熊襲征伐を行った。</t>
        </is>
      </c>
      <c r="J2718">
        <f>HYPERLINK("https://www.weblio.jp/content/子", "词义详情")</f>
        <v/>
      </c>
      <c r="K2718">
        <f>HYPERLINK("https://yourei.jp/子", "查看例句")</f>
        <v/>
      </c>
    </row>
    <row r="2719">
      <c r="A2719" t="inlineStr">
        <is>
          <t>碁</t>
        </is>
      </c>
      <c r="B2719" t="inlineStr">
        <is>
          <t>成功</t>
        </is>
      </c>
      <c r="C2719" t="inlineStr">
        <is>
          <t>読み方：き
将棋。また、囲碁。</t>
        </is>
      </c>
      <c r="D2719" t="inlineStr">
        <is>
          <t>碁将棋(3%)；碁会(2%)；碁界(2%)；碁席；碁好き</t>
        </is>
      </c>
      <c r="E2719" t="inlineStr">
        <is>
          <t>囲碁</t>
        </is>
      </c>
      <c r="F2719" t="inlineStr">
        <is>
          <t>指導碁；上覧碁；打碁；勝負碁；賭碁</t>
        </is>
      </c>
      <c r="G2719" t="inlineStr">
        <is>
          <t>碁石；碁盤の目；碁会所；碁打ち；碁所</t>
        </is>
      </c>
      <c r="H2719" t="n">
        <v>29</v>
      </c>
      <c r="I2719" t="inlineStr">
        <is>
          <t>先生が学校の宿直室で碁をやっておられたのを一度見たことがあった。；田辺君ひとり先に帰ってから渡部君と碁を二番打ち、三人で夕食をする。；人の石を殺しに行くことしか知らない行儀の悪い碁になってしまった。；みんな先生と言ふものだから、知らない人は碁の先生だと思つてしまふ。；後に横浜に碁席を設けて、後進の指導の巧みなるは碁界第一と称された。；だが通路の中で碁を打つと客観性が無くなつて喧嘩碁ばかり打ち始める。；昨夜深更まで碁を打っていた隣室の客、もう朝飯を食べている声がする。；碁将棋会所が軒なみに溢れたっているような風景も東京には完全にない。；なぜ碁会所を開かせたかというと、ここのオヤジが日本一に碁が好きだ。；どこで覚えてきたのか、碁を知っていて、私にたびたび相手を命じた。；老人といえば升屋の老人は今頃誰を対手に碁を打っていることやら。；六十二級を碁の場合に当てはめると、初段に六十二目おくことになる。；やがて碁をうって居た旭川の客が帰って往ったので、表二階の方に移った。；釣りをするじゃなし、碁を打つじゃなし、家庭の楽しみがあるじゃなし。；碁の勝負がいよいよ終わったのか、人が分かれ分かれに立って行くような音がした。；九日の晩、自分と碁を打ってから、直木は自動車を呼んで、病院へ向った。；氷が來たので、それを飮みながら碁をつづけてゐるところへ、來客があつた。；碁を習ひに行つたら、あべこべに先生に教へて来たと云ふのである。；自分には碁を打つやうなそんな悠長なことはとても我慢がしきれぬ。；碁器の中の石をかき混ぜて音を立てる行為はマナー違反とされている。；上覧碁を翌日に控えた算哲は会津江戸藩邸の屋根に登り星を眺めていた。；碁の達人が現れたといふので、夜になると親爺の碁敵がつめかけてくる。；弟子の碁を見ることはあったがだいたいは弟子同士で切磋琢磨した。；二人の子供が碁を打っている最中に父が逮捕されたが、二人ともびくともしなかった。；前大会準優勝の不動碁は、シード権を獲得していたが出場していない。；碁なんぞ打ちやがって、野郎め、見かけ以上の大悪党かもしれませんぜ。；棋士の研究会やテレビの解説などで数々の新語を発し、碁界に広まった。；これ又大いにその文章を裏切っているがやっぱり碁の性格が正しいのだと私は思っている。；慶応3年の井上松本因碩宅で行われた連碁に参加し、その後の記録は無い。</t>
        </is>
      </c>
      <c r="J2719">
        <f>HYPERLINK("https://www.weblio.jp/content/碁", "词义详情")</f>
        <v/>
      </c>
      <c r="K2719">
        <f>HYPERLINK("https://yourei.jp/碁", "查看例句")</f>
        <v/>
      </c>
    </row>
    <row r="2720">
      <c r="A2720" t="inlineStr">
        <is>
          <t>御～</t>
        </is>
      </c>
      <c r="B2720" t="inlineStr">
        <is>
          <t>成功</t>
        </is>
      </c>
      <c r="C2720" t="inlineStr">
        <is>
          <t>読み方：お
［接頭］《「おん（御）」の音変化で、中世以降の成立》
１名詞に付く。
㋐尊敬の意を表す。相手または第三者に属するものに付いて、その所属、所有者を敬う場合と、敬うべき人に対する自己の物や行為に付いて、その対象を敬う場合とがある。「先生の—話」「—手紙を差し上げる」
㋑丁寧に、または上品に表現しようとする気持ちを表す。「—米」
２女性の名に付いて、尊敬、親しみの意を表す。「—花さん」
３動詞の連用形に付く。
㋐その下に「になる」「なさる」「あそばす」「くださる」などの語を添えた形で、その動作主に対する尊敬の意を表す。「—連れになる」「—書きなさる」「—読みあそばす」「—話しくださる」
㋑その下に「する」「いたします」「もうしあげる」などの語を添えた形で、謙譲の意を表し、その動作の及ぶ相手を敬う。「—連れする」「—書きいたします」「—話しもうしあげる」
㋒その下に「いただく」「ねがう」などの語を添えた形で、相手にあることをしてもらうことをへりくだって言う。「—買い上げいただく」「—引き取りねがう」
４動詞の連用形に付いて、軽い命令を表す。「用がすんだら早く—帰り」「—だまり」
５動詞の連用形や形容動詞の語幹に付いて、その下に「さま」「さん」を添えた形で、相手に対する同情やねぎらい、なぐさめの気持ちを表す。「—疲れさん」「—待ち遠さま」「—気の毒さま」
６形容詞・形容動詞に付く。
㋐尊敬の意を表す。「—美しい」「—元気ですか」
㋑丁寧、または上品に表現しようとする気持ちを表す。「—寒うございます」「—りこうにしていなさい」
㋒謙譲または卑下の意を表す。「—恥ずかしいことです」
㋓からかい、皮肉、自嘲(じちょう)などの気持ちを表す。「—高くとまっている」「—熱い仲」
[用法]お・ご——「お（おん・おおん）」は和語であるから「お父さん」「お早く」のように和語に付き、「ご（ぎょ）」は「御」の漢字音からできた接頭語であるから「ご父君」「ご無沙汰」のように漢語（漢字音語）に付くのが一般的である。◇話し言葉での敬語表現にも多用され、漢語意識の薄れた語では、「お＋漢語（漢字音語）」も少なくない。お客、お札(さつ)、お産、お酌、お膳、お宅、お茶、お得です、どうぞお楽に、お礼、お椀、お菓子、お勘定、お行儀、お稽古(けいこ)、お化粧、お元気、お時間、お七夜、お邪魔、お正月、お食事、お歳暮、お餞別(せんべつ)、お達者、お知恵、お銚子、お天気、お電話、お徳用、お弁当、お帽子、お役所、お歴々など。◇「ご＋和語」は数少ないが、「ごもっとも」「ごゆっくり」「ごゆるり」など多少改まった言い方で登場する。◇「—返事」「—相伴」「—丈夫」など、「お」「ご」両方が付くものもあるが、「ご」は多少改まった表現、書き言葉的表現である。◇「おビール」のような例外はあるが、「お」「ご」ともに、ふつう外来語には付かない。</t>
        </is>
      </c>
      <c r="H2720" t="n">
        <v>0</v>
      </c>
      <c r="J2720">
        <f>HYPERLINK("https://www.weblio.jp/content/御～", "词义详情")</f>
        <v/>
      </c>
      <c r="K2720">
        <f>HYPERLINK("https://yourei.jp/御～", "查看例句")</f>
        <v/>
      </c>
    </row>
    <row r="2721">
      <c r="A2721" t="inlineStr">
        <is>
          <t>恋</t>
        </is>
      </c>
      <c r="B2721" t="inlineStr">
        <is>
          <t>成功</t>
        </is>
      </c>
      <c r="C2721" t="inlineStr">
        <is>
          <t>読み方：こい
１特定の人に強くひかれること。また、切ないまでに深く思いを寄せること。恋愛。「—に落ちる」「—に破れる」
２土地・植物・季節などに思いを寄せること。
「明日香川川淀さらず立つ霧の思ひ過ぐべき—にあらなくに」〈万・三二五〉
[補説]書名別項。→恋</t>
        </is>
      </c>
      <c r="D2721" t="inlineStr">
        <is>
          <t>恋仇；恋うる；恋ゆえ；恋多き；恋占い</t>
        </is>
      </c>
      <c r="E2721" t="inlineStr">
        <is>
          <t>愛；愛情；恋愛</t>
        </is>
      </c>
      <c r="F2721" t="inlineStr">
        <is>
          <t>わが恋；熱烈な恋；淡い恋；悲しい恋；女に恋</t>
        </is>
      </c>
      <c r="G2721" t="inlineStr">
        <is>
          <t>恋愛；恋し；恋心；恋する；恋人同士</t>
        </is>
      </c>
      <c r="H2721" t="n">
        <v>29</v>
      </c>
      <c r="I2721" t="inlineStr">
        <is>
          <t>そして、彼こそ今まで待ち望んできた真実の恋の相手ではないかと考える。；少女から大人へと成長する中で、さまざまな恋や別れを繰り返してゆく杏。；やがて男女の恋の方位図が狂っていき、彼らに皮肉な恋の結末が訪れる。；しかし、第四期でエリオスに恋をすると二人の邪魔をすることは減った。；不倫の恋をテーマにしたヒットや、その他の曲で音楽史に記録されている。；瀬戸内の尾道を舞台に、少年の恋をノスタルジックに描いた作品である。；妻恋峠から寒風山方向への道路のカーブしている部分に小さな窪地がある。；しかし翌年に太子は同母妹の軽大娘皇女との道ならぬ恋に落ちてしまった。；彼を中心とした少年少女達が織りなす、恋と青春の学園生活が描かれる。；女神はアンキーセースを見るとたちまち恋に落ち、彼と臥所を共にした。；しかしパリとウィーンで行われた撮影の間に2人の映画の中での恋は本物となる。；ウィンチ家の娘のキャスリーンとやがて恋に落ち、9月1日に結婚した。；恋および雑の部の歌作者に僧が多いのは頓阿の撰したためかという。；フィーチャー映画に出演し続け、そのほとんどが主人公の恋の相手であった。；プレストンは一度も話をしたことのないアマンダに恋をしていた。；これにより物語は「夫への一途で純粋な恋の思いへと集中」してゆく。；それは過去に学園で実際に起こった悲しい恋の伝説であった。；ティーターンの系譜に属し、様々な恋の物語が彼女をめぐって存在する。；同アルバムからの「恋は臆病」はソウル・チャートでヒットを記録した。；原作と違い、女性との恋に興味を見せている面はほぼない。；そして多くのパートナーたちはそのまま恋に落ち、そして結婚した。；恋多き性格で、何度か結婚寸前まで話が進んだこともあるがいずれも破局。；話が弾んでいたら、若者の恋についても尋ねてみようとなっている。；パリを舞台として、アメリカ人の画家とフランス人の女性の恋を描く。；だが、新たな恋を探す決意をして中学校に入ると、なんと同じクラスで席も隣。；このころ、フランス帰りで38歳になる独身の画家と恋をしていた。；そんな普通の、でも今までになかった気持ちに戸惑い、そして恋をしていく。；やがて一人の人間の少年に恋をするのだった。；一目惚れで恋に落ちたり、女の子に追いかけ回されるエピソードも多い。</t>
        </is>
      </c>
      <c r="J2721">
        <f>HYPERLINK("https://www.weblio.jp/content/恋", "词义详情")</f>
        <v/>
      </c>
      <c r="K2721">
        <f>HYPERLINK("https://yourei.jp/恋", "查看例句")</f>
        <v/>
      </c>
    </row>
    <row r="2722">
      <c r="A2722" t="inlineStr">
        <is>
          <t>濃い</t>
        </is>
      </c>
      <c r="B2722" t="inlineStr">
        <is>
          <t>成功</t>
        </is>
      </c>
      <c r="C2722" t="inlineStr">
        <is>
          <t>読み方：こい
［形］［文］こ・し［ク］
１色合いが強い。「墨が—・い」「—・い藍(あい)染め」⇔薄い／淡い。
２においや味などが強い。「塩味が—・い」「百合の—・い香り」⇔薄い／淡い。
３液体の中に溶けている物質の割合が高い。「—・くいれたコーヒー」⇔薄い。
４密度が高い。充実している。また、ぎっしりと並んだり詰まったりしている。「霧が—・い」「内容が—・い」「眉が—・い」「魚影が—・い」⇔薄い。
５度合いが強い。「化粧が—・い」「並木が—・い影を落とす」⇔薄い。
６可能性などの程度が高い。「敗色が—・い」「犯人である疑いが—・い」⇔薄い。
７関係が密接である。「血のつながりが—・い」
８俗に、容貌や性格などに際だった特徴がある。また、一つのことにのめり込んでいる。「目鼻立ちの—・い顔」「芸人の中でも特に—・い連中が集まる」
[派生]こさ［名］</t>
        </is>
      </c>
      <c r="D2722" t="inlineStr">
        <is>
          <t>濃い霧(4%)；濃い色(3%)；濃い緑(3%)；濃い眉(2%)；濃い影</t>
        </is>
      </c>
      <c r="E2722" t="inlineStr">
        <is>
          <t>強い；深い；激しい；強力；強烈</t>
        </is>
      </c>
      <c r="F2722" t="inlineStr">
        <is>
          <t>濃い褐色；濃い紫；濃い茶色；濃い赤；濃いブルー</t>
        </is>
      </c>
      <c r="G2722" t="inlineStr">
        <is>
          <t>濃い茶；濃い口；濃いい；濃い口醤油</t>
        </is>
      </c>
      <c r="H2722" t="n">
        <v>29</v>
      </c>
      <c r="I2722" t="inlineStr">
        <is>
          <t>緑が濃いほど平和なことを示し、赤が濃いほど平和から遠いことを示す。；大阪ではますます煙が濃くなって日中でもお日様が見えなくなったのは。；当時、現地は濃い霧がかかっており、崖から転落したと推測されている。；体色は全体的に灰色であり、背側は濃い灰色、腹側は明るい灰色である。；全体的な体色は灰色であり、背側は濃い灰色、腹側は明るい灰色である。；これらの列車は白を主色調とし、両側にそれぞれ濃い紫の飾り帯がある。；日本人の大半もまた、黒と表現される濃いブラウンに属す目の色を持つ。；食事を目的とした料理というよりは遊び、イベントとしての色彩が濃い。；僕の疑問は、その署名がタイプ打ちされていることでいよいよ濃くなる。；ワインは色が濃いのでブレンドに用いられ、単一種の商品は見られない。；この辺りの大気はおそらく、いくらかの硫酸を含む濃い雲の領域だろう。；濃い緑色だった地色も、徐々に明るく鮮やかな緑色へと変更されている。；白塗りの顔や必要以上に濃い化粧などをするのがお決まりになっている。；また、ヒマワリの花の色の濃い部分はやや赤みがかった黄色をしている。；雄の体色は全身が濃い灰色あるいは黒であり、腹側に明るい色を持たない。；あたかも全ての葉が金でできているかのように、濃く色づいていたのだ。；すなわち色の濃さを規則正しく配置された点それぞれの大きさで表現する。；ビールのデンプン源に何を使用するかで、その濃さや風味が左右される。；門より庭に入りて立てば、木々の緑が滴るばかりに濃く見えるのだもの。；この濃いスモッグは、前方が見えず運転ができないほどのものだった。；したがって、地上より飛行機や高い山からみる空のほうが濃い空色になる。；空気服の中には地球の上と同じほどの濃さの空気がはいっている。；初期のロンドン・ポーターは現代の基準でみると濃いビールだった。；事件は犯罪性が濃かったが、まだこの時点では自殺の可能性も残されていた。；具体的には、背中側が濃く、腹側が薄い色をしているのがこれである。；ヴィクトリアにはイギリスよりドイツの血の方がはるかに濃く流れている。；濃色系のものは毛色が通常色で、目と鼻にもしっかり色が入っている。；濃い緑が最も狭い推定値で、薄い緑が逆に最も広い推定値となる。；海軍の兵は一旦崩れかかると、陸軍の兵よりも無頼の感じが濃くなるのだ。</t>
        </is>
      </c>
      <c r="J2722">
        <f>HYPERLINK("https://www.weblio.jp/content/濃い", "词义详情")</f>
        <v/>
      </c>
      <c r="K2722">
        <f>HYPERLINK("https://yourei.jp/濃い", "查看例句")</f>
        <v/>
      </c>
    </row>
    <row r="2723">
      <c r="A2723" t="inlineStr">
        <is>
          <t>語彙</t>
        </is>
      </c>
      <c r="B2723" t="inlineStr">
        <is>
          <t>成功</t>
        </is>
      </c>
      <c r="C2723" t="inlineStr">
        <is>
          <t>読み方：ごい
《「彙」は集める意》
１ある言語、ある地域・分野、ある人、ある作品など、それぞれで使われる単語の総体。「—の豊富な人」「学習基本—」
２ある範囲の単語を集録し、配列した書物。「近松—」</t>
        </is>
      </c>
      <c r="D2723" t="inlineStr">
        <is>
          <t>語彙的(2%)；語彙集；語彙体系；語彙数；語彙面</t>
        </is>
      </c>
      <c r="E2723" t="inlineStr">
        <is>
          <t>ボキャブラリー；ヴォキャブラリー</t>
        </is>
      </c>
      <c r="F2723" t="inlineStr">
        <is>
          <t>由来する語彙；共通する語彙；新しい語彙；基本的な語彙；方言語彙</t>
        </is>
      </c>
      <c r="G2723" t="inlineStr">
        <is>
          <t>語彙力；語彙論；語彙目録；語彙化；語彙・読解力検定</t>
        </is>
      </c>
      <c r="H2723" t="n">
        <v>29</v>
      </c>
      <c r="I2723" t="inlineStr">
        <is>
          <t>様々な地方からの影響を受けているので、他地方と共通する語彙も多い。；あるいは、発明せずとも雑誌で使用されることで一般化した語彙もある。；中国語に由来する語彙は、漢字語の中で最も中心的な位置を占めている。；他の地域の語彙と同じ形態素を持っていながら、意味が異なる語もある。；また、語彙的な意味を持つものとそうでないものに分けることができる。；これらの語彙のいくらかは中国に逆輸入され中国語とも共通している。；どちらの場合でも接触する言語間ではお互いに語彙の借用が行われる。；また同時に日本語の語彙があるのに英語を使う事にも批判が出た。；これも、アクセントが意味を決定するタイ語独自の語彙にはみられない。；現代でも残る八丈方言や各方言由来の表現や語彙は以下の通りである。；第三類は所属語彙が少なく諸地域間で規則的に対応していないため省略した。；漢字の音読みと対応する語彙体系であるので字音語と称することもある。；この2字はギリシア語彙を表記するときしか使わなかったためである。；自然言語のいくつかの語彙に対して規則的な活用を見出すことができる。；両者は半数以上の語彙を共有し、10世紀前後に分化したと考えられる。；その三つにはいずれも独自の語彙、文法規則があり、韻文さえも異なる。；このような語彙は中国語とも日本語とも異なった意味で用いられる場合が多い。；京阪語の語彙をもちながら音韻の一部に東北方言と共通する要素もある。；広東語は、卑語・スラングのような独特の語彙が多いことでも知られる。；基本となる語彙は、多くの言語で使われているものを採用した。；日本語の語彙は、語構成の面からは単純語と複合語に分けることができる。；基本的には和文の形式であるが、漢語の語彙を多数取り入れた文章である。；この種の人さらいの化物の伝承は日本各地にあり、その語彙も様々である。；この手法は、文書に語彙にない単語が含まれている場合は利用に課題が生じる。；秋田県内で語彙の対立が見られる場合、県北と県南で対立する場合が多い。；このことにより、語彙の少ない初学者にも使いやすい辞書となっている。；逆に言えば、現在普通に使われている語彙の中には、かつての流行語もある。；朝鮮語の方言は音韻・文法・語彙の面からいくつかの区画に区分される。；モスラやラドンなどは明らかに英語の語彙を変化させたものである。</t>
        </is>
      </c>
      <c r="J2723">
        <f>HYPERLINK("https://www.weblio.jp/content/語彙", "词义详情")</f>
        <v/>
      </c>
      <c r="K2723">
        <f>HYPERLINK("https://yourei.jp/語彙", "查看例句")</f>
        <v/>
      </c>
    </row>
    <row r="2724">
      <c r="A2724" t="inlineStr">
        <is>
          <t>恋しい</t>
        </is>
      </c>
      <c r="B2724" t="inlineStr">
        <is>
          <t>成功</t>
        </is>
      </c>
      <c r="C2724" t="inlineStr">
        <is>
          <t>読み方：こいしい
［形］［文］こひ・し［シク］離れている人や場所、また事物などに強く心を引かれるさま。「—・い人」「こたつの—・い季節」
[派生]こいしがる［動ラ五］こいしげ［形動］こいしさ［名］</t>
        </is>
      </c>
      <c r="D2724" t="inlineStr">
        <is>
          <t>恋しい人(6%)；恋しい男(5%)；恋しい女(3%)；恋しいひと；恋しいお方</t>
        </is>
      </c>
      <c r="F2724" t="inlineStr">
        <is>
          <t>恋しい母親；恋しい昔</t>
        </is>
      </c>
      <c r="H2724" t="n">
        <v>29</v>
      </c>
      <c r="I2724" t="inlineStr">
        <is>
          <t>故郷なしには生きられないほど国の方にある一切のものの恋しかった時。；恋しているのでございます、また恋さずにはいられないのでございます。；憂鬱の方は妙に日本が恋しくなり日本が世界一番だといい出す癖がある。；考えても見た事のない、遠くに去った初恋の男が急に恋しくなって来た。；恋し得た最後の女、そして結局一生に一人の女が綾子のような気がする。；ことに人里の遠いところに育ったので、非常に人を恋しがる方であった。；そして当然のなりゆきです、私はひそかに彼女に恋してしまったのです。；都の女が恋しくなっている若者たちも、源氏を見て気が紛れるのである。；結婚前の恋しい感情など結婚して一年もすれば消えてしまうものだ。；下の子がおっ母さんを恋しがって泣くので、親の所へ連れて行くんです。；そういう過去のあるなしにかかわらず、恋していたことは事実だった。；しかし、あのあと次第に家庭の空気が恋しくなってきたもののようだ。；侍女の中に美人の女が一人あって、それに百瀬の家の若殿が恋していた。；こんなにまであなたが恋しいことから前途が不安に思われてなりませんよ。；というのはさっきの出来事から、すっかり女房恋しくなったためである。；だって、ぼくが男であろうが女であろうが、ぼくに恋してるんですからね。；そうすれば、息子さんの魂が恋しがって、手紙をよこすようになるから。；一名は家恋しさのあまり、離脱し、二名は病気になって会社をやめた。；恋された人の知らぬ前に恋した人の心を自分はその人から打ち明けられた。；子供は、町にいってからも、西の山を見て恋しい母親の姿をながめました。；しかし直接に恋しさをではなく、ただ恋における夢を詠嘆するに過ぎぬ。；確かに、あれほど愛し恋しかった妻や子供たちと私の間に何かがありました。；きっと旅の独り寝の侘しさから、妻の肌が恋しくなったのにちがいない。；わたしが恋しているものは、諸君の眼の前に見える船の上にいるのだ。；然しそれが薫さんを自分が恋しているからだとは僕は少しも考えなかった。；ふたりは恋しい思いで別れたが、私は次の晩も会えると確信していた。；若い美しい奥さんの事だから、別れた亭主を恋しがるのは当り前である。；人間が恋し求めているのは、実に善きもの以外にはないのですからね。；彼はこれほどまでに人が恋しいということを今まで経験したことはなかった。</t>
        </is>
      </c>
      <c r="J2724">
        <f>HYPERLINK("https://www.weblio.jp/content/恋しい", "词义详情")</f>
        <v/>
      </c>
      <c r="K2724">
        <f>HYPERLINK("https://yourei.jp/恋しい", "查看例句")</f>
        <v/>
      </c>
    </row>
    <row r="2725">
      <c r="A2725" t="inlineStr">
        <is>
          <t>恋する</t>
        </is>
      </c>
      <c r="B2725" t="inlineStr">
        <is>
          <t>成功</t>
        </is>
      </c>
      <c r="C2725" t="inlineStr">
        <is>
          <t>読み方：こいする
［動サ変］［文］こひ・す［サ変］恋をする。慕う。「命短し、—・せよ乙女」</t>
        </is>
      </c>
      <c r="D2725" t="inlineStr">
        <is>
          <t>恋する輪廻オーム・シャンティ・オーム；恋する者たち</t>
        </is>
      </c>
      <c r="E2725" t="inlineStr">
        <is>
          <t>思う；恋愛；愛する；好く；愛す</t>
        </is>
      </c>
      <c r="G2725" t="inlineStr">
        <is>
          <t>恋する乙女；恋するフォーチュンクッキー；恋する女たち；恋する二人；恋する日曜日</t>
        </is>
      </c>
      <c r="H2725" t="n">
        <v>29</v>
      </c>
      <c r="I2725" t="inlineStr">
        <is>
          <t>これは恋する男がだれからも叱言をいわれずに受けられる最大の喜びだ。；かつてひとりの魔女がいて、恋する者たちのために野と森とをつくった。；いやいや、この私が恋する少女のような気分になるとは思わなかったな。；西洋の文学では、男性が男性に恋する気持ちも表現されてきた歴史がある。；恋すまいと思えば思うほどそれが二倍の力となって、若侍は嫂を恋した。；そのとき真紀子も、母親である前に、一個の恋する女になりきっていた。；かつて一人の魔女がいて、恋する者たちばかりのために野と森とを作った。；どんな相手も恐れない佐伯も、恋する男女と話すのだけは苦手なようだ。；あの叔父が恋する相手だもの、きっと美しい女性だったにちがいない。；女は恋する男の前で必ずしも純粋な女の隙を暴露するとは限らない。；恋する唯一の人を決して他の誰彼と混同する様な事はないのですから!；又実際世の中には、恋する女の為に犯罪を行う青年が多いじやないか。；たいていの女の子は、あっという間に恋する気分になってしまうだろう。；恋することも、しようと思えばすぐできそうなところまで来ている。；恋することも結婚することも、生れ乍ら私には許されて居なかったんです。；ぼくは、恋する相手を見つけ、しかもその相手を眼のまえに見ている。；しかも恋する愛人を眺めるような熱のある目をして彼女を眺めている。；ところが、一旦恋する身になると、どうやら平気でいられるものらしい。；イワシャコは月に恋するあまりいつも月を見上げているのだと考えられていた。；多分、おそらく、自分はその男を恋することから逃れられないだろう。；いったいどうしたら中年の聖職者に恋するなんてことがあるのでしょうか?；その暗いなかで、おのれを恋する女とのふしぎな生活がつづいて来ていた。；その人に恋するかどうかなんて、はじめて見たときからわかっているのですよね。；自分はたんに使いで来ているのだと思っても、恋する気持は隠せなかった。；二、母の弟のガブリエル・ベルナールが父の妹の一人を恋するようになった。；おまえは恋する王がどういう態度をとったらいいか、 知っているだろうからな。；留雄 僕は女を恋する力もなく、女から恋される資格もない男です。；彼に恋することさえなければ、こんなことにもならなかったのだ。；だからどんな障害があろうとも恋する男と囚人は成功するはずだ。</t>
        </is>
      </c>
      <c r="J2725">
        <f>HYPERLINK("https://www.weblio.jp/content/恋する", "词义详情")</f>
        <v/>
      </c>
      <c r="K2725">
        <f>HYPERLINK("https://yourei.jp/恋する", "查看例句")</f>
        <v/>
      </c>
    </row>
    <row r="2726">
      <c r="A2726" t="inlineStr">
        <is>
          <t>恋人</t>
        </is>
      </c>
      <c r="B2726" t="inlineStr">
        <is>
          <t>成功</t>
        </is>
      </c>
      <c r="C2726" t="inlineStr">
        <is>
          <t>読み方：こいびと
恋しく思う相手。普通、相思相愛の間柄にいう。「—にあう」「—ができる」
[用法]恋人・愛人——「恋人」は恋しいと思っている相手で、多く相思相愛の間柄についていうが、片思いの場合にも使うことがある。「スクリーンの恋人」◇「愛人」は、かつては「恋人」の漢語的表現として同義に用いたが、現在では多く配偶者以外の恋愛関係にある相手をいい、一般に肉体関係があることを意味する。「情婦」「情夫」の婉曲的な言葉として使われる傾向もある。</t>
        </is>
      </c>
      <c r="D2726" t="inlineStr">
        <is>
          <t>恋人関係；恋人どうし；恋人達；恋人同志；恋人未満</t>
        </is>
      </c>
      <c r="E2726" t="inlineStr">
        <is>
          <t>彼；彼女；色；連れ；パートナー</t>
        </is>
      </c>
      <c r="F2726" t="inlineStr">
        <is>
          <t>新しい恋人；若い恋人；美しい恋人；わが恋人；亡き恋人</t>
        </is>
      </c>
      <c r="G2726" t="inlineStr">
        <is>
          <t>恋人たち；恋人役；恋人よ；恋人の聖地；恋人時代</t>
        </is>
      </c>
      <c r="H2726" t="n">
        <v>29</v>
      </c>
      <c r="I2726" t="inlineStr">
        <is>
          <t>曲の内容は、自分を捨てた恋人に電話するとても切ない物となっている。；相手が異性の場合には愛情評価が高ければ恋人関係になることができる。；しかも殺された部下のうち一人は結婚を約束した恋人の弟であった。；エッダは中国滞在中に夢中となった張学良と恋人関係にあったともされる。；なお当時の重治は、母親には3人の恋人がいることを掴んでいたという。；主人公カーリーと恋人は車の部品を購入するため、近くの町へ向かう。；その本には若い恋人が使うことのできる多くの感傷的な詩が纏められました。；主人公の少女は友人の少女に恋人を紹介されるが、それは主人公の恋人であった。；そして恋人と欧州へ旅立つのだが、これが悲劇の始まりとなってしまう。；そうなれば、一番悲しむのは故郷と恋人が争うことになるライラである。；恋人を突然の交通事故で失った男性の哀しみを歌った実話を元にした楽曲。；ミュージックデーはクラブなどで友人に恋人を紹介する日とされる。；彼が5歳の時に、母親は当時の恋人ジョン・スポンザに殺害されてしまう。；謎の恋人とペトラルカは、実際には交際を持たなかった可能性が強い。；長年の恋人であるリンゼイ・モリスとの間に男女の双子の子供がいる。；二度にわたって恋人と死別するなど、波乱万丈の人生であったとされる。；元恋人の名前は主人公の選択しなかった性別のデフォルト名になる。；多くの歴史作家は彼には少なくとも2人の男性の恋人がいたのだと断言している。；高校卒業後に上京しRCAレコードから「恋人もいないのに」でデビュー。；こうして行はニノの恋人となり、自身も橋の下で生活することになる。；どちらの場合も戦闘に巻き込まれて恋人が行方不明になってしまう。；しかし帰国する頃には恋人ディオティーマは彼への思いがもとで死去していた。；恋人が成立したあと2人が最初に本城に帰還したときに帰還イベントが発生する。；A面の冒頭は、真夜中に恋人へ手紙を書いているという語りから始まる。；また、実家の部屋から発見した便箋より、恋人のハルミの存在をつかむ。；さらに、かつての恋人・ゲイルとのよりを戻し、夢へと一歩一歩近づいていく。；その挫折感から無気力な生活を送り、恋人との関係もぎくしゃくしていた。；登場人物はしばしば彼の身近な人々、家族・友達・仲間の画家・恋人・子供が多い。；ヒトラーはゲリの死後自分の恋人はドイツだと言うようになった。</t>
        </is>
      </c>
      <c r="J2726">
        <f>HYPERLINK("https://www.weblio.jp/content/恋人", "词义详情")</f>
        <v/>
      </c>
      <c r="K2726">
        <f>HYPERLINK("https://yourei.jp/恋人", "查看例句")</f>
        <v/>
      </c>
    </row>
    <row r="2727">
      <c r="A2727" t="inlineStr">
        <is>
          <t>こう</t>
        </is>
      </c>
      <c r="B2727" t="inlineStr">
        <is>
          <t>成功</t>
        </is>
      </c>
      <c r="C2727" t="inlineStr">
        <is>
          <t>読み方：こう
［人名用漢字］　［音］コウ（呉）（漢）セン（呉）（漢）　［訓］わたる
端から端まで及ぶ。わたる。「亘古(こうこ)」
[補説] 「亘(せん)」と「亙(こう)」は本来別字。「亘」は「めぐる」意、「亙」は「わたる」意であるが、しばしば混用される。
［名のり］のぶ・とおる・ひろし</t>
        </is>
      </c>
      <c r="D2727" t="inlineStr">
        <is>
          <t>こうなる(6%)；こうなったら；こう書い；こう言う；こう云う</t>
        </is>
      </c>
      <c r="E2727" t="inlineStr">
        <is>
          <t>章；項；項目；孝；一通り</t>
        </is>
      </c>
      <c r="F2727" t="inlineStr">
        <is>
          <t>こう述べ；どうしてこう；こう呼ば；こう思う；こう言わ</t>
        </is>
      </c>
      <c r="G2727" t="inlineStr">
        <is>
          <t>こういう；こうして；こうむる；こうむり；こうもり</t>
        </is>
      </c>
      <c r="H2727" t="n">
        <v>29</v>
      </c>
      <c r="I2727" t="inlineStr">
        <is>
          <t>こういった映像表現の発生した背景には、初期の写真技術があげられる。；一般的にこういった分類には大きくわけて2通りの分類方法があります。；こういったイベント時の興奮は、プレイヤーの努力では避けようがない。；こうなると僕にも分かるんですが新監督は自分の色でやりたいんですよね。；かつて動物園はこういった珍しい動物を可能なかぎり集めていたのである。；こういった系を構築するうえでの問題はTDDFTでより複雑である。；また、のちにアントワーヌはいくつかの著書の中でこうも回想している。；こうなると当然最終戦も稲尾との雰囲気になり稲尾自身もその気になる。；こういった種族が存在する理由として多くのシナリオが提案されている。；こういったタイプの大砲が戦場に登場したのは南北戦争からであった。；こうなると機械は映像やロボット工学の技術も導入しなければならなくなる。；こういった事情も、モーニングサービスの質や量を向上させた背景にある。；議会で反対論を主張した議員にロベスピエールはこう発言している。；こういったコース特性は、全ての開催ゴルフコースで維持されている。；当時は防衛や監視のためイタリアの他の都市でもこういった塔の建設が行われていた。；こういったことから数多くの熱狂的ファンが生まれることになった。；こういった制限はパソコンの弛まない性能向上によりなくなっていった。；このため、こういった地域では一部の用途を条例で禁止していることがある。；この戦の時には、まだ月が昇天していなかったためにこう呼ばれた。；しかし同日の午後になると、老帝はため息をつきながらこう語ったとされる。；「政治的な理由から、こうせざるを得なかったのです」と書いている。；しかし、一部の科学者はこういった使用法を合法化する事を提唱している。；以降、こういった見解はヨーロッパ文明を説明する上で一般的に用いられている。；日本でこういった捕らえ方をされる理由には、いくつかの考察がある。；こういった電気の新説などを知り、発電を試みたりもしたようである。；こういった管理上の問題も閉鎖の理由であると思われる。；実際にこの名前で呼ばれることはなかったが便宜上こう表記する。；付近の地名は正式には小青田であるが、地元ではこうだとも発音されている。；こうなると、もはや通常の操作ではその作業結果を残す方法がない。</t>
        </is>
      </c>
      <c r="J2727">
        <f>HYPERLINK("https://www.weblio.jp/content/こう", "词义详情")</f>
        <v/>
      </c>
      <c r="K2727">
        <f>HYPERLINK("https://yourei.jp/こう", "查看例句")</f>
        <v/>
      </c>
    </row>
    <row r="2728">
      <c r="A2728" t="inlineStr">
        <is>
          <t>甲</t>
        </is>
      </c>
      <c r="B2728" t="inlineStr">
        <is>
          <t>成功</t>
        </is>
      </c>
      <c r="C2728" t="inlineStr">
        <is>
          <t>読み方：かぶと
１武将が頭部を防護するためにかぶった武具。頭を入れるところを鉢(はち)、その下に垂れて頸部(けいぶ)を覆う部分を錏(しころ)といい、鉄や革などで作る。
２舞楽で用いる、鳥兜(とりかぶと)。
３端午の節句の、1を模した飾り物。また、「兜人形」の略。《季夏》</t>
        </is>
      </c>
      <c r="D2728" t="inlineStr">
        <is>
          <t>甲斐国(7%)；甲斐武田氏；甲斐守；甲類；甲介</t>
        </is>
      </c>
      <c r="E2728" t="inlineStr">
        <is>
          <t>殻；鎧；ヘルメット；貝；兜</t>
        </is>
      </c>
      <c r="F2728" t="inlineStr">
        <is>
          <t>重装甲；腹甲；胸甲；腑甲斐；短甲</t>
        </is>
      </c>
      <c r="G2728" t="inlineStr">
        <is>
          <t>甲府；甲冑；甲子園；甲高い；甲殻類</t>
        </is>
      </c>
      <c r="H2728" t="n">
        <v>29</v>
      </c>
      <c r="I2728" t="inlineStr">
        <is>
          <t>陸棲種では腹甲が大型になり、水棲種では腹甲が小型になる傾向がある。；体の内側を除く全身は、皮膚が変化した骨状の板で形成された甲皮で覆われる。；アキレス腱痛を庇う走り方もしてきたため足の甲や踵も変形していった。；甲鉄に斬り込んでいった野村利三郎ら数名は、撤退に間に合わずに戦死。；両目の間に鋭い額角があり、頭胸甲には頭部と胸部を分ける頸溝がある。；実際の業務は市の指定管理者が甲迎館の施設管理を含めて行っている。；拾い方は足の甲に弓を乗せ、足で弓を上に跳ね上げたところを掴み取る。；関甲新学生野球連盟のリーグ戦では、これまで1度だけ記録されている。；五月会や御射山祭には鎌倉を始め甲斐・信濃など周辺の武士が参加した。；特に依田信蕃は信濃・甲斐に家康を手引きし、その占領に貢献している。；頭部ないし頭胸部は背面から伸びた甲羅状の構造があり、背甲と呼ばれる。；これには剣身と取っ手の間の鍔や、拳の甲を守るナックルガードがある。；育房のすぐ頭部側の胸部背面で背甲は虫体と接続し、ここに心臓が見える。；同年のスーパーリーグで深圳紅鑽は最下位となり甲級リーグに降格した。；後半部分については、甲巻の動物の遊戯を手本に描かれたものとも言われる。；呼吸は頭胸甲の両側にある鰓で行う為、生存には水が不可欠である。；相撲と異なり足の甲や手が着いても終了とはならない。；腹部はアサヒガニ等一部の分類群を除いて頭胸甲の下側に折り畳まれる。；また、左前腕部甲に2門の機銃を内装したユニットも取り付けられている。；体は頭部を除き二枚貝のような背甲に覆われ、横から見るとひよこのような形をしている。；これが背甲に覆われないのもエビ類との違いである。；甲鉄のうち製造済みのものは横須賀に運ばれ、110号艦にも利用されたという。；生体の体色は黄色で、甲の表面や脚の関節部に紫褐色の斑点が密布する。；甲斐市の地名は基本的に旧3町と同じものを使用している。；英語では体内に甲を持つものを、ないものをと呼んでいる。；天正10年6月、本能寺の変で信長が死去して甲斐が家康の所領となる。；胸部以降の体は胸部に発する背甲の中に収まり、その形は簡単になっている。；右手の甲に生えた高電圧の電磁ムチとカギ爪状の左手を武器とする。；その甲斐あってか、間もなく元就もまた陶との対決を決めることとなる。</t>
        </is>
      </c>
      <c r="J2728">
        <f>HYPERLINK("https://www.weblio.jp/content/甲", "词义详情")</f>
        <v/>
      </c>
      <c r="K2728">
        <f>HYPERLINK("https://yourei.jp/甲", "查看例句")</f>
        <v/>
      </c>
    </row>
    <row r="2729">
      <c r="A2729" t="inlineStr">
        <is>
          <t>高～</t>
        </is>
      </c>
      <c r="B2729" t="inlineStr">
        <is>
          <t>成功</t>
        </is>
      </c>
      <c r="C2729" t="inlineStr">
        <is>
          <t>読み方：こう
［音］コウ（カウ）（呉）（漢）　［訓］たかいたか　たかまる　たかめる
［学習漢字］2年
〈コウ〉
１位置がたかい。たかさ。「高層・高低／座高・標高」
２等級・程度・価値などがたかい。「高圧・高価・高級・高速・高度・高等」
３年かさが大きい。時を経ている。「高祖・高年・高齢」
４けだかい。すぐれている。「高潔・高尚・高邁(こうまい)／孤高・崇高」
５えらそうにする。「高慢・高姿勢」
６（「昂(こう)」の代用字）高く上がる。感情がたかぶる。「高進・高騰・高揚」
７相手への敬意を表す語。「高見・高評・高覧」
８「高等」「高等学校」の略。「高校・高裁／一高・特高」
〈たか（だか）〉「高台・高値／権高・声高(こわだか)・石高(こくだか)・残高・割高」
［名のり］あきら・うえ・かぎり・すけ・たけ・ほど
［難読］高加索(コーカサス)・高粱(コーリャン)・高麗(こま)・高嶺(たかね)</t>
        </is>
      </c>
      <c r="H2729" t="n">
        <v>0</v>
      </c>
      <c r="J2729">
        <f>HYPERLINK("https://www.weblio.jp/content/高～", "词义详情")</f>
        <v/>
      </c>
      <c r="K2729">
        <f>HYPERLINK("https://yourei.jp/高～", "查看例句")</f>
        <v/>
      </c>
    </row>
    <row r="2730">
      <c r="A2730" t="inlineStr">
        <is>
          <t>好意</t>
        </is>
      </c>
      <c r="B2730" t="inlineStr">
        <is>
          <t>成功</t>
        </is>
      </c>
      <c r="C2730" t="inlineStr">
        <is>
          <t>読み方：こうい
１その人にいだく親しみや好ましく思う気持ち。愛情の婉曲的な表現としても用いられる。「誰もが—をもつ人柄」「ひそかに—を寄せる」
２その人のためになりたいと思う気持ち。親切な気持ち。「—を無にする」「ご—に甘えてお借りします」</t>
        </is>
      </c>
      <c r="D2730" t="inlineStr">
        <is>
          <t>好意的な評価(2%)；好意的な反応；好意的なレビュー；好意的な批評；好意的な意見</t>
        </is>
      </c>
      <c r="E2730" t="inlineStr">
        <is>
          <t>好き；愛；愛情；賛成；愛想</t>
        </is>
      </c>
      <c r="F2730" t="inlineStr">
        <is>
          <t>御好意；好意ずく；好意をもたれ；好意的な論評；好意的な中立</t>
        </is>
      </c>
      <c r="G2730" t="inlineStr">
        <is>
          <t>好意的評価；好意的態度</t>
        </is>
      </c>
      <c r="H2730" t="n">
        <v>29</v>
      </c>
      <c r="I2730" t="inlineStr">
        <is>
          <t>私は彼に好意を持つことはできないが、忠実に協力すると約束しました。；やや特殊ながら、ほとんど全人類に共通の好意的な挨拶を紹介しておく。；はじめはヘンリ8世の好意を得たが、王の結婚に反対して信任を失った。；彼が現代の作曲科に関して好意的な言葉を発するのを聞いたことがない。；これは横光利一の好意で改造社に口添えして実現したものであったという。；全員の好意値を総合して一番好意値を稼いだプレイヤーが勝利となる。；個人差こそあるが、概ね送受信者間で好意的な結果が得られるとされる。；そんなミヨンにも好意を寄せてくれる男性が現れ二人で旅行に行くことになる。；術後の調査では、多くの患者から好意的な回答が得られていたという。；人の好き嫌いがはっきりしており誰でも好意を持つということはなかった。；オーストリアとプロイセンはロシアに好意的な形での中立を選択した。；長田桃蔵の娘・多喜子に好意を寄せていたが多喜子は谷川の妻となった。；ウォリックは次第にフランスの外交筋に好意を持つようになっていた。；当初、フェスティバルで行われた演出の多くは、好意的な評価を得ていた。；伊藤の意見に、ロシアで最も好意的な反応を示したのはウィッテであった。；しかし、先輩は夏樹の姉に好意があり、思わぬ三角関係になってしまう。；お延の叔父岡本の好意で、津田の入院費を工面してくれることになった。；また昭和天皇がソ連交渉には好意的であったことも東郷の考えに影響していた。；清麿に好意を持っており、それを伺わせる描写が幾つか描かれている。；人を操作して好意を持たせることも可能であるとされる。；基本的にしょくぱんまんはどんな女性キャラクターにも好意を見せない。；そんな姿を見下したような態度の彼に好意を持っていなかった。；画期的な車体構造を持つなど当初は市場に好意的に迎えられた。；批評家からは賛否両論の評価を受け、観客からは好意的な反応を得た。；公開当初とその後の批評家の評価は、いずれも好意的なものだった。；朴正煕はキリスト教信者ではなく、キリスト教に好意は持っていなかった。；ヨーロッパやその南半球の植民地などでは当初好意的に評価する研究者も多かった。；この頃にはクリスチャニアの新聞でも好意的な批評が現れるようになってきた。；この作品では、好意的な反応を集め、興行的にも巨額の成功を収めた。</t>
        </is>
      </c>
      <c r="J2730">
        <f>HYPERLINK("https://www.weblio.jp/content/好意", "词义详情")</f>
        <v/>
      </c>
      <c r="K2730">
        <f>HYPERLINK("https://yourei.jp/好意", "查看例句")</f>
        <v/>
      </c>
    </row>
    <row r="2731">
      <c r="A2731" t="inlineStr">
        <is>
          <t>行為</t>
        </is>
      </c>
      <c r="B2731" t="inlineStr">
        <is>
          <t>成功</t>
        </is>
      </c>
      <c r="C2731" t="inlineStr">
        <is>
          <t>読み方：こうい
１ある意思をもってするおこない。「親切な—」「慈善—」
２哲学で、目的観念を伴う動機があり、思慮・選択によって意識的に行われる行動。
３権利の得失・移転など法律上の効果を生じさせる原因となる意思活動。
[用法]行為・行動——「君の行為（行動）は許せない」「軽率な行為（行動）は慎むこと」のように、単に「おこない」の意では相通じて用いられる。◇「行為」は個を動作の主体とする事柄に用いることが多く、「親切な行為」「職務上の行為」「会社の行為」などという。この場合、「行動」に置き換えることはできない。◇また、「行為」を「慈善行為」「寄付行為」のように一般的・抽象的な意味でも使うのに対して、「行動」は身体を動かしての具体的動作を表し、「行動を起こす」「不審な行動をする人物」などのように用いる。◇類義語に「おこない」があり、「日ごろの行い」「よくない行い」のように評価の対象とする意味を込めて用いられる。</t>
        </is>
      </c>
      <c r="D2731" t="inlineStr">
        <is>
          <t>行為者；行為自体；行為そのもの；行為全般；行為規制</t>
        </is>
      </c>
      <c r="E2731" t="inlineStr">
        <is>
          <t>活動；行動；行い；態度；行</t>
        </is>
      </c>
      <c r="F2731" t="inlineStr">
        <is>
          <t>海賊行為；略奪行為；背信行為；スパイ行為；殺人行為</t>
        </is>
      </c>
      <c r="G2731" t="inlineStr">
        <is>
          <t>行為能力；行為主体；行為規範；行為無価値論；行為論</t>
        </is>
      </c>
      <c r="H2731" t="n">
        <v>29</v>
      </c>
      <c r="I2731" t="inlineStr">
        <is>
          <t>そしてそれは、自然物を対象にした生産や製作などの行為と対比される。；あくまで文明はさまざまな行為主体の政治行動を方向付けるものである。；この行為から、執筆作業に対しての気持ちが入っていく面もあるという。；準法律行為には表現行為と非表現行為とがあり狭義には前者のみを指す。；いったん口に入れた果物の種や皮などを再度口から出す行為は印象が悪い。；また、業として行うことのみが禁止されている行為を許されるものもある。；自由な行為・選択があることに伴い、それに応じた責任が発生する。；二上だけでなく戦後の棋士達はそうした行為をしない傾向があった。；この行為は秀吉の派手好みの性格を知っての行いと伝えられている。；エジプトでは宗教的な行為のひとつとしてこのような球技が行われていた。；スイッチバックを走行する運転行為をスイッチバックと呼ぶことがある。；禁止とは、ある行為を行ってはいけないこと、またはその状態をいう。；捜査行為はすべて法律の規定の範囲内で行わなければならない。；納税拒否のような非協力的な行為にも空軍が出動して懲罰作戦を行った。；どういう行為が認められているか、で大きく分けて3種に分けられる。；このため山に城を築く行為は、地域や時代を問わず普遍的に行われている。；生産とは工場において材料から部品、製品などの商材を作る行為である。；国民が国家に対し、行為や給付、制度の整備などを要求する権利である。；検察によれば、問題となった行為の経緯は次のようであるとされる。；人類の歴史上、身体の装飾行為がいつ始まったのかは定かではない。；酒令用なので酒令具と呼ばれ、各目にはその目が出たときにする行為が記されている。；これらの行為は、その意図・行動・効果などの面からまさしく広告と言える。；しかし、は電子的な行為なので、利用される道具や施設も電子的なものである。；行為の時から10年を経過したときも、提起することができなくなる。；現在では、日常における同様の行為をも指す言葉として広く使われている。；ある者が特定の相手方に対して一定の行為をするよう要求できる権利をいう。；人間と異なり、天使らは自由意志はなく独立的行為をすることができない。；医師が、治療効果が無い行為や患者を害する行為を行うことがある。；管理できなくなったペットを放棄する行為が問題となっている。</t>
        </is>
      </c>
      <c r="J2731">
        <f>HYPERLINK("https://www.weblio.jp/content/行為", "词义详情")</f>
        <v/>
      </c>
      <c r="K2731">
        <f>HYPERLINK("https://yourei.jp/行為", "查看例句")</f>
        <v/>
      </c>
    </row>
    <row r="2732">
      <c r="A2732" t="inlineStr">
        <is>
          <t>合意</t>
        </is>
      </c>
      <c r="B2732" t="inlineStr">
        <is>
          <t>成功</t>
        </is>
      </c>
      <c r="C2732" t="inlineStr">
        <is>
          <t>読み方：ごうい
［名］(スル)互いの意思が一致すること。法律上は、当事者の意思表示が合致すること。「—に達する」「離婚に—する」</t>
        </is>
      </c>
      <c r="D2732" t="inlineStr">
        <is>
          <t>合意書；合意事項；合意支援；合意すれ；合意案</t>
        </is>
      </c>
      <c r="E2732" t="inlineStr">
        <is>
          <t>契約；約束；一致；承認；承知</t>
        </is>
      </c>
      <c r="F2732" t="inlineStr">
        <is>
          <t>基本合意；核合意；両者合意；日米合意；最終的な合意</t>
        </is>
      </c>
      <c r="G2732" t="inlineStr">
        <is>
          <t>合意内容；合意文書；合意解除；合意なき離脱；合意無し</t>
        </is>
      </c>
      <c r="H2732" t="n">
        <v>29</v>
      </c>
      <c r="I2732" t="inlineStr">
        <is>
          <t>これは朝廷と幕府の間で事前の合意があったものと見られている。；こうした事情から両者の対立が続いたため、与党三党は合意を破棄した。；なお合意があれば防衛艇と挑戦艇の船型が異なることも認められている。；阪神電気鉄道と合意に達し、建て替えの為の具体的な検討に入るとした。；その後合意が得られた会員で、次の一巡を開始することを繰り返していく。；同一局面が4回現れなくても両対局者の合意があれば千日手が成立する。；両者の暴力停止が合意されたが、交渉再開は停戦継続を条件としている。；どこまでがコペンハーゲン解釈に含まれるのか、についての合意はない。；また、国交正常化の交渉を7月31日までに開始することでも合意した。；カザフスタンは2004年4月に議員会議との間で協力合意に署名した。；星野からの提案に合意し、全試合で両チームとも予告先発を実施した。；押川は院長の職に留まるが給料は半減するということで合意が成立する。；彼は女性との関係を認めたが、合意の元であると主張した。；彼はで合意がなされなかったことにますます不満を募らせた。；しかし、これも撤回され同年8月に合意に達したと報道が行われた。；これらは、当事者間の合意で変更したり排除したりすることができない規制である。；両チーム監督の合意があれば30分以内に開始してもよい。；これらの事項は当事者の合意による任意の処分ができないと考えられている。；合意と、合意によってなされた休戦と政治構造により和平が進められた。；この合意は穏健的な政治・社会改革を目指すものであった。；そのため、プレイヤー同士がお互いのカードを合意の上で交換する状況がしばしば見られる。；ほかにもさまざまな分類が提案されているものの、現在のところ合意を得られたものは存在しない。；そして両勢力の関係者全員の合意を成立させる。；これはキリスト教の下に「誓い」が重視された文化で発生し得た合意である。；米軍側は「日米合意に基づいて安全に行われた」と主張している。；一連の法廷闘争と交渉の結果、二つの政党は、シャクマン法に合意した。；これらの国の研究所も合意に参加していた。；再勧告により協議が再開され最終的に各自治体とも合併に合意した。；それまでも、設置の合意はされていたが、緊張が高まったために設置されなかった。</t>
        </is>
      </c>
      <c r="J2732">
        <f>HYPERLINK("https://www.weblio.jp/content/合意", "词义详情")</f>
        <v/>
      </c>
      <c r="K2732">
        <f>HYPERLINK("https://yourei.jp/合意", "查看例句")</f>
        <v/>
      </c>
    </row>
    <row r="2733">
      <c r="A2733" t="inlineStr">
        <is>
          <t>こういう</t>
        </is>
      </c>
      <c r="B2733" t="inlineStr">
        <is>
          <t>成功</t>
        </is>
      </c>
      <c r="C2733" t="inlineStr">
        <is>
          <t>読み方：こういう
［連体］このような。こんな。こうした。「とかく人生とは—ものだ」</t>
        </is>
      </c>
      <c r="D2733" t="inlineStr">
        <is>
          <t>こういうこと(12%)；こういうもの(3%)；こういうとき(3%)；こういう場合(2%)；こういう時(2%)</t>
        </is>
      </c>
      <c r="E2733" t="inlineStr">
        <is>
          <t>こうした</t>
        </is>
      </c>
      <c r="F2733" t="inlineStr">
        <is>
          <t>こういう意味；こういう場所；こういう状態；こういう形；こういう言葉</t>
        </is>
      </c>
      <c r="H2733" t="n">
        <v>29</v>
      </c>
      <c r="I2733" t="inlineStr">
        <is>
          <t>ただし現在でもこういうテーマで送ってほしいと募集されることはある。；けれどもこういう欲求をいつまでも同じ強い調子で持ちすぎていました。；こういうのは忘れたころに出すとヒットするんだよ、ちょっと間をおいて。；民族的宗教衰微の歴史はこういうところにも現われているのであります。；この時、この孫の口から、こういう語を聞いたのが、不思議なのである。；こういう男性はあちこちで同じ行為をするので、結婚に向かないタイプ。；通常、こういう構造を持った車両は二車体でも1両として扱われている。；しかしこういう穴の入口らしいところを見つけたことは一つの成功だと思った。；世界戦のこういう雰囲気を作ってくれたのは簡単なことではない。；そしてこういう事故をきっかけにこの症状を知るというケースが目立つ。；こういう場合の方が、大きな天体の捕えられる場合よりも多数であろう。；そしてこういう話をほとんどの人は聞いたことがないことに心を痛めました。；実際に飛雄馬との会話でこういうやり方も悪くはなかったと言っている。；また、こういう環境で育った子供は、脳の発達具合にまで違いがみられる。；当局はこういう方面のことについては、たいへん警戒をしているのです。；こういう状態になると、ほんの少しの事件でも騒擾事件の引き金となる。；そこで人はこういう確信を持つことはできないものでしょうか。；こういうものまでも一と通りは眼を通さなければ気が済まなかったらしい。；そういうわけで、君たちが送ってくれるこういうコメントが重要なんだ。；こういう時にコード実行時間だけ抜き出して比較しても意味はない。；こういう気分になると、人間は自分のこと以外はあまり考えなくなるようだな。；これからの試験にこういう常識上知っておかなければならぬ問題が出るんだぞ。；頭の中でこういう音が鳴っているんだけど、これを形にして言えないわけですね。；こういう人たちは厚着をしており、トワレは地下にあるのが普通である。；キャムベルはこういう計算を行ったがそのために彼はこういう仮定をした。；こういう平和に満ちた景色は世界のどこにも見られないであろう。；こういう人相の人は苦難を共にできても、歓楽はともにできないのです。；こういうのは出資方向と関係なく、主導権は外資が握っているのである。；僕はまだ小学時代からこういう商人の売っているものを一度も買った覚えはない。</t>
        </is>
      </c>
      <c r="J2733">
        <f>HYPERLINK("https://www.weblio.jp/content/こういう", "词义详情")</f>
        <v/>
      </c>
      <c r="K2733">
        <f>HYPERLINK("https://yourei.jp/こういう", "查看例句")</f>
        <v/>
      </c>
    </row>
    <row r="2734">
      <c r="A2734" t="inlineStr">
        <is>
          <t>工員</t>
        </is>
      </c>
      <c r="B2734" t="inlineStr">
        <is>
          <t>成功</t>
        </is>
      </c>
      <c r="C2734" t="inlineStr">
        <is>
          <t>読み方：こういん
工場の現場で働く労働者。</t>
        </is>
      </c>
      <c r="D2734" t="inlineStr">
        <is>
          <t>工員たち(13%)；工員輸送(2%)；工員生徒；工員さん；工員子弟</t>
        </is>
      </c>
      <c r="E2734" t="inlineStr">
        <is>
          <t>職工；工場労働者；工場従業員</t>
        </is>
      </c>
      <c r="F2734" t="inlineStr">
        <is>
          <t>女性工員；若い工員；徴用工員；工員服；工員寄宿舎</t>
        </is>
      </c>
      <c r="H2734" t="n">
        <v>29</v>
      </c>
      <c r="I2734" t="inlineStr">
        <is>
          <t>町の自動車工場の工員あたりが着ていそうな上下つなぎの地味なやつだ。；センターの主な目的は、生存する工員に医療検査を提供することだった。；熟練工なんてのはただ長年そこで働いている工員程度の意味に過ぎない。；社員と工員、あるいはその子たちが結婚することはきわめて稀である。；ここへはどんなに優秀な工員の子であっても入学を認められない。；沓掛へ来てみると、江分利はまた模範工員であることを忘れてしまった。；久しぶりに工員生徒だけになったので、みなのびのびした気分になった。；ヤクザも工員も医者も芸人もサラリーマンも夜になるまで踊りやがって。；僕は工場長や工員たちに、己斐へ行く途中に白い虹を見たことを話した。；二人の工員がそれを使って、ばりばりばりと岩に穴をあけているのだ。；しかし、その意味も工員たちには、なんの関係するものとはならない。；工員たちの中には、満足な家に住んでいる者は一人もいなかった。；そこには初老の工員が立っていて、E君に機械操作の説明をしている。；彼女はそれら工員群と自分の間に、なんとしても一線を画していたいのだ。；あんたは社員になって、工員の苦労や屈辱をすっかり忘れてしまった。；しかし皮肉にも、この手帳を工員に発見されたことで逮捕に至ることになる。；いつものことなので、穂村が姿をみせても工員たちは気にしない様子だった。；工員であるのは確かなのに、正式に勤めている様子はありません。；毒物を積むため船の設備・部品を帝人の工員が撤去しそれも持ち帰った。；新郎の友人として工員子弟出身の社員がわずかに招かれただけであった。；おまえは田舎から出てきた貧しい工員だってことをよく考えてな。；社員工員合わせて六百名からの、旭川でも有数の大きな会社であった。；その他の六人のアシスタントは、すべて男で、工員出身者が大半である。；工員は五、六人しかいなかったが、何日かたつと、妙な噂を聞かされた。；この前庭はまかないつきの下宿人専用で、工員のための庭ではなかった。；ここの工員が何か悪さをしていたのではないかとも思いましたが、どうもそうではないのです。；ただの貧しい工員がやめて行くなら、こんなことはしてくれないはずであった。；そして、素直で特色豊かな絵は、多くの工員たちの間に人気を呼びました。；これまで入学した工員生徒たちは、決してそのことを話さなかった。</t>
        </is>
      </c>
      <c r="J2734">
        <f>HYPERLINK("https://www.weblio.jp/content/工員", "词义详情")</f>
        <v/>
      </c>
      <c r="K2734">
        <f>HYPERLINK("https://yourei.jp/工員", "查看例句")</f>
        <v/>
      </c>
    </row>
    <row r="2735">
      <c r="A2735" t="inlineStr">
        <is>
          <t>強引</t>
        </is>
      </c>
      <c r="B2735" t="inlineStr">
        <is>
          <t>成功</t>
        </is>
      </c>
      <c r="C2735" t="inlineStr">
        <is>
          <t>読み方：ごういん
［名・形動］抵抗や反対を押しきって無理に物事を行うこと。また、そのさま。「—なやり方」「—に事を進める」
[派生]ごういんさ［名］</t>
        </is>
      </c>
      <c r="D2735" t="inlineStr">
        <is>
          <t>強引な手法；強引な手段；強引なやり方；強引な勧誘；強引な方法</t>
        </is>
      </c>
      <c r="E2735" t="inlineStr">
        <is>
          <t>攻撃的；強気；アグレッシブ；侵略的；アグレッシヴ</t>
        </is>
      </c>
      <c r="F2735" t="inlineStr">
        <is>
          <t>なかば強引；強引な政治手法；強引な上手投げ；強引なやり口；強引な売り込み</t>
        </is>
      </c>
      <c r="H2735" t="n">
        <v>29</v>
      </c>
      <c r="I2735" t="inlineStr">
        <is>
          <t>健康な人でも睡眠中に強引に覚醒されると同症状が発生する場合がある。；しかしこの企業、裏ではかなり強引な商いを行うことでも知られていた。；失敗や強引さはあったものの、改革の初期には中流層は彼を支持していた。；しかしこの頃から岸の強引な政治姿勢に対して三木は反発を強めていた。；この強引な人事もあって硫黄島の陸軍内の統制は保たれることとなった。；知っていればこそ、長吉の口をごういんにふさぐ必要があったのであろう。；しばらくすると、雪道から男が現れ、強引にトラックに乗り込んできた。；ラストをかなり強引と見るか上手いまとめ方とみるかで論が分かれている。；コンチネンタル航空の社長に就任したロレンツォは強引な手法を採った。；は、強引に入港しようとするフランス艦に、リドの砦から砲撃を加えた。；常識がなければ無論困るが、我侭で強引な子の方が芸能界では成功する。；彼はエルヴィーラに自分の熱愛を告げ、彼女を強引に連れ出そうとする。；旧トリニティーアカデミーの時代から強引な勧誘行為が問題視されている。；しかしこの一件は選考委のやり方が強引だと思っている人々の反発を買った。；この強引な婚約の背景には当時の政治的な思惑があったとされる。；千世のわがままで作られた同好会で、巧たちも強引に巻き込まれている。；強引に搭載しているため外付け式となっており、平時は艦底部に格納されている。；入社してすぐに、今井音也が作った落語研究会へ強引に入会させられた。；強引に戻そうとするとハーボットのサービス自体が解約されてしまう。；この法廷で彼は裁判官の血中の鉄分を操作し、強引に無罪を勝ち取った。；これらの過剰かつ強引な制作手法は視聴者から問題視されている。；また、公務に関しては時には強引な道長の方針と対立する場合もあった。；このように、半ば強引であってもこのゲームのキャラクターは表の職業と裏の職業を決めなくてはならない。；ロワジ一様とて、もう引退な ごういん され、神殿とは無関係のはず。；しかし兵庫開港問題を強引に推し進めたことで慶喜への反発は強まった。；一部の出席者は車で強引に脱出を試みたが、バリケードで止められてしまった。；彼はトマスを連れ出すと、あるゲームへの参加を強引に迫るのだった。；結果、同8日には日本は強引にタイ領通過をもとめて日本軍をタイ領に侵攻させた。；そうしておいて、マウリツィオが愛した女性をその住宅から強引に退去させた。</t>
        </is>
      </c>
      <c r="J2735">
        <f>HYPERLINK("https://www.weblio.jp/content/強引", "词义详情")</f>
        <v/>
      </c>
      <c r="K2735">
        <f>HYPERLINK("https://yourei.jp/強引", "查看例句")</f>
        <v/>
      </c>
    </row>
    <row r="2736">
      <c r="A2736" t="inlineStr">
        <is>
          <t>幸運/好運</t>
        </is>
      </c>
      <c r="B2736" t="inlineStr">
        <is>
          <t>无结果</t>
        </is>
      </c>
      <c r="H2736" t="n">
        <v>0</v>
      </c>
      <c r="J2736">
        <f>HYPERLINK("https://www.weblio.jp/content/幸運/好運", "词义详情")</f>
        <v/>
      </c>
      <c r="K2736">
        <f>HYPERLINK("https://yourei.jp/幸運/好運", "查看例句")</f>
        <v/>
      </c>
    </row>
    <row r="2737">
      <c r="A2737" t="inlineStr">
        <is>
          <t>交易</t>
        </is>
      </c>
      <c r="B2737" t="inlineStr">
        <is>
          <t>成功</t>
        </is>
      </c>
      <c r="C2737" t="inlineStr">
        <is>
          <t>読み方：きょうやく
「こうえき（交易）」に同じ。
「—の船につきて、この国に帰りぬ」〈宇津保・藤原の君〉</t>
        </is>
      </c>
      <c r="D2737" t="inlineStr">
        <is>
          <t>交易品(4%)；交易所(3%)；交易ルート(3%)；交易拠点(3%)；交易船</t>
        </is>
      </c>
      <c r="E2737" t="inlineStr">
        <is>
          <t>商業；取引；商売；商；売る</t>
        </is>
      </c>
      <c r="F2737" t="inlineStr">
        <is>
          <t>交易基地；東西交易；交易網；交易権；交易関係</t>
        </is>
      </c>
      <c r="G2737" t="inlineStr">
        <is>
          <t>交易都市；交易港；交易場；交易雑物；交易廣場</t>
        </is>
      </c>
      <c r="H2737" t="n">
        <v>29</v>
      </c>
      <c r="I2737" t="inlineStr">
        <is>
          <t>交易先も管理され、申告した地方や国以外との貿易は認められていない。；この交易は神秘的な人々と商人がお互いの顔を見ることなく行われる。；沿岸部ではザンジバルを支配していたアラブ人との交易も行われていた。；遊牧民のもうひとつの特徴は、生活に交易活動が欠かせないことである。；出土品などからさまざまな都市国家との交易が行われていたことがわかっている。；このほかクレタ島のミノア文明も、エジプトと盛んに交易を行っていた。；また、北海で産出される塩も重要な交易商品として帝国各地へ運ばれた。；文化形態は大陸のものと全く同じで、交易も盛んに行われている。；前3千年紀後半にはウルと関連する港であり交易の中心であったと見られる。；その後、広州などを開放して東南アジア諸国や英仏などの交易を許した。；大きな川は滝線まで航行可能であり、工場町の交易ルートを提供していた。；これ以降南越国と漢朝は相互に使者を派遣し、交易を行なうようになる。；これらの専売品や禁止物以外は、自由に交易が許されていたと推測されている。；室町時代以降、主に東北地方の商人が交易を行っていたと考えられている。；交易上の問題だけでなく、兵力の迅速な輸送にも関わったためである。；中世にはあまり振るわなかったが、港での交易は18世紀に盛んになった。；これに伴い、インド洋交易は完全に西洋勢力の手に握られることとなった。；兄の援助を元に交易活動を行って財務を復活させ、アフリカからローマに戻る。；こうした都市は川の対岸のゲルマン人たちとの交易を経済基盤としていた。；かつては郡中港や郡中三町を中心とした中継交易地として発展した。；当時、人口は10万人を越えてロシアとの交易で栄える経済都市となった。；前述のように楚は茶を中心とした交易で栄えた商業国家であった。；これにより交易が盛んになっただけでなく産業も盛んになった。；さらに大西洋を越えたブルターニュやアイルランドなどとの交易も盛んに行われた。；タイズからは直接交易の要衝アデンへ向かったと考えるのが現実的である。；上記のような盛んな交易がおこなわれた一方で、国民の多くは農業に従事していた。；スエズ運河開通で、地中海は完全に東西交易のメインルートへと復帰した。；交易活動が盛んなコリントスやアイギナもアテナイの勢力に圧倒された。；パーラ朝は東南アジアとも盛んに交易を行い、仏教を通した交流もあった。</t>
        </is>
      </c>
      <c r="J2737">
        <f>HYPERLINK("https://www.weblio.jp/content/交易", "词义详情")</f>
        <v/>
      </c>
      <c r="K2737">
        <f>HYPERLINK("https://yourei.jp/交易", "查看例句")</f>
        <v/>
      </c>
    </row>
    <row r="2738">
      <c r="A2738" t="inlineStr">
        <is>
          <t>公演</t>
        </is>
      </c>
      <c r="B2738" t="inlineStr">
        <is>
          <t>成功</t>
        </is>
      </c>
      <c r="C2738" t="inlineStr">
        <is>
          <t>読み方：こうえん
［名］(スル)演劇・演芸・舞踊・音楽などを、公開の場で演じること。「全国—」</t>
        </is>
      </c>
      <c r="D2738" t="inlineStr">
        <is>
          <t>公演活動；公演終了後；公演会場；公演ごと；公演回数</t>
        </is>
      </c>
      <c r="E2738" t="inlineStr">
        <is>
          <t>発表；出演；舞台；演奏；展示</t>
        </is>
      </c>
      <c r="F2738" t="inlineStr">
        <is>
          <t>舞台公演；定期公演；ツアー公演；同公演；全公演</t>
        </is>
      </c>
      <c r="G2738" t="inlineStr">
        <is>
          <t>公演中止；公演曲；公演情報；公演芸術；公演延期</t>
        </is>
      </c>
      <c r="H2738" t="n">
        <v>29</v>
      </c>
      <c r="I2738" t="inlineStr">
        <is>
          <t>このため現地での日本関連イベントに招聘されて公演をする機会が多い。；全国に公演回数が増加していることから、漫画制作がさらに遅れている。；それらの公演は全国公演とは別に新都市公演と銘打って開催されている。；同社より2008年2月に再び日本公演が開催されることが発表された。；イギリスとアメリカで2公演を行い、翌年にもアメリカ・ツアーを実施。；役者や振付師などのお師匠さんたちが、独自に公演をするようになった。；年間を通じ音楽・演劇などさまざまな分野の公演を開催している。；公演活動としては、多摩地区での公演・イベントへの出演等が主である。；この公演について地元の新聞がいくらか批判的な評価を寄せている。；宝塚歌劇団の演出家である齋藤吉正が外部公演での初の作・演出を行った。；このバンドはスウェーデン公演の際に、地元の右翼に襲撃されている。；この楽曲は王宮で公演され、国王ルイ15世の関心を惹くことになった。；この公演が好評を博したことから、全幕蘇演に向けた準備が開始された。；全国放送テレビ番組出演に、地方各地をステージ公演する活動を行った。；なお7日公演については下記の映画館でライブビューイングが行われた。；ブラジル・香港・韓国でも公演を行っており、ブラジルでは最高勲章を受賞。；公演事務局ではこの結果を踏まえて、第38回公演の開催を改めて計画。；音楽院で毎週行われていた週末ライブに2年間すべての公演に出場する。；今でも公演活動を精力的にこなし、月の半分は東京で生活をしている。；日本国内だけではなく、海外にもファンが存在するために海外での公演も行われた。；解任された理事達は各地で公演を行い、組織から離れる者達が続出する。；これらの公演を記録したビデオとライヴ・アルバムも発表された。；これ以降はカール・マルクス劇場で海外のバンドの公演が行われるようになった。；公演の曲目の中には北国の春をはじめとする日本歌曲も多数含まれていた。；同年冬には8年ぶりとなる日本公演をさいたまスーパーアリーナで行った。；日本以外に海外でも数多くの大規模公演を行っている。；また、公演旅行はプレスリーの評判をテネシー中に広げることとなった。；このアンサンブルは、本拠地での公演に加えて、ツアー公演も続けている。；その時のギプスはツアーファイナルの仙台公演の際に客席に投げている。</t>
        </is>
      </c>
      <c r="J2738">
        <f>HYPERLINK("https://www.weblio.jp/content/公演", "词义详情")</f>
        <v/>
      </c>
      <c r="K2738">
        <f>HYPERLINK("https://yourei.jp/公演", "查看例句")</f>
        <v/>
      </c>
    </row>
    <row r="2739">
      <c r="A2739" t="inlineStr">
        <is>
          <t>公園</t>
        </is>
      </c>
      <c r="B2739" t="inlineStr">
        <is>
          <t>成功</t>
        </is>
      </c>
      <c r="C2739" t="inlineStr">
        <is>
          <t>読み方：こうえん
１市街地などに設けられた公共施設としての庭園や遊園地。「児童—」
２国立公園など、自然保護その他を目的として定めた地域。</t>
        </is>
      </c>
      <c r="D2739" t="inlineStr">
        <is>
          <t>公園内(7%)；公園化；公園通り；公園施設；公園付近</t>
        </is>
      </c>
      <c r="E2739" t="inlineStr">
        <is>
          <t>庭園；園；パーク；園地；遊園地</t>
        </is>
      </c>
      <c r="F2739" t="inlineStr">
        <is>
          <t>中央公園；小さな公園；同公園；当公園；小公園</t>
        </is>
      </c>
      <c r="G2739" t="inlineStr">
        <is>
          <t>公園緑地；公園六区；公園前；公園道路；公園墓地</t>
        </is>
      </c>
      <c r="H2739" t="n">
        <v>29</v>
      </c>
      <c r="I2739" t="inlineStr">
        <is>
          <t>公園内にある駐車場から滝までは急な坂道を約800m歩く必要がある。；職員らは、公園内のヨセミテ渓谷以外の場所も訪れることを勧めている。；川を挟んで東側には大口東総合病院、川沿いに北へ向かうと公園がある。；公園などで周辺環境に考慮する必要がある場合には薬剤は使用しない。；公園内には名古屋テレビ塔もあり、各種イベントが盛んに行われている。；芸術ホールには噴水と様々な塑像が設置された小さな公園が付属している。；渡りの時期には小さな群れを作り、市街地の公園で観察されることもある。；多くの面積が公園になっていて、樹木が多い公園では野鳥が散見される。；現在は隣接する千波湖周辺の拡張部を含めた広域公園の一部となっている。；その後も公園整備や公園周辺の開発が進んで公園面積は現在と同程度の規模になる。；付近の江戸川公園にわずかに石柱の一部が保存されているのみである。；かつて駒沢球場があった場所は主に同公園の第二球技場となっている。；現在は工場跡地を活用した大規模な再開発や公園整備が行われている。；公園入り口の柵は05系の前面の一部がデザインされている物もあった。；それぞれの季節に花の咲く公園が市内に点在し、市民に親しまれている。；北側には北口用地が準備されているが、現在は公園と駐車場になっている。；多くの地区は公園など、地域活動の中心となる施設を有している。；軍部は公園に大勢の市民が自由に出入りすることに抵抗もあったと言われている。；この公園には保養やスポーツ活動のための施設が用意されている。；川の北側には魚市場があり、そこから北へ少し進むと仁万海岸公園に至る。；埼玉県の県営公園の一つである加須はなさき公園は駅の南側に位置する。；市の中心部にはメリット湖があり、63haの広さの公園となっている。；トイレは駅舎内にはないが、駅前の公園にトイレが設置されている。；全国で普通に見られ、市街地の河川や公園の池などでも観察される。；この時の駅の位置は現在地よりも西側の、出町公園があるあたりであった。；そのため、現在の公園の敷地は増上寺を取り囲むような形状になっている。；その後、SRCにより遺跡公園の地下に運ばれ、再び長い眠りについた。；その後鳩の糞害が深刻化したため、公園での鳩の餌やり風景が減少した。；町の南西部には広大な人造林であるアムステルダムセ・ボス公園がある。</t>
        </is>
      </c>
      <c r="J2739">
        <f>HYPERLINK("https://www.weblio.jp/content/公園", "词义详情")</f>
        <v/>
      </c>
      <c r="K2739">
        <f>HYPERLINK("https://yourei.jp/公園", "查看例句")</f>
        <v/>
      </c>
    </row>
    <row r="2740">
      <c r="A2740" t="inlineStr">
        <is>
          <t>後援</t>
        </is>
      </c>
      <c r="B2740" t="inlineStr">
        <is>
          <t>成功</t>
        </is>
      </c>
      <c r="C2740" t="inlineStr">
        <is>
          <t>読み方：こうえん
［名］(スル)
１仕事や計画などの後ろだてとなって、資金を提供したり便宜を図ったりして援助すること。「市が—するスポーツ大会」
２後方にひかえる援助の兵。</t>
        </is>
      </c>
      <c r="D2740" t="inlineStr">
        <is>
          <t>後援者(26%)；後援する(7%)；後援会長(3%)；後援団体；後援組織</t>
        </is>
      </c>
      <c r="E2740" t="inlineStr">
        <is>
          <t>支；協力；支え；主催；味方</t>
        </is>
      </c>
      <c r="F2740" t="inlineStr">
        <is>
          <t>文部科学省後援；後援企業；御後援；個人後援会；強力な後援</t>
        </is>
      </c>
      <c r="H2740" t="n">
        <v>29</v>
      </c>
      <c r="I2740" t="inlineStr">
        <is>
          <t>政治的な後援組織を排除しようとしたが、大きな成功は得られなかった。；国家は以前は教会が後援していた学校における教育監督権を取り上げた。；特に近年では個人後援会やファンクラブなどの組織が多く普及している。；ヒムラーは党の政権獲得前から親衛隊の後援会員の拡大を目指していた。；これは後援者のルドルフ大公のために1809年頃に書かれたとされる。；また関西地区でのコンサートやイベントを主催・後援することがある。；企画には後援者の一員に名を連ねた北海タイムスが深く関与していた。；文学・美術も好きで小説家や画家とも交流が深く、彼らの後援者でもあった。；民主党の指名で重大な対抗者は居らず、州内の新聞からも後援された。；これにより文化省は国家的に重要と指定した特定の分野への後援を推進した。；この都市は、スポーツクラブを後援する特別なプログラムを実施している。；裁判所が訴えを却下する頃には、マイブリッジは既に別の後援を得ていた。；のちにラーマクリシュナは、彼女の後援の下、その寺院の長に任命された。；こうした事情から、イベントの後援にはFMヨコハマが参加していた。；後援会員は親衛隊に資金を提供するが加入はしないシンパのメンバーである。；この運動は、以下の機関・団体の後援等を受けて実施している。；経済的困難もあったが、後援者の助けもあり何度かイギリスに短い旅をしている。；時津風部屋後援会長は妻から離婚の知らせを受けていたという。；一方で、ベートーヴェンはこの地で多くの後援者を得ることになる。；駿河の今川氏からの後援無しに家命を保てないほど弱体化してしまった。；レジストリ、および後援組織はであるが、現在登録は行われていない。；この他大学の後援の下で設立され、活動しているいくつかのシンクタンクがある。；彼は気前の良い後援者としても知られ、大学に多くの財産を寄付した。；王や部族長は、叙事詩的な歌を後援することに力を注ぐ伝統があった。；地元の企業を中心に多数の企業が後援を行っている。；任天堂の歴史の中でも、大政翼賛会の後援を得た珍しいゲームである。；教育にも関心を持っており、国際的な教育組織UWCの重要な後援者の一人でもある。；中国政府に後援され、第1区隊と第2区隊とに分かれて活動していた。；受賞作発表は第33回まで、後援する徳間書店の小説誌上で行われていた。</t>
        </is>
      </c>
      <c r="J2740">
        <f>HYPERLINK("https://www.weblio.jp/content/後援", "词义详情")</f>
        <v/>
      </c>
      <c r="K2740">
        <f>HYPERLINK("https://yourei.jp/後援", "查看例句")</f>
        <v/>
      </c>
    </row>
    <row r="2741">
      <c r="A2741" t="inlineStr">
        <is>
          <t>講演</t>
        </is>
      </c>
      <c r="B2741" t="inlineStr">
        <is>
          <t>成功</t>
        </is>
      </c>
      <c r="C2741" t="inlineStr">
        <is>
          <t>読み方：こうえん
［名］(スル)
１（カウ‐） 大ぜいの人に向かって、ある題目に従って話をすること。また、その話。「政治問題について—する」
２（コウ‐）経典を講じ仏法を説くこと。説法。</t>
        </is>
      </c>
      <c r="D2741" t="inlineStr">
        <is>
          <t>講演活動(8%)；講演会(4%)；講演者(3%)；講演旅行(2%)；講演等</t>
        </is>
      </c>
      <c r="E2741" t="inlineStr">
        <is>
          <t>話；議論；メッセージ；講義；演説</t>
        </is>
      </c>
      <c r="F2741" t="inlineStr">
        <is>
          <t>特別講演；招待講演；公開講演；題して講演；各種講演</t>
        </is>
      </c>
      <c r="G2741" t="inlineStr">
        <is>
          <t>講演料；講演部</t>
        </is>
      </c>
      <c r="H2741" t="n">
        <v>29</v>
      </c>
      <c r="I2741" t="inlineStr">
        <is>
          <t>特に少年の非行・犯罪などの取材活動を中心に行っており、講演活動も。；英語と講演を組み合わせた講演会も行うなど講演活動の幅を広げている。；前後して、長男の育児の経験をもとにした講演活動も積極的に行っている。；この時の京都精華大学での講演内容は、同大学のHPに掲載されている。；現在は草野仁事務所に所属し講演活動やコメンテーターなどをしている。；愛橘はその後もメートル法普及のための啓蒙的な講演活動などを続けた。；結婚後は声の仕事に加え、築地や魚関連の著作も多く、講演依頼も多い。；以後は、治療を続けながら講演や野球中継のゲスト解説などを行っていた。；その後はバーを経営する傍ら、タレントとして芸能・講演活動を行った。；この頃からおびただしい量の執筆・座談会・講演等をこなすようになる。；その結果、ウッドワードの講演でよいノートを取るのは常に簡単だった。；がん闘病からの復帰後は、その経験を語る講演活動を各地で行っている。；会議ごとに、招待講演に基づく学術的な論文を含む議事録が刊行される。；現在は企業や学校を訪問しトレーニング指導や講演を行っている。；カロザースは地位を維持するために必要である講演を嫌悪していた。；男性器の相談は泌尿器科であると学生に性教育の講演を行う専門家もいる。；尚、同大学の出版物には、彼女の講演内容が、正確に記述されている。；この用語はチャールズ・バックマンが講演で用いたのが最初である。；この鹿児島の講演のすべての内容は、に音声データとして残されている。；またその活動では楽器フェアでの講演やデモ演奏なども行っていた。；Linuxやオープンソースを中心とした著作活動や講演活動を行っている。；独自の教育論で、各地での講演活動や執筆活動を行っている。；これ以降は教育や評論・執筆活動、講演活動などに勤しむこととなる。；生涯最後の講演は1993年11月11日に東京の第一生命館で行った。；本来の仏教を伝えるべく執筆と講演活動を行なっている。；霊性への関心は、直感力に関する講演や著作においても主題とされている。；司葉子も婦人講演会や個人演説会まわりに参加する万全の体制で初当選。；この講演においてビアーズが述べたのは正確には以下の通りである。；また、数本のドキュメンタリー映画に出演し、多くの講演も行っている。</t>
        </is>
      </c>
      <c r="J2741">
        <f>HYPERLINK("https://www.weblio.jp/content/講演", "词义详情")</f>
        <v/>
      </c>
      <c r="K2741">
        <f>HYPERLINK("https://yourei.jp/講演", "查看例句")</f>
        <v/>
      </c>
    </row>
    <row r="2742">
      <c r="A2742" t="inlineStr">
        <is>
          <t>甲乙</t>
        </is>
      </c>
      <c r="B2742" t="inlineStr">
        <is>
          <t>成功</t>
        </is>
      </c>
      <c r="C2742" t="inlineStr">
        <is>
          <t>読み方：かるめる
邦楽で、高い調子の「かる」と低い調子の「める」。かりめり。めりかり。</t>
        </is>
      </c>
      <c r="D2742" t="inlineStr">
        <is>
          <t>甲乙つけがたい(10%)；甲乙二(6%)；甲乙付け(4%)；甲乙なし(2%)；甲乙つけ難い(2%)</t>
        </is>
      </c>
      <c r="F2742" t="inlineStr">
        <is>
          <t>甲乙二つ</t>
        </is>
      </c>
      <c r="G2742" t="inlineStr">
        <is>
          <t>甲乙人</t>
        </is>
      </c>
      <c r="H2742" t="n">
        <v>29</v>
      </c>
      <c r="I2742" t="inlineStr">
        <is>
          <t>甲乙がないといいたいけれど、どうも私の心は家の方へ引かれがちです。；どんといふ扉の音の印象とピストルの音の印象と結局甲乙はないのだね。；この2頭の比較にしても、まだ甲乙つけにくい段階のような気がする。；甲乙二県とハ単に名義上の区別にして人類同胞の区別にあらざるなり。；甲乙つけがたい作品が目の前に並べられたとき、人は何を基準に選ぶだろうか。；文化と平和、バランスもよく、言葉の持つ意味の深さも甲乙つけがたい。；甲乙ないとなると、古くからいる奴を上へ据える外仕方があるまい?；そのため甲乙といえばエンジンの種類だけでなく、同時に車体形状の型を意味していた。；故に之を観察して甲乙性格の異同を対照するは実に多少の趣味なからんや。；そのうち、ふたりの娘は、甲乙つけがたいほどの美しさであった。；原色版はケルンの工場で印刷されているから、エブラムス版と甲乙がない。；氷の性質に甲乙があるわけではないのである。；もとの主にまさっているとはいえぬまでも、梅八の耳には甲乙をわけがたいものだった。；昔は河津の大楠と甲乙つけがたい気品を持って生きていたにちがいないと私は思う。；今度の戦争に由って、意外にも女子の労働能力が男子に比べて甲乙のないことが確認される機会を得ました。；同じ村内でもそこの土壌の質によって柿の甘さに著しい甲乙があった。；右の三大剣客の技術に、甲乙を付することは、なかなか大胆な仕事である。；一座の様子が変なので甲乙ともにギョッとしたような風だが、すぐ平常に戻る。；どちらも甲乙つけがたいいい女、道ゆく人で振り向かないものはありません。；全く同じ方向を意図し、甲乙の無い努力を以て進みながらも或る者は成功し、或る者は失敗する。；しかし俺から云わせると、あらゆる病気は甲乙なしに、同じように恐ろしいものだ。；現に彼には、四台の愛車と同様、甲乙つけがたく大切な人間が四人存在する。；この2柱の神様に甲乙がないのと同様、陸海の利益にも優劣はないはずである。；土地はその尺寸を歩々に利用する者があって始めて甲乙の区別が日常の会話の上に入用になって来る。；将棋の才能も甲乙つけがたいのはプロが認めている。；故に之を觀察して甲乙性格の異同を對照するは實に多少の趣味なからんや。；二重人格者の甲乙の性格が交代で現われるような気がした。；今回初登場の国王陛下も、甲乙つけがたいほど好き勝手に動いてくれてますけれど。；また甲乙二物体の温度の差でも触覚で区別できる差は寒暖計で区別できる差よりははるかに大きい。</t>
        </is>
      </c>
      <c r="J2742">
        <f>HYPERLINK("https://www.weblio.jp/content/甲乙", "词义详情")</f>
        <v/>
      </c>
      <c r="K2742">
        <f>HYPERLINK("https://yourei.jp/甲乙", "查看例句")</f>
        <v/>
      </c>
    </row>
    <row r="2743">
      <c r="A2743" t="inlineStr">
        <is>
          <t>高価</t>
        </is>
      </c>
      <c r="B2743" t="inlineStr">
        <is>
          <t>成功</t>
        </is>
      </c>
      <c r="C2743" t="inlineStr">
        <is>
          <t>読み方：こうか
［名・形動］値段が高いこと。価値が高いこと。また、そのさま。「—な品物」「—な犠牲を払う」⇔安価／廉価。</t>
        </is>
      </c>
      <c r="D2743" t="inlineStr">
        <is>
          <t>高価なもの(9%)；高価である(7%)；高価であり(3%)；高価そう；高価な宝石</t>
        </is>
      </c>
      <c r="E2743" t="inlineStr">
        <is>
          <t>高い；高額；上等；割高</t>
        </is>
      </c>
      <c r="F2743" t="inlineStr">
        <is>
          <t>大変高価；高価な贅沢品；高価な輸入品；高価なブランド品；高価な進物</t>
        </is>
      </c>
      <c r="H2743" t="n">
        <v>29</v>
      </c>
      <c r="I2743" t="inlineStr">
        <is>
          <t>これらの団体が利用するソフトウェアの中には、非常に高価なものもある。；現在では、史上最も高価で貴重なコミックブックのひとつとなっている。；ダカの支社には、私の部下になる日本人スタッフが一人先遣されていた。；呉は、この号をたまたま持っていた友人に高価で譲ってもらったという。；銀は導電率が非常に高い金属だが、高価であるため配線には使われない。；戦争で破壊された部分は再建され、高価な展示品はパネルで紹介されている。；設備に目を向けた場合、検査装置など高価な購入品を多数確保する必要がある。；そのような材を持つオリジナルモデルは現在では非常に高価に取引されている。；銀はさらに伝導率が高いが、高価であるため多くの場合選択されない。；発声映画の3つの問題を完全に解決したわけではなく、その上高価だった。；性能は通常モデルよりも若干低下するが、価格は比較的高価に設定されている。；非同期モデムに比べて、確実で高速な通信が可能であるが、高価である。；しかし価格が高価でありVGS端末であったためかあまり売れなかった。；また液体ヘリウムは液体窒素に比べて高価であることも理由の一つである。；流通している肉は、牛肉が最も多く安価であり、豚肉の方が高価である。；口紅は紅花が原料のものが使われていたが、極めて高価な品とされていた。；ダカにいた時期もあったそうで、ダカのいまの様子を訊かれましたよ。；そのため、T2シリーズであっても当時の市場では強力すぎ、高価すぎた。；その実売価格が高価だったことなどから、実際に市場に存在する数は少ない。；一般にこのような環境に配慮した環境風船はゴム風船に比べ高価である。；江戸時代に贅沢禁止令が出された折に高価な絹物を着ることが禁止された。；一般住宅地図より更に高価な商品であり、一部の地域でしか刊行されていない。；またロケット自体が非常に高価で、ドラえもんも3本しか持っていない。；高価な通訳設備の用意が必要ないため、企業内の会議などで使用される事が多い。；これは今まで販売された白ワインのうち最も高価なものである。；しかし大変に高価であるので、現在は合成樹脂製のものが広く用いられている。；そして、人の生活を守り育むための重要な器であり、高価な財産でもある。；またカーボン素材やアルミフレームなどの高価な素材も多用されている。；しかしピッチブレンドは非常に高価で、それを入手する資金などなかった。</t>
        </is>
      </c>
      <c r="J2743">
        <f>HYPERLINK("https://www.weblio.jp/content/高価", "词义详情")</f>
        <v/>
      </c>
      <c r="K2743">
        <f>HYPERLINK("https://yourei.jp/高価", "查看例句")</f>
        <v/>
      </c>
    </row>
    <row r="2744">
      <c r="A2744" t="inlineStr">
        <is>
          <t>効果</t>
        </is>
      </c>
      <c r="B2744" t="inlineStr">
        <is>
          <t>成功</t>
        </is>
      </c>
      <c r="C2744" t="inlineStr">
        <is>
          <t>読み方：こうか
１ある働きかけによって現れる、望ましい結果。ききめ。しるし。「薬の—が現れる」「宣伝—」「—覿面(てきめん)」
２演劇・映画などで、その場面に情趣を加える技術および方法。雨音・風音・煙・雪など。エフェクト。「音響—」</t>
        </is>
      </c>
      <c r="D2744" t="inlineStr">
        <is>
          <t>効果的(9%)；効果が得られる；効果が高い；効果が期待できる；効果音</t>
        </is>
      </c>
      <c r="E2744" t="inlineStr">
        <is>
          <t>結果；影響；作用；成果；始末</t>
        </is>
      </c>
      <c r="F2744" t="inlineStr">
        <is>
          <t>大きな効果；宣伝効果；同じ効果；予防効果；抑制効果</t>
        </is>
      </c>
      <c r="G2744" t="inlineStr">
        <is>
          <t>効果音；効果測定；効果てき；効果的利他主義；効果意思</t>
        </is>
      </c>
      <c r="H2744" t="n">
        <v>29</v>
      </c>
      <c r="I2744" t="inlineStr">
        <is>
          <t>その結果、敵に衝突することが最も効果的な方法という結論を得ている。；ヨーロッパでは医療への活用が多数試され、その効果が発表されている。；後の1960年の実験ではこれらが背景効果であることが証明された。；これら演武用の武器は房や動きを良く見せる効果をもたせたものが多い。；吸収が早いために、症状が出現した時点では胃洗浄は効果がないとされる。；しかし、主人公のサポート役に徹した時は効果的な働きをすることが多い。；武器に限らず、道具が効果を発揮するにはエネルギーが必要である。；南予は減少が急速に進んでおり、より効果的な対策が求められている。；しかし、必須元素では無いため、効果は極めて小さいと考えられている。；これらのほとんどは、今日ではまったく効果がないことが明らかになっている。；長い武器は回転半径が長くなるため効果もまた大きなものとなる。；これらの論文のうち、効果に否定的な結論を示す論文は63件中4件ある。；鉛フリーはんだを使うことにより、以下の効果が得られると考えられる。；さらに、思いやりの心などが育つなどの情操教育の効果もあるとされる。；冷暖房効果向上などを目的として全中間連結部に引戸が設けられている。；銀は硫黄や砒素と反応し変色するため、暗殺を未然に防ぐ効果もあった。；また、大学のボート部に参加しようと決意したことも状況を変える効果をもたらした。；もう一つは、医師は臨床現場で効果を確認している、という反論である。；どちらも科学の特定の目的を持っているので、他のものよりも効果が低いわけでもない。；そのため、によれば頭から情報を出すアウトプットが効果的である。；一方、中国四川大学の調査ではADHDへの効果は不明とされている。；量子力学では、ある種の量子的効果が光速を超えて伝播することがある。；TIFFは画像を編集する中間段階で用いることが下記のような理由で効果的である。；ほとんどのワードはスタック上でのその効果の観点から定義される。；ベルを取ったときの色によって得点や各種パワーアップの効果が得られる。；このような効果を得るには、シャフト内の空気量が不変でなければならない。；現在、ある程度効果が確認されているものは、次のとおりである。；暴力犯罪を抑制する最も効果的な方法は治療だと考えられている。；撮影する作品や商品をより良く見せるための効果として背景ボードを使用する。</t>
        </is>
      </c>
      <c r="J2744">
        <f>HYPERLINK("https://www.weblio.jp/content/効果", "词义详情")</f>
        <v/>
      </c>
      <c r="K2744">
        <f>HYPERLINK("https://yourei.jp/効果", "查看例句")</f>
        <v/>
      </c>
    </row>
    <row r="2745">
      <c r="A2745" t="inlineStr">
        <is>
          <t>硬貨</t>
        </is>
      </c>
      <c r="B2745" t="inlineStr">
        <is>
          <t>成功</t>
        </is>
      </c>
      <c r="C2745" t="inlineStr">
        <is>
          <t>読み方：こうか
１金属で鋳造した貨幣。紙幣と区別してよばれる。コイン。
２国際金融上、金または米ドルなどの外貨と交換可能な通貨。→軟貨</t>
        </is>
      </c>
      <c r="D2745" t="inlineStr">
        <is>
          <t>硬貨投入；硬貨偽造；硬貨鋳造；硬貨製造；硬貨袋</t>
        </is>
      </c>
      <c r="E2745" t="inlineStr">
        <is>
          <t>金；お金；銭；金銭；貨幣</t>
        </is>
      </c>
      <c r="F2745" t="inlineStr">
        <is>
          <t>フラン硬貨；五円硬貨；十円硬貨；百円硬貨；ダラー硬貨</t>
        </is>
      </c>
      <c r="H2745" t="n">
        <v>29</v>
      </c>
      <c r="I2745" t="inlineStr">
        <is>
          <t>ユーロに切り替えられた時点で流通していた硬貨には以下のものがある。；しかし、1962年にも硬貨に使用される金属の構成が再び変更された。；ただし、一部のATMは紙幣のみで硬貨には対応していないものもある。；アフリカ系アメリカ人がアメリカの硬貨に描かれた最初の例となった。；また、穴の開いていない五銭硬貨や十銭硬貨を縫いこむことも行われた。；支払いに硬貨またはカードを使う人は、以下のようにモデル化される。；最古の金属のお金は硬貨ではなく、リング状、もしくは武器状であった。；彼の意見が鋳造する硬貨に刻まれる王の肖像を作成するのに有効となった。；その後の硬貨の一部は両方の言語が記載されるようになった。；彼がプラエトルの時、護民官たちと共同で硬貨の基準を定めようとした。；また、1230年代には硬貨鋳造の中核でもあったに宮殿を移動させた。；再び井戸へ行くと今度は硬貨を落とさず、前の2枚の硬貨も戻ってきた。；翌年も正直者は1枚だけ硬貨を貰うが、また井戸の中へ落としてしまう。；本位貨幣制度においては額面相当の金や銀を含有した硬貨が用いられた。；また、このデザインは当時のムガル帝国の硬貨が採用されているものである。；損傷していなくても、現在発行されていない旧硬貨は同様にこの交換業務の対象となる。；その製造の歴史の中で、硬貨に含まれる金属の比率や直径は変えられてきた。；王立カナダ造幣局はさまざまな新技術を使用した新しい硬貨を導入している。；以降、この素材の組成が、五円硬貨を含む日本の黄銅貨の伝統となった。；実際に硬貨の製造業務が開始されたのは翌1793年であった。；ユーロが導入されるまで流通していた硬貨は以下の通りである。；十円硬貨ほどの大きさの光体が空中を舞うもので、人妻が目にするという。；このデザインが表れている硬貨は、現在流通している最も一般的なものである。；これらの硬貨が発行されたのは1938年までのことであった。；中国の伝統に見合うように世界中の硬貨を集め基礎部分に埋設した。；それ以前は紐付きの小さな袋が硬貨をいれて財布として使われていた。；多くのプロの貨幣学者は商用目的で硬貨の証明・格付けを行っている。；丸い甲羅が江戸時代の硬貨である銭に似ていることから、銭亀と呼ばれた。；これらの硬貨の中には正方形をした硬貨も含まれ、収集家には人気がある。</t>
        </is>
      </c>
      <c r="J2745">
        <f>HYPERLINK("https://www.weblio.jp/content/硬貨", "词义详情")</f>
        <v/>
      </c>
      <c r="K2745">
        <f>HYPERLINK("https://yourei.jp/硬貨", "查看例句")</f>
        <v/>
      </c>
    </row>
    <row r="2746">
      <c r="A2746" t="inlineStr">
        <is>
          <t>豪華</t>
        </is>
      </c>
      <c r="B2746" t="inlineStr">
        <is>
          <t>成功</t>
        </is>
      </c>
      <c r="C2746" t="inlineStr">
        <is>
          <t>読み方：ごうか
［名・形動］ぜいたくで、はでなこと。また、そのさま。「—な舞台衣装」「絢爛(けんらん)—」
[派生]ごうかさ［名］</t>
        </is>
      </c>
      <c r="D2746" t="inlineStr">
        <is>
          <t>豪華な衣装；豪華な装飾；豪華な部屋；豪華本；豪華な食事</t>
        </is>
      </c>
      <c r="E2746" t="inlineStr">
        <is>
          <t>立派；見事；鮮やか；素晴らしい；贅沢</t>
        </is>
      </c>
      <c r="F2746" t="inlineStr">
        <is>
          <t>超豪華；豪華ブックレット；豪華ゲスト；豪華マンション；豪華ホテル</t>
        </is>
      </c>
      <c r="G2746" t="inlineStr">
        <is>
          <t>豪華版；豪華絢爛；豪華キャスト；豪華賞品</t>
        </is>
      </c>
      <c r="H2746" t="n">
        <v>29</v>
      </c>
      <c r="I2746" t="inlineStr">
        <is>
          <t>この劇場では豪華な装飾や舞台効果をふんだんに用いて公演を行った。；個々に発売されたものより、パッケージなどが豪華な作りとなっている。；復活以降は各授業の優秀生徒になると、豪華商品が与えられるようになった。；唯一完成していた豪華な地下鉄駅はクロポトキンスカヤ駅と改名された。；内台劇は豪華な舞台装置と野台劇に比べ大人数による演出が特徴である。；明治時代末期の日本におけるもっとも豪華な設備を備えた客車であった。；ロケは毎回地方で行われ、豪華ゲストが地方の刑事役で出演していた。；この豪華な館の部屋は、様々な目的のために市によって貸し出されている。；の豪華な遺構が示しているように、は大きな富と力を持っていたと思われる。；結納品は水引で豪華に飾られ、一式で数万円から数十万円がかけられる。；その後は、スターマインや打揚などの豪華なプログラムで進行していく。；これは、坂本城などの先行する天守よりも豪華かつ大規模なものだった。；また朝・昼・夕の時間帯には国内線としては豪華な機内食が提供された。；司教の椅子や豪華に彫刻された修道院の門も、この時代に属するものである。；シリーズの中では最も多くの豪華ゲストが出演している。；その間、建物の構造と基礎の強化と同様に絢爛豪華な装飾の保全も行われた。；バロック建築の代表作で、豪華な建物と広大な美しい庭園で有名である。；それまでの城にはない独創的な意匠で絢爛豪華な城であったと推測されている。；ジゥデルは魔法の袋で豪華なご馳走を出し、母の空腹を満たしてあげた。；元々は南と東に向かって豪華な将校住宅のある林道の小住宅を兼ねた兵舎であった。；ゲストが非常に豪華であることも、このシリーズの特徴である。；これらの船は速さではなく、豪華さと安全性に重点を置くものとした。；内部は仏教各宗派の本山寺院の仏堂を模した豪華な作りになっている。；ドレスデンでは、美しい種類のレースを複製し豪華なレースを作った。；特別な内装設備や給仕を提供しており、豪華列車とも呼ばれている。；大型タイルに美しく豪華な上絵を描き、焼成したものをタイル絵という。；羽未達の住む女子寮は校舎のすぐ近くにあり、豪華な外観をしている。；当時の一般人の憧れは、自動車ではなく豪華な馬車であったという。；工芸品も数多く制作され、カマレス陶器のような豪華なものも出現している。</t>
        </is>
      </c>
      <c r="J2746">
        <f>HYPERLINK("https://www.weblio.jp/content/豪華", "词义详情")</f>
        <v/>
      </c>
      <c r="K2746">
        <f>HYPERLINK("https://yourei.jp/豪華", "查看例句")</f>
        <v/>
      </c>
    </row>
    <row r="2747">
      <c r="A2747" t="inlineStr">
        <is>
          <t>公開</t>
        </is>
      </c>
      <c r="B2747" t="inlineStr">
        <is>
          <t>成功</t>
        </is>
      </c>
      <c r="C2747" t="inlineStr">
        <is>
          <t>読み方：こうかい
［名］(スル)公衆に開放すること。特定の人に限定せず、広く一般の人々に入場・観覧・使用などを許すこと。「—の席で明言する」「御物(ぎょぶつ)を—する」「一般—」「—録音」</t>
        </is>
      </c>
      <c r="D2747" t="inlineStr">
        <is>
          <t>公開される(5%)；公開後；公開時；公開当時；公開初週末</t>
        </is>
      </c>
      <c r="E2747" t="inlineStr">
        <is>
          <t>発表；公表；アナウンス；暴露；公布</t>
        </is>
      </c>
      <c r="F2747" t="inlineStr">
        <is>
          <t>劇場公開；未公開；初公開；映画公開；無料公開</t>
        </is>
      </c>
      <c r="G2747" t="inlineStr">
        <is>
          <t>公開予定；公開生放送；公開収録；公開鍵；公開前</t>
        </is>
      </c>
      <c r="H2747" t="n">
        <v>29</v>
      </c>
      <c r="I2747" t="inlineStr">
        <is>
          <t>ただし、捜査情報の一部を公開して広く国民の協力を求める場合もある。；まだ正式公開されていない上記以外の環境やカーネル版もいくつかある。；映画公開後に発表された小説は、脚本と同時進行で書かれた部分もある。；また別の観点では、発明の内容を社会に公開させるためのものともいえる。；それより、中身を知りながらメールの公開を決めた人のほうが気になる。；日本でも終戦から22年が経った1967年にようやく一般公開された。；時期的には『スター・ウォーズ』のほうが制作開始・公開いずれも早い。；同年イングランドのサリーにある採石場で初の公開爆発実験を行っている。；この家は愛知県の野外博物館・明治村に移築されていて公開されている。；なおPSNなどでもゲームソフトが無料で公開されている場合もある。；最初の公開リリースであるバージョン13は1985年3月に完成した。；非公認であるため、サーバを公開しているのは、個人がほとんどである。；著書の中では、ニューネッシーの「写真」とされるものも公開している。；日本初の合作映画となるはずであったが、未編集のまま公開されなかった。；この時はアメリカ側は証拠となる空中写真をまだ公開していない。；キューガーデンは植物に関する情報をウェブで公開し普及に努めている。；この映画は当たり、しかも本国公開から2年も経ずに外国でもヒットした。；江戸時代には公開が憚られ、一部の人々にしか知られていなかった。；常設展示されていない実物資料は企画展示で公開される場合がある。；同プロジェクトは一般に販売されている全製品の一覧をオンラインで公開している。；アリストテレス自身が多数の人に見せることを想定して公開した著作が多数あった。；開催当日のイベント映像やアニメ映像の一部を公開した。；そのため、映画化作品の邦題は日本公開年によって表記が異なっている。；日本での公式公開は第二次世界大戦後の1955年9月23日であった。；今後の外交は秘密主義をやめ公開主義でいかなければならない。；劇場公開された代表的な作品としては次のようなものがある。；ドイツ語の文を解析するシステムの一例がブレーメン大学から公開されている。；しかし映画の公開は1968年にまで延び、小説もその後に完成した。；インドではこれが他の国々と同時に公開された初めてのハリウッド映画だった。</t>
        </is>
      </c>
      <c r="J2747">
        <f>HYPERLINK("https://www.weblio.jp/content/公開", "词义详情")</f>
        <v/>
      </c>
      <c r="K2747">
        <f>HYPERLINK("https://yourei.jp/公開", "查看例句")</f>
        <v/>
      </c>
    </row>
    <row r="2748">
      <c r="A2748" t="inlineStr">
        <is>
          <t>航海</t>
        </is>
      </c>
      <c r="B2748" t="inlineStr">
        <is>
          <t>成功</t>
        </is>
      </c>
      <c r="C2748" t="inlineStr">
        <is>
          <t>読み方：こうかい
［名］(スル)船で海をわたること。「太平洋を—する」「処女—」</t>
        </is>
      </c>
      <c r="D2748" t="inlineStr">
        <is>
          <t>航海中(8%)；航海長(4%)；航海用；航海士；航海条約</t>
        </is>
      </c>
      <c r="E2748" t="inlineStr">
        <is>
          <t>旅；旅行；航行；渡航；巡航</t>
        </is>
      </c>
      <c r="F2748" t="inlineStr">
        <is>
          <t>長い航海；探検航海；練習航海；通商航海；世界一周航海</t>
        </is>
      </c>
      <c r="G2748" t="inlineStr">
        <is>
          <t>航海者；航海術；航海日誌；航海技術；航海遠略策</t>
        </is>
      </c>
      <c r="H2748" t="n">
        <v>29</v>
      </c>
      <c r="I2748" t="inlineStr">
        <is>
          <t>しかし、潜水艦の一回の航海につき一組は離婚する乗組員が出るという。；これは歴史上、不可能そうだが成功した航海の一つとして数えられている。；その多くは1回目の航海計画にも関わったライデンの清教徒たちである。；しかし、古代・中世にはエーゲ海の航海は決して安全なものではなかった。；この島は1722年、フランスの航海士によって初めて記録されている。；ヤマトでは航海班に所属しており、制服は島と同じ白地に緑矢印である。；その攻撃を回避した海賊たちはマダガスカルへ航海しその地に基地を作った。；その他の様々な航海のための準備を終えた後、飛行士らは最初の眠りについた。；船や航海を連想させるものとして、シンボル的に用いられることも多い。；しかし艦隊は一度、シチリア島への航海中に嵐で破壊されてしまう。；ガンディーは、ロンドンでの第2回目の円卓会議へ向けて航海していた。；これは最初の航海で使われたメイフラワー号とは異なる船だった。；ほぼ黄道上にあり、航海位置の計測の基準となる常用恒星となっている。；ダーウィンはここで火山などを観察し、航海記録の執筆を始めている。；当時のスペインではインディアス航海に関わる業務が日々膨れ上がっていた。；長男フランシスコは父の第3回航海に同行し、後に称号と財産を相続した。；大西洋の温かい海水のため、1年のうちかなりの期間が航海可能である。；これはのちにビーグル号の航海に参加し生物標本を作る際に役立った。；巧みな航海術を駆使した北欧の海賊はヴァイキングと呼ばれ恐れられた。；航海の間、全てのアラスカの乗組員はこの先に何があるかを考えた。；また志賀海神社では、明に渡航する前に航海の無事が祈願されていた。；しかし最後の航海ではハワイ島住民との争いから殺害された。；インド洋航海中、観測隊員の一人が虫垂炎にかかり船内で手術が行われた。；アマゾン川にその名が命名されたのはこの航海上であった。；怒りの戦いのあとは、船に乗って天空を航海するものとなった。；また、一部では航海が困難な程浅くなっており、事故がおきやすい。；同年、クックの第二回航海のために海軍本部は2隻の新造船を購入した。；この報道が会社の信用を落とし、第三回の航海までに、会社は資金難に陥った。；長期航海を行う大型クルーズ客船には、カジノが設置されている場合が多い。</t>
        </is>
      </c>
      <c r="J2748">
        <f>HYPERLINK("https://www.weblio.jp/content/航海", "词义详情")</f>
        <v/>
      </c>
      <c r="K2748">
        <f>HYPERLINK("https://yourei.jp/航海", "查看例句")</f>
        <v/>
      </c>
    </row>
    <row r="2749">
      <c r="A2749" t="inlineStr">
        <is>
          <t>後悔</t>
        </is>
      </c>
      <c r="B2749" t="inlineStr">
        <is>
          <t>成功</t>
        </is>
      </c>
      <c r="C2749" t="inlineStr">
        <is>
          <t>読み方：こうかい
［名］(スル)自分のしてしまったことを、あとになって失敗であったとくやむこと。「短い快楽に永い—」「今さら—しても始まらない」</t>
        </is>
      </c>
      <c r="D2749" t="inlineStr">
        <is>
          <t>後悔する(13%)；後悔しはじめ；後悔してる；後悔し始め；後悔なさる</t>
        </is>
      </c>
      <c r="E2749" t="inlineStr">
        <is>
          <t>反省；悔い；惜しむ；悔恨；悔</t>
        </is>
      </c>
      <c r="F2749" t="inlineStr">
        <is>
          <t>ひどく後悔；深く後悔；激しく後悔；一生後悔；激しい後悔</t>
        </is>
      </c>
      <c r="G2749" t="inlineStr">
        <is>
          <t>後悔なんてしない</t>
        </is>
      </c>
      <c r="H2749" t="n">
        <v>29</v>
      </c>
      <c r="I2749" t="inlineStr">
        <is>
          <t>それはやがて後悔をもって報いられねばならぬ態度だったのではないか。；結局わだかまりを解消できないままだったことを後悔し続けてきたまい。；後に専門弁護士に相談しなかったことをとても後悔したと語っている。；起訴側と同意して彼女が後悔を表明することで彼女の記録は消去された。；私は今、何の後悔も持たないでいられることを非常に心持よく思います。；デュラントは自身のそれまでの人生を後悔することはまったくなかった。；戦闘団を率いたは戦後、この包囲失敗を一番後悔していると述べている。；彼女の機嫌を取ることはできたが嘘をついたことに後悔をしてしまう。；自分は事故で両親が死ぬ前に仲直りしなかったことを後悔していると話す。；ダラボンはこのシーンを撮影できなかったことを後悔しているという。；後に曹操は自分の頭痛が悪化したとき華佗を殺したことを後悔している。；フォンダはその事実をすぐに公にしなかったことを後悔しているとも語った。；百合子は子供たちに犠牲を強いる軍人との結婚を後悔してると吐露する。；また、当時は忙しくて弟をよく見てあげられなかったことを後悔している。；事故のことは忘れられないし2人を死なせたことを強く後悔している。；ただし、撃たれた人が何も後悔していない場合は本当に死んでしまう。；そこであいつは後悔した上にも後悔しながら息をひきとってしまったのだ。；射殺された遺体からは父と兄を殺した事を後悔する内容の遺書が発見された。；本人は早めに日本に帰国し、調整してのぞめば良かったと後悔している。；私はあの役を精一杯演じたし、作品に出演した事も後悔していない。；後悔したお前はまたすごすごと私の所まで後戻りするより外に道がないのだ。；しかし、彼女は後になって娘を捨てたことを後悔するようになる。；後に動揺している姿を投手に見せてしまったことに後悔が残っていると報道された。；しかし、彼らとレコーディングを行なわなかったことを彼は後悔している。；しかし後に「完成した映画を観て死ぬほど後悔した」と語っている。；もし出演していたらその後のキャリアが変わっていたかもしれないと後悔しているという。；画家のショーンは子どもがいらないと前の恋人と別れたことを後悔している。；しかし、人々はこのあまりにも過酷な判決を後悔し、裁判をやり直した。；不良少年のように未熟な振る舞いをしてしまい、非常に後悔しています。</t>
        </is>
      </c>
      <c r="J2749">
        <f>HYPERLINK("https://www.weblio.jp/content/後悔", "词义详情")</f>
        <v/>
      </c>
      <c r="K2749">
        <f>HYPERLINK("https://yourei.jp/後悔", "查看例句")</f>
        <v/>
      </c>
    </row>
    <row r="2750">
      <c r="A2750" t="inlineStr">
        <is>
          <t>公害</t>
        </is>
      </c>
      <c r="B2750" t="inlineStr">
        <is>
          <t>成功</t>
        </is>
      </c>
      <c r="C2750" t="inlineStr">
        <is>
          <t>読み方：こうがい
事業活動などの人為的な原因から、地域住民や公共一般がこうむる肉体的、精神的、物質的な種々の被害や、自然環境の破壊。大気汚染・水質汚濁・土壌汚染・騒音・悪臭・振動・地盤沈下など。</t>
        </is>
      </c>
      <c r="D2750" t="inlineStr">
        <is>
          <t>公害防止(6%)；公害患者；公害訴訟；公害エンジン；公害バス</t>
        </is>
      </c>
      <c r="E2750" t="inlineStr">
        <is>
          <t>汚染；ポリューション</t>
        </is>
      </c>
      <c r="F2750" t="inlineStr">
        <is>
          <t>無公害；自動車公害；反公害；交通公害；産業公害</t>
        </is>
      </c>
      <c r="G2750" t="inlineStr">
        <is>
          <t>公害対策；公害病；公害防止管理者；公害対策基本法；公害等調整委員会</t>
        </is>
      </c>
      <c r="H2750" t="n">
        <v>29</v>
      </c>
      <c r="I2750" t="inlineStr">
        <is>
          <t>大臣を含む政治家達は公害を隠そうとしたことで非難の的となってしまう。；彼らの後継者たちはその前後に低公害のCVCCエンジンの開発に成功。；一方ではたとえば公害の深刻さを私たち日本人はひしひしと感じています。；同時に公害の関係者の証言を集め、散逸した関連資料の収集も行われた。；毒である認識がないまま工業的に大量生産され公害となった例は多い。；同州の産業・交通の中心地でありながら、公害が少ないことでも知られる。；公害を発生させないと生きていけないし、発生させると命をちぢめる。；完全無公害型のエンジンがいつのまにか実用化されているということを。；新聞などを見ていますと、毎日、公害の話の出ていないことはない。；企業の生産活動から発生した公害が周辺住民に被害を与えている状況を考える。；地位と収入が目的で精出してきた公害企業側重役も多かろうと思います。；公害を出さないための活動を指し以下のようなものがある。；首都に近くてこれだけ公害をまき散らしても文句を言われないところはないからな。；大きな社会問題となっていた公害やその他の環境問題を取り上げていた番組。；企業が生産活動を行う場合に発生する公害が外国に被害を与えるということ。；このため神岡鉱山側の対策が遅れ、公害を拡大させることとなった。；しかし正介にとって海の公害で貝の生産が減っているのが悩みの種だった。；普段運行している4台は低公害性、静粛性に優れたCNGを使用している。；またHIMRエンジン搭載の低公害バスを配属させていたが後に廃車された。；ゾシアはわざと哀れな公害病患者を演出する必要があったのでしょう。；むろん水冷を採用したからといって、すぐ無公害エンジンができるわけではない。；住宅地と工業地の混合地域であったことが、公害を悪化させた原因である。；公害追放を期待して投票したりしては、自分の意識が低いような気がして恥ずかしい。；あの公害の大部分は話し合いの場がもたれれば解決される性質のものであろう。；また英国でも渋滞や公害の問題などを背景にSUVへの反対の声が政治家から起きた。；毎日の新聞を見ましても、公害の話の出ていない日はない。；昭和四十四年は交通事故が、初めて社会公害と言われ出した年である。；高度経済成長を象徴するものの一つであり、中には公害の問題を生じたものもある。；公害は生産と非常に関連しているので、公害はおそらく増加する。</t>
        </is>
      </c>
      <c r="J2750">
        <f>HYPERLINK("https://www.weblio.jp/content/公害", "词义详情")</f>
        <v/>
      </c>
      <c r="K2750">
        <f>HYPERLINK("https://yourei.jp/公害", "查看例句")</f>
        <v/>
      </c>
    </row>
    <row r="2751">
      <c r="A2751" t="inlineStr">
        <is>
          <t>郊外</t>
        </is>
      </c>
      <c r="B2751" t="inlineStr">
        <is>
          <t>成功</t>
        </is>
      </c>
      <c r="C2751" t="inlineStr">
        <is>
          <t>読み方：こうがい
都市に隣接した地域。市街地周辺の田園地帯。</t>
        </is>
      </c>
      <c r="D2751" t="inlineStr">
        <is>
          <t>郊外型(4%)；郊外部；郊外地域；郊外路線；郊外地区</t>
        </is>
      </c>
      <c r="E2751" t="inlineStr">
        <is>
          <t>近郊；市外；周辺部；町はずれ；町外れ</t>
        </is>
      </c>
      <c r="F2751" t="inlineStr">
        <is>
          <t>ニューヨーク郊外；モスクワ郊外；ベルリン郊外；北部郊外；京都郊外</t>
        </is>
      </c>
      <c r="G2751" t="inlineStr">
        <is>
          <t>郊外電車；郊外住宅地；郊外化；郊外型店舗；郊外線</t>
        </is>
      </c>
      <c r="H2751" t="n">
        <v>29</v>
      </c>
      <c r="I2751" t="inlineStr">
        <is>
          <t>それは郊外のロベルティの農家に両親や弟が住んでいたからでもあった。；州内の他の地域、特に田園部や郊外部では共和党が支配的なままである。；地方からの人々の流入で中心部の再開発や郊外の都市化も進行している。；この過程はアッティカの多くの以前からの郊外や村も覆い、続いている。；第二次世界大戦後、市の中核部より外側の郊外地域に住宅が開発された。；これを聞いて周王も道を掃き清めて出迎え、郊外まで人を出して迎えた。；CNGバスも導入されており、近年では一部の郊外路線にも投入されている。；また郊外の大型SCに出店したりして売上を伸ばしている百貨店もある。；紀元前606年には兵を周の都・洛邑の郊外にまで進めそこに駐屯した。；大和文華館の展示館は、奈良市の西の郊外の静かな住宅地のなかにある。；現在では珍しくなっているが、郊外で新築物件の供給が行われている。；郊外に人流をつくろうとしたことから矛盾が起きたためである。；その他にも複数の小さな川が町やその郊外を流れている。；市内バスはスコピエ市内全域をカバーし、郊外の町へも同様に伸びている。；新しい博物館街は郊外文化博物館に建てられることが多い。；もっとも、パリとその郊外の県との間では、下水道組合の再編を行った。；さらに資料を置くための別邸、および郊外のクラパムの別荘を所有した。；なお郊外路線では西・南・北・Mの文字が数字の前に付加される。；郊外への移転が著しい時期もあったが、最近では都心回帰も見られる。；これによって郊外に多くの新しい町が生まれ、交通ネットワークが拡大した。；遺体はウィーン郊外のサンクト・マルクス墓地の共同墓穴に埋葬された。；工業が盛んであり、市の郊外には多くの重化学工場が立ち並んでいる。；郊外では公社の運営ではない小型乗合自動車が数多く運行している。；郊外でもパリから離れた地区のバスはOptileの運行である。；郊外コムーネ全てと空港とつながるその他の路線はすぐに着手された。；撤収発表と前後して、サマーワ市内や郊外で爆発や市幹部の暗殺が発生した。；リスボンからは郊外部やポルトガル各地に向けて高速道路網が伸びている。；メリーランド交通管理部はまた市および郊外部と地方バスとを繋いでいる。；都市は、郊外に比べて高温・乾燥で独特の風系を有する傾向にある。</t>
        </is>
      </c>
      <c r="J2751">
        <f>HYPERLINK("https://www.weblio.jp/content/郊外", "词义详情")</f>
        <v/>
      </c>
      <c r="K2751">
        <f>HYPERLINK("https://yourei.jp/郊外", "查看例句")</f>
        <v/>
      </c>
    </row>
    <row r="2752">
      <c r="A2752" t="inlineStr">
        <is>
          <t>口外</t>
        </is>
      </c>
      <c r="B2752" t="inlineStr">
        <is>
          <t>成功</t>
        </is>
      </c>
      <c r="C2752" t="inlineStr">
        <is>
          <t>読み方：こうがい
［名］(スル)口に出して言うこと。秘密などを第三者に話すこと。「むやみに人の秘密を—してはならない」「—無用」</t>
        </is>
      </c>
      <c r="D2752" t="inlineStr">
        <is>
          <t>口外すること(4%)；口外でき(2%)；口外側；口外すれ；口外唇</t>
        </is>
      </c>
      <c r="E2752" t="inlineStr">
        <is>
          <t>公開；話す；語る；暴露；物語る</t>
        </is>
      </c>
      <c r="F2752" t="inlineStr">
        <is>
          <t>一切口外；殻口外；改札口外；いっさい口外；絶対口外</t>
        </is>
      </c>
      <c r="G2752" t="inlineStr">
        <is>
          <t>口外禁止</t>
        </is>
      </c>
      <c r="H2752" t="n">
        <v>29</v>
      </c>
      <c r="I2752" t="inlineStr">
        <is>
          <t>もっとも、松雲は今までだれにもこんなことを口外する人ではなかった。；しかしいつかはそれを口外してしまいそうな自分を深芳野は感じていた。；口外しない約束だといっていましたが、何かやるところだったようでした。；わかっているだろうが今わたしが話したことは、誰にも口外はならぬ。；本人が家族に言っていないことを、他人の俺が口外するのはおかしい。；たとえこのまま死ぬことになっても、口外は許されない理由があるの。；そこには口外するのが良策ではないかも知れない種々の利点があるのだ。；これは件のハヌマンの屍を見ても口外せぬインドの風が移ったのだろうと。；両親にはもちろん内緒にしていて、業者にも口外しないように頼んでいた。；ここでも、事件のことを絶対に口外するな、人に話したら殺すと言われた。；僕たちは自分たちの変化を他人には口外しないように高木から言われている。；わたしの胸にしまっておいて、口外するようなことは誓っていたしません。；ブラウンはそのことを部隊の他の隊員に口外しないよう命じられた。；頭にある事を何でも口外して憚らない健三の無作法も気に入らなかった。；おまえが話してくれたこと、おれが見たこと知ったことは、一切口外しない。；そのうえ、担当の者は職業上知りえた秘密を口外しないよう禁止されている。；フランチェス子ちゃんならよけいな口外もしないだろうから信頼できる。；組織としても、おまえが内部の秘密を口外する点を心配しなくてもよくなる。；いわれずともあんなことを口外する馬鹿がどこにいるだろう。；口外したら大変なことにな りますから黙っててくださいね。；そして今夜千坂が奥山の官舎へ来たことは絶対に口外してはいけないと命じた。；特に気をつけて、誰にであろうとも、このことは口外しないようになさいませ。；ただし、事件は口外しないという条件で、今回も解放されることになった。；口止めしなくても、弓雄は口外しないと自信を持っているようだった。；しかしかりにも口外すべきでない事なので、胸におさめて黙っていた。；洋子の秘密を口外することは、自らの卑怯を公開するのと同じである。；二番目のおねがいは、この手紙を受け取ったことは誰にも口外しないこと。；先生はピヤノに手を触れる事すら日本に来ては口外せぬつもりであったと云う。；決して口外はしない、これでお互い五分の立場だと言っているのだ。</t>
        </is>
      </c>
      <c r="J2752">
        <f>HYPERLINK("https://www.weblio.jp/content/口外", "词义详情")</f>
        <v/>
      </c>
      <c r="K2752">
        <f>HYPERLINK("https://yourei.jp/口外", "查看例句")</f>
        <v/>
      </c>
    </row>
    <row r="2753">
      <c r="A2753" t="inlineStr">
        <is>
          <t>高額</t>
        </is>
      </c>
      <c r="B2753" t="inlineStr">
        <is>
          <t>成功</t>
        </is>
      </c>
      <c r="C2753" t="inlineStr">
        <is>
          <t>読み方：こうがく
［名・形動］金額が大きいこと。また、そのさま。「—な買い物」⇔低額／小額。</t>
        </is>
      </c>
      <c r="D2753" t="inlineStr">
        <is>
          <t>高額商品(2%)；高額賞金；高額紙幣；高額な報酬；高額な費用</t>
        </is>
      </c>
      <c r="E2753" t="inlineStr">
        <is>
          <t>高い；高価；割高</t>
        </is>
      </c>
      <c r="F2753" t="inlineStr">
        <is>
          <t>超高額；比べて高額；高額面；高額当せん；高額な授業料</t>
        </is>
      </c>
      <c r="G2753" t="inlineStr">
        <is>
          <t>高額納税者；高額取引；高額療養費；高額療養費制度；高額納税者番付</t>
        </is>
      </c>
      <c r="H2753" t="n">
        <v>29</v>
      </c>
      <c r="I2753" t="inlineStr">
        <is>
          <t>実際に工事すると、工事が粗悪であったり費用が高額であることが多い。；しかし年俸が非常に高額であったためマジックはすぐに契約を放棄した。；有料道路であったこともあり距離に比して高額な運賃設定がされてきた。；しかし、高額な消費財を国民に提供することは、満足にはできなかった。；これらの列車には他の列車より高額であり、特別急行券を必要としていた。；そして、これらの商品もしばしば高額なことがあって問題となることがある。；賃料は高額であるものの、現在でもメイフェアに居住している者も多い。；イギリス版のモノポリーでは最も高額の土地がある街とされている。；最も高額で取引された野球のサインとしてギネス世界記録に認定された。；また一般発売されなかった商品のシールも非常に高額で取引されることもある。；また一レース毎の賞金もこの種のカテゴリーでは他に例のない高額であった。；発酵バターは手間がかかり高額製品が多いこともあり、流通量は少ない。；制作費は500万ドルで当時の子供向け番組としては高額となっている。；改造が盛んに行われた背景にはルッカースの楽器が高額で取引されたことがある。；目を見張るような高額賞金のレースは全国のホースマンに衝撃を与えた。；阪和電鉄線は高規格であるため、買収費用が高額となることが予想された。；逆に真珠のように日本国内よりも海外の方が高額で取引される宝石も存在する。；こうした高額貨幣は官銭の信用を落とし、インフレーションが発生した。；運賃は対象の2駅のうち高額となる駅の定期券を購入した場合に適用される。；この時代から金貨や銀貨を高額の支払いに使う例が増えたとみられる。；この契約はタイガースが一人の選手と結んだものとしては当時の最高額である。；特に製造数が少ない小型は米国拳銃市場でも稀少品とされ極めて高額で取引されている。；福岡空港の土地建物借料は日本全国の空港の中でも突出して高額である。；そのため、その負担が長期利用者や利用料金が高額な利用者に掛かっていた。；比較的高額な耐久消費財や各種サービスを対象に、一般に広く行われている。；ふな市ではヘラブナよりマブナが美味とされ、より高額で売られている。；この時期には一部のチケットはプレミアにより高額で取引されていた。；自家用乗用車は、他国と比較しても極めて高額な税額が設定されている。；ただし、オークションで最高入札額をつけた楽器が最も高額とは限らない。</t>
        </is>
      </c>
      <c r="J2753">
        <f>HYPERLINK("https://www.weblio.jp/content/高額", "词义详情")</f>
        <v/>
      </c>
      <c r="K2753">
        <f>HYPERLINK("https://yourei.jp/高額", "查看例句")</f>
        <v/>
      </c>
    </row>
    <row r="2754">
      <c r="A2754" t="inlineStr">
        <is>
          <t>工学</t>
        </is>
      </c>
      <c r="B2754" t="inlineStr">
        <is>
          <t>成功</t>
        </is>
      </c>
      <c r="C2754" t="inlineStr">
        <is>
          <t>読み方：こうがく
基礎科学を工業生産に応用するための学問。機械工学・土木工学・電子工学などのほか、人間工学などその研究方法を援用した自然科学以外の分野のものにもいう。</t>
        </is>
      </c>
      <c r="D2754" t="inlineStr">
        <is>
          <t>工学的(11%)；工学分野(4%)；工学研究所(3%)；工学技術(3%)；工学専攻</t>
        </is>
      </c>
      <c r="E2754" t="inlineStr">
        <is>
          <t>技術；技法；科学技術；テクノロジー；エンジニアリング</t>
        </is>
      </c>
      <c r="F2754" t="inlineStr">
        <is>
          <t>技術工学；工学実験；編集工学；医工学；工学関係</t>
        </is>
      </c>
      <c r="G2754" t="inlineStr">
        <is>
          <t>工学者；工学博士；工学科；工学研究科；工学士</t>
        </is>
      </c>
      <c r="H2754" t="n">
        <v>29</v>
      </c>
      <c r="I2754" t="inlineStr">
        <is>
          <t>これ以外に世界的な名声を得た工学・精密機械分野の企業も設立された。；他の人々はソフトウェアは全く工学的に扱うことはできていないと考えている。；これを工学的に応用するためには、これからも技術開発が重要である。；日常的な問題や工学的問題の多くをグラフとして考えることができる。；編集工学の扱う領域、すなわち『編集素材』は非常に広範なものである。；動力を有する航空機であり工学的には飛行機の一形態と見なすことも出来る。；工学分野だけではなく、経済分野などにも広く活用されている。；気象工学や建築学などの分野では、その他の日射量を用いることもある。；対象が同一で異なる手法が共存する学問は、工学分野では極めて一般的である。；工学の分野などでは因果律を想定するので、こちらの式で定義することがある。；しかし、この計画は工学実験的な趣が強く、月の観測は主目的ではなかった。；大規模な計画を効率的に運営するために管理工学が使用された。；君の工学は君自身を益せずして国家と社会と民衆とを永久に益したのであります。；主に土木・工学やモータースポーツ関連の雑誌や書籍を得意とした。；現代の製品や建設は必ず工学設計の影響を受けている。；そうして工学における必要性から関連する科学に知識を追加することも多い。；放送・芸術・芸能・工学・医療・スポーツの学科を設置している。；その後、彼はサウスカロライナ大学を卒業し、工学の学士号を取得した。；また、テストに合格した女性たちは、いずれも工学の学位を持っていなかった。；応用物理学は、より工学に近い研究対象を扱う物理学分野のことを指す。；工学が対象とする領域は広く、様々な工学分野に専門分化している。；会員は、既存会員の推薦と当人の技術・工学分野での業績を評価して選出される。；次のようないくつかの慈善団体が人類のために工学を役立てることを目指している。；このようなリミットサイクルの安定性は、工学的にも生物的にも重要である。；もっとも研究活動が盛んな分野は数学やコンピュータ科学、工学の分野である。；工学的には、研究者の道具となり得る有用な人工衛星を作ることが目標となった。；この仕事が発展し、1987年に株式会社編集工学研究所を設立することになる。；この発生器はロー自身の設計だったが工学の驚異と考えられた。；同大学には工学、科学学部、社会科学、軍事科学の学部が置かれている。</t>
        </is>
      </c>
      <c r="J2754">
        <f>HYPERLINK("https://www.weblio.jp/content/工学", "词义详情")</f>
        <v/>
      </c>
      <c r="K2754">
        <f>HYPERLINK("https://yourei.jp/工学", "查看例句")</f>
        <v/>
      </c>
    </row>
    <row r="2755">
      <c r="A2755" t="inlineStr">
        <is>
          <t>合格</t>
        </is>
      </c>
      <c r="B2755" t="inlineStr">
        <is>
          <t>成功</t>
        </is>
      </c>
      <c r="C2755" t="inlineStr">
        <is>
          <t>読み方：ごうかく
［名］(スル)
１特定の資格や条件に適合すること。「規格に—した製品」
２試験や検査などに及第すること。「入学試験に—する」</t>
        </is>
      </c>
      <c r="D2755" t="inlineStr">
        <is>
          <t>合格する(9%)；合格後(2%)；合格者(2%)；合格率；合格すれ</t>
        </is>
      </c>
      <c r="E2755" t="inlineStr">
        <is>
          <t>通過；通る；パス；及第；受かる</t>
        </is>
      </c>
      <c r="F2755" t="inlineStr">
        <is>
          <t>試験合格；受けて合格；受験し合格；オーディション合格；見事合格</t>
        </is>
      </c>
      <c r="G2755" t="inlineStr">
        <is>
          <t>合格発表；合格者数；合格点；合格基準；合格証書</t>
        </is>
      </c>
      <c r="H2755" t="n">
        <v>29</v>
      </c>
      <c r="I2755" t="inlineStr">
        <is>
          <t>また不合格になった者は翌年の同じ回より前の試験は受験できない。；体験を主に、子供の学びを育成する独自のメソッドで合格者を出している。；適性試験に合格すれば学位取得のための研究を開始することを認められる。；試験には合格したが、失敗したら南米へ行こうと思っていたという。；その中には『メンズノンノ』のモデルもあったが、不合格だったという。；実際に合格した生徒は開成とは別の高校に進学していたという。；誘導員となるには、誘導員試験に合格し、誘導員資格を得る必要がある。；合格した者だけが、博士号候補生として博士課程に残ることを許される。；また選考合格後も、事例などを扱いながら具体的に学ぶ研修が課される。；陸大に合格するには3年程度をかけての受験勉強が必要とされていた。；高校卒業後、大学入試には合格したが家庭の事情で進学しなかった。；このため電波監理局の検査合格と同時に開局しなければならなかった。；これらの最終成果は、査読にかけられ、これに合格すれば出版される。；高校では難関進学コースと進学コースに分割し、合格実績の向上をめざす。；一部の自治体では、社会福祉事業従事者試験に合格のみで任用されている。；ドイツで狩猟を行うには試験に合格して狩猟免許を得る必要がある。；合格ラインに達するとグランドチャンピオン大会への出場権が与えられた。；学部を卒業した者などが入学者選考試験を経て、合格したものが入学できる。；高年次の試験も基礎試験と同様のシステムで行われるが、合格率は比較的高い。；幹部候補生の試験のうち、将校になれる甲種試験には合格できなかった。；面接では高校時代まで大学ノートに描いていた漫画を見せて合格した。；舞の海が受けた1度目の新弟子検査で不合格を言い渡した人物でもある。；翌年テスト入団で横浜のテストに落ちるも近鉄のテストに合格。；全ての試験を合格して初めて客が遊技することが可能となる。；大学卒業後は大学院に進学せずソニーの入社試験を受けるも不合格。；他のメーカーのエンジンも同様のテストにかけたが合格したものは1台もなかったという。；一度は夜天に非難されたが夜天が審査に参加した最終審査に合格する。；科挙に合格することは非常に困難であり、毎年数百人の落第者が生まれていた。；ここからさらにより高度な専門試験へは、専門試験に1つ以上合格する必要がある。</t>
        </is>
      </c>
      <c r="J2755">
        <f>HYPERLINK("https://www.weblio.jp/content/合格", "词义详情")</f>
        <v/>
      </c>
      <c r="K2755">
        <f>HYPERLINK("https://yourei.jp/合格", "查看例句")</f>
        <v/>
      </c>
    </row>
    <row r="2756">
      <c r="A2756" t="inlineStr">
        <is>
          <t>好感</t>
        </is>
      </c>
      <c r="B2756" t="inlineStr">
        <is>
          <t>成功</t>
        </is>
      </c>
      <c r="C2756" t="inlineStr">
        <is>
          <t>読み方：こうかん
よい感じ。好ましい印象。「—がもてる青年」「人に—を与える」
[補説] 「長期金利低下が好感されて株価が上がる」のように株式市場では以前からサ変動詞としての使い方があった。近ごろでは「もっとも好感される女優」のように、株式用語以外の場面でも使われ始めている。</t>
        </is>
      </c>
      <c r="D2756" t="inlineStr">
        <is>
          <t>好感をもたれ；好感を持たせる；好感を抱かせる；好感をいだか；好感をもちまし</t>
        </is>
      </c>
      <c r="E2756" t="inlineStr">
        <is>
          <t>好意；愛想；恩；恩恵；慈悲</t>
        </is>
      </c>
      <c r="G2756" t="inlineStr">
        <is>
          <t>好感触；好感情；好感度調査；好感情の時代</t>
        </is>
      </c>
      <c r="H2756" t="n">
        <v>29</v>
      </c>
      <c r="I2756" t="inlineStr">
        <is>
          <t>人間の精神はこのような姿の生物に好感をもつようにできていないのだ。；メルカッツの腰の低い態度は、彼らに好感を持って迎えられたのである。；というより、会う以前から好感をいだくよう決めていたようでもあった。；それよりも、私はこの子の兄、箕輪さんの息子の方に好感を持っている。；それでも、生徒達から好感を得ていることだけを心の支えにしてきた。；皇帝にまだ好感を持っているだけに、いつもの文句もつけにくいのである。；僕はこの時初めて人の顔に、自分に対する偽りのない好感を見たのです。；八方美人は、人に好感を持たれるにしても、それは極めて表面的である。；ただしアヴェドンとシャネルはお互いに非常に好感を持っていたという。；それからは、先方も大変、好感を有つて見せてくれるやうになりました。；そういう人の見せる小さな隙は微笑ましく、どこか好感を抱いてしまう。；でもその親切が私に好感をもっているためなのかどうかはわからないと思う。；ただしいつも何かあるとギロロが助けてくれるため好感を抱いている。；高い酒を注文しても気障な感じはなく、私はその先生に好感を持った。；日本人の気持としては、むしろ史魚に好感を覚えるものも多いであろう。；事実、八重にも紹介され、美樹は好感を持たれていることを知っていた。；いかにも人の良さそうなお爺さんで、私はひと目見るなり好感を持った。；最初は、この人物になぜ好感を持ったのか、自分でもよくわからなかった。；近衛登場は世間にも好感をもたれたし、それは陸軍の将校をも喜ばせた。；もし仮に誰かに好感を持たれたら、それはいささか気になるかもしれない。；しかし、気立てのよさそうなようすには相当好感をもつことができた。；オフィスで何度か見かけた彼に好感を抱いていたせいかもしれない。；それにわては指の形に合わせた西洋型の握りいうもんは好かんのだす。；そうすれば、相手の男性に好感をもたれるようになると言われている。；そして、このことをわざわざ耳に入れてくれた三澤はるかに好感を抱いた。；その名文ぶりに欧州各国から日本への好感を集めるきっかけともなった。；したがって彼に対して好感を抱いていない人間がたくさんあったでしょうな。；他にブレッドのバラードタイプのナンバーにも非常に好感を寄せている。；博士は、たちまち、このてきぱきとした、魅力のある娘に好感を持った。</t>
        </is>
      </c>
      <c r="J2756">
        <f>HYPERLINK("https://www.weblio.jp/content/好感", "词义详情")</f>
        <v/>
      </c>
      <c r="K2756">
        <f>HYPERLINK("https://yourei.jp/好感", "查看例句")</f>
        <v/>
      </c>
    </row>
    <row r="2757">
      <c r="A2757" t="inlineStr">
        <is>
          <t>交換</t>
        </is>
      </c>
      <c r="B2757" t="inlineStr">
        <is>
          <t>成功</t>
        </is>
      </c>
      <c r="C2757" t="inlineStr">
        <is>
          <t>読み方：こうかん
［名］(スル)
１取りかえること。また、互いにやり取りすること。「現金と—に品物を渡す」「意見を—する」
２電話の交換手、または交換台のこと。「—を通して電話をかける」
３民法上、当事者が互いに金銭以外の財産権を移転することを約する契約。</t>
        </is>
      </c>
      <c r="D2757" t="inlineStr">
        <is>
          <t>交換すること(4%)；交換できる(2%)；交換条件；交換される；交換可能</t>
        </is>
      </c>
      <c r="E2757" t="inlineStr">
        <is>
          <t>代わり；交流；転換；交代；変換</t>
        </is>
      </c>
      <c r="F2757" t="inlineStr">
        <is>
          <t>レンズ交換；データ交換；交換作業；意見交換；部品交換</t>
        </is>
      </c>
      <c r="G2757" t="inlineStr">
        <is>
          <t>交換手；交換設備；交換留学；交換機；交換留学生</t>
        </is>
      </c>
      <c r="H2757" t="n">
        <v>29</v>
      </c>
      <c r="I2757" t="inlineStr">
        <is>
          <t>アフターマーケットでは様々な物が手に入るので好みの物に交換できる。；ホームは4両対応となっており、上下列車の交換が当駅で行われている。；ある場所で生産された物が別の場所で生産された物と交換される。；のちにワンマン運転への対応のため、全車両が対話式へ交換されている。；日中は30分毎の定時運行を行っており、一部の列車を除き交換を行う。；カード交換が終わったら実際にカードをプレイし、絵札の争奪戦を行う。；車掌スイッチについては電気的に保持する間接制御式に交換されている。；上下列車が交換可能な駅はなく、同時に1列車しか運転できなかった。；手札を正しく交換し、高い役を作り多くの配当を得ることを目的とする。；インターネットはコンピュータ間のメッセージ交換で成り立っている。；このときの交換比率は欧州通貨単位に基づいて設定されたものである。；商品とは、経済活動において生産・流通・交換される物財のことである。；食事以外にも、レースでは機材故障に伴う部品や自転車の交換が必要になる。；一人が複数枚のチケットを持っていてもフィルム付きっぷと交換はしない。；当たったあとに商品券等が出て換金や商品と交換するシステムとなっている。；日中は当駅で上りと下りの電車が交換するダイヤになっている。；また、この列車は上り・下りとも高槻市にてスタフの交換が行われていた。；但し単線区間のため、一部列車は交換待ちのため運転停車することもある。；主幹制御器を抑速制動に対応したものに交換するなどの改造が行われている。；また友人の画家の作品を交換や購入によって相当数持っていた。；後にデフロスタは熱線入りガラスに交換された際に撤去されている。；その後、優先席部は2005年末にオレンジ色のものに交換されている。；ちなみに、ペグをシャーラー社のものに交換するのも当時の流行であった。；なぜなら使用価値が異なるからこそ交換の意味があるからである。；DT32形では車体重量の増加に伴って軸バネを新設計のものに交換した。；批准書交換が行われて条約が発効した6月23日、岸は退陣を表明した。；ROMは交換が可能だったが、ユーザーによる書き換えは出来なかった。；PDFでは、コンピュータ上でのデータ交換のために次の機能が追加されている。；一般の群 の中心 は の任意の元と交換する の元全体の成す部分群であった。</t>
        </is>
      </c>
      <c r="J2757">
        <f>HYPERLINK("https://www.weblio.jp/content/交換", "词义详情")</f>
        <v/>
      </c>
      <c r="K2757">
        <f>HYPERLINK("https://yourei.jp/交換", "查看例句")</f>
        <v/>
      </c>
    </row>
    <row r="2758">
      <c r="A2758" t="inlineStr">
        <is>
          <t>後期</t>
        </is>
      </c>
      <c r="B2758" t="inlineStr">
        <is>
          <t>成功</t>
        </is>
      </c>
      <c r="C2758" t="inlineStr">
        <is>
          <t>読み方：こうき
一定の期間を二つまたは三つに分けたうちの、あとのほうの期間。「江戸—の文学」⇔前期。</t>
        </is>
      </c>
      <c r="D2758" t="inlineStr">
        <is>
          <t>後期型(4%)；後期以降；後期作品；後期優勝；後期頃</t>
        </is>
      </c>
      <c r="F2758" t="inlineStr">
        <is>
          <t>平安時代後期；鎌倉時代後期；室町時代後期；江戸後期；明治後期</t>
        </is>
      </c>
      <c r="G2758" t="inlineStr">
        <is>
          <t>後期旧石器時代；後期ゴシック；後期課程；後期ロマン派；後期中等教育</t>
        </is>
      </c>
      <c r="H2758" t="n">
        <v>29</v>
      </c>
      <c r="I2758" t="inlineStr">
        <is>
          <t>このような形で江戸で刊行された作品群が主に後期読本と称されている。；古代王国の後期には、魔法に力により幾多の特殊な都市が作られている。；そして彼の後期の営みこそ、後者の問いに答える哲学であるとしている。；上記のように後期の一部の主題歌を除いて、音楽は平尾昌晃が担当した。；ウィトゲンシュタインの哲学は極めて単純には前期と後期に分けられる。；また後期に放映された大半がアニメオリジナルエピソードとなっている。；初期のアーキテクチャと後期のアーキテクチャではかなり構造が異なる。；もっとも江戸時代後期以降は、この見解が意識された可能性がある。；後期幕領期には箱館通宝の発行が行われ、前期同様道路開削も行われた。；下記のような先古典期中期から古典期後期までの時期区分名が用いられる。；映画という名称が広く使われるようになるのは大正後期になってからである。；後期に入るとハイドンとヨハン・ゼバスティアン・バッハの影響が強い。；パイプとタバコを喫うことは、前史時代後期に通常のことになってきた。；後期の作品を中心に、複数の作品に登場するカードを解説する。；明治後期には日本製の洋傘は重要な輸出産品のひとつにまで成長した。；イタリアではルネサンス後期に至ってようやくパレストリーナが登場した。；高知衆は後期には細分化したほか、藩主一族のための身分も設けられている。；天守は江戸時代後期に再建されたもので、現存十二天守の中で最も新しい。；しかし江戸時代後期以降、これらにも独自の文字を割当てる動きが見られた。；備中では綿作が広まり、江戸時代後期になるとその加工も盛んになった。；スキー板は開発当初は2枚であったが、後期には1枚のものに変更された。；後期には洋鉄精錬技術も取り入れられ、さらに無地風の地鉄が作られた。；この建物は19世紀後期に建設されたもので、保護文化財に指定されている。；また江戸時代後期には、北海道のアイヌもジャガイモを栽培していた。；漸新世後期には出現していたことが化石記録から確認されている。；後期はシンセサイザーのリース元がMACから別の会社に変更された。；前期の文芸は京都大阪といった上方が中心で、後期は江戸が中心となる。；昭和後期以降は、自ら積極的に大衆小説作家を名乗る作家は多くない。；こうして佐竹氏は平安時代後期以来の先祖伝来の地である常陸を去った。</t>
        </is>
      </c>
      <c r="J2758">
        <f>HYPERLINK("https://www.weblio.jp/content/後期", "词义详情")</f>
        <v/>
      </c>
      <c r="K2758">
        <f>HYPERLINK("https://yourei.jp/後期", "查看例句")</f>
        <v/>
      </c>
    </row>
    <row r="2759">
      <c r="A2759" t="inlineStr">
        <is>
          <t>講義</t>
        </is>
      </c>
      <c r="B2759" t="inlineStr">
        <is>
          <t>成功</t>
        </is>
      </c>
      <c r="C2759" t="inlineStr">
        <is>
          <t>読み方：こうぎ
［名］(スル)
１学問の方法や成果、また、研究対象などについて、その内容・性質などを説き聞かせること。また、その説明。「学生に国文学を—する」
２大学の授業。「—に出席する」「集中—」</t>
        </is>
      </c>
      <c r="D2759" t="inlineStr">
        <is>
          <t>講義録(2%)；講義所；講義内容；講義棟；講義形式</t>
        </is>
      </c>
      <c r="E2759" t="inlineStr">
        <is>
          <t>説明；議論；解釈；解説；授業</t>
        </is>
      </c>
      <c r="F2759" t="inlineStr">
        <is>
          <t>臨床講義；聖書講義；出張講義；公開講義；最終講義</t>
        </is>
      </c>
      <c r="G2759" t="inlineStr">
        <is>
          <t>講義ノート</t>
        </is>
      </c>
      <c r="H2759" t="n">
        <v>29</v>
      </c>
      <c r="I2759" t="inlineStr">
        <is>
          <t>多くの実戦経験を持つロンメルの講義は生徒たちに人気があったという。；講義は週2日でよかったため自分の仕事に多くの時間を使うことができた。；分野によって多少の差はあるが、基本的に講義の出欠を取ることはない。；この話は試験期間が近づくと毎年のように栗本が講義で話していた。；董仲舒がある日帳を下ろして弟子に講義をしていると一人の客が訪ねてきた。；参加者が順に発表者となり、自ら選んだ論文の内容を発表し、講義する。；基本的な分野であるため、講義科目や教科書名で多用される用語である。；同年7月に明治大学文芸科講師となり、詩の講義を担当するようになる。；彼は作曲の他に指揮や講義を持つなどの活動も行っていた。；加えて学校では夜間社会人のための講義をするために設置されることが多い。；数学教授たちの前で四次元体に関する講義をおこない、高く評価された。；教授職は1964年に辞したものの、その後も無給で講義は行っていた。；教え子の間では、声が小さく講義はかなり難解であったと伝えられている。；これらの建物は現在でも講義・事務所・礼拝等に使用されている。；第一回は、講義の目的や実証主義の精神を紹介するイントロダクション。；研究・講義などを行い、常勤でないため、大学運営業務には携わらない。；これらの講義はしばしばこれらの分野の主要な出版物に先行した。；在校生はその情報をもとにどの講義を受けるのか各自で選択して受講する。；彼が出席する講義では、講師は特に正確さに注意が必要だった。；翻訳されたハバードの講義を刊行したものが次々に生産された。；学生の目指す資格や進路に対応した特別講義が展開されている。；大学の講堂で講義が終了するところや、人ごみの中から始まることもある。；日本各地から集まってきた多くの医者や学者に講義した。；この頃、三島大社境内に設けられた庶民大学など全国を巡り講義を行う。；ところが、9月になると天皇は青綺門院に神書講義の再開の許可を求めた。；大学の講義をうけて、単位を修得できる高大連携教育も実施している。；この講義にて聴講者らは、彼は何かがおかしいとすぐに理解した。；学生からの人気により、彼の地理学の講義の聴講者の数は急速に増加した。；授業は机上の一斉講義ではなく、生徒が自ら行う実験実習が主体とされた。</t>
        </is>
      </c>
      <c r="J2759">
        <f>HYPERLINK("https://www.weblio.jp/content/講義", "词义详情")</f>
        <v/>
      </c>
      <c r="K2759">
        <f>HYPERLINK("https://yourei.jp/講義", "查看例句")</f>
        <v/>
      </c>
    </row>
    <row r="2760">
      <c r="A2760" t="inlineStr">
        <is>
          <t>抗議</t>
        </is>
      </c>
      <c r="B2760" t="inlineStr">
        <is>
          <t>成功</t>
        </is>
      </c>
      <c r="C2760" t="inlineStr">
        <is>
          <t>読み方：こうぎ
［名］(スル)相手の発言・決定・行為などを不当として、反対の意見・要求を主張すること。「公共料金の値上げに—する」「—集会」</t>
        </is>
      </c>
      <c r="D2760" t="inlineStr">
        <is>
          <t>抗議する(11%)；抗議者(4%)；抗議運動(3%)；抗議しよ；抗議声明</t>
        </is>
      </c>
      <c r="E2760" t="inlineStr">
        <is>
          <t>反対；意見；抵抗；反論；反抗</t>
        </is>
      </c>
      <c r="F2760" t="inlineStr">
        <is>
          <t>激しく抗議；強く抗議；激しい抗議；大規模な抗議；強い抗議</t>
        </is>
      </c>
      <c r="G2760" t="inlineStr">
        <is>
          <t>抗議行動；抗議デモ；抗議文；抗議集会；抗議書</t>
        </is>
      </c>
      <c r="H2760" t="n">
        <v>29</v>
      </c>
      <c r="I2760" t="inlineStr">
        <is>
          <t>この抗議は教師がもう一度絵を描くようにと励ますまで二日半続いた。；彼の作品の登場人物はしばしば家族に対する直接の抗議であると見られる。；レーガン政権内部では中国の激しい抗議に対する対応で意見が分かれた。；訃報を伝えるような速度でニュース原稿を読み、抗議を表したという。；耳にした批判は、黒人への差別にはたちどころに抗議をすることだった。；この抗議文への姿勢の違いから議会は国王派と議会派に分裂した。；その都度、国内からこれらの評価が不適切であるとの抗議の声が出された。；多くの聖職者たちは最後の決定、つまり政党への所属禁止に抗議した。；マズダクの教えは、一切の平等を説く社会的抗議運動だったと思われる。；パリの夜間の抗議運動に匹敵せずとも、アミアンの街は急速に麻痺した。；その知らせは元顧客たちから源氏の元へ悲鳴や涙の抗議と共に届く事になる。；渡辺宙明は抗議したが結局受け入れられず、関係が大きくこじれたという。；抗議者たちは他の様々な問題に関心を持っていた。；しかし、世界中のイスラム教徒から抗議が殺到して中止に追い込まれた。；フランスのパリでは抗議者がマクドナルド店舗の窓を破壊した。；その抗議の声を上げた女性スタッフをとんねるずが女猿と命名した。；大学時代、学校の黒人差別に対抗し、人質をとって抗議したことがある。；陸軍増強のための予算が海軍の建艦費に流用されても抗議することは無かった。；ウェンディーズの前で抗議運動をして逮捕されたこともある。；これは共産政府に対する抗議の自殺であったことが判明している。；南北ダコタ州のスー族は、これらの使用廃止を求めて激しい抗議を続けた。；市民からの一件の抗議を受けての都、美術館側の判断であった。；また、見知らぬ人が自身を無断撮影した際にも抗議したことがある。；しかし、対策が施されていない箇所では抗議運動が続いている。；これに反対しようとした動物たちもいたが、抗議は犬や羊たちに妨害されてしまう。；抗議をした軍人は蔣経国系の人物で、蔣経国が裏で糸を引いていたと見られている。；自宅等にはこの試合後に抗議の電話が殺到したという。；店の前で抗議し、大型トラックが置かれ客入りを阻止したりする動きが中国各地で起きた。；日本政府は中国の申請はユネスコ記憶遺産の政治利用であると抗議した。</t>
        </is>
      </c>
      <c r="J2760">
        <f>HYPERLINK("https://www.weblio.jp/content/抗議", "词义详情")</f>
        <v/>
      </c>
      <c r="K2760">
        <f>HYPERLINK("https://yourei.jp/抗議", "查看例句")</f>
        <v/>
      </c>
    </row>
    <row r="2761">
      <c r="A2761" t="inlineStr">
        <is>
          <t>合議</t>
        </is>
      </c>
      <c r="B2761" t="inlineStr">
        <is>
          <t>成功</t>
        </is>
      </c>
      <c r="C2761" t="inlineStr">
        <is>
          <t>読み方：ごうぎ
［名］(スル)二人以上の者が集まって相談すること。「委員が集まって—する」</t>
        </is>
      </c>
      <c r="D2761" t="inlineStr">
        <is>
          <t>合議制(5%)；合議機関(3%)；合議体(2%)；合議メンバー；合議事件</t>
        </is>
      </c>
      <c r="E2761" t="inlineStr">
        <is>
          <t>議論；相談；協議；会談；審議</t>
        </is>
      </c>
      <c r="F2761" t="inlineStr">
        <is>
          <t>合議体制</t>
        </is>
      </c>
      <c r="G2761" t="inlineStr">
        <is>
          <t>合議体；合議審</t>
        </is>
      </c>
      <c r="H2761" t="n">
        <v>29</v>
      </c>
      <c r="I2761" t="inlineStr">
        <is>
          <t>合議の上で彼らは、世間をごまかすに都合のいいような所へ家を移した。；その腹心は鎌足であり、全ては二人の合議の上で行われたものであった。；だが、それを多数の人々の合議によって維持するには適していないのだ。；運営理念およびプログラムは多くの委員会や合議による承認を経ている。；この幹部会議で、おおむね合議に達した結論は、次のようなものである。；その腹心は鎌足であり、全ては二人の合議の上で行はれたものであつた。；その合議のなかの一つの事件として不思議なことが取り行はれたのでした。；清では、後金時代から皇帝の死後に有力者の合議によって決定されていた。；三十六人の長老がいて、その合議で一切町の政治を行う組織になっていた。；大昔から、村の決め事は御三家が合議して決めるんだといわれてます。；ソフト軍、棋士軍ともに合議制によって棋力が上がったかは不明である。；その後も常に最強の戦士三人を首領としその合議により行動してきた。；したがって、社員総会で合議することは現実的でないとされている。；独裁制はくずれて、重役が合議して事を行う形に移って行かざるを得ない。；現場段階の合議制が上部に行ってそこでの合議によって決定される。；一、芸術作品といふものは、断じて人と合議の上で出来るものではない。；そこから出たことばで、つまり合議政治のことをいうのです。；合議に逆らう行いを白人がしたから部族会議は交戦を決めたのである。；バンテンは社会的動物であり、決定は合議によりなされることを象徴する。；境界を明らかにする必要があれば、時間をかけて合議すれば、出来ないことではない。；「六官三公の合議」で六官三公の外から仮王を選んだ形である。；合議はせず、彼自身が立てた作戦を腹心の者に命じて実行させた。；そんな蝦夷にはまだかつての貴族合議政治の残滓がこびりついている。；諸隊幹部は合議を行い、以後、藩政府から距離を置き諸隊全体で同一行動を取ることで一致した。；皇室会議は、日本の皇室に関する重要な事項を合議する国の機関である。；ところで、フォート大巌洞合議ノ間にかかっている絵図をご記憶ですか?；陪審員は市民の中から有識者が選ばれ、合議審理に参加することができる。；以降は、同様にイスラム共同体の合議によって選出され継承を行った。；会員数は80名で、新規入会は既存会員の投票と委員の合議で審査される。</t>
        </is>
      </c>
      <c r="J2761">
        <f>HYPERLINK("https://www.weblio.jp/content/合議", "词义详情")</f>
        <v/>
      </c>
      <c r="K2761">
        <f>HYPERLINK("https://yourei.jp/合議", "查看例句")</f>
        <v/>
      </c>
    </row>
    <row r="2762">
      <c r="A2762" t="inlineStr">
        <is>
          <t>好奇心</t>
        </is>
      </c>
      <c r="B2762" t="inlineStr">
        <is>
          <t>成功</t>
        </is>
      </c>
      <c r="C2762" t="inlineStr">
        <is>
          <t>読み方：こうきしん
珍しいことや未知のことなどに興味をもつ心。「—が強い」</t>
        </is>
      </c>
      <c r="D2762" t="inlineStr">
        <is>
          <t>好奇心旺盛(3%)；好奇心いっぱい；好奇心たっぷり；好奇心半分；好奇心を抑えきれ</t>
        </is>
      </c>
      <c r="E2762" t="inlineStr">
        <is>
          <t>骨董品；珍品；物好き；暁星；特異性</t>
        </is>
      </c>
      <c r="F2762" t="inlineStr">
        <is>
          <t>たいという好奇心；単なる好奇心；ひどく好奇心；激しい好奇心；好奇心まるだし</t>
        </is>
      </c>
      <c r="H2762" t="n">
        <v>29</v>
      </c>
      <c r="I2762" t="inlineStr">
        <is>
          <t>そこで私の好奇心は、一層注意ぶかく家の内部を窓越しに観察し始めた。；この男がどんな本を持つているか、ちよつと好奇心が動いたからである。；親友である二人は好奇心や諸事情から様々な出来事に巻き込まれていく。；わたしは鍵を返した上で、わたしの好奇心は十分に満足したことを話した。；このところ空洞のようになっている私の胸の中に、少し好奇心が湧いた。；それは嫌悪を感じさせると同時に好奇心を感じさせるのも事実だった。；が一度こうした事を覚えるとその好奇心はもう取り去れるものではない。；何かの好奇心か興味が私にこの四つの市の伝説を思ひ出させたのかもしれない。；それより大きな感情上の勇気と好奇心とがそれを圧倒したのである。；広巳は前方が知っていて己の知らないと云う女に好奇心を動かした。；あなたはわたし共の仕事に好奇心を持つておゐでのやうですね。；僕も好奇心でね、話の種だと思ッたから、そのまま乗って出るとまた驚いた。；蓋しそれほど彼の死は社会の好奇心を誘う事件であったからであろう。；そう気が付くと、彼の好奇心と冒険心とは俄かに強められたのであった。；私の好奇心は中途半端になって、テーブルの上をうろつくばかりだった。；医師は不安と好奇心の入混った表情で、丁寧に廣介の身体を検べました。；幼いころから好奇心旺盛で、植物標本を集めたり、実験したりしていた。；第一あのひと、別に好奇心以上のものをもつてるとは信じられないんですもの。；また、その好奇心のせいで独立行動時に命令を忘れて勝手な行動を取る時がある。；好奇心は何事にかけても有害であるが、このような場合には有毒である。；また、子供は好奇心から他の子供の体や成人の体を探究しようとする。；季和はどんな者が隣にいるだろうかとちょっとした好奇心を動かした。；これは性に関する一般の人たちの好奇心にこたえるための試みだった。；わたしがこの実験に好奇心をもったのは、わたしの将来を恐れたからではなかった。；むしろ彼にそんな行動を取らせたのはかりそめの好奇心であった。；非常に好奇心旺盛で、複雑で奇妙なゲームを考え出して兄弟と遊んでいた。；AV出演の動機は、性に対する好奇心から、本当に気持ちが良いのかな?；それは、もちろん単なる好奇心を満足させるやうなものではない。；子供の時、これを見て珍らしいと思わないようなのは元来好奇心がないんだ。</t>
        </is>
      </c>
      <c r="J2762">
        <f>HYPERLINK("https://www.weblio.jp/content/好奇心", "词义详情")</f>
        <v/>
      </c>
      <c r="K2762">
        <f>HYPERLINK("https://yourei.jp/好奇心", "查看例句")</f>
        <v/>
      </c>
    </row>
    <row r="2763">
      <c r="A2763" t="inlineStr">
        <is>
          <t>高級</t>
        </is>
      </c>
      <c r="B2763" t="inlineStr">
        <is>
          <t>成功</t>
        </is>
      </c>
      <c r="C2763" t="inlineStr">
        <is>
          <t>読み方：こうきゅう
［名・形動］階級や地位、程度や品質が高くすぐれていること。また、そのさま。「—な料理」「話が—すぎて理解できない」「—車」⇔低級。
[派生]こうきゅうさ［名］</t>
        </is>
      </c>
      <c r="D2763" t="inlineStr">
        <is>
          <t>高級品(8%)；高級将校(3%)；高級マンション(3%)；高級参謀(3%)；高級レストラン(2%)</t>
        </is>
      </c>
      <c r="E2763" t="inlineStr">
        <is>
          <t>高い；大きい；高度；優れた；優秀</t>
        </is>
      </c>
      <c r="F2763" t="inlineStr">
        <is>
          <t>高級店；超高級；高級料理；高級アパート；高級志向</t>
        </is>
      </c>
      <c r="G2763" t="inlineStr">
        <is>
          <t>高級ホテル；高級住宅街；高級住宅地；高級官僚；高級感</t>
        </is>
      </c>
      <c r="H2763" t="n">
        <v>29</v>
      </c>
      <c r="I2763" t="inlineStr">
        <is>
          <t>一方はメーカーの商品群で特に性能、価格、機能などの最高級品である。；このような観点は多くのドイツの高級司令官の間で共有されていた。；しかし、次第に社会的に高級なものとして認められるようになってくる。；日本では一般的に一心二葉が最高級、一心三葉は準高級品とされている。；趣味の世界である高級な馬のショーでは、どの分野でも活躍している。；ただ、朝鮮学校では高級学校までは進学させることを原則としている。；他にも、数多くの高級腕時計メーカーが自動車との関わりを持っている。；いずれも少量生産の特殊な高級車であり、一般的な存在ではなかった。；このビルをはじめ周囲には十数棟の高級超高層アパートメントがある。；一方、関西では高級魚として扱われ専門の遊漁船も出るほど人気がある。；しかしながら高級官吏で当本部に訴追された者は一人もいなかった。；大長編ではカニピラフやステーキ等の高級料理を食べていることが多い。；全世界規模で営業展開されている高級アイスクリームブランドである。；現在は、地場の魚の特産化や高級化で活気がある漁港が数多く存在する。；また、この人物の名前に由来する高級スポーツ自転車のブランド。；高級なものにはしばしばハワイ特産のコアの木が材料として用いられる。；ゲランはこの時期までにフランスにおける高級香水商の地位を確立した。；その一方、「人気のある高級ブランド」の意味で使われることがある。；どちらも高級店が集まっており、主要な観光地となっている。；ゲーム向けの高級機種として、より多くのボタンを備えた製品もある。；同様に、短剣の柄や杯などの高級な貴石彫刻も動物形状を取る場合がある。；イギリスでは伝統的に、高級料理としてハクチョウの肉が供されていた。；時代が下ると、高級な碁石は「玉」と呼ばれる一種の宝石から作られた。；日本以外では、南アフリカなどのものが比較的高級とされている。；現在では中国でも高級な製品が作られつつある。；そのイメージは車両グレードに見合った高級かつ精巧なものになった。；最近は銅版印刷により高級グリーティングカードなどに使用されている。；満州の虎林で生まれ、一家は間島省図們市で高級料理店を経営していた。；ただし、当初、日本では石鹸は高級品で一般的なものではなかった。</t>
        </is>
      </c>
      <c r="J2763">
        <f>HYPERLINK("https://www.weblio.jp/content/高級", "词义详情")</f>
        <v/>
      </c>
      <c r="K2763">
        <f>HYPERLINK("https://yourei.jp/高級", "查看例句")</f>
        <v/>
      </c>
    </row>
    <row r="2764">
      <c r="A2764" t="inlineStr">
        <is>
          <t>皇居</t>
        </is>
      </c>
      <c r="B2764" t="inlineStr">
        <is>
          <t>成功</t>
        </is>
      </c>
      <c r="C2764" t="inlineStr">
        <is>
          <t>読み方：こうきょ
《古くは「こうぎょ」とも》天皇の住まい。御所。宮城。皇宮。</t>
        </is>
      </c>
      <c r="D2764" t="inlineStr">
        <is>
          <t>皇居内(9%)；皇居前(3%)；皇居宮殿；皇居造営；皇居周辺</t>
        </is>
      </c>
      <c r="E2764" t="inlineStr">
        <is>
          <t>宮中；宮城；御所；内裏；禁裏</t>
        </is>
      </c>
      <c r="F2764" t="inlineStr">
        <is>
          <t>皇居近く；皇居正門；皇居新宮殿；皇居付近；璽宇皇居</t>
        </is>
      </c>
      <c r="G2764" t="inlineStr">
        <is>
          <t>皇居外苑；皇居東御苑；皇居遥拝；皇居の生物相；皇居ランニング</t>
        </is>
      </c>
      <c r="H2764" t="n">
        <v>29</v>
      </c>
      <c r="I2764" t="inlineStr">
        <is>
          <t>窓の下は、皇居の外堀になっていて、ボートが浮かんでいるのが見えた。；同年に、皇居で即位の礼と新嘗祭が開催され、が夫人を伴って出席した。；東京都区内では皇居以外でもチョウ類の生息状況の調査が行われている。；皇居前の松林からずっと、一台のサイクルが二人を追ってきているのだ。；もしも皇居に万一のことがあれば、われわれとて無事ではあり得ません。；その中で皇居の鳥類相が常に変化をし続けていることが明らかとなっている。；こういう習慣のために古代の皇居は非常にしばしば次から次へとうつされた。；特に皇居東庭の宮殿広場で敷石として使用されていることでも知られる。；杉並から皇居を目指すなら、たとえ南に出てもすぐ東に折れねばならない。；皇居に接している場所ということもあり、多くの事件・出来事が起こった。；歴代の皇居の位置は、これらの市と深い関係をもったことが知られる。；皇居がここに遷されてから、もとより政治や学藝の中心地になりました。；皇居前のホテルで言ったことを、梶岡はすぐ実行に移しているらしい。；やがて評判を呼び、宮内省の注文を受けて皇居内に出入りを許された。；皇居内に生息するガのなかでまず注目されるのがオオミズアオである。；皇居内のオオミズアオの生息数は少ないが、確実に生息し続けている。；美術館設計は皇居新宮殿の基本設計をはじめ著名な作品を残した吉村順三。；皇居の二重橋にも関わったと言われるが、明治20年完成なので疑問が残る。；同じ年の同じ月、皇居前では戦後一番盛大なメーデーが行われております。；聖実は聖徳太子像を携えて、現在の皇居があったところに寺を創建した。；いくつかの山河と、いくへかの雲の奥に、皇居があらせられるのである。；皇居の桜田門の扉を毎朝、五時にいって十分間ほど撮ったこともあった。；皇居の正面と対峙することになり、国家の象徴的な位置付けであった。；そこは皇居の前の玉砂利の広場で、どこからどこまで、無数の石の海だった。；どこから飛んできたのと母に私が聞くと、皇居のなかからでしょう、と教えられた。；あれが皇居だ、あれが銀座だとハシャイでいたのは一分三十秒である。；江戸時代には徳川家の氏神とされ、明治以降は皇居の鎮守とされている。；近衛兵 第二次大戦前、皇居の警護や天皇の護衛にあたった陸軍の兵士。；上司の命令で門が開かれた時には、火と煙とが、皇居を覆っていた。</t>
        </is>
      </c>
      <c r="J2764">
        <f>HYPERLINK("https://www.weblio.jp/content/皇居", "词义详情")</f>
        <v/>
      </c>
      <c r="K2764">
        <f>HYPERLINK("https://yourei.jp/皇居", "查看例句")</f>
        <v/>
      </c>
    </row>
    <row r="2765">
      <c r="A2765" t="inlineStr">
        <is>
          <t>公共</t>
        </is>
      </c>
      <c r="B2765" t="inlineStr">
        <is>
          <t>成功</t>
        </is>
      </c>
      <c r="C2765" t="inlineStr">
        <is>
          <t>読み方：こうきょう
社会一般。おおやけ。また、社会全体あるいは国や公共団体がそれにかかわること。「—の建物」</t>
        </is>
      </c>
      <c r="D2765" t="inlineStr">
        <is>
          <t>公共教育(9%)；公共的(6%)；公共建築(3%)；公共部門；公共用</t>
        </is>
      </c>
      <c r="E2765" t="inlineStr">
        <is>
          <t>共有；総有</t>
        </is>
      </c>
      <c r="F2765" t="inlineStr">
        <is>
          <t>公共性；公共公園；公共安全；公共近郊；公共生活</t>
        </is>
      </c>
      <c r="G2765" t="inlineStr">
        <is>
          <t>公共施設；公共事業；公共図書館；公共機関；公共性</t>
        </is>
      </c>
      <c r="H2765" t="n">
        <v>29</v>
      </c>
      <c r="I2765" t="inlineStr">
        <is>
          <t>この2つは公共物ではないことを示すために毎年1日間閉鎖されている。；普通のバーのような公共スペースとプレイする場所が明確に分かれている。；公共用飛行場ではないので防衛省関係者以外の利用は認められていない。；公共駐車場の整備やアーケードの拡張など積極的な施策が行われている。；公共の危険が発生しなかった場合には器物損壊罪などの成立が問題になる。；それは公共の利益・他人の利益に関わり、自己の処分権限の範囲外だから。；また公共の公園や街道筋さらには学校の校庭などに植えられることも多い。；公共の保健医療施設はサービスレベルに応じて3段階に分けられている。；このため、基準点は政府や公共組織が運営していることも少なくない。；タンク密結式の他に、一部公共用システムトイレ製品も発売されている。；彼は、現在では公共標識でも広く使われている絵記号の立役者でもある。；毎年20万人近い学生が利用する州最大の公共高等教育機関となっている。；「科学の発展と公共の科学理解の両方に貢献した」とAAASは発表した。；この公共建造物および施設は州当局により白人専用に予約されています。；レキシの知名度も上がり、公共的なイベントでの出演依頼も増えてきた。；公民館は、公共の施設であることから、次の行為を行ってはならない。；とくに省政府が主導する公共インターネット網はよく整備されている。；これは、神聖なテキストの解釈に基づく理由が非公共的であるためである。；新規性など商業的な交換価値のある情報を社会で公共化することを主な目的とする。；全てのユーザーに解放された公共に近い土地であり、ルール内で自由に使用できる。；本罪の犯罪が成立するためには公共の危険が発生したことが立証されなければならない。；現在、復興の動きがあり、公共の建物の看板などに見ることができる。；ただし、国家が一定の基本的な公共財を提供することには必ずしも反対しない。；一部の諸外国では公共の場所にもかかわらず故意に頭部を取る行為が見られる。；東新天地公共広場へ移転当時に増えたお好み焼きの屋台は八店舗になった。；E宮殿は当初宮殿であろうと考えられたが、後に公共建築であることが確認された。；ユーザー所有の土地の中にも、限りなく公共に近い土地がある。；寿命の短いものも多いが、公共の資金援助を受けて長期に活動している例もある。；明治時代以降は形式を問わず住居・公共建築の出入口を指す概念となっている。</t>
        </is>
      </c>
      <c r="J2765">
        <f>HYPERLINK("https://www.weblio.jp/content/公共", "词义详情")</f>
        <v/>
      </c>
      <c r="K2765">
        <f>HYPERLINK("https://yourei.jp/公共", "查看例句")</f>
        <v/>
      </c>
    </row>
    <row r="2766">
      <c r="A2766" t="inlineStr">
        <is>
          <t>好況</t>
        </is>
      </c>
      <c r="B2766" t="inlineStr">
        <is>
          <t>成功</t>
        </is>
      </c>
      <c r="C2766" t="inlineStr">
        <is>
          <t>読み方：こうきょう
状況のよいこと。特に、景気のよいこと。景気循環の一局面で、拡張過程における繁栄期。雇用量・生産量などの拡大、物価水準・賃金水準・利子率などの上昇がみられる。⇔不況。</t>
        </is>
      </c>
      <c r="D2766" t="inlineStr">
        <is>
          <t>好況時代(4%)；好況不況；好況感</t>
        </is>
      </c>
      <c r="E2766" t="inlineStr">
        <is>
          <t>ブーム；好景気；にわか景気</t>
        </is>
      </c>
      <c r="H2766" t="n">
        <v>29</v>
      </c>
      <c r="I2766" t="inlineStr">
        <is>
          <t>そういう好況のさなかに、突然信長が京都の本能寺で殺されたのである。；好況で沸いていた三、四年前なら、なんら問題なく実現できたであろう。；まだあの頃は会社も好況のまっ最中で、むしろ人手不足の状態だった。；州全体の工業化が進んでおり、経済の好況と影響力のある技術の中心である。；だが日本の好況が持続されることに疑いを持つものは、まだほとんどいなかった。；また、バブル期の延長上の世界であるために非常に好況感がある。；日本は第一次世界大戦後、一度も好況を経験していなかった。；なんとこれが大当り、正月以来の好況となって二週続映に入ったという。；これは、この頃別に操業を開始していた名古屋紡績の好況に刺激されたものとされる。；オーストラリアの映画産業は好況と不況を繰り返してきている長い歴史がある。；この影響でいわゆる「船成金」が生まれるなど日本経済は好況を呈した。；ふつう好況時は一日四、五時間働き、不景気で金が無い時は一日中寝ている。；コミック作品全般が好況を迎えていく中で、本タイトルの人気は低迷していた。；この好況は危険な程度まで信用貸しの拡大に反映された。；これは世紀の変わり目に起こった好況の間に全産業で推進された強力な組織化で成長した。；一時の好況はあったものの1895年頃までは経済的停滞が続いた。；ゴアの在任中は概して好況であり、州内の自治体に予算を提供した。；いつのころかはっきり憶えぬが、なんでも好況時代の絶頂に達したころででもあったろうか。；新しい好況の時代が訪れたが、1900年代初期のように構造を変革させるものでは無かった。；第一次世界大戦が終わると、サラソータでも経済好況が始まった。；このような現状があるため、好況時と不況時とで単純に求人倍率の比較はできない。；勿論、この無気味な好況に斉しく恐怖を感じたものは、取引部だけではなかった。；経済の好況により政府の収入が増え、借款を得る能力が強化されたことで情勢が改善した。；それでも1950年の夏はそのデスクで過ごし、好況となった経済を政府が支配する計画を作った。；この政策は経済的な好況をもたらした。；第一次世界大戦による好況は都市への人口集中をもたらし、都市は周辺部へと拡大していくことになった。；当時、鉄鋼関係はどこも好況であったが、神戸製鋼にはさらに好成績をあげる理由があった。；しかも、会席十円とか十五円とか好況時代らしい高い金を取っていたのであるから、馬鹿な話だ。；このことが当時のスチュードベーカーの好況具合を示す。</t>
        </is>
      </c>
      <c r="J2766">
        <f>HYPERLINK("https://www.weblio.jp/content/好況", "词义详情")</f>
        <v/>
      </c>
      <c r="K2766">
        <f>HYPERLINK("https://yourei.jp/好況", "查看例句")</f>
        <v/>
      </c>
    </row>
    <row r="2767">
      <c r="A2767" t="inlineStr">
        <is>
          <t>工業</t>
        </is>
      </c>
      <c r="B2767" t="inlineStr">
        <is>
          <t>成功</t>
        </is>
      </c>
      <c r="C2767" t="inlineStr">
        <is>
          <t>読み方：こうぎょう
自然の原料に人力や機械力を加え、商品価値のある生産物を製造する産業。重工業と軽工業とに分けられる。</t>
        </is>
      </c>
      <c r="D2767" t="inlineStr">
        <is>
          <t>工業団地(8%)；工業用(5%)；工業生産(2%)；工業化；工業力</t>
        </is>
      </c>
      <c r="E2767" t="inlineStr">
        <is>
          <t>事業；製造；生産；製作；産業</t>
        </is>
      </c>
      <c r="F2767" t="inlineStr">
        <is>
          <t>工業組合；西日本車体工業；工業所；軽工業；東京工業</t>
        </is>
      </c>
      <c r="G2767" t="inlineStr">
        <is>
          <t>工業大学；工業地帯；工業都市；工業製品；工業的</t>
        </is>
      </c>
      <c r="H2767" t="n">
        <v>29</v>
      </c>
      <c r="I2767" t="inlineStr">
        <is>
          <t>工業では高速道路の整備以降は高速周辺での工場誘致が各地で起こった。；また世界で使われている工業用ロボットの6割は日本で活動している。；これらの路線は鉱山を近くの輸送ポイントに接続する工業用であった。；何百万人もの農民が工業化された都市に移動し、国は急速に発展した。；工業が主要な雇用主となり、その傾向は1960年代に入るまで続いた。；軍部が主導し1930年代後半から日本やドイツで工業生産が行われた。；固定化とは、工業用酵素を土台となる物質に固定して用いる方法である。；ソ連は、主要軍備の保有量と工業生産力においてドイツを上回っていた。；工業分野では明確に定義が定められるようにもなってきた。；イタリアの繊維産業と深く結びついた工業形態となっていることが分かる。；これらの交通の便を活かし、工業団地の開発などを積極的に行っている。；抵抗した農民たちも最終的には工業労働者となったり集団農場に組織されたりした。；工業は、以前三菱重工業の広島工場が存在したが2003年に閉鎖された。；またイギリスでは日本では考えられない工業技術に圧倒された。；工業化と大規模開発工場といった生産の出現までは唯一の作業場所であった。；オーストラリアで最も人口が多く、最も工業化された州である。；工業が盛んであり、市の郊外には多くの重化学工場が立ち並んでいる。；丘陵地や田園を開発した工業団地が多く、本拠を置く企業や工場が多い。；工業は小規模で、地元での消費のために輸入した材料を加工する程度である。；これは、現代の工業用カッテージチーズに似ていると言われている。；こうした工業力の根底の違いがしだいに戦況を左右することとなった。；その後、岸壁などが整備され主に資材を扱う工業港へと変貌していく。；そのため近年では県外の工業団地に移転する企業が相次いでいる。；車体はほとんどが富士重工業製だが、一部に西日本車体工業製が存在する。；日本の工業界は非常にロボット化され、効率がよい産業と言える。；また豊富な水資源自体も工業、特に半導体産業等に有利となっている。；シティは大規模な工業施設があるが、タウンにはそれに相当する施設はない。；ドイツの砂糖工業は20世紀までこのプロセスをうまく利用していた。；ダイヤモンドを工業用途として使用する最大の特徴はその硬さである。</t>
        </is>
      </c>
      <c r="J2767">
        <f>HYPERLINK("https://www.weblio.jp/content/工業", "词义详情")</f>
        <v/>
      </c>
      <c r="K2767">
        <f>HYPERLINK("https://yourei.jp/工業", "查看例句")</f>
        <v/>
      </c>
    </row>
    <row r="2768">
      <c r="A2768" t="inlineStr">
        <is>
          <t>鉱業</t>
        </is>
      </c>
      <c r="B2768" t="inlineStr">
        <is>
          <t>成功</t>
        </is>
      </c>
      <c r="C2768" t="inlineStr">
        <is>
          <t>読み方：こうぎょう
有用鉱物を探査・採掘し、それらを原料として加工・処理し、社会に供給する産業。</t>
        </is>
      </c>
      <c r="D2768" t="inlineStr">
        <is>
          <t>鉱業所(9%)；鉱業会社(3%)；鉱業株式会社；鉱業停止；鉱業開発</t>
        </is>
      </c>
      <c r="F2768" t="inlineStr">
        <is>
          <t>同和鉱業；金属鉱業；鉱業資源；鉱業取締役；住友鉱業</t>
        </is>
      </c>
      <c r="G2768" t="inlineStr">
        <is>
          <t>鉱業法；鉱業地理学；鉱業抵当法；鉱業労働災害防止協会</t>
        </is>
      </c>
      <c r="H2768" t="n">
        <v>29</v>
      </c>
      <c r="I2768" t="inlineStr">
        <is>
          <t>様々な場所からが出土することから鉱業が行われていたことは間違いない。；モアブの経済は当初農業に基づいていたが、次第に鉱業に移っていった。；例えばブラジルでは、鉱業に奴隷の労働者を使って成功した事例があった。；この2人は共同でウィスコンシン鉱業会社など様々な会社を発展させた。；鉱業はさまざまな方法で水生生物の多様性に影響を与える可能性がある。；以前の人民党の支持基盤である西部の田舎や鉱業地域にも支持者がいた。；鉱業においては鉱石を電気分解して金属を得る電解精錬が行われている。；他に重要な分野では、近年生産量が減少しているものの、鉱業があげられる。；父親の仕事の関係でさまざまな鉱山地域で育ったことで、鉱業の知識を得た。；また農民の入植、鉱業の発展にも努力し、その結果人口も大幅に増加した。；この他、サルチェシュメ鉱山のように、鉱業が行われている場所もある。；久原の事業は鉱業以外にも拡大をしており、久原財閥が形成されていった。；鉱業が盛んな西部を中心に活動し、連邦議会にも何名か議員を送り込んだ。；同社はその後すぐにドイツ最大の鉱業コンツェルンの一つになった。；このことが、鉱業採掘作業を容易にするための新しい町の創設をもたらした。；スウェーデンの経済と産業の発展、特に鉱業の発展に多大な貢献をしている。；州北部ではさらに数十年間鉱業が重要な産業であり続けた。；エストニア人として最初にソ連政府の燐灰石鉱業計画に反対を表明した。；州昇格後、アイダホの経済の中心は特に南部で徐々に鉱業から農業に移った。；鉱業所の年中行事では最大の、家族を含めて全員参加の行事であった。；県は鉄以上にその他の金属を産出する、強力な鉱業の本拠地である。；大助の長兄は勤めていた鉱業会社を退職し、家族以下蟄居生活を続けた。；彼のサン=テティエンヌ鉱業学校での生活は成績表でしか推察できない。；川上鉱業所と合併して1941年に千緒炭鉱を買収して経営に当たった。；戦争の捕虜は、農業や鉱業のための奴隷貿易の商品としても扱われた。；この地では次第に鉱業やその他の産業が発展していった。；多くの中でも最初の主要なものは鉱業、建設および鉄道だった。；鉱業や建設業などの季節的な仕事がいくつかあったが、最近は衰退している。；鉱業や伐採などの第一次産業に依存している地域が最も被害を受けたのであった。</t>
        </is>
      </c>
      <c r="J2768">
        <f>HYPERLINK("https://www.weblio.jp/content/鉱業", "词义详情")</f>
        <v/>
      </c>
      <c r="K2768">
        <f>HYPERLINK("https://yourei.jp/鉱業", "查看例句")</f>
        <v/>
      </c>
    </row>
    <row r="2769">
      <c r="A2769" t="inlineStr">
        <is>
          <t>興行</t>
        </is>
      </c>
      <c r="B2769" t="inlineStr">
        <is>
          <t>成功</t>
        </is>
      </c>
      <c r="C2769" t="inlineStr">
        <is>
          <t>読み方：こうぎょう
［名］(スル)
１観客を集め、料金を取って演劇・音曲・映画・相撲・見世物などを催すこと。また、その催し物。「顔見世—」「地方を回って—する」
２儀式などを催すこと。
「禅法の—天下にかまびそし」〈太平記・二四〉
３初めて興し立てること。創建。創立。
「初めて伽藍たちばなの道成—の寺なれば」〈謡・道成寺〉
４連歌や俳諧などの会を催すこと。
「四日、本坊において誹諧—」〈奥の細道〉</t>
        </is>
      </c>
      <c r="D2769" t="inlineStr">
        <is>
          <t>興行的(11%)；興行主(3%)；興行会社(2%)；興行権；興行者</t>
        </is>
      </c>
      <c r="E2769" t="inlineStr">
        <is>
          <t>発表；展示；公演；披露；芝居</t>
        </is>
      </c>
      <c r="F2769" t="inlineStr">
        <is>
          <t>引退興行；本興行；特別興行；正月興行；合同興行</t>
        </is>
      </c>
      <c r="G2769" t="inlineStr">
        <is>
          <t>興行成績；興行師；興行場；興行通信社；興行法</t>
        </is>
      </c>
      <c r="H2769" t="n">
        <v>29</v>
      </c>
      <c r="I2769" t="inlineStr">
        <is>
          <t>ファームが一軍と離れて興行をしたほぼ初めてのケースといわれている。；パリで興行を行うことができたのは1644年1月1日のことであった。；歌の実演や地方興行などと撮影のスケジュール調整が大変だったという。；作品への評価は賛否が分かれたが、興行的には空前の大ヒットとなった。；興行の中においては自らの役割を確実に果たすことが求められるのである。；翌年6月26日の東京・後楽園ホールに引退興行を開催することが発表。；世界規模で展開する興行会社が次に参入を考えたのが日本市場であった。；同興行には、百田光雄や折原昌夫などが参加することが発表されている。；興行的にも世界的大ヒットを記録し、名実ともに不動の地位を確立した。；キネマ旬報ベスト・テンでは2位に選出され、興行的にも成功を収めた。；シリーズ化する予定であったが、2作目が興行不振となり打ち切られた。；また、境内では芸能の興行も行われ農民の娯楽の場所にもなっていた。；ホール内への観客の入場を条件付きで認めたうえで、有料興行を再開した。；またKBSホールで開催する興行に限り京都放送で試合中継が放送された。；東京ドームは野球興行以外にも多目的利用ホールとして活用されている。；全盛期には休日に一日で昼と夜の二回興行が行われることも多かった。；人間は、このような性格を興行やアニマルセラピーとして利用している。；当興行開催の初期には、放送日が12月の第2土曜日に固定されていた。；プロボクシングの場合、選手と指導者・興行主で取り扱う団体が異なる。；自分のところで作って自分のところで配給して興行してもたかが知れています。；批評家の反応はほとんど否定的であったが興行的には成功した。；しかしながら『ジャンヌ・ダーク』は興行的成功を収めたとはいえない。；この作品では、好意的な反応を集め、興行的にも巨額の成功を収めた。；演奏者が普段活動している地域を離れて、各地を巡回し演奏会の興行を行う。；しかし、興行的に弱いという理由でこのタイトルは不採用となった。；この作品は興行的に大失敗と見なされ否定的な評価を受けた。；同作は、当時の韓国における最高興行記録を打ち立てる大ヒットとなった。；作品は興行的に大成功したが、公開当時の国内では必ずしも高評価を受けることはなかった。；これを改め事前に様々な調整することにより、複数の試合からなる興行を行った。</t>
        </is>
      </c>
      <c r="J2769">
        <f>HYPERLINK("https://www.weblio.jp/content/興行", "词义详情")</f>
        <v/>
      </c>
      <c r="K2769">
        <f>HYPERLINK("https://yourei.jp/興行", "查看例句")</f>
        <v/>
      </c>
    </row>
    <row r="2770">
      <c r="A2770" t="inlineStr">
        <is>
          <t>興業</t>
        </is>
      </c>
      <c r="B2770" t="inlineStr">
        <is>
          <t>成功</t>
        </is>
      </c>
      <c r="C2770" t="inlineStr">
        <is>
          <t>読み方：こうぎょう
新しく事業を興すこと。また、産業を盛んにすること。「殖産—」</t>
        </is>
      </c>
      <c r="D2770" t="inlineStr">
        <is>
          <t>興業株式会社(7%)；興業社長(3%)；興業的(3%)；興業収入；興業取締役</t>
        </is>
      </c>
      <c r="F2770" t="inlineStr">
        <is>
          <t>新東宝興業；千鳥興業；金剛山興業；近鉄興業；n興業</t>
        </is>
      </c>
      <c r="H2770" t="n">
        <v>29</v>
      </c>
      <c r="I2770" t="inlineStr">
        <is>
          <t>N興業のことを調べてみて、いろいろな噂を耳にしていたからである。；駅裏右上に撤退した広島燃料興業の工場への専用線が残されている。；こんな興業物的の方は友達の方が受け持ちでやったのでありました。；三人の勢いを快く思わない野口信年はこれを邪魔し銀座興業と対立する。；相田興業では、各部門で一日の売り上げを記録して折れ線グラフにする。；ことに歌舞伎では興業の援助者であり、役者たちのパトロンでもあった。；これは興業主で、その札によって正確な入場者の数が分るのであります。；それまで勝負の場だった空間が華やいで、興業の場に変わるんです。；本当に松村興業が動いているのなら、こんなものではすまなかったはずだ。；奴は帝都興業に追い込みをかけられて家にも帰れず、相当焦ってるはず。；なお、この期間に当時所属していた松竹興業を退社しフリーとなっている。；島根県の大根島から出てきた白木は、すでに千土地興業に所属していた。；そういう時期に、ハワイの松尾興業社から木村は誘いを受けたのである。；篝は、自分が暁興業の保安部長であることを述べ、刑事の訊問に応じた。；カルヴェロと別れた後のテリーはヨーロッパ各地での興業でも絶賛される。；経営主としての最初となる興業では、斎藤自身が驚くほどの客の入りとなった。；蜀郡太守・興業将軍に昇進した後も、引き続き塩府の仕事を担当した。；その演技力が評価され、シリーズ最高記録の興業収入を樹立した。；金に望みがあるのと違って、これならどんな判らない興業師の仲間へでも話が通ります。；大河内は新設した理化学興業を軸に新しいプロジェクトをどんどん進めていた。；開設者は近鉄興業で、同年に志摩マリンランドも同社が開業している。；だが万南興業と明日千代との間には直接的な関連はなにもない。；蒲田パレス座は、かつて存在した三葉興業株式会社が経営・運営していた映画館。；この映画は1964年の大きな興業収入を得た作品となった。；暁興業のチェーン店に顔を覗かせるのは、やはり大切な仕事であった。；斎藤は後にこの興業を、最大の感動かもしれないと語っている。；駐車場には、かつて別当興業が運営していた映画館「北海道劇場」があった。；従来の舞台の場合はその興業場所に芸能人、観客双方が足を運ばなければ成立しなかった。；興業を主にしたイベント会社を設立し沢山の校歌、社歌などの作曲も行った。</t>
        </is>
      </c>
      <c r="J2770">
        <f>HYPERLINK("https://www.weblio.jp/content/興業", "词义详情")</f>
        <v/>
      </c>
      <c r="K2770">
        <f>HYPERLINK("https://yourei.jp/興業", "查看例句")</f>
        <v/>
      </c>
    </row>
    <row r="2771">
      <c r="A2771" t="inlineStr">
        <is>
          <t>航空</t>
        </is>
      </c>
      <c r="B2771" t="inlineStr">
        <is>
          <t>成功</t>
        </is>
      </c>
      <c r="C2771" t="inlineStr">
        <is>
          <t>読み方：こうくう
航空機などに乗って空中を飛行すること。「民間—」</t>
        </is>
      </c>
      <c r="D2771" t="inlineStr">
        <is>
          <t>航空部隊(9%)；航空支援(3%)；航空兵力(3%)；航空軍(2%)；航空輸送(2%)</t>
        </is>
      </c>
      <c r="E2771" t="inlineStr">
        <is>
          <t>飛翔；フライト；飛行</t>
        </is>
      </c>
      <c r="F2771" t="inlineStr">
        <is>
          <t>海軍航空；基地航空；陸軍航空；航空博物館；航空参謀</t>
        </is>
      </c>
      <c r="G2771" t="inlineStr">
        <is>
          <t>航空会社；航空隊；航空自衛隊；航空母艦；航空基地</t>
        </is>
      </c>
      <c r="H2771" t="n">
        <v>29</v>
      </c>
      <c r="I2771" t="inlineStr">
        <is>
          <t>宇宙・航空に目をつけたのは、1950年代前半の渡米のころとされる。；第一次世界大戦が終わった頃、商業航空輸送がトゥールーズで始まった。；またソ連から提供された演習場で航空部隊や機甲部隊の演習を実施した。；練習飛行を始めるには航空身体検査のみで操縦練習許可証が発行される。；航空系項目の執筆に役立つかもしれない外部リンクを紹介しています。；このグライダーは現在ではヨークシャー航空博物館に展示されている。；退院後の1918年春には志願していた航空隊への移籍が認められた。；近年では、格安航空会社や航空便の増加がさらなる増大に貢献している。；戦後民間航空が再開された時に現在のスタイルになった。；爆発は機体前方の貨物室にあった航空貨物コンテナの下部で発生していた。；上記の通り、本級では荒天時の航空運用機能の維持が重視された。；陸軍中央では1944年初頭に組織的な航空特攻の検討が始まった。；インターフルークは、以下の5つの部門で民間航空事業を行っていた。；この時点で、ようやくサウスウエスト航空は運航が可能となったのである。；ホームページ等では航空事業と記載されていたが、運営していたのは旅行事業である。；航空趣味誌や航空機模型で愛称のように表記されている場合がある。；小国では独立せず陸軍の航空部隊となっていることもある。；奥宮正武は作戦失敗の主因を『日本軍航空兵力の不足』と指摘している。；高雄の第六十一航空廠で改造が行われ、3機が改造されたとされる。；こうして大艦巨砲主義時代はを迎え、時代は航空主兵時代へと移るのである。；なお、AETFは部隊規模に応じ航空遠征航空団や航空遠征群となる。；この機体は元々エティハド航空に納入予定であった飛行試験2号機であった。；航空ミッションは従来通り継続されていたが、2016年末に運用を終了した。；第三航空部隊は次はバンカ島およびパレンバン攻略作戦に参加することとなった。；専門に開発され実用化された航空特攻兵器としては世界唯一の存在と言われる。；航空関係の法律、用語、習慣などには、船舶が由来となっているものも多い。；外部地域及び国家へは航空、鉄道、バスなどで移動可能である。；航空宇宙技術では、アメリカとの対抗上、国の威信をかけた開発が行われた。；航空が関連する事故、特に航空機の運航中の事故を航空事故と言う。</t>
        </is>
      </c>
      <c r="J2771">
        <f>HYPERLINK("https://www.weblio.jp/content/航空", "词义详情")</f>
        <v/>
      </c>
      <c r="K2771">
        <f>HYPERLINK("https://yourei.jp/航空", "查看例句")</f>
        <v/>
      </c>
    </row>
    <row r="2772">
      <c r="A2772" t="inlineStr">
        <is>
          <t>航空機</t>
        </is>
      </c>
      <c r="B2772" t="inlineStr">
        <is>
          <t>成功</t>
        </is>
      </c>
      <c r="C2772" t="inlineStr">
        <is>
          <t>読み方：こうくうき
人が乗って空中を航行する機器の総称。飛行船・気球・グライダー・飛行機・ヘリコプターなど。現在では主に飛行機をさす。</t>
        </is>
      </c>
      <c r="D2772" t="inlineStr">
        <is>
          <t>航空機用(3%)；航空機製造；航空機搭載；航空機輸送；航空機工場</t>
        </is>
      </c>
      <c r="E2772" t="inlineStr">
        <is>
          <t>機；飛行機；エアクラフト；銀翼；鵬翼</t>
        </is>
      </c>
      <c r="F2772" t="inlineStr">
        <is>
          <t>敵航空機；飛行する航空機；製航空機；航空機運用；小型航空機</t>
        </is>
      </c>
      <c r="G2772" t="inlineStr">
        <is>
          <t>航空機産業；航空機事故；航空機エンジン；航空機用エンジン；航空機関砲</t>
        </is>
      </c>
      <c r="H2772" t="n">
        <v>29</v>
      </c>
      <c r="I2772" t="inlineStr">
        <is>
          <t>これはチャーチル首相がソ連に大量の航空機を供給していたからである。；また航空気象も航空機の飛行に大きな影響を与えることが分かっている。；そのため、当時の日本では航空機用燃料の貯蔵量が底をつきかけていた。；航空機に伴う一切の仕事はマッカーサー上陸後、数日後に禁止となった。；この考えで、日本人は多くの航空機とパイロットを片道攻撃に投入した。；現在は生産されていないが、航空機用の六分儀は特別な機能を持っていた。；航空機は離陸したのち、ある一定の高度に達してから水平飛行を始める。；モンゴル軍地上部隊は撤退したが、日本軍航空機の攻撃で損害を受けた。；航空機の揚力発生等、流体機械の広い範囲でその特性が応用されている。；するとこの航空機は気圧が一定である面を飛行していることになる。；また軍用機のうち武装を持つものを戦闘用航空機と呼んで区別する。；この頃から補助戦力であった航空機を主力にする主張が各国で現れる。；第二次世界大戦以降、戦闘機を中心に数多くの航空機を生み出してきた。；珊瑚海海戦での航空機の大量損失も搭乗員の練度の低さが原因とされた。；航空機の翼は巡行状態の条件で迎角をつけて機体に固定されている。；また航空機が戦闘に使用され、航空母艦が整備されるようになった。；その後は航空機輸送艦や練習艦として使用され、1967年に解体された。；航空機や宇宙機の外装には熱衝撃に強い高機能素材が使われている。；所定の高度で飛行する航空機が、どれだけ遠くのレーダーを攻撃できるか。；車輌・航空機等の装備は旧ソ連製のものを多く保有している。；またフランスの国内事情により、航空機の開発も遅れがちであった。；航空機には法令上、さまざまな目的でさまざまな定義が与えられる。；この要求提案を受け取ったのは9社の航空機製造メーカーであった。；空港内のみならず、空港周辺を飛行する航空機の様子もうかがうことができる。；また、主に航空機やミサイルの推進機関または動力源として使用される。；ここでは主要な航空機など一部の装備のみ記載する。；現在では航空機の信頼性が向上したため所持は認められていない。；戦前の予測では、新式戦艦を航空機で沈めるのは難しいとされていた。；なお、日本軍航空機へのコードネームはこれとは別システムである。</t>
        </is>
      </c>
      <c r="J2772">
        <f>HYPERLINK("https://www.weblio.jp/content/航空機", "词义详情")</f>
        <v/>
      </c>
      <c r="K2772">
        <f>HYPERLINK("https://yourei.jp/航空機", "查看例句")</f>
        <v/>
      </c>
    </row>
    <row r="2773">
      <c r="A2773" t="inlineStr">
        <is>
          <t>航空券</t>
        </is>
      </c>
      <c r="B2773" t="inlineStr">
        <is>
          <t>成功</t>
        </is>
      </c>
      <c r="C2773" t="inlineStr">
        <is>
          <t>読み方：こうくうけん
旅客が航空機に乗るための切符。国内・国際旅客運送約款に基づく会社発行の証券で、運賃のほかに氏名・年齢・連絡先などの記載事項が定められている。</t>
        </is>
      </c>
      <c r="D2773" t="inlineStr">
        <is>
          <t>航空券購入(2%)；航空券販売；航空券予約；航空券を払い戻す際；航空券利用</t>
        </is>
      </c>
      <c r="F2773" t="inlineStr">
        <is>
          <t>無料航空券；往復航空券；国際線航空券；国内線航空券；安い航空券</t>
        </is>
      </c>
      <c r="H2773" t="n">
        <v>29</v>
      </c>
      <c r="I2773" t="inlineStr">
        <is>
          <t>この無料航空券は、特に区間の指定が無く全路線に有効なものであった。；空港間の移動は、航空券を提示すれば無料のシャトルバスが利用できる。；その後、改めて告白し、伴に日本へ帰国する航空券を渡したが失敗した。；法人がUATPカードを使用して航空券を購入する流れの例を以下に示す。；前述のとおり航空券の名義変更はできず、区間変更も一部を除きできない。；航空券はいくらかの手数料を払えば出発便の変更が可能ということだった。；これらは通常発券された航空券上にアルファベット一文字で表されている。；このようなことから、頻繁に利用しないと無料航空券交換マイルに到達するのが難しい。；永田はその航空券を送っておいてから、電話してきたに違いない。；二日前、航空券をとりにきたついでに、霞がこの花を活けていったのである。；そして、次は誰からかわからない札幌行の航空券が送られてくる。；伊織はその暮れかけた空から目を戻すと、再び机の上の航空券を手にとった。；彼は、ヴェネチアまでの航空券をカウンターで買い求めるのだと言った。；ことしの春、妻子が沖縄へ遊びに行くことになり、航空券の予約をした。；また国際線航空券には国際旅行運送約款の抜粋を記載しなければならない。；航空機に搭乗するには、航空券の購入に加えて搭乗券の受取が必要である。；日本でも同社の航空券は、ほとんどを占めるのがバリ島へのもの。；電子化される前の紙の航空券の場合には基本運賃番号部分にマーカーが引いてある。；航空券の他に辺留無戸から二千ドルのトラベラーズチェックを渡されていた。；航空券には自分とはまったく違う名前が記入されていた。；ミライ等のために宇宙行きの航空券を取っており、紹介状の名義人となっている。；航空券と同様にEチケットが発行され、それを印刷したものが乗車券となる。；オセアニア方面行きの航空券もあるが、ポピュラーなルートではない。；無効とされた区間の運賃を払い戻すかどうかは、その航空券のクラスによる。；橋本は国内線の航空券とは別のルートから予約していたのである。；チェリーはヨーロッパに片道航空券でやってきていたのであった。；サンフランシスコまでの航空券をまだ買っていなかったのだ。；一般の有償航空券とは違い、下記のように様々な利用制限事項がある。；自分自身の作品としての写真を撮るために、帰りの航空券はオープンにしてある。</t>
        </is>
      </c>
      <c r="J2773">
        <f>HYPERLINK("https://www.weblio.jp/content/航空券", "词义详情")</f>
        <v/>
      </c>
      <c r="K2773">
        <f>HYPERLINK("https://yourei.jp/航空券", "查看例句")</f>
        <v/>
      </c>
    </row>
    <row r="2774">
      <c r="A2774" t="inlineStr">
        <is>
          <t>航空便</t>
        </is>
      </c>
      <c r="B2774" t="inlineStr">
        <is>
          <t>成功</t>
        </is>
      </c>
      <c r="C2774" t="inlineStr">
        <is>
          <t>読み方：こうくうびん
１「航空郵便」の略。
２貨物などの航空機での輸送。</t>
        </is>
      </c>
      <c r="D2774" t="inlineStr">
        <is>
          <t>航空便数</t>
        </is>
      </c>
      <c r="E2774" t="inlineStr">
        <is>
          <t>航空郵便；エアメール</t>
        </is>
      </c>
      <c r="F2774" t="inlineStr">
        <is>
          <t>民間航空便</t>
        </is>
      </c>
      <c r="H2774" t="n">
        <v>29</v>
      </c>
      <c r="I2774" t="inlineStr">
        <is>
          <t>市内には商業航空便が発着する空港が無いが、次の空港が近くにある。；日本へ帰国すると、私よりも先にその航空便が自宅に配送されていました。；これら全部がいつも航空便で送られてくるから、月二万円はかかってしまう。；往復の交通は、旅行申込時に指定した航空便・列車しか利用出来ない。；航空便もほとんど無かったから、ここに来るまで丸一日かかったわ。；航空便はシンフェローポリ国際空港があり、ロシア国内と結ばれている。；サンフランシスコにきてから、日本へ帰る場合の航空便を調べたことがある。；フェリー便、航空便との連絡便を含め、以下の様に地域各地への路線を持つ。；熊本から航空便にすればよかったんですけど、あたしは飛行機が嫌いなんです。；町への接続はカビエン空港からポートモレスビーへ毎日航空便がある。；こんな事情を手紙に書き、二冊の本と一緒に航空便で魚住秀子宛に送った。；羽田空港から広島行きの航空便は最終が一八時三〇分だった。；また、報道用や一部離島を結ぶため生活路線航空便としても採用されている。；またがあり、ジュバまで航空便が飛んでいたが、2012年に運休した。；日本からの手紙を待望している気持が、航空便の封筒を撰び出させた。；同年8月17日からは国外に退避する市民向けの航空便の運行が再開された。；その中にはもう何度も読み返した高林からの航空便が入っている。；我々全員の粘り強い説得でついに水木も航空便輸送に同意した、と思ったのだ。；おそくも七日目には完成して、航空便でそちらへ送ると書いてあった。；電子航空券の場合は、航空便の詳細の下に書いてあることが多い。；ヨーロッパ、スカンディナヴィア近辺の航空便等への影響が懸念された。；できることなら航空便にでもしたいくらいであった。；世界でも霧の多い空港であり、航空便が遅れたりキャンセルされる回数が多い。；ジャクソンは母親に民間航空便を使うように要請していた。；滑走路は今日でも使われていて、毎日ホニアラとギゾからの航空便がある。；航空便できのう届いたと言ってにこにこしているジャネットにきいてみた。；うちの航空便は開設されてからまだ三年です。；また、直通便とは二地点を同一便名で飛行する航空便のこと。；これを受けて大企業では、会社の幹部が集団で同一航空便を利用して移動することを禁止する方針に改正した。</t>
        </is>
      </c>
      <c r="J2774">
        <f>HYPERLINK("https://www.weblio.jp/content/航空便", "词义详情")</f>
        <v/>
      </c>
      <c r="K2774">
        <f>HYPERLINK("https://yourei.jp/航空便", "查看例句")</f>
        <v/>
      </c>
    </row>
    <row r="2775">
      <c r="A2775" t="inlineStr">
        <is>
          <t>光景</t>
        </is>
      </c>
      <c r="B2775" t="inlineStr">
        <is>
          <t>成功</t>
        </is>
      </c>
      <c r="C2775" t="inlineStr">
        <is>
          <t>読み方：こうけい
１目前に広がる景色。眺め。「白銀にかがやく峰々の—」
２ある場面の具体的なありさま。情景。「惨憺(さんたん)たる—」
３日のひかり。</t>
        </is>
      </c>
      <c r="D2775" t="inlineStr">
        <is>
          <t>光景を目の当たり；光景をじっと；光景をまざまざ；光景を見まわし；光景だったろ</t>
        </is>
      </c>
      <c r="E2775" t="inlineStr">
        <is>
          <t>所；場；舞台；眺め；背景</t>
        </is>
      </c>
      <c r="F2775" t="inlineStr">
        <is>
          <t>そんな光景；恐ろしい光景；奇妙な光景；不思議な光景；こんな光景</t>
        </is>
      </c>
      <c r="H2775" t="n">
        <v>29</v>
      </c>
      <c r="I2775" t="inlineStr">
        <is>
          <t>夜遅く疲れて帰って来た片山義太郎の目に信じがたい光景が入ってきた。；そうした光景は同じく海運が盛んな都市であった横浜や大阪でもみられた。；そのためホームの手前で電車が信号待ちをする光景がよく見られる。；この異様な光景に恐れをなした皆はパニックになりを声を上げ始める。；その後山奥の洞窟に入っていきねこ娘はそこで恐ろしい光景を目撃する。；ただし4基のコロニーが近接して並ぶ光景は同作品以外には見られない。；これは、ゲイバーが踏み込みされる度に見られる日常的な光景であった。；駅に戻ると町は一面ガラスに包まれたような光景になっていた。；上下の普通列車の交換中に、本線を特急列車が通過する光景も見られる。；人々が食べ物を買うために列に並ぶのは、よく見られる光景となった。；そしてその光景を自らの手で実現させるため、再び行動を開始する。；この光景を目の当たりして観客の誹謗中傷は徐々に減っていったという。；この光景を見ていた観客の中には婦人客も多く、また清の皇族もいたという。；これらの衛星が円形の影を木星表面に落としている光景はよく見られる。；現地に訪れると最盛期の炭鉱そのままといえるような光景があったという。；その光景は、日本のテレビ番組の長野オリンピック名場面にも選ばれた。；インドだけでなくかつては日本においてもそれは普通の日常的な光景であった。；この彫像の光景は、神秘主義と一家の誇りの両方を示しているのである。；中世まではフランスでも、女性が裸で河で水浴をする光景も見られたという。；その光景はそばで見ていてショックを受けたし、とても学ぶことが多かった。；この月に入ってからは、徹夜で並ぶ人たちの光景もよく見られるようになる。；風景の中には花や木々のある庭園を描いた純粋な自然の光景がある。；収録の光景を収めた写真が本作の取り扱い説明書最終ページに掲載されている。；室内に広々とした光景を映し出しても、狭い部屋が広くなるわけではない。；この光景を目撃した佐藤は子供心に「A級の恐ろしさ」を知ったという。；この時の光景に衝撃を受けたことが、後の彼の試合スタイルに大きな影響を与えた。；またコーラが好物のようで、レース中によく飲んでいる光景が見られる。；こうして、古くからの堀の光景を留めている場所は数少なくなっている。；古い建物の壁を覆うアイビーの姿は、多くの場合魅力的な光景である。</t>
        </is>
      </c>
      <c r="J2775">
        <f>HYPERLINK("https://www.weblio.jp/content/光景", "词义详情")</f>
        <v/>
      </c>
      <c r="K2775">
        <f>HYPERLINK("https://yourei.jp/光景", "查看例句")</f>
        <v/>
      </c>
    </row>
    <row r="2776">
      <c r="A2776" t="inlineStr">
        <is>
          <t>工芸</t>
        </is>
      </c>
      <c r="B2776" t="inlineStr">
        <is>
          <t>成功</t>
        </is>
      </c>
      <c r="C2776" t="inlineStr">
        <is>
          <t>読み方：こうげい
１工作や製造に関する技術。「—学校」
２実用性と美的価値とを兼ね備えた工作物を作ること。また、その作品。一般に陶芸・漆芸・染織など小規模なものをいい、建築は含まない。「伝統—」</t>
        </is>
      </c>
      <c r="D2776" t="inlineStr">
        <is>
          <t>工芸学校(8%)；工芸技術(3%)；工芸館(3%)；工芸的(2%)；工芸作品(2%)</t>
        </is>
      </c>
      <c r="E2776" t="inlineStr">
        <is>
          <t>芸術；アート；作物</t>
        </is>
      </c>
      <c r="F2776" t="inlineStr">
        <is>
          <t>染織工芸；日本の伝統工芸；現代工芸；工芸博物館；明治工芸</t>
        </is>
      </c>
      <c r="G2776" t="inlineStr">
        <is>
          <t>工芸家；工芸科；工芸士；工芸学部；工芸学科</t>
        </is>
      </c>
      <c r="H2776" t="n">
        <v>29</v>
      </c>
      <c r="I2776" t="inlineStr">
        <is>
          <t>工芸は貴族の生活道具や、仏教儀式に使われる道具などを中心に発展した。；工芸学校をでて、時計職人の仕事を見つけて、故郷をでてパリに住んだ。；既に、千五百十二の中等学校のうち七百四十三校が工芸技術学校となった。；アカデミーを卒業した後はリオデジャネイロの工芸学校で教師を務めた。；また、過去に一度衰退して失われた工芸技術の再現などの活動も見られる。；彼は先住民に工芸を教え、今もミチョアカンの伝統となって残っている。；絵画よりはむしろ彫刻的、あるいは工芸的要素の方が勝っているであろう。；それが絵画であっても、一般工芸であっても、何であってもである。；いつだったか、江戸時代の生活道具の工芸展でこの破り籠入れを目にした。；身分の低い出自であったが、工芸の技術に優れていることで名が知られていた。；この頃、余暇に制作した画や工芸などの作品が今に伝えられている。；弘法大師なぞは工芸美術の学校を建てて大いに芸術を利用しようとしました。；その後20年ほどで町は再び工芸と貿易を再建させ、新しい工場も建った。；両者は共通の観念や工芸技術を持ち、共存する形で発展をしつづけた。；ニベ科の魚は食用のほか、その発達した耳石が工芸に使用された例がある。；注目すべき作家が画の世界にも、彫刻、工芸の世界にも数々遺されてゐる。；この地域の建築や音楽、芸術、工芸などにも彼らの独特のスタイルが見られる。；しかし絵画・工芸などの造形芸術については天才的な眼識をもっていた。；かつて農業地帯だった場所は次第に産業、貿易、工芸の中心地となっていった。；工芸学校の先生はちらっとそれを見ましたが知らないふりをしておりました。；中国でも工芸的な水時計が製作され、それが日本にも伝わったと考えられている。；なお近年は大日本の運営に関わる公式なリリースは四ッ葉工芸の名義で発表されている。；光工芸社近くに宿泊していた一線美術の画家上野山清貢から影響を受ける。；ここも今代の工芸美術の標本でありまた一般の趣味好尚の代表である。；絵画や工芸を中心に活動を展開し、伝統にとらわれない芸術表現を模索した。；工芸の三神の中では最も優れた技術を持っていたとされる。；東吉は自分の名を捨てて蓬堂とし、鶴寿堂を廃してひまわり工芸とした。；日本に於て工芸が特に多様になつたのは、ここ二、三世紀の間である。；エブラの工芸技術は、後のアッカド帝国に影響を与えた可能性もある。</t>
        </is>
      </c>
      <c r="J2776">
        <f>HYPERLINK("https://www.weblio.jp/content/工芸", "词义详情")</f>
        <v/>
      </c>
      <c r="K2776">
        <f>HYPERLINK("https://yourei.jp/工芸", "查看例句")</f>
        <v/>
      </c>
    </row>
    <row r="2777">
      <c r="A2777" t="inlineStr">
        <is>
          <t>合計</t>
        </is>
      </c>
      <c r="B2777" t="inlineStr">
        <is>
          <t>成功</t>
        </is>
      </c>
      <c r="C2777" t="inlineStr">
        <is>
          <t>読み方：ごうけい
［名］(スル)二つ以上の数値を合わせまとめること。また、そのようにして出した数。「三教科の得点を—する」「—金額」</t>
        </is>
      </c>
      <c r="D2777" t="inlineStr">
        <is>
          <t>合計スコア；合計約；合計得点；合計四；合計十</t>
        </is>
      </c>
      <c r="E2777" t="inlineStr">
        <is>
          <t>以上；計；都合；通算；和</t>
        </is>
      </c>
      <c r="F2777" t="inlineStr">
        <is>
          <t>合計金額；合計六；合計五；合計八；合計七</t>
        </is>
      </c>
      <c r="G2777" t="inlineStr">
        <is>
          <t>合計試算表；合計所得金額；合計残高試算表</t>
        </is>
      </c>
      <c r="H2777" t="n">
        <v>29</v>
      </c>
      <c r="I2777" t="inlineStr">
        <is>
          <t>文化大革命による犠牲者の合計数は数百万から数千万とも言われている。；そして、双方の合計点を数え、この合計点の高低で勝利チームを決める。；収入総合計額については増加した時期もあったが、最近では減少している。；以上のバスを合計すると1日100本前後の高速バスが運行されている。；文全体でこのスコアの合計がもっとも高くなるような品詞列を答えとする。；この三つの合計は6兆5000億円となり、上の指摘の額と同じになる。；その軍事輸送プログラムは特殊プログラムも含め、合計で11にも上った。；の場合には全ての力の合計を考慮することでカバーされる。；またこの図はファイル・ランクの各数字の合計が、すべて260になる。；最終結果は、その合計得点でチーム賞と個人賞を決定していた。；合計8編成が製造されて、広島電鉄宮島線の主力として運用されている。；この系統の電車群は1937年までに合計48両が製造されている。；これは m 面のサイコロを同時に n 個振った際の合計値を意味する。；一方では、合計372万人のチリ人が、2011年に他の国を訪問した。；二つの反応を合計すると以下の式で表すことができる。；この休戦に参加したイギリスとドイツ将兵は合計で10万人以上とされる。；この金額は最終的に全て達成され、最終合計額は676万円に上った。；第一回競馬では一日11レースを行い、4日間で合計44レースを実施。；これらの合計がユーザーの持つ「搭載値」以内なら出撃が可能になる。；各生産段階で付加された付加価値の合計は、最終生産財の価格に等しい。；一方、チームの投球回は、投手全員の投球回の合計値をそのまま用いる。；全州で獲得した選挙人の数を合計し、獲得総数が多い候補者が勝利する。；リメイク版を含めた合計ではシリーズで最も売れたタイトルである。；これは、太平洋以外の海にある島をすべて合計した数よりも多い。；男子は10個の技の点の合計が、女子は8個の技の点の合計が難度点になる。；またこの頃にスコアボード付近の合計5箇所に広告が貼り付けられた。；一方、合計35回のUボートとの戦闘が発生し、多くの犠牲者も出した。；最終的には合計6得点という前シーズンを下回る成績でシーズンを終えた。；ホールドポイントとは、ホールドと救援勝利の数を合計した数字のこと。</t>
        </is>
      </c>
      <c r="J2777">
        <f>HYPERLINK("https://www.weblio.jp/content/合計", "词义详情")</f>
        <v/>
      </c>
      <c r="K2777">
        <f>HYPERLINK("https://yourei.jp/合計", "查看例句")</f>
        <v/>
      </c>
    </row>
    <row r="2778">
      <c r="A2778" t="inlineStr">
        <is>
          <t>攻撃</t>
        </is>
      </c>
      <c r="B2778" t="inlineStr">
        <is>
          <t>成功</t>
        </is>
      </c>
      <c r="C2778" t="inlineStr">
        <is>
          <t>読み方：こうげき
［名］(スル)
１進んで敵を攻め撃つこと。「総勢を挙げて—する」「奇襲—」
２議論などで、相手を責めなじること。非難すること。「団交で—の的になる」「個人—」
３スポーツの試合などで、相手を攻めること。「九回裏の—」⇔守備。</t>
        </is>
      </c>
      <c r="D2778" t="inlineStr">
        <is>
          <t>攻撃する(7%)；攻撃的；攻撃隊；攻撃目標；攻撃性</t>
        </is>
      </c>
      <c r="E2778" t="inlineStr">
        <is>
          <t>批判；非難；襲撃；攻め；問う</t>
        </is>
      </c>
      <c r="F2778" t="inlineStr">
        <is>
          <t>爆雷攻撃；直接攻撃；集中攻撃；対地攻撃；攻撃機</t>
        </is>
      </c>
      <c r="G2778" t="inlineStr">
        <is>
          <t>攻撃的；攻撃機；攻撃側；攻撃者；攻撃方法</t>
        </is>
      </c>
      <c r="H2778" t="n">
        <v>29</v>
      </c>
      <c r="I2778" t="inlineStr">
        <is>
          <t>多くのRPGには全ての攻撃技の基本となる通常攻撃が実装されている。；現在でも双方の攻撃が完全に収まったわけではなく、困難が予想される。；また住民の協力も得られないため攻撃を強行しても成果が出なかった。；これに続けて攻撃に必要な内容をスクリプト部分に自由に記述可能となる。；攻撃しても、結局残ったミサイルで反撃される可能性があったのである。；あらかじめ指定したキャラクターが画面外から登場し攻撃などを行う。；総攻撃を突破した後にボスが出現するという構成を取るステージが多い。；元は大越の遠征に失敗したことで日本への三度目の攻撃が中止された。；これらの要因から攻撃先が変化し、以前ほどは攻撃されなくなった。；攻撃的な音楽性に合わせ、歌詞の内容もやはり攻撃的なものが目立つ。；上記以外にも防衛組織が敵を攻撃する場面のある話は多く存在する。；この事件は近年のアメリカ史上最大の生物兵器による攻撃だと言われる。；メディア人によるペルシア攻撃はこの直後頃に始められたと見られる。；信長は強硬策を用いて大河内城の攻撃を図るも失敗し、戦いは長期化した。；機械式の武器の攻撃機構にはいくつか共通する構造がある。；なお、大会ルールにより9回裏の攻撃を行わず試合は引き分けとなった。；敵ゲリラ組織だけでなく、一般市民までをも攻撃の対象とする場合もある。；そこへ西からは十字軍の残党やノルマン人・セルビア王国に攻撃された。；発射地点から攻撃可能な目標地点までの最大距離が射程である。；元亀元年の姉川の戦いでは朝倉軍の側面攻撃で多大な武功を立てている。；さらに、笑いには攻撃的なものと愛他的・親和的なものの二つがあるとされている。；ゴラン高原北側へのシリア軍第7歩兵師団の攻撃はうまくいかなかった。；ボタンを押すことで画面奥方向へ移動し、直線的な攻撃を回避することができる。；しかし後半の主要防衛線への攻撃は第9師団がP堡塁を占領した以外は失敗。；この攻撃用プログラムhでは、変数xを宣言が宣言されているものとする。；連合国軍は小さいながら戦略的に脅威であるへの攻撃も試みたが失敗に終わった。；攻撃を成功させるとポイントとなり、規定のポイントを先取した選手が勝利する。；またタリバーンは南部や東部だけでなく首都カーブルの近隣でも攻撃を行った。；ただしアッパーカットなど上向きの攻撃には良い的にされてしまうことがある。</t>
        </is>
      </c>
      <c r="J2778">
        <f>HYPERLINK("https://www.weblio.jp/content/攻撃", "词义详情")</f>
        <v/>
      </c>
      <c r="K2778">
        <f>HYPERLINK("https://yourei.jp/攻撃", "查看例句")</f>
        <v/>
      </c>
    </row>
    <row r="2779">
      <c r="A2779" t="inlineStr">
        <is>
          <t>貢献</t>
        </is>
      </c>
      <c r="B2779" t="inlineStr">
        <is>
          <t>成功</t>
        </is>
      </c>
      <c r="C2779" t="inlineStr">
        <is>
          <t>読み方：こうけん
［名］(スル)
１ある物事や社会のために役立つように尽力すること。「学界の発展に—する」「—度」
２貢ぎ物を奉ること。また、その品物。</t>
        </is>
      </c>
      <c r="D2779" t="inlineStr">
        <is>
          <t>貢献する(8%)；貢献できる；貢献賞；貢献ポイント；貢献策</t>
        </is>
      </c>
      <c r="E2779" t="inlineStr">
        <is>
          <t>役割；有効；実用；便利；寄与</t>
        </is>
      </c>
      <c r="F2779" t="inlineStr">
        <is>
          <t>多大な貢献；大きな貢献；重要な貢献；地域貢献；顕著な貢献</t>
        </is>
      </c>
      <c r="G2779" t="inlineStr">
        <is>
          <t>貢献利益；貢献心</t>
        </is>
      </c>
      <c r="H2779" t="n">
        <v>29</v>
      </c>
      <c r="I2779" t="inlineStr">
        <is>
          <t>彼の貢献には、整理されたチームフットボールの最も初期の証拠がある。；この間、子供向けのピアノ曲を作曲するなど教育分野での貢献も残した。；しかし都市が攻撃された場合は防衛に貢献しなければならなかった。；外交面では、世界の安全と平和のために積極的に貢献する外交を掲げた。；アメリカ合衆国の新形式主義運動も現代のソネットへの関心に貢献した。；クラブの発展に貢献した人物を顕彰するために設けられた賞である。；理由は、世界のプロレス界発展に貢献したことを評価しての選出であった。；近代以降、多くの文学賞が創設され、作家の発掘と育成に貢献している。；ただし、これらのつながりが写真表現の発展に貢献している面もある。；また地域貢献の一環として、小学校での訪問授業をこの時期開始した。；日本シリーズの日本一チームの中で最も勝利に貢献した選手が選出される。；これが晩年に人生を捧げることになるユニセフへの最初の貢献だった。；フランシス・ベーコンは知識獲得の方法の発展に重大な貢献をした。；特にプリペイドカードのない時代は降車時間短縮に貢献したといわれる。；ここに挙げた新技術は全てポピュラー音楽を大衆に定着させるのに貢献した。；大きな写真の賞の発表の場として、写真表現の発展に貢献している。；日本人に養成された搭乗員は共産軍の勝利に大きく貢献することとなった。；近年では、格安航空会社や航空便の増加がさらなる増大に貢献している。；この科学者たちはブラーエと共に学んだ後、様々な科学分野で貢献した。；関数型言語の歴史において ISWIM は次のような貢献を果たした。；特に、自然保護に貢献のあった人物を表彰していることで有名である。；一般的には重要人物がポストモダンへの貢献者だとされている。；彼の名がもっとも知られているのは、女性の高等教育の促進への貢献である。；このプロジェクトには、他にも多くの優秀なエンジニアが貢献した。；これは歴代の錬金術師の貢献なくしてはありえなかったともいえる。；しかしながら、様々な諸概念を作り上げた点では、彼の貢献は大きい。；台湾との交流を続けており、2015年3月3日に台湾観光貢献賞を受賞。；機器の動作モードによって色を変えられるなど、機器の小型化に貢献した。；同国代表のビクトル・ランヘルに次ぐ4得点を記録して優勝に貢献した。</t>
        </is>
      </c>
      <c r="J2779">
        <f>HYPERLINK("https://www.weblio.jp/content/貢献", "词义详情")</f>
        <v/>
      </c>
      <c r="K2779">
        <f>HYPERLINK("https://yourei.jp/貢献", "查看例句")</f>
        <v/>
      </c>
    </row>
    <row r="2780">
      <c r="A2780" t="inlineStr">
        <is>
          <t>高原</t>
        </is>
      </c>
      <c r="B2780" t="inlineStr">
        <is>
          <t>成功</t>
        </is>
      </c>
      <c r="C2780" t="inlineStr">
        <is>
          <t>読み方：こうげん
山地にある、海抜高度の高い平原。起伏のゆるやかな台状の地形。</t>
        </is>
      </c>
      <c r="D2780" t="inlineStr">
        <is>
          <t>高原地；高原状；高原ホテル；高原リゾート；高原台地</t>
        </is>
      </c>
      <c r="E2780" t="inlineStr">
        <is>
          <t>台地；高地；高台；プラトー</t>
        </is>
      </c>
      <c r="F2780" t="inlineStr">
        <is>
          <t>蓼科高原；エドワーズ高原；アナトリア高原；富士見高原；氷川高原</t>
        </is>
      </c>
      <c r="G2780" t="inlineStr">
        <is>
          <t>高原川；高原山；高原野菜；高原駅；高原直泰</t>
        </is>
      </c>
      <c r="H2780" t="n">
        <v>29</v>
      </c>
      <c r="I2780" t="inlineStr">
        <is>
          <t>この高原の北部にはアフリカ最大の塩湖であるエトーシャ塩湖が広がる。；四方を山や丘陵に囲まれた高原であり、起伏豊かな地形を形成している。；冬の蓼科高原で、初老の作家は8歳のころの昔の自分を思い出していた。；なお現在も駅ビルを境に北側は高原口、南側は八幡野口と呼ばれている。；この4つの都市はいずれも人口の集中するメキシコの中央高原に位置している。；この高原は現在の中国領土の約23パーセントの面積を占めている。；広規模の高原が存在する場所としても知られ、代表的なものではやがある。；戦闘はヨークシャーのタウトン村とサクストン村の間の高原で行われた。；それは軽井沢高原一帯を占める広大な官牧であったと考えられている。；朝日地区の高原から、南側に広がる雄大な九州山地を見ることができる。；山頂はなだらかな高原状となっていて 遠方から同定しにくい山である。；夏でも冷涼な気候のため、平地であるにも関わらず高原植物が存在する。；山頂部では風が常に非常に激しく、山地での雷雨は高原よりも頻発する。；樹形は株立ちで、逆箒形となり、高原ではより低く横に広がる傾向がある。；高原の国の朔夜姫は欺瞞に満ちた宮廷の生活に不満を抱いていた。；山も谷も無い高原のような場所に巨大な滝があることなど到底信じられなかったからである。；その北も高原や肥沃な谷が広がっており、多くの人々が居住する。；高原の深い谷川をダムでせき止め、そこに水を貯えておくことを計画した。；同風景区は中国唯一、非常に良い状態で残っている高原湿地帯であるとも言われる。；特にリゾート開発された場所は高原リゾートと呼ばれることもある。；このとき、高原ホテルにいた加茂田組組員が、ホテルから出ようとした。；海岸地域がもっとも年間降水量が多く、次いで高原地域がやや多い。；東部は、深いが幅の広い谷が広がるトランシルヴァニア高原である。；富士見高原リゾート方面へのアクセスは鉢巻道路で利用することができる。；現在、観光と高原農業を主体とする小さな町になっている。；雨飾高原キャンプ場までは車道も整備されており車で約10分である。；春は菜の花や桜が、また秋にはコスモスが高原一面、花の絨毯となる。；これに比べ南部のアナトリア高原方面を向く山の南麓は木が少ない。；作家2人と市役所職員を乗せた大型の車が、土砂降りの高原を走っている。</t>
        </is>
      </c>
      <c r="J2780">
        <f>HYPERLINK("https://www.weblio.jp/content/高原", "词义详情")</f>
        <v/>
      </c>
      <c r="K2780">
        <f>HYPERLINK("https://yourei.jp/高原", "查看例句")</f>
        <v/>
      </c>
    </row>
    <row r="2781">
      <c r="A2781" t="inlineStr">
        <is>
          <t>交互</t>
        </is>
      </c>
      <c r="B2781" t="inlineStr">
        <is>
          <t>成功</t>
        </is>
      </c>
      <c r="C2781" t="inlineStr">
        <is>
          <t>読み方：こうご
（多く「に」を伴って副詞的に用いる）代わる代わるすること。互い違いになること。「グループごとに—に働く」「男子と女子と—に並ぶ」</t>
        </is>
      </c>
      <c r="D2781" t="inlineStr">
        <is>
          <t>交互に繰り返される；交互表示；交互に見くらべ；交互開催；交互打鍵</t>
        </is>
      </c>
      <c r="F2781" t="inlineStr">
        <is>
          <t>毎年交互；交互打鍵率；交互に見較べ；交互点滅</t>
        </is>
      </c>
      <c r="G2781" t="inlineStr">
        <is>
          <t>交互作用；交互発着；交互計算；交互階乗；交互着発</t>
        </is>
      </c>
      <c r="H2781" t="n">
        <v>29</v>
      </c>
      <c r="I2781" t="inlineStr">
        <is>
          <t>以上のようなターンをプレイヤーが交互に行うことで対戦が進行する。；当時はリードヴォーカルに加えギターとベースを交互に担当していた。；交互に攻撃をしながら最終的に戦果を10枚獲得した方が勝ちになる。；陽光柱の中の明るい部分と暗い部分が交互に現れる帯は縞と呼ばれる。；中線が撤去されたため、ホームと線路が交互に並ぶ構造となっている。；その後、日本ではアコーディオンの流行期と衰退期が交互に繰り返した。；双方のプレイヤーが各々の手番を交互に実行することでゲームを進める。；縦スクロールのステージと横スクロールのステージが交互に展開される。；一定の間隔ごとに色の異なる布を交互につないで作った幕をあるいはという。；ゲームの進行は戦略フェイズと戦闘フェイズを交互に繰り返す形となる。；ピアノ伴奏は単純で、主和音を右手と左手とで交互に奏するだけである。；二人は養子を二人取っているが、離婚後はお互いのもとで交互に暮らしている。；つまり、暗い領域と明るい領域が交互に形成される可能性がある。；なお抗堪性向上のため、機関配置は缶・機・缶・機の交互配置とされた。；また石人・石盾各60枚があり、交互に陣をなして墓の周囲に巡らされた。；また、この年以降、1年ごとにホーム開催を交互に行うことになった。；平年は30暦日の月と29暦日の月を交互に設置することになっている。；以降は芝とダートのレースを2、3戦ごとに交互に出走することとなる。；使用されている車両のLED表示は、路線名と行き先を交互に表示している。；東西の教会はいずれも祝祭と斎を交互にすべきであると規定した。；歯は長いものと短いものが交互に並ぶのが普通である。；レベルに応じた漢字の読み取り問題と書き取り問題を交互に解いていく。；このため、テンション中では必ずGoodとBadが交互に流れてくる。；新豊橋駅では2つの線路に列車を交互に発着させることができるようにしている。；男女が交互になって手を高く上げて繋ぎ、輪を描くようにして踊る。；さらに同店では生ビールをチェイサーにして交互に飲むことを勧めている。；そのため、日本語と英語を同時に表示することができず、両語が交互に表示される。；その太鼓の上の両側に男がまたがり、その両側より交互に太鼓を鳴らす。；ウォーキングとランニングは左右の脚を交互に前に出す様式である。</t>
        </is>
      </c>
      <c r="J2781">
        <f>HYPERLINK("https://www.weblio.jp/content/交互", "词义详情")</f>
        <v/>
      </c>
      <c r="K2781">
        <f>HYPERLINK("https://yourei.jp/交互", "查看例句")</f>
        <v/>
      </c>
    </row>
    <row r="2782">
      <c r="A2782" t="inlineStr">
        <is>
          <t>口語</t>
        </is>
      </c>
      <c r="B2782" t="inlineStr">
        <is>
          <t>成功</t>
        </is>
      </c>
      <c r="C2782" t="inlineStr">
        <is>
          <t>読み方：こうご
１日常の談話などに用いられる言葉遣い。話し言葉。口頭語。音声言語。⇔文語。
２明治以降の話し言葉と、それをもとにした書き言葉とを合わせていう。⇔文語。
[補説]明治以前の言葉についても、それぞれの時代の話し言葉ならびにそれをもとにした書き言葉を口語ということがある。</t>
        </is>
      </c>
      <c r="D2782" t="inlineStr">
        <is>
          <t>口語的(10%)；口語表現(4%)；口語調(2%)；口語詩；口語自由律</t>
        </is>
      </c>
      <c r="E2782" t="inlineStr">
        <is>
          <t>俗語；話し言葉</t>
        </is>
      </c>
      <c r="F2782" t="inlineStr">
        <is>
          <t>口語歌；アラビア語口語；民衆口語；口語體；口語発音</t>
        </is>
      </c>
      <c r="G2782" t="inlineStr">
        <is>
          <t>口語体；口語文；口語短歌；口語自由詩；口語訳聖書</t>
        </is>
      </c>
      <c r="H2782" t="n">
        <v>29</v>
      </c>
      <c r="I2782" t="inlineStr">
        <is>
          <t>鎌倉時代以降になると、音便は口語では盛んに用いられるようになった。；斯う云ふのは是れは口語の變遷に基いて新しい語を認めたのであります。；それを一気に口語にまで置き換える仕事には、手が廻らなかったのです。；口語で電子装置を使用しない楽器のことを「アンプラグド楽器」という。；なぜなら手話は口語や筆記の言語から独立した言語であるからである。；書面語ではハルハと変わらないが、口語の面では中国語の影響が大きい。；精霊への呼びかけには特別な魔法語ではなく口語を使うのも特徴。；江戸末期には、口語としては庶民にまで一般的に使われるようになった。；しかし、この詩が、実際のサーミ人の口語で行われるということはない。；俗語とは、用いられているものの標準語ではないとみなされる口語表現。；これは1つめに挙げた文語口語混淆体短歌とほぼ時を同じくして現れた。；これを改善するために提唱したのが、現代口語演劇理論である。；インドネシア・スンバワ島の中心集落であるタンボラでの口語であった。；口語とは、普通の日常的な生活の中での会話で用いられる言葉遣いのことである。；文語では と否定語とを同時に用いるが、口語ではしばしば が脱落する。；そうすれば「君」は女のことで、今の口語なら、「お前」ぐらいになる。；しかし口語ではneを省略しpasだけで否定を表すのが普通である。；凡そ「有物有則」でありまして口語の上に既に則と云ふ者は自然にある。；中国では口語で使用しなくなった元代や清代の語彙が残っているものもある。；これは無意識ながら口語的発想を直訳したので、無機的に固定してゐる。；たとえば島崎藤村の詩の効果は、口語では表現できなかったのです。；説教は口語たるドイツ語で行われており、教養人に向けたものではなかった。；MSAは他言語や口語アラビア語の文法構造からも影響を受けている。；特に口語では過去のことがらを表すのにも現在完了形が用いられることが多い。；現代の口語を中心とするフィーエトルはその正反対の方向へ進むものだった。；そのため、感謝祭の日は「七面鳥の日」と口語的に呼ばれることもある。；ロシア語の口語では「ロスグヴァルディヤ」の名で呼ばれることが多い。；だから二つの国や民族がどれほど離れていようと、彼らの口語は常に同一なのである。；「読み用の発音」と自然な口語との差はたとえば以下のようなものが存在する。</t>
        </is>
      </c>
      <c r="J2782">
        <f>HYPERLINK("https://www.weblio.jp/content/口語", "词义详情")</f>
        <v/>
      </c>
      <c r="K2782">
        <f>HYPERLINK("https://yourei.jp/口語", "查看例句")</f>
        <v/>
      </c>
    </row>
    <row r="2783">
      <c r="A2783" t="inlineStr">
        <is>
          <t>高校</t>
        </is>
      </c>
      <c r="B2783" t="inlineStr">
        <is>
          <t>成功</t>
        </is>
      </c>
      <c r="C2783" t="inlineStr">
        <is>
          <t>読み方：こうこう
「高等学校」の略。「普通—」</t>
        </is>
      </c>
      <c r="D2783" t="inlineStr">
        <is>
          <t>高校卒業後(7%)；高校卒業後(5%)；高校在学中；高校生活；高校入学</t>
        </is>
      </c>
      <c r="E2783" t="inlineStr">
        <is>
          <t>ハイスクール；高等学校</t>
        </is>
      </c>
      <c r="F2783" t="inlineStr">
        <is>
          <t>同じ高校；附属高校；付属高校；全国高校；薫風高校</t>
        </is>
      </c>
      <c r="G2783" t="inlineStr">
        <is>
          <t>高校時代；高校野球；高校選手権；高校生時代；高校教師</t>
        </is>
      </c>
      <c r="H2783" t="n">
        <v>29</v>
      </c>
      <c r="I2783" t="inlineStr">
        <is>
          <t>中国の高校教科書でも本物と印象づけられる紹介をされている例がある。；大学や高校の山岳部が、より困難なルートの制覇を目指して山を登った。；中学校では帰宅部、高校では剣道部に入っており放送委員も務めていた。；サッカーに関しては高校大学ともにレギュラーで試合に出場している。；付近には大学や高校が多く、近年、宅地やマンション開発も進んでいる。；高校卒業後は音楽学校などへ進学せず、美術学校で映画と美術を学んだ。；アイオワ州はアメリカ合衆国の中でも最初に高校を設置した州とされている。；イギリスおよびその連邦国では、中学・高校・補習校などにも使われる。；仕事がなくなったため、以降高校と寮を往復するだけの日々を送った。；斎藤とは高校・大学・日本プロ野球で同じチームに所属することとなった。；その娘の息子が、慶應高校に進学して高校野球で活躍した田村圭である。；これらもNHK学園高校の授業放送であり、単位取得の対象となっている。；また、コンサートに行くこと自体を禁止する中学校・高校が続出した。；この時点では14歳で、本来の就学年齢より1年早い高校入学となった。；大学時代は高校在籍時から伸ばした髪が、腰まで届くほどの長髪になる。；アメリカ合衆国の高校でスクールソングが制定されている例は少なくない。；高校卒業後はピッツバーグ大学日本校へ入学するも、俳優の道へ進む。；高校の時代には「工場のある赤い風景」のような作品を描いている。；イスタンブールの他のいくつかの高校は独自の教育や入学条件を特徴としている。；実際に合格した生徒は開成とは別の高校に進学していたという。；オロノからは神山線の既存ルートと同じで終点の神山高校前へと向かう。；ただし、漫画の中での内容と実際の高校は、ほぼ無関係といってよい。；中学編と打って変わり、高校編は雰囲気がかなり「ハーディ」 である。；高校の高学年生は州のランニングスタート・プログラム利用を選択できる。；高校卒業後、大学入試には合格したが家庭の事情で進学しなかった。；珠算・簿記・税務会計の授業がある地元の商売人の子が来る高校だった。；高校募集を停止して完全中高一貫校になる学校が徐々に増えつつある。；彼はなんとまろんの隣の部屋に入居したばかりか同じ高校へ編入してきた。；投稿を続けるうちにプロを意識するようになり、高校卒業後に上京。</t>
        </is>
      </c>
      <c r="J2783">
        <f>HYPERLINK("https://www.weblio.jp/content/高校", "词义详情")</f>
        <v/>
      </c>
      <c r="K2783">
        <f>HYPERLINK("https://yourei.jp/高校", "查看例句")</f>
        <v/>
      </c>
    </row>
    <row r="2784">
      <c r="A2784" t="inlineStr">
        <is>
          <t>煌々</t>
        </is>
      </c>
      <c r="B2784" t="inlineStr">
        <is>
          <t>成功</t>
        </is>
      </c>
      <c r="C2784" t="inlineStr">
        <is>
          <t>読み方：こうこう
［ト・タル］［文］［形動タリ］きらきらと輝くさま。明るく照るさま。「—たる星の輝き」「電球が—と輝く」</t>
        </is>
      </c>
      <c r="D2784" t="inlineStr">
        <is>
          <t>煌々とつい(2%)；煌々と明るい；煌々たる光；煌々たる電燈；煌々と輝く月</t>
        </is>
      </c>
      <c r="E2784" t="inlineStr">
        <is>
          <t>輝き；きらきら；キラキラ；きらめき；ギラギラ</t>
        </is>
      </c>
      <c r="H2784" t="n">
        <v>29</v>
      </c>
      <c r="I2784" t="inlineStr">
        <is>
          <t>広い廊下を通って奥へ行くと、座敷に煌々と灯がついているのが見えた。；向こうの部屋には、電灯が煌々とついているので、よく中が見えました。；女の隣には大きな火鉢が置かれていて、炭が煌々と赤い光を放っていた。；町を入ったすぐの所に、煌々と明りをともした深夜レストランがあった。；今の道を真っ直ぐ走り抜けると灯りが煌々と輝いている道路に出る様だ。；表戸はひろく開かれたままで、電燈が煌々と白い石の板目に輝いている。；「そんなことがあったんですね〜」 満月はあくまで煌々と輝いていた。；納戸に入ったのは夕方のはずだったのに陽は煌々と頭上にあった。；田沢の尤もらしい顔が煌々たる光りを浴びて一つ時、間が抜けて見えた。；煌々と輝く月の下で、千ほどの首は集められ、幾つかの穴の中に埋葬された。；短艇は煌々と灯りをつけ、瀕死の突撃艦のなかで存在感を主張していた。；汽車は煌々と明るい駅から霧の中へ、そして闇の中へと入っていく。；店はみな煌々とあかりがついて営業しており、客が出入りしていた。；進駐軍用の建物には灯が煌々とかがやいて、入口にM・Pが立っている。；われわれの目的は、水に写るあの煌々たる火影の美観を楽しみたいのだ。；道の入口付近に街灯があり、大家の住む家の門灯も煌々と灯されている。；その開いたドアと、そこから奔り出る煌々たる光線から逃れたかったのだ。；病室は煌々と明るく、布団を取り囲んでいる人たちの背中だけが見えた。；煌々と照らされた庭園に着陸すると、大勢の人々が庭園に集まっていた。；エンジン音がして探照灯を煌々と灯した戦闘指揮車が駐車場に入ってきた。；ゴーグルで増幅されたアーチ光は、雲をとおしてさえ煌々と輝いていた。；ほっそりとした肩はうなだれているが、大きな目は煌々と輝いている。；入口にはスイス人の番人が立っていて、階段には煌々と明りがついていた。；煌々と輝いたサロンから出てきた眼には、ここはほとんど薄暗かった。；その煌々と灯っていた明かりが次の瞬間、ふっと吹き消すように消えた。；窓に煌々と明かりが灯っていたときは、まだ可能性はあると希望をもっていた。；まだ夜は明けていなかったが、部屋には煌々と明かりがついていた。；知事の邸はしかし、まるで舞踏会でもあるように煌々と灯りがついていた。；電灯は煌々とついていて昼間のように明るいが、ここにいたのでは昼だか夜だか分らない。</t>
        </is>
      </c>
      <c r="J2784">
        <f>HYPERLINK("https://www.weblio.jp/content/煌々", "词义详情")</f>
        <v/>
      </c>
      <c r="K2784">
        <f>HYPERLINK("https://yourei.jp/煌々", "查看例句")</f>
        <v/>
      </c>
    </row>
    <row r="2785">
      <c r="A2785" t="inlineStr">
        <is>
          <t>孝行</t>
        </is>
      </c>
      <c r="B2785" t="inlineStr">
        <is>
          <t>成功</t>
        </is>
      </c>
      <c r="C2785" t="inlineStr">
        <is>
          <t>読み方：こうこう
［名・形動］(スル)
１子として親を大切にすること。また、そのさま。親孝行。「—な息子」「親が元気なうちに—する」
２親に対するのと同じように、人を大切に扱うこと。「奥さん—」</t>
        </is>
      </c>
      <c r="D2785" t="inlineStr">
        <is>
          <t>孝行息子(9%)；孝行者(6%)；孝行娘(4%)；孝行心；孝行ぶり</t>
        </is>
      </c>
      <c r="E2785" t="inlineStr">
        <is>
          <t>孝；親孝行</t>
        </is>
      </c>
      <c r="F2785" t="inlineStr">
        <is>
          <t>吉沢孝行；亭主孝行；母親孝行</t>
        </is>
      </c>
      <c r="G2785" t="inlineStr">
        <is>
          <t>孝行猿；孝行恩愛</t>
        </is>
      </c>
      <c r="H2785" t="n">
        <v>29</v>
      </c>
      <c r="I2785" t="inlineStr">
        <is>
          <t>この事件が発生するまで、奥野は近所では評判の孝行息子で通っていた。；両親が生きている間は、ちっとも息子らしい孝行をしたことがなかった。；孝行譚自体は数多く、ここに採られたものだけが賞されたわけではない。；あれは本当の孝行者だけに、見世物にされるのがたまらなかったのだよ。；孝行な息子がそっとかくしていた父にたずねてみると、それは何でもない。；家は比較的安定し、彼女は家庭を助け、世間からは孝行娘と呼ばれた。；条件戦で息の長い活躍を続ける馬主孝行なタイプの馬を多く送り出した。；親だって、子供に孝行してもらうことを期待しているわけじゃない。；青年は、まるで孝行息子のように、ベットの母親風の圧力に屈していた。；しかもあなたの場合、一度きりで一生分の孝行を済ませられますわよ。；父が死刑になるのを身代りになることは、孝行な行為ではないでしょうか。；たとえそれが孝行の道とどんなにひどい摩擦を起こしましょうとも。；また父に気の毒だといっても私の家にいて何一つ孝行もできません。；親が孝行をせよといえば、親のいうことだからちがいがあるまいと思っていました。；ラブちゃんはお母さんが病気でいつも病院から出勤してた孝行息子よ。；自分はほんとうに親に孝行をしたいかどうかを真実に思ってみるようになりました。；五万石の知行取りの妻となった今は、母に孝行らしいこともしてやりたい。；が、あの美しい声の孝行娘はもう、二度と姿を現わさなかったのです。；その一方で、父のない家、身よりのない老人、孝行者などを選んで支援した。；一生懸命に働き、そして週末には家族孝行のために新幹線で帰って行く。；彼らの孝行は親の抱いていた理想の実現に努めることであった。；特に儒学に理解があり、そのため質素倹約や孝行に尽くしたといわれる。；孝行をすべきだったし、するつもりはあったと思っております。；孝行という動機は、スディンナの罪を少しも軽くしてはくれなかったのだ。；まあしかし、根が孝行なやつだからちゃんとした仕事をはじめるだろう。；わたしは大きくなったらおかあさんに孝行つくしたいと思っています。；そうすれば、いたらない者ではありますが、一生けんめい孝行いたします。；事情を知らぬ者は、孝行息子の哀切な姿に、涙をさそわれたにちがいない。；しかし孝行息子というのは、得てして親の財産を狙っているものでもある。</t>
        </is>
      </c>
      <c r="J2785">
        <f>HYPERLINK("https://www.weblio.jp/content/孝行", "词义详情")</f>
        <v/>
      </c>
      <c r="K2785">
        <f>HYPERLINK("https://yourei.jp/孝行", "查看例句")</f>
        <v/>
      </c>
    </row>
    <row r="2786">
      <c r="A2786" t="inlineStr">
        <is>
          <t>高校生</t>
        </is>
      </c>
      <c r="B2786" t="inlineStr">
        <is>
          <t>成功</t>
        </is>
      </c>
      <c r="C2786" t="inlineStr">
        <is>
          <t>読み方：こうこうせい
高等学校の生徒。</t>
        </is>
      </c>
      <c r="D2786" t="inlineStr">
        <is>
          <t>高校生たち；高校生向け；高校生以上；高校生以下；高校生年代</t>
        </is>
      </c>
      <c r="F2786" t="inlineStr">
        <is>
          <t>当時高校生；全国高校生；平凡な高校生；不良高校生；小中高校生</t>
        </is>
      </c>
      <c r="G2786" t="inlineStr">
        <is>
          <t>高校生ドラフト；高校生クイズ；高校生のコメロンパン；高校生カップル；高校生ラップ選手権</t>
        </is>
      </c>
      <c r="H2786" t="n">
        <v>29</v>
      </c>
      <c r="I2786" t="inlineStr">
        <is>
          <t>沿線には複数の高校があり、主な利用者は通学で利用する高校生である。；この騒ぎは、日本で最初の高校生による学校占拠であったとされている。；小学生時にギターを始め、高校生時には本格的な音楽バンドを結成した。；カフェや高校生の自習室を備えた施設に改修して有人を維持するという。；この計画は、高校生が実際に教室で学ぶ時間を増やそうとするものだった。；大北とは高校生のときからコンビを組んでいて、文化祭などに出ていた。；原則として高校生のみを対象にしていていわゆる浪人生を受け入れない。；また、上記の大学設備は授業や部活等で中学・高校生が使用する場合がある。；中学生は3年間資格が保証され、高校生は1年ごとに資格が更新される。；逆に、地元で成績優秀な高校生が、飛び級で学びに来ていたりもする。；高校生の時に友人達とのグループで地下鉄の駅や街角で歌っていた。；一人は宮崎より年長のプロのモデル、もう一人は一般の高校生だった。；海外特科コースは、海外に暮らしている日本人の高校生向けのコース。；地理的関係からこの駅から乗降する高校生が多く、朝は非常に混雑する。；沿線に複数の高等学校があり、高校生の通学利用が8割と大半を占める。；午後から夕方にかけては年配客、高校生を中心に席が埋まることも多い。；杵築高校生の通学をはじめ、地域住民になくてはならないものであった。；企画会議に参加した糸井は、視聴ターゲットを高校生にすることを提案。；これで3年連続での地元の高校生選手の1位指名での交渉権獲得となった。；高校生の頃はバンドを組んでおりベースを担当していた。；生徒はすべて、実際の高校生3000人からオーディションで選ばれた。；高校生を対象とした写真コンテストだが、一般的な知名度はまだ低い。；幼いころから天文学に興味があり、高校生のときには天体望遠鏡を自作。；小学生のころから絵を描いており、姉の影響で高校生の頃から漫画を描き始める。；また高校生もアイスやカップ麺を購入するのは放課後の利用時のみである。；路線の廃止が発表された際には地元高校生らが路線存続を訴え、ニュースなどで話題となった。；全国の高校生が参加する高校生詩のボクシング全国大会も行われている。；そのため、高校生は地元以外の地区大会にも一般の部で出場するのが一般的である。；高校生の時には、自分達で作ったシナリオで芝居を上演し、脚本や演出も行う。</t>
        </is>
      </c>
      <c r="J2786">
        <f>HYPERLINK("https://www.weblio.jp/content/高校生", "词义详情")</f>
        <v/>
      </c>
      <c r="K2786">
        <f>HYPERLINK("https://yourei.jp/高校生", "查看例句")</f>
        <v/>
      </c>
    </row>
    <row r="2787">
      <c r="A2787" t="inlineStr">
        <is>
          <t>考古学</t>
        </is>
      </c>
      <c r="B2787" t="inlineStr">
        <is>
          <t>成功</t>
        </is>
      </c>
      <c r="C2787" t="inlineStr">
        <is>
          <t>読み方：こうこがく
遺跡や遺物によって、古い時代の人類の生活・文化を研究する学問。</t>
        </is>
      </c>
      <c r="D2787" t="inlineStr">
        <is>
          <t>考古学的(37%)；考古学研究(4%)；考古学調査(4%)；考古学博物館(3%)；考古学遺跡</t>
        </is>
      </c>
      <c r="F2787" t="inlineStr">
        <is>
          <t>重要な考古学；考古学教授；考古学公園；考古学的知見；考古学研究所所長</t>
        </is>
      </c>
      <c r="G2787" t="inlineStr">
        <is>
          <t>考古学研究会；考古学の歴史</t>
        </is>
      </c>
      <c r="H2787" t="n">
        <v>29</v>
      </c>
      <c r="I2787" t="inlineStr">
        <is>
          <t>考古学的には王名表に記載されていないアッシリア王も発見されている。；考古学や地質学で一般的に利用される年代には以下のようなものがある。；彼らの信仰が存在していたことを示す考古学的な証拠は極めて少ない。；日本考古学が遺跡と遺構を呼び分けはじめたのは30数年前以来である。；しかしこれは今日知られている考古学的な第2王朝の王達と一致しない。；考古学の研究によれば6〜10世紀の間に建立されたと考えられている。；現在、考古学的な発掘調査を根拠とした所在地の推定はなされていない。；当時の人口や環境に関する考古学的な部分はイースター島の歴史を参照。；放射性炭素年代を解釈する上で鍵となる概念は考古学でいう共伴である。；また考古学的にも有力な証拠が出ておらず、今も結論は出ていない。；その時代を深く理解するための、多くの重要な考古学的発見がなされている。；それはと呼ばれる考古学遺跡で、この地域を治める中心的位置にあった。；ただし、これを補強する考古学的発見は十分でないことも指摘される。；この村の周辺では、鉄器時代前の考古学的な遺跡がたくさん存在する。；また、叙述に考古学的成果が用いられていない点も石川は問題視している。；しかし、当時は現代的な意味での考古学は未整備な状況であった。；覆土とは、主に考古学の用語で、遺構の内部に堆積した土のことをいう。；また古代史学・考古学とも関係があり地域性やテーマ性を帯びている。；また、考古学的知見は新事実の発見や分析の発展で変遷することがある。；また考古学の発展もあって、文字の発達や分化の理論も修正された。；マネトの記述と考古学的推定との対応は以下の表のとおりである。；考古学的には約6000年前からイーラームには人が住んでいたと思われる。；文学の勉強を始める前は考古学、とくにエトルリア文明に夢中だった。；考古学的には約10万年前の旧石器時代中期以降の遺跡が確認されている。；これは、考古学的に確認された確実なトイレ遺構では日本で最初の事例である。；これらの枕文化は当時の加工技術を知る上でも重要な考古学資料となっている。；考古学的な証拠はないが、伊予製の塩も運ばれていたと思われる。；マイコープ文化の名で知られるように、一帯に考古学的遺跡が集中している。；工事の際に多数の土器が発見されたが、その後の考古学研究につながっていった。</t>
        </is>
      </c>
      <c r="J2787">
        <f>HYPERLINK("https://www.weblio.jp/content/考古学", "词义详情")</f>
        <v/>
      </c>
      <c r="K2787">
        <f>HYPERLINK("https://yourei.jp/考古学", "查看例句")</f>
        <v/>
      </c>
    </row>
    <row r="2788">
      <c r="A2788" t="inlineStr">
        <is>
          <t>広告</t>
        </is>
      </c>
      <c r="B2788" t="inlineStr">
        <is>
          <t>成功</t>
        </is>
      </c>
      <c r="C2788" t="inlineStr">
        <is>
          <t>読み方：こうこく
［名］(スル)
１広く世間一般に告げ知らせること。
２商業上の目的で、商品やサービス、事業などの情報を積極的に世間に広く宣伝すること。また、そのための文書や放送など。「—を載せる」「新製品を—する」「募集—」</t>
        </is>
      </c>
      <c r="D2788" t="inlineStr">
        <is>
          <t>広告宣伝；広告看板；広告欄；広告賞；広告用</t>
        </is>
      </c>
      <c r="E2788" t="inlineStr">
        <is>
          <t>発表；触れ；宣言；宣伝；公表</t>
        </is>
      </c>
      <c r="F2788" t="inlineStr">
        <is>
          <t>募集広告；テレビ広告；広告枠；広告社；広告デザイン</t>
        </is>
      </c>
      <c r="G2788" t="inlineStr">
        <is>
          <t>広告会社；広告塔；広告主；広告収入；広告料</t>
        </is>
      </c>
      <c r="H2788" t="n">
        <v>29</v>
      </c>
      <c r="I2788" t="inlineStr">
        <is>
          <t>広告などは、その他の販売関連業の収入に依存しているのが現状である。；本作の内容を反映し、ジャケットは広告のようなデザインとなっている。；書籍・雑誌ではバスラマ・インターナショナルに書籍広告を出している。；初期の雑誌広告などではスクエアーソフトという表記も確認されている。；また広告が入っていた場合でも、照明を点灯することはなくなっていた。；広告看板も当初はそのまま使われたが、その後本体色で塗りつぶされた。；著名なアーティストの起用は品質のみならず広告上の影響も大きい。；アドウェアとは、広告を目的とした通常は無料のソフトウェアである。；トレーニング器具ブルワーカーの雑誌広告に起用されていたこともある。；私はインタビューをすることも、映画や広告の仕事もできません。；この後もユニークな広告を掲載してアメリカで非常に有名となる。；広告写真は、商品・サービス・企業等の宣伝・広告の目的で撮影された写真。；大学では既存の広告や有名な小説の押絵などを使用した。；広告付きのものは2013年の年末発売分までは45円で販売されていた。；WWFは独自のレポートを発行しており、広告活動も盛んに行われている。；アメリカ本国ではテレビCMや雑誌などの広告にはほとんど出演していない。；そのため、自身の広告主への批判を自主規制してしまうことが多い。；表示器の設置していないドア上部には広告枠とドア開閉予告灯が設置してある。；これらの行為は、その意図・行動・効果などの面からまさしく広告と言える。；このため営利目的の広告をしておらず、商業広告による収入を得ていない。；大津屋入社後、数ヶ月で仕事のシステムを覚え、広告の制作・営業を担当。；このことは広告戦略や有名な機関車の設計など、多くのことに影響を及ぼした。；ほか、企業の広告として連載されていたものが人気を博していたこともある。；近年では、車体一面に広告を掲載しているラッピング車両も多く存在している。；なかにはまったく広告表示もなくて無料のものもある。；回転式広告は2002年に設置されたもので複数社がスポンサーとなっている。；この時ロマンスの広告戦略で他のホストクラブも広告を出していた。；連載終了後も本誌の広告の企画コーナーでイラストがたびたび掲載されていた。；テレビ広告でも同じような内容のものが放送された。</t>
        </is>
      </c>
      <c r="J2788">
        <f>HYPERLINK("https://www.weblio.jp/content/広告", "词义详情")</f>
        <v/>
      </c>
      <c r="K2788">
        <f>HYPERLINK("https://yourei.jp/広告", "查看例句")</f>
        <v/>
      </c>
    </row>
    <row r="2789">
      <c r="A2789" t="inlineStr">
        <is>
          <t>交差</t>
        </is>
      </c>
      <c r="B2789" t="inlineStr">
        <is>
          <t>成功</t>
        </is>
      </c>
      <c r="C2789" t="inlineStr">
        <is>
          <t>読み方：こうさ
［名］(スル)
１2本以上の線状のものが、ある一点で交わること。また、互い違いになること。「道路が縦横に—している」「立体—」⇔平行。
２生殖細胞の減数分裂の際、相同染色体の間でその一部が交換する現象。交換部分の対立遺伝子がヘテロ（異型）の場合、遺伝子の組み替えがみられる。乗り換え。</t>
        </is>
      </c>
      <c r="D2789" t="inlineStr">
        <is>
          <t>交差する(42%)；交差部(3%)；交差地点；交差式；交差路</t>
        </is>
      </c>
      <c r="E2789" t="inlineStr">
        <is>
          <t>交差点；辻；交叉点；四つ角；キアズマ</t>
        </is>
      </c>
      <c r="F2789" t="inlineStr">
        <is>
          <t>下枠交差；平面交差；枠交差式；交差式パンタグラフ；交差双ローター</t>
        </is>
      </c>
      <c r="G2789" t="inlineStr">
        <is>
          <t>交差反応；交差耐性；交差適合試験；交差検証；交差エントロピー</t>
        </is>
      </c>
      <c r="H2789" t="n">
        <v>29</v>
      </c>
      <c r="I2789" t="inlineStr">
        <is>
          <t>この交差路はより適切なインターチェンジを作るためそれ以後撤去された。；今も交差ガード付近にかつての奈良行きホームと階段の一部が残っている。；当駅は鎌倉町通りと交差する地点に位置し、古くからの商業地域にある。；もっとも一般的なのは、道路相互を単純に平面交差させる形式である。；建物を十字に交差させ、その交点上に塔を持つ形式のものも登場している。；後に交差廊を加え、ラテン十字形を基本とする形式をとるようになった。；そのため画像によって平行法と交差法のどちらで見るか決まっている。；線路の分岐箇所や交差箇所で、線路中心間が4mとなる箇所に設置される。；駅の周辺では幹線道路が交差しておりロードサイド店が進出している。；画像の中央、鉄道との交差部の左側がクランク状になっているのが分かる。；そのことを強調するために自己交差の部分をぼかして図示されることがある。；首都エリスタでは3本の主要道路が交差し、鉄道は黒海まで通っている。；この当時、四条・七条と違って当駅は京都市電と交差していなかった。；これに大町の芭蕉の辻において南北の道である奥州街道が交差していた。；横浜線と横浜市営地下鉄は駅の横浜寄りでほぼ直角に交差している。；この本線部と交差道路とはすべて掘割または高架で通過するので信号機はない。；なお、測定用パンタグラフは相鉄では初めて下枠交差型が用いられた。；日比谷線の中目黒側と、京葉線の東京側で両路線のホームが交差している。；よって、県道名古屋小牧線の交差部で本線が途切れた状態で供用された。；この円錐と交差すると、地球では太陽からの電波よりも高い出力が観測される。；変身に際しては、まず両腕を左右に広げ、次に拳を体の前で交差させる。；海賊旗の中でもドクロの下に交差する曲刀などはこの類と言える。；木でできた台の先端に交差するように弓が取り付けてある。；南西から北東に長い駅は、ほぼ東西方向に走る国道45号と斜めに交差する。；精進川と斜めに交差する位置にあり、ホームの南半分が川の上にかかっている。；集電装置は屋根上のスペースの都合上、下枠交差式パンタグラフを採用した。；交差点の名称は、交差する2つの街路名を合成したものが用いられることが多い。；山陽本線との交差地点から県道19号線までは道路に転用されている。；当駅の西側では中部横断自動車道が新幹線をくぐる形で交差している。</t>
        </is>
      </c>
      <c r="J2789">
        <f>HYPERLINK("https://www.weblio.jp/content/交差", "词义详情")</f>
        <v/>
      </c>
      <c r="K2789">
        <f>HYPERLINK("https://yourei.jp/交差", "查看例句")</f>
        <v/>
      </c>
    </row>
    <row r="2790">
      <c r="A2790" t="inlineStr">
        <is>
          <t>講座</t>
        </is>
      </c>
      <c r="B2790" t="inlineStr">
        <is>
          <t>成功</t>
        </is>
      </c>
      <c r="C2790" t="inlineStr">
        <is>
          <t>読み方：こうざ
１（カウ‐）
㋐大学院や大学に置かれる研究・教育のための組織。教授・准教授・助教・講師・助手などの人的構成からなる。「仏文学の—を設ける」
㋑大学で行われる講義をまねた形式の講習会や放送番組。「市民—」「ラジオ—」
㋒大学の講義形式をとって編集した出版物。
２（コウ‐）寺院などで、講師のすわる席。</t>
        </is>
      </c>
      <c r="D2790" t="inlineStr">
        <is>
          <t>講座教授(4%)；講座講師；講座等；講座担当；講座助教授</t>
        </is>
      </c>
      <c r="E2790" t="inlineStr">
        <is>
          <t>コース；授業；講義；課程；レッスン</t>
        </is>
      </c>
      <c r="F2790" t="inlineStr">
        <is>
          <t>学講座；特別講座；市民講座；教養講座；対策講座</t>
        </is>
      </c>
      <c r="G2790" t="inlineStr">
        <is>
          <t>講座番組；講座制；講座制と学科目制</t>
        </is>
      </c>
      <c r="H2790" t="n">
        <v>29</v>
      </c>
      <c r="I2790" t="inlineStr">
        <is>
          <t>近年はインターネットを利用した学習サポートを行っている講座もある。；私が拘束されたために学部や大学院に開設された講座が閉講されたのだ。；また日本語指導の必要のある生徒に対する日本語講座も開講されている。；講座や育成に関連したサービスは、概ね無料または安価で提供している。；市民大学講座とは、市民のために開設される講座の集合体のことである。；生涯学習社会の実現を目指して、多数の講座開設と社会連携の推進を行う。；開発はこの講座で講師を務めた島内剛一らが数ヶ月掛けておこなった。；かれは自分をどのように扱い話すかについて速成講座を開いてくれた。；生徒数が一定数以上の講座では、模試の成績に応じてクラス分けを行った。；その時々の世界情勢の影響を受けやすい講座であったことは否定できなかった。；以前は春季にも講座が行われていたが現在は行われていない。；ビデオ講座の受講を決心したターゲットには、口外禁止の約束をさせる。；このような状況に対応するため他種別には見られない国家試験対策講座がある。；他にも、高速基礎マスター講座や東進の各種模試を受けることができる。；「タレント育成講座」なので「乙女塾名義の楽曲」は制作されていない。；また、高校卒業を目的としない社会人対象の生涯学習の講座も実施していた。；博物館の庭園管理担当者により週に一度行なわれる講座が多数設けられている。；また大手進学塾と提携して土曜特別講座として補習授業を実施している。；受講生は、わいせつ作品が講座の中で紹介されるとは予測できなかったとした。；講座からは毎年アナウンサーのみならず数多くのマスコミ就職者を出している。；またエンディング後の次回予告では、簡単な交通安全講座も行っている。；生徒は、希望進路や興味に応じた演習科目や発展講座を選ぶことができる。；自らの演劇活動の傍ら演劇講座の講師を積極的に務めている。；自ら講座の選択が可能であり、多くの生徒が利用している。；主に社会人や大学生などを対象にした、資格取得を目的とする講座。；普段のレッスンとはまた違うバラエティに富んだ講座が企画される事が多い。；東京大学助手・助教授を経て、1981年に解剖学第二講座教授となる。；検定試験では、講座で使用されたテキストの範囲外からも出題される。；船舶の安全運航に必要となる海事系の専門基礎科目等を担当する講座。</t>
        </is>
      </c>
      <c r="J2790">
        <f>HYPERLINK("https://www.weblio.jp/content/講座", "词义详情")</f>
        <v/>
      </c>
      <c r="K2790">
        <f>HYPERLINK("https://yourei.jp/講座", "查看例句")</f>
        <v/>
      </c>
    </row>
    <row r="2791">
      <c r="A2791" t="inlineStr">
        <is>
          <t>口座</t>
        </is>
      </c>
      <c r="B2791" t="inlineStr">
        <is>
          <t>成功</t>
        </is>
      </c>
      <c r="C2791" t="inlineStr">
        <is>
          <t>読み方：こうざ
１簿記の「勘定口座」の略。
２金融機関で、加入者ごとに金銭の記録・計算を行う仕組み。
㋐「預金口座」の略。「—を開く」
㋑「振替口座」の略。「—番号」</t>
        </is>
      </c>
      <c r="D2791" t="inlineStr">
        <is>
          <t>口座開設(7%)；口座残高；口座間；口座管理；口座数</t>
        </is>
      </c>
      <c r="E2791" t="inlineStr">
        <is>
          <t>銀行口座</t>
        </is>
      </c>
      <c r="F2791" t="inlineStr">
        <is>
          <t>匿名口座；取引口座；新規口座；指定口座；専用口座</t>
        </is>
      </c>
      <c r="G2791" t="inlineStr">
        <is>
          <t>口座番号；口座維持手数料；口座凍結；口座引落；口座自動振替</t>
        </is>
      </c>
      <c r="H2791" t="n">
        <v>29</v>
      </c>
      <c r="I2791" t="inlineStr">
        <is>
          <t>念のために書いておくが、この口座には、あと六百円しか残っていない。；それで君のサラリーとは別に、君の母親の口座にも金を振りこんでおく。；あの婦人はその後一度も現われませんし、口座もそのままになっています。；その他、口座勘定のない営業店が両県の漁連支所などに設置されている。；穴吹の口座取引のある銀行のカードで、彼はこの春から会員になっている。；債権者たちは請求するためにクラーケンの口座を開設する必要があった。；いままでの調査でわかったところでは、おそらくかれのただ一つの口座だろう。；僕は彼女の口座に時計代を振り込むためにもう一度銀行へ向かった。；アメリカでは普通口座を開設すれば個人小切手は簡単に利用できる。；支払い前にはリコール団体の口座から現金が引き出されていたとされる。；患者は医師のいうままに、ドクターの口座に二千五百万円を振り込んだ。；銀行の口座に、画材を買うために親からもらったお金が入っていた。；代表口座以外に、下記のようにいくつかの特徴的な預金口座形態が存在する。；口座を解約してしまったか、取り引きを停止させられてしまったのか。；現在、新たに口座を通常に開設する場合には残高次第で維持手数料が必要。；君の全口座を合わせれば、わが国とソ連だって買収できるのではないかね。；クルージはカリフォルニアのどこの銀行にも口座をもっていなかった。；また秘密口座の中には日本の丸紅や東北電力の口座も含まれていると言う。；口座には大金があるはずだと聞きかえしたが、そんなものはないとの返事。；また金の振込先の欄には、メモを見ながらある会社の口座を書き込んだ。；口座を別の銀行に移し変えて、通帳と印鑑はレナが預かることになった。；更に対象となるのは申し込みであり、会員登録や口座開設は条件ではない。；ブランチインブランチは継続するため、口座店は従来通り9店舗となる。；前述のように、無利子銀行には無配当の口座と有配当の口座が存在する。；人気作家であった彼の口座には、死亡時、百万ドルの残高があった。；中国銀行から彼の口座に十万ドルが振り込まれているのがわかった。；支店を持たない銀行や、そもそも銀行ではない組織が匿名口座を開いていた。；今僕が自分の口座に持っているのは70ポンド程だが、満足しているし幸せだ。；また、代り金を本人確認を経ていない口座から引落す場合も同様である。</t>
        </is>
      </c>
      <c r="J2791">
        <f>HYPERLINK("https://www.weblio.jp/content/口座", "词义详情")</f>
        <v/>
      </c>
      <c r="K2791">
        <f>HYPERLINK("https://yourei.jp/口座", "查看例句")</f>
        <v/>
      </c>
    </row>
    <row r="2792">
      <c r="A2792" t="inlineStr">
        <is>
          <t>交際</t>
        </is>
      </c>
      <c r="B2792" t="inlineStr">
        <is>
          <t>成功</t>
        </is>
      </c>
      <c r="C2792" t="inlineStr">
        <is>
          <t>読み方：こうさい
［名］(スル)人と人とが互いに付き合うこと。まじわり。「—を結ぶ」「グループで—する」「男女—」
[用法]交際・つきあい——「友人との交際（付き合い）」「交際（付き合い）が広い」のように、他人と関係を持つという意では相通じて用いられる。◇「付き合い」は、「家族も同然の付き合い」のように私的に親密な関係から、「付き合いで飲みに行く」「あの会社とは付き合いがない」のように、義理や業務上の関係にまで広く使われる。◇「交際」は、義理や世間体の関係ではなく、表立った付き合いの意で用いて、「交際費」のような複合語をつくる。◇類義語「まじわり」は多く文章語として用いる。</t>
        </is>
      </c>
      <c r="D2792" t="inlineStr">
        <is>
          <t>交際関係；交際期間；交際範囲；交際社会；交際歴</t>
        </is>
      </c>
      <c r="E2792" t="inlineStr">
        <is>
          <t>相手；会社；連れ；合併；接触</t>
        </is>
      </c>
      <c r="F2792" t="inlineStr">
        <is>
          <t>男女交際；当時交際；御交際；とも交際；親しい交際</t>
        </is>
      </c>
      <c r="G2792" t="inlineStr">
        <is>
          <t>交際費；交際中；交際経験；交際クラブ</t>
        </is>
      </c>
      <c r="H2792" t="n">
        <v>29</v>
      </c>
      <c r="I2792" t="inlineStr">
        <is>
          <t>警察は深い交際があったのではないかと捜査を進めていると報道された。；他の男性と交際していたが、不良仲間とは肉体関係は持っていなかった。；玉子と交際していたころである結婚する前は「玉子さん」と呼んでいた。；その後は、アメリカのマヴェリック・レコードの社長と交際したりした。；退院の際には交際していることが判明した浅野ゆう子も付き添っている。；直前に交際女性から別れを告げられていたことが判明している。；プライベートではロバート・レッドフォードと交際していた時もあった。；謎の恋人とペトラルカは、実際には交際を持たなかった可能性が強い。；主人公の父は中国出身の女性外交官と交際した末に妻と離婚する。；交際している俳優のオリヴィア・ボナミーとの間に一子をもうけている。；男女の出会いや交際を目的としたもので1990年代に若者の間で人気となった。；さすがの彼女も、とうとう等の有限実行ぶりを認めて交際をスタート。；この頃には公に親密に交際を育んでいることを双方とも認めている。；過去に俳優のチャールズ・ダンスやデビッド・テナントと交際していた。；矢口と中村はこの場での出会いがきっかけで交際に発展し、結婚に至った。；結局、この人物との交際が原因となって母親は祖父から絶縁された。；圭の心が勇介と藤木との間で揺れ動く場面もあったが交際は順調に続く。；現在はオーストラリア出身の歌手、デルタ・グッドレムと交際している。；俳優ロブ・ロウとの交際は有名で結婚まで噂されたこともあった。；したがって、彼女は働かず、金持ち男性と交際することで生活している。；東京に出る計画も立てたが、女性と交際を始めたことや、生活を考えて断念。；美しい文字で書を書くことで男性への交際を申し込みを承諾させてしまう。；そして番組で女性とお見合いすることになり、交際を経て結婚した。；やがて二人は交際を始め、ルネはますます彼女に夢中になってゆく。；バランシンとはロシア時代から長く交際したが、結婚までにいたらなかった。；その縁で交際に発展すると、2012年10月12日に中島と結婚した。；それ以前には1998年に女優のグウィネス・パルトローと交際していた。；母親に対するコンプレックスから真剣に女性と交際したことがなかった。；このような交際は間もなく途絶え、まともな家庭を築くこともなかった。</t>
        </is>
      </c>
      <c r="J2792">
        <f>HYPERLINK("https://www.weblio.jp/content/交際", "词义详情")</f>
        <v/>
      </c>
      <c r="K2792">
        <f>HYPERLINK("https://yourei.jp/交際", "查看例句")</f>
        <v/>
      </c>
    </row>
    <row r="2793">
      <c r="A2793" t="inlineStr">
        <is>
          <t>耕作</t>
        </is>
      </c>
      <c r="B2793" t="inlineStr">
        <is>
          <t>成功</t>
        </is>
      </c>
      <c r="C2793" t="inlineStr">
        <is>
          <t>読み方：こうさく
［名］(スル)田畑を耕して穀物・野菜などを栽培すること。</t>
        </is>
      </c>
      <c r="D2793" t="inlineStr">
        <is>
          <t>耕作たち；耕作可能；耕作面積；耕作用；耕作法</t>
        </is>
      </c>
      <c r="E2793" t="inlineStr">
        <is>
          <t>農業；栽培；育成；教養；育てる</t>
        </is>
      </c>
      <c r="F2793" t="inlineStr">
        <is>
          <t>朝比奈耕作；由比耕作；煙草耕作；山名耕作；朝比奈耕作</t>
        </is>
      </c>
      <c r="G2793" t="inlineStr">
        <is>
          <t>耕作者；耕作放棄地；耕作権；耕作放棄</t>
        </is>
      </c>
      <c r="H2793" t="n">
        <v>29</v>
      </c>
      <c r="I2793" t="inlineStr">
        <is>
          <t>近くの畑だけが耕作され遠い畑は雑草だらけになって狩猟地に使われる。；これは煙草耕作には、固定資金がかなりいるところから來る結果であつた。；博物館では次の青銅器時代と鉄器時代の耕作の遺跡を見ることができる。；これで栽培可能な季節を延長でき、耕作可能な土地が大きく広がった。；出作とは、ある地域の住民が別の地域にある田畑を耕作することを指す。；各家族は、適当に耕作が出来かつ納税に堪えるほどの土地を与えられる。；集落に住む住民は大和川を渡って耕作を行うこととなり不便を強いられた。；これら奴隷の一部はイリノイに送られ農場の耕作や鉱山労働に使われた。；つまり、耕作をしているか、土地の経営を行っていたかのどちらかであった。；静観することは耕作することであり、思考することは行動することである。；食料不足と治安悪化のために農民が耕作を放棄することで流民となった。；本来は実際にこれを耕作していた負人側からの呼び名であると言われている。；このため平地の土壌は1892年のの時点でも、耕作されていなかった。；田畑の耕作は許可されていたため、多くは付近の親戚や知人宅を頼った。；人口が減少して限られた耕作面積で充分量の穀物を得ることが出来るからである。；それでも耕作できる土地は不足しており、人口増加は抑えられてきた。；土地の天然の収穫で満足していられなくなったので人間は耕作の術を発明した。；人口学的に人々の職業は耕作可能な土地の地形などに従っている。；庭木は、非常に顕著な効果を達成するため耕作がなされることがよくある。；ティコは農業計画を支配し、従来の2倍の耕作を農民たちに要求した。；まったく逆の事例が、南部と東部での広範囲な焼畑方式と移動耕作である。；この施設は大半が自給自足であり、入居者が耕作する大きな農園がある。；また、それを実際に耕作する事力も与えられ、不輸租田が原則であった。；この文化ではアワを耕作する農業やブタを飼育する畜産を実践していた。；農業技術については、地域の特性に合わせた様々な耕作方法が利用された。；戊が土に属し、耕作すれば土を犯すことになると考えられているためである。；ところがこの再乾燥のための設備が、耕作段別の増加に伴なはぬのだつた。；永遠の春の支配のもとに地は耕作を待たずして豊富な収穫を生じた。；一方で山間盆地が形成されているため、 耕作や稲作が行われている。</t>
        </is>
      </c>
      <c r="J2793">
        <f>HYPERLINK("https://www.weblio.jp/content/耕作", "词义详情")</f>
        <v/>
      </c>
      <c r="K2793">
        <f>HYPERLINK("https://yourei.jp/耕作", "查看例句")</f>
        <v/>
      </c>
    </row>
    <row r="2794">
      <c r="A2794" t="inlineStr">
        <is>
          <t>工作</t>
        </is>
      </c>
      <c r="B2794" t="inlineStr">
        <is>
          <t>成功</t>
        </is>
      </c>
      <c r="C2794" t="inlineStr">
        <is>
          <t>読み方：こうさく
［名］(スル)
１簡単な器物を作ること。また、それを学ぶ学科。「図画—」
２土木・建築・製造などの工事や作業。
３ある目的を達するために、前もって他に働きかけたり、計画をめぐらしたりして下準備すること。「陰にまわって—する」「和平—」</t>
        </is>
      </c>
      <c r="D2794" t="inlineStr">
        <is>
          <t>工作員(4%)；工作物；工作室；工作部；工作精度</t>
        </is>
      </c>
      <c r="E2794" t="inlineStr">
        <is>
          <t>計画；建設；構成；組織；製造</t>
        </is>
      </c>
      <c r="F2794" t="inlineStr">
        <is>
          <t>買収工作；特殊工作；宣伝工作；ルート工作；防御工作</t>
        </is>
      </c>
      <c r="G2794" t="inlineStr">
        <is>
          <t>工作機械；工作物；工作船；工作活動；工作艦</t>
        </is>
      </c>
      <c r="H2794" t="n">
        <v>29</v>
      </c>
      <c r="I2794" t="inlineStr">
        <is>
          <t>日本を赤化し中国の傀儡とすることを目的とした工作作戦要項とされる。；これも陸奥の意を受けた内田康哉が工作した結果であったと推測している。；またCIAの工作も行われたがノリエガの権力は影響を受けなかった。；並行してモーターで動く自動車などの木製工作セットも発売している。；また、前述の通り、志喜屋を委員長に選出するための工作も行われていた。；工作員への指令はかつてこの放送で行われていたとされている。；しかし、それ以上に工作の関係で個艦の性能差が大きくなった。；これは現在のハルビン駅付近に秦姓の人物が工作を行っていたことに由来する。；直接介入が許されない地球は月側に内部抗争を誘発する工作を行った。；この機械はしばしば、当時の工作精度のため製作できなかった、とされる。；攻撃を決定したドイツは、チェコスロバキア国内への工作を開始した。；グラフやドット絵を描いたり、工作に使用したりするのに利用される。；これには林内閣で組閣工作に失敗した十河信二の近衛への進言があった。；この工作も結局は失敗に終わったが、江崎は手を負傷してしまう。；明石には艦自体の乗員のほか、工作に従事する工作部員も乗艦していた。；これらにより日本軍が攻勢をかけると思わせるような工作を行った。；太平洋戦争中の1942年、日本軍に占領され第百二海軍工作部が置かれた。；彼が使った工作資金はいまの標準でいうと数百億円ですってね。；これに対し民主党は「捜査は政治的工作」であるとの見解を表明している。；この頃から工作派ファン向けに改造パーツも発売されている。；電子工作と言っても、かつてはアナログ回路の工作しかない時代もあった。；教育実習では道徳の授業をしたり、手品や工作もやったと話している。；元外交官で自民党の元参議院議員鹿島守之助もこの受賞工作に関与した。；加えて、マムルーク軍内にはオスマン側の内応工作の手が伸びていた。；部品の流用を主たる工作方法とする点でスクラッチビルドとは区別される。；株式会社科学教材社が発行していた子供向けの工作科学雑誌である。；変更点は、室内ドアの隅柱などの工作や化粧板の継ぎ目の押面の位置などである。；また精度も高いものが要求され、低い工作精度だと制御が困難になることがある。；それまでは工作や絵を趣味とする少年であった。</t>
        </is>
      </c>
      <c r="J2794">
        <f>HYPERLINK("https://www.weblio.jp/content/工作", "词义详情")</f>
        <v/>
      </c>
      <c r="K2794">
        <f>HYPERLINK("https://yourei.jp/工作", "查看例句")</f>
        <v/>
      </c>
    </row>
    <row r="2795">
      <c r="A2795" t="inlineStr">
        <is>
          <t>交差点</t>
        </is>
      </c>
      <c r="B2795" t="inlineStr">
        <is>
          <t>成功</t>
        </is>
      </c>
      <c r="C2795" t="inlineStr">
        <is>
          <t>読み方：こうさてん
2本以上の道路などが交わる所。</t>
        </is>
      </c>
      <c r="D2795" t="inlineStr">
        <is>
          <t>交差点付近(6%)；交差点間；交差点近く；交差点名；交差点北東</t>
        </is>
      </c>
      <c r="E2795" t="inlineStr">
        <is>
          <t>交差；横断；積；辻；交点</t>
        </is>
      </c>
      <c r="F2795" t="inlineStr">
        <is>
          <t>入口交差点；北交差点；南交差点；同交差点；東交差点</t>
        </is>
      </c>
      <c r="H2795" t="n">
        <v>29</v>
      </c>
      <c r="I2795" t="inlineStr">
        <is>
          <t>地上の西大路四条交差点の南西角には駅舎と西改札口が設けられている。；駅は、東西方向に走る五条通と南北方向の千本通の交差点の南側にある。；公園の南西の交差点近くの壁には、戦時中の機銃掃射の跡が残っている。；開業時に新設された4か所の出入口はいずれも桜通大津交差点角にある。；物理的には地球の回転主軸と地球表面との交差点であると考えられる。；信号交差点付近での路上駐車が渋滞の原因となっている事例は多くみられる。；この店舗は10番通りとフロント通りの交差点近くに位置していた。；最寄り停留所は、桜通と江川線の交差点付近にある国際センターである。；交差点は写真奥・手前方向が78号現道、写真左・右方向が39号である。；したがって、当路線の0キロポストは現在も青島交差点に設置されている。；起点から青江交差点まではかつて国道2号であり、当線と重複していた。；当初は片町交差点東側で野田橋駅と称し、区間急行と普通が停車していた。；また昼夜問わず旧国道との交差点の青信号が短く慢性的に渋滞している。；市中心部の交差点信号機に1 - 17の数字板が設置されている。；しかし列車が止まることなく通過できる優先信号が設置されている交差点はない。；西大通入口交差点を左折してからも道路状況や周辺状況に変化はない。；国道125号との田中交差点で長く続いていた4車線区間も終わりを迎える。；交差点では信号機で一旦停止することになる。；ノードとは、黄道と白道の交差点する点であり、蝕が発生する点である。；交差点の南へ当路線に入るとすぐに四国旅客鉄道高徳線の踏切がある。；料金所外・交差点そばに高速バス専用のバス停留所が設けられている。；編成の短い路面電車では、交差点を挟んで上下別のホームを設けたものが多く見られる。；また、駅前交差点の南側すぐの場所には越後交通の小千谷営業所がある。；また、烏丸御池の名称は交差点周辺の地域を指す名称としても使用されている。；ただ、中柏田交差点へ来ると道路状況と周辺地域に大きな変化が出てくる。；北口側の二川駅前交差点を東西方向に横切る道路がかつての東海道である。；信号機つき交差点を持つ路線も存在する。；これにより鋭角交差点や急カーブ通過の問題が少なくなる利点も出た。；橋の名は、三条通と鴨川左岸を走る川端通の交差点名にもなっている。</t>
        </is>
      </c>
      <c r="J2795">
        <f>HYPERLINK("https://www.weblio.jp/content/交差点", "词义详情")</f>
        <v/>
      </c>
      <c r="K2795">
        <f>HYPERLINK("https://yourei.jp/交差点", "查看例句")</f>
        <v/>
      </c>
    </row>
    <row r="2796">
      <c r="A2796" t="inlineStr">
        <is>
          <t>鉱山</t>
        </is>
      </c>
      <c r="B2796" t="inlineStr">
        <is>
          <t>成功</t>
        </is>
      </c>
      <c r="C2796" t="inlineStr">
        <is>
          <t>読み方：こうざん
地中から鉱物を採掘する場所や事業所。金山・銅山・鉄山など。やま。</t>
        </is>
      </c>
      <c r="D2796" t="inlineStr">
        <is>
          <t>鉱山経営；鉱山会社；鉱山師；鉱山業；鉱山跡</t>
        </is>
      </c>
      <c r="E2796" t="inlineStr">
        <is>
          <t>山；金山</t>
        </is>
      </c>
      <c r="F2796" t="inlineStr">
        <is>
          <t>鉄鉱山；銀鉱山；硫黄鉱山；伊豆珪石鉱山；鉱山局</t>
        </is>
      </c>
      <c r="G2796" t="inlineStr">
        <is>
          <t>鉱山開発；鉱山町；鉱山技師；鉱山鉄道；鉱山都市</t>
        </is>
      </c>
      <c r="H2796" t="n">
        <v>29</v>
      </c>
      <c r="I2796" t="inlineStr">
        <is>
          <t>他の歴史家達は王国を南にやったのは、鉄の鉱山の魅力だと信じている。；現在では温泉宿は別の場所に移転し、鉱山からの供給湯で営業している。；これらの路線は鉱山を近くの輸送ポイントに接続する工業用であった。；男たちは大部分が徴兵されるか、鉱山で働くかしなければならなかった。；日本では明治時代にヨーロッパから輸入され鉱山や鉄道で使用されていた。；同時にこの頃には貴重な資源であったグアノの鉱山も荒廃してしまった。；周囲の鉱山からの硫黄も含まれ、魚はほとんど生息しない死の川であった。；日の当たらない入江であり、多数の鉱山を中心に文明を感じさせる地域。；望月の仕事を鉱山業としてる資料があるが、それはここから来ている。；煙などにも強い植物であるため、中国では工場や鉱山の緑化に用いられる。；これは幕府が飛騨の森林や鉱山の直轄支配を図ったためとする説がある。；鉱山などの専用鉄道で狭軌が採用される例があるのはこのためである。；橋の近くには駐車場があり、橋や鉱山の説明板も整備されている。；こうした鉱山における3つの事業はいずれも単独で行われることは難しい。；坑夫や鉱山師がラコタ族に約束された土地に違法に侵入するようになった。；この頃にブラジルで銀鉱山が発見され、ポルトガルは莫大な利益を上げた。；現在もグアナフアト州の鉱山は世界中で最も豊富な銀の生産量である。；主に終点近くの鉱山で採掘される石灰石等を搬出するために敷設された。；博物館はプラネタリウム、鉱山などそれぞれの分野ごとに分けられている。；土地がやせている北部では鉱山や避難港などがローマ人に利用された。；今日、この鉱山跡は、街のちょうど外側にある小さな町ラ・ルーズにある。；鉱山経営を進める一方で、銅山を中心とした経営の多角化にも着手する。；鉱山などの事業を行い、群馬県に富岡製糸場などの官営工場を開設した。；しかし長い間、大変小さく「個人的な」鉱山が掘られているだけだった。；この鉄道は、鉱山で採掘された鉱石を輸送するための鉄道であった。；換気システムは、鉱山の作業エリア全体の空気の流れを強制的に作る。；日本の金属鉱山としては珍しく、大規模な露天掘りが行なわれていた。；そのころスペリオル湖周辺の価値の高い鉄鉱山を安く購入している。；このため港の利益や鉱山の鉱物なども収入を米に換算していた。</t>
        </is>
      </c>
      <c r="J2796">
        <f>HYPERLINK("https://www.weblio.jp/content/鉱山", "词义详情")</f>
        <v/>
      </c>
      <c r="K2796">
        <f>HYPERLINK("https://yourei.jp/鉱山", "查看例句")</f>
        <v/>
      </c>
    </row>
    <row r="2797">
      <c r="A2797" t="inlineStr">
        <is>
          <t>講師</t>
        </is>
      </c>
      <c r="B2797" t="inlineStr">
        <is>
          <t>成功</t>
        </is>
      </c>
      <c r="C2797" t="inlineStr">
        <is>
          <t>読み方：こうし
《古く、寺で説経をする僧をいった「講師(こうじ)」から出た語》
１講演や講義をする人。「研修会の—として招かれる」
２大学・高等専門学校で、教授・准教授に準じる職務に従事する者。専任で常勤の者と、非常勤の者とがある。
３小・中・高校で、非常勤で教諭の職務を助ける者。
４専門学校・予備校・塾などで、講座を受け持つ人。</t>
        </is>
      </c>
      <c r="D2797" t="inlineStr">
        <is>
          <t>講師陣；講師等；講師役；講師派遣；講師業</t>
        </is>
      </c>
      <c r="E2797" t="inlineStr">
        <is>
          <t>読者；リーダー；愛読者；弁士；読み手</t>
        </is>
      </c>
      <c r="F2797" t="inlineStr">
        <is>
          <t>特別講師；兼任講師；科講師；文学部講師；英語講師</t>
        </is>
      </c>
      <c r="H2797" t="n">
        <v>29</v>
      </c>
      <c r="I2797" t="inlineStr">
        <is>
          <t>現在はかねてから講師を勤めていた大学での教鞭を中心に活動している。；またライツ・スポーツネットワークの講師の一人としても活動していた。；義務教育ではないため英語講師は日本からの派遣ではなく現地採用である。；逆に AHA コースに新しい講師を追加しようとする場合も同様である。；父のは、チュラーロンコーン大学で東洋の宗教と哲学の講師をしていた。；講師の一人だった映画監督のジャン・グレミヨンから最も影響を受ける。；しかし講師の指導内容に納得が行かず、従わない事がしばしばあった。；かつては所属していた劇団若草の講師を務めていたこともあった。；また、インターネット放送などで声優関連企画の講師を務めたこともある。；このCDに関連して毎年夏には歌や手遊びの講師として全国を回っている。；また、授業後には講師に質問できる無料の居残り自習が設定されている。；そこでは、学生が美術の研究において創造的に講師と協力してすすめる。；講師は教育を行う党組織の級に対応して4段階に分かれている。；その時の彼の指導講師の一人は画家のアーシル・ゴーキーだった。；福井での英語講師時代は「僕が生徒に日本語を教えてもらっていた」という。；全てのレッスンを母語話者の講師が担当することを特徴としている。；現在ではニューヨークの大学で演技の講師もしている。；同年7月に明治大学文芸科講師となり、詩の講義を担当するようになる。；養成所を卒業後は、講師を務めていたプロデューサーの番組に出演。；アナウンサーを目指す生徒たちに発声練習を指導する、犬顔の講師。；教室での学習を助けるボランティアの学習支援講師がいる学校も少ない。；現在は、洗足学園音楽大学声優アニメソングコースの講師も務めている。；様々なレベルの生徒が講師陣と話をする場となる。；講師は北海道内でアイヌの活動をしている人が交代で務めている。；後にナチ党の幹部となるゴットフリート・フェーダーも講師の一人であった。；高い後進指導力を持っており、短期大学等の声優コース講師を歴任している。；また、准教授・講師・助教となることのできる資格の要件の一つでもある。；彼が出席する講義では、講師は特に正確さに注意が必要だった。；同年薬剤師の国家試験に合格すると、やがて明治薬学校の講師となった。</t>
        </is>
      </c>
      <c r="J2797">
        <f>HYPERLINK("https://www.weblio.jp/content/講師", "词义详情")</f>
        <v/>
      </c>
      <c r="K2797">
        <f>HYPERLINK("https://yourei.jp/講師", "查看例句")</f>
        <v/>
      </c>
    </row>
    <row r="2798">
      <c r="A2798" t="inlineStr">
        <is>
          <t>工事</t>
        </is>
      </c>
      <c r="B2798" t="inlineStr">
        <is>
          <t>成功</t>
        </is>
      </c>
      <c r="C2798" t="inlineStr">
        <is>
          <t>読み方：こうじ
［名］(スル)土木・建築などの実際の作業。「道路を—する」「—現場」</t>
        </is>
      </c>
      <c r="D2798" t="inlineStr">
        <is>
          <t>工事用；工事費；工事場；工事完了；工事事務所</t>
        </is>
      </c>
      <c r="E2798" t="inlineStr">
        <is>
          <t>工務；コンストラクション</t>
        </is>
      </c>
      <c r="F2798" t="inlineStr">
        <is>
          <t>拡張工事；改造工事；更新工事；改装工事；難工事</t>
        </is>
      </c>
      <c r="G2798" t="inlineStr">
        <is>
          <t>工事中；工事監理；工事局；工事列車；工事設計認証</t>
        </is>
      </c>
      <c r="H2798" t="n">
        <v>29</v>
      </c>
      <c r="I2798" t="inlineStr">
        <is>
          <t>東京文化財研究所には工事を実施すること自体が知らされていなかった。；ただ、まだ改正工事や追加工事などがあり、工廠で多くの工事を行った。；ズッコケ三人組の像は駅改良工事に伴い、現在は北口に設置されている。；またそこへ走る都市計画道路構想も工事に着手できない状態が続いている。；国鉄の天王寺駅も利用が急増しており、改良工事を始めることになった。；年内に全ての非施行車を強化するため、各電車区でも工事が行われた。；その工事中、陰陽連絡線として本格的な鉄道建設の計画が持ち上がった。；その他、大規模河川改修やトンネル工事などでも作業用の軌道が利用された。；小規模な工事、作業現場や狭いビル間での足場に用いられることが多い。；電車緊急特別改造工事の実施項目と施行両数、実施内容は以下の通り。；なお、後述する副都心線改造工事では乗務員室内は大幅に改造されている。；この工事は基礎まで完成したが、戦争の影響でその後の建設工事が中止された。；さらに一部の車両は後述のリニューアル工事を受け、仙石線に転属した。；これは3扉化工事とは別件で実施されたため、2扉車にも施工されていた。；この他、北側のホームには工事用車両のための切り欠き線がある。；防音工事の対象とされたのは第一種区域と言われる区域であった。；最近は多目的国際ターミナル整備のための工事が行われている。；またこの工事に合わせて、国鉄で最初の電子連動装置の実運用が開始された。；設置工事の施工時期の違いなどにより、後述のような仕様の変更がみられる。；かつては沖合に鍋島があったが、同空港の拡張工事に伴い消滅した。；第二次世界大戦後はさらなる利用の増加に対応するための改良工事が行われた。；塔ノ沢駅の工事だけで、総工費20億円のうちの半分近くが費やされた。；関西文化学術研究都市へのアクセス改善のため高速化と各種改良工事が行われた。；なお、以下の一覧には後述の副都心線対応工事を施工した編成も含まれている。；本系列の改造工事で運用を離脱していた編成の代替運用には10000系が使われた。；代わりに、新宿線の線形改良・ホーム改良工事等が実施されている。；これは工事のしやすさや、駅ホームのスペースを重視したため。；この工事は東京湾に次いで日本で2番目のものであった。；これを基に工事実施計画の指示が行われた。</t>
        </is>
      </c>
      <c r="J2798">
        <f>HYPERLINK("https://www.weblio.jp/content/工事", "词义详情")</f>
        <v/>
      </c>
      <c r="K2798">
        <f>HYPERLINK("https://yourei.jp/工事", "查看例句")</f>
        <v/>
      </c>
    </row>
    <row r="2799">
      <c r="A2799" t="inlineStr">
        <is>
          <t>公式</t>
        </is>
      </c>
      <c r="B2799" t="inlineStr">
        <is>
          <t>成功</t>
        </is>
      </c>
      <c r="C2799" t="inlineStr">
        <is>
          <t>読み方：こうしき
１おおやけに定められた形式。また、公的な手続きを踏んで物事を行うこと。企業や団体などが、正式に認めること。「—の行事」「—の見解」「—に訪問する」「非—試合」
２数や式の間に成り立つ関係を、数学上の記号を用いて表示した式。「—に当てはめて計算する」</t>
        </is>
      </c>
      <c r="D2799" t="inlineStr">
        <is>
          <t>公式発表(3%)；公式記録(2%)；公式戦；公式youtube；公式チャンネル</t>
        </is>
      </c>
      <c r="E2799" t="inlineStr">
        <is>
          <t>式；形式；正式に；儀式；数式</t>
        </is>
      </c>
      <c r="F2799" t="inlineStr">
        <is>
          <t>公式設定；公式プロフィール；公式キャラクター；公式ルール；公式ツイッター</t>
        </is>
      </c>
      <c r="G2799" t="inlineStr">
        <is>
          <t>公式サイト；公式ウェブサイト；公式ホームページ；公式ブログ；公式twitter</t>
        </is>
      </c>
      <c r="H2799" t="n">
        <v>29</v>
      </c>
      <c r="I2799" t="inlineStr">
        <is>
          <t>王の公式な宣言はなかったものの、宮廷の位置が事実上の首都となった。；国鉄公式では移転開業前の駅が開業した1901年を開業日としている。；嘘の公式発表をするのと並行してマッカーサーは脱出の準備を進めていた。；また、ゲームの製作方法を解説した各種の公式書籍も出版されている。；それは組織理論のモデルと組織理論の公式化された精密な概念である。；学校や兵舎でも公式な告知や発表文でも広く使われて周知されていった。；しかし公式記録にこうした妨害をうかがわせる記録は一切残っていない。；以下の環境はかつて対応されていたが、現在では公式には対応されていない。；元は曲裾が正式な礼服であり、直裾は公式の場では着てはいけなかった。；ただしこれを規定する公式な、あるいは広く知られた標準は存在していない。；例外規定適用で最高出塁率打者と公式に認定された例はまだ出ていない。；しかしこの旗は非公式であり、公式にはフランス国旗が使用されている。；この試験の公式目的は、「具体的な知識と技能」を評価することである。；そのころ公式化されつつあったソナタ形式が最も有名な形式である。；これは上記のガンマ函数に関する公式と同じものと見做すことができる。；ロサンゼルスで日本人の定住が公式に認められたのは1888年である。；これから、どちらがシリーズ全体の公式な設定となるかは現状は不明。；を含めたは、公式に標準化された最初のオブジェクト指向言語である。；ただし、これは内部の呼称とされ、公式には用いられていなかった。；公式の場で斉唱する場合であっても、国王自身が歌唱することは一切ない。；その中には三角関数の積和の公式に相当する計算を行っている記載がある。；二項公式の簡単版が に を代入して一変数化することで得られる。；浸透しすぎてこちらが公式ルールだと思い込んでいる人が多いルールもある。；室町幕府において既に公式の行事として採用されたことが知られている。；これがフランスでギロチンが公式に使用された最後の例である。；公式の設定は何一つなく、プレイヤー間で自由に設定、使用が認められている。；日本での公式公開は第二次世界大戦後の1955年9月23日であった。；これら公式大会の大会運営には日本の統括団体であるJHFが当たっている。；公式ツイッターにも同様の内容を発信したがその日のうちに削除されている。</t>
        </is>
      </c>
      <c r="J2799">
        <f>HYPERLINK("https://www.weblio.jp/content/公式", "词义详情")</f>
        <v/>
      </c>
      <c r="K2799">
        <f>HYPERLINK("https://yourei.jp/公式", "查看例句")</f>
        <v/>
      </c>
    </row>
    <row r="2800">
      <c r="A2800" t="inlineStr">
        <is>
          <t>口実</t>
        </is>
      </c>
      <c r="B2800" t="inlineStr">
        <is>
          <t>成功</t>
        </is>
      </c>
      <c r="C2800" t="inlineStr">
        <is>
          <t>読み方：こうじつ
１言い逃れや言いがかりの材料。また、その言葉。「病気を—に欠席する」「—を与える」「—をさがす」
２日ごろよく口にする言葉。言いぐさ。
「朝暮の—として誦しける」〈今昔・一五・四三〉</t>
        </is>
      </c>
      <c r="D2800" t="inlineStr">
        <is>
          <t>口実を作るため；口実作り</t>
        </is>
      </c>
      <c r="E2800" t="inlineStr">
        <is>
          <t>名目；言い訳；弁解；建前；言いわけ</t>
        </is>
      </c>
      <c r="F2800" t="inlineStr">
        <is>
          <t>うまい口実；どんな口実；適当な口実；よい口実；そんな口実</t>
        </is>
      </c>
      <c r="H2800" t="n">
        <v>29</v>
      </c>
      <c r="I2800" t="inlineStr">
        <is>
          <t>ベアトリスの仕事を邪魔するための十分な口実になると私が考えたもの。；町には誰も知っている人がないので、学寮を出る口実がなかったのです。；なぜならそれ以来、口実を設けて妻の肉体を忌避しはじめたからである。；途中一二人の友人を訪問したのはただこれが口実を作るためである。；手伝い婆さんは、実は田舎の息子がと自分から口実を作って暇をとった。；つまり、口実としてそれが利用されてゐるにすぎない点を注意すべきです。；大学卒業後も他大学受験の口実のもと予備校に通いながら執筆していた。；幕府からの圧力を口実に近習たちの一斉排除を狙ったとみられている。；理由はドイツ軍に侵攻の口実を与えたくなかったからとされている。；この事件は後の1635年から36年にかけて行われたの口実となった。；そして、ガチャ子のアイディアで未来に帰る嘘の口実を作る事になった。；けれども改革の口実は、どんなに立派なものでも、はなはだ危険である。；小山は口実をつけて店を出ていこうとし、柳井は何かにつけて閉店する。；他巳吉は夜毎に左門を訪れる口実のために、左門に就いて囲碁を習つた。；一方で、内科など専門でないことを診察の断りの口実にすることもある。；我々が、彼女の死を遮るべき何の口実ももっていないのではないか。；その反対者たる用人の一人は何かの口実のもとに押し片付けられてしまった。；箱根へ着いて二三日したら、何か口実を見付けて自分丈け帰って来よう。；お祭り騒ぎが好きな国王はどんな理由でもパーティを開く口実にした。；それは貸さない口実を見つけ出すための調査料のやうな観を呈してゐる。；それだけではなく、イギリスにも開戦の口実を与える結果となってしまった。；そうすれば下層民はいかなる口実を設けても義務に違反できなくなるだろう。；林則徐は、攻撃の口実を作らないように十三行の警備の強化を命じる。；何かの口実で彼に会う事は出来るとしても、素手ではどうする事も出来ない。；ジェルメーヌとの再婚は、一方ではナバラ王国の獲得の口実にもなった。；それに今晩の服をやぶくかもしれないから、貸してあげる口実になるわ。；そして、市長に相談してくるというのを口実に、家を出ていってしまった。；婆さんは、実は田舎の息子がと自分から口実を作って暇をとらざるを得なかった。；彼はもはや生きるための口実を失ってしまったのである。</t>
        </is>
      </c>
      <c r="J2800">
        <f>HYPERLINK("https://www.weblio.jp/content/口実", "词义详情")</f>
        <v/>
      </c>
      <c r="K2800">
        <f>HYPERLINK("https://yourei.jp/口実", "查看例句")</f>
        <v/>
      </c>
    </row>
    <row r="2801">
      <c r="A2801" t="inlineStr">
        <is>
          <t>こうして</t>
        </is>
      </c>
      <c r="B2801" t="inlineStr">
        <is>
          <t>成功</t>
        </is>
      </c>
      <c r="C2801" t="inlineStr">
        <is>
          <t>読み方：こうして
［副］このように。このようにして。「筆は—使う」
［接］前の事柄を受けて、その結果を述べるときに用いる。このようにして。かくして。「—戦後の日本は復興した」</t>
        </is>
      </c>
      <c r="D2801" t="inlineStr">
        <is>
          <t>こうして見る；こうしておけ；こうして生き；こうして生まれ；こうして完成</t>
        </is>
      </c>
      <c r="E2801" t="inlineStr">
        <is>
          <t>そう；それから；かく；然；かくて</t>
        </is>
      </c>
      <c r="F2801" t="inlineStr">
        <is>
          <t>せっかくこうして；時々こうして；いざこうして；ときどきこうして；折角こうして</t>
        </is>
      </c>
      <c r="H2801" t="n">
        <v>29</v>
      </c>
      <c r="I2801" t="inlineStr">
        <is>
          <t>こうして長年にわたり何度も頓挫してきた新たな選挙制度を実現させた。；こうして営業を始めた古川駅だったが、まもなく一つの問題が発生した。；こうして生じる空間パターンはチューリング・パターンと呼ばれている。；こうして実質は地方政権ながらも、劉嬰はついに皇帝となったのである。；こうして対清輸出拡大を望むイギリスの試みは失敗に終わった。；こうして首都だけで4000人の死者を出してようやく内戦は終結した。；こうしてルーズベルト大統領の承認を得て、戦時中も試合は継続された。；こうして生まれたのが急行電車と準急電車を統合した直行列車であった。；こうしてインドはいわば帝国の維持機関としての役割を担うことになった。；こうしてテコンドーは2つの系統に分かれて発展していくことになる。；こうして個々の楽曲が完成した後も、それがすぐに発売されるとは限らない。；こうして正義が確定される一方、中唐になると注疏批判の動きが生じた。；こうして説一切有部を中心とする部派仏教には法の体系が確立された。；こうして旧高句麗領の南端部を含む朝鮮半島は新羅の支配の下に入った。；こうして主人公は第三部隊存続のため、行動を開始するのだった。；こうしてデジタルビデオといえばDVDと認知されるほど広く定着した。；こうして、イギリスとアメリカで異なるヤードが用いられることとなった。；こうして、あの戦争に協力する方向へと向かってしまったのです。；こうして近代的な大都市へ発展するためのポイントは用意された。；こうして出会った2人は、村の外れにある隠れ家で密会するようになる。；こうして3つの国家、2つの国民、1つの民族と呼ばれる時代が始まる。；こうして都市では労働者という新しい社会階層を生み出すことになった。；だがともかく、ピエールはこうして父親のもとから完全に独立したのである。；こうして生物どうしは互いに「他の生物にとっての環境」となっている。；こうしてこれ以降、天皇は東京を拠点に活動することになった。；こうして資本移動での経済の調整メカニズムはあまり機能しなくなる。；こうして盛り上がったブームに乗って大会が各地で多数開かれるようになる。；こうして太祖は息子の朱友珪に腹を刺されて殺害され、帝位を奪われた。；こうして四散した作品には現在も所在の分からないものもある。</t>
        </is>
      </c>
      <c r="J2801">
        <f>HYPERLINK("https://www.weblio.jp/content/こうして", "词义详情")</f>
        <v/>
      </c>
      <c r="K2801">
        <f>HYPERLINK("https://yourei.jp/こうして", "查看例句")</f>
        <v/>
      </c>
    </row>
    <row r="2802">
      <c r="A2802" t="inlineStr">
        <is>
          <t>後者</t>
        </is>
      </c>
      <c r="B2802" t="inlineStr">
        <is>
          <t>成功</t>
        </is>
      </c>
      <c r="C2802" t="inlineStr">
        <is>
          <t>読み方：こうしゃ
１二つ挙げたうちのあとのもの。⇔前者。
２あとに続く者。後世の人。</t>
        </is>
      </c>
      <c r="D2802" t="inlineStr">
        <is>
          <t>後者演算</t>
        </is>
      </c>
      <c r="F2802" t="inlineStr">
        <is>
          <t>対して後者；前者後者</t>
        </is>
      </c>
      <c r="G2802" t="inlineStr">
        <is>
          <t>後者の抗弁</t>
        </is>
      </c>
      <c r="H2802" t="n">
        <v>29</v>
      </c>
      <c r="I2802" t="inlineStr">
        <is>
          <t>特に後者の件はソビエト連邦のも独自に発見しており、と呼ばれている。；前者は動作の進行・継続を表し、後者は動作の行われた結果や完了を表す。；以下の画像の楽器は18世紀フランス様式のものであり、後者に属する。；前者はポーランドに近い西部に多く、後者はロシアに近い東部に多かった。；特に後者は同じ文脈においてしばしば用いられるので注意すべきである。；前者は事業者や報道関係でも広く知られ広まり、後者は定着しなかった。；後者はユーザー数などに制限のあるライセンス契約によって提供される。；前者の代表が植物であり、多くの生物種は後者の方式を利用している。；前者ならば録音時間は60分、後者ならば74分録音できることになる。；後者の場合には脚の部分はブーツのようにチャックをする必要がある。；好きなものは鉄道と鳥で、後者の方は特に文鳥がお気に入り、とのこと。；今日ではシミュレーションといえば後者のことをさす場合が圧倒的に多い。；現在は後者の指図が実際に建てられた天守を反映していると判断されている。；後者は使用が完全禁止となっているため、既に生産されていない。；後者のような意見はディーリアス自身の音楽にも頻繁に向けられるものである。；前者としては有用であったが、後者としては能力不足であったと言える。；後者は引数として配列を渡すことを想定していることがより明確になる。；後者は雲の形をしており、基本的に赤地に白文字のものがよく使用される。；一般的なビデオ機器には後者が採用されているようである。；特に後者は最もあり得そうな機能であると考えられている。；後者は、電子の座標の交換によって出てくる項のためこの名が付いている。；この後者の方法はクスノキの研究で初めて発見されたものである。；後者の場合であっても一種のコミックリリーフとして活躍する場合もある。；後者は後のザップ/ロジャー・トラウトマン等に影響を与えたとされる。；前者は太陽であり、後者はその熱と光を受ける月に例えられている。；前者と後者を区別し、前者のみを近似アルゴリズムと呼ぶ場合もある。；後者の東停留所は名称こそ「東」だが、設置位置は当ICの西側である。；このため前者はC86、後者はC89からジャンルコードに指定された。；従来の経済学では後者が重視されているが、それは狭い定義であると指摘した。</t>
        </is>
      </c>
      <c r="J2802">
        <f>HYPERLINK("https://www.weblio.jp/content/後者", "词义详情")</f>
        <v/>
      </c>
      <c r="K2802">
        <f>HYPERLINK("https://yourei.jp/後者", "查看例句")</f>
        <v/>
      </c>
    </row>
    <row r="2803">
      <c r="A2803" t="inlineStr">
        <is>
          <t>校舎</t>
        </is>
      </c>
      <c r="B2803" t="inlineStr">
        <is>
          <t>成功</t>
        </is>
      </c>
      <c r="C2803" t="inlineStr">
        <is>
          <t>読み方：こうしゃ
学校の建物。</t>
        </is>
      </c>
      <c r="D2803" t="inlineStr">
        <is>
          <t>校舎内(2%)；校舎裏；校舎建設；校舎改築；校舎移転</t>
        </is>
      </c>
      <c r="E2803" t="inlineStr">
        <is>
          <t>学舎</t>
        </is>
      </c>
      <c r="F2803" t="inlineStr">
        <is>
          <t>旧校舎；仮校舎；本校舎；北校舎；南校舎</t>
        </is>
      </c>
      <c r="H2803" t="n">
        <v>29</v>
      </c>
      <c r="I2803" t="inlineStr">
        <is>
          <t>また、新校舎完成時にもホールで演奏を披露するコンサートに出演した。；校舎は、同時期に建設された札幌南高の現校舎と一部は同一設計である。；令和5年度から現校舎での授業が終了し、新校舎での授業が開始される。；校舎はそれ自体が意思らしきものを持っていて、勝手に動くこともある。；また、新校舎の一部に地域住民との連携拠点となる交流施設を新設する。；これは創立80周年・校舎改築記念事業の一環で建立されたものである。；二高は北六校舎に移転し、片平校舎は既に東北帝大の校地となっている。；移転先の校舎内には移転前の城下に存在した本校の正門が展示してある。；はじめ広瀬小学校の中に設けられ、同年中に下愛子の新校舎に移転した。；高等学校と同じ校舎内の1階に中学校の職員室・教室がすべて入っている。；中学校が昼間に使用した校舎を利用し夜間に授業が行われていた。；かつて両国予備校の校舎のひとつとして使われていた建物を引き継いだ。；本キャンパスの校舎は東京都立産業技術大学院大学と共有のものである。；建設費削減のため、これらの高校の校舎の設計等は全て同じ規格品である。；ここに旧京都府中学校校舎の一部の払い下げを受け、3教室を確保した。；なお、キリスト教の思想に基づき旧校舎の窓は東を向いていた。；バスの路線はないが下校時間には生徒用の運行が校舎までくる。；その後円形校舎等を撤去し、校舎の西側を作って全体を完成させた。；入学当初校舎設備が完全には完成しておらず、10月9日に本校舎が完成した。；他の県立中学校と異なり、本校設置のために校舎が新しく築造された。；中央校舎・北校舎・西校舎・南校舎の順に建築された。；校舎はかろうじて残った土台の上に、新しく積み上げて作り変えられた。；徳島県立池田高等学校辻校が駅を運動場と校舎ではさむ形となっている。；校舎は戦時中に建てられたこともあって、防空壕もいくつか存在する。；その瞬間に城が消滅、さらに烏森の外に出た瞬間、学校の校舎が倒壊した。；現在はほとんど校舎が分けられており、一部の特別教室のみ共用している。；南校舎建築時点で、旧南校舎が、中央校舎と名称が変更になった。；校舎は仙商を利用し、女子商校舎は新設される中高一貫校に利用される。；建物は現在、青森県立青森商業高等学校の新校舎として利用されている。</t>
        </is>
      </c>
      <c r="J2803">
        <f>HYPERLINK("https://www.weblio.jp/content/校舎", "词义详情")</f>
        <v/>
      </c>
      <c r="K2803">
        <f>HYPERLINK("https://yourei.jp/校舎", "查看例句")</f>
        <v/>
      </c>
    </row>
    <row r="2804">
      <c r="A2804" t="inlineStr">
        <is>
          <t>公衆</t>
        </is>
      </c>
      <c r="B2804" t="inlineStr">
        <is>
          <t>成功</t>
        </is>
      </c>
      <c r="C2804" t="inlineStr">
        <is>
          <t>読み方：こうしゅう
１社会一般の人々。
２社会学で、伝統や文化を共有し、共通の識見をもち、公共的なものに関心をもつ不特定多数の人々。→群集→大衆</t>
        </is>
      </c>
      <c r="D2804" t="inlineStr">
        <is>
          <t>公衆通信；公衆用；公衆電気通信；公衆理解；公衆食堂</t>
        </is>
      </c>
      <c r="E2804" t="inlineStr">
        <is>
          <t>市民；世間；民；民衆；大衆</t>
        </is>
      </c>
      <c r="F2804" t="inlineStr">
        <is>
          <t>社会公衆；公衆海水浴場；海上公衆；公衆衛生委員会；公衆被曝</t>
        </is>
      </c>
      <c r="G2804" t="inlineStr">
        <is>
          <t>公衆衛生；公衆浴場；公衆トイレ；公衆便所；公衆無線lan</t>
        </is>
      </c>
      <c r="H2804" t="n">
        <v>29</v>
      </c>
      <c r="I2804" t="inlineStr">
        <is>
          <t>彼は公衆の方に向かって、すべての人にその意中がわかる調子で尋ねた。；公衆とは、共通の関心で結ばれている組織化されていない集団である。；美しさを公衆の所有にすることがいかに大切だかを想いみねばなりません。；しかし、ハイネが問題としたのは公衆の前で懺悔をした人のことである。；軽気球の話かなんかを一席やって、イギリスの公衆道徳に話題を転じた。；そうしたいばかりに、私はこれらの言葉を記して公衆の前に送り出すのだ。；ただ公衆に向かってなすべき挨拶のことを考えては、心を乱していた。；公衆はばかなものだ、真相を知っているのは、わたしだと女王は思った。；ダグラスが最も重要視した政策は、公衆医療政策に関連するものだった。；公衆は今何をなしつつあるかについて少しも知るところがないのだ。；しかしそれ以上に公衆に、きみたちの家族もきみたちの財産も属しているのだ。；ブルジョアジーは金持ちになったが公衆の福祉には興味を持たなかった。；公衆は自分自身の考えに放っておかれると、なんにも考えないものである。；ユーゴーの住まっていた家で遺物など陳列して公衆に見せているのです。；一九三〇年ソヴェト同盟では一日平均百三十万人分の公衆食事が扱われていた。；われはその答を得ん日までは、敢て公衆のために歌はざるべしと誓へり。；公衆はニセ医者から保護されていなかったしローマにはニセ医者が多かった。；公衆はわたくしがその中に籠めた大なる感動の叫びを聞いたのだ。；公衆は、主人たる大公爵よりいっそう多くの熱心を示しはしなかった。；今でも1つの病気がこの国の公衆に特別な要求の権利を持っている。；公衆の中で試験官の前に出ることを考えただけで、震えおののいた。；もし器に特殊な個性が示されるなら、それは公衆の友とはなりがたいであろう。；実際に公衆の面前にあるよりも事務所で個人的に働くことを好んだ。；善良な公衆は、何のことかわけもわからずに、目に涙をうかべていた。；さらに、公衆とマスコミに科学を伝える最大の責任は科学者にあるとした。；ただ、多くの他の芸術家は一般の公衆の前に姿をさらしていない。；公衆用のゴミ入れから見つけたとか言って、正体を突き止めてもらうのだ。；公衆の前ではあれほど強く論戦せられても、家に帰ってみればこのざまだ。；一般公衆を対象にしたのはこの一社だけであり、他のケースでは縁故者に限定した。</t>
        </is>
      </c>
      <c r="J2804">
        <f>HYPERLINK("https://www.weblio.jp/content/公衆", "词义详情")</f>
        <v/>
      </c>
      <c r="K2804">
        <f>HYPERLINK("https://yourei.jp/公衆", "查看例句")</f>
        <v/>
      </c>
    </row>
    <row r="2805">
      <c r="A2805" t="inlineStr">
        <is>
          <t>講習</t>
        </is>
      </c>
      <c r="B2805" t="inlineStr">
        <is>
          <t>成功</t>
        </is>
      </c>
      <c r="C2805" t="inlineStr">
        <is>
          <t>読み方：こうしゅう
［名］(スル)集まって、学問・技芸などを学習すること。また、その指導をすること。「ドイツ語の—を受ける」</t>
        </is>
      </c>
      <c r="D2805" t="inlineStr">
        <is>
          <t>講習会(15%)；講習所(10%)；講習生；講習科；講習機関</t>
        </is>
      </c>
      <c r="E2805" t="inlineStr">
        <is>
          <t>授業；講義；講演；レッスン；ゼミ</t>
        </is>
      </c>
      <c r="F2805" t="inlineStr">
        <is>
          <t>特別講習；養成講習；更新講習；再講習；実技講習</t>
        </is>
      </c>
      <c r="G2805" t="inlineStr">
        <is>
          <t>講習会商法</t>
        </is>
      </c>
      <c r="H2805" t="n">
        <v>29</v>
      </c>
      <c r="I2805" t="inlineStr">
        <is>
          <t>不合格であった場合は再試験は行われず、再度講習から受け直しとなる。；前年に講習を受けていたS級ライセンス取得後に正式に就任となった。；この作品は、ダービーの職工講習所でも展示されたことが分かっている。；この講習会からは、作品のこれからの演奏を担う演奏家が何名も育った。；日本ではおむつケーキを自作するための講習イベント等も開かれている。；また事あるごとに講習会や実地授業などの場で指導し、普及に努めた。；迎える日本の海軍航空側では、このとき臨時海軍航空術講習部を編成した。；また進学講習や技能認定の資格取得についても積極的に推進していた。；審判法・着眼点も整備されており、審判員の講習も盛んに行われている。；また、実技講習を繰り返し受講することで運転資格を得ることができる。；正課の授業の他に、放課後や長期休暇期間を利用した講習を行っている。；また、就業を制限されたものに就くために受けるべき講習の一覧でもある。；この他にも事故発生時の対応のために救急法の講習を受けた者などが望ましい。；この絵には講習所のメイン・ホールとなる講堂が描かれている。；費用講習の内容 講習は講義が主体であるが、数時限は討論が行われる。；内容は、前半で筆記試験を行い、後半で梶による特別講習が実施された。；それぞれ修了に必要な単位があり、それらは講習時間で管理される。；心配なく応急処置を行うためにも、これらの講習を受講しておきたい。；資格の更新にはルール等の筆記テスト及び、講習と走力テストを行う。；上記講習会の他にも講習の日程や問い合わせ先、費用など掲載されている。；学科と実技の講習を受け試験に合格すると、ライセンス証が授与される。；銃を所有するにはPALが必要で、規定の講習を受けテストに合格する必要がある。；実際には、大臣指定講習機関は存在していないため、協会のみが開講している。；試験対策用の講習もあるが、資格認定試験の受験要件とは無関係である。；また、資格取得は試験で行い、更新を登録講習で行うこともある。；東京都をはじめ、消防長が講習・試験を実施している地域では原則実施していない。；「指定講習機関」とは、法第39条の2に規定する指定講習機関をいう。；それ以来、江上料理学院の授業のほか、各地の料理講習会の講師を務める。；これは後にアルバート・ホールと呼ばれることになる市の職工講習所で開かれた。</t>
        </is>
      </c>
      <c r="J2805">
        <f>HYPERLINK("https://www.weblio.jp/content/講習", "词义详情")</f>
        <v/>
      </c>
      <c r="K2805">
        <f>HYPERLINK("https://yourei.jp/講習", "查看例句")</f>
        <v/>
      </c>
    </row>
    <row r="2806">
      <c r="A2806" t="inlineStr">
        <is>
          <t>口述</t>
        </is>
      </c>
      <c r="B2806" t="inlineStr">
        <is>
          <t>成功</t>
        </is>
      </c>
      <c r="C2806" t="inlineStr">
        <is>
          <t>読み方：こうじゅつ
［名］(スル)口頭で述べること。「事件について—する」</t>
        </is>
      </c>
      <c r="D2806" t="inlineStr">
        <is>
          <t>口述する(7%)；口述書(3%)；口述者；口述記録；口述しはじめ</t>
        </is>
      </c>
      <c r="E2806" t="inlineStr">
        <is>
          <t>話；言葉；話し；言；発言</t>
        </is>
      </c>
      <c r="G2806" t="inlineStr">
        <is>
          <t>口述試験；口述権</t>
        </is>
      </c>
      <c r="H2806" t="n">
        <v>29</v>
      </c>
      <c r="I2806" t="inlineStr">
        <is>
          <t>口述をはじめると、予想以上に困難な作業であることがわかってきた。；この歌は十二月十六日に死去する一週間ほど前、夫人に口述した歌という。；それだけじゃない、名前をいれる文書は全部自分で口述しているんだ。；ここにいるのは、午後に口述面接試験を控えた臨床心理士候補ばかりだ。；口述のための手記はすっかり出来ていたのですが、誰にも読めないんです。；私は口述をしたことがないので馬琴の真似をすることもできない。；口述の簡単なのでも人の性質によっては、抵抗があってやりにくいものです。；作家が口述でテープに吹き込んだものをわたしが原稿に起こしてるの。；これらは、主に敵味方を区別して対局の記録を口述するときに使用される。；ふだんはそれほどにも思わなかったが、口述などする時にはそれがわかった。；この手紙は、犯人の要求で、犯人が口述する通りに書いたものです。；原田は、事件発生以来注意深く観察していたが、十四日になって口述した。；この三浦のおかげで、わたしは床の中で口述をし、原稿を送ることができた。；でも、記録につけてやる手紙の口述には、そう暇はかからないでしょ?；その手では満足に字も書けないでしょうから、あなたは口述なさい。；戦後は剣を捨てたが、武道団体の名誉職にあり、晩年の口述集が残された。；しかしカフェー細見は耳にも入れず、まるで記事を口述するように言った。；だれかがなにやらを口述しているのか、朗読でもしているような気配だった。；猪熊は病床で口述中の記録には、左山頂に到達したとは書かなかった。；だが、今日はあの二通の手紙の口述はやらないことにしましたよ。；博士はまたパイプに火をつけて、歩きまわりながら口述をはじめる。；わたしのあとから口述書に署名するのにも、やっと応じたほどだ。；望むならモニタなど使わずとも、ロボットを使って口述することも可能ではある。；私が口述した言葉を犯人は見ているのだろうか?；浦川は、自分の仕事には口述が合っているという考えを持っている。；その手紙はあたしが口述して鵜飼さんに書かしたのですよ。；気持の整理をつけようと個人日誌に口述してみたのだが、不安感は消えない。；あの人がスイスで腕を折ったとき、口述でお手紙を書き取ったのは彼女なのです。；また、左ウイングが最もやりやすいポジションであると口述している。</t>
        </is>
      </c>
      <c r="J2806">
        <f>HYPERLINK("https://www.weblio.jp/content/口述", "词义详情")</f>
        <v/>
      </c>
      <c r="K2806">
        <f>HYPERLINK("https://yourei.jp/口述", "查看例句")</f>
        <v/>
      </c>
    </row>
    <row r="2807">
      <c r="A2807" t="inlineStr">
        <is>
          <t>控除</t>
        </is>
      </c>
      <c r="B2807" t="inlineStr">
        <is>
          <t>成功</t>
        </is>
      </c>
      <c r="C2807" t="inlineStr">
        <is>
          <t>読み方：こうじょ
［名］(スル)金銭・数量などを差し引くこと。「医療費が—される」「扶養—」</t>
        </is>
      </c>
      <c r="D2807" t="inlineStr">
        <is>
          <t>控除する(10%)；控除される(8%)；控除額(7%)；控除できる(4%)；控除後</t>
        </is>
      </c>
      <c r="E2807" t="inlineStr">
        <is>
          <t>マイナス；推論；値引き；減算；減ずる</t>
        </is>
      </c>
      <c r="F2807" t="inlineStr">
        <is>
          <t>経費控除；人的控除；税金控除；控除すること</t>
        </is>
      </c>
      <c r="G2807" t="inlineStr">
        <is>
          <t>控除対象</t>
        </is>
      </c>
      <c r="H2807" t="n">
        <v>29</v>
      </c>
      <c r="I2807" t="inlineStr">
        <is>
          <t>所有期間が5年を超えるか超えないかで、控除する際の計算方法も異なる。；米国のいくつかの州では、教育関連の支出を所得税控除の対象としている。；この持ち越し分は、将来利益が出た場合に使用し、控除に利用できる。；ただし、赤字であっても、他の所得の金額から控除することはできない。；寄附額以上の税金が控除されるものではないので、節税には繋がらない。；資産説から資本控除説への移行に伴う会計処理の変化は、下表のとおり。；この場合、自分以外の女といっても、妻はもちろん控除される。；したがって、これらの費用は事業費とみなされ、税控除の対象となります。；たとえば、二億円の借金があったことにすれば、この分は控除される。；下記算式で計算された金額の内、大きい方が雑損控除の控除額となる。；もし思想からこの特色を控除したら、おそらく思想の生命は半ば失われてしまうであろう。；また、控除した場合、事業主は計算書を発行する義務がある。；多くの国では、チャリティーマッチ活動に寄付した場合税金が控除される。；国税庁に収入を申告していなかったり、控除額を水増ししている夫婦が十九組。；その後に保険者に申し出ることで一部負担金を控除した相当額が払い戻される。；もう一人の配偶者ってことで、税金が控除になってしかるべきなんだ。；と同時に、長期予備金その他の控除項目をも記載しえたのである。；基本的医療については給与控除は発生せず、自己負担額は非常に少ないか負担はない。；その額は純資産から資本金・準備金等を控除した額と定義される。；人間のなせる所と看做され得るすべての物を控除または補償した後に残るものが、自然のなせる所である。；対象経費を控除して残余がある場合は、当該残余の額に相当する額を返還。；職業訓練券を使用すると、訓練や研修を一部から全額控除で受講できる。；そして1942年に馬券税法が制定されると、2段控除に変更された。；緑の建築プログラムを用いることで助成金や税金控除を実施している政府も多い。；税金の控除が本当に意味をもってくるような連中だ。；これにより税控除後の年俸は4000万ユーロになるとのことである。；この市としての法人化のとき、その市域と人口は町のために報告された数字から控除された。；私的年金ではあるが「公的年金等控除」の対象とされるものは多い。；さらに消費型付加価値税は前段階税額控除方式と仕入控除方式とに分類できる。</t>
        </is>
      </c>
      <c r="J2807">
        <f>HYPERLINK("https://www.weblio.jp/content/控除", "词义详情")</f>
        <v/>
      </c>
      <c r="K2807">
        <f>HYPERLINK("https://yourei.jp/控除", "查看例句")</f>
        <v/>
      </c>
    </row>
    <row r="2808">
      <c r="A2808" t="inlineStr">
        <is>
          <t>高尚</t>
        </is>
      </c>
      <c r="B2808" t="inlineStr">
        <is>
          <t>成功</t>
        </is>
      </c>
      <c r="C2808" t="inlineStr">
        <is>
          <t>読み方：こうしょう
［名・形動］学問・技芸・言行などの程度が高く上品なこと。けだかくてりっぱなこと。また、そのさま。「—な趣味」「話題が—すぎる」⇔低俗。
[派生]こうしょうさ［名］</t>
        </is>
      </c>
      <c r="D2808" t="inlineStr">
        <is>
          <t>高尚なる(7%)；高尚なもの(6%)；高尚な趣味(2%)；高尚な感情；高尚な芸術</t>
        </is>
      </c>
      <c r="E2808" t="inlineStr">
        <is>
          <t>高い；高度；厳しい；堂々；高等</t>
        </is>
      </c>
      <c r="F2808" t="inlineStr">
        <is>
          <t>高尚な部分；高尚な動機；高尚すぎる；優美高尚；こうした高尚</t>
        </is>
      </c>
      <c r="H2808" t="n">
        <v>29</v>
      </c>
      <c r="I2808" t="inlineStr">
        <is>
          <t>チョッと複雑過ぎて簡単な題にならんような高尚な事なんだろうと思う。；道楽のために学問することは、一方から考えると非常に高尚な事である。；高尚でもなければ悟りの一つも目の前にぶら下げて生きちゃいないのだ。；あの男が高尚らしいようなことを言うかと思うと、私は噴飯したくなる。；いつも自分の高尚な趣味は頭の悪いガキには理解されないんだと怒ってる。；それに高尚な作品を読んでいる人間が高尚な人間だとは限らないしね。；ところが、悲しみはいつも高尚なもののように思われていたのだから。；彼の男が高尚らしいやうなことを言ふかと思ふと、私は噴飯したくなる。；別に世間の人たちを救いたいなんて高尚な理想を持っているわけではない。；日本人は昔から芸術家を尊敬するところの高尚なる気風を持つ国民である。；しかしそのために会話が明らかに高尚となるようなことはなかった。；職工自身でも自分の職業は立派で高尚であると云ふ誇りを抱いてゐたのだ。；かといって、彼の口から出ることばが特別高尚なものであったわけではない。；ここに来るには、なんか高尚な問題でも抱えてないと駄目なんですか?；つまりこっちの知能が高すぎるから高尚なことばかり考えるのである。；僕の精神が今のように高尚に活動した事はこれまでにないのだ。；僕の精神が今のやうに高尚に活動した事はこれまでにないのだ。；私の仕事は高尚ではなかったが、そんなことは気にもかけなかった。；結局、命は高尚なものではなく、いろいろな点で清純とは逆のものなのだ。；女の子なら女の子で、少しゃ高尚な女の子の真似でもして見るがいい。；この世のものとも思われぬ高尚な香を身体に持っているのが最も特異な点である。；私も友人も詩を書くような高尚な趣味は持ち合わせてはいなかった。；ずっと高尚の意味で云うのですから誤解のないように願います。；彼の弁論が大変高尚であるという印象もやはりぶちこわされてしまった。；覚悟というには足りないし、決意というほど高尚なものではない。；いかに高尚な人間でも傍で息をしていたら、やっぱり人間である。；まことにフランスの光栄であり、世界の最も高尚な装飾の一つである。；その苦悩は高尚で深遠で、ふれてはならぬものであるにちがいなかった。；俗な曲やあまり高尚ではない楽曲を鄭声というのもここから来ている。</t>
        </is>
      </c>
      <c r="J2808">
        <f>HYPERLINK("https://www.weblio.jp/content/高尚", "词义详情")</f>
        <v/>
      </c>
      <c r="K2808">
        <f>HYPERLINK("https://yourei.jp/高尚", "查看例句")</f>
        <v/>
      </c>
    </row>
    <row r="2809">
      <c r="A2809" t="inlineStr">
        <is>
          <t>交渉</t>
        </is>
      </c>
      <c r="B2809" t="inlineStr">
        <is>
          <t>成功</t>
        </is>
      </c>
      <c r="C2809" t="inlineStr">
        <is>
          <t>読み方：こうしょう
［名］(スル)
１特定の問題について相手と話し合うこと。掛け合うこと。「労働条件について—する」
２交際や接触によって生じる関係。かかわり合い。関係。「悪い仲間との—を絶つ」「異性と—をもつ」「没—」</t>
        </is>
      </c>
      <c r="D2809" t="inlineStr">
        <is>
          <t>交渉役；交渉相手；交渉権；交渉力；交渉しよ</t>
        </is>
      </c>
      <c r="E2809" t="inlineStr">
        <is>
          <t>関係；相談；交流；交通；取引</t>
        </is>
      </c>
      <c r="F2809" t="inlineStr">
        <is>
          <t>直接交渉；補償交渉；講和交渉；停戦交渉；出演交渉</t>
        </is>
      </c>
      <c r="G2809" t="inlineStr">
        <is>
          <t>交渉中；交渉人；交渉開始；交渉団；交渉決裂</t>
        </is>
      </c>
      <c r="H2809" t="n">
        <v>29</v>
      </c>
      <c r="I2809" t="inlineStr">
        <is>
          <t>この交渉に関してボリシェヴィキの内部に三つのグループが形成された。；帝国石油に試掘権を与えるなど、中国には強い姿勢で交渉を行っていた。；ドラフトで選択されなかった選手は各チームが自由交渉で契約する。；だが、この交渉は不調に終わり、謀略を使って脱出を行うことになった。；またこの他ににもストライキの計画があったが、寸前で交渉が妥結した。；明治には海外と交渉のある階層を中心に西洋料理が食べられるようになった。；交渉先の中には同年にゲームボーイをリリースする事になる任天堂もあった。；神は軍令部との交渉に入ったが、作戦課長富岡定俊少将は反対であった。；白村江の戦いで日本が大敗した後は、3回にわたり交渉が任務となった。；交渉の初期段階においてボーマルシェに情報を流していたのはこの男であった。；そうこうしているうちに、最後は州知事にまで孫は電話で交渉することになった。；お互いを信頼しないパートナーは真剣な交渉を行うことはできない。；前者を与えられた選手は他チームと交渉も出来ない。；アメリカを代表してが、事務総長を代表してが交渉を行い、和解に至った。；その後も結成されようとしている組合との交渉役をベネットに任せている。；以上をまとめると日本側の交渉の基本姿勢は、以下の二点に集約される。；その間に韓国側は拿捕者解放の条件に日韓交渉の全面会談開催も加えた。；さらに、航空業界では深夜になって交渉が妥結し、回避されることも多い。；だが地元自治体の納得できるだけの放流量ではなく、交渉は不調に終わった。；ボーマルシェは、ロンドンに到着すると早速モランドとの交渉に入った。；幕府はまず横浜鎖港の交渉を始めることとした。；交渉が開始された時点では中央同盟国の方が有利であった。；ここから、日本国と中華人民共和国との交渉がスタートした。；その一方で日本軍も、石田三成や小西行長らは明との講和交渉を開始した。；数年間、日朝の国交交渉が進展せず、この余波がさまざまな形で現れた。；漢城が陥落した後熊津で再興した後も変わらず活発な交渉が行われていた。；サスケとの交渉が不調に終わったWWFはTAKAみちのくと契約する。；両国はこの時から関係強化を目指して幾度となく交渉を重ねていた。；新教同盟にはオランダが協力し、フランスとの交渉を開始した。</t>
        </is>
      </c>
      <c r="J2809">
        <f>HYPERLINK("https://www.weblio.jp/content/交渉", "词义详情")</f>
        <v/>
      </c>
      <c r="K2809">
        <f>HYPERLINK("https://yourei.jp/交渉", "查看例句")</f>
        <v/>
      </c>
    </row>
    <row r="2810">
      <c r="A2810" t="inlineStr">
        <is>
          <t>工場</t>
        </is>
      </c>
      <c r="B2810" t="inlineStr">
        <is>
          <t>成功</t>
        </is>
      </c>
      <c r="C2810" t="inlineStr">
        <is>
          <t>読み方：こうじょう
一定の機械・器具を設備し、継続的に物品の製造や加工などを行う所。また、その建物。こうば。</t>
        </is>
      </c>
      <c r="D2810" t="inlineStr">
        <is>
          <t>工場内；工場主；工場地帯；工場建設；工場群</t>
        </is>
      </c>
      <c r="E2810" t="inlineStr">
        <is>
          <t>工房；仕事場；プラント；ワークショップ；製作所</t>
        </is>
      </c>
      <c r="F2810" t="inlineStr">
        <is>
          <t>本社工場；新工場；同工場；生産工場；紡績工場</t>
        </is>
      </c>
      <c r="G2810" t="inlineStr">
        <is>
          <t>工場労働；工場跡地；工場見学；工場法；工場制手工業</t>
        </is>
      </c>
      <c r="H2810" t="n">
        <v>29</v>
      </c>
      <c r="I2810" t="inlineStr">
        <is>
          <t>工業では高速道路の整備以降は高速周辺での工場誘致が各地で起こった。；また、工場では火花などによる事故を防ぐ目的で使用されることもある。；市内にはこの豊富な水を利用した大規模工場や水田地帯が多くある。；戦争機械の完成を阻止するには全工場を速やかに破壊せねばならない。；沿線は工場が多く、旅客列車はそれらの工場への通勤客が主に利用する。；工場機能を担当する職員のほとんどは、熊本総合車両所に転勤となった。；生産とは工場において材料から部品、製品などの商材を作る行為である。；かつては駅の北にあるトヨタ自動車元町工場への専用線が分岐していた。；高校の時代には「工場のある赤い風景」のような作品を描いている。；日本で初めて工場で作った生の餃子を販売したのは株式会社紀文食品。；工場などで働く場合、英語との接触がかなり増えることになるケースがある。；次第に辺りは東大阪市の古くからの住宅や工場が多くなってくる。；霧は通常白色だが工場地帯では煙と塵埃のために灰色や黄色になることがある。；中国では日本から技術導入した工場が現地製造している。；工場などが目標のため、使用弾種も焼夷弾ではなく通常爆弾が中心だった。；工業は、以前三菱重工業の広島工場が存在したが2003年に閉鎖された。；斜里バス整備工場敷地の一部に建てられたかつては日本最東端であった店舗。；ウズベキスタンには現代的な自動車を生産する自動車工場がある。；第二次世界大戦の際には、各地の工場が軍用製品の生産に切り替えられた。；洗濯工場博物館には、オリジナルの状態で保存された洗濯工場がある。；工業が盛んであり、市の郊外には多くの重化学工場が立ち並んでいる。；父は工場を次男のに任せ、アルフレッドと両親はスウェーデンに帰国した。；我々は、彼らの造船所を、彼らの工場を、彼らの交通を破壊するであろう。；そして彼らに関連のある工場は、広くヨーロッパ中に広がった。；父は大手の呉服商や織物工場を営み、戦前はかなり裕福な家庭で育った。；貨物駅からは工場専用線の線路を残す計画もあったが、復元されていない。；日本では1873年に、欧米の機械を導入した初の洋紙工場が設立された。；設計は吹田工場が担当し、改造は吹田工場と鷹取工場で施工されている。；工場レベルでもミスがあると類似の事故が発生する。</t>
        </is>
      </c>
      <c r="J2810">
        <f>HYPERLINK("https://www.weblio.jp/content/工場", "词义详情")</f>
        <v/>
      </c>
      <c r="K2810">
        <f>HYPERLINK("https://yourei.jp/工場", "查看例句")</f>
        <v/>
      </c>
    </row>
    <row r="2811">
      <c r="A2811" t="inlineStr">
        <is>
          <t>向上</t>
        </is>
      </c>
      <c r="B2811" t="inlineStr">
        <is>
          <t>成功</t>
        </is>
      </c>
      <c r="C2811" t="inlineStr">
        <is>
          <t>読み方：こうじょう
［名］(スル)
１よりよい方向、すぐれた状態に向かうこと。進歩。「学力が—する」「生活レベルの—」⇔低下。
２最上。最高。
「武田の弓矢—なり」〈甲陽軍鑑・三六〉
３仏語。絶対平等の境地。また、それに向かって進むこと。</t>
        </is>
      </c>
      <c r="D2811" t="inlineStr">
        <is>
          <t>向上させる(9%)；向上型；向上策；向上させよ；向上発展</t>
        </is>
      </c>
      <c r="E2811" t="inlineStr">
        <is>
          <t>発展；成長；発達；進行；進み</t>
        </is>
      </c>
      <c r="F2811" t="inlineStr">
        <is>
          <t>地位向上；性向上；能力向上；大きく向上；技術向上</t>
        </is>
      </c>
      <c r="G2811" t="inlineStr">
        <is>
          <t>向上委員会；向上高等学校；向上訓練；向上高校；向上庵</t>
        </is>
      </c>
      <c r="H2811" t="n">
        <v>29</v>
      </c>
      <c r="I2811" t="inlineStr">
        <is>
          <t>機械学習では、機械がデータを利用してその性能を向上させようとする。；これらの理由によって運転本数増加や速度向上は大きく制限されている。；トルコ政府は識字率向上のため義務教育を提供する学校を急速に作った。；値型におけるパフォーマンス向上を意図した複数の機能が追加された。；これは、貴族層を中心に識字率が飛躍的に向上していたことを表している。；動作速度がより向上し、細かい部分の使い勝手に多くの改良が施された。；ネットワーク経由でバグの修正や性能・機能の向上がメーカーより提供される。；セッチングを行うことでへたりに対する耐性を向上させることができる。；また、最近ではこれらの言語の処理系でも性能が向上してきている。；冷暖房効果向上などを目的として全中間連結部に引戸が設けられている。；これは楽器が改良され、音量面や機構などで大きな向上がなされた結果である。；中世末期には歯車や脱進機の性能が向上し各地に大規模な時計が作られた。；現在は住宅はおおむね行き渡ったとされ、質の向上が求められている。；さらに観測精度が向上し、徐々に推定距離が長く算定されるようになった。；また、イメージの向上も目的に含まれることがあると思われる。；小林新社長が経営安定化とチーム成績向上を迫られた一年となった。；製造技術と音響学の知識の両方が洗練され、楽器の演奏性が大幅に向上した。；性能を向上させるために、インデックス作成などの手法を使用することもある。；また明清両代ともに商品経済が盛んになり、農業生産も向上した。；同期化の性能を向上させるため、スレッド化された割り込みが実装された。；この発明はすぐに自転車に使用され、乗り心地と速度の大幅な向上をもたらした。；これは反発力が強く、従来のラバーと比べて打力が飛躍的に向上した。；マッチロック式は命中精度と射程の向上など銃の性能を大きく向上させた。；また、理論段数を能動的に向上させた蒸留装置として装置が挙げられる。；新たに発明され急激に性能の向上したトランジスタの利用である。；いずれも効率向上が最重要であり大型のものが中心である。；これによってコンピュータなどの電子機器の性能が向上していった。；これに合わせて鉄道および道路の整備が行われ、交通アクセスの利便性が向上した。；性能を向上させるためにストレージを冗長化することがよくある。</t>
        </is>
      </c>
      <c r="J2811">
        <f>HYPERLINK("https://www.weblio.jp/content/向上", "词义详情")</f>
        <v/>
      </c>
      <c r="K2811">
        <f>HYPERLINK("https://yourei.jp/向上", "查看例句")</f>
        <v/>
      </c>
    </row>
    <row r="2812">
      <c r="A2812" t="inlineStr">
        <is>
          <t>強情</t>
        </is>
      </c>
      <c r="B2812" t="inlineStr">
        <is>
          <t>成功</t>
        </is>
      </c>
      <c r="C2812" t="inlineStr">
        <is>
          <t>読み方：ごうじょう
［名・形動］意地を張って、なかなか自分の考えを変えないこと。また、そのさま。「—を張る」「—な性格」
[派生]ごうじょうさ［名］
[用法]強情・頑固——「強情（頑固）な性格」「強情（頑固）なやつ」のように性格・態度を表現する語としては相通じて用いられる。◇「強情」は「自分の非を認めずにあくまでも強情を張っている」「強情に口をつぐんでいる子」など、人の言葉を聞き入れないさまを表す意で広く使われる。◇「頑固」は「頑固おやじ」「頑固に伝統を守る」など自分の考えを積極的に通すという意で多く用いられるが、「頑固な水虫」など人間以外のしつこいものにも使う。◇類似の語に「意固地」「かたくな」がある。「意固地」は、「意固地になって反対する」など意地を強く張る場合に、「かたくな」は、心を閉ざしたような頑固さを表す場合に用いられる。</t>
        </is>
      </c>
      <c r="D2812" t="inlineStr">
        <is>
          <t>強情そう(2%)；強情者；強情なところ；強情な性格；強情な奴</t>
        </is>
      </c>
      <c r="E2812" t="inlineStr">
        <is>
          <t>一刻；固い；堅い；頑固；頑強</t>
        </is>
      </c>
      <c r="F2812" t="inlineStr">
        <is>
          <t>強情張り；こんな強情；強情っ張り；強情ぶり</t>
        </is>
      </c>
      <c r="G2812" t="inlineStr">
        <is>
          <t>強情っぱり；強情灸</t>
        </is>
      </c>
      <c r="H2812" t="n">
        <v>29</v>
      </c>
      <c r="I2812" t="inlineStr">
        <is>
          <t>強情な相手を扱うのは、なにもこんどが初めてのことではないのだから。；しかしおまえも止められたのにのぼって来るとはずいぶん強情な奴だな。；しかしこの子も親に似て強情で自分からそれを言い出すことはなかった。；どうもこいつは強情でな、自分の事情をどうしても語ろうとしないのだ。；妹は強情で、あの宗教にはいるためにブラッドウッドを出て行きました。；子供は無表情な強情な顔で全身しゃっちょこばって必死に抵抗している。；これが長い病気の始まりだったが、その間、強情を張って入院は拒んだ。；女の子の目はきっぱりとした一重で、帽子の下から強情な光を放ってくる。；Kには、自分がこんなに強情なのでその男が頭を振っているように思えた。；彼女はベッドの端の方に立ったまま、強情に頭をふりつづけていた。；だが、彼はあんなおとなし相な様子でいて、芯は非常な強情者であった。；そしてたいていの場合、その無邪気さが相手の強情を打ち負してしまう。；このまま強情を張っていたら、あいてはほんとうにじぶんを殺すだろう。；百姓は強情を張って、もうすこし待ってくれと拝むように頼んでいた。；あんたが強情だというんじゃなくて、こっちが忘れてたのがいけない。；火山論者アナクサゴラス君は強情で、人の説に服せまいとしているのだ。；どうしても芸妓を殺した覚えはないと強情を張っているんですもの。；この場合この強情な男にこれ以上いうと、事が面倒になるから自分は黙っていた。；彼女が「知らない」と言い張るのは、悪魔が強情なせいだと考えられた。；それが呑み込めないと、わたくしの父はやはり強情を張っていました。；その厚意に対しても、紋作は強情を張っているわけには行かなくなった。；「わたしはあなたがなかなか強情な人だと聞いています」とその男は続けた。；けれども、強情なのは随分その大きな灸の火に苦痛を忍ぶものもあった。；生きていた時と同じように、強情な殻をかぶったままで死ぬつもりなのだ。；骨が砕けるまで強情を張り通して、とうとう獄門になったのは二た月前だ。；こう強情では私がなんといったところでどうにもならないとわかりました。；これからは強情は張りませんからどうか助けて下さい、といってるみたいなの。；しかし、店のものの一人に、強情に貿易のことを主張する男がいる。；母親もたいそうしあわせだったのでいつもほど強情をはりませんでした。</t>
        </is>
      </c>
      <c r="J2812">
        <f>HYPERLINK("https://www.weblio.jp/content/強情", "词义详情")</f>
        <v/>
      </c>
      <c r="K2812">
        <f>HYPERLINK("https://yourei.jp/強情", "查看例句")</f>
        <v/>
      </c>
    </row>
    <row r="2813">
      <c r="A2813" t="inlineStr">
        <is>
          <t>向上心</t>
        </is>
      </c>
      <c r="B2813" t="inlineStr">
        <is>
          <t>成功</t>
        </is>
      </c>
      <c r="C2813" t="inlineStr">
        <is>
          <t>読み方：こうじょうしん
現在の状態に満足せず、よりすぐれたもの、より高いものを目ざして努力する心。「—に欠ける」</t>
        </is>
      </c>
      <c r="D2813" t="inlineStr">
        <is>
          <t>希望；憧れ；志願；野心；願望</t>
        </is>
      </c>
      <c r="H2813" t="n">
        <v>29</v>
      </c>
      <c r="I2813" t="inlineStr">
        <is>
          <t>向上心は燃えているが、身につけたいものが別の処にある気がするのだ。；しばしば、戦いは敗者にこそ軍事的な向上心を与えるもののようである。；いま、こうして床屋に来る気になったのは、彼なりの向上心からだった。；それこそが積極的な生き方と向上心の基本となり、出発点となること。；しかしそのために私は次第に自信を、熱を、向上心を失いはしないだろうか?；青はグループの将来性と社会への貢献を、赤は情熱と向上心を表している。；親父はたしかに、お袋の言う意味での向上心みたいなものは持っていない。；自分の能力を、野心を、向上心を満たすために無理して男になっただけだ。；えらい者になる気が少しもなくても、人間には向上心求欲心が必要なのだ。；あなたの二十五歳という年齢は、女性の人生の中でも最も向上心の強い時期です。；よく言えばそれは向上心があるということなのかもしれないが。；テストの出来ばかり気にしているクラスメイトは、向上心のある人。；ほんとに素子は、向上心だけで、外国へ行こうと決心しているのかと。；自分の経験も向上心も、この職場で持つことは許されないのか。；あなたは優秀なパイロットだし、向上心を持っているしね。；今、安易に勝ちに行ってしまうと向上心がなくなり、努力しなくなる。；つまり代々百姓だった彼の向上心に火を付けたのは彼女自身だったということだ。；向上心の強い努力家であり、ポケモンコンテストの練習にも余念がない。；成熟した宇宙でありながら、さらに上を目指す向上心に溢れた宇宙。；向上心を持つのは悪くないことだが、目指す方角をあやまると大変なことになる。；ここにはコマッシャクレた反抗心があるだけで、なんの向上心もない。；すべてが宿命や運命できまっているとしたら、努力や向上心はどうなってしまうのだ。；闘争心も、向上心も、自分で駆りたてないことにはだれも刺激してくれない。；私はまず「精神的に向上心のないものは馬鹿だ」といい放ちました。；それが知らず知らずあなたの向上心を躊躇させ、あなたをやや絶望的にしているのではないのですか。；純粋に舞台で踊ることが好きであるような印象が高く評価されており、向上心も人一倍である。；その向上心の大部分は二葉の中から病毒に感染させられた。；その努力と向上心は賞賛に値するが、いずれも決定的な欠点を持っている。；「精神的に向上心のないものは、馬鹿だ」 私は二度同じ言葉を繰り返しました。</t>
        </is>
      </c>
      <c r="J2813">
        <f>HYPERLINK("https://www.weblio.jp/content/向上心", "词义详情")</f>
        <v/>
      </c>
      <c r="K2813">
        <f>HYPERLINK("https://yourei.jp/向上心", "查看例句")</f>
        <v/>
      </c>
    </row>
    <row r="2814">
      <c r="A2814" t="inlineStr">
        <is>
          <t>工場長</t>
        </is>
      </c>
      <c r="B2814" t="inlineStr">
        <is>
          <t>成功</t>
        </is>
      </c>
      <c r="D2814" t="inlineStr">
        <is>
          <t>工場長等；工場長室；工場長兼</t>
        </is>
      </c>
      <c r="F2814" t="inlineStr">
        <is>
          <t>副工場長；工場工場長；イネス工場長；兼工場長；バインダー工場長</t>
        </is>
      </c>
      <c r="H2814" t="n">
        <v>29</v>
      </c>
      <c r="I2814" t="inlineStr">
        <is>
          <t>工場長も他の誰も寝た女の描写をしないので、何かを悟ったのだろう。；拡張指令も、工場長である自分に極秘で通したのも、戦略であったのか。；僕は工場長や工員たちに、己斐へ行く途中に白い虹を見たことを話した。；工場長には裏切られたし、あれほど愛していた妻にも娘にも見捨てられた。；私は工場でもっとも偉い工場長という方の部屋へ連れて行かれました。；工場長が杉箸でコップのなかを掻きまわしたので、僕もその通りにした。；だって、いつも鍵を渡してた工場長が目の前で破裂したんだもんな。；奥さんは秋田から出てきて、この会社に勤め工場長の佐藤さんと結婚した。；僕は会社へ長距離電話をかけ、工場長から長期欠勤の許可を得て入院した。；田中君は青ざめた顔をして、殆ど直立不動の姿勢で工場長の前に立っていた。；工場長はもちろんあんただが、残念ながらあんたにはそこを訪問することはできん。；工場には巡査上りの肩幅の広い男がいて、それが工場長のような役をしていた。；桜田武とは、桜田がまだ名古屋の工場長だった頃から母は親しくしていた。；しかし、たとえ採れなくとも、イネス工場長の言葉のように方法はある。；工場長室では、ニコルズ博士が小型コンピューターの画面に見いっていた。；数社の転職の後に九州松下電器協力工場である福松工業所の工場長に就任。；工場長の首が飛んだことはすでに知っているだろう。；竹鶴にとってなによりもありがたかったのは、この工場長の存在だった。；工場長の吉沢と話を終えたあと、茂夫はなぜだか夢も終わりだな、と思った。；ルベン・ウェルズは再び工場長を務めたが、競争は不利な状況に陥った。；竹鶴はイネス工場長の下でその意味をじっくり噛みしめることができた。；そこでは工場長に抜擢されるが労働争議に参加し、拘留される経験も持つ。；今日、矢須子は工場長から、当分休養してもいいと云われたのであった。；工場長は僕たち一家のため、謂わば水いらずの晩餐会を設けてくれたのだ。；今トラックの運転手として働いている工場は、工場長を含めて工員は六人。；昨夜一番絶倫と彼女が部屋番号に二重丸をつけて絶賛した工場長だ。；その家の人が工場長と知りあいで口をきいてくれたのだ。；名前呼ばれて、頭下げるだけなんだけど、なんなのよ、この工場長って。；弟は、三兄の経営する紡績工場の工場長をしていて、日に何回も工場の中を歩く。</t>
        </is>
      </c>
      <c r="J2814">
        <f>HYPERLINK("https://www.weblio.jp/content/工場長", "词义详情")</f>
        <v/>
      </c>
      <c r="K2814">
        <f>HYPERLINK("https://yourei.jp/工場長", "查看例句")</f>
        <v/>
      </c>
    </row>
    <row r="2815">
      <c r="A2815" t="inlineStr">
        <is>
          <t>行進</t>
        </is>
      </c>
      <c r="B2815" t="inlineStr">
        <is>
          <t>成功</t>
        </is>
      </c>
      <c r="C2815" t="inlineStr">
        <is>
          <t>読み方：こうしん
［名］(スル)多くの人が隊列を組んで進むこと。「足並みそろえて—する」「デモ—」</t>
        </is>
      </c>
      <c r="D2815" t="inlineStr">
        <is>
          <t>行進する(12%)；行進中；行進連隊第i；行進遊戯；行進隊</t>
        </is>
      </c>
      <c r="E2815" t="inlineStr">
        <is>
          <t>進出；進行；進み；進歩；前進</t>
        </is>
      </c>
      <c r="F2815" t="inlineStr">
        <is>
          <t>大行進；向かって行進；分列行進；デモ行進；礼拝行進</t>
        </is>
      </c>
      <c r="G2815" t="inlineStr">
        <is>
          <t>行進歌</t>
        </is>
      </c>
      <c r="H2815" t="n">
        <v>29</v>
      </c>
      <c r="I2815" t="inlineStr">
        <is>
          <t>この社は主要な祭りの間の宗教的な行進のために使われたと信じられている。；戦いに参加した人々は独立記念日のパレードで行進する権利を与えられた。；同年12月に首都パリに到達した大行進には、およそ6万人が参加した。；とは民衆が集まって行進を行ったマニラ市内の大通りの名称の略である。；冒頭は、主人公がニューヨークで平和行進に参加するところから始まる。；地踊りは、櫓を中心に輪になり、並んで反時計周りに行進する形をとる。；もし寒さと雨の中だったなら近郊からの行進は人を引きつけなかったであろう。；踊りながら初盆の家の間を行進するのではなく、それぞれの家の庭で踊る。；続いて松明を持った突撃隊がベルリン市内を行進し、その勢いを示した。；短い時間のみ歩いた者が居れば、この行進の大半に同行した者もいた。；肩付け式の砲の長所は目標への追従性が高く、行進射が可能な点であった。；様々なプロライフ団体がこの行進前後に米国でイベントを開催する。；全国的な指導者が出たり入ったりして、その他の任務の中にあっても行進の世話をした。；行進のための楽曲は古くからあり、軍楽や儀式などで使われてきたようである。；その直後にシュラクサイに急いで行進し、今度は本拠に奇襲を仕掛けた。；鍵盤楽器のために作られた『デンマーク王子の行進』が最も有名である。；行動委員会が十分な統制と平和的な運動を強調した後、教師達も行進を支援した。；ダッカ大学の学生らは大行進に向け、3月からこれらの模型を作成する。；外国人戦争捕虜が徒歩でこの街を通って行進させられていたのである。；別の一連の人形は子供から老人までの一生を表現しており、死神の前を行進する。；このラビたちは、「土地の日」を記念するための行進に参加していた。；このことで、その後の日々にも同様な行進が行われ、さらに多くの者が逮捕された。；それら行進は全国紙で取り上げられ、投票権の問題に注意を惹きつけた。；彼らは大騒ぎをしたり逮捕者を出したりすることなく行進を続けた。；これに大規模な儀式や行進が加わり、見応えのある内容となっている。；この大会から開会式での入場行進の参加人数を制限するようになった。；行進の際にはクリスマス・キャロルや、そのほかのルチア祭の歌を歌う。；釈放されたアリエノールと合流するとロンドンまで行列を指揮・行進した。；建築のモデルは兵士たちを周辺で行進させ、地震に見立てて試験が行われた。</t>
        </is>
      </c>
      <c r="J2815">
        <f>HYPERLINK("https://www.weblio.jp/content/行進", "词义详情")</f>
        <v/>
      </c>
      <c r="K2815">
        <f>HYPERLINK("https://yourei.jp/行進", "查看例句")</f>
        <v/>
      </c>
    </row>
    <row r="2816">
      <c r="A2816" t="inlineStr">
        <is>
          <t>香辛料</t>
        </is>
      </c>
      <c r="B2816" t="inlineStr">
        <is>
          <t>成功</t>
        </is>
      </c>
      <c r="C2816" t="inlineStr">
        <is>
          <t>読み方：こうしんりょう
飲食物に香気や辛味を添えて風味を増す種子・果実・葉・根・木皮・花など。コショウ・ベイリーフ・セージ・シナモン・チョウジなど。スパイス。</t>
        </is>
      </c>
      <c r="D2816" t="inlineStr">
        <is>
          <t>香辛料等；香辛料入り；香辛料交易；香辛料諸島；香辛料商人</t>
        </is>
      </c>
      <c r="E2816" t="inlineStr">
        <is>
          <t>加味；薬味；塩味；塩梅；調味料</t>
        </is>
      </c>
      <c r="F2816" t="inlineStr">
        <is>
          <t>使われる香辛料；高価な香辛料；貴重な香辛料；強い香辛料；さまざまな香辛料</t>
        </is>
      </c>
      <c r="H2816" t="n">
        <v>29</v>
      </c>
      <c r="I2816" t="inlineStr">
        <is>
          <t>古代から香辛料として使われ、ヨーロッパでは中世から栽培されている。；数種のニッケイ属植物のみが香辛料のために商業的に育てられている。；トルネドラ人の香辛料商人の家は、次の通りにあるのっぽの建物だった。；イギリス東インド会社は17世紀前半にかなりの量の香辛料を輸出した。；ローストにもブイヨンにもイタリアの香辛料やハーブが用いられていた。；江戸時代には、他の香辛料である葱や山椒も加薬と呼ばれることとなる。；ジュー・タウンにはその香辛料を扱う事務所や倉庫が蝟集しているのだ。；ヨーロッパでは、ヒッチョウカは中世期に高価な香辛料の1つであった。；香辛料植物のようなその根のまわりの土を、細い触手でかきまわしている。；コロンブスの昔から香辛料は危険な冒険の対象にもなり得たほどに貴重視された。；香辛料で作ったサウナのような空気がせまい室内全体に充満している。；いますこし刺激的な香辛料を振りかけてやれば疑惑は決定的になるだろう。；モルッカ諸島は当時の貴重品であった香辛料の一大産地だったからである。；この単語は、スパイスや香辛料を意味していたの語を元にしている。；またコショウ以外の香辛料を10箱まで免税で輸入する許可も与えられた。；シナモンは複数の植物種とそれらの一部が作り出す商業的香辛料の名称である。；一般によく使われる香辛料が13種類あるところから来ている。；口の中に残っている香辛料のきつい匂いが、胸を悪くしていた。；ただ子供から老人まで食べられるようにと、香辛料のきつい製品の製造はやめた。；近年では胡椒などの香辛料を使うことが一般的となっている。；香辛料と化学薬品をいっしょにしたような、徴かな香りが漂ってきた。；やがて人類に香辛料として利用される様になり、広く世界中に分布される事となった。；独特の香気は香辛料としてだけでなく、魔除けとしても用いられてきた。；当時の香辛料はきわめて高価で、同じ重さの銀と交換されるほどだったという。；ペット用のジャーキーの場合、塩や香辛料などの味はほとんどついていない。；複数の粉末香辛料を混合させて作ったソースを用いた料理全般を指す。；ターメリックを始めとする香辛料を入れたスープと鶏肉に特徴がある。；香辛料のなかでも、一番量が多いのは、何といっても、トウガラシである。；ヨーロッパ各地に見られる香辛料を用いた菓子の一つである。</t>
        </is>
      </c>
      <c r="J2816">
        <f>HYPERLINK("https://www.weblio.jp/content/香辛料", "词义详情")</f>
        <v/>
      </c>
      <c r="K2816">
        <f>HYPERLINK("https://yourei.jp/香辛料", "查看例句")</f>
        <v/>
      </c>
    </row>
    <row r="2817">
      <c r="A2817" t="inlineStr">
        <is>
          <t>構図</t>
        </is>
      </c>
      <c r="B2817" t="inlineStr">
        <is>
          <t>成功</t>
        </is>
      </c>
      <c r="C2817" t="inlineStr">
        <is>
          <t>読み方：こうず
１絵画・写真などで仕上がりの効果を配慮した画面の構成。コンポジション。「—がいい写真」「斬新な—」
２構成された図形。
３物事を全体的にとらえたときのすがた・かたち。「未来都市の—を語る」「汚職事件の—」</t>
        </is>
      </c>
      <c r="D2817" t="inlineStr">
        <is>
          <t>構図自体；構図そのもの</t>
        </is>
      </c>
      <c r="E2817" t="inlineStr">
        <is>
          <t>構成；制作；構造；作曲；図</t>
        </is>
      </c>
      <c r="F2817" t="inlineStr">
        <is>
          <t>対立構図；大胆な構図；単純な構図；対立する構図；斬新な構図</t>
        </is>
      </c>
      <c r="H2817" t="n">
        <v>29</v>
      </c>
      <c r="I2817" t="inlineStr">
        <is>
          <t>しかし、その単純な対立構図はより理由が鮮明になり熱を帯びていった。；僕はこの小説の中で、その小説的構図を使ってみようと思ったのです。；男性加害容疑者と女性被害者という構図の裁判での影響が問題視された。；絵も叙情詩のように静かで大胆な構図・情景を頻繁に用いるようになる。；不出馬表明の直前には「構図次第では出馬を検討する」と発言していた。；その場合には日本対韓国および韓国に賛同する国家という構図になる。；これらが、装飾的な浮き彫りをほどこしたような構図の中に描かれている。；最大の重要な変更点はより堂々とした構図になったことである。；キャラクターはもちろんのこと、構図や背景すらも多くの点で酷似している。；フェルメール作品の色彩や構図を映像で再現しているところが特徴的である。；この構図は戦乱が終わり社会が安定した江戸時代になっても変わることは無かった。；第48回も幸福実現党が候補を立てた以外は同じ構図となり山口が再選。；イラストは元のモンスターの構図を左右反転させたような姿になっている。；幽霊・生霊・死霊をそれぞれ別の構図で絵としている点も本作の特徴である。；この当時の支援方針は次のような構図に変化していた。；従来のお色気漫画の逆を行くような倒錯的構図も特徴となっている。；そして、このような議論の構図がその後に出版された多くの書籍で言及されることとなった。；対立の構図は決して単純なものでは無かったのである。；イラストを描く際は、最初は目から描き始め、描きながら全体の構図を決定する。；総裁政府は、バラス派とバルテルミー派の対立の構図ができつつあった。；構図を設定するための大枠であり、画角を計算する際に重要な数値となる。；中央で対立しながら国政選挙で協力するという奇妙な構図となった。；関ヶ原の戦いは基本的に西軍へ東軍が攻めかかる構図となっている。；小さな子供が大人に答えにくい質問をするという構図がモチーフになっている。；物語を強調した構図もあれば、裸婦に焦点をあてた作品も存在する。；彼の作品は、構図や線描様式に日本の木版画からの影響がみられる。；金さんとそれを取り巻くキャラクターの基本的な構図は杉版が踏襲されている。；これは、絵の構図が「教皇」と対になっていることから由来しているとされる。；選挙法改正と労働者の政治的排除は社会的抑圧の構図も浮かび上がらせた。</t>
        </is>
      </c>
      <c r="J2817">
        <f>HYPERLINK("https://www.weblio.jp/content/構図", "词义详情")</f>
        <v/>
      </c>
      <c r="K2817">
        <f>HYPERLINK("https://yourei.jp/構図", "查看例句")</f>
        <v/>
      </c>
    </row>
    <row r="2818">
      <c r="A2818" t="inlineStr">
        <is>
          <t>降水</t>
        </is>
      </c>
      <c r="B2818" t="inlineStr">
        <is>
          <t>成功</t>
        </is>
      </c>
      <c r="C2818" t="inlineStr">
        <is>
          <t>読み方：こうすい
大気中の水蒸気が雨や雪などになって地上に落下する現象。また、その雨や雪。</t>
        </is>
      </c>
      <c r="D2818" t="inlineStr">
        <is>
          <t>降水量(8%)；降水日数(4%)；降水現象；降水時；降水域</t>
        </is>
      </c>
      <c r="E2818" t="inlineStr">
        <is>
          <t>降雨；沈殿；沈澱</t>
        </is>
      </c>
      <c r="F2818" t="inlineStr">
        <is>
          <t>可能な降水；降水分布；降水が多く；激しい降水；降水が少なく</t>
        </is>
      </c>
      <c r="G2818" t="inlineStr">
        <is>
          <t>降水確率；降水セル；降水短時間予報；降水粒子；降水過程</t>
        </is>
      </c>
      <c r="H2818" t="n">
        <v>29</v>
      </c>
      <c r="I2818" t="inlineStr">
        <is>
          <t>湖水効果雪に伴う降水帯と関係して観測されたケースも知られている。；ベンガルールでは北東と南西モンスーンの両方の影響で降水を観測する。；晩秋から初春にかけては降水が一年の中で一番よくみられる時期となる。；この地域では降水不足になりやすく、古くから他所の水を引く必要があった。；降水が地表で直接河川に流れ込む以外に、地下水から川に入る水もある。；堤には降水時の水はけのために、アーチのふたつある橋がかかっていた。；冬の降水は少ないが頻度が高く、夏の降水は多くてたまにしか降らない。；雨、雪、霰などの降水が雲から地上に落下している際にできるものである。；降水確率とは、特定の地域で、特定の時間帯内に降水がある確率をいう。；大陸中心部の降水は少ないが、氷が非常に長い期間解けずに残存する。；降水の大半は雷雨からのものであり、激しいものになることが多い。；このころから雨や雪などの本格的な降水が見られ始める。；上記のように氷晶を経て成長する降水の過程を冷たい雨のプロセスという。；また、降水の分類の仕方にはこれ以外にいろいろなものがある。；ただし、降雪はあまり多くなく、降水のほとんどは雨によるものである。；年間で計測可能な降水がある日は平均50日であり、大半は冬季に降る。；冬の寒さはあまり厳しくなく、近年降水が減っているとはいえ、雨が多い。；降水量自体は少なくとも、降水日数が多いため雨が多いと感じるのである。；窪地内部は湿地化しており、降水時には池のようになるものもある。；降水域が回転しながら移動している場合、低気圧性の対流であることが多い。；また、降水は機械が働いている限り地面に着いて以降も輪の外に流出することはない。；特に、山を挟んで反対側は降水パターンが正反対でサバナ気候となることが多い。；さらに、水は雨や雪などの降水現象をもたらし、地上の天気にも関与している。；降水現象ごとにその発生時間や降水量を見てみると、雨と雪が全体の大部分を占める。；春は降水が一年の中で一番よくみられる時期となる。；雲物理学は雲の形成、成長、降水にいたるまでの物理過程の研究である。；この地域は平均して年355日の日照があるが、年145日の降水もある。；これが強い降水や雹があるときに観測されるダウンバーストである。；降水の大部分は冬に見られ、夏は乾燥してめったに降水がみられない。</t>
        </is>
      </c>
      <c r="J2818">
        <f>HYPERLINK("https://www.weblio.jp/content/降水", "词义详情")</f>
        <v/>
      </c>
      <c r="K2818">
        <f>HYPERLINK("https://yourei.jp/降水", "查看例句")</f>
        <v/>
      </c>
    </row>
    <row r="2819">
      <c r="A2819" t="inlineStr">
        <is>
          <t>香水</t>
        </is>
      </c>
      <c r="B2819" t="inlineStr">
        <is>
          <t>成功</t>
        </is>
      </c>
      <c r="C2819" t="inlineStr">
        <is>
          <t>読み方：こうすい
１《「こうずい」とも》香りのよい水。
２化粧品の一。種々の香料をアルコール類に溶かした液体。からだや衣類などにつける。《季夏》「—の香のそこはかとなき嘆き／万太郎」</t>
        </is>
      </c>
      <c r="D2819" t="inlineStr">
        <is>
          <t>香水瓶；香水店；香水商；香水壜；香水入り</t>
        </is>
      </c>
      <c r="F2819" t="inlineStr">
        <is>
          <t>安香水；甘い香水；同じ香水；高価な香水；強烈な香水</t>
        </is>
      </c>
      <c r="H2819" t="n">
        <v>29</v>
      </c>
      <c r="I2819" t="inlineStr">
        <is>
          <t>いつも使っている香水の匂いで、彼女が近くにいればすぐにわかるのだ。；香水の香りに何かの香りが交ったもので、私はその方にも気を取られた。；父親が購入した香水を、亡くなったあとも父親の香りとして持っていた。；「僕の頭の見える前からでしょう」と答えて、昨夜の香水の事を話した。；しかし、何者かに一瞬の隙を突かれ香水の入った鞄を奪われてしまった。；香水は中味が物を言わなくてはなりませんように、芸術は内容が生命です。；私の考えでは薔薇のなかに香水があると云った方が適当と思います。；階段の上のところにくると、湿った強い香水の匂いが彼の鼻に匂ってきた。；ゲランはこの時期までにフランスにおける高級香水商の地位を確立した。；この手紙は、香水をしませたレターぺーパーに美しい字で書いてあった。；それに伴い、日本で唯一の香水ジャーナリストとしての活動を開始する。；彼が目の前を通り過ぎると、後にかすかな汗と香水の匂いが残った。；六円近い香水つきものに買わなければならなかったから不思議のようだ。；「僕の頭の見える前からでせう」と答へて、昨夜の香水の事を話した。；父親はグラースで盛んだった香水の製造を行っていた人物である。；何となれば、その指環の表情の硬さが、この香水の表情をそこなふから。；その拍子に女の体にしみた香水の香が省三の魂をこそぐるように匂うた。；その拍子に女の体にしめた香水の香が省三の魂をこそぐるやうに匂ふた。；そんな考えは、現代では香水商あがりの頭のなかにしか生まれないわ。；けれど、香水の複雑した表情に就いては、割合に無関心であるらしい。；ハイジュエリーを中心に展開するが、時計や香水の商品展開も行っている。；現場で遺体を調べたとき、彼女の体にはまだかすかに香水のかおりが残っていた。；そこで私は着飾って香水の匂いをぷんぷんさせている女達を見ました。；彼女はボウディッカ・ザ・ヴィクトリアスの香水の広告の新しい顔になった。；つけている香水の香りが花や観葉植物の放つ匂いときそいあっている。；貴婦人はその香水が己れ一人に独特なのを誇るのが常識ではないか。；一面からいへば、香は精神への呼びかけで、香水は肉体への呼びかけである。；ヒューム街の角に近よってくると、空気に強い香水の匂いのするのに気がついた。；この頃までの香水は普通、花の香りを混ぜ合わせて作られていた。</t>
        </is>
      </c>
      <c r="J2819">
        <f>HYPERLINK("https://www.weblio.jp/content/香水", "词义详情")</f>
        <v/>
      </c>
      <c r="K2819">
        <f>HYPERLINK("https://yourei.jp/香水", "查看例句")</f>
        <v/>
      </c>
    </row>
    <row r="2820">
      <c r="A2820" t="inlineStr">
        <is>
          <t>洪水</t>
        </is>
      </c>
      <c r="B2820" t="inlineStr">
        <is>
          <t>成功</t>
        </is>
      </c>
      <c r="C2820" t="inlineStr">
        <is>
          <t>読み方：こうずい
１大雨や雪解け水などによって、河川の水量が著しく増加すること。また、その水が堤防から氾濫(はんらん)し、流出すること。《季秋》
２物があふれるほどたくさんあること。「情報の—」「車の—」</t>
        </is>
      </c>
      <c r="D2820" t="inlineStr">
        <is>
          <t>洪水時(4%)；洪水被害(3%)；洪水対策；洪水防止；洪水制御</t>
        </is>
      </c>
      <c r="E2820" t="inlineStr">
        <is>
          <t>多量；氾濫；数多；大洪水；満潮</t>
        </is>
      </c>
      <c r="F2820" t="inlineStr">
        <is>
          <t>大きな洪水；洪水説話；洪水流下；洪水処理；洪水発生</t>
        </is>
      </c>
      <c r="G2820" t="inlineStr">
        <is>
          <t>洪水吐き；洪水吐；洪水玄武岩；洪水のあと；洪水伝説</t>
        </is>
      </c>
      <c r="H2820" t="n">
        <v>29</v>
      </c>
      <c r="I2820" t="inlineStr">
        <is>
          <t>さらに、内陸の地域にあっても辺り一帯で洪水被害が出るおそれがある。；この洪水を制御するためにミシシッピ川に沿った堤防を奴隷が建設した。；つまり、この洪水は古代からのエジプトの文明を支えてきた側面があった。；水通しの断面積は最大洪水量を通過させることができるように決定される。；橋も掛けられたが洪水の度に流失し、船や徒歩で渡るのが専らであった。；この地で発達した根底には一定の期間で発生するナイル川の洪水があった。；インダス文明期には洪水期前になると川に沿って低い土手が作られた。；江戸期にも洪水による橋の流出や水道施設の破壊は頻繁に発生していた。；洪水が起こり、葦の上部と怪物の頭以外は、すべてが水に飲み込まれた。；植物体が固定されていないことから、洪水などの際には流される危険が高い。；そのため、山地の河川では洪水時に大量の砂礫を運搬することができる。；スウェーデンでは『小さなトロールと大きな洪水』は注目されなかった。；東部で最も大きな被害をもたらした洪水は1997年のものだった。；このため一関市より上流部では大雨が降ると度々洪水の被害を受けていた。；さらに十数個の中洲の島になり、この時から洪水との戦いが始まる。；洪水は人間の生活面や経済面に多くの破壊的影響を与える。；特に記録的な洪水となったはサイクロン・ワンダが原因の一つとなっている。；河川では洪水を避けるためなどに掘削された河川トンネルがある。；そして時刻は特定できないがダムの側面より洪水が越流し始めた。；対象はすべての一級河川および流域面積・洪水時の被害が大きな主要河川。；こうした洪水を抑えるため、古来より各文明は様々な手段を講じてきた。；古代には福井平野は大きな湖であり、洪水のたびに水害が起きていた。；当時の洪水の被害が分かる洪水痕跡板を用いて村内の至る箇所に設置されている。；元々は洪水対策目的の施設であり、降雨直後などは全体が水びたしになる。；このあたりはかつて酒匂川が洪水を頻繁に起こしていたためもとから人口が少ない。；他にも1950年1月29日洪水反乱と呼ばれるによる反乱も起こった。；何世紀も前の時代には、はるかに大規模な洪水が伝承されている。；特にこれらの水の集中する南部では、かつては春になると毎年のように洪水が起こっていた。；そのため、農業は3年に一度を平作とするほど洪水に左右されるものだった。</t>
        </is>
      </c>
      <c r="J2820">
        <f>HYPERLINK("https://www.weblio.jp/content/洪水", "词义详情")</f>
        <v/>
      </c>
      <c r="K2820">
        <f>HYPERLINK("https://yourei.jp/洪水", "查看例句")</f>
        <v/>
      </c>
    </row>
    <row r="2821">
      <c r="A2821" t="inlineStr">
        <is>
          <t>公正</t>
        </is>
      </c>
      <c r="B2821" t="inlineStr">
        <is>
          <t>成功</t>
        </is>
      </c>
      <c r="C2821" t="inlineStr">
        <is>
          <t>読み方：こうせい
［名・形動］公平で偏っていないこと。また、そのさま。「—を期す」「—な取引」「—な判断」
→公平［用法］
[派生]こうせいさ［名］</t>
        </is>
      </c>
      <c r="D2821" t="inlineStr">
        <is>
          <t>公正性(2%)；公正な裁判(2%)；公正な選挙；公正な競争；公正な判断</t>
        </is>
      </c>
      <c r="E2821" t="inlineStr">
        <is>
          <t>いい；よい；もっとも；良い；正確</t>
        </is>
      </c>
      <c r="F2821" t="inlineStr">
        <is>
          <t>公正妥当と認め；公正競争；公平公正；自由かつ公正；公正かつ衡平</t>
        </is>
      </c>
      <c r="G2821" t="inlineStr">
        <is>
          <t>公正証書；公正競争規約；公正会；公正取引；公正発展党</t>
        </is>
      </c>
      <c r="H2821" t="n">
        <v>29</v>
      </c>
      <c r="I2821" t="inlineStr">
        <is>
          <t>なお政府も市場の公正性を確保するなどの目的で取引所を監督している。；公正で安全なレースを実施する上で、以下の主なルールが定められている。；彼は不公正な法律に反対することはキリスト教徒の義務であると信じていた。；また類人猿と人間では公正さの感覚も本能的であると考えられている。；国民の利益を守り、公正で公平な権利を保障することを目的としている。；選挙はおおむね公正なものとされるが、政党や政治風土には問題が多い。；広州総督はカーニーに清と米国が公正な通商条約を結ぶことを提案した。；彼が特に注力したのが裁判の公正さの確保、そして治安の回復である。；選挙が自由で公正であるかどうかについては意見が分かれている。；アメリカ情報部の情報資料ファイルによれば、とても静かで公正な人だった。；殆どの反対派は公正な機会が得られないと主張してこの選挙をボイコットした。；このデザインは公正さの哲学を組み合わせることを提案している。；また、社会的に公正な世界を目指す運動の概念としても使用される。；しかし、政治に宗教の影響を与える事はせず公正に統治した。；しかし北朝鮮側が主審が日本人では公正さを損なうとクレームを付けた。；ポリアーキーの下では公職従事者は自由で公正な選挙によって選出される。；本罪は公正な価格を害し又は不正な利益を得る目的を要する目的犯である。；仮に数え直しが理論的には公正であっても、実際上は不公平である。；民主的で公正な選挙が行なわれていないこともよく見られる。；黒はどんな色にも染まることがないことから、裁判官の公正さを象徴している。；この鎖はパンチャシラ第二の原則、「公正で文化的な人道主義」を示す。；公正の原則はこの原初状態にある間に分別のある人によって選ばれる。；ラウンドロビンは公正なアルゴリズムのように思われるかもしれない。；ただし議長が公正な討論が続いていると判断した場合は却下される。；多くの裁判事務に携わりその姿勢は公正であると当時高い評価を受けている。；事前に立候補者の人気を公表すると、選挙の当選結果を左右し公正な投票とならない。；アルモドバルはのちに自らの発言を撤回し、公正な審査を行うと宣言した。；多くの国・地域で、港湾を通じた出入国を公正に管理するために設置されている。；商売で不正を行うことは無く、慎重かつ公正な姿勢を心掛けていた。</t>
        </is>
      </c>
      <c r="J2821">
        <f>HYPERLINK("https://www.weblio.jp/content/公正", "词义详情")</f>
        <v/>
      </c>
      <c r="K2821">
        <f>HYPERLINK("https://yourei.jp/公正", "查看例句")</f>
        <v/>
      </c>
    </row>
    <row r="2822">
      <c r="A2822" t="inlineStr">
        <is>
          <t>構成</t>
        </is>
      </c>
      <c r="B2822" t="inlineStr">
        <is>
          <t>成功</t>
        </is>
      </c>
      <c r="C2822" t="inlineStr">
        <is>
          <t>読み方：こうせい
［名］(スル)
１いくつかの要素を一つのまとまりのあるものに組み立てること。また、組み立てたもの。「国会は衆議院と参議院とで—されている」「家族—」
２文芸・音楽・造形芸術などで、表現上の諸要素を独自の手法で組み立てて作品にすること。「番組を—する」</t>
        </is>
      </c>
      <c r="D2822" t="inlineStr">
        <is>
          <t>構成される(16%)；構成する(16%)；構成員；構成要素；構成資産</t>
        </is>
      </c>
      <c r="E2822" t="inlineStr">
        <is>
          <t>建設；組織；系；制作；システム</t>
        </is>
      </c>
      <c r="F2822" t="inlineStr">
        <is>
          <t>番組構成；部構成；基本構成；ステージ構成；メンバー構成</t>
        </is>
      </c>
      <c r="G2822" t="inlineStr">
        <is>
          <t>構成要素；構成作家；構成国；構成要件；構成主義</t>
        </is>
      </c>
      <c r="H2822" t="n">
        <v>29</v>
      </c>
      <c r="I2822" t="inlineStr">
        <is>
          <t>州全体が島だけで構成されているアメリカ合衆国で唯一の州である。；複雑な有機化合物がこのような暗い表面を構成していると考えられている。；構成といい、絵といい、とても質の高いもので、こんなの見たこと無い。；総攻撃を突破した後にボスが出現するという構成を取るステージが多い。；この法則は、気体の構成粒子の存在を前提としなければ意味を持たない。；より具体的には以下のような要素を考慮してハードウェアの構成が検討される。；任意の物理系の温度はその系を構成する粒子の運動と関連している。；パケットは、ヘッダ部に本体が続く形で構成されるオクテット列である。；個別の方式の構成や動作についてはそれぞれの見出し項目を参照されたい。；の概念はイランの政治体制を構成する上で重要な概念となっている。；当初は後にガロア理論と呼ばれるようになった分野と構成可能性問題が中心だった。；とは、多細胞生物を構成する細胞のうち生殖細胞以外の細胞のことを言う。；格納された各データの参照や修正といった管理を容易にするための構成である。；生物が現れる前は、二酸化炭素が多くを占める構成であったと推測されている。；これらがアハマディーヤのイスラーム思想を構成する中心的な思想である。；いずれも国民から直接選挙され、全国民を代表する国会議員で構成される。；現在独立している法律もかつては本法の一部を構成していた。；生物体を構成する物質で、最も多くを占める物質は水である。；発射時のシャトルの構成は、おおまかに の三つの部分から構成されていた。；先述の通り、総選挙で各州から選出された議員によって構成されている。；王国のカリブ海地域は異なる地理的起源を持つ2つの領域から構成される。；場面を構成する物体の表面は多くの小さな平面に分割されている。；セラミックスは無機化合物でできており、通常酸化物で構成されている。；この現象において、ゲームのプレイヤーは私たちの社会の中での構成に似ている。；行列を構成する行の数と列の数の対を型 あるいはサイズという。；一般的な機械語プログラムは以下のような構成となっている。；ラテンアメリカは33の独立国およびいくつかの非独立地域で構成される。；独特で安定した画力と構成力をデビュー時から持っていた。；議会の上下両院と州議会議員で構成される選挙会によって選出される。</t>
        </is>
      </c>
      <c r="J2822">
        <f>HYPERLINK("https://www.weblio.jp/content/構成", "词义详情")</f>
        <v/>
      </c>
      <c r="K2822">
        <f>HYPERLINK("https://yourei.jp/構成", "查看例句")</f>
        <v/>
      </c>
    </row>
    <row r="2823">
      <c r="A2823" t="inlineStr">
        <is>
          <t>厚生</t>
        </is>
      </c>
      <c r="B2823" t="inlineStr">
        <is>
          <t>成功</t>
        </is>
      </c>
      <c r="C2823" t="inlineStr">
        <is>
          <t>読み方：こうせい
人々の生活を健康で豊かなものにすること。「福利—」「—施設」</t>
        </is>
      </c>
      <c r="D2823" t="inlineStr">
        <is>
          <t>厚生労働(11%)；厚生施設(7%)；厚生課(4%)；厚生政務次官(4%)；厚生委員会(3%)</t>
        </is>
      </c>
      <c r="E2823" t="inlineStr">
        <is>
          <t>為；福祉；特典；恩；プラス</t>
        </is>
      </c>
      <c r="F2823" t="inlineStr">
        <is>
          <t>厚生会館；社会厚生；厚生委員長；厚生官僚；厚生行政</t>
        </is>
      </c>
      <c r="G2823" t="inlineStr">
        <is>
          <t>厚生省；厚生労働大臣；厚生大臣；厚生年金；厚生労働省令</t>
        </is>
      </c>
      <c r="H2823" t="n">
        <v>29</v>
      </c>
      <c r="I2823" t="inlineStr">
        <is>
          <t>研究棟や片柳研究所をはじめ、厚生棟・図書館棟などが設置されている。；厚生課長の席にいた頃の章太郎には、温厚ながら元気なところがあった。；あまり俗化させず、しかし歓楽と厚生の施設を完備させたいものである。；厚生係の部屋は、診療室の隣りで、二つの部屋は、扉でつながっている。；赤鉛筆でこれを書いたのは五カ月前であり、厚生課長をしていた時であった。；福祉厚生施設の設置目的は労働の再生産であるが、社員確保の側面もあった。；なにも言う必要がないほどにこれまでの厚生課の仕事は、黙契が成立していた。；その信仰に基づいた厚生施設は政府によっても認められている。；日本の政府予算の歴史的性格の一つは厚生および文化のために予算ともいえない程の予算しかもってこなかったことである。；そして、一方向的貿易自由化でも国の厚生が上昇し得ることが示されている。；ナチス国民厚生団の独占的地位を守るために、福祉活動は禁止された。；このため組織されたグループが特定の貿易政策を支持すると、社会全体の厚生が犠牲にされる場合がある。；当項目では、かつて近隣に存在した厚生病院前仮乗降場についても説明する。；共和党の男女平等政策長を務めた後、厚生労働部門長に任命された。；中央銀行は、経済ショックから国民の経済厚生を守るために行動する。；なお彼は、異種族厚生問題にたいしても、特別委員会の任命を要求した。；当初は管理部門に勤務していたが、1938年までに厚生部門へと移っている。；文部・厚生両省は計画当初から一貫してダム計画には反対している。；そして、自国の厚生と外国の厚生を含めた世界全体の厚生は悪化する。；社員の厚生施設として山を買うなどとは、とても彼の旧社では考えられないことだったからだ。；そこで、この厚生をとって厚生省としようという提案があったことに由来する。；また3路線のうち2路線が、野上町域にある厚生病院まで足を伸ばしていた。；厚生委員会では、学校周辺の清掃などボランティア活動を行っている。；厚生資金の貸付をやっている水谷は、残業といわれて、ぎょッとなった。；それに、江分利には会社の厚生施設を利用したりすることにも、ある種の抵抗があるのだ。；国外には日本国際親善厚生財団の協力のもと日本に1店舗を出店している。；厚生科学研究費補助金の援助を受けて制作・運営されていた。；最近はどこの会社でもそうだが、社員の厚生施設が完備していなければ人が集まらない。；入浴剤などの厚生目的には、それらの炭窯で得られた木酢液が用いられる。</t>
        </is>
      </c>
      <c r="J2823">
        <f>HYPERLINK("https://www.weblio.jp/content/厚生", "词义详情")</f>
        <v/>
      </c>
      <c r="K2823">
        <f>HYPERLINK("https://yourei.jp/厚生", "查看例句")</f>
        <v/>
      </c>
    </row>
    <row r="2824">
      <c r="A2824" t="inlineStr">
        <is>
          <t>合成</t>
        </is>
      </c>
      <c r="B2824" t="inlineStr">
        <is>
          <t>成功</t>
        </is>
      </c>
      <c r="C2824" t="inlineStr">
        <is>
          <t>読み方：ごうせい
［名］(スル)
１二つ以上のものが結びついて一つになること。また、二つ以上のものを合わせて一つにすること。「音声を—する」
２2種以上の元素から化合物を作ること。また、簡単な化合物から複雑な化合物を作ること。
３二つ以上のベクトルを加えて一つのベクトルを得ること。</t>
        </is>
      </c>
      <c r="D2824" t="inlineStr">
        <is>
          <t>合成する(12%)；合成される(8%)；合成法(3%)；合成できる；合成経路</t>
        </is>
      </c>
      <c r="E2824" t="inlineStr">
        <is>
          <t>構成；制作；構造；作曲；合併</t>
        </is>
      </c>
      <c r="F2824" t="inlineStr">
        <is>
          <t>生合成；再合成；不斉合成；人工合成；atp合成</t>
        </is>
      </c>
      <c r="G2824" t="inlineStr">
        <is>
          <t>合成語；合成繊維；合成酵素；合成地名；合成ゴム</t>
        </is>
      </c>
      <c r="H2824" t="n">
        <v>29</v>
      </c>
      <c r="I2824" t="inlineStr">
        <is>
          <t>初期のアクチノイドの合成の研究もこの説を支持しているように見えた。；この反応を行う合成系にはいくつかの種類があることが知られている。；この部分に別の映像を合成することで、様々な映像効果を演出できる。；目的のリガンドが研究室で合成された後、従来の方法で分析が行われる。；デモザイク前にHDR合成を行うことができるソフトウェアも存在する。；同様の経路はトルエンからクレゾールを合成する際にも用いられている。；中国広東州でも、コイ科の魚や他種を合成して巧みに人魚が作成された。；大映で初となるブルーバック合成をアメリカ側の用意した設備で使用。；現代の音楽は、様々なジャンルの複雑な合成になっていることが多い。；実際に合成を行なったところ導かれた構造が間違っていた例も多く存在する。；これまで合成された金の化合物の種類は同族の銀や銅と比べて少ない。；そのため、独立した複数の色を合成する事で人間に別の色を感じさせる事ができる。；また同様な例がフェネチルアミンから合成される精神刺激薬にも見られる。；ヒッチコックはキャリアを通じて、さまざまな映像合成技術を使用した。；このためアミノ酸の合成は需要が高く、種々の方法が提案されている。；分析・合成が不可能な未知の物質でできており、偽造は不可能である。；BDNFは中枢神経に特に豊富で、神経活動依存的に合成・分泌される。；コレステロールは体内の肝臓および皮膚で合成され、全身に輸送される。；全体的な傾向として、2種類の生物を合成したようなデザインが多い。；最初のフレロビウム同位体が合成されたのは、それから30年後だった。；脂肪酸モル辺りのATP合成量が糖などより多いことが良く理解できる。；また実際に巨大な合成数の素因数分解の計算機実験も行われている。；しかしその後次第に様々な合成素材が開発され、登山靴の種類も増えていった。；核酸摂取と核酸合成との関係は未解明な点が多く今後の研究が待たれる。；収録段階で合成されるものと、オンタイムで表示されるものがある。；しかしこの当時はメタンが合成されたものと考えられていた。；多方向からの波が合成されてできるピラミッド状の波を三角波と言う。；また2005年4月2日に同じ方法で行った合成で2個目の例を検出した。；また、比較的小さな数では、 から まで個連続で合成数である。</t>
        </is>
      </c>
      <c r="J2824">
        <f>HYPERLINK("https://www.weblio.jp/content/合成", "词义详情")</f>
        <v/>
      </c>
      <c r="K2824">
        <f>HYPERLINK("https://yourei.jp/合成", "查看例句")</f>
        <v/>
      </c>
    </row>
    <row r="2825">
      <c r="A2825" t="inlineStr">
        <is>
          <t>功績</t>
        </is>
      </c>
      <c r="B2825" t="inlineStr">
        <is>
          <t>成功</t>
        </is>
      </c>
      <c r="C2825" t="inlineStr">
        <is>
          <t>読み方：こうせき
あることを成し遂げた手柄。すぐれた働きや成果。「—をたたえる」「—を残す」</t>
        </is>
      </c>
      <c r="D2825" t="inlineStr">
        <is>
          <t>功績賞受賞(5%)</t>
        </is>
      </c>
      <c r="E2825" t="inlineStr">
        <is>
          <t>功；手柄；偉業；功労；勲</t>
        </is>
      </c>
      <c r="F2825" t="inlineStr">
        <is>
          <t>実施功績</t>
        </is>
      </c>
      <c r="H2825" t="n">
        <v>29</v>
      </c>
      <c r="I2825" t="inlineStr">
        <is>
          <t>法制度を科学的に分析するための客観的論理を提供した点に功績がある。；高岡市の名を高め、市民に希望を与える功績を残した人物に授与される。；その大部分の人は長い間海軍に御奉公した人たちで、その功績は大きい。；エラトステネス自身も数学および科学において重要な功績をあげている。；それらのグループには後に宇宙開発で著名な功績を残す者も多く含まれた。；当時の学者としては大変に謙虚で、自らの功績を語ることは少なかった。；着任早々に功績を挙げ、やがて仲間からの信頼も得るようになった亮子。；同戦争のケーニヒグレーツの戦いで勇戦した功績によりを授与された。；なお、彼の功績を称えて、小惑星ギブズが彼の名を取り命名されている。；ハーフトーンを一般化させたのも、彼の功績であるという意見がある。；この功績が評価され、にはスポーツ界で初となる菊池寛賞を受賞した。；このような中、マリは夫と自分それぞれの功績を区別して強調するようになった。；日本国内における建築・建設分野で功績を上げた個人・団体を称え授与される。；このときの功績から、現在のラオス軍に大きな影響力を持っている。；こういった功績が称賛され、2022年にはアカデミー名誉賞に輝いた。；添え名は国家に功績のある場合などに元老院の決議などにより与えられた。；彼の功績を称えて、小惑星ガードナーが彼の名を取り命名されている。；彼はフランスおよびドイツでの功績でブロンズスターメダルを受章している。；ソロンの功績とされる具体的経済改革は下記のとおりである。；大統領時代の功績としてあげられるのは、イラク戦争に反対したことである。；ショーの功績の中でも、特に文学者と教育家としての活躍が有名である。；文科省公認の高等学校の英語科の教科書にも、その功績が記されている。；これらの功績がエルステッドの発見から僅か一年以内のことであったのは驚くべきことである。；のちに、その功績から家康配下の徳川十六神将の一人として顕彰された。；日本のスロットカーの歴史を語る上でマブチモーターの功績は欠かせない。；折田の功績を顕彰するための像は1940年以来過去3回製作されている。；その首長である拓跋思恭は唐を援助した功績で国姓の李を授かっていた。；また、それとは逆に、按司に特別の功績があった場合には、王子位に昇格した。；その功績はアメリカ独立戦争の流れを変えたとされている。</t>
        </is>
      </c>
      <c r="J2825">
        <f>HYPERLINK("https://www.weblio.jp/content/功績", "词义详情")</f>
        <v/>
      </c>
      <c r="K2825">
        <f>HYPERLINK("https://yourei.jp/功績", "查看例句")</f>
        <v/>
      </c>
    </row>
    <row r="2826">
      <c r="A2826" t="inlineStr">
        <is>
          <t>鉱石</t>
        </is>
      </c>
      <c r="B2826" t="inlineStr">
        <is>
          <t>成功</t>
        </is>
      </c>
      <c r="C2826" t="inlineStr">
        <is>
          <t>読み方：こうせき
採掘して採算のとれる有用鉱物。また、その集合体。→脈石(みゃくせき)</t>
        </is>
      </c>
      <c r="D2826" t="inlineStr">
        <is>
          <t>鉱石輸送(3%)；鉱石運搬；鉱石検波器；鉱石採掘；鉱石等</t>
        </is>
      </c>
      <c r="E2826" t="inlineStr">
        <is>
          <t>原鉱</t>
        </is>
      </c>
      <c r="F2826" t="inlineStr">
        <is>
          <t>ニッケル鉱石；亜鉛鉱石；貴重な鉱石；産出される鉱石；クロム鉱石</t>
        </is>
      </c>
      <c r="G2826" t="inlineStr">
        <is>
          <t>鉱石鉱物；鉱石の品位；鉱石検波器；鉱石山</t>
        </is>
      </c>
      <c r="H2826" t="n">
        <v>29</v>
      </c>
      <c r="I2826" t="inlineStr">
        <is>
          <t>彼は巨大な鉱石に耳をつけて息子の呻きがしやしないか神経を集中した。；これには、同時期の金属鉱石分析技術の詳細な技術的説明が含まれます。；金塊や金の多く含まれた鉱石をポケットに入れることは黙認されている。；鉱山経営が順調になるにつれて問題となったのは鉱石の輸送問題である。；マップの右上のあたりに鉱石場があり、そこで採掘をすることができる。；鉱業においては鉱石を電気分解して金属を得る電解精錬が行われている。；世界では貨車100両を連結した石炭・鉱石輸送列車も運行されている。；また別の日には鉱石の実験をしている早矢仕の姿を目撃している。；この方法は天然に存在する硫化物の鉱石を熱分解することで行われる。；当時は、採掘した鉱石をその場で精錬し、これを牛に背負わせて運んだ。；採掘された鉱石は約18km離れた同社の上津工場に運ばれ精製される。；輝銅鉱と呼ばれている鉱石にはいくつかのバリエーションが知られている。；また閉山時に埋め戻すには、鉱石以外の岩も保存しておく必要がある。；鉱石を積み込む施設は現存するが線路は撤去され、隧道も閉鎖されている。；鉱石はまだ残っていたが次第に低品質となり、採算ラインが上昇していた。；この低溶解性は鉱石の水性抽出物からのリチウムの分離に使われている。；一部のキャラクターの名前は鉱石の名が由来となっている。；金の鉱石は通常の状態では、不純物と混合した未精製な状態で発見される。；即ち現在でも膨大な量の鉱石がグランド・マウンドに存在しているという。；これらの鉱石などを輸送する最も安価で最も効率的な方法が鉄道建設であった。；彼女等は鉱石のために背をうしろへ強く引きつけられた。；主産物である鉱石の採掘を停止すると副産物の産生も行なわれなくなる。；絶対量の増え続ける雑多な鉱石から銀を得られるようになった。；発掘調査から水が除去され、鉱石の豊富な鉱床を採掘することができた。；海岸とは木造の橋でつながっており、鉱石は手漕ぎボート運搬されていた。；石川中学校の生徒が採掘した鉱石は量が少ないので原料にはならなかった。；ただしその鉱石に金が含まれているかは運次第である。；ホルミウムは、一連の希土類元素が発見された鉱石のなかから発見された。；血の通っている身体でありながら、まるで鉱石で作った身体をもっているような気がして来た。</t>
        </is>
      </c>
      <c r="J2826">
        <f>HYPERLINK("https://www.weblio.jp/content/鉱石", "词义详情")</f>
        <v/>
      </c>
      <c r="K2826">
        <f>HYPERLINK("https://yourei.jp/鉱石", "查看例句")</f>
        <v/>
      </c>
    </row>
    <row r="2827">
      <c r="A2827" t="inlineStr">
        <is>
          <t>光線</t>
        </is>
      </c>
      <c r="B2827" t="inlineStr">
        <is>
          <t>成功</t>
        </is>
      </c>
      <c r="C2827" t="inlineStr">
        <is>
          <t>読み方：こうせん
光のエネルギーが流れる道筋を示す線。また一般に、光。「太陽—」</t>
        </is>
      </c>
      <c r="D2827" t="inlineStr">
        <is>
          <t>光線砲；光線技；光線放射；光線ピストル；光線剣</t>
        </is>
      </c>
      <c r="E2827" t="inlineStr">
        <is>
          <t>光；ビーム；光芒；えい；可視光線</t>
        </is>
      </c>
      <c r="F2827" t="inlineStr">
        <is>
          <t>明るい光線；位相光線；強い光線；赤い光線；r光線</t>
        </is>
      </c>
      <c r="G2827" t="inlineStr">
        <is>
          <t>光線過敏症；光線過敏；光線画；光線力学療法；光線追跡</t>
        </is>
      </c>
      <c r="H2827" t="n">
        <v>29</v>
      </c>
      <c r="I2827" t="inlineStr">
        <is>
          <t>その光線が頭に当たった者はそのとき考えていたことを忘れてしまう。；頭部に相当する部分には、上部ミサイル砲や上部光線砲の発射口がある。；星は8ポイントのもので、星の発する光線がまっすぐに表現されている。；光線の具合によっては点灯していない方の表示を読み取ることができる。；呪文では接触が必要な魔法でも、光線なので離れてかける事が出来る。；この光線が地球の方向に向かってくると、非常に明るい天体に見える。；その他にゴーグルから放つ赤い光線で月から地球の光景を見ることが可能。；身体に無数の機械腕を装備し、両目から凄まじい力を秘めた光線を出す。；能力もより向上しており、口や胸から強力な破壊光線を発射する。；航空自衛隊章の意匠が小変更され、V字の光線の中の雲形が廃止された。；初代と異なり光線は発射できないが、角を使った突進攻撃などを得意とする。；それぞれの光線は、しばらく進んだ後に鏡で反射され、中央に戻ってくる。；画面の右上では窓か箱らしきものから、光線が室内に射しこんでいる。；角度 は二つの光線の光路長 が同じとみなせるほど小さいものとする。；テレビアニメでは浄化能力の代わりに熱光線とエネルギー製の鞭を使う。；入射光線はその運動量がプラズモンのものと一致しなければならない。；このとき光線の経路を計算する際に以下のような近似が可能になる。；光線が費した時間が僅かでも変化すると、干渉縞の位置が動くはずである。；それゆえ、光線技と超能力の多彩さはウルトラ兄弟で一番となっている。；幻影とはいえ姿と能力は本物のアグルと同じだが、光線技は使用していない。；頭部の角は強力な破壊光線を発射し、両肩の角はエネルギーを蓄える。；戦闘術は格闘術と光線の訓練が主体であり、それらを育成する機関も存在する。；さらにダメージを受けたグライキスを回復光線で回復させることができる。；光線技は初期から使用していたが、決め技になる回は少なかった。；は、光線の通り道の一方を、巨大な鉛ブロックの間に通したものであった。；これを何かに向けて引き金を引くと目に見えない光線が出る。；本作品ではかなり派手な光線技のような魔法も登場している。；背景の銀色の直線的な光線は2等のものであり、1等は金色になっていた。；口から吐く光線が武器なのも同様であるが、戦闘能力は高くない。</t>
        </is>
      </c>
      <c r="J2827">
        <f>HYPERLINK("https://www.weblio.jp/content/光線", "词义详情")</f>
        <v/>
      </c>
      <c r="K2827">
        <f>HYPERLINK("https://yourei.jp/光線", "查看例句")</f>
        <v/>
      </c>
    </row>
    <row r="2828">
      <c r="A2828" t="inlineStr">
        <is>
          <t>公然</t>
        </is>
      </c>
      <c r="B2828" t="inlineStr">
        <is>
          <t>成功</t>
        </is>
      </c>
      <c r="C2828" t="inlineStr">
        <is>
          <t>読み方：こうぜん
［ト・タル］［文］［形動タリ］
１世間一般に知れ渡っているさま。また、他人に隠さずおおっぴらにするさま。「—と酒を飲む」「—たる事実」
２不特定または多数の人が知ることのできる状態にあるさま。法律上でいう。
［副］隠しだてをせずに、おおっぴらに行動するさま。
「陪審に及ばずとて、—この案を決して」〈中村訳・西国立志編〉</t>
        </is>
      </c>
      <c r="D2828" t="inlineStr">
        <is>
          <t>公然たる(6%)；公然と批判(3%)；公然と行わ(2%)；公然と非難(2%)；公然化</t>
        </is>
      </c>
      <c r="E2828" t="inlineStr">
        <is>
          <t>オープン；開放；公的；露骨；あらわ</t>
        </is>
      </c>
      <c r="F2828" t="inlineStr">
        <is>
          <t>公然と認め；公然と表明；なかば公然；白昼公然；公然と行なわ</t>
        </is>
      </c>
      <c r="G2828" t="inlineStr">
        <is>
          <t>公然わいせつ；公然猥褻；公然性；公然猥褻罪</t>
        </is>
      </c>
      <c r="H2828" t="n">
        <v>29</v>
      </c>
      <c r="I2828" t="inlineStr">
        <is>
          <t>彼女は公然と夫の死を悲しみ、母親とは疎遠になっているように見える。；世間では二人の仲は既に公然のものとなっており、その状況に宮は戸惑う。；この事件を最後にラスプーチンを公然と批判する勢力はいなくなった。；公の場に出ているからといってなぜそれを公然と語る必要があるのか分からない。；また、この日だけは女性が公然糶と観戦できるというならわしもあった。；しかし海軍関係者の間で巨大戦艦建造の事実そのものは公然の事実だった。；中にはインターネット上でプログラムが公然と売買されているものもある。；民衆にとっては恐怖の対象であり、残忍な制裁や処刑も公然と行われる。；そのため公然とその者の所属、役割など示す場合によく使われる。；民主党員である小宮山洋子議員は公然と小沢の代表辞任を要求していた。；日本では、これらの行為は公然わいせつ罪等の犯罪に問われるおそれがある。；両陣営は公然のまた秘密の手段を使ってその影響力の及ぶ範囲を拡張しようとし続けた。；再軍備宣言が行われ、第二次四カ年計画期に入ると軍事準備は公然化した。；この場合、公然の実施や公開された文献を少なくとも一人が実際に見たことは必要でない。；海軍では陸軍と異なり「しごき」や肉体的制裁が公然と認められていた。；そのためSRPは決して公然とソ連の非難をすることはなかった。；彼は二人の副官とともにムィハイール修道院にまったく公然と移住した。；またアカデミー賞を受賞したトビー・キースが公然とグループを批判した。；統一センター派は議会活動のための公然組織・統一人民戦線ネパールを持っていた。；それに対して公然と敵対するものは箱を開けられたパンドラと見なそう。；本罪の行為は人の名誉を公然と事実を摘示して毀損することである。；しかし、時として公然と米軍批判を展開する態度をとることがあった。；彼自身も859年にイスラームを公然と批判したことで逮捕され処刑された。；カレフの本を読んだ後、インクリーズ・マザーはで公然と本を焼却した。；この用語には否定的文脈が多分に含まれるため、公然と支持する人は少ない。；しかしその「不可能」と言われた連覇に、公然と挑戦するチームが現れた。；そもそも上からの指示がない限り、公然と生徒を暴動に参加させるとは考えられない。；ユダヤ人の政治的指導者は公然とこの事件を非難した。；以後、松平元康は公然と今川氏と敵対して三河の統一を進めていった。</t>
        </is>
      </c>
      <c r="J2828">
        <f>HYPERLINK("https://www.weblio.jp/content/公然", "词义详情")</f>
        <v/>
      </c>
      <c r="K2828">
        <f>HYPERLINK("https://yourei.jp/公然", "查看例句")</f>
        <v/>
      </c>
    </row>
    <row r="2829">
      <c r="A2829" t="inlineStr">
        <is>
          <t>高層</t>
        </is>
      </c>
      <c r="B2829" t="inlineStr">
        <is>
          <t>成功</t>
        </is>
      </c>
      <c r="C2829" t="inlineStr">
        <is>
          <t>読み方：こうそう
１空の高い所。「—気流」
２いく層も高く重なっていること。また、階を重ねた高い建物。「—ビル」</t>
        </is>
      </c>
      <c r="D2829" t="inlineStr">
        <is>
          <t>高層階(11%)；高層ホテル(8%)；高層棟(7%)；高層アパート(6%)；高層部(6%)</t>
        </is>
      </c>
      <c r="E2829" t="inlineStr">
        <is>
          <t>上層</t>
        </is>
      </c>
      <c r="F2829" t="inlineStr">
        <is>
          <t>高層集合住宅；高層建物；高層建造物；高層用；高層観測</t>
        </is>
      </c>
      <c r="G2829" t="inlineStr">
        <is>
          <t>高層建築；高層マンション；高層住宅；高層ビル群；高層湿原</t>
        </is>
      </c>
      <c r="H2829" t="n">
        <v>29</v>
      </c>
      <c r="I2829" t="inlineStr">
        <is>
          <t>これは高層のアパートやマンションのような開発に対抗するものである。；建物の形態は東西二つの高層棟の上部をブリッジで結んだ門型をしている。；この高層団地を推薦したのも、一番高い三号棟を指定したのも彼だった。；死者は主に、家族席、最も安い座席を提供する劇場の最高層で発生した。；ビルの南側部分および高層部をホテルが、北側部分をエスパルが占める。；彼女はあの夜から一年ほどして、高層のビルから身を投げてしまったのである。；一度は部屋に戻ろうとしていた団地の住民は何事かと再び高層階を目指した。；少年は周囲を見まわし、広場に面して建つ高層ホテルに視線をとめた。；宮益坂から都電の軌道が撤去され、通りの両側には高層建物が林立した。；高層アパートの場合も町の職員が敷地の清掃、芝刈りなどに回ってくる。；この都市で、もっとも太陽に近い高さにある高層ホテルの一室だった。；彼女は迷うことなくひとつの高層ホテルを選んでガラス扉をくぐった。；建物は高層棟を中心に置き、低層棟の屋根が取り囲むという形状である。；高層棟を一部撤去して道路を通し、それに並行な低層住棟を配置する。；増加する観光客に対応すべく、次々と新規の高層ホテルが建設された。；そのため住居は虫の侵入しづらい高層階にするようにしている。；また高層部側から張り出す庇の屋上には太陽光パネルが設置されている。；いくら高層ホテルだといっても、ほんの数秒間の密室空間ではないか。；高層気象観測装置の一種であり、またテレメトリ装置の一種とも言える。；しかしまさか、高層都市と地下都市の対決になるとは考えてもみなかった。；ラジオゾンデを上げて、高層気象を観測するために設立された建物である。；ビル上部の広告は、南半球で最大かつ最高層に位置するものである。；会簿には組織の秘密が記載されており、組織の高層人物のみがこれを所有している。；また、合わせて既存部の16階以上の高層階でも一部で改装が行われている。；つまり、ここでいう女性店員とは転落死した高層階の店員のことではない。；L字型の2つの高層棟とそれに囲まれる低層棟から構成されている。；建物の構造がこれまた奇妙で、地上階が小さく高層階につれ大きくなっている。；塔、ホール棟、高層棟、低層棟の4棟が融合している構造となっている。；敷地の北端にある高層の寮にカーマイケル・タワーと名付けられている。</t>
        </is>
      </c>
      <c r="J2829">
        <f>HYPERLINK("https://www.weblio.jp/content/高層", "词义详情")</f>
        <v/>
      </c>
      <c r="K2829">
        <f>HYPERLINK("https://yourei.jp/高層", "查看例句")</f>
        <v/>
      </c>
    </row>
    <row r="2830">
      <c r="A2830" t="inlineStr">
        <is>
          <t>構想</t>
        </is>
      </c>
      <c r="B2830" t="inlineStr">
        <is>
          <t>成功</t>
        </is>
      </c>
      <c r="C2830" t="inlineStr">
        <is>
          <t>読み方：こうそう
［名］(スル)これからしようとする物事について、その内容・規模・実現方法などを考えて、骨組みをまとめること。また、その考え。「小説の—を練る」「壮大な—」「新都市の建設を—する」</t>
        </is>
      </c>
      <c r="D2830" t="inlineStr">
        <is>
          <t>構想段階；構想力；構想自体；構想外；構想策定</t>
        </is>
      </c>
      <c r="E2830" t="inlineStr">
        <is>
          <t>計画；予定；考える；設計；デザイン</t>
        </is>
      </c>
      <c r="F2830" t="inlineStr">
        <is>
          <t>建設構想；整備構想；将来構想；設立構想；開発構想</t>
        </is>
      </c>
      <c r="G2830" t="inlineStr">
        <is>
          <t>構想日本</t>
        </is>
      </c>
      <c r="H2830" t="n">
        <v>29</v>
      </c>
      <c r="I2830" t="inlineStr">
        <is>
          <t>このほか、構想路線には以下の路線も含まれるが、具体化されていない。；光伝送技術の導入に積極的なインテル社は、将来の採用を構想している。；バブル崩壊後出来たため当初構想されていたときよりも規模が縮小された。；淡路島全体で一つの市となる構想や動きもあったが、実現しなかった。；本ドラマは刑事・吉村の視点で物語が描かれていく構想となっている。；この事件に激怒した日本は、新羅を征伐する計画を構想することになる。；スイスメトロのような一部の構想では減圧されたトンネル内を走行する。；またそこへ走る都市計画道路構想も工事に着手できない状態が続いている。；この構想は、まだ正式な概念研究を行う段階には到達していない。；かつて、空港と広島市内を結ぶ空港連絡鉄道の構想がいくつか存在した。；なおダニエルズ・プランの次の計画もほぼ同規模で構想されている。；従って、劇場版では当初の構想を忠実に反映させた話の流れとなっている。；この時、既に対蔣介石クーデターの構想などが練られていたと言われる。；仙台と山形の間の鉄道構想においては、路線の経路が問題となっていた。；その後もトンネル構想は度々提案されるが、実現には至っていない。；この際には建設費は約80億円で民間資本を活用して行うことが構想されていた。；次の長編はイングランドにいたころに構想ができ、ローマで大部分を執筆した。；三木の構想ではこれまで支援の対象ではなかった北ベトナムも対象としていた。；三陸地方沿岸に鉄道を敷設する構想が生まれたのは、1896年である。；この構造は当初構想された工法・構造から一大転換されて採用されたものである。；構想は前年からあったし、3月には英仏公使からも提案されていた。；薩長同盟の一環として構想されたこの計画は最終的には破談となった。；大西洋と太平洋とを結ぶ運河は、パナマ地峡の発見後すぐに構想された。；ドゥーエの構想は空軍で攻撃を行い、地上で防御を行うというものであった。；本作は当初戦国時代を舞台としたロボットアニメとして構想された。；その後、東岸和田駅前への出店構想があったが、これも実現しなかった。；幕府は当初から通貨の基軸を両を単位とする金貨に統一する構想を有していた。；欧州のメーカー間でも単独あるいは共同事業での開発構想が複数立ち上がった。；地域の発展に備え、東海道貨物支線を旅客化する構想も上がっている。</t>
        </is>
      </c>
      <c r="J2830">
        <f>HYPERLINK("https://www.weblio.jp/content/構想", "词义详情")</f>
        <v/>
      </c>
      <c r="K2830">
        <f>HYPERLINK("https://yourei.jp/構想", "查看例句")</f>
        <v/>
      </c>
    </row>
    <row r="2831">
      <c r="A2831" t="inlineStr">
        <is>
          <t>抗争</t>
        </is>
      </c>
      <c r="B2831" t="inlineStr">
        <is>
          <t>成功</t>
        </is>
      </c>
      <c r="C2831" t="inlineStr">
        <is>
          <t>読み方：こうそう
［名］(スル)互いに張り合い、争うこと。「派閥をめぐって各派が—する」「内部—」</t>
        </is>
      </c>
      <c r="D2831" t="inlineStr">
        <is>
          <t>抗争相手；抗争状態；抗争アングル；抗争劇；抗争終結</t>
        </is>
      </c>
      <c r="E2831" t="inlineStr">
        <is>
          <t>反対；戦い；戦闘；抵抗；争い</t>
        </is>
      </c>
      <c r="F2831" t="inlineStr">
        <is>
          <t>対立抗争；激しい抗争；権力抗争；党内抗争；間抗争</t>
        </is>
      </c>
      <c r="H2831" t="n">
        <v>29</v>
      </c>
      <c r="I2831" t="inlineStr">
        <is>
          <t>こののち、これらの地域でイングランドとの抗争や関係なども発生する。；この対策はうまくいき、女真の間での抗争は極めて激しいものとなった。；著書は企業内の抗争を解き明かしたものが多く、多くの読者を獲得した。；サリバンとはこの不倫騒動の最中にストーリー上でも抗争を行っていた。；スコットランド高地人が氏族間抗争やイングランドとの戦争で使用した。；一木との政治抗争にあった平沼騏一郎の政略であったとも云われている。；そのため幾度となく革命運動の舞台にもなり抗争が起こってきた。；また北涼と西涼の抗争を利用して河西方面へ進出して勢力を拡大した。；抗争用の拳銃の主な入手方法は、海外からの密輸入に依存している。；しかしその弊害で、明も放っておけないほど武力抗争が激しくなっていた。；イギリス帝国の前半期はフランスとの抗争に打ち勝った時代だといってよい。；なお、前年から抗争が勃発していたUインターのリングにも参戦した。；抗争は、互いに独立した二つの協会間の争いに変質したのである。；以降、長州力率いる維新軍団との抗争で無くてはならない存在になる。；一方で密輸の利権は多くの抗争を生み、多くのマフィアが命を落とした。；FMWで自らデビュー戦の相手を務めた中牧昭二らとの抗争に突入する。；その中でも、特に東に勢力を接する朱元璋と激しい抗争を繰り広げた。；同年にサーサーン朝との抗争を再開し、帝国の東西に敵を抱えることになる。；前後に発生した抗争や事件などにより会議の内容を推し量るのが通例である。；このオースチンとの抗争がWWEの発展を決定付けたといっても過言ではない。；その後も政権から距離を置いていたが、軍閥同士の抗争の調停などを行っている。；周辺の同じ様な小勢力と抗争を繰り返し、勢力を拡大してきた後北条氏に服属した。；なお、最近ではユニット抗争を積極的に行うケースも増えている。；一連の抗争はガンビーノやトーマス・ルッケーゼの支援を受けていたとされる。；年間200人以上の死者を出した抗争は「第二次マフィア戦争」と呼ばれた。；こうした抗争に参加し、武装化した法師の中から自然と僧兵が現われてきたのである。；しかし再開するかと思われた抗争はそのまま沈静化してしまう。；かえって派閥抗争を加熱させ、重臣達を巻き込んだ二派の争いに発展した。；これが金村キンタローら、アパッチメンバーの逆鱗に触れて抗争が勃発。</t>
        </is>
      </c>
      <c r="J2831">
        <f>HYPERLINK("https://www.weblio.jp/content/抗争", "词义详情")</f>
        <v/>
      </c>
      <c r="K2831">
        <f>HYPERLINK("https://yourei.jp/抗争", "查看例句")</f>
        <v/>
      </c>
    </row>
    <row r="2832">
      <c r="A2832" t="inlineStr">
        <is>
          <t>構造</t>
        </is>
      </c>
      <c r="B2832" t="inlineStr">
        <is>
          <t>成功</t>
        </is>
      </c>
      <c r="C2832" t="inlineStr">
        <is>
          <t>読み方：こうぞう
１一つのものを作り上げている部分部分の材料の組み合わせ方。また、そのようにして組み合わせてできたもの。仕組み。「家の—」「体の—」「文章の—」「—上の欠陥」
２物事を成り立たせている各要素の機能的な関連。また、そのようにして成り立っているものの全体。「汚職の—が明らかになる」「経済の二重—」「社会—」「精神—」
３ある集合で、演算または二点の遠近関係の規定などの数学的性質が与えられるとき、この集合の要素間の関係。数学的構造。</t>
        </is>
      </c>
      <c r="D2832" t="inlineStr">
        <is>
          <t>構造的(3%)；構造上(3%)；構造物；構造材；構造論</t>
        </is>
      </c>
      <c r="E2832" t="inlineStr">
        <is>
          <t>建設；構成；組織；系；制作</t>
        </is>
      </c>
      <c r="F2832" t="inlineStr">
        <is>
          <t>層構造；複雑な構造；車体構造；同じ構造；可能な構造</t>
        </is>
      </c>
      <c r="G2832" t="inlineStr">
        <is>
          <t>構造体；構造化；構造主義；構造解析；構造改革</t>
        </is>
      </c>
      <c r="H2832" t="n">
        <v>29</v>
      </c>
      <c r="I2832" t="inlineStr">
        <is>
          <t>実際には、すべての生物で細胞がこの様な構造が見られるわけではない。；このような細胞外構造の形成には、分泌システムが大きく関係している。；データは表に似た構造で管理されるが、関係と呼ぶ概念でモデル化される。；ほかの言語でもよくみられるような制御構造を用いることができる。；温度の増加に伴う種種の性質の変化は螺旋構造の崩壊の進行に比例する。；このように作成されたプログラムは「構造上正しい」ことが知られている。；初期のアーキテクチャと後期のアーキテクチャではかなり構造が異なる。；ただしこの構造は外見上からの想像に過ぎず、はっきりと分かっていない。；これらの島のうち、いくつかは構造的に近くの大陸とくっついている。；自動車はその歴史のなかで様々な構造が現れ、変遷を繰り返してきた。；他にフェリ磁性体などのような磁気構造を持つ場合に副格子が存在する。；つまり、先頭が複数あって、末尾が1つになっている構造が可能である。；このような多細胞構造は、しばしば特定の条件でのみ見られることがある。；ドラマとしての構造は、アクション映画も他のドラマと変わる点はない。；引戸は扉が横にスライドして開閉する構造であり、広く用いられている。；クラッシャブルゾーンを設けて衝撃を吸収する構造になっているものもある。；逆T字方式は、中央案内軌条式の新交通システムと類似した構造を持つ。；この全体性を持ったまとまりのある構造をドイツ語でゲシュタルトと呼ぶ。；数学における群とは、最も基本的と見なされる代数的構造の一つである。；動物の細胞は、全ての真核生物の細胞に共通した以下の構造を持つ。；また、構造上のすきまができるだけないように配慮することも必要である。；このようなイメージはメモリ上のスタックの実際の構造とはあまり関係ない。；女尊男卑する文化と建物構造も女重視で男軽視の構造になっている。；原子を間隙が最も少なくなるように配置させた構造を最密充填構造という。；その数・収容率と強固な構造は、他国の防空壕と比べても群を抜いている。；細胞骨格は以前は真核生物細胞のみにある構造だと考えられていた。；ただし、これには地震計の設置場所と地下構造の問題もあるとされる。；棒構造は主に年齢の古い赤い星から形成されている。；したがって、地質構造はこの安倍川を境にして県の東西で全く異なる。</t>
        </is>
      </c>
      <c r="J2832">
        <f>HYPERLINK("https://www.weblio.jp/content/構造", "词义详情")</f>
        <v/>
      </c>
      <c r="K2832">
        <f>HYPERLINK("https://yourei.jp/構造", "查看例句")</f>
        <v/>
      </c>
    </row>
    <row r="2833">
      <c r="A2833" t="inlineStr">
        <is>
          <t>拘束</t>
        </is>
      </c>
      <c r="B2833" t="inlineStr">
        <is>
          <t>成功</t>
        </is>
      </c>
      <c r="C2833" t="inlineStr">
        <is>
          <t>読み方：こうそく
［名］(スル)《「拘」はとらえる、「束」はしばる意》
１思想・行動などの自由を制限すること。「時間に—される」
２犯人や被告などの行動・自由を制限すること。「身柄を—する」</t>
        </is>
      </c>
      <c r="D2833" t="inlineStr">
        <is>
          <t>拘束する(10%)；拘束される(7%)；拘束力；拘束性；拘束条件</t>
        </is>
      </c>
      <c r="E2833" t="inlineStr">
        <is>
          <t>管理；制限；操作；制御；限定</t>
        </is>
      </c>
      <c r="F2833" t="inlineStr">
        <is>
          <t>一時拘束；法的な拘束；着艦拘束；被拘束；非拘束</t>
        </is>
      </c>
      <c r="G2833" t="inlineStr">
        <is>
          <t>拘束具；拘束時間；拘束衣；拘束事件；拘束名簿</t>
        </is>
      </c>
      <c r="H2833" t="n">
        <v>29</v>
      </c>
      <c r="I2833" t="inlineStr">
        <is>
          <t>後に本人が語ったところによると、終日拘束具をつけられていたという。；第2章は、グレイが拘束されている間につけた日記の形式となっている。；その結果、イギリスの判事は立法権限者に拘束されないのが伝統だった。；メインスタッフだけ前年の冬から拘束され、先に冬のシベリアを体験した。；また、結合長や位置の固定など様々な拘束条件を付加することもできる。；ここでは、動物や人間を捕獲・拘束・殺害を目的とした道具や仕掛けを扱う。；これを拒否したパイロットは革命派に拘束されたが、3月2日に解放された。；つまり、これらのどれかを携帯していれば警察等から身柄を拘束されない。；このように、証拠金とは玉を保持している間に一時的に拘束されるものである。；しかしながら、小型の警備艇はどのような拘束の対象にもされていなかった。；結果的にRマニアは一連の企画で約1年半の間番組に拘束されることとなった。；暴動の中で脅迫や無許可の集会などを理由に三度警察に拘束されている。；また敵を拘束・攪乱して無力化すれば、最終的に火力攻撃・突撃を行う。；全ての条件に適合した部品の例として自動車の搭乗者拘束システムがある。；このように国家が他の国家権力に拘束されないことを対外主権という。；その解釈によって裁判所を拘束することができるかは別問題であるというだけである。；スミスは一緒にいた彼女と共に身柄を拘束され、留置場で一晩過ごした。；アル=ヌスラ戦線により拘束されたともされるが、犯人は明確ではない。；つまり、これらの裁判は、他の全ての国家機関を拘束することになる。；日中・日台関係は冷戦構造の拘束性のなかでそれぞれ表裏の関係にあった。；危険を伴う任務が多く、敵に捕らわれたら長期間の拘束や処刑される場合がある。；男性捕虜とは対照的に、女性たちは拘束されておらず、裸ではない。；タイの歴史上では、タートと呼ばれる自由を拘束された身分があった。；このため、一部では労働者を拘束して働かせるタコ部屋労働が採られた。；この事件では日本人女性1名も襲撃を受け拘束されたが脱出した。；この場合の有権解釈は一般国民をも広く直接に拘束することになる。；奴隷が存在していた時代には自由を奪うために拘束具として首輪が用いられた。；女性を前借金で拘束する人身売買を禁止しようとしたものである。；彼女は潁川に攻めてきた李傕に拘束され、妻になる事を強要された。</t>
        </is>
      </c>
      <c r="J2833">
        <f>HYPERLINK("https://www.weblio.jp/content/拘束", "词义详情")</f>
        <v/>
      </c>
      <c r="K2833">
        <f>HYPERLINK("https://yourei.jp/拘束", "查看例句")</f>
        <v/>
      </c>
    </row>
    <row r="2834">
      <c r="A2834" t="inlineStr">
        <is>
          <t>高速道路</t>
        </is>
      </c>
      <c r="B2834" t="inlineStr">
        <is>
          <t>成功</t>
        </is>
      </c>
      <c r="C2834" t="inlineStr">
        <is>
          <t>読み方：こうそくどうろ
自動車が高速度で走るための専用道路。ハイウエー。高速。</t>
        </is>
      </c>
      <c r="D2834" t="inlineStr">
        <is>
          <t>高速道路網(4%)；高速道路上(2%)；高速道路a；高速道路建設；高速道路等</t>
        </is>
      </c>
      <c r="E2834" t="inlineStr">
        <is>
          <t>高速；弾丸道路；高速自動車道路；フリーウェー</t>
        </is>
      </c>
      <c r="F2834" t="inlineStr">
        <is>
          <t>連邦高速道路；主要高速道路；主要な高速道路；高速道路走行；高速道路計画</t>
        </is>
      </c>
      <c r="G2834" t="inlineStr">
        <is>
          <t>高速道路株式会社；高速道路交通警察隊；高速道路会社；高速道路無料化；高速道路公社</t>
        </is>
      </c>
      <c r="H2834" t="n">
        <v>29</v>
      </c>
      <c r="I2834" t="inlineStr">
        <is>
          <t>工業では高速道路の整備以降は高速周辺での工場誘致が各地で起こった。；一般部の上または下に高速道路が配置される2階建て構造の道路である。；高速道路上でも問題なく読み取る事が出来る程の速度まで観測ができる。；当時の日本ではまだ高速道路が整備されておらず、塩崎はと述べている。；高速道路用のバス停留所が設けられているが、現在は使用されていない。；専用部であれば高速道路ゆえ最初から立体交差前提で道路設計される。；本PAは高速道路を利用しなくても売店へは外から入ることができる。；高速道路や主要道路を中心に、ラジオの再送信を行っているケースもある。；これにより本市と滋賀県および京都府を結ぶ高速道路のルートもできた。；これはスペインの高速道路でみられる路線番号の付け方に似ている。；リスボンからは郊外部やポルトガル各地に向けて高速道路網が伸びている。；東西方向の高速道路はのみで、過去に持ち上がったとの計画は破棄された。；韓国国内で鉄道、高速道路、一般国道が通っていない唯一の道でもある。；既に着工されていた高速道路で建設が中止されたのは全国でもこの路線が初めてである。；さらに国内都市部を中心とした高速道路の整備も進められている。；鉄道や高速道路が通っていないこともあり、工場誘致もあまり行われていない。；とりわけ高速道路などの運転は単調になりがちで居眠り運転が起きやすい。；歴史的建造物保護のため、市内の高速道路網の整備には長い時間を要した。；高速道路、自動車専用道路は通っておらず、今後の計画にも入っていない。；高速道路は大分自動車道が町内を通っているが、施設は設けられていない。；実際に、鷲見橋・本谷橋いずれの技術も両高速道路に採用されている。；また、通常の高速道路よりもインターチェンジ間の距離が短く、数も多い。；高速道路は出入り口制限されているために料金を徴収する場合がある。；なお、高速道路外の八女市内に停車する高速バスは現在運行されていない。；また、高速道路の通過のない鹿児島県伊佐市などへの移動にも使用されている。；大阪や三重県北部と、新宮を結ぶ高速道路も、現時点では未完成である。；道路網の整備が行われ、道央自動車道をはじめとする高速道路が建設された。；高速道路でのボトルネックの多くは、下りから上りとなるサグ区間である。；高速道路の役割としては国や地域の道路網の中核を担う役割を担っている。</t>
        </is>
      </c>
      <c r="J2834">
        <f>HYPERLINK("https://www.weblio.jp/content/高速道路", "词义详情")</f>
        <v/>
      </c>
      <c r="K2834">
        <f>HYPERLINK("https://yourei.jp/高速道路", "查看例句")</f>
        <v/>
      </c>
    </row>
    <row r="2835">
      <c r="A2835" t="inlineStr">
        <is>
          <t>高速バス</t>
        </is>
      </c>
      <c r="B2835" t="inlineStr">
        <is>
          <t>成功</t>
        </is>
      </c>
      <c r="C2835" t="inlineStr">
        <is>
          <t>読み方：こうそくばす
高速道路を利用して遠方の都市間などを結ぶ、長距離路線バス。</t>
        </is>
      </c>
      <c r="D2835" t="inlineStr">
        <is>
          <t>高速バス路線(10%)；高速バス停留所(3%)；高速バス用；高速バス専用；高速バス車両</t>
        </is>
      </c>
      <c r="F2835" t="inlineStr">
        <is>
          <t>運行する高速バス；昼行高速バス；長距離高速バス；停車する高速バス；上にある高速バス</t>
        </is>
      </c>
      <c r="G2835" t="inlineStr">
        <is>
          <t>高速バスツアーズ；高速バス乗り放題きっぷ</t>
        </is>
      </c>
      <c r="H2835" t="n">
        <v>29</v>
      </c>
      <c r="I2835" t="inlineStr">
        <is>
          <t>日本の高速バスでは便または路線ごとで愛称を付けているケースが多い。；ここまでの区間は名神経由で各地へ向かう高速バスも多く通過している。；以上のバスを合計すると1日100本前後の高速バスが運行されている。；このため、ほとんどの支店が何らかの形で高速バス運行に関わっている。；近年は宮城県仙台市から高速バスを用いて通学する者が多い傾向にある。；コミュニティバス・高速バスとも駅舎を出て左手ののりばから発着する。；昼行高速バス・長距離路線用は初期の貸切車両と同デザインのものが多い。；以下の記載は、基本的に路線バスとしての高速バスに限定して記述する。；そのため淡路島・四国方面へ向かう高速バスとの間の乗り換え客が多い。；そのため次第に高速バス路線が増加の傾向を見せる様になった。；同社の高速バスが利用できる企画乗車券には次のようなものがある。；また、成田空港発着路線をはじめとする高速バス路線を多数運行している。；高速バス・貸切バスはふくのイラストが描かれたデザインの塗装である。；一部の路線バスのほか、ツアーバスから転換された高速バスが発着する。；また沖縄自動車道経由の高速バスや空港リムジンバスも運行されている。；この塗装は当時の他の西鉄の短距離高速バス路線でも使用されていた。；主に、鉄道が東京都心へ直結していない地域を結ぶ高速バスだった。；現在は当バスストップに停車する高速バスはないので利用できない。；また、他地域とを結ぶ高速バスとして、以下の路線が運行されている。；宮崎交通が運行に関与していないその他の高速バスは東口からの発着である。；近年は、米沢市と仙台市との間で高速バスが運行されるようになった。；料金所外・交差点そばに高速バス専用のバス停留所が設けられている。；高速バス停留所はロータリー内ではなく、周辺の道路上に設けられている。；市内に中央自動車道調布ICがあるため、高速バスの便も発達している。；中国自動車道料金所そばに高速バス専用のバス停留所が設けられている。；リムジンバスや高速バスにおいても定期乗車券を発行している例もある。；この区間には多数の高速バスを含む路線バスが運行されている。；かつては高速バスも運行していたが廃止され、貸切バス事業は休止中である。；旧ツアーバス系の高速バスはロータリーから離れた場所から発着する。</t>
        </is>
      </c>
      <c r="J2835">
        <f>HYPERLINK("https://www.weblio.jp/content/高速バス", "词义详情")</f>
        <v/>
      </c>
      <c r="K2835">
        <f>HYPERLINK("https://yourei.jp/高速バス", "查看例句")</f>
        <v/>
      </c>
    </row>
    <row r="2836">
      <c r="A2836" t="inlineStr">
        <is>
          <t>後退</t>
        </is>
      </c>
      <c r="B2836" t="inlineStr">
        <is>
          <t>成功</t>
        </is>
      </c>
      <c r="C2836" t="inlineStr">
        <is>
          <t>読み方：こうたい
［名］(スル)
１後ろへさがること。「車を—させる」⇔前進。
２勢いが衰えたり程度が低くなったりすること。「景気が—する」「病気が—する」</t>
        </is>
      </c>
      <c r="D2836" t="inlineStr">
        <is>
          <t>後退する(12%)；後退角(3%)；後退させる；後退速度；後退しよ</t>
        </is>
      </c>
      <c r="E2836" t="inlineStr">
        <is>
          <t>撤退；低下；衰退；隠居；バック</t>
        </is>
      </c>
      <c r="F2836" t="inlineStr">
        <is>
          <t>一歩後退；じりじりと後退；ずるずると後退；三歩後退；一時後退</t>
        </is>
      </c>
      <c r="G2836" t="inlineStr">
        <is>
          <t>後退翼；後退行動；後退オイラー法；後退的；後退差分</t>
        </is>
      </c>
      <c r="H2836" t="n">
        <v>29</v>
      </c>
      <c r="I2836" t="inlineStr">
        <is>
          <t>戦時中にはアメリカ政府に戦争協力を行ったので革命路線は急速に後退。；これは、条約改正の観点からみればむしろ日本側の後退を意味していた。；テクノポップ色が後退し、バンドのライブ感が前面に出た作品となった。；党は2つに分裂し、アイルランドの改革も一時的に後退することになった。；人々が前進したときよりも後退したときの方が短期記憶が優れている。；また、シャトル計画はアポロ計画から後退しているとの主張が存在する。；その外に時々小い虫のアトビサリ〔悪颯〕がいるがこれは余り害はない。；後退して肉眼では見えなくなった後も天文学者によって追跡が行われた。；その結果、メトリックシステムの採用は大きく後退して今日に至っている。；この日の残りには、西地区の連合軍部隊はさらに東への後退を強いられた。；古代ローマ時代から海岸線は3マイルほど後退したと考えられている。；またこの時代には、朝鮮半島諸国の国際関係への介入は大きく後退した。；車体は鋼製の丸屋根で、妻面は軽い後退角をつけた3面折妻となっている。；日本軍はこれをアメリカ機動部隊と誤認し、輸送船団を一旦後退させた。；後退する部隊とそれを知らずに前進する後続部隊とで畷は混乱に陥っていた。；スターリング隊は後退したが、この時にはその後方にもイギリス兵が迫っていた。；一部の将校は一旦後退することを具申したが、一木大佐は攻撃を続行した。；テクノポップ色が後退し、バンドのライブ感が前面に出た作品と評価された。；そのため、薩摩軍は一旦後退して弾薬を補充した後、再度攻撃前進した。；一方で、1997年にスーダンの政府は、強硬な姿勢を後退させ始めた。；閉鎖されたまま後退する距離が上記ショートリコイルよりも長い。；午後には日本軍が戦闘からの離脱と後退を開始した。；陛下が後退しようと考えられても、どこにも支えてくれる者を発見できないでしょう。；さらに中日は苦手の関脇・豪栄道戦に敗れ2敗に後退し昇進が完全消滅。；砲が車体に固定されているため、後退時に砲塔を後方に向けて戦闘することはできない。；だが10日目に松鳳山に左を差すと見せかけて右に変化され2敗に後退。；前進する者もあれば後退する者も多くおり、ある者は家に帰って家や家族の安全を確認した。；後退のための逆回転や副変速機に、前述の遊星歯車が用いられたものもある。；この戦闘の後、ワシントンは数マイル後退してネセシティ砦を建てた。</t>
        </is>
      </c>
      <c r="J2836">
        <f>HYPERLINK("https://www.weblio.jp/content/後退", "词义详情")</f>
        <v/>
      </c>
      <c r="K2836">
        <f>HYPERLINK("https://yourei.jp/後退", "查看例句")</f>
        <v/>
      </c>
    </row>
    <row r="2837">
      <c r="A2837" t="inlineStr">
        <is>
          <t>交代/交替</t>
        </is>
      </c>
      <c r="B2837" t="inlineStr">
        <is>
          <t>无结果</t>
        </is>
      </c>
      <c r="H2837" t="n">
        <v>0</v>
      </c>
      <c r="J2837">
        <f>HYPERLINK("https://www.weblio.jp/content/交代/交替", "词义详情")</f>
        <v/>
      </c>
      <c r="K2837">
        <f>HYPERLINK("https://yourei.jp/交代/交替", "查看例句")</f>
        <v/>
      </c>
    </row>
    <row r="2838">
      <c r="A2838" t="inlineStr">
        <is>
          <t>広大</t>
        </is>
      </c>
      <c r="B2838" t="inlineStr">
        <is>
          <t>成功</t>
        </is>
      </c>
      <c r="C2838" t="inlineStr">
        <is>
          <t>読み方：こうだい
［名・形動］広く大きいこと。また、そのさま。「—な家屋敷」⇔狭小。
「頭(かしら)の勢力の—なるに驚くにつれて」〈漱石・坑夫〉
[派生]こうだいさ［名］</t>
        </is>
      </c>
      <c r="D2838" t="inlineStr">
        <is>
          <t>広大な土地(5%)；広大な敷地(4%)；広大な地域(3%)；広大な領土(2%)；広大な領域</t>
        </is>
      </c>
      <c r="E2838" t="inlineStr">
        <is>
          <t>広い；幅広い；広範；でかい；ワイド</t>
        </is>
      </c>
      <c r="F2838" t="inlineStr">
        <is>
          <t>広大な宇宙；広大な農地；広大な森林；広大な砂漠；広大な草原</t>
        </is>
      </c>
      <c r="G2838" t="inlineStr">
        <is>
          <t>広大院；広大地；広大線；広大新開；広大寺</t>
        </is>
      </c>
      <c r="H2838" t="n">
        <v>29</v>
      </c>
      <c r="I2838" t="inlineStr">
        <is>
          <t>駅構内・駅舎は広大であるが今では使われず閉鎖されている区画が多い。；広大な敷地をもつことから普段からヒッピーたちはよくここにつどった。；見通しをよくするために周囲には広大なオープンスペースが設けられた。；その都市は、広大な領土を保有する国の一部であることを発見した。；すなわち仏がその悟りの奥深広大なるを自ら楽しんで受けることをいう。；彼は自身の子孫がインドに広大な帝国を築き上げることを予測していたという。；広大なブラジル国内では飛行機移動が一般的なことを知らなかったからという。；また、広大な面積を誇る北海道では以下4つのトヨタ店が存在している。；いずれも広大の前身となった旧制校以来の歴史を持つものである。；当時、広大なローマ帝国の統治と防衛を単独で行うのは困難だと考えられた。；岡山市の南東部に位置し、東区の約南半分を占める広大なエリアである。；これは東武鉄道が複数の路線からなる広大な路線網を持つ前の名残でもある。；これらの団体は受託責任を必要とする広大な土地の所有権を与えられている。；音楽院にはまた、広大な楽器の博物館があり、一般に公開されている。；町の南西部には広大な人造林であるアムステルダムセ・ボス公園がある。；東南極は大陸の大部分を占める広大かつ標高が高く、寒冷な領域である。；第一にこの二つの立場の違いは不信の罪に当たるほど広大なものではないと主張した。；発足当初は、現在の大阪市北東部の大半を管轄する広大な区であった。；背景にはうっすらとした凍てついた山並みなど広大な風景が描かれている。；人口が多く広大な土地を持つ中国における生産高は世界1位である。；石灰岩からなる非常に広大な台地であり、カルスト地形が発達している。；それは大規模な塩水のラグーンまたは池で囲まれた広大な平野である。；アヴェロン県は広大で多様な地質からなる古い岩の高原で構成される。；広大な面積を扱うため、地球表面が平面でない事を考慮して行う。；かつては南側に別府鉄道のホームがあり、3面5線の広大な構内だった。；ハンガリー王国はかつてのその広大な領域に数多くのマジャール人を残した。；これは広大な土地面積が主に農業用だからである。；当初は海岸のみを指していたこれらの言葉は、のちに広大な背景地にまで及ぶようになった。；世界はオレルスという名前で、どこまでも空が続く広大な空間である。</t>
        </is>
      </c>
      <c r="J2838">
        <f>HYPERLINK("https://www.weblio.jp/content/広大", "词义详情")</f>
        <v/>
      </c>
      <c r="K2838">
        <f>HYPERLINK("https://yourei.jp/広大", "查看例句")</f>
        <v/>
      </c>
    </row>
    <row r="2839">
      <c r="A2839" t="inlineStr">
        <is>
          <t>光沢</t>
        </is>
      </c>
      <c r="B2839" t="inlineStr">
        <is>
          <t>成功</t>
        </is>
      </c>
      <c r="C2839" t="inlineStr">
        <is>
          <t>読み方：こうたく
１光の反射による、物の表面の輝き。つや。「磨いて—を出す」
２仏語。仏の光明のめぐみ。</t>
        </is>
      </c>
      <c r="D2839" t="inlineStr">
        <is>
          <t>光沢感；光沢が強い；光沢が強く；光沢がある黒；光沢面</t>
        </is>
      </c>
      <c r="E2839" t="inlineStr">
        <is>
          <t>光輝</t>
        </is>
      </c>
      <c r="F2839" t="inlineStr">
        <is>
          <t>黒い光沢；強い光沢；美しい光沢；金属的な光沢；白い光沢</t>
        </is>
      </c>
      <c r="G2839" t="inlineStr">
        <is>
          <t>光沢剤；光沢毅；光沢県</t>
        </is>
      </c>
      <c r="H2839" t="n">
        <v>29</v>
      </c>
      <c r="I2839" t="inlineStr">
        <is>
          <t>腹面は黒色で光沢が強く、後胸腹板・後基節は中央部を除き黄色となる。；身体の腹面と歩脚はやはりすべて黒だが、背面のように強い光沢はない。；枝は日の当たるほうが赤くなり、日陰側は緑色になり、やや光沢がある。；蒸したものは白い皮であるが、焼いたものは光沢のある茶色の皮である。；宮崎県に分布する本種に似た種は、葉が浅緑色で光沢があり毛が少ない。；いずれも艶消しの化粧板だが、5次車からは光沢のあるものを使用した。；これは光沢が強いのが特徴だが、吸水性がなくタオルなどには向かない。；全体を覆っていたのは銀色から青を経て緑に至る虹のような光沢です。；雄の背中は尾も含め光沢のある青で、尾の基部には左右に白斑がある。；背面と側面の一般的な色は薄い銀灰色で、側面には麦藁色の光沢がある。；萌黄色の独特の光沢を持ち、絹に比べて軽くて柔らかいのが特徴である。；やや赤みを帯びて光沢があり、金箔や銀箔の保存保護のために使われる。；このブルームがほとんど無いと、ブドウはより光沢のある印象を与える。；また、ガラス質特有の光沢を得ることができ、様々な色や模様も得られる。；また、ターコイズブルーやシアンのような光沢や緑の影はほとんど無い。；胸部から腹部の背面は全体に光沢のある黒で、腹面は淡黄色をしている。；背面は多少光沢があって黒から黒褐色で、前胸だけが橙赤色をしている。；夏羽は光沢のある黒の背に四角いチェック模様の白斑が並ぶものが多い。；このほかPANは、葉の裏面に金属のような光沢を生じさせることがある。；腹面側は黄色の長い毛に覆われてビロードのような光沢を示す。；朧銀には他に銀の表面に梨地をつけ光沢を消したものも含まれる。；さらに大きい時は、反射により乳白色でぼんやりとした光沢が得られる。；全身の毛衣は光沢のある赤みがかった黄色で、名前の由来になっている。；鼈はスッポンのことで、光沢のある丸い葉を鏡に見立てて名付けられた。；環孔材で肌目は粗いが板目面の光沢と年輪が美しく海外でも人気がある。；葉の表面は緑色で強い光沢があり、無毛、葉脈の主要部分が多少くぼむ。；そのようなワインは表面がぬめぬめした光沢をもつこともある。；しなやかで強く美しい光沢があるため、繊維の中でも最も珍重されてきた。；体の上面と翼は緑色がかった灰色で、背の部分に赤褐色の光沢がある。</t>
        </is>
      </c>
      <c r="J2839">
        <f>HYPERLINK("https://www.weblio.jp/content/光沢", "词义详情")</f>
        <v/>
      </c>
      <c r="K2839">
        <f>HYPERLINK("https://yourei.jp/光沢", "查看例句")</f>
        <v/>
      </c>
    </row>
    <row r="2840">
      <c r="A2840" t="inlineStr">
        <is>
          <t>公団</t>
        </is>
      </c>
      <c r="B2840" t="inlineStr">
        <is>
          <t>成功</t>
        </is>
      </c>
      <c r="C2840" t="inlineStr">
        <is>
          <t>読み方：こうだん
公共的事業を推進するために、政府の全額出資または政府と地方公共団体との共同出資などによって設立された特殊法人。
[補説]日本道路公団や住宅・都市整備公団などがあったが、平成13年（2001）策定の特殊法人等整理合理化計画により、すべて独立行政法人化または民営化された。</t>
        </is>
      </c>
      <c r="D2840" t="inlineStr">
        <is>
          <t>公団総裁(2%)；公団アパート；公団時代；公団側；公団法</t>
        </is>
      </c>
      <c r="F2840" t="inlineStr">
        <is>
          <t>都市整備公団；道路公団；新東京国際空港公団；建設公団；本州四国連絡橋公団</t>
        </is>
      </c>
      <c r="G2840" t="inlineStr">
        <is>
          <t>公団文字</t>
        </is>
      </c>
      <c r="H2840" t="n">
        <v>29</v>
      </c>
      <c r="I2840" t="inlineStr">
        <is>
          <t>道路公団の細かい規則がどうなっているのか、私にもよくわかりません。；船舶整備公団の共有建造制度を利用して建造されたいわゆる公団船である。；橋の監視所では公団の職員と並んで、自衛軍の憲兵が目を光らせている。；公団の汚職で死に追いやられた父の復讐を果たそうとする男の姿を描く。；主に住宅・都市整備公団と興和不動産が中心となり土地開発を主導した。；公団は不可能との回答を行ったが、再度の要請により応じることにした。；路線および鉄道駅等の施設は鉄道管理公団が保有および管理運営を行っている。；これら会社・機構の発足とともにほぼ50年続いた当公団は解散した。；こうした建設省の調査を引き継いで日本道路公団が改めて調査に望んだ。；イギリスの広告基準公団には1月21日までに326件の抗議が寄せられた。；道路公団が自分に都合のいい情報を流しているだけです。；住宅・都市整備公団による南台ニュータウンの開発に併せて開設された。；しかし、1997年に市長と道路公団が保存を断念し、工事を再開した。；以降、日本住宅公団をはじめ、さまざまな公団が設立されるようになった。；橘は、ふたりは李さんと同じ貿易公団の人間だ、と加藤さんに言い繕った。；これは公団東口から先の道路に狭隘な区間が存在するためである。；このため中山トンネルも公団が担当して建設することになった。；大学を卒業した後、東洋製鋼に入り繊維貿易公団を経てホンダに入社した。；このため塩沢トンネルも公団が担当して建設することになった。；公団で部下に用事を言いつける時も、このような態度なのであろう。；日本でも、新東京国際空港公団の民営化のモデルにもなったといわれている。；大分年代を経て、規模も小さいが、市営か公団アパートの感じである。；本項目では同庁の管轄下にあった貿易公団についても併せて解説する。；ネパール人のマスケイさん一家は、うちのすぐ裏の公団の三階に住んでいた。；よって、公団は中間を採用することにしたが、そこへ静岡県が海岸案を主張してきた。；遠くの公団アパートの灯が夜の海に浮かんだ汽船のように積み重なっている。；建設大臣から日本道路公団に下される施行命令は次の順になされた。；この部屋は公団の規定サイズの二つの窓から、中途半ぱな高さの空しかみえない。；公団とは、公的な事務や事業を担うために設立された法人形態の一種。</t>
        </is>
      </c>
      <c r="J2840">
        <f>HYPERLINK("https://www.weblio.jp/content/公団", "词义详情")</f>
        <v/>
      </c>
      <c r="K2840">
        <f>HYPERLINK("https://yourei.jp/公団", "查看例句")</f>
        <v/>
      </c>
    </row>
    <row r="2841">
      <c r="A2841" t="inlineStr">
        <is>
          <t>講壇</t>
        </is>
      </c>
      <c r="B2841" t="inlineStr">
        <is>
          <t>成功</t>
        </is>
      </c>
      <c r="C2841" t="inlineStr">
        <is>
          <t>読み方：こうだん
講義・講演・説教などをする壇。
[補説] 「講壇学者」「講壇哲学」のように、他の語に冠して、理論的ではあるが実際的でない意で皮肉めかして用いる。</t>
        </is>
      </c>
      <c r="D2841" t="inlineStr">
        <is>
          <t>講壇哲学(5%)</t>
        </is>
      </c>
      <c r="E2841" t="inlineStr">
        <is>
          <t>高座；教壇；演壇；雛壇；論壇</t>
        </is>
      </c>
      <c r="G2841" t="inlineStr">
        <is>
          <t>講壇社会主義者</t>
        </is>
      </c>
      <c r="H2841" t="n">
        <v>29</v>
      </c>
      <c r="I2841" t="inlineStr">
        <is>
          <t>のみならずドイツ講壇哲学の体系はこの時初めて設定されたと見ていい。；講壇の上に人か現れたのは、時計が午後四時を指した、その瞬間だった。；講壇は、によって制作された跪いている人物の肩の上に支えられている。；一番前の席にすわっていた背の高い男が、講壇の下のテーブルの前に立った。；其の講師はそれを見ると、急に話をいい加減に端折つて講壇から下りた。；彼がそこへ連られて行つた時には前方の講壇の上では堂々たる人が喋つてゐた。；それはもちろん官学的ないし講壇的アカデミズムのようなものではない。；わしは講壇に列して、事後、演者に感謝の動議を出すよう招待されとる。；僕は返事をするために講壇の近くにいて、逃げ出すために扉の近くにいたんだ。；非常の際には学者が講壇や研究机から連れ去られて、兵隊にされる。；講壇の左手にある小さなオルガンの傍に立っていたキャサリンが笑顔で七人を迎えた。；内部には祭壇、講壇、オルガンが互いに軸となるよう配置されている。；一年生であった私は、第二番目に、校長先生に呼ばれて講壇に上った。；牧師はやをら身を起して講壇に登つたが、例の黒い運動着が又眼に付く。；女学生の眼は言ひ合はしたやうに、高安氏の立つてゐる講壇の後方に注がれた。；委員の一人は何にか紙片に書いて講壇の上へ持つて行つた。；この会場の一画には講壇が設けられている。；そこにフランシスがこれも裸形のままで這入って来てレオに代って講壇に登った。；基部に外部講壇が備えられており、塔の西に鳴鐘者の入口がある。；まずはベテランの男性信者が講壇に立って、模範となるべき講話をする。；で、乃公も講壇から下りようとすると、 「来た来た」 と皆が騒ぎ始めた。；福音主義改革派の教区教会の講壇と2階席は、17世紀後半に設置された。；この教会内には1562年から1699年までホルンにあった講壇が設置されている。；で処世主義などいうことは講壇ではいえるけれども、実社会にはあまり必要のない事である。；そういう意味では、授業で接した講壇風のドイツ哲学は、当時の私の関心から離れたところで語られているようにみえた。；学校の秀才といわれるものの特質を担ったいわゆる講壇的哲学者には頭があっても魂がない。；講壇に上がって見ると、左手の窓に新鮮なキャベツ畑が目に入ったのもうれしかった。；親しい場所では講壇哲学批判を口にしてもおかしくない。；講壇の上から 光明を放っているのは、先生一人だ。</t>
        </is>
      </c>
      <c r="J2841">
        <f>HYPERLINK("https://www.weblio.jp/content/講壇", "词义详情")</f>
        <v/>
      </c>
      <c r="K2841">
        <f>HYPERLINK("https://yourei.jp/講壇", "查看例句")</f>
        <v/>
      </c>
    </row>
    <row r="2842">
      <c r="A2842" t="inlineStr">
        <is>
          <t>耕地</t>
        </is>
      </c>
      <c r="B2842" t="inlineStr">
        <is>
          <t>成功</t>
        </is>
      </c>
      <c r="C2842" t="inlineStr">
        <is>
          <t>読み方：こうち
農作物を耕作するための土地。「—面積」</t>
        </is>
      </c>
      <c r="D2842" t="inlineStr">
        <is>
          <t>耕地面積(7%)；耕地化(2%)；耕地協会；耕地地帯；耕地整理</t>
        </is>
      </c>
      <c r="E2842" t="inlineStr">
        <is>
          <t>耕作；耕作地</t>
        </is>
      </c>
      <c r="F2842" t="inlineStr">
        <is>
          <t>大耕地；全耕地；開放耕地；肥沃な耕地；本宿耕地</t>
        </is>
      </c>
      <c r="G2842" t="inlineStr">
        <is>
          <t>耕地整理事業；耕地整理法</t>
        </is>
      </c>
      <c r="H2842" t="n">
        <v>29</v>
      </c>
      <c r="I2842" t="inlineStr">
        <is>
          <t>建物の敷地は同じ広さに、すべての耕地も平等の原則の下に分割された。；耕地と集落は南部の海岸沿いに密集しており、島の東と西に集落がある。；この地域には耕地が不足しており、少数の住民は山それ自体に住んでいる。；新たな耕地が、このようにして領主と修道院の権力で作られていった。；そして雇用主はほとんどの時間を耕地以外の場所で過ごしていたのである。；北は日本海に面し、集落や耕地はすべて階段状の狭小な土地に展開する。；日本では北海道を除いて飼料作物の栽培は少量であり、耕地面積も狭い。；耕地には前にも増して屡々多量ずつの盗難が起るようになったのである。；だから彼は、いまでは良質の耕地をたくさん持つことになったわけである。；島には港の海岸に沿って、わずかの耕地があるだけで、あとは森と林である。；われわれは一度横切ったら生きてはいられないという耕地にいたのだった。；また耕地の中に沙漠のかけらがそのまま置かれてあるようなところもある。；娘さんはもうそのときはたいてい耕地の辺まで迎えに出てくる。；このため耕地は使い物にならない状態となり、静まりかえったのである。；二毛作とは、同じ耕地で一年の間に2種類の異なる作物を栽培すること。；かつてこの地の多くは肥沃な湿田であり、また畑などの耕地を含んでいた。；それぞれが一定の広さの耕地を有し、適切な広さの共有地があった。；地名は島内では比較的大規模な耕地を有することにちなむと思われる。；ドイツの土地利用別面積で最大のものは耕地であり、森林がそれに次ぐ。；耕地の緑の中に白い塩の地帯が置かれているところもある。；いちばん多いのは信仰上の用途に指定せられたる耕地の名である。；丘陵の起伏がひどくて耕地が少なく、住民は半農半漁の生活をしている。；町を出ると、すぐ両側に耕地が拡がって来、路傍には水路が走っている。；道の左右には耕地が拡がっているが、ところどころに小さい砂の丘がある。；ダムは基本的に の水を貯水でき、 の広さに耕地に灌漑を提供する。；自分たちの肩で土を運び、僅かではあるが自分たちの耕地が出来た。；森田の元の邸には台所が二つ在って耕地の者は下の台所迄しか行けなかった。；その名前は「垣で囲まれた播種された耕地」を意味すると考えられている。；中世の文書や絵図に記された耕地の一部は、後に琵琶湖やに水没している。</t>
        </is>
      </c>
      <c r="J2842">
        <f>HYPERLINK("https://www.weblio.jp/content/耕地", "词义详情")</f>
        <v/>
      </c>
      <c r="K2842">
        <f>HYPERLINK("https://yourei.jp/耕地", "查看例句")</f>
        <v/>
      </c>
    </row>
    <row r="2843">
      <c r="A2843" t="inlineStr">
        <is>
          <t>紅茶</t>
        </is>
      </c>
      <c r="B2843" t="inlineStr">
        <is>
          <t>成功</t>
        </is>
      </c>
      <c r="C2843" t="inlineStr">
        <is>
          <t>読み方：こうちゃ
茶の若葉を摘み取り、低温で長く発酵させ、乾燥させたもの。また、それを熱湯で煎(せん)じた飲み物。液体は澄んだ紅褐色。中国産のものが17世紀に、インド産のものが19世紀にヨーロッパに紹介され、流行した。
[補説]英語では、葉の色からblack teaという。</t>
        </is>
      </c>
      <c r="D2843" t="inlineStr">
        <is>
          <t>紅茶茶碗(2%)；紅茶を一杯；紅茶用；紅茶夫人；紅茶カップ</t>
        </is>
      </c>
      <c r="E2843" t="inlineStr">
        <is>
          <t>茶；お茶；ティー；御茶；紅茶の葉</t>
        </is>
      </c>
      <c r="F2843" t="inlineStr">
        <is>
          <t>缶紅茶；冷たい紅茶；甘い紅茶；紅茶をわかし；紅茶をひと口</t>
        </is>
      </c>
      <c r="G2843" t="inlineStr">
        <is>
          <t>紅茶専門店；紅茶キノコ；紅茶花伝；紅茶ブランド；紅茶のティーバッグ</t>
        </is>
      </c>
      <c r="H2843" t="n">
        <v>29</v>
      </c>
      <c r="I2843" t="inlineStr">
        <is>
          <t>私がいつも飲むことになっている通りに、紅茶とウイスキーとを出した。；男は紅茶2つを注文しており、校長は男が既に置いていた紅茶を飲んだ。；これは当時、紅茶やコーヒーが高価であったことが関係していたとされる。；あの紅茶をのんだら、今頃はもう死体となつているところだつたでしよう。；この路線は紅茶の輸送と避暑客の便宜を図るために建設が開始された。；これは、約4杯のコーヒーまたは最大10杯の紅茶に含まれる量である。；牛乳一合がココア入りであるか紅茶入りであるかが重大な問題である。；コーヒーや紅茶と一緒に薬を飲んでいけないと言われている理由は主にここにある。；その外にこの日はパンへバターをつけて少し食べて錫蘭の紅茶を飲みます。；先刻から紅茶を運んできて二人の話を聞いていた妻は、その時言葉を揷んだ。；彼等はいつでも朝食の前に紅茶を一杯のむことになっていたのである。；一杯の紅茶と一緒にぼくに聞きたかったのはそれなんだね。；彼らは紅茶を倉庫に保管して販売できないようにしておくと言った。；今日は紅茶茶碗の傍に新聞を置いたなり、開けて見る気にならない。；英国の家庭では来客にまず紅茶を勧める事がよいマナーとされている。；かつては紅茶の代わりにお茶として飲まれていたともいわれている。；紅茶一杯をすすり終った後に、主人は一座にむかって改めて挨拶した。；ほかの男の子たちも、さおとバケツと紅茶の空きかんを持っていました。；彼女が椅子に戻った時には、令嬢は已に紅茶茶碗を唇へ持って行っていた。；彼女は丸テーブルの上の紅茶にさえ手を出そうとはしなかった。；紅茶に酔わされた為に、先生の目的も私の目的も達せられなかったのでした。；紅茶を飲むことはイギリス人と密接に関連付けられた娯楽とされている。；紅茶とトウストを食べると、伸子はテーブルを立ちながら女中を呼んだ。；コーヒーや紅茶が基本であるが、他に提供されるものは、店舗ごとに様々である。；さっき不二子さんが紅茶の中へ入れたのは、眠り薬だったに違いない。；紅茶を飲むとき、新聞を読むときはもちろん、車の運転の時までも例外ではない。；一般的にタイの人々は、パートンコー と一緒に、朝に熱い紅茶を飲む。；今度の土曜に十一番教室で三田文学紅茶会があるが出て来ないか。；彼等は、往来を見ながらそこの小さい店で紅茶とサンドウィッチを食べた。</t>
        </is>
      </c>
      <c r="J2843">
        <f>HYPERLINK("https://www.weblio.jp/content/紅茶", "词义详情")</f>
        <v/>
      </c>
      <c r="K2843">
        <f>HYPERLINK("https://yourei.jp/紅茶", "查看例句")</f>
        <v/>
      </c>
    </row>
    <row r="2844">
      <c r="A2844" t="inlineStr">
        <is>
          <t>好調</t>
        </is>
      </c>
      <c r="B2844" t="inlineStr">
        <is>
          <t>成功</t>
        </is>
      </c>
      <c r="C2844" t="inlineStr">
        <is>
          <t>読み方：こうちょう
［名・形動］物事の調子・ぐあいなどがよいこと。物事が思いどおりにうまくいくこと。また、そのさま。「—の波に乗る」「—な出足」
[派生]こうちょうさ［名］</t>
        </is>
      </c>
      <c r="D2844" t="inlineStr">
        <is>
          <t>好調なスタート(2%)；好調であり；好調な売れ行き；好調な滑り出し；好調なセールス</t>
        </is>
      </c>
      <c r="E2844" t="inlineStr">
        <is>
          <t>いい；よい；良い；健康；よろしい</t>
        </is>
      </c>
      <c r="F2844" t="inlineStr">
        <is>
          <t>万事好調；序盤好調；売れ行き好調；一転して好調；好調な出だし</t>
        </is>
      </c>
      <c r="G2844" t="inlineStr">
        <is>
          <t>好調期</t>
        </is>
      </c>
      <c r="H2844" t="n">
        <v>29</v>
      </c>
      <c r="I2844" t="inlineStr">
        <is>
          <t>その一方で海外での実績は歴代モデルと同様に非常に好調であった。；そしてその達成は好調な税収に支えられて実現一歩手前まできていた。；その後も、好調なことから2011年度以降も継続開催が決定している。；好調時にはストライクゾーンの中でコースの投げ分けができたという。；町では好調な入場料収入を利用した施設の充実などに力を入れている。；前半は好調ながら、後半急に失速するパターンが何場所も連続して続いた。；開業後の輸送状況も好調であったことから、経営面でも負担にはならなかった。；数ヶ月前から好調が続いていた且元は優勝候補の筆頭と目されていた。；リーグ戦では開幕から好調を維持し19年ぶり3度目の優勝を果たした。；以後、好調なペースで同レーベルからアルバムをリリースし続けている。；再昇格した坂口が好調だったため、閉幕まで一軍へ戻ることはなかった。；いずれも都心への近さのわりに割安だったので、販売は好調に推移した。；以後も好調な打撃を維持して五輪出場組の抜けたチームを支えた。；一方でメインターゲットであるアメリカ合衆国では、販売が好調であった。；は開幕5連勝と好調だったが、その後は故障の影響で白星が伸びなかった。；しかし、その後のビデオ・レーザーディスクは長く好調な販売を記録した。；この地区の販売も好調で1928年5月までにはすべての分譲が完了した。；前作『セイバーマリオネットJ』のビデオ販売が好調のため制作された。；売れ行きは好調ではあったが、この頃は学習塾で国語の講師も務めていた。；次シーズンも引き続きレギュラーを務めたが、クラブは前半の好調から一転。；長い間低迷を続けていた台湾映画界も2010年ごろから好調に転じた。；竜三の軍事関連事業も好調で、小さな店から大きな屋敷に引っ越す。；も控えとしての起用が中心かと思われたが、開幕から好調を維持。；翌1997-98シーズン、チームは好調であったが監督を解任された。；このシーズンは好調で本塁打以外全ての成績で自己最多を記録した。；発売されたシングルの販売は好調で、10万枚を超える売り上げを記録した。；これは当初の予想を大幅に上回るもので、特に男性向け商品が好調であった。；この背景には、何といっても好調な経済が第一に挙げられる。；各国ごとに大量の楽譜が印刷され、そのいずれもが好調な売り上げを記録した。</t>
        </is>
      </c>
      <c r="J2844">
        <f>HYPERLINK("https://www.weblio.jp/content/好調", "词义详情")</f>
        <v/>
      </c>
      <c r="K2844">
        <f>HYPERLINK("https://yourei.jp/好調", "查看例句")</f>
        <v/>
      </c>
    </row>
    <row r="2845">
      <c r="A2845" t="inlineStr">
        <is>
          <t>校長</t>
        </is>
      </c>
      <c r="B2845" t="inlineStr">
        <is>
          <t>成功</t>
        </is>
      </c>
      <c r="C2845" t="inlineStr">
        <is>
          <t>読み方：こうちょう
小・中・高等学校などで、校務を統括し、所属職員を監督する最高責任者。</t>
        </is>
      </c>
      <c r="D2845" t="inlineStr">
        <is>
          <t>校長さん；校長職；校長時代；校長兼；校長以下</t>
        </is>
      </c>
      <c r="E2845" t="inlineStr">
        <is>
          <t>マスター；マスタ</t>
        </is>
      </c>
      <c r="F2845" t="inlineStr">
        <is>
          <t>小学校長；学校校長；中学校長；元校長；同校長</t>
        </is>
      </c>
      <c r="G2845" t="inlineStr">
        <is>
          <t>校長室；校長会議；校長先生の話；校長着任拒否闘争</t>
        </is>
      </c>
      <c r="H2845" t="n">
        <v>29</v>
      </c>
      <c r="I2845" t="inlineStr">
        <is>
          <t>名校長の誉れが高く、一高の校風はこの時期に確立したといわれている。；ここで校長は「これ以上教えられることはない」と述べたようである。；生徒数が少ないため経営がギリギリなところを校長が頑張ってやっている。；元競輪選手が日本競輪学校の校長に就任したのは史上初めてのことであった。；父親はキングスミアの小学校の校長で母親も結婚前は教師だった。；新たな校長に草野裕樹が就任し、野球部の監督も兼任することとなった。；スミスの父親はヘリックス高校の校長でスミス自身はその高校に進学した。；その校長も生前、このゲームを批判していた人物であったという。；校長は高校との兼任であるが、教頭は高校とは別に配置されている。；蔣をこの学校の校長にと強く推薦したのは汪の妻の陳璧君であった。；初代校長にグロピウスが就任し、同年にバウハウス創立宣言が出された。；男子部・女子部の校舎は離れており、男子部校長と女子部校長がそれぞれおかれた。；この頃一時的に国士舘大学の教授と国士舘中学の校長となっている。；今シリーズにも前シリーズと同様に校長が登場しない。；学校の情報も校長インタビューを軸に、一校について深く掘り下げている。；その危機を救ったのは第13代校長で同校OBである天野貞祐であった。；その中には、生徒に防寒シャツを与えて救おうとした赤羽校長の姿もあった。；初代青森市長である工藤卓爾が市長になる前、校長を務めたこともある。；小学校の校長は療養所の煙突から煙が出るのが恐ろしいと言った。；嘉納治五郎の校長時代に東京高等師範学校ではスポーツが盛んな学校になった。；死後は、校長室の肖像画となり、校長となったスネイプに指示を与える。；校長にイギリス人女性を採用したこともあり、この学校は人々から非難の対象となった。；校長は近隣の学校に通達を出し、ムーアがから入学させないように伝えたという。；結局、校長が進退伺を県に提出する事を条件として生徒は解散した。；廃藩置県後には東京に移住して華族学校の初代校長に就任した。；実は経営不振で潰れそうなので、逃げない内に校長と教頭が合格させたのだ。；初代校長が書家による高の字に、文の象徴である六個のペンを配した。；その後を受けて山田幸太郎が第7代校長に就任、校風の刷新にあたった。；生徒に人気はあるが、授業の内容はお粗末であり、校長達の評価は最低である。</t>
        </is>
      </c>
      <c r="J2845">
        <f>HYPERLINK("https://www.weblio.jp/content/校長", "词义详情")</f>
        <v/>
      </c>
      <c r="K2845">
        <f>HYPERLINK("https://yourei.jp/校長", "查看例句")</f>
        <v/>
      </c>
    </row>
    <row r="2846">
      <c r="A2846" t="inlineStr">
        <is>
          <t>交通</t>
        </is>
      </c>
      <c r="B2846" t="inlineStr">
        <is>
          <t>成功</t>
        </is>
      </c>
      <c r="C2846" t="inlineStr">
        <is>
          <t>読み方：こうつう
［名］(スル)
１人・乗り物などが行き来すること。通行。「—のさまたげになる」「—止め」
２運輸機関・通信機関により、人・物資などの輸送・移動をすること。「—の要衝」「—の便がよい」「海上—」
３人と人とのつきあい。意思の伝達。</t>
        </is>
      </c>
      <c r="D2846" t="inlineStr">
        <is>
          <t>交通網(4%)；交通事情；交通路；交通アクセス；交通連盟</t>
        </is>
      </c>
      <c r="E2846" t="inlineStr">
        <is>
          <t>連絡；輸送；交流；往来；通行</t>
        </is>
      </c>
      <c r="F2846" t="inlineStr">
        <is>
          <t>三重交通；重要な交通；自動車交通；奈良交通；地域交通</t>
        </is>
      </c>
      <c r="G2846" t="inlineStr">
        <is>
          <t>交通量；交通機関；交通手段；交通局；交通渋滞</t>
        </is>
      </c>
      <c r="H2846" t="n">
        <v>29</v>
      </c>
      <c r="I2846" t="inlineStr">
        <is>
          <t>交通の要衝であることは、国土防衛上重要な地点であることも意味する。；首都は、国政の中心として交通の便が良い場所が選定されることが多い。；近年は交通事情の改善を目指し、近隣都市への鉄道の敷設が計画されている。；バスのりばは駅の西側と東側の双方にあり、三重交通バスが発着している。；鉄道にも囲まれており、近距離・遠距離の移動ともに交通の便は大変良い。；そのためバスが主要な交通手段として発達しており、運行本数が多い。；北部は鉄道駅から離れた地域であるため、バス交通が発達している。；総督府は台湾の近代化のために都市整備と交通改善を実施している。；このため、農業交通形態の特殊性を考慮した規模構造となっている。；これは戦前の交通統合が関東・関西地区と比べて先行したことが影響している。；往復の交通は、旅行申込時に指定した航空便・列車しか利用出来ない。；その他、交通などの視点から那覇市より北を中北部と称する事もある。；交通網の中で主要な路線を幹線と呼び、最も重要な路線は本線と呼ぶ場合もある。；交通の中心となっているのは、旅客・貨物ともに陸上の道路交通である。；これは楽市場での交通の自由や種々の特権を認めたものであった。；我々は、彼らの造船所を、彼らの工場を、彼らの交通を破壊するであろう。；ワシントン州の特徴ある地形のために例外的な交通需要がある。；かつては下記の各停留所があり、三重交通の松阪伊勢線が発着していた。；このため、2000年度からバス交通のあり方の検討が行われてきた。；これらにより、横浜市西部開発地区の交通網の整備を推進するという。；当駅及び当駅周辺は相模原市北部の交通・商業の拠点地域としての役割を持つ。；なお、各県内でも河川の流域や交通事情などによって細かに違いがある。；日本では江戸時代に五街道が制定され、江戸を中心とした各地への交通網が出来た。；近代的な交通機関として鉄道が実用化された当初から用いられてきた機関車である。；交通網では、首都に向かう方向を上り、首都と逆の方向に向かう方向を下りという。；交通の手段・方法として整備された体系を交通機関または交通システムと呼ぶ。；この他に、かつては交通案内社などからも発行されていたが現在は廃刊となっている。；横浜市が設置・管理する交通広場であり、横浜新都市ビルの施設ではない。；自動車道の規定は道路運送法の前身である自動車交通事業法で導入された。</t>
        </is>
      </c>
      <c r="J2846">
        <f>HYPERLINK("https://www.weblio.jp/content/交通", "词义详情")</f>
        <v/>
      </c>
      <c r="K2846">
        <f>HYPERLINK("https://yourei.jp/交通", "查看例句")</f>
        <v/>
      </c>
    </row>
    <row r="2847">
      <c r="A2847" t="inlineStr">
        <is>
          <t>交通機関</t>
        </is>
      </c>
      <c r="B2847" t="inlineStr">
        <is>
          <t>成功</t>
        </is>
      </c>
      <c r="C2847" t="inlineStr">
        <is>
          <t>読み方：こうつうきかん
運輸・通信に関する機関の総称。鉄道・航空機・船舶・自動車および道路・橋梁などと、電信・電話・郵便などの施設。多く、運輸施設をいう。</t>
        </is>
      </c>
      <c r="D2847" t="inlineStr">
        <is>
          <t>交通機関利用</t>
        </is>
      </c>
      <c r="E2847" t="inlineStr">
        <is>
          <t>足；渡り；交通網；交通システム；輸送システム</t>
        </is>
      </c>
      <c r="F2847" t="inlineStr">
        <is>
          <t>軌道系交通機関；主要交通機関；各種交通機関；各交通機関；旅客交通機関</t>
        </is>
      </c>
      <c r="H2847" t="n">
        <v>29</v>
      </c>
      <c r="I2847" t="inlineStr">
        <is>
          <t>これまでの新しい交通機関を整備すると言う議論から大きく方針を転換。；鉄道など交通機関の発達も、日本の風景に大きな影響を与えたといえる。；それまでは馬を使用していた都市内での交通機関にも蒸気機関が導入された。；道路は川によって寸断されているため、地域の主要交通機関は船である。；市街建築や交通機関は、理想ある統一の下に整備されつつあるであろうか。；朝早く交通機関も動いていないため、会場まで自転車で来るメンバーがいる。；私はあらゆる交通機関が持つ形の上の美しさを常に愛している。；鉄道や航空以外の交通機関でも、路線によっては学生割引の制度がある。；このため以下では会社別ではなく、交通機関の種類によって分類する。；湯の児は当駅から約3km程離れているが、当駅からの交通機関は一切ない。；交通の手段・方法として整備された体系を交通機関または交通システムと呼ぶ。；ただし接続する路線バス等の交通機関は一切なく、移動には車が必要となる。；VCバード国際空港からタクシー、バスなどの交通機関が発着している。；なお、ザンビア側とジンバブエ側を結ぶ交通機関はタクシーのみである。；学生割引は、交通機関以外にも様々な業種・サービス等で実施されている。；カプセルなので未来の交通機関に影響を受けるようなことはない。；交通情報板は交通機関や道路の交通情報をリアルタイムで扱う板である。；バス、補助的交通機関およびカーシェアリング用自動車を提供している。；それが蒸汽船や電信機なぞの交通機関の出現によることだと言っている。；また近隣に大館能代空港があるが、直通する交通機関は設定されていない。；その中で鉄道など交通機関の開設や小学校など教育施設の設置に意欲を見せた。；そして、町は主要な地方の船積みおよび交通機関の中心となって発展して行った。；この為西安は各種交通機関の中国西部地区おける要衝となっている。；交通機関が発達しているためシカゴへのアクセスは容易である。；島内には公共の交通機関はないが、タクシーやレンタカーが利用できる。；自動車の排気ガス以外にも、環境汚染の原因となっている交通機関はある。；これらの数値は交通機関が長期計画を立てる際に重視されるデータの一つである。；各企業・自治体・交通機関でもこのCPE法廃止を求めストライキへ突入。；更には馬場の熱意に打たれ協力的になる交通機関や旅館も出てくる。</t>
        </is>
      </c>
      <c r="J2847">
        <f>HYPERLINK("https://www.weblio.jp/content/交通機関", "词义详情")</f>
        <v/>
      </c>
      <c r="K2847">
        <f>HYPERLINK("https://yourei.jp/交通機関", "查看例句")</f>
        <v/>
      </c>
    </row>
    <row r="2848">
      <c r="A2848" t="inlineStr">
        <is>
          <t>高低</t>
        </is>
      </c>
      <c r="B2848" t="inlineStr">
        <is>
          <t>成功</t>
        </is>
      </c>
      <c r="C2848" t="inlineStr">
        <is>
          <t>読み方：こうてい
［名］(スル)
１高いことと低いこと。たかひく。「音域の—」
２価値・程度などが高くなったり低くなったりすること。あがりさがり。「株価が—する」</t>
        </is>
      </c>
      <c r="D2848" t="inlineStr">
        <is>
          <t>高低差(50%)；高低照準；高低低；高低さまざま；高低射界</t>
        </is>
      </c>
      <c r="E2848" t="inlineStr">
        <is>
          <t>上下；アップダウン；高下</t>
        </is>
      </c>
      <c r="F2848" t="inlineStr">
        <is>
          <t>低高低；高高低；最大高低；大小高低；急激な高低</t>
        </is>
      </c>
      <c r="G2848" t="inlineStr">
        <is>
          <t>高低圧理論</t>
        </is>
      </c>
      <c r="H2848" t="n">
        <v>29</v>
      </c>
      <c r="I2848" t="inlineStr">
        <is>
          <t>南が高く北が低い周辺高低差のある地形となっているのが特徴の町である。；高低差の激しい地方を流れるために滝が多く、船の航行は不可能である。；だから人によっては音の高低を色で感じることができないにも限るまい。；そして、双方の合計点を数え、この合計点の高低で勝利チームを決める。；地形には高低差があるが斜面にも建物を問題なく建てることができる。；また、平板上に地図・間接的に距離・高低差を求めることが可能である。；また目標の高低や砲床の傾斜に基づき照準を修正する装置も付属していた。；畑の畝のように、高低のある状態が水平に続く物を畝と呼ぶ場合もある。；高低差は小さいが、海沿いのコースであるため、風の影響を受けやすい。；上記の三つの系は効率の高低はあるがほぼ共通の手法を用いることができる。；だが、高低差があるため庭園との間にエレベーターが設置されている。；また振動数の少しぐらい違った音の高低の区別は到底わからぬものである。；そこが一番外道の中で高い所でほとんど雪峰チーセの高さと高低がない。；しかし流域の高低差が激しいため急流が多く、船の航行は不可能である。；高低差はほとんどないものの自動車には幅が狭い区間がある。；音節の音の高低の違いが子音や母音と同じように意味を区別している。；軍馬の育成を目的に設計されており、極端な高低差はその名残である。；カオス値の高低で展開される物語や結末、敵の配置などが変わる最終章。；そして音の高低や弛張につれて私の情緒も波のように動いて行った。；斜面に築造され高低差があるため、墳丘南側のみ二段築成となっている。；ゴール手前は上り坂となっており、最大高低差は10メートルとなっている。；一見なだらかな感じを受けるが高低差が4-50メートルの場所もある。；気分の波の高低はかなりあるにしても、精神の活気も大分取戻しているのだ。；左れば人間世界、僅に箸一膳の有無にても文明の高低を見るに足る可し。；庭の南の縁は、十メートルほどの高低差のある脇道と接していた。；卵の高い安いによってその昼食は二スーから四スーまでの間を高低した。；年齢差別とは、年齢の高低を理由に行われる様々な差別の総称である。；放射線療法にあっては、治療部位に応じて、制吐性の高低を定めている。；そうして、この地区では高低差の少ない一体的な土地利用計画を実現している。</t>
        </is>
      </c>
      <c r="J2848">
        <f>HYPERLINK("https://www.weblio.jp/content/高低", "词义详情")</f>
        <v/>
      </c>
      <c r="K2848">
        <f>HYPERLINK("https://yourei.jp/高低", "查看例句")</f>
        <v/>
      </c>
    </row>
    <row r="2849">
      <c r="A2849" t="inlineStr">
        <is>
          <t>工程</t>
        </is>
      </c>
      <c r="B2849" t="inlineStr">
        <is>
          <t>成功</t>
        </is>
      </c>
      <c r="C2849" t="inlineStr">
        <is>
          <t>読み方：こうてい
仕事や作業を進めていく順序・段階。また、その進みぐあい。「製造—」</t>
        </is>
      </c>
      <c r="D2849" t="inlineStr">
        <is>
          <t>工程師；工程学院；工程全体；工程系；工程ごと</t>
        </is>
      </c>
      <c r="E2849" t="inlineStr">
        <is>
          <t>過程；経過；運び；プロセス；途方</t>
        </is>
      </c>
      <c r="F2849" t="inlineStr">
        <is>
          <t>作業工程；各工程；製作工程；最終工程；加工工程</t>
        </is>
      </c>
      <c r="G2849" t="inlineStr">
        <is>
          <t>工程表；工程設計；工程数；工程計画；工程設計書</t>
        </is>
      </c>
      <c r="H2849" t="n">
        <v>29</v>
      </c>
      <c r="I2849" t="inlineStr">
        <is>
          <t>具体的には、例えば以下のそれぞれの工程の生産を管理することである。；文章は企画経緯から製作工程の順を追って説明するようにしてください。；鰹節は節類の代表的なもので加工の工程や製品の形状の名称が共通する。；これらの工程を行った上で茹でたてを出すことにこだわりを持っている。；工場では自動車の生産手法を取り入れた工程により製造期間を短縮した。；CNCは、一連の動きと操作で記述できる任意の工程で使われている。；通常の洗浄は任意に選択したろ過池を自動工程で洗浄する様になっている。；現在では一般公開する展示室になっているが付近ではその周辺工程を行う工場が多かった。；焼きつけ工程では、いくつかの調整によって結果を変えることができる。；また開発工程とその中の各種タスク・活動のための方法論が提案されている。；現在、最も多く用いられている基本的な工程は以下の通りである。；次の工程で内部まで十分に加熱されるよう、大きいイモはカットされる。；次の糸を使う工程で、糸が解きやすいようになかが中空になっている。；食品加工でもよく使っており、植物油の抽出などの工程で使われている。；測定可能な範囲に留めようとするので、開発工程と品質は予測可能となる。；伝統的な製造法では15種類超の異なる工程を経ており、右記の字術を含む。；また、統合ソフトウェアの中には、これらの工程に対応するものもある。；そのため必要な化合物を得るために幾つかの工程を必要とする。；通常の洗浄は任意に決定されたろ過池を自動工程で洗浄する様になっている。；湯につけるため白く濁ってしまうが、その後の工程でまた色が戻る。；また組み立て工程も専属の作業員4人がグループを組んで担当している。；床部分にはアルミ合金パネルを採用して工程の簡略化も行われている。；この工程が終わることで、三層のルービックキューブのうち下二層が揃う。；この工程を鋳造といい、大きく分けて造塊法と連続鋳造法の2つがある。；折り紙の折り方を人に伝えるため、その工程を絵で示す折り図が存在する。；基本的に色分解と呼ばれる工程を経て、分解された色が出せる版を作成して印刷される。；テンプレートから文書を作る工程は、手動の場合も自動の場合もある。；重要工程の泥染めの歴史は古く、正倉院の書物の中にも記述がある。；ただし、単因子標準形の存在・一意性の証明にはかなりの工程を要する。</t>
        </is>
      </c>
      <c r="J2849">
        <f>HYPERLINK("https://www.weblio.jp/content/工程", "词义详情")</f>
        <v/>
      </c>
      <c r="K2849">
        <f>HYPERLINK("https://yourei.jp/工程", "查看例句")</f>
        <v/>
      </c>
    </row>
    <row r="2850">
      <c r="A2850" t="inlineStr">
        <is>
          <t>肯定</t>
        </is>
      </c>
      <c r="B2850" t="inlineStr">
        <is>
          <t>成功</t>
        </is>
      </c>
      <c r="C2850" t="inlineStr">
        <is>
          <t>読み方：こうてい
［名］(スル)
１そのとおりであると認めること。また、積極的に意義を認めること。「現世を—する」⇔否定。
２論理学で、ある命題の主語と述語の関係が成立すること。また、その関係を承認すること。⇔否定。</t>
        </is>
      </c>
      <c r="D2850" t="inlineStr">
        <is>
          <t>肯定的(29%)；肯定する(17%)；肯定派；肯定できる；肯定説</t>
        </is>
      </c>
      <c r="E2850" t="inlineStr">
        <is>
          <t>承認；認める；白状；自認；是認</t>
        </is>
      </c>
      <c r="F2850" t="inlineStr">
        <is>
          <t>現実肯定；戦争肯定；現状肯定；肯定的なレビュー；肯定する立場</t>
        </is>
      </c>
      <c r="G2850" t="inlineStr">
        <is>
          <t>肯定論；肯定応答；肯定命題；肯定否定；肯定的発言</t>
        </is>
      </c>
      <c r="H2850" t="n">
        <v>29</v>
      </c>
      <c r="I2850" t="inlineStr">
        <is>
          <t>表現上では否定だが、文章上では正しいことを述べる肯定となっている。；これらの語は性的自由の制限を肯定する立場から使用されることもある。；これまでの科学調査の結果に、大型爬虫類の存在を肯定するものはない。；このことに関してはこれまで公には否定も肯定もされないままだった。；また、稼働当時は非常に斬新なゲームであったと肯定的に評価している。；適応主義は現在、批判的な意味と肯定的な意味で異なる意味で用いられる。；ドイツ語やフランス語では否定疑問文に対する肯定の答専用の語を使う。；このような中、台湾人のアイデンティティを肯定する動きが強くなった。；ただし、この件に関しては東芝の担当者たちは肯定も否定もしていない。；否定も肯定もせずさらに「てめーが出ろ」と蹴るような仕草まで見せた。；しかし、これには以下の経緯があり、テープの存在を肯定する主張もある。；教育が扱う歴史だけではなく比較文明を重視し、ゆとり教育を肯定している。；この主張は疑念を持って受け止められ、大学側からも肯定されなかった。；「朝鮮人暴動」の存在を肯定するも流言が含まれる旨の発表が行われた。；哲学的には、両者の区別を肯定、前提する立場は心身二元論と呼ばれる。；近年は上記のような肯定的な意味で使われる傾向も強い。；このように思想的にフランス革命を肯定できる下地がイギリスには存在した。；マスコギー語の専門家はこの説を肯定する証拠を見出すことができなかった。；ただし、裁判に関する請願については問題があり否定説と肯定説がある。；しかし乗員は何ら緊急事態は報告せず、指示には全て肯定応答していた。；そのように基づいていることが自由、そのような肯定的な状態にあることが自由なのである。；しかし、団体の存在自体を法的に規制・禁止すること自体は肯定した。；一方、代表者やスーパーフリーを庇うような肯定的な発言も存在はする。；自尊心とは、心理学的には自己に対して一般化された肯定的な態度である。；グルコサミンの使用では肯定・否定的結果の両方の結論が出ている。；また、カントはルソーの著作を読み、その肯定的な人間観に影響を受けた。；ただし、正確にどのような「肯定」の意味になるのかは不明である。；ただちにオランダとポーランドの研究者から肯定的なコメントが寄せられた。；その歌詞は自らのもつ差異を肯定し、誇りとするものとされている。</t>
        </is>
      </c>
      <c r="J2850">
        <f>HYPERLINK("https://www.weblio.jp/content/肯定", "词义详情")</f>
        <v/>
      </c>
      <c r="K2850">
        <f>HYPERLINK("https://yourei.jp/肯定", "查看例句")</f>
        <v/>
      </c>
    </row>
    <row r="2851">
      <c r="A2851" t="inlineStr">
        <is>
          <t>校庭</t>
        </is>
      </c>
      <c r="B2851" t="inlineStr">
        <is>
          <t>成功</t>
        </is>
      </c>
      <c r="C2851" t="inlineStr">
        <is>
          <t>読み方：こうてい
学校の運動場や庭。</t>
        </is>
      </c>
      <c r="D2851" t="inlineStr">
        <is>
          <t>校庭側；校庭付近；校庭南側</t>
        </is>
      </c>
      <c r="E2851" t="inlineStr">
        <is>
          <t>キャンパス；構内</t>
        </is>
      </c>
      <c r="F2851" t="inlineStr">
        <is>
          <t>小学校校庭；暗い校庭；白い校庭；一緒に校庭</t>
        </is>
      </c>
      <c r="G2851" t="inlineStr">
        <is>
          <t>校庭カメラガールドライ</t>
        </is>
      </c>
      <c r="H2851" t="n">
        <v>29</v>
      </c>
      <c r="I2851" t="inlineStr">
        <is>
          <t>私が校庭で器械体操をしている時彼はじっと立って私を見たりしていた。；みんなは校庭に出て行ってしまったが、太郎にはまったく気がつかない。；校庭には生徒自身の手で描かれた各組をテーマにした巨大な絵を掲げる。；校庭や、校舎のあちこちで、生徒たちがぼんやりとそれをながめていた。；また旧校舎には校庭がなく、体育の際には本校舎や市の施設を使っていた。；その朝校庭でその生徒の顔を見た時から、心を惹かれていたのでした。；闇の中を、男が一人、急いで校庭を横切り、どこかの門に向かっている。；箒目の立った校庭に足跡をつけて行くのは、何か気のひける思いだった。；そのほか校庭にはサッカーゴール、掲揚台、時計などが設置されている。；校庭で踊るようになる以前は踊り堂とよばれた寺の堂内で踊られていた。；トオマス嬢はある日の夕方美しく刈込まれた学校の校庭を散歩してゐた。；本古墳もかつて旧石橋中学校校庭に存在したが、現在では失われている。；これらの校庭施設が各学校で標準的に整備されている国はほぼないといわれている。；同じように窓際にいて校庭を見ていた敦樹が、振り返って佐里に訊いた。；南が丘中学校の校庭付近を流れていたが学校整備により流路変更している。；しかし、それですら他の都市の小学校に比べれば小さい校庭とはいえない。；宇津木のうしろの窓の向うに、静かになった校庭が、闇の中に沈んでいた。；また公共の公園や街道筋さらには学校の校庭などに植えられることも多い。；ある時、校庭のすみにある木の穴の中に、1冊のノートがあるのを発見。；ルートにかぶらない現在の校庭には小学校の体育館・プールを建設する。；教室内に残った他の生徒たちも、ほとんどが窓際から校庭の様子を見ていた。；収録は、小学校校舎だった吉本興業東京本社の教室や校庭で行われた。；学校の廊下や校庭で、あるいは道で、美和や小夜子と会うことがあった。；誰もが校庭に出払っているのか、隣の職員室からは物音一つ聞こえない。；ようやく雲が形をとると、京子は微笑して、視線を下の校庭に移した。；この統合に合わせ、新校舎が建設され、校庭整備や遊具の設置も行われた。；有加と三人、裏門に向かって歩き始めると、校庭から少年が駆けてきた。；校庭には人は全然いなかったから、これは夏休みのことだったかも知れない。；私は心にもなく顔を赤らめ、校庭の隅の方へでも逃げて行くより他はなかった。</t>
        </is>
      </c>
      <c r="J2851">
        <f>HYPERLINK("https://www.weblio.jp/content/校庭", "词义详情")</f>
        <v/>
      </c>
      <c r="K2851">
        <f>HYPERLINK("https://yourei.jp/校庭", "查看例句")</f>
        <v/>
      </c>
    </row>
    <row r="2852">
      <c r="A2852" t="inlineStr">
        <is>
          <t>高度</t>
        </is>
      </c>
      <c r="B2852" t="inlineStr">
        <is>
          <t>成功</t>
        </is>
      </c>
      <c r="C2852" t="inlineStr">
        <is>
          <t>読み方：こうど
［名］
１高さの度合い。海水面からの高さ。「一万メートルの—で飛ぶ」
２天体が地平線からどれだけ上に見えるかを示す角度。天頂距離の余角。高度角。
［名・形動］程度の高いこと。また、そのさま。「—な（の）経済成長」「—に機械化された文明」</t>
        </is>
      </c>
      <c r="D2852" t="inlineStr">
        <is>
          <t>高度化(3%)；高度な技術(3%)；高度な教育；高度差；高度な文明</t>
        </is>
      </c>
      <c r="E2852" t="inlineStr">
        <is>
          <t>よく；最も；高い；非常；非常に</t>
        </is>
      </c>
      <c r="F2852" t="inlineStr">
        <is>
          <t>飛行高度；高い高度；高高度；低い高度；高度医療</t>
        </is>
      </c>
      <c r="G2852" t="inlineStr">
        <is>
          <t>高度経済成長；高度成長；高度計；高度好塩菌；高度救助隊</t>
        </is>
      </c>
      <c r="H2852" t="n">
        <v>29</v>
      </c>
      <c r="I2852" t="inlineStr">
        <is>
          <t>楽器の音階を決める穴配りと穴開けには高度の製作技術が必要とされる。；さらに追加の開発キットも発売され、より高度な開発環境も提供された。；これは、民生用設備に高度な技術を用いたものが多くなったためである。；これは 医学を学ぶにあたり、より高度な知識が必要となるためである。；このため科学技術分野などの高度な数学的計算を行うことに優れている。；新開発の近接信管を搭載して、低高度目標との交戦能力を強化している。；第3次レベルは最も高度な医療を提供する総合・専門病院が該当する。；しかし、使われる手法は多岐に渡り、また非常に高度であることが多い。；航空機は離陸したのち、ある一定の高度に達してから水平飛行を始める。；最も単純な方法は、観測できた天体の等高度円を地球上に描くことである。；イングランドは高度に工業化されており、世界経済の中心の一つであった。；高度な技術・能力を持つ者、というような意味では、人材とも言われる。；無誘導の兵器であったが、自動的に高度を維持する装置は必須であった。；軌道高度は、地上との輸送機往復を考慮して、低軌道で運用されている。；州内には高度に発達した道路と州間高速道路のネットワークがある。；この分野は、1995年以降ほとんど技術の高度化は見られていない。；イギリスでは友会の歴史を通じて高度の組織的な結合が見られる。；高度なモデリングまたはレンダリングソフトウェアで扱うことができる。；本作では高度差のある敵だけでなくほぼ全ての敵をロックオンすることができる。；いずれにせよフィリピンへの進攻決定は高度の政治性を含むものではあった。；だが、こんな高度な技術文明が地球に存在したという痕跡は残っていない。；専門料理は技術であり、また特に高度なものは芸術の一種と捉えられることもある。；発射されると気球からは徐々に水素ガスが抜け、気球の高度は低下する。；しかし実際には観測される色と出現する高度にはおおまかに相関関係がある。；これは200kmの高度に装置類を投入することを目的とした。；原型の素材はさまざまであり、作成には高度な知識・技術・経験が要求される。；希少価値のある高度な技能は一般に高く評価され、保護の対象となる。；高度が高い場所では大気圧が低くなるため、水は低い温度で沸騰する。；後年には改良されて高度30 km程度まで上昇できるようになった。</t>
        </is>
      </c>
      <c r="J2852">
        <f>HYPERLINK("https://www.weblio.jp/content/高度", "词义详情")</f>
        <v/>
      </c>
      <c r="K2852">
        <f>HYPERLINK("https://yourei.jp/高度", "查看例句")</f>
        <v/>
      </c>
    </row>
    <row r="2853">
      <c r="A2853" t="inlineStr">
        <is>
          <t>高等</t>
        </is>
      </c>
      <c r="B2853" t="inlineStr">
        <is>
          <t>成功</t>
        </is>
      </c>
      <c r="C2853" t="inlineStr">
        <is>
          <t>読み方：こうとう
［名・形動］
１程度・等級・品位などが高いこと。また、そのさま。高級。「—な技術」「—な教育」
２同種のものの中で、進化の度合いが高いこと。また、そのさま。「—な動物」⇔下等。</t>
        </is>
      </c>
      <c r="D2853" t="inlineStr">
        <is>
          <t>高等裁判所(9%)；高等学校時代(9%)；高等師範(3%)；高等学院(2%)；高等學校</t>
        </is>
      </c>
      <c r="E2853" t="inlineStr">
        <is>
          <t>高い；大きい；高度；高級；偉い</t>
        </is>
      </c>
      <c r="F2853" t="inlineStr">
        <is>
          <t>高等學；高等女；高等商業；高等中学；高等法廷</t>
        </is>
      </c>
      <c r="G2853" t="inlineStr">
        <is>
          <t>高等教育；高等女学校；高等部；高等科；高等小学校</t>
        </is>
      </c>
      <c r="H2853" t="n">
        <v>29</v>
      </c>
      <c r="I2853" t="inlineStr">
        <is>
          <t>また第五高等学校時代の宮崎松記もここで勉強した写真が残されている。；主人公である白鷺美樹はそんな巨大学園都市の高等部へ入学することに。；その後、師範・中学・高等中学・帝大・大学などでも採用し始められた。；高校では全科目で成績が悪く、高等数学の正式な教育は受けていなかった。；その後も高等科からの入学は若干名の補欠入学者に限定されていた。；南部の佐田・高等は傾斜が緩やかであったこともあり、農業が発達した。；「一つの動物が他の動物よりも高等だと言うのは不合理である」と考えた。；司法府の最高機関は最高裁判所で、その下に高等裁判所などが存在する。；戦いを終えたなるみ達は高等部へ進学し、1学期を終了する目前だった。；晩年には米国ウェズリアン大学の高等研究センターの教授を務めた。；隣接する旧ベルリン高等裁判所建物も博物館の一部になっている。；また二カ国の言葉を操る者も居て高等な教育水準だということが窺える。；神経系の発達は、体制の発達を考えた場合に、一つの高等さの指標となる。；飛行高度は5000メートルを超え、高度飛行と高等飛行で1位となった。；同時にサンクトペテルブルクの高等芸術学校の風景画クラスも担当した。；高等学院も上石神井移転直後は智山中学校の一部校舎を継続して使用した。；ソ連国家保安委員会国境軍に送られ、モスクワ高等国境指揮学校で学ぶ。；初めは旧学を学んでいたが、1903年に昆明高等学堂に入学した。；州の高等裁判所は、州を12に分けて管轄する地区裁判所である。；在籍中の1959年には半年間、パリの高等科学研究所の客員研究員に。；大学卒業後は弁護士となり、その後ニュージーランド高等裁判所に務める。；ここでは事実上の前身である美濃加茂高等技能専門校についても記述する。；SIITは国際大学であるため海外の高等機関との提携が特色となっている。；袁世凱は程を放置しようとせず、翌年には海軍高等顧問として招聘した。；地元で当時高等園芸と言われた温室栽培など農業改良運動に従事した。；済南の教育の中心で多くの山東大学をはじめとする大学、高等学院がある。；これらはそれぞれに高等な分類群であることが知られている。；宮西道可は熊本高等工業から広島高工の教授であり、専門的な研究をした。；また、母校である九州大学では高等研究院にて特別主幹教授に就任した。</t>
        </is>
      </c>
      <c r="J2853">
        <f>HYPERLINK("https://www.weblio.jp/content/高等", "词义详情")</f>
        <v/>
      </c>
      <c r="K2853">
        <f>HYPERLINK("https://yourei.jp/高等", "查看例句")</f>
        <v/>
      </c>
    </row>
    <row r="2854">
      <c r="A2854" t="inlineStr">
        <is>
          <t>口頭</t>
        </is>
      </c>
      <c r="B2854" t="inlineStr">
        <is>
          <t>成功</t>
        </is>
      </c>
      <c r="C2854" t="inlineStr">
        <is>
          <t>読み方：こうとう
文書でなく、直接、口で述べること。「—で説明する」</t>
        </is>
      </c>
      <c r="D2854" t="inlineStr">
        <is>
          <t>口頭試験(4%)；口頭発表(2%)；口頭注意；口頭審理；口頭命令</t>
        </is>
      </c>
      <c r="E2854" t="inlineStr">
        <is>
          <t>経口；口内；オーラル；口述試験</t>
        </is>
      </c>
      <c r="F2854" t="inlineStr">
        <is>
          <t>口頭詞章；口頭表現；口頭文章</t>
        </is>
      </c>
      <c r="G2854" t="inlineStr">
        <is>
          <t>口頭試問；口頭伝承；口頭言語；口頭弁論期日；口頭主義</t>
        </is>
      </c>
      <c r="H2854" t="n">
        <v>29</v>
      </c>
      <c r="I2854" t="inlineStr">
        <is>
          <t>心にもない嘘をいい、心の奥にあるものを口頭で否定して謝罪したのだ。；口頭で許可されたのだと答えると、そんなことは信じられないという。；そんな手のこんだことをしなくても、口頭で告げればすむのではないか。；文書でなくて、おそらく口頭で構想を述べたんじゃないかと思います。；当時は、許された者にのみ、口頭でその情報が伝えられていたようである。；かうして、日本に出来て来た口頭の文章が、古い語で言ふと寿詞である。；今回の不正のやり取りの証拠が口頭だけで一切ないことを八角に伝えた。；棒の手の伝承方法は主に師から弟子へ口頭で伝えることが中心となっている。；いろいろの問題に対して、筆記で答えるのと口頭で答えるのと二つです。；しかし、国際取引など重要な契約を口頭のみで行うことはまずない。；また、解釈を変更時に決裁文書を作成せず口頭で決裁したことが判明した。；からの踊りであり、何世紀にもわたって変化しながら口頭で伝えられてきた。；あなたは私のお友達に、手紙か口頭でお話しすることをお求めになりました。；また、利き手でない方の手を使うよう口頭で指示されても対応できなくなる。；神語以外に、永続の価値ある口頭の文章が、存在しなかつたからである。；最後に叔父さんと会ったとき、どんな形でも、文字や口頭で聞いてないか。；教科書以外からの応用問題を口頭で繰り返して解答させるのも有効だと思う。；「この人が会いたいと来ています」 なぜ口頭で名前を言わないのか。；そのため、自身が選択した馬の選択理由を口頭で表現しづらい事も多いという。；それでも文書で答えてほしいというと、口頭で十分だろうという。；いろいろの問題に対して筆記で答えるのと口頭で答えるのと二つです。；終了後に自分達を含め、どちらのネタが良かったかを口頭で発表する。；事件時にコックピットにいた交替前のパイロットは、口頭で彼に報告した。；文章ではなく、口頭で表現する社会科の教育が、重視されすぎている。；琉球大学にも批判が寄せられたため、大学はこの准教授に口頭で注意した。；会社にしても口頭で指示を出し、なんとかやりくりをつけているのだと言った。；作業員教育は口頭のみで、立ち入り調査に備えて虚偽の製造記録を作成。；早押し形式ではあるが口頭ではなく答えを筆記してからボタンを押して答える。；なお、この口頭試験は大学や分野によっては、独特の雰囲気や伝統がある。</t>
        </is>
      </c>
      <c r="J2854">
        <f>HYPERLINK("https://www.weblio.jp/content/口頭", "词义详情")</f>
        <v/>
      </c>
      <c r="K2854">
        <f>HYPERLINK("https://yourei.jp/口頭", "查看例句")</f>
        <v/>
      </c>
    </row>
    <row r="2855">
      <c r="A2855" t="inlineStr">
        <is>
          <t>講堂</t>
        </is>
      </c>
      <c r="B2855" t="inlineStr">
        <is>
          <t>成功</t>
        </is>
      </c>
      <c r="C2855" t="inlineStr">
        <is>
          <t>読み方：こうどう
１（カウダウ）学校・官庁・会社などで、儀式を行ったり講演や講義などを行ったりする建物または広間。
２（コウダウ）寺院の建物の一。経典の講義や説教をする堂。ふつう金堂の後ろに建てられる。</t>
        </is>
      </c>
      <c r="D2855" t="inlineStr">
        <is>
          <t>講堂内；講堂跡；講堂兼体育館；講堂左右；講堂館</t>
        </is>
      </c>
      <c r="F2855" t="inlineStr">
        <is>
          <t>小講堂；講堂兼；旧講堂；広い講堂；東寺講堂</t>
        </is>
      </c>
      <c r="H2855" t="n">
        <v>29</v>
      </c>
      <c r="I2855" t="inlineStr">
        <is>
          <t>広い運動場の見える講堂側の草地の上に身を置くような気がしていた。；この講堂を、ここに来ていられる方の誰が所有したいと思っているでしょう。；裁判所が町の郊外に置かれ、そこにはかつて講堂や刑務所が置かれていた。；隣接している講堂には1870年に描かれたフレスコ画が飾られていた。；講堂の東西の回廊外に位置する建物跡は東が鐘楼、西が経蔵とみられる。；講堂が、9世紀最後の20年ほどの期間に、現在の町の南に建てられた。；太平洋戦争終了後に命名され、それまでは単に「講堂」と呼ばれていた。；現在では基礎部分と講堂の南側の一部が残っているのみである。；エコール・デ・ボザールの講堂壁画はその代表的な作品のひとつである。；講堂で行われるほとんどのイベントは市の文化協会によって運営されている。；広い講堂の床の上に、百人近い人の立つ場所が、個人ごとにマークしてある。；ほかにも複数の棟が新設されており、中には学生寮や講堂も建てられている。；講堂の北には僧房と思われる建物跡があるが、一部が確認されたのみである。；中央棟の中央部と講堂の北寄りを2階建てとするほかは平屋建である。；講堂や教室・研究室など当時の雰囲気がそのままに保存されている。；また1961年の第2室戸台風では講堂の屋根が飛散する被害を受けた。；このため最初はサンリオの講堂で小学生を集めてオーディションをした。；しかし紐育の協会図書館講堂に集まつた人は僅か六十人に過ぎませんでした。；客演の芝居上演やコンサートには学校センターの講堂が用いられる。；国宝に指定されている閑谷学校講堂から徒歩数分の距離に位置している。；学校上演のような不定期の上演にはボーラントシューレの講堂が使われる。；その胸像は先生の十七回忌の年にやっと出来上って目白の講堂に納めた。；ロビーの南にはエレベーターホールとサウスホールと呼ばれる講堂がある。；かつて、竜ヶ崎一高には木造校舎の中でも特徴ある大きな講堂があった。；其頂がやっと、講堂の屋の棟に、乗りかかっているようにしか見えない。；四百に近い諸弟子のうちで、この二人だけがいつも講堂で眼立った。；また、敷地内には講堂や聖堂もあり、これらは他の学校と共用している。；我輩でも大きな講堂で五千人六千人集った所で時々御話ししてみたいと思う。；やがて彼らは風の当らない階段講堂へ入ると、黙ったまま腰を下ろして待った。</t>
        </is>
      </c>
      <c r="J2855">
        <f>HYPERLINK("https://www.weblio.jp/content/講堂", "词义详情")</f>
        <v/>
      </c>
      <c r="K2855">
        <f>HYPERLINK("https://yourei.jp/講堂", "查看例句")</f>
        <v/>
      </c>
    </row>
    <row r="2856">
      <c r="A2856" t="inlineStr">
        <is>
          <t>行動</t>
        </is>
      </c>
      <c r="B2856" t="inlineStr">
        <is>
          <t>成功</t>
        </is>
      </c>
      <c r="C2856" t="inlineStr">
        <is>
          <t>読み方：こうどう
［名］(スル)
１あることを目的として、実際に何かをすること。行い。「具体的な—を起こす」「—を共にする」「自分で考えて—する」「—力」
２心理学で、外部から観察可能な人間や動物の反応をいう。
→行為［用法］</t>
        </is>
      </c>
      <c r="D2856" t="inlineStr">
        <is>
          <t>行動を共に(3%)；行動をともに；行動不能；行動範囲；行動計画</t>
        </is>
      </c>
      <c r="E2856" t="inlineStr">
        <is>
          <t>手；活動；動き；行い；運動</t>
        </is>
      </c>
      <c r="F2856" t="inlineStr">
        <is>
          <t>別行動；回避行動；一緒に行動；奇妙な行動；どんな行動</t>
        </is>
      </c>
      <c r="G2856" t="inlineStr">
        <is>
          <t>行動パターン；行動学；行動主義；行動様式；行動規範</t>
        </is>
      </c>
      <c r="H2856" t="n">
        <v>29</v>
      </c>
      <c r="I2856" t="inlineStr">
        <is>
          <t>あくまで文明はさまざまな行為主体の政治行動を方向付けるものである。；彼の研究の殆どは、動物の行動を研究する比較心理学的なものであった。；生物が行動の基準とする賞味の利益の方法は例えば次のようなものである。；囚人のジレンマの標準的なゲームでは二人のプレイヤーが同時に行動する。；驚くべきことに、この子マウスは父親マウスと同様に異常行動を示した。；カストロはその後、ミサイル撤去の際に様々な行動をすることになった。；その他にも、人間行動の心理的要素や制度的側面も重要な研究対象である。；そのようなことで自分の行動を制限されることを孟子は良しとしない。；しかし、20世紀に入ると国家の行動の自由を制限するようになった。；人々は彼らと同じように行動できますが、誰も彼らを超えることはできません。；カードゲームではしばしば各競技者が順番にある行動をする場合がある。；そのような場で、図に当たるように行動することは難しいことだ。；そのため、目的に応じて、この二つの行動を計画的に行わなければならない。；他者から認識されやすく、当人の行動の邪魔にならない箇所に装着する。；ただし、動物の行動や発生といった限定的なものはいくつか実験されている。；逆に、行動可能な部隊数などが自動またはランダムで制限される場合もある。；患者本人は少なくとも場の文脈に応じた行動を取ることが難しい。；これらの行為は、その意図・行動・効果などの面からまさしく広告と言える。；生物群は大分して交尾行動を行うものと交接行動を行うものに分類できる。；この行動は、ペアさえ形成されれば、水槽内でも容易に観察可能である。；知り合ったホステラー同士で次の日に観光などの行動を共にすることもある。；また経験は行動の獲得に、遺伝子は本能に影響を与えると言及される。；ただし複数人で使用する場合、入場・出場時は集団で行動することになる。；博士号を取得した後、半年の間のソシュールの行動はわかっていない。；戦争中の彼の行動はかなりの議論を呼ぶこととなった。；様々な人間の行動を描くためにグランド・ホテル形式が用いられることが多い。；ここまでは相手の行動を完全に観測できると想定した。；ドックに入って修理しないかぎり、長期の作戦行動をとれなくなったのである。；ただし、三人は常に行動を共にしているわけではなく、別行動を取ることも多い。</t>
        </is>
      </c>
      <c r="J2856">
        <f>HYPERLINK("https://www.weblio.jp/content/行動", "词义详情")</f>
        <v/>
      </c>
      <c r="K2856">
        <f>HYPERLINK("https://yourei.jp/行動", "查看例句")</f>
        <v/>
      </c>
    </row>
    <row r="2857">
      <c r="A2857" t="inlineStr">
        <is>
          <t>強盗</t>
        </is>
      </c>
      <c r="B2857" t="inlineStr">
        <is>
          <t>成功</t>
        </is>
      </c>
      <c r="C2857" t="inlineStr">
        <is>
          <t>読み方：がんどう
《「がん（強）」は唐音》
１「ごうとう（強盗）」に同じ。
「この半七を掏摸(すり)の、騙(かた)りの、—のとは」〈浄・女腹切〉
２「強盗提灯(がんどうぢょうちん)」の略。</t>
        </is>
      </c>
      <c r="D2857" t="inlineStr">
        <is>
          <t>強盗犯(4%)；強盗たち；強盗計画；強盗目的；強盗ども</t>
        </is>
      </c>
      <c r="E2857" t="inlineStr">
        <is>
          <t>略奪；賊；盗賊；強奪；盗難</t>
        </is>
      </c>
      <c r="F2857" t="inlineStr">
        <is>
          <t>押し込み強盗；武装強盗；ピストル強盗；殺人強盗；路上強盗</t>
        </is>
      </c>
      <c r="G2857" t="inlineStr">
        <is>
          <t>強盗団；強盗事件；強盗殺人罪；強盗罪；強盗致傷</t>
        </is>
      </c>
      <c r="H2857" t="n">
        <v>29</v>
      </c>
      <c r="I2857" t="inlineStr">
        <is>
          <t>その銀行にはエイムズ家が投資していることが強盗の大きな理由だった。；しかし、合併準備中の関係で強盗達が予定していなかった問題が発生。；また、彼らは麻薬の売人であり強盗にも関与していたと考えられている。；しかしドーシーは、強盗仲間に馬はいないと言い民家に残ることにする。；この男は日本国内で活動する中国人強盗グループのメンバーであった。；しかし向井が来たことも強盗が現れたこともある人物の思惑があった。；この映画では強盗の男が観客に向けて発砲するラストシーンが有名である。；自宅に強盗が入り秋葉が襲われそうになった際に殺戮兵士の本性が蘇る。；娘のが重い病にかかると彼は最後の手段として再び強盗業へと戻った。；彼らは金に困っており、ある嵐の夜に宝石店の強盗を計画していた。；しかし、強盗の事が夫人に知られてしまい、教授は彼女の抹殺を企てる。；出家人でもないのにその格好をし、人をだまして強盗を働いた者が落ちる。；強盗2人の死体は電気を帯びており、喉を内部の圧力で潰されていた。；ロンドンで強盗に襲われたために窓から転落したと言う説もある。；しかし、資金稼ぎのために雑貨屋で強盗を働いたロイは警察に追われる。；アンダーソン自身はその男が彼に強盗を働こうとしたと言っていた。；槍を携帯し、野犬と強盗から身を守る他に濠を飛び越えるのにも使った。；その後も、深夜に一人勤務している際に強盗に襲撃されるケースがしばしば発生した。；飢えたりといえども、強盗の真似をせよと命じられたことはありませんでした。；しかし、運悪くガソリンに火がつき、強盗たちは焼け死ぬこととなった。；だが、過去に自分の妻を強盗に殺害されてからは、一線を退いていた。；その追跡にバンゴーの全警官を動員したにも拘わらず、強盗は逃亡した。；それは、自分たちの両親が経営する宝石店に強盗に入るというものだった。；銀行強盗のニュースを見ていたほぐす堂に強盗・森里子が立てこもった。；さらに17歳の時に強盗の逃走用自動車を運転したことも分かった。；彼はニューメキシコ準州で仲間と列車強盗を行っていた強盗団の一員だった。；これに呼応して各地でも反乱が勃発し、強盗略奪も横行するようになった。；強盗など犯罪対策に筐体板厚を増し、特殊な鍵を付加していることも多い。；最初は地元の商店に強盗に入って逮捕され、少年刑務所に入れられる。</t>
        </is>
      </c>
      <c r="J2857">
        <f>HYPERLINK("https://www.weblio.jp/content/強盗", "词义详情")</f>
        <v/>
      </c>
      <c r="K2857">
        <f>HYPERLINK("https://yourei.jp/強盗", "查看例句")</f>
        <v/>
      </c>
    </row>
    <row r="2858">
      <c r="A2858" t="inlineStr">
        <is>
          <t>合同</t>
        </is>
      </c>
      <c r="B2858" t="inlineStr">
        <is>
          <t>成功</t>
        </is>
      </c>
      <c r="C2858" t="inlineStr">
        <is>
          <t>読み方：ごうどう
［名］(スル)独立している二つ以上のものが一つになること。また、一つに合わせること。「二社が—して計画した事業」「日中—登山隊」
［名・形動］数学で、二つの図形が重ね合わせることのできる関係にあること。図形Aと図形Bが互いに合同であるとき、記号≡を用いてA≡Bと書き表す。「—な三角形」</t>
        </is>
      </c>
      <c r="D2858" t="inlineStr">
        <is>
          <t>合同委員会；合同チーム；合同トライアウト；合同訓練；合同テスト</t>
        </is>
      </c>
      <c r="E2858" t="inlineStr">
        <is>
          <t>含む；共同；接続；合併；統合</t>
        </is>
      </c>
      <c r="F2858" t="inlineStr">
        <is>
          <t>教会合同；合同合宿；合同派；合同作戦；官民合同</t>
        </is>
      </c>
      <c r="G2858" t="inlineStr">
        <is>
          <t>合同庁舎；合同会議；合同台風警報センター；合同電気；合同教会</t>
        </is>
      </c>
      <c r="H2858" t="n">
        <v>29</v>
      </c>
      <c r="I2858" t="inlineStr">
        <is>
          <t>また、一部のクラブを除き、活動は中学校・高等学校合同で行っている。；人数が足りない場合は、周辺他大学などと合同で活動することもある。；三大行事をはじめ、ほとんどの行事は中学と高校の合同で行われている。；しかし、選考や授賞式などの諸行事は他の部門と合同で実施されている。；また、アメリカ合衆国の連邦合同委員会が出した定義もよく知られている。；現在は合同の広告は用いられてないがかつては各店舗の一覧が付いたものが作成されていた。；この頃には正教会との合同へ向けた動きもあったが、進展しなかった。；以後、大規模農業生産のため、機械化された農業合同を発足させる。；複数の企業が合同で事業を行うとき、代表となる社を幹事と称する。；基本的に1年生が参加するが、最後の合同練習では2年生も参加する。；支部によっては他の支部と合同でイベントを開催している場合もある。；固有の祭りに加え、不朽体移動日、他の聖人との合同の祭りなどがある。；合同練習室や音楽関係の書籍の閲覧ができる情報サロンも併設された。；それまでに西側の自由民主党との合同の試みもあったが、失敗に終わっている。；体の工合どうでいらっしゃるということはやっぱりよく知りたいのです。；これは最澄が顕と密の合同を最終の理想としていた為と考えられる。；競技は中高別々に実施されるが、色別対抗リレーは中高合同で行われる。；ルター派と改革派が合同して一つの福音主義州教会を形成する場合もある。；後年の大合同の際には、担保が無かったため身軽に参加できたという。；この提案は1974年に受け入れられ、中立の合同グループが設立された。；合同な三角形を2つ並べて別の三角形ができるのはこの場合のみに限る。；プロテスタント教会合同の現代風英語訳は、次のようになっている。；合同製鋼など既存の鉄鋼資本も最終的にはゲーリングと妥協していった。；ただし、高校になると男女合同クラスも設けられる場合がある。；平安末期の絵馬は共同体が合同で小型の絵馬を納めることが主流だった。；しかし、「きよめ教会」のなかにはこの教会合同を拒んだ群れもあった。；このときの三木は国民協同党が民主党に吸収合併される形の合同に反対した。；恭順を拒否した藩士は脱藩して神木隊を組織し、後に彰義隊に合同した。；合同事務局は、イタリア共和国ローマのFAO本部内に設置されている。</t>
        </is>
      </c>
      <c r="J2858">
        <f>HYPERLINK("https://www.weblio.jp/content/合同", "词义详情")</f>
        <v/>
      </c>
      <c r="K2858">
        <f>HYPERLINK("https://yourei.jp/合同", "查看例句")</f>
        <v/>
      </c>
    </row>
    <row r="2859">
      <c r="A2859" t="inlineStr">
        <is>
          <t>高等学校</t>
        </is>
      </c>
      <c r="B2859" t="inlineStr">
        <is>
          <t>成功</t>
        </is>
      </c>
      <c r="C2859" t="inlineStr">
        <is>
          <t>読み方：こうとうがっこう
１中学校卒業者に高等普通教育および専門教育を施すことを目的とする学校。修業年限は3年。ただし、定時制・通信制の課程では4年以上。高校。
２旧制で、中学校の4年修了、またはそれと同等以上の学力があると認められた男子に高等普通教育を施した学校。修業年限は3年。旧制高校。</t>
        </is>
      </c>
      <c r="D2859" t="inlineStr">
        <is>
          <t>高等学校卒業(5%)；高等学校在学中；高等学校出身；高等学校等；高等学校教授</t>
        </is>
      </c>
      <c r="E2859" t="inlineStr">
        <is>
          <t>高校；ハイスクール</t>
        </is>
      </c>
      <c r="F2859" t="inlineStr">
        <is>
          <t>女子高等学校；全国高等学校；高等学校在学；山口高等学校；第一高等学校</t>
        </is>
      </c>
      <c r="G2859" t="inlineStr">
        <is>
          <t>高等学校野球；高等学校学習指導要領；高等学校令；高等学校卒業程度認定試験；高等学校設置基準</t>
        </is>
      </c>
      <c r="H2859" t="n">
        <v>29</v>
      </c>
      <c r="I2859" t="inlineStr">
        <is>
          <t>連携中学校から他の高等学校や高等専門学校などへの進学も可能である。；高等学校から附属に入る生徒には、隠れて下宿する者もいたほどである。；子供だけを日本に帰国させて学生寮がある高等学校に入れる保護者もいる。；高等学校と同じ校舎内の1階に中学校の職員室・教室がすべて入っている。；中学校の卒業者は無試験で接続の高等学校に進学することができる。；なお、大学や高等学校で学生が編集する新聞は学生新聞とも呼ばれる。；近隣には国公私立問わず、中学校・高等学校・専門学校が多く所在する。；戦前の高等教育機関の熾烈な受験競争は大学ではなく高等学校にあった。；日本の小学校・中学校・高等学校などの学校では、次のうちのいずれかに行われる。；その後、東京都立航空高等学校にて分解された状態で保管されていた。；教員は中学校及び高等学校の授業を併せて担当していることが多い。；合格者は高等学校を卒業した者と同等以上の学力があると認められる。；一部の高等学校では、吹奏楽局や吹奏楽委員会が設置されるケースがある。；主に、地域と結びつきの強い高等学校とその地域の中学校が連携して取り組む。；多くの貧しい地域の学生は高等学校に進学することはできない。；全国で唯一の学習障害の子供のための中学及び高等学校である。；当駅最寄りの中学校・高等学校が多く、朝夕は多くの学生が利用する。；小学校・中学校・高等学校にそれぞれ設置されている。；高等学校以上の場合、転学に当たっては取得単位が必要であることもある。；この修業年限短縮は以前から高等学校制度改革の根本にあったものである。；これは、1931年にこの地に移転した大阪府立北野高等学校に由来する。；中学校と高等学校の内容を一部入れ替えて学習を行うことができる。；このため高等学校以降では学習内容のばらつきが非常に大きくなる。；高等学校在学中にはバンドでボーカルを担当し、歌手のキャリア開始。；一部の中学校や高等学校でも生徒手帳に代わりカード型の生徒証を採用している。；高等学校は中退したが、スポーツもやっていて活発な女性であった。；沿線に複数の高等学校があり、高校生の通学利用が8割と大半を占める。；日本の小・中・高等学校ではしばしば持久走大会が行われる。；これら高等学校のエッセンスは帝国大学への進学保証制度であった。</t>
        </is>
      </c>
      <c r="J2859">
        <f>HYPERLINK("https://www.weblio.jp/content/高等学校", "词义详情")</f>
        <v/>
      </c>
      <c r="K2859">
        <f>HYPERLINK("https://yourei.jp/高等学校", "查看例句")</f>
        <v/>
      </c>
    </row>
    <row r="2860">
      <c r="A2860" t="inlineStr">
        <is>
          <t>購読</t>
        </is>
      </c>
      <c r="B2860" t="inlineStr">
        <is>
          <t>成功</t>
        </is>
      </c>
      <c r="C2860" t="inlineStr">
        <is>
          <t>読み方：こうどく
［名］(スル)書籍・新聞・雑誌などを買って読むこと。「文芸雑誌を—している」「定期—」</t>
        </is>
      </c>
      <c r="D2860" t="inlineStr">
        <is>
          <t>購読料(10%)；購読する(9%)；購読者(5%)；購読できる(3%)；購読型(3%)</t>
        </is>
      </c>
      <c r="F2860" t="inlineStr">
        <is>
          <t>新聞購読；購読数；直接購読；購読率；有料購読</t>
        </is>
      </c>
      <c r="G2860" t="inlineStr">
        <is>
          <t>購読契約</t>
        </is>
      </c>
      <c r="H2860" t="n">
        <v>29</v>
      </c>
      <c r="I2860" t="inlineStr">
        <is>
          <t>そのときに実家で購読していた新聞の記事を切り抜いて持ってきたのだ。；それはお得意の方から、わざわざ店に購読の申込みにきたものであった。；岡山県新見市を中心に購読されており、発行部数は数千部と推測される。；購読している他の生徒も両親に頼みこんで購読していたようすはない。；韓国語版、台湾版が出版されており、英語版も配信で購読が可能である。；アイラビスタでは、サンタバーバラで発行される新聞が購読されている。；長谷川君の意向で、雑誌は市場に出さず、直接購読者を募ることにした。；この新聞はメアリーズビルで印刷されているが、地域全体で購読されている。；あの人がずっと定期購読して、いつも隅々まで読んでいた雑誌だったから。；で、どういう生徒が定期購読するかというと、これがよくわからない。；何人かがかたまって集団的に取次者をきめて直接購読をしていられますか?；警察関係者以外が購読する場合には、警察官・警察OBの紹介が必要。；定期購読の契約をすれば、党員に限らず誰でも購読することができる。；また、幼少時代には祖父が購読していた鉄道ファンをよく読んでいたという。；以後、再び、広告を一切掲載せず、購読料のみで経営を維持している。；しかしこの頃のように図書が高価では個人で購読することはなかなか容易でない。；購読した情報はお気に入りバーで表示することができ、情報は自動で更新される。；出しものがシャンタル氏の購読している新聞で推賞されているときは。；従って購読側がメッセージの分類をしなければならない。；そのため、1880年代初めに彼はイングランドの複数の新聞を購読している。；DDS は基本的な出版-購読型モデル以上の機構をサポートする。；中学に上がってからは歴史にはまり、『歴史街道』を年間購読している。；それに定期的に号外を配られたんじゃ、購読してるのと変わらないし。；新聞も六種ぐらい購読しておけばよかったかなと。；イベントに依存するすべてのシステムはそれを購読する。；さらには電子書籍の購読ができるなど、新たな機能が搭載された。；購読料を設定せず、個人又は団体からの寄付金で運営を行っている。；「ニューヨーク・タイムズ」など町の外から入る新聞も購読する者が多い。；現在は在庫の残っているバックナンバーのみ購読可能となっている。</t>
        </is>
      </c>
      <c r="J2860">
        <f>HYPERLINK("https://www.weblio.jp/content/購読", "词义详情")</f>
        <v/>
      </c>
      <c r="K2860">
        <f>HYPERLINK("https://yourei.jp/購読", "查看例句")</f>
        <v/>
      </c>
    </row>
    <row r="2861">
      <c r="A2861" t="inlineStr">
        <is>
          <t>講読</t>
        </is>
      </c>
      <c r="B2861" t="inlineStr">
        <is>
          <t>成功</t>
        </is>
      </c>
      <c r="C2861" t="inlineStr">
        <is>
          <t>読み方：こうどく
［名］(スル)書物・文章を読み、その内容について講義すること。「万葉集を—する」</t>
        </is>
      </c>
      <c r="D2861" t="inlineStr">
        <is>
          <t>講読会(2%)；講読予約</t>
        </is>
      </c>
      <c r="E2861" t="inlineStr">
        <is>
          <t>翻訳；訳書；トランスレーション</t>
        </is>
      </c>
      <c r="H2861" t="n">
        <v>29</v>
      </c>
      <c r="I2861" t="inlineStr">
        <is>
          <t>ここでもし生徒が、不幸にして完全な講読をやってのけたとしたらどうか。；RSSの取得・講読にはRSSリーダーと呼ばれるソフトウェアを使う。；また同年4月に天皇が文選の講読を行った際には都講を務めている。；「地方から地方への移動ですね」と、英文講読の教師の黒田は言っていた。；そのやり方は、すべての講読作品に及んだので、準備はたしかに大変だった。；ここでは和歌のほか千蔭流の書や王朝文学の講読を学んだ。；卒業の後も、衣食の煩なしに、講読の利益を適意に収め得る身分を誇りにしてゐた。；テイラーズ博物館は最初の講読で頒布された版と、それをのせて見せるために売られたテーブルを所有している。；主に哲学史の講義や古典文献の講読が行われている。；英文講読の教師が言ったことが忘れられない。；同紙は日刊約14万部、日曜版約17万部の講読者数を有している。；その間にも、上記の思想家たちの講読もしていた。；発行当初の定価は本体25銭、郵税5厘、年間講読料では3円であった。；日本では、大学等での英文講読テキストに用いられている。；定次郎は、仏教の研究上もキリスト教を知る必要があると考え、教会の聖書講読も熱心に聞いたという。；高木と私は殊のほか仲良くなって、哲学の先生に頼んで特別の講読をしてもらったり、色々の本を一緒に読んだ。；開耶が英語と漢学を教え、英書を講読して世界的視野を広げようとするものであった。；各人は専門化された学会に所属したり、学術誌等を講読することで他の科学者の研究により明らかになった新しい科学的知識を得ることができる。；本の余白には講読を前にして辞書を引いて丹念に下調べをしたらしい跡がびっしりと書き込まれてあった。；英語教育には、文学作品の講読が最良の方法だと主張してた。；研究部門での実験はもちろん、各部門の勉強会・論文講読会への参加や、本研究科内の研究発表会への参加も可能である。；帰朝者の彼を取りまいてアリストテレスの講読会が始まった。；多くの大学で英文講読テキストに採用されている。；高木と私は殊のほか仲良くなつて、哲学の先生に頼んで特別の講読をしてもらつたり、色々の本を一緒に読んだ。；文法は、外国文講読の関鍵であり、作文の規矩であると考へられた。；記事は地域内で発行のタブロイド版で講読出来る他、当社サイトのweb版でも講読が可能。；英文学を専攻して今までに数えきれないほどこの表現を横文字で読み、学生の前で講読した経験があっても、直接に彼自身を対象としてこの表現がなされたことは、また反対に彼が誰かにこの表現を用いたことは、ついぞなかった。；プロワイヤールはこの時期のロベスピエールが「悪書」を講読していたことを伝えている。；学生に対しては、ドイツ語の教科書の講読を強調した。</t>
        </is>
      </c>
      <c r="J2861">
        <f>HYPERLINK("https://www.weblio.jp/content/講読", "词义详情")</f>
        <v/>
      </c>
      <c r="K2861">
        <f>HYPERLINK("https://yourei.jp/講読", "查看例句")</f>
        <v/>
      </c>
    </row>
    <row r="2862">
      <c r="A2862" t="inlineStr">
        <is>
          <t>構内</t>
        </is>
      </c>
      <c r="B2862" t="inlineStr">
        <is>
          <t>成功</t>
        </is>
      </c>
      <c r="C2862" t="inlineStr">
        <is>
          <t>読み方：こうない
建物や敷地の中。「駅の—」「大学の—」⇔構外。</t>
        </is>
      </c>
      <c r="D2862" t="inlineStr">
        <is>
          <t>構内北側；構内南側；構内西側；構内東側；構内放送</t>
        </is>
      </c>
      <c r="E2862" t="inlineStr">
        <is>
          <t>キャンパス；校庭</t>
        </is>
      </c>
      <c r="F2862" t="inlineStr">
        <is>
          <t>当駅構内；広い構内；工場構内；同駅構内；本部構内</t>
        </is>
      </c>
      <c r="G2862" t="inlineStr">
        <is>
          <t>構内配線；構内入換；構内交換機；構内作業計画；構内無線局</t>
        </is>
      </c>
      <c r="H2862" t="n">
        <v>29</v>
      </c>
      <c r="I2862" t="inlineStr">
        <is>
          <t>駅舎は構内の南側に位置し、ホーム東側を結ぶ長い通路で連絡していた。；従来は構内の信号設備の関係上回送も含めすべての列車が停車していた。；構内は東西改札それぞれにトイレおよびエレベーターが設置されている。；トイレは構内に設置されておらず、北口のトイレを利用することとなる。；構内東側に駅舎があり、下りホームへは江津方の跨線橋で連絡していた。；構内にはデュアル・モード・ビークルの切替実験設備が設置されていた。；辰野駅構内で、当駅から列車が出発した旨を伝える内容が放送される。；大学病院の構内に京成以外のバスが入るのはこの線がはじめてである。；構内にトイレはなく、栄町が設置した公衆便所が駅舎の外に隣接している。；かつては南側に別府鉄道のホームがあり、3面5線の広大な構内だった。；駅舎はないが、待合所が構内東側の1番線に隣接して設置されている。；駅舎は構内の北側に位置しホームとは通路で連絡していた。；駅舎は構内の南側に位置しホームとは通路で連絡していた。；構内は双方が接しており、同じ向きに線路とホームが並んでいる。；駅舎はJRと智頭急行で別々に設置されており、構内でつながっている。；京成電鉄の勝田台駅とは、同一地点の別構内にある乗換駅となっている。；構内は広い造りとなっているが、ホーム中央は階段状となっている。；駅舎は構内の北東側に位置しホーム中央部分に接している。；物語の部隊となる5121部隊は熊本市の尚敬高校構内に駐屯している。；無人駅となっており、駅舎は構内の西側に位置しホーム中央部分に接していた。；上下線で改札口は独立しており、構内には互いにホームを結ぶ通路はない。；駅舎は構内東側にあり、ホームとは貨物線を超える跨線橋で連絡している。；無人駅となっており、駅舎は構内の西側に位置しホーム中央部分に接している。；開業時からの駅舎は構内東側、単式ホームに隣接して置かれている。；同済大学構内の実験線でCM1型磁気浮上列車の開発が進められている。；駅舎は構内の西側に位置しホーム中央部分に接している。；駅舎は構内の北側に位置しホーム中央部分に接している。；駅舎は構内の東側に位置しホーム中央部分に接している。；また、乗務員を管轄する雪が谷大塚乗務区が当駅構内に設置されている。</t>
        </is>
      </c>
      <c r="J2862">
        <f>HYPERLINK("https://www.weblio.jp/content/構内", "词义详情")</f>
        <v/>
      </c>
      <c r="K2862">
        <f>HYPERLINK("https://yourei.jp/構内", "查看例句")</f>
        <v/>
      </c>
    </row>
    <row r="2863">
      <c r="A2863" t="inlineStr">
        <is>
          <t>購入</t>
        </is>
      </c>
      <c r="B2863" t="inlineStr">
        <is>
          <t>成功</t>
        </is>
      </c>
      <c r="C2863" t="inlineStr">
        <is>
          <t>読み方：こうにゅう
［名］(スル)買うこと。買い入れること。「日用品を—する」「共同—」</t>
        </is>
      </c>
      <c r="D2863" t="inlineStr">
        <is>
          <t>購入すること(6%)；購入できる(5%)；購入時；購入可能；購入する必要</t>
        </is>
      </c>
      <c r="E2863" t="inlineStr">
        <is>
          <t>獲得；取得；買収；買い；買う</t>
        </is>
      </c>
      <c r="F2863" t="inlineStr">
        <is>
          <t>購入する事；購入価格；土地購入；購入代金；直接購入</t>
        </is>
      </c>
      <c r="G2863" t="inlineStr">
        <is>
          <t>購入特典；購入可能；購入金額；購入履歴；購入予約</t>
        </is>
      </c>
      <c r="H2863" t="n">
        <v>29</v>
      </c>
      <c r="I2863" t="inlineStr">
        <is>
          <t>客は購入後に袋を開けるまで、組番は一切わからないようになっている。；顧客が単一の価格であらゆるサイズを購入できることを特長としている。；株式会社の株式に相当する投資口を時価で市場で購入することができる。；ここでは主に日本国内で購入可能なメーカーを中心に記述する。；北西部を中心に市内に多数ある直売所やスーパー等で購入可能である。；当初はリース導入だったが、後に自社購入でもA320を導入している。；上記以外は競走場で定められたものを必要に応じて購入する。；特定アルコールは許可を受けずに誰でも購入して自由に使用することができる。；パーティー用クラッカーなど一部の品目を除き購入や消費に制限がある。；日本人が購入を検討する場合には欧米人との体格の差に注意する必要がある。；まれにこの演出すら発生しないまま商品購入状態の初期画面にされる場合もある。；供給とは、購入または販売のために利用可能な財またはサービスの量である。；VAIOと色系統が同じ事もありセットで購入する人も多かった。；また、一度契約が切れてしまうと新規での製品購入が必要であった。；年度ごとの初回購入時に年齢を確認できる公的証明書の提示が必要である。；書籍やテレビ等で、この車を購入したことに触れていることが多い。；なお、当駅で購入可能であった乗車券は東急線内のみに限られていた。；これは一度購入すればその後は期間を問わず使用できる。；また友人の画家の作品を交換や購入によって相当数持っていた。；このうちの1台は男爵いもで有名な川田龍吉男爵が購入し自ら運転した。；このほか、指定券を購入した列車に乗り遅れた場合の取り扱いも異なる。；中には、ひびきのネットのためにDCを購入した人物までいたという。；需要とは、人々がある時点で購入したいと思っている商品の価値の尺度である。；この場合、最終目的地まで事前に予約・購入することが前提となっている。；トランパスを導入している駅の自動券売機か窓口で購入することができた。；彼女はキエフに近い町ボリスピルで両親のためにアパートを購入した。；兵器体系はかつて中国から購入した哨戒艇などを除いて殆ど西側に準じている。；なお、いずれの列車もライナー券を購入すれば定期券でも利用可能である。；日本においては江戸時代初期に、徳川家康がイギリスから4門購入した。</t>
        </is>
      </c>
      <c r="J2863">
        <f>HYPERLINK("https://www.weblio.jp/content/購入", "词义详情")</f>
        <v/>
      </c>
      <c r="K2863">
        <f>HYPERLINK("https://yourei.jp/購入", "查看例句")</f>
        <v/>
      </c>
    </row>
    <row r="2864">
      <c r="A2864" t="inlineStr">
        <is>
          <t>公認</t>
        </is>
      </c>
      <c r="B2864" t="inlineStr">
        <is>
          <t>成功</t>
        </is>
      </c>
      <c r="C2864" t="inlineStr">
        <is>
          <t>読み方：こうにん
［名］(スル)おおやけに認めること。国家・団体・政党などが正式に認めること。「党が—した候補者」「—記録」</t>
        </is>
      </c>
      <c r="D2864" t="inlineStr">
        <is>
          <t>公認される；公認大会；公認申請；公認心理師；公認団体</t>
        </is>
      </c>
      <c r="E2864" t="inlineStr">
        <is>
          <t>命；命令；許可；承認；免許</t>
        </is>
      </c>
      <c r="F2864" t="inlineStr">
        <is>
          <t>政府公認；未公認；幕府公認；協会公認；jfa公認</t>
        </is>
      </c>
      <c r="G2864" t="inlineStr">
        <is>
          <t>公認候補；公認野球規則；公認会計士試験；公認競馬；公認キャラクター</t>
        </is>
      </c>
      <c r="H2864" t="n">
        <v>29</v>
      </c>
      <c r="I2864" t="inlineStr">
        <is>
          <t>学校公認のプログラムで留学した場合は、留学中の単位を認定している。；皇帝はキリスト教などの全ての宗教を公認したが、国教は定めなかった。；武士と公認される家もこのようにして増加していったと考えられる。；また、本シリーズで初めてメーカー公認の実車を収録した作品でもある。；それ以外のものは公認されていないが、民間でときどき使われている。；同一選挙区に複数の公認希望者が存在する場合は分裂選挙になることもある。；その後1986年から再度日本記録として公認されて現在に至っている。；これにより一部の立候補予定者は公認が得られる可能性が極めて低くなった。；このとき沼田領は分地されるが、まだ幕府に公認された藩とはなっていない。；文科省公認の高等学校の英語科の教科書にも、その功績が記されている。；ただし、戦時下の事であったため、国際航空連盟未公認の記録となった。；円谷プロダクションが公認しているのはウルトラマンロビンのみである。；司祭派はこれらの迫害を耐えて1881年に政府の公認を受けている。；この選挙では対立候補が社会民主党、日本共産党公認の候補のみだった。；ただし現代においては公認取得の回数は制限されている場合が多い。；プトレマイオス軍の多民族的な性格は、公認された組織の原則だった。；代表的なのが で勅許管理会計士あるいは公認管理会計士と呼ばれている。；これで朝廷より「天下人」であることを、事実上公認されたものとされる。；大和の石上神宮の本社ともいわれているが、神宮側は公認していない。；これは家康の朱印状が存在しておらず、公認されていた所領高が不明な点もある。；大学が公認するクラブやサークルは全て学友会の団体となっている。；これはアメリカ連邦政府が公認し、保留地を持つ部族だけの権利である。；同選挙では北海道3区で荒井聰の後継として長男の荒井優が公認された。；幕府は信枚を正嫡として公認し、建広らは追放されお家騒動は収まった。；それはランドスケープの専門家や大学の造園コースを認定する公認団体である。；構造物・部品を新規に開発する場合は、そのたびに公認を取得する必要がある。；IAAFは1914年に競技規則を定めて世界記録の公認を開始した。；共通規格品や安全装備に関しては、FIAの公認を受けたものを使用する。；また、戦後になって国内初の公認競艇場として津競艇場が開設されていた。</t>
        </is>
      </c>
      <c r="J2864">
        <f>HYPERLINK("https://www.weblio.jp/content/公認", "词义详情")</f>
        <v/>
      </c>
      <c r="K2864">
        <f>HYPERLINK("https://yourei.jp/公認", "查看例句")</f>
        <v/>
      </c>
    </row>
    <row r="2865">
      <c r="A2865" t="inlineStr">
        <is>
          <t>光熱費</t>
        </is>
      </c>
      <c r="B2865" t="inlineStr">
        <is>
          <t>成功</t>
        </is>
      </c>
      <c r="C2865" t="inlineStr">
        <is>
          <t>読み方：こうねつひ
調理・暖房・照明などについやす費用。電気代およびガス・灯油などの燃料費の総称。</t>
        </is>
      </c>
      <c r="D2865" t="inlineStr">
        <is>
          <t>光熱費ゼロ住宅</t>
        </is>
      </c>
      <c r="H2865" t="n">
        <v>29</v>
      </c>
      <c r="I2865" t="inlineStr">
        <is>
          <t>光熱費、食費にどれほど金がかかっているのか、確かめようともしない。；光熱費を払わなかったために電気も水道もとうのむかしに止められていた。；例えばオーストリアでは光熱費や住宅費を部分的に補助したりする。；母親が慣れないパートをはじめたとしても、そんな物は光熱費程度にしかならない。；家賃を払う、と主張するのを私が拒んだので、彼が光熱費を出すことになった。；経営者から光熱費の節約を指示されているのか、エアコンの温度が抑えられていた。；最初の頃は、家賃と光熱費を払い終えて残ったお金は、すべて二人で折半していた。；無駄な電気を使わないように、光熱費も毎月チェックしている。；企業のような大規模なシステムの場合、運用費用には労働者のコストや家賃、光熱費などの施設の費用も含まれる場合がある。；貸家を利用して、選手が寝食を共にし家賃、光熱費、食費はチームが負担。；きっかけは中野にある寮の光熱費を受益者負担にすることに反対という理由である。；また、2002年12月からは「光熱費ゼロ住宅」の販売を開始している。；酒をどこから仕入れているのか、光熱費や所得税がどう処理されているのか、摩耶はいつも不思議だった。；光熱費はほとんど基本料金ですんでいるので、ひと月あたり十万円は確実に仕送りできている。；光熱費などの運営費も負担しないケースも多い。；実際の住み心地や光熱費などを聞くことも可能。；家賃と光熱費を含んでも月々三十万あれば、十分間に合った。；「もちろん、給料から小屋の光熱費も引くからね」 そう告げて、彼女は笑いながら畑を出ていった。；百番地と言えば、光熱費をケチるようなところではない。；翠は、恭一郎がこの部屋に来ている間の光熱費や食費だって、請求したことがない。；寒さが厳しい留辺蘂では温泉利用が行われ、水族館も光熱費の節約に温泉水を使用する。；その場合、工場の家賃の増加はなく、光熱費の増加もわずかであり、費用の増加分は主に、自動車の部品代と労働者の人件費となる。；また、毎月末になると家賃や光熱費の支払いが滞る事が多かった。；光熱費もあるし、この店の家賃も払わなければならない。；二階建で一面ガラス張りの家は、毎月信じられないほどの光熱費がかかるうえに、中にオブジェのような階段がある。；食うものも着るものも住む場所もなかった多くの国民から見たら、家賃も光熱費も風呂代も無料のここは極楽だ。；固定費は、住居費や光熱費と言った生活に伴う活動によってあまり変化しない費目を差す。；光熱費を負担し、改造したり模様がえしたりせずにそのまま住んでもらえればそれでいい、ということだった。；水曜日までなら、光熱費からしばし流用しても問題はあるまい。</t>
        </is>
      </c>
      <c r="J2865">
        <f>HYPERLINK("https://www.weblio.jp/content/光熱費", "词义详情")</f>
        <v/>
      </c>
      <c r="K2865">
        <f>HYPERLINK("https://yourei.jp/光熱費", "查看例句")</f>
        <v/>
      </c>
    </row>
    <row r="2866">
      <c r="A2866" t="inlineStr">
        <is>
          <t>高配</t>
        </is>
      </c>
      <c r="B2866" t="inlineStr">
        <is>
          <t>成功</t>
        </is>
      </c>
      <c r="C2866" t="inlineStr">
        <is>
          <t>読み方：こうはい
他人を敬って、その心配りをいう語。「御—を賜りありがとう存じます」</t>
        </is>
      </c>
      <c r="D2866" t="inlineStr">
        <is>
          <t>同情；配慮；慰め；思いやり；思慮</t>
        </is>
      </c>
      <c r="H2866" t="n">
        <v>4</v>
      </c>
      <c r="I2866" t="inlineStr">
        <is>
          <t>急高配過ぎない山麓はほとんど全てが栽培可能地域となっており、その多くが農林業や放牧に使われている。；高配の大きな坂では石を積んで階段を造り、小川をわたる場合は、川幅が短ければ石の板をかけ、川幅が増した場所では吊り橋を建設した。；こうした人間喜劇は、前宣伝で観客に面白さを伝えることが難しく、過去の『蒲田行進曲』や『お葬式』なども封切り当初は観客動員のパワーは弱かったが、口コミで映画の面白さが伝わり尻上がりにパワーを増幅させた高配収を上げた。；氏は、角川ソフィア文庫『鬼人 役行者小角』を担当して下さった人で、前著『陰陽師 安倍晴明』についてもさまざまな御高配を賜った。</t>
        </is>
      </c>
      <c r="J2866">
        <f>HYPERLINK("https://www.weblio.jp/content/高配", "词义详情")</f>
        <v/>
      </c>
      <c r="K2866">
        <f>HYPERLINK("https://yourei.jp/高配", "查看例句")</f>
        <v/>
      </c>
    </row>
    <row r="2867">
      <c r="A2867" t="inlineStr">
        <is>
          <t>後輩</t>
        </is>
      </c>
      <c r="B2867" t="inlineStr">
        <is>
          <t>成功</t>
        </is>
      </c>
      <c r="C2867" t="inlineStr">
        <is>
          <t>読み方：こうはい
《あとに生まれた人の意》
１年齢・地位・経験や学問・技芸などで、自分より下の人。後進。⇔先輩。
２同じ学校・職場などで、あとから入ってきた人。⇔先輩。</t>
        </is>
      </c>
      <c r="D2867" t="inlineStr">
        <is>
          <t>後輩たち(4%)；後輩アナウンサー；後輩達；後輩選手；後輩関係</t>
        </is>
      </c>
      <c r="E2867" t="inlineStr">
        <is>
          <t>年下</t>
        </is>
      </c>
      <c r="F2867" t="inlineStr">
        <is>
          <t>先輩後輩；一年後輩；二年後輩；可愛い後輩；期後輩</t>
        </is>
      </c>
      <c r="G2867" t="inlineStr">
        <is>
          <t>後輩ちゃん</t>
        </is>
      </c>
      <c r="H2867" t="n">
        <v>29</v>
      </c>
      <c r="I2867" t="inlineStr">
        <is>
          <t>先輩と後輩の関係だったが仲がよく、2人でユニットなどを組んでいた。；また、後輩である日高の進学や事務所移籍についての相談相手になった。；私はいい後輩に破ってもらったことをむしろ喜ばしくさえ思っている。；引退後は後輩歌手に一切の指導・助言を行わなかったのも特徴的であった。；また、友人や後輩、部下などを怒らせた時に使うのも本来は誤用である。；そして代わって抜擢されたのは同じNHK出身の後輩・木島則夫だった。；ライブは後輩や友人らが来て満員となり、すぐに事務所がついたほどだった。；大学でも1年後輩の清水直行とはロッテ入団までの経歴が同じであった。；それ以外にも、学校の後輩や入院中の少女など様々な女性との出会いや交流を経験する。；この経験が長い者がちゃんこ長として後輩達の指導をしたりもする。；生徒会に所属しており、大磯潮をはじめとする後輩たちに頼られている。；毒蝮三太夫は大学の先輩、同日のゲストの春風亭一之輔は後輩にあたる。；立教大学時代は放送研究会に所属し一期下の後輩にみのもんたがいた。；また木戸の後輩たちの留守宅へ見舞いの品を届けたりもよくしていた。；これは友情を意味するものではなく、必ずしも先輩と後輩は友達になる訳ではない。；同年以降、城島健司ら後輩たちを連れて自主トレを行うようになった。；また1年後輩には後に日本人初のメジャーリーガーとなる村上雅則がいた。；私生活では入社1年後輩の営業職である夫との間に3人の子供がいる。；高校時代には、一部の後輩から「米虫の先輩」との異名が付けられていた。；遊京、いっ休は落語研究会の後輩にあたるが、相談はなかったとのこと。；事故以降、試合前には後輩の仏前で必勝を誓うことが恒例となっていた。；また高校時代の後輩の縁で高知県のミタニ建設工業の軟式野球部に所属。；芸能界デビューし同事件や詐欺で逮捕された石元太一は後輩にあたる。；そして元は後輩だったシンが三合会で権力を握るようになっていた。；後輩の面倒見も良く、森優希奈・恋にしきを実の妹のように可愛がっている。；同社は藤山一郎のその対抗馬ということで後輩である松平に期待したのである。；しかし、後輩の河原千里が作った機械でまたしても女の子になってしまう。；日本大学の後輩である長野久義は一報を受けて涙を流したという。；かつて自身も所属した同研究会で異彩を放った同い年の後輩を岡崎は記憶していた。</t>
        </is>
      </c>
      <c r="J2867">
        <f>HYPERLINK("https://www.weblio.jp/content/後輩", "词义详情")</f>
        <v/>
      </c>
      <c r="K2867">
        <f>HYPERLINK("https://yourei.jp/後輩", "查看例句")</f>
        <v/>
      </c>
    </row>
    <row r="2868">
      <c r="A2868" t="inlineStr">
        <is>
          <t>荒廃</t>
        </is>
      </c>
      <c r="B2868" t="inlineStr">
        <is>
          <t>成功</t>
        </is>
      </c>
      <c r="C2868" t="inlineStr">
        <is>
          <t>読み方：こうはい
［名］(スル)
１建物や土地などが荒れはてること。「戦争で国土が—する」
２荒れすさむこと。「人心の—した社会」
[補説]書名別項。→荒廃</t>
        </is>
      </c>
      <c r="D2868" t="inlineStr">
        <is>
          <t>荒廃地；荒廃ぶり；荒廃状態；荒廃した町；荒廃感</t>
        </is>
      </c>
      <c r="E2868" t="inlineStr">
        <is>
          <t>敵；滅亡；壊滅；破滅；仇</t>
        </is>
      </c>
      <c r="F2868" t="inlineStr">
        <is>
          <t>著しく荒廃；かなり荒廃；山林荒廃；受けて荒廃；ひどく荒廃</t>
        </is>
      </c>
      <c r="H2868" t="n">
        <v>29</v>
      </c>
      <c r="I2868" t="inlineStr">
        <is>
          <t>現道が開通してからは、本来の街道は使われなくなり荒廃してしまった。；内戦で荒廃した市の経済の建て直しや女性の教育などに力を入れている。；その後再び建設されたのだが、アメリカ独立戦争後は荒廃状態に陥った。；その後は工場の事務所代わりに使われていたが、車両の荒廃は進んだ。；荒廃した王国の復興のため、ベーラは軍事を中心とした改革を実施した。；同時に百姓には、生活を安定させることで荒廃した農村を立て直させた。；さらに駅舎や軌道の状態は、とても現役路線とは思えないほど荒廃していた。；復活した新々道であるが、利用は近隣の農民に限られ荒廃していった。；後に再建されるも荒廃した状態が続き、江戸時代には廃寺の扱いを受ける。；この統制のもとで、ロシア教会は精神的に荒廃したとしばしばいわれる。；荒廃した地域では一戸建ての住宅が1ドルで販売されているところもある。；現在では船着き場から集落跡までが荒廃しており、大変危険な状況である。；戦後の荒廃した世相を背景とした推理小説を中心に、多数の短編を発表。；最後の世界大戦で地上は荒廃し、人々は地下に生活するようになった。；その後、政府側との激しい攻防が展開されたため、再び街は荒廃した。；その後も幾たびかの洪水で荒廃するが、地元の人々に守られ続けられる。；この地は5世紀にエフタルの進入を受け、その後は荒廃したままだった。；一方で江南地帯の荒廃はそれほどでもなく、強い経済力を有していた。；その機関車は2004年時点では現存が確認されているが、荒廃が進んでいる。；江戸時代に入ってからは一時奈良奉行所の管轄となったが荒廃する。；長野県側の西沢渡に営林署があったが、使用されなくなり荒廃している。；しかし、それゆえに第二次世界大戦では空爆の対象となり、街は荒廃した。；ただし、幕末頃には相当に荒廃していたようで、大幅な修理が加わっている。；三十年戦争による破壊の結果、1634年にこの集落は完全に荒廃した。；翌日、水が引いたそこは不況で荒廃した「スペクター」だと気がついた。；クロアチア紛争時のヴコヴァルの戦いでは、町が完全に荒廃しきっていた。；施設と車両は現地に残っているが、車両は荒廃が進んでいる。；荒廃した日本を変革する為の平和のモデル都市に成り上がった八萬市。；第二次世界大戦では空爆を受けて荒廃したが、戦後に復興を果たした。</t>
        </is>
      </c>
      <c r="J2868">
        <f>HYPERLINK("https://www.weblio.jp/content/荒廃", "词义详情")</f>
        <v/>
      </c>
      <c r="K2868">
        <f>HYPERLINK("https://yourei.jp/荒廃", "查看例句")</f>
        <v/>
      </c>
    </row>
    <row r="2869">
      <c r="A2869" t="inlineStr">
        <is>
          <t>勾配</t>
        </is>
      </c>
      <c r="B2869" t="inlineStr">
        <is>
          <t>成功</t>
        </is>
      </c>
      <c r="C2869" t="inlineStr">
        <is>
          <t>読み方：こうばい
１水平面に対する傾きの度合い。傾斜。また、斜面。「—の急な坂道」「—を登る」
２数学で、直線の方向を示す数。直線がx軸の正の方向となす角の正接で表される。傾き。方向係数。
３物理学で、速度・圧力など物理量の大きさが位置によって変化するときの変化率。ベクトル量で表される。勾配ベクトル。グラジエント。</t>
        </is>
      </c>
      <c r="D2869" t="inlineStr">
        <is>
          <t>勾配区間(5%)；勾配線区；勾配路線；勾配ブースティング；勾配緩和</t>
        </is>
      </c>
      <c r="F2869" t="inlineStr">
        <is>
          <t>下り勾配；上り勾配；濃度勾配；急な勾配；登り勾配</t>
        </is>
      </c>
      <c r="G2869" t="inlineStr">
        <is>
          <t>勾配磁場コイル；勾配起動；勾配ベクトル；勾配ベクトル場；勾配降下法</t>
        </is>
      </c>
      <c r="H2869" t="n">
        <v>29</v>
      </c>
      <c r="I2869" t="inlineStr">
        <is>
          <t>周辺に勾配が少ないことから自転車を用いて当駅を利用する乗客もいる。；これは利休の意図というより屋根の勾配に制限されてのことと考えられる。；急勾配があるため、主にエンジンを2台載せた強力気動車が使用された。；現在の駅はその先の上り勾配の途中にあり、駅のすぐ西側はトンネルである。；同様の理由で山陽鉄道では例外的な急勾配区間瀬野八も誕生している。；勾配や発散とは異なり、回転の概念を単純に高次元化することはできない。；これは、勾配区間での軸重移動を考慮し均等にするための措置である。；勾配がきついところではブレーキをかけるのが大変だったと言われてもいる。；上の式は圧力の勾配による鉛直方向の力と重力とが釣り合うことを示す。；強羅方面へは、当駅を出発するとすぐに80パーミルの上り勾配となる。；標準化されている勾配は、この変化を標準化された単位で示す。；平安時代の寝殿造建物にはこのように大きく急勾配の屋根はなかった。；これは北上川の河川勾配が他の河川に比べ緩やかな事が起因している。；狭い上に旧作木・布野村境までは急勾配が続くため大型車の通行は困難。；採炭地は小石市街地の北西に位置し、線路は緩やかな勾配が続いていた。；日本で最も急な勾配がある区間より、さらに3倍ほど急な傾斜である。；ここから隣の山鼻9条停留場までの区間は、現存路線中で最も勾配が大きい。；いずれの車両も、急峻な勾配に対応できる設計となっていることが特徴である。；例外的に先進国の技術を導入するため大型旅客機と勾配用機を大量に輸入した。；急勾配の坂であり、登って降りる山型と、降りてから登る谷型がある。；川坂屋の坂は急勾配となっており、屋台の扱いには特に慎重になる必要がある。；電子は上から下に流れ、各呼吸鎖複合体でプロトン濃度勾配を形成する。；熱力学的な力とはたとえば、系の温度や圧力の勾配のことである。；座席は全て坂の上方向を向いており、勾配に差し掛かると尻に重さを感じる。；勾配区間用の一般形気動車で、キハ20形の2基エンジン搭載形である。；山越えの勾配区間の途中に位置し、線路・ホームは緩やかに湾曲している。；計算に用いる中央の の値は、初期位置の勾配 を用いてオイラー法で推定する。；当駅で一休みした列車は、さらに険しい矢岳駅への勾配へ挑んでいった。；当駅から隣の八本松駅までは、「瀬野八」と呼ばれる急勾配区間がある。</t>
        </is>
      </c>
      <c r="J2869">
        <f>HYPERLINK("https://www.weblio.jp/content/勾配", "词义详情")</f>
        <v/>
      </c>
      <c r="K2869">
        <f>HYPERLINK("https://yourei.jp/勾配", "查看例句")</f>
        <v/>
      </c>
    </row>
    <row r="2870">
      <c r="A2870" t="inlineStr">
        <is>
          <t>購買</t>
        </is>
      </c>
      <c r="B2870" t="inlineStr">
        <is>
          <t>成功</t>
        </is>
      </c>
      <c r="C2870" t="inlineStr">
        <is>
          <t>読み方：こうばい
［名］(スル)買うこと。買い入れること。「現金で—する」「—意欲」</t>
        </is>
      </c>
      <c r="D2870" t="inlineStr">
        <is>
          <t>購買層(12%)；購買者(8%)；購買意欲(7%)；購買組合(5%)；購買力(2%)</t>
        </is>
      </c>
      <c r="E2870" t="inlineStr">
        <is>
          <t>獲得；取得；購入；買収；買い</t>
        </is>
      </c>
      <c r="F2870" t="inlineStr">
        <is>
          <t>販売購買；主な購買；計画購買；購買会；購買曲線</t>
        </is>
      </c>
      <c r="G2870" t="inlineStr">
        <is>
          <t>購買部；購買力平価；購買行動；購買部門；購買事業</t>
        </is>
      </c>
      <c r="H2870" t="n">
        <v>29</v>
      </c>
      <c r="I2870" t="inlineStr">
        <is>
          <t>中学校用に給食室は存在するが、高校用の購買室は現在運営されていない。；家電メーカーであれば購買・製造・販売などの機能別部門が存在する。；売却された経緯は不明だが、正徳2年に2729両で購買したとされる。；箱を積み上げるだけでは、購買客に何を売っているのか表示できない。；おたくに相当する年齢層を主な購買層に設定していることも大きな特徴である。；昼休憩が始まってまず最初に起こるのが武芸者たちによる購買レースだ。；だから私は第一版の購買者に何もわびる必要はないと信じている。；第1章は数十部しか売れなかったものの購買者のほとんどから好評を得た。；この再編成で作られた組織の中には州購買委員会とバス交通省の創設も含まれていた。；良書一千の単位の購買を獲得できるのはもはや遠い将来ではない。；また入場者数も購買を希望する馬主本人と同伴者1名のみに制限された。；もちろんここに来る前に購買によって、自分の分の昼食は買ってきてある。；つまり、名目的な貨幣額ではなく実質的な購買力こそが重要なはずである。；トルコ側は、2011年ごろから購買のため接触を重ねていたという。；購買者やファンに向けてのサプライズやサービスといった目的で製作される。；性的な刺激を購買欲に結びつけようと必死になる女たちのイメージだ。；購買層視点を大切にして、価格帯ごとに選考を行っている点が特徴。；そして前版の購買者の便宜上これは四折で印刷の上別個に手に入れることが出来る。；本校の校地周辺にはコンビニ等が一切なく、購買が校舎内に設置されていない。；富はかくて、それが購買し得る労働量によっては測定され得ないのである。；共有エリアには玄関・ロビー・食堂・風呂・倉庫・相談室・購買などがある。；常設の購買や食堂はないが、パン販売の購買が昼休みに限り営業している。；日本中央競馬会に特別市場が設定する最低価格の500万円で購買された。；現在は主に電子調達、契約管理、電子購買のソフトウェアを提供している。；RCAの購買担当者に製品がスムーズに流れない工場を見せるわけにはいかない。；月賦購買者に対する信用のレヴェルが、あらゆる記録を破ってしまった。；俺は購買に行く振りをして教室を抜け出すと、こっそりと校舎の裏に向かった。；そんな光景を眺めながら、自分の机に購買で買ってきた三角パンと牛乳を置く。；インターネットを用いた購買が普及すると、このような簡便な方法が標準となった。</t>
        </is>
      </c>
      <c r="J2870">
        <f>HYPERLINK("https://www.weblio.jp/content/購買", "词义详情")</f>
        <v/>
      </c>
      <c r="K2870">
        <f>HYPERLINK("https://yourei.jp/購買", "查看例句")</f>
        <v/>
      </c>
    </row>
    <row r="2871">
      <c r="A2871" t="inlineStr">
        <is>
          <t>後半</t>
        </is>
      </c>
      <c r="B2871" t="inlineStr">
        <is>
          <t>成功</t>
        </is>
      </c>
      <c r="C2871" t="inlineStr">
        <is>
          <t>読み方：こうはん
前後二つに分けた、あとのほうの半分。⇔前半。</t>
        </is>
      </c>
      <c r="D2871" t="inlineStr">
        <is>
          <t>後半戦(6%)；後半以降(2%)；後半部；後半頃；後半生</t>
        </is>
      </c>
      <c r="E2871" t="inlineStr">
        <is>
          <t>後半戦</t>
        </is>
      </c>
      <c r="F2871" t="inlineStr">
        <is>
          <t>番組後半；年代後半；同年後半；物語後半；中期後半</t>
        </is>
      </c>
      <c r="G2871" t="inlineStr">
        <is>
          <t>後半二十分；後半三十五分；後半十五分；後半三十一分；後半二十三分</t>
        </is>
      </c>
      <c r="H2871" t="n">
        <v>29</v>
      </c>
      <c r="I2871" t="inlineStr">
        <is>
          <t>内容の大部分は後半に放送するいくつかの小さなコーナーで占められる。；マーサはその人生の後半に権利を得た奴隷を解放することはできた。；多くの地域で工業化が始まったのは20世紀後半に入ってからだった。；これにより2006年後半以降の携帯電話でL4が使われる事になった。；アメリカが1941年後半に参戦を決めると、フォードもそれに従った。；これは20世紀後半になって開発された産業用モノレールに酷似していた。；後半のアクチノイドの錯体の結合は、イオン性が強いと考えられている。；しかし、前半が毎節違う歌詞で、後半は全節同じ歌詞となっているものも多い。；しかし宣王も後半期には政治に倦むようになったために再び衰退する。；これを利用して特に2月後半の河津桜の季節には多くの日帰り客が訪れる。；この裁判には疑問が多いことから、19世紀後半から検証が行われた。；北部では一年の前半で、南部では後半で発生することが多い。；後半戦に入ると、第26節終了時には6位と勝点で並ぶ7位にまで浮上。；前3千年紀後半にはウルと関連する港であり交易の中心であったと見られる。；福留は後半戦開幕から活躍したため制度の悪用との批判があった。；しかし後半の主要防衛線への攻撃は第9師団がP堡塁を占領した以外は失敗。；以降は延長戦も前・後半フルタイム行う旧来の方式に改められている。；チームは前半戦をAクラスで終えていたが、後半戦は4位に終始した。；現在では歌詞が改変されたり、後半部を削除したりする場合が多い。；これと似たような経緯で後半部を削除された童謡に、てるてる坊主がある。；は後半戦調子を上げてきたフェラーリ勢との争いになった。；特に20世紀後半以降は鉄筋コンクリートが主流となり、使用されている。；また、絵画は14世紀の後半から芸術において主導的な立場へ昇華した。；また、守備でも後半になるにつれ精彩を欠くプレーが目立つようになる。；各ステージは前半と後半のエリアに分かれており、両者の間には大陸の無い空間が広がっている。；この館は、おそらく16世紀後半に四壁の塔の基礎上に建設された。；また十代の後半は小説家にも憧れ、その頃から断続的に文学活動もしていた。；操作可能な最初のEMACSシステムは1976年後半に姿を現した。；ベリサリウスは544年後半に戻されたが、十分な兵力は持たなかった。</t>
        </is>
      </c>
      <c r="J2871">
        <f>HYPERLINK("https://www.weblio.jp/content/後半", "词义详情")</f>
        <v/>
      </c>
      <c r="K2871">
        <f>HYPERLINK("https://yourei.jp/後半", "查看例句")</f>
        <v/>
      </c>
    </row>
    <row r="2872">
      <c r="A2872" t="inlineStr">
        <is>
          <t>交番</t>
        </is>
      </c>
      <c r="B2872" t="inlineStr">
        <is>
          <t>成功</t>
        </is>
      </c>
      <c r="C2872" t="inlineStr">
        <is>
          <t>読み方：こうばん
［名］(スル)
１交替で番に当たること。また、役割・位置などが入れ替わること。「世代—」
２警察署の下部機構で、町の要所に設けられた警察官の詰め所。平成6年（1994）の警察法改正で派出所の正式名称となる。交番所。ポリスボックス。PB。
３電流などが、大きさと方向を、周期的に規則正しく変えること。「—現象」「—磁界」</t>
        </is>
      </c>
      <c r="D2872" t="inlineStr">
        <is>
          <t>交番前(3%)；交番勤務(3%)；交番所；交番順序；交番付近</t>
        </is>
      </c>
      <c r="F2872" t="inlineStr">
        <is>
          <t>北橋交番；空き交番；主要交番；北口交番；歌舞伎町交番</t>
        </is>
      </c>
      <c r="G2872" t="inlineStr">
        <is>
          <t>交番相談員；交番磁界；交番電流</t>
        </is>
      </c>
      <c r="H2872" t="n">
        <v>29</v>
      </c>
      <c r="I2872" t="inlineStr">
        <is>
          <t>確かに交番の役割は、犯人の逮捕というよりもむしろ地域の支援である。；と云つて亭主と相談して交番へ届けるなり何んなりする事も出来ません。；事故があったのは、交番の人がうちを訪ねてきた日だったと記憶している。；見るとその交番の手前になった建物の前に人がたくさん立っていた。；希美の住むマンションからいちばん近い交番まででもだいぶ距離がある。；あたしがその着物を着て歩いてたら、一丁目の交番で呼びとめられたのよ。；幸い彼の意志が通じて、少年はすぐ様附近の交番へ駈けつけてくれた。；近くの交番にかけつけて、このことを知らせるほかはないと思いました。；交番の前で車をとめたりしなかったら、あんたをどうする気も俺にはないんだ。；評判はあまり良くないらしく、近隣の交番からは目の仇にされている。；街角に地図が設置してあったので、もっとも近い場所にある交番を探した。；その後は交番勤務を見下す姿勢を改め、毎年南部の墓参りに行っている。；交番ごとに把握して、日頃から連絡を密にする必要があると思うけどな。；以上の交番は、それぞれ上空から見るとトランプのマークになっている。；地図を見て更に混乱してしまった僕は、ひとまず交番で訊いてみる事にした。；交番の方から、悲鳴のような叫び声が聞こえてきた、というものだった。；朔郎の話に錯乱した夜、わたしは心をきめて近くの交番へ自首して出た。；しかし、交番がその連絡所だなどというのは、真赤な嘘に決まっている。；大学内にある駐車場には交番があり、駐車場のパトロールにあたっている。；情報表示システムに交番勤務員等の位置情報等の表示が可能である。；あの交番の時計がきっかり七時になったら、一二一二って歩いてくるのよ。；警官は私等二人の簡単な陳述を聞いているうちに、交番に電話がかかって来た。；普通のマンションと変わっている点といえば建物の一角に交番があることである。；国道には、お巡りさんが、交番の中から、じっと夜の番をしていました。；私は新宿駅の西口地下広場にある交番前を待ち合わせの場所に指定した。；ここの交番で、ちょっと、最近の情報をきいてみようと思ったのだ。；しばらくして、別の所で働くことになったとユミが別れの挨拶に交番を訪れた。；三人で初から気に掛けているのは、無縁坂下の四辻にある交番である。；まもなく東京に入つて街の交番の前で彼は以前と同じやうに警官に呼び止められた。</t>
        </is>
      </c>
      <c r="J2872">
        <f>HYPERLINK("https://www.weblio.jp/content/交番", "词义详情")</f>
        <v/>
      </c>
      <c r="K2872">
        <f>HYPERLINK("https://yourei.jp/交番", "查看例句")</f>
        <v/>
      </c>
    </row>
    <row r="2873">
      <c r="A2873" t="inlineStr">
        <is>
          <t>合否</t>
        </is>
      </c>
      <c r="B2873" t="inlineStr">
        <is>
          <t>成功</t>
        </is>
      </c>
      <c r="C2873" t="inlineStr">
        <is>
          <t>読み方：ごうひ
合格と不合格。また、合格か不合格かということ。「—の判定」</t>
        </is>
      </c>
      <c r="D2873" t="inlineStr">
        <is>
          <t>合否判定(20%)；合否通知(3%)；合否結果(3%)；合否発表(2%)；合否基準</t>
        </is>
      </c>
      <c r="H2873" t="n">
        <v>29</v>
      </c>
      <c r="I2873" t="inlineStr">
        <is>
          <t>お互ひに味気ない思ひをさせ合ひ、気を腐らせられてゐるのであります。；あんな娘が居るだけでも、明神下へ來る張合ひが又一つふえたわけです。；彼女は勿論夫が会社の連中と折合ひの悪くなることをひどく恐れてゐたのである。；事が、白木さんに御挨拶をしなきやならない筋合ひではございません。；が、人々はそんな風に語り合ひはしてゐたけれど、何物も變らなかつた。；そこには政府の有力者も立ち会い、自分が推薦した者の合否を確認していた。；女の頬と男の頬が、お互ひに吸ひ寄せられたやうに、ピタリと合ひます。；日本では筆記試験の結果で合否が決まるがアメリカでは入学試験はない。；こんな張合ひのない男の心を一々推測してはゐられないのである。；しかし少くとも部落の六人だけは互に寄り合ひ助け合つてゐると思へた。；私は頃合ひを見て、自分の席の真向うにゐる宮本和吉君に盃をさした。；國民のあらゆる方面がかういふ風に、クラブでの話し合ひ式にやつてゆく。；まあそんな罪のなすり合ひを今更はじめたところで仕方がありません。；トイレは階段裏になつてゐて彼らの横合ひを通らなくとも、行けた。；試験の合否の発表を待つ数週間、美由紀の心は沈んでいく一方だった。；家同志の話し合ひも、すべてそれからのことにしたいと言つてゐる。；出来合ひを買はうか、古い馴染の蒲団屋に作らせようかなどと思つてゐた。；さういふ手合ひに彼の執筆中の嚴肅な心構へが解りつこないからである。；平賀はまるで試験の合否の発表を待つ受験生のように八時を待った。；老人 どこまでのつき合ひができるか、お前さへ承知なら、行かう。；試験結果と受験合否は連動しているもの、必ずしも一致するとは限らない。；マシンビジョンシステムの一般的な出力は、何らかの判定の合否である。；其が尚他の要素を含んで、あくたいの懸け合ひが生れて来たのであらう。；なに、前から知合ひの仲ですから、高い権利金なんぞ取りやあしません。；そのエエド氏がある時知り合ひの結婚式に饗ばれて列席した事があつた。；リハーサル試験では合否判定は行わず試験結果は得点のみ表示した。；見合ひの写真なんてものも、次から次と見せられると、なんだか変な気がしますね。；いきなり両手を取り合ひ、胸と胸とが触れるほどに二人はからだを近づけた。；試験の一発勝負ではなく過去数年に渡る平均成績によって合否判定される。</t>
        </is>
      </c>
      <c r="J2873">
        <f>HYPERLINK("https://www.weblio.jp/content/合否", "词义详情")</f>
        <v/>
      </c>
      <c r="K2873">
        <f>HYPERLINK("https://yourei.jp/合否", "查看例句")</f>
        <v/>
      </c>
    </row>
    <row r="2874">
      <c r="A2874" t="inlineStr">
        <is>
          <t>公表</t>
        </is>
      </c>
      <c r="B2874" t="inlineStr">
        <is>
          <t>成功</t>
        </is>
      </c>
      <c r="C2874" t="inlineStr">
        <is>
          <t>読み方：こうひょう
［名］(スル)公的機関や企業などが、正式な情報として世間に発表すること。「—をはばかる」「選挙結果を—する」</t>
        </is>
      </c>
      <c r="D2874" t="inlineStr">
        <is>
          <t>公表する(9%)；公表される(4%)；公表しよ；公表すれ；公表されれ</t>
        </is>
      </c>
      <c r="E2874" t="inlineStr">
        <is>
          <t>発表；掲載；記載；触れ；宣言</t>
        </is>
      </c>
      <c r="F2874" t="inlineStr">
        <is>
          <t>一切公表；毎年公表；広く公表；小惑星回報で公表；事前公表</t>
        </is>
      </c>
      <c r="H2874" t="n">
        <v>29</v>
      </c>
      <c r="I2874" t="inlineStr">
        <is>
          <t>公表こそされなかったものの、WWWの概念の基礎となるものであった。；それらの論文の一部が初めて公表されたのは1839年のことだった。；全国集計の基礎となる県や市町村レベルの値も、一部で公表されている。；そして1918年に今日知られている区分とほぼ同じ区分を公表した。；公表している実績に以下のようなケースが含まれている可能性は否定できない。；ボッタはこの事件を公表しなかったが、後に彼の2人の友人が公表した。；彼は診断結果を公表し、他の男性に前立腺検査を受けるように希望した。；現在まで続く天道教青友党の公表される歴史は、事実上ここから始まる。；処分は10月26日付で行われていたが、テレビ朝日は公表しなかった。；彼はその設計を公表したため、世界各国でそれに基づいた機械が作られた。；この有名な15条は明治42年当時の新聞で広く日本や世界に公表された。；赤軍がコルチャークの処刑を公表したのは3月7日になってからだった。；この作戦の詳細は一切公表されていないため謎に包まれている。；結婚した際はそれを公表していなかったが、妊娠を機に公表した旨も語った。；またこれを受けて数学者もさらに高速な行列乗算プログラムを公表した。；癌公表前の第3シリーズ出演中の時点で次シリーズの出演意思はなかった。；後に行われた発表では残骸も公表されて、事件はすぐに忘れ去られた。；私生活では、2004年に皮膚科の医師と結婚したことを公表している。；この婚儀が公表されると、イギリスとスペインの両国で議論が沸騰した。；また「実際の感染規模は政府公表の数百倍を超える」とする専門家もいる。；なお、日本で踊られている海外の踊りは3500曲と公表されている。；シャネル社は声明を発表し、その一部は複数のメディアで公表された。；Borexinoの測定値と組み合わせた結果が2011年に公表された。；安全上の観点から詳細が公表されていないものもある。；しかも、カビ発生の事実が公表されたのはそれから2年も後のことであった。；同条約は、ポーツマス条約後の同年9月27日に両国で公表されている。；同時に、県・市町は貴志川線を下記の内容で支援することを公表した。；大学で彼は小説に興味を持ち、18歳の時最初の作品を公表した。；そのようなテストは事前に公表されなければならない。</t>
        </is>
      </c>
      <c r="J2874">
        <f>HYPERLINK("https://www.weblio.jp/content/公表", "词义详情")</f>
        <v/>
      </c>
      <c r="K2874">
        <f>HYPERLINK("https://yourei.jp/公表", "查看例句")</f>
        <v/>
      </c>
    </row>
    <row r="2875">
      <c r="A2875" t="inlineStr">
        <is>
          <t>好評</t>
        </is>
      </c>
      <c r="B2875" t="inlineStr">
        <is>
          <t>成功</t>
        </is>
      </c>
      <c r="C2875" t="inlineStr">
        <is>
          <t>読み方：こうひょう
［名・形動］評判のよいこと。また、そのさま。「世間の—を博する」「—な番組」⇔悪評／不評。
[派生]こうひょうさ［名］</t>
        </is>
      </c>
      <c r="D2875" t="inlineStr">
        <is>
          <t>好評ぶり；好評を受けて制作；好評企画；好評裡</t>
        </is>
      </c>
      <c r="E2875" t="inlineStr">
        <is>
          <t>人気；流行；評判；人望；英名</t>
        </is>
      </c>
      <c r="F2875" t="inlineStr">
        <is>
          <t>ところ好評；大変好評；大変な好評；演じて好評；毎回好評</t>
        </is>
      </c>
      <c r="H2875" t="n">
        <v>29</v>
      </c>
      <c r="I2875" t="inlineStr">
        <is>
          <t>これらの作品は当時すこぶる好評で、当時の曲集によく掲載されている。；このキャラクターは好評を得ており、やがて当社の顔となって定着した。；当初は全26話の予定で作られたが、好評のため48話まで延長された。；好評を博した作品はシリーズ化されたり、続編が制作される事もあった。；この本は好評で、ネイピアの死後も版を重ね 21 版まで出版された。；日本や中国でも好評だったが、韓国では特に爆発的な人気を呼んだ。；この公演が好評を博したことから、全幕蘇演に向けた準備が開始された。；戦中戦後にテスト飛行したアメリカ軍のパイロットには好評であった。；FBI捜査官の間でも好評を博し、後に同社のM13が正式採用された。；好評を得たドラマであり、初期の女性飛行士たちにも注目が集まった。；学校の先生になったものの日常生活でもすぐに死ぬことで好評を博した。；好評であったため、当初、半年の放送予定が翌年の9月まで延長された。；こうした場で彼らは主に当時の流行音楽を演奏し、おおむね好評を得ていた。；しかしその歌詞は好評で、他の様々な曲の歌詞のモデルとなった。；この好評を受け、シリーズは以後3年間製作公開されることとなった。；イギリスでは、2007年から玩具展開が行われ、好評を得たとされる。；こちらも好評でシリーズ化し、戯画を代表するブランドとなっている。；好評だったが、2001年1月号をもって23年間の歴史に幕を閉じた。；この本は非常な好評をもって受け入れられ、最初の一年で21刷を重ねた。；過去に放送して好評だったネタを再度使っている場合が多かった。；オリジナルより動きを付けたメロディが好評でシングルにもなった。；前年度の運転が好評だったため2009年は運転区間を拡大して設定された。；ファンから好評を得るほどの人気となったが、榊原は複雑に感じていたという。；このラジオドラマが好評であったため、そのままラジオ番組へとなった。；その後の著書も好評で一般向け科学書ではトップクラスの評価を得る。；一方で開発部門を中心とする若い社員には好評であり、西角は改造を拒否した。；その傍ら、ユダヤ人の生活に取材した小説や戯曲を書き好評を博した。；概して好評な場合が多く、新聞やテレビでは好意的に扱われる活動である。；好評であったために2011年以降も継続して開催されている。</t>
        </is>
      </c>
      <c r="J2875">
        <f>HYPERLINK("https://www.weblio.jp/content/好評", "词义详情")</f>
        <v/>
      </c>
      <c r="K2875">
        <f>HYPERLINK("https://yourei.jp/好評", "查看例句")</f>
        <v/>
      </c>
    </row>
    <row r="2876">
      <c r="A2876" t="inlineStr">
        <is>
          <t>交付</t>
        </is>
      </c>
      <c r="B2876" t="inlineStr">
        <is>
          <t>成功</t>
        </is>
      </c>
      <c r="C2876" t="inlineStr">
        <is>
          <t>読み方：こうふ
［名］(スル)役所や機関などが、一定の手続きをふんだ人に金銭を供与したり書類などを発行したりすること。「証明書を—する」</t>
        </is>
      </c>
      <c r="D2876" t="inlineStr">
        <is>
          <t>交付される(14%)；交付する(10%)；交付金(3%)；交付団体；交付申請</t>
        </is>
      </c>
      <c r="E2876" t="inlineStr">
        <is>
          <t>提供；与える；供給；利益；上り</t>
        </is>
      </c>
      <c r="F2876" t="inlineStr">
        <is>
          <t>不交付；免許交付；補助金交付；辞令交付；即日交付</t>
        </is>
      </c>
      <c r="G2876" t="inlineStr">
        <is>
          <t>交付税；交付税及び譲与税配付金特別会計；交付国債；交付記録郵便</t>
        </is>
      </c>
      <c r="H2876" t="n">
        <v>29</v>
      </c>
      <c r="I2876" t="inlineStr">
        <is>
          <t>政府交付金を主な収入源としているが、コマーシャルが認められている。；本人以外が再交付を受けることはできないので注意が必要である。；こうした場合には、本人の希望があれば新しい写真で再交付される。；任命された者には司法警察員であることを証明する特別の証票が交付される。；またこの年もスタジアム問題を解決できずJ2ライセンスの交付となった。；中国では、循環経済の促進のために、新たに循環経済促進法を交付した。；そのためライセンス交付が許可されたテキサス州での開催となった。；免許を受けるには、試験合格のほかに免許交付要件を満たす必要がある。；交付を受けたい者は、市役所の市民生活部納税課で受けることができる。；営業許可証交付の日から6か月以内に営業を開始しなければならない。；車検証の住所が本市にある自動車には、尾張小牧ナンバーが交付される。；誤記訂正の変更が反映されるのは以後交付される文書からとなる。；交付された各々の会社が地域ごとの放送運営を行っている。；この検査に合格すると、移動式の物については検査証が交付される。；これとは異なり、主人側にて書類を起案・交付するケースもある。；登録ができない以上、宅地建物取引士証が交付されることも当然ない。；交付を受けた者は当該作業を行う場合はその修了証を携帯しなければならない。；これらの防音工事に伴って整備した空調設備の維持にも補助金を交付している。；政党交付金とは、政党の活動を助成する目的で国庫から交付される資金。；ただし障害のある箇所が膝以外に認められなかったため、実際に手帳の交付はされなかった。；接種を受けた者には証明書が交付され、記録は内務省衛生局に報告された。；パリ市のわずかな交付金で運営されているが、この博物館はNPO法人である。；再交付の場合の催告は旧抵当証券の裏書人に対してもしなければならない。；しかし、近年では電源立地地域対策交付金をもとに新車の導入が進んでいる。；特定の収税と免許料から集められる歳入の一部は州内の自治体に交付される。；交付されていない場合で在学証明が必要なときは学校の名札で代用することが多かった。；この制度の申請時にこの手帳が交付されている者は医師の診断書が不要であった。；受託会員については、自己と委託を区分して差金の徴収及び交付を行う。；また2007年8月1日から従来のそれとは交付基準に変更が生じているので注意が必要である。</t>
        </is>
      </c>
      <c r="J2876">
        <f>HYPERLINK("https://www.weblio.jp/content/交付", "词义详情")</f>
        <v/>
      </c>
      <c r="K2876">
        <f>HYPERLINK("https://yourei.jp/交付", "查看例句")</f>
        <v/>
      </c>
    </row>
    <row r="2877">
      <c r="A2877" t="inlineStr">
        <is>
          <t>降伏</t>
        </is>
      </c>
      <c r="B2877" t="inlineStr">
        <is>
          <t>成功</t>
        </is>
      </c>
      <c r="C2877" t="inlineStr">
        <is>
          <t>読み方：こうふく
［名］(スル)戦いに負けたことを認めて、相手に従うこと。降参。「無条件—」
[補説] 「ごうぶく」と読めば別語。</t>
        </is>
      </c>
      <c r="D2877" t="inlineStr">
        <is>
          <t>降伏する(9%)；降伏後(4%)；降伏勧告(2%)；降伏条件；降伏しよ</t>
        </is>
      </c>
      <c r="E2877" t="inlineStr">
        <is>
          <t>観念；下る；降る；服従；投降</t>
        </is>
      </c>
      <c r="F2877" t="inlineStr">
        <is>
          <t>全面降伏；フランス降伏；第二次世界大戦降伏；受けて降伏；無条件降伏</t>
        </is>
      </c>
      <c r="G2877" t="inlineStr">
        <is>
          <t>降伏点；降伏応力；降伏の儀式；降伏強さ</t>
        </is>
      </c>
      <c r="H2877" t="n">
        <v>29</v>
      </c>
      <c r="I2877" t="inlineStr">
        <is>
          <t>単独で降伏した者は少なく、大部隊が一度に降伏することが多かった。；また仏が毒龍を降伏させたり盲竜を治癒させるなどの多くの説話がある。；この事件は、北条家に降伏を決意させることとなったといわれている。；援軍もなく、希望のない抵抗を行った包囲の後、レンヌの町は降伏した。；当初は兵士の降伏を許さず、投降した兵を皆殺しにして見せしめとした。；ただ降伏も戦死もしないと口にしていた中島だけは今以て行方が知れない。；その後8月15日に日本が降伏したことで第二次世界大戦が終結した。；ユダヤ人たちはそこで日本が降伏する1945年まで過ごすことになった。；第一次世界大戦では約800万人が降伏して捕虜収容所に収容された。；しかし、ソビエトはドイツ降伏後に極秘に対日戦の準備を進めていた。；同盟諸藩で最後まで抵抗した庄内藩が降伏したのはその2日後である。；氐族の王の千万は馬超の元に逃亡し、その部下たちは夏侯淵に降伏した。；これを受けて孫権陣営では曹操に降伏するか抵抗するかで論争が起きた。；戦う力を失った地球は降伏か死かの選択を要求される。；街には敵が殺到し、包囲された将軍は敗戦を認めて8月30日に降伏した。；第二次世界大戦が始まり1940年にフランスがドイツに降伏する。；壱岐島の日本軍は降伏を願い出たが、後になって元軍に攻撃を仕掛けてきた。；ビッグ・フットはそれ以上の争いを避けるために白旗を掲げて降伏を告げた。；降伏に際しても同盟としての降伏は行われず、各藩が個々に降伏している。；ところが、日本軍が占領してみると降伏兵は全くいなかった。；多くの人が戦いをやめ、降伏する準備ができているとした。；降伏とは、金属材料などに応力を加えていくと現れる現象である。；例えばペルージャは税の支払いを拒否して教皇の軍隊に包囲され、降伏。；等価応力は材料の降伏する条件に応じて以下のようなものがある。；最も危険なのは降伏の瞬間であり、降伏の意を示した兵士が射殺されることもあった。；その後の1683年には鄭氏政権が降伏し、国内の反清勢力は一掃された。；この攻城戦の最中に朝廷より、降伏するようにとの命が下った。；しかし、天正3年に信長軍の攻撃を受け、4月21日高屋城は降伏した。；さらに戦いの中で降伏したキリスト教系騎士らを再登用して軍に組み込むことも行った。</t>
        </is>
      </c>
      <c r="J2877">
        <f>HYPERLINK("https://www.weblio.jp/content/降伏", "词义详情")</f>
        <v/>
      </c>
      <c r="K2877">
        <f>HYPERLINK("https://yourei.jp/降伏", "查看例句")</f>
        <v/>
      </c>
    </row>
    <row r="2878">
      <c r="A2878" t="inlineStr">
        <is>
          <t>幸福</t>
        </is>
      </c>
      <c r="B2878" t="inlineStr">
        <is>
          <t>成功</t>
        </is>
      </c>
      <c r="C2878" t="inlineStr">
        <is>
          <t>読み方：こうふく
［名・形動］満ち足りていること。不平や不満がなく、たのしいこと。また、そのさま。しあわせ。「—を祈る」「—な人生」「—に暮らす」
[派生]こうふくさ［名］</t>
        </is>
      </c>
      <c r="D2878" t="inlineStr">
        <is>
          <t>幸福そう(3%)；幸福な家庭；幸福な結婚；幸福な気分；幸福な人間</t>
        </is>
      </c>
      <c r="E2878" t="inlineStr">
        <is>
          <t>明るい；元気；幸せ；幸い；楽しい</t>
        </is>
      </c>
      <c r="F2878" t="inlineStr">
        <is>
          <t>一番幸福；いちばん幸福；あらゆる幸福；幸福なるかな；幸福な結末</t>
        </is>
      </c>
      <c r="G2878" t="inlineStr">
        <is>
          <t>幸福の科学；幸福な生活；幸福度；幸福論；幸福追求</t>
        </is>
      </c>
      <c r="H2878" t="n">
        <v>29</v>
      </c>
      <c r="I2878" t="inlineStr">
        <is>
          <t>そのカルテには、ヤンの生涯でもっとも幸福だった日々が記されていた。；公爵夫妻は完全な政略結婚だったにもかかわらず、幸福な家庭を築いた。；幸福や不幸になれてしまって、幸福感や不幸感が無くなる現象をと呼ぶ。；姉妹は他の家族と一緒の生活を開始したが、幸福は得られなかった。；夫婦にはかなり年齢差があったが、この結婚は幸福なものであった。；そのような日常、暮らしの中で本当の幸福を探しながら描いていったドラマ。；「嘘をつかないこと」は幸福になるための都合の良い手段にすぎない。；娘の姉たちは嫉妬の色を隠せないでいるが、一家は娘の幸福を喜び合う。；この結婚は20歳以上の年齢差があったが幸福なものであったといわれている。；その対極にあるものは、繁栄と幸福は神の祝福であるとする見解である。；自分が得ることのできなかった幸福を手にしている妹を、女は嫉妬していた。；イェヌーファはラツァの愛を受け入れ、将来の幸福を思う中で幕となる。；彼の詩の多くが、彼女への愛・彼女との幸福を歌ったものである。；本人によれば、彼の最も基本的な関心は「人を幸福にすること」にあった。；幸福主義とは倫理の目的が幸福を得ることにあるとする思想上の立場。；木を美しく描かず、葉に幸福を表さず、それらは緻密でも数多くもない。；二人は隠れ家で愛に満ちた二人だけの生活を送り、葉子は幸福を感じる。；本当の幸福を得るためには、クリシュナを愛するほかない、としている。；手に汗握る展開の中、真の幸福とは何かを問うエンターテイメント作品。；夢からさめた後、森や家の中が以前よりも幸福であるように見える。；彼は人間は幸福のために生まれてきた存在であることを実感として悟った。；幸福な異性愛関係を築けない「男の閉じた世界」がしばしば題材となる。；したがって、不幸を知らぬ幸福な内に死ぬことが良しとされていた。；「飼育動物の幸福な暮らし」を掲げて動物福祉の向上に力を入れている。；こうしたことから幸福銀は地域別に分割して譲渡されるとの観測が広がった。；チャンドラーは後にこのころについて幸福ではなかったと述べている。；インタビューで「易は自分の幸福のためにはじめたんです」と述べている。；数千人の幸福と喜びは、一人の人間の苦痛を補うことまではできない。；夫妻の結婚生活は新婚の時期を過ぎると、幸福なものとは言えなくなった。</t>
        </is>
      </c>
      <c r="J2878">
        <f>HYPERLINK("https://www.weblio.jp/content/幸福", "词义详情")</f>
        <v/>
      </c>
      <c r="K2878">
        <f>HYPERLINK("https://yourei.jp/幸福", "查看例句")</f>
        <v/>
      </c>
    </row>
    <row r="2879">
      <c r="A2879" t="inlineStr">
        <is>
          <t>好物</t>
        </is>
      </c>
      <c r="B2879" t="inlineStr">
        <is>
          <t>成功</t>
        </is>
      </c>
      <c r="C2879" t="inlineStr">
        <is>
          <t>読み方：こうぶつ
すきな飲食物。また一般に、すきな物や事柄。「酒が大の—だ」</t>
        </is>
      </c>
      <c r="D2879" t="inlineStr">
        <is>
          <t>大好き；大好物；好餌</t>
        </is>
      </c>
      <c r="H2879" t="n">
        <v>29</v>
      </c>
      <c r="I2879" t="inlineStr">
        <is>
          <t>名古屋に遠征で来た際はひつまぶしを必ず食べるというほどの好物である。；あれの賞讃を聞くのがわしにはなにより楽しみでな、 一番の好物だよ。；人間が虫の好く好物を食べても食べても食べ飽きた気持がしたことはない。；しかし最後に幼いルーが食べていた麦芽エキスが好物だったと判明する。；尾道出身の石堂のところにはときどき郷里から好物の魚が送られてくる。；主要な登場人物は全員とも香川県の特産であるうどんを好物としている。；キャラクターに好物を設定して個性を演出するのはその一例である。；いくら好物でも百個は食べられそうもなく、隣近所におすそわけした。；彼女の母親がよく買ってきては料理してくれ、キジなど大好物だったそうだ。；この作にはその私の二つの好物が混りあっているように思われる。；だから、たいの白子なぞは、公の好物にちがいないと想像するのである。；コラッタやラッタが好物だが、活動時間が異なるためありつけていない。；ウィスキーは好物でなかったが、それを飲んで、苦痛を忘れようとした。；死因は好物の酒を長年に渡り摂取した結果の糖尿病であったとされる。；お上のお咎めを受けることが出来たら一生好物の煙草を断ちますってね。；また、選手データを見ることで、選手の性格や好物などを知ることができる。；宇宙での旅で腹をすかしていて何でも食べるが、特に人間の子供が好物らしい。；各地の地酒と田舎料理を中心とした和食が、児玉の好物なのは知っていた。；どちらも大学生になってから初めて食べて、それ以来の好物だと彼は説明した。；老人の好物をわきまえ、それを一通り、おぼえるまでに一年もかかった。；これは別の友人だが、この人はどちらかといえば酒よりも甘いものが好物である。；達三は翔子の好物だと知っていてこのグズベリーを摘んだにちがいない。；彼の好物を覚えたきわが朝市まで出かけて買い出してきたのである。；また、自分の趣味や好物、育った地域がモチーフになった歌詞も多い。；焼けただれた人間の肉体を見たゆえに、好物の肉を断ったというだけではない。；宇宙金属メタモニウムが好物で、殺しを引き受ける時の依頼品としている。；好物と大好物を設定された、贈り物をあげることができる武将も多い。；とりわけ好物なものはイクラであり、嫌いな食べ物は基本的に無いと言う。；彼女は生物に好物のゆで卵を提供し、手話を教えて意思の疎通をはかる。</t>
        </is>
      </c>
      <c r="J2879">
        <f>HYPERLINK("https://www.weblio.jp/content/好物", "词义详情")</f>
        <v/>
      </c>
      <c r="K2879">
        <f>HYPERLINK("https://yourei.jp/好物", "查看例句")</f>
        <v/>
      </c>
    </row>
    <row r="2880">
      <c r="A2880" t="inlineStr">
        <is>
          <t>鉱物</t>
        </is>
      </c>
      <c r="B2880" t="inlineStr">
        <is>
          <t>成功</t>
        </is>
      </c>
      <c r="C2880" t="inlineStr">
        <is>
          <t>読み方：こうぶつ
地殻中に存在する無生物で、均質な固体物質。一定の物理的・化学的性質をもち、大部分は結晶質の無機物。</t>
        </is>
      </c>
      <c r="D2880" t="inlineStr">
        <is>
          <t>鉱物標本；鉱物性；鉱物名；鉱物種；鉱物組成</t>
        </is>
      </c>
      <c r="E2880" t="inlineStr">
        <is>
          <t>ミネラル</t>
        </is>
      </c>
      <c r="F2880" t="inlineStr">
        <is>
          <t>天然鉱物；金属鉱物；希少な鉱物；含まれる鉱物；構成鉱物</t>
        </is>
      </c>
      <c r="G2880" t="inlineStr">
        <is>
          <t>鉱物学；鉱物学者；鉱物油；鉱物採集；鉱物科学研究所</t>
        </is>
      </c>
      <c r="H2880" t="n">
        <v>29</v>
      </c>
      <c r="I2880" t="inlineStr">
        <is>
          <t>鉱物や岩石の人工的な製造などの実験的な実験を続けたことで知られる。；この村は、交易のための鉱物の集散地、また取引のための市場となった。；特にアメリカの鉱物収集家のあいだでは3本指に入る人気があるとされる。；同じ鉱物であっても微量成分の違いによって異なる色を示すことがある。；このような様々な鉱物と石油が貨物輸送では重要な地位を占めている。；そのような中で肥料鉱物調査所と塩業調査所の廃止が決定された。；これらの鉱物は、形成する温度圧力条件が決まっているものが多い。；鉱業権とは、鉱物を探鉱・開発・生産し、生産物を取得・処分する権利。；鉱物を栄養源とし、生物同様に成長・脱皮する度に戦闘能力が強化される。；鉱物の粒度が大きくなり縞状の構造が顕著になったものを片麻岩という。；森の中の四角い形とキツネの顔は、豊かな鉱物資源と毛皮を示している。；その後、多くの鉱物が融剤としての効果を認められ、現在に至っている。；また、非常に少数であるが、結晶構造の存在しない非晶質の鉱物がある。；この外郭は、衝突の際に積もった鉱物からできていると見られている。；一般的に色や反射率の違いは、表面にある鉱物の違いで説明される。；植物由来のものだけでなく動物や鉱物から得られるものを含めることもある。；博物館の中心は、鉱物・動物・植物で作られた医薬品コレクションである。；これに対して、他の鉱物に邪魔をされて自由に成長できなかった場合を他形という。；初期の産業は鉱物の掘削と加工、及び農業生産品を基礎にしていた。；南鳥島でのグアノ発見後、肥料鉱物調査所は南鳥島で調査を行っていた。；鉱物間のこの差は、平衡温度を推定するのに用いることができる。；そして人間だけでなく、動物や植物、鉱物にまで拡大して用いられることがある。；主な材料はウールであり、植物や鉱物の染料を使って染色されている。；事故が起きたのは、鉱山から鉱物を掘った後に出る鉱滓が原因だった。；それらは同博物館の重要な鉱物・宝石コレクションの一部となった。；イットリウムやガドリニウムを含む鉱物と一緒に見られることが多い。；ラピスラズリに様々な鉱物が混じり合っているのはこのためである。；他の希土類に比べて広い範囲の鉱物に見られるわけではない。；この地層には、を受けた鉱物が含まれていたり、が観察されたりすることがある。</t>
        </is>
      </c>
      <c r="J2880">
        <f>HYPERLINK("https://www.weblio.jp/content/鉱物", "词义详情")</f>
        <v/>
      </c>
      <c r="K2880">
        <f>HYPERLINK("https://yourei.jp/鉱物", "查看例句")</f>
        <v/>
      </c>
    </row>
    <row r="2881">
      <c r="A2881" t="inlineStr">
        <is>
          <t>興奮</t>
        </is>
      </c>
      <c r="B2881" t="inlineStr">
        <is>
          <t>成功</t>
        </is>
      </c>
      <c r="C2881" t="inlineStr">
        <is>
          <t>読み方：こうふん
［名］(スル)
１感情が高ぶること。「—を静める」「—して口数が多くなる」「—状態」
２生体またはその器官・組織が、内外の刺激に反応して、休止状態から急速に活動状態になること。特に、神経細胞や筋線維が活動電位を生じること。
３気分が病的に高揚した状態。カフェイン・アルコールの急性中毒や躁病(そうびょう)の患者などに認められる。</t>
        </is>
      </c>
      <c r="D2881" t="inlineStr">
        <is>
          <t>興奮気味；興奮性；興奮状態；興奮しすぎ；興奮作用</t>
        </is>
      </c>
      <c r="E2881" t="inlineStr">
        <is>
          <t>不安；混乱；熱心；刺激；感動</t>
        </is>
      </c>
      <c r="F2881" t="inlineStr">
        <is>
          <t>異常な興奮；異様な興奮；かなり興奮；激しい興奮；軽い興奮</t>
        </is>
      </c>
      <c r="G2881" t="inlineStr">
        <is>
          <t>興奮剤；興奮収縮連関</t>
        </is>
      </c>
      <c r="H2881" t="n">
        <v>29</v>
      </c>
      <c r="I2881" t="inlineStr">
        <is>
          <t>こういったイベント時の興奮は、プレイヤーの努力では避けようがない。；彼の逃げ場となったのは、文学や詩の興奮を教えてくれた祖母であった。；彼はアメリカの北を迂回する北西航路をついに発見したことに興奮する。；町に初めて自動車が入ってきたのがこの時期であり、大きな興奮を呼んだ。；これらの主症状は、末梢神経の過剰興奮に原因があると考えられている。；また、巨人へのトレード移籍が決まった際に父親は大興奮で喜んだという。；人が摂取すると興奮が連続して伝えられ続け神経生理機能に障害を与える。；こうした細胞を興奮させる像は、特定の方向に傾いている必要がある。；僕は少年時代に、いま思い出しても大変興奮する一つの出来事がある。；興奮したり、笑い出したり、密かに恐怖を感じていたこともあっただろう。；とても情熱的な性格をしており、興奮すればするほど角や爪の温度が上がる。；マザリネットたちはその容姿でもパリの人々の間で興奮を呼び起こした。；これら3種類の錐体の興奮の割合の違いを利用して色を区別している。；一定の刺激下におかれた皮膚細胞の興奮は初めは強いものの時間とともに低下する。；クルックは興奮と激しい行動のために気を失ってしまい指揮力を発揮できなかった。；発汗により生じるが、ストレスや不安や興奮や緊張で生じる原因もある。；それほどに興奮させられるのは、このシリーズがテレビ的な良い番組ではないからだ。；だが全員興奮が納まらずジャックのホイッスルの音に耳を貸さなかった。；メスの前では興奮しており、メス以外のものにも交尾をしようとする。；人々はこの事件に興奮し、何としても犯人に報復したいとの思いが募っていた。；一方で興奮性細胞が関与しない疾患では発作性、周期性の症状は示さない。；子供ながらに震えるような興奮があったのを覚えていますね。；ぜひ早く実現したいものだと興奮を感じたことを覚えている。；受賞決定で興奮したのか沢田研二をステージまで引っ張って行った。；また線虫では興奮性の神経伝達物質として機能することも明らかとなった。；警察が来ると興奮するので家には来ないでほしい。；ヘロデは強く興奮し、やがて舞を終えたサロメに何が欲しいかと尋ねる。；そして100mの決勝は歴史に残る興奮したレースとなった。；興奮性の植物の葉のカートの輸出もここから行われている。</t>
        </is>
      </c>
      <c r="J2881">
        <f>HYPERLINK("https://www.weblio.jp/content/興奮", "词义详情")</f>
        <v/>
      </c>
      <c r="K2881">
        <f>HYPERLINK("https://yourei.jp/興奮", "查看例句")</f>
        <v/>
      </c>
    </row>
    <row r="2882">
      <c r="A2882" t="inlineStr">
        <is>
          <t>公平</t>
        </is>
      </c>
      <c r="B2882" t="inlineStr">
        <is>
          <t>成功</t>
        </is>
      </c>
      <c r="C2882" t="inlineStr">
        <is>
          <t>読み方：こうへい
［名・形動］すべてのものを同じように扱うこと。判断や処理などが、かたよっていないこと。また、そのさま。「—を期する」「—な判定」
[派生]こうへいさ［名］
[用法]公平・公正——「商売の利益を公平（公正）に分配する」「評価の公平（公正）を心がける」のように、平等に扱うの意では相通じて用いられる。◇「公平」は「おやつのお菓子を公平に分ける」「公平無私」など、物事を偏らないようにすることに重点があるのに対し、「公正」は「公正な商取引を目指す」のように、不正・ごまかしがないことを主にいう。◇「受験のチャンスは公平に与えられる」では「公平」が適切であり、「行政は常に公正でなくてはならない」では「公正」が適切である。◇類似の語「公明」は「公明選挙」など、多く公的な立場について用いられる。</t>
        </is>
      </c>
      <c r="D2882" t="inlineStr">
        <is>
          <t>公平無私；公平な立場；公平な裁判；公平な判断；公平じゃない</t>
        </is>
      </c>
      <c r="E2882" t="inlineStr">
        <is>
          <t>正しい；冷静；正当；平等；無関心</t>
        </is>
      </c>
      <c r="F2882" t="inlineStr">
        <is>
          <t>実質的公平；公平官；中坊公平；公平かつ公正；公平な裁き</t>
        </is>
      </c>
      <c r="G2882" t="inlineStr">
        <is>
          <t>公平無私；公平委員会；公平な観察者；公平中立；公平審査</t>
        </is>
      </c>
      <c r="H2882" t="n">
        <v>29</v>
      </c>
      <c r="I2882" t="inlineStr">
        <is>
          <t>しかし処分が必ずしも公平であったかどうかは議論のあるところであった。；被害者側で支援活動をしていたのが、当時弁護士だった中坊公平である。；行政運営が公平であるというだけではなく、透明性が必要だと主張した。；公平な申し出であればあるほど、交渉相手が拒否する可能性は低くなる。；この証言は非会徒との関係で正直で公平であることを友会徒に求めてきた。；すでに公平な世人の多くも私の沈黙を誤解しているに相違あるまい。；国民の利益を守り、公正で公平な権利を保障することを目的としている。；これは民主的なシステムの確立と公平な分配を保証する概念でもある。；この結果を基に各チームの力が公平になるように編成された。；あるいは付けたくなくても、公平にするために付ける必要が出てくる。；世界の公平な目をもつジャーナリストを招待していると主張している。；しかし、これらの数値は公平な情報源からではなく、議論の余地がある。；発電と送電とを同じ会社が持っていると、公平に扱うことは難しくなる。；姉さんは、もつと公平な眼で、あたしとお前との間を見てゐてくれる。；カドヴァンは一般に賢明かつ公平な統治者であったと考えられている。；それでも最後にそれをつけられない例を挙げたのは作者の公平な姿勢と言えよう。；鑑定官が二人ゐるな正確と公平を期すためちうことになつとるんやからね。；二人とも近年の著作はスティーブンスを公平に扱っていないと確信していた。；だが、もし公平な選挙が行われるのであれば、出馬する準備はできている。；ゲートはばねの力で開き、すべての出場者を全く公平にスタートさせた。；重みを次のように設定することで、比例して公平な動作を実現できる。；この事から、コネクト6は以下の点で公平であると主張されている。；公平に見て、会社側のいい分には、たしかにもっとも千万のところがある。；従つて何事にも公平な批判をすることは出来ないやうに思はれます。；穂積さんは公平などちらにも偏らずと云う態度であったと思います。；そこには映画監督を目指し上京したものの挫折した公平が潜んでいた。；ハッチンソンは事件の後で現場に行き、公平な裁判が行われることを約束した。；私はスイスに10年以上住んでいるが、ヨーロッパの公平主義を大事にしたい。；しかし、他の者は、彼が公平に評価されていないと考えてきた。</t>
        </is>
      </c>
      <c r="J2882">
        <f>HYPERLINK("https://www.weblio.jp/content/公平", "词义详情")</f>
        <v/>
      </c>
      <c r="K2882">
        <f>HYPERLINK("https://yourei.jp/公平", "查看例句")</f>
        <v/>
      </c>
    </row>
    <row r="2883">
      <c r="A2883" t="inlineStr">
        <is>
          <t>合弁</t>
        </is>
      </c>
      <c r="B2883" t="inlineStr">
        <is>
          <t>成功</t>
        </is>
      </c>
      <c r="C2883" t="inlineStr">
        <is>
          <t>読み方：ごうべん
外国資本と国内資本が提携して共同で事業を経営すること。</t>
        </is>
      </c>
      <c r="D2883" t="inlineStr">
        <is>
          <t>合弁契約(2%)；合弁工場；合弁生産；合弁解消；合弁相手</t>
        </is>
      </c>
      <c r="F2883" t="inlineStr">
        <is>
          <t>現地合弁；合弁子会社；日米合弁；合弁化；合弁出資</t>
        </is>
      </c>
      <c r="G2883" t="inlineStr">
        <is>
          <t>合弁事業；合弁企業；合弁花；合弁花植物亜綱</t>
        </is>
      </c>
      <c r="H2883" t="n">
        <v>29</v>
      </c>
      <c r="I2883" t="inlineStr">
        <is>
          <t>この他、スペインなど各国に自社工場、中国に合弁工場を保有していた。；また海外の各企業との合弁も多く、海外における事業拠点も多数存在する。；なお、合弁元の花王が提供している番組でもCMが放送されることがある。；現在は台北市政府と台北首都客運集団の合弁となっている第三セクター。；話がうまく進んだので、私は当然合弁がなったと思っていた。；その後でトヨタとの合弁工場として再開すれば、政治的効果は絶大です。；またこの会社は、日中合弁で生命保険事業を行う唯一の会社であるとのことである。；また、日本国内の合弁相手に吉野石膏や同社と同根である旭化成がある。；このことも要因となって、アグスタは三美との合弁を解消することになった。；現在は両社合弁の株式会社バーチャルキャストが開発・運営している。；GMは独禁法の存在を承知のうえで合弁生産を考えているのです。；さらにその後数年間で地元の商人や実業家と合弁で複数の油井をそれぞれ開始した。；しかし、後に日本側の部長と会って、合弁が失敗したことを知った。；この時点では、同社では「合弁の枠組みに変化はない」としていた。；および は、近代的な日本の技術・自動設備を用いる日露合弁の木材加工会社である。；自力では目標達成が難しいので、中国企業との合弁経営が急増している。；合弁は当該工場を一時閉鎖しなければならないからである。；現在は過去にトヨタとGMの合弁で設立されたNUMMIの工場で生産されている。；現在はインドに於いて英国企業らと合弁契約を締結し、インド向けトラックの生産を行っている。；シーメンスと合弁で行っているネットワーク機器事業は日本でも続けるとしている。；創造的な自己破壊に向けて今後どんな組み合わせの提携・合弁が飛び出しても不思議ではない。；これ以降、アショック・レイランドは買収や合弁を積極的に展開するようになる。；国内銀行と合弁でロンドンに出した西部銀行も、オイルショックに耐えられずだめになった。；その合弁銀行は資産サイズと重要な製品市場シェアの点でポーランドの主要な銀行である。；日本の自動車メーカーとして初めて、小型トラックの現地合弁生産を開始。；現在は既に日本との合弁を解消している。；しかし同年12月に認可を得られず、ドコモとの合弁は解消された。；さらにアルザスでペック・リンと合弁の肥料工場をつくったばかりだった。；のちに同社はGECASによって残りの株式も買収され、合弁が解消された。</t>
        </is>
      </c>
      <c r="J2883">
        <f>HYPERLINK("https://www.weblio.jp/content/合弁", "词义详情")</f>
        <v/>
      </c>
      <c r="K2883">
        <f>HYPERLINK("https://yourei.jp/合弁", "查看例句")</f>
        <v/>
      </c>
    </row>
    <row r="2884">
      <c r="A2884" t="inlineStr">
        <is>
          <t>候補</t>
        </is>
      </c>
      <c r="B2884" t="inlineStr">
        <is>
          <t>成功</t>
        </is>
      </c>
      <c r="C2884" t="inlineStr">
        <is>
          <t>読み方：こうほ
ある地位や資格などを得るのにふさわしいと、他から認められている人。また、ある選択の対象としてあげられている人や物。「—に上る」「優勝—」</t>
        </is>
      </c>
      <c r="D2884" t="inlineStr">
        <is>
          <t>候補地(5%)；候補者；候補作品；候補委員；候補曲</t>
        </is>
      </c>
      <c r="F2884" t="inlineStr">
        <is>
          <t>大統領候補；候補作；日本代表候補；後継候補；推薦候補</t>
        </is>
      </c>
      <c r="G2884" t="inlineStr">
        <is>
          <t>候補生；候補選手；候補キー；候補者ビル・マッケイ</t>
        </is>
      </c>
      <c r="H2884" t="n">
        <v>29</v>
      </c>
      <c r="I2884" t="inlineStr">
        <is>
          <t>町中の看板のようによく目立ち、よく知られている候補ほど有利である。；大衆迎合的な選挙公約を掲げて他の候補に圧勝し初代大統領に就任する。；ユニット名を決めた時に候補に挙がった他の名前は次の通りである。；副大統領候補の人選は大統領候補とのバランスが意識されることが多い。；候補外であったが選考委員の五木寛之の強い推薦があり受賞に至った。；以下の芸能人も候補にされていたが、実際にオファーが出されたかは不明。；代わりに、アルゴリズムを使用して最も可能性の高い候補を特定する。；その他党派選挙で選ばれる役人候補の指名は別の予備選挙で行われる。；この点がノーベル平和賞の候補時に問題視されたと言われている。；また同時に、SFWAの委員会が候補作を追加する権利を認められた。；次の大統領を選ぶにあたっては三たびその候補者となることさえも固辞した。；メタルギアの声優候補には小山茉美の他にTARAKOが上がっていた。；ほかの話として、候補の動物たちが順番を投票で決められることとなった。；合格した者だけが、博士号候補生として博士課程に残ることを許される。；眼鏡を認められた溥儀が最初に見たものは、お妃候補たちの写真であった。；過去の受賞作と同内容のものが候補となることは異例である。；四つの候補先で広瀬が選ばれたのは、次のような理由があったと言われている。；他に青森を中心に地方議員に推薦を出しており、推薦候補の複数が当選した。；検閲で原稿が不許可となったために放送を行うことを断念した候補もいたとされる。；当初近縁種の も候補にあげられていたが、ブレナーの好みで になったとされる。；ネーダーは今回も党の候補として指名を得られず、無所属で立候補した。；このころになるとルートの候補地となった各地域で様々な鉄道誘致運動が行われるようになる。；名人になった事はないが、史上最強棋士の候補としてあげる声も多い。；ロゴの制定は1958年で、美術系の大学生に呼びかけて候補を募った。；どちらの年も、小差で共和党のジョージ・W・ブッシュ候補を支持した。；密かに有力候補に挙げられていたのは一条実輝公爵の三女・朝子であった。；蔣経国の次の活躍舞台として当初、候補に挙がったのは新疆省であった。；この他、2017年時点で次の都市が将来の交流候補として挙がっている。；第2回放送分で挨拶を決めることになり、リスナーから候補を募った。</t>
        </is>
      </c>
      <c r="J2884">
        <f>HYPERLINK("https://www.weblio.jp/content/候補", "词义详情")</f>
        <v/>
      </c>
      <c r="K2884">
        <f>HYPERLINK("https://yourei.jp/候補", "查看例句")</f>
        <v/>
      </c>
    </row>
    <row r="2885">
      <c r="A2885" t="inlineStr">
        <is>
          <t>公募</t>
        </is>
      </c>
      <c r="B2885" t="inlineStr">
        <is>
          <t>成功</t>
        </is>
      </c>
      <c r="C2885" t="inlineStr">
        <is>
          <t>読み方：こうぼ
［名］(スル)
１広く一般から募集すること。「広告作品を—する」「社員の—」
２広く不特定多数の投資家を対象に、新株または公社債を募集すること。⇔私募。</t>
        </is>
      </c>
      <c r="D2885" t="inlineStr">
        <is>
          <t>公募新人文学賞；公募制；公募新人賞；公募展；公募型</t>
        </is>
      </c>
      <c r="F2885" t="inlineStr">
        <is>
          <t>社内公募；懸賞公募；全国公募；主催する公募；候補者公募</t>
        </is>
      </c>
      <c r="G2885" t="inlineStr">
        <is>
          <t>公募増資；公募型プロポーザル；公募型プロポーザル方式；公募採用；公募隊</t>
        </is>
      </c>
      <c r="H2885" t="n">
        <v>29</v>
      </c>
      <c r="I2885" t="inlineStr">
        <is>
          <t>主に読者から公募された詰将棋の問題と解答・解説から構成されている。；これを受けて神戸市は、次期売却先の公募に向けた準備作業を開始した。；自衛隊勤務未経験の一般国民を対象に公募され、試験を経て採用される。；人気があるのは公募で選ばれた女性が扮する巴御前などの女性陣である。；公募の意見で最も多かったのは人生の成熟を意味する「熟年」であった。；ルート名は公募で命名されたもので、唯一楽曲のタイトルを借用していない。；この愛称は国土交通省の地元ラジオ局を通じた公募によって決定された。；区名は区域を代表する地名がないことから、公募に寄せられた案の中から決定した。；一般に公募が行われており、市報や自治体のウェブサイトで募集をする。；第3回以降は、長編小説を公募し、優秀作品に与えられることになった。；グリーンピア跡地の大半が公募で請負先を決めている中では異例だった。；またこのユニット名はTwitterで公募したことでニュースになり話題に。；基本的に吉田・第2回で公募したアシスタント2人・ゲストで話は進む。；ユニット名は雑誌、web週刊少年サンデーにて一般公募され決定した。；前述の社長の公募は、この事件を受けてのものと見られている。；なお、この話の際視聴者に一般公募したオリジナルコピー能力も登場した。；都市公園法に定める公募設置管理制度に基づく事業の実施が検討されている。；連載中においては主人公の衣装を公募するなどの企画も行われていた。；これは完成前の1995年に売り出した際の公募価格と同額であった。；市民から公募された愛称として、ときわミュージアムが与えられている。；メンバー公募も同時に発表しオーディションの詳細も公開された。；計画当初は100m道路と呼ばれていたが後に公募で平和大通りと正式決定した。；当初から、作曲家を支援するための公募やコンクールを併設している。；なお命名の公募は本来予定されていなかったという。；日本では、吹奏楽編成の曲を公募する作曲コンクールがいくつかある。；毎年オーケストラ作品程度の規模の人数の作品を公募している。；しかしこの名前は、実は厳密な意味での公募作品ではなかったとも伝えられている。；市民公募から採用されたFMちゃおの愛称でコミュニティ放送をしている。；合併対象にある町の住民を対象に一般公募され、その中から選考委員会で決定された。</t>
        </is>
      </c>
      <c r="J2885">
        <f>HYPERLINK("https://www.weblio.jp/content/公募", "词义详情")</f>
        <v/>
      </c>
      <c r="K2885">
        <f>HYPERLINK("https://yourei.jp/公募", "查看例句")</f>
        <v/>
      </c>
    </row>
    <row r="2886">
      <c r="A2886" t="inlineStr">
        <is>
          <t>広報</t>
        </is>
      </c>
      <c r="B2886" t="inlineStr">
        <is>
          <t>成功</t>
        </is>
      </c>
      <c r="C2886" t="inlineStr">
        <is>
          <t>読み方：こうほう
官公庁・企業・各種団体などが、施策や業務内容などを広く一般の人に知らせること。また、その知らせ。「—活動」</t>
        </is>
      </c>
      <c r="D2886" t="inlineStr">
        <is>
          <t>広報部長(5%)；広報紙(4%)；広報課長(2%)；広報宣伝；広報戦略</t>
        </is>
      </c>
      <c r="E2886" t="inlineStr">
        <is>
          <t>情報；報告；案内；報道；ニュース</t>
        </is>
      </c>
      <c r="F2886" t="inlineStr">
        <is>
          <t>広報係；広報室；球団広報；広報誌；広報本部長</t>
        </is>
      </c>
      <c r="G2886" t="inlineStr">
        <is>
          <t>広報誌；広報担当；広報担当者；広報室；広報番組</t>
        </is>
      </c>
      <c r="H2886" t="n">
        <v>29</v>
      </c>
      <c r="I2886" t="inlineStr">
        <is>
          <t>番組タイトルにある様に、内容は青森県からの広報内容を放送している。；単に企業運営だけでなく広報戦略の立場からの学びがあることが特徴である。；宣伝活動を支援してくれる応援し隊・小石台学園広報部を一般から募集。；増田の訃報は日本看護家政紹介事業協会広報誌に小さく紹介されていた。；これは販売広報戦略の違いから設定の変更が行われたためである。；大学の仕事、一般向けの著作活動以外にも技術の普及、広報に力を注いだ。；さらに町の多くの人々は、シュヴァイゲルン市の広報紙でニュースを知る。；その後は引き続き、三菱自動車工業本社の広報と開発部にて勤務している。；その他にもイベントの警備や交通安全運動の広報などに使用されることもある。；これとは別に、電車の接近や広報用の1段表示の案内板も各ホームに設置された。；そのため、広報はままつでは塚は点が入った字で表記されている。；広報官への配属は本人の希望以外にも、素質を見込まれた者も配置される。；また交渉の広報的な影響を重視して外交交渉に臨むこともありうる。；観光路線であることから、同社公式サイトなどで積極的な広報がなされている。；引退後は巨人の球団広報・副寮長を経て現在はファン事業部に在籍している。；この問題に付いてはシトロエン広報では何も公表していない。；ゲームの発売前にどこまで情報を出すか、広報と衝突することもしばしばあった。；以下はいずれも東京支社制作の全国ネット番組で、編成・広報業務を担当。；広報部長である自身がインターネットを使わず電話で取材を受けていることもインターネット導入の遅れの例に出されている。；最後に所属したAVメーカー・KMPの広報部長として活動している。；決定した愛称を広報や観光パンフレットなどに表示するなど、積極的な活用を図る。；視聴者からの問い合わせや苦情などの電話に広報が答えることもある。；その後は本店に移り、大手法人融資や広報などの本部勤務を長く務める。；その後は党広報委員長、太田昭宏代表の下で党国会対策委員長を務める。；同月に広報を担当する特別グループのリーダーに任命された。；内容は事故の再発防止策や安全対策について広報する内容が主である。；しかし配属は書類上の不備であり、広報部隊は男子禁制だと知らされる。；そして、遂に広報部長へ昇進が決定し、初仕事として経済番組に出演する。；再任後はこれまでの広報部長に加え、総合企画部長を兼務することが発表された。</t>
        </is>
      </c>
      <c r="J2886">
        <f>HYPERLINK("https://www.weblio.jp/content/広報", "词义详情")</f>
        <v/>
      </c>
      <c r="K2886">
        <f>HYPERLINK("https://yourei.jp/広報", "查看例句")</f>
        <v/>
      </c>
    </row>
    <row r="2887">
      <c r="A2887" t="inlineStr">
        <is>
          <t>巧妙</t>
        </is>
      </c>
      <c r="B2887" t="inlineStr">
        <is>
          <t>成功</t>
        </is>
      </c>
      <c r="C2887" t="inlineStr">
        <is>
          <t>読み方：こうみょう
［名・形動］非常に巧みであること。また、そのさま。「—な手口」「—に立ち回る」
[派生]こうみょうさ［名］</t>
        </is>
      </c>
      <c r="D2887" t="inlineStr">
        <is>
          <t>巧妙な手段；巧妙な方法；巧妙な手口；巧妙なトリック；巧妙化</t>
        </is>
      </c>
      <c r="E2887" t="inlineStr">
        <is>
          <t>うまい；上手；巧み；器用；堪能</t>
        </is>
      </c>
      <c r="F2887" t="inlineStr">
        <is>
          <t>巧妙にやってのけ；巧妙な仕掛；巧妙なやり口；巧妙きわまり；巧妙な策略</t>
        </is>
      </c>
      <c r="H2887" t="n">
        <v>29</v>
      </c>
      <c r="I2887" t="inlineStr">
        <is>
          <t>巧妙な花の画を見せられたものは大抵自然の花の如く美しいと嘆美する。；彼の巧妙な、しかし型破りな発明の数々はおそらく実現が困難であった。；後宮の方たちだってああも巧妙に焚きしめることはできないらしいがね。；そのような計算には繰り込みと呼ばれる巧妙なテクニックが用いられる。；しかしそれもフランソアがあたりに居ない時に巧妙にやるのであつた。；巧妙な作戦といふよりも、溢れてゆく彼の性格の迸りであるのを知つた。；第一僕等は、君がこんな巧妙なる説話者だとは思ひ掛けなかつたからなあ。；とすると、この方法は殺人として最も巧妙な方法だと云うことになります。；如何にしたら最も巧妙に殺人を行い得るかという事を研究したのです。；かくて巧妙なる画の花は自然の花の如く美しく鑑賞されるに至るのだ。；絵画表現は抽象的な雰囲気もあるが、実は巧妙な写実表現を感じさせる。；この作品で描かれたようなファシスト的未来は観客を巧妙に思考へと誘う。；mechanical に働く機械よりも、巧妙に働く腕が必要である。；オリジナルの方法はてこの巧妙な利用と関係していたかもしれない。；彼は巧妙な政治家であり、人々を自らの利益に操作する方法を熟知していた。；貴夫人が相手になれば対話の巧妙な所と興味のある所を見せ付けて遣る。；どんな巧妙な詭計も時の力の前には崩壊することを平次は知っていたのです。；この二人はその会話やわずかな動作などによって驚くべく巧妙に書かれている。；えがかれるのは犯人の人間ではなくて巧妙な犯罪手段なのである。；之も亦極めて巧妙な方法で、彼は充分彼の地位を利用したのである。；支那人などがよく用いる巧妙な手段で、殺害されたのではあるまいか。；この伝説は獣を戦争に使わせないために巧妙に行われた情報操作の賜である。；それらの新兵は、フランス兵に似寄ったある巧妙さと勇猛さとを現わした。；けれどもカフカは皮肉な、あるいはユーモラスな手を巧妙に使っている。；彼らは蜜蜂の仕事よりもさらに気長い巧妙な建設の仕事をふたたび始めた。；もし、つけられたとハーマンが疑っても、この巧妙な動きでわからない。；それにしても仏教は巧妙な心理の立て方をしたものだと私は思ふ。；マレーは、内側回転式の歯車を導入することでこの問題を巧妙に回避した。；宇東三五郎は依然として彼女を、きわめて巧妙な地下運動者の一人である。</t>
        </is>
      </c>
      <c r="J2887">
        <f>HYPERLINK("https://www.weblio.jp/content/巧妙", "词义详情")</f>
        <v/>
      </c>
      <c r="K2887">
        <f>HYPERLINK("https://yourei.jp/巧妙", "查看例句")</f>
        <v/>
      </c>
    </row>
    <row r="2888">
      <c r="A2888" t="inlineStr">
        <is>
          <t>公務</t>
        </is>
      </c>
      <c r="B2888" t="inlineStr">
        <is>
          <t>成功</t>
        </is>
      </c>
      <c r="C2888" t="inlineStr">
        <is>
          <t>読み方：こうむ
おおやけのつとめ。国または公共団体の事務。公務員の職務。「—の執行を妨害する」</t>
        </is>
      </c>
      <c r="D2888" t="inlineStr">
        <is>
          <t>公務中(3%)；公務上(2%)；公務執行；公務以外；公務復帰</t>
        </is>
      </c>
      <c r="F2888" t="inlineStr">
        <is>
          <t>国立公務学院；公務用；公務殉職；公務就任；警察公務</t>
        </is>
      </c>
      <c r="G2888" t="inlineStr">
        <is>
          <t>公務執行妨害；公務員試験；公務執行妨害罪；公務員制度改革；公務災害</t>
        </is>
      </c>
      <c r="H2888" t="n">
        <v>29</v>
      </c>
      <c r="I2888" t="inlineStr">
        <is>
          <t>公務であっても外国訪問の場合にはこれらの服を着ていくこともあった。；教皇の自由になる唯一の公務は純粋に霊的な義務を果たすのみとなった。；当然サトラップも公務の範囲内で独自に軍隊を持つことが認められていた。；公務の間、そして公式の行事の間も、暇さえあれば世卓は畑に出ている。；活動服及び勤務服は、後に警邏任務とその他公務の為の通常装備となった。；わたしはそれらが公務には役に立たぬ・危険な・ものであることを覚った。；重要な政策を決める際には、誰がその公務を実行するかが問題になったりする。；ただ、なにほどかの形式的な公務をおこないうる権利のみを有している。；以降女王はバーティを疎むようになり、公務から遠ざけるようになった。；公務も今はしばし打ち忘れて、玉鬘の機嫌をとるのに必死になっている。；彼はシンプソンに会う事を優先して公務を入れさせなかったのである。；つまりこうした言葉はみんな公務上の意味はもってはいません。；こうした医師が公務を行なっているわけで、彼らこそ私の戦力だった。；ならばそれはそれで話が簡単であるはずだが、何しろ御城の公務である。；宮殿には大統領の執務室があり、公務の中心的な施設として機能している。；このことで家族の私的な領域に公務が入ってこないようにできた。；わたしが公務を引退すれば、それ程重大な結果にはならないとのことだった。；これは公務に関わる一般的な労働と生活条件の改善に務める。；奥さんと一緒だから公務ではなく私的な旅行だったと思いますよ。；このマンションはニューヨーク市の公務のためにのみ使用することができる。；他の一つは国家または公共団体に公務に必要な収入を得せしめることにある。；それは皆、日常、公務のあいだに密接な関係をもっている者ばかりだ。；男二人の出張に、公務とはいえ女一人だけ連れて行くわけにはいかんだろう。；主に公務で外国との式典の開会や閉会の際に音楽を奏でたと言われている。；その向こうに巨大なビルが林立し、公務会議室や様々な協会の事務所があった。；ようやく将軍が公務から解放されて大奥へ入って来たのである。；王位継承権からは遠く公務とは無縁であったため自由を満喫していた。；名誉仮議長は公務を持たない代わりに、職員増加の権限を与えられている。；通常の公務と並行して療養した結果、病状は回復したと発表された。</t>
        </is>
      </c>
      <c r="J2888">
        <f>HYPERLINK("https://www.weblio.jp/content/公務", "词义详情")</f>
        <v/>
      </c>
      <c r="K2888">
        <f>HYPERLINK("https://yourei.jp/公務", "查看例句")</f>
        <v/>
      </c>
    </row>
    <row r="2889">
      <c r="A2889" t="inlineStr">
        <is>
          <t>公務員</t>
        </is>
      </c>
      <c r="B2889" t="inlineStr">
        <is>
          <t>成功</t>
        </is>
      </c>
      <c r="C2889" t="inlineStr">
        <is>
          <t>読み方：こうむいん
国または地方公共団体の公務を担当する者。国家公務員と地方公務員、また特別職と一般職とに分けられる。</t>
        </is>
      </c>
      <c r="D2889" t="inlineStr">
        <is>
          <t>公務員制度；公務員宿舎；公務員改革；公務員給与；公務員生活</t>
        </is>
      </c>
      <c r="E2889" t="inlineStr">
        <is>
          <t>官職；公職；官憲；官途；吏員</t>
        </is>
      </c>
      <c r="F2889" t="inlineStr">
        <is>
          <t>外国公務員；職業公務員；元公務員；琉球政府公務員；一般公務員</t>
        </is>
      </c>
      <c r="G2889" t="inlineStr">
        <is>
          <t>公務員制度改革；公務員住宅；公務員法；公務員職権濫用罪；公務員労組</t>
        </is>
      </c>
      <c r="H2889" t="n">
        <v>29</v>
      </c>
      <c r="I2889" t="inlineStr">
        <is>
          <t>進学コースはさらに3年へ上がるときに公務員・専門コースを分離する。；仕事ぶりが良く、同部の公務員から一番一緒に働きたい長官で選ばれた。；その下に関係部処の派遣公務員で構成される実務委員会が設置されている。；アーサーの第一の実績はペンドルトン公務員改革法の議会通過であった。；その下に法定機関が約60機関あり、そこで働く職員は公務員ではない。；被用者であるか否か・公務員の区分は、毎年6月1日現在の区分による。；教育公務員とは、教育に密接な関係性を有している公務員のことである。；公務員改革法案は倒れた大統領に対する記念碑的なものとして成立した。；日本において、全ての公務員は団体行動を行う権利は認められていない。；その他、公務員の守るべき具体的な義務として次のようなものがある。；なお、その他の公務員の地位については、個別の法律で規定されている。；採用された公務員の身分は基本的に保障され、昇進も個人の能力に応じる。；鄭の父は戦前に日本の明治大学法学部に留学し、韓国で公務員をしていた。；近年、世間の公務員批判を受け、わたり廃止に向けて制度改革も進んでいる。；スチュアートは職員の評価を正しく行うために公務員制度を導入した。；元々日本のキャリア制度は、ドイツの公務員システムを参考にして作られた。；公務員による選挙運動網を作って、警察がこれを監視する体制を採った。；公文書とは、公務員がその権限に基づいて職務上作成した文書をいう。；その日のうちにプロイセン州警察は共産党議員や公務員の逮捕命令を出した。；GHQが戦後に行なった高級公務員の再試験でトップの成績をおさめたという。；志布志町役場に勤務していた公務員の父と元陸上選手の母との間に生まれた。；同様の意味ででもしか公務員と呼ばれる層も存在した。；また、住民の従事する職業は公務員やcoopの職員などが殆どを占めている。；本罪の保護法益は公務そのものであり、公務員の身体・精神ではない。；卒業後、公務員にならずに米国や英国などの海外で働くことを望む卒業生も多い。；公務員なのに『走ってばかりいやがって』みたいに言われ続けたので。；職員のうち公務員の占める割合は1割程で、他は民間出身者が占めていた。；例外としては公務員が管理する博物館での展示などに限られる。；公務員に採用された場合、大学卒業者と同等の給与棒が適用される。</t>
        </is>
      </c>
      <c r="J2889">
        <f>HYPERLINK("https://www.weblio.jp/content/公務員", "词义详情")</f>
        <v/>
      </c>
      <c r="K2889">
        <f>HYPERLINK("https://yourei.jp/公務員", "查看例句")</f>
        <v/>
      </c>
    </row>
    <row r="2890">
      <c r="A2890" t="inlineStr">
        <is>
          <t>被る</t>
        </is>
      </c>
      <c r="B2890" t="inlineStr">
        <is>
          <t>成功</t>
        </is>
      </c>
      <c r="C2890" t="inlineStr">
        <is>
          <t>読み方：かがふる
［動ラ四］
１かぶる。
「麻衾(あさぶすま)引き—・り」〈万・八九二〉
２上の人からの仰せ言などを受ける。賜る。
「天皇の敦(あつ)きめぐみを—・りて」〈記・下〉</t>
        </is>
      </c>
      <c r="D2890" t="inlineStr">
        <is>
          <t>被る可能性(2%)；被るべき</t>
        </is>
      </c>
      <c r="E2890" t="inlineStr">
        <is>
          <t>経験；受ける；得る；つける；感じる</t>
        </is>
      </c>
      <c r="H2890" t="n">
        <v>29</v>
      </c>
      <c r="I2890" t="inlineStr">
        <is>
          <t>多数の敵機に頭を被られてはどうにもならないのはだれでも知っている。；この中にはポケモンシリーズの主人公が被っていたものも含まれている。；あたりが暗くなり始めた道を、少女が一人、帽子も被らずに歩いていた。；兄さんはこの暑いのに帽子も被らずにどこかへ飛び出して行ったのです。；雑誌等では、大きな顎が液晶上を被っているが通常時は格納されている。；基本的に顔は見えず、それぞれ正面に数字が入った帽子を被っている。；そうして帰る間際になってやっと帽子を被らない男の事をいい出した。；その代わり被り慣れた帽子こそはわが手足でありわが顔、鼻、口である。；貴女に恥辱を被らしたものは、四脚の獣ではない、獣のような人間じゃ。；運転手はびっくりした顔でお金を受け取り、運転席で帽子を被り直した。；両者ともその栄光と同じように大きく、突然の失墜を被る運命であった。；昔から人より秀出て群を抜ける者で、誤解を被らない者は殆んどいない。；すると彼の頭にこの間途中で会った帽子を被らない男の影がすぐひらめいた。；他の動画配信サービスとはあまり作品が被らないように取り揃えている。；普通に被るだけでなく、目の部分の窓を口の下まで引き伸ばす場合も多い。；奴らは人間の皮を被り、人間の振りをしているが、僕には見分けられる。；また、満月を撮影した時に起こる「青被り」を防ぐ目的でも使用される。；形状は鉢巻に似ており、頭全体に被るのではなく外周を覆うものである。；権力を対比させる対象に据えた場合、大衆は権力の影響を被る側である。；被ったキャップごとにその鳥の特徴も自分の体に反映されるようになっている。；普段はコートに付いているフードを被り、顔を隠していることが多い。；フッカーの部隊は大きな損失を被ったうえにその目的も達していなかった。；前作とは世界観を共有していることからタイトル名を被らせている。；猶何かの儀式の外そんな正帽なんか平生に被る大学生は居ない様である。；被らは二〇一八年頃までは、非常に長い宇宙航行を余儀なくされていました。；更にユダヤ人に黄色いバッジと帽子を被る事を義務付けたりもしている。；離婚した前妻と娘、仮面を被ったように見えて家族とは思えない今の家族。；そうしてたった一週間前に買って遣った頭に被る新しい巾を引き裂いた。；展示されている作品は、前回同様、自由に被り、撮影することが出来る。</t>
        </is>
      </c>
      <c r="J2890">
        <f>HYPERLINK("https://www.weblio.jp/content/被る", "词义详情")</f>
        <v/>
      </c>
      <c r="K2890">
        <f>HYPERLINK("https://yourei.jp/被る", "查看例句")</f>
        <v/>
      </c>
    </row>
    <row r="2891">
      <c r="A2891" t="inlineStr">
        <is>
          <t>項目</t>
        </is>
      </c>
      <c r="B2891" t="inlineStr">
        <is>
          <t>成功</t>
        </is>
      </c>
      <c r="C2891" t="inlineStr">
        <is>
          <t>読み方：こうもく
１物事を、ある基準で区分けしたときの一つ一つ。「資料を—別に整理する」
２辞典・事典などの見出し語。
３項と目。国や地方公共団体における歳入・歳出予算の区分に用いる用語。項に区分して、さらに目に区分される。</t>
        </is>
      </c>
      <c r="D2891" t="inlineStr">
        <is>
          <t>項目名；項目参照；項目ごと；項目数；項目別</t>
        </is>
      </c>
      <c r="E2891" t="inlineStr">
        <is>
          <t>点；品；条；ポイント；箇所</t>
        </is>
      </c>
      <c r="F2891" t="inlineStr">
        <is>
          <t>当項目；当該項目；評価項目；検査項目；設定項目</t>
        </is>
      </c>
      <c r="G2891" t="inlineStr">
        <is>
          <t>項目反応理論；項目同士</t>
        </is>
      </c>
      <c r="H2891" t="n">
        <v>29</v>
      </c>
      <c r="I2891" t="inlineStr">
        <is>
          <t>建設経緯・運行形態・駅一覧・延伸計画などの詳細は以下の項目を参照。；この項目では特に作成して欲しい文学上重要な記事を記載しています。；コンビでの主演番組のみ、単独での出演はそれぞれの項目を参照のこと。；発行終了後の取り扱いなどの詳細は、項目があるものは該当項目を参照。；そのためこの武器を紹介するときに銃の項目でなされることもある。；などの各所属ユニット全体での出演はそれぞれの項目を参照のこと。；記事を新たに執筆した際に、関連して追加・修正した方がよい項目などです。；漫画家記事を新たに執筆した際に、関連して追加・修正した方がよい項目。；道路の状況およびインターチェンジなどについては各道路の項目を参照。；道路の状況およびインターチェンジなどについては両道路の項目を参照。；ただし、曹洞宗の規則では選挙時の買収の禁止という項目は存在しない。；平均には差が見られないが項目による僅かな性差が発見される場合がある。；以下の各項目に該当する内容を書き込もうと考えている人は注意して下さい。；古代から近代に至るまで中国人の倫理規定の最重要項目となってきた。；この項目で特に断りなく白灯と書いてある場合は、厳密な純白ではない。；新たな記事を書く際には下の表を参考にして、適切な項目名を付けて下さい。；以下に主なものを挙げるが、詳細については各スポーツの項目を参照。；メンバー個人で出演している物については、各メンバーの項目を参照。；航空系項目の執筆に役立つかもしれない外部リンクを紹介しています。；この項目では同行の前身である安田財閥の安田銀行についても説明する。；特に理由がなければ、分類表はその項目の先頭に配置して下さい。；各言語の具体的なアクセントについてはそれぞれの言語の項目を参照。；車両の仕様設計は東京地下鉄で相違する項目を提示して、設計に反映させた。；あくまで、検査値で肝機能障害がわかりにくい場合に測定する項目である。；一般には複素数でも定義されるが、その解説は自然対数の項目にゆずる。；各区間の詳細およびインターチェンジなどについては各道路の項目を参照。；電車緊急特別改造工事の実施項目と施行両数、実施内容は以下の通り。；ダウンタウンとしての出演番組・作品はダウンタウンの出演項目を参照。；個別の方式の構成や動作についてはそれぞれの見出し項目を参照されたい。</t>
        </is>
      </c>
      <c r="J2891">
        <f>HYPERLINK("https://www.weblio.jp/content/項目", "词义详情")</f>
        <v/>
      </c>
      <c r="K2891">
        <f>HYPERLINK("https://yourei.jp/項目", "查看例句")</f>
        <v/>
      </c>
    </row>
    <row r="2892">
      <c r="A2892" t="inlineStr">
        <is>
          <t>高揚</t>
        </is>
      </c>
      <c r="B2892" t="inlineStr">
        <is>
          <t>成功</t>
        </is>
      </c>
      <c r="C2892" t="inlineStr">
        <is>
          <t>読み方：こうよう
［名］(スル)精神や気分などが高まること。また、高めること。「士気が—する」「自主独立の精神を—する」</t>
        </is>
      </c>
      <c r="D2892" t="inlineStr">
        <is>
          <t>高揚する(7%)；高揚感(6%)；高揚させる(5%)；高揚期；高揚状態</t>
        </is>
      </c>
      <c r="E2892" t="inlineStr">
        <is>
          <t>起用；育成；昇進；促進；高める</t>
        </is>
      </c>
      <c r="F2892" t="inlineStr">
        <is>
          <t>意識高揚；国威高揚；精神的高揚；奇妙な高揚；不思議な高揚</t>
        </is>
      </c>
      <c r="G2892" t="inlineStr">
        <is>
          <t>高揚力装置</t>
        </is>
      </c>
      <c r="H2892" t="n">
        <v>29</v>
      </c>
      <c r="I2892" t="inlineStr">
        <is>
          <t>存在の最も高揚したその瞬間のためにこの絵画は用意されているのである。；一本つけて高揚した気分のまま賭場に出向くのが儀式になってしまった。；無頼の民であっても出陣前の高揚した気分はドレイク軍と同じであった。；生徒の批判的意識を高揚させるための理論や実践と言うこともできる。；その事実は、彼の高揚した気分を萎えさせるに充分以上の重みがあった。；戦いに勝利し、無事に帰還できたことが、隊員たちを高揚させているのだ。；僕の勘違いでなければ、彼女は精神的にかなり高揚しているようだった。；民謡はこの戦いを歌ったもので日露戦争当時に士気高揚のため作られた。；この最後の深い落ちこみがあるからこそ、結末での高揚が生きています。；また最も高揚された情緒と言ふものは斯ういふ境地なのではあるまいか。；コーダは長く、第1主題を元に気分を高揚させていき華やかに曲を結ぶ。；けれど、福岡から東京に帰って来た時のような胸の高揚はまるでなかった。；反ソニー七社連合のメドが付き、高野の気分はいつになく高揚していた。；この事件はしばらく状況を平穏にし、信仰熱の一時的な高揚につながった。；それ以後意識的に自由主義思想が高揚したのを吾々は見ないのである。；彼の動きを見ていて、ぼくは、だんだんと自分が高揚していくのがわかった。；今の私が得られる唯一つの現実は、殺人を犯す時の高揚感だけなのだから。；できることなら、さっきまでの幸せと高揚がそのまま甦ってはこないのか。；バラクに声をかけられて高揚していた気分がとたんに怒りに変わった。；気分が高揚して寝付けそうにもなかったので、しばらくぼんやりしていた。；それほど反ナチ・ファシズムに対する戦闘精神は高揚していたのである。；彼女に体を触れられると、ぼくのせがれはゆっくりと高揚しはじめた。；わたしはふたたび二人水入らずの生活の高揚した一瞬一瞬を生きた。；その巨大さがかえってこの孤独な闇の中で二人のみなしごを高揚させていた。；妻の病気のため、逆に私の気持が高揚しているからかも知れない。；それほどの大事でさえ、あなたの気分を高揚させることはできなかったのです。；この部分は生の高揚から死の絶望へと唐突の転落があり、物語が終わる。；夜の最初の高揚もどこへやら、誰もが足元に意識を集中させている。；この高揚がテレビの画面や雑誌の記事にも必ず伝わるはずだ。</t>
        </is>
      </c>
      <c r="J2892">
        <f>HYPERLINK("https://www.weblio.jp/content/高揚", "词义详情")</f>
        <v/>
      </c>
      <c r="K2892">
        <f>HYPERLINK("https://yourei.jp/高揚", "查看例句")</f>
        <v/>
      </c>
    </row>
    <row r="2893">
      <c r="A2893" t="inlineStr">
        <is>
          <t>公用</t>
        </is>
      </c>
      <c r="B2893" t="inlineStr">
        <is>
          <t>成功</t>
        </is>
      </c>
      <c r="C2893" t="inlineStr">
        <is>
          <t>読み方：くよう
１公の用件。こうよう。
２中世、公事(くじ)として賦課された銭。公用銭。</t>
        </is>
      </c>
      <c r="D2893" t="inlineStr">
        <is>
          <t>公用語(10%)；公用方(5%)；公用船；公用以外；公用言語</t>
        </is>
      </c>
      <c r="F2893" t="inlineStr">
        <is>
          <t>第二公用；政府公用；公用日記；公知公用技術および；公知の公知公用</t>
        </is>
      </c>
      <c r="G2893" t="inlineStr">
        <is>
          <t>公用車；公用人；公用文；公用文作成の要領；公用切手</t>
        </is>
      </c>
      <c r="H2893" t="n">
        <v>29</v>
      </c>
      <c r="I2893" t="inlineStr">
        <is>
          <t>英語が第二公用語であるため、医療関係でも英語圏との結びつきが強い。；軍公用の人のみでこんな風だから、今の乗車難は実に深刻なものである。；このような公用以外には、そこから離れることはゆるされなかったのだ。；大坂に向かうには不自然じゃねえが、そんな公用は誰も聞いちゃいねえ。；わしは公用があって、いつまでもおまえたちに会ってはおれぬのだ。；また公用でなければ、決して私の部屋にはいって来たことがございません。；公用でいつも部落へ出ることの多い主計兵が私に一通の封書を手渡した。；スパークは公用で、二度ほど訪れたことがあり、館まで迷わずに行けた。；旦那は公用だとは言ったが、その公用の内容までは話しちゃいないだろう?；彼の大学で学んだ医師が協力し、車は知事の 使う公用車を使った。；公用廃止行為がなされない限り、当該所有権に加えられた制限は消滅しない。；警部は、奥さんにお会いしたいといって、公用の名刺を女中に渡した。；ましてや公用の旅から帰ってきた隊士ならば、あたしらとは初対面です。；公用電気は主に照明に使用されていたため、日中以外は広く利用できなかった。；江戸でも公用を勤め、将軍家や諸大名、諸寺院のために画事をこなした。；複数の国で公用語として使われる主な言語は以下のものがある。；一部の公用地を除いて、大半の土地はユーザーが所有している。；この橋はブダペストで最も南にあり、二番目に新しい公用の橋である。；供給先は工業用・公用他が各約4割、家庭用・商業用が各約1割となっている。；その時父は公用のため英国へ渡って居りまして、不在だったのでございます。；なに、公用でどこかへゆく途中、寝台車から抛りだされたまでのことさ。；もう一つの表門から出入りするのは公用の者に限られていた。；また帰宅すると、公用の席では口にできない裏面の秘訣も教えられた。；しかし、ドイツ語はその後40年間公用語としての使用を禁止された。；流人を乗せる公用船の出発に合わせて、寧温は首里の丘を下って行った。；書類の多くは公用のもの、手紙は公用と私用とが相半するくらいでありました。；この政府公用旗の旗尾に燕尾型にしたものが軍旗として使用される。；谷山には州が所有する公用の登山道があり、そのほとんどは整備されていない。；でも、人を叩き起こして、公用のついでで見せるようなところか?</t>
        </is>
      </c>
      <c r="J2893">
        <f>HYPERLINK("https://www.weblio.jp/content/公用", "词义详情")</f>
        <v/>
      </c>
      <c r="K2893">
        <f>HYPERLINK("https://yourei.jp/公用", "查看例句")</f>
        <v/>
      </c>
    </row>
    <row r="2894">
      <c r="A2894" t="inlineStr">
        <is>
          <t>紅葉</t>
        </is>
      </c>
      <c r="B2894" t="inlineStr">
        <is>
          <t>成功</t>
        </is>
      </c>
      <c r="C2894" t="inlineStr">
        <is>
          <t>読み方：こうよう
［名］(スル)秋になって葉が紅色に変わること。また、その葉。葉緑素がなくなり、アントシアンなどの色素が蓄積して起こる。黄葉や褐葉を含めていうこともある。もみじ。「全山みごとに—する」《季秋》「—の色きはまりて風を絶つ／宋淵」</t>
        </is>
      </c>
      <c r="D2894" t="inlineStr">
        <is>
          <t>紅葉シーズン；紅葉山人；紅葉見物；紅葉屋；紅葉先生</t>
        </is>
      </c>
      <c r="F2894" t="inlineStr">
        <is>
          <t>草紅葉；美しく紅葉；美しい紅葉；鮮やかな紅葉；紅葉照子</t>
        </is>
      </c>
      <c r="G2894" t="inlineStr">
        <is>
          <t>紅葉館；紅葉狩；紅葉狩り；紅葉坂；紅葉山文庫</t>
        </is>
      </c>
      <c r="H2894" t="n">
        <v>29</v>
      </c>
      <c r="I2894" t="inlineStr">
        <is>
          <t>ここでは、川・小学校校舎・桜・紅葉・列車を1枚の写真に収められる。；高尾紅葉台住宅は駅から遠く坂も多いため自治会がバスを運行している。；周辺には駐車場や自然歩道などが整備され紅葉シーズンは人気が高い。；和名は上記のようなその姿が紅葉の葉を彷彿とさせることに由来する。；紅葉や新緑が美しく交通の便も良いことから都市近郊からの登山客も多い。；その鬼は女性であり、名前を紅葉であるとするものが一般に流布されている。；古い葉は落ちる前に赤く紅葉し、常に一部の葉が紅葉しているのが見られる。；春の新緑や秋の紅葉が美しく、夏でも比較的涼しい事から観光客が多い。；紅葉のシーズンにはツーリングのバイクが多く訪れる林道となっている。；小渕ダム周辺は公園として整備されており、春は桜、秋は紅葉が美しい。；特に秋の紅葉は美しく、プロアマを問わずカメラマンがたくさん訪れる。；特に中国の大型連休である紅葉初期シーズンの10月初めは大混雑する。；それで、秋に集まって紅葉を観賞しながら飲食する行事が定着している。；秋の紅葉時には、鉄橋上で数秒間の停車などの観光サービスが行なわれる。；定紋は初代から三代目までが三升の中に男、以後は隅切り角に一葉紅葉。；白滝は駐車場・トイレが設置されているが、二見滝・紅葉滝にはない。；秋の紅葉シーズンに「観楓会」と呼ばれる宴会が実施される習慣がある。；秋の紅葉シーズンや冬のウィンタースポーツも榛名湖の特徴になっている。；秋は紅葉が山頂から徐々に山麓へと下り、冬には降雪や樹氷が見られる。；紅葉谷は、紅葉が自生する谷間であることから名付けられた地名である。；逆に自身の体をあたためるために紅葉が酒を飲んで眠っている。；また果実のほか落葉種では紅葉が美しいため観賞用に栽培される種類もある。；背後の山々が紅葉した秋の神橋、雪の積もった冬の神橋が美観とされる。；それでも、阿哲峡や三室峡は、紅葉の見られる場所として知られている。；また花が終わると小さい黒い実をつけ、秋になると紅葉する。；この際、本作で関わらなかった園子が紅葉や伊織と初対面となっている。；紅葉の季節になると運行される路線であったが、現在は春分の日しか運行されない。；なお、紅葉の最盛期の昼間時間帯は大谷川を渡る区間で徐行運転を行う。；赤茶けた色の葉は「影向ではなく紅葉のマツ」と揶揄されるほどだった。</t>
        </is>
      </c>
      <c r="J2894">
        <f>HYPERLINK("https://www.weblio.jp/content/紅葉", "词义详情")</f>
        <v/>
      </c>
      <c r="K2894">
        <f>HYPERLINK("https://yourei.jp/紅葉", "查看例句")</f>
        <v/>
      </c>
    </row>
    <row r="2895">
      <c r="A2895" t="inlineStr">
        <is>
          <t>効用</t>
        </is>
      </c>
      <c r="B2895" t="inlineStr">
        <is>
          <t>成功</t>
        </is>
      </c>
      <c r="C2895" t="inlineStr">
        <is>
          <t>読み方：こうよう
１使いみち。用途。「うその—」
２ききめ。効能。「薬の—」
３経済学で、消費者が財やサービスを消費することによって得る主観的な満足の度合い。</t>
        </is>
      </c>
      <c r="D2895" t="inlineStr">
        <is>
          <t>効用を最大化；効用性；効用水準；効用理論；効用を兼ねるとき</t>
        </is>
      </c>
      <c r="E2895" t="inlineStr">
        <is>
          <t>用；目的；機能；役割；助け</t>
        </is>
      </c>
      <c r="F2895" t="inlineStr">
        <is>
          <t>家計効用</t>
        </is>
      </c>
      <c r="G2895" t="inlineStr">
        <is>
          <t>効用最大化；効用価値説</t>
        </is>
      </c>
      <c r="H2895" t="n">
        <v>29</v>
      </c>
      <c r="I2895" t="inlineStr">
        <is>
          <t>その後、効用から個人の不確かな参照点へと研究の中心が移っていった。；その効用は紀元前から認められており旧約聖書の中にも記述されている。；しかし、維持に金がかかり、効用もほとんど認められなかったのである。；多くの医術書を記し、その効用は現代でも通用する現代的なものである。；全員の効用を高める事ができる場合にもパレート改善と呼ぶ場合もある。；経済は社会の中で希少性や効用性を持つ価値を配分する機能の一つである。；勿論そういう安易労働に多くの社会的効用を期待することは出来ない。；物の効用は、それが失われてみて始めてよくわかるという一例である。；そのようにして初めて人は自らの効用を最も大きく出来るからだ。；現在もまた同じ効用を現わしているものと考えることができます。；これを完全に防ぐためには、効用には上限があると考える必要がある。；ラムプは常にラムプ自身の効用に順つて批判されねばならぬのである。；それは正義をも慈悲をも認めず、また科学的効用以外に真理を認めない。；これらの条件の下で政府はグループ1の効用を最小化する必要がある。；消費者は、予算の制限がなければ効用を限りなく最大化しようとする。；取引に参加しなかった者は外部費用を支払うことになり、効用は減少する。；奥の部屋をえらんだ効用は、こういうところにも現われているわけだ。；現在のところ世間に行われている医学は効用がほとんど無いことは事実である。；犯人や関係者が死んでしまってから真相を発表して、なんの効用があるのだ。；それだから偽善も存在し得るのであり、若干の効用をさえもち得るのである。；簡単に言えば、財布の中に入る金には限りがあり、効用も制限される。；部下たちがゼウス・クラスのエンジンの効用について議論をはじめたのだ。；そうやっているうちに、私は、やっと扇子の効用を理解するようになった。；ただし、こちらでは他の本も売れるという効用への期待も述べられていた。；基本の型を教えてくれるものとして、これらは十分にその効用を持っている。；すなわち政党は特定の政策を掲げ、それを実現することで利益や効用を得る。；道化は人を効用性、時間の支配する世界の奴隷状態からの離脱を助ける。；しかしこの夢にも、また夢の効用がまるでなかったわけではない。；今までは何の効用をなす筋だか分らないで不用な贅物に数えられた。</t>
        </is>
      </c>
      <c r="J2895">
        <f>HYPERLINK("https://www.weblio.jp/content/効用", "词义详情")</f>
        <v/>
      </c>
      <c r="K2895">
        <f>HYPERLINK("https://yourei.jp/効用", "查看例句")</f>
        <v/>
      </c>
    </row>
    <row r="2896">
      <c r="A2896" t="inlineStr">
        <is>
          <t>行楽</t>
        </is>
      </c>
      <c r="B2896" t="inlineStr">
        <is>
          <t>成功</t>
        </is>
      </c>
      <c r="C2896" t="inlineStr">
        <is>
          <t>読み方：こうらく
山野などに行って遊び楽しむこと。遊山(ゆさん)。「—に出かける」「—客」</t>
        </is>
      </c>
      <c r="D2896" t="inlineStr">
        <is>
          <t>行楽客(28%)；行楽期(8%)；行楽施設(3%)；行楽日和(2%)；行楽情報</t>
        </is>
      </c>
      <c r="E2896" t="inlineStr">
        <is>
          <t>修学旅行；遠足；回遊；遊山；観光旅行</t>
        </is>
      </c>
      <c r="F2896" t="inlineStr">
        <is>
          <t>行楽向け；行楽列車</t>
        </is>
      </c>
      <c r="G2896" t="inlineStr">
        <is>
          <t>行楽シーズン</t>
        </is>
      </c>
      <c r="H2896" t="n">
        <v>29</v>
      </c>
      <c r="I2896" t="inlineStr">
        <is>
          <t>電車もそうだったけど、そのバスも行楽に向かう家族連れで満員だった。；天皇が一時的な外出を行う行楽や政変時には、行宮に住むこともあった。；おそらくブライトンかイーストボーンあたりへの行楽の帰りなのだろう。；クラスの子たちはたいていは、どこかに行楽に連れて行ってもらうようだった。；馬車はまるで行楽にでもゆくように、軽くはずみながら駈けていった。；学校などの団体の遠足や親子連れの行楽客、ピクニックの人々が訪れる。；現在も、特に夏期には多くの中型・小型の観光船が行楽客を乗せて出発する。；当線は芦原温泉の温泉街への最短ルートとして行楽客輸送などを行った。；両国橋の上に立って、そうした行楽気分を思い得る人は幸福である。；信仰もだが、信仰に伴う行楽の意味も充分にあったのだろう。；また行楽期などには係員が配置されて改集札業務を行なうことがある。；午後の街は、井の頭公園からの帰りの行楽客たちがそぞろ歩いている。；この時は放流を見るために多くの行楽客がダムの真下へと訪れる。；この時期になると行楽旅行の形態にも変化があり、家族や小グループ単位での旅行が多くなっていた。；さすがに古都の傾城たちらしく、心ものびるように優雅な行楽であった。；干兵衛の馬車も、その行楽の風物詩の一点景と見られたかも知れない。；大勢の行楽客で沸く巨大遊園地で捜査陣の見守る中、金は犯人の手に渡る。；展望台や林道が整備され、山麓の施設とあわせ多くの行楽客が訪れる。；血腥い事件を口にしたのが昨日のことのようで、行楽の情報になると口調がまるで明るくなる。；三人は、どこからどう見ても、行楽に来た普通の親子連れだった。；土曜日の夕方だから、行楽客とは逆の方向に走っているのだ。；まだ午前中だというのに、134号線は、行楽客の車で渋滞していた。；こうした行楽のほかには、ハルはめったに外に出たことがなかった。；今後の行楽者もこのころを中心にして、半島の旅を計画せられんことを勧める。；中之島線への乗り入れは春秋行楽期や競馬開催時の臨時列車のみである。；西洋ではそれが昔から教会の音楽や集会、軍陣、行楽の歌に強く現われている。；仕事用道路と、行楽用道路を分けてもらいたいものだ。；景色がよい道路であり、開通後は多数の行楽客でにぎわっている。；僕の姉の水絵の具を行楽の子女の衣服だの草木の花だのになすってくれる。</t>
        </is>
      </c>
      <c r="J2896">
        <f>HYPERLINK("https://www.weblio.jp/content/行楽", "词义详情")</f>
        <v/>
      </c>
      <c r="K2896">
        <f>HYPERLINK("https://yourei.jp/行楽", "查看例句")</f>
        <v/>
      </c>
    </row>
    <row r="2897">
      <c r="A2897" t="inlineStr">
        <is>
          <t>小売り</t>
        </is>
      </c>
      <c r="B2897" t="inlineStr">
        <is>
          <t>成功</t>
        </is>
      </c>
      <c r="C2897" t="inlineStr">
        <is>
          <t>読み方：こうり
［名］(スル)消費者に対して、直接商品を販売すること。「—価格」「—店」</t>
        </is>
      </c>
      <c r="D2897" t="inlineStr">
        <is>
          <t>小売り店(4%)；小売りチェーン(3%)；小売り事業(2%)；小売り業者；小売り全面自由化</t>
        </is>
      </c>
      <c r="E2897" t="inlineStr">
        <is>
          <t>小売；受け売り；受売り；受売；請け売り</t>
        </is>
      </c>
      <c r="F2897" t="inlineStr">
        <is>
          <t>小売り業</t>
        </is>
      </c>
      <c r="H2897" t="n">
        <v>29</v>
      </c>
      <c r="I2897" t="inlineStr">
        <is>
          <t>小売り店規模で年間四千から五千億円市場にまで拡大してきているとか。；そして良く混ぜられていて貴方の小売り樽の中に入っているに違いない。；冷蔵された肉は、そのための施設をそなえた倉庫や店舗で小売りされた。；おれら、売人の面倒も見たうえで、小売りのルートを開拓したんですよ。；各種製造業から物流・小売りまで多くの産業分野で利用されている。；休日がはさまるが、できたら、小売り店のようすも見てきてもらいたい。；一方、通りに面した所では小売りを続けることが認められていた。；シューズは小売り商品の中でも最も成長する一つとみられていた。；そうでないとすると小売り商の作戦計画にはこの点を考慮に入れなければなるまい。；アメリカの小売りで発売されていないアルバムはチャートに載らない。；国内の中国人実業家に大いに影響する小売りの変更にも関わった。；小売りやサービス関連業者も需要に応じて存在している。；原材料を出してくれる他の囚人たちが仲だちをしてくれて小売りが行なわれたからだ。；また、イングランド人として初めて本を出版して小売りした人物でもある。；豆腐屋だが、小売りのための商品ケースのようなものが見えない。；空港の入口は東側にあり、事務所・小売り・ホテルなどの商業地区が隣接している。；小売りはしない店であったらしく、品物を並べておくような場所は見当らない。；同年8月に、11月30日をもって電力小売り事業を終了すると発表した。；小売り一升の米の代が急に四百二十四文もする。；お客は七、八分労働者なんだから、酒の小売りが一番多いのさ。；メーカーが「生産財」として出荷している物を小売りしている物の事。；最終的に小売りされたり消費されるまで輸入した氷を貯蔵するためで、デポとも呼ばれた。；下は何年か前に独り立ちして神田皆川町のほうに木綿の小売りの店を開いています。；当店のような大手小売り店でもオリジナルは全商品の半分といったところでございましょうか。；まあ、今から考えると高いんだけど、そいつも小売り小売りで買っていたんだと思いますね。；一般向けの小売りも行っており、値段が安いことから主婦なども多く訪れる。；この当時の油商は、奈良屋ほどの店でも小売りをかねている。；以前は様々な小売りチェーンを所有していたが、現在はDIY市場に特化している。；これはヨーロッパで人気のファッション小売り店で、大部分の店はドイツとオーストリアにある。</t>
        </is>
      </c>
      <c r="J2897">
        <f>HYPERLINK("https://www.weblio.jp/content/小売り", "词义详情")</f>
        <v/>
      </c>
      <c r="K2897">
        <f>HYPERLINK("https://yourei.jp/小売り", "查看例句")</f>
        <v/>
      </c>
    </row>
    <row r="2898">
      <c r="A2898" t="inlineStr">
        <is>
          <t>合理</t>
        </is>
      </c>
      <c r="B2898" t="inlineStr">
        <is>
          <t>成功</t>
        </is>
      </c>
      <c r="C2898" t="inlineStr">
        <is>
          <t>読み方：ごうり
道理にかなっていること。論理的に正当であること。</t>
        </is>
      </c>
      <c r="D2898" t="inlineStr">
        <is>
          <t>合理的(69%)；合理化(12%)；合理性(4%)；合理精神；合理主義者</t>
        </is>
      </c>
      <c r="F2898" t="inlineStr">
        <is>
          <t>一番合理的；合理的な経済主体；合理化せら；合理的な根拠；合理的な思考</t>
        </is>
      </c>
      <c r="G2898" t="inlineStr">
        <is>
          <t>合理化；合理主義；合理性；合理論；合理的選択理論</t>
        </is>
      </c>
      <c r="H2898" t="n">
        <v>29</v>
      </c>
      <c r="I2898" t="inlineStr">
        <is>
          <t>この大澤の手法は矢島信男の合理的な撮影方法に影響されたものである。；これは他の国の銃架には見られない独特かつ極めて合理的な機能であった。；機能的・合理的で、地域性や民族性を超えた普遍的なデザインとされた。；重みの値は経験的なものであるが、ベント則の観点からは合理化できる。；高騰し続ける世界的な食料価格の合理的な説明は議論の対象となっている。；合理的な全球測位を提供するために5機の基礎配置の衛星が必要とされた。；WEMはこのプロセスを合理化するために様々なツールを提供している。；合理的な両用砲だが、多くの海軍が採用しなかったのは理由があるのである。；大幅な合理化と旅客輸送の削減がこうした合併の多くの成功につながった。；投資面からは既存の路線バスなどを活用するほうが合理的であるとしていた。；一方、なぜ整数に近いのか、合理的な理由が与えられていないものもある。；ここでエージェント自身が合理的であるということは要求していない。；地球は、月のおかげで、地球の軸の傾きを合理的な範囲内に維持できている。；これを集めて赤紫に染色することも不可能ではないが合理的でない。；合理的な再建策を出すことができず、ついに事業継続を断念することとなった。；理性はここでは合理的な真理を確立する役割を演じることができない。；客観的に合理的な金銭解雇ルールを制定することが必要と考えられている。；OTOは万国共通の同胞愛と普遍的な宗教に合理的な基盤を与えている。；この種を既存の科に合理的に分類することが困難なのは、この花の独特な構造のためである。；また、法治国家は法律の内容が合理的であることを要求するものでもなかった。；そこを合理化するために導入されたのが本形式である。；また路線の運営面でもより合理的なシステムが生まれた。；その設計手法は独自の構造力学的合理性と物語性に満ちた装飾の二つの側面より成立する。；アニメでは自分自身のことは合理的な新しいタイプの超人であると自負している。；それが理解されて初めて、その原因が自分ではないことに合理的な確信が持てるのだ。；中京商は、当時としては洗練された、合理的な準備をして試合に臨んだ。；理神論とは、神の存在を啓示によらず合理的に説明しようとする立場。；経済のシステムや自然を、ごく単純な合理思考で改造・操作できると考えてしまったのである。；いくつかの合理的な説明が、疑問点を含みつつもなされてきた。</t>
        </is>
      </c>
      <c r="J2898">
        <f>HYPERLINK("https://www.weblio.jp/content/合理", "词义详情")</f>
        <v/>
      </c>
      <c r="K2898">
        <f>HYPERLINK("https://yourei.jp/合理", "查看例句")</f>
        <v/>
      </c>
    </row>
    <row r="2899">
      <c r="A2899" t="inlineStr">
        <is>
          <t>公立</t>
        </is>
      </c>
      <c r="B2899" t="inlineStr">
        <is>
          <t>成功</t>
        </is>
      </c>
      <c r="C2899" t="inlineStr">
        <is>
          <t>読み方：こうりつ
都道府県・市区町村などの地方公共団体が設立し維持すること。また、その施設。国立・私立と区別していう。私立に対して国立を含めていうこともある。</t>
        </is>
      </c>
      <c r="D2899" t="inlineStr">
        <is>
          <t>公立学区(2%)；公立小中学校；公立美術館；公立化；公立教育</t>
        </is>
      </c>
      <c r="F2899" t="inlineStr">
        <is>
          <t>所在する公立；存在する公立；位置する公立；公立義務教育学校；公立陶生病院</t>
        </is>
      </c>
      <c r="G2899" t="inlineStr">
        <is>
          <t>公立中学校；公立学校；公立高校；公立高等学校；公立図書館</t>
        </is>
      </c>
      <c r="H2899" t="n">
        <v>29</v>
      </c>
      <c r="I2899" t="inlineStr">
        <is>
          <t>これは、公立の高等学校では珍しく、県内各地から生徒が集まってくる。；公立トップ校や有名私立校などへの進学を目指す生徒を対象とする。；そのため、公立・私立を問わず多くの病院で医師の確保が問題となっている。；大学はすべて公立であり、比較的安価で高等教育を受けることができる。；近年では公立改革が進み、名門公立校が進学実績を持ち直してきている。；中野区内の図書館のうち、一般利用が可能な公立の施設は7箇所ある。；基本的に人種を問わず公立の学校の生徒の間では幅広く聞かれる。；武蔵は戦前から公立に次ぐとされたが、当時は7年制高等学校である。；瀬戸市役所前駅は公立陶生病院を越えてすぐのところに位置している。；小学校と中学校の教育を統合した公立の小中一貫校が各地で徐々に開校してきている。；最も少ないのは、幼稚園から大学まで全て国・公立に通った場合。；公立の小中学校および高校で行われる共通試験の成績は全国平均より劣っている。；北海道士別翔雲高等学校は、北海道士別市にある公立の高等学校である。；更にその下の公立医療機関および民間医療機関も数多く設立された。；公立の高校ではあるが、独自の入学試験で入学者を決めている。；第41議会前に大学令と高等学校令を発し、公立・私立大学の設置が認められた。；北海道函館北高等学校は、北海道函館市にあった公立の高等学校である。；北九州市立図書館は、福岡県北九州市にある公立の図書館の総称である。；北海道名寄産業高等学校は、北海道名寄市にある公立の高等学校である。；フランスでは1880年代に公立の初等学校では学校5日制が成立していた。；北海道石狩翔陽高等学校は、北海道石狩市にある公立の高等学校である。；北海道小樽潮陵高等学校は、北海道小樽市にある公立の高等学校である。；インドの主要都市には、国民の大多数である労働者の家庭を対象とした公立の高等学校が数多く設置されている。；ボルチモアには公立および私立の両方で複数の高等教育機関が設置されている。；かつては全国的に珍しい公立の男子商業高校であったが現在は男女共学である。；マンハッタン区の教育は多くの公立および私立の機関によって行われている。；新宿区内の図書館および類似施設のうち、一般利用が可能な公立の施設は17ある。；ルイストンにあるは州内で唯一の公立、非大学4年制カレッジである。；北海道函館東高等学校は、北海道函館市にあった公立の高等学校である。</t>
        </is>
      </c>
      <c r="J2899">
        <f>HYPERLINK("https://www.weblio.jp/content/公立", "词义详情")</f>
        <v/>
      </c>
      <c r="K2899">
        <f>HYPERLINK("https://yourei.jp/公立", "查看例句")</f>
        <v/>
      </c>
    </row>
    <row r="2900">
      <c r="A2900" t="inlineStr">
        <is>
          <t>効率</t>
        </is>
      </c>
      <c r="B2900" t="inlineStr">
        <is>
          <t>成功</t>
        </is>
      </c>
      <c r="C2900" t="inlineStr">
        <is>
          <t>読み方：こうりつ
１機械などの、仕事量と消費されたエネルギーとの比率。「—のよい機械」「熱—」
２使った労力に対する、得られた成果の割合。「—のよい投資」</t>
        </is>
      </c>
      <c r="D2900" t="inlineStr">
        <is>
          <t>効率的(23%)；効率よく(9%)；効率化(3%)；効率良く；効率向上</t>
        </is>
      </c>
      <c r="E2900" t="inlineStr">
        <is>
          <t>能率</t>
        </is>
      </c>
      <c r="F2900" t="inlineStr">
        <is>
          <t>高効率；生産効率；作業効率；燃焼効率；利用効率</t>
        </is>
      </c>
      <c r="G2900" t="inlineStr">
        <is>
          <t>効率化；効率性；効率的市場仮説；効率性分析</t>
        </is>
      </c>
      <c r="H2900" t="n">
        <v>29</v>
      </c>
      <c r="I2900" t="inlineStr">
        <is>
          <t>そのため両者は構造も大気中の効率も大幅に異なり、区別して扱われる。；しかし、後には独自の拡張・工夫が、特に効率の面で多くなされている。；また遺伝的固定度が高い状態から選抜し、系統化するため効率的である。；この手法は更に管理的で不変の破片の創造を認めることで効率を上げた。；最初の問題は発展途上国の近代的産業はあまり効率がよくないことだ。；上記の三つの系は効率の高低はあるがほぼ共通の手法を用いることができる。；次のような理由で、一般的には分散学習のほうが効率的だと言われている。；特に小型化した万延一分判は製造効率も低いためと思われ発行高は少ない。；切歯は大半のものが上下三対とも揃っており、効率よく植物を裁断する。；不特定多数の人々が利用する環境ゆえに、収集効率がとても良いためだ。；液体及び固体状態では効率的な水素結合のネットワークを形成している。；彼はもっと効率の高い機関を設計することを目標としていた。；漢字の習得は非効率であるため漢字を廃止すべきであるとの議論であった。；日本の工業界は非常にロボット化され、効率がよい産業と言える。；この手法の欠点はランダムアクセスの効率が悪くなってしまうことである。；いずれも効率向上が最重要であり大型のものが中心である。；そのスペース効率からか小型タクシーとして採用されることもある。；この作業は商品が完成するのに今までと比較して時間効率が下がることが予想される。；また熱を効率よく蓄えるため、外壁をガラスで覆っておくこともできる。；螺旋ポンプは構造が単純であるのに、極めて効率が良く故障もしづらい。；一方恐竜はより効率的な呼吸システムである気嚢を発達させていた。；実際の値が理論値に近いほど、より効率的なコンピュータだと考えられるからである。；ブラックはそれらのマシンを使うことでナチスの行為が効率化されたとも述べた。；モノスペースがほとんどであるが、これは積載効率を重視したためである。；これは後により効率の良い方法へと発展していくこととなる。；宇宙への飛行に関する高い費用には政府の非効率さも含まれると考えられている。；より効率の良いソートを行うために、様々な間隔が提案されてきた。；そこで「声の仕事の方が効率が良い」と判断し、声優業界に参入したという。；燃料電池を普及させるための最も大きな課題は、コストや効率の低さである。</t>
        </is>
      </c>
      <c r="J2900">
        <f>HYPERLINK("https://www.weblio.jp/content/効率", "词义详情")</f>
        <v/>
      </c>
      <c r="K2900">
        <f>HYPERLINK("https://yourei.jp/効率", "查看例句")</f>
        <v/>
      </c>
    </row>
    <row r="2901">
      <c r="A2901" t="inlineStr">
        <is>
          <t>交流</t>
        </is>
      </c>
      <c r="B2901" t="inlineStr">
        <is>
          <t>成功</t>
        </is>
      </c>
      <c r="C2901" t="inlineStr">
        <is>
          <t>読み方：こうりゅう
［名］(スル)
１互いに行き来すること。特に、異なる地域・組織・系統の人々が行き来すること。また、その間でさまざまな物事のやりとりが行われること。「東西の文化が—する」「経済—」
２「交流電流」の略。⇔直流。</t>
        </is>
      </c>
      <c r="D2901" t="inlineStr">
        <is>
          <t>交流センター；交流施設；交流館；交流拠点；交流事業</t>
        </is>
      </c>
      <c r="E2901" t="inlineStr">
        <is>
          <t>関係；代わり；交換；交通；接触</t>
        </is>
      </c>
      <c r="F2901" t="inlineStr">
        <is>
          <t>とも交流；地域交流；学術交流；人的交流；親しく交流</t>
        </is>
      </c>
      <c r="G2901" t="inlineStr">
        <is>
          <t>交流電化；交流会；交流競走；交流試合；交流発電機</t>
        </is>
      </c>
      <c r="H2901" t="n">
        <v>29</v>
      </c>
      <c r="I2901" t="inlineStr">
        <is>
          <t>逆に交流専用の電車・電気機関車は当駅以南へ運行することができない。；プロテスタント諸国の教会からの援助は続いていて交流も盛んである。；日本人スタッフが駐在し、学生間の交流と情報交換の場にもなっている。；サッカーの試合と教会の活動は典型的な社会的交流と娯楽の源泉である。；上記の通り、「鎖国」は外国との交流を制限するものと解釈されてきた。；彼は、多くの優れた数学者たちとの交流の中で、独自の理論を発展させた。；交流は現在でも続いており時々スポーツニュースでも放送されている。；前述のように寿興と交流があったことから最澄が推薦されたと考えられる。；現在は官民の各部門で両国の文化・人材交流事業を積極的に展開している。；しかしやがて一緒に遊ぶようになり、共有や交流の中に楽しさを見出す。；対比されている概念は、交流つまり周期的に方向が変化する電流である。；日本には多くのトルコ友好協会があり、交流が積極的に行われている。；その後、交流と直流の電化区間を接続する標準的な方法として普及する。；以後3年間パリに滞在し、フランスのシュルレアリストたちと交流する。；最高裁判所は、他国の裁判官や学者などとの交流を盛んに行っている。；海外留学生と、共同プログラムに所属する日本人学生の交流の場も提供する。；人類出現以来、隣り合う文化文明は互いに交流し影響を及ぼしあってきた。；舟運を通じた江戸との交流も盛んで、物のほか人や情報も多く行き交じった。；アリストテレスとの交流はこうして、アレクサンドロスの死まで続いた。；ペルー太平洋岸の民族にはポリネシアとの交流を示唆する伝承が存在する。；といっても家は近所で家族の交流は変わらなかった。；文学・美術も好きで小説家や画家とも交流が深く、彼らの後援者でもあった。；現在の駅舎は地域間交流施設クローバと共同の建物を使用している。；この2ヶ国は人馬の交流が盛んであり、競走形態もほとんど差異はない。；その後も交流や日本での紹介を行ない、尊敬を持って接し続けた。；インドは古代から中国と交流があり、仏教が中国に伝わる過程でさらに関係が深くなった。；直流専用車または交流専用車を使用することができるが、地上設備が複雑になる。；そのような中、清張の楽しみの一つは、図案家仲間との交流であった。；日本に好感を持っていただき、お互いスポーツ交流を進めていただけに残念です。</t>
        </is>
      </c>
      <c r="J2901">
        <f>HYPERLINK("https://www.weblio.jp/content/交流", "词义详情")</f>
        <v/>
      </c>
      <c r="K2901">
        <f>HYPERLINK("https://yourei.jp/交流", "查看例句")</f>
        <v/>
      </c>
    </row>
    <row r="2902">
      <c r="A2902" t="inlineStr">
        <is>
          <t>合流</t>
        </is>
      </c>
      <c r="B2902" t="inlineStr">
        <is>
          <t>成功</t>
        </is>
      </c>
      <c r="C2902" t="inlineStr">
        <is>
          <t>読み方：ごうりゅう
［名］(スル)
１二つ以上の川の流れが合わさって一つになること。「河口近くで—する」
２別々に行動していた人・集団・党派などが一つになること。「本隊に—する」</t>
        </is>
      </c>
      <c r="D2902" t="inlineStr">
        <is>
          <t>合流する地点；合流部；合流しよ；合流する予定；合流する付近</t>
        </is>
      </c>
      <c r="E2902" t="inlineStr">
        <is>
          <t>共同；接続；合併；統合；結合</t>
        </is>
      </c>
      <c r="F2902" t="inlineStr">
        <is>
          <t>合流する手前；合流する一級河川；合流する直前；合流する河口；合流直後</t>
        </is>
      </c>
      <c r="G2902" t="inlineStr">
        <is>
          <t>合流地点；合流性</t>
        </is>
      </c>
      <c r="H2902" t="n">
        <v>29</v>
      </c>
      <c r="I2902" t="inlineStr">
        <is>
          <t>将軍直率の兵と京都守護職の会津藩兵などが合流すればかなりの力になる。；落合の名は、3方向から路線が合流する地となったことから名付けられた。；ブールはヴィザの問題で最初から一家に合流することはできなかった。；これには軍隊の一部も反乱に合流し、ロシア全土が大混乱に陥った。；両選手とも合流後すぐ試合に出場し、求められた役割を果たし結果を残していった。；僚艦と合流すると部隊はレイテ攻略部隊の地上支援攻撃を再開した。；設定せず相手のルールに合わせて合流することもできる。；流入車そのものも遅い速度のまま本線に合流すれば渋滞の原因となりうる。；ホームの西側には線路一本分の土地があり、飯能短絡線との合流用とされていた。；鴫野駅の手前で下り線と合流し、おおさか東線とは線路別複々線となる。；かつてのバントゥー語では別々だったクラスが合流したものである。；さらに工場の横を過ぎると田畑の向こうから九州新幹線の高架が合流する。；一方、幕府方の東海道軍・東山道軍は尾張国一宮で合流し軍議を開いた。；廃兵院からまわってきた人々が合流し、その数はさらに増加した。；第3戦ではブラジルから帰国した翼がチームに合流し反撃に出る。；この合流した機動部隊の指揮はフレッチャー少将がとることになった。；ここに至ってようやくブールも一家に合流することができた。；よってここでも国王は護衛とは合流できなかった。；このような現象は、タバジョース川が合流する地点でも観察できる。；冬季には家族群もしくは家族群が合流した群れを形成する。；十社会に所属していた一部の企業はWINグループへ合流。；アメリカ軍はリンガエン湾でに勝利し、マッカーサーの本隊と合流した。；ファスナー状に1台ずつ合流する「ファスナー合流」の方式を導入した。；モエレ沼は東の端でこの雁来新川から水を取り入れ、西の端で合流する。；既に反乱の準備の整っていたケントの兵は、彼らの合流に合わせて蜂起した。；さらに遅れてモンゴル高原へと逃れてきた軍と合流し、態勢を立て直した。；旭川を渡る付近で岡山城が見え始めると、津山線と合流し岡山駅に着く。；いずれにせよ、この3団体は解散して汪の指導する東亜連盟運動に合流した。；落語協会に比べて客入りが悪く、定席側から他団体との合流提案が出たこともあった。</t>
        </is>
      </c>
      <c r="J2902">
        <f>HYPERLINK("https://www.weblio.jp/content/合流", "词义详情")</f>
        <v/>
      </c>
      <c r="K2902">
        <f>HYPERLINK("https://yourei.jp/合流", "查看例句")</f>
        <v/>
      </c>
    </row>
    <row r="2903">
      <c r="A2903" t="inlineStr">
        <is>
          <t>考慮</t>
        </is>
      </c>
      <c r="B2903" t="inlineStr">
        <is>
          <t>成功</t>
        </is>
      </c>
      <c r="C2903" t="inlineStr">
        <is>
          <t>読み方：こうりょ
［名］(スル)物事を、いろいろの要素を含めてよく考えること。「—に入れる」「—の余地がない」「相手の事情を—する」</t>
        </is>
      </c>
      <c r="D2903" t="inlineStr">
        <is>
          <t>考慮する必要(3%)；考慮される(3%)；考慮すれ；考慮事項；考慮すべき点</t>
        </is>
      </c>
      <c r="E2903" t="inlineStr">
        <is>
          <t>みる；考える；関心；検討；カバー</t>
        </is>
      </c>
      <c r="F2903" t="inlineStr">
        <is>
          <t>十分考慮；一切考慮；考慮されるべき</t>
        </is>
      </c>
      <c r="H2903" t="n">
        <v>29</v>
      </c>
      <c r="I2903" t="inlineStr">
        <is>
          <t>回帰も類似した手法だが、既存のデータが不正確であることを考慮する。；審理人はあらゆる証拠を考慮して、適当と思われる方法で判断を示した。；公園などで周辺環境に考慮する必要がある場合には薬剤は使用しない。；運転出来ない若年層を考慮すると平均ではほぼ1人に1台の状態である。；特にドーム球場は当初よりコンサート開催を考慮して設計されている。；現在の地形に加えて、形成過程や内部構造も考慮して分類されている。；その際に同国のクラブが同じグループに入らないように考慮される。；軌道高度は、地上との輸送機往復を考慮して、低軌道で運用されている。；より具体的には以下のような要素を考慮してハードウェアの構成が検討される。；これらの重量増を考慮して、車体の横骨や、屋根部分に梁が追加された。；この場合は中にいる人間が主役となるので、個人の差の問題までも考慮する。；社員を海外赴任させる企業が子供の障害まで考慮することはめったにない。；数年後にはツールで解読されてしまうということを考慮する必要がある。；前頭部は他形式との併結を行うなど汎用性を考慮して貫通構造としている。；の場合には全ての力の合計を考慮することでカバーされる。；アメリカ合衆国の場合は、他チームの自力優勝の可能性を考慮しない。；大村湾の展望を考慮して、通常のエリアとは逆向きに設置されている。；三社線共に発着列車本数は少ないが、特に接続は考慮されていない。；中書島駅では京阪本線の特急や快速急行などとの接続が考慮されている。；このことは、カーネルの通常利用を考慮したものであるに過ぎない。；このため、農業交通形態の特殊性を考慮した規模構造となっている。；この指標は体脂肪の分布も考慮に入れるために腹囲を計算式に入れている。；かつて塗料に大量に使用されていたが最近は毒性を考慮して使用が減少している。；その他、連載時との時代相違を考慮した変更が行われている。；日本ルールでは、ランクだけでなくスートまで考慮した戦略が求められる。；考慮している系全体の対称性あるいは全スピンに関連する相関も存在する。；当然のことながら表現する対象を考慮する必要がある。；さらに波動輸送への対応も考慮して製造されたグループである。；下図のような場合の可能性を考慮すると緑色のマスは確定されないことがわかる。</t>
        </is>
      </c>
      <c r="J2903">
        <f>HYPERLINK("https://www.weblio.jp/content/考慮", "词义详情")</f>
        <v/>
      </c>
      <c r="K2903">
        <f>HYPERLINK("https://yourei.jp/考慮", "查看例句")</f>
        <v/>
      </c>
    </row>
    <row r="2904">
      <c r="A2904" t="inlineStr">
        <is>
          <t>効力</t>
        </is>
      </c>
      <c r="B2904" t="inlineStr">
        <is>
          <t>成功</t>
        </is>
      </c>
      <c r="C2904" t="inlineStr">
        <is>
          <t>読み方：こうりょく
効果を及ぼすことのできる能力。「—を発揮する」「—を失う」</t>
        </is>
      </c>
      <c r="D2904" t="inlineStr">
        <is>
          <t>効力発生；効力等；効力停止；効力を有する命令；効力概見表</t>
        </is>
      </c>
      <c r="E2904" t="inlineStr">
        <is>
          <t>効果；強さ；強度；効能；利き</t>
        </is>
      </c>
      <c r="F2904" t="inlineStr">
        <is>
          <t>実効力；同じ効力；法的な効力；効力発生要件；効力等に関する法律</t>
        </is>
      </c>
      <c r="H2904" t="n">
        <v>29</v>
      </c>
      <c r="I2904" t="inlineStr">
        <is>
          <t>決定は特定の個人または団体を対象とするもので、直接的な効力を持つ。；また嫌がる人や心を閉ざしている相手に対して魔法は効力を発揮しない。；認証を欠いていた場合にも対象となる行為そのものの効力には影響しない。；それは効力を発揮し、彼は1300年間眠り続けることになったのだった。；御料林法が引続き適用される地域でも効力が制限されることとなった。；ステージ上に登場するものは前作までと同様に取るとすぐに効力が発揮される。；新憲法施行以前に制定され、施行と同時に効力を発した主な法律を挙げる。；また、取引安全の立場からも無効の効力に制限が加えられている場合もある。；この条約で宣戦布告の効力は相手国が受領した時点で発生すると定められた。；法形式として命令に属してはいたものの、法律と同等の効力が認められた。；決定は特定の個人や団体を対象としたもので、直接的な効力を持つ。；この黒牛に恐れをなしたりすると、呪詛の効力が失われるとされる。；要素とは、事項の成立やその効力に必要で不可欠な条件のことである。；したがって、その決定事項も閣議決定のような法制的な効力を有しない。；即決裁判は、正式裁判の請求により判決をしたときその効力は失われる。；しかし、その場合に抜けた者に対する判決の効力がどうなるのかが問題となる。；特許権と比較すると、意匠権の効力が類似範囲まで及ぶことに特徴がある。；この主張が実際に効力を発揮することはなかったが、当時の一部の地図には示されている。；効力を最強にすると、体が麻痺して痛みを感じなくなるため、非常に危険。；一部の称号は設定することで効力を発揮したり、持っているだけで発揮するものもあった。；効果的なDSPSの治療は患者の感情を改善し、抗うつ薬の効力をあげる。；契約が効力を生じるためには、その前提として契約が有効でなければならない。；しかし然したる実効力はなく、かえって東條批判を増すばかりであった。；日本は同年7月9日にこの条約に加入し、10月9日に効力が生じている。；つまり、法の効力が及ぶ範囲を確定させるという思考方法をとる考え方である。；なお、本法には労働契約を直接規制する効力を持つ規定は存在しない。；慣習国際法は、不文ではあるが、条約と同等の効力を有する法源である。；中にはそれ以外のステータスが強化されたり、特殊な効力を持つ装備品も存在する。；もっとも強力なものが規則であり、加盟国内において直接的な効力を持つ。</t>
        </is>
      </c>
      <c r="J2904">
        <f>HYPERLINK("https://www.weblio.jp/content/効力", "词义详情")</f>
        <v/>
      </c>
      <c r="K2904">
        <f>HYPERLINK("https://yourei.jp/効力", "查看例句")</f>
        <v/>
      </c>
    </row>
    <row r="2905">
      <c r="A2905" t="inlineStr">
        <is>
          <t>高齢化</t>
        </is>
      </c>
      <c r="B2905" t="inlineStr">
        <is>
          <t>成功</t>
        </is>
      </c>
      <c r="D2905" t="inlineStr">
        <is>
          <t>高齢化社会(4%)；高齢化等；高齢化や後継者不足；高齢化対策；高齢化問題</t>
        </is>
      </c>
      <c r="F2905" t="inlineStr">
        <is>
          <t>急激な高齢化；過疎化及び高齢化；深刻な高齢化</t>
        </is>
      </c>
      <c r="G2905" t="inlineStr">
        <is>
          <t>高齢化率</t>
        </is>
      </c>
      <c r="H2905" t="n">
        <v>29</v>
      </c>
      <c r="I2905" t="inlineStr">
        <is>
          <t>横沢が目指すのは高齢化社会を視野に入れた総合健康産業なのだという。；高齢化も松が丘地区や豊富地区のように急速には進まないとされている。；ただ高齢化により漕ぎ手が不足したことから姿を消しているものもある。；しかし、その頃に移住してきた人々の高齢化が進んでいくものと推定された。；栽培者の高齢化や木の山地区の人口の減少により生産量は減少している。；初優勝後は選手の高齢化や故障者の発生などでチーム成績は低迷している。；戸建て住宅が中心であり、住民の高齢化が進行している地区でもある。；高齢化が課題になっているなか、若い技術職員の育成に取り組んでいる。；保釣行動委員会の高齢化が進みメンバーが少なくなる状況となっている。；高齢化社会だから立てこんでゐて、四年も五年も待たされることがある。；高齢化社会へ進行中で、確実な読者はつかまえておかなくてはならない。；周辺の高齢化で利用客はあまり多くないが、観光での利用が若干増えている。；日本は高齢化社会を迎え、同時に人生の終末期を迎える人が増加しています。；一方、高齢化と残存歯の増加に伴い、高齢者の根面う蝕が増加してきた。；ただし職人の高齢化が進んでおり後継者問題を抱えていることも事実である。；人口の高齢化とは、ただ六十五歳以上の人が増えるということではない。；被災者の高齢化によって、講師の質と講話の内容は次第に変化している。；永の高齢化に伴い、サブパーソナリティ的な形で常連ゲストが登場する。；広島市の中では高齢化が進んでおり、近年は人口が微減している地区である。；ただ現在は打ち娘の高齢化などの理由による労働力不足に悩まされている。；地域住民の高齢化やそれに伴う出生数の減少等の理由が考えられる。；高齢化のなか、震災後の生活習慣病が増加していることが報告された。；その年代の住民は京成線沿線に多く住んでおり、高齢化が進んでいる。；母の高齢化が主な理由だったが、政治やメディアからの敵対心も原因に挙げていた。；しかし最近では人口の減少や高齢化が表面化してきており、農業などの産業への影響が出始めている。；高齢化が進む農業の世界で6次産業化を進めていることが評価。；ほとんどの島で本土より早いペースで過疎化・高齢化が進行している。；近年では五島全域で人口が減少に転じ住民の高齢化も進んでいる。；会員構成の高齢化は会の存続基盤を奪い、発表作品の質の低下も指摘されてきた。</t>
        </is>
      </c>
      <c r="J2905">
        <f>HYPERLINK("https://www.weblio.jp/content/高齢化", "词义详情")</f>
        <v/>
      </c>
      <c r="K2905">
        <f>HYPERLINK("https://yourei.jp/高齢化", "查看例句")</f>
        <v/>
      </c>
    </row>
    <row r="2906">
      <c r="A2906" t="inlineStr">
        <is>
          <t>声</t>
        </is>
      </c>
      <c r="B2906" t="inlineStr">
        <is>
          <t>成功</t>
        </is>
      </c>
      <c r="C2906" t="inlineStr">
        <is>
          <t>読み方：しょう
〈井〉⇒せい
〈正〉⇒せい
〈生〉⇒せい
〈声〉⇒せい
〈姓〉⇒せい
〈性〉⇒せい
〈青〉⇒せい
〈政〉⇒せい
〈星〉⇒せい
〈省〉⇒せい
〈清〉⇒せい
〈聖〉⇒せい
〈精〉⇒せい
〈請〉⇒せい</t>
        </is>
      </c>
      <c r="D2906" t="inlineStr">
        <is>
          <t>声をかけよ；声を出さ；声をはりあげ；声を張りあげ；声を聞きつけ</t>
        </is>
      </c>
      <c r="E2906" t="inlineStr">
        <is>
          <t>音；響き；音声；物音；サウンド</t>
        </is>
      </c>
      <c r="F2906" t="inlineStr">
        <is>
          <t>低い声；歓声；小さな声；唸り声；甲高い声</t>
        </is>
      </c>
      <c r="G2906" t="inlineStr">
        <is>
          <t>声明；声楽；声音；声高；声援</t>
        </is>
      </c>
      <c r="H2906" t="n">
        <v>29</v>
      </c>
      <c r="I2906" t="inlineStr">
        <is>
          <t>アニメや洋画の吹き替えなどに声だけで出演する俳優は声優と称される。；そこで鳥の声のレコードを買ってきて、自宅で一日中流し続けていた。；そのことが声の仕事をするきっかけになり、28歳で声優デビューする。；そこで声の方を尋ねると、老夫婦がきれいな少女を間にして泣いていた。；張りや存在感のある低音を生かした声で、多くの作品に出演し活躍した。；古代から丹波国の中心であり続けた亀岡市長からは反対の声がなかった。；このとき、彼らは隣の人の声を聞くのを待たずに声をあげることができる。；説明なしに行われたこの改造に対して、疑念の声が上がることになった。；さらに囚人虐待事件への対応などの影響から退任を求める声が出始めた。；これらの区分は歌手の声域というよりむしろ声の特性、音色に関係する。；卒業し制服を着なくなると痴漢に遭わなくなったとの女性の声も多い。；エーコーは悲しみのあまり姿を失い、ただ声だけが残って木霊になった。；僕らは声を出すことができないキャラクターの人生を再現するのが仕事です。；近年は声の仕事よりも、新人声優への講師が仕事の中心となっている。；そのためか、以降世界各地で悪魔祓いを求める声が起こるようになった。；実際には無声と有声の対立ではなく、はり・ゆるみの対立かもしれない。；藤田曰く、この頃に初めて街で視聴者から声をかけられるようになった。；当時を想起して、藤本は「夢のような声をかけてくれた」と語っている。；声を発生させるという意味において、話す時と歌唱する時は同じである。；現在では女性の低い声を言い、また合唱における女性の低い声部を指す。；誰も声を出さなかったが、マルゴーだけは声を上げずに泣いていた。；その都度、国内からこれらの評価が不適切であるとの抗議の声が出された。；また、日本との同盟や日本軍将校の招聘を求める声も上がっていた。；それを見つけたフィガロは何をしているのかと上機嫌で声をかける。；保護すべきとの声もあったが、それでもまだ莫大な数がおり検討されなかった。；そのため回を重ねるごとに地の声に近づくよう、少しずつ軌道修正していった。；しかし、一部キャラクターの声や第12回の翻訳ではミスがあった。；歌手の声は歌手それぞれの主要な声種および声域により分類される。；一音多声のメリスマ型で一定のリズムを持たないので難しい方に入る。</t>
        </is>
      </c>
      <c r="J2906">
        <f>HYPERLINK("https://www.weblio.jp/content/声", "词义详情")</f>
        <v/>
      </c>
      <c r="K2906">
        <f>HYPERLINK("https://yourei.jp/声", "查看例句")</f>
        <v/>
      </c>
    </row>
    <row r="2907">
      <c r="A2907" t="inlineStr">
        <is>
          <t>護衛</t>
        </is>
      </c>
      <c r="B2907" t="inlineStr">
        <is>
          <t>成功</t>
        </is>
      </c>
      <c r="C2907" t="inlineStr">
        <is>
          <t>読み方：ごえい
［名］(スル)身辺に付き添って守ること。また、その役。「首相を—する」「—兵」</t>
        </is>
      </c>
      <c r="D2907" t="inlineStr">
        <is>
          <t>護衛兵(4%)；護衛任務(4%)；護衛隊(3%)；護衛部隊(3%)；護衛艦(2%)</t>
        </is>
      </c>
      <c r="E2907" t="inlineStr">
        <is>
          <t>見る；守る；監視；警戒；防衛</t>
        </is>
      </c>
      <c r="F2907" t="inlineStr">
        <is>
          <t>海上護衛；護衛士；直接護衛；護衛対象；護衛用</t>
        </is>
      </c>
      <c r="G2907" t="inlineStr">
        <is>
          <t>護衛空母；護衛駆逐艦；護衛艦隊；護衛艦艇；護衛機</t>
        </is>
      </c>
      <c r="H2907" t="n">
        <v>29</v>
      </c>
      <c r="I2907" t="inlineStr">
        <is>
          <t>時同じく江戸では京都へ向かう将軍を警護する護衛部隊が結成された。；護衛戦闘機搭乗員には他の任務がある都合上、途中までの護衛となった。；初飛行の日に戦略航空軍団の長距離護衛戦闘機計画は中止となっている。；この護衛を着けたことが、結果的にテロ事件を呼んでしまったのである。；ここでトントから随行してきた護衛の騎兵隊との交代の部隊がいなかった。；キャロルの人気が出ると暴走族が護衛やステージサイドのガードをした。；相良宗介は命令のままに千鳥かなめの護衛と戦場での任務をこなしていた。；特攻機の攻撃隊は、偵察機と特攻機と護衛の直掩機から編成されていた。；威圧的にならぬよう護衛車両をつけることもあまりしなかった。；古代中国の周で、王室を護衛する諸侯を藩と呼んだのが由来とされる。；しかし逆に利根単独での武蔵護衛が指示され護衛に向かっている。；しかし所属する護衛用の艦船には二線級のものが多かった。；米国人は彼らがメディアに彼を護衛するかたちで安全を彼に提供すると彼に言った。；よってここでも国王は護衛とは合流できなかった。；さらに引き揚げた時点で国産護衛艦の建造・就役が開始されていた。；特に燃料満載状態では護衛するはずの爆撃機に劣る上昇力しか持たなかった。；トラック帰投後はトラックに出入りするタンカーの護衛任務を行う。；また7日には最高幹部の1人であるイバン・リオスが部下の護衛に殺害された。；護衛していた者は全滅させたが、馬車の御者だけは見逃してやった。；彼はジェダイ・パダワンとして、パドメを護衛する任を与えられていた。；南洋調査のための護衛として上記二十九駆逐隊を分割したが短期間で解隊。；その後、当面の護衛任務を完了後に横須賀で本格的に修理するよう命じられる。；戦後初の国産護衛艦であり、戦闘指揮所を装備運用した初の国産艦でもある。；イーストウッドは町の護衛を依頼される西部のガンマンを演じた。；また、25日に行われた航空機工場を目的とした東京攻撃の際も空母護衛を行った。；また、敵の潜水艦を攻撃したり、水上艦を敵の潜水艦から護衛したりすることもある。；彼は脅迫状を受け取っており、身の危険を感じてポアロに護衛を依頼したのだった。；当時の兵制は若干異なる可能性があるが、王宮の護衛の士である。；フランス艦隊の3つの部隊が輸送船団の護衛に当たっていた。</t>
        </is>
      </c>
      <c r="J2907">
        <f>HYPERLINK("https://www.weblio.jp/content/護衛", "词义详情")</f>
        <v/>
      </c>
      <c r="K2907">
        <f>HYPERLINK("https://yourei.jp/護衛", "查看例句")</f>
        <v/>
      </c>
    </row>
    <row r="2908">
      <c r="A2908" t="inlineStr">
        <is>
          <t>超える</t>
        </is>
      </c>
      <c r="B2908" t="inlineStr">
        <is>
          <t>成功</t>
        </is>
      </c>
      <c r="C2908" t="inlineStr">
        <is>
          <t>読み方：こえる
［動ア下一］［文］こ・ゆ［ヤ下二］
１（越える）物の上・間・境界などを通り過ぎて、向こうへ行く。「打球がフェンスを—・える」「山を—・え、また谷を—・える」「海を—・えてきた便り」「国境を—・える」
２（越える）区切りとなるある日時が過ぎる。時を経過する。「—・えて翌年の春を迎える」「齢(よわい)八〇を—・える」
３ある基準・数量を上回る。超過する。「四万人を—・える観衆」「危険水位を—・える」
４地位・段階などで、順序をとばして先になる。飛びこす。「先輩を—・えて重役になる」
５他のものよりすぐれる。ぬきんでる。「力量が衆を—・えている」
６ある考えや主義にとらわれず先に進む。また、ある基準・範囲の外まで出る。超越する。「互いに立場を—・えて手を結ぶ」「想像を—・える」「常識を—・える」
７規則やきまりに外れる。「矩(のり)を—・えず」</t>
        </is>
      </c>
      <c r="D2908" t="inlineStr">
        <is>
          <t>超える大ヒット；超える可能性；超えるセールスを記録；超える大き；超える払い出しで終了</t>
        </is>
      </c>
      <c r="E2908" t="inlineStr">
        <is>
          <t>通過；通る；渡る；過ぎる；光る</t>
        </is>
      </c>
      <c r="F2908" t="inlineStr">
        <is>
          <t>軽く超える；超える積雪深；超える大ヒット作；超える大ベストセラー；超える大規模校</t>
        </is>
      </c>
      <c r="H2908" t="n">
        <v>29</v>
      </c>
      <c r="I2908" t="inlineStr">
        <is>
          <t>代わりのボール代だけでも半年間で10万円を超えることになったという。；これは環境の影響や考え得る測定誤差をはるかに超える値であるとされた。；変種が出来やすく600種を超えると言われるほど多種多様な種がある。；実際の設計では、これらの仮定を超える範囲で使用することも必要となる。；人々は彼らと同じように行動できますが、誰も彼らを超えることはできません。；経済的な影響は大きく、毎時間400億円を超える規模と報道された。；これらの被害を合わせると、1000万円を超えるだろうと語っている。；現在に至ってもこの3人を超える作家は登場していないとされる。；これらを並べると延長30キロメートルを超える長さになる計算であった。；また「実際の感染規模は政府公表の数百倍を超える」とする専門家もいる。；州内では冬季でも日中の最高気温が氷点を超えるのはこの地域だけである。；ロンドンの夏の平均気温は で、年に7日は を超え2日は を超える。；テネシー州では一件の制限額を超える相続財産には相続税を課している。；彼の死後、彼を超えるピアニストは現れないだろうと言われている。；どんな状況でも希望を見出し、現在を超えようと意志するのが人間だ。；そして「ピカソを超える」ことを目標に絵画制作に打ち込むようになる。；海外でも1970年代から100を超える国・地域で放映されてきた。；担根体は地下深くへとまっすぐに伸びて、1メートルを超えることもある。；高崎線において東京駅からの距離が100kmを超える最初の駅である。；この礼拝所にはその日だけで2000人を超える人が足を運んだ。；「超重荷」に定められた重量を超える装備品を持ち歩くことはできない。；英国の10万人を超える人々にボランティアの機会を提供している。；蘇生者たちはある境界を超えようとすると再び死に肉体は朽ち果てる。；同年春には大手加盟先との契約が終了し、150店を超える店舗の閉鎖を進めていた。；その積雪は30cmを超えることもありニュースでも度々報道される。；バーゼルとその近郊には30を超える数の美術館および博物館がある。；日本では80冊を超える著書のほとんどが翻訳されている。；この署名運動では20日間のうちに100万人を超える署名が集まった。；超えることのできない壁があることを承知のうえで、それでも壁を超えようとする。</t>
        </is>
      </c>
      <c r="J2908">
        <f>HYPERLINK("https://www.weblio.jp/content/超える", "词义详情")</f>
        <v/>
      </c>
      <c r="K2908">
        <f>HYPERLINK("https://yourei.jp/超える", "查看例句")</f>
        <v/>
      </c>
    </row>
    <row r="2909">
      <c r="A2909" t="inlineStr">
        <is>
          <t>肥える</t>
        </is>
      </c>
      <c r="B2909" t="inlineStr">
        <is>
          <t>成功</t>
        </is>
      </c>
      <c r="C2909" t="inlineStr">
        <is>
          <t>読み方：こえる
［動ア下一］［文］こ・ゆ［ヤ下二］
１人や動物のからだによく肉がついて、太る。からだつきがふっくらとする。「丸々と—・えた子犬」「—・えて脂ののった秋鯖」⇔やせる。
２地味が豊かになる。「—・えた土地」⇔やせる。
３経験を重ねて、物事のよい悪いなどを感じ分ける力が豊かになる。「口が—・えている」「目が—・える」
４資産などが増えて大きくなる。「特需景気で—・えた企業」</t>
        </is>
      </c>
      <c r="D2909" t="inlineStr">
        <is>
          <t>太る；増量する；肥え太る</t>
        </is>
      </c>
      <c r="H2909" t="n">
        <v>29</v>
      </c>
      <c r="I2909" t="inlineStr">
        <is>
          <t>今朝起きて見たら手や足が急に肥えて何でも十五貫位はありましょうよ。；彼のテーブルのすぐ隣りにはよく肥えた顔の厳しい紳士が腰を下してゐた。；その形は全く普通の鹿のようであるが、鹿よりも余ほど肥えておるです。；肥えた多血質の顔が白くなり、その眼は怒りのためにきらきらしていた。；プロ野球が全国十八都市にひろがったために、ファンの眼が肥えてきた。；色が白くて、よく肥えていて頭の形と、髪のかかった額つきが美しい。；むろん同じ人間でも肥えている時と痩せている時とでは容貌が違ってくる。；娘達の眼が肥えて来て、要求が贅沢になったから、というのも聞えない。；土はよく肥えているのに、穀物など一向に生えそうな様子はありません。；彼女は婦人用品に眼が肥えているので、だいたい間違いないと思います。；この町では行ったりきたりしている人たちが、みな肥えふとっていた。；スペインだかモンテカルロだか、それは知らないけど、舌は肥えてるよ。；長年、画家の家で家政婦をしているうちに、自然と目が肥えたのだろうか。；市は放牧地に囲まれており、国内有数の肥えた土地がこの地では見られる。；彼らの女に肥えた目を惹きつけるだけの美貌を晴子は備えていたのである。；夫人は全く肥えて太ってしまったので、すっかり見違えてしまいました。；皆不思議に思ってよく調べてみると、一匹の腹が他の一匹のそれよりも肥えていた。；その上に若き女どものいみじう肥えたるが二人まで倒れかゝりてゐたり。；肥えているのが悪いのであり、血色のよいのがよくないのであった。；両親が旨いもの好きだった影響を受け、実際、自身も舌が肥えていた。；それをしないで肥えた土地、すなわち実りと、早合点してしまいました。；画商よりもよほど眼が肥えていると言われているくらいの人です。；魯粛の肥えた体も、関羽の手にはまるで小児を提げて行くようであった。；かまきり虫のような、無気味な頭が、それと分る程肥えているのもいた。；そんなことをしておれば、肥えた馬や強い牛が、みんな他人に取られてしまう。；光夫は、この肥えた女がもう一回一人で店に来るような気がした。；奥から四十くらいの肥えた女が、盆に銚子とつまみ物を持って出てきた。；その日は南に向って麦畑の間を行くこと二里、その辺は余ほど土地が肥えている。；中年の、丸く肥えた背の低い、どこにでもいそうな目立たない男だった。</t>
        </is>
      </c>
      <c r="J2909">
        <f>HYPERLINK("https://www.weblio.jp/content/肥える", "词义详情")</f>
        <v/>
      </c>
      <c r="K2909">
        <f>HYPERLINK("https://yourei.jp/肥える", "查看例句")</f>
        <v/>
      </c>
    </row>
    <row r="2910">
      <c r="A2910" t="inlineStr">
        <is>
          <t>越える</t>
        </is>
      </c>
      <c r="B2910" t="inlineStr">
        <is>
          <t>成功</t>
        </is>
      </c>
      <c r="C2910" t="inlineStr">
        <is>
          <t>読み方：こえる
［動ア下一］［文］こ・ゆ［ヤ下二］
１（越える）物の上・間・境界などを通り過ぎて、向こうへ行く。「打球がフェンスを—・える」「山を—・え、また谷を—・える」「海を—・えてきた便り」「国境を—・える」
２（越える）区切りとなるある日時が過ぎる。時を経過する。「—・えて翌年の春を迎える」「齢(よわい)八〇を—・える」
３ある基準・数量を上回る。超過する。「四万人を—・える観衆」「危険水位を—・える」
４地位・段階などで、順序をとばして先になる。飛びこす。「先輩を—・えて重役になる」
５他のものよりすぐれる。ぬきんでる。「力量が衆を—・えている」
６ある考えや主義にとらわれず先に進む。また、ある基準・範囲の外まで出る。超越する。「互いに立場を—・えて手を結ぶ」「想像を—・える」「常識を—・える」
７規則やきまりに外れる。「矩(のり)を—・えず」</t>
        </is>
      </c>
      <c r="D2910" t="inlineStr">
        <is>
          <t>越える払い出しで終了；越える超；越える長距離トンネル</t>
        </is>
      </c>
      <c r="E2910" t="inlineStr">
        <is>
          <t>通過；通る；経過；超える；渡る</t>
        </is>
      </c>
      <c r="F2910" t="inlineStr">
        <is>
          <t>大きく越える；のり越える；とび越える；軽く越える</t>
        </is>
      </c>
      <c r="H2910" t="n">
        <v>29</v>
      </c>
      <c r="I2910" t="inlineStr">
        <is>
          <t>特定の地域のみの資料を扱うものと地域を越えて資料を扱うものがある。；その中で、日常で使っている速度を越えた時の感情が表現されている。；ヨーロッパを越えて新大陸やインドにも植民地をめぐる戦争は拡大した。；それは男の力で越えようとおもえば、わけもなく越えられるものである。；かつての難所越えの遺構でもあったが今ではその面影もなくなっている。；アフリカから多くの黒人が大西洋を越えて新大陸へ奴隷として運ばれた。；アニメに登場しない独自の設定が、元のアニメを越えてしまった瞬間である。；北アフリカからジブラルタル海峡を越えてスペインに侵入し領土とした。；その際の唯一の条件は会員数が60名を越えないことということであった。；従来の原作の枠を越えて実現したいわゆる「夢の対戦」は以下の通り。；九州某県を舞台にした戦いはやがて海を越えて世界にまで飛び火する。；ローマ帝国との国境を越えたゲルマン諸族は各地で混乱や衝突を起こした。；こうした男女の性差を越えようとする宗教思想は庶民女性から起こった。；また、同様にして国境を越えてカナダに逃れた作り手たちもいた。；さらにウスバキトンボのように海を越えて移動するものも知られる。；明るくなってから山を越えようと、今夜も森で夜を明かすことにした。；庶民の楽しみの最も大きい部分を占めており、一スポーツの域を越えている。；この時には40名を越える棋士達が、疎開先各地から上京して参加した。；左手に小学校が見えると、右にカーブして南下しトンネルで峠越えをする。；一方で、諸星はジャンルを越えた多くの著名人の作品に影響を与えている。；会社間を越えて乗り入れが行われている列車の場合は会社間で協議が行われる。；ローハン谷を越えた先は西境であり、王国の最西部の国境地帯である。；あんたが塀を越えようが越えまいが、あたしの知ったことじゃないわ。；その場合でも8年を越えて在学することは不可能であることが多い。；また国境を越えた酸性雨の被害も世界中で広く報告されている。；このうち、毎年200人を越える学生を海外の大学等へ派遣している。；連載は編集部との約束である一年を越えようとしていて、いまも続いている。；旧仙台藩と旧盛岡藩との旧・藩境を越えて新幹線駅併設の北上駅に入る。；市境を越え、メリーランド州側にも治安の良くないエリアが広がっている。</t>
        </is>
      </c>
      <c r="J2910">
        <f>HYPERLINK("https://www.weblio.jp/content/越える", "词义详情")</f>
        <v/>
      </c>
      <c r="K2910">
        <f>HYPERLINK("https://yourei.jp/越える", "查看例句")</f>
        <v/>
      </c>
    </row>
    <row r="2911">
      <c r="A2911" t="inlineStr">
        <is>
          <t>氷</t>
        </is>
      </c>
      <c r="B2911" t="inlineStr">
        <is>
          <t>成功</t>
        </is>
      </c>
      <c r="C2911" t="inlineStr">
        <is>
          <t>読み方：こおり
１水が固体状態になったもの。1気圧のもとではセ氏0度以下で固体化する。比重0.917。《季冬》「歯豁(あらは)に筆の—を噛む夜哉／蕪村」
２冷たいものや鋭いもののたとえ。「—の刃(やいば)」「—のような心」
３「氷水(こおりすい)」の略。「—いちご」
４「氷襲(こおりがさね)」の略。</t>
        </is>
      </c>
      <c r="D2911" t="inlineStr">
        <is>
          <t>氷澄；氷見子；氷峰；氷漬け；氷屋</t>
        </is>
      </c>
      <c r="E2911" t="inlineStr">
        <is>
          <t>アイス；フラッペ</t>
        </is>
      </c>
      <c r="F2911" t="inlineStr">
        <is>
          <t>厚い氷；蒼氷；風斬氷；氷層；薄い氷</t>
        </is>
      </c>
      <c r="G2911" t="inlineStr">
        <is>
          <t>氷室；氷期；氷上；氷山；氷点下</t>
        </is>
      </c>
      <c r="H2911" t="n">
        <v>29</v>
      </c>
      <c r="I2911" t="inlineStr">
        <is>
          <t>テティスが非常に多くの水氷を含んでいる理由はまだ解明されていない。；またアンモニアなどの別の揮発性物質の氷も存在していると考えられる。；これまでで夏の北極の氷の面積が最小を記録したのは2012年である。；これはこの川が北のカナダに流れ込んでおり、氷で塞がれるためである。；なお、ダイナが海に落ちると氷漬けになり敗北する場面も再現している。；氷マントルの現在の状態は分かっていないが、内部海を持つ可能性は低い。；例えば氷と水は同じ物質であるが性質が大きく異なる、すなわち相が異なる。；氷が入っているオールド・ファッションド・グラスに注げば完成である。；役者たちは吐く息が白くならないように、口中に氷を含んで演技をした。；雪から融解した水は水路を作りながら集まり、氷の表面に池を多数作る。；冬には凝結して水滴になるのではなく、氷になるので、これを霜と呼ぶ。；このため、南極海の氷の多くは一年で成長し融解する流氷となっている。；食する対象は土・紙・粘土・毛・木炭・チョーク・氷などが挙げられる。；これは土星の荷電粒子が、氷を分解して発生させていると考えられている。；この時に配られた旗が現在の氷旗のデザインの元になっている。；百武彗星の水の氷に含まれる重水素の量も分光観測によって決定された。；日本では江戸時代には既に氷を用いた低体温法が存在したという。；多くの大きなクレーターは、比較的新鮮な氷でできた光条を持っている。；この用語の定義の上では、氷の存在ではなく温度条件で考える。；彼らは氷棚の上で海面を見つめて長時間じっとしていることがある。；そこの氷は崩れそうな状態であり、安全な基地を設営するのは不可能であった。；その日は酷寒であり、哭する人々の涙が氷となって頭髪に散ったという。；深海底や南極の氷の中からも見つかっており、研究が続けられている。；これは土星の荷電粒子が表面の氷を分解して生じさせていると考えられている。；しかし後行半球には網目状の氷の断崖が見られ、独特の特徴を示している。；陶器は雪や氷などをイメージした北国らしい作風に大きな特徴がある。；氷の島の宝を入手して安心したのも束の間、今度は3匹の神が氷の島へ来る。；日本では、かき氷を売っている店は氷旗を掲げていることが多い。；中には頑固に付着した氷を破壊するゴム製のハンマーが付いたものもある。</t>
        </is>
      </c>
      <c r="J2911">
        <f>HYPERLINK("https://www.weblio.jp/content/氷", "词义详情")</f>
        <v/>
      </c>
      <c r="K2911">
        <f>HYPERLINK("https://yourei.jp/氷", "查看例句")</f>
        <v/>
      </c>
    </row>
    <row r="2912">
      <c r="A2912" t="inlineStr">
        <is>
          <t>凍る</t>
        </is>
      </c>
      <c r="B2912" t="inlineStr">
        <is>
          <t>成功</t>
        </is>
      </c>
      <c r="C2912" t="inlineStr">
        <is>
          <t>読み方：こおる
［動ラ五（四）］
１液体、特に水が低温のため凝結して固体の状態になる。「池が一面に—・る」《季冬》
２外気などがひどく冷たく感じられる。「冬の朝の—・った空気」
３寒さや恐ろしさのために、からだがこわばり自由に動かなくなる。「恐怖で血も—・るオカルト映画」
４コンピューターが機能も作動もせず、キーボードやマウスからの入力を受け付けなくなること。ハングアップ。フリーズ。</t>
        </is>
      </c>
      <c r="D2912" t="inlineStr">
        <is>
          <t>凍るような恐怖(2%)；凍るような寒；凍るような思い；凍るような冷気；凍るような冷たい</t>
        </is>
      </c>
      <c r="E2912" t="inlineStr">
        <is>
          <t>凍結；冷凍；凍りつく；氷結；凍てつく</t>
        </is>
      </c>
      <c r="F2912" t="inlineStr">
        <is>
          <t>青く凍る；霜凍る；冷たく凍る；早く凍る；凍るような冷た</t>
        </is>
      </c>
      <c r="H2912" t="n">
        <v>29</v>
      </c>
      <c r="I2912" t="inlineStr">
        <is>
          <t>この層が夜の間に凍ると、土入りの薄い氷の板になることが考えられる。；そこの水も、ほかのところと同じように凍っていると思っていたのです。；カナダだけでもこれと同じかあるいは大きい湖約100個が凍っている。；でも、前にここまで飛んできたときには、建物や森は凍ってなかったよ。；委員会は驚きのあまり凍ったようになっていたが、灰色の男はちがった。；命令もしないのに動き続ける脳を冷凍庫に入れて、凍らせてしまいたい。；盲人が微動だにしないのを見ると、身が凍るような思いがするのだった。；戸外は凍るような寒さなのだが、さすがに室内は暖房がよくきいていた。；黒い影のあたりから血も凍るような、わけのわからない音が聞こえてきた。；我々の子供の頃のように家の中で雑巾が凍るなんてことはないですし。；公園にゆくと夕方の凍った池の上を、子供達がスケート遊びをしていた。；女たちが思わず悲鳴をあげるほど粗暴な血を凍らせるような笑いであった。；私は片手で夫れを支え、火をさえ凍らせる冷い眼で彼女の顔を無言で見た。；ここは冬は畑が凍って畑休みで冬は楽だけど、牛は冬でも毎日でしょうが。；そう考えただけでも、心が凍るような絶望と屈辱で胸が潰れそうになる。；明日もまた天気とみえて雪の上はもはや幾分か堅くなって凍っています。；客待ちをしていると、その汗が凍って氷の着物を着ているみてえになるだ。；夜になって雪が凍ってくれた方が足場が確かでいいと話している者もあった。；目標を凍らせる凍結銃を装備しており、冷気や氷をテーマに犯罪を行う。；一樹は声が凍ってしまったような気がして、口を開くことができなかった。；湖はいま、宿の前にひろがっている岩ばかりの大きな穴の底で凍っていた。；事務所は、離れた低い海老茶色の建物で、周囲の雪がいつも凍っている。；宮松社長は、自分の部屋に置いてある葡萄酒が凍ることがあると言った。；きのうの今日であるから、お琴は総身の血が一度に凍ったように感じた。；夜になると井戸だつて凍つて、一滴の水も出なくなつてしまふんですよ。；一瞬で部屋を凍らせたあの若い男の淡い眼はコール以上に恐ろしかった。；その合羽はもちろん、その仕事着さえもパリパリと凍っていたのである。；岩崎はいつもの冷酷な魂を凍らせるような目でその犯人を見つめていった。；見る者の胸を凍らせるようなえたいの知れぬ異質なものがここにはあった。</t>
        </is>
      </c>
      <c r="J2912">
        <f>HYPERLINK("https://www.weblio.jp/content/凍る", "词义详情")</f>
        <v/>
      </c>
      <c r="K2912">
        <f>HYPERLINK("https://yourei.jp/凍る", "查看例句")</f>
        <v/>
      </c>
    </row>
    <row r="2913">
      <c r="A2913" t="inlineStr">
        <is>
          <t>ゴールデンタイム</t>
        </is>
      </c>
      <c r="B2913" t="inlineStr">
        <is>
          <t>成功</t>
        </is>
      </c>
      <c r="C2913" t="inlineStr">
        <is>
          <t>《(和)golden＋time》テレビ・ラジオの視聴率・聴取率が最も高い時間帯。ふつう、19時から22時をいう。ゴールデンアワー。G帯。→プライムタイム
[補説]英語ではprime time</t>
        </is>
      </c>
      <c r="D2913" t="inlineStr">
        <is>
          <t>ゴールデンタイム枠(3%)；ゴールデンタイム進出；ゴールデンタイム帯；ゴールデンタイム放送；ゴールデンタイム時代</t>
        </is>
      </c>
      <c r="F2913" t="inlineStr">
        <is>
          <t>金曜ゴールデンタイム；ゴールデンタイム進出後</t>
        </is>
      </c>
      <c r="H2913" t="n">
        <v>29</v>
      </c>
      <c r="I2913" t="inlineStr">
        <is>
          <t>多くがゴールデンタイムに放送されており、現在の主力ジャンルである。；番組はゴールデンタイムの中で一番の人気を得て、彼は人気者になる。；以降もゴールデンタイムのアニメ枠撤退までアニメ枠として継続していた。；番組開始から僅か9か月で、ゴールデンタイムへのスピード昇格となる。；また、本番組が初めてゴールデンタイム・プライムタイムで放送された。；日本のキックの団体でゴールデンタイムで放送されてるところはないんだから。；ゴールデンタイムに進出する前には様々な放送枠でパイロット版が放送された。；そのため、番組はゴールデンタイムにて全国ネットで放送されていた。；これは製作当時のゴールデンタイムでの放映の限界を超えていた内容が原因とされる。；このため近年はゴールデンタイムでのサッカー中継が増加している。；どちらもゴールデンタイムに放送された子供向けコント番組である。；また、番組初のゴールデンタイム・プライムタイムでの放送となった。；なお、番組初のゴールデンタイム・プライムタイムでの放送となった。；日本地上波ゴールデンタイム番組への出演はこれが始めてだった。；手術後初めてのゴールデンタイムのバラエティ番組への出演となる。；テレビ中継はTBSが担当、主に日曜のゴールデンタイムで放送された。；それに伴い、番組初のゴールデンタイム・プライムタイムでの放送を行った。；全力じじぃ初のレギュラーゴールデンタイム番組でありレギュラー帯番組。；番組がゴールデンタイムへ移行した2003年7月2日放送分から開始した。；これらはゴールデンタイム枠とは思えない過激な内容であった。；なお、番組タイトルは元気な栃木のゴールデンタイムからとられたとの事である。；歴代日本テレビゴールデンタイムバラエティ番組で最も高い数字である。；両局ともゴールデンタイムに放送された本番組の特別番組のみ同時ネットした。；いわば『ゴールデンタイム版北野ファンクラブ』的な存在の番組である。；こんな事では何時までたってもマイ・ゴールデンタイムは来ない予感。；当初ゴールデンタイムに放送する予定で製作していたが、実際には深夜枠で放送された。；いずれもテレビ東京が火曜ゴールデンタイムに編成していた単発特番枠。；山口放送がゴールデンタイムや深夜、翌日の昼までに放送される番組を紹介する。；美子はテレビのゴールデンタイムにまた登場するようになった。</t>
        </is>
      </c>
      <c r="J2913">
        <f>HYPERLINK("https://www.weblio.jp/content/ゴールデンタイム", "词义详情")</f>
        <v/>
      </c>
      <c r="K2913">
        <f>HYPERLINK("https://yourei.jp/ゴールデンタイム", "查看例句")</f>
        <v/>
      </c>
    </row>
    <row r="2914">
      <c r="A2914" t="inlineStr">
        <is>
          <t>誤解</t>
        </is>
      </c>
      <c r="B2914" t="inlineStr">
        <is>
          <t>成功</t>
        </is>
      </c>
      <c r="C2914" t="inlineStr">
        <is>
          <t>読み方：ごかい
［名］(スル)ある事実について、まちがった理解や解釈をすること。相手の言葉などの意味を取り違えること。思い違い。「—を招く」「—を解く」「人から—されるような行動」
[補説]作品名別項。→誤解</t>
        </is>
      </c>
      <c r="D2914" t="inlineStr">
        <is>
          <t>誤解される(7%)；誤解されやすい；誤解されがち；誤解させる；誤解してる</t>
        </is>
      </c>
      <c r="E2914" t="inlineStr">
        <is>
          <t>間違い；勘違い；誤認；間違える；思い違い</t>
        </is>
      </c>
      <c r="F2914" t="inlineStr">
        <is>
          <t>とんでもない誤解；そういう誤解；ひどい誤解；妙な誤解；重大な誤解</t>
        </is>
      </c>
      <c r="H2914" t="n">
        <v>29</v>
      </c>
      <c r="I2914" t="inlineStr">
        <is>
          <t>これは がに関係あるかのように誤解されないようにするためである。；一方で、科学的という概念を無駄に潔癖な方法と誤解している者もいる。；その奇妙な外見から危険な生物と誤解されることもあるが、無害である。；原語が英語でないが、多くの人に英語だと誤解されている言葉もある。；これは中国が漢字を伝えるときに、誤解した可能性もあると思われる。；この作風とペンネームゆえ、かつては女性と誤解されることが多かった。；従って、かつての戦艦に相当するような艦と解釈するのは誤解である。；また写像の制限の記号は誤解のおそれが無い限り省略されることも多い。；しかし、ほんの些細な誤解から我王はその妻をその手で殺してしまう。；そのため、名前の意味が、「指す()」であると誤解されることも多い。；このときの出会いはマルクスの誤解もあって、実に素気ないものであった。；かつては、師直は武闘派で内政能力は高くなかった、と誤解されてきた。；コージー冨田がモノマネで笑わせるのは誤解だ、とも本人は語っていた。；したがってよく誤解されるように、怠け者が得をするわけではない。；実際にはロケットは真空中でも推進可能であり、明らかな誤解である。；誤解が発生したとしてもそれはあくまで和訳した日本側の問題である。；古代のストア派は今日とは意味の異なる用語を使っていたためにしばしば誤解される。；また実際の武器が誤解や歴史的偶然によって伝説を生む場合がある。；よく誤解されているが、漢方薬なら副作用がないというのは誤りである。；この法律については、誤解や過剰反応に基づいた問題が発生している。；一方、演出や番組内で発した冗談が時折誤解や批判を生んだこともあった。；今でも、熊ではなく猫の仲間だと誤解している中国人が少なくない。；なまはげには角があるため、鬼であると誤解されることがあるが、鬼ではない。；バンド名から誤解されがちだが、メンバー3人ともサンボの経験者ではない。；代わりに、悪の出現は善の概念を誤解した結果であるとされる。；日本人が現地人の服装をするとハザーラ人と誤解されて攻撃される可能性もある。；そのため、英語や日本語で用いられるバーと同種の店舗だと考えるのは誤解となる。；この名のせいで、本当に血を抜かれると誤解した者も多かった。；断続説のもう一つの大きな誤解は跳躍進化説と結び付けられたことである。</t>
        </is>
      </c>
      <c r="J2914">
        <f>HYPERLINK("https://www.weblio.jp/content/誤解", "词义详情")</f>
        <v/>
      </c>
      <c r="K2914">
        <f>HYPERLINK("https://yourei.jp/誤解", "查看例句")</f>
        <v/>
      </c>
    </row>
    <row r="2915">
      <c r="A2915" t="inlineStr">
        <is>
          <t>語学</t>
        </is>
      </c>
      <c r="B2915" t="inlineStr">
        <is>
          <t>成功</t>
        </is>
      </c>
      <c r="C2915" t="inlineStr">
        <is>
          <t>読み方：ごがく
１言語を対象とする学問。言語学。
２外国語の学習。また、その学科。外国語を使う能力についてもいう。「—に堪能だ」</t>
        </is>
      </c>
      <c r="D2915" t="inlineStr">
        <is>
          <t>語学学校(10%)；語学教育(4%)；語学教師(3%)；語学留学；語学的</t>
        </is>
      </c>
      <c r="E2915" t="inlineStr">
        <is>
          <t>言語学；博言学</t>
        </is>
      </c>
      <c r="F2915" t="inlineStr">
        <is>
          <t>語学堪能；キングストン語学；語学堂；語学講座番組；語学教室</t>
        </is>
      </c>
      <c r="G2915" t="inlineStr">
        <is>
          <t>語学留学；語学研修；語学番組；語学書；語学講座</t>
        </is>
      </c>
      <c r="H2915" t="n">
        <v>29</v>
      </c>
      <c r="I2915" t="inlineStr">
        <is>
          <t>一定水準以上の語学教育能力を持ちながら家庭に入っている女性が中心。；ただし、語学用の書籍では、変化した発音を載せてもよいとされている。；陸軍の第96歩兵師団が語学将校を求めていることを知るとこれに志願。；健康が十分になったらなんとやりたい語学や勉強が多いことだろう!；何かぶらぶらしているのはいやなので、語学をまた始めようと思います。；内容については、その発行物から文学・語学の両面から検討されている。；伸子は語学の稽古や芝居へゆく予定のほかに先約らしいものもなかった。；語学教師を世話してくれと頼んでおいたもんだから、すぐ紹介してくれたのさ。；英語が得意でオーストラリアへ2週間の語学研修プログラムに参加した。；とりわけ、国際コースから語学・文学系の学部への進学実績は優れている。；蘭学塾として出発した慶應義塾は当初から語学の教育に力を入れていた。；語学の天才と言われ、独・英・蘭・仏・露・中の6か国語に通じていた。；語学に堪能で日本語・英語・中国語を流暢に話すことが出来る国際人である。；また、語学等が堪能であれば在外公館での勤務を命ぜられることもある。；主な滞在先はロンドンで、最初の2か月半は語学学校に通っていた。；日本語は語学学校への通学や相澤寿聡・山中達也両投手の指導で学んだ。；その他、料理・園芸・健康・語学・趣味分野の実用書籍・ムックも多い。；優れた語学能力を持った敏郎のパリでの生活は非常に多忙であった。；日本人の福娘も語学に堪能な者が多く、国際交流に大きく貢献している。；暗記は得意なほうであるが、語学は暗記よりも応用問題と捉えている。；化学の授業も受け持ち、語学練習の目的で説明も質問も一切英語を用いた。；そうした人々がスウェーデンで暮らしていくために必要となるのが、語学と仕事。；また、中学生時代の2007年には北京に語学留学していた経験がある。；ボン大学で政治 、哲学、ドイツの語学・文学を学び修士号を取得した。；デビュー前に韓国留学経験もあり、語学は英語とが日常会話ぐらいはできる。；内容は英語、日本語など語学や日常的な生活での出来事である。；これは解読者に数学よりも語学のセンスを要求したイギリスの方針を転換させた。；階級は中尉で、語学研究のため日本に派遣されたのださうである。；見れば、それがみんな幼稚な語学の独り案内のようなものであります。</t>
        </is>
      </c>
      <c r="J2915">
        <f>HYPERLINK("https://www.weblio.jp/content/語学", "词义详情")</f>
        <v/>
      </c>
      <c r="K2915">
        <f>HYPERLINK("https://yourei.jp/語学", "查看例句")</f>
        <v/>
      </c>
    </row>
    <row r="2916">
      <c r="A2916" t="inlineStr">
        <is>
          <t>焦がす</t>
        </is>
      </c>
      <c r="B2916" t="inlineStr">
        <is>
          <t>成功</t>
        </is>
      </c>
      <c r="C2916" t="inlineStr">
        <is>
          <t>読み方：こがす
［動サ五（四）］
１火に当てて焼いたり熱を加えたりして物の表面を黒くする。焦げた状態にする。「ごはんを—・す」
２心を悩ます。苦悩する。「身を—・す」「胸を—・す」
３薫物(たきもの)の煙でくすぶらせてにおいをつける。
「白き扇の、いたう—・したるを」〈源・夕顔〉</t>
        </is>
      </c>
      <c r="D2916" t="inlineStr">
        <is>
          <t>燃える；焼く；刺す；燃やす；焼ける</t>
        </is>
      </c>
      <c r="H2916" t="n">
        <v>29</v>
      </c>
      <c r="I2916" t="inlineStr">
        <is>
          <t>怒りに身を焦がす者たちの心を和穂は本当には理解していなかったのだ。；容赦のない太陽に肌を焦がしながら、じっと娘の消えた扉を眺めている。；昔一匹の竜がいて、その洞穴の奥で口から炎を吐き出して天を焦がした。；警部が歩くと、暗い色の瞳が前方の床を焦がさんばかりの明噺さを放つ。；そうすれば胸を焦がすようなこの苦しみから、解放されるのだろうか。；その夕焼け空が次第に黒みを帯び、しばらくの間西の空を焦がしていた。；彼は細川が梅子に人知れず思を焦がしていることを観破ていたのである。；わたしは、そろそろ皮膚を日に焦がしはじめたいと思っていたところだった。；上の方からは彼に向かって焼き焦がすような熱風が吹き下ろしていた。；かれらの中には毛皮を焦がしたのや、大きな傷から血を流しているのもいた。；しかしその船も、南品川の空を焦がす黒煙になにかを察知したのだろう。；頭を焦がしたり額を焼いたりしたものにいたっては数えきれぬほどであった。；見ると、火の点いた煙草が彼の足許に落ちており、絨毯を焦がしていた。；我らが師である黄鶴は、玄宗への恨みで腹の底まで焦がしていた男じゃ。；警部がこう言うと同時に、通りは眼を焦がさんばかりの光で照らし出された。；胸の内に渦巻く怒りと呪い、そして苦しみに焦がされた跡ではないのか。；ふたりの間には、昨日の夜、ふたりを焦がした火がまだ燃えている。；何事もなかったかのような室内で、ただ啓太だけが焦がされていた。；小さな風が吹き、木を焦がしたような秋の匂いがどこからともなく漂ってきた。；具体的には小さなこてを焼いて、それによって紙または板を焦がして描く。；そのとき初めてシゲ子が頭の髪を焦がしていることに気がついた。；おそらく身を焦がすような大恋愛の末のことに違いない。；天を焦がしていた紅蓮の炎が消え、まち全体が闇の底に沈んでしまっている。；この炎は闇を追い払いこそすれ、決して、ものを焦がすものではなかった。；頬の肉がぴくぴくと躍動して、二の腕が焦燥感に似たものに焦がされる。；燃え広がる炎がそれぞれの顔に映り、肌を焦がす風が吹きつけてくる。；目の前には眉を焦がすほどな大きな火が燃えている。；コーヒーと言っても、艦長でさえ麦粉を焦がして飲んでいたのだ。；長い城壁は一連の炎の樋となって、火熱は天地も焦がすばかりである。</t>
        </is>
      </c>
      <c r="J2916">
        <f>HYPERLINK("https://www.weblio.jp/content/焦がす", "词义详情")</f>
        <v/>
      </c>
      <c r="K2916">
        <f>HYPERLINK("https://yourei.jp/焦がす", "查看例句")</f>
        <v/>
      </c>
    </row>
    <row r="2917">
      <c r="A2917" t="inlineStr">
        <is>
          <t>小型</t>
        </is>
      </c>
      <c r="B2917" t="inlineStr">
        <is>
          <t>成功</t>
        </is>
      </c>
      <c r="C2917" t="inlineStr">
        <is>
          <t>読み方：こがた
［名・形動］
１形が小さいこと。また、そのものや、そのさま。「—な（の）鳥」⇔大形。
２（小型）内容・規模が他のものより小さいこと。また、そのさま。「辞書は—な（の）ほうが扱いやすい」「—カメラ」⇔大型。
[補説]1は多く「小形」とするが、「小型犬」などは「小型」と書くこともある。</t>
        </is>
      </c>
      <c r="D2917" t="inlineStr">
        <is>
          <t>小型化(4%)；小型機(3%)；小型トラック；小型船；小型哺乳類</t>
        </is>
      </c>
      <c r="E2917" t="inlineStr">
        <is>
          <t>ミニ；コンパクト；小ぶり；プチ；小作り</t>
        </is>
      </c>
      <c r="F2917" t="inlineStr">
        <is>
          <t>小型艦；小型版；小型軽量化；用小型；小型車両</t>
        </is>
      </c>
      <c r="G2917" t="inlineStr">
        <is>
          <t>小型化；小型軽量；小型乗用車；小型船舶；小型犬</t>
        </is>
      </c>
      <c r="H2917" t="n">
        <v>29</v>
      </c>
      <c r="I2917" t="inlineStr">
        <is>
          <t>もっとも普通の形状はユーフォニアムを小型にしたような形をしている。；古い文書の記述を信用するのであれば、日本の馬は江戸期に小型化した。；小型のキャリーバッグが入る無料のコインロッカーも新たに設置された。；小型大出力、起動時間の短さ、整備性の良さ等が評価された結果である。；観賞用に飼育されているこの仲間のうちでは、ごく小型の部類にはいる。；後に小型の機関銃塔を設置し、クレーンなどの整備機材を搭載している。；名前のとおり机の上で使うのに適した大きさの小型計算機である。；これは折りたたみ時に上枠が下枠に収まるようにして小型化したものである。；さいか屋がその後ホテル内に開業させた小型店は協会加盟店ではない。；陸棲種では腹甲が大型になり、水棲種では腹甲が小型になる傾向がある。；ドイツの特殊潜航艇は日本のそれよりも小型で、一人乗りのものが多かった。；衝突痕は小型望遠鏡でも観測できたため、各地でも観測会が開かれた。；家庭用の数本用の小型のものから、大型の数十本入るものまである。；ホテルの客室などに置ける小型の脱臭用オゾン発生器も販売されている。；これらは以前だと大部分が小型の作品で発見されていた。；なお、半球ではなく薄い小型の円盤を取り付けた形で登場する場面もある。；MIRVの実現も、一つにはそうした小型軽量化の成果であると言える。；これらを、小型の衛星に搭載するための研究、設計や開発業務を行う。；特に小型化した万延一分判は製造効率も低いためと思われ発行高は少ない。；眼は小型で眼窩の奥の方にあり、藪の中で眼が傷つきにくくなっている。；家庭用テレビへの接続に特化し小型化されたFM TOWNSである。；うち、LCAC揚陸場近くの一隻は小型船の桟橋として利用されていた。；グワンバン級大型戦艦と比較するとやや小型だが、武装は強化されている。；運転席背後に非常用脱出口が設けられたため、仕切部の窓が小型化された。；学名の通り小型の種類が多い属で、ミャンマーに生息する種類が多い。；小型の建物では最も多く採用されている方式である。；また、これらとは別にかなり小型のガスタービンエンジンも存在する。；全路線が原則として、バリアフリー対応の小型車両で運行されている。；こうした観光用のフライトには、小型機やヘリコプターが主に用いられる。</t>
        </is>
      </c>
      <c r="J2917">
        <f>HYPERLINK("https://www.weblio.jp/content/小型", "词义详情")</f>
        <v/>
      </c>
      <c r="K2917">
        <f>HYPERLINK("https://yourei.jp/小型", "查看例句")</f>
        <v/>
      </c>
    </row>
    <row r="2918">
      <c r="A2918" t="inlineStr">
        <is>
          <t>小柄</t>
        </is>
      </c>
      <c r="B2918" t="inlineStr">
        <is>
          <t>成功</t>
        </is>
      </c>
      <c r="C2918" t="inlineStr">
        <is>
          <t>読み方：こがら
［名・形動］
１体格が普通より小さいこと。また、そのさま。「—な女性」⇔大柄。
２模様や縞(しま)柄が細かいこと。また、そのさま。⇔大柄。</t>
        </is>
      </c>
      <c r="D2918" t="inlineStr">
        <is>
          <t>小柄な男(6%)；小柄な体格(2%)；小柄な女(2%)；小柄な老人(2%)；小柄な身体</t>
        </is>
      </c>
      <c r="E2918" t="inlineStr">
        <is>
          <t>少ない；小さい；狭い；ささやか；細か</t>
        </is>
      </c>
      <c r="F2918" t="inlineStr">
        <is>
          <t>小柄なカワトンボ；小柄な看護婦；小柄でキュート；小柄な金星人；小柄でぽっちゃり</t>
        </is>
      </c>
      <c r="H2918" t="n">
        <v>29</v>
      </c>
      <c r="I2918" t="inlineStr">
        <is>
          <t>マナガ刑事の手にしているものにコヅカが気づいたのは、その時だった。；ちなみに、小柄で背が低いことと胸が無いことを、密かに気にしている。；小柄な体格から、当初はさしたる期待を受けていなかったのだとされる。；若い警官がやって来て、こちらです、とコヅカを廊下の奥へと誘導した。；体が小柄であったこともあり、騎手を目指すのは自然の流れであった。；主に小柄なヒーローを演じることが多く、後年は敵幹部役も務めていた。；ところがやって来たのは、子供のような小柄なアメリカ人の女探偵だった。；ボブスレーでも、小柄な選手が重心の低さを生かそうとする考えもある。；ジョイスは小柄な体格ながら栗色の髪と緑色の目をした類稀な美人だった。；メキシコのルチャリブレでは小柄な選手が非常に多く活躍している。；それは、つい数分前にコヅカ自身が浮かべていたのと、同じ笑みだ。；彼はまた一回り小柄であること、口吻が長いこともその特徴に挙げている。；ようやくコヅカが、信用、という言葉を意識し始めたのは、そのころだ。；小柄で線は細いが的確な読みと激しい寄せで守備にも貢献できる。；足早にホールを横切るコヅカに、いあわせた全ての視線が集中していた。；ただ脚もとは丈夫だったし、小柄だけど、元気だけはよかったですね。；小柄なエンジンを座席下に完全に収めることで乗車定員を3名としている。；鷹丸は、初期状態で直接攻撃用の刀と飛び道具の小柄を装備している。；奥さんは、小がらの、おたふくがおであったが、色が白く上品であった。；見ると、それはひげぼうぼうの小がらな、恐ろしいお百姓なんですの。；外見上の大きな特徴は、脚の長さだけが目立つ華奢で小柄な馬体である。；小柄な体にコンプレックスを持っており、怖いものが来るとすぐに逃げる。；大きな眼をした小がらな看護婦が、ドアをそっとあけてのぞきこんだ。；その身長は小柄な人間ほどで、頭部は大きく灰色の肌をしている。；小柄ではあるが、おそらく四足歩行で低位置の植生を食べていたとみられる。；過去の描写では小柄で人の良さそうな金髪の青年であった。；体は本土の亜種に比べると小柄であるが、バリトラよりは大型であった。；ジャワトラの小柄な体格は餌となる動物に由来すると考えられている。；また、小柄であるため体に合うドレスを見つけるのが難しいとも述べている。</t>
        </is>
      </c>
      <c r="J2918">
        <f>HYPERLINK("https://www.weblio.jp/content/小柄", "词义详情")</f>
        <v/>
      </c>
      <c r="K2918">
        <f>HYPERLINK("https://yourei.jp/小柄", "查看例句")</f>
        <v/>
      </c>
    </row>
    <row r="2919">
      <c r="A2919" t="inlineStr">
        <is>
          <t>小切手</t>
        </is>
      </c>
      <c r="B2919" t="inlineStr">
        <is>
          <t>成功</t>
        </is>
      </c>
      <c r="C2919" t="inlineStr">
        <is>
          <t>読み方：こぎって
銀行に当座預金をしている者が、支払人である銀行にあてて、一定の金額の支払いを委託する一覧払いの有価証券。現金に代わる支払い手段として利用される。</t>
        </is>
      </c>
      <c r="D2919" t="inlineStr">
        <is>
          <t>小切手処理；小切手決済；小切手金；小切手を渡される；小切手法上</t>
        </is>
      </c>
      <c r="E2919" t="inlineStr">
        <is>
          <t>チェック；牽制；割符；割り符；預金小切手</t>
        </is>
      </c>
      <c r="F2919" t="inlineStr">
        <is>
          <t>銀行小切手；不渡り小切手；封鎖小切手；偽造小切手；個人小切手</t>
        </is>
      </c>
      <c r="G2919" t="inlineStr">
        <is>
          <t>小切手詐欺；小切手外交；小切手訴訟</t>
        </is>
      </c>
      <c r="H2919" t="n">
        <v>29</v>
      </c>
      <c r="I2919" t="inlineStr">
        <is>
          <t>私は妻に小切手をやり、この問題はそれ以上考えないことにしました。；この人は内容を全然知らずに、小切手や書類にサインをしているのである。；預金残高以上に手形・小切手を切っている企業はそう多くはないからだ。；私は妻に小切手をわたして、そのことはそれきり考えないことにしました。；老人の邸に電話をかけて、小切手が間違いないかどうか確かめたのだろう。；すると、三千代は急に思ひ出した様に、此間の小切手の礼を述べ出した。；こういう銀行小切手が最初に着想されたのは一七世紀なかばのイギリス。；ただようこだけは小切手の概念がよく分からないので小首を傾げていた。；まず第一に、最後の小切手の控えの日付が、ついこの六月になっている。；娘の供述が嘘でないとすると、現実にその小切手が消えているのですからな。；宏一はそんなことを考えながら、小切手をポケットにいれて工場へ戻った。；と、がやがやそんな声が聴えてくるなかで、その女性が小切手を書いた。；甲子園球場で、昨日亡くなった松尾は、一千万円の小切手を持っていた。；やがて、一枚の小切手が約束の三十日より二日も早く私の手もとへ届いた。；スワンソンの話の辻褄を合せるために、彼は実際に小切手をやったんだ。；また、ルノール氏が小切手でなだめようとしたことにも符合しています。；アメリカでは普通口座を開設すれば個人小切手は簡単に利用できる。；あいつは偽造する予定の小切手を、スーツケースにいっぱいいれていた。；これで紙に金額を書くと、それを小切手のように現金として使用できる。；端末機の発展形として B80 や小切手処理装置なども製造していた。；すると、三千代は急に思い出した様に、この間の小切手の礼を述べ出した。；そこでの収奪は大部分が公然たるもので明確に小切手に書きこまれていた。；当初は国庫の収支の管理や小切手の発行等の業務を行う国営銀行であった。；大阪で小切手で返すから、借用証を持って来てくれとでもいったのだろう。；振出人に送り戻して、新しい小切手を切ってもらうのがまた面倒くさい。；ちょっと開けたところも見たけど、中に証券か小切手みてえなものが入ってた。；僕は小切手を渡したきり、そんなことはすっかり忘れていました。；小切手がすべて処理される頃には金の行方は全く分からなくなる。；いったいどんなふうにして支払保証小切手に手を加えたのだろう。</t>
        </is>
      </c>
      <c r="J2919">
        <f>HYPERLINK("https://www.weblio.jp/content/小切手", "词义详情")</f>
        <v/>
      </c>
      <c r="K2919">
        <f>HYPERLINK("https://yourei.jp/小切手", "查看例句")</f>
        <v/>
      </c>
    </row>
    <row r="2920">
      <c r="A2920" t="inlineStr">
        <is>
          <t>呼吸</t>
        </is>
      </c>
      <c r="B2920" t="inlineStr">
        <is>
          <t>成功</t>
        </is>
      </c>
      <c r="C2920" t="inlineStr">
        <is>
          <t>読み方：こきゅう
［名］(スル)
１息を吸ったり吐いたりすること。「—を整える」「荒々しく—する」
２共に動作をするときの互いの調子。息。「二人の—が合う」「阿吽(あうん)の—」
３物事をうまく行う微妙な調子。こつ、また、ころあい。「—を覚える」「—をのみこむ」「—をはかる」
４短い時間。間(ま)。「ひと—おいて再び話しはじめる」
５生物が生命維持に必要なエネルギーを得るために、酸素を取り入れて養分を分解し、その際に生じた二酸化炭素を排出する現象。体外とガス交換を行う外呼吸と、それにより運ばれた酸素による細胞内での内呼吸（細胞呼吸）とがあり、一般には外呼吸をさす。また、酸素を必要としない無気呼吸もある。</t>
        </is>
      </c>
      <c r="D2920" t="inlineStr">
        <is>
          <t>呼吸おい；呼吸抑制；呼吸置い；呼吸用；呼吸障害</t>
        </is>
      </c>
      <c r="E2920" t="inlineStr">
        <is>
          <t>息；吐く；息づかい；喘ぎ；息の根</t>
        </is>
      </c>
      <c r="F2920" t="inlineStr">
        <is>
          <t>荒い呼吸；ひと呼吸；大きく呼吸；深い呼吸；無呼吸</t>
        </is>
      </c>
      <c r="G2920" t="inlineStr">
        <is>
          <t>呼吸器；呼吸不全；呼吸法；呼吸器疾患；呼吸器系</t>
        </is>
      </c>
      <c r="H2920" t="n">
        <v>29</v>
      </c>
      <c r="I2920" t="inlineStr">
        <is>
          <t>つまり成長量は、同化量のうちで呼吸に消費されなかった分だけである。；以降は呼吸補助器を携行しながら、公の場にも積極的に顔を出していた。；このように根の表面・表層が呼吸がしやすい特殊な構造となっている。；このように呼吸を形や方式に分類して考えること自体に対する批判もある。；実際にスーツを試着したときも、呼吸ができず死ぬ思いであったという。；ドラムとベースの二人の呼吸が合わないと成立しないテクニックである。；さらにフックは呼吸が空気の特定の成分に関係していると結論付けていた。；系の呼吸速度は光合成速度より大きく、酸素はゆっくり減少していった。；各人の現実は全て、この存在が一呼吸する一時に起こったことである。；あらゆるスポーツ動作に関与し、呼気を補助することで呼吸を助けます。；映画内で使用された楽曲は、1stアルバム『呼吸』に収録されている。；石はこの点を使って呼吸をしていると考えることができ、この点を呼吸点と呼ぶ。；古典的な呼吸不全の分類では外呼吸のうち換気障害の有無を重要視する。；この際の呼吸は文火であり、それはすなわち心が呼吸に囚われぬことである。；肺の呼吸面をまんべんなく広くし、肺全体が自由に呼吸することになる。；軟骨魚類には眼の後方に噴水孔・呼吸孔と呼ばれる左右一対の孔がある。；これは水中で呼吸を行わないスキンダイビングとは大きく異なる点である。；発見時の彼は外傷性の脳損傷を起こしており、呼吸もしていなかった。；私のこの一年は彼が鼻で呼吸できるようにする事だった。；リは空気を呼吸し、ヒトの頭部・腕・生殖器と魚の下半身を持つという。；そうしないと呼吸のために保持している空気の浮力で浮いてしまうためである。；一般的には、呼吸が停止し、脈拍が無くなると、死の過程が開始される。；重要なことは、呼吸麻痺に陥った場合に人工呼吸器管理を行うことである。；このために行う胸郭運動を呼吸運動と呼び、これをやめることはできない。；夏は休眠状態となり、根は活動を休止し、呼吸しているだけの状態となる。；呼吸も上手くできない状態で携帯電話を使って春日に助けを求めた。；心臓や呼吸が停止している場合、そのまま放置しておくと間違いなく死亡する。；本来の人間の呼吸は吸気時に胸腔内が陰圧になり、呼出時に陽圧となる。；呼吸困難をきたす原因は一般的には外呼吸機能の障害であると考えられている。</t>
        </is>
      </c>
      <c r="J2920">
        <f>HYPERLINK("https://www.weblio.jp/content/呼吸", "词义详情")</f>
        <v/>
      </c>
      <c r="K2920">
        <f>HYPERLINK("https://yourei.jp/呼吸", "查看例句")</f>
        <v/>
      </c>
    </row>
    <row r="2921">
      <c r="A2921" t="inlineStr">
        <is>
          <t>故郷</t>
        </is>
      </c>
      <c r="B2921" t="inlineStr">
        <is>
          <t>成功</t>
        </is>
      </c>
      <c r="C2921" t="inlineStr">
        <is>
          <t>読み方：ふるさと
１自分の生まれ育った土地。故郷(こきょう)。郷里。「—に帰る」
２荒れ果てた古い土地。特に、都などがあったが今は衰えている土地。
「君により言の繁きを—の明日香(あすか)の川にみそぎしに行く」〈万・六二六〉
３以前住んでいた、また、前に行ったことのある土地。
「ひとはいさ心もしらず—は花ぞ昔の香に匂ひける」〈古今・春上〉
４宮仕え先や旅先に対して、自分の家。自宅。
「見どころもなき—の木立を見るにも」〈紫式部日記〉</t>
        </is>
      </c>
      <c r="D2921" t="inlineStr">
        <is>
          <t>故郷喪失；故郷七十年；故郷柏原；故郷沖縄；故郷青森</t>
        </is>
      </c>
      <c r="E2921" t="inlineStr">
        <is>
          <t>生まれ；郷里；産地；生地；出身地</t>
        </is>
      </c>
      <c r="F2921" t="inlineStr">
        <is>
          <t>遠い故郷；なつかしい故郷；我が故郷；懐かしい故郷；遠く故郷</t>
        </is>
      </c>
      <c r="G2921" t="inlineStr">
        <is>
          <t>故郷の空；故郷に帰りたい；故郷のように；故郷へ帰りたい；故郷への長い道</t>
        </is>
      </c>
      <c r="H2921" t="n">
        <v>29</v>
      </c>
      <c r="I2921" t="inlineStr">
        <is>
          <t>その理由を故郷だからではなく優勝の可能性があるからと説明している。；これらの労働者は故郷に妻子を残して働きに出てきているからである。；バードが故郷にとどまっていた1975年に離婚していた父が自殺した。；これまで発表された作品の殆どは、故郷の福岡市を舞台にした作品が多い。；ドイツに移住した人々の一部は故郷追放者連盟を組織している。；現在では「アメリカの故郷」と呼ばれ、人気の高い観光地となっている。；後の1980年アメリカ合衆国大統領選挙で彼はそれらの町を故郷だとした。；この例は、スミスが故郷で幼い時に見た経験が生かされていると言われる。；兄媛は吉備氏の娘であり故郷の方角を見て望郷の念にかられたのだった。；パイエケス人のおかげでオデュッセウスは故郷へと帰国することができた。；なぜ嘆いているのかを問うと故郷の父母が恋しいからだと兄媛は答えた。；その一方で、日本からは多くの朝鮮人が故郷へ向け帰還していった。；そのため、故郷や一族を失った悲しみを劇中で見せることもあった。；ローマにはその技術がなかったので、王の故郷エトルリアから技術導入した。；エリーザベトの希望で、遺体は故郷レッケンの教会で父の隣に埋葬された。；故郷にキリスト教が伝播する以前の太古の文化に着目するバンドもいる。；満田は「円谷は自分の故郷という感覚があったのだろう」と語っている。；妻は都で別の男の妻となるも、なお故郷に残した夫のことが忘れられず摂津に戻る。；彼女は家族たちに見送られ故郷を離れ、上京するが現実は厳しかった。；故郷である星を失ったため、ファルガイアを第二の故郷にするべく侵攻を開始。；世界は姿を変え、人々は故郷を離れることを余儀なくされ、文明は崩壊した。；この時に城の四方から項羽の故郷である楚の国の歌が聞こえてきた。；この準備期間の間に鄭和は故郷の昆陽に戻って祖先の祭祀を行っている。；最初の呼びかけに多くの志願者が出てきたので、その中の多くの者は故郷に戻った。；死から1か月後の7月3日、故郷・ユートピア牧場には墓が建てられた。；結局、彼を含め故郷に戻れた仲間はほんのわずかであったという。；遊学は、故郷を離れて他の地域・他国で学問すること を意味する。；まもなく故郷は董卓の部将の李傕らの軍勢が襲来し、多くの被害が出た。；彼は故郷モデナの紋章の色である黄色の背景に黒い跳ね馬を描いた。</t>
        </is>
      </c>
      <c r="J2921">
        <f>HYPERLINK("https://www.weblio.jp/content/故郷", "词义详情")</f>
        <v/>
      </c>
      <c r="K2921">
        <f>HYPERLINK("https://yourei.jp/故郷", "查看例句")</f>
        <v/>
      </c>
    </row>
    <row r="2922">
      <c r="A2922" t="inlineStr">
        <is>
          <t>漕ぐ</t>
        </is>
      </c>
      <c r="B2922" t="inlineStr">
        <is>
          <t>成功</t>
        </is>
      </c>
      <c r="C2922" t="inlineStr">
        <is>
          <t>読み方：こぐ
［動ガ五（四）］
１櫓(ろ)や櫂(かい)を使って水をかき、舟を進める。「ボートを—・ぐ」
２足や腰を曲げたり伸ばしたりして、乗り物を進めたり振り動かしたりする。「自転車を—・ぐ」「ブランコを—・ぐ」
３深い雪ややぶの中などをかき分け、道を開くようにして進む。「新雪を—・いで頂上を目ざす」
４（「舟をこぐ」の形で、1の動作に見立てて）座ったままからだを前後左右に揺らして居眠りをする。「電車の座席で舟を—・ぐ」
[可能]こげる［ガ下一］</t>
        </is>
      </c>
      <c r="F2922" t="inlineStr">
        <is>
          <t>向かって漕ぐ</t>
        </is>
      </c>
      <c r="H2922" t="n">
        <v>29</v>
      </c>
      <c r="I2922" t="inlineStr">
        <is>
          <t>それから船の灯火を見せずに湖をゆっくりと音もなく漕いで行きました。；櫂を漕いでいる若者に水をくれと声をかけましたが、返事はありません。；さっきまで高く高く漕いでいた子供はどこかへ行ってしまったらしい。；一大隊で池の辺へ遊びに出かけ、又夕方から池へボート漕ぎに出かけた。；機械のなかった手漕ぎ時代の舟は、朝は今より早く出て帰りが遅くなる。；彼がボートの漕ぎ手に進めと言っている声が、船の側面から聞こえてきた。；ただ高齢化により漕ぎ手が不足したことから姿を消しているものもある。；知った客だし、舟を貸すことに不安はないのだが、漕ぐ方が心配だった。；五番を漕いでいた浅沼が他の選手と衝突して止めてしまったのである。；船体は異様に長く、片側に漕ぎ手が十人並んで全部で二十人乗っている。；おまえにちょっとでも頭があれば、二人とも漕ぐ必要なんかないんだ。；彼は1922年に自転車を漕いでいる最中にトラックに轢かれて死んだ。；小舟に乗って漕ぎ出す者もあれば、小舟に乗って帰って来る者もあった。；老人が橈を漕ぐほかは、彼らは石像のように無言のままじっとしていた。；漕ぎ手が足りない場合はボランティアの漕ぎ手を要請することもできる。；そういうところを何十分か漕いで行くうちに、だんだん左右が開けてくる。；私はもう一目散に海岸へ逃げて帰ると、舟に跳び乗って漕ぎ出しました。；例の頑丈な漕ぎ手が海岸に待っていて、また船へ連れて行ってくれた。；その岩の傍を、掛け声をしながら十五六人の船頭が漁船を漕いで行つた。；はじめそれを目にしたとき、三人はあわてて舟を岸に漕ぎよせようとした。；あの日が初めてのうちの子もなあ、先生と一緒に舟を漕いでいましたんや。；安心をしたジョン少年は、さらに櫂に力をこめ先へ先へと漕いで行く。；ゆっくり漕いで霧の中を進んだが、ほんのしばらくで、向う岸についた。；「櫂で漕がなくても進むカヌーの仕事をしていたのさ」わたしは答えた。；流されたとも考えられんし、やっぱり自分で漕いで行ったもんですかなあ。；その時突然漕ぎ手の一人が長く引く低い調子で剣のうたを歌い出した。；舟は漕いでいるようでも、何処か確かなところがあったのでしょう。；それを始末してやったのに、次は櫓を漕ぐ水夫まで用意しろというのか。；かすかに櫓を漕ぐ音に混ざって、多くの船の波を切る音が聞こえてくる。</t>
        </is>
      </c>
      <c r="J2922">
        <f>HYPERLINK("https://www.weblio.jp/content/漕ぐ", "词义详情")</f>
        <v/>
      </c>
      <c r="K2922">
        <f>HYPERLINK("https://yourei.jp/漕ぐ", "查看例句")</f>
        <v/>
      </c>
    </row>
    <row r="2923">
      <c r="A2923" t="inlineStr">
        <is>
          <t>極</t>
        </is>
      </c>
      <c r="B2923" t="inlineStr">
        <is>
          <t>成功</t>
        </is>
      </c>
      <c r="C2923" t="inlineStr">
        <is>
          <t>読み方：ぷらすきょく
正極。陽極。⇔マイナス極。</t>
        </is>
      </c>
      <c r="D2923" t="inlineStr">
        <is>
          <t>極僅か；極新会；極化；極まつ；極東の</t>
        </is>
      </c>
      <c r="E2923" t="inlineStr">
        <is>
          <t>よく；最も；非常；非常に；かなり</t>
        </is>
      </c>
      <c r="F2923" t="inlineStr">
        <is>
          <t>皇極；偏極；n極；s極；取極</t>
        </is>
      </c>
      <c r="G2923" t="inlineStr">
        <is>
          <t>極端；極め；極度；極限；極力</t>
        </is>
      </c>
      <c r="H2923" t="n">
        <v>29</v>
      </c>
      <c r="I2923" t="inlineStr">
        <is>
          <t>貿易風は寒い季節に極の方向から多く発生し、夏よりも冬の方が風が強い。；これはウランの自発核分裂の結果、極僅かに生成したものとされている。；この原理からナックルは極僅かな回転と縫い目の向きが重要だとされる。；極稀に、日本放送協会で放送されたアニメが再放送される場合がある。；今日残された作品は全体の極一部に過ぎないと考えられている。；表面温度が高い極からは、表面からガスが放出され、強い極風が生じる。；例を挙げると、中心力場の問題では、極座標系で記述されることが多い。；この理論では極の位置は約305日の周期で変化するものと結論されていた。；ライフル銃のような形をした本体と、N極シールがセットになっている。；それはN極またはS極がもう一方と対ではなく単独で存在するものを指す。；社会と軍隊の関係についても二極的に分離性と結合性の関係の性格に分類できる。；卵の大きさはニワトリのものよりやや大きく、殻の色は極薄い緑色である。；このとき登場した単位は、極以外は仏教用語から取り入れられたものである。；島内には各集落ごとに複数の神社が見られるが、仏教寺院は極少ない。；南極星とは、南側の極星のことで、天の南極に最も近い輝星を意味する。；このほか、世界中の40を越える気象台が、国際極年の観測に協力した。；大陸移動説以前は、これは実際に極が移動したと解釈されていた。；また中心部から極方向に向かって、電離した水素ガスが吹き出している。；この中には、極にあり影に水の氷が存在する可能性を持つクレーターも含まれていた。；極まれに両親とは異なる種族の特徴が隔世遺伝によって現れる事がある。；極付近に近づくにしたがって星は横方向に流れるような動きになる。；これらの曲は後の作品でも使い回されることが極稀にあった。；エドワードは日本が極東だけでなくインドでもイギリスに協力してくれることに感謝した。；西洋音楽でいう微分音に相当する音を用いることも極一般的である。；プラグには電力ヒューズが内蔵されており、電圧側極に接続されている。；これらの人々には共に極左派が多く、エベール派を満足させる決定であった。；特急運用との関係で、極わずかであるが急行列車にも充当されていた。；このプラグはタイプCと似ているが、接地極が設けられている点が異なる。；後にこの套路は軍隊においても採用され、軍隊用八極拳ともいわれた。</t>
        </is>
      </c>
      <c r="J2923">
        <f>HYPERLINK("https://www.weblio.jp/content/極", "词义详情")</f>
        <v/>
      </c>
      <c r="K2923">
        <f>HYPERLINK("https://yourei.jp/極", "查看例句")</f>
        <v/>
      </c>
    </row>
    <row r="2924">
      <c r="A2924" t="inlineStr">
        <is>
          <t>語句</t>
        </is>
      </c>
      <c r="B2924" t="inlineStr">
        <is>
          <t>成功</t>
        </is>
      </c>
      <c r="C2924" t="inlineStr">
        <is>
          <t>読み方：ごく
語や句。また、言葉。</t>
        </is>
      </c>
      <c r="D2924" t="inlineStr">
        <is>
          <t>語句同士；語句自体</t>
        </is>
      </c>
      <c r="E2924" t="inlineStr">
        <is>
          <t>語；文；文章；文句；句</t>
        </is>
      </c>
      <c r="F2924" t="inlineStr">
        <is>
          <t>検索語句；思われる語句；短い語句；重要な語句；同じ語句</t>
        </is>
      </c>
      <c r="H2924" t="n">
        <v>29</v>
      </c>
      <c r="I2924" t="inlineStr">
        <is>
          <t>かれらは、その語句まではわからなくとも意味は理解したにちがいない。；近年の研究では石神井面・仙川面・十条面と言った語句が登場している。；文章よりも個々の語句そのものを注釈の対象とするところに特徴がある。；だが、本来の意味とは異なる意味でこれらの語句が使用されることがある。；ところが日本国内の離れた地方間で、よく似た語句が見られることもある。；存在ではなく種類や数や他の語句が否定される時も にならない。；なかには、一語句でいて、用語例の四つ五つ以上も持っているのがある。；その語句も表現も、外側にそういう滑稽なものをまとっているのである。；具体的に戦争に関わる語句を用いず、暗喩として表現されるものも多い。；マオリ語で否定的な語句を形成することは、極めて文法的に複雑である。；これらの事項に関連する記事の語句は上記の条件に従わなければならない。；その中でも、よく使われる津軽弁の語句をまとめたので参照されたい。；ユダヤ人作家はその語句を無意識に引用している場合が非常に多いのだから。；語句はきわめておだやかで、これといって問題になる箇所はなかった。；この短い語句の中に、その精神のすべてが盛りこまれているのである。；実は彼こそが、この語句を最初に発した人物だと言われている。；酒に酔うと云う言葉はあるが、煙りに酔うと云う語句を耳にした事がない。；著書のタイトルにはそのような語句を使用することが多い。；中には、一語句でゐて、用語例の四つ五つ以上も持つてゐるのがある。；さらに他の歌にも語句の相違が見られるなど、流布本とは系統の異なる本である。；この頃得能物語を時々開いて見ては少しずつ語句を直している。；この は同じくギリシア語の「組み立てる」を元に作られた語句である。；カナックは一般的にカナダ人を示す、主に英語でのスラングまたは語句。；一部の語句は『漢書』王莽伝で、即位時に王莽が述べた言葉にも見える。；ほとんどは聖人や天使の名を取るが、聖書から語句を取った例もある。；例えば次のように、明白な語句の大きく省略されたものになることはよくある。；欧文では、立体活字の文中の語句を強調・区別する目的で使用されている。；これらの語句からARTigoは自動的に絵画のエンジンを構築する。；英語ではpretenderの語句を用いることが一般的である。</t>
        </is>
      </c>
      <c r="J2924">
        <f>HYPERLINK("https://www.weblio.jp/content/語句", "词义详情")</f>
        <v/>
      </c>
      <c r="K2924">
        <f>HYPERLINK("https://yourei.jp/語句", "查看例句")</f>
        <v/>
      </c>
    </row>
    <row r="2925">
      <c r="A2925" t="inlineStr">
        <is>
          <t>国王</t>
        </is>
      </c>
      <c r="B2925" t="inlineStr">
        <is>
          <t>成功</t>
        </is>
      </c>
      <c r="C2925" t="inlineStr">
        <is>
          <t>読み方：こくおう
一国の君主。王と称される、国家の元首。</t>
        </is>
      </c>
      <c r="D2925" t="inlineStr">
        <is>
          <t>国王軍(2%)；国王夫妻；国王派；国王一家；国王選挙</t>
        </is>
      </c>
      <c r="E2925" t="inlineStr">
        <is>
          <t>王；キング；王様；王さま；レックス</t>
        </is>
      </c>
      <c r="F2925" t="inlineStr">
        <is>
          <t>新国王；次期国王；反国王；高麗国王；奴国王</t>
        </is>
      </c>
      <c r="G2925" t="inlineStr">
        <is>
          <t>国王大権；国王一座；国王至上法；国王自由選挙；国王裁判所</t>
        </is>
      </c>
      <c r="H2925" t="n">
        <v>29</v>
      </c>
      <c r="I2925" t="inlineStr">
        <is>
          <t>国王は名称の利用を認めただけで学会の運営は国王とは独立していた。；三部会は国王の同意の下に新たな基本法を制定することさえもできた。；これは国王に承認され、来るべき戦いで決定的な役割を担うこととなる。；次第に議会と国王との対立から議会の地位をめぐる議論が紛糾していった。；もし国王が保護の手を引きあげればユダヤ人虐殺が起こるのが常だった。；しかし王の要求は受け入れられず国王と議会が軍事的に対立することになった。；歴史上で見ても稀にみる長い期間王位に就いている国王であった。；この抗議文への姿勢の違いから議会は国王派と議会派に分裂した。；国王一家は翌日になってから死刑判決を知らされ、最後の面会を行った。；この楽曲は王宮で公演され、国王ルイ15世の関心を惹くことになった。；その中には対外戦争を通じて国王の不実を暴露しようとする議員もいた。；国王が南へと急いだとき、モンターギュ侯の軍が北から接近したのである。；公式の場で斉唱する場合であっても、国王自身が歌唱することは一切ない。；彼はウェストミンスター寺院に埋葬された国王としては最後となった。；本人はこの変化を国王としての責任の重圧が原因だと主張している。；国王が臨席する荘厳な全体集会があるが、この場では審議は行われない。；仲睦まじかったのはごく短い間で、国王は夫の義務を果たさなくなる。；国王の裏切りは民衆の目にも明白なものとなっていったのである。；国王や両班の参列の下に燃灯会や八関会などの仏教儀式が盛んに行われた。；彼らの中の有力な一部は、皇帝・国王と並んで2条約に名を連ねた。；音楽と芸術に興味があった国王の頼みでピアノ演奏を行った。；ロベスピエールは国王が処刑された最後のフランス人となることを望んでいた。；国王に即位した後は父が使用した紋章と同じものを使った。；保護を受ける代わりにユダヤ人は国王に命じられるままに金を献上せねばならなかった。；パンチャーヤト制と呼ばれる国王にきわめて有利な間接民主制が行われた。；那珂川市にある遺跡で、奴国王の住居があったと指摘されている。；不安になったレオポルトは立候補を断念し、国王もそれに承諾を与えた。；ラファイエットは国王に反対した者の中で最も有名であった。；初代国王アブドゥルアズィーズが数多くの妻の中で最も寵愛したの息子である。</t>
        </is>
      </c>
      <c r="J2925">
        <f>HYPERLINK("https://www.weblio.jp/content/国王", "词义详情")</f>
        <v/>
      </c>
      <c r="K2925">
        <f>HYPERLINK("https://yourei.jp/国王", "查看例句")</f>
        <v/>
      </c>
    </row>
    <row r="2926">
      <c r="A2926" t="inlineStr">
        <is>
          <t>国外</t>
        </is>
      </c>
      <c r="B2926" t="inlineStr">
        <is>
          <t>成功</t>
        </is>
      </c>
      <c r="C2926" t="inlineStr">
        <is>
          <t>読み方：こくがい
一国の領土の外。「—追放」⇔国内。</t>
        </is>
      </c>
      <c r="D2926" t="inlineStr">
        <is>
          <t>国外追放；国外脱出；国外流出；国外逃亡；国外向け</t>
        </is>
      </c>
      <c r="F2926" t="inlineStr">
        <is>
          <t>イギリス国外；ロシア国外；中国国外；イタリア国外；国内国外</t>
        </is>
      </c>
      <c r="G2926" t="inlineStr">
        <is>
          <t>国外退去；国外逃亡；国外旅行；国外犯；国外企業</t>
        </is>
      </c>
      <c r="H2926" t="n">
        <v>29</v>
      </c>
      <c r="I2926" t="inlineStr">
        <is>
          <t>同様の現象は、現在までにアメリカ国外を含めてしばしば発生している。；旧ソ連時代は賞金の国外持ち出し額にも厳しい制限があったと言われる。；単独島国のオーストラリアではオーストラリア国外のことを海外という。；これが中国国外で長江を指す言葉としても用いられるようになっている。；イギリスでは国内で処理しきれないため、トルコなど国外に送っている。；最後まで留まっていたユダヤ人もカダフィ政権下で全員国外追放された。；その他、国内へは沖縄行き、国外へは中国行きも設定されることがある。；そのため、彼らの権利を擁護する団体が国内、国外問わず活動している。；亡命先のパリで、ロシア国外では初めてウォッカの製造・販売を始めた。；イタリア国外では、スパゲッティと和えて食されることが一般的である。；先進諸国は国外の供給国に依存するようになり、国際紛争の要因になる。；分布は北海道から琉球列島までと広く、国外でも朝鮮から中国に分布する。；国家政府の支持のもとで対外的にも展開され国外の芸術家にも影響を与えた。；特に私立では、国外への修学旅行を学校の宣伝材料としている場合も多い。；図書館によっては国内のみならず、国外とも相互貸借を行うことがある。；地元の、あるいは国外の数多くの有名なバンドがここでコンサートを開催している。；従って、設定していない国内・国外の航空機はサービスを受けられないことがある。；ソルジェニーツィンは1974年に国外追放された後、賞を受け取った。；以後、時折日本へ帰国はするものの、制作の拠点は国外に移している。；国内より先に国外のG1レースを実況するのは極めてまれなケースである。；国外への渡航は厳しく制限され、国内での移動にも事前の許可が必要である。；国内ではPS2版のみの販売だが、国外ではXbox版も同時発売された。；国外では、本作の作品名を自分たちのバンド名にしたロックバンドもいる。；国外向けの後期出荷版では従来のカートリッジ方式を採用している。；また、国外からの情報を遮断するためにネット検閲が導入されている。；国外では、超大規模なコンプレックスが一つの企業で運営されていることが多い。；この大会には国外からも参加者があり、彼らを通じて広がっていった。；アフリカ出身の作家は、さまざまな事情により国外で暮らす者が多い。；国外に敵を持たなくなっても、国内に敵を持つようになる。</t>
        </is>
      </c>
      <c r="J2926">
        <f>HYPERLINK("https://www.weblio.jp/content/国外", "词义详情")</f>
        <v/>
      </c>
      <c r="K2926">
        <f>HYPERLINK("https://yourei.jp/国外", "查看例句")</f>
        <v/>
      </c>
    </row>
    <row r="2927">
      <c r="A2927" t="inlineStr">
        <is>
          <t>国語</t>
        </is>
      </c>
      <c r="B2927" t="inlineStr">
        <is>
          <t>成功</t>
        </is>
      </c>
      <c r="C2927" t="inlineStr">
        <is>
          <t>読み方：こくご
１一国の主体をなす民族が、共有し、広く使用している言語。その国の公用語・共通語。
２日本の言語。日本語。
３「国語科」の略。「—の先生」
４外来語・漢語に対して、日本固有の言葉。和語。大和(やまと)言葉。
[補説]書名別項。→国語</t>
        </is>
      </c>
      <c r="D2927" t="inlineStr">
        <is>
          <t>国語教師(6%)；国語教科書(4%)；国語国文学科；国語教育学者；国語問題</t>
        </is>
      </c>
      <c r="E2927" t="inlineStr">
        <is>
          <t>言葉；言；言語；用語；舌</t>
        </is>
      </c>
      <c r="F2927" t="inlineStr">
        <is>
          <t>早稲田大学教育学部国語；国語研究；国語国文科；小学校国語；国語調査</t>
        </is>
      </c>
      <c r="G2927" t="inlineStr">
        <is>
          <t>国語辞典；国語学者；国語科；国語学；国語審議会</t>
        </is>
      </c>
      <c r="H2927" t="n">
        <v>29</v>
      </c>
      <c r="I2927" t="inlineStr">
        <is>
          <t>国家標準器の測定値の不確かさの値は、国ごとで異なるのが一般である。；中学・高校の成績は平均以下ながら、本好きのため国語だけは高かった。；日本でも中学校用のすべての国語教科書に彼の作品が収録されている。；ある民族の言語が国語になれば、その民族が国を支配するからである。；国語調査委員会が廃止されると時を同じくして教育調査会が設けられた。；戦前、国語の教師をしたこともあったが、ほとんど仕事はしなかった。；日本においては、日本語を国語から除くという前提が含まれる論が多い。；国語・数学・英語の一部の授業では習熟度別授業も実施されている。；このようにヨーロッパ内でも国ごとにずいぶんと異なっている。；これにたいして19世紀にはすべての科学分野で国ごとの発展が異なった。；軍人にならなかったら故郷で国語か歴史の教師になっていただろうと述懐している。；彼はつまり、一国ごと一〇歳の王女をかかえこんだことになるわけである。；文化学院時代、国語で教鞭をとっていた与謝野晶子の授業を受けている。；これは数学と国語との点数の間に強い相関があることで起こりうる。；裏面は全ての国で共通であるが、表面はそれぞれの国ごとに異なる。；また、父親は高校の国語教師で柔道をやっており、柔道を教え込まれた。；国語をマレー語にしたため、モットーの中の英語部分も置き換えられた。；また、シリーズで初めて繁体中国語版・韓国語版がリリースされている。；国語以外の授業を全て英語で行うバイリンガルコースがメディアでも紹介された。；国ごとの対応サービスは逐一更新されているので公式サイトを参照されたい。；全コースで、英語・数学・国語の習熟度別クラス編成を行っている。；ヨーロッパ諸国は、国ごとにそれぞれ独自の特殊教育体制をとっている。；各ガキの国ごとにガキ大将が君臨し、戦争をしかけては得意がっていた。；河崎は国語の授業を担当しており、その時の教科書は学院内で作っていた。；国語の問題は他校と比べて記述問題が多く、選択肢で答える問題が少ない。；著書の記述の一部が高等学校の国語教科書や大学入試などでよく使用される。；売れ行きは好調ではあったが、この頃は学習塾で国語の講師も務めていた。；高校の国語の教師である母と、元教師で行政関係に従事している父の間に生まれる。；日本語は外国語ではないが、母語とも国語とも母国語とも言い切れない。</t>
        </is>
      </c>
      <c r="J2927">
        <f>HYPERLINK("https://www.weblio.jp/content/国語", "词义详情")</f>
        <v/>
      </c>
      <c r="K2927">
        <f>HYPERLINK("https://yourei.jp/国語", "查看例句")</f>
        <v/>
      </c>
    </row>
    <row r="2928">
      <c r="A2928" t="inlineStr">
        <is>
          <t>国際</t>
        </is>
      </c>
      <c r="B2928" t="inlineStr">
        <is>
          <t>成功</t>
        </is>
      </c>
      <c r="C2928" t="inlineStr">
        <is>
          <t>読み方：こくさい
複数の国家に関係していること。世界的であること。多く他の語の上に付けて用いる。
[補説]国際法の漢訳「万国公法」の中で使用された「各国交際」という語をもとに造語された和製漢語。本来、diplomaticintercourse（＝国家間の交際）の訳語であったが、明治30年代からinternationalの訳語として用いられるようになった。</t>
        </is>
      </c>
      <c r="D2928" t="inlineStr">
        <is>
          <t>国際的(20%)；国際連盟(4%)；国際会議(4%)；国際法上；国際コンクール</t>
        </is>
      </c>
      <c r="E2928" t="inlineStr">
        <is>
          <t>インターナショナル</t>
        </is>
      </c>
      <c r="F2928" t="inlineStr">
        <is>
          <t>国際性；国際色；国際委員会；国際教育；国際親善</t>
        </is>
      </c>
      <c r="G2928" t="inlineStr">
        <is>
          <t>国際大会；国際連合；国際空港；国際線；国際社会</t>
        </is>
      </c>
      <c r="H2928" t="n">
        <v>29</v>
      </c>
      <c r="I2928" t="inlineStr">
        <is>
          <t>なお現在の国際的な基準時刻は概念を修正した協定世界時を用いている。；この物語の国際性は帝国内各地の物語が寄せ集められたことによる。；ただし、この時点でもまだ日本指導者の国際裁判には同意していなかった。；ほとんどは国際式と同じであるが、前線はいずれも点や十字が入らない。；国際連盟はメーメル地方のドイツへの分離を防ぐことができなかった。；この改造案が発表された後、国際エスペラント運動は重大な分裂が続いた。；マルクスは1864年に設立された国際労働者協会の創立宣言を書いた。；このことが1933年に日本が国際連盟から脱退する主要な原因となった。；アメリカが銀の法定備蓄を開始すると、国際市場での銀価格は急騰した。；電力は日本では国内産業であるがヨーロッパでは国際取引されている。；私は将来の国際会議や協議会でエスペラントが採用されることを望みます。；一方、日本人を含めた外国人が被害者となる国際詐欺事件が増加している。；北に隣接するセルビアは紛争当事国となって国際的な制裁下に置かれた。；バハイ教は世界が一つの国際的な補助言語を採用することを主張する。；アテネでは誰もが知る有名な国際的なスポーツの祭典も多く開催されている。；凱旋門賞の成功にあやかって、世界各地に国際的な大競走が創設された。；また国際SIL自体も、方言であるとの意見を排除しないと表明している。；この年は国際舞台でその強さを証明することに成功した。；催しが開かれる時には多くの国際的な学者や研究者がアテネに集まる。；中心脳発作という用語自体はてんかん発作国際分類には残されていない。；各国は、それぞれ多様な国際法の国内法秩序への編入方式を採用している。；石鹸石を使った近現代のジンバブエ彫刻家は国際的な成功を収めている。；最終的に、オーケストラに最も適したサイズとされ国際的な標準になった。；なお、国際的なHSコードではこのような細かい分類を設けていない。；そのため、武器の開発や生産は国際共同が主流となりつつある。；現在でも、特にアメリカとの関係で国際大会への参加に支障が出る場合がある。；イラン映画は、低予算で制作されながらも国際的に高い評価を受けている。；番組表上で国際または国際招待とあるのが出走可能なレースである。；また、本作の受賞は日本映画産業が国際市場に進出する契機となった。</t>
        </is>
      </c>
      <c r="J2928">
        <f>HYPERLINK("https://www.weblio.jp/content/国際", "词义详情")</f>
        <v/>
      </c>
      <c r="K2928">
        <f>HYPERLINK("https://yourei.jp/国際", "查看例句")</f>
        <v/>
      </c>
    </row>
    <row r="2929">
      <c r="A2929" t="inlineStr">
        <is>
          <t>国産</t>
        </is>
      </c>
      <c r="B2929" t="inlineStr">
        <is>
          <t>成功</t>
        </is>
      </c>
      <c r="C2929" t="inlineStr">
        <is>
          <t>読み方：こくさん
１自国で生産・産出すること。また、その産物。「—車」「—のウイスキー」
２その国の産物。
「—多きは国の富じゃ」〈魯文・安愚楽鍋〉</t>
        </is>
      </c>
      <c r="D2929" t="inlineStr">
        <is>
          <t>国産化(7%)；国産初(5%)；国産機(3%)；国産第；国産戦車</t>
        </is>
      </c>
      <c r="F2929" t="inlineStr">
        <is>
          <t>日本国産；国産自動車；国産アニメ；国産空母；国産馬</t>
        </is>
      </c>
      <c r="G2929" t="inlineStr">
        <is>
          <t>国産車；国産品；国産材；国産み；国産技術</t>
        </is>
      </c>
      <c r="H2929" t="n">
        <v>29</v>
      </c>
      <c r="I2929" t="inlineStr">
        <is>
          <t>日本の国産兵器の能力に全幅の信頼を置く人間ばかりではないからである。；これらは国産やヨーロッパ産の繁殖個体が少数で市場に流通している。；日本で国産カレー粉を初めて販売した会社とされているが、異説もある。；その一部は日本にも輸入された他、日本国産のものも各種登場した。；この成功を受け、陸軍も戦車の国産開発のための研究続行を決定した。；黒色火薬も国産化されたが、その原材料である硝石は輸入が主であった。；そこで初の純国産ディーゼル機関車として製作されたのが本形式である。；本作は、日本テレビがシリーズ放送をした初の国産テレビアニメである。；また、実現はしなかったが純国産の列車砲を開発する計画も存在していた。；このため機体の設計開発と製造が国内ならば『国産』と呼ばれることが多い。；その中には国産初の円盤録音機を完成させた坪田も当然含まれていた。；近年は環境の変化から国産のカワヤツメが入手困難になりつつある。；また、これまでに引き続き国産機の開発も行っていく方針である。；このモデルは販売価格が100万円を超えた初の国産オートバイである。；外国への生産依存の姿勢を脱して製品を国産化することとした。；さらに引き揚げた時点で国産護衛艦の建造・就役が開始されていた。；日本人は外国に学びながら徐々に技術力を蓄え、順次国産化していった。；このことから、これらを一括して更新する国産拳銃が開発されることになった。；直線的な単純面構成であり、従来の国産戦車に比べ生産性も高かった。；また後期型では同等の性能を備えた国産機であるOQS-3に更新された。；なお当切手は日本国産の航空機が初めて登場したものであった。；この舞台の主演によって、越路が国産ミュージカル女優第一号となった。；ボールドウィン型台車を国産化したメーカーは、以下のようなものがある。；戦後初の国産護衛艦であり、戦闘指揮所を装備運用した初の国産艦でもある。；現在も高岡市の本社工場で作り続けており、国産を維持したい方針であるという。；二次大戦が始まる頃には、約80種類の国産機が配備されていたといわれる。；長年、「国内で最も普及した国産TRPGである」と紹介されてきた。；現在では航空機を除き、装備のほとんどが国産化されている。；本車両もそれら戦後に開発された国産兵器の一つであり、合計で428両生産された。</t>
        </is>
      </c>
      <c r="J2929">
        <f>HYPERLINK("https://www.weblio.jp/content/国産", "词义详情")</f>
        <v/>
      </c>
      <c r="K2929">
        <f>HYPERLINK("https://yourei.jp/国産", "查看例句")</f>
        <v/>
      </c>
    </row>
    <row r="2930">
      <c r="A2930" t="inlineStr">
        <is>
          <t>国籍</t>
        </is>
      </c>
      <c r="B2930" t="inlineStr">
        <is>
          <t>成功</t>
        </is>
      </c>
      <c r="C2930" t="inlineStr">
        <is>
          <t>読み方：こくせき
１国家の所属員としての資格。「—を取得する」「二重—」
２航空機・船舶などが一定の国に所属する資格。「—不明の潜水艦」</t>
        </is>
      </c>
      <c r="D2930" t="inlineStr">
        <is>
          <t>国籍者；国籍別；国籍を有する者；国籍保有；国籍を持つ選手</t>
        </is>
      </c>
      <c r="E2930" t="inlineStr">
        <is>
          <t>ナショナリティー</t>
        </is>
      </c>
      <c r="F2930" t="inlineStr">
        <is>
          <t>オーストリア国籍；様々な国籍；中国国籍；韓国国籍；タイ国籍</t>
        </is>
      </c>
      <c r="G2930" t="inlineStr">
        <is>
          <t>国籍不明；国籍取得；国籍マーク；国籍条項；国籍不明機</t>
        </is>
      </c>
      <c r="H2930" t="n">
        <v>29</v>
      </c>
      <c r="I2930" t="inlineStr">
        <is>
          <t>ロシアが同国籍を持たない選手を代表に選出したのは初めてであった。；犯人を単に外国人としただけで国籍すら報道しないメディアもあった。；国籍は台湾であったが、両親も日本育ちであり、中国語はできなかった。；メンバーは個性的で癖の強い人物ばかりで国籍も年齢もバラバラである。；国籍を有する者が外国から帰国する際にも入国審査を通過する必要がある。；このため特に移民一世では、国籍の離脱・変更をしなかった者も多かった。；韓国出身以外の韓民族がアメリカ合衆国の国籍を取得した場合は少ない。；そのため、上記の条件を満たしていれば国籍を問わず入団する事が出来る。；しかし個人的に国籍変更してオリンピック出場への思いは強くなっていった。；異なる国籍の者同士で国際結婚を行い、配偶者の子供を養子にする場合。；犯人グループは乗客からパスポートを取り上げ国籍のチェックを始めた。；ドイツ国籍の母とオーストリア国籍の父を持ち、両国籍を取得している。；年齢・性別・国籍などを問わず誰でも指定会場にて受験することができる。；両親の出会いの地はデンマークで、自身もデンマーク国籍を有している。；この初期の頻繁な移住は現代でウォレスの国籍について論争を起こした。；外国人とは、ある国家の国民から見て、その国家の国籍を有しない者のこと。；メキシコにも少数だがインディアンは存在するため、現在の国籍になった。；ただ、現在でも、代表に関係なく、欧州の国籍を取得をする選手は多い。；と書かれてあり、国籍の有無による区別は人種差別ではないとしている。；在日韓国人のための学校と思われがちだが、国籍に関係なく入学できる。；アメリカ人男性と結婚して1991年にアメリカ合衆国の国籍を取得。；コイコイ人と、様々な国籍の奴隷たちは、全て違った法で統治されていた。；これ以降は南ヨーロッパや中国などイギリス以外の国籍の移民が増加した。；また、イギリス商人の中にも国籍を偽装して継続する者たちがいた。；所属国は出身国や国籍のある国ではなく、使用している機体の国の様子である。；どちらも選択せずにソ連国籍を選んだ者も存在していた。；民間軍事会社の社員は多くは警察、軍の出身者であり、国籍も多様である。；人は必ず国籍を持ち、かつ唯一の国籍を持つべきとする原則である。；教師も、中国や台湾だけではなく日本やカナダなどの国籍を持つ教師が在籍している。</t>
        </is>
      </c>
      <c r="J2930">
        <f>HYPERLINK("https://www.weblio.jp/content/国籍", "词义详情")</f>
        <v/>
      </c>
      <c r="K2930">
        <f>HYPERLINK("https://yourei.jp/国籍", "查看例句")</f>
        <v/>
      </c>
    </row>
    <row r="2931">
      <c r="A2931" t="inlineStr">
        <is>
          <t>告知</t>
        </is>
      </c>
      <c r="B2931" t="inlineStr">
        <is>
          <t>成功</t>
        </is>
      </c>
      <c r="C2931" t="inlineStr">
        <is>
          <t>読み方：こくち
［名］(スル)
１告げ知らせること。通知すること。「癌(がん)を—する」「—広告」
２当事者の一方の意思表示によって、賃貸借・雇用・委任などの継続的契約を終了させ、将来に向かって効力を消滅させること。解約の申し入れ。→解除</t>
        </is>
      </c>
      <c r="D2931" t="inlineStr">
        <is>
          <t>告知する(7%)；告知される(3%)；告知ポスター；告知cm；告知放送</t>
        </is>
      </c>
      <c r="E2931" t="inlineStr">
        <is>
          <t>発表；触れ；案内；宣言；広告</t>
        </is>
      </c>
      <c r="F2931" t="inlineStr">
        <is>
          <t>発売告知；イベント告知；終了告知；音声告知；告知音</t>
        </is>
      </c>
      <c r="G2931" t="inlineStr">
        <is>
          <t>告知せず；告知義務違反</t>
        </is>
      </c>
      <c r="H2931" t="n">
        <v>29</v>
      </c>
      <c r="I2931" t="inlineStr">
        <is>
          <t>コーナー前に森山のコンサート・ライブの告知がなされる場合があった。；学校や兵舎でも公式な告知や発表文でも広く使われて周知されていった。；並びに何か事故が発生した場合は、発走前に告知するようになっている。；録音となる場合は事前に録音を行う告知が行われ、お便りの募集を行う。；当初、本作発売告知段階は15曲だったが最終的に14曲に変更された。；それぞれのステージでそれぞれの小役告知演出と発展演出が存在する。；このジャケットデザインは初期のライブ告知ポスターによく使用された。；この際、作品内容についても幅を広げる方針が、次のように告知された。；このことは、大会本部がホームページで事前に参加希望者に告知している。；事前に正式な出演の告知はされておらずシークレット扱いであった。；左側に拡幅を伴う道路改良工事を告知する案内看板が設置されている。；その際には数回前の放送で告知をし、視聴者からの投票を受け付けていた。；リスナー質問が再び採用されることを番組中告知するようになった。；放送数週前に荒井班が担当する番組の情報ページにて番組の告知をしていた。；日本国内でも販売されると告知されたが、直前になり中止された。；で取り上げるすべてのリーグの予定を他局衛星波も含めて告知している。；今作では、マリンの衣装及び告知音を選択できる項目が追加されている。；収録告知は番組のエンディングで行われ、その翌日に収録が行われる。；広告放送も行われており、広告の開始前と終了後に告知のお知らせが流れる。；過去には放送に合わせたチャット大会が告知されたこともあった。；幽霊は何かを告知したり要求するために出現するとされていた。；発売告知ポスターにはデビュー一周年記念シングルと記載されている。；スポット枠の場合はパーソナリティの代わりに次の放送時間を告知する。；ツアーの実施告知がイベント化したのもこの頃からである。；宮武は他に前述の告知パンフ等で使用されたイメージイラストも描いている。；出演番組やCD等の発売などの告知を賭けゲストがクイズに挑戦する企画。；ファン感謝イベント終了後、現戦士の一斉卒業が決定し告知された。；時期や詳細な内容は公演が近づくと、大学の公式ホームページで告知される。；他にもいろいろな告知があり、普段は見られないパターンが出現するとアツい。</t>
        </is>
      </c>
      <c r="J2931">
        <f>HYPERLINK("https://www.weblio.jp/content/告知", "词义详情")</f>
        <v/>
      </c>
      <c r="K2931">
        <f>HYPERLINK("https://yourei.jp/告知", "查看例句")</f>
        <v/>
      </c>
    </row>
    <row r="2932">
      <c r="A2932" t="inlineStr">
        <is>
          <t>国定</t>
        </is>
      </c>
      <c r="B2932" t="inlineStr">
        <is>
          <t>成功</t>
        </is>
      </c>
      <c r="C2932" t="inlineStr">
        <is>
          <t>読み方：こくてい
国家が制定すること。</t>
        </is>
      </c>
      <c r="D2932" t="inlineStr">
        <is>
          <t>国定史跡(15%)；国定歴史(7%)；国定銀行(6%)；国定公園(5%)；国定記念物(4%)</t>
        </is>
      </c>
      <c r="F2932" t="inlineStr">
        <is>
          <t>国定レクリエーション；教科書国定；国定野生生物保護区；国定古跡；第一国定</t>
        </is>
      </c>
      <c r="G2932" t="inlineStr">
        <is>
          <t>国定教科書；国定忠治；国定歴史建造物；国定忠次；国定記念建造物</t>
        </is>
      </c>
      <c r="H2932" t="n">
        <v>29</v>
      </c>
      <c r="I2932" t="inlineStr">
        <is>
          <t>これは東部アメリカ合衆国では初めての国定歴史の道ということになった。；これは新しい国定銀行法の下で組織化されたことでは同市初の銀行だった。；この戦闘が起こった場所は現在、テューペロ国定戦場跡に指定されている。；第一に、国定のドレスコードであるの扱いを、推奨から義務に変更した。；それぞれの都市に要塞があり、それぞれの国の国定史跡に指定されている。；この動きを助けるように多くの地域や建物が国定歴史登録財に追加されてきた。；司法院の建物は「司法大廈」と呼ばれ台湾の国定史跡に指定されている。；戦場跡はホースシュー・ベンド国定軍事公園の中に保存されている。；能登半島国定公園は能登半島の海岸一帯を主体とする国定公園である。；デスバレー国定史跡は1933年に指定され連邦政府の保護下に入った。；いずれの場合も、バルク製品は国立の石油会社に国定の価格で販売される。；彼の縄張りは国定村を中心にした付近一帯であったらしい。；国定史跡に制定されても、史跡そのものに法的な保護規定は特にない。；島の大半は1978年に指定されたアドミラルティ島国定記念物に含まれている。；国定史跡の水中考古学によって調査され、歴史的に重要な物が発見された。；戦場跡は現在レーズン川国定戦場公園の一部となっている。；ロードアイランドの戦場跡は1974年に国定歴史史跡に指定された。；また村にあるとはジョージアの国定不動産文化財に指定されている。；ダウンタウン地区の大半は国定歴史施設に登録されている。；バリームーン城はアイルランド国定歴史記念物に指定されている。；インドでは国定暦以外にもサカ紀元を紀元とする暦が数多く存在する。；しかし大西は国定らを前に抗戦論を述べることはなく、その夜のうちに自決した。；サリナスプエブロ伝道所国定記念物のクアライ遺跡は町の近くに位置している。；その跡地は1935年にアメリカ合衆国国定記念物に指定された。；この地は1990年にアメリカ合衆国国定歴史史跡に登録された。；しかし湯治客数の減少により国定温泉の将来は不安定なものとなった。；世界遺産に登録されているのは、アイルランドの国定史跡にもなっている部分である。；それでは困るというので国定期を買ってくれる。；この時期から残っている家は少なくとも4軒あり、現在は国定歴史史跡に登録されている。</t>
        </is>
      </c>
      <c r="J2932">
        <f>HYPERLINK("https://www.weblio.jp/content/国定", "词义详情")</f>
        <v/>
      </c>
      <c r="K2932">
        <f>HYPERLINK("https://yourei.jp/国定", "查看例句")</f>
        <v/>
      </c>
    </row>
    <row r="2933">
      <c r="A2933" t="inlineStr">
        <is>
          <t>国土</t>
        </is>
      </c>
      <c r="B2933" t="inlineStr">
        <is>
          <t>成功</t>
        </is>
      </c>
      <c r="C2933" t="inlineStr">
        <is>
          <t>読み方：こくど
１一国の統治権の及ぶ範囲の土地。領土。「—を防衛する」
２その国の土地。大地。「—の開発」
３ふるさと。郷土。
４仏語。すべての生命あるものが住む所。
[補説]書名別項。→国土</t>
        </is>
      </c>
      <c r="D2933" t="inlineStr">
        <is>
          <t>国土防衛(2%)；国土開発(2%)；国土面積；国土安全保障；国土佐郡</t>
        </is>
      </c>
      <c r="E2933" t="inlineStr">
        <is>
          <t>領域；領；領土；領地；ドメイン</t>
        </is>
      </c>
      <c r="F2933" t="inlineStr">
        <is>
          <t>土佐国土佐郡；全国土；広い国土；狭い国土；わが国土</t>
        </is>
      </c>
      <c r="G2933" t="inlineStr">
        <is>
          <t>国土地理院；国土交通大臣；国土交通；国土計画；国土庁</t>
        </is>
      </c>
      <c r="H2933" t="n">
        <v>29</v>
      </c>
      <c r="I2933" t="inlineStr">
        <is>
          <t>これに続くのが国土面積や人口で比較にならないが中国と日本である。；交通の要衝であることは、国土防衛上重要な地点であることも意味する。；国土法事件で逮捕された際に宗教弾圧であるとして多くの書籍を出版した。；電子国土基本図が整備されるまで、国土の基本図と位置づけられてきた。；国土が広大であるため地図の上ではサービスがまったくない区域が多数存在する。；世界では広大な国土を持つ中国で多くの寝台バスが運行されている。；アナトリア半島が国土の大半を占めるが、以下の国を含む場合もある。；また、国土の東部にはドリナ川が流れ、セルビアとの国境となっている。；FIRは国土の面積や経済力に関係なく、むしろ地理的な条件で決まる。；国民と国土のどちらが欠けても、一般には国家としては認識されない。；国土の中央など東西に山脈が走り、国土を数多くの峡谷に分断している。；西部には丘陵が存在するが、国土の最高地点でも749mにすぎない。；国土の最高点でも標高73mにすぎないなど非常に平坦な地形である。；だが、この県は国土の端にあり、我の下にいれば大概の問題は対処できる。；この地主は全国に数十人おり、彼らの家族が国土の半分以上の土地を所有している。；また、これはデンマークの国土面積にほぼ相当し、日本の九州より大きい。；アメリカ合衆国において特にこの方式は発達し、広大な国土の発展を支えた。；国土に平野部が多いことから、トンネルが極端に少ないことが特筆される。；かつてリトアニア大公国の時代にヴィリニュスは国土の中央にあった。；デンマーク王国は国土の大半が北極圏の北に位置する世界で唯一の国家である。；ブラジルは国土が広大で人口が多いために古くより航空業界の動きが活発である。；国土の大部分がサハラ砂漠の一部であり、面積の大半を砂漠が占める。；国土の大半を占めるサハラ砂漠を緑化したいという強い希望を示している。；広大な国土をもつ中国では地方ごとに傾向が異なる。；タイ軍は、王国の王制・独立・国土を保全するために戦力を準備する。；白は平和、緑は国土の南半分の森林であり、希望を意味している。；以後はフランス国土を東に進み国境を越えドイツへ。；国土はいくつかのtysyachasとヴォロスチに分けて管理されていた。；国内各地でゲリラ戦が行なわれ、国民所得の激減と国土の荒廃が進んだ。</t>
        </is>
      </c>
      <c r="J2933">
        <f>HYPERLINK("https://www.weblio.jp/content/国土", "词义详情")</f>
        <v/>
      </c>
      <c r="K2933">
        <f>HYPERLINK("https://yourei.jp/国土", "查看例句")</f>
        <v/>
      </c>
    </row>
    <row r="2934">
      <c r="A2934" t="inlineStr">
        <is>
          <t>国内</t>
        </is>
      </c>
      <c r="B2934" t="inlineStr">
        <is>
          <t>成功</t>
        </is>
      </c>
      <c r="C2934" t="inlineStr">
        <is>
          <t>読み方：くぬち
《「くにうち」の音変化》国の内。こくない。
「悔しかもかく知らませば青丹よし—ことごと見せましものを」〈万・七九七〉</t>
        </is>
      </c>
      <c r="D2934" t="inlineStr">
        <is>
          <t>国内最大；国内向け；国内初；国内で最も；国内各地</t>
        </is>
      </c>
      <c r="E2934" t="inlineStr">
        <is>
          <t>薄い；淡い；控えめな</t>
        </is>
      </c>
      <c r="F2934" t="inlineStr">
        <is>
          <t>中国国内；イギリス国内；ドイツ国内；ロシア国内；イタリア国内</t>
        </is>
      </c>
      <c r="G2934" t="inlineStr">
        <is>
          <t>国内線；国内リーグ；国内法；国内市場；国内販売</t>
        </is>
      </c>
      <c r="H2934" t="n">
        <v>29</v>
      </c>
      <c r="I2934" t="inlineStr">
        <is>
          <t>地元の伝承ではラボックの一人当たりの教会の数では国内最大と言われる。；フランスでは国内版にないRGB出力を追加された仕様で発売された。；ロシア国内ではこのほかの多くの都市でもトロリーバスが運行されている。；アンティオコス3世は即位するとすぐ国内の反乱勢力の多くを鎮圧した。；またこれは、国内の複数の島に広がることもあって複雑なものとなっている。；ただし、当初は国内でそれを認めていた人は必ずしも多くなかった。；中国国内の孔子廟の多くは文化大革命時に破壊されたり損傷を受けている。；ただしこのほとんどは国内で消費され、輸出はほとんど行われない。；これにより、国内3大タイトルを全て獲得した5つ目のクラブとなった。；イギリス国内およびヨーロッパのいくつかの都市を結んでいる。；ただし、その後もポーランド国内でのユダヤ人人口は減少を続けた。；ロシア国内にはガガーリンにちなんだ名称の地名や事物が複数存在する。；それぞれの国内では全ての公用語で情報が行き渡るようになっている。；主に国内農業で使用されるピックアップトラックや多目的車が製造されている。；このため、国内輸送において航空輸送はほとんど意味を持っていない。；トルコ国内ではサッカーが圧倒的に1番人気のスポーツとなっている。；ラオス国内ではサッカーが圧倒的に1番人気のスポーツとなっている。；イラクは鉄道が発達しており、国内の主要都市すべてが鉄道で結ばれている。；そのほか、いくつかの国には、国内機関が定めたローカルなコードがある。；国内での加工がある場合には表示義務に応じた表示がなされる。；国内版からそのまま移植されているのではなく、様々な変更が加えられている。；日本馬が国内のレースだけで出走権を得ることが可能になった。；また太陽光発電に付いても国内最大の開発可能性を有している。；標準軌鉄道の存在する国・地域とその路線長、同国内での割合は以下の通り。；ソ連からの独立後、国内に残った残留ロシア人の問題を抱えている。；ケニア国内では、陸上競技とサッカーが最も人気のスポーツとなっている。；ブルネイ国内では、サッカーが圧倒的に1番人気のスポーツとなっている。；家畜生産量でも国内で最大級であり、牛が最も収益を上げる生産物である。；国内ではメガソーラーなどの大規模発電に適した土地が少なくなっている。</t>
        </is>
      </c>
      <c r="J2934">
        <f>HYPERLINK("https://www.weblio.jp/content/国内", "词义详情")</f>
        <v/>
      </c>
      <c r="K2934">
        <f>HYPERLINK("https://yourei.jp/国内", "查看例句")</f>
        <v/>
      </c>
    </row>
    <row r="2935">
      <c r="A2935" t="inlineStr">
        <is>
          <t>告白</t>
        </is>
      </c>
      <c r="B2935" t="inlineStr">
        <is>
          <t>成功</t>
        </is>
      </c>
      <c r="C2935" t="inlineStr">
        <is>
          <t>読み方：こくはく
［名］(スル)
１秘密にしていたことや心の中で思っていたことを、ありのまま打ち明けること。また、その言葉。「罪を—する」
２キリスト教で、自己の信仰を公に表明すること。また、自己の罪を神の前で打ち明け、罪の許しを求めること。
[補説]書名別項。→告白</t>
        </is>
      </c>
      <c r="D2935" t="inlineStr">
        <is>
          <t>告白する(16%)；告白しよ；告白すれ；告白書；告白文</t>
        </is>
      </c>
      <c r="E2935" t="inlineStr">
        <is>
          <t>認識；承認；認知；白状；自白</t>
        </is>
      </c>
      <c r="F2935" t="inlineStr">
        <is>
          <t>自ら告白；正直な告白；信仰告白；恐ろしい告白；率直な告白</t>
        </is>
      </c>
      <c r="G2935" t="inlineStr">
        <is>
          <t>告白録；告白本；告白実行委員会；告白実行委員会〜恋愛シリーズ〜</t>
        </is>
      </c>
      <c r="H2935" t="n">
        <v>29</v>
      </c>
      <c r="I2935" t="inlineStr">
        <is>
          <t>ちなみにこの企画を先に耳にしていたら絶対反対したとも告白している。；調査者は、手紙には隠された犯人の告白が書かれていたと主張している。；告白者の償いによる心の再生に貢献してはじめて完全な父親になり得る。；代助の告白は平岡と結婚する前の3年前に聞きたかったと三千代は泣く。；主人公である神野直人は昔から恋心を抱いていた真辺リカに告白をした。；その後帰国したが、経由地のボストンで帰国したかったと告白している。；自身の家庭を恵まれたものとは感じていなかった事を告白している。；番組終了の原因は、スポンサーがつかなかったことと最終回に告白した。；耐えられなくなった美禰子はついに事件の真相を糸川の家族に告白する。；そこで先生に愛を告白するが、すでに彼には婚約者が居ることを知る。；小学生にして酒を覚えたこと、古本屋で万引きした経験も告白している。；これは、読者より寄せられた告白体験をまとめたと称する書籍である。；信仰告白とは、信仰を神と人とに告白すること、また表現した文書を指す。；意を決して告白しようとする度に運悪く邪魔が入ってしまう。；ベルリオーズ自身の失恋体験を告白することを意図した標題音楽である。；金比羅神社は主人公が幼馴染に告白されたシーンの神社として知られる。；にに出演した際にはセラピストとして活動していると告白していた。；皇帝に即位する際に求められていたことは、わずかに正しい信仰の告白のみである。；番組登場当初からスタッフを兼ねている事がブログやイベントで告白されている。；この自伝的な内容の脚本はどうしても他人にやらせたくなかったと告白している。；そのために、当時はこの曲がヒットしたことが信じられなかったと後に告白している。；イベントをくぐりぬけ、最終的に女の子へ告白をする事が目的となる。；ブリーはジョージには気持がないことを伝え、夫を愛していると告白する。；そして告白ステージや水掛けといったイベントが毎年行われている。；また、「私は検証主義者であると告白する準備もある」とも述べている。；後日、養子であることを知るが両親には最後まで聞かなかったと告白している。；わずかな量で意識が無くなると告白し、更には呼吸停止に陥った事もある。；イドメネオは自分の息子が生け贄であると告白し、民衆は恐怖に震える。；恋愛の告白には佩綬を送ることがよく行われていたようである。</t>
        </is>
      </c>
      <c r="J2935">
        <f>HYPERLINK("https://www.weblio.jp/content/告白", "词义详情")</f>
        <v/>
      </c>
      <c r="K2935">
        <f>HYPERLINK("https://yourei.jp/告白", "查看例句")</f>
        <v/>
      </c>
    </row>
    <row r="2936">
      <c r="A2936" t="inlineStr">
        <is>
          <t>黒板</t>
        </is>
      </c>
      <c r="B2936" t="inlineStr">
        <is>
          <t>成功</t>
        </is>
      </c>
      <c r="C2936" t="inlineStr">
        <is>
          <t>読み方：こくばん
チョークで文字や図が書けるように黒または緑の塗料を塗った板。</t>
        </is>
      </c>
      <c r="D2936" t="inlineStr">
        <is>
          <t>黒板に書か(2%)；黒板五郎；黒板に大きく；黒板に叩きつけ；黒板用</t>
        </is>
      </c>
      <c r="E2936" t="inlineStr">
        <is>
          <t>ボールド；塗板</t>
        </is>
      </c>
      <c r="F2936" t="inlineStr">
        <is>
          <t>大きな黒板；小さい黒板；小黒板</t>
        </is>
      </c>
      <c r="G2936" t="inlineStr">
        <is>
          <t>黒板勝美；黒板拭き；黒板太字；黒板太字体；黒板アート甲子園</t>
        </is>
      </c>
      <c r="H2936" t="n">
        <v>29</v>
      </c>
      <c r="I2936" t="inlineStr">
        <is>
          <t>数日経った放課後、教室の後ろの黒板に描かれた図を見て息が止まった。；蛍が一人で子供を産もうとしている、黒板家はお前の家族だと説得する。；チョコレートを食べると耳の中で黒板を引っ掻くような音がするという。；国語担当の女性教師は、教科書と黒板以外には目を向けまいとしていた。；その時、授業中だというのに、黒板のある前方の引き戸が静かに開いた。；だが、教科書がないので、いやでも黒板に書いて教へねばならなかつた。；席に着き、神名は何も書かれていない黒板をじっと見つめながら考えた。；かれは、地図をひらき、詳細な地形を知るため大きな黒板を用意させた。；先生が後ろ向きになって黒板に字を書いていると、妙な音がしました。；つきあたりの壁にかけられた黒板にむかって、サリー姿の女が立っていた。；目が覚めると周りには誰もおらず、黒板に台風警報とのみ書かれていた。；その状態は、ぼくが黒板にざっと書いた図形でおわかりになるでしょう。；隣に席はなく、黒板を眺めようとする誰の視界の中にも入らない場所。；まるで、小学校の教室の後ろの黒板に書いてある、今週の目標みたいな。；室内で目を引くものといえば、備品の中でも特に大きな面積を占める黒板。；視線を近くに戻すと、先ほどよりも数式の増えた黒板が再び実体化した。；それでメー師は自分の学校で黒板を使用しはじめた、とのことである。；小さな音に続くように、激しい音をたてて西側の黒板に亀裂が走った。；黒板の上に忘れられた前任者の日記を見つけ、なんとか生活を始めていく。；黒板に書いて説明するだけの馬鹿監督なら誰もついていかない。；報道協定の連絡用黒板が設置され、専用の受付には役人が常駐している。；厳しい現実にさらされながらも、黒板家の三人はたくましく生きていく。；まるで予想だにしなかった奴が黒板の前に立っていたからだ。；一方で教室の黒板にはロシア兵からの謝罪ともとれる文章が残されていてた。；その前半は黒板を前にして坐した、その後半は黒板を後にして立った。；三階の大会議室には黒板を背に二十五人の役員とその候補者が並んでいた。；と、黒板同士の間にちょっと隙間を空けて、白いチョークを中に入れた。；学校の黒板の半分くらいの大きさで、四〇ばかりの客室の写真が並んでいる。；何を始める気なのか、彼はチョークを手に取り、黒板に文字を書き始める。</t>
        </is>
      </c>
      <c r="J2936">
        <f>HYPERLINK("https://www.weblio.jp/content/黒板", "词义详情")</f>
        <v/>
      </c>
      <c r="K2936">
        <f>HYPERLINK("https://yourei.jp/黒板", "查看例句")</f>
        <v/>
      </c>
    </row>
    <row r="2937">
      <c r="A2937" t="inlineStr">
        <is>
          <t>克服</t>
        </is>
      </c>
      <c r="B2937" t="inlineStr">
        <is>
          <t>成功</t>
        </is>
      </c>
      <c r="C2937" t="inlineStr">
        <is>
          <t>読み方：こくふく
［名］(スル)努力して困難にうちかつこと。「病を—する」</t>
        </is>
      </c>
      <c r="D2937" t="inlineStr">
        <is>
          <t>克服するため(8%)；克服でき(4%)；克服しよ(4%)；克服する方法；克服する必要</t>
        </is>
      </c>
      <c r="E2937" t="inlineStr">
        <is>
          <t>勝利；征服；誘惑；征伐；乗り越える</t>
        </is>
      </c>
      <c r="F2937" t="inlineStr">
        <is>
          <t>克服できる可能性；克服せら；克服キャンペーン；克服すべき対象；克服する術</t>
        </is>
      </c>
      <c r="H2937" t="n">
        <v>29</v>
      </c>
      <c r="I2937" t="inlineStr">
        <is>
          <t>この問題は芸術に代表される物質的な手段を用いることで克服できる。；彼はその克服のために初めて考え、彼なりの結論を出すこととなった。；その際に受けたインタビューにて咽頭癌を克服した旨を明らかにした。；ピアノの作音楽器に劣後する特性を何とか克服しようとするものである。；しかし、ある番組の中では3リットル飲んでるので克服したと思われる。；そこで待っていたのは厳しい修行と挫折・困難・そして克服の日々だった。；過去の失敗を克服するために、次のような点が特徴になっている。；障害を克服するため、剣道や居合の稽古をより行うようになったという。；このような実存の悲劇を克服するのがキリストだとティリッヒは述べる。；しかしながら近年はこれらの事態を克服しつつあり、プラス成長に転じた。；しかし、これは試料を回転させて観察する事で容易に克服できる問題である。；神は、自身のうちなるこの対立を自ら克服し、愛をもってこれを覆う。；また当初は折り合いが心配されていたが、年を重ねるごとに克服した。；右の手指3本を事故で失っていたが、左ブローに磨きをかけこれを克服。；そこでコンプレックスを克服し、自然と演技に興味を持つようになる。；私は医師が勧めるあらゆること実践しており、私はそれを克服しつつある。；この文明の技術を使用することで過酷な環境を克服し、国家を建設するに至る。；自己との間に矛盾を感じるが、新たな解決策を見つけることでそれを克服する。；このような四面楚歌の状態を克服し、彼は新たなポジションを考案する。；紙製の容器の場合、容器外側を段ボール状にしてこの点を克服している。；存在を認めていない恐れは、解決も克服もできないからである。；心身両面に安定感を身に付けて大分在籍時から続いた守備の粗さを克服。；認知行動療法は、人々の恐れを克服することを助けることに成功してきた。；これを克服するために採用される手法の一つがパルス圧縮である。；しかし当時は、技術的な困難を克服することはできず、この計画は頓挫した。；また、政府財政も日露戦争以来続いた財政難を克服することに成功する。；この術には欠点が存在していたが、仙人モード会得と同時に克服している。；この問題を克服するためにブレーキアームの厚みを小さくした製品もある。；後には薬物中毒を克服し、インタビューで薬物の使用を非難している。</t>
        </is>
      </c>
      <c r="J2937">
        <f>HYPERLINK("https://www.weblio.jp/content/克服", "词义详情")</f>
        <v/>
      </c>
      <c r="K2937">
        <f>HYPERLINK("https://yourei.jp/克服", "查看例句")</f>
        <v/>
      </c>
    </row>
    <row r="2938">
      <c r="A2938" t="inlineStr">
        <is>
          <t>国防</t>
        </is>
      </c>
      <c r="B2938" t="inlineStr">
        <is>
          <t>成功</t>
        </is>
      </c>
      <c r="C2938" t="inlineStr">
        <is>
          <t>読み方：こくぼう
外敵の侵略に対する、国家の軍事力による防衛。</t>
        </is>
      </c>
      <c r="D2938" t="inlineStr">
        <is>
          <t>国防上(6%)；国防次官(4%)；国防費(3%)；国防国家(2%)；国防部長(2%)</t>
        </is>
      </c>
      <c r="F2938" t="inlineStr">
        <is>
          <t>広義国防；国防力；担当国防；国防計画；国防政府</t>
        </is>
      </c>
      <c r="G2938" t="inlineStr">
        <is>
          <t>国防軍；国防相；国防総省；国防大臣；国防長官</t>
        </is>
      </c>
      <c r="H2938" t="n">
        <v>29</v>
      </c>
      <c r="I2938" t="inlineStr">
        <is>
          <t>アメリカ合衆国の国防方針を表すものとしては最も主要な公文書である。；国防は脅威から国家を守ることであるが、そのためには手段が必要である。；さらに後継の国防大臣を任命せず、直接国防三軍を指揮すると宣言した。；国防は国家を単に守ることではなく、脅威から国家を守ることである。；国防報告書の中で中華民国陸軍の任務として下記の内容が規定されている。；これには国防軍だけではなく、親衛隊や警察なども全面的に協力していた。；国防・安全保障政策の基本的な判断と決定は選挙で選出された国民の代表が行う。；基本的に自由主義は国防問題に適用されることを想定していない。；そして彼らは満蒙問題の解決や高度国防国家の建設に乗り出すことになる。；その後アメリカ軍をはじめとする連合国軍が日本の国防を担当した。；省に昇格しても、専守防衛の国防方針に変わりはないと表明している。；江戸時代後期になると文化4年国防上の理由から留萌郡域は天領とされた。；また、今大会より国防競技を採用し、軍事教練的な要素が強くなった。；ソビエトと言う強大で明確な敵を失った事で、国防費の削減が進められた。；国防・スポーツ省と共同で立ち上げた育成計画・エリート支援プログラム。；前線基地からの先制攻撃一辺倒だった国防戦略に、大きな修正を迫った。；海軍国防所要兵力整備十年構想の後半六ヵ年計画にあたるものである。；国防の任務は、オーストラリアとオーストラリアの国益の防衛である。；その他、国防面や地域の産業の必要から岡山県内の鉄道と道路の整備に貢献した。；それは教育の改善・インフラの整備・国防の充実・産業貿易の振興であった。；浙江省南部沿岸は天然の国防拠点であり、古くから必争の地とされてきた。；日本では、国防施設や重要施設も、公有地からの行う分には撮影禁止ではない。；林彪国防部長の失脚後は夫の周恩来と江青ら4人組との対立が激化した。；日中戦争が勃発すると、李璜は国防最高委員会参議会委員に招聘された。；したがって基本的には民兵によって国防は実施されなければならないと考える。；台湾に戻った李は、三軍連合大学や国防研究院で訓練を受けている。；あまりに詳細な地図のため、国防上の問題から幕府が流布を禁じたためである。；現在は防衛問題研究家として安全保障・国防問題などを中心に取材して執筆している。；また、指導される民主主義期のスカルノ内閣では国防治安大臣を務めた。</t>
        </is>
      </c>
      <c r="J2938">
        <f>HYPERLINK("https://www.weblio.jp/content/国防", "词义详情")</f>
        <v/>
      </c>
      <c r="K2938">
        <f>HYPERLINK("https://yourei.jp/国防", "查看例句")</f>
        <v/>
      </c>
    </row>
    <row r="2939">
      <c r="A2939" t="inlineStr">
        <is>
          <t>国民</t>
        </is>
      </c>
      <c r="B2939" t="inlineStr">
        <is>
          <t>成功</t>
        </is>
      </c>
      <c r="C2939" t="inlineStr">
        <is>
          <t>読み方：くにたみ
一国の人民。こくみん。</t>
        </is>
      </c>
      <c r="D2939" t="inlineStr">
        <is>
          <t>国民的(7%)；国民生活(2%)；国民全体；国民議会議員；国民精神</t>
        </is>
      </c>
      <c r="E2939" t="inlineStr">
        <is>
          <t>市民；民；人民；国人；臣民</t>
        </is>
      </c>
      <c r="F2939" t="inlineStr">
        <is>
          <t>アメリカ国民；ドイツ国民；諸国民；イギリス国民；フランス国民</t>
        </is>
      </c>
      <c r="G2939" t="inlineStr">
        <is>
          <t>国民学校；国民政府；国民投票；国民議会；国民革命</t>
        </is>
      </c>
      <c r="H2939" t="n">
        <v>29</v>
      </c>
      <c r="I2939" t="inlineStr">
        <is>
          <t>ただし、捜査情報の一部を公開して広く国民の協力を求める場合もある。；他のソ連国民同様、第二次世界大戦は一家に大きな苦しみをもたらした。；この姿が当時の国民に親しまれ、一番印象に残る姿となったといわれる。；なお昭和天皇がラジオで国民に向けて話すのは初めてのことであった。；国民または国家の主権とは、一人の人または、住んでいる人たちである。；また、独立にまつわる建物を設定して国民の啓発を行っている国もある。；現代でも食料・飲み水・農業・輸送などあらゆる面で国民生活を支えている。；初連載ながらも1999年にはアニメ化され、国民的人気作品となった。；もう一つの問題は国家が国民からの信頼を失っている点にある。；国民は、居住する地理範囲に一つの国家を形成することが予定される。；いかに叩き込んだところで消化が出来なければ国民の栄養にはなるまい。；この演説は多くのベルリン市民やドイツ国民の心に残ることとなった。；カトリックでありながら反英でもある新たな国民性の精神が芽生えた。；しかし、高額な消費財を国民に提供することは、満足にはできなかった。；この陰謀論は広く受け入れられ、ドイツ国民は自身を被害者とみなした。；国民に向けて最も多くの戦争報道をしたのが新聞であった。；国民が国家に対し、行為や給付、制度の整備などを要求する権利である。；住民は国家の管轄下に置かれているために国民と呼ばれる。；国民の要件は憲法で定めている場合もあれば法律に委ねている場合もある。；また、国民の中にはフランス語で日常会話をしている者もいる。；こうして3つの国家、2つの国民、1つの民族と呼ばれる時代が始まる。；国家国民のためにならない政治家が生まれるのは問題だ。；そのため、それらのコンピュータは国民に知らされることはなかった。；このため、国民生活は実質的な収入金額以上に安定しているといえる。；これは国家が国民の生命与奪権まで与えることに疑問が提示された結果ともいえる。；いずれも国民から直接選挙され、全国民を代表する国会議員で構成される。；こうした国民の不満を吸収したのがエリツィンら急進改革派である。；しかしながら国民登録においては4つの名の記載を求める国が多い。；自身の権力強化のために、セルビア民族主義を国民に扇動し、利用した。</t>
        </is>
      </c>
      <c r="J2939">
        <f>HYPERLINK("https://www.weblio.jp/content/国民", "词义详情")</f>
        <v/>
      </c>
      <c r="K2939">
        <f>HYPERLINK("https://yourei.jp/国民", "查看例句")</f>
        <v/>
      </c>
    </row>
    <row r="2940">
      <c r="A2940" t="inlineStr">
        <is>
          <t>克明</t>
        </is>
      </c>
      <c r="B2940" t="inlineStr">
        <is>
          <t>成功</t>
        </is>
      </c>
      <c r="C2940" t="inlineStr">
        <is>
          <t>読み方：こくめい
［名・形動］
１細かいところまで念を入れて手落ちのないこと。また、そのさま。丹念。「—な記録」
２まじめで正直なこと。また、そのさま。実直。
「姉は世間でいう義理を—に守り過ぎる女であった」〈漱石・道草〉
[派生]こくめいさ［名］</t>
        </is>
      </c>
      <c r="D2940" t="inlineStr">
        <is>
          <t>克明な描写；克明館；克明に書か；克明な日記</t>
        </is>
      </c>
      <c r="E2940" t="inlineStr">
        <is>
          <t>正直；真面目；丁寧；徹底的；誠実</t>
        </is>
      </c>
      <c r="G2940" t="inlineStr">
        <is>
          <t>克明小学校</t>
        </is>
      </c>
      <c r="H2940" t="n">
        <v>29</v>
      </c>
      <c r="I2940" t="inlineStr">
        <is>
          <t>これらのことが地元ローカル紙で克明に報道されている頃のことだった。；そんな彼の性格はこれらの写真一枚一枚の中に克明に記録されている。；まして、誰とどこで何をしていたか、克明に知りたがるはずもなかった。；友人を待つかのようにぶらついて、建物を克明に調べながらつぶやいた。；一人、残されるあの痛みをまだ身体は克明に記憶しているというのに。；今は亡き衷王が子懐に殺された経緯を、克明に知っていたわけではない。；やさ男だとばかり思っていた克明は、意外なほどの強さを見せていた。；信太郎との日々の確かな足跡が一つずつ克明にしるされている赤い文字。；その友人が相變らず克明にだがうまく世に處して行くのを考へて見てもだ。；ちょいと見ると、いやどれもこれも克明で、分別のありそうな顔をして。；世界の変化に気づいた彼は、それをノートに克明に記録しようとする。；尋問されたらおれはきっと、細部まで克明に答えることができるだろう。；その過程は医学ばかりでなく、あらゆる面から克明に観察記録されている。；馬喰町時代の椿岳の画は克明に師法を守って少しも疎そかにしなかった。；彼らはビデオデッキがなくても言葉で克明にゲームを再現することができる。；美那子はその夜のことを現場にいたのかのように正確かつ克明に知っていたのだ。；次のページから数枚にわたって、ビデオの描写が克明になされている。；あることに考えが及ぶと、克明は道具を放り出してしまいたくなった。；数多い昔の映画の、ストーリーも人物の動きもすべて克明に記憶した。；次の一瞬間に起こった出来事を克明に記せば、次のようなものであったろう。；その間、日々の研究生活や暮らしぶりを『日記』12冊に克明に記した。；無頓着に引いた細い線を克明に彫つてくれたのを見て気の毒と思つた。；歌麿の女房おりよのことから寿の字の殺害に至るまで克明に説明していた。；さらに李は自分が銃殺現場に居合わせた時の様子まで私に克明に語りました。；そこで少年は自分がかつて聞いたままを克明に書いていった。；ちょいと見ると、いやどれもこれも克明で分別のありそうな顔をして。；しかし克明は、そんな雰囲気をものともせずに更に言葉を重ねた。；航空業界で働く人々の実態が克明に記述されているのが特徴である。；これによって事故が発生した過程を克明にトレースすることができる。</t>
        </is>
      </c>
      <c r="J2940">
        <f>HYPERLINK("https://www.weblio.jp/content/克明", "词义详情")</f>
        <v/>
      </c>
      <c r="K2940">
        <f>HYPERLINK("https://yourei.jp/克明", "查看例句")</f>
        <v/>
      </c>
    </row>
    <row r="2941">
      <c r="A2941" t="inlineStr">
        <is>
          <t>穀物</t>
        </is>
      </c>
      <c r="B2941" t="inlineStr">
        <is>
          <t>成功</t>
        </is>
      </c>
      <c r="C2941" t="inlineStr">
        <is>
          <t>読み方：こくもつ
人間がその種子などを常食とする農作物。米・麦・粟(あわ)・稗(ひえ)・豆・黍(きび)の類。穀類。</t>
        </is>
      </c>
      <c r="D2941" t="inlineStr">
        <is>
          <t>穀物生産；穀物価格；穀物栽培；穀物倉庫；穀物商</t>
        </is>
      </c>
      <c r="E2941" t="inlineStr">
        <is>
          <t>粒子；豆；小麦；トウモロコシ；コーン</t>
        </is>
      </c>
      <c r="F2941" t="inlineStr">
        <is>
          <t>主要穀物；穀物輸送；穀物輸入；穀物神；穀物問屋</t>
        </is>
      </c>
      <c r="G2941" t="inlineStr">
        <is>
          <t>穀物メジャー；穀物粉；穀物エレベーター；穀物酒；穀物海岸</t>
        </is>
      </c>
      <c r="H2941" t="n">
        <v>29</v>
      </c>
      <c r="I2941" t="inlineStr">
        <is>
          <t>大量に栽培されていた穀物は、多くの料理の基本的な材料となっていた。；更に明では積極的な農業重視政策を背景に穀物による納税を基本とした。；穀物の保存や輸送に大事な役割を果たしたため信仰の対象とされた。；メソポタミア南部で生産された穀物やナツメヤシなどの輸出港でもある。；穀物や郵便物を入れたり、土嚢を作るために使われてきた麻でできた袋。；スウェーデンとの終戦直後の穀物貿易も戦前の水準を下回る事となった。；第一次世界大戦中には穀物の不足により、濃いビールの生産は制限された。；穀物栽培を中心とした農業が主産業となっている地域が多い。；中国や日本においては、特に主要な五種の穀物を五穀と呼び重視してきた。；このためアワは穀物の代表であり、「米」字で穀物の実一般をも表した。；飢えた時に食を要することから、穀物の神が生じたと考えられている。；伝播以前の文献にも蜀黍の名は見られるが、別の穀物を指したらしい。；穀物の栽培が発達したことで収穫用の石包丁や石のカマも見つかっている。；こうした石臼は新石器時代に穀物を粉末に挽くために最初に使用された。；この路線により西部の穀物がボストン港に流れ始めヨーロッパへ輸出された。；当時、ポーランドの穀物の大部分がグダニスクを経由して西に輸出されていた。；中国から渡来したため、「もろこしから来た穀物」の由来でつけられた。；地域によって主食となる穀物の種類が異なるのが特徴となっている。；町の発展は主に穀物やオリーブなどの農作物によって支えられていた。；当初、公休日には奴隷が耕作して育てた穀物の一部を売ることが許された。；一般に芋の栽培は穀物の栽培と比べて容易で、天候の変化にも強い。；現代のアラスの町は、初めは穀物市場として修道院周囲で成長したのである。；原料とする穀物に何を用いるかと、麹を何からどう造るかなどによる。；タンパク質の含有率が他の穀物と比べて多く、その構成は牛乳と似ている。；このために大陸の西部と東部では同じ面積の土地であっても穀物の収穫量には大きな差ができる。；最も盛んだったのは農業で、穀物や果樹の栽培・牛や羊の飼育を行っていた。；農夫は穀物の代わりに二人を袋の中に投げ込んで、水車小屋へ持っていく。；地方各地でも穀物が実らず、王は各地へ安撫の使者を派遣して慰問に努めた。；しかし原料の穀物不足であった時期には幾度か製造が禁止された。</t>
        </is>
      </c>
      <c r="J2941">
        <f>HYPERLINK("https://www.weblio.jp/content/穀物", "词义详情")</f>
        <v/>
      </c>
      <c r="K2941">
        <f>HYPERLINK("https://yourei.jp/穀物", "查看例句")</f>
        <v/>
      </c>
    </row>
    <row r="2942">
      <c r="A2942" t="inlineStr">
        <is>
          <t>国有</t>
        </is>
      </c>
      <c r="B2942" t="inlineStr">
        <is>
          <t>成功</t>
        </is>
      </c>
      <c r="C2942" t="inlineStr">
        <is>
          <t>読み方：こくゆう
国家が所有すること。</t>
        </is>
      </c>
      <c r="D2942" t="inlineStr">
        <is>
          <t>国有化(63%)；国有資産(2%)；国有持株会社；国有石油；国有銀行</t>
        </is>
      </c>
      <c r="F2942" t="inlineStr">
        <is>
          <t>一時国有；全て国有；再国有；事実上国有；銀国有</t>
        </is>
      </c>
      <c r="G2942" t="inlineStr">
        <is>
          <t>国有鉄道；国有地；国有企業；国有林；国有財産</t>
        </is>
      </c>
      <c r="H2942" t="n">
        <v>29</v>
      </c>
      <c r="I2942" t="inlineStr">
        <is>
          <t>電話が発明されて普及が始まると、電話も同様の理由で国有化された。；市場経済が広がる以前の中国企業はほとんどが国有か集団所有であった。；日本統治下の私鉄路線は、韓国ではアメリカ占領時期に国有化された。；会社が国有化されると、これらを再びフェラーリが引継ぎ成功を収めた。；ピッツバーグ社製二Bテンダー車の国有形式名称はどのあたりに並ぶか。；これらは国有で、民営化のための入札が行われるまでのつなぎとなった。；この浅間大社に寄進されていた土地は、一時国有化された時期がある。；歴史的に民営鉄道会社が国有化され、再び民営化された国も多くある。；終戦時まで朝鮮南部に所有していた路線も、米軍の軍政期に国有化された。；独立後、政府は主要産業を国有化し、保護政策の下で工業を発展させてきた。；UMHKの後身企業であるも含めて全国の外資系経済資産を国有化した。；しかし国有工場・企業の売却の進行は遅々としたものであった。；従って国有として国家の経営すべき土地の莫大なることを考えるべきである。；その直後に会社の軍事部門が国有化され、その工場の名称がAMXに変更された。；エジプトでは、すべての土地が国有であるから、こんなに収入が多いのである。；事実上国有化されたりそなグループの中では唯一の優良行とされる。；国有化された山陽鉄道は姫路市街の南端をかすめて東から西に走っていた。；初代九州鉄道に合併され、さらに鉄道国有法により路線は国有化された。；この島はコミューンとなっているが、その他の島は個人所有の島か国有の島である。；津山線と同じく戦時買収の対象となり、国有化され現在に至っている。；その後、讃岐鉄道は山陽鉄道に買収されるものの、直後に国有化される。；本契約は日本における国有特許の輸出第一号になったものである。；たしかに既存の産業部門が国有化されることはなかったが、国立企業が設立された。；独立以後、銀行のように国有化された部門があるが、最近では民営化しつつある。；同年7月地元鉄道は永久に国有化されオーストリア国鉄に編入された。；そして、日露開戦前に、できれば鉄道国有を果たしてしまいたいのである。；ミスル銀行はナセル体制下で国有化されたが、現在も存続している。；カウプシング銀行はアイスランド政府に国有化されている銀行である。；これらは譲渡を重ねたものも多く、再国有化されたものもある。</t>
        </is>
      </c>
      <c r="J2942">
        <f>HYPERLINK("https://www.weblio.jp/content/国有", "词义详情")</f>
        <v/>
      </c>
      <c r="K2942">
        <f>HYPERLINK("https://yourei.jp/国有", "查看例句")</f>
        <v/>
      </c>
    </row>
    <row r="2943">
      <c r="A2943" t="inlineStr">
        <is>
          <t>極楽</t>
        </is>
      </c>
      <c r="B2943" t="inlineStr">
        <is>
          <t>成功</t>
        </is>
      </c>
      <c r="C2943" t="inlineStr">
        <is>
          <t>読み方：ごくらく
１《(梵)Sukhāvatīの訳》仏語。阿弥陀仏の浄土。西方十万億土のかなたにあり、広大無辺にして諸事が円満具足し、苦患(くげん)のない、この上なく安楽な世界。浄土教の理想とする仏の国で、念仏を唱えれば、阿弥陀仏の本願力によってこの浄土に往生するという。西方浄土。極楽安養浄土。極楽界。極楽浄土。
２安楽でなんの心配もない状態や境遇。また、そういう場所。「この世の—を味わう」⇔地獄。</t>
        </is>
      </c>
      <c r="D2943" t="inlineStr">
        <is>
          <t>極楽橋；極楽行き；極楽坊；極楽島；極楽殿</t>
        </is>
      </c>
      <c r="E2943" t="inlineStr">
        <is>
          <t>天；天国；天上；楽園；ユートピア</t>
        </is>
      </c>
      <c r="F2943" t="inlineStr">
        <is>
          <t>死んで極楽；極楽袋；極楽気分；あゝ極楽；極楽荘</t>
        </is>
      </c>
      <c r="G2943" t="inlineStr">
        <is>
          <t>極楽浄土；極楽往生；極楽とんぼ；極楽鳥；極楽橋</t>
        </is>
      </c>
      <c r="H2943" t="n">
        <v>29</v>
      </c>
      <c r="I2943" t="inlineStr">
        <is>
          <t>アメリカには、地獄や極楽があるのだろうかと不思議に思ったものだった。；そんなことをして地獄に落ちるより、死んで極楽に行ったほうがまだいい。；死ぬほど暑い外の環境を思えば、極楽のような場所だったような気もする。；それをする勇気のないものは現世にみきりをつけて来世の極楽を望んだ。；二人はどこまでも幸せそうで、住んでいる場所も極楽のようだった。；それにはいま勤めている極楽キネマで、少しでもよい成績をあげなければ。；「死んだら、極楽ではなくて、地獄へ行きたい」 と言ったひとがいる。；「これだけでも、極楽へ行けそうですよ」 小田は満足した顔でいった。；地獄の鬼から急に極楽の仏様に変化するのが子供心に不思議で仕様がなかった。；この取調べの末に、いつでも一人や二人は極楽へさえやって貰うのである。；そして、これは、通常の発作とかわりないから、極楽でもなんでもない。；教えてください、極楽と地獄とはほんとうにあるものでございましょうか。；どこかに極楽が無ければならぬような気がするではありませんか。；親鸞善くならなくては極楽に行けないのならもう望みはありません。；教えでは、地獄へも極楽へも行けずに賽の川原で泣いとるいうけどな。；ケサルが人の地から天上の極楽へと帰還しようとする直前の出来事であった。；この前、姉が話していた極楽とは、このような場所ではないかと、妙は思う。；鳥屋には売っていないし、この地上では見ることのできない極楽の鳥なのだと。；家内なぞは、子供の眠っている間が僅かに極楽だと言い言いしている。；さながら極楽境を行く一隊とでも評した方が適当だったかも知れぬ。；極楽の空がほがらかに澄んで居るように、心の中も朗らかに澄んで居た。；同じ炎天の下でも、同じ氷雪の路でも、昔と今では地獄と極楽の相違です。；たとい八万の法蔵を究めたとて、極楽の門が開けるわけではありません。；弟子たちは師匠の禅師がたしかに極楽へ往生したものと思っていた。；天の国とは、極楽やあの世なぞよりも入ることが難しいところのようだ。；死がすぐそこにせまって来ると、極楽は現実の問題として必要だった。；同じ家屋ではあるがこの二色は極楽と地獄みたいな相違である。；極楽と地獄の思想と言っても、私の場合はこの程度のものだ。；「極楽門」は実際に会場に隣接する門であり、そこからメンバーも登場した。</t>
        </is>
      </c>
      <c r="J2943">
        <f>HYPERLINK("https://www.weblio.jp/content/極楽", "词义详情")</f>
        <v/>
      </c>
      <c r="K2943">
        <f>HYPERLINK("https://yourei.jp/極楽", "查看例句")</f>
        <v/>
      </c>
    </row>
    <row r="2944">
      <c r="A2944" t="inlineStr">
        <is>
          <t>国立</t>
        </is>
      </c>
      <c r="B2944" t="inlineStr">
        <is>
          <t>成功</t>
        </is>
      </c>
      <c r="C2944" t="inlineStr">
        <is>
          <t>読み方：くにたち
東京都中部の市。学園都市。市名は、国分寺・立川(たちかわ)両駅間の、両方の頭文字を取った国立駅にちなむ。人口7.6万（2010）。</t>
        </is>
      </c>
      <c r="D2944" t="inlineStr">
        <is>
          <t>国立音楽大学(5%)；国立天文台(4%)；国立研究所(3%)；国立歌劇場；国立高等</t>
        </is>
      </c>
      <c r="F2944" t="inlineStr">
        <is>
          <t>奈良国立；国立バレエ；カナダ国立；国立映画；国立科学</t>
        </is>
      </c>
      <c r="G2944" t="inlineStr">
        <is>
          <t>国立大学；国立博物館；国立国会図書館；国立劇場；国立競技場</t>
        </is>
      </c>
      <c r="H2944" t="n">
        <v>29</v>
      </c>
      <c r="I2944" t="inlineStr">
        <is>
          <t>同年パリにある国立現代東洋語学校へ向かい、日本語と中国語を学んだ。；正式には国立墓地の外にあり、内務省国立公園局が所有し管理している。；勧められて演劇の道に入り、16歳で国立民衆劇場に参加して学んだ。；初等教育学校を含めてほぼ全ての学校が国立だが、私立学校も存在する。；こうして当時の日本政府は京都と奈良に国立の博物館を設置することとした。；国立栄養研究所の指導の下で、学校給食が出されていた時期もあった。；また、ほとんどが州立であり国立は無い、私立大学の数は比較的少ない。；アテネ首都圏には11の国立の高等教育や職業専門校などの機関がある。；この学研都市内には多数の国立専門研究機関や高等教育機関が存在する。；国立ホールは今日の町区が置かれており、1896年に建てられた。；日本で最初の国立の会議施設であり、ここで京都議定書が採択された。；国立・私立の中学校と高等学校の多くが戦後6年制一貫教育を行ってきた。；米国連邦国立研究センターとして次の3つの研究所が設置されている。；また2019年には国立の中学校としては日本初のADSに認定された。；センターは、国立天文台の基盤となる観測業務活動を支援する組織である。；宮内庁病院は、宮内庁によって管理・運営されている国立の病院である。；州内には国立公園局の管理する3つの国立公園と2つの国立保護地がある。；さらに、メキシコ国立交響楽団を組織し、その音楽監督に就任しました。；たしかに既存の産業部門が国有化されることはなかったが、国立企業が設立された。；いずれの場合も、バルク製品は国立の石油会社に国定の価格で販売される。；MPICHはアルゴンヌ国立研究所とを中心とするプロジェクトであった。；国立天文台や理化学研究所での研究成果の発表の場としても活用されている。；カウナスの国立チュルリョーニス美術館には彼の作品が多く展示されている。；大学や国立研究所を法人化し実質無料であった学費を民間の大学と同様にした。；中学卒業後に満州へ渡り、国立医科大学の医学生となったが終戦後帰国。；同年5月8日には正式に終戦となるが、すぐに国立歌劇場の再建が始まる。；世界中に150か所以上あり、国立または大学の付属施設であることが多い。；翌年から議会によって国立諸階級銀行はスウェーデン国立銀行と改称された。；すなわち恩恵を得たのは主に大都市圏の国立・上位私立大学である。</t>
        </is>
      </c>
      <c r="J2944">
        <f>HYPERLINK("https://www.weblio.jp/content/国立", "词义详情")</f>
        <v/>
      </c>
      <c r="K2944">
        <f>HYPERLINK("https://yourei.jp/国立", "查看例句")</f>
        <v/>
      </c>
    </row>
    <row r="2945">
      <c r="A2945" t="inlineStr">
        <is>
          <t>国連</t>
        </is>
      </c>
      <c r="B2945" t="inlineStr">
        <is>
          <t>成功</t>
        </is>
      </c>
      <c r="C2945" t="inlineStr">
        <is>
          <t>読み方：こくれん
「国際連合」の略。</t>
        </is>
      </c>
      <c r="D2945" t="inlineStr">
        <is>
          <t>国連海洋法条約(3%)；国連加盟(3%)；国連代表(2%)；国連宇宙軍；国連人権理事会</t>
        </is>
      </c>
      <c r="F2945" t="inlineStr">
        <is>
          <t>国連特使；国連事務次長；国連部隊；国連協会；国連主導</t>
        </is>
      </c>
      <c r="G2945" t="inlineStr">
        <is>
          <t>国連総会；国連事務総長；国連大使；国連憲章；国連安保理</t>
        </is>
      </c>
      <c r="H2945" t="n">
        <v>29</v>
      </c>
      <c r="I2945" t="inlineStr">
        <is>
          <t>この国連の諸組織は、経済や雇用の面でも大きな利益をもたらしている。；また国連との共同プログラムを設立する等の先進的な取組でも知られる。；人権、基本的自由を尊重する考え方は国連主要目的の柱の一つになった。；これは、資源確保や国連での票固めなどが目的であると指摘されている。；国家に忠実な軍人達は、国連地上軍に接近し地域の安定を図ろうとした。；この決議案が圧倒的多数で採択されることで、国連での議論が始まった。；作戦は国連主導のものではなく、米国が単独で行ったものであった。；単独選挙に反対の意思を示していた北朝鮮は国連朝鮮委員団の来訪を拒否した。；最後にやってきた国連は近畿地方を統治下に置き、近畿特別区となった。；国連は、2023年にはインドの人口が世界最多になると推計している。；国連内では「世界のあらゆる首都で計画されている陰謀の一部」と主張した。；国連に公認・登録された組織であり、宗教や政治には、中立の立場をとる。；本部はスイスのジュネーヴにあり、国連開発グループ の一員である。；また、灰色部分は南北の衝突を抑止するため国連の引いた緩衝地帯である。；国連に加盟するのに半世紀もの時間と議論を有したことになる。；米国が撤退を決定すると、主軸を失った国連活動も全て撤収する事となった。；総会は、全加盟国で構成され、国連の関与するすべての問題を討議する。；国際の平和と安全の維持は、国連の主要な目的の一つである。；国連の世界保健機関は、各加盟国のPTSDの影響度を推定している。；世界の人々の経済的・社会的福祉の実現は、国連の主要な目的の一つである。；これは国連と地域機構が共同で行う初の平和維持活動であった。；なお、国連のマークをロゴに応用したのが世界ろう連盟だけとされる。；国連難民機関の代表であるアントニオ・グエテレスは援助に感謝している。；この機会に全滅を目論む国連は戦場へ向けて核ミサイルを発射させる。；これは国連での活動において英語が主言語であるためである。；日本はこの会議でアジアの一員として国連加盟の支持を得た。；国際の平和と安全のために行われる、国連の慣行によって確立されてきた活動。；独立とともにそれまで国連統治下での「制憲議会」から移行して発足した。；この国連標識では色と形で遠くからの予知と即時的認知を可能にした。</t>
        </is>
      </c>
      <c r="J2945">
        <f>HYPERLINK("https://www.weblio.jp/content/国連", "词义详情")</f>
        <v/>
      </c>
      <c r="K2945">
        <f>HYPERLINK("https://yourei.jp/国連", "查看例句")</f>
        <v/>
      </c>
    </row>
    <row r="2946">
      <c r="A2946" t="inlineStr">
        <is>
          <t>焦げ茶</t>
        </is>
      </c>
      <c r="B2946" t="inlineStr">
        <is>
          <t>成功</t>
        </is>
      </c>
      <c r="C2946" t="inlineStr">
        <is>
          <t>読み方：こげちゃ
「焦げ茶色」に同じ。</t>
        </is>
      </c>
      <c r="D2946" t="inlineStr">
        <is>
          <t>黒褐色；茶褐色；焦茶色；こげ茶；チョコレート色</t>
        </is>
      </c>
      <c r="H2946" t="n">
        <v>29</v>
      </c>
      <c r="I2946" t="inlineStr">
        <is>
          <t>こげ茶色のパンツスーツは二年ほど前に流行ったブランドのものだった。；マンションのこげ茶色のドアは、密室の意味を持つように重々しかった。；と、こんどはこげ茶色の乳首がワイシャツから透けて見えるではないか。；太陽に当たった後では暗赤色やこげ茶色の尿が見られるときがある。；柄の部分は、漆を幾重にも塗り込んだような独特の焦げ茶の光沢がある。；わかるのは彼女が白人で、肩までの長きのこげ茶色の髪をしていることだけだ。；そのコゲ茶色の階段と隣合わせに、何か漠然とした緑色を覚えている。；そこを横切ってこげ茶色の動物が相当のスピードで走りすぎた。；変わることのない焦げ茶の髪が、僅かに解れて顎にかかっていた。；開け放たれたドアから、京也めがけてこげ茶色の突風が吹きつけてきた。；かつては水色に塗られているが、現在はこげ茶色の塗色となっている。；彼は研究所を訪問したときの、よそゆきの焦げ茶のマントをはおっている。；髪の色に変化はなく、瞳の色も、元のこげ茶色のままだった。；その仲間は水風船の中に黒と緑と赤と焦げ茶の絵の具が交じった水を入れていた。；「見ていてごらん」 焦げ茶の髪の少年が、膝頭を握って沖を見つめる。；中から出てきた一通の手紙と、そして、ホロのものと思われるこげ茶色の動物の毛。；こげ茶色の髪をきつく縛り、蜂蜜色の瞳に挑むような光をたたえている。；ラムジーと同じ焦げ茶の巻き毛には白いものが目立ち始めている。；それは、頭部以外は、大きなこげ茶色の鳥のかっこうをしていた。；体色は全体にこげ茶色を帯びた銀色で、体側に1本の黒い横帯が走る。；象牙の国と焦げ茶の国は、しょっちゅう対立している、いわば犬猿の仲。；私たちのお引っ越しには、お隣の焦げ茶の国の一族もくっついてきた。；長いこげ茶色の毛の塊が揺れているのだ。；以前のこげ茶色から塗り替えられ、現在は明るい茶色となっている。；六歳という年のわりには大人びた雰囲気を持つ、焦げ茶の髪の少年。；親指よりいくらか太めの焦げ茶の筒は、前に三つ後ろに一つだけ穴があいている。；おれは胸のポケットから、親指よりいくらか太めの焦げ茶の筒を取り出した。；彼女はこげ茶色の小さなハイヒールのつっかけ靴をはいていた。；下流の西側は緑の、上流の東側には焦げ茶の峰が並んでいた。</t>
        </is>
      </c>
      <c r="J2946">
        <f>HYPERLINK("https://www.weblio.jp/content/焦げ茶", "词义详情")</f>
        <v/>
      </c>
      <c r="K2946">
        <f>HYPERLINK("https://yourei.jp/焦げ茶", "查看例句")</f>
        <v/>
      </c>
    </row>
    <row r="2947">
      <c r="A2947" t="inlineStr">
        <is>
          <t>焦げる</t>
        </is>
      </c>
      <c r="B2947" t="inlineStr">
        <is>
          <t>成功</t>
        </is>
      </c>
      <c r="C2947" t="inlineStr">
        <is>
          <t>読み方：こげる
［動ガ下一］［文］こ・ぐ［ガ下二］火や熱で焼けて、黒や濃い茶色になる。「タバコの火で畳が—・げる」「魚が—・げる」</t>
        </is>
      </c>
      <c r="D2947" t="inlineStr">
        <is>
          <t>焦げる臭い(12%)；焦げるような匂い；焦げる嫌な臭い</t>
        </is>
      </c>
      <c r="E2947" t="inlineStr">
        <is>
          <t>燃える；燃やす；焼ける；焦がす；灯る</t>
        </is>
      </c>
      <c r="H2947" t="n">
        <v>29</v>
      </c>
      <c r="I2947" t="inlineStr">
        <is>
          <t>僅かに焦げるようなにおいがしたが、エドワードの右手は熱を感じない。；なぜか居てもたってもいられぬような、焦げるような気持ちだった。；そのうち何や焦げるような匂いがしてくるような気がするんや。；なぜならその腕の中の娘の柔らかな足の裏からも、肉の焦げる匂いがするからだ。；項のあたりが焦げるような緊張感があって、それから逃げるように足を急がせた。；焼け焦げるきな臭い空気が、開けられた扉から部屋の中に流れこんだ。；これがいいたくて、頭皮の焦げる熱さも凝と我慢していたのだろう。；内部で溶接の火花が散っているのが見え、鉄の焦げる匂いが鼻をつく。；雑誌程度では発火のおそれがあり、石膏ボードでも床が焦げる可能性がある。；安油の焦げる音が雪になった夜のしじまに悲しい呟やきをあげている。；そして、一瞬で沸騰した酒のすえた匂いと木の焦げる匂いが立ちのぼった。；何度となく考えたことが浮かんできて、胸の奥がちりちりと焦げるように痛む。；考えれば考えるほどにいたたまれず、身が焦げるような思いがした。；遠くから覗いている千枝松の頬までが焦げるように熱くなってきた。；しかし、飯田橋まで来ると、もうぷうんと物の焦げる匂いが漂って来た。；台所から炒め物をする音と、油の焦げる香ばしい匂いが流れてくる。；しかし事實、鐵管に近いところの葉は、その先が焦げることがあつた。；机の脇へよせてある行燈の火がはためき、かすかに油の焦げる音が聞える。；その煙よりもかすかな、タンパク質の焦げる匂いは、全員の注意を男の声に集中させた。；勢いの割に熱くはなかったが、髪や服が焦げる不快な匂いは感じた。；煙は褐色に焦げる匂いがし、紙や草が焼けているようであった。；あたりには強いオゾンの匂いに混じって、肉の焦げる匂いがたちこめていた。；それはタバコというよりも紙や草の焦げる匂いがする。；いくつかは淳子の上にも落ちかかってきて、髪の焦げる臭いがぷんと鼻をついた。；人間の肉が焦げるこの臭いに、青年の額から汗がほとばしり出た。；翌日それを出して水気を切ってバターで黒く焦げるほどにいためます。；ものの焦げる匂いが鼻ばかりか口のなかにまで入り込んできて、ざらざらと嫌な味がする。；焼き魚の焦げる匂いが、空っぽの胃袋を刺激して、痛みを感じさせるのだ。；塔の下で魚が焦げる匂いがしていた。</t>
        </is>
      </c>
      <c r="J2947">
        <f>HYPERLINK("https://www.weblio.jp/content/焦げる", "词义详情")</f>
        <v/>
      </c>
      <c r="K2947">
        <f>HYPERLINK("https://yourei.jp/焦げる", "查看例句")</f>
        <v/>
      </c>
    </row>
    <row r="2948">
      <c r="A2948" t="inlineStr">
        <is>
          <t>語源</t>
        </is>
      </c>
      <c r="B2948" t="inlineStr">
        <is>
          <t>成功</t>
        </is>
      </c>
      <c r="C2948" t="inlineStr">
        <is>
          <t>読み方：ごげん
個々の単語の本来の形や意味。また、個々の単語の成立の由来や起源。</t>
        </is>
      </c>
      <c r="D2948" t="inlineStr">
        <is>
          <t>語源的(2%)；語源説；語源論；語源解釈；語源事典</t>
        </is>
      </c>
      <c r="F2948" t="inlineStr">
        <is>
          <t>同語源；地名語源；正確な語源；同一語源；同一語源</t>
        </is>
      </c>
      <c r="G2948" t="inlineStr">
        <is>
          <t>語源辞典；語源俗解</t>
        </is>
      </c>
      <c r="H2948" t="n">
        <v>29</v>
      </c>
      <c r="I2948" t="inlineStr">
        <is>
          <t>後に、この伝承がイギリスに伝わって英語のという表現の語源となった。；これらは語源的には男性を意味する語だが、男女を問わず使うことが多い。；その他に、次のような民間語源などいくつかの語源説が唱えられている。；いずれの説にしても確実とされるものはなく、確かな語源は判明していない。；現地語のクレオール語がフランス語を語源とするのは、ここに由来する。；他の自然言語同様、日本手話には特に語源を持たない語が多く存在する。；語源としては、フランス語の feuから来た可能性が指摘されている。；これが醍醐味の語源として仏教以外でも広く一般に知られるようになった。；は、ラテン語で塩味のを意味する を語源とするフランス語に由来する。；これが現代でも昼の12時ちょうどを表す「正午」の語源となっている。；茶部台の語源は、お茶を飲む部屋の台から来たとするものなどがある。；語源は不確かだが、ドイツ語のKuchenと関連すると見られている。；カートゥーンは、ある語源から発展した複数の芸術形式についての呼称。；語源は、古アラビア語で「滞在地」の意味や人名が地名化した説がある。；キケロがラテン語で翻訳したことから、ラテン語を語源とする説もある。；また、江戸時代には反切を使って日本語の語源を解釈する説が盛んに行われた。；この言葉がヨーロッパの各国の言語で「哲学」を意味する言葉の語源となった。；紀元前7世紀に周に支配された国晋は、もう一つの可能性のある語源である。；現在、燐光は別の発光現象の意味で用いられているが、その語源でもある。；オランダ語では と呼ばれており、その語源はよくわかっていない。；語源はギリシャ語の「小さな杖」など様々な系統を含む生物群である。；語源には複数の説があるが、それぞれが相互に関係している。；正しい語源が判明していても、誤った説のほうが広く流布していることがある。；西村真次は、ワニの語源を中国語に求めるのは無理との見解であった。；「いただきます」と「食べる」の語源の類似性が指摘されることがある。；鳳鳴の名は近代以降に生まれたものらしいが、語源は不明である。；誤解している人がよくいるが、言語学は古い時代の言語や語源だけを扱うわけではない。；コイの語源は体が肥えていることまたは味が肥えていることに由来するという。；これはトルマリンの語源が turamaliに由来するためである。</t>
        </is>
      </c>
      <c r="J2948">
        <f>HYPERLINK("https://www.weblio.jp/content/語源", "词义详情")</f>
        <v/>
      </c>
      <c r="K2948">
        <f>HYPERLINK("https://yourei.jp/語源", "查看例句")</f>
        <v/>
      </c>
    </row>
    <row r="2949">
      <c r="A2949" t="inlineStr">
        <is>
          <t>ここ</t>
        </is>
      </c>
      <c r="B2949" t="inlineStr">
        <is>
          <t>成功</t>
        </is>
      </c>
      <c r="C2949" t="inlineStr">
        <is>
          <t>読み方：ここ
ココヤシの別名。また、その実。</t>
        </is>
      </c>
      <c r="D2949" t="inlineStr">
        <is>
          <t>ここ数日；ここ数年；ここ数年；ここしばらく；ここぞとばかり</t>
        </is>
      </c>
      <c r="E2949" t="inlineStr">
        <is>
          <t>これ；この点；この場所</t>
        </is>
      </c>
      <c r="F2949" t="inlineStr">
        <is>
          <t>今ここ；いまここ；ここでもまた；早くここ；ここ掘れワンワン</t>
        </is>
      </c>
      <c r="G2949" t="inlineStr">
        <is>
          <t>こころ；ここら；こころみ；こころよく；ここいら</t>
        </is>
      </c>
      <c r="H2949" t="n">
        <v>29</v>
      </c>
      <c r="I2949" t="inlineStr">
        <is>
          <t>ここではあまり他の言語では見られない 特有の機能を中心に解説する。；ここでの時代区分はできる限り早い時期から始まるよう定義されている。；多数の人物が登場するが、ここでは複数の話に登場する人物を解説する。；ここから得られるアルゴリズムを、日本語で記述すると次のようになる。；ここでペレルマンが本賞を受賞するのかどうかが一部の関心を呼んでいた。；ここでは長野新幹線と呼称されていた2014年度までのデータを示す。；しかしここで知遇を得たジョセフ・ベル教授からは大きな影響を受けた。；ここでは、1983年に旧ポピーとの合併後に提供した番組を記載する。；ここで自然ではあるが、問題文では触れられていない次の仮定を置く。；ただし、ここでは非負整数の意味で N を用いているものと約束する。；ここ最近ではNESiCAxLiveのコンテンツが市場の中心である。；ここでは、1955年の航空技術研究所の設置のころまでを前史とする。；ここで注意したいのは無髄神経も神経鞘は持っているということである。；なお、ここに示した以外の要因によってアイソザイムとなることもある。；私はあなたが個人であることを消すためにここにいるのではない。；ここでも核が自明なこととその準同型が単射であることとが同値となる。；ここから逆に、恒星がどのような運動をしているかを分析することができる。；ここで class は型クラスの宣言であることを示す予約語である。；ここで承認が降りない場合、クレジットカードを使用することはできない。；ここではソクラテスの言動は揶揄のために誇張されていると考えられる。；ここでプログラムからデータを取り除きたいという考えが提示されている。；ここに挙げた新技術は全てポピュラー音楽を大衆に定着させるのに貢献した。；開幕から5試合は、ここ2年間のJ1在籍経験チームとの対戦となった。；ここでは現在市販されている二輪のオートバイとして一般的なものを示す。；ここで経由する自動車専用道路はすべて無料で通行することができる。；ここでは、セリンプロテアーゼの一種であるキモトリプシンの例を示す。；ほとんどの教育・研究活動はここを中心に行われている。；ここで校長は「これ以上教えられることはない」と述べたようである。；体重制を取らなくても勝負が成立する理由の一つもここにある。</t>
        </is>
      </c>
      <c r="J2949">
        <f>HYPERLINK("https://www.weblio.jp/content/ここ", "词义详情")</f>
        <v/>
      </c>
      <c r="K2949">
        <f>HYPERLINK("https://yourei.jp/ここ", "查看例句")</f>
        <v/>
      </c>
    </row>
    <row r="2950">
      <c r="A2950" t="inlineStr">
        <is>
          <t>個々</t>
        </is>
      </c>
      <c r="B2950" t="inlineStr">
        <is>
          <t>成功</t>
        </is>
      </c>
      <c r="C2950" t="inlineStr">
        <is>
          <t>読み方：ここ
いくつかあるうちの一つ一つ。おのおの。それぞれ。「—の契約」「—に責任をもつ」</t>
        </is>
      </c>
      <c r="D2950" t="inlineStr">
        <is>
          <t>個体；各自；一々；逐一；夫々</t>
        </is>
      </c>
      <c r="F2950" t="inlineStr">
        <is>
          <t>メンバー個々；選手個々；それぞれ個々；個々の顧客；個々ばらばら</t>
        </is>
      </c>
      <c r="G2950" t="inlineStr">
        <is>
          <t>個々別々；個々田健</t>
        </is>
      </c>
      <c r="H2950" t="n">
        <v>29</v>
      </c>
      <c r="I2950" t="inlineStr">
        <is>
          <t>情報は個々の判断に委ねられ社会に反映する性質を従来から持っていた。；個々の過去を意識した設定、それを元にした話はあまり見られなくなった。；病気の症状に応じて、個々の患者ごとに食事の内容を変更する必要がある。；個々の制度や機制がその社会全体を維持するうえで果たす機能に着目する。；だが個々のプログラムのレベルでは実際に問題が発生してしまった。；軍種の記事では、その国の軍隊の個々の部門について述べられています。；個々の大会運営委員会の裁量で、他の賞も発表・授与されることがある。；こうして個々の楽曲が完成した後も、それがすぐに発売されるとは限らない。；広義には、一つの体系を構成する個々の要素またはその挙動も意味する。；ボリバルは、個々に戦っていてはスペイン軍に対抗できないと主張した。；さらに、個々の調査で両性愛の基準が統一されていないことも問題である。；何かのきっかけで個々の要素の状態がすっかり変わることがある。；古代ローマでは、個々の市民が自ら訴えを提起しなければならなかった。；しかし光度が小さいため、個々の赤色矮星を観測するのは容易ではない。；また、個々の文字体系の中でも、さまざまな造字手法を発展させてきた。；個々の限界便益に他者へ与える外部費用が含まれていないためである。；ロマンス諸語は個々の言語である前にラテン語の方言であるともいえる。；ニューエイジに導入された個々の要素は、以前からあったものが多い。；これからは双方共に浅井企画に所属のまま個々に活動を続けていく。；この際の様々な事例から、個々のソースでは判別しない状況が露になった。；個々のテッカマンの特徴は、人間時の性質・能力に大きく左右される。；また、SSB間の結合は個々のSSBのDNAへの結合を安定化させる。；個々の動物体は、したがって群体を作るものよりは大きなものが多い。；ここでいう遺伝子とは、個々のDNA片のすべてのコピーのことである。；降伏に際しても同盟としての降伏は行われず、各藩が個々に降伏している。；個々の人間を指す場合と、人間集団をまとめて指す場合とがある。；ここでは定義のみ挙げるので、詳細は個々の項目を参照されたい。；学校が提供する教育は、個々の生徒の必要に適切に応じたものでなければならない。；個々の部分の構成を見ると、基本的には次のようになっている。</t>
        </is>
      </c>
      <c r="J2950">
        <f>HYPERLINK("https://www.weblio.jp/content/個々", "词义详情")</f>
        <v/>
      </c>
      <c r="K2950">
        <f>HYPERLINK("https://yourei.jp/個々", "查看例句")</f>
        <v/>
      </c>
    </row>
    <row r="2951">
      <c r="A2951" t="inlineStr">
        <is>
          <t>午後</t>
        </is>
      </c>
      <c r="B2951" t="inlineStr">
        <is>
          <t>成功</t>
        </is>
      </c>
      <c r="C2951" t="inlineStr">
        <is>
          <t>読み方：ごご
《「午」はうまの刻で、正午をいう》
１正午から夜の12時までの時間。「—六時」⇔午前。
２正午から日没までの時間。ひるすぎ。「—のひととき」⇔午前。</t>
        </is>
      </c>
      <c r="D2951" t="inlineStr">
        <is>
          <t>午後遅く；午後おそく；午後十；午後いっぱい；午後七</t>
        </is>
      </c>
      <c r="E2951" t="inlineStr">
        <is>
          <t>昼；昼過ぎ；アフタヌーン</t>
        </is>
      </c>
      <c r="F2951" t="inlineStr">
        <is>
          <t>日曜午後；土曜午後；遅い午後；暑い午後；静かな午後</t>
        </is>
      </c>
      <c r="G2951" t="inlineStr">
        <is>
          <t>午後二時；午後四時；午後一時；午後五時；午後六時</t>
        </is>
      </c>
      <c r="H2951" t="n">
        <v>29</v>
      </c>
      <c r="I2951" t="inlineStr">
        <is>
          <t>例えば、午後試験で表計算ソフトの問題が選択可能となったことである。；同誌発売日の午後になって、この男子高専生が自殺していたことが判明。；午後試験では問題番号の選択によって試験問題を変えることができる。；午後には、各方面行きの列車に新聞を積み込む様子を見ることができる。；一方で午後から登庁し、夜まで勤務することには不満も持たれていた。；それ故、受験者全員が午前試験および午後試験を受けなければならない。；記念目的の利用者は200人弱で、午後に入ると局前の列は短くなった。；学校の日課は、午前中が授業時間、午後は自由な活動と分けられていた。；ABCは午後の試合であったこの試合の中継をプライムタイムに変更した。；しかし同日の午後になると、老帝はため息をつきながらこう語ったとされる。；午後にはより多くの来園者が、同じくらい見事な日没を見にやってくる。；この日の午後にはニューヨークで数十万台の電話がいっせいに使用中止となった。；これは、新嘗祭当日の午後に掌典長以下が奉仕して用意するものである。；たとえば、定期的な子供劇場、午後の読み聞かせ会などが行われている。；そして午後に個別の量刑判決を受けるため一人ずつ法廷へ連れて行かれた。；ダンス音楽を演奏するこのグループは毎日午後遅くまで練習した。；ゼネラルマネージャーの中村勝広とこの日の午後会う予定にしていた。；次の日は午前中に労働組合のデモや集会が行われ、午後はお祭りとなる。；現代の日本では、午後あるいは夕方から深夜12時前後までの営業が一般的。；午後に母親が街中で見知らぬ男と抱き合っているのを見て視線が合う。；舞台は夏の午後のパフォーマンスで陰になるよう、建物の南東側にあった。；平日午後の再放送枠で15分拡大の番組を放送の時に放送する場合もあり。；午後交戦が再開されたが、この日も自由フランス軍は上陸はできなかった。；朝の放送は今までどおり5分の放送だが、午後の放送は10分と延長された。；同年9月29日午後、自宅で意識を失っているところを家人に発見される。；発生した水素はその日の午後に生じた小規模爆発の原因となった考えられている。；午後の授業が始まる前に給食によるイベントが発生することがある。；中井は7月29日の午後、生まれて初めて乗る飛行機で札幌へ向かった。；友人のドラクロワと過ごしていた、ノアンでのある午後のことである。</t>
        </is>
      </c>
      <c r="J2951">
        <f>HYPERLINK("https://www.weblio.jp/content/午後", "词义详情")</f>
        <v/>
      </c>
      <c r="K2951">
        <f>HYPERLINK("https://yourei.jp/午後", "查看例句")</f>
        <v/>
      </c>
    </row>
    <row r="2952">
      <c r="A2952" t="inlineStr">
        <is>
          <t>小声</t>
        </is>
      </c>
      <c r="B2952" t="inlineStr">
        <is>
          <t>成功</t>
        </is>
      </c>
      <c r="C2952" t="inlineStr">
        <is>
          <t>読み方：こごえ
小さい声。低い調子の声。「—でささやく」⇔大声。</t>
        </is>
      </c>
      <c r="D2952" t="inlineStr">
        <is>
          <t>小声でこう；小声で尋ね；小声で言いまし；小声でひそひそ；小声でぶつぶつ</t>
        </is>
      </c>
      <c r="E2952" t="inlineStr">
        <is>
          <t>ささやき声；囁き声；ひそひそ声；ヒソヒソ声；忍び声</t>
        </is>
      </c>
      <c r="F2952" t="inlineStr">
        <is>
          <t>小声で言い出し；小声で何やら；小声でなにやら</t>
        </is>
      </c>
      <c r="H2952" t="n">
        <v>29</v>
      </c>
      <c r="I2952" t="inlineStr">
        <is>
          <t>患者は何か物思ひに沈んでゐるといふやうな調子で、小声で言ひ出した。；「何かあったのか」 刑事が車掌に小声で訊いて居るのを後ろに聞いた。；「こっちへおいで」と男は小声で云って自分の膝の上に腰を掛けさせた。；出たかと思うと、やがて又引っ返して来て、男は店口から小声で云った。；こんな晩に先生はどこへ行かれたかと訊ねると、奥さんは小声で答えた。；谷将軍を中心に、幕僚の顔がそれに集まって、小声に何か熟議していた。；母親が品物を調べているあいだに、父親は商人に小声で話をしていた。；僕の隣には新聞記者らしい三十前後の男が二人何か小声に話してゐた。；堀部君は不思議そうに相手の顔を見つめていると、李太郎は小声で答えた。；アントアネットは寄って来て、その肩にそっと手をかけ、小声で呼んだ。；その時、これもやはり隙間なのか、竹中さんは北川さんに小声で言った。；先生は、私の方へ来ないでかれの方へ行って何か小声で叱っていた。；テナルディエの上さんは亭主に何か小声で話しながら金を数えていた。；「ついたぞ」 一人のツグラン人が、聞きとれないほどの小声でいった。；そこで慎太郎が小声で竜馬に、右太を薩摩藩邸で見たことがあると言う。；女は安来節のようなのを小声で歌いながら、チリ紙を持って入ってきた。；「面倒なことになりそうだ」ガリオンは同行したカイルに小声で言った。；かれは身を固くして相手の顔を見つめていると、亭主は小声で語った。；わたくしは黙って母の顔をながめていますと、母は小声でまた話しつづけました。；二、三のテーブルでは小声で彼のことを話しているにちがいない。；ところがそのとき、男に向かって女が小声で何か言ったんですよ。；恰も小声で何事か囁くかのやうな微妙な甘美さに満ちた靴の音が響いた。；そのとき、宮子は山口がしたように、急に甲谷の耳もとで小声でいった。；でもすぐにみんな小声で話しあったり、くすくす笑ったりしはじめました。；さきほどまでの元気はどこへやら、いっぺんに小声になってしまった。；女中部屋の格子窓のところで下りて、小声で何かいっている若い男の声がした。；「そんなふうにむっつりしてるものじゃないわ」彼女が小声で忠告した。；ところが、口の中が乾ききってしまって、小声でいうことができないのだ。；「あそこにもう一人だけ下宿人がいるのです」と小声で教えてくれました。</t>
        </is>
      </c>
      <c r="J2952">
        <f>HYPERLINK("https://www.weblio.jp/content/小声", "词义详情")</f>
        <v/>
      </c>
      <c r="K2952">
        <f>HYPERLINK("https://yourei.jp/小声", "查看例句")</f>
        <v/>
      </c>
    </row>
    <row r="2953">
      <c r="A2953" t="inlineStr">
        <is>
          <t>凍える</t>
        </is>
      </c>
      <c r="B2953" t="inlineStr">
        <is>
          <t>成功</t>
        </is>
      </c>
      <c r="C2953" t="inlineStr">
        <is>
          <t>読み方：こぎえる
［動ア下一］「こごえる」の音変化。
「踏石の上なる引下駄を枕に—・えて、いつとなく夢を結びぬ」〈浮・一代男・七〉</t>
        </is>
      </c>
      <c r="D2953" t="inlineStr">
        <is>
          <t>凍えるような寒(5%)；凍えるような風；凍えるような冷気</t>
        </is>
      </c>
      <c r="E2953" t="inlineStr">
        <is>
          <t>冷える；かじかむ；凍みる</t>
        </is>
      </c>
      <c r="H2953" t="n">
        <v>29</v>
      </c>
      <c r="I2953" t="inlineStr">
        <is>
          <t>この白い地上で凍えるおれの気持ちなど、やつらには絶対にわかるまい。；凍え死ぬほうが護衛の手にかかって死ぬよりはまだましに思えたのだ。；彼女は彼の腕にもたれて、凍えた世界の平和を夢中になって吸い込んだ。；唇や顔は青白くなっていたが、決して凍えているようには見えなかった。；あなたは大事なお身体ですし、この凍えるやうな俄か雨はひどく毒です。；とにかく体を動かしていないことには凍え死んでしまいそうだった。；凍える手に息を吹き掛けて丁場を廻る季節が目の前に来ていると思った。；炎の中で、一人の男はただ凍えるような無表情でいる事しかできなかった。；父の体も凍えていたが、その心のぬくもりが伝わってくるようだった。；その逆に野良猫となって冬空で雪に凍える恵まれない立場の場合もある。；もちろん、火がたいてあるのは「御子」が凍えぬようにとの意味である。；木の幹が無限に続く柱のような凍える冷たい森の中で静かに肉の山があった。；凍えるような風が吹いてきて、背後で何かがガラガラという音を立てた。；明け方の凍える風が吹き込み、部屋の中を外気温とほぼ同じにしていた。；凍えたような手を苦労して緩めて開くと、あたしの手を握った力が強くなる。；凍えるような寒さに襲われた箇所から、次々に感覚が消え失せていく。；皿に乗った石けんの泡を凍えるような水で流しながら、八巻は回想する。；わしらは二人とも凍えた口を引き結んで、一言も口をきかねがった。；とうとう、わたしも凍えそうな外界へ出ていかなくちゃいけないのね。；ほんとにあんなやつ、北極の海かどこかで、凍え死にするといいのです。；ないが、辰男の立場を自分に置き換えて想像しただけで指先まで凍えた。；凍えそうになっていた王子の顔に初めて笑いが浮かんできた。；空は、もう泣き出しそうになって、日の眼を見ないから、手が凍える。；こんな所に何時までも躊躇していたら、凍えて死んで了うかも知れぬ。；夜で、あまりホームに人がいなくて、凍えるような風が吹いていたわ。；あんな凍えるような寒さの中、一人で、ぼくが来るのを待っていたのだろうか。；さうでもしなければ、この大雪の日に凍え死んでしまふぢやありませんか。；その声は、彼の恐怖を映してか、凍えるような冷気に厚く包まれていた。；そしてもう一つ、少女の心を凍えさせたのは、累卵氷錐そのものだった。</t>
        </is>
      </c>
      <c r="J2953">
        <f>HYPERLINK("https://www.weblio.jp/content/凍える", "词义详情")</f>
        <v/>
      </c>
      <c r="K2953">
        <f>HYPERLINK("https://yourei.jp/凍える", "查看例句")</f>
        <v/>
      </c>
    </row>
    <row r="2954">
      <c r="A2954" t="inlineStr">
        <is>
          <t>心地</t>
        </is>
      </c>
      <c r="B2954" t="inlineStr">
        <is>
          <t>成功</t>
        </is>
      </c>
      <c r="C2954" t="inlineStr">
        <is>
          <t>読み方：ここち
１外界からの刺激に対して起こる心の状態。心持ち。気持ち。気分。「—よさそうに眠る」「生きた—もしない」
→気持ち［用法］
２物事に対する心の持ち方。考え。思慮。心構え。
「まだいと若き—に」〈源・空蝉〉
３気分が悪くなること。病気。
「—などのむつかしき頃、まことまことしき思ひ人の言ひなぐさめたる」〈枕・二六五〉
４（「心地する」の形で）…のようなありさま、…の感じである、という意を表す。ようす。けはい。風情。
「人柄のたをやぎたるに、強き心をしひて加へたれば、なよ竹の—して、さすがに折るべくもあらず」〈源・帚木〉
[補説]1の場合、複合語の下の部分を構成するときは「履きごこち」「夢見ごこち」のように「…ごこち」となる。
[下接語] （ごこち）居心地・風邪(かぜ)心地・着心地・座り心地・旅心地・寝心地・乗り心地・人心地・夢心地・夢見心地・酔い心地</t>
        </is>
      </c>
      <c r="D2954" t="inlineStr">
        <is>
          <t>心地良い(6%)；心地いい(4%)；心地良く；心地良さそう；心地せら</t>
        </is>
      </c>
      <c r="E2954" t="inlineStr">
        <is>
          <t>感じ；思い；気持；気持ち；感情</t>
        </is>
      </c>
      <c r="F2954" t="inlineStr">
        <is>
          <t>坐り心地；やうな心地；的中心地；住み心地；使い心地</t>
        </is>
      </c>
      <c r="G2954" t="inlineStr">
        <is>
          <t>心地よく；心地よ；心地好い；心地好；心地好く</t>
        </is>
      </c>
      <c r="H2954" t="n">
        <v>29</v>
      </c>
      <c r="I2954" t="inlineStr">
        <is>
          <t>彼女はかつて知らなかった気持を覚えた、花が開くような一種の心地を。；なに一度の事だからと打ち消して見ても、いやな心地は容易に消えない。；何故だか分らなかったが、心が軽く空中に漂っているような心地だった。；ところで、私は今もちょうどその釣鐘の塔の中にいるような心地がする。；雲ばかりを眺めてゐると、空中を飛行してゐるかのやうな心地でもあつた。；表をしめて足を返した時、彼女は何か物につき当ったような心地がした。；昨日の心地と今日の心地とを清三はくらべて考えずにはいられなかった。；それでも私は涙ぐんだ心地で彼等を見なければならなかったのである。；けれど、すべての母は皆マリアのような心地でその子を育つべきである。；アレほど我を忘れて夢幻に徜徉するような心地のしたのはその後にない。；なんのことはない、あやつり人形の所作でも見ているような心地がした。；なんのことはない、あやつり人形の所作でも見てゐるやうな心地がした。；この心地は、かの我を忘れて魂無何有の境に逍遙ふといふ心地ではない。；東京の家のことや人々のことを考えるのも、夢の中でのような心地でした。；彼は恐ろしい場所をでも遁れるような心地で、離れの自分の室へはいった。；彼女は歩いてこそいたけれど、実はもう生きた心地もなかったのだ。；その流れに自分も知らず知らずのせられていく心地のよさが、その一つである。；私は、私の心の穴をえぐられた心地してびっくりしたことを今に忘れ得ない。；たとい茶を飲まなくともその人のそばにゆくと心地のよいことがある。；旧・大森町の中心駅であったが、町中心地から南に外れた場所に位置した。；二人は好ましい闇夜の中を、晴やかな安心しきった心地で歩いていった。；一時ばかりにして人より宝丹を貰い受けて心地ようやくたしかになりぬ。；そして彼女は同じ道をたどり行くには、もうその力がないような心地がした。；張はもう今にも射殺されるだろうと思って、生きた心地はしませんでした。；われは目に見えぬ幾條の腕もて拉き去らるゝ心地して、此場を遁れたり。；南は主人が自分を尊敬してくれるので悪い心地はしなかった。；事実非常にいいもので使い心地は申し分のない気持のいいものである。；僕が現実では一度も味わったことのない心地で僕はいたのです。；その眼の前では自分がごく小さな子供のような心地がした。</t>
        </is>
      </c>
      <c r="J2954">
        <f>HYPERLINK("https://www.weblio.jp/content/心地", "词义详情")</f>
        <v/>
      </c>
      <c r="K2954">
        <f>HYPERLINK("https://yourei.jp/心地", "查看例句")</f>
        <v/>
      </c>
    </row>
    <row r="2955">
      <c r="A2955" t="inlineStr">
        <is>
          <t>心地よい</t>
        </is>
      </c>
      <c r="B2955" t="inlineStr">
        <is>
          <t>成功</t>
        </is>
      </c>
      <c r="C2955" t="inlineStr">
        <is>
          <t>読み方：ここちよい
［形］［文］ここちよ・し［ク］気持ちがよい。気分がさわやかである。快い。「—・い朝の空気」</t>
        </is>
      </c>
      <c r="D2955" t="inlineStr">
        <is>
          <t>心地よいもの(4%)；心地よい風(2%)；心地よい音(2%)；心地よい眠り；心地よい香り</t>
        </is>
      </c>
      <c r="E2955" t="inlineStr">
        <is>
          <t>いい；よい；良い；楽；豊かな</t>
        </is>
      </c>
      <c r="F2955" t="inlineStr">
        <is>
          <t>心地よい音楽；心地よい場所；とても心地よい；心地よい熱；むしろ心地よい</t>
        </is>
      </c>
      <c r="H2955" t="n">
        <v>29</v>
      </c>
      <c r="I2955" t="inlineStr">
        <is>
          <t>魚客は心地よく酔って寝たが、眼が醒めたときにはもとの船の中にいた。；息をするたびに触れたり離れたりする、その布の感触さえ心地よかった。；「ひとり」でいることはこんなに心地よいものなのだと初めて気づいた。；そんな心地よいもののことを考えてしまったのを後悔するような声である。；心地よい僅かな時間はすぐに過ぎ、気がつけば アパートの前に到着だ。；それが成功し、彼女が晴れの場で敗北したのが心地よくてならぬ風である。；いつになく心地よく平和な情景だが、メアリは馬鹿なことを考えていた。；秋の始めの晴天は、文句のつけようがない程心地よい風を運んできていた。；夏の盛りのことで、今日も朝から暑かったが、風が立っていて心地よい。；ま、どちらにしても、心地よくないスラングであることに間違いはない。；瞼を下ろして眠ってしまいそうなその疲れが、真には少し心地よかった。；だから、ここでの生活も、到着したその時から心地よいものであった。；そんなこんなを考えているうちに、私は心地よい眠りに入っていた。；地面は心地よく暖かいが、太陽の熱が残っているわけではないだろう。；心地よいだけの恋など、ほんとうにあるものなのか、わたしは知らない。；森のてきぱきした声をBGM代わりに寝そべっているのが心地よかった。；ずっと心地よい沈黙を共有していたかったが、時間は止まってはくれない。；確かにそれは一面心地よいかもしれないが、私が道を誤ったときはどうする?；けれどもその店では私は必要とされ、好かれていると思うのは心地よかった。；横になった高次の体の下から、蒸気汽罐の響きが心地よく伝わってくる。；部屋の心地よい温度は、開き口が目には見えない暖房装置で保たれていた。；ただぼんやりながめ、心地よい幸福のなかで夕方の空気を吸っていた。；酔った心地よい状態の夢うつつのような記憶が残っているのみである。；同情なんてされたくはないけれど、今だけはやさしい言葉が心地よかった。；これ全て、結婚式願望、そして式の後の心地よい興奮のためなのである。；月の光が話している老紳士の顔を照らしたとき彼女は心地よいものを感じた。；少し寒さが感じられる夜は、布団の中がいつもより一層心地よく感じられた。；土方仕事で日に炙られながら、心をがらんどうにして働くのは心地よい。；燃料には薪のかわりに泥炭が使われ、芳香と心地よい熱を発散していた。</t>
        </is>
      </c>
      <c r="J2955">
        <f>HYPERLINK("https://www.weblio.jp/content/心地よい", "词义详情")</f>
        <v/>
      </c>
      <c r="K2955">
        <f>HYPERLINK("https://yourei.jp/心地よい", "查看例句")</f>
        <v/>
      </c>
    </row>
    <row r="2956">
      <c r="A2956" t="inlineStr">
        <is>
          <t>心</t>
        </is>
      </c>
      <c r="B2956" t="inlineStr">
        <is>
          <t>成功</t>
        </is>
      </c>
      <c r="C2956" t="inlineStr">
        <is>
          <t>読み方：うら
《「裏」と同語源で、表に見えないものの意から》
１こころ。思い。内心。→心(うら)もなし
２形容詞・動詞に付いて、心の中で、心の底からの意を表し、さらにその意が弱まって、何ということなく、何とはわからず、おのずからそのように感じられるの意を表す。「—悲しい」「—寂しい」「—荒(さ)ぶ」</t>
        </is>
      </c>
      <c r="D2956" t="inlineStr">
        <is>
          <t>心葉先輩；心拍数；心惹か；心ひそか；心優しい</t>
        </is>
      </c>
      <c r="E2956" t="inlineStr">
        <is>
          <t>考え；気；頭；意味；中心</t>
        </is>
      </c>
      <c r="F2956" t="inlineStr">
        <is>
          <t>心葉；お心；好奇心；子供心；わが心</t>
        </is>
      </c>
      <c r="G2956" t="inlineStr">
        <is>
          <t>心臓；心理；心持；心得；心から</t>
        </is>
      </c>
      <c r="H2956" t="n">
        <v>29</v>
      </c>
      <c r="I2956" t="inlineStr">
        <is>
          <t>また嫌がる人や心を閉ざしている相手に対して魔法は効力を発揮しない。；一般に心霊現象は科学的には説明のつかない現象であるとされることが多い。；ここで概念は心の中にのみであるが存在するものとみなされている。；しかし、自然に生じるといってもある程度、心に余裕がないと出てこない。；代わって小さくて安全な夢に彩られた歌が人々の心を惹きつけ始めた。；監督は人の心を見透かす方なので、自身の葛藤を見抜いたかもしれない。；人間は、知識だけでなく、自らの精神や心にも注意を向けることができる。；キエルも父の死の知らせでおかしくなってしまった母親に心を痛めていた。；また、相手のよくない結果を望む、心の中に生じる意思を意味する。；心の働きが一定の方向に作用していくこと、意志形成力のこと。；さらに、思いやりの心などが育つなどの情操教育の効果もあるとされる。；人間の心を扱う研究は古代の占星術が扱うテーマのひとつであったともいわれている。；心意識として別々の働きがあるが、心の作用の区別に過ぎないと考える。；三心は念仏者の心得るべき根幹をなすもので、大切なものとされている。；緊張しなければ人の心を読むことだってできないわ。；これは中央部の心白を出すため精米しやすい大きさでもある。；お前は人間の体であっても心は仏になったのだ。；意識や心の構造が問われるようになるのは、17世紀以降である。；心機能と肝機能を障害するゴシポールが腺に含まれているからである。；こうして人間の心は次第に多層的に理解されるようになった。；人は意識的に望んだのではなく、知らないうちに心をプログラムされている。；時間は心と無関係に外部で流れているようなものではない。；思い残すこともなく患うこともなく心静かに世を去ったのである。；内因は、外因でも心因でもないが明確にはよくわからないものである。；日本語では「眼は心の窓」「目は口ほどにものを言い」という表現がある。；紫織と結婚するつもりでいても、心の底ではマヤをあきらめきれない。；作曲とは、作曲者の心に感じた事を音によって表現することである。；まるで炉の扉が開くようだ - 心がスクリーンから飛び出してきたようだ。；しかしそれが処刑の非道さを浮き彫りにし、彼らの心を掻き立てたという。</t>
        </is>
      </c>
      <c r="J2956">
        <f>HYPERLINK("https://www.weblio.jp/content/心", "词义详情")</f>
        <v/>
      </c>
      <c r="K2956">
        <f>HYPERLINK("https://yourei.jp/心", "查看例句")</f>
        <v/>
      </c>
    </row>
    <row r="2957">
      <c r="A2957" t="inlineStr">
        <is>
          <t>心当たり</t>
        </is>
      </c>
      <c r="B2957" t="inlineStr">
        <is>
          <t>成功</t>
        </is>
      </c>
      <c r="C2957" t="inlineStr">
        <is>
          <t>読み方：こころあたり
心に思い当たること。また、見当をつけた場所。「就職口なら—がある」「—を探してみる」</t>
        </is>
      </c>
      <c r="D2957" t="inlineStr">
        <is>
          <t>心当たりがございます；心当たりが無い</t>
        </is>
      </c>
      <c r="E2957" t="inlineStr">
        <is>
          <t>心当り；目星；心あたり；思い当たるふし</t>
        </is>
      </c>
      <c r="F2957" t="inlineStr">
        <is>
          <t>お心当たり；あなたに心当たり</t>
        </is>
      </c>
      <c r="H2957" t="n">
        <v>29</v>
      </c>
      <c r="I2957" t="inlineStr">
        <is>
          <t>この中に犯人の心当たりがあっても、黙って安全な自分の国に帰ります。；こういう顔をしているということは、自分でも心当たりがあるのだろう。；心当たりの人物と直接の面識はないけれど、名前は以前から知っていた。；とすると、伯爵の方にも何かお心当たりがあるのではないでしょうか?；だが心当たりとなると、江利子たちに答えられることなど何もなかった。；あなた方の側で、こんな手紙を書きそうな人物に心当たりはありませんか?；よほど急ぎの用件なのだろうが、それにしては心当たりは二人ともない。；といっても、死んだ男の身元に心当たりがあるというわけじゃねえんだ。；だから当然、三奈子は心当たりがあるのかと期待したのだが不発だった。；本人はストーカーだろう、自分には心当たりがない、と言っているがね。；おれは何の心当たりもなく恋を告白したり、訴えたりしていただけさ。；驚いていないところを見ると、凛子が倒れた原因に心当たりがあるようだ。；「おまえ、なにか心当たりでもあるのかい」 その様子に母親が尋ねた。；だが心当たりといえるものが何ひとつないことに彼女は気づいた。；「何か根拠があるのか」 どうやら彼にも何か心当たりがあるらしい。；昨日は心当たりがないので放っておいたが、いったい誰なんだろう。；「誰か心当たりがあるんですか」 辻村のことを告げようかとも思った。；赤い瞳と金の髪をしたヤツなら、一人だけ心当たりがあるようなないような。；彼ら以外にひとりだけ心当たりがあるが、彼とは話してもいなかった。；高校二年までは、シャボン玉の中の人物たちに心当たりはないと答えた。；秘密漏洩ルートと言ったところで、私にはまるで心当たりがないのだ。；これがハルヒの見せている夢だとしたら、俺にはあの場所に心当たりがある。；無論瀑に心当たりはなく、考えられるとすれば兄である漣の存在だった。；けれど心当たりのある人間が読めば、たちまち噂として広がるのだろう。；おそらく佐清君にはそのにせものについて心当たりがあったのでしょう。；もうひとつだけ、統合計画局の人間と接触する方法に心当たりがあった。；青田了介の顔に心当たりがあるという言葉が、どこでも聞かれないのだ。；その一分後とか二分後とかに何が起こったのか、まったく心当たりなどなかった。；捜査本部に戻った主人公には、既に文江の兄の行方に心当たりがあった。</t>
        </is>
      </c>
      <c r="J2957">
        <f>HYPERLINK("https://www.weblio.jp/content/心当たり", "词义详情")</f>
        <v/>
      </c>
      <c r="K2957">
        <f>HYPERLINK("https://yourei.jp/心当たり", "查看例句")</f>
        <v/>
      </c>
    </row>
    <row r="2958">
      <c r="A2958" t="inlineStr">
        <is>
          <t>心得</t>
        </is>
      </c>
      <c r="B2958" t="inlineStr">
        <is>
          <t>成功</t>
        </is>
      </c>
      <c r="C2958" t="inlineStr">
        <is>
          <t>読み方：こころえ
１理解していること。また、理解してとりはからうこと。「—のある処置」
２常に心がけていなければならないこと。心構え。「日ごろの—がよくない」
３技芸を身につけていること。たしなみ。「茶の湯の—がある」
４ある事をするにあたって注意し、守るべき事柄。「接客の—」「冬山登山の—」
５下級の者が上級の役職を代理または補佐するときの職名。「課長—」</t>
        </is>
      </c>
      <c r="D2958" t="inlineStr">
        <is>
          <t>心得ている(20%)；心得ており(2%)；心得てる；心得てゐる；心得ておる</t>
        </is>
      </c>
      <c r="E2958" t="inlineStr">
        <is>
          <t>覚え；決意；覚悟；決心；心がけ</t>
        </is>
      </c>
      <c r="F2958" t="inlineStr">
        <is>
          <t>万事心得；十分心得；心得ておか；相心得；心得とる</t>
        </is>
      </c>
      <c r="G2958" t="inlineStr">
        <is>
          <t>心得顔；心得違い；心得違；心得ちがい；心得よ</t>
        </is>
      </c>
      <c r="H2958" t="n">
        <v>29</v>
      </c>
      <c r="I2958" t="inlineStr">
        <is>
          <t>物事にはうまく行く場合とそうでない場合があるのを心得ていたからだ。；したがって彼らのある者は、百姓よりも身分のよいものと心得ていた。；斎藤は、子供たちにも剣術や武士の心得を教えていたと考えられている。；他人を欺いてはならない、戦いの際もこの心得を守るべきであると謂う。；そして何でも心得ているような顔をしていなければならないのだ。；さてこんなことをつぶさに心得てる寿司屋はなかなかあるものではない。；ただ程度を心得てる店と、そうでない店があるだけのことであろう。；少ないのはいいが、それを心得ずして俳優を志すことは無謀も甚だしい。；医術の心得があるらしく、聴診器を首から提げている姿がよく見られた。；実家がピアノ教室だったため、ギターやベースの他にピアノの心得がある。；私が改めて云ふまでもなくこれは社会党の主領もよく心得てゐることである。；尤もそれは電話技術を心得ている者ならば何でもないことだった。；どうです、心得ているから可いようなものの、それでいながら変に凄い。；天井のどの辺を足場にして這えばいいかというような事も心得ていた。；食事は毎日のことだから、貴賤に限らずその心得がなくてはならない。；なんといっても母親のほうが妹よりは万事をよく心得ているのだ。；面倒見がよく、また人の才能を見抜く術を心得ていたといわれている。；服屋の方でも、それを心得てゐて、古着探しまでやつて呉れるのがある。；能樂に興味を持つて居つて謠の間拍子まで良く心得てゐる程の人であつた。；そこで、雲ケ畑の住民はこの水をけがさないように心得て生活をしてきた。；相対済令は大坂や京都にも心得として伝えられたが、実施はされなかった。；武芸の心得のある彼は路ばたの立ち木をうしろにして、闇を睨んで叫んだ。；こんなふうに自分がやったようにふるまうことは、あの二人も心得ていたろう。；特に頭頂を他人に触れさせないことが修行者の心得のひとつでもありました。；我々の仕事は設備のあとに始まるものと心得ていたらこれが大変なまちがいであつた。；ボビナムでは身体のみならず心を鍛錬するために10の心得を掲げている。；罪を軽くするには馬の無事が欠かせないとしっかり心得ている。；彼女はいつも心得ていてくれて、Kがいるとき弁護士に茶を運んでくるのだった。；その医者は、音楽と神経の関係をば、かなり深く心得ていたからでありましょう。</t>
        </is>
      </c>
      <c r="J2958">
        <f>HYPERLINK("https://www.weblio.jp/content/心得", "词义详情")</f>
        <v/>
      </c>
      <c r="K2958">
        <f>HYPERLINK("https://yourei.jp/心得", "查看例句")</f>
        <v/>
      </c>
    </row>
    <row r="2959">
      <c r="A2959" t="inlineStr">
        <is>
          <t>心得る</t>
        </is>
      </c>
      <c r="B2959" t="inlineStr">
        <is>
          <t>成功</t>
        </is>
      </c>
      <c r="C2959" t="inlineStr">
        <is>
          <t>読み方：こころえる
［動ア下一］［文］こころ・う［ア下二］
１物事の事情や意味するところをよく理解する。のみこむ。わきまえる。「扱いを—・えている」
２事情をよく理解したうえで引き受ける。承知する。「—・えました。おまかせください」
３たしなみがある。会得している。「茶道も少しは—・えている」
４気をつける。用心する。
「ころび落ちぬやう—・えて炭を積むべきなり」〈徒然・二一三〉</t>
        </is>
      </c>
      <c r="D2959" t="inlineStr">
        <is>
          <t>心得るべき(7%)</t>
        </is>
      </c>
      <c r="E2959" t="inlineStr">
        <is>
          <t>知っている；知る；承知；分かる；気づく</t>
        </is>
      </c>
      <c r="F2959" t="inlineStr">
        <is>
          <t>なんと心得る</t>
        </is>
      </c>
      <c r="H2959" t="n">
        <v>29</v>
      </c>
      <c r="I2959" t="inlineStr">
        <is>
          <t>その抜け道を誰も彼も心得るようになっては、小説の運命はそれまでだ。；申さば、百人が攻めかかって来ても、これを一人と心得ることができる。；連想は当人の随意だがそれ以外の戦争はないものと心得るのは不都合だ。；三心は念仏者の心得るべき根幹をなすもので、大切なものとされている。；いずれも総髪に僧形をした忍者で、全員が淫石を作るための術を心得る。；科学の本質を知るというのは、科学は魔術でないことを心得ることである。；本来、男はつねに一人で先へイッテしまいたいものであることを心得るべし。；予の手をここまで煩わせておきながらすべてを無駄にした報いと心得るがいい。；お阿和と貞昌との婚約は破棄されたものと心得るようにと付記されていた。；女は二十一になると、そんなことを心得るもんですかね。；その先生は俳号さえもてばそれでもう立派な俳人のように心得る種類の人であった。；女は嫁した夫の家を第一と心得るべきではあるが、自分のものは好きなようにつかう権利があるのだ。；だからわたしは発作に見舞われると、それをそのままお薬と心得る。；作家の物語からイメージを膨らませ挿絵を描く仕事を天職と心得る。；いい気持にならなければならぬと自分を叱咤激励するための掛声と心得るべきだろう。；但し此許可を與へるに付ては此事を心得ろと云ふ訓令があります。；いずれも総長、大臣よりの見舞いと心得るも、かかる言は口にせず大いに可なり。；一次大戦後のドイルは心霊主義の布教を自身の使命と心得るようになった。；思うにそのほうはいずこかにて金剛邪禅の法を修した外道の沙門と心得る。；音楽を天職と心得る人や、天職とまではいかないがとにかく業としている人は、ここには問わない。；これはわたしからの命令だと心得ろ、わかったな?；心得るフランソワは、試みにも横になろうとしなかった。；人生を一連の冒険と心得るH21にとって、条件は完璧だったといっていい。；男も女も、立てば、座ったものを下人と心得る、すなわち頤の下に人間はない気なのだそうである。；思うにその方は何処かにて金剛邪禅の法を修した外道の沙門と心得る。；彼らは虚偽をもって破滅と心得る家の精だったからである。；しかのみならず物差しをあててみなを感心させるには種々な材料を使ってあるいは法律第何百何条にこう書いてあるから、おまえもしかじかこれこれと心得ろといえば聞く者もなるほどそうかと思う。；刀のぬきかた、槍の使い方さえも心得る、その外随分さまざまの芸をやった。；最後に、文化の専門家自身の当然心得るべき守則のようなものと、その文化人が代表する民衆自身へ向かって文化専門家が注文すべきものとは、区別されねばならぬのである。</t>
        </is>
      </c>
      <c r="J2959">
        <f>HYPERLINK("https://www.weblio.jp/content/心得る", "词义详情")</f>
        <v/>
      </c>
      <c r="K2959">
        <f>HYPERLINK("https://yourei.jp/心得る", "查看例句")</f>
        <v/>
      </c>
    </row>
    <row r="2960">
      <c r="A2960" t="inlineStr">
        <is>
          <t>心掛かり</t>
        </is>
      </c>
      <c r="B2960" t="inlineStr">
        <is>
          <t>成功</t>
        </is>
      </c>
      <c r="C2960" t="inlineStr">
        <is>
          <t>読み方：こころがかり
［名・形動］気にかかること。また、そのさま。気がかり。心配。「—な母の病状」</t>
        </is>
      </c>
      <c r="D2960" t="inlineStr">
        <is>
          <t>心配；懸念；気がかり；心配事；煩い</t>
        </is>
      </c>
      <c r="H2960" t="n">
        <v>29</v>
      </c>
      <c r="I2960" t="inlineStr">
        <is>
          <t>これは世界で最もコストの掛かるエネルギープロジェクトとなっている。；また嫌がる人や心を閉ざしている相手に対して魔法は効力を発揮しない。；用事は時計の番をするだけで、しかもその時計はまるで手が掛からない。；一方において私は犯人が掛からざるをえない確実な罠を作っておきます。；一般に心霊現象は科学的には説明のつかない現象であるとされることが多い。；しかし、自然に生じるといってもある程度、心に余裕がないと出てこない。；代わって小さくて安全な夢に彩られた歌が人々の心を惹きつけ始めた。；ベランダの窓が鍵が掛かっていたときは、窓を叩き割って部屋に入った。；三方向から全く同時に斬り掛かられてはどんな達人だろうと回避不可能。；この演説は多くのベルリン市民やドイツ国民の心に残ることとなった。；このため企業のサポート側では感情的な電話が掛かる率が非常に高いと言える。；例によって時計を出して計ってみると、六分ばかり掛かって帰ってきた。；当時の技術ではCPUとは別にROMを置く方がコストが掛かっていた。；襲名披露興行やその後しばらくの舞台では特にこれが掛かることが多い。；監督は人の心を見透かす方なので、自身の葛藤を見抜いたかもしれない。；ただし、この服装が原因でキービジュアルの決定に最も時間が掛かった。；まさかとは思うが、自分の周囲にいた者に迷惑は掛からなかっただろうか。；しかし、莫大な建設費用が掛かることから、今のところ実現していない。；そのため専門家などに発見されるまでにはどうしても一定の分析時間が掛かる。；帰りには、早くお目に掛かろうと思って、馬車に乗って帰りましたの。；先きへ出ているものも、まだ為事には掛からずに、扇などを使っている。；死体と違い噴き出した血は勢いよくミミズクの顔に掛かり、目に入った。；人間は、知識だけでなく、自らの精神や心にも注意を向けることができる。；キエルも父の死の知らせでおかしくなってしまった母親に心を痛めていた。；それも一人ではなく幾多の黒の刺客が現れ、ティンに襲い掛かってくる。；また、相手のよくない結果を望む、心の中に生じる意思を意味する。；全てを知るために、常に襲い掛かる頭痛に苦しみつつも脱出を開始する。；心の働きが一定の方向に作用していくこと、意志形成力のこと。；さらに、思いやりの心などが育つなどの情操教育の効果もあるとされる。</t>
        </is>
      </c>
      <c r="J2960">
        <f>HYPERLINK("https://www.weblio.jp/content/心掛かり", "词义详情")</f>
        <v/>
      </c>
      <c r="K2960">
        <f>HYPERLINK("https://yourei.jp/心掛かり", "查看例句")</f>
        <v/>
      </c>
    </row>
    <row r="2961">
      <c r="A2961" t="inlineStr">
        <is>
          <t>心掛け</t>
        </is>
      </c>
      <c r="B2961" t="inlineStr">
        <is>
          <t>成功</t>
        </is>
      </c>
      <c r="C2961" t="inlineStr">
        <is>
          <t>読み方：こころがけ
１ふだんの心の持ち方。「—がよくない」「ふだんの—しだいである」
２たしなみ。心得。
「有っても一向—のございません僕なんざ、…つい気がつかないで了います」〈鏡花・婦系図〉
[用法]心がけ・心がまえ——「日ごろの心がけ（心構え）がものをいう」「そんな心がけ（心構え）では、行く末が思いやられる」など、心の持ち方の意では相通じて用いられる。◇「心がけ」は日常の心のあり方を指すことが多く、「こつこつ貯金するとは、いい心がけだ」「日ごろの心がけが悪い」などという。◇「心構え」は、ある事柄に対して心の準備をすることで、「老後の心構えをしておく」「親としての心構えを聞く」と用いる。◇類似の語に「気構え」がある。「リハーサルと本番とでは気構えが違う」「子供を育てながら働く気構えでいる」のように、はっきりとした意志や決意をともなった心の準備状態をいう。</t>
        </is>
      </c>
      <c r="D2961" t="inlineStr">
        <is>
          <t>心掛けている(16%)；心掛けており；心掛けてゐる；心掛けねばなら；心掛けなければなら</t>
        </is>
      </c>
      <c r="E2961" t="inlineStr">
        <is>
          <t>決意；覚悟；決心；心得；心がけ</t>
        </is>
      </c>
      <c r="F2961" t="inlineStr">
        <is>
          <t>心掛けなけれ；たいと心掛け；殊勝な心掛け；お心掛け；心掛け次第</t>
        </is>
      </c>
      <c r="G2961" t="inlineStr">
        <is>
          <t>心掛けよ；心掛けれ；心掛けろ</t>
        </is>
      </c>
      <c r="H2961" t="n">
        <v>29</v>
      </c>
      <c r="I2961" t="inlineStr">
        <is>
          <t>それを僕は、今までは、どうもその逆ばかりを心掛けていたようだった。；集団のメンバーは各々必ず何秒かおきに首を上げることを心掛けておく。；偽豪傑達の習慣を決して身に付けないようにと心掛けなければならない。；であるから今日の日本の男子がこれを心掛けて出来ないはずはないのである。；さう心掛けてゐるわけではないが、さうせずにはゐられないのである。；節水を心掛けているわけではないが、その単語は頭の隅にあるのだろう。；武将の心掛けとして最も大事なことの一つをまた学んだ気持であった。；これが各国に知れた頃から、私は目を射る事を、遥にまた遠く心掛けた。；なるたけ今の時代が求めるものをと心掛けないと、仕事には破滅が来る。；君が心掛けのよい、正直な人間だってことは、誰よりも僕がわかっている。；ゲッベルスは他党の何倍にもあたる数の党集会を組織することを心掛けた。；楽器の開発に当たっては、以下の条件を必ず満たす様に心掛けたという。；彼はただそれをあからさまに、それとは示さないように心掛けたわけだが。；会社では高田はソツのない勤務だけを心掛けている弱々しい社員である。；わしと同じように、どんなものでもまず値切ってみることを心掛けておる。；似而非豪傑流の習慣は、決して身に積まざるやうにと心掛けねばならぬ。；作詞ができない時は映画やドラマから感動を得るよう心掛けている。；私は冬になっても、夏と同じだけの長時間水につかることを心掛けていた。；そんな心掛けだから外れたんだと、わたしはもうあきらめてますのよ。；或いは心掛けはそうであったかも知れないが、事実はそうは行かない。；アーティストのライブ演出では世界観や物語を重視する制作を心掛けている。；同じ材料を幾通りにも利用するように心掛けなければいけない。；耳に残るキャッチーな音楽を作曲することを心掛けているとのこと。；練習にPDCAサイクルを導入し、選手の技能と意識向上を心掛けてた。；また、「彼女の感情を理解して正直になること」を心掛けたと語っている。；そして自分自身の安全を心掛けてたら、自然と周りの人や車も安全になるんです。；失敗を恐れず、しかし同じ失敗は繰り返すまいの心掛けが大事である。；劇伴音楽ではメロディラインを重視したわかりやすい音楽を心掛けている。；だから彼女の話は、常に話半分くらいに聞くよう心掛けなければならない。</t>
        </is>
      </c>
      <c r="J2961">
        <f>HYPERLINK("https://www.weblio.jp/content/心掛け", "词义详情")</f>
        <v/>
      </c>
      <c r="K2961">
        <f>HYPERLINK("https://yourei.jp/心掛け", "查看例句")</f>
        <v/>
      </c>
    </row>
    <row r="2962">
      <c r="A2962" t="inlineStr">
        <is>
          <t>心掛ける</t>
        </is>
      </c>
      <c r="B2962" t="inlineStr">
        <is>
          <t>成功</t>
        </is>
      </c>
      <c r="C2962" t="inlineStr">
        <is>
          <t>読み方：こころがける
［動カ下一］［文］こころが・く［カ下二］いつも心にとめておくようにする。気をつける。心にかける。「貯蓄を—・ける」「安全第一を—・ける」</t>
        </is>
      </c>
      <c r="D2962" t="inlineStr">
        <is>
          <t>心掛けるべき(4%)</t>
        </is>
      </c>
      <c r="E2962" t="inlineStr">
        <is>
          <t>務める；努力；尽力；心配する；努める</t>
        </is>
      </c>
      <c r="H2962" t="n">
        <v>29</v>
      </c>
      <c r="I2962" t="inlineStr">
        <is>
          <t>男も女も、力を合せて、新しい発明を心掛けるべき時だと思っています。；雰囲気や匂いを意識せず、的確という事だけを心掛けるといいと思います。；雰囲気や匂いを意図せず、的確という事だけを心掛けるといいと思います。；新監督がまず最初に心掛けることは、なにをおいてもチームの統率だ。；わたしにできることといえば、においを出さないように心掛けるだけだ。；道を歩くのにもできるだけ疲れないように心掛ける。；それはほとんど無いというてもよいぐらいですから文法などを心掛けるような人はごく少ないです。；ただ会員になったら、このことだけはいつも心掛けるように。；多人数を相手にするときは、まず背後へ回られないように心掛けることだった。；私のほうもいつかはお許し願えるように、せいぜい心掛けるつもりです。；目は開けていても黙想と同様、無になることを心掛ける。；普段の希里子なら安全運転を心掛けるのだが、今夜は違っていた。；盗塁する際投手をどのように見ればよいかについては、全体を見ることを心掛けることである。；大切なことは罪を天に得ないように心掛けることです。；以降決して「待った」をしないよう心掛けるようになった。；そして剣の代りに生きた人間を可愛がる事を心掛けるのだ。；いいか、キミは、目的意識を持って、基本に忠実なプレーを心掛けるんだ。；けれども少しは働くように心掛けるがいい。；探偵小説だとて必ずしも科学を加味する必要はないから、そういう方面に心掛ける作家が出てほしいと思う。；ところが、ある時試合に出られなくても愚痴を言わずにやるべきことをやっている先輩を見て自分を恥じ、人として格好良くなろうと心掛けるようになった。；君の家へ行かないやうに心掛ける、と云つた僕の云ひ方でも、あれだけでは、きつと誤解されてゐるのにちがひない。；キザな表現で話すのが好きで、なるたけそうしようと心掛ける。；結局わたくしは夫婦乞食には、出会わないよう心掛けるようになって参りました。；心情的には彼女のほうに恨みの目を向けたいところだったが、それでも意識して彼女のほうを向かないように心掛ける。；この点がどこか吾々科学者の心掛けるものの見方に類するところがあるように思われるのである。；ものを外に素直に出すということを心掛ける必要がある。；など、常に時代の最先端を吸収していくことを心掛ける。；この頃から手抜きをせずに初回から全力で投げる投球を心掛けるようになった。；その接待場所への到着時間だが、約束の時間の三十分前には行き着けるように心掛けるといい。</t>
        </is>
      </c>
      <c r="J2962">
        <f>HYPERLINK("https://www.weblio.jp/content/心掛ける", "词义详情")</f>
        <v/>
      </c>
      <c r="K2962">
        <f>HYPERLINK("https://yourei.jp/心掛ける", "查看例句")</f>
        <v/>
      </c>
    </row>
    <row r="2963">
      <c r="A2963" t="inlineStr">
        <is>
          <t>心構え</t>
        </is>
      </c>
      <c r="B2963" t="inlineStr">
        <is>
          <t>成功</t>
        </is>
      </c>
      <c r="C2963" t="inlineStr">
        <is>
          <t>読み方：こころがまえ
物事に対処する心の準備。覚悟。「いざという時の—」
→心掛け［用法］</t>
        </is>
      </c>
      <c r="D2963" t="inlineStr">
        <is>
          <t>心；態度；精神；決意；意志</t>
        </is>
      </c>
      <c r="F2963" t="inlineStr">
        <is>
          <t>基本的な心構え</t>
        </is>
      </c>
      <c r="H2963" t="n">
        <v>29</v>
      </c>
      <c r="I2963" t="inlineStr">
        <is>
          <t>このことは死の心構えと同時に再生の準備を始めているのかも知れない。；それは過去の人生の一部、まだ戻っていく心構えのできていない一部だ。；これくらいな用意は当然あるものと心構えには入れていたことである。；それで自分の名前が呼ばれたときにはまったく何の心構えもしていなかった。；侍の妻には、常にいつ来るかも知れない「別れ」の予測と心構えがある。；死に方について用意をきわめるだけの落付いた心構えがあったのである。；今度は先方に人がいることがわかっているので、心構えができている。；をまずたずねて、自分の心構えもしておくつもりだったからである。；だが、それはこちらが理解できる危険であり、心構えをする余裕もあった。；いきなり目玉商品からなので、客たちも心構えができていなかったようだ。；ここではただ政治学に接する場合の心構えについて、一言しておきたい。；そういう心構えはフランスあたりに流行していたのであろうか。；日々新しく訪れる現実にそのまま順応できる心構えができていたからである。；わたしの心構へをするなと言ふのも他意のある訳ではありません。；但し、それらの心構えは覚悟はしていても、人間とかく忘れがちである。；なにより問題なのはツェルニの武芸者に心構えができていないことだ。；何の備えも心構えもない他人までを抱えて旅はできないのだ。；もしこのことを事前にはっきりと認めて、そのための心構えを彼がしておいたら!；極端なようだが、それくらいの心構えでいなければならないのだ。；物事に動じないだけの心構えは出来てるつもりだったし、前には酒がある。；そう心構えをすると同時に、いつも私はだれかの影を恐れていた。；これはペトリのレコードもあるが心構えにおいて老人達の比較にならない。；しかし、ただ心構えを変えたくらいでは美しい行為ができる人間にはなれません。；婦人の使うナギナタにすらこの心構えのきびしい定めがあったものだ。；さういふ手合ひに彼の執筆中の嚴肅な心構へが解りつこないからである。；何の心構えもない市民の耳に、 「戦争だッ」 と、いう声のみが聞えた。；プロの芸人としての心構えを試していたのだろうと圓楽は述懐している。；冷静であるのは戦う時の心構えですが、それは男も女も変わりのない事でしょう。；かすかに恐れがあるが、死を覚悟した人間としては上出来すぎる心構えだ。</t>
        </is>
      </c>
      <c r="J2963">
        <f>HYPERLINK("https://www.weblio.jp/content/心構え", "词义详情")</f>
        <v/>
      </c>
      <c r="K2963">
        <f>HYPERLINK("https://yourei.jp/心構え", "查看例句")</f>
        <v/>
      </c>
    </row>
    <row r="2964">
      <c r="A2964" t="inlineStr">
        <is>
          <t>志</t>
        </is>
      </c>
      <c r="B2964" t="inlineStr">
        <is>
          <t>成功</t>
        </is>
      </c>
      <c r="C2964" t="inlineStr">
        <is>
          <t>読み方：こころざし
１
㋐ある方向を目ざす気持ち。心に思い決めた目的や目標。「—を遂げる」「事、—と異なる」「—を同じくする」「青雲の—を抱く」
㋑心の持ち方。信念。志操。「—を高く保つ」
２相手のためを思う気持ち。厚意。「—を無にする」「お—はありがたいが、辞退します」
３
㋐謝意や好意などを表すために贈る金品。「ほんの—ですが、御笑納ください」
㋑香典返しや法事の引き出物、僧への布施の包みの表に書く語。→寸志
４心を集中すること。注意。
「—はいたしけれど、…上の衣(きぬ)の肩を張り破りてけり」〈伊勢・四一〉
５相手を慕う気持ち。愛情。
「一夜のほど、朝(あした)の間も恋しくおぼつかなく、いとどしき御—のまさるを」〈源・若菜上〉
６死者の追善供養。
「未来の因果を悲しみて、多くの—を尽くして」〈曽我・二〉</t>
        </is>
      </c>
      <c r="D2964" t="inlineStr">
        <is>
          <t>志乃(13%)；志狼(4%)；志貴さま(2%)；志屋；志半ば</t>
        </is>
      </c>
      <c r="E2964" t="inlineStr">
        <is>
          <t>夢；希望；決意；意志；覚悟</t>
        </is>
      </c>
      <c r="F2964" t="inlineStr">
        <is>
          <t>お志；楊志；文志；里志；眞志</t>
        </is>
      </c>
      <c r="G2964" t="inlineStr">
        <is>
          <t>志向；志し；志望；志す；志摩子</t>
        </is>
      </c>
      <c r="H2964" t="n">
        <v>29</v>
      </c>
      <c r="I2964" t="inlineStr">
        <is>
          <t>両者は労働者保護に関する志は共有していたが、方法論に違いがあった。；両者は労働者保護に関する志は共有していたが方法論に違いがあった。；鄧豊洲伝統的な中国の詩を作った励志詩は、励志文学の別の形態である。；無七志を獲得、同時に沖縄の怪童・知念も巨人に入団することとなった。；たった一人残された志音は、死んだようにただ眠ることしかできなくなった。；当時は同じ志を持つ少年たちと切磋琢磨していたが、声優への道を選んだ。；志談味通駅は大正初期には既に存在していたが、当駅との関係は不明である。；ブルーノに隠棲の志が起こったのは、この頃からであったようである。；レコードも出す芸能人だったが、戦争で歌手活動を志半ばで中止していた。；尚志から諮問された西郷は尚志案の再考を提案したと記録されている。；楊志は既に梁山泊入りしていたので、彼の説得もあって梁山泊に加わった。；偶然にもスミスの父親クレイトンとペインは志を同じくする親友だった。；司は高志に「そうか、お前も親父になるのか」と2人の結婚を祝福した。；農業に従事していたが、20歳で志をたてて上京し錦城中学に入る。；志の中に「兵志」を新設して、表を多用したのは、その功績とされている。；志を立て福岡に戻り、薬院の楠屋の援助を得て、酒醸造業にて成功した。；一時期は志段味スポーツランドや中志段味まで足を延ばす系統もあった。；他にも東八郎や大宮敏充にも芸能界へ入る志を与えたといわれている。；小島は同志社の出身で大日本海外教育会が組織される前から朝鮮教育に志を立てていた。；それを知った志乃はショックのあまり会社で倒れ入院してしまう。；桓温は自らの才能を自負しており、かねてより異志を胸に秘めていた。；志朝は民政に力を注ぎ、文武奨励などを行って藩政改革に成功を収めた。；この2人の他にも弟がおり、志の違いで対立しているが、詳細は明らかにされていない。；林述斎は二世蔵六の高い志を感じて、諸侯にこれを紹介している。；この頃から「志の輔」の名前を付けた落語会を開催するようになる。；兄弟の中で最初の合流であり、頼朝は泣いてその志を喜んだ。；志乃は修二に惹かれてゆくが、修二は軍隊から追われる立場であった。；司が高志を半殺しにしたと噂は広まり、司は高校を退学することとなった。；また、創設の志や人脈的な関連から雪印乳業の支援を仰いでいた時期もあった。</t>
        </is>
      </c>
      <c r="J2964">
        <f>HYPERLINK("https://www.weblio.jp/content/志", "词义详情")</f>
        <v/>
      </c>
      <c r="K2964">
        <f>HYPERLINK("https://yourei.jp/志", "查看例句")</f>
        <v/>
      </c>
    </row>
    <row r="2965">
      <c r="A2965" t="inlineStr">
        <is>
          <t>志す</t>
        </is>
      </c>
      <c r="B2965" t="inlineStr">
        <is>
          <t>成功</t>
        </is>
      </c>
      <c r="C2965" t="inlineStr">
        <is>
          <t>読み方：こころざす
［動サ五（四）］
１ある事をしようと思い定める。心の中に立てた目的・目標に向かって進もうと決心する。「学問に—・す」「建築家を—・す」
「或いは山崎を—・して逃ぐるもあり」〈太平記・一五〉
２好意・謝意などの気持ちを表すために金品を贈る。
「越の国へまかりけるに、ぬさ—・すとて」〈後撰・離別・詞書〉
３追善供養をする。
「今日は—・す日に当たりて候ふほどに」〈謡・定家〉</t>
        </is>
      </c>
      <c r="D2965" t="inlineStr">
        <is>
          <t>計画；予定；考える；企画；意図</t>
        </is>
      </c>
      <c r="H2965" t="n">
        <v>29</v>
      </c>
      <c r="I2965" t="inlineStr">
        <is>
          <t>現在は人間族に限らず魔術の道を志すものならば誰でも入学資格を持つ。；であるからさらに方面を変えて海釣に志そうとする願いも無理ではない。；ここでは彼の指揮の下で、全ての人間に関する問題の総合研究を志した。；その後のロンドンでの生活の中でホイッグ党の政治家を志すようになった。；こういう私の性格が私を文学に志さしめた動機となったと云えるでしょう。；学生時代に英語研究会で英語劇に携わる中で声の仕事を志すようになる。；自身が知りえなかった別世界に衝撃を受けタレントを志すようになる。；東京の兄の家に居候しながら映画を観たりするうち、映画関係の職を志す。；麻雀店でアルバイトをしていたことがプロ雀士を志すきっかけとなった。；ふたりの師はともに革新派と呼ばれる新しい印風を志す篆刻家であった。；現役続行を志したが契約するチームはなく、この年限りで現役を引退した。；演劇科のある高校に通ったことがきっかけで、芝居の道を志すようになる。；二人とも同大学の絵画科を志していたが落ちてしまい、版画科へと進学した。；除隊後は鉱山事業を志し東北各地を調査したが、これは成功しなかった。；サッカー少年だった中学生のころにテレビで競馬中継をみて騎手を志す。；教師をしていたときに校内で舞台に立つ機会があり、俳優を志すようになる。；ショー・ビジネスの家庭に育ったが、精神科医になることを志していた。；やがて芝居そのものが楽しくなってしまい、大学をやめて演劇の道を志す。；高校卒業後に上京し、俳優を志して友人の紹介でモデル事務所に所属。；学校で出演した寸劇でおもしろさに目覚め、演劇の道を志すようになる。；美容学校時代に学校での舞台に出演したことで、俳優の道を志す事になる。；将来は力士になるとは全く考えておらず、教師か県庁員を志していた。；実業の道を志し始めたのもちょうど同時期のことであったという。；この事件を目の当たりにしたことと留学の経験が政治家を志す契機となった。；日々の仕事の中で交通に関する学問的な興味を覚え、大学院への進学を志す。；以降、従来の学問領域を超えて環境問題解決を目指す研究活動を志す。；その事から、蘭山は積極的に山や森に分け入り日本の本草学作りを志した。；子供のころから山や動物に親しみ、学生時代には人類学者を志していた。；声優を志した時に、最初に相談したのは兄だったと語っている。</t>
        </is>
      </c>
      <c r="J2965">
        <f>HYPERLINK("https://www.weblio.jp/content/志す", "词义详情")</f>
        <v/>
      </c>
      <c r="K2965">
        <f>HYPERLINK("https://yourei.jp/志す", "查看例句")</f>
        <v/>
      </c>
    </row>
    <row r="2966">
      <c r="A2966" t="inlineStr">
        <is>
          <t>心遣い</t>
        </is>
      </c>
      <c r="B2966" t="inlineStr">
        <is>
          <t>成功</t>
        </is>
      </c>
      <c r="C2966" t="inlineStr">
        <is>
          <t>読み方：こころづかい
１あれこれと気を配ること。心配り。配慮。「温かい—」
２祝儀。心付け。
「目をかけて、—もせし人を」〈人・梅児誉美・四〉</t>
        </is>
      </c>
      <c r="D2966" t="inlineStr">
        <is>
          <t>心遣い感謝</t>
        </is>
      </c>
      <c r="E2966" t="inlineStr">
        <is>
          <t>心配；不安；恐れ；関心；考慮</t>
        </is>
      </c>
      <c r="F2966" t="inlineStr">
        <is>
          <t>細やかな心遣い；細かい心遣い；やさしい心遣い；優しい心遣い；こまやかな心遣い</t>
        </is>
      </c>
      <c r="H2966" t="n">
        <v>29</v>
      </c>
      <c r="I2966" t="inlineStr">
        <is>
          <t>むしろ、私を心配させまいとする主人の心遣いによるものだったのです。；働いている私の負担を少しでも軽くしようとする彼の心遣いである。；彼は、セラニスが自分の息子を案内役につけてくれた心遣いを感謝した。；真九郎はその心遣いに感謝し、もう一度、深々と頭を下げることにした。；したがってその際の心遣いは慎重で思いやり深くなければならないのである。；床を離れた時に、寒い思いをさせないようにとの心遣いからでした。；おそらくその一ドルは、夫妻のさりげない心遣いであったにちがいない。；そのとき、清詩を取り上げてくれた医師の心遣いを感謝しました。；そこでも、父のとった心遣いには何一つ欠けた所はありませんでした。；葭枝にすら秘密にしているおれの心遣いを、きみもよくわかってくれるだろう。；少年の心遣いに喜んでいるところを見せたかったのだろう。；於継のときに、青洲はこの心遣いを見せなかったのも思い出していた。；私を連れて行かれたのは、角立たないようにとのお心遣いだったかも知れません。；だれにでも愛想がよくて、いつでも優しいことばや心遣いを忘れなかった。；そうした心遣いが帆村の緻密な注意力を証拠だてるものであった。；姉は弟のそうしたしぐさと心遣いを知って、ナイフを置いては涙にむせんだ。；そしてまた、あなたのいろいろな心遣いがどんなに私に苦しかったでしょう。；森の小屋から帰ったキキは老婦人の家へ招かれ彼女の心遣いに明るい笑顔を見せる。；英語の喋れない奥さんが、初めのうち困るだろうという心遣いである。；やはり圭子あたりの年齢にならないと、こうした心遣いも出来ないのであろうか。；が、誰かの心遣いでもあるかと、私は赤い絹の色を見つめている。；それが又老母の心遣いから、帰る度に新しい粧をして私を驚きの中に迎えるのだ。；以前、子に向けた心遣いが今は女に向けられたのである。；これはエゴで言っているのではないの、心遣いの問題なんです。；他のやつだったら、そう行き届いた心遣いはできぬものだからね。；私は子供が逃げないようにとの心遣いから、そーッと子供に近寄って行った。；手紙はわざと入れないのが心遣いなのであろうか。；しかし実はこれも、娘が自分にいつまでも心を残さないようにとの景清の心遣いであった。；リーヂアへの心遣いのようなものも幾ぶんは働らいていたかもしれない。</t>
        </is>
      </c>
      <c r="J2966">
        <f>HYPERLINK("https://www.weblio.jp/content/心遣い", "词义详情")</f>
        <v/>
      </c>
      <c r="K2966">
        <f>HYPERLINK("https://yourei.jp/心遣い", "查看例句")</f>
        <v/>
      </c>
    </row>
    <row r="2967">
      <c r="A2967" t="inlineStr">
        <is>
          <t>心強い</t>
        </is>
      </c>
      <c r="B2967" t="inlineStr">
        <is>
          <t>成功</t>
        </is>
      </c>
      <c r="C2967" t="inlineStr">
        <is>
          <t>読み方：こころづよい
［形］［文］こころづよ・し［ク］
１頼りになるものがあって安心である。心丈夫だ。気強い。「君が味方になってくれれば何よりも—・い」⇔心細い。
２情にほだされない。つれない。
「あなたは恋に冷淡です。余(あんま)り—・いと思います」〈荷風・地獄の花〉
３意志が堅固である。気丈だ。気強い。
「上は、御息所の見ましかばとおぼし出づるに、堪へがたきを、—・く念じかへさせ給ふ」〈源・桐壺〉</t>
        </is>
      </c>
      <c r="D2967" t="inlineStr">
        <is>
          <t>心強い味方(10%)；心強いこと(10%)；心強いもの(5%)；心強いだろ；心強いです</t>
        </is>
      </c>
      <c r="E2967" t="inlineStr">
        <is>
          <t>しっかり；力強い；したたか；強靭；タフ</t>
        </is>
      </c>
      <c r="F2967" t="inlineStr">
        <is>
          <t>方が心強い；とても心強い；これほど心強い；どれほど心強い；何より心強い</t>
        </is>
      </c>
      <c r="H2967" t="n">
        <v>29</v>
      </c>
      <c r="I2967" t="inlineStr">
        <is>
          <t>でも逆に実験で成功しているのなら、これほど心強いことはありません。；あなたみたいな兄弟がいたら、この子もきっと心強いことでしょうけど。；だが、そういう心強さは、この場所ではなんの意味もないように思えた。；今の彼女には小さなその身を護ってくれる心強い味方は存在してはいない。；でも、協力をお願いできることがわかっただけで、今の私には心強いよ。；仲間ができた心強さはあるが、一方で彰子にとって不安なこともあった。；家には母と私しかいなかったから、男の人が来てくれて心強かった。；困ったときに逃げる場所がある、ということは、何と心強いことなのか。；一方では、実業家が同席するとわかっていたので心強い安心感があった。；こののんきさがこの場合の三郎にとってはどんなに心強かったでしょう。；そんなものの力を借りられるなら、これ以上に心強いものはないだろうから。；人間の言語の発達に浮気が関わっているとする点がズバリ一致して心強い。；そうしているとシールシャに守られている気がして何となく心強かった。；十四人一人残らずこの日まで生きていたら、どんなに心強かったことか。；周囲の目に見えにくくても、友達を助けて支えてくれる心強いである。；私の計らいをそんなに喜んでくれる人があるのは心強いことである。；たった一人で走っていたときよりも心強く、そして楽しくなってきた。；誰かに相談できるというのが、これほど心強いものとは思わなかった。；あんたみたいな切れ者を友達に持って、息子もさぞかし心強いだろうな。；味方にできれば確かに心強いけど、そうでなかった時はどうするつもり?!；老後の生活の支えとして、少々のものを持っていれば心強いと思うんだ。；これはオーヴィルたちが知っている歴史の通りであり、心強い光景だった。；先生のいつに変らず御元気な御様子をまことに心強く存ぜられました。；仕事上でこういう先輩がそばにいるのは本当に心強いものです。；陣十郎が一緒に来てくれれば、百人千人の味方を得たよりも心強いわけである。；私は写真嫌いだが雲と一緒だと心強いから並んで撮ってもらった。；家のうちに男ありと考えるだけで熱くなるような心強さであった。；それでも、自分以外にも探している人間がいるというのは心強かった。；誰でもこの世に心強く生きるためには、一つのなぐさめが必要な筈です。</t>
        </is>
      </c>
      <c r="J2967">
        <f>HYPERLINK("https://www.weblio.jp/content/心強い", "词义详情")</f>
        <v/>
      </c>
      <c r="K2967">
        <f>HYPERLINK("https://yourei.jp/心強い", "查看例句")</f>
        <v/>
      </c>
    </row>
    <row r="2968">
      <c r="A2968" t="inlineStr">
        <is>
          <t>心細い</t>
        </is>
      </c>
      <c r="B2968" t="inlineStr">
        <is>
          <t>成功</t>
        </is>
      </c>
      <c r="C2968" t="inlineStr">
        <is>
          <t>読み方：こころぼそい
［形］［文］こころぼそ・し［ク］
１頼るものがなく不安である。「一人だけで行くのは—・い」「たくわえが—・い」⇔心強い。
２何となく寂しく感じられる。ものさびしい。
「松の梢吹く風の音—・くて」〈源・末摘花〉</t>
        </is>
      </c>
      <c r="D2968" t="inlineStr">
        <is>
          <t>心細いこと(7%)；心細いもの(5%)；心細い思い(4%)；心細い気持；心細い声</t>
        </is>
      </c>
      <c r="F2968" t="inlineStr">
        <is>
          <t>甚だ心細い；少し心細い；心細い感じ；少々心細い；まことに心細い</t>
        </is>
      </c>
      <c r="H2968" t="n">
        <v>29</v>
      </c>
      <c r="I2968" t="inlineStr">
        <is>
          <t>それだけの心細い証拠でそんな結論が出るとは信じられないことだった。；さすがに心細い思いをしていたところを助けてくれたのがアリスだった。；少数の者だけはあとへ残るであろうが、そうしたことも心細く思われた。；その時手ぶらで外へ出るのは心細いと思ってよ、柄にもなく残した金だ。；西 島 ところがいろいろ考えたが考えれば考える程心細くなって来た。；姉も心細がっているにちがいないと、はじめて小夜のことが気になった。；わしがここにやってくるまでは、夫人も心細かったのではないかと思う。；こんな無責任なことを言わせる今の洋学は考えて見たばかりでも心細い。；続いて舟着場の岩にあがった四人は、心細そうにあたりを見まわした。；急に淋しくはなったけれども、もう以前のように心細いことはなかった。；あちらへ行って知っている者がそばにいないでは心細い所ですからね。；小さい子供を抱えて離婚してしまった娘は、さすがに心細いのだろう。；それじゃ、今の江戸には神さんはいないのかと、妙に心細い気にもなった。；にもかかわらず静信の姿のないことが、沙子には心細くてならなかった。；りよは外へ出るのが心細い気がして、少しでも火のそばにゐたい気がした。；一人じゃ心細くて、あの時の警官が来てたので、一緒に来てもらったのよ。；あそこいらまではまだなかなか遠い事であろうと思われて心細かった。；自分が誰で何をしに東京へ向かっているのかも判らず、心細い限りだった。；このまま死ぬのかも知れないと、私とリツ子は顔を見合せて心細がった。；冬の来るのも寒くなるのも忘れて心配して心細がって居るんでございますわ。；気丈な娘のようだがやはり監禁されている日日は心細かったに違いない。；なんだか、ひどく心細くて、ひとり、とり残されるような気がしていた。；西 島 君がいい画をかいたと云うことを聞いて心細く思うことがかいてあった。；自分の仕事の問題や主食問題や生活問題などが妙に気にかかって心細くなる。；それにあの頃のあなたは先の見込みがずいぶん心細かったんですもの。；まるで心細げな少年を思わせる響きで、すすり泣くような弱さを感じた。；日も落ちたし雪も降り出しそうな空になって来た心細い夕べであった。；慰めてもらいたいような、どうしようもなく心細い気持ちになっていた。；これは彼自身の身になって見れば、心細い気のすることは事実である。</t>
        </is>
      </c>
      <c r="J2968">
        <f>HYPERLINK("https://www.weblio.jp/content/心細い", "词义详情")</f>
        <v/>
      </c>
      <c r="K2968">
        <f>HYPERLINK("https://yourei.jp/心細い", "查看例句")</f>
        <v/>
      </c>
    </row>
    <row r="2969">
      <c r="A2969" t="inlineStr">
        <is>
          <t>試み</t>
        </is>
      </c>
      <c r="B2969" t="inlineStr">
        <is>
          <t>成功</t>
        </is>
      </c>
      <c r="C2969" t="inlineStr">
        <is>
          <t>読み方：こころみ
１ためしにやってみること。企て。「新しい—が実行に移される」
２雅楽の試演。試楽。
「—の日かく尽くしつれば、紅葉の蔭やさうざうしくと思へど」〈源・紅葉賀〉
３試飲・試食をすること。
「—をいたさう。酒がようできたとは申したれども、心もとなう御座る」〈虎明狂・河原太郎〉</t>
        </is>
      </c>
      <c r="D2969" t="inlineStr">
        <is>
          <t>試みられる；試みたる；試み給；試みられよ</t>
        </is>
      </c>
      <c r="E2969" t="inlineStr">
        <is>
          <t>試験；実験；努力；テスト；隙</t>
        </is>
      </c>
      <c r="F2969" t="inlineStr">
        <is>
          <t>新しい試み；新たな試み；実験的な試み；こうした試み；画期的な試み</t>
        </is>
      </c>
      <c r="G2969" t="inlineStr">
        <is>
          <t>試みに；試みよ；試みん；試みれ；試みろ</t>
        </is>
      </c>
      <c r="H2969" t="n">
        <v>29</v>
      </c>
      <c r="I2969" t="inlineStr">
        <is>
          <t>そのため、舞台の一部をネット配信するなどの新たな試みも行っている。；これは企業デスクトップ市場を得るためのノベルの最初の試みであった。；この試みはエジソンが映画の実験を始めた当初からの夢の一つだった。；近視の発生や進行を予防するために、いくつかの方法が試みられてきた。；彼らはゾーストの領主として以前の地位に復しようと試みたのであった。；デジタルコンピュータの初期の時代から音楽の演奏が試みられていた。；この病気の原因は当時何も知られておらず、治癒の試みは成功しなかった。；のようなグループやのような運動は小説や詩の美学を刷新しようと試みた。；相撲の技を言葉で表現しようとする試みは、戦国時代に始まるといわれる。；しかしXの代替となるシステムを開発しようという試みはいくつかある。；まず文献を調査し、その後交霊会で観察した現象をテストしようと試みた。；このため、耐湿性の強さに着目した品種の導入や改良も試みられている。；こうして対清輸出拡大を望むイギリスの試みは失敗に終わった。；また、1950年代にパキスタンで試みられた例は失敗に終わっている。；そんな生活を送りつつも、ララァは発作的に脱走を試みたこともあった。；理論上の問題がある伝統的な測定値に代わり、新しい測定値の導入が試みられた。；この際に群臣が自分のいうことを聞くかどうかで、ある事を試みた。；模倣が試みられたが全て無駄となり、貴腐の利用は秘密のまま維持された。；それぞれ現代の作曲家によって新しい音楽作品を作る試みが行われている。；気象学の研究の中では、人工降雨などの気象制御の試みも行われてきた。；それでこの揺れをなんとかしようと様々な試みがなされた。；彼はアフリカに植民地を設立しようと試みたが失敗した。；本来あるべき数学はこれを多次元化する試みであると考えられる。；こういった電気の新説などを知り、発電を試みたりもしたようである。；ただし、その中から共通するものを見出そうとする試みはつづけられている。；第二法則が確立する以前には、永久機関を作る試みが何度もなされた。；自然界に存在するものを収集・分類する試みは太古から行われてきた。；トムスキイやリザヴェータのモデルを求める試みは成功をみていない。；ただし、生物物理学的・生化学的に生命の誕生を再現する試みはある。</t>
        </is>
      </c>
      <c r="J2969">
        <f>HYPERLINK("https://www.weblio.jp/content/試み", "词义详情")</f>
        <v/>
      </c>
      <c r="K2969">
        <f>HYPERLINK("https://yourei.jp/試み", "查看例句")</f>
        <v/>
      </c>
    </row>
    <row r="2970">
      <c r="A2970" t="inlineStr">
        <is>
          <t>試みる</t>
        </is>
      </c>
      <c r="B2970" t="inlineStr">
        <is>
          <t>成功</t>
        </is>
      </c>
      <c r="C2970" t="inlineStr">
        <is>
          <t>読み方：こころみる
［動マ上一］［文］［マ上一］《心見る、の意》
１実際に効力・効果などをためすために行う。ためしにやってみる。「実験を—・みる」「抵抗を—・みる」
２試飲・試食をする。
「此の飯(いひ)と今の供養の飯と速やかに—・み合はすべし」〈今昔・四・二〉
[用法]こころみる・ためす——「機械がうまく動くかどうかもう一度試みる（試す）」など、とにかくやってみるの意では相通じて用いられる。◇「試みる」は、どんな結果になるかわからないが、とにかくやってみるという意が強い。「被災地と連絡を取ろうと試みたが駄目だった」などと使う。◇「試す」は「耐久性を試す」「恋人の心を試す」など、対象とするものの性能・実態を知るためにやってみるの意が強い。</t>
        </is>
      </c>
      <c r="D2970" t="inlineStr">
        <is>
          <t>試みるべき；試みるべく；試みるべし；試みる勿</t>
        </is>
      </c>
      <c r="E2970" t="inlineStr">
        <is>
          <t>見る；努力；図る；着手；挑む</t>
        </is>
      </c>
      <c r="F2970" t="inlineStr">
        <is>
          <t>再度試みる</t>
        </is>
      </c>
      <c r="H2970" t="n">
        <v>29</v>
      </c>
      <c r="I2970" t="inlineStr">
        <is>
          <t>食い違いを解決しようと試みるために数回の会議が開かれたほどである。；こういったことは経験を十分積んだ人間でなければ試みるべきではない。；修理を試みることで事態がより悪くなる可能性も深刻に考えられた。；一方で、読んだ書物の登場人物になりきって演技を試みる癖があった。；そこでルパンは不二子の記憶を回復させようと試みるが、うまくいかない。；ウィーンではドナウ川の砂を金にしようと試みるも失敗し、投獄された。；遺伝よりも環境に焦点を当て犯罪原因の特定を試みる点に特徴がある。；彼は必死に彼女の蘇生を試みるが、そこへポーターハウスが入ってきた。；シンガポールリーグへの挑戦も試みるが、2002年に帰国し引退した。；日本はドイツから導入した歩行戦車AFWで絶望的な抵抗戦を試みる。；最初の砲撃は目標からかなり外れ、修正を試みると正確性はさらに悪化した。；また「反包囲」とは包囲を試みる部隊を逆に包囲する攻撃機動をいう。；世阿弥の仲間の中に真実を知るために阿波潜入を試みる者たちがいた。；その後もミネルバ再建を試みるグループは複数存在するようである。；いずれにしても今からメットを着用しないで再突入を試みるのは遅すぎる。；高野はその後いくつかの事業を試みるがいずれも成功しなかった。；何度か脱走を試みるが失敗し、終戦までパイロットに戻ることはなかった。；こうした事態について解釈を試みる領域はいくつかあり、次のとおりである。；体験時の出来事と、実在の場所や人物、会話や時間軸などの検証を試みる。；申込者側も商工系の各種融資制度との併用を試みるのが一般的である。；接続が途切れた場合、このプロトコルは接続の回復を試みることができる。；複数政府のコラボレーションで同じことを試みることは、説明を超えています。；リース期間の半分が経過すると、クライアントはリースの更新を試みる。；伊東はこの作品以後、冒険的な構造の建築を積極的に試みるようになった。；彼らは施設に侵入を試みるが感づかれ、部隊は地上と地下に分断されてしまう。；このため自分の能力が社会上不利になると判断し「改善」を試みる。；さらに搭乗していた人々の殺戮と空間歪曲によるワープの実行を試みる。；彼らの中には美しい海を見て海水浴を試みる者もあった。；これはその聞き込みの相手が真犯人であれば抵抗や逃亡を試みる場合があるからである。</t>
        </is>
      </c>
      <c r="J2970">
        <f>HYPERLINK("https://www.weblio.jp/content/試みる", "词义详情")</f>
        <v/>
      </c>
      <c r="K2970">
        <f>HYPERLINK("https://yourei.jp/試みる", "查看例句")</f>
        <v/>
      </c>
    </row>
    <row r="2971">
      <c r="A2971" t="inlineStr">
        <is>
          <t>快い</t>
        </is>
      </c>
      <c r="B2971" t="inlineStr">
        <is>
          <t>成功</t>
        </is>
      </c>
      <c r="C2971" t="inlineStr">
        <is>
          <t>読み方：こころよい
［形］［文］こころよ・し［ク］
１気持ちよく感じられる。さわやかだ。「—・い海風」「—・い音色」
２（連用修飾語として用いられ）感じがよい。好ましい。気さくである。「—・く承知する」
３病気のつらさがなくなる。気分がよくなる。「このところ熱も下がって、だいぶ—・い」
４（「心良い」と書く）気だて・人柄などがよい。人がよい。
「おほかた—・き人の、まことにかどなからぬは」〈枕・二六九〉
[派生]こころよげ［形動］こころよさ［名］</t>
        </is>
      </c>
      <c r="D2971" t="inlineStr">
        <is>
          <t>快いもの(8%)；快い眠り；快い音；快い疲労；快い感じ</t>
        </is>
      </c>
      <c r="E2971" t="inlineStr">
        <is>
          <t>いい；よい；良い；楽；楽しい</t>
        </is>
      </c>
      <c r="F2971" t="inlineStr">
        <is>
          <t>決して快い；まことに快い；快い声；むしろ快い；快い興奮</t>
        </is>
      </c>
      <c r="H2971" t="n">
        <v>29</v>
      </c>
      <c r="I2971" t="inlineStr">
        <is>
          <t>すると右手の絵馬堂から快よさそうな鼾の声が二人の耳へ聞こえて来た。；一種の快い感動に包まれていたと言っては、これも弁解になるだろうか。；またウィリアム・クルックスのような研究者の調査にも快く応じている。；彼に快いことをいわれると、喜びの微笑をおさえることができなかった。；この事は何人にもあることであるが、だれもまた快く思わぬであろう。；そのなかでこそ私の疲労は快く緊張し新しい戦慄を感じることができる。；私はその日の午後ずっとテニスをしていて、快い疲労を感じていました。；こうして一同が泣いているうちにも快い眠りが訪れて来たのでした。；そして私がその行為を悪いと感じたのは、それが快かったからである。；器物の如き物でも見て快いものでなければ私は日常の使用に堪へません。；男女で規定を変えるのはIOCが快くは思わないが男女でコードを変える。；このことはレイスも快からず思っているようだ、それははっきりわかる。；秋晴れの快い風を全身にうけ強い日ざしに目を細めながら二人は歩いた。；却ってたしかに親なら親を知り宇宙なら宇宙を知り得るので快いのである。；また自治体や自衛隊からの依頼を快く受け入れ活動基地として提供した。；少し快い時もあったのですから、そんな時に御相談をすればよかったのです。；ところで二人のその恋を、快く思わない人間が、邸の内に一人あった。；この時に共演した他の学生らの多くが、のちに快快のメンバーとなる。；正董は快くこんな仕事をし、機会があれば書物を読んで勉強していた。；いかにもおいしそうに見えますし、見た眼に美しいし、快い眺めでした。；これでよければ持って行って御覧なさいといって快く貸してくれました。；このため宇乃子の両親は娘が水泳をすることを快く思わなかったという。；それが何時になく生き生きした色彩を帯びているのが彼には快かった。；だからと言って今の雑然たる状態が、いやだとも快よいとも感じなかった。；ただし、堀は、同じ陸軍出身者の近藤が取材した際には快く会っている。；もし昨日のように夕闇が街をこめていたら、自分はそのほうが快かろうに。；そして、忘れもしないが、わたしは常になく快い感じをおぼえたのだった。；あのとき、たしかに僕はこれまでにない快いもの、愉しいものを感じた。；この歌の快い調子も、似た音の重なつてゐるところから來てゐるのであります。</t>
        </is>
      </c>
      <c r="J2971">
        <f>HYPERLINK("https://www.weblio.jp/content/快い", "词义详情")</f>
        <v/>
      </c>
      <c r="K2971">
        <f>HYPERLINK("https://yourei.jp/快い", "查看例句")</f>
        <v/>
      </c>
    </row>
    <row r="2972">
      <c r="A2972" t="inlineStr">
        <is>
          <t>古今</t>
        </is>
      </c>
      <c r="B2972" t="inlineStr">
        <is>
          <t>成功</t>
        </is>
      </c>
      <c r="C2972" t="inlineStr">
        <is>
          <t>読み方：こきん
１昔と今。ここん。
２「古今雛(こきんびな)」の略。
「古今和歌集」の略。</t>
        </is>
      </c>
      <c r="D2972" t="inlineStr">
        <is>
          <t>古今未曾有(2%)；古今未曽有；古今要覧；古今鍛冶備考；古今書</t>
        </is>
      </c>
      <c r="E2972" t="inlineStr">
        <is>
          <t>今昔</t>
        </is>
      </c>
      <c r="F2972" t="inlineStr">
        <is>
          <t>蘇古今沿革志；岐蘇古今沿革；古今集；古今説海；古今史譚</t>
        </is>
      </c>
      <c r="G2972" t="inlineStr">
        <is>
          <t>古今亭；古今集；古今和歌集；古今伝授；古今著聞集</t>
        </is>
      </c>
      <c r="H2972" t="n">
        <v>29</v>
      </c>
      <c r="I2972" t="inlineStr">
        <is>
          <t>商業の利益で城をたてたという話は、古今きいたこともないではないか。；おそらくアメリカの古今の小説のうちで最もすぐれたものの一つである。；あなたが我が国にもたらした貢献は、古今に類を見ないほどのものです。；古今のなかでは誰を好みます、万葉のうちではどの歌を愛誦されますか。；殿下は古今の事を多く知っておられ、政事でひどい大被害もありません。；おそらく古今の日本人のうち、いちばんよく知られているのかもしれない。；この事は自分が古今の例に鑑みて、所存あるが為である、と云つてゐる。；で、私は古今のあらゆる思想や芸術に世界的なタッチを持って居るのです。；その本の中で古今の詩人を片っ端からやっつける事は論をまたずだがね!；以上数種の妖怪、その理由を説明する法、古今大いに異なるところあり。；節分の夜・大晦日の夜に、門の戸を叩く者のある事は、古今に例が多い。；変化を主とすることは古今同じでも、毎に均整に注意し偏倚を避けていた。；天台の僧の立場から、古今の群書から産霊の秘密を探り出そうとしていた。；ただその相殊なる所は、古今時を異にして、生の相及ばざるのみである。；国王は彼を「古今の最も偉大なフランスの芸術家である」と宣言した。；中国の古典にも明るく、古今の書の研究資料収集家としても知られている。；中でも手裏剣と吹き針の術は古今に例のない程の名人であったという。；この友人が偉大な古今の画家の作品に対する彼の眼を開いてくれたのであった。；なお古今組に続く新古今組各曲では、音楽的に一層簡潔化が進んでいる。；とにかくそれは、古今かわらぬ感動的な主題であるにちがいないからである。；また、それ以外にも古今の作品が巨大なスクリーンで上映されている。；広い書庫には古今の書物がさまざまな背文字を見せて高い棚を埋めつくしていた。；主なレパートリーは18世紀の音楽だったが、古今の作品も演奏した。；項背は、古代の漢語と古今の日本語では、後頸部と背中の総称である。；万葉の歌に対して古今の歌などがより日本らしい性格を持つて居る。；古今は悠久であるがやはり人の心の中に存在するものである。；これから先、男が考えることは洋の東西、歴史の古今を問わず決まっている。；男たちが占領地でやることは、地上の古今の戦いの歴史に見られた事と同じであった。；これが求愛の一種とすれば、古今、これほどすさまじい求愛はあるまい。</t>
        </is>
      </c>
      <c r="J2972">
        <f>HYPERLINK("https://www.weblio.jp/content/古今", "词义详情")</f>
        <v/>
      </c>
      <c r="K2972">
        <f>HYPERLINK("https://yourei.jp/古今", "查看例句")</f>
        <v/>
      </c>
    </row>
    <row r="2973">
      <c r="A2973" t="inlineStr">
        <is>
          <t>誤差</t>
        </is>
      </c>
      <c r="B2973" t="inlineStr">
        <is>
          <t>成功</t>
        </is>
      </c>
      <c r="C2973" t="inlineStr">
        <is>
          <t>読み方：ごさ
１真の値と測定値または近似値との差。「—のわずかな時計」
２食い違い。違い。「計画と実際との間に—が生じる」</t>
        </is>
      </c>
      <c r="D2973" t="inlineStr">
        <is>
          <t>誤差が大きく(3%)；誤差項(3%)；誤差が大きい；誤差範囲；誤差要因</t>
        </is>
      </c>
      <c r="E2973" t="inlineStr">
        <is>
          <t>相違；ずれ；合わない；バラバラ；ギャップ</t>
        </is>
      </c>
      <c r="F2973" t="inlineStr">
        <is>
          <t>大きな誤差；予測誤差；乗誤差；化誤差；観測誤差</t>
        </is>
      </c>
      <c r="G2973" t="inlineStr">
        <is>
          <t>誤差関数；誤差逆伝播法；誤差分布；誤差逆伝播</t>
        </is>
      </c>
      <c r="H2973" t="n">
        <v>29</v>
      </c>
      <c r="I2973" t="inlineStr">
        <is>
          <t>しかし、飛行中に左右のエンジンのエンジン圧力比に誤差が生じ始めた。；無限級数をはじめの数項だけで計算することによる誤差が代表的である。；元信号を用いた推定法の1つが予測誤差の二乗を最小化する手法である。；この値のことを誤差理論において 真の値または真値 と呼んでいる。；後に、 を常に半分にし続けると飽和誤差を招くことが明らかとなった。；計算を続けていくと誤差が一定のまま残るときは中立安定と言われる。；複数の方法を同時に使用することで誤差を検出し、手順を単純化できる。；しかし、その後の報告では観測誤差を超えるようなものは出てこなくなった。；導線法を長い距離にわたって続けると、段々と誤差が大きくなってくる。；両者に差がある場合は、その差の2分の1が誤差になる可能性がある。；予測器が完全でない限り、実際値-推定値間には誤差/残差が発生する。；しかし、指示遅れや誤差が大きくなることを避けられないのが短所である。；などにより誤差数m程度まで観測データの補正が行なわれることが多い。；逆に、身長計を使ってもそれの誤差が数cmもあれば正確に測定出来ない。；なぜなら、条件が違い過ぎて、推定される誤差が多過ぎるからである。；逆に問題が悪条件であれば、データに含まれる誤差は大きく成長する。；温度計を使った気温の測定には、その誤差による不確実さの指摘もある。；級数の 番目の項より後ろを切り捨てた場合の誤差の上限は、 である。；高精度のものは程度、小型化された精度の低いものでも程度の誤差である。；したがってわれわれが知り得るのは常に誤差付の値でしかない。；ただし本来これは演奏様式の拡張用ではなく、誤差を調整するためのものである。；なお、この抵抗に発生する電圧は原理からのずれであるので誤差になる。；以上の誤差の定義は、n次元ベクトルの場合にも拡張することができる。；誤差が減衰し、最終的に消失するなら、その計算手法は安定と呼ばれる。；この版は、写真板に基づいた位置の決定と等級に依存する誤差を減らした。；ちなみにこれら図表の複写精度であるが、各書に若干の誤差も見られる。；また、惑星の予測位置の誤差を少なくするためバビロニア数学が使われた。；これら素材の場合、放射率を無視できなくなり温度測定に誤差が出る。；このような技術を使うことで、数cmの誤差で経度を求めることができる。</t>
        </is>
      </c>
      <c r="J2973">
        <f>HYPERLINK("https://www.weblio.jp/content/誤差", "词义详情")</f>
        <v/>
      </c>
      <c r="K2973">
        <f>HYPERLINK("https://yourei.jp/誤差", "查看例句")</f>
        <v/>
      </c>
    </row>
    <row r="2974">
      <c r="A2974" t="inlineStr">
        <is>
          <t>誤作動</t>
        </is>
      </c>
      <c r="B2974" t="inlineStr">
        <is>
          <t>成功</t>
        </is>
      </c>
      <c r="C2974" t="inlineStr">
        <is>
          <t>読み方：ごさどう
［名］(スル)機械類が正しく作動しないこと。誤動作。「コンピューターが—する」</t>
        </is>
      </c>
      <c r="D2974" t="inlineStr">
        <is>
          <t>誤作動防止；誤作動説</t>
        </is>
      </c>
      <c r="E2974" t="inlineStr">
        <is>
          <t>失敗；間違い；間違え；挫折；過ち</t>
        </is>
      </c>
      <c r="H2974" t="n">
        <v>29</v>
      </c>
      <c r="I2974" t="inlineStr">
        <is>
          <t>放射性同位体がホール内に拡散した直接の原因は、装置の誤作動である。；警備員が、誰もいないのを見て誤作動だと思ってくれればいいのだが。；もちろん、二つのセンサーが同時に誤作動することは、まずありえない。；しかし刑事レベルが低い状態では、刑事の勘が誤作動してしまうこともある。；子供が小指を入れると危ないため、誤作動防止の機能を持つものもある。；装置が誤作動しているということは、コックピットの計器に表示される。；誤作動を嫌って、この店の主人が消火装置をオフにしていたのだろう。；ゼロ・キャノンは誤作動のあとに、さらに軌道上の全20機が自爆した。；金属のベッド枠はこの頃比較的稀なので、この装置の誤作動の原因は当時分からなかった。；あの時の打ち止めは未調整の肉体の誤作動で熱病のような症状になっていたはずだ。；その誤作動によってできた写真を見たミシェルはそれが犯人の顔だったと言った。；便利には違いないが、操作が複雑になるので、誤作動の危険が大きかった。；非常ベルは多くの場合が誤作動で、慣れている人間は逃げようとしないものだ。；この機構は誤作動が多発したので大半の鉄道会社では独自の逆転機構を導入した。；これによると誤作動は認められなかったという。；私も二〇〇〇年問題で頭脳が誤作動しているので、どんな治療をするかわかりませんよ、とね。；誤作動により破壊してしまうが、奇面組を退部させ、彼らを入部させる。；地球上においても通信トラブルや電子機器誤作動の大きな原因となる。；このような誤作動の元となるプログラムの不備のことをセキュリティホールと呼ぶ。；このことから、機体の前方にあるメイン貨物ドアが誤作動により開いたと推定された。；それだけじゃない、この回路に誤作動が生じる場合があるんだ。；これらのプログラムが作成された時点で既に、多くの国で様々な領域や分野でコンピュータが使用されていたので、思わぬ所での機能停止や誤作動の危険が起こり得ると指摘された。；石村は重大な損傷を受けており、大半のシステムが機能不全か誤作動を起こしていた。；一度壊れてしまったぼくの心は、ときどき誤作動を起こしながらも正常に動いている。；ここが誤作動を起こすと壁の染みが人の顔に見える、ということが起きるそうで。；ペースメーカーもまた、携帯電話の電波で誤作動を生じる可能性があるからだ。；この原因は、体重センサーが少年のように軽い場合に誤作動したものであると考えられている。；自動火災報知設備は設置されていたが、誤作動が多いために電源が切られていた。；お前という一個体がいるだけで、この世界は誤作動を起こす。</t>
        </is>
      </c>
      <c r="J2974">
        <f>HYPERLINK("https://www.weblio.jp/content/誤作動", "词义详情")</f>
        <v/>
      </c>
      <c r="K2974">
        <f>HYPERLINK("https://yourei.jp/誤作動", "查看例句")</f>
        <v/>
      </c>
    </row>
    <row r="2975">
      <c r="A2975" t="inlineStr">
        <is>
          <t>小雨</t>
        </is>
      </c>
      <c r="B2975" t="inlineStr">
        <is>
          <t>成功</t>
        </is>
      </c>
      <c r="C2975" t="inlineStr">
        <is>
          <t>読み方：こあめ
「こさめ」に同じ。</t>
        </is>
      </c>
      <c r="D2975" t="inlineStr">
        <is>
          <t>小雨が降り出し(3%)；小雨が降り始め；小雨が降りはじめ；小雨まじり；小雨降る</t>
        </is>
      </c>
      <c r="E2975" t="inlineStr">
        <is>
          <t>霧雨；細雨；糠雨；小糠雨；微雨</t>
        </is>
      </c>
      <c r="F2975" t="inlineStr">
        <is>
          <t>曇小雨；冷たい小雨；矢沢小雨；小雨村</t>
        </is>
      </c>
      <c r="G2975" t="inlineStr">
        <is>
          <t>小雨降る径</t>
        </is>
      </c>
      <c r="H2975" t="n">
        <v>29</v>
      </c>
      <c r="I2975" t="inlineStr">
        <is>
          <t>今でもおぼえて居ますが、彼に最後に会った日は小雨の降った日でした。；まだ小雨と呼ぶには強すぎるくらいだけど、シャワーだと思えば快適だ。；小雨の夕方はいつ日が沈んだのかもわからないうちに暮れていった。；翌日は雨が降り出発の日もまだ小雨が残っていたが風がない。；小雨が降り出した中を、私は重い荷物を背負った思いで偏奇館へ戻った。；翌日は朝から怪しい雲行きだったが、昼を過ぎた頃に小雨が降り出した。；小雨はまだパラついていたが、西の空がほんのわずかだけ赤く染っていた。；小雨だったとはいえ、雨に打たれてきたせいで、くちびるがひどく冷たい。；みんながその風に吹かれていて、小雨なんかじゃその風は静まらないんだ。；小雨は降り続いているが、あの人工的な添加物の香りはもう消えていた。；小雨の降る闇の中で、腕を抱きしめられたことを思い出したのである。；白い微粒子が小雨のように下から噴きあげてくるのが肉眼でも見えた。；小雨のなかを本陣が菜と雉笛と大笊に一杯のしめじをもってきてくれた。；雨の強さは土砂降りというほどでもなかったが、小雨というほどでもなかった。；二人がそこから出て車に戻ったとき、外は小雨になっていた。；小雨はガラスに当たって、ガラスを冷たい汚い水の流れで洗っていた。；少し霧が深く、小雨でも降らうものなら何れが路とも分らなくなるのである。；鳩を小屋に入れる頃から小雨が降り出して夜に入ってもやまなかった。；昼になり、時折ぱらついていた小雨は消え失せ、太陽が顔を出していた。；少し霧が深く、小雨でも降ろうものなら何れが路とも分らなくなるのである。；気づかわれた空模様は四人が学校に着くころから小雨となってきた。；ところで、小雨がふっている以上、俥の幌をかけてあったにちがいない。；かえりには五時頃小雨が弱く降って、つきはじめた灯が美しく見えて居た。；ある朝は小雨の近い霧で、たちまち路に迷って炭焼の沢に入ってしまった。；ようやく落ちついたミーコと、小雨になった朝の天気雨の中、外に出た。；韮葱の花の大きなやや毛ばだった紫の球にも細かな霧の小雨がかかっていた。；藤木一恵に再び会ったのは、二日後の夜で、やはり小雨が降っていた。；それは前にもお話ししましたように、静かな小雨で始まりました。；その日の小雨の中で、これだけのことを考えた訳ではない。</t>
        </is>
      </c>
      <c r="J2975">
        <f>HYPERLINK("https://www.weblio.jp/content/小雨", "词义详情")</f>
        <v/>
      </c>
      <c r="K2975">
        <f>HYPERLINK("https://yourei.jp/小雨", "查看例句")</f>
        <v/>
      </c>
    </row>
    <row r="2976">
      <c r="A2976" t="inlineStr">
        <is>
          <t>腰</t>
        </is>
      </c>
      <c r="B2976" t="inlineStr">
        <is>
          <t>成功</t>
        </is>
      </c>
      <c r="C2976" t="inlineStr">
        <is>
          <t>読み方：こし
［名］
１人体で、骨盤のある部分。脊椎が骨盤とつながっている部分で、上半身を屈曲・回転できるところ。腰部(ようぶ)。「—が曲がる」「—をおろす」
２裳(も)や袴(はかま)などの1にあたる部分。また、そのあたりに結ぶひも。
３物の1に相当する部分。中ほどより少し下部。
㋐壁や建具の下部。「—の高い障子」
㋑器具の下部。また、器具を支える台や脚。
㋒山の中腹より下の方。「山の—を巡る道」
㋓兜(かぶと)の鉢の下部につける帯状の金具。
㋔和歌の第3句。「—の折れた歌」
４餅(もち)・粉などの粘り・弾力。
５紙・布などのしなやかで破れにくい性質。
６（他の語の下に付き、「…ごし」と濁って）何かをする際の姿勢・構え。「けんか—」「及び—」
［接尾］助数詞。
１刀・袴など腰につけるものを数えるのに用いる。「刀ひと—」「袴ひと—」
２矢を盛った箙(えびら)を数えるのに用いる。「矢ひと—」
[下接語]足腰・襟腰・尻(しっ)腰・尻(しり)腰（ごし）居合い腰・浮き腰・受け腰・後ろ腰・裏腰・海老(えび)腰・大腰・及び腰・ぎっくり腰・喧嘩(けんか)腰・小腰・高腰・中腰・強腰・釣り込み腰・逃げ腰・二枚腰・粘り腰・袴(はかま)腰・跳ね腰・払い腰・二重(ふたえ)腰・屁(へ)っ放(ぴ)り腰・細腰・本腰・前腰・丸腰・物腰・柳腰・弓腰・弱腰</t>
        </is>
      </c>
      <c r="D2976" t="inlineStr">
        <is>
          <t>腰を屈め；腰を低く；腰回り；腰を沈め；腰板部</t>
        </is>
      </c>
      <c r="E2976" t="inlineStr">
        <is>
          <t>胴；ウエスト；ウェスト；ヒップ；臀部</t>
        </is>
      </c>
      <c r="F2976" t="inlineStr">
        <is>
          <t>重い腰；腰仙髄；腰を据ゑた；腰を据ゑて；腰本治右衛門</t>
        </is>
      </c>
      <c r="G2976" t="inlineStr">
        <is>
          <t>腰掛け；腰掛；腰痛；腰元；腰部</t>
        </is>
      </c>
      <c r="H2976" t="n">
        <v>29</v>
      </c>
      <c r="I2976" t="inlineStr">
        <is>
          <t>かつては茅の輪の小さいものを腰につけたり首にかけたりしたとされる。；黒色の毛に覆われており、たいていは胸・腰のあたりに白い模様がある。；投球動作から来る衝撃は腰にかかる形となり、やがて故障をもたらした。；赤い目と腰辺りまで伸びた赤い髪が特徴で、赤いマントを羽織っている。；それは、腰が良くなったことで背筋が強くなったからではないでしょうか。；また、後年になって両膝の怪我の原因が腰にあったことを明かしている。；大学時代は高校在籍時から伸ばした髪が、腰まで届くほどの長髪になる。；男性の胸に片方の手をついて行えば安定して腰を下ろすことができる。；また、頭についていたパーツと同じようなパーツが腰から伸びている。；腰や胴に相当する部分は慣例的にロボットでも胴体と言うことが多い。；女性も喧嘩に参加することがあるが、女性の場合は腰をぶつけ合う。；また、胸や腰の曲線を強調するためにタイトなデザインが採用された。；しかし同年腰、膝を故障して以降試合出場数は減少していった。；婦人像の腰の上には両手でリンゴを持つ小さな裸の子供がいる。；戦闘時は獣のような腰を落とした姿勢で走るのが特徴である。；服を着ているものとそうでないものがいるが、どちらも両腰あたりにポケットがある。；翌日の再試合では、腰の痛みを訴えたことから、麻酔注射を打って登板。；その頃のサッシュは上着の上から襷掛け或は腰に巻いて着用されていた。；EW版では腰は旋回せず、膝の折り畳み方向もテレビ版と逆になっている。；上着はナコルルのように前合わせの着物ではなく、腰にも帯はつけていない。；おそらく着用者の腰の部分につけられたと思われる。；よく発達した胴、胸幅は厚く広い、いかり肩で腰から下は比較的小さい。；勝利を知った境は、腰が抜けて立てなくなっていたという。；は開幕2戦目にして腰のヘルニアのために離脱を余儀なくされた。；寄り進むうちに相手の腰が浮き自身の腰が相手より低くなる形が理想型とされる。；女性が男性の胸に両手を当てて両膝を支点にして腰を前後に動かす。；竹馬型ロボットは腰の部分に脚を動作させるアクチュエータを持つ。；また、上記のケンケン内股などのように腰技の技術とは言えないものもある。；病院から出てきたくみ子は足をなおすため腰の手術を受けることにしたと報告する。</t>
        </is>
      </c>
      <c r="J2976">
        <f>HYPERLINK("https://www.weblio.jp/content/腰", "词义详情")</f>
        <v/>
      </c>
      <c r="K2976">
        <f>HYPERLINK("https://yourei.jp/腰", "查看例句")</f>
        <v/>
      </c>
    </row>
    <row r="2977">
      <c r="A2977" t="inlineStr">
        <is>
          <t>孤児</t>
        </is>
      </c>
      <c r="B2977" t="inlineStr">
        <is>
          <t>成功</t>
        </is>
      </c>
      <c r="C2977" t="inlineStr">
        <is>
          <t>読み方：こじ
１両親のいない子。みなしご。孤子(こし)。「天涯の—」
２仲間のない人。「文壇の—」</t>
        </is>
      </c>
      <c r="D2977" t="inlineStr">
        <is>
          <t>孤児たち(7%)；孤児院(3%)；孤児中隊；孤児部隊；孤児列車</t>
        </is>
      </c>
      <c r="E2977" t="inlineStr">
        <is>
          <t>孤；遺児；みなし子；みなしご；みなし児</t>
        </is>
      </c>
      <c r="F2977" t="inlineStr">
        <is>
          <t>原爆孤児；孤児収容施設；哀れな孤児；孤児マリイ；小さな孤児</t>
        </is>
      </c>
      <c r="G2977" t="inlineStr">
        <is>
          <t>孤児著作物；孤児プロセス；孤児マリー；孤児作品</t>
        </is>
      </c>
      <c r="H2977" t="n">
        <v>29</v>
      </c>
      <c r="I2977" t="inlineStr">
        <is>
          <t>わたしはかれがもう孤児院へやる考えを捨てたのだと思うようになった。；みなしごの女の子をもらうことになるなんて考えてみたことがあるのか?；つまりこれは結婚を超えて孤児を養子にすることを提案しているのである。；これは孤児であった彼の祖父が市の職員から名付けられたものである。；だが妹や弟の年齢の子供たちが何千人、何万人孤児になったのかしれない。；孤児に向かってするだけではない、神に向かって同じことをしているのだ。；孤児がもっとも強く求めているのは父であり、母であるにちがいない。；ただ、自分が他人からしてほしいと思うとおり、孤児にしてやればいい。；若年で兄も含めて失い孤児になり、14歳の時に州の主簿の任を受ける。；彼の心は時には一人の孤児の為め、一人の飢ゑた者のために振ひ立つた。；全国の孤児収容所の子供の逃亡率は半分以上だとのことである。；孤児をだましたから、孤児も真似して人をだますことを覚えたのである。；なお幼少時代は両親の顔を知らないいわゆる孤児だったようだが詳細は不明。；ロンドンの交差点を清掃する孤児ジョーはその一部始終を目撃していた。；孤児の清水香子君も明るくなってくれていますし、良かったと思います。；海賊たちは皆孤児で、捕まえた人々が孤児だったら解放してしまうのだ。；その巨大さがかえってこの孤独な闇の中で二人のみなしごを高揚させていた。；また同時に孤児であることから近所のガキ大将からは侮蔑されていた。；そして今、支援のされない高齢者と、パンの与えられない孤児が島にいる。；老人を労わり、孤児を養育するなど、民衆のためになる統治を行なった。；小百合は赤ん坊の時に取り違えられてしまい、孤児扱いとなっていたのだ。；彼女はある任務で子供を孤児にしてしまったことを悔やんでいた。；孤児の幸福は、親のある子の幸福とは違うところに見いだされるものである。；リチャードは幼い頃に孤児となり、それと同時に莫大な財産を相続した。；孤児であり、出演した作品に両親や兄弟が登場するシーンはない。；各都市でアニー役2人と、7人の孤児のうち2人が新たに参加していた。；中国でも、山本が孤児たちを熱心に案じている噂が全土に広まっていた。；その向こうに口を開ける絶望の谷底が、みなしごの帰還を歓迎している。；しかし、多くの子供を養子にとるなど、孤児を悪用する人も存在した。</t>
        </is>
      </c>
      <c r="J2977">
        <f>HYPERLINK("https://www.weblio.jp/content/孤児", "词义详情")</f>
        <v/>
      </c>
      <c r="K2977">
        <f>HYPERLINK("https://yourei.jp/孤児", "查看例句")</f>
        <v/>
      </c>
    </row>
    <row r="2978">
      <c r="A2978" t="inlineStr">
        <is>
          <t>腰掛</t>
        </is>
      </c>
      <c r="B2978" t="inlineStr">
        <is>
          <t>成功</t>
        </is>
      </c>
      <c r="C2978" t="inlineStr">
        <is>
          <t>読み方：こしかけ
１腰を掛ける台。いす。
２本来の希望を達するまでの間、一時ある職や地位に身を置くこと。「郷里に帰るまでの—に勤める」
３江戸城内の番士の詰め所。
４江戸時代、評定所や奉行所で、訴訟人の控え所。
５茶室の外の露地に設けた休憩所。</t>
        </is>
      </c>
      <c r="D2978" t="inlineStr">
        <is>
          <t>腰掛石(3%)；腰掛式；腰掛待合；腰掛梁；腰掛台</t>
        </is>
      </c>
      <c r="E2978" t="inlineStr">
        <is>
          <t>席；椅子；座；座席；シート</t>
        </is>
      </c>
      <c r="F2978" t="inlineStr">
        <is>
          <t>御腰掛；式腰掛；小さな腰掛；用腰掛；低い腰掛</t>
        </is>
      </c>
      <c r="G2978" t="inlineStr">
        <is>
          <t>腰掛ける；腰掛け銀；腰掛銀；腰掛けよ；腰掛便器</t>
        </is>
      </c>
      <c r="H2978" t="n">
        <v>29</v>
      </c>
      <c r="I2978" t="inlineStr">
        <is>
          <t>かなり間をおいて石の据置の腰掛が三つあって足の所に苔が生えて居る。；見ると近くの石の腰掛に一人の少女が坐つて、本の上に身を屈めてゐた。；ある日一つ車の腰掛に膝を並べて乗った時、それは何だと聞いて見た。；彼は腰掛の背に両手を載せて、一方ならず興奮しているさまであった。；警官はそれを聞きながら白墨で腰掛のようなところへ何か書き止めていた。；ある日一つ車の腰掛に膝を並べて乘つた時、それは何だと聞いて見た。；木の腰掛に坐っていると、足の先からぞくぞくと寒さが全身に上ってきた。；そして昔彼女が跪きに来ていた腰掛の見える所に、柱の後ろに座を占めた。；例の男は、道路に面した腰掛に坐って、新聞を読みながら客を待っている。；彼は倒れそうになったので、階段の下にある天鵞絨張の腰掛の上に坐った。；これは単純に腰掛の差違のみならずサービスの面でも差違を計っている。；そこにはいくつかの飯台や腰掛があるが、ここもほかに「客」はいない。；駅内の腰掛には、多くの男女が、何を待つのか、ぼんやり坐っていました。；少し離れて旅商人が掛けて、腰掛一杯に背負荷を拡げて包み直してゐる。；そこで、こうしたすべてにすっかり喜んで、腰掛の端に腰を下ろしました。；三冬は、それでもまだ、腰掛にかけたまま、ゆっくりと茶をのんでいる。；そのすぐ脇に木製の一本足の丸いテーブルと小さな腰掛がひとつずつ。；なおこの腰掛は座面高さを一般的な車椅子と同じ高さにしている。；この教会の背の高い板張りの腰掛には三百人ぐらいしか坐れなかった。；腰掛の端にすわっていた一人の老人は、そう早く退くことができなかった。；あの女はその時廊下の薄暗い腰掛の隅に丸くなって横顔だけを見せていた。；客はほとんど満員の有様なので、ようやく庭の隅の方の腰掛に席を取った。；青年は、他の一つの腰掛を、二三尺動かして来て、女と並んで腰をかけた。；だが、ローリー氏が戻ってくると、彼はすうっと腰掛へ行ってしまった。；外露地や腰掛だと、顔の合わないうちに消えられるおそれがあるでしょう。；彫りのある大理石の欄干に寄せて置かれた腰掛に二人は腰をおろした。；粉屋は自分の腰掛馬車をやって、クリストフとザビーネとを迎えさした。；一つ腰掛に三人は別々な処に眼をやって違った事を考えて居る。；奇妙な形だったが、四脚から見て腰掛以外の用途に用いられるものとも思えなかった。</t>
        </is>
      </c>
      <c r="J2978">
        <f>HYPERLINK("https://www.weblio.jp/content/腰掛", "词义详情")</f>
        <v/>
      </c>
      <c r="K2978">
        <f>HYPERLINK("https://yourei.jp/腰掛", "查看例句")</f>
        <v/>
      </c>
    </row>
    <row r="2979">
      <c r="A2979" t="inlineStr">
        <is>
          <t>腰掛ける</t>
        </is>
      </c>
      <c r="B2979" t="inlineStr">
        <is>
          <t>成功</t>
        </is>
      </c>
      <c r="C2979" t="inlineStr">
        <is>
          <t>読み方：こしかける
［動カ下一］［文］こしか・く［カ下二］椅子(いす)・台などの上に腰を下ろす。腰をかける。「ベンチに—・ける」</t>
        </is>
      </c>
      <c r="D2979" t="inlineStr">
        <is>
          <t>腰掛ける場処</t>
        </is>
      </c>
      <c r="E2979" t="inlineStr">
        <is>
          <t>座る；掛ける；坐る；着席；着座</t>
        </is>
      </c>
      <c r="F2979" t="inlineStr">
        <is>
          <t>ちょこんと腰掛ける</t>
        </is>
      </c>
      <c r="H2979" t="n">
        <v>29</v>
      </c>
      <c r="I2979" t="inlineStr">
        <is>
          <t>つまり腰掛ける人の都合のよい高さに座席高を変えられる肉椅子である。；リッシュモンは彼専用の座席に腰掛けると、じっと幕が開くのを待った。；現代では椅子が用意され、腰掛ける事も多いが、座の理屈は一緒である。；そして刻也にならって汚れてなさそうなところを選んで階段に腰掛ける。；いつからそこにいたのかは分からないが、軽く腰掛けるようにして。；「そこに座って下さい」 躰の向きを変え、言われるとおりに腰掛ける。；電車内に客はほとんどおらず、広々とした座席のひとつに腰掛ける。；執務室にやってきたヴィットーリオは、椅子に腰掛けると二人を促した。；シノンが体をずらすと、シュピーゲルは当然のようにその隣に腰掛ける。；そして彼女は再び腰掛けると爐の火を見つめたまゝ私のことは忘れたやうに見えた。；そこの椅子は皆黒い皮で張ってあって、多勢の客が腰掛けるので艶々していた。；子供用の椅子に大人が腰掛けるのはかなり無理がある。；おれは礎石の一つに腰掛けると、尻のポケットから封筒を取り出した。；帰って来て寝台の端に腰掛けると、糸車は静かに地上に立っている。；軽く会釈をすると、二人を挟むように、それぞれの隣の席に腰掛ける。；歩いて上ることが出来るスロープや腰掛けることが出来る丘を整備。；少年が、さきほどまで樹の座っていた向かい側の椅子に腰掛ける。；教室に入ると、ベアトリスは当然とばかりにティファニアの隣に腰掛ける。；シナンは、ハサンと並んで、やがてそこへ腰掛けるべき人物を待っていた。；そこだけは、西洋風にテーブルを置いて、安楽椅子に腰掛けるようにしてある。；二度とこうした仏蘭西の田舎に来て好きな寺院に腰掛ける時があろうとも思われなかった。；村はジュラ紀に生じた丘の上に腰掛けるようにしている。；そこにあった椅子に腰掛けると、ビダーシャルは質問を開始した。；シアーニュ川を見下ろす岩山の上に腰掛けるようにして集落が広がる。；たぶん、彼女こそが本来ロアデルの座っている椅子に腰掛けるべき人間だったのだろう。；本を読もうと思ってベンチに腰掛けると、ふと一人の男の子と目が合いました。；私は恐怖することなく、姉の血のついた台へ腰掛ける。；やや照明が落とされた部屋に入り、テーブルの端の席に腰掛ける。；音を立てないように椅子を引いて腰掛ける仕草は、 神経質な性格を感じさせる。</t>
        </is>
      </c>
      <c r="J2979">
        <f>HYPERLINK("https://www.weblio.jp/content/腰掛ける", "词义详情")</f>
        <v/>
      </c>
      <c r="K2979">
        <f>HYPERLINK("https://yourei.jp/腰掛ける", "查看例句")</f>
        <v/>
      </c>
    </row>
    <row r="2980">
      <c r="A2980" t="inlineStr">
        <is>
          <t>ごしごし</t>
        </is>
      </c>
      <c r="B2980" t="inlineStr">
        <is>
          <t>成功</t>
        </is>
      </c>
      <c r="C2980" t="inlineStr">
        <is>
          <t>［副］物を強くこする音、また、そのさまを表す語。「力を入れて—（と）洗う」</t>
        </is>
      </c>
      <c r="D2980" t="inlineStr">
        <is>
          <t>ごしごしこすり(5%)；ごしごしと顔(3%)；ごしごしとこすり(2%)；ごしごし拭い(2%)；ごしごし擦り</t>
        </is>
      </c>
      <c r="E2980" t="inlineStr">
        <is>
          <t>ゴシゴシ；グシグシ</t>
        </is>
      </c>
      <c r="F2980" t="inlineStr">
        <is>
          <t>目をごしごし；頭をごしごし；タオルでごしごし；両手をごしごし；髪をごしごし</t>
        </is>
      </c>
      <c r="H2980" t="n">
        <v>29</v>
      </c>
      <c r="I2980" t="inlineStr">
        <is>
          <t>そのかわりに、ごしごしと板をひっかくような音が、聞こえてきました。；その中にこのごしごしと物を擦り減らすような異な響だけが気になった。；手がきれいになってからもまだ長いこと、指をごしごしこすっていた。；おれが返事に困っているうちに、蒸しタオルで顔をごしごしと拭かれる。；かれは霧を振り払おうとする者のように頭を振り、目をごしごしこすった。；しきりにナイフを動かして、一本のロープをごしごし切ろうとしている。；それを足で広げ、それから彼女はスカートでごしごしと体をこすっていた。；そして横に吊るされているタワシを手に取り、それでごしごしと擦った。；遊馬は頭をごしごし掻きながら、そうかよ、と声に出さずに返事した。；それから、底砂といわれる小石をバスルームに運んでごしごしと洗った。；黒猫はごしごしと袖で涙をぬぐってから、潤んだ瞳のままで俺を見上げた。；中爺は帽子を脱いでその中を見ながら片手でごしごし頭をかいた。；彼はいびつな頭を手のひらでごしごしとこすりながら意識を集中した。；その涙を、ひざの上に組んだ服の袖で、ごしごしとこすってから顔をあげた。；カラマが背中をごしごし木にこすりつけているところを想像してみろ。；なにか叫びつつ、香子は手にしていたタイで万里の顔をごしごし拭く。；台所ではニールのおかみさんが床をごしごしこすっている最中だった。；かれはそこへナイフの刃をごしごしと当てはじめたが、皮はわりあい簡単に切れていった。；範子は着ていたTシャツをタライに入れて、ごしごしと手で洗濯した。；無造作に手をのばしてパンツを取って、ごしごしと器用に洗ってくれた。；彼女は目の疲れを感じて、手にしていた本を伏せ、両手でごしごし瞼を擦った。；おそらくごしごし洗ったりせず、単に水に浸しておいて拭くだけなのだろう。；鉢のひらいた頭をごしごしとこすり、雲脂を飛ばしながら八郎は思った。；闇の中、溢れてくる涙を袖でごしごし拭くことしかできなかった。；一歩前に出たユージオは、亜麻色の髪をごしごし掻き混ぜながら口を開いた。；手を拭くものを探し、見当たらないので着物でごしごしこすってしまった。；名君一人が現われても、と思いながら、当綱は今度は両手でごしごしと顔をなでた。；ぼくは石の上を靴でごしごしこすってそれを消した。；朝起きて顔を洗う時のように、両手で黒い顔をごしごし擦った。</t>
        </is>
      </c>
      <c r="J2980">
        <f>HYPERLINK("https://www.weblio.jp/content/ごしごし", "词义详情")</f>
        <v/>
      </c>
      <c r="K2980">
        <f>HYPERLINK("https://yourei.jp/ごしごし", "查看例句")</f>
        <v/>
      </c>
    </row>
    <row r="2981">
      <c r="A2981" t="inlineStr">
        <is>
          <t>後日</t>
        </is>
      </c>
      <c r="B2981" t="inlineStr">
        <is>
          <t>成功</t>
        </is>
      </c>
      <c r="C2981" t="inlineStr">
        <is>
          <t>読み方：ごじつ
その日よりあとの日。ある出来事よりもあとの日。他日。「—伺います」「—になって真相を知る」
[補説]古くは「ごにち」「こうじつ」ということが多かった。</t>
        </is>
      </c>
      <c r="D2981" t="inlineStr">
        <is>
          <t>後日装備；後日改めて；後日放送；後日判明；後日発売</t>
        </is>
      </c>
      <c r="E2981" t="inlineStr">
        <is>
          <t>いつか；そのうち；近い将来；他日</t>
        </is>
      </c>
      <c r="F2981" t="inlineStr">
        <is>
          <t>後日換装；後日郵送；後日死亡；後日正式；後日あらためて</t>
        </is>
      </c>
      <c r="G2981" t="inlineStr">
        <is>
          <t>後日譚；後日発表選手；後日発表；後日指名選手；後日ネット</t>
        </is>
      </c>
      <c r="H2981" t="n">
        <v>29</v>
      </c>
      <c r="I2981" t="inlineStr">
        <is>
          <t>後日、もう元気になったかと王国へ行ってみるが、もぬけの空であった。；来なかった出展者は残りのスペースに配置され、資料は後日郵送される。；後日、中国政府は同潜水艦が中国海軍所属であったことを公式に認めた。；後日、これらの症状とフラフープの因果関係は科学的に否定されている。；また、小野寺家は農家ではない、と本人が設定に後日不満を語っている。；また盗まれた自分の物を後日別の場所で発見し奪い返した場合も同様である。；また、日記の著者が後日になって改めて文書を整理して清書した例もある。；これは後日、第六基地航空部隊が規定した戦策に発展したものである。；ヴェルサイユ条約ではポーランド東部国境は「後日決定する」とされた。；その場で抽選を行うもの、後日抽選を行うものとの2パターン存在する。；後日家康は同じ家臣を集め後継者は秀忠とすると告げたとする逸話がある。；そのため、アスロック発射機は旋回範囲が制限されたため後日撤去された。；後日、養子であることを知るが両親には最後まで聞かなかったと告白している。；要約は、国際出願日に影響を与えることなく後日補充することができる。；コーヒー豆は買ったその時だけではなく後日挽いてもらうことも可能である。；また、年によってはテレビ朝日系列局のない地域でも後日放送されていた。；ただし、後日装備に備えて、機器用のフラットなどは用意されている。；その他の研究所は大陸に残され、後日発足した中国科学院の母体となった。；当日に記録者がいない場合は、終了後か後日にまとめて書き留める。；製作中の後日、女優引退を発表、これが最後の映画出演となった。；後日に判明した所では、包囲されたのは約33万人の枢軸軍である。；しかし後日ヒトラーは自分が首相に任命される以外に政府に協力することはないと拒否した。；後日毛が批判したとき、両者は相当に汚い罵り言葉で応酬したという。；後日、完治の職場に故郷から研修で上京中の親友青木が訪ねてきていた。；じがじがと唱えたあと、埋めた虫が後日ハチの姿になって出てきたように見えたためである。；しかしCEOの反対もあって後日再度取締役会を開くことになった。；これは球団名に合わせて後日改名したと解釈される。；後日、老婆の家に取りに行くと信じられない事実を知ってしまう。；後日木下の休養を発表し、予定していたライブも全てキャンセルとなった。</t>
        </is>
      </c>
      <c r="J2981">
        <f>HYPERLINK("https://www.weblio.jp/content/後日", "词义详情")</f>
        <v/>
      </c>
      <c r="K2981">
        <f>HYPERLINK("https://yourei.jp/後日", "查看例句")</f>
        <v/>
      </c>
    </row>
    <row r="2982">
      <c r="A2982" t="inlineStr">
        <is>
          <t>五十音</t>
        </is>
      </c>
      <c r="B2982" t="inlineStr">
        <is>
          <t>成功</t>
        </is>
      </c>
      <c r="C2982" t="inlineStr">
        <is>
          <t>読み方：ごじゅうおん
日本語の47種の基本的な音節を、五十音図に配列したもの。ア行のイ・エがヤ行に、ウがワ行に重複して出るので50音となる。</t>
        </is>
      </c>
      <c r="D2982" t="inlineStr">
        <is>
          <t>五十音別(3%)</t>
        </is>
      </c>
      <c r="G2982" t="inlineStr">
        <is>
          <t>五十音図；五十音表</t>
        </is>
      </c>
      <c r="H2982" t="n">
        <v>29</v>
      </c>
      <c r="I2982" t="inlineStr">
        <is>
          <t>これらの母音が基本となり、他の点を組み合わせることで五十音を表す。；この国の五十音組み合わせだと二列にするだけで充分間に合いますね。；日本ではその影響で五十音の「アヤワ」3行を喉音と呼ぶことがあった。；行列は五十音の学籍番号順で、私の前は安曇さんと綾瀬さんしかいない。；記事は項目ごとに数字・英字・五十音・記号の順に並べています。；ただし、五十音以外の濁音・小仮名・長音符等の扱いはやや複雑である。；続いて点訳用のソフトを使って、五十音を表す、点字データを入力する。；五十音を単独で発音した場合の日本人の日常の音声学的発音をいう。；机の上にあいうえお五十音を書いた紙と十円玉が置いてあった。；そのため、五十音のヴァリエーションが停止した形となっている。；・障害の一覧とは現在ある障害を五十音で並べたものである。；さすればこの二音の別は、五十音では行の違いに当るのである。；五十音別の電話帳を手に取ろうとした伊奈の体の動きが、不意に停まった。；五十音が現在のようになった背景にある大きな二つの要素は、悉曇学と反切である。；だがそこまでして五十音に拘泥ったのは何故だろう?；ただし、過去の文献の中には五十音を現在とは全く異なる配列に並べたものも見出される。；よく見るとその一つ一つに五十音の片仮名が割り振られている。；五十音に恨みを抱いたのは、後にも先にもはじめてである。；ゲーム中に登場する宇宙文字は日本語の五十音と濁音・半濁音に対応した全70種類。；五十音や数字などを覚えた後に次々と表示されるイラストとともに単語を覚えるもの。；五十音別にページが設けられているが、書き足しを想定していたせいか空白も目立つ。；文字カードは五十音の行ごとに分かれて王国内の敷地に隠されており、それぞれ対象となる物の頭文字についている。；例えばアイウエオ五十音をどうかいう風に配列した場合の順序を示すものであるまいか。；例えばアイウエオ五十音をどうかいうふうに配列した場合の順序を示すものではあるまいか。；明治時代に入ると、欧米の影響で近代的な五十音検索の国語辞典が登場した。；それが決まらないと、五十音で語を並べた辞書のどの位置に、この語を置くのかも決められない。；それでご承知の五十音の図でありますが、あの図は梵語の字音の並べ方の通りであります。；平安朝頃までは現在の五十音のほかに、もっといろいろな発音がなされていて、七十音とも八十音とも聞いている。；五十音中の日本語の音が1種類ずつ小説の文面から失われてゆき、同時に主人公のまわりでは、その音を含む名をもつあらゆる存在が失われていく。</t>
        </is>
      </c>
      <c r="J2982">
        <f>HYPERLINK("https://www.weblio.jp/content/五十音", "词义详情")</f>
        <v/>
      </c>
      <c r="K2982">
        <f>HYPERLINK("https://yourei.jp/五十音", "查看例句")</f>
        <v/>
      </c>
    </row>
    <row r="2983">
      <c r="A2983" t="inlineStr">
        <is>
          <t>ご主人</t>
        </is>
      </c>
      <c r="B2983" t="inlineStr">
        <is>
          <t>成功</t>
        </is>
      </c>
      <c r="C2983" t="inlineStr">
        <is>
          <t>読み方：ごしゅじん
「主人」の尊敬語。また、他人の夫を敬っていう語。「—はご在宅ですか」</t>
        </is>
      </c>
      <c r="D2983" t="inlineStr">
        <is>
          <t>ご主人さま(9%)；ご主人ゾバイダさま</t>
        </is>
      </c>
      <c r="F2983" t="inlineStr">
        <is>
          <t>親切なご主人；きっとご主人；あなたとご主人；やさしいご主人</t>
        </is>
      </c>
      <c r="H2983" t="n">
        <v>29</v>
      </c>
      <c r="I2983" t="inlineStr">
        <is>
          <t>ご主人は人と話をするのを避けて、何もものを言いたくない気分でした。；そこには中央にご主人夫婦、その前に二人のお子さんが座っていました。；記事にある事実によれば、ご主人を殺す機会があったのは二人だけです。；その連中がどんな話をしていたか、ご主人はなにか聞いていないのですか?；これまでの経過から見て、ご主人は夕食に帰ってくると思ってよさそうだ。；メグレは彼女に、ご主人はどこの病院で虫垂炎の手術をしたのか聞いた。；この家の正義は、ご主人さま、あなたの胸のうちにあるのでございます。；世界中さがしてもこれよりよいご主人にめぐりあうことはございません。；リンネ夫人 それでご主人はすっかりよくなってお戻りになったのね?；それもあってご主人にはこちらへ来てもらって話をしていただくことにした。；正直に、正確に、ご主人をどう思っていたのか話して下さいませんか?；ご主人は私どもが家へ着く前にはお部屋へおはいりになっていました。；ご主人がお出になって、倫子は釧路に遊びに行っている、と言いました。；とにかくご主人は遺言状を変更する方がよいとお考えになりました。；お前はこれまでわたしが育てて来たのだし、いいご主人を見つけてやったんだ。；ご主人とゴルフをやったことだけを切れ切れに覚えているだけのことです。；ご主人はこの数日、お帰りになってはおりません、という返事であった。；わたくしどもはご主人さまの秘密を守り、沈黙を守るのでございます。；ともかくあなたは、勇気をもってご主人から逃げることが大切です。；なにか君のご主人が自殺するような動機を、君は知っていたかね?；というのも、ご主人の王子さまが救われて、幸せになったからなのです。；ところがある日、ご主人は救急車で運ばれ病院に担ぎ込まれてしまった。；最後に、ご主人さまとのみ呼ばれる男の重おもしい声がはっきり聞こえた。；わたしが、いま関心を持っているのは、ご主人の性格のことじゃありません。；それで、会社の玄関近くで見張っていて、ご主人が出てくると跡をつける。；クログスタット わたしはご主人にお金を出させようとは思っておりませんよ。；そして、ご主人のたすかったことを、心のそこからよろこんでいました。；どうして奥さんご自身で、ご主人に会いにいらっしゃらないんですか?；私はご主人とヒンドリ・アンショーとをよく比べて見たものでした。</t>
        </is>
      </c>
      <c r="J2983">
        <f>HYPERLINK("https://www.weblio.jp/content/ご主人", "词义详情")</f>
        <v/>
      </c>
      <c r="K2983">
        <f>HYPERLINK("https://yourei.jp/ご主人", "查看例句")</f>
        <v/>
      </c>
    </row>
    <row r="2984">
      <c r="A2984" t="inlineStr">
        <is>
          <t>故障</t>
        </is>
      </c>
      <c r="B2984" t="inlineStr">
        <is>
          <t>成功</t>
        </is>
      </c>
      <c r="C2984" t="inlineStr">
        <is>
          <t>読み方：こしょう
［名］(スル)
１機械や身体などの機能が正常に働かなくなること。「電車が—する」「猛練習で—する選手が相次ぐ」
２物事の進行が損なわれるような事情。さしさわり。「—がないかぎり参加する」
３異議。苦情。
「何かと—を言いたててわめく」〈有島・生れ出づる悩み〉</t>
        </is>
      </c>
      <c r="D2984" t="inlineStr">
        <is>
          <t>故障時；故障離脱；故障率；故障等；故障車</t>
        </is>
      </c>
      <c r="E2984" t="inlineStr">
        <is>
          <t>困難；荷物；障害；邪魔；面倒</t>
        </is>
      </c>
      <c r="F2984" t="inlineStr">
        <is>
          <t>機関故障；舵故障；初期故障；故障しやすい；ブレーキ故障</t>
        </is>
      </c>
      <c r="G2984" t="inlineStr">
        <is>
          <t>故障者；故障モード；故障モード影響解析；故障率曲線</t>
        </is>
      </c>
      <c r="H2984" t="n">
        <v>29</v>
      </c>
      <c r="I2984" t="inlineStr">
        <is>
          <t>そして、信号機が故障していれば安全側の現示を示すようになっている。；は先発に再転向する予定だったが故障のため開幕二軍スタートとなった。；当初は故障が多く、関係者が苦心したことは、このタイプも同様である。；翌は飛躍が期待されたが手首の故障でシーズンの大半を棒に振ってしまう。；契約最終年となったは故障の影響でわずか112試合の出場に留まった。；は三塁手に固定されたが、他の選手の故障などで遊撃を守ることもあった。；機関士の中には「故障するのが嫌で乗りたくなかった」と語る者までいた。；無事だといいが馬は無理させたことで故障することがある。；食事以外にも、レースでは機材故障に伴う部品や自転車の交換が必要になる。；シーズン途中にNPBの西武ライオンズに入団するが、入団直後に故障。；高校時代は陸上競技の有力選手だったが、2年生の時に故障してしまう。；しかし、父は選手としてプレーを続けたが後に膝の故障が基で現役を引退した。；故障で報時信号を発せられなかった場合は同信号旗 D が掲げられる。；は故障から復活し、前年限りで引退したディマジオに代わり中堅に転向。；当時のスポーツメディアは、その理由を「故障のため指名回避」と伝えた。；故障した場合に停車できるために路肩のスペースも広く設けられている場合が多い。；このことで彼は故障の少ないキャリアを過ごすことができたと考える専門家も多い。；は故障の影響もあって二軍スタートとなり、そのまま開幕を迎えた。；現役22年で肘や肩の故障はほとんどなかったことを誇りにしている。；佐々も作戦中にクレーンが故障したため十分な効果を得られなかったとしている。；故障が多いので左投手が先発するときは休養を取りながらプレーした。；訓練時または作戦時、頻繁に故障するようでは運用できない。；故障しているなら故障しているといってほしいんですけど、絶対そういうことを言わない。；以降は故障が多く、正捕手の座を維持できないシーズンが続いた。；設備が故障した4番線と5番線には解体待ちの車両が留置されることもあった。；故障が続発したものの、改良を重ねた末に一応の信頼性を確保した。；故障が原因となってプロでは一軍登板のないまま引退した。；故障の影響で指名打者での出場も多かったが、140試合にフル出場した。；は開幕5連勝と好調だったが、その後は故障の影響で白星が伸びなかった。</t>
        </is>
      </c>
      <c r="J2984">
        <f>HYPERLINK("https://www.weblio.jp/content/故障", "词义详情")</f>
        <v/>
      </c>
      <c r="K2984">
        <f>HYPERLINK("https://yourei.jp/故障", "查看例句")</f>
        <v/>
      </c>
    </row>
    <row r="2985">
      <c r="A2985" t="inlineStr">
        <is>
          <t>胡椒</t>
        </is>
      </c>
      <c r="B2985" t="inlineStr">
        <is>
          <t>成功</t>
        </is>
      </c>
      <c r="C2985" t="inlineStr">
        <is>
          <t>読み方：こしょう
コショウ科の蔓性(つるせい)の常緑低木。茎は木質化し、気根を出して他に絡みつく。葉は卵形で先がとがる。夏、葉と向かい合って黄緑色の小花が密生した穂を垂らす。実は球形で、乾燥させて香辛料に用いる。インド南部の原産。ペッパー。</t>
        </is>
      </c>
      <c r="D2985" t="inlineStr">
        <is>
          <t>胡椒少々(2%)；胡椒入れ；胡椒小さじ；胡椒小屋；胡椒少し</t>
        </is>
      </c>
      <c r="G2985" t="inlineStr">
        <is>
          <t>胡椒餅；胡椒の木；胡椒汁</t>
        </is>
      </c>
      <c r="H2985" t="n">
        <v>29</v>
      </c>
      <c r="I2985" t="inlineStr">
        <is>
          <t>もう一度全体に塩と胡椒を振り、小さなグラスに一杯の日本酒を注いだ。；まき散らしたのが胡椒だけに、まさに「喧嘩に故障が入る」形となった。；まあ、あんな姿形になったのでは、証拠も胡椒もあったものではないだろうが。；彼らの食物はとうもろこしのパンと水と、胡椒で香りをつけた茶であった。；人口の多さは日に胡椒の消費が一万磅に上ることによっても知られる。；たとえば黒胡椒を大量に産するほかに、雪のように白い胡椒もある。；子供用には胡椒を入れないグリーンピースだんごを作っておく。；近年では胡椒などの香辛料を使うことが一般的となっている。；好みの分量で胡椒を入れられるよう、客席に用意している店が多い。；ペロはジャワに中国に売りに行く為の胡椒をピントに買いに行かせた。；塩と胡椒で味をつけてモー一度火にかけて実を入れて出すのが通常のスープです。；そうして塩と胡椒とバターで味をつけて三十分ばかり煮て翌日まで置きます。；食べる時勝手に切ってバターや塩胡椒をかけても結構です。；これはまた遠いところから旅をしてきた胡椒だ。；また塩は使用していないが胡椒が加わっている。；いくら何だって胡椒の話から殺人をでっち上げるわけにゃ行くまい。；カバとは胡椒科の植物で、これを粉にして水に溶き、飲用としている。；それは鰯の頭を取り腸を抜いて塩と胡椒を当てておきます。；かれは人間というよりむしろ胡椒の実だった。；うでた芽キャベツを味なしのフレンチソオスで和え、卓上で塩胡椒する。；どうして饅頭を食べているのに、強烈な胡椒の味がするのだろう。；これではスラヴ語で「胡椒」を意味する語と同じになってしまう。；胡椒が大衆的調味料になるまでには、このように珍妙な前史があったのだ。；加えて、わずか数樽の胡椒とナツメグを購入できただけであった。；僕はとたんに歯の中で胡椒の実がくだけるような気がした。；警察はバリケードを撤去しながら、抗議者に胡椒スプレーを使った。；この注意を怠ると、退屈で胡椒のきいていない料理のようにしまりのない文になる。；この辛味は胡椒をたっぷりと使うためであるが、味のベースはトマト味である。；このため現在でも九州地方を中心に、唐辛子を「胡椒」と呼ぶことがある。</t>
        </is>
      </c>
      <c r="J2985">
        <f>HYPERLINK("https://www.weblio.jp/content/胡椒", "词义详情")</f>
        <v/>
      </c>
      <c r="K2985">
        <f>HYPERLINK("https://yourei.jp/胡椒", "查看例句")</f>
        <v/>
      </c>
    </row>
    <row r="2986">
      <c r="A2986" t="inlineStr">
        <is>
          <t>こしらえる</t>
        </is>
      </c>
      <c r="B2986" t="inlineStr">
        <is>
          <t>成功</t>
        </is>
      </c>
      <c r="C2986" t="inlineStr">
        <is>
          <t>読み方：こしらえる
［動ア下一］［文］こしら・ふ［ハ下二］
１ある材料を用いて、形の整ったものやある機能をもったものを作り上げる。また、結果として不本意なものを作ってしまう。「弁当を—・える」「藤棚を—・える」「家を—・える」「こぶを—・える」
２手を加えて、美しく見せるようにする。化粧したり衣装を整えたりして飾る。「顔を—・える」「身なりを—・える」
３工夫を巡らし、ないことをあるかのように見せかける。「話を—・える」「うわべを—・える」
４手を尽くして、必要なものを整える。用意する。「頭金を—・える」
５友人・愛人などを作る。「女を—・える」
６なだめる。とりなす。
「—・へ聞こゆるをも、つらしとのみおぼされたれば」〈源・夕霧〉
７計画する。
「かねて—・へたることなれば、走りまはりて火をかけたり」〈義経記・八〉
→作る［用法］</t>
        </is>
      </c>
      <c r="D2986" t="inlineStr">
        <is>
          <t>こしらえるということ</t>
        </is>
      </c>
      <c r="E2986" t="inlineStr">
        <is>
          <t>作る；構成する；組む；構築する；完成させる</t>
        </is>
      </c>
      <c r="H2986" t="n">
        <v>29</v>
      </c>
      <c r="I2986" t="inlineStr">
        <is>
          <t>彼はおのが生活のいかなる場合のための音楽をも皆こしらえ出していた。；日本人は、日本人の生活を基礎にした文化をこしらえなければならない。；もし太陽が出ていなければ、それを別に一つこしらえなければならない。；あんたがわたしを自分より強くこしらえたのを、おぼえていてください。；どんなせまいところでも六メートルの幅を持っている道路をこしらえた。；自分の生活のいろんな場合にあてはまる音楽をそれぞれこしらえていた。；便所のところには板でこしらえた小さい屏風のようなものが立ててある。；張はすぐに怪物が石を打ち合せて火をこしらえたと云うことを知りました。；だから私の店でこしらえたものは他のどこのよりよいと信じている。；そのうちに、女のほうも気が変わってほかに恋人をこしらえるだろう。；それからベリー公の記念碑の所に噴水をこしらえてるというじゃないか。；こういう茶を一罎こしらえますには三十八銭ぐらいかかるのでございます。；そこへは理性がこしらえたもののほかは何も外部からはいって来ない。；熊は木のまたに棚というものをこしらえて、そこに坐って食べるらしい。；自分で自分は判らない、自分がこしらえる波だけが判ると思ったりした。；貝殻でこしらえた外套を着て水煙草を片手に持って立っているのでした。；私はまた果物屋から林檎箱をわけてもらって、それで産床をこしらえた。；その紙の切ったのを沢山こしらえて、一つの小さい箱に入れておいてある。；必要な場合に子供と乳母とを隠すためにこしらえられたものらしかった。；博士はちょっと眉の間に皺をこしらえただけで、何ともいわなかった。；もう少し勝ったつもりだったが、こしらえて見ると、たった十八目の差か。；彼女は私にシャツを七枚と、それから下着などをこしらえてくれました。；可愛い女を売る程であるから、彼は他に金をこしらえる手段はなかった。；一台こしらえるのに間に合うだけの部品や備品はここにあると思うんだが?；ただ手車へ乗って、立派な玄関のある家をこしらえるに相違ないと云った。；と言って、自分が男をこしらえて見せつけてやるほどのことではない。；そうする代わりに人間は、木の枝や葉でわたしを人形にこしらえる。；たくさん御馳走をこしらえて、弟や妹も一緒に最後の食事をたのしんだ。；女房が一人で袋張りをしたり、子供の玩具の風船をこしらえたりしていた。</t>
        </is>
      </c>
      <c r="J2986">
        <f>HYPERLINK("https://www.weblio.jp/content/こしらえる", "词义详情")</f>
        <v/>
      </c>
      <c r="K2986">
        <f>HYPERLINK("https://yourei.jp/こしらえる", "查看例句")</f>
        <v/>
      </c>
    </row>
    <row r="2987">
      <c r="A2987" t="inlineStr">
        <is>
          <t>拗らせる</t>
        </is>
      </c>
      <c r="B2987" t="inlineStr">
        <is>
          <t>成功</t>
        </is>
      </c>
      <c r="C2987" t="inlineStr">
        <is>
          <t>読み方：こじらせる
［動サ下一］［文］こじら・す［サ下二］
１物事をもつれさせ、処理を難しくする。めんどうにする。「問題を—・せる」
２病気を治しそこねて長引かせる。「風邪を—・せる」</t>
        </is>
      </c>
      <c r="D2987" t="inlineStr">
        <is>
          <t>悪化させる；困らす；もつれさせる；こじらせる；こんがらかす</t>
        </is>
      </c>
      <c r="H2987" t="n">
        <v>29</v>
      </c>
      <c r="I2987" t="inlineStr">
        <is>
          <t>ぼくのやっていた仕事は、ぼくにいわせれば仕事でもなんでもなかった。；その場合はX1のBASICを用いる事で動作させることが可能である。；AIに自然言語で指定したイラスト生成させるサービスも登場している。；ぼくの持って帰ったものはなにせろくでもないものばかりだからなあ。；これを若い奴にやらせろという話が出て、それで俺のところに話がきた。；システム間でメッセージをやりとりするには接続を確立させる必要がある。；唯僕に云はせれば、未完成の美を認めないのは君の為に遺憾だと思ふね。；前にはこっちが心配せられ、今はこっちがあっちを心配しつづけている。；夫人が聞かせろと言う秘密を守りとおすことは彼にはできなかったのだ。；相手認証とはある人が他の人に自分が確かに本人であると納得させるをいう。；舞台背景も重視されず、謎を成立させるために非現実的な設定の作品もある。；わたしに言はせれば、文体論でいちばん大事なのはこのことなのである。；そんな理由でここまで話が拗れたとは、本当に思いたくないのだけれど。；そこで、僕と初代さんと結婚させれば、そんな心配がなくなってしまう。；タクシーまで行くと運転手に、どこでもいいから走らせろといいつけた。；自分たちだけ安全なところにいて、五時までに戦闘を終わらせろなんて。；あるいは、母に事故だと思わせるようにして自殺したという説もある。；そのようなコースでは適当な言語のコンパイラを実際に作らせることが多い。；此等は皆石橋が出来る前から、既にその種は用意せられてゐたのである。；すると、プログラムは要求を行った時点から処理を再開させることができる。；これが、奈良を中心とする寺院の間に、出版事業を興させるようになる。；従って、政府が債務を拡大させれば民間の富も拡大していくことになる。；とするときみの提案は、僕の女の好みの線に合格させろってことだね。；けれども又私から云はせれば、弟に他の高等學校へ行つて貰ひ度かつた。；しかし、わたしに言わせれば、果物だって味をよくする方法があるのだ。；対人信仰もまた人に就いて若干の思想に伴つて経験せられ始めたのである。；こういうわけで、犯人はわしに言わせれば覚醒期間にある気違いなのだ。；これ、カント先生在世のとき教授せられし大学の跡に建設せるものなり。；これらの各〻の過程の最後のものが今表現せらるべく私の前にある。</t>
        </is>
      </c>
      <c r="J2987">
        <f>HYPERLINK("https://www.weblio.jp/content/拗らせる", "词义详情")</f>
        <v/>
      </c>
      <c r="K2987">
        <f>HYPERLINK("https://yourei.jp/拗らせる", "查看例句")</f>
        <v/>
      </c>
    </row>
    <row r="2988">
      <c r="A2988" t="inlineStr">
        <is>
          <t>拗れる</t>
        </is>
      </c>
      <c r="B2988" t="inlineStr">
        <is>
          <t>成功</t>
        </is>
      </c>
      <c r="C2988" t="inlineStr">
        <is>
          <t>読み方：こじれる
［動ラ下一］［文］こじ・る［ラ下二］
１物事がもつれて、うまく進まなくなる。「交渉が—・れる」
２病気が治らなくて長引く。「風邪が—・れる」
３ねじける。「気持ちが—・れる」</t>
        </is>
      </c>
      <c r="D2988" t="inlineStr">
        <is>
          <t>捻挫；捻る；挫く；捩る；撚る</t>
        </is>
      </c>
      <c r="H2988" t="n">
        <v>8</v>
      </c>
      <c r="I2988" t="inlineStr">
        <is>
          <t>関口は話が拗れることを惧れて、そのまま身を屈め、箱を置いて座った。；小児というものは、その時の調子でひょいと拗れることがあるもんですよ。；さては酒席で二人の関係がさらに拗れることを期待しての臨席か。；葉鞘が拗れるので直ぐには原位に復せずそのままになっている。；もっと、話が拗れるかと覚悟をしていました。；もしそのとき光圀の覚悟が殺気となってあらわれ、家老が危険に感づいたら最後、ことが難しく拗れることになりかねなかった。；懐正は皇太子の身辺雑事を采配する身分でありながら、皇帝と皇太子の関係が拗れる一方とみるや、江夏王の件をよい機会とばかりにさっさと職を辞していた。；「正義」の大商人ウヰルソン氏なぞ、よく気を注けないと、兎のやうな耳朶を拗れる程引張られるかも知れないて。</t>
        </is>
      </c>
      <c r="J2988">
        <f>HYPERLINK("https://www.weblio.jp/content/拗れる", "词义详情")</f>
        <v/>
      </c>
      <c r="K2988">
        <f>HYPERLINK("https://yourei.jp/拗れる", "查看例句")</f>
        <v/>
      </c>
    </row>
    <row r="2989">
      <c r="A2989" t="inlineStr">
        <is>
          <t>個人</t>
        </is>
      </c>
      <c r="B2989" t="inlineStr">
        <is>
          <t>成功</t>
        </is>
      </c>
      <c r="C2989" t="inlineStr">
        <is>
          <t>読み方：こじん
１国家や社会、また、ある集団に対して、それを構成する個々の人。一個人。「—の意思を尊重する」
２所属する団体や地位などとは無関係な立場に立った人間としての一人。私人。「私—としての意見」
３「個人競技」「個人戦」の略。→団体3
[補説] 英語 individuale の訳語は「一個の人」から「一個人」を経て明治中期、「個人」に定まったらしい。</t>
        </is>
      </c>
      <c r="D2989" t="inlineStr">
        <is>
          <t>個人的(14%)；個人向け；個人用；個人所有；個人個人</t>
        </is>
      </c>
      <c r="E2989" t="inlineStr">
        <is>
          <t>人；人間</t>
        </is>
      </c>
      <c r="F2989" t="inlineStr">
        <is>
          <t>個人資産；個人成績；個人賞；個人秘書；個人指導</t>
        </is>
      </c>
      <c r="G2989" t="inlineStr">
        <is>
          <t>個人情報；個人戦；個人主義；個人差；個人名</t>
        </is>
      </c>
      <c r="H2989" t="n">
        <v>29</v>
      </c>
      <c r="I2989" t="inlineStr">
        <is>
          <t>伸び悩んでいた個人契約数が一気に伸び始めたのはこの頃からである。；個人で撮影した画像を自宅のプリンターで印刷することが一般的になった。；集団内の個人を取り上げた場合、さらに次のようなものが取り上げられる。；その髭を剃るか伸ばすかは個人の選択やその人が住む地域の文化による。；この限りにおいて個人と世界の間には永遠なる断絶が存在するのである。；専門的な分野の雑誌は、契約制で企業や個人宅に直接配送するものがある。；個人の葛藤や懊悩がどれほど深くとも、すべては小さな物語に過ぎない。；個人参加も可能で、企業がスポンサーとして参加することも可能である。；個人用のプリンターで印刷したものの場合、既にこの処理は行われている。；また、日本では個人の思想や教えによってグループが形成されている。；このうち、個人の運命を見るときに主に使われるのはナクシャトラである。；妻の早川殿と対になった肖像画があり、現在米国の個人が所蔵している。；あるいは個人によって書かれたものがグループによって補完されたのか?；アメリカ大陸の先住民族など、個人を指す名前のみを用いる文化もある。；そのため、個人の実質的な一定の閾値以上の効用確保を目指すのである。；私はあなたが個人であることを消すためにここにいるのではない。；この場合は中にいる人間が主役となるので、個人の差の問題までも考慮する。；すなわち、官職が政治動向や個人の個性から完全に独立したものとなる。；非公認であるため、サーバを公開しているのは、個人がほとんどである。；また、アメリカの個人や団体が日本の暴力団と取引を行うことは禁止される。；個人間で行うものから組合やギルド等の特定のグループ内で行うものがある。；この時点ではまだ声優個人としての日本俳優連合への加盟はできない。；ワイオミング州は他州とは異なり、個人や企業に所得税を課していない。；これらのコンピュータは技術開発と趣味人の個人使用のためであった。；家庭は、人間の社会の最小単位である個人の次に小さい単位である。；顔の浮かぶ特定の個人に向けて映画を作るという経験はそれ以来のことだった。；は、複数の企業から個人にオフィスを貸し出す分散型のセンターである。；絶対的他者である世界の側から見れば、個人に従属している観念である。；本門ではすなわちここに至って仏とはもはや歴史上の釈迦一個人のことではない。</t>
        </is>
      </c>
      <c r="J2989">
        <f>HYPERLINK("https://www.weblio.jp/content/個人", "词义详情")</f>
        <v/>
      </c>
      <c r="K2989">
        <f>HYPERLINK("https://yourei.jp/個人", "查看例句")</f>
        <v/>
      </c>
    </row>
    <row r="2990">
      <c r="A2990" t="inlineStr">
        <is>
          <t>故人</t>
        </is>
      </c>
      <c r="B2990" t="inlineStr">
        <is>
          <t>成功</t>
        </is>
      </c>
      <c r="C2990" t="inlineStr">
        <is>
          <t>読み方：ふるひと
《「ふるびと」とも》
１昔の人。すでに死んだ人。こじん。
「妹らがり今木の嶺(みね)に茂り立つ夫(つま)松の木は—見けむ」〈万・一七九五〉
２年をとった人。老人。
「—は涙もとどめあへず」〈源・明石〉
３古くからいる人。古参の人。
「右近は、何の人数ならねど…—の数に仕うまつり馴れたり」〈源・玉鬘〉
４昔なじみの人。
「かげろふのそれかあらぬか春雨の—なれば袖ぞぬれぬる」〈古今・恋四〉
５昔風の考えの人。古風な人。
「あやしき—にこそあれ。かく物づつみしたる人は」〈源・行幸〉</t>
        </is>
      </c>
      <c r="D2990" t="inlineStr">
        <is>
          <t>故人今人；故人某；故人波多野氏；故人なから</t>
        </is>
      </c>
      <c r="E2990" t="inlineStr">
        <is>
          <t>死者；仏；死人；亡者；死亡者</t>
        </is>
      </c>
      <c r="H2990" t="n">
        <v>29</v>
      </c>
      <c r="I2990" t="inlineStr">
        <is>
          <t>出演者の大半が故人だった故各声優の部分は別の声優が代役を務めている。；故人の強い愛着の遺った品がやりたく思う人の手に行っていぬものらしい。；父への反発と同時に、既に故人である姉には特別な執着を抱いている。；ただし、各ゲストの声優は故人であるために全員交代となっている。；世間に暗い衝撃を与えることは、故人の望むところでなかったろう。；余は此手紙を見る度に何だか故人に対して済まぬ事をしたような気がする。；故人のことばかり考えて、時刻の過ぎるのを忘れていたのだった。；兵部卿の宮は、この人だけは恋しい故人に似た顔をしているであろう。；故人の話も少ししだして、閑雅な態度で大将は語っているのであった。；さらにそれも本来は、本物の故人の白い頭蓋骨を使用していたと考えられる。；まったく故人の名前すら、そこでは知られていなかったのである。；あの時同じ列にすわった四五人の中でもう二人は故人となった。；その間多くの宴席が設けられ、故人の魂を他界へ送る旅の準備が行われる。；以下のキャラクターは本作の時点で既に故人となっている者。；またよい機会もなくて院に故人の心をお伝えすることもまだ果たさなかった。；さうして恐らく服部氏は故人の意外に好々爺であつたに驚いたであらう。；このような取り扱いは他の故人の作家でも同様であることが多い。；老いた人たちは薫を見ることによっても故人が惜しまれてならなかった。；こうして墓の上で踊ったのが故人との約束に基づくことが裁判官に理解される。；少くともそれには、故人のことを早く忘れさせてくれるという意味がある。；本所へ戻りながら故人は自分に對して、能く君は覺えて居たなと云つた。；最後の生存者が2009年に死去しており、以下の人物は全員故人である。；位牌は故人の戒名や法号を記した板で中国の儒教にルーツを持っている。；その要求は故人との関係の近さによって複雑に定められていた。；墓が開けられると、故人が非常に背の高い人物であったに違いないことがわかりました。；遺族らもその文化を共有しているので、故人の頭髪は特別視されるのである。；二千里外に故人の面を見ようと思つたら、どうしても自ら苦まねばならぬ。；外側の関係からみれば、彼女はそのように泣くほど故人と近い者ではなかった。；思ふに故人のあらゆる友人は、だれしもこの感情に於て同じだらう。</t>
        </is>
      </c>
      <c r="J2990">
        <f>HYPERLINK("https://www.weblio.jp/content/故人", "词义详情")</f>
        <v/>
      </c>
      <c r="K2990">
        <f>HYPERLINK("https://yourei.jp/故人", "查看例句")</f>
        <v/>
      </c>
    </row>
    <row r="2991">
      <c r="A2991" t="inlineStr">
        <is>
          <t>個人的</t>
        </is>
      </c>
      <c r="B2991" t="inlineStr">
        <is>
          <t>成功</t>
        </is>
      </c>
      <c r="C2991" t="inlineStr">
        <is>
          <t>読み方：こじんてき
［形動］個人を主体とするさま。個人に関するさま。公的でない立場や、他人と関わりない事柄についていう。プライベート。「—な意見」</t>
        </is>
      </c>
      <c r="D2991" t="inlineStr">
        <is>
          <t>個人的感情；個人的関係；個人的理由；個人的事情；個人的体験</t>
        </is>
      </c>
      <c r="E2991" t="inlineStr">
        <is>
          <t>個々の；個人的な；非公式；プライベート；私的</t>
        </is>
      </c>
      <c r="F2991" t="inlineStr">
        <is>
          <t>個人的に親しい；個人的自己；個人的かつ；超個人的；個人的生活</t>
        </is>
      </c>
      <c r="G2991" t="inlineStr">
        <is>
          <t>個人的見解；個人的意見；個人的自由；個人的法益；個人的無意識</t>
        </is>
      </c>
      <c r="H2991" t="n">
        <v>29</v>
      </c>
      <c r="I2991" t="inlineStr">
        <is>
          <t>場面は個人的につくもの、集団のなかで第三者を意識しながらつくもの。；社会的なものは一人の人間、その個人的体験だけであっても存在する。；私は個人的に悪魔の歌詞を書くことにはまったく夢中になれませんでした。；さらに王が個人的に使用できる秘密の予算もあり「赤帳簿」と呼ばれた。；先輩の岡村徳長とは個人的に親交があり、戦後もその関係が続いていた。；彼はまた個人的に、科学を世間一般に理解してもらうことにも力を入れていた。；そして彼らに会った後でさえ、彼らの個人的魅力に再び心打たれた。；メタコメットが個人的に交戦を決めたわけでも戦争を率いたわけでもない。；戦後は建物の再建に責任があり、個人的にも財政的にも困難な事態となった。；彼のことを個人的に知らなくてもそれは充分わかることだよ。；健康分野、室内での物探しほか個人的生活の面でも応用例がある。；経済的不平等が発生し、定着する理由には個人的要素と社会的要素がある。；両候補とも個人的には運動しなかったが、支援者達は運動を組織化して行った。；アクティブのリーダー格の個人的感情によって認定された例も多かった。；松尾は「個人的には洗練されていないところが大好きな作品」だという。；彼は個人的にはユニオニストの見解を幾つかの場面で認めている。；これら有名な作曲家たちはホフマイスターの個人的にも親しい仲にあった。；セレマは個人的哲学であり、通常の意味での倫理という概念を持たない。；単純に、公的な単語は私が求める個人的表現を私に保証できなかった。；さらにリヴォリの戦いでも活躍し、ナポレオンからの個人的信頼を得た。；ムーアは自身が個人的に持っている大テーマがだと述べている。；こうして購入された美術作品は初めて宗教目的でなく個人的のために今日されたものの一つであるとされる。；それは超個人的アートとのつながりを見るのを助けてくれる霊性との関係である。；パリで過ごした年月の個人的と社会的な側面は、妻によって描写されている。；紹介状にはゾルゲが政治的にも個人的にも信頼できる人物であると記されていた。；会員の主な活動内容は、会員が個人的にできる範囲内で海を警戒することであった。；前者は主に個人的で主観的なものであり、後者は一定の体系的方法を伴うものである。；ただ、メンバーとは個人的にお付き合いをしていたと語っている。；個人的には互いの才能を高く評価していた2人であったが、交渉は決裂した。</t>
        </is>
      </c>
      <c r="J2991">
        <f>HYPERLINK("https://www.weblio.jp/content/個人的", "词义详情")</f>
        <v/>
      </c>
      <c r="K2991">
        <f>HYPERLINK("https://yourei.jp/個人的", "查看例句")</f>
        <v/>
      </c>
    </row>
    <row r="2992">
      <c r="A2992" t="inlineStr">
        <is>
          <t>超す</t>
        </is>
      </c>
      <c r="B2992" t="inlineStr">
        <is>
          <t>成功</t>
        </is>
      </c>
      <c r="C2992" t="inlineStr">
        <is>
          <t>読み方：こす
［動サ五（四）］
１（越す）ある物の上を通り過ぎて一方から他方へ行く。また、難所や障害となるものを通って、その先へ行く。「塀を—・す」「難関を—・す」「峠を—・す」
２数量・程度がある基準以上になる。「一万人を—・す応募者」「気温が三〇度を—・す」
３（越す）ある時期・期間を過ごす。「年を—・す」「還暦を—・す」
４（越す）追い抜く。「先を—・される」
５（「…にこしたことはない」のように打消しの表現を伴って）…するのがいちばんよい。「早いに—・したことはない」
６（越す）
㋐別の所へ移って住む。引っ越す。「新居へ—・す」
㋑（「おこし」の形で）「行く」「来る」の意の尊敬語。「どちらへお—・しですか」「またお—・しください」
[可能]こせる
[下接句]先を越す・先(せん)を越す・峠を越す・年を越す・一山(ひとやま)越す</t>
        </is>
      </c>
      <c r="D2992" t="inlineStr">
        <is>
          <t>超すセールスを記録</t>
        </is>
      </c>
      <c r="E2992" t="inlineStr">
        <is>
          <t>与える；通る；超える；過ぎる；過ごす</t>
        </is>
      </c>
      <c r="H2992" t="n">
        <v>29</v>
      </c>
      <c r="I2992" t="inlineStr">
        <is>
          <t>その後現在に至るまでの映画・テレビのキャリアは100本を超している。；どんなよき頭と心をもっても理屈では時代を超すことは出来ないのだ。；直径二十センチを超す自然木の丸棒をリベットで打ち止めたものである。；上から見たわけじゃないからよくわからないが、三万坪は超すだろう。；夏は30を超す日も多くある一方、冬は気温が氷点下となることも多い。；まったく、あそこの姉弟の仲のよさはちょっと度を超していると思う。；見れば黒服たちはそのサングラス超しの視線をこっちに向けたかと思うと。；会場には千人を超す欧米の自動車メーカーの経営者や関係者が集まった。；その直接の動機は六十を超してから孫が出来たことであった。；山の天辺から二メートルは軽く超そうかという大柄な男が立ち上がった。；ガンバは多くの演奏家と共演しており、共演した人数は100人を超す。；それ以外に百人を超す技術スタッフを付けなければならない。；父親が捜査に使えと押しつけてくる金がこのごろは月一千万円を超す。；それはときに度を超して、謙虚というよりも卑屈に思えるほどだった。；二十メートルを超す杉の樹高が、身を隠す助けになると判断したからだった。；音もなく影が蠢き、そこから五メートルを超す鉄の塊が突き出てくる。；の面積に700万人を超す人口を有する世界有数の人口密集地域である。；彼女から度を超した命令を受けたとき、現実家の私はもっと彼女を疑ったはずだ。；たった一人の少年の拳が、二〇〇人を超す敵勢の心をねじ伏せた事で。；会見場には五十人を超す新聞、雑誌、テレビの報道陣が待ち受けている。；奴は三十名を超す優秀な〝脚〟を抱えていて、俺達を振り回してくれるんだ。；もう情けなさが度を超してしまって、まっすぐ座っている気力もない。；三〇〇〇光年を超す宇宙空間を、第一一艦隊が接近してきつつある。；歳をとった雄の中には、1メートルを超す角を持つものもいた。；六階の部屋にはやはり六十は超したと思われる和服の上品な夫人が待っていた。；会場は一瞬静まり返り、出席した千人を超す販売店の経営者は唖然とした。；顔も名前も知らないが、その度を超した物好きさに感謝している。；これは、度を超して一方に走ってしまう情熱の典型的なものである。；家畜との度を超した接触は、まれに筋肉痛等を起こすことがあります。</t>
        </is>
      </c>
      <c r="J2992">
        <f>HYPERLINK("https://www.weblio.jp/content/超す", "词义详情")</f>
        <v/>
      </c>
      <c r="K2992">
        <f>HYPERLINK("https://yourei.jp/超す", "查看例句")</f>
        <v/>
      </c>
    </row>
    <row r="2993">
      <c r="A2993" t="inlineStr">
        <is>
          <t>越す</t>
        </is>
      </c>
      <c r="B2993" t="inlineStr">
        <is>
          <t>成功</t>
        </is>
      </c>
      <c r="C2993" t="inlineStr">
        <is>
          <t>読み方：こす
［動サ五（四）］
１（越す）ある物の上を通り過ぎて一方から他方へ行く。また、難所や障害となるものを通って、その先へ行く。「塀を—・す」「難関を—・す」「峠を—・す」
２数量・程度がある基準以上になる。「一万人を—・す応募者」「気温が三〇度を—・す」
３（越す）ある時期・期間を過ごす。「年を—・す」「還暦を—・す」
４（越す）追い抜く。「先を—・される」
５（「…にこしたことはない」のように打消しの表現を伴って）…するのがいちばんよい。「早いに—・したことはない」
６（越す）
㋐別の所へ移って住む。引っ越す。「新居へ—・す」
㋑（「おこし」の形で）「行く」「来る」の意の尊敬語。「どちらへお—・しですか」「またお—・しください」
[可能]こせる
[下接句]先を越す・先(せん)を越す・峠を越す・年を越す・一山(ひとやま)越す</t>
        </is>
      </c>
      <c r="D2993" t="inlineStr">
        <is>
          <t>越すだろ；越すセールスを記録；越す大観衆</t>
        </is>
      </c>
      <c r="E2993" t="inlineStr">
        <is>
          <t>行く；与える；通過；流れる；通る</t>
        </is>
      </c>
      <c r="F2993" t="inlineStr">
        <is>
          <t>一つ越す；またぎ越す；引き越す；ゆうに越す；まかり越す</t>
        </is>
      </c>
      <c r="H2993" t="n">
        <v>29</v>
      </c>
      <c r="I2993" t="inlineStr">
        <is>
          <t>雪の深いこの地方の冬をどうして越すだろうとさえ云う者も居なかった。；弾倉を入れて四キロを越す重さを右手一本で固定するのは不可能に近い。；しかし箱の中には石が二つ入っていただけでスペインに先を越されていた。；教室で直接に教わった学生だけにしても数千名、いや万を越す筈だった。；姫とはいえ、いつ山道を歩いて越さねばならぬ運命になるかも知れない。；高くてせいぜい人の肩ほどだが、馬で一気に越すには困難な高さである。；アメリカは2度ならず3度までもソ連に先を越されてしまったのである。；その様子をガラス越しに聞いていた永は思わず涙を流したという。；それだけあれば年を越すまで一月余の生活は出来るだろうとの貞子の話。；私は嬢さまが制限の境を越すことは少しも心配しておりませんでした。；皿の前の下へ向いて飛び出している処を、背後へ越させるだけの事だ。；しかし、何十人かの人間を一冬越させるだけの食糧が灰となって消えた。；板トップにリンクが現れたのは年を越して2000年1月3日であった。；幅は丘の上から見たところ、いちばん狭い部分でも二〇〇メートルを越す。；これに伴い、ガラス越しで放送中の様子を閲覧する事が可能となった。；残念ながら先を越されて、私はもう手の出しようがなかったのである。；産物が放置されて冬を越すのは、交渉が成立していなかったからである。；だからこの坂を越すものは村の者でもたくさんはないのでござります。；しかし同場所は三段目以下では初めての負け越しとなってしまった。；彼は他の諸大臣の頭越しに出世し、1947年に燃料動力大臣に就いた。；内を東京へ引き越すようになるかも知れないという話がおりおりある。；仰せの通り、冬を越させては敵に勢いをつけてゆゆしきことになります。；左右の端は緑や青に覆われているが、幅は優に一〇メートルを越すだろう。；十両に陥落した11月場所も負け越して3場所連続の負け越しとなった。；寒い地域でも夏場だけ移動してきたり、暖かい場所で冬を越したりする。；たった一夜を越すだけで、私は運命に打ち勝てたことになるのだろうか。；これが新しく生れた女王と交尾し、自分の方は冬を越さずに死んでしまう。；同年9月場所からは4場所連続の負け越しとなって番付も下降し続けた。；ふたたびそれが花咲くまでには、また、ひと冬を越さなければならない。</t>
        </is>
      </c>
      <c r="J2993">
        <f>HYPERLINK("https://www.weblio.jp/content/越す", "词义详情")</f>
        <v/>
      </c>
      <c r="K2993">
        <f>HYPERLINK("https://yourei.jp/越す", "查看例句")</f>
        <v/>
      </c>
    </row>
    <row r="2994">
      <c r="A2994" t="inlineStr">
        <is>
          <t>梢</t>
        </is>
      </c>
      <c r="B2994" t="inlineStr">
        <is>
          <t>成功</t>
        </is>
      </c>
      <c r="C2994" t="inlineStr">
        <is>
          <t>読み方：こずえ
《木の末の意》木の幹や枝の先。木の先端。木末(こぬれ)。</t>
        </is>
      </c>
      <c r="D2994" t="inlineStr">
        <is>
          <t>梢路(5%)；梢風；梢越し；梢美咲；梢近く</t>
        </is>
      </c>
      <c r="E2994" t="inlineStr">
        <is>
          <t>樹冠；木末；樹梢</t>
        </is>
      </c>
      <c r="F2994" t="inlineStr">
        <is>
          <t>新梢；樹梢；高き梢；木梢；細い梢</t>
        </is>
      </c>
      <c r="G2994" t="inlineStr">
        <is>
          <t>梢子；梢枝；梢江；梢恵；梢子棍</t>
        </is>
      </c>
      <c r="H2994" t="n">
        <v>29</v>
      </c>
      <c r="I2994" t="inlineStr">
        <is>
          <t>少しはなれて見ると密生した梢の色が紫色にぼうと煙つたやうに見える。；空はどんよりと濁り風は折々高い木の梢に雨のような響きをたてている。；堂の縁の女でなく、大榎の梢から化鳥が呼んだように聞えたのである。；松の梢にかすかに風が鳴っているのが、雲の音のように遠くきこえる。；先生にとって最も苦痛な冬は草の色にも木の梢にもこの頃は明かに迫って来た。；やっぱり梢さんは貴方が持って行かれた方がいいのじゃないですか。；友達と二人で外に出ると、暗い立木の梢に、細く青い月がかゝつてゐた。；あの大きい八咫鴉は今度はいつこの木の梢へもう一度姿を露わすであろう?；森の梢に群れていた鴉の一羽立ち二羽立つ羽音が淋しい音を空に引く。；風の度らぬ梢から黄な葉がはらはらと赤き衣にかかりて、池の面に落ちる。；そして木の梢や、毀れた農家の屋根だけが、此の泥海の上に見えてゐた。；高木の梢で活動する上に保護色が発達するため、姿を視認するのは難しい。；そしていつも其風景の補ひをする街樹がひどく寂しい梢で空を画つてゐた。；そのくせ彼は、木立の梢と屋根の煙筒しか見えないことをよく知っていた。；風が吹きつけるたび、ざあつと雨のやうな音をたてて松林の梢が鳴つた。；その梢にとまつて空を見あげてゐるものは、たしかに敵の山烏です。；風のきつい日に、皁莢の実が梢の高いところでなる音をきいたりした。；足下の草は露に濡れていたが、松の梢はかさかさ乾いていそうな夜だった。；しっとり黒い夜の梢の下で白い紙は、寒そうにアーク燈の光を浴びた。；松の梢の上空で、すこし角度が変れば操縦者の姿も見えそうな気がする。；三方、山の尾が迫った、一方は大なる楓の梢へ、青田の波が越すばかり。；梢はその後、多くの人のアドバイスを聞くも、予選落ちが続いていた。；短い日は村の林の梢に棚引いた土手のやうな夕雲に眞倒に落ちつゝある。；窓の外は隣家との境の亜鉛塀で、塀の上に伸び出てる桜の梢が見えていた。；七時雨を越すときに風烈しく稀にある所の梢を見るに落葉してぞありける。；僕は思はず空を見上げ、松の梢に触れないばかりに舞ひ上つた飛行機を発見した。；梢にきちょうめんに横に並んだ枝を出して白い蕾をつけて葉は無い。；梢よりは音せぬほどの風に誘われて木の葉落ち、流れはこれを浮かべて走る。；桜の梢を越えて、うす緑の山が幾重にも重なっているのが遠く仰がれた。</t>
        </is>
      </c>
      <c r="J2994">
        <f>HYPERLINK("https://www.weblio.jp/content/梢", "词义详情")</f>
        <v/>
      </c>
      <c r="K2994">
        <f>HYPERLINK("https://yourei.jp/梢", "查看例句")</f>
        <v/>
      </c>
    </row>
    <row r="2995">
      <c r="A2995" t="inlineStr">
        <is>
          <t>擦る</t>
        </is>
      </c>
      <c r="B2995" t="inlineStr">
        <is>
          <t>成功</t>
        </is>
      </c>
      <c r="C2995" t="inlineStr">
        <is>
          <t>読み方：かする
［動ラ五（四）］
１軽く触れて通り過ぎる。かすめる。「弾丸が耳を—・った」
２上前をはねる。「賃金を—・る」
３かすり書きにする。
４他人のものをちょっと利用する。
「その提灯の明りを—・り、妾(わし)も隣の念仏講へ」〈伎・四谷怪談〉
５容器の底にわずかに残っているものをこそげ取る。
「夕に米唐櫃(こめがらと)を—・り」〈浮・禁短気・四〉
６ほのめかす。におわす。
「その人の名は言ひかねて、思ふあたりを—・らする」〈浄・万年草〉
［動ラ下二］「かすれる」の文語形。</t>
        </is>
      </c>
      <c r="D2995" t="inlineStr">
        <is>
          <t>擦るような音(3%)；擦るような歩き</t>
        </is>
      </c>
      <c r="E2995" t="inlineStr">
        <is>
          <t>摩擦；マッサージ；撫でる；磨く；按摩</t>
        </is>
      </c>
      <c r="F2995" t="inlineStr">
        <is>
          <t>強く擦る；引擦る</t>
        </is>
      </c>
      <c r="H2995" t="n">
        <v>29</v>
      </c>
      <c r="I2995" t="inlineStr">
        <is>
          <t>そっと肩を撫でてくれたり、足に身体を擦りつけるようにしたりします。；例にもれずとりあえず目を擦ってみるが目の前の光景は変わらなかった。；もし近くでこの光景を見ていた者があれば、擦ったと誤解しただろう。；九野のすぐ脇を擦り抜けたが、こちらにはまったく気づいていなかった。；もし蛇がそのように高音をたてたら、おそらくこんな擦音になるだろう。；かれは、軸の先端や擦り薬の面に指を触れないよう細心の注意を払った。；みな彼の傍へ擦りよる風にして、鼻さきに顔を近づけ物いう癖があった。；自分はそこにあった巻莨入から煙草を一本取り出して燐寸の火を擦った。；特に男たちに触れられたと思われる部分は皮が剥けそうになるほど擦った。；彼女は錠に手をかけず、左右の人さし指の爪を擦り合わせたのであった。；その猫は毎日わたしが帰ると門のところに居てからだを擦り寄せてくるんです。；そして村上の膝のかわりに男の股間を両足の中心に擦りつけさせていた。；でも、その場合には志保を殺して麻理に罪を擦りつけるんじゃないかな。；そしてその一方はすこし色がついて擦れているが、一方はまだ新しい。；またもや擦るような音が、こんどはトンネルのはるか前方から聞こえた。；そして、気がついた時には、刀を差した男が後へ廻って背を擦っていた。；けれども彼女がやったのは手袋で窓の染みを執拗に擦ることだけだった。；二十歳も近いのに、未だに初なところが抜けなく、擦れたところが無い。；細い脚を擦っている私の掌にぬるぬるとしたものが感じられていたからだ。；男はがっくりと首を床の上から畳に擦れ落ちたような音を耳にした。；ここにも抵抗を笑いに擦りかえる精神がしたたかに宿っているのをみた。；向うから、西洋の女が二人ペチヤクチヤ喋りながら擦れちがつて行つた。；絶叫したつもりだが、それは喉でひっかかる擦れ声にしかならなかった。；ではもう、浴場との境の擦ガラスの戸を開けて見るまでもありません。；座席の背擦りにも握り手が設けられ、立客を配慮したものとなっている。；しかし、眼をしばたたいても、擦っても塵は眼の中に入ったままだった。；遠くに、墜落したソリが完全に停止するまでに擦った跡が二ヵ所見えた。；雪を擦る橇の刃のたてる静かな音のほかは、何の物音も聞こえなかった。；父親の言うことに激しく首を振りながら、奥の壁に自分の体を擦りつけている。</t>
        </is>
      </c>
      <c r="J2995">
        <f>HYPERLINK("https://www.weblio.jp/content/擦る", "词义详情")</f>
        <v/>
      </c>
      <c r="K2995">
        <f>HYPERLINK("https://yourei.jp/擦る", "查看例句")</f>
        <v/>
      </c>
    </row>
    <row r="2996">
      <c r="A2996" t="inlineStr">
        <is>
          <t>個性</t>
        </is>
      </c>
      <c r="B2996" t="inlineStr">
        <is>
          <t>成功</t>
        </is>
      </c>
      <c r="C2996" t="inlineStr">
        <is>
          <t>読み方：こせい
個人または個体・個物に備わった、そのもの特有の性質。個人性。パーソナリティー。「—の尊重」「仕事に—を生かす」「—が強い打撃フォーム」
[補説]2016年に実施した「あなたの言葉を辞書に載せよう。2016」キャンペーンでの「個性」への投稿から選ばれた優秀作品。◆打たれることを恐れずに出す杭のこと。きむきむさん◆あなたがあなたである証拠。はりりさん◆私は私だ、という自信の源。チハルさん◆案外、本人よりも他人の方が、良く知っているもの。一二三茶さん◆他者からは指摘ができるが、自覚が難しい特性。gensekiさん◆強すぎても弱すぎても生きづらいもの。Sakuraさん◆絵の具と同じで、いろいろなものが混ざり合って出来上がる、同じ色は作れない自分だけのもの。ヒロリンさん◆相手や物をどのように褒めて良いかわからないときに使用する語。「—的な味ですね」川猫さん◆ひとりひとり違う正解があるということ。認めなければわからないもの。ひっちゃんさん</t>
        </is>
      </c>
      <c r="D2996" t="inlineStr">
        <is>
          <t>個性的(23%)；個性豊か(4%)；個性あふれる；個性溢れる；個性尊重</t>
        </is>
      </c>
      <c r="E2996" t="inlineStr">
        <is>
          <t>人；人物；キャラクター；性格；性質</t>
        </is>
      </c>
      <c r="F2996" t="inlineStr">
        <is>
          <t>無個性；強い個性；それぞれ個性；非個性的；特異な個性</t>
        </is>
      </c>
      <c r="G2996" t="inlineStr">
        <is>
          <t>個性派；個性派俳優；個性化；個性教育</t>
        </is>
      </c>
      <c r="H2996" t="n">
        <v>29</v>
      </c>
      <c r="I2996" t="inlineStr">
        <is>
          <t>作品の中には、二人の個性のうちの一方が強く反映されているものもある。；他の作戦級に比べると、兵器の個性が出るためか、一般にも人気が高い。；個性が強く異なる人物たちと共通の友人であったことは稀有なことである。；それぞれが自分のタレントとしての個性も活かしながら役を演じている。；体質は個性であると同時に、その人の病気へのかかりやすさも意味する。；そのため、婦人標準服とは少し違う個性的なデザインの服も作る人もいた。；キャラクターに好物を設定して個性を演出するのはその一例である。；なお、属性の設定には各キャラクターの個性・性格が反映されている。；個性が強く出る踊りであり、ソロでのコンテストが主催されることが多い。；これら個性的な声優陣によって作品の雰囲気に統一感が与えられた。；創造的精神で人類社会に貢献することができる個性がある人才を育てる。；個性的な多くのキャラクターがこのゲームの魅力となっている。；彼はまた次のようにも書いて、武蔵野の個性、唯一性を強調している。；共通機能はもちろんのこと、それぞれの個性のある端末となっている。；これに対して、個性的な人気俳優の主演する映画が人気を集めていたとする。；個性が強いメンバー同士のため仲違いする事もあればトラブルも起きる。；残された録音を聞いても、彼の個性が色濃く反映された演奏が多い。；ランゴバルド的な個性は徐々に消えていき、イタリア王国へと発展した。；単なる事実や日付だけでなく、各執筆者の精神の働きと個性に魅了される。；他にも個性的なたくさんのキャラクターが活き活きと描かれている。；ラジオの都合を無視した長尺の曲などは、彼らの個性の一つだった。；魅力を感じる声優の条件は、声の個性とそれに伴って出てくる説得力と存在感。；山田の指揮スタイルはかなり個性的であり、晩年になっても変わらなかった。；ただし、個性が強すぎることと、技能的に洗練されていないことが欠点。；しかし一般的なフレームを嫌い個性の強いデザインを求めていた。；ナチズムの理想とする教育は反主知主義と反個性主義に基づくものであった。；この辺りはユーザー各人の趣味の分野でもあるため、個性が如実に現れる。；専門店などでは多種多様で個性的なリフィルが用意されている場合もある。；しかし芭蕉と一茶とでは個性が大きく異なり、また時代背景も全く違う。</t>
        </is>
      </c>
      <c r="J2996">
        <f>HYPERLINK("https://www.weblio.jp/content/個性", "词义详情")</f>
        <v/>
      </c>
      <c r="K2996">
        <f>HYPERLINK("https://yourei.jp/個性", "查看例句")</f>
        <v/>
      </c>
    </row>
    <row r="2997">
      <c r="A2997" t="inlineStr">
        <is>
          <t>戸籍</t>
        </is>
      </c>
      <c r="B2997" t="inlineStr">
        <is>
          <t>成功</t>
        </is>
      </c>
      <c r="C2997" t="inlineStr">
        <is>
          <t>読み方：こせき
１各個人の家族的身分関係を明らかにするために記載される公文書。夫婦とその未婚の子で編成され、各人の氏名・生年月日、相互の続柄(つづきがら)などを記載し、本籍地の市町村に置かれる。旧制では、家を単位とし、戸主および一家を構成する家族で編成された。
２律令制下、氏姓の確定あるいは課税のためなどの目的で作られた文書。戸主名、戸口数、課口・不課口の別、受田額などを記し、6年に一度作成された。律令制の衰退とともに廃絶。</t>
        </is>
      </c>
      <c r="D2997" t="inlineStr">
        <is>
          <t>戸籍上(19%)；戸籍係(3%)；戸籍面；戸籍調べ；戸籍事務</t>
        </is>
      </c>
      <c r="E2997" t="inlineStr">
        <is>
          <t>籍；戸籍謄本；戸籍簿</t>
        </is>
      </c>
      <c r="F2997" t="inlineStr">
        <is>
          <t>戸籍帳；同一戸籍；朝鮮戸籍；戸籍関係；戸籍本署長官</t>
        </is>
      </c>
      <c r="G2997" t="inlineStr">
        <is>
          <t>戸籍法；戸籍名；戸籍簿；戸籍制度；戸籍抄本</t>
        </is>
      </c>
      <c r="H2997" t="n">
        <v>29</v>
      </c>
      <c r="I2997" t="inlineStr">
        <is>
          <t>思春期を生きるその少年は戸籍すらなくて学校に一度も通ったことがない。；戸籍上、清久は片山家当主であったこの祖母の養子となっていたらしい。；仕方なく区役所に戸籍を取りに行くと何と健吉は死亡した事になっていた。；住民基本台帳は記載されているが戸籍は記載されていない人物も存在し得る。；戸籍法の氏の変更の場合、その効果は同一戸籍に属するすべての者に及ぶ。；社会から追われる身分であるため、多くの喰種が戸籍を持っていない。；この他、戸籍の新設や離脱に伴う際にも新たな本籍地を設定する必要がある。；もっとも幼くして次男が亡くなったため、戸籍上は次男となっている。；ただし、次のような例外もあり、同一戸籍内に同名が存在することもある。；泉と同一の戸籍に登録されている伯父と泉との年齢差は8歳だった。；本人たちの姓は変わらないが、戸籍がどちらかの下に統合される。；戸籍の編成基準は一組の夫婦と氏を同じくする子とされた。；また、戸籍が作成された際には貢調使が提出するものとされていた。；これは、戸籍が読みではなく字を基準にした制度であるためである。；拠点を回遊し生活しており、人別帳や戸籍に登録されないことが多かった。；健介と北斗は戸籍上も夫婦であるが、中嶋は弟子であって実子ではない。；日本の戸籍の記録上死亡していないことになっていた例。；戸籍は戸主と家族を記載する家の登録から、個人の登録に変わった。；大韓民国でも戸籍は継承され、徴兵制度の運用もあり管理が厳しかった。；それを受理した戸籍係は戸籍の抹消業務及び火埋葬許可証の交付を行う。；重要なのは最古の戸籍である庚午年籍より前に五十戸があったことである。；戸籍の記録や出土品から、朝子塚古墳の一つ前の首長墓とされている。；戸籍上の正しい表記は西澤 俊夫で、こちらの表記が使われることも多い。；実際は姉との間に夭折した2番目の姉がおり、戸籍上は4姉妹の三女になる。；この際、戸籍上では母方の祖母の妹の養子となり、姓は延原となった。；その際、子はそれまでの戸籍に残ったままなので、子の姓もそのまま変わらない。；全民健保は台湾地区戸籍を有す者全員が強制加入する制度となっている。；この戸単位の住民把握のために作成された文書が戸籍である。；また性同一性障害者特例法に基づき戸籍変更を行う意向もあると発表した。</t>
        </is>
      </c>
      <c r="J2997">
        <f>HYPERLINK("https://www.weblio.jp/content/戸籍", "词义详情")</f>
        <v/>
      </c>
      <c r="K2997">
        <f>HYPERLINK("https://yourei.jp/戸籍", "查看例句")</f>
        <v/>
      </c>
    </row>
    <row r="2998">
      <c r="A2998" t="inlineStr">
        <is>
          <t>小銭</t>
        </is>
      </c>
      <c r="B2998" t="inlineStr">
        <is>
          <t>成功</t>
        </is>
      </c>
      <c r="C2998" t="inlineStr">
        <is>
          <t>読み方：こぜに
１細かいお金。少額の金銭。「—入れ」
２高額ではないが、ちょっとまとまったお金。「こつこつと—をためる」</t>
        </is>
      </c>
      <c r="D2998" t="inlineStr">
        <is>
          <t>小銭入れ(8%)；小銭徳次；小銭さん；小銭稼ぎ；小銭亨</t>
        </is>
      </c>
      <c r="E2998" t="inlineStr">
        <is>
          <t>変化；釣り；釣；小金；両替</t>
        </is>
      </c>
      <c r="H2998" t="n">
        <v>29</v>
      </c>
      <c r="I2998" t="inlineStr">
        <is>
          <t>あの辺で皆バス代出そうとするから、あの中によく小銭が落ちてるんだ。；犯人のポケットには小銭と、最近の血の跡が付いたナイフが入っていた。；老婦人は小銭入れを握り締めたまま玄関のドアを押して外に出て行った。；競馬場で溜めた小銭を数えてもらったら三十七万五千円ばかりになった。；おそらく客を乗せて小銭が手にはいるようになったからでござんしょう。；電話ボックスの中の小文は、バッグを開けて小銭を電話に投入していた。；確かに、韓国では小銭を使うのは一人前の男がすることではないとされる。；忙しく行きすぎる人々は、誰かが落とした小銭のことなど気にもしない。；彼が通勤に着用していた背広のポケットにほんの小銭が入っていた程度で。；上にポーンと投げ上げた小銭が、まだ下まで落ちてこないうちに殺された。；しかし父親は彼女にこっそりと一万円札といくらかの小銭を渡していた。；テーブルに小銭を投げ出す音と、ばたばたと店を出てゆく足音が続いた。；そんな時は家にある小銭を集めてパンを買って来て弟と食べた。；甘酒屋というからには、帳場の銭箱には小銭が多かったのではないのか。；それは三枚で、質の良いグロッシェン小銭二枚の値打ちしかないのです。；そして小銭がなかったので、棧橋のとなりにあるホテルへ入って行った。；かれはほかの客がテーブルの上に残していった小銭をさらいとった。；すると誰が一体小銭を殺したのか、そんなことは雅比古には考えられない。；ポケットの小銭入れに手をあて、椅子から立ち上がろうとしたときだった。；持っていた小銭を全部やってついて来た子供を帰すと、入口のドアを叩いた。；オーバーのポケットを探っても、わずかな小銭以外は発見できなかった。；それから私は三人の子供たちに小銭をすこし与えて、彼等と別れた。；四ピストルのスペイン金貨が六枚と、ほかに小銭が二三十枚ありました。；そこで小銭入れを同行のSさんのハンドバッグに入れてもらうことにした。；でも困ったわ、わたし、ユーロもマルクも小銭程度しか持ってないのよ。；かれはそのひとりに小銭を与えて、ミランをヨットに運ぶように言った。；丸い小銭ほどの光の輪のなかで無数の星のようなものがきらきらと光っていた。；ポケットを探しても、煙草はおき忘れてきたようだし、小銭もない。；小銭を探してズボンのポケットを掻き回すが、数枚の紙幣があるだけだ。</t>
        </is>
      </c>
      <c r="J2998">
        <f>HYPERLINK("https://www.weblio.jp/content/小銭", "词义详情")</f>
        <v/>
      </c>
      <c r="K2998">
        <f>HYPERLINK("https://yourei.jp/小銭", "查看例句")</f>
        <v/>
      </c>
    </row>
    <row r="2999">
      <c r="A2999" t="inlineStr">
        <is>
          <t>午前</t>
        </is>
      </c>
      <c r="B2999" t="inlineStr">
        <is>
          <t>成功</t>
        </is>
      </c>
      <c r="C2999" t="inlineStr">
        <is>
          <t>読み方：ごぜん
《「午」はうまの刻で、正午のこと》
１夜中の零時から正午までの間。⇔午後。
２夜が明けてから正午までの間。ひるまえ。⇔午後。</t>
        </is>
      </c>
      <c r="D2999" t="inlineStr">
        <is>
          <t>午前一(3%)；午前十；午前〇時；午前二；午前三</t>
        </is>
      </c>
      <c r="E2999" t="inlineStr">
        <is>
          <t>朝；モーニング；昼前；昼まえ</t>
        </is>
      </c>
      <c r="F2999" t="inlineStr">
        <is>
          <t>同日午前；午前〇；土曜午前；日曜午前；午前七</t>
        </is>
      </c>
      <c r="G2999" t="inlineStr">
        <is>
          <t>午前十時；午前二時；午前一時；午前九時；午前三時</t>
        </is>
      </c>
      <c r="H2999" t="n">
        <v>29</v>
      </c>
      <c r="I2999" t="inlineStr">
        <is>
          <t>明日は私は自作を午前の中に会場へ持って行かねばならないことになった。；午前に、夫人はお鶴を宿に残して置いて、独りで海の方へ歩きに行つた。；それ故、受験者全員が午前試験および午後試験を受けなければならない。；アメリカではこの日22日の午前から重要な同盟各国への通知が行われた。；海のあなたの岬には午前の淡い日影を受けた一部落の屋根が連つて居る。；午後の最終予選セッションは午前の走行と同様の良い天気の下行われた。；I部は午前を中心に、II部は午後を中心にそれぞれ授業が開講される。；当日は午前から雨となり、前年に続き重馬場で行われることになった。；その日も午前から午後へかけて少し頭の疲れる難読の書を読んだ後であった。；午前はあまり人が来ないのか、茶屋が開業しないのか、それもわからない。；彼はわたしに向って、八月廿九日の午前には必ず帰ってくれといった。；基本的には日中のみ運行されるが、午前のみ運行される日もある。；日本テレビの朝ニュース枠は、午前放送が開始した1957年から開始。；僕はこの部屋の隅の机に向かい、午前だけはちゃんと勉強します。；本作は平日午前の放送であったが、北部九州地区で高視聴率を記録した。；東京における生活は、午前は研究所、午後は焼絵をした工場で過ごした。；のび太は使用時に午前午後を逆転させて深夜に行動する羽目になった。；また同日の午前21時ごろに北側の前線に吸収される形で消滅した。；米国では2011年3月23日午前に放射能汚染地図などが公表された。；今日の午前転居してきたばかりで、誰にも知らせていないのだが。；そして私は晴れた風のない午前にはヴェランダに出ることが許されたのである。；民会は午前に終わることが多かったが、議論が続いた場合は夕方まで行われた。；昼夜間定時制で昼間の午前部と午後部、夜間の夜間部を設置する三部制。；アメリカ軍が実際に初めての臨検を行ったのは26日の午前である。；定時制は平成25年度より午前部・午後部・夜間部の三部制となった。；翌3月29日午前に再観測すると、攻撃地点からは濃い油帯が流れ出ていた。；これを午前午後の日課にする、或は一日の授業がこれで済んでもよい。；立憲民主党が設立された10月3日の午前、熊本県議会で動きがあった。；銀之助の送別会は翌日の午前から午後の二時頃迄へ掛けて開らかれた。</t>
        </is>
      </c>
      <c r="J2999">
        <f>HYPERLINK("https://www.weblio.jp/content/午前", "词义详情")</f>
        <v/>
      </c>
      <c r="K2999">
        <f>HYPERLINK("https://yourei.jp/午前", "查看例句")</f>
        <v/>
      </c>
    </row>
    <row r="3000">
      <c r="A3000" t="inlineStr">
        <is>
          <t>挙って</t>
        </is>
      </c>
      <c r="B3000" t="inlineStr">
        <is>
          <t>成功</t>
        </is>
      </c>
      <c r="C3000" t="inlineStr">
        <is>
          <t>読み方：こぞって
［副］《「こぞりて」の音変化》一人も残らず。全員で。「村中が—祭りを楽しむ」</t>
        </is>
      </c>
      <c r="D3000" t="inlineStr">
        <is>
          <t>満場一致で</t>
        </is>
      </c>
      <c r="H3000" t="n">
        <v>29</v>
      </c>
      <c r="I3000" t="inlineStr">
        <is>
          <t>当時砦に通った者達が挙って記録を遺していない事実は奇妙な程である。；それに有利なことにはほとんど一村挙ってこの仕事をする。；世挙って此を悲しみ此を壮とするに至っては疑なきを得ざるなり。；世の中が挙ってあんた達を悪口雑言することになるのだろうと思う。；体が幾つあろうが、あんただったら幾つもある体がみんな挙って楽な現場に行くでしょうな。；江戸時代には大店は挙ってこの道路沿いに店を構えたという。；諸将は無意味だと挙って反対したが、孫権は徐盛の偽城策を受け入れた。；新聞という新聞が挙って誘拐事件のことを書き立てているこんな時は。；米本家の親戚や、光代さんの友人たちは、挙ってこの結婚に反対であった。；この事件あってより尾張一藩は挙って勤王党に与することとなった。；斑組の首領は誰だかわからず、四人殺しの下手人も挙ってはいない。；飛行機乗り飛行機より落るや新聞紙必号外を出し世挙って之を悲しむ。；何んとなれば、この事実には日本の学者はもとより世界の学者が挙って落第であるからである。；日本メーカーは米国生産を軌道に乗せた後、ECの市場統合を前提に欧州に挙って進出した。；江戸時代中末期近くには全国の各藩が挙って藩学を起こし、武士の子弟はそこで教育を受けた。；「お島さんお島さん」と云って、周囲の人が、挙って自分を崇めているようにも見えた。；上下挙って西洋心酔となり、何事にも改良熱が充満していた。；人々は挙って拍手を送りながら、勝ち誇った彼の戦車の後を追って駈けだしてゆく。；村を挙って今日の珍客を見物に来ているのと知れた。；小学校や女学校に多数の独身を守られる婦人があってこそ教育界は実績が挙って参るのです。；全国民が挙って事変下の明治節を寿ぎ明治天皇の大業を仰いだのだという。；私は捜査の範囲を時期的にも地域的にも絞り込みたかったのだが、捜査員が挙って同じ意見だからどうにもならない。；戦敗の世は人挙って米の価を議するにいそがしく、花を保護する暇がないであろう。；デ、インドからラサ府へ帰ってみると、ますます私の名声が挙って来ました。；最初、教団側は挙って明慧寺のことは表沙汰にしたがらんかったようでなあ。；その後、東三河の諸家が挙って松平氏へ転属する事となっても事態を静観。；何でも余りに便通がないので、名古屋では挙って心痛したということであった。；荀淑が死んだ時には村人が挙って彼の祠を建てたという。；しかも彼が関ヶ原で敗れたので、徳川時代に出た諸書は挙って彼の悪声を放ったのだ。</t>
        </is>
      </c>
      <c r="J3000">
        <f>HYPERLINK("https://www.weblio.jp/content/挙って", "词义详情")</f>
        <v/>
      </c>
      <c r="K3000">
        <f>HYPERLINK("https://yourei.jp/挙って", "查看例句")</f>
        <v/>
      </c>
    </row>
    <row r="3001">
      <c r="A3001" t="inlineStr">
        <is>
          <t>ご存知</t>
        </is>
      </c>
      <c r="B3001" t="inlineStr">
        <is>
          <t>成功</t>
        </is>
      </c>
      <c r="D3001" t="inlineStr">
        <is>
          <t>ご存知ない(10%)；ご存知なかった；ご存知ありません；ご存知じゃありませ</t>
        </is>
      </c>
      <c r="E3001" t="inlineStr">
        <is>
          <t>仲間；知り合い；知人；近づき；ご存じ</t>
        </is>
      </c>
      <c r="F3001" t="inlineStr">
        <is>
          <t>みなさんご存知；すでにご存知；皆さんご存知；どうしてご存知；何もかもご存知</t>
        </is>
      </c>
      <c r="G3001" t="inlineStr">
        <is>
          <t>ご存知遠山の金さん；ご存知時代劇</t>
        </is>
      </c>
      <c r="H3001" t="n">
        <v>29</v>
      </c>
      <c r="I3001" t="inlineStr">
        <is>
          <t>私はあなた以外のなにものも愛していないことはよくご存知のはずです。；ご存知のように、この二人はどちらも多少私の子供のようなものでした。；あなたがどこにいるのか、お仲間の先生は誰もご存知ないようでしてね。；歌そのものは知っていても、それ以上のことはご存知ないと思いますね。；もっとも、それだけの価値があることをご存知なかったのかもしれぬが。；あいつはご存知のようにぼくの顔を見るのも嫌になってるらしいですからね。；その頃のことをご存知の方たちも、だんだん少なくなってまいりました。；どんな内容だったのか、ご存知のことを教えていただけないでしょうか?；新聞などでご存知のかたも多いだろうが、ブラジルには死刑制度がない。；あんたもご存知のように、あの鉄道はこのオハイオ州を通っております。；マレーシアで夢のような計画が持ち上がっていることをご存知だろうか。；非常に長い旅行をすると、どんなことになるかはあなたもご存知でしょう。；この顔と名前の人物をご存知でしたらその人の元へこの手紙をお送り下さい。；既に多くの読者の方々もご存知であるように、僕は原稿を書くのが遅い。；奥さんはダグラスさんのイギリス時代だけしかご存知ないのでしたね?；今日、貴族が、どんなに激しく追求されているかはご存知のとおりです。；あなたはご存知でしょう、彼はあなたの奥さんと一緒に出かけたんでしょう?；パレー・ロワイアルにはこういった古いお店があるのをご存知ですね。；前田氏に至急連絡を取りたいのですが、居所をご存知ではありませんか。；またここに記載されていない情報源をご存知の方はぜひ追加してください。；社長もご存知だと思いますが、訴状を無視したら裁判は負けですから。；あれはみなさんもご存知のことですから、ここでは省略いたしましょう。；ご存知のとおり、私って女はドレスのことなんか全然興味ない女でしょ。；ご存知の通り、銀河パトロールはこの戦いに完全なる勝利を収めました。；「私の名前をご存知なようだが」老人は、意外にしっかりした声で言った。；殿は金のあることをご存知ないから、その手に乗らないですんだ形ではある。；この件についてご存知のことを今話してくださる元気がおありでしょうか?；それから奥さまもご存知の代書人も同じ事件に巻き込まれていたのです。；ご存知の通り実際にはそんなもんありませんが、とにかくあったとするのです。</t>
        </is>
      </c>
      <c r="J3001">
        <f>HYPERLINK("https://www.weblio.jp/content/ご存知", "词义详情")</f>
        <v/>
      </c>
      <c r="K3001">
        <f>HYPERLINK("https://yourei.jp/ご存知", "查看例句")</f>
        <v/>
      </c>
    </row>
    <row r="3002">
      <c r="A3002" t="inlineStr">
        <is>
          <t>固体</t>
        </is>
      </c>
      <c r="B3002" t="inlineStr">
        <is>
          <t>成功</t>
        </is>
      </c>
      <c r="C3002" t="inlineStr">
        <is>
          <t>読み方：こたい
物質が示す三つの状態の一。一般的には、一定の形と体積とを保ち、外から加えられる力に抵抗する性質をもっている物体。→液体→気体</t>
        </is>
      </c>
      <c r="D3002" t="inlineStr">
        <is>
          <t>固体表面(3%)；固体化(2%)；固体中；固体状態；固体推進剤</t>
        </is>
      </c>
      <c r="E3002" t="inlineStr">
        <is>
          <t>図形；固形；ソリッド；固形体</t>
        </is>
      </c>
      <c r="F3002" t="inlineStr">
        <is>
          <t>白色固体；半固体；固体潤滑剤；固体ブースター；固体成分</t>
        </is>
      </c>
      <c r="G3002" t="inlineStr">
        <is>
          <t>固体燃料ロケット；固体ロケット；固体物理学；固体ロケットブースター；固体電解質</t>
        </is>
      </c>
      <c r="H3002" t="n">
        <v>29</v>
      </c>
      <c r="I3002" t="inlineStr">
        <is>
          <t>固体にはガラスのように透明なものと金属のように不透明なものがある。；野生の固体の果実は栽培されたものより小さいが、味は良いことが多い。；これを更に濃縮を進めて固体状になったものがメープルシュガーである。；体積は通常は固体状態よりも大きいが、この著名な例外として水がある。；固体化合物は様々なので、それに応じて多様な方法が調合に用いられる。；また精神的なストレスで固体の状態を一時的に失わせる類の攻撃にも弱い。；このようなディスパージョンは純粋な固体よりも取り扱いが安全である。；また基本的には固体や液体の温度が低い様子を表す時に用いるのも同様である。；これは固体がポーラロンの性質を持つことの最も明白な証拠の一つである。；液体及び固体状態では効率的な水素結合のネットワークを形成している。；固体研究のための応用が見つかり、物質上の光の力学的な力が研究された。；ロケット弾のものはコストの関係から主に固体式の場合がほとんどである。；電子移動度とは、固体の物質中での電子の移動のしやすさを示す量である。；ここでの仮定は固体中でも理想気体中のように電子が自由に動くことである。；常温では固体なのでエンジンの始動前に予熱して液化する必要があった。；英語では が使われるが、気体から固体への変化を特に と呼ぶこともある。；固体を気体に変化させるために必要な熱は昇華熱または昇華潜熱という。；固体でも熱や圧力など外部作用により流動する状態に変化できていればよい。；明赤色の液体が紫色の固体に変化するのを目で確認することができる。；核は地球の内核と外核のように、固体と液体に分離していると見られている。；オイルに至っては、常温では固体となってしまう製品を使用している。；通常の固体では、電子のスピンは周囲の電子のスピンと逆向きである。；温度が高いと推測され、固体になるほどの圧力を受けていない。；一方、固体から液体に変わる融点は気化ほど周囲圧力の影響を受けない。；完全に固体相のみになると再び系の温度は低下していく。；常温で液体の油脂は油を指し、一方で脂肪と呼ぶとき固体のこともある。；しかし分子は比較的固定されているため、通常は固体に分類される。；このような固体状態での構造は、非極性溶媒中でも維持されている。；地質学は地球を構成する固体や液体について研究する科学の一分野である。</t>
        </is>
      </c>
      <c r="J3002">
        <f>HYPERLINK("https://www.weblio.jp/content/固体", "词义详情")</f>
        <v/>
      </c>
      <c r="K3002">
        <f>HYPERLINK("https://yourei.jp/固体", "查看例句")</f>
        <v/>
      </c>
    </row>
    <row r="3003">
      <c r="A3003" t="inlineStr">
        <is>
          <t>古代</t>
        </is>
      </c>
      <c r="B3003" t="inlineStr">
        <is>
          <t>成功</t>
        </is>
      </c>
      <c r="C3003" t="inlineStr">
        <is>
          <t>読み方：こだい
［名］
１古い時代。大昔。いにしえ。「—の物語」
２歴史の時代区分の一。原始時代と中世との間。日本史では、一般に奈良時代・平安時代をさすが、大和政権時代を含むこともある。世界史では、原始社会のあと、封建社会の成立までの時代をいう。
［名・形動ナリ］
１古めかしいこと。また、そのさま。古風。昔風。
「—なる人ありて、なほ、とかしこまりて書かすれば」〈かげろふ・上〉
２年寄りじみていること。また、そのさま。
「其の比ほひまでは人の心も—なりけるに」〈今昔・二九・一二〉</t>
        </is>
      </c>
      <c r="D3003" t="inlineStr">
        <is>
          <t>古代王国；古代以来；古代寺院；古代文化；古代文字</t>
        </is>
      </c>
      <c r="F3003" t="inlineStr">
        <is>
          <t>超古代；古代種；古代ペルシア；古代彫刻；古代マヤ</t>
        </is>
      </c>
      <c r="G3003" t="inlineStr">
        <is>
          <t>古代ギリシア；古代エジプト；古代中国；古代ギリシャ；古代史</t>
        </is>
      </c>
      <c r="H3003" t="n">
        <v>29</v>
      </c>
      <c r="I3003" t="inlineStr">
        <is>
          <t>歴史は古く、古代からこのような職業が存在していたと考えられている。；このような銭の形状は、中国古代の半両銭に由来するものとされている。；古代のアテネであるアテナイは強力な都市国家であったことで知られる。；古代の哲学者たちはしばしば現代でいう論理学者や数学者を兼ねていた。；信仰のために死を選んだ最初期の例は古代のユダヤ教にみることができる。；現在に至るまで古代に起源を持つこの水路が使われている地域も多い。；古代王国の後期には、魔法に力により幾多の特殊な都市が作られている。；古代から丹波国の中心であり続けた亀岡市長からは反対の声がなかった。；日本でも古代から赤い真円で太陽を表すことは一般的ではなかったと思われる。；現代においてこのような伝承、古代の証言を支持するのは少数派である。；東ヨーロッパではスラブ宗教の古代の伝統が一神教の要素を含んでいた。；古代から使われ続けてきた旧東成郡を区名として現在に継承している。；もともと、集団ごとの差異を論じるのはエジプトの古代絵画にも見える。；古代から近代に至るまで中国人の倫理規定の最重要項目となってきた。；宗教的にも歴史が深く古代信仰の形体を知る上でも重要な地区である。；また、精度の悪い古代の観測結果を説明するために、消長法を採用した。；古代から何らかの境界を表すものとして石がおかれることがあった。；同時期に古代教会内でも正典化の議論が本格化したと推定される。；古代的な牧歌的天皇像を当てはめることで近代天皇像への批判となる。；特に動物に関する体系的な研究は古代世界では東西に類を見ない。；古代・中世の人口統計は残っている方がまれであり、その信頼性も低い。；こうした学説では古代とは奴隷が生産の主体を担った発展段階と定義される。；古代より原始信仰の対象であったとされているが、その始まりは諸説ある。；古代より政権を握ったものが反対者を反乱者として処刑する事は珍しくなかった。；これらのテーマは古代や中世に作られた南アジアのコインにも描かれている。；祖先を篤く敬う中国では、古代から家中で最も重要な場所とされていた。；このように、古代では火は物質であるとする捉え方が多かった。；古代以来の各時代や社会と建築の関係、工法の発達などを研究する。；古代以来の哲学者たちがそれをどのように理解し説明してきたか、次に挙げる。</t>
        </is>
      </c>
      <c r="J3003">
        <f>HYPERLINK("https://www.weblio.jp/content/古代", "词义详情")</f>
        <v/>
      </c>
      <c r="K3003">
        <f>HYPERLINK("https://yourei.jp/古代", "查看例句")</f>
        <v/>
      </c>
    </row>
    <row r="3004">
      <c r="A3004" t="inlineStr">
        <is>
          <t>答え</t>
        </is>
      </c>
      <c r="B3004" t="inlineStr">
        <is>
          <t>成功</t>
        </is>
      </c>
      <c r="C3004" t="inlineStr">
        <is>
          <t>読み方：いらえ
こたえること。返事。
「中からすぐ—があった」〈山本有三・波〉</t>
        </is>
      </c>
      <c r="D3004" t="inlineStr">
        <is>
          <t>答えられ(2%)；答えまし；答えたく；答えなさい；答えさせ</t>
        </is>
      </c>
      <c r="E3004" t="inlineStr">
        <is>
          <t>反応；解決；返事；返し；応え</t>
        </is>
      </c>
      <c r="F3004" t="inlineStr">
        <is>
          <t>短く答え；笑いながら答え；正しい答え；明確な答え；答えにくい質問</t>
        </is>
      </c>
      <c r="G3004" t="inlineStr">
        <is>
          <t>答えよ；答えれ；答えろ；答えん；答えりゃ</t>
        </is>
      </c>
      <c r="H3004" t="n">
        <v>29</v>
      </c>
      <c r="I3004" t="inlineStr">
        <is>
          <t>情報の構成要素を分解・分析する技術によって答えがでるとされている。；虚数があれば答えのない問題にも答えを与えることができると示している。；その結果、漫画を描いた背景には「アニメ化されたから」と答えている。；議会は繰り返し結婚を請願したが、彼女は常に言葉を濁して答えていた。；そして、松本は薬師丸に書いたすべての曲に満足していると答えている。；しかし彼に直接話しかけて、答えが返ってくることはほとんど無かった。；しかし、岡田は今回答えられなかったために罰ゲームを受けてしまった。；しかし、問われるたびに違った答えを話したため、今なお混乱がある。；文全体でこのスコアの合計がもっとも高くなるような品詞列を答えとする。；ウェブは読んだことはないと答え、証人席にいる部下たちに次を譲った。；総主教との約束を思い出したガガーリンはさきほどとは違うことを答えた。；その答えを泥まみれになりながら選手と共に探してやるのが指導者の務め。；その時彼女は「私をお望みなら、名前も採用してください」と答えている。；議論するには疲れ過ぎ、体調も悪すぎたので、私は何も答えられなかった。；しかし皆それに答えられず、ブランディアがここにはいないと答えた。；国境のことを聞かれて思わず壁について答えてしまったのである。；中国伝統楽器を始めたきっかけはメンバーのほとんどが友達や周囲の影響だと答えている。；なぜ嘆いているのかを問うと故郷の父母が恋しいからだと兄媛は答えた。；この中で家康は、この方法は存命中の秀吉に直接聞いたものだと答えたという。；シャーマンは苦痛にもがきながら「誰がやったかわからない」と答えた。；アルキメデスもすぐには答えられず、いったん家に帰って考えることにした。；簡単なプログラムでシミュレーションを行い、答えを導くこともできる。；答えを渋るローパーの目の前に待っていたのはウィリアムズの死体だった。；また、3人に1人が「より将来性のある組織で働きたい」と答えている。；メイドが良く眠れたかと尋ねると、長い間良く眠ってはいないと答えた。；祖母は、彼の行為が自分の利益のためではなかったと答えた。；偶然にも池田の死の前日に同作で別のインタビューに答えていた。；後のインタビューでこの事件について聞かれた彼はこう答えた。；サラディンは訳を訊ねるが弟は答えず、彼の言う通りに捕虜を与えてやった。</t>
        </is>
      </c>
      <c r="J3004">
        <f>HYPERLINK("https://www.weblio.jp/content/答え", "词义详情")</f>
        <v/>
      </c>
      <c r="K3004">
        <f>HYPERLINK("https://yourei.jp/答え", "查看例句")</f>
        <v/>
      </c>
    </row>
    <row r="3005">
      <c r="A3005" t="inlineStr">
        <is>
          <t>答える</t>
        </is>
      </c>
      <c r="B3005" t="inlineStr">
        <is>
          <t>成功</t>
        </is>
      </c>
      <c r="C3005" t="inlineStr">
        <is>
          <t>読み方：いらえる
［動ア下一］［文］いら・ふ［ハ下二］返事をする。こたえる。
「声をかくれば、『ヘイ』と—・えて」〈逍遥・当世書生気質〉</t>
        </is>
      </c>
      <c r="D3005" t="inlineStr">
        <is>
          <t>答えるだろ；答えるべき；答えるしかない；答えるべく；答えるほかなかった</t>
        </is>
      </c>
      <c r="E3005" t="inlineStr">
        <is>
          <t>反応；解決；返事；回答；返答</t>
        </is>
      </c>
      <c r="F3005" t="inlineStr">
        <is>
          <t>こう答える；どう答える；何と答える；短く答える；笑って答える</t>
        </is>
      </c>
      <c r="H3005" t="n">
        <v>29</v>
      </c>
      <c r="I3005" t="inlineStr">
        <is>
          <t>当時の捜査課長がインタビューに答える形で改めて事故説を主張した。；巡査はしばらく前からここにいるが、通ったのは一人の女だけと答える。；すると彼女は無料にしてあげるつもりで「あとの方でいいわ」と答える。；ただし問題番号ではなく、日本を分割した10エリアを指定して答える。；その部分は口の動きだけ見て、何を言っているのかを推測して答える。；だから由美子が一番好きだった色を答えろと言われても、僕は困るのだ。；そして彼の後期の営みこそ、後者の問いに答える哲学であるとしている。；そして彼は自分の難問に答えるためにソクラテス式問答法を使い始めた。；番組に日々寄せられる視聴者からの調査依頼に番組が取材をして答える企画。；これはカルデックの質問に数人の霊が答えるという形式で書かれている。；これに対して、前の人は自分の方が多いか・同じか・少ないかを答える。；その回のテーマとなる相談に生協の白石さんのように答えるコーナー。；話を聞いた吉兵衛は、お金さえ用意できれば俺が会わせてやると答える。；まず、ロシアを表す主題が呈示され、次に東洋風の主題がこれに答える。；リーダーは時間内に残る全ての単語を答えることができればポイント獲得。；反対に制度上、大統領は議員の質問に答える義務がないとされる。；男性は80人が、女性は25人が先週ビールを飲んだと答えるとしよう。；私はそれに答えることは出来ないし、理由はトムだけが知っている。；同じ物体なのか、鏡映像なのかを速く正確に答えることが求められる。；ランダムに指名された人は、7秒以内にリーダーが指定した問題に答える。；そもそもどのようにしたら答えることができるのかを示すための努力を行うこともなかった。；これは、外部からの批判に答える形でニール自身がその著書の中に書いている。；イヴァンは皇帝が正式に即位すれば二人の結婚を認めようと答える。；ただし、月末はリスナーからのメールを読んでそれに答える形式となる。；などの疑問に答えることの出来るのは後者のみである。；一方、日本では質問に答えるだけで計算できる金融電卓が主流である。；攻撃側全員が答えた後、ブロック側は全員で相談して1回だけ答える。；このような関心に答える一連の知識体系を、メディアリテラシーという。；調査期間は1日で、特設サイトを通じて質問に答えるようになっている。</t>
        </is>
      </c>
      <c r="J3005">
        <f>HYPERLINK("https://www.weblio.jp/content/答える", "词义详情")</f>
        <v/>
      </c>
      <c r="K3005">
        <f>HYPERLINK("https://yourei.jp/答える", "查看例句")</f>
        <v/>
      </c>
    </row>
    <row r="3006">
      <c r="A3006" t="inlineStr">
        <is>
          <t>応える</t>
        </is>
      </c>
      <c r="B3006" t="inlineStr">
        <is>
          <t>成功</t>
        </is>
      </c>
      <c r="C3006" t="inlineStr">
        <is>
          <t>読み方：いらえる
［動ア下一］［文］いら・ふ［ハ下二］返事をする。こたえる。
「声をかくれば、『ヘイ』と—・えて」〈逍遥・当世書生気質〉</t>
        </is>
      </c>
      <c r="D3006" t="inlineStr">
        <is>
          <t>応えるべく(5%)；応えるべき；応える働きを見せ</t>
        </is>
      </c>
      <c r="E3006" t="inlineStr">
        <is>
          <t>反応；満足；答える；満たす；払う</t>
        </is>
      </c>
      <c r="F3006" t="inlineStr">
        <is>
          <t>振って応える；笑って応える；短く応える</t>
        </is>
      </c>
      <c r="H3006" t="n">
        <v>29</v>
      </c>
      <c r="I3006" t="inlineStr">
        <is>
          <t>少女は手を伸ばし助けを求めるが、彼はそれに応えることが出来なかった。；研究で目標とした要求に応えるにはユニットは400個以上が必要となる。；また開発専門の人の 要求にも応える高い応用性の両面を備えている。；この信用需要に応えるにはロンドンで大量の黄金を購入するしかなかった。；読者視聴者の妄想像に応えるために笑顔を見せる仕事となることも多い。；これらの要素を組み合わせて乗客のニーズに応えることが求められる。；理論を応用し、社会的要請に応えることが目的の学部とは異なる面がある。；これらの要求に応えるために用いられる薬剤を、総称して難燃剤という。；その期待に応える好投を見せ、オールスターのメンバーにも選出された。；だが、事情は全て理解しているから話す必要はないとリックは応える。；後に、西日本地区での需要に応えるため神戸市に物流拠点が新設された。；この制度は移住人口の増加で急速に変化する市民の需要に応えるために発展させられた。；途中の歴史経緯の中で閉店を計画したがファンからの要望に応える形で存続。；開発社会学は、こうした批判に応える可能性を十分に持っていると言える。；逆に呼び出された側がいつどのようにして応えるかを決定する。；生徒から浴びせられる様々な質問に応えるために自身も知識を深めていった。；ゲームのテーマは、ビールを流通させて市場の顧客の需要に応えることである。；ブレンド用として様々な要求に応えるために多くの品種が栽培されている。；彼はそのニーズに応えるために、法家とならざるを得なかったからである。；寺内町はそのような需要にも応える事が出来たと思われている。；その期待に応えるかのように、この選出は過去数十年で最もスムーズに行われた。；従って尾口発電所の新設は京都電灯の需要増加に応えるためのものである。；センターは他の欧州連合機関の翻訳需要に応えるため設立される。；この学校は州内の高まる教育需要に応えるために教師を育てた。；この要望に応えるには、前工程に戻って進捗度を戻さざるをえなくなる。；協力してくれる人達に応える事が出来なくとても悔しい思いをしたと語っていた。；ソクラテス的発問とは、元の質問に対して質問で応えることを意味する。；様々な需要に応えるため、量などを違えた様々な削り節が市販されている。；主に週代わりのコーナーと、市民からの要望に応えるコーナーに分かれる。</t>
        </is>
      </c>
      <c r="J3006">
        <f>HYPERLINK("https://www.weblio.jp/content/応える", "词义详情")</f>
        <v/>
      </c>
      <c r="K3006">
        <f>HYPERLINK("https://yourei.jp/応える", "查看例句")</f>
        <v/>
      </c>
    </row>
    <row r="3007">
      <c r="A3007" t="inlineStr">
        <is>
          <t>こたつ</t>
        </is>
      </c>
      <c r="B3007" t="inlineStr">
        <is>
          <t>成功</t>
        </is>
      </c>
      <c r="C3007" t="inlineStr">
        <is>
          <t>読み方：こたつ
熱源をやぐらでおおい、その上に布団を掛けて暖をとるもの。切りごたつ（掘りごたつ）・置きごたつ・電気ごたつなど。《季冬》「下戸一人酒に逃げたる—哉／太祇」</t>
        </is>
      </c>
      <c r="D3007" t="inlineStr">
        <is>
          <t>こたつ布団(3%)；こたつ机；こたつテーブル；こたつ列車；こたつ掛け</t>
        </is>
      </c>
      <c r="E3007" t="inlineStr">
        <is>
          <t>炬燵；コタツ；火燵；置炬燵；電気炬燵</t>
        </is>
      </c>
      <c r="G3007" t="inlineStr">
        <is>
          <t>こたつホース；こたつ記事</t>
        </is>
      </c>
      <c r="H3007" t="n">
        <v>29</v>
      </c>
      <c r="I3007" t="inlineStr">
        <is>
          <t>女の子はこたつの台を机代わりにして学校の宿題をしていたかもしれない。；こたつ布団の中へ指を入れると、足を吐き捨てて期待通りに噛んできた。；こたつの熱に暖まったそこは、まだ冷たいアキトの指にには熱いほどだ。；ちなみにこたつの外側にはそれぞれ吐き出す用のバケツが用意されている。；彼らの談笑の声はこたつにかじりついていた町の人々の耳を打った。；後には、気の弱そうな相棒がこたつに背中を丸くしている姿だけが残った。；人々はこたつにもぐりこんで、あれやこれやと早稲田の人々を惜しんだ。；こたつブトンのすぐ横に、まだバッグの中身の小さなものが落ちている。；彼はこたつの向い側に坐って、精神病看護の本に首をつっこんで読んでいる。；秋穂はこたつの中に足を入れたままで、その仕草をじっと見ていた。；三人と一匹は、テーブルではなくこたつで、正月の祝い膳を囲んでいた。；「ただいま」 部屋に戻ると、こたつに入っているひなたの姿が見えた。；次の日一日、何もせずに、こたつの中で新聞や、雑誌や、本を読んで過した。；俺もこたつに入って、テレビを眺めながら、ひなたと一緒の時間を過ごした。；こたつに入って夕食をとっている時、ハルオがバイトを始めると言いだした。；興奮冷めやらずに家に戻ると、ニキビ面の息子がこたつで口を開けて眠っていた。；乾燥蘭草を刻んで袋に入れ、香袋としてこたつに吊す利用もされていた。；「テレビでも見てて」と言われ、九野はこたつに足を入れたまま転がった。；とはいえ、それなりに寒くはなるため、中にはこたつを使う住民もいる。；七月も二十日をすぎると、朝夕は、こたつに火でもほしいくらいである。；夏だからこたつの電熱器は取り外されていて、テーブル代わりに使われていた。；こたつの上に置かれた水槽の中でも、カメが手足を引っ込めて眠っていた。；結局そのほうが気楽なものですから、幸作は、こたつに入って寝ていました。；部屋に入るなりミネは襟まきもとらずに、こたつに顔を伏せて泣いた。；聞いているうちに、こたつの中で眠ってしまったようだ。；こたつ板の上の急須を取り上げた時、その軽さからふと口に出た呟きであった。；二郎は、家へ走り帰ってこたつの中へもぐり込んで、小さくなっていました。；ぴょんとこたつの上から飛び降りると画面からいったん姿を消した。；このこたつに入って何かしたいことをつぶやくと、それを自動的にやってくれる。</t>
        </is>
      </c>
      <c r="J3007">
        <f>HYPERLINK("https://www.weblio.jp/content/こたつ", "词义详情")</f>
        <v/>
      </c>
      <c r="K3007">
        <f>HYPERLINK("https://yourei.jp/こたつ", "查看例句")</f>
        <v/>
      </c>
    </row>
    <row r="3008">
      <c r="A3008" t="inlineStr">
        <is>
          <t>こだわり</t>
        </is>
      </c>
      <c r="B3008" t="inlineStr">
        <is>
          <t>成功</t>
        </is>
      </c>
      <c r="C3008" t="inlineStr">
        <is>
          <t>１こだわること。拘泥(こうでい)。「なんの—もなくつきあう」
２（「こだわりをつける」の形で用いる）文句を言うこと。難癖。
「宿所(うち)なら—を付けてやるんだけれども」〈二葉亭・浮雲〉
[補説]1は近年、「こだわりの一品」のように肯定的な意味でも用いる。→こだわる2</t>
        </is>
      </c>
      <c r="D3008" t="inlineStr">
        <is>
          <t>こだわり続け(4%)；こだわりすぎ；こだわりなく；こだわりつづけ；こだわりたい</t>
        </is>
      </c>
      <c r="E3008" t="inlineStr">
        <is>
          <t>執念；拘り；執着心</t>
        </is>
      </c>
      <c r="F3008" t="inlineStr">
        <is>
          <t>こだわり過ぎ；妙なこだわり；特別なこだわり；深いこだわり；あまりこだわり</t>
        </is>
      </c>
      <c r="G3008" t="inlineStr">
        <is>
          <t>こだわり酒場のレモンサワー；こだわりナビ；こだわりハーフタイム</t>
        </is>
      </c>
      <c r="H3008" t="n">
        <v>29</v>
      </c>
      <c r="I3008" t="inlineStr">
        <is>
          <t>登場人物たちの話す言葉は、作者の強いこだわりをもって描かれている。；これらの工程を行った上で茹でたてを出すことにこだわりを持っている。；外国人が日本語で歌詞を書き、歌うことにこだわりを持って日々活動中。；欧米では一般的には、日本人ほどには家族の遺体にこだわりを持たない。；そして樋口同様、加藤自身もシングルバスに強いこだわりを持っている。；ただし携帯電話だけは白しか購入しないというこだわりを持っている。；自身は打順にはこだわりはなく、試合に出場することを重視していた。；西島監督のこだわりから登場するパンツはすべて白で統一されている。；音にこだわっていたとはいえども、非常に日本的なこだわり方でね。；映像に強いこだわりを見せる監督で、熱烈なファンが数多く存在する。；スピードにもこだわりを見せ後のスラッシュメタルバンド達にも影響を与えた。；一貫してコメディにこだわりながら、全公演の作・演出を手掛けている。；映像の美しさにこだわり、映画撮影に使われるカメラを使用することもあるという。；こだわりの要因が非常に強く、様々な病気を引き起こすことがよく知られる。；健康にこだわりがあり、顎鬚を雨から守るための特別製のカバーを作らせていた。；虎の毛を描くため、刷毛に似た筆を自作するほどのこだわりようであった。；本全集の最大の特徴として、版問題への特別なこだわりが挙げられる。；それゆえに熱狂的なファンが多く、エンジニアにも特別のこだわりがある。；しかしそれにこだわりすぎたり、円滑なプレーの進行を妨げてはならない。；独自のタルタルソースと胸肉のみを使うことにこだわりを持っている。；解散まで事務所、レーベルに所属せず独自の活動にこだわり続けた。；ただ、その中でもしっかりとエロを描くところに作者のこだわりが感じられる。；特定の分野への強いこだわりを示し、運動機能の軽度な障害が見られることもある。；打撃へのこだわりなど奇人めいたものを持つところまで共通している部分はある。；この戦いでの、フランスの捕虜への条件のこだわりが、その一因となっていた。；タレント色が強くなっている里田だが、歌手へのこだわりは強い。；ずっと過去にこだわり続け、復讐を果たすほうが説得力を持つのではないか。；また、芸に対する真剣さやこだわりも起用の決め手となっているという。；対戦相手やイベントなどに合わせてペイントを変えるなどこだわりをもった。</t>
        </is>
      </c>
      <c r="J3008">
        <f>HYPERLINK("https://www.weblio.jp/content/こだわり", "词义详情")</f>
        <v/>
      </c>
      <c r="K3008">
        <f>HYPERLINK("https://yourei.jp/こだわり", "查看例句")</f>
        <v/>
      </c>
    </row>
    <row r="3009">
      <c r="A3009" t="inlineStr">
        <is>
          <t>こだわる</t>
        </is>
      </c>
      <c r="B3009" t="inlineStr">
        <is>
          <t>成功</t>
        </is>
      </c>
      <c r="C3009" t="inlineStr">
        <is>
          <t>［動ラ五（四）］
１ちょっとしたことを必要以上に気にする。気持ちがとらわれる。拘泥(こうでい)する。「些細(ささい)なミスに—・る」「形式に—・る」
２物事に妥協せず、とことん追求する。「素材に—・った逸品」
３つかえたりひっかかったりする。
「それ程—・らずに、するすると私の咽喉を滑り越したものだろうか」〈漱石・硝子戸の中〉
４難癖をつける。けちをつける。
「郡司師高—・って埒(らち)明けず」〈浄・娥歌かるた〉
[補説]2は近年の用法。</t>
        </is>
      </c>
      <c r="D3009" t="inlineStr">
        <is>
          <t>こだわることなく；こだわるべき</t>
        </is>
      </c>
      <c r="E3009" t="inlineStr">
        <is>
          <t>拘泥する；固着する</t>
        </is>
      </c>
      <c r="F3009" t="inlineStr">
        <is>
          <t>強くこだわる；あまりこだわる；それほどこだわる；ひどくこだわる</t>
        </is>
      </c>
      <c r="H3009" t="n">
        <v>29</v>
      </c>
      <c r="I3009" t="inlineStr">
        <is>
          <t>母親の写真が一枚もないことに私がこだわらなかったといえば嘘になる。；自らの意思で音楽にこだわるようになったのは中学生の頃であるという。；しかしどうして己はこんなに死にこだわるのだろう、と私は考えていた。；それにまた、この僕の立派な服にこだわらないようにしていただきたい。；そして、とくにその過去にこだわろうとする自分の癖にも気づいている。；お前の方で内心こだわっていては困ると思うて、わざと聞いてみたのだ。；これが全くこだわらなくなる頃にはもう花が見られなくなるかもしれない。；だからね、一生一つの町だの村だのにこだわる必要はないと思うんだよ。；それぐらい、ひとつの事件にこだわる新聞記者がいてもいいではないか。；が彼はそれらのことにこだわらないで、なお進んでいって案内を求めた。；もしくはこだわらずにいられぬように宿命づけられているのでしょうか。；これは自分が与えられた命令にこだわっているせいだろうと思った。；このような手法にこだわったため、制作には翌1867年までかかった。；従来の伝統にこだわらない新しい発想による曲も数多く発表されている。；最初から半分勝ってると、勝ち負けなんかにはこだわらなくなるんだよ。；仕事の種類なんて全然こだわらないわ、私に出来ることならやりましょう。；大きさにはこだわらないので、エチゼンクラゲなどもこれに含めてよい。；数字そのものにこだわるから、今までのように珍無類の解釈が生まれる。；けれども、そのために昨夜のことにこだわっているわけではなかった。；私は、これから、こだわらずに、あなたを先生と呼ぶ事が出来そうです。；それに、なぜこの刑事がそんなことにこだわるのかもわからなかった。；しかし、その反面、アニメや人形にこだわる幼い面も見せていたものだ。；一体どうしてそこまで苦労して、ユダヤ人であることにこだわるのか。；君自身のためにもその任命にはこだわらないほうがいいんじゃないか。；いろんな世界に目を向けて、一つのものにこだわらずに自由に生きてみたい。；非常に筆まめであった一方で、物事にこだわらない人物であったという。；ここまで来てしまったんだから、こだわらなくてもいいじゃあありませんか。；なぜ自分がこんなにあの家にこだわるのか、不思議に思わないわけでもない。；水彩では困難とされていた人物表現にこだわった昭和を代表する水彩画家。</t>
        </is>
      </c>
      <c r="J3009">
        <f>HYPERLINK("https://www.weblio.jp/content/こだわる", "词义详情")</f>
        <v/>
      </c>
      <c r="K3009">
        <f>HYPERLINK("https://yourei.jp/こだわる", "查看例句")</f>
        <v/>
      </c>
    </row>
    <row r="3010">
      <c r="A3010" t="inlineStr">
        <is>
          <t>御馳走</t>
        </is>
      </c>
      <c r="B3010" t="inlineStr">
        <is>
          <t>成功</t>
        </is>
      </c>
      <c r="C3010" t="inlineStr">
        <is>
          <t>読み方：ごちそう
［名］(スル)
１「馳走」を、それをする人や、する相手を敬っていう。また、「馳走」の美化語。心を込めてもてなすこと。特に、食事などをふるまうこと。また、そのもてなし。「—になる」「鮨(すし)を—する」「冬は火が何よりの—だ」
２ぜいたくな料理。豪華な食事。「生まれてはじめての—だ」</t>
        </is>
      </c>
      <c r="D3010" t="inlineStr">
        <is>
          <t>御馳走しよ；御馳走いたし；御馳走様；御馳走になります；御馳走酒</t>
        </is>
      </c>
      <c r="E3010" t="inlineStr">
        <is>
          <t>宴会；接待；ご馳走；ごちそう；祝宴</t>
        </is>
      </c>
      <c r="F3010" t="inlineStr">
        <is>
          <t>大御馳走；どんな御馳走；立派な御馳走；大変な御馳走；結構な御馳走</t>
        </is>
      </c>
      <c r="G3010" t="inlineStr">
        <is>
          <t>御馳走さま；御馳走様；御馳走人</t>
        </is>
      </c>
      <c r="H3010" t="n">
        <v>29</v>
      </c>
      <c r="I3010" t="inlineStr">
        <is>
          <t>何か御馳走でもしようかと思って時計を見るともう十二時を過ぎている。；それがいよいよ今夜となって、私たちはその御馳走に呼ばれたのである。；何よりも心配なのは好ちゃんに御馳走するのにものがないことだそうです。；あんまり御馳走しなくつてもいいから、早くごはんにしてくれないかな。；ある家の食堂の方からは、おいしそうな御馳走の匂がしているのでした。；翌日になって武は七郎に来てもらって御馳走の返しをしようとした。；ではもうぢきにグルデンフイツシユで洗礼の御馳走がありますのですね。；命日々々には私の所や君の処よりも、平尾さんの処の方が御馳走もあろう。；猫の御馳走は、前日、金五郎のために準備しておいた料理の残りである。；先日大阪のある会社が、大勢の東京商人を堺卯で御馳走した事があつた。；肉と野菜を交ぜたものかまたは塩肴かの一皿、それでさえ御馳走だった。；御馳走がたべたくなれば、いつでも木を見ればそれがなっていました。；座敷に地蔵を置くとたくさんの酒と御馳走を一度に要求するのである。；家から栗の実を送って来たといっては友人を集めてその御馳走をするのであった。；十時になっても、十二時が過ぎても、朝の御馳走にありつけませんでした。；たくさん御馳走をこしらえて、弟や妹も一緒に最後の食事をたのしんだ。；生きている限りは、ひとに御馳走をし、伊達な着物を着ていたいのである。；僕は全くすることがなく、毎日三度三度すごい御馳走になっては本を読んだ。；美味しい御馳走はその前を駆けて通った位に食べなければ味がないといいます。；それでこのような貴族的な御馳走にはあまり接したことがない。；御馳走もありませんが、これはお客の時や病人にだけ許される食物です。；大学教授は米国でも日本と同じやうにさうさう御馳走をしさうにない。；夕食の御馳走になっていけと勧められるのを、むりに断って辞し去った。；それで散会したあとには、ホテルの折角の御馳走が、大部分残っていた。；昼は御馳走があるからみんなむきで、こげ飯でもなんでも平げてしまう。；今度は和船の中に、御馳走を入れて、また海の上に出る相談らしいのです。；時々は工夫の辨當の方に御馳走がある位ださうだから無理も無いのさ。；そして私に御馳走をするのだといって、名香のようなものを焚いてくれた。；本当に食べることのできるもので、自分の食べ物と同じ御馳走なのだ。</t>
        </is>
      </c>
      <c r="J3010">
        <f>HYPERLINK("https://www.weblio.jp/content/御馳走", "词义详情")</f>
        <v/>
      </c>
      <c r="K3010">
        <f>HYPERLINK("https://yourei.jp/御馳走", "查看例句")</f>
        <v/>
      </c>
    </row>
    <row r="3011">
      <c r="A3011" t="inlineStr">
        <is>
          <t>ごちゃごちゃ</t>
        </is>
      </c>
      <c r="B3011" t="inlineStr">
        <is>
          <t>成功</t>
        </is>
      </c>
      <c r="C3011" t="inlineStr">
        <is>
          <t>［副］(スル)いろいろな物が秩序なく入りまじって、雑然としているさま。「注釈を—（と）書き込む」「—した話」
［形動］に同じ。「あれとこれとを—に考えている」
［アクセント］はゴチャゴチャ、はゴチャゴチャ。</t>
        </is>
      </c>
      <c r="D3011" t="inlineStr">
        <is>
          <t>ごちゃごちゃ言わ；ごちゃごちゃ言う；ごちゃごちゃと並ん；ごちゃごちゃ並ん；ごちゃごちゃ書い</t>
        </is>
      </c>
      <c r="E3011" t="inlineStr">
        <is>
          <t>あれこれ；汚い；ぐずぐず；うるさく；めちゃくちゃ</t>
        </is>
      </c>
      <c r="F3011" t="inlineStr">
        <is>
          <t>みたいにごちゃごちゃ</t>
        </is>
      </c>
      <c r="H3011" t="n">
        <v>29</v>
      </c>
      <c r="I3011" t="inlineStr">
        <is>
          <t>駅を出てごちゃごちゃと映画館や呑み喰いの店の集まっている方に歩く。；ごちゃごちゃしている事務所とは裏腹に、庭は意外なほど何もなかった。；ある時は海の中が銭湯のように黒い頭でごちゃごちゃしている事もあった。；馬車は、車と馬のごちゃごちゃの混乱のなかにとじこめられてしまった。；心のなかにいろいろな感情がごちゃごちゃといっぱいになっているためなの。；骨のなくなった身体の中で前と後の風景がごちゃごちゃに入り交った。；食事したりごちゃごちゃあって街に戻ったのは結局夕方になってしまっていた。；誰かに頭の中をきっかけ回されたかのようにごちゃごちゃしていた。；もしごちゃごちゃ言う奴がいたら構うこたあねえから半殺しにしてやれ。；姓名学などにこって考えていったら、きっと最後はごちゃごちゃになる。；あなたの言う通り、ごちゃごちゃ考え過ぎていたんでしょうね、僕は。；男も女もごちゃごちゃに一つ所に浸っているのが面白かったからです。；そういえばそんなふうな、ごちゃごちゃと字を書いてある紙じゃった。；彼の思いは、もつれきった断片的な場面の連続でごちゃごちゃに乱れた。；車は高速を降りて、中野のごちゃごちゃした町並みの中に入っていった。；ごちゃごちゃした小さな岩の砕片が、ふくれあがって見えただけである。；かなりごちゃごちゃと走りまわっている内に、うしろの足音は消えてしまった。；体裁かまわずごちゃごちゃと、漫画やふつうの本が入っているのである。；大人たちの思惑がごちゃごちゃしすぎて、すぐには実感が湧かなかった。；おれはごちゃごちゃ言うつもりはないが、ただ、ちょっとだけ気になるんだ。；このごちゃごちゃさについつい手が伸びてしまうのだから、不思議なものだ。；なぜ早いかというと、ごちゃごちゃめんどくさいことが嫌いだからだ。；電話とかでごちゃごちゃ言ってても、どうにもならんのだから。；自分で引いた無数の線がごちゃごちゃになってどれが実線やら虚線やら分らぬ。；部屋の中もごちゃごちゃしていて、女の子を誘うようなところじゃありません。；敵味方がごちゃごちゃになって、たがいに椅子で殴りあっているんです。；でも、あんまりごちゃごちゃしてたんで、誰が射ったかわからなかったわ。；世界がただごちゃごちゃになったとばかり見てはいまい。；何だかごちゃごちゃしていて何にから記述していいか分らない。</t>
        </is>
      </c>
      <c r="J3011">
        <f>HYPERLINK("https://www.weblio.jp/content/ごちゃごちゃ", "词义详情")</f>
        <v/>
      </c>
      <c r="K3011">
        <f>HYPERLINK("https://yourei.jp/ごちゃごちゃ", "查看例句")</f>
        <v/>
      </c>
    </row>
    <row r="3012">
      <c r="A3012" t="inlineStr">
        <is>
          <t>誇張</t>
        </is>
      </c>
      <c r="B3012" t="inlineStr">
        <is>
          <t>成功</t>
        </is>
      </c>
      <c r="C3012" t="inlineStr">
        <is>
          <t>読み方：こちょう
［名］(スル)実際よりも大げさに表現すること。「主人公の特徴を—して描く」</t>
        </is>
      </c>
      <c r="D3012" t="inlineStr">
        <is>
          <t>誇張的；誇張表現；誇張しすぎ；誇張せら；誇張癖</t>
        </is>
      </c>
      <c r="E3012" t="inlineStr">
        <is>
          <t>脚色；大袈裟；過言；粉飾；過大評価</t>
        </is>
      </c>
      <c r="F3012" t="inlineStr">
        <is>
          <t>大きく誇張；少しも誇張；ひどく誇張；幾分誇張；誇張的な表現</t>
        </is>
      </c>
      <c r="H3012" t="n">
        <v>29</v>
      </c>
      <c r="I3012" t="inlineStr">
        <is>
          <t>つまりそんな意識が働いて多少誇張したことになつたかも知れないんだ。；すこし誇張して言へば、あの作品は自分の手で殺されたみたいなものだ。；この病気は混乱し誇張された生理的機能に過ぎないことは明らかである。；その頃の私のたしなみの一つに、物を誇張して人に伝えることがあった。；現実に剣で胸を貫かれるマリアは悲しみの大きさを誇張して示している。；次の詩は決して僕の言葉の誇張でないことを明らかにするであらう。；とある作家によると、この損害の数は政治的な目的をもって誇張された。；かつて湖があったころに受けた波食によって高さが誇張されてはいる。；われわれはわれわれのしている仕事の重要性を誇張するようにされている。；誇張した広告、ほかの会員との比較する広告の禁止などが上げられる。；その男は誇張していえば「大阪で一番汚ない男」といえるかも知れない。；それにあんまり誇張して言われるので、感動しないのだろうと思った。；しかし、現代の学者はこの数字は大幅に誇張されたものであると考えている。；ここではソクラテスの言動は揶揄のために誇張されていると考えられる。；以下の哲学者たちはそのような言葉がケースを誇張していると主張している。；人々は誇張の言葉を見失つて、しきりに地獄といつたし地獄圖と云つた。；誇張なしに、彼は自分があらゆるものから隔てられている事を感じていた。；これらの数字は明らかに誇張されているが、敗北の大きさを物語っている。；極地観測隊員からの報告の中には心理的な問題を誇張したものもある。；ほとんど原型を留めないほどに、極端な誇張を加えた激しい動きが特徴。；強い情熱を伴うものではあったがこの当時の他の詩人に多い誇張は避けていた。；現代の研究では、これら古代の記録は誇張であると考えられている。；すべての音響、すべての色彩が極度に誇張されてその感覚に触れて来た。；この事件は次第に誇張して語られるようになり、世論に影響を与えた。；これらの主張は過度に誇張されておりナンセンスの領域にまで達している。；里親や孤児院で過ごした時期の逸話には誇張や創作されたものもあった。；もちろん、このうちの多くは正しくないか大いなる誇張がなされている。；なるほどそのときの気持だけでは誇張であるとも言ひきれない。；しかし、他の史料は明らかに誇張して、より大きな損失を報告している。</t>
        </is>
      </c>
      <c r="J3012">
        <f>HYPERLINK("https://www.weblio.jp/content/誇張", "词义详情")</f>
        <v/>
      </c>
      <c r="K3012">
        <f>HYPERLINK("https://yourei.jp/誇張", "查看例句")</f>
        <v/>
      </c>
    </row>
    <row r="3013">
      <c r="A3013" t="inlineStr">
        <is>
          <t>こちら</t>
        </is>
      </c>
      <c r="B3013" t="inlineStr">
        <is>
          <t>成功</t>
        </is>
      </c>
      <c r="C3013" t="inlineStr">
        <is>
          <t>読み方：こちら
［代］
１近称の指示代名詞。
㋐話し手に近い方向をさす。「—を向いてください」
㋑話し手のいる、またはその方向にある場所をさす。「—に来てからもう三年になる」
㋒話し手の近くにある物をさす。「—も御試着なさいますか」
２一人称の人代名詞。話し手自身、また話し手の側をさす。当方。「—はいつでも結構です」
３三人称の人代名詞。話し手のすぐそばにいる人をさす。同等以上の人に用いる。この人。「—が私の兄です」</t>
        </is>
      </c>
      <c r="D3013" t="inlineStr">
        <is>
          <t>こちら側(2%)；こちらへどうぞ；こちら向き；こちら岸；こちらへいら</t>
        </is>
      </c>
      <c r="E3013" t="inlineStr">
        <is>
          <t>こっち；此処；こちら側；当方；こなた</t>
        </is>
      </c>
      <c r="F3013" t="inlineStr">
        <is>
          <t>ゆっくりとこちら；まっすぐにこちら；くるりとこちら；こちら有楽町星空；こちらへおはいり</t>
        </is>
      </c>
      <c r="G3013" t="inlineStr">
        <is>
          <t>こちらブルームーン探偵社；こちら本池上署；こちら社会部；こちらスーパーうさぎ帝国；こちら大阪社会部</t>
        </is>
      </c>
      <c r="H3013" t="n">
        <v>29</v>
      </c>
      <c r="I3013" t="inlineStr">
        <is>
          <t>三連星と同じく地に甘いためこちらも打たれることが少なくなっている。；こちらの言っていることは全て理解しているし、会話するには十分だ。；また撮影はこちらも旧作を担当していたいのくままさおがメインで担当。；こちらは有名アーティストのライブが主なプログラムとなっている。；こちらは明確にイタリック人の移住より後であることが判明している。；こちらが今日も使われているポルトランドセメントと同じものである。；こちらは特に会員制度を取っている訳でも無く、通常の酒屋と変わらない。；ただしこちらにも類似種が多いので、種の同定はやはり簡単ではない。；これはこれで一つのスタイルであり、現代ではこちらの方が主流になっている。；ボーゾックの構成員が使用する巨大車両で、こちらも様々な種類がある。；また、同時期、の開発も平行して進められたがこちらも同様に中止された。；メイショウドトウが差し返してきた時もこちらには勢いがありました。；多くの芸術作品を街のあちらこちらにある博物館で見ることができる。；国民体育大会やインターハイなどで採用されているルールはこちらである。；日本に入ってきた当初の用法はこちらであり、字義的にもこちらが正しい。；曲も英国人が作曲した別曲で、小学校では当初こちらが教えられた。；こちらはホーム係員がホーム柱に設置されたスイッチで操作する。；こちらに移ってからは全ての修正はこの開発ブランチで行われる。；側窓は竣工時一段下降式であったが、こちらも二段上昇式に改良されている。；所有するコンテナや機関車に使用しており、こちらも商標登録されている。；こちらは固体燃料ロケットエンジンの場合に用いられるのが一般的である。；浸透しすぎてこちらが公式ルールだと思い込んでいる人が多いルールもある。；こちらは江戸時代に版本にされて多くの部数が普及したからである。；そのため、学術論文や専門的な書籍などでは通常こちらの区別が用いられる。；しなの鉄道線と並行しているが、こちらには駅は設置されていない。；こちらは北部とは異なり、中世では武蔵国江戸氏一族の知行地であった。；こちらは8番と11番のカードの位置は伝統的な配置のままである。；こちらの方は、茎が立ち上がるために知っていれば区別は簡単である。；こちらも主に兵庫県下の自治体や病院等との提携がほとんどである。</t>
        </is>
      </c>
      <c r="J3013">
        <f>HYPERLINK("https://www.weblio.jp/content/こちら", "词义详情")</f>
        <v/>
      </c>
      <c r="K3013">
        <f>HYPERLINK("https://yourei.jp/こちら", "查看例句")</f>
        <v/>
      </c>
    </row>
    <row r="3014">
      <c r="A3014" t="inlineStr">
        <is>
          <t>コツ</t>
        </is>
      </c>
      <c r="B3014" t="inlineStr">
        <is>
          <t>成功</t>
        </is>
      </c>
      <c r="C3014" t="inlineStr">
        <is>
          <t>読み方：こつ
⇒きつ</t>
        </is>
      </c>
      <c r="D3014" t="inlineStr">
        <is>
          <t>コツン(8%)；コツリンスキー；コツソリ；コツなのだそう；コツズイ</t>
        </is>
      </c>
      <c r="E3014" t="inlineStr">
        <is>
          <t>機；ポイント；要；要領；要所</t>
        </is>
      </c>
      <c r="F3014" t="inlineStr">
        <is>
          <t>カツコツ</t>
        </is>
      </c>
      <c r="G3014" t="inlineStr">
        <is>
          <t>コツプ；コツン；コツンコツン；コツク；コツメカワウソ</t>
        </is>
      </c>
      <c r="H3014" t="n">
        <v>29</v>
      </c>
      <c r="I3014" t="inlineStr">
        <is>
          <t>若干接地部分を少し広げて八の字状態にすると安定するのもコツである。；おまえはちょっとの間に何度も化けるが、ひとつそのコツを教えてくれ。；あたしは何日も家でビデオカメラを使って練習し、そのコツをつかんだ。；彼らのおかげで私は、鯨と自分とを一体化させるコツを学んだのである。；どんな煮方をするにしろ、煮豆には次のような共通したコツがあります。；これはコツのようなもので簡単なのだが、うまく使う者がまずもっていない。；このコツも指摘するのは簡単だが、現実に活用する段になると容易ではない。；展開後に何とか見える程度まで水などで薄めて使うのがコツであるとされる。；手の位置はいきなり決めずに、上から少しずつ彫り下げていくのがコツだ。；紙なのでさほど危険でもないが、コツがあってうまく行かないことも多い。；こういうのは大事に大事に使うのではなく、無造作に持つのがコツだ。；それがこの仕事を長くつづけていくコツなのだと、雄介も知っている。；ここそのものが文章のコツと思うのだが、そういう手法にはあまり触れない。；すると、ふたりの賊はコツンと音をたてて、地面へ投げだされたのです。；私は尖らせた唇に煙草をくわえたお父さんの背中に、コツンと額を当てた。；戻って来た後自分でも修行したらしく、しだいに飛行のコツが身についた。；いったん自分の力にめざめると、彼は早々にケンカのコツをものにした。；キャラダインがコツンと指で画面を弾くと一枚目のハートのKが現れた。；コッシー先輩とリンダが、コツンと軽く拳を合わせたのを見てしまった。；そこに向かってコツンとボールを打ってやればいいのである。；まわし方にコツがあって、急ぐと肝心の赤い実に裂け目が入ってしまう。；また前へ出した右足の膝をちょっと内輪にするのも定九郎のコツです。；さて、授業の内容を確実に脳細胞に留めるコツを俺から一つ伝授しよう。；英語ではtrickは人を騙す意味には限らず、コツという意味がある。；パルパが言った通り、失敗するほどに登攀のコツが飲み込めていくのだ。；少々コツのいる不便な方法ですが、一番重要な連絡をすることができます。；解釈の仕方で当たってるようにも聞こえる言い方をするのが、コツやがな。；客はやらせるふりをして、いつまでもやらせないのがコツなの。；この動きで、相手の力をすくい取るように立ち回るのがコツなのだと。</t>
        </is>
      </c>
      <c r="J3014">
        <f>HYPERLINK("https://www.weblio.jp/content/コツ", "词义详情")</f>
        <v/>
      </c>
      <c r="K3014">
        <f>HYPERLINK("https://yourei.jp/コツ", "查看例句")</f>
        <v/>
      </c>
    </row>
    <row r="3015">
      <c r="A3015" t="inlineStr">
        <is>
          <t>国家</t>
        </is>
      </c>
      <c r="B3015" t="inlineStr">
        <is>
          <t>成功</t>
        </is>
      </c>
      <c r="C3015" t="inlineStr">
        <is>
          <t>読み方：こっか
１くに。
２一定の領土とそこに居住する人々からなり、統治組織をもつ政治的共同体。または、その組織・制度。主権・領土・人民がその3要素とされる。
[補説]2017年に実施した「あなたの言葉を辞書に載せよう。2017」キャンペーンでの「国家」への投稿から選ばれた優秀作品。◆大きな家族。むとりさん◆地図上に線でひかれて囲まれた領域。谷口さん◆左に傾いても右に傾いても倒れない「やじろべえ」を理想の姿とするもの。りゅうじさん◆権力・武力・技術力・法律・その他たくさんの目に見えないもの。壁を築いた大きな家。詩のぶさん◆内なる敵には「法」で、外なる敵には「力」で守るべきもの。ひふみちゃさん</t>
        </is>
      </c>
      <c r="D3015" t="inlineStr">
        <is>
          <t>国家的(4%)；国家管理；国家地方警察；国家総動員法；国家レベル</t>
        </is>
      </c>
      <c r="E3015" t="inlineStr">
        <is>
          <t>国；連邦；ネーション；聯邦</t>
        </is>
      </c>
      <c r="F3015" t="inlineStr">
        <is>
          <t>諸国家；天下国家；電力国家；多民族国家；超国家</t>
        </is>
      </c>
      <c r="G3015" t="inlineStr">
        <is>
          <t>国家公務員；国家資格；国家間；国家権力；国家主義</t>
        </is>
      </c>
      <c r="H3015" t="n">
        <v>29</v>
      </c>
      <c r="I3015" t="inlineStr">
        <is>
          <t>これらの国家・地域の他にも、いくつかの独立した集落が存在している。；同じ報告では最終的な決定は国家発展開発委員会に委ねられたとされる。；実際には、この条件を完全には満たさない国家もいくつか存在している。；これは国家や階級などの一定の社会集団が保有する政治的な観念である。；古代のアテネであるアテナイは強力な都市国家であったことで知られる。；国民または国家の主権とは、一人の人または、住んでいる人たちである。；もともと独立していた状態の国家が、その独立を奪われてしまうことがある。；この制度設計の欠陥は、国家のガバナンスの観点からすれば深刻である。；もう一つの問題は国家が国民からの信頼を失っている点にある。；複数の領土を有する国家は他にもあるが、はっきりと異なっている。；国民は、居住する地理範囲に一つの国家を形成することが予定される。；イスラム王朝とは、ムスリムの皇帝や国王が支配する国家の総称である。；しかし、20世紀に入ると国家の行動の自由を制限するようになった。；多民族国家であるため、言語と同様、宗教にも地理的な分布が存在する。；ナイジェリアの地には過去数千年間に多数の王国や部族国家が存在してきた。；ヨーロッパとの関係も重要であり、もっとも関係のよい国家はスペインである。；国民が国家に対し、行為や給付、制度の整備などを要求する権利である。；住民は国家の管轄下に置かれているために国民と呼ばれる。；スロバキアの音楽は近隣国家地域の音楽文化の影響を受けている面を持っている。；中華民国は戦後も自らが中国の唯一の正統な国家だと主張していた。；また、日本国家の形成に影響を与えたとされている宗教である。；天文学に基づいて年ごとに決定される国家の祝日は世界的にみても珍しい。；アメリカに防衛を委ねることで、戦争を国家の想定外としてきたのだ。；日本国政府の目的によるとイラクの国家再建を支援するためであるとされる。；こうして3つの国家、2つの国民、1つの民族と呼ばれる時代が始まる。；国家国民のためにならない政治家が生まれるのは問題だ。；多民族・多言語国家であり、民族とカーストが複雑に関係し合っている。；もしこれに向かって権力を適用する者あらば、国家は則ち国家ならず。；これは国家が国民の生命与奪権まで与えることに疑問が提示された結果ともいえる。</t>
        </is>
      </c>
      <c r="J3015">
        <f>HYPERLINK("https://www.weblio.jp/content/国家", "词义详情")</f>
        <v/>
      </c>
      <c r="K3015">
        <f>HYPERLINK("https://yourei.jp/国家", "查看例句")</f>
        <v/>
      </c>
    </row>
    <row r="3016">
      <c r="A3016" t="inlineStr">
        <is>
          <t>国会</t>
        </is>
      </c>
      <c r="B3016" t="inlineStr">
        <is>
          <t>成功</t>
        </is>
      </c>
      <c r="C3016" t="inlineStr">
        <is>
          <t>読み方：こっかい
１日本国憲法の定める国の議会。国権の最高機関で、国の唯一の立法機関。衆議院と参議院の両議院で構成され、主権者である全国民を代表する議員で組織される。
２明治憲法下における帝国議会の俗称。</t>
        </is>
      </c>
      <c r="D3016" t="inlineStr">
        <is>
          <t>国会開設(3%)；国会対策；国会選挙；国会承認；国会図書館</t>
        </is>
      </c>
      <c r="E3016" t="inlineStr">
        <is>
          <t>大会；議会；協定；集会；党大会</t>
        </is>
      </c>
      <c r="F3016" t="inlineStr">
        <is>
          <t>今国会；陸奥国会；同国会；国会津；国会閉会</t>
        </is>
      </c>
      <c r="G3016" t="inlineStr">
        <is>
          <t>国会議事堂；国会図書館；国会議長；国会対策委員；国会対策委員長</t>
        </is>
      </c>
      <c r="H3016" t="n">
        <v>29</v>
      </c>
      <c r="I3016" t="inlineStr">
        <is>
          <t>ただし、この理論は憲法上無理があったので国会は通常通り解散された。；これは行政立法の一種ではあるが、国会への抑制手段とまでは言えない。；国会で問題視され文部省による是正措置が行われた後は解消しつつある。；内閣は必要と認める時期に国会の臨時会の召集を決定することができる。；なお、この案では国会出席義務の点については特に触れられていない。；すべて皇室の費用は、予算に計上して国会の議決を経なければならない。；しかし実際には、大統領が国会の同意を得ずに総理を任命した事例が存在する。；また国会自体も1942年4月26日を最後として開催されなくなった。；国会の両院規則でも議事は速記によって記録することが定められている。；外国の地方自治制度と軍事および国会と地方議会の関係の調査が目的だった。；参事院は伊藤博文が国会開設の準備のために設置した機関であった。；軍人時代の習慣で5分前行動を守り、空中勤務体験は国会でも貴重とされた。；しかし、第一次世界戦に対独参戦しようとした為、徐々に国会と対立した。；そのため金額の変更を行うには国会の決議が必要との指摘がある。；ちなみに過去の国会においてこの抽選が実施された事例は1度もない。；国会の議決により労働者向けの生命保険を扱う保険会社を設立している。；国会警備隊や政府庁舎警備隊にも戦闘警察巡警が多く勤務している。；公共企業体である日本国有鉄道の予算は、国会で予算の承認が必要である。；また政府の行為に国会の承認を得ることはしないが、必要である場合には同意を求めることもあるとした。；国会前広場は血の海と化し約100人が死亡、約300人が負傷した。；首相は国会の指名に基づき大統領に任命され、行政府の長となる。；この第一審判決を受けて国会が紛糾し、衆議院解散のきっかけとなった。；そのため、国会での承認の必要な参謀総長への就任は叶うことがなかった。；ただし、国会では是々非々で「問題ごとに協力していく」としている。；共産党の志賀義雄が1962年に国会の法務委員会で主張した説である。；また競馬法が成立したのとほぼ時を同じくして、自転車競技法が国会を通過。；この事件の2日後と4日後、田中は国会で事件に関する質問を行った。；国会にも取り上げられたこともあり、業界全体に事態を重大に捉える動きが生まれた。；このために調査局には国会のための調査を行う部門と立法関連の資料提供サービスを行う部門が置かれている。</t>
        </is>
      </c>
      <c r="J3016">
        <f>HYPERLINK("https://www.weblio.jp/content/国会", "词义详情")</f>
        <v/>
      </c>
      <c r="K3016">
        <f>HYPERLINK("https://yourei.jp/国会", "查看例句")</f>
        <v/>
      </c>
    </row>
    <row r="3017">
      <c r="A3017" t="inlineStr">
        <is>
          <t>小遣い</t>
        </is>
      </c>
      <c r="B3017" t="inlineStr">
        <is>
          <t>成功</t>
        </is>
      </c>
      <c r="C3017" t="inlineStr">
        <is>
          <t>読み方：こづかい
「小遣い銭」の略。</t>
        </is>
      </c>
      <c r="D3017" t="inlineStr">
        <is>
          <t>小遣い稼ぎ(8%)；小遣い銭(8%)；小遣いかせぎ；小遣い程度；小遣い取り</t>
        </is>
      </c>
      <c r="E3017" t="inlineStr">
        <is>
          <t>手当；手当て；お小遣い；駄賃；支給</t>
        </is>
      </c>
      <c r="F3017" t="inlineStr">
        <is>
          <t>売って小遣い；少ない小遣い</t>
        </is>
      </c>
      <c r="H3017" t="n">
        <v>29</v>
      </c>
      <c r="I3017" t="inlineStr">
        <is>
          <t>彼女の小遣い銭はどうやらその男友だちが出してやっているようだった。；彼らに小遣いを渡しておけば車の中に何をおいておこうと大丈夫だった。；特別にもらった五銭か十銭の小遣いをどう使おうかと苦心する日である。；小遣いと寝る場所を提供してくれたらやらせてやる、と思わせただけだ。；私の会社と契約しますと、わずかですが月に小遣い程度の金はでます。；職業を失っているのだから、小遣い銭を女から取るのは当然であった。；これも十円の小遣いはあまりに真実の幸福に溢れすぎているからである。；小遣いをくれなどといえば、すぐにとやりかえされることも知っていた。；二世兵士は互いに帽子をまわしてなけなしの小遣いから資金を集めた。；息子も父親に似た女好きで、父から小遣いをもらっては遊び歩いている。；自分の小遣いを持って、本屋さんへ行って来る、と声をかけ、表に出る。；みんな、誰でも必要な小づかいはそこから勝手にとることになっていました。；父からもらっていたわずかなお小遣いは、ほとんど食べるもので消えていた。；俺の小遣いの半分は実にお前や朝比奈さんたちの胃袋に消えてんだぜ。；最悪なのはそんなことする必要のない人が小遣いほしさにやっている事ね。；食べるものを食べなくっても、小づかい銭をこまらしたことがあるかい?；私の勢こんだ様子で、母は小遣いをくれというのかと思って警戒するのであった。；弟が彼より小遣いを多くもらっていることも、彼をひどくくさらせた。；奉公先での小遣いとは考えられず、魔がさしたのでは、と気をもみ出す。；国内のハネムーンに行くカップルの平均の小遣いは、いくらだったかね?；「この連中に、少し小遣いをやってくれんかな」 王東谷が振り返った。；とにかく、彼はたちまちに、小遣いの何十倍もの金を手にしたのだ。；とりあえず息子の方の小遣いは、もう二十歳になったのだから廃止しようか。；何度も飲みに連れてってもらったし、小遣いも貰ったし、それからそうだ!；親に小遣いをもらっていたとしても、そんなにおかしいことではない。；小遣いの三十五銭を落としてしまったことが、ずいぶん遠い昔のように思われる。；どうも上京するときに、両親からたんまりと小遣いをもらってきたらしい。；そうでもしないと母は彼のことを忘れていたし、女たちは彼に小遣いをくれなかった。；今年の春ごろ知り合い、時々情交をもち、小遣いをもらっていたという。</t>
        </is>
      </c>
      <c r="J3017">
        <f>HYPERLINK("https://www.weblio.jp/content/小遣い", "词义详情")</f>
        <v/>
      </c>
      <c r="K3017">
        <f>HYPERLINK("https://yourei.jp/小遣い", "查看例句")</f>
        <v/>
      </c>
    </row>
    <row r="3018">
      <c r="A3018" t="inlineStr">
        <is>
          <t>国境</t>
        </is>
      </c>
      <c r="B3018" t="inlineStr">
        <is>
          <t>成功</t>
        </is>
      </c>
      <c r="C3018" t="inlineStr">
        <is>
          <t>読み方：くにざかい
国と国との境。こっきょう。「—の峠」</t>
        </is>
      </c>
      <c r="D3018" t="inlineStr">
        <is>
          <t>国境地帯(5%)；国境近く(3%)；国境沿い；国境地域；国境問題</t>
        </is>
      </c>
      <c r="E3018" t="inlineStr">
        <is>
          <t>ボーダー；国界</t>
        </is>
      </c>
      <c r="F3018" t="inlineStr">
        <is>
          <t>ドイツ国境；満国境；東部国境；ポーランド国境；ロシア国境</t>
        </is>
      </c>
      <c r="G3018" t="inlineStr">
        <is>
          <t>国境警備；国境付近；国境紛争；国境の町；国境検問所</t>
        </is>
      </c>
      <c r="H3018" t="n">
        <v>29</v>
      </c>
      <c r="I3018" t="inlineStr">
        <is>
          <t>これは過去数世紀の間に国境の形が変わっていったことと関係している。；北のスイス国境をなすグラン・サン・ベルナール峠から下った街である。；また、中国とロシアとの国境の一部も内モンゴル自治区に含まれている。；州域の北でオーストリアと長い国境を接し、北西でスイスに隣接する。；国境周辺に壁やフェンスを設置している例は、分離壁の項を参照のこと。；しかし信越国境地帯であり国境防御のため加賀藩は開湯を許さなかった。；ローマ帝国との国境を越えたゲルマン諸族は各地で混乱や衝突を起こした。；インドおよびビルマとの国境とベンガル湾への海岸線に囲まれていた。；また、同様にして国境を越えてカナダに逃れた作り手たちもいた。；これは後にフランス・イギリスと国境の取り決めを行うときに有効に作用した。；国境を接する全ての国が内陸国である内陸国のことを二重内陸国という。；郡の西側はムーイ川になっておりミャンマーとの国境を形成している。；ジューコフは新国境での防衛上の不利を訴え、旧国境での防衛を重視した。；国境にどの程度の透過性を与えるかは、それぞれの国の政府が決定している。；国境のことを聞かれて思わず壁について答えてしまったのである。；国境からマレーシアの主要都市であるコタバルまでは約40kmの距離。；タイとの国境にあるポイペトには外国人向けのカジノが多数存在する。；スウェーデンとノルウェーの国境は最終的に1751年に確定された。；原則として出身国別であるが、国境を越えて仕事をしている作曲家も多い。；ローハン谷を越えた先は西境であり、王国の最西部の国境地帯である。；中国本土側から乗る場合は国境までが通常のタクシーで国境から乗合になる。；また国境を越えた酸性雨の被害も世界中で広く報告されている。；テキサス州とメキシコの国境はリオグランデ川とすることが確定した。；西を平安道と接し、南を江原道と接し、北は中国と国境を接していた。；海上においては、海に面した領土を持つ国家の領海の縁辺が国境となる。；これは国境を越えた都市の生活・文化団体として設立された。；またこれにより、一部ではあるがライン川はフランスの国境となった。；ドイツ国内、それもオランダ国境に近い東フリースランド地方に設置された。；以下の山は国境問題などで名称や国名が変わる可能性がある。</t>
        </is>
      </c>
      <c r="J3018">
        <f>HYPERLINK("https://www.weblio.jp/content/国境", "词义详情")</f>
        <v/>
      </c>
      <c r="K3018">
        <f>HYPERLINK("https://yourei.jp/国境", "查看例句")</f>
        <v/>
      </c>
    </row>
    <row r="3019">
      <c r="A3019" t="inlineStr">
        <is>
          <t>滑稽</t>
        </is>
      </c>
      <c r="B3019" t="inlineStr">
        <is>
          <t>成功</t>
        </is>
      </c>
      <c r="C3019" t="inlineStr">
        <is>
          <t>読み方：こっけい
［名・形動］
１笑いの対象となる、おもしろいこと。おどけたこと。また、そのさま。「—なしぐさ」
２あまりにもばかばかしいこと。また、そのさま。「今さら強がっても—なだけだ」
[派生]こっけいさ［名］
[補説] 「滑」は「乱」、「稽」は「同」の意で、弁舌巧みに是非を言いくるめること。また、「稽」は酒器の名で、酒がとめどなく流れ出るように、弁舌のよどみない意ともいう。</t>
        </is>
      </c>
      <c r="D3019" t="inlineStr">
        <is>
          <t>滑稽なほど(2%)；滑稽味；滑稽感；滑稽な話；滑稽噺</t>
        </is>
      </c>
      <c r="E3019" t="inlineStr">
        <is>
          <t>面白い；馬鹿；おかしい；おもしろい；理不尽</t>
        </is>
      </c>
      <c r="F3019" t="inlineStr">
        <is>
          <t>こんな滑稽；滑稽化；風流滑稽；滑稽詩；滑稽五行詩</t>
        </is>
      </c>
      <c r="G3019" t="inlineStr">
        <is>
          <t>滑稽新聞；滑稽談；滑稽諧謔；滑稽堂；滑稽列伝</t>
        </is>
      </c>
      <c r="H3019" t="n">
        <v>29</v>
      </c>
      <c r="I3019" t="inlineStr">
        <is>
          <t>そしてやや滑稽な空気が漂っていたのを認めざるを得ないかも知れない。；俺はこうまで人間の思想は違うものかとむしろ滑稽に感じたくらいだった。；他人の滑稽な姿の中に自分自身の姿を発見したとき、我々はどうしますか。；かくして得られた人間世界の本体はあわれであると同時に滑稽であった。；喜劇の一つの材料となるものに職業的滑稽とも言うべきものがあります。；私は滑稽という事がここにいわゆる漫画の本質的条件とは考えていない。；隠しカメラの隣の客は、こんな滑稽なことは見たことがないと爆笑する。；主に中年役や老人役、滑稽な役や屈強な男の役を演じることが多かった。；ベルリンに来て以来、わたしは人間らしさを滑稽だと思うことをやめた。；人間が蟻か何かのように妙にちょこちょこと動くのが滑稽でおもしろい。；現代を個人主義全盛の時代であると主張するが如きは極めて滑稽である。；彼は、それを滑稽にも感じ、皮肉にも感じて、われ知らずうすら笑いした。；この滑稽な事実は、警察でも裁判所でもまだ気づいていないらしい。；滑稽なことには身体が痙攣している様にブルブル震えてならなかった。；滑稽作家はその場の模様を見て呆気に取られて、目をぱちくりさせてゐた。；そいつの顔は恐ろしいどころか、実に突拍子もない滑稽なものであった。；そして、初期の写真に基づいていたものもあれば、他は滑稽なものもあった。；烏滸とは、馬鹿げていてあるいは滑稽で人の笑いを買う様な有様を指す。；その答えは明らかであり、滑稽であり、そしていやなことでもあった。；滑稽というほどでもないが、ちょっと微笑を誘うようなところがある。；これは伊曾のやうな男にとつては実に滑稽な注意であつたに異ひない。；ひどく滑稽で、Kはこんな有様を見て眠りのなかでおだやかに微笑した。；滑稽味のみならず、官能的なものもありますよ、私の歌じゃないですが。；これも今話してみると滑稽のように聞えるが、なかなか尋常な事ではない。；この滑稽の要素の中には次のようなものがあると思います。；それより自分の惨めさと滑稽さが自分に分つたといふことが重大であつた。；見ているうちにだんだん滑稽な感じがして来てつい笑わないではいられなくなった。；どんな人物でも虚栄心の虜になつた瞬間を見ますと、実に滑稽なものです。；一般的な滑稽噺のような抜けた人物が登場せず、クスグリが非常に少ない。</t>
        </is>
      </c>
      <c r="J3019">
        <f>HYPERLINK("https://www.weblio.jp/content/滑稽", "词义详情")</f>
        <v/>
      </c>
      <c r="K3019">
        <f>HYPERLINK("https://yourei.jp/滑稽", "查看例句")</f>
        <v/>
      </c>
    </row>
    <row r="3020">
      <c r="A3020" t="inlineStr">
        <is>
          <t>国交</t>
        </is>
      </c>
      <c r="B3020" t="inlineStr">
        <is>
          <t>成功</t>
        </is>
      </c>
      <c r="C3020" t="inlineStr">
        <is>
          <t>読み方：こくこう
⇒こっこう（国交）</t>
        </is>
      </c>
      <c r="D3020" t="inlineStr">
        <is>
          <t>国交正常化(12%)；国交樹立(10%)；国交回復(8%)；国交調整(4%)；国交正常化</t>
        </is>
      </c>
      <c r="F3020" t="inlineStr">
        <is>
          <t>日朝国交；米国交；日韓国交；米中国交；ソ国交</t>
        </is>
      </c>
      <c r="G3020" t="inlineStr">
        <is>
          <t>国交省；国交相；国交に関する罪</t>
        </is>
      </c>
      <c r="H3020" t="n">
        <v>29</v>
      </c>
      <c r="I3020" t="inlineStr">
        <is>
          <t>内戦で日本との国交が断たれた期間も現地に入り遺跡の保護活動を行う。；日本はこの中華人民共和国とのあいだに国交を回復しなければなりません。；第二次世界大戦時には一時国交が途絶えるものの、戦後にすぐ回復した。；この後、ウクライナ議会で台湾との国交樹立を提案する人はいなかった。；ガイアナが国交を結ぶ中華人民共和国が圧力をかけたとみられている。；同時に進行されていた日本と韓国との国交正常化を牽制する目的もあった。；また、国交正常化の交渉を7月31日までに開始することでも合意した。；続く第二次世界大戦では対立したものの、戦後には国交を回復した。；国交のない国を含む諸国の友好団体などとの関係に関わる事業を行っている。；国交開設後のモナコの国家元首としての訪問は、これが初めてとなった。；数年間、日朝の国交交渉が進展せず、この余波がさまざまな形で現れた。；この間、337年2月には百済に使者を送って国交を開こうとしている。；戦後に国交が再開していない国家との間では、民間貿易が先行する場合があった。；明治維新以後は日本がスペインと国交を結んだことで交流が再開。；日本が国際社会に復帰後は、国交は回復しないながらも交流が再開される。；このようなアジアと日本の平和のためにはまず中国と日本との国交の回復がなされなければなりません。；そこで日本とは国交をして、南方の脅威を減らすという判断がなされた。；現在は韓国・北朝鮮の双方と国交を有する国は多くなっている。；この本は日本とフィリピンの国交樹立60周年を記念して出版された。；状況が変わったのは、1990年、韓国とソ連の国交回復以降である。；この家康-惟政会談は、日本と朝鮮の国交回復に大きな役割を果たした。；国交が存在しない場合、記者を初めとした相手国への現地駐留は困難な場合が多い。；国交開設後の日本の政府高官としての訪問は、これが初めてとなった。；正式な国交がある通信国として、外交使節である朝鮮通信使も再開した。；この動きは中国との友好と国交正常化を阻害しようとする動きでもあります。；ただしこの任命の時点では、国交の公式な正常化は重要視されていなかった。；シリアは北朝鮮との友好関係を考慮し、大韓民国と国交を有していない。；中華人民共和国と中華民国は国交のある国に対して開発の支援を行っている。；これは東欧諸国の日本との国交回復において最も早いものであった。</t>
        </is>
      </c>
      <c r="J3020">
        <f>HYPERLINK("https://www.weblio.jp/content/国交", "词义详情")</f>
        <v/>
      </c>
      <c r="K3020">
        <f>HYPERLINK("https://yourei.jp/国交", "查看例句")</f>
        <v/>
      </c>
    </row>
    <row r="3021">
      <c r="A3021" t="inlineStr">
        <is>
          <t>こつこつ</t>
        </is>
      </c>
      <c r="B3021" t="inlineStr">
        <is>
          <t>成功</t>
        </is>
      </c>
      <c r="C3021" t="inlineStr">
        <is>
          <t>読み方：こつこつ
［ト・タル］［文］［形動タリ］地道に働くさま。たゆまず努め励むさま。「—と勉強をする」
［副］に同じ。「仕事を—こなす」「—励む」</t>
        </is>
      </c>
      <c r="D3021" t="inlineStr">
        <is>
          <t>こつこつと叩い(3%)；こつこつ叩い(2%)；こつこつと叩く；こつこつとたたい；こつこつやる</t>
        </is>
      </c>
      <c r="E3021" t="inlineStr">
        <is>
          <t>徐々に；絶えず；ぐんぐん；着々；コツコツ</t>
        </is>
      </c>
      <c r="F3021" t="inlineStr">
        <is>
          <t>こつこつと叩き；こつこつと音；こつこつと歩い；こつこつと地道；こつこつと勉強</t>
        </is>
      </c>
      <c r="H3021" t="n">
        <v>29</v>
      </c>
      <c r="I3021" t="inlineStr">
        <is>
          <t>その時すぐに女中が返事をしなかったので、私はまたこつこつとやった。；こちらから呼びかけない限りは、黙ってこつこつ自分の仕事をしている。；時とすると夜夫婦が寝しずまってからも、彼はこつこつ何かやっていた。；こつこつと地味にまじめにやってきた人がすべて成功するわけではない。；この辺りです、と言って案内の男は手にしていた杖の先でこつこつと叩いた。；それでただ、他のことは何も考えずに、ただこつこつ働くだけなのだ。；廊下の赤いタイルの上でかかとの高いスリッパがこつこつと音をたてた。；夜になってひまになっても、店の間で何かひとりでこつこつ仕事をしていた。；彼は小さい頃から貧乏な父親の片腕で、こつこつ玩具を作らされていた。；いまもやはりお部屋でこつこつ歩いていらっしゃるようでございます。；それを自ら押し隠すようにして、背中の柱に軽く頭をこつこつやった。；それから彼女は手にしたボールペンで、机の表面をこつこつと叩いた。；ベロアールはマニキュアした指の先で机をこつこつ小刻みに叩いている。；三郎助はゆるりと振り返って、長い刀の鐺で俺の肩をこつこつと叩いた。；こつこつ勉強をして成績を少しずつ上げていく、絵に描いたような努力型の少年だ。；何事もこつこつやるタイプだから、今ではかなりの腕前になっているはずだ。；こつこつと会社勤めをしていても始まらない、という気持ちになっていた。；腕を頭の後ろで組んで、こつこつとブーツの先で地面をつついている。；このこつこつと叩かれた時から私はまただめになって、扉の外に出た。；併し表側ではまさかと思っていたのに直ぐこつこつと叩き返して来た。；足音は、同じところを、こつこつと、ぐるぐるまわりしているのだった。；お前のような男は、年がら年中、こつこつと仕事さえしていればいいのだ。；連中の武勇もわしがこつこつ仕事を片づけていく邪魔にならなかったことも。；お前の様な男は、年が年中、こつこつと仕事さえしていればいいのだ。；だが話が始まるとすぐだれかがバスの扉をこつこつ叩いた。；友人も少なく、こつこつと勉強する男で、成績もいつも上位にいた。；私はこれが宗教だと云うようなものがあるとすれば、ただ、こつこつ書いている。；彼は顔を伏せて、露台の上をこつこつと檻の中の熊のように歩き回った。；健康がそんなに大事ならおれたち犬のようにただこつこつと歩けばよろしい。</t>
        </is>
      </c>
      <c r="J3021">
        <f>HYPERLINK("https://www.weblio.jp/content/こつこつ", "词义详情")</f>
        <v/>
      </c>
      <c r="K3021">
        <f>HYPERLINK("https://yourei.jp/こつこつ", "查看例句")</f>
        <v/>
      </c>
    </row>
    <row r="3022">
      <c r="A3022" t="inlineStr">
        <is>
          <t>骨折</t>
        </is>
      </c>
      <c r="B3022" t="inlineStr">
        <is>
          <t>成功</t>
        </is>
      </c>
      <c r="C3022" t="inlineStr">
        <is>
          <t>読み方：こっせつ
［名］(スル)骨が折れること。また、骨にひびが入ったり、その一部または全部が折れたりすること。傷口が開いていない場合を閉鎖性骨折・単純骨折、傷口が開いている場合を開放性骨折・複雑骨折とよぶ。</t>
        </is>
      </c>
      <c r="D3022" t="inlineStr">
        <is>
          <t>骨折つて；骨折リスク；骨折損；骨折箇所；骨折部</t>
        </is>
      </c>
      <c r="E3022" t="inlineStr">
        <is>
          <t>努力；苦労；尽力；労；労力</t>
        </is>
      </c>
      <c r="F3022" t="inlineStr">
        <is>
          <t>複雑骨折；陥没骨折；疲労骨折；大骨折；粉砕骨折</t>
        </is>
      </c>
      <c r="G3022" t="inlineStr">
        <is>
          <t>骨折り損；骨折る；骨折ら；骨折ろ</t>
        </is>
      </c>
      <c r="H3022" t="n">
        <v>29</v>
      </c>
      <c r="I3022" t="inlineStr">
        <is>
          <t>胸部・肩・鎖骨などに受けても骨折するほどの大怪我となりがちである。；だが、彼女は全身が骨折し、首が180度回転した状態でも生きていた。；この際に止まっていた宿で暖炉が彼の足の上に落ちてきて片足を骨折した。；さらにその競走後に骨折が判明したため、そのまま引退することになった。；顎の骨が骨折したものが自然治癒している個体も複数見つかっている。；レギュラーを奪われたくないため指を骨折した状況で試合出場したこともある。；開幕直前に右手薬指を骨折したが完治しないまま開幕戦を強行出場する。；その後、スイスのFCアーラウに移籍したが、加入直後に足を骨折した。；温泉は、リウマチ・循環器疾患・骨折などの治療に効果があるとされる。；これらの症状がなく、通常の骨折のみの場合には手術は不適応となる。；翌シーズン以降は鼻の骨折等の怪我で調子を落とし出場時間は減少していった。；一方、下肢の骨折の治療目標は無痛で安定した荷重ができることである。；その後、岩手競馬を経て笠松競馬へ移籍したが調教中に骨折をして引退。；の背中の痛みは、夏になっても鎮まらず、後に脊椎骨骨折と診断された。；骨折した状態で試合を行っていたため、10月に骨折の手術を受けた。；初期段階に自覚症状は無く、骨折して初めて気付くケースも少なくない。；しかも、この試合で顎の骨を複雑骨折してしまい、長いブランクに突入。；同年は足の骨折もあってやや成績を落とし、チームも最下位に沈んだ。；尋問の際には顎をひどく骨折するほどの暴行を受け、自白を強要された。；その際に右脚を骨折する重症を負い20試合以上を離脱することになった。；また同様に四肢の骨折では骨片によって神経や血管を損傷することもある。；逆に純粋すぎる行動でしんのすけを骨折させてしまった事もある。；なお、テンポイントはレース中に骨折していたことで7着に敗れている。；父は客の依頼で行なったアンテナの設置中に、屋根から落ちて骨折したのだった。；ウダイが足を骨折した時にはクラスごと1階に引っ越したと言われる。；しかし、2006年初頭には足を疲労骨折するなどのトラブルもあった。；その後、有馬記念出走を目指していたが調教中に骨折し、休養に入った。；骨折した時のような激しい痛みではなく、鈍痛なのが特徴である。；しかし、足の骨折によりバックスで一度も試合に出場することはなかった。</t>
        </is>
      </c>
      <c r="J3022">
        <f>HYPERLINK("https://www.weblio.jp/content/骨折", "词义详情")</f>
        <v/>
      </c>
      <c r="K3022">
        <f>HYPERLINK("https://yourei.jp/骨折", "查看例句")</f>
        <v/>
      </c>
    </row>
    <row r="3023">
      <c r="A3023" t="inlineStr">
        <is>
          <t>こっそり</t>
        </is>
      </c>
      <c r="B3023" t="inlineStr">
        <is>
          <t>成功</t>
        </is>
      </c>
      <c r="C3023" t="inlineStr">
        <is>
          <t>［副］人に知られないように、ひそかに物事をするさま。「裏口から—（と）忍び込む」</t>
        </is>
      </c>
      <c r="D3023" t="inlineStr">
        <is>
          <t>こっそり抜け出し；こっそり隠れ；こっそりと部屋；こっそり読ん；こっそり忍ん</t>
        </is>
      </c>
      <c r="F3023" t="inlineStr">
        <is>
          <t>裏口からこっそり；ひとりでこっそり；誰かがこっそり；隠れてこっそり；こっそり歩い</t>
        </is>
      </c>
      <c r="H3023" t="n">
        <v>29</v>
      </c>
      <c r="I3023" t="inlineStr">
        <is>
          <t>それは兵卒に配給すべきものの一部をこっそり取っておいたものだった。；かれらがヴェニス中を散歩するあとに、こっそりとついてゆくのである。；そして君はその子のことをこっそり心の中で思ったりしたのだろう。；これは主に塔などに幽閉された人物などがこっそり使うためのものだった。；彼は病気の母親に代わってこっそり働いて家計を支えているのである。；ひそかに錠前を開けてるような、こっそり閂を切ってるような音だった。；その様子をこっそり見ていた一之助は伝助の人柄を評価し採用を決める。；ところが、それをこっそり聞いていたダミスはやはり我慢ならなかった。；この男はそのために僕を窓の方へ呼んで、そこでこっそり聞いたんですからね。；それより誰も知らんような場所で、こっそり会って相談するほうがいいと思う。；貴様達がお父さんに気をとられている暇に、僕はこっそり後から入ったのだ。；大好きなカーペンターズは自宅や一人のときだけこっそり愛唱していた。；少年はこっそりそばへよって、いきなりドアをあけて、中へはいった。；そこで、村の青年たちはこっそり樹幹の下半を切り、泥で木の傷を隠した。；私はこっそり心の中でおおよその間数を数えながら下へ下へと下りて行った。；両親からは立ち入りを禁止されていたが、こっそり入っては満喫していた。；自分自身の家の中を他人となって、私は廊下をこっそりと通った。；そんなことを思ってそう思ったことを、こっそり乾児へ云ったことがあった。；彼らはこっそりとサボタージュしてドイツの生産率を落とすことに努めた。；ただ個人が何かこっそりうまくやったことはときどきあります。；子供のころから漫画が好きで描いてはいたが親に叱られるためこっそり描いていた。；父は絵より字を練習するよう叱ったが、こっそり絵を描いたという。；トニーが出かけた後にこっそり戻ってトニーの鍵でドアを開けて部屋に入る。；だから、人に知られないようにこっそりやらなけりゃいけないのです。；そして例の為事を、こっそりと 我手で成就すると云うことになるのです。；米友は裏から廻ってこっそりと本堂の縁の下へもぐり込んでしまいました。；どうかすると、おめえそんなのを一週間に一度ずつこっそりやるのかも知れねえが。；その時の彼は妻にも見られないように家を抜けて、こっそり町へ酒を買いに出た人である。；妻の知らない間に、こっそりこの世からいなくなるようにします。</t>
        </is>
      </c>
      <c r="J3023">
        <f>HYPERLINK("https://www.weblio.jp/content/こっそり", "词义详情")</f>
        <v/>
      </c>
      <c r="K3023">
        <f>HYPERLINK("https://yourei.jp/こっそり", "查看例句")</f>
        <v/>
      </c>
    </row>
    <row r="3024">
      <c r="A3024" t="inlineStr">
        <is>
          <t>こっち</t>
        </is>
      </c>
      <c r="B3024" t="inlineStr">
        <is>
          <t>成功</t>
        </is>
      </c>
      <c r="C3024" t="inlineStr">
        <is>
          <t>読み方：こっち
《「こち」の音変化》
［代］
１近称の指示代名詞。聞き手よりも話し手の方に近い場所やそこにある物、または、その方向をさす。「—の水は甘いぞ」「—が大きい」「足音が—へ近づいてくる」
２一人称の人代名詞。話し手自身、または、その周辺にいる人々をさす。こちら。当方。「—が出向く」「—にも考えがある」
［名］ある事が起こった時から今まで。以来。このかた。「病気が治ってから—、健康には留意している」
[補説]近世からみられ、「こちら」よりもくだけた感じの語。</t>
        </is>
      </c>
      <c r="D3024" t="inlineStr">
        <is>
          <t>こっちゃない；こっちこっち；こっちへこい；こっち向い；こっち向き</t>
        </is>
      </c>
      <c r="F3024" t="inlineStr">
        <is>
          <t>行ったりこっち；早くこっち；そっちこっち；しまえばこっち；こっちへおはいり</t>
        </is>
      </c>
      <c r="G3024" t="inlineStr">
        <is>
          <t>こっち見んな；こっちむいてみい子</t>
        </is>
      </c>
      <c r="H3024" t="n">
        <v>29</v>
      </c>
      <c r="I3024" t="inlineStr">
        <is>
          <t>それに絶対、こっちよりも向こうに自分のことを知られてしまうからさ。；それでも医者を呼ぶのを嫌って、こっちから医者の家へ行こうと云った。；その顔で二人で私を見て、ニヤニヤはどうしたんだ、こっちは一人だぜ。；その癖、この三四年こっち、夫は私の肉体に指一本触った事がないのだ。；聞くともなしに聞いていると、どうやら、こっちへ近づいて来るらしい。；前にはこっちが心配せられ、今はこっちがあっちを心配しつづけている。；そういう庭男が、あっちに一人、こっちに一人、二人で水をまいていた。；家のすこし手前で、ぼくは一人の大きな男がこっちに走って来るのに会った。；せめても、こっちが命を助けてやったのをありがたく思ったがいいのだ。；湯の中の五六人の人影の後からその娘の瞳がこっちを見詰めている。；そしてすぐこっちへもどってきたが、手には紙と鉛筆とを持っていた。；こっちからしたら、女の子だろうとヘビだろうと大してちがいないさね!；怪塔王のにくい顔が、こっちをのぞいて笑っているのが見えるようです。；折から、同じ道を、向うの方からこっちへ近づいてくる人影があった。；こっちは木馬に乗っているんだから、たちまち女の前は通りすぎてしまう。；その繰り返しで、こっちもいつどうやって書いたのかも覚えてない。；そうするとさ、いつまでも振り返って、こっちに手を振ってる奴とかさ。；そしてますます速度をまして、こっちの救援隊の位置からはなれていった。；光った棒のようなものが、下のほうからこっちへ伸びてくるとは何事であろう。；前の会社からこっちへ来たのも社長に引き抜かれたみたいなもんやし。；「こっちへ来て今日の分を見てよ」 ぼくは女の導くほうへ歩いていった。；「それでは、こっちからでましょう」 博士は先へ立って、戸を開いた。；こっちをたてて有利にすれば、あっちがたたなくなって不利となるのだ。；それからあの若先生だが、もう三十分もしたらこっちへ来て貰うのだナ。；それに本間の死んだことも聞かしてやったら、十に九つはこっちの物だ。；昨日のように出られても、こっちはとりようがありませんからね。；あなたはこっちへ来てから庭や畑へ出たことがありますか。；こっちも若いもんですから、いよいよ面白くなって付いて行きました。；それから、こっちのあのジャングル地帯には食べられそうな草がある。</t>
        </is>
      </c>
      <c r="J3024">
        <f>HYPERLINK("https://www.weblio.jp/content/こっち", "词义详情")</f>
        <v/>
      </c>
      <c r="K3024">
        <f>HYPERLINK("https://yourei.jp/こっち", "查看例句")</f>
        <v/>
      </c>
    </row>
    <row r="3025">
      <c r="A3025" t="inlineStr">
        <is>
          <t>小包</t>
        </is>
      </c>
      <c r="B3025" t="inlineStr">
        <is>
          <t>成功</t>
        </is>
      </c>
      <c r="C3025" t="inlineStr">
        <is>
          <t>読み方：こづつみ
１小さな包み。
２「小包郵便物」の略。</t>
        </is>
      </c>
      <c r="D3025" t="inlineStr">
        <is>
          <t>小包便；小包葉；小包受取り所；小包会社；小包作り</t>
        </is>
      </c>
      <c r="E3025" t="inlineStr">
        <is>
          <t>包み；束；包；束ね；風呂敷包み</t>
        </is>
      </c>
      <c r="F3025" t="inlineStr">
        <is>
          <t>大きな小包；速達小包；小さい小包；国際小包；普通小包</t>
        </is>
      </c>
      <c r="G3025" t="inlineStr">
        <is>
          <t>小包郵便物；小包爆弾</t>
        </is>
      </c>
      <c r="H3025" t="n">
        <v>29</v>
      </c>
      <c r="I3025" t="inlineStr">
        <is>
          <t>実際のところ二、三の箱や、多くの小包を運ぶ彼らの姿が目にはいった。；そのあとささやかな記念品を小包にしてユービン局へ出しに行ってきた。；またこの頃は船不足らしく、北中支方面への小包便は停止となっている。；彼女が小包のことを知ったのと発病の時とが一致しているのでそれはわかる。；ある日一人の男が玄関に来て、いくつかの小包を置いて行きました。；小包の中には、小さい頃読んでもらった本が入っていることもある。；令夫人の奪われた品物が匿名の手紙と一緒に小包で返却されたからです。；小包にはパンの練粉の塊がはいっており、それに鍵の形がついていた。；外にそれぞれ両方から一貫目の小包が着いたので食糧は豊富になった。；朝起きて、下の郵便局に行って見ると、抱え切れない程の小包が来て居る。；またコートと帽子をかけると、作業台のところへいって小包をひらく。；奉公をしているおみつのところへ、田舎の母親から小包がまいりました。；手紙も小包も開封せずに抽斗にしまいこみ、まったく相手にしなかった。；時々、媼は著類だの食物などを小包にして若者のところへ送り送りした。；本の小包を二個つくるのに、大汗をかいて二時間かかったことがある。；K市の姉からのあて名の手跡の或るものは小包のと似ているように思われた。；その小包は、大きな鳥たちを使って運ばせるようにしたのです。；それを見てまきえは、八杉が小包と入れ違いに転任したらしいと知った。；あの小包のことを私は初め気がつかなかったんですもの。；電報を受取った日のまだ明るい頃友達の所から本の小包をうけとった。；困るのは外国にいる時に、イギリスから小包が来る場合ですね。；客車扱いされていた小荷物車で小包、馬、牛乳などを急行輸送していた。；そして小包みを例の場所へ置いて、またロンドンへ舞いもどったのだ。；しかし小包は不思議な力で護られており、デビル達は手を出せないでいた。；ここにいる子の親や友人から電話も入るし、郵便、小包の類も来る。；そしてその向こうに使われなくなった小包扱い所がある。；小包が届いた時、一応着て見て、面白くないから、戸棚へ入れて置いた。；その手には、国際郵便で届いたらしい小さな四角い小包が握られていた。；とすると、あの小包を発送したものは、彼でないということが分かる。</t>
        </is>
      </c>
      <c r="J3025">
        <f>HYPERLINK("https://www.weblio.jp/content/小包", "词义详情")</f>
        <v/>
      </c>
      <c r="K3025">
        <f>HYPERLINK("https://yourei.jp/小包", "查看例句")</f>
        <v/>
      </c>
    </row>
    <row r="3026">
      <c r="A3026" t="inlineStr">
        <is>
          <t>骨董品</t>
        </is>
      </c>
      <c r="B3026" t="inlineStr">
        <is>
          <t>成功</t>
        </is>
      </c>
      <c r="C3026" t="inlineStr">
        <is>
          <t>読み方：こっとうひん
１「骨董1」に同じ。
２「骨董2」に同じ。「今どきああいう性分の人は—だね」</t>
        </is>
      </c>
      <c r="D3026" t="inlineStr">
        <is>
          <t>骨董品収集；骨董品市場；骨董品キャビネット</t>
        </is>
      </c>
      <c r="E3026" t="inlineStr">
        <is>
          <t>好奇心；珍品；物好き；暁星；特異性</t>
        </is>
      </c>
      <c r="F3026" t="inlineStr">
        <is>
          <t>様々な骨董品；貴重な骨董品；こうした骨董品</t>
        </is>
      </c>
      <c r="G3026" t="inlineStr">
        <is>
          <t>骨董品屋</t>
        </is>
      </c>
      <c r="H3026" t="n">
        <v>29</v>
      </c>
      <c r="I3026" t="inlineStr">
        <is>
          <t>現在生産され流通する商品ではないゆえに、骨董品に定価は存在しない。；店の奥に置かれていた骨董品の一部が動いたと思ったら、店主だった。；その安い骨董品のような自分の昔の像の置き場はこの家にはどこにもない。；専門化した電子商店で骨董品や映画の小道具などの商品が売られている。；僕はそれを聞いて気を良くし、少し得意げに持ってきた骨董品の解説をした。；内部には皇室ゆかりの品など骨董品類が保存され、年一回公開されている。；そうだな、知識のない素人に骨董品の整理をさせているのと同じか。；家具は動かされていないし、ほかの骨董品も元のままの場所にあった。；一見しただけでこれらの骨董品は現在の典型的な収集物でないことが判る。；われわれはこの装置をある遠い星の原住民から骨董品として入手したのだと。；骨董品や、なにかを撮影したカメラなどがいけないのだろうか。；そのような国から海外へ骨董品を持ち出す場合は、違法となることがある。；文化遺産の保護などを目的として、骨董品の輸出を規制している国もある。；前にこの屋敷へ住んでいた人間が残した、骨董品の机である。；部屋は世界中から集められた、古いものや骨董品で溢れかえっていた。；ぼくたちのスカイラーク号などもう、一九一〇年代の安自動車以上に骨董品だ。；市場には、生鮮食料品から土産物、骨董品に至るまで様々な商品が並ぶ。；ドアには骨董品と呼んでよさそうな真鍮色の丸いノブがついていた。；考へやうによつてはそれだけやはり女が骨董品同様に品物視されてゐる訳でもある。；骨董品のようなもの、カメラのたぐい、そんなのが一隅の棚に並んでいた。；あの霊装は、魔術的な効果は高いものの耐久度自体は骨董品と変わりない。；見るべき品物は、ヨーロッパのものと思われる絵画と骨董品である。；当時の米軍が開発した骨董品が、今もまだ市ヶ谷の設備部にあるよ。；それに江坂産業の危機にその骨董品の何割が提供されるだろうか。；ミーダーの自宅には多数の骨董品や敷物、絵画などが飾られていたという。；サイドボードの中には、骨董品と思われる壺やガラス器などが並んでいる。；ガラス戸を押しあけた向こうには、雑多な骨董品の類いが押しこめられていた。；これは宝鈔を骨董品の商品にすることを禁じるのが目的だったと推測されている。；男性の場合、車・骨董品・腕時計や愛人へのプレゼントで散財しやすい。</t>
        </is>
      </c>
      <c r="J3026">
        <f>HYPERLINK("https://www.weblio.jp/content/骨董品", "词义详情")</f>
        <v/>
      </c>
      <c r="K3026">
        <f>HYPERLINK("https://yourei.jp/骨董品", "查看例句")</f>
        <v/>
      </c>
    </row>
    <row r="3027">
      <c r="A3027" t="inlineStr">
        <is>
          <t>コップ</t>
        </is>
      </c>
      <c r="B3027" t="inlineStr">
        <is>
          <t>成功</t>
        </is>
      </c>
      <c r="C3027" t="inlineStr">
        <is>
          <t>読み方：こっぷ
警官。</t>
        </is>
      </c>
      <c r="D3027" t="inlineStr">
        <is>
          <t>コップ酒(3%)；コップ一杯(2%)；コップ状；コップ型；コップ半分</t>
        </is>
      </c>
      <c r="E3027" t="inlineStr">
        <is>
          <t>杯；グラス；カップ；盃；マグカップ</t>
        </is>
      </c>
      <c r="F3027" t="inlineStr">
        <is>
          <t>小さなコップ；大きなコップ；紙コップ；コップ一杯のビール；コップにつぎ</t>
        </is>
      </c>
      <c r="G3027" t="inlineStr">
        <is>
          <t>コップ座；コップの中の嵐；コップの中の木漏れ日；コップのフチ子；コップランド</t>
        </is>
      </c>
      <c r="H3027" t="n">
        <v>29</v>
      </c>
      <c r="I3027" t="inlineStr">
        <is>
          <t>一人の友人はポケットにコップを用意し、も一人はビールを携げていた。；こはく色の液体のはいったコップがかれの目の前につきつけられている。；けれどもそれを覚えているのはぼくではなくてコップのほうなのだ。；コップを叩き落した男は、保護服を着て惑星の表面に立つことを想像した。；コップは、上のほうはなんでもありませんでしたが、足が折れていました。；すると若い人もね、急に笑い出してしまってコップを押し戻していたよ。；その枕もとに水を呑んだらしいコップが畳の上にゴロンと転がっていた。；水さしからついだふりをして、コップに取っておいた水を飲みました。；手に持っていたウイスキーのびんか、コップが、床に落ちたのでしょう。；そこで彼女は自分のコップをもってパーディ夫人といっしょに腰をおろした。；ヴィルフォール夫人はコップを手にして、灰の中に中身を捨てに行った。；はじめの扉が開いて女の子がコップへ酒を入れて持って来た。；中山の行きつけの店で、匂いの強い酒をコップに五六杯飲んだと記憶する。；一まわり踊りがすむとみんなはばらばらになってコップをとりました。；朝起きると、コップ一杯の水を持って何処ともなく部屋を出て行く。；そして二人の男が止めるのもきかずに、ビールのコップを高くさし上げた。；でも、水をコップに一杯だけ朝の食卓から節約して残しておきました。；からとなったコップが、雪子の唇をはなれ、しずかに台の上におかれた。；校長が関さんのコップにつごうとすると、かれは手でコップの蓋をした。；気むずかしそうな大人たちがいない場合は、コップ一二杯飲むこともあった。；秋子さんの指紋は明かにフラスコを握ってコップに注いだものであった。；君が食事の時手にしたコップがその資料になったのです。；志摩子さんは気を利かして、台所からコップに水を入れて持って来た。；お新は電燈に映るコップの中の酒を前に置いて、その間には煙草も燻した。；少しの水がたらたらと差し口から流れて、コップに半分ばかりたまった。；強い火酒を大きいコップに半分ばかりも生で飲むと、ぐっと元気づいた。；けれども、かたまりが大きくてそのまま茶のコップには入れられない。；数杯のんだときにでも、私たちはたっぷり大きいコップでのむ習慣でした。；そして、ドングリのコップの水を一口飲むと、また話をつづけました。</t>
        </is>
      </c>
      <c r="J3027">
        <f>HYPERLINK("https://www.weblio.jp/content/コップ", "词义详情")</f>
        <v/>
      </c>
      <c r="K3027">
        <f>HYPERLINK("https://yourei.jp/コップ", "查看例句")</f>
        <v/>
      </c>
    </row>
    <row r="3028">
      <c r="A3028" t="inlineStr">
        <is>
          <t>固定</t>
        </is>
      </c>
      <c r="B3028" t="inlineStr">
        <is>
          <t>成功</t>
        </is>
      </c>
      <c r="C3028" t="inlineStr">
        <is>
          <t>読み方：こてい
［名］(スル)
１一定の位置に止まって動かないこと。また、動かないようにすること。「支柱を—する」「ねじで—する」
２一定していて変化しないこと。「客が—する」「—給」
３生物の組織や細胞を顕微鏡で観察するとき、生きているときに近い状態で保つために、原形質をアルコール・ホルマリンなどで凝固させること。固定法。
４遺伝子がホモ（同型）の状態になり、子孫で形質が分離しなくなること。</t>
        </is>
      </c>
      <c r="D3028" t="inlineStr">
        <is>
          <t>固定する(11%)；固定式(5%)；固定化(4%)；固定される(3%)；固定的</t>
        </is>
      </c>
      <c r="E3028" t="inlineStr">
        <is>
          <t>止める；付ける；静止；不動；留める</t>
        </is>
      </c>
      <c r="F3028" t="inlineStr">
        <is>
          <t>固定軸；固定用；固定客；固定型；固定画面</t>
        </is>
      </c>
      <c r="G3028" t="inlineStr">
        <is>
          <t>固定観念；固定翼；固定電話；固定資産税；固定化</t>
        </is>
      </c>
      <c r="H3028" t="n">
        <v>29</v>
      </c>
      <c r="I3028" t="inlineStr">
        <is>
          <t>側窓高さは拡大され、車端部は固定窓としたほか、妻面窓もやや大きい。；宇宙での戦いをイメージした固定画面型のシューティングゲームである。；次に、歴史的に為替が固定されていたかつてのフランスの植民地がある。；関節はこの状態のまま固定されているので、脚を伸ばすことはできない。；側窓はドア間は下降窓と固定窓の組み合わせ、車端部は固定窓としている。；各テーブルは、エンティティの属性を含む固定数の列を含むことになる。；巡航ミサイルは主に通常弾頭で固定施設への精密攻撃に使用されている。；欧米では座席は固定式のものが多く、座席を回転できない車両が多い。；また遺伝的固定度が高い状態から選抜し、系統化するため効率的である。；この方法により、荒天下でも車両を効果的に固定しておくことができた。；固定化とは、工業用酵素を土台となる物質に固定して用いる方法である。；装飾が質素なことは、上古の日本建築の様式を固定化したためといえる。；客室部の側窓は209系各区分と同様、車端部を除き固定窓を用いた。；このプログラム自身は固定的な長さを持つが、その長さを U と書こう。；屋根瓦の固定に使われている漆喰は、建物の装飾にも使用されている。；後述するように階級社会だったが、完全に固定されてはいなかったとされる。；航空機の翼は巡行状態の条件で迎角をつけて機体に固定されている。；また、機構をなすリンクのうち一つは空間に固定されているとする。；黎明期は現在のように開催期日が固定されていたわけではなかった。；また、結合長や位置の固定など様々な拘束条件を付加することもできる。；その固定部分も回転部分も電磁石になっていて、永久磁石は使っていない。；固定した状態で使用するものやエアゾール式簡易消火具は除外されている。；席は原則固定で、向かって左側の席から1枠・2枠・3枠・4枠である。；その下に貫を入れて柱を固定したのが一般的な鳥居の構造である。；側窓は車端部は固定窓、それ以外の2連窓は開閉可能な下降窓である。；この増備車では側窓が一部を除いて固定式に変更されている。；いずれの車両も車端部は固定の4人掛けロングシートとなっている。；一方大正時代には固定式の掘り炬燵に変わって移動可能な炬燵が出始めた。；カメラエリアは、プロ野球本拠地の場合、多くは場所を固定の場合が多い。</t>
        </is>
      </c>
      <c r="J3028">
        <f>HYPERLINK("https://www.weblio.jp/content/固定", "词义详情")</f>
        <v/>
      </c>
      <c r="K3028">
        <f>HYPERLINK("https://yourei.jp/固定", "查看例句")</f>
        <v/>
      </c>
    </row>
    <row r="3029">
      <c r="A3029" t="inlineStr">
        <is>
          <t>古典</t>
        </is>
      </c>
      <c r="B3029" t="inlineStr">
        <is>
          <t>成功</t>
        </is>
      </c>
      <c r="C3029" t="inlineStr">
        <is>
          <t>読み方：こてん
１古い時代に書かれた書物。当代・現代からみて、古い時代に属する書物。「鴎外や漱石も若者にとっては—なのである」
２学問・芸術のある分野において、歴史的価値をもつとともに、後世の人の教養に資すると考えられるもの。多く、著述作品についていう。「国富論は経済学における—である」
３芸能の世界で、近代に興った流派に対し、古い伝統に根ざしたもの。「—舞踊」
４古くからの定め。古代の儀式や法式。</t>
        </is>
      </c>
      <c r="D3029" t="inlineStr">
        <is>
          <t>古典的(32%)；古典文学(5%)；古典作品；古典学者；古典劇</t>
        </is>
      </c>
      <c r="E3029" t="inlineStr">
        <is>
          <t>クラシック；名著；名文；古典的作品</t>
        </is>
      </c>
      <c r="F3029" t="inlineStr">
        <is>
          <t>古典建築；古典演劇；古典文化；古典芸術；インド古典</t>
        </is>
      </c>
      <c r="G3029" t="inlineStr">
        <is>
          <t>古典主義；古典派；古典期；古典落語；古典力学</t>
        </is>
      </c>
      <c r="H3029" t="n">
        <v>29</v>
      </c>
      <c r="I3029" t="inlineStr">
        <is>
          <t>古典に類する作品には古い固定観念・偏見が含まれている可能性もある。；主題として風景を扱うことは明らかに非古典的で、ありえないことだった。；なお古典的なアイピースは、その多くが40度前後の見かけ視界である。；推理小説のなかではもっとも一般的でかつ古典的なジャンルである。；日本では他の古典小説同様に江戸時代に輸入されたがあまり注目されたとは言えない。；教科書に載っているような半古典近似法に関連した議論は次節で述べる。；古典的な呼吸不全の分類では外呼吸のうち換気障害の有無を重要視する。；ハリウッドの古典的なスタイルでは、右図にあるように、 を記載する。；また反応によっては古典式カルボカチオンを経由している場合もある。；同様に古典的な方法論も最新の量子論的手法と同じくらい高い価値を持つ。；「注釈書がたくさん書かれている本が、古典だ」と述べているものもいる。；古典的な熱力学は、巨視的な意味での平衡状態をおもな対象としている。；その意味で、第二次大戦以前の古典的な映画理論家達に学ぶべき事は多い。；古い作品から学び取った事を自分の作品に投影して古典に基づく制作をしていた。；日本語では古典式またはドイツの音をカタカナ表記するのが慣習となっている。；古典的な例としては 個の元から 個の元を選ぶ組合せの総数が挙げられる。；多くは古典の改良などで作品を残したが、まったく新しい原理の開発でも活躍した。；ジョン・ダンの詩は古典的な形式からより個人的な詩の形式へ方向転換している。；のちに評価が高まり、現在ではアメリカ音楽の古典となっている。；ドイツ古典はオットーがナチスから守りたかった世界であったという。；現在発行されている古典全どしか残っていない。；ヨーロッパでもアメリカでも、古典の暗誦だけはちやんとやつてゐる。；この小説は即座に一種の古典となり、いくつかのSF映画に着想を与えた。；このことはペアノ算術のような算術の古典理論においては成立しない。；当時、同社が多く保有していた古典輸入機関車の置き換え用として製造された。；上演の準備は、古典的な演劇と現代演劇など、分野や劇団ごとに異なっている。；セミナリヨでの教育内容も古典教育に力が入れられていた。；近代古典主義は19世紀の古典的な彫刻と多くの点で対照的であった。；以下に示すのは古典的な方法の一つである。</t>
        </is>
      </c>
      <c r="J3029">
        <f>HYPERLINK("https://www.weblio.jp/content/古典", "词义详情")</f>
        <v/>
      </c>
      <c r="K3029">
        <f>HYPERLINK("https://yourei.jp/古典", "查看例句")</f>
        <v/>
      </c>
    </row>
    <row r="3030">
      <c r="A3030" t="inlineStr">
        <is>
          <t>琴</t>
        </is>
      </c>
      <c r="B3030" t="inlineStr">
        <is>
          <t>成功</t>
        </is>
      </c>
      <c r="C3030" t="inlineStr">
        <is>
          <t>読み方：きん
［常用漢字］　［音］キン（漢）ゴン（呉）　［訓］こと
〈キン〉
１弦楽器の一。古代中国で、七弦のこと。「琴瑟(きんしつ)・琴線／弾琴」
２弦楽器。また、鍵盤楽器の類。「月琴・提琴・風琴・木琴・洋琴」
〈こと（ごと）〉「琴歌・琴爪(ことづめ)／竪琴(たてごと)・大正琴」
［難読］琴柱(ことじ)・和琴(わごん)</t>
        </is>
      </c>
      <c r="D3030" t="inlineStr">
        <is>
          <t>琴梨(3%)；琴童；琴糸；琴ヶ；琴内</t>
        </is>
      </c>
      <c r="F3030" t="inlineStr">
        <is>
          <t>真琴；たて琴；絃琴；弦琴；玉琴</t>
        </is>
      </c>
      <c r="G3030" t="inlineStr">
        <is>
          <t>琴江；琴平；琴線；琴絵；琴奨菊</t>
        </is>
      </c>
      <c r="H3030" t="n">
        <v>29</v>
      </c>
      <c r="I3030" t="inlineStr">
        <is>
          <t>しかし真琴自身と言えば高校卒業後の進路が決まっていない状態だった。；号の五適とは琴・書・詩・画・印に堪能であったことから自ら名乗った。；真琴は日向に惹かれていき、彼の傍で力になりたいと考えるようになる。；実は琴耶の急な志望校変更には家族にも話していない特別な理由があった。；きのうの今日であるから、お琴は総身の血が一度に凍ったように感じた。；ひなたも真琴もそれを受け入れ、友達のままでいてくれることになる。；だが勝はすでに真琴を東京にいる母のもとへ行かせることを決めていたのだった。；纐纈の袋に琴を入れて右手に置き、三明の剣を左手に飾って置いている。；お琴達の住まいも前作から今作への過程で花川戸から三島町に変更した。；ところが、ある偉大な妖術者がこの木を切って不思議な琴をこしらえた。；元々は膝の上に琴を載せて演奏していたが、後には台の上に置いて演奏するようになった。；ピアノを習い始める前から音楽は好きで、母の琴教室によく付いて行っていた。；絶望した姫は琴弾峠の頂上近くにある池に身を投げて命を絶った。；そこには今までの真琴との出来事がすべて記されていた。；君の器が砕けて土に散らぬまえに、 君は器の酒のめよ、琴のしらべに!；真琴は日向の元に向かい、お互いに相手のために変わろうと決意する。；真琴の気持ちに気づいていた友梨は一瞬動揺するが、親友の背中を押す。；松風の音に消されて、それはかすかではあるが、確かに琴に違いなかった。；そして真琴は広島市への原子爆弾投下で死亡したと取られる表現がされている。；北国のある町を歩いていると立琴のようなものを鳴らして乞食が通るのを見た。；和室では、昔遊びや百人一首やカルタの大会、琴の体験などが行われる。；真琴から相談を受けた凛はかつて留学していたオーストラリアに遙を連れて行く。；お由ばかりでなく、お琴もお袖も同じ運命に陥らないとは限らない。；だから、当然琴同様、組唄組織をとる形式が、考へられて来る筈である。；作品中には泉水真琴が描いたSDキャラのイベントが多く登場する。；それとも琴を勉強して、その方面の師匠になろうと思うかね?；しかし弾琴は続け、それゆえ切腹時に琴の爪を持っていたのである。；アリオンは死ぬ前に琴を弾かせて欲しいと願い、船員たちはこれを許した。；天皇は渋々従ったものの、そのうちに琴の音が聞こえなくなった。</t>
        </is>
      </c>
      <c r="J3030">
        <f>HYPERLINK("https://www.weblio.jp/content/琴", "词义详情")</f>
        <v/>
      </c>
      <c r="K3030">
        <f>HYPERLINK("https://yourei.jp/琴", "查看例句")</f>
        <v/>
      </c>
    </row>
    <row r="3031">
      <c r="A3031" t="inlineStr">
        <is>
          <t>事</t>
        </is>
      </c>
      <c r="B3031" t="inlineStr">
        <is>
          <t>成功</t>
        </is>
      </c>
      <c r="C3031" t="inlineStr">
        <is>
          <t>読み方：こと
《「言(こと)」と同語源》
「もの」が一般に具象性をもつのに対して、思考・意識の対象となるものや、現象・行為・性質など抽象的なものをさす語。
１世の中に起こる、自然または人事の現象。事柄。出来事。「—の真相」「—の起こり」
２大変な事態。重大な出来事。「失敗したら—だ」「ここで—を起こしたら苦労が水の泡だ」
３仕事。用件。「—をなしとげる」
４物事の状態や経過。また、それを中心とした事情。いきさつ。「—を見守る」「—と次第によっては許さないでもない」
５
㋐行事や儀式。
「夜いたう更けてなむ、—果てける」〈源・花宴〉
㋑生命。
「いみじき—の閉ぢめを見つるに」〈源・幻〉
㋒言外に了解されている、ある事柄。例のこと。
「この僧、彼の女に合宿して、—ども企てけるが」〈著聞集・二〇〉
㋓食事。特に、僧の夜食。
「ある人、—をして贈りたりけるに」〈著聞集・一八〉
他の語句をうけて、その語句の表す行為や事態を体言化する形式名詞。
１行為。仕業。「つまらない—をしでかしたものだ」
２ある対象に関連する事柄。「映画の—は彼が詳しい」「後の—は君に一任する」
３心情や動作の向かっている対象。「君の—が好きだ」「家族の—を大切にする」
４言葉の内容や意味。「君の言う—はわからないでもない」
５文章の段落などの題目。「イソポが生涯の—」
６
㋐（「…ということだ」「…とのことだ」などの形で）噂。伝聞。「彼も結婚したという—だ」
㋑（「…ことがある」などの形で）場合。「ときどき郵便物が返ってくる—がある」
㋒（「…ことがある」などの形で）経験。「アメリカなら行った—がある」
㋓（「…ことはない」などの形で）必要。「そこまでしてやる—はない」
㋔（「…だけのことはある」などの形で）価値。「専門家に任せただけの—はあって、見事な出来だ」「わざわざ出かけただけの—はあった」
㋕（「…のことだ」などの形で）ある言葉の指し示す対象である意を表す。「九郎判官とは源義経の—だ」
㋖（「…ことにする」「…こととする」などの形で）決定する意を表す。「やっぱり田舎に帰る—にするよ」
㋗（「…ことにしている」などの形で）意図的な習慣にしている意を表す。「毎朝ジョギングする—にしている」
㋘（「…ことになる」「…こととなる」などの形で）結果的にそうなる意を表す。「今度の会談で、国際情勢は新たな局面を迎える—になった」
㋙（「…ことになっている」などの形で）既に規則や予定で、そう決まっている意を表す。「法律で弁償しなくてはならない—になっている」「来秋から留学する—になっている」
㋚（「…ことだ」などの形で）話し手自身の判断に基づいた進言・忠告である意を表す。「入院を機に、ゆっくり休む—だ」「彼にはよく謝っておく—だな」
㋛（「…をこととする」などの形で）その行為に没頭していること、それを当面の仕事としていることを表す。「晴耕雨読を—とする」
「銭積もりて尽きざるときは、宴飲声色を—とせず」〈徒然・二一七〉
７それに関して言えば、の意を表す。「私—この度転居致しました」
８通称・雅号などと本名との間に用いて、両名称の指す人物が同一であることを表す。「楠公(なんこう)—楠木正成」
９活用語の連体形に付いて句を体言化し、そこに述べられた事柄をきわだたせる意を表す。「未来を予知する—ができる」「走る—は走るけれど、遅い」「間もなく帰る—と思います」
10形容詞・形容動詞の連体形に付いて、その状態を強調する意を表す。「長い—お世話になりました」「不思議な—にからだが宙に浮いた」
11「の」を介して程度を示す副詞に付き、さらに強調する意を表す。「なおの—悪い」「いっその—やめたらどうだ」
12（多く「…ごと」の形で用いる）
㋐動詞の連用形、名詞、形容動詞の語幹に付いて、事柄としての行為や状態を表す。「考え—」「悩み—」「色—」「きれい—」
㋑真似をする遊びであることを表す。「まま—」「鬼—（＝鬼ごっこ）」
13活用語の連用形に付いて、句を体言化する。→こと［終助］
「呉人が西施をくせ物と云ひ—は無益なり」〈中華若木詩抄〉
[下接語]当て事・好(い)い事・一つ事・若しもの事・我が事（ごと）遊び事・徒(あだ)事・他(あだ)し事・荒(あら)事・案じ事・粋(いき)事・痛事・入れ事・色事・祝い事・憂い事・絵空事・大事・公(おおやけ)事・鬼事・隠し事・隠れ事・賭(か)け事・考え事・綺麗(きれい)事・稽古(けいこ)事・景事・芸事・拵(こしら)え事・酒(さか)事・杯事・定め事・戯(ざ)れ事・仕事・実(じつ)事・忍び事・修羅(しゅら)事・冗談事・勝負事・所作(しょさ)事・心配事・空事・徒(ただ)事・茶事・作り事・艶(つや)事・出来事・手事・内証(ないしょ)事・慰み事・何事・習い事・濡(ぬ)れ事・願い事・祈(ね)ぎ事・囃子(はやし)事・僻(ひが)事・人事・秘め事・節事・振り事・舞事・禍(まが)事・真似(まね)事・飯(まま)事・見事・密(みそ)か事・無駄事・物事・揉(も)め事・約束事・俏(やつ)し事・由(ゆえ)無し事・余所(よそ)事・和事・業(わざ)事・私事・笑い事</t>
        </is>
      </c>
      <c r="D3031" t="inlineStr">
        <is>
          <t>事實；事無く；事司；事無き；事参軍</t>
        </is>
      </c>
      <c r="E3031" t="inlineStr">
        <is>
          <t>こと；事件；物；イベント；件</t>
        </is>
      </c>
      <c r="F3031" t="inlineStr">
        <is>
          <t>こんな事；同じ事；どんな事；そういう事；悪い事</t>
        </is>
      </c>
      <c r="G3031" t="inlineStr">
        <is>
          <t>事実；事業；事情；事故；事態</t>
        </is>
      </c>
      <c r="H3031" t="n">
        <v>29</v>
      </c>
      <c r="I3031" t="inlineStr">
        <is>
          <t>メニューでプレイしたいゲームを選ぶ事で自由に変更することが出来た。；一方 が の最大元であるとは の元は常に 以下である事を意味する。；ただし後述の派生版にはこの4枚の新カードが含まれていない事が多い。；その場合はX1のBASICを用いる事で動作させることが可能である。；本を読む場合はページをめくる事によって次々と情報を得る事が出来る。；現在では低品位炭が南極横断山脈の様々な場所にある事が知られている。；山鹿素行は風が地表を移動する空気の流れである事には気づいていた。；しかし講師の指導内容に納得が行かず、従わない事がしばしばあった。；これにより2006年後半以降の携帯電話でL4が使われる事になった。；しかし政府の統制下にある事には変わりなくメディアの規制も強化されている。；EJBコンテナはWEBコンテナと統合されて提供されている事が多い。；CPUから見て一番遠いキャッシュメモリの事をLLCと呼ぶ事もある。；立地的に北米4大プロスポーツリーグのチームが存在した事は一度もない。；しかし一度に大量の情報を話し、聞き返す事もできないためメモは必須。；偶然相打ちしたとしても、相手の大尉が確実に減った事しか分からない。；携帯電話での普及状況は、おサイフケータイの項もあわせて参照の事。；しかし、一部の科学者はこういった使用法を合法化する事を提唱している。；これと同様の事がコソボのアルバニア人にも行われる事が懸念されていた。；自身の家庭を恵まれたものとは感じていなかった事を告白している。；また事あるごとに講習会や実地授業などの場で指導し、普及に努めた。；古代より政権を握ったものが反対者を反乱者として処刑する事は珍しくなかった。；そのため、独立した複数の色を合成する事で人間に別の色を感じさせる事ができる。；この件がきっかけとなり、後に年次改革要望書が作成される事になる。；両手で1本ずつあるいはそれ以上のジョイスティックを操作する事もある。；一部の駅の出札窓口でも専用の処理機を使う事で利用することができた時期もある。；決勝はJ1リーグ戦でこれまで1度も勝利をした事がない川崎と対戦。；船や車も用いられず、甲冑を着て戦う事もないと、戦乱の無い世界を描く。；上の定義でが単射である事を要求してない事に注意されたい。；さらにはそうした情報を別のサイトに転送する事も可能である。</t>
        </is>
      </c>
      <c r="J3031">
        <f>HYPERLINK("https://www.weblio.jp/content/事", "词义详情")</f>
        <v/>
      </c>
      <c r="K3031">
        <f>HYPERLINK("https://yourei.jp/事", "查看例句")</f>
        <v/>
      </c>
    </row>
    <row r="3032">
      <c r="A3032" t="inlineStr">
        <is>
          <t>事柄</t>
        </is>
      </c>
      <c r="B3032" t="inlineStr">
        <is>
          <t>成功</t>
        </is>
      </c>
      <c r="C3032" t="inlineStr">
        <is>
          <t>読み方：ことがら
１物事の内容・ようす。また、物事そのもの。「調べた—を発表する」「新企画に関する極秘の—」「重大な—」
２《「こつがら（骨柄）」の音変化という》人物のありさま。体格。品格。
「つらだましひ、—、いづれも劣らず」〈平家・九〉</t>
        </is>
      </c>
      <c r="D3032" t="inlineStr">
        <is>
          <t>事柄自体；事柄そのもの</t>
        </is>
      </c>
      <c r="E3032" t="inlineStr">
        <is>
          <t>こと；もの；事；問題；物</t>
        </is>
      </c>
      <c r="F3032" t="inlineStr">
        <is>
          <t>様々な事柄；あらゆる事柄；重大な事柄；些細な事柄；さまざまな事柄</t>
        </is>
      </c>
      <c r="H3032" t="n">
        <v>29</v>
      </c>
      <c r="I3032" t="inlineStr">
        <is>
          <t>しかしこれとても研究さえすれば次第に判明すべき種類の事がらである。；人類は文字を獲得して以来、様々な事柄を文字にして記録に残してきた。；彼はまた、複雑な事柄をわかりやすく記事にすることでも知られていた。；このような事柄は生物以外のものではなかなか成立するものではない。；以前とはある事柄より前のこと、以後とはある事柄より後のことである。；しかし、さう思つたからとて、どうにもならぬことがらはたくさんある。；だがこの春浅い日々、かれはさまざまなことがらに注意を奪われていた。；そして展開が急でいくつかの事柄が未解決のまま物語は終わったことである。；証明とは、ある事柄が真理もしくは事実であることを明らかにすること。；しかもその後の経過は、それまでの事がらと同じく何の変りもなかった。；かつてソ連が行っていたような事柄を現在は中国が活発に行っている。；これがただひとつの、大きな相違であり、そして重要なことがらである。；しかし、こういった事がらは、わたくしがとくに述べたいことではない。；処理されるべきさまざまなことがらが、彼の判断と決定を待っていた。；これらのことがらは、それを話す時間の十分の一ぐらいの間に起こった。；未来はこないかもしれないし、未来のことがらは実現しないかもしれない。；全く事実でありながら言うだにおかしな事がらが世にはあるものである。；その他のテーマは彼の人生の特定の期間における現実的な事柄である。；ここに述べられていることがらは評論家のだれも指摘できなかったことだ。；ここにはたしかに調査しなければならない事がらがある、と警部は思った。；ハシディズムの指導者はしばしばその事柄を沈黙させたと非難されている。；だが、まだあまりに多くのことがらを重大に考えすぎるところが見られる。；木村優子はそうしたことがらと一体になって存在していたものだった。；耳にはいるすべてのことがらを考慮するわれわれは、かれらの話も考慮した。；大概のことは忘れてしまつてゐるが、忘れそびれてゐることがらもある。；人間の直感は多様な事柄が総合・統一され、感覚的な対象が成立する。；わたしの読んだ多くのことがらは、自分の理解や経験を超えていた。；なお、これらの事柄は作品の評価には無関係であることも述べておく。；歴史上の発明・発見にまつわる人物や事柄を紹介するのが主な内容。</t>
        </is>
      </c>
      <c r="J3032">
        <f>HYPERLINK("https://www.weblio.jp/content/事柄", "词义详情")</f>
        <v/>
      </c>
      <c r="K3032">
        <f>HYPERLINK("https://yourei.jp/事柄", "查看例句")</f>
        <v/>
      </c>
    </row>
    <row r="3033">
      <c r="A3033" t="inlineStr">
        <is>
          <t>孤独</t>
        </is>
      </c>
      <c r="B3033" t="inlineStr">
        <is>
          <t>成功</t>
        </is>
      </c>
      <c r="C3033" t="inlineStr">
        <is>
          <t>読み方：こどく
［名・形動］
１仲間や身寄りがなく、ひとりぼっちであること。思うことを語ったり、心を通い合わせたりする人が一人もなく寂しいこと。また、そのさま。「—な生活」「天涯—」
２みなしごと、年老いて子のない独り者。
「窮民—の飢ゑをたすくるにも非ず」〈太平記・三三〉
[派生]こどくさ［名］</t>
        </is>
      </c>
      <c r="D3033" t="inlineStr">
        <is>
          <t>孤独な生活(2%)；孤独な戦い；孤独な少年；孤独な魂；孤独な人間</t>
        </is>
      </c>
      <c r="E3033" t="inlineStr">
        <is>
          <t>孤立；単一；寂しい；淋しい；隔離</t>
        </is>
      </c>
      <c r="F3033" t="inlineStr">
        <is>
          <t>深い孤独；長い孤独；孤独な作業；孤独な旅；孤独相</t>
        </is>
      </c>
      <c r="G3033" t="inlineStr">
        <is>
          <t>孤独死；孤独の影；孤独の人；孤独のグルメ；孤独の要塞</t>
        </is>
      </c>
      <c r="H3033" t="n">
        <v>29</v>
      </c>
      <c r="I3033" t="inlineStr">
        <is>
          <t>彼は死の床でフローラに、ある種の科学の力が自分を孤独にしたと語る。；孤独な死であったため、その死が明らかとなったのは5年後の事だった。；これにはイアンの書く絶望や孤独を歌った歌詞も大きく貢献している。；人と距離を置いた孤独な子供で、友人を作ることが困難だったと述べている。；彼は、必要な時だけ自身の能力を発揮して孤独に静かに生きてきた。；しかし、周囲の人には誰も信じてもらえず孤独な日々を過ごしてきた。；彼はその他の人物たちから離れて、孤独のまま椅子に物憂げに座っている。；当時、つげは飢餓と孤独と不安で気も狂わんばかりの日々を送っていた。；孤独の感じ方は、発達段階の各時期によって異なることが知られている。；衝動的に放浪の旅に出た孤独な青年の体験と内面を劇画調に描いている。；大豪邸に住む成功者ながら、孤独な彼は、自暴自棄な日々を送っていた。；彼はロシアでより大きな民主主義のための孤独な闘いの先頭に立っている。；獏良は転校を繰り返し、自ら友達を作ろうとしない孤独な少年であった。；ロシアから遠く離れたことに嘆息していた彼は引っ込み孤独になった。；日本で孤独に努力を続けた夕音は、大会当日になって不安に襲われる。；閉鎖的で孤独な環境の中、彼は14歳になる頃から詩の創作を始めていく。；猫山は孤独に震えるが、機械となった体は涙を流すこともできなかった。；晩年は子供たちの不幸にも悩み続けるなど、孤独な生活だったという。；コックスは、孤独問題に注目し、超党派の委員会の設置を準備していた。；空巣老人はそのまま誰にも看取られることなく、孤独死することもある。；しかし、太陽のような明るい光を持つことが出来なかった月は孤独なままだった。；それは最も名誉ある仕事であると同時に、苦痛と孤独を知る仕事でもあった。；隙をみて逃げ出したお春はただ一人、孤独な巡礼の旅に出るのだった。；銀行員の父親の仕事で転居が多く、常に孤独であったと話している。；莫言の作家になろうという決意はこの幼少期の飢餓と孤独からきている。；活発なタイプだが意外と自分の事は語らず冴羽獠と同じ孤独な一面もある。；両親を亡くしたり、憧れていた先輩や友達が離れて孤独を感じている。；そんな中で孤独なツェは、同じく孤独なねずみ捕りに接近したのだった。；男女間の愛の不毛、社会に生きる人間の不安や孤独などを描いた作品が多い。</t>
        </is>
      </c>
      <c r="J3033">
        <f>HYPERLINK("https://www.weblio.jp/content/孤独", "词义详情")</f>
        <v/>
      </c>
      <c r="K3033">
        <f>HYPERLINK("https://yourei.jp/孤独", "查看例句")</f>
        <v/>
      </c>
    </row>
    <row r="3034">
      <c r="A3034" t="inlineStr">
        <is>
          <t>悉く</t>
        </is>
      </c>
      <c r="B3034" t="inlineStr">
        <is>
          <t>成功</t>
        </is>
      </c>
      <c r="C3034" t="inlineStr">
        <is>
          <t>読み方：ことごとく
［副］問題にしているもの全部。残らず。すべて。みな。「財産を—投げ打つ」「見るもの聞くもの—が珍しい」</t>
        </is>
      </c>
      <c r="D3034" t="inlineStr">
        <is>
          <t>悉く忘れ；悉く支那；悉く其の；悉く奪わ；悉く焼け落ち</t>
        </is>
      </c>
      <c r="F3034" t="inlineStr">
        <is>
          <t>兵悉く；全篇悉く；除いて悉く</t>
        </is>
      </c>
      <c r="H3034" t="n">
        <v>29</v>
      </c>
      <c r="I3034" t="inlineStr">
        <is>
          <t>とにかく私らは、初めての土地であるから見るもの悉く珍しいのである。；その理由はこの書の中に聖書中の真理が悉く含まれおるというにあった。；そこには一切の陰影となるべきものを悉く追ひ出してあるやうに見える。；二人は、過去の苦い記憶を悉く忘れて、本当の姉妹のやうに愛し合つた。；ともかくも、かかるすべてのものは悉く下手の味あるものばかりである。；私が自分の才能と認めているものは悉く一種の自己欺瞞なのではあるまいか。；婦人の議員となり官吏となり兵士たらん事を欲するや悉く許して可なり。；その光景の悉くを描写する事は、読者の為めに避けなければならない。；ある疾病にあっては、生命の外部的機関が悉く休止して了うことがある。；金と権勢とに饜かして国内国外から雄雞の優れたものが悉く集められた。；若侍の影さえもなく、間ごと間ごとの灯火さえ悉く消されて真暗である。；私は少しでも彼女の味方になつている論評は今でも悉く暗記している。；政府の施設は悉く民衆を看板にしながら悉く民衆を裏切ってるとも云った。；二人は、過去の苦い記憶を悉く忘れて、本当の姉妹のように愛し合った。；今までに幾つかの事業に手を出しては人にも騙され、悉く失敗に終っている。；これらの方針は同時期に設立されたViatronとは悉く対照的だった。；金と權勢とに饜かして國内國外から雄雞の優れたものが悉く集められた。；必要なものを摘出して不必要なる多くのものを悉く省略してしまうのである。；之に反して日本主義的代議士候補者は一二の例外を除いて悉く失敗した。；見よ、大勢の旅客の視線が悉く彼一人の左右に、蒐つて居るではないか。；さて私が爲し遂げ得ましたほどのことは悉くこの論文の中に含まれてをります。；従ってどんな悪霊でも悉く神の子であり、神界の統治下にあるのである。；石川啄木の改革も叙事の側に進んだのは、悉く失敗しているのである。；藤原時代の歴史たるや悉く貴族の歴史であって民衆の歴史ではなかったからだと。；すなわち計算の中のCを悉く1に書き改めて、上の如くに整理をする。；それは悉く心の働きがその大部分を占領してしまっている。；それさえ出来たら、自分はどうやら世界中の人類を悉く愛し得られるように思う。；代助は家を出る前に、昨夕着た肌着も単衣も悉く改めて気を新にした。；然れども、神話に見えたる此英雄神の事業は、悉くその罪悪の結果なり。</t>
        </is>
      </c>
      <c r="J3034">
        <f>HYPERLINK("https://www.weblio.jp/content/悉く", "词义详情")</f>
        <v/>
      </c>
      <c r="K3034">
        <f>HYPERLINK("https://yourei.jp/悉く", "查看例句")</f>
        <v/>
      </c>
    </row>
    <row r="3035">
      <c r="A3035" t="inlineStr">
        <is>
          <t>殊更</t>
        </is>
      </c>
      <c r="B3035" t="inlineStr">
        <is>
          <t>成功</t>
        </is>
      </c>
      <c r="C3035" t="inlineStr">
        <is>
          <t>読み方：ことさら
［名・形動］
１考えがあってわざとすること。また、そのさま。故意。「—な仕打ち」「—につらく当たる」
２格別なさま。
「衆議判の時、よろしき由沙汰ありて、後にも—に感じ仰せ下されける由」〈徒然・一四〉
［副］
１わざわざ。「—行かなくても、ついでの時でよい」
２特に際立って。とりわけ。格別。「今年の冬は—寒い」</t>
        </is>
      </c>
      <c r="D3035" t="inlineStr">
        <is>
          <t>殊更らしく；殊更に強調；殊更にゆっくり；殊更に注意；殊更強く</t>
        </is>
      </c>
      <c r="E3035" t="inlineStr">
        <is>
          <t>特に；特別；別に；立てて；とりわけ</t>
        </is>
      </c>
      <c r="H3035" t="n">
        <v>29</v>
      </c>
      <c r="I3035" t="inlineStr">
        <is>
          <t>その種の笑話は本集にも極めて多いが、殊更に多くを集めたのではない。；ガードマン二人は、殊更に彼女の方を見ないようにしているようだった。；書留にしなかつたからと云ふことが殊更不安を感じさせるのであつた。；手先の作業を要求されると、切嗣は殊更に自分の起源を意識させられる。；それにしても、何故私は殊更に、瑕のある玉を愛してしまうのだろうか。；殊更明日出発と思うと、旅が不安なだけ、今の名残が尽きないのである。；殊更に誰かに聴かせようとして歌っていたものではなかったのだろう。；殊更にそれを意識してやっていると言うよりも、生れつきそうなのだ。；そんなあたり前のことを、吾輩が殊更に勿体をつけて喋るとお思いかね。；殊更に軽い調子でとんとんと階段を上り、途中で上に向かって言った。；妹等の家は黒田下にあるのだから殊更に走つたわけでもないのです。；殊更気にかけるまでもない、今となっては何の意味もない存在だ。；私などは特に犬猫に近いためか子供の時から殊更ら動くものに興味を持っていた。；酒が入れば殊更陽気なホロがこの空気を前にじっとしていられるわけがない。；かえって殊更に事を大きくしてしまうような感じがしたのだ。；その中にぼくは殊更に毎日の自分の気持を書くことを避けてきた。；ポケットより新聞と老眼鏡とを取り出し殊更に顔をしかめつつこれを読む。；殊更明るい弾んだ声で答え、スウの夫は何も気づいていないと思った。；それをさうといはずに殊更に卑下して思ひ上がれるといつたのであらう。；そのせいか背筋を伸ばした自分の姿勢を殊更に父や妹に見せたい気分が起こっていた。；握り締めていた両手の指を広げ、殊更ゆっくりとした動作で腕を組む。；髯を綺麗に剃った顋の所の人と違っている顔が殊更に引き立って見える。；どこの浴場の天井も高いのが普通だが、ここでは殊更にその高いことが気になる。；本当に素晴らしいものは殊更に自ら吹聴しなくても、誰もが認めてくれる。；この姉たちは皆、シャのシィのユウに殊更なる関心をもって接していた。；やつがれの刃と交る点が、殊更に低くなる如くお投げなされましたこと一つ。；捨台詞とも言ふべきものを、与里は殊更に置き捨てようともしなかつた。；殊更に医学の知識が無くてもはっきりと分かる程の衰弱ぶりだった。；彼女は傷を負ったわけでも、殊更に過酷な運動をしたわけでもない。</t>
        </is>
      </c>
      <c r="J3035">
        <f>HYPERLINK("https://www.weblio.jp/content/殊更", "词义详情")</f>
        <v/>
      </c>
      <c r="K3035">
        <f>HYPERLINK("https://yourei.jp/殊更", "查看例句")</f>
        <v/>
      </c>
    </row>
    <row r="3036">
      <c r="A3036" t="inlineStr">
        <is>
          <t>今年</t>
        </is>
      </c>
      <c r="B3036" t="inlineStr">
        <is>
          <t>成功</t>
        </is>
      </c>
      <c r="C3036" t="inlineStr">
        <is>
          <t>読み方：ことし
現在を含んでいる年。この年。こんねん。「去年(こぞ)—」《季新年》「—から丸儲(まるもうけ)ぞよ娑婆(しゃば)遊び／一茶」</t>
        </is>
      </c>
      <c r="D3036" t="inlineStr">
        <is>
          <t>今年十；今年二；今年三；今年四十；今年七</t>
        </is>
      </c>
      <c r="E3036" t="inlineStr">
        <is>
          <t>この年；当年；本年</t>
        </is>
      </c>
      <c r="F3036" t="inlineStr">
        <is>
          <t>今年六；今年八；今年いっぱい；今年あたり；今年限り</t>
        </is>
      </c>
      <c r="G3036" t="inlineStr">
        <is>
          <t>今年五月；今年の漢字；今年三月；今年の桜；今年一月</t>
        </is>
      </c>
      <c r="H3036" t="n">
        <v>29</v>
      </c>
      <c r="I3036" t="inlineStr">
        <is>
          <t>今年は約二十日遅れて入って見たら、すべての谷が雪崩れた後であった。；以前の年も同じイベントが行われていたが連携ができるのは今年が初めて。；その陽子に今では子供が二人いて、上の男の子は今年から小学校である。；これは明日とか今年中にとか、すぐに実現できることではありません。；また今年に入ってから第一子となる男児を出産していたことも報告した。；恐らく此の無題の小説は今年のはじめに起稿されしものにはあらざるか。；恐らくこの無題の小説は今年のはじめに起稿されしものにはあらざるか。；この結果から、シーズンの終わりに今年の最優秀若手選手賞に選ばれた。；それが何十年振りかで今年また繰返されることになったというわけだ。；臥たり起きたりだが、今年中に死ぬかも知れないなんて言つてるもの。；顔の色は真蒼になって、今年十九の若い者が杖をついて歩くようになった。；今年はFlashゲームに行く前にアイテムを使用するかどうか尋ねられる。；今年が勝負の年と思っているので、出場する大会は全て優勝を狙っていきたい。；彼女は十六の秋にここへ来て、今年の春はもう十八の娘盛りになっていた。；あの方が事実もし生きておられるなら、ちょうど今年で八十になったはずです。；そのうちに、今年の春になって突然彼の若侍がたずねて来ました。；学園では今年は王族が来たとのことで例年にない緊張感を帯びていた。；新五郎は今年十九ですが、もう番入りをして家督を相続していました。；また、同番組内で今年はゲームへの出演もするという旨の発言をしている。；それで本格的にスタジオに入って録り始めたのは、今年に入ってからかな?；併しその後も別に何事もなしに過ぎて、今年ももう師走のはじめになった。；そういう津本新平は今年六十五歳、家柄ではあるが別に財産はなかった。；中央道派が言うには、立法は今年は中央道、東海道は来年にしろという。；それが年々の例になっているので、今年もいつもの通りにあつまって来る。；ふたりのあひだには今年の八月に仕置になつた、鼠小僧の噂などが出た。；彼は、今年から学校に上がったという、小さな弟といっしょでありました。；ところが今年の春あたりから妙に二人の間に縺れが見え出した。；今年になってから二組平を訪れたが、いずれも富山から来ている。；本作は米ニューヨーク・タイムズ紙の「今年注目の一冊」に選ばれた。</t>
        </is>
      </c>
      <c r="J3036">
        <f>HYPERLINK("https://www.weblio.jp/content/今年", "词义详情")</f>
        <v/>
      </c>
      <c r="K3036">
        <f>HYPERLINK("https://yourei.jp/今年", "查看例句")</f>
        <v/>
      </c>
    </row>
    <row r="3037">
      <c r="A3037" t="inlineStr">
        <is>
          <t>言付ける</t>
        </is>
      </c>
      <c r="B3037" t="inlineStr">
        <is>
          <t>成功</t>
        </is>
      </c>
      <c r="C3037" t="inlineStr">
        <is>
          <t>読み方：いいつける
［動カ下一］［文］いひつ・く［カ下二］
１命令する。「用事を—・ける」
２告げ口する。「先生に—・けてやる」
３言い慣れている。いつも言って慣れている。「—・けない言葉を使う」
４言って頼む。ことづけする。
「かの人の—・けしことなど、染め急ぐを見るにつけても」〈源・手習〉
５名づける。言いなす。
「妹背(いもせ)など—・けて語らひ侍りけるに」〈後拾遺・雑五・詞書〉
６しかる。厳しく言い聞かせる。
「あのやうなる事を申す程に、—・けて下されい」〈虎明狂・連尺〉</t>
        </is>
      </c>
      <c r="D3037" t="inlineStr">
        <is>
          <t>指揮；命令；指導；指示；任命</t>
        </is>
      </c>
      <c r="H3037" t="n">
        <v>6</v>
      </c>
      <c r="I3037" t="inlineStr">
        <is>
          <t>八日前の俺へ向けた忠告を言付けることはできない。；以前から原爆症に苦しんでいた百合は、昭三に「うちが死んだら角膜を真一に移植してほしい」と言付ける。；恋の相手にむける賛辞は恋する者がみずからの言葉として送るべきであって、まるで他人事のように言付けるなどもってのほかだと考えたからである。；「わが君に会ったら、この趙雲が必ずや命に代えても若君と二夫人を連れて帰ると伝えてくれ」 と簡雍に言付けるとまた馬を走らせた。；小母さんは神様に言付けるような調子で、制え難い女の胸の中を熱心に訴え、田辺のお婆さんや姉さんまで改宗させずには置かないという語気で祈った。；鷹原は約束通り半クラウン銀貨を給仕に言付ける。</t>
        </is>
      </c>
      <c r="J3037">
        <f>HYPERLINK("https://www.weblio.jp/content/言付ける", "词义详情")</f>
        <v/>
      </c>
      <c r="K3037">
        <f>HYPERLINK("https://yourei.jp/言付ける", "查看例句")</f>
        <v/>
      </c>
    </row>
    <row r="3038">
      <c r="A3038" t="inlineStr">
        <is>
          <t>言伝</t>
        </is>
      </c>
      <c r="B3038" t="inlineStr">
        <is>
          <t>成功</t>
        </is>
      </c>
      <c r="C3038" t="inlineStr">
        <is>
          <t>読み方：ことづて
《古くは「ことつて」》
１伝えたい言葉を他の人に取り次いでもらうこと。また、その言葉。伝言。ことづけ。「明日来るようにと—をする」
２間接に人から伝え聞くこと。また、伝え聞いた話。伝聞。「—にその話は聞いた」</t>
        </is>
      </c>
      <c r="D3038" t="inlineStr">
        <is>
          <t>言伝銀(3%)</t>
        </is>
      </c>
      <c r="E3038" t="inlineStr">
        <is>
          <t>話；歴史；話し；由来；伝え</t>
        </is>
      </c>
      <c r="H3038" t="n">
        <v>29</v>
      </c>
      <c r="I3038" t="inlineStr">
        <is>
          <t>私がその風に遇うか何うか分らないが、遇ったら言伝をいたしましょう。；で婆やに言伝てをしておいて、お入用の荷物だけ造って持って来ました。；彼は毎週彼女の夫に会い、彼の口から直接の甘い言伝てを持って来た。；それに帆村君からの言伝にも、博士に必ず会って見ろとあったではないか。；宿に帰ってきたロレンスに言伝があると宿の主人が教えてくれた。；それとも誰かの使いで、言伝をしに私のところへやってきたか。；幸内は前にお君のところへお銀様の言伝を言った足でこちらへ来たものと見えます。；もし王が関心をお持ちだと知っていたら、言伝を頼みましたのに。；あれを私に頂いて来てくれッて、節ちゃんから言伝かってまいりましたよ。；移動するような事があったら、必ず言伝てを残していくんだ。；武蔵は、自分の言伝てした約束が、彼に通じているものと信じていた。；お蕗からの言伝をうけるまでもなく、お次はすでに何もかも知っていた。；すると、自分への言伝てを遣手のさくがきっと太兵衛に通じたのだ。；しばらくして、シーボニアの事務所から部屋に言伝てがありました。；そのまえに聞いておくが、衛視長から何か言伝てがなかったか?；今日は早く帰るよう言伝しておいたはずですが?；オルテガは敗れ「平和な世に出来なかった父を許してくれ」と言伝を残し死亡する。；きみがここにいない場合、われわれが通過してもよいという言伝てを残しておいてくれないか?；私が、その風にあうかどうかわからないが、あったら、言伝をいたしましょう。；彼女はスフィンクスに十字形のすじをつけて、彼に言伝てを命じたのであった。；或時は為造からの簡単な言伝を齎してくることもあつた。；そしてそこで彼は直ちに彼の言伝てをいたしました。；母は父が楚王に殺されたことを教え、干将の言伝を赤に伝えた。；私は再び昇り、私から言伝を渡されたドローレスが慎重に扉を開ける。；基地隊の下士官からその言伝てを聞いても、畠中は動かされることはなかった。；伝えても伝えても返さない言伝を諦めるなとは何様のつもりか。；大辻の方は「先生気を悪くなさらぬやう」と言伝、気を悪くしてる。；余の病気の由を聞いて、それは残念だ、自分が健康でさえあれば治療に尽力して上げるのにと云う言伝があった。；人をもって言伝てして来たことばといえ、まさにそれは、敵将の決戦状ともいえるものと思ったからである。</t>
        </is>
      </c>
      <c r="J3038">
        <f>HYPERLINK("https://www.weblio.jp/content/言伝", "词义详情")</f>
        <v/>
      </c>
      <c r="K3038">
        <f>HYPERLINK("https://yourei.jp/言伝", "查看例句")</f>
        <v/>
      </c>
    </row>
    <row r="3039">
      <c r="A3039" t="inlineStr">
        <is>
          <t>異なる</t>
        </is>
      </c>
      <c r="B3039" t="inlineStr">
        <is>
          <t>成功</t>
        </is>
      </c>
      <c r="C3039" t="inlineStr">
        <is>
          <t>読み方：ことなる
［動ラ五（四）］《形容動詞「異なり」の動詞化》違いがある。別である。「兄弟でも性格は—・る」「習慣が—・る」
→違う［用法］</t>
        </is>
      </c>
      <c r="D3039" t="inlineStr">
        <is>
          <t>異なる可能性</t>
        </is>
      </c>
      <c r="E3039" t="inlineStr">
        <is>
          <t>変化；違う；相違；動く；変わる</t>
        </is>
      </c>
      <c r="F3039" t="inlineStr">
        <is>
          <t>全く異なる；それぞれ異なる；まったく異なる；若干異なる；かなり異なる</t>
        </is>
      </c>
      <c r="H3039" t="n">
        <v>29</v>
      </c>
      <c r="I3039" t="inlineStr">
        <is>
          <t>教会自体が政治的活動に関わるかどうかは、教会それぞれ異なっている。；独立後は世代間で使用できる言語が異なっていることが問題となっている。；研究者によっては、いくつかの文字の古い名前が異なっていたと考えた。；つまり費用に関して日本と西洋とは異なった会計概念が採用されていた。；他のノーベル賞と異なり、団体も授与対象となっているのが特徴である。；前作とは異なり、システムのみ2D作品のようなシステムに戻っている。；二十四節気の名称のうちで日本と中国で異なっているのはこれだけである。；また列車の運転する区間や異なる路線への直通列車の設定を検討する。；ただし、具体的な言語の種類で対応する「音」が異なってしまっている。；駒は移動方向を変えることもできるし、異なる複数の駒を進めてもよい。；異なる言語同士が接触し、双方の特徴を保ったまま複雑に混合した言語。；これはかつての専制政治とはあらゆる観点から異なったものであった。；米内は坊主頭が一般的だった他の軍人とは異なり、髪を七三に分けていた。；各種設定が原作および以前の作品と異なるように変更されている。；この動きから従来の農業とは異なる様々な農業の形態が生まれた。；そのため両者は構造も大気中の効率も大幅に異なり、区別して扱われる。；また路線や列車の識別を狙って、路線ごとに異なる色を採用する例もある。；その他ファミリーコンピュータとは異なる以下の点が評価されている。；写真の性質はフィルムとデジタルで異なるが、共通した観点が存在する。；日本では事情は異なり、急速な普及や変化には難しい部分があった。；だが、本来の意味とは異なる意味でこれらの語句が使用されることがある。；初期のアーキテクチャと後期のアーキテクチャではかなり構造が異なる。；植物や土壌のように分野に応じて若干異なった構成要素の分け方がされる。；本作品では、過去のシリーズとは異なる独自の要素が多く見られる。；複数の領土を有する国家は他にもあるが、はっきりと異なっている。；これらの実験により温度と熱が異なる概念であることが確立された。；他のエンタープライズとは異なり、航行する様子が描かれたことはない。；その他にも特有の性質により自動車一般とは異なる危険性を持っている。；自然にかなったものは無理にされるものとは異なった作用を生じる。</t>
        </is>
      </c>
      <c r="J3039">
        <f>HYPERLINK("https://www.weblio.jp/content/異なる", "词义详情")</f>
        <v/>
      </c>
      <c r="K3039">
        <f>HYPERLINK("https://yourei.jp/異なる", "查看例句")</f>
        <v/>
      </c>
    </row>
    <row r="3040">
      <c r="A3040" t="inlineStr">
        <is>
          <t>殊に</t>
        </is>
      </c>
      <c r="B3040" t="inlineStr">
        <is>
          <t>成功</t>
        </is>
      </c>
      <c r="C3040" t="inlineStr">
        <is>
          <t>読み方：ことに
［副］
１とりわけ。「花の中では、バラの花が—好きだ」
→特に［用法］
２なお。その上。加えて。
「—この頃は西山、東山の花盛りにてあると申して」〈虎清狂・猿座頭〉</t>
        </is>
      </c>
      <c r="D3040" t="inlineStr">
        <is>
          <t>殊にさう；殊に若い；殊に其の；殊に美しい；殊にひどい</t>
        </is>
      </c>
      <c r="E3040" t="inlineStr">
        <is>
          <t>特に；主に；中心に；特別；別に</t>
        </is>
      </c>
      <c r="F3040" t="inlineStr">
        <is>
          <t>殊に甚だしい；殊に此頃；殊に著しい；殊に暑い；殊に然</t>
        </is>
      </c>
      <c r="H3040" t="n">
        <v>29</v>
      </c>
      <c r="I3040" t="inlineStr">
        <is>
          <t>どんな花にも同じやうな粉があるが、殊に百合の花にはそれが沢山ある。；殊にその図画の先生は私を一番悪がつてゐたSと云ふ先生だつたのです。；彼れから金を借りた悲惨な貧乏人のうちで殊に悲惨な一家がありました。；氏は近来女の中でも殊に日本の芸者及びそうした趣味の女を嫌う様です。；殊にこのお写真はどうしてもこのお邸にある理がないのでございます。；殊に三千子さんの様な美しい存在をこの世からなくしない為にはね。；殊に小さい裸女の画などはどの位シヤルマンに出来上つてゐたであらう。；殊に実雅の方から仕掛けて兼輔を殺したらしいのが猶なお不快であった。；殊に自分がそれを知った以上、なおさら捨てて置くわけにはいかない。；殊に作家を煽動して小説や戯曲を書かせることには独特の妙を具えていた。；殊に十六章の十八節より十七章九節までは、一の思想を伝えているのである。；殊に肩上げをおろしたばかりの三重子は当惑以上に思ったかも知れない。；殊に婦人病をはじめ、女性の下の病等を平癒する神としても有名である。；殊に家に伝わる宝物であるから、女と一緒にかかえて行ったものであろう。；殊にその大得意なのは、いつも同じ時間を指してゐるブリキの時計でした。；殊に幸次郎の口添えもある以上、半七も断わるわけにも行かなくなった。；この言葉は殊に科学によってその正しい意味から堕落させられている。；僕等の様な仕事をしているものには殊に、盲点の作用ほど恐ろしいものはない。；殊に一度、彼の同僚が訪ねて来てからは一層、家の中を気にするやうになった。；そんな彼女の姿を見た家族、殊に母と姉は彼女にきつく当たるばかりであった。；殊に貧しげな彼の身なりはこの世俗的な問題に一層の重みを加えていた。；殊にルイ王朝時代の繁栄の跡として立派な宮殿や道路が出来て居ります。；殊に彼等は廓の酒に酔っているので、自由に働くことの出来ない者もあった。；殊に目立つのはその大きい爪で、さながら雪のように白く光っていた。；今言うた道などは、その中殊に、思ひ設けず発見した道であつた。；相当に学問もあり、殊に、当時流行のミルの哲学などにも通じてゐる。；殊に平田先生のやうに真剣に翻訳することは愈容易ならぬ仕事である。；殊に農民文化と云ふに至つては、断然無いと云はなければならぬと思ひます。；殊に徳川時代に入っていよいよ盛になったのは誰も知る通りである。</t>
        </is>
      </c>
      <c r="J3040">
        <f>HYPERLINK("https://www.weblio.jp/content/殊に", "词义详情")</f>
        <v/>
      </c>
      <c r="K3040">
        <f>HYPERLINK("https://yourei.jp/殊に", "查看例句")</f>
        <v/>
      </c>
    </row>
    <row r="3041">
      <c r="A3041" t="inlineStr">
        <is>
          <t>ことによると</t>
        </is>
      </c>
      <c r="B3041" t="inlineStr">
        <is>
          <t>成功</t>
        </is>
      </c>
      <c r="C3041" t="inlineStr">
        <is>
          <t>読み方：ことによると
事と次第では。もしかすると。事によったら。「—病気かもしれない」</t>
        </is>
      </c>
      <c r="H3041" t="n">
        <v>29</v>
      </c>
      <c r="I3041" t="inlineStr">
        <is>
          <t>ことによると周馬とおれとの話も、どこかで聞かれていたかもしれねえ。；ことによると、おまえはぜひわしの口からそれが聞きたいのかもしれぬ。；ことによるとオーエンは、その正体まで見当をつけていたかもしれない。；ことによるとちょうどその辺を今電車が走っているのかもしれないのである。；ことによるとまたわたしをだまそうとしているんじゃないかと思ったのよ。；ことによるとわれわれの求める生命の星とは地球なのかもしれない。；ことによると、わしらの生きてるうちには見られねえかもしれねえだ。；ことによるとごくつまらない、どうでもいいようなことかも知れません。；ことによるとどこかへまた出かけたかと思うが、ちょっと待ちねえよ。；ことによるともうすでに立派な患者になっているのではないかしらん。；この降りではことによると、百合の芽も折られてしまったかも知れない。；彼は全部で五発であったと思うが、ことによると六発であったかも知れない。；ことによると、彼はそれが公表されるとは思っていなかったのかもしれない。；ことによると、何か古代から伝わってきた記憶がそうさせたのかもしれない。；ことによると本局へも二人や三人党員が入りこんでいるかもしれません。；ことによると、その洞窟には目に見えぬ危険がひそんでいるのではないか?；ことによるとあの顔は山中の人よりも作品よりも上を行くものかもしれない。；ことによると、もうこれだけで、僕のものになったのではあるまいか?；ことによると、これは生きている他の病人のためにもいいからだろう。；ことによると彼らが子供をさらって行ったのかもしれないという説も出た。；ことによると、ドスト氏と私もそういう目で見られているのかもしれない。；ことによるとあの巣の中には鶺鴒の雛は一つもいないのではあるまいか。；私たちもこの夏はことによるとどこかへ行くかも知れないのよ。；ことによるとだれかが秘密を打ち明けてくれるかもしれないと期待している。；ことによると、あの二人といっしょに警察へこいと言われるかもしれない。；ことによると、あの馬をダービーに出すことさえ反対するかもしれません。；ことによると、彼らが計算を誤る危険はほんの少し大きいかもしれないが。；いやことによるとマリオの方がよほど優れているかも知れなかった。；ことによると、自分は隠遁生活が少々退屈になってきたのかもしれない。</t>
        </is>
      </c>
      <c r="J3041">
        <f>HYPERLINK("https://www.weblio.jp/content/ことによると", "词义详情")</f>
        <v/>
      </c>
      <c r="K3041">
        <f>HYPERLINK("https://yourei.jp/ことによると", "查看例句")</f>
        <v/>
      </c>
    </row>
    <row r="3042">
      <c r="A3042" t="inlineStr">
        <is>
          <t>言葉</t>
        </is>
      </c>
      <c r="B3042" t="inlineStr">
        <is>
          <t>成功</t>
        </is>
      </c>
      <c r="C3042" t="inlineStr">
        <is>
          <t>読み方：けとば
「ことば」の上代東国方言。
「父母が頭(かしら)かきなで幸(さ)くあれて言ひし—ぜ忘れかねつる」〈万・四三四六〉</t>
        </is>
      </c>
      <c r="D3042" t="inlineStr">
        <is>
          <t>言葉遣い；言葉どおり；言葉つき；言葉巧み；言葉使い</t>
        </is>
      </c>
      <c r="E3042" t="inlineStr">
        <is>
          <t>話；口；子；主張；話し</t>
        </is>
      </c>
      <c r="F3042" t="inlineStr">
        <is>
          <t>そんな言葉；同じ言葉；意味する言葉；こんな言葉；どんな言葉</t>
        </is>
      </c>
      <c r="G3042" t="inlineStr">
        <is>
          <t>言葉通り；言葉づかい；言葉遊び；言葉自体；言葉少な</t>
        </is>
      </c>
      <c r="H3042" t="n">
        <v>29</v>
      </c>
      <c r="I3042" t="inlineStr">
        <is>
          <t>主として何らかの社会と関連のある空間を意味する多義的な言葉である。；またアニメ監督や作品などでもこの言葉は使われるようになってきている。；本作では女学校時代から番外編まで、この言葉が重要な鍵となっている。；原語が英語でないが、多くの人に英語だと誤解されている言葉もある。；また渥美が役者を目指すようになったのにはある刑事の言葉があると言う。；仏事と関連のあるように見える言葉が多いのは当て字によるものである。；相撲の技を言葉で表現しようとする試みは、戦国時代に始まるといわれる。；この二つの言葉が合わさってエツモイとなりイツモに変化したとする説。；言葉や能力の定義を厳密に定めた総合ルールと呼ばれるものがある。；動物分類学や植物分類学だけを指すためにこの言葉が用いられることもある。；ロボットは、現在では次のようにいくつかの意味で用いられている言葉である。；こうして遺伝現象の基本的な部分は分子の言葉で記述されるようになった。；西洋ではワインに相当する言葉が総称として用いられることがある。；仏教の時代に入ると「法」は非常に重要な言葉・思想・実践となった。；言葉・言語を伝達し記録するために線や点を使って形作られた記号のこと。；これらのコンセプトはUNIX哲学という言葉で表現されることがある。；関東とは、日本の中の、特定の地域・地方を指す言葉・概念である。；私は西洋の言葉でこれを表現するのは適さないということを認めるものです。；とは、物や人物に与えられた言葉のことで、対象を呼んだりする際に使われる。；また同じ漢字で時と読む言葉は、昔の日本の時法における単位である。；一般的にレコードは音楽用記録メディア全体を示す言葉としても使われる。；つまり、色を表す言葉の数によって、虹の色の区切り方が違うのである。；作業指示は、他の意味に取られるような言葉では行わないようにしなければならない。；さまざまな理由が挙げられているが、中でも言葉の壁が大きかったと。；次に卦辞が続き卦の名前と卦全体の内容を様々な象徴的な言葉で説明する。；ハングル語の中に日本語の発音に似た言葉が多く存在するのもそのせいである。；また、アマチュア的な生物研究を指すためにこの言葉が用いられることもある。；初期のBaronとは貴族称号ではなく直属受封者を意味する言葉だった。；この「道」は言葉によって客観的に捉えることができないとされている。</t>
        </is>
      </c>
      <c r="J3042">
        <f>HYPERLINK("https://www.weblio.jp/content/言葉", "词义详情")</f>
        <v/>
      </c>
      <c r="K3042">
        <f>HYPERLINK("https://yourei.jp/言葉", "查看例句")</f>
        <v/>
      </c>
    </row>
    <row r="3043">
      <c r="A3043" t="inlineStr">
        <is>
          <t>言葉遣い</t>
        </is>
      </c>
      <c r="B3043" t="inlineStr">
        <is>
          <t>成功</t>
        </is>
      </c>
      <c r="C3043" t="inlineStr">
        <is>
          <t>読み方：ことばづかい
物の言い方。言葉の使いぶり。「—が悪い」「丁寧な—」</t>
        </is>
      </c>
      <c r="D3043" t="inlineStr">
        <is>
          <t>言葉；言；言語；用語；舌</t>
        </is>
      </c>
      <c r="F3043" t="inlineStr">
        <is>
          <t>乱暴な言葉遣い；下品な言葉遣い；上品な言葉遣い；そんな言葉遣い；荒っぽい言葉遣い</t>
        </is>
      </c>
      <c r="H3043" t="n">
        <v>29</v>
      </c>
      <c r="I3043" t="inlineStr">
        <is>
          <t>他の土地の人間と話す時には自然に標準語に近い言葉遣いになるからだ。；それでも、なんとか相手の意見を聞くつもりの言葉遣いにはなっている。；言葉遣いはちょっと生意気なところもあるけど、純粋でいい子のようだ。；よく知らない人に、そんなぞんざいな言葉遣いを女はしないはずである。；言葉遣いは丁寧だが、眼つきに相手を窺うようなところが共通している。；意識はしていませんが、相手の表情や言葉遣いを常に観察している。；古語法とは、会話や文で、もはや使われていない言葉遣いを用いること。；言葉遣いや服装はもとより、どんな人からも好意を持たれる必要がある。；当初は女性的な言葉遣いが目立ったが、中盤以降はほとんど見かけない。；言葉遣いもそうであったし、教師から一方的に命令されることはまずない。；普段は丁寧な言葉遣いで話すが、初期頃は普通に話すことが多かった。；とても表には出せないようなかなり乱暴な言葉遣いをしたように思う。；美しい正しい言葉遣いの背後にある緊張感や毅然とした独立の姿勢が良いのだ。；俺は一生かかったって、おまえの乱暴な言葉遣いをやめさせるからな!；表面的な言葉遣いはきれいだけど、心の底では何を考えているかわからないんです。；本作では語尾ボイスが廃止されたため、言葉遣いが声ごとに決まっている。；といって、聖二の言葉遣いや態度が女性的だったというのではなかった。；しかし、19世紀に明らかにアメリカ的言葉遣いのものが現れ始めた。；蓮っ葉な言葉遣いだが、しっかりした家庭で育った品の良さがほの見える。；それに、あの人の言葉遣いを気にするなんて、ほんとうにばかでしたわ。；爺さんはその言葉遣いや様子合から下町に生れ育ったことを知らしていた。；絵本として出版されたので、それに相応しい言葉遣いに改められている。；言葉遣い、それから顔つきまで変化させてしまう見事なカメレオンぶり。；その違和感を、私は沙都子のおかしな言葉遣いを聞きながら感じていた。；むろん、声の調子や言葉遣いも、いろいろ工夫して、一変させたのです。；それが社会人となって一層緊張し、言葉遣いにまでルールを拡大したのだろう。；二人だけでホテルのバーで会う時にくらべると、よそゆきの言葉遣いだ。；更に番組中での松山の言葉遣いが乱暴だなどと色々批判の声も上がっていた。；愛想のよい流暢な言葉遣いがどこからくるものか、それで納得できた。</t>
        </is>
      </c>
      <c r="J3043">
        <f>HYPERLINK("https://www.weblio.jp/content/言葉遣い", "词义详情")</f>
        <v/>
      </c>
      <c r="K3043">
        <f>HYPERLINK("https://yourei.jp/言葉遣い", "查看例句")</f>
        <v/>
      </c>
    </row>
    <row r="3044">
      <c r="A3044" t="inlineStr">
        <is>
          <t>寿退社</t>
        </is>
      </c>
      <c r="B3044" t="inlineStr">
        <is>
          <t>成功</t>
        </is>
      </c>
      <c r="C3044" t="inlineStr">
        <is>
          <t>読み方：ことぶきたいしゃ
［名］(スル)女性社員が結婚を理由に退職すること。</t>
        </is>
      </c>
      <c r="H3044" t="n">
        <v>20</v>
      </c>
      <c r="I3044" t="inlineStr">
        <is>
          <t>当初は2、3年勤めて寿退社するつもりだったが当てが外れた。；それをどうして語る気になったのかと言うと、これは実はとても単純な話で、今まで何かと世話になっていた、担当編集者の寿退社が決まったからである。；仕事は寿退社で家庭に入り、そんなわけで、ぼくが学校から帰ると、いつも彼女が出迎えてくれるのだった。；同僚たちは次々に寿退社をしていく。；今でこそ、自分がまだ寿退社出来ずにいるのは、すべて将生に原因があるようなことを言う菊香だが、将生の髪が瞬く間に抜け落ちて、若はげになったら、彼女はどう思うだろうか。；新田と別れ、苦痛の日が戻ることとなった優衣は会社を辞めることを決意するが、上司にしつこくなぜやめるのかを問われ、納得させる理由として寿退社と嘘をついて了承され、2ヶ月後に辞めることが決まった。；アナウンサーとしての勤務は2年間と短く、1996年3月いっぱいで寿退社。；でも霧島巡査のパートナーを務めていた婦人響官が、寿退社という名目で、警察を退職してしまったんで、しばらく一人で、業務をこなしていたようなんだね。；社内では営業三課の古株女子社員である恵がついに結婚し寿退社で盛り上がっていたが、ちょうど手の空いた社長室訪問時に歯痛を感じたスーさん、急遽手近な歯科医院を訪れると偶然にも担当医が東尋坊で出会った田上であった。；氷室は外に出ることなく、寿退社を間近にしたドジでおバカな女性警察官彩木くるみを携帯電話で手足のように使い、リモート操作のごとく事件を解決していく。；女性が結婚に伴い退職する場合を俗に「寿退職」「寿退社」と表現する場合もあるが、女性の働き方の変化により、21世紀の現在では廃語になりつつある。；寿退社翌日に婚約を破棄され復職した出版社勤務の29歳のOLが、新上司のファッション誌編集長の指示に従ってファッションブランドのマーケティング戦略を取り入れた恋愛テクニックを用いつつ、成功と失敗を重ねながら恋愛と人生を切り拓いていく姿を描く。；実は、はるみは結婚前に「大江戸テレビ」というテレビ局のアナウンサーをしていたが、京一郎との結婚を機に寿退社、専業主婦として転勤生活を支えていた。；日本の企業は従来より、女性従業員に対しコピーやお茶汲みなどの雑務を任せるなど、女性の仕事は寿退社までの花嫁修業と考えられていたが、1980年代に男女雇用機会均等法が制定され、女性に対する労働上の差別をなくすための法改正が行われた。；いわゆる寿退社である。；郁子へプロポーズし、社内にその話を広めて郁子を寿退社に追い込もうとした矢先、高木の後ろ盾である藤堂がヘッドハンティングで他社へ移籍したため、部長の椅子には井上が座り、高木は倉庫事務課に左遷となる。；人事部配属となるが、25歳で寿退社。；寿退社として1979年にフリーに転向し、フジテレビの『リビング11』の商品レポーターやテレビ東京の『三越テレショップ』の司会を務めている。；その後アージュを寿退社。；あ、寿退社?</t>
        </is>
      </c>
      <c r="J3044">
        <f>HYPERLINK("https://www.weblio.jp/content/寿退社", "词义详情")</f>
        <v/>
      </c>
      <c r="K3044">
        <f>HYPERLINK("https://yourei.jp/寿退社", "查看例句")</f>
        <v/>
      </c>
    </row>
    <row r="3045">
      <c r="A3045" t="inlineStr">
        <is>
          <t>子供</t>
        </is>
      </c>
      <c r="B3045" t="inlineStr">
        <is>
          <t>成功</t>
        </is>
      </c>
      <c r="C3045" t="inlineStr">
        <is>
          <t>読み方：こども
《「ども」は接尾語で、本来は複数であるが、今では多く単数に用いる》
１年のいかない幼い者。児童。小児。わらべ。わらんべ。また、多くの子。子ら。「幼稚園の—」⇔大人。
２親がもうけた子。むすこやむすめ。「—の教育費」
３動物などの子、また、その幼いほう。「パンダの—が生まれた」
４行動などが幼く、思慮が足りない者。「からだは一人前だが、考えることは—だ」⇔大人。
５目下の若い人々に親しく呼びかける語。
「いざ—早くやまとへ大伴の三津の浜松待ち恋ひぬらむ」〈万・六三〉
６江戸吉原で遊女が小間使いにした幼女。かぶろ。
７近世、男色を売った年少の歌舞伎役者。陰間(かげま)。子供衆。
８江戸深川や京坂の遊里で、抱えの遊女をいった語。
「—は揃うて居るなり、女共も能くいたします」〈洒・辰巳之園〉</t>
        </is>
      </c>
      <c r="D3045" t="inlineStr">
        <is>
          <t>子供向け；子供時代；子供心；子供みたい；子供等</t>
        </is>
      </c>
      <c r="E3045" t="inlineStr">
        <is>
          <t>子；子ども；児；児童；赤ん坊</t>
        </is>
      </c>
      <c r="F3045" t="inlineStr">
        <is>
          <t>幼い子供；小さい子供；女房子供；ほんの子供；子供好き</t>
        </is>
      </c>
      <c r="G3045" t="inlineStr">
        <is>
          <t>子供達；子供っぽい；子供らしい；子供のこと；子供部屋</t>
        </is>
      </c>
      <c r="H3045" t="n">
        <v>29</v>
      </c>
      <c r="I3045" t="inlineStr">
        <is>
          <t>この子供向け漫画を中心とした第 2期の活動は1966年まで続いた。；この間、子供向けのピアノ曲を作曲するなど教育分野での貢献も残した。；ビスケットの中には子供向けに文字や動物の形をしたものも作られている。；通常、祝祭とコンサートは小さな子供向けと大人向けに分けられている。；フランスでは子供に付けられる名前が少なく、同じ名前の人物が多数いる。；そしてこれは子供の名前をつけるときなどの重要な要素にもなる。；まあいうたら子供の流行歌手ですよってな、多くは期待しませんでした。；妻との間に5人の子供がいて、それぞれ尊敬する作家の名前をつけている。；子供に兄や姉がいる場合、彼らが初期の仲間関係をつくる相手となる。；現在では特に子供に金銭を与える習慣及びその金銭の意で用いられている。；生涯結婚することが無く、一般的には子供もいなかったと言われる。；特に、通常のテレビで子供が直接見る時間帯に放映されるものに多い。；そして初期に作られたアニメで成功した作品はほとんどが子供向きのものであった。；現代では子供用や一部の食堂などでプラスチック製もよく使われる。；この食事法は、特に子供に対して非常に効果的であることが分かった。；さらに、成長に伴い使われる子供向けの楽器類なども玩具に相当する。；Mammoth 三部作は表面的には子供向けだが大人にも人気がある。；弱い子供を助けてくれ、病気で寝ている子はアンモを拝むと治るという。；子供は多少色のあるものを着るが、成人は決められた色のものしか着ない。；絵の腕は大人も驚く出来だったが、あまり外向的な子供ではなかったという。；またテティスから生まれてくる子供の運命についても示唆されている。；これなどの作品はアニメ愛好者よりは子供を中心とした家族を狙った作品が多い。；子供の役であっても台詞がある場合には大人の俳優がそれを演じる。；京都一中の同期には学者の子供が多く、後に学者になった者も多かったという。；日本以外では、子供の役は子供に担当させることが主流である。；子供がいる家庭に、日本のように勉強机や本棚がある家庭は珍しい。；この往復路で女・子供・老人を含めた数百人のナバホの民が死んだ。；喘息持ちで外で遊べなかったせいで子供の頃から映画に親しんでいた。；これに対してプラークリットは婦人・子供・地位の低い男性が用いた。</t>
        </is>
      </c>
      <c r="J3045">
        <f>HYPERLINK("https://www.weblio.jp/content/子供", "词义详情")</f>
        <v/>
      </c>
      <c r="K3045">
        <f>HYPERLINK("https://yourei.jp/子供", "查看例句")</f>
        <v/>
      </c>
    </row>
    <row r="3046">
      <c r="A3046" t="inlineStr">
        <is>
          <t>小鳥</t>
        </is>
      </c>
      <c r="B3046" t="inlineStr">
        <is>
          <t>成功</t>
        </is>
      </c>
      <c r="C3046" t="inlineStr">
        <is>
          <t>読み方：ことり
１形の小さい鳥。ウグイス・スズメ・ヒバリなど。
２形の小さい飼い鳥。インコ・カナリア・ブンチョウなど。
３秋になって渡ってきたり、また、山地から人里近く姿を現したりするモズ・ヒヨドリ・ムクドリなどの総称。《季秋》「禅寺の苔をついばむ—かな／虚子」</t>
        </is>
      </c>
      <c r="D3046" t="inlineStr">
        <is>
          <t>小鳥たち(7%)；小鳥みたい；小鳥ども；小鳥達；小鳥遊</t>
        </is>
      </c>
      <c r="E3046" t="inlineStr">
        <is>
          <t>鳥；鳥類；バード；禽鳥；飛禽</t>
        </is>
      </c>
      <c r="F3046" t="inlineStr">
        <is>
          <t>美しい小鳥；黄色い小鳥；かわいい小鳥；青い小鳥；黒い小鳥</t>
        </is>
      </c>
      <c r="G3046" t="inlineStr">
        <is>
          <t>小鳥遊練無；小鳥遊；小鳥川；小鳥谷；小鳥居</t>
        </is>
      </c>
      <c r="H3046" t="n">
        <v>29</v>
      </c>
      <c r="I3046" t="inlineStr">
        <is>
          <t>近年鉱毒被害の為め小鳥少なく、二十歳以下の者この例を知るものなし。；小鳥が天使の方へ高く飛び行く時には、そういう言葉を聞くに違いない。；彼らは未墾の野の中に、小鳥だけが知っている泉の縁を住処としている。；林から林へ移って行く小鳥の群が幾度となく二人の前を過ぎて行った。；そして足音を忍んで、小鳥の籠の置き並べられた箱の傍へ寄つて行つた。；あたしは急に十五歳の少女になつて、小鳥のやうに身軽になりましたの。；森に居る小鳥の他何うして家の内の其等の人はいるかを知らなかった。；一羽の見慣れない小鳥が妙な節で木に止まって歌をうたっていました。；ある小鳥の例では、雛は親が近づくと頭を上に向け、口を大きく広げる。；小鳥は、毎日のように枯れた林にきては、いい声でさえずっていました。；小鳥たちの歌のあの表現があれほど感動を与えうるのは正にそのためである。；と、また白鷺を先に立て数百羽の小鳥群をなし元来た方へ消えて行った。；旅人は小鳥を手に取って話をしている若者達に見せてこう言いました。；どこか小鳥のような感じのする人で仏語のほかは話さなかったようである。；そして、翌日、娘は小鳥と約束をしたように、林の中に入ってゆきました。；「私が起して見ましょう」窓に近い木のうえに居た小鳥が言いました。；小鳥では無いまでも、いずれ暖い洞窟が待っているのでは無い獣でもあるか。；そういう部落の木立をしたって、小鳥たちが集まっているのであろうか。；鳥屋で捕れる小鳥は、一朝に六十羽や七十羽ではきかないと言ひました。；今まで少しも気づかなかった小鳥の声が、やかましく女の耳にはいって来た。；だが小鳥達はそれに反し、小さく体を縮めながら、籠の中で顫えていた。；女房は小鳥が羽の生えたままで死ぬように、その着物を着たままで死んだのである。；それは小鳥を籠に閉じこめて、歌わせようとするのも同じではないか。；こうしたいろいろの鳥や小鳥が樺太の山や海に飛んだり啼いたりしています。；小鳥はその方へ首を伸ばすやうにしてぢつと泊まり木にとまつてゐた。；しかし、雲も小鳥たちも、下に立っている木を見つけませんでした。；ある朝、ぼけの枝に、きれいな小鳥が飛んできて、いい声でなきました。；第一の場合には人間だが、第二の場合にはたかだか小鳥にすぎない!；森の中の自然は素晴らしく、花や小鳥に心が奪われてしまいそうだ。</t>
        </is>
      </c>
      <c r="J3046">
        <f>HYPERLINK("https://www.weblio.jp/content/小鳥", "词义详情")</f>
        <v/>
      </c>
      <c r="K3046">
        <f>HYPERLINK("https://yourei.jp/小鳥", "查看例句")</f>
        <v/>
      </c>
    </row>
    <row r="3047">
      <c r="A3047" t="inlineStr">
        <is>
          <t>諺</t>
        </is>
      </c>
      <c r="B3047" t="inlineStr">
        <is>
          <t>成功</t>
        </is>
      </c>
      <c r="C3047" t="inlineStr">
        <is>
          <t>読み方：げん
［人名用漢字］　［音］ゲン（呉）（漢）　［訓］ことわざ
１ことわざ。「古諺・俗諺・俚諺(りげん)」
２通俗語。「諺解」
［難読］諺文(オンモン・オンムン)</t>
        </is>
      </c>
      <c r="D3047" t="inlineStr">
        <is>
          <t>諺どおり；諺記</t>
        </is>
      </c>
      <c r="E3047" t="inlineStr">
        <is>
          <t>格言；名言；マキシム；成句；箴言</t>
        </is>
      </c>
      <c r="F3047" t="inlineStr">
        <is>
          <t>類諺；こんな諺；歌諺；此諺</t>
        </is>
      </c>
      <c r="G3047" t="inlineStr">
        <is>
          <t>諺解；諺蔵；諺文綴字法；諺能力検定試験</t>
        </is>
      </c>
      <c r="H3047" t="n">
        <v>29</v>
      </c>
      <c r="I3047" t="inlineStr">
        <is>
          <t>諺にはよく瓢箪が登場するのだが、古くは宗教的な意味もあったらしい。；よほど前から市民中の有識者達が、諺のようにこう云う事を言っていた。；一 好きこそ物の上手といふ諺文学芸術の道に名をなす秘訣と知るべし。；そうした言葉の中には日常会話で使われる諺になったものもある。；まったく諺にいうとおり、「恋の神と酒の神とはいつも仲よし」なのだ。；老いては子に従え、と古い諺が庶民生活の中では長く生きてきたものだ。；だから諺にも近侍の眼から見れば英雄もまた凡人に過ぎずと申します。；今子供たちに諺に使われているのは、お前とは別な法官のことなのだからな。；この諺を一番よく口にするのは人間の中でも一番弱々しい連中に限られている。；東風が吹くと人にも獣にもいいことがない、というイギリスの諺がある。；したがってこのフレーズはおそらく当時にあってもよく知られた諺であった。；もともとあるジョーク、諺の類をシリーズとして拡大化したものもある。；しかし彼も、諺として以外にそういう話を聞いたことは一度もないのである。；なほこの諺は日本の他の地方にも辞句が多少変つてあるかも知れぬと思ふ。；諺も、必ず、一つの問題を含んでゐると言ふ形のものが出来て来る。；諺の中には、相互に矛盾するものがたくさんあることはよくご存知であろう。；しかし、諺にもいうとおり、「気があれば目も口ほどに物を言い」である。；我国の諺なり格言なりをいうと、彼は日本に於る同様なものを挙げる。；諺をまだ知らない同国人の留学生等には彼の方から単純に説明した。；「われを愛せばわが犬をも愛せよ」という諺があるのを私は知っている。；町で諺にまでなっているほど有名なその住居も庭も、それには役立たなかった。；嘘をずっとつき通す人は、記憶がよくなければならないという諺があった。；猫にまたたびの諺はかねて聞いていたが、その花を見るのは今が初めであった。；併し、根本的には、諺の形式の叙事詩の中で発達したものが、歌である。；「下男から見た主人に英雄はいない」 イギリスにこんな諺があるそうだ。；こうして人々は、「窮鼠却て猫を噛む」の諺を目にしたとのことである。；余程前から市民中の有識者達が、諺のやうにかう云ふ事を言つてゐた。；西洋の諺どおり、敵討は男らしいというより犬らしいと言ったほうがよい。；「先生と言われる程の」という諺は、なんという、いやな言葉でしょう。</t>
        </is>
      </c>
      <c r="J3047">
        <f>HYPERLINK("https://www.weblio.jp/content/諺", "词义详情")</f>
        <v/>
      </c>
      <c r="K3047">
        <f>HYPERLINK("https://yourei.jp/諺", "查看例句")</f>
        <v/>
      </c>
    </row>
    <row r="3048">
      <c r="A3048" t="inlineStr">
        <is>
          <t>断る</t>
        </is>
      </c>
      <c r="B3048" t="inlineStr">
        <is>
          <t>成功</t>
        </is>
      </c>
      <c r="C3048" t="inlineStr">
        <is>
          <t>読み方：ことわる
［動ラ五（四）］《「理る」と同語源》
１あらかじめ知らせておいて了解を得る。許しを得る。「本題に入る前に—・っておく」「—・って早退する」
２相手の申し出などに応じられないことを告げる。拒絶する。辞退する。「誘いを—・る」「借金を—・られる」
３念のために言う。「周知の事実だから、ここに—・るまでもないことだが」
４契約や雇用などの関係をうち切る。「今月限りで取り引きを—・る」「定期購読を—・る」
[可能]ことわれる
[用法]ことわる・こばむ——「要求を断る（拒む）」「申し出を断る（拒む）」など、応じない・辞退するの意では相通じて用いられる。◇「拒む」は、威圧的・強制的な要求や申し出などを辞退することで、「出席を拒む」といえば、出席せよという命令を拒否する意になる。◇口頭語では一般に「断る」を多く使い、「せっかくだけど断るよ」「お断りします」のようにいう。◇「断っておくが、私は反対です」のように、あらかじめ知らせておくの意は、「拒む」にはない。また、「土砂崩れが行く手を拒む」のような、さまたげるの意は「断る」にはない。</t>
        </is>
      </c>
      <c r="D3048" t="inlineStr">
        <is>
          <t>断るべき；断るしかない；断るまい</t>
        </is>
      </c>
      <c r="E3048" t="inlineStr">
        <is>
          <t>できない；拒否；難しい；拒絶；遠慮</t>
        </is>
      </c>
      <c r="F3048" t="inlineStr">
        <is>
          <t>強く断る；一旦断る；わざわざ断る；どうしても断る</t>
        </is>
      </c>
      <c r="H3048" t="n">
        <v>29</v>
      </c>
      <c r="I3048" t="inlineStr">
        <is>
          <t>どれほどの覚悟を持っているのか、それを考えるだけでとても断れない。；断ろう、と思って口を開きかけた時、弁護士にまた別な考えが浮かんだ。；本の話をするのが大好きな美人の誘いを断る理由などどこにもなかった。；その顔を見ている限り、その変わった頼みごとは断れそうにもなかった。；これが人々の意表にでた行為だったことは、改めて断るまでもあるまい。；突然ではあるが、それを断る理由なんてこれっぽっちもあるはずがない。；後継の写譜師達からは仕事を断る者、途中放棄する者が出たほどである。；その後の仲間たちやティファとの電話で珍しく翌日の仕事の依頼を断る。；あの子が断れない性格だって知っててやってんだから頭にくるなあ。；デートが無理になったのなら、前日にでも電話を入れて断ればいいのだ。；しかし、清兵衛は自らの身分の低さと貧しさを理由にその申し出を断る。；王宮内でこの話を断ろうとする俺に対する非難が続出しているようにな。；だから娘の顔を見たとき、彼は生活保護の受け取りを断ろうと決意した。；付き合うつもりなのか、断るつもりなのか、どちらもありうる気がした。；不審に思ったミランダだったが、断る理由もないのでその通りにさせた。；その礼として持っていた百金はする剣を渡そうとしたが、漁師は断った。；渡仏当初から小説を書き始め、出版社に原稿を送ったが次々と断られた。；しかし実際は幾人かに断られた末の5人目だったことを後に知った。；そして思想の断れ目毎に見える彼はもとのように静かで動かない。；自分がいないところで何か楽しいことがあったらと思うと、絶対に断れない。；ジェンキンスは何度か彼女にプロポーズをしたが、そのたびに断られた。；三越にも断られたが事態を注視していたそごうが出店を決めたのだった。；ここまで自分を育ててくれた主人の頼みを、断れなかったんだと思います。；お浪は涙を流して源太に感謝するが、十兵衛は無愛想にその提案を断る。；今回はチャーチルも受けることを検討していたが、最終的には断っている。；断るかと思って見ていると、筆を使い、懐から用意の印形を取り出した。；当然断られることもあるが、番組ではその様子も含めて放送される。；こんなことは勿論まるで予期していなかったので、私は断ろうとした。；そこで彼はケートのもとへ向かい、資金を求めるが一度は断られてしまう。</t>
        </is>
      </c>
      <c r="J3048">
        <f>HYPERLINK("https://www.weblio.jp/content/断る", "词义详情")</f>
        <v/>
      </c>
      <c r="K3048">
        <f>HYPERLINK("https://yourei.jp/断る", "查看例句")</f>
        <v/>
      </c>
    </row>
    <row r="3049">
      <c r="A3049" t="inlineStr">
        <is>
          <t>粉</t>
        </is>
      </c>
      <c r="B3049" t="inlineStr">
        <is>
          <t>成功</t>
        </is>
      </c>
      <c r="C3049" t="inlineStr">
        <is>
          <t>読み方：こ
固体が砕けて細かくなったもの。こな。「火の—」「身を—にして働く」</t>
        </is>
      </c>
      <c r="D3049" t="inlineStr">
        <is>
          <t>粉状(3%)；粉ひき；粉挽き；粉っぽい；粉ごなに</t>
        </is>
      </c>
      <c r="E3049" t="inlineStr">
        <is>
          <t>火薬；パウダー；粉体；麦粉；穀粉</t>
        </is>
      </c>
      <c r="F3049" t="inlineStr">
        <is>
          <t>授粉；捏粉；トウモロコシ粉；黒い粉；練り粉</t>
        </is>
      </c>
      <c r="G3049" t="inlineStr">
        <is>
          <t>粉末；粉々；粉雪；粉塵；粉飾</t>
        </is>
      </c>
      <c r="H3049" t="n">
        <v>29</v>
      </c>
      <c r="I3049" t="inlineStr">
        <is>
          <t>以前は米の粉を使用していたとされる材料も小麦粉へと変化している。；白ふんで覆われたようになっており、時々灰色の胞子の粉がついている。；一旦粉にしてから使う用途の主なものには次のようなものがある。；粉は、十二文に属する字であるが、魂、村は十三元に属する字である。；粉石灰を使用するこの方法は、共同・集団墓地でもしばしば利用される。；すると、山のふもとに、粉を流したような白い水の流れる川があった。；小麦粉がより柔らかい種類のコムギから作られる時、粉の色は白である。；エリシャはこの地に戻った時に、毒の入った煮物に毒粉を入れて毒を消した。；アルバムジャケットは古い粉石けんのようなものをイメージしたとのこと。；可燃物や金属粉と混合すると、衝撃または熱により爆発することがある。；粉を通過して抽出されたコーヒー液は下に落ちて、再び下の湯に混ざる。；そして、言われたとおり雲母の粉を食べてみると、確かに身体が軽くなった。；乾燥して保存された澱粉のうち、日常使用されるのは二番粉である。；婿に入って以来、遊びもせず身を粉にして働いた身体は労咳に蝕まれていた。；小麦の栽培が普及し、やがて小麦を粉にしてから食するために発明された。；原木栽培の他、木粉などを混合して煉瓦状に成形した菌床で栽培される。；世界のいくつかの地域では、授粉不足は移動性の養蜂によって補われる。；人間の大腿骨が二つ置かれ、二つの白い皿に粉が入れられている。；食べ終わったらボタンを押しランナーはそのまま粉の中へ落ちる。；ある年の春、黒い粉をはき出し、死んでしまうという謎の病気が発生した。；よく食べられるのは小麦粉やトウモロコシ粉で作られたパンである。；花を訪れる動物の中で送粉を行わず蜜のみを採る動物を盗蜜者と呼ぶ。；蕎麦屋と天ぷら屋では、天ぷら用の粉に違うものが用いられることがある。；レンコン粉が加えられているために、麺は全体に茶色で黒い点がある。；植物体は全体に濃い緑色で、少し粉を吹いたようになっている。；ウガリが他の粉から作られている場合は、その地域の名前が付けられていることが多い。；名前の由来はジャガイモの表面が粉を吹いたように見えるためである。；多くはユカ粉を用いるが、まれにトウモロコシ粉で作られることもある。；後のインタビューでは「ちょっと粉をつけすぎて滑った感じでした」と語った。</t>
        </is>
      </c>
      <c r="J3049">
        <f>HYPERLINK("https://www.weblio.jp/content/粉", "词义详情")</f>
        <v/>
      </c>
      <c r="K3049">
        <f>HYPERLINK("https://yourei.jp/粉", "查看例句")</f>
        <v/>
      </c>
    </row>
    <row r="3050">
      <c r="A3050" t="inlineStr">
        <is>
          <t>粉々</t>
        </is>
      </c>
      <c r="B3050" t="inlineStr">
        <is>
          <t>成功</t>
        </is>
      </c>
      <c r="C3050" t="inlineStr">
        <is>
          <t>読み方：こなごな
［形動］［文］［ナリ］ごく細かに砕けるさま。こなみじん。「ガラスが—に割れる」</t>
        </is>
      </c>
      <c r="D3050" t="inlineStr">
        <is>
          <t>粉々に砕け散る(2%)；粉々に砕け散り；粉々に吹き飛ばさ；粉々呪文</t>
        </is>
      </c>
      <c r="E3050" t="inlineStr">
        <is>
          <t>木っ端微塵；粉微塵；粉みじん；木っ端みじん；粉粉</t>
        </is>
      </c>
      <c r="F3050" t="inlineStr">
        <is>
          <t>落ちて粉々；ぶつかって粉々</t>
        </is>
      </c>
      <c r="H3050" t="n">
        <v>29</v>
      </c>
      <c r="I3050" t="inlineStr">
        <is>
          <t>グラスを粉々にしたまま男の部屋を飛びだしていれば、女の負けである。；信じたものが粉々に砕け散る瞬間を見せられるところだったではないか。；これをディスポーザーで水と一緒に粉々にして流していて、ふと思った。；それはまるで砕かれたガラスのように粉々になってあたりに飛び散った。；幸運にも私は、何か粉々になっているために、それに十分ではなかった。；ずっとかけていたミラーのサングラスは、床に飛んで粉々になっていた。；あるいは対空砲火の雨にさらされ、爆発して粉々になってしまったのだ。；おれは火力発電所の残りを、彼らが粉々に打ち砕くのを見たことがある。；一番大事にしているはずの彼との記憶を、自分の手で粉々にしようとしている。；建物の中にいた多くの者が粉々になった窓ガラスの破片を直接浴びた。；もしあたっていたら、わたしの全身の骨は粉々に打ち砕かれていただろう。；これではまるで、時計が床に落ちて粉々に壊れてしまったようである。；この木屑の中に、あなたの友達の身体が粉々になってありますのです。；さすがに粉々にはなっておらんようだが、指の二、三本は折れているはずだ!；勝手に墓を暴いた上にウッディーの身体を粉々にしてしまったからだ。；デイヴィッドはその時計を粉々に砕いてしまいたいような衝動を覚えた。；とキャーリサの頬を何かが掠め、彼女の背後にあった丘が粉々に爆発した。；他人が必死に積み上げてきた努力を一撃で粉々に砕くようなやり方でな。；もし準備していなければ、不運な旅行者は完全に粉々になり消滅するだろう。；次の瞬間、人には決して破壊できぬはずのクヴェルは粉々に砕け散った。；彼女が立っていた場所にあった椅子は影の一撃を受け粉々に砕けた。；私たち全員が五年以内に粉々になってしまう可能性をいかに高めるか。；彼女が廊下を向うへ消えていく様子でさえ、それに吹きつけて粉々にしてしまうの。；ガラス片のように粉々に、キラキラ輝く様は不思議に壮観な光景だった。；奴の持っていた明かりが床の上に落ちて、粉々に砕け、あたりは真っ暗。；私の体と私の意識と私の存在を、粉々になるまで踏みつぶそうとしているのだ。；目が開いたバージョンを試作して、その場で粉々にしてしまったと。；彼女は震え続けていて、ベネチアンガラスのように粉々になるかと思われた。；玄関ホールで何事かあったらしく、鉢植えが倒れ鏡は粉々に割れていた。</t>
        </is>
      </c>
      <c r="J3050">
        <f>HYPERLINK("https://www.weblio.jp/content/粉々", "词义详情")</f>
        <v/>
      </c>
      <c r="K3050">
        <f>HYPERLINK("https://yourei.jp/粉々", "查看例句")</f>
        <v/>
      </c>
    </row>
    <row r="3051">
      <c r="A3051" t="inlineStr">
        <is>
          <t>熟す</t>
        </is>
      </c>
      <c r="B3051" t="inlineStr">
        <is>
          <t>成功</t>
        </is>
      </c>
      <c r="C3051" t="inlineStr">
        <is>
          <t>読み方：こなす
［動サ五（四）］《粉(こ)に成す、の意》
１食べた物を消化する。「胃腸で食物を—・す」
２かたまっているものを細かく砕く。「畑の土を—・す」
３技術などを習って、それを思うままに使う。また、身につけた技術でうまく扱う。自在に扱う。「数か国語を—・す」「新型の機器を—・す」
４与えられた仕事などをうまく処理する。「ノルマを—・す」
５売りさばく。「在庫品を—・す」
６見下げる。けなす。
「這入れませんと恐れ入ったら、それ見ろと直ぐ—・されるに極っている」〈漱石・坑夫〉
７動詞の連用形に付いて、自分の思いのままにする意を表す。うまく…する。完全に…する。「使い—・す」「乗り—・す」「読み—・す」
[可能]こなせる</t>
        </is>
      </c>
      <c r="D3051" t="inlineStr">
        <is>
          <t>熟すと果皮；熟すと赤色；熟すと黒くなる；熟すと赤く；熟すと黄</t>
        </is>
      </c>
      <c r="E3051" t="inlineStr">
        <is>
          <t>なる；発生；発展；成長；発達</t>
        </is>
      </c>
      <c r="F3051" t="inlineStr">
        <is>
          <t>黒く熟す；熟すと黒く</t>
        </is>
      </c>
      <c r="G3051" t="inlineStr">
        <is>
          <t>熟すれ</t>
        </is>
      </c>
      <c r="H3051" t="n">
        <v>29</v>
      </c>
      <c r="I3051" t="inlineStr">
        <is>
          <t>ことばの定義が熟していなかったために議論が混乱した面もあるだろう。；それは、 なおいっそう貴重なものが熟してくるのを見ればこそである。；これは全体的にどこの地域でもまだ導入するための機が熟していなかった。；最初は緑色をしているが、熟すと黄色になり、ライムにもよく似ている。；黄金色の円は月を表し、パラオ人の機が熟し独立国となったことを表す。；その上のほうの枝には、褐色に熟した小さな種子が群がってついていた。；私の心の中で、この計画が熟してきたのは、事件の半年ほど前のことでした。；押しているうちに、和熟して自然に酸味が生じたので鮓と呼ばれました。；それに応ずる覚悟が次第に自分の内側にも熟して来ている感がある。；その前によく熟したチーズと、三種類のデザートを人々は口にしていた。；女の子を持つ時期が本当に熟してくれば、いつでも手に入るものだ。；彼らの観察では、機会はすでに十分に熟しているとしか思われなかったのです。；もう若くはないけれど、人生のもっとも熟した季節にいる女なのよってね。；或は時代がまだそれほどに熟していなかったことに基くのであろうか。；泰平二百何十年、もう、この江戸文化も熟しに熟しきってしまっている。；そしていよいよ民間でも飛行機製作の気運は漸く熟してきたといってよい。；果実が熟して落ちると仔ヒツジの足は地に達して周りの草を食べ尽くす。；真つ赤に、ふつくりと熟して、キスをせずにはゐられないやうなのです。；庵室の障子には熟しきった梅の実のように、真黄色な灯がうつっていた。；しかし実が熟すまで待つ気があれば伯爵はもっと堂々と帰れましょう。；多分、今の自分は頬を真っ赤に染めて、熟した柿のような顔色のはずだ。；漢方では熟したものの果皮を陰干しにしたものを陳皮と称して利用する。；果実は緑色のうちに、または熟して変色してから収穫することができる。；愛の光にてらされて、魂と魂の新しい結びつきが、次第に熟していった。；熟し過ぎたといふよりは、古くなつた果物といふ気がするかも知れません。；そうして拵えると竹が熟した時に養いが十分でないから軽い竹になるのです。；時が熟したら、竜騎士と竪琴師があの男を破滅させるくらいはできます。；市場で販売される際の外皮は部分的に緑色であり、熟すと黄色に変化する。；川からはワインが溢れ出し、木々の枝は花をつけ、金のりんごが熟した。</t>
        </is>
      </c>
      <c r="J3051">
        <f>HYPERLINK("https://www.weblio.jp/content/熟す", "词义详情")</f>
        <v/>
      </c>
      <c r="K3051">
        <f>HYPERLINK("https://yourei.jp/熟す", "查看例句")</f>
        <v/>
      </c>
    </row>
    <row r="3052">
      <c r="A3052" t="inlineStr">
        <is>
          <t>コネ</t>
        </is>
      </c>
      <c r="B3052" t="inlineStr">
        <is>
          <t>成功</t>
        </is>
      </c>
      <c r="C3052" t="inlineStr">
        <is>
          <t>「コネクション」の略。「—をつける」「—を頼って就職する」</t>
        </is>
      </c>
      <c r="D3052" t="inlineStr">
        <is>
          <t>コネ入社；コネ社；コネコネ；コネつけ</t>
        </is>
      </c>
      <c r="E3052" t="inlineStr">
        <is>
          <t>関係；つて；縁；連絡；接続</t>
        </is>
      </c>
      <c r="F3052" t="inlineStr">
        <is>
          <t>強力なコネ；有力なコネ；政治的コネ；マンコネ；政治的なコネ</t>
        </is>
      </c>
      <c r="G3052" t="inlineStr">
        <is>
          <t>コネクション；コネクタ；コネチカット；コネクター；コネチカット川</t>
        </is>
      </c>
      <c r="H3052" t="n">
        <v>29</v>
      </c>
      <c r="I3052" t="inlineStr">
        <is>
          <t>なんのコネもツテもない人たちだけがここへやってきて一日を棒にふる。；そこで職を得られるよう民主党のコネを使ってみたがうまくいかなかった。；佐藤家には政治家と直接のコネはなく、政界進出には大きな壁があった。；何もコネがなかった為、ミラノの時と同様ブックを持って営業に回った。；コネを持つ者も多かったし、世の中はまだバブルのはじまりの頃である。；だが何のコネもない俺が内情を調べてもたかがしれているじゃないか。；ポーリンの父は活動的な弁護士であり、良いコネのある政治家だった。；あの、はっきりいって、何か、コネってやつはありませんでしょうかね。；当面の目標は、懸賞でコネのついた雑誌に原稿をもちこむことであった。；しかし私はあるコネを通じてここのホテルの一番よいホールを確保しておいた。；容疑者は以前からコネで、ある種の人間を自由に動かすことができていた。；VIPの行動日程を知りたければ、ある種のコネを使わなければならん。；特別なコネとか、そういうものがないと潜り込めないところが多いわけだ。；せいぜい新日本商事とコネがつくぐらいにしか考えていなかった筈だ。；岡田は東映洋画は世界の製作配給業者と本格的なコネが出来たと評価した。；コネレは男児を懐柔しようと呼びかけたが彼は聞く耳を持たなかった。；俺にはその方面にも、まだ刑事だったころのコネが残っている。；彼のことは、コネの由来と利用価値のランク付けをしたリストで見つけたのだ。；手に入れた本を古書店に売っている以上、コネを持っていた方が有利に違いない。；コネがあるという話は聞いたことがなかったから、苦労したはずだ。；修業に出されたといっていたが、コネ作りの意味もあっただろう。；党組織だけでなく、コネを生かして企業経営等に関わる場合もある。；資格もキャリアもコネもないから何度も落とされて、やっとここに入れたんです。；コネが使えそうなところならどこでも、ともかく当たってみるしかなかった。；ほかには一度雑誌の編集者をやってコネをつくってから作家に転身する人もいる。；おれはコネもなにもないところからここまで這いあがってきた。；これもある種のコネを使って手に入れねばならない。；芸能界は、何よりも、コネが物をいうと、十津川は、聞いたことがある。；有力な新聞数紙とコネがあったんですが、各紙とも私の立場を認めてくれないんです。</t>
        </is>
      </c>
      <c r="J3052">
        <f>HYPERLINK("https://www.weblio.jp/content/コネ", "词义详情")</f>
        <v/>
      </c>
      <c r="K3052">
        <f>HYPERLINK("https://yourei.jp/コネ", "查看例句")</f>
        <v/>
      </c>
    </row>
    <row r="3053">
      <c r="A3053" t="inlineStr">
        <is>
          <t>この</t>
        </is>
      </c>
      <c r="B3053" t="inlineStr">
        <is>
          <t>成功</t>
        </is>
      </c>
      <c r="C3053" t="inlineStr">
        <is>
          <t>読み方：この
《「ここの（九）」の略》ここのつ。きゅう。数をかぞえるときにいう。「なな、や、—、とお」</t>
        </is>
      </c>
      <c r="G3053" t="inlineStr">
        <is>
          <t>この世；この女；この国；この街；このごろ</t>
        </is>
      </c>
      <c r="H3053" t="n">
        <v>29</v>
      </c>
      <c r="I3053" t="inlineStr">
        <is>
          <t>この点はアセンブラで記述されて簡単には拡張できない点が裏目に出た。；またこの事件の直後の6億年前には最後の大規模な陸地形成が起こった。；この統一的な状態を破壊したものが、近代的な国民国家の成立と言える。；この子供向け漫画を中心とした第 2期の活動は1966年まで続いた。；またこの年の初夏、初めてフランスを中心とするヨーロッパに旅行した。；この段階になればもはや事態を収拾しようとすることは極めて困難となる。；このことはブレスト合同が不完全なものに終わる結果にも影響があった。；しかし同時にこのような形態の戦争は現実の戦争で出現しているわけではない。；この技術の名称として、他に提案され吟味されたものの一部を次に示す。；かつてこの楽器には魔力があると信じられ、戦場の軍楽隊で使用された。；この変化を観察することである生物種がどのように分化したかを調べる。；しかし通常の使用には問題がなく、多くのカメラがこの方式を採用している。；この他にもヨーグルトのような食感のビールも存在していたとされる。；動物分類学や植物分類学だけを指すためにこの言葉が用いられることもある。；主に米国で使用される名称で、後述するテーブル筐体もこの一種とされる。；この条件から外れると領海を形成するために有効な領土ではなくなる。；このフェルミエネルギーを計算するために、Nが大きい場合を見てみる。；一部オートフォーカスカメラでもこの機構を自動化したものがある。；この場合は中にいる人間が主役となるので、個人の差の問題までも考慮する。；なおこの技術はコンパクトカメラでも大いに活用されたものである。；このためストールマンは移植性のあるソフトウェアが必要だと考えていた。；パリに到着したが、このときはまだこの地に居を構えるか迷っていた。；現在も残るイエズス会布教所跡はこのときに建設されたものがほとんどである。；彗星の発見数が増加してくると、この方法の運用に綻びが生じてきた。；最近の経営学者・経済学者には、この点を両者の相違としている者も多い。；この最後の例外条項は、第11項第7段落に次のように記載されている。；まれにこの演出すら発生しないまま商品購入状態の初期画面にされる場合もある。；この時、 の が無限大に発散してしまうので、 でなければならない。；英語ではこのようなさまざまな闘争の局面を warfare と呼ぶ。</t>
        </is>
      </c>
      <c r="J3053">
        <f>HYPERLINK("https://www.weblio.jp/content/この", "词义详情")</f>
        <v/>
      </c>
      <c r="K3053">
        <f>HYPERLINK("https://yourei.jp/この", "查看例句")</f>
        <v/>
      </c>
    </row>
    <row r="3054">
      <c r="A3054" t="inlineStr">
        <is>
          <t>この間</t>
        </is>
      </c>
      <c r="B3054" t="inlineStr">
        <is>
          <t>成功</t>
        </is>
      </c>
      <c r="C3054" t="inlineStr">
        <is>
          <t>読み方：このあいだ
１過去の1日をさす。先日。こないだ。「—の日曜日」
２過去の数日をさす。このところ。ちかごろ。
「—は別行の子細あって」〈謡・葵上〉
３近いうち。
「—にお出でなんしえ」〈洒・通言総籬〉</t>
        </is>
      </c>
      <c r="D3054" t="inlineStr">
        <is>
          <t>この間うち；この間題；この間ずっと；この間じゅう；この間或</t>
        </is>
      </c>
      <c r="E3054" t="inlineStr">
        <is>
          <t>最近；この節；此の間；此の程；此の節</t>
        </is>
      </c>
      <c r="F3054" t="inlineStr">
        <is>
          <t>ほんのこの間；この間三越；この間じゅうずっと</t>
        </is>
      </c>
      <c r="H3054" t="n">
        <v>29</v>
      </c>
      <c r="I3054" t="inlineStr">
        <is>
          <t>この間、子供向けのピアノ曲を作曲するなど教育分野での貢献も残した。；この間に全体に強力なエネルギーを浴びせられると破壊されてしまう。；この間にモルは国境警備兵60人の追加を本部に自宅から要請していた。；ただし、この間に実際に特別市の指定が行われることは1回もなかった。；フルク5世はこの間にやカラク城をはじめとする数多くの城砦を築いた。；この間にかねてから憎悪していたマリア・アンナを宮廷から追放している。；このため、この間を連絡する高架鉄道の建設が行われることになった。；この間は、各々の個人や集団などで独自に確保した水と食料が必要である。；この間も総合格闘技への参戦も並行して行いそちらでも活躍を見せる。；しかし、この間に外国との交流試合を開催し、世界水準にまで成長した。；この間、オデュッセウスは恐怖でただ見ていることしかできなかった。；この間11月、龍家の一族、佐栄志の娘・とまを紹介されて島妻とした。；またこの間太田資顕の調略に成功し、河越城へのルートを確保している。；なお、この間はボールインプレイの状態にあるので注意が必要である。；この間、各国は他の形態の戦車の開発に試行錯誤を繰り返していた。；この間に自殺を心配した母親が島を訪れたこともあり、学校を続けることを決意する。；この間1868年にロンドン王立協会の外国人会員に選出されている。；この間の段階的な制度変化の結果である可能性も高い。；この間には陸軍部隊のアッツ島からキスカ島への移駐が行われていた。；この間に続々とソ連船がUターンしているとの情報が入ってきた。；この間、正門は工事関係の車が出入りするため生徒の出入りは不可となった。；この間、ニームは古代の円形闘技場内の平民の力で共同で運営されていた。；この間に旧上りホームと旧駅舎の撤去を行い、跡地に上りトンネルと駅を建設した。；またこの間、スポーツニュースはおおむね5分程度のものが主であった。；この間に、彼らはそれぞれのキャラクターが確立していった。；この間にあれほど聡明だった妹のドロシーも病いで廃人同様になっていた。；この間、16歳で短篇が雑誌に掲載され、本格的に作家活動をはじめる。；前後のアプローチ部は車道のみの構造となっており、この間に歩道はない。；この間に、まだ隠れていない子は早急に隠れなくてはならない。</t>
        </is>
      </c>
      <c r="J3054">
        <f>HYPERLINK("https://www.weblio.jp/content/この間", "词义详情")</f>
        <v/>
      </c>
      <c r="K3054">
        <f>HYPERLINK("https://yourei.jp/この間", "查看例句")</f>
        <v/>
      </c>
    </row>
    <row r="3055">
      <c r="A3055" t="inlineStr">
        <is>
          <t>この頃</t>
        </is>
      </c>
      <c r="B3055" t="inlineStr">
        <is>
          <t>成功</t>
        </is>
      </c>
      <c r="C3055" t="inlineStr">
        <is>
          <t>読み方：このごろ
《上代では「このころ」》
１少し前の時から現在にかけての期間。ちかごろ。最近。「—の若い者」「—よく物忘れする」
→最近［用法］
２ちかいうち。近日。
「今—の程に参らせむ」〈源・野分〉
３今のこの時期。今時分。
「ながらへばまた—やしのばれむ憂しと見しよぞ今は恋しき」〈新古今・雑下〉</t>
        </is>
      </c>
      <c r="F3055" t="inlineStr">
        <is>
          <t>然るにこの頃</t>
        </is>
      </c>
      <c r="H3055" t="n">
        <v>29</v>
      </c>
      <c r="I3055" t="inlineStr">
        <is>
          <t>この頃から国や自治体など行政が主体となった組織的な研究が活発化した。；また、この頃から規模の大きいオーケストラ音楽の作曲を開始している。；伸び悩んでいた個人契約数が一気に伸び始めたのはこの頃からである。；この頃のダーウィン家は父や叔父の残した財産の運用で生計を立てていた。；この頃、戦局の悪化は日本国内にも大きな被害を与えるようになっていた。；この頃、戒律の解釈問題で教団内に対立が起こり、分裂しそうになった。；この頃から補助戦力であった航空機を主力にする主張が各国で現れる。；またこの頃にはモータリゼーションが始まるが、運転には不向きだった。；藤田曰く、この頃に初めて街で視聴者から声をかけられるようになった。；この頃、日本を訪問したアメリカ人によって日本に野球が伝えられた。；同時にこの頃には貴重な資源であったグアノの鉱山も荒廃してしまった。；また、大学時代の同級生で、後に妻となる女性ともこの頃出会っている。；この頃ウィトゲンシュタインは再び自殺を考えるようになっていた。；この頃のアルは遊び好きで、洒落た服を着て外出してはしゃいだりした。；この頃から、基次郎は近所の人々の実生活を意識的に見るようになった。；日本では、この頃から小規模な水力発電の集中制御化・無人化が進んだ。；この頃には本誌の台湾版や香港版も発売されていたようである。；この頃になると社員ですらまともに生活ができないほど経営が苦しくなった。；なお、この頃はゾロアスター教からキリスト教への改宗が相次いでいた。；またこの頃は宗全が和平を望んでいるという噂が頻繁に流れたという。；この頃にはカエサルとポンペイウスの対立は避けられないものになっていた。；この頃までに近代日本語が多くの文筆家らの努力で形成された。；この頃は特にピアノが好きではなく、むしろ苦痛だったという。；それぞれの地域はこの頃から次第に独自の歴史性をもって分離していくことになる。；この頃からおびただしい量の執筆・座談会・講演等をこなすようになる。；この頃までに満州派の中からも金策の変死事件が起こるなどしている。；仏教・儒教・道教等の書物が入ってきたことでこの頃から文字の使用が普及する。；この頃には唐政府の権威は更に衰えており、実質的には独立勢力である。；またこの頃から一般的に音楽が芸術として見られるようになる。</t>
        </is>
      </c>
      <c r="J3055">
        <f>HYPERLINK("https://www.weblio.jp/content/この頃", "词义详情")</f>
        <v/>
      </c>
      <c r="K3055">
        <f>HYPERLINK("https://yourei.jp/この頃", "查看例句")</f>
        <v/>
      </c>
    </row>
    <row r="3056">
      <c r="A3056" t="inlineStr">
        <is>
          <t>この度</t>
        </is>
      </c>
      <c r="B3056" t="inlineStr">
        <is>
          <t>成功</t>
        </is>
      </c>
      <c r="C3056" t="inlineStr">
        <is>
          <t>読み方：このたび
今度。今回。こたび。「—はおめでとうございます」「—左記に転居しました」</t>
        </is>
      </c>
      <c r="H3056" t="n">
        <v>16</v>
      </c>
      <c r="I3056" t="inlineStr">
        <is>
          <t>八州の民は、おれがこの度立って帝位についたことを、誰一人不思議に思わぬ。；さるにこの度また少年文学の前坐を務む、思へば争はれぬものなりかし。；先生の方から今夜、前原くんのご両親に電話でお話しますので、一応、前原くんの方からもご両親にこの度の件を話しておいてください。；楚は初めにこの度の事業を起こしました。；あなたはお宅まで自働車でお送りいたしますがこの度限り特にご内密にねがひませんでせうか。；そうして段々と山本の話を聞くと、私のこの度経学修業として京都へ来ることになったのは、他の一面には、諸藩の情勢にも注意して何か変った事があれば藩の当局へ報知することをも心得ていねばならぬのであった。；松山には従来久松家の松山方面の家政を取扱う人々が居るので、まずそこへ行ってこの度の取調の事件について充分に話もしていよいよ着手せしむる事になった。；隊首会後の元柳斎との会話で、千年前に死神と滅却師が戦った詳細を知っていたらしく、ユーハバッハを完全に倒しきれず、石田が旅禍として攻め込んできた時も忠告を聞かなかった元柳斎にこの度の騒動の非があるのではと言及していた。；博識の普伝が納得して法華宗に入ったとなれば、法華宗は繁栄するからと懇願され、金品を受け取ってこの度法華宗に属したのである。；ならば、自分が江戸へ上ってこの度の御奉公の介添をつとめたかったのだが、お留守を預かる身のそれを出来ず、山河幾百里を隔ててただ御無事にと祈るばかり、ひとまかせのことで、考えれば考えるだけの不安があった。；依ってこの度の大変を機にお召戻され、旧知二百石、馬廻御浜奉行の身分に戻る。；そうして平和主義的な文明諸国から嫉視された通り、その武力の過度な膨脹は果して世界の危険を馴致してこの度の大戦争となりました。；云わばこの度の困難をきりぬけて、松岡長吉には、腕のある棟梁になって貰いたいというのが家中一同の念願であった。；団十郎はその年春興行の折病に罹り一時は危篤の噂さへありしほどなればこの度菊五郎との顔合大芝居といふにぞ景気は蓋を明けぬ中より素破らしきものなりけり。；幕いよいよ明かんとする時畠山古瓶以前は髯むぢやの男なりしを綺麗に剃りて羽織袴の様子よく幕外に出でうやうやしく伊井一座この度鴎外先生の新作狂言上場の許を得たる光栄を述べき。；然ばこの度退散の大臆病者と同前たるべく候こと。</t>
        </is>
      </c>
      <c r="J3056">
        <f>HYPERLINK("https://www.weblio.jp/content/この度", "词义详情")</f>
        <v/>
      </c>
      <c r="K3056">
        <f>HYPERLINK("https://yourei.jp/この度", "查看例句")</f>
        <v/>
      </c>
    </row>
    <row r="3057">
      <c r="A3057" t="inlineStr">
        <is>
          <t>木の葉</t>
        </is>
      </c>
      <c r="B3057" t="inlineStr">
        <is>
          <t>成功</t>
        </is>
      </c>
      <c r="C3057" t="inlineStr">
        <is>
          <t>読み方：このは
１樹木の葉。きのは。
２落ち葉。枯れ葉。梢(こずえ)に散り残っている葉。《季冬》「人待つや—かた寄る風の道／素堂」
３《木の葉が風にたやすく散るところから》軽いもの、小さいものについていう。「—侍」「—仙人」</t>
        </is>
      </c>
      <c r="D3057" t="inlineStr">
        <is>
          <t>木の葉形；木の葉型；木の葉みたい；木の葉サボテン；木の葉や小枝</t>
        </is>
      </c>
      <c r="E3057" t="inlineStr">
        <is>
          <t>葉；葉っぱ；木ノ葉；樹葉</t>
        </is>
      </c>
      <c r="F3057" t="inlineStr">
        <is>
          <t>黄色い木の葉；吹かれる木の葉；木の葉笛；木の葉落ち</t>
        </is>
      </c>
      <c r="G3057" t="inlineStr">
        <is>
          <t>木の葉天狗；木の葉モール橋本；木の葉落とし；木の葉蝶；木の葉を隠すなら森の中</t>
        </is>
      </c>
      <c r="H3057" t="n">
        <v>29</v>
      </c>
      <c r="I3057" t="inlineStr">
        <is>
          <t>秋も末のことですから、椋の木の葉はわずかしか残っていませんでした。；小屋といっても、それは木の葉を重ね合わせて作った非常に大きな家だ。；木の葉一枚でも、写生をして見ないと、本当の形は分らないものである。；歯の形状から木の葉を食べると考えられているが、草を食べた目撃例もある。；その書斎はとりもなおさず先生の頭が見えた木の葉の間の高い所であった。；それは木の葉に触れているのと同じように物静かで、しっとりしている。；そのうち秋が来て、森の木の葉はオレンジ色や黄金色に変って来ました。；たくさんの木の葉が吹きつけられて、Mの字の形になっていたのです。；その内部は、最下部に青い波帯、その上に黒い木の葉型の飾りのある冠。；折柄柿落葉の時節で宿から南郷街道へ出るまでは木の葉で路が一杯です。；木の葉が頭上でかすかに戦いだが、その音を聞いたばかりでも季節は知られた。；ときには木の葉を金に変えて買物をし、店の人を困らせることもあった。；月の光りが一面に青白い布を拡げたようで木の葉がきらきら光っていた。；その奥底には森の国の水たまりに映る木の葉のような緑がゆらいでいた。；木の葉が頭上で幽かに戦いだが、その音を聞たばかりでも季節は知られた。；太陽のほうを見あげると、陽光が森の木の葉をすかして射しこんでいる。；斯んな事が重なつて行くうちに、木の葉が何時の間にか落ちて仕舞つた。；紀久子はそれを考えただけで全身が木の葉のようにわななくのだった。；震えて居る木の葉でも水玉でもあらゆるものが躍って居る様に見える。；遠い所から、木の葉をゆする風につれて、ひそやかな雨の脚が近づいた。；私たちの見上げている木の枝からは木の葉がひらひらと二三枚静かに落ちてきた。；紅葉は木の葉ばかりでなく、足もとの草の葉の一枚一枚を皆貴重品にする。；それが朴と云う木の葉であることを私は誰にともなく聞いて知るようになっていた。；こんな事が重なって行くうちに、木の葉がいつの間にか落ちてしまった。；汀には木の葉の滴りが水に大きな輪を描いて水馬が小さな輪を描いて居る。；草や低木の葉の上で待ち伏せしているのを観察されることが多い。；からだには木の皮と、木の葉でつくった手製の着物を着ていました。；群集はこのさわやかな試合場の周囲に、木の葉のようにしずまっていた。；向かって左は緑の木の葉、向かって右は直立した形に描かれた銀の魚。</t>
        </is>
      </c>
      <c r="J3057">
        <f>HYPERLINK("https://www.weblio.jp/content/木の葉", "词义详情")</f>
        <v/>
      </c>
      <c r="K3057">
        <f>HYPERLINK("https://yourei.jp/木の葉", "查看例句")</f>
        <v/>
      </c>
    </row>
    <row r="3058">
      <c r="A3058" t="inlineStr">
        <is>
          <t>この前</t>
        </is>
      </c>
      <c r="B3058" t="inlineStr">
        <is>
          <t>成功</t>
        </is>
      </c>
      <c r="C3058" t="inlineStr">
        <is>
          <t>読み方：このまえ
少し以前。つい最近。また、前回。「—の土曜日」「—お会いしたとき」</t>
        </is>
      </c>
      <c r="D3058" t="inlineStr">
        <is>
          <t>前；かつて；以前；昔；過去</t>
        </is>
      </c>
      <c r="H3058" t="n">
        <v>29</v>
      </c>
      <c r="I3058" t="inlineStr">
        <is>
          <t>またこの事件の直後の6億年前には最後の大規模な陸地形成が起こった。；その姿は今から1000年ほど前までは維持されていたと考えられる。；地球上の生命は、およそ37億年前には存在していたという証拠がある。；この遺跡は農耕社会出現前の食料採集民の戦争の確実な例とされている。；地下10階に下り先へ進む彼らの前に村正を手にした侍が立ちはだかる。；アメリカ大陸の各地では、約2000年以上前から栽培が行われていた。；全線開通前からCMやドラマ・映画等の撮影を積極的に受け入れている。；金および隕鉄だけが、人類が銅より前に使用していたという証拠がある。；結婚時に妻は結婚前の姓をそのまま用いることも、夫の姓に変えることも可能。；少なくとも5万年前には現在のアフガニスタンには人間が住んでいた。；前1500年頃にはパンジャーブ地方に進行し国の基礎を築いたとされる。；しかし、連載の終了は4週間前に通告されるという突然なものであった。；この作品では、大阪府庁前の上町筋を封鎖して撮影を行う必要があった。；この場合、いずれも食の最大を迎える前と食の最大を過ぎた後に分類される。；静的型付けでは、全ての式の型はそのプログラムを実行する前に決定される。；参拝する前に、本来は神の前に向かう前に心身を清める禊が必要である。；数世紀前の実験で得られた基礎的なデータですら重要性を失わない。；小学校入学前からの熱烈な野球少年で、将来の夢はプロ野球選手だった。；現在はもはや非公式な通称であるが、改名前の略称はMSKKであった。；しかし一人あたりの生活支出は未だにイラン・イラク戦争前よりも低い。；彼らの前に表示されている国名はフランス語で表記されている。；生物が現れる前は、二酸化炭素が多くを占める構成であったと推測されている。；集められたスクラップは使用前に成分検査や放射能探知検査が行われる。；川端は伊藤の死の数日前から自身の体にも違和を感じていたという。；時代的比較では、死刑が廃止された国での廃止前・廃止後を比較する試みがされる。；なお、N800形まで伝統的に車外側面の車番の前に社章をつけていた。；同学園の生徒は当駅が設置される前までは主に田端駅か日暮里駅を利用していた。；しかしその前にはすでに二人の関係には亀裂が入っていた。；一方で、石器時代の35000年前に暦を創ったらしいとの意見もある。</t>
        </is>
      </c>
      <c r="J3058">
        <f>HYPERLINK("https://www.weblio.jp/content/この前", "词义详情")</f>
        <v/>
      </c>
      <c r="K3058">
        <f>HYPERLINK("https://yourei.jp/この前", "查看例句")</f>
        <v/>
      </c>
    </row>
    <row r="3059">
      <c r="A3059" t="inlineStr">
        <is>
          <t>好ましい</t>
        </is>
      </c>
      <c r="B3059" t="inlineStr">
        <is>
          <t>成功</t>
        </is>
      </c>
      <c r="C3059" t="inlineStr">
        <is>
          <t>読み方：このましい
［形］［文］このま・し［シク］《動詞「この（好）む」の形容詞化》
１感覚的に好きである。感じがいい。このもしい。「—・い女性」「—・い香り」
２そうあってほしい。また、そうあるべきである。のぞましい。「柔軟な対応が—・い」「—・くない傾向」
３好色らしい。
「若くて候ふ男、—・しきにやあらむ」〈堤・ほどほどの懸想〉
[派生]このましげ［形動］このましさ［名］</t>
        </is>
      </c>
      <c r="D3059" t="inlineStr">
        <is>
          <t>好ましいもの(9%)；好ましいこと(7%)；好ましい結果；好ましい影響；好ましい印象</t>
        </is>
      </c>
      <c r="E3059" t="inlineStr">
        <is>
          <t>いい；よい；良い；立派；うまい</t>
        </is>
      </c>
      <c r="F3059" t="inlineStr">
        <is>
          <t>ほうが好ましい；最も好ましい；あまり好ましい；もっとも好ましい；決して好ましい</t>
        </is>
      </c>
      <c r="H3059" t="n">
        <v>29</v>
      </c>
      <c r="I3059" t="inlineStr">
        <is>
          <t>この事件には背後にぼんやりとした好ましからざる要素があったからだ。；その後付近に都市の建設に好ましい土地を見つけたためそこへ移転する。；記憶操作などの、少女に影響を与える可能性のある方法は好ましくない。；その居心地の良い空気を好ましく感じながら会場の様子を眺めていると。；しかしおそらくこれ以上彼女が好ましく思えたことは一度もなかったろう。；八橋は彼を好ましい客とも思わなかったが、別に疎略にも扱わなかった。；アレルギーを起こしにくい性質はこの点でも好ましいものとなっている。；さまざまの好ましからざることがたえず生まれてきて終わることがない。；彼女を失ったせいで、以前にもまして彼女が好ましく見えるのでしょう。；いずれにせよ、好ましからざることは、ここで聞いておいたほうがいい。；単に画布に向かって閉塞していられるのが好ましかったのかもしれない。；他方、好ましくない環境条件で行わなければならない多くの職業がある。；彼が自分でする仕事の中には好ましくない作用を及ぼすものもあった。；マギは兄弟姉妹婚や母親と息子が結婚することが好ましいと語っていた。；さらにバグが修正されていることを示すためにテストも行うのが好ましい。；そのため毎日食べつづけることは栄養学的に好ましくないとされている。；イタリア以外のところでは男同士の会話の方が好ましいものとなる。；だがどう考えても好ましい状況にはならないだろうってことだけは分かる。；料理は美味でも、好ましくない相手に御馳走されているのでは気が重い。；あなたがこれまでに出会った、どんな相手よりも好ましい女のはずよ!；だが、おそらくこんなに彼女を好ましく思ったことは一度もなかったろう。；病的な例はしばしばいくらかの好ましくないかまたは珍奇な特性をもつ。；それは私にとって好ましくなくても、私の人間としての義務なのである。；アルクール家は町に好ましい強い痕跡、城や防衛を強化した壁を残した。；今の段階ではまだ、好ましくない環境下に置かれているとしか言い切れない。；海軍技術委員会は、グリャーエフの計画がより好ましいものと評価した。；筆者であるわたくしには、このままの兄妹を眺めているほうが好ましい。；これは経営者として社員を指導する場合には好ましくない性格の一つである。；しかし、徴兵率に地域差が生まれるのは好ましくないと考えられていた。</t>
        </is>
      </c>
      <c r="J3059">
        <f>HYPERLINK("https://www.weblio.jp/content/好ましい", "词义详情")</f>
        <v/>
      </c>
      <c r="K3059">
        <f>HYPERLINK("https://yourei.jp/好ましい", "查看例句")</f>
        <v/>
      </c>
    </row>
    <row r="3060">
      <c r="A3060" t="inlineStr">
        <is>
          <t>好み</t>
        </is>
      </c>
      <c r="B3060" t="inlineStr">
        <is>
          <t>成功</t>
        </is>
      </c>
      <c r="C3060" t="inlineStr">
        <is>
          <t>読み方：このみ
１好むこと。好きなものの傾向。嗜好。「—のタイプ」「人によって—が違う」「—にあう」
２特に望むこと。物を選ぶときの希望や注文。「いかようにもお—に合わせます」
３歌舞伎で、大道具・小道具・衣装などについて役者が特に工夫したり注文したりすること。
４（「…ごのみ」の形で）名詞の下に付いて、複合語をつくる。
㋐好きなものの傾向。「はで—」
㋑ある時代、または、ある特定の人に好まれた様式。「元禄—」「利休—」</t>
        </is>
      </c>
      <c r="D3060" t="inlineStr">
        <is>
          <t>好みませ；好みじゃない；好み次第；好みしだい；好みどおり</t>
        </is>
      </c>
      <c r="E3060" t="inlineStr">
        <is>
          <t>好き；傾向；性質；趣味；味</t>
        </is>
      </c>
      <c r="F3060" t="inlineStr">
        <is>
          <t>自分好み；派手好み；日本人好み；個人的な好み；通好み</t>
        </is>
      </c>
      <c r="H3060" t="n">
        <v>29</v>
      </c>
      <c r="I3060" t="inlineStr">
        <is>
          <t>アフターマーケットでは様々な物が手に入るので好みの物に交換できる。；対戦プレイの際にはゲーム開始前に好みのキャラクターを選択する。；このため食感や味も異なっており、好みの分かれるところとなっている。；サッカー観ばかりでなく、服や音楽の好みや、行きつけのクラブなども。；また自然や動物を好み、動物園や動物実験を批判する歌詞も残している。；この行為は秀吉の派手好みの性格を知っての行いと伝えられている。；歴代藩主も学問を好み古典を愛し、これらの遺風が継承されていった。；一部の画家は単に独立を好み、コロニーや団体に所属するのを避けた。；なおこのような香草類は別皿で供され、好みでトッピングする事が多い。；年をとるにつれて音楽の好みが変わる可能性があることを示す証拠が出ている。；背景世界はゲームマスターが自分の好みに作成するのが前提である。；ミートソースを名古屋人好みの味に仕立てようとしてできたと言われる。；オリジナルボタンの製作や好みのボタンへの付け替えを請け負う店もある。；また、自分の好みや考えと著しく対立している人物や組織を指すこともある。；祖父・信長と同じく派手好みであり、平素より洒落者であったと伝わる。；二つの染料には互換性があり、どちらを使うかは好みと伝統の問題である。；制服を好み、学生時代は常に詰襟学生服か剣道着で生活していたという。；孫休は学問を好み、諸子百家の書を全て読み尽くすほどの勢いであった。；吉田の日本庭園の好みは石を嫌い、大和絵のような庭を好んだとされる。；現在でも店頭で客が好みの味に調合してもらうことができる販売店がある。；同じ靴フェティシズムの者でも、以下のように好みはさまざまである。；新しい主人の好みに合わせ、晩年のハイドンは6曲のミサ曲を作曲した。；以上の意味より転じて、異性や趣味などの好みの範囲を指す場合にも使われる。；配膳後、食べる直前に好みの量を料理につけるタレをつけだれと呼ぶ。；ある個体にとっては他の個体の形質や好みは環境の重要な要因のひとつである。；また宋、明の唐画を好み、書を読み耽ることを趣味とする人でもあった。；特にクラッシュが好みになったみたいで、あいつも同じアルバムを買ったんだ。；幼い頃から明敏で学問を好み、その才能と名望で世間の評判であったという。；好みの児童用自転車に取り付けるための後付け製品も数多く出回っている。</t>
        </is>
      </c>
      <c r="J3060">
        <f>HYPERLINK("https://www.weblio.jp/content/好み", "词义详情")</f>
        <v/>
      </c>
      <c r="K3060">
        <f>HYPERLINK("https://yourei.jp/好み", "查看例句")</f>
        <v/>
      </c>
    </row>
    <row r="3061">
      <c r="A3061" t="inlineStr">
        <is>
          <t>好む</t>
        </is>
      </c>
      <c r="B3061" t="inlineStr">
        <is>
          <t>成功</t>
        </is>
      </c>
      <c r="C3061" t="inlineStr">
        <is>
          <t>読み方：このむ
［動マ五（四）］
１多くのものの中から特にそれを好きだと感じる。気に入って味わい楽しむ。「甘いものを—・む」「推理小説を—・む」
２特にそれを望む。欲する。「組み打ちはこっちの—・むところ」
３趣向をこらす。風流にする。
「この男の家には前栽—・みて造りければ」〈平中・一九〉
４注文する。あつらえる。
「はばかりながら文章を—・まん」〈浮・一代男・一〉</t>
        </is>
      </c>
      <c r="D3061" t="inlineStr">
        <is>
          <t>好む人たち；好む生物；好むまい</t>
        </is>
      </c>
      <c r="E3061" t="inlineStr">
        <is>
          <t>希望；求める；望む；愛する；楽しむ</t>
        </is>
      </c>
      <c r="F3061" t="inlineStr">
        <is>
          <t>特に好む；もっとも好む</t>
        </is>
      </c>
      <c r="H3061" t="n">
        <v>29</v>
      </c>
      <c r="I3061" t="inlineStr">
        <is>
          <t>世話好きで人の面倒を見たがるが、自分が人に世話になるのは好まない。；私は一つに経済、また一つに愛国心の観点からこれを好んで飲んでいる。；あるものはかなり分解の進んだ死体、さらには乾燥した死体ですら好む。；彼らが好んだ説が生物に内在的な進化の方向を認める定向進化説である。；弁護士等の士業が契約に関与する場合にはこの方式が好まれる傾向にある。；怪獣が建物を破壊する場面でも、手で壊すような描写は好まないという。；その一方でパスタはイタリア各地で好まれ、様々な形で調理されている。；そこには男性の名前はなく、当時の彼は美しい女性を好むことで有名だった。；ワニガメのように、湖沼や河川の底をただ歩くことを好む種も存在する。；このことが原因で、丘陵地や斜面を好むという誤解が生まれたのである。；一方で、繁殖は盛んであるものの品種改良はあまり好まれない魚もいる。；また水を好む個体が多いと言われるが、これは種的な性質ではない。；川は流れるので星も流れる、足が流れるというので好まれなくなったという。；また、渡辺は、本作品以降中野は火を好むようになったと証言している。；特にアイゴは海藻を好んで食べる魚で日本全国の海岸線に生息している。；吉田の日本庭園の好みは石を嫌い、大和絵のような庭を好んだとされる。；清代では理論的で派手でない文章が好まれたためであると考えられる。；現地人を客にすることは好まれず、かなり接客拒否ができたと見られる。；一の位と十の位を足して10になる数字を縁起が良いと言って好んでいる。；スポーツはゴルフを非常に好んでおり、晩年も頻繁にプレイしていた。；その中には彼が好んだウィリアム・アイリッシュ原作の作品もあった。；小さい魚より、身がよくある関係から大型の魚が好まれて使われる場合が多い。；しかしながら、いくつかの時期にオスマンの権力者は他の名称を好んだ。；弟は大型拳銃を好まず、社内での設計を禁止することさえ考えていたという。；生活の大半をニューヨークで過ごしており、作品にも好んで取り上げられる。；本人はあまり顔出しは好んでいないが、他の者がやるのは抵抗はないという。；彼は論文を執筆するよりも同僚との間で長い手紙をやり取りするのを好んだ。；もしくは してもらうことが多いようだが、女性側はそれを好むことは少ない。；幼少から詩を好んでいたが父の命令により5年間を法律の勉強に費やす。</t>
        </is>
      </c>
      <c r="J3061">
        <f>HYPERLINK("https://www.weblio.jp/content/好む", "词义详情")</f>
        <v/>
      </c>
      <c r="K3061">
        <f>HYPERLINK("https://yourei.jp/好む", "查看例句")</f>
        <v/>
      </c>
    </row>
    <row r="3062">
      <c r="A3062" t="inlineStr">
        <is>
          <t>拒む</t>
        </is>
      </c>
      <c r="B3062" t="inlineStr">
        <is>
          <t>成功</t>
        </is>
      </c>
      <c r="C3062" t="inlineStr">
        <is>
          <t>読み方：こばむ
［動マ五（四）］
１相手の要求・依頼などをはねつける。受け入れをかたく断る。拒否する。「立ち退きを—・む」「申し出を—・む」
２進んでくるものを通さないように押さえとどめる。はばむ。「敵の侵入を—・む」
→断る［用法］
[可能]こばめる</t>
        </is>
      </c>
      <c r="D3062" t="inlineStr">
        <is>
          <t>拒むなら；拒むべき；拒むまい</t>
        </is>
      </c>
      <c r="E3062" t="inlineStr">
        <is>
          <t>拒否；邪魔；ブロック；阻止；拒絶</t>
        </is>
      </c>
      <c r="F3062" t="inlineStr">
        <is>
          <t>拒むかも知れ；拒むかもしれ</t>
        </is>
      </c>
      <c r="H3062" t="n">
        <v>29</v>
      </c>
      <c r="I3062" t="inlineStr">
        <is>
          <t>芸術の評価はこれ以外になく、またこれを拒むこともできないのである。；彼女が島に移転することを拒んだので、ガノは一人でそこに住んでいた。；その場になって拒む女性も現われるので、女性の数が少し多い方がいい。；この種の依頼を拒む理由はないが、だれにでも見せていいものでもない。；喜びにあかせて妻を求めると、いつもと同じように彼女は拒まなかった。；妻の立場にありながら、そんなことをいって夫を拒み続けていけるのか。；その味が酸のように肉を焼き、体は無駄と知りつつそれを拒もうとした。；私が彼女になにか求めてもかつて拒まれたことがありませんでした。；この許可は、法律に特別の定がある場合を除く外、拒むことができない。；けれども同時に、彼の懐ろの内も暖いのを彼は拒むことができなかった。；目に見えない地下庫は秘密を守ったまま、それを手放すのを拒むようだ。；キリストの贖罪は、彼を意識的に拒む者をも含む全ての人のためである。；いやだといってそれを拒む者には、刑罰としてそれが落ちかかって来る。；ある者は署名の前に会議から離れ、残っていた者も3名は署名を拒んだ。；つまり一つの型を永久に持続する事を中味の方で拒むからなんでしょう。；わたしがそれを拒むと、彼女は別の男を雇って夫を殺させてしまいました。；そしてしばしば、なんと拒まれてもそれに手をつけることが多かった。；有を有とし無を無とすまことにこれ当然の理何人が之を拒むものぞ。；このまま拒みつづければ一家の運命はどうなるかもしれませんでした。；プロになるかどうかではなく碁に情熱があれば来る者は拒まずだった。；食糧市場の一隅にテーブルを設けただけの場所であるのが桜子を拒ませた。；拒むべきことでもないし、李の笑顔に信頼して、正枝は捺印してやった。；それが僕を振落し僕を拒み僕を押つぶし僕をさまよはし僕に喰らひつく。；藤森さんの髪からはやっぱり誘うようで拒むような、そんな匂いがした。；しかし新しい社会の意識はこの伝統に昔ながらの権威を認めることを拒む。；お新を抱くべきではなかったのだろうが、かれはそれを拒みきれなかった。；オリガは夫に離婚してくれるよう頼んだが、ピョートルは離婚を拒んだ。；彼はいかなる質問にも答えることを拒み、どんなことにも返事をしなかった。；わしは松塾の閭胥のようなものだったで、相談されて、拒むよう勧めた。</t>
        </is>
      </c>
      <c r="J3062">
        <f>HYPERLINK("https://www.weblio.jp/content/拒む", "词义详情")</f>
        <v/>
      </c>
      <c r="K3062">
        <f>HYPERLINK("https://yourei.jp/拒む", "查看例句")</f>
        <v/>
      </c>
    </row>
    <row r="3063">
      <c r="A3063" t="inlineStr">
        <is>
          <t>ご飯</t>
        </is>
      </c>
      <c r="B3063" t="inlineStr">
        <is>
          <t>成功</t>
        </is>
      </c>
      <c r="C3063" t="inlineStr">
        <is>
          <t>読み方：ごはん
米などのめし、食事を丁寧にいう語。「—を炊く」「—にする」</t>
        </is>
      </c>
      <c r="D3063" t="inlineStr">
        <is>
          <t>ご飯食べ(3%)；ご飯を食べさせ；ご飯茶碗；ご飯粒；ご飯料理</t>
        </is>
      </c>
      <c r="E3063" t="inlineStr">
        <is>
          <t>米；飯；稲；御飯；八木</t>
        </is>
      </c>
      <c r="F3063" t="inlineStr">
        <is>
          <t>白いご飯；一緒にご飯；おいしいご飯；納豆ご飯；竹の子ご飯</t>
        </is>
      </c>
      <c r="G3063" t="inlineStr">
        <is>
          <t>ご飯論法；ご飯がススム；ご飯パン</t>
        </is>
      </c>
      <c r="H3063" t="n">
        <v>29</v>
      </c>
      <c r="I3063" t="inlineStr">
        <is>
          <t>現在のような料理ではなく、高盛りになったご飯などであったとされる。；私がいなかったから、自分でご飯をよそって、一人で食べて出ていった。；横でご飯つくって子どもあやしてる人にまで著作権があったら世話ないわ。；お帰りになるにしても、ご飯をおすませになってからだろうと思いますが。；終わった後まだ彼の出勤には時間があったので、一緒にご飯を食べに出た。；ご飯を後から入れるのには抵抗を感じるという人にも配慮したという。；ご飯を買いに行くことも漫画を買いに行くこともお散歩することもできなくなる!?；対して男へのサービスは、あったところでご飯お代わり自由とかだ。；まともに白いご飯を食べたことはないらしく、布団で寝たこともない。；両親といっしょに住んではいるけれど、母は父のご飯しか作らない。；ご飯と汁物のうどんやそばのセットのような席では、作法は問われない。；「あたしはほかの部屋で夕ご飯をいただくわ」とあたしは言ってやった。；この状態でご飯を食べたら、あまり美味しく感じられないような気がする。；明日は姉さんの為に、腕によりをかけておいしいご飯を作ってあげよう。；泥棒にご飯を食べさせ、どうせなら夫の最後の絵を持っていってくれという。；ご飯を炊いたあと、鍋に水を入れておいたので、水が温かくなっていた。；お父さんがご飯と一緒に何かの包みを持ってきてくれました。；桜も馴れているのか、とりわけ気にした風もなくご飯を食べている。；昔のことで白いご飯に、手の込んだおかずが食べられたのは男だけ。；アルボレートはこのホテルにわざわざご飯を食べに来たのだと言う。；一方で白米のご飯で同様の食事スタイルをとるとビタミンB1が不足する。；岩城は毎日のようにあたしを迎えに来て、外で一緒にご飯を食べた。；子どものご飯はお弁当で、梨花ちゃんたちが庭に持って出ていったよ。；ここで朝を過ごして、夕方もご飯を食べさせてもらってるんです。；子供の頃にしばしば、ご飯に乗せて納豆のように食べていたという。；女の人たちは料理を運んできたり下げたりで、一緒にご飯を食べたりしなかったし。；「あなたご飯を食べましたかって、言って来たの」 私は驚いて母を見た。；ご飯はもう食べちゃったし、夕方までには、まだ少し時間があるし。；ご飯を食べさせてくれる所だろうと考えるのが自然だろう。</t>
        </is>
      </c>
      <c r="J3063">
        <f>HYPERLINK("https://www.weblio.jp/content/ご飯", "词义详情")</f>
        <v/>
      </c>
      <c r="K3063">
        <f>HYPERLINK("https://yourei.jp/ご飯", "查看例句")</f>
        <v/>
      </c>
    </row>
    <row r="3064">
      <c r="A3064" t="inlineStr">
        <is>
          <t>碁盤</t>
        </is>
      </c>
      <c r="B3064" t="inlineStr">
        <is>
          <t>成功</t>
        </is>
      </c>
      <c r="C3064" t="inlineStr">
        <is>
          <t>読み方：ごばん
囲碁に使う方形の盤。盤面に、縦横各19本の線を直交して引き、361の目を設ける。</t>
        </is>
      </c>
      <c r="D3064" t="inlineStr">
        <is>
          <t>碁盤目状(13%)；碁盤縞(5%)；碁盤状(3%)；碁盤太平記(3%)；碁盤上</t>
        </is>
      </c>
      <c r="F3064" t="inlineStr">
        <is>
          <t>碁盤忠信源氏礎</t>
        </is>
      </c>
      <c r="G3064" t="inlineStr">
        <is>
          <t>碁盤割；碁盤忠信源氏礎</t>
        </is>
      </c>
      <c r="H3064" t="n">
        <v>29</v>
      </c>
      <c r="I3064" t="inlineStr">
        <is>
          <t>ある時余が訪問して見ると居士は紙の碁盤の上に泥の碁石を並べていた。；久松が、興奮したように息を大きくつくと、黒い石を碁盤の隅に置いた。；これら大道路をかれは、京都のそれのように碁盤目にするつもりだったのだ。；また秀吉が囲碁を打ったとされる石の碁盤も、公園内に残されている。；ずっと碁盤の上をみつめていたらしい眼を、ゆっくりとあげて私に云った。；それは水色の地に紺の碁盤目の著物を白い肌につけた彼の女であつた。；同時に城下町も碁盤目状に整備され、家臣や商人・職人などが定住した。；心待に待っていた三左衛門はすぐ碁盤を出して、まず己が先でやってみた。；空から見るロマリアの街は、整然と区画整理された碁盤のように見えた。；初期のものは、まるで碁盤の上で遊んでいるような具合であった。；これでは一勝負終わった頃には碁盤が割れ砕けてしまっているかも知れない。；碁盤のように規則正しい広やかな札幌の往来を南に向いて歩いていった。；市内の通りは特に中心街と中央部で碁盤目状になっている。；わたしはそのとき同じ碁盤の前には坐っていないのだよ。；あいつは何しろ、若い頃に、自分のおやじ殿を碁盤の上にすわらせてな。；同様の現象はマンハッタン以外の碁盤目状の通りを持つ都市でも見ることができる。；それに碁盤を抱え込むと、我ながら凝りはしないかと心配でもあった。；しかし碁盤の中央を最初から占める打ち方も、昔から考えられていた。；前作に比べ不自然な着手が減り、より碁盤全体を見た打ち回しになった。；こうした経緯から、広島の主要道路は城を基準にほぼ碁盤目状に配置されるようになった。；そして勝敗は天が審判するとされたりして、碁盤の中心を天元とまでいう。；半竜は胸を張って腕を組み、白衣の老人は前屈みで碁盤を眺めている。；としながらも、さり気に負けかかっていた碁盤を手でぐしゃぐしゃにする。；社長室にある碁盤、花札などはそのための研究用のものであった。；そうだ、先方の入りよいように、ここえへ碁盤を出しておいてやろう。；かういふ眺めの二階で、わたしは碁盤を持ち出して独り勉強を始めてゐた。；碁盤や将棋盤が用意されている部屋に行き、将棋の助言をすることにする。；後日、話していた重臣達を自宅へ呼んで、碁盤で蝋燭の火を消して見せた。；碁盤の隅に三個の黒石が置かれたままの、奇妙な五目並べがつづけられた。</t>
        </is>
      </c>
      <c r="J3064">
        <f>HYPERLINK("https://www.weblio.jp/content/碁盤", "词义详情")</f>
        <v/>
      </c>
      <c r="K3064">
        <f>HYPERLINK("https://yourei.jp/碁盤", "查看例句")</f>
        <v/>
      </c>
    </row>
    <row r="3065">
      <c r="A3065" t="inlineStr">
        <is>
          <t>媚びる</t>
        </is>
      </c>
      <c r="B3065" t="inlineStr">
        <is>
          <t>成功</t>
        </is>
      </c>
      <c r="C3065" t="inlineStr">
        <is>
          <t>読み方：こびる
［動バ上一］［文］こ・ぶ［バ上二］
１他人に気に入られるような態度をとる。機嫌をとる。へつらう。「権力者に—・びる」「観客に—・びる演技」
２女が男の気を引こうとしてなまめかしい態度や表情をする。「—・びるような目つき」</t>
        </is>
      </c>
      <c r="D3065" t="inlineStr">
        <is>
          <t>媚びるような眼；媚びるような微笑；媚びるような口調；媚びるような笑い；媚びる卑し</t>
        </is>
      </c>
      <c r="E3065" t="inlineStr">
        <is>
          <t>持ち上げる；愛想笑い；持ちあげる；おべっか；迎合する</t>
        </is>
      </c>
      <c r="H3065" t="n">
        <v>29</v>
      </c>
      <c r="I3065" t="inlineStr">
        <is>
          <t>別に媚びる気もないが、一緒に旅をするのなら笑顔があったほうがいい。；僕は野島のことがなければ野島よりもなおあなたに媚びたかも知れない。；恐怖からの媚びもあるが、そればかりとは見えない彼らの眼の炎であった。；苟も自ら新にせんとするものは昨日の自己に媚びてはならぬのである。；私は男性にも出したことのない、媚びた自分の声に少し自己嫌悪を感じた。；魔性の女たちは世間に背を向けているようで、じつは世間に媚びている。；仮初にも自分を新にしようとする者は昨日の自分に媚びてはならないのである。；だからわたしは、精神だけに媚び彼とだけ仲よくなってもだめなのである。；その言葉は事実であったし、また祖母の心に媚びる言葉でもあった。；その男に媚びる眼差しを向けながら、私は祖母のための曲を作りました。；その故で自然収入があるやうにと思つて見物に媚びる事になります。；はば広い才能といえるが、同時に、読者に媚びていない点に注目したい。；その眼には愁いの影なんかはなくて、媚びを含んでるとさえ思われたのです。；媚びるつもりではなく、働くことは息をすることと同じに身についていたからだ。；少年が男に詫びたり媚びたりする理由は、どこにも存在していなかったから。；彼は、女ないし美童から、いままでこのような媚びを受けたことがない。；ブスといいながら、実はものすごく媚びていることに本人は気づかない。；更に分析すると、女が声に媚びを含ませる場合、二通りあるということだ。；それから少し間を置いて、媚びるやうな態度で、小さい頭を傾けて言つた。；葉尊麟の孫なら、死んでも日本人には媚びないと言うかもしれないな。；彼を愛しつつも、今日を生きんがために、金に媚び、身を売らねばならぬ。；可愛らしいちょっと唇を押し当てて媚びるような微笑を遠くの方から送ります。；面長な白い顔に、微笑が浮き上り、茶色の美しい目が媚びを含んでいた。；あの自信のない臆病な男に自分はさっき媚びを見せようとしたのだ。；私はこれまで誰からも、こんなふうに媚びられたことはなかった。；それから少し間を置いて、媚びるような態度で、小さい頭を傾けて言った。；みんなの顔にうかんでいるこの尊敬の表情は、彼の虚栄心に大いに媚びた。；潔癖な性格で権臣に媚びず、長沙郡のあたりに流寓していたこともある。；金さえあればああやってスラファトの軍人さえも俺に媚びてくる。</t>
        </is>
      </c>
      <c r="J3065">
        <f>HYPERLINK("https://www.weblio.jp/content/媚びる", "词义详情")</f>
        <v/>
      </c>
      <c r="K3065">
        <f>HYPERLINK("https://yourei.jp/媚びる", "查看例句")</f>
        <v/>
      </c>
    </row>
    <row r="3066">
      <c r="A3066" t="inlineStr">
        <is>
          <t>ご無沙汰</t>
        </is>
      </c>
      <c r="B3066" t="inlineStr">
        <is>
          <t>成功</t>
        </is>
      </c>
      <c r="C3066" t="inlineStr">
        <is>
          <t>読み方：ごぶさた
［名］(スル)相手を敬って、その人への「無沙汰」をいう語。あなたさまへの無沙汰の意。長らく訪ねなかったり、便りをしないままでいたりすること。また、それをわびるあいさつに用いる語。「久しく—しています」→無沙汰1</t>
        </is>
      </c>
      <c r="D3066" t="inlineStr">
        <is>
          <t>ご無沙汰いたし(3%)；ご無沙汰致しており</t>
        </is>
      </c>
      <c r="E3066" t="inlineStr">
        <is>
          <t>無音；御無沙汰；無沙汰</t>
        </is>
      </c>
      <c r="H3066" t="n">
        <v>29</v>
      </c>
      <c r="I3066" t="inlineStr">
        <is>
          <t>ご無沙汰期間が長すぎてついに我慢できなくなったのかもしれないぞ。；前に行ったのは三年前だから、もうかなりご無沙汰をしていることになる。；あんまりご無沙汰してるから、君のゐる時に行きたいつて云ふんですよ。；今日で三日もご無沙汰しているローマ字日記を書く気にもならない。；ここのところ、葉菜ちゃんとの電話もご無沙汰になってしまっている。；真由とこうしてふたりの時間を持つのもえらくご無沙汰な気がする。；ここのところ忙しくてご無沙汰していたネイルサロンへ行ってきた。；その後ご無沙汰しましたが、僕は今仙台市内のある住宅街に棲んでいます。；四日に一分の利息を払うてえ決めが、ここんとこ三度もご無沙汰でね。；長年のご無沙汰のために、知っている顔は松永てるほ一人である。；ご無沙汰はおたがいさまであるので、弓子も同じように考えているであろう。；何度か来ているはずでありながら、ここしばらくご無沙汰していたので記憶が薄くなっている。；時計など、城の広間で見て以来のご無沙汰だから、時刻は見当で計るしかない。；須藤君と長く続いた登下校もだし、祖父母宅への訪問もご無沙汰になっている。；「ご無沙汰しております」 彼女はにこやかに一別以来の挨拶をした。；太郎の方にはご無沙汰だけれど、まあ、無事なんでしょう、ということでした。；最近すっかりご無沙汰してるが、そのかわりに衣服費が増えた。；「あ、ご無沙汰してます」 紗枝子はいま気がついたようにお辞儀をした。；地球とはもう一年以上もご無沙汰している。；このところ私のバイトのせいでだいぶ長いことご無沙汰だったねぇ!；後期の最初にちょこっと顔を出して以来だから、丸二か月はご無沙汰していることになる。；「ご、ご無沙汰しております」 そして彼女に向かって、深々と頭を下げた。；しかし、そのときはそれっきりで、あのふたりとも長いことご無沙汰で過ぎていたんです。；だが、ちかごろはすっかりご無沙汰したままになっているのを、彼は認めなければならない。；「ご無沙汰してます」 憂夜さんも低い声で応えると頭を下げた。；幼いころに幽明界を異にして以来、長らくのご無沙汰にてござんした。；「小寺所長、ご無沙汰しております」 鶴井は、そういって頭を下げた。；結婚前、私の方もご無沙汰していたものね。；そうしてそれから二十年近くの間、天どんには久しくご無沙汰していたのである。</t>
        </is>
      </c>
      <c r="J3066">
        <f>HYPERLINK("https://www.weblio.jp/content/ご無沙汰", "词义详情")</f>
        <v/>
      </c>
      <c r="K3066">
        <f>HYPERLINK("https://yourei.jp/ご無沙汰", "查看例句")</f>
        <v/>
      </c>
    </row>
    <row r="3067">
      <c r="A3067" t="inlineStr">
        <is>
          <t>個別</t>
        </is>
      </c>
      <c r="B3067" t="inlineStr">
        <is>
          <t>成功</t>
        </is>
      </c>
      <c r="C3067" t="inlineStr">
        <is>
          <t>読み方：こべつ
全体を構成しているものを切り離した一つ一つ。個々別々。「—に交渉する」「—指導」</t>
        </is>
      </c>
      <c r="D3067" t="inlineStr">
        <is>
          <t>個別的(3%)；個別記事；個別化；個別性；個別ルート</t>
        </is>
      </c>
      <c r="E3067" t="inlineStr">
        <is>
          <t>それぞれ；個々；各々；一つ一つ；各自</t>
        </is>
      </c>
      <c r="F3067" t="inlineStr">
        <is>
          <t>各個別；メンバー個別；個別エンディング；個別人身；個別企業</t>
        </is>
      </c>
      <c r="G3067" t="inlineStr">
        <is>
          <t>個別指導；個別言語；個別具体；個別指導塾；個別的自衛権</t>
        </is>
      </c>
      <c r="H3067" t="n">
        <v>29</v>
      </c>
      <c r="I3067" t="inlineStr">
        <is>
          <t>商品ごとに個別に実験データを提出し審査を受け許可される必要がある。；手持ち武装については各機体向けに個別開発されたものを使用している。；ソ連から独立した中央アジア諸国と中国との国境協定も個別に結ばれた。；対象は双方ともエリア全体とし、エリア内に所在する個別施設は対象外。；自動車では、国際自動車連盟が競技に使用できる車両を個別に承認する。；このほか個別処理や小集落の集合処理で適用されている技術がいくつかある。；しかし近年は個別の設備が並んで設置されるのがほとんどである。；さらに個別のジャンル内においても、いくつもの種類の駒が使用される。；単独のビルなどで個別に熱源設備を設けるよりも次のような利点がある。；それらについて以下の副節に解説するが、詳細は各個別記事を参照のこと。；そして午後に個別の量刑判決を受けるため一人ずつ法廷へ連れて行かれた。；同一の線路上の複数の車両を個別に制御する方式の総称である。；個別の方式の構成や動作についてはそれぞれの見出し項目を参照されたい。；それぞれの下位ジャンルについての詳細は、個別の記事を参照されたい。；特定の物語を題材にしているものは各物語の個別項目を参照。；個別住宅建設が優勢であることが特徴で、質の高い職人の技を見せている。；交換方程式は逐一個別の取引をマクロ経済全体で合計したものとされる。；そのため、各放送局が個別で契約アナウンサーを採用する例が比較的多い。；また、個別分散的だった商人が集団を作るようになり、商幇と呼ばれた。；三人のパイロットに合わせた個別の装備構成がなされている。；個別の機器と比較した場合の利点として、次のような点があげられる。；これらの中でも特に重要なものには、個別の名称がついている。；犯罪組織のメンバーなどについては、シリーズ各作品の個別記事を参照。；斜体 で表示された作品は個別の節を設けず、他作品に絡めて語られたのみ。；個別に項目の存在するキャラクターの詳細は各項目を参照。；門徒は知識と個別に従属するわけではなく、集団として宗門を構成した。；そのため、個別の券に比べて何らかの割引やサービスをつけることが多い。；学生には個別の学部ではなく、プログラム独自の学生証が発行される。；トミーやセガトイズから玩具ルートで個別の商品名を付けて発売された。</t>
        </is>
      </c>
      <c r="J3067">
        <f>HYPERLINK("https://www.weblio.jp/content/個別", "词义详情")</f>
        <v/>
      </c>
      <c r="K3067">
        <f>HYPERLINK("https://yourei.jp/個別", "查看例句")</f>
        <v/>
      </c>
    </row>
    <row r="3068">
      <c r="A3068" t="inlineStr">
        <is>
          <t>零す</t>
        </is>
      </c>
      <c r="B3068" t="inlineStr">
        <is>
          <t>成功</t>
        </is>
      </c>
      <c r="C3068" t="inlineStr">
        <is>
          <t>読み方：あやす
［動サ四］血・汗などを滴らせる。流す。こぼす。
「血を—・して婆羅門に飲ましめ」〈今昔・四・一七〉</t>
        </is>
      </c>
      <c r="D3068" t="inlineStr">
        <is>
          <t>零すまい(3%)</t>
        </is>
      </c>
      <c r="E3068" t="inlineStr">
        <is>
          <t>漏らす；こぼす；撒き散らす；ぼやく；愚痴る</t>
        </is>
      </c>
      <c r="H3068" t="n">
        <v>29</v>
      </c>
      <c r="I3068" t="inlineStr">
        <is>
          <t>だが、その前に奴がぽろぽろと零した紳士連の中にも多くの会員が居る。；誰かが零すのを見ていたのなら、その人がやったんだと言えたんですけど。；母はこの度の出來事についてはもう何にも零したりするやうな事はなかつた。；安堵の息を零し、廊下で待っているはずの三人のことを思い出した。；暫くそうして泣き続けた後ふと浮かんだ考えに、自嘲気味の笑みを零す。；母親はその傍でまた臨終の時のたよりなかったことを零しはじめた。；零した唇が言葉ではない別の震えを見せたのを、見逃さなかった。；あなたが涙のかわりに零した砂はわたしのからだの一部。；結城は田代に手を挙げ、家のほうへと戻りながら自嘲の笑みを零した。；危なっかしい足取りで、誰も見ていないところで、一人で涙を零すはずだ。；パニックになった人がパチンコ玉の箱を通路に零したように走り出す。；それは青年になってからは嘗て零したことのない涙だった。；その姿を見てデニスは思わず涙を零し、ヤマグチは胸が悪くなった。；彼の細君はいつも埃が溜ると愚痴を零しているが、嫌がる気持ちも解る。；さうすると誰も誰も誘ひ出されたやうに涙を零しました。；彼女はきっとあなたの後ろ姿を見ながら涙を零すでしょうよ。；こっちが無理をして和やかにしているのに、何故被害者になったように涙を零したりするのか。；あなたの奥さまの霊が玉治別さまに姿を現はして、涙を零して頼まれたさうです。；「理由を訊かないのかよ」森岡がぽつりと零したのは、橋を通過した後だ。；テレビをぼんやり見ていたら、成長した昔の知り合いが出演していてつい笑みを零してしまう。；頭は床に落ちると同時に白い床に血を零した。；ところどころに、汚れ水でも零したように、黒く挨が濡れた痕跡がある。；笑いを止められなくなり、目からは涙をぼろぼろと零しました。；世の中にはルールってものがあるんだ、と最近、しきりに零している。；なおも強く咳こみながら、根戸は不意に、たった一滴の涙を零していた。；わたしはその夜、わたしのために一生涯の分量の涙を零した。；声を出さずに、娘のように大粒の涙を零して泣いていた。；そんな健くんを見て、お母さんは、声をたてず、ただ涙を目の端から零して泣いた。；背後で、二十歳を過ぎても棚の整理ひとつ満足にできない、と大川が客に零しているのが聞こえた。</t>
        </is>
      </c>
      <c r="J3068">
        <f>HYPERLINK("https://www.weblio.jp/content/零す", "词义详情")</f>
        <v/>
      </c>
      <c r="K3068">
        <f>HYPERLINK("https://yourei.jp/零す", "查看例句")</f>
        <v/>
      </c>
    </row>
    <row r="3069">
      <c r="A3069" t="inlineStr">
        <is>
          <t>零れる</t>
        </is>
      </c>
      <c r="B3069" t="inlineStr">
        <is>
          <t>成功</t>
        </is>
      </c>
      <c r="C3069" t="inlineStr">
        <is>
          <t>読み方：こぼれる
［動ラ下一］［文］こぼ・る［ラ下二］
１液体、粉末、粒状の物などが容器などから外へ出る。すきまなどから漏れ落ちる。「コップの水が—・れる」「袋から米が—・れる」
２音や光、匂いなどが、ある範囲を超えたり、すきまから漏れたりして、外に出る。また、隠されていたものが、思いがけなく現れる。「葉の間から日差しが—・れる」「しのび泣きの声が—・れる」「笑った口元に白い歯が—・れる」
３感情などが、外に現れ出る。「笑みが—・れる」「色気が—・れる」
４花や葉などが散る。
「梅の花折れば—・れぬわが袖に匂ひ香うつせ家づとにせむ」〈後撰・春上〉
[用法]こぼれる・あふれる——「こぼれる」は液体や粒状の物が容器などから外へ落ちること。「あふれる」は量が多くて容器に入りきらず、外へ出てしまうこと。「あふれてこぼれる」とは言えるが、「こぼれてあふれる」とは言わない。◇「コップが倒れて水がこぼれた」は「あふれた」で置き換えられない。◇「大雨で川があふれた」「会場に人があふれる」は「こぼれる」とは言わない。◇比喩(ひゆ)的に用いる「ほほえみがこぼれる」は、平静の表情を保とうとして保てず、ほほえみが思わず外へ現れ出ること。「喜びにあふれる」は、喜びがからだ全体に満ちて、表情や態度に現れている状態である。</t>
        </is>
      </c>
      <c r="D3069" t="inlineStr">
        <is>
          <t>流出；漏れる；こぼれる；洩れる；流れ出る</t>
        </is>
      </c>
      <c r="H3069" t="n">
        <v>29</v>
      </c>
      <c r="I3069" t="inlineStr">
        <is>
          <t>左手に見える海は地峡の陰となり、陽の零れを直接に受けることはない。；裏の赤いのが少しばかり零れ出てゐるのが、変に美しいものに見られた。；しゃっきりしていないと、またしても記憶が零れ落ちるような気がする。；静かに寝息をたて始めた彼女の横顔を眺めていると、自然と涙が零れた。；「兄さんは何故こんなことになったのです」 兄の眼からは涙が零れた。；日が沈めは辺りには建物から零れる電灯以外には照明になるものはない。；酒は零れもせずに、とくとくとガネーシャの中に入っていくではないか。；ただいきなり放置されて、間が持たなかった為に口から零れたセリフだ。；しかし踏んだそばから雪は崩れ、小さな雪崩になって崖下に零れていく。；強がってそれを並べていた少女の姿が思い出されて、つい笑みが零れる。；しばらく流したことがないほどの、大量の涙が、自分の目から零れていた。；同時に、ハルユキは、自分の口から一つの名前が零れ落ちるのを聞いた。；天井付近に開いた無数の穴からは光が零れ部屋の中を照らしていた。；そしてそれを所定の位置に戻したとき、不意に涙が零れそうになった。；そして彼女は零れそうになる大粒の涙を暗闇の中でじっと耐えていた。；宝珠から零れる清んだ白色は、龍華の言葉に嘘がないことを示していた。；我慢していたものが、吹き零れてきたかのようで、私はどきりとする。；黒剣を握る先輩の指は、あまりに強く握っているために血が零れ出している。；雛が幾群も幾群も、其下に出つ入りつ零れた米を土埃の中に猟つてゐた。；口元からぱらぱらと雪のように零れ落ちていくパンの屑だけが遅かった。；その頭部の穴という穴から、粘液質のものが零れ出て床にまで落ちていた。；ただ頭の中で無数の疑問が湧き起こり、溢れて零れてゆくだけだった。；指の間を零れ落ちてゆく砂を、ビアンカは見つめるともなく見つめていた。；二つ折りにされた紙をゆっくりと開くと、紙の間から砂が零れ落ちる。；しかしそれすらも意識せず、ハルユキは零れんばかりに両眼を見開いた。；強い意志を宿した瞳は苦しげに閉じられ、その口の端からは血が零れている。；倒れこんだ彼女の唇から赤い雫が零れていくのも分かっていた。；喉が痙攣するように震え、リーリンは零れそうになる鳴咽を手で抑えた。；リュックサックの中の携帯食品がひとつ零れたが、拾ってはいられない。</t>
        </is>
      </c>
      <c r="J3069">
        <f>HYPERLINK("https://www.weblio.jp/content/零れる", "词义详情")</f>
        <v/>
      </c>
      <c r="K3069">
        <f>HYPERLINK("https://yourei.jp/零れる", "查看例句")</f>
        <v/>
      </c>
    </row>
    <row r="3070">
      <c r="A3070" t="inlineStr">
        <is>
          <t>細かい</t>
        </is>
      </c>
      <c r="B3070" t="inlineStr">
        <is>
          <t>成功</t>
        </is>
      </c>
      <c r="C3070" t="inlineStr">
        <is>
          <t>読み方：こまかい
［形］［文］こまか・し［ク］
１いくつか集まって一まとまりになっているものの、一つ一つの形が非常に小さい。「—・い砂」「—・い雨が降る」「—・い字で書く」「—・い編み目のセーター」「野菜を—・く刻む」⇔粗い。
２金高が小さい。「—・い金を持ち合わせていない」「一万円札を—・くする」
３動きが小さい。「肩を—・く震わせる」
４物事が細部にわたっている。詳しい。「—・い話は抜きにしよう」「情景を—・く描写する」
５小さいところまで行き届いている。「芸が—・い」「—・く気を遣う」
６取るにたりない。些細(ささい)である。「—・い過ちをいちいち指摘する」「—・い事までとやかく言う」
７勘定高い。金銭に対してうるさい。けちだ。「金に—・い奴」「取引に関しては—・い」
８囲碁で、勝敗の形勢が微妙である。「—・い碁」
[派生]こまかさ［名］</t>
        </is>
      </c>
      <c r="D3070" t="inlineStr">
        <is>
          <t>細かいこと(7%)；細かいところ(4%)；細かい点(3%)；細かい部分(3%)；細かい砂</t>
        </is>
      </c>
      <c r="E3070" t="inlineStr">
        <is>
          <t>小さい；細い；柔らかい；繊細；精密</t>
        </is>
      </c>
      <c r="F3070" t="inlineStr">
        <is>
          <t>非常に細かい；さらに細かい；細かい設定；細かい鋸歯；細かい指示</t>
        </is>
      </c>
      <c r="H3070" t="n">
        <v>29</v>
      </c>
      <c r="I3070" t="inlineStr">
        <is>
          <t>こうした問題を解消するために、細かい時刻修正が行われることがある。；細かい区分から大きな区分へと表記していく欧米式とは逆の順序になる。；細かく形の特徴を表す時には、葉身の葉柄の側を脚、先端側を頭という。；NAVIでの地図表示時には、より細かい情報表示が可能となっている。；実際はこれらの処理それぞれが複数の細かい命令群からなるのが普通である。；この過程の細かい部分は宇宙の物質の量と種類によって変わってくる。；細かい位置や方向を表すには場所を表す名詞を組み合わせて表現する。；内部の床は、燃料が通過できるように金属製の細かい枠組みで作られた。；動作速度がより向上し、細かい部分の使い勝手に多くの改良が施された。；プロフィールが細かく設定され公表されているなら、を定義の前に貼る。；味を良くするために、小エビなど細かい具材を使用して作る商品もある。；また、ピン配置に互換性のない複数のシリーズに細かく分けられている。；私はわが眼力がまだ衰えていないので、細かき仕事をするに耐えられる。；それらでは多くの感覚器は体表に細かく埋め込まれたようになっている。；細こう刻んであったけど、元は何か大きなややこしい形してたはずです。；肝臓内の胆管は細かく枝分かれして樹状のネットワークを形成している。；こちらもたくさんの種類があり、細かく使用法が設定されています。；細かく裂けた葉の形がヒノキに似ていることからの命名と考えられる。；なお、国際的なHSコードではこのような細かい分類を設けていない。；ただしこちらは内声部の細かい動きを担当するのは、大部分が左手である。；更に細かい分類方法と経緯があり、この図はあくまで概略である事に注意。；ページ数の関係から細かい台詞や演出はカットされてしまう所もある。；その後は規格の統一化や細かい改善が続けられたりしながら現在に至っている。；もっと細かくなったものは四分戦、細分戦、コマ切れの競走と呼ばれる。；一般には色紙を細かく四角形や三角形に裁断したものが使用されている。；細かい改良とカラーリング以外変更されず、1999年まで販売された。；記述者によって細かい部分が異なるが、基本は同じ内容になっている。；また、各組織をさらに細かく分けた単位に次の呼称が付けられていることがある。；その他にも細かい物を含めると10程度の様々なゲームの賞を獲得している。</t>
        </is>
      </c>
      <c r="J3070">
        <f>HYPERLINK("https://www.weblio.jp/content/細かい", "词义详情")</f>
        <v/>
      </c>
      <c r="K3070">
        <f>HYPERLINK("https://yourei.jp/細かい", "查看例句")</f>
        <v/>
      </c>
    </row>
    <row r="3071">
      <c r="A3071" t="inlineStr">
        <is>
          <t>ごまかす</t>
        </is>
      </c>
      <c r="B3071" t="inlineStr">
        <is>
          <t>成功</t>
        </is>
      </c>
      <c r="C3071" t="inlineStr">
        <is>
          <t>［動サ五（四）］
１本心を見やぶられないように、話をそらしたり、でまかせを言ったりして、その場やうわべをとりつくろう。「笑って—・す」「年を—・す」「世間の目を—・す」
２人目を欺いて不正をする。「帳尻を—・す」「不良品を—・して売る」
[補説] 「誤魔化す」「胡麻化す」などと当てて書く。
[可能]ごまかせる</t>
        </is>
      </c>
      <c r="D3071" t="inlineStr">
        <is>
          <t>乗せる；計る；欺瞞；欺く；いかさま</t>
        </is>
      </c>
      <c r="F3071" t="inlineStr">
        <is>
          <t>うまくごまかす；言ってごまかす</t>
        </is>
      </c>
      <c r="H3071" t="n">
        <v>29</v>
      </c>
      <c r="I3071" t="inlineStr">
        <is>
          <t>あの学校が世間にいっていることなどに、わたしはごまかされませんよ。；いまそんなことを聞いても、うまくごまかされてしまいそうな気がした。；あの人はしばらくはっきりしたことを言わずにごまかそうとしてましたわ。；そうなれば何とか七カ月に入るまでは家族の目をごまかすことができる。；合議の上で彼らは、世間をごまかすに都合のいいような所へ家を移した。；美夜がこれほど頼んでいるのだから、と自分をごまかすのは簡単だった。；それをごまかすかのように、この日は色の薄いサングラスをかけていた。；土の色をしており、土とんの術で土に入らなかった手をごまかすもの。；光太郎ならば適当にごまかすことができたけれど、今はそうはいかない。；そんなことをいって、自分の悪いことをごまかそうと思ってるんですわ!；人の目はもちろんだが、まず自分をごまかすわけにはいかないからだ。；商売の出来ないことをごまかすためもあるが、しかしほかに目的もあった。；堕ち行く己の価値をごまかすためにUWFインターを利用しようとした。；あなたがわたしをごまかすには、わたしたちのつきあいは古すぎるわよ!；大それた誘拐事件などを考えてごまかすほどのことではないでしょう?；前にハリスがダチョウだといってごまかそうとしたキリンが数頭見えた。；もう一度、多分に自分をごまかすために、これしかないのだ、と思った。；女のような声を出して、ごまかそうとしたって、その手はくわないぞッ。；それに、君のおしゃべりで、わしの目をごまかそうなどとは考えるなよ。；自分の心をごまかそうとするのは、最もいけないことだとは気づかなかった。；指定問屋以外の間屋から商品をとり、伝票操作でごまかすこともやった。；人間の目はゴマ化せても、機械をごまかすわけにはいきませんからね。；もし、私をごまかさなければ、証拠品は二、三日中に、あなたに戻るよ。；ごまかすつもりでないのに、知らないといっても、金藤は本気にすまい。；これを、なんとかしてうまく書き直してごまかさうと決心したのである。；これを、なんとかしてうまく書き直してごまかそうと決心したのである。；前に朝丘君に「美都は困ると笑ってごまかす」と指摘されたことがある。；ほどほどにしときなよ、あたしだってごまかすの大変なんだからさ。；このことにこそ、人民の要求のごまかすことのできない力が示された。</t>
        </is>
      </c>
      <c r="J3071">
        <f>HYPERLINK("https://www.weblio.jp/content/ごまかす", "词义详情")</f>
        <v/>
      </c>
      <c r="K3071">
        <f>HYPERLINK("https://yourei.jp/ごまかす", "查看例句")</f>
        <v/>
      </c>
    </row>
    <row r="3072">
      <c r="A3072" t="inlineStr">
        <is>
          <t>こまめに</t>
        </is>
      </c>
      <c r="B3072" t="inlineStr">
        <is>
          <t>成功</t>
        </is>
      </c>
      <c r="D3072" t="inlineStr">
        <is>
          <t>頻繁に；頻りに；隅々まで；まめ；マメ</t>
        </is>
      </c>
      <c r="H3072" t="n">
        <v>29</v>
      </c>
      <c r="I3072" t="inlineStr">
        <is>
          <t>会場のあちこちを参会した議員の秘書たちがこまめに動きまわっていた。；使用時は汚れの程度にかかわらず、こまめに取り替えることが重要である。；こまめに連絡することは、最初に仕事を依頼した時から頼んでおいたことだった。；こまめに連絡を取り合っていたが、この時も交際には発展しなかった。；こまめに水をくれてやるのが、下なる男の義務いたわりというものだろう。；しかし申義さんは僅かな隙を窺ってこまめに民江さんと接触を持った。；なでしこはこまめに自分の世話をしてくれたし、一番親しみやすかった。；特に春と秋には毛の生え変わる時期であるため、こまめに掃除する必要がある。；面倒でもアオミドロが発生したらこまめに取り除くことが必要である。；しかも、発射点をこまめに変更しているのか、空中偵察でも掴めていない。；わしが考えるところ、グルーは、こまめできちんとした性格の持ち主だ。；主人はわたしを見ると大喜びで、せかせかとこまめに動きまわった。；友人が病気になるとこまめに見舞いにいって、本人や家族に代わってお使いをした。；母親と女中だけは近所の活動へこまめに出かけて行く。；尚多くの不具合が報告されているが、こまめに修正されていた。；その辺は細かいというか義理堅いというか、こまめなのもこのふたりである。；夏枝は北原のためにこまめに肉を焼いてやったり、ビールをついでやった。；つまりお手軽な仮想現実で満足せず、こまめに本物に接するのを好むのだ。；籠も清潔そのもので、龍村がこまめに世話をしていたことがわかる。；こまめにフィルターの水洗浄をすれば、吸込仕事率の低下は避けられる。；母は姉のいなくなる前、こまめに掃除をしていたはずだった。；しかし自宅を訪れる人にはこまめに会い、よく話を聞いた。；俺と三好兄弟は陣形をこまめに変化させ、少しでも相手の圧力を正面に受けないように努めた。；順子は病人とわがままな女主人を抱えながらも、実にこまめによく働いた。；そのせいか、源信はこまめに若だんなの様子を気にかけるのだった。；この体験をもとに、女性には丁寧かつこまめに接することが大事だと説いている。；日記は比較的こまめに更新しているので、良かったら遊びにきてみて下さいね〜。；このこまめな気配りと、情の厚さが、伊集院氏の大きな魅力なのである。；どっちにしても月代は身分の高貴なものでないとこまめに手入れが出来ない。</t>
        </is>
      </c>
      <c r="J3072">
        <f>HYPERLINK("https://www.weblio.jp/content/こまめに", "词义详情")</f>
        <v/>
      </c>
      <c r="K3072">
        <f>HYPERLINK("https://yourei.jp/こまめに", "查看例句")</f>
        <v/>
      </c>
    </row>
    <row r="3073">
      <c r="A3073" t="inlineStr">
        <is>
          <t>細やか</t>
        </is>
      </c>
      <c r="B3073" t="inlineStr">
        <is>
          <t>成功</t>
        </is>
      </c>
      <c r="C3073" t="inlineStr">
        <is>
          <t>読み方：こまやか
［形動］［文］［ナリ］
１一まとまりになっているものの一つ一つの要素が微小なさま。
㋐霧などの密度の濃いさま。
「夜は—な霧が市街を包む」〈宮本・伸子〉
㋑色の濃いさま。
「緑色—なシャンゼリゼの森の上に」〈横光・旅愁〉
㋒地肌が美しいさま。「きめの—な肌」
２すみずみまで行き届いているさま。
㋐情が厚いさま。心がこもっているさま。「—な愛情」「—な心配り」
㋑くわしいさま。緻密なさま。
「留守中の有体を—に話したのである」〈紅葉・多情多恨〉
３洗練された味わいがある。微妙な趣がある。
「春雨の音に東都の春の—なるを忍ぶとき」〈倉田・愛と認識との出発〉
４細かくて雑多なさま。
「—なる御調度は、いとしも調(ととの)へ給はぬを」〈源・初音〉
５配慮が細部にわたっていてすぐれているさま。精巧なさま。
「まだ—なるにはあらねども、住みつかば、さてもありぬべし」〈源・松風〉
[派生]こまやかさ［名］</t>
        </is>
      </c>
      <c r="D3073" t="inlineStr">
        <is>
          <t>細やかな心遣い(2%)；細やかな気遣い(2%)；細やかな配慮；細やかな気配り；細やかな指導</t>
        </is>
      </c>
      <c r="E3073" t="inlineStr">
        <is>
          <t>少ない；小さい；狭い；細い；親切</t>
        </is>
      </c>
      <c r="F3073" t="inlineStr">
        <is>
          <t>細やかな描写</t>
        </is>
      </c>
      <c r="H3073" t="n">
        <v>29</v>
      </c>
      <c r="I3073" t="inlineStr">
        <is>
          <t>死ぬことを恐れない人間はまた、他人の死にも細やかに配慮するのです。；又そこに於てほど人情に細やかな芸術を持つ場合を他に知らないのである。；口は悪かったし喧嘩っ早かったけど、細やかなところもあった奴だった。；本を作っている段階では、驚くほど細やかなご指導をくださいました担当様。；神経の細やかな人で、戯談一つ言ってもそれを覚えていて決して忘れない。；保存状態が非常に良く、細やかな葉脈まではっきりと見える化石も多い。；それ以外にも細やかな感情が沸き上がってこなかったわけでもない。；ところが父親の気分たるや、そんな細やかさのわかるような状態ではなかった。；万一に備えて細やかな下準備をしてでかけるからな、といい聞かせながら。；だが二人の心と心は、世のどんな恋人たちよりも一層細やかに通じあっている。；古材の新しい木目の下には、千年前の文化が細やかな渦を描いている。；〇 全学年で少人数学級編成を実施し、きめ細やかな指導を行っている。；私はまったく神経が細やかではなかったのですが、先に寝てしまうのが恐かった。；神々には男性か女性かで有する力の種類に差があるなど、細やかな設定が存在する。；それだけによく見ると、作者の細やかな愛情が至る所に感じられる。；なら、千反田の言う通り神経が細やかで、細やか過ぎたのかもしれない。；しかしお君さんのそうした細やかな心の動きを、祖母に告げた方がいいものかどうかは分らなかった。；同じ顔をした2人の男性の間で揺れ動く女性の恋心を細やかに描く。；そのため、マクロを改造しきめ細やかな動作をさせるようなことも可能である。；王族たちの信頼を獲得するためにきめ細やかなサービスを提供しなければならない。；彼のいづこからその細やかな、すき通るやうな声が出て来るのであらうか。；誠実だが、この弁護士には確かに細やかな気遣いに欠けるところがあった。；ゾーン制と同じく、均一制と比べてきめ細やかな運賃設定が可能である。；薄い細やかな皮膚がその肉附に融けこんで、餅の表面をでも見る感じでした。；好みの色をした細やかな泡立ちを、日比谷は自分の位置から見た。；そのために顔の表情なども細やかに柔らかに現われてくる。；細やかな観察を心のはずみに乗せて詩に高めることの大切さを深く知っていた人だ。；この時期に彼は細やかで繊細なピアノ技術を身につけた。；礼拝堂は1階の北東の角にあり、また細やかな技を施した彫刻作品がある。</t>
        </is>
      </c>
      <c r="J3073">
        <f>HYPERLINK("https://www.weblio.jp/content/細やか", "词义详情")</f>
        <v/>
      </c>
      <c r="K3073">
        <f>HYPERLINK("https://yourei.jp/細やか", "查看例句")</f>
        <v/>
      </c>
    </row>
    <row r="3074">
      <c r="A3074" t="inlineStr">
        <is>
          <t>困る</t>
        </is>
      </c>
      <c r="B3074" t="inlineStr">
        <is>
          <t>成功</t>
        </is>
      </c>
      <c r="C3074" t="inlineStr">
        <is>
          <t>読み方：こまる
［動ラ五（四）］
１ある物事をどう判断・処理してよいかわからず悩む。取り扱いがやっかいで苦しむ。困惑する。もてあます。手を焼く。「返事に—・る」「聞き分けがなくて—・る」「あいつときたら—・ったもんだ」
２つらいことにあって苦しむ。難儀する。「人手が足りなくて—・っている」「家が狭くて—・る」
３不都合である。迷惑する。「人に知られては—・る問題」「隣の騒音に—・っている」
４金や物がなくて生活に苦しむ。困窮する。
「奥さんのような—・った事のない方にゃ…解(わか)らないでしょうがね」〈漱石・明暗〉</t>
        </is>
      </c>
      <c r="D3074" t="inlineStr">
        <is>
          <t>困るだろ(2%)；困るんです；困るでしょ；困るだら；困るわけです</t>
        </is>
      </c>
      <c r="E3074" t="inlineStr">
        <is>
          <t>困った；参った；弱った；参る；困惑する</t>
        </is>
      </c>
      <c r="F3074" t="inlineStr">
        <is>
          <t>ちゃ困る；なければ困る；一番困る；ちょっと困る；困るということ</t>
        </is>
      </c>
      <c r="H3074" t="n">
        <v>29</v>
      </c>
      <c r="I3074" t="inlineStr">
        <is>
          <t>その大切な帽子がなくなってしまったのですから僕は本当に困りました。；此方が表の戸を開けかねて困つてゐるのを見ても知らぬふりをしてゐる。；だっていきなりどうだって言ったって、返事に困ってしまうじゃないの?；尤もあまり長過ぎても困るが、どちらかと云へば少し長い位なのがいい。；それはその部屋に盗まれて困るものが何一ツないことの証拠でもあろう。；処が一方市民が大いに困らなければストライキの本当の効果はないのだ。；そのため日常生活する分にはお金に困ったことがないと話している。；逆に外れて困る場合はABS樹脂用の接着剤で固定すると外れなくなる。；ねえ、まるでこれまで知らない人間を扱うように扱われちゃ困りますよ。；最近はほとんど映画を見てないんで、好きな女優といわれても困るね。；こういう調査の仕方では、業界全体に問題があるように思われるので困る。；どう考えるか、と突然尋ねられても私は専門家ではないし、困りますな。；裕福とはいかないまでも、暮らしに困るほどではない中流の家であった。；あの子が何にもいってくれないので、私は変な気持になって困りました。；労働組合の仕事などしていて、子供が生れでもしたら困りはしないかい?；なぜつけないかと訊かれると、返事に困るが、どうもつける気がしない。；ただ明朝私がここを出るまでは秘密を守っていただかんと困りますがね。；こういうものが一人できますと家族はとても困るわけであります。；だが、周囲の色に引きずられて物の色が違って見えては困るであろう。；女の子でも一人しっかりさせておかなければあの家はあとでお困りでしょう。；村には夜になると金色の牝馬がやって来て、畑を荒らされて困っていた。；ロンドンには友達もなければ親類もなし、これにはまったく困りました。；さて、どんな味があるかと言われてもちょっと困るが、とにかく美味い。；電車に乗っていてもう一つ困るのは車の響きが音楽に聴えることです。；誰か尋ねてきて、 われわれが寝ていないことがわかっては困ります。；どうかすると、母親さへも彼女には極めつけられて困ることがあつた。；日本で生活していれば、食べるのにも住むのにもそんなには困らない。；選挙では裏の情報をいくら集めても困らないというのは確かなようだ。；大勢で一円ずつ入れたり出したりして銀行を困らせる事件があった。</t>
        </is>
      </c>
      <c r="J3074">
        <f>HYPERLINK("https://www.weblio.jp/content/困る", "词义详情")</f>
        <v/>
      </c>
      <c r="K3074">
        <f>HYPERLINK("https://yourei.jp/困る", "查看例句")</f>
        <v/>
      </c>
    </row>
    <row r="3075">
      <c r="A3075" t="inlineStr">
        <is>
          <t>ごみ</t>
        </is>
      </c>
      <c r="B3075" t="inlineStr">
        <is>
          <t>成功</t>
        </is>
      </c>
      <c r="C3075" t="inlineStr">
        <is>
          <t>読み方：ごみ
１5種の味覚。物の味の5種。甘さ・酸(す)っぱさ・辛(から)さ・苦(にが)さ・鹹(しおから)さ。
２大般涅槃(だいはつねはん)経に説く、牛乳を精製して順次に生ずる五つの味。乳味・酪味・生酥(しょうそ)味・熟酥味・醍醐(だいご)味で、醍醐味を最高の味として仏の涅槃にたとえる。天台宗ではこれを釈迦1代の教説の順序になぞらえ、五時教に配する。</t>
        </is>
      </c>
      <c r="D3075" t="inlineStr">
        <is>
          <t>ごみ袋(4%)；ごみ焼却(3%)；ごみ処理；ごみ集積；ごみだらけ</t>
        </is>
      </c>
      <c r="E3075" t="inlineStr">
        <is>
          <t>破片；残骸；ゴミ；塵；屑</t>
        </is>
      </c>
      <c r="F3075" t="inlineStr">
        <is>
          <t>ひとごみ；家庭ごみ；プラスチックごみ；黒いごみ；小さなごみ</t>
        </is>
      </c>
      <c r="G3075" t="inlineStr">
        <is>
          <t>ごみごみ；ごみ捨て；ごみ収集；ごみ収集車；ごみ処理施設</t>
        </is>
      </c>
      <c r="H3075" t="n">
        <v>29</v>
      </c>
      <c r="I3075" t="inlineStr">
        <is>
          <t>自治体の設定したごみの区分と出し方に応じた指定袋が指定されている。；ごみ舟で働く少年を主人公とする、これも男ばかりの世界の物語である。；午後になると馬も疲れて来るのか、ひどく前こごみになって歩いていた。；家に置いておいてごみなんかで出してしまったら・・・終わりでしょ?；ごみ山から発生するメタンガスを利用した発電所を建設する計画がある。；ごみ屋の大きな馬車を追い抜こうとしたとき、お上さんが悲鳴をあげた。；彼は、川の一部が浅くて、がらくたやごみが沈んでいる所を知っていた。；ガレージと家の裏手の間には、竹藪と捨てられたごみが山をなしていた。；大きな流氷の上に、まさに黒いごみをぶちまけたように鳥の群れがいる。；これらの椅子は家庭ごみから作られており、7種類の色が用意されている。；こういう開けた場所では、よく家のごみを燃やしている人がいるから。；僕は、このごみっぽい郊外に住んでいる人たちの生活に就いて考えた。；それらはあらゆる意味とは無関係になっており、いまやごみですらない。；道には紙屑もごみもなく、春だというのに、空はいやに青く澄んでいた。；ある女性が橋の上からごみ袋を投棄したところを目撃されていた。；このごみたちはもとはと言えば誰かが何かの目的があってつくりだしたものだ。；その反面、半透明のごみ袋を作ることになった人たちは、大喜びである。；ごみをあさって衣服を手に入れ、捨てられていた本から知識を得ました。；上を向くと上から降りてくる男たちの靴のごみが眼に入るので上も見ませんでした。；私はごみ袋の山を横目でにらみながら、東京都をうらんでいるのである。；ごみが山のようにつもって、兄のうちはごみにうずまってしまいました。；二人は手を組んで駅のひとごみの中に消えていったんです。；またごみの放置も増加したため管理費は他の公園の10倍以上かかっている。；韓国海軍でも軍艦で出る生活ごみを全部海に捨てていることが判明している。；わたしが育ったのは二十階建てのビルの高さに積みあげられたごみの中です。；ごみだらけの床まで旅行する趣味はもっていなかったからだ。；レベル1 セクハラ台所で料理を進めているなごみの 後ろに近づく。；これとさっきのごみとの間には、はっきりした違いがあったの。；お母さまはひとごみから少しはなれたところに立ってあたしの手を握っていました。</t>
        </is>
      </c>
      <c r="J3075">
        <f>HYPERLINK("https://www.weblio.jp/content/ごみ", "词义详情")</f>
        <v/>
      </c>
      <c r="K3075">
        <f>HYPERLINK("https://yourei.jp/ごみ", "查看例句")</f>
        <v/>
      </c>
    </row>
    <row r="3076">
      <c r="A3076" t="inlineStr">
        <is>
          <t>込み上げる</t>
        </is>
      </c>
      <c r="B3076" t="inlineStr">
        <is>
          <t>成功</t>
        </is>
      </c>
      <c r="C3076" t="inlineStr">
        <is>
          <t>読み方：こみあげる
［動ガ下一］［文］こみあ・ぐ［ガ下二］
１喜怒哀楽の激しい感情が沸き上がってきて胸がいっぱいになる。また、こらえきれずにあふれ出る。「涙が—・げる」「怒りが—・げる」
２胃の中の物が突き上げるように口の方へ出てくる。「吐きけが—・げる」</t>
        </is>
      </c>
      <c r="D3076" t="inlineStr">
        <is>
          <t>湧く；湧き出る；湧き上がる；沸き立つ；湧きあがる</t>
        </is>
      </c>
      <c r="H3076" t="n">
        <v>29</v>
      </c>
      <c r="I3076" t="inlineStr">
        <is>
          <t>すると、なぜか言わなければならない一言が胸の奥から込み上げてきた。；胸もとに言葉が込み上げて来たが、それを口に出しては言えなかった。；いかにも自分らしいと、状況を無視して笑みさえ込み上げてきそうになる。；頭では理解できているそれらの知識を吹き飛ばすほどの怒りが込み上げた。；わけのわからない、ノスタルジックな興奮が体の底から込み上げて来る。；頭が熱くなり、説明のできない気持ちが、喉いっぱいに込み上げてくる。；そう思った瞬間、ぞくぞくするような快感が込み上げてくるのを感じた。；じっと闇を見つめていると、さっきと同じように込み上げてくるものがある。；ノエルの顔を見ているだけでも胸が悪くなるような嫌悪が込み上げてくる。；いまこの瞬間にもどこからか弾丸が飛んできそうな恐怖が込み上げてくる。；ずっと以前から知っていたような、不思議な親近感が込み上げるのだった。；そういう感じが込み上げてくるのだけれど、なにがおかしいのかわからない。；自分の生活がどうであるにせよ、子供に対する愛情が込み上げて来た。；そんな感情がきっかけになったものか、不意に尿意が込み上げてきた。；それと同時にいままでにも増して激しい怒りが込み上げてくる。；なんだかこう涙が喉のところへ込み上げてくるほど嬉しいのですね。；私の上で込み上げる吐息を抑えられずにいる女を、私はそっと見つめました。；その時の光景を思うと、いまでも体の芯から屈辱と怒りが込み上げてくる。；適当にあしらっていたジャッドだったが徐々に怒りが込み上げてきた。；フレッチャーは腹の底から込み上げてくる喜びを抑えきれなかった。；眼は見えない物をも見る恐怖に、口は下から込み上げて来る嘔気に。；由香里は、胸の奥から、絶望的な気持ちが込み上げてくるのを感じた。；剣を拾って振り返ると、自分自身の焼けるような怒りが込み上げてきた。；一瞬、驚きのあまり声もなく、それからすぐに激情が込み上げてきた。；これに対して、本当に同じ国かと怒りにも似た気持ちが込み上げてきたという。；さう思ふと何處からともなく込み上げて來る強い憐愍がひとしきり續く。；そのデスマスクのような顔を見たとたん、圧倒的な孤独が込み上げてきた。；娘玉子を失った悲しみが、急に胸に込み上げてきたからであった。；そのたびに江南は、何となく込み上げてくる笑いを抑えねばならなかった。</t>
        </is>
      </c>
      <c r="J3076">
        <f>HYPERLINK("https://www.weblio.jp/content/込み上げる", "词义详情")</f>
        <v/>
      </c>
      <c r="K3076">
        <f>HYPERLINK("https://yourei.jp/込み上げる", "查看例句")</f>
        <v/>
      </c>
    </row>
    <row r="3077">
      <c r="A3077" t="inlineStr">
        <is>
          <t>ごみ箱</t>
        </is>
      </c>
      <c r="B3077" t="inlineStr">
        <is>
          <t>成功</t>
        </is>
      </c>
      <c r="C3077" t="inlineStr">
        <is>
          <t>読み方：ごみばこ
１ごみを入れるための箱。
２《recycle bin／trash box》コンピューターの不要なファイルやフォルダーを削除する機能の一。デスクトップのごみ箱型のアイコンに、不要なファイルやフォルダーを入れる。操作の時点では完全に削除されず、復元が可能。完全削除の処理を行うと、実際に削除され、削除分のディスク容量が増加する。</t>
        </is>
      </c>
      <c r="D3077" t="inlineStr">
        <is>
          <t>ゴミ箱；屑籠；紙屑籠；屑入れ；屑かご</t>
        </is>
      </c>
      <c r="H3077" t="n">
        <v>29</v>
      </c>
      <c r="I3077" t="inlineStr">
        <is>
          <t>菓子の包み紙などを入れるなど、簡易ごみ箱のように利用する人もいる。；このように、企業が設置しているごみ箱は行政システムの一部となっている。；近代合理主義ってやつが一家に一台必ず備えている怪力乱神のごみ箱だ。；ごみ箱も、弁当殻などが多く出ることを考慮し大型のものを設置している。；女なら誰でも、これをごみ箱に捨ててしまうことなんか、簡単には出来ない。；飢えと寒さにふるえながらどこかのごみ箱のまわりでもうろうろしている。；九州から担いできたギターを、東京駅のごみ箱の陰にそっと立てかけた。；しかし、ごみ箱を抱えて廊下を行く友美の気持ちは、少し複雑だった。；浦和の駅近くのデパートへ入り、トイレットのごみ箱にコートを捨てた。；そのかわり、ごみ箱の奥から、紙で厳重に包まれたものが出てきた。；数日前の夜、ブルーはごみ箱に捨ててあった彼の剣を発見し、持って来てくれた。；あとの二人はソロの両側にあるごみ箱に邪魔された。；土手にあるごみ箱の中にも、花見の後のごみは捨てられていなかった。；雑巾を元の場所に返してくると、ごみ箱を抱えた和彦が、翔香を促した。；ちゃんと家から遠いところのごみ箱に入れてきたのね?；二人が結婚してから、何度か新居にいったが、部屋のなかはごみ箱のようだった。；机の下に隠していたごみ箱を取りだし、だれも来ないことを確認して中を探った。；街灯の陰と、ごみ箱の後ろから、男がこちらの様子をうかがっていた。；化学準備室のごみ箱に入っていた人形の手らしいものが、ドアのポケットに入っていた。；また、ごみ箱は2番線 名古屋方面ホームにのみ設置されている。；ごみ箱をひとつ焼き、土に若干の煤を残しはしたが、火は広がらなかった。；足の下には落葉が一面につもって、まるでごみ箱の中でも歩いているような気持です。；運転しながら裏町へくると、ごみ箱の横へ捨ててしまいました。；しばらくの間、町中の冷たいごみ箱からもどってきてここにいることが信じられなかった。；このあたりはビルばかりで焚き火をするような場所がないので面倒になり、ごみ箱に捨てた。；また、爆発の影響で、現場近くの道路にあった大型の鉄のごみ箱が壊れていた。；そこには他人に知られたくないことが書いてあったんですから、駅のごみ箱に棄てる気にはなれなかったんです。；家庭では持ち運びが可能なごみ箱が用いられる場合が多い。；この前の朝捨てたはずのファックスが、ごみ箱から出て、床にでも落ちていたのだろう。</t>
        </is>
      </c>
      <c r="J3077">
        <f>HYPERLINK("https://www.weblio.jp/content/ごみ箱", "词义详情")</f>
        <v/>
      </c>
      <c r="K3077">
        <f>HYPERLINK("https://yourei.jp/ごみ箱", "查看例句")</f>
        <v/>
      </c>
    </row>
    <row r="3078">
      <c r="A3078" t="inlineStr">
        <is>
          <t>込む</t>
        </is>
      </c>
      <c r="B3078" t="inlineStr">
        <is>
          <t>成功</t>
        </is>
      </c>
      <c r="C3078" t="inlineStr">
        <is>
          <t>読み方：こむ
［動マ五（四）］
１一つ所に多くの人や物が集まっていっぱいになる。混雑する。また、物事が一度に重なる。「銭湯が—・んでいる」「道路が車で—・む」「日程が—・んでいる」「負けが—・む」
２（込む）仕組みが複雑に入り組む。精巧である。「手の—・んだ細工」
３（込む）動詞の連用形に付いて、複合語の形で用いる。
㋐中に入る。「風が吹き—・む」「飛び—・む」「殴り—・む」
㋑中に入れる。「書き—・む」「詰め—・む」「呼び—・む」
㋒ある状態をそのままずっとしつづける。「座り—・む」「黙り—・む」
㋓すっかりその状態になる。「冷え—・む」「老い—・む」
㋔徹底的に事を行う。「教え—・む」「煮—・む」「使い—・んだ万年筆」
［動マ下二］「こめる」の文語形。
[補説] 「込」は国字。1は、混雑する意では「混む」と書くことが多い。</t>
        </is>
      </c>
      <c r="D3078" t="inlineStr">
        <is>
          <t>込むだら；込む隙間もあり；込む土壌流出防止法；込むべし</t>
        </is>
      </c>
      <c r="E3078" t="inlineStr">
        <is>
          <t>混雑する；殺到する；ひしめく；ごった返す；混む</t>
        </is>
      </c>
      <c r="F3078" t="inlineStr">
        <is>
          <t>沈み込む；飲み込む；しゃがみ込む；さし込む；教え込む</t>
        </is>
      </c>
      <c r="H3078" t="n">
        <v>29</v>
      </c>
      <c r="I3078" t="inlineStr">
        <is>
          <t>出演者はみんなこれは面白い作品になりそうだと大変撮影に入れ込んだ。；誰しも二人の敵を打つよりは一人味方に思ひ込む方が気が楽でゐられる。；説明図には多くの船と網でイルカの群れを囲い込む様子が描かれている。；自分達の生活に何か特別な社會的意義があるかに人に思ひ込ませたがる。；一方で、複雑だが作り込まれたゲームシステムなど評価される点もある。；犬の正体はナポレオンが動物主義を教え込んだという仔犬たちであった。；お説教に引ずり込まれて、彼は帰ることも忘れて居たのではあるまいか。；彼の祖母は、食習慣で相手を決して判断してはいけないと教え込んでいる。；この頃は太平洋プレートが直接日本列島の下に沈み込んでいたとされる。；何から何まで、わたしはお前さんの通りに為込まれてしまっているわ。；これは音楽が誰かに教え込まれたものではなく自分から湧き出ている。；ピケットの墓はハリウッド墓地のなかで手の込んだ記念碑で示されている。；非常に手の込んだ器である殷代青銅器のうち、多くのものは酒器である。；そして本番、イベントにてピーノに教え込んだ技術・能力を発揮させる。；ところがある日、ご主人は救急車で運ばれ病院に担ぎ込まれてしまった。；かれがこれほどに衝き込まれていわれたことが、殆どためしがなかった。；直後に彼女の自宅に駆け付けた警官と床に倒れているヴァルが映り込む。；相手を引っ張り込んで、大きな腹を生かして寄り進むのを得意としていた。；今怪我人を担ぎ込まれて夢中になつて手当をしてゐるところだつてさ。；そして真中の肢の先きでその小さな球は離してそれを底の方に衝き込む。；舞台となっているホレンテ島の歴史地理的な背景もよく作り込まれている。；要するに私がまき込まれた所の恐ろしい事件と云うのはこんなわけなのだ。；これに伴って内部を作り込むかどうかが、当時激しい議論となった。；その作品は完成度が高く、小さく描き込まれた人物も正確に描かれている。；この大きい出来事が人心の奥底にまで沁み込まなかったとは考えられぬ。；九去法などを利用して、文字の範囲を絞り込んだり検算することがある。；ところが、それをさう思ひ込むのはわれわれの教育のされ方にある。；本作品に描き込まれたいくつかの静物や動物たちは図像学的に解釈できる。；中川信夫は、森岩雄がこの作品に相当入れ込んでいたことを証言している。</t>
        </is>
      </c>
      <c r="J3078">
        <f>HYPERLINK("https://www.weblio.jp/content/込む", "词义详情")</f>
        <v/>
      </c>
      <c r="K3078">
        <f>HYPERLINK("https://yourei.jp/込む", "查看例句")</f>
        <v/>
      </c>
    </row>
    <row r="3079">
      <c r="A3079" t="inlineStr">
        <is>
          <t>ゴム</t>
        </is>
      </c>
      <c r="B3079" t="inlineStr">
        <is>
          <t>成功</t>
        </is>
      </c>
      <c r="C3079" t="inlineStr">
        <is>
          <t>読み方：ごむ
イラン北西部、ゴム州の都市。同州の州都。テヘランの南方約135キロメートルに位置する。イスラム教シーア派の巡礼地。人口、行政区96万（2006）。コム。クム。</t>
        </is>
      </c>
      <c r="D3079" t="inlineStr">
        <is>
          <t>ゴム製(8%)；ゴム管(3%)；ゴム底(2%)；ゴム靴；ゴムボール</t>
        </is>
      </c>
      <c r="E3079" t="inlineStr">
        <is>
          <t>コンドーム；ラバー；天然ゴム；予防医学；生ゴム</t>
        </is>
      </c>
      <c r="F3079" t="inlineStr">
        <is>
          <t>ゴム人形；積層ゴム；ゴム毬；ゴム園；防振ゴム</t>
        </is>
      </c>
      <c r="G3079" t="inlineStr">
        <is>
          <t>ゴムタイヤ；ゴム手袋；ゴム風船；ゴム長；ゴム長靴</t>
        </is>
      </c>
      <c r="H3079" t="n">
        <v>29</v>
      </c>
      <c r="I3079" t="inlineStr">
        <is>
          <t>したがってこの温度よりも低温状態のゴムに関してはこの限りではない。；もともとの絹布は赤と白だったが、ゴムを塗ったことで赤と黄色になった。；そのため補修用ではゴムでコーティングしたボールが販売されている。；検電部位に接触させる先端部分は金属のほか導電性のゴムも利用される。；また、ゴムなどの摩擦力の強い素材を端点に装着されていることがある。；また、殴られても体がゴムのようになっているため、痛みを感じない。；スタントマンの安全のために、多くの小道具は発泡ゴムで作られていた。；ゴム製のものは耐久性も高く長期間の使用に耐えるものが増えてきている。；実タイヤでは他種のゴムと混合して使用することがほとんどである。；長靴は、皮やゴムでできた膝まで届く長い靴、という意味の言葉である。；この平ゴムには、文字や柄がデザインされているものが多く無地のものは少ない。；ゴム会社は大会開催のために、出場チームの遠征費を負担することが一般的になっていた。；レースなどで使用される製品では樹脂やゴムが少ない・使わない素材を使う場合もある。；発泡クロロプレン生地製の本体とゴム製の底からできたものが大半である。；これらは弾性ゴムが一般的となってからは水溶性ゴムと呼ばれている。；工業用から一般用まであらゆるゴム製品を製造している。；二重結合を有するため他のゴムと同様、強い酸化力を持つオゾンに弱い。；ワイヤーのみでは伸び縮みしないため、それと引き手との間にゴムを入れる。；台車は軸箱支持を軸ゴム+シェブロンゴムとした FT2 形とされた。；父はイーストロンドンでゴムの輸入を行う会社を経営していた。；ゴムチップ舗装のジョギングコースの姿になったのは2003年である。；内部はゴム製で発汗が促進されてしまうことを懸念したためである。；一般的には事務用品の部類に入り、印面はゴムで調製されることが多い。；ワニス状・グリース状のほか、ゴム状・油状のものも含めることがある。；また、天然のゴム類似物質としてガタパーチャが知られるようになった。；は多数の船舶やドックを有しており、ゴム、鉄などを海外へと輸出している。；ゴールデンロッドからゴムを取るのに成功したとも言われている。；ゴムとはなったがまだ空気入りはなく、ソリッドタイプであった。；このゴムの壁をクッションと呼び、球が当たると跳ね返るようになっている。</t>
        </is>
      </c>
      <c r="J3079">
        <f>HYPERLINK("https://www.weblio.jp/content/ゴム", "词义详情")</f>
        <v/>
      </c>
      <c r="K3079">
        <f>HYPERLINK("https://yourei.jp/ゴム", "查看例句")</f>
        <v/>
      </c>
    </row>
    <row r="3080">
      <c r="A3080" t="inlineStr">
        <is>
          <t>小麦</t>
        </is>
      </c>
      <c r="B3080" t="inlineStr">
        <is>
          <t>成功</t>
        </is>
      </c>
      <c r="C3080" t="inlineStr">
        <is>
          <t>読み方：こむぎ
イネ科の一年草。高さ約1メートル。茎は節のある円筒状で、葉は細長く、基部は茎を抱く。5月ごろに穂状の花をつけ、実は楕円形で溝があり、熟すと褐色になる。西アジアの原産で、重要な穀物として世界中で栽培。多くの品種があり、春小麦と冬小麦とに大別される。実を主に粉にひいてパンなどの原料にする。まむぎ。パン小麦。《季夏》</t>
        </is>
      </c>
      <c r="D3080" t="inlineStr">
        <is>
          <t>小麦栽培；小麦生産；小麦袋；小麦価格；小麦農家</t>
        </is>
      </c>
      <c r="E3080" t="inlineStr">
        <is>
          <t>豆；穀物；麦；トウモロコシ；コーン</t>
        </is>
      </c>
      <c r="F3080" t="inlineStr">
        <is>
          <t>輸入小麦；硬質小麦；軟質小麦；強い小麦；国産小麦</t>
        </is>
      </c>
      <c r="G3080" t="inlineStr">
        <is>
          <t>小麦色；小麦畑；小麦グルテン；小麦パン；小麦アレルギー</t>
        </is>
      </c>
      <c r="H3080" t="n">
        <v>29</v>
      </c>
      <c r="I3080" t="inlineStr">
        <is>
          <t>かつては小麦の生産が多かったために広く作られ食べられていた。；北は水が少なく、小麦などが主食となるが、南では水稲がメインとなる。；水運を利用する主要産品のひとつが小麦であり、ほとんどが輸出される。；このときアメリカから輸入された小麦は薄力粉となる軟質小麦であった。；全国的に見て綿花の生産が盛んで、大麦や小麦がかなり生産されている。；そのため、土があれば狭いスペースでも小麦やホウレンソウが栽培された。；これは日本の中規模の県の小麦生産額を1戸が生産していることに相当する。；この時期に雨が多いと小麦はグルテンを形成しにくくなるためである。；この地域はトウモロコシ、小麦および肉が豊富にあるという報告だった。；パーダーボルン地域では主にライ麦とわずかに小麦が栽培されている。；しかも前述のように、A国の方が小麦の値段はB国のそれを下回らない。；かつては世界の小麦製粉の中心地であり、また製材の中心地であった。；小麦では、グラミンは検出されずDIMBOAが似たような機能をもつ。；一方で同時期には小麦がアメリカからの輸入に依存する体制となり、パン食が普及した。；鉄は当然のこと、砂糖・小麦を含め資金の限界まで買い付けを行った。；アルパカは国獣であり、その隣にある木と小麦は国家の資源を象徴している。；しかしA国での小麦の価格とB国での小麦の価格が逆転する事はない。；アメリカ合衆国は小麦の輸出において長年世界一の座にとどまっている。；市内の北部では幾つかの建物が吹き倒され、小麦の保管分が散乱した。；小麦の栽培が普及し、やがて小麦を粉にしてから食するために発明された。；当初の対象となったのは米の他、はだか麦・大麦・小麦などの麦類である。；古くからアメリカ有数の穀倉地帯であり、現在も小麦の生産が盛んである。；小麦に次いで使われるのは蕎麦で、蕎麦のカーシャは広く愛されていた。；下記の3種類があり、小麦の外皮の入ったパンがスープの中に入っている。；パンは小麦を用いたパンよりライムギを用いたライ麦パンがほとんどである。；長くベラルーシの生活を支えていたのは、小麦や大麦ではなく燕麦である。；低温が必要なため、やや寒冷な地域では秋播き小麦が主に栽培される。；同局の重要任務の1つは、米国市場における小麦価格の安定化であった。；脱穀機の数は限られており、村から村へと巡回して小麦の脱穀を行っていた。</t>
        </is>
      </c>
      <c r="J3080">
        <f>HYPERLINK("https://www.weblio.jp/content/小麦", "词义详情")</f>
        <v/>
      </c>
      <c r="K3080">
        <f>HYPERLINK("https://yourei.jp/小麦", "查看例句")</f>
        <v/>
      </c>
    </row>
    <row r="3081">
      <c r="A3081" t="inlineStr">
        <is>
          <t>米</t>
        </is>
      </c>
      <c r="B3081" t="inlineStr">
        <is>
          <t>成功</t>
        </is>
      </c>
      <c r="C3081" t="inlineStr">
        <is>
          <t>読み方：こめ
稲の種子からもみ殻を取り去ったもの。もみ殻を取り除いただけのものを玄米といい、さらに薄い表皮をとって精白したものを白米または精米という。粳(うるち)と糯(もち)がある。また、品種により粒の形状で短粒種・中粒種・長粒種に分けられる。日本人の主食。酒・菓子などの原料としても広く用いられる。
[下接語] （ごめ）赤米・煎(い)り米・粳(うる)米・生(き)米・黒米・粉(こ)米・今年(ことし)米・白米・搗(つ)き米・生米・碾(ひ)き米・陳(ひね)米・蓑(みの)米・糯(もち)米・籾(もみ)米・焼き米・闇(やみ)米・早稲(わさ)米・割り米</t>
        </is>
      </c>
      <c r="D3081" t="inlineStr">
        <is>
          <t>米友(5%)；米ソ(2%)；米屋；米英；米内</t>
        </is>
      </c>
      <c r="E3081" t="inlineStr">
        <is>
          <t>メートル；飯；稲；ご飯；メーター</t>
        </is>
      </c>
      <c r="F3081" t="inlineStr">
        <is>
          <t>対米；御米；久留米；もち米；百米</t>
        </is>
      </c>
      <c r="G3081" t="inlineStr">
        <is>
          <t>米軍；米沢；米ドル；米子；米海軍</t>
        </is>
      </c>
      <c r="H3081" t="n">
        <v>29</v>
      </c>
      <c r="I3081" t="inlineStr">
        <is>
          <t>硯箱を持って廊下へ退出するなり、米内は声を殺して泣き出したという。；お米を殺すと鉄童もそのままにしてはおけない心持になったに違いない。；より多くの方に買って頂くためには、やはり良いお米を作るに限ります。；毎日お米を炊いたり料理したりして食べていても無我夢中でおりました。；米内は坊主頭が一般的だった他の軍人とは異なり、髪を七三に分けていた。；娘さんがお米を頼みに来て、うちでお米をよく分けてあげたことあるよ。；店の者ばかりでなく、女湯へ行ってもお米はそれを近所の人達に話した。；お米を殺すと鉄童もそのままにしては置けない心持になったに違いない。；もち米をついた後に、保存するための形成方法は地方によって異なる。；米内は酒が非常に強く、「酒が米内か、米内が酒か」とまで言われていた。；米国防総省の社会主義的な受注調整の対象になると見込まれた為である。；お米をとられたというので、こんな名をつけたのだそうであります。；病さえなければ、お米の性格はもッと強く恋にぶつかって行くだろう。；わたしは、うちのおばさんに頼んでお米を買つてもらつて持つて行つた。；テーブルの上に正座して、お米を手でつかんで、パクパクと食べていた。；お米の親類か何かに大工のような商売の者はねえか、気をつけてくれ。；あれがお米の本尊様で外の部分はあの芽を保護するために出来ているのです。；米が豊作の年には、米の質の関係から、醸造に失敗しやすい事もある。；ここで燗をするつもりで、お米がさきへ銚子だけ持って来ていたのである。；またフランス政庁も反日感情をあおるために保有米を廃棄するなどした。；しばらく米ソ間で行っていなかった核実験の再開をアメリカよりも早く行った。；私は十キロのお米を持ちあげる時ぐらい力を入れて愛想笑いを作った。；おりかの話では、お米もお相手をさせられる事もあるといふ事だつた。；メルケル政権は発足当初から積極的な対露・対米外交を展開して高支持率を記録。；第一にお米は何であるかという事を知っていなければなりません。；お米がなくなってもかまわない、自分かってな気持ちになりたいものだ。；工合がよくないと、お米の匂いやあまさが舌にもっさりして入りにくい。；お米さんが自分が持って行くのは嫌なものだから、鍵をあたしに頼んだんでしょう。；大阪東部の住宅街で、お米を買いに来る客は、いつもより多くなっていた。</t>
        </is>
      </c>
      <c r="J3081">
        <f>HYPERLINK("https://www.weblio.jp/content/米", "词义详情")</f>
        <v/>
      </c>
      <c r="K3081">
        <f>HYPERLINK("https://yourei.jp/米", "查看例句")</f>
        <v/>
      </c>
    </row>
    <row r="3082">
      <c r="A3082" t="inlineStr">
        <is>
          <t>込める</t>
        </is>
      </c>
      <c r="B3082" t="inlineStr">
        <is>
          <t>成功</t>
        </is>
      </c>
      <c r="C3082" t="inlineStr">
        <is>
          <t>読み方：こめる
［動マ下一］［文］こ・む［マ下二］
１ある物の中に、しっかり収め入れる。詰める。「弾を—・める」
２その中に十分に含める。特に、ある感情や気持ちを注ぎ入れる。「力を—・める」「願いを—・める」「真心を—・めた贈り物」
３ある範囲に別の物を含める。「税金を—・めた価額」
４霧・煙などが辺り一面に広がる。たちこめる。「霧が—・める」
５閉じこめる。こもらせる。
「女をばまかでさせて、蔵に—・めて」〈伊勢・六五〉
６包み隠して表に出さないようにする。
「世の人聞きに、しばしこの事出ださじと、せちに—・め給へど」〈源・行幸〉
７力でおさえつける。また、やりこめる。
「あんまり—・めてくれるな」〈伎・四谷怪談〉</t>
        </is>
      </c>
      <c r="D3082" t="inlineStr">
        <is>
          <t>詰める；注ぎ込む；籠める；注ぎ入れる</t>
        </is>
      </c>
      <c r="F3082" t="inlineStr">
        <is>
          <t>溶け込める；差し込める；垂れ込める；塗り込める；絞り込める</t>
        </is>
      </c>
      <c r="H3082" t="n">
        <v>29</v>
      </c>
      <c r="I3082" t="inlineStr">
        <is>
          <t>痛みを堪えるために力を込めるのは、その気がなければ出来ないからだ。；混乱が極限に達しているから、感情を込めることさえできないのだろう。；そんな声が聞こえてきたような気がして、俺はぐっと口元に力を込める。；私の言ってることがどういう意味か、君にはよく飲み込めるはずだね。；この物語には夢を持ちつづけてほしいというメッセージが込められていた。；それに人間ひとりを塗り込めるなんて、そう簡単にできることではない。；彼は悪魔と取り引きして人形に魂を込めることに成功したと言われていてね。；また、明日では近すぎて未来では遠すぎるという意味が込められている。；この幻覚剤はワインにでもコーヒーにでも同じように溶け込めるんです。；兼ねてよりこの銃手が弾を込める間に時間を取られて接近を許すことが多い。；床の中は隅柱を隠した室床とし炉の上の壁も隅の柱を塗り込めて消している。；つかんだ手に力を込めると、彼女は息をのみ、内腿の筋肉を緊張させた。；渡辺会長が「山のように大きな男になれ」という意味を込めて命名した。；魔導刑事は攻撃魔法や回復魔法を銃弾に込めることができるという設定。；また、地元では親しみを込めてビービー・カー・ラウザと呼ばれていた。；この場合、俗な言葉で皮肉も込めてテクニカルジャーゴンとも言われる。；印刷と出版の二つを見るという意味を込めて『二見書房』と命名された。；殺すところも見てねえくせに、よくもまあそこまで思い込めるもんだ。；を見れば本来の礼法・込められた本意からいかに外れているかが明確である。；家で何があったのかは知らないが、受けた動揺を抑え込めるだけの精神力。；指に僅かに力を込めると、視界にグリーンの着弾予測円が表示された。；そして周りには矢を射込めるような建物は無く、警備体制も万全だった。；だから何かを求めるときは、その意思を瞳に込めるしかなかった。；ペンネームにはそのことに対する深い感謝の念が込められていたと思われる。；本作はその状況を逆手に取り、皮肉が込められた楽曲となっている。；もはや竜児など二人の視界には入っておらず、垂れ込める気配は一触即発。；社会的なメッセージを込めた楽曲も多く、特に動物実験に強く反対している。；どうしてそこまで父親にのめり込めるのだろうかと、不思議でならないのだ。；まるで周りにいる人間たちが皆、植物みたいに思い込めるんです。</t>
        </is>
      </c>
      <c r="J3082">
        <f>HYPERLINK("https://www.weblio.jp/content/込める", "词义详情")</f>
        <v/>
      </c>
      <c r="K3082">
        <f>HYPERLINK("https://yourei.jp/込める", "查看例句")</f>
        <v/>
      </c>
    </row>
    <row r="3083">
      <c r="A3083" t="inlineStr">
        <is>
          <t>籠もる</t>
        </is>
      </c>
      <c r="B3083" t="inlineStr">
        <is>
          <t>成功</t>
        </is>
      </c>
      <c r="C3083" t="inlineStr">
        <is>
          <t>読み方：こもる
［動ラ五（四）］
１
㋐中に入ったまま外に出ないでいる。引きこもる。「山に—・る」「書斎に—・って執筆する」
㋑外とのつながりを断って、中に深く入り込む。閉じこもる。「自分の殻に—・る」「陰(いん)に—・る」
２祈念するために社寺に泊まり込む。おこもりをする。「寺に—・る」
３城などに入って敵から防ぎ守る。立てこもる。「城に—・る」
４音や声が中に閉じこめられた状態で、外にはっきり伝わらない。くぐもる。「声が—・ってよく聞こえない」
５気体などが外に出ないで、いっぱいに満ちる。充満する。「臭いが—・る」「会場に人の熱気が—・る」
６力やある感情などが、そこにいっぱいに含まれる。「力の—・った演技」「熱の—・った言葉」「心の—・った贈り物」「怒りの—・った声」
７包まれる。囲まれる。
「畳(たた)なづく青垣山—・れる大和しうるはし」〈記・中・歌謡〉
８入って隠れる。
「二上(ふたかみ)の山に—・れるほととぎす今も鳴かぬか君に聞かせむ」〈万・四〇六七〉
[可能]こもれる</t>
        </is>
      </c>
      <c r="D3083" t="inlineStr">
        <is>
          <t>籠もる千早城；籠もる斉田城；籠もる矢野城；籠もる日本兵；籠もる城</t>
        </is>
      </c>
      <c r="E3083" t="inlineStr">
        <is>
          <t>こもる；籠る；充満する；籠城する；閉じこもる</t>
        </is>
      </c>
      <c r="F3083" t="inlineStr">
        <is>
          <t>口籠もる；閉じ籠もる；引き籠もる</t>
        </is>
      </c>
      <c r="H3083" t="n">
        <v>29</v>
      </c>
      <c r="I3083" t="inlineStr">
        <is>
          <t>一人で部屋に籠もらなければならないような仕事があるとも、思えなかった。；そこでフローラは、触れた女が自然に子を身籠もる魔法の花を与えた。；時間が経てば経つほどに、敵はあいつが籠もる砦の包囲を増強しますが?；杉山には、それを守り育てて来た幾代もの祖先の霊が籠もるのだという。；動いたのは喉だけで、他には何処にも力が籠もらず、ただ僕に抱かれていた。；以前の自分だったら、自分の隠れ家に籠もる時が最も安心できる時間だった。；蜂ノ巣城に籠もるオルグ団七百余名は整然と守備配置を完了していた。；将兵だけが籠もる軍事拠点としての城などは例外的にしか存在しないのだ。；あの夜の話し合い以来、良樹はますます自室に籠もることが多くなった。；わたしも調べ物があるから部屋に籠もるけど、午後になったら顔を出しなさい。；議会に立て籠もる側の小火器に対して投入された戦車では結果は明らかであった。；傘に籠もる雨の私的な音が、この情緒を独占しているかのように思わせた。；色白で力が籠もると満身に赤を注いだ様になり、その姿は錦絵と称された。；あの座敷牢の主人のように、自分だけの歓びの中に閉じ籠もるのだ。；立て籠もるには絶好の場所だが、ここで予想外のことが起きた。；おそらく図書館に籠もることになるだろうと思います。；司令室に籠もるリーダーの元へ反撃の報告が来るまでさほどの時間はかからなかった。；山に籠もる男達の日々に村の生活のにおいが持ち込まれ始めている。；しかし本当に汗をかかない人だな、熱が内側に籠もるわけだよ。；熱気が家に籠もらないよう、風邪を通すためにあちこち開け放っていく。；宮殿に籠もる陰気な瘴気をスプリンクラーに洗い流してもらいたかった。；後には境界石を立てた先の山中に山伏らが籠もる修験道が各地で発達してゆく。；四畳半に籠もる私を訪ねてくるのは、小津だけだったからである。；しかし、市街地に立て籠もる国内軍の抵抗は続き、激しい市街戦が続く。；グラベルの軍はウェスウィウス山に至る唯一の道を閉鎖して山に立て籠もる奴隷たちを包囲した。；「君には云わなかったが、彼とはいろいろあってね」と口籠もる。；小屋に籠もる悪臭を、彼はまるで気にしていないようだ。；まったくだ、と男が感情の籠もらない声で答えた。；意外にも感情が籠もらない、機械的な返事だった。</t>
        </is>
      </c>
      <c r="J3083">
        <f>HYPERLINK("https://www.weblio.jp/content/籠もる", "词义详情")</f>
        <v/>
      </c>
      <c r="K3083">
        <f>HYPERLINK("https://yourei.jp/籠もる", "查看例句")</f>
        <v/>
      </c>
    </row>
    <row r="3084">
      <c r="A3084" t="inlineStr">
        <is>
          <t>顧問</t>
        </is>
      </c>
      <c r="B3084" t="inlineStr">
        <is>
          <t>成功</t>
        </is>
      </c>
      <c r="C3084" t="inlineStr">
        <is>
          <t>読み方：こもん
１会社、団体などで、相談を受けて意見を述べる役。また、その人。
２意見を問うこと。相談すること。
「天下の事—に預りて」〈愚管抄・五〉</t>
        </is>
      </c>
      <c r="D3084" t="inlineStr">
        <is>
          <t>顧問官(3%)；顧問団(2%)；顧問格；顧問料；顧問会議</t>
        </is>
      </c>
      <c r="E3084" t="inlineStr">
        <is>
          <t>補佐；担任；アドバイザー；相談役；コンサルタント</t>
        </is>
      </c>
      <c r="F3084" t="inlineStr">
        <is>
          <t>委員会顧問；陸上部顧問；柔道部顧問；久山顧問；協議会顧問</t>
        </is>
      </c>
      <c r="H3084" t="n">
        <v>29</v>
      </c>
      <c r="I3084" t="inlineStr">
        <is>
          <t>当時顧問は居たが指導等にはノータッチで部管理や責任のみであった。；これらは同社のデザイン顧問に就任した水戸岡鋭治が手掛けたものである。；オーケストラが指揮者に音楽顧問の称号を授与・任命する場合がある。；またこの年、妻の周清玉が彰化県長に当選、自身も県政府顧問に就任する。；卒業の数ヶ月前に財政顧問の資格を取得し、ウォール街で働いていた。；ソ連を代表する立場ではなく、顧問団の一人にすぎなかったという話もある。；会議は顧問官10名以上の出席がなければ会議を開くことはできないとされていた。；一方で特に海軍関係者との親交や大東亜省顧問としての活動が挙げられる。；同年10月、同部員が運動中に負傷した際に同顧問から治療の機会を奪われた。；また多くの弟子を育て、彼らは日明貿易を行う際に幕府の外交顧問となった。；また、近年では里見義堯の政治・宗教顧問としての活動にも注目されている。；これに反発したのが、かつて岡組と敵対した同会顧問の村上正明だった。；この縁談の途中でアルベローニはエリザベッタの個人的な顧問になった。；これらのことから非公式の外交顧問になっていると目されている。；顧問が初登場の俳優や女優の場合は小トークをしてから依頼紹介となっている。；なお放送内容計画については、事前に部活の顧問に承認を得る必要がある。；袁世凱は程を放置しようとせず、翌年には海軍高等顧問として招聘した。；また藤原忠実に近侍し、その信仰上の顧問的立場にもあったと伝わる。；ちなみにダンスの振り付けは生徒が考えており、顧問は全く関わっていない。；第8代将軍・徳川吉宗の政権下では政治顧問として老中並に重用された。；部の無かった高校に部を立ち上げ、顧問一人部員一人で競技開始。；突然オーケストラ部顧問の任についたが、音楽のことはさっぱり分からない。；またロシア連邦保安庁の捜査官でもありクレムリンの顧問であると証言した。；この事件の責任を取る形で、当時の野球部監督や顧問らが辞任した。；日本では、1982年から1986年まで日本銀行の顧問も務めていた。；組織は取締役会の監視下にある顧問役員会によって運営されている。；シャルルは統治を行うにあたって父の有能な顧問団であったを復権させた。；今後は様々な企業の顧問職などに関与する意向を示している。；始めたきっかけは、彼の両親と高校の部活の顧問が仲良しであったためである。</t>
        </is>
      </c>
      <c r="J3084">
        <f>HYPERLINK("https://www.weblio.jp/content/顧問", "词义详情")</f>
        <v/>
      </c>
      <c r="K3084">
        <f>HYPERLINK("https://yourei.jp/顧問", "查看例句")</f>
        <v/>
      </c>
    </row>
    <row r="3085">
      <c r="A3085" t="inlineStr">
        <is>
          <t>小屋</t>
        </is>
      </c>
      <c r="B3085" t="inlineStr">
        <is>
          <t>成功</t>
        </is>
      </c>
      <c r="C3085" t="inlineStr">
        <is>
          <t>読み方：こや
１小さくて粗末な建物。仮に建てた簡単な造りの小さな建物。「掘っ建て—」
２雑物や家畜を入れておく簡単な建物。「物置—」「うさぎ—」
３《もと仮設の粗末な建物であったところから》芝居・見世物などの興行をするための建物。「—を掛ける」「見せ物—」
４平安時代、京都の大路に設けられた、衛府の役人などが夜回りにあたるときの詰め所。
５江戸時代、城中または藩主の藩邸にあった下級藩士の住居。
６家の天井と屋根の間の部分。</t>
        </is>
      </c>
      <c r="D3085" t="inlineStr">
        <is>
          <t>小屋みたい；小屋番；小屋跡；小屋小三郎；小屋住まい</t>
        </is>
      </c>
      <c r="E3085" t="inlineStr">
        <is>
          <t>倉；平家；納屋；バラック；平屋</t>
        </is>
      </c>
      <c r="F3085" t="inlineStr">
        <is>
          <t>牛小屋；家畜小屋；風車小屋；小さな小屋；薪小屋</t>
        </is>
      </c>
      <c r="G3085" t="inlineStr">
        <is>
          <t>小屋がけ；小屋組；小屋掛；小屋根；小屋裏</t>
        </is>
      </c>
      <c r="H3085" t="n">
        <v>29</v>
      </c>
      <c r="I3085" t="inlineStr">
        <is>
          <t>制作チームはすぐに他の建物から遠く離れた場所に位置する小屋を見つけた。；映画の中で彼女は小屋に書かれた自分のイニシャルを見たからである。；その小屋には「誰でも自由に住んでよい」と書いた木札がかかっていた。；六合目には石室小屋があり、その西側の谷筋で水が得られる場合がある。；ポールは映画の大半を編集し、ジョエルは特に小屋での場面を編集した。；小屋の出入口には鍵がかけられ、逃亡監視のための監視者が置かれた。；探検隊のメンバーによって作られた石の小屋の残骸が今でも残っている。；映画からいつでも撤退する気でいるのは小屋を持とうとしないので判るよ。；モースバッハの中心地には古い教会があり、その下には泉と水小屋がある。；それでもこれまでの調査時に設営した小屋まで何とか物資を運び込んだ。；解体された信号場小屋の基礎とプラットホームが上り線側に残っている。；奴隷は、主人が住むトンコナンの周りに建てられる粗末な小屋に住んだ。；その夜、一人の痩せた弱々しい青年が小屋の鍵をこじ開けて入ってきた。；この祭では現存する古い共同のパン焼き小屋でパンを焼く儀式が行われる。；盾の中には青空と小屋、そして波を模した青と金色の帯が描かれている。；彼は小屋を買うのに十分な貯蓄ができるまでその家族の元で暮らした。；小屋の数が多く、登山者の数も多い吉田ルートと、それぞれ特徴がある。；いつもならカメラを持った観光客が小屋に立ち寄ってくるはずだった。；しかし、着いてみると和田は小屋の中で死体になっていたのである。；外は寒かったが、小屋の牛や馬が息を吐きかけて赤ん坊を暖めてくれた。；明神池の畔に建てた小屋は、のちに嘉門次小屋と呼ばれることになった。；すると森の中の小屋を訪ねるといいと告げられ、一人がそこへ行く。；到着後は収容小屋に五人ずつ分けて入れ、窓や戸には板を打ち付けた。；宇宙の支配者は雨の降る惑星の小さな小屋に猫と一緒に住んでいた。；また東側の東下谷トンネル入口には見張番所の小屋が存在していた。；それが動物小屋、とり小屋だと、中にいる動物は全て死んでしまう。；ゲームが始まったらお互いに左右にある小屋を占領に行く。；ようやく一軒の小屋が見つかったところ、そこには一人の若い女性がいるのだった。；小屋は破壊されたが何故かブラッグはかすり傷一つ負わずに出てきた。</t>
        </is>
      </c>
      <c r="J3085">
        <f>HYPERLINK("https://www.weblio.jp/content/小屋", "词义详情")</f>
        <v/>
      </c>
      <c r="K3085">
        <f>HYPERLINK("https://yourei.jp/小屋", "查看例句")</f>
        <v/>
      </c>
    </row>
    <row r="3086">
      <c r="A3086" t="inlineStr">
        <is>
          <t>固有</t>
        </is>
      </c>
      <c r="B3086" t="inlineStr">
        <is>
          <t>成功</t>
        </is>
      </c>
      <c r="C3086" t="inlineStr">
        <is>
          <t>読み方：こゆう
［名・形動］(スル)
１本来持っていること。
「天然の性に—すること」〈福沢・福翁百話〉
２そのものだけにあること。また、そのさま。特有。「民族—の文化」「北国に—な（の）風土」</t>
        </is>
      </c>
      <c r="D3086" t="inlineStr">
        <is>
          <t>固有派生形質；固有結界；固有番号；固有技；固有モード</t>
        </is>
      </c>
      <c r="E3086" t="inlineStr">
        <is>
          <t>独自；独特；特有；特徴的；生得的</t>
        </is>
      </c>
      <c r="F3086" t="inlineStr">
        <is>
          <t>それぞれ固有；地域固有；キャラクター固有；民族固有；土地固有</t>
        </is>
      </c>
      <c r="G3086" t="inlineStr">
        <is>
          <t>固有種；固有値；固有名；固有運動；固有ベクトル</t>
        </is>
      </c>
      <c r="H3086" t="n">
        <v>29</v>
      </c>
      <c r="I3086" t="inlineStr">
        <is>
          <t>同様に文化を75以上に上げることで各国に固有の特殊効果が得られる。；一つの語彙素に属するそれぞれの語形が持つ固有の意味機能を値という。；ただしカタルーニャは1767年まで固有の権利の一部を維持していた。；細胞小器官は生体膜で包まれた、細胞中で固有の機能を持つ部分である。；この他にも、各地の住人などほぼ全ての人物に固有の名前が存在する。；これらは擬制商人と呼ばれており、講学上、固有の商人とは区別される。；固有の名称を持たない、本線から外れたルートを走る貨物線を列挙する。；複数のシリーズで固有の名前を持つキャラクターが登場している。；それぞれの市区は、歴史の中で固有のキャラクターを発展させてきた。；それぞれの市区で住宅地や団地に固有の名称を付けている場合もある。；ユタ湖には固有種の絶滅危惧種やすでに絶滅した種の魚が存在していた。；彼らの治政の存続期間は契約の固有の課題ではなく人民の意志次第である。；発足当時は福岡市の区の中で唯一、地域固有の地名に由来する区名であった。；こうして日本固有の文化の上に外来の文化が取り入れられていった。；ただし固有の神話を持たず、特定の夫と息子の組み合わせは持たない。；後述するように、このような役割を果たす物体固有の量が、質量である。；各地にそれぞれ在来種と呼ばれる固有の特徴をもった品種が少数存在する。；その起源は1882年であり、1911年から固有の建物を有している。；司令部が固有ユニットになっているなどの特徴的なシステムも持つ。；各文明には経済やユニット作成速度に差があるほか、固有のユニットが存在する。；学籍を整理するため、各学生等には固有の番号・符号が割り当てられる。；また、それぞれの地域固有の事情など他の様々な要因も関係する。；固有の意味の憲法とは、国の統治の基本に関する国家の基礎法をいう。；また製品一つ一つに、固有のシリアルナンバーをつけるなどを行っている。；これらに残りの固有弁鰓類 を加えた3者間の関係ははっきりしない。；固有の文字を持たなかったが、現在ではキリル文字による書記法がある。；その他の新要素としては、各大名家に固有の戦術が3つずつ設定された。；電子やその他の多くの素粒子は、それぞれ固有の磁気モーメントを持つ。；なお、過去には以下も要因であったが、メインフレーム固有とは言えない。</t>
        </is>
      </c>
      <c r="J3086">
        <f>HYPERLINK("https://www.weblio.jp/content/固有", "词义详情")</f>
        <v/>
      </c>
      <c r="K3086">
        <f>HYPERLINK("https://yourei.jp/固有", "查看例句")</f>
        <v/>
      </c>
    </row>
    <row r="3087">
      <c r="A3087" t="inlineStr">
        <is>
          <t>雇用</t>
        </is>
      </c>
      <c r="B3087" t="inlineStr">
        <is>
          <t>成功</t>
        </is>
      </c>
      <c r="C3087" t="inlineStr">
        <is>
          <t>読み方：こよう
［名］(スル)
１人をやとい入れること。「実務経験者を—する」「終身—」
２当事者の一方が相手方のために労務に服し、これに対して相手方が報酬を支払うことを約束する契約。</t>
        </is>
      </c>
      <c r="D3087" t="inlineStr">
        <is>
          <t>雇用する(7%)；雇用主(4%)；雇用される(3%)；雇用創出(3%)；雇用者</t>
        </is>
      </c>
      <c r="E3087" t="inlineStr">
        <is>
          <t>仕事；採用；職；労働；アルバイト</t>
        </is>
      </c>
      <c r="F3087" t="inlineStr">
        <is>
          <t>主要な雇用；直接雇用；雇用環境；重要な雇用；新たな雇用</t>
        </is>
      </c>
      <c r="G3087" t="inlineStr">
        <is>
          <t>雇用者；雇用契約；雇用保険；雇用関係；雇用機会</t>
        </is>
      </c>
      <c r="H3087" t="n">
        <v>29</v>
      </c>
      <c r="I3087" t="inlineStr">
        <is>
          <t>この国連の諸組織は、経済や雇用の面でも大きな利益をもたらしている。；工業が主要な雇用主となり、その傾向は1960年代に入るまで続いた。；シティでは1年以内で約7万人の雇用が失われることが予想されている。；このことは工業化の自然な流れであり、各地で必要な雇用を生み出した。；その後和解が成立し、現代の選手は全員新球団で雇用されることとなった。；むしろ、職種は変更せず雇用主だけを変更することを意味することも多い。；基本手当を受給することなく雇用を継続する一般被保険者が対象となる。；そのため、こうした一連の開発事業は雇用を創出することにもつながった。；このうち約1万人の雇用がオーストラリアの地方で創出されることになる。；病院センターは約20人の医療従事者を含む約380人を雇用している。；また他社から経験者を中心に雇用するなどして質の高いサービスを提供している。；国内の自動車産業は直接間接に国内雇用数の10分の1に相当している。；また最低賃金法が長期的には雇用によい影響を与えるという意見もある。；徒弟の大部分は大工場で雇用されており、いくらか良い条件で働いていた。；またレイオフから復帰し再雇用するときでも原則先任権が重視される。；州内の病院では雇用数でも最大であり、従業員数は1万8千人である。；そのため、この時期に特に大企業における長期雇用の慣習が一般化した。；当初は運転手としての雇用だったが、後にチャップリン邸の秘書となる。；よって、日本プロ野球とは違い、必ず雇用先が保障されるわけではない。；操業も、高い給料で多数のドイツ人技師を雇用した上で開始されている。；また雇用側の企業が簿記あるいは会計士の資格を社員にとらせる場合もある。；その後も新たな雇用の場として企業などの誘致に工業団地を整備した。；また、雇用されているアメリカ人よりも失業者の方が若干強い支持を得ている。；マクロ経済の安定は、物価の安定と適切な雇用の維持の二つにわけられる。；建設ブームも起こり、鉄道の修復も進み、周辺への雇用創出ともなった。；比較的に平和な時代には大農場における自由民の雇用がより一層に促された。；私たちは海外への雇用の移転をやめなければなりません。；雇用保護規制の一部は、一時雇用においては適用されないことが多い。；また、兵の雇用や武器の生産もそれに対応した施設を開発して初めて生産できるようになる。</t>
        </is>
      </c>
      <c r="J3087">
        <f>HYPERLINK("https://www.weblio.jp/content/雇用", "词义详情")</f>
        <v/>
      </c>
      <c r="K3087">
        <f>HYPERLINK("https://yourei.jp/雇用", "查看例句")</f>
        <v/>
      </c>
    </row>
    <row r="3088">
      <c r="A3088" t="inlineStr">
        <is>
          <t>暦</t>
        </is>
      </c>
      <c r="B3088" t="inlineStr">
        <is>
          <t>成功</t>
        </is>
      </c>
      <c r="C3088" t="inlineStr">
        <is>
          <t>読み方：こよみ
《「日(か)読み」の意》
１時の流れを年・月・週・日の単位で区切り、わかりやすくした体系。日本では推古10年（602）百済から伝えられた中国暦、貞享元年（1684）渋川春海によって作成された貞享暦などの太陰太陽暦を用いてきたが、明治5年に12月3日を明治6年1月1日（1873年1月1日）とし、以後、太陽暦の一種のグレゴリオ暦を採用。
２1年の、月・日・曜日・祝祭日・干支(えと)・日の出・日の入り・月齢・日の吉凶・主要行事などを日を追って記したもの。七曜表。カレンダー。「—をめくる」
[補説]書名別項。→暦</t>
        </is>
      </c>
      <c r="D3088" t="inlineStr">
        <is>
          <t>暦応(5%)；暦元年(3%)；暦お兄ちゃん(2%)；暦四；暦三</t>
        </is>
      </c>
      <c r="E3088" t="inlineStr">
        <is>
          <t>カレンダー；カレンダ</t>
        </is>
      </c>
      <c r="F3088" t="inlineStr">
        <is>
          <t>帝国暦；治暦；康暦；文暦；日暦</t>
        </is>
      </c>
      <c r="G3088" t="inlineStr">
        <is>
          <t>暦年；暦日；暦学；暦書；暦注</t>
        </is>
      </c>
      <c r="H3088" t="n">
        <v>29</v>
      </c>
      <c r="I3088" t="inlineStr">
        <is>
          <t>したがって月が出てさえいれば、その日が何日であるか暦がなくてもわかる。；しかしこの時代から幕府の許可なく発行された民間の暦には記載されていた。；太陽暦とは、地球が太陽の周りを回る周期を基にして作られた暦である。；日付は宗教ごとに決まった暦を使用するため、大部分は移動祝日になる。；日本では、江戸時代以前には暦の計算や測量などの基準を京都に置いていた。；一方で、石器時代の35000年前に暦を創ったらしいとの意見もある。；暦 の上で1日の始まりとして異なる時刻を用いている宗教もいくつかある。；帝国では帝国暦制定と共に廃止されたが、同盟では建国時に復活させている。；現在の暦もメソポタミアではなく、エジプトの暦法を汲んだものである。；大小絵暦の絵の部分が発展して錦絵となり、後の浮世絵の元となった。；農耕暦だったので、畑仕事のない季節に日付は必要なかったとされる。；この暦は『チラム・バラムの書』のような後世の書物にも使われている。；ちょうどその頃、江戸ではそれまで使われていた暦を改める動きが起こっていた。；しかしマヤ人たちはその事を理解した上で暦を使用していた。；出梅は暦には載らなかったが、「小暑後の最初の壬の日」とされていた。；太陰太陽暦では、暦を季節と月相の双方に一致させなければならない。；鄧路以外の科学者としては、暦の計算を得意とした宗室のが挙げられる。；特定の未来を表す単語を持たず、暦を用いず、4以上の数を数えない。；そして同様に古代の神々の名前にちなんだ月を持つアッシリア暦を用いる。；上述のように、日本で最初の暦がつくられたのは604年のことと伝わる。；公安委員会を中心にして、や革命暦の採用などが行われていった。；また、百済記は早くから暦を導入しており、紀年は正確とみられている。；登場人物名は、苗字が方角、名前が暦の月にまつわるものになっている。；普段は何を食べるか、暦の上で特別な日には何を食べるのか、ということもある。；ここで西洋の暦もインド起源であることも主張した。；当時、呉で用いられていた乾象暦は暦と実際の季節の間に誤差が生じていた。；元嘉暦による暦の実物は中国にも残されておらず、大変貴重な資料である。；現在の暦で地球の軌道を楕円軌道として近似したときの値はおよそ となる。；頒暦商社は、日本の明治時代初期に官暦の発行を独占的に行っていた組織。</t>
        </is>
      </c>
      <c r="J3088">
        <f>HYPERLINK("https://www.weblio.jp/content/暦", "词义详情")</f>
        <v/>
      </c>
      <c r="K3088">
        <f>HYPERLINK("https://yourei.jp/暦", "查看例句")</f>
        <v/>
      </c>
    </row>
    <row r="3089">
      <c r="A3089" t="inlineStr">
        <is>
          <t>堪える</t>
        </is>
      </c>
      <c r="B3089" t="inlineStr">
        <is>
          <t>成功</t>
        </is>
      </c>
      <c r="C3089" t="inlineStr">
        <is>
          <t>読み方：こたえる
［動ア下一］［文］こた・ふ［ハ下二］
１耐える。こらえる。がまんする。「—・えられない暑さが続く」→堪(こた)えられない
「一呼吸(いき)でも—・えられるか何(ど)うだか」〈鏡花・歌行灯〉
２（多く、動詞の連用形に付いて複合語をつくる）耐えつづける。保つ。「これだけあれば一年くらいは—・える」「最後まで踏み—・える」「もち—・える」</t>
        </is>
      </c>
      <c r="D3089" t="inlineStr">
        <is>
          <t>堪えるような表情；堪えるべき</t>
        </is>
      </c>
      <c r="E3089" t="inlineStr">
        <is>
          <t>持つ；受ける；生きる；我慢；生存</t>
        </is>
      </c>
      <c r="F3089" t="inlineStr">
        <is>
          <t>ぐっと堪える；なんとか堪える；踏み堪える；どうにか堪える</t>
        </is>
      </c>
      <c r="H3089" t="n">
        <v>29</v>
      </c>
      <c r="I3089" t="inlineStr">
        <is>
          <t>彼らと車を同じくすることだけでも堪えられない恥辱と思っていたのに!；私は月が傍にいてくれるということだけですべてを堪える気になるのです。；いやもう、すぐにでも行くと言いそうになるのを堪えるのに難儀したわ。；痛みを堪えるために力を込めるのは、その気がなければ出来ないからだ。；もう一人は嘔吐を堪えるのに必死で、言葉を言えるような余裕さえない。；わしの魂が亡んでゆくのをはっきりした意識で見ているのは堪えられない。；それは必死になってある一つの感情を堪えている人のようであった。；けれども努力さへすれば、充分複雑な仕事に堪えるといふ自信があつた。；いやだいやだと思いながら自分と他人とを苦しめているのが堪えられない。；このように最上の条件で作られた筏は波の動揺にも堪えることができた。；けれども努力さえすれば、充分複雑な仕事に堪えるという自信があった。；それは何ものへとも知れぬ憤怒と嫌悪に堪えているような表情であった。；私は一時、一晩でも音楽をきかないと焦躁に堪えられない時期があった。；こう私アな、生れてから今日ッて今日ほどものを堪えたことはねえんだ。；私はそのうちにその声にも堪えることを意識しはじめるもののように思われる。；僕は君のあの絶えず幻を追っているような眼の色を見るに堪えなかった。；そばに見ているのは実にかわいそうで堪えられないほど苦しみました。；そのためにはどんな峻厳な精神の訓練にも堪えねばならぬと僕は思っている。；各家族は、適当に耕作が出来かつ納税に堪えるほどの土地を与えられる。；眼は痛みに堪える力を入れにくいためか、全身がねっとり汗ばんでいた。；こんなことを書いていながらも、一種今昔の感に堪えないような気がする。；苦難に堪える自分を作る事は必要だろうかと云う事は思われて居る。；すると魚たちの「性」は、己に堪えないような素振りを魚たちにさせる。；成経 わしはあなたを見ているのは堪えられない苦痛になりだした。；私の生命にすぐに燃えつく他の生命の熖がなくては堪えられないと思った。；恐怖に堪えない彼は、どうしても江戸に落ち着いていられないのであった。；黙ってはいられるが、おまえの懐かしさに堪えられないからであろう。；そのたびに彼女は声を殺して喘ぎ、俺は弾けそうな快感を必死に堪える。；私はもうすべての情実や何かを細かく考へる煩はしさに堪えられません。</t>
        </is>
      </c>
      <c r="J3089">
        <f>HYPERLINK("https://www.weblio.jp/content/堪える", "词义详情")</f>
        <v/>
      </c>
      <c r="K3089">
        <f>HYPERLINK("https://yourei.jp/堪える", "查看例句")</f>
        <v/>
      </c>
    </row>
    <row r="3090">
      <c r="A3090" t="inlineStr">
        <is>
          <t>娯楽</t>
        </is>
      </c>
      <c r="B3090" t="inlineStr">
        <is>
          <t>成功</t>
        </is>
      </c>
      <c r="C3090" t="inlineStr">
        <is>
          <t>読み方：ごらく
［名］(スル)仕事や勉学の余暇にする遊びや楽しみ。また、楽しませること。「—施設一つない山間の地」「—映画」
「装飾は人の心目を—し」〈逍遥・小説神髄〉</t>
        </is>
      </c>
      <c r="D3090" t="inlineStr">
        <is>
          <t>娯楽性(5%)；娯楽室(4%)；娯楽的(3%)；娯楽映画(3%)；娯楽作品(3%)</t>
        </is>
      </c>
      <c r="E3090" t="inlineStr">
        <is>
          <t>ゲーム；興味；遊び；遊；プレイ</t>
        </is>
      </c>
      <c r="F3090" t="inlineStr">
        <is>
          <t>単なる娯楽；娯楽設備；娯楽時代劇；娯楽化；娯楽センター</t>
        </is>
      </c>
      <c r="G3090" t="inlineStr">
        <is>
          <t>娯楽番組；娯楽雑誌；娯楽小説；娯楽部；娯楽家電</t>
        </is>
      </c>
      <c r="H3090" t="n">
        <v>29</v>
      </c>
      <c r="I3090" t="inlineStr">
        <is>
          <t>サッカーの試合と教会の活動は典型的な社会的交流と娯楽の源泉である。；メニューも多様化することで娯楽性を向上させたものが登場している。；ここでは、娯楽の中で、本人が参加して楽しむことのできるものを扱う。；テレビは超高精細化が進んだが、31世紀でも娯楽の主流となっている。；道頓堀の南東に位置し、演芸場や映画館などがある娯楽街になっている。；大衆娯楽にて扱われる場合、有名なものがモチーフとされることが多い。；物干し場や庭としての活用、娯楽スペースなどに利用されることがある。；鳥類の狩猟は、きわめて未開発の地域を除いて、主に娯楽的活動である。；この天に生まれたる者は、自己の対境を変化して娯楽の境とする。；現代と比べて娯楽が少ない当時、旅の持つ意味ははるかに大きかった。；ただこれは、実用的な手引書というより娯楽趣向の強い本となっている。；また、境内では芸能の興行も行われ農民の娯楽の場所にもなっていた。；地域エミー賞は、地域や州で優れた報道や娯楽を提供した番組に与えられる。；江戸時代の遊廓は代表的な娯楽の場であり、文化の発信地でもあった。；多くの労働者大衆を引きつけるため、作品の娯楽性にも注意が払われた。；これは多分に娯楽的な意味を持ち、民衆が旅行するようになった起源とも言われる。；西洋の娯楽品の入手は非常に厳しかったが、それも一層困難化した。；そのため、彼らは曲や小説などの娯楽性の強い文学作品の執筆に携わった。；妖怪は芸術・娯楽の分野で、作品の題材としても数多く扱われてきた。；砂浜と水のきれいなビーチが観光客に人気で、港には娯楽用の船もある。；南海の出資で彼は全ての娯楽を詰め込んだレジャーセンターを構想した。；そして娯楽のために必要なのは真実ではなくフィクションである。；娯楽が少ない環境では、力試しは若者達のスポーツの一種であった。；ケーブルテレビやインターネットの発達により娯楽は多様化してきている。；アメリカでもイギリスでも、週末のランチは娯楽の形態として機能する。；道徳劇は中世期およびテューダー朝期の舞台娯楽の一ジャンルである。；一方、1973年にオランダは個人的な大麻の娯楽的な使用を非犯罪化した。；症例報告の多くで、娯楽目的に使用した場合に精神的な依存が生じるとされている。；一方、この頃の温泉は行楽地と結びつき、娯楽的要素が高まっていった。</t>
        </is>
      </c>
      <c r="J3090">
        <f>HYPERLINK("https://www.weblio.jp/content/娯楽", "词义详情")</f>
        <v/>
      </c>
      <c r="K3090">
        <f>HYPERLINK("https://yourei.jp/娯楽", "查看例句")</f>
        <v/>
      </c>
    </row>
    <row r="3091">
      <c r="A3091" t="inlineStr">
        <is>
          <t>凝らす</t>
        </is>
      </c>
      <c r="B3091" t="inlineStr">
        <is>
          <t>成功</t>
        </is>
      </c>
      <c r="C3091" t="inlineStr">
        <is>
          <t>読み方：こごらす
［動サ五（四）］固まらせる。凝固させる。「豆腐を—・す」</t>
        </is>
      </c>
      <c r="D3091" t="inlineStr">
        <is>
          <t>緊張；尽力；張る；貼る；引き締める</t>
        </is>
      </c>
      <c r="H3091" t="n">
        <v>29</v>
      </c>
      <c r="I3091" t="inlineStr">
        <is>
          <t>ために人々は、注意を凝らしなおその言を聞かんがために彼をながめた。；二〇一号室の前に立って目を凝らすが、名前を示す何かは見つからない。；真九郎はぼんやりと顔を上げ、周囲に目を凝らすも、どこにも姿はなし。；いよいよ衝突の時はどの様になるだろうと、その人々は皆眸を凝らした。；驚いて目を凝らすと、何か白い物が、急速に浮上してくるのがわかった。；よくよく眼を凝らさなければこの肉の山は男とも女とも判別できなかった。；何事かと目を凝らすと、中から出てきたのはブーメランを抱えた國子だ。；さらに目を凝らすと、床一面に散らばっている灰色の破片が見えてきた。；目を凝らす内、やがてその暗がりの中に潜むものたちの姿が見えてきた。；フランソワが目を凝らすと、花のように笑っていたのはべリンダだった。；目を凝らすと、痙攣のせいでわずかだが土埃がたっているのがわかった。；何が起こったのかと目を凝らすと、次々と戦車が潰されていくではないか。；刃を真っすぐ向けて眼を凝らすと、かなり鈍磨しているのが見てとれた。；外からの微かな光に目を凝らすと、何かが、横川の背中から生えていた。；余念なくじっと注意を凝らしてるようなふうで理解しようとつとめた。；それと言うのも、思いを凝らさない為に名詩が浮かんだのであろう。；私の手の届かないところで勝手に進んでいく流れに目を凝らさないですむ。；まれにレギュラー放送にもかかわらず、趣向を凝らした回も放送される。；それでも彼はやはり、息を凝らし足音をぬすんで、そっと歩いていった。；ポイント上昇に指を伸ばそうとする心を一時停止させて、目を凝らす。；葉が目を凝らすと、ぼんやりとベッドのようなものが置かれているのが見えた。；いや、意識の動きは、遠くのものをよく見ようと目を凝らすのに似ていた。；息を凝らして待機していた幕僚たちの間にさざ波のように私語が伝わる。；目を凝らすと枯れかけた夏草の間から、淡く煙が上っているのが見える。；注意を凝らしたらしい額をつき出して、犬のように鼻をうごめかした。；「谷沿いの道だな」 ザップが目を凝らすようにして、そうつぶやいた。；あんまり目を凝らして明るい方ばかり見てゐたからだと思つた。；小百合が目を凝らすと、パナマ帽にヒマワリを挿した男たちの首だった。；船が息を凝らしているのを、ヘルヴァはほとんど感じることができた。</t>
        </is>
      </c>
      <c r="J3091">
        <f>HYPERLINK("https://www.weblio.jp/content/凝らす", "词义详情")</f>
        <v/>
      </c>
      <c r="K3091">
        <f>HYPERLINK("https://yourei.jp/凝らす", "查看例句")</f>
        <v/>
      </c>
    </row>
    <row r="3092">
      <c r="A3092" t="inlineStr">
        <is>
          <t>ご覧</t>
        </is>
      </c>
      <c r="B3092" t="inlineStr">
        <is>
          <t>成功</t>
        </is>
      </c>
      <c r="C3092" t="inlineStr">
        <is>
          <t>読み方：ごらん
「見ること」の尊敬語。「—のとおりです」
「御覧なさい」の略。
１「御覧なさい1」に同じ。「—、あの山を」
２（動詞の連用形に接続助詞「て」を添えた形に付いて、補助動詞的に用いる）「御覧なさい3」に同じ。「おいしいから食べて—」</t>
        </is>
      </c>
      <c r="D3092" t="inlineStr">
        <is>
          <t>ご覧なさい(12%)；ご覧ください(9%)；ご覧下さい(3%)；ご覧になりまし(2%)；ご覧になります</t>
        </is>
      </c>
      <c r="E3092" t="inlineStr">
        <is>
          <t>検査；審査；検証；視察；閲覧</t>
        </is>
      </c>
      <c r="F3092" t="inlineStr">
        <is>
          <t>ご覧あそば；ご覧じろ；ご覧なせ；ご覧に入れよ；ご覧になります</t>
        </is>
      </c>
      <c r="H3092" t="n">
        <v>29</v>
      </c>
      <c r="I3092" t="inlineStr">
        <is>
          <t>ご覧のとおり、まるで生きたままのような状態で保存されていたのです。；こうした努力の末に皆さんがご覧になったあの孫悟空が生まれたのです。；この家をご覧下されば、どんな所かすぐおわかりになるはずであります。；それで最後はご覧になったように、あの人を連れて行ってしまったのです。；この船にぼくを連れてくるときのあの人達の様子をご覧になったでしょう。；その女性はわたしの胸に懸かっているのをご覧になっただけなのです。；男子用の制服を身につけてはいるものの、中身はご覧の通りの美少女だ。；言葉ではいいあらわせないあっしの才能をここでご覧にいれましょうか?；もしよろしければこれからうちの研究所をご覧になっていただけませんか。；ご覧のとおり僕いまビニール袋とパスポートしか持ってないんだからさ。；しかし考えてもご覧なさい、私はあるとき3つの違う大学で教えていた。；あの男がどんなに強いか、むごたらしい証拠をご覧になったのでしょう。；すでにご覧になったように、本船には船客をお乗せする設備があります。；実際に目でご覧になってきたからこそ出来ることなんでしょうな。；ご覧の通り、私は忘れてもいなければ、はっきりしていないわけでもない。；ご覧のごとくではありまするが、私は王であり、王の子でございます。；まあ見ててご覧なさい、また何かありますよ、今日でないまでも明日はね。；あなたが一九八〇年代以前に生まれた方なら、当然、ご覧になったはずだ。；「ご覧になってください」 封筒の中には、何枚かの写真が入っていた。；かなり劇的なシーンでこの青年をご覧になっているからお忘れではあるまい。；その結果はご覧のとおりで、書いていて何が何だか分からなくなりました。；ご覧のように、外側から二本のネジで取り付けられているだけですから。；自分の目でご覧になれば、間違いではないことがおわかりでしょう。；少し注意してご覧になれば、あなただってそうお思いになりますよ。；笑顔で、他にもいろいろありますのでゆっくりご覧下さい、と頭を下げた。；いつか食から外れた景色をご覧になりたいと仰っていましたでしょう。；これはあなたも私の武器のコレクションの中にあるのをご覧になったはずです。；もっとほかのいろいろな光景をご覧になっているんですからね。；まあ、静かにゆっくり展示品をご覧になっていただけたと思いますよ。</t>
        </is>
      </c>
      <c r="J3092">
        <f>HYPERLINK("https://www.weblio.jp/content/ご覧", "词义详情")</f>
        <v/>
      </c>
      <c r="K3092">
        <f>HYPERLINK("https://yourei.jp/ご覧", "查看例句")</f>
        <v/>
      </c>
    </row>
    <row r="3093">
      <c r="A3093" t="inlineStr">
        <is>
          <t>ご覧になる</t>
        </is>
      </c>
      <c r="B3093" t="inlineStr">
        <is>
          <t>成功</t>
        </is>
      </c>
      <c r="C3093" t="inlineStr">
        <is>
          <t>読み方：ごらんになる
１「見る」の尊敬語。「展覧会を—・りましたか」
２動詞の連用形に助詞「て」の付いた形について、補助動詞的に用いる。「…てみる」の尊敬語。「ぜひ、試して—・るといいですよ」</t>
        </is>
      </c>
      <c r="D3093" t="inlineStr">
        <is>
          <t>見る；みる；眺める；見つめる；観る</t>
        </is>
      </c>
      <c r="H3093" t="n">
        <v>29</v>
      </c>
      <c r="I3093" t="inlineStr">
        <is>
          <t>こうした努力の末に皆さんがご覧になったあの孫悟空が生まれたのです。；下半身は、今ご覧になったような触手が何百と生えた姿をしております。；それで最後はご覧になったように、あの人を連れて行ってしまったのです。；この船にぼくを連れてくるときのあの人達の様子をご覧になったでしょう。；ところでナイトリー様、あなたはお手紙を実際にご覧になったのですね。；ですからこの機会に、我々の宇宙活動をよくご覧になっていただきたい。；もしよろしければこれからうちの研究所をご覧になっていただけませんか。；あの男がどんなに強いか、むごたらしい証拠をご覧になったのでしょう。；すでにご覧になったように、本船には船客をお乗せする設備があります。；実際に目でご覧になってきたからこそ出来ることなんでしょうな。；あなたが一九八〇年代以前に生まれた方なら、当然、ご覧になったはずだ。；「ご覧になってください」 封筒の中には、何枚かの写真が入っていた。；かなり劇的なシーンでこの青年をご覧になっているからお忘れではあるまい。；自分の目でご覧になれば、間違いではないことがおわかりでしょう。；少し注意してご覧になれば、あなただってそうお思いになりますよ。；いつか食から外れた景色をご覧になりたいと仰っていましたでしょう。；これはあなたも私の武器のコレクションの中にあるのをご覧になったはずです。；もっとほかのいろいろな光景をご覧になっているんですからね。；まあ、静かにゆっくり展示品をご覧になっていただけたと思いますよ。；家内の肖像も描いてもらったんですが、ご覧になったことはありませんか?；たぶんはあなたのご覧になったあとで発したかと思うんです。；わしが冗談でもいっているのだとお思いなら、自分でご覧になるがよろしい。；しかしあなたは壁と天井の彫刻や絵画をよくご覧になりましたか?；帝は院から源氏のことでお叱りを受けられた夢をご覧になった。；自分の顔が崩れ去る悪夢を、ご覧になったことはありますでしょうか。；かと言って、いま、ご覧になったような目に遭っているわけでもありません。；TVのニュースをご覧になっていれば、ご想像がつくと思いますが。；今みなさんがご覧になっている中央の光り輝く太陽のようなものがそれです。；それから、あなたの少女の頃の古い写真をご覧になってください。</t>
        </is>
      </c>
      <c r="J3093">
        <f>HYPERLINK("https://www.weblio.jp/content/ご覧になる", "词义详情")</f>
        <v/>
      </c>
      <c r="K3093">
        <f>HYPERLINK("https://yourei.jp/ご覧になる", "查看例句")</f>
        <v/>
      </c>
    </row>
    <row r="3094">
      <c r="A3094" t="inlineStr">
        <is>
          <t>孤立</t>
        </is>
      </c>
      <c r="B3094" t="inlineStr">
        <is>
          <t>成功</t>
        </is>
      </c>
      <c r="C3094" t="inlineStr">
        <is>
          <t>読み方：こりつ
［名］(スル)
１一つまたは一人だけ他から離れて、つながりや助けのないこと。「敵に包囲されて—する」「—無援」
２対立するものがないこと。「—義務」</t>
        </is>
      </c>
      <c r="D3094" t="inlineStr">
        <is>
          <t>孤立する(7%)；孤立化(2%)；孤立状態；孤立電子対；孤立感</t>
        </is>
      </c>
      <c r="E3094" t="inlineStr">
        <is>
          <t>孤独；隔離；絶縁；隠；隔絶</t>
        </is>
      </c>
      <c r="F3094" t="inlineStr">
        <is>
          <t>小集落や孤立；国際的な孤立；一時孤立；孤立丘；孤立無援</t>
        </is>
      </c>
      <c r="G3094" t="inlineStr">
        <is>
          <t>孤立主義；孤立化；孤立した言語；孤立語；孤立系</t>
        </is>
      </c>
      <c r="H3094" t="n">
        <v>29</v>
      </c>
      <c r="I3094" t="inlineStr">
        <is>
          <t>しかし彼らの仕事は孤立して残っているばかりでよく知られていない。；孤立した都市では、交響楽団の演奏が兵士や市民の心の支えになっていた。；プレイヤーは、MARZの組織から援助を受けられない土地で孤立する。；多くのことを一度に把握する必要がある中、孤立状態にあったのです。；また、江藤淳は漱石がこの時期に文壇で孤立化していたと指摘している。；こうした孤立路線は10年後に結ばれる日朝修好条規締結まで継続した。；このため山間部の集落の一部はすべての通信・輸送手段を失って孤立した。；孤立したアイルランド共和軍は、武装活動の再開を何度か試みていた。；戦闘後に敵の一部が孤立化して残存していれば、戦果拡張が行われる。；つまり励起子状態は電子と正孔が孤立している状態よりも安定である。；孤立路線ではあるものの、運賃体系は他の名鉄の路線と同様となっている。；武蔵は艦隊から孤立していたこともあり最も激しい攻撃を受けた。；さうよ、奴だつて死んだ振りしてゐて、急にのこのこ立上つたらどうする?；新宮殿時代に至ると都市とは別にヴィラと呼ばれる孤立家屋が普及し始める。；この故事から、敵や反対する者に囲まれて孤立することをと言うようになった。；以来、他の西鉄の鉄軌道線と接続する駅がない孤立路線となっている。；これらは辺境や孤立した集落での医療へ有効に利用されている。；ついにスウェーデンはポーランドで完全に孤立したのである。；一方の同胞団は湾岸危機への対応を巡って分裂し、国際的にも孤立した。；Haikonen のような意識の見方は孤立しているわけではない。；言語学では他の言語との系統関係を見いだせない孤立した語族である。；学界では孤立したが、それを苦痛にも、寂しいとも思ったことがない。；これにより、鉄道・道路が寸断され一時約3千人が空港内で孤立した。；バーゴインの軍隊はその周りで数を増すアメリカ軍のために既に孤立していた。；このうち孤立農場などを除く集落は、首邑のリヒテンベルクのみである。；バスク人の文化は孤立しているとする先入観を持たれることが多い。；しかし、孤立した、軽度かつ非基準的な症状は重要とされていない。；また、彼女が幼い二人の子と孤立することは危険だと考え、彼女の家を毎日訪れていた。；胡人は勇敢で戦いに慣れており、寒門のものは孤立して派閥がありません。</t>
        </is>
      </c>
      <c r="J3094">
        <f>HYPERLINK("https://www.weblio.jp/content/孤立", "词义详情")</f>
        <v/>
      </c>
      <c r="K3094">
        <f>HYPERLINK("https://yourei.jp/孤立", "查看例句")</f>
        <v/>
      </c>
    </row>
    <row r="3095">
      <c r="A3095" t="inlineStr">
        <is>
          <t>懲りる</t>
        </is>
      </c>
      <c r="B3095" t="inlineStr">
        <is>
          <t>成功</t>
        </is>
      </c>
      <c r="C3095" t="inlineStr">
        <is>
          <t>読み方：こりる
［動ラ上一］［文］こ・る［ラ上二］失敗してひどい目にあい、もうやるまいと思う。「二度の失敗ですっかり—・りた」</t>
        </is>
      </c>
      <c r="D3095" t="inlineStr">
        <is>
          <t>懲りることなく(7%)；懲りるということ(6%)</t>
        </is>
      </c>
      <c r="E3095" t="inlineStr">
        <is>
          <t>懲らしめられる</t>
        </is>
      </c>
      <c r="H3095" t="n">
        <v>29</v>
      </c>
      <c r="I3095" t="inlineStr">
        <is>
          <t>家に遊びにゆくのは一回で懲りて、その後は外で食事を取ることにした。；昨日のことで少しは懲りたかと思ったが、彼女にはまるで変化がなかった。；それが原因で何度か殺されかけたらしいが、本人はまったく懲りていない。；それに、彼は一方では弥生に懲り女たちに懲りているような面もあった。；父親で懲りたあの母親が、もう一度別の男と結婚するなんて考えられない。；能里子もそれに懲りて、その後は猫たちをからかうことはしなくなった。；この騒ぎに懲りてから、ラクダには一頭ごとに人を一人つけることにした。；これに懲りて、それ以来、大きなものには手を出さぬことにしている。；だから破綻したのだが、戦後はそれに懲りて、思想の不在状態になった。；千吉君はこれに懲りて、規定の稽古日以外は他へ廻らないようになった。；一人で懲りたからと言つて、外の幾人もがさうだとは限りません。；そうまでされながら二度、三度と、懲りもせず逃亡をくり返す者もいる。；捨丸は前日の経験に懲りて、出来るだけ頑丈そうな馬を更に二頭買った。；お葉さんも男に懲りなすったのか、あるいは清次のほうに気がねえのか。；前に懲りたからとはいえ、こんなことをしてはいけないのである。；大坂で馬場が召し捕られたことを知るはずの元助らはまだ懲りていなかった。；それでも私は懲りずにかけつづけていると、急に私も彼女もまっ暗になった。；彼は何度警察にやっかいになろうと、懲りない男たちの一人に違いなかった。；この頃では門前払いを喰わせているが、それでも懲りずに日参している。；マンション前で襲撃されたのに懲りて、腕利きをつれてきたのかもしれない。；彼自身が三度も結婚に失敗して、もう結婚には懲りているはずなのだ。；まだ殺人鬼は捕まってもいないっていうのに、懲りずに街を歩いている。；話題に至っても先刻で懲りているから、一身上のことは避けるようにした。；だから懲りもせず三回でも四回でも結婚するつもりなのだ。；この失敗に懲りた結果、今度はついに家の中で決行することにきめた。；僕は一度の失敗で懲りており、以降二度とは失敗すまいと臆病になってしまった。；信長の一面を知っているし、懲りていることもあるからである。；しかしその事件で私が自動車の運転に懲りたわけではない。；これに懲りて、次の出漁から細川君は舟の中へお丸を持ち込むことにした。</t>
        </is>
      </c>
      <c r="J3095">
        <f>HYPERLINK("https://www.weblio.jp/content/懲りる", "词义详情")</f>
        <v/>
      </c>
      <c r="K3095">
        <f>HYPERLINK("https://yourei.jp/懲りる", "查看例句")</f>
        <v/>
      </c>
    </row>
    <row r="3096">
      <c r="A3096" t="inlineStr">
        <is>
          <t>凝る</t>
        </is>
      </c>
      <c r="B3096" t="inlineStr">
        <is>
          <t>成功</t>
        </is>
      </c>
      <c r="C3096" t="inlineStr">
        <is>
          <t>読み方：こごる
［動ラ五（四）］
１液体状のものが、冷えたり凍ったりして凝固する。「魚の煮汁が—・る」
「食うものはなくなった。水筒の水は—・ってしまった」〈黒島・渦巻ける烏の群〉
２手足がかじかんで、自由がきかなくなる。
「兵(つはもの)手—・って弓を引くにかなはず」〈太平記・四〉</t>
        </is>
      </c>
      <c r="D3096" t="inlineStr">
        <is>
          <t>硬直；固める；硬化；鍛える；固まる</t>
        </is>
      </c>
      <c r="H3096" t="n">
        <v>29</v>
      </c>
      <c r="I3096" t="inlineStr">
        <is>
          <t>パイロットたちの中にはジャケットの背中に凝った絵を描く者もあった。；庭に通した水の流れなどが地方官級の家としては凝ってできた住宅である。；しかし、発明なんかに凝っているとはちっとも気がつかないでいました。；いたずらに凝って作るため形に無理が出来、美しさを殺してしまいます。；弁当類の掛け紙にはデザインに凝ったものがありコレクターも存在する。；そして彼女は息を凝し、彼の腕を握ってその方に大きな眼を見張っていた。；北へゆく道で 南へいって凝えた豌豆汁で お舌をやいてこォがした。；中には、凝った墓の一部として地面の上に独立して建てられたものもある。；私は小屋の暗い天井を見凝めて考え続けたが、解決は見つからなかった。；凝った写真にはしたくない、というのは姉と僕に共通した方針だった。；その頃凝っていたカメラで、家の前で子供たちの写真を撮った記憶がある。；そう凝っていたのじゃ間職に合うまい、と云ってくれる友人がある。；凝っとしていると体までがこの儘何処へかけし飛んでしまいそうだ。；彼女が政治に凝らないのは世のため人のため大助かりだなぞと考えた。；大人というものは、自分たちのことだとなると、なかなか凝るのである。；夏霞の底に動かぬ島山の木立の色の様に、静かに沈んで、凝つて行つた。；これでは、コーヒーの味に凝る必要はなく、これもいいな、とおもった。；そういう時は草の上や、または数奇を凝した休憩所で弁当を食べて帰る。；前は飲みものに凝ってて、ブドー酒を盗ってきたときはびっくりしたな。；テーブルの上の器は、さすがに芸術の道に精進している人だけに凝っている。；凝っと見ていると余り簡単で何だか馬鹿にされたような気がする。；「わたしは心霊現象などに興味を持っていてね」 凝った喫茶店だった。；最近の東京は確かに日本人の弱所欠点が凝って一団となったものであった。；凝った喫煙服を着た三人の若者がお茶の菓子を婦人たちに配っていた。；美津子はぎらぎらと濡れた眼に驚異の表情を含んで凝っと父親の顔を見た。；おふみは、そうした娘の様子を凝っとみて、唇の端を少しほころばした。；旧名は吾朗であり、改名は姓名判断に凝っている夫人の勧めで行われた。；そういう気質からか近年の仕事は凝った、なかなかいいものであった。；誰だってある国の文学に凝れば、その国のもろもろが見たくなるではないか。</t>
        </is>
      </c>
      <c r="J3096">
        <f>HYPERLINK("https://www.weblio.jp/content/凝る", "词义详情")</f>
        <v/>
      </c>
      <c r="K3096">
        <f>HYPERLINK("https://yourei.jp/凝る", "查看例句")</f>
        <v/>
      </c>
    </row>
    <row r="3097">
      <c r="A3097" t="inlineStr">
        <is>
          <t>これ</t>
        </is>
      </c>
      <c r="B3097" t="inlineStr">
        <is>
          <t>成功</t>
        </is>
      </c>
      <c r="C3097" t="inlineStr">
        <is>
          <t>［感］《「此(こ)れ」と同語源》目下の者に呼び掛けたり、注意を促したりする時に発する語。こら。おい。「—、何をする」</t>
        </is>
      </c>
      <c r="D3097" t="inlineStr">
        <is>
          <t>これ以上；これ以降；これ以外；これ以後；これ見よ</t>
        </is>
      </c>
      <c r="E3097" t="inlineStr">
        <is>
          <t>ここ；この点；この場所</t>
        </is>
      </c>
      <c r="F3097" t="inlineStr">
        <is>
          <t>これまでずっと；これほど美しい；これほどはっきり；これほど早く；これこそまさに</t>
        </is>
      </c>
      <c r="G3097" t="inlineStr">
        <is>
          <t>これから；これぞ；これ程；これはいい；これこれ</t>
        </is>
      </c>
      <c r="H3097" t="n">
        <v>29</v>
      </c>
      <c r="I3097" t="inlineStr">
        <is>
          <t>これも同じ汚職事件に関与した疑いで逮捕される直前の出来事であった。；海水はその表面に波が立っていることが多く、これは主に風の作用である。；これに関連してサービスを終了するアーケードゲーム作品も存在した。；これは第31回漢字小委員会以降で配付された資料に基づくものである。；これが正されるのは、江戸時代に本居宣長が登場してからのことである。；これは南アメリカ諸国のスペイン支配からの解放が始まったことを意味した。；これが、奈良を中心とする寺院の間に、出版事業を興させるようになる。；明治三十一年勅令第九十号これは、現代の表記に直すと次の通りである。；これにより2006年後半以降の携帯電話でL4が使われる事になった。；これは魚類の進化の多くが大陸移動以前から起こってきたためである。；これは上に挙げたさまざまな集団の存在に気づかないために起こる誤認による。；絶対音感を持っていると噂されたことがあるが、本人がこれを否定している。；これはかつての馬車で行われていた用途の継続でもあった。；これが現在の日本将棋連盟の前身で、連盟はこの年を創立の年としている。；これは、オールトの雲の分布が球殻状であると推定する根拠になっている。；これはソフトウェアがデジタルデータの一種であることに由来する。；これは、本来「自分で気づかなければいけない」とされているためである。；これはギムナジウムを舞台にした萩尾望都にそっくりの作品であった。；これは、分子内の結合や官能基の種類を特定するために一般に使用される。；これが後500年間にわたってヨーロッパの大学で教えられたという。；これはゲームにおいてより大きな手と多くのプレイヤーの参加を許す。；これは「ソクラテス問題」として知られる一連の問題を発生させている。；これが転じて、池や築山のある日本庭園のことを島と呼ぶこともある。；これまで通りの選択も可能であるが、その場合婚前に手続きが必要となる。；これ以上のセキュリティパッチやその他の改善はリリースされない。；これにより韓国で取水された海洋深層水を用いた製品開発が開始された。；これを一般的に広め定着させたのは、DJのアラン・フリードであった。；これは認知心理学のアフォーダンスにつながる考え方と解釈されている。；これは金属中の電子を記述するのに良いモデルとなる。</t>
        </is>
      </c>
      <c r="J3097">
        <f>HYPERLINK("https://www.weblio.jp/content/これ", "词义详情")</f>
        <v/>
      </c>
      <c r="K3097">
        <f>HYPERLINK("https://yourei.jp/これ", "查看例句")</f>
        <v/>
      </c>
    </row>
    <row r="3098">
      <c r="A3098" t="inlineStr">
        <is>
          <t>これから</t>
        </is>
      </c>
      <c r="B3098" t="inlineStr">
        <is>
          <t>成功</t>
        </is>
      </c>
      <c r="C3098" t="inlineStr">
        <is>
          <t>読み方：これから
《代名詞「これ」＋格助詞「から」から》今から以後。今後。将来。「—が楽しみだ」「まだまだ—という時に」</t>
        </is>
      </c>
      <c r="D3098" t="inlineStr">
        <is>
          <t>これからどうする；これからすぐ；これからどうなる；これから始まる；これから起こる</t>
        </is>
      </c>
      <c r="E3098" t="inlineStr">
        <is>
          <t>以来；ただ今より</t>
        </is>
      </c>
      <c r="F3098" t="inlineStr">
        <is>
          <t>もうこれから；まだこれから；いよいよこれから；今日これから；これからやろう</t>
        </is>
      </c>
      <c r="G3098" t="inlineStr">
        <is>
          <t>これからの人；これからのsomeday</t>
        </is>
      </c>
      <c r="H3098" t="n">
        <v>29</v>
      </c>
      <c r="I3098" t="inlineStr">
        <is>
          <t>パキケファロサウルスの本格的な研究はこれから始まるといっても良い。；一家3人、新しい街で始めるこれからの生活に明るい希望を持っていた。；これからは日中が力を合わせてアジアを良くして行こうではありませんか。；これから市場の拡大に伴って、いかに市場を握っていくかが勝負でしょう。；今までも常にそうだったし、これからもそうなのではないかと恐れています。；いつの時代にも馬鹿がいるものだなと思った、という事はこれからも?；生まれてきた子のためにも、これからまだまだ頑張らなければいけない。；本当にサッカーって最高な所を見せたいのでこれからも続けさせてください。；これから計算される平均密度は太陽の50倍あるいは水の80倍となる。；その中にはこれから戦争となる相手国の作家のものもあった。；アンセルムスは喜んで、これからは妻を女王のように大切にすると決める。；この講習会からは、作品のこれからの演奏を担う演奏家が何名も育った。；これから、どちらがシリーズ全体の公式な設定となるかは現状は不明。；これからどうやっていくかも具体的に考えられませんでした。；俺はまだこの作品がどんな風にみえるか気になるし、これからもそうだろう。；これらは、これからのためにも運営者の手際の良さが問われるところだった。；これからも「リングス魂」を心に持ち続けて闘っていきたいと思います。；我々は今も、そしてこれからも常に平和のために戦う国民である。；これからの観測技術の向上に伴い、今後の発展が期待される分野であると言える。；しかし、これは彼がこれから起こす犯罪のためのトレーニングだった。；これからはこの研究結果を元にして次の段階の研究に進めばよい。；古いものは省かれていて、新しいものはこれからも出てくるだろう。；大国主は、「これから一人でどうやって国を造れば良いのか」と言った。；これから神社の社前などに一対の狛犬が配置されるようになったとされる。；私は彼を愛しているし、これからもずっと彼だけを愛している。；二人の幸せな日常は、これからもずっと続いていくのであった。；また、これから派生して以下のような作品などを指すにも使われる。；これから後、石原は次第に詩人として本格的な道へ入っていくことになる。；侍は、許しを乞い、これからは七生かけても一緒に暮らそうと提案した。</t>
        </is>
      </c>
      <c r="J3098">
        <f>HYPERLINK("https://www.weblio.jp/content/これから", "词义详情")</f>
        <v/>
      </c>
      <c r="K3098">
        <f>HYPERLINK("https://yourei.jp/これから", "查看例句")</f>
        <v/>
      </c>
    </row>
    <row r="3099">
      <c r="A3099" t="inlineStr">
        <is>
          <t>これでは</t>
        </is>
      </c>
      <c r="B3099" t="inlineStr">
        <is>
          <t>成功</t>
        </is>
      </c>
      <c r="D3099" t="inlineStr">
        <is>
          <t>これ；ここ；この点；この場所</t>
        </is>
      </c>
      <c r="H3099" t="n">
        <v>29</v>
      </c>
      <c r="I3099" t="inlineStr">
        <is>
          <t>これも同じ汚職事件に関与した疑いで逮捕される直前の出来事であった。；海水はその表面に波が立っていることが多く、これは主に風の作用である。；これに関連してサービスを終了するアーケードゲーム作品も存在した。；これは第31回漢字小委員会以降で配付された資料に基づくものである。；これが正されるのは、江戸時代に本居宣長が登場してからのことである。；これは南アメリカ諸国のスペイン支配からの解放が始まったことを意味した。；これが、奈良を中心とする寺院の間に、出版事業を興させるようになる。；明治三十一年勅令第九十号これは、現代の表記に直すと次の通りである。；これにより2006年後半以降の携帯電話でL4が使われる事になった。；これは魚類の進化の多くが大陸移動以前から起こってきたためである。；これは上に挙げたさまざまな集団の存在に気づかないために起こる誤認による。；絶対音感を持っていると噂されたことがあるが、本人がこれを否定している。；これはかつての馬車で行われていた用途の継続でもあった。；これが現在の日本将棋連盟の前身で、連盟はこの年を創立の年としている。；これは、オールトの雲の分布が球殻状であると推定する根拠になっている。；これはソフトウェアがデジタルデータの一種であることに由来する。；これは、本来「自分で気づかなければいけない」とされているためである。；これはギムナジウムを舞台にした萩尾望都にそっくりの作品であった。；これは、分子内の結合や官能基の種類を特定するために一般に使用される。；これが後500年間にわたってヨーロッパの大学で教えられたという。；これはゲームにおいてより大きな手と多くのプレイヤーの参加を許す。；これは「ソクラテス問題」として知られる一連の問題を発生させている。；これが転じて、池や築山のある日本庭園のことを島と呼ぶこともある。；これまで通りの選択も可能であるが、その場合婚前に手続きが必要となる。；これ以上のセキュリティパッチやその他の改善はリリースされない。；これにより韓国で取水された海洋深層水を用いた製品開発が開始された。；これを一般的に広め定着させたのは、DJのアラン・フリードであった。；これは認知心理学のアフォーダンスにつながる考え方と解釈されている。；これは金属中の電子を記述するのに良いモデルとなる。</t>
        </is>
      </c>
      <c r="J3099">
        <f>HYPERLINK("https://www.weblio.jp/content/これでは", "词义详情")</f>
        <v/>
      </c>
      <c r="K3099">
        <f>HYPERLINK("https://yourei.jp/これでは", "查看例句")</f>
        <v/>
      </c>
    </row>
    <row r="3100">
      <c r="A3100" t="inlineStr">
        <is>
          <t>これまで</t>
        </is>
      </c>
      <c r="B3100" t="inlineStr">
        <is>
          <t>成功</t>
        </is>
      </c>
      <c r="C3100" t="inlineStr">
        <is>
          <t>読み方：これまで
１時間・場所・程度が、示された点までであること。今まで。この時まで。この所まで。「—の苦労も水のあわ」「一般の方は—です。この先は入れません」「—何をやっていたのか」
２物事の終わり、限界点を示す語。
㋐最後の決心をつけたさまをいう語。もう、これで最後。「もはや—と観念した」
㋑もう、これでお別れの意を表す語。「二人の関係も—だ」</t>
        </is>
      </c>
      <c r="D3100" t="inlineStr">
        <is>
          <t>これまでずっと；これまでさんざん；これまでついぞ；これまでずうっと；これまでつひぞ</t>
        </is>
      </c>
      <c r="E3100" t="inlineStr">
        <is>
          <t>以前；それまで；従来；今まで；現在まで</t>
        </is>
      </c>
      <c r="H3100" t="n">
        <v>29</v>
      </c>
      <c r="I3100" t="inlineStr">
        <is>
          <t>結論は出なかったが明日はこれまでにない接近行動があるだろうと予測。；ここで挙げる一例の他にも、これまでに様々なテーマの週が行われている。；これまで情報通信用に使われてきたメタル線と比べ、以下の特徴がある。；これまでの科学調査の結果に、大型爬虫類の存在を肯定するものはない。；ただし、駅間距離の短縮は違和感のない範囲でこれまで同様に存在する。；これまでに、板状の木製品と木の柱を使った建物跡が見つかっている。；政治は男性中心で、女性議員はこれまで数えるほどしか当選していない。；これまで研究されてきた遺跡からはこの説を支持する確かな証拠が得られていない。；このマッカーサー以上の成績で卒業した者はこれまで2名しかいない。；これまでの家庭用とは操作が異なり、スティックで操作する形となる。；映画や原作と同様に、この曲もシリーズのこれまでの作品より暗くできている。；なお、コールドゲームで優勝決定となった試合はこれまで一度もない。；道後湯岡碑についてはこれまで推古天皇四年に建てたものとされてきた。；特に、最新章たる暗黒大陸編はこれまで以上に内容が難解になっている。；これまで合成された金の化合物の種類は同族の銀や銅と比べて少ない。；これまでとは全く異なる時代設定と舞台の作品となることが確定。；そして古墳時代の遺跡はこれまで東久留米市内では確認されていない。；これまでパンデミックには分類されておらず、先進国では稀な病気である。；これまで通りの選択も可能であるが、その場合婚前に手続きが必要となる。；同時にそれはこれまで信奉していた啓蒙思想との決別も意味していた。；彼らはこの数値がこれまででもっとも正確な標高であるとしている。；決勝はJ1リーグ戦でこれまで1度も勝利をした事がない川崎と対戦。；ただしこれは路線の廃止ではなく、これまでに挙げたものとは性格を異にする。；もっとも、索敵計画はこれまでの経験から早くに出すように改善はされていた。；またこれまでにサミュエル・L・ジャクソンといくつかの映画で共演している。；今までの免許取得者はこれまで同様に業務を行うことができる。；この方針に怒ったのがこれまでの地方選挙で力をつけてきたいわゆる地方派系である。；三木の構想ではこれまで支援の対象ではなかった北ベトナムも対象としていた。；他にも、 などのこれまでのカメラでは難しいことが簡単になったことがあげられる。</t>
        </is>
      </c>
      <c r="J3100">
        <f>HYPERLINK("https://www.weblio.jp/content/これまで", "词义详情")</f>
        <v/>
      </c>
      <c r="K3100">
        <f>HYPERLINK("https://yourei.jp/これまで", "查看例句")</f>
        <v/>
      </c>
    </row>
    <row r="3101">
      <c r="A3101" t="inlineStr">
        <is>
          <t>これら</t>
        </is>
      </c>
      <c r="B3101" t="inlineStr">
        <is>
          <t>成功</t>
        </is>
      </c>
      <c r="C3101" t="inlineStr">
        <is>
          <t>読み方：これら
［代］近称の指示代名詞。
１「これ」の複数形。
㋐話し手の側に属する事物についていう。「今ここに—の問題がある」「—は私の収集品です」
㋑この人たち。
「—には劣りなる白銀(しろがね)の箔を」〈紫式部日記〉
２このあたり。このへん。
「山ならねども—にも」〈徒然・八九〉</t>
        </is>
      </c>
      <c r="D3101" t="inlineStr">
        <is>
          <t>これらすべて；これら以外；これら一連；これら二つ；これら全て</t>
        </is>
      </c>
      <c r="F3101" t="inlineStr">
        <is>
          <t>これら九十九王子；これらの諸篇；これら三種；これら諸法；これら一連の流れ</t>
        </is>
      </c>
      <c r="H3101" t="n">
        <v>29</v>
      </c>
      <c r="I3101" t="inlineStr">
        <is>
          <t>これらの国家・地域の他にも、いくつかの独立した集落が存在している。；これらの概念を複数搭載するオペレーティングシステムも登場していた。；これらの要素は本作で初めて導入され、以降の作品でも踏襲されている。；これら二つの問題を解決する装置として導入されたのが変換規則である。；これらの名前が何の意味かは色々な解釈があるが明確には分からない。；ペンも紙もなかったため、これらを頭の中ですべて思い浮かべていった。；つまり、これらの条約に加盟していない国との関係で問題になるに過ぎない。；これらの区分は歌手の声域というよりむしろ声の特性、音色に関係する。；そのため彼は、基本的に絵の研究をするためにこれら自画像を描いていた。；これらの用語の多くはウィリアム・ヒューウェルが考案したものである。；これらの要因から攻撃先が変化し、以前ほどは攻撃されなくなった。；現在よく知られているこれらの用語は、初期の実装に由来するものである。；これらの問題を避けるために、改変する際には次のような規定がある。；これらの実験により温度と熱が異なる概念であることが確立された。；これらの島のうち、いくつかは構造的に近くの大陸とくっついている。；しかしこれらは、いずれも爆発的な人気を得ることはできなかった。；これらの被害を合わせると、1000万円を超えるだろうと語っている。；早期にこれらの適切な一般療法を施し、悪化させないことが重要である。；これらはコスタリカにとって解決されるべき諸課題であるとの意見もある。；更には、これら商業作品の強い影響を受けた自主制作作品も含まれる。；これらは、県の中央部に位置していることから大会等での活用も図られます。；貨幣博物館蔵 その後これら寺院群は政治に口を出すようになった。；これらの意味と日本語における「神」は厳密には意味が異なるとされる。；これらのコンセプトはUNIX哲学という言葉で表現されることがある。；これらは化石では確認しにくいが、近年では少しずつ研究が進められている。；これらは制御方法が異なるため、それぞれ別のドライバが必要である。；代わりにこれらがゲームをする人の中心的な指示者である。；小山力也などは別の大学を卒業してからこれらの大学に進学した。；また、最近ではこれらの言語の処理系でも性能が向上してきている。</t>
        </is>
      </c>
      <c r="J3101">
        <f>HYPERLINK("https://www.weblio.jp/content/これら", "词义详情")</f>
        <v/>
      </c>
      <c r="K3101">
        <f>HYPERLINK("https://yourei.jp/これら", "查看例句")</f>
        <v/>
      </c>
    </row>
    <row r="3102">
      <c r="A3102" t="inlineStr">
        <is>
          <t>頃</t>
        </is>
      </c>
      <c r="B3102" t="inlineStr">
        <is>
          <t>成功</t>
        </is>
      </c>
      <c r="C3102" t="inlineStr">
        <is>
          <t>読み方：けい
［常用漢字］　［音］ケイ（漢）　［訓］ころこのごろしばらく
〈ケイ〉
１このごろ。「頃日」
２しばらく。「頃刻／少頃」
３田の面積の単位。百畝。「万頃(ばんけい)」
〈ころ（ごろ）〉「今頃・年頃・日頃」
［難読］頃比(ころおい)</t>
        </is>
      </c>
      <c r="D3102" t="inlineStr">
        <is>
          <t>頃すで；頃あい；頃合い；頃漸く；頃ほひ</t>
        </is>
      </c>
      <c r="E3102" t="inlineStr">
        <is>
          <t>時；とき；場合；時期；時点</t>
        </is>
      </c>
      <c r="F3102" t="inlineStr">
        <is>
          <t>若い頃；時頃；同じ頃；小さい頃；年頃</t>
        </is>
      </c>
      <c r="G3102" t="inlineStr">
        <is>
          <t>頃日；頃おい；頃公；頃襄王；頃王</t>
        </is>
      </c>
      <c r="H3102" t="n">
        <v>29</v>
      </c>
      <c r="I3102" t="inlineStr">
        <is>
          <t>引き伸ばし機がいつ頃発明されたのかははっきりとはわかっていない。；しかし少なくとも10世紀頃には既に成立していたと考えられている。；なお1963年頃には丸に2本の線入りの「急」表示のものも存在した。；この頃、戦局の悪化は日本国内にも大きな被害を与えるようになっていた。；この頃、タイプをかなりのスピードで打つことが出来るようになっていた。；前1500年頃にはパンジャーブ地方に進行し国の基礎を築いたとされる。；紀元前1400年頃には初期のマンカラが登場してアフリカに伝播した。；この頃、日本を訪問したアメリカ人によって日本に野球が伝えられた。；小学生の頃は野球をしたりスイミングクラブに通うスポーツ少年だった。；同時にこの頃には貴重な資源であったグアノの鉱山も荒廃してしまった。；午前6時頃には全指揮官から任務は指示された通り実行されたとの報告を受けた。；会議では、初期の頃の空軍のX-20計画を含む様々な提案がなされた。；イラク側もこれを受け入れ、1998年頃までは大きな混乱はなかった。；しかし2000年代頃からはむしろ作詞家が注目される機会が増えている。；この頃から、基次郎は近所の人々の実生活を意識的に見るようになった。；原作小説がまだ連載中であった頃に制作されたため、結末が大幅に異なる。；中学生の頃に初めてビールを飲み、大人になってからはほぼ毎日飲んでいる。；両絵画共に制作年は明確ではないが、1482年頃であろうと想定されている。；なお、この頃はゾロアスター教からキリスト教への改宗が相次いでいた。；十代の頃から師匠をしていた三味線はその後も衰えなかったと伝えられている。；リゲティが印税を受け取ったのは、1990年頃になってからだという。；紀元前2000年頃にアーリア人がイランからインド北西部に侵入した。；この頃までに近代日本語が多くの文筆家らの努力で形成された。；フランスで1919年頃試験線が建設されたが、詳細な記録は残されていない。；この頃は特にピアノが好きではなく、むしろ苦痛だったという。；その頃から映画に興味を持ち始め、一時漫画から離れて映画漬けの日々を送る。；以上のような日本博物学史の詳細な研究は、1970年代頃から始まった。；そのため撮影が終了する頃には、編集もほとんど済んでしまうことが多かった。；しばらく経過した1945年の初め頃、他の傷病兵と後方に送られる。</t>
        </is>
      </c>
      <c r="J3102">
        <f>HYPERLINK("https://www.weblio.jp/content/頃", "词义详情")</f>
        <v/>
      </c>
      <c r="K3102">
        <f>HYPERLINK("https://yourei.jp/頃", "查看例句")</f>
        <v/>
      </c>
    </row>
    <row r="3103">
      <c r="A3103" t="inlineStr">
        <is>
          <t>転がす</t>
        </is>
      </c>
      <c r="B3103" t="inlineStr">
        <is>
          <t>成功</t>
        </is>
      </c>
      <c r="C3103" t="inlineStr">
        <is>
          <t>読み方：ころがす
［動サ五（四）］
１力を加えて転がるようにする。ころころと回転させて動かす。「丸太を—・す」「車を—・す（＝自動車を運転する）」
２立っているものを倒す。ひっくり返す。横転させる。「テーブルの上のコップを—・す」「土俵の中央に—・す」
３物を無造作にほうっておく。「習作の数々を仕事場の片隅に—・してある」
４値段をつり上げるため、転売を繰り返す。「土地を—・す」
[可能]ころがせる</t>
        </is>
      </c>
      <c r="D3103" t="inlineStr">
        <is>
          <t>転がすような声；転がすような笑い声</t>
        </is>
      </c>
      <c r="E3103" t="inlineStr">
        <is>
          <t>倒す；転覆；覆す；ひっくり返す；顛覆</t>
        </is>
      </c>
      <c r="H3103" t="n">
        <v>29</v>
      </c>
      <c r="I3103" t="inlineStr">
        <is>
          <t>ご自宅はどちらの方ですか、僕は車をゆっくり転がしてついていきます。；どうも姿が見えないと思っていたら、こんなとこに転がされていたんだ。；まるで子供をひっ転がすようなもので、構えも型もあったものではない。；バントが非常に得意で、ライン際に転がす技術は芸術的とさえ言われた。；ただ最後の一本くらい、いいところへ転がしてみたいとそれだけが願いだ。；それを転がすか投げ上げるかして動いている所を横から射止めるのである。；そこへ海から歌い猫が不思議な魔法の石をとりにきて砂の上に石を転がすの。；いくらか乱暴に腕を引いたかと思うと、リディアの体をベッドに転がす。；坂の上の方から、大きな石を転がすと、石は発見場所まで転がり落ちる。；線路の一部は、川の見える位置にある椅子を転がす用途で再利用されている。；二人の男性の職員が移動用のベッドを転がして一緒にやってきた。；グラスを手の中で転がしながら、何を思ったのか、女は小さく笑った。；夢のロック博物館というよりは、土地転がしがたどりついた墓場なのだ。；口に含んだ後も舌の上で転がすように味わい、そしてゆっくり飲み込む。；だれにも向かわないその一言を、口のなかで転がし続けていればいい。；私の目の前で小さな女の子が黄色いゴムボールを転がして遊んでいた。；良いように転がされていると分かってなお、美琴の動きが止まってしまう。；泥が目に入って瞳が満足に開かず、黒い長靴に無造作に蹴り転がされる。；泥玉は命より大切な物で、転がすことで進化エネルギーを熟成させる。；話をどこに転がそ うとしているのかは判らなかったが、俺は応えていた。；その三人の挙動に合わせ、オレは筆立ての中身を静かに転がしてやった。；そのまま男の体を床に転がしておいて、トイレの扉を肩で押した。；しかも奇妙なところに自分が転がされていることに虎三は気づいた。；三杯目を舌に転がしていたら、バックミラー越しに、奥目が光っている。；俺は勃起した乳首を二本の指の間に挟んで、転がすような愛撫を続けた。；武家側は転がされたり足蹴にされたり、顔も着物も泥だらけになっている。；この事件の背景には弦楽器業界の慣例であるヴァイオリン転がしがある。；目を細め、火のついていない煙草を唇の間でしばらく転がしていた。；真事を相手にビー珠を転がしていた小林が偸むようにしてこっちを見た。</t>
        </is>
      </c>
      <c r="J3103">
        <f>HYPERLINK("https://www.weblio.jp/content/転がす", "词义详情")</f>
        <v/>
      </c>
      <c r="K3103">
        <f>HYPERLINK("https://yourei.jp/転がす", "查看例句")</f>
        <v/>
      </c>
    </row>
    <row r="3104">
      <c r="A3104" t="inlineStr">
        <is>
          <t>転がる</t>
        </is>
      </c>
      <c r="B3104" t="inlineStr">
        <is>
          <t>成功</t>
        </is>
      </c>
      <c r="C3104" t="inlineStr">
        <is>
          <t>読み方：ころがる
［動ラ五（四）］
１ころころと回転しながら進む。ころげる。「一〇円玉が—・る」
２立っていたものが倒れる。ころぶ。ころげる。「つまずいて—・る」
３からだを横にする。寝ころがる。「畳の上に—・って新聞を読む」
４（「ころがっている」の形で）
㋐無造作に、あるいは雑然と置かれたように物がある。「消しゴムや鉛筆が—・っている」
㋑どこでも見かける、珍しくもないものとして存在している。「うまい話はそう—・ってはいない」「その辺に—・っているものとはちょっと違う」
５物事の成り行きが変わる。形勢が変化する。「どう—・っても損はない」
[可能]ころがれる</t>
        </is>
      </c>
      <c r="D3104" t="inlineStr">
        <is>
          <t>ころころ；うまく行く；転がっていく；転げる；うまく運ぶ</t>
        </is>
      </c>
      <c r="F3104" t="inlineStr">
        <is>
          <t>ゴロゴロと転がる；ごろりと転がる；そのまま転がる；ほとんど転がる；ごろごろ転がる</t>
        </is>
      </c>
      <c r="H3104" t="n">
        <v>29</v>
      </c>
      <c r="I3104" t="inlineStr">
        <is>
          <t>戦闘が終わった後、彼の遺体は戦車の外に転がっているのが発見された。；すると箱のイラストが回転を始め、右下から青い玉が一個転がり落ちた。；事態がよくわからないままに、男はベッドから転がるようにして降りた。；彼はベランダに転がっていた武器のなかをさっきから探しまわっていた。；それは日本の運命のサイコロがどう転がるかを待つことを意味している。；騎獣は女を乗せたままそれに体当たりして門の内側に転がり出ていった。；そのとき、階段を転がるようにして数人の男が降りてくる音が聞こえた。；彼は転がるようにしてトイレに入り、何とか無事に事は済んだのだった。；と、同時にその金属の腕で足元に転がっていた武器の一つを取り上げた。；その後いろいろ経験をして見たが、こんな矛盾は到る所に転がっている。；そのまま野に転がる仏になる方が、立ち上がるよりも簡単に思えたのだ。；しばらくして啓太が再びごろんとベッドの中から外に転がり落ちてきた。；爆弾は上の段から転がり落ちてきた時に爆発する場合としない場合がある。；床に転がる男には目もくれず、端末の形をしたコアユニットを手に持つ。；初めからそこにあったのではなく、上から転がり落ちたもののようでした。；生れて二十箇月後に階段から転がり落ちて、頭に青や黒の斑点が出来た。；その勢いの強さに、ハウィクは席から転がり落ちてしまったほどだった。；近づいてくる氷の転がる音のために、多分聞こえてはいなかったのだ。；街道を外れて、畠の中を転がるように逃げて行く半左衛門の姿が見えた。；煙の充満した家から転がり出ると、都はあたり一面火の海になっていた。；彼の言葉の通り、土の下からダリヤの球根に似たものが一つ転がり出た。；周囲に転がるのはもはや死体ですらなく、人であったものでしかない。；ハリーが一番先にドアのところに行き、みんな階段を転がるように走った。；戦場に転がる死体がウジェーヌ部隊のものだと気づいたあの士官である。；枝は、ウィルが最初に横丁にやってきた時のままの格好で転がっていた。；ちょうど通りかかったタクシーに、私と彼女は転がるように乗り込んだ。；坂の上の方から、大きな石を転がすと、石は発見場所まで転がり落ちる。；ドングリのように江美は隣に座る人へと、転がりながら接近してしまう。；ある程度砂の上でころころと転がったかと思うと、ぺたんと横に倒れた。</t>
        </is>
      </c>
      <c r="J3104">
        <f>HYPERLINK("https://www.weblio.jp/content/転がる", "词义详情")</f>
        <v/>
      </c>
      <c r="K3104">
        <f>HYPERLINK("https://yourei.jp/転がる", "查看例句")</f>
        <v/>
      </c>
    </row>
    <row r="3105">
      <c r="A3105" t="inlineStr">
        <is>
          <t>ごろごろ</t>
        </is>
      </c>
      <c r="B3105" t="inlineStr">
        <is>
          <t>成功</t>
        </is>
      </c>
      <c r="C3105" t="inlineStr">
        <is>
          <t>［副］(スル)
１雷鳴のとどろき響く音、また、それに類する音を表す語。「雷が—鳴りだす」
２大きくて重い物が、音を立ててゆっくり転がるさま。また、その音を表す語。「岩が—（と）転がり落ちる」
３猫がのどを鳴らす声、また、そのような音を表す語。「腹が減って—いう」
４あちこちに物が雑然と転がっているさま。「石が—している川原」
５いくらでもあって、ありふれた存在であるさま。「世間に—している話」
６何もしないで、暇をもてあましているさま。「一日じゅう家で—している」
７目や腹の中に異物のあるさま。「目の中が—して痛い」
［名］雷の幼児語。「—が来るよ」</t>
        </is>
      </c>
      <c r="D3105" t="inlineStr">
        <is>
          <t>ごろごろしてる；ごろごろいう；ごろごろ寝；ごろごろ転がり；ごろごろ鳴らし</t>
        </is>
      </c>
      <c r="E3105" t="inlineStr">
        <is>
          <t>ぶらぶら；怠惰；無為；うかうか；ぼそりと</t>
        </is>
      </c>
      <c r="F3105" t="inlineStr">
        <is>
          <t>のどをごろごろ；ごろごろと寝；ごろごろ転がる；ごろごろところげ；ごろごろいう音</t>
        </is>
      </c>
      <c r="H3105" t="n">
        <v>29</v>
      </c>
      <c r="I3105" t="inlineStr">
        <is>
          <t>それは一連の、岩のごろごろした低い丘をこえていたときのことだった。；家に戻って自分の部屋でごろごろしていると、玄関のチャイムが鳴った。；常識的なことも知らないような大学出がごろごろしてるじゃないですか。；石のごろごろした歩きにくい道だったが、さして困難には感じなかった。；もちろんお宅にごろごろしている下男なぞはひとりも役にはたちません。；たとえ彼女の喉がごろごろ鳴ったとしても、わたしには聞こえなかった。；この森で死体がごろごろしているそばにいるのは利口じゃありません。；商人の中には家族の不幸すら金に換える連中がごろごろいるのだから。；他にも子分や食客はいるが、それは別の屋敷のほうでごろごろしている。；若い衆さんたちが何人もごろごろしていたから、日曜日だったのだろう。；荷台の上でごろごろしていた旅の連れ、ホロがそれに気がついたらしい。；エレン・エレスコブ級の人間は、ここではごろごろしているはずである。；背後から照らされる光に、ごろごろした芋の上に落ちる私の影が見える。；外にごろごろいう音がしたので、窓へ寄った私は、たちまち活気づいた。；ごろごろと五分ばかり動いたと思ったら、もう降りなければならない。；どこの世界にご神体の前でごろごろしている非常識な神主がいるものか。；俺のヒザの上で仔猫のようにごろごろとしていたツインテール娘だった。；しばらくその中をごろごろした後で、彼の息子のおもちゃ箱に移された。；坂は急だし、大きな岩がごろごろしていて、歩きにくいことこのうえない。；狭い岩の上にごろごろ寝ていて、時々目を覚ました奴が水中を遊泳する。；その上彼女は同じ肺病同志が結婚したので、痰が胸にごろごろしていた。；そしてひと晩じゅう、長いすの上にごろごろしているだけなんですもの。；一本何十万もするような酒を飲んで、平気でいる客がごろごろしてるんだぜ。；中には、なにに使うのかよくわからないものが、ごろごろ入っている。；頭はかなりよいのだが、このくらいの頭なら世間にいくらもごろごろしている。；説明をきかねばどちらかわからぬ石が、あちこちにごろごろしている。；平な道を踏んで来たが、これから先は ごろごろした石ばかりになっている。；そこは、舗装の切れたところで、子供の頭大の石がごろごろしていた。；医者へ行って治療をうけ、翌日は工場を休んで、部屋にごろごろしていた。</t>
        </is>
      </c>
      <c r="J3105">
        <f>HYPERLINK("https://www.weblio.jp/content/ごろごろ", "词义详情")</f>
        <v/>
      </c>
      <c r="K3105">
        <f>HYPERLINK("https://yourei.jp/ごろごろ", "查看例句")</f>
        <v/>
      </c>
    </row>
    <row r="3106">
      <c r="A3106" t="inlineStr">
        <is>
          <t>殺す</t>
        </is>
      </c>
      <c r="B3106" t="inlineStr">
        <is>
          <t>成功</t>
        </is>
      </c>
      <c r="C3106" t="inlineStr">
        <is>
          <t>読み方：ころす
［動サ五（四）］
１
㋐他人や生き物の生命を絶つ。命を取る。「首を絞めて—・す」「虫も—・さぬ顔」
㋑自分ではどうすることもできないで、死に至らせる。死なせる。「惜しい人を—・したものだ」
２
㋐活動や動作をおさえとどめる。「息を—・して潜む」「感情を—・す」「声を—・して笑う」
㋑勢いを弱める。「球速を—・したカーブ」
３その人・物がもつ能力・素質・長所などを発揮できない状態にする。特性・持ち味などをだめにする。「せっかくの才能を—・してしまう」「濃い味付けで素材のうまみを—・している」
４相手を悩殺する。惑わせる。「男を—・すまなざし」
５競技やゲームなどで、何かの方法によって相手方が活動できないようにする。
㋐野球で、アウトにする。「牽制球で走者を—・す」
㋑相撲で、相手の差し手をつかみ、または押しつけて動きを封じてしまう。
㋒囲碁で、相手の石を攻めて、目が二つ以上できない状態にする。「端の石を—・す」
６動詞の連用形に付いて、いやになるほどその動作をする意を表す。「ほめ—・す」
７質に入れる。
「脇差曲げ、夜着を—・して」〈黄・金銀先生再寝夢〉
[可能]ころせる
[下接句]息を殺す・窮鳥懐に入れば猟師も殺さず・薬(くすり)人を殺さず薬師(くすし)人を殺す・声を殺す・大の虫を生かして小の虫を殺す・角を矯(た)めて牛を殺す・天道人を殺さず・二桃(にとう)三子を殺す・虫も殺さない・虫を殺す</t>
        </is>
      </c>
      <c r="D3106" t="inlineStr">
        <is>
          <t>殺すべき；殺すかも；殺すよう命じ；殺すべく；殺すつもりなら</t>
        </is>
      </c>
      <c r="E3106" t="inlineStr">
        <is>
          <t>殺害；消す；刺す；害する；葬る</t>
        </is>
      </c>
      <c r="F3106" t="inlineStr">
        <is>
          <t>たら殺す；斬り殺す；食い殺す；殺すしかない；殴り殺す</t>
        </is>
      </c>
      <c r="H3106" t="n">
        <v>29</v>
      </c>
      <c r="I3106" t="inlineStr">
        <is>
          <t>南部の奴隷法では奴隷を故意に殺すことを大半の場合に違法としていた。；なりたくもない帝になるために、父も弟も殺せと命じられているなんて。；あなたのお父さんを殺しておいてから、あなたまで殺そうとしたんだね?；この言葉を聞く人がここにいたならばぼくはそいつを殺そうとは思わない。；しかも殺された部下のうち一人は結婚を約束した恋人の弟であった。；父を殺して即位するが、即位後の暴政もあってすぐに廃されて殺された。；愛人の女が殺しを自供していたが、状況から犯人は女とは思えなかった。；こちらでは、横領者はローマの通りで自分の召使に殺されたとしている。；硯箱を持って廊下へ退出するなり、米内は声を殺して泣き出したという。；殺すのはキリストのためであり、死ぬのはキリストをうることである。；大きな動物を殺すことは、小さな動物を殺すことよりも悪いとされる。；かつてこの屋敷では、母親が我が子を殺し、自殺する事件が起きたのだ。；皇后はそのまま連れて行かれて殺され、彼女の一族も数百人が殺された。；彼からダース・シディアスの存在と彼を殺すために協力を依頼される。；ある時、王は妻の不貞を知り、妻と相手の奴隷たちの首をはねて殺した。；それはより多くの敵を殺せということだと、彼女は気づいているだろうか。；視線だけでも殺せそうなほど強力な力を持った冷たい瞳でボクを射抜く。；彼らは軍人ではなく、ただの職人であったが、全員が剣で斬り殺された。；クレマンはその場で殺され、何者かの指示があったか否かは語らなかった。；奪うも殺すも自由だが、同時に奪われても殺されても文句は言えない。；そのほかの馬の死ぬシーンや馬舎の放火シーンでも実際に馬を殺した。；この男を殺さねば朕の心は乱れたままで、朕の宮殿も完成などするまい。；実はヘイズが自分の名前を出したらギャグノンを殺すと脅していたのだ。；一つは、子であることを知らずに殺す、あるいは食べてしまう場合である。；いかに一致団結して邁進するか、いかにチームのために自分を殺すかだ。；さらに息子は父親を、ハリーがクラムと歩いていた日に殺したという。；最大の特徴は、主人公が念力で人を一瞬で殺すことが出来る事である。；殺された者の多くは女子供であり、死体は酷いやり方で損傷されていた。；偶然一つの指輪を川の中で発見した友人のデアゴルを殺してこれを強奪。</t>
        </is>
      </c>
      <c r="J3106">
        <f>HYPERLINK("https://www.weblio.jp/content/殺す", "词义详情")</f>
        <v/>
      </c>
      <c r="K3106">
        <f>HYPERLINK("https://yourei.jp/殺す", "查看例句")</f>
        <v/>
      </c>
    </row>
    <row r="3107">
      <c r="A3107" t="inlineStr">
        <is>
          <t>転ぶ</t>
        </is>
      </c>
      <c r="B3107" t="inlineStr">
        <is>
          <t>成功</t>
        </is>
      </c>
      <c r="C3107" t="inlineStr">
        <is>
          <t>読み方：ころぶ
［動バ五（四）］
１ころころと回転しながら進む。ころがる。「子犬が—・ぶように駆けてくる」
２からだのバランスを失って倒れる。転倒する。「ぬかるみで滑って—・んだ」
３物事の成り行きが他の方向に変わる。事態がある方向へ向かう。「どちらへ—・んでも大勢は変わらない」
４
㋐江戸時代、キリシタンが幕府に弾圧されて仏教に改宗する。
㋑権力や誘惑に負けて、今までの主義・主張などを変える。転向する。「金に—・んで言いなりになる」
５芸者などがひそかに売春をする。
「二貫も御祝儀を遣りゃすぐ—・ぶっていうんで」〈荷風・腕くらべ〉
[可能]ころべる</t>
        </is>
      </c>
      <c r="D3107" t="inlineStr">
        <is>
          <t>転ぶかわから(4%)；転ぶまい</t>
        </is>
      </c>
      <c r="E3107" t="inlineStr">
        <is>
          <t>倒れる；転がる；転倒する；つんのめる；転げる</t>
        </is>
      </c>
      <c r="F3107" t="inlineStr">
        <is>
          <t>よく転ぶ；滑って転ぶ；すっ転ぶ；すべって転ぶ；つまずいて転ぶ</t>
        </is>
      </c>
      <c r="H3107" t="n">
        <v>29</v>
      </c>
      <c r="I3107" t="inlineStr">
        <is>
          <t>そしてそれがいずれへ転んだ方が幸いなのか自身に判断がつかなかった。；ただ単に転んだからといって、安心できるような相手ではないのである。；娘の姿勢が不意に崩れて、腰がくだけたように転んだのをみたのである。；深さは一尺くらいだったらしいが転んだため腰から下全部濡れてしまう。；気をつけないと足を取られて転んでしまうから、相当の注意が必要である。；決して彼女は考え過ぎたわけではない、自分で勝手に転んだわけではない。；どう転んでも自らの意志で人を襲わせることのできる生き物ではない。；雪がなければ歩いていくところだが、彼女が滑って転んだりしては困る。；僕はキャシーの手をとって急がせたとたんに、突然あれは転んじゃった。；すぐに誰かに足を引っかけられて、肝心なところで転んでしまうだろう。；現代の生活では下駄を履き慣れないため、転んで怪我をする場合もある。；このチームのことなら箸が転んでも記事になりますと、記者はわらった。；あれでは間違って踏みつけても、余裕がありすぎて転ぶ事はないと思う。；彼は急に幸福な気持になって転ぶようにその中へはいって行った。；炭屋の老爺やの話だと、うッかり寝転んでいる所を殺されたのだと云う。；幼い子が草に足を取られて転んでしまうが、泣きもせずにまだ走る。；ただ、階段から変な角度で転んでしまった為に、足の骨を折ったようだ。；先ほど転んだときに打ったところがよくなかったのかもしれない。；みかんと穂波も、転ばないように身体を固定するだけがやっとであった。；事態がどっちに転ぼうと、その後であたふたと対応しなくてはならない。；ぼくがちゃんと顔を前に向けていて、転ばないですむ可能性さえある。；どこをどう飛んだのか、ほとんど転ぶような勢いで長い石段を駈け降りた。；足を取られて転ぶ者がいるとたちまち何人かが折り重なって倒れた。；箸が転んでもケラケラ笑う女くらい無作法なものはないと思わないかい?；ここで転んだが起きて、怪我のまま自転車に乗ってなおも進んでいる。；腕についている転んだ名残の砂は、日に灼けた腕自体よりよっぽど白い。；最後はマイクが彼らを転ばせ、サリーが腹の底から出した大声で吠えた。；左右を藪で覆われた小道を、滑って転ばないように気をつけながら歩く。；安定感があるのに転ぶのは、心の奥深くに暗部を抱えているからである。</t>
        </is>
      </c>
      <c r="J3107">
        <f>HYPERLINK("https://www.weblio.jp/content/転ぶ", "词义详情")</f>
        <v/>
      </c>
      <c r="K3107">
        <f>HYPERLINK("https://yourei.jp/転ぶ", "查看例句")</f>
        <v/>
      </c>
    </row>
    <row r="3108">
      <c r="A3108" t="inlineStr">
        <is>
          <t>衣替え</t>
        </is>
      </c>
      <c r="B3108" t="inlineStr">
        <is>
          <t>成功</t>
        </is>
      </c>
      <c r="C3108" t="inlineStr">
        <is>
          <t>読み方：ころもがえ
［名］(スル)
１別の衣服に着替えること。特に夏冬の季節に応じて改めること。平安時代には、陰暦4月1日、10月1日に行われた。江戸幕府では、このほかに5月5日・9月9日などにも着替える定めがあった。現在では、一般に6月1日と10月1日に主に制服について行われる。《季夏》「かへるさや胸かきあはす—／白雄」
２飾りつけをすっかり替えたり、商売を替えたりすること。「クリスマスをひかえて商店街がすっかり—する」
３男女が互いに衣服を取り替えて寝ること。
「—せむやさ公達(きむだち)や」〈催馬楽・更衣〉
[補説]曲名別項。→更衣</t>
        </is>
      </c>
      <c r="D3108" t="inlineStr">
        <is>
          <t>衣替えする形</t>
        </is>
      </c>
      <c r="E3108" t="inlineStr">
        <is>
          <t>着替え；更衣；お色直し；衣装替え；お召し替え</t>
        </is>
      </c>
      <c r="H3108" t="n">
        <v>29</v>
      </c>
      <c r="I3108" t="inlineStr">
        <is>
          <t>ビデオ研究所は白石が長年部長を務めていた開発部が衣替えした組織である。；だが、それも衣替えに縁のない学生にとってはただの午前中授業である。；木曜クラブへの衣替えと同時に、田中は積極的な派閥拡大を進め始める。；でもね、春がくるともなれば、衣がえをせずにはいられなくなるの。；衣替えは5月と10月だが、春と秋に着用する制服がある学校も存在する。；衣替えなどを請求してもかつて満足なものを支給されたためしはなかった。；ストリップ小屋の経営者の夫が死んだことがきっかけの衣替えだった。；突然、千年前の装いから衣替えしたせいで、咄嗟にはわからなかったのだ。；同交会は解散後親睦団体の後楽会に衣替えし、さらに思斉会と改名した。；衣替えをして制服も軽くなったというのに、晴れやかな気分になれないのはなぜ。；なお代替施設協議会は発展解消し、代替施設建設協議会に衣替えされた。；華のある粋な街では、むかしは毎月衣替えがあったと耳にしたことがある。；季節ごとの衣替えのようなもの、あるいは蛇の脱皮のようなもの。；ブラインドタッチができるようになった頃には、衣替えのシーズンになっていた。；春や秋の衣替え期はベストやカーディガン等を温度調節に着る場合も多い。；衣替へなどを請求しても曾つて滿足なものを支給されたためしはなかつた。；服装の特徴などが一致しませんでしたが、警察の追跡等を意識して衣替えをしている可能性もあります。；衣替え時期の規定はなく、夏冬の制服の組み合わせであれば自由。；こうして第4回愛国社大会は第1回国会期成同盟大会に衣替えとなった。；夏の恰好のまま衣替えをしていない僕は、いまだにTシャツ一枚だ。；そうして公立動物園の多くは改装し、新しい設備に衣替えしていった。；またロングビーチの荷台工場との連携で小型トラック工場に衣替えすることも可能である。；新しく衣がえが終わると歌や踊りが、他の遊びとともに、大いに行なわれました。；衣替え同様、その時期は、きちんと定められている、と教わった記憶がある。；衣替えしたばかりの半袖のYシャツと、制服のスカートはまだ真新しい。；問題のクラブはすでに、ナイトクラブに、衣がえをした時刻である。；衣替えは六月一日だけど、五月にもなると、けっこう暑い日が多くなる。；気温も暑くなったり寒くなったりするもんだから、迂闊に衣替えもできん。；年々、衣替えの時期が後ろにずれていっているような気がする。</t>
        </is>
      </c>
      <c r="J3108">
        <f>HYPERLINK("https://www.weblio.jp/content/衣替え", "词义详情")</f>
        <v/>
      </c>
      <c r="K3108">
        <f>HYPERLINK("https://yourei.jp/衣替え", "查看例句")</f>
        <v/>
      </c>
    </row>
    <row r="3109">
      <c r="A3109" t="inlineStr">
        <is>
          <t>怖い</t>
        </is>
      </c>
      <c r="B3109" t="inlineStr">
        <is>
          <t>成功</t>
        </is>
      </c>
      <c r="C3109" t="inlineStr">
        <is>
          <t>読み方：こわい
［形］［文］こは・し［ク］《「強(こわ)い」と同語源》
１それに近づくと危害を加えられそうで不安である。自分にとってよくないことが起こりそうで、近づきたくない。「夜道が—・い」「地震が—・い」「—・いおやじ」
２悪い結果がでるのではないかと不安で避けたい気持ちである。「かけ事は—・いからしない」「あとが—・い」
３不思議な能力がありそうで、不気味である。「習慣とは—・いものだ」
→恐ろしい［用法］
[派生]こわがる［動ラ五］こわげ［形動］こわさ［名］</t>
        </is>
      </c>
      <c r="D3109" t="inlineStr">
        <is>
          <t>怖いもの(9%)；怖い顔(6%)；怖い思い；怖い夢；怖い目</t>
        </is>
      </c>
      <c r="E3109" t="inlineStr">
        <is>
          <t>恐ろしい；ひどい；すごい；すさまじい；凄まじい</t>
        </is>
      </c>
      <c r="F3109" t="inlineStr">
        <is>
          <t>一番怖い；そんなに怖い；とても怖い；そんな怖い；本当に怖い</t>
        </is>
      </c>
      <c r="G3109" t="inlineStr">
        <is>
          <t>怖い日曜日；怖い噂；怖いッ；怖い絵</t>
        </is>
      </c>
      <c r="H3109" t="n">
        <v>29</v>
      </c>
      <c r="I3109" t="inlineStr">
        <is>
          <t>私はいやでしやうがなかつたけれど怖いのでするがままにさせておいた。；彼は自分自身が健康な人物であると思っていたために、怖い思いをした。；私はスカリーが最も怖れるのは何かを知る必要があると感じていました。；これ以上彼女の瞳をみていると、自分が自分でなくなりそうで怖かった。；そして立てた其上は手も加えられない程怖しい御仏に感じられたと思う。；それをしてしまうのが、なにかが始まるようで怖かったのかもしれない。；怖いという気持の中には実にさまざまの複雑な深い要素が含まれている。；しかし学校で声を掛けられるたびに周囲の女性の目線が怖かったという。；水が怖いのではなく、世間の眼と世間の灯が、いつも背後で気になった。；彼女は怖い事よりも妙な好奇心と一種の正義の感情で一杯になっていた。；特に男子と話をするのは二学期になった今でもちょっと怖かったりする。；ケルステン本人によれば後が怖かったので拒否できなかったのだという。；彼が舞台で見得をするとあまりの怖さに子供が泣出したと言われている。；何故なら私は女の顔から下、正確には胸から下を見るのが怖かったのだ。；このまま人間ではない存在に変わってまでも生き続けるのが怖かった。；この冬は怖いし、ヘルソン市が戦場になるのではないかと心配している。；森の中や街道に遅くまでいることには慣れていたから、怖くはなかった。；彼の顔に怖しい表情を見た私は思わずアッと小さい叫び声を出しました。；だが、彼は怖かったので、槍をもらって行かなければならないと言った。；それが自分の視野内のほとんど全面積をしめたので、それが怖くなった。；その際に電話番号を聞かれたが、怖かったので違う番号を教えたという。；着物をつけているときはそれほどとも思わなかったが、裸体姿の怖しさ。；東京へたつたひとり投げだされても怖くないと思ふやうになつてきたわ。；死ぬのが怖いという人もいるが、それでも死ぬことを恐れてはいけない。；お染は彼を今夜の客の一人と知って、いよいよ怖ろしいように思われた。；そのくせ会うのも怖いようであり変なようであり足が進まないのであった。；妻が怖くて自分の名前も明かせない著者は、次のような主張をしている。；受け取るのが怖かったけれど、それはそのまま手の中に残ってしまった。；どのやうに綺麗な立派な女がそこにゐようかと、それが怖しかつたのだ。</t>
        </is>
      </c>
      <c r="J3109">
        <f>HYPERLINK("https://www.weblio.jp/content/怖い", "词义详情")</f>
        <v/>
      </c>
      <c r="K3109">
        <f>HYPERLINK("https://yourei.jp/怖い", "查看例句")</f>
        <v/>
      </c>
    </row>
    <row r="3110">
      <c r="A3110" t="inlineStr">
        <is>
          <t>怖がる</t>
        </is>
      </c>
      <c r="B3110" t="inlineStr">
        <is>
          <t>成功</t>
        </is>
      </c>
      <c r="C3110" t="inlineStr">
        <is>
          <t>読み方：こわがる
［動ラ五（四）］こわいという気持ちを態度や表情に表す。「小さな子が暗がりを—・る」</t>
        </is>
      </c>
      <c r="D3110" t="inlineStr">
        <is>
          <t>恐怖；恐れる；心配する；畏怖；怖れる</t>
        </is>
      </c>
      <c r="F3110" t="inlineStr">
        <is>
          <t>そう怖がる；少しも怖がる；もう怖がる</t>
        </is>
      </c>
      <c r="H3110" t="n">
        <v>29</v>
      </c>
      <c r="I3110" t="inlineStr">
        <is>
          <t>自分のしてしまったことを心の底から怖がってるように健一には見えた。；この時までにワイルドの部隊は南部人の間に怖がらせる評判を得ていた。；自分にはそんなに海を怖がったというような記憶は少しも残っていない。；そんなふうに考えると別に不気味がることも怖がることもないのである。；私には彼が來るのを怖がる私自身の理由があつたことは云ふまでもない。；そのため、怖がる人はおらず偽証をしない人はいないと報道されている。；しかし中原さんは、みんなが怖がっていないことに満足した様子だった。；わたしが一瞬だけ止まったのは、志貴がわたしのことを怖がったからよ。；しかし一番大きな理由は、直子が自分の父親と会うのを怖がったことだ。；ビーマは羅刹を怖がって家族の眠りを邪魔することはできないと言った。；この話を聞いた別の生徒は、怖がりながらも我慢できずにトイレに行った。；しかし彼が何をそんなに怖がっているのか、私にはよく理解できなかった。；わたしが怖がっていると思ったのか、心葉先輩はすぐに小さく笑った。；もしそのいずれでもないのでしたら、きっとギトンを怖がっているのね?；子供は初めは怖がったものの、慣れて霧に出入りするようになったという。；手術を怖がって泣く私を慰めるために声をかけ、姉妹の約束をしたのだ。；わざと悪いことをして他人を怖がらせて面白がってるんじゃないのよ。；彼女が相変わらず全然怖がっていないことをラムジーは不思議に思った。；他、住処を追われる原因となった争いにいたアリアドスも怖がっていた。；怖がってみせたのは演技でも、あのとき話したことは全部本当のことだから。；本当に怖がっていたのは、実は自分の方だったと、敏子には分っていた。；これでは命拾いをしたばかりの子供達を、必要以上に怖がらせてしまう。；さっきから怖がりすぎていたから、安心したら気を失っちゃったんだろうか。；主人は金を必要としていたものの、本心は怖がっているように見えた。；貴様のは勇気があるのではなくて、何も知らぬから怖がらないだけだ。；溺れた瞬間のことを覚えていて、男の子はまだ海を怖がっているのだ。；鏡で見た自分でさえぞっとするのだから、桜が怖がるのも無理はない。；私のような怖がりが一人でじっとしているには、とても不気味な場所です。；何週間か経ったころ突然、自分がボールを怖がっていないことに気づいた。</t>
        </is>
      </c>
      <c r="J3110">
        <f>HYPERLINK("https://www.weblio.jp/content/怖がる", "词义详情")</f>
        <v/>
      </c>
      <c r="K3110">
        <f>HYPERLINK("https://yourei.jp/怖がる", "查看例句")</f>
        <v/>
      </c>
    </row>
    <row r="3111">
      <c r="A3111" t="inlineStr">
        <is>
          <t>壊す</t>
        </is>
      </c>
      <c r="B3111" t="inlineStr">
        <is>
          <t>成功</t>
        </is>
      </c>
      <c r="C3111" t="inlineStr">
        <is>
          <t>読み方：こわす
［動サ五（四）］
１物に力を加えてもとの形を崩したり、失わせたりする。砕いたり破ったりして使用できないようにする。破壊する。「家を—・す」「コップを—・す」「おもちゃを—・す」
２機能をもっているものに障害を起こさせる。本来の働きを損なう。故障させる。「腹を—・す」「テレビを—・す」「かぎを—・す」
３まとまっていた物事・状態をくずしてだめにする。つぶす。「話を—・す」「計画を—・す」「縁談を—・す」
４高額の貨幣を小額の貨幣にかえる。くずす。「一万円札を千円札に—・す」
[可能]こわせる</t>
        </is>
      </c>
      <c r="D3111" t="inlineStr">
        <is>
          <t>壊すことなく</t>
        </is>
      </c>
      <c r="E3111" t="inlineStr">
        <is>
          <t>撃破；壊滅；破る；大破；撃つ</t>
        </is>
      </c>
      <c r="F3111" t="inlineStr">
        <is>
          <t>ぶっ壊す；全て壊す</t>
        </is>
      </c>
      <c r="H3111" t="n">
        <v>29</v>
      </c>
      <c r="I3111" t="inlineStr">
        <is>
          <t>しかし彼はこの部屋に移ってからも自分から壁を壊そうとはしなかった。；まず最初に部屋へ入るため扉の鍵を壊すか打ち破るかしないといけない。；肉体の機能を壊さずその組織だけ壊すなんて都合のいい技術はまだない。；肉体の機能を壊さずその組織だけ壊すなんて都合のいい技術はまだない。；八畳ほどの広さの洋間の、壁や床の至るところが壊されているのである。；竜の能力を身に着けている彼女は、それで身体を壊すようなことはない。；プロ野球に復帰を促されるも肩を壊してしまった事を理由に一度は拒否。；あけすけに書いて映画の背後の神秘性や夢を壊すようなことはしないよ。；捌くのは難しい事ではないが、その度に屋敷のあちこちが壊されていく。；前燕軍は男女五万人を捕虜とし、宮殿を焼き丸都を壊してから帰国した。；十銭の西洋皿だから壊してもいいと思つて居るのぢやないだらうね。；ステージ内の箱などを壊したり、ステージをクリアすることで手に入る。；その世界を壊そうとする者には石ノ目の写真を見せ、容赦なく石にした。；これからこの女の結婚問題を壊すんだなと思いながら平気に眺めている。；マトリフ自身も仲間を守るためにこれらに手を出し、体を壊したらしい。；もし、今日、こうされていれば、壊すようなことはしなかっただろうか。；だから邪魔だと壊す前にもう少し考えてくれ、とこれだけのことなんです。；使っているうちにこの箸を壊すことは元気に育っている証拠とされる。；別に石を使わなかったら良いんだから壊さなくても良いじゃないか?；彼には妻も子供もおり、その家庭を壊す気はまるでなかったからです。；ただし、ほかの施設があれば壊さないといけないので考えないといけない。；自分の神社が壊されるかもしれないというのに、どこか満足げである。；だが、そいつはまだ家庭を壊されるところまで追いこまれていなかった。；そのうち家でも壊すような音が聞え、薄い煙さえここまで流れてきた。；怪獣が建物を破壊する場面でも、手で壊すような描写は好まないという。；旧校舎の西側、すでにとり壊されていたあたりの地面が、静かに沈んだ。；そして任を去ってから幾年も経たずにその像を壊し、その主人を替える。；引退の言は「これ以上ファンの夢を壊したくない」というものであった。；雰囲気を壊さないように隠されていた、それは従業員専用のドアである。</t>
        </is>
      </c>
      <c r="J3111">
        <f>HYPERLINK("https://www.weblio.jp/content/壊す", "词义详情")</f>
        <v/>
      </c>
      <c r="K3111">
        <f>HYPERLINK("https://yourei.jp/壊す", "查看例句")</f>
        <v/>
      </c>
    </row>
    <row r="3112">
      <c r="A3112" t="inlineStr">
        <is>
          <t>壊れる</t>
        </is>
      </c>
      <c r="B3112" t="inlineStr">
        <is>
          <t>成功</t>
        </is>
      </c>
      <c r="C3112" t="inlineStr">
        <is>
          <t>読み方：こわれる
［動ラ下一］［文］こは・る［ラ下二］
１力が加えられて物のもとの形がゆがんだり失われたりする。物が砕けたり、破れたりする。破壊される。「箱が—・れる」「茶碗が粉ごなに—・れる」「台風で家が—・れる」
２機能に故障が起きる。本来の働きを失って役に立たなくなる。「無電装置が—・れる」「水道の蛇口が—・れる」
３まとまっていた物事・状態がうまくいかなくなる。「縁談が—・れる」「気分が—・れる」「バランスが—・れる」「党内の結束が—・れる」
４もとの成分が失われる。「熱を加えると有効な成分が—・れる」
５高額の貨幣が小額の貨幣になる。「千円札に—・れませんか」
６俗に、言動が正常でなくなり日常生活に支障が生じる状態になる。精神に異常を感じる状態になる。「突然の伴侶との死別で夫が—・れていく」</t>
        </is>
      </c>
      <c r="D3112" t="inlineStr">
        <is>
          <t>壊れるかもしれ；壊れることなく；壊れる可能性</t>
        </is>
      </c>
      <c r="E3112" t="inlineStr">
        <is>
          <t>失敗；崩壊；故障；破損；倒壊</t>
        </is>
      </c>
      <c r="F3112" t="inlineStr">
        <is>
          <t>すぐ壊れる</t>
        </is>
      </c>
      <c r="H3112" t="n">
        <v>29</v>
      </c>
      <c r="I3112" t="inlineStr">
        <is>
          <t>そこは、きっと壊れることのない閉鎖されることのない場所なのだろう。；親からもらったラジオや懐中電灯などの壊れた機器をよく修理していた。；各隊の訓練室にこれらの機材を置いても、訓練中に壊れる可能性が高い。；軽い筈だが両手でかつぐ格好を取り、敵に当たると一発で壊れてしまう。；それがなければ新品が壊れるのをいまかいまかと待ち構えているのです。；壊れた楽器をどうすることもできないままラジオの放送は始まってしまった。；前述しているように墳丘墓の内部から壊れた状態で発見される建物がある。；どうやら壊れた食器を掃除しているうちに、眠って夢を見ていたらしい。；壊れることがわかっていて無理やり作った友達関係のようではないか。；これは腕の高さから固い床に落下させても壊れないように設計されていた。；だいたい寺尾みたいなものがちょっとやそっとで壊れるはずがないのだ。；またカイロマイクロンは非常に壊れやすく測定が難しいと言われている。；灰色のウィークブロックはどの色のボールが当たっても一度で壊れる。；崩壊とは、物質や状態などが、それまでの状態から崩れる・壊れること。；また強い人が本気で殴るとパッドが壊れてしまうという事態が発生した。；この世界が壊れる事はなくなって、あとはあの子と話をすれば全てが終わる。；壊れる事を前提に作られたのだから、壊す事に躊躇する必要はない、と。；キャサリンとの家庭は壊れたが、離婚が成立するのは1860年である。；川の土手にある宮殿の柱の列は壊れ、上層階からは炎が吹き出している。；かれが泊ることを拒んだのは、その感じの壊れることを惧れたのである。；自分が壊れる恐怖ではなく、自分の愛するものが消えてなくなる恐怖だ。；帰国後靴が壊れていたことがわかり靴を換えなければならなかった。；そのとき、何かが激しく壊れるような音が、五〇一号室の中で聞こえて来た。；当日の席でも、気のない顔をしていればすぐに壊れる話だろうと思っていました。；壊れていく様と、意識が研ぎ澄まされていく様の怖さというのがあって。；その後何度か建設が行われたが、完成するたびに何らかの理由で壊れたという。；ちょうど賽の川原で石を積んでいて、これでよいと思っていると壊れる。；なお製造・輸送・設置・利用の各段階で壊れないように配慮しないといけない。；その時の二人は、この愛は絶対に壊れることはないと信じてたわ。</t>
        </is>
      </c>
      <c r="J3112">
        <f>HYPERLINK("https://www.weblio.jp/content/壊れる", "词义详情")</f>
        <v/>
      </c>
      <c r="K3112">
        <f>HYPERLINK("https://yourei.jp/壊れる", "查看例句")</f>
        <v/>
      </c>
    </row>
    <row r="3113">
      <c r="A3113" t="inlineStr">
        <is>
          <t>今～</t>
        </is>
      </c>
      <c r="B3113" t="inlineStr">
        <is>
          <t>成功</t>
        </is>
      </c>
      <c r="C3113" t="inlineStr">
        <is>
          <t>読み方：いま
［名］（副詞的にも用いる）
１過去と未来との境になる時。現在。ただいま。
㋐時間の流れをとらえた瞬間。この時。「—はちょうど一〇時だ」「—は手が離せない」「—考えているところだ」
㋑近い過去から近い未来へ継続している現在の時。目下。「—は学生です」「—も変わらない友情」「桜は—花盛りだ」
２現代。現今。今の世。「—は科学万能の時代だ」「—の若者」「—はやりのファッション」
３ごく近い未来。もうすぐに。やがて。じきに。「—終わるから待っていてくれ」「—行きます」
４ごく近い過去。少し前に。いましがた。さっき。「—の人は誰かしら」「—帰ったところだ」
５さらに。そのうえ。もう。副詞的に用いる。「—一度考えてみる」「—しばらくの間」「—ひとり参ります」
［接頭］主として人を表す名詞に付く。
１現在の、当世の、という意を表す。「—小町」「—浦島」
２新しい、という意を表す。「—参り」</t>
        </is>
      </c>
      <c r="H3113" t="n">
        <v>0</v>
      </c>
      <c r="J3113">
        <f>HYPERLINK("https://www.weblio.jp/content/今～", "词义详情")</f>
        <v/>
      </c>
      <c r="K3113">
        <f>HYPERLINK("https://yourei.jp/今～", "查看例句")</f>
        <v/>
      </c>
    </row>
    <row r="3114">
      <c r="A3114" t="inlineStr">
        <is>
          <t>今回</t>
        </is>
      </c>
      <c r="B3114" t="inlineStr">
        <is>
          <t>成功</t>
        </is>
      </c>
      <c r="C3114" t="inlineStr">
        <is>
          <t>読み方：こんかい
このたび。「—はじめて出席した」
→今度［用法］</t>
        </is>
      </c>
      <c r="D3114" t="inlineStr">
        <is>
          <t>今回初めて；今回限り；今回新た；今回の聖杯戦争</t>
        </is>
      </c>
      <c r="E3114" t="inlineStr">
        <is>
          <t>今度；此度；今般；この度</t>
        </is>
      </c>
      <c r="F3114" t="inlineStr">
        <is>
          <t>今回の大統領選挙</t>
        </is>
      </c>
      <c r="H3114" t="n">
        <v>29</v>
      </c>
      <c r="I3114" t="inlineStr">
        <is>
          <t>しかし今回は、漫画の内容が恋愛ものばかりであることに不満を抱いた。；浜崎が自分以外のアーティストの作品を手掛けるのは今回が初となった。；やはりSFミステリ作品だが今回は人間でなくロボット殺しの謎を描く。；そのことが今回のアルバムに大きな影響を与えていると思いますよ。；今回は前年と違い、TBS放送センター内のスタジオで収録が行われた。；今回は、あの人がこれを指摘してたおかげでこれにも気付くことができた。；姿は1度目と変わらないが、今回は分離して三方向からの攻撃が可能。；そういうシミュレーションも今回のプロジェクトの中には入っている。；普通ならフェードでつなぐんでしょうけど、今回は一切やっていません。；しかし、岡田は今回答えられなかったために罰ゲームを受けてしまった。；今回のケースは、内側干渉の心配があるように誤解しやすいパターン。；今回のアイユーブ軍の攻撃はそれまでのものと同じような攻撃スタイルだった。；今回の公共施設の建設を巡る住民投票は全国的に見ても稀な事例である。；今回は第1回放送で出演依頼を要請した宇多田ヒカルが初出演となった。；今回は不二子も操作でき、魅了で男性職員から情報を聞き出す事も可能。；今回の受賞は自分だけの名誉ではなく、業界の後押しもあってのこと。；今回はチャーチルも受けることを検討していたが、最終的には断っている。；米国の圧力の元で今回は後者であるべきだと決められた。；前作にて小学館の雑誌で行われていた漫画化は今回は見送られている。；A列車で行こう4の時には道路の建設ができたが、今回はできなくなった。；今回の選挙は独立後のグルジアで最も自由な選挙のうちの一つだったと考えられる。；今回はそれを乗り越えて自然に解放された感じになれたと思う。；今回のポリマー紙幣でもカナダの旅シリーズから続く立体部分がある。；通常は一般公開されていないが、今回は特別に紹介していた。；タイトルにもあるように、3年続いたイベントも今回で最後となる。；前作ではハワイでプリプロが行われたが、今回は沖縄と福岡で行われた。；今回より毎年秋になると同時に実施の準備が始まることになる。；今回の戦争は考えられないほど壊滅的な被害をもたらしました。；今回の出演は、小山・柳井によれば、本人からの依頼によるものである。</t>
        </is>
      </c>
      <c r="J3114">
        <f>HYPERLINK("https://www.weblio.jp/content/今回", "词义详情")</f>
        <v/>
      </c>
      <c r="K3114">
        <f>HYPERLINK("https://yourei.jp/今回", "查看例句")</f>
        <v/>
      </c>
    </row>
    <row r="3115">
      <c r="A3115" t="inlineStr">
        <is>
          <t>根気</t>
        </is>
      </c>
      <c r="B3115" t="inlineStr">
        <is>
          <t>成功</t>
        </is>
      </c>
      <c r="C3115" t="inlineStr">
        <is>
          <t>読み方：こんき
物事を飽きずに長くやり続ける気力。こん。「—が続かない」「—よく望遠鏡をのぞく」</t>
        </is>
      </c>
      <c r="D3115" t="inlineStr">
        <is>
          <t>根気よく(45%)；根気強く(7%)；根気強い；根気良く；根気負け</t>
        </is>
      </c>
      <c r="E3115" t="inlineStr">
        <is>
          <t>根；我慢；精力；忍耐；スタミナ</t>
        </is>
      </c>
      <c r="H3115" t="n">
        <v>29</v>
      </c>
      <c r="I3115" t="inlineStr">
        <is>
          <t>彼には女を食わせて行くだけの自信も根気も出なかったのかも知れない。；それがいつのぞいて見ても根気よく同じことを繰り返しているのである。；彼らはいつまでたっても完成しない私の原稿を根気よく待ってくれた。；そして良い行いを最後まで全うできる根気を与えてくださいますように。；そういう気の遠くなるような根気強い作業を何度続けたことだろうか。；私も一作でいいから小説を書きたいのですが、根気がなくてだめです。；こんな感情を、わかってもらうように説明する自信も、根気もなかった。；私がコピーをしているところにかけてきて、根気よくしゃべる人だった。；それでも彼等は毎日根気よくやって来ては庭先や台所口をうろうろする。；そして私が夏の休みに帰った時も、まだ根気よく毎日塗りつぶしていた。；或ひは私の情熱が足りなかつたのかも知れず、根気不足のせゐかも知れぬ。；おれには、あれをつづけてやるだけの根気もないのだろうか、などと。；だから、決して怠け者なんかじゃないし、根気がないわけでもないのよ。；何年も根気よく研究するうちに、それを継続するに充分なだけの成果があった。；団地に住んでいる人間を初めて訪れるのは、かなり根気のいる仕事である。；そんなようすで、彼は根気よく広場をあちこち歩いていたのである。；弦間は副産物を万波から隠して、獲物が戻って来るのを根気よく待った。；もう長年の間、先生は根気よく虫語の研究をつづけていらっしゃいました。；この種の事件でもっとも危険なことは、相手に根気負けしてしまうことである。；これは大変だと気がついて、根気に心を取り直そうとしたが、遅かった。；もう根気よくさえ続けていけば、皆ある程度まで出られるという気がする。；俺は一人前の人間じゃないのだから何よりも根気が大事だからね。；夫にあたる者たちはその脇を根気よくてくてくと歩いてゆくのである。；もちろん、根気強く分解を試みればいつかは復号に成功するわけである。；運輸省側はこれらの政治家を根気強く訪ね歩いて説得し、理解を得ていった。；ところがその運動をいつまで根気にやったものか覚えていない。；九時には全員が書斎に腰をおろして、相手の出現を根気よく待った。；「それほどまでにお前たちが言うのならば」 と到頭私も根気負けがした。；お前を使って根気よく俺が出て来るのを待っていたんだ。</t>
        </is>
      </c>
      <c r="J3115">
        <f>HYPERLINK("https://www.weblio.jp/content/根気", "词义详情")</f>
        <v/>
      </c>
      <c r="K3115">
        <f>HYPERLINK("https://yourei.jp/根気", "查看例句")</f>
        <v/>
      </c>
    </row>
    <row r="3116">
      <c r="A3116" t="inlineStr">
        <is>
          <t>根拠</t>
        </is>
      </c>
      <c r="B3116" t="inlineStr">
        <is>
          <t>成功</t>
        </is>
      </c>
      <c r="C3116" t="inlineStr">
        <is>
          <t>読み方：こんきょ
１物事が存在するための理由となるもの。存在の理由。「判断の—を示す」
２本拠。ねじろ。「一味が—とした隠れ家」</t>
        </is>
      </c>
      <c r="D3116" t="inlineStr">
        <is>
          <t>根拠づけ；根拠なき；根拠規定；根拠薄弱；根拠不明</t>
        </is>
      </c>
      <c r="E3116" t="inlineStr">
        <is>
          <t>わけ；本；元；由来；基本</t>
        </is>
      </c>
      <c r="F3116" t="inlineStr">
        <is>
          <t>無根拠；明確な根拠；設置根拠；有力な根拠；否定する根拠</t>
        </is>
      </c>
      <c r="G3116" t="inlineStr">
        <is>
          <t>根拠地隊；根拠法；根拠に基づく医療；根拠法令；根拠に基づく実践</t>
        </is>
      </c>
      <c r="H3116" t="n">
        <v>29</v>
      </c>
      <c r="I3116" t="inlineStr">
        <is>
          <t>彼はこの根拠を求めるために、美を定義するのに必要な性質は何かを探る。；紋章の各々の要素が何らかの特定の意味を持つという論には根拠がない。；しかし実際には、本級の大型化にはいくつかの重要な根拠があった。；前484年説がしばしば採用されるが、明確な根拠を伴ったものではない。；上記の法則などを発展させたものが「保険料率表」の根拠になっている。；彼はこれを群れで行動していたことの根拠であると主張した。；このような認識は少なからざる人々の間で語られるが、数的根拠はない。；一方、フランスでは契約責任の帰責の根拠は契約の拘束力とされている。；サムネイル 真理は、確実な根拠によって本当であると認められたこと。；ごく短い期間ではあるが、この称号が実際に一定の根拠を持っていた時期もある。；これについては、厳密に科学的または疫学的な根拠があるわけではない。；これは、オールトの雲の分布が球殻状であると推定する根拠になっている。；つまり、このことはラマルクの用不用説を強く支持する根拠となり得る。；政府はこれを否定したものの、は避難を否定する根拠はないとした。；呼びつけられたが、根拠を示して説明すると解放してくれたという。；また、『リグ・ヴェーダ』などの戦争記事がその根拠のひとつとされた。；活動の根拠となる法律が存在しないため、法的には存在しない組織ともいえる。；知的財産は、先述した根拠2つのうち主に労力を根拠とするものである。；その後も、大きな政治的改革・改変を行う際に『周礼』を根拠にされた。；このとき、白浜の名の根拠となったのは、鉛山湾に面した白良浜である。；時間がたてば状況が変わるかもしれないと何の根拠もなく浅はかにも期待したのである。；実在性の低い天皇の一人に挙げられている最大の根拠は伝説的な父と妻を持つためである。；善や真理の根拠を、神でなく理性的な人間の中にみいだそうとした、と。；生物の化学組成と海水の組成が似ていることもその説の根拠の1つである。；以上の利用形態を根拠に設けられた電波行政上の区分が短波帯である。；その根拠のひとつは、ウマル・ハイヤームの四行詩の中の次の一首である。；これを点検して処女か否かを判断するのが処女検査の根拠とされる。；ゆえ、各々が信ずる根拠づけを利用してその内容と拘束力を示している。；そこでの彼のテーマは美の根拠についてである。</t>
        </is>
      </c>
      <c r="J3116">
        <f>HYPERLINK("https://www.weblio.jp/content/根拠", "词义详情")</f>
        <v/>
      </c>
      <c r="K3116">
        <f>HYPERLINK("https://yourei.jp/根拠", "查看例句")</f>
        <v/>
      </c>
    </row>
    <row r="3117">
      <c r="A3117" t="inlineStr">
        <is>
          <t>コンクール</t>
        </is>
      </c>
      <c r="B3117" t="inlineStr">
        <is>
          <t>成功</t>
        </is>
      </c>
      <c r="C3117" t="inlineStr">
        <is>
          <t>読み方：こんくーる
１競技。競争。
２音楽・絵画・映画などで、技の優劣を競う会。「写真—」</t>
        </is>
      </c>
      <c r="D3117" t="inlineStr">
        <is>
          <t>コンクール第；コンクールで第；コンクール優勝；コンクール入賞；コンクール審査</t>
        </is>
      </c>
      <c r="E3117" t="inlineStr">
        <is>
          <t>戦；試合；ゲーム；戦い；比べ</t>
        </is>
      </c>
      <c r="F3117" t="inlineStr">
        <is>
          <t>作曲コンクール；ピアノコンクール；全国コンクール；同コンクール；バレエコンクール</t>
        </is>
      </c>
      <c r="G3117" t="inlineStr">
        <is>
          <t>コンクールス；コンクールデレガンス；コンクール・オブ・エレガンス；コンクール・ド・フランセ</t>
        </is>
      </c>
      <c r="H3117" t="n">
        <v>29</v>
      </c>
      <c r="I3117" t="inlineStr">
        <is>
          <t>海外のコンクールを受ける日本人がほとんどいない時期であったという。；コンクールや定期演奏会ほか様々な演奏依頼を受けて日々活動している。；国際コンクールの世界的なネットワークを構築することを目的とする。；国際音楽コンクール世界連盟に加盟しているコンクールを中心に挙げる。；彼の合唱曲は近年、日本でもしばしばコンクールなどで演奏されている。；また、過去に本コンクールで一位になった者の参加は認められない。；日本のコンクールでは主に一次予選・二次予選などで行われる。；これを機に活動の主体をコンクールから演奏会活動へと移すこととなった。；さらにはロンドンでオルガンの演奏コンクールに参加し、第1位を得た。；山車ごとの祭り囃子の伝承と技術の向上を主な目的としたコンクール。；連盟への登録料を払い込むことのできないコンクールは、加盟できない。；幼児から小・中学生を対象とした市主催の絵画コンクールも行われている。；第1回全国発明コンクールで発明協会賞を受賞した茶谷薫重が設立した。；この教室を受講して後に全国コンクールで受賞した子どももいる。；脚本や制作を担当した作品が映画祭・映画コンクールで受賞した。；以後は、コンクールを経ずに評価を高めていった希有な演奏家である。；ドイツ語圏を中心とする地域でのピアノコンクール優勝経験を持つ。；近年、大学が当局に許可を得て国際コンクールを開催することが可能になった。；高校生及びそれに相当する者を対象とする全国規模の文芸コンクールである。；主に就学中の音楽家の支援を行うのが目的の国際コンクールである。；終楽章の主題はコンクールの前に書かれたスケッチを元にしている。；同局の番組が全国規模のコンクールで最優秀賞を受賞するのは初めてだった。；現在では、国際音楽コンクール世界連盟に加盟する国際コンクールである。；現在はユトレヒト・リスト国際ピアノコンクールの審査委員を務めている。；さまざまな知識を得て帰ってきた若者は、その年に開催された料理コンクールに出場した。；世界で最も歴史と権威のある国際番組コンクールとされる。；卓越したデッサン力により様々なコンクールで受賞を重ね、現在に至る。；コンクールで上位入賞した団体は、翌日の入賞団体演奏会に出演する。；かつてはコンクールで優勝した事もある名門だった米豊中学の新聞部。</t>
        </is>
      </c>
      <c r="J3117">
        <f>HYPERLINK("https://www.weblio.jp/content/コンクール", "词义详情")</f>
        <v/>
      </c>
      <c r="K3117">
        <f>HYPERLINK("https://yourei.jp/コンクール", "查看例句")</f>
        <v/>
      </c>
    </row>
    <row r="3118">
      <c r="A3118" t="inlineStr">
        <is>
          <t>混血</t>
        </is>
      </c>
      <c r="B3118" t="inlineStr">
        <is>
          <t>成功</t>
        </is>
      </c>
      <c r="C3118" t="inlineStr">
        <is>
          <t>読み方：こんけつ
１人種の異なる者が結婚して、その子供に両方の種族の特徴がまざること。
２（比喩的に）異なる種類のものがまざること。また、異なる種類のものを併置し、用途に応じて使い分けること。「イスラム文化とギリシャ文化の—」「モーターとエンジンの—」</t>
        </is>
      </c>
      <c r="D3118" t="inlineStr">
        <is>
          <t>混血児(3%)；混血種；混血娘；混血女；混血者</t>
        </is>
      </c>
      <c r="E3118" t="inlineStr">
        <is>
          <t>ハーフ；間の子；混血児；合の子；合いの子</t>
        </is>
      </c>
      <c r="F3118" t="inlineStr">
        <is>
          <t>混血度；混血説；仏混血；混血集団；混血少年</t>
        </is>
      </c>
      <c r="H3118" t="n">
        <v>29</v>
      </c>
      <c r="I3118" t="inlineStr">
        <is>
          <t>生まれた混血は、両親より優れた特性を持つ雑種強勢の特徴が見られる。；宗教的な理由で、混血を嫌う地域がある為、それ以外の地域で行われる。；地元のトルコ人の支配者や軍人との混血は自然に恒常的に起こっていた。；南部の他の地域と比べて有色自由人の大半は混血で有る場合が多かった。；また、この過程で台湾原住民と漢人の間である程度の混血が進められた。；初期の大統領は純血の者が多いが時代を経た現在では様々な民族との混血がある。；賢爾自身が混血であることをどれだけ意識していたかは、確かな資料はない。；地域的には、民族間の混血が進んだ地域にユーゴスラビア人が多かった。；ロシア人との混血でしてね、でも食事はいっしょじゃなかったんです。；これは、白人の男性と先住民の女性の間で混血が進んだためと考えられる。；魚と人間を掛けたらあんまり普通と変んない人間の混血出来るけど。；二人の混血土人たちがジョン卿の命令で食糧をかついで一緒に登った。；勿論、彼はその混血児の側にはすこしも同情する気になれなかった。；ティーフリングは太古に人間以外の種族との間とも混血した亜種がいる。；そこで、牛との混血を作る事で、乳と肉の品質向上などの改善が行われた。；インスマスで混血者を作っているのも、数ある侵略手段の一つである。；あのな、わしは混血ならば問題ないといったがな、あれはほんとうなのじゃ。；混血はおおむね人種間の血の安定をもたらすが、時に異常な種ともなる。；世代を重ねて混血が進んだため、人種集団をはっきり区分することはできない。；私は彼に、急いで混血女を見張っているミッキーに手をかすように命じた。；また、政策的に国民の混血を進め、民族の違いをなくそうとする場合もある。；その大多数は植民者と混血せず、すなわちメスティーソになっていない。；また、ヴァイキングを構成するノルマン人との混血もある程度見られる。；ロシア連邦に住んでいるナナイの一部ではロシア人との混血が進んでいる。；古代の北欧の人々は、エルフと人間との混血も可能だと信じていた。；民族的にはインド・アーリヤ人とドラヴィダ人との混血とする説もある。；「生涯」の項で記したとおり、賢爾は日本人とイギリス人の混血である。；その日ずっとトムは、自分と一緒に買われてきた例の混血女の近くで働いていた。；その数は220万人と言われているが、その中に混血のアジア人は含まない。</t>
        </is>
      </c>
      <c r="J3118">
        <f>HYPERLINK("https://www.weblio.jp/content/混血", "词义详情")</f>
        <v/>
      </c>
      <c r="K3118">
        <f>HYPERLINK("https://yourei.jp/混血", "查看例句")</f>
        <v/>
      </c>
    </row>
    <row r="3119">
      <c r="A3119" t="inlineStr">
        <is>
          <t>今月</t>
        </is>
      </c>
      <c r="B3119" t="inlineStr">
        <is>
          <t>成功</t>
        </is>
      </c>
      <c r="C3119" t="inlineStr">
        <is>
          <t>読み方：こんげつ
今の月。この月。本月。当月。「—の売り上げ」</t>
        </is>
      </c>
      <c r="D3119" t="inlineStr">
        <is>
          <t>今月号(3%)；今月一(2%)；今月分(2%)；今月今日；今月今夜</t>
        </is>
      </c>
      <c r="F3119" t="inlineStr">
        <is>
          <t>今月上旬；今月一杯；今月一日</t>
        </is>
      </c>
      <c r="G3119" t="inlineStr">
        <is>
          <t>今月末；今月十五日；今月九日；今月八日；今月十日</t>
        </is>
      </c>
      <c r="H3119" t="n">
        <v>29</v>
      </c>
      <c r="I3119" t="inlineStr">
        <is>
          <t>調べてわかったことだが、今月サトルは高級な酒を大量に仕入れていた。；そのとおりだとすると今月の末で男達は自分と同じ仲間になるはずであった。；月末なのに今月分の給料だってもらってないし、もう義務はないはずよ。；今月の卵子にジャストの男がいて、それは先月の男とはきっと違うのだ。；甚だ対照の妙を得た二つの映画を続けて見たので、今月は二本立と行く。；この楽曲は同年にNHKテレビ歌謡の「今月の歌」にも指定されていた。；今月になってもう二度も、場末の通りを男を変えて歩いているのを見ました。；今月の情報を確保するためには先月の情報を忘却しなければいけない。；むろん死体で発見されなければならんが、今月のぶんはもういっぱいなのでな。；彼女はさっきから今月の予定表をぼんやりと眺めているだけだ。；それから、今月の会銭のことをきりもなくしゃべりはじめたのだった。；今月頭に都庁周辺で戦った時は、あんな移動方法は使っていなかったはずだ。；一時は今月は勿論、来月の芝居もだめかと思ったが、さうでもないらしい。；きっとおそらく、今月でここをやめさせられるかもしれませんのに。；それによると、ゲオルクが帰ってくるのは、今月一六日という卦が出た。；今月の十三日に雨男がやってきたとき、注文していったなあ女の人形なんです。；どれも何日か前に新聞の広告で見た今月の雑誌であった。；それにしても、手紙に、今月の二十一日といっているのは、妙ですね。；この調子だと今月は雑誌に穴をあけることになるのではないか?；自分たちの今月の部屋代はあと三日もたったら支払わねばならないのです。；さて、今月の午前九時、どんな空間でどんな人物に登場してもらおうか。；尚お先月のは見習給としてあったが、今月のは社員俸給と改まっていた。；今月もまた妊娠し得なかったと、ざんきの念のあらわれなのだろうか。；息子の元には今月の三十日に結婚させることにした。；今月の契約はあらかた出尽くしてしまったので、今は待つしか仕事がない。；今月は「科学の常識のために」かきましたが、来月は何にしましょうね。；そして今月始め、部屋は再び会長室へと名を戻し、千鶴さんのものとなった。；今月の二十日すぎまでは充分にあるが、石炭の方はもう殆ど底をついている。；今月の初め、一年ぶりに再会したときには、変貌ぶりに驚いたものである。</t>
        </is>
      </c>
      <c r="J3119">
        <f>HYPERLINK("https://www.weblio.jp/content/今月", "词义详情")</f>
        <v/>
      </c>
      <c r="K3119">
        <f>HYPERLINK("https://yourei.jp/今月", "查看例句")</f>
        <v/>
      </c>
    </row>
    <row r="3120">
      <c r="A3120" t="inlineStr">
        <is>
          <t>根源</t>
        </is>
      </c>
      <c r="B3120" t="inlineStr">
        <is>
          <t>成功</t>
        </is>
      </c>
      <c r="C3120" t="inlineStr">
        <is>
          <t>読み方：こんげん
１物事の一番もとになっているもの。おおもと。根本。「腐敗政治の—を絶つ」「諸悪の—」
２物事の始まり。「紛争の—となる事件」「—をさかのぼる」
３本家。元祖。
「お茶の湯の—とも言はるる秦野官翁に向かひ」〈伎・三十石艠始〉</t>
        </is>
      </c>
      <c r="D3120" t="inlineStr">
        <is>
          <t>根源的(36%)；根源性；根源人種；根源神；根源俳句</t>
        </is>
      </c>
      <c r="E3120" t="inlineStr">
        <is>
          <t>元；始め；もと；初め；源</t>
        </is>
      </c>
      <c r="F3120" t="inlineStr">
        <is>
          <t>根源的體驗；もっと根源的；根源的破滅招来；根源的明証；根源的解釈</t>
        </is>
      </c>
      <c r="G3120" t="inlineStr">
        <is>
          <t>根源の社</t>
        </is>
      </c>
      <c r="H3120" t="n">
        <v>29</v>
      </c>
      <c r="I3120" t="inlineStr">
        <is>
          <t>そんな世界の根源にまで関わるような事まで判る人間がいるのだろうか。；そしてこれこそ空間の根源性に就いての最も有力な主張ではないのか。；そしてそれが先生のあのエネルギーの根源であるように思われるのである。；テーマとなっているのは死、罪、不安などの人間の根源的な悩みである。；そのため、我々は注意を問題の根源に向けなければならないのである。；而も二人はシュトゥンプフの解釈とは正反対に空間の根源性を主張した。；修辞学は人と人との関係の上に立つものとして根源的に社会的である。；より根源的な価値の源は人間の労働であるという思想が基にあった。；これは不均一系光触媒の根源的な性質が観察された最初の事例である。；世界の存在は固より私自身の存在と同じやうに根源的であるであらう。；彼女は侵入してきた思考と同調し、それを分析して根源を追求しはじめた。；根源的解釈者が使用できるもっともらしい証拠とは何だろうか。；そしてこれは言葉の根源が構想力に関わるということに相応している。；自由主義者は教会と軍閥ことがメキシコの問題の根源だと考えていた。；かかる根源的な存在理解に於て歴史と人間とが一緒のものとして理解されてゐる。；即ち史觀はその根源に於て事實としての歴史によつて規定されてゐる。；すなわち、その研究動機の根源にあるものは人間に対する深い関心である。；如何なる他からの影響があっても一つの民族は一つの根源的な美の性質を失わない。；また、かつては人の本心や根源的な何かは腹に宿っていると考えられていた。；わたしが今までに使ったどんな術よりも、ずっと根源的な問題を含んでいるのです。；このことからメガシンカの根源とされてきたことが語られている。；この夢の生じる根源を心理的に解釈すると何等かの解釈をすることは出来る。；空間直観はこのような意味で根源的と考えられなければならない。；この論派は自治論派とその根源をともにし旧帝政論派の遺類の一種なりとす。；頭には飾りをつけており、この飾りがナルムクツェの力の根源となっている。；空間表象は絶対的な感覚内容を持っている、その限り根源的である。；したがって、真に否定さるべきものの根源に徹して否定し得るであろう。；前者は後者に對しては根源的な、從つて哲學的と云はれ得る意識である。；それは理論的に言えば一切のものの根源たる一つの理念である。</t>
        </is>
      </c>
      <c r="J3120">
        <f>HYPERLINK("https://www.weblio.jp/content/根源", "词义详情")</f>
        <v/>
      </c>
      <c r="K3120">
        <f>HYPERLINK("https://yourei.jp/根源", "查看例句")</f>
        <v/>
      </c>
    </row>
    <row r="3121">
      <c r="A3121" t="inlineStr">
        <is>
          <t>今後</t>
        </is>
      </c>
      <c r="B3121" t="inlineStr">
        <is>
          <t>成功</t>
        </is>
      </c>
      <c r="C3121" t="inlineStr">
        <is>
          <t>読み方：こんご
今からのち。こののち。以後。「—もよろしく願います」「—いっさい関知しない」</t>
        </is>
      </c>
      <c r="D3121" t="inlineStr">
        <is>
          <t>今後数；今後どう；今後一切；今後どのよう；今後ますます</t>
        </is>
      </c>
      <c r="E3121" t="inlineStr">
        <is>
          <t>後；先；以降；以後；将来</t>
        </is>
      </c>
      <c r="F3121" t="inlineStr">
        <is>
          <t>今後更に；今後整備；今後どれ；今後一生；今後も引き続き</t>
        </is>
      </c>
      <c r="H3121" t="n">
        <v>29</v>
      </c>
      <c r="I3121" t="inlineStr">
        <is>
          <t>今後、受け入れた人々の社会統合をより成功させるためにも重要なこと。；減少は現在まで続いており、今後も減少が続くとの推計がなされている。；朕はこれに同意したこともなければ、今後も決して同意しないであろう。；無人機等でのアクセスなどは実施されておらず、今後もその計画は無い。；研究チームは今後2年をかけて安全性と治療効果を評価するとしている。；これが、今後手がけていくべき数多くの事業の資金源となるはずである。；今後はより環境に配慮した河川開発が推進されるものと見られている。；今後インカレポイントがどのように活用されていくのかは不明である。；今後の九州、京都、大阪での撮影は取材を拒否する方針との表明があった。；今後FIBAは問題解決へ向けた直接介入を含めた対応も検討している。；ユーザーランドスレッドのサポートも今後のリリースの重要な課題である。；あわせて今後は画家として作品を発表していくことも報告している。；今後は関西圏や中京圏などの他地域でも展開していく予定としている。；今後の実績次第で新たなルートも検討されることとなっている。；立ち上げ段階では、今後のプロジェクトの領域を包括した計画を作成する。；今後は改良工事の完成に合わせてホームドア整備も計画されている。；今後の製品の性能向上を念頭に置いてシステムバスの仕様を変更している。；この映像は今後の計画検討の際などに利用される予定である。；ハイデルベルク市は、今後も世界遺産登録に向けて努力するとしている。；後任の青木健町長は住民の意見を聞いて今後を検討したい、としている。；多数の未記載種が知られ、分類は今後も拡大するものとみられる。；今後については一旦休止してこれまでの活動の検証を行なうとしている。；今後は冬尚の誕生年が大幅に繰り上がる可能性があり、議論の余地が残る。；国土地理院も参考にするとしており、今後単独3位となる可能性がある。；これを受けて、今後5社共同で大西洋路線の運営・管理を行う方針である。；一方、集電装置の離線率が高くなることについては今後の課題とされた。；今後は監督業をメインに活動するとスポーツニッポンのインタビューで語った。；他のWTO加盟国・地域は今後、いつでも同制度に加わることができる。；またアメリカ軍は以下の様に桜花の今後の発展も予測していた。</t>
        </is>
      </c>
      <c r="J3121">
        <f>HYPERLINK("https://www.weblio.jp/content/今後", "词义详情")</f>
        <v/>
      </c>
      <c r="K3121">
        <f>HYPERLINK("https://yourei.jp/今後", "查看例句")</f>
        <v/>
      </c>
    </row>
    <row r="3122">
      <c r="A3122" t="inlineStr">
        <is>
          <t>混合</t>
        </is>
      </c>
      <c r="B3122" t="inlineStr">
        <is>
          <t>成功</t>
        </is>
      </c>
      <c r="C3122" t="inlineStr">
        <is>
          <t>読み方：こんごう
［名］(スル)
１異なった性質のものがまじり合うこと。また、まぜ合わせること。混和。「数種のスパイスを—した調味料」「—物」
２スポーツ競技で、男女が組み合わさること。また、その形式。「—ダブルス」「—リレー」</t>
        </is>
      </c>
      <c r="D3122" t="inlineStr">
        <is>
          <t>混合物(4%)；混合型(2%)；混合団体；混合液；混合される</t>
        </is>
      </c>
      <c r="E3122" t="inlineStr">
        <is>
          <t>合併；結合；合成；合同；混同</t>
        </is>
      </c>
      <c r="F3122" t="inlineStr">
        <is>
          <t>併設混合；木金混合；混合性；混合式；古馬混合</t>
        </is>
      </c>
      <c r="G3122" t="inlineStr">
        <is>
          <t>混合ダブルス；混合気；混合ガス；混合列車；混合比</t>
        </is>
      </c>
      <c r="H3122" t="n">
        <v>29</v>
      </c>
      <c r="I3122" t="inlineStr">
        <is>
          <t>彼らのコンサートのセットはしばしば曲が次の曲と混合されて演奏された。；異なる言語同士が接触し、双方の特徴を保ったまま複雑に混合した言語。；また2013年からは混合競走に指定され外国産馬の出走も可能になる。；ピカソの最晩年の作風は、彼がそれまで経てきたスタイルの混合である。；また話によっては複数のケースが混合した展開が行われる場合もある。；複数の系統の本文を混合したもので、宮内庁書陵部蔵のものが知られる。；准士官はそれぞれの国や軍種で扱われ方が少し異なる混合した階級である。；混合されている試料を計測する単位は、質量や物質量であることが多い。；主人公のホリーは、複数の実在する人物を混合したキャラクターだった。；体性運動性と知覚性の混合神経であり、脳神経の中で最大の神経である。；機械の発達レベルは魔法と混合しているだけあり、かなり偏っている。；単独もしくは他の油脂類と混合する形で古くから潤滑用途に用いられてきた。；ここでは、土壌と混合利用した場合に適用する基準が示されている。；ここ最近では、上記の方法を混合させた音楽の同期という方法が可能となった。；その結果、現在では概ね、 のいずれか又はその混合の形態となっている。；一般には分子構造の似た物質どうしの混合液が理想溶液に近いとされる。；そのためヘビー級とジュニアヘビー級の混合試合は日常的に行われている。；受信した信号は全て局部発振器で生成された波形と混合器で混合される。；水と混合することで沸点が低くなるような化合物を蒸留すると効果的である。；この時代は様々な潮流の並存と様式の混合によって特徴づけられている。；一つの水槽で多くの種類の魚を飼うことを混合飼育、または混泳と呼ぶ。；サムネイル|現代のユーラシアの人口の間の推定された東西の混合。；原木栽培の他、木粉などを混合して煉瓦状に成形した菌床で栽培される。；これらの中には現在のADHD「混合型」に合致する例が見られるという。；秋または冬になり表水層が冷却されると層構造が乱され上下に攪拌混合される。；住宅地と工業地の混合地域であったことが、公害を悪化させた原因である。；進化的安定性とは、何らかの混合戦略が集団の中で支配的になるための条件である。；この三つの材料を混合すれば、光の三原色の場合と反対に黒を作ることが出来る。；普通はその日の気温が最も高くなる頃に最も高くなり、これを最大混合層高度という。</t>
        </is>
      </c>
      <c r="J3122">
        <f>HYPERLINK("https://www.weblio.jp/content/混合", "词义详情")</f>
        <v/>
      </c>
      <c r="K3122">
        <f>HYPERLINK("https://yourei.jp/混合", "查看例句")</f>
        <v/>
      </c>
    </row>
    <row r="3123">
      <c r="A3123" t="inlineStr">
        <is>
          <t>言語道断</t>
        </is>
      </c>
      <c r="B3123" t="inlineStr">
        <is>
          <t>成功</t>
        </is>
      </c>
      <c r="C3123" t="inlineStr">
        <is>
          <t>読み方：ごんごどうだん
［名・形動］
１仏語。奥深い真理は言葉で表現できないこと。
２言葉で言い表せないほどひどいこと。とんでもないこと。また、そのさま。もってのほか。「人のものを盗むとは—だ」「—な（の）行い」
３言葉で言いようもないほど、りっぱなこと。また、そのさま。
「時々刻々の法施祈念、—の事どもなり」〈平家・一〉
４表現しがたいほど驚嘆した気持ちを表す語。感動詞的に用いられる。
「—、ご兄弟のご心中を感じ申して」〈謡・春栄〉</t>
        </is>
      </c>
      <c r="D3123" t="inlineStr">
        <is>
          <t>言語道断な奴</t>
        </is>
      </c>
      <c r="E3123" t="inlineStr">
        <is>
          <t>悪い；ひどい；不快；厭；酷い</t>
        </is>
      </c>
      <c r="H3123" t="n">
        <v>29</v>
      </c>
      <c r="I3123" t="inlineStr">
        <is>
          <t>人間が人間に対して言語道断の行為を働いていることを、私は意識する。；当時の音楽業界はアーティストが自分の作品の権利を主張するなど言語道断。；国がそれを指導するに至つては言語道断だというふうに考えるのであります。；が、何にしても、此深見三郎二郎の性格の表現は、言語道断の失敗です。；河本大作処分は軍内部の問題であり、それを政府が要求するのは言語道断だ。；あの男が言語道断な悪党だといった主観的な知識をいっているのではない。；それは実に言語道断の方法で、はげしい攻撃の手を加えたということです。；それが太るだなんてことは、言語道断、あってはならないことである。；ましてやそれが、汚らわしい金のために動くときては言語道断ではないか。；そんな言語道断な秀明さんが見過ごしたとしても私はそうはいきませんよ。；どんな事情があったのかは知らんが、こんな場所での私闘など、言語道断だ。；修道士になるまでは、私は俗世間にあって言語道断の生活を送っていました。；で、この眼で、言語道断なきたない連中がそれを食べちらすのも見てきた。；わたしとしては、彼の言語道断な軽率さに注目しないわけにはいかなかった。；それはともかく、あと一時間もたてば、言語道断な連中がつめかけてくる。；雁次郎の仕草を人形に移して看客の意を迎ふるなど言語道断の事屡なり。；この言語道断な光景を見て、モオゼの青筋は破裂せんばかりに膨らんだ。；酒に酔っ払ったり、夫が不在の場合には、言語道断な冗談を口にする。；窓を下げて女の子に声をかけるなんて言語道断だった。；彼らは、ハヴァトゥーの道路上での言語道断な喧嘩騒ぎに、憤激していた。；おめおめと近寄って顔など見せることは、言語道断なのかもしれない。；主人の不在のたびに店の品物を盗みだして喫茶店へ通ふとは言語道断な奴だ。；ラフィヨフの云う如く、日本が暗に示唆したこととすれば言語道断だ。；祝宴等の際に土人をも招ぶからいけない、などと言うに至っては言語道断。；それに、なんの言葉もかけずに本部のテントへ入って来るとは、言語道断である。；かかる言語道断な認定に対して、われわれは考慮する必要はないか。；元教育係から見れば、整備兵の態度は言語道断というか、同じ人間とは思えない。；国へ帰って来てから復た関係をつけるなんて、実に言語道断だ。；冒険の旅に赤ん坊を連れて歩くのは言語道断だが、誰かに預けるのも不安だ。</t>
        </is>
      </c>
      <c r="J3123">
        <f>HYPERLINK("https://www.weblio.jp/content/言語道断", "词义详情")</f>
        <v/>
      </c>
      <c r="K3123">
        <f>HYPERLINK("https://yourei.jp/言語道断", "查看例句")</f>
        <v/>
      </c>
    </row>
    <row r="3124">
      <c r="A3124" t="inlineStr">
        <is>
          <t>混雑</t>
        </is>
      </c>
      <c r="B3124" t="inlineStr">
        <is>
          <t>成功</t>
        </is>
      </c>
      <c r="C3124" t="inlineStr">
        <is>
          <t>読み方：こんざつ
［名］(スル)
１物事が無秩序に入りまじること。
「かかる—せる原理を以て」〈西田・善の研究〉
２たくさんの人が集まって込み合うこと。「人と車で—する観光地」
３もめごとがあること。ごたごたすること。また、いざこざ。
「教授会議や何ぞで、何か問題が—して来て」〈鴎外・魔睡〉</t>
        </is>
      </c>
      <c r="D3124" t="inlineStr">
        <is>
          <t>混雑する(15%)；混雑緩和(6%)；混雑時(4%)；混雑ぶり；混雑方向</t>
        </is>
      </c>
      <c r="E3124" t="inlineStr">
        <is>
          <t>うっ血</t>
        </is>
      </c>
      <c r="F3124" t="inlineStr">
        <is>
          <t>交通混雑；大変混雑；最混雑；道路混雑；ラッシュ時混雑</t>
        </is>
      </c>
      <c r="G3124" t="inlineStr">
        <is>
          <t>混雑度；混雑空港；混雑税</t>
        </is>
      </c>
      <c r="H3124" t="n">
        <v>29</v>
      </c>
      <c r="I3124" t="inlineStr">
        <is>
          <t>朝夕は非常に混雑し事故の危険が大きいことなどが課題となっている。；オープン当初は離れた場所に無料の臨時駐車場も設け混雑を分散させた。；これは鉄道の輸送能力が低く、遅延や混雑が日常化している為である。；ここがこの街で最も混雑する道であり、街の中心を南北に走っている。；これは、ラッシュ時の混雑が激しくなってきたことに対応するためである。；朝一番は中国各地からの団体客が多く、もっとも混雑する時間である。；特に中国の大型連休である紅葉初期シーズンの10月初めは大混雑する。；現在では通勤・帰宅時の混雑も激しく、深夜もトラックの通行量が多い。；小枝が多く出てやぶになるので、混雑したら剪定して短く仕立て上げる。；混雑時には座席を撤去して運用されていたという報告すらある。；地理的関係からこの駅から乗降する高校生が多く、朝は非常に混雑する。；混雑に対処するため、扉付近の立席スペースを2200系よりも広げた。；これは、約1000人分の座席数で、登場以来最混雑列車に使用されていた。；なお、著しい混雑が見られることから、8両編成化する計画も存在する。；気象条件や混雑状況によっては、小型機でもB滑走路を使うこともある。；なお、当日の混雑状況などにより、周遊するコースは異なることがある。；いずれの行為も、火事場の混雑を招き、避難の障害になるためであった。；サイトによっては人気番組の更新後の混雑が慢性化しているところもある。；ただし混雑するために人数制限があり、入場券の枚数は限られている。；時間指定は無いが、混雑状況により時間指定券が販売される事もある。；そのため、朝ラッシュ時には着席目的で始発電車を待つ乗客で混雑する。；途中避難民と西へ撤退するフランス兵で道が大混雑していた。；この時は、国道である橋上はもちろん、橋の周辺は人や車で混雑する。；あまりの混雑ぶりに船から船に飛び移っていけばテムズを渡ることができるとさえ言われた。；このためこの列車も前後 - 名古屋間で混雑することが多い。；観光シーズンともなると人・車ともに大混雑となる。；歩道との道路の拡張工事も進み、混雑時にも対応してきている。；混雑する下り列車に対応するために、あらかじめ上りで到着した時点に行われる。；そうした混雑が観光地の良さを減殺しているとも指摘されている。</t>
        </is>
      </c>
      <c r="J3124">
        <f>HYPERLINK("https://www.weblio.jp/content/混雑", "词义详情")</f>
        <v/>
      </c>
      <c r="K3124">
        <f>HYPERLINK("https://yourei.jp/混雑", "查看例句")</f>
        <v/>
      </c>
    </row>
    <row r="3125">
      <c r="A3125" t="inlineStr">
        <is>
          <t>今週</t>
        </is>
      </c>
      <c r="B3125" t="inlineStr">
        <is>
          <t>成功</t>
        </is>
      </c>
      <c r="C3125" t="inlineStr">
        <is>
          <t>読み方：こんしゅう
この週。この1週間。「—会議がある」「—号の雑誌」</t>
        </is>
      </c>
      <c r="D3125" t="inlineStr">
        <is>
          <t>今週中(4%)；今週いっぱい；今週号；今週初め；今週の推薦曲</t>
        </is>
      </c>
      <c r="G3125" t="inlineStr">
        <is>
          <t>今週のどんだんず；今週の明星；今週の調教</t>
        </is>
      </c>
      <c r="H3125" t="n">
        <v>29</v>
      </c>
      <c r="I3125" t="inlineStr">
        <is>
          <t>笹川の味のある弟ようちゃんが今週やっていたことを報告してもらう。；このあたりのヌケた味が出てくるのも、今週が豊作であった証拠である。；今週なんか四千枚のハガキを丸一日がかりで読んで目を悪くしたんだぞ。；まるで、小学校の教室の後ろの黒板に書いてある、今週の目標みたいな。；今週発行された大手週刊誌は、大なり小なり、その偉容を紹介していた。；いいニュースは君が今週に撮影されるエピソードに出演できるということだ。；番頭がドブに落ちたので、今週は何かよいことがあるのではないだろうか。；まあそうなるとあんまりなので最終回の今週は少し笑える話にしましょう。；かわいそうだけど、でも今週はなんだってうまくいかなかったんだからね。；さっき電話で石井企画部長と話したんですが、今週は相当ガタつきますよ。；たとえば、『今週の月曜日』を経験する私は、今より先の私なんでしょ?；ランキング表には今週どれくらい減点されたのかも明記されていた。；今週は一方が休みになりましたから、水、金とお見舞にゆきましょうね。；この犬が、今週のはじめからご主人をご主人と認めなくなった。；それがどうしたわけか、今週はどの女もうんともすんとも言って来なかった。；今週の二晩位はひまであってもよさそうなものであると思う。；中吊り大賞で「今週のアングル」が開始されてからは放送されていない。；彼が今週はいつもより早めにピサから来てるかもわからないからだ。；今週はクラブの練習がなくて学校じゃ会えないから、電話をしてくるんだと思う。；今週は、そういう敵を利するかたちのコピーがとても多かったのである。；それに今週から一部の者が休んで、人手が少なくなってきているときである。；警察のその後なのですが、今週は学校には来ませんでした。；やっと今週になってゴドフリー問題をとりあげられることになったわけです。；今週は雨の日が多くて不安だったが、 見事なまでに晴れたな。；今週、まるで会社に行かなかったから、どうかしたのかと心配してくれたようだった。；今週の土曜日には、千恵子とディズニーランドへ行く約束になっている。；今週中に私はこれにサインし、プリントして正式に発表することになっている。；今週は、「描写」以上に「目的」を意識しろ、 と厳しいことを言った。；今週の腹が立つ出来事などを紹介してレギュラー陣とゲストが言いたい放題言う形式をとっていた。</t>
        </is>
      </c>
      <c r="J3125">
        <f>HYPERLINK("https://www.weblio.jp/content/今週", "词义详情")</f>
        <v/>
      </c>
      <c r="K3125">
        <f>HYPERLINK("https://yourei.jp/今週", "查看例句")</f>
        <v/>
      </c>
    </row>
    <row r="3126">
      <c r="A3126" t="inlineStr">
        <is>
          <t>根性</t>
        </is>
      </c>
      <c r="B3126" t="inlineStr">
        <is>
          <t>成功</t>
        </is>
      </c>
      <c r="C3126" t="inlineStr">
        <is>
          <t>読み方：こんじょう
１その人の本来的に持っている性質。しょうね。また、あるものに特有の性質。「—の腐った奴」「島国—」「やじ馬—」
２物事をあくまでやりとおす、たくましい精神。気力。「—のある人」「見上げた—の持ち主」</t>
        </is>
      </c>
      <c r="D3126" t="inlineStr">
        <is>
          <t>根性なし；根性悪；根性無し；根性曲がり；根性曲り</t>
        </is>
      </c>
      <c r="E3126" t="inlineStr">
        <is>
          <t>たち；気；地；性；キャラクター</t>
        </is>
      </c>
      <c r="F3126" t="inlineStr">
        <is>
          <t>勝負根性；いい根性；乞食根性；商人根性；さもしい根性</t>
        </is>
      </c>
      <c r="G3126" t="inlineStr">
        <is>
          <t>根性焼き</t>
        </is>
      </c>
      <c r="H3126" t="n">
        <v>29</v>
      </c>
      <c r="I3126" t="inlineStr">
        <is>
          <t>武士にあつては武士魂なるものが、商人にあつては商人根性なのだもの。；こういう時にだけ異常な根性を見せる私を、みんな知っているのである。；こんな美味しそうな物を食べるのに 根性を使わないといけないなんて。；きみはどこまで根性がくさってるんだ、ぼくをそんな男だと思うのかい?；小さいサイズながら成長力と勝負根性に秀でた繁殖牝馬と評価している。；人や犬、それに猫とわかるようなものを轢くほど根性が座っていない。；ご隠居もあれでなかなか、若いころはいい根性をしていたものである。；根性もののスポーツ論みたいだけれど、ぼくたちは、実際に努力したのだ。；根性があり性格が一貫しており、自分の暗い部分を見せることを恐れない。；自分ですら気づかなかった根性が、ありありと露呈してくるものである。；この道楽根性の発展も道徳家に言わせると怪しからんとか言いましょう。；それから見ると、こんどの仔犬は根性もシッカリしているにちがいない。；いくら母親は仕事でいないにしても、結構いい根性をしているような気がする。；根性がわるいなんて、そうと知らずに簡単になってしまうものなのね?；私に、取材精神とか作家根性なんていうものがあったわけではない。；第一、紐の資格たるや、どこまでも自分に好色根性があってはやれない。；従来の滝行のように、寒さに耐えて根性を養うという目的では行わない。；けれども、むずかしいのは私の根性が思う通り垢抜けてくれないことだ。；今から思えば、彼女は私の根性をテストしていたのかもしれない。；あなたの熱心さというよりも、そのしんぼう強い根性には負けました。；そうすれば職人達も従来の職人根性は出さないで、精々働くものである。；それでなくても根性の悪そうな電気屋が、休日に出てくるだろうか。；一番先に逃げるかと思いきや、例の貴族はなかなか根性があった。；根性なしの私は、苦しくなると、いい加減のところで手を打ちたくなる。；しかし根性がないのではなく、執着がないだけだと伊佐間は理解している。；きみに根性があることが石頭の男たちにわかるまで、標的にされるだろう。；すべては国鉄の乗せてやる式のあの笑止な官僚根性がその元凶といえる。；だが人間と云ふ奴は、親になると、何うして其處な勝手な根性になるんだ。；プロの詐欺師になる根性を持っているのは自分だけだ、と彼は思う。</t>
        </is>
      </c>
      <c r="J3126">
        <f>HYPERLINK("https://www.weblio.jp/content/根性", "词义详情")</f>
        <v/>
      </c>
      <c r="K3126">
        <f>HYPERLINK("https://yourei.jp/根性", "查看例句")</f>
        <v/>
      </c>
    </row>
    <row r="3127">
      <c r="A3127" t="inlineStr">
        <is>
          <t>懇親会</t>
        </is>
      </c>
      <c r="B3127" t="inlineStr">
        <is>
          <t>成功</t>
        </is>
      </c>
      <c r="C3127" t="inlineStr">
        <is>
          <t>読み方：こんしんかい
参加した人々が互いに知り合い、また、親しみを深めるための会。飲食を伴うことが多い。親睦会。</t>
        </is>
      </c>
      <c r="D3127" t="inlineStr">
        <is>
          <t>懇親会等</t>
        </is>
      </c>
      <c r="H3127" t="n">
        <v>29</v>
      </c>
      <c r="I3127" t="inlineStr">
        <is>
          <t>そういえば懇親会の場で、それらしき事を聞いた記憶が達也にはあった。；軍令部側でも黒潮会員の一部を呼んで懇親会を開くなど交流があった。；その晩の懇親会の席上で、彼は憮然として酒を飲む気分になれなかった。；それでも、懇親会は出席者数三百人から四百人の、大規模なものとなる。；Pホテルの玄関脇には「テレビ俳優懇親会会場」と書かれた札が出ていた。；大会1日目が発表および懇親会、2日目が会場周辺の巡検となっている。；その晩は懇親会を兼ねて、バザーの相談会をやっていたのである。；反応が終わる時間を見計らって懇親会から抜けてきたのだろう。；運動会はそういう人たちのために一種の懇親会の役割をはたしているのである。；また、普段は親睦を深めるため旅行会や懇親会など幅広い活動をしていく。；それから、神田明神の境内で人力車夫の大懇親会を開いたのも先生だった。；「どうだ加藤、詩吟道場へ行くか」 懇親会が終った直後金川がいった。；大学関係の懇親会でよく顔をあわせていたらしい。；終了後バスに乗って三河田原駅に戻ったが、希望者は現地の懇親会に参加した。；懇親会で一回会うただけやけど、私はあの人をよーく見てました。；棚田オーナーは地区の人々と様々なことを話し合い、懇親会も行っている。；彼は懇親会が楽しみで参加しているようだった。；証書授与式のあと、場所を移して学生実習室で懇親会が開かれた。；夜に入って芝の紅葉館で懇親会が開かれたが、百五十名ばかりの来会者があった。；秋の懇親会で見かけた時と全く同じスタイルだ。；講師等の慰労を兼ねて、一同の懇親会が御殿山である筈であった。；九日には、田中派はまたも敵の本拠というべき山下村で懇親会をひらいた。；「それで頼む」 佃はいうと、懇親会の文字を筆圧の強い二重線で消した。；今から大事な会議があって、そのあとはホテルの会場で懇親会になる、と三澤は言った。；そこで己がつまり今日は課一同の懇親会を開いたのだ。；会報の発行や総会・懇親会等の開催を中心に活動している。；終了後は、周辺で参加者の懇親会が開かれている。；朝鮮人学生の懇親会を持つので出席してほしい、という趣旨の話を持ってきたのだ。；懇親会に出たのがきっかけでなんどかかれらの学習会や集りに顔を出すことになった。</t>
        </is>
      </c>
      <c r="J3127">
        <f>HYPERLINK("https://www.weblio.jp/content/懇親会", "词义详情")</f>
        <v/>
      </c>
      <c r="K3127">
        <f>HYPERLINK("https://yourei.jp/懇親会", "查看例句")</f>
        <v/>
      </c>
    </row>
    <row r="3128">
      <c r="A3128" t="inlineStr">
        <is>
          <t>コンセント</t>
        </is>
      </c>
      <c r="B3128" t="inlineStr">
        <is>
          <t>成功</t>
        </is>
      </c>
      <c r="C3128" t="inlineStr">
        <is>
          <t>読み方：こんせんと
配線から電気を取るための、プラグの差し込み口。また、その器具。俗に、プラグと混同して「コンセントを抜く」ということもある。
[補説]日本語での用法。英語では「調和・一致」の意で、日本語のコンセントに相当する語は、米国ではoutlet、英国ではsocketを使う。</t>
        </is>
      </c>
      <c r="D3128" t="inlineStr">
        <is>
          <t>コンセント付き；コンセントタイプ；コンセント完備；コンセント抜い</t>
        </is>
      </c>
      <c r="F3128" t="inlineStr">
        <is>
          <t>アクセサリーコンセント；電気コンセント；acコンセント；座席コンセント；充電用コンセント</t>
        </is>
      </c>
      <c r="G3128" t="inlineStr">
        <is>
          <t>コンセントレート；コンセントリック；コンセントプラグ</t>
        </is>
      </c>
      <c r="H3128" t="n">
        <v>29</v>
      </c>
      <c r="I3128" t="inlineStr">
        <is>
          <t>中国のコンセントはオーストラリアの標準とは上下が逆になっている。；また、座席の前後及び窓下にモバイル用コンセントが新たに設置された。；ただし全ての便がコンセント付の車両で運用されるとは限らない。；また、庄内交通便には、コンセントを搭載した車両が運用に入っている。；慌てて自分の部屋に戻って、コンセント周りを中心に捜索を開始する。；巻きつける途中で、探していたコンセントの部分も無事発見した。；名鉄バスの車両にはコンセント・トイレ・Wi-Fiが搭載されている。；それを意識してか、ジャケットにはコンセントの絵が描かれている。；その煙はじりじりと出窓の下の壁のコンセント本体へと進んでいる。；ネコが入れる程度の大きさの家のような形をしており、コンセントもついている。；異変があれば、外のコンセントを引き抜くことでビデオは止められるのだ。；またこれに給電するためのコンセントも座席に設置されている。；学校のコンセントだって、絶対に使わせてもらえるとは思えないし。；同君が夢中になっている隙に、ソケットをコンセントに差し込めばいい。；コンセントとかもないようですし、どうやって使うのでしょう?；コンセントのためのコードも天井から下りてきていた。；それだけでなく、壁にも床にも電気のコンセントなどがまったく見当たらないのだ。；僕に触る前に、布団から出ている電気コードのコンセントを抜いてください。；近年ではコンセント付きのいすゞ・ガーラがメインで使用される。；チビの目はコンセントがあったはずの場所を見つめていた。；誰かが廊下の掃除用コンセントを利用して、飯を炊いていると見えた。；加えて本機背面にあった他機器接続用コンセントも全廃されている。；そんなことを何度か繰り返した揚句、祥子はコンセントごと抜いてしまった。；屋内では、コンセントに接続されているものや水と接触しているものの使用は勧められない。；それもコードのプラグを電気のコンセントか電話線につなぐだけでいいのだ。；各座席には電源用コンセントが付いている他、ラジオ聞けるようになっている。；その部屋の電源はその部屋のコンセントで取るのが普通だ。；念のために出窓から遠く離れた壁にも触れてから、再びコンセント近くの壁に触れて比較してみる。；コンセントのプラスチックカバーの中側では、何が起こっているかは判らない。</t>
        </is>
      </c>
      <c r="J3128">
        <f>HYPERLINK("https://www.weblio.jp/content/コンセント", "词义详情")</f>
        <v/>
      </c>
      <c r="K3128">
        <f>HYPERLINK("https://yourei.jp/コンセント", "查看例句")</f>
        <v/>
      </c>
    </row>
    <row r="3129">
      <c r="A3129" t="inlineStr">
        <is>
          <t>献立</t>
        </is>
      </c>
      <c r="B3129" t="inlineStr">
        <is>
          <t>成功</t>
        </is>
      </c>
      <c r="C3129" t="inlineStr">
        <is>
          <t>読み方：こんだて
１食卓に供する料理の種類や順序。メニュー。また、その予定を立てること。
２ある事をするための計画・準備・手配。「会議の—をする」</t>
        </is>
      </c>
      <c r="D3129" t="inlineStr">
        <is>
          <t>献立表(12%)；献立作り；献立集；献立日記；献立例</t>
        </is>
      </c>
      <c r="F3129" t="inlineStr">
        <is>
          <t>同じ献立；食事献立；御献立</t>
        </is>
      </c>
      <c r="H3129" t="n">
        <v>29</v>
      </c>
      <c r="I3129" t="inlineStr">
        <is>
          <t>自殺しようとしていたら、向こう一週間分の献立表など作らないという。；不遜ながら、今日は尊敬する先生の一人宴会の献立を真似してみました。；ジャケットのデザインはこの献立を描いたイラストで構成されている。；六時に給仕が夕食を運んできて、タイプでうった献立表をもって帰った。；まったく同じものとはいかないけれど、すくなくとも献立はいっしょよ。；で、このときの安土での大饗宴の献立というのが記録に残っているんだ。；夕食の献立を決めるんですけど、志貴さん食べたいものがありますか?；その三種の料理はすべて高価なもので、献立表のいちばん下を占めていた。；献立はすべて決められており、その材料だけが薄暗い台所に積まれていた。；そのため春子は毎日、日々の食事の時間と献立が頭から離れずにいた。；これは後宮教育の一環であり、良き宮女を作るための献立でもあった。；献立表を作っていたとしても自殺することはあるのではないか。；山本長官の食事の献立は、柱島からトラックに移っても変わらなかった。；献立には中国料理特有の薬膳思想が組み込まれていると考えられている。；新たな同行者を歓迎するために、普段よりはかなり豪華な献立だった。；そうでなければ、どうしてラベルや晩餐の献立表が手に入れられるだろう。；ニューヨークの寄宿舎では豌豆がちの献立であったから腹がすいて困った。；献立表は一〇日で一巡とし、例えば日曜日は次のようになっている。；それにしてもどういう風に三十六品の献立をしましょうか、それがなかなか大変です。；子供がそろそろ学校から帰り、母親が夕食の献立を考えはじめる。；料理も評判ほどでなく、第一材料も乏しいとみえて、献立が貧弱であつた。；百万ヒットを超える訪問者のあった、献立についてのサイトもある。；せめて一週間ぐらいの献立は、料理名だけでも考えておきたいものです。；かれは、生のトマトを使った献立を一つか二つプログラムしたいと考えていたのだ。；まるで夕食の献立を考えるのと同じぐらい気軽に、ただ、考えただけなのだ。；しかし、ムウレスは、その献立や音楽にはたいして興味を示さなかった。；だから幹さんは毎日の献立を記録しておいて、似た物を出さないように神経を使った。；警察がその日の給食の献立を調べに来たことも知っていた。；摂取する食品の量や種類が徐々に増え、献立や調理の形態も変化していく。</t>
        </is>
      </c>
      <c r="J3129">
        <f>HYPERLINK("https://www.weblio.jp/content/献立", "词义详情")</f>
        <v/>
      </c>
      <c r="K3129">
        <f>HYPERLINK("https://yourei.jp/献立", "查看例句")</f>
        <v/>
      </c>
    </row>
    <row r="3130">
      <c r="A3130" t="inlineStr">
        <is>
          <t>昆虫</t>
        </is>
      </c>
      <c r="B3130" t="inlineStr">
        <is>
          <t>成功</t>
        </is>
      </c>
      <c r="C3130" t="inlineStr">
        <is>
          <t>読み方：こんちゅう
昆虫綱に分類される節足動物の総称。体は頭・胸・腹の3部分に区別でき、頭部には一対の触角と複眼、ふつう3個の単眼をもつ。口はかむ・なめる・吸うなどの型がある。胸部には三対の脚がある。二対の翅(はね)がある有翅(ゆうし)昆虫、翅のない無翅昆虫に大別される。成虫になるまでに脱皮と変態を行う。チョウ・トンボ・バッタ・アリ・甲虫など、種類は全動物中最も多い。六脚虫。虫。</t>
        </is>
      </c>
      <c r="D3130" t="inlineStr">
        <is>
          <t>昆虫屋(3%)；昆虫たち；昆虫型；昆虫学会；昆虫等</t>
        </is>
      </c>
      <c r="E3130" t="inlineStr">
        <is>
          <t>虫；虫けら；虫螻</t>
        </is>
      </c>
      <c r="F3130" t="inlineStr">
        <is>
          <t>分類される昆虫；小昆虫；巨大な昆虫；水棲昆虫；性昆虫</t>
        </is>
      </c>
      <c r="G3130" t="inlineStr">
        <is>
          <t>昆虫学者；昆虫採集；昆虫学；昆虫綱；昆虫館</t>
        </is>
      </c>
      <c r="H3130" t="n">
        <v>29</v>
      </c>
      <c r="I3130" t="inlineStr">
        <is>
          <t>昆虫の中で最初に翅を獲得したグループの一つであると考えられている。；これらの昆虫は攻撃を受けた際にこれを強調する行動を取る例が多い。；昆虫では分類群毎のバランスが崩れているのが大きな特徴となっている。；その一方で、先に挙げたとおり昆虫などの食害を受けやすい傾向がある。；脚の形状は、昆虫よりも鳥に近い形状をしており、卵の形状も同様である。；孵化直後の雛には昆虫を与えるが、ある程度成長すると植物質も与える。；現在は昆虫の動きを研究し、それを真似て虫型ロボットを研究する。；胃の内容物から主に昆虫を食べ、甲殻類も食べていたと考えられている。；この類は昆虫の中でも原始的なグループで、3億年前から存在している。；この遺伝子は進化的に保存されており、昆虫や軟体動物にも存在している。；主に花や昆虫などの小さなものを接近して撮るときに利用される。；下に述べるよう多くの型があるが、ほとんどすべてが昆虫に見られる。；ドイツでは動物園に水族展示施設や昆虫展示施設を併設していることも多い。；また、小型の昆虫や動きの少ない昆虫は野外では目につかないことが多い。；たとえば昆虫がそうで、幼虫の形で生殖を行う例がいくつか知られている。；ノコギリ状の歯を持ち、小動物や昆虫等を捕食していたと考えられる。；花を訪れる昆虫は花序の下から上へ向かって移動する傾向にある。；RNA分子は植物の維管束系へ吸収され、その植物を食べる昆虫を殺す。；この話の舞台である暗黒惑星では二つの昆虫の種族が居住している。；特に昆虫全体に至っては、100 万種以上が生息していると推測されている。；詩人としても知られ、動物や昆虫をテーマにした詩を数多く作った。；昆虫に含まれる目は、それぞれ独特の特徴をもった翅を持っている。；現在は、昆虫の糞が土器と誤認されたものであることが判明している。；朝が明ける頃にも多いため、昆虫の飛来の少ない夜中を仮眠に利用する。；この中から植物ではなく他の昆虫の身体に卵を産みつける寄生バチが進化した。；昆虫を誘引する方法としては、このほかにも以下のようなものがある。；なおハインラインは同書の中で、昆虫の社会を共産主義にたとえている。；ハンターのイメージが独り歩きしている彼らだが、昆虫の死骸も食べる。；昆虫は多様な節足動物の中でも、特に陸上で進化したグループである。</t>
        </is>
      </c>
      <c r="J3130">
        <f>HYPERLINK("https://www.weblio.jp/content/昆虫", "词义详情")</f>
        <v/>
      </c>
      <c r="K3130">
        <f>HYPERLINK("https://yourei.jp/昆虫", "查看例句")</f>
        <v/>
      </c>
    </row>
    <row r="3131">
      <c r="A3131" t="inlineStr">
        <is>
          <t>根底</t>
        </is>
      </c>
      <c r="B3131" t="inlineStr">
        <is>
          <t>成功</t>
        </is>
      </c>
      <c r="C3131" t="inlineStr">
        <is>
          <t>読み方：こんてい
物事や考え方のおおもととなるところ。根本。「作品の—に流れる思想」「常識を—からくつがえす出来事」</t>
        </is>
      </c>
      <c r="D3131" t="inlineStr">
        <is>
          <t>根底的(2%)；根底にある考え方；根底にあるメカニズム；根底にある信念</t>
        </is>
      </c>
      <c r="E3131" t="inlineStr">
        <is>
          <t>本；元；基本；拠点；ベース</t>
        </is>
      </c>
      <c r="F3131" t="inlineStr">
        <is>
          <t>深い根底</t>
        </is>
      </c>
      <c r="H3131" t="n">
        <v>29</v>
      </c>
      <c r="I3131" t="inlineStr">
        <is>
          <t>その中で彼はアフリカの争奪が第一次世界大戦の根底にあると主張した。；茂の懐疑は光のそれに比べられない程に根底が出来て居るらしいのです。；また、その根底となる電気・電子技術を理解していることが要求される。；それは人間性の解放への叫びを根底に蔵していたことはむろんである。；シュタイナー教育の根底にあり、目的でもあるのが精神への教育である。；だが、愛する人の顔は、人の性格を根底から新しいものにする力がある。；自身の立場が上であること利用したパワーハラスメントが根底にある。；この地で発達した根底には一定の期間で発生するナイル川の洪水があった。；医学の技術のためだけでも、この問題を根底までつきとめねばならない!；彼につきまとうわけのわからない矛盾の根底には、この宗教があったのだ。；そして事件の本質も、改めて根底から考え直さねばならぬようであった。；最も根底的なこれらの人間関係の腐敗の原因は何処にあるのであろう。；アボットはこの地域での精神衛生の問題がこの事件の根底にあると語った。；幻想的だが、根底には現実から取材したものがテーマになっていた。。；信頼するものにあざむかれたくやしさが、殺意の根底にあったのである。；捜査の根底を確立する意味で、これが唯一の望みだったのである。；後天性多毛症の治療は根底にある原因を特定する試みに基づいて行われる。；こうした工業力の根底の違いがしだいに戦況を左右することとなった。；生物が生きるということの根底もこの現状維持が許されないところにある。；この男と自分の考え方は、根底からずれているのだ、と思ったからだ。；根底には理由を持ちながら形式のうちに不正を有したからである。；日本魂をいかに活かせて使うかは学問の根底があってできることと存じます。；後の女性解放運動の根底にあるのは、こうした最も弱い者への共感である。；ところで、すでに見たごとく雲浜こそ、圧力の最も根底的な組織者だった。；ミュールは二人の異なった古代の起草者の存在を根底に置いている。；結婚にはもっと堅固で変わることのない根底がなければならない。；この意識の強さが種族の知性であり、一切の文化の根底をなすものだと思う。；そこには他者の労働の一部を私有化するという行為がその根底にある。；社会的比較の根底ある動機や社会的比較の特殊なタイプを理解するための鍵となる発展がなされた。</t>
        </is>
      </c>
      <c r="J3131">
        <f>HYPERLINK("https://www.weblio.jp/content/根底", "词义详情")</f>
        <v/>
      </c>
      <c r="K3131">
        <f>HYPERLINK("https://yourei.jp/根底", "查看例句")</f>
        <v/>
      </c>
    </row>
    <row r="3132">
      <c r="A3132" t="inlineStr">
        <is>
          <t>今度</t>
        </is>
      </c>
      <c r="B3132" t="inlineStr">
        <is>
          <t>成功</t>
        </is>
      </c>
      <c r="C3132" t="inlineStr">
        <is>
          <t>読み方：こんど
１何回か行われる事柄の中で、いま行われていること。また行われたばかりであること。このたび。今回。「—の話は気乗りがしない」「—という—は懲りた」
２最も近い将来。この次。次回。「—の休みに山へ行く」
３最近。このごろ。「—九州に転勤しました」
[用法]今度・今回——「今度（今回）海外出張を命じられました」のように相通じて用いられる。◇「今度」は現在のことだけでなく、近い過去と近い未来についても用いる。「今度入社したA君です」「今度そちらに伺います」「今度会うときには」など。◇「今回」は未来について使うことはない。「今回の転勤は仙台に決まりました」は、転勤するのは近い未来でも、「今回」はそれが決まった時点を示している。◇類似の語に「このたび」がある。「このたび」は「今度」のやや改まった丁寧な言い方として多く使われる。「このたびは大変お世話になりました」「このたび転勤を命じられました」</t>
        </is>
      </c>
      <c r="D3132" t="inlineStr">
        <is>
          <t>今度会う；今度はじめて；今度はかれ；今度ぜひ；今度はほん</t>
        </is>
      </c>
      <c r="F3132" t="inlineStr">
        <is>
          <t>さあ今度；今度こそはっきり；代り今度；今度会うとき；今度会う時</t>
        </is>
      </c>
      <c r="G3132" t="inlineStr">
        <is>
          <t>今度は愛妻家</t>
        </is>
      </c>
      <c r="H3132" t="n">
        <v>29</v>
      </c>
      <c r="I3132" t="inlineStr">
        <is>
          <t>今度はフジを気絶させた後、謎の銃を使って基地の機器を破壊していく。；さらに5日にも同様の事件があり、今度は4人の犯人が目撃されている。；ところが、今度は燕と三条のどちらを先にするかで新たな議論が生じた。；今度はロシア人が市内を脱出、彼らの移住先は主にバルト三国であった。；だが、今度は河川事業の責任主体が一体誰なのか混乱する現象が起こり始めた。；翌日、今度は自分の父を見るために一人で映画館へ脚を運んだ。；が負のときは を今度は逆方向に伸び縮みさせることで同様に定める。；いつも彼の写真を作戦室に掲げて、今度はどういう手に出るか。；タウンゼントはこのツアーが今度こそ最後になることを示唆した。；すると今度は捜査妨害の為にCTUに神経ガスを散布される事件が発生。；そして今度は楽しい旅をするため、再び東南アジアを旅して回った。；今度は、引数に関数をとりそれに 3 を適用する関数を考えてみよう。；今度はジョージを王国守護兼総督に任命せず、摂政委員会を成立させた。；しかし2020年には今度は太陽帆を用いた小型探査機が計画されている。；これに気を良くした父親は家族を説得し、今度こそ正式に門下生にしたのだという。；今度は現在まで続く等身大以上の大きさのフルカラー優勝額である。；今度の試験は今までのうちで最高の出来であった。；すると旅人は暑さに耐え切れず、今度は自分から外套を脱いでしまった。；なお県道を東へ進むと今度は500メートルほどで大草の集落に入る。；それならばと今度は何日も食事を与えなかったが、逆に生き生きとしていくのである。；しかし今度はテレビ局内部から批判が出て、それからは進まなかった。；そして平和が訪れると、今度は自らディアナに入れ替わりを提案した。；しかし、実際に解散がなされると今度は「身勝手な解散」と批判した。；別の場所で再挑戦すると今度は見事に蹴破ることができた。；アメリカは今度はもう一つの占領された島、キスカに狙いを定めた。；主人公たちがアシュラを倒した後、今度はシルクハットの男が現れる。；源田は任務達成上のことで頭がいっぱいで今度こそ生きて帰ることはないだろうと覚悟したという。；出場機会を模索して、今度はオーストラリアのシドニーFCに移籍した。；しかし、人生は今度はその状態をさまざまな形で修正する。</t>
        </is>
      </c>
      <c r="J3132">
        <f>HYPERLINK("https://www.weblio.jp/content/今度", "词义详情")</f>
        <v/>
      </c>
      <c r="K3132">
        <f>HYPERLINK("https://yourei.jp/今度", "查看例句")</f>
        <v/>
      </c>
    </row>
    <row r="3133">
      <c r="A3133" t="inlineStr">
        <is>
          <t>混同</t>
        </is>
      </c>
      <c r="B3133" t="inlineStr">
        <is>
          <t>成功</t>
        </is>
      </c>
      <c r="C3133" t="inlineStr">
        <is>
          <t>読み方：こんどう
［名］(スル)
１区別しなければならないものを同一のものとして扱うこと。「公私を—する」
２まじり合って一つになること。
「体面を全うして改革家の党に—せんと欲する者もあり」〈福沢・文明論之概略〉
３相対立する二つの法律的地位が同一人に帰すること。債権と債務とが同一人に帰したときなど、物権・債権の消滅の原因となる。</t>
        </is>
      </c>
      <c r="D3133" t="inlineStr">
        <is>
          <t>混同される(20%)；混同する(7%)；混同されやすい(3%)；混同されがち(2%)；混同しやすい</t>
        </is>
      </c>
      <c r="E3133" t="inlineStr">
        <is>
          <t>混乱；合併；結合；合成；合同</t>
        </is>
      </c>
      <c r="F3133" t="inlineStr">
        <is>
          <t>公私混同；混同視；混同しがち；混同する可能性；混同する恐れ</t>
        </is>
      </c>
      <c r="G3133" t="inlineStr">
        <is>
          <t>混同江</t>
        </is>
      </c>
      <c r="H3133" t="n">
        <v>29</v>
      </c>
      <c r="I3133" t="inlineStr">
        <is>
          <t>ただし、これは上記の性格と気質の概念のが混同している可能性がある。；これは、世間では両者が統合していると混同される事態を引き起こした。；他の派閥との類似や混同・混乱を避ける為にポル・ポト派とも呼ばれる。；また、整形外科学と混同されがちであるが全く分野の異なるものである。；新聞やメディアでは民社党と混同しないよう社党と記される場合もある。；ここでは混同を防ぐために一般的な呼称である『SIMカード』とする。；またウィットとの境界線も明確ではなく、両者が混同されることもある。；これは、日本の東京湾と混同されるおそれがあるためだといわれる。；そのためかすぐ北側で平行する忠岡町道の中央線と混同されることも多い。；それらの間の混同の最大の原因は、それらの基本的前提に由来する。；この両者は共にごく普通のクモであり、両者が混同されることが多い。；しかし、日本語では l と r を区別できないので混同されやすい。；ヒメジョオンとハルジオンは、花がよく似ていて混同されることがある。；しかしそのあと半世紀に渡って他のコクシジウム類と混同されてきた。；しかしながら、本来の意味から離れて両者が混同されることも多い。；しかし一般にはこの違いは意識されず混同されることが多い。；しかし混同が極めて多く、現名称への変更の原因の一つになった。；混同されることがあるが、変調レートであるボーとは異なる単位である。；これによる混同を避けるために本来の桜を地桜と呼ぶこともある。；練炭火鉢は形状が類似している事から、七輪と混同される場合も多い。；両者はよく似た用語なので混同しないように注意されたい。；総合学科・総合制高等学校・総合選択制は誤って混同されることが多い。；なお、一般的に食用とする混同しやすいソバとは異なる種と判明している。；最後の一文字が小文字になっているのもスキーと混同されるのを防ぐため。；この場合の名称は中華人民共和国と混同される可能性がある。；これらの音楽とレコード店のジャンルの分類の際に、混同されることも多い。；後述のように彼等はローマ詩人によってしばしばファウヌスと混同された。；と国際音声記号の またはギリシャ文字の と はしばしば混同される。；やはり早くから破戒僧と信じられていた道鏡と混同された形跡もみられる。</t>
        </is>
      </c>
      <c r="J3133">
        <f>HYPERLINK("https://www.weblio.jp/content/混同", "词义详情")</f>
        <v/>
      </c>
      <c r="K3133">
        <f>HYPERLINK("https://yourei.jp/混同", "查看例句")</f>
        <v/>
      </c>
    </row>
    <row r="3134">
      <c r="A3134" t="inlineStr">
        <is>
          <t>こんな</t>
        </is>
      </c>
      <c r="B3134" t="inlineStr">
        <is>
          <t>成功</t>
        </is>
      </c>
      <c r="C3134" t="inlineStr">
        <is>
          <t>［形動］
１話し手、または、そのそばにいる人が当面している事態や、現に置かれている状況がこのようであるさま。このような。「世の中に—ひどい事があっていいのか」「—に親切にしてもらったのは初めてだ」「—仕事はもうごめんだ」
２話し手のそばにある、または、手に持っている物のようすがこのようであるさま。このような。「—形の服がほしい」「—におもしろい本は読んだことがない」
[補説]連体形に「こんな」「こんなな」の二形がある。連体形として一般には「こんな」の形が用いられるが、接続助詞「ので」「のに」などに続くときは「こんなな」の形が用いられる。「交通事情がこんななのに、よく来られたものだ」</t>
        </is>
      </c>
      <c r="D3134" t="inlineStr">
        <is>
          <t>こんなこと(16%)；こんなところ(5%)；こんなふう(4%)；こんなもの(3%)；こんな風(2%)</t>
        </is>
      </c>
      <c r="E3134" t="inlineStr">
        <is>
          <t>このような；かような；こげな；こないな</t>
        </is>
      </c>
      <c r="F3134" t="inlineStr">
        <is>
          <t>なぜこんな；こんな場所；こんな状態；なんでこんな；こんな感じ</t>
        </is>
      </c>
      <c r="G3134" t="inlineStr">
        <is>
          <t>こんなにも；こんなふうに；こんな晩；こんなこともあろうかと；こんなん</t>
        </is>
      </c>
      <c r="H3134" t="n">
        <v>29</v>
      </c>
      <c r="I3134" t="inlineStr">
        <is>
          <t>自分が退社しなければこんなことにはならなかったと責任を感じている。；こんな時だからこそ沢山の愛をもらっている事を思い出してもらいたい。；こんな大舞台に何の実績もない若者を出す監督の考えが誰も理解できない。；その醜い姿を見た父王は、こんな者は自分の娘ではないといってしまう。；特に星の存在は大きく、世の中にこんなおかしな人がいるのかと思った。；こんな夜に峠越えは危険だと思って外を見ると、人影はまったく見えない。；こんな簡単な事が分からない打者が今の野球には多過ぎるんじゃないかな。；こんな裁判が行われたので、息子には軍人になることを禁止するつもりだ。；構成といい、絵といい、とても質の高いもので、こんなの見たこと無い。；こんなことは自然の能力であって、稽古を積んで得られることではない。；何故あなたがこんなもったいぶった女の役をくれるのか分からないわ。；こんなニュース速報の後に試合に戻るなんてことはとてもできません。；審査員で出られるとは思っていましたが、まさかこんな話になるとは。；誰の命令でこんなことをしているのか尋ねるがフロイドは教えてくれない。；こんな時代があって日本の絵も少しはよくなるかもしれません。；こんなことでは本人も師匠も自覚が足りないと言われても仕方がない。；こんな相手のご機嫌取りをしてるのなんか真の友人関係って言えない!；こんな本を読んでいると聞いたことは一度もなかったからだ。；こんなタイプの主人公を想像することは、もうだれにもできやしない。；隠しカメラの隣の客は、こんな滑稽なことは見たことがないと爆笑する。；メディアは言外にこんなメッセージを伝えているように思うのです。；正直言って、これまでこんな歴史のあるチームでプレーしたことなんてないよ。；こんな小さい体で大きな悲しみを背負っていたんだなと・・・・。；正董は快くこんな仕事をし、機会があれば書物を読んで勉強していた。；向い合っているうちに無料でコンナ物を見ちゃ済まないような気がして来た。；だとしたら、今頃になって何のためにこんなメールを送ってくるのか?；なにより一般の人ではとてもこんな組織的な広がりを持ちえない。；こんな我々のための本願であると知らされるとますます頼もしく思える。；男はこんな場所で誰にも知られず死んでしまうのかと途方に暮れる。</t>
        </is>
      </c>
      <c r="J3134">
        <f>HYPERLINK("https://www.weblio.jp/content/こんな", "词义详情")</f>
        <v/>
      </c>
      <c r="K3134">
        <f>HYPERLINK("https://yourei.jp/こんな", "查看例句")</f>
        <v/>
      </c>
    </row>
    <row r="3135">
      <c r="A3135" t="inlineStr">
        <is>
          <t>こんなに</t>
        </is>
      </c>
      <c r="B3135" t="inlineStr">
        <is>
          <t>成功</t>
        </is>
      </c>
      <c r="D3135" t="inlineStr">
        <is>
          <t>こんなに早く(3%)；こんなに長く；こんなに長い；こんなに遅く；こんなに美しい</t>
        </is>
      </c>
      <c r="E3135" t="inlineStr">
        <is>
          <t>これだけ；これほど</t>
        </is>
      </c>
      <c r="F3135" t="inlineStr">
        <is>
          <t>なぜこんなに；なんでこんなに；こんなにうまく；こんなに美しく；こんなに楽しい</t>
        </is>
      </c>
      <c r="G3135" t="inlineStr">
        <is>
          <t>こんなにそばに居るのに</t>
        </is>
      </c>
      <c r="H3135" t="n">
        <v>29</v>
      </c>
      <c r="I3135" t="inlineStr">
        <is>
          <t>それにこんなに泥はついていませんでしたけれども、色はこれ位でした。；あなただけね、こんなになってしまったわたしのそばにいてくれるのは。；私は彼の顔がこんなに明るく晴れわたっているのを見たことがなかった。；わたしは今まで何事に限らずこんなに我慢して待ったことはなかった。；誰がこんなに自分を生涯一度も覚えたことのない卑怯な気持にさすのか。；本人は「まさかこんなに長く使うとは思っていなかった」と述べている。；それがために自分は、こんなに苦しまなければならぬのだと思いました。；こんなにして私は、バクダッドへ帰って来ることができたのであります。；太郎はかつてこんなに手際よく輪をまわす少年を見たことがありません。；こんなにまで、兄が自分のことを思っていてくれたとは知らなかった。；いったいこの島にはえている草や木はどうしてこんなに醜いのでしょう。；この情報を利用する機会がこんなに早く来るとは、全く思いもしなかった。；この母がこんなに憎まれていると知ったら娘たちは何と思うだろうか。；良くしていただき過ぎですよ、どうしてこんなにしてくださるのですか?；彼はこんなにさびしくおそろしい思いをしたのは生れてはじめてだった。；なんでこんなにやりたいと思う相手が目の前からいなくなるんだよ!?；おそらくこの部屋の礼節がこんなに乱れたことはいままでなかったろう。；けふは上天気ぢやから、こんなに大きな幸福がおつこつてゐるぢやらう。；こんなに早く押し掛けるとお姉さんの方の都合が悪いかもしれませんな。；ふたりの気持がこんなにピッタリ一つになったことは一度もなかった。；いったい誰がこんなに早くこのあやしい手紙を持って来たのであろう。；こんなに大きく見える望遠鏡を持っているのはこの中央天文台だけです。；こんなに立派な本が出来たのですから、私の序文など必要がない訣です。；僕はPWであり、こんなに大事にして貰う理由はすこしもないのである。；左のあなへはいったとすれば、こんなに足音が聞こえるはずはないんだ。；気がへんになっていては、こんなに見事に仕事の註文をつけられませんよ。；鉄でできた人形に、どうして、こんなにうまく将棋がさせるのでしょう。；何故あなたは不幸な人達をこんなに集めて、ここに監禁して置くのです?；猫の面倒を診ることがこんなに大変だとは彼女にしてみれば予想外だった。</t>
        </is>
      </c>
      <c r="J3135">
        <f>HYPERLINK("https://www.weblio.jp/content/こんなに", "词义详情")</f>
        <v/>
      </c>
      <c r="K3135">
        <f>HYPERLINK("https://yourei.jp/こんなに", "查看例句")</f>
        <v/>
      </c>
    </row>
    <row r="3136">
      <c r="A3136" t="inlineStr">
        <is>
          <t>困難</t>
        </is>
      </c>
      <c r="B3136" t="inlineStr">
        <is>
          <t>成功</t>
        </is>
      </c>
      <c r="C3136" t="inlineStr">
        <is>
          <t>読み方：こんなん
［名・形動］(スル)
１物事をするのが非常にむずかしいこと。また、そのさま。難儀。「—に立ち向かう」「予期しない—な問題にぶつかる」
２苦しみ悩むこと。苦労すること。
「道の上はぬかるみで—した」〈滝井・無限抱擁〉</t>
        </is>
      </c>
      <c r="D3136" t="inlineStr">
        <is>
          <t>困難である(14%)；困難であり(3%)；困難な状況；困難な場合；困難な問題</t>
        </is>
      </c>
      <c r="E3136" t="inlineStr">
        <is>
          <t>問題；心配；複雑；大変；難しい</t>
        </is>
      </c>
      <c r="F3136" t="inlineStr">
        <is>
          <t>歩行困難；大きな困難；著しく困難；どんな困難；困難な狭隘道路</t>
        </is>
      </c>
      <c r="H3136" t="n">
        <v>29</v>
      </c>
      <c r="I3136" t="inlineStr">
        <is>
          <t>そのため、旧来からの名称の使用範囲を特定するのは困難になっている。；現在でも双方の攻撃が完全に収まったわけではなく、困難が予想される。；この段階になればもはや事態を収拾しようとすることは極めて困難となる。；これもかつて化学的分離や抽出が困難であった時代の名称の名残である。；大学や高校の山岳部が、より困難なルートの制覇を目指して山を登った。；他にも、異なる路線の鉄道車両の乗り入れが困難である場合が存在する。；しかし実際の作業では軸力を直接監視することは困難である。；また、自国の在外機関や軍の救難部隊の援助を求めることは困難である。；また、実際の記事ではこれらの適用が困難な場合も想定されます。；特に相入玉になった場合は、勝敗の決着をつけること自体が困難になる。；そのような場合には、大統領が望む政策を円滑に実行することは困難となる。；生命を定義することが難しいのと同様に、死を定義することも困難な問題である。；これもまた制度研究を困難にさせている要因の一つである。；化学兵器は視認困難なものが多いので、各種の検知器が研究されている。；元々狭い場所に建設された経緯があり、バリアフリー化は困難な状況だった。；火を利用するにあたって、もっとも困難なのは、火種を作ることである。；技術開発に困難が考えられたために、3段階の開発を行うこととした。；がんの研究は研究者たちにとって多くの困難と挫折に満ちたものであった。；しかし、本格的な経営は困難な状態で、西域都護を派遣できずにいた。；現時点ではこの時代がどのようなものになるかを決定することは極めて困難である。；ただし、どの段階で実用でなくなったのか明確な境界線を引くのは困難である。；見かけの大きさが小さいため、視覚的に研究することは困難である。；遺伝現象は古くから知られていたが、その理論付けは困難であった。；潜水艦発射弾道ミサイルは偵察衛星からその姿を発見するのは困難になる。；酒が入手できた地域でも、ラマダーン期間は入手が困難になることがよくある。；色覚の違いが表面化するのは、複数の色の区別に困難が生じるなどの場合である。；発明が成功するかどうかはリスクがあり、支援や出資を得るには困難を伴う。；水星は太陽に接近しているため、観測するのは非常に困難である。；時代区分の開始年・終了年を設定するのには常に困難が伴う。</t>
        </is>
      </c>
      <c r="J3136">
        <f>HYPERLINK("https://www.weblio.jp/content/困難", "词义详情")</f>
        <v/>
      </c>
      <c r="K3136">
        <f>HYPERLINK("https://yourei.jp/困難", "查看例句")</f>
        <v/>
      </c>
    </row>
    <row r="3137">
      <c r="A3137" t="inlineStr">
        <is>
          <t>今日</t>
        </is>
      </c>
      <c r="B3137" t="inlineStr">
        <is>
          <t>成功</t>
        </is>
      </c>
      <c r="C3137" t="inlineStr">
        <is>
          <t>読み方：きょう
１今過ごしている、この日。本日。こんにち。「選挙は—行われる」
２その日と同じ日付や曜日の日。「来年の—会いましょう」</t>
        </is>
      </c>
      <c r="D3137" t="inlineStr">
        <is>
          <t>今日限り；今日明日；今日あたり；今日はじめて；今日我々</t>
        </is>
      </c>
      <c r="E3137" t="inlineStr">
        <is>
          <t>現在；今；現代；近年；最近</t>
        </is>
      </c>
      <c r="F3137" t="inlineStr">
        <is>
          <t>今日午後；今日でもまだ；今日ハ；きのう今日；今日顧みられる</t>
        </is>
      </c>
      <c r="G3137" t="inlineStr">
        <is>
          <t>今日この頃；今日だけは；今日の出来事；今日も一日；今日出海</t>
        </is>
      </c>
      <c r="H3137" t="n">
        <v>29</v>
      </c>
      <c r="I3137" t="inlineStr">
        <is>
          <t>アメリカ合衆国のポピュラー音楽が今日に至るまで与えた影響は大きい。；この標本が今日知られている全てのユーカリ属の種の基準となっている。；今日ではあまり行われていないスタイルも、過去には数多く存在していた。；これは今日の日本で一般にイメージされる家系図とは異なるものであった。；今日の科学では合理的に説明できない超自然な能力を指すための名称。；トルコの南東にある今日のディヤルバクルの東側および南側に相当する。；こちらが今日も使われているポルトランドセメントと同じものである。；その結果起こった様々な出来事は今日までも論争の的になっている。；今日にも残る結婚式などでの忌み言葉も言霊の思想に基づくものである。；その後も研究が進み、今日では非常に様々な種類のダイオードが存在する。；今日の英国王位継承権を保持する人物は、全員がゾフィーの子孫である。；今日考えられている各『阿含経』の所持部派を示すと以下のようになる。；今日でも高年齢層のなかにはペンシルベニアドイツ語を話す人々が多い。；今日、ライプツィヒ市での戦闘のコースはモニュメントで示されている。；今日では反応の種類に応じて多くの種類の触媒が開発されている。；今日でも、速度を必要としない機器はこのモードのみをサポートする。；今日ではシミュレーションといえば後者のことをさす場合が圧倒的に多い。；今日に続く日本人の生活様式もこの時代にルーツが求められるものが多い。；これらのほとんどは、今日ではまったく効果がないことが明らかになっている。；今日、技術革新の成果を取り入れた蒸気自動車が再び開発されつつある。；瀬戸内海は縄文時代から今日に至るまで、多様な漁業の場となってきた。；今日の人口の大部分はあの当時子どもだったか、まだ生まれてもいませんでした。；その際に沈降によって形成された大陸棚は今日でも海面下に残っている。；日本民俗学の開拓者であり、多数の著作は今日まで重版され続けている。；これは今日でも映画館を劇場と呼称したりすることからも窺える。；その後フグ食の文化は山口県を中心に全国でも復活し、今日に至っている。；今日見られる自転車である安全型自転車が作られたのは1885年である。；だが、ラテン語が今日の欧州で重視されているとまでいうことはできない。；最初の新聞は1873年に発行され、今日では何百もの印刷所がある。</t>
        </is>
      </c>
      <c r="J3137">
        <f>HYPERLINK("https://www.weblio.jp/content/今日", "词义详情")</f>
        <v/>
      </c>
      <c r="K3137">
        <f>HYPERLINK("https://yourei.jp/今日", "查看例句")</f>
        <v/>
      </c>
    </row>
    <row r="3138">
      <c r="A3138" t="inlineStr">
        <is>
          <t>コンパス</t>
        </is>
      </c>
      <c r="B3138" t="inlineStr">
        <is>
          <t>成功</t>
        </is>
      </c>
      <c r="C3138" t="inlineStr">
        <is>
          <t>読み方：こんぱす
１製図用具の一。主に円を描くためのもので、適当な角度に開閉できる2本の脚からなる。ぶんまわし。円規。
２船などで、方位を測定する計器。磁気コンパスとジャイロコンパスがある。羅針盤。羅針儀。
３人の両足の開き。歩幅。両足の長さ。「—が長い」</t>
        </is>
      </c>
      <c r="D3138" t="inlineStr">
        <is>
          <t>コンパス甲板；コンパス航空</t>
        </is>
      </c>
      <c r="F3138" t="inlineStr">
        <is>
          <t>用コンパス；bbvaコンパス；大きなコンパス；デジタルコンパス；太陽コンパス</t>
        </is>
      </c>
      <c r="G3138" t="inlineStr">
        <is>
          <t>コンパス座；コンパス・グループ；コンパス・ポイント・スタジオ；コンパスカード；コンパスと定規による作図</t>
        </is>
      </c>
      <c r="H3138" t="n">
        <v>29</v>
      </c>
      <c r="I3138" t="inlineStr">
        <is>
          <t>主なターゲットとは逆方向に自機が向いているとコンパスが表示される。；該当のボタンを押すとラジオコンパスの針が輝いて、自分の基地を指す。；ただあのいまいましいコンパスのことだけがまだ胸にひっかかっていた。；岩のところにつくと、叔父はコンパスをとって、水平に置き、針を見た。；コンパスで描いた以上、この図形は線の幅の範囲内では、完全な円である。；あること、つまりコンパスのことが、説明のつかないままになっていたのだ。；きちんと北が上向きになっているが、コンパスがなければ意味がない。；ただしそれは一方の端にコンパスがついたものだったという。；シートンがぼくに対物コンパスを一つセットしていることは間違いがない。；町の地図もコンパスもどうせ使わないだろうとは思っていたが、気分を出すためだ。；私はヨルチにコンパスは絶対に信頼すべき器具であることを説明してやった。；これは立方体倍積問題がコンパスと定規で解けないことに関係している。；甲板や帆があるわけでもなく、マストやコンパスがあるわけでもなかった。；かれらの顔を見ていると、ここにもコンパスが必要な人間がいるなと思えてくるわけだ。；コンパスをつい眠さのために見るのを忘れていたのはこの一時間くらいのことであった。；少なくとも、メンバーの中で地図とコンパスを持っている者は誰ひとりいなかった。；コンパスの使い方を練習したり、気象学を一通り身につけたりしましょう。；コンパスの針は、いまは遠い車をじっとさしているだけである。；定規とコンパス以外の道具を用いて任意の角の三等分を行うことは可能である。；小さな窓から外の様子をうかがい、コンパスと海図をもう1度確認する。；僕はコンパスを持っていた右手をだらんと下におろし、窓の外に目をやった。；残された女は、地図とコンパスで海から最も遠い町を探した。；地球に焦点が合わせてあった対物コンパスのうちの一台もやられてしまっている。；団地の自宅がコンパスの脚の一本になり、その円から出られない。；そのために、新城はコンパスの必要がないほど進路を保つのが楽であった。；またコンパス・メディア・ネットワークでNFLのラジオ解説者も務めた。；叔父はしじゅうコンパスを入念に見ては、通ってきた道をたしかめていた。；マアマア世の中は酒と女だ、女の事を言つてる間にでも、コンパスが進むのだ。；通常は操縦用のコンパスが示している方向と考えてさしつかえない。</t>
        </is>
      </c>
      <c r="J3138">
        <f>HYPERLINK("https://www.weblio.jp/content/コンパス", "词义详情")</f>
        <v/>
      </c>
      <c r="K3138">
        <f>HYPERLINK("https://yourei.jp/コンパス", "查看例句")</f>
        <v/>
      </c>
    </row>
    <row r="3139">
      <c r="A3139" t="inlineStr">
        <is>
          <t>今晩</t>
        </is>
      </c>
      <c r="B3139" t="inlineStr">
        <is>
          <t>成功</t>
        </is>
      </c>
      <c r="C3139" t="inlineStr">
        <is>
          <t>読み方：こんばん
今日の晩。いま過ごしている晩。今夜。こよい。「—は冷えますね」</t>
        </is>
      </c>
      <c r="D3139" t="inlineStr">
        <is>
          <t>今晩中；今晩ここ；今晩あたり；今晩じゅう；今晩あなた</t>
        </is>
      </c>
      <c r="E3139" t="inlineStr">
        <is>
          <t>今夜；今夜は；今宵；当夜</t>
        </is>
      </c>
      <c r="F3139" t="inlineStr">
        <is>
          <t>今晩泊め；今晩出発；今晩きみ；今晩泊まる；今晩もう一度</t>
        </is>
      </c>
      <c r="H3139" t="n">
        <v>29</v>
      </c>
      <c r="I3139" t="inlineStr">
        <is>
          <t>ただ私は今晩に目にした四才の少女ほどの幸せは見たことがありません。；よしよし今晩はひとつ、この老人に就いて聞き得るだけを聞いてみよう。；今晩は時間が少ないから、この三つのうちの、働く着物の話だけをする。；もう今晩は大丈夫だろうと云って母は兄のところへ泊まりに行きました。；そして俺は今晩どうかしてゐるのではないかと思つて片手を額にやつてみた。；しかもあなたが今晩ここへおいでになると聞いてすべてを手配しました。；叔父が近くに住んでいると今晩知ったときの驚きが想像できますか。；今晩、おれのところへ訪れて来ると言っていたが、果して来るかどうか。；俺が今晩ここに呼び出されたのはそれだったのか、とマロリーは思った。；奇妙に思うかもしれませんが、今晩私の邸宅からある女に盗まれました。；じゃ今晩はもうアセトンの分析試験はよしておくほうがいいだろうな。；今晩は、夜の冒険があるというが、いったいどんなことをするのだろう?；看護婦さんもあの女も疲れてるでしょうから、私が今晩は代りましょう。；彼は眠ったふりを装って、今晩中に足の鎖を切断してやろうと決心した。；もし僕が今晩帰って来なかったら、検束されたものだと思ってくれたまえ。；今晩ここへ来てスペンサ氏に真相を言おうとしたが、代わりに僕がいた。；これ以上今晩は聞けそうにないし、こんな謎やら心配ごとは神経に触る。；ところで今晩はもう一人二人会う人がありますから、これで失礼しますよ。；劇場で見ていると、今晩はニタが前よりもうまくなっている気がする。；私は今晩は日本の眞の姿と云ふことに付てお話を申上げたいのであります。；今晩は俺は家には帰らないんだよ、誰が迎へに来ようと帰らないんだよ。；お分わかり、今晩ストラットン通りで私の素姓をそっくり語られたのよ。；今晩とにかく君に会うつもりだったが、新聞を買ったあとは大急ぎさ。；それに今晩とはあまり御無愛想なことになりませんかと私たちは存じます。；今晩お湯に行きたいなぞといえば母親が一緒に行くと言うかも知れぬ。；今晩の事態がとても急展開しているので、神経がピリピリしています。；かなり時も経ったろうが、さあ今晩はどこへ寝かしてくれるのだろう。；今晩はここで宿があったからいいが、明日の晩からの宿りは当てがないのだ。；荒模様の今晩じゅうに、どういうことが起こるかわからなかったからだ。</t>
        </is>
      </c>
      <c r="J3139">
        <f>HYPERLINK("https://www.weblio.jp/content/今晩", "词义详情")</f>
        <v/>
      </c>
      <c r="K3139">
        <f>HYPERLINK("https://yourei.jp/今晩", "查看例句")</f>
        <v/>
      </c>
    </row>
    <row r="3140">
      <c r="A3140" t="inlineStr">
        <is>
          <t>コンビニ</t>
        </is>
      </c>
      <c r="B3140" t="inlineStr">
        <is>
          <t>成功</t>
        </is>
      </c>
      <c r="C3140" t="inlineStr">
        <is>
          <t>「コンビニエンスストア」の略。</t>
        </is>
      </c>
      <c r="D3140" t="inlineStr">
        <is>
          <t>コンビニチェーン；コンビニ等；コンビニ袋；コンビニ決済；コンビニ向け</t>
        </is>
      </c>
      <c r="F3140" t="inlineStr">
        <is>
          <t>駅ナカコンビニ；ミニコンビニ；コンビニ本部；コンビニ強盗殺人；コンビニ限定</t>
        </is>
      </c>
      <c r="G3140" t="inlineStr">
        <is>
          <t>コンビニエンス・ストア；コンビニatm；コンビニコミック；コンビニエンス；コンビニ弁当</t>
        </is>
      </c>
      <c r="H3140" t="n">
        <v>29</v>
      </c>
      <c r="I3140" t="inlineStr">
        <is>
          <t>しかしこいつが同行しないと、コンビニの場所も分からない俺であった。；これを受けてコンビニ店舗の一部で見切り販売を始める動きも出始めた。；一週間くらい前だったか、朝コンビニに買いに行かされたこともあった。；彼女がさきほど手に持っていたコンビニの袋はわたしの手に移動していた。；父親は、ほとんど死んだサバのような眼をして、コンビニをやっていた。；もともと持っていたコンビニの袋から出てきたのは、何とおにぎりだった。；コンビニの女性店員は俺の手に触れないようにおつりを返してきます。；「コンビニのことです」 社長の肩が落ち、腕が外立君の肩から落ちた。；このコンビニで買ってもいいのだが、今はそんな余裕すらなかった。；袋を下げているところを見ると、さっきのコンビニで買ったらしい。；コンビニや小売店の店頭で、中の見えない箱に入れられて販売されていた。；このコンビニの存在が、この戦争の戦況を大きく左右することもある。；コンビニの中へ入ろうとしていた彼は、凍りついたように立ちすくんだ。；その成功からコンビニに調理場を設けて惣菜品を販売することを決意。；名古屋線ホームと2階コンコースには駅ナカコンビニが設置されている。；コンビニでもあればいいのだが、地図の中にその表示はなかった。；足元に飛んできたコンビニの袋が、何度ふり払っても足から離れなかった。；コンビニから友人が戻ってきたが、友人はコンビニ強盗をしていたのだった。；その直前にコンビニのレジから金を盗んで逃げている最中だったからである。；そのファラオがコンビニでバイトをしながら現在の東京を生きて行く。；ドラッグストアやスーパー、コンビニなどに設置した無料のものも多い。；店舗はセブンイレブンといった日本のコンビニと似た造りになっている。；コンビニ寄ったりしなければ、この時期のデーゲームは充分間に合うの。；コンビニで買ってきたというサングラスをいとおしそうにながめてます。；コンビニでのいれたてコーヒーやおでんなどがその代表例である。；本節ではコンビニシリーズのみで販売されている製品を記述する。；もう薄暗くなってきているので、コンビニの看板にも明かりがついている。；恐らく近くのコンビニの前で、誰かに覚醒剤を渡しているに違いない。；財布にはコンビニのATMから引き出したばかりの十数万円が入っている。</t>
        </is>
      </c>
      <c r="J3140">
        <f>HYPERLINK("https://www.weblio.jp/content/コンビニ", "词义详情")</f>
        <v/>
      </c>
      <c r="K3140">
        <f>HYPERLINK("https://yourei.jp/コンビニ", "查看例句")</f>
        <v/>
      </c>
    </row>
    <row r="3141">
      <c r="A3141" t="inlineStr">
        <is>
          <t>梱包</t>
        </is>
      </c>
      <c r="B3141" t="inlineStr">
        <is>
          <t>成功</t>
        </is>
      </c>
      <c r="C3141" t="inlineStr">
        <is>
          <t>読み方：こんぽう
［名］(スル)包装し、縄などで荷造りすること。また、その荷物。「荷物を—する」</t>
        </is>
      </c>
      <c r="D3141" t="inlineStr">
        <is>
          <t>梱包用(6%)；梱包作業(2%)；梱包機；梱包箱；梱包方法</t>
        </is>
      </c>
      <c r="F3141" t="inlineStr">
        <is>
          <t>自動梱包</t>
        </is>
      </c>
      <c r="G3141" t="inlineStr">
        <is>
          <t>梱包爆薬；梱包資材</t>
        </is>
      </c>
      <c r="H3141" t="n">
        <v>29</v>
      </c>
      <c r="I3141" t="inlineStr">
        <is>
          <t>また顎の力が強いため薄い梱包であれば穴を開け内部に侵入してしまう。；私は段ボール箱のなかに自分の書いた全部の本を梱包して、父に送った。；その下はまたビニール梱包になっていて、中身自体は外箱の半分程度だ。；最後に、保管センターでは梱包されていない廃棄物も収容可としている。；だっておれは、梱包をほどかれた日からマイクの世話係だったのだから。；当初は松下電器産業の梱包箱などを生産する受注型事業を主体としていた。；何かを梱包するために買ってきて、書棚の上に置いたまま忘れていたものだ。；ビニール梱包する専用の機械は、主に以下の企業から販売されている。；遺体の梱包が他人に破られた形跡はなく、まるで気化したようであった。；駅の売店の前には、まだ梱包されたままの新聞が積み上げられている。；本の梱包・発送というのは、本当にその言葉通りの仕事だったのである。；全員総出で家具の梱包をしているところへ、造園業者の車がやってきた。；厳重に梱包してあり、外側から見たのではなんだかわからないようにしてある。；他素材の小道具などを取り付け、厳重に梱包して店や顧客の下に届ける。；植物検疫規制強化に伴い検疫処理の必要がない当梱包方法は最適である。；店員さんに手で持っていけるように梱包してもらって 荷物を俺が受け取った。；中にそれぞれ梱包された小箱が一ダースほど入っているに違いない。；その中には、一通の文書と厳重に梱包された三つの宝物が入っているのである。；友だちと梱包会社を作って、専務になったのが、二十八歳のときだった。；まだ封を切っていない梱包が天井近くまで積み上げられているところもあった。；九日までに各自の荷物三十キロ二個以内梱包して置くべしと。；「荷はすでに梱包してあるのか」新坂は挨拶なしにフィリップに訊いた。；梱包五七四は既に開けられているばかりでなく、人形は箱の外に放り出されていた。；その日付にあたる雑誌類は既に梱包できていたはずではなかったか?；ミキハウスの商品の梱包作業にあたりながらプレーを続けていた。；袋から飛び出していたカプセル梱包材の文字を読み、大きな息をつく。；細胞に梱包しているミトコンドリア数が常人とは違うのかもしれん。；きちんと梱包したうえで、計算通りに飛べれば、危険は回避できるはずだ。；それぞれ梱包明細書を作成していますが、船積み、どういたしましょう?</t>
        </is>
      </c>
      <c r="J3141">
        <f>HYPERLINK("https://www.weblio.jp/content/梱包", "词义详情")</f>
        <v/>
      </c>
      <c r="K3141">
        <f>HYPERLINK("https://yourei.jp/梱包", "查看例句")</f>
        <v/>
      </c>
    </row>
    <row r="3142">
      <c r="A3142" t="inlineStr">
        <is>
          <t>根本</t>
        </is>
      </c>
      <c r="B3142" t="inlineStr">
        <is>
          <t>成功</t>
        </is>
      </c>
      <c r="C3142" t="inlineStr">
        <is>
          <t>読み方：ねもと
１根のもと。根のある部分。根のあたり。「杉を—から切り倒す」「髷(まげ)の—」
２物事の基本。こんぽん。「悪を—から断つ」</t>
        </is>
      </c>
      <c r="D3142" t="inlineStr">
        <is>
          <t>根本的(32%)；根本原因；根本問題；根本思想；根本概念</t>
        </is>
      </c>
      <c r="E3142" t="inlineStr">
        <is>
          <t>下；中心；もと；基本；底</t>
        </is>
      </c>
      <c r="F3142" t="inlineStr">
        <is>
          <t>根本理念；根本経典；根本君；根本資料；根本保枝</t>
        </is>
      </c>
      <c r="G3142" t="inlineStr">
        <is>
          <t>根本原理；根本中堂；根本陸夫；根本敬；根本主義</t>
        </is>
      </c>
      <c r="H3142" t="n">
        <v>29</v>
      </c>
      <c r="I3142" t="inlineStr">
        <is>
          <t>それでも試合が終わって戻るとすぐ、根本が無言で書類を持ってきた。；リテラシーの根本は、情報を与えられるその度に自ら考えることである。；量子化誤差のこのような問題を根本から回避することは不可能である。；その結果、初代の問題点は大幅に見直され、根本的な再設計が行われた。；ただこの時にはオスマン帝国陸軍の根本的な改革をすることはできなかった。；この修業年限短縮は以前から高等学校制度改革の根本にあったものである。；大学卒業後はマルナカに所属し、自身の練習を根本から見つめ直した。；行為の根本的な理由は欲求であるが、人間の欲求は単一の原理ではない。；根本的な問題がない限り年齢と共にまたは出産を機に改善されることが多い。；ほとんどの場合、我々は根本的な問題に焦点を当てるほど知識が無いのだ。；これは駅舎設計の根本的な転換で、以降の通勤電車の駅の設計の基本となった。；一人ひとりの意識の改めこそがこの制度の根本的な問題だという意見もある。；根本的な性能の改善はなされないまま生産が開始された。；初監督作品が高く評価された根本昌平は、主演女優の衣笠不二子と結婚した。；これは根本では「現在ある人間関係を維持する」ことを意識している。；根本は自身のホームページにてこの事実を認めたうえで反省の弁を述べた。；これらはいずれも対症的な治療であって根本的な治療ではない。；これは、道徳の必要性といった類の道徳の根本的な問題の内で扱われる。；しかしその設計の装甲はあまりに薄いと判断され、根本的な再設計を要求された。；子どもが自律した人格へと成長する権利を議論の根本にすべきと解している。；しかし、この分野において根本的な意味で疫学はほとんど用を成さない。；唯物論とは世界の根本的な原理は何らかの物質的性格を持つとする考え方。；夏は特に体温調節が難しく、根本的な治療法はまだ見つかっていない。；この減少は「いくつかの根本的な原因がある」と考えられている。；しかし市場全体としてみれば根本的な解決策とはならなかった。；このことは黒人の自由の探求と時代の根本的な政治の変化を強調するものであった。；根本の監督退任に伴うチームの若返り策にも理解を示し、現役を引退。；第1話で根本の口から、いくつかの施設が統廃合されたことが明かされた。；しかし、これらはいずれも根本的な解決策とはなっていない。</t>
        </is>
      </c>
      <c r="J3142">
        <f>HYPERLINK("https://www.weblio.jp/content/根本", "词义详情")</f>
        <v/>
      </c>
      <c r="K3142">
        <f>HYPERLINK("https://yourei.jp/根本", "查看例句")</f>
        <v/>
      </c>
    </row>
    <row r="3143">
      <c r="A3143" t="inlineStr">
        <is>
          <t>根本的</t>
        </is>
      </c>
      <c r="B3143" t="inlineStr">
        <is>
          <t>成功</t>
        </is>
      </c>
      <c r="C3143" t="inlineStr">
        <is>
          <t>読み方：こんぽんてき
［形動］物事が成り立っているおおもとに関するさま。基本的であるさま。「—な誤り」</t>
        </is>
      </c>
      <c r="D3143" t="inlineStr">
        <is>
          <t>根本的解決(2%)；根本的原因；根本的問題；根本的基準；根本的改革</t>
        </is>
      </c>
      <c r="E3143" t="inlineStr">
        <is>
          <t>必要；重要；主要；第一；重大</t>
        </is>
      </c>
      <c r="F3143" t="inlineStr">
        <is>
          <t>根本的相違；根本的誤謬；根本的治療法；根本的に相容れない；根本的変革</t>
        </is>
      </c>
      <c r="G3143" t="inlineStr">
        <is>
          <t>根本的宗教改革</t>
        </is>
      </c>
      <c r="H3143" t="n">
        <v>29</v>
      </c>
      <c r="I3143" t="inlineStr">
        <is>
          <t>然しそこには根本的に異なった一面の存在することを忘れてはならない。；その最も有力なる又根本的なるものは無時間性の思想において見られる。；日本の現実は根本的にはそういうもので動いているのではないからだ。；何でもないことのようであるが、実はこれが根本的に大切な点なのである。；そのため、彼の弟子は根本的に音楽のルールを疑うタイプの人間が多い。；しかしいかなる問題もこれを根本的に解決することは容易ならぬことである。；その根本的原因は科学的・実証的精神の未発達に求められるであろう。；根本的治療法のない病気なので下記のように慢性進行性の経過をとる。；ここに世界的世界形成主義と国際連盟主義との根本的相違があるのである。；それに対立する為兼の態度は、芸術論としての限り、根本的に別である。；人間とロボットが根本的に違うだなんて、そんなのひどいと思ったの。；だが結果に於てはヘーゲルの論理組織を根本的に逆転させることになる。；この書の最後に残されたる、真の根本的なる重大問題はこれである。；根本的に対人関係を苦手・苦痛としている者が起こるのが前提である。；今後数十年の間は人類の歴史が根本的に変化するところの最も重大な時期であります。；人生の海にも矢張底には時代を超越したものと根本的のものが潜んでゐる。；ドイツ式の主砲を搭載するためには根本的設計変更と改造が必要になる。；戦争はロシアとカザンの関係においては互いに根本的転換を意味していた。；吾々は之を通り越して、より根本的に動機を溯って見なければならない。；従って又学問性の根本的規定でなければならないと考えられる。；そうしてこれが演劇の恐らく根本的に他の芸術と違うところである。；この時期以降に出現する音楽は、以前のそれとは根本的に相違するものであった。；根本的には、列車が遅れた場合の処分や査定を運転士が恐れたこともある。；儒教思想での王道と現代の国家とは根本的に矛盾した精神をもつものである。；ところが、後にその考えの根本的に誤っていたことがわかったのであります。；しかしながら松葉杖とは根本的に用途が違うと考えるべきであろう。；この根本的原因は僕にこそわからないけれど、君にはよくわかっているはずです。；その中にカバコフは根本的に芸術の中心的な昨日を見ているのだ。；このことが吾々の見るアカデミーの本質を根本的に規定しているのである。</t>
        </is>
      </c>
      <c r="J3143">
        <f>HYPERLINK("https://www.weblio.jp/content/根本的", "词义详情")</f>
        <v/>
      </c>
      <c r="K3143">
        <f>HYPERLINK("https://yourei.jp/根本的", "查看例句")</f>
        <v/>
      </c>
    </row>
    <row r="3144">
      <c r="A3144" t="inlineStr">
        <is>
          <t>今夜</t>
        </is>
      </c>
      <c r="B3144" t="inlineStr">
        <is>
          <t>成功</t>
        </is>
      </c>
      <c r="C3144" t="inlineStr">
        <is>
          <t>読み方：こんや
今日の夜。いま過ごしている夜。今晩。こよい。「—伺います」</t>
        </is>
      </c>
      <c r="D3144" t="inlineStr">
        <is>
          <t>今夜あたり；今夜ここ；今夜これから；今夜限り；今夜ひと</t>
        </is>
      </c>
      <c r="F3144" t="inlineStr">
        <is>
          <t>今夜ひと晩；今夜八時半；今夜マ；今夜泊る；今夜泊まる</t>
        </is>
      </c>
      <c r="G3144" t="inlineStr">
        <is>
          <t>今夜も生でさだまさし；今夜はブギー・バック；今夜も眠れない；今夜はビート・イット；今夜もシャララ</t>
        </is>
      </c>
      <c r="H3144" t="n">
        <v>29</v>
      </c>
      <c r="I3144" t="inlineStr">
        <is>
          <t>それがいよいよ今夜となって、私たちはその御馳走に呼ばれたのである。；或る仕掛がしてあるので、今夜九時にならないと、文字が出て来ません。；ここへ来てからも別に気にも止めなかったが、今夜はふと思い出した。；それじゃ僕は今夜平服に着更えて、その男を訪問することにしましょう。；今夜攻撃すると言っても偵察すらしていないのにできるもんじゃない。；いや、今夜も少し気が急いていましたので、どうも失礼をいたしました。；おあずけ申して置いた箱を受取って、今夜はこのまま帰るとしましょう。；少年と少女とは、清水の坂に立って、今夜の月を仰いでいるのであった。；お染は彼を今夜の客の一人と知って、いよいよ怖ろしいように思われた。；君にも訊きたいことがあるのだが、今夜わたしの家へ来てくれないか。；もう冬と名のつく月に入ったのだったが、今夜はそう寒くもなかった。；どこにもそんな物はないんだからね、今夜はゆっくり寝た方が好いよ。；そしてはるか下に温泉の低い屋根を見た時、我々は今夜こそ酒がのめるぞ!；医師たちは今夜は持たないだろうと告げたが、大統領は死ななかった。；なんですか知りませんけれども今夜はもうそのお話はきれいにやめましょう。；今夜も、また、わたしは、その珠のことを思い出して探しにきたのです。；かれは母から今夜の話を聞かされても、別に気にも留めないらしかった。；今夜にも、冬がやってきそうに、空の色は澄んで海の色はさえていました。；また今夜あたりあいつは、神も仏もないものかと泣きわめくだろうな。；今夜も倉地が葉子から待ち望んでいたものを葉子は明らかに知っていた。；そして、今夜わたしは長い旅に出るから、おまえたちみんな暇をやる。；ゆうべは店の都合で出られなかったが、今夜はきっと来ると云っていました。；だがこれは元々彼が猫背のせいなので、なにも今夜に始まったことではない。；今夜は一つだけでありますが、明日から若干数が殖えることになっています。；彼女とあなたの将来が、私たちの今夜の判断を正当化するように、と話す。；ついでだから、屋敷のまわりでもまわって、今夜の下見をしておおきよ。；いつもその手でやられるのですから、今夜あたりはもう油断ができませんよ。；おれは締切日を明日に控えた今夜、一気呵成にこの小説を書こうと思う。；おれは今夜中にこの小説を書き上げなければならないからである。</t>
        </is>
      </c>
      <c r="J3144">
        <f>HYPERLINK("https://www.weblio.jp/content/今夜", "词义详情")</f>
        <v/>
      </c>
      <c r="K3144">
        <f>HYPERLINK("https://yourei.jp/今夜", "查看例句")</f>
        <v/>
      </c>
    </row>
    <row r="3145">
      <c r="A3145" t="inlineStr">
        <is>
          <t>婚約</t>
        </is>
      </c>
      <c r="B3145" t="inlineStr">
        <is>
          <t>成功</t>
        </is>
      </c>
      <c r="C3145" t="inlineStr">
        <is>
          <t>読み方：こんやく
［名］(スル)結婚の約束を交わすこと。また、その約束。エンゲージ。「—したばかりのカップル」「—者」「—指輪」→婚姻予約</t>
        </is>
      </c>
      <c r="D3145" t="inlineStr">
        <is>
          <t>婚約者(5%)；婚約解消；婚約中；婚約発表；婚約時代</t>
        </is>
      </c>
      <c r="E3145" t="inlineStr">
        <is>
          <t>エンゲージメント</t>
        </is>
      </c>
      <c r="F3145" t="inlineStr">
        <is>
          <t>ご婚約；婚約相手；御婚約；婚約成立；婚約不履行</t>
        </is>
      </c>
      <c r="G3145" t="inlineStr">
        <is>
          <t>婚約指輪；婚約破棄；婚約指環；婚約旅行；婚約数</t>
        </is>
      </c>
      <c r="H3145" t="n">
        <v>29</v>
      </c>
      <c r="I3145" t="inlineStr">
        <is>
          <t>婚約解消の理由は明らかにされていないが浮気が原因とみられている。；婚約解消した後も2人は会っており、第一次大戦中に再び仲が近づいた。；婚約中は、規子女王を伴って立川の航空練習所を訪問したこともあった。；意に染まぬ婚約を強いられた花嫁が花婿を刺した事件を小説化したもの。；春雄は見つかったがその一夜の間に京子と石川は婚約してしまっていた。；OVA版をベースにしているがルーンはTV版でガレスとの婚約も無い。；しかしジョンは婚約者のいる次女クレアを本気で好きになってしまう。；二人は偶然に同じ日に婚約し、同じホテルで結婚式の計画を始めた。；呂布の娘の婚約相手として、袁術の子も外交交渉の場で言及されている。；この交渉事の一つがカール11世とデンマーク王妹との婚約であった。；家庭で教育を受けてフランス語を学び、婚約後はギリシャ語を学んだ。；ある伝記作家は婚約者に婚約を破棄された時に受けた衝撃を示唆した。；この日は、ステパン氏とダーシャの婚約発表が行われる日に当たっていた。；周りに説得されて婚約を解消した恋人2人が、よりを戻すまでを描いたもの。；この強引な婚約の背景には当時の政治的な思惑があったとされる。；隼三は婚約していた寿賀子が死亡したため、その妹の須磨と結婚した。；ところがしばらくしてから、ターナウアーはその婚約を破棄してしまう。；しかも、明日はライルとの婚約パーティが開かれることになっていた。；フーちゃんが彼とかなり前に婚約していたことが明らかになる。；さらに西園寺は京都で邦彦王に会った際に、直接婚約の辞退を勧告した。；また、インタビュー時期は自身の婚約解消と別居が重なる時期でもあった。；刑の施行の翌日に王は婚約を公表し、その2週間後に2人は正式に結婚した。；あるいは婚約者だった有栖川宮熾仁親王ではないかとの指摘もある。；文化年中に南部利敬の養子となり、加賀藩主・前田斉広の娘と婚約した。；永禄10年に松姫と織田信忠を婚約させることで同盟を維持していた。；当初はクラウディウスによって、小ユリアの孫にあたると婚約していた。；アルマグロの両親は婚約していたが、正式な結婚の前に別れた。；上島竜兵の婚約直前に、妻と1男1女があることを発表し、話題となった。；婚約した娘は、全て家康の養女とし、その内容は次の通りである。</t>
        </is>
      </c>
      <c r="J3145">
        <f>HYPERLINK("https://www.weblio.jp/content/婚約", "词义详情")</f>
        <v/>
      </c>
      <c r="K3145">
        <f>HYPERLINK("https://yourei.jp/婚約", "查看例句")</f>
        <v/>
      </c>
    </row>
    <row r="3146">
      <c r="A3146" t="inlineStr">
        <is>
          <t>婚約者</t>
        </is>
      </c>
      <c r="B3146" t="inlineStr">
        <is>
          <t>成功</t>
        </is>
      </c>
      <c r="C3146" t="inlineStr">
        <is>
          <t>読み方：こんやくしゃ
《原題、(イタリア)I Promessi sposi》マンゾーニによる長編歴史小説。17世紀の北イタリアを舞台に、青年レンツォと婚約者のルチアが紆余曲折を経て結ばれるまでを描く。初版は1827年刊行。決定版は1840年から1842年に分冊で刊行。別邦題「いいなづけ」。</t>
        </is>
      </c>
      <c r="D3146" t="inlineStr">
        <is>
          <t>婚約者同士；婚約者候補；婚約者扱い；婚約者役；婚約者ローリー・ウィリアムズ</t>
        </is>
      </c>
      <c r="E3146" t="inlineStr">
        <is>
          <t>フィアンセ</t>
        </is>
      </c>
      <c r="F3146" t="inlineStr">
        <is>
          <t>美しい婚約者</t>
        </is>
      </c>
      <c r="H3146" t="n">
        <v>29</v>
      </c>
      <c r="I3146" t="inlineStr">
        <is>
          <t>婚約者は私をまだ待っていると思いますし、事実そうだと知っています。；父親は何度か婚約者を用意しようとしたが、彼女は全ての男性を断った。；事故で記憶を失った主人公のもとに、婚約者を名乗る男性が迎えに来る。；しかも彼は、七時に婚約者の家で夕食をともにする約束があったのだ。；また、事件解決直後の刑事と婚約者の妹のシーンが最後に加えられている。；ほとんどのエピソードは糖子が婚約者を連れて紹介するところから始まる。；帰還した彼は、婚約者の死を嘆いてローマを罵しる妹の言葉を耳にする。；刑事達は当初、北刑事の婚約者であった庭子の関係者を重点的に捜査する。；その目は、あたしの婚約者にも、何もしゃべるなと警告しているんだわ。；一方のしずかも太郎から逃れるためにそれに乗り、婚約者のふりをする。；主人公は婚約者の母親が選んだ迷信好きの婆さんに世話されて住んでいる。；そこで先生に愛を告白するが、すでに彼には婚約者が居ることを知る。；ところが新居になるはずの婚約者のマンションには他の女がいた。；ある伝記作家は婚約者に婚約を破棄された時に受けた衝撃を示唆した。；穂香も何とか同意していたが、彼女の婚約者はそれを苦々しく思っていた。；婚約者のあなたまで、そんな評議会のおじいちゃんみたいなこと言うの?；ホテルに関根を呼び出し、一日だけ自分の婚約者になって欲しいと頼む。；スコット医師が望んだのは婚約者であって、状況証拠の犠牲者ではない。；このとき、硝子が婚約者に侮辱されたのを見て、ジュリアは声を挙げる。；ロレッタはまた、審査員の一人がコリーネの婚約者であるとも主張した。；その後の礼を失した婚約者の態度に腹を立て、硝子は婚約者の頬を張る。；彼女がなぜ血まみれだったのか、なぜ婚約者が無惨な姿で殺されていたのか。；男は帰って来たが、婚約者を失ったことで泣き、笑うのは彼女の番になったという。；しかしお互いに婚約者が居るとあって、顔を合わせてもぎこちない所があった。；彼の不在中、ロイス・レインは母親となっており、婚約者となっていた。；ぼくの婚約者についてもっとくわしいことを知らせる機会はあるだろう。；その夜ベルは夢の中で、古城の主だった王子と婚約者の王女の夢を見る。；その晩、彼は内閣総理大臣となり、いきなり美紀を婚約者にしてしまう。；虚勢を張っているのか、婚約者は若者に強い言葉で命令していた。</t>
        </is>
      </c>
      <c r="J3146">
        <f>HYPERLINK("https://www.weblio.jp/content/婚約者", "词义详情")</f>
        <v/>
      </c>
      <c r="K3146">
        <f>HYPERLINK("https://yourei.jp/婚約者", "查看例句")</f>
        <v/>
      </c>
    </row>
    <row r="3147">
      <c r="A3147" t="inlineStr">
        <is>
          <t>混乱</t>
        </is>
      </c>
      <c r="B3147" t="inlineStr">
        <is>
          <t>成功</t>
        </is>
      </c>
      <c r="C3147" t="inlineStr">
        <is>
          <t>読み方：こんらん
［名］(スル)物事が入り乱れて秩序をなくすこと。いろいろなものが入りまじって、整理がつかなくなること。「交通機関に—を来たす」「経済の—をまねく」「頭が—して考えられない」</t>
        </is>
      </c>
      <c r="D3147" t="inlineStr">
        <is>
          <t>混乱期(3%)；混乱ぶり；混乱防止；混乱収拾；混乱しやすい</t>
        </is>
      </c>
      <c r="E3147" t="inlineStr">
        <is>
          <t>不安；崩壊；興奮；慌て；動揺</t>
        </is>
      </c>
      <c r="F3147" t="inlineStr">
        <is>
          <t>政治的混乱；大きな混乱；経済混乱；社会的混乱；ひどく混乱</t>
        </is>
      </c>
      <c r="H3147" t="n">
        <v>29</v>
      </c>
      <c r="I3147" t="inlineStr">
        <is>
          <t>旧方式では似通った二つの方式での記述があり、混乱の元となっている。；周が混乱の時代を迎えると、漢字は各地で独自の発展をすることになる。；中国で古くから両方に「桐」の字を用いているために混乱が生じている。；サクソルン属の楽器の名称には国と時代により非常に大きな混乱がある。；その後南アフリカ社会は体制移行期の危機的な混乱を何度も経験した。；アフガニスタンの環境問題は過去数十年の政治的混乱より以前からある。；他にも混乱の中で友好的と考えられる場所に逃げて自由を確保した者もいた。；しかし、問われるたびに違った答えを話したため、今なお混乱がある。；ローマ帝国との国境を越えたゲルマン諸族は各地で混乱や衝突を起こした。；イラク側もこれを受け入れ、1998年頃までは大きな混乱はなかった。；その後も勲旧勢力と士林勢力は繰り返し衝突し、政局は混乱を続けていた。；第三に、この語は歴史的に様々な意味で用いられており混乱を招く。；これには軍隊の一部も反乱に合流し、ロシア全土が大混乱に陥った。；映像は戦後の混乱期の雰囲気を描いたモノクロームとなっている。；普化宗廃止後の尺八界の混乱期に活躍した人物に2代 荒木古童がいる。；そのため一部のエネルギーが消えてしまったように見え、研究者の間で混乱が生じた。；作者である詩人が、混乱を経た後にはすべてが最初の状態に戻ると考えていたとしている。；その大国の思惑と現場での混乱した雰囲気の中でブラントは苦悩していた。；しかし神は世界の混乱をそのままにしておかない。；キリスト教勢力はこの混乱を好機と見て、南方への侵攻を再開した。；コックスはその混乱の渦中で、事件を起こし逮捕されるような事態に陥った。；再び「鶴巻温泉」の駅名に戻ったのは戦後の混乱期が終わってからである。；残された「暁の星」はフェルキンの下で数々の混乱を経ながら続いた。；最も号数が混乱している時期は、次のようになっている。；バイエルは混乱を防ぐため、たとえばローマ文字のa星を作らなかった。；と、中華人民共和国成立後に統一されており、日本のような呼称の混乱はほぼない。；リチャード3世の即位に反対する勢力によって国内は再び混乱した。；しかし幕府の対応は混乱し、赤松討伐軍は容易に編成されなかった。；しかしこの頃の最澄の手紙をみると灌頂を受ける日について混乱が見られる。</t>
        </is>
      </c>
      <c r="J3147">
        <f>HYPERLINK("https://www.weblio.jp/content/混乱", "词义详情")</f>
        <v/>
      </c>
      <c r="K3147">
        <f>HYPERLINK("https://yourei.jp/混乱", "查看例句")</f>
        <v/>
      </c>
    </row>
    <row r="3148">
      <c r="A3148" t="inlineStr">
        <is>
          <t>困惑</t>
        </is>
      </c>
      <c r="B3148" t="inlineStr">
        <is>
          <t>成功</t>
        </is>
      </c>
      <c r="C3148" t="inlineStr">
        <is>
          <t>読み方：こんわく
［名］(スル)どうしてよいか判断がつかず迷うこと。「—した表情をみせる」</t>
        </is>
      </c>
      <c r="D3148" t="inlineStr">
        <is>
          <t>困惑する(12%)；困惑させる(3%)；困惑顔；困惑気味；困惑ぶり</t>
        </is>
      </c>
      <c r="E3148" t="inlineStr">
        <is>
          <t>混乱；混同；迷い；動；狼狽</t>
        </is>
      </c>
      <c r="F3148" t="inlineStr">
        <is>
          <t>奇妙な困惑；一瞬困惑；深い困惑；限りなき困惑；大変困惑</t>
        </is>
      </c>
      <c r="H3148" t="n">
        <v>29</v>
      </c>
      <c r="I3148" t="inlineStr">
        <is>
          <t>これらの状況をふまえてイギリス・アメリカは困惑を含めて眺めていた。；しかしこの絵画の超自然的な表現は多くの批評家や鑑賞者を困惑させた。；彼はその子供たちを、なお多少の困惑と多くの情愛とをもってながめた。；製作スタッフは主演が抜けることを想定していなかったため、困惑した。；現在では矢部は文句すら言わなくなったが困惑していることは変わらない。；困惑を抱きながらも、籐矢は全ての真実を知る決意をし、行動を始めた。；彼が困惑しているとき、目に見える疑問符が彼の頭の上に形成されました。；本名発覚当初は困惑していたが段々と受け入れ、使用するようになった。；常界の新たな王となったクロウリーの宣言に、集まった一同は困惑する。；昭和天皇は「佐藤は何を考えているんだろうね」と困惑していたという。；私の表情は、一瞬のうちに困惑が全部を占めてしまったに違いない。；家を出るに出られなくなった一行は宴会をはじめ、襲撃者は困惑する。；彼女はその重さに耐えられなくなり、困惑して幼児を地面におろした。；やがて不安と困惑の色が彼の顔いっぱいに拡がって来たようでした。；アメリカ人が困惑した表情のイギリス人の前で牛の角を切っている。；わたしは、彼がいったい何をしようとしているのか、予想がつかず困惑する。；彼は練習に専念するあまり、教会関係者を困惑させたことはひと通りでない。；彼の日常はその日を境に一変し、自分の体が次第に鉄化していくのに困惑する。；その悲しみに困惑したフリーレンは、人間を知るための旅に出るのだった。；シカゴという都会で普通に育ったレンはその異様な状況に困惑していく。；そのとき、まつ枝の顔に困惑に似た表情が浮んだのを見逃さなかった。；改めた性格は、7年ぶりに再会したルルーシュを困惑させたほどである。；書いた覚えのない手紙に困惑する一同に、夏目から衝撃の事実が伝えられる。；当初の曲を練習していたメンバーは困惑しながらも、5時間で曲を完成させた。；住人は困惑しつつも否定し、グレースを町から追い出すことを決定する。；封建制と、より近代的な政治の利益供与の、困惑するような組み合わせ。；想像もしていなかった事実が彼ら自身を困惑させていく。；「われながら困惑するほどの遅筆ぶり」であるとあとがきで述べている。；だがトリヴェリアンと私とは、困惑してお互いを見つめ合うばかりだ。</t>
        </is>
      </c>
      <c r="J3148">
        <f>HYPERLINK("https://www.weblio.jp/content/困惑", "词义详情")</f>
        <v/>
      </c>
      <c r="K3148">
        <f>HYPERLINK("https://yourei.jp/困惑", "查看例句")</f>
        <v/>
      </c>
    </row>
    <row r="3149">
      <c r="A3149" t="inlineStr">
        <is>
          <t>差</t>
        </is>
      </c>
      <c r="B3149" t="inlineStr">
        <is>
          <t>成功</t>
        </is>
      </c>
      <c r="C3149" t="inlineStr">
        <is>
          <t>読み方：さ
［音］サ（漢）　シ（呉）（漢）　［訓］さす
［学習漢字］4年
〈サ〉
１状態・質・数量などの違い。「差異・差額・差別／格差・僅差・誤差・時差・大差・落差・千差万別」
２人をつかわす。「差遣・差配」
〈シ〉不ぞろいなさま。「参差(しんし)」
〈さし（ざし）〉「差引／札差(ふださし)・脇差(わきざし)」
［名のり］しな・すけ</t>
        </is>
      </c>
      <c r="D3149" t="inlineStr">
        <is>
          <t>差が大きい；差が大きく；差がつい；差図；差当り</t>
        </is>
      </c>
      <c r="E3149" t="inlineStr">
        <is>
          <t>違い；距離；異なり；相違；開き</t>
        </is>
      </c>
      <c r="F3149" t="inlineStr">
        <is>
          <t>高低差；大きな差；ポイント差；時間差；標高差</t>
        </is>
      </c>
      <c r="G3149" t="inlineStr">
        <is>
          <t>差別；差異；差し出し；差し替え；差し出す</t>
        </is>
      </c>
      <c r="H3149" t="n">
        <v>29</v>
      </c>
      <c r="I3149" t="inlineStr">
        <is>
          <t>色による能力差はないが、同色でも倒した時の得点が異なる場合はある。；そのため、その運営機構の管理・技術・運営の水準が信頼性の差となる。；理想との差をばらつきの測度に用いるので、分布を定義する必要はない。；ここで区切りの位置は比較的エネルギーの高さに大きな差がある位置を示す。；以上の傾向はみな程度の差はあれロマン派音楽以前にも現れていた。；州域の大半は田園であり、この落差が州の政治や経済に影響している。；この場合は中にいる人間が主役となるので、個人の差の問題までも考慮する。；この差は版を重ねるごとに増大して行くので、次第に目立つようになる。；それ以外の要因でも起きており、気圧差や風によるものを気象潮という。；日本人が購入を検討する場合には欧米人との体格の差に注意する必要がある。；分野によって多少の差はあるが、基本的に講義の出欠を取ることはない。；しかし例えば「左の値との差」をとると、データは以下のようになる。；本作では高度差のある敵だけでなくほぼ全ての敵をロックオンすることができる。；天皇の地位に関してはいわれるほど差があるものではなかったとする意見がある。；両者に差がある場合は、その差の2分の1が誤差になる可能性がある。；この畳の寸法にはいろいろなものがあり、差が生じる原因は2つある。；双方の積荷の値段や価値には大きな差があることもそれに関係する。；この定義の鍵は となる必要十分条件が と との差が に入ることである。；太陽と惑星の黄経の差と説明されることもあるが正しくない。；この結果の差は、人間集団内の差異を視野に入れるかどうかに関わっている。；日本付近では、年により差があり、平均すれば昼が夜よりも約14分長い。；彼は競馬を楽しんでいるし、着差を付けないで勝つことが好きなんだ。；各地域で最後に建造された前方後円墳はその時期にほとんど差がないことが判明している。；軍馬の育成を目的に設計されており、極端な高低差はその名残である。；「光」と「木霊」の組み合わせで、列車の速度差を表したとも言われる。；実力差がある場合にはハンデキャップをつけて対局することもできる。；クラシフィケーションでは、他の馬との着差がポンド差に反映されるんです。；つまり、相対的には貧困や貧富の極端な差などの問題が影響している。；長射程の弾道ミサイルと宇宙ロケットとの基本的な構造の差は少ない。</t>
        </is>
      </c>
      <c r="J3149">
        <f>HYPERLINK("https://www.weblio.jp/content/差", "词义详情")</f>
        <v/>
      </c>
      <c r="K3149">
        <f>HYPERLINK("https://yourei.jp/差", "查看例句")</f>
        <v/>
      </c>
    </row>
    <row r="3150">
      <c r="A3150" t="inlineStr">
        <is>
          <t>さあ</t>
        </is>
      </c>
      <c r="B3150" t="inlineStr">
        <is>
          <t>成功</t>
        </is>
      </c>
      <c r="C3150" t="inlineStr">
        <is>
          <t>［感］
１人を誘い、またはせきたてるときに発する語。「—、始めよう」「—、お入りください」
２ためらいや否定的な気持ちを表したり、即座の返答を避けたりするときに発する語。「—、私にできるかしら」「—、よくわかりません」
３新しい事態に直面したとき、また、行動を起こそうとしたり終えたりしたときなどに発する語。「—、大変だ」「—、やるぞ」「—、これでできた」
４相手の言葉をおさえて、こちらが話そうとするときの語。「『先だっての件ですが』『—、そのことだ、実は取り止めになったんだ』」</t>
        </is>
      </c>
      <c r="D3150" t="inlineStr">
        <is>
          <t>さあどうぞ；さあ早く；さあ大変；さあこれから；さあ行こう</t>
        </is>
      </c>
      <c r="E3150" t="inlineStr">
        <is>
          <t>さて；いざ；はて；さあね</t>
        </is>
      </c>
      <c r="F3150" t="inlineStr">
        <is>
          <t>だけどさあ；さあこい；さあねえ；ちゃってさあ；さあ行け</t>
        </is>
      </c>
      <c r="G3150" t="inlineStr">
        <is>
          <t>さあっと；さあな；さあー；さあや；さあーっと</t>
        </is>
      </c>
      <c r="H3150" t="n">
        <v>29</v>
      </c>
      <c r="I3150" t="inlineStr">
        <is>
          <t>パンを出し闇の中で頬ばりながら、さあ一晩中歩いてもいいと思った。；さあ、こうなるとその火光がどうして見えるんだか、早く知りたくなった。；「じゃあ、いったい何の店を開いたらいいだろうか」 さあ何がいいか。；「さあ、どうも飛んだことになったねえ」 半七も腕をくんで考えていた。；さあ一緒に來いと、襟髪を取らぬばかりにして妹を引き立てようとした。；さあ、羽柴君それをつけて、ぼくといっしょに先に立って歩くんだよ。；女教 さあ皆さん、揃いましたから問題を出します、ようございますか。；さあ思い出して下さい、エジプトを占領しても何も得られないと言っていた当時を。；さあ、こうなると、もう今までのように引込み思案ばかりはしていないぞ。；だってさあ、自分が存在してるかどうかって考えてみたらすぐ分るさ。；子どもさんは、もうちゃんと、門のそばまでつれてきてありまさあ。；老いたる尼 さあ、それは不思議ですが、やはり御仏の御計らひでせう。；さあそれが分れば一同に知らせた上、その道筋を調べにゆきましょう。；さあ何倍というか、百万倍の百万倍のそのまた百万倍の百万倍ぐらいはありますよ。；そいつがお邸の方からやって来て、この町を飛ぶ様に駈け出して行ったんでさあ。；さあ、こう考えると、それからそれへといろいろな心配が湧いて来る。；さあその階段を下りて地面の下へ入って行くのだ。；さあ、奥様今回だけはしきたりを破って一緒にお食事なさいませんか。；「さあ、それがどうもわからんのですよ」 警部は顔をしかめて言った。；さあそれからというものは、僕の頭はこの奇怪な「人肉の面」で一杯だ。；さあ今度は君の方の様子を知らせてくれたまえ。；さあ、こんどはどこに第二の鍵を発見すべきであろうか。；さあ、今更となっていつまでも隠し立てをしているのは、よくねえことだ。；さあ、まずきみは何者か、ここで何をしているのか言いなさい。；さあ一緒に来いと、襟髪を取らぬばかりにして妹を引立てようとした。；いつかの約束ですから、さあ、おまえは、この家から出ていってしまうのです。；その時話した事ですが、さあ、もう十四五年も前だったろう。；さあこれをどうして持って帰ったらいいだろう。；「さあ、どうしたものですか」と警部もすこし顔を和げてこれに答えました。</t>
        </is>
      </c>
      <c r="J3150">
        <f>HYPERLINK("https://www.weblio.jp/content/さあ", "词义详情")</f>
        <v/>
      </c>
      <c r="K3150">
        <f>HYPERLINK("https://yourei.jp/さあ", "查看例句")</f>
        <v/>
      </c>
    </row>
    <row r="3151">
      <c r="A3151" t="inlineStr">
        <is>
          <t>ざあざあ</t>
        </is>
      </c>
      <c r="B3151" t="inlineStr">
        <is>
          <t>成功</t>
        </is>
      </c>
      <c r="C3151" t="inlineStr">
        <is>
          <t>［副］
１雨が激しく降ったり、水が勢いよく流れ落ちたりするときの音を表す語。「湯を—（と）かける」「—降り」
２ラジオやレコードなどの雑音を表す語。「—（と）鳴るばかりでよく聞こえない」</t>
        </is>
      </c>
      <c r="D3151" t="inlineStr">
        <is>
          <t>ざあざあと音(2%)；ざあざあいう</t>
        </is>
      </c>
      <c r="H3151" t="n">
        <v>29</v>
      </c>
      <c r="I3151" t="inlineStr">
        <is>
          <t>そのうち雨がざあざあ降ってきて、うちへ帰るにも帰れなくなりました。；そして耳の中に波がおしよせたように、ざあざあと鳴りだしたのである。；下へ降りるや否や、いきなり風呂場へ行って、水をざあざあ頭へかけた。；その晩はすこし風があって庭木の枝葉のざあざあと靡いているのが聞えた。；深さは大人の胸ほどで、滝の水が一方からざあざあおちこんでいます。；顔に雨がざあざあ振りかかって始めはよく見えなかった。；瀬に砕ける流れの音がざあざあと鳴るばかりで、四辺は寂然としていた。；ただ、鼓膜にはざあざあと、なにかノイズめいた音が聞こえてきている。；時々波の音が思ひだしたやうにざあざあと聞えた。；その途中に、陰気な橋がありましてね、橋の下で水がざあざあいっています。；今までポシャポシャやっていた雨が急に大粒になってざあざあと降ってきたのです。；しばらくすると、水のようなものが、ざあざあと音をたててからだじゅうに降りかかつて来ました。；すこしずつ、頭のなかでざあざあとテレビノイズのような音がきこえてくるようになった。；ざあざあと夕まぐれの中に、その発光のしたたりを浴びるのである。；自分は佗びしい光でやっと見分のつく小桶を使ってざあざあ背中を流した。；近くで滝の音がざあざあいっていた。；夜の闇が濃くなり、強風に吹かれた雨がざあざあと降りはじめた。；「気になるみたいね」 ざあざあ降りの雨のなかで、詢がいった。；亀裂が広がると、ざあざあと土砂降りのような音が耳を打った。；相反する感情の嵐に耳の奥で怒濤となる血流がざあざあ滝と鳴る。；それから洗面所へ下りて氷るほど冷めたい水で頭をざあざあ洗った。；様々なデータが、ざあざあ音を立てて頭の中に流れ込んでくる。；瓦岳の崖をざあざあと雨水が流れていったかと思うと、飛沫をあげて田に迫った。；顔には、雨がざあざあ降りかかってきました。；ざあざあと止まない雨音がうるさくて、私は閉じていた瞼を開けた。；雨はまだやまないと見えて、ざあざあ、まっすぐに烈しい音をさせて降っている。；それから仕度をして外へ出ると、ざあざあつて雨なの。；雨がまたざあざあと音をたてて降って来た。；そのときにちょうどひどい大雨がざあざあ降っておりました。</t>
        </is>
      </c>
      <c r="J3151">
        <f>HYPERLINK("https://www.weblio.jp/content/ざあざあ", "词义详情")</f>
        <v/>
      </c>
      <c r="K3151">
        <f>HYPERLINK("https://yourei.jp/ざあざあ", "查看例句")</f>
        <v/>
      </c>
    </row>
    <row r="3152">
      <c r="A3152" t="inlineStr">
        <is>
          <t>際</t>
        </is>
      </c>
      <c r="B3152" t="inlineStr">
        <is>
          <t>成功</t>
        </is>
      </c>
      <c r="C3152" t="inlineStr">
        <is>
          <t>読み方：きわ
《「ぎわ」の形で、他の語と複合しても用いる》
１あと少しで別のものになろうとするぎりぎりのところ。境目。また、物の端。「がけの—から見下ろす」「生え—」「波打ち—」
２ある物にきわめて接近した所。すぐそば。「戸口の—に置く」「壁—」「山—」「窓—」
３物事がそうなろうとするまさにそのとき。「今わの—」「入り—」「死に—」「往生—」
４物事の窮まるところ。限界。際限。
「世に悲しきことの—にはおぼえ侍りしを」〈源・柏木〉
５身分。家柄。分際。
「いとやむごとなき—にはあらぬが」〈源・桐壺〉
６才能・器量などの程度。
「取る方なく口惜しき—と、優なりとおぼゆばかりすぐれたるとは、数ひとしくこそ侍らめ」〈源・帚木〉
７物事の程度。ほどあい。
「はしたなき—に熱かりければ」〈大鏡・道長下〉
８江戸時代、年末・節季の決算期。
「—の日和(ひより)に雪の気づかひ／惟然」〈続猿蓑〉</t>
        </is>
      </c>
      <c r="D3152" t="inlineStr">
        <is>
          <t>際現に；際通商；際に蟇目役；際恒；際税務局</t>
        </is>
      </c>
      <c r="E3152" t="inlineStr">
        <is>
          <t>時；場合；側；縁；端</t>
        </is>
      </c>
      <c r="F3152" t="inlineStr">
        <is>
          <t>實際；際競爭；際現に効力；際通商条項；際に指宿郷</t>
        </is>
      </c>
      <c r="G3152" t="inlineStr">
        <is>
          <t>際立た；際立つ；際し；際どい；際会</t>
        </is>
      </c>
      <c r="H3152" t="n">
        <v>29</v>
      </c>
      <c r="I3152" t="inlineStr">
        <is>
          <t>しかし、ソフト化の際に劇場公開版のみが収録される作品が大半である。；上陸の際は、歩いて通ることのできる地形であればどこにでも上陸できる。；食事の際の口直しや皿のソースを拭って食べるためにパンが提供される。；これらの問題を避けるために、改変する際には次のような規定がある。；西洋中世に何度も大流行したペストの際にも、ペスト除けに利用された。；その際に同国のクラブが同じグループに入らないように考慮される。；ただ、頼家の弟実朝の家督継承の際にはまず征夷大将軍に任官している。；恒星が誕生する際には、質量の小さい恒星ほど形成される可能性が高い。；探査機が惑星の夜側を通過した際の観測から、稲妻の光も観測された。；その後、映画化された際に、この10話を含めた修正を行ったという。；様々な種類のメッセージを受信する際の構文解析などでよく使われる。；舞楽が演じられる際には、その中にさらに3間四方の敷舞台が置かれた。；とは、物や人物に与えられた言葉のことで、対象を呼んだりする際に使われる。；日本へ逆輸入する際に名前をそのまま残したようである。；日本全体を総称する際には、「日本六十余州」などと表現することもあった。；なお、その際に表示される画面の地名には唯一振り仮名がふってある。；人が互いを呼び合う際には、氏と名の全てを呼ぶことは多くない。；そのため、捜査の際には警察や軍との連携を図る場合もある。；この際イギリス連邦の資格が停止されたが、2004年には復帰した。；このような場所では商品を売る際にその場にいる労働者が全員で働くことはあまりない。；発売は、新しい商品の販売活動を開始する際によく使われる。；この際使用したテープは市販のビデオ用テープと同じ規格の物を使用した。；撤退の際も当時の現地の住民であるマッロイ人の征服が行われた。；基本的に宗教的な性格を強く帯びており、儀式の際に奏でられる。；JR線との連絡改札はなく、乗り換えの際は一旦改札を出る必要がある。；ヨーロッパや日本で劇場公開された際のバージョン。；腎臓の機能が発達している為、老廃物の排出の際の水分の損失が少ない。；その際には中央の軸に横動を許容するなどの対策が必要となる。；特に区別する際には小さい方の島を前島と呼ぶこともある。</t>
        </is>
      </c>
      <c r="J3152">
        <f>HYPERLINK("https://www.weblio.jp/content/際", "词义详情")</f>
        <v/>
      </c>
      <c r="K3152">
        <f>HYPERLINK("https://yourei.jp/際", "查看例句")</f>
        <v/>
      </c>
    </row>
    <row r="3153">
      <c r="A3153" t="inlineStr">
        <is>
          <t>財</t>
        </is>
      </c>
      <c r="B3153" t="inlineStr">
        <is>
          <t>成功</t>
        </is>
      </c>
      <c r="C3153" t="inlineStr">
        <is>
          <t>読み方：たから
１世の中に数少なく、特に貴重なもの。宝物。財宝。「家に伝わる—」
２財産。金銭。
「悖(さか)って来る—の悖って出るに任せ」〈露伴・寝耳鉄砲〉
３ほかのものと取り替えることのできない、特に大切なもの。また、かけがえのない人。「国の—ともいうべき人材」「子—」→御宝(おたから)</t>
        </is>
      </c>
      <c r="D3153" t="inlineStr">
        <is>
          <t>財をなし(5%)；財政基盤(3%)；財市場；財政庁；財神</t>
        </is>
      </c>
      <c r="E3153" t="inlineStr">
        <is>
          <t>財産；資産；富；宝；宝物</t>
        </is>
      </c>
      <c r="F3153" t="inlineStr">
        <is>
          <t>消費財；価値尺度財；貿易財；莫大な財；輸入財</t>
        </is>
      </c>
      <c r="G3153" t="inlineStr">
        <is>
          <t>財政；財団；財布；財団法人；財宝</t>
        </is>
      </c>
      <c r="H3153" t="n">
        <v>29</v>
      </c>
      <c r="I3153" t="inlineStr">
        <is>
          <t>その主体は企業であり、これが物財やサービスを生産し流通させている。；彼はその財と個人的な魅力を巧みに使い、イタリア内の安定を実現した。；しかし、高額な消費財を国民に提供することは、満足にはできなかった。；しかし、現実には、同種の財を互いに輸出・輸入し合う場合も見られる。；人間は或る財を使用せる時価値順位の高い目的に先ず割り振るのである。；供給とは、購入または販売のために利用可能な財またはサービスの量である。；ヴァネクは、HOモデルを多数要素・多数財・多数国の場合に拡張した。；リカードが考えていたのは、財の生産に財が投入される循環構造である。；将来の利益が期待できる生産の資本となるような財のことを資本財という。；銅鏡は九州で大量に発見されており、500年に渡って重要な財とされた。；購買力とは、1単位の通貨で購入できる財やサービスの量のことである。；各生産段階で付加された付加価値の合計は、最終生産財の価格に等しい。；自由以外の社会的な基本財をどのように分配するかを示すための原理である。；このような輸出財1単位と交換される輸入財の量のことを交易条件という。；すなわち、教養こそ財として重きを置くべきとする教育がなされていた。；第 i 財の生産に単位あたり ai1 の生産財が投入されるとする。；一般消費財の生産は制限され、戦争準備に大きく関係する工業の運営が強化された。；翌年6月に正式に財政庁長に任命され、さらに永済官銀号総弁も兼ねた。；これにより新しい財市場の均衡点では、国民所得が増加することとなる。；同じ効用が得られる財の組み合わせを結んだものを無差別曲線という。；どのような財を、どのようなタイミングで交換するかが重要となる。；輸入とは、外国から資源やサービスなどの財を購入することを言う。；ただし、国家が一定の基本的な公共財を提供することには必ずしも反対しない。；需要の価格弾力性が低い財というのは必需品に近い財であることが多い。；文化的財の生産には、通常の財とは異なる構造があるとされてきた。；金の出入りが激しく遊び好きだが、最終的にはさらに財を得る。；毎年約3万件が地区の一部としてまたは単体で国家登録財に追加されている。；その地でイスマーイールは財を築くため現地の農業と商業に専念した。；関羽信仰の主体が商人であったことが、武将関羽が財神に変化した原因となる。</t>
        </is>
      </c>
      <c r="J3153">
        <f>HYPERLINK("https://www.weblio.jp/content/財", "词义详情")</f>
        <v/>
      </c>
      <c r="K3153">
        <f>HYPERLINK("https://yourei.jp/財", "查看例句")</f>
        <v/>
      </c>
    </row>
    <row r="3154">
      <c r="A3154" t="inlineStr">
        <is>
          <t>再～</t>
        </is>
      </c>
      <c r="B3154" t="inlineStr">
        <is>
          <t>成功</t>
        </is>
      </c>
      <c r="C3154" t="inlineStr">
        <is>
          <t>読み方：さ
⇒さい</t>
        </is>
      </c>
      <c r="H3154" t="n">
        <v>0</v>
      </c>
      <c r="J3154">
        <f>HYPERLINK("https://www.weblio.jp/content/再～", "词义详情")</f>
        <v/>
      </c>
      <c r="K3154">
        <f>HYPERLINK("https://yourei.jp/再～", "查看例句")</f>
        <v/>
      </c>
    </row>
    <row r="3155">
      <c r="A3155" t="inlineStr">
        <is>
          <t>最悪</t>
        </is>
      </c>
      <c r="B3155" t="inlineStr">
        <is>
          <t>成功</t>
        </is>
      </c>
      <c r="C3155" t="inlineStr">
        <is>
          <t>読み方：さいあく
［名・形動］最も悪い状態であること。また、そのさま。「—な（の）場合」「事態は—だ」⇔最善／最良。
[補説]俗に、「最悪チームの解散もありうる」のように、副詞的に用いることもある。</t>
        </is>
      </c>
      <c r="D3155" t="inlineStr">
        <is>
          <t>最悪ケース；最悪レベル；最悪計算量；最悪の場合死亡；最悪時間計算量</t>
        </is>
      </c>
      <c r="E3155" t="inlineStr">
        <is>
          <t>少なくとも；最低；せめて；どん底；ワースト</t>
        </is>
      </c>
      <c r="F3155" t="inlineStr">
        <is>
          <t>世界最悪；最低最悪；以来最悪；人生最悪；戦後最悪</t>
        </is>
      </c>
      <c r="G3155" t="inlineStr">
        <is>
          <t>最悪実行時間；最悪事態；最悪の世代；最悪板</t>
        </is>
      </c>
      <c r="H3155" t="n">
        <v>29</v>
      </c>
      <c r="I3155" t="inlineStr">
        <is>
          <t>当時の陸軍と警察の関係は最悪であり、この行為は極めて異例であった。；このように様々な全体主義の特徴を集約した最悪の体制が描かれている。；いろいろな面でリエルが恐れていた最悪の事態が現実のものとなった。；キングは南部でこれまで見た中でも最悪の警官による残忍さだと言った。；もしこれが駆除されないと、最悪の場合家を出なければいけない事もある。；飢餓の最悪期にも中国はソ連からの借款の返済に農作物を輸出していた。；最悪の場合は藩帥を追放・殺害してすげ替えるといった事態に発展する。；ただし、いずれの場合も最悪ケースの可能性を完全に排除できるものではない。；この一連の事件はゲーム業界の歴史において最悪の出来事となった。；そして3日間で30万人以上のキューバ人が武装し最悪の事態に備えた。；この周波数は信号伝播の最悪ケースを考慮して決めなければならない。；しかし本大会では9位に終わり、入賞すら逃す史上最悪の結果となった。；そして俺はアンドリューにとっても最悪な瞬間だったろうと思ったよ。；相手の意図が分らないと、最悪の事態を想定して、関係が悪化することがある。；ある男が、一つの地域を停電させるという最悪の犯罪をしてしまった。；最悪の場合は母体か胎児のどちらか、もしくは両方が死に至ることもある。；そのため、相互の対立が後を絶たず、メンバー間の仲は最悪といえる。；ちなみにその時本人は「これで負けたら最悪です」とコメントしている。；強い食物アレルギーがある場合、最悪の場合は死に至ることすらある。；その背景として開戦当初、最悪の事態も考えられていたことが挙げられる。；一つは誰かを奴隷にすることであり、まさに最悪の行為である。；大型種のため毒の量が多く、人間が噛まれると激しく痛み最悪の場合は死に至る。；北軍の何人かの部隊指揮官は最悪の銃火を避けるために兵士に前進させた。；破天荒のカギ真拳とは最悪の相性でありほとんどの攻撃が無力化される。；放置しておくと、最悪の場合壊死に至る医学的緊急性の高い状態である。；これは、スタンダールの歴史上で最高かつ最悪なページの幕開けであった。；オーストリアの場合は、崩壊の仕方が全くもって最悪であった。；彼女は後に当時のことを「人生で最悪の時期」と振り返っている。；最悪の事態が予想される大事故だったが命に別条は無かった。</t>
        </is>
      </c>
      <c r="J3155">
        <f>HYPERLINK("https://www.weblio.jp/content/最悪", "词义详情")</f>
        <v/>
      </c>
      <c r="K3155">
        <f>HYPERLINK("https://yourei.jp/最悪", "查看例句")</f>
        <v/>
      </c>
    </row>
    <row r="3156">
      <c r="A3156" t="inlineStr">
        <is>
          <t>罪悪感</t>
        </is>
      </c>
      <c r="B3156" t="inlineStr">
        <is>
          <t>成功</t>
        </is>
      </c>
      <c r="C3156" t="inlineStr">
        <is>
          <t>読み方：ざいあくかん
罪をおかした、悪いことをしたと思う気持ち。「—に責められる」</t>
        </is>
      </c>
      <c r="D3156" t="inlineStr">
        <is>
          <t>罪悪感めいた</t>
        </is>
      </c>
      <c r="E3156" t="inlineStr">
        <is>
          <t>負い目；自責の念；良心の呵責；悔悟；引け目</t>
        </is>
      </c>
      <c r="F3156" t="inlineStr">
        <is>
          <t>深い罪悪感；激しい罪悪感；罪悪感めい</t>
        </is>
      </c>
      <c r="H3156" t="n">
        <v>29</v>
      </c>
      <c r="I3156" t="inlineStr">
        <is>
          <t>これ以上罪悪感もなしに人を殺す状況は、望んでも得られないでしょう。；彼は彼女たち全員に罪悪感を抱いていることを理由にこれらを拒否した。；心をきめたことが罪悪感と記憶の両方にとどめをさしたかのようだった。；そんな様子を見ると、さすがにロレンスの胸にも罪悪感が生まれてきた。；俺に対する非難の意思を表現していたわけではないらしい、けど罪悪感?；狂った体内時計に罪悪感を持つからいけないのだと思ったこともあった。；私の家族は私の身に起こったことについて罪悪感と怒りに耐えていました。；そもそもこんな連中のために、何かをするというのは罪悪感すら感じる。；その罪悪感のような感情は社会との軋轢から来るものではなかったのです。；でも、なにも打ち明けないで話をすることの方が罪悪感を覚えるのです。；父親は旅の初期にナッスンを殴ってしまうが、すぐに罪悪感に襲われる。；それが罪悪感と呼ばれるものだとは、このとき少女にはまだわからなかった。；きっとあの子の罪悪感が、ああいう形になって現れたんだと思うよ。；横顔が滅多に見られないような表情をしていて、僕は罪悪感に駆られる。；ところが今回の場合、何の罪悪感もなしに、この話を人にできるんだ。；じっとしていると、また家を空けたことの罪悪感に襲われそうだった。；ハルが人間の罪悪感に類するものを味わうなどとはおよそ考えていない。；あの罪悪感のなさと身軽さはやはり背中の翼から来るのでしょうか。；そんな罪悪感を覚えはしても、今はこうするしかないとロランは思う。；でもそれが、彼のリディアに対する罪悪感のためかどうかはわからない。；お父さんが罪悪感でいっぱいの苦しそうな顔をしているんじゃないかと思えて。；嬉しかったが、すぐそのあとで、得もいわれぬ罪悪感に襲われもしたのだ。；どうも本気で落ち込んでいるみたいなので、文香は少し罪悪感を覚えた。；悲しみを生じていることは、反省と罪悪感につながっていると考えられる。；いずれにせよ、罪悪感の主要な源泉が父親殺しにあることは間違いない。；そんな感謝の心、罪悪感などで祭り上げられては反英雄になどなれん。；落ち着かない気分になるのは、彼の妹の日記を読んだ罪悪感のせいだろうか。；冗談みたいだったけど、サダは本気で僕に罪悪感を抱かせようとしていた。；罪悪感というものはなかったが、不思議だと思う感情はこみ上げてくる。</t>
        </is>
      </c>
      <c r="J3156">
        <f>HYPERLINK("https://www.weblio.jp/content/罪悪感", "词义详情")</f>
        <v/>
      </c>
      <c r="K3156">
        <f>HYPERLINK("https://yourei.jp/罪悪感", "查看例句")</f>
        <v/>
      </c>
    </row>
    <row r="3157">
      <c r="A3157" t="inlineStr">
        <is>
          <t>再会</t>
        </is>
      </c>
      <c r="B3157" t="inlineStr">
        <is>
          <t>成功</t>
        </is>
      </c>
      <c r="C3157" t="inlineStr">
        <is>
          <t>読み方：さいかい
［名］(スル)長く別れ別れになっていた人どうしが、再びめぐりあうこと。「—を期す」「三〇年ぶりに—した友」
[補説]書名別項。→再会</t>
        </is>
      </c>
      <c r="D3157" t="inlineStr">
        <is>
          <t>再会する(19%)；再会できる；再会しよ；再会事業；再会シーン</t>
        </is>
      </c>
      <c r="E3157" t="inlineStr">
        <is>
          <t>後会</t>
        </is>
      </c>
      <c r="F3157" t="inlineStr">
        <is>
          <t>偶然再会；とも再会；離散家族再会；劇的な再会；運命的な再会</t>
        </is>
      </c>
      <c r="G3157" t="inlineStr">
        <is>
          <t>再会の街；再会タイムマシン</t>
        </is>
      </c>
      <c r="H3157" t="n">
        <v>29</v>
      </c>
      <c r="I3157" t="inlineStr">
        <is>
          <t>この曲がきっかけとなり、瞳との38年ぶりのツアーでの再会となった。；晩年、夫の死をきっかけに中とは再会し、中が没するまで交流が続いた。；キャンプに向うバスの中で出会った少女に、森の中で再会したサーニン。；キラは無事脱出していた友人達と再会するが、戦闘はまだ続いていた。；そして同じ思いを持ってそこに居た父と再会し、和解を選ぶのだった。；以後、スミスが死去するまで両者は一度も再会することはなかったという。；養成所を訪れた2人は、師匠と再会し叱咤され舞台への復帰を決意する。；その再会によって、ふたりは自分たちの過去に直面せざるをえなくなる。；この旅行の間、前年にカリフォルニアに移住した兄ジョンと再会した。；しかしこの時の再会で皇太子はダイアナが美しく育っていることを知った。；そのような中で再会を果たしたパブロ・ピカソとの交友は晩年まで続いた。；このとき夫人と再会した岩本は、夫人の顔を忘れていたようである。；明石の御方もたまたまこれに来合わせていたが再会はできなかった。；サンボたちは家で心配して待っていた両親と感動の再会を果たす。；後に二人は再会の場を持つが、そこにルキウス帝を呼ぶ考えは双方に無かった。；第二次世界大戦終結後にポーランドへ戻り、生き延びた父親と再会した。；そのオープニングの駅での再会シーンの一部に田中のアイデアが採用された。；その頃お世話になった太田夫妻とは、ホムカミの企画で再会を果たした。；バレンシア時代に指導を受けたラニエリ監督と再会することとなった。；産婦人科を訪れたリカは研修医として働く三上と再会し自宅に招かれる。；やがてそこで父フランツ1世と再会した彼女は、オーストリアへと帰国した。；その後は連絡を取ることはなかったが、バスで偶然、美和子の母親と再会。；劉備三兄弟との再会を果たす事はないまま、物語から姿を消している。；最後にナージャは自分に掛けられた疑いを晴らし、母親との再会を果たす。；これにも続編製作の希望として「再会」の意味が込められているという。；家に帰ると両親は出かけており、フィービーの部屋で妹と再会する。；やっと自分の真珠を渡した少年と再会することができたるちあ。；メアリーがヘンリー8世と再会したのはアンが処刑されたときだった。；その際、量子シミュレーションに保存されていたデータの意識と再会する。</t>
        </is>
      </c>
      <c r="J3157">
        <f>HYPERLINK("https://www.weblio.jp/content/再会", "词义详情")</f>
        <v/>
      </c>
      <c r="K3157">
        <f>HYPERLINK("https://yourei.jp/再会", "查看例句")</f>
        <v/>
      </c>
    </row>
    <row r="3158">
      <c r="A3158" t="inlineStr">
        <is>
          <t>災害</t>
        </is>
      </c>
      <c r="B3158" t="inlineStr">
        <is>
          <t>成功</t>
        </is>
      </c>
      <c r="C3158" t="inlineStr">
        <is>
          <t>読み方：さいがい
地震・台風などの自然現象や事故・火事・伝染病などによって受ける思わぬわざわい。また、それによる被害。「不慮の—」「—に見舞われる」</t>
        </is>
      </c>
      <c r="D3158" t="inlineStr">
        <is>
          <t>災害対応；災害救援；災害現場；災害等；災害支援</t>
        </is>
      </c>
      <c r="E3158" t="inlineStr">
        <is>
          <t>困難；不幸；障害；故障；面倒</t>
        </is>
      </c>
      <c r="F3158" t="inlineStr">
        <is>
          <t>大きな災害；土石流災害；噴火災害；災害地；洪水災害</t>
        </is>
      </c>
      <c r="G3158" t="inlineStr">
        <is>
          <t>災害対策；災害発生；災害派遣；災害救助；災害拠点病院</t>
        </is>
      </c>
      <c r="H3158" t="n">
        <v>29</v>
      </c>
      <c r="I3158" t="inlineStr">
        <is>
          <t>災害招集等で駐屯地にて待機等の場合は指定された場所での居住となる。；また、災害やその復旧に伴う線形改良で旧線が廃止となる例も存在する。；原子力発電所の原子炉が事故を起こすと大規模な災害となることがある。；また、災害で被害を受けたりした場合に住民税を減免できる場合がある。；また災害の種類に応じて対策を定めたものには、以下の法律がある。；災害は法律で定義される場合もあるがその対象や規模は一律ではない。；該当日に実際に災害が発生した場合には、体験利用ができなくなることがある。；主によい意味として使われる為、事故や災害では使われることはない。；警報は、重大な災害の起こるおそれのある旨を警告して行う予報である。；入鹿池は確かにこの様な大災害を起こしたが、防災の面での貢献も大きい。；指揮隊は、上記のような災害現場での総合指揮・統括の任務を担当している。；このため事故や災害による運行の乱れが複数の路線に及ぶことが多い。；災害の防止や資源の保護のために植生を利用することも広く行われている。；工事や災害などで一時的に列車の速度を制限する必要がある場合に臨時に設置される。；主な飲料メーカーが既に災害対応型自動販売機を全国に設置している。；風や降雨による災害は同時に発生することも多く、風水害と総称される。；雨量は季節や年により変動し、少な過ぎても多過ぎても災害となりうる。；他にも大きな災害となった理由がいくつかあげられている。；適切な計画を立てないと、災害の影響が拡大する可能性がある。；刑務所の服役囚や災害現場の被災者もこの方式で遺言をすることが可能。；特に木樋は材質が木であるため災害が起こる度に大きな破損を受けた。；「必死で生きてきたのに、こんな災害で殺すのか、と」と述べている。；槙は8万人規模では、災害などで避難誘導するのは難しいことを訴えた。；この時代には干ばつ・飢饉・山火事などの災害や疫病の流行が多発した。；日本の旧国鉄によって始められた事故・災害予防対策の一つの手法である。；臨時列車や災害などで不通になった際などに折り返し運転が行われている。；災害関連の報道では、主に被災地に所在する企業や事業所の動向を報じる。；また、着陸支援設備が災害等で被害を受けた場合や未整備の地域でも効果を発揮する。；また、2次医療圏ごとに地域災害拠点中核病院が1箇所指定されている。</t>
        </is>
      </c>
      <c r="J3158">
        <f>HYPERLINK("https://www.weblio.jp/content/災害", "词义详情")</f>
        <v/>
      </c>
      <c r="K3158">
        <f>HYPERLINK("https://yourei.jp/災害", "查看例句")</f>
        <v/>
      </c>
    </row>
    <row r="3159">
      <c r="A3159" t="inlineStr">
        <is>
          <t>在学</t>
        </is>
      </c>
      <c r="B3159" t="inlineStr">
        <is>
          <t>成功</t>
        </is>
      </c>
      <c r="C3159" t="inlineStr">
        <is>
          <t>読み方：ざいがく
［名］(スル)学生・生徒・児童として学校に籍を置くこと。「本校に—する生徒」</t>
        </is>
      </c>
      <c r="D3159" t="inlineStr">
        <is>
          <t>在学中(74%)；在学時代；在学者；在学当時；在学期間</t>
        </is>
      </c>
      <c r="F3159" t="inlineStr">
        <is>
          <t>在学時；高校在学；大学院在学；中学在学；高等学校在学</t>
        </is>
      </c>
      <c r="G3159" t="inlineStr">
        <is>
          <t>在学生</t>
        </is>
      </c>
      <c r="H3159" t="n">
        <v>29</v>
      </c>
      <c r="I3159" t="inlineStr">
        <is>
          <t>高校在学中から専門分野の知識や技術を身につけることが可能なコース。；在学時に物真似を披露したことで学校中に名前が知られるようになる。；中学在学中に受けたオーディションの合格がきっかけとなり声優に転向。；判決は、共通して、在学契約には消費者契約法の適用があるとしている。；岐阜女子商業高校在学中に演劇を始め、主に脚本と役者を担当していた。；在学当時から歌ばかり歌っていて成績はかんばしくなかったと言われている。；なお当時のコモンスクールは21歳まで在学できるとの規定が多かった。；聖光学院在学時に授業で建築模型を製作して以来建築に興味を抱いていた。；その場合でも8年を越えて在学することは不可能であることが多い。；大学在学中のデビューであったことが著者後書きなどで語られている。；高校在学中にレーシングカートを始め、数戦のレースに参加し優勝も経験。；年齢主義の強い学校制度では、同学年内の在学者の年齢は統一化される。；高等学校在学中にはバンドでボーカルを担当し、歌手のキャリア開始。；大学在学中に作曲を始め、ラジオ放送で賞を獲得し、その才能を発揮する。；東京帝国大学大学院に在学中、外務省の試験を受けたが、不合格となる。；短大在学中、将来への不安などからやさぐれていた時期もあるという。；また大学在学中には高校野球の指導者になるために教員資格を取得している。；フェンシングが得意で、王立演劇学校在学中には賞を2つ受賞している。；スイスの学校に在学し、アメリカに戻った後の1年は予備校に通った。；なお、高校在学時までは、砲丸投げやサッカーなどを得意としていた。；日芸進学を決めたのも、当時ファンだった歌手が在学していたからだったという。；また我が強いということを法政大学在学時に認識するようになったという。；その他一般大学在学中の学生に士官としての教育を行う制度もある。；その一方で、他の在学者からは忌避されていたわけではないことにも注目すべきである。；小林が演劇を始めたのは、大学に在学していた時のことである。；学在学中から既にひばり児童合唱団でも演奏、指導、作曲などをしていた。；卒業とほぼ同時に大学在学中に市民合唱団で知り合った女性と結婚。；法政大学在学中には、理系のアメリカンフットボール部で活動していた。；このように、通常は在学期間が修業年限と大幅にずれることは少ない。</t>
        </is>
      </c>
      <c r="J3159">
        <f>HYPERLINK("https://www.weblio.jp/content/在学", "词义详情")</f>
        <v/>
      </c>
      <c r="K3159">
        <f>HYPERLINK("https://yourei.jp/在学", "查看例句")</f>
        <v/>
      </c>
    </row>
    <row r="3160">
      <c r="A3160" t="inlineStr">
        <is>
          <t>細菌</t>
        </is>
      </c>
      <c r="B3160" t="inlineStr">
        <is>
          <t>成功</t>
        </is>
      </c>
      <c r="C3160" t="inlineStr">
        <is>
          <t>読み方：さいきん
原核細胞を持つ単細胞の微生物。原形質に明瞭な核をもたない生物の一群。主に分裂によって繁殖する。地球上の至る所に存在する。食品加工や有機物の分解に利用されるが、病原体となるものも多い。光合成細菌、藍藻類（シアノバクテリア）、窒素固定菌、放線菌など。バクテリア。</t>
        </is>
      </c>
      <c r="D3160" t="inlineStr">
        <is>
          <t>細菌感染(4%)；細菌性(3%)；細菌戦；細菌細胞；細菌種</t>
        </is>
      </c>
      <c r="E3160" t="inlineStr">
        <is>
          <t>虫；菌；微生物；バクテリア；桿菌</t>
        </is>
      </c>
      <c r="F3160" t="inlineStr">
        <is>
          <t>共生細菌；常在細菌；外温細菌；性細菌；内生細菌</t>
        </is>
      </c>
      <c r="G3160" t="inlineStr">
        <is>
          <t>細菌学者；細菌類；細菌兵器；細菌性髄膜炎；細菌叢</t>
        </is>
      </c>
      <c r="H3160" t="n">
        <v>29</v>
      </c>
      <c r="I3160" t="inlineStr">
        <is>
          <t>かなり大仕掛けな機械だが、行き当たりばったりで細菌を製造する機械。；多くの細菌種は単一の細胞として存在しているが、例外も知られている。；また、他の細菌性食中毒に比べて高熱が出ることが多いのが特徴である。；このような構造は細菌細胞の抗原を隠しカモフラージュするように働く。；スノウ博士は当時主流であった瘴気説に対抗する細菌説を信じていた。；口腔内には多くの細菌が存在し、この中には多くの原因菌が存在する。；病原体には様々な細菌が知られているが、古細菌では知られていない。；細菌の細胞が死細胞を残さず、溶けたように消滅することからこの名がついた。；こうなると細胞質の内容が無制限に流出してしまい、細菌は死に至る。；他にもヒゲが落ちてたまたまその周りに細菌ができなかったというのもある。；症状が10日以上続いたり、悪化していく場合は細菌感染症が疑われる。；植物や動物と共生・寄生の関係になる細菌系統も多く知られている。；このライフゲームのルールは細菌などの生物の繁殖のアナロジーである。；以下のケースは血液に細菌が混入している恐れがあるため不可となる。；溶菌とは、細菌の細胞が細胞壁の崩壊を伴って破壊され、死滅する現象。；脳脊髄液中では免疫防御機構が機能しないため細菌は急速に増殖する。；この内部には根粒菌が共生しており、この細菌が空中窒素固定能を持つ。；歯垢は細菌が集まって膜を形成したバイオフィルムだとも捉えられている。；芽胞の状態にある細菌まで完全に殺すには、より高温での処理が必要となる。；これは、病原細菌の学名に日本人研究者の名前が付いている唯一の例である。；これは細菌破壊時に細菌細胞膜からの生成物を増加させるためである。；細菌の一部には、生物発光の化学システムを持つものが知られている。；細菌は単細胞生物であるが、その一つ一つの細胞の形状は種ごとに異なる。；他の多くの細菌は、人間や他の生物の共生細菌として発見されている。；ただし同じ細菌であっても、培養条件が変わるとその形状が変化する場合も多い。；対象とする細菌などによっては効果が期待できない方法もある。；このため、細菌の鑑別の際にはまず最初に必ず行われる基本的な同定法である。；原核生物である細菌で多く見られるが、真核生物でも一部で見られる。；コーンは、細菌をその形態に基づいて分類した最初の人物である。</t>
        </is>
      </c>
      <c r="J3160">
        <f>HYPERLINK("https://www.weblio.jp/content/細菌", "词义详情")</f>
        <v/>
      </c>
      <c r="K3160">
        <f>HYPERLINK("https://yourei.jp/細菌", "查看例句")</f>
        <v/>
      </c>
    </row>
    <row r="3161">
      <c r="A3161" t="inlineStr">
        <is>
          <t>最近</t>
        </is>
      </c>
      <c r="B3161" t="inlineStr">
        <is>
          <t>成功</t>
        </is>
      </c>
      <c r="C3161" t="inlineStr">
        <is>
          <t>読み方：さいきん
１現在より少し前のある時。また、少し前から現在までの間。副詞的にも用いる。「つい—の出来事」「—まで知らなかった」「—は連絡がない」「—感動した本」
２もっとも近いこと。「太陽に—の天体」
[用法]最近・近ごろ・このごろ——「最近（近ごろ・このごろ）の世相はめまぐるしく変わる」のように、現在を含む近い過去の意では相通じて用いられる。◇「最近（近ごろ・このごろ）は行かない」のように否定の形ではともに使えるが、この場合「最近」が時間的な幅が最も長く、「近ごろ」がそれに次ぐ。「このごろ」は短い期間をいい、「ここのところ」の意が強い。◇「最近就職したばかりだ」のように、現在に近い過去のある特定の時点をさす意では「このごろ」は普通使わない。「近ごろ」は使えるが、なじみが悪く、例は少ない。</t>
        </is>
      </c>
      <c r="D3161" t="inlineStr">
        <is>
          <t>最近発見；最近流行；最近とみに；最近読ん；最近ようやく</t>
        </is>
      </c>
      <c r="E3161" t="inlineStr">
        <is>
          <t>現在；今；時代；今日；現代</t>
        </is>
      </c>
      <c r="F3161" t="inlineStr">
        <is>
          <t>一番最近；ほんの最近；いちばん最近；最近はやり；最近めきめき</t>
        </is>
      </c>
      <c r="G3161" t="inlineStr">
        <is>
          <t>最近親；最近の若者；最近傍探索；最近共通祖先；最近傍法</t>
        </is>
      </c>
      <c r="H3161" t="n">
        <v>29</v>
      </c>
      <c r="I3161" t="inlineStr">
        <is>
          <t>犯人のポケットには小銭と、最近の血の跡が付いたナイフが入っていた。；最近高支持率地域の溶解現象が勢いを増していることが確認されている。；メイドを主なテーマとする比較的最近の漫画作品には、以下の例がある。；最近のものはカップを二重構造にするだけで段のない容器になっている。；収入総合計額については増加した時期もあったが、最近では減少している。；米国では最近では医師たちもおよそ半数が代替医療を支持しているという。；旧修道院は最近になって発掘され、川の左岸の浅瀬で見ることができる。；ここ最近ではNESiCAxLiveのコンテンツが市場の中心である。；最近では遺伝子組み換え技術は様々な作物の新品種開発に使われている。；さらに最近では、ゲームの設定を初期状態にする意味で利用されることもある。；収入総合計額が増加した時期もあったが、最近では減少している。；最近社会的トラブルに関係する「安全設計」にこの考え方が適用できる。；最近の研究により島民が自力で建設し、移動させたことがわかっている。；フィリピンに独立を保証するという彼らの最近の約束は全く信頼できない。；かつては弦に絹が使われていたが、最近ではスチール弦が使われている。；最近の経営学者・経済学者には、この点を両者の相違としている者も多い。；市場には自生品が出回ることもあるが、最近では養液栽培も盛んである。；また、最近では不定期扱いで福井テレビや高知放送でも放送されている。；最近まで菌類と考えられていたのでカビのような名で呼ばれている。；また、最近ではこれらの言語の処理系でも性能が向上してきている。；また、最近は企業側で個人を特定する文字列の一部を伏せ字にしている。；また、最近ではこのパズルのみを集めた雑誌も複数出版されている。；最近の研究では、相変化の精密なコンピュータモデルが着目されている。；最近のワールドコンの運営には100万ドル近い費用がかかっている。；最近は関東や関西でも生菓子の一種類として使われるようになっている。；より最近では、2002年から2005年の深刻な乾燥で知られている。；季節を問わず野菜や果物類が手に入るようになったのは、最近のことである。；最近では非実体弾を射出する各種の武装・装備を銃と呼称する事も増えている。；近年では救荒食物とされるのみだったが、最近その生産性が再評価されている。</t>
        </is>
      </c>
      <c r="J3161">
        <f>HYPERLINK("https://www.weblio.jp/content/最近", "词义详情")</f>
        <v/>
      </c>
      <c r="K3161">
        <f>HYPERLINK("https://yourei.jp/最近", "查看例句")</f>
        <v/>
      </c>
    </row>
    <row r="3162">
      <c r="A3162" t="inlineStr">
        <is>
          <t>細工</t>
        </is>
      </c>
      <c r="B3162" t="inlineStr">
        <is>
          <t>成功</t>
        </is>
      </c>
      <c r="C3162" t="inlineStr">
        <is>
          <t>読み方：さいく
［名］(スル)
１手先を使って細かい器物などを作ること。また、作ったもの。「精巧な—」「—を施す」「竹で—する」「寄せ木—」
２細かなところに手を入れて、見た目をとりつくろったり、ごまかしたりすること。また、そのたくらみ。「帳簿に—する」「へたに—しないほうがいい」
３細かい器具を作る職人。細工師。
「高陽親王(かやのみこ)と申す人…極めたる物の上手の—になんありける」〈今昔・二四・二〉</t>
        </is>
      </c>
      <c r="D3162" t="inlineStr">
        <is>
          <t>細工物(5%)；細工師(3%)；細工場；細工職人；細工みたい</t>
        </is>
      </c>
      <c r="E3162" t="inlineStr">
        <is>
          <t>操作；隠し；仕掛け；加工；トリック</t>
        </is>
      </c>
      <c r="F3162" t="inlineStr">
        <is>
          <t>粘土細工；金銀細工；宝石細工；金属細工；無細工</t>
        </is>
      </c>
      <c r="G3162" t="inlineStr">
        <is>
          <t>細工品；細工谷；細工屋；細工所；細工箱</t>
        </is>
      </c>
      <c r="H3162" t="n">
        <v>29</v>
      </c>
      <c r="I3162" t="inlineStr">
        <is>
          <t>実は故障したのは、ジョンが修理可能な方法で細工をしていたからだった。；だれかに見つかるといけませんから、ちょっと細工をしておきましょう。；糸のこ細工でもやっていれば、あの子にはもう気ばらしなんですからね。；初期の製品はハンドメイドで絵付けの美しさ、細工の繊細さで知られる。；それを僕がちょっとの間借りておいて、いろいろ細工をしたのだよ。；細工が帰らうとすると、愛護が、強ひて叔父の処まで送つてくれと言ふ。；エタの或る者が細工または細工人と呼ばれた事のあったのは疑いを容れぬ。；背景の粗雑に引かえて、押絵の細工の精巧なことは驚くばかりであった。；コーヒーに細工されていた事に気づいたが、既に電話線も切られていた。；或いは彼らが広く皮田と呼ばれたものは、この皮細工人から得た名である。；高所・地下工事、金属細工、車体製造・販売会社がその主なものである。；犯人が外に出てから、こういう内側の細工をすることは、とてもできません。；壁面の石細工は明らかにイタリア・ルネッサンスの影響を受けている。；きみは知らなかったかもしれないが、これが、箱根細工の秘密箱ですよ。；それに飽きると今度は姉の夫をすぐバット細工の友達にして仕舞った。；実はサリーがマイクに恥をかかせないため、競技中に細工したのだった。；髪には真珠の輪をつけており、髪の周りには細線細工のような光輪がある。；行ってみると森の中に一通の手紙と美しい細工が施された一個の喇叭が落ちていた。；だがわたくしはそこまで細工した人生を見たくありません。；砂糖細工やペーストリーの装飾技術を駆使した繊細な作りのものもある。；高級将校らはしばしば購入した軍刀に金メッキなどの細工や装飾を施した。；そうしてどうやら人形のどこかへ、何か細工をなされたようだ。；これは日時計を所持していることを知られないようにするための細工でもあった。；いずれにしても皮田が皮細工人の義である事は明らかである。；父の寝室に貼られた蝋印を取って、そのあとで細工したのも知っています。；江戸時代には曲尺丁・御細工人丁・裏御細工人町・東御廐丁と呼ばれた。；お加代はそうやって順平の指紋が現場に残るよう細工したのである。；武器や防具に細工をすることで各ステータスを大きく変化させることが出来る。；顔の大きさと特徴を持った細工物を面、あるいは仮面、マスクという。</t>
        </is>
      </c>
      <c r="J3162">
        <f>HYPERLINK("https://www.weblio.jp/content/細工", "词义详情")</f>
        <v/>
      </c>
      <c r="K3162">
        <f>HYPERLINK("https://yourei.jp/細工", "查看例句")</f>
        <v/>
      </c>
    </row>
    <row r="3163">
      <c r="A3163" t="inlineStr">
        <is>
          <t>採掘</t>
        </is>
      </c>
      <c r="B3163" t="inlineStr">
        <is>
          <t>成功</t>
        </is>
      </c>
      <c r="C3163" t="inlineStr">
        <is>
          <t>読み方：さいくつ
［名］(スル)
１岩石・土砂や地中の鉱物などを掘り出すこと。「石油を—する」
２⇒マイニング3</t>
        </is>
      </c>
      <c r="D3163" t="inlineStr">
        <is>
          <t>採掘場(5%)；採掘される(4%)；採掘量；採掘者；採掘作業</t>
        </is>
      </c>
      <c r="E3163" t="inlineStr">
        <is>
          <t>発掘；掘削；掘る；採鉱；掘り出す</t>
        </is>
      </c>
      <c r="F3163" t="inlineStr">
        <is>
          <t>資源採掘；金採掘；鉱石採掘；採掘所；鉱山採掘</t>
        </is>
      </c>
      <c r="G3163" t="inlineStr">
        <is>
          <t>採掘業；採掘現場；採掘坑；採掘プラットフォーム</t>
        </is>
      </c>
      <c r="H3163" t="n">
        <v>29</v>
      </c>
      <c r="I3163" t="inlineStr">
        <is>
          <t>マップの右上のあたりに鉱石場があり、そこで採掘をすることができる。；近年では、ガス採掘所やその貯蔵所、受入基地などにも使用されている。；黒色火薬はそれまで不可能だった場所でも金属や鉱石の採掘を可能にした。；石炭の採掘は現在でも行われており、イプスウィッチの主力産業である。；近年はオイルサンドを採掘して得られる重質油が主力になっている。；彼らは大規模に水力採掘を行って鉱脈の在り処を探る方式をとっていた。；ブルーストーン採掘のためにだけ開発されているため固定武装は無い。；ヨーロッパ最古の炭鉱街の一つで、12世紀頃より採掘が行われていた。；キルクーク油田など周辺の油田から採掘される原油が主要な産業である。；中でももっとも大きな割合を占めているのはダイヤモンドの採掘である。；この時期の田原を支えたのは市北部で産出する石灰岩の採掘であった。；丘陵地帯を中心に、江戸時代以前から平成にかけて採掘が行われていた。；会社には採掘施設全体の建設・管理を担当する部門がある。；これらの採掘所はシナイ半島のものと合わせて、最も古くから知られている。；埋蔵ストランデッド・ガスの採掘方法を開発している企業はいくつかある。；主に終点近くの鉱山で採掘される石灰石等を搬出するために敷設された。；また、大量の粘土を採掘したため、採掘跡は池になったと伝えられている。；石炭紀は名前の通り石炭特に無煙炭が大量に採掘される地層に該当する。；しかし、おそらく奥山に分け入っての採掘と輸送の困難から開発は遅れていた。；主産物である鉱石の採掘を停止すると副産物の産生も行なわれなくなる。；採掘場の南には小さな山があり、南から北に向かって街は緩やかな坂の上に広がる。；また、石炭採掘中に出土したものなどを中心とする歴史的資料も展示されている。；以下に述べる採掘方法の発展や都市の発展も同様である。；石川中学校の生徒が採掘した鉱石は量が少ないので原料にはならなかった。；石灰石採掘のために、一ノ岳は高さが元の半分程度に低くなっている。；世界恐慌の影響を受け間もなく採掘は中止となり、日本の業者は離島する。；金の採掘には地元の商人が携わり、アマジグ人の商人は参加できなかった。；採掘のための施設を建設して商業生産する段階である。；アメリカも20世紀までは採掘していたが21世紀になってから生産していない。</t>
        </is>
      </c>
      <c r="J3163">
        <f>HYPERLINK("https://www.weblio.jp/content/採掘", "词义详情")</f>
        <v/>
      </c>
      <c r="K3163">
        <f>HYPERLINK("https://yourei.jp/採掘", "查看例句")</f>
        <v/>
      </c>
    </row>
    <row r="3164">
      <c r="A3164" t="inlineStr">
        <is>
          <t>裁決</t>
        </is>
      </c>
      <c r="B3164" t="inlineStr">
        <is>
          <t>成功</t>
        </is>
      </c>
      <c r="C3164" t="inlineStr">
        <is>
          <t>読み方：さいけつ
［名］(スル)
１その物事がよいか悪いかを裁いて決定すること。また、それを申し渡すこと。「—を仰ぐ」「どちらが正しいか先生に—してもらう」
２審査請求または再審査請求に対し、行政庁が判断を与える行為。また、その決定。</t>
        </is>
      </c>
      <c r="D3164" t="inlineStr">
        <is>
          <t>裁決申請；裁決者；裁決権；裁決取り消し；裁決基準</t>
        </is>
      </c>
      <c r="E3164" t="inlineStr">
        <is>
          <t>決定；批判；判断；決意；裁判</t>
        </is>
      </c>
      <c r="F3164" t="inlineStr">
        <is>
          <t>収用裁決；処分又は裁決；緊急裁決</t>
        </is>
      </c>
      <c r="H3164" t="n">
        <v>29</v>
      </c>
      <c r="I3164" t="inlineStr">
        <is>
          <t>しかし、午後一番の御裁決と聞いて、灯など用意していなかったもので。；審査請求を求めても3ヶ月を経過しても裁決がないときなどがそうである。；月最後の御用日に片づかなかった一件は当然ながら裁決が持ち越される。；私は、今政治に自ら裁決を下すこととなり、全ての民をいたわっている。；そこには皆が集まり、食事をともにし、様々な議題が討議・裁決された。；政孝にしてみれば気の遠くなるような裁決待ちの日々であった。；これ以後、各司法部門での裁決は大明律に基づいて行われるようになった。；彼らの意見が一致しない場合は一族の長老であるアルゼンドレスが裁決する。；いちおう、おまえたち三人を連れもどり、国王の裁決を仰がねばならぬ。；これは裁決に不服を抱いた側が再び訴えを起こすことを防止するためのものであった。；収用委員会もそれを承知しているだろうから、うかつな裁決はできんはずだ。；陪審員の手による裁決は、正義の精神に基づいてなされなければならない。；その日所定の裁決を終らぬと、夜中になつても休息せぬと記してある。；この三月二十一日は、有馬晴信の陰謀事件に、裁決を下した日であった。；すくなくもそうあたまのなかで、虫のよい裁決を彼女は自ら下した。；江戸で起きた事件の裁決が申し渡されたのは月が替わって四月六日のことである。；藩に苗字を巡る訴訟を起こして藩が裁決を下したという出来事も起きている。；したがって、今晩裁決されねばならぬふたつの犯罪があるわけです。；彼らの裁決をどれぐらい待ったかはわからないが、恐ろしく長い時間であったにちがいない。；裁判所は請求に理由があると認めるときは、裁決を取り消さなければならない。；そこで機会をみて一挙にかれらを檻禁し、国許へ送って裁決にかける。；彼は定刻に奉行所に姿を見せ、必要な書類に眼を通し、必要な裁決だけを下した。；評議員たちの表情には裁決をうかがわせるものは何もなかった。；私が裁決するときの原則は、罪はいつでも疑いの余地がない、ということです。；貞孝が幕府法を無視した裁決を行っていたことが発覚したのも、更迭の理由とされる。；オハイオ州最高裁判所はすでに、ヴァーノンらに不利な裁決を下していた。；一方、裁決の遅れに憤激した延暦寺の大衆は、再び強訴の態勢に入った。；審判官のなした裁決が確定したときには、理事官は裁決の執行を行う。；そして彼は、〈裁決者〉が別のひとりと交代させるためにえらんだ男のことを考えた。</t>
        </is>
      </c>
      <c r="J3164">
        <f>HYPERLINK("https://www.weblio.jp/content/裁決", "词义详情")</f>
        <v/>
      </c>
      <c r="K3164">
        <f>HYPERLINK("https://yourei.jp/裁決", "查看例句")</f>
        <v/>
      </c>
    </row>
    <row r="3165">
      <c r="A3165" t="inlineStr">
        <is>
          <t>採決</t>
        </is>
      </c>
      <c r="B3165" t="inlineStr">
        <is>
          <t>成功</t>
        </is>
      </c>
      <c r="C3165" t="inlineStr">
        <is>
          <t>読み方：さいけつ
［名］(スル)会議で、議案の採否を会議構成員の賛否をとって決定すること。「—を行う」「法案が—に付される」「投票により—する」</t>
        </is>
      </c>
      <c r="D3165" t="inlineStr">
        <is>
          <t>採決前；採決される；採決時；採決直前；採決方法</t>
        </is>
      </c>
      <c r="E3165" t="inlineStr">
        <is>
          <t>投票；票；決議；議決；票決</t>
        </is>
      </c>
      <c r="F3165" t="inlineStr">
        <is>
          <t>起立採決；法案採決；本会議採決；委員会採決；国会採決</t>
        </is>
      </c>
      <c r="H3165" t="n">
        <v>29</v>
      </c>
      <c r="I3165" t="inlineStr">
        <is>
          <t>採決は球団側または選手側どちらか一方の主張を完全採用する形になる。；庶民院での採決が行われるときに鳴るベルも建物全体に設置されている。；そのため迅速な採決のために取り入れられた運営方法であるといえる。；議会で演説した記録はなく、採決ではホイッグ党内閣であるを支持した。；電子採決システムを導入しておりモニターやスクリーンも設置されている。；サウスダコタ州など他のいくつかの州でも同じような法案が採決されている。；ホーネッカーは観念したように解任動議を採決にかけざるを得なかった。；鬼骨 反対意見もあるやうですから、こゝで採決を取ることにします。；提案を受けて庶民院で早期解散についての採決が行われて承認された。；シャロームはその後の国会での採決や閣議決定では賛成の立場をとった。；なお北村は、解散のきっかけである郵政民営化法案の採決では棄権した。；アメリカの上下院は他の州で同様の法律の制定を奨励する決議案を採決した。；このとき2度目の採決では単純過半数でもって憲法改正が承認される。；例えば議会での議案の採決は議員がいかなる投票をしたか明らかにするため公開を原則とする。；もはや採決するだけだったのだが、このとき委員長が口を開いた。；国務大臣が採決に参加できるという規定はかえって内閣に不利に働いた。；この際の採決は、マスコミに報道されないように発声採決で行われた。；何のことはない、採決を取ったら全員が行くことになった。；閣僚の指名に副大統領の議長採決票が使われたのは史上初めてである。；それでは第三号議案につきまして、ご採決をお願いしたいと存じます。；その後2014年1月22日に法案が採決され、同年2月に施行された。；本会議採決の段階で共同提案者は共和党、民主党から167人に上った。；決定にあたって、委員は採決はせず、委員会の総意としてまとめられた。；頭の中の会議場は、まだ採決の段階に達していない。；これは、セイムで提出された法案が一括で採決されるようになったためである。；もし電子投票機器が故障している場合は挙手による採決を行うこととされている。；まだ委員会審議段階の法案は採決まで行くことはないと語った。；どのような法案も、採決の際に議員の一人でも反対すれば、廃案となったのである。；事実私は中央執行委員会などの会議では採決をしない。</t>
        </is>
      </c>
      <c r="J3165">
        <f>HYPERLINK("https://www.weblio.jp/content/採決", "词义详情")</f>
        <v/>
      </c>
      <c r="K3165">
        <f>HYPERLINK("https://yourei.jp/採決", "查看例句")</f>
        <v/>
      </c>
    </row>
    <row r="3166">
      <c r="A3166" t="inlineStr">
        <is>
          <t>歳月</t>
        </is>
      </c>
      <c r="B3166" t="inlineStr">
        <is>
          <t>成功</t>
        </is>
      </c>
      <c r="C3166" t="inlineStr">
        <is>
          <t>読み方：さいげつ
としつき。年月。「完成に一〇年の—を要する」「五年の—が流れた」</t>
        </is>
      </c>
      <c r="D3166" t="inlineStr">
        <is>
          <t>時；とき；時間；タイム；年月</t>
        </is>
      </c>
      <c r="F3166" t="inlineStr">
        <is>
          <t>近い歳月；永い歳月；ながい歳月；幾歳月</t>
        </is>
      </c>
      <c r="G3166" t="inlineStr">
        <is>
          <t>歳月・推理</t>
        </is>
      </c>
      <c r="H3166" t="n">
        <v>29</v>
      </c>
      <c r="I3166" t="inlineStr">
        <is>
          <t>そして、長い歳月の過ぎた現在では、対等の友人になっているのである。；数百年の歳月をかけて自然が創り出した火山岩の地下水といわれている。；画面には歳月の経過が表現され、それとともにその大きな穴は消えていく。；それで蓄音機と私との交渉はそれきりになってさらに十年の歳月が流れた。；脚本の執筆は手間取り、その完成までおよそ2年の歳月を掛けたという。；三千年の歳月がそれを見おろしはじめると、人間はそれを見あげはじめる。；八年の歳月は、小さな少年を見あげるばかりのたくましさに育てている。；そして、この歳月のあとでは、やはり女の消息が知りたくなつてゐるのだ。；制作には4年以上の歳月がかけられ、日本・タイで撮影が行われた。；スクルージと彼とは何年とも分らない長い歳月の間組合人であった。；当初のスケジュールでは、二人は旅行に3年の歳月をかける予定であった。；彼らが実際には偽物である事が明らかになるのに二年の歳月を要した。；建設が決定してから3年の歳月を経て1980年9月27日に竣工した。；完成までには7年の歳月がかかり、原稿を5回にわたって改めたという。；その後日本へ帰国し六年の歳月が過ぎた頃、春は在日中国人たちと出会う。；結婚引退してから数十年の歳月を得て、子育てを終えた後に芸能活動を再開。；灰色の壁は湿気のために色があせ、歳月を経て崩れおちそうになっている。；歳月の速度は、りよの生活の外側で、何の感興もなく流れてゐるのだ。；爲す可きことを持つてゐる者には六七十年の歳月は須臾にして流れ去るであらう。；空には小さい月が輝いていたが、森に入ると、その光もとどかない。；中国全土が清によって統一されるまでには、約40年の歳月を必要とした。；小さい月のように見えるほど奥へ這入ったなと、振り返って始めて気がついた。；長い歳月を経て、言語には一般的にこの種の分析で順応性があることが証明されている。；小さい月だつたが庭のすずかけの梢の向うにまるで置いたやうに澄んでゐた。；ついには歳月のために尊むべき蓬髪を頭のまわりに生ずるのが普通である。；この統一と国際規格化への道のりには、実に 9年の歳月を要している。；しかし、現地の大司教はそれに反対し許可を得るまで2年の歳月がかかった。；さらに70年の歳月をかけ、セイロン島の大部分を支配するようになった。；従て、久しき歳月の伝承の間に於て、変化改竄を蒙ること比較的に少し。</t>
        </is>
      </c>
      <c r="J3166">
        <f>HYPERLINK("https://www.weblio.jp/content/歳月", "词义详情")</f>
        <v/>
      </c>
      <c r="K3166">
        <f>HYPERLINK("https://yourei.jp/歳月", "查看例句")</f>
        <v/>
      </c>
    </row>
    <row r="3167">
      <c r="A3167" t="inlineStr">
        <is>
          <t>再建</t>
        </is>
      </c>
      <c r="B3167" t="inlineStr">
        <is>
          <t>成功</t>
        </is>
      </c>
      <c r="C3167" t="inlineStr">
        <is>
          <t>読み方：さいけん
［名］(スル)
１焼けたり、壊れたりした建造物を建て直すこと。「倒壊した家屋を—する」→再建(さいこん)
２衰えたり、うまくいかなくなったりした会社や団体などをあらためて組織しなおすこと。「落ち目の政党を—する」
３負傷、手術などで失った部分をシリコンなどの人工素材を使ったり、自身の体の組織を移植したりして元のように形作ること。「—術」</t>
        </is>
      </c>
      <c r="D3167" t="inlineStr">
        <is>
          <t>再建される(3%)；再建計画；再建策；再建しよ；再建工事</t>
        </is>
      </c>
      <c r="E3167" t="inlineStr">
        <is>
          <t>再構築；再構成；作り直す；建て直す；再構</t>
        </is>
      </c>
      <c r="F3167" t="inlineStr">
        <is>
          <t>自主再建；経済再建；生活再建；国家再建；チーム再建</t>
        </is>
      </c>
      <c r="G3167" t="inlineStr">
        <is>
          <t>再建事業；再建派；再建主義；再建ビューロー；再建国民運動</t>
        </is>
      </c>
      <c r="H3167" t="n">
        <v>29</v>
      </c>
      <c r="I3167" t="inlineStr">
        <is>
          <t>マルクト広場周辺には印象的な古い建物が保存あるいは再建されている。；画像はこの時代に再建がなされたローマのサン・ピエトロ大聖堂の内部。；チームの再建にあわせてマラッシ地区に新たなグラウンドも建設された。；コンクリート製での再建案もあったが、市民の求めで木製で再建された。；チームの再建を期待されたが思うような成績が挙げられず1年で退任した。；現存の伽藍の大部分は19世紀はじめの文化年間に再建されたものである。；それは包茎手術を行った男性の陰茎包皮の再建を助けるために発達した。；これは、釜石製鉄所の再建を目指す田中によって開業させたものである。；また放棄された総構も畑や空き地として再建が可能な形で維持されていた。；なお再建後の名称は従来どおり「ワールドトレードセンター」とされた。；この住宅地も第二次世界大戦で被害を受けたが、当初の形に再建されている。；現在の堂は昭和33年に再建されたもので鉄筋コンクリート造である。；日本国政府の目的によるとイラクの国家再建を支援するためであるとされる。；再建後最初となる名古屋戦の相手は火災時と同じ巨人であった。；町は後に再建に向かったものの、完全に復旧されることはなかった。；この再建は同時に行われたものではなく、徐々に造営されたと考えられている。；光海君は即位すると破綻した財政の再建と現実的な外交施策を展開した。；地域振興の目的で天守が再建または建設され始めたのは昭和以降のこととなる。；天守は江戸時代後期に再建されたもので、現存十二天守の中で最も新しい。；そしてディオルを王に戴きドリアスの王国を再建しようと務めたのである。；江戸中期から後期に幕府の許可を得て再建された天守である。；いくつかの投資ファンドの下に回ったのちに1993年より下で再建を行った。；コラムはパリ・コミューン崩壊後に再建され、現在の姿で残っている。；現在見られる建造物の大半は、こののちに再建されたものである。；南部連合に属した州の中で最も多くの兵士を失い、苦しい再建時代を送った。；ただし描かれている大仏は、地震の後に再建された木造の大仏である。；多国籍軍による再建が失敗した国軍は宗派・地域ごとに再び分化された。；石垣を初めとした遺構は多く残るが、建物は昭和以降の再建である。；ただし、実際に所務方として再建を行なったのは長安であるとされている。</t>
        </is>
      </c>
      <c r="J3167">
        <f>HYPERLINK("https://www.weblio.jp/content/再建", "词义详情")</f>
        <v/>
      </c>
      <c r="K3167">
        <f>HYPERLINK("https://yourei.jp/再建", "查看例句")</f>
        <v/>
      </c>
    </row>
    <row r="3168">
      <c r="A3168" t="inlineStr">
        <is>
          <t>再現</t>
        </is>
      </c>
      <c r="B3168" t="inlineStr">
        <is>
          <t>成功</t>
        </is>
      </c>
      <c r="C3168" t="inlineStr">
        <is>
          <t>読み方：さいげん
［名］(スル)物事が再び現れること。また、再び現すこと。「事件の状況を—する」</t>
        </is>
      </c>
      <c r="D3168" t="inlineStr">
        <is>
          <t>再現すること(5%)；再現される(4%)；再現部(3%)；再現できる(3%)；再現するため(2%)</t>
        </is>
      </c>
      <c r="E3168" t="inlineStr">
        <is>
          <t>復帰；帰り；復活；帰還；再生</t>
        </is>
      </c>
      <c r="F3168" t="inlineStr">
        <is>
          <t>色再現；再現する事；再現映像；忠実な再現；再現する試み</t>
        </is>
      </c>
      <c r="G3168" t="inlineStr">
        <is>
          <t>再現ドラマ；再現度；再現実験；再現可能；再現性の危機</t>
        </is>
      </c>
      <c r="H3168" t="n">
        <v>29</v>
      </c>
      <c r="I3168" t="inlineStr">
        <is>
          <t>当初はスタジオでその日の起こった出来事を再現するという形式だった。；なお、ゲーム中の楽曲や効果音はドラマで使われたものを再現している。；一見不可能に見えることも再現したり、実験したりしてみせるのが特徴。；また、プライザー・マイティの武装も再現されていないものが存在する。；僕らは声を出すことができないキャラクターの人生を再現するのが仕事です。；また、過去に一度衰退して失われた工芸技術の再現などの活動も見られる。；既に企画は終了しているが、GBA版でもこの暗号が再現されている。；再現部末尾に反復の指示があり、展開部から再現部までが再度演奏される。；彼の米国デビューはヘルシンキとパリでの出来事の再現であった。；駐車場には当時を再現したホームや車掌車に腕木信号機等が展示されている。；このコーナーではPVの映像を演出に至るまで丁寧に再現している。；また、特定の小説や映画などの世界を再現するものも登場する。；ただし、生物物理学的・生化学的に生命の誕生を再現する試みはある。；ただし、原作挙動の再現はゲームの進行が不可能になる場合がある。；連載終了以降一度も再現されなかったカラー原稿を初めて収録。；そのため、すべての劇場でこの音響効果を再現するのは不可能であったという。；外的要因や条件を再現し、さまざまな車両運転状況が体感可能である。；数式を使って規則的に作ると、乱数列から元の式が再現される可能性がある。；それをコンピュータで再現した物がコンピュータRPGとなった。；そこでは、ワットの工房が完全に再現され、何年間も展示公開された。；一方、番組の再現映像が教育テレビの学校放送で使用されたりもした。；仕事に行き詰った際に再現する物のヒントを偶然に得た事もある。；かつては黒い金属光沢を再現した「ブラックメタルモデル」も存在した。；配役は原作のイメージを再現できる俳優を厳選してキャスティングされた。；基本的には生きた状態の姿を再現するものである。；最近の実験の結果、小型の銘を再現することに成功してはいるが、議論が多い。；植物では、倍数化による種分化を実験的に再現することにも成功している。；写真の場合は普通よく再現しているが、修正は可能である。；そして営団時代の前面方向幕・側窓上の団章「Sマーク」も再現された。</t>
        </is>
      </c>
      <c r="J3168">
        <f>HYPERLINK("https://www.weblio.jp/content/再現", "词义详情")</f>
        <v/>
      </c>
      <c r="K3168">
        <f>HYPERLINK("https://yourei.jp/再現", "查看例句")</f>
        <v/>
      </c>
    </row>
    <row r="3169">
      <c r="A3169" t="inlineStr">
        <is>
          <t>財源</t>
        </is>
      </c>
      <c r="B3169" t="inlineStr">
        <is>
          <t>成功</t>
        </is>
      </c>
      <c r="C3169" t="inlineStr">
        <is>
          <t>読み方：ざいげん
収入を生み出すもと。「観光収入を—とする町」「—が底をつく」</t>
        </is>
      </c>
      <c r="D3169" t="inlineStr">
        <is>
          <t>財源確保(6%)；財源不足(3%)；財源問題；財源調達；財源捻出</t>
        </is>
      </c>
      <c r="E3169" t="inlineStr">
        <is>
          <t>資金；資本；基金；資本金；ファンド</t>
        </is>
      </c>
      <c r="F3169" t="inlineStr">
        <is>
          <t>主な財源；新たな財源；必要な財源；主要財源；貴重な財源</t>
        </is>
      </c>
      <c r="H3169" t="n">
        <v>29</v>
      </c>
      <c r="I3169" t="inlineStr">
        <is>
          <t>唯一の財源だったピアノの教授のわずかなものを、皆失ってしまった。；一方でイギリスやスウェーデンで一般税収を財源とした制度となっている。；「しかしあなたはまだ財源を必要としているんでしょう」とぼくは言った。；回想録の時代の彼の生活をささえた唯一の財源はこのいんちきであった。；利用料は無料で搬送主体が加入している医療保険から財源をあてている。；この金は多くの手を通過したあと、最後はルノホ会社の主要財源となった。；ただし財源の問題で、完全に同じ権利を行使できるというわけではない。；動かし続けるための財源もないのに、教授はこの箱を起動させてしまった。；また、これらの事業をおこなうため財源を確保するため徴税権を有した。；マーズワンは技術的、財源的な問題から実現の困難さを指摘されている。；彼は働きさえすればくみ出すことのできる財源を、いくらでも知っていた。；ノルマンディーの宮廷の主要部である財源の評決は最終的に宣言された。；さらに財源確保のための折衝の機会や事業の実行にかかわることができる。；これらの発展のために必要とされた巨大な財源が原因で破綻した。；したがって、財源までをも経営側に要求するのは非現実的である。；わたしが巨万の財源を持っている理由がおわかりになりましたか?；あれらを持っている者たちが、町の財源を支えているのだろう。；時限立法にした理由も財源が確保できなかった為と言われている。；周囲にはココヤシの林があり、それがこの土地の財源になっていた。；さらに、国王がその権限を接収して自己の財源にあてる例も見られた。；援助された人の中から裕福になった者からは財源への寄付を得た。；このような財源があるからこそ、総大司教の座を望むこともできるわけです。；やはり法人税をBIの財源として考えるのは、様々な理由で困難を伴う。；また、財源確保と、低廉な賃料で住宅を提供する目的で貸家業も始めた。；細川重賢の宝暦の改革によって、地方が一定の権限と財源が与えられた。；この施策は比較的余裕がある市の財源を市民に還元する目的もある。；最も当初は、戦争を行うための財源を確保するところにあった。；金は数個の小さな革袋に分けてあって、この作戦の財源にするつもりだった。；彼は大学を卒業すると、ブラック・ベア湖の財源になっている都市へ行った。</t>
        </is>
      </c>
      <c r="J3169">
        <f>HYPERLINK("https://www.weblio.jp/content/財源", "词义详情")</f>
        <v/>
      </c>
      <c r="K3169">
        <f>HYPERLINK("https://yourei.jp/財源", "查看例句")</f>
        <v/>
      </c>
    </row>
    <row r="3170">
      <c r="A3170" t="inlineStr">
        <is>
          <t>最古</t>
        </is>
      </c>
      <c r="B3170" t="inlineStr">
        <is>
          <t>成功</t>
        </is>
      </c>
      <c r="C3170" t="inlineStr">
        <is>
          <t>読み方：さいこ
もっとも古いこと。「世界—の建造物」⇔最新。</t>
        </is>
      </c>
      <c r="D3170" t="inlineStr">
        <is>
          <t>最古級(3%)；最古かつ；最古クラス；最古の化石記録；最古期</t>
        </is>
      </c>
      <c r="F3170" t="inlineStr">
        <is>
          <t>世界最古；現存する最古；現存最古；国内最古；中国最古</t>
        </is>
      </c>
      <c r="H3170" t="n">
        <v>29</v>
      </c>
      <c r="I3170" t="inlineStr">
        <is>
          <t>その起源は相当古くに遡り、人類最古の文化のひとつに数えられている。；ドイツでジプシーを確認している最古の記録は1407年のものである。；旧局名は、伯耆町が日本最古の鬼伝説のまちであることに由来している。；モリヨンの名称が使用された最古の記録は1283年の法律文書だった。；現存する最古の都市とされるサナア旧市街は世界遺産に登録されている。；これはそれまでの既知の最古のベッドよりも大幅に古いものだった。；殺人か事故かは分からないが、人が人を殺した最古の証拠である。；旧駅舎は開業当初からの木造駅舎で、内房線では最古の駅舎となっていた。；ほか、長野県辰野町沢底地区には日本最古のものとされる道祖神がある。；以下に画像と、それとは別の東慶寺に残る中で最古の寺法離縁状をあげる。；これまではイタリアで発見された530万年前の化石が最古とされていた。；ここは、世界最古の文明が起こった歴史的にも重要な地域である。；アパラチア山脈は3億年以上前に形成され、地球最古のものとされている。；日本最古の現役駅舎とされている武豊線亀崎駅の駅舎より古い可能性がある。；代表的な家紋である「笹竜胆」は日本最古の家紋であると言われている。；創建年代は不明だが、日本最古の神社の1つとされるほど古くから存在する。；現在の宮城野区の地域で見つかっている最古の遺跡は縄文時代のものである。；この中で先小御岳が最古であり、数十万年前の更新世にできた火山である。；この解釈が正しいとすると、これが世界最古の感染症に関する記述となる。；世界最古のキリスト教共同体が存在したが移住のため縮小していった。；この記述は、懸架装置に用いられた板ばねの記録の中で最古のものでもある。；犂で耕したと思われる畑の跡も発見されており、世界最古とされる。；爆発時の騒音が問題となったがこれが世界最古のガス機関として認められている。；楔形文字は、現在知られている文字体系で最古のもののひとつである。；これが具体的な地域としての桜島を指した最古の文献である。；現在判明している限りでは世界最古の成功記録である。；また、何らかの目的でジェダイ最古の寺院を探す旅に出たとも言われている。；これがパンドーラーの箱について触れられている最古の書物だと言われる。；現存する国内最古の新聞であり、1831年以来発行を続けている。</t>
        </is>
      </c>
      <c r="J3170">
        <f>HYPERLINK("https://www.weblio.jp/content/最古", "词义详情")</f>
        <v/>
      </c>
      <c r="K3170">
        <f>HYPERLINK("https://yourei.jp/最古", "查看例句")</f>
        <v/>
      </c>
    </row>
    <row r="3171">
      <c r="A3171" t="inlineStr">
        <is>
          <t>最後</t>
        </is>
      </c>
      <c r="B3171" t="inlineStr">
        <is>
          <t>成功</t>
        </is>
      </c>
      <c r="C3171" t="inlineStr">
        <is>
          <t>読み方：さいご
１物事のいちばんあと、または後ろ。いちばん終わり。最終。「—の力を振り絞る」「列の—に並ぶ」「—の—まであきらめない」「学生生活の—を飾る」⇔最初。
２（「…たら最後」「…が最後」の形で）それで終わりで、あとはどうにもならない意を表す。一度…したら、それっきり。「走りだしたら—、止まらない」「食いついたが—、離れない」
３⇒最期(さいご)</t>
        </is>
      </c>
      <c r="D3171" t="inlineStr">
        <is>
          <t>最後にもう一度；最後発</t>
        </is>
      </c>
      <c r="E3171" t="inlineStr">
        <is>
          <t>先；死；落；最後の；落ち</t>
        </is>
      </c>
      <c r="F3171" t="inlineStr">
        <is>
          <t>一番最後；生涯最後；生前最後；シーズン最後；最後に待ち受けるボスキャラクター</t>
        </is>
      </c>
      <c r="G3171" t="inlineStr">
        <is>
          <t>最後の言葉；最後の手段；最後の戦い；最後の審判；最後通牒</t>
        </is>
      </c>
      <c r="H3171" t="n">
        <v>29</v>
      </c>
      <c r="I3171" t="inlineStr">
        <is>
          <t>ルベーグは を素数だと考えた最後の専門的な数学者だと言われている。；またこの事件の直後の6億年前には最後の大規模な陸地形成が起こった。；最後のビッドをした者がディクレアラーになるわけではないことに注意。；神の命令がこの宇宙において最後の結果を支配していると信じている。；最後にはそのままゆっくりと暗くなっていき、黒色矮星へと移っていく。；乗組員達は最後の生存者が死ぬまで油は漏れ続けるだろうと語っている。；距離のコース種別は、最後の直線コースを走行する際の馬場で記述する。；エニックスから発売された最後のスーパーファミコン用ソフトとなった。；アメリカ合衆国とオーストラリアへの最後の訪問は1958年に行われた。；ロンドンの舞台に立つのは40年ぶりのことであり、これが最後となった。；最後は下関駅の先で海の下に潜って、再び地上に出るとそこは九州である。；そして共産主義を激しく批判して、最後にまたドイツ語で締めくくった。；仏教信仰に熱心だった西夏支配の敦煌では最後の繁栄の時代を迎えていた。；政権連立がよく発生し、一党政権は1989年を最後に存在していない。；この最後の例外条項は、第11項第7段落に次のように記載されている。；雨宮は鈴木から本作品でシリーズが最後になるかもしれないと告げられたという。；二人がタイトル戦の舞台で顔を合わせたのは、これが最後となった。；この選挙法は植民地である樺太・朝鮮・台湾には最後まで施行されなかった。；この箇所は改設計がくり返されたが、最後まで完全にはならなかった。；売られた喧嘩を谷川が買う乱戦となったが、最後は羽生の勝ちとなった。；最後に、集積回路が製品として正常に機能するかを確認する検査を行う。；これらの神々の最後に生まれてきたのがイザナギ・イザナミの二神である。；しかし、ピゴット騎手は最後の直線に入るまで追い出すのを待っていた。；番組の最後には人形劇のキャラクターを含めたほぼ全ての出演者が登場する。；最後まで残った冥王星の特徴的な点は、巨大な衛星カロンと大気である。；そして1234年、金の最後の皇帝哀宗は自殺し、金は完全に滅亡した。；江戸時代に入って一家が生まれたが、それを最後に源氏賜与は途絶えた。；最後に、冷媒液化装置で処理するとほぼ純粋な四酸化二窒素が得られる。；連盟に最後に加盟したのは、1937年5月26日加盟のエジプトだった。</t>
        </is>
      </c>
      <c r="J3171">
        <f>HYPERLINK("https://www.weblio.jp/content/最後", "词义详情")</f>
        <v/>
      </c>
      <c r="K3171">
        <f>HYPERLINK("https://yourei.jp/最後", "查看例句")</f>
        <v/>
      </c>
    </row>
    <row r="3172">
      <c r="A3172" t="inlineStr">
        <is>
          <t>最期</t>
        </is>
      </c>
      <c r="B3172" t="inlineStr">
        <is>
          <t>成功</t>
        </is>
      </c>
      <c r="C3172" t="inlineStr">
        <is>
          <t>読み方：さいご
命の終わるとき。死にぎわ。臨終。末期(まつご)。「—をみとる」</t>
        </is>
      </c>
      <c r="D3172" t="inlineStr">
        <is>
          <t>最期を共に；最期を迎えよ；最期をともに；最期を見届けたい；最期をとげさせ</t>
        </is>
      </c>
      <c r="E3172" t="inlineStr">
        <is>
          <t>最後；落；落ち；末；結局</t>
        </is>
      </c>
      <c r="F3172" t="inlineStr">
        <is>
          <t>悲劇的な最期；壮絶な最期；御最期；無残な最期；ご最期</t>
        </is>
      </c>
      <c r="H3172" t="n">
        <v>29</v>
      </c>
      <c r="I3172" t="inlineStr">
        <is>
          <t>しかし彼は、最期まで自らが発見した島をアジアだと主張し続けたという。；この考えをブルックナーが最期まで持っていたのかどうかは定かではない。；六男一女の子供全員と13人の孫に最期を看取られ、自宅前に埋葬された。；しかしその最期については疑問も持たれており、アメリカ亡命説もある。；ゾフィーは最期になってエリーザベトと初めて和解したといわれている。；晩年はその養女にも先立たれ、最期は草加市のアパートで一人で迎えた。；アニメではサン・ジュストの最期と薫の君のその後が変更されている。；ボニーとクライドの突然の最期はダラスだけで50万部の新聞を売った。；病院で最期の時を迎えようとしていたジャックは導師ゴハールを呼んだ。；また、秋雲信号員がスケッチしたホーネットの最期の姿も残されている。；寺田農は「最期まで役者の芝居を信じなかった人だった」と語っている。；最期の言葉は「まさかお前の世話になるとは思わなかった」であったとされる。；その最期もまた父と同時であり、義朝の子源頼朝の命で処刑されたという。；最初の三冊は長編で、最期は12編のスミスものを集めた短編集である。；歴史の転換と自分の死期を悟ったガイセリックは最期の事業に着手する。；天順帝も混乱の最中に没したが、どのような最期を遂げたかは不明である。；この地域が戦力を集中して防衛に当たれる最期の場所となっていた。；大木戸には最期まで身寄りが存在せず、墓の場所は現在でも判明していない。；これらの出土品はミゲルが最期まで信仰を保っていたことを示しているとされた。；一方で彼女の最期についての設定は複数のバージョンが存在する。；ルイスは最期を迎えた場所からそう遠くない位置に埋葬された。；少年ダッシュは哀れにも氷の棺の中で最期の時を迎えたのであった。；作品の質のみならず、その悲劇的な最期も人気に一役買っていると言われる。；西村艦隊の壊滅的な最期は、海戦史の中でも最も悲惨な殲滅戦となった。；そして、オカーニャ自身の人生もまた、悲劇の最期を迎えることになる。；この戦いで赤毛公は大きな功績を上げながらも戦死し、最期の忠誠を見せた。；彼女の最期の瞬間を同じく戦争写真家アンリ・ユエがカメラに収めている。；これが潜水艦「呂112」の最期であり、撃沈位置はと記録されている。；長くナムディン省で生活していたが、最期は首都ハノイで終えている。</t>
        </is>
      </c>
      <c r="J3172">
        <f>HYPERLINK("https://www.weblio.jp/content/最期", "词义详情")</f>
        <v/>
      </c>
      <c r="K3172">
        <f>HYPERLINK("https://yourei.jp/最期", "查看例句")</f>
        <v/>
      </c>
    </row>
    <row r="3173">
      <c r="A3173" t="inlineStr">
        <is>
          <t>在庫</t>
        </is>
      </c>
      <c r="B3173" t="inlineStr">
        <is>
          <t>成功</t>
        </is>
      </c>
      <c r="C3173" t="inlineStr">
        <is>
          <t>読み方：ざいこ
１商品が倉庫などにあること。また、その商品。「—がきれる」
２原材料・仕掛品・製品などが企業に保有されていること。また、それらの財貨。</t>
        </is>
      </c>
      <c r="D3173" t="inlineStr">
        <is>
          <t>在庫品(6%)；在庫分；在庫量；在庫調整；在庫販売</t>
        </is>
      </c>
      <c r="E3173" t="inlineStr">
        <is>
          <t>ストック；在庫品；インベントリ；棚卸資産；インベントリー</t>
        </is>
      </c>
      <c r="F3173" t="inlineStr">
        <is>
          <t>余剰在庫；店頭在庫；部品在庫；大量在庫；商品在庫</t>
        </is>
      </c>
      <c r="G3173" t="inlineStr">
        <is>
          <t>在庫処分；在庫切れ；在庫限り；在庫一掃；在庫数</t>
        </is>
      </c>
      <c r="H3173" t="n">
        <v>29</v>
      </c>
      <c r="I3173" t="inlineStr">
        <is>
          <t>米国の年間需要は百万台前後だから、一年分の在庫を抱えたことになる。；テクノロジーの時代にあっては在庫とは単に現実にあるものを意味する。；敵がどうこうよりも、求められた本の在庫がないことが悔しいのだろう。；まったく売りが出ないと得をするのはすでに在庫を手にしている者たちだけ。；輸入中止となっているので国内では在庫のみの販売となっている。；京都時代に出版したものも、重版して在庫のあるものは販売している。；トヨタ生産方式を採用する同社が保有する在庫は4時間分しかなかった。；判を押したのは、一般人が持っていた在庫の切手と区別するためである。；日本では、製造を止めても在庫が無くなるまで販売されることが多かった。；コスト削減のため、コンロイは設計に在庫品を広く用いる事を提案した。；そうだな、商人どもが使う『在庫整理』という言葉が近いのではないか。；レースはドレスのために特別に注文されたのではなく、在庫品から選ばれた。；しかしながらウートは売り切れるまで正確な在庫を提供することはない。；在庫の点検にその営業の人が来た時、たまたまわたしは席をはずしていた。；逆にトラックを輸入した同業者は在庫の処分に苦労したとされる。；三月に入ると在庫は四万台を超え、置く場所にも困るようになった。；ここまで大規模に生産する場合、受注生産でも部品在庫が必要になる。；店の在庫ではなく、個人のコレクションである旨を書いて返信したんです。；在庫がなくなると、質の悪い偽造品のコピーが大量に出現し始めました。；後述する15代目へのフルモデルチェンジまでの間は在庫分販売となった。；一部の店舗では、専門店に商品を売却することで在庫を削減している。；二日前まで勤めていた会社の倉庫なら、ドアノブの在庫ぐらいあるだろう。；常時在庫がある訳ではないが、イベント等で発売されることもある。；発売と同時に在庫品を含めて四〇〇〇台を売りきってしまった。；復員兵は自分の順番が回ってきた時点で在庫があった背広服を受け取った。；彼らは売れ残りの在庫を抱えた状況で生産量を増やす必要がなかったのです。；その在庫はほとんどが分離独立時に北部側の兵器庫から獲得したものだった。；積みあがっていた店の在庫は無くなり、しばらくは品切れ状態となった。；MSTのメンバーはまた農場のアルコール飲料のすべての在庫を飲んだ。</t>
        </is>
      </c>
      <c r="J3173">
        <f>HYPERLINK("https://www.weblio.jp/content/在庫", "词义详情")</f>
        <v/>
      </c>
      <c r="K3173">
        <f>HYPERLINK("https://yourei.jp/在庫", "查看例句")</f>
        <v/>
      </c>
    </row>
    <row r="3174">
      <c r="A3174" t="inlineStr">
        <is>
          <t>最高</t>
        </is>
      </c>
      <c r="B3174" t="inlineStr">
        <is>
          <t>成功</t>
        </is>
      </c>
      <c r="C3174" t="inlineStr">
        <is>
          <t>読み方：さいこう
［名・形動］
１地位や高さなどがいちばんたかいこと。「世界—の山」「史上—の競争率」「—幹部」⇔最低。
２物事の程度が特にいちじるしいこと。また、そのさま。「—におもしろい映画」「今月は—に忙しかった」「—傑作」
３物事が最も望ましい状態にあること。この上なくすばらしいこと。また、そのさま。「—な（の）気分」「今日の試合は—だった」⇔最低。</t>
        </is>
      </c>
      <c r="D3174" t="inlineStr">
        <is>
          <t>最高位(11%)；最高裁判所(7%)；最高地点(3%)；最高点；最高記録</t>
        </is>
      </c>
      <c r="E3174" t="inlineStr">
        <is>
          <t>最大；トップ；見事；一杯；すばらしい</t>
        </is>
      </c>
      <c r="F3174" t="inlineStr">
        <is>
          <t>最高水準；最高度；自身最高；最高得点；最高速</t>
        </is>
      </c>
      <c r="G3174" t="inlineStr">
        <is>
          <t>最高峰；最高裁；最高指導者；最高司令官；最高潮</t>
        </is>
      </c>
      <c r="H3174" t="n">
        <v>29</v>
      </c>
      <c r="I3174" t="inlineStr">
        <is>
          <t>神が最高の仕方で書くには何も書かれていない板が最適であるという。；このほか、イタリアの最高裁判所には250名の裁判官が所属している。；なお、この試合の中継がすべての競技を通じて最高の視聴率を獲得した。；決定戦での勝率ならびに決定戦での優勝回数はそれぞれ最高記録保持者。；その成果にはその時点での最高速のメッセージパッシングの報告もあった。；この最高善を見いだすことこそ人生の最高の価値である、としたのである。；最高裁判所は、他国の裁判官や学者などとの交流を盛んに行っている。；最高勲章は彼女の夫であるアルバート王配が代わりに授与されていた。；また、最高裁判所はそのような場合は必ず請求しなければならない。；また、日本のヴィジュアル系は世界に誇れる最高の文化であるとしている。；最高位のグランクロワは日本人では皇族や伊藤博文などが受章している。；この役はブランドの最高の演技のひとつに数えられる。；改良のために当時最高のIBMコンピューターを数十時間使用した。；最高裁判所は州憲法に関わるような幾つかの条件では第一審管轄権がある。；どの原子からも最も容易に失われる電子は最高エネルギー軌道にある電子からである。；今度の試験は今までのうちで最高の出来であった。；有義波の高さでみると、世界の観測史上最高の波は以下のようになっている。；ヘッケルのファゴットは多くの人によって最高であると見なされている。；面積と最高標高はそれぞれ沖縄県 と海上自衛隊 が作成した資料による。；新人選手の獲得にあたっては契約金の最高標準額が申し合わされている。；最高音域はリードの奥の方を噛むなどのやや特殊な奏法が要求される。；寄稿者は外国から来るものも多く、中にはその分野における最高の権威もいた。；国民党中央常務委員会は当時事実上の国政の最高意思決定機関であった。；島の多くは低地であり、最高点のボギー山の標高も395mに過ぎない。；十三不塔の十三面待ちでない形では十二面が最高となる。；西部には丘陵が存在するが、国土の最高地点でも749mにすぎない。；thumb|最高裁判所 司法の独立は法により完全に保証されている。；MLBの選手は最高レベルの技術でプレーするからその質に合わせたボールが使われるのである。；この上の役職は、総頭領と軍師のみで、軍人の中では最高の位である。</t>
        </is>
      </c>
      <c r="J3174">
        <f>HYPERLINK("https://www.weblio.jp/content/最高", "词义详情")</f>
        <v/>
      </c>
      <c r="K3174">
        <f>HYPERLINK("https://yourei.jp/最高", "查看例句")</f>
        <v/>
      </c>
    </row>
    <row r="3175">
      <c r="A3175" t="inlineStr">
        <is>
          <t>再婚</t>
        </is>
      </c>
      <c r="B3175" t="inlineStr">
        <is>
          <t>成功</t>
        </is>
      </c>
      <c r="C3175" t="inlineStr">
        <is>
          <t>読み方：さいこん
［名］(スル)配偶者と死別または離別した人が、再び結婚すること。「周囲のすすめで—する」→待婚期間</t>
        </is>
      </c>
      <c r="D3175" t="inlineStr">
        <is>
          <t>再婚する(9%)；再婚相手(7%)；再婚後；再婚話；再婚しよ</t>
        </is>
      </c>
      <c r="F3175" t="inlineStr">
        <is>
          <t>再再婚；子連れ再婚；再婚するつもり</t>
        </is>
      </c>
      <c r="G3175" t="inlineStr">
        <is>
          <t>再婚禁止期間訴訟</t>
        </is>
      </c>
      <c r="H3175" t="n">
        <v>29</v>
      </c>
      <c r="I3175" t="inlineStr">
        <is>
          <t>以下の年少の子供たちは再婚相手エレナとの間に生まれたと考えられる。；この再婚は、カスティーリャの貴族達の強い反発を受けることとなった。；再婚日を7月4日としたのは家族から独立の意志を示すためと言われている。；父親は気付いてくれるかと思いきや、再婚の準備で向き合ってくれない。；美樹の母は幼い頃に離婚し、父の智明が再婚し生まれたのが千夏だった。；この橋寺は魅力的な相手だったが、再婚の決心がついていないようだった。；彼は妻の死の3年後に3人の子供を連れロレイン・ガイヤーと再婚した。；しかしこの再婚は大きな問題になり、結局彼女とはすぐに離婚することになった。；その後すぐに母は再婚するが高校進学以降に両親が離婚し、母子家庭になる。；後に母親が画家と再婚したため、音楽と絵画の両方に才能を伸ばすことになる。；中には殺される者もいたが、許可を得て再婚した者もあった。；再婚相手とは大鵬が10歳の時に離婚したため、大鵬は納谷姓に戻った。；マリーの死去から自身の再婚までは、長女と二人だけの暮らしが続いた。；都知事就任時には既に再婚しており、後妻との間に長女をもうけている。；被害者はジャックの前妻エレンで再婚した夫と共に壁に磔にされていた。；母親が亡くなったあと父親が再婚し、継母は彼女に非常につらく当たった。；ジェルメーヌとの再婚は、一方ではナバラ王国の獲得の口実にもなった。；父はババエフ誕生の年に死に、母はその後再婚せず1950年に死去した。；その後、AV女優の大沢裕子と再婚したが、後に大沢とも離婚している。；しかしアニーは2年前に再婚しており、「子どもは死んだ」と嘘をつく。；警察時代に職場結婚した相手とは後に離婚し、現在は再婚である。；彼は再婚し2児をもうけていたが離婚し、子供たちとも疎遠になっていた。；父親はケーリーが10歳の時に息子を捨て、後に別の女性と再婚してしまう。；主人公・白川悠の母親が亡くなる直前に再婚した相手には3人の娘がいた。；その後両者とも再婚しており、ジャスティンには3人の異母弟妹がいる。；エミーとの再婚後もエミーとの関係には常にカリンが影響していたといえる。；父が再婚後すぐに出征したため父が戻るまで小岩の自宅で新しい母と弟で暮らした。；のちにシェパードと離婚したあと再婚したアメリカ人女性も金髪美人であった。；また、親の養子や親の再婚相手の連れ子が年上だった場合も義兄にあたる。</t>
        </is>
      </c>
      <c r="J3175">
        <f>HYPERLINK("https://www.weblio.jp/content/再婚", "词义详情")</f>
        <v/>
      </c>
      <c r="K3175">
        <f>HYPERLINK("https://yourei.jp/再婚", "查看例句")</f>
        <v/>
      </c>
    </row>
    <row r="3176">
      <c r="A3176" t="inlineStr">
        <is>
          <t>採算</t>
        </is>
      </c>
      <c r="B3176" t="inlineStr">
        <is>
          <t>成功</t>
        </is>
      </c>
      <c r="C3176" t="inlineStr">
        <is>
          <t>読み方：さいさん
利益があるかどうか、収支を計算してみること。商売や事業の、収支のつりあい。「—が合う」「独立—制」</t>
        </is>
      </c>
      <c r="D3176" t="inlineStr">
        <is>
          <t>採算性(25%)；採算面(3%)；採算ライン(2%)；採算度外視；採算ベース</t>
        </is>
      </c>
      <c r="E3176" t="inlineStr">
        <is>
          <t>利益；収入；上がり；収益；利</t>
        </is>
      </c>
      <c r="F3176" t="inlineStr">
        <is>
          <t>非採算；投資採算；別採算</t>
        </is>
      </c>
      <c r="G3176" t="inlineStr">
        <is>
          <t>採算点</t>
        </is>
      </c>
      <c r="H3176" t="n">
        <v>29</v>
      </c>
      <c r="I3176" t="inlineStr">
        <is>
          <t>理由は沿線人口が少なく採算性に難があったから予算化ができなかった。；この駅は最終的に採算がとれないために閉鎖され、駅舎は取り壊された。；そのため輸送量の小さい閑散線区では採算性の問題から採用されにくい。；技術的な面では何も問題は無く、単純な採算性の問題となっている。；しかし、採算の合わない大規模な放牧を再開することは現実的ではない。；しかし採算が見込めないため青森県の補助金を前提とし運行を開始した。；増加を続ける輸入鉄鉱石が営業を採算の合わないものにしたのである。；輸出で辛うじて生産量を維持していたが、それだけでは採算は合わない。；鉱石はまだ残っていたが次第に低品質となり、採算ラインが上昇していた。；ライブドアグループ時代には、最も採算性の良い部門と言われていた。；つまりたくさんの乗客を運ぶことで採算制を維持しているわけだ。；部門別採算は企業内の部門ごとに採算を評価する管理会計手法である。；しかし採算面から頓挫し、2008年度以降は予算が計上されていない。；採算を度外視した執念といったものがなければ、やれないようなことだ。；初期から中期にかけては、採算を度外視した特別企画も多く行っていた。；日本の植民地経営で採算がとれたのは、結局台湾だけであったといわれている。；気象庁が毎年一個ずつ注文したところで、採算の取れる仕事ではなかった。；事業はもともと採算ベースでなかったので、会社の経営はどんどん悪化していった。；そして2004年、教会の信託を受けて再び採算が取れるようになった。；ここは、採算分岐点の都合上、できればこれ以上弄りたくはありません。；食品サプリメントや化粧品などの高価値市場でのみ採算が達成されている。；当時、山中は採算を問わずに大人が楽しめるゲームを作りたいと考えていた。；鉄道線廃止時点でも、その採算自体はまだ危機的状況にまでは至っていなかった。；これは企業としては、はっきり採算ベースに乗ったことを意味する。；現在は採算面で当初の目的で利用されることはない。；以降の収穫周期を継続するかの判断は、採算が合うかで判断される。；しかし、販売量が減少し採算が合わなくなったことを理由に生産終了が決定。；大抵、この手のゲームは採算度外視で大学の研究チームが作ったりしている。；軽い仕事は採算を度外視するくらいなつもりで、外注したほうがいいんです。</t>
        </is>
      </c>
      <c r="J3176">
        <f>HYPERLINK("https://www.weblio.jp/content/採算", "词义详情")</f>
        <v/>
      </c>
      <c r="K3176">
        <f>HYPERLINK("https://yourei.jp/採算", "查看例句")</f>
        <v/>
      </c>
    </row>
    <row r="3177">
      <c r="A3177" t="inlineStr">
        <is>
          <t>再三</t>
        </is>
      </c>
      <c r="B3177" t="inlineStr">
        <is>
          <t>成功</t>
        </is>
      </c>
      <c r="C3177" t="inlineStr">
        <is>
          <t>読み方：さいさん
ある動作が二度も三度も行われること。副詞的にも用いる。たびたび。しばしば。「—にわたる勧告」「—注意したが、聞き入れない」</t>
        </is>
      </c>
      <c r="D3177" t="inlineStr">
        <is>
          <t>再三再四(3%)；再三求め；再三述べ；再三触れ</t>
        </is>
      </c>
      <c r="E3177" t="inlineStr">
        <is>
          <t>多く；よく；まま；しばしば；たくさん</t>
        </is>
      </c>
      <c r="F3177" t="inlineStr">
        <is>
          <t>既に再三</t>
        </is>
      </c>
      <c r="H3177" t="n">
        <v>29</v>
      </c>
      <c r="I3177" t="inlineStr">
        <is>
          <t>さきほどから神尾が、再三言葉をかけたのが聞えないはずはありません。；教会に、重婚の罪を犯していると再三の警告をされても無視をしていた。；松の山温泉は勿論実在するもので、あそこへは僕も再三遊びに行つた。；銀は後ろを向いて先生此勢はどうですと再三繰返して大笑いだったという。；最後の国の指導者となる希望を再三表明し、ユーゴスラビアの分割に参加。；しかし、国民政府や大学の再三の要請を受け、同年夏に就任を受諾した。；なぜなら、そういった事故はいままでにも再三発生しているのだから。；再三の注意や非難を受けながらも使い続けるため活動家から身体的な攻撃を受けたこともある。；だがそれは、彼が生涯を通じて再三経験してきた錯覚のひとつだった。；再三の罪の怖れのために、わが家へ戻る力がつきているのであろう。；それで先生は、衣裳をつけることは、再三再四だめではないかと思いました。；その仕事はいたく彼の気にいったので、その後も再三くりかえしてみた。；危機感を抱いた関東軍は、再三に渡り交渉するが聞き入れられなかった。；その後数年して、またしてもディオニュシオスから再三の招聘がきた。；多勢に無勢の報告を再三送ってくるが、指揮官にあるまじき態度である。；再三の申請にも関わらず許可がおりず、チーム探しもできない状況が続いた。；またその方が帰国しやすいのではないか、と再三アイバに忠告した。；多くの人々と同様、僕も、此の問題については再三考へたことがある。；それが魅力的だ、とミス・ウィルキンソンも再三再四いっていた。；一瞬、ウィルは再三あのとらえがたい記憶の中の不思議な旋律を耳にした。；彼女は同様の要求を、プリズンの管理にあたっていた将校たちにも再三繰り返した。；再三のアンコールに、ハーグレイヴズは幕の前に出て頭を下げました。；しかし、日本軍機の再三の攻撃にあい、そのたびに任務は中断した。；再三のアンコールに、ハーグレイブズは幕の前に出てきてはお辞儀をした。；読み返すこともしないらしく、送った原稿が一枚抜けていたりすることも再三あった。；再三繰り返されながら最後まで一向に発展せず固まらないでしまつてゐる。；この伝説は、ギリシア悲劇に再三取り上げられ、以下のものが現存している。；戦いの場で、わしの命をすくってくれたことも再三であった。；あなたはすでにそのことを再三再四私に言った。</t>
        </is>
      </c>
      <c r="J3177">
        <f>HYPERLINK("https://www.weblio.jp/content/再三", "词义详情")</f>
        <v/>
      </c>
      <c r="K3177">
        <f>HYPERLINK("https://yourei.jp/再三", "查看例句")</f>
        <v/>
      </c>
    </row>
    <row r="3178">
      <c r="A3178" t="inlineStr">
        <is>
          <t>財産</t>
        </is>
      </c>
      <c r="B3178" t="inlineStr">
        <is>
          <t>成功</t>
        </is>
      </c>
      <c r="C3178" t="inlineStr">
        <is>
          <t>読み方：ざいさん
１個人や団体などの所有している、金銭・有価証券や土地・家屋・物品などの金銭的な価値のあるものの総称。資産。「一代で—を築きあげる」「子供に—を残す」
２ある主体に属する積極財産（資産）と消極財産（負債）の総体。「営業—」
３あるものにとって、価値あるもの。金銭的価値にも精神的価値にもいう。「健康が私の—です」「自然は人類共有の—だ」</t>
        </is>
      </c>
      <c r="D3178" t="inlineStr">
        <is>
          <t>財産家；財産管理；財産目録；財産法；財産取引調査</t>
        </is>
      </c>
      <c r="E3178" t="inlineStr">
        <is>
          <t>所有；有；資産；所蔵；富</t>
        </is>
      </c>
      <c r="F3178" t="inlineStr">
        <is>
          <t>莫大な財産；共有財産；大きな財産；教会財産；世襲財産</t>
        </is>
      </c>
      <c r="G3178" t="inlineStr">
        <is>
          <t>財産没収；財産税；財産区；財産分与；財産上</t>
        </is>
      </c>
      <c r="H3178" t="n">
        <v>29</v>
      </c>
      <c r="I3178" t="inlineStr">
        <is>
          <t>このような環境下では牛は貴重な財産であり、神聖視されることもある。；ただし、不特定または多数人の生命・身体・財産であるとする説もある。；これは当時のブンナーク家を中心とする王侯貴族の主要な財産であった。；これらはバンドの長年に渡る継続的な活動で獲得された貴重な財産といえる。；高度な製造技術を利用した武器は多く、財産的価値を持つものも多い。；この頃のダーウィン家は父や叔父の残した財産の運用で生計を立てていた。；それを可能にしたのは、ひとつにはジュール家の豊かな財産であった。；小セネカは、人間が強欲になって初めて必要になるものを財産と考えた。；彼は七人の息子と三人の娘、そして多くの財産によって祝福されていた。；ただし、女性が財産として自動車を所有することは禁止されていない。；物上保証人とは自己の財産をもって他人の債務の担保に供した者をいう。；これにより前田家には相続税の納付に向けて全財産の登録が要求された。；それよりも、多くの人々の財産を取り上げないことが重要である。；宙に浮いていた教会土地財産の売却を一気に進めることもできるはずだった。；ここでいう責任とは、債務との関係で財産がその引当てになることをいう。；これら財産権と財産の法体系全体は、以下のことを可能にしている。；財産を形成したクラッススの次の関心は政治キャリアを重ねることであった。；このような場所は寺や神社が所有していたり、近隣共同体の共有財産であったりした。；そのため、債務者の財産に関する情報を得るために新設されたものである。；人権擁護運動の共有財産として、その行動は国際的に高く評価されている。；その結果、財産に関わる従来の概念が土地だけでなく貴重品を含むものへと拡張された。；ホーエンツォレルン家の財産を何両もの貨車に満載して去っていった。；ローマの法律では奴隷は人間ではなく財産と見なされていた。；契約財産制とは夫婦財産契約に基づく財産関係である。；人々の要望に比べて物品が不足している時にだけ、その物品が財産になる。；これにより選挙権の財産資格・居住資格が廃され、普通選挙が確立した。；それでも死去時にビスマルクは莫大な財産を子供たちに残している。；これらの人々は銀行家として事業を有していたが、財産の商ではなかった。；香港へ到着した涼は、いきなり全財産の入ったリュックを盗まれてしまう。</t>
        </is>
      </c>
      <c r="J3178">
        <f>HYPERLINK("https://www.weblio.jp/content/財産", "词义详情")</f>
        <v/>
      </c>
      <c r="K3178">
        <f>HYPERLINK("https://yourei.jp/財産", "查看例句")</f>
        <v/>
      </c>
    </row>
    <row r="3179">
      <c r="A3179" t="inlineStr">
        <is>
          <t>採取</t>
        </is>
      </c>
      <c r="B3179" t="inlineStr">
        <is>
          <t>成功</t>
        </is>
      </c>
      <c r="C3179" t="inlineStr">
        <is>
          <t>読み方：さいしゅ
［名］(スル)
１研究・調査などのために、とること。「指紋を—する」
２鉱物や植物、また、貝などを選び取ること。「砂利を—する」</t>
        </is>
      </c>
      <c r="D3179" t="inlineStr">
        <is>
          <t>採取する(12%)；採取される(4%)；採取できる(3%)；採取場；採取地</t>
        </is>
      </c>
      <c r="E3179" t="inlineStr">
        <is>
          <t>選択；選ぶ；選抜；選び出す；択ぶ</t>
        </is>
      </c>
      <c r="F3179" t="inlineStr">
        <is>
          <t>サンプル採取；ヒートポンプによる地熱採取；羽毛採取；土砂採取；採取法</t>
        </is>
      </c>
      <c r="H3179" t="n">
        <v>29</v>
      </c>
      <c r="I3179" t="inlineStr">
        <is>
          <t>なお、市販されている湧水では全国で一番高いところで採取されている。；岩の隙間にはえるものを採取するために、岩を割ってしまう者さえいる。；古くからクジラから採取した肉や皮を食べる習慣がある国や地域が存在する。；日本では成長にかなり時間がかかるために鍾乳石類の採取は禁止されている。；また、採取法の違いなどから、日本の漆器を独自のものとする説もある。；アストラカンとするには生後数日以内に毛皮を採取しなければならない。；必要に応じて諸臓器から組織を採取し作製した標本を顕微鏡で観察する。；頂上から土器片が採取されており、古墳時代後期のものとみられている。；また、庄内川付近で採取された砂利を市内へ輸送することもあったという。；精油として採取されたルー油はグラッパなどの香り付けに使われている。；マシジミなどは貴重な自然の恵みとして用水路などでも採取されていた。；こうして採取された雨水は、トイレなど飲料以外の目的に使用されている。；挿し穂を採取する前の光環境も重要であることがしばしば言われれている。；これらの岩石種と、採取される有用元素の間には明確な相関関係がある。；観測機器が故障したため詳細な地理的データは採取できなかった。；採取技術を覚えたら、採取道具を購入して指定の場所に行き採取する。；現在は主に天地戦争時代の遺跡やモンスターの体内から発見・採取される。；特に形変わりでなくても採取の対象にされる場合がある。；一方、磯で海草を採取する際にはかすりはんてんなどを着て行っていた。；そのため、中国では2000年に髪菜の採取・販売が禁止されている。；流星物質が直接採取された例はこれまでないが、候補物質は採取されている。；他の玉川にも見られるように、玉の材料の石が採取できたからであるといわれている。；販売されてい以外のものは、村や都市で採取・生産技術を取得し、自分で作る。；これまでの20年間多くの標本が採取され、世界中の研究所に送られている。；採取地が住宅地の中と意外な場所にあったため写真週刊誌で記事にされたこともある。；というのも、高品位の素材が最も一貫して採取されていたためである。；天然物が採取されているが、昭和30年代以前には養殖が試みられていた。；良港を有しないことから昆布漁を始めとする海藻採取が中心であった。；フリーザとコルド大王の細胞は、2人が地球に襲来した時に同様に採取。</t>
        </is>
      </c>
      <c r="J3179">
        <f>HYPERLINK("https://www.weblio.jp/content/採取", "词义详情")</f>
        <v/>
      </c>
      <c r="K3179">
        <f>HYPERLINK("https://yourei.jp/採取", "查看例句")</f>
        <v/>
      </c>
    </row>
    <row r="3180">
      <c r="A3180" t="inlineStr">
        <is>
          <t>採集</t>
        </is>
      </c>
      <c r="B3180" t="inlineStr">
        <is>
          <t>成功</t>
        </is>
      </c>
      <c r="C3180" t="inlineStr">
        <is>
          <t>読み方：さいしゅう
［名］(スル)標本・資料などにするために、取って集めること。「民俗語彙を—する」「植物—」</t>
        </is>
      </c>
      <c r="D3180" t="inlineStr">
        <is>
          <t>採集する(7%)；採集される(2%)；採集者；採集地；採集旅行</t>
        </is>
      </c>
      <c r="E3180" t="inlineStr">
        <is>
          <t>収録；取る；収集；集める；コレクション</t>
        </is>
      </c>
      <c r="F3180" t="inlineStr">
        <is>
          <t>化石採集；採集品；表面採集；採集方法；採集箱</t>
        </is>
      </c>
      <c r="H3180" t="n">
        <v>29</v>
      </c>
      <c r="I3180" t="inlineStr">
        <is>
          <t>栽培されたものがほとんどであるが、現地で採集されたものも流通する。；法律で保護の対象とされ、採集は厳しく制限され輸出は禁止されている。；この遺跡は農耕社会出現前の食料採集民の戦争の確実な例とされている。；一方でそのための採集圧から絶滅の危機が問題になっているものも多い。；石のほとんどは採集前に発見された時点の状態を写真に記録された。；雌雄とも上流に行くほど大きく成長するため、大型の個体が採集される。；近年は狩猟や採集だけの生活ではなく、都心へ働きに出る者などもいる。；小笠原諸島は世界自然遺産に登録されているため採集禁止とされている。；大きくても、脊椎動物のように個体性が明確なものは、それを採集する。；時には採集に同行し、生きた伝承を正確にとらえる方法を熱心に教えた。；記載されてから1930年までに標本は1頭のみしか採集例がなかった。；ただ沼や川での無理な採集がたたって、この頃から胸を病むようになる。；植物のように個体性が明確でないものは、一部だけを採集するのが珍しくない。；彼らは最初の年に、街の近くに居を構えて鳥と昆虫などを採集した。；多くの生息地では法的に保護の対象とされ、採集や輸出が制限されている。；ボリビアでは法的に保護の対象とされ、採集や輸出などが禁止されている。；そのため成体は春以降夏の終わりまで淡水域ではほとんど採集されない。；日本も移動をして採集をしてきた民族が日本の環境に適する農業をするようになった。；かつてはコンブの採集も多かったが近年はあまり行われていない。；一部の地域では、食物を補充するために狩りや野生の植物の採集を行う。；この方法で採集旅行の帰り道で標本を作ってしまう人の話を聞いたことがある。；同一の生息環境にいる動物は、同一の方法で総ざらえに採集できる場合がある。；必ずしも遠くへ行く必要はないのだが、身近で採集できるものは限られている。；採集された骨格は左半身を集中的にクリーニングされることになった。；たとえばタイのチエンラーイ県のカレン族から民芸品が採集されている。；アメリカから輸入した綱掘り式掘削機械で相良油田から石油を採集した。；数ヶ月間その生活を続けてから、分かれて採集することになる。；採集により生息数は減少しているが、絶滅のおそれは低いと考えられている。；生息地では法的に保護の対象とされ、採集や輸出が厳しく制限されている。</t>
        </is>
      </c>
      <c r="J3180">
        <f>HYPERLINK("https://www.weblio.jp/content/採集", "词义详情")</f>
        <v/>
      </c>
      <c r="K3180">
        <f>HYPERLINK("https://yourei.jp/採集", "查看例句")</f>
        <v/>
      </c>
    </row>
    <row r="3181">
      <c r="A3181" t="inlineStr">
        <is>
          <t>最終</t>
        </is>
      </c>
      <c r="B3181" t="inlineStr">
        <is>
          <t>成功</t>
        </is>
      </c>
      <c r="C3181" t="inlineStr">
        <is>
          <t>読み方：さいしゅう
１いちばん終わり。「いよいよ—の局面を迎える」「—目標」⇔最初。
２その日、最後に運行されるバス・電車・汽車・飛行機など。「—に間に合う」</t>
        </is>
      </c>
      <c r="D3181" t="inlineStr">
        <is>
          <t>最終的(24%)；最終決戦(4%)；最終階級(3%)；最終選考(2%)；最終コーナー(2%)</t>
        </is>
      </c>
      <c r="E3181" t="inlineStr">
        <is>
          <t>最後；末；結局；止め；終わり</t>
        </is>
      </c>
      <c r="F3181" t="inlineStr">
        <is>
          <t>最終ステージ；最終学年；最終氷期；最終号；最終審査</t>
        </is>
      </c>
      <c r="G3181" t="inlineStr">
        <is>
          <t>最終戦；最終回；最終日；最終話；最終節</t>
        </is>
      </c>
      <c r="H3181" t="n">
        <v>29</v>
      </c>
      <c r="I3181" t="inlineStr">
        <is>
          <t>同じ報告では最終的な決定は国家発展開発委員会に委ねられたとされる。；右下の隅または左上の隅を空所とした配置を最終目標とするものが多い。；これを表明した時点で最終エンドまで達していなくても試合終了となる。；最終的に越前国でありながら明治初期に石川県に加えられた地域となる。；当然ながら、どの組み合わせを選んだかは最終的な仕上がりに影響する。；終戦直前に完成したゲルググの最終生産タイプであり、生産数は少ない。；最終的にインディヘナの伝統的な文化はこの文化的領域に吸収された。；承認後、最終的な文章には編集上のわずかな変更しか加えることができない。；町内に存在する最も古い遺跡は最終氷期の終期頃のものと推定されている。；スウェーデンとノルウェーの国境は最終的に1751年に確定された。；漫画版でもパロディ的なものが行われ、最終巻にまとめて収録された。；パリ音楽院の対位法科は、自由コラールが成績の最終評価になっていた。；このレースは最終コーナーのあたりで起きたアクシデントで大荒れとなった。；ちなみに卒業生が参加した場合、その日が事実上の最終登校日となる。；このことは最終氷期の既に厳しく寒くなっている状態の悪化をもたらした。；パイロットのみならず、劇場版や最終巻などの主要回の演出を全て務め上げた。；曲は数回の改訂を経ており、1919年に最終版へ作品44が与えられた。；東洋車・日立車の最終的な製造数および内容は下記の通りである。；他リーグでは通常、前シーズン1、2位校のカードが最終週に組まれる。；JET研究では最終発作から3週間以上経過したあとに行なっている。；少佐の意のままに動く軍隊であるが、その最終目的は判然としない。；B型をベースに改良された強襲用の機体で、MS-15系の最終生産型。；一部の医師は、人々が問題の最終的な救いを求めているサインだと考えている。；そして最終的に飛行試験によりソフトウェアやシステム全体の検証が行われた。；最終行は3桁の応答コードの直後にスペースをつけ、テキストを続ける。；最終的な結果がどうなるかは分かっていない。；彼の死後の最終的な称号は次の通りである。；最終氷期の終了後、人類が定住し農業が発展するという出来事が起こった。；首都を掌握するという最終目標に向けて進軍を再開すると発表した。</t>
        </is>
      </c>
      <c r="J3181">
        <f>HYPERLINK("https://www.weblio.jp/content/最終", "词义详情")</f>
        <v/>
      </c>
      <c r="K3181">
        <f>HYPERLINK("https://yourei.jp/最終", "查看例句")</f>
        <v/>
      </c>
    </row>
    <row r="3182">
      <c r="A3182" t="inlineStr">
        <is>
          <t>最初</t>
        </is>
      </c>
      <c r="B3182" t="inlineStr">
        <is>
          <t>成功</t>
        </is>
      </c>
      <c r="C3182" t="inlineStr">
        <is>
          <t>読み方：さいしょ
いちばんはじめ。「物事は—が大切だ」「—だれかと思った」⇔最後／最終。</t>
        </is>
      </c>
      <c r="D3182" t="inlineStr">
        <is>
          <t>最初期(2%)；最初の近代的；最初の文献記録；最初の恒久的</t>
        </is>
      </c>
      <c r="E3182" t="inlineStr">
        <is>
          <t>始め；当初；開始；初；入り</t>
        </is>
      </c>
      <c r="F3182" t="inlineStr">
        <is>
          <t>世界最初；史上最初；いちばん最初；最初の聖体拝受；最初の王妃キャサリン・オブ・アラゴン</t>
        </is>
      </c>
      <c r="G3182" t="inlineStr">
        <is>
          <t>最初の接触；最初の大陸横断鉄道；最初の生命；最初の男；最初から今まで</t>
        </is>
      </c>
      <c r="H3182" t="n">
        <v>29</v>
      </c>
      <c r="I3182" t="inlineStr">
        <is>
          <t>当記事の最初で説明したように、ゲーム機には以下のような種類がある。；その叙述に現在時制を用いたことでは最初の小説の一つとされてもいる。；近代的な欧米の図書館制度を日本に最初に紹介したのは福沢諭吉である。；これは中国語以外の言語で書かれた最初の麻雀についての記述であった。；ベンツは最初の自動車販売店を作り、生産した自動車を数百台販売した。；ひかりは自分こそ選ぶ権利など最初からないのをわかっていなかったと語る。；もし神が最初の意味で理解されるなら、神は一人しか存在し得ないことになる。；しかし最初の命令のゼウス殺しに失敗し追われる身となってしまう。；これは最初のリリースの翌日からほぼ正確に40年後のことである。；おそらくゲームを定義づけようとした最初の議論と考えられている。；これが明確に子どもに向けて書かれた最初の絵入り本であると考えられている。；これが晩年に人生を捧げることになるユニセフへの最初の貢献だった。；現在の日本の学校教育では文字の中では「平仮名」が最初に教えられる。；最初の問題は発展途上国の近代的産業はあまり効率がよくないことだ。；テキサスの地域を最初に領有権主張したヨーロッパの国はスペインだった。；宇宙船を開発し、最初にほかの惑星に移住できるかを競うこともできる。；を含めたは、公式に標準化された最初のオブジェクト指向言語である。；その後最初に決まった対戦カードからの正式な試合順を決める抽選を行う。；最初の公開リリースであるバージョン13は1985年3月に完成した。；ブールはヴィザの問題で最初から一家に合流することはできなかった。；天文撮影や科学機器では冷却機構が最初から設計に含まれているものもある。；最初のカードがリードされたら、その時点でダミーのカードを机に晒す。；連邦上院議員と州知事の双方に女性を選出したことでは最初の州になった。；奇しくもこの試合はtotoGOALがスタートして最初の試合であった。；最初の新聞は1873年に発行され、今日では何百もの印刷所がある。；最初の子どもが生まれるのは結婚して3年というのが平均的だった。；池田はテレビを利用して政策をアピールした最初の首相でもあった。；この事件は日本内地で治安維持法が適用された最初の事例になった。；最初のインド統一を果たしたアショーカ王は仏教の興隆にも力を尽くした。</t>
        </is>
      </c>
      <c r="J3182">
        <f>HYPERLINK("https://www.weblio.jp/content/最初", "词义详情")</f>
        <v/>
      </c>
      <c r="K3182">
        <f>HYPERLINK("https://yourei.jp/最初", "查看例句")</f>
        <v/>
      </c>
    </row>
    <row r="3183">
      <c r="A3183" t="inlineStr">
        <is>
          <t>最小</t>
        </is>
      </c>
      <c r="B3183" t="inlineStr">
        <is>
          <t>成功</t>
        </is>
      </c>
      <c r="C3183" t="inlineStr">
        <is>
          <t>読み方：さいしょう
いちばん小さいこと。「世界で—の国」⇔最大。</t>
        </is>
      </c>
      <c r="D3183" t="inlineStr">
        <is>
          <t>最小化(8%)；最小限度(6%)；最小単位(6%)；最小種；最小構成</t>
        </is>
      </c>
      <c r="E3183" t="inlineStr">
        <is>
          <t>最低；最低限；最少；下限；極小</t>
        </is>
      </c>
      <c r="F3183" t="inlineStr">
        <is>
          <t>必要最小；最小曲線；必要な最小；可能な最小；うち最小</t>
        </is>
      </c>
      <c r="G3183" t="inlineStr">
        <is>
          <t>最小値；最小化；最小二乗法；最小多項式；最小元</t>
        </is>
      </c>
      <c r="H3183" t="n">
        <v>29</v>
      </c>
      <c r="I3183" t="inlineStr">
        <is>
          <t>前者の場合根が最小の値、後者の場合、根が最大の値をもつことになる。；これまでで夏の北極の氷の面積が最小を記録したのは2012年である。；このことから広義の最小勝利連合の理論は妥当性を持つと言えるだろう。；一方実数の範囲ではその定義からいつでも が の最小の数になっている。；整数の桁を並べ替えて、最大にしたものと最小にしたものとの差を取る。；業務区域の人口規模と面積は、旧ドコモ地域会社の中で最小であった。；最小種はコクマルガラスともされるが、この種は別属とすることがある。；最小構成の場合で価格は50ドルを目指すとしていたが開発中止となっている。；家庭は、人間の社会の最小単位である個人の次に小さい単位である。；MRPは計画と管理でこれらの資金を最小化するために使用される。；西オーストラリアで最小の大学、国内で成長率が最も大きい大学の1つ。；このとき小さなカードを使うことで設計の複雑さを最小にする。；一般の環では、公倍元は定義できるが最小公倍元の存在は必ずしもいえない。；日本に分布するウ科の構成種では最小種で、和名の由来になっている。；擬似完全数は全て合成数で無数に存在し、そのうち最小の数は である。；ミクロラプトルなどが発見されるまでは長い間世界最小の恐竜であった。；分子は、その物質が持つ特性を維持したまま分割できる最小の単位と言える。；トキポナは、最小の努力で最大の意味を表現することを目指して設計された。；よく似た概念の一つにがあり、これはその多角形を完全に含む最小の円をいう。；それぞれの県の下には、最小の自治体であるオプシュティナが置かれている。；もっと複雑な例は巡回群ではない最小の単純群の位数に関係する例である。；「最小」にするには先頭形状を極力長くすればよいと従来は考えられてきた。；ある最小項をカバーする主項が1つしかないとき、その主項を必須項という。；まず広義の最小勝利連合の理論に従って、政権成立の過程を予測してみる。；完全トーティエント数は無数にあり、そのうち最小の数は 3 である。；この結果、A党とD党の連立という最小勝利連合が成立することになる。；用途により、1ユニットが必ずしも運行時の最小単位となるとは限らない。；最小絞り値が緑色に着色されていることでAEシリーズと区別できる。；情報の最小単位であるビット列を確実に識別するために用いられるものである。</t>
        </is>
      </c>
      <c r="J3183">
        <f>HYPERLINK("https://www.weblio.jp/content/最小", "词义详情")</f>
        <v/>
      </c>
      <c r="K3183">
        <f>HYPERLINK("https://yourei.jp/最小", "查看例句")</f>
        <v/>
      </c>
    </row>
    <row r="3184">
      <c r="A3184" t="inlineStr">
        <is>
          <t>最上</t>
        </is>
      </c>
      <c r="B3184" t="inlineStr">
        <is>
          <t>成功</t>
        </is>
      </c>
      <c r="C3184" t="inlineStr">
        <is>
          <t>読み方：さいじょう
１重なっているもののいちばん上。「マンションの—階」
２いちばんすぐれていること。この上ないこと。「—の品質」「—の喜び」</t>
        </is>
      </c>
      <c r="D3184" t="inlineStr">
        <is>
          <t>最上郡(5%)；最上甲板(4%)；最上軍；最上清人；最上先生</t>
        </is>
      </c>
      <c r="E3184" t="inlineStr">
        <is>
          <t>最高；トップ；究極；至極；一番</t>
        </is>
      </c>
      <c r="F3184" t="inlineStr">
        <is>
          <t>総員最上；重巡最上；最上郡最上町；最上郡戸沢村；最上郡鮭川村</t>
        </is>
      </c>
      <c r="G3184" t="inlineStr">
        <is>
          <t>最上級；最上川；最上氏；最上義光；最上家</t>
        </is>
      </c>
      <c r="H3184" t="n">
        <v>29</v>
      </c>
      <c r="I3184" t="inlineStr">
        <is>
          <t>通称は米沢城の東館に住んだことからお東の方や最上御前とも呼ばれた。；私は、その時刻こそ、脱出するのに最上の機会だと思って狙っていたのだ。；なお、それぞれの最下に示される名は次項目の最上にあたるものとする。；隠者ムドガラは自分の食べるものがなくとも客に最上のごちそうをした。；その表現にしてからが、無論最上最的確のもので無ければならないのだ。；だから私は社会問題研究者としてあえて最上の生活にあるとは思わない。；こうなってみると、今は神尾を中心として当ってみることが最上である。；彼は夜に大きな門を開けて欲しいと言い、持っている最上の食べ物を与えた。；僕は三度繰り返せば、この「話」のない小説を最上のものとは思はない。；六百米まで下りて行って第一の爆弾を投げたが、『最上』は傷つかない。；背後を襲われた上杉軍は混乱に陥り、最上勢はこの隙に上杉勢を攻める。；弱い人間の発明したものとしては、これでも最上のものだとしているのである。；キチガイになることを防ぐには、意志の力にたのむのが最上でしょうね。；ただややもすると、死を以て最上の戯曲の如く思っているものがある。；この時その一族郎党も召し抱えられ、酒井家中で最上衆と呼ばれている。；ただ、仕事の質だけは常に最上であるように心がけたいものである。；美代子はそういうタイプの人の、最上の部に属する人だったのではないかしら。；中世には旧最上街道と呼ばれる道が丘陵の麓に沿って通っていた。；彼はアペレスの最上の絵画を挙げながら、このように記述している。；首くゝりも最上先生の商談のうちでせうから、すでに拙者はとめないです。；圧定布や繃帯を作るためには家にある最上の布を使うように娘に言いつけた。；原作第3巻までのストーリーを最上美女丸が関わる形にアレンジしている。；しかし貴方は混ぜ物処理をしてない最上のラムを持っていなければならない。；実にある場合には自殺が最上のそして最美の道と見ゆるのである。；すべてを所有してる時に社会を否定するのは、最上の贅沢である。；もしおやつも春子も一緒であれば、それが最上だったことはいうまでもない。；個人の至誠と人類一般の最上の善とは衝突することがあるとはよく人のいう所である。；最上先生も常にそれを言つとる筈ではありませんか。；一時の生活転換のために最上の条件を具えてゐると由子は思つた。</t>
        </is>
      </c>
      <c r="J3184">
        <f>HYPERLINK("https://www.weblio.jp/content/最上", "词义详情")</f>
        <v/>
      </c>
      <c r="K3184">
        <f>HYPERLINK("https://yourei.jp/最上", "查看例句")</f>
        <v/>
      </c>
    </row>
    <row r="3185">
      <c r="A3185" t="inlineStr">
        <is>
          <t>最小限</t>
        </is>
      </c>
      <c r="B3185" t="inlineStr">
        <is>
          <t>成功</t>
        </is>
      </c>
      <c r="C3185" t="inlineStr">
        <is>
          <t>読み方：さいしょうげん
ある範囲内で、最も小さいこと。副詞的にも用いる。最小限度。「経費を—におさえる」「—必要な知識」⇔最大限。</t>
        </is>
      </c>
      <c r="D3185" t="inlineStr">
        <is>
          <t>最小限に食い止め；最小限に抑えよ；最小限住宅；最小限に抑えるべく；最小限に抑える工夫</t>
        </is>
      </c>
      <c r="E3185" t="inlineStr">
        <is>
          <t>最低；最小；最低限；最少；下限</t>
        </is>
      </c>
      <c r="F3185" t="inlineStr">
        <is>
          <t>必要な最小限</t>
        </is>
      </c>
      <c r="H3185" t="n">
        <v>29</v>
      </c>
      <c r="I3185" t="inlineStr">
        <is>
          <t>ダムが完成していれば被害を最小限に抑えられた可能性が指摘されている。；全ての生産設備は環境への影響を最小限にするように設計されている。；陸上での輸送の需要を最小限にするため、家屋は寄せ合って建てられた。；屋外の作業を想定した技術のため、道具ははさみや筆など最小限となる。；これは最小限の衝撃保護と無難な擦り傷・切り傷の保護を提供していた。；そのためには登場人物を少なくして、制作費を最小限にしたかった。；最小限の犠牲とはいえ放水路建設によって440戸の移転が必要となる。；そのため金属材との冶金的反応は最小限であり、接合は弱いものとなる。；そのため植民地は最小限の食料配給を長期間続けなければならなかった。；潜水艦に搭載できる物資や人員数は限られており、最小限の輸送であった。；トーチカの壁には視察用と銃眼を兼ねた必要最小限の穴が設けられている。；この様な場合であれば、見た目の違和感は最小限に抑えることができる。；このパク上等兵の行動が手榴弾での被害を最小限に抑えたと言われている。；カエサルは最小限の指示を各軍団へ送った後に、第10軍団へ向かった。；身のこなしが非常に軽く、最小限の動きで技を回避することが可能。；このため、ユーザーは最小限のカメラ操作で簡単に写真を撮影することができる。；この際には必要最小限の条件をもとに患者懲戒検束権が認められた。；泊まれる人数は限られており、最小限の俳優とスタッフでロケに臨んだ。；幸いにも襲撃は未明であったため、一般市民の被害は最小限であった。；ストリームを最小限の滞留とさせ低遅延処理となるように扱う形態を指す。；軸シール側に低圧側を構成し、ガス漏れが最小限で済むようにしてある。；これもハンドルがガタつかないよう、最小限に調整されなければならない。；対策とは、建物全体を柱で支えて接地面積を最小限にするというものだった。；彼らはそうすることで小さな生物を吸い込んでしまう可能性を最小限にしているのである。；コストを最小限に抑えるため、撮影場所は削減され短期間で撮影された。；彼の詩的なイメージの多くには最小限の会話と、単純だが心に残る音楽を伴っている。；彼はこのプロジェクトに嫌悪感を示し、最小限の仕事に留めるよう努めた。；それでもリアシートの後方には最小限のトランクルームが確保されていた。；また、放映済みの分を最小限の変更だけ加えて再利用することも行われた。</t>
        </is>
      </c>
      <c r="J3185">
        <f>HYPERLINK("https://www.weblio.jp/content/最小限", "词义详情")</f>
        <v/>
      </c>
      <c r="K3185">
        <f>HYPERLINK("https://yourei.jp/最小限", "查看例句")</f>
        <v/>
      </c>
    </row>
    <row r="3186">
      <c r="A3186" t="inlineStr">
        <is>
          <t>細心</t>
        </is>
      </c>
      <c r="B3186" t="inlineStr">
        <is>
          <t>成功</t>
        </is>
      </c>
      <c r="C3186" t="inlineStr">
        <is>
          <t>読み方：さいしん
［名・形動］(スル)
１細かいところまで心を配ること。また、そのさま。「—な（の）注意を払う」「—に事を運ぶ」
「かく—して組み立てたるを、まことの名作とはいうなり」〈鴎外訳・即興詩人〉
２気が小さいこと。また、そのさま。小心。
「よわよわしい、—らしい、腰のひくそうな、恰好」〈宇野浩二・晴れたり君よ〉
[派生]さいしんさ［名］</t>
        </is>
      </c>
      <c r="D3186" t="inlineStr">
        <is>
          <t>細心な注意；細心な用意；細心周到；細心なやり方；細心な努力</t>
        </is>
      </c>
      <c r="E3186" t="inlineStr">
        <is>
          <t>慎重；丁寧；臆病；丹念；念入り</t>
        </is>
      </c>
      <c r="H3186" t="n">
        <v>29</v>
      </c>
      <c r="I3186" t="inlineStr">
        <is>
          <t>失敗しないためには細心の準備と慎重な行動がよりいっそう必要だった。；空港へ近づくには細心の注意を払わなければならないだろうと思われた。；そしてそれは十分な細心さをもってされて初めて効果を顕すものである。；かれは細心の注意を周囲の水の動きに向けながらそろそろと進んでいった。；科学者のように自分の仕事の領域に細心であって、その外に出ないこと。；この自由の快感のために、細心の注意をもって何十年でもこれを続ける。；まさか彼は、そのような細心の注意が、もはや無駄だとは知らなかった。；彼はいつも男らしい自分を演出することに細心の注意を払っていたのだ。；細心の注意を払わなければならない二つの可能性をまず彼女は除外した。；ただし別の細心注意の原則に基づき未実現収益の計上は禁止されている。；彼が細心の注意で工夫した秘密の保持を、女のほうが破ろうとしていた。；しかしチェスターは自らの手に土を乗せないように細心の注意を払った。；これを知った私はパリの新聞の案内広告欄を細心に注意して見ました。；かれは、軸の先端や擦り薬の面に指を触れないよう細心の注意を払った。；特に、聴覚を有しない主人公の描写には細心の注意を払ったのだという。；穴の縁から穴の縁へと、細心の注意を払いながら我々は前進をつづけた。；のみならず彼はこうした場合に必要なあらゆる細心さをもってした。；だから、私は、走るのを再開したとき、膝には細心の注意を払っていた。；目を最後まで残しておいたのは、それが細心の作業を必要とするからだった。；しかしながらロシア艦隊を助けた霧に対しては細心の警戒が必要であった。；ここでかれらは、物音をたてぬように細心の上にも細心の注意を払った。；もっている最高の技術と細心の注意をここに投入せねばならない。；伊助も、お滝の方に注意されるまでもなく、細心の注意をはらっていた。；ハリーは、その誰とも顔を合わせないように細心の注意を払っていた。；細心な理学士は又それを心配して私のところへ相談に来るという風だ。；また、細心の注意を払う危険な役割であるため、禁酒している者も多い。；細心の注意をもって、川上機関大尉は、うす暗い廊下を奥へ進んでゆく。；それが胸にいだかれるまでには細心の注意をおはらいなのでしょうね?；細心の注意を払って、書類や手紙や文書類を調べたが、何も分らなかった。</t>
        </is>
      </c>
      <c r="J3186">
        <f>HYPERLINK("https://www.weblio.jp/content/細心", "词义详情")</f>
        <v/>
      </c>
      <c r="K3186">
        <f>HYPERLINK("https://yourei.jp/細心", "查看例句")</f>
        <v/>
      </c>
    </row>
    <row r="3187">
      <c r="A3187" t="inlineStr">
        <is>
          <t>最新型</t>
        </is>
      </c>
      <c r="B3187" t="inlineStr">
        <is>
          <t>成功</t>
        </is>
      </c>
      <c r="D3187" t="inlineStr">
        <is>
          <t>最新型車両(2%)；最新型エンジン；最新型高性能機関；最新型マシン；最新型ファクトリー</t>
        </is>
      </c>
      <c r="F3187" t="inlineStr">
        <is>
          <t>当時最新型</t>
        </is>
      </c>
      <c r="H3187" t="n">
        <v>29</v>
      </c>
      <c r="I3187" t="inlineStr">
        <is>
          <t>どうやら最新型の大型テレビが気になるらしく、それを眺め始めたのだ。；これは最新型で、つくり方を知っているのはまだ学校に三人しかいないの。；同レーダーが潜望鏡探知能力を持つ最新型であるかどうかは不明である。；光子の部屋にあるのと同じ、最新型のテレビが大きく印刷されている。；開発が進む最新型マシンに比べ遅れをとっており苦戦を強いられた。；形だけ見ると最新型のダットサンスポーツに似ているが、どうも少し違う。；これは後に最新型のサスペンションを備えた Z46 へと進化した。；何か画期的な武器でも持った最新型だと勘違いしてくれたのだろう。；これからベルリン中央飛行場へドイツ最新型の尾の無い飛行機を見に行くの。；メルセデスが最新型マシンを与えてくれたことへの信用に応えたいと思っている。；毎年改良を重ね、大幅な仕様変更となった最新型をリリースしたのが昨年の春。；「これ、最新型なんです」 ランディの視線に気づいた少女が言った。；今回の主要武器は、オーストリア・ステアー社の最新型ACRである。；最新型のダンスゲームで体験する八〇年代のディスコステップは初めての驚きだった。；当時最新型のMDウォークマンを意識したカラーリングとなっている。；かれは、ロンドンの、最新型のアパートのひとつにおさまっていた。；彼が二時ごろまでに五回聞いた自動車の音は、いずれも最新型の高級乗用車のエンジン音だったのである。；自動車は最新型のものから過去の型に変わり、飛行機もだんだんと複葉機に変わってしまう。；米ソが開発中の最新型だって、こんなにコンパクトにはいかないのだ。；極めて最新型の右掌の中に完全に隠れてしまうくらいの、ごくごく小型なものであった。；今の主力は『六枚羽』っていう、迎撃兵器ショーにも登場した最新型だ。；デービー灯を最新型に改良した物がオリンピック聖火のトーチである。；最新型のヒューマンフォームロボットシグナルを中心とした物語。；机の上には最新型のノートパソコンが置かれていた。；ソ連側は最新型の武装を追い求めず、既存の設計を発展させるという決断をした。；またイギリスのヴィッカース社、フランスとも交渉したがいずれも最新型の戦車の購入交渉は失敗した。；この時は当時最新型のトラス・タイド・アーチ橋であった。；名鉄バスは2014年末と2015年6月に最新型車を導入している。；最新型ということでギャラクティカ以上の戦闘能力及び空母能力を持っている。</t>
        </is>
      </c>
      <c r="J3187">
        <f>HYPERLINK("https://www.weblio.jp/content/最新型", "词义详情")</f>
        <v/>
      </c>
      <c r="K3187">
        <f>HYPERLINK("https://yourei.jp/最新型", "查看例句")</f>
        <v/>
      </c>
    </row>
    <row r="3188">
      <c r="A3188" t="inlineStr">
        <is>
          <t>再生</t>
        </is>
      </c>
      <c r="B3188" t="inlineStr">
        <is>
          <t>成功</t>
        </is>
      </c>
      <c r="C3188" t="inlineStr">
        <is>
          <t>読み方：さいせい
［名］(スル)
１衰え、または死にかかっていたものが生き返ること。蘇生(そせい)。「汚染していた川がやっと—した」
２心を改めて正しい生活に入ること。更生。「—の道を歩む」「—の恩人」
３再びこの世に生まれること。再誕。
４廃物を加工して、再び同種のものをつくり出すこと。「—紙」
５録音・録画したテープやディスクを装置にかけ、もとの音声・画像を出すこと。「ビデオを—する」
６生体の一部分が失われた場合、その部分が再びつくりだされる現象。トカゲの尾、カニの脚などでみられる。
７心理学で、過去に学習または経験したものを思い出すこと。→再認</t>
        </is>
      </c>
      <c r="D3188" t="inlineStr">
        <is>
          <t>再生する(12%)；再生される(3%)；再生できる(2%)；再生能力；再生させる</t>
        </is>
      </c>
      <c r="E3188" t="inlineStr">
        <is>
          <t>かける；復活；更新；再現；再興</t>
        </is>
      </c>
      <c r="F3188" t="inlineStr">
        <is>
          <t>再生時；音楽再生；動画再生；再生事業；再生機器</t>
        </is>
      </c>
      <c r="G3188" t="inlineStr">
        <is>
          <t>再生回数；再生産；再生医療；再生ボタン；再生不良性貧血</t>
        </is>
      </c>
      <c r="H3188" t="n">
        <v>29</v>
      </c>
      <c r="I3188" t="inlineStr">
        <is>
          <t>このように1本の腕だけで完全に再生できる種は6種が確認されている。；このため一時日本では2インチVTRが再生可能な環境が失われていた。；ただし2007年には両メディアに対応する再生機種も発表されている。；アメリカ軍で余剰化した機体が再生・改修の上で輸出された例も多い。；分裂をする種の中でも最も再生力が強い種がホウキボシの仲間である。；かつてはレーザーディスクの映像再生機能を使用しているゲームもあった。；音楽を作る側も再生側もほとんど同じ音を出す時代になっている。；告白者の償いによる心の再生に貢献してはじめて完全な父親になり得る。；一方で当時の機種で既に標準装備となっていた自動両面再生機能がない。；近年は録音された音頭を電気的に再生して行なうことが主流になっている。；最初に開発されたシステムで、主に業務用途での録音・再生に使用された。；頭髪の出る部分の皮膚に怪我をすると再生した皮膚から頭髪が出ない。；またデジタル化されたため、安定した映像が再生できるようになった。；その後はビデオ再生装置の撤去が行われ、普通列車の運用にも用いられた。；くちばしは、使うことで磨耗しても、鳥が生きている限り再生していく。；いずれもCDとの互換はなく、再生には専用のプレーヤーが必要である。；これは楽曲選択機構と再生機構を専用のコンピュータで置き換えたものである。；腕を自切することもでき、欠けた腕はしばらくすると元通りに再生する。；そして通常は、録音できるものは再生もできるようにできている。；イモリは脊椎動物としては、特に再生能力が高いことでも知られている。；また運用規定で、録音した機器以外で再生することはできないように定められている。；返却されなかったものは記念となるものに再生された後、設置される予定である。；これらの再生にはそれぞれ専用の再生機が必要になる。；同配信は水嶋の投稿に残され、約12万回再生されるほどの話題になった。；ここから、王はオシリスとなって再生復活し、永遠に富むと考えられた。；死につつあったギリシア思想は教会の神学と祈祷書のなかで再生した。；地上部のつるを刈り取っても地下に根茎が残り、すぐにつるが再生する。；もちろん再生しながらビデオテープにダビングすることも可能である。；BDには両方が収録されており、どちらかを選択して再生できる。</t>
        </is>
      </c>
      <c r="J3188">
        <f>HYPERLINK("https://www.weblio.jp/content/再生", "词义详情")</f>
        <v/>
      </c>
      <c r="K3188">
        <f>HYPERLINK("https://yourei.jp/再生", "查看例句")</f>
        <v/>
      </c>
    </row>
    <row r="3189">
      <c r="A3189" t="inlineStr">
        <is>
          <t>財政</t>
        </is>
      </c>
      <c r="B3189" t="inlineStr">
        <is>
          <t>成功</t>
        </is>
      </c>
      <c r="C3189" t="inlineStr">
        <is>
          <t>読み方：ざいせい
１国または地方公共団体が、その存立を維持し活動するために必要な財力を取得し、これを管理・処分する一切の作用。
２個人・家庭・団体などの経済状態。かねまわり。</t>
        </is>
      </c>
      <c r="D3189" t="inlineStr">
        <is>
          <t>財政的(15%)；財政上(4%)；財政状況(4%)；財政面(3%)；財政悪化</t>
        </is>
      </c>
      <c r="E3189" t="inlineStr">
        <is>
          <t>経済；ファイナンス；エコノミー；経済システム；経済体制</t>
        </is>
      </c>
      <c r="F3189" t="inlineStr">
        <is>
          <t>幕府財政；財政力；財政収入；財政収支；財政課長</t>
        </is>
      </c>
      <c r="G3189" t="inlineStr">
        <is>
          <t>財政再建；財政赤字；財政政策；財政支援；財政改革</t>
        </is>
      </c>
      <c r="H3189" t="n">
        <v>29</v>
      </c>
      <c r="I3189" t="inlineStr">
        <is>
          <t>これらの報告を受けた北海道は財政負担の低いほうを選ぶとバス転換を主張。；回りには、非常に予算をかけた飾り付けが行われ、地域の財政力を示す。；財政面では純度の安定したソリドゥス金貨を発行したことが特筆される。；外国人が財政に登用されたのは、シャーバンダル職だけに限らなかった。；このような事件や財政不足から、大聖堂の建設はほとんど進まなかった。；叔父はフィリップスの創業者の祖父でマルクスの財政援助者でもあった。；これらに代表されるような仏教政策は財政の悪化をもたらした。；この銅銭らの発行は発行の利益金などや財政権を取るための政府の意図があった。；こうした背景にあるのは、地方の財政は国に比べて潤沢ではないからである。；同時に有力商人に運上銀を上納させるなどして、藩財政の安定を図った。；また帝室財政に負担をかけないように、各地方の郡国で発行させた。；エジプトはイギリスの財政管理下におかれ、後に保護国となった。；更に徴税を管理するための高度な財政システムも確立されていた。；財政的にも困っていたので、定収入を得るために宮廷の職から引退しなかった。；彼は同社は製造部門は強いものの財政的に困難を抱えているのではないかと考えていた。；メイナードは、財政的な理由で手紙の競売を余儀なくされたと述べた。；構造的収支の改善が全体の財政収支の改善に大きな役割を果たした。；また、政府財政も日露戦争以来続いた財政難を克服することに成功する。；国民の期待を受け、犬養は金輸出再禁止に踏み切り、財政改善を図った。；インディアナ州は法または憲法で州財政を平衡させるよう要求していない。；科学・技術・保存・財政運営の4つの小委員会を持っている。；信長は、逼迫していた朝廷の財政を様々な政策や自身の援助により回復させた。；なお、反対の主な理由は、財政負担や地価物価の高騰への懸念であった。；晩年、民衆への負担が激増していく中で享楽に耽ったため財政が悪化。；社会の安定が財政の安定、そして成長をもたらすとしたのである。；これはそのプランテーションが少しずつ財政的破綻に向かっていたためだった。；綱憲は華奢な生活や吉良家への財政支援などにより藩財政を悪化させる。；しかしこれにより漢の財政は悪化し、それに対する対応策が必要とされた。；財政悪化もあり、中・後期の藩主はほとんど帰国しなかった。</t>
        </is>
      </c>
      <c r="J3189">
        <f>HYPERLINK("https://www.weblio.jp/content/財政", "词义详情")</f>
        <v/>
      </c>
      <c r="K3189">
        <f>HYPERLINK("https://yourei.jp/財政", "查看例句")</f>
        <v/>
      </c>
    </row>
    <row r="3190">
      <c r="A3190" t="inlineStr">
        <is>
          <t>最盛期</t>
        </is>
      </c>
      <c r="B3190" t="inlineStr">
        <is>
          <t>成功</t>
        </is>
      </c>
      <c r="C3190" t="inlineStr">
        <is>
          <t>読み方：さいせいき
１勢いが最盛の時期。全盛期。「貴族文化の—」
２果物・野菜などの出さかりの時期。「リンゴの—」</t>
        </is>
      </c>
      <c r="D3190" t="inlineStr">
        <is>
          <t>最盛期勢力</t>
        </is>
      </c>
      <c r="E3190" t="inlineStr">
        <is>
          <t>山；花；峠；頂上；頂点</t>
        </is>
      </c>
      <c r="F3190" t="inlineStr">
        <is>
          <t>中世最盛期；映画最盛期；ブーム最盛期；バブル最盛期</t>
        </is>
      </c>
      <c r="H3190" t="n">
        <v>29</v>
      </c>
      <c r="I3190" t="inlineStr">
        <is>
          <t>現地に訪れると最盛期の炭鉱そのままといえるような光景があったという。；鳴く虫は秋のものと考えられがちだが、キリギリスも夏が最盛期である。；最終氷期の約2万年前の最盛期が過ぎると地球規模で温暖化に向かった。；最盛期には作画から編集に至るまで300名以上の従業員を抱えていた。；温泉や保養施設は絶え間なく拡張され、新たな経済上の最盛期を迎えた。；最盛期では千人以上の日本人がリベラルタとその周辺に居住していたとされる。；しかし最盛期の乗客に対応しきれず2007年から特別ダイヤが復活した。；この時期が駅の利用の最盛期で、年間約12万6000人が利用していた。；最盛期の兵力は50万を超え、歩兵・舟兵・騎兵などに分類されていた。；だがこの頃ドルイドの権勢は最盛期を過ぎ下り坂であったと考えられている。；現在、城跡として現存しているのは最盛期の4分の1ほどの面積である。；ウラジーミルは領土を大きく広げ、キエフ大公国はその最盛期を迎えた。；新しい環境が水に合えば、最盛期のレベルに復活してくれると期待しています。；最盛期はストックホルムよりも多くの人口を抱えていたとされる。；また政府の政策によりマリキナ靴は1980年代初頭に最盛期を迎えた。；高句麗は4世紀の広開土王の代に、南北に領土を拡大し最盛期を迎える。；また文化にも理解を示し、この時代は南朝の中でも文化の最盛期と言われている。；当初は1日8往復の運行であったが、最盛期には16往復の運行となった。；最盛期には58経営体あったが、今はわずか1経営体にまで激減している。；こうした影響はこの時期に最盛期を迎えていたクラクフ建築に今も見ることができる。；ヘブライ人の王国に最盛期をもたらし、その知恵は後世高く評価された。；最盛期である14-15世紀には数百の都市が同盟に参加するようになった。；この都市は前2275年頃、ルガルザゲシ王の統治の下で最盛期を迎えた。；通信欄は、最盛期には薔薇族だけで1000通近くが掲載されていた。；これは当時最盛期を迎えていた日本テニス界に大きな刺激を与えた出来事のひとつであった。；なお、同事務所の一部は陸軍の仕事だけでなく、最盛期には海軍の依頼も受けていた。；なお、紅葉の最盛期の昼間時間帯は大谷川を渡る区間で徐行運転を行う。；最盛期には売上高約1000億円・20店舗・社員約500人を数えた。；最盛期には数百人いた生徒は現在は数名程度になっている。</t>
        </is>
      </c>
      <c r="J3190">
        <f>HYPERLINK("https://www.weblio.jp/content/最盛期", "词义详情")</f>
        <v/>
      </c>
      <c r="K3190">
        <f>HYPERLINK("https://yourei.jp/最盛期", "查看例句")</f>
        <v/>
      </c>
    </row>
    <row r="3191">
      <c r="A3191" t="inlineStr">
        <is>
          <t>在籍</t>
        </is>
      </c>
      <c r="B3191" t="inlineStr">
        <is>
          <t>成功</t>
        </is>
      </c>
      <c r="C3191" t="inlineStr">
        <is>
          <t>読み方：ざいせき
［名］(スル)団体・学校などに属する者として登録されていること。「本校に—する生徒」「—者名簿」</t>
        </is>
      </c>
      <c r="D3191" t="inlineStr">
        <is>
          <t>在籍時(9%)；在籍する(8%)；在籍中(8%)；在籍当時；在籍期間</t>
        </is>
      </c>
      <c r="F3191" t="inlineStr">
        <is>
          <t>多く在籍；大学在籍；多数在籍；当時在籍；台在籍</t>
        </is>
      </c>
      <c r="G3191" t="inlineStr">
        <is>
          <t>在籍出向；在籍専従</t>
        </is>
      </c>
      <c r="H3191" t="n">
        <v>29</v>
      </c>
      <c r="I3191" t="inlineStr">
        <is>
          <t>著者が、大学院博士課程に在籍する研究者だったことでも話題になった。；放送局出身アナウンサーや、契約アナウンサー出身も多く在籍している。；全車の屋根上に搭載される冷房装置は西武在籍当時からの装備品である。；全編成とも鷺沼検車区に在籍しており、編成の組成は次のとおりである。；万葉線に在籍している車両および過去に在籍した車両は以下の通り。；このほか、空港内での輸送用にはラッピングバスなども在籍している。；大学時代は高校在籍時から伸ばした髪が、腰まで届くほどの長髪になる。；開幕から5試合は、ここ2年間のJ1在籍経験チームとの対戦となった。；他に付き人は大勢在籍していたが、メンバーとして紹介されることはない。；在籍経験がある日本人選手ではMLB全球団で最多の13人が在籍した。；明治大学漫画研究会に在籍し、在学中から漫画を描いて収入を得ていた。；東京ガス在籍時からの盟友・鈴木は同年より大宮のチーム統括に就いた。；選手の名前は落合博満が在籍していた頃のロッテオリオンズの選手名が由来。；ただし、1編成しか在籍していなかったため、検査日は0系が代走した。；そこで出会ったのがそのビッグバンドに在籍していた神保であった。；日本の国有鉄道に在籍した蒸気機関車の弁装置の種類は次の通りであった。；いすゞ車が大半を占めているが、日野車、三菱ふそう車も在籍している。；在籍中または過去に在籍していた選手は以下の通り。；このクラブを理解するためには実名を挙げるべき参加者が他にもたくさん在籍している。；なお、分割民営化後には以下のような形態の編成が在籍していた。；かつては3ドア車も在籍していたが、現在はすべて廃車されている。；また、ジョー・モンタナは49ers在籍時に日本のCMにも出演した。；他の生徒や教師にも癖のある人物が多数在籍する。；これらによって、在籍する学生は計画的に研究し目標を設定し得るようになった。；初期に導入されたノンステップバスにも3ドア車が在籍していた。；在籍中は、自らの実践を元にして、福祉に関する法律の制定に奔走した。；現存する車両の他に以下の車両が在籍していた。；しかしこれらの学校は、後には単に科挙の資格を得るために在籍する場所となった。；この学校には、近隣市町村からの生徒を含め、約365人が在籍している。</t>
        </is>
      </c>
      <c r="J3191">
        <f>HYPERLINK("https://www.weblio.jp/content/在籍", "词义详情")</f>
        <v/>
      </c>
      <c r="K3191">
        <f>HYPERLINK("https://yourei.jp/在籍", "查看例句")</f>
        <v/>
      </c>
    </row>
    <row r="3192">
      <c r="A3192" t="inlineStr">
        <is>
          <t>最善</t>
        </is>
      </c>
      <c r="B3192" t="inlineStr">
        <is>
          <t>成功</t>
        </is>
      </c>
      <c r="C3192" t="inlineStr">
        <is>
          <t>読み方：さいぜん
１いちばんよいこと。いちばん適切なこと。「—の方法をとる」⇔最悪。
２できるかぎりのこと。ベスト。「—を尽くす」</t>
        </is>
      </c>
      <c r="D3192" t="inlineStr">
        <is>
          <t>最善手(3%)；最善説；最善の古典アルゴリズム；最善活用；最善最</t>
        </is>
      </c>
      <c r="E3192" t="inlineStr">
        <is>
          <t>ベスト</t>
        </is>
      </c>
      <c r="F3192" t="inlineStr">
        <is>
          <t>かぎり最善</t>
        </is>
      </c>
      <c r="H3192" t="n">
        <v>29</v>
      </c>
      <c r="I3192" t="inlineStr">
        <is>
          <t>それが若い牧師の幸福のためにとられる最善の方法であると考えられた。；工場に軍隊式を徹底させることが、最善だと考えているのだから面白い。；その当時は最善を尽したのだが今日見ると製作にまだ疎漏なものがある。；ドイツの若者よ 私たちの人々の最善の努力は君の中に集約されている。；そうでもしてこの際お互いを縛ることが最善の方法だとは承知していたが。；また、与えられた問題に最善の選択を見つける一般的方法も存在しない。；わたしのすべての最善の能力はそのなかに集中しているのをわたしは感じる。；すなわち、正直に投票することが各投票者とって常に最善の戦略となる。；私は日本にきてから、最善の保身術は沈黙だと思うようになっている。；わしは、みんながわしのために、最善をつくしてくれるように願いたい。；建物のなかにほかにも兵士がいるなら、狭いところでわたり合うのが最善だ。；そのうちこうするのが最善の策だろう、と心中にも思われたのでした。；次の最善の選択肢は格安で取得した土地を農業用に使い続けることだった。；最善手で応じ続けても化け物には逃げられてしまう、と迅鳴は予測した。；けれど今こそ、私達は最善の方法でそれを解決しなければなりません。；だれもが、彼を父親の批判の矢から守るために、常に最善以上の努力をした。；じっさいのところ、自分は教えられたとおりに最善を尽くしたつもりだ。；自分に与えられた道が、最善の道だと思って感謝しているんです。；しかし彼の本能は最善なものにたいして少しの疑いをもいだかなかった。；そしてわたしがそれを目にした場所は、忘れ去るのが最善である場所なのだ。；三日のあいだこの目的を遂行するために最善の努力はしたのだと思って満足した。；わたくしは、あなたのことを最善をつくしてその方に推薦しましょう。；こうなっては、即刻別れを告げて立ち去るのが、最善の策かもしれない。；これは実際には見えないはるか遠いものを見る能力の存在を証明する最善の例であろう。；チームへの貢献に感謝し、彼と彼の家族が最善を尽くすことを願っている。；それを意識することこそ、満足と幸福を得るための最善の方法だ。；そして、君が最善だと思える方法で答えるようにしてほしいんだ。；聴衆の大部分は提案された方針が可能な最善のものであることを理解できたからだ。；そう見えるように、そう行動するように最善を尽くしていたにもかかわらず。</t>
        </is>
      </c>
      <c r="J3192">
        <f>HYPERLINK("https://www.weblio.jp/content/最善", "词义详情")</f>
        <v/>
      </c>
      <c r="K3192">
        <f>HYPERLINK("https://yourei.jp/最善", "查看例句")</f>
        <v/>
      </c>
    </row>
    <row r="3193">
      <c r="A3193" t="inlineStr">
        <is>
          <t>催促</t>
        </is>
      </c>
      <c r="B3193" t="inlineStr">
        <is>
          <t>成功</t>
        </is>
      </c>
      <c r="C3193" t="inlineStr">
        <is>
          <t>読み方：さいそく
［名］(スル)物事を早くするようにうながすこと。督促。「矢の—」「返事を—する」</t>
        </is>
      </c>
      <c r="D3193" t="inlineStr">
        <is>
          <t>催促する(13%)；催促される(3%)；催促状(2%)；催促せら；催促なし</t>
        </is>
      </c>
      <c r="E3193" t="inlineStr">
        <is>
          <t>主張；求め；要求；求める；依頼</t>
        </is>
      </c>
      <c r="F3193" t="inlineStr">
        <is>
          <t>御催促；原稿催促；やかましく催促；ご催促；戦費催促</t>
        </is>
      </c>
      <c r="G3193" t="inlineStr">
        <is>
          <t>催促がましく</t>
        </is>
      </c>
      <c r="H3193" t="n">
        <v>29</v>
      </c>
      <c r="I3193" t="inlineStr">
        <is>
          <t>逆らって回答を催促したら気を悪くするか軽く見られるかのどちらかだ。；彼から電話を入れ、例の話はどうなっているかと催促したこともある。；催促されるまでもなく、こちらからおもむかねばならなかったのである。；彼に言いわけをしたり、金の催促を受けたりしなければならなかった。；ところが、人材不足から日本へ帰国するようにとの催促があり帰国する。；それを傍へ置いて話をしていると、一つ書こうじゃないかと催促する。；おそらく多くの債務は催促されず、帳消しにもならなかったとみられる。；真はエリオを挟んだ位置にいる少年へ、催促するように両手を上げる。；矢の催促で帰郷をうながされていた正造がようやく姿を現したのである。；愛馬も心得ているので、特に催促することもなく草を食んで待っていた。；それに此奴あ、俺の傍に附きつきりでまるで念仏みてえに金の催促だ。；男に取り憑く貧乏神は働くように催促するが、男は仕事に行こうとしない。；皆の衆、どうしたことだと催促すると、うつむいてぼそぼそ食べだした。；エライ人がなにもわざわざ催促の電話などかけてはくれないのである。；そこで、試みに闘わしてみると面白いので、いつも催促して献上さした。；部屋の明りをつけようとする者もなく、また催促しようとする者もいない。；「まだ入れないのですか」 宏一はさっきから何度もそう催促されていた。；あんなふうに寝ていたのにと、彼は小鳥屋へ雄をやかましく催促した。；時に簡単な催促状を書かされたりもするが、仕事らしい仕事はほとんどない。；彼はそれで六銭取られたせいか、ようやく催促を断念したらしい態度になった。；ただ、少し口ごもっていたらホロがこちらを見て無言で催促してきた。；ノーサップは自分の話の正当性を熱心に主張し、次の裁判を催促した。；そろそろ催促の電話をかけねばならないところではあった。；きみの神から返事をせよという催促があったと思ったら、返事をしてください。；沈黙こそが最大の催促になるとわかっていたからだった。；時鳥はそれを催促して、今でもトッテカケタカと啼くのだといっている。；会も終ったので私たちも催促の手紙を出さずにしまった。；いやそこまで露骨に催促しといて悪いも何もないと思うんだがな。；それが飯のおかわりを催促している、と気が付くのに何秒かかっただろう。</t>
        </is>
      </c>
      <c r="J3193">
        <f>HYPERLINK("https://www.weblio.jp/content/催促", "词义详情")</f>
        <v/>
      </c>
      <c r="K3193">
        <f>HYPERLINK("https://yourei.jp/催促", "查看例句")</f>
        <v/>
      </c>
    </row>
    <row r="3194">
      <c r="A3194" t="inlineStr">
        <is>
          <t>最多</t>
        </is>
      </c>
      <c r="B3194" t="inlineStr">
        <is>
          <t>成功</t>
        </is>
      </c>
      <c r="C3194" t="inlineStr">
        <is>
          <t>読み方：さいた
もっとも多いこと。「—勝利を誇る」「—出場」⇔最少。</t>
        </is>
      </c>
      <c r="D3194" t="inlineStr">
        <is>
          <t>最多記録(9%)；最多出場(3%)；最多優勝(3%)；最多タイ(2%)；最多得票(2%)</t>
        </is>
      </c>
      <c r="F3194" t="inlineStr">
        <is>
          <t>歴代最多；シーズン最多；自身最多；大会最多；全国最多</t>
        </is>
      </c>
      <c r="G3194" t="inlineStr">
        <is>
          <t>最多得点；最多勝利；最多奪三振；最多安打；最多本塁打</t>
        </is>
      </c>
      <c r="H3194" t="n">
        <v>29</v>
      </c>
      <c r="I3194" t="inlineStr">
        <is>
          <t>また、同シーズンはクラブ最多となる10連勝の記録作りにも関与した。；最多のセーブを記録した投手に最多セーブ投手のタイトルが与えられる。；初代村長は同一自治体としては全国最多の12期連続当選の記録を持つ。；在籍経験がある日本人選手ではMLB全球団で最多の13人が在籍した。；獲得した全国タイトルは、全国女子ユースチーム最多の計12回である。；最終的に19試合の登板ではあったが、日本復帰後最多の7勝を挙げた。；光圀は藩主時代計11回帰国しており、歴代藩主の中では最多である。；ステージはシリーズ最多の全10面とシリーズ最大のボリュームを誇る。；最多の保有台数である米国のなかでも保有率が高いのがロサンゼルスである。；この時点で現役最多だった連続フルイニング出場が574試合で止まる。；第49回大会ではアメリカのテレビ史上の最多視聴者数を更新した。；発生数は27個で、それまでの最多記録であった21個を大幅に更新した。；この時点で通算優勝回数が124回となり、大山康晴の最多記録に並ぶ。；中途での参加にもかかわらず演出陣の中では最多となる14作品の演出を担当した。；本作からは最多の17作品が選定された他、上位作品もほぼ独占している。；電気グルーヴのオリジナルアルバムの中では最多の楽曲収録数である。；最多の種がいるのはアフリカで、ヨーロッパや北米に生息する種は比較的少ない。；代表通算60試合以上に出場し、歴代最多となる24得点を記録した。；以後、半数超えの最多得票者1名が出るまで同様の手順を繰り返し行う。；同レース現役最多記録をさらに伸ばし、歴代2位タイの5勝目となる。；新日鐵時代から獲得した全国タイトルは、歴代最多の計54回である。；歴代最多7度のサイ・ヤング賞を受賞したMLBを代表する投手の1人。；セ・パ交流戦では12球団最多の12本塁打を記録し優秀選手賞を受賞。；にも最多犠打を記録し、小技と堅実な守備でチームの中心選手となった。；なお、複数の解が存在する初期配置の数字の最多個数は77個である。；FIFAワールドカップにおける通算得点数の歴代最多記録をもっている。；二社の合計乗降員数は11万人を超え、これは豊中市内では最多である。；もし2人以上が最多票数かつ同数票で並んだ場合、再投票が行われる。；音楽学部を設置している国内の大学の中で、最大の学生数と最多のコースを有している。</t>
        </is>
      </c>
      <c r="J3194">
        <f>HYPERLINK("https://www.weblio.jp/content/最多", "词义详情")</f>
        <v/>
      </c>
      <c r="K3194">
        <f>HYPERLINK("https://yourei.jp/最多", "查看例句")</f>
        <v/>
      </c>
    </row>
    <row r="3195">
      <c r="A3195" t="inlineStr">
        <is>
          <t>採択</t>
        </is>
      </c>
      <c r="B3195" t="inlineStr">
        <is>
          <t>成功</t>
        </is>
      </c>
      <c r="C3195" t="inlineStr">
        <is>
          <t>読み方：さいたく
［名］(スル)いくつかあるものの中から選んで取り上げること。「動議が—された」</t>
        </is>
      </c>
      <c r="D3195" t="inlineStr">
        <is>
          <t>採択率；採択件数；採択地区；採択されれ；採択校</t>
        </is>
      </c>
      <c r="E3195" t="inlineStr">
        <is>
          <t>採用；導入；用いる；選択；選ぶ</t>
        </is>
      </c>
      <c r="F3195" t="inlineStr">
        <is>
          <t>決議採択；事業採択；条約採択；憲法採択；coe採択</t>
        </is>
      </c>
      <c r="H3195" t="n">
        <v>29</v>
      </c>
      <c r="I3195" t="inlineStr">
        <is>
          <t>決議は採択され、ロジャースだけでなく以下の会員が委員に任命された。；採択はされたものの、この期にも北海道帝国大学設立には至らなかった。；また6月にアメリカは国民党政府に向けて対中軍事援助法案を採択した。；条約が採択された都市の名称をとって、ワシントン条約とも呼ばれる。；この決議案が圧倒的多数で採択されることで、国連での議論が始まった。；モントリオール議定書の採択に伴い、使用が規制されるようになった。；こうして北越北線が正式に採択され、南北戦争は終結することになった。；それ以来、多くの国がこの条約に署名し、その提案を採択している。；戦略的大学連携支援事業として、2件のプロジェクトが採択されている。；仮説が起こり得るべきことであればそれを採択し前提となる仮説を採択する。；ルーマニア国民と外国人との接触を制限・管理するため、特別な法律が採択された。；本級は、従来の艦隊駆逐艦の伝統を引き継いだコンセプトを採択している。；参謀部は3つめの設計を採択し、1970年末には概略設計が完了した。；国際連合決議とは、国際連合の機関によって採択された正式文書のこと。；しかしインドが合意を蒸し返す状態で反対したため期限までに採択できなかった。；現在使用されているのは、1990年に採択されたものである。；さらに1989年には児童の権利に関する条約が採択され条約化が実現した。；文部科学省に採択された教育プロジェクトには、次のものがある。；産学官連携戦略展開事業として、1件のプロジェクトが採択されている。；観光庁の「既存観光拠点再生・高付加価値化推進事業」の採択を受けた。；このうちもっとも大型であったGW 57案が採択され、本級のベースとなった。；ヘルシンキ宣言は、ヒトを対象とした国際的な研究を規制するために採択された。；本条約が採択された場所から通称ボン条約と呼ばれている。；同時に補完的に採択されている勧告とともに国際労働基準を構成している。；国際連合で採択された各条約の事務局また条約に基づく組織として以下がある。；さまざまな国家の権利をソ連から取り戻すことを宣言し、非核三原則も採択した。；この提案は採択されなかったが、3年後の北西部条例の元となる考え方を作った。；ニース欧州理事会で採択された本条約は多方面からの反対を受けた。；イギリス議会が採択した茶法のロングタイトルは下記のとおりである。</t>
        </is>
      </c>
      <c r="J3195">
        <f>HYPERLINK("https://www.weblio.jp/content/採択", "词义详情")</f>
        <v/>
      </c>
      <c r="K3195">
        <f>HYPERLINK("https://yourei.jp/採択", "查看例句")</f>
        <v/>
      </c>
    </row>
    <row r="3196">
      <c r="A3196" t="inlineStr">
        <is>
          <t>最中</t>
        </is>
      </c>
      <c r="B3196" t="inlineStr">
        <is>
          <t>成功</t>
        </is>
      </c>
      <c r="C3196" t="inlineStr">
        <is>
          <t>読み方：さいちゅう
［名］
１動作・状態などが、いちばん盛んな状態にあるとき。進行中のとき。まっさかり。さなか。「今が暑い—だ」「食事の—」
２まんなか。
３いちばん盛りの状態にある人。
「渡辺党の—なり」〈盛衰記・一四〉
［副］しきりに。
「三皿目のシチウを今三人で—食っている」〈虚子・俳諧師〉</t>
        </is>
      </c>
      <c r="D3196" t="inlineStr">
        <is>
          <t>最中に突然；最中に突如；最中に通りかかりまし；最中終戦を迎える；最中ニ</t>
        </is>
      </c>
      <c r="E3196" t="inlineStr">
        <is>
          <t>中；中心；中央；センター；中間</t>
        </is>
      </c>
      <c r="F3196" t="inlineStr">
        <is>
          <t>まっ最中；忙しい最中；親船最中；暑い最中；そうした最中</t>
        </is>
      </c>
      <c r="H3196" t="n">
        <v>29</v>
      </c>
      <c r="I3196" t="inlineStr">
        <is>
          <t>列車が分岐器を通過している最中に分岐器が途中転換すると危険である。；該当踏切を含むこの区間では高架化工事が進んでいる最中の出来事だった。；サリバンとはこの不倫騒動の最中にストーリー上でも抗争を行っていた。；厳重に戸締まりをして、だれがきてもなかへ入れるんじゃありませんよ。；靳準がこれの対処にあたったが、その最中二人の子が突然死亡したという。；残りの一行は脱出装置でテレポートの最中にバラバラになってしまう。；わしもこれの父も半人前もなかもん同士で舟仕立てて、いい含めて出る。；手から光も出ず、なんの変化もなか ったのに、犬は消えてしまった。；そいでもほかのもんがそれにきつう反対しとるかといえばそうでもなか。；ふたりはナザールを当てにして、またしてもなかから錠をかけなかった。；清仏戦争に清が敗北して講和会議が始まろうとしている最中のことだった。；確かな成立年は不詳だが、治承・寿永の乱の最中か直後だと思われる。；スコッティはこのシーズンの最中、公にトレードを要求したこともあった。；絶望的な状況の最中、最高の相棒と戦友が宗介の元へと集まっていた。；阿南は湯上がりと見えて、上半身裸で机で何かを書いている最中であった。；このとき彼は円周率の計算をしている最中だったといわれる。；クルスクでの戦いの最中には、イタリアのシチリア島に連合国軍が上陸。；藤村もなかば反射的に走りかけ、そして途方にくれたように足をとめた。；永易は結婚していたが、この騒動の最中である12月に離婚している。；あんた達が、居るふうもなかけん、するごとしなさいと、云うたろうが?；新聞雑誌気に向いた所ばかり読ちらして余念と苦労は露ほどもなかりし。；ブラックは氷が融解している最中は熱を吸収しても温度が変化しないことを発見した。；中には「高速で走っている最中なら、なお良い」という伝説もあった。；釣り人が川で釣りをしている最中に、一人の坊主が現れて長話に興じる。；戦争が終わりナチスが撤退する最中ジョズエとグイドは逃げようとする。；現在は分子遺伝学的情報などによる見直しも行われている最中である。；その最中に感情、記憶、イメージが鮮明になるのではないかという。；この攻城戦の最中に朝廷より、降伏するようにとの命が下った。；天順帝も混乱の最中に没したが、どのような最期を遂げたかは不明である。</t>
        </is>
      </c>
      <c r="J3196">
        <f>HYPERLINK("https://www.weblio.jp/content/最中", "词义详情")</f>
        <v/>
      </c>
      <c r="K3196">
        <f>HYPERLINK("https://yourei.jp/最中", "查看例句")</f>
        <v/>
      </c>
    </row>
    <row r="3197">
      <c r="A3197" t="inlineStr">
        <is>
          <t>最低</t>
        </is>
      </c>
      <c r="B3197" t="inlineStr">
        <is>
          <t>成功</t>
        </is>
      </c>
      <c r="C3197" t="inlineStr">
        <is>
          <t>読み方：さいてい
［名・形動］
１高さ・位置・程度などがいちばんひくいこと。「一日の—の気温」⇔最高。
２物事の状態などがもっとも望ましくないこと。きわめて質の劣ること。また、そのさま。「今度の試験は—だった」「あいつは—な男だ」⇔最高。</t>
        </is>
      </c>
      <c r="D3197" t="inlineStr">
        <is>
          <t>最低地点(3%)；最低一；最低地上高；最低音；最低点</t>
        </is>
      </c>
      <c r="E3197" t="inlineStr">
        <is>
          <t>少なくとも；せめて；最悪；最小；少くとも</t>
        </is>
      </c>
      <c r="F3197" t="inlineStr">
        <is>
          <t>最低三；最低人気；自己最低；最低水準；最低記録</t>
        </is>
      </c>
      <c r="G3197" t="inlineStr">
        <is>
          <t>最低賃金；最低気温；最低限度；最低条件；最低賃金法</t>
        </is>
      </c>
      <c r="H3197" t="n">
        <v>29</v>
      </c>
      <c r="I3197" t="inlineStr">
        <is>
          <t>最低一度はカードの表を見てからカードを出さなければ反則となる。；Cellの仕様を満たすためには最低1つは搭載することが求められる。；だが実際には他にも親衛隊が最低100名は処刑していると見られる。；全員を仲間にするためには最低でも周回プレイを3回行う必要がある。；市が拒否すれば、最低入札価格を引き下げて再度入札を行うことにした。；本当をいうと、私たちは最低でも20万フランと見積もっていたのです。；これはニューイングランドで記録された最低温度に並ぶものである。；借受人が有効な運転免許証を所持していることが絶対的な最低条件である。；最大容量は、バージョンを最大、誤り訂正レベルを最低にした場合の値。；しかしこれは最低量を保証するものであり、実際には量が数千程度増加することもある。；科学が非常に発達しており、最低でも400年前に宇宙船を開発していた。；第1期広島時代を除くと自己最低のリーグ戦4試合の出場にとどまった。；そのため彼は各軍管区に情報提供者の将校を最低でも一人は確保しようと務めた。；当駅から豊橋駅へは直通列車が停車しないため最低1回乗り換えが必要。；また、車両側では、集電装置の最低作用高さを低めることが必要である。；この時期には2-3曲を披露するアーティストが最低1組は登場していた。；AHは機材または地上設備の異常がないことを確認するための最低の高さである。；そのため、設置する場所、あるいは資金の都合で最低音となる鐘が選ばれる。；一般的にブランドのキャリアの最低点であると見なされている。；この最低地点が全米の州の最低地点中では最高の数値になっている。；日本中央競馬会に特別市場が設定する最低価格の500万円で購買された。；合格を認定してもらうための最低ラインは以下の通り。；最低音域のパッセージは、音響学的に最外声部であるために良く目立つ。；通常は緑、青のときが最高で逆に赤のときは最低となる。；それは、熱振動が小さくなり、エネルギーが最低になった状態である。；各海水浴場に所属するライフセーバーの人数は最低7名から最高92名。；この操作を行うために球を最低5つに分割する必要がある。；これらは任意の励起電子配置の最低状態の決定についてもかなり信頼できる。；戦後の食料自給率は大幅に低下し、先進国の中では最低水準となっている。</t>
        </is>
      </c>
      <c r="J3197">
        <f>HYPERLINK("https://www.weblio.jp/content/最低", "词义详情")</f>
        <v/>
      </c>
      <c r="K3197">
        <f>HYPERLINK("https://yourei.jp/最低", "查看例句")</f>
        <v/>
      </c>
    </row>
    <row r="3198">
      <c r="A3198" t="inlineStr">
        <is>
          <t>最低限</t>
        </is>
      </c>
      <c r="B3198" t="inlineStr">
        <is>
          <t>成功</t>
        </is>
      </c>
      <c r="C3198" t="inlineStr">
        <is>
          <t>読み方：さいていげん
いちばん低いほうの限界。最低の限度。副詞的にも用いる。「—の値上げにとどめる」「—必要なもの」</t>
        </is>
      </c>
      <c r="D3198" t="inlineStr">
        <is>
          <t>最低限必要(6%)；最低限の入学要件；最低限の電子装備；最低限の大き；最低限要求</t>
        </is>
      </c>
      <c r="E3198" t="inlineStr">
        <is>
          <t>最低；最小；最少；下限；極小</t>
        </is>
      </c>
      <c r="F3198" t="inlineStr">
        <is>
          <t>必要な最低限</t>
        </is>
      </c>
      <c r="G3198" t="inlineStr">
        <is>
          <t>最低限度の生活を営む権利；最低限所得保障</t>
        </is>
      </c>
      <c r="H3198" t="n">
        <v>29</v>
      </c>
      <c r="I3198" t="inlineStr">
        <is>
          <t>放牧をする上で移動が伴うことから必要最低限のものが選択されている。；転じて、危機的な状況で最低限の保身を維持するためのものなどを指す。；ドネーツィクは小型艦であったが、最低限の電子装備は搭載されていた。；ホールリウカは小型艦であったが、最低限の電子装備は搭載されていた。；は言語機能を必要十分の最低限まで単純化することを目指した言語である。；最低限、どこがスタブなのかを理由の項目に明確な記述をお願いします。；原論文は必要最低限の記述しかないが、ここではいくらか解説を加えている。；小峠はただし「予選落ち」すると最低限の規定がある旨を述べている。；これは非常に安い運賃で移民を乗せたが、設備は最低限のものであった。；これは必要最低限の装備だけを携帯することをコンセプトに作られていた。；そのため、最低限のサービスの質を保証させる権限を確保すべきだと提案した。；当初からライブでの再現を考え、ダビングなどは最低限にとどめている。；現在は必要最低限のものだけが、対象地域に向けてのみ行われている。；数打ちと言われるような大量生産された物の中には最低限の刃しか付いていない物もある。；そして政府は彼らに必要最低限の自由を与えなければならない。；広汎な用途を想定して機械的性質を中心に最低限の基準を設けている。；施設型は最低限のスタッフ数、受け入れ可能人数などに規定がある。；なお、最低限必要とされている値の範囲の関係で8未満にはならない。；何が起きているのか公にならないように、告知は最低限に留められた。；はこのことを定式化しており、必要最低限の時間周波数標本数を与える。；しかも、その土地は水を十分に確保できる土地であることが最低限の条件となる。；ドライバーは最低限の規定距離を走行しなかった場合ポイントは与えられない。；稼働に最低限必要な本体で、これがなければ後説のユニットは稼動しない。；ベーシックインカムの給付額は生活に必要な最低限といわれることが多い。；最低限の安定をどう求めるかという力学のようなことを考えているわけです。；学校設置基準とは、各種の学校を設置する場合の最低限の基準のこと。；ただし記載はあまりにも最低限基本的な操作なので、これを冠する例はない。；アルテーミウシクは小型艦であったが、最低限の電子装備は搭載されていた。；ATCBによると、以下は文書化されなければならない最低限のものである。</t>
        </is>
      </c>
      <c r="J3198">
        <f>HYPERLINK("https://www.weblio.jp/content/最低限", "词义详情")</f>
        <v/>
      </c>
      <c r="K3198">
        <f>HYPERLINK("https://yourei.jp/最低限", "查看例句")</f>
        <v/>
      </c>
    </row>
    <row r="3199">
      <c r="A3199" t="inlineStr">
        <is>
          <t>最適</t>
        </is>
      </c>
      <c r="B3199" t="inlineStr">
        <is>
          <t>成功</t>
        </is>
      </c>
      <c r="C3199" t="inlineStr">
        <is>
          <t>読み方：さいてき
［名・形動］いちばん適していること。また、そのさま。「会計には彼が—だ」「スキーに—な雪質」</t>
        </is>
      </c>
      <c r="D3199" t="inlineStr">
        <is>
          <t>最適化する(6%)；最適解(3%)；最適な場所；最適な方法；最適値</t>
        </is>
      </c>
      <c r="E3199" t="inlineStr">
        <is>
          <t>至適</t>
        </is>
      </c>
      <c r="F3199" t="inlineStr">
        <is>
          <t>合わせて最適；最適成長モデル；局所最適；最適戦略；最適線型近似</t>
        </is>
      </c>
      <c r="G3199" t="inlineStr">
        <is>
          <t>最適化問題；最適性；最適制御；最適通貨圏；最適課税</t>
        </is>
      </c>
      <c r="H3199" t="n">
        <v>29</v>
      </c>
      <c r="I3199" t="inlineStr">
        <is>
          <t>神が最高の仕方で書くには何も書かれていない板が最適であるという。；時間や空間性能を最適化すると、開発サイクルが長く複雑になっていく。；作品の意図やキャラクター表現が最適化されることを重視している。；しかし周囲の環境は牧歌的であり、子供の教育場としては最適であった。；仕事と機械の数が大きくなると最適解を求めることが劇的に難しくなる。；最適化されたパレットの色は、元の画像で多く使われている色から選ばれる。；また、現在の本プロジェクトの内容が必ずしも最適とは限りません。；また村の小博物館も見所の一つで、村の概要と歴史を知るのに最適である。；昼間に話しかけられなかった人たちの友好度を上げるのに最適な場所。；つまり戦略とは「あらゆる行動の総合的な調整と最適選択」であると考えた。；各フィルムごとに最適な色表現を得られるように調整されている。；高度に最適化されたFFTプログラムが広く出回っていることである。；写真等で分析する場合もあるがボールそのものの回転を確認ができないため最適ではない。；そのために最適化されたハードウェアやソフトウェアを備えている。；これは機器の小形化や負荷条件に応じた最適な電源を確保するためである。；また、基礎戦略とは異なるプレーが最適となるケースが出てくる。；観光に最適な時期はブドウ収穫時期の10月で、ワイン祭りが行われる。；いくつかの最適化されたコンパイラではこのようなコードを生成することができる。；可制御性・可観測性、最適レギュレータなどが代表的な成果物と言えよう。；そうすることでバルブの動作が最適化され、消耗を防ぐことができる。；栽培が可能かどうかは雨季の時期により、春の豊かな雨と夏の乾燥が最適。；可能な限り実行速度を上げるよう注意深く最適化して設計される。；そのため、最適化された効率的で高速なシステムを構築可能である。；植物検疫規制強化に伴い検疫処理の必要がない当梱包方法は最適である。；特定の種類のデータ用に最適化された特殊モデルがある。；前述の通り、レイノルズ数が小さい領域では薄板状の翼型が最適となる。；Pentiumクラス以上のCPU用に最適化されるように設計されている。；これは最適ではないが、低ノイズの環境ではよい結果となることがわかっている。；最適個体のことか、最適品種のことか、あるいは最適種のことだろうか。</t>
        </is>
      </c>
      <c r="J3199">
        <f>HYPERLINK("https://www.weblio.jp/content/最適", "词义详情")</f>
        <v/>
      </c>
      <c r="K3199">
        <f>HYPERLINK("https://yourei.jp/最適", "查看例句")</f>
        <v/>
      </c>
    </row>
    <row r="3200">
      <c r="A3200" t="inlineStr">
        <is>
          <t>採点</t>
        </is>
      </c>
      <c r="B3200" t="inlineStr">
        <is>
          <t>成功</t>
        </is>
      </c>
      <c r="C3200" t="inlineStr">
        <is>
          <t>読み方：さいてん
［名］(スル)評価して点数をつけること。また、つけた点数。「—が甘い」「答案を—する」</t>
        </is>
      </c>
      <c r="D3200" t="inlineStr">
        <is>
          <t>採点する(8%)；採点システム(3%)；採点基準(3%)；採点法(3%)；採点される(3%)</t>
        </is>
      </c>
      <c r="E3200" t="inlineStr">
        <is>
          <t>評価；位置づけ；位置付け；ランク；鑑定</t>
        </is>
      </c>
      <c r="F3200" t="inlineStr">
        <is>
          <t>旧採点；自動採点；公開採点；新しい採点；採点官</t>
        </is>
      </c>
      <c r="G3200" t="inlineStr">
        <is>
          <t>採点結果；採点競技；採点対象；採点簿</t>
        </is>
      </c>
      <c r="H3200" t="n">
        <v>29</v>
      </c>
      <c r="I3200" t="inlineStr">
        <is>
          <t>さとるは主に小学校の方のテスト問題を作ったり採点をしたりしている。；採点の基準が不明瞭であるといえば、これまた確かにその通りではある。；少年は父親のそばへ歩みよって、学校からもらってきた採点表を渡した。；ただし、既に採点されたものの別の側面を選択することは可能である。；なんだか、目の前で先生にテストを採点されてるような、ヘンな感じだ。；彼は同大会の跳馬でも程菲の演技に対する採点ミスがあったと主張した。；おかげでこれから急いでテストの採点しなくちゃいけないんだから。；採点されなかったドライバーだけがポイントを獲得することができました。；少しばかり採点に手加減してやると言えは、口をつぐんでくれただろう。；表2にあげてある説明はあくまで例示ですが、自己採点してみて下さい。；それが形のない安心に形を与える採点者の仕事のはずだったのに。；採点されなかったドライバーだけがポイントを獲得することができた。；これは衣装の完成度だけで無く、演技・演出なども含めて採点される。；それは私たち受け手が採点に手心を加えるものにはなりえないのです!!；その為、末期では採点が若干甘めになり、不合格者は殆ど出なくなった。；彼は大統領を補佐するだけではなく、その成績を採点する任をも帯びている。；おれが最後に近づいたとき、彼女はおれが採点するのを見ていた。；女房はテストの採点があるとかで、購入したばかりの自宅に籠もったままだった。；数分後には、瑞穂は康臣のことなどすっかり忘れ、採点に没頭していた。；時間は十時を回っていたが、まだ採点は半分も終わっていない。；自己採点とは、受験した試験の結果を受験者本人が採点することである。；いくら二人までは国籍を問わないとはいえ、採点者の心証悪くないか?；試験の採点などをして帰り支度を済ませると、ちょうど五時になっていた。；この診断には、しっかりとした訓練と正式な採点方法が必要である。；ついさっき、やっと採点が終わって渡されたばかりの追試の答案だった。；しかし新採点システム施行後は再びその評価を落とす形となった。；よってダビデ像からどれだけ近いか遠いかで、私の左脳は美の採点をする。；この試合はジャッジの採点が問題視されたことで知られている。；出来の悪い弟 子の採点をしている師匠のような口振りだった。</t>
        </is>
      </c>
      <c r="J3200">
        <f>HYPERLINK("https://www.weblio.jp/content/採点", "词义详情")</f>
        <v/>
      </c>
      <c r="K3200">
        <f>HYPERLINK("https://yourei.jp/採点", "查看例句")</f>
        <v/>
      </c>
    </row>
    <row r="3201">
      <c r="A3201" t="inlineStr">
        <is>
          <t>災難</t>
        </is>
      </c>
      <c r="B3201" t="inlineStr">
        <is>
          <t>成功</t>
        </is>
      </c>
      <c r="C3201" t="inlineStr">
        <is>
          <t>読み方：さいなん
思いがけず身にふりかかってくる不幸な出来事。災い。災厄。災禍。「—に見舞われる」</t>
        </is>
      </c>
      <c r="D3201" t="inlineStr">
        <is>
          <t>災難続き；災難除け；災難管理法；災難つづき</t>
        </is>
      </c>
      <c r="E3201" t="inlineStr">
        <is>
          <t>事故；不幸；悲劇；難；壊滅</t>
        </is>
      </c>
      <c r="F3201" t="inlineStr">
        <is>
          <t>大きな災難；こんな災難；恐ろしい災難；大災難；ひどい災難</t>
        </is>
      </c>
      <c r="H3201" t="n">
        <v>29</v>
      </c>
      <c r="I3201" t="inlineStr">
        <is>
          <t>だがこのわずかな災難が、かれらの動きをさらに慎重にさせたのだった。；それから住民達は皆、あらゆる種類の災難を予想して森の中に逃げ去った。；たとい嘘にしろ他人の家に災難があるようなことを望むものじゃないぞ。；しかし彼にとっての不幸は、こういう外部的な災難ばかりではなかった。；私の身になにか災難がおこったのではないかと案じてくれていたのだ。；この災難でまたやり直さねばならない仕事がたくさんできてしまった。；彼がその山地に到達しないうちに彼の災難はパルマに知れてしまうだろう。；佐倉宗吾の芝居が飛んだ災難の基で、江戸へ死にに来たようなものでした。；けれども、ウィルソン氏の災難は、まだこれだけではありませんでした。；このように災難に近いものがあったが、隊は1日に15海里以上進んだ。；ところが、私の芝居があんまり真に迫っていたのが災難のもとでした。；ほんとうに飛んでもねえ災難で、先の長げえ者を可哀そうなことをしたよ。；彼がどんな人間であり、またどうしてこの災難が舞いこんで来たかを。；何だか災難でもかかるんじゃないかと思って、私気になって仕ようが無い。；ではあなたのご意見では、何か予期せぬ災難にその方が見舞われたと?；親孝行してゐると悪い災難にかゝらないで運が好くなるツて、全くだよ。；少しは濁っていた人々の心も打ち続く災難の為に改まったのであろう。；こういう人間を相手にしなければならんとはまったく災難だ。；本人にはまったく身に覚えのない災難ではなかったらしいな。；どんな恐ろしい、思いもかけない災難が、どんな形で襲ってきたのだろう?；いまにも災難が降りかかるような妙な気持ちになり、惨めで不安であった。；幸福な日に、あとから来る知られざる不幸や災難のことを忘れるな。；そうして、これらの不幸や災難はみんな先妻の亡霊の祟りだったのです。；ぼくのために災難が起こるかどうか、やがてはっきりするだろう!；そうだわ、これがママのよくおっしゃる世の中の災難てものなんだわ。；あたしはこの世で一体何をしたっていうんだい、こんな災難に会うなんて?；三人の姉妹は遠くから災難を見つめてばかりいられなくなってテーブルのそばへ寄って来ましたね。；しかも、どこかに投機的な期待をそそられる気分も動く災難のように。；それでだんだん親しみを増して来て私の災難を真実に救う原因となったのです。</t>
        </is>
      </c>
      <c r="J3201">
        <f>HYPERLINK("https://www.weblio.jp/content/災難", "词义详情")</f>
        <v/>
      </c>
      <c r="K3201">
        <f>HYPERLINK("https://yourei.jp/災難", "查看例句")</f>
        <v/>
      </c>
    </row>
    <row r="3202">
      <c r="A3202" t="inlineStr">
        <is>
          <t>才能</t>
        </is>
      </c>
      <c r="B3202" t="inlineStr">
        <is>
          <t>成功</t>
        </is>
      </c>
      <c r="C3202" t="inlineStr">
        <is>
          <t>読み方：さいのう
物事を巧みになしうる生まれつきの能力。才知の働き。「音楽の—に恵まれる」「—を伸ばす」「豊かな—がある」「—教育」</t>
        </is>
      </c>
      <c r="D3202" t="inlineStr">
        <is>
          <t>才能を認められ；才能を高く評価；才能豊か；才能あふれる；才能溢れる</t>
        </is>
      </c>
      <c r="E3202" t="inlineStr">
        <is>
          <t>機能；技術；腕；能力；筋</t>
        </is>
      </c>
      <c r="F3202" t="inlineStr">
        <is>
          <t>音楽的才能；非凡な才能；軍事的才能；文学的才能；新しい才能</t>
        </is>
      </c>
      <c r="G3202" t="inlineStr">
        <is>
          <t>才能の無駄遣い</t>
        </is>
      </c>
      <c r="H3202" t="n">
        <v>29</v>
      </c>
      <c r="I3202" t="inlineStr">
        <is>
          <t>これを機に、その才能はロシアの文学界に広く知られるところとなった。；彼は、優れた才能の持主であり、それがために万人の尊敬を集めていた。；ホッパーは子供時代から優秀で、5歳のときには既に絵の才能を示した。；算数には才能を発揮したが、普通の手段で答えに到達することはなかった。；新しい才能の育成と発見および、ロシアにおける出版市場の創出である。；しかし、彼の才能は、特に次の作品群に早熟さとして現れることになる。；科学的研究の才能だけでなく、商業的に成功した製品を発明した。；一つは軽視されてきた領域に注意を向けさせる才能を持っていた。；ただきれいというだけではなく、声の質をもって、ものを言うという才能。；人を高く評価することは少なかったが、ただ姜維の才能だけは買っていた。；その才能を確実に受け継いだ息子もそれにちなみブルヒータと呼ばれる。；重吉は優秀であったが、毛利氏家臣の頃は才能を発揮することはなかった。；多くの著作を持つなど文学的な才能も持つ人物であった。；子供のころから歌やピアノの才能を発揮していたが、後に演技の道を進むようになる。；移籍初年度は14試合の出場だったが、その才能は早くも認められた。；ブランドは演劇で才能を見せ学校でうまくいっていた。；若い頃は学問よりもスポーツの才能で知られていた。；しかし、答えの出し方を知らないから自分には才能が無いと思い込んでしまう。；関興は諸葛亮にその才能を評価されていたものの二十数歳で亡くなっている。；幼い頃から明敏で学問を好み、その才能と名望で世間の評判であったという。；に当時の監督江藤愼一から打撃の才能を見い出され、一軍定着を果たす。；こうして瀧は作曲とピアノ演奏でめきめきと才能を伸ばしていった。；メジャーレーベルは、こぞってこの才能に溢れた少年との契約を望んだ。；幼い頃から聡明で、祖父・泰時にもその才能を高く評価されていた。；当時の記録によれば、ジョルジョーネの才能は若年の頃から注目されていた。；丞相の諸葛亮からもその才能を認められて、中領軍に任じられている。；面倒見がよく、また人の才能を見抜く術を心得ていたといわれている。；容貌・才能に優れ、父宮も母も周囲もその将来を期待していた。；宣徳帝は芸術方面にも才能を発揮し、特に文人画に優れた作品を残している。</t>
        </is>
      </c>
      <c r="J3202">
        <f>HYPERLINK("https://www.weblio.jp/content/才能", "词义详情")</f>
        <v/>
      </c>
      <c r="K3202">
        <f>HYPERLINK("https://yourei.jp/才能", "查看例句")</f>
        <v/>
      </c>
    </row>
    <row r="3203">
      <c r="A3203" t="inlineStr">
        <is>
          <t>栽培</t>
        </is>
      </c>
      <c r="B3203" t="inlineStr">
        <is>
          <t>成功</t>
        </is>
      </c>
      <c r="C3203" t="inlineStr">
        <is>
          <t>読み方：さいばい
［名］(スル)植物を植えて育てること。魚介類の養殖にもいう。「果樹を—する」「促成—」</t>
        </is>
      </c>
      <c r="D3203" t="inlineStr">
        <is>
          <t>栽培される(8%)；栽培法；栽培面積；栽培地；栽培技術</t>
        </is>
      </c>
      <c r="E3203" t="inlineStr">
        <is>
          <t>生産；文化；作る；育成；文明</t>
        </is>
      </c>
      <c r="F3203" t="inlineStr">
        <is>
          <t>果樹栽培；多く栽培；綿花栽培；露地栽培；野菜栽培</t>
        </is>
      </c>
      <c r="G3203" t="inlineStr">
        <is>
          <t>栽培種；栽培植物；栽培方法；栽培化；栽培漁業</t>
        </is>
      </c>
      <c r="H3203" t="n">
        <v>29</v>
      </c>
      <c r="I3203" t="inlineStr">
        <is>
          <t>世界で食用に栽培されている植物はおよそ2300種ほどとされている。；非常に古くから栽培されているだけあって、数多くの亜種や品種がある。；さらには、特定の地域では特定作物・特定品種が栽培されることもある。；アイヌの人々もカボチャを栽培しており、北海道での栽培の歴史は古い。；アメリカ大陸の各地では、約2000年以上前から栽培が行われていた。；加賀野菜は金沢地区で戦前から栽培されていると認められた野菜である。；栽培の歴史が長いことから、日本各地でさまざまな別名がつけられている。；日本国内で栽培されている主なレンコンの品種や種類は以下のとおり。；ピノ・ノワールはオーストラリアの複数のワイン生産地域で栽培されている。；また、畑栽培は落葉樹下の夏は日陰で、冬は日が当たる場所が選ばれる。；また、千歳市でも1960年代には篤農家が栽培を始めていたとされる。；植物を栽培して花や実を収穫し、市場に売却することなどができる。；日本では平安時代から栽培され、大正以降によく利用されるようになった。；コショウはインド原産であるが、世界中の熱帯域で広く栽培されている。；その地域の気候に最も適した品種を選択し栽培することが大切である。；その他の国では、少なくとも表向きは大規模なケシ栽培は行われていない。；だがビールに使用するための大量栽培が開始されたのは13世紀になってからである。；雨に弱いので秋に雨がほとんど降らない土地に栽培は限られる。；江戸時代から南九州で広く栽培されているサツマイモを原料とした焼酎。；材木として栽培されている訳ではないので一般に流通する事は少ない。；あへん法が1954年に制定され、翌1955年から栽培が再開された。；日本国内においては、このことが栽培規模拡大への障害のひとつとなっている。；近縁な中で農業的に栽培されるのはこれら3属であり、この定義は農業分野に多い。；また江戸時代後期には、北海道のアイヌもジャガイモを栽培していた。；そのまま高度経済成長の波に乗り、ミカン栽培は飛躍的な伸びを見せる。；江戸時代に清から日本に伝えられ、西日本でわずかに栽培されている。；一般に露地栽培と比較して、以下のような利点・欠点があるとされる。；現在ではむかごの状態から畑で栽培されており、流通しているのは栽培ものが多い。；ザヒディ種はバグダードを中心に栽培されており、もっとも早く実がなる。</t>
        </is>
      </c>
      <c r="J3203">
        <f>HYPERLINK("https://www.weblio.jp/content/栽培", "词义详情")</f>
        <v/>
      </c>
      <c r="K3203">
        <f>HYPERLINK("https://yourei.jp/栽培", "查看例句")</f>
        <v/>
      </c>
    </row>
    <row r="3204">
      <c r="A3204" t="inlineStr">
        <is>
          <t>再発</t>
        </is>
      </c>
      <c r="B3204" t="inlineStr">
        <is>
          <t>成功</t>
        </is>
      </c>
      <c r="C3204" t="inlineStr">
        <is>
          <t>読み方：さいはつ
［名］(スル)
１おさまっていた病気がもう一度起こること。さいほつ。「—のおそれのある病気」「がんが—する」
２同じような事態がまた発生すること。さいほつ。「事故の—を防止する」「事件が—するのを恐れる」
３《「再発売盤」の略》前に発売したレコードやCDなどを、同じ原盤を用いて再び発売すること。</t>
        </is>
      </c>
      <c r="D3204" t="inlineStr">
        <is>
          <t>再発する(7%)；再発盤(7%)；再発性(3%)；再発cd(3%)；再発率</t>
        </is>
      </c>
      <c r="E3204" t="inlineStr">
        <is>
          <t>くる；来る；復帰；帰り；起こる</t>
        </is>
      </c>
      <c r="F3204" t="inlineStr">
        <is>
          <t>再発寛解；再発しやすい；局所再発；再発防止；日本盤再発</t>
        </is>
      </c>
      <c r="G3204" t="inlineStr">
        <is>
          <t>再発防止；再発売；再発給；再発性多発軟骨炎</t>
        </is>
      </c>
      <c r="H3204" t="n">
        <v>29</v>
      </c>
      <c r="I3204" t="inlineStr">
        <is>
          <t>最初に発売されていたものと、再発されたものではパッケージが異なる。；このことが長らく再発やアルバム収録されなかった原因のひとつとなった。；ただしPSVTの停止はできてもその後の再発予防効果は期待できない。；また治療しても他の部位への接触転移が多く再発を繰り返すことが多い。；この作品は、78年に日本でも発売され、後にCDでも再発されている。；先の張北事件の際にはこのような事件は再発させないとの誓約がなされていた。；終戦直後の混乱期に、各社で戦前の曲で戦時色のないものが再発された。；予後の悪いタイプや万が一再発してしまったときは移植医療を検討する。；この作品は再発の度に曲数が追加されていき、最終的には全26曲となった。；コンピレーション・アルバム収録のみや再発のみのアーティストも含む。；これは、例で特定されたのと同じ問題が再発したことを意味する。；しかし、10年を経過してからでも再発した例が少数であるが報告されている。；完全に治療されたためにこれ以降がんが再発することはなかった。；なお、再発した場合は再手術は行なわず、ヨード治療などに切り替える。；感染が改善するまでに数週間かかることがあり、再発が一般的である。；副作用で障害を受けた骨髄も数週間後には回復したが、結局再発死亡した。；しかし精力的に活動を続けるふみ子に癌の再発が発見されるのである。；また、軍を退役する要因の一つとなった鬱状態を、晩年に再発させていた。；現在このアルバムはワーナー・ブラザース・レコードより再発されている。；再発分では2枚組に分けられていた作品が1枚に収められている。；発売から20年を経た時点での再発盤を含めた累計売上は約170万枚。；しかし、前年の肩痛が再発したため前半から中盤まで酷い不振に陥った。；免疫抑制薬が必要ながんの寛解期にある患者が再発する可能性は高くない。；しかし、喜びも束の間、乳がんが再発していることに気がついてしまう。；放射線治療は通常、再発のリスクを減らすために手術の直前に行われる。；ただし再発傾向が強いので一時凌ぎに過ぎず、いずれは固定術が必要とされる。；再発されるたびにバグの改善等の細かな修正が加えられていった。；アメリカではそれに次いで2008年に再発盤がリリースされている。；後に、オランダのDVSレコードと契約し、同アルバムは再発された。</t>
        </is>
      </c>
      <c r="J3204">
        <f>HYPERLINK("https://www.weblio.jp/content/再発", "词义详情")</f>
        <v/>
      </c>
      <c r="K3204">
        <f>HYPERLINK("https://yourei.jp/再発", "查看例句")</f>
        <v/>
      </c>
    </row>
    <row r="3205">
      <c r="A3205" t="inlineStr">
        <is>
          <t>裁判</t>
        </is>
      </c>
      <c r="B3205" t="inlineStr">
        <is>
          <t>成功</t>
        </is>
      </c>
      <c r="C3205" t="inlineStr">
        <is>
          <t>読み方：さいばん
［名］(スル)
１物事の正・不正を判定すること。「公正に—する」「宗教—」
２裁判所が法的紛争を解決する目的で行う公権的な判断。その形式には判決・決定・命令の3種がある。「—に訴える」「—を受ける」</t>
        </is>
      </c>
      <c r="D3205" t="inlineStr">
        <is>
          <t>裁判なし；裁判費用；裁判手続き；裁判事件；裁判闘争</t>
        </is>
      </c>
      <c r="E3205" t="inlineStr">
        <is>
          <t>批判；判断；訴え；判決；審査</t>
        </is>
      </c>
      <c r="F3205" t="inlineStr">
        <is>
          <t>戦犯裁判；公正な裁判；裁判手続；国際裁判；模擬裁判</t>
        </is>
      </c>
      <c r="G3205" t="inlineStr">
        <is>
          <t>裁判官；裁判長；裁判権；裁判沙汰；裁判記録</t>
        </is>
      </c>
      <c r="H3205" t="n">
        <v>29</v>
      </c>
      <c r="I3205" t="inlineStr">
        <is>
          <t>しかし裁判ではこれらの件は殺人認定に影響を与えることはなかった。；ただし、この時点でもまだ日本指導者の国際裁判には同意していなかった。；その他のメンバーはそのほとんどが逮捕され、裁判にかけられ処刑された。；これは中世に行われていた極めて不合理な裁判を排除するものである。；その裁判の正当性は当時でも疑問とされ、冤罪であると信じられている。；後の五・一五事件の裁判でも、特に軍人側には極めて寛大なものだった。；また過去行われた裁判の判例を後の裁判にも適用するようになった。；またこの裁判で全斗煥の生家にも侵入していた事実が明らかになった。；担当裁判の多くで勝訴する優秀な弁護士であったが生活はなお苦しかった。；またこの声明の中で、戦犯裁判は被害国が行うという原則が確認された。；ソ連時代はニコライ2世を裁判なしに殺害した事実はタブーであった。；もう1名はこの裁判にはもとから批判的な判事だったとされている。；その目的のため、3人は裁判前の供述とは異なる法廷証言を行っていた。；これら司法制度の整備により裁判は非常に多く行われるようになった。；過去の裁判で失火者の重大な過失と認められた主な失火原因は以下である。；裁判は現地部隊で行われる略式裁判も含まれ、しばしばその場で処刑される。；実際外国人義勇兵の多くは戦後祖国で冷たく扱われ、裁判にかけられた。；しかしイギリス政府はなお戦争指導者を裁判に掛けることには反対していた。；この裁判には疑問が多いことから、19世紀後半から検証が行われた。；コモン・ロー制度を持たない国では、陪審裁判の重要性ははるかに低い。；ダイアナの死についてはイギリスでも10年に及ぶ調査と裁判が行われた。；それを踏まえて改めて事件を「推理」することは、裁判批判を意味した。；中国北宋代に生まれ、その言葉は現代日本の裁判判決文にも見られる。；一般的管轄権のある裁判のために、州は31の巡回裁判区に分けられている。；もし天皇を裁判に付せば、裁判の法廷で天皇はそのように主張するであろう。；伯爵はこれで勝ったと思い、結婚式の前に裁判を行うことにする。；裁判が行われていない未決拘禁者を収容する拘置所とは区別される。；裁判は彼女の回復を待って行なわれることになった。；この裁判はプレストンの裁判所にて10月7日から開始される予定となった。</t>
        </is>
      </c>
      <c r="J3205">
        <f>HYPERLINK("https://www.weblio.jp/content/裁判", "词义详情")</f>
        <v/>
      </c>
      <c r="K3205">
        <f>HYPERLINK("https://yourei.jp/裁判", "查看例句")</f>
        <v/>
      </c>
    </row>
    <row r="3206">
      <c r="A3206" t="inlineStr">
        <is>
          <t>裁判所</t>
        </is>
      </c>
      <c r="B3206" t="inlineStr">
        <is>
          <t>成功</t>
        </is>
      </c>
      <c r="C3206" t="inlineStr">
        <is>
          <t>読み方：さいばんしょ
司法権を行使する国家機関。具体的事件について公権的な判断を下す権限をもつ。最高裁判所、および下級裁判所の高等・地方・家庭・簡易の各裁判所がある。</t>
        </is>
      </c>
      <c r="D3206" t="inlineStr">
        <is>
          <t>裁判所長；裁判所判事；裁判所命令；裁判所検事；裁判所判決</t>
        </is>
      </c>
      <c r="E3206" t="inlineStr">
        <is>
          <t>法廷；裁判官；ジャッジ；法院；司法官庁</t>
        </is>
      </c>
      <c r="F3206" t="inlineStr">
        <is>
          <t>高等裁判所；簡易裁判所；区裁判所；司法裁判所；刑事裁判所</t>
        </is>
      </c>
      <c r="G3206" t="inlineStr">
        <is>
          <t>裁判所書記官；裁判所職員；裁判所事務官；裁判所職員総合研修所；裁判所調査官</t>
        </is>
      </c>
      <c r="H3206" t="n">
        <v>29</v>
      </c>
      <c r="I3206" t="inlineStr">
        <is>
          <t>幾つかの場所では地区裁判所に代わって市裁判所がその任務を担当してきた。；また、最高裁判所はこの規定を法の委任を超えた違法なものと判断した。；このほか、イタリアの最高裁判所には250名の裁判官が所属している。；しかし、英米法では裁判所自身に規則制定権を認める制度が発達してきた。；その時にガブリエルが現われ、その文書を天界の裁判所へ持って行った。；裁判所の場合も地方裁判所は旧郡の領域にほぼ添った形で区分されている。；裁判所に、法律が憲法に適合するか否か審査する権限が与えられている。；裁判所は、一定の広範な条件の下で、世界の全ての国に開かれていた。；そして、この特別な裁判所の存在が公法と私法を分ける根拠にもなった。；少年院送致の処分は警察や裁判所に前歴が残るだけで前科にはならない。；そして宗教的な裁判所を廃止して代わりに民事裁判所を設置した。；裁判所の大きさやその管轄範囲を調整することで司法権を管理できる。；従って、最高裁判所は、両説を折衷した立場にあると考えることができる。；最高裁判所は、他国の裁判官や学者などとの交流を盛んに行っている。；また、最高裁判所はそのような場合は必ず請求しなければならない。；訴状は結局別の場所で見つかり、きわどいところで裁判所に提出される。；フランスと同じく、司法訴訟と行政訴訟は別の系統の裁判所が担当する。；一般的に、検察庁は弁護士と比べて裁判所との結びつきが強いと言われている。；周囲が裁判所に訴え出ても、それを裁判所が認めることはない。；かつて市の中心部にあった裁判所や保健所も、旧美里村域へ移転した。；司法府の最高機関は最高裁判所で、その下に高等裁判所などが存在する。；また裁判所などでは裁判所の掲示板に掲示して公示とすることもある。；最高裁判所は州憲法に関わるような幾つかの条件では第一審管轄権がある。；この裁判はプレストンの裁判所にて10月7日から開始される予定となった。；裁判所の決定を実行するためには行政府の権力が必要となる。；他にも幾つかの管理裁判所や特殊目的裁判所がある。；ただ、行政が私人と同等の立場で行う取引は通常の司法裁判所が担当した。；本裁判所に提出された証拠はそれとは違う結論に至らせる。；最高裁判所は1870年にウェストバージニア州有利の判決を下した。</t>
        </is>
      </c>
      <c r="J3206">
        <f>HYPERLINK("https://www.weblio.jp/content/裁判所", "词义详情")</f>
        <v/>
      </c>
      <c r="K3206">
        <f>HYPERLINK("https://yourei.jp/裁判所", "查看例句")</f>
        <v/>
      </c>
    </row>
    <row r="3207">
      <c r="A3207" t="inlineStr">
        <is>
          <t>財布</t>
        </is>
      </c>
      <c r="B3207" t="inlineStr">
        <is>
          <t>成功</t>
        </is>
      </c>
      <c r="C3207" t="inlineStr">
        <is>
          <t>読み方：さいふ
金銭を入れて持ち歩く革や布などで作った袋。かねいれ。古くは金袋(かねぶくろ)・銭袋(ぜにぶくろ)とよぶ布製の長方形の袋を用い、ひもでくくって首などから下げたりした。「—と相談して買うかどうか決める」</t>
        </is>
      </c>
      <c r="D3207" t="inlineStr">
        <is>
          <t>財布をとりだし；財布ごと；財布ぐるみ</t>
        </is>
      </c>
      <c r="E3207" t="inlineStr">
        <is>
          <t>パース；紙入れ；蟇口；紙入；札入れ</t>
        </is>
      </c>
      <c r="F3207" t="inlineStr">
        <is>
          <t>革財布；大きな財布；小さな財布；空財布</t>
        </is>
      </c>
      <c r="G3207" t="inlineStr">
        <is>
          <t>財布のひも；財布のヒモ；財布屋</t>
        </is>
      </c>
      <c r="H3207" t="n">
        <v>29</v>
      </c>
      <c r="I3207" t="inlineStr">
        <is>
          <t>ある日じいさんが、途中で財布を取り出して金を計算しているのを見た。；こんな事を識すのも今は落した財布の銭を数えるにも似ているであろう。；思ったよりもたくさんなのを喜んで、またもとのように財布に移しました。；廊下へ出て行つたけれど、財布を忘れたと云つて、すぐまた戻つて來た。；そこで斉藤平太はすっかり気分を悪くしてそっと財布を開いて見ました。；その他の罪状は女性の財布と人間の臓器を盗んだことが挙げられていた。；彼がその財布をはたくと、中から小粒銀が一つと若干の文銭が出て来た。；一時は財布が空っぽになったため、ひと月以上もこれを口にしなかった。；娘から来た十何円の金は、そっくりそのまま枕頭の財布の中に入っていた。；その後彼女は車で走り去って行ったが数分後戻ってきて私に財布を返してきた。；晩方、家に帰ってきたせがれが、その財布を見つけて大喜びをしました。；みつかるのが重い財布とはいわない、それは返さなければいけないから。；武器になりそうなものはもちろん、財布やケータイさえ持ってきていない。；たしかに入れておいたはずの古渡唐桟の財布が影も形もないのである。；やっと財布をはたいて切符を買うと、座席を取ってまず指を折ってみた。；財布だけはじゃこうの匂いがするが、ほかのものはすこしも匂わない。；結局、日本の女性たちのお財布が目的でしかないということでしょう?；さっき勘平がこの財布を出していたのを、母はちらりと見ていたのである。；僕は下女に金をもらった覚えはないが、財布の一条は実地の話だった。；彼女が私の財布を取り上げたので私は彼女の携帯電話を奪い取った。；一部の地域では骨も利用されたり、皮が財布・帯・靴などに利用されることもある。；簡単に言えば、財布の中に入る金には限りがあり、効用も制限される。；房二郎は自分の机の前に坐ってから、財布を出して中をしらべてみた。；しかし、彼の持ち物からは被害者が持っていた財布と書類鞄が発見される。；ジャン・ヴァルジャンの財布はマブーフ氏には何の役にも立たなかった。；右利きの人は左のポケットに財布を入れることが多いからである。；時によっては十銭玉一つ入っていないようなことも稀ではないぼろ財布なのだ。；自分の命の財布の中から金をチビリチビリと小出しにして使っていられない。；そこで、私は手まねで、その掌の財布を下に置いてくれ、と言いました。</t>
        </is>
      </c>
      <c r="J3207">
        <f>HYPERLINK("https://www.weblio.jp/content/財布", "词义详情")</f>
        <v/>
      </c>
      <c r="K3207">
        <f>HYPERLINK("https://yourei.jp/財布", "查看例句")</f>
        <v/>
      </c>
    </row>
    <row r="3208">
      <c r="A3208" t="inlineStr">
        <is>
          <t>裁縫</t>
        </is>
      </c>
      <c r="B3208" t="inlineStr">
        <is>
          <t>成功</t>
        </is>
      </c>
      <c r="C3208" t="inlineStr">
        <is>
          <t>読み方：さいほう
［名］(スル)布地を裁って衣服などに縫いあげること。針仕事。お針。「—箱」</t>
        </is>
      </c>
      <c r="D3208" t="inlineStr">
        <is>
          <t>裁縫師(10%)；裁縫学校(3%)；裁縫女学校(3%)；裁縫道具(3%)；裁縫室</t>
        </is>
      </c>
      <c r="E3208" t="inlineStr">
        <is>
          <t>仕立て；縫い；縫う；仕立てる；洋裁</t>
        </is>
      </c>
      <c r="F3208" t="inlineStr">
        <is>
          <t>和洋裁縫；女裁縫；裁縫教室；裁縫台；裁縫伝習所</t>
        </is>
      </c>
      <c r="H3208" t="n">
        <v>29</v>
      </c>
      <c r="I3208" t="inlineStr">
        <is>
          <t>お裁縫は好きじゃないけれど、できると思うし、なんとしてもやります。；彼がはいって行くと、彼女はやりかけの裁縫の手をとめて顔を上げた。；形状は一見すると裁縫用の針に似ているが、先端は鋭く尖ってはいない。；するとミス・リディアは落ちついて裁縫をつづけながらいうのであった。；黄英は時とすると呂の所へ来ていっしょに裁縫したり糸をつむいだりした。；アルジェリアのトレムセンでフランス兵士と裁縫師の娘の間に生まれた。；裁縫が得意であり、彼女の音楽の本といくつかの刺繍が残されている。；しかもそれをじぶんでよく知っていて、無試験の裁縫学校にいきたがった。；しかもそれをじぶんでよく知っていて、無試験の裁縫学校にゆきたがった。；間もなく札幌へ伴れて行かれる筈の、おきんが裁縫をしているのだった。；どう云ふわけか裁縫科の生徒は本科の生徒に比べて大人らしくなつて居ました。；彼らは一貫してデザイン画を描いたり、実際に裁縫をすることも多い。；想像は彼女を劇場へ、女裁縫師や、有名な友人達のところへと連れて行った。；マージの部屋は裁縫室らしく、隅にミシンや各種の生地が置かれていた。；辰代と澄子とが茶の間で、一人は裁縫を一人は学校の下調べをしていた。；その中に「畑仕事作業服つくります」と看板を出した裁縫店もあります。；お母さんは、どの課目もよくおできになったが、お裁縫もお好きでした。；裁縫師は階下で人を避けて、御隠居さんと二人ぎり病人のことを話した。；綴くりする位の事でもやはり裁縫師を頼んでして貰わなければならん。；表二階で裁縫をしてる姉に、私はよく本を読んで聞かしてやった。；その後すぐにプロの裁縫師と契約し、彼女のデザインを製造するための協力を受けた。；けれどせめて普通の家庭に必要な裁縫とか作法とかぐらいは知っておきたい。；でも裁縫針が出てきたので残りのおはぎは全部投げてしまった。；母はカロラインが家事と裁縫以外の技術を身につけることを望まなかった。；女は裁縫や編物やその他良妻賢母となるに必要な家事を全然教えられない。；九時にお裁縫は終わりにして、いつものように、寝る前の歌をうたった。；特別学級では小学校卒業者を対象に裁縫の教授を実施していた。；裁縫は女の仕事だと考える文化もあれば、男の仕事であると考える文化も無いわけではない。；簡単なので、裁縫の初心者のための題材としても作られることがある。</t>
        </is>
      </c>
      <c r="J3208">
        <f>HYPERLINK("https://www.weblio.jp/content/裁縫", "词义详情")</f>
        <v/>
      </c>
      <c r="K3208">
        <f>HYPERLINK("https://yourei.jp/裁縫", "查看例句")</f>
        <v/>
      </c>
    </row>
    <row r="3209">
      <c r="A3209" t="inlineStr">
        <is>
          <t>細胞</t>
        </is>
      </c>
      <c r="B3209" t="inlineStr">
        <is>
          <t>成功</t>
        </is>
      </c>
      <c r="C3209" t="inlineStr">
        <is>
          <t>読み方：さいぼう
《「さいほう」とも》
１生物体を構成する形態上・機能上の基本単位。真核細胞と原核細胞がある。真核細胞ではふつう1個の核があり、核膜によって細胞質と分けられ、細胞質は細胞膜でおおわれる。植物細胞ではその外側にさらに細胞壁をもつ。細胞質中にはミトコンドリア・小胞体・ゴルジ体などがあり、植物細胞ではさらに葉緑体と液胞を含むことが多い。
２共産党などが、職場・地域などを単位にして設けた党員の末端組織の旧称。</t>
        </is>
      </c>
      <c r="D3209" t="inlineStr">
        <is>
          <t>細胞外(4%)；細胞表面；細胞死；細胞間；細胞増殖</t>
        </is>
      </c>
      <c r="E3209" t="inlineStr">
        <is>
          <t>セル；電池</t>
        </is>
      </c>
      <c r="F3209" t="inlineStr">
        <is>
          <t>宿主細胞；免疫細胞；nk細胞；錐体細胞；標的細胞</t>
        </is>
      </c>
      <c r="G3209" t="inlineStr">
        <is>
          <t>細胞膜；細胞質；細胞壁；細胞分裂；細胞周期</t>
        </is>
      </c>
      <c r="H3209" t="n">
        <v>29</v>
      </c>
      <c r="I3209" t="inlineStr">
        <is>
          <t>実際には、すべての生物で細胞がこの様な構造が見られるわけではない。；これが原核生物が細胞サイズをあまり拡大できない理由の一つといえる。；このような細胞外構造の形成には、分泌システムが大きく関係している。；この段階を通過するとほとんどの細胞は細胞周期を途中で停止しない。；また、がんなどの異常な細胞と正常細胞を区別することにも利用される。；細胞が単列に並んでいるものが多いが、多列に並んでいるものもいる。；細胞膜タンパク質の検出や細胞の粘弾性力の測定などに用いられている。；一つの細胞のみで体が構成されている生物は単細胞生物と呼ばれる。；多くの細菌種は単一の細胞として存在しているが、例外も知られている。；小脳皮質のどの層にも、この回路を構成する様々な細胞が含まれている。；受容体は、その機構や細胞内の位置に基づいて分類することができる。；かつては細胞境界上に小孔が存在しては血球の通路になると考えられていた。；一方で、細胞膜はすべての細胞に必須の要素ではないとも推測されていた。；細胞小器官は生体膜で包まれた、細胞中で固有の機能を持つ部分である。；多細胞生物は一細胞の卵から胚発生の過程を経て体を形成していく。；動物の細胞は、全ての真核生物の細胞に共通した以下の構造を持つ。；これが特に発達した動物の細胞では、細胞骨格が各細胞の形を決定づける。；宇宙環境下における細胞は地上での実験では見られない挙動を示す。；両生類には粘液を分泌する細胞が集まって嚢のような腺を形成している。；とは、多細胞生物を構成する細胞のうち生殖細胞以外の細胞のことを言う。；同一の組織あるいは細胞に由来するものから同一の細胞株が得られるわけではない。；最も少ない細胞数で構成されている生物は、シアワセモの4個である。；細胞骨格は以前は真核生物細胞のみにある構造だと考えられていた。；白血球細胞の中で最も大きく、切れ込みの入った核を持つことが多い。；さらに免疫系でも自己抗原に反応する細胞の除去など重要な役割を果たす。；各期間と間期全体にかかる時間は細胞の種類や生物の種類によって様々である。；デングウイルスは皮膚に入るとすぐに、ランゲルハンス細胞と結合する。；筋細胞と呼ばれる特殊な細胞からできた組織である。；ただし、培養物内の細胞は、全てが同期的に複製されるわけではない。</t>
        </is>
      </c>
      <c r="J3209">
        <f>HYPERLINK("https://www.weblio.jp/content/細胞", "词义详情")</f>
        <v/>
      </c>
      <c r="K3209">
        <f>HYPERLINK("https://yourei.jp/細胞", "查看例句")</f>
        <v/>
      </c>
    </row>
    <row r="3210">
      <c r="A3210" t="inlineStr">
        <is>
          <t>歳末</t>
        </is>
      </c>
      <c r="B3210" t="inlineStr">
        <is>
          <t>成功</t>
        </is>
      </c>
      <c r="C3210" t="inlineStr">
        <is>
          <t>読み方：さいまつ
年の暮れ。年末。歳晩。「—大売り出し」《季冬》「行人に—の街楽変り／汀女」</t>
        </is>
      </c>
      <c r="D3210" t="inlineStr">
        <is>
          <t>歳末特別警戒(4%)；歳末大売り出し(2%)；歳末警戒；歳末セール；歳末年始</t>
        </is>
      </c>
      <c r="E3210" t="inlineStr">
        <is>
          <t>暮れ；年末；年の暮れ；歳暮；年の瀬</t>
        </is>
      </c>
      <c r="G3210" t="inlineStr">
        <is>
          <t>歳末商戦；歳末たすけあい運動</t>
        </is>
      </c>
      <c r="H3210" t="n">
        <v>29</v>
      </c>
      <c r="I3210" t="inlineStr">
        <is>
          <t>歳末には、新春用の原稿の約束を果さねばならないが何も手につかない。；祖母は文化十二年生まれで明治二十二年自分が十二歳の歳末に病没した。；社殿はその年の歳末になって落成したので、遷座式を行うことになった。；歳末特別警戒実施中に起きた爆弾テロであり、警察は大きな衝撃を受けた。；一九七〇年の歳越しをフランス国営テレビの歳末番組を見ながら過ごしました。；そのため、ある年の歳末、浅草の荒涼とした部屋で一枚の紙を買った。；歳末に、秀吉は関白職を秀次にゆずり、自らは太閤と称することにした。；間もなく午後九時になるというのに、歳末の人の動きは絶え間がなかった。；太平洋戦争が勃発したのは、この年より九年後の歳末であった。；これらはみな年末だが、平安時代から歳末には魂が訪れるという考えがあった。；歳末特別警戒スペシャルで盗まれた赤いワニ皮のバッグも持っていた。；よく歳末風景のひとつに、五角形だか六角形だかの箱を回転させる福引がある。；もっとゆっくりしてもいいんだが、なにしろ歳末だからね。；温泉目当ての行楽客も、釣り客も慌ただしく歳末を過ごしているのだ。；学生時代に日本橋のデパートで歳末だけアルバイトをしたことがある。；冬になってようやく病気がなおったので、弟は気ばらしにと兄を歳末の町へ散歩につれ出した。；商店街のどの店も、歳末の商品を山のように積み上げている。；ぼくは例によって、ある新聞に、歳末の雑感という風なのを書いたことがあった。；その記憶を一々ならべ立ててもいられないから、ここでは歳末年始の風景その他を語ることにする。；歳末あたりに領内各所の用水池がすっかり完成したのである。；オヤジさんにクルマのなかでもうすこし待っていてもらうようにいい、ふたりで歳末の商店街を歩いていった。；それにしても、浮世は歳末に向けて走り出しているのを、いやでも実感する。；歳末ということもあって、会社の上の人たちはこの時期いろいろとつき合いなどで遅くなることが多いそうだ。；昭和五年の歳末の事である。；今年の歳末にその天野君と落合太郎君と私とで寒い晩に四条通の喫茶店へ茶を飲みに行ったことがある。；私はこの年の歳末に、久松家の麻布長坂の別邸へ、行くようにとの事であったから、そこへ移った。；我々の生涯に様々の歳末がめぐって来たし来るであろうが、今度はその中にあって、やはり特別な心のこもる一つです。；大通りの東側は勿論、西側にも露店がいっぱいに列ぶこと、今日の歳末と同様である。；上智大の前では歳末助け合いの募金活動が行なわれていた。</t>
        </is>
      </c>
      <c r="J3210">
        <f>HYPERLINK("https://www.weblio.jp/content/歳末", "词义详情")</f>
        <v/>
      </c>
      <c r="K3210">
        <f>HYPERLINK("https://yourei.jp/歳末", "查看例句")</f>
        <v/>
      </c>
    </row>
    <row r="3211">
      <c r="A3211" t="inlineStr">
        <is>
          <t>財務</t>
        </is>
      </c>
      <c r="B3211" t="inlineStr">
        <is>
          <t>成功</t>
        </is>
      </c>
      <c r="C3211" t="inlineStr">
        <is>
          <t>読み方：ざいむ
財政に関する事務。</t>
        </is>
      </c>
      <c r="D3211" t="inlineStr">
        <is>
          <t>財務担当(5%)；財務部長(4%)；財務的(4%)；財務体質(4%)；財務管理(4%)</t>
        </is>
      </c>
      <c r="F3211" t="inlineStr">
        <is>
          <t>財務部門；財務情報；財務委員長；財務金融；財務次官</t>
        </is>
      </c>
      <c r="G3211" t="inlineStr">
        <is>
          <t>財務大臣；財務官；財務長官；財務局；財務相</t>
        </is>
      </c>
      <c r="H3211" t="n">
        <v>29</v>
      </c>
      <c r="I3211" t="inlineStr">
        <is>
          <t>この価格は、財務状態の悪さと鉄道の状況を反映したものであった。；交渉は高度に中央化され、時に政府は財務政策を調整するために参加する。；企業において財務と言った場合はおよそ以下のような意味になることが多い。；鈴木は財務整理を断行し、さらに北海道への進出・大工場建設を目指した。；大学卒業後に勤めた生命保険会社では財務部門や融資部門を担当していた。；コスト削減は財務面だけではなく、労力の面でも企業のメリットとなる。；同様に、財務層に問題があるとはコストの面で問題があるということ。；兄の援助を元に交易活動を行って財務を復活させ、アフリカからローマに戻る。；このほかに議員の財務・管理の面で利益を図る6人の財務官が設置されている。；財務上および脚本上の理由から、映画は前後編の2部に分けられた。；既に財務的に苦しんでいる会社をこの事故がさらに不安定にすることになった。；事務所の若い弁護士で、GM設立後に財務担当役員になる人物である。；そこでの彼の役割は冶金学の研究所の財務担当理事というものだった。；完成している商品を仕入れて販売する会社の財務状態を管理するための記帳方式。；また、近代の無文字社会でも官僚組織と財務管理を整備した国家が存在した。；総会毎に特別財務委員会が選出され、組織の予算と財政の監査を行う。；財務上営業収入は統合・分配後各業者自身の必要に応じて支出する方式を採る。；この表によって企業の財務状態の以下の点を評価するのに役立つ。；大陸会議における任務は、その多くが財務と物資供給の問題に割かれた。；財政では、麻生太郎副総理兼財務相が財務的な農業対策に対応する方針。；地方公営企業法の財務規定が適用されていた、地方公営企業であった。；クラブはリーグの財務上の圧力に耐え切れず、1992年に解散。；安全性分析は、このような企業の財務上の支払能力を測定するものといえる。；また、Appleは合併や買収の大半について財務的な詳細を発表していない。；州の財務状態に関する心配はもっともであると証明された。；親会社とは、他の企業の財務及び営業又は事業の方針を決定する機関を支配している企業である。；また同年11月にはジェームズ・マディソン大統領から財務監督官に指名された。；財務専門官採用試験で採用された財務局職員を準キャリアと呼ぶことがある。；CFOの代わりに会計役 または財務担当副社長 を置く会社もある。</t>
        </is>
      </c>
      <c r="J3211">
        <f>HYPERLINK("https://www.weblio.jp/content/財務", "词义详情")</f>
        <v/>
      </c>
      <c r="K3211">
        <f>HYPERLINK("https://yourei.jp/財務", "查看例句")</f>
        <v/>
      </c>
    </row>
    <row r="3212">
      <c r="A3212" t="inlineStr">
        <is>
          <t>材木</t>
        </is>
      </c>
      <c r="B3212" t="inlineStr">
        <is>
          <t>成功</t>
        </is>
      </c>
      <c r="C3212" t="inlineStr">
        <is>
          <t>読み方：ざいもく
樹木を切り出して建築物・製品材料などに用いられるようにしたもの。ふつう、角板や板の形をしているものをいう。木材。</t>
        </is>
      </c>
      <c r="D3212" t="inlineStr">
        <is>
          <t>材木置場(4%)；材木店(2%)；材木置き場；材木業；材木会社</t>
        </is>
      </c>
      <c r="E3212" t="inlineStr">
        <is>
          <t>材；木材；ウッド；白木；用材</t>
        </is>
      </c>
      <c r="F3212" t="inlineStr">
        <is>
          <t>大きな材木；太い材木；御材木；長い材木；古い材木</t>
        </is>
      </c>
      <c r="G3212" t="inlineStr">
        <is>
          <t>材木町；材木屋；材木問屋；材木座；材木商人</t>
        </is>
      </c>
      <c r="H3212" t="n">
        <v>29</v>
      </c>
      <c r="I3212" t="inlineStr">
        <is>
          <t>子どもの頃から材木を運んだり、カンナをかけたりして体を作っていた。；さっきの材木もやはりどこかの工場のである事が人夫の話から判断された。；その代り、大の男でも一人で担げない材木を三本ぐらいまとめて運んだ。；材木も同義だが、これは建材や道具類の材料などに限定する場合もある。；殆どの場合、片道利用で下流の目的地へ到達した後には、材木にされた。；そのまま鳥打を眉深に冠り直して材木の間を右に左に抜けて往来に出た。；ここから材木を切り出して川へ流して運んでいたと伝えられている。；これは一般的な材木加工に用いられる鉋とは違った特殊なものである。；更に奈良の地でも木津から入ってくる材木を扱う材木座が存在していた。；町の主な産業は材木と建材製造であり、繊維や食品の小さな工場もある。；父はユダヤ人でロシアから材木を買ってイギリスに売る貿易商をしていた。；山に到着して船用の材木を捜し、適当な木があったので、切ろうとした。；材木として栽培されている訳ではないので一般に流通する事は少ない。；平三郎も人夫達も材木のようなものにでも乗りかけたのではないかと思った。；スキーの下手な僕は三月の立山の嶮は材木坂ではないだろうかと思った。；かいているすぐそばには新しい木の香のする材木が積んであった。；家に使つてある材木は皆暗い色をしてゐて、それに一様な彫刻がしてある。；冬の深い雪は馬に曳かせて材木を森から運び出すのに都合が良かった。；材木の間から向うをのぞいたが、忽ち眼を丸くして舌をダラリと出した。；奴隷となったノーサップは知能と知識を使って、材木の水運を提案する。；気がついた時にはぴっしゃり胸を何か材木で挟まれて床にのびていた。；上のほうに、もう一本、材木が横になっていて、これはビクとも動かない。；材木は構造用に使われるのが主であるが、その他の用途も多い。；描いて居るすぐ傍には新しい木の香のする材木が積んであつた。；内部は板塀や材木列で区画され、区画の中に複数の建物が多数建てられた。；島の奥地からの材木の輸送や、流域の集落への往来に使用されている。；福岡の大きな材木店の、あるいはそのときから店主だったのかもしれない。；そうすれば、十日ごろはちょうど古材木運びだしの日にあたるじゃありませんか。；州域の大部分は森林に覆われていて、ヨーロッパの主要な材木生産地の一つである。</t>
        </is>
      </c>
      <c r="J3212">
        <f>HYPERLINK("https://www.weblio.jp/content/材木", "词义详情")</f>
        <v/>
      </c>
      <c r="K3212">
        <f>HYPERLINK("https://yourei.jp/材木", "查看例句")</f>
        <v/>
      </c>
    </row>
    <row r="3213">
      <c r="A3213" t="inlineStr">
        <is>
          <t>採用</t>
        </is>
      </c>
      <c r="B3213" t="inlineStr">
        <is>
          <t>成功</t>
        </is>
      </c>
      <c r="C3213" t="inlineStr">
        <is>
          <t>読み方：さいよう
［名］(スル)適当であると思われる人物・意見・方法などを、とり上げて用いること。「店員を三人—する」「企画案を—する」「—試験」</t>
        </is>
      </c>
      <c r="D3213" t="inlineStr">
        <is>
          <t>採用する(8%)；採用される(5%)；採用例；採用実績；採用基準</t>
        </is>
      </c>
      <c r="E3213" t="inlineStr">
        <is>
          <t>導入；用いる；雇用；採択；取り上げる</t>
        </is>
      </c>
      <c r="F3213" t="inlineStr">
        <is>
          <t>不採用；初採用；広く採用；正式採用；本格採用</t>
        </is>
      </c>
      <c r="G3213" t="inlineStr">
        <is>
          <t>採用活動；採用情報；採用マーケティング；採用広告；採用抑制</t>
        </is>
      </c>
      <c r="H3213" t="n">
        <v>29</v>
      </c>
      <c r="I3213" t="inlineStr">
        <is>
          <t>そのような文化もあり、生物の和名には肉の色が採用されることが多い。；また総務、制作などの部門とは採用枠が別に設けられていることも多い。；グレゴリオ暦はその後数百年かけて各国で採用され、現在に至っている。；一般的な電車への採用例もあり、JR東日本E127系電車が該当する。；アメリカ合衆国では初等教育から高等教育などでも広く採用されている。；JR化後に開発・採用されたデジタルATCは以下のような種類がある。；光伝送技術の導入に積極的なインテル社は、将来の採用を構想している。；また路線や列車の識別を狙って、路線ごとに異なる色を採用する例もある。；しかし通常の使用には問題がなく、多くのカメラがこの方式を採用している。；帝国がキリスト教を採用したことで、中世のキリスト教が形成された。；ルーターなどに接続されることを前提としたモデムで採用されている。；英語をはじめとした多くの言語で、をそのまま翻字した語が採用されている。；乗り入れ相手先の部分でのみ使用され国鉄区間では採用・使用されていない。；トランスジェニック技術を採用して市場に出している組織は次のとおりである。；次の条件は、採用しているライセンスと、そうでないライセンスがある。；各国は、それぞれ多様な国際法の国内法秩序への編入方式を採用している。；その後、試作品のマリオの動きに合わせて作り直したものが採用された。；以後に跨座式を採用して開業した路線はすべてこの方式である。；一般的に採用されている露出モードは以下の通りのものがある。；鉱山などの専用鉄道で狭軌が採用される例があるのはこのためである。；AACやHE-AACは下記に採用されており、実際に利用されている。；ただしこの特徴自体は他国の弩級艦にもそれ以前から採用例がある。；統計的予測が文脈に強く依存する場合のデータ圧縮によく採用されている。；また、アフガニスタンで公式に採用されたものはアフガン暦とも呼ばれる。；そのため、各放送局が個別で契約アナウンサーを採用する例が比較的多い。；また、 といったキリスト教の教義を一部採用した友愛団体も存在する。；この点につき、初期の教会ではさまざまな方法が採用されていた。；商用周波数での起動の困難のために無用に大出力の電動機を採用していた。；また中小都市や郡部でもコミュニティバス限定で採用される事がある。</t>
        </is>
      </c>
      <c r="J3213">
        <f>HYPERLINK("https://www.weblio.jp/content/採用", "词义详情")</f>
        <v/>
      </c>
      <c r="K3213">
        <f>HYPERLINK("https://yourei.jp/採用", "查看例句")</f>
        <v/>
      </c>
    </row>
    <row r="3214">
      <c r="A3214" t="inlineStr">
        <is>
          <t>在来</t>
        </is>
      </c>
      <c r="B3214" t="inlineStr">
        <is>
          <t>成功</t>
        </is>
      </c>
      <c r="C3214" t="inlineStr">
        <is>
          <t>読み方：ざいらい
これまであったことや、行われていたこと。また、そのもの。今までどおり。「—の風習」</t>
        </is>
      </c>
      <c r="D3214" t="inlineStr">
        <is>
          <t>在来型(8%)；在来車(7%)；在来線(3%)；在来馬；在来船</t>
        </is>
      </c>
      <c r="E3214" t="inlineStr">
        <is>
          <t>伝統；習慣；慣習；風習；慣例</t>
        </is>
      </c>
      <c r="F3214" t="inlineStr">
        <is>
          <t>非在来；奈良県在来；在来技術；在来個体群；在来生物</t>
        </is>
      </c>
      <c r="G3214" t="inlineStr">
        <is>
          <t>在来種；在来品種；在来工法；在来魚；在来形客車</t>
        </is>
      </c>
      <c r="H3214" t="n">
        <v>29</v>
      </c>
      <c r="I3214" t="inlineStr">
        <is>
          <t>ロシヤ帝国の崩壊は日本の在来の対露中心の研究に大変化をもたらした。；在来改札からはそれまで通り階段でしかホームへのアクセスができない。；詳しい起源は不明であるが、この地に在来の言語であろうとされている。；そのため、在来の電化路線で高速運転が出来る新しい車両が求められた。；しかし妻面はフラットではなく、在来車同様三面の折妻となっている。；これ皆欧州文明の長を取って日本在来の短を補うに努めて来た結果である。；なおかつ大出力ゆえに在来戦艦より高速を得ることができたのである。；近年、日本国内での定着が確認され、在来生物への影響が懸念されている。；上記の結果、在来トンネルの南側に並行して新生駒トンネルが建設された。；在来の植物に近縁種があった場合には、遺伝子汚染の懸念される例もある。；それと同時に、一部の人々は在来の番附よりも非常に便利であると言った。；在来の村に新しい名をつける事もあり、全く新しく村を構へさせる事もあつた。；在来の古土蔵が一つあるけれども、それは正可の時に保証は出来ぬ。；どうか在来の単調を破るような新しい題材を発見されることを望むのである。；その機関配置についても、在来の日本艦艇とは異なったものとなっている。；この車両は在来車の塗装パターンを基調に専用の塗装を採用している。；これは後の量産車以降にも採用されたほか、在来形式車にも取り付けが実施された。；敵はその性質から在来的な敵と現実の敵そして絶対的な敵の三種に分類することができる。；導入した種が現地在来の生物を捕食する外来種問題化してしまった例などがある。；イベント使用時以外は在来車両と共通で運用されている。；これらから、在来機と新世代機の中間に位置する過渡的な機体と形容される。；PVEMはまた、メキシコの在来政党とは距離を置くことを宣言している。；このため日本の在来個体群では地域ごとに遺伝的に異なる集団が形成されている。；ただし、このサワガニ個体群も北海道在来であることは確認されていない。；或声 お前は在来のお前とは違つた、新らしいお前になるだらう。；国際連盟からの委任統治区域であった南洋群島の在来住民を島民といった。；この絵はとりも直さず、在来芸術の保守性への追従を語るものである。；在来馬とは、外国の馬と交じることなく残った、日本固有の馬のこと。；ただし、三等とはいえグレードの面ではほかの在来の船の二等に相当するものであった。</t>
        </is>
      </c>
      <c r="J3214">
        <f>HYPERLINK("https://www.weblio.jp/content/在来", "词义详情")</f>
        <v/>
      </c>
      <c r="K3214">
        <f>HYPERLINK("https://yourei.jp/在来", "查看例句")</f>
        <v/>
      </c>
    </row>
    <row r="3215">
      <c r="A3215" t="inlineStr">
        <is>
          <t>材料</t>
        </is>
      </c>
      <c r="B3215" t="inlineStr">
        <is>
          <t>成功</t>
        </is>
      </c>
      <c r="C3215" t="inlineStr">
        <is>
          <t>読み方：ざいりょう
１ものを作るとき、そのもとにするもの。「料理の—を用意する」「—費」
２研究や調査、または判断などを裏づける証拠とするもの。「結論を出すには—が不足だ」
３芸術的表現の対象になるもの。題材・素材。「説話に—を求めた作品」
４相場を動かすような要因。「—待ち」</t>
        </is>
      </c>
      <c r="D3215" t="inlineStr">
        <is>
          <t>材料として用いられる；材料として使われる；材料廠；材料学；材料不足</t>
        </is>
      </c>
      <c r="E3215" t="inlineStr">
        <is>
          <t>元；もと；種；スタッフ；素材</t>
        </is>
      </c>
      <c r="F3215" t="inlineStr">
        <is>
          <t>金属材料；実験材料；主な材料；懸念材料；主材料</t>
        </is>
      </c>
      <c r="G3215" t="inlineStr">
        <is>
          <t>材料工学；材料費；材料力学；材料強度学；材料試験炉</t>
        </is>
      </c>
      <c r="H3215" t="n">
        <v>29</v>
      </c>
      <c r="I3215" t="inlineStr">
        <is>
          <t>このような短波長の波を集束できるような材料は存在しないからである。；現代でも様々な場で使用されており、鉄に次いで重要な金属材料といえる。；また環境条件が相手国にとって有利かどうかも重要な判断材料となる。；その他の材料や作り方の一部も草彅の希望により秘密がいくつかあった。；しかも国際関係の緊張が高まってリン鉱石の輸入に不安材料が出てきた。；この様にイスラームとの距離のおき方は成立以来の懸念材料であった。；形態・用途・機構・材料・加工法などによって分類することが可能である。；金属及び関連材料に関する専門書や学生向けの教科書類を刊行している。；材木も同義だが、これは建材や道具類の材料などに限定する場合もある。；建物を画一的にするために材料を統一するという意図がしばしば見られた。；ヘロンの説明によると、弓の材料は「角と木の一種」が用いられていた。；江戸時代に創作材料として盛んに利用されたことで、高い知名度を得た。；生産とは工場において材料から部品、製品などの商材を作る行為である。；一方で禅宗の影響で、動物性の材料を一切用いない精進料理が発達した。；以上の基本形状別・材料別の他には、ばねは次のような観点からも分類される。；他にも様々な材料が試され、最も広く使われたものは方鉛鉱であった。；これはいわゆる自己潤滑材料で摩擦や摩耗を低減するために利用される。；材料の比率を変えたもの、材料の酒を変更したり追加したものなど様々である。；型の材料は古代から砂が用いられ、現代においても砂は最も主要な材料である。；プラズマ周波数の測定値は、多くの材料で理論値とよく一致している。；現在は、この定義に沿って多くのメーカーが材料を用いている。；高級なものにはしばしばハワイ特産のコアの木が材料として用いられる。；その記述では、当時の赤味噌と白味噌は材料の豆や麹が異なったという。；現在ベンゼンは他の化学物質を製造するための材料として利用されている。；このため世界各地でその風土ごとの様々な材料の住宅が存在するようになった。；工業は小規模で、地元での消費のために輸入した材料を加工する程度である。；オーム性材料でできた物体の一定の抵抗値の定義をオームの法則と呼ぶ。；そのため廃寺が増え、寺を打ち壊して教会建設の材料としたと記されている。；安土桃山時代には城建築の際に石を滑らせるための材料として使用していた。</t>
        </is>
      </c>
      <c r="J3215">
        <f>HYPERLINK("https://www.weblio.jp/content/材料", "词义详情")</f>
        <v/>
      </c>
      <c r="K3215">
        <f>HYPERLINK("https://yourei.jp/材料", "查看例句")</f>
        <v/>
      </c>
    </row>
    <row r="3216">
      <c r="A3216" t="inlineStr">
        <is>
          <t>幸い</t>
        </is>
      </c>
      <c r="B3216" t="inlineStr">
        <is>
          <t>成功</t>
        </is>
      </c>
      <c r="C3216" t="inlineStr">
        <is>
          <t>読み方：さいわい
《「さきわ（幸）い」の音変化》
［名・形動］
１その人にとって望ましく、ありがたいこと。また、そのさま。しあわせ。幸福。「不幸中の—」「君たちの未来に—あれと祈る」「御笑納いただければ—です」
２運のいいさま。また、都合のいいさま。「—なことに明日は休みだ」
３（「さいわいに」の形で）そうしていただければしあわせだと人に頼む気持ちを表す。どうぞ。なにとぞ。
「読者—に恕せよ」〈蘆花・自然と人生〉
［副］運よく。都合よく。幸せにも。「—命だけは助かった」「—と事はうまく運んだ」</t>
        </is>
      </c>
      <c r="D3216" t="inlineStr">
        <is>
          <t>幸いなこと(9%)；幸いにも(2%)；幸いな事；幸い雨；幸い大した</t>
        </is>
      </c>
      <c r="E3216" t="inlineStr">
        <is>
          <t>幸福；幸せ；幸運；幸；福</t>
        </is>
      </c>
      <c r="F3216" t="inlineStr">
        <is>
          <t>せめてもの幸い；いただけると幸い；幸いなるかな</t>
        </is>
      </c>
      <c r="G3216" t="inlineStr">
        <is>
          <t>幸いなるオーストリアよ</t>
        </is>
      </c>
      <c r="H3216" t="n">
        <v>29</v>
      </c>
      <c r="I3216" t="inlineStr">
        <is>
          <t>ただ不幸中の幸いであったのが、河川災害は限定的であったことである。；彼女の子供たちは父親が牧師であることが幸いし、無料で学校に行けた。；検査結果が出るまで不安だったが、不幸中の幸いで特に問題はなかった。；当時各座の大夫格がいずれも若年であったことも幸いしたと考えられる。；それが幸いして本国アメリカでは、俳優としての顔が有名になっている。；しかし幸いなことに一味の中に彼と同郷の者がおり、彼を匿ってくれた。；幸いにも、4人のボランティアが私を自分たちのチームに入れてくれた。；幸い芸妓が出てきて場を邪魔したためその場から逃げる事ができる。；ベトナム側が協議事項としなかったことが、韓国には幸いしたのである。；幸いにも被害はなく、午後にロサイスのイギリス海軍基地へ帰還できた。；古代の著者は、内戦が始まる前に死去したのは幸いであったと述べている。；私達は幸いにして肉体の力のみが主として生活の手段である時期を通過した。；幸い、塗装は多少剥がれていたものの、その他の被害は見られなかった。；幸い初期段階であったため、手術は無事に成功し、翌年には退院した。；幸いにも赦免をこうむりましたものの、領土を有すべきではありません。；早い時期の引退は残念ですが、命を落とすようなケガではなく幸いでした。；幸い経過が良く一か月後の03月05日に医者の許可がおりて韓国に帰国。；幸い、交通条件が悪くない都市は産炭依存の都市構造脱却に成功している。；クロード・ノブスが観客を必死に誘導したので幸い負傷者は出なかった。；当時現場付近の道路には数十台の車が走っていたが、幸いけが人は出なかった。；乗員乗客123人のうち100人が負傷したが、幸い死者は出なかった。；幸い死者はいなかったが、およそ20人が治療を必要とする怪我を負った。；しかし幸いにも学校の中では死者や怪我人は一人も出なかった。；幸い、列車は急行線に進入して他の列車と衝突することは避けられた。；幸い途中で誰にも見られなかった事は、彼等にとって何よりであった。；一行は火祭りの準備のために薪を運んでいる群集にこれ幸いと紛れ込む。；幸いなことに、効果の大きい改善は最適化工程の初期に現れることが多い。；室内の掃除は一週間一回であるが、南京虫のおらざりしは幸いであった。；そこには幸い僕の外に二三人の客のあるだけだった。</t>
        </is>
      </c>
      <c r="J3216">
        <f>HYPERLINK("https://www.weblio.jp/content/幸い", "词义详情")</f>
        <v/>
      </c>
      <c r="K3216">
        <f>HYPERLINK("https://yourei.jp/幸い", "查看例句")</f>
        <v/>
      </c>
    </row>
    <row r="3217">
      <c r="A3217" t="inlineStr">
        <is>
          <t>遮る</t>
        </is>
      </c>
      <c r="B3217" t="inlineStr">
        <is>
          <t>成功</t>
        </is>
      </c>
      <c r="C3217" t="inlineStr">
        <is>
          <t>読み方：さいぎる
［動ラ四］《「さききる」の音変化》「さえぎる」の古形。
「毛野の臣軍を—・り」〈継体紀〉</t>
        </is>
      </c>
      <c r="D3217" t="inlineStr">
        <is>
          <t>遮るものなく；遮るものなし</t>
        </is>
      </c>
      <c r="E3217" t="inlineStr">
        <is>
          <t>中止；閉鎖；邪魔；ブロック；中断</t>
        </is>
      </c>
      <c r="H3217" t="n">
        <v>29</v>
      </c>
      <c r="I3217" t="inlineStr">
        <is>
          <t>太陽は出ていないか、それとも電車の壁や屋根に遮られているのだろう。；この位置にある物体は決して地球や月に遮られることがないからである。；山の部分が視界を遮っているため向こうに何があるのか見てとれない。；馬鹿にされたと思ったのか、なにか言いかけたホロを遮るのには十分だ。；雲に遮られて見えはしないが、太陽は刻一刻と西の空に落ち始めている。；そこまで来るともう楽器の響きは明瞭に何物にも遮られずに聞えてきた。；思った事はすぐ口に出してしまう性分で、話を遮ってしまうこともある。；木立には遮られてはいるが先ほどの処よりはもう少し高い眺望があった。；また翼が上部にあることで翼の付近の客席からは上空の視界が遮られる。；風を遮る木箱の陰に場所を見つけ、おれたちは荷物をそこに移し始めた。；身体の内側から囁きかけてくる声を、自分の大声で遮ったつもりだった。；おれはドイツ人のまだ何か言いそうにしているのを遮って聞いて見た。；彼は馬に乗って外へ出るときも、蓋を張らずに、扇で日を遮ったと云う。；まるで森全体が、彼の行手を遮るべく、生きて動いているようであった。；太陽は薄い雲に遮られて見えなかったが、その割には地上は明るかった。；ついいまし方倒したばかりの三人の骸が行く手を遮る形で転がっていた。；これを修正するには、逆方向に回転する長い|遮 光板が五枚必要だ。；これより西にこれより高い土地はなく、そして視界を遮るものはなかった。；山々に視界を遮られたこの村へ來て、私は海を見る樂しみを空へ向けた。；湾を遮るお陰岩の外側にある人魚島でのバンドの練習にカイは同行する。；鳥も啼かず人影もなく風さえ葉の壁に遮られて林の中までは吹いて来ない。；彼女は書類を載せた机を私から遮るような元の姿勢で立っていた。；だが次第に慣れ始めたのか、アリスは水壁を張って、攻撃を遮り始める。；暗く染まった空には幾つもの雲が浮き、月や星の光を完全に遮っていた。；これで二枚の扉が、前方からも後方からも宗像の体を遮ってくれるはずだ。；たが、呼吸を遮る手は小揺るぎもせず、やがて、老人の体は力を失った。；全視界を遮る霧の中に、針で穴を開けたような一つの光点を見つけた。；不意に逃げる男の行く手を遮るように大型トラックが飛び出して来た。；煙で視界を遮られるが、よく見ると、火が水の上を渡っているらしい。</t>
        </is>
      </c>
      <c r="J3217">
        <f>HYPERLINK("https://www.weblio.jp/content/遮る", "词义详情")</f>
        <v/>
      </c>
      <c r="K3217">
        <f>HYPERLINK("https://yourei.jp/遮る", "查看例句")</f>
        <v/>
      </c>
    </row>
    <row r="3218">
      <c r="A3218" t="inlineStr">
        <is>
          <t>さえずる</t>
        </is>
      </c>
      <c r="B3218" t="inlineStr">
        <is>
          <t>成功</t>
        </is>
      </c>
      <c r="C3218" t="inlineStr">
        <is>
          <t>読み方：さえずる
［動ラ五（四）］《「さいずる」の音変化》
１小鳥がしきりに鳴く。「カナリアの—・る声」《季春》「—・るも帰りがけなる小鳥かな／浪化」
２口数多く早口でしゃべるのを軽蔑していう。ぺちゃくちゃしゃべる。「よく—・る女の子だ」
３地方の人や外国人などが耳慣れない言葉でしゃべる。
「そこはかとなく—・るも、心の行く方(へ)は同じこと」〈源・須磨〉
[可能]さえずれる</t>
        </is>
      </c>
      <c r="D3218" t="inlineStr">
        <is>
          <t>さえずるような声(5%)；さえずるような音(2%)</t>
        </is>
      </c>
      <c r="H3218" t="n">
        <v>29</v>
      </c>
      <c r="I3218" t="inlineStr">
        <is>
          <t>家のまわりは畑で、麦の青い上には雲雀がいい声で低くさえずっていた。；頭の中には、鳥がさえずっているように、ぴーんと高い音がしています。；鳥がさえずるのをきいた人なら、だれでもそのことがわかるでしょう。；小鳥は、毎日のように枯れた林にきては、いい声でさえずっていました。；三人が通る道のそばの一本の木の枝から、いきなり一羽の鳥がさえずったのでした。；幾羽かの小さな雀が、若い雀が、出窓の上で音をたて、さえずっていた。；言った端からその舌は何をさえずってやがるわけですか?；わたしはここでは、鳥のさえずるのを、聞いたことがありません。；家の戸がすこし開いているので、部屋の中でもヒバリのさえずる声が聞こえます。；もう、翌日から、ふたたび彼のさえずる声をきくことができなかった。；しかし、一羽の鳥がさえずっていたが、それは孤独で、きみを拒んでいた。；そのため、スズメがさえずるのをやめるのは世界の破滅の前兆とされる。；もっともこの小鳥は、人語をさえずって、ときに聡明なことを口にする。；何をつべこべハンガリーのユダヤ人みてえにさえずってやがるんだ?；家々の上の真昼の空は、曇っていた、野には、すずめがさえずっていた。；雨上がりの空は底知れず澄んでいるらしく、雲雀が何羽もさえずっている。；ある日、姉が髪をとかしていると、一羽の小鳥が窓にとまってさえずった。；彼女は小さくさえずった、なぜなら彼女も制御盤に気づいたからだ。；小さい鳥籠の中で飛び上がったり飛び下がったり興奮してさえずっている。；小鳥がさえずって、頭の上の高い空を飛んでゆくのを、たびたび聞きました。；空の高みでさえずる小鳥のように、どこと知れぬ遠くでそっと囁く歌。；情が動くままに体が動く、花が散ると眠り鳥がさえずると飛び上がる。；いろんな鳥がさえずっているのも聞えてきました。；森のなかの小鳥が全部でさえずっても、この歌には勝てませんね。；この受信機はアザラシのそばにおかれると、一連のさえずるような音を発した。；でも、戸を開いたとき、鳥のさえずる声が、ずっと大きくきこえてきました。；袋の中には生まれて間もなさそうなスズメの雛が数羽、必死にさえずっている。；ほかの竜たちの奇妙なさえずるような鳴き声が、これに続いた。；そして陽気な鳥がさえずる音が楽曲に独自の音色を与えている。</t>
        </is>
      </c>
      <c r="J3218">
        <f>HYPERLINK("https://www.weblio.jp/content/さえずる", "词义详情")</f>
        <v/>
      </c>
      <c r="K3218">
        <f>HYPERLINK("https://yourei.jp/さえずる", "查看例句")</f>
        <v/>
      </c>
    </row>
    <row r="3219">
      <c r="A3219" t="inlineStr">
        <is>
          <t>冴える</t>
        </is>
      </c>
      <c r="B3219" t="inlineStr">
        <is>
          <t>成功</t>
        </is>
      </c>
      <c r="C3219" t="inlineStr">
        <is>
          <t>読み方：さえる
［動ア下一］［文］さ・ゆ［ヤ下二］
１寒さが厳しくなる。しんしんと冷え込む。「—・えた冬の夜」《季冬》「—・ゆる夜の瓦(かはら)音ある礫(こいし)かな／碧梧桐」
２くっきりと澄む。はっきりと見える。「冬の夜空に星が—・える」
３楽器の音などが、濁りがなく鮮明である。「—・えたバイオリンの音色」
４色が鮮やかである。顔色や表情についてもいう。「—・えたピンク」「顔色が—・えない」
５頭の働きやからだの調子などがはっきりする。「今日は頭が—・えている」「目が—・えて眠れない」「気分が—・えない」
６腕まえや手際などが鮮やかで優れている。「腕の—・えた職人」「包丁さばきが—・える」
７（多く打消しの語を伴って）ぱっとしない。満足できない。「景気の先行きがいまひとつ—・えない」「—・えないかっこう」</t>
        </is>
      </c>
      <c r="D3219" t="inlineStr">
        <is>
          <t>切れる；覚める；冷える；醒める；寒くなる</t>
        </is>
      </c>
      <c r="F3219" t="inlineStr">
        <is>
          <t>いよいよ冴える</t>
        </is>
      </c>
      <c r="H3219" t="n">
        <v>29</v>
      </c>
      <c r="I3219" t="inlineStr">
        <is>
          <t>などと色々のことを先から先へ考えてゆくと、眼は冴えるばかりでした。；波の音を聞いていれば自然に眠くなるかと思ったが、目は冴えるばかりだ。；机の前に座り、煙草に火をつけ、そのまましばらく頭が冴えるのを待った。；それが最高に冴えるのは、深夜自宅で、ベッドに入っているときだ。；夜中になって来ると病気の私の身体は火照り出し、そして眼が冴える。；生国魂神社境内の夜の空気にカチカチと歯の音が冴えるのであった。；ただでさえ寝つかれない、出所の前の晩だから、目は冴えるばかりだった。；彼女の身体は疲れきっていたが、目は冴える一方であった。；こんな時になると嗅覚が普通の時よりもさらに冴えるようだ。；それが冴えるように赤くなったのを見て、そのまま五、六時間熱し続けた。；冴える気になれば気は次第に変化して神妙になろうとする。；人を狂わせる極地特有の孤独のなかで、彼の頭はますます冴えるばかり。；以上のことを冴える蛇に脅されてキドやセトにも言えなかった様子。；このような男は、飲めば飲むほど頭が冴える性質かもしれない。；仙人様はどうかは知らんが、人間が使えば一番頭が冴える頃の肉体に若返る。；それが夕方になると眼が吸いつくばかりの鮮やかさに冴える。；ま、カフェインで興奮して頭が冴えるということもありますがね。；熱いコーヒーを飲めば少しは冴えるかと思ったが、それもたいして効果がない。；夕方になってから眼が冴えるのである。；酒が入ると蒼白く冴える顔がその険相をさらに強めるのであった。；驚いた拍子にほんの一瞬だけ頭が冴えるが、やはりすぐにぼんやりと膜がかかったようになってしまう。；とにかく明日になってよく調べてみるつもりで、本気で眠ろうと思っても、かえって眼が冴えるばかりだった。；だが雑器において最も渋い最も自由な生命の美が冴えるのを、誰も否定することができぬ。；興味の対象では頭脳が冴えることを発見される。；そう考えたら頭は冴える、気分は重くなる、頭に浮かんでくるのは本塁打を打たれた場合のことばかりなんですよ。；一方で、尻尾をシェルダーが強くかむとその衝撃で少し頭が冴える。；加奈子は言わなかったけどさ、きっと勉強中頭が冴えるようにと、二人で作ってくれたのだろうから。；休憩をとり、くつろいだほうが、役者はかえって演技が冴えるだろう。；白絵の上にそれを流すと色がいよいよ冴える。</t>
        </is>
      </c>
      <c r="J3219">
        <f>HYPERLINK("https://www.weblio.jp/content/冴える", "词义详情")</f>
        <v/>
      </c>
      <c r="K3219">
        <f>HYPERLINK("https://yourei.jp/冴える", "查看例句")</f>
        <v/>
      </c>
    </row>
    <row r="3220">
      <c r="A3220" t="inlineStr">
        <is>
          <t>竿</t>
        </is>
      </c>
      <c r="B3220" t="inlineStr">
        <is>
          <t>成功</t>
        </is>
      </c>
      <c r="C3220" t="inlineStr">
        <is>
          <t>読み方：かん
［人名用漢字］　［音］カン（呉）（漢）　［訓］さお
〈カン〉竹の幹でこしらえた細長い棒。さお。「竿灯・竿頭／竹竿(ちっかん)・灯竿」
〈さお（ざお）〉「竿竹・竿秤(さおばかり)／竹竿・旗竿」</t>
        </is>
      </c>
      <c r="D3220" t="inlineStr">
        <is>
          <t>竿立ち；竿兵衛；竿師；竿翁；竿組</t>
        </is>
      </c>
      <c r="E3220" t="inlineStr">
        <is>
          <t>柱；棒；ポール；棹；水棹</t>
        </is>
      </c>
      <c r="F3220" t="inlineStr">
        <is>
          <t>白竿；夢竿；モチ竿；爪竿；投竿</t>
        </is>
      </c>
      <c r="G3220" t="inlineStr">
        <is>
          <t>竿頭；竿竹；竿燈；竿灯；竿秤</t>
        </is>
      </c>
      <c r="H3220" t="n">
        <v>29</v>
      </c>
      <c r="I3220" t="inlineStr">
        <is>
          <t>魚のかかつた竿を人から持たせられたつて、決して面白いものではない。；彼らは氷が船にぶつかるのを防ぐために先に鉄のついた爪竿を持っていた。；二人には暗い水の上に、ある角度で突きでている二本の鉄の竿が見えた。；支那商店の軒頭からは色色の革命旗を街上へ長い竿を横へて掲げて居る。；老人が竿でそれを動かしていて、わたしはその足下に横たわっているの。；赤は伝統的にペルシャ湾各国で使用されている色で、竿側に白を使用。；彼女の息子アンディは、1982年に自殺する少し前に竿石を破壊した。；八方から竿でつきかけて、ついに足を払い得たものもなかったそうです。；竿やステッキで敵も味方も滅茶苦茶になるまで、やり続けるのであった。；それでもかなりに強い抵抗のために細長い竿は弓状に曲がる事もあった。；漕ぎ手たちは驚いたふうもなく、鉤竿で筏を押えたまま私を待っていた。；けれど一人が竿を出し得る丈の場處だからボズさんは唯見物をして居た。；中央の穴に竿を立てて星の位置を観測したものと考えられている。；物語の冒頭で、膕から火を吐き、馬のように竿立つ姿が印象的であった。；私が竿をあげようとするまえに、脇で釣りだした人が私に呼びかけた。；子供たちは、竿のような長い棒の先に釘や針金をつけてお団子を盗んだ。；旗は、布や紙など薄い素材を用いて竿などの先端に付けて空中に掲げたものである。；釣糸を竿もうきもつけずに手で持つから、釣道具は糸と針しかいらない。；と、もう暗くなって苫裏の処だから竿があるかないか殆ど分らない。；老婆は六十に近くなっても、水音と悲鳴とをきくと必ず竿を差し出した。；僕が竿を持っていてやるから、水のなかへ潜って行って錘をとってき給え。；あれだけのあざやかな刀法が竿の穂先に出ねえはずがないと思った。；人形は長い竿の先に取り付けられ、糸によって首や腕を動かす事ができる。；僕は主人の濡れた帷子を竿にかけてから己の室へさがって往った。；道糸は秋田の渋糸の十五撚りか二十撚りを竿の長さだけつけるのである。；私はカジカンだ手で竿を畳み、子供たちの方へ堤の上を歩いて行つた。；警告すると、少年は慌てて向直ったが早いか敏捷に巧い機に竿を上げた。；糸から竿を伝わるのではなく、手でじかに魚を掴んでいるような感じだった。；渦の中心から長い、黒い竿のようなものがゆっくりせり上がってきた。</t>
        </is>
      </c>
      <c r="J3220">
        <f>HYPERLINK("https://www.weblio.jp/content/竿", "词义详情")</f>
        <v/>
      </c>
      <c r="K3220">
        <f>HYPERLINK("https://yourei.jp/竿", "查看例句")</f>
        <v/>
      </c>
    </row>
    <row r="3221">
      <c r="A3221" t="inlineStr">
        <is>
          <t>坂</t>
        </is>
      </c>
      <c r="B3221" t="inlineStr">
        <is>
          <t>成功</t>
        </is>
      </c>
      <c r="C3221" t="inlineStr">
        <is>
          <t>読み方：さか
１一方が高く他方が低く傾斜している道。また、その傾斜。さかみち。「—を上る」「下り—」
２物事の区切りを、坂の頂上にたとえていう語。多く、年齢についていう。「六〇の—を越す」</t>
        </is>
      </c>
      <c r="D3221" t="inlineStr">
        <is>
          <t>坂町；坂さん；坂東市；坂高校；坂線</t>
        </is>
      </c>
      <c r="E3221" t="inlineStr">
        <is>
          <t>斜面；傾斜；勾配；スロープ；傾斜面</t>
        </is>
      </c>
      <c r="F3221" t="inlineStr">
        <is>
          <t>上り坂；新坂；急な坂；登り坂；田原坂</t>
        </is>
      </c>
      <c r="G3221" t="inlineStr">
        <is>
          <t>坂道；坂上；坂口；坂田；坂井</t>
        </is>
      </c>
      <c r="H3221" t="n">
        <v>29</v>
      </c>
      <c r="I3221" t="inlineStr">
        <is>
          <t>北の起点である三条通からすぐ南側が南に向かって下る坂になっている。；石高に応じて人数を動員し、藩主は大坂に居住しなければならなかった。；家康は返礼として次男・於義丸を秀吉の養子にするために大坂に送った。；また、駅舎はホームの福間方の端から坂を下ったところに設けられていた。；これまで大坂の人と縁が無い人物が行うのが良いと述べていた。；駅を出て右へ進んで坂を上り、国道145号交差点の左すぐの場所にある。；しかし大連市内は坂が多いため、元々自転車の姿はあまり見かけない。；城跡東側の階段はかつて池田坂と呼ばれ、城の搦手にあたると言われる。；駅舎と反対側の下り方ホームには田原坂方面への出入り口が新設されている。；ホームの森山方がゆるい坂になっており、駅へはこれを使って出入りする。；坂の市止めは、佐賀関線の区間便的存在であるまで運転されていた。；改札口はなく、道路から緩い坂を上って線路の南にあるホームに上がった。；最後の直線の坂の手前、逃げ馬を安全にかわしてから末脚を発揮する。；なお後に石坂と結婚する浅丘ルリ子を石坂に紹介したのも加賀である。；東京近郊の時計坂という町にある木造2階建ての建物で、本作の主な舞台。；御油から先はまたほとんど測量を行わず、2月24日に大坂に着いた。；車はしばらく動かなくなってしまうが、上り坂で再びエンジンを掛けて走る。；ホームの坂町方に踏切が設けられ、その先の階段で駅施設外に連絡していた。；結婚以降も妻の神楽坂を多くの自身の作品に出演させている。；これは安芸郡海田町・熊野町・坂町も編入合併する予定だったからである。；急な坂だらけの街であるので、長く住んでいる人でも息が切れて苦痛を感じることが多い。；登は赤ひげと小石川養生所へ続く坂を上りながら、自身の決意を伝える。；正次が大坂に出た後、岩槻の統治は嫡男の阿部政澄が3万石で担当した。；島にはこの事件に由来したイギリス坂という地名が存在する。；坂を下りきり、最終コーナーに達してからスパート、外から進出する。；以後は雑賀に戻った形跡がなく、死ぬまで大坂で過ごしたものと考えられる。；江戸の他にも、この時期には京都や大坂に相撲の集団ができた。；坂は直線に設けられることが多いが、それ以外の場所にも緩やかだが存在している。；本場所で「横綱」の文字を表した時期は大坂でこの頃が初めてである。</t>
        </is>
      </c>
      <c r="J3221">
        <f>HYPERLINK("https://www.weblio.jp/content/坂", "词义详情")</f>
        <v/>
      </c>
      <c r="K3221">
        <f>HYPERLINK("https://yourei.jp/坂", "查看例句")</f>
        <v/>
      </c>
    </row>
    <row r="3222">
      <c r="A3222" t="inlineStr">
        <is>
          <t>境</t>
        </is>
      </c>
      <c r="B3222" t="inlineStr">
        <is>
          <t>成功</t>
        </is>
      </c>
      <c r="C3222" t="inlineStr">
        <is>
          <t>読み方：けい
〈京〉⇒きょう
〈境〉⇒きょう
〈競〉⇒きょう</t>
        </is>
      </c>
      <c r="D3222" t="inlineStr">
        <is>
          <t>境付近(2%)；境に近い；境近く；境階波；境沿い</t>
        </is>
      </c>
      <c r="E3222" t="inlineStr">
        <is>
          <t>ところ；位；立場；席；縁</t>
        </is>
      </c>
      <c r="F3222" t="inlineStr">
        <is>
          <t>郡境；町境；区境；村境；藩境</t>
        </is>
      </c>
      <c r="G3222" t="inlineStr">
        <is>
          <t>境内；境遇；境界線；境地；境目</t>
        </is>
      </c>
      <c r="H3222" t="n">
        <v>29</v>
      </c>
      <c r="I3222" t="inlineStr">
        <is>
          <t>この駅は伊予市と大洲市の境にありホームの中ほどに市境が走っている。；その頃を境に月に10本以上のレギュラーの仕事を抱えるようになった。；北名古屋市に入りしばらく進むと道路上に市境があるという区間が続く。；街はアーレ川によって形成された半島の西の境の方向に成長していった。；ミズーリ川が地形、社会および政治的な面で東部と西部の境になっている。；衆生と生命でない物質との境は、ある存在が識を持つか否かで区別される。；所在地は神戸市だが西宮市との市境も近くそちらの住民も多数利用する。；駅のすぐ西側を市境が通っており、大阪大学や附属病院は吹田市にある。；高石市との市境から南すぐのところに位置するため、双方からの利用がある。；この戦いを境に応仁の乱より断続的に続いていた大規模な戦闘が終焉した。；IC名は同市と旧下都賀郡藤岡町三鴨地区の境に位置しているのが由来。；旧仙台藩と旧盛岡藩との旧・藩境を越えて新幹線駅併設の北上駅に入る。；市境を越え、メリーランド州側にも治安の良くないエリアが広がっている。；インディアナ州との州境では、水道用道路が唯一の陸の境となっている。；したがって、地質構造はこの安倍川を境にして県の東西で全く異なる。；また田中社長本人はこの日を境にレスラーへの態度を一変させてしまったという。；町の西の境を走る大佐渡スカイラインは、金井町と相川町を結んでいた。；全区間を直通する便はなく、静内を境に以下の通り細分化されている。；正保日本図が作成されたころ、郡境が確定されたといわれている。；当停留場を境に地鉄ビル前方面が本線、新富町方面が支線となっている。；これがコソボとセルビアの行政的な境となって今日に至っている。；この手を境に羽生の玉はたちどころに寄り形となり、谷川の勝ちとなった。；エレベーターへの通路と線路の境には柵が設置されている。；しかし、この年わずか4勝と、この頃を境にあまり勝てなくなっていった。；このため山東省は黄河を境に北は海河流域、南は淮河流域となっている。；拡大する過程で新たに州を新設していったので、植民地と州の境はあいまいになった。；区の北東境には綾瀬川が流れており、岩槻区との境界をなしている。；土讃線の近距離輸送列車は当駅を境に運行形態が分けられている。；この宗教平和を境にプロテスタントは勢力を一気に拡大した。</t>
        </is>
      </c>
      <c r="J3222">
        <f>HYPERLINK("https://www.weblio.jp/content/境", "词义详情")</f>
        <v/>
      </c>
      <c r="K3222">
        <f>HYPERLINK("https://yourei.jp/境", "查看例句")</f>
        <v/>
      </c>
    </row>
    <row r="3223">
      <c r="A3223" t="inlineStr">
        <is>
          <t>栄える</t>
        </is>
      </c>
      <c r="B3223" t="inlineStr">
        <is>
          <t>成功</t>
        </is>
      </c>
      <c r="C3223" t="inlineStr">
        <is>
          <t>読み方：はえる
［動ア下一］［文］は・ゆ［ヤ下二］
１光を受けて照り輝く。「夕日に—・える連山」
２引き立ってあざやかに見える。また、よく調和する。「紺のスーツにネクタイが—・える」
３（栄える）りっぱに見える。目立つ。「—・えない役割」</t>
        </is>
      </c>
      <c r="D3223" t="inlineStr">
        <is>
          <t>成功；発展；繁栄；伸びる；振興</t>
        </is>
      </c>
      <c r="F3223" t="inlineStr">
        <is>
          <t>最も栄える；大いに栄える；ますます栄える；再び栄える；以後栄える</t>
        </is>
      </c>
      <c r="H3223" t="n">
        <v>29</v>
      </c>
      <c r="I3223" t="inlineStr">
        <is>
          <t>金属とそれを加工する職人を入手した文明は大いに栄えることになった。；また、大きな川の様に末永く家が栄えるように、との意味があるという。；根さえ確かなれば、幹なり枝なり葉なり花なり自然の結果として栄える。；いったい男は、生が栄えるということを深く考えたことがあるのだろうか。；そして足下と国境の約を定めて、共に長く栄えるの計を立てようではないか。；当時、人口は10万人を越えてロシアとの交易で栄える経済都市となった。；「仏教が栄えると国は滅びる」とは、昔の中国でよく言われたことである。；失われたわしの王国は滅び、ふたたび栄えることがないのだからな。；松の園生のように栄えるようにと悦んで下さった母の顔を今でも憶い出す。；孫亮時期の全氏に続いて、呉の氏族の中では最も栄えることになった。；都市と農村は一対のもの、都市が栄えるためにも農村をよく機能させよう。；われひと共に栄えるのでなければ、意味をなさないのかも知れない。；かれらの住む町からは遠く、自然はひとりで最もよく栄える。；大きな工業が栄える土地だけに、手仕事を町に見ることは難しくなりました。；「松栄」の名も、松平家が栄えることを願って付けられたものとされる。；これが現れると、その家は栄えると考えられているからね。；だが神学が神学の形で栄えることの出来たのは、要するに中世である。；私は芸術的良心が生活態度の誠実でない人の心に栄えるとは思わない。；平家が衰えないなら、源氏が再び栄える時が来ようと思うはずはないのです。；陸遜は「この人がいれば、国は必ず栄えるだろう」と感嘆したという。；ますます発展して栄える町になるようにとの 願いから「栄町」と名付けられた。；ダリヨの熱心と伴って、この地方にもキリスト教は栄えるかのように見えた。；再び鎌倉が栄えるのは間も無いことのように思われた。；イサクはアブラハムの息子であり、彼にも子孫が栄える旨が神から約束されている。；気温も高くて、だから動物も植物もたくさん栄えることができる。；ここがもっと栄える土地なのは、みんな知っての通りだ。；「源氏がいよいよ栄えるときが来ましたな」 と大きな声で朝氏に祝辞を言う者があった。；彼らは危機で栄える故に危機を起こそうとしています。；反対に、「栄える」と言われた国はそのとおりに栄えているのです。</t>
        </is>
      </c>
      <c r="J3223">
        <f>HYPERLINK("https://www.weblio.jp/content/栄える", "词义详情")</f>
        <v/>
      </c>
      <c r="K3223">
        <f>HYPERLINK("https://yourei.jp/栄える", "查看例句")</f>
        <v/>
      </c>
    </row>
    <row r="3224">
      <c r="A3224" t="inlineStr">
        <is>
          <t>差額</t>
        </is>
      </c>
      <c r="B3224" t="inlineStr">
        <is>
          <t>成功</t>
        </is>
      </c>
      <c r="C3224" t="inlineStr">
        <is>
          <t>読み方：さがく
ある金額から他のある金額を差し引いた残りの金額。「—を徴収する」</t>
        </is>
      </c>
      <c r="D3224" t="inlineStr">
        <is>
          <t>差額分(8%)；差額室料；差額地代；差額説；差額決済契約</t>
        </is>
      </c>
      <c r="E3224" t="inlineStr">
        <is>
          <t>端；余裕；余地；余白；マージン</t>
        </is>
      </c>
      <c r="F3224" t="inlineStr">
        <is>
          <t>換算差額</t>
        </is>
      </c>
      <c r="G3224" t="inlineStr">
        <is>
          <t>差額関税制度；差額配分法</t>
        </is>
      </c>
      <c r="H3224" t="n">
        <v>29</v>
      </c>
      <c r="I3224" t="inlineStr">
        <is>
          <t>どちらの場合も過不足があれば空港使用料などの差額調整が必要である。；希望小売価格と引き換え価格との差額は流通経費・印刷代とされている。；設置基準で病室の半数は無差額でなければならないと定められている。；先物取引では以下のような場合に、その差額を利益として得ることが出来る。；下回った場合の差額はその4年間にチームに属した選手に分配される。；この基本生活費に収入が届かない家庭には、その差額分を補填した。；その差額がノミ屋に流れていると見てもいいのではないか。；そうすれば手元には最初と同じ量の金があるのにさらに一段階目に売った時と二段階目に買った時の差額が残る。；業者が売却した価格と、利用者から買い取った価格の差額が業者の利益である。；彼はその分配を開始し、差額は調達でき次第に支払われると約束した。；今日は朝刊に徴用工の、それ以前の収入との差額補給の事情が発表されている。；対象物が同じで異なる市場や限月での金利差や価格差の差額を得る取引を行うこと。；ここで貨幣の額面と硬貨製造費用との差額は政府の貨幣発行益となる。；差額を支払ってもいいけど、お金じゃ失礼だから、何か付けたらどうかしら?；その差額の一千五百億があんたたちの懐に吸い取られたってわけね?；実は、この〇・一グラムの違いが末端での売上高に大きな差額を生じさせる。；後にその金額が差額の1億5000万円分だったと分かったという。；同様に90円券2枚で大人1人の乗車も可能だが、差額は返金されない。；ロンドンとそれ以外の地域の差額は、大半が平均的な住宅の賃料の差によるものである。；差額の九千九百いくらは、わが国の立派な政府が専有する通貨発行益になる。；足りない差額を出してあげてもたいした負担ではない。；底値を提示した俳諧師のグループが依頼を受け、差額は虎の取り分となる。；後期になると、少ない額の箱を選んだ場合、差額は第2位の解答者に贈られた。；差額分は取引先にプールされており隠蔽に当たると判断された。；これはすでに読者から予約金としてもらっているものがあり、その差額分はこっちの負担になる。；その差額を、相手国の高官と寺西とが分け合って取得するというのであった。；ここで、マイナス差額の配分を認める考えと認めない考えがある。；だけど新しいの買ってくれるつもりなら、〇・二カラット分の差額だけ払ってくれる?；この場合は利益は最初に支払ったオプション料とペイアウトの差額となる。</t>
        </is>
      </c>
      <c r="J3224">
        <f>HYPERLINK("https://www.weblio.jp/content/差額", "词义详情")</f>
        <v/>
      </c>
      <c r="K3224">
        <f>HYPERLINK("https://yourei.jp/差額", "查看例句")</f>
        <v/>
      </c>
    </row>
    <row r="3225">
      <c r="A3225" t="inlineStr">
        <is>
          <t>逆さ</t>
        </is>
      </c>
      <c r="B3225" t="inlineStr">
        <is>
          <t>成功</t>
        </is>
      </c>
      <c r="C3225" t="inlineStr">
        <is>
          <t>読み方：さかさ
［名・形動］「さかさま」の略。「裏表が—になる」</t>
        </is>
      </c>
      <c r="D3225" t="inlineStr">
        <is>
          <t>逆さ屏風；逆さ磔；逆さイチョウ；逆さ回し；逆さ喋り</t>
        </is>
      </c>
      <c r="E3225" t="inlineStr">
        <is>
          <t>反対；逆；裏腹；相反；あべこべ</t>
        </is>
      </c>
      <c r="G3225" t="inlineStr">
        <is>
          <t>逆さ吊り；逆さ富士；逆さ合併；逆さ読み；逆さ押さえ込み</t>
        </is>
      </c>
      <c r="H3225" t="n">
        <v>29</v>
      </c>
      <c r="I3225" t="inlineStr">
        <is>
          <t>一時間後に匹田は崖の上から逆さになって脚をバタバタさせていました。；満潮時に首から肩の辺りまで水に漬かる高さに逆さに磔を行ったという。；逆さになつて歩いてる人間の中へ出て行つたらどんなに可笑いでせう!；が、今のツキにそんな哲学をしている余裕は逆さにしても出てこない。；すだれを裏がえしにしてな、上下のあるやつだったら逆さにするんだぜ。；現在、長門の艦体は上下逆さまで着底しており、艦橋部分は折れている。；逆さにして振ってみたが、二枚の写真以外には、何も出て来なかった。；無数の卓には逆さにした椅子が置かれていて客の不在を物語っていた。；一体、兄はどうしてそんな天井に逆さまで立っているのか判らないのです。；血を浴びた首筋の毛が逆さに立って獅子の鬣を見るようでありました。；子供の足を掴んで逆さづりにして子供が喜ぶことなんかよくあることだ。；そしてさらに船が傾いていき完全に逆さになって止まるのがわかった。；倒立振子とはスライダ上に逆さに置いた振子の制御モデルのことである。；まずこの技でラートの重心移動や逆さの感覚を体験することが出来る。；壁を登るシーンは、逆さに作ったセットでカメラも逆さにして撮影された。；ここで若い者にどうかなられるなんてことになると、逆さごとですからね。；ソフトクリームは地面に逆さに突き立っていて、もう食べようがない。；人が逆さにぶら下がっているようにも見えたが、それにしては異様に腕が長い。；逆さにすると、白いビニールの小袋に包まれた薬がいくつも出てきた。；原作のイスラ・ヌブラル島は水滴を逆さにした形に似ていると記されている。；もし逆転しない人は、像の一部に注目したまま、本を逆さにしてみればよい。；鎖に足が絡んだか、望は逆さになったまま、なぜだ、なぜ動かん、じお!；彼の奇妙な逆さ喋りの話法は、その忍法に密接に関係しているのである。；箒が逆さに立てられて、その上に今度は羽根のついた帽子がのせられている。；それをじっと見ていた紅木大臣の髪毛は、見る見る中に皆逆さに立ちました。；船を逆さに伏せたような山容であることが山名の由来であるとする説もある。；この砂時計は逆さにすれば再び時を測ることができるものであった。；頭は上下逆さの状態で置かれている為ひっくり返して組み立てる必要がある。；上からの柱が途中で切れていることもあって、まるで逆さの世界の人間と話しているようだ。</t>
        </is>
      </c>
      <c r="J3225">
        <f>HYPERLINK("https://www.weblio.jp/content/逆さ", "词义详情")</f>
        <v/>
      </c>
      <c r="K3225">
        <f>HYPERLINK("https://yourei.jp/逆さ", "查看例句")</f>
        <v/>
      </c>
    </row>
    <row r="3226">
      <c r="A3226" t="inlineStr">
        <is>
          <t>逆様</t>
        </is>
      </c>
      <c r="B3226" t="inlineStr">
        <is>
          <t>成功</t>
        </is>
      </c>
      <c r="C3226" t="inlineStr">
        <is>
          <t>読み方：さかさま
［名・形動］
１物事の上下・左右・前後・裏表などの関係が本来の状態とは反対になっていること。また、そのさま。逆(ぎゃく)。さかさ。さかしま。「—から読んでも同じ言葉」「セーターを裏表—に着る」「壁の絵が—だ」
２道理や事実に反すること。また、そのさま。さかさ。さかしま。「言う事とする事が—だ」「娘に説教されるとは—だ」
３特に、子が親より先に死ぬこと。
「—ながら御回向(ゑかう)を、受けますこともあらうも知れず」〈人・娘節用・三〉</t>
        </is>
      </c>
      <c r="D3226" t="inlineStr">
        <is>
          <t>逆；逆しま</t>
        </is>
      </c>
      <c r="H3226" t="n">
        <v>29</v>
      </c>
      <c r="I3226" t="inlineStr">
        <is>
          <t>いや、これは耳鳴りではない、自分の血が逆様に流れる音だと彼は思った。；古い頭に新らしい足の欽吾は、世を逆様に歩いて、ふらりと椽側へ出た。；艦がほとんど真っ逆様になった時、空に向ってスクリューが四本見えた。；上の方で爆発が生じ、その炎と破片が彼女めがけて真っ逆様に落ちてきた。；その瞬間に、彼は天上から地上へ、まッ逆様に落ちていたのである。；では、僕の二ツ目の乞食袋を逆様にして拾い集めたものを御覧にいれる。；何せ今、私はホールの天井に足首から逆様に吊られているのである。；二人の身体は逆様に馬の上から墜落すると、抱き合ったまま砂地の上を転った。；逆様に流れる滝のように、周囲の雪が空に伸びた。；「三人とも真っ逆様に落ちて行ったぞ」 頭上で話す声がした。；お鈴はお振袖を着たままお客の頭の上へ真っ逆様に落ちて、眼を廻す騒ぎだ。；不意の弾丸にワイヤーを断ち切られた女は真っ逆様に落ちていった。；天井から逆様にぶら下がった状態で現われたり、開けた玄関にぶら下がって出てくる。；少しでも馬の扱いを間違えたら、真っ逆様に奈落に落ちてしまうことだろう。；そんなことするくらいなら、六階の上から真っ逆様に舗石の上に身を投げた方がいいわ。；アジトである「逆逆警察署」は上下が逆様になっており、天井が下になっている。；だが、脳障害の子供に親が望むのは逆様のことなのだ。；ふわりと体が浮いたと思ったら、真っ逆様に落ち始めたのだからたまらない。；この際、VMは上下逆様に接続されることになるので、接続中に表示される画像もそれにあわせて逆転して表示される。；男でも女でも、逆様になんかなかなか飛びこみはしない。；もうその辺は、真っ逆様に、天井を這うも同然の、危険な個所なのだ。；数字で見るとたいしたことはないが、ほとんど真っ逆様に落下しているような感じだった。；そんな処に長く立つて居ようものなら、身体全体が真ツ逆様に下に吸ひ込まれさうな気持になるのです。；逆様になって、大きな腹を水面に浮べながら、いつまでもぱくぱくやっていた。；友達もみな、あなたの敵に傅くために逃げて行つてしまつた、あなたの運もあなたの想ひとは逆様に動いて行くのか。；もうこれ丈け味を占めると、止め度もない嗅覚地獄へ、真っ逆様に落ちて行くばかりです。；前には直立した岩壁から逆様に楠の森が下っていた。；いや無給くらいはまだいい方でそれが甚しい処になれば逆様に傭人の方から主人へ向けて飯代を支払わねばならない。；罐詰の絵や文字を逆様にしてプスッとやればいいのだ。</t>
        </is>
      </c>
      <c r="J3226">
        <f>HYPERLINK("https://www.weblio.jp/content/逆様", "词义详情")</f>
        <v/>
      </c>
      <c r="K3226">
        <f>HYPERLINK("https://yourei.jp/逆様", "查看例句")</f>
        <v/>
      </c>
    </row>
    <row r="3227">
      <c r="A3227" t="inlineStr">
        <is>
          <t>探す</t>
        </is>
      </c>
      <c r="B3227" t="inlineStr">
        <is>
          <t>成功</t>
        </is>
      </c>
      <c r="C3227" t="inlineStr">
        <is>
          <t>読み方：さがす
［動サ五（四）］見つけ出そうとして方々を見たり、歩きまわったり、人に聞いたりする。尋ね求める。「職を—・す」「落とし主を—・す」「あらを—・す」
[可能]さがせる
[補説] ふつう、見えなくなったものをさがす場合には「捜」、欲しいものをさがす場合には「探」を用いる。</t>
        </is>
      </c>
      <c r="D3227" t="inlineStr">
        <is>
          <t>探すべく；探すべき；探すしかない；探すほうが難しい；探すよう命じ</t>
        </is>
      </c>
      <c r="E3227" t="inlineStr">
        <is>
          <t>見る；求める；捜査；捜索；追う</t>
        </is>
      </c>
      <c r="H3227" t="n">
        <v>29</v>
      </c>
      <c r="I3227" t="inlineStr">
        <is>
          <t>頭では探そうと必死なのだが、体がどうしてもついていかなかったのだ。；その東にもっと大きな川があるから、橋を探さなくてはならないだろう。；私は結果を判断することよりも、動機を探さなければなりませんでした。；なぜ失われたかよりも、この後われわれのとるべき最もよい道を探そう。；その後浮上し、搭載機を使用して相手を探したが、見つけられなかった。；それにより、イベントのための新たな島を探さなくてはならなくなった。；乗り物など探さなくとも、自分は最初からそれを持っているではないか。；武器を取り上げられていたスタンは武器を探すため飛行竜内を捜索する。；だから両国の間かその周辺で第三の方法を探さねばならないと考えている。；ただし生息数が多い地域では、日中にも食べ物を探しに現れることもある。；ただしこの時点では衝突跡が発見されておらず、探す研究者が増えた。；冒険の目的も炎の杖の入手ではなく7つの至宝を探す内容となっている。；きみがここを出ることを望むなら、きみの務め先を探そうではないか。；これから先はかれらに自分たちの道を探させるのが賢明というものです。；以下のページは、サッカー関連の未執筆記事を探すのにとても便利です。；映画の前半で彼らは村に着くことのできる道路を探そうとしている。；初井言榮が付き人を探していたことから付き人をしながら勉強していた。；彼らは、既存のIBMのマシンの性能を向上させる手段を探していた。；これらが混生している地区では純粋な個体を探すほうが難しいほどである。；独自で探してきた日本の優れた人や物をアメリカの番組で数多く紹介してきている。；タキシーなんか探させたくなくなったね、僕の車に乗せて上げたかった。；あんたの帰る方法、これからちゃんと探そうと思ってた矢先だったのに。；だから現在、引き続き信用できる部下に城中を探させている最中である。；彼らは画像をOCRによる攻撃に耐えられるようにする方法を探していた。；その内通いにするように部屋を探そうと思うが、何分出る事も出来ない。；身体のどこかには、探そうと思えば寿々子の特徴を見出せたに違いない。；以下の記述はこのテンプレートを使用している記事を探すためのものです。；一方ゴンドーフの賭博場ではスタッフが配当の低いレースを探していた。；私どもが、第四号を探さねばならないのは、前者の俳優の中からです。</t>
        </is>
      </c>
      <c r="J3227">
        <f>HYPERLINK("https://www.weblio.jp/content/探す", "词义详情")</f>
        <v/>
      </c>
      <c r="K3227">
        <f>HYPERLINK("https://yourei.jp/探す", "查看例句")</f>
        <v/>
      </c>
    </row>
    <row r="3228">
      <c r="A3228" t="inlineStr">
        <is>
          <t>杯</t>
        </is>
      </c>
      <c r="B3228" t="inlineStr">
        <is>
          <t>成功</t>
        </is>
      </c>
      <c r="C3228" t="inlineStr">
        <is>
          <t>読み方：つき
［名］古代の飲食物を盛る器で、碗より浅く皿より深いもの。材質は土器・陶器や木製などがあり、脚の付いたものや蓋のあるものもある。
［接尾］助数詞。坏に盛った飲食物を数えるのに用いる。
「験(しるし)なきものを思はずは一—の濁れる酒を飲むべくあるらし」〈万・三三八〉</t>
        </is>
      </c>
      <c r="D3228" t="inlineStr">
        <is>
          <t>杯分；杯飲ん；杯争奪；杯ひっかけ；杯やろう</t>
        </is>
      </c>
      <c r="E3228" t="inlineStr">
        <is>
          <t>グラス；カップ；コップ；献；盃</t>
        </is>
      </c>
      <c r="F3228" t="inlineStr">
        <is>
          <t>天皇杯；二杯；三杯；優勝杯；nhk杯</t>
        </is>
      </c>
      <c r="G3228" t="inlineStr">
        <is>
          <t>杯盤狼藉；杯状花序；杯細胞；杯洗；杯事</t>
        </is>
      </c>
      <c r="H3228" t="n">
        <v>29</v>
      </c>
      <c r="I3228" t="inlineStr">
        <is>
          <t>そして何度も悪魔は靴に大量に金を入れるが靴は一杯になる事はなかった。；そこで兵隊が自分の靴一杯に金が入ったならば立ち去ろうと条件を出す。；J1リーグや天皇杯と並ぶ日本の国内三大タイトルの1つとされている。；すると悪魔は持っているだけの金を出すが靴一杯にはならなかった。；また幕内の中継では仕切りの際時間一杯の直前までBGMを流している。；そのため何百個もの防火用水入りバケツを多数の部屋一杯に配置していた。；また天皇杯はすべての第1種チームを対象とした大会となっている。；杯竜類の名は、彼らが共有する原始的な両凹型の椎骨の形状に由来する。；元々は、大人が両腕を一杯に広げた長さとして定義された身体尺である。；外に出ると分かる部分があり、今は大山館長には感謝の一念で一杯です。；純粋なワインは酔うほど甘美であるが、我々の側の杯には、泥しかない。；天皇杯は県予選の決勝でグルージャ盛岡に阻まれて出場できずに終わった。；翌2003年にはその天皇杯決勝の対戦相手だったセレッソ大阪に移籍。；以下は、『スーパー競馬』終了当時に存在した社杯付きのレースである。；天皇杯へは、2015年度から3年連続で県予選を突破し出場している。；天皇杯では2回戦で草津に勝利したが、3回戦で鹿島に延長の末敗れた。；リーグ戦終了後の天皇杯では、気持ちのこもったプレーでチームを牽引。；ゼムノヴィッチ体制初の大会となった天皇杯は2大会ぶりに決勝に進出した。；正式名称は毎日放送賞京都4歳特別、毎日放送が優勝杯を提供していた。；これで天皇杯決勝は東洋工業時代を含めて9連敗となってしまった。；杯土を回転台の上に乗せ、回転させながら形を整える方法である。；日本語では「聖杯」と訳しているが、これが杯かどうかは定かではない。；レースでは常に一杯に追う必要があり、調教も多めに必要としていた。；同様に、短剣の柄や杯などの高級な貴石彫刻も動物形状を取る場合がある。；吉永は「目一杯に追っていたら1分9秒台が出ていたでしょう」と語った。；真新しい自転車を贈られ、大石先生は胸が一杯になり、涙が溢れてきた。；酒は一杯程度であれば飲むことができ、乾杯には参加している。；天皇杯でも東京ガス時代の1997年以来となるベスト4へ進出した。；ただし石炭生産地域ではその能力一杯に鉄道を使っている。</t>
        </is>
      </c>
      <c r="J3228">
        <f>HYPERLINK("https://www.weblio.jp/content/杯", "词义详情")</f>
        <v/>
      </c>
      <c r="K3228">
        <f>HYPERLINK("https://yourei.jp/杯", "查看例句")</f>
        <v/>
      </c>
    </row>
    <row r="3229">
      <c r="A3229" t="inlineStr">
        <is>
          <t>逆立ち</t>
        </is>
      </c>
      <c r="B3229" t="inlineStr">
        <is>
          <t>成功</t>
        </is>
      </c>
      <c r="C3229" t="inlineStr">
        <is>
          <t>読み方：さかだち
［名］(スル)
１両手を地につけ、両足を上にあげて、からだを逆さにして立つこと。倒立。しゃっちょこだち。「—して歩く」
２物の上下が反対になっていること。また、物事の関係が反対になっていること。さかさま。「棚の本が—している」
３（「さかだちしても」の形で）せいいっぱい、がんばっても。「—しても君には及ばない」</t>
        </is>
      </c>
      <c r="D3229" t="inlineStr">
        <is>
          <t>逆立ちまし；逆立ちさせ；逆立ち死体</t>
        </is>
      </c>
      <c r="E3229" t="inlineStr">
        <is>
          <t>倒立</t>
        </is>
      </c>
      <c r="G3229" t="inlineStr">
        <is>
          <t>逆立ちすれば答えがわかる</t>
        </is>
      </c>
      <c r="H3229" t="n">
        <v>29</v>
      </c>
      <c r="I3229" t="inlineStr">
        <is>
          <t>彼のために人々が空中に逆立ちして、火と煙の文字を書きつづけていた。；なるほどこの二つをもってすれば、あらゆるものは逆立ちする筈である。；逆立ちした螺旋が平均がとれて先端の上に立っておるようなものじゃ。；しかも、今となっては、どう逆立ちしてもやり直しが不可能なのである。；一体どうして、こういう逆立ち的事態になってしまったのであろうか。；私が家のなかへ入ってみると、きっとだれかが隣の部屋で逆立ちしていた。；多くの選手が不得意とする逆立ちの演技をぴたりと決めてみせたのだ。；事故で目茶苦茶になった大型バイクが、エンジンの横に逆立ちしている。；頭の先端には角が1本あり、これを軸に逆立ちし、回転することが出来る。；同じ格好の男は逆立ちの姿勢で壁に貼りつき、足から剥がれて床へ落ちた。；顔はほとんど三角で、こわくて短い顎ひげと逆立ちの鼻ひげがついている。；逆立ちしても何をやっても私は彼女に勝てるわけがないのに、悔しかった。；逆立ちしたような平らな岩の陰に、一軒の木造の小屋の残骸が立っていた。；たとえていうと、逆立ちできる少年は足で立つことがいやになる。；月火はともかく、火憐は小学生の頃、よく逆立ちして学校に行ってたし。；どう逆立ちしたって手に入りっこない四菱帝国総帥の座が我が物になる。；嵐は鉄甲をはめたこぶしのように船尾をうち、巨大な船を逆立ちさせた。；テーブルの上に乗せられそうなものなど、本来なら逆立ちしたって出てこない。；気がつくと、俺は逆立ちをしながら笑顔で結野の頼みごとを了承していた。；記憶力の悪い私には逆立ちしてもそんな天才的芸当はできそうもないから。；しかもこのライバルは、誰がどう逆立ちをしても敵うはずのない相手なのである。；あんた方が逆立ちをしたつて、こんな立派な打紐を見ることは出来なくつてよ!；かといって簡単な機械論では逆立ちしても説明できない幽玄な構造を持っている。；逆立ちも不可能だから、その辺りに悩みがあるのかもしれなかった。；俺はこの先も、逆立ちしたってこの女の子にかなわないんじゃないだろうか?；どう逆立ちしたところで、その旦那と同じようなことはお文にしてやれないからだ。；あくる日から毎日、ひまさえあれば僕は逆立ばかりするようになった。；これでは、逆立ちしたって十時前に美緒の会社へ現われることはできない。；私の父らしい男が逆立ちして、流星のように河底から浮いて来ました。</t>
        </is>
      </c>
      <c r="J3229">
        <f>HYPERLINK("https://www.weblio.jp/content/逆立ち", "词义详情")</f>
        <v/>
      </c>
      <c r="K3229">
        <f>HYPERLINK("https://yourei.jp/逆立ち", "查看例句")</f>
        <v/>
      </c>
    </row>
    <row r="3230">
      <c r="A3230" t="inlineStr">
        <is>
          <t>魚</t>
        </is>
      </c>
      <c r="B3230" t="inlineStr">
        <is>
          <t>成功</t>
        </is>
      </c>
      <c r="C3230" t="inlineStr">
        <is>
          <t>読み方：いお
うお。さかな。
「荒海の怒れる—のすがた」〈源・帚木〉</t>
        </is>
      </c>
      <c r="D3230" t="inlineStr">
        <is>
          <t>魚たち；魚津市；魚支吾；魚群；魚籠</t>
        </is>
      </c>
      <c r="E3230" t="inlineStr">
        <is>
          <t>鱗；フィッシュ；魚肉；魚族；銀鱗</t>
        </is>
      </c>
      <c r="F3230" t="inlineStr">
        <is>
          <t>大きな魚；魚支；熱帯魚；食用魚；小さな魚</t>
        </is>
      </c>
      <c r="G3230" t="inlineStr">
        <is>
          <t>魚類；魚介；魚屋；魚雷発射管；魚雷艇</t>
        </is>
      </c>
      <c r="H3230" t="n">
        <v>29</v>
      </c>
      <c r="I3230" t="inlineStr">
        <is>
          <t>これは顔を鳥や魚につつかれないようにするためだったとみられている。；春が旬の魚とイメージされているが、本当に味が良いのは秋・冬である。；このようなことから川には魚が多く、周囲の人たちの漁場になっている。；竹や木材などを使って、魚などが入りやすく、出にくい構造に作った籠。；かつては、ラスボラ属に分類されていた魚の総称として用いられていた。；しかし、袋に入ることなく網石の下をくぐり抜けて逃げる魚も少なくない。；中国広東州でも、コイ科の魚や他種を合成して巧みに人魚が作成された。；海に囲まれているため魚介類も豊富で、魚やエビなどを使った料理も多い。；また、海水魚は塩湖に生息する魚も含めて塩水魚と呼ばれることもある。；なお、近縁の数亜科にまたがる種類の魚をまとめてプレコと呼んでいる。；幼生は目が普通の魚と同様に左右に分かれて付いており、体も平たくない。；日本は周りを海に囲まれていることもあり、世界有数の魚大国である。；魚臭さを抑える技術も開発され海外への輸出も多くなるとみられる。；そのため生体を見たことがない人には赤っぽい魚として認識されている。；以来その堀跡の池では、魚は全て隻眼である、という伝説が残っている。；そのため、コリドラスのいくつかの種は他の魚の擬態の対象となっている。；更に温和なので他魚との混泳も同程度のサイズの魚となら問題ない。；最初魚の名前もわからない竜三だったが、おしんに従い仕事を覚えていく。；リは空気を呼吸し、ヒトの頭部・腕・生殖器と魚の下半身を持つという。；定住型は主に魚を餌とし、大抵は十数頭の家族群を形成して生活する。；は、人の胸から下が魚になったような姿をしているとされる。；魚を薄く精巧に切った「平作り」などについて次のように記述している。；夏から秋には海岸域で全長10cm足らずの若魚を見ることができる。；現在は、地場の魚の特産化や高級化で活気がある漁港が数多く存在する。；番組の後半には、週代わりで魚を使った料理と釣具を紹介するコーナーもある。；資源量を維持するため親魚から採卵した卵を孵化し稚魚放流が行われる。；この場合、網を打ったらすぐに魚を網のあるほうに追い込まなければならない。；現在作られているしょっつるはハタハタに限らず色々な魚で作られている。；他には、2000年代に入り奇形魚が生まれるようになってきている。</t>
        </is>
      </c>
      <c r="J3230">
        <f>HYPERLINK("https://www.weblio.jp/content/魚", "词义详情")</f>
        <v/>
      </c>
      <c r="K3230">
        <f>HYPERLINK("https://yourei.jp/魚", "查看例句")</f>
        <v/>
      </c>
    </row>
    <row r="3231">
      <c r="A3231" t="inlineStr">
        <is>
          <t>遡る</t>
        </is>
      </c>
      <c r="B3231" t="inlineStr">
        <is>
          <t>成功</t>
        </is>
      </c>
      <c r="C3231" t="inlineStr">
        <is>
          <t>読み方：さかのぼる
［動ラ五（四）］
１流れに逆らって上流に進む。「川を—・る」
２物事の過去や根本にたちかえる。「歴史を—・る」「本源に—・って考える」
[可能]さかのぼれる</t>
        </is>
      </c>
      <c r="D3231" t="inlineStr">
        <is>
          <t>遡る可能性；遡る古い；遡る事永和</t>
        </is>
      </c>
      <c r="E3231" t="inlineStr">
        <is>
          <t>戻る；遡及；溯る；遡及する；逆上る</t>
        </is>
      </c>
      <c r="F3231" t="inlineStr">
        <is>
          <t>少し遡る；更に遡る；遠く遡る；古く遡る；万年遡る</t>
        </is>
      </c>
      <c r="H3231" t="n">
        <v>29</v>
      </c>
      <c r="I3231" t="inlineStr">
        <is>
          <t>たぶんもっとずっと古くまで遡らなければいけなかったのかもしれない。；タイトルにある通り発表順とは逆に、発表を遡るように収録されている。；さらに遡ってヴァイマル時代の作品である可能性を示唆する学者もいる。；しかしこの方法で遡り得るのは、せいぜい一八五〇年くらいまでである。；その起源は相当古くに遡り、人類最古の文化のひとつに数えられている。；第六層から落ちる滝を見ていたタルシャンは時間を遡っている気分だった。；正確な起源は明確となっていないが南北戦争の頃までは遡ることができる。；それからずっと遡って、四年の間私のところへ帰ってきていた亮がいた。；鬼だと観測された時点で遡って、異常出産という過去が形成される訳だ。；人類と向精神性作用のある植物との関係は遥か昔まで遡ることができる。；シベリアに大学を設立する最初の構想が起こったのは1803年に遡る。；どうやら私は立ち読みをしている内に時間を遡ってしまったようです。；中世ヨーロッパに同様のゲームがあり、更に起源は遡るものと思われる。；はるか未来から順繰りに過去の時代へ遡り続けているのかもしれない。；物語では哲也が殺害されるまでの経緯が、時間を遡り明らかにされていく。；遡ると、この症候群は1929年に初めて報告されていた可能性がある。；それこそあのヘンテコな島のところまで記憶を遡らせないとなるまい。；ここはあのときから六年、つまり元の時代から十年半ほど遡った過去だ。；これと同じものを見出すためには、歴史を遡って探らなければならない。；特別継承者の規定により初代より遡った男系男子への相続が可能だった。；そして、この影響をさらに未来のゴシック文学の動きにまで遡っていく。；そういう解釈を妥当とするには、元禄より更に前に遡らなければならぬ。；過去に遡れば、遠野の血族の中で人の血を吸う者も少なくはありません。；純利益だけで三倍近く売り上げたなんて話は二十年遡っても出てこない。；また、その悲観主義は彼の幼年期の出来事に遡っていると見る者もいる。；過去には別の意味で使われていたかもしれないが、それは遡ることはできない。；なお議会はその後、4月20日に戦争の宣言を遡らせる議決を承認した。；意味性以前の言葉の無意識性にまで遡ろうとする前衛的な句風である。；時代を遡って一九一八年のフランスから眺めてみることにする。</t>
        </is>
      </c>
      <c r="J3231">
        <f>HYPERLINK("https://www.weblio.jp/content/遡る", "词义详情")</f>
        <v/>
      </c>
      <c r="K3231">
        <f>HYPERLINK("https://yourei.jp/遡る", "查看例句")</f>
        <v/>
      </c>
    </row>
    <row r="3232">
      <c r="A3232" t="inlineStr">
        <is>
          <t>酒場</t>
        </is>
      </c>
      <c r="B3232" t="inlineStr">
        <is>
          <t>成功</t>
        </is>
      </c>
      <c r="C3232" t="inlineStr">
        <is>
          <t>読み方：さかば
客に酒を飲ませる店。居酒屋やバーの類。</t>
        </is>
      </c>
      <c r="D3232" t="inlineStr">
        <is>
          <t>酒場娘；酒場兼；酒場街；酒場勤め；酒場経営</t>
        </is>
      </c>
      <c r="E3232" t="inlineStr">
        <is>
          <t>サロン；居酒屋；スナック；パブ；バール</t>
        </is>
      </c>
      <c r="F3232" t="inlineStr">
        <is>
          <t>国民酒場；大衆酒場；高級酒場；とある酒場；カラオケ酒場</t>
        </is>
      </c>
      <c r="G3232" t="inlineStr">
        <is>
          <t>酒場放浪記；酒場通り</t>
        </is>
      </c>
      <c r="H3232" t="n">
        <v>29</v>
      </c>
      <c r="I3232" t="inlineStr">
        <is>
          <t>この酒場からほんの僅かゆくと、道が右手へをれて森の中へ入つてをる。；自然彼は、町の酒場を歴訪するのがその日その夜の重大な仕事であった。；反対の方向からおなじ酒場へ走りこんで来たのが、アランだったのです。；酒場を経営するなどして生活したがうまくいかず、最初の妻とも離婚した。；島内には地元の人たち向けの酒場とレストランが数件あるのみである。；酒場が必要とするとおりそっくりそのままの性質をそなえた女の子ですわ。；本来のキャバレーはフランスで発達したダンスホールや舞台のある酒場。；当時の証言ではその作戦本部は騒々しい酒場や売春宿に喩えられていた。；その一方で、収録の際には、立ち飲み酒場風のセットをスタジオに設定。；国境の路にある酒場へ波蘭人が集まつて、もう二日も酒宴を開いてゐる。；そして酒場をでて横町を曲ると、そこが西堀であつたことを覚えてゐた。；ジョンは酒場でチンピラと喧嘩になり、助けに行ったウェスが打たれる。；サンダーソンではロイ・ビーン判事が酒場を運営していたとされている。；酒場に行くとそこでイベントとなって、イベント内の敵選手と対戦。；他の者と話すときは常に酒場でかなりの量を過ごして出入りしてきているように見えた。；売春宿も特に酒場や賭博場と組み合わされたときに大きな利益を上げた。；外へ出た時に目の前を酒場の女主人ヘレンとエミイの馬車が横切っていく。；食糧の購入方法はIは食料品店、それ以外は酒場での購入となっている。；さらに、黒の勇者率いる魔王の兵も酒場に現れ、騒ぎは戦闘へと変わる。；激しい戦闘の舞台となったエルクホーン酒場が再建され当時の位置に今もある。；酒場おんなが交代で1名ずつ過去に吉田類が訪れた酒場を紹介している。；同じような意味で彼は市中の酒場の女たちからも普通の客以上の待遇を受けた。；しかし、酒場で働いたことがグロリアの症状を一層悪化させることとなった。；このイベントでは、多くのバンドが市内の様々な酒場やレストランで演奏を行う。；ところが、彼女のほうは今度は酒場を出なければならなくなった。；盲目のピアニストは酒場で、殺人の計画と思われる会話を耳にしてしまう。；記代子が酒場で働く意志があるとすれば、あの店はよろこんで使うだろう。；プレイヤーはゲーム開始時の酒場で8つある職業から1つを選んでスタート。；それでも伝統的な、一部はとても古くから続くリンゴ酒酒場が残った。</t>
        </is>
      </c>
      <c r="J3232">
        <f>HYPERLINK("https://www.weblio.jp/content/酒場", "词义详情")</f>
        <v/>
      </c>
      <c r="K3232">
        <f>HYPERLINK("https://yourei.jp/酒場", "查看例句")</f>
        <v/>
      </c>
    </row>
    <row r="3233">
      <c r="A3233" t="inlineStr">
        <is>
          <t>酒屋</t>
        </is>
      </c>
      <c r="B3233" t="inlineStr">
        <is>
          <t>成功</t>
        </is>
      </c>
      <c r="C3233" t="inlineStr">
        <is>
          <t>読み方：さかや
１酒を売る店。また、その職業。
２酒の醸造を職業とする家。造り酒屋。
浄瑠璃「艶容女舞衣(はですがたおんなまいぎぬ)」の下の巻の後段「上塩町の段」の通称。半七の妻お園のくどきが有名。</t>
        </is>
      </c>
      <c r="D3233" t="inlineStr">
        <is>
          <t>酒屋さん；酒屋君；酒屋青年；酒屋業；酒屋伊勢</t>
        </is>
      </c>
      <c r="E3233" t="inlineStr">
        <is>
          <t>商人；店員；ベンダー；店番；売り手</t>
        </is>
      </c>
      <c r="F3233" t="inlineStr">
        <is>
          <t>大きな酒屋；鬼熊酒屋；小さな酒屋；忠義酒屋；御用酒屋</t>
        </is>
      </c>
      <c r="G3233" t="inlineStr">
        <is>
          <t>酒屋町；酒屋会議；酒屋通り；酒屋村；酒屋バスストップ</t>
        </is>
      </c>
      <c r="H3233" t="n">
        <v>29</v>
      </c>
      <c r="I3233" t="inlineStr">
        <is>
          <t>私が男蝶に選ばれた婚礼のうち、一軒は私のすぐ隣の家の酒屋であった。；彼らが勝手に忘れている主要なる歴史は、昔は酒屋の無かったことである。；こちらは特に会員制度を取っている訳でも無く、通常の酒屋と変わらない。；ここに三百両あるから、おまえが番頭となって門前で酒屋を開いてくれ。；私は酒屋の子供だったのですが、こうした学問の環境中に育って来たのです。；酒屋は入口付近にあるので、彼女が店に入って来るのがよく見えた。；現在営業する市民酒場の多くは、戦前までの酒屋から転業した店である。；これがなかなかのしっかり者であり、後に独立して酒屋を営んでいた。；まるで酒屋がビールを詰める古樽をさがして回っているみたいなもんさ。；小説の中では、別れた女は酒屋へ嫁いで酒を売つてゐることになつてゐる。；彼は自分が何を考えているか理解するよりも前に、酒屋の角を曲がっていた。；土地の人たち四五人と一しよに小さなガタバスに乗り、酒屋の前でおりた。；父親は酒屋を経営していたが、禁酒法の影響で閉店に追い込まれている。；弥っちゃんや道子ちゃんの親が、酒屋の重要な職員であったからだろうか。；一人の男に打ち勝って、私は意気ようようと酒屋の二階へ帰ってきた。；近所の酒屋の手代が、安兵衛に急を知らせに麻布へ走って行ってくれる。；案じてゐた程でもないと思ふと、直ぐまたあとを酒屋に取りにやつた。；私は火元を二町北の半町程西寄りになつた具清と云ふ酒屋であると知りました。；大きな酒屋で小僧が入り用だというから、そこへ龍雄をやってはどうだ。；村一軒の雑貨屋と米屋兼酒屋、そしてバスの停留所が道沿いに見えた。；この朝ごとの時刻には向河岸では、酒屋の小者の水汲みが始まっていた。；女世帶のくせに、酒屋の一番のお得意で、そりや勘定はきれいでしたよ。；わたしが今立っている酒屋のところにはお鉄牡丹餅の店があった。；酒屋は車まで三往復ほどしたあと、伝票にサインをもらって帰って行った。；酒屋はそれを、自分の店に備えた商品の質に対する挑戦とうけとったのだ。；終ひにあの四つ辻の角の酒屋で聞きましてやつと解りましたんですよ。；酒屋での立ち飲み自体は、江戸時代の風俗画や俳諧等で表現されている。；何だって酒屋の従業員が、山の中で集団自殺などしなければならないのだ?；わたしが今立っている酒屋のところには、おてつ牡丹餅の店があった。</t>
        </is>
      </c>
      <c r="J3233">
        <f>HYPERLINK("https://www.weblio.jp/content/酒屋", "词义详情")</f>
        <v/>
      </c>
      <c r="K3233">
        <f>HYPERLINK("https://yourei.jp/酒屋", "查看例句")</f>
        <v/>
      </c>
    </row>
    <row r="3234">
      <c r="A3234" t="inlineStr">
        <is>
          <t>逆らう</t>
        </is>
      </c>
      <c r="B3234" t="inlineStr">
        <is>
          <t>成功</t>
        </is>
      </c>
      <c r="C3234" t="inlineStr">
        <is>
          <t>読み方：さからう
［動ワ五（ハ四）］
１物事の自然の勢いに従わないで、その逆の方向に進もうとする。「風に—・って進む」「運命に—・って生きる」「時流に—・う」
２目上の人の意見などに従わないで、反抗する。はむかう。たてつく。「親に—・って進学する」「命令に—・う」「神の意思に—・う」
→背(そむ)く［用法］
[可能]さからえる</t>
        </is>
      </c>
      <c r="D3234" t="inlineStr">
        <is>
          <t>逆らうまい；逆らう気配もなく；逆らう者たち</t>
        </is>
      </c>
      <c r="E3234" t="inlineStr">
        <is>
          <t>反対；向かう；抵抗；対抗；向う</t>
        </is>
      </c>
      <c r="F3234" t="inlineStr">
        <is>
          <t>時に逆らう</t>
        </is>
      </c>
      <c r="H3234" t="n">
        <v>29</v>
      </c>
      <c r="I3234" t="inlineStr">
        <is>
          <t>祖父に逆らっても無駄なのはわかっていたので、あたしは条件を出した。；体にも心にも力が入って、いつもいつも何かに逆らいながら生きていた。；別に逆らうつもりだったわけではなかったので俺は頷いて立ち上がった。；誰も、彼女には逆らえず、彼女の意志のみが法律となるような新世界だ。；彼の心は、多少逆らいながらもあれかこれかと一時間もの間迷っていた。；彼女に逆らえば、次は自分がいじめられることが目に見えているからだ。；お医者様のおいいつけに、逆らうようなことばかりしておいでになって!；声に不満がこもっていたが、逆らうようなふりはさすがに見せなかった。；無理やりに女にされたのだが、お筆も最後まで逆らうつもりはなかった。；逆らって回答を催促したら気を悪くするか軽く見られるかのどちらかだ。；そうして彼はそれに逆らってこそ働いたが、そのためには働かなかった。；でも神様に絶対逆らうつもりでいれば、そうそう変なことにはならない!；しかし、それは、定められた運命に逆らい続けることのように思われた。；だから、このわたしとても天の命に逆らって彼を見捨てなどはしません。；そこは敵の攻撃に逆らって渡ることができるような場所ではないと認識した。；ある道に沿った の積分はその道に沿って に逆らってされた仕事である。；彼らは風の冷たさに逆らって燃えている車からの熱を感じることができた。；女神に逆らって破滅した男たちは太古の時から何人も生じたのであろう。；つまり、自分の主人であるシリウスの直接の命令に逆らうことはできぬ。；お言葉に逆らうことが致しにくいように思われるための御返事なのです。；そういう話を聞くたびに、私は自然の理に逆らうことの怖さを思うのだ。；その上で、何があっても決して中大兄に逆らわないようにと忠告された。；そうした人の流れに逆らってみたらどうなるだろうか、とふと思った。；風に逆らって進むことも、あんなふうに方向を変えることもありません。；多いなる天数の前には、たかが人間一匹、逆らうことなどできはしない!；出口に向かって殺到する観客に逆らって、私は舞台の方に進んでいった。；とは言え勿論逆らう気にもなれず、ぼくはドアを開けて、車から降りる。；戦士の力に逆らって行動を起こすには、大輔の力はあまりにも弱かった。；それに逆らうような行動をとれば、危険かも知れなかったからである。</t>
        </is>
      </c>
      <c r="J3234">
        <f>HYPERLINK("https://www.weblio.jp/content/逆らう", "词义详情")</f>
        <v/>
      </c>
      <c r="K3234">
        <f>HYPERLINK("https://yourei.jp/逆らう", "查看例句")</f>
        <v/>
      </c>
    </row>
    <row r="3235">
      <c r="A3235" t="inlineStr">
        <is>
          <t>盛り</t>
        </is>
      </c>
      <c r="B3235" t="inlineStr">
        <is>
          <t>成功</t>
        </is>
      </c>
      <c r="C3235" t="inlineStr">
        <is>
          <t>読み方：もり
［名］
１盛ること。また、盛った分量。「飯の—がよい」
２「盛り蕎麦(そば)」の略。
３「石盛(こくもり)」の略。
［接尾］助数詞。皿や茶碗などに盛ったものを数えるのに用いる。「どんぶり飯二(ふた)—」</t>
        </is>
      </c>
      <c r="D3235" t="inlineStr">
        <is>
          <t>盛るべき(2%)；盛るべく</t>
        </is>
      </c>
      <c r="E3235" t="inlineStr">
        <is>
          <t>成功；発展；繁栄；伸びる；振興</t>
        </is>
      </c>
      <c r="F3235" t="inlineStr">
        <is>
          <t>咲き盛る</t>
        </is>
      </c>
      <c r="H3235" t="n">
        <v>29</v>
      </c>
      <c r="I3235" t="inlineStr">
        <is>
          <t>間をおいて、もう一台バスが同じような叫びを盛って上野の方へ走った。；現在のような料理ではなく、高盛りになったご飯などであったとされる。；すぐここを抜けて、薬を盛られた男が意識を回復したか確かめたかった。；したがって今日この書に盛られているとおりの思想を持ってはいない。；寄せ集めた砂や土を二列に盛りまして、その中へ水を流しては遊びました。；はいって来たのは下女で、十能に火を山のように盛ったのを持っている。；遊び盛りのお雪の子供等は表の入口を出たり入ったりしつつあった。；いろいろの料理が皿に盛って出されたので、二人はそれを食べました。；行きさえしなければ薬も盛らん代りに毒も進めぬ訳だから危険はない。；皿の上には盛られたピラフの山のちょうど半分がきれいに残っていた。；そうでなくても、突然巨大化したり毒を盛ったりすることはままある。；ユリシイズにも、色様々の音が、一杯に盛られてあった様に覚えている。；ユリシイズにも、色様々の音が、一杯に盛られてあつた様に覚えてゐる。；ある女が夫に毒を盛って亡き者にし、そのすぐ後に別の男と結婚する。；この話で夕食会は盛り上ったが、その時はパーティの席での冗談であった。；食事が持ってこられたが、彼は皿に盛られたものをほとんど口にしなかった。；何故なら誰かおれに悪恵を持つ者が、毒を盛る可能性があるからだそうだ。；以上の四人は私の西町時代の困難盛りの時の弟子で最も古い人でありました。；斜面を削った土を盛って二台止められる駐車場と十五坪の庭が確保できた。；昭和の時代、東京主流の文化の中で地方の文化を盛り立てる事に努力した。；何となれば、その中に盛られた真理は、彼等には真理でないからである。；それからだそうですな、水商売のうちが入口に塩を盛るようになったんは。；そうして盛って出すが、盆は用いないで、椀の底の方を手で持って出す。；あの女がおまえを黙らせるために、毒を盛るなんてことはできやしない。；それに、僕の皿に盛ってある料理に較べると見劣りがするじゃあないか。；いかにも若夫婦らしい小ぎれいな器に盛ってあって、コップに水が一杯。；本来郷土料理である為、イクラの盛り方に各家庭で若干のちがいがある。；その天一も、父親が死んだのは、おれに一服盛られたせいだとは知らぬ。；跡継ぎを道頼にしたことを根に持ったあんたらは、大宗主に毒を盛った。</t>
        </is>
      </c>
      <c r="J3235">
        <f>HYPERLINK("https://www.weblio.jp/content/盛り", "词义详情")</f>
        <v/>
      </c>
      <c r="K3235">
        <f>HYPERLINK("https://yourei.jp/盛り", "查看例句")</f>
        <v/>
      </c>
    </row>
    <row r="3236">
      <c r="A3236" t="inlineStr">
        <is>
          <t>下がる</t>
        </is>
      </c>
      <c r="B3236" t="inlineStr">
        <is>
          <t>成功</t>
        </is>
      </c>
      <c r="C3236" t="inlineStr">
        <is>
          <t>読み方：さがる
［動ラ五（四）］
１
㋐物の上端が固定され、他の端が下へ向かう。たれさがる。ぶらさがる。「棚からヘチマが—・っている」「つららが—・る」
㋑物の一端が他の端よりも下へ向かう。垂れる。「目尻が—・る」「—・ったまゆ」
２高い所・位置から低い所・位置へ移る。位置が下の方になる。「ダムの水位が—・る」「地盤が—・る」「靴下が—・る」⇔上がる。
３今までよりも低い段階に移る。低下する。
㋐位・階級が低くなる。等級・順序などが下の方になる。「地位が—・る」「ランクが—・る」⇔上がる。
㋑価値・値段・評価などが低くなる。「人気が—・る」「業績が—・る」「質が—・る」「物価が—・る」⇔上がる。
㋒力・技量・働きなどが劣った状態になる。「腕が—・る」「能率が—・る」⇔上がる。
㋓程度・度合いが低くなる。「気温が—・る」「熱が—・る」⇔上がる。
４
㋐身分の高い人の前から退出する。「御前を—・る」
㋑公的な場所や主人のいる所などから退く。「控室に—・って待つ」「奉公人が宿に—・る」
㋒《内裏のあった北と反対の方向へ行くところから》京都で、南へ行く。⇔上がる。
５官庁などから金銭や許可などが与えられる。下付される。おりる。「恩給が—・る」「旅券が—・る」
６後ろへ移動する。後ろへ退く。「白線の内側まで—・ってお待ち下さい」
７時が移る。時が過ぎる。「時代が—・って明治となる」
「昼少し—・る頃より雨となッて」〈二葉亭・浮雲〉
８遅れる。落伍する。
「—・らう者をば弓の弭(はず)に取り付かせよ」〈平家・四〉
[可能]さがれる</t>
        </is>
      </c>
      <c r="D3236" t="inlineStr">
        <is>
          <t>下がる可能性</t>
        </is>
      </c>
      <c r="E3236" t="inlineStr">
        <is>
          <t>減少；低下；落ちる；後退；下る</t>
        </is>
      </c>
      <c r="F3236" t="inlineStr">
        <is>
          <t>繰り下がる；大きく下がる；吊り下がる；飛び下がる</t>
        </is>
      </c>
      <c r="H3236" t="n">
        <v>29</v>
      </c>
      <c r="I3236" t="inlineStr">
        <is>
          <t>絵画用として使用されるようになったのはこれよりさらに時代が下がる。；イベントなどでレベルが下がってもこの方法で再び上げることも可能。；船が下がる時には、消費された水が失った位置エネルギーが考慮される。；同時に輸出収入の元である西欧市場も混乱し、取引量がさらに下がった。；発射する度に反作用で後ろへ下がる為、そのまま落ちて行くこともある。；雨・曇りの日にあっては能力が下がるので、単独での設置は現実的でない。；どうやら玄関のほうは天井が下がらなかったかわりに地中に沈んだらしい。；衝突エネルギーの宇宙放出が続き、45億年前には地球温度は下がった。；何事かと刑務官が扉から顔を出したが、マナガが手で制して下がらせた。；前半終了間際で交代をしたときは目に涙を浮かべながらベンチに下がった。；小脳の筋紡錘への制御に異常が生じて筋トーヌスが下がるとされている。；しかし金銭面での待遇は大幅に下がったため、生活に苦慮したともいう。；父親がそのうしろに乗るために、彼は下がらなければならなかった。；ワクチンや特効薬はないため熱が下がるのを待つ対症療法が中心である。；クモクモーン自体の能力は全般的に下がったが、新たに雷攻撃を覚えた。；相乗り選挙が行われると投票率が下がることは経験的に知られている。；安全な場所までは、どれぐらい下がれば良いのかも知っておきたいし。；その秤の下がった方の皿には裸の人間が、上がった方には悪魔が描かれている。；発病した日から二十日の日が経ったが、モイラの熱は下がらなかった。；その少年の形をしたトーチは、ラミーを後ろにかばって下がらせている。；すでに放射線値は安全なものに下がっていると教育委員会が発表した。；したがって失速すると機首が下がるような設計の方がより安全である。；だが、それじゃあ溜飲が下がらねえし、そもそもそんなことはできねえ。；夏に気温が45を超えることや冬に気温が氷点下まで下がることもある。；農産物価格は劇的に下がったものの、米国の農業生産高は増大し続けた。；ただ、胃が下がっているだけで何ら自覚症状がない場合は病気ではない。；少し時代は下がるが戦国時代の墓から筆の実物が発見されている。；現在ではこれらは農業用の目的の為に生産されており、産出量は下がっている。；低温の際にも周囲ほどには温度が下がらないことがわかっている。</t>
        </is>
      </c>
      <c r="J3236">
        <f>HYPERLINK("https://www.weblio.jp/content/下がる", "词义详情")</f>
        <v/>
      </c>
      <c r="K3236">
        <f>HYPERLINK("https://yourei.jp/下がる", "查看例句")</f>
        <v/>
      </c>
    </row>
    <row r="3237">
      <c r="A3237" t="inlineStr">
        <is>
          <t>盛ん</t>
        </is>
      </c>
      <c r="B3237" t="inlineStr">
        <is>
          <t>成功</t>
        </is>
      </c>
      <c r="C3237" t="inlineStr">
        <is>
          <t>読み方：さかん
［形動］［文］［ナリ］《「さかり」の音変化》
１勢いがいいさま。「—な声援がとぶ」「—に燃える」「食欲が—だ」
２人が最も元気な時期にあるさま。気力などが充実しているさま。「人生の—な時代」「老いてますま—だ」「血気—」
３盛大に行われるさま。繁盛しているさま。また、広く行われるさま。「スポーツの—な学校」「—な歓迎会」「貿易が—になる」「欧米ではサッカーが—だ」
４積極的に繰り返し行われるさま。熱心。「学者の間で—な議論が交わされた」</t>
        </is>
      </c>
      <c r="D3237" t="inlineStr">
        <is>
          <t>盛んである(10%)；盛んであり(4%)；盛んな地域；盛んに用いられ；盛んな土地</t>
        </is>
      </c>
      <c r="E3237" t="inlineStr">
        <is>
          <t>元気；積極的；活発；壮；精力的</t>
        </is>
      </c>
      <c r="F3237" t="inlineStr">
        <is>
          <t>盛んに行はれ；盛んな土地柄；盛んな笑声；盛んな土地柄；盛んな拍手</t>
        </is>
      </c>
      <c r="H3237" t="n">
        <v>29</v>
      </c>
      <c r="I3237" t="inlineStr">
        <is>
          <t>社交ダンスも盛んで、そのための音楽も良く演奏されていたようである。；多くの川では漁業も盛んであり、重要な食料供給源の一つとなってきた。；初期の鉄道模型はこのタイプの製品が多く、特にアメリカで盛んである。；公園内には名古屋テレビ塔もあり、各種イベントが盛んに行われている。；この時代では国司職を求めて戦国大名が朝廷へ盛んに献金などを行った。；現在でも田園風景が多く残っており、市内でも農業が盛んな区の一である。；江戸時代初期、各藩は隣接する藩との間で境界争いが盛んとなった。；香港やマカオではしばしば食人事件が噂され、盛んに作品に翻案された。；その後世界各国で書かれているが、アメリカと日本で特に盛んである。；ウガンダではムセベニ政権の成立以後、県の増設が盛んに行われてきた。；江戸時代に創作材料として盛んに利用されたことで、高い知名度を得た。；鎌倉時代以降になると、音便は口語では盛んに用いられるようになった。；インドでは珍しく豚肉の消費が盛んで、リングィーサなども食べられる。；第十一代天皇の活目入彦は諸国に多くの池溝を開いて農業を盛んにした。；トランプが再び盛んに行われるようになるのは明治時代になってからである。；戦後の凱旋行事も盛んであり、しばらくすると各地に記念碑が建てられた。；また同時に、全国紙の地方紙への委託印刷も盛んに行われるようになった。；また、この時期蝦夷の間では擦文文化も盛んであったといわれている。；最高裁判所は、他国の裁判官や学者などとの交流を盛んに行っている。；近年ではDNAの比較に基づく系統推定が盛んに行われている。；数理社会学や合理的選択理論の手法を用いた研究も盛んになっている。；このほかクレタ島のミノア文明も、エジプトと盛んに交易を行っていた。；工業が盛んであり、市の郊外には多くの重化学工場が立ち並んでいる。；舟運を通じた江戸との交流も盛んで、物のほか人や情報も多く行き交じった。；国王や両班の参列の下に燃灯会や八関会などの仏教儀式が盛んに行われた。；備中では綿作が広まり、江戸時代後期になるとその加工も盛んになった。；現在でもフリマアプリやネットオークションなどで盛んに取引されている。；文化形態は大陸のものと全く同じで、交易も盛んに行われている。；非常に古い歴史を持つゲームであり、様々な媒体を通して盛んである。</t>
        </is>
      </c>
      <c r="J3237">
        <f>HYPERLINK("https://www.weblio.jp/content/盛ん", "词义详情")</f>
        <v/>
      </c>
      <c r="K3237">
        <f>HYPERLINK("https://yourei.jp/盛ん", "查看例句")</f>
        <v/>
      </c>
    </row>
    <row r="3238">
      <c r="A3238" t="inlineStr">
        <is>
          <t>先</t>
        </is>
      </c>
      <c r="B3238" t="inlineStr">
        <is>
          <t>成功</t>
        </is>
      </c>
      <c r="C3238" t="inlineStr">
        <is>
          <t>読み方：さき
１元から遠い、突き出ている部分。先端。突端。「岬の—」「針の—で突く」「鼻の—」
２長いものの末端。はし。「ひもの—」
３続いているものなどの一番はじめ。先頭。「列の—」「みんなの—に立って歩く」
４ある点や線を基準にして、その前方。「仙台から—は不通」「三軒—の家」「駅は目と鼻の—だ」「—を行く車に追いつく」
５金額・数量などが、ある額・量を超えること。「千円から—の品はない」
６継続している物事の残りの部分。「話の—を聞こう」「—を急いでいる」
７行き着く所。目的の場所。「—へ着いてからのことだ」「行く—」
８未来のある時点。将来。前途。「—を見通しての計画」「—の楽しみな青年」
９時間的に前。あることより前。「代金を払うのが—だ」「ひと足—に帰る」⇔あと。
10現在からそう遠くない過去。以前。「—の台風の被害」「—の大臣」
11順序の前の方。「名簿の—の方に出ている」「だれが—に入りますか」「お—にどうぞ」⇔あと。
12優先すべき事柄。「地震のときは何より火を消すのが—だ」「あいさつより用件が—だ」
13交渉の相手方。先方。「—の出方しだいだ」
14相場で、「先物」の略。
15行列の先導をする役。さきおい。さきばらい。
「—なるをのこども、疾(と)う、促せや、など行ふ」〈かげろふ・上〉
16「先駆け」の略。先陣。
「内々は—に心を掛けたりければ」〈平家・九〉
17「幸先(さいさき)」の略。
「其様な—の悪い事をおしゃるぞ」〈虎寛狂・河原太郎〉
[下接語]明かり先・宛(あて)先・後(あと)先・売り先・売れ先・襟先・縁先・生い先・老い先・衽(おくみ)先・櫂(かい)先・肩先・門(かど)先・気先・切っ先・口先・下馬先・玄関先・剣先・小手先・此(こ)の先・幸(さい)先・潮先・仕事先・舌先・正(しょう)先・太刀先・旅先・使い先・筒先・勤め先・爪(つま)先・褄(つま)先・手先・出先・手羽先・得意先・嫁ぎ先・突(とつ)先・届け先・供先・取引先・庭先・軒先・刃先・鼻先・鼻の先・馬場先・春先・筆先・舳(へ)先・ペン先・棒先・矛(ほこ)先・火(ほ)先・穂先・真っ先・水先・店先・胸(むな)先・目先・矢先・槍(やり)先・行き先・行く先・指先（ざき）先先</t>
        </is>
      </c>
      <c r="D3238" t="inlineStr">
        <is>
          <t>先ほど(3%)；先廻り；先団；先っぽ；先きの</t>
        </is>
      </c>
      <c r="E3238" t="inlineStr">
        <is>
          <t>後；その後；最後；以降；のち</t>
        </is>
      </c>
      <c r="F3238" t="inlineStr">
        <is>
          <t>メートル先；得意先；行き先；疎開先；枝先</t>
        </is>
      </c>
      <c r="G3238" t="inlineStr">
        <is>
          <t>先輩；先端；先頭；先発；先行</t>
        </is>
      </c>
      <c r="H3238" t="n">
        <v>29</v>
      </c>
      <c r="I3238" t="inlineStr">
        <is>
          <t>理論的に明解であり扱いも容易であるため、形式的な説明を先に述べる。；歴史的に跨座式より古く、商業的に成功したのも懸垂式の方が先である。；その先には、ロボットが自分で手術をできるようになる可能性もある。；地下10階に下り先へ進む彼らの前に村正を手にした侍が立ちはだかる。；これらの要因から攻撃先が変化し、以前ほどは攻撃されなくなった。；いずれにしてもその変換は、翻訳元と翻訳先の言語に特化したものになる。；最後は下関駅の先で海の下に潜って、再び地上に出るとそこは九州である。；譲渡は譲渡先がアカデミック対象ユーザーに該当している場合のみ可能。；この先百合ヶ丘駅手前まで津久井道と歩道一つを挟んで完全に並行する。；乗り入れ相手先の部分でのみ使用され国鉄区間では採用・使用されていない。；現在の駅はその先の上り勾配の途中にあり、駅のすぐ西側はトンネルである。；主人公たちと同時に船も移動先の城や町の近くへ移動する。；紹介経由は連携先の病院からの紹介で入院するものをいう。；先の不正会計事件は世界金融危機時の状況までさかのぼって調べられた。；また、生徒の修学旅行先の不祥事から修学旅行を中止とした学校もある。；御油から先はまたほとんど測量を行わず、2月24日に大坂に着いた。；成果を得たのはニュートンが先だが、出版はライプニッツが先だった。；その為、婚姻は親側の承認が先に出ないと成立させることが不可能となっている。；イスラエルはで、先の1600戸を合わせ5万戸の入植を計画している。；また、サブルーチンの定義部分だけを先に記述する方法で解決した。；奇遇にも、父が勤務していたプラハの歩兵第102連隊に配属先された。；ここから先は標高は低いものの軽い峠越えであり、山を周り込むように走る。；また一部の高校では進学先理解のために大学や研究施設を見学先とする例もある。；彗星にはその彗星を独立発見した人の名前が先着順で3名までつけられる。；越後湯沢方面からの普通列車はすべて一駅先の長岡駅まで運行されている。；後続列車を先に発車させてしまった場合も同様の対応がとられる。；幼少時から漫画よりも先に映画好きであり、初期の作品に大きな影響が見られる。；ただ、運用や行先の変更が主で、線内での時刻変更は基本的にない。；なお、所属先がない選手は登録先の陸上競技協会が所属先として記載される。</t>
        </is>
      </c>
      <c r="J3238">
        <f>HYPERLINK("https://www.weblio.jp/content/先", "词义详情")</f>
        <v/>
      </c>
      <c r="K3238">
        <f>HYPERLINK("https://yourei.jp/先", "查看例句")</f>
        <v/>
      </c>
    </row>
    <row r="3239">
      <c r="A3239" t="inlineStr">
        <is>
          <t>詐欺</t>
        </is>
      </c>
      <c r="B3239" t="inlineStr">
        <is>
          <t>成功</t>
        </is>
      </c>
      <c r="C3239" t="inlineStr">
        <is>
          <t>読み方：さぎ
１他人をだまして、金品を奪ったり損害を与えたりすること。「—にあう」「寸借—」「振り込め—」
２他人を欺く行為。民法96条では「相手方に対する意思表示について第三者が詐欺を行った場合においては、相手方がその事実を知っていたときに限り、その意思表示を取り消すことができる」とする。→詐欺罪</t>
        </is>
      </c>
      <c r="D3239" t="inlineStr">
        <is>
          <t>詐欺師(6%)；詐欺的(5%)；詐欺容疑(4%)；詐欺まがい；詐欺漢</t>
        </is>
      </c>
      <c r="E3239" t="inlineStr">
        <is>
          <t>策；企て；虚偽；ごまかし；策略</t>
        </is>
      </c>
      <c r="F3239" t="inlineStr">
        <is>
          <t>サポート詐欺；証券詐欺；不動産詐欺；金融詐欺；詐欺犯</t>
        </is>
      </c>
      <c r="G3239" t="inlineStr">
        <is>
          <t>詐欺罪；詐欺事件；詐欺行為；詐欺グループ；詐欺被害</t>
        </is>
      </c>
      <c r="H3239" t="n">
        <v>29</v>
      </c>
      <c r="I3239" t="inlineStr">
        <is>
          <t>僞善の特に憎むべきはその矛盾が詐欺によつて成立してゐるからである。；誰かに虚偽を納得させるのは、現実には詐欺と明白な虚偽の言葉である。；彼の破産後すぐに、 米国郵便局は郵便詐欺のために彼を調査し始めた。；年々増加する魔術ならびにまじない・詐欺に対応するために創設された。；サポート詐欺は、古くは2008年に発生したことが確認されている。；そこへ、元詐欺師のディーンが現れ、彼らに協力すると名乗りを上げた。；こうした詐欺的商法を行う会社の一方で、他の事業を行う会社も設立された。；同委員会は、調査の結果、詐欺的で不正な行為を発見したと表明した。；詐欺以外にも武器の密売や売春等にも彼の組織は関わっているとみられている。；後に本事件は詐欺を行った者が逮捕され、現妻の名誉も回復した。；有名人の関係者が詐欺を行ったことからニュースで大きくとりあげられた。；この事件で警察は、少年ら二人を強盗致傷、窃盗、詐欺の罪で逮捕した。；地名を読み間違えたことで詐欺犯罪が発覚し、逮捕された事例もある。；然し話はホテルを建てる土地詐欺で住民達を騙す記事を書かせる為だった。；詐欺的心裡留保の場合は相手方の保護を図る解釈をすべきと考えられている。；メールレディで過去に行われた代表的な詐欺のケースを紹介する。；詐欺であることに気づいたときにはすでに連絡がつかなくなっている場合も多々ある。；最近の傾向としては、詐欺で検挙され、入所する少年が多くなっている。；オークション詐欺と同様、様々な手法で詐欺的な行為が行われる場合がある。；フレディはローレンスが才能も経験もある詐欺師だと知り、弟子入りする。；義捐金について便乗した詐欺が発生したほか様々な事件が起きている。；彼が詐欺を明らかにした後、彼は自分の死を悲しんでいないために妻を罵倒した。；「必ず相手が見つかります」と宣伝していたのだから、これは詐欺だ。；母親は後に、別件で詐欺を行ったとして逮捕され有罪が確定している。；ボイルは彼の事務所でスペイン人と共に、詐欺と共謀の罪で逮捕された。；恒藤は詐欺の可能性が高い話だと感じながらも、何か引っかかるものが残った。；芸能界デビューし同事件や詐欺で逮捕された石元太一は後輩にあたる。；そのようなサイトの多くはサイト自体が詐欺である。；研究者自身の詐欺説については以下のように指摘している。</t>
        </is>
      </c>
      <c r="J3239">
        <f>HYPERLINK("https://www.weblio.jp/content/詐欺", "词义详情")</f>
        <v/>
      </c>
      <c r="K3239">
        <f>HYPERLINK("https://yourei.jp/詐欺", "查看例句")</f>
        <v/>
      </c>
    </row>
    <row r="3240">
      <c r="A3240" t="inlineStr">
        <is>
          <t>先送り</t>
        </is>
      </c>
      <c r="B3240" t="inlineStr">
        <is>
          <t>成功</t>
        </is>
      </c>
      <c r="C3240" t="inlineStr">
        <is>
          <t>読み方：さきおくり
［名］(スル)物事の処理・解決などを、先に延ばすこと。「審議を次期に—する」</t>
        </is>
      </c>
      <c r="D3240" t="inlineStr">
        <is>
          <t>先送りすること(5%)；先送りされる(4%)；先送り派</t>
        </is>
      </c>
      <c r="E3240" t="inlineStr">
        <is>
          <t>延期；伸ばす；猶予；保留；遅らせる</t>
        </is>
      </c>
      <c r="F3240" t="inlineStr">
        <is>
          <t>黒字化目標先送り派</t>
        </is>
      </c>
      <c r="H3240" t="n">
        <v>29</v>
      </c>
      <c r="I3240" t="inlineStr">
        <is>
          <t>問題がほんの少しの期間、先送りされたに過ぎないことはわかっている。；俺たちの沈黙は、桜が料理を口にするまで問題を先送りにしたにすぎない。；私は考えなければならないことを、約五年間先送りにするつもりでいた。；こんな未来を見るために、イタリア行きを先送りしてきたのではない。；考えるのはこの仕事が終わってからにしようと、私は問題を先送りしていた。；そうやって食べるのを先送りにしながら、ぼくは一つの質問をした。；五十歩百歩、迷惑をかけるのがほんの少し先送りになるだけではないか。；結婚や親になることを先送りしたり、完全に拒絶する若者の数が増えている。；ちょっと我慢すれば済むのなら問題を先送りすることを常に選んだ。；こんな疑問はずっと昔からあったのに、僕たちは考えることを先送りにしてきた。；俺はといえば、そんな先のことは文字通り先送りするがままに任せている。；少しでも先送りにしたいという気持ちから逃れることはできなかった。；真相を先送りにしたままでは、もう一歩たりとも先には進めなかった。；また、研究開発の途上において以下に挙げるような問題が先送りされた。；もし承諾するのなら、あらゆる予定を先送りにしなくてはならない。；その疑問はとりあえず先送りして、リーファは回復魔法の詠唱に入った。；「しばらくは静観するしかないのか」 大河原得意の先送り発言だった。；この秘密は後の世代に先送りされることになるだろう。；バルントルプまでの再開が計画されたが、長いスパンで先送りされた。；このため、やがて先送りできなくなった時、矛盾はいっそう強く暴発する。；まだ時間に余裕はあるが、その後のスケジュールがあるので先送りしたくない。；いずれは向き合わねばならない問題だが、とりあえず先送りにしたかった。；彼女が弁護士を見つけたあとも、裁判所は裁判を数ヶ月にわたって先送りにした。；歯医者に行くのを延ばすようなもので、先送りすれば事態が悪化するだけだ。；結局反対意見が多いため、日本では2年後に結論を先送りすることに決めた。；最初にお前が問題を先送りしてきたときから、すべてはこの結末へ向かって動き始めた。；しかし、差し迫った危機があってもとりあえず問題は先送りにするタイプ。；キャピアム〟 最後の連打はこの知らせを先送りするよう命じていた。；こうしてルイ・ブランの念願であったの設置は20世紀に先送りとなった。</t>
        </is>
      </c>
      <c r="J3240">
        <f>HYPERLINK("https://www.weblio.jp/content/先送り", "词义详情")</f>
        <v/>
      </c>
      <c r="K3240">
        <f>HYPERLINK("https://yourei.jp/先送り", "查看例句")</f>
        <v/>
      </c>
    </row>
    <row r="3241">
      <c r="A3241" t="inlineStr">
        <is>
          <t>さきおととい</t>
        </is>
      </c>
      <c r="B3241" t="inlineStr">
        <is>
          <t>成功</t>
        </is>
      </c>
      <c r="C3241" t="inlineStr">
        <is>
          <t>読み方：さきおととい
おとといの前の日。さきおとつい。いっさくさくじつ。</t>
        </is>
      </c>
      <c r="D3241" t="inlineStr">
        <is>
          <t>さきおとといのことでし(14%)</t>
        </is>
      </c>
      <c r="H3241" t="n">
        <v>21</v>
      </c>
      <c r="I3241" t="inlineStr">
        <is>
          <t>昨日も、おとといも 又さきおとといも 私は部屋から声をきいた。；さきおとといからの流連でも、自分が恐れていたほどに金は懸からなかった。；さきおとといの晩、セワードとわしと二人でここへきたのだ。；昨日と一昨日、一昨日とさきおとといの区別もつかないような毎日を送っていたのだから。；きのうもおとといも、さきおとといも、はいり込んでいたというが本当かえ。；では、自分のヒゲを抜けばよいではないか、と人はいうかもしれないが、それは、さきおととい抜いてしまった。；あれはさきおとといのことでしたわ。；あれはさきおとといのことでした。；さきおとといの晩、お湯から出ると大いそぎで服を着た。；ついさきおとといは、あの河波に押し流される船の中で、幸福を渇望する思いに悩んだではないか?；シベリア鉄道は、一週のうちきまった日にしか通っていないのだから、さきおとといのように多計代からの手紙だけが一通別に届くということはあり得なかった。；ガーギンは椅子を取って、私と向い合わせに腰を下ろすと、 「さきおととい、」無理な笑い方をして、吃りがちに口を切りました。；さきおとといの二十九日の夜から、そこは右大臣信長の宿営となり、彼らにとっても、この日本で一番怖い人間が、つい目と鼻のさきに逗留しているからである。；さきおとといの雨の闇夜、大岡家を飛び出して、二人とも、濡れ鼠の姿で、懐中のあてもなく、ここへ揚がッてしまってからの、続きであった。；さきおととい家を出た亭主が、おとといの朝、蔵前の旅人宿で剃刀でのどを切られて殺されていたのが発見されて、それが持物から後藤吉蔵であることがやっとわかって、警察から通報されたのがけさのことだ。；ビールを仕込み、そのうえさきおとといの新聞を手に入れて、彼は九柱戯場にゆき、ベンチに腰をおろして、とても落ち着いた、きちょうめんなふうに、楽しみはじめた。；「はて、それはいつのことだね」 「さあ、あれはたしか戌の日でしたから、さきおとといのことでしたかね」 と、なにげなくいってのけてから、さっとかわった千紫の顔色に、佐兵衛はしまったと心のうちで叫んだ。；大見世ではめったにみられない派手な喧嘩が、さきおととい、江戸町一丁目の扇屋の座敷でおこった。；なお、一昨日の一日前は、「一昨昨日」と書いて、「さきおととい」と読むが、現代の中国語では「大前天」と書くことが多い。；さきおとといの雨は、つめたかった。；さきおとといも。</t>
        </is>
      </c>
      <c r="J3241">
        <f>HYPERLINK("https://www.weblio.jp/content/さきおととい", "词义详情")</f>
        <v/>
      </c>
      <c r="K3241">
        <f>HYPERLINK("https://yourei.jp/さきおととい", "查看例句")</f>
        <v/>
      </c>
    </row>
    <row r="3242">
      <c r="A3242" t="inlineStr">
        <is>
          <t>さきおととし</t>
        </is>
      </c>
      <c r="B3242" t="inlineStr">
        <is>
          <t>成功</t>
        </is>
      </c>
      <c r="C3242" t="inlineStr">
        <is>
          <t>読み方：さきおととし
おととしの前の年。いっさくさくねん。</t>
        </is>
      </c>
      <c r="H3242" t="n">
        <v>4</v>
      </c>
      <c r="I3242" t="inlineStr">
        <is>
          <t>クミ そりや、さきおととし来た手紙に書あて有つた事ぢやろが。；いま思うと、さきおととしの昭和三十年の四月、松屋でひらかれた「横山大観米寿記念名作展」でお会いしたのがさいごになった。；「さきおととしは、民研ができたばかりで、まだ『蛭女山祭』には参加していなかったはずよ」 折り紙のカブト売り、紙芝居と、やることがばらばらだ。；現に、時に誇る藤原びとでも、まだ昔風の夢に泥んで居た南家の横佩右大臣は、さきおととし、太宰員外帥に貶されて、都を離れた。</t>
        </is>
      </c>
      <c r="J3242">
        <f>HYPERLINK("https://www.weblio.jp/content/さきおととし", "词义详情")</f>
        <v/>
      </c>
      <c r="K3242">
        <f>HYPERLINK("https://yourei.jp/さきおととし", "查看例句")</f>
        <v/>
      </c>
    </row>
    <row r="3243">
      <c r="A3243" t="inlineStr">
        <is>
          <t>先々</t>
        </is>
      </c>
      <c r="B3243" t="inlineStr">
        <is>
          <t>成功</t>
        </is>
      </c>
      <c r="C3243" t="inlineStr">
        <is>
          <t>読み方：さきざき
１これから過ごす遠い先。行く末。のちのち。「—のことを考える」
２出かける場所場所。「行く—で歓迎を受けた」
３以前。まえまえ。「—から周到の用意をしていた」
４それぞれの端の部分。はしばし。「枝の—」</t>
        </is>
      </c>
      <c r="D3243" t="inlineStr">
        <is>
          <t>先々週(4%)；先々納；先々で出会う人々；先々王</t>
        </is>
      </c>
      <c r="E3243" t="inlineStr">
        <is>
          <t>後；先；以後；将来；後方</t>
        </is>
      </c>
      <c r="G3243" t="inlineStr">
        <is>
          <t>先々月；先々代の女王様</t>
        </is>
      </c>
      <c r="H3243" t="n">
        <v>29</v>
      </c>
      <c r="I3243" t="inlineStr">
        <is>
          <t>自分でなくて誰が、そんな先々のことまで案じてあげる者があるだろう。；実を言えば行く先々で注目を浴びていたことに彼女も気づいていた。；ひょっとすると行く先々の神の許しを得なければならないのだろうか。；棟の中を移動してゆく先々の窓に、子供と老人たちが相変らず姿を見せた。；彼は二人の鬼奴を両のつばさにして、ゆく先々で喧嘩を買って歩いた。；大半がプレイヤーに協力的で、冒険の先々で様々な手助けをしてくれる。；親用は、同じツアーで来た女の子と行く先々で一緒に写真を撮ってもらう。；第一、先々の用事を頼んでおくわけにもいかないので、これには参つた。；以降この3人とは、行く先々で行動を共にし合う運命で結ばれていく。；歌人は行く先々で歌を残さなければならないから楽ではないだろう。；彼女は行く先々のどこでも、わたしを別世界の人間だと人々に話した。；真夏の我慢比べのようなその様子は行く先々で通行人の視線を集めた。；旅の行く先々にこのやうな友人を今も持つてゐる私は倖せである。；行く先々で集めて来る情報は確かで、不破は彼をかなり信頼して使っていた。；行く先々でイベントが発生し、それらをクリアしていくと物語が進む。；でも先々何かあったときのために、やっておいた方がいいですよ。；しかもそれらの知識と体験は先々に生命の危険にかかわってくるものであった。；あのたんこぶがツアーガイドみたいに行く先々でその場所の説明してたの。；西へ落ちゆく先々から都へ便りすることも、もはやすまいと決心しています。；あぶない職につかせられる子供の行く先々はどうなりますことやら?；旅の先々での人々との出会い、別れを経て辿り着くのは世界の真実。；行く先々で人々の心を動かして、 われわれの敵を作っています。；今日行く先々で足跡を見たのに、荒地のどこにも牛はいなかったろう?；この頃一太の母はこうして訪ねた先々で朝鮮行きのことを話した。；というのは夜だというのに行く先々に目撃者がいてくれたからである。；転校する先々で一癖も二癖もありそうな人物に出会いながら事件を解決する。；そして、恭介の高校の先輩である河村雅人が殺されたのが先々週のことだ。；だからわしは行く先々で話の種になるような事を仕出来したのじゃ。；最後に会ったのはあまり覚えてないですけど、先々週くらいだったかもしれません。</t>
        </is>
      </c>
      <c r="J3243">
        <f>HYPERLINK("https://www.weblio.jp/content/先々", "词义详情")</f>
        <v/>
      </c>
      <c r="K3243">
        <f>HYPERLINK("https://yourei.jp/先々", "查看例句")</f>
        <v/>
      </c>
    </row>
    <row r="3244">
      <c r="A3244" t="inlineStr">
        <is>
          <t>先に</t>
        </is>
      </c>
      <c r="B3244" t="inlineStr">
        <is>
          <t>成功</t>
        </is>
      </c>
      <c r="C3244" t="inlineStr">
        <is>
          <t>読み方：さきに
［副］今よりも前に。以前に。「—述べたごとく」「—行われた大会」</t>
        </is>
      </c>
      <c r="D3244" t="inlineStr">
        <is>
          <t>先ほど(3%)；先廻り；先団；先っぽ；先きの</t>
        </is>
      </c>
      <c r="E3244" t="inlineStr">
        <is>
          <t>後；その後；最後；以降；のち</t>
        </is>
      </c>
      <c r="F3244" t="inlineStr">
        <is>
          <t>メートル先；得意先；行き先；疎開先；枝先</t>
        </is>
      </c>
      <c r="G3244" t="inlineStr">
        <is>
          <t>先輩；先端；先頭；先発；先行</t>
        </is>
      </c>
      <c r="H3244" t="n">
        <v>29</v>
      </c>
      <c r="I3244" t="inlineStr">
        <is>
          <t>理論的に明解であり扱いも容易であるため、形式的な説明を先に述べる。；歴史的に跨座式より古く、商業的に成功したのも懸垂式の方が先である。；その先には、ロボットが自分で手術をできるようになる可能性もある。；地下10階に下り先へ進む彼らの前に村正を手にした侍が立ちはだかる。；これらの要因から攻撃先が変化し、以前ほどは攻撃されなくなった。；いずれにしてもその変換は、翻訳元と翻訳先の言語に特化したものになる。；最後は下関駅の先で海の下に潜って、再び地上に出るとそこは九州である。；譲渡は譲渡先がアカデミック対象ユーザーに該当している場合のみ可能。；この先百合ヶ丘駅手前まで津久井道と歩道一つを挟んで完全に並行する。；乗り入れ相手先の部分でのみ使用され国鉄区間では採用・使用されていない。；現在の駅はその先の上り勾配の途中にあり、駅のすぐ西側はトンネルである。；主人公たちと同時に船も移動先の城や町の近くへ移動する。；紹介経由は連携先の病院からの紹介で入院するものをいう。；先の不正会計事件は世界金融危機時の状況までさかのぼって調べられた。；また、生徒の修学旅行先の不祥事から修学旅行を中止とした学校もある。；御油から先はまたほとんど測量を行わず、2月24日に大坂に着いた。；成果を得たのはニュートンが先だが、出版はライプニッツが先だった。；その為、婚姻は親側の承認が先に出ないと成立させることが不可能となっている。；イスラエルはで、先の1600戸を合わせ5万戸の入植を計画している。；また、サブルーチンの定義部分だけを先に記述する方法で解決した。；奇遇にも、父が勤務していたプラハの歩兵第102連隊に配属先された。；ここから先は標高は低いものの軽い峠越えであり、山を周り込むように走る。；また一部の高校では進学先理解のために大学や研究施設を見学先とする例もある。；彗星にはその彗星を独立発見した人の名前が先着順で3名までつけられる。；越後湯沢方面からの普通列車はすべて一駅先の長岡駅まで運行されている。；後続列車を先に発車させてしまった場合も同様の対応がとられる。；幼少時から漫画よりも先に映画好きであり、初期の作品に大きな影響が見られる。；ただ、運用や行先の変更が主で、線内での時刻変更は基本的にない。；なお、所属先がない選手は登録先の陸上競技協会が所属先として記載される。</t>
        </is>
      </c>
      <c r="J3244">
        <f>HYPERLINK("https://www.weblio.jp/content/先に", "词义详情")</f>
        <v/>
      </c>
      <c r="K3244">
        <f>HYPERLINK("https://yourei.jp/先に", "查看例句")</f>
        <v/>
      </c>
    </row>
    <row r="3245">
      <c r="A3245" t="inlineStr">
        <is>
          <t>先ほど</t>
        </is>
      </c>
      <c r="B3245" t="inlineStr">
        <is>
          <t>成功</t>
        </is>
      </c>
      <c r="C3245" t="inlineStr">
        <is>
          <t>読み方：さきほど
少し前。いましがた。先刻。「—からお待ちです」「—電話がありました」⇔後程。</t>
        </is>
      </c>
      <c r="D3245" t="inlineStr">
        <is>
          <t>先ほどからずっと；先ほど電話；先ほどお話し；先ほど説明；先ほどからしきりに</t>
        </is>
      </c>
      <c r="E3245" t="inlineStr">
        <is>
          <t>さっき；先刻；たった今；直近；ついさっき</t>
        </is>
      </c>
      <c r="H3245" t="n">
        <v>29</v>
      </c>
      <c r="I3245" t="inlineStr">
        <is>
          <t>先ほども言ったように失敗が既にどこか病気染みたところを持っていた。；その先に、先ほどまでとは別のエレベーターがあることに気づいたのだ。；先ほどまで地面にへたり込んでいたはずの自分の体が、宙に浮いている。；その画面に先ほどまでなかった炎と煙がわずかではあるが見えている。；先ほどまで三人が打ち合っていて、今は誰もいなくなった空間に向けて。；先ほどまで遠くにあったはずの、家とトラクターが見えなくなっていた。；彼女は先ほどまで、彼の友人たちに東京を案内してもらっていたのだった。；たちまち、像も蛇も先ほどと同じ微動だもせぬ像と化石したではないか。；先ほどまでの明るい笑顔とは打って変わって怯えた顔つきになっている。；何か言いたいことでもあるのか、先ほどから竜憲の動きを見守っていた。；先ほどまで、お城のように灯を輝かしていた外国船が、暗くなっている。；先ほどまで女性だったソレは、今では干からびた老人の体になっていた。；遺憾残念の心持は完全に消毒して毛の先ほども残っていない口調である。；先ほどから頭の隅に残っている違和感が、さらに膨らんでいたのである。；空の下に戻ると、先ほどまでのことが真昼にみた夢のように思えてくる。；単なるセットではない、確かに先ほどまで人が生活していたであろう部屋を。；先ほどからまだ小さく胸を上下させていて、お起きになる様子はありません。；後ろに振り向くと、先ほどまで集まっていた黒犬の群はかき消えている。；だれももう先ほどからの出来事を覚えていないようなふうだった。；爪の先ほどしかないちっぽけな脳しか持たぬにしては、よく考えたものだ。；先ほども同じような質問をされて、同じような答えをしてしまった。；先ほどから機嫌よくミカンの皮を剥いていた父の指が止まっているのだ。；目が慣れた薫の瞳に入ってきたのは、どう見ても先ほどまでの風景ではない。；この最後の連中の中に、われわれが先ほど紹介した大尉と歩兵がいた。；ドアが半開きになっていたことは、わたしも先ほどから気づいていました。；先ほどまで全身に流れていた気持ちの悪い汗は、何故かどこにもなかった。；私はあなたが何故私を先ほどひどく侮辱したのかを知りたいのです。；ジュリアと私とは先ほども申しあげましたように双生児でございました。；先ほどまでの打撃で、相手は痛みから無防備に身体を倒してきた筈だ。</t>
        </is>
      </c>
      <c r="J3245">
        <f>HYPERLINK("https://www.weblio.jp/content/先ほど", "词义详情")</f>
        <v/>
      </c>
      <c r="K3245">
        <f>HYPERLINK("https://yourei.jp/先ほど", "查看例句")</f>
        <v/>
      </c>
    </row>
    <row r="3246">
      <c r="A3246" t="inlineStr">
        <is>
          <t>作業</t>
        </is>
      </c>
      <c r="B3246" t="inlineStr">
        <is>
          <t>成功</t>
        </is>
      </c>
      <c r="C3246" t="inlineStr">
        <is>
          <t>読み方：さぎょう
［名］(スル)仕事。また、仕事をすること。特に、一定の目的と計画のもとに、身体または知能を使ってする仕事。「修復—にとりかかる」「徹夜で—する」「—能率」「農—」</t>
        </is>
      </c>
      <c r="D3246" t="inlineStr">
        <is>
          <t>作業中(2%)；作業用；作業台；作業員；作業効率</t>
        </is>
      </c>
      <c r="E3246" t="inlineStr">
        <is>
          <t>作品；本；仕事；務め；役</t>
        </is>
      </c>
      <c r="F3246" t="inlineStr">
        <is>
          <t>編集作業；発掘作業；救助作業；開発作業；解体作業</t>
        </is>
      </c>
      <c r="G3246" t="inlineStr">
        <is>
          <t>作業場；作業服；作業着；作業者；作業衣</t>
        </is>
      </c>
      <c r="H3246" t="n">
        <v>29</v>
      </c>
      <c r="I3246" t="inlineStr">
        <is>
          <t>この行為から、執筆作業に対しての気持ちが入っていく面もあるという。；実際にはこの作業を1発ごとに行う必要はなく、数発に一度行えばよい。；なお引っ越し作業では220箱もの本を移動させる羽目になったという。；実効的な作業は委員会でなされ、ここでは各身分の代表は分けられていた。；また、デバッグ作業を行う人のことを指してデバッガと呼ぶこともある。；それらの作業を機械化するには漫画に出てくるようなロボットの開発が必要である。；この提案によりARPAから予算がつき、作業を開始することになった。；しかし実際の作業では軸力を直接監視することは困難である。；これを受けて神戸市は、次期売却先の公募に向けた準備作業を開始した。；一度だけ出版社で働いたこともあり、原稿の断り状を送る作業をしていた。；誰もが家のまわりで作業や修理をすることができ、家を建設することさえできた。；可動橋を使って搭載作業を行っている時にも事故が発生している。；現在では水銀の回収装置のない状況でのこの作業は禁止されている。；前述の通り溶接とは、2つ以上の部材を溶融・一体化させる作業である。；その翌日にダビング作業を再開するが、そこで2度目の火災が発生した。；手始めに、まずはこの宿に所属する冒険者の登録作業を行うこととなる。；その他、大規模河川改修やトンネル工事などでも作業用の軌道が利用された。；こうなると、もはや通常の操作ではその作業結果を残す方法がない。；問題の源を特定したら、次はどのようにその問題を修正するかを決定する作業である。；西洋音楽にあっては、作曲とは具体的には楽譜を作成する作業である。；作業指示は、他の意味に取られるような言葉では行わないようにしなければならない。；多様体に座標を描くという作業は地球上の地図を作る作業に似ている。；貨幣委員会の作業報告会にはフリードマンも参加しゼミ生の指導を行った。；この重要で難解な作業を成功させるために、生物は遺伝子を活用する。；しかし、クレジットされていなくとも脚本の作業に参加することはあるという。；このような事態に対応するため、プログラムを保守していく作業が必要になる。；円盤の中には4名の人影が何らかの作業をしている様子が見えた。；周が殷を滅ぼしたのは具体的に何年の出来事かを推定する作業が進められている。；掘削作業の過程で地中から城の基礎壁が遺されていることが明らかになった。</t>
        </is>
      </c>
      <c r="J3246">
        <f>HYPERLINK("https://www.weblio.jp/content/作業", "词义详情")</f>
        <v/>
      </c>
      <c r="K3246">
        <f>HYPERLINK("https://yourei.jp/作業", "查看例句")</f>
        <v/>
      </c>
    </row>
    <row r="3247">
      <c r="A3247" t="inlineStr">
        <is>
          <t>策</t>
        </is>
      </c>
      <c r="B3247" t="inlineStr">
        <is>
          <t>成功</t>
        </is>
      </c>
      <c r="C3247" t="inlineStr">
        <is>
          <t>読み方：さく
［音］サク（漢）　［訓］むち
［学習漢字］6年
１文字を書き付けた竹のふだ。特に、天子が下す文書。「策命」
２はかりごと。計画。計画を立てる。「策士・策定・策略／画策・奇策・失策・術策・政策・得策・方策・無策・善後策」
３むち。つえ。「警策(きょうさく・けいさく)・散策」
［名のり］かず・つか・もり</t>
        </is>
      </c>
      <c r="D3247" t="inlineStr">
        <is>
          <t>策平；策師</t>
        </is>
      </c>
      <c r="E3247" t="inlineStr">
        <is>
          <t>計画；設計；企画；対策；案</t>
        </is>
      </c>
      <c r="F3247" t="inlineStr">
        <is>
          <t>対応策；対抗策；施策；打開策；善後策</t>
        </is>
      </c>
      <c r="G3247" t="inlineStr">
        <is>
          <t>策略；策謀；策動；策士；策し</t>
        </is>
      </c>
      <c r="H3247" t="n">
        <v>29</v>
      </c>
      <c r="I3247" t="inlineStr">
        <is>
          <t>一方海軍はデータを取りながら慎重に開発を進める安全策を主張した。；エンジンから従来以上の高出力を得るために必要な策の一つが高回転化である。；安政の大獄とは、これらの諸策に反対する者たちを弾圧した事件である。；こうした対応策から後北条氏は上杉・武田との関係回復に方針を転じた。；翌年には経済のマイナス成長が始まり、政府の振興策も効果が無かった。；そして、税を徴収するために人口調査のような改革策をいくつか実施した。；これらの融和策を行わなかったゆえに李自成・呉三桂に明が滅ぼされた。；建設や完成後の運用にも様々な問題が生じ、その解決策を模索することとなる。；その対応策の一つが紀元前119年に開始された塩鉄専売制である。；このとき皇帝の曹叡は、公孫淵はどのような策を取るか司馬懿に尋ねた。；税金の一部を撤廃することは危機に対する明白な解決策の1つであった。；防御策 電子メールクライアント側で対策されていることも多い。；現在は市の施策などで伝統的な名産品の復興などに力が注がれている。；この御嶽山での噴火を受けて各地で対応策の検討が行われている。；対抗策としてフランスはジョッフル級航空母艦を建造することにした。；高麗への懐柔策の採用は、日本侵攻に高麗を協力させるためだったとされる。；ロボットは有力な解決策のひとつなのである。；シーゲル・クラインの路線を継承しナチュラルとの融和策を採っている。；ただし、「公式」の場合は、俗称と一般的な用語の両方とも解決策である。；このため、カジノはカードカウンターを排除すべく様々な対抗策を取ってきた。；これにソ連が反対してソ連統治地区で東ドイツマルクを発行し、強硬策に出た。；帰国した清正は向こう数年の百姓の夫役を停止するなどの領国建て直し策を出す。；サービス向上策の一環として2009年6月1日より運行開始された。；しかし市場全体としてみれば根本的な解決策とはならなかった。；研究者は様々な解決策を採用している。；根本の監督退任に伴うチームの若返り策にも理解を示し、現役を引退。；このように様々な改良策が講じられたものの、A318の販売は低迷した。；しかし、これらはいずれも根本的な解決策とはなっていない。；このため戦前より陸海軍双方で旅順への対応策が検討された。</t>
        </is>
      </c>
      <c r="J3247">
        <f>HYPERLINK("https://www.weblio.jp/content/策", "词义详情")</f>
        <v/>
      </c>
      <c r="K3247">
        <f>HYPERLINK("https://yourei.jp/策", "查看例句")</f>
        <v/>
      </c>
    </row>
    <row r="3248">
      <c r="A3248" t="inlineStr">
        <is>
          <t>裂く</t>
        </is>
      </c>
      <c r="B3248" t="inlineStr">
        <is>
          <t>成功</t>
        </is>
      </c>
      <c r="C3248" t="inlineStr">
        <is>
          <t>読み方：さく
［動カ五（四）］
１ひと続きのものを、強い力を加えて直線的に二つに離す。手で強く引っ張って破る。「布を—・く」「生木を—・く」
２刃物などで切って開く。「魚の腹を—・く」「うなぎを—・く」
３親しい関係にある者どうしを無理に離す。「二人の仲を—・く」
４（割く）予定しているものの一部を、都合して他の用に充てる。「時間を—・く」「紙面を—・く」「人手を—・く」
５目尻に入れ墨をする。
「あめつつ千鳥ま鵐(しとと)など—・ける利目(とめ)」〈記・中・歌謡〉
[可能]さける
［動カ下二］「さ（裂）ける」の文語形。</t>
        </is>
      </c>
      <c r="D3248" t="inlineStr">
        <is>
          <t>裂くような悲鳴(2%)；裂くような音；裂くような鋭い；裂く鋭い；裂くようなひびき</t>
        </is>
      </c>
      <c r="E3248" t="inlineStr">
        <is>
          <t>切る；区画；分かれる；分ける；破る</t>
        </is>
      </c>
      <c r="F3248" t="inlineStr">
        <is>
          <t>ひき裂く；つん裂く；張り裂く；噛み裂く；裂く鋭い音</t>
        </is>
      </c>
      <c r="H3248" t="n">
        <v>29</v>
      </c>
      <c r="I3248" t="inlineStr">
        <is>
          <t>二人の気持が変ったのではなく、娘の親がかれらの仲を裂いたのである。；師匠には無駄なことにここまで労力を裂くことが信じられないのだろう。；涙に裂くパンの味を知らない幸福なものには窺い知れない殿堂だという。；また空を真二つに裂いたかと思われるほどの音を立てて、雷が鳴った。；そのときはすでに彼の右のストレートが空気を裂いて私の顎に飛んでいた。；あとで調べると二人の馬は狼どもに噛み裂かれて血だらけになっていた。；わかってはいたものの、その事実は改めてシャルルの胸を大きく裂いた。；こんなものに僕たちの愛を裂くことなんて、できるはずがないんだからな!；あの二人組が私の腹を裂いたのはいったいいつのことだったのだろう?；彼は二人の仲を裂かれたときよりも激しい不安と、絶望感におそわれた。；それ、長爪以外にはあんな裂き傷はつけられないことが分かるだろう。；魚をおろすようにナイフが肉を裂いてゆくのを見て、口があんぐり開く。；それを見つめていると、頭上でしゅっと音がして光条が暗い空を裂いた。；驚きのあまり声も出ないジレルは白昼の天を裂く一条の星空を見上げた。；馬車に乗っていたのは若い外国婦人で、これも帛を裂くような声をあげた。；そうすることで彼女は、リディアとエドガーとの間を裂こうとしている。；見ると海鼠を裂いたような目も口もない者じゃが、動物には違いない。；裂かれた布の間から桃色の肉が見えていたが肉はピクピク動いている。；そしてパラメーターは、自分の心が二つにひき裂かれていくのを感じた。；彼女からの手紙を裂いて捨てたのは、後日の証拠を残さない為だった。；肩から足まで、木を縦に裂いたよう ぎんぽつ ぬ になくなっていた。；外の法で漁った鮎の腹を裂いて見るとまるで、硅藻のない事があります。；そのようすは、まるでさなぎを裂きやぶろうとでもしているようでした。；まるで俺たちの仲を裂くように、二人の間に横たわる道をまっすぐに。；包帯の先端を二つに裂き、上の鎖穴、下の鎖穴それぞれで蝶結びにする。；ゴールの鶏がある民衆の旗から裂き取られて泥の下に踏みにじられた。；弥介の体が一瞬前に倒れるのが遅れていたら、肩から背中を裂かれていた。；彼はそれを穴のところまでひきずってきて、服をひき裂いて積みあげた。；とうとうこの谷間の静かな地面の帯を 横に裂いてしまいましたね。</t>
        </is>
      </c>
      <c r="J3248">
        <f>HYPERLINK("https://www.weblio.jp/content/裂く", "词义详情")</f>
        <v/>
      </c>
      <c r="K3248">
        <f>HYPERLINK("https://yourei.jp/裂く", "查看例句")</f>
        <v/>
      </c>
    </row>
    <row r="3249">
      <c r="A3249" t="inlineStr">
        <is>
          <t>咲く</t>
        </is>
      </c>
      <c r="B3249" t="inlineStr">
        <is>
          <t>成功</t>
        </is>
      </c>
      <c r="C3249" t="inlineStr">
        <is>
          <t>読み方：さく
［動カ五（四）］
１花のつぼみが開く。開花する。「大輪の花が—・く」「ぼたんが見事に—・く」
２波が砕けて白く見える。
「味鎌の潟に—・く波平瀬にも紐解くものかかなしけを置きて」〈万・三五五一〉
[可能]さける
[下接句] 煎(い)り豆に花が咲く・埋もれ木に花が咲く・喧嘩(けんか)に花が咲く・言葉に花が咲く・死に花を咲かせる・花が咲く・花を咲かせる・話に花が咲く・花実が咲く・一花咲かせる・穂に穂が咲く</t>
        </is>
      </c>
      <c r="D3249" t="inlineStr">
        <is>
          <t>咲く美しい；咲く乙女たち；咲くまい；咲く可憐な花；咲くだら</t>
        </is>
      </c>
      <c r="E3249" t="inlineStr">
        <is>
          <t>開花する；花咲く；花開く；一花咲かせる</t>
        </is>
      </c>
      <c r="F3249" t="inlineStr">
        <is>
          <t>乱れ咲く；早く咲く；美しく咲く；桜咲く；向いて咲く</t>
        </is>
      </c>
      <c r="G3249" t="inlineStr">
        <is>
          <t>咲くやこの花館；咲くやこの花；咲くやこの花高等学校；咲くやこの花中学</t>
        </is>
      </c>
      <c r="H3249" t="n">
        <v>29</v>
      </c>
      <c r="I3249" t="inlineStr">
        <is>
          <t>夜も人工光が当たる環境ではいつまでたっても花が咲かないことがある。；姉は白い花の咲く木の下から離れて、自分も町の方へ歩いていきました。；人間の家の中に、そうした花の咲くのは壁にうどんげの開くとおなじだ。；このため、花が咲いているときにはまだ葉が生えていないことも多い。；人間の家の中に、然うした花の咲くのは壁にうどんげの開くとおなじだ。；少し前には三輪咲いていましたが、うち一輪は最近切られていました。；それぞれの季節に花の咲く公園が市内に点在し、市民に親しまれている。；が、未だに門内か庭かに何か白い草花の沢山咲いていたのを覚えている。；そのため、本来の姿とは大きく異なった形で咲いているのを見ることも多い。；確かにぼくが居た辺りでも花はもうそんなに咲かなくなっていた。；花は多数集合して頭花を作るものが多いが、一輪ずつ咲くものもある。；芸術が民族の生活のうえに咲く花だということを私はすでにいつた。；白髮は死の花にして、その咲くや心の火は消え、血は氷とならんとす。；けれども私は、その水蓮の咲いている池から、少しずつ離れて行きます。；兄と弟は、毎日、庭へ出て、すずらんの咲くのを楽しみに待ったのです。；すみれの花は、しばらくの間は、竹子さんの机のそばで咲いていました。；そのときは花が咲いていなかったので、本物のお宝とは信じなかった。；海へいく道端に、春になると桜が咲いて、それはきれいだといっていたよ。；その草の花の咲いてゐるところに据りこんで空を仰ぐと、雲が出てゐる。；で上の方にはパル、スルの花が盛んに咲いてあるのがよく見えて居ました。；この植物は花が咲かないことで知られており、交雑種の可能性がある。；フクジュソウが群生し、春になると花が咲くことから名付けられている。；姉は白い花の咲く木の下で、なにか深く、耳を澄まして考えていました。；花は、1cm位の頭花が円錐状に十数輪またはそれ以上まとまって咲く。；それらの地域では桜だけでなく梅や花桃の花も同時に咲くことが多い。；葉の表面はざらついてて、冬から花の咲く頃までは錆びた色をしています。；黄なる山菊は残そうと思ったが、去年などはどうやら咲かずにしまった。；が、短い茎を持つて底の方に咲いてゐる雄蕋の花はどうするのだらう。；自分たちが咲けば、人々が喜んでくれることを知っておるんじゃな。</t>
        </is>
      </c>
      <c r="J3249">
        <f>HYPERLINK("https://www.weblio.jp/content/咲く", "词义详情")</f>
        <v/>
      </c>
      <c r="K3249">
        <f>HYPERLINK("https://yourei.jp/咲く", "查看例句")</f>
        <v/>
      </c>
    </row>
    <row r="3250">
      <c r="A3250" t="inlineStr">
        <is>
          <t>柵</t>
        </is>
      </c>
      <c r="B3250" t="inlineStr">
        <is>
          <t>成功</t>
        </is>
      </c>
      <c r="C3250" t="inlineStr">
        <is>
          <t>読み方：き
敵などを防ぐために垣をめぐらした所。とりで。しろ。
「筑紫の国は敵(あた)守るおさへの—そと」〈万・四三三一〉</t>
        </is>
      </c>
      <c r="D3250" t="inlineStr">
        <is>
          <t>柵内；柵門；柵越し；柵屋敷；柵外</t>
        </is>
      </c>
      <c r="E3250" t="inlineStr">
        <is>
          <t>塀；フェンス；垣；囲い；垣根</t>
        </is>
      </c>
      <c r="F3250" t="inlineStr">
        <is>
          <t>防柵；防御柵；防止柵；安全柵；大竹柵</t>
        </is>
      </c>
      <c r="G3250" t="inlineStr">
        <is>
          <t>柵原；柵戸；柵原ふれあい鉱山公園；柵木；柵原町</t>
        </is>
      </c>
      <c r="H3250" t="n">
        <v>29</v>
      </c>
      <c r="I3250" t="inlineStr">
        <is>
          <t>しかしながら両柵とも正確な場所が不明で、文献上の存在となっている。；旅客営業中止後は駅の周りに柵を設置し、人が入れないようにしている。；実際の墨俣城は簡易な建築や柵で構成されたものであったとされている。；午後5時までに戦闘が終わり、防御柵と建物群は破壊され炎に包まれた。；古墳状の盛り土をした上に五輪塔が建てられ周囲は石柵で囲まれている。；営林署は公園の南部にあり、小川や古い門を持つ柵が境界となっている。；公園入り口の柵は05系の前面の一部がデザインされている物もあった。；池との間に柵や仕切りはなく、通路の上を鳥が歩いていることもある。；南のホームは、北側に柵が設置されており、南側の線路の列車が使用する。；その時、斑鳩が遠くの柵からステッキをついてじっとこちらを見ていた。；さらに2番線ホームの使用が停止され、ホーム上には柵が設置されている。；この当時の城は盛り土と柵をめぐらした環濠集落のようなものであった。；獣害防止のための柵の外側にあり、現在は普段参拝することはできない。；公園は高い柵で囲まれており、公園に入らなければ滝に近づくことができない。；日本で戦国時代に作られた移動できない柵は、馬防柵と呼ばれている。；歩行者自転車用柵は以下の表に示す設計強度に応じて、種別を区分する。；中央の入り口は鉄の柵で閉鎖されているため、現在使用することはできない。；また、ホームの柵にはロケ地であったことを示す案内看板が設置されている。；営巣地に牛の侵入防止のため柵を設置するなどの保護対策が進められている。；現在、降車専用ホームには4つドアのドア位置を除き柵が設置されている。；外側は通過列車のみのため、ホームには安全柵が設置されている。；この当時の柵がどのようなものだったかは推測というより想像で語るほかない状況である。；新幹線ホームは8両編成にまで対応し、可動式安全柵が設置されている。；柵も水色であるが江東区側では白色のもので覆われている部分がある。；以前の襷にあった2号障害は水壕だったが、その後人工竹柵障害に変更。；エレベーターへの通路と線路の境には柵が設置されている。；この崖がほとんど突き破れない平原の柵に見えるために名付けられた。；柵から1匹ずつヤギが出て行くたびに刻み目を1つずつ増やしていった。；車両の周囲に柵などは設けられておらず、自由に近づくことができるようになっている。</t>
        </is>
      </c>
      <c r="J3250">
        <f>HYPERLINK("https://www.weblio.jp/content/柵", "词义详情")</f>
        <v/>
      </c>
      <c r="K3250">
        <f>HYPERLINK("https://yourei.jp/柵", "查看例句")</f>
        <v/>
      </c>
    </row>
    <row r="3251">
      <c r="A3251" t="inlineStr">
        <is>
          <t>作</t>
        </is>
      </c>
      <c r="B3251" t="inlineStr">
        <is>
          <t>成功</t>
        </is>
      </c>
      <c r="C3251" t="inlineStr">
        <is>
          <t>読み方：さ
⇒さく</t>
        </is>
      </c>
      <c r="D3251" t="inlineStr">
        <is>
          <t>作目(15%)；作連続；作つて；作第；作つた</t>
        </is>
      </c>
      <c r="E3251" t="inlineStr">
        <is>
          <t>作品；本；製造；制作；生産</t>
        </is>
      </c>
      <c r="F3251" t="inlineStr">
        <is>
          <t>一作；受賞作；二作；監督作；失敗作</t>
        </is>
      </c>
      <c r="G3251" t="inlineStr">
        <is>
          <t>作ら；作家；作業；作戦；作る</t>
        </is>
      </c>
      <c r="H3251" t="n">
        <v>29</v>
      </c>
      <c r="I3251" t="inlineStr">
        <is>
          <t>原作をベースとしているが、オリジナル要素が強い一作となっている。；同作は4年に渡り連載が続けられ、アニメ化される程のヒットを収める。；アルバムはブルースの影響を強く受けた前2作の路線を引き継いでいた。；本シリーズの一部は第1作とその他の東宝特撮作品の世界観を反映した。；第二期に入るとアイスキュロスの作劇法を完全に自分のものにした。；日本ファンタジーノベル大賞の受賞作を刊行するために創設された。；同作のヒットで原は戦後のトップ女優としての地位を確立した。；曹操の楽府「歩出夏門行」の第四章は楽府のなかでもその代表作である。；これらの刀工集団の作を大坂新刀と呼び、新刀の中でも特に区別される。；作刀数は多かったものの、実戦よる破損や紛失もあり残存数は多くない。；備中では綿作が広まり、江戸時代後期になるとその加工も盛んになった。；同作は日本のメジャー映画会社の番線に乗った初めての台湾映画である。；金田一耕助が登場する作品は、長短編あわせて77作が確認されている。；過去の受賞作と同内容のものが候補となることは異例である。；連作第二作の表題作冒頭には、その初演のコンサートの場面が出てくる。；第1作でカバ夫を演じた肝付兼太は第2作以降はパーやんを演じている。；他にも本作で出演した多数の声優陣が同作に出演している。；続編の製作が決まった際、当初は続編1作のみを製作する予定だった。；紀元前5000年頃の作とされる洞窟壁画がラース・ゲールに存在する。；制作元のエスケイプはライセンス認証だけでなく同作の制作にも協力している。；これにより本作は遡って「レイシリーズ」の第1作目と定義されている。；また、同作は司馬江漢の洋画を換骨奪胎して制作したとする説もある。；そのため、テーバイ三作のストーリーにはいくつかの矛盾がある。；また青木儀作や廣岡幸太郎などの名花火師が登場したのも大正期である。；同作で収録していた声が使われている。；以降、数多くリリースされた3作目の移植作は、基本的に本作が対象となる。；新人賞を設けており、長編優秀作には日本での発表もあり得ると謳っている。；この時の経験が、後に代表作となる小説『たけくらべ』の題材となっている。；その手塚治虫に2作目の『エレキな春』では真似が出来ないと言わしめた。</t>
        </is>
      </c>
      <c r="J3251">
        <f>HYPERLINK("https://www.weblio.jp/content/作", "词义详情")</f>
        <v/>
      </c>
      <c r="K3251">
        <f>HYPERLINK("https://yourei.jp/作", "查看例句")</f>
        <v/>
      </c>
    </row>
    <row r="3252">
      <c r="A3252" t="inlineStr">
        <is>
          <t>昨～</t>
        </is>
      </c>
      <c r="B3252" t="inlineStr">
        <is>
          <t>成功</t>
        </is>
      </c>
      <c r="C3252" t="inlineStr">
        <is>
          <t>読み方：さく
［音］サク（漢）
［学習漢字］4年
１きのう。「昨日・昨朝・昨夜」
２一回り前の時期。「昨週・昨春・昨年／一昨年」
３むかし。以前。「昨今(さっこん)」
［難読］一昨日(おととい)・一昨年(おととし)・昨日(きそ)・昨日(きのう)・昨夜(きそ)・昨夜(よべ)・昨夜(ゆうべ)・一昨昨日(さきおととい)・一昨昨年(さきおととし)</t>
        </is>
      </c>
      <c r="H3252" t="n">
        <v>0</v>
      </c>
      <c r="J3252">
        <f>HYPERLINK("https://www.weblio.jp/content/昨～", "词义详情")</f>
        <v/>
      </c>
      <c r="K3252">
        <f>HYPERLINK("https://yourei.jp/昨～", "查看例句")</f>
        <v/>
      </c>
    </row>
    <row r="3253">
      <c r="A3253" t="inlineStr">
        <is>
          <t>索引</t>
        </is>
      </c>
      <c r="B3253" t="inlineStr">
        <is>
          <t>成功</t>
        </is>
      </c>
      <c r="C3253" t="inlineStr">
        <is>
          <t>読み方：さくいん
ある書物の中の語句や事項などを、容易に探し出せるように抽出して一定の順序に配列し、その所在を示した表。インデックス。</t>
        </is>
      </c>
      <c r="D3253" t="inlineStr">
        <is>
          <t>索引付け(3%)；索引作成；索引地図；索引カード；索引化</t>
        </is>
      </c>
      <c r="E3253" t="inlineStr">
        <is>
          <t>目録；インデックス；見出し；総目録；インデクス</t>
        </is>
      </c>
      <c r="F3253" t="inlineStr">
        <is>
          <t>人名索引；日本法令索引；部首索引；地名索引；電報略号による五十音順索引</t>
        </is>
      </c>
      <c r="H3253" t="n">
        <v>29</v>
      </c>
      <c r="I3253" t="inlineStr">
        <is>
          <t>クリストも彼の一生を彼の作品の索引につけずにはゐられない一人だつた。；また、以前は環構造索引なども発行されていたが、現在では廃止された。；クリストも彼の一生を彼の作品の索引につけずにはいられない一人だった。；それは浄美の口にこそ出さね、胸に秘めた愛の索引も同じことなんです。；もっともこういう索引を作る方もかなり非人間的な努力が必要であるはずである。；けれども、僕は経蔵の索引カードの中から、異様な暗合を発見したのだ。；この場合は、直接見ることはできない電子索引にアクセスしている。；手紙の形で書かれてはいるが系統的に並べられており極めて価値のある索引がついている。；書籍に索引がある場合、アルファベット順にするのはごく普通に見られる。；これまでに書いたノートを机に積んで、索引をつけたところを読み返す。；これは判決のあった事件の件名索引であり、書記官によって作成された。；また、巻末には全国のボクシングジムの広告が索引つきで掲載されていた。；日本語などの言語では、自然言語処理機能が生成される索引の質に影響する。；ユーザー文書の形式は定まっていないが、索引が非常に重要である。；その索引番号はペリー・インデックスと呼ばれ研究目的に広く使用されている。；注意: このプロジェクトは人手で索引を整備することを目的としていません。；非常に大部のものの場合、索引が独立した一巻となっているものも存在する。；カクテル関連書籍には、カクテルの色別の索引が作られることもある。；従来の印刷本でも、内容を連携づけるために注や索引が工夫されてきた。；しかしガレノスの著作の総合索引でこのことを見つけることはできなかった。；索引つき辞書は通常の辞書の操作に加えて、次の二つの操作をサポートする。；今度は「奇妙な魔法のジレンマとその解決法」の索引に目を凝らしている。；受講者がもう少しあれば、索引や新着項目の紹介などを行う予定をしていた。；索引を調べ、子馬のページを見つけ、まもなく現在の国内価格を知った。；それはまた二重に索引がついていて、病状でひくと、診断が出てきた。；わたくしは此よりして外、漢字の索引を以て闕くべからざるものとする。；この機能を付けておけば、それだけで電子本には完璧な索引が付いたのと同じことになる。；一方、第10巻に掲載された人物の索引は1925年に公開された。；索引をつけていると、ぼくがいかにいろいろなことを学んだかということがわかる。</t>
        </is>
      </c>
      <c r="J3253">
        <f>HYPERLINK("https://www.weblio.jp/content/索引", "词义详情")</f>
        <v/>
      </c>
      <c r="K3253">
        <f>HYPERLINK("https://yourei.jp/索引", "查看例句")</f>
        <v/>
      </c>
    </row>
    <row r="3254">
      <c r="A3254" t="inlineStr">
        <is>
          <t>削減</t>
        </is>
      </c>
      <c r="B3254" t="inlineStr">
        <is>
          <t>成功</t>
        </is>
      </c>
      <c r="C3254" t="inlineStr">
        <is>
          <t>読み方：さくげん
［名］(スル)現にあるものを、けずってへらすこと。「予算を—する」</t>
        </is>
      </c>
      <c r="D3254" t="inlineStr">
        <is>
          <t>削減すること(4%)；削減できる(3%)；削減される(3%)；削減するため(2%)；削減効果</t>
        </is>
      </c>
      <c r="E3254" t="inlineStr">
        <is>
          <t>制限；減少；限定；縮小；カット</t>
        </is>
      </c>
      <c r="F3254" t="inlineStr">
        <is>
          <t>経費削減；予算削減；大幅な削減；大幅削減；排出量削減</t>
        </is>
      </c>
      <c r="H3254" t="n">
        <v>29</v>
      </c>
      <c r="I3254" t="inlineStr">
        <is>
          <t>しかしこの方法では真の意味における削減の目的にかなうものではない。；機体の生産の削減が行われ、代わりに四式重爆撃機の生産が指示される。；なお、この支援に伴いバスの減便や従業員の削減は行わないとしている。；これは開発のコストや期間を削減するには当然と考えられた方策であった。；今中期防においても戦車定数の削減事業は継続される予定となっている。；大幅な合理化と旅客輸送の削減がこうした合併の多くの成功につながった。；したがって、世界的にアスベストの使用が削減・禁止される方向にある。；また人件費削減も頻繁に行われており、選手給与も大きく変遷している。；既に運転手の半数が嘱託となっており、人件費の削減につながっている。；結果、巡洋艦20隻の取得計画が、建造費の増加で12隻に削減された。；その後も日程の問題で中止されたり、1試合のみに削減されたりした。；一部の店舗では、専門店に商品を売却することで在庫を削減している。；マーリンズは前年のワールドチャンピオンの後に年俸削減を行っていた。；この本数削減の代わりに、中目黒駅で東急東横線との接続が考慮された。；銀線の方が電気抵抗が少なく多少たりとも消費電力削減に貢献した。；この技術の使用により、製作時間とコストの大幅削減を実現している。；一度の大量発注による製造・販売・輸送コストの削減などが行われる。；また、待避設備を両方向で共有することでスペースを削減する効果もある。；これに伴い、北千住方面 - 館林方面間を直通する列車は削減された。；和歌山電鐵移管後は大幅な経費削減を行った結果赤字額が激減している。；天皇杯は出場チーム数削減の影響 でJリーグ加盟後では初めて不参加となった。；また車体傾斜装置を使用しない山陽区間では9 %の削減に成功した。；同時に今後数年間で職員を最大1000人削減することも労働組合に提案する。；これによって大量に必要とされたマイクロコードを削減することが可能となった。；ただし2001年4月から一部の画面が更新され、動画は削減されている。；しかし、実際には宇宙開発予算を削減して流用しているという意見がある。；しかし、自社の列車運行は維持経費を削減するため気動車を採用している。；対潜兵器は30DDKの装備を基本として、一部削減した構成となった。；長引く不況下で一円でも経費削減をしたい多くの企業が注目している手法である。</t>
        </is>
      </c>
      <c r="J3254">
        <f>HYPERLINK("https://www.weblio.jp/content/削減", "词义详情")</f>
        <v/>
      </c>
      <c r="K3254">
        <f>HYPERLINK("https://yourei.jp/削減", "查看例句")</f>
        <v/>
      </c>
    </row>
    <row r="3255">
      <c r="A3255" t="inlineStr">
        <is>
          <t>錯誤</t>
        </is>
      </c>
      <c r="B3255" t="inlineStr">
        <is>
          <t>成功</t>
        </is>
      </c>
      <c r="C3255" t="inlineStr">
        <is>
          <t>読み方：さくご
［名］(スル)
１まちがうこと。まちがい。誤り。「—を犯す」「試行—」
「時々強いて—して織り込まれて」〈佐藤春夫・田園の憂鬱〉
２その人の認識と客観的事実とが一致しないこと。「時代—」
３民法上、意思表示をした者の内心の意思と表示行為とがくいちがっていることを表意者自身が知らないこと。例えば、英和辞典を買うつもりで、気づかずに和英辞典を買うなど。</t>
        </is>
      </c>
      <c r="D3255" t="inlineStr">
        <is>
          <t>錯誤行為；錯誤遺物</t>
        </is>
      </c>
      <c r="E3255" t="inlineStr">
        <is>
          <t>失敗；非；罪；間違い；ミス</t>
        </is>
      </c>
      <c r="F3255" t="inlineStr">
        <is>
          <t>重大な錯誤；とんでもない錯誤</t>
        </is>
      </c>
      <c r="H3255" t="n">
        <v>29</v>
      </c>
      <c r="I3255" t="inlineStr">
        <is>
          <t>錯誤行為とは意図した行為とは異なる行為を行ってしまうことである。；いずれにせよ波留は、自分は足を滑らせて崖から落ちたと錯誤していた。；もっとも、何度もいっているように、これは野口氏のみの錯誤ではない。；この端的な愛と詩人の解釈の中には又あの謎めいた錯誤が存在します。；しかし取り調べが進んでゆくに従って、ここに一つの錯誤が生じてきた。；この事件には、何か根本的な大錯誤があったのではないでしょうか。；彼女の声を聞いているうちに、私はふと一切の時間を錯誤した。；我々の日常用ゐる言葉の上に多くの錯誤が生じて來るのは、こゝに原因する。；警戒が強まれば子供を中に放りこんで仲間だと錯誤させて警戒を解く。；戦前までは、どんな幼稚な文学青年にも、こんな錯誤はみられなかつた。；上記の三つの関係のうち、類似関係は最も多く錯誤を生む源泉である。；その時の、Rや僕の理論に、どこか非常な錯誤があるのではないかと疑った。；何度か試行錯誤して、紙を染めてしまうと、面白いように筆が進んだ。；フロイトは精神分析の研究を講義するために錯誤行為の知見を導入する。；それにしても、これはまた、なんという恐ろしい錯誤でありましょう。；それには何かの錯誤がなければならないと彼は又かんがえた。；錯誤はないとしても、脳にとって何か負担のようなものは生じないのですか?；ただしわずかに錯誤があり、いまだ完全な善本とはいいがたい内容である。；それが自分の錯誤と気づいたのは最近のことである。；考えの向かう方向が大きく時代錯誤されているからだ。；このような統治方法の錯誤という観点からの批判と考えられる。；軍隊内部では、午前・午後の錯誤を防ぐために二十四時制が使用されていた。；私の全生涯でもっとも重大な課題に直面して錯誤したのだ!；歌詞を書く際、畑は主人公に選択を迫る箇所を試行錯誤したという。；そこに、何か飛んでもない錯誤が伏在するのではないだろうか。；彼女等の権威と他人の権威とは奇妙な価値判断の錯誤に陥ります。；それはきっと何か庄太郎自身に錯誤があったものに違いない。；此中には道号と名乗との混同もあり、文字の錯誤もあるであらう。；「次こそは本気でやってやる」と決意を固め、必死に試行錯誤したという。</t>
        </is>
      </c>
      <c r="J3255">
        <f>HYPERLINK("https://www.weblio.jp/content/錯誤", "词义详情")</f>
        <v/>
      </c>
      <c r="K3255">
        <f>HYPERLINK("https://yourei.jp/錯誤", "查看例句")</f>
        <v/>
      </c>
    </row>
    <row r="3256">
      <c r="A3256" t="inlineStr">
        <is>
          <t>昨日</t>
        </is>
      </c>
      <c r="B3256" t="inlineStr">
        <is>
          <t>成功</t>
        </is>
      </c>
      <c r="C3256" t="inlineStr">
        <is>
          <t>読み方：きそ
《「きぞ」か。「そ」の清濁不明》昨夜。ゆうべ。また、昨日。
「ぬばたまの—は帰しつ今夜(こよひ)さへわれを帰すな道の長手を」〈万・七八一〉</t>
        </is>
      </c>
      <c r="D3256" t="inlineStr">
        <is>
          <t>昨日あたり；昨日以来；昨日みたい；昨日午後；昨日一昨日</t>
        </is>
      </c>
      <c r="F3256" t="inlineStr">
        <is>
          <t>ほんの昨日；晴昨日；昨日よりもさらに；昨日より少し；昨日見かけ</t>
        </is>
      </c>
      <c r="G3256" t="inlineStr">
        <is>
          <t>昨日のつづき；昨日・今日・明日；昨日の敵は今日の友；昨日の花；昨日の世界</t>
        </is>
      </c>
      <c r="H3256" t="n">
        <v>29</v>
      </c>
      <c r="I3256" t="inlineStr">
        <is>
          <t>道が悪いから、あんまり人が行かないつて、昨日の馬車屋が云つてたわ。；昨日から今朝にかけておれの行く所には必ず母親の目が光っているのだ。；そして倶楽部へ顔を出すようになったのは、ようやく昨日からであった。；昨日は何の事もなかつたんだのに、昨夜の中に私は何うかなつたのかしら?；矢作によればその姿は「昨日の馬とは別馬のような印象」だったという。；たしかにここは自分が生れた村で、ここを出たのはつい昨日のことだ。；担当記者の一人が昨日硬貨を一枚手に入れてきて、編集者の手に入った。；昨日の出來事から宵に相談した事など殆んど忘れて居るかの如くである。；昨日にかわり隆夫の様子がちがっているのは、どうしたことであろうか。；俺は昨日と今日、屋根に登っていたが、レース結果が一回も見えなかった。；昨日もそうであったし、一昨日もそうであったような気がするのです。；夏が早く終りすぎていたことを嘆いていた秋の日が、つい昨日のようだ。；昨日もお前また都へ下りて行って、悪い子供達と遊んで来たんでしょ?；昨日横浜から来る途中、十八マイルの間で、異る場所に乞食を四人見た。；昨日夫人からもらった採用通知の電話の最初の言葉なども、嫌だった。；地上の世界は、何の変りもなく、昨日も今日も同じ様に運転しているのだ。；今日崇拝される人は昨日の英雄をわたしたちの記憶から追いだしてしまう。；タカシが驚いた直後、ミサキの身体へ昨日と同じ痴漢の手が伸びてきた。；昨日は、一本の樹にまつわる過去の記憶のなかに、ワラスは生きていた。；その明くる日、若者はまた昨日のようにあてもなく歩いて行きました。；昨日海軍部内一般に出した訓示は、このようなことを戒めたものである。；昨日の刑事は二人の巡査を伴って、約束通り一時カッキリにやって来た。；昨日キャッチボールをしていた公園のベンチに座ってボンヤリしていた。；それに付けても、昨日かの武士の後を尾け損じたのが残念であった。；昨日のように出られても、こっちはとりようがありませんからね。；昨日怪塔王が砂の上におとしていったあの大きな変な形をした鍵のことです。；吉公は、昨日と同じようにして、一銭で二銭の納豆を騙して取りました。；昨日曳網の袋が裂けたので、我々は五マイルばかり離れた漁村へ行った。；所が、おまへは昨日習つた事を今日覚えて、いつまでも忘れないんだ。</t>
        </is>
      </c>
      <c r="J3256">
        <f>HYPERLINK("https://www.weblio.jp/content/昨日", "词义详情")</f>
        <v/>
      </c>
      <c r="K3256">
        <f>HYPERLINK("https://yourei.jp/昨日", "查看例句")</f>
        <v/>
      </c>
    </row>
    <row r="3257">
      <c r="A3257" t="inlineStr">
        <is>
          <t>作者</t>
        </is>
      </c>
      <c r="B3257" t="inlineStr">
        <is>
          <t>成功</t>
        </is>
      </c>
      <c r="C3257" t="inlineStr">
        <is>
          <t>読み方：さくしゃ
１作品を作った人。特に、芸術作品の作り手。「物語の—」「焼き物の—」「—不詳」
２勅撰集に和歌を載せられた歌人。
３歌舞伎狂言を作る人。狂言作者。</t>
        </is>
      </c>
      <c r="D3257" t="inlineStr">
        <is>
          <t>作者自身(4%)；作者本人；作者不明；作者曰く；作者自ら</t>
        </is>
      </c>
      <c r="E3257" t="inlineStr">
        <is>
          <t>作家；アーティスト；著者；芸術家；ライター</t>
        </is>
      </c>
      <c r="F3257" t="inlineStr">
        <is>
          <t>同作者；同じ作者；狂言作者；年代記作者；座付作者</t>
        </is>
      </c>
      <c r="G3257" t="inlineStr">
        <is>
          <t>作者不詳；作者の死；作者付；作者を探す六人の登場人物</t>
        </is>
      </c>
      <c r="H3257" t="n">
        <v>29</v>
      </c>
      <c r="I3257" t="inlineStr">
        <is>
          <t>原作の作中ではアニメ版の出来を作者自ら批判するような描写があった。；ハングルで書かれた文献に作者不明のものが多いのはそのためである。；手作りのものは、脚の一本がとれてそこに作者の名前が記されている。；作者のそれまでの作品の傾向から、以降の青年漫画への転換点となる作品。；実際に作者自身がこのようなビジネスを手掛けていたのかもしれない。；作者の公式サイトと集英社の公式サイトでさえ異なる表記となっている。；その題材は一般に流布していたもので、作者不明なのが普通である。；本書で建設的思考のある相について扉は閉ざされたと作者は信じている。；ナショナル・ギャラリーは、絵画の作者特定の点でも批判されている。；作者は不明であるが、同時代のジェフリー・チョーサーに影響を与えた。；作者についてはっきり誰が書いたものであるかは分かっていない。；ミス・マープルのモデルとなったのは作者の祖母と見られている。；しかし彼がすべての年代のための作者であるという自己像には一致していなかった。；「意」とは書の上で作者の個人としての性・精神性が表現されることを言う。；満月は堀江由衣の歌をイメージしたキャラだと作者がコメントしている。；作者のキャリアの中で2番目に長く連載されている作品である。；作者自身の自主避難体験を描くことを決意していたことも連載の中で描かれている。；カバーの背表紙の色は作者自身や作品のイメージから決められる。；ほかにも、作中の多くのエピソードに作者の実体験が反映されている。；作者である藤子不二雄は、自分の作品の中では一番のお気に入りだという。；また作者の趣味か、しばしば中華圏風の人物や機体名等が登場する。；実際は彼以外にも複数の作者の言葉が収められている。；作者は物語の中で、母親と姉妹を現実より伝統的な型に寄せて改変している。；作者のローリングによると、ハリー自身はこれを喜んでいるという。；作者である詩人が、混乱を経た後にはすべてが最初の状態に戻ると考えていたとしている。；ただし作者によれば、特別に計算したわけではなく、全くの偶然とのことである。；匿名の作者はこれらの詩の中で封建的な価値や宮廷的なモラルを嘲笑した。；第二に、これらの全ての説が、作者が吉田定房であることを前提としている。；槍の作者は現在も判明していないが、その作りは質実剛健な大身槍である。</t>
        </is>
      </c>
      <c r="J3257">
        <f>HYPERLINK("https://www.weblio.jp/content/作者", "词义详情")</f>
        <v/>
      </c>
      <c r="K3257">
        <f>HYPERLINK("https://yourei.jp/作者", "查看例句")</f>
        <v/>
      </c>
    </row>
    <row r="3258">
      <c r="A3258" t="inlineStr">
        <is>
          <t>削除</t>
        </is>
      </c>
      <c r="B3258" t="inlineStr">
        <is>
          <t>成功</t>
        </is>
      </c>
      <c r="C3258" t="inlineStr">
        <is>
          <t>読み方：さくじょ
［名］(スル)文章などの一部を、けずりとること。「不穏当な発言を議事録から—する」</t>
        </is>
      </c>
      <c r="D3258" t="inlineStr">
        <is>
          <t>削除する(11%)；削除される(5%)；削除しよ；削除シーン；削除機能</t>
        </is>
      </c>
      <c r="E3258" t="inlineStr">
        <is>
          <t>除去；消す；抹消；抹殺；外す</t>
        </is>
      </c>
      <c r="F3258" t="inlineStr">
        <is>
          <t>すべて削除；一部削除；全文削除；選手登録削除；ごと削除</t>
        </is>
      </c>
      <c r="G3258" t="inlineStr">
        <is>
          <t>削除要請；削除人；削除対象；削除キー；削除文字</t>
        </is>
      </c>
      <c r="H3258" t="n">
        <v>29</v>
      </c>
      <c r="I3258" t="inlineStr">
        <is>
          <t>実際、昭和天皇は自分が神の子孫であることを否定した文章を削除した。；選ばれなかった方はこの時点で削除され、以後復元することが出来ない。；このイースター・エッグは発売直後に判明し、後期版からは削除された。；原著と日本語版を比べてみると、幾つかの部分が編集で削除されている。；あまりにひどい論文は削除されたり、登録分野から移動させられたりする。；ほかにも、一部のクラスや武器やアイテムの仕様変更、削除が行われた。；削除基準は2ちゃんねるで禁止となっている性的表現が許容されている。；実際に制作された本編では、基本的にそうした描写は削除されている。；ただし海外吹き替え版では著作権の問題から当該部分は削除されている。；そして戦後の民法改正により妻を無能力者とする規定は削除されている。；配信は1週限りであり、翌週分の配信が行われると前週分は削除される。；公式ツイッターにも同様の内容を発信したがその日のうちに削除されている。；もし削除値が2つの要素をもつ葉なら、その値を削除するだけでよい。；現在では歌詞が改変されたり、後半部を削除したりする場合が多い。；これと似たような経緯で後半部を削除された童謡に、てるてる坊主がある。；そして11月25日にV2編成が編成名削除となり、V編成が消滅した。；背景が灰色で表示されているものは2011年の改定で削除された。；SNES版はカトーが削除され、ゲームも内容もより大味になっている。；第二版刊行時に約2万項目を削除し、新たに約2万項目を追加した。；立法論としても削除されるべきとの考えが強く、裁判上も重視されていない。；加筆が行われた場合、この依頼ページから該当項目の削除をお願いします。；通常そのような領域を削除するユーティリティなどを利用する場合が多い。；また他にもストーリーの途中で紙芝居的な演出を行う予定があったがそれも削除された。；日本国憲法施行後の昭和22年に後者が削除されたことにより失効した。；また、ツイートの削除に関しては会社が指示したものではないという。；その後国王の名は政治的理由により削除され、現在のケレスとなった。；また、記事が削除となって赤リンクになった際には名前を除去してください。；教義の大部分を削除したり、教祖の文章に大幅な改変をほどこしている。；ロムを認めず一定期間投稿がないとリストから削除される場合もある。</t>
        </is>
      </c>
      <c r="J3258">
        <f>HYPERLINK("https://www.weblio.jp/content/削除", "词义详情")</f>
        <v/>
      </c>
      <c r="K3258">
        <f>HYPERLINK("https://yourei.jp/削除", "查看例句")</f>
        <v/>
      </c>
    </row>
    <row r="3259">
      <c r="A3259" t="inlineStr">
        <is>
          <t>作成</t>
        </is>
      </c>
      <c r="B3259" t="inlineStr">
        <is>
          <t>成功</t>
        </is>
      </c>
      <c r="C3259" t="inlineStr">
        <is>
          <t>読み方：さくせい
［名］(スル)
１計画や書類、また文章などを作ること。「予算案の—」「報告書を—する」
２《保険業界で》社員が顧客の名を借りて契約を結び、保険料は自分が負担すること。</t>
        </is>
      </c>
      <c r="D3259" t="inlineStr">
        <is>
          <t>作成すること(4%)；作成される(3%)；作成できる；作成するため；作成する際</t>
        </is>
      </c>
      <c r="E3259" t="inlineStr">
        <is>
          <t>建設；製造；制作；生産；製作</t>
        </is>
      </c>
      <c r="F3259" t="inlineStr">
        <is>
          <t>文書作成；基づいて作成；日本語版作成；新規作成；記事作成</t>
        </is>
      </c>
      <c r="G3259" t="inlineStr">
        <is>
          <t>作成過程；作成行為</t>
        </is>
      </c>
      <c r="H3259" t="n">
        <v>29</v>
      </c>
      <c r="I3259" t="inlineStr">
        <is>
          <t>最初の大きな仕事は月の位置を計算するプログラムを作成することだった。；建築士の資格は有していないが、試験問題の作成を担当したことがある。；道路の記事からも得られる情報しか持たないような記事は作成しないで下さい。；このように作成されたプログラムは「構造上正しい」ことが知られている。；物体化説では、文書を物理的に作成した者が文書の作成者であるとする。；それらの文書のほとんどはリチャード・ストールマンにより作成された。；Eテレ版では楽曲および映像をOP・ED共に新規作成したものとなる。；パズルの作成だけで収入を得ている純粋なプロはあまり多くない。；できる限り人物の記事を作成してから追加するようお願いします。；この件がきっかけとなり、後に年次改革要望書が作成される事になる。；以下に技術委員会の一覧と、各委員会が作成した著名な規格を示す。；その年前半の僅かな時間でアルバムを作成し、ツアーのリハーサルを行った。；軽量なものでは5kgを切るような車体を作成することも可能である。；旧来の日本では、契約等の書面を作成するには以下の慣習が存在していた。；原型の素材はさまざまであり、作成には高度な知識・技術・経験が要求される。；現在の形の折り畳み自転車が作成されたのは、1890年代とされている。；その結果、一見しただけでは原因を見つけられないバグを作成する危険がある。；日本でも、日本標準産業分類がISICに準拠する形で作成されている。；二人はともにティコの正確な座標に基づく新しい星表の作成を行った。；設権証券とは権利の発生には証券の作成が要件となっている証券をいう。；性能を向上させるために、インデックス作成などの手法を使用することもある。；ただし認定産業標準作成機関が原案を作成した場合は付議を要さない。；記事の作成から公開までのプロセスは次のようになっている。；さらに、データとCD-DAを混在させたメディアの作成も可能である。；ユーザーは自身の作成したこれらのソフトウェアの重要性に気づいていないことが多い。；委員会でも速記録と議事録が作成されたが両院で扱いが異なっていた。；初めてヨーロッパとアジアを区分した地図はミレトスのヘカタイオスが作成した。；株主名簿とは、発行会社が株主を把握するために作成される名簿のこと。；整備マニュアルは独自に作成した物を利用していたという。</t>
        </is>
      </c>
      <c r="J3259">
        <f>HYPERLINK("https://www.weblio.jp/content/作成", "词义详情")</f>
        <v/>
      </c>
      <c r="K3259">
        <f>HYPERLINK("https://yourei.jp/作成", "查看例句")</f>
        <v/>
      </c>
    </row>
    <row r="3260">
      <c r="A3260" t="inlineStr">
        <is>
          <t>作戦</t>
        </is>
      </c>
      <c r="B3260" t="inlineStr">
        <is>
          <t>成功</t>
        </is>
      </c>
      <c r="C3260" t="inlineStr">
        <is>
          <t>読み方：さくせん
１戦いや試合をうまく運ぶ方法や策略。転じて、物事を進めていくうえでのはかりごと。「—を練る」「—を立てる」
２歩兵・砲兵・騎兵などの、ある期間にわたる一連の対敵戦闘行動。「水際—」「陽動—」</t>
        </is>
      </c>
      <c r="D3260" t="inlineStr">
        <is>
          <t>作戦行動(3%)；作戦計画；作戦会議；作戦活動；作戦指揮</t>
        </is>
      </c>
      <c r="E3260" t="inlineStr">
        <is>
          <t>事業；戦略；戦術；戦法；兵法</t>
        </is>
      </c>
      <c r="F3260" t="inlineStr">
        <is>
          <t>攻略作戦；侵攻作戦；大作戦；方面作戦；作戦指導</t>
        </is>
      </c>
      <c r="G3260" t="inlineStr">
        <is>
          <t>作戦機；作戦術；作戦要務令；作戦司令官；作戦統制権</t>
        </is>
      </c>
      <c r="H3260" t="n">
        <v>29</v>
      </c>
      <c r="I3260" t="inlineStr">
        <is>
          <t>連続して作戦を実施するには機動力とそれを保証する火力が必要となる。；作戦・戦闘が終結した後に地雷原は記録を活用して遅滞なく撤去される。；ただしこの時点ではフランス側の作戦計画は察知できてはいなかった。；その後、遼河平原での作戦が完了すると、第二期作戦の準備が始まった。；ただし、肝心の英国側にはそのような作戦を行った証拠となる記録は無い。；軍隊において兵站が体系化された背景には作戦や装備の複雑化がある。；ほとんどの連合軍諸国は、自らの作戦及び戦闘を様々な名称で呼んだ。；納税拒否のような非協力的な行為にも空軍が出動して懲罰作戦を行った。；第二期作戦は、第一期作戦の進行、つまり制海権で三つが想定された。；そうした場合には、作戦名が戦役を指す名として通用することにもなる。；同部隊がボラユル軍団として再編された際も作戦課長の任務を継続した。；戦病死者の割合が作戦を共にした日本軍人よりも高かったといわれている。；作戦行動中に迫撃砲が果たす戦術上の役割は、以下の3つに大別される。；作戦通りにいかない場合には、作戦を超えて戦役が続くことになる。；このように連合艦隊司令部は、南雲機動部隊の作戦に不満を抱いていた。；同盟にはその作戦目標から侵略的な場合と防衛的な場合がある。；神は軍令部との交渉に入ったが、作戦課長富岡定俊少将は反対であった。；こうしたフェイズ管理の概念は連続作戦や作戦術の制定につながった。；この作戦能力が備わっている戦力として特殊部隊が高く評価されている。；ドックに入って修理しないかぎり、長期の作戦行動をとれなくなったのである。；複数の正面軍の作戦指導は最高司令官が任命した最高司令官代理が担う。；彼はオーストリア皇帝や廷臣たちと作戦計画や補給関連の協議を持った。；アクシズ破壊のため三段構えの作戦を立てたロンド・ベルは再度攻撃を開始。；チャーチルは自分が常に海軍の専門家から同意を得て作戦を実行したことを強調した。；このような中で、ソ連は極秘のうちに大規模な反攻作戦の準備を進めていた。；アフガニスタン北部ではドイツ軍などがハレカテ・ヨロ作戦を実施した。；佐々も作戦中にクレーンが故障したため十分な効果を得られなかったとしている。；しかしその数を減らしたとはいえ大陸への突撃作戦は継続された。；こうした動きはコンモドゥスの政治的な作戦と見る向きことであるとする意見が強い。</t>
        </is>
      </c>
      <c r="J3260">
        <f>HYPERLINK("https://www.weblio.jp/content/作戦", "词义详情")</f>
        <v/>
      </c>
      <c r="K3260">
        <f>HYPERLINK("https://yourei.jp/作戦", "查看例句")</f>
        <v/>
      </c>
    </row>
    <row r="3261">
      <c r="A3261" t="inlineStr">
        <is>
          <t>昨年</t>
        </is>
      </c>
      <c r="B3261" t="inlineStr">
        <is>
          <t>成功</t>
        </is>
      </c>
      <c r="C3261" t="inlineStr">
        <is>
          <t>読み方：さくねん
今年の前の年。去年。</t>
        </is>
      </c>
      <c r="D3261" t="inlineStr">
        <is>
          <t>昨年同様；昨年夏；昨年あたり；昨年暮れ；昨年春</t>
        </is>
      </c>
      <c r="F3261" t="inlineStr">
        <is>
          <t>昨年十一月二十七日；昨年の暮あたり；昨年冬；昨年末；昨年の当</t>
        </is>
      </c>
      <c r="G3261" t="inlineStr">
        <is>
          <t>昨年末；昨年十二月；昨年来；昨年八月；昨年十一月</t>
        </is>
      </c>
      <c r="H3261" t="n">
        <v>29</v>
      </c>
      <c r="I3261" t="inlineStr">
        <is>
          <t>電車の窓から松島の海つづきの青い波をながめて昨年の事を思ひ出した。；そしてもう1つは昨年の夏、平和的な抗議者に催涙ガスを放ったものだ。；昨年の台風の日には、脚立に立って彼女とおなじ目の位置で撮りました。；お時 昨年親父がなくなりましてからは、これ一人が杖柱でござります。；ヨシオの目に映じる彼女の脚は、昨年よりもさらに美しさを深めていた。；昨年まで母校である中京大学で女子ソフトボール部のコーチをしていた。；これは昨年10月11日の議会での発言と食い違っているように思われた。；昨年より緊張が続く東シナ海方面への関心は高く、研究を続けている。；この年も前半戦のうちは、昨年と同じく出場時間は限られていた。；全国女子体重別では昨年に続いて決勝で松崎に敗れて2位にとどまった。；そして昨年とは変わり打撃成績や盗塁阻止率、配球などが課題となった。；昨年に比べて進歩を見せてはいるが、実力面では上位との差が大きい。；昨年の大会から採用されたが、その際は一部の試合で試験的に行われたものだった。；工場は粘着剤を生産、新技術を導入し昨年、操業を始めたばかりだった。；今大会は出場チーム数が昨年から12チーム増加し48チームになる。；ポストシーズンにも出場せず昨年と対照的に不本意なシーズンに終わる。；そしていずれも昨年JOAKから全国中継で放送されたものである。；昨年まで設定されていたスタートエリアは設定されなかった。；昨年と同じ対戦となった決勝は、崇徳高校が勝利し二連覇を達成した。；昨年私はある機会から、この模範納屋の絵のある同大学の報告を見た。；昨年の今日から今年の今日までのあいだに、一年が経過している。；またこの制度で昨年登録を抹消されたパク・ソンスも再び登録された。；それでも両者で155ポイントと昨年の約2倍のポイントを獲得した。；豊作のための模像の死骸を君は昨年 君の畑に植えたが、芽が出たかい?；昨年までの大会形式から大きく変更され、完全トーナメント方式となった。；弟は73kg級で優勝したので昨年に続いて姉弟でのメダル獲得となった。；最終的には昨年よりも登板数を増やすも、防御率を大幅に悪化させた。；昨年ここでタイトルを取ったルイス・ハミルトンと偶然にも状況が同じである。；正力杯では決勝で昨年に続いて天尾を袈裟固で破って2連覇を達成した。</t>
        </is>
      </c>
      <c r="J3261">
        <f>HYPERLINK("https://www.weblio.jp/content/昨年", "词义详情")</f>
        <v/>
      </c>
      <c r="K3261">
        <f>HYPERLINK("https://yourei.jp/昨年", "查看例句")</f>
        <v/>
      </c>
    </row>
    <row r="3262">
      <c r="A3262" t="inlineStr">
        <is>
          <t>昨晩</t>
        </is>
      </c>
      <c r="B3262" t="inlineStr">
        <is>
          <t>成功</t>
        </is>
      </c>
      <c r="C3262" t="inlineStr">
        <is>
          <t>読み方：さくばん
きのうの晩。ゆうべ。昨夜。</t>
        </is>
      </c>
      <c r="D3262" t="inlineStr">
        <is>
          <t>昨晩遅く；昨晩あれ；昨晩おそく；昨晩読ん</t>
        </is>
      </c>
      <c r="H3262" t="n">
        <v>29</v>
      </c>
      <c r="I3262" t="inlineStr">
        <is>
          <t>昨晩あなたがお帰りになってから一時間ぐらいも書斎にいましたかしら。；彼女は昨晩よりももっと従順だったから、それは儀式のように進行した。；わたくしはすぐに昨晩ついた二人のご婦人の一人だと気がつきました。；いまの話で、昨晩父がもってかえった菓子のことを思い出したのである。；昨晩からもう何十何首と繰り返した、答えのない疑問を、また心に流す。；その場合は、昨晩のとは性質が全く違うから、それは見殺しはできまい。；昨晩の話に出ていた廃墟の大穴に着いたのは、陽が高くのぼったころだ。；昨晩と同じ大柄な花模様の浴衣を着て、手には団扇を持っているだろう。；こぎれいな部屋でしばらく待っていると、やがて昨晩の女が降りて来た。；昨晩だって旅川があの宴会に加わらなかったのは別に腹が立ちもしない。；そこで私は先生が殺されなさったのは昨晩ではないと判断しました。；昨晩、夫とのんちゃんと私と三人で近所のちゃんこ鍋屋に行った時のこと。；彼女はなぜ、昨晩『私はもう生きていたくない』といったのでしょうか?；あなたは昨晩の馬車の一件に多少、関係があるんでしょう、それとも?；それにしても、昨晩、すぐ秦のところへいったとは知らないはずである。；「顔色が悪い」と指摘されたのがきっかけで、彼女は昨晩のことを話した。；昨晩はまだ、青柳雅春が犯人だとはどこにも公表されていなかったはずだ。；少くとも昨晩のことがどういう偶然だったのか、説明する必要はある。；おれとグレタは昨晩食べたけど、口にせずに逃げてしまった娘もいたっけ。；将軍は昨晩ここに泊りに来ると言っていたのに、やって来ないんです。；昨晩も夜遅くまで帰って来なかったし、今日も朝から出かけたりして。；というよりも、昨晩私が知らされた、やや取り澄ました彼女の声だった。；かれが昨晩案内された宮廷の巨大なベッドはひどく寝心地が悪かった。；昨晩私は例の炉ばたの片隅で十二時近くまで起きて古い本を読んでいたの。；ために昨晩にはパリに到着している予定が、今日の朝まで遅れてしまったのである。；昨晩のあいだに誰かが飲んでいたもののようで、底のほうにわずかだが残っていた。；じゃ昨晩私等が大きな死体を長椅子の上に引きずらなかったですかい?；そこへ、昨晩、何者ともわからない奴があらわれて、事実をぶちまけた。；昨晩、花尻の森から人魂が飛んだのも、ちょうどこの時刻でありました。</t>
        </is>
      </c>
      <c r="J3262">
        <f>HYPERLINK("https://www.weblio.jp/content/昨晩", "词义详情")</f>
        <v/>
      </c>
      <c r="K3262">
        <f>HYPERLINK("https://yourei.jp/昨晩", "查看例句")</f>
        <v/>
      </c>
    </row>
    <row r="3263">
      <c r="A3263" t="inlineStr">
        <is>
          <t>作品</t>
        </is>
      </c>
      <c r="B3263" t="inlineStr">
        <is>
          <t>成功</t>
        </is>
      </c>
      <c r="C3263" t="inlineStr">
        <is>
          <t>山口長男による油絵。
（作品）抽象画。昭和29年（1954）、第1回現代日本美術展に出品し優秀賞を受賞した。
（象）黒地に黄土色の矩形を配置した抽象画。昭和36年（1961）、第6回日本国際美術展に出品。東京国立近代美術館蔵。</t>
        </is>
      </c>
      <c r="D3263" t="inlineStr">
        <is>
          <t>作品群；作品ごと；作品制作；作品全体；作品自体</t>
        </is>
      </c>
      <c r="E3263" t="inlineStr">
        <is>
          <t>本；曲；制作；作；作業</t>
        </is>
      </c>
      <c r="F3263" t="inlineStr">
        <is>
          <t>監督作品；全作品；各作品；連載作品；初期作品</t>
        </is>
      </c>
      <c r="G3263" t="inlineStr">
        <is>
          <t>作品集；作品名；作品番号；作品リスト；作品社</t>
        </is>
      </c>
      <c r="H3263" t="n">
        <v>29</v>
      </c>
      <c r="I3263" t="inlineStr">
        <is>
          <t>これらの要素は本作で初めて導入され、以降の作品でも踏襲されている。；しかし、ソフト化の際に劇場公開版のみが収録される作品が大半である。；日本人が観ても気恥ずかしさを感じないことを意図した作品となった。；細野は1970年代に多くのアーティストの作品で演奏に参加している。；また発売された作品もゲーム性の低いマルチメディア作品が大半である。；ロボットの重量設定はシリーズ他作品よりも小さいものとなっている。；非常に多作な作家でありながら、作品ごとに独特な設定が為されている。；作品の中で自身の画力を自虐的に扱うシーンを入れる事も度々であった。；これに関連してサービスを終了するアーケードゲーム作品も存在した。；各種設定が原作および以前の作品と異なるように変更されている。；ジャズ業界の知識を援用して音楽方面に取材した作品を複数発表している。；サマセット・モームに執筆を依頼し短い作品を連載したところ評判になった。；本作の登場人物は他の藤子作品、およびアニメに出演したことがある。；稀に一度は中止にされた作品が時を経て再起動するケースもある。；独立記事がある作品の書誌情報の詳細はそれぞれの作品記事を参照。；高橋の作品の多くは英語や他のヨーロッパ言語に翻訳されている。；最も多忙な時期で月刊誌・週刊誌あわせて5本の連載作品を持っていた。；これはギムナジウムを舞台にした萩尾望都にそっくりの作品であった。；作品の文学性の基準は学者の間の数々の論争の的となってきた。；当初は本名での作品発表であったが、後に現在のペンネームに改名。；一方で、諸星はジャンルを越えた多くの著名人の作品に影響を与えている。；一部例外もあるが芳文社作品では鼻がなく、竹書房作品では鼻がある。；エコール・デ・ボザールの講堂壁画はその代表的な作品のひとつである。；また友人の画家の作品を交換や購入によって相当数持っていた。；また日本の映画の音響面も大友作品以降、大きく進化することになった。；また、彗星が地球へ衝突するという状況を描いた作品も多数存在する。；また日常の不安を形にしたような寓意的な作品も得意とする。；作品内では味方キャラクターからも馬鹿にされている。；作品の全ては長年、演出家の森田雄三と打ち合わせながら作られてきた。</t>
        </is>
      </c>
      <c r="J3263">
        <f>HYPERLINK("https://www.weblio.jp/content/作品", "词义详情")</f>
        <v/>
      </c>
      <c r="K3263">
        <f>HYPERLINK("https://yourei.jp/作品", "查看例句")</f>
        <v/>
      </c>
    </row>
    <row r="3264">
      <c r="A3264" t="inlineStr">
        <is>
          <t>作文</t>
        </is>
      </c>
      <c r="B3264" t="inlineStr">
        <is>
          <t>成功</t>
        </is>
      </c>
      <c r="C3264" t="inlineStr">
        <is>
          <t>読み方：さくぶん
［名］(スル)
１文章を書くこと。また、その文章。
２小・中学校などで、国語教育の一環として、児童・生徒が文章を書くこと。また、その文章。綴(つづ)り方。
３形式的には整っていても、内容のとぼしい文章。または、事実をありのまま書かず、内容を書き換えた文章。「お役所の—のような報告書」「陳述書を—する」</t>
        </is>
      </c>
      <c r="D3264" t="inlineStr">
        <is>
          <t>作文コンクール(2%)；作文コンテスト；作文集；作文指導；作文法</t>
        </is>
      </c>
      <c r="E3264" t="inlineStr">
        <is>
          <t>構成；制作；構造；字；表記</t>
        </is>
      </c>
      <c r="F3264" t="inlineStr">
        <is>
          <t>自由作文；書簡作文；論作文；人権作文；冗談作文</t>
        </is>
      </c>
      <c r="G3264" t="inlineStr">
        <is>
          <t>作文大体</t>
        </is>
      </c>
      <c r="H3264" t="n">
        <v>29</v>
      </c>
      <c r="I3264" t="inlineStr">
        <is>
          <t>その眼が未来に定着しない文学は作文にすぎないことを知るべきである。；作文のお時間にも、私は気楽に書いて、普通のお点をもらっていました。；つまり私は、作文を熱を入れて勉強する対象と考えていなかったのだ。；フォアはこの文章を星座占いの文章を組み合わせて作文したのであった。；私は今でも、フィンランド語の作文集は私の大事な宝物だと思っている。；その作文の中に、ある折、俳句を入れて、先生に出しておいたのである。；明らかにそうやって彼はレーニに言ってもらいたい返事を作文していたのだ。；小学生時代からの学校での試験答案や作文などが、いくつか残っている。；この作文が父の書いたもののうち、活字になった最初のものであろう。；起案者自身この作文の意味するところを、どれだけ信じていたであろうか。；日常の会話から得られたものは少ないが、作文の課題からたくさん得られた。；ぼくは、そんな真っ暗やみの中で、作文に書いたことを思い出していた。；ところがこの祖父は小説は読書作文の助けになるといってむしろ奨励した。；それを裏づけるものは、その作文のほかにもいろいろと残されていた。；えらくなって、死んだ後にも作文に書かれるなんてすばらしいじゃない?；翌日ははたしてギリシャ語があり、そのあとでドイツ語の作文があった。；それ以外にも、作文や小説で、文章コンクールに応募したりしてました。；兄の影響でギターを学び始め、学校では作文と英語に熱心に取り組んでいた。；中学のとき、作文で級一番だったのがその趣味に赴かせたのである。；当時の作文用の原稿用紙は15字詰6行、それが表と裏に印刷してある。；例の小座敷に置いた机の上には、生徒から預った作文が載せてあった。；問題は実際の手紙文で、簡単な内容であったため英作文はパスした。；ある日、小谷先生は子どものかいた作文をだれかにみてもらいたいと思った。；このペースと頭の中で作文をしていくリズムとがぴったりと合うのである。；いつもは作文は原稿用紙一枚も書かないが、弟のことで3枚も書いていた。；作文の舟に乗ってこれほどの詩を作ったら、どんなにか名誉だったろうに。；八時すぎまでかかって明日の作文とこの前のをなおしてしまった。；作文嫌いの子供たちに書かせるには適切なテーマだといえた。；私の向い側の割合年とった女のひとは一心に英作文をやって居ります。</t>
        </is>
      </c>
      <c r="J3264">
        <f>HYPERLINK("https://www.weblio.jp/content/作文", "词义详情")</f>
        <v/>
      </c>
      <c r="K3264">
        <f>HYPERLINK("https://yourei.jp/作文", "查看例句")</f>
        <v/>
      </c>
    </row>
    <row r="3265">
      <c r="A3265" t="inlineStr">
        <is>
          <t>作物</t>
        </is>
      </c>
      <c r="B3265" t="inlineStr">
        <is>
          <t>成功</t>
        </is>
      </c>
      <c r="C3265" t="inlineStr">
        <is>
          <t>読み方：さくぶつ
製作したもの。特に、文学・美術上の作品。
「著者の名前も—の名前も」〈漱石・門〉</t>
        </is>
      </c>
      <c r="D3265" t="inlineStr">
        <is>
          <t>作物栽培；作物残渣；作物生産；作物学；作物収穫</t>
        </is>
      </c>
      <c r="E3265" t="inlineStr">
        <is>
          <t>芸術；アート；工芸；似たり；作り物</t>
        </is>
      </c>
      <c r="F3265" t="inlineStr">
        <is>
          <t>原著作物；重要な作物；食用作物；主要な作物；栽培作物</t>
        </is>
      </c>
      <c r="G3265" t="inlineStr">
        <is>
          <t>作物研究所；作物所；作物語</t>
        </is>
      </c>
      <c r="H3265" t="n">
        <v>29</v>
      </c>
      <c r="I3265" t="inlineStr">
        <is>
          <t>さらには、特定の地域では特定作物・特定品種が栽培されることもある。；最近では遺伝子組み換え技術は様々な作物の新品種開発に使われている。；ウリ科の植物の多くは熱帯に分布し、人類の歴史上最も古い作物を含む。；糯性とはアミロースを全くあるいはほとんど含まない作物の種類を指す。；このような作物は、いくつかの国では一般的に商業利用されている。；生産する作物は政府から指令され、買い上げ価格まで政府の決定による。；作物は基本的に毎日水をあげなければいけないが雨の時は必要ない。；そのような作物は大規模な灌漑に依存する不毛な地域で重要になるだろう。；完全な無農薬での栽培は特定種類の作物や米などでは非常に難しい。；二毛作とは、同じ耕地で一年の間に2種類の異なる作物を栽培すること。；農法や作物は地域差が大きく、各地区で特徴のある農法が行われている。；連作連作とは、同一の圃場で同一の作物を何度も繰り返し栽培すること。；初期の町もここに発展し、商品や作物を市場に運ぶ蒸気船で結ばれた。；作物群分類では野菜類の下位のグループに食用花として分類されている。；ゼウスはリディアの作物を破壊するべく、一頭の去勢前の雄豚を放った。；一方で、同年の冬は極端な暖冬となり、他の作物の作付にも影響を与えた。；農業に従事するものにとって魅力あるのは、米・たばこの主要作物である。；米は、それがバングラデシュの主要な食物・作物であることを表している。；季節ごとに育てられる作物が異なり、その季節以外の作物の種は買えない。；日本の家庭で自家消費するための作物を作る耕作地を屋敷畑という。；南北両海岸共にロングアイランドの農業史は古くかつては多くの作物を生産していた。；畝とは、 畑で作物を作るために細長く直線状に土を盛り上げた所のこと。；人間の生活との関わりでは作物に寄生する植物病原菌の影響は大きい。；農業でも作物の種苗生産に広く用いられており、イモ類や球根の例がある。；タバコは現在では主要作物ではないが、それでも国内第5位の生産高である。；結果として畑の作物で餌付けをしたのと同じことになるであろう。；何らかの理由で一時的に稲以外の作物を育てている田を転作田と呼ぶ。；横木は最下段でも作物が地面につかない程度の高さになっている。；人間によってよりよい特徴を持つ作物になるよう植物の遺伝構造を変更してきた。</t>
        </is>
      </c>
      <c r="J3265">
        <f>HYPERLINK("https://www.weblio.jp/content/作物", "词义详情")</f>
        <v/>
      </c>
      <c r="K3265">
        <f>HYPERLINK("https://yourei.jp/作物", "查看例句")</f>
        <v/>
      </c>
    </row>
    <row r="3266">
      <c r="A3266" t="inlineStr">
        <is>
          <t>桜</t>
        </is>
      </c>
      <c r="B3266" t="inlineStr">
        <is>
          <t>成功</t>
        </is>
      </c>
      <c r="C3266" t="inlineStr">
        <is>
          <t>読み方：おう
［音］オウ（アウ）（漢）　［訓］さくら
［学習漢字］5年
〈オウ〉
１木の名。サクラ。「桜花／観桜」
２木の名。ミザクラ。「桜桃(おうとう)」
〈さくら（ざくら）〉「桜色／葉桜・山桜・夜桜・彼岸桜・八重桜」
［難読］桜桃(さくらんぼ)</t>
        </is>
      </c>
      <c r="D3266" t="inlineStr">
        <is>
          <t>桜並木(4%)；桜色(4%)；桜子(3%)；桜町；桜丸</t>
        </is>
      </c>
      <c r="E3266" t="inlineStr">
        <is>
          <t>ピンク；ローズ；桃；桃色；サクラ</t>
        </is>
      </c>
      <c r="F3266" t="inlineStr">
        <is>
          <t>獅桜；桜守；桜台；桜樹；桜前線</t>
        </is>
      </c>
      <c r="G3266" t="inlineStr">
        <is>
          <t>桜花；桜木；桜田；桜花賞；桜島</t>
        </is>
      </c>
      <c r="H3266" t="n">
        <v>29</v>
      </c>
      <c r="I3266" t="inlineStr">
        <is>
          <t>拝殿の前には武田信玄の手植えと伝わる七本の桜が存在していたという。；目黒川沿いの桜並木は有名であり、桜のシーズンには多くの人が訪れる。；ここでは、川・小学校校舎・桜・紅葉・列車を1枚の写真に収められる。；それ以降の時期で単に葉が茂っている状態の桜を葉桜と呼ぶことはない。；現在は船岡城址公園となっていて、公園内には約1000本の桜がある。；桜通線と東山線との乗り換えは連絡通路を経由することで可能である。；花見のシーズンには、両岸の桜を楽しむために多くの人がこの橋を渡る。；開業時に新設された4か所の出入口はいずれも桜通大津交差点角にある。；全兄弟が朝鮮半島から日本に渡ったのが、桜が咲き始める3月であった。；スーパー堤防化事業や五色桜に由来する桜の植樹事業が行なわれている。；住宅が多いベッドタウンで、北口の前を通る道路は桜並木になっている。；上流の支流八手俣川には君が野ダムがあり桜の見所として知られている。；園内には約3500本の桜をはじめ、様々な四季の花が植えられている。；それらの地域では桜だけでなく梅や花桃の花も同時に咲くことが多い。；自然豊かな地区となっており、春の桜、秋のいちょう並木は見物である。；よく桜公園で散歩しているのが目撃されているらしい。；一般的に春に桜色と表現される白色や淡紅色から濃紅色の花を咲かせる。；これは桜の場合も多いが、「桜」と名がついていても桜以外の木の場合もある。；桜並木が有名で、春が近くなると雑誌等に掲載されることも多い。；桜の開花時期にはトンネル状になり列車が通り抜ける光景が人気を集める。；最寄り停留所は、桜通と江川線の交差点付近にある国際センターである。；桜の開花の季節には駅の前にある大きな桜の木がライトアップされる。；校地のすぐ脇を流れる岸渡川の桜並木は、桜の名所として知られている。；小渕ダム周辺は公園として整備されており、春は桜、秋は紅葉が美しい。；通常白い花は、日本の大部分の桜のように、葉が出る前に花を付ける。；県道との間には幾らかのスペースがあり、春になると桜が満開となる。；これによる混同を避けるために本来の桜を地桜と呼ぶこともある。；その前庭には多くの桜樹が植されており、「桜町」と称されたという。；また春の桜と並んで、西行は月に心を寄せ、秋歌の半数を費やしている。</t>
        </is>
      </c>
      <c r="J3266">
        <f>HYPERLINK("https://www.weblio.jp/content/桜", "词义详情")</f>
        <v/>
      </c>
      <c r="K3266">
        <f>HYPERLINK("https://yourei.jp/桜", "查看例句")</f>
        <v/>
      </c>
    </row>
    <row r="3267">
      <c r="A3267" t="inlineStr">
        <is>
          <t>桜並木</t>
        </is>
      </c>
      <c r="B3267" t="inlineStr">
        <is>
          <t>成功</t>
        </is>
      </c>
      <c r="F3267" t="inlineStr">
        <is>
          <t>見事な桜並木；美しい桜並木</t>
        </is>
      </c>
      <c r="H3267" t="n">
        <v>29</v>
      </c>
      <c r="I3267" t="inlineStr">
        <is>
          <t>目黒川沿いの桜並木は有名であり、桜のシーズンには多くの人が訪れる。；ある絵の時間、きのう見て来た桜並木を画きましょうと先生は言われた。；住宅が多いベッドタウンで、北口の前を通る道路は桜並木になっている。；北に面する道路は、春になると西向かいにある公園から桜並木が続く。；土手沿いの桜並木は舟の上からは薄紅色の真綿を被せたようにも見える。；桜並木が有名で、春が近くなると雑誌等に掲載されることも多い。；校地のすぐ脇を流れる岸渡川の桜並木は、桜の名所として知られている。；ラチエンがこの道筋に桜並木を作ったことから、当時は桜道とも呼ばれた。；しかし、桜並木のある堤まであふれるほど水が満ちることは稀であった。；地元住民の手で川岸に桜並木が作られ、今でもその一部が残っている。；旧吉野川に面した公園で、桜並木や人口の大きな池で知られている。；自動車道路沿いの桜並木は春には桜の名所として地元では有名である。；また、浜の近くには桜並木があり、春にはこれらを楽しむことができる。；川沿いには桜が植えられており、春先には美しい桜並木を見ることができる。；廃線跡はヘルスロードとして整備され、道沿いには桜並木が続いている。；美しい桜並木の大通り「恋咲き通り」と学園の巨大な桜で有名な田舎町。；北側の新森町との境を大岡川分水路が流れ、川沿いは桜並木となっている。；二人は初夏の風にさわさわと小枝を揺すらせている桜並木をだいぶ歩いた。；駅前の桜並木で鳴いていた蝉たちが汽笛に愕いてすこしの間黙り込んだ。；施設は旧桜山小学校を使用しており、また学校周辺の道路は桜並木になっている。；とにかく、あたしたちはグリカスさんと一緒に、桜並木を見にいった。；道や線路・河川などに沿って植えられることが多く、このようなものを桜並木という。；橋付近は流路に沿って桜並木が整備されている。；道はまず、正面通りの桜並木から校庭を前に見つつ左へ九十度力ーブ。；ラチエンは桜を好み、家の前を海岸に向かう道を桜並木とした。；家の門を出て、右手にゆるい坂をのぼりきると、桜並木の通りへ出た。；刑務所の人が働く農場の道は桜並木になっていて、春の華やぎを想わせる。；遅くとも江戸時代には参道に桜並木があり、サクラは神木となっている。；一部暗渠で、桜並木の整備された永堀川公園なども整備されている。</t>
        </is>
      </c>
      <c r="J3267">
        <f>HYPERLINK("https://www.weblio.jp/content/桜並木", "词义详情")</f>
        <v/>
      </c>
      <c r="K3267">
        <f>HYPERLINK("https://yourei.jp/桜並木", "查看例句")</f>
        <v/>
      </c>
    </row>
    <row r="3268">
      <c r="A3268" t="inlineStr">
        <is>
          <t>探る</t>
        </is>
      </c>
      <c r="B3268" t="inlineStr">
        <is>
          <t>成功</t>
        </is>
      </c>
      <c r="C3268" t="inlineStr">
        <is>
          <t>読み方：あなぐる
［動ラ四］さがし求める。さぐる。
「わづかにまなび読む事あれば、これを—・りもとめて、事を言ひ添へ」〈為兼卿和歌抄〉</t>
        </is>
      </c>
      <c r="D3268" t="inlineStr">
        <is>
          <t>探るべく(4%)；探るような目；探るような視線；探るような眼；探るべき</t>
        </is>
      </c>
      <c r="E3268" t="inlineStr">
        <is>
          <t>見る；調査；捜査；検査；テスト</t>
        </is>
      </c>
      <c r="F3268" t="inlineStr">
        <is>
          <t>探るような眼差し</t>
        </is>
      </c>
      <c r="H3268" t="n">
        <v>29</v>
      </c>
      <c r="I3268" t="inlineStr">
        <is>
          <t>私とは関係がないような顔をして、実は私との関係を探ろうとしている。；私は全身を緊張させて、その感覚がどこからくるものかを探ろうとした。；彼に知らせないようにして、彼の仕事やまた多少生活までも探っていた。；あの女が日登美やこの村に興味をもって探ろうとしている動機はなんだ。；杖がポケットにはない事を知りながら、ハリーはまだそこを探っていた。；彼は記憶の中を探って、彼女の姿をはっきり其処に現わそうとしていた。；自身の二拠点居住を継続しつつ、家族生活とを両立させる方法を探った。；ハインリッヒとわたしはなにがこの裏にあるのか、探ろうとしているの。；彼はこの根拠を求めるために、美を定義するのに必要な性質は何かを探る。；知らないうちに布団の外に手を伸ばして何かを探ろうとしていました。；いつ警察が私の身体を探ったり、家捜しをするか分かったもんじゃない。；そうしてそれぞれ万葉の本質を、あらゆる方面から探ろうとしています。；子供の頃に誰もが憧れた働く車が登場し、その仕組みを探っていく番組。；果して何の位まで悪い沢であるか、近い内に探って見たいと思っている。；この事は、別の視点から見ると、分布域決定の原因を探る実験でもある。；だが、高校の友人や教師と娘の関係を探る中で、衝撃の事実が発覚する。；僅かな足音も立てず、僅かな気配すら探らせず、志貴は影になって走る。；周囲の人々との関係に揺れて自分を探る子どもの姿を描くのを得意としている。；発狂の原因を探るために教師を務める叔父に事件の調査を依頼される。；表面からは見えなくても、探って行けばきっと何かがあるはずだ、って。；只名所をのみ探らんとの心にて行く人は必ず四月以後に行くべき国なり。；あの声はおれのからだじゅうを掻き探っておれの呼吸をまで窒めるのだ。；此は西洋にも、何処にでもある形で、物を探つて行く為のものである。；その顔は、いつも言葉の裏にかくされている真の答えを探ろうとしていた。；かれは片手に主人の妻の手を取って、暗いなかを探るようにして歩き出した。；テーブルに灰皿が出ているのを見て、ハントはポケットの煙草を探った。；自分がまわりの人間に、見られ、探られているような気がしてしまうのだ。；床に倒れていた死体にぶつかって倒れ、起きあがると両手で探ってみた。；最適化は例外的なケースを考慮しつつ、複雑な妥協点を探ることが多い。</t>
        </is>
      </c>
      <c r="J3268">
        <f>HYPERLINK("https://www.weblio.jp/content/探る", "词义详情")</f>
        <v/>
      </c>
      <c r="K3268">
        <f>HYPERLINK("https://yourei.jp/探る", "查看例句")</f>
        <v/>
      </c>
    </row>
    <row r="3269">
      <c r="A3269" t="inlineStr">
        <is>
          <t>酒</t>
        </is>
      </c>
      <c r="B3269" t="inlineStr">
        <is>
          <t>成功</t>
        </is>
      </c>
      <c r="C3269" t="inlineStr">
        <is>
          <t>読み方：き
さけ（酒）の古名。
「相飲まむ—そこの豊御酒(とよみき)は」〈万・四二六四〉</t>
        </is>
      </c>
      <c r="D3269" t="inlineStr">
        <is>
          <t>酒をのん；酒好き；酒壺；酒壜；酒問屋</t>
        </is>
      </c>
      <c r="E3269" t="inlineStr">
        <is>
          <t>ジョン；聖；アルコール；聖人；日本酒</t>
        </is>
      </c>
      <c r="F3269" t="inlineStr">
        <is>
          <t>大酒；お酒；強い酒；祭酒；コップ酒</t>
        </is>
      </c>
      <c r="G3269" t="inlineStr">
        <is>
          <t>酒井；酒屋；酒宴；酒造；酒類</t>
        </is>
      </c>
      <c r="H3269" t="n">
        <v>29</v>
      </c>
      <c r="I3269" t="inlineStr">
        <is>
          <t>池谷仙克によると、酒を飲んでも映像論を語るようなことはしなかった。；昼はそばなどを軽く食べ、夜は酒の肴をあてにひたすら酒を飲んでいた。；酒販店が母体の店舗では、酒の販売に力を入れているところも存在する。；そのため、損益確定が早い一般酒に力を入れる動きが泡盛業界には多い。；これに対して「酒に決まってんだろ」と返したことがさらに問題となる。；中でも日本酒については、海外への普及を目指して活動を活発化させた。；米内は酒が非常に強く、「酒が米内か、米内が酒か」とまで言われていた。；将来の不安から酒の量が増えていたのが原因とされている。；エンゲルスはスイスに亡命し、女と酒に溺れる日々を送るようになった。；複数の蔵元が製造した酒を混ぜたブレンド日本酒が販売されることもある。；酒令用なので酒令具と呼ばれ、各目にはその目が出たときにする行為が記されている。；沖縄では泡盛は日常だけでなく旧暦行事や祝いの席の酒にもなっている。；仕事が終われば、スタッフを引き連れ、酒を飲みに行くことも多かった。；この付近は地下水が豊富で古くからの日本酒の名産地として知られている。；材料の比率を変えたもの、材料の酒を変更したり追加したものなど様々である。；酒に弱く一切飲まず、このことを語っている楽曲もいくつか存在する。；酒が入手できた地域でも、ラマダーン期間は入手が困難になることがよくある。；カクテルを具体的に表現したとき、しばしば「酒+何か」と表現される。；ルチアーノらと酒輸送ネットワークの一員になり、規模を拡大した。；それまでの英主が愚君に変貌して女と酒に溺れて朝政を顧みなくなった。；これに激しく落胆した恵帝は政務を放棄し、酒に溺れ間もなく死去する。；以下は、ドライ・ジンを他の酒に変更したバリエーションの例である。；選手を送り出す際に円陣を組んで日本酒を回し飲みしながら斉唱していた。；ある将校がおかわりをしようとし、酒壺に飾られた雄鶏の尻尾に気付く。；大の酒好きであり、高見沢と坂崎から酒乱だと思われているぐらいである。；熟成とは、貯蔵されている間に進行する、酒質の成長や完成への過程をいう。；日本酒、または和酒は、通常は米と麹と水を主な原料とする清酒を指す。；滓引きとは、上槽を終えた酒の濁りを取り除くために、待つことを指す。；ビール好きなのは旧世紀版と同様だが、日本酒も愛飲している模様。</t>
        </is>
      </c>
      <c r="J3269">
        <f>HYPERLINK("https://www.weblio.jp/content/酒", "词义详情")</f>
        <v/>
      </c>
      <c r="K3269">
        <f>HYPERLINK("https://yourei.jp/酒", "查看例句")</f>
        <v/>
      </c>
    </row>
    <row r="3270">
      <c r="A3270" t="inlineStr">
        <is>
          <t>叫び</t>
        </is>
      </c>
      <c r="B3270" t="inlineStr">
        <is>
          <t>成功</t>
        </is>
      </c>
      <c r="C3270" t="inlineStr">
        <is>
          <t>読み方：さけび
１大声をあげること。また、その声。「助けを求める—」
２他に向かって必死の思いでする主張。「民族独立の—」</t>
        </is>
      </c>
      <c r="D3270" t="inlineStr">
        <is>
          <t>叫びまし(5%)；叫び出し(3%)；叫びたい；叫び続け；叫びつづけ</t>
        </is>
      </c>
      <c r="E3270" t="inlineStr">
        <is>
          <t>悲鳴；叫び声；叫ぶ；絶叫；泣き声</t>
        </is>
      </c>
      <c r="F3270" t="inlineStr">
        <is>
          <t>小さな叫び；叫び出す；叫びだしたい；鋭い叫び；叫び聲</t>
        </is>
      </c>
      <c r="G3270" t="inlineStr">
        <is>
          <t>叫びとささやき</t>
        </is>
      </c>
      <c r="H3270" t="n">
        <v>29</v>
      </c>
      <c r="I3270" t="inlineStr">
        <is>
          <t>それでも長年のファンからすれば何か違う気がして、こう叫びたくなる。；ここの誰もが知っていますが、島民はそれを聞くと恥しらずと叫びます。；その叫びが心に深く突き刺さってしまい、ジム自身も生に疑問を抱いた。；それは、半ば自分のまちを捨てて東京へ行った娘への叫びでもあった。；多鶴子は叫び出しそうになったが、さすがにかつての人気女優だった。；彼は、声こそ出さなかつたが、殆んど叫び出しでもするやうな表情をした。；真実にものを見た作家の叫びでなければならないことです。；何か訳の分らぬことを叫びながら、不二子のピストルに飛びついて行った。；俺の歓喜の叫びは数ブロック離れた本部ビルまで聞こえたと思う。；彼は私をじっと見つめていましたが、やがて悲しそうに叫びました。；また、必殺技使用時には技名を叫びながら繰り出すのが基本となっている。；そして皺枯れた声でおめき叫びながら雨の中を帰って行ってしまった。；悪意に満ちたその叫びを遠くから聞くだけで、人の意志はくじけてしまう。；彼女の悲痛な叫びを聞いた翼は思わず不良たちと雪のもとへ向かう。；バンドの一人が「ヒート・ウェイヴ」と叫び、私たちはそれを演奏した。；お百姓はマルコを自分の前に立たせ皆にむかいながらこう叫びました。；もう一度自分の心の中でさう叫びながら私は真青になりました。；サケビ鳥たちは、わたしがミミズクの小屋にはいるのを見ていました。；死を凝視した動物共のどうにも出来ぬ恐怖の叫びに、耳が被い度くなった。；部下を激励していて叫び続けている時に血管が切れたためと言う。；「このイネばかりがおれの女だ」と叫び上げたいほどに思ったことであろう。；やがて大きな門の前へ着いた事を感じると、武士は「開門」と叫びました。；それはまさしく浅井さんと見ましたから、わたしは思わず叫びました。；自殺前の女性の手帳には、助けを求める悲痛な叫びが記されていた。；正時を曲でまたいでいる場合には、曲の途中でも叫びだけ入れる場合がある。；演技が続けられなくなった「彼女」の支離滅裂な叫びで、唐突に終わる。；公衆はわたくしがその中に籠めた大なる感動の叫びを聞いたのだ。；一方、三葉の姿の瀧は三葉の名を叫びながら外輪山を駆け上がっていった。；老人ながら、彼はギャッと叫び相になったのを、やっとのことでこらえた。</t>
        </is>
      </c>
      <c r="J3270">
        <f>HYPERLINK("https://www.weblio.jp/content/叫び", "词义详情")</f>
        <v/>
      </c>
      <c r="K3270">
        <f>HYPERLINK("https://yourei.jp/叫び", "查看例句")</f>
        <v/>
      </c>
    </row>
    <row r="3271">
      <c r="A3271" t="inlineStr">
        <is>
          <t>叫び声</t>
        </is>
      </c>
      <c r="B3271" t="inlineStr">
        <is>
          <t>成功</t>
        </is>
      </c>
      <c r="C3271" t="inlineStr">
        <is>
          <t>読み方：さけびごえ
大きく張りあげる声。叫ぶ声。叫び。「—をあげる」</t>
        </is>
      </c>
      <c r="D3271" t="inlineStr">
        <is>
          <t>叫び声を聞きつけ；叫び声ひとつ；叫び声があがりまし</t>
        </is>
      </c>
      <c r="E3271" t="inlineStr">
        <is>
          <t>悲鳴；叫び；叫ぶ；絶叫；泣き声</t>
        </is>
      </c>
      <c r="F3271" t="inlineStr">
        <is>
          <t>小さな叫び声；恐ろしい叫び声；鋭い叫び声；けたたましい叫び声；甲高い叫び声</t>
        </is>
      </c>
      <c r="H3271" t="n">
        <v>29</v>
      </c>
      <c r="I3271" t="inlineStr">
        <is>
          <t>おれはあの大きな苦痛の叫び声のためにじっとしていることもできない。；それにしても司令室の人びとに叫び声をあげさせるだけのことはあった。；彼の顔に怖しい表情を見た私は思わずアッと小さい叫び声を出しました。；家に帰り、玄関のところでネリーが飛び出して来て叫び声を上げていた。；しばらくすると叫び声がしたので調べてみたが、何も見つからなかった。；併し姫は書物に気を取られていたから人々の叫び声も何も耳に入らなかった。；娘は向うで、叫び声をきいてやって来たも一人の娘と話をしていた。；アナスタシアと彼女の家族はしばらく言葉にならない叫び声を上げていた。；タチアナと彼女の家族はしばらく言葉にならない叫び声を上げていた。；絶望的な叫び声が、怒号する風に運ばれて彼の耳にまで達したからだ。；Kもその叫び声を問題にはしていなかったが、それでも元気づけられた。；そしておやと思ふ間もなく突如として異様な獣のやうな叫び声が起つた。；猫が背後で鋭い叫び声を立てたので、ソロは思わず肩越しにふり返った。；じや君、もがいている間に少しも叫び声を立てなかつたのをどう説明する?；風を切る刃の音と女の叫び声とが聞こえ、頭のない胴体がどっと倒れた。；二度ばかり、かれらは眼に見えない怪物のうつろな叫び声を耳にした。；刑罰の最中に何度も彼は地面に倒れたものの叫び声をあげることはなかった。；と、彼女はビックリして、何か微かな叫び声のようなものをあげました。；あまりの嬉しさに我を忘れて発した叫び声は彼の身辺の四辺から起つた。；あけみが主人の叫び声を聞きつけて、上がってくるにちがいないからだ。；マリアと彼女の家族はしばらく言葉にならない叫び声を上げていた。；オリガと彼女の家族はしばらく言葉にならない叫び声を上げていた。；バーカーは恐怖のあまりに叫び声を上げることができなかった可能性がある。；しゃべろうとしましたが、わけのわからない叫び声を発しただけです。；何人かの女たちが舌を鳴らし叫び声を上げながら後に続いた。；チロの名を呼ぶ藤井の叫び声を聞きつけて、近所の人々が集まってきた。；その叫び声の中には、仲間の救いを求める合い図が含まれたことであろう。；彼等は沖へ去つてゆく舟に向つて、いろいろな叫び声をなげかけました。；ひと眼その光景を見るなり、さすがの津留が「まあ」と叫び声をあげた。</t>
        </is>
      </c>
      <c r="J3271">
        <f>HYPERLINK("https://www.weblio.jp/content/叫び声", "词义详情")</f>
        <v/>
      </c>
      <c r="K3271">
        <f>HYPERLINK("https://yourei.jp/叫び声", "查看例句")</f>
        <v/>
      </c>
    </row>
    <row r="3272">
      <c r="A3272" t="inlineStr">
        <is>
          <t>叫ぶ</t>
        </is>
      </c>
      <c r="B3272" t="inlineStr">
        <is>
          <t>成功</t>
        </is>
      </c>
      <c r="C3272" t="inlineStr">
        <is>
          <t>読み方：おらぶ
［動バ四］大声で叫ぶ。また、大声で泣き叫ぶ。
「菟原壮士(うなひをとこ)い天仰(あめあふ)ぎ叫び—・び地(つち)を踏み」〈万・一八〇九〉</t>
        </is>
      </c>
      <c r="D3272" t="inlineStr">
        <is>
          <t>叫ぶ間もなく；叫ぶべき；叫ぶだら</t>
        </is>
      </c>
      <c r="E3272" t="inlineStr">
        <is>
          <t>呼ぶ；悲鳴；叫び；叫び声；絶叫</t>
        </is>
      </c>
      <c r="F3272" t="inlineStr">
        <is>
          <t>こう叫ぶ；向かって叫ぶ；一声叫ぶ；小さく叫ぶ；あっと叫ぶ</t>
        </is>
      </c>
      <c r="H3272" t="n">
        <v>29</v>
      </c>
      <c r="I3272" t="inlineStr">
        <is>
          <t>全くメキシコの絵画は彼等の言葉で彼等の問題を精一杯に叫んで居ます。；事故はそこで起きたものであり、咲子はその際に娘の名前を叫んでいた。；メルラは兵士に向かって、もう一押しすれば勝利を手に出来ると叫んだ。；彼はゲームのある部分で叫ばなければならないのが難しかったと述べた。；途中で警察の馬車に遭遇したが、彼は騎兵大尉のふりをしてこう叫んだ。；「これ程頼んでも許してくれないのか」と叫んでいるように感じられた。；取り残された樵夫は声を限りに叫んだが、どうすることも出来なかった。；これを見た外国人は、声をかぎりに叫んで、狂わんばかりに喜びました。；ドッケンのジョージ・リンチは映画を見たときに叫んだと言われている。；女の自立が叫ばれ、多くの女たちが頑張ってきたのもこの目にしてきた。；そうすれば船の手すりごしにいつまでも別れの言葉を叫ばなくてもすむ。；ルービンによると、一人の警官が刑務所にやってきてこう叫んだという。；目撃者は犯人が殺害時に「神は偉大なり」と叫んでいたと主張している。；ぼくは顔を見られて叫ばれたのは、そのときが生まれて初めてだった。；何か口々に叫んでいるらしいが、何をいっているのかわからなかった。；そしてその先頭に立って歩いている一名が、手をあげて何か叫んでいる様子だ。；ある日、勝負の神さんが「今が勝負のチャンスや」言うて叫んだらしい。；海の中に落ちた水兵は一生懸命に片手を挙げ、何かおお声に叫んでいた。；死の間際、田部が最後に叫んだ名は太宰の名ではなかったと伝えられる。；無数の魂の傷手を蒙り人間に絶望しながら、友は遂にこんなことを叫ぶ。；一時は火のつく様に泣叫んでいた幼児も、もうすっかり黙り込んでいた。；もう一度叫ぼうとした途端に扉は閉じられ、千佳の姿は視界から消えた。；その大きな声の叫ばれた瞬間、彼はどきんと胸を叩かれたように感じた。；最終的に残りの2両が橋を渡った時、突撃砲指揮官の陸軍少尉が叫んだ。；私は下へおりたかったのですが、声を出して叫ぶ元気もなくなっていました。；ライブでも心の中で叫んでいる自分たちらしいと語っている。；江南は大きく口を開けて何かを叫ぼうとしたが、うまく声にならなかった。；文化の混乱や思想の混乱が日本で叫ばれ始めたのは、しばらく前からである。；そして、入ってきたのがわたしだとわかると、思わず大声で叫ぼうとした。</t>
        </is>
      </c>
      <c r="J3272">
        <f>HYPERLINK("https://www.weblio.jp/content/叫ぶ", "词义详情")</f>
        <v/>
      </c>
      <c r="K3272">
        <f>HYPERLINK("https://yourei.jp/叫ぶ", "查看例句")</f>
        <v/>
      </c>
    </row>
    <row r="3273">
      <c r="A3273" t="inlineStr">
        <is>
          <t>避ける</t>
        </is>
      </c>
      <c r="B3273" t="inlineStr">
        <is>
          <t>成功</t>
        </is>
      </c>
      <c r="C3273" t="inlineStr">
        <is>
          <t>読み方：さける
［動カ下一］［文］さ・く［カ下二］
１それとかかわることで不都合や不利益が生じると予測される人や事物から離れるようにする。また、そのような人や事物に近づかないようにする。「あの人は—・けたほうがよい」「反抗期で父親を—・ける」「都会の騒音を—・けて暮らす」「—・けて通れない問題」「ラッシュ時を—・けて出勤する」「人目を—・けて会う」
２不都合や不利益をもたらすような言動をしないようにする。差し控える。「コメントを—・ける」「どぎつい表現は—・けたほうがよい」「武力衝突は—・けたい」
３よける。「飛び出してきた自転車を—・けきれずに衝突する」
[用法]さける・よける——「走ってくる車をさけよう（よけよう）としてころんだ」「水たまりをさけて（よけて）歩く」など、自分に害を与えるものや好ましくないものから意識的に離れることを表す場合、相通じて用いられる。◇「さける」は「人目をさけて暮らす」「視線をさける」「明言をさける」など、抽象的なものが対象の場合にも用いる。この場合「よける」は使わない。◇「よける」は「落石をよけて事なきを得た」「相手のパンチをよけそこなう」のように、わきへ寄る、身をかわすなどの具体的な動作に重点がある。</t>
        </is>
      </c>
      <c r="D3273" t="inlineStr">
        <is>
          <t>避けるべき(4%)；避けるべく；避ける間もなく；避けるよう命令；避けるため高麗</t>
        </is>
      </c>
      <c r="E3273" t="inlineStr">
        <is>
          <t>回避；逃げる；逃れる；忌避；控える</t>
        </is>
      </c>
      <c r="F3273" t="inlineStr">
        <is>
          <t>なるべく避ける；限り避ける；避けるため潜航</t>
        </is>
      </c>
      <c r="H3273" t="n">
        <v>29</v>
      </c>
      <c r="I3273" t="inlineStr">
        <is>
          <t>こういったイベント時の興奮は、プレイヤーの努力では避けようがない。；時間や物理法則が存在する限り未来の到来は避けられないものとされる。；党は分裂を回避するために奴隷制問題への態度表明を避けるようになった。；この喜劇の脚本の記述の真実性への疑義は、避けようのないことである。；なお249編成では幕板部の帯が表記類を避けた高い位置となっている。；人の集合を避けるため、飛行ルートは飛行開始の3時間前に公表された。；この時の純粋さとは汚れを避けることではなく、汚れを見つめうる純粋さだ。；また、全て避けられることになっているとは言え打太刀からも技を打つ。；他の派閥との類似や混同・混乱を避ける為にポル・ポト派とも呼ばれる。；一般的に発射台の構造は発射塔と発射炎を避けるための堀から構成される。；日独伊三国同盟の締結反対、対米戦は避けるべきなどの意見を発信した。；これらの問題を避けるために、改変する際には次のような規定がある。；テストの内容は学習に使用された特定の教材に由来することは避けられる。；曖昧さを避けるために名をつける必要がある場合は、常に使用される。；特に乳幼児への使用は危険であり、近くでの使用も避けるべきである。；主体性についてのあらゆる問題が再考察の対象となるのは避けられない。；避けがたい戦争を前にしてナポレオン3世は閣議で涙を流したという。；王室関係は避けろと言ったこちらの指示を無視したことになりますが?；なお、あまりにも高い場所は危険を生じるため避けるべきとされる。；例: このことから混乱が生じたため1980年代以降は避けられている。；海岸の崖沿いを避けたトンネルの多い道路は、明治中期になって整備されている。；農民との争いを避けるために武士の役目以外では名字・帯刀を禁止された。；生後1歳以上になると腸内環境が整う時期となるので避ける必要はない。；ローマはカルタゴ勢力がシチリアでこれ以上に広がることは避けたかった。；このような事態の多くは本当は避けられたとする研究結果もある。；航空母艦との重複を避けたため、本来の用途とは名称が反対となっている。；これは天皇の分身である軍旗を敵の手に渡すことを避けたためである。；この場合は、将軍家や藩主家の娘の名も使用を避ける対象であった。；ここでも推理小説と同様、シリーズキャラクターの登場は避けられている。</t>
        </is>
      </c>
      <c r="J3273">
        <f>HYPERLINK("https://www.weblio.jp/content/避ける", "词义详情")</f>
        <v/>
      </c>
      <c r="K3273">
        <f>HYPERLINK("https://yourei.jp/避ける", "查看例句")</f>
        <v/>
      </c>
    </row>
    <row r="3274">
      <c r="A3274" t="inlineStr">
        <is>
          <t>裂ける</t>
        </is>
      </c>
      <c r="B3274" t="inlineStr">
        <is>
          <t>成功</t>
        </is>
      </c>
      <c r="C3274" t="inlineStr">
        <is>
          <t>読み方：さける
［動カ下一］［文］さ・く［カ下二］ひと続きになっていたものが線状に切れて二つに離れる。また、切れ目が入る。「紙が—・ける」「地震で地面が—・けた」「口が—・けても言えない」</t>
        </is>
      </c>
      <c r="D3274" t="inlineStr">
        <is>
          <t>裂けるような音(3%)；裂けるような声；裂けるような悲鳴</t>
        </is>
      </c>
      <c r="F3274" t="inlineStr">
        <is>
          <t>はり裂ける；深く裂ける；浅く裂ける；ひっ裂ける；切り裂ける</t>
        </is>
      </c>
      <c r="H3274" t="n">
        <v>29</v>
      </c>
      <c r="I3274" t="inlineStr">
        <is>
          <t>痛みとか傷とかいうものではなくて、皮膚の裂けたのに似ているんです。；また、その部分の皮膚は骨より弱いので裂けるなどの怪我を負いやすい。；口は大きくへの字に裂けるが、ハスのように唇が折れ曲がってはいない。；紙幣を出す時、その辺が極めて僅かでも裂けていると、文句をいわれる。；彼女は渦巻き吹き捲る恐怖の嵐のために、胸が裂けてしまいそうだった。；Oは皮紐で身体が裂けるかと思うほど、あらん限りの力で身をもがいた。；着物のはしにちよつと觸れただけでも葉の裂けることがありますからね。；黒い穴だけの眼が吊り上がり、口はその目尻と同じ位置まで裂けている。；青いシャツの端を切り裂いて水につけ、それを裂けた頬と鼻にあてた。；しかも普段はそんな事は口が裂けても言いそうにない殷雷の言葉だ。；次の瞬間、床となっている岩盤が裂け、彼らは空中に投げだされていた。；音は大きくなっていき、裂けた地獄から上ってくるかのようだった。；口が耳まで裂けた鬼女のような顔をした妖怪で、全身が毛に覆われている。；羽片を構成する小羽片は羽状に深く裂け、先端はやや長い頂羽片となる。；雨戸のガラスはやがて裂けはしまいかと思はれるほど張り切つて見える。；夫を愛しておらんなどとは、口が裂けてもいう女ではないんです。；細かく裂けた葉の形がヒノキに似ていることからの命名と考えられる。；大きい口がへんにゆがんで、殆ど耳まで裂けてゐるやうになつてゐる。；その時、突然大きな衝撃と鉄の塊が裂けるような音がして床が水平に戻った。；二三度試みて居るうちに、頭の中央と亀の尾の辺が裂けそうに痛んで来た。；見ると、ドアはよく閉まっていなくて、鍵の周囲の板が大きく裂けていた。；女人達は喉が裂けるのではないか、と入鹿自身驚いたほどの悲鳴をあげた。；それがすむと、彼は満足げな目つきで自分の裂けたシャツを見おろした。；地が裂けながら持ちあがると、家も人も動物も忽ちそこに呑み込まれた。；尾びれ後端の中央付近が突出し、その先端が二つに裂けているのが特徴。；今の大きな響きは、その人間が足をかけた梢の一つが裂けたものとみえる。；側葉は、たいてい大きく裂けて、背面側と腹面側で大きさに差がある。；胸が中から裂けてしまうのではないかと思ったほどでした。；この鞭は強力なもので、打たれた者は皮膚が裂け出血するほどである。</t>
        </is>
      </c>
      <c r="J3274">
        <f>HYPERLINK("https://www.weblio.jp/content/裂ける", "词义详情")</f>
        <v/>
      </c>
      <c r="K3274">
        <f>HYPERLINK("https://yourei.jp/裂ける", "查看例句")</f>
        <v/>
      </c>
    </row>
    <row r="3275">
      <c r="A3275" t="inlineStr">
        <is>
          <t>下げる</t>
        </is>
      </c>
      <c r="B3275" t="inlineStr">
        <is>
          <t>成功</t>
        </is>
      </c>
      <c r="C3275" t="inlineStr">
        <is>
          <t>読み方：さげる
［動ガ下一］［文］さ・ぐ［ガ下二］
１
㋐物の一端を固定して下に垂らす。つるす。ぶらさげる。「風鈴を—・げる」「カーテンを—・げる」
㋑（「提げる」とも書く）物を手・肩・腰などで支えて下に垂らす。「かばんを手に—・げて持つ」「肩からカメラを—・げる」
２高い所・位置から低い所・位置へ移す。位置を低くする。「頭を—・げる」「機首を—・げる」「目尻を—・げる」「一字—・げて書く」
３今までよりも低い段階に移す。
㋐位・階級を低くする。等級・順序などを下の方にする。「役付から—・げられる」「等級を—・げて出荷する」⇔上げる。
㋑価値・値段・評価などを低くする。「男を—・げる」「値を—・げて売る」「コストを—・げる」⇔上げる。
㋒能力・技量などを劣った状態にする。「調子を—・げる」「腕を—・げる」
㋓程度・度合いを低くする。おとす。「部屋の温度を—・げる」「あまり話を—・げるなよ」
㋔けなす。くさす。「人を上げたり—・げたりする」⇔上げる。
４身分の高い人や上位の存在から遠ざける。
㋐目上の人の前からしりぞかせる。「家族の者を—・げる」
㋑高位の場所からしりぞける。人の前などから取り去ってかたづける。「供物を—・げる」「お膳(ぜん)を—・げる」⇔上げる。
㋒奉公人などに暇を出す。また、退学させる。「家の事情で学校から—・げる」
５目上の者から目下の者へものを渡す。官庁などが許可・金銭などを与える。さげ渡す。交付する。「洋服を妹に—・げる」「鑑札を—・げる」
６一度自分の手を離れて他に出したものを再び自分のもとに返す。
㋐提出したものを引っ込める。「要求を—・げる」「訴えを—・げる」
㋑金融機関から、預けた金を引き出す。おろす。「貯金を全部—・げる」
７後方に移す。「駐車位置を—・げる」
８「持つ」「携える」「有する」などの意の俗な言い方。「五〇面(づら)—・げてそんなまねができるか」
[下接句]上げたり下げたり・頭を下げる・男を下げる・手鍋(てなべ)提げても・どの面(つら)下げて・目尻(めじり)を下げる</t>
        </is>
      </c>
      <c r="D3275" t="inlineStr">
        <is>
          <t>下げるべき；下げる可能性；下げる方向へ移動</t>
        </is>
      </c>
      <c r="E3275" t="inlineStr">
        <is>
          <t>落とす；下す；掛ける；下ろす；断る</t>
        </is>
      </c>
      <c r="F3275" t="inlineStr">
        <is>
          <t>斬り下げる；大きく下げる；つり下げる；ブラ下げる；下げるしかない</t>
        </is>
      </c>
      <c r="H3275" t="n">
        <v>29</v>
      </c>
      <c r="I3275" t="inlineStr">
        <is>
          <t>次第に灯篭も数十個と下げるようになり、力を競うようになっていった。；湯の温度を効率よく下げるため、底より口を大きく作ってあることが多い。；ほかにも運送負荷を下げるために生産段階から軽い梱包材を採用できる。；ストレスは散歩やストレス解消の餌を与えることで下げることができる。；他社の販売を援助したくない会社は、価格を下げる前に躊躇するであろう。；その際に自分が混乱しないように、自身の中にある相手の評価を下げることで防衛する。；より細かい調整をするには神殿などで瞑想するなどして下げる必要がある。；これには原材料コストを下げるためと品質改善のためと二つの目的がある。；いずれもドライサンプ化され、車自体の重心を下げることに成功している。；関税について完全に廃止しないまでも税率を下げるようなことが行われる。；地上を歩くときは尾を高く上げ、樹上で食事するときなどは下に垂れ下げる。；そのため日本中央競馬会などの主催者より控除率を下げることができる。；GMは全員に夜が来たことを告げ、プレイヤーに目を閉じ頭を下げるよう指示する。；植物のフィトステロールは血漿中のコレステロール量を下げるとされる。；頭を下げる悠司の姿を見る自らの中に、わずかな暗い感情が生じたことも感じながら。；最初は体温を下げることで自分自身の身体に高密度の雪を覆わせて鎧にしていた。；座板を2本の鎖で支柱から吊り下げる構造を持つ最も一般的なもの。；突風は1時間で250kmにもなり、数時間で気温を下げる事態となる。；敵の攻撃にはこちらの能力を下げる、状態異常にするものもある。；これによってケアのコストを下げるのに成功している、などと説明される。；これはフロントガラスの下に垂れ幕を下げる方式であり、近年多く見られる。；会社の株価を下げるため間抜けを社長に据える必要の出たマスバーガー。；その特性のため、音量を下げることはできてもスイッチを切ることはできない。；また、製造コストを下げるために、新しいマシンは極東で生産された。；「操作のため出力を下げるより損失が小さい間は」この運転法が優れているという。；また、部品を小型化・高集積化することはコストを下げる効果もある。；客人が来たとき、帰るとき、そう言って頭を下げろと教えたのはだれであったか忘れた。；FF4DS 泣いているフリをして全ての敵の防御力を下げるコマンド。；判決宣告後には、出廷していた裁判官3人が頭を下げる場面があった。</t>
        </is>
      </c>
      <c r="J3275">
        <f>HYPERLINK("https://www.weblio.jp/content/下げる", "词义详情")</f>
        <v/>
      </c>
      <c r="K3275">
        <f>HYPERLINK("https://yourei.jp/下げる", "查看例句")</f>
        <v/>
      </c>
    </row>
    <row r="3276">
      <c r="A3276" t="inlineStr">
        <is>
          <t>支える</t>
        </is>
      </c>
      <c r="B3276" t="inlineStr">
        <is>
          <t>成功</t>
        </is>
      </c>
      <c r="C3276" t="inlineStr">
        <is>
          <t>読み方：ささえる
［動ア下一］［文］ささ・ふ［ハ下二］
１倒れたり落ちたりしないように、何かをあてがっておさえる。「太い柱で梁(はり)を—・える」「—・えられてよろよろ歩く」
２ある状態が崩れないように、もちこたえる。維持する。「一家の暮らしを—・える」
３精神的・経済的に支援する。「地元の人達の声援に—・えられて選挙戦を勝ち抜く」
４防ぎとめる。くいとめる。「敵の攻撃をかろうじて—・える」
[補説]室町時代以降はヤ行にも活用した。→支ゆ</t>
        </is>
      </c>
      <c r="D3276" t="inlineStr">
        <is>
          <t>支えるべく；支える支柱；支えるべき；支える重要な役割；支える太い</t>
        </is>
      </c>
      <c r="E3276" t="inlineStr">
        <is>
          <t>持つ；続く；維持；続ける；守る</t>
        </is>
      </c>
      <c r="F3276" t="inlineStr">
        <is>
          <t>支える重要な要素</t>
        </is>
      </c>
      <c r="H3276" t="n">
        <v>29</v>
      </c>
      <c r="I3276" t="inlineStr">
        <is>
          <t>壁には建物を支える構造体となっているものと、そうでないものがある。；また、両手で長槍を支えることができるようになったのも効果が大きい。；そこで同種個体間には種社会を支えるような関係を生じるものと考えた。；この時指導された選手が1960年代後半の黄金期を支えることとなる。；大型化した種では体重を支えるため、二次的に四足歩行も併用していた。；レールも、車体を支えるアームとは逆側から、片持ちで支持されている。；それぞれ胞子形成部とそれを支える菌糸の柄の形状で区別されている。；動機は強い無常観であり精神生活を支えるものは美と信仰であったという。；車体の大荷重を支える必要があるため通常圧縮コイルばねにして用いる。；観光都市とは、観光機能が都市の経済を支えるまでに強くなった都市。；皇子の生計を支えるために設定された一種の封戸を管理する役職である。；実家の家業を支える一方で勉強が手につかなくなったりしていた。；規則的に、高音域の音型の様に唸るような弦の音を響かせ演奏を支える。；一刻を争うニュースやスポーツの編集を支える画期的なシステムである。；それにともない、後半身を支える腰帯とその周囲の筋肉も変化している。；滋賀県は、日本有数の消費地である京都・大阪を支える農業県であった。；左右の手の親指はサム・ストラップにくぐらせて楽器を支えるのに使う。；居所である紫宮は四柱が支える大きなひさしを持つ 巨大な宮殿であった。；その頭が重そうに前後に揺れて首が支えるには重そうだったという。；台座は像の蓮華の下を1本の細い茎で支える、珍しい形式のものである。；趾指の先には爪があり、枝に食い込ませることで体を支えることができる。；また、直接歯を支える顎骨も硬骨の場合が多いが、歯ほど緻密ではない。；また、既に引退していた祖父・師実にも忠実を支える余力はなかった。；その活動を支える最も大きな要素は大阪市立自然史博物館友の会である。；市の経済を支えることになる羊毛産業が興ってくるのは、その時からである。；二本一対の柱に囲まれた円の中にあるいくつかの一本柱は屋根の中央を支えるために使用されていた。；そのため、肢体不自由者向けの、身体を支えることができる白杖もある。；床構造は床版や床組によって形成され、通行する交通を支える役目を持つ。；糸の膜を支えるように、上に向かって籠状に組まれた糸が膜の上部に広がる。</t>
        </is>
      </c>
      <c r="J3276">
        <f>HYPERLINK("https://www.weblio.jp/content/支える", "词义详情")</f>
        <v/>
      </c>
      <c r="K3276">
        <f>HYPERLINK("https://yourei.jp/支える", "查看例句")</f>
        <v/>
      </c>
    </row>
    <row r="3277">
      <c r="A3277" t="inlineStr">
        <is>
          <t>捧げる</t>
        </is>
      </c>
      <c r="B3277" t="inlineStr">
        <is>
          <t>成功</t>
        </is>
      </c>
      <c r="C3277" t="inlineStr">
        <is>
          <t>読み方：ささげる
［動ガ下一］［文］ささ・ぐ［ガ下二］《「さしあぐ」の音変化》
１両手に持って目の高さより上にあげる。「優勝カップを高々と—・げる」「賞状を—・げてうしろにさがる」
２慎みの心をもって、神仏や目上の人などに物をさし出す。たてまつる。献上する。「神前に五穀を—・げる」「この小著を亡き母に—・げます」
３まごころや愛情を示して相手に尽くす。「戦没者の霊に黙祷(もくとう)を—・げる」「変わらぬ愛を—・げる」
４自分の持つすべてを惜しみなくある対象につぎこむ。「伝染病研究に一生を—・げる」
５高くあげる。
「燕(つばくらめ)子産まむとするときは、尾を—・げて七度めぐりてなむ産み落とすめる」〈竹取〉
６高い大きな声を出す。
「おとど御声を—・げて泣きののしり給へど」〈栄花・本の雫〉</t>
        </is>
      </c>
      <c r="D3277" t="inlineStr">
        <is>
          <t>捧げるべき；捧げる記念碑</t>
        </is>
      </c>
      <c r="E3277" t="inlineStr">
        <is>
          <t>くれる；与える；かける；上げる；提供する</t>
        </is>
      </c>
      <c r="H3277" t="n">
        <v>29</v>
      </c>
      <c r="I3277" t="inlineStr">
        <is>
          <t>兄弟はローマの神へ犠牲を捧げるのを拒否して逮捕されたのである。；これが晩年に人生を捧げることになるユニセフへの最初の貢献だった。；この像は彼が祈りを捧げる姿を模ったもので紀元前25世紀に作られた。；教会で再び聖母マリアに祈りを捧げると、軍隊は停止し撤退していった。；彼は刑事に嘘の自白をすると、ロキシーは彼に捧げる歌を心の中で歌う。；結局神々は彼女の代わりに更に多くの貢ぎ物を捧げることになったという。；男たちは全員一致でその言葉に従い、キリストに命を捧げることを決めた。；この出来事により、エルマンは神に身を捧げることを考えるようになる。；初期の作品では彼女に「究極の花」を捧げるためにそれを探していた。；広場の北には洞窟とトンネルがあり、現在も供物を捧げるのに使われている。；アッシャーは映画製作プロジェクトに半年も捧げることができなかった。；リッチは経箱に定期的に魂を捧げることで自身を保つ魔法を維持している。；安東はその言葉に発憤、かなの研究に生涯を捧げる覚悟を抱いたそうだ。；その間に、生涯にわたって愛情を捧げることになる妻と巡り合っている。；また、このツアーは来日前に逝去した二人の父親に捧げるものでもあった。；この様式は従来、神に捧げる奉納の品を納める建物にのみ用いられていた。；それを残ったメンバーが彼に捧げるアルバムとして12月にリリースした。；唯一にして絶対の神が、自分の息子を生け贄に捧げろ、なんて命令するか?；神の恩寵を目の当たりにした一行は、跪いて神に祈りを捧げるのだった。；愛と信念に支えられた政治集会を貴方に捧げるために集まったのです。；「人はこうして何万年もつないできたんだね」人類に捧げる愛の歌。；イントロの間、彼女は祈りを捧げるように瞼を閉じて佇立するのである。；なお、レビ記ではモロク神に子供を儀式で捧げることを禁止している。；曲阜では孔子に捧げる料理を作るための調理法が独自に洗練されていった。；生き残ることができたら、海岸で最初に会った者を生け贄に捧げると。；クイントの性格は、マッコウクジラ漁に人生を捧げるのに強く似ている。；本家は当日中に飛鳥社跡にも御饌を、分家は翌日三宮社に御饌を捧げる。；リンカーンに弔意を捧げるために訪れた人は数十万人といわれた。；そして、教皇の助言で宗教に一生を捧げる決意を固め、修道院に入った。</t>
        </is>
      </c>
      <c r="J3277">
        <f>HYPERLINK("https://www.weblio.jp/content/捧げる", "词义详情")</f>
        <v/>
      </c>
      <c r="K3277">
        <f>HYPERLINK("https://yourei.jp/捧げる", "查看例句")</f>
        <v/>
      </c>
    </row>
    <row r="3278">
      <c r="A3278" t="inlineStr">
        <is>
          <t>ささやか</t>
        </is>
      </c>
      <c r="B3278" t="inlineStr">
        <is>
          <t>成功</t>
        </is>
      </c>
      <c r="C3278" t="inlineStr">
        <is>
          <t>読み方：ささやか
［形動］［文］［ナリ］
１形や規模があまり大げさでなく、控えめなさま。「—な商売をはじめる」「—に暮らす」
２形ばかりで粗末なさま。わずかなさま。多く、謙遜して用いる。「—な送別会」「—な贈り物」
[派生]ささやかさ［名］</t>
        </is>
      </c>
      <c r="D3278" t="inlineStr">
        <is>
          <t>ささやかれる(3%)；ささやかな抵抗；ささやかな幸せ；ささやかな幸福；ささやかな楽しみ</t>
        </is>
      </c>
      <c r="E3278" t="inlineStr">
        <is>
          <t>低い；少ない；小さい；狭い；薄い</t>
        </is>
      </c>
      <c r="F3278" t="inlineStr">
        <is>
          <t>そんなささやか；どんなささやか；ささやかな祝宴；ささやかな満足感；ささやかな酒宴</t>
        </is>
      </c>
      <c r="G3278" t="inlineStr">
        <is>
          <t>ささやかな欲望；ささやかなこの人生；ささやかな誘惑</t>
        </is>
      </c>
      <c r="H3278" t="n">
        <v>29</v>
      </c>
      <c r="I3278" t="inlineStr">
        <is>
          <t>ぼくは、知っているかぎりのささやかな真実の語りを自分の言葉にした。；ささやかな個人事業ではあるけれど、彼一人の力で築き上げてきた仕事。；一つの芸術の完成のための、ささやかな犠牲が多与里だったのでしょう。；わたしのささやかな希望は、活気に満ちた世界の外で生活することです。；このささやかな真実の語りが、気持ちを伝えてくれることを祈っていた。；ぼくがひとりきりの生活のなかでささやかな交流を持つ唯一の他人。；彼の態度にはとてもささやかなしっぺ返しとは思えないものがあった。；だが、どの家にもささやかな庭があって、窓はそこに面しているのだ。；彼の中に、ささやかながらもある明確な独創性を見て取ることができた。；その後、以下のような噂が、立花屋の周辺でささやかれるようになった。；しかもそれはどんな記録にも残っていない、歴史の裏のささやかな事実です。；ごくささやかな小屋だけというのは、かつてのある日の景色に違いない。；そこに限らず、かれは沿道のささやかな集落をできるだけ避けて通った。；そこはブドウ畑を往来する荷物を運搬するためのささやかな道があった。；だから雑夫達と違って、ささやかながらも一家を支えて行くことが出来た。；するとささやかれた子は別の子のそばにいって何かささやきました。；だが言わせてもらえば、僕のささやかな冒険の大半に、色をつけている。；ささやかな見合が済むと、一週間もたたないで二人は結婚の式を挙げた。；だから、信号はごくささやかなもので、ほとんど気づかれずにおわった。；ただ仕事をするだけではなく、アルバイトとのささやかな恋愛要素もある。；此ささやかな裏切は彼女には今日一日の予兆のやうな気がしてならなかつた。；ときを同じくして人々の間では悪魔の噂が絶えずささやかれるようになっていた。；ささやかではあるが、いても立ってもいらねぬ不安が彼を駆り立てている。；それはほんのささやかなものに過ぎなかったが、それで十分だった。；彼とわたしが演じているささやかな芝居は、おかしいぐらいだった。；西暦一九二二年の或る夏の夕に、僕はささやかな食店で一人夕食を済した。；ここ数日来、あなたの名は第八十六艦隊じゅうでささやかれていた。；この事故の後、ホンダはF1を撤退するのではないかとささやかれ始めた。；ささやかな遠足は終わり、一同はわがほうの死者一人を運んで家にもどった。</t>
        </is>
      </c>
      <c r="J3278">
        <f>HYPERLINK("https://www.weblio.jp/content/ささやか", "词义详情")</f>
        <v/>
      </c>
      <c r="K3278">
        <f>HYPERLINK("https://yourei.jp/ささやか", "查看例句")</f>
        <v/>
      </c>
    </row>
    <row r="3279">
      <c r="A3279" t="inlineStr">
        <is>
          <t>囁く</t>
        </is>
      </c>
      <c r="B3279" t="inlineStr">
        <is>
          <t>成功</t>
        </is>
      </c>
      <c r="C3279" t="inlineStr">
        <is>
          <t>読み方：ささやく
［動カ五（四）］
１小さな声で話す。ひそひそと話す。「耳もとで—・く」「愛を—・く」
２うわさをする。「まことしやかに—・かれる」
３かすかな音を立てる。「梢(こずえ)に—・く風の音」
[可能]ささやける</t>
        </is>
      </c>
      <c r="D3279" t="inlineStr">
        <is>
          <t>囁くような声(6%)；囁くような小声；囁くような低い</t>
        </is>
      </c>
      <c r="F3279" t="inlineStr">
        <is>
          <t>低く囁く；そっと囁く；こう囁く；寄せて囁く；ほとんど囁く</t>
        </is>
      </c>
      <c r="H3279" t="n">
        <v>29</v>
      </c>
      <c r="I3279" t="inlineStr">
        <is>
          <t>さらに法外な別の噂が何事も信じやすい者たちのあいだで囁かれていた。；おまえがかつてわしを夫と呼んだことをどんな人にも囁かないでくれ!；それゆえ、次の魔法王には召喚魔術の長こそがと囁かれていたのである。；秘密の呪文を教えてくれるかのように、かれは囁くような口調になった。；それは、単に友達にこそこそと囁かれていたときの苦しみとは質が違う。；たくさんの人のいるところで、わざと他人の耳に口を寄せ、何事か囁く。；耳元で囁かれたようにも、はるか遠くから聞こえてきたようにも思える。；そのエレベーターは無視した方がいい、私の第六感がそうも囁いていた。；万吉も並んでゆきながら、棒かなんか持ってったらどうだろうと囁いた。；閉じ込められた空間の中には囁くようなラジオの深夜放送が流れていた。；「馬鹿なことをしたようですね」瑪瑙色の瞳の女は囁くようにいった。；囁くような低い声だったが、お清はそれと同時に、静かに眼を見開いた。；雨は小降りになって、中庭の闇に囁くような音を立てているだけである。；先導して来た村人の一人が、待っていた人々の所に走り寄り、何か囁く。；思わず沈黙に還りそうなその一瞬に、影山は囁くような質問を口にした。；囁くような声で男が言うと、玄関が開いて小さな中年の女が出てきた。；そして、彼の剣は来るべきで戦いの際に善の勢力に味方をするよう囁いた。；慌てて後を追ったハルユキの耳に、ひそひそ声で会話の続きが囁かれる。；囁くような会話でも、充分に内容が伝わる程度には風が収まってきていた。；内容はそれぞれへ宛てたメッセージでゲームをしようと囁くのだった。；そうに決まっていると囁く者もあったが、博史はそれを信じていなかった。；ベッドの睦言の中で、彼は涙を流しつつそのことを彼女の耳に囁いた。；通りすぎながら囁くように話し合った二人の女中の声が私の耳に響いた。；中途半端な時期の転校生だと、クラスの女の子たちが囁いていたものだ。；男が電話を掛けに行っている隙に、私は仕方なく三人連れに囁いた。；そのポケットから顔を出したユイも、難しい顔をしてひそひそと囁いた。；しかしどこから広まった噂なのか、これを囁く者は必ずこう結ぶのである。；「私たちに親切にしてってあの人に言って」別の一人が彼女の耳に囁いた。；しかし最後に母が彼に囁くようにいった言葉を彼は夢の中でそのまま聞いた。</t>
        </is>
      </c>
      <c r="J3279">
        <f>HYPERLINK("https://www.weblio.jp/content/囁く", "词义详情")</f>
        <v/>
      </c>
      <c r="K3279">
        <f>HYPERLINK("https://yourei.jp/囁く", "查看例句")</f>
        <v/>
      </c>
    </row>
    <row r="3280">
      <c r="A3280" t="inlineStr">
        <is>
          <t>刺さる</t>
        </is>
      </c>
      <c r="B3280" t="inlineStr">
        <is>
          <t>成功</t>
        </is>
      </c>
      <c r="C3280" t="inlineStr">
        <is>
          <t>読み方：ささる
［動ラ五（四）］
１先のとがった物が他の物に突き立つ。「とげが—・る」
２（比喩的に、刺されたような）強い衝撃を受ける。また、深い感銘を与える。「先輩のひと言が—・る」「多くの人の心に—・るコンテンツを生み出す」→胸に刺さる</t>
        </is>
      </c>
      <c r="D3280" t="inlineStr">
        <is>
          <t>打つ；付ける；注ぐ；当る；降る</t>
        </is>
      </c>
      <c r="H3280" t="n">
        <v>29</v>
      </c>
      <c r="I3280" t="inlineStr">
        <is>
          <t>他の説では矢の先が下を向いて地面に刺さった形を現しているとされる。；「父がどうかなさいまして」 脇に控えていた女性の声が耳に刺さった。；そういえば左の脇腹のあたりにもなにか管のようなものが刺さっていた。；刺さってから長い時間たっているので、肉が矢をまきこんでいたからだ。；勢いよく飛び込んだせいか、体のどこにもガラスは刺さっていなかった。；腹に刺さって背中まで抜けた矢の端を、ボルゴフはぼんやりと見つめた。；俺はベッドに横になっていて、右腕には点滴のための針が刺さっている。；だから、矢が刺さっていた位置は地面から三十センチくらいの高さです。；とてもじゃないが、わたしの胸にぶつかったところで刺さりそうもない。；さっきまでその腹に刺さっていた包丁がいつの間にやら無くなっている。；何か細い物が刺さったというより、火傷を思わせる独特の爛れがあった。；だが玉手はその手を押さえ、刀が刺さったままで意外なことを物語った。；白くて長いギターのピックのようなものがそのあいだに刺さっていた。；指に刺さった棘だって、他人に取ってもらえば礼はしなければならない。；何かが飛び出して人形に刺さるが、それは失った太刀のかけらであった。；敵のプレイヤーに刺さると爆発前に追加でダメージを与えることが出来る。；そのわずか数秒を走る間にも、無数の針が全身に刺さるような感じだった。；この方式は針の刺さった箇所に病の原因となる細胞が存在しなければそれまでだ。；後部座席のクッションに刺さっていた武器を発見したのも、彼女だった。；凶器の包丁は腹に根元まで刺さった状態で、柄は抜けて側に落ちていた。；しかしカモは比較的元気で、矢が刺さったまま空を飛んだりしていた。；その左の胸に血だらけになった白鞘の匕首が一本、深々と刺さっている。；木の枝で作った串に刺さった魚が他にも、火の側でいい感じに焼けている。；そして次の瞬間、私の素晴らしい剣は、兵士の腹に深々と刺さっていた。；原案では頭頂部に折れた矢が刺さり、額のあたりに十文字型の傷がある。；兵士の死体に刺さったままの自分の剣を抜き、拭いをかけて鞘に収めた。；映画のようには刺さってはくれず、柄の方が当たって床に落ちた。；京子の胸にはあの時、別のナイフがはっきりと刺さっていたはずではないか。；金串に刺さった肉と野菜を全て平らげると、俺は意を決して声をかけた。</t>
        </is>
      </c>
      <c r="J3280">
        <f>HYPERLINK("https://www.weblio.jp/content/刺さる", "词义详情")</f>
        <v/>
      </c>
      <c r="K3280">
        <f>HYPERLINK("https://yourei.jp/刺さる", "查看例句")</f>
        <v/>
      </c>
    </row>
    <row r="3281">
      <c r="A3281" t="inlineStr">
        <is>
          <t>匙</t>
        </is>
      </c>
      <c r="B3281" t="inlineStr">
        <is>
          <t>成功</t>
        </is>
      </c>
      <c r="C3281" t="inlineStr">
        <is>
          <t>読み方：かい
《もと貝殻を用いたところから》飯などをすくうもの。しゃくし。さじ。
「箸(はし)、—など、とりまぜて鳴りたる、をかし」〈枕・二〇一〉</t>
        </is>
      </c>
      <c r="D3281" t="inlineStr">
        <is>
          <t>匙家(2%)；匙一杯；匙を投げる；匙屋敷；匙一本</t>
        </is>
      </c>
      <c r="E3281" t="inlineStr">
        <is>
          <t>スプーン；御匙；刀圭；スプン</t>
        </is>
      </c>
      <c r="F3281" t="inlineStr">
        <is>
          <t>円匙；ひと匙；匙一；御匙；木匙</t>
        </is>
      </c>
      <c r="G3281" t="inlineStr">
        <is>
          <t>匙を投げる；匙かげん</t>
        </is>
      </c>
      <c r="H3281" t="n">
        <v>29</v>
      </c>
      <c r="I3281" t="inlineStr">
        <is>
          <t>そして舌の先を見せたまま小さくあいている口へ一匙二匙の水をいれた。；家兎のような目をしているフランス女は、子供の手から匙をもぎ取った。；家兎のやうな目をしてゐるフランス女は、子供の手から匙をもぎ取つた。；鎖で二つの匙をつないだようなものであるが、ただ一本の木で作るそうな。；彼は半ば開いている戸口の閾に腰をかけて、ナイフで木匙を刻んでいた。；朝になって家に入ると小さな匙が見つかったと父親が語ったと。；ただこの作者もわからないと匙を投げているのがタユウと巡査の関係。；きびしいお父上もしまいには、あれはどうにもならぬと匙を投げられた。；すぐ横にい たせいか、何事にも真面目な匙のことが好きになっていたらしい。；どうして立原正秋は、こんな無益なお切匙とも思える電話をかけたのか。；いや、東都新聞も週刊タイムも匙を投げたんだから、それが普通なんだ。；これによれば、犁が匙鍬から来たのかも知れぬと考えることも出来る。；しかし弁護士さんでさえ匙を投げたくらいの事件なんだよ。；コーヒーを一口含んで、すこし顔をしかめると、シュガーを一匙入れる。；それでも意志を曲げなかったため、結局は両親も匙を投げたという。；こんなことを考えながら、彼はコーヒーを一匙すくって口へ持って行きました。；青年の病気は日ましに悪化し、どんな医者もついに匙を投げました。；円匙が足りないので、民家で見つけた破れ鍋や棒を動員して掘って行く。；それではあまり身体に悪いとて、おきみが粥を作り匙を添えて持って行った。；和名は浜匙の意味であり、海辺に生え、葉の形が匙形であることに依る。；私がふとこの小さな匙をみつけたのは今からみればよほど旧い日のことであつた。；八人ほどが一組になって、おもやいの鉢から木匙で食べるのだった。；二人は調子が悪いのか、軽く一杯粥を口にしただけで匙を置き、また寝てしまう。；まあまあその頃、土地第一という先生まで匙を投げてしまいました。；こうした状況下では、一匙ほどの塩でも、得がたい滋養だったのである。；やはり時間の知れぬいつか、嘔きたい程まずいココアを二匙のまされた。；目の前でグルロウズ師が匙一杯飲むのではないかと、わたしは心配になったのだった。；田舎なんぞで大匙や中匙がなかったらその分量に困るかもしれません。；社長を始め社員全部があきれ返って、匙を投げてしまったのかしら?</t>
        </is>
      </c>
      <c r="J3281">
        <f>HYPERLINK("https://www.weblio.jp/content/匙", "词义详情")</f>
        <v/>
      </c>
      <c r="K3281">
        <f>HYPERLINK("https://yourei.jp/匙", "查看例句")</f>
        <v/>
      </c>
    </row>
    <row r="3282">
      <c r="A3282" t="inlineStr">
        <is>
          <t>差し上げる</t>
        </is>
      </c>
      <c r="B3282" t="inlineStr">
        <is>
          <t>成功</t>
        </is>
      </c>
      <c r="C3282" t="inlineStr">
        <is>
          <t>読み方：さしあげる
［動ガ下一］［文］さしあ・ぐ［ガ下二］
１手に持って高く上げる。「バーベルを—・げる」
２「与える」「やる」の意の謙譲語で、その相手を敬う。「この花を—・げます」
３声を高く出す。
「細くらうたげなる声を—・げて泣く泣く飲む」〈宇治拾遺・九〉
４（補助動詞）動詞の連用形に接続助詞「て」を添えた形に付いて、「…してあげる」の「あげる」よりも、その動作の相手へより深い敬意を込めていう語。「荷物を持って—・げましょう」</t>
        </is>
      </c>
      <c r="D3282" t="inlineStr">
        <is>
          <t>差し上げるべき(2%)</t>
        </is>
      </c>
      <c r="E3282" t="inlineStr">
        <is>
          <t>行う；くれる；与える；提出；上げる</t>
        </is>
      </c>
      <c r="F3282" t="inlineStr">
        <is>
          <t>せて差し上げる</t>
        </is>
      </c>
      <c r="H3282" t="n">
        <v>29</v>
      </c>
      <c r="I3282" t="inlineStr">
        <is>
          <t>それは足を墓の中に踏み入れ指を天に差し上げて書かれたものであった。；自分に持っているものでありさえするなら、何でも喜んで差し上げます。；連載が終った時に報告してびっくりさせて差し上げるつもりでいた。；この国をあなた様に差し上げることを、ここに述べさせていただきます。；食事を差し上げたが、胸が一杯なのであろう、箸をつけようともしない。；さて今朝もらった塩魚をこの遠くから来られたお客に差し上げたものか?；お手紙を差し上げたのは、一度拙宅にお招きいたしたく思ったからです。；今にしてみれば、案じて差し上げたほうがよかったような気もします。；一人で差し上げるのは不可能で、閂はわずかに浮沈するばかりであった。；自分だって、君にお金を差し上げるなど失礼な事を考えていたのではない。；ある時その人に今村先生は何を差し上げたら一番喜ばれるかと聞いて見た。；その草に膝の所まで埋もれながら、灰色の影が高く両手を差し上げていた。；反対に職業婦人風にして差し上げますと、一も二もなくお喜びになります。；先生がどなたかに差し上げたとすると、わたくし、なんだか気になるわ。；こんな河原で病に倒れた人がいるなら介抱して差し上げなければならない。；私のは、私は一種の本能で膝から素早くひっ掴んで頭の上に差し上げた。；やっと云うのは両手へ力を入れて差し上げる時の声なんだよ。；灯を早くつけさせてお夕食などもこちらで差し上げさせることに御息所はした。；将軍、 わたしはあなたに、わたしの軍隊も捕虜も財産も差し上げます。；一晩差し上げますから、ゆっくりお休みになってよく考えて下さいね。；姉さんの命名日のお祝いに手紙を差し上げなかったことをお許し下さい。；あなたはきっと女学校にお這入りになれるようにして差し上げましょう。；皿だけ高く差し上げて人と人の間を抜けて来たものがある。；います事は、いますがただかりにそう思って差し上げるまでの事であります。；そのそばに丁稚が立って、二人に向けて棒っきれを高く差し上げた。；秀吉は剛毅にも子袖を二百献も女房衆に差し上げて、女たちを驚喜させた。；先生に御報告を差し上げることだよ、ニュースを差し上げることだよ。；もしあなたも彼らの運命がお望みとあらば、御同様な運命にあわせて差し上げます。；この事件ではまだあなたに説明して差し上げられなかった点がいくつかあります。</t>
        </is>
      </c>
      <c r="J3282">
        <f>HYPERLINK("https://www.weblio.jp/content/差し上げる", "词义详情")</f>
        <v/>
      </c>
      <c r="K3282">
        <f>HYPERLINK("https://yourei.jp/差し上げる", "查看例句")</f>
        <v/>
      </c>
    </row>
    <row r="3283">
      <c r="A3283" t="inlineStr">
        <is>
          <t>差し入れ</t>
        </is>
      </c>
      <c r="B3283" t="inlineStr">
        <is>
          <t>成功</t>
        </is>
      </c>
      <c r="C3283" t="inlineStr">
        <is>
          <t>読み方：さしいれ
［名］(スル)
１中へ入れること。「—口」
２刑務所・拘置所や警察の留置施設に収容されている者に、外部から日用品などを届けること。また、その品。
３慰労や激励などのため、飲食物などを届けること。また、その物。「合宿中の後輩に—する」</t>
        </is>
      </c>
      <c r="D3283" t="inlineStr">
        <is>
          <t>差し入れられる；差し入れ口；差し入れ品；差し入れ希望；差し入れさせる</t>
        </is>
      </c>
      <c r="E3283" t="inlineStr">
        <is>
          <t>入れる；挿入；挟む；差し込む；挟み込む</t>
        </is>
      </c>
      <c r="G3283" t="inlineStr">
        <is>
          <t>差し入れよ；差し入れれ</t>
        </is>
      </c>
      <c r="H3283" t="n">
        <v>29</v>
      </c>
      <c r="I3283" t="inlineStr">
        <is>
          <t>僕の彼女が差し入れをしてくれたことを、歴史的な事件みたいに語るな。；遠くに住む姉からもたまにではあるが手紙や差し入れ品が送られて来る。；もう一人はすでに桔梗の足を大きく開かせて秘処に指を差し入れている。；窓の外から手だけ差し入れてくるのは、身体が大きくて店に入らない者だ。；何か先輩の気に入るようなものをさし入れて御機嫌を取らねばなるまい。；いや、片手をどこかの窓に差し入れたというだけのことかもしれない。；手を差し入れたままの脇の下の温度が一気に二度ほど上がったような。；けれどもそんな差し入れが出来るのも、自分が東京にいる時のことだ。；大佐が逮捕されたヨンエを心配して、村人たちは差し入れを持っていく。；割れ目に差し入れている指に、感覚を集中したと言ったほうが正確だろう。；令さまに差し入れを渡しただけで、すぐにお帰りになったのですか?；だが、ただ首と肩だけを差し入れたと考えるほうが妥当だと思われた。；彼はイザアトの腕の下へ片手をさし入れ、二人は勢よくボートから離れた。；この時間には女の先生が注入器で生徒の口に肝油を差し入れてくれる。；彼女は夫を殺した犯人が絞首刑の前に飢えないよう食事を差し入れた。；温かな指が顎を押さえ、首の下に警備員の制服を着た腕が差し入れられた。；各部屋のテーブルにはチャイが差し入れた色とりどりの花が飾ってある。；そんな中で支援者が4月12日付の新聞を隠れて差し入れてくれた。；話はかわって、差し入れに行くにはどうしたらよいか教えてください。；その包みの具合から、それが差し入れの下着類であることが分かった。；雄二がまともな差し入れを持ってきたらこんなことにはならなかったのに!；柔らかなそれが茂の唇だとわかったのは、舌を差し入れてきたからだ。；ホテルのマネージャーからの差し入れを持ってきたとのことでした。；僕は思わず彼女の髪に指を差し入れ、くしゃくしゃと掻き混ぜてしまう。；彼女はためらっていたが、やがて決心したように尻の穴に舌を差し入れてきた。；差し入れに持ってきてくれたらしい机の上のピザがもう二切れぐらいになっている。；なお妻などの家族や知人の日本人、信者からの差し入れも自由に行われた。；その手の店を経営してるOBからの差し入れだからな、効果の程は保証するぞ。；パンティの中に差し入れている指に、彼女の躯の震えが伝わってきた。</t>
        </is>
      </c>
      <c r="J3283">
        <f>HYPERLINK("https://www.weblio.jp/content/差し入れ", "词义详情")</f>
        <v/>
      </c>
      <c r="K3283">
        <f>HYPERLINK("https://yourei.jp/差し入れ", "查看例句")</f>
        <v/>
      </c>
    </row>
    <row r="3284">
      <c r="A3284" t="inlineStr">
        <is>
          <t>差し掛かる</t>
        </is>
      </c>
      <c r="B3284" t="inlineStr">
        <is>
          <t>成功</t>
        </is>
      </c>
      <c r="C3284" t="inlineStr">
        <is>
          <t>読み方：さしかかる
［動ラ五（四）］
１ちょうどその場所に至り着く。「山道に—・る」
２ちょうどその時期になる。ある場面になる。「農閑期に—・る」「事件が山場に—・る」「話が本論に—・る」
３上から覆いかぶさる。「枝が軒に—・る」</t>
        </is>
      </c>
      <c r="D3284" t="inlineStr">
        <is>
          <t>差し掛かると次第に</t>
        </is>
      </c>
      <c r="E3284" t="inlineStr">
        <is>
          <t>至る；及ぶ；着く；達する；上る</t>
        </is>
      </c>
      <c r="H3284" t="n">
        <v>29</v>
      </c>
      <c r="I3284" t="inlineStr">
        <is>
          <t>次の信号に差し掛かる頃になってようやく、アラストールは口を開いた。；中年に差し掛かったときまでに、余裕のある生活を送るようになっていた。；そのころバンドは最初のUKツアーの後半に差し掛かっていたところであった。；第四コーナーを繋がるようにして回り、二匹は最後の直線に差し掛かった。；橋の途中まで差し掛かったとき、前方から獣の雄叫びのような声が響いた。；ボートが防波堤に差し掛かるまで、エイプリルをぼんやりと眺めていた。；すぐに峠に差し掛かる前後の短さが特徴だが、急勾配の線形となっている。；だが夜に差し掛かる頃、一本の試験管が割れ、実験が頓挫してしまった。；小道を歩き出して十数分後、二十二層に点在する湖のひとつに差し掛かった。；座席は全て坂の上方向を向いており、勾配に差し掛かると尻に重さを感じる。；この電車がポイントに差し掛かった時、衝撃で遺体が振り落とされたのだった。；流れる雲が穴に差し掛かると、大岩を避ける川の水のように形を変えていく。；そのうち、一番腹の立つ場面に差し掛かったのか、ちょっと顔をしかめる。；ホテルまであと十五分ほどの地点まで差し掛かった頃、右手に広がる海の色が急に変わり始めた。；あれは、コニーの質問が危険な領域に差し掛かったことを意味しているのではないか。；岩手峠に差し掛かるが、車両では県道指定されている垂井方面に進めない。；朝と云っても既に一般には昼、乃至午後と呼ばれる時間帯に差し掛かっている。；ゴール板は第1コーナーに差し掛かる手前に設置されている。；二人一緒に並んで歩いていると、ちょうどいい感じになれる時期に差し掛かってる。；直線に差し掛かってから、大外に持ち出して末脚を発揮し、追い上げた。；しかし、最終公演のアンコールに差し掛かった時に一部のファンが暴走。；何かあるとすればそろそろだなと思っていると、小さな部屋のような場所に差し掛かった。；「繋いだままだ」 二層目に差し掛かると、確かに馬の姿が見えた。；それ以外17頭は、第3コーナーに差し掛かってから追い上げを開始した。；浦和市に差し掛かった頃、大型トラックがワゴン車の前に飛び出した。；序盤では単純なステージ構成も終盤に差し掛かると複雑になり難度が増す。；そして二人の車が同じ交差点に差し掛かった時、二台は激しい衝突事故を起こしてしまう。；やがて、一つの横道に差し掛かると、二人が一人に言葉を告げた。；ちょうどその辺りに差し掛かった一台の車が、ゆっくりとスピードを落としたところだった。</t>
        </is>
      </c>
      <c r="J3284">
        <f>HYPERLINK("https://www.weblio.jp/content/差し掛かる", "词义详情")</f>
        <v/>
      </c>
      <c r="K3284">
        <f>HYPERLINK("https://yourei.jp/差し掛かる", "查看例句")</f>
        <v/>
      </c>
    </row>
    <row r="3285">
      <c r="A3285" t="inlineStr">
        <is>
          <t>座敷</t>
        </is>
      </c>
      <c r="B3285" t="inlineStr">
        <is>
          <t>成功</t>
        </is>
      </c>
      <c r="C3285" t="inlineStr">
        <is>
          <t>読み方：ざしき
１畳を敷きつめた部屋。特に、客間。「お客を—に通す」
２宴会の席。酒席。また、酒席での応対。「—が長引く」「—を取り持つ」「—をつとめる」
３芸者・芸人などが招かれる酒席。「お—が掛かる」→御座敷(おざしき)
４しとね・円座・上げ畳など、すわるための座を敷くこと。また、そのようにした場所。通常の板敷きに対していう。
「御—に高く座を構へて」〈沙石集・九〉</t>
        </is>
      </c>
      <c r="D3285" t="inlineStr">
        <is>
          <t>座敷飾り；座敷女中；座敷着；座敷机；座敷席</t>
        </is>
      </c>
      <c r="E3285" t="inlineStr">
        <is>
          <t>間；部屋；室；客室；宴</t>
        </is>
      </c>
      <c r="F3285" t="inlineStr">
        <is>
          <t>広い座敷；日本座敷；下座敷；離座敷；店座敷</t>
        </is>
      </c>
      <c r="G3285" t="inlineStr">
        <is>
          <t>座敷童；座敷芸；座敷わらし；座敷童子；座敷ボウラー</t>
        </is>
      </c>
      <c r="H3285" t="n">
        <v>29</v>
      </c>
      <c r="I3285" t="inlineStr">
        <is>
          <t>わたしはとなり座敷のものですが、若いお娘さんはどうなされましたか?；もうこの段階では住居ではなく儀式空間へと特化した座敷となっている。；店も何にもなくて、ただ座敷の隅に数十冊の本を並べてあっただけだった。；おめえはこの座敷にいた客のうちで、誰か知っている人でもあるのか。；江戸時代の記録によれば、笑い役は座敷の中央に順に出て笑ったとある。；座敷の畳にもピアノの台にもなまなましい血のあとが付いていました。；この二畳の座敷で考えたことは、いまにいたるまで一貫して変わらない。；これはより古い形式である「前座敷三間取り」から変化したものである。；渓の石を入れて水を湛え、硝子で蓋をして座敷のなかへ持ってはいった。；どこからとも知れず、怪しい低い声が座敷の障子にむかって呼びかけた。；暗い中の間から奥の座敷へ通ふ廊下の長かった事も思ひ出すことが出来た。；天保8年に増築された庭座敷棟からの眺望がよいように設計されている。；その夜は、同じ座敷に床を取って貰って、私達は枕を並べて寝についた。；ぬいぐるみの置かれている一般的な椅子の席のほか、座敷も用意されていた。；だから私にとって記念すべき、忘れがたい二畳の座敷だったのである。；暗い早朝に起きた家の者が座敷の戸を繰ると白いものがぶら下っています。；そして座敷の奥のなにごとかに反応し、立っていた場所を離れた。；今度、私が着て見せたいけれど、座敷で踊るんでないとちょっと着憎い。；玄関とも入れて三間ばかりの家の六畳の座敷を借りたのだ。；上段正面背部には押し板と違い棚が設けられ、座敷飾りの場所となった。；大天守と小天守の連結部には縁側をとって座敷風な造りがなされている。；表門は敷地の南側に位置し、主屋と新座敷を挟んで北側に土蔵がある。；文阿は自分の座敷にあてられた八畳の間で絵をかいていました。；其が性質をつきとめて来ると、座敷踊りになつて残るのは知れたことです。；損傷部分の保存を考え、2階座敷見学には事前予約が必要となっている。；畳を敷いた日本座敷に椅子テーブルを並べた、洋風まがいの部屋である。；十時入浴して座敷に帰ると、桂川も溢れるかと思うような大雨となった。；母屋の方から、とんとんと離座敷を指して来る人の足音が、聞えて来た。；予約が必要と言うのはこのためで、座敷や料理に時間が必要であるからである。</t>
        </is>
      </c>
      <c r="J3285">
        <f>HYPERLINK("https://www.weblio.jp/content/座敷", "词义详情")</f>
        <v/>
      </c>
      <c r="K3285">
        <f>HYPERLINK("https://yourei.jp/座敷", "查看例句")</f>
        <v/>
      </c>
    </row>
    <row r="3286">
      <c r="A3286" t="inlineStr">
        <is>
          <t>指図</t>
        </is>
      </c>
      <c r="B3286" t="inlineStr">
        <is>
          <t>成功</t>
        </is>
      </c>
      <c r="C3286" t="inlineStr">
        <is>
          <t>読み方：さしず
［名］(スル)
１物事のやり方などを指示・命令して人を動かすこと。また、その指示や命令。「—を受ける」「あごで—する」
２法律用語。
㋐証券上の記載によって、ある特定の人を権利者として指定すること。
㋑甲が乙から給付を受け丙に給付する場合、三者間の支払い関係を簡易にするため、甲（指図人）が乙（被指図人）に指図して丙（受取人）に給付させること。
３家の図面。設計図。見取り図。また、地図。
「硯(すずり)引きよせ、家の—を書いて居る」〈浮・一代男・五〉
４見積もり。推定。
「今七千貫目持(もち)と世間の—に違ひなし」〈浮・織留・二〉</t>
        </is>
      </c>
      <c r="D3286" t="inlineStr">
        <is>
          <t>指図する(7%)；指図どおり(2%)；指図通り；指図役；指図書</t>
        </is>
      </c>
      <c r="E3286" t="inlineStr">
        <is>
          <t>法；運営；管理；命；指揮</t>
        </is>
      </c>
      <c r="F3286" t="inlineStr">
        <is>
          <t>御指図；あれこれ指図；てきぱきと指図；運用指図；歩兵指図</t>
        </is>
      </c>
      <c r="G3286" t="inlineStr">
        <is>
          <t>指図債権</t>
        </is>
      </c>
      <c r="H3286" t="n">
        <v>29</v>
      </c>
      <c r="I3286" t="inlineStr">
        <is>
          <t>がどうやら彼女の眠りそのものが彼のさしずと関係ありそうに思われた。；嘱託のお医者さまからおさしずを受けなければならなのでしょうかしら?；そして父の指図で、母や弟や妹や女中達は大事な物の荷造りにかかった。；もし彼らが既に指図を与えていないとすれば、彼らは新に指図を与える。；この指図は、第一ヨハネ書のいくつかの節を思わせるものとされている。；ほかの連中は彼の指図で現在の位置に移動したものと見受けられたからだ。；いくらあなたでも、竜族の好みまで指図するわけにはいかないんだから。；その階段は発掘を指図する労働者にだけ使用されていたものであった。；教室では先生の指図に応じて、本を開いたり、鉛筆を動かしたりはした。；俺はあの男の指図した奇妙なお芝居を演じなければならぬのだろうか。；御身の指図で、ここまではやって来たが何か落着く先の目的はあるのか。；しかし指図があればなんでもわたしのいうとおりにする、とつけ加えた。；夫人のさしずしたことは、どれもこれも変更しなければならなかった。；スヴィドリガイロフの指図で祈祷は日に二度ずつきちんと行われていた。；最初からこうまでするように、彼女の妙法様はお指図下すったのである。；それまでワザリング・ハイツに行って手筈の指図を受けて来たのでした。；画面右方の、尺杖を持ち、右手で何かの指図をしている男が棟梁である。；その下に一人の男が立って、短い声をかけて仕事の指図をしていた。；私に仕事のやり方を指図されていると感じると、拒絶反応を起こすのだ。；現在は後者の指図が実際に建てられた天守を反映していると判断されている。；一人の男がその下に立ち、一言二言声をかけては仕事を指図していた。；樺山さんが彼処で大きな声で怒鳴りながら指図していたのを覚えている。；わたくしは夫と舟に乗って来て、夫のお指図で、お先へ都へ帰された。；五百は初から兄の指図を危みつつ見ていたが、この時夫に向っていった。；彼は稽古の指図をするために劇場へ行くほか、ほとんど外出しなかった。；彼女は、もっと前から、この指図通りにしていなければならない筈だった。；とはいえ、絵画の内容は作品を依頼した人物に指図されたのかもしれない。；いつまでも来てくれませんからあなたから指図して下さいません?；店の造作も少し変えた方がいいでしょうと、いろいろ指図までするんです。</t>
        </is>
      </c>
      <c r="J3286">
        <f>HYPERLINK("https://www.weblio.jp/content/指図", "词义详情")</f>
        <v/>
      </c>
      <c r="K3286">
        <f>HYPERLINK("https://yourei.jp/指図", "查看例句")</f>
        <v/>
      </c>
    </row>
    <row r="3287">
      <c r="A3287" t="inlineStr">
        <is>
          <t>差出人</t>
        </is>
      </c>
      <c r="B3287" t="inlineStr">
        <is>
          <t>成功</t>
        </is>
      </c>
      <c r="C3287" t="inlineStr">
        <is>
          <t>読み方：さしだしにん
郵便物などの発送者。</t>
        </is>
      </c>
      <c r="D3287" t="inlineStr">
        <is>
          <t>差出人不明(7%)；差出人名義；差出人欄；差出人メールアドレス；差出人アドレス</t>
        </is>
      </c>
      <c r="E3287" t="inlineStr">
        <is>
          <t>送り主；送り手</t>
        </is>
      </c>
      <c r="H3287" t="n">
        <v>29</v>
      </c>
      <c r="I3287" t="inlineStr">
        <is>
          <t>差出人の名前と住所が妙な具合になってしまったのは、そのせいなんだ。；その猫が鳥の卵でも採ったのか、それとも差出人がそれを邪魔したのか。；表には、彼の名前が書いてあったが、裏には、差出人の名前がなかった。；まず一つには、差出人が誰であるかを推測し、その者の姓名を知るべし。；裏の差出人のところには、蜜柑か橙のような絵が描いてあるだけである。；差出人が人間ではない自分の仲間と感じたクゥは家を出ることを決意。；竜太がそのあとを受けて、注意深く差出人の名を検めるように見ていく。；それで、少なくとも二人のうちどちらが手紙の差出人かはっきりするから。；差出人にも心あたりはないし、いったい何を意味するのだか見当もつかない。；そうして自分の机の上に差出人の名前の書いてない一封の手紙を見出した。；差出人にヘルガの名前を発見して、ぼくはあわてて椅子に起きなおった。；そのうちに、新聞の帯封に差出人の名前を記して送ってくるようになった。；それで宛名も差出人の名前もない手紙は自分の所に戻ってきていた。；そして手紙の差出人は、それを知った上で私たちを脅そうとしていた。；やはりあの葉書の差出人で、山代さんに会うためにやって来ていました。；そもそも今回の件で発端となった投書の差出人について尋ねたのである。；差出人は、同じクラスの女子たちからいじめを受けているコジマだった。；差出人の名前はなく昨日の手紙と同様に直接郵便受けに入れられたものだった。；差出人の尊称などに重要な意味があるとは思いもしなかったのだ。；差出人はどちらもプロアニアの北のほうに位置する町に住む商人だ。；おらのところにも差出人の名前を書いてない手紙が何通も来ただ。；差出人はちゃんと書いてある時もあるし、書いていない時もある。；特に高年齢の郵便差出人にZIPコードを覚えさせるのは困難だった。；第二に、彼女の親が送ってきたものならば、差出人を記してないのがおかしい。；差出人の名前はなかったのですが、深雪さんの字に間違いありませんでした。；いましがたどこかの子供が届けにきたとかで、差出人の名はなかった。；差出人のないその白い封筒を見て、私は一目で彼女からだと分かった。；彼は差出人不明のメッセージによって今回の九校戦の裏を調べ始めた。；差出人を推定するヒントとなるのが、文章の後に並んでいる名前だ。</t>
        </is>
      </c>
      <c r="J3287">
        <f>HYPERLINK("https://www.weblio.jp/content/差出人", "词义详情")</f>
        <v/>
      </c>
      <c r="K3287">
        <f>HYPERLINK("https://yourei.jp/差出人", "查看例句")</f>
        <v/>
      </c>
    </row>
    <row r="3288">
      <c r="A3288" t="inlineStr">
        <is>
          <t>差し出す</t>
        </is>
      </c>
      <c r="B3288" t="inlineStr">
        <is>
          <t>成功</t>
        </is>
      </c>
      <c r="C3288" t="inlineStr">
        <is>
          <t>読み方：さしだす
［動サ五（四）］
１伸ばして前方へ出す。「手を—・す」
２人に与えるために出す。提供する。「食べ物を—・す」「命を—・す」
３提出する。「役所に書類を—・す」
４派遣する。「委員会に代理を—・す」
５送り出す。発送する。「案内状を—・す」
[可能]さしだせる</t>
        </is>
      </c>
      <c r="D3288" t="inlineStr">
        <is>
          <t>差し出すよう要求；差し出すべき；差し出すよう命じ</t>
        </is>
      </c>
      <c r="E3288" t="inlineStr">
        <is>
          <t>発信；出荷；発送；さし出し；仕向け</t>
        </is>
      </c>
      <c r="H3288" t="n">
        <v>29</v>
      </c>
      <c r="I3288" t="inlineStr">
        <is>
          <t>そして家のなかにはときどき私をつまずかそうと足を差し出す者がいた。；より大きな安全ではなく、より大きな犠牲の約束を差し出すものである。；彼女は私の心を見て取って、わざわざ子供を私の方へ差し出したりした。；次に舞台係が、観客の頭の上から三メートルばかりの針金を差し出した。；開いて見ると扉に、裸の女が差し出すリンゴを噛む裸の男の絵があった。；これは年賀状を可能な限り早く差し出してもらうことも意図していた。；王に籠を見せるように言われて差し出すと、中にはバラの花が入っていた。；一つは鴉の嘴のような口をこちらへ向けて差し出すようにして立っていた。；義捐とある以上は差し出すもので、とられるものでないには極っている。；ついにその男は千法の紙幣三十枚を代議士の前に差し出して帰って行った。；勝って賠償を手に入れることがあり、負けて荘園を差し出すこともある。；すると一人の将校がやにわに彼のそばへ飛んできて、皿を一枚差し出した。；これは、全ての人に平等に手を差し出している様子であると言われる。；すると空き馬車が魔法のように現れ、得意顔をした子供が手を差し出す。；黙って懐中から一通の手紙を取り出してストーン氏の眼の前に差し出した。；ところがそのとき、船の台所から手が伸びてきて、ソーサーを差し出す。；したがって、熱烈な愛情以外に、わたしが差し出すものは何もなかった。；ゆっくりと、スポックは通信器を取り出し、それを女司令に差し出した。；自分は彼女が求めるものを、何でも差し出すことができるのではないだろうか。；「話したら何とか云うでしょうか」と差し出した手をこちら側へ引く。；出家でも全財産を差し出すので、いずれでも財産の提供が求められた。；「お師さま」 そばに侍していた若い僧が青ざめた顔で玉を差し出す。；困った人々は毎年3月24日に娘を一人ずつ人身御供として差し出した。；顔に微笑を浮かべた百姓が出てきて、客人に手を差し出すであろう。；妖精は毎日のように、魔法の力のあるナイフを、丘から差し出してくれた。；それでもしつこくコウジはその絵をぼくの目の前に見えるように差し出す。；手に持ったコンビニの袋を「買ってきた」とだけ言ってこちらに差し出す。；上から男の人が手を差し出してくれたのでそれにつかまりました。；雷が差し出す布片を受け取ろうと、男の手が地面から持ち上げられたのだ。</t>
        </is>
      </c>
      <c r="J3288">
        <f>HYPERLINK("https://www.weblio.jp/content/差し出す", "词义详情")</f>
        <v/>
      </c>
      <c r="K3288">
        <f>HYPERLINK("https://yourei.jp/差し出す", "查看例句")</f>
        <v/>
      </c>
    </row>
    <row r="3289">
      <c r="A3289" t="inlineStr">
        <is>
          <t>差し支え</t>
        </is>
      </c>
      <c r="B3289" t="inlineStr">
        <is>
          <t>成功</t>
        </is>
      </c>
      <c r="C3289" t="inlineStr">
        <is>
          <t>読み方：さしつかえ
都合の悪い事情。支障。差し障り。「—があって行けない」「日常生活には—ありません」</t>
        </is>
      </c>
      <c r="D3289" t="inlineStr">
        <is>
          <t>非；荷物；障害；故障；邪魔</t>
        </is>
      </c>
      <c r="H3289" t="n">
        <v>29</v>
      </c>
      <c r="I3289" t="inlineStr">
        <is>
          <t>反乱には違いなかったがその規模は戦争と呼んでも差し支えなかった。；川平家の周囲は欺瞞に満ちていたと言っても差し支えないかも知れない。；万一登場することになれば、そのときにご紹介しても差し支えあるまい。；交代して生活区に入る途中なのだから、いくら喋ったって差し支えない。；自分の所有と極めても差し支えないが他の出入を禁ずる理由はあるまい。；正体は世界の力そのもので、神と呼んでも差し支えの無い存在である。；その力も『学校の中では通用する』程度のものだと思って差し支えない。；平和であれ戦争であれ、あなたは好きなように決定して差し支えない。；その速度は坂を下るにしても逸脱していて、暴走と呼んで差し支えない。；だからこの話が前年の十一月ごろに始まったと考えても差し支えはあるまい。；しかし彼は普通の小買物をするくらいの使いあるきには差し支えなかった。；服も肌も髪も、モノクロで表現して差し支えない白さに統一されている。；しかもこれらはすべて日本固有に発達したものと見て差し支えないようである。；即ち鼻はその持ち主の運命を支配していると云っても差し支えないのであります。；患者にとっては最高に申し分のない医者だといって差し支えないでしょう。；そして参議となってからも式部大輔を兼帯することは差し支えなかった。；武装した一千人のエキストラを甲板にのせて芝居することも差し支えないという。；山は低いと云っても構わん、宇宙は狭いと云っても差し支えはない。；剣豪くんと呼んでも差し支えないコンラッドでさえ手も足もでないのだから。；これはもはやデートと呼んでも差し支えないのではないだろうか。；その点さえ理解してもらっていれば、いつ帰っても差し支えない。；もう戻らなければ朝食の準備に差し支えるとわかっているに違いない。；だから舞台では何をしていてくれても一向差し支えはないのだ。；嫌でもそのうちわかってくることなら、それでなんの差し支えもないではないか。；現在では類語大辞典と言って差し支えないほどの重量感のある書籍である。；僕は社会が悪人であると云うならばそれでも差し支えありません。；お差し支えなかったら、今日、お二人で昼食においで下さいませんか。；その名残の全然ない今日では、そうはっきり申しても差し支えないでしょう。；の判断で、自由に自らの裁量で氏名表記を行って差し支えないとされている。</t>
        </is>
      </c>
      <c r="J3289">
        <f>HYPERLINK("https://www.weblio.jp/content/差し支え", "词义详情")</f>
        <v/>
      </c>
      <c r="K3289">
        <f>HYPERLINK("https://yourei.jp/差し支え", "查看例句")</f>
        <v/>
      </c>
    </row>
    <row r="3290">
      <c r="A3290" t="inlineStr">
        <is>
          <t>差し支える</t>
        </is>
      </c>
      <c r="B3290" t="inlineStr">
        <is>
          <t>成功</t>
        </is>
      </c>
      <c r="C3290" t="inlineStr">
        <is>
          <t>読み方：さしつかえる
［動ア下一］［文］さしつか・ふ［ハ下二］都合の悪いことが起こる。支障を生じる。また、妨げとなる。「明日の仕事に—・える」</t>
        </is>
      </c>
      <c r="D3290" t="inlineStr">
        <is>
          <t>非；荷物；障害；故障；邪魔</t>
        </is>
      </c>
      <c r="H3290" t="n">
        <v>29</v>
      </c>
      <c r="I3290" t="inlineStr">
        <is>
          <t>反乱には違いなかったがその規模は戦争と呼んでも差し支えなかった。；川平家の周囲は欺瞞に満ちていたと言っても差し支えないかも知れない。；万一登場することになれば、そのときにご紹介しても差し支えあるまい。；交代して生活区に入る途中なのだから、いくら喋ったって差し支えない。；自分の所有と極めても差し支えないが他の出入を禁ずる理由はあるまい。；正体は世界の力そのもので、神と呼んでも差し支えの無い存在である。；その力も『学校の中では通用する』程度のものだと思って差し支えない。；平和であれ戦争であれ、あなたは好きなように決定して差し支えない。；その速度は坂を下るにしても逸脱していて、暴走と呼んで差し支えない。；だからこの話が前年の十一月ごろに始まったと考えても差し支えはあるまい。；しかし彼は普通の小買物をするくらいの使いあるきには差し支えなかった。；服も肌も髪も、モノクロで表現して差し支えない白さに統一されている。；しかもこれらはすべて日本固有に発達したものと見て差し支えないようである。；即ち鼻はその持ち主の運命を支配していると云っても差し支えないのであります。；患者にとっては最高に申し分のない医者だといって差し支えないでしょう。；そして参議となってからも式部大輔を兼帯することは差し支えなかった。；武装した一千人のエキストラを甲板にのせて芝居することも差し支えないという。；山は低いと云っても構わん、宇宙は狭いと云っても差し支えはない。；剣豪くんと呼んでも差し支えないコンラッドでさえ手も足もでないのだから。；これはもはやデートと呼んでも差し支えないのではないだろうか。；その点さえ理解してもらっていれば、いつ帰っても差し支えない。；もう戻らなければ朝食の準備に差し支えるとわかっているに違いない。；だから舞台では何をしていてくれても一向差し支えはないのだ。；嫌でもそのうちわかってくることなら、それでなんの差し支えもないではないか。；現在では類語大辞典と言って差し支えないほどの重量感のある書籍である。；僕は社会が悪人であると云うならばそれでも差し支えありません。；お差し支えなかったら、今日、お二人で昼食においで下さいませんか。；その名残の全然ない今日では、そうはっきり申しても差し支えないでしょう。；の判断で、自由に自らの裁量で氏名表記を行って差し支えないとされている。</t>
        </is>
      </c>
      <c r="J3290">
        <f>HYPERLINK("https://www.weblio.jp/content/差し支える", "词义详情")</f>
        <v/>
      </c>
      <c r="K3290">
        <f>HYPERLINK("https://yourei.jp/差し支える", "查看例句")</f>
        <v/>
      </c>
    </row>
    <row r="3291">
      <c r="A3291" t="inlineStr">
        <is>
          <t>然して</t>
        </is>
      </c>
      <c r="B3291" t="inlineStr">
        <is>
          <t>成功</t>
        </is>
      </c>
      <c r="C3291" t="inlineStr">
        <is>
          <t>［副］《動詞「さ（指）す」の連用形＋接続助詞「て」から》
１（あとに打消しの語を伴って用いる）とりたてていうほど。それほど。たいして。「これは—重要ではない」「—遜色(そんしょく)はない」
２特にそれと指して。とりわけ。
「鎌倉殿に—申すべき大事ども候」〈平家・一二〉
[補説]1は「然して」とも書くが、語源は「指して」と思われる。→さしたる</t>
        </is>
      </c>
      <c r="D3291" t="inlineStr">
        <is>
          <t>然してその(6%)</t>
        </is>
      </c>
      <c r="H3291" t="n">
        <v>29</v>
      </c>
      <c r="I3291" t="inlineStr">
        <is>
          <t>然してその理由は、僕が嘗て蒲原氏の詩を悪罵したといふのださうです。；然して此心は大抵な人が皆同じであつたらうと思つて居る。；然して専門家の説を徴するにこれでは国防危険なりとの定論である。；然して、この理想は着々世界の間に実行されつつあるのである。；然して、その目的とするところは、そんな外界の事件ではなかつた。；他に何も言う必要を然していないのだった。；絹見は然して、もう現世にはいない弟が口を開くのを待った。；君がいてくれれば僕には好いんだが、あの時は喪然して了ったよ。；魔法が中々上達しないことを娘が気に病んでいたのは知っていたが、私はそれを然して重要な問題だと考えていなかった。；人の親を敬愛せぬことは無いが、吾が親を敬愛して然して後に人の親を敬愛し得ると爲してゐる。；然して後に六合を兼ねて以て都を開き、八紘を掩ひて宇と為むこと、亦可からずや。；然して水成岩の出来ぬ前の地球の歴史がどの位あつたか知れず、また地球の出来ぬ前の宇宙の歴史がどの位あつたか知れぬ。；給持の役僧は『如何だ』といつた風に眼で笑つて、然して恁う言つた。；然して此等の星は地球からどの位の距離にあるかと云ふに、其の最も近いものでも、地球まで光線が達するには殆ど四年位を要する。；然して、特に、去る者の姿を見ると逃したことを悔ゆる心が騒ぎだす。；然して後に左の眼を洗ひたまふ。；然して口碑や文字で今日まで伝はつてある歴史は、又この短い人類の歴史の中の最後の一小部分に過ぎぬが、我々は之に「宇宙の歴史」などと云ふ大層な名前を附けて居たのである。；その目は私にすがりつき然して藻掻いてゐるやうな、おどおどした臆病な色をあらはしてゐた。；だが深雪には、然して気にならなかったようだ。；この精神があって初めて今日の時勢に伴う十分なる実業的思想を発達させて知識を増進し、然して我が邦婦人の特色を発揮させて行く事が出来る。；十五年前に母親が会ったのと然して変わらないような年格好で、おれの因縁の名付親が、すぐ目の前で笑っている。；僕が稚拙な饒舌を弄して多少とも話を日本人にふれさせたのは、文学に於ては欧洲的な方法がもはや一つの行詰りを示してゐて、我々が新らたに出発するためには全然別の発足が必要であり、然して我々が日本人であることがそのことの大きな強味になりはしないかと思はれたからです。；然して愛は無限の期待と信任とではないか?；敵視されるのが鬱陶しいだけで、おとなしくしていてもらえれば別に試験の点数で上を行かれようが学年代表に選ばれようが然して気にはならないのである。；第一回目の金策は当然この人物へ行くべきもので他の何人へ廻ることも不可解であり、然して見給へ、第二回目と出向く必要はないところの、地上に一人のかけがえのない人物ではないか!；然して、其の内部に生じた原因と云ふのは、即ち初め其の種属をして総べて他の動物に勝つて優勢の位地に達せしめた原因と同一のものである。；然り然して裸一貫江戸へのぼつた岩崎弥太郎ですらこれほどの一大勇猛心は持たなかつた!；然して耳を傾くる前に、先づお手許拝見と叫ばざるを得ざるなり。；家庭の対立、個人の対立、これを忘れて人間の幸福を論ずるなどとは馬鹿げきった話であり、然して、政治というものは、元来こういうものなのである。</t>
        </is>
      </c>
      <c r="J3291">
        <f>HYPERLINK("https://www.weblio.jp/content/然して", "词义详情")</f>
        <v/>
      </c>
      <c r="K3291">
        <f>HYPERLINK("https://yourei.jp/然して", "查看例句")</f>
        <v/>
      </c>
    </row>
    <row r="3292">
      <c r="A3292" t="inlineStr">
        <is>
          <t>差し伸べる</t>
        </is>
      </c>
      <c r="B3292" t="inlineStr">
        <is>
          <t>成功</t>
        </is>
      </c>
      <c r="C3292" t="inlineStr">
        <is>
          <t>読み方：さしのべる
［動バ下一］［文］さしの・ぶ［バ下二］
１ある方向に向けてのばして出す。「釣りざおを—・べる」
２力を貸す。援助する。「救いの手を—・べる」</t>
        </is>
      </c>
      <c r="H3292" t="n">
        <v>29</v>
      </c>
      <c r="I3292" t="inlineStr">
        <is>
          <t>そういう時に救いの手を差し伸べてきたのが塩那電気株式会社であった。；頑張って前に進もうとしている人へ手を差し伸べることも多くみられる。；大久保君はそう言うと、ゆっくりと私に向かって右手を差し伸べてきた。；しかもこれだけの目に遭いながら誰も手を差し伸べてくれないときている。；誰にでも救いの手を差し伸べたが、彼は自分を救うことができなかった。；いま手を差し伸べてしまったら、きっと取り返しのつかないことになる。；その人は、手だけがあって、空の上からこちらに手を差し伸べているのだ。；かれは片方の手を彼女に差し伸べたが、彼女はそっぽを向いてしまった。；そして御手をわたくしの上に差し伸べてわたくしを祝福してください。；近寄ると、すぐ私とわかったらしく、立ち上がって手を差し伸べてきた。；女が泣き出したのを見て、手代はこれで事が終わったと、手を差し伸べた。；ただし、本当に困っている相手には救いの手を差し伸べる優しさもある。；日本こそ我々の独立闘争に援助を差し伸べることのできる国である。；トラックに向かって駆けていくと、男たちが手を差し伸べてきた。；ようやく訪れてきた睡魔に手を差し伸べながら、翠は大きく息を吐いた。；たとえ失敗しても、その失敗した人達にもう一度手を差し伸べてみるのか!!；若者が本気で自分を変えようとしていると知ると、手を差し伸べた。；「ほんなら、教えてつか」と言って彼女は両手をぼくの方に差し伸べる。；真に困っていると、誰もが手を差し伸べずにはいられない可愛らしさ。；崖の上には古い大木が、暗い空に向かって魔物のような枝を差し伸べていた。；「血は、」 春留が、開いている方の左手をゆっくりと差し伸べてくる。；彼を見ようとして、多くの熱心な顔が柱の蔭や隅々から差し伸べられた。；少女はゆっくりと仰け反りながら、ハルユキのほうに右手を差し伸べた。；「算術」の姿は、若い男に挨拶する際に手を差し伸べているのが見られる。；尋ねたというより、フォローの手を差し伸べたといった方が適当だろうか。；差し伸べた手をかわされてしまったような、もどかしさが胸に残った。；そして初めて会った時のように手を差し伸べ、かつて自分に向けられた言葉を返した。；ユイは俺の手を離すと、両手をまっすぐ前方に差し伸べて再び叫んだ。；神の教えに従いあらゆる人に救いの手を差し伸べるのですなんだよ。</t>
        </is>
      </c>
      <c r="J3292">
        <f>HYPERLINK("https://www.weblio.jp/content/差し伸べる", "词义详情")</f>
        <v/>
      </c>
      <c r="K3292">
        <f>HYPERLINK("https://yourei.jp/差し伸べる", "查看例句")</f>
        <v/>
      </c>
    </row>
    <row r="3293">
      <c r="A3293" t="inlineStr">
        <is>
          <t>差し引き</t>
        </is>
      </c>
      <c r="B3293" t="inlineStr">
        <is>
          <t>成功</t>
        </is>
      </c>
      <c r="C3293" t="inlineStr">
        <is>
          <t>読み方：さしひき
［名］(スル)
１差し引くこと。特に、金銭の収支・貸借などの計算をすること。また、その結果。「前貸しの分を—する」「—一〇万円の赤字」
２潮の満ち干。また、体温の上がり下がり。</t>
        </is>
      </c>
      <c r="D3293" t="inlineStr">
        <is>
          <t>差し引きゼロ(4%)</t>
        </is>
      </c>
      <c r="E3293" t="inlineStr">
        <is>
          <t>バランス；均衡；マイナス；推論；平衡</t>
        </is>
      </c>
      <c r="H3293" t="n">
        <v>29</v>
      </c>
      <c r="I3293" t="inlineStr">
        <is>
          <t>しかしラエを出発した人数と到着人数との差し引きは1106名となる。；この差し引き、金百七十五両銭三貫二百四十二文が不足になっている。；しかし、これで丁度差し引きが付いたのであるということが後に判った。；もらった物はその分だけすべて差し引き計算をしてある。；両者を差し引きし、パターン分類表にある大きさと温度が一致するパターン番号を求める。；「それだと、差し引き私の損ではないか」 もの凄く嫌そうに首を振る。；差し引き約の出力が機関車の運転に使用された。；実を言うと部下には、ほぼあんたが言ったとおりの言葉でこの件は差し引きゼロだと伝えてある。；差し引きすれば、今とそれほど変わらぬ生活が出来るだろう。；相続税が払えるどころか、残ったのは差し引き一億五千万の借金の山だ。；良いところと悪いところを差し引きして、少しくらい紙に勝った程度では電子本は読まれない。；つまり、差し引き200名余りが激しい煙攻めによって死亡したことになる。；かく差し引をなす時には、王の負うところは明らかに減少する。；君がいくら金を積もうと、晶子の死との差し引き勘定はゼロにならないのだ。；悲しみも苦しみも彼の幸福を差し引きすることは出來ないんだ。；これらを差し引きてみたならば、余すところの事実はわずかに二、三分くらいのものであろう。；差し引き五百発を得たことになった。；ゲームはちょうど21点を獲得したチームが勝利し、21点を超えた場合は現在の得点からその分を差し引きする。；差し引きして金銭上の利益は、他のところで述べたとおり、八・七一五ドル これが豆作りの経験の結果である。；二億円で売って、銀行に一億円返したら、差し引き一億円が元のとおり残る。；差し引きした残りの「物質」はどうなったかわからない。；彼は三百フラン送って、そのうちからすべてを差し引き、母親が病気で子供に会いたがっているから、すぐに子供をつれてくるようにいってやった。；私は、博愛がとうぜん受けるべき賞賛から何かを差し引きしたいと言っているのではない。；水ぶくれになっていることをさし引いても、体つきはもう大人並みだったのがわかる。；差し引きしてつかった分は、二千両と洋銀一万枚ということになる。；昨夜捕えたものが九人だから、差し引き十人ほどが、ふもとへ下りているわけだ。；マーセラの良いところと悪いところを差し引きしたら、ほとんどとんとんだろう。；これらを差し引きすると、旧秋田鉄道管理局の管轄と一致する。；ガラステーブルの高さは45cmだから、差し引きで155cmだ。</t>
        </is>
      </c>
      <c r="J3293">
        <f>HYPERLINK("https://www.weblio.jp/content/差し引き", "词义详情")</f>
        <v/>
      </c>
      <c r="K3293">
        <f>HYPERLINK("https://yourei.jp/差し引き", "查看例句")</f>
        <v/>
      </c>
    </row>
    <row r="3294">
      <c r="A3294" t="inlineStr">
        <is>
          <t>差し引く</t>
        </is>
      </c>
      <c r="B3294" t="inlineStr">
        <is>
          <t>成功</t>
        </is>
      </c>
      <c r="C3294" t="inlineStr">
        <is>
          <t>読み方：さしひく
［動カ五（四）］
１ある数量から他の数量を引き去る。「月給から税金を—・く」
２ある事柄の過不足などを判断する。「外見の悪さを—・いても性能は評価できる」
３潮が満ち引きする。また、体温が上下する。
[可能]さしひける</t>
        </is>
      </c>
      <c r="H3294" t="n">
        <v>29</v>
      </c>
      <c r="I3294" t="inlineStr">
        <is>
          <t>サケッツ港の状況が守備側にやや有利だったことを差し引いてもである。；親の欲目という部分を差し引いても、それは事実と言っても良いだろう。；その二ヶ月分は慰謝料から差し引いていいので、払って欲しいとのこと。；お金は、町から出る長距離バスの運賃を差し引いても多少の余裕はある。；一両の手付けを差し引いても、かれは十四両の損をさせられたのであった。；だが、ハリーをよく知る者は、ハリーの話を半分に差し引いて聞いた。；いろいろな必要経費を差し引いても半分の三十万円が儲かるではないか。；は、資本取引を除いた純資産の増加額から減少額を差し引いたものである。；そういう効果を差し引いたとしてもよく子ができているのである。；しかしルイ・フィリップより王を差し引けば、彼は一個の人間となる。；そのことを差し引いても、彼の瞳には懐疑的な色が浮かんでいた。；顔があまり見えない点を差し引いても、おれ的にはかなりの高得点だ。；多分自分のひいき目を差し引いても彼女は美人だったろうと思う。；その十七人を総数から差し引くと、勝つのに必要な票数は六十九になる。；それは想像できる子供の小さな頭の容積から差し引くには多過ぎるくらいの量に見えた。；もともとすっきりした顔はしていないが、それを差し引いてもなおそうなのである。；捕虜交換で帰ってきた一四六名を差し引くと、八百余人が行方不明となる。；この袋の重さを、先刻袋ごと計ったこの遺体の重量から差し引くのである。；婿養子であるという立場を差し引いても、女房には頭が上がらないのだ。；差し引いた金の中で、ただひとつ納得のいかない項目がある。；そういうことさえ差し引いても、妹に密着されて喜ぶような趣味は僕にはない。；熱とは、ある系のエネルギーの変化から力学的な仕事を差し引いたものと定義される。；だがそれを差し引いても、十三束の猛攻は着実に達也を追い詰めていた。；それを差し引いても、この姿の時は比較的笑顔が出やすい。；髪の色が変わって雰囲気が変わっていることを差し引いても、これは他人の顔だった。；一年前に工事があったそうだし、それを差し引いても、ほかの場所は木が多すぎる。；損失値は世界興行収入から映画の製作費及び宣伝費を差し引いたものである。；いや、ある程度現実的理由はあるのだが、それを差し引いても、弱い。；俺もミニスカート大好きなことを差し引いても、気が合わない理由がない。</t>
        </is>
      </c>
      <c r="J3294">
        <f>HYPERLINK("https://www.weblio.jp/content/差し引く", "词义详情")</f>
        <v/>
      </c>
      <c r="K3294">
        <f>HYPERLINK("https://yourei.jp/差し引く", "查看例句")</f>
        <v/>
      </c>
    </row>
    <row r="3295">
      <c r="A3295" t="inlineStr">
        <is>
          <t>刺身</t>
        </is>
      </c>
      <c r="B3295" t="inlineStr">
        <is>
          <t>成功</t>
        </is>
      </c>
      <c r="C3295" t="inlineStr">
        <is>
          <t>読み方：さしみ
新鮮な魚介類などを、生のまま薄く小さく切り、醤油・わさびなどをつけて食べる料理。おつくり。つくりみ。</t>
        </is>
      </c>
      <c r="D3295" t="inlineStr">
        <is>
          <t>刺身庖丁；刺身用；刺身等；刺身や寿司ネタ；刺身状</t>
        </is>
      </c>
      <c r="G3295" t="inlineStr">
        <is>
          <t>刺身定食</t>
        </is>
      </c>
      <c r="H3295" t="n">
        <v>29</v>
      </c>
      <c r="I3295" t="inlineStr">
        <is>
          <t>運が悪いと、刺身の一切れで百匹も二百匹もいる場合があるそうである。；日本の統治時代の影響で、生の魚を刺身で食べる食文化も一般的である。；非常に薄いふぐの刺身を引くためにこのような形状になったと考えられる。；新鮮なものは刺身でも食べられるが、傷みが早いので注意が必要である。；ヒラメの刺身を頼んだはずなのに、俺にはどう見たって鮪としか思えん。；宅では食卓の上に刺身だの吸物だのが綺麗に並んで二人を待っていた。；その時ついでに、マグロとイカを、刺身に切ってもらおうと女は思った。；ヨーロッパでは冷凍の刺身も簡単に購入できるようになっている。；夕食前にお風呂にも入り、私たちは刺身がいっぱいの晩御飯を食べた。；刺身から緑色の反射光が見えることがあるのはこのためである。；また近海で獲れた新鮮なものは刺身や洗いとして利用されることもある。；奴婢の一人に大きな器を二枚出すように命じ、作ったばかりの刺身を入れた。；しかもその平目の刺身の皿が卓の上に出現するまでが大変なのだ。；もちろん、刺身ではなく、オリーブオイルで料理されてはいるんだけれど。；そうしていたら今頃は、刺身でもつつきながらゆっくり相談できたものを。；魚は鮫の破肉三貫目を皿百枚分に盛り、大鮪の頭から刺身十枚をつくる。；まもなく船頭さんのおかみさんが、大きな皿に刺身を盛って持って来た。；刺身を作る際に考慮されるのが、美しさと、その食品の特性である。；それをききながら、あたしはお皿を洗ったり、刺身をつくったりしていた。；醤油なしで刺身を食ってみれば、これも一度でこりてしまうにちがいない。；ゆえに、イルカ料理の中ではイルカの刺身が一番美味いとの意見も多い。；それから、温めたマグロの刺身のようなものが口腔内に押し入ってきた。；日本では刺身、天ぷら、ムニエル等で食べられるが、流通量は多くない。；その為、肉よりも魚を食べることの方が多く、子供の頃から好物は刺身であった。；塔の裏通りにある日本料理店で刺身と焼き魚を食べてホテルに戻った。；魚どころであるから、膳には鰤の刺身や鮹の酢のものなどがついていた。；刺身でも食べられるが水分が多いので昆布締めにされることが多い。；ただし寿司や刺身の世界的な普及に伴い、地域偏在的な特徴は低下しつつある。；つくね団子といんげんを煮たものやおからや刺身が見る間に並べられた。</t>
        </is>
      </c>
      <c r="J3295">
        <f>HYPERLINK("https://www.weblio.jp/content/刺身", "词义详情")</f>
        <v/>
      </c>
      <c r="K3295">
        <f>HYPERLINK("https://yourei.jp/刺身", "查看例句")</f>
        <v/>
      </c>
    </row>
    <row r="3296">
      <c r="A3296" t="inlineStr">
        <is>
          <t>挿す</t>
        </is>
      </c>
      <c r="B3296" t="inlineStr">
        <is>
          <t>成功</t>
        </is>
      </c>
      <c r="C3296" t="inlineStr">
        <is>
          <t>読み方：さす
［動サ五（四）］
１（差す）
㋐（「射す」とも書く）まっすぐに光が照り入る。光が当たる。「西日が—・す」
㋑潮が満ちてくる。また、水が増して入り込む。しみ込む。「潮が—・す」「氾濫した川の水が床下まで—・してきた」「井戸に廃水が—・す」
㋒何かのしるし・気配などが自然と外に現れる。「ほおに血の気が—・す」「景気にかげりが—・す」
㋓ある種の気分・気持ちが生じる。きざしてくる。「眠けが—・す」「魔が—・す」「気が—・す（＝気がとがめる）」
㋔平熱より高くなる。熱が出る。「熱が—・す」
㋕枝や根が伸び広がる。草木が伸びて出る。「枝葉が—・す」
２（指す・差す）
㋐指などで目標とする物や場所・方向を示す。指さす。「指で—・して教える」「後ろ指を—・される」「時計の針が七時を—・している」
㋑人や物をそれと決めて示す。指名する。また、密告する。「文中のそれは何を—・しますか」「生徒を—・して答えさせる」「犯人を警察に—・す」
㋒その方向へ向かう。目ざす。「南を—・して飛ぶ」
㋓物差しで寸法を測る。
「縦横の寸法を—・してみた」〈三重吉・桑の実〉
㋔指物を作る。
㋕将棋で、駒を動かす。また、対局する。「将棋を—・す」「一局—・す」
㋖物を手で持って上げる。両手で高く上げる。「米俵を—・す」
㋗傘などをかざす。
㋘肩に担ぐ。になう。「駕籠(かご)を—・す」
㋙舞で、手を前方に伸ばす。「—・す手引く手」
㋚相撲で、相手の脇の下に手を入れる。「右を—・す」
㋛競馬などで、ゴールの直前で先行するものを追い抜く。「—・して首の差で勝つ」
３
㋐雲などが、立ちのぼる。
「八雲—・す出雲の児らが黒髪は吉野の川の沖になづさふ」〈万・四三〇〉
㋑さしつかえる。
「ちとお寺に—・す事ある」〈浄・薩摩歌〉
[可能]させる
[補説] 「指す」「差す」「射す」「刺す」「注す」「点す」「挿す」「鎖す」などと、いろいろに漢字が当てられるが、本来は同一の語。
[下接句]嫌気が差す・影が射す・気が差す・図星を指す・掌(たなごころ)を指す・鳥影(とりかげ)が射す・魔が差す・指一本も差させない・指を差す</t>
        </is>
      </c>
      <c r="D3296" t="inlineStr">
        <is>
          <t>入れる；挿入；挟む；差し入れ；植栽</t>
        </is>
      </c>
      <c r="H3296" t="n">
        <v>29</v>
      </c>
      <c r="I3296" t="inlineStr">
        <is>
          <t>多くの花瓶は、挿された花をより良く見せるようにデザインされている。；が、なぜかどの本も必ず文章か挿し画かの中に多少の針を隠していた。；が、なぜかどの本も必ず文章か挿し画かの中に多少の針を隠してゐた。；私はぼんやりと床の間の掛軸や竹籠に挿してある草花などを眺めていた。；針を引き抜いた後で挿しこんだ場所に圧力をかけたり、艾を作用させる。；やがて余つたひと枝を、最後に彼の机の上の花瓶に挿しにきてくれる。；懐に手を挿し入れているところをみると、どうやら銃をもっているようだ。；女は右の胸に花を挿していたと言ってるそうじゃありませんか。；長くつややかな黒髪にはまだ無数の金のかんざしが挿さったままだった。；ひよいとしたはずみで、僕は隣りの夫婦づれの低い話声を耳に挿さんだ。；その束ねた髪のぐるりに挿している花の髪飾りが、見事な細工物だった。；おそらく鍵を挿して回すのにも固すぎて手間がかかるにちがいなかった。；さらに1937年度以降製造車では車票挿しの位置が変更されている。；その場合、志願者にはペンシルを髪に挿して頭を振ることが求められた。；先生の口に、太い陰茎と細い陰茎を無理矢理挿している気になったのだ。；挿し櫛のはいった小箱につけられた飾りの造花に御歌が書かれてあった。；小百合が目を凝らすと、パナマ帽にヒマワリを挿した男たちの首だった。；大村は手に持っていた紙巻の消えたのを、火鉢の灰に挿して語り出した。；やがて女は固く結んだ私の唇を分けて、口の中へ巻煙草を挿し込んだ。；その圧力を感じながら挿したり退いたりすると、濁った音が響いてくる。；出かけるのでお洒落をして来たつもりなのか、花かんざしを挿している。；とうとうそれは黒くすすけ、そこに挿し込んだ木のかけらに火がついた。；櫛を初めて髪に挿したとき、おまきは頬を染めて若だんなに聞いていた。；ミスター・スポックとわたしが通信器を使って全作戦を指挿します。；迷彩カバーにも木の枝葉を挿す為のボタンホール状の穴を有すものがある。；と、その中に交じっていたのが、かの草簪を挿した李鬼の情婦であった。；このままそっと傷口に指を挿し入れても、綾はじっとしているだろう。；挿し穂を採取する前の光環境も重要であることがしばしば言われれている。；西洋料理を食べる時にもフークで物を挿すより箸で挟んだ方がよほど楽だ。</t>
        </is>
      </c>
      <c r="J3296">
        <f>HYPERLINK("https://www.weblio.jp/content/挿す", "词义详情")</f>
        <v/>
      </c>
      <c r="K3296">
        <f>HYPERLINK("https://yourei.jp/挿す", "查看例句")</f>
        <v/>
      </c>
    </row>
    <row r="3297">
      <c r="A3297" t="inlineStr">
        <is>
          <t>差す</t>
        </is>
      </c>
      <c r="B3297" t="inlineStr">
        <is>
          <t>成功</t>
        </is>
      </c>
      <c r="C3297" t="inlineStr">
        <is>
          <t>読み方：さす
［動サ五（四）］《「差す」と同語源》
１
㋐先の鋭くとがったものを中に突き入れる。突き立てる。突き通す。「指にとげを—・す」「短刀で胸を—・す」「魚をくしに—・す」
㋑（「螫す」とも書く）毒虫などが針を皮膚に突き入れる。「ハチに—・される」
２厚いものに針を突き入れて縫う。また、針で結びつづる。「ぞうきんを—・す」「網を—・す」
３もちざおで小鳥や虫を捕らえる。「鳥を—・す」
４（「差す」とも書く）舟を進めるためにさおを水底に突き立てる。「さおを—・す」
５野球で、走者にボールをタッチしてアウトにする。「本塁で—・される」
６
㋐目・鼻・舌などの感覚器官を鋭く刺激する。「異臭が鼻を—・す」「舌を—・す味」
㋑心に強い痛みを感じさせる。ショックを与える。「その一言が私の胸を—・した」
[可能]させる
[用法]さす・つく——「針で肌を刺す（突く）」のように、先の鋭い物を押し付ける意では、相通じて用いられる。◇「刺す」はその動作の結果として、対象の内部に入り、あるいはつらぬく意が中心となる。「肉をくしに刺す」「とげを刺す」◇「突く」は物の先端を一つ所に強く当てる動作に意味の中心がある。「相手の胸を突いて倒す」「釣鐘をつく」◇「銛(もり)で魚を突く」「槍(やり)で突く」など、「突く」は刺し通すことにも言うが、この場合も、物の先を勢いよく目標に当てるという動作が主になる。◇「鼻を刺す（突く）臭気」「胸を刺す（突く）言葉」などでも両語とも使われるが、「刺す」は刺激や痛みの鋭さに、「突く」は衝撃の強さにそれぞれ重点がある。
[下接句] 釘(くぎ)を刺す・鹿(しか)の角を蜂(はち)が刺す・寸鉄人を刺す・止(とど)めを刺す・寝鳥を刺す・骨を刺す</t>
        </is>
      </c>
      <c r="D3297" t="inlineStr">
        <is>
          <t>出る；起こす；挙げる；立てる；打つ</t>
        </is>
      </c>
      <c r="F3297" t="inlineStr">
        <is>
          <t>光差す；二本差す；突き差す</t>
        </is>
      </c>
      <c r="H3297" t="n">
        <v>29</v>
      </c>
      <c r="I3297" t="inlineStr">
        <is>
          <t>白い傘を差す人の影は、雪が強くなると共にその姿を少なくしていた。；僕は羽織の紋に杯を差すものがあろうとは思い掛けなかったのである。；ただし、九州の南側などは、その膜に穴が開いて日光が差す場所もある。；彼は乙女が杯を差すにつれ、順々に一人ずつその名を尋ねはじめました。；その男は我々と馬車とをにらみつけ、やがてその顔に驚きの色が差す。；偶然のたまものだけど、 告白して感動巨編に水を差すのは止めておく。；人から指を差されるだけで、恐怖に「腰が抜けそうになる」ほどだという。；なお、この競走はタニノチカラが後方から差された生涯唯一の例となった。；商店街の小物屋では首の細いものばかりで、枝を差すには向いていません。；山代は自分自身にぴしりと一本釘を差すと、アパートの方へ足を向けた。；相手はどんな人間であろうと、お前には指も差させないつもりだ。；東向きに落ちていることから、午前中に日が差すと虹がかかることがある。；客はその場で小刀は差すが、大刀はなお右手に下げたまま玄関に至る。；二人は、三月の陽が差す出窓の上に上がって、姉の帰りを待つことにした。；なぜあなたは、自分の考えで、あたしの気持に水を差そうとしたりするんだね?；ここに差すのとまったく同じ、青く熱のない、不思議な炎であると見える。；男は自分が出てきた建物の隙間を指差すと、ついてこいと言った。；接吻の代わりにタワーフの際に黒石を指差すことでよいとされている。；酒も貞之助程ではないが多少は行けて、差されれば敢て辞退しなかった。；ふと見るとあるべきはずの刀が腰に差さっていないではないか。；仕方なく紫の指差す先に目をやると、そこには大手のドラッグストア。；その後、上唇にも差すようになり、黒のアイライナーを使うようになる。；あなたはそれに水を差すようなことを書いて、なにか恥じることはないのかい?；ゆっくりと成長しつつあるこの新たな世界に、再び滅びの影が差す。；一人だけ、自分では傘を差さず、若者の持った傘の中に入っている男がいた。；ある雨の夜、傘を差さずに町を彷徨う彼は、一人の女性から声を掛けられた。；二人で走っているところを登校中のやつらに見られて、指差されたりしたこととか?；釘を差すように、 「母親のことは聞くな」 と言うのが背後で聞こえた。；相手も即座に気づいたらしくて、その少し斜に構えたような笑顔に光が差す。</t>
        </is>
      </c>
      <c r="J3297">
        <f>HYPERLINK("https://www.weblio.jp/content/差す", "词义详情")</f>
        <v/>
      </c>
      <c r="K3297">
        <f>HYPERLINK("https://yourei.jp/差す", "查看例句")</f>
        <v/>
      </c>
    </row>
    <row r="3298">
      <c r="A3298" t="inlineStr">
        <is>
          <t>刺す</t>
        </is>
      </c>
      <c r="B3298" t="inlineStr">
        <is>
          <t>成功</t>
        </is>
      </c>
      <c r="C3298" t="inlineStr">
        <is>
          <t>読み方：さす
［動サ五（四）］《「差す」と同語源》
１
㋐先の鋭くとがったものを中に突き入れる。突き立てる。突き通す。「指にとげを—・す」「短刀で胸を—・す」「魚をくしに—・す」
㋑（「螫す」とも書く）毒虫などが針を皮膚に突き入れる。「ハチに—・される」
２厚いものに針を突き入れて縫う。また、針で結びつづる。「ぞうきんを—・す」「網を—・す」
３もちざおで小鳥や虫を捕らえる。「鳥を—・す」
４（「差す」とも書く）舟を進めるためにさおを水底に突き立てる。「さおを—・す」
５野球で、走者にボールをタッチしてアウトにする。「本塁で—・される」
６
㋐目・鼻・舌などの感覚器官を鋭く刺激する。「異臭が鼻を—・す」「舌を—・す味」
㋑心に強い痛みを感じさせる。ショックを与える。「その一言が私の胸を—・した」
[可能]させる
[用法]さす・つく——「針で肌を刺す（突く）」のように、先の鋭い物を押し付ける意では、相通じて用いられる。◇「刺す」はその動作の結果として、対象の内部に入り、あるいはつらぬく意が中心となる。「肉をくしに刺す」「とげを刺す」◇「突く」は物の先端を一つ所に強く当てる動作に意味の中心がある。「相手の胸を突いて倒す」「釣鐘をつく」◇「銛(もり)で魚を突く」「槍(やり)で突く」など、「突く」は刺し通すことにも言うが、この場合も、物の先を勢いよく目標に当てるという動作が主になる。◇「鼻を刺す（突く）臭気」「胸を刺す（突く）言葉」などでも両語とも使われるが、「刺す」は刺激や痛みの鋭さに、「突く」は衝撃の強さにそれぞれ重点がある。
[下接句] 釘(くぎ)を刺す・鹿(しか)の角を蜂(はち)が刺す・寸鉄人を刺す・止(とど)めを刺す・寝鳥を刺す・骨を刺す</t>
        </is>
      </c>
      <c r="D3298" t="inlineStr">
        <is>
          <t>刺すような痛み(2%)；刺すような視線；刺すべく；刺すような冷たい；刺すような匂い</t>
        </is>
      </c>
      <c r="E3298" t="inlineStr">
        <is>
          <t>殺す；貫通；焼く；突く；突き刺す</t>
        </is>
      </c>
      <c r="F3298" t="inlineStr">
        <is>
          <t>釘を刺す；ちくちく刺す；刺すような鋭さ；刺すような北風；刺す冷たい</t>
        </is>
      </c>
      <c r="H3298" t="n">
        <v>29</v>
      </c>
      <c r="I3298" t="inlineStr">
        <is>
          <t>男は手を出したら又刺されそうに思われたんでそのまんま又歩き出した。；まっすぐに天を刺す氷の鎗の その叫びをあなたはきっと聞いたでせう。；がかれはそれよりも痛いのは胸の底を刺されるような大なる傷であった。；末吉はなによりもその女に向けられている人々の目つきに心を刺された。；お前達が橋の上にゐたとすれば、半九郎が刺されたのを知らない筈はない。；実際コリンズは刺すような青い瞳を持つことで人々の間で知られていた。；お前はもともとこやつを刺そうとしたのではないのだから、これは事故だ。；理を聞いてみると、三つの時に兇漢に刺されて傷があるからだといった。；しかしお常の心には、刺されたとげの抜けないような痛みが残っていた。；扉が開いたその瞬間に、刺すような寒気が、小屋の中へ突き入ってきた。；モクモクと鼻を刺すようなひどい煙の中からグライムズは指示を出した。；あの晩、久保に刺された向うの男はあの後どうなつたか、わかりません。；ナイフを持ったユダヤ人が戦場の兵士を背後から刺そうとしている。；床の上へ落ちている毛の一本さえが、私の爛れた心を針のように刺す。；音の方を向いてしまったが故に、ジョンは男に刺されてしまったのである。；レンズマンは肩に刺すような苦痛を感じ、口と鼻から空気がふき出した。；動かせばその波動から熱湯が近所の人の皮膚を刺すがためであるという。；動かせばその波動から熱湯が近所の人の皮膚を刺すがためであるといふ。；これに対応するために、地面に刺さずにボールを置く軽いが販売されている。；それまでは先ずこれに刺されたままじっと並んでいなければならぬのである。；しかし、刺そうとしたにしても、持っていたのは、果物ナイフなんです。；冗談のつもりだったが、数日後に和康は何者かに刺されて殺されてしまう。；この時止めを刺されていれば、ポーランド側が決定的な勝利を収めていた。；尾にこんなかぎがあつて、それで刺されると死ぬつて先生が云つたよ。；剣を短く握って、わたしの心臓をつき刺すこともできたはずなのだ。；戦車あるいは馬で止めを刺すのは非芸術的であると見なされていた。；右の婦人細き竹杖で壁隙より刺すと婢腹病むというて戸を開き厠に如く。；僕あての遺書あらばあるいは骨を刺すようなことを書いているかも知れない。；それはイギリスがフランスのために止めを刺されることであった。</t>
        </is>
      </c>
      <c r="J3298">
        <f>HYPERLINK("https://www.weblio.jp/content/刺す", "词义详情")</f>
        <v/>
      </c>
      <c r="K3298">
        <f>HYPERLINK("https://yourei.jp/刺す", "查看例句")</f>
        <v/>
      </c>
    </row>
    <row r="3299">
      <c r="A3299" t="inlineStr">
        <is>
          <t>指す</t>
        </is>
      </c>
      <c r="B3299" t="inlineStr">
        <is>
          <t>成功</t>
        </is>
      </c>
      <c r="C3299" t="inlineStr">
        <is>
          <t>読み方：さす
［動サ五（四）］
１（差す）
㋐（「射す」とも書く）まっすぐに光が照り入る。光が当たる。「西日が—・す」
㋑潮が満ちてくる。また、水が増して入り込む。しみ込む。「潮が—・す」「氾濫した川の水が床下まで—・してきた」「井戸に廃水が—・す」
㋒何かのしるし・気配などが自然と外に現れる。「ほおに血の気が—・す」「景気にかげりが—・す」
㋓ある種の気分・気持ちが生じる。きざしてくる。「眠けが—・す」「魔が—・す」「気が—・す（＝気がとがめる）」
㋔平熱より高くなる。熱が出る。「熱が—・す」
㋕枝や根が伸び広がる。草木が伸びて出る。「枝葉が—・す」
２（指す・差す）
㋐指などで目標とする物や場所・方向を示す。指さす。「指で—・して教える」「後ろ指を—・される」「時計の針が七時を—・している」
㋑人や物をそれと決めて示す。指名する。また、密告する。「文中のそれは何を—・しますか」「生徒を—・して答えさせる」「犯人を警察に—・す」
㋒その方向へ向かう。目ざす。「南を—・して飛ぶ」
㋓物差しで寸法を測る。
「縦横の寸法を—・してみた」〈三重吉・桑の実〉
㋔指物を作る。
㋕将棋で、駒を動かす。また、対局する。「将棋を—・す」「一局—・す」
㋖物を手で持って上げる。両手で高く上げる。「米俵を—・す」
㋗傘などをかざす。
㋘肩に担ぐ。になう。「駕籠(かご)を—・す」
㋙舞で、手を前方に伸ばす。「—・す手引く手」
㋚相撲で、相手の脇の下に手を入れる。「右を—・す」
㋛競馬などで、ゴールの直前で先行するものを追い抜く。「—・して首の差で勝つ」
３
㋐雲などが、立ちのぼる。
「八雲—・す出雲の児らが黒髪は吉野の川の沖になづさふ」〈万・四三〇〉
㋑さしつかえる。
「ちとお寺に—・す事ある」〈浄・薩摩歌〉
[可能]させる
[補説] 「指す」「差す」「射す」「刺す」「注す」「点す」「挿す」「鎖す」などと、いろいろに漢字が当てられるが、本来は同一の語。
[下接句]嫌気が差す・影が射す・気が差す・図星を指す・掌(たなごころ)を指す・鳥影(とりかげ)が射す・魔が差す・指一本も差させない・指を差す</t>
        </is>
      </c>
      <c r="D3299" t="inlineStr">
        <is>
          <t>指す一般名詞；指す地域名称</t>
        </is>
      </c>
      <c r="E3299" t="inlineStr">
        <is>
          <t>示す；指摘；指示；見せる；指示する</t>
        </is>
      </c>
      <c r="F3299" t="inlineStr">
        <is>
          <t>まとめて指す；指す同義語；指す歴史学上；指す隠語として使わ；指す語として定着</t>
        </is>
      </c>
      <c r="H3299" t="n">
        <v>29</v>
      </c>
      <c r="I3299" t="inlineStr">
        <is>
          <t>生物が電気的にコミュニケーションを行うことを指すために使っている。；上記の分類以外に、大学の文学部で行っている学問を指す解釈もある。；以後、イギリスでタロットと言えば、ほとんどこれを指すほどになった。；動物分類学や植物分類学だけを指すためにこの言葉が用いられることもある。；刀は、武器の一種であり、剣の内でもとくに片側にしか刃のない物を指す。；コンピュータ用語では、通信や解析や表示の対象となる文字データを指す。；一般に動員とは、何と云っても一時的な現象を指さねばならぬ約束である。；アメリカ大陸の先住民族など、個人を指す名前のみを用いる文化もある。；急行とは、仕事などを急いでやること、または目的地に急ぐことを指す。；一般的に「司法試験」というと、この第二次試験のみを指すことが多い。；彼はお民の眼をさけるように、遠まわりをして、指された場所に坐った。；議員とは、議会などの合議制の機関を組織し、議決権を有する者を指す。；治療中に一時的に病状が悪化し、その後に完全に回復するような状態を指す。；は、日本の歴史のうち、江戸幕府が政権を握っていた時代の末期を指す。；関東とは、日本の中の、特定の地域・地方を指す言葉・概念である。；私の眼の黒いうちは、指一本この娘の権利に指させることじゃない。；リスト全体を指すポインタは、アクセスポインタと呼ばれることがある。；その男も、もうもみ手はよして、図星を指されたかのように黙っていた。；なお、自然と読んだ場合、むしろあり得ないものが勝手に生まれるのを指す。；ビヤホールの巨大な掛時計の針はあと五分で三時を指そうとしていた。；広義では滋賀県を含めた2府4県を指す場合もあるが正式な規定は無い。；ただし棒銀対策が進化している現在では、指されることは稀となっている。；時計の針が八時を指そうとしているのが目に入っに瞬間、昇は跳ね起きた。；主として長期にわたる軌道上の生活に特化して設計されているものを指す。；大陸を指す最も狭義の概念は切れ目がない主要な陸地ということになる。；広い意味では、宣伝・配給など監督の権限が及ばない分野の関係者も指す。；いつの間にか、時間は刻々と進み、時計の針は五時を指そうとしていた。；単にクレオパトラと言った場合には通常、このクレオパトラ7世を指す。；単に「インドシナ戦争」と言った場合は、通常この戦いを指す事が多い。</t>
        </is>
      </c>
      <c r="J3299">
        <f>HYPERLINK("https://www.weblio.jp/content/指す", "词义详情")</f>
        <v/>
      </c>
      <c r="K3299">
        <f>HYPERLINK("https://yourei.jp/指す", "查看例句")</f>
        <v/>
      </c>
    </row>
    <row r="3300">
      <c r="A3300" t="inlineStr">
        <is>
          <t>注す</t>
        </is>
      </c>
      <c r="B3300" t="inlineStr">
        <is>
          <t>成功</t>
        </is>
      </c>
      <c r="C3300" t="inlineStr">
        <is>
          <t>読み方：さす
［動サ五（四）］
１酒をすすめる。「杯を—・す」
２ごく少量の液体をある部分にそそぎ入れる。「目薬を—・す」「ギヤに油を—・す」
３液体をほかの液体や容器の中へ少し、または少しずつ加え入れる。「花瓶に水を—・す」「吹きこぼれないように冷水を—・す」
４補い加える。つぎ足す。「炭を—・して火気を強める」
５ある部分に色をつける。「紅(べに)を—・す」
６しるしや訓点などをつける。「朱点を—・す」
７火をともす。
「まづ紙燭(しそく)—・して来(こ)」〈竹取〉
[可能]させる</t>
        </is>
      </c>
      <c r="D3300" t="inlineStr">
        <is>
          <t>流す；注ぐ；汲む；注ぎ込む；酌む</t>
        </is>
      </c>
      <c r="G3300" t="inlineStr">
        <is>
          <t>注すれ</t>
        </is>
      </c>
      <c r="H3300" t="n">
        <v>29</v>
      </c>
      <c r="I3300" t="inlineStr">
        <is>
          <t>五分ばかりも立つたと思ふ頃、冷吉はもう一度左の目に藥を注された。；しかしこの頃の機械には指定どころか、油を注す孔さえないのがある。；そういう感じが俺の心を自分の方へ集注さした。；スーラーブは、例によって始めのうちどうしても注意が集注されなかった。；だんだんそれが近づくにつれてやす子の注意がその方に集注される。；ロンが初めて何かひとつハリーに勝ったというのに、その気持に水を注す気か?；勇躍して敵に向かっているところへ水を注されたかたちだ。；即ちあらゆる江戸文明の究極点は、此の劇的綜合芸術中に集注されてゐるのである。；全身の感覚が、今やただ一つの目的に向って集注された。；とは言うものの、こういうことは本人の価値観の問題だから、本人が満足していると言うのに他人が水を注すことでもない。；アメリカは勿論のこと、イギリスでもフランスでも、文化の中心は決してただ一ヵ所の首都に集注されてはいない。；ルスタムは、神経を集注させ、その声が一つ処に落付くのを待った。；国民が集合して、而して国民的勢力が議会に集注さるるのである。；それは僕がこの人を抱き、この人に愛を感じ、この愛に自分というものを集注させているからだ。；油を注さぬ黒髪に、漣の琥珀に寄る幅広の絹の色が鮮な翼を片鬢に張る。；我々の年代にあっては、生活の全感情がいつも刻々に移り換る現在に集注されるのが自然らしい。；演戯は、単に練習や気晴らしではなく、精神訓練の集注された自覚であった。；達也本人にとってはどうでも良いことだが、どうでもいいからこそ、水を注す必要も無い。；それはまた、やっとのことで平穏な外交関係が維持されているというのに、それに水を注すことになりかねない行為だよね。；彼の眼は、姫路へ来てから、中国全般を観ていて、一上月にのみ集注されていなかった。；舞とて普通の学園生活を否定するわけではなかったが、楽しけな雰囲気に水を注すいわゆる憎まれ役を買って出るなら自分しかいないと思っていた。；そういう男の集注された情熱の故の単純さ。；内外へ飛び交っていた日本女の思考力は、はっきり御者の上へ集注されはじめた。；野や山坂のきらいなく押し通る小型の荷車だから、わざと歯の心棒には油を注さない。；それがようやく一点に集注されると、ルキーンはアッと叫んでドドドッと走り寄った。；手古奈の姿が此棧敷に顯はれた時二百の騎士は勿論、見物一切の視線はそこに集注された。；ぐっと胴でしめつけられた皮外套の着かたや、全神経が或る一点に集注されていて、ものが目に入って来ない眼つき。；単独で多数と戦うことを好むが、一対一の戦いの途中で第三者に水を注されることを何よりも嫌う。；これには一種芳しくない知識がまじつてゐるので、水を注されたやうな反省が起つたのであつた。</t>
        </is>
      </c>
      <c r="J3300">
        <f>HYPERLINK("https://www.weblio.jp/content/注す", "词义详情")</f>
        <v/>
      </c>
      <c r="K3300">
        <f>HYPERLINK("https://yourei.jp/注す", "查看例句")</f>
        <v/>
      </c>
    </row>
    <row r="3301">
      <c r="A3301" t="inlineStr">
        <is>
          <t>さすが</t>
        </is>
      </c>
      <c r="B3301" t="inlineStr">
        <is>
          <t>成功</t>
        </is>
      </c>
      <c r="C3301" t="inlineStr">
        <is>
          <t>読み方：さすが
１腰刀。また、懐刀(ふところがたな)。突き刺すのに使うのでいう。
２刀の鞘(さや)の差裏(さしうら)に添える小刀。小柄(こづか)。
３細工用の小刀。</t>
        </is>
      </c>
      <c r="D3301" t="inlineStr">
        <is>
          <t>さすがに疲れ；さすがに驚い；さすがに緊張；さすがに無理；さすがに疲労</t>
        </is>
      </c>
      <c r="E3301" t="inlineStr">
        <is>
          <t>流石；違わない；流石に</t>
        </is>
      </c>
      <c r="F3301" t="inlineStr">
        <is>
          <t>さすがにあわて；さすがに苦笑；さすがに動揺；さすがに躊躇；さすがに狼狽</t>
        </is>
      </c>
      <c r="H3301" t="n">
        <v>29</v>
      </c>
      <c r="I3301" t="inlineStr">
        <is>
          <t>ここまでの証拠が出るとさすがに彼らも否定することはできなかった。；さすがの樗牛もこの手があることだけは気がつかなかつたにちがいない。；さすがに怒った伯父はとうとうファマーをこの家から追放してしまった。；やがてその六畳から出て来た愛子は、さすがに不安な面持ちをしていた。；晩年はさすがに覚えていても忘れて、それを涙をこぼして歯がゆがった。；さすがに怪物も厳重な警戒におびえたのか、ついに姿を現わさなかった。；さすがの少年名探偵も、まっ暗な箱の中で泣きだしたくなってきました。；あたしも二〇年刑事やってますが、さすがにあれには吐き気がしましたよ。；大隅もさすがにこのグロテスクな巨人と対いあっているのに勇気がいった。；それでもさすがに浪花節だけは好い趣味じゃないと思っていたんでしょう。；仁右衛門が取合わないので彼女はさすがに小屋の中には這入らなかった。；それをじっとして聞いているおせいはさすがに父が哀れになった。；宮の前にはさすがに草は生えていないが、落葉で埋まるばかりになってる。；さすがの名探偵も、これにはアッと声をたてないではいられませんでした。；しかしさすがに大きすぎるということで現在の8メートルに落ち着いた。；さすがにその道の老練家たちだけあって、やることがきびきびしていた。；大学院に進学した時にはさすがに両親を慌てさせたという。；さすがに彼は、このさわぎの中から一つの考えをまとめる力を持っていた。；こうなると、さすがのTも不安を感じないではいられませんでした。；さすがに見ぬ顔もできないので、葬式には近所の人が五、六人見送った。；さすがのモレロも、ここまで考えてくるともうじっとしていられなくなった。；さすがの怪盗も、ピストルをつきつけられてはどうすることもできません。；義平はこれを見てさすがにはっとしたが、顔色は変えずに次のように言った。；困難は難しい事をさすが、難しいとは違い実現に向けて何かすることを前提としない。；さすがの名探偵さんも、ヘリコプターとは、気がつかなかったらしいね。；お好み焼きのソースに味噌を入れるのは、さすが名古屋と驚く人が多い。；さすがの帆村も、二時間目には退屈して下の池まで下りて散歩をした。；さすがに、名人の作だけあって、その豹は、まるで生きているようです。；他の機関車と比べて性格が真面目で優しいが、怒らせるとさすがに怖い。</t>
        </is>
      </c>
      <c r="J3301">
        <f>HYPERLINK("https://www.weblio.jp/content/さすが", "词义详情")</f>
        <v/>
      </c>
      <c r="K3301">
        <f>HYPERLINK("https://yourei.jp/さすが", "查看例句")</f>
        <v/>
      </c>
    </row>
    <row r="3302">
      <c r="A3302" t="inlineStr">
        <is>
          <t>授かる</t>
        </is>
      </c>
      <c r="B3302" t="inlineStr">
        <is>
          <t>成功</t>
        </is>
      </c>
      <c r="C3302" t="inlineStr">
        <is>
          <t>読み方：さずかる
［動ラ五（四）］神仏や目上の人などから、金では買えない大切なものを与えられる。いただく。「秘伝を—・る」「子宝を—・る」</t>
        </is>
      </c>
      <c r="D3302" t="inlineStr">
        <is>
          <t>受け取る；下る；貰う；提供される；授与される</t>
        </is>
      </c>
      <c r="H3302" t="n">
        <v>29</v>
      </c>
      <c r="I3302" t="inlineStr">
        <is>
          <t>両親は彼のような子どもがいっぱい授かればいいと思ったかもしれない。；ほぼ三年間望んで授からなかった末に生まれてきた子だったからである。；やっと授かった大事な子供取られて、はいそうですかと忘れられるかい!；子供を授かったと分かった時、自身の母のように主婦になる道を選んだ。；なぜなら、それまでにと結婚し、二人の子供を授かっていたからである。；にはかに思ひ出したのは、先ほど産土の神から授かつた一巻の書である。；幸いにも心情を授かっていない人たちには人生は安楽だ、と彼は考えた。；それは恋人や懐妊にも似ていて、天からの授かり物であると私は考える。；インディー団体をいくつか回った後に事実上引退し結婚、娘を授かった。；自分には一人の息子はおろか、一人の娘さえも授かっていないのだから。；ディーンは父から授かった秘策を胸に、優勝をかけた最終戦へ出場する。；生涯3度結婚したが、子供を授かったのは最初の妻との間だけだった。；この病気の第一期は親患者から病液を授かっている一種の錯乱の時期です。；高宗はこのことを大変に喜び、金法敏は太府卿の職を授かって帰国した。；夫妻は子供を授からなかったが仲が良く、ともに演劇の振興に尽くした。；又わしはどんなにもつれた糸でも手際良くほごす力を授かって居るでの。；女王になるための訓練をすべて終えた後に「アミダラ」の称号を授かる。；残念ながら、秀才といわれるだけの頭脳は授かっていなかったからです。；同じく3月29日には、第二子となる男子を授かったことが発表された。；遺伝子の組み換え技術を有していたという両親に授かったものだろうか。；あの子を授かった時には、呪いなんてばかばかしいとしか思わなかった。；世代だって違いすぎるし、年齢がいってからやっと授かった息子ですからね。；お母様からいただいた命を失って、お兄様に新しい命を授かったのです。；「どんな貴族にもない力を授かった代償よ」 Dの脇でリナの声がした。；その『ほんのちょっとのこと』がたったいま偶然ぼくに授かったのだ。；子供を授かるのが困難な夫婦を支援する不妊治療の専門家は世界中に見られる。；蛇を食べたので、動物の言葉がわかる能力が、召使いに授かったのでした。；オールド・ミスにとって、意外な授かり物だったのではないでしょうか?；いずれにせよ、ベスは二つの恵みを授かるにふさわしい娘であったのだ。</t>
        </is>
      </c>
      <c r="J3302">
        <f>HYPERLINK("https://www.weblio.jp/content/授かる", "词义详情")</f>
        <v/>
      </c>
      <c r="K3302">
        <f>HYPERLINK("https://yourei.jp/授かる", "查看例句")</f>
        <v/>
      </c>
    </row>
    <row r="3303">
      <c r="A3303" t="inlineStr">
        <is>
          <t>授ける</t>
        </is>
      </c>
      <c r="B3303" t="inlineStr">
        <is>
          <t>成功</t>
        </is>
      </c>
      <c r="C3303" t="inlineStr">
        <is>
          <t>読み方：さずける
［動カ下一］［文］さづ・く［カ下二］
１目上の者が目下の者に特別に与える。「学位を—・ける」「勲章を—・ける」
２師が弟子に教える。伝授する。「秘伝を—・ける」「知恵を—・ける」</t>
        </is>
      </c>
      <c r="D3303" t="inlineStr">
        <is>
          <t>授けるという記述；授けるべき</t>
        </is>
      </c>
      <c r="E3303" t="inlineStr">
        <is>
          <t>くれる；教育；指導；与える；聞く</t>
        </is>
      </c>
      <c r="H3303" t="n">
        <v>29</v>
      </c>
      <c r="I3303" t="inlineStr">
        <is>
          <t>これから先の一年一年は自分の身にいかなる新しい苦痛を授けるのであろう。；わたしがふたりに捕まったのは、ふたりに富を授けるためだったのです。；現象の真の理解を授けるものはただそれの発達の歴史だけである。；女紅を授ける学校で、選択制で英語教育も受けることができたと言える。；六 うるわしい人に微笑の唇を授ける運命は、悩む人には苦痛を与える。；魔法界の中で最も穢れた生物と戦う術を授けるのが、私の役目なのです!；嫡母が既に亡くなった場合だけ皇帝の生母は皇太后の称号を授けられた。；また、君主道徳は他のものに名誉を授けることができるとわかっている。；英雄体験を支援する人も、そして智恵を授ける人もいなくなりました。；もし親疎の順序を考えるのであれば、汝ではなく沖に授けられるだろう。；女が頭に被り物をするのは、足りない頭に力を授けるためだともいわれます。；孫峻から節と左護軍を授けられての出陣であったが、陣中で病に倒れた。；実現象としての奇跡を司り、それをもって英雄に勇気を授けるとされる。；英国金管バンド界への多大な貢献を賞して、数多くの勲章を授けられた。；閉まっている扉を開くと時々、様々な能力を授けるアイテムが現れる。；即ち教育学の技術を授けるので教育家を作るとは違うように思われる。；教授とは、教え授けることを原義とし、次のような意味を持っている。；親が子に授ける教育も、考えてみれば一種の催眠術のようなものだ。；でも、これに思考力を授けることに成功したかどうかは知りません。；大織を授けられたことが記録に見えるのは、内臣の中臣鎌足だけである。；呂不韋は仲父と言う称号を授けられ、呂不韋の権勢はますます上がった。；生徒に実験を授ける際に一度は必ずこういう点にも注意を喚起しなければならぬと思う。；サウロンはナズグールに新たな乗騎を授けると空からの監視を開始する。；しかし神より授けられたのは魔法の基本でしかなかった。；最初に町の名前が知られるのは、1327年に勅許が授けられてからである。；そこから授ける官位などくだらないものの至りと考えているはずであった。；また、一品は夫人が授けられていたが、後には一品夫人と呼ぶようになった。；確かに天剣を誰に授けるかは、陛下の自由になることではない。；必要な場合には、司教は司祭に堅信を授ける権能を与えることができる。</t>
        </is>
      </c>
      <c r="J3303">
        <f>HYPERLINK("https://www.weblio.jp/content/授ける", "词义详情")</f>
        <v/>
      </c>
      <c r="K3303">
        <f>HYPERLINK("https://yourei.jp/授ける", "查看例句")</f>
        <v/>
      </c>
    </row>
    <row r="3304">
      <c r="A3304" t="inlineStr">
        <is>
          <t>摩る</t>
        </is>
      </c>
      <c r="B3304" t="inlineStr">
        <is>
          <t>成功</t>
        </is>
      </c>
      <c r="C3304" t="inlineStr">
        <is>
          <t>読み方：さする
［動ラ五（四）］手のひらなどでからだや物の表面を、くりかえし軽くこする。「疲れた足を—・る」
[可能]さすれる</t>
        </is>
      </c>
      <c r="D3304" t="inlineStr">
        <is>
          <t>こなす；摩擦；粉砕；マッサージ；撫でる</t>
        </is>
      </c>
      <c r="H3304" t="n">
        <v>29</v>
      </c>
      <c r="I3304" t="inlineStr">
        <is>
          <t>この犬のためにはまだ摩られるのが、打たれるように苦痛なのであった。；見てみみぬふりなどもうできず、竜児はその背中を必死に摩り続けた。；何か言い出しそうにしては口のあたりを手の甲で摩るのでございます。；「私はいいが、小夜がさ」 小野さんは右の手で洋服の膝を摩り始めた。；しかし私は私の頬を妻の頬に摩りよせただけで、勢よく跳ね起きた。；ヨロヨロと起き上がった小百合は、両手を腹に当て大切そうに何度も摩った。；その部屋は六畳敷だったが、畳の表は摩り切れ、床の弾力がなくなっている。；医者とはいえ、男に腹を摩られるのは抵抗があったが、今はそんなことも言っていられない。；自分の心臓の方が不安になって胸に手をあてて摩りたかったが、肩の関節がロックされている。；それにしても寒い、駿は直輝から目を離さずに鳥肌の立った腕を摩った。；そして立ち上って忙しげに、踵の耗った靴を引き摩って戸の外へ出た。；蚊のおばさんが一匹、火傷をした長い脚を机の上に引き摩って行く。；そして無理にわたくしを引き摩って、先へ先へと駈けていらっしゃいましたでしょう。；席には戻らず、彼はそこに立って彼女の背中を摩りはじめた。；八は別当の手ぬるい様子を見て、摩り抜けて潜りの外へ出ようとした。；後に引き返そうとしますと大分向うへ摩れ落ちて居るのでどうも後に帰ることが出来ない。；相馬は尊敬している棟方に、摩ってから一晩たった宿墨を使わせたくなかった。；何か言うのかと待っていると、腹を摩りながら首を捻り、また便所へ歩いて行く。；動く度に舌の摩れ合う音でもあろう微かな声が出る。；そっと何とか自分の胸を撫で摩って、怨めしさを塗り潰して置きたかった。；摩り下ろしていた大根を置いて、玄関の様子を見に行った。；画室になる六十畳間に行ってみると、相馬は懸命に墨を摩っていた。；どの子もどの子も手を出して摩るのだ。；昨夕どこかの会へ出て、飲み過ごした結果だと云って、赤い眼をしきりに摩った。；「塁摩ってば」 光は薄れていき、影の姿がはっきりとしていった。；頭巾は肩へ摩り落ち、いくらか青みを帯びた白髪は風に吹き乱されていた。；指示をしつつ、真次郎は牛酪と粉を指の先で摩るように混ぜていた。；そばに寄って耳に向かって話すと、大変動揺した様子で髪をかきむしり、頭を摩った。；千枝子は並んで、小柄なその身体を僕に摩りつけるようにした。</t>
        </is>
      </c>
      <c r="J3304">
        <f>HYPERLINK("https://www.weblio.jp/content/摩る", "词义详情")</f>
        <v/>
      </c>
      <c r="K3304">
        <f>HYPERLINK("https://yourei.jp/摩る", "查看例句")</f>
        <v/>
      </c>
    </row>
    <row r="3305">
      <c r="A3305" t="inlineStr">
        <is>
          <t>座席</t>
        </is>
      </c>
      <c r="B3305" t="inlineStr">
        <is>
          <t>成功</t>
        </is>
      </c>
      <c r="C3305" t="inlineStr">
        <is>
          <t>読み方：ざせき
すわる場所。すわる席。席。「—指定車」</t>
        </is>
      </c>
      <c r="D3305" t="inlineStr">
        <is>
          <t>座席数(4%)；座席配置(3%)；座席指定(2%)；座席モケット；座席定員</t>
        </is>
      </c>
      <c r="E3305" t="inlineStr">
        <is>
          <t>席；椅子；座；シート；議席</t>
        </is>
      </c>
      <c r="F3305" t="inlineStr">
        <is>
          <t>前部座席；掛け座席；座席端；車内座席；全座席</t>
        </is>
      </c>
      <c r="G3305" t="inlineStr">
        <is>
          <t>座席指定制；座席定員制；座席指定席；座席ベルト；座席指定車</t>
        </is>
      </c>
      <c r="H3305" t="n">
        <v>29</v>
      </c>
      <c r="I3305" t="inlineStr">
        <is>
          <t>窓の下には各座席ごとに引き出して使用する折畳みテーブルを設置した。；スコアボードの下にも座席が設けてあり、野球開催時以外に使用される。；安全面から両方ともタンク反対側も物置とし座席を置かない会社も多い。；座席配置は100番台と同じであるが、経済性を重視した設計とされた。；座席は2人掛けの回転式リクライニングシートで以下に示す特徴を持つ。；座席はボックスシートであるが、乗務員席の周辺には設置されていない。；また、座席の前後及び窓下にモバイル用コンセントが新たに設置された。；また、この構造の為揺れの大きい車端部にも座席が設置されている。；座席指定で運賃のほかに料金が必要な列車が下記のとおり運行されている。；他のキハ20系中期車と同様、座席や室内灯などが製造途中で改良された。；この場合、特定の車両または座席が常に座席指定となっているわけではない。；国鉄の普通列車に使われる車両は座席配置により次のように区分される。；車内は座席の一部を撤去してバリアフリー化及びワンマン化を実施した。；なお、この年の12月ごろから側面の座席指定表示は使用されなくなった。；施設周辺に撤去した座席の一部が活用される予定となっている。；そのため、乗車当日になると目的の列車の座席が無い場合もあり得る。；座席からの眺望を良くすべく観光目的の車両・路線から採用がはじまった。；ドア間の7人掛け座席部では新たにスタンションポールを2本設置した。；欧米では座席は固定式のものが多く、座席を回転できない車両が多い。；通常の内装よりも座席幅を詰めて通路幅を広げた内装案も用意されている。；進行方向に応じた座席の転換はできず、集団見合式と集団離反式がある。；料金の違いは観戦場所によるもののみであり、座席の仕様に違いはない。；ただしその座席も、当該区間外では予約のない乗客が自由に着席できる。；この時に座席指定を受けるために正式に名前が与えられた。；さらに袖仕切上部の保護棒には座席モケットと同じ布地が巻かれている。；乗務員室背後の座席は廃止され、この場所側面にあった小窓も廃止された。；ただし、座席指定のある乗客が来た場合には、座席を譲る必要がある。；予約のある座席には予約されている区間を示したカードが掲示される。；また、座席の隣に通路が用意されているのも大きな特徴である。</t>
        </is>
      </c>
      <c r="J3305">
        <f>HYPERLINK("https://www.weblio.jp/content/座席", "词义详情")</f>
        <v/>
      </c>
      <c r="K3305">
        <f>HYPERLINK("https://yourei.jp/座席", "查看例句")</f>
        <v/>
      </c>
    </row>
    <row r="3306">
      <c r="A3306" t="inlineStr">
        <is>
          <t>さぞ</t>
        </is>
      </c>
      <c r="B3306" t="inlineStr">
        <is>
          <t>成功</t>
        </is>
      </c>
      <c r="C3306" t="inlineStr">
        <is>
          <t>読み方：さぞ
《副詞「さ」＋係助詞「ぞ」から》
［副］（あとに推量の語を伴って）未知の経験を目前のことのように想像したり、他人の経験に共感したりするさま。さだめし。きっと。さぞかし。「旅行は—楽しかったでしょう」
［連語］
１そのように。
「げに—おぼさるらむ」〈源・須磨〉
２文末にあって、強く肯定する意を表す。そうだ。
「うらうらと死なむずるなと思ひとけば心のやがて—とこたふる」〈山家集・下〉</t>
        </is>
      </c>
      <c r="D3306" t="inlineStr">
        <is>
          <t>さぞいい；さぞ喜ぶ；さぞ御；さぞ驚い；さぞ驚く</t>
        </is>
      </c>
      <c r="E3306" t="inlineStr">
        <is>
          <t>どれほど；さぞかし；さだめし；どんなに；どんなにか</t>
        </is>
      </c>
      <c r="F3306" t="inlineStr">
        <is>
          <t>さぞさぞ；さぞがっかり；さぞいや；さぞ嬉しかろ；さぞお困り</t>
        </is>
      </c>
      <c r="G3306" t="inlineStr">
        <is>
          <t>さぞや</t>
        </is>
      </c>
      <c r="H3306" t="n">
        <v>29</v>
      </c>
      <c r="I3306" t="inlineStr">
        <is>
          <t>その写真は近年まで持っていましたが、今あったらさぞ面白いでしょう。；兄はさぞ、私に裸の恥を気づかせたいと思っていたにちがいないと思う。；芸術上の仕事をしたら自分としてはさぞ愉快だろうと思うことさえある。；いやなこと、さぞいやなことだろうとこんなところで同情するようになる。；さて、自分の部屋へ一歩はいったら、さぞ暖かい感じがするだろうなあ。；道中は汽車もあの通りだしさぞお疲れになったろうとお察しいたします。；他の椅子でそんなことをしようものならさぞ聞くにたえない音であったろう。；巨人の腹の辺りに視えた点に到達しているのだから、さぞ飛んでいるのだろう。；私の話をお聞きになれば、さぞ不思議にお思いになることでしょう。；こんなことをわたしや他人の前にさらけ出されるのはさぞ腹が立つだろうな。；こんな広々した所でお飲みになると、さぞ気持のおよろしい事でせうね。；「それはさぞ気持ちが悪かったろう」 彼女の頭がまた枕の上で動いた。；ほかのだれかがこんな表情をしていたら、わたしはさぞ恐れたろう。；大変な事業だったが、父はさぞ私の心持を喜んでくれただろうと信じている。；彼女も夫の晩年について、さぞ私の話を聞きたかろう、と思ったからだ。；だから、その人だって、私の写真を見て、さぞがっかりしたことだろう。；日本なんぞであんな物を書いたら、人がさぞ馬鹿にすることでしょう。；いろいろの古典をすっかりおよみになったのはさぞいいお気もちでしょう。；リャボーヴィチは今度は、この娘がそうだったらさぞよかろうと思った。；この大奇術を考えだしたやつは、さぞ、とくいがっていることでしょう。；これは君の眼にさぞ馬鹿々々しく取りとめがないように思われるだろう。；あなたは私の長い沈黙にさぞさぞ物足りなくお感じなされたことでしょう。；あれが部下だったら、GNOSYSの将校どもはさぞ腹を立てるだろう。；若いころは、さぞ美人であったに違いない、と敦子はひとめでそう思った。；そして、ヤレヤレこれで安心だと、さぞのうのうした気でいるだろうな。；こういうところに住んでいたら、さぞ荒涼たる明け暮れであろうと思う。；一日をごく充実して使いこなせるようになったらさぞいいでしょうね。；わしの目に見えるごとく、音もきこえたならば、さぞ大きな音であろうな。；人の目にさぞイヤらしく見えるだろうと思ったが、気にしなかった。</t>
        </is>
      </c>
      <c r="J3306">
        <f>HYPERLINK("https://www.weblio.jp/content/さぞ", "词义详情")</f>
        <v/>
      </c>
      <c r="K3306">
        <f>HYPERLINK("https://yourei.jp/さぞ", "查看例句")</f>
        <v/>
      </c>
    </row>
    <row r="3307">
      <c r="A3307" t="inlineStr">
        <is>
          <t>誘う</t>
        </is>
      </c>
      <c r="B3307" t="inlineStr">
        <is>
          <t>成功</t>
        </is>
      </c>
      <c r="C3307" t="inlineStr">
        <is>
          <t>読み方：いざなう
［動ワ五（ハ四）］《「いざ」は勧誘する意の感動詞。「なう」は接尾語》さそう。勧める。「旅に—・う」「源氏物語の世界へ—・う」</t>
        </is>
      </c>
      <c r="D3307" t="inlineStr">
        <is>
          <t>誘うべき；誘うべく</t>
        </is>
      </c>
      <c r="E3307" t="inlineStr">
        <is>
          <t>呼ぶ；刺激；誘導；誘惑；招く</t>
        </is>
      </c>
      <c r="F3307" t="inlineStr">
        <is>
          <t>みを誘う；来るよう誘う；来いと誘う</t>
        </is>
      </c>
      <c r="H3307" t="n">
        <v>29</v>
      </c>
      <c r="I3307" t="inlineStr">
        <is>
          <t>河野は何処かへ行こうと私を誘ったが、私は何処へも行きたくなかった。；憑依した人間を夢の世界へと誘って、その隙を突いているだけなのです。；彼女は自分が新発見したこの娯楽に、養育係を誘おうと思ったのだった。；そして多くの若者を誘って物理学者への道をとらせるのに力があった。；その後友人から名古屋国際センターが主催するサッカー教室に誘われた。；そればかりでなく、現実から、遠いところへ彼等を、誘って行くものだ。；当時二人とも同じアルバイト先で、そこで伊勢に誘われての結成だった。；「もう少し歩いて行きましょう」と女は濠端に添う道の方へ彼を誘った。；友達を誘って来て復た二人して山のはずれへ立った頃は更に空の色が変った。；でも叔父が誘えば、高嶋さんは叔父と一緒に少しの間東京を離れてくれる。；この作品で描かれたようなファシスト的未来は観客を巧妙に思考へと誘う。；最後まで入団を誘ってくれたオリックス相手に無様な投球はしたくない。；大井競馬場の馬主であった友人に誘われたことがきっかけで馬主となる。；誘えば、友人たちは、待ってましたとばかり参加してくれるのである。；でも、だったら祥子さまはどうして他の人も誘おうなんて思ったんだろう。；そんな長与を見た父は4年ぶりに母親に会いに大阪に行こうと誘った。；地元の先輩に誘われて自主制作映画に参加したことがきっかけで俳優になる。；糸子は気さくな性格だから、コーヒーにでも誘えばいつでもついて来る。；友人は絹代しかいないので、仕方なく絹代を誘って3人でライブに行く。；高校時代の友人にバンドに誘われたのがきっかけで音楽の道へ進む。；子どもの頃はサッカーをしていたが、9歳の時に友人に誘われ野球を始めた。；母親のアンは若いころインド宣教に行くように誘われたことがあった。；蓋しそれほど彼の死は社会の好奇心を誘う事件であったからであろう。；その日も桂三郎は大阪の方へ出勤するはずであったが、私は彼をも誘った。；伊藤は最近この連中を誘って、何か面白い芝居を見に行くことになっていた。；と、その海の上を吹いて来る風が、底の方から一脈の冷気を誘うて来る。；父の徳兵衛は親類の者四、五人を誘って来て二階の正面に陣取っていた。；装飾花は両生花よりも早く展開し、早くに発色して虫を誘う役割をする。；滑稽というほどでもないが、ちょっと微笑を誘うようなところがある。</t>
        </is>
      </c>
      <c r="J3307">
        <f>HYPERLINK("https://www.weblio.jp/content/誘う", "词义详情")</f>
        <v/>
      </c>
      <c r="K3307">
        <f>HYPERLINK("https://yourei.jp/誘う", "查看例句")</f>
        <v/>
      </c>
    </row>
    <row r="3308">
      <c r="A3308" t="inlineStr">
        <is>
          <t>定まる</t>
        </is>
      </c>
      <c r="B3308" t="inlineStr">
        <is>
          <t>成功</t>
        </is>
      </c>
      <c r="C3308" t="inlineStr">
        <is>
          <t>読み方：さだまる
［動ラ五（四）］
１決定する。きまる。「方針が—・る」「運命が—・る」「心が—・る」
２明らかになる。はっきりする。「話の焦点が—・る」
３落ち着く。安定する。「評価が—・る」「—・った収入」
４治まる。静まる。「天候が—・る」</t>
        </is>
      </c>
      <c r="D3308" t="inlineStr">
        <is>
          <t>定まる計算可能</t>
        </is>
      </c>
      <c r="E3308" t="inlineStr">
        <is>
          <t>決定する；決まる；確立する；落ち着く；確定する</t>
        </is>
      </c>
      <c r="F3308" t="inlineStr">
        <is>
          <t>つて定まる；おのずから定まる</t>
        </is>
      </c>
      <c r="H3308" t="n">
        <v>29</v>
      </c>
      <c r="I3308" t="inlineStr">
        <is>
          <t>すなわち、研究者ごとに解釈が異なり統一された定義は定まっていない。；朝鮮全土至る所の村や町では、定まった日に五日おきぐらいに市が立つ。；それまでの私は何といっても決意が定まらなかったと言うべきだろう。；客の挨拶に頭を軽くさげているが、眼が次々と動いて視線が定まらない。；分類がはっきりと定まっているわけではないが以下に分けて記載する。；官軍を象徴する旗に関しては初めから定まった形があったわけではない。；あの仕事を経営すれば、毎年定まつてはいつて来ると云ふのではない。；なお、指定する式はコンパイル時に値が定まるものでなければならない。；かくまでに定まっていたが故に、心にも手にも乱れはなかったであろう。；何れにしても、空にして心定まらぬ人間によって作られているのである。；一般的な訳し方が明確に定まっていないものもあるので注意されたい。；何かが見ている、目の前の空間に形の定まらない肉のような何かが見えたと。；しかし一旦その資格が定まった以上は容易に変更が許されなかった。；毒ガス弾が使用されたとする文献もあるが、諸説があり定まっていない。；二つの線は互いにある角度を保っているので、これで一つの面が定まる。；こうなると腰の定まらないVコード陣営が動揺するのは目に見えている。；いずれにせよ、安倍の試みはまだ道半ばであり、評価も定まっていない。；大事なのは形やない、心のつとめで、それも事情がなければ心が定まらん。；現在は、この頃とはまた違うイメージに定まっておられますけれども。；浄法寺が中心で月始めの毎二日と日が定まっていて市日が開かれる。；が可逆でないときでも、適当な方法で が定まれば極分解が定義される。；するとそれを待っていたように次々と明りが広がり、やがて夜が定まる。；つまり造都当時は平安京の普段の呼び方が定まっていなかったのである。；ここに示す事実は古くから知られているものであるが呼びかたが定まっていない。；三角縁神獣鏡に先行する鏡式とする説が多いが、評価は定まっていない。；批判するわけじゃないが、ガリオン、おまえは腰が定まらなさすぎるぜ。；幕府の基礎はすでに定まって、いわば荘厳工事だけが残された任務だった。；人間はどこで何をしている方が幸福だという定まった場所があるわけではない。；サイド・バイ・サイドにも複数の形式が存在し標準は定まっていない。</t>
        </is>
      </c>
      <c r="J3308">
        <f>HYPERLINK("https://www.weblio.jp/content/定まる", "词义详情")</f>
        <v/>
      </c>
      <c r="K3308">
        <f>HYPERLINK("https://yourei.jp/定まる", "查看例句")</f>
        <v/>
      </c>
    </row>
    <row r="3309">
      <c r="A3309" t="inlineStr">
        <is>
          <t>定める</t>
        </is>
      </c>
      <c r="B3309" t="inlineStr">
        <is>
          <t>成功</t>
        </is>
      </c>
      <c r="C3309" t="inlineStr">
        <is>
          <t>読み方：さだめる
［動マ下一］［文］さだ・む［マ下二］
１決定する。きめる。「この地を都と—・める」
２よりどころや従うべきものとしてきめる。制定する。「法の—・めるところに従う」「憲法を—・める」
３はっきりさせる。「態度を—・める」
４落ち着かせる。安定させる。「住居を—・める」「身を—・める」
５静める。治める。「天下を—・める」
６評定する。議論する。
「しばし舟をとどめて、とかく—・むることあり」〈土佐〉
→決める［用法］</t>
        </is>
      </c>
      <c r="D3309" t="inlineStr">
        <is>
          <t>定めるべき；定める業種区分</t>
        </is>
      </c>
      <c r="E3309" t="inlineStr">
        <is>
          <t>設置；設立；設定；作る；創設</t>
        </is>
      </c>
      <c r="F3309" t="inlineStr">
        <is>
          <t>定める消防表彰規程；定める技術的基準；定める技術基準；定めるところにより届け出る；定めるところにより算定</t>
        </is>
      </c>
      <c r="H3309" t="n">
        <v>29</v>
      </c>
      <c r="I3309" t="inlineStr">
        <is>
          <t>日本以外では法令に定める正式な放送禁止用語とされている場合もある。；なお、必要に応じて定めるものであり、特に指定していない自治体も多い。；が負のときは を今度は逆方向に伸び縮みさせることで同様に定める。；自己占有は物権一般の消滅原因のほか203条で定める場合に消滅する。；このように、同じ集合に対して定めることのできる距離は一つではない。；委員会の目的は向こう50年の社会科学研究の方向を定めるものであった。；ただし、以下の地域では供給約款の本則とは異なる標準周波数を定める。；勲章制度を定める法律はなく、政令及び府令に基づいて運用されている。；株式会社は発行する全部の株式の内容として次の内容を定めることができる。；これは縮尺に規格を定める事で既製品を利用できるようにするためである。；合格か不合格かを定める試験では事前に合格点を設定しておく。；授乳は時間帯を定めるよりも乳児の要求に応じて与えることが望ましい。；関係する薬物規制法律に特例または必要な事項を定めるための法律である。；これは国の定める行政の用語であり、全国の義務教育課程で教育指導されている。；最後の条件は、地面に固定されたときに真上に来る面が目を定めるためのものである。；SI単位とは、国際単位系が定める最も基本的な様々な単位の総称である。；副市町村長制度では定数は条例で任意に定めることができるとされた。；研究の計画とは「何を明らかにするために、何をしたのか」を定めることである。；神はヨシュアに逃れの町を定めるよう命令し、六つの都市が定められる。；日付から曜日を特定するためには、ある1日の曜日を定める必要がある。；これにより、明確な定義を定める必要性が生まれたと考えられている。；刑法各則の定める構成要件を自ら単独で実現する場合を単独正犯という。；また、の条件次第では答えが逆になったり、答えを定めることができなかったりする。；製造業の代表的な職場では、祝日法に定める振替休日は無視されている。；各大学が学則で定める卒業要件を満たした者には、卒業資格が与えられる。；この節には「運命を定める彼らはノルンと呼ばれる」との注釈がある。；試験の実施については、情報処理技術者試験規則の定めるところによる。；学位の種類も国が定める方式が廃され、各大学が自由に定められるようになった。；政体を定めるというのは、主権の作用に形式を与えるという意味である。</t>
        </is>
      </c>
      <c r="J3309">
        <f>HYPERLINK("https://www.weblio.jp/content/定める", "词义详情")</f>
        <v/>
      </c>
      <c r="K3309">
        <f>HYPERLINK("https://yourei.jp/定める", "查看例句")</f>
        <v/>
      </c>
    </row>
    <row r="3310">
      <c r="A3310" t="inlineStr">
        <is>
          <t>札</t>
        </is>
      </c>
      <c r="B3310" t="inlineStr">
        <is>
          <t>成功</t>
        </is>
      </c>
      <c r="C3310" t="inlineStr">
        <is>
          <t>読み方：さつ
［音］サツ（漢）　［訓］ふださね
［学習漢字］4年
〈サツ〉
１文字を書いた板切れ。「表札・門札」
２書き付け。証文。手紙。「一札・鑑札・書札・入札」
３紙幣。「贋札(がんさつ・にせさつ)」
４切符。「改札・出札」
〈ふだ〉「名札・荷札」
［名のり］ぬさ</t>
        </is>
      </c>
      <c r="D3310" t="inlineStr">
        <is>
          <t>札付き；札価格；札座；札額；札差し</t>
        </is>
      </c>
      <c r="E3310" t="inlineStr">
        <is>
          <t>表示；カード；守り；守；レーベル</t>
        </is>
      </c>
      <c r="F3310" t="inlineStr">
        <is>
          <t>山札；落札；番号札；絵札；銀札</t>
        </is>
      </c>
      <c r="G3310" t="inlineStr">
        <is>
          <t>札幌市；札所；札束；札差；札幌駅</t>
        </is>
      </c>
      <c r="H3310" t="n">
        <v>29</v>
      </c>
      <c r="I3310" t="inlineStr">
        <is>
          <t>一枚買っていたことを思い出して札の番号を見ると千両が当たっている。；プレイヤーは、自分の番のときに山札からカードを一枚引いて公開する。；札の配置は競技中に、相手に宣言することで自由に動かすことができる。；獅子王札は別の団体の者が獲得したが太平号の連中に強奪されてしまう。；カード交換が終わったら実際にカードをプレイし、絵札の争奪戦を行う。；場札がなくなったときは手札のうちから任意の1枚を出して場札とする。；各プレイヤーは自分の番が来るごとに、数字の書かれた札を場に捨てていく。；またこれらの小札や板札が鉄で製作されることも多くなり防御性が向上した。；だがそのクラスは工業科の中でも札付きのワル達が集うクラスであった。；上がるためには自分とパートナーの両方が足札を使っていなければならない。；残ったカードは裏向きのまま、山札にしてプレイヤーの中央に置く。；札を配られた者は賭金を上乗せするか勝負を降りるか選ぶことができる。；この時、山札にカードが残っていなかった場合はそのプレイヤーの敗北となる。；その小屋には「誰でも自由に住んでよい」と書いた小さな札がかかっていた。；絵札は10点、それ以外のカードは表記されたランクと同じ点数である。；場に捨てられた札の数字の合計を99以上にしたプレイヤーが負けとなるゲーム。；また、偽ドル札製造も計画されたが、それはついに完成をみなかった。；また、新しく発行された青色の5万ルピア札に彼の肖像が描かれている。；全ての遺体のポケットには5ドル札1枚と25セント硬貨が見つかった。；日本の競争入札では、落札額は予定価格の制限を超えることができない。；この他、こうした古札類には藩以外にさまざまな発行元があったことが知られている。；各プレイヤーは獲得した札の中にあるマイナス点を数え、紙に書き加える。；この時間の中で取りやすいように札を並べたり、取り札を記憶する。；この札の見本はサンフランシスコ連邦準備銀行の で見ることができる。；祭りの前日、女たちは紙に名前を書いた札を桶の中に入れることになっていた。；行為判定は場に積まれた山札からカードを一枚引くことで行われる。；この場合は札を2枚送ることができ、相手と自分で3枚差がつくことになる。；一部には実際に髪切りを自作自演で起こし札を売る者もあったという。；地方によって用いられている役で、いずれも出来役に当たる札をさらす。</t>
        </is>
      </c>
      <c r="J3310">
        <f>HYPERLINK("https://www.weblio.jp/content/札", "词义详情")</f>
        <v/>
      </c>
      <c r="K3310">
        <f>HYPERLINK("https://yourei.jp/札", "查看例句")</f>
        <v/>
      </c>
    </row>
    <row r="3311">
      <c r="A3311" t="inlineStr">
        <is>
          <t>雑</t>
        </is>
      </c>
      <c r="B3311" t="inlineStr">
        <is>
          <t>成功</t>
        </is>
      </c>
      <c r="C3311" t="inlineStr">
        <is>
          <t>読み方：ざつ
［音］ザツ（慣）ゾウ（ザフ）（呉）　［訓］まじる　まざる　まぜる
［学習漢字］5年
〈ザツ〉
１入りまじる。まとまりがない。「雑然・雑踏・雑駁(ざっぱく)／混雑・錯雑・煩雑・複雑・乱雑・猥雑(わいざつ)」
２主要でない。いろいろの。「雑貨・雑穀・雑費・雑務」
３精密でない。「粗雑」
〈ゾウ〉
１入りまじる。「雑炊・雑煮」
２主要でない。いろいろの。「雑木(ぞうき)・雑巾(ぞうきん)・雑兵(ぞうひょう)」
［名のり］かず・とも</t>
        </is>
      </c>
      <c r="D3311" t="inlineStr">
        <is>
          <t>雑器(9%)；雑誌名(5%)；雑掌(3%)；雑具；雑味</t>
        </is>
      </c>
      <c r="E3311" t="inlineStr">
        <is>
          <t>適当；大まか；乱雑；いい加減；粗雑</t>
        </is>
      </c>
      <c r="F3311" t="inlineStr">
        <is>
          <t>雑説；雑霊；日用雑；雑樹；雑形</t>
        </is>
      </c>
      <c r="G3311" t="inlineStr">
        <is>
          <t>雑草；雑木林；雑談；雑音；雑多</t>
        </is>
      </c>
      <c r="H3311" t="n">
        <v>29</v>
      </c>
      <c r="I3311" t="inlineStr">
        <is>
          <t>保存運動の中心となったのは、雑化を危惧した当時の大館町長らである。；時々雑なプレーも見せたが、強い腕を持つ遊撃手として評価されていた。；教場へ出て何の事じゃ、大方そのせいで雑所様に叱られたものであろう。；また寺域南西には塔が、寺域南東には僧房・食堂など雑舎群が配される。；俺の父はカリフォルニア女性と結婚したが、あそこは書類保管が雑だろ。；職員には前述の別当の他、頭・預・案主・小舎人・雑工からなっていた。；だから雑夫達と違って、ささやかながらも一家を支えて行くことが出来た。；恋および雑の部の歌作者に僧が多いのは頓阿の撰したためかという。；初期の民族推定は雑で不正確なものがあったが、正確性は大きく改善している。；雑体書の流行について述べたもので、百種を越える雑体書を記している。；その点では一二の大家先生の方が、遙に雑俗の屎臭を放つてゐると思ふ。；誓いを立てた後は、メイスター・エイモンの雑士となり鴉の世話をする。；ここにおいてか各種の雑職に従事する法師姿の特殊民が起って来るのである。；雑稲は国分二寺稲や救急料など特定の目的をもって設置されたものである。；監督や雑夫長などは昼になっても起きて来なかった。；学校に住む雑鬼だが人間の子供とそっくりな容姿をしている。；雑職同様に免職、昇進を決める勤務評定人事の都目が年4回実施される。；ヴォーカルはやハンク・ウィリアムズのように元々は雑で鼻にかかっていた。；文字を修得し、内容を文字で説明するために、一時的に絵が雑になる。；当地方の茶も多くの地方の「雑茶」とともに輸出から脱落していった。；レーベル名の下に記載されている雑誌名は、対応する主な漫画雑誌である。；その中には預所や雑掌などの呼称で呼ばれた者も含まれている。；それ以外にさまざまな専門技術職を選抜する雑科が存在した。；また、グレープ・ウスペンスキーら雑階級出身の若手の作家も加わった。；作られたのは主に台所用の雑器であり、鬼怒川の水運を利用して江戸で販売された。；「雑なヘリクツで論破できるのか」が番組の全体的なテーマとなっている。；勅撰歌集の体裁にしていたら春夏秋冬恋雑の分類になるところであった。；たしかにその中に一人の女が、立ち雑っているように思われた。；しかも何んと意外にも、その中には刃三十郎と、菊女とが雑っているではないか!</t>
        </is>
      </c>
      <c r="J3311">
        <f>HYPERLINK("https://www.weblio.jp/content/雑", "词义详情")</f>
        <v/>
      </c>
      <c r="K3311">
        <f>HYPERLINK("https://yourei.jp/雑", "查看例句")</f>
        <v/>
      </c>
    </row>
    <row r="3312">
      <c r="A3312" t="inlineStr">
        <is>
          <t>撮影</t>
        </is>
      </c>
      <c r="B3312" t="inlineStr">
        <is>
          <t>成功</t>
        </is>
      </c>
      <c r="C3312" t="inlineStr">
        <is>
          <t>読み方：さつえい
［名］(スル)写真や映画をとること。「屋外で—する」「記念—」</t>
        </is>
      </c>
      <c r="D3312" t="inlineStr">
        <is>
          <t>撮影用；撮影場所；撮影開始；撮影終了後；撮影スタッフ</t>
        </is>
      </c>
      <c r="E3312" t="inlineStr">
        <is>
          <t>映画化；撮る；写す</t>
        </is>
      </c>
      <c r="F3312" t="inlineStr">
        <is>
          <t>撮影終了；動画撮影；ロケ撮影；再撮影；追加撮影</t>
        </is>
      </c>
      <c r="G3312" t="inlineStr">
        <is>
          <t>撮影監督；撮影中；撮影現場；撮影時；撮影会</t>
        </is>
      </c>
      <c r="H3312" t="n">
        <v>29</v>
      </c>
      <c r="I3312" t="inlineStr">
        <is>
          <t>その本の裏表紙には母親が撮影した幼いころの兄弟の写真を使っていた。；個人で撮影した画像を自宅のプリンターで印刷することが一般的になった。；映画では大阪店・東京店が撮影に使用され、そごうが衣装提供も行った。；一般に俳優ひとりが欠けるだけでも舞台や撮影が成立しなくなってしまう。；その後も現在に至るまで多くの目撃例があり、写真や映像も撮影されてきた。；この種の作品では実際の動物を用いて撮影すると効果的である。；また、動物の成長速度や寿命、NGの多さで撮影は大変といわれている。；撮影はセットごとに行われるため必ずしも時系列に沿ってはいない。；ほとんどは撮影部と録画部が一体化したカムコーダ様式のものである。；主に横浜が舞台になっているが、実際には神戸など日本各所で撮影された。；この作品では、大阪府庁前の上町筋を封鎖して撮影を行う必要があった。；映画同様東京に比較的近いという理由からロケ地撮影されるドラマが多い。；天文撮影や科学機器では冷却機構が最初から設計に含まれているものもある。；以上のような要因で、映画の撮影期間は予定を超えてどんどん延びていった。；映画用のカメラは、一般に映像の撮影のみを行い、音声の録音は行わない。；二人の共演が決まっていた映画『戦争と平和』の撮影準備中のことだった。；ただし、満月が出ていてもオーロラを見たり撮影したりすることはできる。；カメラで撮影した映像を、カメラの後方に設置したディスプレイで表示する。；ブラック・マリアはその後数年間、エジソンの映画撮影の中心となった。；この時の台風の模様は撮影され、ストーリー上急遽役割が与えられた。；現在までに撮影された中で最も深い宇宙の画像である。；ストーリー進行などに多少の変更があり、H大学は城西大学で撮影された。；可視光では前述の通り非常に暗い為に、輪が明瞭に撮影される事はまず無い。；この構造は光学的付加部品や撮影装置などの取り付けに有利である。；小津は移動撮影をほとんど使わず、できるだけカメラを固定して撮影した。；そのため撮影が終了する頃には、編集もほとんど済んでしまうことが多かった。；屋外でのファッション写真の撮影は、彼の作品が最も早い一例である。；写真は少なくともこの意味で確かに撮影者の創作物であり、表現の手段である。；特に列車を専門にしている場合は列車撮影とも呼ぶ。</t>
        </is>
      </c>
      <c r="J3312">
        <f>HYPERLINK("https://www.weblio.jp/content/撮影", "词义详情")</f>
        <v/>
      </c>
      <c r="K3312">
        <f>HYPERLINK("https://yourei.jp/撮影", "查看例句")</f>
        <v/>
      </c>
    </row>
    <row r="3313">
      <c r="A3313" t="inlineStr">
        <is>
          <t>雑音</t>
        </is>
      </c>
      <c r="B3313" t="inlineStr">
        <is>
          <t>成功</t>
        </is>
      </c>
      <c r="C3313" t="inlineStr">
        <is>
          <t>読み方：ざつおん
１不規則で不愉快に感じられる音。うるさい音。
２ラジオ・テレビ・電話などの聴取のさまたげとなる音。また、電気回路で、目的とする信号電流以外の、通信を妨害する電流。ノイズ。
３うわさや無責任な意見。「—に迷わされる」</t>
        </is>
      </c>
      <c r="D3313" t="inlineStr">
        <is>
          <t>雑音低減；雑音レベル；雑音混じり；雑音まじり；雑音だらけ</t>
        </is>
      </c>
      <c r="E3313" t="inlineStr">
        <is>
          <t>音；荷物；障害；故障；邪魔</t>
        </is>
      </c>
      <c r="F3313" t="inlineStr">
        <is>
          <t>背景雑音；発生する雑音；水中雑音；耳障りな雑音；低雑音</t>
        </is>
      </c>
      <c r="G3313" t="inlineStr">
        <is>
          <t>雑音温度；雑音工房noise；雑音のある通信路モデル</t>
        </is>
      </c>
      <c r="H3313" t="n">
        <v>29</v>
      </c>
      <c r="I3313" t="inlineStr">
        <is>
          <t>にもかかわらず時には仕事に支障を来たすほど雑音の激しい時もあった。；彼の声に雑音が入ったのを、ディードリットは生まれてはじめて聞いた。；自分のまわりに聞きなれない船の生活の雑音がかすかに聞えていた。；艦体が延長された理由は、航行時の雑音対策によるものと見られている。；現にこの人のレコードにはそうした雑音がちゃんと録音されているという。；たまにテレビやラジオからそれが流れてきても雑音にしか聞こえない。；その音の中に、電気メスを使う音が、ときどき雑音となって入ってくる。；あれほど聞こえていた下の階からの雑音は、とっくの昔になくなっていた。；真牛の頭に侵入してくる真鶴の情報が雑音に包まれて正体が読めない。；昼間だというのに人通りもなければ、街が持つ様々な雑音すら届かない。；玉音放送が流れたが、雑音が多くてなにを言っているのか聞き取れない。；雑音の振幅スペクトルの平均値の推定には様々な方法が提案されている。；聞えてくるのは、砂が流れるかの様にざらざらとした雑音信号だけだ。；それぞれのゲームに集中していなければ、雑音を通り越して騒音に近い。；敵潜水艦からは爆発直後にスクリュー音が消え、様々な雑音が観測される。；そしてスピーカーの伝えるカークの言葉はまったく雑音でしかなかった。；ラジオも雑音ばかりで、ガーガーと嫌な音を立てるので消してしまった。；あれこれ陰で言う奴はいるかもしれないが、そんな雑音は気にするな。；人の話し声などの雑音は耳に入らず、水の音だけが静かに響いているのだ。；続けて彼が口にした言葉は、ただ息が漏れているだけの雑音でしかなかった。；雑居状態は楽しく、環境の絶え間なしの雑音は耳にはいっていないのだ。；音声強調で使われる代表的な雑音抑制の方法としては以下のものがある。；雑音のせいか疲れているせいか、他人の声がうっとうしくて仕方なかった。；ウィンドウ越しにかすかに聞こえてくる雑音以外、車内は静かなままだ。；その表面に緑の光がつき、スピーカーはかん高い雑音を鳴らしはじめた。；生き物の気配や、自分のなかにある欲望なども、すべて雑音なのである。；必要とする出力・対雑音特性・速度などに応じて各種のカウンタが使用される。；雑音に似た異音が二人の思惟の交流の中に分け入って、強打を振るった。；最後の雑音レベル調整は背景雑音を適切なレベルに調整するためのものである。</t>
        </is>
      </c>
      <c r="J3313">
        <f>HYPERLINK("https://www.weblio.jp/content/雑音", "词义详情")</f>
        <v/>
      </c>
      <c r="K3313">
        <f>HYPERLINK("https://yourei.jp/雑音", "查看例句")</f>
        <v/>
      </c>
    </row>
    <row r="3314">
      <c r="A3314" t="inlineStr">
        <is>
          <t>作家</t>
        </is>
      </c>
      <c r="B3314" t="inlineStr">
        <is>
          <t>成功</t>
        </is>
      </c>
      <c r="C3314" t="inlineStr">
        <is>
          <t>読み方：さっか
芸術作品の制作をする人。また、それを職業とする人。特に、小説家。「—志望」
[補説]書名別項。→作家</t>
        </is>
      </c>
      <c r="D3314" t="inlineStr">
        <is>
          <t>作家たち(3%)；作家活動；作家デビュー；作家陣；作家達</t>
        </is>
      </c>
      <c r="E3314" t="inlineStr">
        <is>
          <t>作者；画家；詩人；アーティスト；著者</t>
        </is>
      </c>
      <c r="F3314" t="inlineStr">
        <is>
          <t>婦人作家；人気作家；劇作家；女性作家；新進作家</t>
        </is>
      </c>
      <c r="G3314" t="inlineStr">
        <is>
          <t>作家主義；作家アリス；作家の肖像；作家の値うち；作家出版社</t>
        </is>
      </c>
      <c r="H3314" t="n">
        <v>29</v>
      </c>
      <c r="I3314" t="inlineStr">
        <is>
          <t>非常に多作な作家でありながら、作品ごとに独特な設定が為されている。；妻との間に5人の子供がいて、それぞれ尊敬する作家の名前をつけている。；これにより高い人気を得、同誌から多くの作家が生まれることになった。；式には、結婚したばかりの作家であり友人の大江と妹ゆかりも参列した。；ベンヤミンはブレヒトの理解者となり彼の作家論を幾つか執筆している。；近代以降、多くの文学賞が創設され、作家の発掘と育成に貢献している。；北野勇作や久美沙織ら同世代の作家に強い影響を与えたといわれている。；現在に至ってもこの3人を超える作家は登場していないとされる。；他の作家が1929年から1930年にかけて類似の小説を書いている。；ただし、ミヤベくんは後から別の作品で女流作家役としても起用された。；この年は永い作家生活の中で、初めて小説の発表が一編もなかった。；またボルヘスの作品では架空の書物や作家がしばしば主題に設定されている。；デビューの直後から、通常の作家の枠を超えた八面六臂の活動を始めている。；他の作家たちは出席許可を得なかったか、自分から諦めてしまった。；すべての時代の作家が、自らの論点を説明するのに白ワインを用いてきた。；そのため、新人賞としてものちのち活躍していく作家の率が非常に高い。；両賞を連続受賞した作家は今のところカードしかいない。；僕が有名な作家になっても、僕の出世では1ペニーも目にすることはない。；同シリーズからは衛藤ヒロユキ、柴田亜美などが人気作家になっている。；同行している作家仲間を驚かせることもしばしばだったという。；その他で、リアリズムに分類されない作家はビーダーマイヤーに属する。；山を対象にした画・写真などの作家団体が存在する。；台湾では日本の作品の翻訳だけでなく、現地作家の作品もあり、高い人気がある。；多くの作家がパスティーシュの手法を用いて金田一耕助を登場させている。；教育やビジネスを主題とする作家たちはこの本を題材にした。；現代作家たちは隠喩なしでオーガズムを表現することを選んでいる。；現在でも商業BLで活躍すると同時に同人誌を出している作家は少なくない。；昭和後期以降は、自ら積極的に大衆小説作家を名乗る作家は多くない。；他の作家の作品を集めたアンソロジーを編集したこともある。</t>
        </is>
      </c>
      <c r="J3314">
        <f>HYPERLINK("https://www.weblio.jp/content/作家", "词义详情")</f>
        <v/>
      </c>
      <c r="K3314">
        <f>HYPERLINK("https://yourei.jp/作家", "查看例句")</f>
        <v/>
      </c>
    </row>
    <row r="3315">
      <c r="A3315" t="inlineStr">
        <is>
          <t>雑貨</t>
        </is>
      </c>
      <c r="B3315" t="inlineStr">
        <is>
          <t>成功</t>
        </is>
      </c>
      <c r="C3315" t="inlineStr">
        <is>
          <t>読み方：ざっか
日常生活に必要なこまごました品物。「—店」</t>
        </is>
      </c>
      <c r="D3315" t="inlineStr">
        <is>
          <t>雑貨商(12%)；雑貨類(3%)；雑貨屋(2%)；雑貨店(2%)；雑貨品</t>
        </is>
      </c>
      <c r="E3315" t="inlineStr">
        <is>
          <t>小間物；雑器；日用雑貨；家庭用品；生活雑貨</t>
        </is>
      </c>
      <c r="F3315" t="inlineStr">
        <is>
          <t>服飾雑貨；インテリア雑貨；ファッション雑貨；舶来雑貨；洋品雑貨</t>
        </is>
      </c>
      <c r="G3315" t="inlineStr">
        <is>
          <t>雑貨屋；雑貨屋さん；雑貨ブランド</t>
        </is>
      </c>
      <c r="H3315" t="n">
        <v>29</v>
      </c>
      <c r="I3315" t="inlineStr">
        <is>
          <t>季節にちなんだ商品需要などから雑貨類も増加しているとのことである。；近年、川沿いにはカフェ・ファッション・雑貨などの店が増加している。；衣料、雑貨を営業し、近代に入って呉服類を中心に営業を継続拡張した。；はっきり記憶はないが、復航の船腹には雑貨類などを積んできたと思う。；わたしが雑貨商をしていた時、パンを買いに来た客が腹痛を起こした。；村一軒の雑貨屋と米屋兼酒屋、そしてバスの停留所が道沿いに見えた。；喰い物の方は別としても、雑貨や何かの方は手に取って見ればわかる。；海外の資本流入があった当初は繊維産業や雑貨工業が立ち上げられた。；或生暖かい曇天の午後、僕は或雑貨店へインクを買ひに出かけて行つた。；最近は、雑貨の展開にも力を入れており店舗、オンラインでも購入できる。；たいていどのホテルにもある、薬の他に本や文具などの雑貨を売っている店だ。；その飛火がフランス全部に拡大して、今は踊場や雑貨商にも起って来た。；店の中はぱっと見た感じは様々な雑貨や小物の類で占められているみたいだった。；魚や肉などの生鮮品のほか、総菜や雑貨など四百種類以上の商品を販売する。；病気で寝たり起きたりの父を抱え、ほそぼそと日常雑貨を商っている。；四千八百人の国民にビールや雑貨を売って上がる利益など、高が知れている。；農産物以外にも、柏市の店舗を中心に飲食物、雑貨等の販売が行われる。；目的地は南米であり、たくさんの雑貨類をいっぱいに積みこんでいる。；オーファンとザッカの後を、火馬の民の戦士たちが黙々と歩いている。；瀬戸内海など各地の石炭や雑貨の輸送でかなり重要な地位を占めた。；ゲーム各種・カード類・プラモデル他玩具・雑貨の販売・買取事業を行う。；生鮮食品・加工食品・酒類・米穀類・雑貨等の加工・販売を行っていた。；何軒か先に雑貨屋のあるのを見つけ、どんどん歩いて中へ入った。；彼は、それをとある雑貨商のところへと運ぶよう言われて、家を出たのだ。；日常雑貨の販売や島の生産物を日本本土やグアム等に輸出することを目的にしていた。；幾つかの大きな雑貨店へ入つて女が春着の買物をする雑沓をも観た。；物離れが悪く、衣料や雑貨に至るまでなかなか捨てることができない。；母親は仕方なく息子と一緒にワイゼル雑貨店へゆくことにした。；そこには商売用の雑貨を並べた台が左右にあった。</t>
        </is>
      </c>
      <c r="J3315">
        <f>HYPERLINK("https://www.weblio.jp/content/雑貨", "词义详情")</f>
        <v/>
      </c>
      <c r="K3315">
        <f>HYPERLINK("https://yourei.jp/雑貨", "查看例句")</f>
        <v/>
      </c>
    </row>
    <row r="3316">
      <c r="A3316" t="inlineStr">
        <is>
          <t>錯覚</t>
        </is>
      </c>
      <c r="B3316" t="inlineStr">
        <is>
          <t>成功</t>
        </is>
      </c>
      <c r="C3316" t="inlineStr">
        <is>
          <t>読み方：さっかく
［名］(スル)
１《2から転じて》思い違い。勘違い。「—を起こす」「—に陥る」「愛されていると—する」
２心理学で、刺激または対象の客観的事実を違ったものに知覚すること。→幻覚</t>
        </is>
      </c>
      <c r="D3316" t="inlineStr">
        <is>
          <t>錯覚だったろ；錯覚自我説；錯覚論法；錯覚なんだろう；錯覚運動の法則</t>
        </is>
      </c>
      <c r="E3316" t="inlineStr">
        <is>
          <t>幻；空想；幻想；幻覚；幻影</t>
        </is>
      </c>
      <c r="F3316" t="inlineStr">
        <is>
          <t>やうな錯覚；奇妙な錯覚；そういう錯覚；不思議な錯覚；単なる錯覚</t>
        </is>
      </c>
      <c r="H3316" t="n">
        <v>29</v>
      </c>
      <c r="I3316" t="inlineStr">
        <is>
          <t>これも何かの錯覚であるかどうか信用の出来る資料がないから不明である。；私は海近いような錯覚をおこして、子供のように丘をかけ降りて行った。；しかしそれは錯覚であったとみえて、誰も室内へ這入って来てはいない。；ところで私はその謎の男は決して先生の錯覚ではないといいきれます。；私は駆けながら、私自身を探しているかのような錯覚に陥っていました。；こうしていると、人間が自動消化機械にでもなったような錯覚を感じる。；折れたと思ったのは錯覚だったらしく、彼女の首はまっすぐに伸びていた。；はじめは、酔いつぶれて、自分の家のどこかに寝ているのかと錯覚した。；まるで近所の小父さんと話をしているような錯覚さえ感じたくらいだ。；老人の錯覚で、親切と愛情とを弁別出来なくなってるのではあるまいか。；先生たちは制服を着ている生徒を見て、子どもだと錯覚しているだけなのだ。；私が Sollen を地に投げたと思ったのは錯覚に過ぎなかった。；極端にいえば我々の眼に映じている現象は全部錯覚であるかも知れないのだ。；彼女の瞳が揺れているように見えたのは、僕の錯覚かもしれないが。；戦闘の際はパイロットに幽体離脱にも似た第二の自分を錯覚させる。；それに、こういった錯覚は、人が考えるよりたやすく起こるものなのだ。；私たちにはもう錯覚もありませんでしたし、ごまかしもありませんでした。；あるいは耳の錯覚ではないかと考えたが、それでも後ろを振り見た。；海上の不思議さは地上の不思議さと反対な錯覚に満ちているものだ。；最近にはまた上記のものとは種類のちがった珍しい錯覚を経験した。；正直云ふと、初めてあの人に手紙書くみたいな錯覚に陥つてゐるのよ。；それとも存在していると自分が錯覚しているだけなのだろうか。；だが、奔牛の角に掛けられたと思ったのは、路傍の人たちの錯覚だった。；だがそれは知識から来る錯覚のようで、目で実証できることではなかった。；隆太と初めて会ったゲンは、進次が生きていたのではないかと錯覚する。；ガブリエルはその湖のなかに自分が沈んでいくような錯覚を覚えた。；が、それを見ているとまるで宇宙船が動いているような錯覚をおこした。；それとも、自分の目がなにかとてつもない、錯覚を起こしたのだろうか?；だがこの婦人達の或る種の錯覚は是非とも訂正しておかなくては都合が悪い。</t>
        </is>
      </c>
      <c r="J3316">
        <f>HYPERLINK("https://www.weblio.jp/content/錯覚", "词义详情")</f>
        <v/>
      </c>
      <c r="K3316">
        <f>HYPERLINK("https://yourei.jp/錯覚", "查看例句")</f>
        <v/>
      </c>
    </row>
    <row r="3317">
      <c r="A3317" t="inlineStr">
        <is>
          <t>さっき</t>
        </is>
      </c>
      <c r="B3317" t="inlineStr">
        <is>
          <t>成功</t>
        </is>
      </c>
      <c r="C3317" t="inlineStr">
        <is>
          <t>読み方：さっき
《「さき」の促音添加》時間的に少し前であること。先刻。さきほど。「—のことは謝る」「—から電話が鳴っている」「—聞いたばかりの話」</t>
        </is>
      </c>
      <c r="D3317" t="inlineStr">
        <is>
          <t>さっき話し；さっきみたい；さっき電話；さっき聞い；さっきお話</t>
        </is>
      </c>
      <c r="E3317" t="inlineStr">
        <is>
          <t>最近；先刻；少し前；先ほど；たった今</t>
        </is>
      </c>
      <c r="F3317" t="inlineStr">
        <is>
          <t>さっきからずっと；いまさっき；さっきからしきりに；さっきよりずっと；さっきまであんなに</t>
        </is>
      </c>
      <c r="H3317" t="n">
        <v>29</v>
      </c>
      <c r="I3317" t="inlineStr">
        <is>
          <t>林さんはさっきから来ているとお君が言うと、お絹は初めて眼をあいた。；夢を見ているのではないかしら、それともさっきのが幻覚であったのか。；僕はさっきから蚊帳の中に寝ている君等を見ながらつくづく思ったんだ。；さっき自分でも言っていた通り、この青年は執念の子に違いありません。；上の組でもあやしい影が近づくのを、さっきから気づいていたのだった。；実はね、僕はさっき、君がここへ来るまでに、変なものを発見したのだ。；そこには明智の部下の者がさっきから彼等の来るのを待っていたのだ。；自分の部屋に部下を集めて、さっきから一時間ほども話し続けていました。；「どうしたんだろう」さっき青二の母親がいったことばが思い出された。；古びた柱時計が二つ壁にかかっているのも、さっきと同じことであった。；お貞さんには別に変ったこともないようで、さっきまで店に出ていました。；帰りにさっきの崖を見ると真白な崖にスキーの跡が一人一人ついている。；クラにはさっきの壁の戸の外に、上に二つと下に二つの窓があります。；さっきの酔いがだんだん発したと見えて、彼の頬はいよいよ熱って来た。；式が終了して教室に入ると、なぜかさっきの2人組が教室の中にいた。；するとさっきの金色の生物がアメーバ状の透明な姿に変えて迫ってきた。；私は心配やよって、さっきから入口の前をひとりで見張ってたくらいや。；あいつは、さっきから同じところを、行ったり来たりしていたんだよ。；さっき実験をやっているとき、目をやられて、見えなくなったのです。；それはさっき、ふたりをここに運んできた自動車の運転手であった。；さっき通りすがりに見た、煉瓦の山は、その為に用意されてあったのだ。；見ると、さっきのひかる玉はどこへいったのか、かげも形もありません。；さっきまで二人が走っていたところは、もうすっかり雪の下になっていた。；さっきから来るだろうと思って、どんなに待っていたか知れないよ。；さっき墓地の入り口のところの店屋の時計を見たら七時二十分だった。；銀にさっきのやりとりを問い詰めるが、彼女にその時の記憶がなかった。；さっきまで、聞えていた例の小さい人間の声もしなくなったのである。；さっきから吹きつけている雪の音は、こんなに静かな柔かいものではない。；その客間というのは、映画を見ている一同が、さっき食事をした部屋だ。</t>
        </is>
      </c>
      <c r="J3317">
        <f>HYPERLINK("https://www.weblio.jp/content/さっき", "词义详情")</f>
        <v/>
      </c>
      <c r="K3317">
        <f>HYPERLINK("https://yourei.jp/さっき", "查看例句")</f>
        <v/>
      </c>
    </row>
    <row r="3318">
      <c r="A3318" t="inlineStr">
        <is>
          <t>作曲</t>
        </is>
      </c>
      <c r="B3318" t="inlineStr">
        <is>
          <t>成功</t>
        </is>
      </c>
      <c r="C3318" t="inlineStr">
        <is>
          <t>読み方：さっきょく
［名］(スル)楽曲を創作すること。また、詩歌・戯曲などに節や旋律をつけること。「交響曲を—する」「ゲーテの詩に—してみる」</t>
        </is>
      </c>
      <c r="D3318" t="inlineStr">
        <is>
          <t>作曲コンクール；作曲技法；作曲様式；作曲および；作曲賞</t>
        </is>
      </c>
      <c r="E3318" t="inlineStr">
        <is>
          <t>構成；制作；構造；作る；書く</t>
        </is>
      </c>
      <c r="F3318" t="inlineStr">
        <is>
          <t>オペラ作曲；国際作曲；著名な作曲；有名な作曲；自ら作曲</t>
        </is>
      </c>
      <c r="G3318" t="inlineStr">
        <is>
          <t>作曲者；作曲活動；作曲科；作曲賞；作曲法</t>
        </is>
      </c>
      <c r="H3318" t="n">
        <v>29</v>
      </c>
      <c r="I3318" t="inlineStr">
        <is>
          <t>彼をはじめとした一族が作曲した作品は現在でも広く演奏されている。；ソロシングル・アルバムではほぼ全ての楽曲を作曲のみ担当している。；この間、子供向けのピアノ曲を作曲するなど教育分野での貢献も残した。；シューマンが家で作曲しているときにはクララはピアノの練習を控えた。；また、この頃から規模の大きいオーケストラ音楽の作曲を開始している。；このとき新たに作曲されたバージョンが現在歌われているものである。；これはそれまでに作曲した中で和声上、構成上最も複雑な作品である。；上述のようにこの曲は、ドヴォルザークのアメリカ滞在中に作曲された。；これら作曲に必要な技術をまとめて作曲法またはエクリチュールと呼ぶ。；これは1916年の作曲当時にはこの天体は未発見だったためである。；アメリカと日本とイギリスは作曲と演奏でも、博士号を授与している。；独学だったシベリウスにはじめて正式に作曲を教えたのは彼であった。；またこの作品は「シベリウスが作曲した最も優れた偉業」とも言われる。；また作曲をメインとしている者、もしくは作曲能力に秀でた者を中心に記載。；それぞれ現代の作曲家によって新しい音楽作品を作る試みが行われている。；曲も英国人が作曲した別曲で、小学校では当初こちらが教えられた。；著名な作曲家の墓は一か所に集められており、訪れる日本人も多い。；当時のソ連で楽譜が公に出版された唯一の日本人作曲家である。；元々、この作品は三橋の歌唱を前提に古賀政男が作曲したものだった。；英語の歌詞が大半で、多くをヴァンゲリスが作曲して全22曲を発売した。；作曲とは、曲を作ること、あるいは音楽の次第を考案することである。；撮影はモノ湖で行われ、バートンはホラー映画風の音楽を作曲している。；西洋音楽にあっては、作曲とは具体的には楽譜を作成する作業である。；これらを含め、この年に120曲以上の歌曲、重唱曲が作曲されている。；彼らは戦後まもなく新作曲派協会を結成することになる。；その暗い死の国を想像しながら作曲されたと思われる。；彼は30年近くもの間エステルハージ家で働き、数多くの作品を作曲した。；しかし、グルーバーが短期間で作曲したのは正しいと推測されている。；彼は作曲の他に指揮や講義を持つなどの活動も行っていた。</t>
        </is>
      </c>
      <c r="J3318">
        <f>HYPERLINK("https://www.weblio.jp/content/作曲", "词义详情")</f>
        <v/>
      </c>
      <c r="K3318">
        <f>HYPERLINK("https://yourei.jp/作曲", "查看例句")</f>
        <v/>
      </c>
    </row>
    <row r="3319">
      <c r="A3319" t="inlineStr">
        <is>
          <t>昨今</t>
        </is>
      </c>
      <c r="B3319" t="inlineStr">
        <is>
          <t>成功</t>
        </is>
      </c>
      <c r="C3319" t="inlineStr">
        <is>
          <t>読み方：さっこん
きのうきょう。きょうこのごろ。ちかごろ。現在に近い過去から現在までを含めて漠然という。「—の世界情勢」</t>
        </is>
      </c>
      <c r="D3319" t="inlineStr">
        <is>
          <t>昨今話題；昨今はやり；昨今横浜異聞；昨今作家；昨今急速</t>
        </is>
      </c>
      <c r="E3319" t="inlineStr">
        <is>
          <t>現在；今；今日；現代；最近</t>
        </is>
      </c>
      <c r="H3319" t="n">
        <v>29</v>
      </c>
      <c r="I3319" t="inlineStr">
        <is>
          <t>氏に言わせると昨今の大学問題などは、まさにここに問題があるという。；それが昨今話題となるのは、大学院が増加していることに関連がある。；父帝とわかれたのもつい昨日、蜀の皇帝に立ったのもわずか昨今である。；ようやく昨今この傾向からの脱却が獲得されはじめたくらいのものである。；この男は昨今意地になって、是が非でも僕に結婚させようと努めている。；その義理があるからいう訳ではないが、昨今珍しいしっかりした娘である。；昨今私はこの種のものを書く気持になれないのだが、時々やはり書きたくなる。；科学者の随筆が小説よりも面白いと思われるという傾向が昨今あります。；文学に人間が再生しなければならないとは昨今頻りにきく要求である。；昨今の日本語や英語などの形態素解析では統計的な手法が利用される。；日本の文学に昨今ほど売笑婦の登場している時期はかつてなかった。；意表をつく巨大種が、昨今の異常気象に乗じて生まれてしまったものか。；昨今ではさらに低硫黄化が求められ、新型の触媒や剤が開発されている。；当港は開市以来わずかに十五年にして、昨今すでに十万口以上の住民あり。；しかし一般世間に持て囃されるようになったのは昨今の事である。；昨今はイタリアがブームなのか、友人たちばかりでなく私の母も訪れています。；以前は何うでも構わなかった伯父さんの御機嫌が昨今は始終気にかゝる。；しかし、昨今に不況のあおりを受け、会社は存続の危機に直面していた。；口にこそ出さね、養子を選び違えた己が迂闊さに舌打ちする昨今である。；婦人作家が女の生活を描くときでさえも、昨今のこの傾向では一つになっている面がある。；そのため昨今は城の周辺にびっしりと大名邸が並ぶのが当たり前になっている。；誰かとしゃべっていない折の、それが昨今の彼女の表情であった。；所で昨今の為上を見ると、まるで己が 智慧を貸したものとは思われないのだ。；その他、昨今は紙に印刷されたルーンカードを使用する場合も多い。；昨今ではすっかりすたれていますが、しかし一見の価値はあります。；昨今の泥棒は、七つ道具のひとつに携帯電話を入れているんだろうな。；英米文学はユダヤ人文学だといわれるほど、ユダヤ人作家の多い昨今である。；昨今の余は、ことあるごとに死者の名を手帖に記すことにしている。；ただし、昨今ではセキュリティの観点から使われないケースも増えてきている。</t>
        </is>
      </c>
      <c r="J3319">
        <f>HYPERLINK("https://www.weblio.jp/content/昨今", "词义详情")</f>
        <v/>
      </c>
      <c r="K3319">
        <f>HYPERLINK("https://yourei.jp/昨今", "查看例句")</f>
        <v/>
      </c>
    </row>
    <row r="3320">
      <c r="A3320" t="inlineStr">
        <is>
          <t>さっさと</t>
        </is>
      </c>
      <c r="B3320" t="inlineStr">
        <is>
          <t>成功</t>
        </is>
      </c>
      <c r="D3320" t="inlineStr">
        <is>
          <t>さっさと歩い；さっさと帰れ；さっさと寝；さっさと消え；さっさと歩き出し</t>
        </is>
      </c>
      <c r="F3320" t="inlineStr">
        <is>
          <t>さっさと帰ってしまう；さっさと行け；さっさと消えろ；さっさと失せろ；さっさと立ち去れ</t>
        </is>
      </c>
      <c r="H3320" t="n">
        <v>29</v>
      </c>
      <c r="I3320" t="inlineStr">
        <is>
          <t>ぬしは何人もの少年に囲まれてさっさと廊下を歩いていくところだった。；K夫人は扉を押して中へ入るとさっさと地下室の方へ降りて行きました。；私が挨拶される一番しまいの者であったから彼はさっさと部屋を出ていった。；明日は早く起きてさっさと仕様とその事はつくづく思わずには居られない。；彼はラキーチンと並んで、ひどく急いででもいるようにさっさと歩いた。；そうしてそれが二階へ来ると、もうさっさと出てしまう人が時々ある。；もしあの娘がお前の妻に決まれば、二人ともさっさと彼を見限るだろう。；いくらなんでもこの男に、さっさと行っちまえとはいえるものじゃない。；いまのうちさっさとずらかったほうがいいのではないか、とKは考えた。；今回の通報に事件性がないのなら、さっさと見切りをつけたほうがいい。；さっさと次の一歩をふみださないと、このまま崖下へ墜落しそうでした。；がぼくはきみがそんなにさっさと立ち去るとはとうてい信じられないね。；その男も降りて何の感傷もなくさっさと違ったホームへ階段を降りて行った。；こいつの能力がなんであろうと、さっさと破壊して回収すれば関係はない。；そして何か勝ち誇ったような気になって、現場の方へさっさと歩き出した。；競争相手が多いんだったら、さっさと他の所に当たってみたらどうだい?；おれは手を振って悪魔的な作り笑いをすると、さっさと歩いていった。；ラモスがいなかったら、こんなところは、さっさと出ていくのだけれど。；ほかの部屋の窓もさっさとあけて空気をいれかえろとべセルがどなった。；そうだ、おれが入ってきたとき、あんたはさっさと出ていくべきだったんだ。；少年はちょっとふり返って見た後、さっさとまた歩いて行ってしまう。；養子なんて云う大切な事をそうじきにさっさと片づけて仕舞うなんてね。；そうしておいて、ふたりは戸をしめると、さっさとにげてしまいました。；・・・と思ったら、何かを話した後、さっさとかえっちゃった・・・。；もっとさっさと料理を運ばせ、さっさと食べさせることはできないものか?；それから彼は、もはや教師の存在を無視してさっさと腰をあげた。；すると、野生のヤギたちは、さっさと山のほうへ行ってしまいそうです。；君は何も人に隠しておけない人なんだよ、さっさと白状したまえ。；乙女さんはおにぎり全部食べてから さっさと学校へ行ってしまった。</t>
        </is>
      </c>
      <c r="J3320">
        <f>HYPERLINK("https://www.weblio.jp/content/さっさと", "词义详情")</f>
        <v/>
      </c>
      <c r="K3320">
        <f>HYPERLINK("https://yourei.jp/さっさと", "查看例句")</f>
        <v/>
      </c>
    </row>
    <row r="3321">
      <c r="A3321" t="inlineStr">
        <is>
          <t>雑誌</t>
        </is>
      </c>
      <c r="B3321" t="inlineStr">
        <is>
          <t>成功</t>
        </is>
      </c>
      <c r="C3321" t="inlineStr">
        <is>
          <t>読み方：ざっし
１雑多な事柄を記載した書物。
２複数の筆者が書き、定期的に刊行される出版物。週刊・月刊・季刊などがある。マガジン。
[補説]magazineの訳語として、柳河春三が慶応3年（1867）刊の「西洋雑誌」で最初に使った。</t>
        </is>
      </c>
      <c r="D3321" t="inlineStr">
        <is>
          <t>雑誌掲載；雑誌等；雑誌編集；雑誌連載；雑誌記事</t>
        </is>
      </c>
      <c r="E3321" t="inlineStr">
        <is>
          <t>レビュー；マガジン；ジャーナル；会報；学術誌</t>
        </is>
      </c>
      <c r="F3321" t="inlineStr">
        <is>
          <t>映画雑誌；向け雑誌；文学雑誌；同雑誌；古雑誌</t>
        </is>
      </c>
      <c r="G3321" t="inlineStr">
        <is>
          <t>雑誌記者；雑誌モデル；雑誌コード；雑誌屋；雑誌記事索引</t>
        </is>
      </c>
      <c r="H3321" t="n">
        <v>29</v>
      </c>
      <c r="I3321" t="inlineStr">
        <is>
          <t>教育関係の雑誌などでも知られ、スポーツ関連の専門書も刊行している。；ルールが単純なことから新聞・雑誌・クイズ番組等でもよく掲載される。；アニメとは設定やストーリーが異なる上、雑誌掲載時とも内容が異なる。；本作品は何度か雑誌の移籍がされているので最終回は何作品か存在する。；書籍・雑誌ではバスラマ・インターナショナルに書籍広告を出している。；これには共和政への移行を論じていた新聞や雑誌も含めて国中が心配した。；専門的な分野の雑誌は、契約制で企業や個人宅に直接配送するものがある。；劇画の人気を見てとった他の出版社からも次々と劇画雑誌が創刊される。；これは雑誌に発表された作品でも同様で、変化そのものが一つの作品と言える。；文字と写真・イラストなどの図形により各種情報を提供する雑誌状の番組。；ペンネームは漢字だったが、雑誌掲載時にひらがなにされていたという。；この雑誌は無料で、市内や周辺地区での約700件の情報が掲載されている。；新聞や雑誌で、その直前に発表された新しい作品を評価するもの。；また、生前に雑誌や新聞に投稿・寄稿した作品も少ないながら存在する。；上の1件に限らず、週刊新潮は、訴えられることの大変多い雑誌である。；また、最近ではこのパズルのみを集めた雑誌も複数出版されている。；また、携帯サイトや新雑誌などのニッチな場での漫画作品の発表を行う。；このマシンは主にそのハードウェアを中心に各種雑誌で広くレビューされた。；また本シリーズが主に掲載された雑誌の名称でもある。；しかし、1990年代以降、時評を掲載しない新聞や雑誌も現れている。；テレビやラジオ、新聞、雑誌などのメディアもこれを報道している。；書籍や雑誌など出版されたものをと呼び、出版を事業とする企業を出版社と呼ぶ。；メモリ管理やDOSとの互換性の改善も複数の雑誌で良い評価を得た。；その建議書は新聞雑誌に掲載され、国家予算の明朗化の第一歩となった。；マンドル氏が私に強いたあの小論を雑誌に載せていただいて感謝しています。；ただし、現在ほとんどの新聞社では雑誌、書籍の出版も手がけている。；コスプレ専門のムック・雑誌もこの時期より発行されるようになる。；この名称は、富野が自分で造ったと高千穂遥との雑誌対談で述べている。；ギブスンは新聞や雑誌にノンフィクション記事の散発的な寄稿者である。</t>
        </is>
      </c>
      <c r="J3321">
        <f>HYPERLINK("https://www.weblio.jp/content/雑誌", "词义详情")</f>
        <v/>
      </c>
      <c r="K3321">
        <f>HYPERLINK("https://yourei.jp/雑誌", "查看例句")</f>
        <v/>
      </c>
    </row>
    <row r="3322">
      <c r="A3322" t="inlineStr">
        <is>
          <t>殺人</t>
        </is>
      </c>
      <c r="B3322" t="inlineStr">
        <is>
          <t>成功</t>
        </is>
      </c>
      <c r="C3322" t="inlineStr">
        <is>
          <t>読み方：さつじん
人を殺すこと。「—を犯す」「尊属—」</t>
        </is>
      </c>
      <c r="D3322" t="inlineStr">
        <is>
          <t>殺人現場(3%)；殺人犯人(2%)；殺人的；殺人行為；殺人計画</t>
        </is>
      </c>
      <c r="E3322" t="inlineStr">
        <is>
          <t>殺し；殺害；人殺し；殺すこと；殺</t>
        </is>
      </c>
      <c r="F3322" t="inlineStr">
        <is>
          <t>通り魔殺人；強姦殺人；儀式殺人；放火殺人；誘拐殺人</t>
        </is>
      </c>
      <c r="G3322" t="inlineStr">
        <is>
          <t>殺人者；殺人犯；殺人鬼；殺人罪；殺人容疑</t>
        </is>
      </c>
      <c r="H3322" t="n">
        <v>29</v>
      </c>
      <c r="I3322" t="inlineStr">
        <is>
          <t>しかし裁判ではこれらの件は殺人認定に影響を与えることはなかった。；ミッチーが殺人現場を見たと証言したのはマープルが仕掛けた罠だった。；それは帰責能力をもって殺人を行った人々の実際の犯罪ではないのか。；さらに合意のない殺人でも、状況により無理心中と呼ばれることがある。；研究者は攻撃性と殺人の能力が我々の過去の進化の所産であると理論を立てた。；記録されているものでは、これがチカチーロの初めての殺人と見られている。；殺し屋の「業務」たる殺人は一部を除いて時代と場所を問わず犯罪である。；奴に殺人現場を事前に予測できたはずが無いし、もちろん俺も奴には伝えていない。；監視下にあって事件に関連しうる時間内には出入りがないと確認された部屋での殺人である。；それは優勝するためなら殺人も厭わない者が出たほどすさまじいものだった。；エルジア政府はこれに対し、無責任を通り越して殺人行為だと非難した。；しかしその領域では、それは解決不可能であったため、殺人的なものとなった。；村木の要求は自分の犯した殺人の正当性を警察が認めることであった。；殺人課への通報に対応した刑事が自動的にその事件を担当する事となるのだ。；殺人か事故かは分からないが、人が人を殺した最古の証拠である。；その後、殺人をくり返し数回逮捕されたが、その度に無罪を勝ち取った。；裁判は15日間行われ、15名に殺人罪と反逆罪で死刑の判決を下した。；身に覚えのない殺人の嫌疑をかけられ、ホームズに助けを求めに来たという。；凄惨な殺人現場ばかりを再現した蝋人形館で働くことになったソニア。；ほとんどの宗教では、基本的に殺人は行ってはいけないこととして扱われている。；この映画の殺人シーンが後のスプラッター映画につながっていったと見る意見は多い。；拡大自殺とは殺人を行った後、あるいは同時に自殺する行為を言う。；フランクが銃に手を伸ばしていることから正当防衛による殺人だった。；基本的に刃物や銃器の使用が認められており、殺人も容認されている。；海賊や殺人犯人の仕業ではないかと目され、山狩りが行われることになった。；これらのビデオでは快楽目的の殺人行為が記録されている。；主に使用するのは、最初の殺人にも使用していた洋包丁である。；彼の殺人にはしばしば時間をかけた拷問も含まれていた。；いくつかの作品では、観客が悪役や殺人者の立場に身を置いてしまうように描いている。</t>
        </is>
      </c>
      <c r="J3322">
        <f>HYPERLINK("https://www.weblio.jp/content/殺人", "词义详情")</f>
        <v/>
      </c>
      <c r="K3322">
        <f>HYPERLINK("https://yourei.jp/殺人", "查看例句")</f>
        <v/>
      </c>
    </row>
    <row r="3323">
      <c r="A3323" t="inlineStr">
        <is>
          <t>察する</t>
        </is>
      </c>
      <c r="B3323" t="inlineStr">
        <is>
          <t>成功</t>
        </is>
      </c>
      <c r="C3323" t="inlineStr">
        <is>
          <t>読み方：さっする
［動サ変］［文］さっ・す［サ変］
１物事の事情などをおしはかってそれと知る。推察する。「気配を—・する」「—・するところ何か隠しているだろう」
２他人の気持ちをおしはかって同情する。おもいやる。「苦衷を—・する」「彼の悲しみは—・するに余りある」
３深く調べる。
「人物の体質を—・する学者」〈中村訳・西国立志編〉</t>
        </is>
      </c>
      <c r="D3323" t="inlineStr">
        <is>
          <t>察すること(43%)；察するところ(6%)；察する事；察するかぎり；察するかもしれ</t>
        </is>
      </c>
      <c r="E3323" t="inlineStr">
        <is>
          <t>だろう；思う；であろう；わかる；知る</t>
        </is>
      </c>
      <c r="H3323" t="n">
        <v>29</v>
      </c>
      <c r="I3323" t="inlineStr">
        <is>
          <t>本当の愛情にはそういう動物的なところもあるだろうと察せられますよ。；だが電話での様子から察すると私に対しては何も警戒していないようだ。；その内容はわからないが何事か容易ならぬことと察せられたのである。；言葉にされなくとも、エリカの言わんとする意味を察することができた。；だが彼の口調からも、それが想像を絶するものであることは察せられた。；「心が行き達き、他の心を察する事」之がその人の特性だったのである。；が、祖父のようなほめられ者でなかったことは、子供心にも察せられた。；報道陣の数が朝よりも増しているのは駐車場の車の列でも察せられる。；実際に聞こえたわけじゃないんだけど、身体の状態でそれと察せられたのだ。；不機嫌さが増しているのを、彼に背中を向けていても察することができる。；彼は口に出さなかったが、故郷に心残りがあるのだろうことも察せられた。；それだけで、そこにある己の設問に変化があったことが察せられたからだ。；父が手紙を書きながら切り出しどころを思案していたことが察せられた。；龍之進には、そこに住んでいる者のささやかな暮らしぶりが察せられた。；近くにいるから、嫌でも耳に入ってしまうし、察せられてしまうのだ。；その奥にどのような感情があったのか、アリスには察せられなかった。；しかし、誰にも何事かがはじまっていることは容易に察せられていた。；むしろいまの心情を、きちんと察せられてしまったら、俺は死ぬからね。；自分と同じ立場の人物だけに、その心のうちが察せられるのである。；このことから、かなりの作品が未出版のまま残されたことが察せられよう。；それは竹筒へ水を汲まんがためであることは察するまでもありません。；だが少くとも私が察することができるかぎりでは、なんの効果もなかった。；日付の記載が無いが、前後の関係からそれと察せられるものが見つかった。；その内容を見ると、女生徒が出した手紙の内容を察せられるのもある。；光國が帰るまで決してその場を動かないであろうことが察せられた。；不幸な父親が不安にさいなまれたことは容易に察せられるであろう。；理解できないために生じた驚きではないと察することができた。；そうした話の全体から、やっとどうにかこうにか次のことが察せられた。；おそらくその男は自分の身に何が起こったかを察することもできなかったに違いない。</t>
        </is>
      </c>
      <c r="J3323">
        <f>HYPERLINK("https://www.weblio.jp/content/察する", "词义详情")</f>
        <v/>
      </c>
      <c r="K3323">
        <f>HYPERLINK("https://yourei.jp/察する", "查看例句")</f>
        <v/>
      </c>
    </row>
    <row r="3324">
      <c r="A3324" t="inlineStr">
        <is>
          <t>さっそく</t>
        </is>
      </c>
      <c r="B3324" t="inlineStr">
        <is>
          <t>成功</t>
        </is>
      </c>
      <c r="C3324" t="inlineStr">
        <is>
          <t>読み方：さっそく
［名・形動］すみやかなこと。すぐ行うこと。また、そのさま。「—の御返事ありがとう」「—だが、仕事の話にしよう」
［副］すぐさま。すぐに。ただちに。「電話をかけたら—やって来た」</t>
        </is>
      </c>
      <c r="D3324" t="inlineStr">
        <is>
          <t>さっそく出かけ；さっそくたずね；さっそく訪ね；さっそく飛ん；さっそく探し</t>
        </is>
      </c>
      <c r="F3324" t="inlineStr">
        <is>
          <t>それじゃさっそく</t>
        </is>
      </c>
      <c r="H3324" t="n">
        <v>29</v>
      </c>
      <c r="I3324" t="inlineStr">
        <is>
          <t>いやそれじゃあさっそくお上げ申しますと言って二個とも上げてしまった。；翌日、この地に博物館があるというので、それをさっそく観に出かけた。；呼ぶとさっそくに返事をして、いつでもにこにことすぐ出てきてくれる。；悪魔の弟子はさっそく大きな雀の形になってぼろんと飛んで行きました。；さっそくそれは許されたので、私たちは宮殿の門をくゞって行きました。；さっそく又一台の赤自動車がやって来て小さな白い紙を撒いて行ったのです。；あまりにはっきりした夢だったので、さっそくそこに行ってみようと思った。；もうさっそくかの女の指はずんずんわたしのするとおりに動くことができた。；ねえ、もしそうとすれば、つまりさっそく金がいるわけじゃありませんか。；すると先ほども申しました通りに、さっそくに邪魔がはいりましたので。；幸いわたしは、今日さっそくその確信を得ることができるんですの。；さっそくエウノーネスは使節と次のような文書をカエサルの所へ送った。；若者は大そうよろこんで、さっそく馬の体に手をかけて起こしてやりました。；ところが大よろこびでさっそくその事を自分の宅の大蔵大臣に報知した。；まず単純な人たちが、主題そのものに感心してさっそくそれを信じ込む。；一同が再び旧の室に戻ると、法水はさっそく真斎を呼ぶように命じた。；子供に呼ばれたら、さっそくに返事をして、すぐと出てきてくれる。；妹は、楽園に帰ると、さっそく、風と雨とを自分の前へ呼び寄せました。；もとより確かな人でありますから私はさっそく手紙を認めてその人に託した。；さっそく本を購入したさとみは、その本の激しいSEX描写に息をのむ。；探したきゃア、さっそく御一人おでかけとあればよさそうなものですよ。；兄は、いいところへ弟がきたと思って、さっそく弟を呼び入れました。；有頂天になって自宅に飛んで帰り、さっそく飲み仲間を集めて大酒を呑む。；私は、さっそく御殿へうかがって、役人に、私の来たわけを話しました。；始終そばへ置いている小君であったから、源氏はさっそく呼び出した。；そうして家へ帰ると、その人はさっそく私を神棚にあげて拝みました。；さっそく私は、憑きものでもしたような真空の状態でまず街上に立つ。；ところが帰るや否や私は衣食のために奔走する義務がさっそく起りました。；さっそく行って見るとその通りの二つの像があったので、迎えて来たといい伝えています。</t>
        </is>
      </c>
      <c r="J3324">
        <f>HYPERLINK("https://www.weblio.jp/content/さっそく", "词义详情")</f>
        <v/>
      </c>
      <c r="K3324">
        <f>HYPERLINK("https://yourei.jp/さっそく", "查看例句")</f>
        <v/>
      </c>
    </row>
    <row r="3325">
      <c r="A3325" t="inlineStr">
        <is>
          <t>雑談</t>
        </is>
      </c>
      <c r="B3325" t="inlineStr">
        <is>
          <t>成功</t>
        </is>
      </c>
      <c r="C3325" t="inlineStr">
        <is>
          <t>読み方：ざつだん
［名］(スル)さまざまな内容のことを気楽に話すこと。また、その話。とりとめのない話。「—を交わす」「友人と—する」
[補説]古くは「ぞうだん」「ぞうたん」と読む。</t>
        </is>
      </c>
      <c r="D3325" t="inlineStr">
        <is>
          <t>雑談系；雑談配信；雑談集；雑談板；雑談風</t>
        </is>
      </c>
      <c r="E3325" t="inlineStr">
        <is>
          <t>おしゃべり；お喋り；談笑；世間話；語り合う</t>
        </is>
      </c>
      <c r="F3325" t="inlineStr">
        <is>
          <t>集まって雑談；夏山雑談；他愛のない雑談；滑稽雑談；他愛ない雑談</t>
        </is>
      </c>
      <c r="H3325" t="n">
        <v>29</v>
      </c>
      <c r="I3325" t="inlineStr">
        <is>
          <t>雑談しているグループもあり、奥のバーで飲んでいるグループもあった。；自身がYouTubeにて行う配信は雑談や歌を中心としたものである。；人々は雑談や武器の手入れをしているが、どこか疲れた表情をしていた。；友達は退屈しているようだったが、雑談の相手をしている暇はなかった。；彼女はジェリーからかかってきた電話に出て、彼と子どもを雑談をする。；中では事務所の人たちが仕事を終えて、お茶を飲みながら雑談をしていた。；それで少し雑談をすることにし、私たちは身体を横にして長くなった。；九時二十分頃より十時少し過ぎまで、主人の晩酌の相手をして雑談した。；思い思いに雑談しているクラスメイトに挨拶しながら自分の席に向かう。；祐巳は、ちょっと前の雑談のテーマが何であったかを懸命に思い出した。；結局、いちばん面白かったのは、前にもいった時間前後の雑談時である。；あの日は事務所で、雑談風に次の公演の打ち合わせをやっていたんです。；他の連中が雑談に身をいれているあいだに、マークは手紙に目をとおした。；普通に授業を受けるし、普通にお友達と雑談したりもしているはずなのだ。；彼らとの雑談で時間をむだにする必要はないと思っていたのである。；雑談の内容はいつの間にか、何日か前に起きた事故の話題に変わっていた。；「会議は雑談ばかりか」 そう訊くと加藤は目を剥いて首を横に振った。；しかし一日雑談をして過ごすような仕事で好きだった酒の量が増える。；そのあとで短い雑談を交したから、十分ぐらいは経っていたであろう。；かれはチェに、キューバは革命後どうなっているか、と雑談的に訊いた。；しかし雑談の間に混って出て来たその短い噂だけで捨吉には沢山だった。；かれはゲーム中ではなく、店の男と雑談をしているところだった。；そんなある日、剣士が昼休みにハンナたちと雑談をしていたときだった。；ある時は他愛のない雑談であったり、ある時は重要なデータであったりした。；雑談がおわったとき、運だめしに一寸やってみるかと私が言ったのです。；現在はYouTubeでゲームや雑談の生放送を中心に活動を行っている。；いつも持っている取材用のメモはないので、これは単なる雑談らしい。；ある日化学をしている友人が来たので雑談をしているうちに、私がこう云った。；旅行好きで、雑談好きではあるが、足を使って歩くのは嫌いだった。</t>
        </is>
      </c>
      <c r="J3325">
        <f>HYPERLINK("https://www.weblio.jp/content/雑談", "词义详情")</f>
        <v/>
      </c>
      <c r="K3325">
        <f>HYPERLINK("https://yourei.jp/雑談", "查看例句")</f>
        <v/>
      </c>
    </row>
    <row r="3326">
      <c r="A3326" t="inlineStr">
        <is>
          <t>察知</t>
        </is>
      </c>
      <c r="B3326" t="inlineStr">
        <is>
          <t>成功</t>
        </is>
      </c>
      <c r="C3326" t="inlineStr">
        <is>
          <t>読み方：さっち
［名］(スル)おしはかって知ること。それと気がつくこと。「事前に—する」</t>
        </is>
      </c>
      <c r="D3326" t="inlineStr">
        <is>
          <t>察知する(12%)；察知でき(3%)；察知される(2%)；察知能力；察知出来る</t>
        </is>
      </c>
      <c r="E3326" t="inlineStr">
        <is>
          <t>意味；発見；理解；わかる；知る</t>
        </is>
      </c>
      <c r="F3326" t="inlineStr">
        <is>
          <t>素早く察知；危機察知；察知出来；危険察知；気配察知</t>
        </is>
      </c>
      <c r="H3326" t="n">
        <v>29</v>
      </c>
      <c r="I3326" t="inlineStr">
        <is>
          <t>ただしこの時点ではフランス側の作戦計画は察知できてはいなかった。；罠と察知した主水は難を逃れたが、二人の仕事人たちは殺されてしまう。；しかしドイツ艦隊の動きは出撃前からイギリス海軍に察知されていた。；警察は、これが単なる身代金目的の誘拐ではないことを直ちに察知した。；しかし、これを察知したスズキも同時期に宮崎入りしていたことがわかる。；ヴェーバーは、学生のそのような期待感を察知し、以下のように語った。；貝丘王の劉翼光がこれを察知して劉粲に告げたが、劉粲は備えなかった。；その時、宇宙船の着陸を察知した政府機関の人間達が車で近づいてきた。；村の男たちが戻ってくることを察知して隊に緊張が走る。；その移動が敵に察知されないように行われる移動である。；しかしこの作戦は事前に「M作戦」の名で連合及びOZに察知されていた。；光武帝は、馮愔と黄防が互いに和し得ない事情を察知していたのである。；しかし、この発光信号はアメリカ艦隊には察知されることはなかった。；だが、作戦は事前に察知されていたために失敗し、男も命を落とす。；マープルはジョージーの身元確認を信じず、計画を察知したのであった。；追放に指定される可能性を察知して公表の前に講談社を辞職した。；なおこの日本海軍の動きは、アメリカ側には全く察知されなかった。；これは犯人に動きを察知され、人質が危険な状態に置かれるのを避けるためである。；とすると、プレイヤーは即座に王冠と杖が必要になることを察知してしまう。；実際には観客や飼い主が無意識下で行う微妙な動きを察知して答えを得ていた。；先に東京に上陸したシーモンスの危機を察知して海底から出現する。；危険を察知した彼女は、航空警察のイーサンと協力して事態の収拾に当たる。；忠敬はこのときすでに景敬の死を察知していたと推定されている。；しかしタイ政府側は11日の時点でこの情報を察知していた。；結局、父親の埋められた場所をルーは突き止め、真相を察知してしまう。；そのまま都市部に進行していることを察知し、主人公が迎撃に向かう。；この兵器の使用を察知したアムロ・レイは「憎しみの光」と表現している。；状況判断力が高く、主人の危機を察知して迅速な対処を行うこともできる。；これを察知した異母兄弟の子孔は子駟を殺して自ら正卿となった。</t>
        </is>
      </c>
      <c r="J3326">
        <f>HYPERLINK("https://www.weblio.jp/content/察知", "词义详情")</f>
        <v/>
      </c>
      <c r="K3326">
        <f>HYPERLINK("https://yourei.jp/察知", "查看例句")</f>
        <v/>
      </c>
    </row>
    <row r="3327">
      <c r="A3327" t="inlineStr">
        <is>
          <t>さっと</t>
        </is>
      </c>
      <c r="B3327" t="inlineStr">
        <is>
          <t>成功</t>
        </is>
      </c>
      <c r="C3327" t="inlineStr">
        <is>
          <t>読み方：さっと
《special assault team》テロ・ハイジャック・人質事件などに対応するための特別部隊。警視庁・大阪府警のほか、一部県警に置かれている。特殊急襲部隊。特殊部隊。</t>
        </is>
      </c>
      <c r="D3327" t="inlineStr">
        <is>
          <t>さっと開い；さっと消え；さっと吹き；さっと開か；さっと開け</t>
        </is>
      </c>
      <c r="E3327" t="inlineStr">
        <is>
          <t>早く；早速；さっそく；早々；さっさと</t>
        </is>
      </c>
      <c r="F3327" t="inlineStr">
        <is>
          <t>さっと蒼ざめ；さっと身をひるがえす；さっと身を翻す；さっとゆで；さっと吹きこん</t>
        </is>
      </c>
      <c r="G3327" t="inlineStr">
        <is>
          <t>さっとん</t>
        </is>
      </c>
      <c r="H3327" t="n">
        <v>29</v>
      </c>
      <c r="I3327" t="inlineStr">
        <is>
          <t>三人はさっと道をあけた教会兵のあいだを抜けて仲間のもとへ急いだ。；警察隊の縦隊の中ほどがそのドアに到達したとき、ドアがさっと開いた。；ボートルレはその停車場で新聞を見て、驚きの余りさっと顔色を変えた。；日本の春の美の一部がさっと本来の情趣をもって私の心を魅するであろう。；打撃のあいまに老人の腕が足もとの床にむかってさっと降りおろされた。；上手と下手の両方からダンシング・チームがさっと舞台へ駆け出て来た。；彼女たちが来ないうちに私はこの村をさっと立ち去ってしまった方がいい。；さっと向きを変え、細いサテン靴の踵を返したとき、驚きの声を上げた。；その模糊の中で、先生は着ていた裏毛附の冬外套をさっと脱がれました。；開きかけた扉の隙間から一本の槍がさっとつき出されたのだ。；五両の会費であったら十両、置いてさっと引き上げるのが、いい男です。；生でも食べられるが、えぐみがあるため軽くさっと茹でてから使われる。；私はびっくりしてさっと飛び立ち、小さい樹の上へ逃げてゆきました。；すると、今度は、私の家にいた猫と似ている生物がさっと私に向って來ました。；こんどは、大きな一羽の鳥がみんなのあいだにさっと舞いおりてきたのです。；秀之進は予期したことのように身を跼め、さっと相手の腰へ打を入れた。；もう立ち上がって待っていて、つぎにさっと飛んできたのだった。；「連中が働けばの話だがな」 赤毛の医者はさっと彼の方に向き直った。；声をひそめたために、一層効果があったのか、宮子の顔がさっと曇った。；艦長が最初の一歩を踏みだすと、巨人の片腕はさっと艦長の背にまわった。；さっと流れて来る光のなかへ道の上の小石が歯のような影を立てた。；どうしてあんなに子供達がさっと走って行ったのだろうと思いました。；不意にハッピを着て自転車に乗った人が、さっと煙のように過ぎた。；メスをさっと下ろした瞬間、僕は非常に厳粛な気持になったのである。；行慶とも別れた経正は、今はと、持っていた赤旗をさっと高く打ち振った。；しばらくたってホームズが立ちあがり、入口のドアをさっと押しあけた。；精神の力の波がシートンの心のなかに、さっと流れこんできた。；左手は自動的に重力中立器のスイッチがあるべき場所に、さっと伸びた。；さっと風が吹いて一切の物音をさらって行ってしまったあとのようだ。</t>
        </is>
      </c>
      <c r="J3327">
        <f>HYPERLINK("https://www.weblio.jp/content/さっと", "词义详情")</f>
        <v/>
      </c>
      <c r="K3327">
        <f>HYPERLINK("https://yourei.jp/さっと", "查看例句")</f>
        <v/>
      </c>
    </row>
    <row r="3328">
      <c r="A3328" t="inlineStr">
        <is>
          <t>ざっと</t>
        </is>
      </c>
      <c r="B3328" t="inlineStr">
        <is>
          <t>成功</t>
        </is>
      </c>
      <c r="C3328" t="inlineStr">
        <is>
          <t>［副］
１細部を問題にせず、おおまかに物事を行うさま。ひととおり。「書類に—目を通す」
２全体の数量や内容などについておおまかな見当をつけるさま。だいたい。およそ。「出席者は—1000人だ」
３水や雨が勢いよく落ちかかるさま。「—水をかける」
４動作がすばやく行われるさま。あっという間に。
「敵を—けちからかして」〈平治・中〉</t>
        </is>
      </c>
      <c r="D3328" t="inlineStr">
        <is>
          <t>ざっと見(8%)；ざっとこんな(4%)；ざっと数え；ざっと読ん；ざっとこう</t>
        </is>
      </c>
      <c r="E3328" t="inlineStr">
        <is>
          <t>ほとんど；約；一般；通常；ほぼ</t>
        </is>
      </c>
      <c r="F3328" t="inlineStr">
        <is>
          <t>まあざっと；ざっと見渡し；ざっと汗を流し；ざっと見まわし；ざっと見回し</t>
        </is>
      </c>
      <c r="H3328" t="n">
        <v>29</v>
      </c>
      <c r="I3328" t="inlineStr">
        <is>
          <t>ざっと目を通したが、わたしにはすべてを説明することはできなかった。；京都からこの地まで七十里余の道を、ざっと一日半夜で来たことになる。；江戸表から立つ仲間は、ざっと十名ぐらいになるだろうとの見込だった。；ざっと見わたしただけで、それだけのものがおれの目にとびこんできた。；ところが次の木のトンネルを通るとき又ざっとその雫が落ちて来たのです。；行政ビルの離着陸場を埋めているのは、ざっと二十隻もの頭脳船だった。；ここまで使ったお金は、ざっと計算して千七百円近くにまでなっている。；陽子はちゃぶ台の上の物の位置をざっと確認すると、テレビに正対した。；それが食事の跡でざっと拭くだけなので、床と同じ薄墨色になっている。；彼はその文章に少し馴れるために、三日もかかってざっと通読してみた。；彼はそれにざっと目をとおすと、ゲルマンのカードの上にそれをおいた。；作品をざっと読んで、簡単にシノプシスをまとめていただきたいんです。；さっきいったように、ざっと見ただけで追いだされてしまいましたから。；その状態は、ぼくが黒板にざっと書いた図形でおわかりになるでしょう。；ざっと見てきた限りでは、この近くで王宮に続いてる道はここだけらしい。；ざっと見て五十人はいそうな仲間の群れに、逃げ込んでしまったのだ。；それぞれの隊が塹壕からざっと100ヤードの距離で防御についていた。；ざっと書いても是だけのことは紹介しなければならないのだからね。；この部分にはざっとかいた絵のようなものが、はっきり見てとれた。；しかも、ざっと目を通したところ、文章はすべて英語で書かれていた。；それにざっと目を通したり、それを描写したり出来るものだろうか?；ざっと見わたしても数百人という人間が立ったりすわったりしている。；君に教えられた倫理規程、ぼくはざっと目を通しさえしなかったんだ。；買物旅行がどういうふうに行われるかというと、ざっとこんな調子である。；ルイザより背が低いのですから、ざっと六インチとみればいいでしょう。；ざっと五百人以上の顔写真に眼を通したが、該当するものはなかった。；ちなみに今年の新入部員の入部動機はざっと以下のようなものである。；その後の航海状況は、村垣の日記によると、ざっとつぎのようであった。；この男がいままで経験してきたことは、ざっとこんなふうなんだ。</t>
        </is>
      </c>
      <c r="J3328">
        <f>HYPERLINK("https://www.weblio.jp/content/ざっと", "词义详情")</f>
        <v/>
      </c>
      <c r="K3328">
        <f>HYPERLINK("https://yourei.jp/ざっと", "查看例句")</f>
        <v/>
      </c>
    </row>
    <row r="3329">
      <c r="A3329" t="inlineStr">
        <is>
          <t>殺到</t>
        </is>
      </c>
      <c r="B3329" t="inlineStr">
        <is>
          <t>成功</t>
        </is>
      </c>
      <c r="C3329" t="inlineStr">
        <is>
          <t>読み方：さっとう
［名］(スル)多くの人や物が一度に1か所に押し寄せること。「申し込みが—する」</t>
        </is>
      </c>
      <c r="D3329" t="inlineStr">
        <is>
          <t>殺到する事態；殺到しよ；殺到する小型幻獣；殺到するゴブリン；殺到するマスコミ</t>
        </is>
      </c>
      <c r="F3329" t="inlineStr">
        <is>
          <t>めがけて殺到；向かって殺到；向って殺到；めざして殺到；むかって殺到</t>
        </is>
      </c>
      <c r="H3329" t="n">
        <v>29</v>
      </c>
      <c r="I3329" t="inlineStr">
        <is>
          <t>公開された両作品は大評判となり、一目見ようと人々が教会に殺到した。；このような人気の曲のためか日本コロムビアに対し注文が殺到していた。；すると多くの乗客の頭は蠢き出し、迂回線で戻る列車に乗客は殺到した。；また、東京で行われた初のヌード撮影会には発表直後に予約が殺到した。；この件で約600件の一般視聴者からの抗議が殺到する結果となった。；街には敵が殺到し、包囲された将軍は敗戦を認めて8月30日に降伏した。；ウォリックの側に殺到した多くの者の中に、弟のモンターギュ侯がいた。；しかし、世界中のイスラム教徒から抗議が殺到して中止に追い込まれた。；人肉食などの過激な描写に世間の非難が殺到した最大の問題作でもあった。；市民にすべての論議が公開され、市民の声が殺到したことが大きな力となった。；史館の好待遇にあずかろうと、史才のない者までが殺到したためである。；ダンモア卿の宿営地に殺到した男達の中には実際に戦闘に参加する者もいた。；この事はすぐに世間に知れ渡ることになり患者や弟子志望者が殺到。；自宅等にはこの試合後に抗議の電話が殺到したという。；雑誌の特集が殺到し、テレビ、ラジオ出演の他、雑誌、新聞の連載多数。；しかし連載が終了してから読者からの手紙が殺到したという。；ハクチョウ渡来地ではハクチョウの餌付けの際に殺到する様が見られる。；そのリンチ映像がSNS上で拡散されると、国内外から批判が殺到した。；翌年には大金を掴むことを目指した投機者や探鉱士が大量に殺到した。；競合する集団の指導者がナッシュビルに殺到し、議会に圧力を掛けた。；列車遅延の原因にもなった上、男性客から東急に対する抗議が殺到した。；発売当初は注文が殺到し、注文から到着まで最大2カ月近くかかる場合もあった。；そしてアルノーがモデルを担当した衣装にはすぐに全米から注文が殺到した。；ところがある日、全国の学校霊たちから聖徒会に救難を求める声が殺到する。；客室のドアは非常時には非常脱出口となるため乗客が殺到しても容易に開くほうが良い。；発売を発表すると問い合わせが殺到したため急遽、記念イベントが行われた。；客が殺到する日があり、そういう日はクラブの従業員が足りない。；上映終了後も各地の学校や企業などから貸し出し依頼が殺到した。；南方戦線にあったすべての投入可能な予備戦力はアンツィオに殺到した。</t>
        </is>
      </c>
      <c r="J3329">
        <f>HYPERLINK("https://www.weblio.jp/content/殺到", "词义详情")</f>
        <v/>
      </c>
      <c r="K3329">
        <f>HYPERLINK("https://yourei.jp/殺到", "查看例句")</f>
        <v/>
      </c>
    </row>
    <row r="3330">
      <c r="A3330" t="inlineStr">
        <is>
          <t>雑踏</t>
        </is>
      </c>
      <c r="B3330" t="inlineStr">
        <is>
          <t>成功</t>
        </is>
      </c>
      <c r="C3330" t="inlineStr">
        <is>
          <t>読み方：ざっとう
［名］(スル)多数の人で込み合うこと。人込み。「—にまぎれる」「暮れの—する街角」</t>
        </is>
      </c>
      <c r="D3330" t="inlineStr">
        <is>
          <t>群衆；人だかり；人混み；人ごみ；大勢の人</t>
        </is>
      </c>
      <c r="G3330" t="inlineStr">
        <is>
          <t>雑踏事故</t>
        </is>
      </c>
      <c r="H3330" t="n">
        <v>29</v>
      </c>
      <c r="I3330" t="inlineStr">
        <is>
          <t>三ヶ月も経ったころだったろうか、休日の街の雑踏の中で女を見かけた。；一ブロックも離れた地点の、雑踏の中のひとりの心を的確に読んだのだ。；ちなみにその間に何回か露店の雑踏の中で春香の姿を見かけたりもした。；車が劇場前の雑踏を縫うようにして走っていると、イリヤが口をあけた。；巡査も一緒になって、私たちは走りましたが、街は雑踏しておりました。；街の雑踏に掻き消されてすぐに消えてしまったが、それはこう聞こえた。；雑踏の中、三歳の真美の手を引いて歩いている自分の姿が見えてきた。；市場の雑踏を抜けて、ちゃんとした構えの店が軒を列ねる商店街に出た。；銀座の雑踏を歩いたことのある人なら、だれでも素朴にそう思うだろう。；池袋周辺の雑踏がこういう特異な姿勢の男を目立たないものにしていた。；都会の雑踏のなかで一人の男を執拗に尾行した結果、なにがわかったか?；雑踏の人々と自分の立ち位置を別にしているものは、なんなのだろう。；その音を耳の隅に聴きながら、雑踏の中をひとりの老人が歩いている。；向かう先から来るのは雑踏の奔流と、家に向かう人々の前を見た視線。；それではと江戸へ連れてきたお君を、雑踏の中へ置き去りにする三人。；模糊とした雑踏の中を、はる子は郊外電車の発着所に向いて歩いていた。；男は尾行など警戒した様子もなく、ふらふらと雑踏の中に紛れていった。；この雑踏の中でも、アメリカ人はみんなどこかへ行こうとしている。；路上からなのだろう、東輝の声の背後には雑踏のざわめきが流れている。；自分の家の前が雑踏することは子供でもない私を何か妙にそそるところがあった。；通りの雑踏する男や女や子供たちの間の空気は緊張していた。；そうやって僕もまた雑踏という名前の風景を作りながら立ちすくんでいた。；この街は市の主要な大通りの一つで、一日じゅう非常に雑踏してはいた。；雑踏の中に母をさがすたびにぼくは幸せな気分になれたのだった。；しばらくの間、そうやって二人は、黙ったまま雑踏の中にたたずんでいた。；回教都市独特の雑踏の町ではあるが、その中に都会的なものが感じられる。；するうち大通りに出てきて、雑踏はますます途方もないものになってきた。；雑踏の人たちは、彼女にはまったく気がつかずに通りすぎていく。；次の瞬間、スカーは、さっき後にしてきたはずの街の雑踏の中に立っていた。</t>
        </is>
      </c>
      <c r="J3330">
        <f>HYPERLINK("https://www.weblio.jp/content/雑踏", "词义详情")</f>
        <v/>
      </c>
      <c r="K3330">
        <f>HYPERLINK("https://yourei.jp/雑踏", "查看例句")</f>
        <v/>
      </c>
    </row>
    <row r="3331">
      <c r="A3331" t="inlineStr">
        <is>
          <t>さっぱり</t>
        </is>
      </c>
      <c r="B3331" t="inlineStr">
        <is>
          <t>成功</t>
        </is>
      </c>
      <c r="C3331" t="inlineStr">
        <is>
          <t>［副］(スル)
１不快感やわだかまりなどが消えて気持ちのよいさま。すっきり。「入浴して—（と）する」「思う存分泣いたので—した」
２いやみのないさま。また、しつこくないさま。あっさり。「—（と）した味」
３あとに何も残らないさま。すっかり。「約束を—（と）忘れていた」「出世などとうの昔に—（と）あきらめている」
４（あとに否定を表す語を伴って）全然。まったく。「—見えない」「—だめだ」
［形動］物事の状態が、非常に好ましくないさま。「頑張ったのだが、成績のほうは—だ」</t>
        </is>
      </c>
      <c r="D3331" t="inlineStr">
        <is>
          <t>さっぱりわからない(10%)；さっぱり分から(3%)；さっぱり分ら(2%)；さっぱりわかりませ；さっぱりわけ</t>
        </is>
      </c>
      <c r="E3331" t="inlineStr">
        <is>
          <t>さらに；まるで；まったく；全く；何も</t>
        </is>
      </c>
      <c r="F3331" t="inlineStr">
        <is>
          <t>何だかさっぱり；なんだかさっぱり；何やらさっぱり；もうさっぱり；さっぱり思い当たら</t>
        </is>
      </c>
      <c r="H3331" t="n">
        <v>29</v>
      </c>
      <c r="I3331" t="inlineStr">
        <is>
          <t>彼女が本気で云ってるのかどうか、彼にはさっぱり見当がつかなかった。；あまりさっぱりお渡しするといったので、かえってお疑いとみえますな。；彼は大きいさっぱりと温い手で私の手をとり、そこの椅子にかけさせた。；彼はことに、ごくさっぱりしていて、少しも無駄な言葉を発しなかった。；しかし、彼はそれをどう書いていいのか、さっぱり見当がつかなかった。；肉体の方に同時に元気がない限り、精神の働きもさっぱりだめなのである。；彼女の顔を見ても、猫の顔を見ても、何を考えてるのかさっぱり分らない。；而も彼は近来、そんな所からさっぱり足を抜いてしまっていたのである。；さっぱり腹がくちくなってもこないし、からだが暖かになってもこない。；腹も減っていたに違いないが、さっぱり悲痛な気持ちはなかったようだ。；足の速さはチーム一だが打撃はさっぱりのお調子者の外野手・ウィリー。；メリンスの長襦袢の袖口には白と赤とのレースがさっぱりとつけてある。；味はさっぱりとして苦味があり、脂っこい料理に合うと勧められている。；そこは二方に縁側がついていて、さっぱりした明るいところであった。；着ているものは見るからに粗末だったが、きれいでさっぱりしていた。；不能者になったことに気づいた当初は、むしろさっぱりした気持になった。；留守で人の居ない庭へ面してあけ放たれている さっぱりした日本間。；今までに一年も考えたんだが、さっぱりよい停止方法がないのじゃ。；それがわかって除り去かれたら、どんなにさっぱりするだろうと思った。；とにかく外は革命なんだから、何事が起るかさっぱり見当がつかないんだ。；何とかして、すこしはさっぱりした一夏を送らせてあげたいと思います。；あとはさっぱりして、大部分の相手が顔も名も覚えてはいなかった。；それだけの金があればさっぱりしてしまうんだ、と云うきりだった。；だがその男は何処に住んでいるのか、さっぱり見当もつかなかった。；父が語るには、負けはしないが打撃がさっぱり当たらなかったという。；それから僕はどうして母に別れて一人で家に帰ったか、さっぱり覚えていない。；早く手術をお受けになって、さっぱり病気を治しておしまいなさいまし。；五助 どうしてこんなことになったのか、夢のようでさっぱり判らねえ。；これで過去一切と絶縁したと思って、さっぱりした気持になって床についた。</t>
        </is>
      </c>
      <c r="J3331">
        <f>HYPERLINK("https://www.weblio.jp/content/さっぱり", "词义详情")</f>
        <v/>
      </c>
      <c r="K3331">
        <f>HYPERLINK("https://yourei.jp/さっぱり", "查看例句")</f>
        <v/>
      </c>
    </row>
    <row r="3332">
      <c r="A3332" t="inlineStr">
        <is>
          <t>雑費</t>
        </is>
      </c>
      <c r="B3332" t="inlineStr">
        <is>
          <t>成功</t>
        </is>
      </c>
      <c r="C3332" t="inlineStr">
        <is>
          <t>読み方：ざっぴ
主要な用途以外のこまごました費用。一つの部類にまとめられない種々雑多な費用。</t>
        </is>
      </c>
      <c r="D3332" t="inlineStr">
        <is>
          <t>雑費一切(3%)</t>
        </is>
      </c>
      <c r="H3332" t="n">
        <v>29</v>
      </c>
      <c r="I3332" t="inlineStr">
        <is>
          <t>確かに、住居定めの雑費は今年うちの収入の上を超えるかも知れなかった。；交通費、雑費を入れてみると必要な資金は、最低でも一年二百数十万円。；それに室代が三十フラン、婆さんに三十六フラン、その他少しの雑費。；雑費をゼロにする方法を思いついたのは、そういう男たちを一週間ばかり食堂で見続けたある日のことだ。；目に見えない雑費がかなりかかるのだ。；現在この絵はラヴィニアの夫の出身家系である、イーモラのザッピ伯爵家が所有している。；チームの財政状況の悪さは、移動する飛行機代など雑費を中嶋自らが支払っていたという事に現れていた。；会合の際の食事は一汁一菜に限り、多額の雑費がかからないようにすると決められた。；その入費や雑費などで、石の値段が高くついたのだろうなどと思ったら、とんだ間違いである。；次の仕事は犯罪の直後に、まとまった現金を手に入れることで、ブラジル行きの切符を買うためにも、また今後必要になるに決まっているさまざまの雑費にも当てなければならない。；平土間一間二円九十銭、ほかに雑費一名につき八十銭。；もっともこの数字は雑費の一部を見落しているかと思われ、このまま比較しては当らぬようであるが、ようやく米国の三分の一くらいのように見受けられる。；私はこの七十銭の市価に対して、原料費の三十五銭と雑費の五銭を加えて、四十銭で売り出すことに決めた。；百八十両は雑費用に手もとに残し、二百両を、李瓶児は建築費として西門慶に渡す。；ハッソ・ヘルシェルのように雑費と生活費のカバーの為だけにしかお金を取らなかった人も、時おりさらに今日でもなお根拠なく私欲的に手引きをする連中に数え入れられている。；その間、夫ザッピが家族の世話をし、さらにはカーテンのようなあまり重要でないものを描くなど、ラヴィニアの絵の助手をした。；そしてやめたわけを友達にきかれると、「何しろ雑費が大変ですからね」と彼女は打ちあけ話をする。；週に一日休みをとり、出勤した日の半分は五人として雑費を引くと月六百万円が上限だという。；基礎工事の折に受け取った三分の一は、うっかりしていると、その後の諸雑費や雑用に消えてしまいつつあった。；よりわけてみると、楽屋の雑費や出入りをしるしておいた伊兵衛の書付がその大部分でありました。；今後、レイ子の生活は俊夫が見ることになるわけだが、相当の栄養をとらせるにしても、家賃その他の諸雑費をふくめて月百円ぐらいであがりそうだった。；水野越前の天保改革の前のこととて、幸四郎ともなれば、米一石一両の世に、一カ年の雑費三千両の生活であった。；このおかげで、月々の「雑費」は千円以下になった。；おしんが髪結をしたいのは自由になるお金が欲しいからという理由を知った竜三はおしんの立場を理解せずに母・清に雑費のためにと金銭を無心するが、おしんは清から何も不自由はさせていないと小言を言われる。；この様な諸雑費が工費の増大に拍車をかけた。；この部屋の家賃や電話、食費などの雑費は、父さんが死んだ時 に残していた少しばかりの資産と、親戚のひとに出してもらっ ているお金で、まかなっている。；その晩は江戸出府以来のことが胸に集まって来て、実に不用な雑費のみかさんだことを考え、宿方総代としてのこころざしも思うように届かなかったことを考えると、彼は眠られなかった。；その他雑費七十五銭。；主だった侍の家臣に少しばかり高い禄を払ったとしても侍全部で500石か600石ぐらいで、さらに扶持諸雑費引いても450両ぐらいは残ろうから、主人側の暮らしは楽な階級である。</t>
        </is>
      </c>
      <c r="J3332">
        <f>HYPERLINK("https://www.weblio.jp/content/雑費", "词义详情")</f>
        <v/>
      </c>
      <c r="K3332">
        <f>HYPERLINK("https://yourei.jp/雑費", "查看例句")</f>
        <v/>
      </c>
    </row>
    <row r="3333">
      <c r="A3333" t="inlineStr">
        <is>
          <t>殺風景</t>
        </is>
      </c>
      <c r="B3333" t="inlineStr">
        <is>
          <t>成功</t>
        </is>
      </c>
      <c r="C3333" t="inlineStr">
        <is>
          <t>読み方：さっぷうけい
［名・形動］《「殺」は、けずる、そぐ意》
１眺めに情趣が欠けていたり単調だったりして、見る者を楽しませないこと。また、そのさま。「—な冬の浜辺」「—な高速道路」
２おもしろみも飾りけもなく、興ざめがすること。また、そのさま。無風流。「—な話題」「—な人」</t>
        </is>
      </c>
      <c r="D3333" t="inlineStr">
        <is>
          <t>殺風景な部屋(13%)；殺風景な建物；殺風景な庭；殺風景な場所；殺風景な壁</t>
        </is>
      </c>
      <c r="E3333" t="inlineStr">
        <is>
          <t>地味；荒涼；寂寥；寂寞；味気ない</t>
        </is>
      </c>
      <c r="F3333" t="inlineStr">
        <is>
          <t>こんな殺風景；あまりにも殺風景；殺風景な廊下；殺風景きわまる；殺風景極まる</t>
        </is>
      </c>
      <c r="H3333" t="n">
        <v>29</v>
      </c>
      <c r="I3333" t="inlineStr">
        <is>
          <t>殺風景なブロックで三方を囲まれた庭は夏のさなかでも寒々としていた。；また病院の殺風景な庭には青い陰気な顔をした患者たちが散歩をしていた。；一人の若い女性の存在は暗い殺風景な土間を明るく賑やかに感じさせた。；一人だけ残されるとここは殺風景すぎて、色が白と黒しかないみたいだ。；会うべき恋人や家族がいなければ、殺風景なだけの騒がしい街であった。；部屋は殺風景な場所であり、中央の箱以外には装飾品も家具も何もない。；二人はそのまま両側に扉が並ぶ通路を抜け、殺風景な船室に監禁された。；テレビと二人掛けのソファーとテーブルが置いてあるだけの殺風景な部屋。；殺風景な取調室でこそないが、調書を取られているのと同じことだった。；十畳ほどの広さの部屋には、殺風景なほど何も置かれていなかった。；青年がひとりで質素に暮らしていた家だけあって、殺風景なものである。；サアサア三人の御姫さま、こんな所で黒ン坊を眺めてゐても殺風景です。；それにより空港数が大幅に増加したが、空港の風景は殺風景なままだった。；少なくとも殺風景な宿泊室でひとりつくねんとテレビを見ているよりは。；本宮の中でも北側に位置するだけに、外に広がるのは殺風景な眺めだった。；そこにはただ殺風景な事務員の影がどの窓にもあるばかりであった。；これほど殺風景な大地のむきだしの隆起を彼はまだ見たことがなかった。；殺風景この上もない状態だが、それを別に誰も不思議とも思わなくなっていた。；レギュラー三人娘が来ないと解っている部室のなんと殺風景なことだろう。；そこには職人の姿も見えず、壁にはドアも窓もなくて、殺風景だった。；ロッカーやオフィス用の金属の机が並んでいるだけの殺風景な部屋だ。；かなり広いが、何の設備もない殺風景が売りもののような部屋だった。；おれだってこんな殺風景な山脈を見るのが楽しいなんて考えてもみなかったよ。；広くてあまり家具が置かれていない、どちらかというと殺風景な部屋である。；内装は省略されていることが多く、殺風景な部屋となっていることが多い。；殺風景な荒野の中で、この美少女の姿は恐ろしいほどの違和感があった。；アンは、壁も自分の殺風景なのに心を痛めているに違いないと思った。；いつも見慣れた風景だが、その殺風景さの一つ一つが今日は癪にさわる。；現在の東京の町は暢気な犬があまりいないために殺風景に見える。</t>
        </is>
      </c>
      <c r="J3333">
        <f>HYPERLINK("https://www.weblio.jp/content/殺風景", "词义详情")</f>
        <v/>
      </c>
      <c r="K3333">
        <f>HYPERLINK("https://yourei.jp/殺風景", "查看例句")</f>
        <v/>
      </c>
    </row>
    <row r="3334">
      <c r="A3334" t="inlineStr">
        <is>
          <t>サツマ芋</t>
        </is>
      </c>
      <c r="B3334" t="inlineStr">
        <is>
          <t>成功</t>
        </is>
      </c>
      <c r="D3334" t="inlineStr">
        <is>
          <t>サツマイモ</t>
        </is>
      </c>
      <c r="H3334" t="n">
        <v>29</v>
      </c>
      <c r="I3334" t="inlineStr">
        <is>
          <t>東京では薩摩いもの茎というのが秋になると山のように配給になった。；町の家々は配給のサツマ芋を大事そうに蓆にならべて日向に乾していた。；そのサツマ芋のにおいが、昼食をたべていない私にはなんともいえない。；即ち薩摩芋を湯煮て塩と砂糖で味をつけて裏漉にしたものが中身さ。；日本産の薩摩芋よりもずっと甘く栗よりもいい位だったのは今に忘れられません。；あるいはこの煮える途中へ薩摩芋の細かく切ったのを入れると一層味も良くなります。；この日は、三学寮の少年が全員で農園におり、薩摩芋を掘っていたのである。；野菜をもらいに来たのだが、古清水さんがいないので奥さんに薩摩芋をもらって帰る。；ここ二週間、私は米と薩摩芋と茄子と魚とばかり食って生きている。；その頃薩摩芋は一貫目六七十円、白米は一升百七八十円まで騰貴してゐたのである。；空いてる地面には、やがて薩摩芋が植えられることになっていた。；これは薩摩芋だけどまあ同じようなものだ。；なかでもひと袋のサツマ芋がいちばん気がきいています。；もし空でなければ、昨日食った揚饅頭と薩摩芋があるばかりである。；薩摩芋も大いのを食べると胸が焼るけれども裏漉しにして梅干で和えると胸へ持たん。；右の下には薩摩芋と、一種の蕪とに四本の木の脚をつけて、豚みたいな形にしたものがある。；私が前に書いた薩摩芋を洗う男は、薩摩芋を煠でる店に属していることに気がついた。；鍋の中で蕩けるほど煮込んだ薩摩芋の上に、蕎麦粉を入れて掻き混ぜる。；彼はその焚き火の中に薩摩芋を放りこんでいるのである。；おかみさんが、さっそくサツマ芋を洗って蒸すしたくをしているのだった。；また、薩摩芋から甘藷糖を生み出すなど砂糖の製造も行われていた。；日本の薩摩芋は、あまり味がしないが、滋養分はあるらしい。；薩摩芋を湯煮て裏漉しにして肉桂の粉を加えて今のプデンへ混ぜても結構です。；なおその一部で薩摩芋を買って、被害民の極貧者へ配った。；それにときどき、里に降りてサツマ芋を盗んで食ってるそうだ。；やがて土間のほうから、サツマ芋のふけてきたにおいが漂ってきた。；やッぱり亜米利加にも薩摩芋を食う奴があると見えるんですよ。；諸君も御承知であろうが、汁にした薩摩芋の熱したのほど口中にこたえる者はない。；松林の裾を廻って、薩摩芋の畑の間を少し辿ると、川の岸に出る。</t>
        </is>
      </c>
      <c r="J3334">
        <f>HYPERLINK("https://www.weblio.jp/content/サツマ芋", "词义详情")</f>
        <v/>
      </c>
      <c r="K3334">
        <f>HYPERLINK("https://yourei.jp/サツマ芋", "查看例句")</f>
        <v/>
      </c>
    </row>
    <row r="3335">
      <c r="A3335" t="inlineStr">
        <is>
          <t>さて</t>
        </is>
      </c>
      <c r="B3335" t="inlineStr">
        <is>
          <t>成功</t>
        </is>
      </c>
      <c r="C3335" t="inlineStr">
        <is>
          <t>読み方：さて
⇒サテー</t>
        </is>
      </c>
      <c r="D3335" t="inlineStr">
        <is>
          <t>さてどう；さてさて；さてこれから；さてここ；さてそこで</t>
        </is>
      </c>
      <c r="E3335" t="inlineStr">
        <is>
          <t>そら</t>
        </is>
      </c>
      <c r="F3335" t="inlineStr">
        <is>
          <t>さて楊志；さて措き；さて読者諸君；さて措い；さて本題</t>
        </is>
      </c>
      <c r="G3335" t="inlineStr">
        <is>
          <t>さておき；さてと；さておい；さておく；さてい</t>
        </is>
      </c>
      <c r="H3335" t="n">
        <v>29</v>
      </c>
      <c r="I3335" t="inlineStr">
        <is>
          <t>さて上の学校にはいってから、私の組には三十人ばかりの学生が居た。；さて今までは他人のことばかりいつてきたが今度はいよいよ監督の番である。；さて僕たちは二百メートルも長廊下を歩いた末に、やっと大食堂に出た。；さて、いよいよふたりの犯人を、警視庁へ連れて行くことになりました。；私はさてこれが事実かは知らないが、聞いた通り報告するにとどめておく。；さて、彼女がこの白黒の部屋から解放されたらいったいどうなるだろうか。；さて、その日の午後になりますと、事件は漸く現実味を帯びて来ました。；さて、殺人事件から十日程たったある日、私は明智小五郎の宿を訪ねた。；さて、彼は本当のことを言っているか、それとも嘘をついているか?；さて、リップは、昔のような出歩きやそのほかの習慣をふたたび始めた。；さて、次は事件に直接関与していると見られる悪党どもについてだ。；いろいろといいたいことがあるが、さて改まって何といっていいか分らない。；さて、出来上った椅子を見ますと、私は嘗つて覚えない満足を感じました。；さて、次にその実現方法であるが、これには二つの条件が必要である。；さてそれは作られ設置され、猫タワーの注文が他にもあるといえば十分あろう。；さて、宇宙服を皆が着てしまったところは、実に異様な光景であった。；さて、前おきはこのくらいにして、いよいよ物語にうつることにします。；さて、ここからがこの話のもっとも驚くべきところなのだ、息子よ。；さて、小説と悲劇とのあいだに存在する本質的な相違を明らかにする。；さて、海岸へ行って見ると、予期した通りすっかり気分が軽くなった。；さて金曜、青年は娘を訪れる前に床屋を呼んで身なりを整える事にした。；目を瞑ったまま近くの寺々を思い浮べて見たが、さてどの辺とも分らない。；さて、何か大事なものをと思った瞬間、頭に浮かんだのはあの縮図本でした。；それを知った天皇は「さても残念なことをしてしまったものだ」といったという。；さて、その上の二階には、この一家からわかれた、家族が住んでいました。；さてその国麿はと想う、渠はいま東京に軍人にならむとて学問するとか。；さて、これから僕は、いよいよ腰を据えて科学小説を書くつもりである。；さてそれから幾日経ってのことか忘れたがね、乃公はまたもう一つの夢を見たのだ。；さてその翌日となり、二人はたのしい自動車旅行の第二日目を迎えた。</t>
        </is>
      </c>
      <c r="J3335">
        <f>HYPERLINK("https://www.weblio.jp/content/さて", "词义详情")</f>
        <v/>
      </c>
      <c r="K3335">
        <f>HYPERLINK("https://yourei.jp/さて", "查看例句")</f>
        <v/>
      </c>
    </row>
    <row r="3336">
      <c r="A3336" t="inlineStr">
        <is>
          <t>査定</t>
        </is>
      </c>
      <c r="B3336" t="inlineStr">
        <is>
          <t>成功</t>
        </is>
      </c>
      <c r="C3336" t="inlineStr">
        <is>
          <t>読み方：さてい
［名］(スル)金額・等級・合否などを調査したうえで決定すること。「税額を—する」「勤務態度を—する」</t>
        </is>
      </c>
      <c r="D3336" t="inlineStr">
        <is>
          <t>査定額(2%)；査定官(2%)；査定者；査定ランキング；査定方法</t>
        </is>
      </c>
      <c r="E3336" t="inlineStr">
        <is>
          <t>評価；調査；判断；調べ；検討</t>
        </is>
      </c>
      <c r="F3336" t="inlineStr">
        <is>
          <t>才能査定；予算査定；税査定；ノルマ査定；臨床心理査定</t>
        </is>
      </c>
      <c r="G3336" t="inlineStr">
        <is>
          <t>査定基準；査定対象；査定した朝鮮語標準語集</t>
        </is>
      </c>
      <c r="H3336" t="n">
        <v>29</v>
      </c>
      <c r="I3336" t="inlineStr">
        <is>
          <t>それから一通り委員達の話があって、いよいよ査定書を作ることになった。；でも考えてみれば、このノルマ査定というのはだれのためのものだろう。；その講演で彼は、現代の経済のデフレーションの原因と影響を査定した。；利休は当時において言わず語らずの間に高慢税査定者とされたのである。；その後フロント入りし、球団運営部査定室主任や編成調査室課長を歴任。；利休は当時に於て言はず語らずの間に高慢税査定者とされたのである。；わたしの眼はかなり明らかで正しいが、さていよいよとなるとぼんやりする。；選考は個人成績および記録員の査定する貢献度を基に行なわれている。；根本的には、列車が遅れた場合の処分や査定を運転士が恐れたこともある。；ちょうどその頃、僕は今社長をつとめている海上保険の査定係をやっていた。；本の査定を頼んだまま、その奇妙な男は忽然と消えてしまったのだ。；授業を聞いてるってよりも、教師どもの授業ぶりを査定してる、みたいな。；選手の年俸の査定資料作成を行う査定担当となり、管理部長まで昇進した。；そんなくだらない言葉に突っ込む余裕などロレンスと査定の男にはない。；「隊長たちの最終的な実力査定だな」 先頭を歩くニーナがそう言った。；僕は、これから査定に行く遭難事件について何か情報に接したいと思った。；市民が生活の質と市のサービスを査定する幾つかの調査がある。；念のため査定済みのハードカバーも開いたが、結果は変わらなかった。；解釈 この査定の結果を解釈するには、解釈の重要なトレーニングが必要である。；いずれも、「俳句の才能査定ランキング」の放送内容を基に夏井が執筆。；さていよいよ、フモールの性格の中の若干を明らかにしておくべき段階に到達した。；サンルーフや本革シートがあったりすると査定アップになる場合が多い。；一方査定に大きく関わるのは打撃だと、打撃型捕手でない悲哀を感じたという。；これからおれはこいつに勤務状態を査定されるわけか。；また、支払時にも再度査定を行い、保険金詐欺を防ぐことが行われている。；男性は男性同士で身体を査定されるが、女性の場合はいずれの性からも査定の対象とされる。；その背景には、保険診療でビタミン剤の査定が多く行われていた時期があった。；その作品・料理を査定員が判定したうえで、才能やセンスの程度を査定する。；聴けば、茶の木の補償は一本に付き二百円に査定されるのだという。</t>
        </is>
      </c>
      <c r="J3336">
        <f>HYPERLINK("https://www.weblio.jp/content/査定", "词义详情")</f>
        <v/>
      </c>
      <c r="K3336">
        <f>HYPERLINK("https://yourei.jp/査定", "查看例句")</f>
        <v/>
      </c>
    </row>
    <row r="3337">
      <c r="A3337" t="inlineStr">
        <is>
          <t>砂糖</t>
        </is>
      </c>
      <c r="B3337" t="inlineStr">
        <is>
          <t>成功</t>
        </is>
      </c>
      <c r="C3337" t="inlineStr">
        <is>
          <t>読み方：さとう
蔗糖(しょとう)を主成分とする天然甘味料。原料から分けると、サトウキビから得られる甘蔗糖、サトウダイコンから得られる甜菜糖(てんさいとう)のほか、やし糖・かえで糖などがあり、製法から分けると上白糖・グラニュー糖などがある。</t>
        </is>
      </c>
      <c r="D3337" t="inlineStr">
        <is>
          <t>砂糖菓子(4%)；砂糖煮；砂糖生産；砂糖壺；砂糖漬</t>
        </is>
      </c>
      <c r="E3337" t="inlineStr">
        <is>
          <t>シュガー；水飴；雪白；精糖；太白</t>
        </is>
      </c>
      <c r="F3337" t="inlineStr">
        <is>
          <t>砂糖づけ；棒砂糖；砂糖屋；砂糖大さじ；砂糖精製</t>
        </is>
      </c>
      <c r="G3337" t="inlineStr">
        <is>
          <t>砂糖水；砂糖黍；砂糖キビ；砂糖きび；砂糖問屋</t>
        </is>
      </c>
      <c r="H3337" t="n">
        <v>29</v>
      </c>
      <c r="I3337" t="inlineStr">
        <is>
          <t>砂糖とコーヒー貿易でフランス植民地の中でも最も利益を上げていた。；砂糖工場ではしばしば工場内で働く機会があり、物を書く時間を作れた。；具体的には中南米のプランテーションで生産された砂糖が送られてきた。；雨の中にはお砂糖が入っているのだという子どもの噂を、私は信じていた。；台湾では果実に砂糖を加えた水で煮込んだものを、茶の一種として飲む。；三畳で、蟻が死んでいたところのコーヒーには、お砂糖が入っていた。；今度は水を入れて塩とお砂糖で味をつけますが長く煮過ぎると切れてしまいます。；砂糖を水で薄めたものであるため、思ったほど甘味を感じない場合もある。；その後も砂糖が入手できずに菓子業が不可能に近い時代が続いた。；ドイツの砂糖工業は20世紀までこのプロセスをうまく利用していた。；当時、砂糖産業がナントとナント港の発展で重要な位置を占めていた。；鉄は当然のこと、砂糖・小麦を含め資金の限界まで買い付けを行った。；砂糖細工やペーストリーの装飾技術を駆使した繊細な作りのものもある。；大日本製糖に買収されたときには見返りとして砂糖の専売権を取得した。；なお、1950年代には醤油や砂糖醤油につけて食べるケースもあった。；かつて砂糖が貴重品であった時代には塩餡が用いられていた。；「ちっともお砂糖が入ってやしないのに決っている、」と彼女は言った。；また砂糖作りの奨励も行い、取引を円滑化するため砂糖為替法を定めた。；砂糖が配合されていないガムは、歯磨きの代わりに噛まれることがある。；少女は二人か三人かいて、お砂糖屋ごっこをしているのだと思う。；この寿司は粕酢と塩のみで合わせ酢を作り砂糖を使用しないものであった。；これを予防するには蒸した段階で砂糖を入れることと、よくつくことである。；砂糖や塩とて、大量摂取すれば危険だが、これらは毒とは言わない。；また、当時は高価な貴重品であった砂糖栽培の研究も行っている。；お砂糖が足りなくてこまるそうですが今回はこちらでもどうにもなりません。；また、前述のとおり砂糖ともよく合うことから菓子にも用いられる。；中国での砂糖製造の歴史は古く主に広東地方で行われていた。；また、この薬園初代薬坊の医師である池田玄丈に砂糖の研究を指示した。；以後、黒人奴隷を使った砂糖などの生産とその取引の中心地として機能した。</t>
        </is>
      </c>
      <c r="J3337">
        <f>HYPERLINK("https://www.weblio.jp/content/砂糖", "词义详情")</f>
        <v/>
      </c>
      <c r="K3337">
        <f>HYPERLINK("https://yourei.jp/砂糖", "查看例句")</f>
        <v/>
      </c>
    </row>
    <row r="3338">
      <c r="A3338" t="inlineStr">
        <is>
          <t>作動</t>
        </is>
      </c>
      <c r="B3338" t="inlineStr">
        <is>
          <t>成功</t>
        </is>
      </c>
      <c r="C3338" t="inlineStr">
        <is>
          <t>読み方：さどう
［名］(スル)機械や装置の運動部分が働くこと。「モーターが自動的に—する」</t>
        </is>
      </c>
      <c r="D3338" t="inlineStr">
        <is>
          <t>作動する(16%)；作動させる(8%)；作動方式(3%)；作動性(3%)；作動不良</t>
        </is>
      </c>
      <c r="E3338" t="inlineStr">
        <is>
          <t>機能；運転；動作；働く；動く</t>
        </is>
      </c>
      <c r="F3338" t="inlineStr">
        <is>
          <t>作動原理；作動流体；作動状態；コリン作動；油圧作動</t>
        </is>
      </c>
      <c r="G3338" t="inlineStr">
        <is>
          <t>作動記憶；作動気体</t>
        </is>
      </c>
      <c r="H3338" t="n">
        <v>29</v>
      </c>
      <c r="I3338" t="inlineStr">
        <is>
          <t>信号システムは作動する状態にあるが列車の運行は完全に中止されている。；これらの実験で、電話が長距離でも作動することをはっきりと証明した。；これら全てを効果的に作動させるには、共同してある操作が必要とされた。；このように、エアバッグを作動させるまでもない事故も往々にしてある。；エアコンプレッサーを装備するバスでは空気圧作動式が用いられている。；また低温度差で作動するスターリングエンジンを利用する方法もあった。；アメリカ合衆国側の作成資料では作動を以下のように説明する。；校地南東側に信号や踏切警報機が実際に作動するミニ交通公園があった。；また肝心の大出力対応型変速機は、適切に作動させることができなかった。；作動は基本的にブローバックだが、通常と異なり銃身は固定されていない。；作動時点で使用者のそばにいる者は、時間停止の影響を受けずに済む。；作動時の振動が少なく空気圧縮機や空調機としての用途にも使用される。；アセチルコリン作動性神経の一部はレム睡眠の生成にも関与している。；この場合は火災個所を密閉した上で人員が退去後に外部より作動させる。；劇中描写はこれだけであり、作動原理や理論の詳細は一切不明である。；作動させると時間が停止し、自分以外の生物や物体等が全て停止した状態となる。；類似の発電システムには水以外の作動流体を用いたものも存在する。；空気が漏れ、タンク内の空気圧が外気圧と同じになると全く作動しない。；下記はショートリコイル作動方式で採用された閉鎖機構の代表例。；作動方法は一見してそうはみえないが、ショートリコイル方式を採用している。；作動原理によっては防御だけでなく攻撃にも使用できる場合がある。；前半が安全装置解除で、それを行わないうちは叩いても作動することはない。；それらは油圧で作動し、エンジン制御装置からの電気信号で制御される。；また駅周辺の踏切は、列車が駅に停止することを前提に作動開始時期が設定されている。；ゴーレムの体は必要な時に再作動できるよう、の屋根裏部屋に保管された。；ストップウォッチを作動させるときは手巻きで発条を巻き上げた方が良い。；家庭用では圧縮をするために電気作動のコンプレッサを使用するのが一般的である。；機械検査とは、機械の部品・作動機構の検査のことである。；運転席にあるスイッチで、システムの作動と停止を任意に切り替えられる。</t>
        </is>
      </c>
      <c r="J3338">
        <f>HYPERLINK("https://www.weblio.jp/content/作動", "词义详情")</f>
        <v/>
      </c>
      <c r="K3338">
        <f>HYPERLINK("https://yourei.jp/作動", "查看例句")</f>
        <v/>
      </c>
    </row>
    <row r="3339">
      <c r="A3339" t="inlineStr">
        <is>
          <t>諭す</t>
        </is>
      </c>
      <c r="B3339" t="inlineStr">
        <is>
          <t>成功</t>
        </is>
      </c>
      <c r="C3339" t="inlineStr">
        <is>
          <t>読み方：さとす
［動サ五（四）］
１目下の者に物事の道理をよくわかるように話し聞かせる。納得するように教え導く。「諄々(じゅんじゅん)と—・す」「不心得を—・す」
２神仏が警告する。告げ知らせる。
「天変しきりに—・し、世の中静かならぬは」〈源・薄雲〉</t>
        </is>
      </c>
      <c r="D3339" t="inlineStr">
        <is>
          <t>諭すような口調(3%)；諭すべき；諭すような言い方；諭すような態度；諭すような調子</t>
        </is>
      </c>
      <c r="E3339" t="inlineStr">
        <is>
          <t>警告；教える；叱る；咎める；絞る</t>
        </is>
      </c>
      <c r="F3339" t="inlineStr">
        <is>
          <t>優しく諭す</t>
        </is>
      </c>
      <c r="H3339" t="n">
        <v>29</v>
      </c>
      <c r="I3339" t="inlineStr">
        <is>
          <t>弟子が調子に乗っていれば諭しもするが、そうでない場合は放っておく。；そして民族は関係なくムスリムは皆兄弟であり国民であると諭している。；普通のお母さんなら、ここで叱ったり諭したりするのかもしれなかった。；「若いときから老成するのはよくない」 ある友人からはこう諭された。；二十二歳の娘さんに、五十過ぎのおとっつぁんが諭されているのである。；結婚に乗り気でない娘とそれを諭す母親との会話により成り立っている。；その兄からは「お前は軍人になってはいかん」と諭されたことを語っていた。；卒業後はNSCへ入るつもりだったが、親から諭され大学に入学した。；提出した作品をみて先生は、僕を諭すようにこう云ったのでした。；彼女に今日は泊まって行くことを諭された圭太は、彼女の言葉に応じる。；家康は、事情を聞いて、処置に困ったらしく、そのときこう諭している。；大司教はしばらく私たちの方を見ていたが、やがて静かに諭すようにいった。；それを菊池家の御先祖に諭され、許され、養われていまに至ったのじゃ。；またコタローに生き方を諭したり、ロミオと協力して悪を倒す事もある。；いずれも迷信を人に諭すに、最も分かりやすく、かつ興味ある話である。；その男性に諭された山本が最後に砂浜で全裸になってしまったこともある。；その笑いが余計な詮索をしても無駄だと暗に諭しているようであった。；自分にわかる分野の話になったので、喜々として私を諭しはじめた。；そして、芸術は政治よりも多くの準備を要すると、彼に諭してやった。；分別のない子供を、どう諭したらよいか思案している大人の目だった。；そして宮城に行っていない友彦を叱りつけ、一番に行くところだと諭す。；いなみから、よくお詫びをするようにと諭されていた様子でもあった。；一番良いのは、兄を諭してすぐにドラッグをやめさせることだった。；十四になっても、十八になっても、どんなに諭されても、わからなかった。；ファンバレンは若者でも諭すような目を、はるかに年嵩の魔族に向けた。；何を馬鹿なことを言ってるんだと諭したんですがね。；伯父さん夫婦はわたしの意見に反対し、進路さきを考え直すよう諭した。；それは牛ではなく魚の頭であったと神に諭される。；隅のほうでは何人かのえたいのしれぬ男たちがサイコロ賭博のことで口諭している。</t>
        </is>
      </c>
      <c r="J3339">
        <f>HYPERLINK("https://www.weblio.jp/content/諭す", "词义详情")</f>
        <v/>
      </c>
      <c r="K3339">
        <f>HYPERLINK("https://yourei.jp/諭す", "查看例句")</f>
        <v/>
      </c>
    </row>
    <row r="3340">
      <c r="A3340" t="inlineStr">
        <is>
          <t>悟る</t>
        </is>
      </c>
      <c r="B3340" t="inlineStr">
        <is>
          <t>成功</t>
        </is>
      </c>
      <c r="C3340" t="inlineStr">
        <is>
          <t>読み方：さとる
［動ラ五（四）］
１物事の真の意味を知る。はっきりと理解する。「芸の神髄を—・る」
２隠されているもの、また自分の運命などについて、それと気づく。感づく。察知する。「危険を—・る」「言外の意を—・る」「失敗を—・られないようにする」「死期を—・る」
３仏語。迷い・煩悩(ぼんのう)を去って生死を超えた永遠の真理を会得する。悟りを開く。
[可能]さとれる</t>
        </is>
      </c>
      <c r="D3340" t="inlineStr">
        <is>
          <t>悟るだろ；悟るべき；悟るべし；悟るでしょ；悟るところあり</t>
        </is>
      </c>
      <c r="E3340" t="inlineStr">
        <is>
          <t>発見；わかる；認識；検出；見つける</t>
        </is>
      </c>
      <c r="F3340" t="inlineStr">
        <is>
          <t>深く悟る；大いに悟る；ようやく悟る；ついに悟る</t>
        </is>
      </c>
      <c r="H3340" t="n">
        <v>29</v>
      </c>
      <c r="I3340" t="inlineStr">
        <is>
          <t>それで今もあなたがここに来られたのはあなたがそれと悟られての事だ。；彼等はいまに、自分が時代に遅れたる作家であったことを悟るであろう。；建築術がどの程度まで原始的なものであるかを悟らせてくれるのである。；彼は辺りを見まわし、他に車が見えないことを悟ると、また車に戻った。；また社会自ら悟って驚くようにしなければならぬとかなどとのことで。；それよりも、夫の弱点を他の女に悟られるのはもっと我慢できなかった。；自分の体験したことが夢か幻のなかでのことであったと悟るのである。；最後の瞬間まで意図を悟られまいと、俺の前で演技を続けてきたのだ。；正介が、父が自分を殺そうとしていると悟れば必ず反撃してくるだろう。；とは言っても、わたしはまだ全部を悟れたわけではありませんでした。；彼の頭の傷から、ぼくがいっしょにいることを悟られたらどうしよう。；あの子たちもやがて自分たちのしたことの重大さを悟る日が来るだろう。；自分が気にしているということを、祐麒はなぜだか悟られたくなかった。；思考力の衰えていたわしは、急にはその意味を悟ることが出来なかった。；少なくとも古の茶道は竟に悟るところはなかったものといわねばならぬ。；私が話さなくても矢切はあなた方が警察に密告したことを悟るでしょう。；書紀に接した人はこの言葉が血涙をもってかかれたことを悟るであろう。；いや彼ら自身でわれわれの言うことが正しいことを悟るに違いない。；顔が赤くなったのを悟られまいと、彼女は知らないふりをして空を見上げた。；もともとそういう内面を悟られないような訓練を受けている男だった。；そんな気持ちを悟られないためか取り繕うように森写歩朗は口を開いた。；その一つのことが何であるのか悟るまで、ぼくはあまり心配していなかった。；よほど自信があったのか、それとも悟られないようにしていたのか。；もし機械が美を殺すなら、世をも殺しているのだと悟らねばならぬ。；だが、そうした心の動きは悟られないように、彼は大きな声で云っていた。；こちらが疑いはじめたことを彼らに悟らせてはならないのである。；彼は折衷家となって宇宙の因襲を静かに信じてこんなものだと悟っている。；男の気配は、どんなに巧妙に隠してもライバルには悟られるものである。；そして、自分の疑念が氷解してゆく機に、達したのを悟ったのであった。</t>
        </is>
      </c>
      <c r="J3340">
        <f>HYPERLINK("https://www.weblio.jp/content/悟る", "词义详情")</f>
        <v/>
      </c>
      <c r="K3340">
        <f>HYPERLINK("https://yourei.jp/悟る", "查看例句")</f>
        <v/>
      </c>
    </row>
    <row r="3341">
      <c r="A3341" t="inlineStr">
        <is>
          <t>最中</t>
        </is>
      </c>
      <c r="B3341" t="inlineStr">
        <is>
          <t>成功</t>
        </is>
      </c>
      <c r="C3341" t="inlineStr">
        <is>
          <t>読み方：さいちゅう
［名］
１動作・状態などが、いちばん盛んな状態にあるとき。進行中のとき。まっさかり。さなか。「今が暑い—だ」「食事の—」
２まんなか。
３いちばん盛りの状態にある人。
「渡辺党の—なり」〈盛衰記・一四〉
［副］しきりに。
「三皿目のシチウを今三人で—食っている」〈虚子・俳諧師〉</t>
        </is>
      </c>
      <c r="D3341" t="inlineStr">
        <is>
          <t>最中に突然；最中に突如；最中に通りかかりまし；最中終戦を迎える；最中ニ</t>
        </is>
      </c>
      <c r="E3341" t="inlineStr">
        <is>
          <t>中；中心；中央；センター；中間</t>
        </is>
      </c>
      <c r="F3341" t="inlineStr">
        <is>
          <t>まっ最中；忙しい最中；親船最中；暑い最中；そうした最中</t>
        </is>
      </c>
      <c r="H3341" t="n">
        <v>29</v>
      </c>
      <c r="I3341" t="inlineStr">
        <is>
          <t>列車が分岐器を通過している最中に分岐器が途中転換すると危険である。；該当踏切を含むこの区間では高架化工事が進んでいる最中の出来事だった。；サリバンとはこの不倫騒動の最中にストーリー上でも抗争を行っていた。；厳重に戸締まりをして、だれがきてもなかへ入れるんじゃありませんよ。；靳準がこれの対処にあたったが、その最中二人の子が突然死亡したという。；残りの一行は脱出装置でテレポートの最中にバラバラになってしまう。；わしもこれの父も半人前もなかもん同士で舟仕立てて、いい含めて出る。；手から光も出ず、なんの変化もなか ったのに、犬は消えてしまった。；そいでもほかのもんがそれにきつう反対しとるかといえばそうでもなか。；ふたりはナザールを当てにして、またしてもなかから錠をかけなかった。；清仏戦争に清が敗北して講和会議が始まろうとしている最中のことだった。；確かな成立年は不詳だが、治承・寿永の乱の最中か直後だと思われる。；スコッティはこのシーズンの最中、公にトレードを要求したこともあった。；絶望的な状況の最中、最高の相棒と戦友が宗介の元へと集まっていた。；阿南は湯上がりと見えて、上半身裸で机で何かを書いている最中であった。；このとき彼は円周率の計算をしている最中だったといわれる。；クルスクでの戦いの最中には、イタリアのシチリア島に連合国軍が上陸。；藤村もなかば反射的に走りかけ、そして途方にくれたように足をとめた。；永易は結婚していたが、この騒動の最中である12月に離婚している。；あんた達が、居るふうもなかけん、するごとしなさいと、云うたろうが?；新聞雑誌気に向いた所ばかり読ちらして余念と苦労は露ほどもなかりし。；ブラックは氷が融解している最中は熱を吸収しても温度が変化しないことを発見した。；中には「高速で走っている最中なら、なお良い」という伝説もあった。；釣り人が川で釣りをしている最中に、一人の坊主が現れて長話に興じる。；戦争が終わりナチスが撤退する最中ジョズエとグイドは逃げようとする。；現在は分子遺伝学的情報などによる見直しも行われている最中である。；その最中に感情、記憶、イメージが鮮明になるのではないかという。；この攻城戦の最中に朝廷より、降伏するようにとの命が下った。；天順帝も混乱の最中に没したが、どのような最期を遂げたかは不明である。</t>
        </is>
      </c>
      <c r="J3341">
        <f>HYPERLINK("https://www.weblio.jp/content/最中", "词义详情")</f>
        <v/>
      </c>
      <c r="K3341">
        <f>HYPERLINK("https://yourei.jp/最中", "查看例句")</f>
        <v/>
      </c>
    </row>
    <row r="3342">
      <c r="A3342" t="inlineStr">
        <is>
          <t>さながら</t>
        </is>
      </c>
      <c r="B3342" t="inlineStr">
        <is>
          <t>成功</t>
        </is>
      </c>
      <c r="C3342" t="inlineStr">
        <is>
          <t>読み方：さながら
《副詞「さ」＋接続助詞「ながら」から》
［副］
１非常によく似ているさま。まるで。そっくり。「—滝のような雨」「地獄絵—のすさまじさ」
２そのまま。もとのまま。
「池などは—あれど」〈枕・一六三〉
３すべて。全部。
「あやしの民屋—やぶれくづる」〈平家・一二〉
［接］そうは言うものの。かと言ってやはり。
「食逃げ大尽にあふ事多し。—それとて乞ひがたく」〈浮・胸算用・二〉</t>
        </is>
      </c>
      <c r="D3342" t="inlineStr">
        <is>
          <t>さながら生き；さながら生ける；さながら動く；さながら美しき；さながらひとりでに</t>
        </is>
      </c>
      <c r="E3342" t="inlineStr">
        <is>
          <t>ように；まるで；ちょうど；みたいに；まさに</t>
        </is>
      </c>
      <c r="F3342" t="inlineStr">
        <is>
          <t>本物さながら；獣さながら；本番さながら；戦場さながら；太古さながら</t>
        </is>
      </c>
      <c r="H3342" t="n">
        <v>29</v>
      </c>
      <c r="I3342" t="inlineStr">
        <is>
          <t>和風はさながら彼の意を体したかの如くに彼を英国の岸辺へ吹き送つた。；屋根のへの焔はさながら悪魔の舌の如く南側の屋根を舐め尽さうとする。；さながら天も地も一時に砕け落ちるかと疑われんばかりの物音であった。；平一は過ぎた一夜の事をさながらに一幅の画のように心に描いてみる。；それを皮切りにして、周囲の人々が次々とゲームさながらに殺されていく。；それはさながら群がるとらの前にでた羊のごとく弱々しい態度であった。；気味悪く真白な腹を照らされてさながら水のような光の中に浮いている。；かれは顔色を変えて、さながら駄駄ッ子か気違いのように迫るのである。；さながら万事を打ち捨てて、私の前に魂を投げ出しているようであった。；海は、さながら、鏡の面に息を吹きかけて、曇った程にしか見られない。；さながら極楽境を行く一隊とでも評した方が適当だったかも知れぬ。；さながら彼女はそこに在らざる如く、または ただの石の如くにあらんのみ。；殊に目立つのはその大きい爪で、さながら雪のように白く光っていた。；さながら戦車戦のように装甲の薄いものは逃げるしかなかっただろう。；火に包まれた不動明王さながらの姿の中から、悲痛な絶叫を放ちました。；さながら秀吉の影のように生きた弟は、兄に先立って世を去った。；最後の攻撃は、グルジアの公式発表によると地獄さながらであった。；今度は山内の家のありさまがさながらまざまざと目に見るように想像された。；暗い夜の天地は、さながら雨と風と草木との戦場のように思われた。；それは列車というより宇宙船で、さながら銀河鉄道の夜の世界であった。；さながらその姿は、青き衣の者の伝説を体現したかのようであった。；さながらそれに灯がはいったように思われるのである。；思い掛けないこの空気の動揺は、さながら怪人の太い吐息を漏すがよう。；見る見る乳もふっくりと滑らかに、色を変えた面もさながらの女である。；さながら幼い皇帝が逆臣の群れに囲まれているにも似ている。；さながら幼い皇帝が逆臣の群れに囲まれてゐるにも似てゐる。；主人公が悪者を処刑する際ホラー映画さながらの残酷描写が話題となった。；そう思うと葉子は自分の心と肉体とがさながら蛆虫のようにきたなく見えた。；松林は頂上までは続いていないので、そこはさながら禿頭のように見えた。</t>
        </is>
      </c>
      <c r="J3342">
        <f>HYPERLINK("https://www.weblio.jp/content/さながら", "词义详情")</f>
        <v/>
      </c>
      <c r="K3342">
        <f>HYPERLINK("https://yourei.jp/さながら", "查看例句")</f>
        <v/>
      </c>
    </row>
    <row r="3343">
      <c r="A3343" t="inlineStr">
        <is>
          <t>捌く</t>
        </is>
      </c>
      <c r="B3343" t="inlineStr">
        <is>
          <t>成功</t>
        </is>
      </c>
      <c r="C3343" t="inlineStr">
        <is>
          <t>読み方：はく
［動カ下二］「はける」の文語形。</t>
        </is>
      </c>
      <c r="D3343" t="inlineStr">
        <is>
          <t>販売；売却；売る；譲る；完売</t>
        </is>
      </c>
      <c r="H3343" t="n">
        <v>29</v>
      </c>
      <c r="I3343" t="inlineStr">
        <is>
          <t>捌くのは難しい事ではないが、その度に屋敷のあちこちが壊されていく。；そして、こちらの商会であれば密輸した金を捌くルートをお持ちのはず。；一瞬でその思考をまとめ、騎士の剣を捌くと同時に間合いを一気に離す。；魚を捌くための包丁であり、現代では肉を切る用途にも使われている。；ブツを捌かせようという相手を、放っておいて何をやっているのだろうか?；田毎の玄関にはすでに新しい玄関番が詰めて、到着する客を捌いている。；捜査本部の方々が、うまく捌いてくれると当てにしていたんですがね。；こんな物を捌くのは俺も初めてだが、客の方も初めてでしょう。；彼らは揃いのスタイルで汗みずく、手際よく客たちの注文を捌いていく。；それでもあくまで冷静なままこれまでと同じように月村真由を捌いた。；しかしこの程度の運転率では東海道本線の需要を到底捌くことはできなかった。；趣味・特技には資格を取ることと魚を捌くことを挙げている。；量を捌くためにプロパンガスを導入、麺や調理器具をトラックで運んだ。；手足のないような若い主婦と、すべてを引受けて捌いてやる青年の助手。；直後に前蹴りを放ってやったが、それはフィランダーが身体を捌いて避けた。；手綱をとり捌く能力が双方になければ馬車は疾走しないのである。；妻の家に持っていって捌こうとすると、中から声がした。；下手をしたら犯罪者のようにではなく、魚のように捌かれるか。；雷迅をあんな形で捌かれ、左腕を失い、ディックは瞬時に考えを改めた。；魚を捌くためとは言うとるが、やっぱり仲間を脅すつもりもあったんじゃろな。；木場が高速で動き、それをジークフリートが最小の動きで捌いているんだ。；熊を捌いた時に同じことをしていたので、私は知っていた。；ぶつ切りでスープにする例もあるが、市場では捌いて売ることが多い。；俺の最後の一振りが、飛沫の刃となってレナの胸元を横一文字に掻っ捌いた。；彼は器用でもあったから、うなぎを捌く腕もなかなかなものだった。；魔力放出を加えた剣戟を青年が似たような魔力発現をさせた剣で捌く。；アクションシーンを捌くためにはより若いキャラクターが必要とされ、ハリー。；それが、彼が身を捌いて移動した結果だとわかるのに、一瞬、認識が遅れた。；こっちが黙ってたって、こういう時は、先にたって捌いてくれんのが当り前でしょ?</t>
        </is>
      </c>
      <c r="J3343">
        <f>HYPERLINK("https://www.weblio.jp/content/捌く", "词义详情")</f>
        <v/>
      </c>
      <c r="K3343">
        <f>HYPERLINK("https://yourei.jp/捌く", "查看例句")</f>
        <v/>
      </c>
    </row>
    <row r="3344">
      <c r="A3344" t="inlineStr">
        <is>
          <t>裁く</t>
        </is>
      </c>
      <c r="B3344" t="inlineStr">
        <is>
          <t>成功</t>
        </is>
      </c>
      <c r="C3344" t="inlineStr">
        <is>
          <t>読み方：さばく
［動カ五（四）］
１（裁く）理非を明らかにする。裁判する。「罪を—・く」「人を—・く」
２手を使ってものを思いのままに扱う。「ヒット性の打球を難なく—・く」「手綱を—・く」
３ごたごたした物事や複雑なことを、適切に処理する。「会社を一人で—・いている」「もめごとを—・く」
４品物を売りつくす。「滞貨を全部—・いた」
５
㋐くっついたりからまったりしやすいものを、解き分ける。「髪を—・く」「着物の裾を—・く」「力士が下がりを—・く」
㋑料理で、材料に包丁を入れて切り離し、ばらばらにする。「鴨を—・く」
[可能]さばける
［動カ下二］「さば（捌）ける」の文語形。</t>
        </is>
      </c>
      <c r="D3344" t="inlineStr">
        <is>
          <t>裁くべき(3%)；裁く国際軍事裁判</t>
        </is>
      </c>
      <c r="E3344" t="inlineStr">
        <is>
          <t>判断；審査；判定；審理；裁定</t>
        </is>
      </c>
      <c r="H3344" t="n">
        <v>29</v>
      </c>
      <c r="I3344" t="inlineStr">
        <is>
          <t>時代や流行や社会によって裁かれることは私の意とするところではない。；彼を裁くのは自分だと決めていたので、警察に介入をされたくなかった。；そのようなものを証拠にして役人たちは、何を裁こうとするつもりなのか。；私は米国で彼らが裁かれるとき、内容を汲み取られると信じております。；訴えられる人間が大変な権力者の場合は、これだけが彼を裁く方法でした。；もはや個人ではなく、軍事裁判で裁かれる囚人の一日分にすぎないのだ。；国の裁きに不満があるからといって、民が勝手に裁いてよいものではない。；これは一つ昭公と大衆と法戦をして、その対決の上で裁くことにしよう。；もし死後に審判というものがあるなら、私は神に裁かれることでしょう。；何か巨大な裁くものが頭の上へ重くのしかかっているような気がした。；裁くのはおまえ一人で、皆が朝から晩までおまえを取り巻いて立っている。；みんなが緊張してどうするの、どうせ裁かれるのはオレなんだからさ。；あんたらには、勝手に僕を裁くことなんて、絶対できないはずじゃないか!；現在は庄之助と伊之助が裁く取り組みは事前に定めて一方が控えとなる。；この状況で無理に止めに入れば、裁かれるのはショチトルの方なのだ。；作家は、裁くことより知ることに、より多くの関心を持つものである。；いや、繰り返しになるが、未来から過去を裁くことに意味なんてないのだ。；彼らの手紙や証言はすでに、あなたを裁く人たちの手に渡っている。；罪だけを裁いて、危険人物を野放しにしては、十分な対応とは思えない。；しかしカークが裁かれるのを見るまでは、なんとか生きていられるはずだ。；そして、正義をもって世界を裁き、真実をもって人間を裁かれるのです!；他人を殺してIVsのせいにする場合、いったいだれが裁くのですか?；あなたを逮捕したり、裁いたりするのは、陽界の警察や裁判所の仕事だから。；赤紙一枚で人間をころした責任を果たして貰った上で裁かれたいと思う。；その白骨は、悪魔ほどの力もなく、神のほしいままに裁かれた人々である。；この事件を裁いた幕府評定所の判決には、一つの含みがあったようである。；運用事故なんだから、指示を出した人間が裁かれるのは当たり前じゃないか!；犯罪は裁かれなければならないし、犯人には罪に応じた罰が必要だ。；人を殺したものは殺してしまえ、という考え方で裁かれていたようである。</t>
        </is>
      </c>
      <c r="J3344">
        <f>HYPERLINK("https://www.weblio.jp/content/裁く", "词义详情")</f>
        <v/>
      </c>
      <c r="K3344">
        <f>HYPERLINK("https://yourei.jp/裁く", "查看例句")</f>
        <v/>
      </c>
    </row>
    <row r="3345">
      <c r="A3345" t="inlineStr">
        <is>
          <t>砂漠</t>
        </is>
      </c>
      <c r="B3345" t="inlineStr">
        <is>
          <t>成功</t>
        </is>
      </c>
      <c r="C3345" t="inlineStr">
        <is>
          <t>読み方：さばく
雨量が極端に少ないため植物がほとんど育たず、岩石や砂礫(されき)からなる地域。サハラ・カラハリ・ゴビなど。
[補説]書名別項。→砂漠</t>
        </is>
      </c>
      <c r="D3345" t="inlineStr">
        <is>
          <t>砂漠化；砂漠地域；砂漠用；砂漠地方；砂漠横断</t>
        </is>
      </c>
      <c r="E3345" t="inlineStr">
        <is>
          <t>デザート；沙漠；黄砂；砂海；黄沙</t>
        </is>
      </c>
      <c r="F3345" t="inlineStr">
        <is>
          <t>半砂漠；大砂漠；西部砂漠；荒涼たる砂漠；平坦な砂漠</t>
        </is>
      </c>
      <c r="G3345" t="inlineStr">
        <is>
          <t>砂漠気候；砂漠化；砂漠の嵐作戦；砂漠戦；砂漠緑化</t>
        </is>
      </c>
      <c r="H3345" t="n">
        <v>29</v>
      </c>
      <c r="I3345" t="inlineStr">
        <is>
          <t>そして大艦隊で反タイタニア組織の本拠地である砂漠の洞窟を包囲する。；右の道は短い道だが、魔神どもが棲みつく砂漠を越えていかねばならぬ。；主要大陸北西部に位置するどこまで行っても砂と岩しか無い、広大な砂漠。；かつて地球と呼ばれた惑星ゾラはどこまでも砂漠が広がる星となっていた。；ここには砂漠を進む商隊の灯台として使われたと推定されているが残る。；そして以降はほぼ現在と同じ砂漠化した不毛な大地が広がる地域となった。；しかし海岸や砂漠に生息するものもあり、その生息環境の幅は広い。；これらの船は、すぐに甲板が砂漠の砂に覆われてしまったため、と呼ばれた。；アメリカ合衆国南西部の砂漠に生きる動物たちの日常を記録した作品。；現在は砂漠だが古代には植物の豊かな地域であり、大型恐竜が多く生息した。；砂漠での戦闘に特化しており、砂嵐でも行動可能で砂中を移動できる。；また、ワジではなく通年流水のある河川が砂漠の中を流れることがある。；砂漠は最西端の一部地域では砂の砂漠だが残りの地域では岩だらけである。；また、湖を形成する前に砂漠の途中で消滅してしまいワジとなる河川も多い。；砂漠にも、オアシスや海岸を中心として大都市が形成されることがある。；西部砂漠は、英国の言葉ではリビアの東キュレニアをも含むようになった。；国内の大部分は不毛な砂漠であり、最も高い地点で海抜103mである。；厳しい環境でも育つために砂漠や荒地の緑化用として使われる種もある。；テキサス州西部のチフアフアン砂漠は伝統的に西部の一部とされている。；ベルの生き生きとした描写はアラビアの砂漠を西欧世界に明らかにした。；また、砂漠での訓練飛行は地上目標物が少なく苦労したという。；こうして助かった若者達は砂漠に逃れたが、その子孫がクルド人だという。；タール砂漠は大インド砂漠とも呼ばれ、インド西部にある熱砂漠である。；ここはホームより遥かに巨大な大きさを持つ5つの月と砂漠の星。；オメガ世界には他にも村があり、砂漠や平原や森の中に点在している。；波が穏やかな内水面に設置したり、海外では砂漠に建設したりする例もある。；緑の平原も森も泉もなく、ただ荒涼とした砂漠が広がっているだけだったのだ。；近年では日本と協力して砂漠を緑化する試みが行われている。；これらの都市の富裕ぶりに人口が集中して、砂漠の中に大都市が存在している。</t>
        </is>
      </c>
      <c r="J3345">
        <f>HYPERLINK("https://www.weblio.jp/content/砂漠", "词义详情")</f>
        <v/>
      </c>
      <c r="K3345">
        <f>HYPERLINK("https://yourei.jp/砂漠", "查看例句")</f>
        <v/>
      </c>
    </row>
    <row r="3346">
      <c r="A3346" t="inlineStr">
        <is>
          <t>茶飯事</t>
        </is>
      </c>
      <c r="B3346" t="inlineStr">
        <is>
          <t>成功</t>
        </is>
      </c>
      <c r="C3346" t="inlineStr">
        <is>
          <t>読み方：さはんじ
ごくありふれたこと。「日常—」</t>
        </is>
      </c>
      <c r="F3346" t="inlineStr">
        <is>
          <t>尋常茶飯事</t>
        </is>
      </c>
      <c r="H3346" t="n">
        <v>29</v>
      </c>
      <c r="I3346" t="inlineStr">
        <is>
          <t>彼はこんな事は日常の茶飯事だと云わぬばかりに別に驚きも怒りもしないらしい。；野営の経験が豊富な越軍にとっては、すべてが、茶飯事のことであった。；むしろこんなことはあなたの生活では茶飯事でしょう。；通いの人間は使わない方針だったためか、人手の貸し借りは茶飯事だった。；だがペリー・ローダンはそれを日常の茶飯事のように操作する。；さういふものが既に尋常茶飯事でないのを示してゐる。；まるで日常の茶飯事について話をしているように、いや、それよりももっと気のない調子だった。；然らば時の流れを川の流れに変へさせること位は詩人の茶飯事であらうが、人から見れば面白い感想である。；由来家常茶飯事を歌によんで立派な歌にしたてたこと作者のやうな人は先づなかつた。；だから今、彼女にはこの大男が死につつあるのか、それとも日常の茶飯事なのかは、判断できない。；時間飛行など、日常の茶飯事というような感じでもあった。；第2歌集までの抒情をやめ、一見、どうでも良いような日常の茶飯事を歌っている。；彼のこの種の変装は日常の茶飯事である。；睡眠不足や過密日程は茶飯事なので、体の不調がそうしたことのせいでないことはわかる。；血なまぐさい出来事は、茶飯事のようにおこっているのである。；それは、あなたが一口に高踏派と言われているのと同じくらいの便宜上の分類に過ぎませぬが、私の小説の題材は、いつも私の身辺の茶飯事から採られているので、そんな名前をもらっているのです。；阿賀妻には茶飯事のこのことが安倍誠之助を気色ばましていた。；必ずそうならざるを得ぬものと知り、かつわれわれをめぐる 他のすべての身近なもの同様、ごくふつうな茶飯事であるものを、 いったいなぜかくもまるで子供のようにむきになって、 夢中になる必要がどこにある?；週末の騎乗が終わると、顔も足も反動でむくみ、靴を履けないのも茶飯事であった。；時事的茶飯事には何の哲学的意味もない、入用なのは実際問題とは独立な原則の問題の他ではない、というのである。；それで「パリの屋根の下」の観客は、この東京の電車や四つ辻におけると同じような態度で、フランスの都の裏町を漫歩しつつその町の屋根の下に起こりつつあるであろうところの尋常茶飯事を見物してあるくのである。；そういうわけであるから現代の読者にはあまりに平凡な尋常茶飯事でも、半世紀後の好事家には意外な掘り出し物の種を蔵しているかもしれない。；これで、話を聞かずに、外貌だけ見てゐるとしたら、誰でも、この婦人は、家常茶飯事を語つてゐるとしか、思はなかつたのに相違ない。；これで、話を聞かずに、外貌だけ見ているとしたら、誰でも、この婦人は、家常茶飯事を語っているとしか、思わなかったのに相違ない。；うぶなご令嬢の場合、結婚したとたん夜ごと泣き出したり逃げ出したり、奥方の務めと覚悟していただくのに何日も説得するなんてことは茶飯事なんですよ。；又人の話によれば、人力車を走らせている間に、後から帽子を盗まれる事も、此処では家常茶飯事だそうです。；当時、別にとりたてゝ言ふ程の事でなく、言はゞ家常茶飯事ですから、誰もその形容や用途は書き留めて置かなかつたのです。；女を襲うのは彼らの日常であり、輪姦も茶飯事であったが、彼は仲間に、痩せ猫を〈妻〉とみとめさせた。；てんでんに「世の中が惡くなつた」ことをこぼしながら、しかも此の惡くなつた世の中の茶飯事に終始して一生を送る人々である。</t>
        </is>
      </c>
      <c r="J3346">
        <f>HYPERLINK("https://www.weblio.jp/content/茶飯事", "词义详情")</f>
        <v/>
      </c>
      <c r="K3346">
        <f>HYPERLINK("https://yourei.jp/茶飯事", "查看例句")</f>
        <v/>
      </c>
    </row>
    <row r="3347">
      <c r="A3347" t="inlineStr">
        <is>
          <t>錆</t>
        </is>
      </c>
      <c r="B3347" t="inlineStr">
        <is>
          <t>成功</t>
        </is>
      </c>
      <c r="C3347" t="inlineStr">
        <is>
          <t>読み方：さび
《「寂(さび)」と同語源》
１空気や湿気などの作用で金属表面に生じる、酸化物や炭酸塩などの皮膜。鉄の赤さび・黒さび、銅の緑青(ろくしょう)など。
２わが身にもたらされる悪い結果。「身から出た—」
３「錆漆(さびうるし)」の略。</t>
        </is>
      </c>
      <c r="D3347" t="inlineStr">
        <is>
          <t>錆つい(5%)；錆だらけ(5%)；錆刀；錆槍；錆取り</t>
        </is>
      </c>
      <c r="E3347" t="inlineStr">
        <is>
          <t>錆び</t>
        </is>
      </c>
      <c r="F3347" t="inlineStr">
        <is>
          <t>黒錆；赤い錆；水錆；発錆；錆塊</t>
        </is>
      </c>
      <c r="G3347" t="inlineStr">
        <is>
          <t>錆びつい；錆色；錆びる；錆び付い；錆止め</t>
        </is>
      </c>
      <c r="H3347" t="n">
        <v>29</v>
      </c>
      <c r="I3347" t="inlineStr">
        <is>
          <t>川底は鉄錆のような色になっているが、これは汚れとは違うものである。；捨てられた廃車が重なり合って錆の巨大な塊となっているのを目撃した。；深夜だからよく見えないが、きっと錆だらけで刃もこぼれているだろう。；これらの水分がエンジン内部の部品に錆や腐食を発生させる原因となる。；丘陵の向こうから姿を現わしたのは、鉄錆の色をした大きな岩山だった。；「別のところで寝ているよ」嘘をつくときの錆のような味が舌の上に残る。；油漏れ・錆・その他水による機械系統への損傷の徴候は見られなかった。；材質は青銅のようで、汚れてはいるものの錆などで腐食されてはいない。；錆を浮かせた鉄の扉を開けると、階段の下から湿った空気が流れてきた。；この世界にある金属といえば、機械装置と道具と、そして錆だけです。；ところで、この鏡はよほど古いものとみえて、ひどく錆がついていた。；金属製品の錆または腐食の発生を抑制する機能を持つ紙の総称である。；笑いつつ、そしてずいと近よると錆のある太い声で静かに言いました。；金属の錆が浮き出て、寂れてはいるけど市の中では発展している方だ。；解体の運命を逃れたものの、錆ついた船体は波と風に徐々に蝕まれていた。；それから冷えて錆だらけになった片手をしばらく眺めてから先へ歩いていった。；しかも錆ついていて、ここ何年かそれらの扉が開かれたことがないのを語っていた。；錆の浮いた金具に四十本ほどの鍵をまとめた大きな鍵束がかかっている。；現在、橋は見栄えが新しくなっただけでなく、以前よりも錆に強くなった。；そんな錆ついた鉄格子にしては、音のしなかったのが不思議である。；壊れているものもあったが、数丁ほどは錆も浮かずにピカピカしている。；錆が酷かったり、打ち下ろしの刀の場合は、更に掛かる場合もあり得る。；ハスラーの錆はそのまま自分の心の錆であり、腐蝕であるかもしれない。；いずれも鉄の酸化物であり、水酸化鉄と並んで錆を構成する成分である。；その中で面つきあわせてるおれたちは、屑鉄にわいた錆みたいなもんだ。；そのなかには、新王国以前では極めて珍しい、錆の見られない鉄剣も含まれる。；かなり前からあったらしく、ボール紙にはさんであるピンは錆ついていた。；錆の出たポストを開けて中身を取り出し、葵は小夜子の先に立って歩く。；そうすると、お腹の中に残っている鉄の錆がスッカリ抜けてしまうのだ。</t>
        </is>
      </c>
      <c r="J3347">
        <f>HYPERLINK("https://www.weblio.jp/content/錆", "词义详情")</f>
        <v/>
      </c>
      <c r="K3347">
        <f>HYPERLINK("https://yourei.jp/錆", "查看例句")</f>
        <v/>
      </c>
    </row>
    <row r="3348">
      <c r="A3348" t="inlineStr">
        <is>
          <t>寂しい</t>
        </is>
      </c>
      <c r="B3348" t="inlineStr">
        <is>
          <t>成功</t>
        </is>
      </c>
      <c r="C3348" t="inlineStr">
        <is>
          <t>読み方：さびしい
［形］［文］さび・し［シク］《「さぶし」の音変化で、動詞「寂(さ)びる」に対応する形容詞》
１心が満たされず、物足りない気持ちである。さみしい。「—・い顔つき」「懐が—・い（＝所持金が少ない）」「口が—・い」
２仲間や相手になる人がいなくて心細い。「一人—・く暮らす」
３人の気配がなくて、ひっそりとしている。さみしい。「—・い夜道」
[派生]さびしがる［動ラ五］さびしげ［形動］さびしさ［名］</t>
        </is>
      </c>
      <c r="D3348" t="inlineStr">
        <is>
          <t>寂しい思い(3%)；寂しい場所(3%)；寂しいもの(3%)；寂しい気；寂しいところ</t>
        </is>
      </c>
      <c r="E3348" t="inlineStr">
        <is>
          <t>孤独；淋しい；わびしい；寂しげ；侘しい</t>
        </is>
      </c>
      <c r="F3348" t="inlineStr">
        <is>
          <t>こんな寂しい；ちょっと寂しい；とても寂しい；寂しい町；寂しい心持</t>
        </is>
      </c>
      <c r="G3348" t="inlineStr">
        <is>
          <t>寂しい〜</t>
        </is>
      </c>
      <c r="H3348" t="n">
        <v>29</v>
      </c>
      <c r="I3348" t="inlineStr">
        <is>
          <t>娘が寂しくきっと口を結んで壁際の椅子にかけているのを彼は見ていた。；この人が一番、娘がいなくなってしまうのを寂しく思っているのだろう。；そんなことを考えて昼間は時間を送ったが、夜は寂しくてならなかった。；夜の空から星が半分なくなったように、あたりが急に暗く寂しくなった。；そして彼ら夫婦の仲と、寂しい愛とを思った時急に哀れな気がして来た。；昔使っていた住居のほうは源氏の目に寂しく荒れているような気がした。；だから一人で目一杯ツッパッたって別に寂しくなんかならないと思うの。；この家の中に一人でも子供がいたら、少しは寂しさもまぎれるだろうに。；手に入れる前よりも手に入れた今の方がずっと寂しくて、満たされない。；むしろ山にいるときの彼は、寂しく暗い影を背負っているように見えた。；かれの目の寂しさを見た時、ぼくは自分の質問を忘れてしまったのだろう。；おとうさんが立って行ってしまうと、うちの中は急に寂しくなりました。；部屋を出てどこかに行ってしまったので、一弥はちょっと寂しくなった。；であるから側に先生の居ないことがどれ程寂しいことであつたか想像される。；何か故郷に帰ったような安心と、とり残されたような寂しさがあった。；お光と兄は静かに寂しい夏の入日を背にして野道をかえったのであった。；しかしこの祖父の心の寂しさを、彼は今まで気づかないでいたのです。；が、のぞいてみても家の中は暗く、町は昼でも眠ったように寂しかった。；僕はそんなことを気にしない彼に同情よりもむしろ寂しさを感じた。；と同時にまたひとりになったことが、多少は寂しくも思われるのだった。；姉と妹のないことをおもつて死ぬやうに寂しくなつたのもそのころである。；しかし、年をとつたのか、わしはまた寂しさが我慢出来なくなつて来た。；それに自身よりも上の人が誰も主人公をやっていなかったら寂しい。；それがかすかながら、私の心に、旅愁とも云ふべき寂しさを運んで来た。；心の底から必要とする人がいない人生なんて、寂しくはありませんか?；われわれはみんなが若い娘がいなくなったことを寂しく思っている。；あとはオナニーをしてもMだから責めてくれる人がいないと寂しんです。；そこから先は夜店がなくなって、急に日が暮れた様な寂しい通りだった。；私はもう寂しさを知ってはいたが、それでも何とはなしに心に安心があった。</t>
        </is>
      </c>
      <c r="J3348">
        <f>HYPERLINK("https://www.weblio.jp/content/寂しい", "词义详情")</f>
        <v/>
      </c>
      <c r="K3348">
        <f>HYPERLINK("https://yourei.jp/寂しい", "查看例句")</f>
        <v/>
      </c>
    </row>
    <row r="3349">
      <c r="A3349" t="inlineStr">
        <is>
          <t>錆びる</t>
        </is>
      </c>
      <c r="B3349" t="inlineStr">
        <is>
          <t>成功</t>
        </is>
      </c>
      <c r="C3349" t="inlineStr">
        <is>
          <t>読み方：さびる
［動バ上一］［文］さ・ぶ［バ上二］《「寂びる」と同語源》
１金属の表面に錆が生じる。「—・びた釘(くぎ)」
２能力・働きが鈍くなってだめになる。「運動不足でからだが—・びてきた」</t>
        </is>
      </c>
      <c r="D3349" t="inlineStr">
        <is>
          <t>錆びる秩序(5%)</t>
        </is>
      </c>
      <c r="E3349" t="inlineStr">
        <is>
          <t>錆び；錆</t>
        </is>
      </c>
      <c r="H3349" t="n">
        <v>29</v>
      </c>
      <c r="I3349" t="inlineStr">
        <is>
          <t>太い錆びた鎖が渡されていて、鎖の助けを借りながら最後の岩を越えた。；アパートの裏側にまわり、そこにあった錆びた鉄の階段を駆け上がった。；いまは商売道具でもあるのに、赤く錆びるのを待つだけでしかないのだ。；錆びたスプリングの音を聞いたかと思ったら、泥のような眠りにおちた。；鍵はさすがに錆びていたが、ナイフの先で、こじ開けるのは簡単だった。；余り質の良くない土は赤く、錆びたフェンスは手入れもされてい ない。；鉄道線路は二筋とも錆びているので、滅多に車の通ることもないらしい。；錆びた看板のグロテスクで猥褻な女が、その光に合わせて表情を変えた。；そしてすぐ傍らの板石の上に、二人はとっくに錆びている鍵を見つけた。；その日の午後、裕生は赤く錆びた鉄の門をくぐって、敷地の中へ入った。；家主が捨てたらしい錆びた冷蔵庫や風呂桶などが庭の半分を占めている。；頭の部分は半ば錆びているが、充分に重く、破壊には適しているだろう。；粘土層からは錆びた呼び笛と一七一三年の刻印がある銅貨も見つかった。；さっきまでの本多長五郎の声は、錆びをおびた男性的な声であったのだ。；廃止されたホームの方には錆びた線路が本線から分断された状態で残っている。；赤錆びたレールが、こよみの前に、どこまでもどこまでもつづいていた。；錆びた鉄の蓋を開け、じっと眺めていたが、指も触れずに大門へ向かった。；葉の表面はざらついてて、冬から花の咲く頃までは錆びた色をしています。；赤錆びた一つの岩塊が鋭く浪の中から起つて立つてゐるにすぎなかつた。；特別触れたワケではないが、彼女のコートには錆びた鉄の匂いが移っていた。；大発は錆びてはいるが、三十年経ったにしてはそれほど傷んではいない。；釘の頭が錆びていなかったことを考えれば、それはそう昔のことではない。；その手にはどう見ても銀むくではない聖杯と、錆びた鎌が握られている。；海の匂いというよりは、無機質の、錆びた鉄のような匂いがしていた。；鉄の丸がこんなに錆びてる、それだけ僕たちは成長したというわけか。；高価な機材は撤去され、残るのは役に立たない錆びた金属の塊ばかりだ。；「だが、それを選ぶのは歌声の主ではない」 Dは錆びた声でつづけた。；昔は崖に風力発電機が据え付けられていたんですが、錆びて壊れとって。；書斎にいる石道がふと気づくと錆びた雨どいをつけかえている男がいる。</t>
        </is>
      </c>
      <c r="J3349">
        <f>HYPERLINK("https://www.weblio.jp/content/錆びる", "词义详情")</f>
        <v/>
      </c>
      <c r="K3349">
        <f>HYPERLINK("https://yourei.jp/錆びる", "查看例句")</f>
        <v/>
      </c>
    </row>
    <row r="3350">
      <c r="A3350" t="inlineStr">
        <is>
          <t>座布団</t>
        </is>
      </c>
      <c r="B3350" t="inlineStr">
        <is>
          <t>成功</t>
        </is>
      </c>
      <c r="C3350" t="inlineStr">
        <is>
          <t>読み方：ざぶとん
座るときに敷く布団。</t>
        </is>
      </c>
      <c r="D3350" t="inlineStr">
        <is>
          <t>座布団運び(2%)；座布団を投げる行為；座布団折り；座布団を敷か；座布団がわり</t>
        </is>
      </c>
      <c r="E3350" t="inlineStr">
        <is>
          <t>マット；クッション；座蒲団</t>
        </is>
      </c>
      <c r="F3350" t="inlineStr">
        <is>
          <t>赤い座布団；大きな座布団；小さな座布団；背座布団</t>
        </is>
      </c>
      <c r="G3350" t="inlineStr">
        <is>
          <t>座布団型</t>
        </is>
      </c>
      <c r="H3350" t="n">
        <v>29</v>
      </c>
      <c r="I3350" t="inlineStr">
        <is>
          <t>彼の座布団の上に自分の体を置いてみたのは、きょうがはじめてである。；座布団は概要で述べたとおり、その単純な構造ゆえに様々に応用される。；私はその点の上に座布団を敷いて、ぼんやりと庭のつげの木を見ている。；俺は彼女に布団を掛けてやり、自分は壁際に座布団を並べて横になった。；師匠が座布団に座って、私とアコちゃんとは舞台に上ってお辞儀をした。；座布団を折って枕代わりにし、そのまま朝まで眠っていくこともあった。；長田は電話の下に敷いてあった小さな座布団を女にむかって投げつけた。；通常、畳の上に敷かれた真綿入りの座具であり、座布団の一種といえる。；椅子ではなくて座布団の上に座っているので裾が乱れやすいのだろう。；こっちはこっちで座布団を出し、風が入るように窓を開けて正座した。；旅館の畳の上の座布団に腰を下ろした途端、一度に今日一日の疲れが出た。；珍しいことに啓太はお尻からすとんと座布団の上に腰を落としていた。；軽く叩いたのでは効果がないので床に置いた座布団の上に、どしーん!；初め世帯を持つときに、渋紙のようなもので拵えた座布団を三枚買った。；俺はテーブルの周りに置かれた座布団のひとつに腰を下ろした。；高座では落語家と同じように座布団に座って動物の物まね芸を披露する。；私は二階に上がって、隅の方にあった、主のない座布団を占領した。；猫は座布団の上に鎮座していて、物ほしそうな目で鼻面を動かしている。；それでも外出する気にはならず、私は座布団を弄んで大きな欠伸をした。；聡美は座布団の上で正座したまま、辛抱強く時間が経過するのを待った。；古寺はどこかから座布団を三枚、用意して、フローリングの床に並べた。；この時だけ右上の項目テロップが大きい座布団なしのタイプになる。；客用の座布団などというものは、そもそもこの家には存在しないのだと思う。；余った座布団を入れておくのにちょうどいいと八重子がいったからだ。；おかげで彼女の血は座布団に付着し、シートには染みついていなかった。；一時間座っていたから、座布団がつぶれてお尻の跡がくっきり残っていた。；畳敷きの六畳間で眼につくものといったら、小さい坐り机と座布団が一枚。；彼は申しわけなさそうに身を縮め、座布団の端をひねくりまわしている。；しかたないのでカザリの服を外に出して座布団の入る空間を確保した。</t>
        </is>
      </c>
      <c r="J3350">
        <f>HYPERLINK("https://www.weblio.jp/content/座布団", "词义详情")</f>
        <v/>
      </c>
      <c r="K3350">
        <f>HYPERLINK("https://yourei.jp/座布団", "查看例句")</f>
        <v/>
      </c>
    </row>
    <row r="3351">
      <c r="A3351" t="inlineStr">
        <is>
          <t>差別</t>
        </is>
      </c>
      <c r="B3351" t="inlineStr">
        <is>
          <t>成功</t>
        </is>
      </c>
      <c r="C3351" t="inlineStr">
        <is>
          <t>読み方：さべつ
［名］(スル)
１あるものと別のあるものとの間に認められる違い。また、それに従って区別すること。「両者の—を明らかにする」
２取り扱いに差をつけること。特に、他よりも不当に低く取り扱うこと。「性別によって—しない」「人種—」
３⇒しゃべつ（差別）</t>
        </is>
      </c>
      <c r="D3351" t="inlineStr">
        <is>
          <t>差別的(7%)；差別化(5%)；差別なく；差別撤廃；差別感情</t>
        </is>
      </c>
      <c r="E3351" t="inlineStr">
        <is>
          <t>区別；隔て；見分け；判別；分別</t>
        </is>
      </c>
      <c r="F3351" t="inlineStr">
        <is>
          <t>不当な差別；あらゆる差別；ユダヤ人差別；社会的差別；差別性</t>
        </is>
      </c>
      <c r="G3351" t="inlineStr">
        <is>
          <t>差別的；差別用語；差別問題；差別意識；差別待遇</t>
        </is>
      </c>
      <c r="H3351" t="n">
        <v>29</v>
      </c>
      <c r="I3351" t="inlineStr">
        <is>
          <t>また、それらの多様な解釈や定義が偏見や差別の原因となる場合がある。；耳にした批判は、黒人への差別にはたちどころに抗議をすることだった。；ヴィジュアル系が差別された要因としてはさまざまなものが考えられる。；商業メディアでは、差別糾弾を回避する手段が常に模索され続けている。；また、宗教・民族の少数者を差別した記事を載せた場合の罰則もある。；中には、など、公の場で差別的ともとれる意見が述べられることもあった。；そのためロス暴動のような差別への怒りの暴動が頻繁に起きたりする。；種差別とはヒトとそれ以外の動物を種が違う事を根拠に差別することである。；フランス世論は外国人に向ける目は厳しく、差別の対象にもなっていた。；デュボイスはアメリカの教会があらゆる機関の中で最も差別的であると非難した。；ただし、しんのすけに比べ無差別に被害を与えてしまうケースが多い。；そうでない日本人には服のデザインなどできないという偏見や差別があった。；死刑の適用に際して経済的・人種的差別が存在しているとの指摘もある。；性・差別・お金・犯罪などを語る場合、俗語が使われることが多い。；同和教育で問題にされたのは、被差別部落出身者に対する差別であった。；同年12月に京都部落解放センターの差別確認会の席へ司馬を出席させた。；差別につながると言われても、『そういう受け取り方があるんだな』と。；ただし、例えばNHKの場合は、「俳優」と男女差別せずに言及される。；中でも義務教育時代に受けた差別は普遍的な経験になっている、としている。；但し、この2代目よりそれぞれのグレード呼称に明確な差別化を設けた。；こうして整えられた官制は、生まれによる差別を否定するものではない。；ただし、実際には限定的ではなく無差別的で、民間人の死傷者も出ている。；モータウン初期に南部へ行っていたら観客は差別されただろう。；弥生時代以前からの先住民族の末裔が差別されるようになったとするもの。；植木枝盛はこのような差別的法典を日本は模倣すべきでないと批判していた。；この法律は、同一労働同一賃金や、パートへの差別禁止を規定している。；つまり四方を切れ目なく差別的な白人国家に囲まれていたことになる。；このような外見上の特徴も差別の原因となったと考えられる。；移民の受け入れに賛成しており、差別・右翼・共産主義に反対している。</t>
        </is>
      </c>
      <c r="J3351">
        <f>HYPERLINK("https://www.weblio.jp/content/差別", "词义详情")</f>
        <v/>
      </c>
      <c r="K3351">
        <f>HYPERLINK("https://yourei.jp/差別", "查看例句")</f>
        <v/>
      </c>
    </row>
    <row r="3352">
      <c r="A3352" t="inlineStr">
        <is>
          <t>作法</t>
        </is>
      </c>
      <c r="B3352" t="inlineStr">
        <is>
          <t>成功</t>
        </is>
      </c>
      <c r="C3352" t="inlineStr">
        <is>
          <t>読み方：さくほう
物の作り方。さほう。「小説の—」
[補説]現代では多く「さほう」という。</t>
        </is>
      </c>
      <c r="D3352" t="inlineStr">
        <is>
          <t>作法通り(3%)；作法どおり(3%)；作法書；作法室；作法正しく</t>
        </is>
      </c>
      <c r="E3352" t="inlineStr">
        <is>
          <t>構成；法；制作；構造；作曲</t>
        </is>
      </c>
      <c r="F3352" t="inlineStr">
        <is>
          <t>食事作法；お作法；正しい作法；行事作法；儀式作法</t>
        </is>
      </c>
      <c r="H3352" t="n">
        <v>29</v>
      </c>
      <c r="I3352" t="inlineStr">
        <is>
          <t>また、死者との関係ごとに定められた作法で慟哭することが求められる。；一般的に年下が行う傾向にあるが、上位者が行うのが正式な作法である。；玄関番をして立ちながら、観察する商売の作法も彼の性に合わなかった。；自らの庭は自然風と称し、従来の庭園作法を作庭式と呼んで区別した。；これはタタール族の将軍たちが、君王の前に出たときの作法なのである。；そこで特別にこの官職を置いて、儀式作法の教えを広めさせるべきです。；敵将の首を実検するには厳かな作法と礼をもってするのが慣わしである。；ご飯と汁物のうどんやそばのセットのような席では、作法は問われない。；わたしは苦労してカパラの上流の作法を学んでいるところであった。；彼は幕の前に呼び出され、ハガーを伴って、作法どおりに舞台に現れた。；ツケザシは誰でも知っているように、本来は酒の一つの作法であった。；その作法を破ってもいい時期はまだ来ていなかったのである。；子供たちの作法や言葉使いを彼は意外に思い、眉をよせて考えこんでいった。；当方の対応は必ずしもエミリー・ポストの作法どおりにはいかなかった。；一般的な参拝作法の大きな流れは、神社・寺院とも以下のようなものである。；上述の毎日の作法以外にもさまざまな行法が行事中に織り込まれている。；著作として「往生論五念門略作法」などがあるが現在は残されていない。；彼女が蓮華みたいに派手に泣いたりしては、作法上、穏当ではないのだ。；いずれも我々のような服装も作法ももっていないのだから。；モード夫人の物腰には日本の茶の作法のやうなものが見られたのも面白かつた。；藩主の寝所へはいるには、その家によっていろいろの作法があったようだ。；醤油を使う場合は全体にかけず、手塩皿に取って食べるのが作法とされる。；およそ捕虜を見るなら、兵に命じて、曳かせて来るべきが作法である。；パルクジートルング墓地ではムスリムの作法に則った埋葬が可能である。；決まった作法はなかったようであり、せり上がりもなかったと推測される。；ここの子のお作法とお行儀がどんなによくなったか、これでおわかりでしょう。；当時正しい決闘の仕方を含む作法の本が宮廷人のあいだで広く読まれたという。；良家の子ならば、これくらいな作法は、どこの子弟でも仕込まれている。；現代でも神社によっては、これと同じような細かい作法を示すことがある。</t>
        </is>
      </c>
      <c r="J3352">
        <f>HYPERLINK("https://www.weblio.jp/content/作法", "词义详情")</f>
        <v/>
      </c>
      <c r="K3352">
        <f>HYPERLINK("https://yourei.jp/作法", "查看例句")</f>
        <v/>
      </c>
    </row>
    <row r="3353">
      <c r="A3353" t="inlineStr">
        <is>
          <t>さほど</t>
        </is>
      </c>
      <c r="B3353" t="inlineStr">
        <is>
          <t>成功</t>
        </is>
      </c>
      <c r="C3353" t="inlineStr">
        <is>
          <t>読み方：さほど
［副］（多くは、あとに打消しの語を伴って用いる）それほど。たいして。「—（に）ひどい病気ではない」「—の出来でもない」</t>
        </is>
      </c>
      <c r="D3353" t="inlineStr">
        <is>
          <t>さほど遠くない(3%)；さほど変わら(3%)；さほど多く(3%)；さほど大きく(2%)；さほど高く</t>
        </is>
      </c>
      <c r="E3353" t="inlineStr">
        <is>
          <t>特に；特別；それほど；そんなに；わざわざ</t>
        </is>
      </c>
      <c r="F3353" t="inlineStr">
        <is>
          <t>さほど難しく；さほど変わり；さほど難しい；さほど遠から；さほどむつかしく</t>
        </is>
      </c>
      <c r="H3353" t="n">
        <v>29</v>
      </c>
      <c r="I3353" t="inlineStr">
        <is>
          <t>上行や下行が過度に連続していても、さほど禁止の対象になっていない。；さほど予算をかけた内容ではないが、彼らの貴重な動く姿が見られる。；このため、東急では乗車率は高くても利益はさほど出ない状態であった。；しかし現在ではこの関係はさほど近いものとは考えられていない。；その一方で、単純な構成であるため評論家からの評価はさほど高くはない。；いくつかの声楽曲も作曲したが、こちらはさほど評価が芳しくなかった。；一方南部ではこのような用法は持たないか、もしくはさほど盛んではない。；しかし平安時代以降になると伽藍での配置はさほど厳格ではなくなった。；もっとも山下自身は、ゴッホにはさほど興味がなかったようではあるが。；しかし、彼の音楽の大半には他の作曲家の影響をさほど認めることは出来ない。；選曲をミスしたものの評価はさほど悪くなかったため誰もが驚く結果となった。；下記のようにこの種は日本ではさほど重要な害虫とは見なされてこなかった。；このことからも、現在の像名がさほど古くからのものではないことが窺える。；リビアの果たした役割は彼の存命中にはさほど話題にされることも無かった。；第一卵割が体軸の方向とさほど関係ないこともこの実験から示されたものである。；母からは浪曲師としてさほど期待されていなかったが、芸大に進学する。；黄緑藻とはいうが、色はアオミドロなどとさほど変わらない緑色である。；エリック・カーはまだ加入して日が浅いため、さほど大きな変更はない。；雄では交接のための触肢器官があるが、長さは歩脚とさほど変わらない。；当人同士は、そうした周囲の対比をさほど気にもかけていない様子である。；一方駒沢川以北ではさほど開発は進んでおらず、農地が多く残っている。；リチウムの単純な塩のどちらかを選ぶことにはさほど理由がない。；ノーズサイドは若干へこんだ形状となっている以外はさほど違いは見られない。；漁業も主要産業の一つであるが、人口増加の影響はさほど受けていない。；アメンボ程度以下の動物の場合、水面を漂うことはさほど困難ではない。；ほぼ並行して走っており、距離は左右ルートでさほど変わらない。；しかしながら、その欲望をそのままの形で出すことはさほど文化的ではない。；しかし歴史的には警察に関する限り内務大臣の権限はさほど強くなかった。；しかしゴルバチョフは西側では人気があるが、ロシアでの人気はさほどない。</t>
        </is>
      </c>
      <c r="J3353">
        <f>HYPERLINK("https://www.weblio.jp/content/さほど", "词义详情")</f>
        <v/>
      </c>
      <c r="K3353">
        <f>HYPERLINK("https://yourei.jp/さほど", "查看例句")</f>
        <v/>
      </c>
    </row>
    <row r="3354">
      <c r="A3354" t="inlineStr">
        <is>
          <t>サボる</t>
        </is>
      </c>
      <c r="B3354" t="inlineStr">
        <is>
          <t>成功</t>
        </is>
      </c>
      <c r="C3354" t="inlineStr">
        <is>
          <t>［動ラ五］《「サボタージュ」の略の「サボ」の動詞化》怠ける。怠けて休む。「仕事を—・る」
[可能]サボれる</t>
        </is>
      </c>
      <c r="D3354" t="inlineStr">
        <is>
          <t>すっぽかす</t>
        </is>
      </c>
      <c r="H3354" t="n">
        <v>29</v>
      </c>
      <c r="I3354" t="inlineStr">
        <is>
          <t>だれとだれがサボったために負けたのか、そこのところさえわからない。；一応通ってはいますけど、気分が乗らない時はサボらせてもらってます。；わたしが仕事サボって本買ってたなんて、お父さんに言うたらあかんで。；運が良ければ、学校をサボって来たことも知られずに済むかもしれない。；あるいはそんなに毎日学校をサボってばかりはいられなかったのかもしれない。；まあ彼女たちも授業中なのだから、そうそうサボってもいられないだろう。；心配だからおまえを捜しにゆくなんて、授業をサボるにはいい口実だろ?；まったく、どうせ勉強をサボるんなら、女の子と遊びに行けばいいのにさ。；主水が仕事をサボって釣りをしており、田中様に見つかって一喝される。；小学校二、三年の頃から、喧嘩はするわ授業はサボるわの問題児だった。；当時の僕は大学生であり、そうそう授業をサボるわけにはいかなかったのだ。；別に、今が授業中でここにいる生徒がサボっている、というわけではない。；サボり癖の多い店員ばかりで、全紙面を熟読しても文句を言われない店。；自分が訓練をサボってこんな所でのぞき見してたなんて死んでも知られたくない。；でも、そのとき隣にいるのはきみだけで、仕事は何日もサボってる。；時々学校サボるけど、あれで仲間うちじゃ結構頼られてるらしいから。；まさか仕事をサボってスパーリングをしていたわけでもあるまい。；そこで彼は授業をサボったり喧嘩をしたりと、しばしばトラブルを起こした。；よく授業をサボり、制服もほとんど着ないが、かなりの教養を身につける。；クラスみんなが真剣に勉強してるから、俺だけはサボって目立とうとかよ。；けれど悪筆の筆不精故、悪いとは思いながらついサボってしまいますのよ。；あの頃は絵が好きでね、授業をサボって絵ばかり描いていた。；遠藤はプロの欠席屋で、授業をサボりたい客の机と椅子を始末してくれる。；裕一がサボると、他の人が代わりにやらなきゃいけないってわかってる?；ぼくはこのままお姉さんがサボっていると先生に叱られるのではないかと考えた。；そしてその共産党がまた、無政府党のやることとなると一々にサボる。；ポケベルで管理されて、喫茶店などでのんびりサボる自由も制限される。；怒った2人は食事も取らず、またしても学校をサボって抗議する。；学校をサボりがちで、周囲からは他の生徒とは違う雰囲気を持つ変わった少年と思われている。</t>
        </is>
      </c>
      <c r="J3354">
        <f>HYPERLINK("https://www.weblio.jp/content/サボる", "词义详情")</f>
        <v/>
      </c>
      <c r="K3354">
        <f>HYPERLINK("https://yourei.jp/サボる", "查看例句")</f>
        <v/>
      </c>
    </row>
    <row r="3355">
      <c r="A3355" t="inlineStr">
        <is>
          <t>様</t>
        </is>
      </c>
      <c r="B3355" t="inlineStr">
        <is>
          <t>成功</t>
        </is>
      </c>
      <c r="C3355" t="inlineStr">
        <is>
          <t>読み方：ためし
１前にすでにあったこと。先例。前例。「けんかで勝った—がない」
２手本になるようなこと。模範。規範。
「かの御教へこそ、長き—にはありけれ」〈源・梅枝〉</t>
        </is>
      </c>
      <c r="D3355" t="inlineStr">
        <is>
          <t>様な気；様な事；様式；様御；様な形</t>
        </is>
      </c>
      <c r="E3355" t="inlineStr">
        <is>
          <t>状態；様子；恰好；様相；あり方</t>
        </is>
      </c>
      <c r="F3355" t="inlineStr">
        <is>
          <t>お銀様；同じ様；シズ様；姫様；いく様</t>
        </is>
      </c>
      <c r="G3355" t="inlineStr">
        <is>
          <t>様々；様式；様相；様態；様変わり</t>
        </is>
      </c>
      <c r="H3355" t="n">
        <v>29</v>
      </c>
      <c r="I3355" t="inlineStr">
        <is>
          <t>実際には、すべての生物で細胞がこの様な構造が見られるわけではない。；この様なハイパー核を研究する事で主に以下の情報を得る事が出来る。；しかし、原料のひとつである酵母をどの様に表示するのかの規定は無い。；一般的に日本におけるコスプレを行う場所や傾向は次の様に大別される。；スイッチバックの短所は、以下の様な多くの制限を受け得ることである。；この様にイスラームとの距離のおき方は成立以来の懸念材料であった。；この様に、観念的には物質の概念と存在概念と分離することは難しい。；この様な場合は溶融塩を電気分解することで単体金属を得ることができる。；しかしこの様な結果になった経緯については大きく異なる見解が出されている。；また、過去作品や家庭用作品には以下の様な譜面が設定されていた。；日本では一般的には下記の表の様に区分されることが多い。；突然に激しい様から以下のように固有名称としてよく用いられている。；研究者の岡田博有は以下の様に日本における堆積学の歴史を分けている。；この様な特徴を持つチェンバロは北ヨーロッパの広い地域で製作されていた。；またアメリカ軍は以下の様に桜花の今後の発展も予測していた。；バイクの暴走少年を主人公とした事については以下の様に述べている。；この様な知覚心理学的な意味での味のことを風味と呼ぶことがある。；この様な強い力は強い張力と高い融点といった一般的性質に現れている。；関係者は「ご先祖様が同じ墓に入ることになって良かった」と話している。；そのため次第に高速バス路線が増加の傾向を見せる様になった。；素子やその集合体には、規模や形態に応じて下記の様な呼称がある。；沖縄県や東南アジアの様な流行地では、症状は一般的に軽いといわれている。；事業収入の柱となるものは以下の様なものである。；古代ギリシャの競技会では高跳び競技は行われていなかった様である。；バスは待合室前に停車し、利用客は待合室内でバスを待つ様になっている。；ボタンには様々な大きさや厚みの製品があるが、以下の様に用いられることが多い。；複数のほぼ完全なインコ様の鳥の骨格がイングランドとドイツで発見されている。；その主な理由にはおよそ以下の様なものがある。；落成当初トイレは地上設備の関係で利用出来なかったが後に利用できる様になった。</t>
        </is>
      </c>
      <c r="J3355">
        <f>HYPERLINK("https://www.weblio.jp/content/様", "词义详情")</f>
        <v/>
      </c>
      <c r="K3355">
        <f>HYPERLINK("https://yourei.jp/様", "查看例句")</f>
        <v/>
      </c>
    </row>
    <row r="3356">
      <c r="A3356" t="inlineStr">
        <is>
          <t>様変わり</t>
        </is>
      </c>
      <c r="B3356" t="inlineStr">
        <is>
          <t>成功</t>
        </is>
      </c>
      <c r="C3356" t="inlineStr">
        <is>
          <t>読み方：さまがわり
［名］(スル)
１ようすや情勢がすっかり変わること。「区画整理が行われて—した町並み」
２取引で、相場のようすが一変すること。多く、急騰して活気づいてきた場合にいう。</t>
        </is>
      </c>
      <c r="D3356" t="inlineStr">
        <is>
          <t>様変わりする(10%)</t>
        </is>
      </c>
      <c r="E3356" t="inlineStr">
        <is>
          <t>一変；変貌；一転；大きな変化；急変</t>
        </is>
      </c>
      <c r="H3356" t="n">
        <v>29</v>
      </c>
      <c r="I3356" t="inlineStr">
        <is>
          <t>だがそれも、この十年ぐらいでだいぶ様変わりしてきているように思う。；既発楽曲のシングルがリミックスされているのも前作同様変わりはない。；この点、脇浜が定時制高校に在籍した頃とはまったく様変わりしている。；その周辺は様変わりしているだろうが、あの岩はきっと見分けられる。；義姫は兄の死後、最上家中がすっかり様変わりしたと嘆いていたという。；こんなシステムが普及したら、現代の戦争はまたしても様変わりすることだろう。；三十何年ぶりかで見る人形峠はすっかり様変わりしていた。；様変わりした東京の街と人々の様子に、青柳監督はさまざまな感情を抱く。；あなたが初めて連邦に現れてから五七年、連邦も大きく様変わりしました。；さて、会社の中に視線を移すと、二日前とは様変わりしていました。；しかしその中身は複雑化と柔軟化に向けて20世紀に大きく様変わりした。；人間の頭蓋骨がこうも素晴らしい品に様変わりするとは想像を絶した。；あと半年で、俺の生活は大きく様変わりすることになるだろう。；その間日本全体が高度成長期を経て京都自体も威容は様変わりした。；ソ連時代には、町は機械製造、建設工業などの主要工業センターに様変わりした。；今は違うぜ、俺の長門に対する印象はこの半年間で大きく様変わりしている。；昨日と様変わりしたその六畳間を見て、あたしは思わずため息をつく。；しかし戦争が様変わりしたからといって、人の感性はそうそう変わるものではない。；内装も教室の中だと思わせないほどに様変わりしていて、本当のレストランのようだ。；メインスタッフ・歌手陣も一新され、前シリーズとは大きく様変わりをしている。；特にジュラ紀に隆盛を誇った竜脚類は大きく様変わりすることになった。；公園はここ数時間のうちに大きく様変わりしていた。；しかし、若い商人はすぐに驚きの顔から思案顔へと様変わりする。；電車に乗ってたったの一時間で随分と景色は様変わりして見えた。；そして崩壊する戦場から脱出したひよりは、様変わりした新京都を目にするのだった。；ここ十年のあいだにすっかりさま変わりした東京湾を、赤い霧が覆っていた。；巧巳が喫茶店を訪れると、記憶の中の店とはだいぶ様変わりしていた。；高校を卒業して以来三十年ちかくもたてば、たがいに様変わりは甚だしい。；現在では左側はダム湖のピリカ湖に没して、すっかり様変わりしている。</t>
        </is>
      </c>
      <c r="J3356">
        <f>HYPERLINK("https://www.weblio.jp/content/様変わり", "词义详情")</f>
        <v/>
      </c>
      <c r="K3356">
        <f>HYPERLINK("https://yourei.jp/様変わり", "查看例句")</f>
        <v/>
      </c>
    </row>
    <row r="3357">
      <c r="A3357" t="inlineStr">
        <is>
          <t>さまざま</t>
        </is>
      </c>
      <c r="B3357" t="inlineStr">
        <is>
          <t>成功</t>
        </is>
      </c>
      <c r="C3357" t="inlineStr">
        <is>
          <t>読み方：さまざま
［名・形動］物事がそれぞれ違っていること。また、そのさま。いろいろ。種々。「各人が—の感想を述べる」「—な思い出」
→色々(いろいろ)［用法］</t>
        </is>
      </c>
      <c r="D3357" t="inlineStr">
        <is>
          <t>さまざまな種類；さまざまな形；さまざまな分野；さまざまな方法；さまざまな色</t>
        </is>
      </c>
      <c r="E3357" t="inlineStr">
        <is>
          <t>様々；いろいろ；多様；色々；種々</t>
        </is>
      </c>
      <c r="F3357" t="inlineStr">
        <is>
          <t>その他さまざま；さまざまな新機軸；さまざまな生理活性作用；さまざまな化合物；さまざまなメディアミックス展開</t>
        </is>
      </c>
      <c r="H3357" t="n">
        <v>29</v>
      </c>
      <c r="I3357" t="inlineStr">
        <is>
          <t>また、この俗解が基になって更にさまざまな伝承を生じることになった。；さまざまな分野で使われており、場合によって意味が異なることもある。；現在の旅は非常に多様であり、さまざまに分類することが可能である。；分類方法はさまざまであるが、たとえば以下のように分類する方法がある。；さまざまな考え方を反映するために一部が統合または分割される。；紀元前からギリシャは哲学や文化、芸術にさまざまな影響を与えてきた。；手触りや質感を大きく左右するので、さまざまなものが使用されている。；政治が成立する社会の基礎にはさまざまな関係が存在している。；さまざまありうるが、次のような場所はしばしば目的地に設定されている。；寄生性の獲得はさまざまな生物の系統上で独立して何度も起こったようである。；結合の正確な位置はさまざまで、結合する官能基の向きも重要である。；その動きは文芸・美術・音楽・演劇などさまざまな芸術分野に及んだ。；さまざまなゲームを遊ぶことを可能にした携帯型ゲーム機の原点である。；これは上に挙げたさまざまな集団の存在に気づかないために起こる誤認による。；さまざまなクライアントに合わせて複数提供されるのが普通である。；これは剣などの武器類やさまざまな品物の製作監督や製造技術確立を任務とした。；各大隊は勝利のため部隊をさまざまなパートに分けて態勢を整えている。；ヴィジュアル系が差別された要因としてはさまざまなものが考えられる。；各県の表示順は以下のようにさまざまな表示順が存在する。；製造方法が単純なことから、さまざま場所で製造販売されている。；旅の分類と言ってもさまざまな方法があるが、例えば次のような分類が可能である。；レプリカも複数作られておりさまざまな博物館に展示されている。；不飽和度による分類はさまざまであるが、基本的には以下の分類に従う。；この運用線区広域化の過程では、さまざまな改造・対策が実施された。；英語ではこのようなさまざまな闘争の局面を warfare と呼ぶ。；ヒッチコックはキャリアを通じて、さまざまな映像合成技術を使用した。；エンジン付きのものなどさまざまな三輪車が登場したわけである。；その分野の歴史や他の学問への影響、方法論などはさまざまである。；また、個々の文字体系の中でも、さまざまな造字手法を発展させてきた。</t>
        </is>
      </c>
      <c r="J3357">
        <f>HYPERLINK("https://www.weblio.jp/content/さまざま", "词义详情")</f>
        <v/>
      </c>
      <c r="K3357">
        <f>HYPERLINK("https://yourei.jp/さまざま", "查看例句")</f>
        <v/>
      </c>
    </row>
    <row r="3358">
      <c r="A3358" t="inlineStr">
        <is>
          <t>覚ます</t>
        </is>
      </c>
      <c r="B3358" t="inlineStr">
        <is>
          <t>成功</t>
        </is>
      </c>
      <c r="C3358" t="inlineStr">
        <is>
          <t>読み方：さます
［動サ五（四）］
１眠っている状態から意識のはっきりした状態に戻す。「目を—・す」「眠気を—・す」
２酒の酔いをなくす。「風にあたって酔いを—・す」
３迷っている心を正常な状態にする。迷いを解く。「青少年の迷いを—・す」
[可能]さませる</t>
        </is>
      </c>
      <c r="D3358" t="inlineStr">
        <is>
          <t>覚ますとそこ；覚ますだろ；覚ますと同時に</t>
        </is>
      </c>
      <c r="E3358" t="inlineStr">
        <is>
          <t>起こす；呼び起こす；目覚めさせる；覚醒させる；覚まさせる</t>
        </is>
      </c>
      <c r="H3358" t="n">
        <v>29</v>
      </c>
      <c r="I3358" t="inlineStr">
        <is>
          <t>夫の何か云ふ声が遠くの方でするやうに思ひながらやつと眼を覚ました。；これじゃあたしに目を覚ますなというようなものじゃございませんこと?；どうすればあなたの目を覚まさせられるか、妹さんと二人で考えました。；宮村はときどき身体を動かしたが、決して眼を覚まそうとはしなかった。；歩きながら何人かに眼を覚まされて見られては大変なことになると思った。；そしてふと目を覚まして、耳に入れた第一の言葉は死というのでしたよ。；いつもより早く目を覚ました私は、いつもの散歩がてら村を歩いて見た。；今度わしの目を覚ますようなことがあったら、お前の首を刎ねてくれる!；誰かの眼を覚まさせてはいけないみたいに、ひそひそ声で話しているわ。；気を失っていたのが幸いして水は飲んでいないようだが、目を覚まさない。；目を覚ましかけている人が目を覚ましかけている人にしゃべるようにだ。；病院で眼を覚まして以来、これほど希望を持たせてもらえたのは初めて。；目を覚ますと、そこは何度か訪れたことのあるプチ・トロワの中だった。；小谷と妻が眠っているのなら、電話の音で目を覚ますだろう、と考えた。；そんなことをわざわざ言うために、目を覚ますのを待っていたのだろうか。；女給達がやっと目を覚ましたばかりのところへ飛び込んで行ったのです。；安静にさせておけば何もしなくてもおそらくすぐに目を覚ますだろう。；子供は勢いよく寝返りを打ち、目を覚ますこともなくまた眠ったらしい。；だが、彼がやっと眼を覚ましたのはそれから一時間以上たったころだった。；おれたちが眼を覚まさせてやった市の関係者は、みんな協力している。；昼頃に喉の渇きで目を覚ますと、父はまだ歩きながら手を動かしていた。；彼らが出発する時間には、町はようやく眼を覚ましかけてるばかりだった。；主人の目を覚ますことではなく、眠りを守ることではなかったのかね?；だがその鋭い鳴き声も私を眠りから覚ましてくれたことは一度もない。；そこで3人は眠りに落ちて別の現実で目を覚ますことを繰り返してしまう。；近所の人たちが目を覚ましてしまい、みなは笛吹きを笑い、馬鹿にした。；目覚めている首の呼びかけに応じて、眠っていた首が唐突に目を覚ます。；目を覚ました主人公は、パピルスに記されていた方法を試すことにした。；三日間つづいた見事な晴天は、その日の朝目を覚ますともう終っていた。</t>
        </is>
      </c>
      <c r="J3358">
        <f>HYPERLINK("https://www.weblio.jp/content/覚ます", "词义详情")</f>
        <v/>
      </c>
      <c r="K3358">
        <f>HYPERLINK("https://yourei.jp/覚ます", "查看例句")</f>
        <v/>
      </c>
    </row>
    <row r="3359">
      <c r="A3359" t="inlineStr">
        <is>
          <t>冷ます</t>
        </is>
      </c>
      <c r="B3359" t="inlineStr">
        <is>
          <t>成功</t>
        </is>
      </c>
      <c r="C3359" t="inlineStr">
        <is>
          <t>読み方：さます
［動サ五（四）］
１熱い物の、熱を失わせる。「熱湯を—・す」
２高まった感情や興味を衰えさせる。「興を—・す」
３思いやりがなく冷淡である。つれなくあしらう。
「あんまり—・しなんすな。おめえに惚(ほ)れてゐんすとさ」〈洒・四十八手〉
[可能]さませる</t>
        </is>
      </c>
      <c r="D3359" t="inlineStr">
        <is>
          <t>冷却；和らげる；冷える；弱める；冷やす</t>
        </is>
      </c>
      <c r="H3359" t="n">
        <v>29</v>
      </c>
      <c r="I3359" t="inlineStr">
        <is>
          <t>戦闘の狂熱を冷まそうとするかのように、雨だけが降り続けていた。；調理した後は、温かいままでも、冷ましてからでも食べることができる。；こちらでは問題としなくても、先は熱心を冷まさないのである。；この頃では私の心は、アランの熱を冷ますようなことばかり言いたくなってくる。；彼の怒りを冷ました一滴の水は、稲妻のように一瞬ひらめいた思考だった。；故障が疑われる場合は、発熱を冷ますため、しばらく休ませた方がよい。；日差しはやや暖かく、海からの風がちょうどよく頬を冷ましてくれる。；どこかのほとぼりを冷ましながら、別のどこかで火をつけるのだ。；二人の熱を冷まさせるような大事件など、とても思いつきそうにない。；それから二人は冷まさないように中身をすこしずつわけあった。；一度激しく熱した鉄を急速に冷ます事によって、鋼の質が変化するように。；フランス料理などで、料理を冷まさぬようによく使われる食器だった。；温かい状態と冷ました状態の両方で提供され、世界的に人気がある。；こういう性格が妻の気持ちを冷ましていったのか。；笹村は逆上せた頭脳を冷まそうとして、男衆に戸を開けさせて外へ出た。；この米を布に広げて冷まし、餅麹のスア・ラオを粉末状にして散布する。；それを冷まさずに熱いまま舌の上に広げると、甘い味で私は嬉しくなった。；この常識が大きくものを言い、合併熱で浮かれあがっていた人々の熱を冷ました。；恥ずかしさで赤面した顔を冷ますようにボクは空を仰ぎ、右手を伸ばす。；材料を取り出した後に砂糖を入れ、冷ました後に干し柿を入れ、数時間おく。；遠馬が琴子の首に手をかけると、彼女の子が腹のなかで動いて彼の興奮を冷ます。；このほかにも具や油を一切加えずに、出汁だけの汁を冷ましたものを用意している店もある。；前川さんも外に出た方が、熱を冷ます効率が上がるかも知れない。；水は溜めておいて飲む前に冷ましておく必要があった。；さて飯がムレたら完全に冷えるまで冷ました後に手に塩をつけて固く握る。；しかし今はもう彼に向つて顏をあげても、その表情が彼の愛情を冷ましはしない確信があつた。；調味料は全部合わせて鍋に入れて煮たたせてやや煮つめ、冷ましておく。；僕はお茶を冷ますのも忘れて口に運んだ。；氷の温度を伴いながら、その熱を冷ましたのは、今度は不意に蘇った遠い記憶の働きだった。</t>
        </is>
      </c>
      <c r="J3359">
        <f>HYPERLINK("https://www.weblio.jp/content/冷ます", "词义详情")</f>
        <v/>
      </c>
      <c r="K3359">
        <f>HYPERLINK("https://yourei.jp/冷ます", "查看例句")</f>
        <v/>
      </c>
    </row>
    <row r="3360">
      <c r="A3360" t="inlineStr">
        <is>
          <t>妨げる</t>
        </is>
      </c>
      <c r="B3360" t="inlineStr">
        <is>
          <t>成功</t>
        </is>
      </c>
      <c r="C3360" t="inlineStr">
        <is>
          <t>読み方：さまたげる
［動ガ下一］［文］さまた・ぐ［ガ下二］
１物事の進行や遂行に支障が起こるようにする。じゃまをする。妨害する。阻害する。「眠りを—・げる」「発展を—・げる」
２差し支える。禁止する。多く、法令文などで否定表現を伴い、…してもかまわない、の意を表す。「再任を—・げない」</t>
        </is>
      </c>
      <c r="D3360" t="inlineStr">
        <is>
          <t>妨げる可能性；妨げるあらゆる</t>
        </is>
      </c>
      <c r="E3360" t="inlineStr">
        <is>
          <t>禁止；防ぐ；邪魔；ブロック；防止</t>
        </is>
      </c>
      <c r="H3360" t="n">
        <v>29</v>
      </c>
      <c r="I3360" t="inlineStr">
        <is>
          <t>石と土と鉱に霊があると云うならば、有るとするを妨げる自分ではない。；だが、麻布の前が少しばかり動くことを妨げることはもうできなかった。；その目的は、ラトビア人がロシアと同盟を結ぶのを妨げるためであった。；我々はそのような重大な自由を妨げるコンピュータを購入しないし勧めない。；その当時彼女の歩を妨げるものは何ひとつとして存在しないように思えた。；そして私の質問に答えてくださることを妨げるものは何もありません。；あなたが書かれる記事を助けこそすれ、妨げることは望んでいません。；制約条件は生物が通貨を最大化するのを妨げる種々の要因と定義される。；夜の静かなる闇には、彼等の話声を妨げる少しの物音もなかったのである。；夜の静かなる闇には、彼等の話声を妨げる少しの物音もなかつたのである。；想像の緊張・重圧は常に、感情・気持ちの通常の流動を妨げるのである。；神も預言者も天使もこの行為、つまり魂の運命を妨げることはできない。；しかし歴史の波が AAAS の継続的な成長を妨げることとなった。；私は養生をしようと思ってもさまざまの事情がそれを妨げるのでできません。；爆発律はこれを妨げるものであったため、矛盾許容論理では排除された。；中央からは煙が噴射されており、多少視界を妨げるようになっている。；しかし、そういう試みこそが新しくより高い法の実現を妨げるのではないか。；このような競争の激しい市場で製品の差別化を妨げるものは何でしょうか。；しかしその悲しみは普通のものであって、生きるのを妨げるものではなかった。；鑛業人の跋扈は總ての社會を亂して他の工業の發達をも妨げると云ふ事。；また会員制度は、非会員が場外市場を作ることを妨げるものではなかった。；次に、確立された組織の規則と手続きは最も適切な決定をすることを妨げる。；しかしそれらが生えてくるのを妨げる理由は、私にある筈がない。；この群れは協調して逃げ、捕食者の注意が1個体に向かうことを妨げる。；薬物投与はむしろ臨死体験を妨げるのではないか、とみる研究者が多い。；臨検の役人は引揚げて、もう誰も二人の少女を妨げる者はありません。；首長が権力を持とうとするのを妨げる集団世論が働いているのである。；外敵の侵入を妨げる為もあって階段で出来た路地が複雑に入り組んでいる。；エバーグレーズの野火が広がるのを唯一妨げる手段は水の存在である。</t>
        </is>
      </c>
      <c r="J3360">
        <f>HYPERLINK("https://www.weblio.jp/content/妨げる", "词义详情")</f>
        <v/>
      </c>
      <c r="K3360">
        <f>HYPERLINK("https://yourei.jp/妨げる", "查看例句")</f>
        <v/>
      </c>
    </row>
    <row r="3361">
      <c r="A3361" t="inlineStr">
        <is>
          <t>さまよう</t>
        </is>
      </c>
      <c r="B3361" t="inlineStr">
        <is>
          <t>成功</t>
        </is>
      </c>
      <c r="C3361" t="inlineStr">
        <is>
          <t>読み方：さまよう
［動ワ五（ハ四）］
１あてもなく歩きまわる。また、迷って歩きまわる。「盛り場を—・う」「奥深い山中を—・う」
２1か所にとどまらず、あちこち動く。「生死の境を—・う」「雲が空を—・う」
３心が安定しないでいる。判断に迷う。
「色めかしう—・ふ心さへ添ひて」〈源・真木柱〉
[補説] 「さ」は接頭語というが、方向を表す「さま」に、「いさよう」「ただよう」などの「よう」のついたものとも。</t>
        </is>
      </c>
      <c r="D3361" t="inlineStr">
        <is>
          <t>さまようよう(5%)；さまよう者</t>
        </is>
      </c>
      <c r="E3361" t="inlineStr">
        <is>
          <t>漂う；歩き回る；ふらつく；彷徨う；放浪する</t>
        </is>
      </c>
      <c r="G3361" t="inlineStr">
        <is>
          <t>さまよう魂たち；さまようよろい</t>
        </is>
      </c>
      <c r="H3361" t="n">
        <v>29</v>
      </c>
      <c r="I3361" t="inlineStr">
        <is>
          <t>ちょうどひとが昔そこで育った故郷の家の庭の中をさまよい歩くように。；人が家を出でて山の中や林の間でさまよっているのを、物が持つという。；光を絵の他の部分にさまよわせると、キリスト埋葬の場面が見えてきた。；まだ自分がこの世界をあてもなくさまよっていた存在であった頃のことだ。；かれらがあてもなくミルゲイト周辺をさまよっているところを見つけた。；おれもかれらのなかま入りをして雨しぶきと泥の海の中へさまよい出た。；蛍光を発しているらしいそれは、教室の中をゆっくりとさまよっていた。；三〇分ものあいだ、ぼくたちはこのじめじめする闇のなかをさまよった。；しばらくのあいだ、彼の思いはいまあとにしてきた町にさまよっていた。；右も左も分からない土地で戸惑い、不安になりながら街をさまよい歩く。；と彼女がだれきった視線を四方にさまよわせていたときのことである。；それからしばらくして、きみの目は肖像画からはなれてさまよいだした。；一人で茂みのなかをさまよっているところを見られたくなかったのだ。；あのかたの最近の心は楽しかった幼い日に帰ってさまよっていました。；生死の境をさまよった体験から抜け出せないでいるのかもしれなかった。；目線が宙をさまよわないように腹に力を入れて、僕は、ようやく言った。；俺があれこれ言葉をさまよわせていると、黒猫は無言で俺に背を向けた。；私たちはどこか異次元の世界にさまよいこんでしまったのではないか。；若い男性が恋人の名を叫びながら瓦礫のあいだをさまよい歩いていた。；歩いているというより、さまよってゆく、空に浮かんでゆく幻のようだ。；自己の発揮を求めてさまよう者の存在を、この天才が認めてくれたのだ。；枯れた草の上を獣たちが食べ物を求めてさまよっている姿にも出会った。；男は、空腹を抱えながら、町の中をさまよわなければなりませんでした。；罪人となって荒野をさまよう兄の行く末を追わないではいられないのだ。；何の呪いのせいか荒地をさまようオランダ女の絶望と勇気に、感謝した。；鮎子の王子が、美しい銀の笛を吹きながら恋人の窓の下をさまよう場面。；ぼんやりとさまよわせた視線の先に、装飾用の薄型モニタがあったのだ。；その光は三階から二階へと降り、長いあいだ部屋から部屋をさまよっていた。；聞けば何日も山の中をさまよっていて、日の感覚もなくなっているらしい。</t>
        </is>
      </c>
      <c r="J3361">
        <f>HYPERLINK("https://www.weblio.jp/content/さまよう", "词义详情")</f>
        <v/>
      </c>
      <c r="K3361">
        <f>HYPERLINK("https://yourei.jp/さまよう", "查看例句")</f>
        <v/>
      </c>
    </row>
    <row r="3362">
      <c r="A3362" t="inlineStr">
        <is>
          <t>寒い</t>
        </is>
      </c>
      <c r="B3362" t="inlineStr">
        <is>
          <t>成功</t>
        </is>
      </c>
      <c r="C3362" t="inlineStr">
        <is>
          <t>読み方：さぶい
［形］［文］さぶ・し［ク］「さむい」の音変化。
「それでもお前—・かろうではないか」〈一葉・わかれ道〉</t>
        </is>
      </c>
      <c r="D3362" t="inlineStr">
        <is>
          <t>寒い日(7%)；寒い風(4%)；寒い冬(3%)；寒い夜(3%)；寒い季節</t>
        </is>
      </c>
      <c r="E3362" t="inlineStr">
        <is>
          <t>冷たい；冷淡；冷ややか；冷やか；無愛想</t>
        </is>
      </c>
      <c r="F3362" t="inlineStr">
        <is>
          <t>こんな寒い；最も寒い；ひどく寒い；お寒い；寒い国</t>
        </is>
      </c>
      <c r="G3362" t="inlineStr">
        <is>
          <t>寒いね；寒い夜明け；寒い国から帰ってきたスパイ；寒い夜だから；寒い国から帰ったスパイ</t>
        </is>
      </c>
      <c r="H3362" t="n">
        <v>29</v>
      </c>
      <c r="I3362" t="inlineStr">
        <is>
          <t>とにかく私は、今あなたを寒くないようにと大変思っているからなのね。；ある寒い日に二人が話しているときに、男が自分の手に息を吹きかける。；進撃の障害となったのは中国軍の抵抗よりも湿地帯や冬の寒さであった。；この早期の出発のために冬の一番寒い時の条件に曝されることになった。；小さな火鉢だけの室内は寒かったが、若い二人には酒だけで十分だった。；もっとも傍に湯が立っていて、寒くなれば湯にはいってまたやるのです。；苞は膜質で長く、長く残って花を寒さから守る役割を持つと考えられる。；寒ければ夏にすればいいのだし、暑ければ冬にすればいいのですからね。；その日は例になく朝から雲が出て、突然と風が北に変ったように寒かった。；寒いためにそうなるのか、暑いためにそうなるのかよくわからなかった。；冬の寒さが厳しいため、日本のJリーグと同様に春秋制を採用している。；白いものは光もあつさもはねかえしてしまうから、そのうちがわは寒い。；もう冬と名のつく月に入ったのだったが、今夜はそう寒くもなかった。；部族は新たな寒さと雪の土地での生活を始めるが、苦労の連続だった。；冬の深夜であり寒さが身にしみ、この後派出所に行って事件が露見した。；とくに記録して置かなければならないが、天気はとくに寒くもなかった。；冬の寒さが厳しいため、昭和の初期までは主に夏だけの湯治場だった。；夜になって寒くならないうちにまたそれを閉めなければならなかった。；尚、寒さに弱いので冬季の散歩の際には洋服を着せることが勧められる。；晝のうちは左迄とは思はなかつた室が、日が落ちてから急に寒くなつた。；孝武帝は貴族勢力の抑制を狙って税制の改革や寒人層の登用などを行う。；少し寒かったけど上にきるものはなにもなかったから走ることにした。；貿易風は寒い季節に極の方向から多く発生し、夏よりも冬の方が風が強い。；特に大寒に汲まれた水は「寒の水」といわれ、貴重なものとされている。；その結果、有名な水泳シーンは10月の非常に寒い環境下で撮影された。；樹氷シーズンに上部エリアに行く場合は万全の寒さ対策が必要である。；暖かすぎたり寒すぎたりし、極端な傾向があるが、決して正常ではない。；寒い地域でも夏場だけ移動してきたり、暖かい場所で冬を越したりする。；夕方になって寒くなったので、彼女は先ほどより少しましな格好をしていた。</t>
        </is>
      </c>
      <c r="J3362">
        <f>HYPERLINK("https://www.weblio.jp/content/寒い", "词义详情")</f>
        <v/>
      </c>
      <c r="K3362">
        <f>HYPERLINK("https://yourei.jp/寒い", "查看例句")</f>
        <v/>
      </c>
    </row>
    <row r="3363">
      <c r="A3363" t="inlineStr">
        <is>
          <t>寒気</t>
        </is>
      </c>
      <c r="B3363" t="inlineStr">
        <is>
          <t>成功</t>
        </is>
      </c>
      <c r="C3363" t="inlineStr">
        <is>
          <t>読み方：かんき
寒さ。寒さの程度。また、冷たい空気。「—がゆるむ」「—にさらされる」《季冬》</t>
        </is>
      </c>
      <c r="D3363" t="inlineStr">
        <is>
          <t>寒気がきびしく；寒気がきびしい；寒気が厳しい；寒気強く候；寒気がひどく</t>
        </is>
      </c>
      <c r="E3363" t="inlineStr">
        <is>
          <t>冷たい；震え；寒さ；冷え；冷</t>
        </is>
      </c>
      <c r="F3363" t="inlineStr">
        <is>
          <t>きびしい寒気；厳しい寒気；刺すような寒気；ひどい寒気；猛烈な寒気</t>
        </is>
      </c>
      <c r="G3363" t="inlineStr">
        <is>
          <t>寒気立ち；寒気立つ；寒気凜冽</t>
        </is>
      </c>
      <c r="H3363" t="n">
        <v>29</v>
      </c>
      <c r="I3363" t="inlineStr">
        <is>
          <t>扉が開いたその瞬間に、刺すような寒気が、小屋の中へ突き入ってきた。；この病気は前触れなしに普通は夜または明け方に寒気と震えで始まった。；そして、寒気が守っていたので、それはまだ鮮やかな赤い色をしていた。；その瞬間、葛葉の全身を貫いたのは寒気ではなく不思議にも恐怖だった。；ついさっきまで熱っぽさに包まれていた躯が、寒気を覚えはじめていた。；僕は腰のあたりに爆弾をうちつけられたような無気味な寒気に襲われた。；向うへ渡り終るともう寒気が骨髄に徹して皮膚の感覚を失って居るです。；広場内の他の場所よりも、この場所で特に例の寒気を顕著に感じるからだ。；この部屋のありさまは見る人に寒気をおぼえさせ、その心を締めつけた。；低い、せきこんだ、寒気のなかにはっきりした声がすぐそばで聞こえた。；その濡れた裸のごった混ぜを見ただけで、彼は骨の髄まで寒気をおぼえた。；あいつがああいう風にケタケタ笑っている時は、さすがの俺も寒気がする。；衣にも耐えそうもない痩せた体を、急に寒気を加えた風が掠ッてゆく。；それには流石のパリ贔屓の久慈も寒気を感じてもう我慢が出来なかった。；美しい以上のものを感じて、脊椎骨の接目接目に寒気がするほどである。；作業マニュアルも恐ろしいほど簡素なもので、こっちが寒気したほどだ。；この冬の寒気はこの風俗をその筋の取締以上に厳重に禁止した事であろう。；それで彼は、からだがぞっとふるえて、ひどく寒気を感じたのであった。；かれは、その腕が肘のあたりで切断されたのを見て思わず寒気だった。；ダイアンは太陽に近づくにつれて寒気がつのるのを知ってびっくりした。；なぜ寒気が背中を伝ったのか、真にも理解できないが不快感はなかった。；ところが、やがて、こう言い出したもので、おれは背すじに寒気がした。；そのくせに首のうしろのあたりだけが、寒気を覚えはじめていた。；加けにこの時には同時に飛びつかれるやうな寒気が襲つて来たのであつた。；説明できない水のようなさむけが、腰のあたりからはいあがってくる。；これは重力の問題ではなくて、寒気の侵入方向にだけ伸びるのである。；おれはそいつに背を向けて、おれの首のあたりにはいよる寒気を気にしないことにした。；そこで君はぞーと、寒気がして、風をひいてしまったというわけなんだよ。；彼らは寒気の魔法を用いて、冬のろうそくを破壊のために呼び出しました。</t>
        </is>
      </c>
      <c r="J3363">
        <f>HYPERLINK("https://www.weblio.jp/content/寒気", "词义详情")</f>
        <v/>
      </c>
      <c r="K3363">
        <f>HYPERLINK("https://yourei.jp/寒気", "查看例句")</f>
        <v/>
      </c>
    </row>
    <row r="3364">
      <c r="A3364" t="inlineStr">
        <is>
          <t>侍</t>
        </is>
      </c>
      <c r="B3364" t="inlineStr">
        <is>
          <t>成功</t>
        </is>
      </c>
      <c r="C3364" t="inlineStr">
        <is>
          <t>読み方：さぶらい
《動詞「さぶらう」の連用形から》
１主君や主家のそば近くに仕える者。さぶらい人。
㋐親王・摂関家などに仕えて、家務に携わる者。
「若き—どもの五六人、汚なげなき姿にて雪まろばしするを見るとて」〈狭衣・二〉
㋑武器をもって皇族や貴族の警固に任じた者。禁中の滝口、院の北面、東宮の帯刀(たちはき)の類。のち、上級武士の身分を表す呼び名となる。さむらい。
「宮の—も、滝口も」〈紫式部日記〉
㋒武家に仕える者。家の子。武士。さむらい。
「—五騎、童一人、わが身共に七騎取って返し」〈平家・七〉
２「下侍(しもさぶらい)」に同じ。
「—にて男どもの酒たうべけるに」〈古今・夏・題詞〉
３「侍所(さぶらいどころ)」の略。
「東の対の北の端、東面などは—にせさせ給へり」〈栄花・本の雫〉</t>
        </is>
      </c>
      <c r="D3364" t="inlineStr">
        <is>
          <t>侍たち(6%)；侍ども；侍僕；侍女達；侍組</t>
        </is>
      </c>
      <c r="E3364" t="inlineStr">
        <is>
          <t>武士；士；武家；武者；士人</t>
        </is>
      </c>
      <c r="F3364" t="inlineStr">
        <is>
          <t>若侍；お侍；泉州侍；若い侍；供侍</t>
        </is>
      </c>
      <c r="G3364" t="inlineStr">
        <is>
          <t>侍従；侍中；侍医；侍郎；侍従長</t>
        </is>
      </c>
      <c r="H3364" t="n">
        <v>29</v>
      </c>
      <c r="I3364" t="inlineStr">
        <is>
          <t>地下10階に下り先へ進む彼らの前に村正を手にした侍が立ちはだかる。；元々朱色は侍の中でも多くの首を上げた者にのみ大名から賜るものだった。；成帝の時代になると、康居は子を漢に入侍させて貢献するようになった。；日本の侍たちの何人かが洋式の軍服を着用していたのとは対照的であった。；士武郎は高句麗の戦士で、その一部が日本に渡り後に侍になったとされる。；それでも侍は、一番奥の妻がいつも居室に使っていた部屋まで近づいて行った。；侍は、許しを乞い、これからは七生かけても一緒に暮らそうと提案した。；時代は徳川前期、主人公の侍は家禄百五十石の「使い番」と設定された。；今度は主の侍が槍を構えて突きかかってくるがたたが屋は槍をつかんで離さない。；この職権を持つ家臣は、番頭ではなく侍頭・組頭と呼称される藩もあった。；現在でも旧侍町には多くの侍屋敷が残り周辺の歩道の整備などに力を入れている。；城まわりには侍の屋敷と町人が住む町が配置され、若林町奉行が置かれた。；後に直閤将軍となり、平西将軍に転じ、通直散騎常侍の位を加えられた。；さらには、六女の嬉子を後の後朱雀天皇となる敦良親王に入侍させた。；彼女はダビデの左右に侍してつかえたが、性交することはなかったという。；そんな折、菊千代が村人らから集めた刀や鎧を侍らの元に持ち込んでくる。；百姓出身であっても足軽程度の下級の侍のような扱いとなった。；ある酔った男が夜道を歩いていたところ、出会った侍に喧嘩をふっかける。；やがて、侍は折にふれて京都での生活を悲しく思い出すようになった。；若様がトコトコ歩くたびに、その後ろをお供の侍かぞろぞろ付いてゆく。；侍は道に迷ったと言い、麻布へはどう行けばいいかと尋ねてくる。；大正天皇が一妻一夫制を実施したため、侍妾の役割を持つ典侍はなくなった。；後に658年には文忠をに引き立てて、中侍には王子の金文王を任命した。；実は武士の客だと思ったのは侍に扮した兄の粉屋孫右衛門だった。；発売当初、メディアでは侍が鬼を斬るゲームとして紹介されることが多かった。；そのお侍は、離れられる前に、他の女を迎えるために奥様を離縁されたのです。；侍町である三の丸が北西から南東に大きく広がり本丸等を囲んでいる。；それまでの侍や武士といった時代から生活に変化が起き、近代の礎を築いていく。；美濃の侍連は近隣の大名の軍拡ぶりを目の当たりにして強力な指導者を求めていた。</t>
        </is>
      </c>
      <c r="J3364">
        <f>HYPERLINK("https://www.weblio.jp/content/侍", "词义详情")</f>
        <v/>
      </c>
      <c r="K3364">
        <f>HYPERLINK("https://yourei.jp/侍", "查看例句")</f>
        <v/>
      </c>
    </row>
    <row r="3365">
      <c r="A3365" t="inlineStr">
        <is>
          <t>覚める</t>
        </is>
      </c>
      <c r="B3365" t="inlineStr">
        <is>
          <t>成功</t>
        </is>
      </c>
      <c r="C3365" t="inlineStr">
        <is>
          <t>読み方：さめる
［動マ下一］［文］さ・む［マ下二］
１眠っている状態から、意識のはっきりした状態に戻る。「朝早く目が—・める」「麻酔が—・める」
２眠けや酒の酔いが消える。「酔いがいっぺんに—・める」
３心をとらえていた迷いがなくなる。正気をとりもどす。冷静になる。「悪い夢から—・める」「—・めた目で見る」</t>
        </is>
      </c>
      <c r="D3365" t="inlineStr">
        <is>
          <t>覚めるだろ；覚めるとすぐ；覚めるような美人；覚めると同時に；覚めるような美しい</t>
        </is>
      </c>
      <c r="F3365" t="inlineStr">
        <is>
          <t>興覚める；人工睡眠から覚める；いつか覚める</t>
        </is>
      </c>
      <c r="H3365" t="n">
        <v>29</v>
      </c>
      <c r="I3365" t="inlineStr">
        <is>
          <t>だとしたら、なぜそれから三時間たってもまだ目が覚めているのだろう?；ところがその時間に、家ん中で目の覚めてた人間はひとりもいねえんで。；我々が夢を記憶しているのは、ほんの覚め際の数分間に過ぎないのです。；俺は段々と不安になってきて、必死になって夢から覚める方法を探した。；男が二度目に目の覚めた時には、もう室内がすっかり明るくなっていた。；目が覚めるように鮮やかで刺激的な仮説を期待していたのかもしれない。；そういうことを覚めているわたくしはかつて想像して見たこともない。；疲れていたのでうとうととは来るが、しかしこれではすぐに目が覚める。；この部屋かいと大きな声がするので目が覚めたら、山嵐がはいって来た。；僕たちの気配で、まだ人間の姿を見たことのない小鴉が眠りから覚める。；ならこれも夢なのだろうと納得して、目が覚めるのを待つことにした。；目が覚めたとき、いて欲しい人はやっぱり育ててくれた母親じゃないのか?；しかし彼は多少の不安を感じながら、まだ幸福の夢から覚めずにいた。；顔をあげると、目の覚めるように美しい女性が僕のほうへ歩いてくる。；それは地上の人類が眼覚めることによつて即座に出現されるのである。；それとも眼が覚めてゐて眠つてゐると同じやうな気持ちなのかも知れない。；しかし、せっかくの楽しい夢がそれでもう覚めてしまうかもしれないぞ。；お箸を持つてはいつて来た光代の気はひに彼女は目が覚めたのであつた。；そして目が覚めた時には、乗客が既に三四人そこに集つて来てゐるのを見た。；夜中に無理に目が覚めてしまうと、そのことが急に思いにうかんで来る。；ふと目が覚めて時計を見ると八時過であつたから私は戸を開けて廊下へ出た。；昨夜二人でおそくまで起きていたらしいお照も、まだ目が覚めなかった。；夢から徐々に覚めていくような感覚を表現した映像を作りたかったのだという。；その冷酷な或物だ、私がよく彼女のうちに眼覚めるのを感じて震えたのは。；特に母が心配し、実家に逃げて帰ってくる夢を見て目が覚めることもあった。；ひとりでに目が覚めるときまで寝て、それから東京に行くつもりだった。；この頃までには、目も覚めて、何か本当の仕事ができるようになっている。；目が覚めると、おみよはその乞食の子がかわいそうでなりませんでした。；中間的なところで立体を支えるのは、目の覚めるようなヒットだろうか。</t>
        </is>
      </c>
      <c r="J3365">
        <f>HYPERLINK("https://www.weblio.jp/content/覚める", "词义详情")</f>
        <v/>
      </c>
      <c r="K3365">
        <f>HYPERLINK("https://yourei.jp/覚める", "查看例句")</f>
        <v/>
      </c>
    </row>
    <row r="3366">
      <c r="A3366" t="inlineStr">
        <is>
          <t>冷める</t>
        </is>
      </c>
      <c r="B3366" t="inlineStr">
        <is>
          <t>成功</t>
        </is>
      </c>
      <c r="C3366" t="inlineStr">
        <is>
          <t>読み方：さめる
［動マ下一］［文］さ・む［マ下二］
１熱い物が熱を失う。熱せられたものの温度が下がる。「スープが—・める」「御飯が—・める」
２高まっていた感情や興味が衰えたり薄らいだりする。「愛情が—・める」「ゴルフ熱が—・める」</t>
        </is>
      </c>
      <c r="D3366" t="inlineStr">
        <is>
          <t>冷めるだろ</t>
        </is>
      </c>
      <c r="E3366" t="inlineStr">
        <is>
          <t>冷却；収まる；沈静；冷える；冷やす</t>
        </is>
      </c>
      <c r="H3366" t="n">
        <v>29</v>
      </c>
      <c r="I3366" t="inlineStr">
        <is>
          <t>ああ、いったいいつからおれとお前は冷めた関係になってしまったんだ。；島田は冷めたいビールがそのまま胃の中で氷の塊になっていく気がした。；彼女の眼の底に、また冷めたく据わったような強い光がこめられていた。；私の冷めたさの中には、父の冷めたさの外に母からの冷めたさがあった。；私の冷めたさの中には、父の冷めたさの外に母からの冷めたさがあつた。；その冷めたさがすでに語つてゐるやうに、人の心を反映しやすい人だつた。；新弁護士の登場が、一度は冷めかけた世の関心に再び火をつけていた。；超人気の歌手だが、何事にも興味のないような冷めた性格をしている。；少し前に置かれたらしい夕食が、台の上で冷めかかっているところだった。；ただし本当に愛し合っている者同士でないと、すぐに熱が冷めてしまう。；それで俺たちの冷めた関係が変わったかというと、そんなわけもない。；紅茶はすっかり冷めきっていたが、高貴な幸福の香りはまだ残っていた。；大きな栃の木が陰をつくって、冷めたそうな水にラムネがつけてあった。；冷めていたわけではないが、知らないうちにそんなポーズをとっていた。；冷めてしまったかもしれないが、中にはまだ半分以上の紅茶が入っている。；この冷めたクラスメイトの笑い顔を見たのは、実にこの時が初めてだった。；ふたりの関係は冷めたが、佐藤が死亡するまでふたりの友人関係は続いた。；ぼくはベッドに戻って、冷めるままにうっちゃっておいた朝食を食べた。；女王様の怒り冷めやらぬ翌日、もっと信じられない事件が起きたのである。；冷めてから丸めて前の通りに揚げますが魚は何でも白い身の者がよいのです。；わざと冷めたのを食べたのだが、番茶を飲むと汗が全身に吹き出してきた。；床に落ちたナイフの一つはすでに冷めており、どこも傷んでないようだった。；それは嫌な気分であったり、本人が悪い所為だしと呆れたり冷めたりして。；お互の挨拶の息が冷めたい空氣にかぢかんでる樣な朝が多くなつてゐた。；犬塚昇に向けられた彼女の眼も、刃物のように冷めたい光を放っていた。；沸り切っていた湯が冷めるから、炭を継いで、それから静に上って見た。；その手の趣味を持った客でもない限り、興冷めするのも当然だった。；いずれほとぼりが冷めた時、何らかの形で公表されるかも知れません。；今までは目立たない冷めたやつだ、と 思ってた評価が、ここで変わった。</t>
        </is>
      </c>
      <c r="J3366">
        <f>HYPERLINK("https://www.weblio.jp/content/冷める", "词义详情")</f>
        <v/>
      </c>
      <c r="K3366">
        <f>HYPERLINK("https://yourei.jp/冷める", "查看例句")</f>
        <v/>
      </c>
    </row>
    <row r="3367">
      <c r="A3367" t="inlineStr">
        <is>
          <t>さも</t>
        </is>
      </c>
      <c r="B3367" t="inlineStr">
        <is>
          <t>成功</t>
        </is>
      </c>
      <c r="C3367" t="inlineStr">
        <is>
          <t>読み方：さも
［副］《副詞「さ」＋係助詞「も」から》
１そうも。そのようにも。「—あろう」
２確かにそれに違いないと思われるさま。いかにも。「—うれしそうな顔をする」
３まったく。実に。
「あはれ、—寒き年かな」〈源・末摘花〉</t>
        </is>
      </c>
      <c r="D3367" t="inlineStr">
        <is>
          <t>さもない(17%)；さもなく(15%)；さもなきゃ(2%)；さもなけりゃ；さも当然</t>
        </is>
      </c>
      <c r="E3367" t="inlineStr">
        <is>
          <t>そういう；然も；そのように</t>
        </is>
      </c>
      <c r="F3367" t="inlineStr">
        <is>
          <t>さもあら；さも楽し；さもありな；さも悲し；さも自信ありげ</t>
        </is>
      </c>
      <c r="G3367" t="inlineStr">
        <is>
          <t>さもしい；さもしく；さもし；さもしき</t>
        </is>
      </c>
      <c r="H3367" t="n">
        <v>29</v>
      </c>
      <c r="I3367" t="inlineStr">
        <is>
          <t>さうして今君は同じことをさも新しい發見のやうに強調しはじめてゐる。；さもないと、次の日から婆さんは通はなくなる恐れがあつたからである。；さもないともう私元も子もなくして逃げ出してしまうかも知れないのよ。；さもないとこれ以上あなたをお祀り申し上げる訳にはいかなくなります。；さもないとわしがおそらくあなたにおわびしなければなりませんからな。；向うの道路に続く門へ、さも酔っぱらったかのようにして歩いてください。；さもなくば彼は局外者となるかもしくは偽善者となるかの外はなかった。；さもないと、折角の勉強も十分の成果を収め得ないことになりやすい。；それが実にさもさもだいじなものを捧持しているようなかかえ方である。；そうしてお前はさも得意らしく一人の元老院議員を識っていると言った。；全く、恐ろしく陰気だった者が、さも幸福そうな顔に変わるのであった。；さもないと、わたしは職務上、君を引致しなければならないことになる。；直線と円は二点または一点で交わるか、さもなくば交わらないかである。；その時屏風の中で寝返りの音がして、さも苦しそうに呻く声がしました。；おまえはよくよく注意なければならない、さもないとあいつはおまえを殺すぞ。；乳母がさも俺の立場を承知しているように、おれの顔を眺めているではないか。；先からの犬はそれを見て、さも満足したように尾をふりました。；さもないと、其怨念が友引きをするからとの説明を聞いたのであつた。；さもないと、おれをおこらせるのが利口でないと思い知るようになるぞ。；主人は、さも感心したように、じっとかごの中のからすを見ていました。；さもなくば、飛行機でロンドンに運ばれ、首相と閣僚の出迎えを受ける。；さも、君の描いてゐる絵が、よくわかるやうな顔をして見てゐた。；お律はしばらく黙っていてから、 「あのね」とさも大儀そうに云った。；さもないとわたくしは、不安と孤独感とで気が変になってしまうでしょう。；さもないとお千は川の中へボチャンと落ちてしまうにきまっている。；俺は金原を真似て、さも軍の用務を帯びているかのような顔をした。；さも濡れたらしい様子をして、草庵に入れて貰はうとしたのである。；さあ、もう邸宅へ戻った方がいいですよ、さもないと居ないのがばれます。；さもないと箸の先で汚ならしくも潰れてしまわないとも限らないのである。</t>
        </is>
      </c>
      <c r="J3367">
        <f>HYPERLINK("https://www.weblio.jp/content/さも", "词义详情")</f>
        <v/>
      </c>
      <c r="K3367">
        <f>HYPERLINK("https://yourei.jp/さも", "查看例句")</f>
        <v/>
      </c>
    </row>
    <row r="3368">
      <c r="A3368" t="inlineStr">
        <is>
          <t>さもないと</t>
        </is>
      </c>
      <c r="B3368" t="inlineStr">
        <is>
          <t>成功</t>
        </is>
      </c>
      <c r="C3368" t="inlineStr">
        <is>
          <t>読み方：さもないと
もし、そうでないと。そうしないと。「急ぎなさい。—遅れますよ」</t>
        </is>
      </c>
      <c r="D3368" t="inlineStr">
        <is>
          <t>さもないと撃つ；さもないときさま</t>
        </is>
      </c>
      <c r="E3368" t="inlineStr">
        <is>
          <t>さもなければ；でなければ；さもなくば</t>
        </is>
      </c>
      <c r="H3368" t="n">
        <v>29</v>
      </c>
      <c r="I3368" t="inlineStr">
        <is>
          <t>さもないと、河を越えて来る蛮族の群の耳にはいってしまいますからな。；さもないと、次の日から婆さんは通はなくなる恐れがあつたからである。；さもないと、やつの薬になってしまうことに、今だってなりかねないぞ。；さもないともう私元も子もなくして逃げ出してしまうかも知れないのよ。；さもないと、諸君の町は一石たりともあまさず破壊されてしまうだろう。；さもないとこれ以上あなたをお祀り申し上げる訳にはいかなくなります。；さもないと、自分の心の中の動揺をさとられてしまいそうだったからだ。；さもないとあの人が来て、私たちの縦を横にめりこませてしまいますよ。；さもないとわしがおそらくあなたにおわびしなければなりませんからな。；さもないと、どんなところで、話に矛盾が生じるか、わからないからだ。；これでお助んなすればよし、さもないと僕が手伝をして殺したも同然だ。；さもないとあなたは、われわれの町を追われる危険が多分にありますわい。；さもないと、何箇所かの罠に手を加えられていた事実に説明がつけられない。；さもないと、折角の勉強も十分の成果を収め得ないことになりやすい。；さもないと、あなたがたの骨から肉をすっかりついばんでしまいますよ!；さもないと、あとでわたしたち、どちらも相手になってあげないわよ。；さもないと、まだ小さい明や司朗は二階で煙に巻かれたかもしれないのだ。；さもないと生徒達に、そんなことをするなとは、言えなくなるんですものね。；さもないと、わたしは職務上、君を引致しなければならないことになる。；さもないと、死がこの上もなく屈辱的な工合にあなたを待っているのです。；さもないと、わたくし、あなたの所有物みたいになってしまいますもの。；おまえはよくよく注意なければならない、さもないとあいつはおまえを殺すぞ。；さもないと、私にこんなことを言わせてしまうことになるからね。；さもないと、其怨念が友引きをするからとの説明を聞いたのであつた。；さもないと、あなたの企らみを旦那さまに知らせなければなりませんよ。；さもないとサリア衛星が低く顔を出し、その光で照らし出されてしまう。；さもないと、おれをおこらせるのが利口でないと思い知るようになるぞ。；さもないと混乱に加えて破産した惑星が手に入ることになるってね。；さもないと気の弱い私など自分も叱られているようで、つらいのです。</t>
        </is>
      </c>
      <c r="J3368">
        <f>HYPERLINK("https://www.weblio.jp/content/さもないと", "词义详情")</f>
        <v/>
      </c>
      <c r="K3368">
        <f>HYPERLINK("https://yourei.jp/さもないと", "查看例句")</f>
        <v/>
      </c>
    </row>
    <row r="3369">
      <c r="A3369" t="inlineStr">
        <is>
          <t>左右</t>
        </is>
      </c>
      <c r="B3369" t="inlineStr">
        <is>
          <t>成功</t>
        </is>
      </c>
      <c r="C3369" t="inlineStr">
        <is>
          <t>［副］(スル)
１さまざまな物事を漠然とさす。何や彼(か)や。いろいろ。「—するうちに一年が過ぎた」
２ある状態になりやすいさま。または、ある傾向が強いさま。ともすれば。ややもすると。「年をとると—忘れっぽくなって困る」
「涙は—に止まなかった」〈小杉天外・はやり唄〉
３何はさておき。何にせよ。「—この世は住みにくい」
４（「とかくの」の形で）あれこれよくないさま。「彼には—の噂(うわさ)がつきまとう」
［名］種々さまざまな事柄。
「先師暫く吟じて、—をのたまはず」〈去来抄・先師評〉
[補説] 「兎角」「左右」とも当てて書く。</t>
        </is>
      </c>
      <c r="D3369" t="inlineStr">
        <is>
          <t>左右される(5%)；左右非対称；左右どちら；左右両側；左右に大きく</t>
        </is>
      </c>
      <c r="E3369" t="inlineStr">
        <is>
          <t>影響；決定；形成；周囲；周辺</t>
        </is>
      </c>
      <c r="F3369" t="inlineStr">
        <is>
          <t>左右各；左右反転；左右交互；左右両派；左右独立式</t>
        </is>
      </c>
      <c r="G3369" t="inlineStr">
        <is>
          <t>左右方向；左右田；左右相称動物；左右田右衛門左衛門；左右合作</t>
        </is>
      </c>
      <c r="H3369" t="n">
        <v>29</v>
      </c>
      <c r="I3369" t="inlineStr">
        <is>
          <t>現代の地図上の左右、つまり地図の北を上にしたときの左右ではない。；当然のことながらスピーカーの左右バランスを調整しても解決はしない。；下は顎の先端から上は頭髪の生え際まで、左右は耳までがほぼ顔である。；同様に、左右逆のシグマも正しくない場所にある行を示すことがあった。；同じ反応を左右逆に と表した場合の平衡定数は と、元の逆数となる。；ローマ兵士にはと呼ばれる左右の形が同じではない靴が支給された。；日本では人体の左右の肩から出ている長い部分、腕も「手」と呼ばれる。；そして左右どちらの手の上にエミリーが手をかざしているかを当てさせた。；手触りや質感を大きく左右するので、さまざまなものが使用されている。；ビールのデンプン源に何を使用するかで、その濃さや風味が左右される。；その選出も例外事態を除いてはアメリカ合衆国議会に左右されない。；ただ個体レベルでは動作の種類に応じて左右のどちらかの手足を使う傾向がある。；軟骨魚類には眼の後方に噴水孔・呼吸孔と呼ばれる左右一対の孔がある。；左右の概念は、鏡像関係にある二つの存在を区別するためにも援用される。；流行によっても大きく左右されるため一概に言えないものも存在する。；どの生物になるかは、生物のその時の体重やに左右されるよう設定されている。；そこで、ある方向を定め、そちらを向いた時の左右で指定する方法がある。；進行すると両側性に症状が現れ、左右差はなくなることが多い。；また、前面窓は中央の窓が左右の窓に比べてやや横幅の広い窓となっている。；左右の静脈は走行が異なり、右副腎静脈は下大静脈へとつながっている。；雄の背中は尾も含め光沢のある青で、尾の基部には左右に白斑がある。；さらに下顎は左右2つの独立した骨で形成され、靭帯で繋がっている。；五線の左右は時間を表しており、左から右へと時間が進んでゆく。；これは各ページが左右二段組みになっているギリシャ語原文の書籍である。；左右同じ大きさにならず、左の耳たぶが右に比べて大きくなった。；こうした工業力の根底の違いがしだいに戦況を左右することとなった。；その際に髄節間の重複や左右間の重複の存在に注意する必要がある。；これは各車両の左右の壁に2か所ずつと車椅子スペース部に設置されている。；このため、天皇との関係次第によってその権限は左右される性質のものであった。</t>
        </is>
      </c>
      <c r="J3369">
        <f>HYPERLINK("https://www.weblio.jp/content/左右", "词义详情")</f>
        <v/>
      </c>
      <c r="K3369">
        <f>HYPERLINK("https://yourei.jp/左右", "查看例句")</f>
        <v/>
      </c>
    </row>
    <row r="3370">
      <c r="A3370" t="inlineStr">
        <is>
          <t>作用</t>
        </is>
      </c>
      <c r="B3370" t="inlineStr">
        <is>
          <t>成功</t>
        </is>
      </c>
      <c r="C3370" t="inlineStr">
        <is>
          <t>読み方：さよう
［名］(スル)
１他のものに力を及ぼして影響を与えること。また、その働き。「太陽熱は植物の生育に—する」「薬の副—」「相乗—」
２生物が生存していくための心身の働き。「消化—」「心理—」
３二つの物体の間で、一方が他方に加えた力。
４フッサールの現象学で、なんらかの対象を志向する意識の働き。</t>
        </is>
      </c>
      <c r="D3370" t="inlineStr">
        <is>
          <t>作用する(15%)；作用型；作用時間；作用発現；作用部位</t>
        </is>
      </c>
      <c r="E3370" t="inlineStr">
        <is>
          <t>活動；結果；影響；機能；決定</t>
        </is>
      </c>
      <c r="F3370" t="inlineStr">
        <is>
          <t>抑制作用；阻害作用；相互作用；殺菌作用；生理作用</t>
        </is>
      </c>
      <c r="G3370" t="inlineStr">
        <is>
          <t>作用機序；作用点；作用素環；作用機構；作用素ノルム</t>
        </is>
      </c>
      <c r="H3370" t="n">
        <v>29</v>
      </c>
      <c r="I3370" t="inlineStr">
        <is>
          <t>また、カードに使用するキャラクターが底を突くことを防ぐ作用もある。；海水はその表面に波が立っていることが多く、これは主に風の作用である。；作用は、一般にはある物が他の物に及ぼす何らかの影響・効果のこと。；人類と向精神性作用のある植物との関係は遥か昔まで遡ることができる。；自然にかなったものは無理にされるものとは異なった作用を生じる。；流紋岩やデイサイトなどが熱水作用を受けて生成したと考えられている。；電離作用が強いので透過力は小さく、紙や数cmの空気層で止められる。；この場合は、ベンゾジアゼピン系などの中間作用型の薬が使用される。；ただし、あまりにも高温の作用を受けた場合は、片岩になる場合もある。；作用線 とは作用点を通り、力の向きに対して平行な直線のことである。；地殻内で起こっている熱水変質作用を人為的に行っているといってよい。；地形輪廻の壮年期地形や河川の上流などの下刻作用の強い所に見られる。；心の働きが一定の方向に作用していくこと、意志形成力のこと。；治療に伴う初期の血糖降下作用は尿中に糖が流出することにあるという。；身体を冷やす作用があるため、多く食べ過ぎるのは良くないとも言われている。；心意識として別々の働きがあるが、心の作用の区別に過ぎないと考える。；これはベクトルに単位行列を作用させても不変であることに対応する。；気圧傾度力以外で、風に作用する力には以下のようなものがある。；後の有気音が、最後のsかtの前で無気音になっていると、作用しない。；なお、この定義から作用を無視すれば自然にアーベル群の直和が得られる。；さらに、前五識に作用すると、外界の現象から縁を受けることもある。；また、一般に特有のアルカロイドを含むために、多様な生理作用をもつ。；のように記される と が、あるいは の右作用と左作用との入れ替えが対応する。；これが、このプロジェクトに大きな作用をもたらしたという。；この作用は平方根の中に微分を含む形のため扱いが困難である。；卵やカゼインと同じように、乳化作用を持つものとして膠が挙げられる。；衝動水車は、圧力水頭を速度水頭に変えて水車に作用させるものである。；これらの薬は脳に直接作用する特徴をもつ。；血圧を低下させる作用からか抑制系の反応が現れることもある。</t>
        </is>
      </c>
      <c r="J3370">
        <f>HYPERLINK("https://www.weblio.jp/content/作用", "词义详情")</f>
        <v/>
      </c>
      <c r="K3370">
        <f>HYPERLINK("https://yourei.jp/作用", "查看例句")</f>
        <v/>
      </c>
    </row>
    <row r="3371">
      <c r="A3371" t="inlineStr">
        <is>
          <t>皿</t>
        </is>
      </c>
      <c r="B3371" t="inlineStr">
        <is>
          <t>成功</t>
        </is>
      </c>
      <c r="C3371" t="inlineStr">
        <is>
          <t>読み方：さら
［名］
１食物を盛る、浅くて平たい容器。陶製・ガラス製・金属製などがある。
２供応の膳(ぜん)などで、1に盛って出す料理。
３1に似た形のもの。「ひざの—」「はかりの—」「灰—」
４漢字の脚(あし)の一。「盆」「益」「盛」「監」などの「皿」の部分の称。
［接尾］助数詞。皿に盛った食物や料理などの数を数えるのに用いる。「カレーライス二—」「炒(いた)め物三—」
[下接語]頭の皿・膝(ひざ)の皿（ざら）油皿・石皿・受け皿・絵皿・大皿・角(かく)皿・菊皿・木皿・口取り皿・小皿・蒸発皿・中(ちゅう)皿・壺(つぼ)皿・手塩皿・時計皿・取り皿・灰皿・秤(はかり)皿・膝(ひざ)皿・火皿・平(ひら)皿・銘銘皿・薬味皿</t>
        </is>
      </c>
      <c r="D3371" t="inlineStr">
        <is>
          <t>皿状；皿小鉢；皿子；皿形；皿型</t>
        </is>
      </c>
      <c r="E3371" t="inlineStr">
        <is>
          <t>盤；プレート；ディスク；お皿；大皿</t>
        </is>
      </c>
      <c r="F3371" t="inlineStr">
        <is>
          <t>一皿；心皿；スープ皿；深皿；大きな皿</t>
        </is>
      </c>
      <c r="G3371" t="inlineStr">
        <is>
          <t>皿山；皿屋敷；皿倉山；皿鉢料理；皿うどん</t>
        </is>
      </c>
      <c r="H3371" t="n">
        <v>29</v>
      </c>
      <c r="I3371" t="inlineStr">
        <is>
          <t>日本と同様に、商品の価格を皿の色で区別するシステムを採用している。；このように、網の本体が皿状であることからこの型の網を皿網と言う。；それらの器が皿鉢と総称され始めたのは江戸時代だと考えられている。；皿網の場合、皿の中央にぶら下がるようにとまっているのが普通である。；食事の際の口直しや皿のソースを拭って食べるためにパンが提供される。；大きい方の種ではその網が皿状に見えることからこの名がある。；プリンを皿の上にあけたような円柱型の頭部のみの姿のキャラクター。；なおこのような香草類は別皿で供され、好みでトッピングする事が多い。；解答を間違えたり、自分の顔の皿がレーンの端まで到達すると爆発する。；食べやすい長さに包丁や料理鋏で切って、皿に載せてタレを入れて出す。；基本的に一度自身の皿に取った物は食べなければならない。；しかしSは遠慮して皿に肉をとってやらないと食べなかったという。；リンクを使って秤量用の上皿が平行に運動するようにしたものである。；このパンタグラフは台車の心皿中心部よりも若干後位寄りに設置されている。；このガラス皿、シャーレの別名であるペトリ皿に彼の名が残されている。；パンタグラフの移動機構や、移動心皿方式台車の採用も見送られている。；一皿数百円の価格設定で寿司ネタの質が相対的に高い店は対面型が多い。；皿のような形状で、大きさは15cm前後のものが多く用いられる。；まだ動いている心臓が銀の皿にのせられていたという。；ヘロデヤは娘を説得し、ヨハネの首を皿にのせて求めるように言った。；形状は、物を乗せる皿状の部分と手で持つための柄で構成される。；一部には灰を受ける皿と香立てが一体化したものも存在する。；夕食は来客のあるとき以外は採らなかったが、その時は30皿もあった。；マヨネーズは苦手で、皿に付着しているものを洗うのもできないという。；客は自分の好きなネタや美味しそうに見える皿を自由に取って食べる。；フライパンでソースを絡めたあとや、皿に盛られ口にする瞬間ではない。；ラグビーボール状の箇所とそれに合った皿状の部分から成っている。；使用方法は、持ち手部分を握って、先端の皿型部位で撫でるように扱う。；または頭の皿が光るか、頭上の皿の油が燃えるのだとも、説明される。</t>
        </is>
      </c>
      <c r="J3371">
        <f>HYPERLINK("https://www.weblio.jp/content/皿", "词义详情")</f>
        <v/>
      </c>
      <c r="K3371">
        <f>HYPERLINK("https://yourei.jp/皿", "查看例句")</f>
        <v/>
      </c>
    </row>
    <row r="3372">
      <c r="A3372" t="inlineStr">
        <is>
          <t>再来月</t>
        </is>
      </c>
      <c r="B3372" t="inlineStr">
        <is>
          <t>成功</t>
        </is>
      </c>
      <c r="C3372" t="inlineStr">
        <is>
          <t>読み方：さらいげつ
次の次の月。翌々月。</t>
        </is>
      </c>
      <c r="H3372" t="n">
        <v>21</v>
      </c>
      <c r="I3372" t="inlineStr">
        <is>
          <t>来月発行の作品ではいろいろとありましたが、再来月は問題ないでしょう。；「どこかに引っ越そうとしていたの」 父が再来月には転勤になると言った。；何せ、あの紙袋の中には再来月刊行予定のチェック済み原稿も入っている。；再来月には新居に近い病院に移るという話で、この医師も犯人候補から外される。；二条城で姉のような気遣いをみせてくれたお勝の方がいてくれたら、としきりに思うが、江戸に戻ってくるのは再来月になる様子であった。；再来月の今ごろは、君も高木由美さんなんだぜ。；そうしてこのNRCの赤字は明日も明後日も、来月も再来月もふえつづけてゆくのである。；第七巻は来月、ではなく再来月の予定です。；再来月発売の女性雑誌に載る予定なのだそうだ。；「紫の、再来月のスケジュールを教えてくれないか」 紫のは、なにかを訴えるような目で、わたしを見た。；また姑・志乃との関係も最近は良好であったが、再来月に女将襲名披露を控えた奈緒子に志乃はある課題を出すのだった。；わたし共の試算では、売上がもう少し上向かない限り、今月はこれですんでも、来月も、再来月もほぼ同じことになります。；また来満節には「四角岳から鬼ケツ出した、今月来月再来月」と歌われる歌詞がある。；こちらがかつがれていて、ミツルくんが宋家の跡取となり、村長に就任する日取りが本当は再来月だったってこと?；第一、再来月刊行予定の文庫がある。；再来月の三、四の二日間、寮を借りきった。；「式は再来月なんだ」 式。；そうしたら、再来月の剣道の交流試合の日なんてどう?；「再来月になりますね」 美千隆が舌打ちする。；再来月まで火事決定。；書簡集は再来月だ。</t>
        </is>
      </c>
      <c r="J3372">
        <f>HYPERLINK("https://www.weblio.jp/content/再来月", "词义详情")</f>
        <v/>
      </c>
      <c r="K3372">
        <f>HYPERLINK("https://yourei.jp/再来月", "查看例句")</f>
        <v/>
      </c>
    </row>
    <row r="3373">
      <c r="A3373" t="inlineStr">
        <is>
          <t>再来週</t>
        </is>
      </c>
      <c r="B3373" t="inlineStr">
        <is>
          <t>成功</t>
        </is>
      </c>
      <c r="C3373" t="inlineStr">
        <is>
          <t>読み方：さらいしゅう
次の次の週。翌々週。</t>
        </is>
      </c>
      <c r="H3373" t="n">
        <v>29</v>
      </c>
      <c r="I3373" t="inlineStr">
        <is>
          <t>教授たちは都合が合えば再来週の日曜日にもさっそく来たいって言ってくれたよ。；彼女がもっともよく記憶しているのは「再来週に起こること」であり、ピンを指で指した痛みは実際に指す前に彼女の身に起こる。；彼は〈再来週〉になるまでのあいだに別の女性にひかれた。；再来週にやってくる客人たちはどうやらひとりではないらしい。；知ってのとおり、再来週にはわれわれは小惑星帯へ帰るが、きみには時間はたっぷりあるはずだ。；再来週くらいになればおれ身体空くと思うんで。；しかも、再来週の日曜日にはここへ直接訪れ、祖父から直に話を聞きたいというのだから。；再来週の木曜日、前原会長は新宿の某ホテルの一室で雑誌数社の取材を受ける。；再来週も京都で仕事があるし。；こんど会えるのは再来週の月曜か火曜になるはずである。；えーとォ、再来週の土曜日に同じ場所で、今度はわたしのショーがあるんで絶対に来て下さいね。；あのだんなが、わたしのサーカスを、再来週あのだんなの演芸場でやらせたいといってくれるんです。；下宿の女主人の話だと、エムバッシは今チベットへ出かけていて、来週か再来週帰ってくることになっている、ということだった。；第1話から第5話では、再来週分の予告も流れていた。；再来週の日曜日、どこかに行ってみたい。；けれど再来週の土曜日は交流試合があるから、できない。；たぶん、来週か再来週、ごく些細なきっかけで、身を切るような深い悲しみがやってきて自分を打ちのめすのだろう。；予約は再来週までいっぱいなんだぜ?；大型ディスプレイのさらに手前、画面左側に立っている電柱には来週・再来週のテーマに合わせたポスターが貼られていて、番組開始時に少し、終了間際に画面左側に数秒映し出されていた。；「日時なんだけれど、次の次、再来週の日曜日でどうかしら」 「その日で結構です」 瞳子ちゃんは即答した。；「じゃ、再来週の日曜に決行ということで」 今度の日曜だと、近すぎてデート内容を十分に練る時間もない。；この絵をもらって来たこと、そして来週ないしは再来週、ラ・シャンブル・ノワールで夕食をともに出来れば、と伝える葉書を彼は玲子宛に出しておいた。；全ては再来週に決まるということだった。；「再来週の日曜、会う約束してんだ」と付け加えた桃山は、他に言うべき言葉も思いつかず、差し出された救いの手をそっと遮った。；再来週の水曜日に、遊びに来て。；今までは、顔を合わせると、最近暑くなってチョコレート菓子の売り上げがいまいちだとか、近くに新しいマンションが出来たから夕方のお客さんが増えたとか、再来週の新商品はCMがすごく入るらしいから期待できるとか、そんな有意義な話を、コンビニ店員とコンビニ店長として真っ直ぐに交わしていたのに。；引っ越し早々アレなんですけど、大須賀さん、再来週の日曜ってヒマですか?；「それでは再来週の大和杯で」 去り際、マドンナは丁寧にお辞儀をして、カンカンと鳴り始めた踏切の向こうに走っていった。；「加代子が墓参りに出掛けて、再来週まで帰って来ないんだ」 へぇ、加代子さんがお墓参りだなんて。</t>
        </is>
      </c>
      <c r="J3373">
        <f>HYPERLINK("https://www.weblio.jp/content/再来週", "词义详情")</f>
        <v/>
      </c>
      <c r="K3373">
        <f>HYPERLINK("https://yourei.jp/再来週", "查看例句")</f>
        <v/>
      </c>
    </row>
    <row r="3374">
      <c r="A3374" t="inlineStr">
        <is>
          <t>再来年</t>
        </is>
      </c>
      <c r="B3374" t="inlineStr">
        <is>
          <t>成功</t>
        </is>
      </c>
      <c r="C3374" t="inlineStr">
        <is>
          <t>読み方：さらいねん
次の次の年。明後年。</t>
        </is>
      </c>
      <c r="H3374" t="n">
        <v>29</v>
      </c>
      <c r="I3374" t="inlineStr">
        <is>
          <t>その場合、このインタビューも来年か再来年あたりになってただろうな。；今年負けても次の年勝てばよいし、次がだめでも再来年がある。；編集長はそうか、じゃあ再来年になるのかな、などと小声でいった。；どうでしょう、来年、再来年も我々に売っていただけませんかね、と。；来年の夏も再来年の夏も、お国へはこないつもりでございます。；現実に、再来年から名誉理事を一人ずつ普通のひとびとに移していく計画を練っていた。；とりかかれるのは、どんなに早くても再来年になってしまう。；過去を考へぬ人たちが、来年・再来年を予想した筈はない。；やがて一年間が頭に入ると、来年や再来年の「日曜日」が次々頭に閃いた。；わだしはね、再来年は数えで九十になるんですよ。；来年も、おそらく再来年も続くだろうこの生活にいま自分の考えひとつでピリオドがうたれるのだ。；その分でゆくと、来年か再来年にも、いよいよ東京に御凱旋ということもあり得るのではありませんか。；来年もまた一千五百万石くらいの食糧を輸入しなければならないのに、その目当てをどこにおくか、再来年も同様であり、その次の年も同じことである。；若い男 なあにまだ来年ということはねえ、再来年だとていいさ。；なるほど、祥子の妹になれば、再来年の紅薔薇さま候補なのだ。；しかし、来年自分はどうしたいのか、再来年どうしたいのか、と長期的に考えてみた場合、自分の未来に明確なビジョンがない。；再来年の2号機以降の打ち上げは未定で、商業衛星の受注獲得は容易ではない。；「再来年の遠征のことなんですけど、あれ、おれも参加させてくれませんか」 相手が電話に出るなり、幸男はいった。；連中は昨日と今日どころか、去年と再来年の区別もつかないだろうからあんなにも長命なのだ。；再来年には六十にならあ。；けれど来年にはこの十倍から百倍の収穫を、再来年には千倍の収穫を予定しております。；きっと来年には、再来年にはと望みを先送りしているうちに、いつのまにか成長は止まった。；来年も再来年も無事に雛祭りが出来るであろうか。；そうすれば埋め合わせをまた再来年の麦でしなければならず、三年先の収入はそれよりさらに減ります。；翌年から再来年にかけて傘下のベルギー総合会社をフォルティスグループへ売却した。；そうして、俊博は多分、再来年くらいに十一歳年下の恋人と結婚するかも知れないのだ。；わだしの心づもりでは、来年か再来年には、タミちゃんとの間に子供が生まれて、先ずはお産扱いにわだしが東京に出ていかねばならんかも知れんと、思ったりしていた。；中には家が誂え向きに商家だから、再来年卒業するともう直ぐ儲けに取りかかる決心のものもある。；「少なくとも、再来年までには、新言語が必要なの」 目の前た来た彼女は、「正式にスカウトに来たわ」と、二人に言う。</t>
        </is>
      </c>
      <c r="J3374">
        <f>HYPERLINK("https://www.weblio.jp/content/再来年", "词义详情")</f>
        <v/>
      </c>
      <c r="K3374">
        <f>HYPERLINK("https://yourei.jp/再来年", "查看例句")</f>
        <v/>
      </c>
    </row>
    <row r="3375">
      <c r="A3375" t="inlineStr">
        <is>
          <t>攫う</t>
        </is>
      </c>
      <c r="B3375" t="inlineStr">
        <is>
          <t>成功</t>
        </is>
      </c>
      <c r="C3375" t="inlineStr">
        <is>
          <t>読み方：さらう
［動ワ五（ハ四）］《「浚(さら)う」と同語源》
１油断につけこんで奪い去る。気づかれないように連れ去る。「波に足を—・われる」「子供を—・う」「鳶(とんび)に油揚(あぶらげ)を—・われる」
２その場にあるものを残らず持ち去る。関心を一人占めにする。「人気を—・う」
[可能]さらえる</t>
        </is>
      </c>
      <c r="D3375" t="inlineStr">
        <is>
          <t>誘拐；拉致；連れ去る；持ち去る；略取</t>
        </is>
      </c>
      <c r="H3375" t="n">
        <v>29</v>
      </c>
      <c r="I3375" t="inlineStr">
        <is>
          <t>俺たちが何のために娘を攫うのか、それはあんたには関係のないことだ。；何者かがこの窓を破って王様を攫って行ったのだと誤解させたいのだ。；熱い光った波が体を貫いて桃子はそのまま攫われてゆきそうな気がした。；彼女は流れに攫われた任生員の小娘の水霊と話し合っている訳なのだ。；与志と志津が攫われてから、女の肌に触れていないのを思い出したのだ。；お姫さまが攫われたなどと、そのようなことは誰も聞いておりません。；目の前でエーブが攫われたのはむしろ幸運だと思わなければならない。；お前がうかつに攫われたせいで、いったい何が起こったか分かっているか?；私はな、よう覚悟はしていたが、天狗様に攫われるかと思いましたえ。；しかもその原始的な叫びは、口を出るや否や、すぐ風に攫って行かれます。；家へ帰って来ると、二匹の犬のほうがかえって彼女の愛情を攫ってしまうのだった。；ぼくは子供みたいに攫われて、不幸はすべて忘れて天国でもって遊ぶのだ!；何しろ人間という見えざる魔物が毎日のように鬼を攫って食うのである。；実はケアル・ライスが娘を攫っていったのではないか、とさえ考えた。；今少しの所で流れに攫われそうになっている土幕も大部分見える。；攫うにしてからが顔を見なければ、どうにも法が付かないからねえ。；おまえが出ていかなければ、子分どもが踏みこんできて攫っていくだろう。；人を一人攫っておいて、ろくな覚悟もないやつが交じっていたらしい。；小鳩くんの言う通り、そうでなかったら正確に攫われることができなかった。；怪我をした上、攫った相手の御身に助けられていたのでは、恥入るだけだ。；若い好い男の髪毛をこっそり攫ってくなんてことをすぐさま止めないか。；小田丸弥介が、攫われた妻子と会ったと聞いたのは十日ほど前だった。；俺が攫われたなんて、そんな事で負担をかける訳にはいかない。；人を攫い、分解し、改造し、自分達が生き延びる部品にしようとした筈だ。；古代ヨーロッパでは父親を倒し、娘を攫うほどの屈強な男性が理想とされていた。；自分をあそこにおびき寄せるために、ナッカはユナを攫って行ったのだ。；寝こんだあとに強風がテントを吹き攫ったと考えても、少しも不思議はない。；夏美たちが攫われた時には複数いても彼女のみを助ける気でいる。；彼は、クリスタルの秘密を探るために スレイター博士を攫ったのです。</t>
        </is>
      </c>
      <c r="J3375">
        <f>HYPERLINK("https://www.weblio.jp/content/攫う", "词义详情")</f>
        <v/>
      </c>
      <c r="K3375">
        <f>HYPERLINK("https://yourei.jp/攫う", "查看例句")</f>
        <v/>
      </c>
    </row>
    <row r="3376">
      <c r="A3376" t="inlineStr">
        <is>
          <t>サラ金</t>
        </is>
      </c>
      <c r="B3376" t="inlineStr">
        <is>
          <t>成功</t>
        </is>
      </c>
      <c r="C3376" t="inlineStr">
        <is>
          <t>読み方：さらきん
《「サラリーマン金融」の略》サラリーマン・主婦などの消費者個人を対象に、貸金業者が融資をする高金利の小口金融。また、その業者。</t>
        </is>
      </c>
      <c r="D3376" t="inlineStr">
        <is>
          <t>サラ金業者(6%)；サラ金会社(4%)；サラ金問題(3%)；サラ金トラブル；サラ金破綻者</t>
        </is>
      </c>
      <c r="E3376" t="inlineStr">
        <is>
          <t>金貸し；高利貸；高利貸し；サラ金業者；金貸し業者</t>
        </is>
      </c>
      <c r="G3376" t="inlineStr">
        <is>
          <t>サラ金カード；サラ金ビル</t>
        </is>
      </c>
      <c r="H3376" t="n">
        <v>29</v>
      </c>
      <c r="I3376" t="inlineStr">
        <is>
          <t>サラ金を整理して亭主と小料理屋をやりたいので、金を借りたいという。；重役、上司にまで彼がサラ金を借りていることが知れわたってしまった。；事件は、彼が元麻布のサラ金の事務所を出た数分後に発生していた。；ふとサラ金の看板が目に入り、ここには金が唸っているのだろうなと思った。；もちろん彼女は、サラ金に対処する方法を聞きにきたのではなかった。；あの、ウサギの着ぐるみの中に入ってサラ金の宣伝をしていた人なんです。；なぜ、銀行員をやめて、サラ金会社で働くようになったのだろうか?；バンドのために、ライブを開くために必要だと言われて、サラ金で借りたのだ。；それから、長年の交際のあるサラ金のジャタスカ社長のところへ行った。；サラ金で借金して蒸発した親というのは、自分のことではないのだろうか。；競輪、競馬の資金に、サラ金を利用したのが、そもそもの間違いだった。；サラ金会社の社長・三郎は早朝、犬と散歩中にビルから男が落ちて死ぬのを目撃した。；あなたはサラ金業者間の札ツキでもう一円も貸してくれる所がない。；遺書はなかったが、自殺の動機はサラ金の借金を苦にしたものだった。；俺をこんな大胆な行動に追いやったのは、あの無慈悲なサラ金業者たちだ。；利息を体験していれば、社会に出てサラ金で身をほろぼすことも少ないだろう。；サラ金問題が、いろいろといわれながら、今日も二人、三人と、客が来ていた。；それにサラ金だと外部の業者から金を借りるという気の重さと体裁の悪さとがある。；そこで俺は軽い気持ちでサラ金の利用をはじめた。；その中に利息すら返せなくなって他のサラ金業者から借りた金で利息を払う。；サラ金に追われ、仕事がないせいもあったのだと思う。；社員といっても、事実上はサラ金の取立屋のようなものである。；サラ金の規制法がまだ何もなかった時代である。；彼が武蔵境に向ったのは、新井がサラ金会社の森田を連れて現れた日の夜だった。；それがわかる者はサラ金などに手を出さない。；なお、グループ社員やグループに登録するキャスト以外へのサラ金業務は行っていなかった。；サラ金問題が社会問題化した当初の数年間ならば、確かにそうしたパターンで説明することもできました。；それでね、知らない間に早希の名前をつかって別のサラ金からお金借りたらしいの。；それに、五十部夫婦には、サラ金からの借金もふくらんでいました。</t>
        </is>
      </c>
      <c r="J3376">
        <f>HYPERLINK("https://www.weblio.jp/content/サラ金", "词义详情")</f>
        <v/>
      </c>
      <c r="K3376">
        <f>HYPERLINK("https://yourei.jp/サラ金", "查看例句")</f>
        <v/>
      </c>
    </row>
    <row r="3377">
      <c r="A3377" t="inlineStr">
        <is>
          <t>さらさら</t>
        </is>
      </c>
      <c r="B3377" t="inlineStr">
        <is>
          <t>成功</t>
        </is>
      </c>
      <c r="C3377" t="inlineStr">
        <is>
          <t>［副］(スル)
１物が軽く触れ合う音を表す語。「風が笹の葉を—（と）鳴らす」
２浅い川の水がよどみなく軽やかに流れるさま。「小川が—（と）流れる」
３つかえずに軽快に進むさま。「—と署名する」
４物に湿り気や粘り気がなく、乾いた感じのするさま。「—（と）した髪」
［形動］4に同じ。「—な雪」
［アクセント］はサラサラ、はサラサラ。</t>
        </is>
      </c>
      <c r="D3377" t="inlineStr">
        <is>
          <t>さらさらない(13%)；さらさらと音(3%)；さらさらなく(2%)；さらさらと流れる；さらさらさらさら</t>
        </is>
      </c>
      <c r="E3377" t="inlineStr">
        <is>
          <t>乾いた；ドライ；からから；がさがさ；乾性</t>
        </is>
      </c>
      <c r="F3377" t="inlineStr">
        <is>
          <t>なんかさらさら；さらさらと揺れ；さらさらと砂；さらさら無い；さらさらと筆</t>
        </is>
      </c>
      <c r="G3377" t="inlineStr">
        <is>
          <t>さらさら越え；さらさらサラダ</t>
        </is>
      </c>
      <c r="H3377" t="n">
        <v>29</v>
      </c>
      <c r="I3377" t="inlineStr">
        <is>
          <t>もっともあいつの身にしてみれば、それもさらさら無理はありませんや!；穴蛇がさらさらと音をたててかれの足もとからはなれていく音がした。；父の思い通りになるようないい子でいたい気は彼女にはさらさらなかった。；そのころの私には、大学に行こうなどという気持ちはさらさらなかった。；ここで〈夜咲花〉との出会いの話をする気はさらさらありませんでした。；聞こえてくるのは、さらさらと砂のように流れ続ける時間の音ばかり。；そんなことをほかの人間に知らせたりする義務は、さらさらないのだ。；いつもの皿に絵をかく調子で、さらさらと、海の中のと、花鳥の群とを。；冬の間、枝についた枯れ葉を北風にさらさらと鳴らしつづけていました。；そういえばさっきから、ひっきりなしにさらさらと水の流れる音がする。；流し口から、家の外の清流から引きこんだ水がさらさらと流れだしている。；宵のうちから降りだした雪が、さらさらと更けた雨戸に音をたてている。；橋を渡ると、水がさらさらといって、岩に激して、白く砕けていました。；しかし、さらさらと流れていくこの水の流れの中にとどまっていたい。；一度体を許したら悠介の女だというような気持はさらさらなかったようだ。；するとその息で薄っぺらな白いものは動いてさらさらと音を立てた。；気温は高いはずだが、あまり暑さは感じられず、肌はさらさらしている。；その合間に、ごく近くに、さらさらと軽やかな音とも云えない音がする。；鉛筆がさらさらと紙の上を走る音は、そばに小川が流れているようだった。；さらさらと竹林のさやぎに似た波の音がこころよく耳にひびいてきます。；川の側面は石積みになっており、密集した家の間をさらさらと流れている。；それかられいの窓際の机の前に端坐してさらさらと筮竹をくるのである。；光が消えた後には、空中に残された構造材がさらさらと地に落ちる。；おのれが優秀な大学院生であったと主張する気はさらさらありません。；重大な任務だからと深刻ぶる気も時間を無駄にする気もさらさらないようだった。；指示されないうちからペンを取り、さらさらと名簿に記入してしまった。；しかし私は運動などしてそれを得ようとはさらさら思っていない。；ひとすじの水が、さらさらと音をたててそこからしずかに流れ出ていた。；男は、自分がまだ答えていない問題の全てに、さらさらと答えを記していった。</t>
        </is>
      </c>
      <c r="J3377">
        <f>HYPERLINK("https://www.weblio.jp/content/さらさら", "词义详情")</f>
        <v/>
      </c>
      <c r="K3377">
        <f>HYPERLINK("https://yourei.jp/さらさら", "查看例句")</f>
        <v/>
      </c>
    </row>
    <row r="3378">
      <c r="A3378" t="inlineStr">
        <is>
          <t>ざらざら</t>
        </is>
      </c>
      <c r="B3378" t="inlineStr">
        <is>
          <t>成功</t>
        </is>
      </c>
      <c r="C3378" t="inlineStr">
        <is>
          <t>［副］(スル)
１小粒で堅いものが触れ合ってたてる音を表す語。「袋が破れて豆が—（と）こぼれる」
２触った感じが粗く滑らかでないさま。「—（と）した肌」「砂ぼこりで畳が—している」
３ささくれて荒さの感じられるさま。「—した声」
４物事がさっさと行われるさま。
「我が言ふ事ばかり言うて—と立ち行けば」〈浮・永代蔵・二〉
［形動］2に同じ。「水仕事で荒れて—な手」
［アクセント］はザラザラ、はザラザラ。</t>
        </is>
      </c>
      <c r="D3378" t="inlineStr">
        <is>
          <t>ざらざらと音；ざらざらしてる</t>
        </is>
      </c>
      <c r="E3378" t="inlineStr">
        <is>
          <t>荒い；粗い；いかつい；凸凹；ごつい</t>
        </is>
      </c>
      <c r="H3378" t="n">
        <v>29</v>
      </c>
      <c r="I3378" t="inlineStr">
        <is>
          <t>そうでなくても、歩くたびに床がざらざらするのは我慢できなかった。；というのは、彼女の舌が犬の舌のようにざらざらして居たからである。；頭上を流れるのはうちの店が日本一安いとがなる売り子のざらざら声だ。；その手や指の肌は病的な灰色で、妙にざらざらしているように見えた。；聞えてくるのは、砂が流れるかの様にざらざらとした雑音信号だけだ。；その顔はざらざらしており、鉤鼻で、黒い肉に囲まれた大きな目があった。；そのざらざらしたものが、波打つように、彼の男性を翻弄するのである。；特殊な画像処理でも施されたかのように、何やら色がざらざらしている。；踏み切って上にとびつくと、両手の指がざらざらした塀の縁にかかった。；あのざらざらしたものを口の中に入れる気にはならなかった。；「今あんたの奥さんとやってるんだけどね」 ざらざらした声が笑っている。；すると片足がトンネルの真ん中にある何かざらざらしたものに触れた。；側面のざらざらした石壁に手をつき、一歩ずつ慎重に闇の中を進む。；しかし、何か釈然としない、このざらざらした気分はなぜなのだろう。；襟元をきつく合わせて、口の中をざらざらにしながら得意先を求め歩いた。；そのざらざらの砂ぼこりの道を人の流れがひきもきらずに続いていた。；石のざらざらとした表面は意外にひんやりとしていて安定感がわるい。；冷たい雨が、百万もの氷の拳で、城のざらざらした灰色の石を叩いた。；ざらざらとした砂を口に含んでいるような後味の悪さを僕はどうすることもできなかった。；これをながめるおれたち市民の心も焼土のようにざらざらしている。；そして内股のあたり、鱗のようなざらざらした肌で、これは何なのだろう。；主に食用とする傘の部分は表面がざらざらしている上に肉が薄い。；柔らかなトシミの乳房の皮膚が、男のざらざらした指の皮膚を愛撫する。；その舌はまるで猫の舌のようにざらざらとした感触であった。；翌朝、私はその砂でざらざらする海水着をつけて、何食はぬ顏をしてゐた。；ざらざらしているわけでもすべすべしているわけでもなかった。；それは猫のような足音で、畳にざらざらと触れる爪の音がだんだんに近づいて来た。；ざらざらと、指の腹と血の染みのこすれあう昔が聞こえてくるようだった。；目に輝きは一切なく、身体の表面はざらざらの灰色になっている。</t>
        </is>
      </c>
      <c r="J3378">
        <f>HYPERLINK("https://www.weblio.jp/content/ざらざら", "词义详情")</f>
        <v/>
      </c>
      <c r="K3378">
        <f>HYPERLINK("https://yourei.jp/ざらざら", "查看例句")</f>
        <v/>
      </c>
    </row>
    <row r="3379">
      <c r="A3379" t="inlineStr">
        <is>
          <t>晒す/曝す</t>
        </is>
      </c>
      <c r="B3379" t="inlineStr">
        <is>
          <t>无结果</t>
        </is>
      </c>
      <c r="H3379" t="n">
        <v>0</v>
      </c>
      <c r="J3379">
        <f>HYPERLINK("https://www.weblio.jp/content/晒す/曝す", "词义详情")</f>
        <v/>
      </c>
      <c r="K3379">
        <f>HYPERLINK("https://yourei.jp/晒す/曝す", "查看例句")</f>
        <v/>
      </c>
    </row>
    <row r="3380">
      <c r="A3380" t="inlineStr">
        <is>
          <t>サラダ油</t>
        </is>
      </c>
      <c r="B3380" t="inlineStr">
        <is>
          <t>成功</t>
        </is>
      </c>
      <c r="C3380" t="inlineStr">
        <is>
          <t>読み方：さらだあぶら
⇒サラダゆ（サラダ油）</t>
        </is>
      </c>
      <c r="D3380" t="inlineStr">
        <is>
          <t>サラダ油大さじ一杯(7%)；サラダ油大さじ二杯(6%)；サラダ油大さじ三杯(3%)</t>
        </is>
      </c>
      <c r="H3380" t="n">
        <v>29</v>
      </c>
      <c r="I3380" t="inlineStr">
        <is>
          <t>それにしても、彼女はどうしてサラダ油を冷蔵庫に入れたのだろう。；なお、サラダのドレッシングに適した油のことを日本ではサラダ油という。；フライパンにサラダ油を入れてを大さじ一杯ほどを流していく。；小麦粉やサラダ油などから自作することもできるが腐りやすい欠点もある。；うちにくるまでサラダ油の存在さえ知らなかったクセに、今じゃ虎視眈々と師の首を狙ってやがる。；これは西洋のサラダ油で揚げたのだから味が軽い。；現在ではフライパンや中華鍋にサラダ油を引いて炒める場合が多い。；挙句の果てに月火はサラダ油を余接にぶっかけて、着火しようとしはじめた。；も別にバターとサラダ油小さじ一杯半ずつ合わせたもので炒める。；そもそもの名称の由来が、キャベツとは関係なく、マヨネーズの材料のサラダ油であることからとも言われている。；サラダ油のない時には三宅島から出る純粋の椿の油で揚げると殆どサラダ油に劣らん。；プレートに垂らされたサラダ油がジュウと音を立てると大きな歓声があがった。；サラダ油として商業用に応用できるヴァーノニア油を含有している。；鮎をその衣へ包んでサラダ油で揚げたのですが最初は弱い火で長く揚げて卸す前に火を強くしないと衣がこんなに膨らんでいません。；中華鍋にサラダ油大さじ二〜三杯を入れ、薄く煙が立つくらいまで熱する。；安価で色や匂いが少ないため、天ぷら油やサラダ油に適している。；食用油では天ぷら油よりサラダ油のほうが変質は少ないのです。；全部まとめて庭の一斗缶に放りこむと、台所から料理用のサラダ油を取ってきてドバドバとかけた。；包丁のときもあったし、サラダ油のボトルとライターをにぎりしめているときもあった。；古い時代に記されたレシピではサラダ油は加えないが、通常はオリーブ・オイルが使われ、ラードが使われることもある。；フランスの家庭は倹約をするが、サラダ油はフンパツして、オリーブを使う家が多い。；煮つけの際、一度サラダ油でいためてから煮ると、うま味が増します。；サラダ油にオリーブを使うからではないか。；一旦よく混ざった処でまた一杯入れて混ぜてまた一杯入れるという風に少しずつ幾度にも入れては混ぜてサラダ油が大匙三杯入ったらば一番後に西洋酢を大匙一杯半位加えます。；米菓の表面にサラダ油を吹きつけて塩分を固定する手法を用いたことから、塩味をサラダ味と呼ぶ契機の一つとなった。；フライパンに火をかけて、サラダ油をこさじ半分ほど投入。；フライパンにラード又はサラダ油を入れ、の表面に焦げ色をつけるぐらいに焼く。；ひどいときには醤油やサラダ油までくすねていった。；歩き出してようやく、サラダ油と醤油とがけっこう効いてきた。</t>
        </is>
      </c>
      <c r="J3380">
        <f>HYPERLINK("https://www.weblio.jp/content/サラダ油", "词义详情")</f>
        <v/>
      </c>
      <c r="K3380">
        <f>HYPERLINK("https://yourei.jp/サラダ油", "查看例句")</f>
        <v/>
      </c>
    </row>
    <row r="3381">
      <c r="A3381" t="inlineStr">
        <is>
          <t>更なる</t>
        </is>
      </c>
      <c r="B3381" t="inlineStr">
        <is>
          <t>成功</t>
        </is>
      </c>
      <c r="C3381" t="inlineStr">
        <is>
          <t>読み方：さらなる
［連体］《文語形容動詞「更(さら)」の連体形から》一層の。ますますの。「—発展を望む」</t>
        </is>
      </c>
      <c r="D3381" t="inlineStr">
        <is>
          <t>更なる発展(3%)；更なる研究；更なる改良；更なる飛躍；更なる開発</t>
        </is>
      </c>
      <c r="E3381" t="inlineStr">
        <is>
          <t>いっそう；さらなる；いやましに</t>
        </is>
      </c>
      <c r="F3381" t="inlineStr">
        <is>
          <t>更なる進化；更なる混乱；更なる拡張；更なる高み；更なる証拠</t>
        </is>
      </c>
      <c r="H3381" t="n">
        <v>29</v>
      </c>
      <c r="I3381" t="inlineStr">
        <is>
          <t>こうした事もあり更なる河川総合開発事業が検討されることとなった。；だが時既に遅く、マルス王は戦死し王国は更なる戦乱に陥ったのだった。；加えて日本国内向けに販売されたモデルには更なる適正化が図られた。；いずれも後の改正で急行以下に格下げされ、それも更なる改正で消滅した。；翌年の夏にもグリエールはソンツォフカを訪ねて更なる指導を行っている。；組織は政府構造に酷似しており、更なる主権を獲得するよう努力している。；更なる詳細はイギリス鉄道の機関車・電車・気動車の車両形式を参照。；こうした東西宮廷の分裂に加えて、皇帝権そのものにも更なる分割が加えられた。；一回の内服で効果が見られない患者は更なる服用をすることもある。；こうして得た豊富な資金を、彼は更なる買収に使用していった。；更なる分解は、複数の酵素によって連鎖的に行われると考えられている。；そこへ更なる不運が重なり、盗んだ金が人々の目に触れる事態となった。；またマインツではキリスト会議に関係する更なる事件が発生した。；画面は雑誌サイズであり、更なる大きな可能性を世界に与えた。；このような状況により、アメリカの影響からの更なる独立を望むようになった。；怪我がなければ更なる活躍を期待された馬でもあった。；このことが更なる資料発見の可能性や復元運動につながることが期待されている。；特殊奏法は多種多様であり、楽器同様に更なる開発が進められている。；そのほかに更なる成長が期待される産業に観光業が挙げられる。；主に先進国を中心に、他の家畜への更なる伝播を防ぐために行われる。；崩壊が更なる崩壊を呼ぶため、崩壊地は拡大する一方である。；更なる加筆が必要なものはコメントを添えて改めて依頼してください。；現在、人類活動の更なる発展を求めて材料への要求が一層高まってきています。；原因はブレーキ故障と推測され、これ以降は更なる安全設備の強化が図られた。；この時期には彼らのサウンドにも更なる変化が現れていた。；建設予定の第二東名森掛川ICによる更なるアクセス向上も期待される。；部分的に完成しているが、今後も更なる整備が計画されている。；その上、定着した呉鳳のストーリーには更なる問題がひそんでいた。；更なる逆成で polywereという語は完全に語源を無視している。</t>
        </is>
      </c>
      <c r="J3381">
        <f>HYPERLINK("https://www.weblio.jp/content/更なる", "词义详情")</f>
        <v/>
      </c>
      <c r="K3381">
        <f>HYPERLINK("https://yourei.jp/更なる", "查看例句")</f>
        <v/>
      </c>
    </row>
    <row r="3382">
      <c r="A3382" t="inlineStr">
        <is>
          <t>更に</t>
        </is>
      </c>
      <c r="B3382" t="inlineStr">
        <is>
          <t>成功</t>
        </is>
      </c>
      <c r="C3382" t="inlineStr">
        <is>
          <t>読み方：さらに
［副］
１同じことが重なったり加わったりするさま。重ねて。加えて。その上に。「—一年の月日が過ぎた」「—こういう問題もある」
２今までよりも程度が増すさま。前にも増して。いっそう。ますます。「—きれいになった」「事態は—悪くなった」
３（あとに打消しの語を伴って）いっこうに。まったく。少しも。「—覚えがない」「反省するようすは—なく」
４事新しく。今さら。
「—何事をかは疑ひ侍らむ」〈源・若菜上〉</t>
        </is>
      </c>
      <c r="D3382" t="inlineStr">
        <is>
          <t>更に進ん；更に又；更に一層；更に翌；更に大きく</t>
        </is>
      </c>
      <c r="E3382" t="inlineStr">
        <is>
          <t>また；さらに；なお；しかも；それに</t>
        </is>
      </c>
      <c r="F3382" t="inlineStr">
        <is>
          <t>更に更に；更に高く；更に進め；更に追い討ち；更に幾倍</t>
        </is>
      </c>
      <c r="H3382" t="n">
        <v>29</v>
      </c>
      <c r="I3382" t="inlineStr">
        <is>
          <t>また、この俗解が基になって更にさまざまな伝承を生じることになった。；シンボリックス社はそのプログラムを拡張して更に強力なものにした。；これを更に濃縮を進めて固体状になったものがメープルシュガーである。；この手法は更に管理的で不変の破片の創造を認めることで効率を上げた。；更にその他には球団全体の練習場と合宿所が追浜公園内に設けられている。；更には、これら商業作品の強い影響を受けた自主制作作品も含まれる。；更にキャラクター性を確立した各登場人物の家族たちも登場。；翌年以降は更に伸びており、この時期大量のソフトが市場に流れ込んでいた。；このうち「倫」字の意味とする場合、更に以下の四つの説があるという。；一方で新羅への攻撃では百済は高句麗と連携し、更に倭国とも協力した。；更に彼女に同行してイギリスやフランスで演奏旅行を行う。；研究分野は以下に示すように、多様な課題に対して更に細分化されている。；更に言えば、かまどの発達は文明の発達に大きく寄与したとも考えられる。；また、日本IBMの下には更に複数の子会社と関連会社が存在している。；更にロシア音楽やフランス音楽の演奏でも一定の評価を得ている。；更にその残りの半分にも同様、と到着すべき地点が限りなく前に続く故に到着しない。；更に細かい分類方法と経緯があり、この図はあくまで概略である事に注意。；更に狭い地域や都市を一括りにして九州経済、大阪経済などと呼ぶこともある。；翌23日には同じつがいの卵から更に2羽が孵化していたことが判明した。；その結果、イギリスの年会には更に幅広い信仰理解の多様性が見られる。；更にその後西の方にも現れたことが記録されている。；それぞれの位の量は更に上記の数字の和に分解され、大きい順に並べて書かれる。；更に後継のビデオ規格は、前身のビデオ規格の全てのビデオモードを含む。；この頃には唐政府の権威は更に衰えており、実質的には独立勢力である。；更に陸軍軍楽隊の総本山である陸軍戸山学校では喇叭長を教育していた。；これらを更に別の観点から拡張した体系が存在する。；更にそれ以前にハッカーのコミュニティで使われていたという証言もある。；更には、射撃後にその効果を評価し、次の射撃に反映する場合もある。；更に徴税を管理するための高度な財政システムも確立されていた。</t>
        </is>
      </c>
      <c r="J3382">
        <f>HYPERLINK("https://www.weblio.jp/content/更に", "词义详情")</f>
        <v/>
      </c>
      <c r="K3382">
        <f>HYPERLINK("https://yourei.jp/更に", "查看例句")</f>
        <v/>
      </c>
    </row>
    <row r="3383">
      <c r="A3383" t="inlineStr">
        <is>
          <t>去る</t>
        </is>
      </c>
      <c r="B3383" t="inlineStr">
        <is>
          <t>成功</t>
        </is>
      </c>
      <c r="C3383" t="inlineStr">
        <is>
          <t>読み方：さる
［動ラ五（四）］
１《本来は移動する意で、古くは、遠ざかる意にも近づく意にもいう》
㋐ある場所から離れる。そこを離れてどこかへ行ってしまう。遠ざかる。「故郷を—・る」「この世を—・る」「片時も念頭を—・らない」
㋑地位・職業などを退く。「王位を—・る」「舞台を—・る」
㋒時が過ぎる。ある季節・時期が遠のく。「冬が—・る」「青春は—・った」
㋓時間的、空間的に隔たる。離れている。「今を—・る七年前」「東京を—・ること二〇〇キロ」
㋔今まであった状態が薄らいだり、なくなったりする。消える。「痛みが—・る」「危険が—・る」
２
㋐離して遠くへやる。遠ざける。離縁する。「妻を—・る」
㋑除いてなくす。消す。「雑念を—・る」「虚飾を—・る」
３（動詞の連用形に付いて）すっかり…する、…しつくすの意を表す。「忘れ—・る」「葬り—・る」
４時・季節などが近づく。巡ってくる。
「秋—・らば黄葉(もみち)の時に」〈万・三九九三〉
[可能]される</t>
        </is>
      </c>
      <c r="D3383" t="inlineStr">
        <is>
          <t>去ること(17%)；去るとき；去る時；去る前；去る者</t>
        </is>
      </c>
      <c r="E3383" t="inlineStr">
        <is>
          <t>行く；立つ；出発；流れる；消滅</t>
        </is>
      </c>
      <c r="F3383" t="inlineStr">
        <is>
          <t>飛び去る；逃げ去る；流れ去る；葬り去る；奪い去る</t>
        </is>
      </c>
      <c r="G3383" t="inlineStr">
        <is>
          <t>去る者は日々に疎し</t>
        </is>
      </c>
      <c r="H3383" t="n">
        <v>29</v>
      </c>
      <c r="I3383" t="inlineStr">
        <is>
          <t>ツアーの途中でトイレに隠れてバスが去ってからスタジオ内を探索した。；すると守備兵たちは高所を抑えられた恐怖から砦から逃げ去っていった。；そしてもう一時をとつくに過ぎてゐたので、私は彼の傍を去らうとした。；一人の女性が教会の前で大きな卵と小さな石を置き、その場を去って行く。；それからまた反対に、一度載せられながら除き去られる歌も出来てきた。；しかし、キリスト教以前の要素がすべて消し去られたわけではなかった。；私の去つた後聞いてくれる人がありましたらどうか私を語つて下さい。；十風夫婦は此年の暮北海道を去つて東京では誰にも逢はずに京都へ來た。；お鳥が去つたあとへ、秋の景色が自分の心にまでも舞ひ込んで來たのだ!；ところが球団が聞く耳を持たなかったから水原さんは去っていくわけです。；批評界全体が彼を非難し、彼の方ではすべてを罵倒し去ろうとしていた。；彼の樣子は、私からも私の用事からも離れ去つてゐることを示してゐた。；私が真実に小諸を去らうと思ひ立つて居ることは塾の同僚に知れて来た。；さて最後に御身が戸を開けて出た時、己は却つて廊下伝ひに逃げ去つた。；母の小与は実家の田舎で留加をつれて暮らすことを決意し、町を去った。；すぐにその場を去ったため、事件として露見することはなかったという。；もし富の勢力を除き去らば兵の勢力とて別に見るべきものはあらざるべし。；だがかれらもエレッサール王が世を去るころにはみな渡海してしまった。；その後、世界はかつてない巨大な天変地異に襲われ、文明は崩れ去った。；そして二人は来た時と同じように大鷲に運ばれてゴンドリンを去った。；しかし旅の仲間に加わることはなく、風のように現れては去ってしまう。；彼は教授との論争の後にルーヴァンを去るまでほんのしばらく滞在した。；彼の中隊は、彼が安全に機から降りるのを確認すると、視界から去った。；白太夫は上の息子二人に去られ、桜丸とは今生の別れをすることとなる。；地上にいた頃のセドナが逃がしたとも、自ら船を造って去ったとも言う。；上声の文字が二つ連続するときに、前の字が陰去調に変わることがある。；そのあとを追うように兄も世を去るとついに時計は止まってしまった。；僕はその時話の次手にもう続続罹災民は東京を去つてゐると云ふ話をした。；ひろ子が君の所を去つて約二、三分して、二階の三人は下りようとした。</t>
        </is>
      </c>
      <c r="J3383">
        <f>HYPERLINK("https://www.weblio.jp/content/去る", "词义详情")</f>
        <v/>
      </c>
      <c r="K3383">
        <f>HYPERLINK("https://yourei.jp/去る", "查看例句")</f>
        <v/>
      </c>
    </row>
    <row r="3384">
      <c r="A3384" t="inlineStr">
        <is>
          <t>猿</t>
        </is>
      </c>
      <c r="B3384" t="inlineStr">
        <is>
          <t>成功</t>
        </is>
      </c>
      <c r="C3384" t="inlineStr">
        <is>
          <t>読み方：えん
［常用漢字］　［音］エン（ヱン）（漢）　［訓］さる
〈エン〉動物の名。サル。「猿猴(えんこう)／犬猿・三猿・野猿・意馬心猿・類人猿」
〈さる（ざる）〉「猿芝居／山猿」
[補説] 「猨」は異体字。</t>
        </is>
      </c>
      <c r="D3384" t="inlineStr">
        <is>
          <t>猿飛；猿たち；猿ヶ；猿ども；猿みたい</t>
        </is>
      </c>
      <c r="E3384" t="inlineStr">
        <is>
          <t>サル；桟；閂；モンキー；亜流</t>
        </is>
      </c>
      <c r="F3384" t="inlineStr">
        <is>
          <t>お猿；大白猿；子猿；赤猿；助猿</t>
        </is>
      </c>
      <c r="G3384" t="inlineStr">
        <is>
          <t>猿人；猿渡；猿轡；猿ぐつわ；猿飛佐助</t>
        </is>
      </c>
      <c r="H3384" t="n">
        <v>29</v>
      </c>
      <c r="I3384" t="inlineStr">
        <is>
          <t>この状態になったらそれを画面右上で待機している猿のところまで運ぶ。；敵にやられると猿の姿になり、この状態で再度敵にやられるとミスとなる。；人が入浴していない時、付近の猿が入浴している姿を見ることもできる。；他の猿と異なり、両親とその子らによる小さい家族グループで生活する。；では実際の猿が意味のある文書をタイプする可能性はあるだろうか。；彼の怠け者ぶりに、猿たちが彼はもう死んでいると思ったためである。；ある日、アフリカから一羽の鳥がやってきて、猿の一家の相談相手になった。；その名の由来は下段の流れが猿の尾に似ていることから名付けられたと言われる。；猿を使った芸は日本へは奈良時代に中国から伝わったとされている。；も、古典的な意味では猿は務めを果たすことはできないと認める。；故郷に戻った孫悟空は猿たちから美猴王と呼ばれ崇められる立場であった。；弟たちの魔法で猿になったフンバッツとフンチョウエンは森に入っていった。；猿尾堤の名の由来は、その形が猿の尻から伸びた尾に見えることからである。；三猿とは3匹の猿が両手でそれぞれ目、耳、口を隠している意匠である。；ラーマは王国を追われたスグリーヴァのために猿王ヴァーリンを倒した。；猿は貴婦人の後ろにある籠から花を取り出して匂いをかいでいる。；一部の漫画では、その外見や色からか「猿」と呼ばれていることもあった。；ある夜、女の子の家の近くに隕石が落ち、中から一匹の猿が飛び出してきた。；フアン・タマッドは怠け者の男で、猿たちによって土の下に埋葬された。；猿笑はNSC卒業を経て1年ほど活動するも、程なくして解散となった。；隠していた大人の雑誌を取りに秘密の場所へ行ったところ、野生の猿と遭遇。；地球でも同様に猿と人間の地位が逆転してしまっていたのだ。；曳尾庵が見物人から聞いた話によれば、猿のような顔つきだったという。；サイヤ人は元々は大猿だったが、知性を得て人間になったという説もある。；猿が打った原稿を誰も発見してくれなかったらどうか。；このコングは直立歩行する猿として描かれ、より人間に近くなっている。；ヴィクトルと猿の関係はトーベの小説『彫刻家の娘』にも描かれている。；肉屋は大猿のかわりを務めることになるが、徐々に体がもたなくなってくる。；一般的にいう河童と異なるのは、姿が毛むくじゃらで猿に似ている点である。</t>
        </is>
      </c>
      <c r="J3384">
        <f>HYPERLINK("https://www.weblio.jp/content/猿", "词义详情")</f>
        <v/>
      </c>
      <c r="K3384">
        <f>HYPERLINK("https://yourei.jp/猿", "查看例句")</f>
        <v/>
      </c>
    </row>
    <row r="3385">
      <c r="A3385" t="inlineStr">
        <is>
          <t>騒がしい</t>
        </is>
      </c>
      <c r="B3385" t="inlineStr">
        <is>
          <t>成功</t>
        </is>
      </c>
      <c r="C3385" t="inlineStr">
        <is>
          <t>読み方：さわがしい
［形］［文］さわが・し［シク］《動詞「さわ（騒）ぐ」の形容詞化》
１盛んに声や物音がしてうるさい。そうぞうしい。やかましい。「教室が—・い」
２事件などが起こって世情が落ち着かない。平静・平穏でない。「国内が—・い」
３事が多く忙しい。あわただしい。
「何事にあらねど、こと—・しき心地してありふるうちに」〈かげろふ・中〉
４ごたごたしている。乱雑である。
「書様は色々あるべし。ただ—・しからぬ心づかひありたし」〈三冊子・黒双紙〉
[派生]さわがしげ［形動］さわがしさ［名］</t>
        </is>
      </c>
      <c r="D3385" t="inlineStr">
        <is>
          <t>騒がしい音(6%)；騒がしい声(4%)；騒がしい物音(4%)；騒がしい場所；騒がしい気配</t>
        </is>
      </c>
      <c r="E3385" t="inlineStr">
        <is>
          <t>うるさい；けたたましい；喧騒；騒々しい；やかましい</t>
        </is>
      </c>
      <c r="F3385" t="inlineStr">
        <is>
          <t>妙に騒がしい；なにやら騒がしい；最も騒がしい；こんな騒がしい；騒がしい響き</t>
        </is>
      </c>
      <c r="H3385" t="n">
        <v>29</v>
      </c>
      <c r="I3385" t="inlineStr">
        <is>
          <t>それが今どうして突然意外にも不思議にも心を騒がし始めたのであろう。；このごろ世間を騒がしている噂のことはこの人も承知しているのだろう。；これほど世間さまを騒がしてそれで立つ男の面なんかありゃしねえのだ。；むしろ、人があちこち走りまわっている騒がしい場所が好きだったのだ。；騒がしい町の中、娘が一人御者台の上で笑っていたって誰も気にしない。；その頃になって、富子は館の中がいつもより騒がしいことに気がついた。；公園の森に住む騒がしい鳥の声が、小屋の薄い壁を通して聞こえている。；会うべき恋人や家族がいなければ、殺風景なだけの騒がしい街であった。；まだちょっと騒がしいが、やっといつもの、俺たちの日常が戻ってきた。；このおれの耳には、どれほどの騒がしい音が聞こえて来るかしれない。；だがその後、トプシダーのあいだが騒がしくなってきたことを確認した。；おかげでせっかく静かになりかけていたぼくの周りが再び騒がしくなった。；しかし、ある日隣に騒がしい男子学生グループが引っ越してきてしまう。；試合でもあれば多少は騒がしいのだろうが、午後の公園は閑散としていた。；ちょうど午後一時の観光船が着いたところで、表はひどく騒がしかった。；しばらくすると外が騒がしくなり、足音が聞こえ、扉のノック音がした。；静かな村だと思っていたが、どこにでも騒がしい奴はいるもんだな。；接触点からの戦闘音は聞こえてくるが、それも騒がしいというほどではない。；騒がしさの中、それでもきれぎれに声を流しつつ、飛んでいるのである。；さっきまで騒がしかった甲板も、いまは人がいなくなって静かになっていた。；そう思いながら廊下に出ると、ホールのほうがなんとなく騒がしかった。；騒がしい声がやや遠くなったのは、レイヴンの方を追っていったのだろう。；これが江戸中を騒がした、凄い辻斬の本人とはどうしても思われません。；かすかに騒がしい教室の中、席に座って担任がくるのを待つ事にした。；事件の翌日は騒がしかったが、おれのまわりではすぐに熱は冷めていった。；後、もう一つどうでもいいことだが隣の美術準備室が妙に騒がしい。；つまり古人も彼等のゐた時代を一番騒がしいと信じてゐたのである。；こんな上下騒がしい時に、そんな気楽な事をよく思ひついたものですな。；手で押しのけようとすると、鳥はわたしにむかって騒がしく暗きたてた。</t>
        </is>
      </c>
      <c r="J3385">
        <f>HYPERLINK("https://www.weblio.jp/content/騒がしい", "词义详情")</f>
        <v/>
      </c>
      <c r="K3385">
        <f>HYPERLINK("https://yourei.jp/騒がしい", "查看例句")</f>
        <v/>
      </c>
    </row>
    <row r="3386">
      <c r="A3386" t="inlineStr">
        <is>
          <t>騒ぎ</t>
        </is>
      </c>
      <c r="B3386" t="inlineStr">
        <is>
          <t>成功</t>
        </is>
      </c>
      <c r="C3386" t="inlineStr">
        <is>
          <t>読み方：さわぎ
《上代は「さわき」》
１騒ぐこと。また、騒がしいこと。やかましさ。「教室の—が静まる」
２人々が騒ぐような出来事。ごたごた。騒動。「—を起こす」「—になる」
３（「…どころのさわぎ」の形で、あとに打消しの語を伴って用いる）そのような程度の事柄。「見物どころの—ではない」
４大変なこと。めんどうなこと。「こんなことが上司に知れたら—だ」
５酒席などで、にぎやかにたわむれること。遊興。
「何時なりとも—の節、きっと参上申すべく候」〈浄・冥途の飛脚〉
６「騒ぎ歌」の略。</t>
        </is>
      </c>
      <c r="D3386" t="inlineStr">
        <is>
          <t>騒ぎたてる；騒ぎ始め；騒ぎはじめ；騒ぎじゃない；騒ぎ以来</t>
        </is>
      </c>
      <c r="E3386" t="inlineStr">
        <is>
          <t>事件；イベント；出来事；トラブル；騒動</t>
        </is>
      </c>
      <c r="F3386" t="inlineStr">
        <is>
          <t>大変な騒ぎ；こんな騒ぎ；たいへんな騒ぎ；バカ騒ぎ；そんな騒ぎ</t>
        </is>
      </c>
      <c r="G3386" t="inlineStr">
        <is>
          <t>騒ぎ出し；騒ぎ立てる；騒ぎだし；騒ぎ出す；騒ぎだす</t>
        </is>
      </c>
      <c r="H3386" t="n">
        <v>29</v>
      </c>
      <c r="I3386" t="inlineStr">
        <is>
          <t>彼らは騒ぎを拡大させ市の北側にある黒人が住む一帯と店を攻撃した。；南部の都市や港も急速に従うことになり、ほとんど流血騒ぎも無かった。；同年にはブロードウェイの舞台で倒れ、病院に搬送される騒ぎもあった。；騒ぎの原因となったプレーから1時間40分以上も経過してからであった。；大高はここで騒ぎになるわけにはいかないと思って、じっと我慢する。；騒ぎを聞きつけた人々がやってきて、メネラウスが戻っている事に驚く。；この騒ぎは、日本で最初の高校生による学校占拠であったとされている。；そして消防隊員が彼らを排除したことから騒ぎが大きくなり始めた。；その騒ぎが元で旅館の関係者、宿泊客からのサイン攻めにあったとの事。；プロパンガスに付けられた臭いと似ているので騒ぎになることがある。；似たような騒ぎはオーストラリアでも起きており、同じような結果になっている。；しかし北の国のさまざまな騒ぎを飲み込むように、雪はまた強くなり始めた。；一方で、学生と娘たちは、してやったりと騒ぎ喜んでいるのであった。；その後、金森は騒ぎを起こした原因を作ったことを関係者に謝罪している。；西部田村へ釣りにやってきた主人公の青年は、時ならぬ騒ぎに遭遇する。；ある修道女が庭仕事中に蜂に刺され、痛みに苦しんでいると騒ぎになる。；落城の前日に騒ぎを起こして城の卵の保管場所に入っていたため無事だった。；そして、宙もまた男であることが判明し、騒ぎはより大きくなるばかりだった。；煽動者がいて、その者たちができる限り騒ぎを起こしたがっているだけである。；って騒ぎになって、その話を大人になるまで僕は信じていました。；女子学生の側には怪我人はなかったが、警察が呼ばれる騒ぎとなった。；アルバートが女性だったと言う事実は、新聞に載るほどの騒ぎとなる。；さらに、黒の勇者率いる魔王の兵も酒場に現れ、騒ぎは戦闘へと変わる。；これに反対するグループが離党して自由国民党を結党する騒ぎにもなった。；ところが、この争いは舞台上まで続き、観客も争いに飛び入りする騒ぎに。；その騒ぎの中、学生会が中心となり「学園民主化委員会」が設立された。；一方でこのような騒ぎをよそに、施設の整備は進められていった。；あれだけの騒ぎだったのに噂になっていないことを訝しがる。；だが、試合に夢中になるあまりけんか騒ぎを起こして放り出されてしまう。</t>
        </is>
      </c>
      <c r="J3386">
        <f>HYPERLINK("https://www.weblio.jp/content/騒ぎ", "词义详情")</f>
        <v/>
      </c>
      <c r="K3386">
        <f>HYPERLINK("https://yourei.jp/騒ぎ", "查看例句")</f>
        <v/>
      </c>
    </row>
    <row r="3387">
      <c r="A3387" t="inlineStr">
        <is>
          <t>騒ぐ</t>
        </is>
      </c>
      <c r="B3387" t="inlineStr">
        <is>
          <t>成功</t>
        </is>
      </c>
      <c r="C3387" t="inlineStr">
        <is>
          <t>読み方：さわぐ
［動ガ五（四）］《上代は「さわく」》
１
㋐やかましい声や音を立てる。「子供が—・ぐ」
㋑ざわざわと音を立てる。「白波が—・ぐ」
２多くの人が一緒になって反対したり、要求・不平を訴えて叫んだりして、不穏な事態が起きる。騒動になる。「判定をめぐって観衆が—・ぐ」
３酒宴などでにぎやかに遊ぶ。「芸者をあげて—・ぐ」
４落ち着きを失って冷静さに欠けた言動をみせる。あわてる。うろたえる。「今さら—・いでもどうしようもない」
５不安や驚きなどのため気持ちが高ぶったり乱れたりする。「なんとなく胸が—・ぐ」「血が—・ぐ」
６（多く「さわがれる」の形で）人々がさかんにもてはやす。評判にする。「環境問題が—・がれる」「マスコミが—・ぐ」「アイドルとして—・がれた俳優」
７忙しく立ち働く。
「そを取ると—・く御民も家忘れ」〈万・五〇〉
[可能]さわげる</t>
        </is>
      </c>
      <c r="D3387" t="inlineStr">
        <is>
          <t>騒ぐほど(2%)；騒ぐまい；騒ぐ者たち；騒ぐんだろ；騒ぐ黒い</t>
        </is>
      </c>
      <c r="F3387" t="inlineStr">
        <is>
          <t>浮かれ騒ぐ；立騒ぐ；飲んで騒ぐ；驚き騒ぐ；罵り騒ぐ</t>
        </is>
      </c>
      <c r="H3387" t="n">
        <v>29</v>
      </c>
      <c r="I3387" t="inlineStr">
        <is>
          <t>物を食べさせないと騒ぐので、箱の中に石を入れると音をたてて食べた。；待っていた弟子達は百間先生が来たというので何かひそひそ騒いでいた。；右手には玄関前の小階段が見え、玄関から連中の騒ぐ音が聞こえてくる。；契約を破ってくれる約束はどうなるのさ、と騒がれたくなかったのです。；何とまあみんなが叫んだり笑ったりして、いつまでも騒いだことだろう。；今度は頭の上でガヤガヤ騒ぐ声がして、峠の方から七、八人下りて来た。；テレビをつけて騒ぐ者もいないし、ドカドカと廊下をかける者もいない。；自分がマスコミに騒がれる対象であるという感覚がなくなっていたのだ。；出張に行くと云ってあるので、この一週間ばかりは騒ぐことはあるまい。；三四人の者が口口に何か叫びながら潰れた家の取付きの所で騒いでいた。；理想が高いのか、単に知らない男性たちと騒ぐのが好きなだけなのか。；祭りに騒ぎ疲れた人たちは、さらに新しい騒ぎの種を発見して驚き騒いだ。；このまま騒いだりヘタに動いたりしなければ見つかることはないだろう。；人々があっと騒ぐ時には、もう曲者の姿はいずれにも見えませんでした。；しかし関口がことの重大さに気づいた頃は世間の方が余計に騒いでいた。；君までが騒いで迎えに来ては乗客の注意が益々私に集中して来るではないか。；大手の玄関へ出てみると、そこにも若侍の多くが右往左往して騒いでいた。；先ほどの写真が騒ぐほどの物ではないと姫路に証明してもらうとしようかの。；しかも、夜に騒ぐというより、ひとり夜の部屋で静かに聴くようなもの。；この木を塒にしている鳥が何百羽とも知れずその周囲に騒いで居た。；二人目の姉が死んで家のなかが騒いだとき、私はすかさず母にいった。；仲間が伝えるのを忘れていたため、脱走したとメンバー内で騒がれていた。；が、昼近くにはまた起きだして騒ぐため、おちおち眠ってもいられない。；一人で羊の群れを連れて山を歩くのも、仲間と一緒に騒ぐのも楽しい。；騒がぬ顔して、皆には、宮浜が急に病気になったから今手当をして来る。；くらくらと眼が見えなくなり耳の中できみのわるいほど血の騒ぐ音がした。；ほかのものたちの騒いでいるのは、いっこう彼のじゃまにならなかった。；「そう騒ぐと聞こえない」 女の声がなにごとかブツブツと言っている。；日暮れになると彼は服を脱いで、涼を取るために波騒ぐ海に入りました。</t>
        </is>
      </c>
      <c r="J3387">
        <f>HYPERLINK("https://www.weblio.jp/content/騒ぐ", "词义详情")</f>
        <v/>
      </c>
      <c r="K3387">
        <f>HYPERLINK("https://yourei.jp/騒ぐ", "查看例句")</f>
        <v/>
      </c>
    </row>
    <row r="3388">
      <c r="A3388" t="inlineStr">
        <is>
          <t>爽やか</t>
        </is>
      </c>
      <c r="B3388" t="inlineStr">
        <is>
          <t>成功</t>
        </is>
      </c>
      <c r="C3388" t="inlineStr">
        <is>
          <t>読み方：さわやか
［形動］［文］［ナリ］《歴史的仮名遣いは「さわやか」とも》
１気分が晴れ晴れとして快いさま。さっぱりとして気持ちがよいさま。「朝の—な空気」「—な人柄」《季秋》「—に日のさしそむる山路かな／蛇笏」
２はっきりとしていて聞きやすいさま。「—な声」「弁舌—に話す」
３思い切りのよいさま。
「さして厭はしき事なき人の、—に背き離るるも」〈源・鈴虫〉
４きれいで鮮やかなさま。
「馬、物具まことに—に勢あって出で立たれたり」〈太平記・一四〉
[派生]さわやかさ［名］</t>
        </is>
      </c>
      <c r="D3388" t="inlineStr">
        <is>
          <t>爽やかな風(3%)；爽やかな笑顔(3%)；爽やかな朝；爽やかな空気；爽やかな気分</t>
        </is>
      </c>
      <c r="E3388" t="inlineStr">
        <is>
          <t>堪能；軽やか；さわやか；雄弁；流暢</t>
        </is>
      </c>
      <c r="F3388" t="inlineStr">
        <is>
          <t>甘く爽やか；弁舌爽やか；いかにも爽やか；爽やかな酸味；爽やかな秋風</t>
        </is>
      </c>
      <c r="H3388" t="n">
        <v>29</v>
      </c>
      <c r="I3388" t="inlineStr">
        <is>
          <t>電話の向うから伝わってくる彼女の声は、いつも爽やかで清々していた。；けれど彼のことばを聞けば、聞く者の方が爽やかになるのが常であった。；その名の通り、爽やかで明るい黄色を使ったイラストが多いのが特徴。；訳もなく爽やかな気持が心の底から泉のやうに噴きあがつて来るのだつた。；早朝の爽やかな空気の中、そんな笑顔を前に怒ることなどできはしない。；私とリツ子は何故とはなしに顔を見合せて爽やかな微笑に移っていった。；せっかく爽やかな気分でいたのにつまらないことを思い出してしまった。；いかにもサッカーやってますみたいな、なかなか爽やかなやつなのだった。；くるりと廻転機をまはして私は風のやうに 爽やかに郊外の花畑を吹く。；皮膚の内側から洗い流されていくような、爽やかだが刺激の強い味である。；爽やかな笑顔の彼が雑誌やテレビに登場することも、もうあるまい。；節子は胸の中を風の吹きとおるような、爽やかな気持で彼の眼を見あげた。；もちろん彼女には聞こえておらず、ニコニコと爽やかな笑顔のままだった。；秋から春にかけての朝は寒いこともあり、夏の朝は概して爽やかである。；「総合企画部の石倉です」 受話器を取ると爽やかな声が聞こえてきた。；爽やかな朝の微風の中に立った彼は、ようよう生き返ったように思った。；生れてから一度もまわりくどいことを考えたことはないような爽やかな肉体だ。；海から吹きつける風は爽やかで、大川の河口のあたりは釣舟も出ている。；SPEEDのようなダンス音楽ではない、爽やかなポップスを目指した。；「買って頂きたいものがあります」爽やかな若い男の声が静かに答えた。；身体のうちが爽やかで、頭のなかを風が吹きとおるように思われた。；爽やかな朝、出前持ちが口笛で木挽歌を吹きながら自転車に乗っていく。；ともかく、海へ出る時には、からだの軽い、気分の爽やかな日を選ぶ。；このときだけは雨に降られたが、それ以外はすべて爽やかであった。；六月は海霧の季節でもあったが、霧の合い間に爽やかな青空が顔を出した。；まるで囚人のような暮しであったが、浮かべる笑顔は実に爽やかだった。；しばらくのあいだ、一同はみな水面を渡る爽やかな微風を楽しんでいた。；本格焼酎の古いイメージを払拭する爽やかさを出すものが考えられた。；その点だけは爽やかだけど、背後では自宅が雑炊のように煮え立っている。</t>
        </is>
      </c>
      <c r="J3388">
        <f>HYPERLINK("https://www.weblio.jp/content/爽やか", "词义详情")</f>
        <v/>
      </c>
      <c r="K3388">
        <f>HYPERLINK("https://yourei.jp/爽やか", "查看例句")</f>
        <v/>
      </c>
    </row>
    <row r="3389">
      <c r="A3389" t="inlineStr">
        <is>
          <t>触る</t>
        </is>
      </c>
      <c r="B3389" t="inlineStr">
        <is>
          <t>成功</t>
        </is>
      </c>
      <c r="C3389" t="inlineStr">
        <is>
          <t>読み方：さわる
［動ラ五（四）］《「障る」の意から派生》
１手などをそのものに軽くつける。また、何かが身体にふれて、そのものの存在が感覚的にわかる。「汚い手で—・るな」「ひんやりとしたものが顔に—・った」
２（近づいて）かかわりを持つ。関係する。「とかくの噂(うわさ)があるので彼には—・らないほうがいい」「政治的な問題には—・らないでおく」
３（「障る」とも書く）感情を害する。「神経に—・る」「癇(かん)に—・る」
[可能]さわれる
[用法]さわる・ふれる——「額(ひたい)にさわる（ふれる）とひどく熱かった」「宝石にそっとさわる（ふれる）」のように、人と人、人と固体・液体とが接触する場合は相通じて用いられる。◇人が気体などに接触する場合や、物と物とが接触する場合にも「ふれる」を使って「冷気にふれて震えあがった」「高圧電流にふれて感電死する」「風で枝が壁にふれる」などという。◇接触の程度は「ふれる」の方が軽い感じである。「手でさわる」は手を押し付け、動かしてみるさまを、「手をふれる」は対象の表面にそっと手を接触させるさまをいう。◇「着物の裾(すそ)が床にさわる」「棒でさわってみる」などは、「裾」「棒」を人体の延長ととらえての言い方である。</t>
        </is>
      </c>
      <c r="D3389" t="inlineStr">
        <is>
          <t>触ると痛い；触ると火傷；触ると冷たい；触ると危険；触るまい</t>
        </is>
      </c>
      <c r="E3389" t="inlineStr">
        <is>
          <t>影響；感じる；作用；接触；接する</t>
        </is>
      </c>
      <c r="F3389" t="inlineStr">
        <is>
          <t>直接触る；うっかり触る；気安く触る</t>
        </is>
      </c>
      <c r="H3389" t="n">
        <v>29</v>
      </c>
      <c r="I3389" t="inlineStr">
        <is>
          <t>ギターはコードを覚えてからは家やスタジオで毎日のように触っていた。；手で物を触った刺激を整理統合して立体を形成するのも脳の働きである。；眠っている相手を棒で触ると、棒を持っている人の命令を聞いてくれる。；手で顔を触って見てもぐにゃぐにゃするだけで何もわかりませんでした。；その癖、この三四年こっち、夫は私の肉体に指一本触った事がないのだ。；翌日、修理を終えて他艦との合流に向かっていた途中で触雷し沈没した。；まだ触ってはいなかったが、自分の肩に触ろうとしていたのがわかった。；まだ触ってはいなかったが、自分の肩に触ろうとしていたのがわかった。；その腕が机の向こう側から現れて、机の上に置いた高里の手に触ったんだ。；時折、彼女の声が耳に響き、彼女の手が自分の手に触るような気がした。；といって私は冷蔵庫からコンニャクを出してきて触ってみたことはない。；そして決して触ってくれるなということを、眼付で歎願しているのです。；そしてあれは、他の誰にもあの人の体に触らせようとしないんだもの。；目の前の昔の俺は、その石を手で触ったり包んだり、いろいろしていた。；いいことがあるからためしてみましょう、触らないで待っていて下さい。；病気でもない夫が仕事にも行かずぶらぶらしているのが気に触るのだ。；記者たちは、新商品を手に取って見ることも触ることもできなかった。；多分、そのような事を云い触らして名前を売りたがっておるのであろう。；触った後の手で、粘膜や皮膚の薄い場所は絶対に触らないようにしたい。；触った後の手で、粘膜や皮膚の薄い場所は絶対に触らないようにしたい。；武士と名のつくものには、腫れものに触るようにして為すがままにした。；こうしているとき、わたしは両手でそのまわりを触っているのが好き。；鞘形類の腕と触腕では以下の3つの主要な筋肉の配向が観察されている。；私は、そこを触って確かめることもせずに看護婦を呼ぶボタンを押した。；それで目をつぶったらいきなり胸を触られて、唇にキスをされたんです。；日本艦隊は触雷原因が機雷か潜水艦によるものか判断できず、混乱した。；唯未だに彼女の体に指一つ触つてゐないことは彼には何か満足だつた。；実際に建物内に入る事もでき、家具やアイテムに触ったり、撮影も可能。；机の上に電話機があったが、メグレはそれに触ってもらいたくなかった。</t>
        </is>
      </c>
      <c r="J3389">
        <f>HYPERLINK("https://www.weblio.jp/content/触る", "词义详情")</f>
        <v/>
      </c>
      <c r="K3389">
        <f>HYPERLINK("https://yourei.jp/触る", "查看例句")</f>
        <v/>
      </c>
    </row>
    <row r="3390">
      <c r="A3390" t="inlineStr">
        <is>
          <t>障る</t>
        </is>
      </c>
      <c r="B3390" t="inlineStr">
        <is>
          <t>成功</t>
        </is>
      </c>
      <c r="C3390" t="inlineStr">
        <is>
          <t>読み方：さわる
［動ラ五（四）］《「障る」の意から派生》
１手などをそのものに軽くつける。また、何かが身体にふれて、そのものの存在が感覚的にわかる。「汚い手で—・るな」「ひんやりとしたものが顔に—・った」
２（近づいて）かかわりを持つ。関係する。「とかくの噂(うわさ)があるので彼には—・らないほうがいい」「政治的な問題には—・らないでおく」
３（「障る」とも書く）感情を害する。「神経に—・る」「癇(かん)に—・る」
[可能]さわれる
[用法]さわる・ふれる——「額(ひたい)にさわる（ふれる）とひどく熱かった」「宝石にそっとさわる（ふれる）」のように、人と人、人と固体・液体とが接触する場合は相通じて用いられる。◇人が気体などに接触する場合や、物と物とが接触する場合にも「ふれる」を使って「冷気にふれて震えあがった」「高圧電流にふれて感電死する」「風で枝が壁にふれる」などという。◇接触の程度は「ふれる」の方が軽い感じである。「手でさわる」は手を押し付け、動かしてみるさまを、「手をふれる」は対象の表面にそっと手を接触させるさまをいう。◇「着物の裾(すそ)が床にさわる」「棒でさわってみる」などは、「裾」「棒」を人体の延長ととらえての言い方である。</t>
        </is>
      </c>
      <c r="D3390" t="inlineStr">
        <is>
          <t>障る笑い方</t>
        </is>
      </c>
      <c r="E3390" t="inlineStr">
        <is>
          <t>影響；作用；邪魔；ブロック；関わる</t>
        </is>
      </c>
      <c r="F3390" t="inlineStr">
        <is>
          <t>寄ると障る</t>
        </is>
      </c>
      <c r="H3390" t="n">
        <v>29</v>
      </c>
      <c r="I3390" t="inlineStr">
        <is>
          <t>これではかえって加賀さまのお身体に障るのではないかと、ほうは思う。；源は少女の気に障ったと思ったので、すぐ他のことに話を移してしまった。；夕陽を背にした金髪の何本かが、障く糸になって月の女王を飾っていた。；障紙の向こうを流れるように過ぎる人影は、少しの音もたてなかった。；さらに、以前より患っていた内障眼が悪化し視力もほとんど失っていた。；別に気に障るような事を言ったおぼえもないし、病気らしい様子もなかった。；私はますます気に障ったがそれでもなおじっと堪えて、再び口を噤んだ。；彼がそこにいることが気に障らないことに、急に気づいたのだった。；領主 別に気にも障らんが、お前はどうも俺を誤解しているようだ。；このようにあなたを子供扱いして、気にお障えにならないで下さい。；女の子が何をしたのかはわかりませんが、何かが母の癇に障ったんでしょう。；彼女のやることが神経に障る理由がなんなのか、香澄はやっと思い出した。；高級なのはわかっているが、いつもケイスの気に障るスタイルなのだ。；気に障ることがあったら、思ったことをどんどん言っちゃって構いません。；それが気に障ったのか、うっすらとではあるが頬に血が登ってきた。；もとからそれは癇に障る癖だったが、今となってはもっと腹に据えかねた。；これはアングルの首の怪我にできるだけ障らないための処置であった。；今まで見えたものが見えなくなり、気にならなかったものが気に障るようになる。；何かホロの気に障るようなことを言ってしまったのかもしれない。；次の日、ガヴリーラは女主人の気に障る吠え声を直すように命じられる。；いくら言っていることに裏がなくても心がなくても、気に障るものは気に障る。；体に障ってはと思いまして葬式が済むと車で御送り申した次第です。；きっと、ほんとうは、みんな私のあまりに適切な評論が気に障ったのだ。；それが犯人の癇に障るのか、低い唸り声のようなものが聞こえてくる。；しかし、あまりにもマニュアル通りの行動すぎて、逆に男の癇に障った。；体に障るからと何度注意されても朝から晩まで指し続けた。；その後は西洋画を排斥する人に逢うと癇癪に障るので大に議論を始める。；ブルータス まさか私の言葉がお気に障つての御退席とも思へませんが。；見るもの障るもの、彼の心を苛つかせる種にならぬものはなかつた。</t>
        </is>
      </c>
      <c r="J3390">
        <f>HYPERLINK("https://www.weblio.jp/content/障る", "词义详情")</f>
        <v/>
      </c>
      <c r="K3390">
        <f>HYPERLINK("https://yourei.jp/障る", "查看例句")</f>
        <v/>
      </c>
    </row>
    <row r="3391">
      <c r="A3391" t="inlineStr">
        <is>
          <t>参加</t>
        </is>
      </c>
      <c r="B3391" t="inlineStr">
        <is>
          <t>成功</t>
        </is>
      </c>
      <c r="C3391" t="inlineStr">
        <is>
          <t>読み方：さんか
［名］(スル)
１ある目的をもつ集まりに一員として加わり、行動をともにすること。「討論に—する」「—者」
２法律上の関係または訴訟に当事者以外の者が加わること。「訴訟—」</t>
        </is>
      </c>
      <c r="D3391" t="inlineStr">
        <is>
          <t>参加する(14%)；参加できる；参加者；参加国；参加型</t>
        </is>
      </c>
      <c r="E3391" t="inlineStr">
        <is>
          <t>行く；出場；属する；加入；関与</t>
        </is>
      </c>
      <c r="F3391" t="inlineStr">
        <is>
          <t>多数参加；視聴者参加；全員参加；実戦参加；直接参加</t>
        </is>
      </c>
      <c r="G3391" t="inlineStr">
        <is>
          <t>参加資格；参加人；参加メンバー；参加費；参加標準記録</t>
        </is>
      </c>
      <c r="H3391" t="n">
        <v>29</v>
      </c>
      <c r="I3391" t="inlineStr">
        <is>
          <t>細野は1970年代に多くのアーティストの作品で演奏に参加している。；実際の会議にはイタリアも参加し、さらに翌年にはカナダも加わった。；本プロジェクトへ参加を表明される方は/参加者へ署名をお願いします。；個人参加も可能で、企業がスポンサーとして参加することも可能である。；長らく近隣の湾岸協力会議の参加諸国と連携して国際関係を築いてきた。；日本の参加が他国と比べて遅れた理由は、いくつか指摘されている。；これはゲームにおいてより大きな手と多くのプレイヤーの参加を許す。；サミットの新たなメンバー国を増やすには、全参加国の支持が必要となる。；また、キャンプに練習生として参加していた西村卓朗と契約を締結した。；ヘンダーソン基地艦砲射撃に参加する案も検討されたが取りやめとなった。；グリッドの場合、特に複数のOSが参加できるようにしている場合が多い。；当初は東側の作品は除かれており、ソ連の初参加は1974年である。；しかし、北朝鮮はまた復帰しており全体として参加国は増加傾向である。；現在でも、特にアメリカとの関係で国際大会への参加に支障が出る場合がある。；なお、この年のサポートメンバーはベースにビリー・シーンが参加した。；また、大学のボート部に参加しようと決意したことも状況を変える効果をもたらした。；戦闘で得た経験値は、戦闘に参加したキャラクターのみが獲得する。；並行して学校での試合にも参加し、ベッカムは地区と州の代表に選出されている。；この休戦に参加したイギリスとドイツ将兵は合計で10万人以上とされる。；これには、のちにドイツ帝国のほとんどの各邦とオランダが参加した。；また、日本人が自転車競走に参加したのも同年、との記録がある。；アジア人の大学チームは、言語の問題からほとんど参加していない。；そして、役割を果たし生活するために人間は社会に対し様々な形態で参加する。；このパリでの会議には以下の人々が参加している。；日本は1990年の第31回北京大会より参加したが20位に終わった。；のちに路面電車や鉄道にも拡大され、長崎県内の10社局が参加した。；この反乱に参加したのは戦争の負債と税金に憤った小農が大半だった。；また、FIFAワールドカップの予選には2010年大会予選から参加。；彼は党で地位につかなかったが、積極的に党の活動に参加した。</t>
        </is>
      </c>
      <c r="J3391">
        <f>HYPERLINK("https://www.weblio.jp/content/参加", "词义详情")</f>
        <v/>
      </c>
      <c r="K3391">
        <f>HYPERLINK("https://yourei.jp/参加", "查看例句")</f>
        <v/>
      </c>
    </row>
    <row r="3392">
      <c r="A3392" t="inlineStr">
        <is>
          <t>傘下</t>
        </is>
      </c>
      <c r="B3392" t="inlineStr">
        <is>
          <t>成功</t>
        </is>
      </c>
      <c r="C3392" t="inlineStr">
        <is>
          <t>読み方：さんか
全体を一つの勢力としてまとめる指導的な人物や機関の下で、その統制・支配を受ける立場にあること。翼下。「—に入る」「—に置く」</t>
        </is>
      </c>
      <c r="D3392" t="inlineStr">
        <is>
          <t>傘下のaaa級(7%)；傘下のルーキー級(2%)；傘下aaa(2%)；傘下企業；傘下団体</t>
        </is>
      </c>
      <c r="E3392" t="inlineStr">
        <is>
          <t>支配下；統制下；翼下</t>
        </is>
      </c>
      <c r="F3392" t="inlineStr">
        <is>
          <t>傘下所属；傘下ルーキーリーグ；傘下アドバンス；ホールディングス傘下；傘下ルーキー級</t>
        </is>
      </c>
      <c r="H3392" t="n">
        <v>29</v>
      </c>
      <c r="I3392" t="inlineStr">
        <is>
          <t>児玉が圧力をかける時は今澄のときのように傘下のメディアを駆使した。；東宝が東映を傘下に収めようとしたことで東映が反発したとされている。；なお、京王電気軌道の傘下に入るまでは中島飛行機の系列企業であった。；同じ現象は日本でも発生し独立プロの多くが大手の傘下となった。；近鉄傘下となってから唯一開業した丸物の店舗で、最後の新店舗でもある。；トムソン傘下のRCAなどから対応ハードウェアもいくつか発売された。；これに伴い発足した第四北越フィナンシャルグループの傘下に入った。；島津播磨家の武将の島津忠兼も時氏の傘下として戦うように命じられた。；全国9ブロックの地区連盟を設置し、その傘下に46都府県連盟を設置。；その間は傘下マイナーリーグなどから代替選手を補充することができる。；世界陸連は6地域に分類された212の国・地域の加盟団体を傘下に持つ。；また大日本武徳会柔道部門には空手や捕縛術も柔道傘下に置かれていた。；ただし、傘下に置いている駅がなく地区駅単独で存在という形態となっている。；西部総局は、紙面構成の関係から、格下げ時に東京本社傘下に置かれた。；しかし、この晴賢の政策に反発する傘下の領主らも少なくなかった。；以降スターキャットなど他のケーブルテレビ局も傘下に収めて現在に至る。；文禄の役では二番隊主将となり鍋島直茂、相良頼房などを傘下に置いた。；それに伴い、傘下にあった8つのプラントは独断による行動を開始する。；これによってインド諸侯間の争いに介入し、多くの諸侯を傘下に収めた。；旧社オーナーが新聞以外の事業を継承した『デイリー社』の傘下となった。；ザロモン時代に様々な組織が突撃隊のもとに創設・あるいは傘下に入れられた。；次の主要事業部があり、それぞれに多数の傘下企業を抱えている。；筆頭株主などの形で、以下の会社をグループの傘下に置いている。；タイ族は既に居住していたものの、傘下の一民族にすぎなかったものと見られている。；実際の制作はTMS傘下のテレコム・アニメーションフィルムで行われた。；なお、各傘下の地域版の現地での印刷委託は従来同様で変更はない。；三越伊勢丹ホールディングスの傘下の企業が経営する店舗を除く。；直営駅であり、海田市駅傘下の地区駅として地区駅長が配置されている。；また同じく関連会社だった笠岡タクシーはアサヒタクシーの傘下となった。</t>
        </is>
      </c>
      <c r="J3392">
        <f>HYPERLINK("https://www.weblio.jp/content/傘下", "词义详情")</f>
        <v/>
      </c>
      <c r="K3392">
        <f>HYPERLINK("https://yourei.jp/傘下", "查看例句")</f>
        <v/>
      </c>
    </row>
    <row r="3393">
      <c r="A3393" t="inlineStr">
        <is>
          <t>酸化</t>
        </is>
      </c>
      <c r="B3393" t="inlineStr">
        <is>
          <t>成功</t>
        </is>
      </c>
      <c r="C3393" t="inlineStr">
        <is>
          <t>読み方：さんか
［名］(スル)物質が酸素と化合すること、または水素を失うこと。一般には原子または原子団から電子を取り去ること。→還元</t>
        </is>
      </c>
      <c r="D3393" t="inlineStr">
        <is>
          <t>酸化する(8%)；酸化物(5%)；酸化剤(5%)；酸化される(5%)；酸化的(3%)</t>
        </is>
      </c>
      <c r="E3393" t="inlineStr">
        <is>
          <t>燻す</t>
        </is>
      </c>
      <c r="F3393" t="inlineStr">
        <is>
          <t>金属酸化；酸化させる；過酸化；空気酸化；酸化触媒</t>
        </is>
      </c>
      <c r="G3393" t="inlineStr">
        <is>
          <t>酸化剤；酸化物；酸化水素；酸化硫黄；酸化窒素</t>
        </is>
      </c>
      <c r="H3393" t="n">
        <v>29</v>
      </c>
      <c r="I3393" t="inlineStr">
        <is>
          <t>加熱すると酸化されて色が展開される有機化合物などがこれに含まれる。；錆石の下には酸化されていない新鮮な花崗岩が地下深くまで続いている。；ともに酸化型および還元型をとり、一電子還元を受けた中間型を生じる。；酸素分圧がこの値より大きい環境では金属は酸化されることになる。；そして陽性の酸化物と陰性の酸化物は元素と同じように結合するとした。；これは四酸化オスミウムに類似した構造と特性を持つ強力な酸化剤である。；金属表面が酸化されないため、焼鈍前と同等の表面を保つことができる。；塩化オキサリルは上記の例と同じように酸化時に蛍光染料を発光させる。；これらの生成物は更なる酸化により別の化合物へと変化することとなる。；ウンビヘキシウムは、他のさまざまな酸化数を示すことも予測されている。；空気酸化はここに示した例からも先に進行しさらに複雑な化合物や樹脂化する。；生理学の実験では酸化還元電位を増加させる目的にしばしば使われる。；酸化作用の強いファストフードなどを食べ続けることは避けなければならない。；自体は不燃性だが、酸化性があるため可燃物や還元剤と激しく反応する。；酸化されにくい成分を含むため、発煙する温度が大豆油などよりも高い。；それよりも牛乳中の溶存酸素の量が酸化や風味に影響するといわれる。；めったに見られないが、NBSはアルコールの酸化にも利用可能である。；これらの働きは、通常システインが酸化されない細胞内環境に限定される。；硫酸は二酸化硫黄を酸化し水と反応させることで製造されている。；これが空気に触れると酸化して茶色くなるが、腐敗しているわけではない。；生体内では酸化されて分解し、単量体として作用することが知られている。；この酸化物には他に単斜晶系や六方晶系の2つの相が知られている。；保存性は非常によいが、時間が経過すると酸化により味が落ちる。；すなわち、あまり酸化性が強くない環境でも不働態化しやすくなる。；一般的な混酸ではフェノールがニトロ化よりも先に酸化され純品を得ない。；また、地球上で自然界に存在する鉄は酸化しているため還元する必要があった。；泡はビールが空気に触れて酸化されることにより味が変化することを防ぐ役割もある。；このとき、銅を中心に反応を見ると、銅を酸化する酸素は酸化剤である。；ちなみに大酸化イベント以前の地球にもごく少量の酸素は存在していた可能性がある。</t>
        </is>
      </c>
      <c r="J3393">
        <f>HYPERLINK("https://www.weblio.jp/content/酸化", "词义详情")</f>
        <v/>
      </c>
      <c r="K3393">
        <f>HYPERLINK("https://yourei.jp/酸化", "查看例句")</f>
        <v/>
      </c>
    </row>
    <row r="3394">
      <c r="A3394" t="inlineStr">
        <is>
          <t>三角</t>
        </is>
      </c>
      <c r="B3394" t="inlineStr">
        <is>
          <t>成功</t>
        </is>
      </c>
      <c r="C3394" t="inlineStr">
        <is>
          <t>読み方：さんかく
１三つの角(かど)があること。また、その形。三角形。
２「三角法」「三角関数」などの略。</t>
        </is>
      </c>
      <c r="D3394" t="inlineStr">
        <is>
          <t>三角屋根(5%)；三角状(4%)；三角地帯(4%)；三角帆(3%)；三角線(3%)</t>
        </is>
      </c>
      <c r="E3394" t="inlineStr">
        <is>
          <t>三角形；トライアングル</t>
        </is>
      </c>
      <c r="F3394" t="inlineStr">
        <is>
          <t>赤い三角；三角岳；三角翼；三角網；三角文</t>
        </is>
      </c>
      <c r="G3394" t="inlineStr">
        <is>
          <t>三角関係；三角州；三角点；三角関数；三角帽</t>
        </is>
      </c>
      <c r="H3394" t="n">
        <v>29</v>
      </c>
      <c r="I3394" t="inlineStr">
        <is>
          <t>新駅舎でも、正面デザインはガラスを使った三角屋根風となっている。；いずれにせよジョルダン標準形の存在を示すときには三角化が必要となる。；この道ができたことで三角形の地域が現れたので三角街道とする説もある。；したがって、形は従来の丸型にこだわることなく三角でも四角でもよい。；駅舎は三角屋根の大きなもので、団体客などの利用に対応している。；オニギリの三角の頂点に当たる部分に操縦席の窓が小さく開いています。；駅舎入口にあるガラスの三角屋根はヨットの帆をイメージしたものである。；同年9月に三角同盟を軸に労働者同志会を結成して主要メンバーとなった。；この赤三角研究団は、いったい何のためにこんなことをやっているのであろうか。；この建物は三角破風と階段破風を組み合わせたファサードを有している。；それについてこの赤三角研究団が今研究を始めているのであった。；葉身は三角状心形で、ややフキの葉に似ているが、葉柄には翼がある。；広で創業した寺岡がこの地に三角工場を置いたのは1972年のこと。；なお、どちらの三角が濃いかは時代によって表記が異なっている場合がある。；実際に作ってみると分かるが、上の方が三角以外の部分の面積が若干大きくなっている。；この種の胸には三角を縦に並べた、砂時計にも似た形の部分がある。；同建物は特徴的な三角屋根を持ち、下関市のシンボル的な存在だった。；僕はその広場の一隅で三角籤を買ったりして遊んでいたのである。；眉ははっきりとしており、目の形は三角でなくてはならない。；本項では、三角線で運行されていた優等列車の沿革についても記載する。；これは特に秩父セメント側の指定で三角カーボンが擦板に採用されている。；丸木の宇宙艇には、背中のところに、赤い三角の旗が立っていますよ。；この年の1月20日には特急料金制度を三角表示方式より対キロ制に変更した。；裂片は基本的には丸みを帯びた三角だが、やや羽状に裂けるのも見られる。；九州鉄道により現在の三角線が開通した当初から存在する駅である。；両川に挟まれた三角地帯には、中央構造線博物館などが整備されている。；すると、赤児の腹のところに、三角にくけた胴巻が巻きつけてありました。；駅舎は開業時のものだが、1988年に洋風な三角屋根に改装されている。；また、オウギグモは三角網を張るが、これは円網の一部が残った形である。</t>
        </is>
      </c>
      <c r="J3394">
        <f>HYPERLINK("https://www.weblio.jp/content/三角", "词义详情")</f>
        <v/>
      </c>
      <c r="K3394">
        <f>HYPERLINK("https://yourei.jp/三角", "查看例句")</f>
        <v/>
      </c>
    </row>
    <row r="3395">
      <c r="A3395" t="inlineStr">
        <is>
          <t>山岳</t>
        </is>
      </c>
      <c r="B3395" t="inlineStr">
        <is>
          <t>成功</t>
        </is>
      </c>
      <c r="C3395" t="inlineStr">
        <is>
          <t>読み方：さんがく
陸地の表面が著しく盛り上がった所。高く険しい山が連なったり、より集まったりしている所。「—地帯」</t>
        </is>
      </c>
      <c r="D3395" t="inlineStr">
        <is>
          <t>山岳会(6%)；山岳地域(4%)；山岳ステージ(3%)；山岳民族(2%)；山岳区間(2%)</t>
        </is>
      </c>
      <c r="E3395" t="inlineStr">
        <is>
          <t>山；岳；嶽；マウンテン；お山</t>
        </is>
      </c>
      <c r="F3395" t="inlineStr">
        <is>
          <t>山岳連盟；山岳遭難；山岳寺院；山岳救助隊；山岳トンネル</t>
        </is>
      </c>
      <c r="G3395" t="inlineStr">
        <is>
          <t>山岳部；山岳信仰；山岳賞；山岳派；山岳戦</t>
        </is>
      </c>
      <c r="H3395" t="n">
        <v>29</v>
      </c>
      <c r="I3395" t="inlineStr">
        <is>
          <t>古代にはイサウリア人と呼ばれる独立心旺盛な山岳民族が居住していた。；山岳会には山または歩くことにちなんだ名前が付けられることが多い。；山岳派への支援を得ながらが相続の制限を提案した立法委員会も形成した。；山岳輸送車や水陸両用車も研究されたが、結局採用に至ることは無かった。；いずれも山岳路を経由する形となるためアクセスには相応の時間を要する。；西部は山岳が多く、地質および地形的にロッキー山脈北部に属している。；農業も行われているが、州の多くが山岳地形なため限られた量となっている。；その他、ミンダナオ島出身説やタイの山岳民族であるとの説もあった。；しかし、山岳ステージを全て終えてからのメルクスの強さはさすがだった。；現在のヨーロッパバイソンよりも山岳に適した姿をしていたとされる。；第10ステージからはいよいよ山岳ステージが連続で続く正念場の区間。；山岳での農業がよく発達しており、山岳地帯に人が住んでいたからである。；またほとんどの隊員が山岳行動や戦闘潜水の資格も得ている。；なお、難波から高野線の山岳区間へ直通運転することを大運転と称する。；福井平野に位置しているため全域が平地であり、山岳は存在しなかった。；つまり、山岳や丘陵の斜面では河谷とは逆に「陽」は南側斜面にあたる。；山岳と自然を主題とした詩や散文に多くの優れた作品を残した。；奴隷たちは厳しい労働に耐えかね、しばしば山岳部へと逃亡した。；西部の海岸から300マイル以上入った山岳地では温帯山岳気候になる。；山菜採りを行っていた者が山岳遭難する事例が毎年報告されている。；農業は重要性を維持しているが、山岳地では観光業が支配的な産業となった。；山岳の斜面にある緩やかな斜面はその形状から山麓緩斜面と呼ばれる。；また、イタリアのソレントにある山岳博物館には、作品が展示されている。；大陸分水界が西側山岳地を南北に走っており、気候に与える影響が大きい。；山岳、スキーなどをテーマとした画文や文明批評的なイラストで知られる。；タイの山岳民族の間では神が余りものを繋ぎ合わせて創造した動物とされた。；日本三名山の白山を有する市南部は山岳地域で、手取川は北へと流れる。；山岳で樹形が曲がりくねっているのは「踊り樺」などとよぶこともある。；平野部はベリーズとニカラグアに多いが、その他の国は山岳地形である。</t>
        </is>
      </c>
      <c r="J3395">
        <f>HYPERLINK("https://www.weblio.jp/content/山岳", "词义详情")</f>
        <v/>
      </c>
      <c r="K3395">
        <f>HYPERLINK("https://yourei.jp/山岳", "查看例句")</f>
        <v/>
      </c>
    </row>
    <row r="3396">
      <c r="A3396" t="inlineStr">
        <is>
          <t>三角形</t>
        </is>
      </c>
      <c r="B3396" t="inlineStr">
        <is>
          <t>成功</t>
        </is>
      </c>
      <c r="C3396" t="inlineStr">
        <is>
          <t>読み方：さんかくけい
三つの線分で囲まれた多角形。さんかっけい。</t>
        </is>
      </c>
      <c r="D3396" t="inlineStr">
        <is>
          <t>三角形状(2%)；三角形の各；三角形abc；三角形型；三角形断面</t>
        </is>
      </c>
      <c r="E3396" t="inlineStr">
        <is>
          <t>トライアングル；三角</t>
        </is>
      </c>
      <c r="F3396" t="inlineStr">
        <is>
          <t>大きな三角形；細長い三角形；赤い三角形；長三角形；状三角形</t>
        </is>
      </c>
      <c r="G3396" t="inlineStr">
        <is>
          <t>三角形の中心；三角形関数；三角形の内接円と傍接円</t>
        </is>
      </c>
      <c r="H3396" t="n">
        <v>29</v>
      </c>
      <c r="I3396" t="inlineStr">
        <is>
          <t>少数の根出葉を出し、それらは長い柄があって三角形に近い葉身を持つ。；メディアの痕跡探しは「メディアの三角形」に集中して実施されている。；さらにその周囲に三角形状の黒い斑紋が入り、和名の由来になっている。；腹部は雌の腹の形を後へ向けてしぼませような、三角形に近い形である。；吊り輪は1次車では丸型であったが、2次車からは三角形に変更された。；この道ができたことで三角形の地域が現れたので三角街道とする説もある。；各センサーの中心および対象物表面上の点が空間上に三角形を構成する。；三角形のカードと四角形のカードが一体化したカードがセットとなっている。；葉の形は三角形で淡い緑色で、表面に白い粉を吹いたようになっている。；三角形の辺の長さを計算できることは、特に建築において重要である。；例えば、三角形は真の実体であり、人間の心が生みだしたものではない。；一般には色紙を細かく四角形や三角形に裁断したものが使用されている。；各胴節の両腹側からは1対の丸みを帯びた三角形の鰭が張り出している。；見る角度によって山体が三角形に見えることからその名が付けられた。；四大洲のうち、南に位置する三角形の大陸をジャンブドヴィーパと呼ぶ。；この部分は三角形になって、盛り上がっており、特に背盾板と呼ばれる。；尾根の末端が切り取られて三角形に見えるため、このように命名された。；車内のつり革は三角形であり、当初は座席前の線路方向のみ設置していた。；客車の屋根が三角形に尖っているのは無賃乗車を防ぐための措置である。；近縁種のクジメとは、尾びれが三角形に角ばっていることで区別できる。；パソコンのディスプレイで正確に表示されるのはこの三角形の範囲内。；つまり人間は現実環境、擬似環境、行動の三角形の中で活動するのである。；双眼鏡ではやや明るい星が小さな三角形を作っているのが見える。；他の2組の三角形は地球の軌道に沿って離れた場所に位置する。；外国人の場合は彼らの出身国名の頭文字が三角形の上に記載された。；下顎の歯の舌側には三角形の稜が、両顎のランダムな歯に帯がある。；形は、青地の三角形の中に白丸と2個の輪が描いたものが使用された。；またこの三原色を混ぜ合わせてできる二次色がもう一つの三角形をなす。；北を流れるナルマダ川と南を流れるが縁取る山域は細長い三角形をしている。</t>
        </is>
      </c>
      <c r="J3396">
        <f>HYPERLINK("https://www.weblio.jp/content/三角形", "词义详情")</f>
        <v/>
      </c>
      <c r="K3396">
        <f>HYPERLINK("https://yourei.jp/三角形", "查看例句")</f>
        <v/>
      </c>
    </row>
    <row r="3397">
      <c r="A3397" t="inlineStr">
        <is>
          <t>参議院</t>
        </is>
      </c>
      <c r="B3397" t="inlineStr">
        <is>
          <t>成功</t>
        </is>
      </c>
      <c r="C3397" t="inlineStr">
        <is>
          <t>読み方：さんぎいん
日本国憲法のもとで、衆議院とともに国会を構成する両院の一。通常選挙で選出された、全国民を代表する議員で組織される。権限は衆議院より弱いが、衆議院の行き過ぎを是正し、国会の審議を慎重なものとする役割をもつ。解散はなく、衆議院の解散中に緊急の必要があるときは、単独で国会の権能を行使する。参院。→衆議院
[補説]衆議院で可決した法案を再度審議する立場のため「再考の府」「熟慮の府」、また、良識に基づいて中立公正を守る立場にあるので「良識の府」とも呼ばれる。</t>
        </is>
      </c>
      <c r="D3397" t="inlineStr">
        <is>
          <t>参議院本会議(6%)；参議院幹事長(3%)；参議院予算委員会(2%)；参議院内閣委員；参議院自民党</t>
        </is>
      </c>
      <c r="F3397" t="inlineStr">
        <is>
          <t>参議院農林水産；参議院会派；参議院決算委員会；参議院運輸；参議院議院運営</t>
        </is>
      </c>
      <c r="G3397" t="inlineStr">
        <is>
          <t>参議院選挙；参議院議長；参議院議員通常選挙；参議院議員選挙；参議院議員会長</t>
        </is>
      </c>
      <c r="H3397" t="n">
        <v>29</v>
      </c>
      <c r="I3397" t="inlineStr">
        <is>
          <t>参議院も衆議院と同様に全国民を代表する選挙された議員で組織される。；衆議院では、参議院からの修正回付案に同日同意が与えられ、成立した。；参議院と同じく全国民を代表する、選挙により選出された議員で組織される。；参議院の決算委員会は第1回国会から現在まで一貫して設置されている。；国会法に基づいて置かれる事務総長を長とし、参議院の事務を処理する。；参議院では野党が委員会への名簿の提出を拒否する審議拒否に出た。；なお、当時の参議院は政党に属さない保守系議員が多くを占めていた。；また、交渉会派しか行うことができないのも、参議院と同じである。；これは参議院が衆議院同様に政党に主導されるようになって以来唯一の例である。；第二共和国時代は二院制を採用し、民議院と参議院が設置されていた。；請願の形式を整ていなかったので参議院文化委員会で紹介されるにとどまった。；開会式は衆議院議員も傍聴席などを利用して参議院本会議場に移動する。；これは、解散がなく任期が安定している参議院の特色を生かした制度である。；これに伴い、参議院では10月23日付で民主党との統一会派を結成した。；しかし参議院の政党化が進むにつれて緑風会の勢力は次第に衰えていく。；佐藤長期政権を支えていた柱の一つが参議院の重宗雄三議長であった。；先例では、参議院議長・副議長が現職で死去した場合は参議院葬となる。；北海道全域を区域とし、参議院の中で面積が最大の選挙区である。；しかし、参議院が求めた場合でも、衆議院は拒否することができる。；日本国憲法に定められた衆議院と参議院の関係を改正すべきだという意見がある。；参議院においては参議院議長が開票結果を報告することになっている。；なお、法案は同日の衆議院通過後、4月17日に参議院で可決成立した。；参議院の常任委員会は参議院規則で以下のように定められている。；数日後に参議院に菊田は呼ばれ、赤ちゃん斡旋について話すことになった。；なお、参議院では否決されたものの問責決議案が提出されている。；その際参議院民進党の左派系議員は立憲民主党に移籍し、左右分裂が固定化した。；内閣総理大臣の演説は以下の場合に衆議院と参議院の本会議場で行われる。；参議院の実力者である輿石東幹事長が強く推薦したとされている。；当時中継を担当していた佐藤龍文が緊急地震速報が出された旨や参議院第一委員会室内での揺れの様子等を伝えた。</t>
        </is>
      </c>
      <c r="J3397">
        <f>HYPERLINK("https://www.weblio.jp/content/参議院", "词义详情")</f>
        <v/>
      </c>
      <c r="K3397">
        <f>HYPERLINK("https://yourei.jp/参議院", "查看例句")</f>
        <v/>
      </c>
    </row>
    <row r="3398">
      <c r="A3398" t="inlineStr">
        <is>
          <t>産休</t>
        </is>
      </c>
      <c r="B3398" t="inlineStr">
        <is>
          <t>成功</t>
        </is>
      </c>
      <c r="C3398" t="inlineStr">
        <is>
          <t>読み方：さんきゅう
「出産休暇」の略。</t>
        </is>
      </c>
      <c r="D3398" t="inlineStr">
        <is>
          <t>産休中(8%)；産休入り(4%)；産休明け(3%)；産休前(3%)；産休後(2%)</t>
        </is>
      </c>
      <c r="H3398" t="n">
        <v>29</v>
      </c>
      <c r="I3398" t="inlineStr">
        <is>
          <t>これに伴いグラビアアイドルを卒業する形となり、その後は産休に入る。；ちょうど、市内の中学校の産休代理教員の口がかかっていたときだった。；これに伴い大橋は京都局に異動となり、自身も同年秋から産休入りした。；そして8月31日の放送では次週の放送から産休に入ることも発表された。；同年5月に妊娠中であることを公表し、同年7月から産休に入っている。；産休入り後に防災士の資格を取得したことを明らかにしている。；シノノメ女史の産休だって、そのための準備なのかもしれないではないか。；同番組の出演はこの日が最後となり、11月からは産休に入った。；冨永が産休の際には元秋田放送アナウンサーの村野日南が代行を務めた。；労働基準法は産休を定めているが、議会人には適用されていない。；産休に入る直前のCOLORS内で流れた曲はすべてSMAPを選曲した。；ちょうど同時期に産休明けの復帰を果たした山本優希と並んでの発売であった。；試合後に外野手のが産休リストから復帰したため、AAA級へ降格した。；これら状況の変化を経て、産休を利用して曲を書き始めたのをきっかけにアルバム制作が本格化した。；また、小林が産休を取った時にはCLAMPが代筆をしたこともある。；また、産休前最後の作品でもあり、本アルバムをもって産休に入る。；それで落ち込んで、アインの時は取らなかった産休を取る事にした。；産休に入る前に、夕佳ちゃんは、病院に赤ちゃんを見に行ってもいい?；結婚後も活動を続けていたが、2010年に出産を控えて産休を取得。；産休をとらずに辞めたところに、彼女の美意識のようなものを感ずる。；水谷の産休に伴い翌週から遠藤の担当となり、タイトルが変更された。；そして同年11月には、産休に入ることを自身のブログで公表した。；このため、産休中であった小倉弘子が出産後半年でのスピード復帰となった。；また、第3夜の主演を務めた財前直見の産休後復帰作にもなっている。；ツインテール姉の産休期間中は、ゲストが月替わりで代役を務めている。；このとき、産休となったジェニー・バラッツァの穴を埋める活躍を見せた。；サガテレビ在籍中、出産を控えて2011年2月から産休に入っていた。；夫の転勤と産休とが重なったため、会社の方も心配したようだ。；同時に10月より産休に入り、担当していた番組を全て降板した。</t>
        </is>
      </c>
      <c r="J3398">
        <f>HYPERLINK("https://www.weblio.jp/content/産休", "词义详情")</f>
        <v/>
      </c>
      <c r="K3398">
        <f>HYPERLINK("https://yourei.jp/産休", "查看例句")</f>
        <v/>
      </c>
    </row>
    <row r="3399">
      <c r="A3399" t="inlineStr">
        <is>
          <t>産業</t>
        </is>
      </c>
      <c r="B3399" t="inlineStr">
        <is>
          <t>成功</t>
        </is>
      </c>
      <c r="C3399" t="inlineStr">
        <is>
          <t>読み方：さんぎょう
１生活に必要な物的財貨および用役を生産する活動。農林漁業、鉱業、製造業、建設業、運輸・通信、商業、金融・保険・不動産業などの総称。
２生活していくための仕事。職業。生業。なりわい。</t>
        </is>
      </c>
      <c r="D3399" t="inlineStr">
        <is>
          <t>産業用(3%)；産業分野；産業技術；産業地区；産業発展</t>
        </is>
      </c>
      <c r="E3399" t="inlineStr">
        <is>
          <t>事業；製造；生産；製作；工業</t>
        </is>
      </c>
      <c r="F3399" t="inlineStr">
        <is>
          <t>映画産業；重要な産業；主産業；主要な産業；石炭産業</t>
        </is>
      </c>
      <c r="G3399" t="inlineStr">
        <is>
          <t>産業界；産業廃棄物；産業振興；産業構造；産業化</t>
        </is>
      </c>
      <c r="H3399" t="n">
        <v>29</v>
      </c>
      <c r="I3399" t="inlineStr">
        <is>
          <t>一部に小売されている物も存在はしたが、専ら産業用途に使われていた。；羊毛と布産業のための単位は、単位をそれらの商品に特有なものにした。；住宅地を開発し、住宅を建設して販売する産業は住宅産業と総称される。；産業の未成熟で限定的な輸送力しか必要としない地域に建設される事例が多い。；産業はそれほど存在せず、政治の中心としての性格が強い都市である。；最初の問題は発展途上国の近代的産業はあまり効率がよくないことだ。；小霊通サービスが信息産業部に正式に認められたのは2003年である。；そのため、当路線は地元の鉄道産業にも欠かせない路線の一つとなっている。；以前に経済の中心をなしていた農業は産業の工業化により重要度が低下した。；兵庫県は様々な景色を持つため、多くの映像産業に積極的に協力している。；かつては除虫菊の栽培が盛んだったが、産業としての栽培は廃れている。；は、人間の生活や産業等の諸活動の為に利用可能なものをいう。；これは20世紀後半になって開発された産業用モノレールに酷似していた。；特別産業区には、以下の5区があり、共に国内外の企業を誘致している。；こうした後進産業国では政府の強力なリードのもとで産業育成がなされた。；ダイヤモンド産業はイスラエル経済を語るうえで重要な位置を占める。；比較的容易に低温が得られるため多くの産業で利用されている。；南北戦争後、インディアナ州の産業は州北部で加速度的に成長を始めた。；鉄道は産業用途として重要であるが、住民はあまり鉄道を使わない。；また、本作の受賞は日本映画産業が国際市場に進出する契機となった。；エスワティニ経済は各種産業がバランスよく開発され、多角化している。；家庭用、産業用問わず電子制御を必要とする製品において広く用いられている。；急速な成長を見せているのは欧州諸国の被服製造の下請け産業である。；私達は危険にたくさん注意を払うので、危険に関する産業も大きくなる。；もっとも、古式捕鯨の行われた地域は近代捕鯨産業でも重要な拠点だった。；ただし認定産業標準作成機関が原案を作成した場合は付議を要さない。；さらに機械分野でも制御機能の高度化に伴い自動車や各種産業機器にも組込まれている。；この頃の日本の産業・人口は三大工業地帯を含む東海道に集中した。；これは経済成長や産業の発展による化石燃料の増加と軌を一にしている。</t>
        </is>
      </c>
      <c r="J3399">
        <f>HYPERLINK("https://www.weblio.jp/content/産業", "词义详情")</f>
        <v/>
      </c>
      <c r="K3399">
        <f>HYPERLINK("https://yourei.jp/産業", "查看例句")</f>
        <v/>
      </c>
    </row>
    <row r="3400">
      <c r="A3400" t="inlineStr">
        <is>
          <t>残業</t>
        </is>
      </c>
      <c r="B3400" t="inlineStr">
        <is>
          <t>成功</t>
        </is>
      </c>
      <c r="C3400" t="inlineStr">
        <is>
          <t>読み方：ざんぎょう
［名］(スル)規定の勤務時間を過ぎてからも残って仕事をすること。また、その仕事。超過勤務。「—して仕事を片づける」「—手当」</t>
        </is>
      </c>
      <c r="D3400" t="inlineStr">
        <is>
          <t>残業代；残業続き；残業帰り；残業王；残業規制</t>
        </is>
      </c>
      <c r="E3400" t="inlineStr">
        <is>
          <t>オーバータイム；超過勤務；超勤</t>
        </is>
      </c>
      <c r="F3400" t="inlineStr">
        <is>
          <t>長時間残業；連日残業</t>
        </is>
      </c>
      <c r="G3400" t="inlineStr">
        <is>
          <t>残業手当；残業時間；残業代ゼロ；残業手当て</t>
        </is>
      </c>
      <c r="H3400" t="n">
        <v>29</v>
      </c>
      <c r="I3400" t="inlineStr">
        <is>
          <t>自分は自動車教習所に勤めており、週に三日は残業しなくてはならない。；週末なので、少し長い残業をしていたが、ほとんど疲れは覚えていない。；みんな金のない格好をして、残業続きで疲れがたまってふらふらだよね。；バイトや仕事の残業を終えて、ようやく自分の部屋に帰り着いた真夜中。；大して仕事もないのに残業しているのは、むしろ男の社員の方に多い。；それでも仕事熱心な岸辺が残業していると宣伝部の西岡が訪ねてくる。；私は夜おそくまで残業をして、その分だけを娘の家に届けようとした。；残業しているだれかに連絡を取ったとしか思われんだろうが。；ある晩、 わたしが残業をしていたら、もう一人の次長が入ってきた。；さらに一日約一時間残業をすれば、百四十四万台まで生産できる。；ところが会社で残業しているうちにどこかへ行きたくなった。；純一の帰宅が早くなったのは、残業がなくなったせいだと思っていた。；彼はパーティを営業関係の社員にまかせ、本社オフィスで残業していた。；たしかに残業や飲み会から帰った日は、一時、二時に浴びることがある。；両親とも残業で帰りが遅く、家の中には祖母と自分しかいなかった。；「今日も残業だったんだね」 小松崎の瞳に映る蝋燭の炎が揺れている。；しかし、今日、どうしても残業しなくてはならないわけではなかった。；ちょっと残業ありそうだから八時くらいになっちゃうけど、それでもいい?；奴の相手をするくらいなら、会社で残業をしてたほうがずっとマシだった。；しばらく残業続きになりそうだから、士郎のところには行けなくなると思う。；すると残業していた青ちゃんが振り返り、パッと笑顔になり一声叫んだ。；これは、残業が尻ぬぐい的な業務によるものであることをしめしている。；あたしが残業といつわって漫画を読んでいたという噂が立ったのはその直後だ。；残業で遅くなるかもしれないから、と言う理由で、父には朝のうちに渡した。；毎朝九時から泳ぐことを決めているので、深夜に及ぶ残業は避けたい。；なぜこの四社をうけたかというと、残業がない、ときかされていたからだ。；残業に追われ疲れている選手のやる気を引き出し一部に昇格させた。；残業して会社から疲れて帰ってくると、彼女はもう寝ていた。；それに会社にはまだ残業している連中もいるはずだった。</t>
        </is>
      </c>
      <c r="J3400">
        <f>HYPERLINK("https://www.weblio.jp/content/残業", "词义详情")</f>
        <v/>
      </c>
      <c r="K3400">
        <f>HYPERLINK("https://yourei.jp/残業", "查看例句")</f>
        <v/>
      </c>
    </row>
    <row r="3401">
      <c r="A3401" t="inlineStr">
        <is>
          <t>残金</t>
        </is>
      </c>
      <c r="B3401" t="inlineStr">
        <is>
          <t>成功</t>
        </is>
      </c>
      <c r="C3401" t="inlineStr">
        <is>
          <t>読み方：ざんきん
１支出後に手もとに残った金。
２支払うべき金額の未払い分。「月賦の—」</t>
        </is>
      </c>
      <c r="D3401" t="inlineStr">
        <is>
          <t>残金五百円</t>
        </is>
      </c>
      <c r="E3401" t="inlineStr">
        <is>
          <t>残高；差引勘定；差引き勘定</t>
        </is>
      </c>
      <c r="H3401" t="n">
        <v>29</v>
      </c>
      <c r="I3401" t="inlineStr">
        <is>
          <t>残金だけの船賃と請負金を横浜までの積りでくれてやるまでのことです。；残金は、あと二日内に渡してくれるように伝えておいてもらいたい。；残金のうち五万円を三郎はこの中に入れておいたのだった。；せめて何かできないかとサイフの中を確かめてみれば残金は三二〇円。；翌日は残金を渡して、一応とにかく部屋を開渡してもらふ約束だつた。；最後に振り出した小切手の控えをみると、五百ドル以上の残金があった。；残金はわずかだったが、それでも、何とか冬越しぐらいはできるはずだった。；事が成功したのが確認されてから十日後に、残金を支払うために会う約束になっている。；細入によると、設立資金の残金は清水が日本赤十字社に寄付したという。；そのため、残金の返金を求める人もいたが当時のボーダフォン側の対応は不明。；私はわずかの小銭で食べ物を買い、残金はたいせつにしまっておきました。；それでも、誰ひとり文句をいわず残金を払うのは、客たちが正直者だからではない。；残金は一九七一年に要求され、翌七二年に支払い終えた。；場合によっては、あとで残金を受取るとき、補償を請求してもよかった。；かれはつまり、それまでにわたしが残金をはらわずに夜逃げすると思っているのだ。；最終レースを買うとき、残金六百円になっていたそうだが、先生にとっても今日はいい日だった。；なお残金の一括精算は解約や機種変更を行わない場合でも可能である。；多くの場合は稲刈り前に販売し、収穫が終わった後に訪れて残金の精算をしている。；明治になっても、なお百万両の残金があったというほどの巨額な隠し財源である。；残金の担保として二人分の証書をわたしの手もとに差し出したのである。；おかげで、今日残金を呉れる約束スッポかされ、帰ってからと言ふ。；残金四万円は客からもらうようにという指示である。；損になると誰でも人のせいにしたがるもので、この客も笠原のせいにして怒ったが、残金をもっていった。；やむなく、ぼくは貴重な残金の中から、いくつかの工作機械を賃借りした。；最初はポケットに入っていた五十二円しか残金がなかった。；震災2周年に際して震災義援金の残金を用いて京都府が建設を計画した。；駄目ならその時点でも三万ドル以上の残金はある。；内金は既に支払ってあったから、残金の百万を支払って、すべては終わった。；八郎を迎えたのは主人の老母だったが、老母はあの家は残金を払ってあると言った。</t>
        </is>
      </c>
      <c r="J3401">
        <f>HYPERLINK("https://www.weblio.jp/content/残金", "词义详情")</f>
        <v/>
      </c>
      <c r="K3401">
        <f>HYPERLINK("https://yourei.jp/残金", "查看例句")</f>
        <v/>
      </c>
    </row>
    <row r="3402">
      <c r="A3402" t="inlineStr">
        <is>
          <t>産後</t>
        </is>
      </c>
      <c r="B3402" t="inlineStr">
        <is>
          <t>成功</t>
        </is>
      </c>
      <c r="C3402" t="inlineStr">
        <is>
          <t>読み方：さんご
出産したあと。「—の肥立ち」</t>
        </is>
      </c>
      <c r="D3402" t="inlineStr">
        <is>
          <t>産後ケア；産後すぐ；産後四ヵ月</t>
        </is>
      </c>
      <c r="F3402" t="inlineStr">
        <is>
          <t>産後四</t>
        </is>
      </c>
      <c r="G3402" t="inlineStr">
        <is>
          <t>産後休業；産後うつ病；産後うつ；産後クライシス；産後鬱</t>
        </is>
      </c>
      <c r="H3402" t="n">
        <v>29</v>
      </c>
      <c r="I3402" t="inlineStr">
        <is>
          <t>彼の妻は七人目の女の児を産むと同時に産後の激しい出血で亡くなった。；妊娠線では産後に縮小し目立たなくなるが完全には消えないことも多い。；子どもを傷つけようとする侵入的不安は、産後の期間よりも長くなりうる。；母の産後の肥立が悪く、どこかへ入院していたのではないかと思う。；秋の穫入れを老母と、産後の病妻とに託さねばならなかつた人もあつた。；このヘアースタイルは、みさえが産後の退院をする際に既になっていた。；ただ、母虫が目の前の卵の産後日齢を見分ける具体的な方法は判明していない。；産後、何もしないで体型が元に戻る人は、神様に選ばれたほんの一握りだ。；お民はまだ産後の床についていたが、そこへ半蔵が福島から引き取って来た。；それ等は煙に乾燥して変色していたが、婦人産後の病にきくものとされている。；産後から体が真実でないお銀は、電車に乗るとじきに胸がむかついた。；三年前に叔母さんが産後の出血で急に亡くなつたのも、その時計の下だ。；鶏卵が貴重だった頃は、病人や産後の女性が栄養食として食べていた。；子宮収縮作用から産婦人科領域で産後の出血を防ぐ目的で用いられている。；そして久保は8月23日放送分より産後1ヶ月でのスピード復帰を果たした。；つまり、そこに書いてあるように、産後に休養をとらずに腹に力のいる労働をさせられたわけだ。；妊娠線や産後の後遺症が残らなかったことは、聞くまでもありません。；また、産後の早いうちから力仕事などをしているとなりやすい。；の出であるウィリアムはの孤児院で教育を受けた人物であり、母は産後に亡くなった。；ジョイスとの間には娘が生まれたが、産後に亡くなっている。；お新は産後と言っても時が経っている。；産後体の悪かった淑子は、隠家に来てから六箇月目に、十九で亡くなった。；ひとりの妹もこの冬産後の病気で死んだ。；元来弱いうえに、産後では、いつまでもこうした重労働に耐えられはしない。；やはり産後であって、不意に山に入ったというのであった。；おそらく産後でやっと床上げをしたばかりなのであろう。；女房が産後に弱ってしまって、もう二、三日うごいてはいけねえというだよ。；宮崎によれば一連の騒動が原因で産後回復が遅れたという。；袈裟はもう産後の衰弱から回復して、すっかり元気になっている。</t>
        </is>
      </c>
      <c r="J3402">
        <f>HYPERLINK("https://www.weblio.jp/content/産後", "词义详情")</f>
        <v/>
      </c>
      <c r="K3402">
        <f>HYPERLINK("https://yourei.jp/産後", "查看例句")</f>
        <v/>
      </c>
    </row>
    <row r="3403">
      <c r="A3403" t="inlineStr">
        <is>
          <t>参考</t>
        </is>
      </c>
      <c r="B3403" t="inlineStr">
        <is>
          <t>成功</t>
        </is>
      </c>
      <c r="C3403" t="inlineStr">
        <is>
          <t>読み方：さんこう
［名］(スル)何かをしようとするときに、他人の意見や他の事例・資料などを引き合わせてみて、自分の考えを決める手がかりにすること。また、そのための材料。「研究の上で—になる」「内外の判例を—する」</t>
        </is>
      </c>
      <c r="D3403" t="inlineStr">
        <is>
          <t>参考書；参考出品；参考品；参考程度；参考館</t>
        </is>
      </c>
      <c r="E3403" t="inlineStr">
        <is>
          <t>参照；基準；引用；原点；目安</t>
        </is>
      </c>
      <c r="F3403" t="inlineStr">
        <is>
          <t>受験参考；ご参考；参考情報；教育参考；参考候補作</t>
        </is>
      </c>
      <c r="G3403" t="inlineStr">
        <is>
          <t>参考文献；参考資料；参考人；参考図書；参考記録</t>
        </is>
      </c>
      <c r="H3403" t="n">
        <v>29</v>
      </c>
      <c r="I3403" t="inlineStr">
        <is>
          <t>実際には地底王国の設定の際に、一部の作品を参考にした程度だという。；渡辺自身はこの番組で出会ったユニークな家を参考に自宅を建てている。；本記事を書くにあたって主に参考にした文献の情報を以下に記載する。；新たな記事を書く際には下の表を参考にして、適切な項目名を付けて下さい。；そのため海外での施工事例などを参考にし調査研究に数年費やしている。；国土地理院も参考にするとしており、今後単独3位となる可能性がある。；以下は、国産品の発売年が分かるものについては発売年を参考に分けた。；海外と同様日本においても黎明期の気動車は自動車を参考に製作された。；このため我々はこのヘレノスに関する物語のみは他の書籍を参考した。。；開業時の客室乗務員などサービス部門の教育は全日本空輸を参考にした。；この砂コースはアメリカ合衆国の施設を参考にして建設された。；また2019年は中止となり回数に数えないが当初予定を参考までに記載。；また、串良マップは実際の串良の地形や地名を参考にして作られている。；実施に当たり、日本の実績を参考にするため国鉄技師を日本で学ばせた。；ある日本の法令が海外の立法例を参考にしている場合なども同様です。；海外では規制されているとして、それらを参考にすべきとの意見もみられる。；時系列に沿って体系付け、システムは参考程度に解説するものとする。；そこで当時参考資料として検討されたのがイギリス空母アーガスである。；近隣他港のデータを主に参考としたとは言え、本地点での調査自体も実施されている。；彼の著作は彼自身の思想でないが、ストア派の思想を知る上で参考になる。；黄河流域は参考のために上げただけでこれ以外にもたくさんある。；次いで、兵学校内の教育参考館に掲げてあった全海軍大将の額を撤去した。；これらの情報や出走表に記載されているデータを参考にして舟券を購入する。；地図を表示する場合は、この円も同時に表示し利用者への参考としているものが多い。；リカちゃんに設定がつくられたのは、怪獣図鑑を参考にしたものである。；大統領選に向けた予備選も一応存在したが、参考程度でしかなかった。；ドイツの法学者ヨセフ・コーラーの定義を参考にしたものと言われている。；元々日本のキャリア制度は、ドイツの公務員システムを参考にして作られた。；参考用デザインは決定稿より細身であるが、デザインはほぼ完成している。</t>
        </is>
      </c>
      <c r="J3403">
        <f>HYPERLINK("https://www.weblio.jp/content/参考", "词义详情")</f>
        <v/>
      </c>
      <c r="K3403">
        <f>HYPERLINK("https://yourei.jp/参考", "查看例句")</f>
        <v/>
      </c>
    </row>
    <row r="3404">
      <c r="A3404" t="inlineStr">
        <is>
          <t>残酷</t>
        </is>
      </c>
      <c r="B3404" t="inlineStr">
        <is>
          <t>成功</t>
        </is>
      </c>
      <c r="C3404" t="inlineStr">
        <is>
          <t>読み方：ざんこく
［名・形動］無慈悲でむごたらしいこと。まともに見ていられないようなひどいやり方のさま。「—な刑罰」「—にも子供の夢を踏みにじる」
[派生]ざんこくさ［名］</t>
        </is>
      </c>
      <c r="D3404" t="inlineStr">
        <is>
          <t>残酷描写；残酷な仕打ち；残酷な運命；残酷な描写；残酷性</t>
        </is>
      </c>
      <c r="F3404" t="inlineStr">
        <is>
          <t>こんな残酷；あまりにも残酷；ひどく残酷；残酷きわまる；どんな残酷</t>
        </is>
      </c>
      <c r="G3404" t="inlineStr">
        <is>
          <t>残酷な天使のテーゼ；残酷ゲーム；残酷な宇宙の時間；残酷な神が支配する；残酷よ希望となれ</t>
        </is>
      </c>
      <c r="H3404" t="n">
        <v>29</v>
      </c>
      <c r="I3404" t="inlineStr">
        <is>
          <t>また、イベント内に非常に残酷な描写が見られるのも本作の特徴である。；しかしながら他の詩では、奴隷制が残酷な運命であると批判されている。；そのとき、刀を扱うからには残酷な描写は避けられないと思ったという。；しかし、時を同じくして町では、残酷な連続猟奇殺人事件が起きていた。；出所してアカプルコに戻った彼女を待っていたのは、残酷な事実だった。；反乱は一掃されたが、反乱に加担した者への処断は残酷なものとなった。；残酷に、しかもまた落ち着いて、自分の苦痛をながめているのを感じた。；戦争によって引き裂かれた恋人の姿を描き、戦争の残酷さを訴えている。；しかし、そこで待っていたのは募集が終了したとのあまりに残酷な知らせ。；子どもたちは家の中に姿を消し、後に残酷に殺害されたことがわかる。；これがフランスで残酷な刑罰と拷問の廃止の原因となったと言われている。；ラテン語版にはらの版画が掲載され、残酷な場面の数々が視覚化された。；だって信頼する男の前で、娘にこんなひどいことを言うなんて、超残酷だ。；血の色が赤から青になっている他、残酷と思われる箇所の演出が変更されている。；余りにも残酷な運命を受け止められなかったレナは映画館を飛び出した。；予定外の人物の乱入、犯人はそれさえも利用し、残酷な殺人を続けていく。；しかし時の流れは残酷に立派な魔術師となったダリウスに死が近づいていた。；文化大革命の間に残酷な迫害を受け、1972年に仕事を再開しました。；運命の残酷な悪戯のせいで、別れた時はまさに幸せが完結する直前だった。；こういう残酷な事はまだなかなか沢山ありますけれどもこの位にして置きます。；戦争を題材にしており、程度は軽いが流血表現や残酷描写も多々見られる。；この戦争は国境地帯での残酷な戦いと、カナダ攻撃の成功という特徴がある。；未来は、それが未来だということで、すでに本来的に残酷なのである。；内戦中に行われた残酷な行為の一部は、このグループによるものであった。；その時日本人は、庚戌国変の時より残酷に我々を奴隷にするだろう。；すべての子供の顔には子供に特有な無遠慮な残酷な表情が現われた。；第一次世界大戦と第二次世界大戦で地方全体が残酷なまでに痛めつけられた。；彼の研究はメスを以て小動物を残酷にいじくり廻すことではなかったか。；ルー・グレードは映画の結末が残酷過ぎると感じて不満を抱いていた。</t>
        </is>
      </c>
      <c r="J3404">
        <f>HYPERLINK("https://www.weblio.jp/content/残酷", "词义详情")</f>
        <v/>
      </c>
      <c r="K3404">
        <f>HYPERLINK("https://yourei.jp/残酷", "查看例句")</f>
        <v/>
      </c>
    </row>
    <row r="3405">
      <c r="A3405" t="inlineStr">
        <is>
          <t>さんざん</t>
        </is>
      </c>
      <c r="B3405" t="inlineStr">
        <is>
          <t>成功</t>
        </is>
      </c>
      <c r="C3405" t="inlineStr">
        <is>
          <t>読み方：さんざん
有名な三つの山。香具山(かぐやま)・畝傍山(うねびやま)・耳成山(みみなしやま)の大和(やまと)三山、月山(がっさん)・湯殿山・羽黒山の出羽(でわ)三山など。
「熊野三山」に同じ。</t>
        </is>
      </c>
      <c r="D3405" t="inlineStr">
        <is>
          <t>さんざん聞かさ；さんざん痛めつけ；さんざん苦しめ；さんざん悩ん；さんざん言わ</t>
        </is>
      </c>
      <c r="E3405" t="inlineStr">
        <is>
          <t>思い切り；死ぬほど；浴びるほど</t>
        </is>
      </c>
      <c r="F3405" t="inlineStr">
        <is>
          <t>もうさんざん；今までさんざん；いままでさんざん；さんざん苦しん；さんざん探し</t>
        </is>
      </c>
      <c r="H3405" t="n">
        <v>29</v>
      </c>
      <c r="I3405" t="inlineStr">
        <is>
          <t>彼は畑へ行ってさんざん仲間をさがしましたが、一人もいませんでした。；さんざん無理をしているうちに、とうとうエンジンが始動しなくなった。；このまえのとき、うちの会社はさんざんひどい目にあっているじゃないか。；さんざん触れまわっておるくせに、誰にも悟られておらんつもりなのさ。；しかしさんざん金をかけ手間をかけた末、馬は病気で死んでしまった。；娘がわたしをさんざんないがしろにする事を世間の人にきかせてやるんだ。；帰る車の中で、さんざん意見をした若い者頭が、部屋の近くにきて言った。；こういう運動はさんざんやって慣れているから、ぞうさもないことだった。；あたしは読書を中断して、彼をさんざん探しまわったその都会を眺めた。；お家へ帰りましたら、耳長さんは、さんざんにお母さんに叱られました。；この蛇も一匹にするか二匹にするかでさんざん迷ったんだけどな、一匹にしたよ。；ただ火のような恐ろしい言葉でさんざん私をののしりなさいました。；お増さんがついていないもんだから、浅井さんがさんざんの体ですよ。；この二巡年、あたしはこいつにさんざん苦しまされてきたんだからね。；この男がいままで、さんざんしてきたことを知っていたからだ。；ああ、私、昔はあれが来るたびにさんざん笑ってやったものだけど!；さんざんいいあったあげく、ふたりは緑の指輪をはめることにしました。；クリストの父母は彼を見つけ、「さんざんお前を探してゐた」と言つた。；さんざん耳から脅された人は、夜が明けてからは更に目からも脅される。；この窯焚きの百助はな、さんざん江戸でもゴロついていた事があるんだ。；さんざん死んだ母を泣かせた万兵衛の女好きがまた始まったと怒る文子。；きさまは、地球の上でわしたちのために、さんざんな目にあったではないか。；自分らが南京やマニラでさんざんやって、身におぼえがあるのだから。；きょうでも僕はあなたにお会いするのがいいのか悪いのかさんざん迷いました。；それがどういうわけだかしれないので、私たちはさんざん首をひねりました。；年ちゃんと正ちゃんが、いくら戦ってもさんざんに負かされてしまいました。；おまえのことでおれはさんざん心配させられているのだぞ、ズーイ。；七年まえ、さんざん肩を持った説を、今度は否定していなさるんだからね。；しかし約二十歳年下のこの奔放な恋人は四十台半ばの彼をさんざん苦しめた。</t>
        </is>
      </c>
      <c r="J3405">
        <f>HYPERLINK("https://www.weblio.jp/content/さんざん", "词义详情")</f>
        <v/>
      </c>
      <c r="K3405">
        <f>HYPERLINK("https://yourei.jp/さんざん", "查看例句")</f>
        <v/>
      </c>
    </row>
    <row r="3406">
      <c r="A3406" t="inlineStr">
        <is>
          <t>産出</t>
        </is>
      </c>
      <c r="B3406" t="inlineStr">
        <is>
          <t>成功</t>
        </is>
      </c>
      <c r="C3406" t="inlineStr">
        <is>
          <t>読み方：さんしゅつ
［名］(スル)
１物資を生産すること。また、物資がとれること。「絹織物を—する」「石油—国」
２環境などが影響を及ぼして、ある種のものや状態をうみ出すこと。
「平凡なる社会が常に—し得る人物」〈独歩・非凡なる凡人〉</t>
        </is>
      </c>
      <c r="D3406" t="inlineStr">
        <is>
          <t>産出する(26%)；産出される(12%)；産出量(9%)；産出地(3%)；産出額</t>
        </is>
      </c>
      <c r="E3406" t="inlineStr">
        <is>
          <t>製造；制作；作；生産；製作</t>
        </is>
      </c>
      <c r="F3406" t="inlineStr">
        <is>
          <t>農業産出；石油産出；石炭産出；銀産出；伴って産出</t>
        </is>
      </c>
      <c r="G3406" t="inlineStr">
        <is>
          <t>産出量ギャップ；産出的構想力</t>
        </is>
      </c>
      <c r="H3406" t="n">
        <v>29</v>
      </c>
      <c r="I3406" t="inlineStr">
        <is>
          <t>これは主に政府の制限を回避した中国での違法な産出が原因となっている。；中国が最大の産出地であり他国を圧倒しており、ブラジルがそれに続く。；しかし産出は少なく、後述のように貿易で輸入された銀が流通の中心となる。；ギニーの名は、ギニアで産出された金を用い鋳造されたことに由来する。；この地から豊富な金や銀などが産出するとスペイン人の植民が進んだ。；朝と晩に三貫目の量の銀を産出したことから大須三貫目とも呼ばれた。；また、北海で産出される塩も重要な交易商品として帝国各地へ運ばれた。；州内の食品加工工場は産出額で州内でも最も重要な製造業である。；品質が高いため、同国で産出する鉄と組み合わせて鉄鋼を生産している。；現在ではこれらは農業用の目的の為に生産されており、産出量は下がっている。；もともと主にペルシャで産出され、中国を経て日本にわたったと伝えられる。；インドで産出される金は、すべてカルナータカ州のからのものである。；この時期の田原を支えたのは市北部で産出する石灰岩の採掘であった。；長年、トリケラトプスの標本は一頭ずつ単独の個体だけで産出されていた。；この愛称は、江戸時代に奥只見地区で銀が産出されていたことに因む。；終戦後急激に減少し、その後産業の回復につれて産出量は再度増加した。；同じくアルバータ州から産出した3番目の種は正式な記載を待つ状況である。；野菜の産出額は減少したものの農業産出額全体は前年を上回っている。；アンバーの名はイタリア中部のウンブリア州に産出したことに由来する。；一般にはあまり知られていないが、産出する数としては化石の中で最も多い。；中国の辰州で多く産出したことから、「辰砂」と呼ばれるようになった。；また、世界の琥珀の90パーセントが同地方の海岸で産出されている。；他に発酵に関わって重要なもの、抗生物質を産出するものなどがある。；この時期は産出する製品の数は限られ、製品は非常に高価だった。；石炭は元となった植物が繁茂していた時代に相当する地層から産出される。；石板が馬息嶺付近から産出され、一部の地方で屋根を葺くのに使われていた。；それに代わって世界最大のスズ産出国となったのがマレーシアである。；もう1つの欠陥は財・サービスの産出高が増えることの良し悪しである。；しかし当時の東北地方が金を産出し、それを京で取引していたのは明らかになっている。</t>
        </is>
      </c>
      <c r="J3406">
        <f>HYPERLINK("https://www.weblio.jp/content/産出", "词义详情")</f>
        <v/>
      </c>
      <c r="K3406">
        <f>HYPERLINK("https://yourei.jp/産出", "查看例句")</f>
        <v/>
      </c>
    </row>
    <row r="3407">
      <c r="A3407" t="inlineStr">
        <is>
          <t>残暑</t>
        </is>
      </c>
      <c r="B3407" t="inlineStr">
        <is>
          <t>成功</t>
        </is>
      </c>
      <c r="C3407" t="inlineStr">
        <is>
          <t>読み方：ざんしょ
立秋を過ぎてもなお残る暑さ。《季秋》「草の戸の—といふもきのふけふ／虚子」</t>
        </is>
      </c>
      <c r="D3407" t="inlineStr">
        <is>
          <t>残暑のきびしい(3%)；残暑の強い(2%)；残暑の厳しい；残暑厳しい；残暑の酷しい</t>
        </is>
      </c>
      <c r="F3407" t="inlineStr">
        <is>
          <t>厳しい残暑；暑い残暑</t>
        </is>
      </c>
      <c r="G3407" t="inlineStr">
        <is>
          <t>残暑見舞</t>
        </is>
      </c>
      <c r="H3407" t="n">
        <v>29</v>
      </c>
      <c r="I3407" t="inlineStr">
        <is>
          <t>九月に入ったばかりとはいえ、残暑が去って夜になるとさすがに涼しい。；残暑はまだきびしいが、草にさす日の色に漸く秋が感じられる頃である。；まだ残暑の記憶を引きずっているころに季節を先取りした格好をする。；残暑が衰弱したからだにさわったのであろうか、容態が急変したという。；自分一人だけがまだ厳しい残暑の中で薄い半透明な膜に包まれたように感じた。；医者にも行ったが、残暑バテではないかとあやふやに言われるだけだった。；海洋の影響を受けにくいこともあって残暑も短く、秋の訪れは早い。；横浜は江戸よりも涼しいと聞いていたが、残暑の夜はやはり寝苦しかった。；残暑の季節にいく日も自由をうばわれているからであると思われた。；暑さの峠は越えたとはいうものの、これから厳しい残暑の日々に突入する。；東京はまだ残暑の季節で、昼間はじっとしていても汗が出た。；建物の影が長く伸び、ようやく残暑も衰えを見せ始めたようだった。；九月の残暑というものを利用した農作経験から得た貴重な教えである。；重病者との会見 Dさんを訪ねたのは残暑がきびしい九月はじめのこと。；また残暑がぶり返していたが、日が傾くとジャケットに袖を通したくなる。；空は夕暮れ、残暑は峠を越して、吹く風は涼しいというにはやや冷たい。；その事件が起きたのは、八月の末の残暑の盛んな日であった。；この調子じゃ残暑も厳しいだろうし、二、三ヶ月は地獄だろう。；しかも残暑が厳しく、会社へ着いたときには、顔中汗まみれになっていた。；まだ昼のうちは残暑も感じられるが、江戸市中とは比較にならなかったし、渡って来る風はまったく秋であった。；今年は残暑はないだろうと、新聞が、冷害の報道に、書きそえている。；こんな夜と昼とが続くと鼻もつまり方が少しになってよくなるのですがまだ九月中は暑い残暑の日があると思います。；ついこの間まで残暑に悩まされていたと思ったのに、もう肌寒い季節になっている。；残暑のきびしいころだったから、むろんどの窓もあいていたし由紀子の窓もあいていた。；厳しい残暑の中、緒方とかなたは青梅の静かな住宅地を歩いていた。；残暑の厳しいこの時期にシンプルな背広を隙なく着込んで汗ひとつかいていない。；赤蜻蛉の飛び交う季節にはなっても、京城の街は、まだ残暑がきびしい。；残暑が遠のくと、季節は露骨なほどに秋らしい顔を見せはじめた。；悪疫の大流行を来たした年だけに、秋とは名ばかりで残暑が強かった。</t>
        </is>
      </c>
      <c r="J3407">
        <f>HYPERLINK("https://www.weblio.jp/content/残暑", "词义详情")</f>
        <v/>
      </c>
      <c r="K3407">
        <f>HYPERLINK("https://yourei.jp/残暑", "查看例句")</f>
        <v/>
      </c>
    </row>
    <row r="3408">
      <c r="A3408" t="inlineStr">
        <is>
          <t>参照</t>
        </is>
      </c>
      <c r="B3408" t="inlineStr">
        <is>
          <t>成功</t>
        </is>
      </c>
      <c r="C3408" t="inlineStr">
        <is>
          <t>読み方：さんしょう
［名］(スル)照らし合わせて、参考にすること。参看。「付図を—する」</t>
        </is>
      </c>
      <c r="D3408" t="inlineStr">
        <is>
          <t>参照されたい(5%)；参照される；参照できる；参照可能；参照せよ</t>
        </is>
      </c>
      <c r="E3408" t="inlineStr">
        <is>
          <t>関連；比較；引く；参考；調べる</t>
        </is>
      </c>
      <c r="F3408" t="inlineStr">
        <is>
          <t>それぞれ参照；項目参照；項参照；下記参照；記事参照</t>
        </is>
      </c>
      <c r="G3408" t="inlineStr">
        <is>
          <t>参照型；参照カウント；参照系；参照点；参照渡し</t>
        </is>
      </c>
      <c r="H3408" t="n">
        <v>29</v>
      </c>
      <c r="I3408" t="inlineStr">
        <is>
          <t>参照時点で原典が存在せず転記となっているなど正確性も不明であった。；発行終了後の取り扱いなどの詳細は、項目があるものは該当項目を参照。；営業路線の詳細は「路線」の節を、その他の詳細は以下の各記事を参照。；道路の状況およびインターチェンジなどについては両道路の項目を参照。；各発明道具の詳細については、発明道具名からのリンク先を参照のこと。；その他にも仏教など様々な信仰があるが、詳細は琉球における信仰を参照。；以下の書籍の該当頁には、類話の一部が載っているので参照されたい。；なお日本の電車そのものの発展の概略は、日本の電車史を参照されたい。；プロジェクト関連文書の更新状況は次の場所で参照できます。；使用方法は、アナログ式とほぼ同じであるので、その節を参照されたい。；携帯電話での普及状況は、おサイフケータイの項もあわせて参照の事。；これらの列車についてはそれぞれの路線や列車の項を参照のこと。；これらの参照番号はケンペルが日本に滞在していた時の備忘録でも見られる。；顧客への参照と注文された商品への参照を含む簡単なXML文書の例を考える。；各系列の詳細・使用線区・運用などについてはそれぞれの記事を参照のこと。；個別の方式の構成や動作についてはそれぞれの見出し項目を参照されたい。；停車駅や運行区間など詳しくは、各種別および各路線の記事を参照のこと。；それぞれの下位ジャンルについての詳細は、個別の記事を参照されたい。；格納された各データの参照や修正といった管理を容易にするための構成である。；ライブラリへの参照は全てこのシンボルテーブルを経由して行われる。；参照透過性を持つことは、その関数が状態を持たないことを保証する。；各路線の運行形態、駅一覧などは以下の各記事を参照のこと。；ケンペルは日本語が読めなかったので、参照番号をそれぞれの枠に振った。；すでにプレイされていないゲームは歴史の項を参照。；また同時に、文書の一部分を文書内の他の箇所から参照する手段を提供している。；以下の分類は『農学基礎シリーズ 果樹園芸学の基礎』を参照している。；詳しくは下に記した表の中にある「生成方法」項目を参照されたい。；連結リストの別の欠点は、参照のための余分な領域を必要とする点である。；地区毎の特徴はリンク先項目およびマンハッタンの地区名の一覧を参照のこと。</t>
        </is>
      </c>
      <c r="J3408">
        <f>HYPERLINK("https://www.weblio.jp/content/参照", "词义详情")</f>
        <v/>
      </c>
      <c r="K3408">
        <f>HYPERLINK("https://yourei.jp/参照", "查看例句")</f>
        <v/>
      </c>
    </row>
    <row r="3409">
      <c r="A3409" t="inlineStr">
        <is>
          <t>参上</t>
        </is>
      </c>
      <c r="B3409" t="inlineStr">
        <is>
          <t>成功</t>
        </is>
      </c>
      <c r="C3409" t="inlineStr">
        <is>
          <t>読み方：さんじょう
［名］(スル)目上の人の所に行くこと。また、人のもとに行くことをへりくだっていう語。まいること。うかがうこと。「御殿に—する」「明日—いたします」</t>
        </is>
      </c>
      <c r="D3409" t="inlineStr">
        <is>
          <t>参上する(14%)；参上いたし(12%)；参上つかまつり(2%)；参上仕り；参上致し</t>
        </is>
      </c>
      <c r="F3409" t="inlineStr">
        <is>
          <t>ヒーロー参上；率いて参上；お召しによりまして参上；只今参上；ここに参上</t>
        </is>
      </c>
      <c r="H3409" t="n">
        <v>29</v>
      </c>
      <c r="I3409" t="inlineStr">
        <is>
          <t>で、まあ、こんやわれわれが参上したのはこういうことになりましょう。；中には実はお味方に参上しましたなどとぬけぬけと嘘をいう者もいた。；それで、信長の館まで祝いに参上なされたのか、といいたかったのである。；こちらからお礼に参上するといってもそれもよしてくれとのこと。；仲人参上の節は供一人、右へ御料理がましいことは御無用に願いたし。；そして一同御手の間に参上しますと、最初の者におっしゃいました。；おおせのようにそれを告げんがために参上いたしたのではござらぬ。；実はそれをうかがうのが目的で敦賀へ参上した次第なのでござります。；その姿勢のまま、やがて参上してきた重臣たちを迎え、彼はいった。；そんなわけでわたしは結局手ぶらで見舞いに参上することになった。；鈴木首相が拝謁のために参上したという知らせがあったのは、そのときである。；「あの、参上しましたが」 扉が開いて、何とそこから例の熊男が現れた。；三日後に、また夕食に招かれて参上すると、今度はもうひとりの方もご一緒でした。；ある日夕食に招かれて子連れで参上したところ、妙な臭いがまず鼻をついた。；お屋敷へ参上しようとまで決心しておりました。；自分の邸第を出て皇宮へ参上する途中で、毒矢を射こまれたのである。；そこで、改めて矢野五左衛門の宅に参上し、得意の妙技を披露してみせた。；この次に参上する時には、なにをお持ちいたしましょう。；それを見た上で、こちらが、また迎えに参上する、というのである。；柏木が親しく使っていた人々は、今もなおお見舞いに参上していた。；かわりに立て替えていただけるのではないかと参上したのです。；三月十二日の晩、最後の談判に参上するからそれまでによく思案をしておけ。；王のもとに参上したシャハラザードは妹のドニアザードを呼び寄せた。；玉田は武内宿禰の墓に逃げたものの、天皇に召し出されて武装したまま参上。；棟梁ちょっと尊家へ参上をと思いつつ、なにやかやで寸暇を得んでしたな。；大久保の病状が比較的良い時に、お見舞いに参上したいとの申入れをした。；「参上してくれたのは結構だがよ」おれは頭をかいた。；それでお伺いしたい事や、お願いしたい事があって参上したのでございます。；半歳ほどして上京したが、その時もいずれ参上するという手紙を遣しただけでやはり顔を見せなかった。</t>
        </is>
      </c>
      <c r="J3409">
        <f>HYPERLINK("https://www.weblio.jp/content/参上", "词义详情")</f>
        <v/>
      </c>
      <c r="K3409">
        <f>HYPERLINK("https://yourei.jp/参上", "查看例句")</f>
        <v/>
      </c>
    </row>
    <row r="3410">
      <c r="A3410" t="inlineStr">
        <is>
          <t>算数</t>
        </is>
      </c>
      <c r="B3410" t="inlineStr">
        <is>
          <t>成功</t>
        </is>
      </c>
      <c r="C3410" t="inlineStr">
        <is>
          <t>読み方：さんすう
１数をかぞえること。計算すること。また、その結果得られた数。
「或る冀望の点に達す可きやの—を得ること難からず」〈福沢・福翁百話〉
２小学校の教科の一。初歩の数学。数量や図形について基礎的知識を教えることを目標とする。昭和16年（1941）それまでの算術を改めたもの。</t>
        </is>
      </c>
      <c r="D3410" t="inlineStr">
        <is>
          <t>算数教授法；算数教室；算数学；算数書；算数ドリル</t>
        </is>
      </c>
      <c r="F3410" t="inlineStr">
        <is>
          <t>受験算数</t>
        </is>
      </c>
      <c r="G3410" t="inlineStr">
        <is>
          <t>算数オリンピック；算数・数学教育；算数障害；算数科；算数・数学思考力検定</t>
        </is>
      </c>
      <c r="H3410" t="n">
        <v>29</v>
      </c>
      <c r="I3410" t="inlineStr">
        <is>
          <t>そうじゃないのだよ、彼女の場合この算数に特別の意味があるのですよ。；算数には才能を発揮したが、普通の手段で答えに到達することはなかった。；おれの頭のなかでは、単純な算数が繰り返しあらわれては消えていた。；少年時代は算数に次いで音楽が好きで、しかも海軍の道を志望していた。；最初に算数を教えてくれた先生が優しかったから、算数が好きになった。；先生はこの虫喰い算を生徒に与えて、大変楽しく算数を勉強させました。；算数・数学は文章題はほとんどと言っていいほどなく、計算が主体である。；算数の授業で習ったような計算法ではとても追いつけないスピードで。；初級の算数ではないのだから、考えても明快な結論がでるわけはない。；午前と午後の二部授業で、それぞれ一日四時間、国語や算数などを学ぶ。；算数・理科の分野では、戦前から生活算術、生活理科が主張されていた。；いずれにせよこれは算数の問題とは違い、確実に結果の出る公式などは存在しない。；その代わり次の学期には算数で満点を取る約束をさせられたけどね。；典型的には、中学校の生徒に教えられ、算数の理解を基礎にしている。；中国の言語学者劉半農が作った歌詞をのちの人が算数の覆面算にしたもの。；また、中等教育では初等教育と同様に算数の能力の低さが確認された。；愛知教育大学の学生による日本語サポート支援や算数指導も行っている。；天下一武道会での餃子との対戦では算数の問題を出して頭脳の差で勝利した。；一時間めの算数がはじまるまえ、ひょうたんかごをつき出したのである。；日本の学校教育では、小学校2年生の算数でかけ算の導入が行なわれる。；算数の力をかりないと、きみの年をあてることもできないくらいなんだから。；算数でも国語でも歴史でも、実によくわかるように教えてくれた。；数学を習ってはいるけれど、実際生きていくうちで使うのは算数までのレベルだし。；書記は物品の管理や畑の地検なども行うため、算数も教えられていた。；彼が持っている本といえば暦と算数の本が一冊だけで、算数はかなり良くできた。；どこかの算数コンクールで優勝したときの新聞記事のコピーもあった。；私も、小学校のとき、算数の時間に計算を速くやるのが好きでした。；一時間目の算数がはじまるまえ、ひょうたん籠をつき出したのである。；その中のこみいった算数の問題を里美も一緒に解いていたのだった。</t>
        </is>
      </c>
      <c r="J3410">
        <f>HYPERLINK("https://www.weblio.jp/content/算数", "词义详情")</f>
        <v/>
      </c>
      <c r="K3410">
        <f>HYPERLINK("https://yourei.jp/算数", "查看例句")</f>
        <v/>
      </c>
    </row>
    <row r="3411">
      <c r="A3411" t="inlineStr">
        <is>
          <t>酸性</t>
        </is>
      </c>
      <c r="B3411" t="inlineStr">
        <is>
          <t>成功</t>
        </is>
      </c>
      <c r="C3411" t="inlineStr">
        <is>
          <t>読み方：さんせい
酸としての性質を示すこと。金属酸化物と反応して塩と水をつくる性質を示すこと。水溶液中では水素イオン指数pHが7より小さいときをいう。青色リトマスを赤変させる。⇔アルカリ性／塩基性。</t>
        </is>
      </c>
      <c r="D3411" t="inlineStr">
        <is>
          <t>酸性化(7%)；酸性土壌(6%)；酸性条件下(4%)；酸性溶液(2%)；酸性環境</t>
        </is>
      </c>
      <c r="E3411" t="inlineStr">
        <is>
          <t>酸味；酸っぱさ；酸っぱ味</t>
        </is>
      </c>
      <c r="F3411" t="inlineStr">
        <is>
          <t>弱い酸性；酸性側；硫酸酸性；酸性領域；酸性尿</t>
        </is>
      </c>
      <c r="G3411" t="inlineStr">
        <is>
          <t>酸性雨；酸性水；酸性ガス；酸性白土；酸性岩</t>
        </is>
      </c>
      <c r="H3411" t="n">
        <v>29</v>
      </c>
      <c r="I3411" t="inlineStr">
        <is>
          <t>自身が狙われた際には酸性の涙を流しながら泣くことで相手を撹乱する。；肉ばかり食べていると体が酸性になり諸病のもとであるという。；その身体から分泌する酸性の消化液は肉だけを溶解させることができる。；全体の構造は巨大な顎のようで、酸性のDNAをくわえる深い溝がある。；低い 値は、物質が酸性でプロトンを容易に塩基に渡すことを意味する。；土壌を見ると、タイガ地帯を中心に酸性のポドゾルが多く分布している。；さらに研究を進め、この土壌が酸性化していることを明らかにした。；肉を柔らかくするためにワインや酢のような酸性の液体が加えられた。；これらVSCsは酸性のガスであり、半導体式ガスで容易に検出できる。；銅は、酸性の運河の水と電気化学的に反応し周囲の鉄の崩壊を進めた。；強い酸性条件では以下のような二酸化硫黄が発生する反応が起きる。；インフルエンザの菌は酸性の状態にしか生存しえないのだと医者は説明した。；泥炭地の水や、酸性の水でも住むことができ、酸素が少ない環境にも強い。；突然の温度上昇によっても酸性の溶液が激しく沸騰する可能性がある。；故郷は酸性の湖で覆われ、大気は汚染された蒸気に満ちた土地だったという。；やや強い酸性であるため、それに起因する副反応が起こることがある。；この位置で反応が起こるのは、ここのプロトンの酸性がもっとも高いからである。；エンドソーム内の酸性環境応答し脱出する技術などが知られている。；さらに研究を進めた大工原は、この土壌が酸性化していることを明らかにした。；雑草がこの菌を中継することもあり、特に湿った酸性条件でよく見られる。；酸性土壌であることに加え寒さが厳しいため、耐寒性の作物が栽培される。；溶液が酸性の場合は色は変わらないが、塩基性の場合は赤紫色となる。；グラルギンは、完全に溶解した状態で酸性のpH4で製剤化されている。；染色性の違いは細胞が蓄えているホルモンの酸性・塩基性を反映している。；この三価イオンの形態は、酸素存在下を含む非酸性の水中で優勢である。；しかし、酸性下では鉄IIイオンに還元されるだけで、沈殿は生じない。；水溶液中ではプロトンを放出する性質を持つため、水溶液は酸性になる。；酸性でも塩基性でもない、両者の中間に相当する水溶液を中性という。；酸性の土壌が分布している為、パイナップルの栽培が行われている。</t>
        </is>
      </c>
      <c r="J3411">
        <f>HYPERLINK("https://www.weblio.jp/content/酸性", "词义详情")</f>
        <v/>
      </c>
      <c r="K3411">
        <f>HYPERLINK("https://yourei.jp/酸性", "查看例句")</f>
        <v/>
      </c>
    </row>
    <row r="3412">
      <c r="A3412" t="inlineStr">
        <is>
          <t>賛成</t>
        </is>
      </c>
      <c r="B3412" t="inlineStr">
        <is>
          <t>成功</t>
        </is>
      </c>
      <c r="C3412" t="inlineStr">
        <is>
          <t>読み方：さんせい
［名］(スル)
１人の意見や行動をよいと認めて、それに同意すること。「原案に—する」⇔反対。
２助力すること。賛助。
「造化の功用を補弼し、万物の化育を—する」〈福地桜痴・会社弁〉</t>
        </is>
      </c>
      <c r="D3412" t="inlineStr">
        <is>
          <t>賛成する(9%)；賛成票(5%)；賛成派(4%)；賛成でき；賛成者</t>
        </is>
      </c>
      <c r="E3412" t="inlineStr">
        <is>
          <t>認め；契約；約束；許可；一致</t>
        </is>
      </c>
      <c r="F3412" t="inlineStr">
        <is>
          <t>合併賛成；あげて賛成；独立賛成；御賛成；賛成演説</t>
        </is>
      </c>
      <c r="G3412" t="inlineStr">
        <is>
          <t>賛成論</t>
        </is>
      </c>
      <c r="H3412" t="n">
        <v>29</v>
      </c>
      <c r="I3412" t="inlineStr">
        <is>
          <t>具体的にはコイントスでも、誰かに賛成・反対の意見を聞くのでもよい。；この時はアメリカも賛成に回ったが、イスラエルはこの決議を無視した。；議会の中では戦争に賛成する者と反対する者の対立が起こった。；当時会長であったアイザック・ニュートンが賛成しなかったとされる。；その中で国労は民営化賛成派と反対派が対立し、意見が一致しなかった。；また、新聞も安保法案に賛成するものと反対するものとで大きく分かれた。；賛成票の多くは北部パンハンドル部周辺の16郡で投票されたものだった。；これらの協定、条約を批准するには議会の5分の3の賛成が必要である。；さらに予算を伴う場合はそれぞれ50名、20名以上の賛成が必要となる。；訓練の責任者であるシャク・ティは、ブリックに賛成する立場をとった。；しかし、2002年の投票で賛成派が可決数を超えたことで加入した。；調査を通し、移転が賢明な決定であることが証明されたが銀行は賛成しなかった。；フランスでは賛成派がメディアにおいて明らかに多くの放送時間を得ていた。；シャロームはその後の国会での採決や閣議決定では賛成の立場をとった。；そのため同じ法案に緑風会から賛成・反対両方の討論を行ったこともある。；他の審査委員から賛成の声が上がったこともあり、河野理事長が締めた。；孫晧は内心では劉纂に賛成していたが、実行することはできなかった。；源田は海上作戦に関心を持ち空母群を誘い出し掃討する案には賛成した。；中には賛成派と反対派の合意がないまま進めてしまい地域の対立となるケースも存在する。；翌年2月8日に議会の圧倒的多数の賛成をうけ大統領に選出された。；ここで反対派が賛成派を指してToryと呼んだのがトーリーの始まりである。；他にブラジルも棄権し、ドミニカ共和国は反対したが、他国は賛成した。；柏の葉公園総合競技場での開催に賛成しない理由は以下の2つが挙げられる。；移民の受け入れに賛成しており、差別・右翼・共産主義に反対している。；以降は陸軍の戦略と協調し、以前反対していた日本本土攻略作戦にも賛成した。；創設の際に行われた投票では、理事会の全員が賛成したという。；野田のように自民党議員が同性結婚へ賛成するのは珍しいことである。；反対と答えれば法律違反となるだけに、全員が賛成と答えざるを得なかった。；マルサスは穀物輸入の制限に賛成し、制限を可能とする条件を4点あげた。</t>
        </is>
      </c>
      <c r="J3412">
        <f>HYPERLINK("https://www.weblio.jp/content/賛成", "词义详情")</f>
        <v/>
      </c>
      <c r="K3412">
        <f>HYPERLINK("https://yourei.jp/賛成", "查看例句")</f>
        <v/>
      </c>
    </row>
    <row r="3413">
      <c r="A3413" t="inlineStr">
        <is>
          <t>残高</t>
        </is>
      </c>
      <c r="B3413" t="inlineStr">
        <is>
          <t>成功</t>
        </is>
      </c>
      <c r="C3413" t="inlineStr">
        <is>
          <t>読み方：ざんだか
収支または貸借の差し引き計算をして残った金額。残金。</t>
        </is>
      </c>
      <c r="D3413" t="inlineStr">
        <is>
          <t>残高照会(3%)；残高不足(2%)；残高確認；残高合計；残高地方債等</t>
        </is>
      </c>
      <c r="F3413" t="inlineStr">
        <is>
          <t>発行残高；口座残高；チャージ残高；融資残高；資産残高</t>
        </is>
      </c>
      <c r="H3413" t="n">
        <v>29</v>
      </c>
      <c r="I3413" t="inlineStr">
        <is>
          <t>預金残高以上に手形・小切手を切っている企業はそう多くはないからだ。；従って私は商品をもっていないわけであるが、商品勘定に残高がある。；それから何日か経ったが、彼女はなかなか預金残高を確認しなかった。；ほとんどのケースで残高の現金チャージも相互に利用可能となっている。；給与振込みの日に記帳してみたところ、残高が一千万を超えていたのだ。；梁城の食糧、燃料の残高を知られていないことがせめてもの救いである。；成瀬は自分が個人で管理している普通預金の通帳の残高を思い浮かべた。；この計画の中には借り手のローン残高の一部を棒引きすることも含まれる。；人気作家であった彼の口座には、死亡時、百万ドルの残高があった。；特例のはずだったが2013年度末には国債残高が850兆円を超えた。；即座に受け入れられ、相当な額の残高合計がスクリーンに表示された。；カードに残高が残っている場合は、最大220円の手数料が発生する。；チャージした残高以上の決済が出来ないので使いすぎる心配はない。；この場合、ウォレットの残高は関連するアドレスを合計した物になる。；融資残高が積みあがっていた米銀は、かなりのダメージを受けたんだ。；いくつか拾った利用明細の中から、最も残高が多い口座を選んだのだ。；幹子の懐には男が立ち往生している借金と同じくらいの残高があった。；長いこと残高合計に見いってから、何よりも大切な問いを入力した。；わたしたちは毎日のように銀行へ行って残高照会のキーを押した。；モバイルタイプは利用停止措置とそれ以降の残高の再発行が可能になった。；残高がなくなるとその節のレースの投票が一切できなくなる。；カードの残高が0円になっても、有効期間内であれば着信だけは可能。；初期の頃、残高のない自分の口座の小切手を書く信用詐欺を行なった。；登録残高の有効期限が終了するとパケット定額の利用も終了となる。；私の預金残高はようやく底をつきかけ、空輸開始の時期は刻々と迫っていた。；預金残高が少なくなれば使わなくなるだろうという読みは外れた。；定期券区間とカード残高での精算区間とが跨る場合も適用外となる。；昨日の残高から今日の支出を引くと、二十万をもう切ってしまった。；「残高四百四十四ポンド四シリング四ペンス」ポワロは満足げにいった。</t>
        </is>
      </c>
      <c r="J3413">
        <f>HYPERLINK("https://www.weblio.jp/content/残高", "词义详情")</f>
        <v/>
      </c>
      <c r="K3413">
        <f>HYPERLINK("https://yourei.jp/残高", "查看例句")</f>
        <v/>
      </c>
    </row>
    <row r="3414">
      <c r="A3414" t="inlineStr">
        <is>
          <t>産地</t>
        </is>
      </c>
      <c r="B3414" t="inlineStr">
        <is>
          <t>成功</t>
        </is>
      </c>
      <c r="C3414" t="inlineStr">
        <is>
          <t>読み方：さんち
１ある物品を産出する土地。生産地。「織物の—」「—直送」
２俗に、人の出生地。</t>
        </is>
      </c>
      <c r="D3414" t="inlineStr">
        <is>
          <t>産地である(10%)；産地であり(4%)；産地名；産地ごと；産地別</t>
        </is>
      </c>
      <c r="E3414" t="inlineStr">
        <is>
          <t>生まれ；故郷；郷里；生地；出身地</t>
        </is>
      </c>
      <c r="F3414" t="inlineStr">
        <is>
          <t>主な産地；馬産地；一大産地；主要産地；タイプ産地</t>
        </is>
      </c>
      <c r="G3414" t="inlineStr">
        <is>
          <t>産地偽装；産地品種銘柄；産地表示；産地ブランド；産地判別技術</t>
        </is>
      </c>
      <c r="H3414" t="n">
        <v>29</v>
      </c>
      <c r="I3414" t="inlineStr">
        <is>
          <t>今後はスイス産以外のものは名称に産地を明記しなければならなくなる。；以下の種は種類や産地を問わなければ、比較的年中安定して供給される。；こうしたことから産地の多くの場所では山野草の盗掘が制限されている。；産地にもよるが、栽培ものと野生のものに、比較的差が少ない種である。；同地区は年間5万トンを生産し、日本三大産地の一つに数えられている。；この淮河から長江に至る地域は、中国でも最大の塩の産地が含まれていた。；手揉みには茶の産地毎に数多くの流派がありそれぞれ製茶手順が異なる。；郡北西部に位置しており、古くから千種鉄の産地として発展してきた。；海外から日本へは、主に中国、タイなどの産地から輸入されている。；西日本、特に産地の多い近畿や九州では本葛粉が比較的手に入りやすい。；こうした商品の主な産地は東方のマヤ文明の諸都市やその近隣地方であった。；周辺の台地部には梨畑が多く存在し、全国でも有数のナシの産地である。；以下は比較的よく消費されているチーズの主要産地別一覧である。；駅名の由来となった海岸がウニの産地として知られていることに由来する。；現在の日本では北海道白老町の虎杖浜が一番有名な産地となっている。；模式標本の産地は琉球諸島とされているが、奄美大島と考えられている。；また北魏制では桑の産地であるかどうかでかなりの不均衡が出ることになる。；この結果、日本国内にはヒスイの産地が存在することが証明された。；字の選択にあたっては、この辺りが馬産地であったことが考慮されたと思われる。；広島県は日本酒の産地であり、そこから派生して酢の製造も盛んであった。；現在では有名な産地が各地にあり、これらの地域では種苗放流も盛んである。；こけしがその産地のみならず東北地方全体の象徴とされる例がある。；モルッカ諸島は当時の貴重品であった香辛料の一大産地だったからである。；旧八郷町地区はタバコ栽培が盛んで、茨城県内の主産地の1つでもある。；また、大半の産地では「宮崎茶」としてブランド統一を行う傾向が強い。；酒都・吟醸酒発祥の地と2つの歴史的な酒処がある日本有数の日本酒の産地。；多くのケースでは、層序・産地・体サイズの相違によって種が区別されている。；また、北海道唯一の藍生産地となっており、市内には藍染め工房がある。；北部を中心にウド栽培が行われ、その産地は海軍道路周辺に集中する。</t>
        </is>
      </c>
      <c r="J3414">
        <f>HYPERLINK("https://www.weblio.jp/content/産地", "词义详情")</f>
        <v/>
      </c>
      <c r="K3414">
        <f>HYPERLINK("https://yourei.jp/産地", "查看例句")</f>
        <v/>
      </c>
    </row>
    <row r="3415">
      <c r="A3415" t="inlineStr">
        <is>
          <t>参入</t>
        </is>
      </c>
      <c r="B3415" t="inlineStr">
        <is>
          <t>成功</t>
        </is>
      </c>
      <c r="C3415" t="inlineStr">
        <is>
          <t>読み方：さんにゅう
［名］(スル)
１高貴な人の所を訪問すること。「宮中へ—する」
２市場などに新たに加わること。「大企業が—する」</t>
        </is>
      </c>
      <c r="D3415" t="inlineStr">
        <is>
          <t>参入する(13%)；参入戦(4%)；参入決定；参入できる；参入初年度</t>
        </is>
      </c>
      <c r="E3415" t="inlineStr">
        <is>
          <t>参加；加入；加盟；入会；参画</t>
        </is>
      </c>
      <c r="F3415" t="inlineStr">
        <is>
          <t>再参入；jリーグ参入；本格参入；プレミアリーグ参入；事業参入</t>
        </is>
      </c>
      <c r="H3415" t="n">
        <v>29</v>
      </c>
      <c r="I3415" t="inlineStr">
        <is>
          <t>現在でも新しい企業が通りに参入する場合はこの委員会の承認が必要である。；世界規模で展開する興行会社が次に参入を考えたのが日本市場であった。；奴隷人口はその主人の地区人口に参入され続けることになった。；のちに中国と対立するインドも軍用目的にチタン生産に参入することとなる。；角川が映画に参入したとき「素人に何ができる」という声が強くあった。；松竹がこの分野に本格的に参入したのは上掲の通り、つい近年のことである。；PASMOについては参入予定の意思があったが、見送りとなっている。；そして、参入決定戦のレギュレーションが発表され、以下の通りとなった。；ダランベールもこの問題に興味を示し、独自のアイデアで研究に参入した。；加賀山が大の野球好きだったことも、参入実現の一要因となった。；メイン監督は前年より特撮作品の演出に参入した堀長文がパイロットを担当。；ゲーム業界参入以前は、CAD関連のソフトウェアを開発していた。；近年は、国内の既存保険会社が子会社を作って参入するケースもある。；そこで「声の仕事の方が効率が良い」と判断し、声優業界に参入したという。；前者はメーカー系ワークス、後者はプライベーターの参入を想定していた。；彼はそこで急速に進化する学問に参入し、科学に没頭する生活を送ることを望んでいた。；シネマコンプレックスが国内に参入した当初は郊外の映画館が存在しない地域での設置が多かった。；こうして、ようやく日本のロケットが商業市場に参入を果たしたかに思われた。；一定の事業については、以下のとおり参入規制が定められている。；MSX規格より参入し、MSX2規格にも対応した機種を発売していた。；またソフトの発売には至らなかったものの、SCEも参入の意思を表明していた。；近年、成長する市場をあてこんで各国でベンチャー企業の参入が相次ぐ。；これは医療機関運営に民間企業が参入しているケースとはやや異なるので例外である。；後の再参入でも、他の日本メーカーよりも出遅れることとなる。；本作品は東宝がテレビドラマのヒーロー物に初参入した番組である。；どちらも炊飯容量の少ないものが一般的で、参入メーカーも多岐にわたる。；電波新聞社はラ製休刊以来20年ぶりにBCL関連の書籍に再参入した。；稼いだ金で煙草自販機ビジネスに参入し、中古車販売所を3つ営業した。；以後、北海道の多くの焼酎メーカーがジャガイモ焼酎に参入している。</t>
        </is>
      </c>
      <c r="J3415">
        <f>HYPERLINK("https://www.weblio.jp/content/参入", "词义详情")</f>
        <v/>
      </c>
      <c r="K3415">
        <f>HYPERLINK("https://yourei.jp/参入", "查看例句")</f>
        <v/>
      </c>
    </row>
    <row r="3416">
      <c r="A3416" t="inlineStr">
        <is>
          <t>残念</t>
        </is>
      </c>
      <c r="B3416" t="inlineStr">
        <is>
          <t>成功</t>
        </is>
      </c>
      <c r="C3416" t="inlineStr">
        <is>
          <t>読み方：ざんねん
［名・形動］
１もの足りなく感じること。あきらめきれないこと。また、そのさま。「—なことをしてくれた」
２悔しく思うこと。また、そのさま。無念。「負けて—だ」
３俗に、すぐれた素質や長所などをもちながら、それが発揮できなかったり、相殺されるほどの大きな短所を併せもったりしているさま。また、単に、良くないさま。「—なアイデア」
[派生]ざんねんがる［動ラ五］ざんねんさ［名］</t>
        </is>
      </c>
      <c r="D3416" t="inlineStr">
        <is>
          <t>残念なこと(10%)；残念そう(6%)；残念がる；残念な気；残念な事</t>
        </is>
      </c>
      <c r="E3416" t="inlineStr">
        <is>
          <t>悪い；気の毒；恥ずかしい；無残；無念</t>
        </is>
      </c>
      <c r="F3416" t="inlineStr">
        <is>
          <t>ひどく残念；かえすがえすも残念；残念なるかな；残念そうに；残念乍</t>
        </is>
      </c>
      <c r="G3416" t="inlineStr">
        <is>
          <t>残念至極；残念賞；残念ダービー</t>
        </is>
      </c>
      <c r="H3416" t="n">
        <v>29</v>
      </c>
      <c r="I3416" t="inlineStr">
        <is>
          <t>残念ながら文献ではこれらのタイプを適切に区別していないことが多い。；日本の台湾に対する気持ちはその程度のものだったのかと残念に思った。；僕は大いに抗議をしたいと思ったが、残念なことに口も身体もきかない。；その絵はその後誰に貸したものか貸し忘れて残っていないのは残念です。；周囲からは閉館を残念がる声、営業継続を望む声などが寄せられていた。；諸戸道雄の実の親が何所の誰であるかは、残念ながら少しも分らなんだ。；「崩れ落ちるのを自分の眼で見られなかったのが残念だ」と彼は言った。；わたしもそれを説明するに適当の言葉を知らないのを甚だ残念に思う。；高梨はとても残念な想いをしたが本人はまだその夢を諦めていないそう。；第二次世界大戦に関し、飛行機がもたらした破壊を残念に思うと述べた。；その際、板垣は「彼を政治家にできないのが残念だ」と口にしたという。；エスターはさらに万国博覧会に行くことができなくなることを残念がる。；残念なことに、どのように施療院が運営されていたか全くわかっていない。；犯罪が行われた事も残念ですが、私はそれに何の関わりもありません。；多分その千恵蔵氏を残念ながら誰かに返す時間が来ていたのであろう。；そのときの僕の残念さといったら、口にも文字にもあらわせなかった。；残念なことに、彼は自分の作品にタイトルを残していませんでした。；ここをもっと良く出来るのじゃないかと思うと、悲しくなり、残念です。；残念な結果になったんですが、僕は今でもあれは正攻法だったと思う。；しかしこの場所の淡白な結果は解説の北の富士に残念がられてしまった。；しかし、残念ながら5年以上も放置されているケースが見かけられます。；だが残念なことには、ルパンも不二子さんも例の毒嚢を口に含んでいる。；私としても非常に残念で痛惜やる方ないが、文壇としても残念であろう。；親と子がわかりあえないというのはとても残念なことだとずっと思ってる。；残念ながら、この作品には観客がこれまでに見たことのないものは何もないが。；残念ながら、全員が同時にバーにいくかどうかを決める必要がある。；一回ぐらい一緒に散歩しましょうという願いが叶わなかったのが残念です。；戦闘は続いているが、残念ながら、都市の大半はロシアの支配下にある。；しかし、残念ながら技術的な問題により遅れを余儀なくされることになる。</t>
        </is>
      </c>
      <c r="J3416">
        <f>HYPERLINK("https://www.weblio.jp/content/残念", "词义详情")</f>
        <v/>
      </c>
      <c r="K3416">
        <f>HYPERLINK("https://yourei.jp/残念", "查看例句")</f>
        <v/>
      </c>
    </row>
    <row r="3417">
      <c r="A3417" t="inlineStr">
        <is>
          <t>桟橋</t>
        </is>
      </c>
      <c r="B3417" t="inlineStr">
        <is>
          <t>成功</t>
        </is>
      </c>
      <c r="C3417" t="inlineStr">
        <is>
          <t>読み方：さんきょう
１谷間のがけなどに高く架け渡した橋。かけはし。
２さんばし。</t>
        </is>
      </c>
      <c r="D3417" t="inlineStr">
        <is>
          <t>桟橋線；桟橋付近；桟橋通り；桟橋方面；桟橋近く</t>
        </is>
      </c>
      <c r="E3417" t="inlineStr">
        <is>
          <t>埠頭；岸壁；波止場；突堤；波止</t>
        </is>
      </c>
      <c r="F3417" t="inlineStr">
        <is>
          <t>小さな桟橋；石炭桟橋；仮桟橋；長い桟橋；表桟橋</t>
        </is>
      </c>
      <c r="G3417" t="inlineStr">
        <is>
          <t>桟橋通五丁目；桟橋駅；桟橋通三丁目停留場；桟橋車庫前；桟橋通一丁目停留場</t>
        </is>
      </c>
      <c r="H3417" t="n">
        <v>29</v>
      </c>
      <c r="I3417" t="inlineStr">
        <is>
          <t>船から港に降りたとき、桟橋の上で地元の人たち大勢が、彼らを迎えた。；子供が乗る桟橋のようなものは、池の中を見るために設けられていた。；分らぬ答案ばかり陸続と出て来るうちに車は旧港の桟橋にかかって来た。；改札及び桟橋は独立しているが、待合所やトイレなどは独立していない。；秋のよく晴れた日、私は妻や子供達と、横浜の桟橋まで長男を見送った。；かつてはトンネルはなく人々は巨岩の横の木製の桟橋を命がけで通った。；兎に角、僕は 船が見えなくなるまで ただ一人 桟橋に立つてゐました。；桟橋の上の人影が、揃って前へ手を突き出し、その黒い箱を受け取った。；この活動はの桟橋でスタント活動を頻繁に行うころまで行っていた。；桟橋を出たところで泥だらけの馬車を掴まえて、ホテルまでやってもらう。；うち、LCAC揚陸場近くの一隻は小型船の桟橋として利用されていた。；埋立地の先端にある下水処理場の護岸を利用し、桟橋形式で整備された。；地元の貴族のミニ代表団が桟橋でゲストに会い、ホテルに連れて行かれます。；交差点の北にあるのが桟橋方面行き、南にあるのが高知駅方面行きのホーム。；軌道の東側にあるのが桟橋方面行き、西にあるのが高知駅方面行きのホーム。；昔ながらの服装をした事務長が船のタラップを渡つて桟橋へ降りて来た。；国道2号から桟橋までの道路は広島県道43号厳島公園線の一部である。；ほら穴に入るのにはステージ3の桟橋をくぐって奥の壁に触れればよい。；たとえば桟橋とのあいだの距離が大きくなればなるほど、湖も大きくなっていく。；その男は船を巧に桟橋につけて上って来てからこう言いました。；トルトゥーガ島の港では、ジャックが2人の女を伴い桟橋を歩いていた。；だがね、今から、桟橋だから、桟橋へついてからにした方がいいと思うよ。；広島港の桟橋近隣の駐車場に高級車の利用が異様に多いのもそのことによる。；最終組み立てはに基づきサンフランシスコ港の80番桟橋で実施された。；船が発着するためのものではなく、人が散歩するための桟橋だ。；ターミナルが改築される前は、チャンギ・ポイント桟橋と呼ばれていた。；桟橋のそばに小さな煉瓦建の家があって、二階の窓から木の袖看板が出ていた。；現在のブロック塀・桟橋・角塔婆などは2004年に修理・増設された。；川内以下直率隊はルンガ泊地桟橋付近を砲撃したが、効果は不明だった。</t>
        </is>
      </c>
      <c r="J3417">
        <f>HYPERLINK("https://www.weblio.jp/content/桟橋", "词义详情")</f>
        <v/>
      </c>
      <c r="K3417">
        <f>HYPERLINK("https://yourei.jp/桟橋", "查看例句")</f>
        <v/>
      </c>
    </row>
    <row r="3418">
      <c r="A3418" t="inlineStr">
        <is>
          <t>賛美</t>
        </is>
      </c>
      <c r="B3418" t="inlineStr">
        <is>
          <t>成功</t>
        </is>
      </c>
      <c r="C3418" t="inlineStr">
        <is>
          <t>読み方：さんび
［名］(スル)ほめたたえること。「大自然を—する」</t>
        </is>
      </c>
      <c r="D3418" t="inlineStr">
        <is>
          <t>賛美する(22%)；賛美者(5%)；賛美歌集(3%)；賛美歌第；賛美せよ</t>
        </is>
      </c>
      <c r="E3418" t="inlineStr">
        <is>
          <t>尊敬；感心；礼拝；賞賛；崇拝</t>
        </is>
      </c>
      <c r="F3418" t="inlineStr">
        <is>
          <t>天皇賛美；団結賛美歌；賛美する歌；賛美する内容；賛美者たち</t>
        </is>
      </c>
      <c r="G3418" t="inlineStr">
        <is>
          <t>賛美歌作家；賛美詩・新編；賛美歌調</t>
        </is>
      </c>
      <c r="H3418" t="n">
        <v>29</v>
      </c>
      <c r="I3418" t="inlineStr">
        <is>
          <t>彼の歌詞は民族的、キリスト教信仰の家族的賛美歌へと発展していった。；人の手によって作られた神の家と、 人の手によって作られた賛美の詩。；しかしこれらの人たちの仕事ではどちらを賛美すべきか迷ってしまう。；賛美の泉は、アメリカ合衆国を拠点に活動するゴスペルグループである。；スペインの伝承をもとに女性美を賛美した喜悦に満ちた作品である。；キリスト教的な賛美の歌というわけじゃなくて、単純な歌ってことさ。；日本の「民衆」の名の下に、日本の「現実」を賛美するものが之である。；この曲は、歌謡曲経由で、再びキリスト教賛美歌に使用されるに至った。；そのうち最も有名になった旋律は、福音派の賛美歌にも転用されている。；わたしほど結婚を賛美している人間など、どこをさがしてもいませんことよ。；不安な表情が、賛美と尊敬に変わるのをみて、かれは満足であった。；女というものは、賛美されるか、でなかったら、捨てられるべきものだ。；はかないわれわれの感情を、何か永遠な神的なもののように賛美している。；一方では賛美され、他方ではフーコーの学問に対する批判が寄せられた。；このため彼女は国家の崩壊を防いだとして、王国中の賛美と尊敬を集めた。；ドビュッシーは憤るのではなくて対象をむしろ賛美し感動し、共鳴した。；五・一五で蹶起した若手の将校たちを賛美する人たちがいるが、私は反対だ。；初期の1921年には「最も美しいパリのモデル」と賛美されていた。；この詩は神は困難な時の避難所であることを感謝、賛美している。；愛情そのものよりも、彼女の場合、賛美が大きな部分を占めていた。；それゆえ私はいかなる目にあおうとも、神の御名を賛美せずにはおられない。；彼の初期の詩は生きる喜びに、自然への情感に、愛への賛美に満ちている。；ヴィルトゥオーソはしばしば熱心な支持者の賛美や崇拝の対象となる。；彼の就寝の前の祈祷は、たいてい神に対する賛美のみで満たされていた。；この作品は大部分が賛美で構成されており物語は少ない。；そして、若者たちがぼくを賛美しようとしたら、いつもこう言うんだ。；この美しさは前述したとおり、後柏原天皇の賛美の声を頂戴したほどである。；日本の賛美歌にも大きな影響を与えた、米国の賛美歌史上最も重要な人物である。；彼女の賛美者はほとんど一人も彼女に会つたことがなかつたし、特に会いたがつてもいなかつた。</t>
        </is>
      </c>
      <c r="J3418">
        <f>HYPERLINK("https://www.weblio.jp/content/賛美", "词义详情")</f>
        <v/>
      </c>
      <c r="K3418">
        <f>HYPERLINK("https://yourei.jp/賛美", "查看例句")</f>
        <v/>
      </c>
    </row>
    <row r="3419">
      <c r="A3419" t="inlineStr">
        <is>
          <t>賛否</t>
        </is>
      </c>
      <c r="B3419" t="inlineStr">
        <is>
          <t>成功</t>
        </is>
      </c>
      <c r="C3419" t="inlineStr">
        <is>
          <t>読み方：さんぴ
賛成と不賛成。「—両論」</t>
        </is>
      </c>
      <c r="D3419" t="inlineStr">
        <is>
          <t>賛否混在(6%)；賛否同数(3%)；賛否双方；賛否が大きく；賛否相半ば</t>
        </is>
      </c>
      <c r="E3419" t="inlineStr">
        <is>
          <t>是非；賛否両論；可否；毀誉褒貶；採否</t>
        </is>
      </c>
      <c r="G3419" t="inlineStr">
        <is>
          <t>賛否の声；賛否投票</t>
        </is>
      </c>
      <c r="H3419" t="n">
        <v>29</v>
      </c>
      <c r="I3419" t="inlineStr">
        <is>
          <t>同研究所は、オーストラリアの現役・元政治家らから賛否を集めている。；作品への評価は賛否が分かれたが、興行的には空前の大ヒットとなった。；三匹の犬と猫とで、この猫は後で賛否両方に投票したことが判明した。；副作用がなく習慣性がないことになっていたが、意見は賛否まちまちだ。；この変更は賛否を各地で呼んだが、開発は留まること無く続けられている。；歌壇で賛否を呼びながら話題となり、新聞にも好意的に取り上げられる。；このサービスについて賛否はあるが、教育関係者は批判的な傾向がある。；この三角関係が後の兄弟の不和の原因となったとする説があり、賛否ある。；われわれはこのむずかしい問題に賛否を表明することはしたくない。；メンバーが論文を提出し、それについて賛否を表明するクラブだった。；映画は賛否分かれたが、世界興行収入は1億6500万ドルと成功した。；そのため、本人はともかく、周りの人の評価は賛否が別れるところである。；ここには都市再開発の計画があるが、賛否をめぐり議論の的となっている。；しかもまだ容易にその賛否を態度に示す者もいなかった。；本作はその斬新な演出のために、賛否が大きく分かれることとなった。；この英断または独断は魔術関係者の間で大きな賛否を巻き起こしている。；この作品が発表された当時、この曲の賛否は分かれ長い間議論が交わされた。；しかしその前に全員の賛否を問うべきとは思いませんかね?；冠番組の放送内容に賛否は分かれているが、米国内ではDVD化もされている。；この曲は、ラジオで放送されると、賛否双方の大きな反響を呼んだ。；考えて見ると何方にも一理窟があって容易にその賛否を決しにくい。；その内容には賛否が分かれたが、ジニー賞では3度目の作品賞を受賞した。；そのばあい、アメリカ全国民の賛否はどうなるのだろうか?；都構想そのものへの賛否についても賛成に転じる可能性に含みを持たせた。；数日経っても事態は収まらず、賛否混在した炎上騒動にまで発展した。；中野によると、このシーンは観客の間で賛否が分かれたという。；このふたりのさんぴんだってよ、向うから斬りかかってきたんだ。；同10月には部落ごとに説明会を開催して、最終的な賛否の回答を求めた。；住民投票で合併や分割の賛否を問う方法も、一般化する方向にある。</t>
        </is>
      </c>
      <c r="J3419">
        <f>HYPERLINK("https://www.weblio.jp/content/賛否", "词义详情")</f>
        <v/>
      </c>
      <c r="K3419">
        <f>HYPERLINK("https://yourei.jp/賛否", "查看例句")</f>
        <v/>
      </c>
    </row>
    <row r="3420">
      <c r="A3420" t="inlineStr">
        <is>
          <t>山腹</t>
        </is>
      </c>
      <c r="B3420" t="inlineStr">
        <is>
          <t>成功</t>
        </is>
      </c>
      <c r="C3420" t="inlineStr">
        <is>
          <t>読み方：さんぷく
山頂と麓との間の部分。中腹。</t>
        </is>
      </c>
      <c r="D3420" t="inlineStr">
        <is>
          <t>山腹斜面；山腹部；山腹崩壊；山腹に建てられ；山腹工事</t>
        </is>
      </c>
      <c r="F3420" t="inlineStr">
        <is>
          <t>東側山腹；南側山腹；北西山腹；西側山腹；南東山腹</t>
        </is>
      </c>
      <c r="H3420" t="n">
        <v>29</v>
      </c>
      <c r="I3420" t="inlineStr">
        <is>
          <t>山腹そのものを刻んで築いた家は、内部にしか木が使われていないのだ。；そうでなかつたら、今ごろは山腹あたりで難儀してゐただらうとおもつた。；岩は頭に当たって、男はふたりの仲間を道連れにして、山腹を転落した。；現在でも幹と枝だけになった白骨林の姿が山腹に広がっているという。；また最近では、山腹部を中心に蚊の繁殖が顕著に見られるようになった。；梓川に並行してできた山腹の少しばかりの平地に成立した集落である。；したがって山腹はむき出しであり、幾つかの森は高度の高い位置にある。；墓地の選定をなさんとする人には山腹の崖崩れは問題となるべし。；妻は絶えず、窓いっぱいに傾斜している山腹の百合の花を眺めていた。；区域の山腹にはブナ林などの天然林が多く、野生の動物が生息している。；明るい茅戸の山腹に階段状に家が立ち並んで、視野は一面に展けている。；相当深い山腹にあったのを切り出して持ち出すのに大変だったらしい。；十五分ほどすると、いきなり左手の木陰がつきて、道は山腹にかかった。；彼は別れを告げると馬にまたがり、谷にむかって山腹をくだりはじめた。；道は松林や急な山腹を通っており、平らな所にはどこも水がたまっていた。；この左内村の東はずれにあたる山腹に、昔からこの時計屋敷が見られた。；山腹の東側には大正池があり、以下の源流となる河川は日本海へ流れる。；山腹に火が燃えて、明るくなった地面の上に星のように輝いた。；渓谷に流れる川の流れと、山腹に湧く雲を白砂や鞍馬砂で表現している。；それとは全く反対の、胆吹山の山腹に向っての方の裏手の一方でありました。；午前8時ごろに東側と西側の山腹および南岳の山頂から白煙が上がった。；なだらかな山腹が芝に覆われており、奈良を代表する景観の一つである。；山腹には無念に思った波多氏の家臣百人が腹を切った集団墓地もある。；山腹では植林開発がされず、日本有数のブナ林が残されている山域である。；左の方のどこかから小川が端を発して、山腹をうねりながら流れ下っている。；そこは次の山腹に沿って南北に延び、北のほうが高くなっている。；山腹をかけ下りる彼女に耳に、争う二頭の咆哮とうなりが聞こえてくる。；私は窓に倚りかかりながら、対岸の広い山腹を見ながら、この話を聞いた。；最南端の山腹のいくつかの南西の斜面では松が優位を占めている。</t>
        </is>
      </c>
      <c r="J3420">
        <f>HYPERLINK("https://www.weblio.jp/content/山腹", "词义详情")</f>
        <v/>
      </c>
      <c r="K3420">
        <f>HYPERLINK("https://yourei.jp/山腹", "查看例句")</f>
        <v/>
      </c>
    </row>
    <row r="3421">
      <c r="A3421" t="inlineStr">
        <is>
          <t>産物</t>
        </is>
      </c>
      <c r="B3421" t="inlineStr">
        <is>
          <t>成功</t>
        </is>
      </c>
      <c r="C3421" t="inlineStr">
        <is>
          <t>読み方：さんぶつ
１その土地で産する物品。
２あることが背景となってうみ出されたもの。「長年にわたる研究の—」「時代の—」</t>
        </is>
      </c>
      <c r="D3421" t="inlineStr">
        <is>
          <t>産物である(16%)；産物であり(4%)；産物方；産物帳；産物保険</t>
        </is>
      </c>
      <c r="E3421" t="inlineStr">
        <is>
          <t>効果；製品；成果；収穫；結晶</t>
        </is>
      </c>
      <c r="F3421" t="inlineStr">
        <is>
          <t>代謝産物；遺伝子産物；最終産物；分解産物；光合成産物</t>
        </is>
      </c>
      <c r="H3421" t="n">
        <v>29</v>
      </c>
      <c r="I3421" t="inlineStr">
        <is>
          <t>この事態にカルヴィンは彼女が自分の想像の産物であることを告白する。；他の産物を開発する狙いは成功しなかったが、植民地の人口は増大した。；また、これらの転写産物に機能的な関連性があるとは限らない点も異なる。；カシュヤパが彼のスートラに現れたのは瞑想の産物であったようである。；反応産物であるGSHは恒常性や細胞の維持に関与する経路に関与する。；彼らにとってはゲーテであってもドイツの旧体制的産物でしかなかった。；地球の月は、地球形成末期に起きた巨大衝突の産物であるとする説が有力である。；夏子陽はまた、これら海外の産物は日本人から購入しているとも述べている。；郡内の主要な産業は農業であり、主要な産物は米、トウモロコシである。；動物行動学の立場から進化の産物であるとする説明が有力である。；殺害の直前、蕃産物交換業者の凌老生宅に逃れてきた遭難者たちがいた。；例えば、最終産物中の酸素原子の由来を明らかにするのは難しいことが多い。；この爆弾は米ソ間の軍拡競争の産物であり、実際には量産されなかった。；交易所には好きな産物を1つ設定でき、通常の街と同じように貿易ができる。；文化的な現象や儀式は人間性の産物であってその一部ではない。；これは出来上がった産物を検査して問題が発生してから対処を行う方法である。；地理的表示はそれが本物であり、地域に伝わる伝統的な産物であることを表す。；国家は近代の歴史的産物であり、それ以前には存在しなかった。；この道路網を通じて諸地域の産物がアステカに集まりその繁栄を支えた。；つまりこの矢印は送電線と道路によって出来た現代の産物の誤認である。；これらの物質はヘモグロビンの分解産物が臓器で生産されたことの証拠である。；これはケルピーがピクトの文化の産物であるという仮説に基づいている。；いくつかの里では特筆すべき産物などが記載され、地名の変更も何例か書かれている。；ヤースージュの経済は以下のような産物の出荷を基礎としていると報告される。；ベンガル地方は、当時のイギリスが求めていた産物の集散地であった。；地域の産物を用い、信仰に結びついた物や地域の動物などをモデルにした物が多い。；これは本級が新しいドクトリンの産物であることを示している。；郡内の主な産業は農業と工業で、農業では米が主な産物である。；江戸時代の『筑前国産物帳』では「うけうと」の名称で紹介されている。</t>
        </is>
      </c>
      <c r="J3421">
        <f>HYPERLINK("https://www.weblio.jp/content/産物", "词义详情")</f>
        <v/>
      </c>
      <c r="K3421">
        <f>HYPERLINK("https://yourei.jp/産物", "查看例句")</f>
        <v/>
      </c>
    </row>
    <row r="3422">
      <c r="A3422" t="inlineStr">
        <is>
          <t>散歩</t>
        </is>
      </c>
      <c r="B3422" t="inlineStr">
        <is>
          <t>成功</t>
        </is>
      </c>
      <c r="C3422" t="inlineStr">
        <is>
          <t>読み方：さんぽ
［名］(スル)気晴らしや健康などのために、ぶらぶら歩くこと。散策。「公園を—する」</t>
        </is>
      </c>
      <c r="D3422" t="inlineStr">
        <is>
          <t>散歩する(8%)；散歩中；散歩コース；散歩しよ；散歩場</t>
        </is>
      </c>
      <c r="E3422" t="inlineStr">
        <is>
          <t>歩き；歩；外出；歩み；わたる</t>
        </is>
      </c>
      <c r="F3422" t="inlineStr">
        <is>
          <t>お散歩；一緒に散歩；連れて散歩；つれて散歩；毎日散歩</t>
        </is>
      </c>
      <c r="G3422" t="inlineStr">
        <is>
          <t>散歩シリーズ；散歩の達人；散歩の日々；散歩する侵略者；散歩みち</t>
        </is>
      </c>
      <c r="H3422" t="n">
        <v>29</v>
      </c>
      <c r="I3422" t="inlineStr">
        <is>
          <t>森の中を散歩しているように、聴く人の心が安らぐ音楽を目指している。；抽選が終わって人々が帰り始めた頃、散歩していた件の男が通りかかる。；彼らは夜の散歩に彼女を誘い、彼女は警戒しつつも付き合うことにする。；元気に散歩していたカービィの前に、黒い姿をしたメタナイトが現れる。；家に入るときに外への短い散歩のために木製の下駄が用意されている。；というタイトルで、散歩の動作を入れた振付の踊りや歌をするコーナー。；散歩をする場合は安全のため、必ず全身用ハーネスを付ける必要がある。；街から東岸の桜公園や鶴仙渓へと渡る観光客の散歩コースとなっている。；大学時代は授業に出るより散歩をするのが好きだったと話している。；いつも朝の散歩をしていた公園のベンチで座っているときであった。；公園をめぐる道は散歩やジョギングのコースとしてよく利用されている。；夕食を取ると、その後はどんな天気だろうと再び散歩に出かけていた。；尚、寒さに弱いので冬季の散歩の際には洋服を着せることが勧められる。；一回ぐらい一緒に散歩しましょうという願いが叶わなかったのが残念です。；プロコフィエフは田舎道を散歩しながら頭の中だけで作曲したという。；ぼくたちは永いこと、太陽の見えない雨の日だけ散歩するのが習慣になった。；これらの施設では散歩などを売り物にしている旭山動物園などもある。；名古屋では自由散歩で自転車を運転していた捕虜将校が事故を起こしているほどである。；散歩が趣味で市内を彷徨い情報を集めているので、流行り物には詳しい。；沖縄にいる時は部活にも入らず、学校から帰ると散歩ばかりしていた。；敷地が広大で緑が多いため、園内は散歩のコースとしても利用されている。；それ以外にも、散歩エリアやテーマなどに合わせた楽曲が使用されることもある。；銀平は我を忘れて、犬を散歩させている可憐な色白の少女を追跡していた。；またダイアリーはハーボットがお散歩中であっても開くことができる。；馬に乗って草原や森などを散歩するツアーもさかんに行われている。；また各種の散歩ツアーでもガイド役を行なっており、趣味はそのまま町歩き。；散歩をすることで精神安定が図れるように庭園型運動場も整備されている。；メンケはその日の朝に犬の散歩をしに出かけたきり行方不明だった。；歌詞では、1番では冬の散歩を、2番では春から夏にかけてを歌っている。</t>
        </is>
      </c>
      <c r="J3422">
        <f>HYPERLINK("https://www.weblio.jp/content/散歩", "词义详情")</f>
        <v/>
      </c>
      <c r="K3422">
        <f>HYPERLINK("https://yourei.jp/散歩", "查看例句")</f>
        <v/>
      </c>
    </row>
    <row r="3423">
      <c r="A3423" t="inlineStr">
        <is>
          <t>山脈</t>
        </is>
      </c>
      <c r="B3423" t="inlineStr">
        <is>
          <t>成功</t>
        </is>
      </c>
      <c r="C3423" t="inlineStr">
        <is>
          <t>読み方：やまなみ
山の連なり。連山。
[補説]作品名別項。→山脈</t>
        </is>
      </c>
      <c r="D3423" t="inlineStr">
        <is>
          <t>山脈北部；山脈南部；山脈地帯；山脈越え；山脈沿い</t>
        </is>
      </c>
      <c r="E3423" t="inlineStr">
        <is>
          <t>山系；連山；連峰；山並み；山なみ</t>
        </is>
      </c>
      <c r="F3423" t="inlineStr">
        <is>
          <t>飛騨山脈；アペニン山脈；日高山脈；大山脈；ヒンドゥークシュ山脈</t>
        </is>
      </c>
      <c r="H3423" t="n">
        <v>29</v>
      </c>
      <c r="I3423" t="inlineStr">
        <is>
          <t>赤道直下を含む長い山脈であるため、北部と南部では気候は大きく違う。；半島の主要な河川である漢江と洛東江はともにこの山脈から発している。；いずれも南の山脈から下ってきた過去の氷河が形成した地形である。；河内と大和との間には生駒山脈が南北に走り、これが国境となっている。；地球上で最北の山脈であるアメリカ合衆国山地は、島の北東地区にある。；他には各山脈から湖や海岸に向かって流れる多数の中小河川がある。；流域は主に越後山脈に属しているため起伏が激しく落差が非常に大きい。；山脈の西部では石油・石炭が盛んに採掘されているなど地下資源が豊富。；海岸線と沿岸の山脈地帯の両方が公園の境界内には存在する。；このうち西側に位置する飛騨山脈から吹いてくる風をアルプス颪と呼ぶ。；またこれらの山脈を源としてリオニ川やクラ川などの主要な河川がある。；山脈の西及び東側には以下の源流となる河川があり、分水嶺となっている。；空港は大西洋に面しており、カラカスには間を隔てる山脈を抜けて行く。；アペニン山脈が州の多くを占めており、全体的に起伏の多い地形である。；一般には大陸の他の部分とは山脈など何らかの地理的要因で区切られている。；山脈が川の両側にあるため東西方向の移動は容易ではない。；国土の中央など東西に山脈が走り、国土を数多くの峡谷に分断している。；人間の自然環境破壊に怒って出現したとされる、山脈のように巨大な怪獣。；ボロミアもサウロンは影の山脈の嵐をも支配できると言及している。；ヒマラヤ山脈ではインドプレートと衝突して高い山脈を形成している。；この山脈の最も有名な山は、海抜800m近いところにあるとである。；アンティアトラス山脈は、元々はで形成された山脈の一部と考えられている。；ロッキー山脈は、北アメリカ大陸西部を北西から南東に走る山脈である。；また、この地域はヴォージュ県にある山脈の山麓が連なる地域でもある。；その名前はカラス山脈の南側が地域に存在することに由来する。；いずれも数百万年以内に形成され、南北に走る山脈によって分かたれている。；北側には八公山の山脈が、南側には琵瑟山の高い山並みが連なっている。；この山脈は南半球に位置しており、氷から構成されメタンの雪で覆われている。；ほとんどが山地であり、蘆嶺山脈と小白山脈が道の多くの面積を占める。</t>
        </is>
      </c>
      <c r="J3423">
        <f>HYPERLINK("https://www.weblio.jp/content/山脈", "词义详情")</f>
        <v/>
      </c>
      <c r="K3423">
        <f>HYPERLINK("https://yourei.jp/山脈", "查看例句")</f>
        <v/>
      </c>
    </row>
    <row r="3424">
      <c r="A3424" t="inlineStr">
        <is>
          <t>山林</t>
        </is>
      </c>
      <c r="B3424" t="inlineStr">
        <is>
          <t>成功</t>
        </is>
      </c>
      <c r="C3424" t="inlineStr">
        <is>
          <t>読み方：さんりん
１山と林。また、山にある林。
２地目の一。樹木の多く生えている山地。「—を切り開く」「—地主」</t>
        </is>
      </c>
      <c r="D3424" t="inlineStr">
        <is>
          <t>山林地帯；山林局；山林原野；山林会；山林地主</t>
        </is>
      </c>
      <c r="E3424" t="inlineStr">
        <is>
          <t>森；林；森林；木立；ジャングル</t>
        </is>
      </c>
      <c r="F3424" t="inlineStr">
        <is>
          <t>山林学校；山林資源；山林王；山林課；山林荒廃</t>
        </is>
      </c>
      <c r="G3424" t="inlineStr">
        <is>
          <t>山林所得；山林庁；山林堂信彦；山林都市；山林堂</t>
        </is>
      </c>
      <c r="H3424" t="n">
        <v>29</v>
      </c>
      <c r="I3424" t="inlineStr">
        <is>
          <t>ほぼ全域が山林となっているが、道路沿いを中心に住宅が点在している。；当駅構内は、その線路際まで山林や竹林が迫っている格好となっている。；北側はすぐ山林になっており、南側は急な坂に沿った住宅地になっている。；こうした山林利用の形態も明治中期以降から徐々に変化していく。；北部は四国山地の南端に位置し、自治体域の約半分が山林となっている。；モンドルキリ州は、山林や力強い滝があることでその名を知られている。；丘陵側も住宅が展開するが、椎木峠付近は農地や山林に占められている。；駅周囲は小規模な店舗や集落はあるものの、全体に山林や農地が目立つ。；屋敷のすぐそばには祀らず、少し離れた山林の中に祀られるところもある。；残された一部の山林などでの作業も翌1882年までに完了した。；成長速度の速い松が選ばれ、多くの地域で松一色の山林ができている。；地内は道路沿いにわずかに住宅と田畑があるほかは、大部分が山林である。；現在は住宅地としては利用されておらず大部分は山林となっている。；大生氏はのちに没落したが、江戸幕府からは祭田・山林の安堵を受けた。；駅の周囲は民家がなく山林・田畑が広がる場所であったと言われる。；北海道から九州、屋久島までの山林や山間部の村落周辺などに見られる。；さらに糸屋から寺後背の山林が寄贈され巨大な境内を有する寺院となった。；森林保護のため、通常はトラックを外れて山林に侵入することは禁止される。；面積の大部分を山林が占め、丘陵間の谷地は田畑として利用されていた。；山林の保護のため、昭和50年代から高倉山への入山が禁止されている。；若槻大通りより北は山林であり、旧北国街道沿いに街村が形成されている。；付近には最近分譲された住宅地もあるがほとんどは農地か山林である。；山林に生息するものも多いが、人家周辺によく出現するものも多い。；使用されている木材のほとんどは真鍋家が所有する山林から切り出された。；なお、山林を土地付きで譲渡した場合の土地の部分は譲渡所得になる。；この際、建築費用の捻出のため、神社所有の山林の一部を東京都に売却した。；その先の山林には梅の名所で知られる田浦梅林があり、春頃には賑わう。；上記の理由により平地が少なく、市の大部分は山林で占められている。；山林が多く、八多川に沿ったわずかな平地・斜面を利用した農業地域。</t>
        </is>
      </c>
      <c r="J3424">
        <f>HYPERLINK("https://www.weblio.jp/content/山林", "词义详情")</f>
        <v/>
      </c>
      <c r="K3424">
        <f>HYPERLINK("https://yourei.jp/山林", "查看例句")</f>
        <v/>
      </c>
    </row>
    <row r="3425">
      <c r="A3425" t="inlineStr">
        <is>
          <t>師</t>
        </is>
      </c>
      <c r="B3425" t="inlineStr">
        <is>
          <t>成功</t>
        </is>
      </c>
      <c r="C3425" t="inlineStr">
        <is>
          <t>読み方：し
［音］シ（呉）（漢）
［学習漢字］5年
１兵士の集団。軍隊。「師団／王師・出師(すいし)」
２多くの人々の集まる所。「京師(けいし)」
３人を教え導く人。先生。「師事・師匠・師弟・師範／恩師・教師・講師(こうし・こうじ)・先師・祖師・導師・法師・牧師・老師」
４専門の技術をもつ人。「医師・絵師・技師・仏師・山師(やまし)・猟師・漁師」
［名のり］かず・つかさ・のり・みつ・もと・もろ
［難読］師走(しわす・しはす)・塗師(ぬし)・香具師(やし)</t>
        </is>
      </c>
      <c r="D3425" t="inlineStr">
        <is>
          <t>師たち；師補；師法；師師長；師輔</t>
        </is>
      </c>
      <c r="E3425" t="inlineStr">
        <is>
          <t>先生；教師；師匠；教員；マスター</t>
        </is>
      </c>
      <c r="F3425" t="inlineStr">
        <is>
          <t>美容師；調教師；魔法師；魔道師；ロビントン師</t>
        </is>
      </c>
      <c r="G3425" t="inlineStr">
        <is>
          <t>師匠；師団；師範；師団長；師範学校</t>
        </is>
      </c>
      <c r="H3425" t="n">
        <v>29</v>
      </c>
      <c r="I3425" t="inlineStr">
        <is>
          <t>新年歌会始の読師は伯爵以上の有爵者でなければならないとされていた。；軍事長官である師の職に就いていたことから、「師尚父」とも呼ばれる。；後継の写譜師達からは仕事を断る者、途中放棄する者が出たほどである。；日本では医師以外の者が灸を業として行う場合は灸師免許が必要である。；最初の有名な男性美容師は南仏生まれのシャンパーニュが知られている。；師である山野千枝子と同じように美容師の草分け的存在と言われている。；一説には師の逍遥から小説家としての限界を指摘されたからとも言われる。；という歌を引き後に穴師神社が建てられ祀ることとなったと考察する。；玄奘三蔵の師である光明三蔵が若い頃に体験したエピソードが描かれている。；しかし、後宮の争いでは師輔に遅れをとり、外戚たる事ができなかった。；アウレリウスは不幸な師と同じ病が自らに降りかかることすら望んだという。；父の師輔は子孫に節倹を遺訓していたが、伊尹はこの点は守らなかった。；時の権力者である藤原実頼・師輔の兄弟の力が働いていたと思われる。；源能有の女・昭子を母とする藤原師輔・師氏・師尹らは異母弟にあたる。；海外では美容師は通常は美容院で働くか、顧客の自宅を訪問している。；父親はタワークレーンの運転手、母親は地元の病院で看護師として務めた。；ちなみに師の漱石も1907年、同じように朝日新聞社に入社している。；また新年歌会始の読師は伯爵以上の有爵者でなければならないとされていた。；師の道策と同じく、残された棋譜の中には黒番での負けはない。；美容師が開業するには州の免許が必要であるが、資格は州によって異なる。；師の文晁に倣って南画のみならず様々な系統の画派を広く吸収した。；しかし、このおかげでクセノポンは師の死に立ち会うことができなかった。；吉川経景には子が無く、弟の師平の子、経朝を養子とし福井庄を譲った。；坑夫や鉱山師がラコタ族に約束された土地に違法に侵入するようになった。；教師の役職はすべて本部の職員で、一部の助教師も職員の者がいる。；彼らの中には後に有名造形師となる人もいたが、当時は単なる常連たちであった。；父親は俳画に親しむ文人でもあり、水墨画では南宋画の師に学んでいた。；師通は「おりゐのみかどの門に車たつ様やはある」と公言したという。；顧師言は日本の王子と対戦して、鎮神頭の妙手で勝ったとされている。</t>
        </is>
      </c>
      <c r="J3425">
        <f>HYPERLINK("https://www.weblio.jp/content/師", "词义详情")</f>
        <v/>
      </c>
      <c r="K3425">
        <f>HYPERLINK("https://yourei.jp/師", "查看例句")</f>
        <v/>
      </c>
    </row>
    <row r="3426">
      <c r="A3426" t="inlineStr">
        <is>
          <t>詩</t>
        </is>
      </c>
      <c r="B3426" t="inlineStr">
        <is>
          <t>成功</t>
        </is>
      </c>
      <c r="C3426" t="inlineStr">
        <is>
          <t>読み方：うた
１拍子と節をつけて歌う言葉の総称。また、それを歌うこと。神楽歌・催馬楽(さいばら)・今様(いまよう)から、現今の唱歌・民謡・歌謡曲などまで種類が多い。
２一定の音節数によって語の調子を整えた感情の表現。長歌・短歌・旋頭歌(せどうか)や近代詩などの総称。
３（歌）和歌。特に、短歌をさしていう。「—の道」
４（唄）三味線を伴奏とする「うたいもの」の称。長唄・端唄(はうた)・小唄・地唄など。
[補説]2で、近代詩の場合には「詩」とも書く。
[下接語] 東(あずま)歌・後(あと)歌・糸繰り歌・田舎歌・稲刈り歌・稲扱(こ)き歌・今様歌・伊呂波(いろは)歌・祝い歌・牛追い唄・牛方唄・臼(うす)歌・江戸唄・大歌・置き唄・踊り歌・替え歌・返し歌・神楽歌・懸け歌・陰唄・数え歌・片歌・門付(かどづけ)歌・賀の歌・歌舞伎(かぶき)唄・神歌・上方唄・唐歌・杵(きね)歌・木遣(や)り歌・口説き歌・組歌・久米(くめ)歌・下座(げざ)唄・恋歌・小唄・小歌・腰折れ歌・琴歌・木挽(こび)き歌・子守歌・在郷(ざいごう)歌・棹(さお)歌・防人(さきもり)の歌・座敷歌・戯(ざ)れ歌・騒ぎ歌・地歌・仕事歌・地搗(つ)き歌・芝居唄・三味線歌・祝儀歌・巡礼歌・畳句(じょうく)歌・田植え歌・田歌・田打ち歌・立(たて)唄・茶摘み歌・継ぎ歌・付け歌・鼓唄・紡ぎ歌・連ね歌・手鞠(てまり)歌・鳥追い歌・長唄・長歌・長持(ながもち)歌・端(は)唄・白鳥の歌・鼻歌・浜歌・流行(はや)り歌・引き歌・鄙(ひな)歌・百首歌・琵琶(びわ)歌・風俗(ふぞく)歌・船歌・祝(ほぎ)歌・盆歌・盆踊り歌・前歌・馬子唄・鞠(まり)歌・短(みじか)歌・持ち歌・本(もと)歌・大和(やまと)歌・童(わらべ)歌
[補説]2016年に実施した「あなたの言葉を辞書に載せよう。2016」キャンペーンでの「歌」への投稿から選ばれた優秀作品。◆国境をこえて人と人をつなぐ声の手紙。アキさん◆一瞬で過去の自分にタイムスリップできる鍵。ぽんちょびさん◆想いを伝える手段。ほーがさん◆嬉しいとき、楽しいとき、悲しいとき、落ち込んだときなど、わたしたちの感情に寄り添ってくれるもの。RUMIさん◆音痴の地獄。takuroさん◆希望やパワー・空想・妄想・情景が浮かぶ歴史年表。心の履歴書。人類にとって共通・共有出来る五線譜。メスカリートさん◆言葉を旋律に乗せ、さらにそれを人の声で発することにより、言葉の力を途方もなく増幅するもの。yatakusaさん◆人生の節目の思い出になくてはならないもの。その記憶を鮮明に蘇らせてくれる装置。ピンキーさん</t>
        </is>
      </c>
      <c r="D3426" t="inlineStr">
        <is>
          <t>詩風；詩社；詩作品；詩節；詩稿</t>
        </is>
      </c>
      <c r="E3426" t="inlineStr">
        <is>
          <t>詩作；詩歌；賦；詩句；バース</t>
        </is>
      </c>
      <c r="F3426" t="inlineStr">
        <is>
          <t>長詩；清詩；風刺詩；美しい詩；有名な詩</t>
        </is>
      </c>
      <c r="G3426" t="inlineStr">
        <is>
          <t>詩集；詩的；詩作；詩歌；詩文</t>
        </is>
      </c>
      <c r="H3426" t="n">
        <v>29</v>
      </c>
      <c r="I3426" t="inlineStr">
        <is>
          <t>記録からは、交流の際に詩と茶がセットで利用されたこともうかがえる。；実際、マルクスの作った詩はそれほど出来のいい物ではなかったという。；詩はすべての動物たちが自分の身を守る能力を持つと語るところから始まる。；その後数年間はSF短編も書いているが、同時に詩にも手を出している。；最終章は戯曲になっており、途中のいくつかの章は長い詩になっている。；のようなグループやのような運動は小説や詩の美学を刷新しようと試みた。；その上、僕の詩の鍵を握った連中は、概して僕を外界から守ってくれた。；ダンの初期の詩はイングランドの社交界に鋭い批評を向けたものだった。；誰もが知っていることを誰にもわからない言葉で語るのが詩だ。；若いころは主に詩を書いていたが、存命中に出版された詩はごく一部である。；にまとめられた彼らの詩はその後ヴィシュヌ派の重要な聖典へと発展する。；ハイデッガーはこの詩を光の言葉で語られた「喜ばしさ」であるとする。；彼の詩や散文が示すように、デービーの精神は非常に想像力豊かだった。；かなり芸術的な詩なので、どちらかというと歌つきの演奏が多い。；彼の三人目の妻にも一目会いたいと願い、妻に宛てて多くの詩を詠んだ。；また、オーケストラや合唱を組織して詩や音楽の発表会などを主催した。；作家サルマン・ラシュディの同名小説中の詩をもとに作曲したものである。；それと言うのも、思いを凝らさない為に名詩が浮かんだのであろう。；現存する陶淵明の作品は、詩・散文を合わせて130余首が伝えられる。；この時期には現在知られている主な詩形と詩脚が登場していた。；彼の詩は2000年ののアルバム「」で何度もサンプリングされている。；彼らは、ソロンの詩を、自身の議論がより明らかになるように使った。；しかし四人組が逮捕されると一転して彼らを批判する詩を発表した。；そのため劉基が作ったとされる予言詩全体が『焼餅歌』と呼ばれている。；音楽の授業では、詩に曲をつけさせたり、遠藤が作曲した歌を歌ったりした。；士大夫の文化生活には茶が深く関わっており、この時代は茶を読んだ詩が多い。；詩および批評を中心に文学、思想などを広く扱う芸術総合誌である。；古文では易・書・詩・礼・楽・春秋であり、時代順に並べられている。；例えば次の詩は赦免されて23年振りに江戸へ帰ってきたときの述懐である。</t>
        </is>
      </c>
      <c r="J3426">
        <f>HYPERLINK("https://www.weblio.jp/content/詩", "词义详情")</f>
        <v/>
      </c>
      <c r="K3426">
        <f>HYPERLINK("https://yourei.jp/詩", "查看例句")</f>
        <v/>
      </c>
    </row>
    <row r="3427">
      <c r="A3427" t="inlineStr">
        <is>
          <t>市</t>
        </is>
      </c>
      <c r="B3427" t="inlineStr">
        <is>
          <t>成功</t>
        </is>
      </c>
      <c r="C3427" t="inlineStr">
        <is>
          <t>読み方：いち
１毎日、または一定の日に物を持ち寄り売買・交換すること。また、その場所。市場。「—が立つ」「朝顔—」
２多くの人が集まる所。原始社会や古代社会では、歌垣(うたがき)・祭祀・会合・物品交換などに用いられた場所。
３市街。町。
「野を越え山越え、…シラクスの—にやって来た」〈太宰・走れメロス〉</t>
        </is>
      </c>
      <c r="D3427" t="inlineStr">
        <is>
          <t>市境；市中心部；市壁；市政府；市章</t>
        </is>
      </c>
      <c r="E3427" t="inlineStr">
        <is>
          <t>町；街；市場；中心地；市街</t>
        </is>
      </c>
      <c r="F3427" t="inlineStr">
        <is>
          <t>東京市；本市；江戸市中；京丹後市；日市</t>
        </is>
      </c>
      <c r="G3427" t="inlineStr">
        <is>
          <t>市内；市場；市立；市街地；市長</t>
        </is>
      </c>
      <c r="H3427" t="n">
        <v>29</v>
      </c>
      <c r="I3427" t="inlineStr">
        <is>
          <t>委員会から任命された建築家たちは市の本来の設計には手を加えなかった。；これは孤児であった彼の祖父が市の職員から名付けられたものである。；淡路島全体で一つの市となる構想や動きもあったが、実現しなかった。；運ばれた物資は都の中にある大きな2つの市に送り、人々の生活を支えた。；今日、ライプツィヒ市での戦闘のコースはモニュメントで示されている。；市にあるものを市道、町にあるものを町道、村にあるものを村道という。；このうち錦町から六日市までの区間は大半の路盤が完成していた。；この1分間は全ワルシャワ市の部分的な機能が停止するとも云われる。；工業が盛んであり、市の郊外には多くの重化学工場が立ち並んでいる。；市境を越え、メリーランド州側にも治安の良くないエリアが広がっている。；幼児から小・中学生を対象とした市主催の絵画コンクールも行われている。；同日に告示された「市徽章設定ノ件」には、以下のとおり記されている。；現在は市の施策などで伝統的な名産品の復興などに力が注がれている。；全体的に市が設置した建物はデザインに富んでおりかつ新しい物が多いのも特徴。；県や州に相当する国と市の中間レベルの地方行政単位はない。；ここでは、社民連の前身となる社市連と社会クラブも含めて解説する。；本社は当初大阪市であったが、後に東京に本社機能を移して大阪は支社扱いとなる。；セゲダは禁止されたのは新規の町の建設であって旧市の城壁ではないと答えた。；同日から、指定都市を指定する政令が施行されて5市が指定都市に移行。；この時期の田原を支えたのは市北部で産出する石灰岩の採掘であった。；市中心部の交差点信号機に1 - 17の数字板が設置されている。；市の中心部はさらに1kmほど南西のバスターミナルの付近である。；実際の業務は市の指定管理者が甲迎館の施設管理を含めて行っている。；市街地が広がる市南部を中心に、鉄道網・バス網が整備されている。；もっとも、民営化と前後して大都市近郊の路線の電化も少し行われた。；インドでの中華料理の人気は高く、特に大都市でよく普及している。；法定人口が50万人以上で、なおかつ政令で指定された市のことである。；この施策は比較的余裕がある市の財源を市民に還元する目的もある。；かつて浦和市との合併構想もあり、市北部の一部が浦和市に編入している。</t>
        </is>
      </c>
      <c r="J3427">
        <f>HYPERLINK("https://www.weblio.jp/content/市", "词义详情")</f>
        <v/>
      </c>
      <c r="K3427">
        <f>HYPERLINK("https://yourei.jp/市", "查看例句")</f>
        <v/>
      </c>
    </row>
    <row r="3428">
      <c r="A3428" t="inlineStr">
        <is>
          <t>字</t>
        </is>
      </c>
      <c r="B3428" t="inlineStr">
        <is>
          <t>成功</t>
        </is>
      </c>
      <c r="C3428" t="inlineStr">
        <is>
          <t>読み方：あざ
市町村内を細分した区画の名。大字(おおあざ)の中に、さらに小字(こあざ)がある。</t>
        </is>
      </c>
      <c r="D3428" t="inlineStr">
        <is>
          <t>字型(6%)；字状；字域；字路；字谷</t>
        </is>
      </c>
      <c r="E3428" t="inlineStr">
        <is>
          <t>文字；執筆；文書；アルファベット；筆跡</t>
        </is>
      </c>
      <c r="F3428" t="inlineStr">
        <is>
          <t>v字；十字；t字；s字；l字</t>
        </is>
      </c>
      <c r="G3428" t="inlineStr">
        <is>
          <t>字形；字体；字名；字義；字句</t>
        </is>
      </c>
      <c r="H3428" t="n">
        <v>29</v>
      </c>
      <c r="I3428" t="inlineStr">
        <is>
          <t>中国で古くから両方に「桐」の字を用いているために混乱が生じている。；また当時存在しなかった字は、相当する別字で代用するのが普通である。；それ以外に既存の字に新たな音とか訓を付けて使用することもある。；それぞれ を表す字を変形させたもので、本来の字の次に配置される。；殷末期の王に対しては帝乙や帝辛など帝の字が用いられるようになった。；また、字区域の一種である字丁目をもつ町区域は、町名欄に示している。；その後、時期は不明だが父である義朝から一字とって義円と改名している。；これに加え、現代漢語通用字表ではさらに3500字が追加されている。；このうち「倫」字の意味とする場合、更に以下の四つの説があるという。；筆押さえなどは、字を示す上で必要がないとされることもある。；現在では基本字の一つとなっているが、W ももともとは合字である。；星の球形を表した典型的な象形字で、楷書とは言いがたい文字であった。；また、個々の文字体系の中でも、さまざまな造字手法を発展させてきた。；五つの母音字は長短両方を表したが、文字の上で長短の区別はなかった。；平・上・去・入とは内容を指す言葉ではなく、その代表字である。；字全体での意味はわかっていても、なぜその要素を使用しているのか不明の文字も多い。；日本語では「海」の一字が含まれるが、必ずしも海に限ったものではない。；また、このとき与えた添字もやはり被演算子と解釈することが可能である。；また、男の子だったら同じ字でという名前がつけられる予定だった。；J字型の針を何本か背中合わせにくっつけた形のものもあり種類分けされる。；この2字はギリシア語彙を表記するときしか使わなかったためである。；しかし、「時」の字の方を与えられた理由についてはまだ分かっていない。；後に日本ではいくつかの単位は使う字が変わった。；志津駅を出た後は小さいS字カーブを描いてユーカリが丘駅に到着する。；環七通りから当駅方面へ進み、突き当たりとなるT字路内に設置されている。；温度は引数として のように示すか、右下の添え字で のように示す。；上記の母音単独で用いる文字のほか、子音字に結合する母音記号がある。；こうした声を受けて、同年9月27日には488字の大幅な追加がなされた。；これは、戸籍が読みではなく字を基準にした制度であるためである。</t>
        </is>
      </c>
      <c r="J3428">
        <f>HYPERLINK("https://www.weblio.jp/content/字", "词义详情")</f>
        <v/>
      </c>
      <c r="K3428">
        <f>HYPERLINK("https://yourei.jp/字", "查看例句")</f>
        <v/>
      </c>
    </row>
    <row r="3429">
      <c r="A3429" t="inlineStr">
        <is>
          <t>試合</t>
        </is>
      </c>
      <c r="B3429" t="inlineStr">
        <is>
          <t>成功</t>
        </is>
      </c>
      <c r="C3429" t="inlineStr">
        <is>
          <t>読み方：しあい
［名］(スル)《「為(し)合い」の意。「し」はサ変動詞「す」の連用形で、「試」「仕」は当て字》
１スポーツ・武術などの技を比べ合い勝敗を競うこと。「他校と—する」
２（仕合）互いに相手方に対して、同じようなことをしかけること。「泥—」</t>
        </is>
      </c>
      <c r="D3429" t="inlineStr">
        <is>
          <t>試合出場(2%)；試合場；試合形式；試合中継；試合開催</t>
        </is>
      </c>
      <c r="E3429" t="inlineStr">
        <is>
          <t>戦；ゲーム；戦い；戦闘；比べ</t>
        </is>
      </c>
      <c r="F3429" t="inlineStr">
        <is>
          <t>主催試合；数試合；同試合；公式試合；出場試合</t>
        </is>
      </c>
      <c r="G3429" t="inlineStr">
        <is>
          <t>試合中；試合前；試合開始；試合数；試合終了</t>
        </is>
      </c>
      <c r="H3429" t="n">
        <v>29</v>
      </c>
      <c r="I3429" t="inlineStr">
        <is>
          <t>日本代表戦などの大規模試合時でも各駐輪場の利用規制はされていない。；この対戦はアメリカ合衆国史上初となる大学間のスポーツの試合であった。；サッカーに関しては高校大学ともにレギュラーで試合に出場している。；野球の試合で使用する場合、スコアの表示は開設当時は9回までだった。；サッカーの試合と教会の活動は典型的な社会的交流と娯楽の源泉である。；なお、この試合の中継がすべての競技を通じて最高の視聴率を獲得した。；両選手はピスト中央に4mの距離をおいて構えの姿勢から試合を開始する。；サッカー解説は主にテレビ朝日、スカパーでの試合中継時に行っている。；この翌年の1948年にも同所で東西対抗戦サッカー試合が開催された。；試合中アキレス腱が切れたが気にする事はなくそのまま試合を続けたそう。；こうしてルーズベルト大統領の承認を得て、戦時中も試合は継続された。；この試合でコンタクトレンズを着用していたことが試合終了直後に発覚。；これらの説では武蔵が京に上った後、巖流島の試合が行われたことになる。；クラブでは初試合となったこの日を「エスパルスの誕生日」としている。；なお、コールドゲームで優勝決定となった試合はこれまで一度もない。；全国共通ルールでは試合は7回制だが、5回制としているルールもある。；稽古道具や試合方法が共通化していき、後の現代武道へと繋がっていく。；その後最初に決まった対戦カードからの正式な試合順を決める抽選を行う。；試合数は1960年までリーグ各チーム総当たりの154試合であった。；開幕戦カードは普通ほとんどの試合で満員に近い観客動員数を記録する。；しかしその試合では得点を挙げることができず、チームも敗れた。；奇しくもこの試合はtotoGOALがスタートして最初の試合であった。；試合は1-2で敗れたが、ペレ自身は唯一の得点を決める活躍を見せた。；なお、大会ルールにより9回裏の攻撃を行わず試合は引き分けとなった。；また翌1880年には、世界初の野球のナイター試合が開催されている。；なお、リングの内径45cmは最初の試合の時から全く変わっていない。；両選手とも合流後すぐ試合に出場し、求められた役割を果たし結果を残していった。；副審が試合場にいないと試合が他の者から見やすいのであった。；この試合はリングマガジンのファイト・オブ・ザ・イヤーに選出された。</t>
        </is>
      </c>
      <c r="J3429">
        <f>HYPERLINK("https://www.weblio.jp/content/試合", "词义详情")</f>
        <v/>
      </c>
      <c r="K3429">
        <f>HYPERLINK("https://yourei.jp/試合", "查看例句")</f>
        <v/>
      </c>
    </row>
    <row r="3430">
      <c r="A3430" t="inlineStr">
        <is>
          <t>仕上がり</t>
        </is>
      </c>
      <c r="B3430" t="inlineStr">
        <is>
          <t>成功</t>
        </is>
      </c>
      <c r="C3430" t="inlineStr">
        <is>
          <t>読み方：しあがり
仕上がること。また、その結果や、できばえ。「—が遅い」「—がいい」</t>
        </is>
      </c>
      <c r="D3430" t="inlineStr">
        <is>
          <t>仕上がり具合；仕上がりサイズ；仕上がりすぎ；仕上がり感</t>
        </is>
      </c>
      <c r="E3430" t="inlineStr">
        <is>
          <t>出来；クオリティ；出来栄え；出来ばえ；出来映え</t>
        </is>
      </c>
      <c r="F3430" t="inlineStr">
        <is>
          <t>高い仕上がり；素晴らしい仕上がり；順調な仕上がり；ポップな仕上がり；近い仕上がり</t>
        </is>
      </c>
      <c r="H3430" t="n">
        <v>29</v>
      </c>
      <c r="I3430" t="inlineStr">
        <is>
          <t>当然ながら、どの組み合わせを選んだかは最終的な仕上がりに影響する。；そんなものを作らせるなら、もっときちっとした写真に仕上がりますよ。；これまでのシングルとは異なるアップテンポな仕上がりとなっている。；本作の仕上がりに関してメンバーの二人はそれぞれ以下のように語っている。；マッカートニーは、この時点で曲の仕上がりに物足りなさを感じていた。；はじめてにしてはまあまあの出来かな、というような仕上がりだったと思う。；また、一般的に使われるのは床仕上がりより1000mmの所である。；さらに四千三百行ほど追加しなくては一冊仕上がりません!；手を加えたことは誰にもわからないように仕上がりました。；糸の太さや作業時の天候等で仕上がりが左右される作業である。；本作の仕上がりに関しメンバーの二人は以下のように語っている。；孔明の出盧までのワンポイント軍師にしては出来過ぎの仕上がりである。；近年は極めて自然な仕上がりのエピテーゼを用いることが可能になってきている。；春は仕上がりが順調で好成績を収めてきたが、秋には相手の進境が著しい。；その間に他の仕事が入るかも知れないから、仕上がりはいつになるか判らない。；ミュージックビデオも楽曲の世界観にリンクした仕上がりになっている。；対して西日本では醤油や塩を使うため、薄茶色や透明な仕上がりになる。；これらを採用することで、高強度かつ歪みの少ない仕上がりとなっている。；曲の仕上がりにはマーティンも満足し、メンバー側の意見が通された。；彼女は、この公演が安っぽい仕上がりになることを最も恐れていた。；母に聞いたら、名古屋のほうへ新しい船の仕上がり具合を見に行ったんですって。；同じように仕上がりかかっている件が八つか十ほどもあります。；今は別に絵筆を構えているわけではなく、単に絵の仕上がりを見ているようだった。；彼は本作の仕上がりに不満があり気に入っていないとされた。；頭の形によって、分ける位置を変える事で一定の仕上がりを得られる。；打ち込みで構成されているため、デジタルな仕上がりのサウンドである。；だが、九時をまわっても、報告書はいっこうに仕上がりそうになかった。；写真の仕上がりは見ていないが、おそらく物凄い顔で写っているはずである。；加工してもらうのに十日もかかったが、見事な仕上がりであった。</t>
        </is>
      </c>
      <c r="J3430">
        <f>HYPERLINK("https://www.weblio.jp/content/仕上がり", "词义详情")</f>
        <v/>
      </c>
      <c r="K3430">
        <f>HYPERLINK("https://yourei.jp/仕上がり", "查看例句")</f>
        <v/>
      </c>
    </row>
    <row r="3431">
      <c r="A3431" t="inlineStr">
        <is>
          <t>仕上がる</t>
        </is>
      </c>
      <c r="B3431" t="inlineStr">
        <is>
          <t>成功</t>
        </is>
      </c>
      <c r="C3431" t="inlineStr">
        <is>
          <t>読み方：しあがる
［動ラ五（四）］仕事が終わる。作っていたものが完成する。できあがる。「設計図が—・る」「試合前の調整が—・る」</t>
        </is>
      </c>
      <c r="D3431" t="inlineStr">
        <is>
          <t>仕上がるだろ</t>
        </is>
      </c>
      <c r="E3431" t="inlineStr">
        <is>
          <t>達成する；完成する；完了する；完成させる；終わらせる</t>
        </is>
      </c>
      <c r="H3431" t="n">
        <v>29</v>
      </c>
      <c r="I3431" t="inlineStr">
        <is>
          <t>仕上がったばかりの頭から見ると、中にいる連れを待っているのだろう。；その絵がどんなに仕上がるやらわからない、そこに深い興味があります。；この時の音源に楽器を追加するなどし2分半ほどの曲に仕上がっている。；結果、作者独特の世界観と言語感覚を堪能できる作品に仕上がっている。；顔の部品がどれも立派過ぎて、実に濃い顔に仕上がっている訳である。；墓がまだ仕上がっていない間に、葬儀が終わった直後にその墓を奪った。；これで武器は仕上がったわけだが、大きな牡牛どもはまだ見張っていた。；そのため、シリーズ中最もドラマチック性が高い作品に仕上がっている。；満足のいく服が仕上がった時には、クリスマスは数日後に迫っていた。；アルバムのハイライトとも言える感動を呼ぶ美しい楽曲に仕上がっている。；一番早いのだと四十五分で仕上がるというので、それでお願いしました。；念を送り、きちんとしたものに仕上がるまでの十分な時間を置いて。；全体的にブリティッシュ・ロック色の強いアルバムに仕上がっている。；しかしこの本自体がすでにして一冊の少年と少女のメルヘンに仕上がっている。；私の血が幾らかでも濃く出ていれば、もう少し傲慢に仕上がったはずだ。；おれは、あの徳川様の代に仕上がったものがだんだんに消えて行くのを見た。；この時には、サン・ピエトロ大聖堂は現在見せる形にほぼ仕上がっていた。；唱歌のイメージのもと「夢」を持つ大切さを歌った楽曲に仕上がっている。；一編のテクストが仕上がるまでにはほとんど無数のファクターがあります。；また、ジャケットは、合成を用いた近未来的な世界観に仕上がっている。；そして四代目になって、完成された四ドアセダンのクルマに仕上がった。；彼が第二次世界大戦前に最後に描いた作品は、ここで仕上がった。；靴直しの靴も仕上がらず、またかじ屋の鉄も形になっていなかった。；そこから逆算して、脚本は11月頃までに仕上がっていなければならない。；コールアンドレスポンスを取り入れたライブを意識した曲に仕上がっている。；それゆえシビアな操作が要求され、遊び手を選ぶ作品に仕上がった。；丹念に養成され、仕上がって入ってくるという感じで均一化されている。；待って頂いた価値のある作品に仕上がっていればいいのですが。；そのために旧シリーズよりも、よりハートフルな作風に仕上がっている。</t>
        </is>
      </c>
      <c r="J3431">
        <f>HYPERLINK("https://www.weblio.jp/content/仕上がる", "词义详情")</f>
        <v/>
      </c>
      <c r="K3431">
        <f>HYPERLINK("https://yourei.jp/仕上がる", "查看例句")</f>
        <v/>
      </c>
    </row>
    <row r="3432">
      <c r="A3432" t="inlineStr">
        <is>
          <t>仕上げる</t>
        </is>
      </c>
      <c r="B3432" t="inlineStr">
        <is>
          <t>成功</t>
        </is>
      </c>
      <c r="C3432" t="inlineStr">
        <is>
          <t>読み方：しあげる
［動ガ下一］［文］しあ・ぐ［ガ下二］
１物事を最後の段階までしおえる。完成させる。「昼夜兼行で工事を—・げる」
２財産・身分などを作り上げる。立身する。「一代で—・げた店」</t>
        </is>
      </c>
      <c r="D3432" t="inlineStr">
        <is>
          <t>完成；終わる；完了；切る；終る</t>
        </is>
      </c>
      <c r="F3432" t="inlineStr">
        <is>
          <t>加えて仕上げる；かけて仕上げる；柔らかく仕上げる</t>
        </is>
      </c>
      <c r="H3432" t="n">
        <v>29</v>
      </c>
      <c r="I3432" t="inlineStr">
        <is>
          <t>これを使えばセイバーの剣をこれまで以上の物に仕上げることができる。；きっと明乃の夫もここまでのものを仕上げるとは思っていなかっただろう。；漫画好き芸能人たちが書いた原作を漫画家が実際に作品に仕上げる番組。；わたしがいなくてもお前さんは風車を仕上げることはできると思うよ。；しかし繰り返し参照するこうした類の知識は、本の形に仕上げる必要はない。；「うん」 と返事はしたが、私はついにその顔を仕上げる事はなかった。；ぼくの考えていたのは、一枚の壮大な壁画を仕上げるということだった。；それで一作仕上げると、画面の構成だの、そすたことで満足してしまう。；四隅を鉄で補強された革の装丁の本など、一冊仕上げるだけで一財産だ。；それを芸術性が高い音楽に仕上げるところにラヴェルの巧みさが見える。；最終レポートを仕上げるとかいっているけれど、信用はできないわね。；そういう気性じゃないと三歳の早くに仕上げるのは無理なんです。；作品を仕上げるための画材や道具が、この部屋でしか手にはいらないのだ。；仕上げるまでは、だれに誘われても飲みにいったりはしない覚悟だ。；その人に合うように最終的に仕上げるのはこっちの仕事だ。；吾々人間を若い時の扱ひや教養でさういふ風に仕上げる事が出来るだらうか?；メインは彼に任せて、俺たちは文字のレタリングを仕上げる事にした。；肌目が粗のため、表面を滑らかに仕上げるためには目止め材が必要となる。；このフレーズは、作品を仕上げる事を表現する英語の慣用句となっている。；あの娘ならまだどうでも思うように仕上げることができる。；朝になっても半分ほどしか仕上げることができなかった。；大聖堂造営局は、アゴスティーノの未完成品を仕上げるように依頼した。；ライトはこの原稿を仕上げるために長年を費やしているようである。；しようと思っても仕上げるまでには時を必要とする。；従って、塊肉を適切な状態で仕上げるためには緩やかに加熱する必要がある。；あとはもうオマケみたいな気持で、連載のエッセイを一つ二つと仕上げる。；乳剤の輪郭部分を理想的な形状に仕上げるのが難しい欠点があると言われる。；着手したことを仕上げる時間は、ほとんどないのがわかっていたから急いで仕事した。；この作品は直哉の全作品中、仕上げるのに最も時間のかかった短編だとされる。</t>
        </is>
      </c>
      <c r="J3432">
        <f>HYPERLINK("https://www.weblio.jp/content/仕上げる", "词义详情")</f>
        <v/>
      </c>
      <c r="K3432">
        <f>HYPERLINK("https://yourei.jp/仕上げる", "查看例句")</f>
        <v/>
      </c>
    </row>
    <row r="3433">
      <c r="A3433" t="inlineStr">
        <is>
          <t>幸せ</t>
        </is>
      </c>
      <c r="B3433" t="inlineStr">
        <is>
          <t>成功</t>
        </is>
      </c>
      <c r="C3433" t="inlineStr">
        <is>
          <t>読み方：しあわせ
［名・形動］《動詞「しあ（為合）わす」の連用形から》
１運がよいこと。また、そのさま。幸福。幸運。「思わぬ—が舞い込む」
２その人にとって望ましいこと。不満がないこと。また、そのさま。幸福。幸い。「—な家庭」「末永くお—にお暮らしください」
３めぐり合わせ。運命。「—が悪い」
「道がわかんねえで困ってると、—よく水車番に会ったから」〈有島・生れ出づる悩み〉
４運がよくなること。うまい具合にいくこと。
「—したとの便りもなく」〈浄・博多小女郎〉
５物事のやり方。また、事の次第。
「その科(とが)のがれず、終(つひ)には捕へられて此の—」〈浮・一代男・四〉
[補説]2017年に実施した「あなたの言葉を辞書に載せよう。2017」キャンペーンでの「幸せ」への投稿から選ばれた優秀作品。◆「なるもの」ではなく「気づくもの」。みなしごハッチさん◆生まれてきて良かったと思うこと。pikoさん◆「ずっとこのままでいたい」と思える瞬間。ともさん◆イライラしたり疲れたりしているときに癒してくれるもの。また、自分がやりたいことをできる状態。keisuさん◆宗教家の「商品」。春日井さん</t>
        </is>
      </c>
      <c r="D3433" t="inlineStr">
        <is>
          <t>幸せそう(7%)；幸せな気分；幸せな日々；幸せな生活；幸せな家庭</t>
        </is>
      </c>
      <c r="E3433" t="inlineStr">
        <is>
          <t>定め；付；運命；付き；幸福</t>
        </is>
      </c>
      <c r="F3433" t="inlineStr">
        <is>
          <t>ささやかな幸せ；小さな幸せ；こんな幸せ；みんな幸せ；幸せな新婚生活</t>
        </is>
      </c>
      <c r="G3433" t="inlineStr">
        <is>
          <t>幸せになりたい；幸せいっぱい；幸せになろう；幸せな結末；幸せになるために</t>
        </is>
      </c>
      <c r="H3433" t="n">
        <v>29</v>
      </c>
      <c r="I3433" t="inlineStr">
        <is>
          <t>理想的なプランテーションの生活とそこに住む幸せな奴隷が強調された。；日々なにげないことで幸せを感じる瞬間・体験を送ってもらうコーナー。；それぞれの女性は男性の部分集合のいずれかと結婚できれば幸せである。；政治的希望ばかりではなく、家庭の幸せまでもを失っていたのである。；不幸の上にさらなる不幸の連続で読み終わっても幸せな気分にはなれない。；彼女とは子供はできず、2人は幸せな生活を送ったとはいいがたかった。；その上、仕事で幸せな人はより早く昇進し、失業する可能性が低くなる。；しかし、やがては息子の作になる曲を孫のピアノ伴奏で歌う幸せも得た。；しかし夫婦仲は良好であり、子に恵まれ家庭生活は幸せなものであった。；ワシントン・ポスト紙の記者ジョンは妻メアリーと幸せに暮らしていた。；彼女の友達は、彼女がこれほど幸せになったのを見たことがないと報告した。；自身の妻・智子の失踪した父へ宛てた、妻の苦労や幸せな今を歌った曲。；さやかといるのは幸せだったが、そのままではいられないと感じたこと。；主にインテリアを手がけ、絵画では家庭でみられる幸せな情景を描いた。；要は他人の評価より自分で愛すべき音楽だと思える、それが一番の幸せ。；混乱した千代は、結婚して幸せに暮らしていると電話口で嘘をついた。；王子は、花の形にして持ち帰った女の子をお嫁にして、幸せに暮らした。；幸せはもらうものではなく、自分の中で育てるものではないかと思います。；それからも彼女との関係は続き、幸せに満ちた日々を過ごすジャクソン。；ようやく待ちわびたキムや孫娘との幸せな生活が待っているはずだった。；城の黒い紗ははがされ、ふたりはいつまでもいっしょに幸せに暮らした。；その息子に結婚してもらいたくて自分の幸せを後回しにしてきた父・伸男。；後にルッテンはこの勝利を人生で最も幸せな瞬間の一つだったと語っている。；しかしながら多くのものはこの作品をポターの幸せな日々と重ねて見ている。；学園で出会った弘明と恵子との幸せな未来を予感させて物語は完結する。；そこでさまざまな人や動物と出会い、幸せを感じるようになるという物語。；この時期がダイアナにとって最も幸せな家族団欒の日々であったという。；朋江を妻に迎えた清兵衛が幸せな暮らしを送ったのは、3年あまりだった。；誰もを幸せにする為に自らの多少の無理はする主義だった。</t>
        </is>
      </c>
      <c r="J3433">
        <f>HYPERLINK("https://www.weblio.jp/content/幸せ", "词义详情")</f>
        <v/>
      </c>
      <c r="K3433">
        <f>HYPERLINK("https://yourei.jp/幸せ", "查看例句")</f>
        <v/>
      </c>
    </row>
    <row r="3434">
      <c r="A3434" t="inlineStr">
        <is>
          <t>試案</t>
        </is>
      </c>
      <c r="B3434" t="inlineStr">
        <is>
          <t>成功</t>
        </is>
      </c>
      <c r="C3434" t="inlineStr">
        <is>
          <t>読み方：しあん
試みに立てた案。仮の計画や意見。</t>
        </is>
      </c>
      <c r="F3434" t="inlineStr">
        <is>
          <t>木戸試案；改正試案；活用マニュアル試案；大塚試案；中間試案</t>
        </is>
      </c>
      <c r="H3434" t="n">
        <v>29</v>
      </c>
      <c r="I3434" t="inlineStr">
        <is>
          <t>天皇は木戸試案に非常な満足を示し、速かに対策に着手するよういった。；それは試案であって、一般的な言葉で述べられていた。；中国大陸では、広東省教育部門の試案かIPAを使っている例が多い。；その間、友人たちから自分の庭の設計試案を依頼される。；左内のそういう説は、幕府の外交策にも大きな試案として役立ちつつあった。；なお、預金者保護法の制定・施行以降は、この約款試案も変更される()。；建造に至るまで数々の試案が検討された。；そしてこれを機会に一般の教育改革案は、試案の形で民間からいくつも提出されようとしている。；この試案作成の提案者はイギリスであった。；フランクフルト交通局はすでにプロジェクトの具体的な試案を委託している。；さて、ドラモンド・杉村試案の主な修正点は次の通りであった。；アザエル計画は、そのための様々な試案の中の一つだった。；そこで一つの試案として、学生による教授評価というものが生まれた。；さらに、試案では選挙区割り案も記載されており、そのなかでは全129選挙区となっている。；閘門が試案されたが、適当な場所が無く、運用による水の浪費のために捨てられた。；さらに蒲田、足立などを採用とした具体的に防空帯計画の試案が策定されている。；新宮殿造営の宮内庁試案をまとめ、御住居吹上御所の新造園を手がける。；そこでイギリスがドラモンド試案を考えたのであろう、と松岡は後になって感想を述べている。；またこれに関連して、林謙三は各均の合竹の試案を作成しており、その中で毛・卜に当たる合竹も作成している。；ゾンカ語の綴字法は確立されておらず、ゾンカ普及委員会にて様々な試案が出されている。；木戸は伊勢神宮から帰ってきた阿南と6月18日に面談して自分の試案を説明した。；さらにフランクフルト交通局はこのプロジェクトの具体的な試案作りをすでに委託している。；彼の死に際し、その試案はジョバンニ・ルピス大佐の手に入った。；すでにおれが指摘したようにこの「動物の飼育保管基準」はまことに珍妙な試案である。；封書には同様の再建試案が入っていたが、アカマのそれはその何倍ものページが割かれており、まともな再建案が書かれていた。；もっとも二、三の試案が出なくはなかった。；これらの試案は1979年12月までには完成し、1980年1月に報告された。；またこれ以後、労使協調をベースに問題の解決を図る姿勢が同友会に定着することとなり、大塚試案が果たした役割は決して小さいものではなかったといえる。；スクープされたものは松本委員会の委員の一人である宮澤俊義が作成した試案であって、松本試案とは異なるものであった。</t>
        </is>
      </c>
      <c r="J3434">
        <f>HYPERLINK("https://www.weblio.jp/content/試案", "词义详情")</f>
        <v/>
      </c>
      <c r="K3434">
        <f>HYPERLINK("https://yourei.jp/試案", "查看例句")</f>
        <v/>
      </c>
    </row>
    <row r="3435">
      <c r="A3435" t="inlineStr">
        <is>
          <t>強いて</t>
        </is>
      </c>
      <c r="B3435" t="inlineStr">
        <is>
          <t>成功</t>
        </is>
      </c>
      <c r="C3435" t="inlineStr">
        <is>
          <t>読み方：しいて
［副］《動詞「し（強）いる」の連用形に接続助詞「て」が付いてできた語》
１困難・抵抗・反対などを押し切って物事を行うさま。あえて。むりに。むりやり。「いやがる子に—やれとは言えない」
２むしょうに。むやみに。
「—悲しと覚え給ひけり」〈源・柏木〉</t>
        </is>
      </c>
      <c r="D3435" t="inlineStr">
        <is>
          <t>有無を言わさず；否が応でも；否でも応でも；否応無く</t>
        </is>
      </c>
      <c r="H3435" t="n">
        <v>29</v>
      </c>
      <c r="I3435" t="inlineStr">
        <is>
          <t>は、強いていえばこの説が最も当を得ているのではないか、としている。；そして妙な表情をし、強いて口をきいてるかのようなふうで言い添えた。；しかも強いて言葉を出そうとすると、口へ出ないで鼻へ抜けそうになる。；ここで強いて鼻なるものの正体に解釈を下しますといろいろな事になります。；強いて読みたい記事もないし、話題を用意しておくべき相手もいない。；自分にも、よくわからないのだが、強いていえば、一種の義務感だろう。；何が忌になってしまったのか、それを強いて穿鑿する必要はありません。；ミネは自分を相手の立場におくことで、強いて野村を理解しようとした。；何か一つの目的のために、強いて勉めて我慢をして学問をしたのであった。；それは、強いていうならば、押絵の人物が二つとも生きていたことである。；こうして彼女といられるだけでも幸福なのだと強いて自分に言い聞かせた。；強いて云うならば延長は二つの意味を有つことが出来るであろう。；強いて言うならば、全てがここに至るまでに失われたもののためでしょうか?；彼れは持った事のないものを強いて押付けられたように当惑してしまった。；頭上の焦熱地獄を考える以外のことなら何でもしようと強いて努力していた。；自力他力と云って強いて厳正に区別する事も難しいくらいのものである。；でも、別れたくない気持ちが強くってずるずると引きのばしてきたのだ。；けれどそれを強いて兵助に知らせようとするほど無慙な者もいなかった。；誰に命じられた仕事でもないけど、強いていうなら地球平和のため。；強いて言うなら、その周りでいろいろ気になることがあるってことやろ?；又、仕事をしてゐるわけでもないので、強いて酔ふ必要もなかつたのだ。；他人の力を行使して敵を潰して、それで自分が強いって勘違いするんだ。；中に入ってから、かなめは気を取り直し、強いて元気な声でこう言った。；それで婦人はわれわれからそれを強いて取りもどそうとしています。；それを説明するのも面倒くさいし、強いて知りたいとは思わなかった。；戦争はある人々の生きかたを強いて変えさせたことは事実だ。；そして心の底に不快の萌すのを、強いて自分でも認めないようにしている。；別に意識してそうなったわけでなく、強いていえば環境でしょう。；たとえて言われても、強いて言われても、全然ぴんと来ないんだけど。</t>
        </is>
      </c>
      <c r="J3435">
        <f>HYPERLINK("https://www.weblio.jp/content/強いて", "词义详情")</f>
        <v/>
      </c>
      <c r="K3435">
        <f>HYPERLINK("https://yourei.jp/強いて", "查看例句")</f>
        <v/>
      </c>
    </row>
    <row r="3436">
      <c r="A3436" t="inlineStr">
        <is>
          <t>ジーパン</t>
        </is>
      </c>
      <c r="B3436" t="inlineStr">
        <is>
          <t>成功</t>
        </is>
      </c>
      <c r="C3436" t="inlineStr">
        <is>
          <t>《(和)jeans＋pantsの略》ジーンズ1でつくったラフな感じのズボン。ジーンズ。デニム。
[補説] 「Gパン」とも書く。</t>
        </is>
      </c>
      <c r="D3436" t="inlineStr">
        <is>
          <t>ジーパン姿(7%)；ジーパンスタイル</t>
        </is>
      </c>
      <c r="G3436" t="inlineStr">
        <is>
          <t>ジーパン刑事</t>
        </is>
      </c>
      <c r="H3436" t="n">
        <v>29</v>
      </c>
      <c r="I3436" t="inlineStr">
        <is>
          <t>黒いシャツにジーパンを穿いた男は、僕がいることには気づかなかった。；綿のシャツにジーパンで、男は呆気にとられたようにこちらを見ている。；腰が隠れるぐらい裾の長いシャツを着て、それをジーパンの外へ出して。；しかし当初はジーパン姿での出演には苦情の方も多くあったという。；少し色の落ちたジャンパーを着て、ジーパンをはいた足はスラッと長い。；七海のウォッシュアウトされたジーパンの上に大きなしみができていた。；色褪せたジーパンは汗に濡れ、膝の辺りまで濃いブルーに変色している。；普段は、お気に入りのスタジャンとジーパンを気分にあわせて選ぶのだ。；私は黒い靴を大きな石の上にのせ、となりの石にジーパンをのせた。；そして、ジーパンやショートパンツで来なかったことをひどく後悔した。；伊奈は攻撃の手を止めて、男のジーパンのうしろのポケットを探った。；もう少し若人になってやれと、ジーパンとTシャツに着替えようとした。；ジーパンにがっかりするのなら、水着にもがっかりしなくてはならない。；彼女の手が伸びてきて、犬塚昇のペニスをジーパンの上からまさぐった。；ジーパンのうしろのポケットに入れているナイフが、固く尻に当っている。；「おい」 と言ったのは、正面にあぐらをかいていたジーパン姿の娘。；ジーパンとシャツの間から裸の背中を見せて、マンボを踊っている娘もいる。；ジーパンでテレビに出るなんて言うんですもの、相当なものね。；どうなることやら、と思っていると、階段から見えたのはジーパンをはいた脚だった。；渋滞する車を横に見ながら走り続けていると、ジーパンのポケットで電話が鳴った。；赤いジャンパーにジーパン姿で先頭を切り、歩幅をいっぱいに広げて歩く。；骨の太い私はほんとうに着物が似合わず、ジーパンもきゅうくつだった。；三人の内訳は男二人に女一人、いずれもジーパンをはいている。；いつもジーパン姿だったので、足を見るのははじめてだった。；スカートをはいてる時は問題ないんだけどさ、ジーパンはくとすごいのよ。；お断りしておくと、幸い、夕子は今日はジーパンスタイルだったのである。；歩道を歩いていた老夫婦が、ジーパン姿で疾走する葉子を不思議そうに見た。；二人とも、ジーパンをはき、男の方は、黒の革ジャンを着ていました。；普段はスカートばかり履いている女の人が俺と会う時はジーパンを履いて来ます。</t>
        </is>
      </c>
      <c r="J3436">
        <f>HYPERLINK("https://www.weblio.jp/content/ジーパン", "词义详情")</f>
        <v/>
      </c>
      <c r="K3436">
        <f>HYPERLINK("https://yourei.jp/ジーパン", "查看例句")</f>
        <v/>
      </c>
    </row>
    <row r="3437">
      <c r="A3437" t="inlineStr">
        <is>
          <t>強いる</t>
        </is>
      </c>
      <c r="B3437" t="inlineStr">
        <is>
          <t>成功</t>
        </is>
      </c>
      <c r="C3437" t="inlineStr">
        <is>
          <t>読み方：しいる
［動ア上一］［文］し・ふ［ハ上二］相手の意向を無視して、むりにやらせる。強制する。「酒を—・いる」「予想外の苦戦を—・いられる」</t>
        </is>
      </c>
      <c r="D3437" t="inlineStr">
        <is>
          <t>強制；迫る；要求する；強要；請求する</t>
        </is>
      </c>
      <c r="H3437" t="n">
        <v>29</v>
      </c>
      <c r="I3437" t="inlineStr">
        <is>
          <t>この男は自分のいいと思った事は、何事に拘らず他人に強いる癖がある。；戦争遂行のために、民衆に犠牲を強いる軍隊の側面を露呈したのである。；健康は外から人々にもたらすことはできないし強いることはできない。；百合子は子供たちに犠牲を強いる軍人との結婚を後悔してると吐露する。；東京での一人暮らしは、知らず知らず緊張を強いるものであったのだろう。；常に多くの犠牲者を強いることで、社会の腐敗を防ごうとしたのである。；女が女に強いる欲情の凄じさは、言葉にも筆にもなるものではありません。；働く必要がないし、だれも彼を働かせようと強いるものはなかったからだ。；自分は無害などと主張するようでは、労働を強いるところでしたから。；強制収容所とは、そのような沈黙を圧倒的に人間に強いる場所である。；あなたはもう私に服従を強いることも貞淑を求めることもできない筈。；つまり私は、自分の幸福のために、みんなに犠牲を強いることを選んだのだ。；自分一人なら寒さも我慢できるが、幼い紫にそれを強いるわけにもいかない。；そんなことをしたら、燿に今以上の負担を強いることになると分かっている。；このような自由な男女の関係が現実には女性に犠牲と負担を強いるものであったからである。；忠がしばしば滅私奉公的な自己犠牲を強いると言うことはできるだろう。；どうだネ、兄さん、わたしはお前を欺すのでも強いるのでもないのだよ。；しかし弟は快く同行しなかったし、彼女も無理に強いることはできなかった。；しかしこのときまだ四郎は、みずからに選択を強いる必要はなかった。；発達した文明が人に苦痛を強いるという話は、容認したくありません。；私は、社会や生活に、なおそれ以上を考えろと強いる権利を認めなかった。；だが、彼の身体は外界が彼を日本人だと強いることに反対することは出来ない。；それは人に隷従を強いる偏狭・不寛容な態度といわなくてはならない。；けれどもこういうやりかたをいままでのほかの人たちに強いることはいけない。；会話は中性的で、被害者の家族特有の同情を強いるような態度がない。；二十世紀の民衆に過去の世紀の貴族的社会の芸術や思想を強いる事は出来ない。；十分に準備して、一挙に決戦を強いるのが今回の大方針であるはずであった。；そのためゲイルロズは彼に話すことを強いるために彼を拷問させた。；この二つの静止と運動とは絶えず人間の認識に往還を強いるはずである。</t>
        </is>
      </c>
      <c r="J3437">
        <f>HYPERLINK("https://www.weblio.jp/content/強いる", "词义详情")</f>
        <v/>
      </c>
      <c r="K3437">
        <f>HYPERLINK("https://yourei.jp/強いる", "查看例句")</f>
        <v/>
      </c>
    </row>
    <row r="3438">
      <c r="A3438" t="inlineStr">
        <is>
          <t>仕入れ</t>
        </is>
      </c>
      <c r="B3438" t="inlineStr">
        <is>
          <t>成功</t>
        </is>
      </c>
      <c r="C3438" t="inlineStr">
        <is>
          <t>読み方：しいれ
１商品や原料を買い入れること。「—値段」「—帳」
２教え込むこと。
「物は—によって何事も」〈浮・諸国ばなし・四〉</t>
        </is>
      </c>
      <c r="D3438" t="inlineStr">
        <is>
          <t>仕入れ先(2%)；仕入れて来(2%)；仕入れてくる；仕入れ価格；仕入れておい</t>
        </is>
      </c>
      <c r="E3438" t="inlineStr">
        <is>
          <t>購入；買収；調達；買い物；買物</t>
        </is>
      </c>
      <c r="F3438" t="inlineStr">
        <is>
          <t>安く仕入れ；大量仕入れ；商品仕入れ；不正仕入れ；直接仕入れ</t>
        </is>
      </c>
      <c r="G3438" t="inlineStr">
        <is>
          <t>仕入れ値；仕入れよ；仕入れルート；仕入れれ；仕入れなければ報酬なし</t>
        </is>
      </c>
      <c r="H3438" t="n">
        <v>29</v>
      </c>
      <c r="I3438" t="inlineStr">
        <is>
          <t>今日は仕入れをしたばかりだから、それでもこれだけ置いてあるんです。；今は何品を仕入れていずれの時いずれのところに売り捌くつもりなるや。；蒟蒻を仕入れて出た時はそんなこんなで暇をとつて何時になく遲かつた。；この道具から出される商品や人はどこから仕入れているのかは不明。；花売りの女が市場からやってきて、その日に仕入れた花をならべていた。；安い物を仕入れなくては運送費が高く掛るからとてもしてみようがない。；瀬谷の妻は仕方なく自分の費用で町の店から野菜や肉を仕入れてきた。；今は活きの良い切り返しを仕入れてないから、日を改めて尋ねてほしい。；仕入れ材料の段階からグルタミン酸ナトリウムを使用していないのが特徴。；小規模店舗に至っては仕入れ自体が無かったところも存在していた。；私の見る限り彼は主に自分の読みたいと思う本を選んで仕入れているらしい節がある。；なぜなら、まず製薬業者から現金で大量に薬を仕入れなければならない。；そしてそれで手に入れた金で、やはりいろいろ商品を仕入れました。；そのため大坂へは、店の仕入れ高に割りまして注文していたんだな。；水道料は闇の仕入れぢやないから、目の玉の飛びでることはねえだらう。；仕入れた情報は仲間内で共有すべきだというのが僕の考えだった。；別のルートから仕入れた情報では、そいつはかなり苦境にあるらしい。；事業を行っていく中で仕入れが重要である事を見いだし注力するようになる。；どうやら地元で二冊だけ仕入れて僕に流そうと思っていたらしい。；今まで一度も僕の仕入れたものを見せたことはなかったね?；ほんとにあなたはそんなことばづかいをどこから仕入れて来るんでしょう!；次に営業を開始する前に販売する商品の仕入れやでじこたちの仕事を決めていく。；一般的には各市場で仕入れた野菜類を末端の消費者に販売する商売である。；妙な情報を仕入れてくることも多く、たまに無理な注文をつけたりもしている。；こんなものが存在するなんて情報を、どこから仕入れたんですか?；後に、廖金鋭から仕入れて、自分の店に置いて売る者もいくつか現れた。；学校もその話でもちきりで、デイヴィもたっぷりと情報を仕入れてきた。；仕入れ額もそこそこの額だったが、数倍、中には数十倍の値がついた品もある。；店頭で販売を担当する社員が自ら仕入れ業務も行う伝統的な営業形態を維持している。</t>
        </is>
      </c>
      <c r="J3438">
        <f>HYPERLINK("https://www.weblio.jp/content/仕入れ", "词义详情")</f>
        <v/>
      </c>
      <c r="K3438">
        <f>HYPERLINK("https://yourei.jp/仕入れ", "查看例句")</f>
        <v/>
      </c>
    </row>
    <row r="3439">
      <c r="A3439" t="inlineStr">
        <is>
          <t>試飲</t>
        </is>
      </c>
      <c r="B3439" t="inlineStr">
        <is>
          <t>成功</t>
        </is>
      </c>
      <c r="C3439" t="inlineStr">
        <is>
          <t>読み方：しいん
［名］(スル)味見をするなどの目的で、ためしに飲むこと。「新酒を—する」</t>
        </is>
      </c>
      <c r="D3439" t="inlineStr">
        <is>
          <t>試飲会(10%)；試飲できる(5%)；試飲用(3%)；試飲室</t>
        </is>
      </c>
      <c r="E3439" t="inlineStr">
        <is>
          <t>試みる；試す；試食；味見；試味</t>
        </is>
      </c>
      <c r="H3439" t="n">
        <v>29</v>
      </c>
      <c r="I3439" t="inlineStr">
        <is>
          <t>また、併設されているレストランではラム酒の試飲が可能となっている。；見学の最後にはできたてのビールの試飲が可能であることが多い。；祭りではワインの試飲などが行われ、近年では30000人程度が参加した。；一本何十万もするような高価なワインは、スタッフもなかなか試飲できない。；主人が試飲して状態を確認した後、客などに勧めて飲み始める。；ラウェルベルグ家で試飲のために供されたワインは十六種であった。；奴隷はいつも以上に丁寧にワインを試飲し、より良い品質のものを注文した。；サイクリングコースに沿ってワインの試飲やピクニックの施設がある。；そういう中、1976年5月24日にパリで歴史的な試飲会が起きた。；だから、注文した客はスタッフの試飲用に少し残しておく。；ワインの戦いの他には、ワインの試飲会や闘牛などが行われる。；中身はすでに入れかわっているかも知れないが、とにかく試飲させてもらった。；この試飲会の際に各醸造所は有力者や著名人を招いて大々的な行事を行う。；隣接している展示蔵では、試飲や販売を行っている。；味の検討に当たり、担当者は東京や大阪の飲食店で試飲を行った。；ふたりは試飲用の小さいコップをいっしょに使い、手には大きな黒パンを握っていた。；ここで黙って棒のように立っていると、宣伝員が試飲用の酒を小さなコップに入れて奨めてくれる。；宝酒造が製造したお酒の試飲などのサービスがある、ユニークな大会である。；地域内にある著名なワイナリーと試飲室は以下の通りだが、この他にも多くのワイナリーが存在している。；また、リクエストに応じて観光案内や地元の名産品の車内での試飲も可能である。；併設の酒造資料館、古い酒造りの道具等を展示し、酒の試飲・販売も行っている。；ワイン生産村ではカヴォーと呼ばれるワインバーで、ワインの試飲をすることもできる。；お客様席にしては妙な場所だし、ジェナ、試飲会でもあるまい。；しかし、新製品でないとしたら、なぜ今さら子供を集めて無料試飲などさせるのだろう。；開始当初は数量・期間限定無料の試飲キャンペーンが実施された。；雪印ブランドのワインを製造していたほか、見学施設を設け試飲・試食もできるようにしていた。；名護工場に併設されている見学施設で、ビール製造の見学や試飲などができる。；市の南部、車では短時間の距離にある幾つかのワイン醸造所では午後の試飲を楽しむことができる。；そばによってきてそれを見たら、だれだって、一杯もらってさっそく試飲してみたくなってしまう。</t>
        </is>
      </c>
      <c r="J3439">
        <f>HYPERLINK("https://www.weblio.jp/content/試飲", "词义详情")</f>
        <v/>
      </c>
      <c r="K3439">
        <f>HYPERLINK("https://yourei.jp/試飲", "查看例句")</f>
        <v/>
      </c>
    </row>
    <row r="3440">
      <c r="A3440" t="inlineStr">
        <is>
          <t>寺院</t>
        </is>
      </c>
      <c r="B3440" t="inlineStr">
        <is>
          <t>成功</t>
        </is>
      </c>
      <c r="C3440" t="inlineStr">
        <is>
          <t>読み方：じいん
仏寺とそれに付属する別舎をあわせた称。また、広くイスラム教・キリスト教の礼拝堂にもいう。てら。</t>
        </is>
      </c>
      <c r="D3440" t="inlineStr">
        <is>
          <t>寺院跡；寺院建築；寺院内；寺院群；寺院建立</t>
        </is>
      </c>
      <c r="E3440" t="inlineStr">
        <is>
          <t>寺；院；神殿；山門；お寺</t>
        </is>
      </c>
      <c r="F3440" t="inlineStr">
        <is>
          <t>古代寺院；真言宗寺院；曹洞宗寺院；禅宗寺院；天台宗寺院</t>
        </is>
      </c>
      <c r="G3440" t="inlineStr">
        <is>
          <t>寺院諸法度；寺院領；寺院法度</t>
        </is>
      </c>
      <c r="H3440" t="n">
        <v>29</v>
      </c>
      <c r="I3440" t="inlineStr">
        <is>
          <t>当時は地方の有力寺院の住職まで幕府が直接任命する例が少なくなかった。；またこれらの領土や人民は国王の許可なく寺院に寄付することができた。；彼は聖パトリック寺院の葬儀に出席していられないほど具合が悪かった。；この寺院はその長い歴史の中で金や宝石など多くの寄進を集めている。；所属寺院から発行される証書を持っていることが宿泊許可の条件とされる。；これが、奈良を中心とする寺院の間に、出版事業を興させるようになる。；駅舎がない北口は駅前整備も長年行われず、寺院や住宅が密集している。；寺院以外で使用された最初の例は7世紀末に建設された藤原京とされている。；そのため、大規模な寺院建造物には鉄筋コンクリート造が増えてきている。；貨幣博物館蔵 その後これら寺院群は政治に口を出すようになった。；なお、文藝春秋と小西の記事では廃仏毀釈時の寺院の数が異なっている。；所属信徒が多い一部の寺院では支部を2つ以上組織しているところもある。；それはたった一晩で千の寺院を造らねばならないというものだった。；そして寺院は新しい建物へと置き換えられ、その際に建材は再利用された。；ともに、中世・近世の京都寺院の状況を知る上では貴重な史料である。；神宮寺は神社に建てられた寺院のことで、神仏習合の初期段階で登場した。；興福寺・東大寺など南都の大寺院の監視とその門前町の支配のため設置。；そのためインドにあるヒンドゥー寺院でブラフマーを奉るものは少ない。；奈良時代の官庁や大寺院には多数の倉が並んでいたことが記録から知られる。；寺院の伽藍は直線の軸を基準に配置され、重要な構造物は中心に配置されている。；寺の周辺には無数の付属寺院の子院が建てられ、最盛期には百か院以上を数えた。；奴隷は個人に使役される奴婢と寺院に寄進された三宝奴隷に大別される。；鎌倉時代には多くの寺院が建立され、兵の集結宿泊所として利用される。；日本では中世まで書物は寺院や朝廷が所蔵するもので外にはなかなか出ないものだった。；現代でもいくつかの寺院ではトリムールティが信仰されている。；百済からは仏教と寺院建築のために瓦などの建築技術が伝わった。；寺院内でも盛んに生産したことから、これらは寺納豆とも呼ばれるようになった。；伝承によれば、福田寺は法皇の小倉殿を浄土宗寺院に改めたものという。；江戸時代より以前は、山上に70以上もの寺院があったと指摘されている。</t>
        </is>
      </c>
      <c r="J3440">
        <f>HYPERLINK("https://www.weblio.jp/content/寺院", "词义详情")</f>
        <v/>
      </c>
      <c r="K3440">
        <f>HYPERLINK("https://yourei.jp/寺院", "查看例句")</f>
        <v/>
      </c>
    </row>
    <row r="3441">
      <c r="A3441" t="inlineStr">
        <is>
          <t>しいんと</t>
        </is>
      </c>
      <c r="B3441" t="inlineStr">
        <is>
          <t>成功</t>
        </is>
      </c>
      <c r="D3441" t="inlineStr">
        <is>
          <t>しいんとなりまし；しいんと静まり；しいんと黙りこん；しいんと凍りつい；しいんと更け</t>
        </is>
      </c>
      <c r="F3441" t="inlineStr">
        <is>
          <t>しばらくしいんと；しいんと黙り；急にしいんと；みんなしいんと；妙にしいんと</t>
        </is>
      </c>
      <c r="H3441" t="n">
        <v>29</v>
      </c>
      <c r="I3441" t="inlineStr">
        <is>
          <t>上の意識は発情した獣のものだったが、底の意識はしいんと冴えていた。；しいんとして、と進んで、自分の態度を、はっきり示すほどの者がない。；さあみんなはだんだんしいんとなって、まるで堅くなってしまいました。；一座はしいんとなったが、私としては、実はそれが目的だったのである。；丸屋のほうへまず先にはいってみると、案外にもしいんとしているのです。；がどう云うわけかそれから急にしいんとなってしまいました。；頭上には老樹が枝をかわしていて薄暗く、四辺は妙にしいんとしている。；沈んだ目だけが常になく大きく見ひらかれ、しいんとそこで定まっていた。；しいんと頭のはちを鉄の輪でしめつけられるような悪酔がのぼって来る。；そこに味の濃い沈黙がしいんと一同のうえにおりてきた。；しいんとしていた時だけにただ一ト声だったが何ともそれは異様に耳を搏った。；目指すその屋敷の前に来てみると、中はしいんと静まり返っている。；午後八時頃になると、まるで夜ふけの町のようにしいんとなってしまった。；一瞬、しいんとした沈黙がおもっくるしく部屋のなかにおちこんできた。；敷居をまたぐと、すぐ左側は薬局の窓だったが、中はしいんとしていた。；私どものいる簾の中は、物音ひとつ立てず、しいんと静まり返っていた。；雪の色が家々の低い屋根を一層低く見せて、村はしいんと底に沈んでいるようだった。；まだみんな眠っているのでしょう、あたりはしいんと静まりかえっています。；と、不意にしいんとなって、それから一時に大勢の人々の叫び声がしました。；しばらく彼は、しいんと黙りこんで、視線のさきをあてもなく見つめていた。；しいんと世間はしずまりかえって夜の呼吸が秘めやかに忍びよってきていた。；あまりに、しいんと、あたりが静かなことが、不気味になったのであった。；雪の色が家々の低い屋根をいっそう低く見せて、村はしいんと底に沈んでいるようだった。；森のなかはしいんとしていますし、森のむこうの野原には人かげもありません。；崖からしたたり落ちる清水のような冷気が、しいんと屋敷のなかを支配している。；しいんとした沈黙が、水のように三人のあいだを流れた。；奥座敷の方に灯は見えるが、家の中は妙にしいんとしていて、まるで人気がないようだ。；彼女を乗せた電車が側を走り過ぎると、凡てがしいんとなった。；広いおうちの中は、あき家のように、しいんと静まりかえっています。</t>
        </is>
      </c>
      <c r="J3441">
        <f>HYPERLINK("https://www.weblio.jp/content/しいんと", "词义详情")</f>
        <v/>
      </c>
      <c r="K3441">
        <f>HYPERLINK("https://yourei.jp/しいんと", "查看例句")</f>
        <v/>
      </c>
    </row>
    <row r="3442">
      <c r="A3442" t="inlineStr">
        <is>
          <t>自営</t>
        </is>
      </c>
      <c r="B3442" t="inlineStr">
        <is>
          <t>成功</t>
        </is>
      </c>
      <c r="C3442" t="inlineStr">
        <is>
          <t>読み方：じえい
［名］(スル)自分の力で事業を経営すること。「飲食店を—する」「—業」</t>
        </is>
      </c>
      <c r="D3442" t="inlineStr">
        <is>
          <t>自営農民(6%)；自営農家(2%)；自営phs(2%)；自営会(2%)；自営農地</t>
        </is>
      </c>
      <c r="E3442" t="inlineStr">
        <is>
          <t>独立；フリーランス；インディペンデント</t>
        </is>
      </c>
      <c r="F3442" t="inlineStr">
        <is>
          <t>熊本自営；小規模自営</t>
        </is>
      </c>
      <c r="G3442" t="inlineStr">
        <is>
          <t>自営業者；自営館；自営業主；自営線</t>
        </is>
      </c>
      <c r="H3442" t="n">
        <v>29</v>
      </c>
      <c r="I3442" t="inlineStr">
        <is>
          <t>この比率は特に漁業では自営の者がいるので実際の数字を反映してはいない。；かく単に自活自営の立場に立って見渡した世の中はことごとく敵である。；自営農業では家族全体を支えられず、多くの者が職を求めて都会に移動した。；三崎の船員組合の隣に自営する知人の「ます屋食堂」に行こうと考えた。；入植者はその土地を改良して自営のために使うこととされた。；アシモフ自身は、父の自営する店で幼い頃から働いた影響であると自己分析している。；西部に向けて無限のように拡大されていく自営農民の世界。；現在は、2009年に建築会社を設立して自営で活動している。；さらに、2006年には3つの映画館を一気に開設し、映画館を自営し始めた。；さらに党は自営の企業群を保有していた。；クラークはロシア帝国末期の時代に登場した比較的裕福な自営農家であった。；後藤には「三頭政治」の解消と「自営自立」の実現が期待されたのである。；自営PHSの後継規格であり、利用する電波帯域もPHS帯の一部である。；植民地および独立後のアメリカが、まず農業を中心にして安定していった事実は、アメリカが自営農民の世界であったことを物語っている。；ACBLは、自営で登録制のブリッジサービスを始めたが、あまり成功していない。；両親はベーカリーを自営しており、カサーニュも十代から家業を手伝った。；のちに自営独立し、1936年には知人に依頼されて木彫の聖観音像を制作した。；農民料理は、自営の農場や近隣で採れる作物を利用する必要性に基づいていた。；生産のほかに自営というのがあって、これは、刑務所暮らしの生活上必要な作業をする人たちがいます。；これらの資格によりマスターは自営するか、企業で高い役職につくことができる。；それ以前のコーヒー貿易は、個々の自営商人たちによって営まれた。；父は毛織物業を自営していたが一家は決して裕福ではなく、ワインやチーズの売買も行っていた。；純粋な自営農業などの、市場取引の伴わない社会も、一般的に自由市場経済とはみない。；自営のため、規律だけはうまく守れず、完全すぎるのも問題だと、正直な文を残している。；所従の中には一家を構えて自営耕作を行うものもおり、その身分的実態は一律ではなかった。；これは自営の農家とその暮らしぶりを理想化したルソーが長年愛したフランス農村への憧憬を示すと考えられる。；日本人は異国人を軽蔑するが、一面において独立自営の能力もたしかにもっている。；どうやら一個のパン屋として、苦しいなりにも独立自営の目途がついたのであった。；又今回の大戦にて暴露された如く、日本には自営自給することができない幾多の工業がある。</t>
        </is>
      </c>
      <c r="J3442">
        <f>HYPERLINK("https://www.weblio.jp/content/自営", "词义详情")</f>
        <v/>
      </c>
      <c r="K3442">
        <f>HYPERLINK("https://yourei.jp/自営", "查看例句")</f>
        <v/>
      </c>
    </row>
    <row r="3443">
      <c r="A3443" t="inlineStr">
        <is>
          <t>ジェット機</t>
        </is>
      </c>
      <c r="B3443" t="inlineStr">
        <is>
          <t>成功</t>
        </is>
      </c>
      <c r="C3443" t="inlineStr">
        <is>
          <t>読み方：じぇっとき
ジェットエンジンを推進装置として用いる航空機の総称。</t>
        </is>
      </c>
      <c r="D3443" t="inlineStr">
        <is>
          <t>ジェット機時代；ジェット機用；ジェット機運用；ジェット機就航；ジェット機並み</t>
        </is>
      </c>
      <c r="E3443" t="inlineStr">
        <is>
          <t>ジェット</t>
        </is>
      </c>
      <c r="F3443" t="inlineStr">
        <is>
          <t>大型ジェット機；双発ジェット機；超音速ジェット機；三発ジェット機；中型ジェット機</t>
        </is>
      </c>
      <c r="H3443" t="n">
        <v>29</v>
      </c>
      <c r="I3443" t="inlineStr">
        <is>
          <t>外へ出ましても、ジェット機着陸の模様はどうせ見えないのであります。；われわれがジェット機から見えなくなったとき、おれは管を唇にあてた。；ジェット機の直行便がはいった島にそれを求めるのも無理なことであろう。；戦後はジェット機の開発も行うが、計画の段階を超える事は無かった。；彼は3632時間のジェット機を含む、4147時間の飛行を経験した。；ジェット機の操作特性に近づけるために、翼幅も短いものとなっている。；水溜めに使用されているのはおそらくジェット機投下タンクと思われる。；子供と同じように、彼女もまたジェット機の着くのを待ちかねていた。；また、ジェット機が上空で落した水が凍ったものだろうと言う人がいる。；高速道路催眠現象に似た現象は、ジェット機のパイロットにもみられる。；ジェット機の周囲にいた男たちが振り向く、いっせいに走り寄ってくる。；たった数人のために、大型ジェット機を仕立てたのには、理由があった。；プロペラ機は原理的にジェット機よりも遥かに低い速度で限界に達する。；軍用ジェット機やボーイング商業用航空機社の試験飛行にも使われている。；何列ものすらりとしたジェット機が、洞窟のような空間を満たしている。；頑丈な体を持ち、ジェット機と衝突しても傷ひとつ負うことはないという。；しかし、ジェット機となると、雲の上に浮いているだけのような気分だ。；同時に浜松基地では、ジェット機運用のための整備工事が進められた。；レバーをトップに入れればジェット機並みのスピードで走ることも可能。；そのような中で、ジェット機は夜陰に乗じて密かに離陸したのであった。；また航続距離も、純粋なジェット機のFHの2倍近い性能を持っていた。；いまジェット機が飛んでいるのは、はてしなく広がる海の上だった。；佳代子は窓際に立ったまま、整備されて行くジェット機を眺めていた。；大型のジェット機ではスラストリバーサを装備している場合が多い。；グーギー建築は、・ジェット機・・核時代に影響を受けたの一様式である。；ラム・ジェット機がロケット・モーターを併用しているのはそのためだ。；BW26話以降は小型のジェット機のようなものを背負って移動している。；それは椅子というよりも、ジェット機の射出座席に似た複雑な構造を持っていた。；最初に保有したジェット機は1965年に供与されたB-57であった。</t>
        </is>
      </c>
      <c r="J3443">
        <f>HYPERLINK("https://www.weblio.jp/content/ジェット機", "词义详情")</f>
        <v/>
      </c>
      <c r="K3443">
        <f>HYPERLINK("https://yourei.jp/ジェット機", "查看例句")</f>
        <v/>
      </c>
    </row>
    <row r="3444">
      <c r="A3444" t="inlineStr">
        <is>
          <t>潮</t>
        </is>
      </c>
      <c r="B3444" t="inlineStr">
        <is>
          <t>成功</t>
        </is>
      </c>
      <c r="C3444" t="inlineStr">
        <is>
          <t>読み方：うしお
１海面の水位が太陽や月、特に月の引力によって、定期的に高くなったり低くなったりすること。潮汐(ちょうせき)。しお。
２海水。「太平洋の—に洗われて育つ」
３高まったり静まったりするもの、また、押し寄せてくるものなどのたとえ。
「感情の—がまだ上(のぼ)りはしまいかという掛念で」〈漱石・明暗〉
４「潮汁(うしおじる)」の略。</t>
        </is>
      </c>
      <c r="D3444" t="inlineStr">
        <is>
          <t>潮岸；潮鳴り；潮湯治；潮域；潮入り</t>
        </is>
      </c>
      <c r="E3444" t="inlineStr">
        <is>
          <t>汐；潮汐；潮の干満；干満；満干</t>
        </is>
      </c>
      <c r="F3444" t="inlineStr">
        <is>
          <t>思潮；海潮；感潮；強い潮；八潮</t>
        </is>
      </c>
      <c r="G3444" t="inlineStr">
        <is>
          <t>潮風；潮汐；潮時；潮騒；潮間帯</t>
        </is>
      </c>
      <c r="H3444" t="n">
        <v>29</v>
      </c>
      <c r="I3444" t="inlineStr">
        <is>
          <t>潮を発射してしまう場合は前に濡れてはいけないものは置かないようにする。；潮が引いた湿地上で活動するが、夜行性が強く昼間はあまり出てこない。；この地域は低地だが感潮域であるため六角川からの取水ができなかった。；原因がはっきりとわからない潮位の異常を指す異常潮の一種にも分類される。；潮の退いている海ではあるが、それでも颶風の声は人々の胸を冷やした。；と思ふ中に潮霧は夢のさめるやうに跡方もなく消えてなくなつた。；舟には大きな捕魚網が積まれ、潮が満ちて来て浮き上るのを待っている。；頭部を外に出して潮の流れに乗ってくる動物プランクトンを捕食している。；シェトランドは風と潮にさらされ続けており、船が難破した場所が多い。；文字通り天に水が浮いて海になっており、波もあれば潮の香りもする。；潮間帯では、潮の変化がマイクロベントスの育成に大きな影響を与える。；これには潮が云ってたように色ばかりではなく、むしろ慾の方が多かったのだ。；潮位予報を行う機関では数十の分潮を用いて予想潮位を計算している。；しかし、潮の関係で岸に近づくことができず、イギリス兵の上陸を妨げた。；夜間の脱出も検討されたが、潮と夜間の強風のために決行できなかった。；彼らは船の速度や風向き、潮の流れやその干満を知る専門家であった。；但しそれが海岸に接近すると、比較的に急な潮の干滿となつて現れて來る。；霧に濡れてかそれとも潮をかぶったのか、全身濡れ鼠になっていた。；次の瞬間に私は襲いかかる潮のごとき群衆の前に気を失ってしまった。；なお潮の流れが激しい海に棲息している個体ほど、大きく鋭いトゲを持つ。；潮が引けば新たな証拠が得られることもあろうと考えたわけだ。；エロルン川は海からの潮の影響を毎回受け、かなりの規模の港を持つ。；これは潮の流れの影響を受けないようにするためである。；ポーツマス港は島の西側にあり、東側には潮湾のラングストーン港がある。；それに話の潮を計つて今日の事を話すつもりでゐるから父や兄の話の興に乘らない。；潮地区が川の両側で分断されているのはこの洲本川の付け替えのためである。；潮力効果では方程式に二次元の項が現れ、これが無限に拡大していく。；生徒会に所属しており、大磯潮をはじめとする後輩たちに頼られている。；それから間もなく、海水の色がかわり、潮の流れがまるで違ってきた。</t>
        </is>
      </c>
      <c r="J3444">
        <f>HYPERLINK("https://www.weblio.jp/content/潮", "词义详情")</f>
        <v/>
      </c>
      <c r="K3444">
        <f>HYPERLINK("https://yourei.jp/潮", "查看例句")</f>
        <v/>
      </c>
    </row>
    <row r="3445">
      <c r="A3445" t="inlineStr">
        <is>
          <t>塩</t>
        </is>
      </c>
      <c r="B3445" t="inlineStr">
        <is>
          <t>成功</t>
        </is>
      </c>
      <c r="C3445" t="inlineStr">
        <is>
          <t>読み方：えん
［音］エン（呉）（漢）　［訓］しお
［学習漢字］4年
〈エン〉
１しお。「塩害・塩分／海塩・岩塩・山塩・食塩・製塩・米塩・無塩」
２塩づけにする。「塩蔵」
３酸類と金属の化合物。「塩基／正塩」
４塩素。「塩化・塩酸」
〈しお（じお）〉「塩辛・塩気・塩水／甘塩・粗塩・酒塩(さかしお)・手塩」
［難読］塩梅(あんばい)・塩剝(えんポツ)・苦塩(にがり)</t>
        </is>
      </c>
      <c r="D3445" t="inlineStr">
        <is>
          <t>塩業；塩からい；塩町；塩抜き；塩泉</t>
        </is>
      </c>
      <c r="E3445" t="inlineStr">
        <is>
          <t>塩分；食塩；塩類；塩気；塩化ナトリウム</t>
        </is>
      </c>
      <c r="F3445" t="inlineStr">
        <is>
          <t>カルシウム塩；カリウム塩；脱塩；銅塩；塩城</t>
        </is>
      </c>
      <c r="G3445" t="inlineStr">
        <is>
          <t>塩基；塩分；塩素；塩谷；塩水</t>
        </is>
      </c>
      <c r="H3445" t="n">
        <v>29</v>
      </c>
      <c r="I3445" t="inlineStr">
        <is>
          <t>壁もテーブルもベッドも全てが上記の塩のブロックで作られている。；中国では皮付きの種を油で揚げてから塩をまぶす方法も一般的である。；塩釜の風景を模すための塩は、難波の海の北の塩を運んだと伝えられる。；なお日本の工業塩の年間需要は約740万トンであり全量を輸入している。；たとえば骨塩と骨コラーゲンはどちらも一般に食餌よりも 濃度が高い。；藤原京・平城京跡などから出土した木簡には、塩に関係するものが多い。；キリスト教では初期のころから、という祝福された塩を用いた儀式を行い。；塩を追加した足湯は、塩を加えていない場合より身体の保温性が良い。；瓶の最下層と最上層には塩の層を作り、竹を編んだ蓋をして重石をおく。；資源には見るべきものがなく、わずかに塩が生産されるのみである。；レース直前に多くの選手が清めの塩を、自身の体や自転車にかける。；塩原周辺では塩のブロックを建材に使って家などを作ることもある。；ヴィエリチュカやボフニャなどの都市では塩の生産拡大が進んでいた。；付属の塩は普通の塩ではなく、温泉でできた塩を使っている。；アルフォンソ10世が塩の荷揚げと販売を無税としたために町は発展した。；塩土老翁神は謎の多い神であるが、海や塩の神格化と考えられている。；この淮河から長江に至る地域は、中国でも最大の塩の産地が含まれていた。；その対応策の一つが紀元前119年に開始された塩鉄専売制である。；この地域では建物はすべて塩のブロックでできている。；塩には安定なものがあり、ナトリウム塩が市販品として入手可能である。；結晶池で塩が堆積した後は収穫機等で水平に塩の層を削り取り採塩する。；また、北海で産出される塩も重要な交易商品として帝国各地へ運ばれた。；塩が足りないと、肉面に黒点ができて肉が軟らかすぎて形が整わなくなる。；よって地名の直接の由来となったのはライヒェンハルの塩であると考えられている。；調味液には、醤油ベースが主で、他に味噌ベース・塩ベースなどがある。；オリーブオイル、塩を使わないパンがよく使われるのは共通である。；銀塩には正塩および三水素塩などが存在し、いずれも水に難溶性である。；ここは、以前は飛行場であったが、自然の姿であった塩沼を復元している。；リチウムの単純な塩のどちらかを選ぶことにはさほど理由がない。</t>
        </is>
      </c>
      <c r="J3445">
        <f>HYPERLINK("https://www.weblio.jp/content/塩", "词义详情")</f>
        <v/>
      </c>
      <c r="K3445">
        <f>HYPERLINK("https://yourei.jp/塩", "查看例句")</f>
        <v/>
      </c>
    </row>
    <row r="3446">
      <c r="A3446" t="inlineStr">
        <is>
          <t>塩辛い</t>
        </is>
      </c>
      <c r="B3446" t="inlineStr">
        <is>
          <t>成功</t>
        </is>
      </c>
      <c r="C3446" t="inlineStr">
        <is>
          <t>読み方：しおからい
［形］［文］しほから・し［ク］
１塩味が強い。しょっぱい。「—・い汁」
２声がしわがれている。「—・い声を張り上げる」</t>
        </is>
      </c>
      <c r="D3446" t="inlineStr">
        <is>
          <t>塩辛いもの(7%)；塩辛い味(6%)；塩辛い水(5%)；塩辛い涙(3%)；塩辛い物</t>
        </is>
      </c>
      <c r="E3446" t="inlineStr">
        <is>
          <t>からい；しょっぱい</t>
        </is>
      </c>
      <c r="H3446" t="n">
        <v>29</v>
      </c>
      <c r="I3446" t="inlineStr">
        <is>
          <t>塩辛い風のなかにはどこか、夏の終わりを思わせる匂いが含まれていた。；頬擦りをしているとき、少し塩辛かったのは香榮子が泣いていたからだ。；口の端にたまった塩辛い水は、苦いというよりほとんど甘美な味がした。；じっさいにばあやはその塩辛い口のなかでお経を唱えていたのかもしれない。；部落で食べる魚といえば飛び上るほど塩辛い鮭、ただそれだけであった。；つまり漬物は年を越すように塩辛くつけるのを、本則としていたのである。；いつも掘り方の時、塩辛い汗が出る間は、息をするにも力がいった。；びっくりと言うより、眼玉がキリキリと塩辛く、ぼくは思わず飛び上った。；なじみ深いおしっこの塩辛い味が舌にき、野卑な匂いが鼻にむっときた。；塩漬けと言っても、舌の曲がる程塩辛く漬けた肉を湯に戻したものだ。；そして濃い雲で空を曇らせて、此の辺一帯塩辛い雨を降らせたのだ。；猟期のはじめに獲れたものは、どこか塩辛い味があるといわれます。；幼少時に祖国で注入された塩辛い血がどこまでもこだまするのである。；けっこう飲んでしまったらしく、胃の底で塩辛いものが揺れている。；私は甘いものが嫌いなのではなく、甘いものよりも塩辛いものの方が好きだというだけだ。；一般に赤味噌は塩分濃度が高く塩辛く、熟成期間が長いのでコクがある。；だから、関東が塩辛くてだめだとか、京都でなくてはというのはバカなんですよ。；塩辛い魚を食べ始めると、どんどん酒を飲み酔っ払っていった。；塩辛い涙の味が舌の上に感じられた。；今まで黙ってたけど、おまえの作った味噌汁は塩辛かったぞ。；湯は濁りを伴う緑がかった色をしており、黄緑色の湯の花が多くやや塩辛い。；山の男が魚は塩辛いものだと云う。；彼はちょっと塩辛い、鉄分を含んだ味を味わいながら、血をすすった。；鼻の奥に塩辛い涙が残っていた。；しかも、いっしょに落ちてきた雨は塩辛くなかった。；自分の手で作ったみそなら、多少塩辛くてもうまいと思うこと。；この宿は可もなく不可もなし、あたりまへといふところ、料理は塩辛いが夜具は悪くない。；男はふたたび彼女を優しく抱くと、涙で塩辛くなった彼女の唇にくちづけした。；それから前にも申上げましたが、毎朝塩辛いソーセージを食べさせる。</t>
        </is>
      </c>
      <c r="J3446">
        <f>HYPERLINK("https://www.weblio.jp/content/塩辛い", "词义详情")</f>
        <v/>
      </c>
      <c r="K3446">
        <f>HYPERLINK("https://yourei.jp/塩辛い", "查看例句")</f>
        <v/>
      </c>
    </row>
    <row r="3447">
      <c r="A3447" t="inlineStr">
        <is>
          <t>仕送り</t>
        </is>
      </c>
      <c r="B3447" t="inlineStr">
        <is>
          <t>成功</t>
        </is>
      </c>
      <c r="C3447" t="inlineStr">
        <is>
          <t>読み方：しおくり
［名］(スル)生活・勉学を援助するため金品を送ること。また、その金品。「母へ—する」</t>
        </is>
      </c>
      <c r="D3447" t="inlineStr">
        <is>
          <t>余裕；手当</t>
        </is>
      </c>
      <c r="F3447" t="inlineStr">
        <is>
          <t>少ない仕送り；十分な仕送り</t>
        </is>
      </c>
      <c r="H3447" t="n">
        <v>29</v>
      </c>
      <c r="I3447" t="inlineStr">
        <is>
          <t>仕送りの金とアルバイトの金はほとんど同時に月末に入ってくるからだ。；今は学生だから仕方ないが、卒業すれば、親の仕送りなしでやって行く。；経済的にも南米旅行のとき以外は、親や兄の仕送りは一切受けなかった。；しかし仕送りはあるらしく経済的に余裕のある暮らしぶりをしていた。；母への仕送りもあったことだし、父の負担はかなりのものだったと想像できる。；僕が二十三歳の頃はまだ親から仕送りをもらっている学生でしたよ。；仕送りがなかったことに感謝するつもりはないけど、こういうのも悪くない。；親の仕送りをうける学生は眼前に親の生活の経済的な助けとはなっていない。；学園都市で暮らしている現在も仕送りしてもらったりしている。；ワーニャ この先も月々の仕送りは、ちゃんと今までどおりにしますよ。；若者は収入が得られ仕送りが出来る土地へ出稼ぎに行こうとする傾向が ある。；仕送りをしてくれる人は誰もいなくて、奨学金に頼っている身なのだ。；だから自分がしっかり働いて、少しでも多く家に仕送りしたかった。；私だって家からの仕送りで生きていく方がよいのかもしれぬ。；母は九州の炭鉱町で働き、月に一回、私に仕送りと長い手紙をくれた。；実家からは仕送りはなく、父の遺産と自分の稼いだ金で生活している。；学校を卒業できなかったので、故郷からの仕送りも、相当減額されていた。；さらに実家への過重な仕送りや不意の妊娠が将来への不安を増すのだった。；先生のお宅にいることになれば、着物や何かも仕送ってくれますの。；しかし夫の仕送りがとぎれて、しかたなしに親の里へ帰るのだから心配だ。；しかし、父・政直は静岡の裁判所に勤めて仕送りをする生活を送っていた。；大学は兄のアメリカからの仕送りで何とか卒業できたという。；これは両親に仕送りを続けさせて東京に在住するためと大岡らに説明していた。；それに公爵が前に出していただけのお金を仕送りしているのよ。；前の旦那さんからの仕送りと、スーパーのパートに出て暮らしています。；ウメとマチ子は家庭の事情で祖父からの仕送りで2人だけで暮らしていた。；見知らぬ女、私と、夫からの仕送りをうけて生きているのでございます。；その月の故国への仕送りは、いつもの三分の一も確保できなかったという。；兄らはそこで家族を持ったが、親からの仕送りで生きてきた。</t>
        </is>
      </c>
      <c r="J3447">
        <f>HYPERLINK("https://www.weblio.jp/content/仕送り", "词义详情")</f>
        <v/>
      </c>
      <c r="K3447">
        <f>HYPERLINK("https://yourei.jp/仕送り", "查看例句")</f>
        <v/>
      </c>
    </row>
    <row r="3448">
      <c r="A3448" t="inlineStr">
        <is>
          <t>萎れる</t>
        </is>
      </c>
      <c r="B3448" t="inlineStr">
        <is>
          <t>成功</t>
        </is>
      </c>
      <c r="C3448" t="inlineStr">
        <is>
          <t>読み方：しおれる
［動ラ下一］［文］しを・る［ラ下二］
１草木が生気を失って、ぐったりする。「花が—・れる」
２気落ちして、しょんぼりする。元気がなくなる。「試験に失敗して—・れている」
[用法]しおれる・しなびる——「葉がしおれる（しなびる）」のように、生気を失うの意では、相通じて用いられる。◇「しおれる」は草や花の水分が減ってぐったりする意のほか、人ががっかりして元気がなくなるの意があるが、条件が整えばまた生気をとりもどす場合に多く用いる。「先生にしかられてしおれていた子が、もう笑っている」◇「しなびる」は水分が減って衰えたり、しわが寄ったりする意で、ほとんど元の状態にもどらない場合に用いられる。「冷蔵庫のきゅうりがしなびる」「しなびた手」◇類似の語「しぼむ」は、はりつめていたものが衰えて小さくなるさまが急速であることに重点がある。「風船がしぼむ」「夢がしぼむ」などと用いる。</t>
        </is>
      </c>
      <c r="D3448" t="inlineStr">
        <is>
          <t>枯れる；がっかりする；落胆する；枯死する；肩を落とす</t>
        </is>
      </c>
      <c r="H3448" t="n">
        <v>29</v>
      </c>
      <c r="I3448" t="inlineStr">
        <is>
          <t>気持はいよいよ萎れてきて、こんなところに立っている気にもなれない。；たまたまその場に転がっていた植木鉢の中の花がみるみる萎れていった。；彼女が歌うたびに足元では花が萎れ、教会のガラス窓にはひびが入った。；萎れたショルダーバッグを見た時から、俺は分かっていたような気がする。；その重い扉のような黒靴の壁の中では娘がいつも萎れていた。；私はその萎れきった様子を見て、てっきり銀行の方がだめなのだと察した。；この時ほど萎れているのを、ガラッ八はまだ見たこともありません。；どうせいいところまで行ったらこっちの気持ちが萎れるようなことを言われてしまうんだ。；元は鮮やかな白い色をしていたのだろうが、今は茶色く萎れてしまっている。；枯れて死ぬことを命ぜられたものは從順に萎れて死んで遣る迄のことだ。；葉が萎れてしまったせいか、ずいぶん縮んでしまったように見える。；マーキューショー その意気だ、どうだ、恋の萎れ顔よりはましだらう?；するとその差し渡しが一エルもある草全体が、萎れはじめたのである。；いつものツンツン頭が少し萎れているように見えるけど、何かあったんだろうか。；さうしていま、その薔薇は彼の胸の上でしづかに萎れてゐるだらう。；打ち萎れていた花が水を得て一斉に生気を取り戻したように部屋が息づく。；部屋の片隅に楕円形の水盤があり、萎れた菊が活けたなりになっていた。；ゴミ箱には背の高い花が萎れた姿で白い布と共に放り込まれていた。；これを見ると入道は気も遠くなったように萎れてしまった。；葉が更にぐつたりと萎れた鳳仙花の枝がすかりと裂て先が地についた。；立派な薔薇たちの中で、その一本だけが萎れかけていたのだ。；そのとたん、なぜか年輝の怒りは、あっという間に萎れていったのである。；人間の美しい形がどんなふうに衰え萎れて崩れるかを私は見た。；大きなサラダボールにいれたサラダの葉も萎れて、嵩が低くなりつつある。；父母がいつまでも口をきかないので、なんと萎れていたことだろう?；そういう彼女の打ち萎れたような様子は私にはたまらないほどいじらしく見えた。；けれどもやがてこの園の美しい緑は、その萎れた心をいささか再び緑にいたしました。；凜としたその顏も會ふたびに萎れて來るやうに思はれて痛々しくなつた。；ちょっと首をねじり、顔を上げてみると、枕元の花ニラは萎れかけていた。</t>
        </is>
      </c>
      <c r="J3448">
        <f>HYPERLINK("https://www.weblio.jp/content/萎れる", "词义详情")</f>
        <v/>
      </c>
      <c r="K3448">
        <f>HYPERLINK("https://yourei.jp/萎れる", "查看例句")</f>
        <v/>
      </c>
    </row>
    <row r="3449">
      <c r="A3449" t="inlineStr">
        <is>
          <t>歯科</t>
        </is>
      </c>
      <c r="B3449" t="inlineStr">
        <is>
          <t>成功</t>
        </is>
      </c>
      <c r="C3449" t="inlineStr">
        <is>
          <t>読み方：しか
歯の病気の予防・治療を扱う医学の分野。</t>
        </is>
      </c>
      <c r="D3449" t="inlineStr">
        <is>
          <t>歯科医(44%)；歯科治療(6%)；歯科用(3%)；歯科材料；歯科診療</t>
        </is>
      </c>
      <c r="F3449" t="inlineStr">
        <is>
          <t>歯科大学教授；歯科界；歯科修復材料；野間歯科；病院歯科</t>
        </is>
      </c>
      <c r="G3449" t="inlineStr">
        <is>
          <t>歯科医院；歯科衛生士；歯科医師会；歯科技工；歯科大学</t>
        </is>
      </c>
      <c r="H3449" t="n">
        <v>29</v>
      </c>
      <c r="I3449" t="inlineStr">
        <is>
          <t>彼が観察した歯科的問題とは、虫歯の他、適切な顔の構造の発達を含む。；ヌマ王の十二表法に歯科手術が述べられているのは驚くべきことである。；近年では多くの現代的な歯科がウズベキスタンに設立されるようになった。；イギリスで高い教育を受け、帰国後はパリで一年半、歯科医を開業した。；また医師時代の経験を生かして患者の診察、歯科部長を担当したりした。；フッ化物は歯科治療以外にもいくつかの骨疾患の治療にも使用されている。；治療には、頭蓋骨を保護するための装置や歯科治療などの支援治療である。；日本小動物歯科研究会に日本語訳が掲載されているため、下記に掲載する。；また歯科治療区画もあるほか、下記のような後方支援機能を備えている。；歯の命名や構造に関わっているので、歯科解剖学は分類科学でもある。；歯科領域において日本で開発され世界的に普及した技術の一つである。；近年は、歯科材料の製造技術を応用しネイルケア材料の製造も行っている。；その夢の最後に現れて来る歯科医は妻も知っている人物であった。；歯科とは、歯または歯に関連した組織に関する疾患を扱う診療科である。；これは、咬合などの顎口腔機能が歯科と密接に関わっているためである。；ちなみに宝石の細工と歯科の技術とのあいだには、類縁性があるらしい。；歯科医はいろいろな金属の器具を患者の口の中に入れて治療します。；光司が公園で写真を撮っていると、歯科医の初島隆史が声をかけてくる。；ジェイコブはビアンカの紹介と称して彼女が通っていた歯科医に接触した。；その他出演番組でも、未来の歯科業界は明るいといった発言をよくしている。；ちょうど今日から明日になろうとしていることを私は歯科医の腕時計で読んだ。；いま、人々が歯科医に求めているのは、昔からの単なる治療ではないだろう。；その子直道は箕面市で歯科医を開業し、その子直人もこれを継いでいる。；それはまるで歯科医の治療室の中央にマストドンをおいたような格好であった。；一般的な詳細には、ヒョウ柄やパターン化された歯科用マスクもある。；接着歯学は歯質に接着性を有する歯科材料とその応用を扱う歯学の一分野。；汚染された部分がある場合、取り除かなければ歯科治療が困難となる。；両方の形態は、商業的に入手可能であり、医療および歯科用途で良く利用される。；外科・内科・歯科・耳鼻科のほか、入院室・事務所で構成されていた。</t>
        </is>
      </c>
      <c r="J3449">
        <f>HYPERLINK("https://www.weblio.jp/content/歯科", "词义详情")</f>
        <v/>
      </c>
      <c r="K3449">
        <f>HYPERLINK("https://yourei.jp/歯科", "查看例句")</f>
        <v/>
      </c>
    </row>
    <row r="3450">
      <c r="A3450" t="inlineStr">
        <is>
          <t>自我</t>
        </is>
      </c>
      <c r="B3450" t="inlineStr">
        <is>
          <t>成功</t>
        </is>
      </c>
      <c r="C3450" t="inlineStr">
        <is>
          <t>読み方：じが
１自分。自己。
２哲学で、知覚・思考・意志・行為などの自己同一的な主体として、他者や外界から区別して意識される自分。⇔非我。
３
㋐心理学で、行動や意識の主体。自我意識。
㋑精神分析で、イド・超自我を統制して現実への適応を行わせる精神の一側面。エゴ。</t>
        </is>
      </c>
      <c r="D3450" t="inlineStr">
        <is>
          <t>自我意識；自我状態；自我主義；自我そのもの；自我像</t>
        </is>
      </c>
      <c r="E3450" t="inlineStr">
        <is>
          <t>自己；我；吾；主観；エゴ</t>
        </is>
      </c>
      <c r="F3450" t="inlineStr">
        <is>
          <t>強い自我；小さな自我；たる自我；現實的自我；強烈な自我</t>
        </is>
      </c>
      <c r="G3450" t="inlineStr">
        <is>
          <t>自我心理学；自我同一性；自我理想；自我の縮小</t>
        </is>
      </c>
      <c r="H3450" t="n">
        <v>29</v>
      </c>
      <c r="I3450" t="inlineStr">
        <is>
          <t>近ごろの青年は我々時代の青年と違って自我の意識が強すぎていけない。；現実の中で強い自我意識を持つ人物の人生の苦痛と真実を描く作家である。；そして主人公の正体が、自我を持ったNPCであった事も明らかになる。；処がなぜ個人の自我は自分の精神にかかる抑圧を加えねばならなかったか。；統合失調症の最大の特徴はこの自我意識面での思考の障害であるとされる。；これらは自立して世界を探求し、自我を強く意識するために重要である。；自我の分裂の苦悩を封建人は知らないで生き、そして死んだのであった。；自我の確立のないところに、真実の道義や義務や責任の自覚は生れない。；反対に「自我に執する」とは、感情的な態度を取ることを意味している。；この下なる自我がすなわち人の魂であり、上なる自我がすなわち神である。；それではニイチェのような自我を主張するのかというとそうでもないのです。；しかし彼の哲学によって人は各自の自我を意識することだけは出来る筈だ。；これはその名の通り、人間の自我と記憶を脳とは別の器に移し変える技術である。；自我は人間の精神において無意識と外部環境とを調整するように努力する。；彼は、世界と自我の対立的な緊張の中でバランスを維持することを目指した。；この姿の間はパワーが増加されるが、自我が失われ暴走状態となっている。；交流分析によれば、一般的に、人々は3つの自我状態のいずれかにいる。；ある程度自分の意思も持っており、ラミアの様に完全に自我を得た者もいる。；そこから自我と、そして人性の、真実の誕生と、その発足が始められる。；感情を失ったはずのドールである銀に自我が芽生え始めていたのだ。；第一に解っていることは、自我の本質が肉体でないと言うことである。；フィヒテに於ても交互作用は自我から演繹された範疇の一つに過ぎない。；個体の意識や自我はこの閉じこもりを基礎にしているからである。；近頃の青年は我々時代の青年と違つて自我の意識が強過ぎて不可ない。；それは意識する自我の有つ限りの意識でなければならない。；ただし自我を持つためマーベラスの意志に反して行動することもある。；なぜなら、自我はその様に同一を継続して存在する、と想定されるからである。；これらの詩は、自我未来派のさまざまな版でかつて公開されていた。；自我を対象のものの中に投入している時にはこんな考えの起って来よう筈がない。</t>
        </is>
      </c>
      <c r="J3450">
        <f>HYPERLINK("https://www.weblio.jp/content/自我", "词义详情")</f>
        <v/>
      </c>
      <c r="K3450">
        <f>HYPERLINK("https://yourei.jp/自我", "查看例句")</f>
        <v/>
      </c>
    </row>
    <row r="3451">
      <c r="A3451" t="inlineStr">
        <is>
          <t>直～</t>
        </is>
      </c>
      <c r="B3451" t="inlineStr">
        <is>
          <t>成功</t>
        </is>
      </c>
      <c r="C3451" t="inlineStr">
        <is>
          <t>読み方：ね
１物が売買されるときの金額。値段。あたい。価格。「土地の—が上がる」「—をつける」
２物の値うち。価値。「父親としての—を上げる」</t>
        </is>
      </c>
      <c r="H3451" t="n">
        <v>0</v>
      </c>
      <c r="J3451">
        <f>HYPERLINK("https://www.weblio.jp/content/直～", "词义详情")</f>
        <v/>
      </c>
      <c r="K3451">
        <f>HYPERLINK("https://yourei.jp/直～", "查看例句")</f>
        <v/>
      </c>
    </row>
    <row r="3452">
      <c r="A3452" t="inlineStr">
        <is>
          <t>視界</t>
        </is>
      </c>
      <c r="B3452" t="inlineStr">
        <is>
          <t>成功</t>
        </is>
      </c>
      <c r="C3452" t="inlineStr">
        <is>
          <t>読み方：しかい
１目で見通すことのできる範囲。視野。「濃霧で—がきかない」
２考えや知識の範囲。「将来を—に入れた発言」</t>
        </is>
      </c>
      <c r="D3452" t="inlineStr">
        <is>
          <t>視界いっぱい；視界確保；視界内；視界外；視界右</t>
        </is>
      </c>
      <c r="E3452" t="inlineStr">
        <is>
          <t>視野；展望；眼中；可視；眼界</t>
        </is>
      </c>
      <c r="F3452" t="inlineStr">
        <is>
          <t>後方視界；有視界；良好な視界；広い視界；下方視界</t>
        </is>
      </c>
      <c r="G3452" t="inlineStr">
        <is>
          <t>視界外射程ミサイル</t>
        </is>
      </c>
      <c r="H3452" t="n">
        <v>29</v>
      </c>
      <c r="I3452" t="inlineStr">
        <is>
          <t>天井は開放されていたが砲手の観測しうる周囲の視界は限定されている。；バーでナナがダンスをしているとき、視界に入ってきたひとりの若い男。；北側は地形の関係から、南側は樹木に邪魔されて視界はあまり良くない。；地形学上の特徴で冬には非常に視界が悪くなる濃霧がしばしば発生する。；また、視界確保のため胴体下面にも大きな観測用の窓が設けられていた。；旋回窓であれば回転している部分すべてにおいて常に視界が確保できる。；陽が高く上って視界もよくなり、新たな輸送船がやってくるのが見えた。；いずれにしろ、視界を犠牲にせずに前後方向に走行できることが重要である。；視界を確保するためであり、また風向きを正しく観測するためでもある。；スリットは後方と前方の物が特に大きく、視界を意識して設計されている。；彼の中隊は、彼が安全に機から降りるのを確認すると、視界から去った。；これは明視距離の位置で何mmの範囲が視界内に入るかを表している。；視界や大気の効果を正しく扱う世代が現れるのはまだ先のことである。；幅の狭い機体構造はパイロット両側の視界を確保する為である。；寒河江市に向けて視界が開けており、第2世代の携帯電話の使用が可能。；しかし、アメリカ軍が視界に入ってもこちらからは撃たないことと決めた。；なお古典的なアイピースは、その多くが40度前後の見かけ視界である。；作業時の視界確保のため、コックピット周辺がガラス張りになっている。；その後回復したが、のちに彼は視界への不安があることを認めた。；運転席側の視界を向上するためにキャビンが左右非対称デザインとなる。；このため、その時前方視界の妨げになる機体の頭部は胸部に収納される。；これは視界の確保と他のエアバス機との互換性のことも考えての設計である。；たびたび霧が発生し、その際には視界が悪く、走行には注意が必要になる。；だが、吊られた人影が突然視界に入り、急ハンドルを切り事故を起こす。；通常の巨人は、視界内に人間がいれば、その人間を捕食しようとする。；そのまま豪雨の中でスタートしたが、コース上は全く視界が無い状態だった。；悪天候で視界がよくない場合には、これらの安全装置は特に有用である。；パイロットの側面に窓が設けられたが前方視界はなかった。；しばしば速度規制となり、視界が非常に悪いときは通行止めとなる事もある。</t>
        </is>
      </c>
      <c r="J3452">
        <f>HYPERLINK("https://www.weblio.jp/content/視界", "词义详情")</f>
        <v/>
      </c>
      <c r="K3452">
        <f>HYPERLINK("https://yourei.jp/視界", "查看例句")</f>
        <v/>
      </c>
    </row>
    <row r="3453">
      <c r="A3453" t="inlineStr">
        <is>
          <t>司会</t>
        </is>
      </c>
      <c r="B3453" t="inlineStr">
        <is>
          <t>成功</t>
        </is>
      </c>
      <c r="C3453" t="inlineStr">
        <is>
          <t>読み方：しかい
［名］(スル)会の進行をつかさどること。また、その役。「友人の結婚式を—する」「—者」</t>
        </is>
      </c>
      <c r="D3453" t="inlineStr">
        <is>
          <t>司会者(6%)；司会進行(4%)；司会業；司会役；司会陣</t>
        </is>
      </c>
      <c r="E3453" t="inlineStr">
        <is>
          <t>ホスト；司会者；進行係</t>
        </is>
      </c>
      <c r="F3453" t="inlineStr">
        <is>
          <t>紅組司会；白組司会；テレビ司会；イベント司会；番組司会</t>
        </is>
      </c>
      <c r="H3453" t="n">
        <v>29</v>
      </c>
      <c r="I3453" t="inlineStr">
        <is>
          <t>ワイドショー番組で司会者が挨拶を行わない珍しいケースとなっている。；三波にとってはこの番組が初めての本格的な歌謡番組での司会であった。；マイスタを基点とせず、日本各地の中継先から司会を行う場合もあった。；第7期からは再び男性アナウンサーがメイン司会を務めるようになった。；初代司会者の決定の経緯については、資料によって内容が異なっている。；一方の小石は同好会のマジックショーで司会者を務めることが多かった。；開始当初の1年間は司会はいなかったため、VTRのみで番組は進行した。；歌入りの楽曲が採用されるようになったのは、徳光が司会に就任してからである。；司会者は後期司会の上沼恵美子を除いてお揃いのジャケットを着ていた。；このほかに過去にゲスト出演した雑誌編集者などが代理司会をした。；当事業の一環である文化交流イベントにて司会を務め、姉妹都市交流を支援。；次の新アシスタントが就任するまでの間、司会の若狭一人で番組を進行した。；以後は、司会業・講師業をメインにした活動を展開している。；海外旅行のツアーで親しくなった人の結婚式の司会もしたことがある。；大学の一年次より放送サークルに所属し、数多くの司会の経験を積む。；以降は、数々のブロッコリー提供のテレビ・ラジオで、司会を務めている。；番組テーマ音楽の終了と同時に中央で司会者が挨拶する。；特に小池が司会だった時代には、このような傾向が多く見られた。；このときの司会は当時NHKアナウンサーであった宮川泰夫が務めた。；企画コーナーには稀に、司会のみのもんたがゲストの歌に参加することもあった。；他国版では何問目であろうと司会者が溜めることがない国も見られる。；その回にオンエアされた芸人やネタを司会の神田アナが改めて紹介する。；実現には至らなかったものの、幾度となく紅組司会の候補にも挙がった。；他にゲストが架空の料理番組の司会、堺がゲストとなるコントがあった。；ラジオ番組の司会などで国内外2500組に及ぶ歌手達と交流を深める。；番組が高視聴率を取るようになり、一気に人気司会者の地位を築くに至った。；また、映画や舞台の俳優、テレビ番組の司会など多岐に渡り活動していた。；また、同誌主催のイベントでは、企画のみならず、司会進行を自ら務めた。；解説者のみならず、スポーツ情報番組を主体に司会者としても活動した。</t>
        </is>
      </c>
      <c r="J3453">
        <f>HYPERLINK("https://www.weblio.jp/content/司会", "词义详情")</f>
        <v/>
      </c>
      <c r="K3453">
        <f>HYPERLINK("https://yourei.jp/司会", "查看例句")</f>
        <v/>
      </c>
    </row>
    <row r="3454">
      <c r="A3454" t="inlineStr">
        <is>
          <t>市街</t>
        </is>
      </c>
      <c r="B3454" t="inlineStr">
        <is>
          <t>成功</t>
        </is>
      </c>
      <c r="C3454" t="inlineStr">
        <is>
          <t>読み方：しがい
１人家や商店が建ち並んでいる地域。まち。
２にぎやかな通り。ちまた。</t>
        </is>
      </c>
      <c r="D3454" t="inlineStr">
        <is>
          <t>市街化(6%)；市街中心部；市街戦；市街線；市街地区</t>
        </is>
      </c>
      <c r="E3454" t="inlineStr">
        <is>
          <t>町；市；街；市街地；シティ</t>
        </is>
      </c>
      <c r="F3454" t="inlineStr">
        <is>
          <t>内市街；中心市街；旧市街；大坂市街；デルマリナ市街</t>
        </is>
      </c>
      <c r="G3454" t="inlineStr">
        <is>
          <t>市街戦；市街化調整区域；市街化区域；市街地再開発事業；市街地再開発</t>
        </is>
      </c>
      <c r="H3454" t="n">
        <v>29</v>
      </c>
      <c r="I3454" t="inlineStr">
        <is>
          <t>中心市街は島の南東に位置しているが、島のほとんどが市街化されている。；当駅は御坊市街の北端に位置し、市街はこの駅から南側に広がっている。；一方、新市街は中国各地からの観光客のための施設が多い観光の町である。；市壁と新市街は10メートルから30メートルの道路で区切られている。；この街は長年駐車場に使われていた内市街の広い空き地に建設された。；また、大半が市街化されており、市街化調整区域は町土の1割程である。；現在の見本市会場は東西ドイツ統一後に市街北部に新設されたものである。；ネア・コリントスと呼ばれた新たな町が、現在のコリントス市街である。；その後、元の町から約7km北西の海岸寄りに新市街が建設された。；この際、ドイツ軍は市街にはほとんど手をつけずに図書館をのみ放火した。；市街へはこの環状道路沿いに並ぶ複数の分岐からアクセス可能である。；市街広域で発火するとその周囲の空気は非常に高温となり急速に上昇する。；ウブド郡の中心であるウブド村の東に隣接しており、市街は連続している。；東三河の市街区間であり、飯田線では最も旅客輸送の盛んな区間である。；かつての国道4号で、街道に置かれた増田宿は現在の市街中心部にあたる。；新市街の商業と行政の中心地は、次第にその方向へ、北側へ移動し始めた。；砦は現在のラファイエット市街から南へ5kmほどのところに建っていた。；首都に選ばれたことをきっかけに、新市街の開発は1960年代から始まった。；旧市街のメインストリートは市街中央を南北に結ぶムイッズ通りである。；馬公の市街はこの天后宮を中心に形成され、その街路網は現在でも残っている。；現在は、キーウの旧市街の路線に加えて新市街を走る路線も運行されている。；市街中心部には、新しく大きな建物を建てる余地がなくなったためである。；この土地はより小さい区画に分割されたが、市街開発はあまり進まなかった。；ザグレブはクロアチア最大の都市で、そのほとんどが市街に居住している。；また分流を利用して網目状に張り巡らされた水路により市街が発達した。；第一次世界大戦の少し前には市域が拡大し、新市街が拡張された。；シューマンと妻のクララは市街にあるアルター墓地に埋葬されている。；ここから新市街を含めた街の北、西、南側を望むことができる。；旧市街中心部と、チャカオ市を中心にする東部の新市街との中間に位置する。</t>
        </is>
      </c>
      <c r="J3454">
        <f>HYPERLINK("https://www.weblio.jp/content/市街", "词义详情")</f>
        <v/>
      </c>
      <c r="K3454">
        <f>HYPERLINK("https://yourei.jp/市街", "查看例句")</f>
        <v/>
      </c>
    </row>
    <row r="3455">
      <c r="A3455" t="inlineStr">
        <is>
          <t>次回</t>
        </is>
      </c>
      <c r="B3455" t="inlineStr">
        <is>
          <t>成功</t>
        </is>
      </c>
      <c r="C3455" t="inlineStr">
        <is>
          <t>読み方：じかい
繰り返して、また定期的に行われる物事の、次の回。次の時。</t>
        </is>
      </c>
      <c r="D3455" t="inlineStr">
        <is>
          <t>次回以降(5%)；次回大会(4%)；次回開催；次回放送；次回公判</t>
        </is>
      </c>
      <c r="F3455" t="inlineStr">
        <is>
          <t>次回後楽園大会；次回ゲスト；次回立候補予定者；次回分；次回出演</t>
        </is>
      </c>
      <c r="G3455" t="inlineStr">
        <is>
          <t>次回予告</t>
        </is>
      </c>
      <c r="H3455" t="n">
        <v>29</v>
      </c>
      <c r="I3455" t="inlineStr">
        <is>
          <t>集められた資金は中止による経費や次回の開催準備のために使用される。；大抵は名前が分からない上に、次回以降に登場することはほとんどない。；ところで、次回の会議そのものが、ついに開かれずにしまったのである。；また今大会まで参加校数が8校だったが次回から2倍の16校に増えた。；この方式が実施されたのは今大会と次回アルゼンチン大会のみである。；で、次回はもうないんかいっつー恐ろしい大疑問も生じてきますですが。；クリアすると次回は好きなステージからゲームを始めることができる。；それを知ったジェネルーは次回の発射も中止になるのではないかと心配する。；負けた側は罰ゲームを受け、その模様が次回のスペシャルで放送される。；中では次回のテーマを募ったりジャンケン大会などで交流を深めている。；さらに番組でも優勝を果たしたため、次回も参戦することとなった。；連載終了時には、木村に対して次回作への期待や労いの声が寄せられた。；次回は夏休み後半を舞台にした、恋愛編クライマックスになる予定です。；次回の第15回会議は2014年にスリランカで開催される予定である。；これを次回プレイする時に入力すると、続きから始めることができる。；このデータベースを使用し、次回以降は同じ質問はユーザーには行わない。；異常産が認められても次回以降の分娩は正常に行われるため治療は行わない。；しかし次回からは、私は意識して行ったと言わなければならない。；次回の2022年大会はそのままインドで開催されることとなった。；予選では勝ち抜いた参加者が席を持ち続け、次回次の挑戦者と対戦する。；残り時間は通常ラウンドでは次回のアイテムが表示されている箇所に表示される。；次回の話とかは、まだ日も浅いことですし、今のところは何も来ていません。；ただし天井で召喚した英雄を次回以降の天井で再度召喚することはできない。；自分が今回協力すれば相手も次回協力してくれるかもしれないので協力は有利かもしれない。；所属するリーグの結果に応じて次回ペナントの所属クラスが変動する。；所属するリーグの結果に応じて次回ペナントの所属リーグが変動する。；どちらも次回選挙での投票を女性に促すことを目的としていた。；戦後来た米軍の話によれば、次回の爆撃は9月を予定していたという。；これらの観察をもとにして、次回に彼がきたおり、わたしは取り引きをした。</t>
        </is>
      </c>
      <c r="J3455">
        <f>HYPERLINK("https://www.weblio.jp/content/次回", "词义详情")</f>
        <v/>
      </c>
      <c r="K3455">
        <f>HYPERLINK("https://yourei.jp/次回", "查看例句")</f>
        <v/>
      </c>
    </row>
    <row r="3456">
      <c r="A3456" t="inlineStr">
        <is>
          <t>仕返し</t>
        </is>
      </c>
      <c r="B3456" t="inlineStr">
        <is>
          <t>成功</t>
        </is>
      </c>
      <c r="C3456" t="inlineStr">
        <is>
          <t>読み方：しかえし
［名］(スル)
１仕返すこと。やりなおし。
２報復すること。復讐(ふくしゅう)。「踏まれた—にけとばした」</t>
        </is>
      </c>
      <c r="D3456" t="inlineStr">
        <is>
          <t>仕返しをしよ(2%)；仕返ししよ；仕返しをしてやろ；仕返ししてやろ；仕返しをしてやりたい</t>
        </is>
      </c>
      <c r="E3456" t="inlineStr">
        <is>
          <t>復讐；報復；仇討ち；返礼；雪辱</t>
        </is>
      </c>
      <c r="F3456" t="inlineStr">
        <is>
          <t>いつか仕返し；ひどい仕返し；仕返しをしてやり</t>
        </is>
      </c>
      <c r="H3456" t="n">
        <v>29</v>
      </c>
      <c r="I3456" t="inlineStr">
        <is>
          <t>だからわたしは、あなたがその仕返しをしたらいいと考えているんです。；僅か五万石の小大名では、仕返しをしたくても出来る道理がないからだ。；そこで私は、どんなことをしてでもやつに仕返ししてやろうと決心した。；あれは、わしに仕返しするため、わしに犬を売ってくれないかもしれん。；君があんなキレ方をしたんで、何らかの仕返しを考えたのかもしれない。；いつか日本に強制送還を受けた時、どんな仕返しが待っているだろうか。；人間から理不尽な攻撃を受けた場合は必ず仕返しをしたと伝えられている。；だが、おれはおれの大事な魚のしかえしに、鮫をうち殺してやったのだ。；だからお前のお母さんが今日、どんなに仕返しをしているか見てごらん。；あれだけ仕返ししたのに何が足りなかったのかが真鶴にはわからない。；しかし、その一つ一つを頭に浮かべて仕返しをしているわけじゃなかった。；それとも昔のことで私に今頃になって仕返しかなにかしているつもり?；エジプトの動物神や死人神を礼拝する者がいたら、その仕返しをするぞ。；目に見えぬものからの仕返しの顔付でそれは私を奇妙な停滞に投げいれた。；いつも殴られていたなべが一回だけおみずに仕返しをしたことがある。；その仕返しに、どうして初対面の私がわかったのか、と訊いてやらない。；その仕返しに、政府は残されたブルターニュの領地を売却しようとした。；今のこの心臓も、そのときの仕返しをしているのかもしれないわね。；仕返しをするにしても、まずここを無事に脱出することが先決である。；喜助 量見が狭いか広いか知らねえがこんで唯の仕返しじゃねえのだ。；そしてアーンショウが噂のように仕返しをしたのではないかと疑っている。；輪を切ることで、その共同体から何か仕返しをされるのではないかと思った。；たとえこの場から逃げ出したとしても、あとで必ず仕返しが待っている。；きっとあのときのことを根にもって、この恐しい仕返しをしてきたのだろう。；きっとこの仕返しをするからと何度もひとり言をつづけていた。；おれはおれなりの仕返しをしたいから日本へ帰って来たんだ。；南軍は次のジェンキンスフェリーの戦いで仕返しをされることになった。；私は、私の理性の正しい働きに仕返しをされたのだと思っています。；あるいは自分の部屋へ引っ返して大勢で仕返しに来たらどうするか。</t>
        </is>
      </c>
      <c r="J3456">
        <f>HYPERLINK("https://www.weblio.jp/content/仕返し", "词义详情")</f>
        <v/>
      </c>
      <c r="K3456">
        <f>HYPERLINK("https://yourei.jp/仕返し", "查看例句")</f>
        <v/>
      </c>
    </row>
    <row r="3457">
      <c r="A3457" t="inlineStr">
        <is>
          <t>視覚</t>
        </is>
      </c>
      <c r="B3457" t="inlineStr">
        <is>
          <t>成功</t>
        </is>
      </c>
      <c r="C3457" t="inlineStr">
        <is>
          <t>読み方：しかく
光の刺激を受けて生じる感覚。網膜に光が当たると視細胞に興奮が起こり、視神経を通して大脳の視覚野に伝えられ、明暗・光の方向や物の色・動き・距離などを認知する。五感の一。</t>
        </is>
      </c>
      <c r="D3457" t="inlineStr">
        <is>
          <t>視覚的(35%)；視覚情報(4%)；視覚系；視覚刺激；視覚表現</t>
        </is>
      </c>
      <c r="E3457" t="inlineStr">
        <is>
          <t>眼；視力；ビジョン；ヴィジョン</t>
        </is>
      </c>
      <c r="F3457" t="inlineStr">
        <is>
          <t>視覚的効果；視覚的表現；明示的な視覚；視覚的要素；視覚的イメージ</t>
        </is>
      </c>
      <c r="G3457" t="inlineStr">
        <is>
          <t>視覚化；視覚効果；視覚障害；視覚芸術；視覚野</t>
        </is>
      </c>
      <c r="H3457" t="n">
        <v>29</v>
      </c>
      <c r="I3457" t="inlineStr">
        <is>
          <t>これは人工物であることを見ている側に視覚的に意識させるためである。；スタイル自体が視覚的に区別されるようにすることを目的とはしていない。；事前に計画を立てておくことが視覚情報を用いるときには重要である。；これらの後者の例では、通常視覚的な違いのみがあり意味的な区別はない。；縞模様には視覚的にモアレと呼ばれる現象を生じることが知られている。；反対色などの視覚特性は網膜内での処理に由来すると考えられている。；現象としては内視現象に似ているものの脳に原因がある視覚現象もある。；主に多くの水準からなる分布を視覚的に要約し、比較するために用いる。；視覚補助の目的はプレゼンテーションをより良いものにすることである。；同時に各々の図は視覚的な美しさを最大限に考慮して配置されている。；目にも鮮やかな視覚美術の前に、物語そのものはしばしば忘れ去られた。；脳は集めたサンプルを使って途切れることのない鮮明な視覚を構成する。；抽象モデルは意味的情報を表現し、具体的モデルは視覚的な図を表現する。；視覚センサを持ちマークで示した経路を自分で判断して歩くことが出来た。；視覚と関係があると考えられていたのでこの名称がついている。；ほとんどの種では正面と両側面の視覚が優れていたことが明らかにされている。；見かけの大きさが小さいため、視覚的に研究することは困難である。；作画のは観念的な内容に合わせて視覚表現の実験を数多く行っている。；流星眼視観測は、人間の視覚を用いて行われる流星の観測のことである。；また幻覚剤を用いたことがない一般集団にも視覚症状は起こりうる。；両者を視覚的に区別するために色を変える事が一般的である。；多くのプログラム開発環境と違い、視覚的に実験刺激を構築できることが特徴。；また文字面を視覚的にイメージさせるという思考の持ち主でもあった。；単に演奏されるだけでなく、スティック等を用いた視覚的な演技も行われる。；なぜならこれらの動物の視覚は人間のものよりも単純で、研究しやすいからである。；イギリス経験論では、視覚は他の感覚入力との連合によって説明された。；この中で最も研究の対象とされてきたのは視覚である。；詩の内容のみならず、その視覚的形態はいまなお革新的で斬新である。；彼らの社会行動は、視覚的な合図に従っているものと考えられている。</t>
        </is>
      </c>
      <c r="J3457">
        <f>HYPERLINK("https://www.weblio.jp/content/視覚", "词义详情")</f>
        <v/>
      </c>
      <c r="K3457">
        <f>HYPERLINK("https://yourei.jp/視覚", "查看例句")</f>
        <v/>
      </c>
    </row>
    <row r="3458">
      <c r="A3458" t="inlineStr">
        <is>
          <t>四角</t>
        </is>
      </c>
      <c r="B3458" t="inlineStr">
        <is>
          <t>成功</t>
        </is>
      </c>
      <c r="C3458" t="inlineStr">
        <is>
          <t>読み方：しかく
［名・形動］
１正方形・長方形などのように、四隅にかどのある形。四辺形。四角形。また、そのようなさま。「—な（の）折り紙」「真(ま)—」
２角ばっていること。また、そのようなさま。「—な顔」
３人の態度・行動などが、型にはまって堅苦しいこと。また、そのようなさま。「—にかしこまる」</t>
        </is>
      </c>
      <c r="D3458" t="inlineStr">
        <is>
          <t>四角な穴(2%)；四角な箱；四角な顔；四角関係；四角な窓</t>
        </is>
      </c>
      <c r="E3458" t="inlineStr">
        <is>
          <t>四角い；スクエア；真四角；スクェア；スクエアー</t>
        </is>
      </c>
      <c r="F3458" t="inlineStr">
        <is>
          <t>白い四角；大きな四角；黒い四角；小さい四角；まっ四角</t>
        </is>
      </c>
      <c r="G3458" t="inlineStr">
        <is>
          <t>四角形；四角く；四角錐；四角四面；四角数</t>
        </is>
      </c>
      <c r="H3458" t="n">
        <v>29</v>
      </c>
      <c r="I3458" t="inlineStr">
        <is>
          <t>それから宿へ著くとそこの庭に四角な箱のやうなものが地にいけてある。；おうちはちょうどこんなふうに四角なんです、そして古いものなんです。；形状は関東では丸、関西では四角のものがよく使われているといわれる。；白い四角なものを囲んで来たのだけれど、その白いのは箱じゃなかった。；私の住んでいる四角な壁の中のことを、一度よく書いて置きましょう。；彼はまたこの四角な家と唐金の仏様の近所にある赤い門の家を覚えていた。；大きな窓のように、屋根のぜんたいはいくつもの四角に仕切られていた。；右も左もまた向うも石の高塀で仕切られてその形はやはり四角である。；授業時間の間、運動場の下の四角な室のなかに、幽閉されてた彼等です。；背の低い肩の四角な男で、平べったい鼻の下に短い口鬚を生やしていた。；樹立や壁から遠いところに何も生えていない四角な地所を用意したの。；次の間のテーブルの上には、黒い布で覆われた四角な箱が置いてある。；そして天皇の御陵などにこの四角の形のお墓が造られるようになりました。；したがって強く酒精に染められた彼の四角な顔も見る機会を奪われていた。；したがって、形は従来の丸型にこだわることなく三角でも四角でもよい。；彼は室の隅の卓子の上に、手のついた真黒い四角な箱を発見したのだ。；なおよく見回すと、扉と向き合った壁に一尺ばかりの四角な穴があった。；見かけはそれほどでもないが地味な黒表紙の大きい四角な本があった。；攻撃は、赤い四角で表示される攻撃可能範囲に敵が存在していれば実行できる。；ところが第一の少女が自分に対して丸くなったり、四角になったりする。；門を支えている大きな四角の柱の上には家の紋章がつけてあった。；ノアは豚肉の塊を台所に運んで、それを塩づけ用に小さく四角に切った。；つまり前には四角だったのが今度は六角形の家になったのですな。；四角な板に大きな文字で何かしら書いたのを旗のように押し立てている人もある。；これ等の四角は彩色はしてないが、深い線が四角の境界を示している。；あの少年が持っていたのとよく似た四角の凧をひとつ、邦子は買った。；例の四角な平地を見廻して見ると木らしい木、草らしい草は少しも見えぬ。；かべの上と下に、四角な空気ぬきの穴があるので、それがわかるのです。；四角な窓も面白いが、ドアにはもっと簡単な盲点がありますよというのだ。</t>
        </is>
      </c>
      <c r="J3458">
        <f>HYPERLINK("https://www.weblio.jp/content/四角", "词义详情")</f>
        <v/>
      </c>
      <c r="K3458">
        <f>HYPERLINK("https://yourei.jp/四角", "查看例句")</f>
        <v/>
      </c>
    </row>
    <row r="3459">
      <c r="A3459" t="inlineStr">
        <is>
          <t>資格</t>
        </is>
      </c>
      <c r="B3459" t="inlineStr">
        <is>
          <t>成功</t>
        </is>
      </c>
      <c r="C3459" t="inlineStr">
        <is>
          <t>読み方：しかく
１あることを行うのに必要な、また、ふさわしい地位や立場。「理事の—で出席する」
２あることを行うために必要とされる条件。「税理士の—を取る」</t>
        </is>
      </c>
      <c r="D3459" t="inlineStr">
        <is>
          <t>資格取得(3%)；資格審査；資格制度；資格停止処分；資格を有する者</t>
        </is>
      </c>
      <c r="E3459" t="inlineStr">
        <is>
          <t>能力；権利；切符；チケット；債権</t>
        </is>
      </c>
      <c r="F3459" t="inlineStr">
        <is>
          <t>入学資格；会員資格；卒業資格；たる資格；応募資格</t>
        </is>
      </c>
      <c r="G3459" t="inlineStr">
        <is>
          <t>資格試験；資格認定；資格保有；資格証明書；資格試験予備校</t>
        </is>
      </c>
      <c r="H3459" t="n">
        <v>29</v>
      </c>
      <c r="I3459" t="inlineStr">
        <is>
          <t>次のステップアップを図る上での基礎資格的性格を帯びているのである。；建築士の資格は有していないが、試験問題の作成を担当したことがある。；一部の国ではオーストラリアのNAATIなど、資格が整備されている。；資格制度においてもイギリスの制度設計が導入されていることが多い。；資格回復の裁判がされると、罷免の裁判によって失った資格を回復する。；大学で学んで資格を取得すれば、開業して治療を行うことができる。；資格制度のうち職業資格の認定試験は、各地の職能団体が実施している。；それと並行して高校卒業の資格を取るために通信教育の高校に入学。；RNCPに登録される資格には無条件登録資格と申請後登録資格がある。；なお、資格制度の有無や資格の分類および名称は各国で大きく異なる。；実施するかどうかは有資格年のワールドコン実行委員会の判断による。；資格取得者以外の者にその資格の呼称の利用が日本の法令で禁止されている資格。；この点で最も問題になるのは、舞台機構調整技能士という資格名である。；誘導員となるには、誘導員試験に合格し、誘導員資格を得る必要がある。；次のいずれかに該当する者は、当然に精神保健福祉士となる資格を有しない。；列車防護要員には運転士の資格を持つ者とそうでない者とが存在する。；オーダー内には特定の資格に応じて現在いくつかのクラスとカテゴリがある。；大学でこの資格を取得できるのは國學院大學と皇學館大学のみである。；最高裁判所長官の任命資格は、最高裁判所判事の任命資格と同じである。；また、実技講習を繰り返し受講することで運転資格を得ることができる。；司法書士は前述の通り団体としての活動も資格業の中では一番積極的と言える。；この際イギリス連邦の資格が停止されたが、2004年には復帰した。；準会員は天文学会の目的に賛同し協力する会員であり、資格を問わない。；ドイツにおいては、職業資格の取得は学校教育と高度に結びついている。；特定自主検査は、法定の検査資格を有する自主検査者が行う必要がある。；成年後見制度を利用することで権利の制限となっている資格・制度が多く残されている。；しかしこれらの学校は、後には単に科挙の資格を得るために在籍する場所となった。；しかしその実務に就くためにはその資格が必要である場合である。；また、准教授・講師・助教となることのできる資格の要件の一つでもある。</t>
        </is>
      </c>
      <c r="J3459">
        <f>HYPERLINK("https://www.weblio.jp/content/資格", "词义详情")</f>
        <v/>
      </c>
      <c r="K3459">
        <f>HYPERLINK("https://yourei.jp/資格", "查看例句")</f>
        <v/>
      </c>
    </row>
    <row r="3460">
      <c r="A3460" t="inlineStr">
        <is>
          <t>自覚</t>
        </is>
      </c>
      <c r="B3460" t="inlineStr">
        <is>
          <t>成功</t>
        </is>
      </c>
      <c r="C3460" t="inlineStr">
        <is>
          <t>読み方：じかく
［名］(スル)
１自分の置かれている位置・状態、また、自分の価値・能力などをはっきり知ること。「—が足りない」「体力の衰えを—する」
２仏語。自ら迷いを断って悟りを開くこと。⇔覚他(かくた)。</t>
        </is>
      </c>
      <c r="D3460" t="inlineStr">
        <is>
          <t>自覚する(8%)；自覚的(2%)；自覚でき；自覚なし；自覚すれ</t>
        </is>
      </c>
      <c r="E3460" t="inlineStr">
        <is>
          <t>思う；意識；感じる；認識；覚える</t>
        </is>
      </c>
      <c r="F3460" t="inlineStr">
        <is>
          <t>そういう自覚；強く自覚；たる自覚；強い自覚；十分自覚</t>
        </is>
      </c>
      <c r="G3460" t="inlineStr">
        <is>
          <t>自覚的</t>
        </is>
      </c>
      <c r="H3460" t="n">
        <v>29</v>
      </c>
      <c r="I3460" t="inlineStr">
        <is>
          <t>第2義の接触によって人は自覚を持って宗教的な生を生きることになる。；いずれにせよ、ハルヒ本人は自分の持つ巨大な力を全く自覚していない。；休載になることもしばしばで作品の量は多くなく、本人も自覚している。；またこのときのピアノ演奏で、初めて自身の老いを自覚したと言われる。；そんな中、覚悟は自分の記憶が何者かに奪われていることを自覚する。；こんなことでは本人も師匠も自覚が足りないと言われても仕方がない。；彼自身も自覚していたように、著書の出版直後から激しい論争が起きた。；しかしながら彼はその写真スタイルが自分に合わない物とすぐに自覚する。；被害に遭ったと自覚した場合、すぐに警察に被害届けを出すべきである。；あるいは疑い例の基準で定義された自律神経症状を自覚した時とされている。；議論のあるところではあるが、これは一般に両当事者の自覚の外で起こる。；しかし滝沢は仏教は宗教としては不可逆性の自覚が足りないとしている。；自覚があっても治療者を警戒しているうちは交代人格は姿を現さない。；最近の自分はそのハングリーさが薄れてきたと自覚するようになっていた。；毎朝目をさましては、債務額が深く深くなっていくことを自覚していた。；ルービンシュタインも4歳の頃までには自ら神童であると自覚していた。；本体であるジョルノはこの能力を自覚していないが、心に確信はある。；患者は、はじめ自分が犠牲者であることを自覚していない場合が多い。；「かぁいいもの」の基準は特になく、ただの気分であると自覚している。；完治はさとみへの未練とリカから目を離してはならないことを自覚する。；本人はそのことに自覚がなく、自分の歌のひどさを指摘されると激怒する。；自覚とは、自分自身の置かれている状態や自分の価値を知ること。；ただ、八雲が心の中でどれだけ自覚しているのかはよくわからない。；自覚の無いまま近視化の過程の大半がすでに終わってしまっていると言ってもよい。；また第5巻は自覚的な機能的調性の使用の始まりとも見なされている。；本人達もそれを自覚しているが、それを他人に言われると落ち込む。；これらは、まるで身体の内側から湧き上がるような自覚的な渇望を生む。；しかしなぜ目立っているのかを理解できなかったので自覚はない。；新しいドンのアタマンは、自身の状況を自覚して次のように言及した。</t>
        </is>
      </c>
      <c r="J3460">
        <f>HYPERLINK("https://www.weblio.jp/content/自覚", "词义详情")</f>
        <v/>
      </c>
      <c r="K3460">
        <f>HYPERLINK("https://yourei.jp/自覚", "查看例句")</f>
        <v/>
      </c>
    </row>
    <row r="3461">
      <c r="A3461" t="inlineStr">
        <is>
          <t>四角い</t>
        </is>
      </c>
      <c r="B3461" t="inlineStr">
        <is>
          <t>成功</t>
        </is>
      </c>
      <c r="C3461" t="inlineStr">
        <is>
          <t>読み方：しかくい
［形］《名詞「しかく（四角）」の形容詞化》
１四角の形をしている。「—・い窓」
２堅苦しい感じがするさま。「—・いあいさつ」</t>
        </is>
      </c>
      <c r="D3461" t="inlineStr">
        <is>
          <t>四角い箱(5%)；四角い顔(5%)；四角い穴(4%)；四角い窓(2%)；四角い部屋</t>
        </is>
      </c>
      <c r="E3461" t="inlineStr">
        <is>
          <t>スクエア；真四角；スクェア；四角；スクエアー</t>
        </is>
      </c>
      <c r="F3461" t="inlineStr">
        <is>
          <t>大きな四角い；四角い空間；四角い塔；四角い石；四角い光</t>
        </is>
      </c>
      <c r="H3461" t="n">
        <v>29</v>
      </c>
      <c r="I3461" t="inlineStr">
        <is>
          <t>そして船は全部一方側に移動させられて、四角い海面があらわれていた。；これに同じ幅のが接続し、これよりやや狭い四角い内陣室を有している。；これも七、八年前のことだが、猫が四角くなった夢を見たことがあった。；そして私の方へは目もくれないで真直に四角い卓子の方へ歩いて行った。；このようなパッチは丸みを帯びた形ではなく、角が四角い形で示される。；四角い倉庫についている巨大な扉はもちろん重すぎて動かないだろう。；壁面にならんだ無数の四角い穴に、これもたくさんの人影が動いていた。；壁には3つの記念碑的な門があり、それぞれ四角い側面の塔が並んでいる。；どちらかといえば四角かったのがピラミッドに近い三角錐になっている。；その四角く切り取られた空間の中には、私の他に誰の姿もありません。；その四角いものは、夜と昼をつくりだすために、おかれたにちがいない。；中央の四角いテーブルに、一人の男が坐って記録の巻物を読んでいた。；ティッシュのような薄い紙で作った花が、いくつか四角く壁に止めてある。；一方の端には丸い浴槽があり、もう一方の端には四角い浴槽 があった。；なお四角い土俵は各地の神社や南部相撲などに現存し使用されている。；屋根直下にある例の四角い小部屋のドアを開け中に入るのが聞こえた。；壁の下の四角い穴に鉄柵があり、そこから先には行けないようになっている。；中は小さな四角い部屋で、三人が一度に入れるかどうかというくらい。；中央には大きな箱形のテーブル、そして四角い頑丈な椅子が十個ほど。；床には四角い穴があり、もっと深く掘り下げる計画であったと考えられる。；並んでいる男の人達とは鍵のてになった四角い座敷の方に宮本がいる。；開かれたドアの四角い光の中に男は影になって立っていた。；一番上に並んでいる計器の右から三番めの四角い箱型の計器を見てくれたまえ。；まるで、四角く切り抜いた紙を体のパーツの形に何枚も重ねたかのようだ。；つまり、扉のある壁を正面としたとき、左手の方にある四角い穴だ。；ここから見上げる空は四角く切り取られ、いつもより遠くに感じられた。；四角く切ったのと、八杯に切ったのとでは微妙に、味がちがうのである。；小塔が切り妻の上に設けられており、南西角に四角い塔状の増築部が見られる。；当初ロゴは四角い感じだったが、羽が追加されやや丸めに変更された。</t>
        </is>
      </c>
      <c r="J3461">
        <f>HYPERLINK("https://www.weblio.jp/content/四角い", "词义详情")</f>
        <v/>
      </c>
      <c r="K3461">
        <f>HYPERLINK("https://yourei.jp/四角い", "查看例句")</f>
        <v/>
      </c>
    </row>
    <row r="3462">
      <c r="A3462" t="inlineStr">
        <is>
          <t>仕掛け</t>
        </is>
      </c>
      <c r="B3462" t="inlineStr">
        <is>
          <t>成功</t>
        </is>
      </c>
      <c r="C3462" t="inlineStr">
        <is>
          <t>読み方：しかけ
１相手にしかけること。先に攻撃などをすること。「敵の—を待つ」
２目的のために巧みに工夫されたもの。
㋐装置。からくり。「自動的に閉まる—」「種も—もない」
㋑策略。たくらみ。「まんまと—にはまる」「色—」
㋒釣りで、ねらう魚に応じて、糸・針・おもり・浮きなどを仕組んだもの。
３物事をし始めて中途であること。やりかけ。「—の仕事を済ます」
４「仕掛け花火」の略。
５もののやり方。手段。
「今の商売の—、世の偽りの問屋なり」〈浮・胸算用・一〉
６食事などの用意。
「流元(ながしもと)に明日の—してゐると」〈滑・膝栗毛・発端〉
７江戸時代、金貨・銀貨・銅貨の換算相場をごまかすこと。</t>
        </is>
      </c>
      <c r="D3462" t="inlineStr">
        <is>
          <t>仕掛けられる；仕掛けさせ；仕掛け時計；仕掛け爆弾；仕掛け弓</t>
        </is>
      </c>
      <c r="E3462" t="inlineStr">
        <is>
          <t>機関；機構；仕組み；細工；メカニズム</t>
        </is>
      </c>
      <c r="F3462" t="inlineStr">
        <is>
          <t>大仕掛け；バネ仕掛け；様々な仕掛け；電気仕掛け；ばね仕掛け</t>
        </is>
      </c>
      <c r="G3462" t="inlineStr">
        <is>
          <t>仕掛け人；仕掛けよ；仕掛け花火；仕掛けれ；仕掛け絵本</t>
        </is>
      </c>
      <c r="H3462" t="n">
        <v>29</v>
      </c>
      <c r="I3462" t="inlineStr">
        <is>
          <t>網は仕掛けられたままとなっており、人間だけが忽然と消えたのである。；だが、これを知った島津義久らが城の完成する前に攻撃を仕掛けてくる。；これに関しては双方とも「先に相手が攻撃を仕掛けた」と主張していた。；移動中に他の武将に話したり襲撃を仕掛けアイテムを奪うことも可能。；これは後述のように著作権侵害の発見を容易にする仕掛けでもあった。；宝箱には罠が仕掛けられている場合もあるが、アイテムは必ず手に入る。；そして仕掛けられていた爆弾が爆発し、これが全ての始まりを告げていた。；天井付近に仕掛け時計が設置されており、時間になると人形が動く。；かなり大仕掛けな機械だが、行き当たりばったりで細菌を製造する機械。；これは回転したときに、風を切る音が出るようにした仕掛けである。；食事の支度だけではなく、オックスを驚かせる仕掛けも準備されている。；ステージ内にはこれらのキャラクターや仕掛けが配置される。；少数の日本軍機が離陸していたが1機を除いて全く攻撃を仕掛けてこなかった。；ステージ内には様々な仕掛けやキャラクターが用意される。；ロンド・ベルはネオ・ジオンが攻撃を仕掛けた意図を看破できなかった。；エイリアンの数が少なくなると編隊を崩して一斉に攻撃を仕掛けてくる。；タティウスの主張を入れず単独でローマに戦争を仕掛けた勢力はいずれも敗北した。；このゲームには普通にゲームを進めていくだけでは遊べない仕掛けが用意されている。；ここでは、動物や人間を捕獲・拘束・殺害を目的とした道具や仕掛けを扱う。；壱岐島の日本軍は降伏を願い出たが、後になって元軍に攻撃を仕掛けてきた。；形稽古を行う際に仕掛けてくる打太刀を倒す側の技または人物を意味する。；屋根や窓から、木片やガラス球を詰めた袋を落とす仕掛けも作られていた。；その際、技を仕掛けた側の馳もフラフラになる点まで再現されている。；仕掛けられないまま、余力を残したままに最終コーナーを通過する。；どちらが攻め方か不明のときは、仕掛けた側から手を変える。；ゲーム中に極端なBPM変化をする仕掛けの考案者としても知られる。；例えば関東周辺では以下のような仕掛けが使われる。；全日本なぎなたの形と仕掛け応じと呼ばれる演技の形の2種類がある。；彼の死を乗り越え、影丸はついに若葉城に作られた仕掛けを突き止めた。</t>
        </is>
      </c>
      <c r="J3462">
        <f>HYPERLINK("https://www.weblio.jp/content/仕掛け", "词义详情")</f>
        <v/>
      </c>
      <c r="K3462">
        <f>HYPERLINK("https://yourei.jp/仕掛け", "查看例句")</f>
        <v/>
      </c>
    </row>
    <row r="3463">
      <c r="A3463" t="inlineStr">
        <is>
          <t>仕掛ける</t>
        </is>
      </c>
      <c r="B3463" t="inlineStr">
        <is>
          <t>成功</t>
        </is>
      </c>
      <c r="C3463" t="inlineStr">
        <is>
          <t>読み方：しかける
［動カ下一］［文］しか・く［カ下二］
１相手に対して、こちらから働きかける。相手が乗ってくるように扱う。仕向ける。「技を—・ける」「けんかを—・けられる」
２
㋐作用するように、装置・工夫などを設ける。「わなを—・ける」「ダイナマイトを—・ける」
㋑煮炊きするために、火の上にかける。「御飯を—・ける」「なべを—・ける」
３動作・作用をしはじめる。また、何かをしはじめて、その中途である。「話を—・けてやめる」「仕事を—・けている」
４取引市場で、株価の騰落を予想して、新たに売買の注文をする。
５物を作って、それを他の物の上にかける。
「御衣掛(みそかけ)の御装束など、例のやうに—・けられたるに」〈源・葵〉
６浴びせかける。ひっかける。
「父君に尿(しと)多(ふさ)に—・けつ」〈宇津保・蔵開上〉</t>
        </is>
      </c>
      <c r="D3463" t="inlineStr">
        <is>
          <t>仕掛けるべき；仕掛けるべく；仕掛けるカウンター式；仕掛けるランニング式；仕掛けるジャンピング式</t>
        </is>
      </c>
      <c r="E3463" t="inlineStr">
        <is>
          <t>設置；開始；設定；装備；始める</t>
        </is>
      </c>
      <c r="H3463" t="n">
        <v>29</v>
      </c>
      <c r="I3463" t="inlineStr">
        <is>
          <t>技を仕掛ける側の円弧を描くような動きが技の名称の由来となっている。；戦争を仕掛けるためでなく自衛のためにつくった要塞都市の一つである。；もはや時間的な余裕はなく、解囲軍は最後の攻撃を仕掛ける決意をした。；武器側は顔面や胴体への正面打ち・横面打ちにて自由に攻撃を仕掛ける。；彼らはルアド島から何度もトルトーザに攻撃を仕掛けることに成功した。；相手が所有する土地を奪いたい場合、相手に戦闘を仕掛けることができる。；こんな驚くべき冗談を人類に仕掛けることが、悪魔には本当にできるのだろうか?；もしも罠を仕掛けるのならば、名前を知られるのを避けるのが普通だろう。；そのため多少無理な態勢からでも担ぎ技などを仕掛けることができる。；性格は極めて攻撃的で、相手が強くても弱くてもかまわず戦いを仕掛ける。；以下の種類の罠が存在し、それぞれ決められた場所に仕掛けることができる。；向こうから襲ってくるのは恐ろしいが、自分から仕掛ける分には自信がある。；われわれのところの外科医は、きみの体に爆弾を仕掛けることもできる。；柔道でも、小外系の技を仕掛ける時に、これらの技の応用を用いる事がある。；小野さんは進んで仕掛けるような相撲をとらぬ、またとれぬ男である。；など、自分や相手の状況により仕掛ける技も次々に開発されている。；この場合、彼らは直接的の側面に攻撃を仕掛けることが期待された。；男はいくつになっても攻撃を仕掛けることしか考えちゃいけないと思うんです。；ピンタンブラー錠は長さの違うピンを並べて仕掛けるタイプの錠である。；此日は忙しくないと見えて爺さんは爐の側に居て種々な雜談を仕掛ける。；前半観が脱衣を終えて入浴し始めている頃を狙って総攻撃を仕掛ける手筈だ。；そして、園部もまた野崎を病院から追放しようと様々な策を仕掛ける。；二人の座頭が川を渡るのを見て、目あきの通行人がいたずらを仕掛ける。；そのため、唯一攻撃を仕掛けることができるのはウィレム砦がある西側だった。；だが、もし刀を折られた衝撃を感じたならば、別の攻撃を仕掛ける考えだった。；銃撃直後、怒った学生の多くが州兵に全面攻撃を仕掛ける準備を整えた。；方法は簡単にして大胆、議会の下に大爆薬を仕掛けることであった。；主が新しい命令を下さない限り戦争を仕掛けることはできない。；ジェリーは自分の姿が見えないのをいいことにトムに悪戯を山ほど仕掛ける。</t>
        </is>
      </c>
      <c r="J3463">
        <f>HYPERLINK("https://www.weblio.jp/content/仕掛ける", "词义详情")</f>
        <v/>
      </c>
      <c r="K3463">
        <f>HYPERLINK("https://yourei.jp/仕掛ける", "查看例句")</f>
        <v/>
      </c>
    </row>
    <row r="3464">
      <c r="A3464" t="inlineStr">
        <is>
          <t>しかし</t>
        </is>
      </c>
      <c r="B3464" t="inlineStr">
        <is>
          <t>成功</t>
        </is>
      </c>
      <c r="C3464" t="inlineStr">
        <is>
          <t>読み方：しかし
［接］《「しかしながら」の略かという》
１今まで述べてきた事柄を受けて、それと相反することを述べるときに用いる。そうではあるが。けれども。「こんなことは言いたくない。—立場上言わなければならない」
２今まで述べてきた事柄を受けて、話題を転じるときに用いる。それはともかく。それはそれとして。「よく思い切って会社をやめたね。—これからどうするつもりなの」
３感情をこめて言いはじめるときに用いる。それにしても。なんとまあ。「—よくこんなりっぱな家を建てたものだ」</t>
        </is>
      </c>
      <c r="D3464" t="inlineStr">
        <is>
          <t>しかし実際；しかしそれでも；しかし結局；しかし近年；しかしそれにしても</t>
        </is>
      </c>
      <c r="E3464" t="inlineStr">
        <is>
          <t>だが；けれど；それでも；ところが；けれども</t>
        </is>
      </c>
      <c r="F3464" t="inlineStr">
        <is>
          <t>昌允しかし；しかし莎代里；しかし戊戌の政変で西太后；しかし榎木津；しかしシュリーマン</t>
        </is>
      </c>
      <c r="G3464" t="inlineStr">
        <is>
          <t>しかして；しかしか</t>
        </is>
      </c>
      <c r="H3464" t="n">
        <v>29</v>
      </c>
      <c r="I3464" t="inlineStr">
        <is>
          <t>しかし、比較的新しい学問なのでその定義ははっきりと確定していない。；しかし、ソフト化の際に劇場公開版のみが収録される作品が大半である。；しかし、いつどのように活動が変化するかを予測することは非常に難しい。；しかし少なくとも10世紀頃には既に成立していたと考えられている。；しかし同時にこのような形態の戦争は現実の戦争で出現しているわけではない。；しかし、自然に生じるといってもある程度、心に余裕がないと出てこない。；しかし、各分野間には関連領域が存在するため明確に区別することは難しい。；しかし、これは戦争の限定された本質を明らかにしているに過ぎない。；しかし、後には独自の拡張・工夫が、特に効率の面で多くなされている。；しかし宇宙全体で見ると、実は液体の状態で存在している量は少ない。；しかし無料で医療が受けられる範囲は、法定の範囲に限定されている。；しかしこれらは、いずれも爆発的な人気を得ることはできなかった。；しかし講師の指導内容に納得が行かず、従わない事がしばしばあった。；しかし政府の統制下にある事には変わりなくメディアの規制も強化されている。；しかし、荒木は「子ども向けに描いたつもりはない」とも発言している。；しかしF1ドライバーの参戦は少なく、ほとんど名目上のものであった。；しかし、連載の終了は4週間前に通告されるという突然なものであった。；しかし2000年代頃からはむしろ作詞家が注目される機会が増えている。；しかし、特定の現象が特によく発達しているものを選ぶ、と云う場合もある。；しかし一度に大量の情報を話し、聞き返す事もできないためメモは必須。；しかし低質量の星は暗いために地球に近いものしか観測できない。；しかしこの場合はお互いを呼ぶような再帰呼び出しの実装が不可能である。；しかし、政治的な理由で輸出ができなくなるなど不安定な要素も含んでいる。；しかし 上記の定数 answer を評価してもエラーにはならない。；しかし、キリスト教と科学の実際の関係はもっと豊穣で複雑なものであった。；しかし、ケーブルテレビが発達して間もない時期は、局数が少なかった。；しかし、彼の評価式は価格が負になることもありうるために非現実的であった。；しかし、クロック周波数の高いマシンが必ずしも性能が高いとは言えない。；しかし古賀らの動きは音楽界の主流派の非協力という形で抵抗を受ける。</t>
        </is>
      </c>
      <c r="J3464">
        <f>HYPERLINK("https://www.weblio.jp/content/しかし", "词义详情")</f>
        <v/>
      </c>
      <c r="K3464">
        <f>HYPERLINK("https://yourei.jp/しかし", "查看例句")</f>
        <v/>
      </c>
    </row>
    <row r="3465">
      <c r="A3465" t="inlineStr">
        <is>
          <t>しかしながら</t>
        </is>
      </c>
      <c r="B3465" t="inlineStr">
        <is>
          <t>成功</t>
        </is>
      </c>
      <c r="C3465" t="inlineStr">
        <is>
          <t>読み方：しかしながら
［接］「しかし」のやや改まった、言い方。「彼は金持ちだ。—実に質素だ」
［副］
１そのまま。そっくり。すべて。
「精進にて書きたる経は、—竜宮に納まりぬ」〈今昔・一四・二九〉
２結局。要するに。
「人のために恨みをのこすは、—我が身のためにてこそありけれ」〈宇治拾遺・一一〉</t>
        </is>
      </c>
      <c r="D3465" t="inlineStr">
        <is>
          <t>しかしながら実際；しかしながら近年；しかしながら現代；しかしながらかく；しかしながら前述</t>
        </is>
      </c>
      <c r="E3465" t="inlineStr">
        <is>
          <t>けれども</t>
        </is>
      </c>
      <c r="F3465" t="inlineStr">
        <is>
          <t>しかしながら出場機会；しかしながら他方；しかしながら結果的；しかしながら依然として</t>
        </is>
      </c>
      <c r="H3465" t="n">
        <v>29</v>
      </c>
      <c r="I3465" t="inlineStr">
        <is>
          <t>しかしながら費用の理由から、どちらの提案も成功することはなかった。；しかしながら、スペース3つ分を使って と を書くのが一般的である。；しかしながら、発明の定義を法律の条文で明らかにしている国は少ない。；しかしながら、それを全く認めない立場も含め、さまざまな議論がある。；しかしながらそれらはすべてアザラシ類とみるべきだろう、としている。；しかしながら、実際の契約では14インチ砲装備の四七二C案であった。；しかしながらこうした要素は物語に必要なものと考えられている。；しかしながら、反対派の活動が徹底的に排除される中での選挙であった。；しかしながらイタリア人以外の研究者は懐疑的な見方を変えてはいない。；しかしながら、素数間の間隔には平均よりもはるかに大きいものもある。；しかしながらこの話を聞いたオイディプースはかえって不安に陥った。；しかしながら、彼らは定期的な大会を開催していなかったようである。；しかしながら、これらそれぞれが、深い個人的な意義がある作品である。；しかしながら、これらはどちらとも決めにくい場合には妥協を必要とする。；しかしながら前述のように解釈の問題が数多いため、実行の壁は高い。；しかしながら、この2曲はスケッチは作成されたが、途中で放棄された。；しかしながら、2019年より再び両クラブが統合することが発表された。；しかしながら、古式ムエタイがいつ興ったものかははっきりしていない。；しかしながら、任意のモノイドが必ず何らかの群に含まれるとは限らない。；しかしながら予定価格が X68030の倍近くになると予測されていた。；しかしながら、この当時は人口の大半がヨーロッパロシアに居住していた。；しかしながら、この規定がどこまで及ぶかは幾つかの問題がある。；しかしながら着用を禁止するまたは許可する法令というものは存在しない。；しかしながら、ピョートルは文学と芸術には深い関心は持たなかった。；しかしながら高級官吏で当本部に訴追された者は一人もいなかった。；しかしながら、フロサール将軍の計画には早くもほころびが見え始めた。；しかしながら、ミキサーでの録音資料はストリーム配信にのみ限られる。；しかしながらその後、一部区間で慢性的な渋滞が発生し問題となっていた。；しかしながら、近年ではこの最高気温を記録した月に雪が降ることもある。</t>
        </is>
      </c>
      <c r="J3465">
        <f>HYPERLINK("https://www.weblio.jp/content/しかしながら", "词义详情")</f>
        <v/>
      </c>
      <c r="K3465">
        <f>HYPERLINK("https://yourei.jp/しかしながら", "查看例句")</f>
        <v/>
      </c>
    </row>
    <row r="3466">
      <c r="A3466" t="inlineStr">
        <is>
          <t>仕方</t>
        </is>
      </c>
      <c r="B3466" t="inlineStr">
        <is>
          <t>成功</t>
        </is>
      </c>
      <c r="C3466" t="inlineStr">
        <is>
          <t>読み方：しかた
１物事をする方法。やり方。「掃除の—」
２他に対する振る舞い。仕打ち。「親に対する—ではない」
３（「仕形」とも書く）身ぶり。手まね。
「手をあげて土をかけよと—をした」〈中勘助・鳥の物語〉</t>
        </is>
      </c>
      <c r="D3466" t="inlineStr">
        <is>
          <t>仕方がありませ(3%)；仕方がねえ；仕方なかった；仕方がありません；仕方ねえ</t>
        </is>
      </c>
      <c r="E3466" t="inlineStr">
        <is>
          <t>手；方法；法；行い；態度</t>
        </is>
      </c>
      <c r="F3466" t="inlineStr">
        <is>
          <t>怖くて仕方；よりほか仕方；待つより仕方；何らかの仕方；仕方噺</t>
        </is>
      </c>
      <c r="G3466" t="inlineStr">
        <is>
          <t>仕方ない；仕方なし；仕方が無い；仕方無く；仕方無い</t>
        </is>
      </c>
      <c r="H3466" t="n">
        <v>29</v>
      </c>
      <c r="I3466" t="inlineStr">
        <is>
          <t>神が最高の仕方で書くには何も書かれていない板が最適であるという。；このような類の統合の仕方は外輪東京式および中輪東京式と一致する。；こういう調査の仕方では、業界全体に問題があるように思われるので困る。；が、どちらを先に指すか規定もなく、仕方がなく振り駒で決めたという。；また、記録の仕方によっても人や社会が影響を受けるとする考察もある。；標準的な生徒の場合は、年齢主義の学校と変わらない進級の仕方をする。；創造論には創世記の記述の解釈の仕方の違いによるいくつかの説がある。；本編映像に採用されたのは2回分で、落下の仕方などに違いがみられる。；言語ごとに異なる分類の仕方がされるが、主要なタイプがいくつか存在する。；野生の動物の料理の仕方を記した著書も妻や息子と連名で出している。；この決定には北尾も「仕方がありません」と受け入れざるを得なかった。；同一化の諸様式とは、自らと他なるものとの境界の定義の仕方である。；燃料を確保できなくなったレスリーは仕方なく自動車を馬が引いて出発した。；ここでは通常と違って、変わった登場の仕方をしたものについて紹介する。；ゴロワノフの録音は相当数あり、曲の解釈の仕方がかなり個性的である。；ファイルフォーマットはこれらデータの配置の仕方・形式を規定する。；形式的証明の定義の仕方はひとつではなく、様々な異なる方法がある。；仕方なく崩れ落ちたばかりの断崖絶壁を駆け下り妻良山へ登っていった。；オープンサルーンでは、さらに座席の配置の仕方に様々な形態がある。；消費者が生産物を消費する仕方が商品の意味を作りあげるからである。；これは設置された場所が村唯一の集落であったことを考えると仕方がなかったといえる。；価格は、それが決まる仕方によって、いくつかの種類に分類されている。；より死角を減らすために など、設置の仕方を工夫しているものもある。；各ステージでの勝利条件の達成の仕方によりストーリーの分岐がある。；まばたきの仕方がヒトとは異なり、下から上に被せるようになっている。；ここで装備・アイテムの使い方、戦闘の仕方など基本システムを学ぶ。；同一化と諸様式は、自らと他なるものとの境界の定義の仕方である。；これは通常の群が集合の圏における群対象であると言うのと同じ仕方である。；また、フランスの貴族達はフィリップ6世の戦争の仕方に不満を抱いていた。</t>
        </is>
      </c>
      <c r="J3466">
        <f>HYPERLINK("https://www.weblio.jp/content/仕方", "词义详情")</f>
        <v/>
      </c>
      <c r="K3466">
        <f>HYPERLINK("https://yourei.jp/仕方", "查看例句")</f>
        <v/>
      </c>
    </row>
    <row r="3467">
      <c r="A3467" t="inlineStr">
        <is>
          <t>仕方がない</t>
        </is>
      </c>
      <c r="B3467" t="inlineStr">
        <is>
          <t>成功</t>
        </is>
      </c>
      <c r="C3467" t="inlineStr">
        <is>
          <t>読み方：しかたがない
１どうすることもできない。ほかによい方法がない。やむを得ない。「—・い。それでやるか」
２よくない。困る。「彼は怠け者で—・いやつだ」
３我慢ができない。たまらない。「彼女に会いたくて—・い」</t>
        </is>
      </c>
      <c r="D3467" t="inlineStr">
        <is>
          <t>仕方がないじゃない；仕方がないじゃありませ；仕方がないぢやないか；仕方がないぢやあり</t>
        </is>
      </c>
      <c r="E3467" t="inlineStr">
        <is>
          <t>仕方なく；仕方ない；余儀なくされる；避けられない；逃げられない</t>
        </is>
      </c>
      <c r="F3467" t="inlineStr">
        <is>
          <t>嬉しくて仕方がない；うれしくて仕方がない；待つより仕方がない；ちゃ仕方がない；いうより仕方がない</t>
        </is>
      </c>
      <c r="H3467" t="n">
        <v>29</v>
      </c>
      <c r="I3467" t="inlineStr">
        <is>
          <t>仕方がないからまたその馬から下りてその困難な道を歩いて行きました。；実に不都合な虫であるが、怒ってみたところで相手が虫では仕方がない。；何も彼も知っているのだから、この男に向って勿体ぶっても仕方がない。；忠告されるような悪いことをしていれば、仕方がないじゃありませんか?；まあそれもお前が先きに手を出すと云ふ法はないのだから仕方がない。；突然あの人の前に跪いて許して下さいと叫びたくて仕方がないのです。；それで女中等も所在ない苦笑で相手するより仕方がないようでありました。；しかしともかくも川島家のためだから仕方がないといったようなもので。；そしてそのためには多少は喰われたって仕方がないと打算しているのだ。；僕は学校へ行ってからも、とかく民子のことばかり思われて仕方がない。；こうなれば、どこか別のところを探しに行くより外に仕方がないと思った。；しかし然ういう直接為めになるのには感じが鈍い性分だから仕方がない。；友三郎さんが一緒でないと夜分の外出を許されないのだから仕方がない。；そういう風で文学的なことが彫刻の上にも表現したくて仕方がない。；課長の処へ挨拶に行ったら、仕方がないまたやるさと云ってくれた。；然しこの愛情すらさめるといふなら、それはもう仕方がないと思ふのだ。；夫人の心は初めからファーデナンドの方へ行っているんだけれど仕方がない。；どうなろうと運命だから仕方がないという考えは私の持病なのだから。；ガヴォットの頃には観客は疲れ果て、帰りたくて仕方がない様子でした。；建築を商売にしている人に完全な戸締りが出来なくちゃ仕方がないじゃないか?；これでも仕方がない不足の分は先方の様子を見てからの事と直ぐ下に降りた。；早く帰りたくて仕方がないつて仰つていらつしやるんでございますよ。；うんざりはしたが、仕方がないから、帰ってその通知を待つことにした。；見物の目がこれを見るだけの明がなくては仕方がないわけである。；大変いけないことかもしれないけれども今の場合仕方がないとしておきたい。；自分の力でたつ事が出来ないものは、亡びてしまうより他に仕方がない。；今日立ったろうけれど、時間を教えてくれないから仕方がないじゃないか?；仕方がないから、女も、男を非常に愛しているように見せかけたのである。；早く出たつて仕方がないから、試驗場にだけは時間のある限りゐるがね。</t>
        </is>
      </c>
      <c r="J3467">
        <f>HYPERLINK("https://www.weblio.jp/content/仕方がない", "词义详情")</f>
        <v/>
      </c>
      <c r="K3467">
        <f>HYPERLINK("https://yourei.jp/仕方がない", "查看例句")</f>
        <v/>
      </c>
    </row>
    <row r="3468">
      <c r="A3468" t="inlineStr">
        <is>
          <t>しかたない</t>
        </is>
      </c>
      <c r="B3468" t="inlineStr">
        <is>
          <t>成功</t>
        </is>
      </c>
      <c r="C3468" t="inlineStr">
        <is>
          <t>読み方：しかたない
［形］［文］しかたな・し［ク］しかたがない。「考えても—・い」「—・くあきらめる」「うれしくて—・い」</t>
        </is>
      </c>
      <c r="D3468" t="inlineStr">
        <is>
          <t>しかたないじゃない(2%)；しかたないんです；しかたないところ</t>
        </is>
      </c>
      <c r="E3468" t="inlineStr">
        <is>
          <t>仕方なく；仕方ない；しようがない；余儀なくされる；しょうがない</t>
        </is>
      </c>
      <c r="H3468" t="n">
        <v>29</v>
      </c>
      <c r="I3468" t="inlineStr">
        <is>
          <t>ずいぶん悩んだ時期もあったけれど、今ではしかたないと認めています。；だがしかたないじゃないか、こいつはどうしようもない馬鹿なんだから。；子供の頃から召し使いたちに世話をしてもらっていたのだからしかたない。；そういう気分になる環境がととのっているのだから、それもしかたない。；肉体の消滅はしかたないと思えるが、何といっても意識の消滅が恐ろしい。；何も知らないってピーターに文句を言われても、しかたないんだろうな。；見えていないとわかっているけれど、そうなってしまうのだからしかたない。；嫉妬しているつもりはないが、そういわれてもしかたないのだろうか。；おれの探せそうなところはそこくらいしか残っていないのだからしかたない。；でも、うまくいかなくなったときのことなど、気にしてもしかたない。；「やっちゃったことはしかたないんじゃない」 話はそこで終わりだった。；白人だからしかたないのかもしれないけど、体も少し中年太りしている。；とにかく、この川を渡るのだとすれば、ここで渡るよりしかたないね。；しかたない、今日はもう寝ようと思ったが、どこで眠ればいいんだろう?；これを次に使う生徒にはとても悪いとは思うが、消えないのだからしかたない。；あのような出来事があった翌日だから、しかたないのかもしれない。；見つめているうちに、イメージが形となって現れそうでしかたない。；むだ死にすることになっても、そのときはしかたないと考えていたわ。；千秋は不安そうに電話を切ったが、おれが不安なのだからそれもしかたない。；本人がまだわかいんですから、そうしたけってんもしかたないでしょう。；「月末だからしかたないですね」などと運転手さんの機嫌をとってみたり。；たしかに私の発言には矛盾ととられてもしかたない面がある。；じつはこのところ、何かにつけてそのことが気になってしかたないのでした。；しかたないのでカザリの服を外に出して座布団の入る空間を確保した。；もしもその試合でも誰一人基準を超えられなかった場合は、いたしかたない。；我々はこんな女性にはハイ、サヨウナラと言ってもしかたないでしょう。；どうしても、どこかへゆかなくてはならぬ、と云うのなら、しかたない。；殺された女がおれのチームのメンバーだったからしかたない。；なにかされてもしかたないようなことをしたかもしれない。</t>
        </is>
      </c>
      <c r="J3468">
        <f>HYPERLINK("https://www.weblio.jp/content/しかたない", "词义详情")</f>
        <v/>
      </c>
      <c r="K3468">
        <f>HYPERLINK("https://yourei.jp/しかたない", "查看例句")</f>
        <v/>
      </c>
    </row>
    <row r="3469">
      <c r="A3469" t="inlineStr">
        <is>
          <t>直に</t>
        </is>
      </c>
      <c r="B3469" t="inlineStr">
        <is>
          <t>成功</t>
        </is>
      </c>
      <c r="C3469" t="inlineStr">
        <is>
          <t>読み方：じかに
［副］間にほかのものを入れないで直接にするさま。「ワイシャツを肌に—着る」</t>
        </is>
      </c>
      <c r="D3469" t="inlineStr">
        <is>
          <t>直に接し；直に接する；直に触れ；直に御；直に伝わってくる</t>
        </is>
      </c>
      <c r="E3469" t="inlineStr">
        <is>
          <t>すぐに；一瞬；間もなく；一気に；直ちに</t>
        </is>
      </c>
      <c r="F3469" t="inlineStr">
        <is>
          <t>眞直に；殿直に；真つ直に；床に直に；地面に直に</t>
        </is>
      </c>
      <c r="H3469" t="n">
        <v>29</v>
      </c>
      <c r="I3469" t="inlineStr">
        <is>
          <t>犬は直に云ふ可らざる満足の容子を示してわし達と一しよに歩き始めた。；部屋などの取片着をしているうちに、翌日一日は直に経ってしまった。；昔から美しいと思はれたものを直に美しいと考へることは間違つてゐる。；入口の庭が広く取ってあって、台所の側から直に裏口へ通り抜けられる。；日本の演劇が今直にさういふ役割を果し得るとは決して私も考へてゐない。；それだからと言うて、今の道徳・信仰が、直に宜しくないとは言へない。；さらにレーダーには多くの標的が直に映し出されないことが指摘された。；状況は深刻だったので、デイヴィス大統領は直に仲裁するしかなかった。；我々はこの意識統一の根柢において直に神の面影に接することができる。；知っていますか、知っていませんか、直に死なねばならぬと云う事を。；表象であっても、感覚と厳密に結合している時には直に一つの経験である。；学校から帰ると直に日本服に着換え、座蒲団に坐って煙草を吸いました。；此の事があつてからも勘次の姿は直に唐鍬持つて林の中に見出された。；女は学士を部屋の入口まで送ったきりで、直に病人の所へ帰って来た。；徒にこれを否定せんとするのは直に箇の生命を断滅せんとするものである。；もし真に単純なる意識があったならば、そは直に無意識となるのである。；試作車両では、こうした運転用の席は上部構造の前に直に設けられていた。；その頃の東京は場末が直に田圃で、学園の近所には百姓家が多かった。；火葬の習慣があり、骨壺を用いる場合と遺灰を直に埋葬する場合がある。；大きな門を入ると、水車仕掛の大きな精米所が、直にお島の目についた。；私は元捕虜たちが口々に同じ話をするのを直に聞いたのだから。；テキストエディタでロボットプログラムを直に書いていく方法である。；だから穢多の逐出された話を聞くと、直に僕は彼の猫のことを思出したのさ。；この機体はドイツから直にアメリカ合衆国を爆撃可能なものだった。；拳で胸を打って祈るかと思えば、直に指で戸の穴を穿ったりしている。；彼は食事中と雖も、友達が呼びに來れば直に飛出して歸る事を忘れた。；妻の弟の妻の阿古が奴隷と密通して発覚し、女直に逃亡しようとした。；栄一は神戸に来て直に妹の行衛を尋ねて見たが何処に隠れたか一向知れぬ。；このような行為が続いたため、直にフンタは廃止され、が後任を担った。</t>
        </is>
      </c>
      <c r="J3469">
        <f>HYPERLINK("https://www.weblio.jp/content/直に", "词义详情")</f>
        <v/>
      </c>
      <c r="K3469">
        <f>HYPERLINK("https://yourei.jp/直に", "查看例句")</f>
        <v/>
      </c>
    </row>
    <row r="3470">
      <c r="A3470" t="inlineStr">
        <is>
          <t>しがみつく</t>
        </is>
      </c>
      <c r="B3470" t="inlineStr">
        <is>
          <t>成功</t>
        </is>
      </c>
      <c r="C3470" t="inlineStr">
        <is>
          <t>読み方：しがみつく
［動カ五（四）］しっかりとつかんで放すまいとする。「子供が母親に—・く」「社長のいすに—・く」</t>
        </is>
      </c>
      <c r="D3470" t="inlineStr">
        <is>
          <t>しがみつくしか</t>
        </is>
      </c>
      <c r="E3470" t="inlineStr">
        <is>
          <t>依存；依存する；頼る；依る；すがる</t>
        </is>
      </c>
      <c r="F3470" t="inlineStr">
        <is>
          <t>ぎゅっとしがみつく</t>
        </is>
      </c>
      <c r="H3470" t="n">
        <v>29</v>
      </c>
      <c r="I3470" t="inlineStr">
        <is>
          <t>ズォルもわたしもたいへんな苦労をしてそいつの背にしがみついていた。；この土地にしがみつこうとする気持がふっきれそうな気がしてるんです。；そういうものにしがみついている手合いが反対のための反対をしている。；振りおとされないように戦闘帯にしがみついていなければならなかった。；血で目が見えなくなっても、私は無我夢中でそれにしがみつこうとする。；この世に何が何でも残りたがり、生きる肉と魂にしがみつくものもいる。；彼女はまだなにかが起こるかのように、男の一人の腕にしがみついている。；もっとも特徴的なのは、まるい指の先にしがみつくように生えている爪。；彼女は笑いながら彼に体ごとぶつかってきて、しっかりとしがみついた。；過去の功績にしがみつき、それをふりかざすような真似もしないだろう。；だから、馬にしがみつく暇もあらばこそ、彼女は地面に叩き落とされた。；あまり高い建物もなく、地にしがみつくようにして街は広がっている。；男の背中にしがみついているのは、全身が紫色の顔の大きな老婆でした。；私は四つん這いになってオーストラリアの沙漠の砂にしがみついていた。；慌てて追いかけていくと、元子の腕にしがみつくようにして体を支えた。；今も半ばごきょうやの袖にしがみつくようにしてぎくしゃく歩いている。；そのザイルに両手でしがみつくようにして、一人の男が流れを渡っていた。；サーラは海を背にし、大きな岩にしがみつくような格好で身を隠していた。；だがさらに男の顔が加わり、頭上の窓にしがみついて、待ちうけている。；ジャナイはすぐそばに立っていたが、やがてわたしの腕にしがみついた。；ミスター・マーチの姿はしがみついた四対の腕の下にかくれてしまった。；そして落ちこぼれだけれど馬が大好きだから必死にしがみついてゆく者。；春香と俺の両方の胸にしがみつくようにしての声を上げての大泣き。；しがみついている岩の下のほうでは、煙が暗い海のように渦巻いている。；意を決して飛びつくもゴールのステージにしがみつくことができず落下。；宮女たちは悲鳴を上げて瘤にしがみつくが、気になどしていられない。；ヴィク・ヨルはまだ木にしがみついて恐怖のあまりガクガク震えていた。；こういう人間にしがみつかれたことを山霊も驚いているにちがいない。；広間の中の柱にしがみついているので、外のことは見えなかったのだ。</t>
        </is>
      </c>
      <c r="J3470">
        <f>HYPERLINK("https://www.weblio.jp/content/しがみつく", "词义详情")</f>
        <v/>
      </c>
      <c r="K3470">
        <f>HYPERLINK("https://yourei.jp/しがみつく", "查看例句")</f>
        <v/>
      </c>
    </row>
    <row r="3471">
      <c r="A3471" t="inlineStr">
        <is>
          <t>しかも</t>
        </is>
      </c>
      <c r="B3471" t="inlineStr">
        <is>
          <t>成功</t>
        </is>
      </c>
      <c r="C3471" t="inlineStr">
        <is>
          <t>読み方：しかも
《副詞「しか」＋係助詞「も」から》
［接］
１前述の事柄を受けて、さらに別の事柄を加えるときに用いる。その上。「あの方は私の恩師で、—命の恩人だ」
２前述の事柄を受けて、それに反する帰結を付け加えるときに用いる。それなのに。それでも。「あれだけ練習して、—勝てなかった」
［副］そんなにまでも。
「三輪山を—隠すか雲だにも心あらなも隠さふべしや」〈万・一八〉</t>
        </is>
      </c>
      <c r="D3471" t="inlineStr">
        <is>
          <t>しかもそれ(3%)；しかもなお；しかも彼ら；しかも相手；しかもかなり</t>
        </is>
      </c>
      <c r="E3471" t="inlineStr">
        <is>
          <t>また；それに；かつ；更に；加えて</t>
        </is>
      </c>
      <c r="F3471" t="inlineStr">
        <is>
          <t>しかも超能力者；しかも真昼間；しかもなお悪いこと；しかもなほ；しかも丸腰</t>
        </is>
      </c>
      <c r="H3471" t="n">
        <v>29</v>
      </c>
      <c r="I3471" t="inlineStr">
        <is>
          <t>しかも殺された部下のうち一人は結婚を約束した恋人の弟であった。；しかも、その割合はイギリス人がインドで建設したものが多くを占めた。；しかも国際関係の緊張が高まってリン鉱石の輸入に不安材料が出てきた。；ただし、よく誤解されるが、下記は動物のしかも一部の種にだけ成立する。；しかも島にすむ生物は、ほとんどの場合最も近い大陸の生物と近縁である。；しかも漢字の音も南北朝までの古い音は、唐代とは大きく異なっていた。；しかもビスマルクは軍人たちよりも苛烈な意見を表明することが多かった。；しかもその学生は乱射に使用した銃を合法的に購入したことが判明している。；しかもピート皇帝は、さらった者を悪い魔法の実験台にしているという。；村上の仕事をいつも見ていて、しかも後々まで覚えていたのだという。；しかもほとんどは、テレビ画面などとは関係の無いアルバイトである。；しかもこの朝廷勢力は他の勢力と違って武力で取り潰すことは不可能である。；この映画は当たり、しかも本国公開から2年も経ずに外国でもヒットした。；しかもページの途中で文章が途切れているなど、校正上のミスも存在した。；あるのは唯一のローマ大賞のみで、しかも年間1名だけに与えられていた。；喫煙の場合は中枢神経系に集中的に吸収されてしかも速効性であった。；しかも、対戦した艦艇数から考えると異常ともいえる長さであった。；しかも、カビ発生の事実が公表されたのはそれから2年も後のことであった。；好太王の主要な敵は日本であり、しかも繰り返し倭軍を攻撃している。；しかもそれは、文学・芸術的な用語として生まれたのではなかった。；しかも、下の方で往復を繰り返すので、網全体は下へ伸びた形になっている。；しかも彼は長くてあと1年しか生きられないと言うことだった。；しかも原因が自分自身であることには気づいていない。；しかも、レグルスの固有運動の向きはその自転軸の向きに一致している。；しかも一部は便所付き車両を導入するなど旅客サービス水準は高かった。；ジェーンは完全な傀儡であり、しかも即位自体を認めない見解もある。；しかも、一部に広告が少し表示されることを我慢すれば、ほとんどが無料である。；しかもここに来て全国枠で初めての登場となった。；しかも前述のように、A国の方が小麦の値段はB国のそれを下回らない。</t>
        </is>
      </c>
      <c r="J3471">
        <f>HYPERLINK("https://www.weblio.jp/content/しかも", "词义详情")</f>
        <v/>
      </c>
      <c r="K3471">
        <f>HYPERLINK("https://yourei.jp/しかも", "查看例句")</f>
        <v/>
      </c>
    </row>
    <row r="3472">
      <c r="A3472" t="inlineStr">
        <is>
          <t>叱る</t>
        </is>
      </c>
      <c r="B3472" t="inlineStr">
        <is>
          <t>成功</t>
        </is>
      </c>
      <c r="C3472" t="inlineStr">
        <is>
          <t>読み方：しかる
［動ラ五（四）］目下の者の言動のよくない点などを指摘して、強くとがめる。「その本分を忘れた学生を—・る」
[可能]しかれる</t>
        </is>
      </c>
      <c r="D3472" t="inlineStr">
        <is>
          <t>叱るような声；叱るような口調；叱るようなタイミング</t>
        </is>
      </c>
      <c r="E3472" t="inlineStr">
        <is>
          <t>怒る；叱責；叱咤；咎める；絞る</t>
        </is>
      </c>
      <c r="F3472" t="inlineStr">
        <is>
          <t>強く叱る；云って叱る；ひどく叱る；そんなに叱る；きつく叱る</t>
        </is>
      </c>
      <c r="H3472" t="n">
        <v>29</v>
      </c>
      <c r="I3472" t="inlineStr">
        <is>
          <t>これは恋する男がだれからも叱言をいわれずに受けられる最大の喜びだ。；うまくできたら大いに、失敗しても叱らないことが重要であるとされる。；また、両親からは大会で負けても決して叱られることはなかったという。；私は教へてゐる子供たちを叱らうとすると自分の方が先きに泣き出します。；叱るかと思っていた父は大声で笑い、どろどろした油薬をつけてくれた。；私は、彼が目上の人に叱られている時は、きいていないふりをしていた。；要求するものは、すべて与えられ、どんなことをしても叱る者はいない。；別に叱っているわけではなく、あたりまえのことを教えている風だった。；此頃は音なしくなったので少しも叱られない、けれども毎日退屈で困る。；八百長をする選手を叱ることができなくなったと寂しそうに笑っていた。；そんなことをいい出すと、ぜいたくなことをいうなと叱られそうである。；お民さんは決してあなたに叱られたとて悔しがるような人ではありません。；しかし彼の父はもうそろそろ彼の絵を描くことにも叱言を言い出して来た。；本来の意味を理解していないと、古典学者からしばしば叱られたのである。；だから、たまにぼんやりすることがあっても叱るまいと思ったのである。；できることなら側に行って、直接お叱りの言葉をいただきたい、なんて。；お父上からこっぴどくお叱りを受けることを覚悟しておいたほうがいい。；が、そのたびに、だめだと自分を叱り、玄関へ向かいかけた足を止めた。；また、米朝によると弟子入り直後は噺の覚えが悪く、よく叱ったという。；自分の部屋が掃除してない、と言って女中を叱っている広介の声がする。；しかしそれはみんなしていけない、叱られる事のように思われるのだ。；しかし我々は、このようなことを言う仲間を大いに叱ってやる必要がある。；普通のお母さんなら、ここで叱ったり諭したりするのかもしれなかった。；でも私の叱り方はキャシーが降りて来る必要のないようなものでした。；そんな頓馬なことを言ったらあべこべにお母さんに叱られるばかりだよ。；結局は命がおしくなった卑怯者なのだと岩松は自分を叱りつづけていた。；やさしくして表に出して叱らず 「本当に困るんですの」 と人に云う。；でも降りなくてもいいのだと、お嬢さまにもわかるように、叱るのです。；誰も叱言をいわなかったが、みんな彼の顔を見ないようにしていた。</t>
        </is>
      </c>
      <c r="J3472">
        <f>HYPERLINK("https://www.weblio.jp/content/叱る", "词义详情")</f>
        <v/>
      </c>
      <c r="K3472">
        <f>HYPERLINK("https://yourei.jp/叱る", "查看例句")</f>
        <v/>
      </c>
    </row>
    <row r="3473">
      <c r="A3473" t="inlineStr">
        <is>
          <t>しかるべき</t>
        </is>
      </c>
      <c r="B3473" t="inlineStr">
        <is>
          <t>成功</t>
        </is>
      </c>
      <c r="C3473" t="inlineStr">
        <is>
          <t>読み方：しかるべき
［連語］《連語「しかるべし」の連体形》
１（連体詞的に用いて）適当な。ふさわしい。「—人に相談しなさい」
２（「…てしかるべき」の形で）当然である。当たり前だ。「君は謝罪して—だ」</t>
        </is>
      </c>
      <c r="D3473" t="inlineStr">
        <is>
          <t>しかるべき場所；しかるべき人物；しかるべき理由；しかるべき地位；しかるべき距離</t>
        </is>
      </c>
      <c r="E3473" t="inlineStr">
        <is>
          <t>正しい；適切な；適当な；適した；正当な</t>
        </is>
      </c>
      <c r="F3473" t="inlineStr">
        <is>
          <t>いずれしかるべき；気づいてしかるべき；誰かしかるべき；云ってしかるべき</t>
        </is>
      </c>
      <c r="H3473" t="n">
        <v>29</v>
      </c>
      <c r="I3473" t="inlineStr">
        <is>
          <t>彼に酒場にはいって酒を買ってよい権利を与えてしかるべきでしょうか?；しかるべき資格を持つ医師がどこの国でも開業できた時代は終わっていた。；夫の顔色が変るのを見て、私はあわててしかるべき場所に飛んでいった。；おそらくこの男はかつてはしかるべき地位の騎士かなにかであっただろう。；あいつは殺されてしかるべき人間だが、ぼくにはそれができないんだ。；ぼくは、この報告を提出して、処罰を要求してもしかるべきだと思うね。；彼がしかるべき質問をしていれば、たぶん知るべきことはわかっただろう。；両つのものは二にして一、一にして二と云ってもしかるべきものであります。；われわれのような人間はこういうことを考えていてしかるべきだよ。；殿下がお命じくださいますなら芝居の筋書をしかるべく作らせましょう。；たとえば劇場の桟敷などでしかるべき距離を置いて見るとまだ美人だった。；それらのメッセージを、山本はしかるべき人物に伝えることができない。；しかるべきところから金を払って手に入れると申し上げておきましょう。；こんな罪を犯した彼には、どんな罰が加えられてしかるべきでしょうか?；誰もがしかるべき瞬間には読まずにいる状態へと回帰せざるをえないのだ。；子供たちのチームも、しかるべき後楯があって出来たものではなかった。；父の跡は孫苗が継ぎ、その弟の孫旅や叔父らもしかるべき官職に就いた。；考えた末に、鍵蔵は娘をしかるべき人物に預けて教育することにした。；傷は息子の銃の台尻で受けたものと当然考えられてしかるべきものであった。；無難な範囲で、小隊長にしかるべき返事をしなければならなかったのだ。；寺に続くただ一本の道には、何かしらかの障害があってしかるべきだ。；到着した時点で、すでに陽が高くなっていてしかるべきだったのだ。；かれならこの報告をしかるべきときを選んで伝えてくれるだろう。；そうでなければ、すぐにでも身代金の要求があってしかるべきではないか?；わたしを連れて城を飛び出す前に、しかるべき手を打ったというわけさ。；しかるべき安全措置を施すまで、販売を中止することを決定したという。；だって、もしビルがしまっているのなら、門もしめてしかるべきだろう。；海にむかっている以上は、当然下り坂でしかるべきではあるまいか。；それもあなたから大いに感謝をされてもしかるべきだと思っていた失先にです。</t>
        </is>
      </c>
      <c r="J3473">
        <f>HYPERLINK("https://www.weblio.jp/content/しかるべき", "词义详情")</f>
        <v/>
      </c>
      <c r="K3473">
        <f>HYPERLINK("https://yourei.jp/しかるべき", "查看例句")</f>
        <v/>
      </c>
    </row>
    <row r="3474">
      <c r="A3474" t="inlineStr">
        <is>
          <t>志願</t>
        </is>
      </c>
      <c r="B3474" t="inlineStr">
        <is>
          <t>成功</t>
        </is>
      </c>
      <c r="C3474" t="inlineStr">
        <is>
          <t>読み方：しがん
［名］(スル)自分から進んで願い出ること。ある事を望み願うこと。「—して入隊する」</t>
        </is>
      </c>
      <c r="D3474" t="inlineStr">
        <is>
          <t>志願者(23%)；志願する(9%)；志願入隊；志願歩兵連隊；志願軍</t>
        </is>
      </c>
      <c r="E3474" t="inlineStr">
        <is>
          <t>思い；夢；期待；思；希望</t>
        </is>
      </c>
      <c r="F3474" t="inlineStr">
        <is>
          <t>自ら志願；自殺志願；入学志願；弟子入り志願；女優志願</t>
        </is>
      </c>
      <c r="G3474" t="inlineStr">
        <is>
          <t>志願制；志願兵制；志願制度；志願兵補充部隊</t>
        </is>
      </c>
      <c r="H3474" t="n">
        <v>29</v>
      </c>
      <c r="I3474" t="inlineStr">
        <is>
          <t>志願期を終えた後でようやく養成の正式な第一段階である修練期に入る。；天海祐希の熱烈なファンであったことが入団を志願したきっかけだった。；陸軍の第96歩兵師団が語学将校を求めていることを知るとこれに志願。；入団志願者の中でも特に技量が優れていたことから主将にも選ばれた。；そうした中で、シーズン終了後にクラブに移籍志願をしたと報じられた。；退院後の1918年春には志願していた航空隊への移籍が認められた。；彼は調査チームを率いる立場にあったが、自ら実験台に志願していた。；当たりの抽選球を手に入れた志願者が、抽選に懸けられた権利を受ける。；差も広げられ万策尽きたかに思えたその時、天が現れ代打ちを志願する。；最初の呼びかけに多くの志願者が出てきたので、その中の多くの者は故郷に戻った。；植民地での戦争が避けられそうになく思われた時、リーは植民地軍に志願した。；植民地人はフランスの港やパリで志願者を集めた、多くは若い男性であった。；それでも何かがしたかった彼は、フランス陸軍の救急車運転手に志願した。；ブラジル展開当初は48家族が志願し、12家族がブラジルへ渡航した。；ちなみに、ヒロは元々NSCに入る前におさむに弟子入り志願している。；年上の女性たちが志願することで、若い女性が助かった事例もあった。；飛行機の数は少ないので、志願できないものは正直に白紙を入れよ。；外国人志願者は、インド軍団やなどの部隊でドイツ国防軍に参加していた。；KRNは他の組織から志願者を得ようとしたが、うまくいかなかった。；彼が放浪していたころ戦争が始まり、歩兵隊に志願し、フランスへと渡る。；これが、入学志願者が増加しても入学定員を増やせない原因の一つとされる。；志願者減に歯止めをかけるため2008年度から週6日制に戻している。；高校卒業後に国への義務を果たすべく海軍に志願した。；受験生は大学募集群別でそれぞれ1つずつ計三つの大学に志願できる。；また女性志願者が少ない職種にも同様に適用される場合の難しさも指摘されている。；また、教皇領の海軍にはスイス傭兵やフランスからの志願騎士も参加した。；第一次世界大戦にアメリカが参戦すると62歳であるにもかかわらず陸軍に志願した。；そうやって募った志願者のなかから、最終的に24名の特攻隊を編成した。；なお自ら志願したものは決して採用しなかったという。</t>
        </is>
      </c>
      <c r="J3474">
        <f>HYPERLINK("https://www.weblio.jp/content/志願", "词义详情")</f>
        <v/>
      </c>
      <c r="K3474">
        <f>HYPERLINK("https://yourei.jp/志願", "查看例句")</f>
        <v/>
      </c>
    </row>
    <row r="3475">
      <c r="A3475" t="inlineStr">
        <is>
          <t>時間</t>
        </is>
      </c>
      <c r="B3475" t="inlineStr">
        <is>
          <t>成功</t>
        </is>
      </c>
      <c r="C3475" t="inlineStr">
        <is>
          <t>読み方：じかん
１ある時刻と他の時刻との間の長さ。ある長さをもつ時。「この仕事は—がかかる」「待ち合わせの時刻まで映画で—をつぶす」
２時の流れの中の、ある一点。時刻。とき。「—どおりに開会する」「出発の—に間に合う」
３時の長さを数える単位。時(じ)。「1—は60分である」
４授業や勤務など、ある一定の区切られた長さの時。「算数の—」「勤務—」
５哲学で、空間とともにあらゆる事象の最も基底的、普遍的な存在形式。また出来事が継起する形式。過去・現在・未来の三様態をもち、常に一方向に経過し、非可逆的である。近世以降の哲学的時間論では、空間とともに現象を構成する直観の先天的形式（カント）、意識の創造性を担う純粋持続（ベルクソン）、意識における広がりのある今の継起たる現象学的時間（フッサール）など特色あるものが出されている。→空間
６現象が経過していく前後関係を明示するための変数。古典力学では空間に対する独立した変数と見なされたが、相対性理論では空間とともに四次元の世界をつくるとされる。
[補説]書名別項。→時間</t>
        </is>
      </c>
      <c r="D3475" t="inlineStr">
        <is>
          <t>時間内；時間帯；時間軸；時間経過；時間稼ぎ</t>
        </is>
      </c>
      <c r="E3475" t="inlineStr">
        <is>
          <t>時；とき；間；時代；分</t>
        </is>
      </c>
      <c r="F3475" t="inlineStr">
        <is>
          <t>長い時間；何時間；制限時間；一定時間；半時間</t>
        </is>
      </c>
      <c r="G3475" t="inlineStr">
        <is>
          <t>時間的；時間切れ；時間制限；時間短縮；時間旅行</t>
        </is>
      </c>
      <c r="H3475" t="n">
        <v>29</v>
      </c>
      <c r="I3475" t="inlineStr">
        <is>
          <t>しかし、この時点で回避するにはあまりにも時間と距離が足りなかった。；また乗用車と比較しても環境負荷や移動時間の正確性などで有利である。；プログラムが大きくなると、ビルドの完了を待っている時間が長くなる。；またそれ以外の時期でも、朝か夕方のごく短い時間しか観測できない。；機関銃は配備されていたがその価値が認められるまでには時間を要した。；時刻の指示だけでなく時間の測定もできる時計にクロノグラフがある。；小型大出力、起動時間の短さ、整備性の良さ等が評価された結果である。；この関係を時間とエネルギーの不確定性関係の一種とみなす場合もある。；なお、最終節は基本的に全試合の開催日と試合開始時間を統一している。；一定時間毎にチームの全員が出走し、チームごとのゴールタイムを競う。；UFOが消えたり現れたりすることを空間移動ではなく時間移動と解釈する。；初期の人類が時間を認識する基礎は、季節の観念だったと考えられる。；ただ、ある程度は、時間の周期的な側面が神話の過去にも存在していた。；レイテンシとは、ある処理が開始してから完了するまでの時間である。；朝ラッシュ時は5編成が、そのほかの時間は4編成が運用に入っている。；時間はかかったが、返事を書かない方が負担になると考えていた。；宇宙の誕生から現在までの経過時間は様々な方法やモデルに基づいて計算されている。；しかし、この案では上映時間が3時間を超えてしまうという意見が出た。；つまり「時間」を時刻の意味で使ってしまう用法は正しい用法ではない。；代表的な実時間処理による動画生成の用途はコンピュータゲームである。；記憶にある瞬間瞬間と現在瞬間が比較される時、時間概念が誕生するわけである。；停電が発生すると温度が安定するまで数時間かかることがあった。；したがって時間階層定理の証明も対角線論法を使っていることが分かる。；時間と空間の捉え方も2人の見解が大幅に相違しており、互いに衝突していた。；富士山の表情は、見る場所・角度・季節・時間によって様々に変化する。；その年前半の僅かな時間でアルバムを作成し、ツアーのリハーサルを行った。；もっとも時間をかけて考えたのが学校そのものと、その雰囲気だ。；時間とは、出来事や変化を認識するための基礎的な概念である。；この目標のため、クヌースはかなりの時間を組版技術の調査に費やした。</t>
        </is>
      </c>
      <c r="J3475">
        <f>HYPERLINK("https://www.weblio.jp/content/時間", "词义详情")</f>
        <v/>
      </c>
      <c r="K3475">
        <f>HYPERLINK("https://yourei.jp/時間", "查看例句")</f>
        <v/>
      </c>
    </row>
    <row r="3476">
      <c r="A3476" t="inlineStr">
        <is>
          <t>時間割</t>
        </is>
      </c>
      <c r="B3476" t="inlineStr">
        <is>
          <t>成功</t>
        </is>
      </c>
      <c r="C3476" t="inlineStr">
        <is>
          <t>読み方：じかんわり
毎週の授業などの時間を割り振ること。また、それを表に組んだもの。時間表。「—を組む」
[補説]書名別項。→時間割</t>
        </is>
      </c>
      <c r="D3476" t="inlineStr">
        <is>
          <t>時間割表(4%)；時間割編成</t>
        </is>
      </c>
      <c r="E3476" t="inlineStr">
        <is>
          <t>プロ；コース；学科；スケジュール；課程</t>
        </is>
      </c>
      <c r="H3476" t="n">
        <v>29</v>
      </c>
      <c r="I3476" t="inlineStr">
        <is>
          <t>もし自由に学校の時間割を作ることができたら、たいへん楽しいだろう。；広瀬は教壇脇に貼られた時間割の前で痛いほどの視線の中に立っていた。；昨日と今日の時間割が入れ替わっていたとしても気づけないように思う。；この学院の時間割を知っている人物ならば誰もが真っ先に思う疑問だろう。；その日は時間割からいうと、Kよりも私の方が先へ帰るはずになっていました。；授業の時間割を調整するなど、サッカーの練習との両立が配慮されている。；その時間割にないものが割り込んでくるというのは、いい前兆ではない。；学校も休みになる訳でもなく、明日は通常通りの時間割になってくれるそうだ。；裏時間割表はいまこそ顔を合わせぬためのものとなった。；授業の時間割は、条件を満たす中で、生徒各々が自由に科目を選択する。；各教科ごとに専用の教室を用意し、時間割に従って学習をするシステム。；私が時間割を作ってやって勉強させていたのである。；クラスメイトが一人いなくなってしまったぐらいで学校の時間割に変動はない。；時間割は一般的に次のようなルールに基づき運用される。；ぼくは学校がきらいではないけれど、学校の時間割は自分で作ることができない。；それは役所の日課の時間割によって、忠実になされているのであるから。；本番までの1か月くらいは毎日練習があり、特別時間割となっている。；おれは慌てて立ち上がり、時間割を確認して二年生の教室に向かった。；曜日固定方式は一般に広く知られている時間割の方式である。；私は開業当時から、誰もするように仕事の時間割をきめていた。；その次に時間割を等分するために、これも手製の一つの漏刻を備えました。；「ありがとよ」ロンが時間割をポケットに入れながら憂鬱そうに言った。；慎重にたてた時間割はうまくいっているようだった。；私たちは複雑な室内装置や、毎日の時間割の計画を立てた。；机に両肘をついて顎を載せ、机の正面に貼られた時間割をぼんやりと眺める。；大人の世界には、子供のとはまったく違う時間割が存在しているんだ、なんて思ったりする。；何となれば、木曜は一コマ目から体育という、許されざる時間割なのだ。；その日もKは私より後れて帰る時間割だったのですから、私はどうした訳かと思いました。；時間割は全日制の高校とほとんど同じで、3年間で卒業することが可能である。</t>
        </is>
      </c>
      <c r="J3476">
        <f>HYPERLINK("https://www.weblio.jp/content/時間割", "词义详情")</f>
        <v/>
      </c>
      <c r="K3476">
        <f>HYPERLINK("https://yourei.jp/時間割", "查看例句")</f>
        <v/>
      </c>
    </row>
    <row r="3477">
      <c r="A3477" t="inlineStr">
        <is>
          <t>式</t>
        </is>
      </c>
      <c r="B3477" t="inlineStr">
        <is>
          <t>成功</t>
        </is>
      </c>
      <c r="C3477" t="inlineStr">
        <is>
          <t>読み方：しき
［音］シキ（呉）ショク（漢）
［学習漢字］3年
１一定のやり方。作法。きまり。「格式・旧式・形式・書式・正式・定式・複式・方式・洋式・様式・略式」
２型をふんだ行事。「式典／儀式・挙式・葬式・上棟式・卒業式」
３記号・数字を連ねて事物の関係などを表したもの。「数式・等式・化学式」
４律令の施行に関する細目。「格式(きゃくしき)・延喜式」
５ひとそろい。「一式」
［名のり］つね・のり・もち</t>
        </is>
      </c>
      <c r="D3477" t="inlineStr">
        <is>
          <t>式土器；式図；式台車；式パンタグラフ；式自動</t>
        </is>
      </c>
      <c r="E3477" t="inlineStr">
        <is>
          <t>会；公式；祭；儀式；祭り</t>
        </is>
      </c>
      <c r="F3477" t="inlineStr">
        <is>
          <t>固定式；回転式；島式；led式；可動式</t>
        </is>
      </c>
      <c r="G3477" t="inlineStr">
        <is>
          <t>式部；式内社；式場；式台；式神</t>
        </is>
      </c>
      <c r="H3477" t="n">
        <v>29</v>
      </c>
      <c r="I3477" t="inlineStr">
        <is>
          <t>歴史的に跨座式より古く、商業的に成功したのも懸垂式の方が先である。；この式からさらに 0 でない数 が を満たすとき ならば となる。；彼はさらに行列式と積の関係についても後少しのところまでいっている。；式には、結婚したばかりの作家であり友人の大江と妹ゆかりも参列した。；is式の構文が拡張され、型の後ろに変数名を宣言できるようになった。；パイプラインだけでは同期式CPUの問題を全て解決することはできない。；研究結果として懸垂式と一緒にまとめられたものが、日本跨座式である。；逆T字方式は、中央案内軌条式の新交通システムと類似した構造を持つ。；プランクの理論式は、高振動数の領域ではヴィーンの理論式に移行する。；使用方法は、アナログ式とほぼ同じであるので、その節を参照されたい。；しかし15世紀半ばにはシア・ロック式とスナッピング式が発明された。；日本では、後楽園球場に初の本格的な電光式スコアボードが導入された。；静的型付けでは、全ての式の型はそのプログラムを実行する前に決定される。；しかし、彼の評価式は価格が負になることもありうるために非現実的であった。；以後に跨座式を採用して開業した路線はすべてこの方式である。；移動式電話は、かつての自動車電話やその後に登場した携帯電話などである。；従って、重ね合わせを計算する問題は、式を求める問題に帰着される。；上記のコードは値と式を制御するために名前呼びを用いている。；この点がGisクローズ式が広く世界に普及した大きな理由である。；自然通風式ではベンチレーターを屋根の上などに設置して通風を行う。；次節で述べるスカイレールも車体の支持・案内方式はIビーム式である。；成績による場所ごとの収入の計算式を示すと次のようになる。；ここで上式の各項について となることから、上式から を得る。；文字・マーク式のものもあるが、近年は液晶ディスプレイ方式が増加している。；日本語では古典式またはドイツの音をカタカナ表記するのが慣習となっている。；理想気体のエネルギーの表式にも2ないし3種のバリエーションがある。；これは、ローテーション式が多い歌劇場管弦楽団の伝統も影響している。；各種複信方式を利用して、送受信を同時に行えるようになっているもの。；ただし、過去に懸垂式にも跨座式にも分類できないものも存在した。</t>
        </is>
      </c>
      <c r="J3477">
        <f>HYPERLINK("https://www.weblio.jp/content/式", "词义详情")</f>
        <v/>
      </c>
      <c r="K3477">
        <f>HYPERLINK("https://yourei.jp/式", "查看例句")</f>
        <v/>
      </c>
    </row>
    <row r="3478">
      <c r="A3478" t="inlineStr">
        <is>
          <t>四季</t>
        </is>
      </c>
      <c r="B3478" t="inlineStr">
        <is>
          <t>成功</t>
        </is>
      </c>
      <c r="C3478" t="inlineStr">
        <is>
          <t>読み方：しき
１春・夏・秋・冬の四つの季節。四時。「—折々の花」
２各季節の末の月。すなわち、陰暦で、3月・6月・9月・12月。季春・季夏・季秋・季冬の称。
[補説]気象庁の天気予報等では、3月〜5月を春、6月〜8月を夏、9月〜11月を秋、12月〜2月を冬としている。作品名別項。→四季</t>
        </is>
      </c>
      <c r="D3478" t="inlineStr">
        <is>
          <t>四季折々(9%)；四季それぞれ；四季堂；四季ごと；四季崎</t>
        </is>
      </c>
      <c r="E3478" t="inlineStr">
        <is>
          <t>シーズン；季節；四時；時節；春夏秋冬</t>
        </is>
      </c>
      <c r="F3478" t="inlineStr">
        <is>
          <t>四方四季；四季美人図；俳句四季；四季退団後；四季耕作図</t>
        </is>
      </c>
      <c r="G3478" t="inlineStr">
        <is>
          <t>四季の歌；四季彩；四季咲き；四季島；四季賞</t>
        </is>
      </c>
      <c r="H3478" t="n">
        <v>29</v>
      </c>
      <c r="I3478" t="inlineStr">
        <is>
          <t>四季は、この事業を推進するためにこの計画についての協力を要請した。；ゲームの世界での時間は現実の時間と同じで月日や四季も再現されている。；暮らしの中で植物と呼吸し自然と四季を感じる生活を提案する会社。；四季は部屋から出ることが無かったことから生まれた子供には名付けなかった。；園内には約3500本の桜をはじめ、様々な四季の花が植えられている。；建物の南側には有三記念公園があり、四季折々の緑と花を見る事ができる。；エスファハーンの街でははっきりとした四季を感じることができる。；季節の概念を四季に分けて追加導入することができるデータセット。；土はどこへ来るかというと、四季それぞれの最後の約18日である。；部の引退試合を控えていた彼の前に女子日本代表・若宮四季が突然現れる。；人間界にある「四季」は、現在どの精霊界に世界があるかで決定される。；四季の区分のある土地では最も気温の高い、3か月程度の期間である。；日本は中緯度地方にあるため、春・夏・秋・冬の四季の違いがはっきりと現れる。；この時期にヴィヴァルディの四季を含む録音でソリストを務めている。；小学校低学年の頃にキャッツを観劇したことをきっかけに四季を意識した。；ゲームの中では現実世界と同じ時間が流れており、昼夜や四季の変化もある。；フランスのテレビ映画複数の四季の恐怖を描く作品の一つである。；四季と会話を交わした後、四季はその場に現れた男たちに連行された。；夏の体育の授業時には、プール授業などがあり、四季折々合わせた授業。；それからお盆の終わり頃の日曜日に犀川は大学の図書館で四季に出会う。；少女たちがたどり着いた先にいた閻魔の四季映姫は、次のように説明する。；四季の森の北西の洞窟を抜けたところにあるマタンゴ族の王国。；四季時代に自身が務めた役の持ち歌をはじめ、15曲を披露した。；四季の旬の食材を使った料理の数々も、重要な見どころとなっている。；主人公・佐藤大輔は入学試験に合格し、晴れて四季坂学園の学生となる。；現在副業禁止の劇団四季に所属しているため声優活動を休止している。；智は東京から遠く離れた田舎町・四季ヶ紫町に写生旅行のために訪れる。；ザグレブは四季がはっきりしており、夏は暑く冬は寒くなり乾季は無い。；宮床湿原やスキー場など四季折々に多くの人が訪れる自然豊かな森である。</t>
        </is>
      </c>
      <c r="J3478">
        <f>HYPERLINK("https://www.weblio.jp/content/四季", "词义详情")</f>
        <v/>
      </c>
      <c r="K3478">
        <f>HYPERLINK("https://yourei.jp/四季", "查看例句")</f>
        <v/>
      </c>
    </row>
    <row r="3479">
      <c r="A3479" t="inlineStr">
        <is>
          <t>指揮</t>
        </is>
      </c>
      <c r="B3479" t="inlineStr">
        <is>
          <t>成功</t>
        </is>
      </c>
      <c r="C3479" t="inlineStr">
        <is>
          <t>読み方：しき
［名］(スル)
１全体がまとまりをもって動くよう、人の上に立って指図をすること。「大会運営の—を執る」
２合奏や合唱などの演奏を統率すること。「コーラスを—する」</t>
        </is>
      </c>
      <c r="D3479" t="inlineStr">
        <is>
          <t>指揮下(12%)；指揮する(10%)；指揮官(6%)；指揮者(5%)；指揮所</t>
        </is>
      </c>
      <c r="E3479" t="inlineStr">
        <is>
          <t>行う；運営；命令；経営；指導</t>
        </is>
      </c>
      <c r="F3479" t="inlineStr">
        <is>
          <t>首席指揮；作戦指揮；部隊指揮；射撃指揮；直接指揮</t>
        </is>
      </c>
      <c r="G3479" t="inlineStr">
        <is>
          <t>指揮者；指揮権；指揮系統；指揮法；指揮車</t>
        </is>
      </c>
      <c r="H3479" t="n">
        <v>29</v>
      </c>
      <c r="I3479" t="inlineStr">
        <is>
          <t>数年の後、彼はイングランド軍の一部の指揮を実際に執るようになった。；結局、このオペラは作曲家であるスメタナ自身の指揮の下で上演された。；一般的には、指揮の練習や楽曲の予習にはピアノなどの鍵盤楽器を使う。；クエーカー指揮の決定は、近年世俗社会で用いられるようになって来た。；こうした状況では、優れた指揮能力を持つ者を執政官に選ぶ必要があった。；戦前、検察官は捜査を主宰するとされ、強い指揮権限が認められていた。；他の者が指揮した戦いで敗れたのち、彼は秦王政の要請に応じて出陣した。；午前6時頃には全指揮官から任務は指示された通り実行されたとの報告を受けた。；なおシュトラウスは1926年に自身の指揮でこの曲を録音している。；そして14年前と同じシルビオ・マルソリーニ監督がチームを指揮した。；オーケストラの指揮もしなければ、公に楽器を演奏することもないのである。；また、歴史上において最も成功した軍事指揮官であると広く考えられている。；だがこのことを選手にも伝えず、帰国もしないで指揮を執り続けた。；監督代行の田辺が翌年から正式に監督として指揮を執ることを発表した。；翌28日には2014年も柳下が引き続き指揮を執ることが発表された。；安全な後方から指揮を受けるなど考えたくもなかったと思われる。；素六もその騒動の中で指揮に当たっていたが、江戸に戻るよう命令が下った。；当時の絵画には、紙や小さな棒、または素手で指揮をする姿が描かれている。；欧州出身者には珍しく歌劇の指揮にはほとんど興味を示さなかった。；同時期に活躍した聖歌指揮者としてディミトリィ・リオフスキィがいる。；奏者の一人が必要に応じて指揮をするこの手軽なやり方は現代でも行われる。；地方派の軍は改編ないしは解体され、中央軍の指揮下に統合されていった。；その宮廷の中で曲を作り、演奏または指揮をこなし活動していた。；彼は作曲の他に指揮や講義を持つなどの活動も行っていた。；カラヤン死後、ヴァイツゼッカー大統領の要請で最晩年に指揮をしている。；戦前の日本においては、ストコフスキーは人気指揮者の一人であった。；この合流した機動部隊の指揮はフレッチャー少将がとることになった。；作戦が策定された後、上級指揮官からまず各級指揮官に作戦内容が伝えられる。；山田の指揮スタイルはかなり個性的であり、晩年になっても変わらなかった。</t>
        </is>
      </c>
      <c r="J3479">
        <f>HYPERLINK("https://www.weblio.jp/content/指揮", "词义详情")</f>
        <v/>
      </c>
      <c r="K3479">
        <f>HYPERLINK("https://yourei.jp/指揮", "查看例句")</f>
        <v/>
      </c>
    </row>
    <row r="3480">
      <c r="A3480" t="inlineStr">
        <is>
          <t>磁気</t>
        </is>
      </c>
      <c r="B3480" t="inlineStr">
        <is>
          <t>成功</t>
        </is>
      </c>
      <c r="C3480" t="inlineStr">
        <is>
          <t>読み方：じき
磁力の根源と考えられるもの。一般には磁石どうし、または磁石と電流との相互作用に関する現象。また、磁極に蓄えられている物理量。</t>
        </is>
      </c>
      <c r="D3480" t="inlineStr">
        <is>
          <t>磁気式(7%)；磁気的(6%)；磁気浮上式鉄道(5%)；磁気ヘッド(4%)；磁気券(3%)</t>
        </is>
      </c>
      <c r="F3480" t="inlineStr">
        <is>
          <t>磁気定期券；磁気信管；磁気学；非磁気；残留磁気</t>
        </is>
      </c>
      <c r="G3480" t="inlineStr">
        <is>
          <t>磁気圏；磁気モーメント；磁気カード；磁気共鳴；磁気嵐</t>
        </is>
      </c>
      <c r="H3480" t="n">
        <v>29</v>
      </c>
      <c r="I3480" t="inlineStr">
        <is>
          <t>惑星間空間の幅広い磁気現象や粒子や場を測定できるように設計された。；当初は太陽の磁気が地球に与える影響を研究するために設定された。；様々な物質で以下のようないくつかの形態の磁気的な振る舞いが見られる。；他にフェリ磁性体などのような磁気構造を持つ場合に副格子が存在する。；主に電気・磁気を利用した治療器具・健康器具の製造販売を専業とする。；尚、血中のヘモグロビンに含まれる鉄分は磁気に反応しない性質を持つ。；しかしながら現在のポラリスは以前と変わらぬ磁気操作能力を有している。；電気的な量と磁気的な量の次元を一致させる対称な量体系では とする。；ブリッグスは地球の磁気の方向が一定でないことを発見したことで知られる。；紙幣を光源の反対側に置くと、中央部分の黒く磁気を帯びた筋が見える。；いくつかの磁区は消磁をしたあとでも磁気の配列がランダム化されない。；磁気メディアの消磁を行うために磁場を発生させる装置が消磁器である。；アラゴはまた、長い間予想されていたオーロラと磁気の関係を証明した。；これはGMR効果に基づいて磁気ビットにデータを格納する方式である。；また磁気反応技術を利用して製品とシステムを開発している。；磁気治療は、シベリアの土着宗教の知恵を借りたものだと主張している。；いずれにしてもこれらの物質は磁気を帯びているので地球の磁極を指し示す。；初期の磁気記録装置はアナログの音声信号を記録するよう設計されていた。；再生は録音の逆で、再生ヘッドで磁気を電気信号に変換することで行う。；それと同時に、特殊磁気の副作用によって二人の精神に刺激を受けた。；表面に磁気トラックが並んでいて、トラック毎に読み書き用ヘッドがある。；バスでは運賃箱の磁気カードリーダーに直接挿入して支払可能であった。；それと同時に、非磁気化券を投入することによる使用障害も頻発していた。；ロバート・ベッカーは神経周辺の組織が磁気の影響を受けやすいことを示した。；スミスは発明の天才であり、最初に磁気記録装置を発明したとされている。；これに伴い、旧システムで対応していた磁気式バスカードは使用できなくなった。；つまり酸化鉄などの鉄の化合物が磁気を帯びて集まり形成されたものである。；道路上の磁気マーカーや白線を読み取って車両を自動誘導するシステム。；氷の上でフットボールが行われ、定期的に磁気と気象の観測が続けられた。</t>
        </is>
      </c>
      <c r="J3480">
        <f>HYPERLINK("https://www.weblio.jp/content/磁気", "词义详情")</f>
        <v/>
      </c>
      <c r="K3480">
        <f>HYPERLINK("https://yourei.jp/磁気", "查看例句")</f>
        <v/>
      </c>
    </row>
    <row r="3481">
      <c r="A3481" t="inlineStr">
        <is>
          <t>時期</t>
        </is>
      </c>
      <c r="B3481" t="inlineStr">
        <is>
          <t>成功</t>
        </is>
      </c>
      <c r="C3481" t="inlineStr">
        <is>
          <t>読み方：じき
１ある幅をもった時。期間。「入学の—」「—が重なる」
２その時。そのおり。「—が来ればわかる」</t>
        </is>
      </c>
      <c r="D3481" t="inlineStr">
        <is>
          <t>時期尚早；時期に書か；時期不明；時期に建てられ；時期はずれ</t>
        </is>
      </c>
      <c r="E3481" t="inlineStr">
        <is>
          <t>時；とき；頃；時代；時間</t>
        </is>
      </c>
      <c r="F3481" t="inlineStr">
        <is>
          <t>早い時期；同じ時期；開催時期；築造時期；成立時期</t>
        </is>
      </c>
      <c r="H3481" t="n">
        <v>29</v>
      </c>
      <c r="I3481" t="inlineStr">
        <is>
          <t>ここでの時代区分はできる限り早い時期から始まるよう定義されている。；撤去直前の時期には駅舎内がアトリエとして利用されていたこともある。；スラヴ人たちは、それぞれ異なる時期に段階的にこの地域に入ってきた。；これはほとんどの場合は、水がある時期に外から侵入してくるためである。；またそれ以外の時期でも、朝か夕方のごく短い時間しか観測できない。；また、セキュリティホールの多さと対応の遅さもこの時期に表面化した。；この時期に、かつて両親が住んでいたモンパルナスの一角も訪ねている。；は現役期間とタイトル戦の終了・創設時期の関係で獲得機会のなかったもの。；時期的には『スター・ウォーズ』のほうが制作開始・公開いずれも早い。；また地域貢献の一環として、小学校での訪問授業をこの時期開始した。；同時期に古代教会内でも正典化の議論が本格化したと推定される。；インドや中近東でも比較的早い時期から鉄道の建設が始まっている。；同時期にクラブの選手が各国代表に選出されるようになった。；このときも賛否両論を招きながらも世論の中では時期尚早の感があった。；この時期にショパンがピアノ以外の楽器を演奏したという証拠がある。；水島新司とは、ほとんど同じ時期にデビューした同期みたいな存在だった。；この時期、ガオの東に位置するタケッダは銅生産の中心地となっていた。；江戸時代には家元四家を中心としたプロ組織もでき、興隆の時期を迎えた。；最も多忙な時期で月刊誌・週刊誌あわせて5本の連載作品を持っていた。；イタリア系と中国系の人々もこの時期に鉄道建設のためにやってきた。；この時期にはゼウスも他の女に目もくれずにヘーラーと愛し合うという。；同じ時期に九州の浄土宗の僧・一向俊聖も一遍とは別に踊念仏を行った。；翌年以降は更に伸びており、この時期大量のソフトが市場に流れ込んでいた。；この時期、カロリンスカ研究所など多くの研究機関・大学が創設された。；しかし、ケーブルテレビが発達して間もない時期は、局数が少なかった。；一部の駅の出札窓口でも専用の処理機を使う事で利用することができた時期もある。；その影響もあるのであろうか、この時期日本人の訪問者が増加した。；日本統治下の私鉄路線は、韓国ではアメリカ占領時期に国有化された。；そうでない作品でも、同時期の他の少年漫画に比べて人間ドラマ性が強い。</t>
        </is>
      </c>
      <c r="J3481">
        <f>HYPERLINK("https://www.weblio.jp/content/時期", "词义详情")</f>
        <v/>
      </c>
      <c r="K3481">
        <f>HYPERLINK("https://yourei.jp/時期", "查看例句")</f>
        <v/>
      </c>
    </row>
    <row r="3482">
      <c r="A3482" t="inlineStr">
        <is>
          <t>敷金</t>
        </is>
      </c>
      <c r="B3482" t="inlineStr">
        <is>
          <t>成功</t>
        </is>
      </c>
      <c r="C3482" t="inlineStr">
        <is>
          <t>読み方：しきがね
「敷金(しききん)」に同じ。
「—にして物を売るとも」〈浮・永代蔵・五〉
「入聟(むこ)の—にて此の家を継がすべき事をたくみ」〈浮・懐硯・五〉</t>
        </is>
      </c>
      <c r="D3482" t="inlineStr">
        <is>
          <t>敷金礼金(5%)；敷金なし(4%)</t>
        </is>
      </c>
      <c r="E3482" t="inlineStr">
        <is>
          <t>預金；入金；預託；デポジット；保証金</t>
        </is>
      </c>
      <c r="H3482" t="n">
        <v>29</v>
      </c>
      <c r="I3482" t="inlineStr">
        <is>
          <t>四谷三丁目のアパートの敷金は、彼が大部分を出してやっていたのである。；使用後、自習室内の設備に何の問題もない場合は敷金は全額返金される。；その人々はその敷金を消費することがはたしてどの程度に正しいか知っているか。；一軒だけとなると礼金や敷金で家を買うほどの金が必要だった。；この方は、借地だが、建物は買取りで、新宿の店の敷金以下の値だった。；ただし、新たな契約となるので、敷金礼金はそのぶん払ってもらう、と。；前から店子になっていた四人の中には、最高で一千万円の敷金を前所有者に出していた者もいたね。；礼金、敷金をしっかり取られ、さらに二重三重の保証を求められる。；人の良い差配は私たちの弁舌にごま化されて敷金を負けてくれた。；十、十一、十二の三月となれば、二つ分の敷金ではもう追ひつくことではない。；たとえば君等は大屋に渡した敷金なるものは如何なる性質のものか知っているか。；原則として返還されるべき敷金や保証金、建築協力金などとは異なる。；たとえば、男と別れるために、アパートの敷金を貸してやったりするわけだ。；部屋の造りが特殊なせいもあって、礼金も敷金もなしで5000円で借りられた。；自由競争者と荷主が抵抗したので、1877年に敷金のような制度をつくった。；礼金も敷金もいらないと言われても、その家賃では百万持って出て行けというのも同じだった。；ひょっとすると敷金のつもりなのではあるまいか。；敷金を全額返すということで家を明け渡してくれたのは、三月末であった。；敷金とか礼金とか引っ越しの費用もないから、しばらくはここを使わせてもらうんだけど。；その金でアパートの一月分の敷金と前家賃を払ったのである。；この定義から敷金と違う性質のものであっても明確に契約書に定めないかぎり敷金とみなされる。；家賃月一万円、敷金なしの部屋が、この建物内にあるのだ。；家賃のほかに敷金や礼金まで安かったが、不思議に思ったりすることはなかった。；家だというから普通の一軒家だと思っていたら、車がとまったのは最近増えてきた敷金とかがないタイプの洒落たアパートだった。；規定の敷金や前家賃を支払いましたので、入居してもらいました。；しかしそれにしても敷金なし、とはどういうことだろう。；三つの敷金を二つにしてくれた。；この場合、その敷金や権利金は、彼女の貯金ではなく、男から出ているとみて差支えない。；敷金や家具を買う金が貯まったら、安いアパートにでも引っ越すつもりだ。</t>
        </is>
      </c>
      <c r="J3482">
        <f>HYPERLINK("https://www.weblio.jp/content/敷金", "词义详情")</f>
        <v/>
      </c>
      <c r="K3482">
        <f>HYPERLINK("https://yourei.jp/敷金", "查看例句")</f>
        <v/>
      </c>
    </row>
    <row r="3483">
      <c r="A3483" t="inlineStr">
        <is>
          <t>色彩</t>
        </is>
      </c>
      <c r="B3483" t="inlineStr">
        <is>
          <t>成功</t>
        </is>
      </c>
      <c r="C3483" t="inlineStr">
        <is>
          <t>第一期気候変動観測衛星GCOM-C1の愛称。可視光から赤外線までを捉えるセンサーを搭載し、宇宙から大気や地表の色と温度を観測する。平成29年（2017）12月に打ち上げられた。</t>
        </is>
      </c>
      <c r="D3483" t="inlineStr">
        <is>
          <t>色彩豊か(2%)；色彩感；色彩表現；色彩変異；色彩映画</t>
        </is>
      </c>
      <c r="E3483" t="inlineStr">
        <is>
          <t>色；外観；カラー；趣；風情</t>
        </is>
      </c>
      <c r="F3483" t="inlineStr">
        <is>
          <t>美しい色彩；派手な色彩；明るい色彩；豊かな色彩；華やかな色彩</t>
        </is>
      </c>
      <c r="G3483" t="inlineStr">
        <is>
          <t>色彩設計；色彩検定；色彩論；色彩設定；色彩心理学</t>
        </is>
      </c>
      <c r="H3483" t="n">
        <v>29</v>
      </c>
      <c r="I3483" t="inlineStr">
        <is>
          <t>食事を目的とした料理というよりは遊び、イベントとしての色彩が濃い。；上記と近い意味もあるが、より、現地報告的な色彩が強い作品を意味する。；そのため色彩学では面色と表面色という色の見え方の違いが重要とされている。；物語の中でも色彩は重要であり、章ごとにテーマカラーが違っていた。；頭部の色彩は褐色や暗褐色・黒で、左右に3本ずつ黄色の筋模様が入る。；四肢や尾の色彩は緑褐色や灰褐色だが、黒に近い灰色になる個体もいる。；アメリカでは1946年には色彩などとともに音の商標権が認められた。；和名のアオは緑も含めた古い意味での青の意でオスの色彩に由来する。；腹甲の色彩は黒や暗褐色、喉甲板と肩甲板を除いた外縁は黄色や淡黄色。；色を説明する場合に、様々な色彩理論を集合的に概説する場合がある。；豊富な色彩を用いたこの自画像は、心理学的にさまざまな情報を提示する。；フェルメール作品の色彩や構図を映像で再現しているところが特徴的である。；これは従来のエアロビクスダンスに比べてダンスの色彩がより濃いものである。；腹面の色彩は赤色や橙色・黄色で、不規則に黒い斑紋が入る個体もいる。；画家たちは写真にはない絵の具の特性、例えば色彩をフルに活用した。；夏羽の色彩は、頭が暗紅褐色で黒い軸斑があり、胸と腹は暗褐色である。；シリーズが進むにつれてご当地映画の色彩を強めるようになっていった。；もしもこの世界に光だけしかなかったら、色彩は成立しないという。；文字どおり錦の糸のように明るい色彩を持つことからこの名がある。；自然区分上の地方は色彩豊かで対照的な7つの地方に分けられる。；色彩は文字やマークに比べて容易に記憶に残るため企業のイメージ戦略の柱となっている。；色彩に頼らずに表現するため、題材をシンプルに伝えることができる。；古い世界の技術に現代の色彩と構成法を組み合わせた。；雌雄で色彩に違いがある性的二形がはっきりしたものも少なくない。；これはこの組み合わせが色彩的に魅力的である共に、同時に開花するためである。；黒と赤の2色しか使用されていないが、混色が生じており3色の色彩を持つ。；当初は経済史的色彩の濃いものであったが、次第に独自の学問領域を構築していった。；オリヴィエ・メシアンは旋法と色彩を対応させた独自の和声法を展開した。；色彩や光彩を表現する言葉が多く使われ、星・雲・空などの広大な自然を表す言葉も多い。</t>
        </is>
      </c>
      <c r="J3483">
        <f>HYPERLINK("https://www.weblio.jp/content/色彩", "词义详情")</f>
        <v/>
      </c>
      <c r="K3483">
        <f>HYPERLINK("https://yourei.jp/色彩", "查看例句")</f>
        <v/>
      </c>
    </row>
    <row r="3484">
      <c r="A3484" t="inlineStr">
        <is>
          <t>式場</t>
        </is>
      </c>
      <c r="B3484" t="inlineStr">
        <is>
          <t>成功</t>
        </is>
      </c>
      <c r="C3484" t="inlineStr">
        <is>
          <t>読み方：しきじょう
儀式を行う場所。</t>
        </is>
      </c>
      <c r="D3484" t="inlineStr">
        <is>
          <t>式場壮吉(2%)；式場内；式場勘右衛門；式場君；式場用</t>
        </is>
      </c>
      <c r="F3484" t="inlineStr">
        <is>
          <t>葬儀式場；切腹式場</t>
        </is>
      </c>
      <c r="G3484" t="inlineStr">
        <is>
          <t>式場病院；式場俊三</t>
        </is>
      </c>
      <c r="H3484" t="n">
        <v>29</v>
      </c>
      <c r="I3484" t="inlineStr">
        <is>
          <t>式場の平土間は学友全員の両親でいっぱいに埋められているというのに。；式場には多くの人が出席して、世話をしたり力をつけたことは無論である。；式場にいれてもらえなかったけど、典子さんの姿は遠くから見ましたよ。；さらに、早稲田大学で初めて実施された秋入学式の式場にも利用された。；寝殿の離れ座敷を式場にして、螺鈿の椅子を院の御ために設けてあった。；其の中で一番式場君の本分がよく現れているのは、此の一書であると思う。；同映画は、式場へ向かう葬列を35mmフィルムで撮影したものである。；あまりにも偶然に、式場の外に車を止めて、あの小田垣が降り立つのを。；式場内の参列者の誰にもはっきり見える四つの大きなスクリーンである。；やっと話せると思えたとき、式場に入ってゆく僧侶の姿が目に入った。；でも、あの式場の建物には入れても、披露宴会場にまでは入れないでしょ?；彼は、式場で会った土地の男に娘の父親のことを聞いてみた。；式場の周囲や沿道には、百万を超えるロンドン市民がつめかけていた。；式場君の書く多くのものの中で、近頃一番心をそそられたものの一つである。；「公主はもうお準備ができました」 侍女は陳を案内して式場へ往った。；式場や司会者との打ち合わせやら、引っ越しの準備やらで大変なんです。；そこはそれ、一応式場の職員という立場をうまく利用するのである。；どこかで見たと思ったのだが、この式場の番号に似ている。；式場君は精神病学が専攻であり、一方いつも美の世界に心を惹かれている。；式場は大騒ぎとなり、三人は逃げようとしたが梅吉だけ捕まってしまう。；式場に整然と腰かけている娘さんたちのつけさげの着物が、いかにも見事だ。；偶然、その日しか式場があいていなかっただけのことである。；式場は、警備隊本部ビルから少し離れた、集会所のひとつであった。；式場は、もう春もたけなわだというのに、白茶の絹頭巾をかぶっていた。；何でも、披露宴の途中でトイレに行く振りをして式場を抜け出してきたらしい。；青年は花嫁が式場に戻って来るのを見て、急に態度を変えた。；式場の予約もそうだが、一番大事なことは、どこに住むかということだった。；式場によれば次のような数々の奇妙な特色を持っている。；これは、式場の主人である飯田平八郎の出生の秘密が判明したからであった。</t>
        </is>
      </c>
      <c r="J3484">
        <f>HYPERLINK("https://www.weblio.jp/content/式場", "词义详情")</f>
        <v/>
      </c>
      <c r="K3484">
        <f>HYPERLINK("https://yourei.jp/式場", "查看例句")</f>
        <v/>
      </c>
    </row>
    <row r="3485">
      <c r="A3485" t="inlineStr">
        <is>
          <t>直訴</t>
        </is>
      </c>
      <c r="B3485" t="inlineStr">
        <is>
          <t>成功</t>
        </is>
      </c>
      <c r="C3485" t="inlineStr">
        <is>
          <t>読み方：じきそ
［名］(スル)
１一定の手続きを経ないで、直接に君主・将軍・天皇などに訴え出ること。直願。越訴(おっそ)。「領主に窮状を—する」
２（比喩的に）直属の上役ではなく、その上の立場の人に直接訴え出ること。「社長に—する」</t>
        </is>
      </c>
      <c r="D3485" t="inlineStr">
        <is>
          <t>直訴する(14%)；直訴状(5%)；直訴しよ</t>
        </is>
      </c>
      <c r="E3485" t="inlineStr">
        <is>
          <t>訴え；訴訟；デモ；告訴；陳情</t>
        </is>
      </c>
      <c r="H3485" t="n">
        <v>29</v>
      </c>
      <c r="I3485" t="inlineStr">
        <is>
          <t>国王に会う代表が直接パンチャーヤト制の廃止を直訴することになった。；しかし陳炯明から十分な資金を与えられず、孫文に直訴したこともある。；それがあいにくいつもじきその人たちと別れなければならないようになる。；しかし、右近太夫は罪に問われることを覚悟のうえで、幕府に直訴した。；その内容は前夜の内田一等卒ら五名の直訴の内容とほぼおなじであった。；二時ごろには、田中の捧げようとした直訴状の内容が手にはいった。；それは百姓一揆の農民がご領主様に対して直訴するような行動だった。；翁が始めて直訴を行つた時、世間はこの事件の成行を懸念して重大視した。；木内宗吾は、ついに、死の覚悟をして、将軍家に直訴に及ぶことにした。；直訴状は、幸徳秋水が書いたものに田中が加筆修正したと伝えられる。；このとき、出演はルーカス本人に直訴してやっとの事で役をもらった経緯がある。；江戸時代前期には、直訴や逃散など武力を用いない一揆が主に行われた。；何とかして連れていって欲しいと直訴までしたが、主の前田利家は許さなかった。；お上に直訴するような、大それたことを今なしつつあると思った。；また、交渉の席では将来的なMLB挑戦を球団に初めて直訴した。；直訴に来た後家さんに手を出したり、お湯殿で直接行動に出たりした。；この原則を回避して直接、将軍や幕閣に訴える行為を直訴と呼んだ。；年はキャンプ中に監督に直訴し、1番打者で起用されることになった。；じきその相手が、九等官と九等官夫人という幸福な夫妻であることがわかったのです。；直訴はすべて原告が死罪と確定しているものと広く認識されているがこれは誤解である。；乳母となって、もっとも知られるのは例の家康への直訴である。；直訴はある程度作法化されており、例えば駕籠訴では以下のようになっていた。；だがこのたびは、ペリーに直訴して、その軍艦に乗りこむつもりだった。；相模原団地の抱える問題を直訴するには、これしか方法がなかったんだよ。；それは御領主様に直訴する農民のようにみえた。；老中への直訴が行われたことを聞きつけた藩主の金森頼錦は狼狽した。；二人はそこで相談したが周の無実の罪を明らかにするには天子に直訴するより他に道がなかった。；第一連隊の集団脱営事件は脱営の目的が大隊長への直訴であって逃亡ではない。；第一は脱営して大隊長に直訴することを提案したものの氏名である。</t>
        </is>
      </c>
      <c r="J3485">
        <f>HYPERLINK("https://www.weblio.jp/content/直訴", "词义详情")</f>
        <v/>
      </c>
      <c r="K3485">
        <f>HYPERLINK("https://yourei.jp/直訴", "查看例句")</f>
        <v/>
      </c>
    </row>
    <row r="3486">
      <c r="A3486" t="inlineStr">
        <is>
          <t>しきたり</t>
        </is>
      </c>
      <c r="B3486" t="inlineStr">
        <is>
          <t>成功</t>
        </is>
      </c>
      <c r="C3486" t="inlineStr">
        <is>
          <t>読み方：しきたり
《動詞「しき（仕来）たる」の連用形から》昔からの習慣。ならわし。慣例。「—を守る」「—に縛られる」</t>
        </is>
      </c>
      <c r="D3486" t="inlineStr">
        <is>
          <t>しきたりどおり(2%)；しきたり通り；しきたりみたい</t>
        </is>
      </c>
      <c r="E3486" t="inlineStr">
        <is>
          <t>風；性；伝統；習慣；慣習</t>
        </is>
      </c>
      <c r="F3486" t="inlineStr">
        <is>
          <t>そういうしきたり；封建的なしきたり；あらゆるしきたり；古風なしきたり</t>
        </is>
      </c>
      <c r="H3486" t="n">
        <v>29</v>
      </c>
      <c r="I3486" t="inlineStr">
        <is>
          <t>しかし一度体で覚えてしまうと、しきたりの中に美を感じるようになる。；いろいろとしきたりがあるようですが、私では知りようがありませんし。；このしきたりがあるので作戦開始の正確な時間を知るのに都合がよかった。；子供の頃からそういうしきたりに育った故かそれが不思議でなかった。；が処刑しても死なない者は国外追放になるのがしきたりであったという。；隊長はこれまでの中隊にあったしきたりの多くを無視してしまったから。；芝居が始まってから劇場へ来るというのも、わがパリのしきたりである。；男性は逃げても構わないが捕まれば抵抗できないしきたりになっている。；そのしきたりを知ってはいたが、一応はそのように言って見たかった。；死んだ人の着物をこのように処分するのは、昔からのしきたりである。；しかし細川家の夫人では着用がないなど家によってしきたりは異なった。；どこの国にあっても、その国の言葉を学ぼうとするのがわしのしきたりだ。；あらゆるしきたりが彼には異様に思われ、彼にはどれも守れないのだった。；現在も京都の祇園を中心とした花街で厳しいしきたりの下で活躍している。；作家は宗教に触れてはならないというのが当時の奇怪なしきたりであった。；しきたりにしたがって死体は、倒れた場所に置きっぱなしになっていた。；船長は沈みかけた船から最後に脱出するというしきたりはどうなるんだ?；家を持たないどぶのような男は、こうしたしきたりとは、無縁であった。；ここではお互いに何もお話ししないことが、しきたりになっています。；これはこの社会の馬鹿げてはいるが、大いに効果的なしきたりのひとつだ。；私の家では世間のしきたりをなおざりにするようなことはしません。；それらは大事なことから目をそらさせる「単なるしきたり」に過ぎない。；わたしたちは、よそ者で、ここのしきたりやなにか全然知りませんから。；村では法度まで出してこのしきたりを厳しく守り続けているといいます。；厄落としには本人の他に家族や親戚も参加するのがしきたりだという。；彼女は、この一族のしきたりや宮殿のうわさなどをよく話してくれた。；商店などでは祭り当日まで他人に飾りを見せないしきたりになっているという。；最初の日から、Oはこの家のその日その日のしきたりを守ってきた。；あたしたちのしきたりによれば、ほんとはおまえさんに借りなんかないさ。</t>
        </is>
      </c>
      <c r="J3486">
        <f>HYPERLINK("https://www.weblio.jp/content/しきたり", "词义详情")</f>
        <v/>
      </c>
      <c r="K3486">
        <f>HYPERLINK("https://yourei.jp/しきたり", "查看例句")</f>
        <v/>
      </c>
    </row>
    <row r="3487">
      <c r="A3487" t="inlineStr">
        <is>
          <t>じきに</t>
        </is>
      </c>
      <c r="B3487" t="inlineStr">
        <is>
          <t>成功</t>
        </is>
      </c>
      <c r="C3487" t="inlineStr">
        <is>
          <t>読み方：じきに
［副］もう少ししたら。もうすぐ。「—追いつくよ」</t>
        </is>
      </c>
      <c r="D3487" t="inlineStr">
        <is>
          <t>じきにまた(4%)</t>
        </is>
      </c>
      <c r="E3487" t="inlineStr">
        <is>
          <t>すぐに；たちまち；直ちに；直ぐ；早速</t>
        </is>
      </c>
      <c r="H3487" t="n">
        <v>29</v>
      </c>
      <c r="I3487" t="inlineStr">
        <is>
          <t>わたし、じきにお金を工面してここから出れるようにしてあげますから。；しばらくはもてはやされたが、じきに人々は彼のことを忘れてしまった。；じきにその事態を説明する適当な概念を思いついたらしく、こう尋ねた。；それもほんの一瞬のことで、じきに身体の中心まで透き通ってしまった。；だが、あとで口に残る何とも云えない味に、じきに胸が悪くなって来た。；でもね、人が宇宙を生活の場にするようになって、じきに百年が経つわ。；じきにその文字謎を作った人たちと同じような考え方ができるようになるものだよ。；ウーラもじきに私のことなど忘れてしまうのではないかとも思える。；じきにどこかいいところへ移して、俺の弱らないようにするにちがいない。；いわゆる最高級の旅館にとまる旅行者はじきにそれを発見するであろう。；一人が亭屋に姿を消して、じきに田舎風の椅子を持って戻って来た。；邪魔がはいらなければ、じきに世界を自分のものにしてしまうだろう。；今ゼルメーヌがいったように、検事の一行はじきにここへやって来ます。；一件いくら取っていたのか知らないが、じきに客は来なくなった。；あの島にいれば、かれらのことなどは、じきに永久に忘れてしまうだろう。；じきにまたそれの裏切られる時の来るのを考えようとすらしなかった。；笹村は、しばらく机に坐ってみたが、じきに火を細くして寝床へ入った。；私は部屋に入るところを見られていますから、じきに追っ手が来るでしょう。；そういう気配は伝わるのか、じきに講堂中の視線が、ぼくに集まってきた。；彼は長い足を机の上にのせたが、じきにまたおろしてしまった。；だけど、赤いところがはげているから、じきに力が弱くなってしまうね。；鍛冶屋は申し出を断わり、主人はじきにそのことを忘れてしまいました。；けれ共、じきに叔父は私だと云うのを知って、大変によろこんで呉れた。；この入口を降りて行くと、海の底を通って、じきに島の上に出られるのだよ。；この体勢は五分が限界であって、じきに私たちの体はぐらぐら揺れ始める。；じきに彼らは、あのなかに呑みこまれるだろうー太陽に潜った最初の人間。；そう思うようになって、じきに心の力がからだの苦痛に打ちかつようになる。；彼女の唇も冷えきった手もじきにこの抱擁のなかからぬけだしてしまった。；高重力世界人たちは、じきに野営地を立ち去らなければならないだろう。</t>
        </is>
      </c>
      <c r="J3487">
        <f>HYPERLINK("https://www.weblio.jp/content/じきに", "词义详情")</f>
        <v/>
      </c>
      <c r="K3487">
        <f>HYPERLINK("https://yourei.jp/じきに", "查看例句")</f>
        <v/>
      </c>
    </row>
    <row r="3488">
      <c r="A3488" t="inlineStr">
        <is>
          <t>至急</t>
        </is>
      </c>
      <c r="B3488" t="inlineStr">
        <is>
          <t>成功</t>
        </is>
      </c>
      <c r="C3488" t="inlineStr">
        <is>
          <t>読み方：しきゅう
１非常に急ぐこと。大急ぎ。「—の用件」「—お帰りください」「—便」
２「至急電報」の略。</t>
        </is>
      </c>
      <c r="D3488" t="inlineStr">
        <is>
          <t>至急連絡；至急便；至急御；至急電；至急会いたい</t>
        </is>
      </c>
      <c r="E3488" t="inlineStr">
        <is>
          <t>早く；たちまち；直ちに；直ぐ；早速</t>
        </is>
      </c>
      <c r="F3488" t="inlineStr">
        <is>
          <t>至急返事</t>
        </is>
      </c>
      <c r="H3488" t="n">
        <v>29</v>
      </c>
      <c r="I3488" t="inlineStr">
        <is>
          <t>それに反して、障害を避けるために大至急に上昇する必要があるのです。；男の子の数がまったく足りず、クラブは都心から至急に大量輸送させた。；安西が山から戻ったら至急連絡をくれるよう伝言を頼んで電話を切った。；私の家へ電話をして至急、着物を持って来てくれるように言っている。；実はいとこ達とその配偶者にはそれぞれお金を至急必要な動機があった。；彼は荘一清からの至急な迎えを受けて、図書館からやって来たのでした。；そこで至急、ニューヨークの支社へ出す手紙をつくってタイプで打った。；銀行内部の意見は、至急、ウォード氏に注意する必要があると決定した。；私どもの依頼者は、新しい海岸や湾を至急に必要としているのであります。；大至急、彼に話したいことがあるらしいのだが、いったいそれは何だろう?；山狗に至急、条件を満たす患者が存在しないか市内病院を調べさせます。；新しい観点から、至急、行動に踏み切る必要があると指摘しておられる。；だとするなら、戦場に戻って味方の危機を至急伝える必要があった。；気分が悪くなったので、救急道具一式をもって至急あがってきて欲しい。；そこで彼は、大至急フランスから大量の武器を輸入することにした。；前田氏に至急連絡を取りたいのですが、居所をご存知ではありませんか。；ついては二名の宿方総代を至急福島へ出頭させるようにとも認めてある。；この使者が持っている至急の密書は、非常に重大なものにちがいなかった。；すっかり忘れていたが、至急まとめないとならない小論文があるんだ。；同分店はそのための七十万円余の現ナマを至急用意しなければならない。；それに私は会社の要務で、宇品の通運へ至急連絡の必要もありますから。；東京の先生方にも推薦状を至急コロラドへ送ってくれるよう依頼した。；軒の下で二人が坐って話しているとき、至急の伝令が情報を伝えた。；渋谷が回復したとなれば至急にやらなければならぬ仕事があった。；新しい材料が現われたので、至急会って相談したいということである。；いま本当に重要なことは大至急、あの書類を取り戻す事でございます。；ある事情からどうしてもお金を一千万ほどそれも至急迫られているのです。；わたしは上山というものですが、至急、ご相談したいことがあるのです。；至急仕事を始めなければならぬ事情があったのかもしれない。</t>
        </is>
      </c>
      <c r="J3488">
        <f>HYPERLINK("https://www.weblio.jp/content/至急", "词义详情")</f>
        <v/>
      </c>
      <c r="K3488">
        <f>HYPERLINK("https://yourei.jp/至急", "查看例句")</f>
        <v/>
      </c>
    </row>
    <row r="3489">
      <c r="A3489" t="inlineStr">
        <is>
          <t>時給</t>
        </is>
      </c>
      <c r="B3489" t="inlineStr">
        <is>
          <t>成功</t>
        </is>
      </c>
      <c r="C3489" t="inlineStr">
        <is>
          <t>読み方：じきゅう
1時間単位で支給される給料。時間給。「—1000円」</t>
        </is>
      </c>
      <c r="D3489" t="inlineStr">
        <is>
          <t>時給制(7%)；時給千円；時給換算；時給七；時給三</t>
        </is>
      </c>
      <c r="F3489" t="inlineStr">
        <is>
          <t>臨時給</t>
        </is>
      </c>
      <c r="H3489" t="n">
        <v>29</v>
      </c>
      <c r="I3489" t="inlineStr">
        <is>
          <t>朝の十時から夜九時頃まで打ち続けるわけだから、時給にしたら六百円。；けれど、この時期のゆいかには時給がいくらだろうと問題ではなかった。；ユーザーの立場で考えてどちらが正しいかといえば、時給交渉をすることです。；これは、ドイツで働く約10人に1人が下回る時給で働いたことになる。；時給千八百円で、あの頃は毎日のようにやったから、月五万円くらいにはなった。；おそろしく高い時給をとったが、確かに子どもの扱いは慣れている。；時給と書けば理解しやすいが、チャージには賃金以外の経費も含まれる。；また、貯める額の大きさから、時給のいいバイトを特にねだったと言う。；テレビアニメ版では正社員が月給制、アルバイトが時給制とされている。；「時給三千三百円やぞ」コーヒーカップを持ち上げながら桐原はいった。；時給に換算したら他の仕事をした方がマシではないだろうか。；いまさらおれたちに、時給八百円のバイトでも探せっていうのかよ、と。；同じ時給では不公平だと、同じパート仲間から面と向かって言われたこともある。；そうすりゃ時給も上がるだろうし、社員にしてもらえることもあるんじゃない?；それはゲーム時間を時給に換算するのと同じくらい空しい行為だ。；上の娘二人が、現在軽井沢で、時給五百円のアルバイトをしている。；考えたところで時給五千円の日当二万五千円で、それは無理だった。；調査に行くと二十四時間時給がついて、おまけに危険手当までつくもんな。；週に三日、夜の十時から閉店の午前二時まで、私は時給千円でレジを打つ。；仕事がキツそうな上に時給も安いアルバイトばかりだったのである。；続いて同年11月にはジュラ州も時給20フランの最低賃金を導入した。；アルバイトの条件は、午前十時から午後六時までの八時間で時給四百円。；取締役以外は、一般公募で面接等試験を経て採用された時給制の契約スタッフ。；時給八ドルで、自宅にいながら電話帳か市の住所氏名録を見て電話をかける。；時給の高さとアパートからの近さに惹かれ、その場で電話をかけ、すぐに面接を受けた。；モデルとなった彼女は、時給50ドルという当時の最高額を稼ぐようになった。；打ち子には日本人もいたが、たいがいは中国人で時給が千円だった。；時給五ドルの仕事で暮らすには、いっさいのプライドを捨てなくてはいけない。；どうせ時給は変わらないから歓迎すべきことだが、まだ若い店長の機嫌は悪い。</t>
        </is>
      </c>
      <c r="J3489">
        <f>HYPERLINK("https://www.weblio.jp/content/時給", "词义详情")</f>
        <v/>
      </c>
      <c r="K3489">
        <f>HYPERLINK("https://yourei.jp/時給", "查看例句")</f>
        <v/>
      </c>
    </row>
    <row r="3490">
      <c r="A3490" t="inlineStr">
        <is>
          <t>自給</t>
        </is>
      </c>
      <c r="B3490" t="inlineStr">
        <is>
          <t>成功</t>
        </is>
      </c>
      <c r="C3490" t="inlineStr">
        <is>
          <t>読み方：じきゅう
［名］(スル)必要な物資を、他に求めるのでなく、自力で獲得してまかなうこと。「穀物を—する」</t>
        </is>
      </c>
      <c r="D3490" t="inlineStr">
        <is>
          <t>自給的(7%)；自給用(6%)；自給できる(5%)；自給農業(4%)；自給体制(3%)</t>
        </is>
      </c>
      <c r="F3490" t="inlineStr">
        <is>
          <t>国内自給；食料自給；完全自給；エネルギー自給；自給経済</t>
        </is>
      </c>
      <c r="G3490" t="inlineStr">
        <is>
          <t>自給率；自給自足経済；自給肥料；自給的農家</t>
        </is>
      </c>
      <c r="H3490" t="n">
        <v>29</v>
      </c>
      <c r="I3490" t="inlineStr">
        <is>
          <t>食糧、武器その他自給しているというが、いずれにしても大変なことだ。；約1400人の住民の多くは家を持ち、食物を自給できるようになった。；産業は自給的な半農半漁であり、鉄道開通を機に商業的な農業も始まった。；山がちな地形のため道路は少なく、住民は自給的な農業を主としている。；自給用に野菜を栽培する畑が少しあり、住民は畑を大事にしている。；皮肉なことにこの国では2002年に食料の完全自給を達成していた。；農業は自給の麦のほか、椿油用のツバキや養蚕用のクワを栽培していた。；第3代牧師として無牧の状態にあった同教会を自給教会へと育成した。；それまで、アメリカから農産物を買ってくれていた国が自給できるようになった。；瀬棚を中心とした檜山一帯へ自給伝道の道を開くのが目的であった。；農産物の自給ができないので貿易依存度が高く、海運業が発達している。；これは資本主義経済とは異なる自給的な農家の経済行動をモデル化したものであった。；ドイツで火夫のいらない新式の燃料自給方式の機関車が発明された。；植民地が自給できる体制になかったことは疑いがない。；このような「緑の改革」の結果、1984年にはコメの自給が達成された。；それでも、日本はこのとき主食のコメを自給していたからよかった。；それぞれの子供が自給の道を立てるのがどんなに重大なことかを、彼はさとった。；それから、自給食堂へいって、わたしのために弁当箱を一つ持ってきてほしい。；農業は畑作を中心とする自給的なもので、若干の水田も見られた。；土地分配は国の経済に重大な打撃となり、大部分の人々は自給農業以上のことを行わなかった。；自給食堂に弁当箱が用意してあるのは知っているだろう。；わずかに農業と漁業が行われているが、自給的なものが中心。；しかし、極端な日本教会自給論を展開して、ミッションと対立する。；電気を自給しているくらいだから、電話も来ていない。；にもかかわらず、食料は輸入に頼っているし、それも本来は自給可能な品なのだ。；国によつては天産自給の出来ぬ国もあるが、日本には何でもあるから出来るのである。；政府の安い公定買い上げ価格に嫌気がさして自給分以外は作らなくなる。；女は真珠入りの着物を男に贈り、これがあればしばらくは自給できるだろうと言った。；このエンジンはアルゼンチンで製造され、この車の国産部品自給率を向上させていた。</t>
        </is>
      </c>
      <c r="J3490">
        <f>HYPERLINK("https://www.weblio.jp/content/自給", "词义详情")</f>
        <v/>
      </c>
      <c r="K3490">
        <f>HYPERLINK("https://yourei.jp/自給", "查看例句")</f>
        <v/>
      </c>
    </row>
    <row r="3491">
      <c r="A3491" t="inlineStr">
        <is>
          <t>事業</t>
        </is>
      </c>
      <c r="B3491" t="inlineStr">
        <is>
          <t>成功</t>
        </is>
      </c>
      <c r="C3491" t="inlineStr">
        <is>
          <t>読み方：ことわざ
すること。しわざ。また、仕事。
「はかなき—をも、しなし給ひしはや」〈源・朝顔〉</t>
        </is>
      </c>
      <c r="D3491" t="inlineStr">
        <is>
          <t>事業費；事業主；事業内容；事業化；事業部長</t>
        </is>
      </c>
      <c r="E3491" t="inlineStr">
        <is>
          <t>仕事；務め；企業；作戦；任務</t>
        </is>
      </c>
      <c r="F3491" t="inlineStr">
        <is>
          <t>記念事業；再開発事業；関連事業；主な事業；大事業</t>
        </is>
      </c>
      <c r="G3491" t="inlineStr">
        <is>
          <t>事業所；事業部；事業団；事業家；事業計画</t>
        </is>
      </c>
      <c r="H3491" t="n">
        <v>29</v>
      </c>
      <c r="I3491" t="inlineStr">
        <is>
          <t>実際には学生部長伊東延吉と事業部長紀平正美が中心となって運営する。；これが、奈良を中心とする寺院の間に、出版事業を興させるようになる。；エンターテインメント産業とほぼ同じ事業形態で運営が行われている。；国鉄またはその関連組織が行っていた鉄道事業以外の事業を下記に挙げる。；最終的には1993年に事業ごとアビッド・テクノロジーへ売却された。；名古屋までの総事業費は5兆円あまりで2027年の開業予定である。；今中期防においても戦車定数の削減事業は継続される予定となっている。；この状況を解消すべく、所沢市が主体で単独立体交差事業を実施している。；客のことを考えた事業姿勢がソーライスの逸話などに残されている。；こうした詐欺的商法を行う会社の一方で、他の事業を行う会社も設立された。；書籍や雑誌など出版されたものをと呼び、出版を事業とする企業を出版社と呼ぶ。；事業収入の柱となるものは以下の様なものである。；その後は現在に至るまでバスと地下鉄を主要事業としている。；世界には、運営が民営化され、事業として成り立っているケースもある。；ホームページ等では航空事業と記載されていたが、運営していたのは旅行事業である。；このほか鉄道に関連する船舶事業、自動車事業などを行っていた。；一方ダムや遊水池建設に伴う住民移転などの犠牲も河川事業の拡大に伴い増加した。；西口周辺では、日清紡東京工場跡地を中心とした再開発事業が行われた。；以下の箇所で連続立体交差事業が実施または計画されている。；この結果、2003年にはソフトウェア事業の5ブランドを形成した。；鉄道を中心にした経営ではなく、主力は路線バス・貸切バス事業となっている。；その後父は事業に失敗して帰郷、一家全員境港に定住する結果となる。；また、開発事業費約500億円規模に及ぶ居住区域の同時開発も中止となった。；なお、ルドヴィッグは受け継いだ工場を再開して事業を発展させた。；日本では、ダム事業が中止または長期化した例もある。；農業以外にも水商売や小規模商店などの事業を行うものも多かった。；この2件はいずれも海外セーフティ事業を強化が目的と報じられた。；会員は、自分の事業を発展させるために、商工会を十分に活用することが出来る。；水道は、生活のために水を供給・処理する事業・施設のこと。</t>
        </is>
      </c>
      <c r="J3491">
        <f>HYPERLINK("https://www.weblio.jp/content/事業", "词义详情")</f>
        <v/>
      </c>
      <c r="K3491">
        <f>HYPERLINK("https://yourei.jp/事業", "查看例句")</f>
        <v/>
      </c>
    </row>
    <row r="3492">
      <c r="A3492" t="inlineStr">
        <is>
          <t>しきりに</t>
        </is>
      </c>
      <c r="B3492" t="inlineStr">
        <is>
          <t>成功</t>
        </is>
      </c>
      <c r="D3492" t="inlineStr">
        <is>
          <t>しきりにうなずい；しきりに話し；しきりに鳴い；しきりに動い；しきりにすすめる</t>
        </is>
      </c>
      <c r="E3492" t="inlineStr">
        <is>
          <t>多く；よく；まま；つい；しばしば</t>
        </is>
      </c>
      <c r="F3492" t="inlineStr">
        <is>
          <t>なにかしきりに；さっきからしきりに；何やらしきりに；しきりに煙草をふかし；しきりに唾を吐き</t>
        </is>
      </c>
      <c r="H3492" t="n">
        <v>29</v>
      </c>
      <c r="I3492" t="inlineStr">
        <is>
          <t>そしてその中の年とった一人と若い一人とがしきりに何か議論していた。；そのうち東京の家から手紙があつて、しきりに帰国を要求して来てゐた。；その原因が何であるか、父も母もしきりに探索しようとしておりました。；今ではその妻が穢らしいものに、しきりに思われてならないのであった。；土城の南の方からは徳一老婆のしきりに何か叫んでいる声が聞えて来る。；今のうちだと思って、新田先生は、しきりに勉強をしているわけだった。；試驗場やその他の役人達は此頃しきりに我々が機械を買ひすぎるといふ。；人々は誇張の言葉を見失つて、しきりに地獄といつたし地獄圖と云つた。；とにかくぼんやりと気のついたとき、僕はしきりに口から水を吐いていた。；帰られては困ると思ったのか、照彦様の方からしきりにごきげんをとる。；岸本は自分の生命がしきりに彼女に向ってそそぎつつあるのを感じていた。；そして何かわけの分からないことをしきりにいっているようです。；法楽のための歌というようなものがしきりに詠まれるようになってくる。；私は考えてみなくてはならないような気がしきりにいたします。；ところがその灯は、どれもこれもしきりに十字を描いているのだった。；が、話が終りに近づくに従って彼らはしきりに襖のほうを気にし出した。；そうしてふたりはしきりに今の学生間の消息と学生の気風とを語った。；母親は娘の夫であるシーモア・グラースと娘のことをしきりに心配している。；三人はなおしきりに金魚をながめて年相当な会話をやってるらしい。；秀吉が戦争のために京都を離れている時期に、そのような例がしきりに見られる。；エドワードは見たことの無いトムたちの生活をしきりに聞きたがった。；すこし面喰いながら風呂に入ると、男がきてしきりに体を洗ってくれる。；前面は玉砂利の広場になっていて、白い風がそこをしきりに吹き抜けた。；しきりに旦那のことを恋しく思わせるのも、娘と二人で居る時だった。；しかもそれらの髑髏は右に左に、上に下にとしきりに動き回っていた。；館内は目つきの鋭い男が完全に支配し、しきりに部屋をうろついている。；何か家の内にあるんじゃないかッて、しきりにお母さんにきくんだそうですよ。；彼はしきりに、いろいろなものを売っている店先に、目を向けている。；これの試写を見ていて僕は、しきりにオーバアマガウの受難劇を思った。</t>
        </is>
      </c>
      <c r="J3492">
        <f>HYPERLINK("https://www.weblio.jp/content/しきりに", "词义详情")</f>
        <v/>
      </c>
      <c r="K3492">
        <f>HYPERLINK("https://yourei.jp/しきりに", "查看例句")</f>
        <v/>
      </c>
    </row>
    <row r="3493">
      <c r="A3493" t="inlineStr">
        <is>
          <t>仕切る</t>
        </is>
      </c>
      <c r="B3493" t="inlineStr">
        <is>
          <t>成功</t>
        </is>
      </c>
      <c r="C3493" t="inlineStr">
        <is>
          <t>読み方：しきる
［動ラ五（四）］
１境を作って他と区別する。隔てとなるものを設けて、いくつかの部分に分ける。「大部屋を二つに—・る」
２ある範囲の物事を掌握し処理する。取り仕切る。「一人で会の運営を—・る」
３帳簿または取引の決算をする。「三月末に—・る」
４相撲で、両力士が土俵中央仕切り線の所で、両手を土俵に下ろして立ち合いの呼吸合わせをする。仕切りをする。「腰高に—・る」
[可能]しきれる</t>
        </is>
      </c>
      <c r="D3493" t="inlineStr">
        <is>
          <t>分離；分割；区分；切る；区画</t>
        </is>
      </c>
      <c r="H3493" t="n">
        <v>29</v>
      </c>
      <c r="I3493" t="inlineStr">
        <is>
          <t>小さな部分ではなく、全体の大きな流れを仕切ろうとしている奴がいる。；巨大な頭の鼻の高さに天井があり、内部の空間を半分に仕切っていた。；つまりこの愛の問題となる場所には詩人が一切仕切っている訳なのですから。；道全体が南北に仕切られ、そこから先への進入が完全に遮断されていた。；当たってみる可能性があるとすれば、木で仕切られたこの一面だけだ。；しかし実際はただの地域有力者が土地を仕切っているのに過ぎない。；正式には古書交換会と呼ばれていて、滝野はそれを仕切る経営員だった。；部屋の中央はカーテンで仕切られ、会話はその向こうから聞こえてくる。；秘書みたいなのが一人いてね、その男がだいたいのことを仕切っている。；二部屋といっても、六畳と三畳の部屋が襖で仕切られているだけのことだ。；これは高さ一間を横に仕切って上下共各二枚の袋戸をはめたものである。；見ていると、グループを仕切っているのは魅音ではなく、男の子だった。；大きな窓のように、屋根のぜんたいはいくつもの四角に仕切られていた。；消化管の壁は、皮膚と同じように、からだの内部と外部を仕切っている。；右も左もまた向うも石の高塀で仕切られてその形はやはり四角である。；地下道は一部が仕切られていて東西の自由連絡通路として使用されていた。；上の階に行くほど、ガラス張りのドアで仕切られた高級店が増えていった。；パーテーションで仕切られて、同じようなところがいくつかあるらしい。；その奥にさらに部屋があるようだが、やはり襖で仕切られて見えなかった。；部長室といっても広大なフロアの一角をガラスで仕切っているだけである。；それが扉と壁とに仕切られた暗黒のうちに、不吉な星のように見えていた。；また、ステージ中には扉で仕切られた小部屋であるトーチカが存在する。；黒服がいっぱいいてちゃんと仕切ってくれて、普通の人は入ってこないわ。；廊下の突き当たりに手術区画と表示があり、自動ドアで仕切られている。；客は少なく、二人は竹の衝立で仕切られた窓から三番目の席に案内された。；いくつにも仕切られた部屋の半分は、侍女、召使用であったと思われる。；仕切られた奥の部屋の入口で、若い助手のようなひとに何か説明をしている。；自分はいくつもの枠に仕切られた棚全体の、外にいる人ではない。；この下と、さらにその下の階は、同じように壁で廊下を仕切っているはずだ。</t>
        </is>
      </c>
      <c r="J3493">
        <f>HYPERLINK("https://www.weblio.jp/content/仕切る", "词义详情")</f>
        <v/>
      </c>
      <c r="K3493">
        <f>HYPERLINK("https://yourei.jp/仕切る", "查看例句")</f>
        <v/>
      </c>
    </row>
    <row r="3494">
      <c r="A3494" t="inlineStr">
        <is>
          <t>資金</t>
        </is>
      </c>
      <c r="B3494" t="inlineStr">
        <is>
          <t>成功</t>
        </is>
      </c>
      <c r="C3494" t="inlineStr">
        <is>
          <t>読み方：しきん
１事業の元手や経営のために使用される金銭。もとで。「営業—」「—難」
２特定の目的のために用意され使われる金銭。「住宅—」「育英—」</t>
        </is>
      </c>
      <c r="D3494" t="inlineStr">
        <is>
          <t>資金援助(7%)；資金難(4%)；資金力(2%)；資金協力；資金提供</t>
        </is>
      </c>
      <c r="E3494" t="inlineStr">
        <is>
          <t>資本；基金；財源；資本金；ファンド</t>
        </is>
      </c>
      <c r="F3494" t="inlineStr">
        <is>
          <t>運営資金；必要な資金；豊富な資金；選挙資金；自己資金</t>
        </is>
      </c>
      <c r="G3494" t="inlineStr">
        <is>
          <t>資金提供；資金繰り；資金不足；資金源；資金集め</t>
        </is>
      </c>
      <c r="H3494" t="n">
        <v>29</v>
      </c>
      <c r="I3494" t="inlineStr">
        <is>
          <t>そのため集めていた資金の使ってしまったぶんを返せなくなったのである。；さらにその後エーリヒ1世は市に資金を頼らざるを得ない関係に陥った。；ポイント・サリンス国際空港の建設にはアメリカの資金援助が行われた。；卒業後クリニックに勤めたのも資金を得るためである側面もあるとされる。；特にアルフォンスは完全にこの姉からの資金に依存して生活していた。；また資金の多くは数々の特許取得のためにも費やされることとなった。；さらにエドワードの資金確保のために最初の人頭税の導入にまで同意した。；ただしそれには多額の資金と労力が必要となるため、容易には行えない。；だからアメリカから見ると安心して受け入れられる民間の資金。；やがて自己資金で開発できる環境が整うと、本社を埼玉県上尾市へ移転。；これらの資金はメフォ手形などの手形を利用する特殊なものであった。；もはや中国人民銀行だけでは資金需給の変化に対応しきれなくなった。；資金も集めて準備も進められたが、この計画も実現しなかった。；続いて大量の資金をロシアの革命家に提供してロシアを不安定にしようとした。；すなわち、エリート大学という評価を受け、多くの研究資金を得ている。；彼はそうして得た資金を鉄道関連の会社に再投資していった。；その最大の原因は資金問題と自身の性格の問題である。；当初、資金は同様の問題を解くことに興味を持っていた農学部から出ていた。；連合国が戦争に投入できる資金は中央同盟国のそれよりもはるかに多かった。；その中には、資金や技術援助を与えるための調査も含まれる。；ワングはこれを資金としてワング・ラボラトリーズの規模を拡大させた。；これは株式を発行して国民から資金を集め、産業企業に投資する銀行だった。；なおこの頃身を隠していた辻政信に会い、逃亡資金を渡している。；ここ2年のザウバーの資金難ぶりが全世界に向けて発信されてしまった。；研究では、産学連携や外部資金獲得状況等が高く評価されている。；この形態の場合には、資金の受領が一巡した時点で一旦終了となる。；その後は映画製作の資金を稼ぐためにテレビ出演などの活動を行った。；またリトアニアは為替平衡のための資金を集めなければならなかった。；資金投資がしにくいことは、質の高い番組を作るのが困難ということにもなる。</t>
        </is>
      </c>
      <c r="J3494">
        <f>HYPERLINK("https://www.weblio.jp/content/資金", "词义详情")</f>
        <v/>
      </c>
      <c r="K3494">
        <f>HYPERLINK("https://yourei.jp/資金", "查看例句")</f>
        <v/>
      </c>
    </row>
    <row r="3495">
      <c r="A3495" t="inlineStr">
        <is>
          <t>敷く</t>
        </is>
      </c>
      <c r="B3495" t="inlineStr">
        <is>
          <t>成功</t>
        </is>
      </c>
      <c r="C3495" t="inlineStr">
        <is>
          <t>読み方：しく
［動カ五（四）］
１一面に平らに広げる。「絨毯(じゅうたん)を—・く」
２一面に平らに並べたり、まき散らしたりする。「畳を—・く」「玉砂利を—・く」
３物を載せるために平らにして下に置く。下に当てる。「座布団を—・く」
４下に押さえつける。「女房の尻に—・かれる」
５設置する。敷設する。「鉄道を—・く」
６配置をする。「厳重な捜査網を—・く」「背水の陣を—・く」
７隅々まで行き渡らせる。「箝口令(かんこうれい)を—・く」
８広く行き渡る。一面に広がる。「名望、天下に—・く」「松葉が散り—・く古庭」
９力を広く及ぼす。治める。
「天皇(すめろき)の—・きます国の」〈万・四一二二〉
[可能]しける</t>
        </is>
      </c>
      <c r="D3495" t="inlineStr">
        <is>
          <t>展開；宣言；敷設；声明；公布</t>
        </is>
      </c>
      <c r="F3495" t="inlineStr">
        <is>
          <t>六ヶ敷く；八釜敷く</t>
        </is>
      </c>
      <c r="H3495" t="n">
        <v>29</v>
      </c>
      <c r="I3495" t="inlineStr">
        <is>
          <t>城際化工事はホームや線路の解体・敷き直しや駅舎新築が含まれていた。；広い板の床の上に畳を五枚敷き並べ、彼女はその隅に机を置いて暮した。；そのために作りだめしなければならないとして大幅な増産体制を敷いた。；メキシコ等、階級制を敷いている国ではウェルター級が設けられている。；もしわたくしがあなたの立場なら、夫を尻に敷くまでは何も言わないけど。；先輩の敷いてくれたレールの上を、自分の研究と力で真っすぐ走ること。；村落では、道路から線路が離れて専用の線路敷きを設ける必要があった。；王制を敷く唯一の都市だが、他の都市を管轄しているわけではないらしい。；部分的であるが石敷き状に礫が敷き詰められている状況が確認された。；警察はまず人質事件が発生した場合速やかに現場に包囲網を二重に敷く。；廊下番の年寄りのボーイが来て、寝床の敷き布を持っているかと尋ねた。；これは宿屋にしてから洋間に布団を敷く必要に迫られて改造した部分だ。；私は親爺の分と合わして一つを敷き一つを着て、二人が一つになって寝た。；現在では、生物の持込には厳しい制限を敷く保護政策がとられている。；偶然にもそこは、ニッキイたちの父が鉄道を敷いていた村と判明する。；水は地中に敷いたパイプで供給し、目的の大きさ・収穫時期を制御する。；当時の日本は第二次世界大戦中であり、東京では灯火管制を敷いていた。；Scharroo大佐の率いるオランダ軍は川の北側に防衛陣を敷いた。；しかも、さらに不審なのは、その子ばかりが敷き物を敷いているのです。；これをわかりよく言えば、河原の石ころの上に蒲団を敷くようなものだ。；いつもこの室に並べて敷く二つの蒲団を、ひとつにしたいような夜であった。；床もベージュ系の色としたが、通路にはセピア色のカーペットを敷いた。；かつては駅舎が残存しており、畳を敷き柔道の練習に使用されていた。；現在住んでいる万事屋では、押入れに布団を敷きそこで寝起きしている。；ネイティブ・アメリカンの去った土地には、鉄道を敷く余地が残された。；控車に枕木を搭載していて、アウトリガーの下に敷くことが普通である。；一人は美しくて大きな綿の敷きぶとんを頭にのせて持ってきました。；父さんは茶の間に布団を敷く事はせず、朝まで起きているつもりらしい。；忍熊王はまた撤退して山背の菟道に陣を敷き、ここが決戦の場となった。</t>
        </is>
      </c>
      <c r="J3495">
        <f>HYPERLINK("https://www.weblio.jp/content/敷く", "词义详情")</f>
        <v/>
      </c>
      <c r="K3495">
        <f>HYPERLINK("https://yourei.jp/敷く", "查看例句")</f>
        <v/>
      </c>
    </row>
    <row r="3496">
      <c r="A3496" t="inlineStr">
        <is>
          <t>軸</t>
        </is>
      </c>
      <c r="B3496" t="inlineStr">
        <is>
          <t>成功</t>
        </is>
      </c>
      <c r="C3496" t="inlineStr">
        <is>
          <t>読み方：じく
［常用漢字］　［音］ジク（ヂク）（呉）　［訓］よこがみ
１車の心棒。回転の中心となる棒。「機軸・車軸」
２中心や基準となる直線。「地軸・結晶軸・座標軸・対称軸」
３物事の中心。大切なところ。「基軸・枢軸・中軸」</t>
        </is>
      </c>
      <c r="D3496" t="inlineStr">
        <is>
          <t>軸箱(3%)；軸式(2%)；軸重(2%)；軸方向；軸ばね</t>
        </is>
      </c>
      <c r="E3496" t="inlineStr">
        <is>
          <t>基準；核；水準；中核；コア</t>
        </is>
      </c>
      <c r="F3496" t="inlineStr">
        <is>
          <t>新機軸；カム軸；二軸；中心軸；動軸</t>
        </is>
      </c>
      <c r="G3496" t="inlineStr">
        <is>
          <t>軸受；軸足；軸配置；軸線；軸受け</t>
        </is>
      </c>
      <c r="H3496" t="n">
        <v>29</v>
      </c>
      <c r="I3496" t="inlineStr">
        <is>
          <t>終章でも時間軸上冒頭の時点で書かれた、日本語の文章が登場している。；機関車では、牽引性能を発揮するためにある程度の軸重を必要としている。；ドアは前方のヒンジを軸にして上方に開くシザーズドアを採用している。；軸から相手に向けて上流と下流の関係が出来るため、このように呼ばれる。；このようなTCGを軸にしたコンテンツ展開は現在でも主流となっている。；しかし実際の作業では軸力を直接監視することは困難である。；本編のとあるルートの後から約一年後の時間軸で起きた事件が書かれている。；これは、核間軸の周りのMOの回転が位相を変化させないことを意味する。；雄性胞子葉は軸のみに退縮していて先端に2つの雄性胞子嚢を形成する。；枠は上下左右の枠、梁または中棧といわれる横板、裏軸や裏板からなる。；キャラクター同士の中心点を結ぶ直線を軸と呼び、この軸が移動するためである。；フラット防止装置を使用するため、各軸に速度発電機が設置されている。；複素数平面上では、虚数全体は複素数平面から実軸を除いた部分である。；また、体の芯が異常に強く、常に軸がぶれずに堂々とした相撲を取った。；その役割はトランスクリプトーム解析の分野を軸に発展・拡大してきました。；DT32形では車体重量の増加に伴って軸バネを新設計のものに交換した。；これは、核間軸の周りのMOの回転が位相の変化が起きることを意味する。；このことは、z軸の方向の取り方が任意であることも説明できる。；軸重制限の問題からその後の製作は行われなかった。；ほとんどの場合、軸にセットされたプーリーに合わせて用いられる。；船の主機関からプロペラまでの船の推進軸に関わる装置類はまとめて軸系装置と呼ばれる。；画像のX軸は時間を表し、左が最も古く、右が最も新しい海底である。；葉柄の延長になる軸から、左右に小葉がいくつか並ぶものを羽状複葉という。；これは、勾配区間での軸重移動を考慮し均等にするための措置である。；転生が、計測される同一の時間軸の上に起こるものとされていないからである。；その際には中央の軸に横動を許容するなどの対策が必要となる。；軸が天井固定でモーター本体に羽根がついて回転する形式が多い。；三つの軸の向きは右手系の向きにとられるのが普通である。；の形で表される平面上の放物線の軸は であり、頂点の座標は となる。</t>
        </is>
      </c>
      <c r="J3496">
        <f>HYPERLINK("https://www.weblio.jp/content/軸", "词义详情")</f>
        <v/>
      </c>
      <c r="K3496">
        <f>HYPERLINK("https://yourei.jp/軸", "查看例句")</f>
        <v/>
      </c>
    </row>
    <row r="3497">
      <c r="A3497" t="inlineStr">
        <is>
          <t>しくじる</t>
        </is>
      </c>
      <c r="B3497" t="inlineStr">
        <is>
          <t>成功</t>
        </is>
      </c>
      <c r="C3497" t="inlineStr">
        <is>
          <t>［動ラ五（四）］
１やりそこなう。失敗する。「試験を—・る」
２過失などのために勤め先や仕事などを失う。「会社を—・る」「得意先を—・る」</t>
        </is>
      </c>
      <c r="D3497" t="inlineStr">
        <is>
          <t>失敗；挫折；失敗する；失策；間違える</t>
        </is>
      </c>
      <c r="H3497" t="n">
        <v>29</v>
      </c>
      <c r="I3497" t="inlineStr">
        <is>
          <t>たとえ任務をしくじったところで、それで困る人間は一人もいないのだ。；病気やしくじりなど良くないことで職を辞するわけではありませんもの。；二人が去っていったあと、あれがしくじった相手かと小声で訊いてみた。；試験でどんなにしくじったって、結果が出るまでまだ一週間もあるんだ。；もう少しで、お前と同じような大しくじりをするところまでいったんだ。；しくじったのは、道夢斎が安宅に十人程度しか兵を残さなかったことだ。；年寄だけではありません、若いものでも時々しくじることがあるのです。；あたしは、肘に怪我をしてお得意様をしくじったんだと思っていたんです。；何しろ、ただしくじっただけではなく、警察に警戒させてしまったのだ。；鳥や、獣物のすることは、人間のごとく、そうしくじりがないものです。；先のある人を、学校でもしくじらせてごらんなさい、それこそ大変だわ。；実際今夜しくじったら取り返しがつかないと、私も頭に熱がさして来た。；冗談ではあろうが、屋敷をしくじるように祈っていると言ったこともある。；船は人間の手を借りずに降下してきて、そしてちょっとばかりしくじった。；最後の会社をしくじってから、もう半年以上も操縦桿を握っていないのだ。；それから二度試みて二度しくじったのを見て、ついにスーはこう宣言した。；妻のほっとしたような感想に、夫はしくじったんだと残念そうな顔をした。；ついこの間も、棚の上のものを取ろうとしてしくじり、箱が落ちてきた。；あなたは女のことなんかでしくじって出世をフイにするような人じゃない。；しくじりをやらなければ、わたしの行く末は心配ないと安心しているのだ。；ここでしくじってはいけないということは、さすがにわかっているようだ。；てめえたちのようなだんな衆が、たいていしくじるのはそこのところだ。；これでどれだけお出入り先をしくじっているかわからないのだ。；警備隊を皆殺しにしたことも、ある娘を殺そうとしてしくじったことも。；そこでしくじったら、また、もう少しかけ隔った別な店へ移るのだろう。；御婦人の目の前では、死んでもしくじるわけにはいかないだろう。；これまで、戦で手柄をたてたことはあるが、何かでしくじったことはない。；子の働きは親次第と言われ、子がしくじれば、親も責任を厳しく問われる。；こいつはセンター試験でしくじった馬鹿だと、世に示したかったのか?</t>
        </is>
      </c>
      <c r="J3497">
        <f>HYPERLINK("https://www.weblio.jp/content/しくじる", "词义详情")</f>
        <v/>
      </c>
      <c r="K3497">
        <f>HYPERLINK("https://yourei.jp/しくじる", "查看例句")</f>
        <v/>
      </c>
    </row>
    <row r="3498">
      <c r="A3498" t="inlineStr">
        <is>
          <t>仕組み</t>
        </is>
      </c>
      <c r="B3498" t="inlineStr">
        <is>
          <t>成功</t>
        </is>
      </c>
      <c r="C3498" t="inlineStr">
        <is>
          <t>読み方：しくみ
１物事の組み立て。構造。機構。「複雑な—の機械」「政治の—」
２事をうまく運ぶために工夫された計画。くわだて。「うまく買わせる—になっている」
３芝居・小説などで、内容・配置などの工夫。趣向。
「和漢に名ある稗官(はいかん)者流は、ひたすら—の皮相にとどまるを拙(つたな)しとして」〈逍遥・小説神髄〉</t>
        </is>
      </c>
      <c r="D3498" t="inlineStr">
        <is>
          <t>仕組み作り；仕組みづくり；仕組みそのもの；仕組み自体</t>
        </is>
      </c>
      <c r="E3498" t="inlineStr">
        <is>
          <t>構成；組織；系；システム；構造</t>
        </is>
      </c>
      <c r="F3498" t="inlineStr">
        <is>
          <t>同じ仕組み；基本的な仕組み；そういう仕組み；どういう仕組み；複雑な仕組み</t>
        </is>
      </c>
      <c r="H3498" t="n">
        <v>29</v>
      </c>
      <c r="I3498" t="inlineStr">
        <is>
          <t>各クラスにはタレントと呼ばれる特性を伸ばす仕組みが用意されている。；バージョン管理システムはこのような問題を解決する仕組みを提供する。；このような仕組みを採用したことではオレゴン州が最初の州になった。；以下に、意識の仕組みを解明しようとしている仮説提唱者の一部を示す。；初期のRISCの設計には分岐遅延スロットの仕組みも備えられていた。；もまた、当初はC言語に のクラスなどの仕組みを追加したものであった。；当駅の集札は列車到着直後のみ改札口に係員が立つ仕組みとなっている。；気流および発声の仕組みと並んで言語音の主要な構成要素の一つである。；そのためWebアプリではオフライン対応に特別な仕組みが必要になる。；不快感を不快であると感じることの出来る脳の仕組みも機能しない時がある。；この仕組みは特に古代の中国でよく使われ、世界中の他の多くの地域でも見られた。；ペンの先端部を紙に押しつけて修正液を浸出させる仕組みになっている。；ヨーロッパでは、上下分離は大きく分けて二通りの仕組みが見られる。；実際の道具や機械には、てこの仕組みを複数使っているものがある。；BCLを趣味とする人々にも、べリカードという似ている仕組みがある。；根が水面下に入るので、根への通気の仕組みや、呼吸根を持つ種がある。；しかし、どのような仕組みで分解されるのかは分かっていない。；その演奏音声と映像がケーブル通信で各部屋に再配信される仕組みで行われる。；中にはこの仕組みを逆手に取ってドア探しをさせるダンジョンも存在する。；イモムシには、鳥などの捕食者に対して防御の仕組みを持つものがある。；これはピンホールを通った光がボケ無く結像する仕組みと同様である。；棍棒などの打撃武器は衝撃を対象内部へと浸透させて構造を破壊する仕組みをもつ。；地上とはエレベーターで入出場する仕組みとなっている。；いわゆる分解者として、自然界の仕組みの中では重要な位置を占める。；細胞内などの生命システムではこのような仕組みが有効に利用されていることが考えられる。；魔法の世界の仕組みを構築する際もちょっとしたジョークを飛ばす際にも。；Nゲージ模型車両の多くは、直流2線式と呼ばれる仕組みで運転される。；これにより制作から、発売・販売・宣伝全てを自前で行う仕組みが完成した。；画面の再描画などを抑止するほか、高速実行するための仕組みを備えている。</t>
        </is>
      </c>
      <c r="J3498">
        <f>HYPERLINK("https://www.weblio.jp/content/仕組み", "词义详情")</f>
        <v/>
      </c>
      <c r="K3498">
        <f>HYPERLINK("https://yourei.jp/仕組み", "查看例句")</f>
        <v/>
      </c>
    </row>
    <row r="3499">
      <c r="A3499" t="inlineStr">
        <is>
          <t>仕組む</t>
        </is>
      </c>
      <c r="B3499" t="inlineStr">
        <is>
          <t>成功</t>
        </is>
      </c>
      <c r="C3499" t="inlineStr">
        <is>
          <t>読み方：しくむ
［動マ五（四）］
１工夫して物事を組み立てる。企てる。内々に計画を立てる。「—・まれた罠(わな)にはまる」
２小説・戯曲などの筋を組み立てる。趣向を考える。「実際の事件を劇に—・む」</t>
        </is>
      </c>
      <c r="D3499" t="inlineStr">
        <is>
          <t>計画；予定；考える；設計；デザイン</t>
        </is>
      </c>
      <c r="H3499" t="n">
        <v>29</v>
      </c>
      <c r="I3499" t="inlineStr">
        <is>
          <t>あとになって知ったのだが、船の事故も男が仕組んだことだったという。；「レースが仕組まれていた事実はないのだな」 ベッドの人物が言った。；今は、例の殺人だって、仕組まれたものだと考えている連中が多いです。；もともとこれは幕吏が八郎を逮捕する為に仕組んだワナだったのである。；ぼくはタッペンスの帽子やコートも、敵の仕組んだ芝居だと思うんです。；結局、全てのカタチあるものがそうであるように仕組んでいる絶対命令。；敵は、わざと三人で、その暗い道へ、彼が駈け出すように仕組んだのだ。；ここに来たのは自分の意志だと思っていたのに、実は仕組まれていたようだ。；あなたもあなたで、彼の仕組んだゲームにうまくのせられてしまいました。；それも父の霊が仕組んでいるのではないか、という気がしてならなかった。；逆にいえば、狂言強盗を仕組んだのではないかと疑える重大な点である。；それともそれは始めから仕組まれ打合わされている芝居なのだろうか。；なにかが仕組まれていることにやっと野島はこの時になって気づいたからだ。；この記事はヨーロッパ中に大きな衝撃を巻き起こすように仕組まれている。；アリバイ作りのために、ルイジ達と女を同じ時間に殺すように仕組んだ。；わしの誇りが彼女の仕組んだぺてんのために傷ついたことは否定しない。；母が私に殺意を思いとどまらせるために仕組んだことではないのだろうか。；キティ・ピンは相手の選択に性別が作用するよう仕組んだみたいですね。；その各自の台詞書を集めて、一つの芝居を仕組むのが緯の役であります。；これは最初から仕組んだことで、破牢をするための馴れ合い喧嘩でした。；作者はハンガリー人で、日本の留学生のことを仕組んだものだそうです。；その顔を見て私にはこの展開もまた彼が仕組んだことなのだとすぐに呑み込んた。；それとも、ここまでがすべて仕組まれたたちの悪い悪戯なのだろうか。；灰皿が開けられていたと言うので、どうやらその中に仕組まれていたようだ。；したがって何者かがそのほうに陥穽を仕組んだと見るのは極めて当然であろう。；もちろん初めからそのように仕組まれていたわけではなかった。；しかしリイ子に会ったのはべつに田代が会おうと仕組んだわけではない。；最初から仕組んだもの、イベントにならないものは大ヒットしない。；淑子が偽物だとすると、それは一体、何のために仕組まれた陰謀なのか?</t>
        </is>
      </c>
      <c r="J3499">
        <f>HYPERLINK("https://www.weblio.jp/content/仕組む", "词义详情")</f>
        <v/>
      </c>
      <c r="K3499">
        <f>HYPERLINK("https://yourei.jp/仕組む", "查看例句")</f>
        <v/>
      </c>
    </row>
    <row r="3500">
      <c r="A3500" t="inlineStr">
        <is>
          <t>死刑</t>
        </is>
      </c>
      <c r="B3500" t="inlineStr">
        <is>
          <t>成功</t>
        </is>
      </c>
      <c r="C3500" t="inlineStr">
        <is>
          <t>読み方：しけい
罪を犯した者の生命を奪う刑。現行刑法の規定する主刑の一。日本では、絞首して執行される。生命刑。→死罪→永山基準</t>
        </is>
      </c>
      <c r="D3500" t="inlineStr">
        <is>
          <t>死刑囚(21%)；死刑宣告(2%)；死刑台；死刑執行；死刑求刑</t>
        </is>
      </c>
      <c r="E3500" t="inlineStr">
        <is>
          <t>処刑；死罪；極刑；刑戮</t>
        </is>
      </c>
      <c r="F3500" t="inlineStr">
        <is>
          <t>確定死刑；死刑復活；死刑選択；判決死刑；死刑相当</t>
        </is>
      </c>
      <c r="G3500" t="inlineStr">
        <is>
          <t>死刑執行；死刑執行人；死刑制度；死刑廃止；死刑確定</t>
        </is>
      </c>
      <c r="H3500" t="n">
        <v>29</v>
      </c>
      <c r="I3500" t="inlineStr">
        <is>
          <t>当時の有名な似顔絵師であった毛延寿もこの事件で死刑になったという。；少年法の精神からすれば20歳未満の少年に死刑を適用すべきではない。；過去数十年間で死刑の一時停止あるいは完全な撤廃も検討されてきている。；時代的比較では、死刑が廃止された国での廃止前・廃止後を比較する試みがされる。；死刑宣告を受けながら顔を変えてシン・シティに戻ってきた男ドワイト。；過去には法務省内でも死刑の存廃やあり方などを議論してきた経緯がある。；もし治癒しなければ、その後直ちに死刑が執行されるのが普通であった。；なお死刑制度が廃止されている国の場合には死刑復活問題となる。；ザイス=インクヴァルトは死刑囚の中で最後に処刑された人物であった。；いずれにせよ本人は死刑になるが、縁座には以下のような細かな違いが生じる。；また、苦痛を与えることを目的としない死刑は拷問に当たらないとされる。；金細工師の名は伝えられていないが、その後、死刑になったと伝えられる。；通行人などが深刻な怪我や死亡した場合などは、終身刑か死刑もあり得る。；裁判が始まると彼はいかなる手段を用いてでも死刑を避けようとするようになった。；そのため被害者1人に対し2人組ともが死刑になる厳罰判決が確定した。；死刑の適用に際して経済的・人種的差別が存在しているとの指摘もある。；死刑の執行は罪人を殺すという行為を実際に行う者を死刑執行人と呼ぶ。；しかも、致死の結果が生じない刑事事件でも死刑が下されることがある。；それは死刑が元々、主権の概念と深い関わりをもっているからである。；乱射事件の発生したほとんどの米国州は死刑が廃止されている。；また死刑判決を受けた死刑囚が生命の危険を感じて逃走するケースもある。；死刑が最高刑であった時代に、実際に処刑が行われたこともある。；アメリカ合衆国のいくつかの州では、ガス室による死刑を執行している。；死刑・無期懲役になった者、懲役15年以上の実刑になった者はいない。；この法律は代わりに死刑になる者が見つかれば助かるというものであった。；そのため死刑は確定していたものの執行は長く延期となっていた。；また栗原や安藤は「死刑になる人数が多すぎる」と衝撃を受けていた。；そのため2007年以降、死刑囚が100人を超える状況が続いている。；半蔵の死刑が明日と決まったため、京之介が指揮をとり、救出に向かう。</t>
        </is>
      </c>
      <c r="J3500">
        <f>HYPERLINK("https://www.weblio.jp/content/死刑", "词义详情")</f>
        <v/>
      </c>
      <c r="K3500">
        <f>HYPERLINK("https://yourei.jp/死刑", "查看例句")</f>
        <v/>
      </c>
    </row>
    <row r="3501">
      <c r="A3501" t="inlineStr">
        <is>
          <t>刺激</t>
        </is>
      </c>
      <c r="B3501" t="inlineStr">
        <is>
          <t>成功</t>
        </is>
      </c>
      <c r="C3501" t="inlineStr">
        <is>
          <t>読み方：しげき
［名］(スル)
１生体に作用してなんらかの現象や反応を起こさせること。特に、知覚や感覚に作用して反応を起こさせること。また、その原因となるもの。「学習意欲を—する」「都会は—が強い」
２物事の動きを活発にさせるきっかけとして、外から作用すること。また、そのもの。「景気を—する」</t>
        </is>
      </c>
      <c r="D3501" t="inlineStr">
        <is>
          <t>刺激する(12%)；刺激的(5%)；刺激される；刺激剤；刺激臭</t>
        </is>
      </c>
      <c r="E3501" t="inlineStr">
        <is>
          <t>興奮；誘導；促す；誘う；挑発</t>
        </is>
      </c>
      <c r="F3501" t="inlineStr">
        <is>
          <t>電気刺激；大きな刺激；強く刺激；性的刺激；視覚刺激</t>
        </is>
      </c>
      <c r="G3501" t="inlineStr">
        <is>
          <t>刺激臭；刺激的；刺激薬；刺激物；刺激伝導系</t>
        </is>
      </c>
      <c r="H3501" t="n">
        <v>29</v>
      </c>
      <c r="I3501" t="inlineStr">
        <is>
          <t>その刺激が神経から脳に伝えられ直線加速度を感じるようになっている。；手で物を触った刺激を整理統合して立体を形成するのも脳の働きである。；男性と女性では刺激を受けている際の脳の変化に違いが認められた。；頭部を電気刺激して起こる体験についても同様に疑問視する声もある。；あなたの脳をちょうどいい具合に刺激するパズルがあるだけなのです。；いくつかの刺激がある時、同種のもの同士がひとまとまりになりやすい。；一つの作品を指揮するときには、音楽の刺激的な力に心を奪われてしまいます。；この場所は雄が後ろからのしかかって交尾する際に刺激される部分である。；それに刺激されたのか、ジョエルはますますSEXしたくなってしまう。；反応を起こす刺激にエクスポージャーする心理療法にもつながっている。；彼の報告は蛍光灯を開発するアメリカの研究プログラムを刺激した。；ゾウの足の裏は非常に繊細であり、そこからの刺激が耳まで伝達される。；ハイドンに刺激を受けたモーツァルトも引き続き多くの作品を残している。；また海外での翻訳の多い村上春樹の小説にも非常に刺激を受けた。；感覚は、動物が外部からの刺激を受けることで生じるものである。；数々の玩具は、発育や様々な機能の発達に刺激を与える重要な道具である。；ストレッサーとは、ストレスを生物に与える何らかの刺激のことを言う。；国際的な労働者運動は1860年代の国際危機に刺激され復活を遂げていく。；こうして、一成にとっては迷惑ながら刺激的な生活が始まったのである。；その後ロンドンに移り、イギリス貴族の洗練された感性に刺激を受ける。；このような状況に刺激をうけた住民が1962年ごろより大規模な合併運動を開始。；日本でも、ドイツの動きに刺激されて、民俗学の名称への疑問が起きている。；そのため、直接には貯蓄に回せない形で消費を刺激しようとしたものである。；刺激の種類に応じて、対応する感覚器や生じる感覚を分けることができる。；これに刺激されるように、鹿児島県内では鉄道敷設の動きが広がった。；この成果が中世西ヨーロッパの12世紀ルネサンスに大きな刺激を与えた。；このときお互いに刺激されてグループ結成を決意する。；これに刺激され19世紀イギリスでは帝国主義の発展が見られるようになった。；しかし、過剰な刺激を与えた場合には、痛みや苦痛を感じさせる場合もある。</t>
        </is>
      </c>
      <c r="J3501">
        <f>HYPERLINK("https://www.weblio.jp/content/刺激", "词义详情")</f>
        <v/>
      </c>
      <c r="K3501">
        <f>HYPERLINK("https://yourei.jp/刺激", "查看例句")</f>
        <v/>
      </c>
    </row>
    <row r="3502">
      <c r="A3502" t="inlineStr">
        <is>
          <t>湿気る</t>
        </is>
      </c>
      <c r="B3502" t="inlineStr">
        <is>
          <t>成功</t>
        </is>
      </c>
      <c r="C3502" t="inlineStr">
        <is>
          <t>読み方：しける
［動ラ五］下一段動詞「しけ（湿気）る」の五段化。「海苔(のり)を—・らない所にしまう」</t>
        </is>
      </c>
      <c r="H3502" t="n">
        <v>11</v>
      </c>
      <c r="I3502" t="inlineStr">
        <is>
          <t>夏は海岸は極端に暑く、山も湿気るため、当然観光は絶望的である。；少しでも湿気るのを嫌って買い溜めをしないものだから、毎日のように千代蔵が姉妹屋に顔を出すことになる。；皮種が湿気るのを避けるために、販売時には餡と別にしておき、食べる時に消費者が餡を詰められるようにした商品もある。；傘を差しても体は濡れるし煙草は湿気るし、悪い事ばかりだ。；濡れてはいるが、薬莢ごと油脂で塗り固めてあり、火薬が湿気ることはまずない。；夏は大変暑く湿気ることがある。；あけすけに語り合いすぎた、あまりにいたたまれない夜の記憶に湿気る一人暮らしの部屋からもとりあえず脱出できるし。；茂宣は火砲を搭載できる船を開発をするという難題を乗り越え、更には火薬が湿気るのを防ぐ装置を整えた船を開発し、1380年に100隻、3000名の水軍部隊が創設された。；また、銃はいつでも撃てるものではなく、弾切れや火薬が湿気る、弾詰まり、不発、暴発、あるいは銃自体が壊れたり、整備不良や視界が悪い状況となることもある。；バタビアの気候は季節によって温度差が大きく、夏は暖かいか暑く、湿気ることが多い。；オーバーンの気候は季節によって温度差が大きく、夏は暖かいか暑く、湿気ることが多い。</t>
        </is>
      </c>
      <c r="J3502">
        <f>HYPERLINK("https://www.weblio.jp/content/湿気る", "词义详情")</f>
        <v/>
      </c>
      <c r="K3502">
        <f>HYPERLINK("https://yourei.jp/湿気る", "查看例句")</f>
        <v/>
      </c>
    </row>
    <row r="3503">
      <c r="A3503" t="inlineStr">
        <is>
          <t>茂る</t>
        </is>
      </c>
      <c r="B3503" t="inlineStr">
        <is>
          <t>成功</t>
        </is>
      </c>
      <c r="C3503" t="inlineStr">
        <is>
          <t>読み方：しげる
［動ラ五（四）］草木が生長して、枝葉がたくさん生え出る。盛んに生える。「若葉が—・る」「雑草が—・る」《季夏》</t>
        </is>
      </c>
      <c r="D3503" t="inlineStr">
        <is>
          <t>茂る大野が上；茂る入り江</t>
        </is>
      </c>
      <c r="E3503" t="inlineStr">
        <is>
          <t>茂み；棘；藪；雑木林；繁み</t>
        </is>
      </c>
      <c r="F3503" t="inlineStr">
        <is>
          <t>青々と茂る；生ひ茂る；覆い茂る；よく茂る；緑茂る</t>
        </is>
      </c>
      <c r="H3503" t="n">
        <v>29</v>
      </c>
      <c r="I3503" t="inlineStr">
        <is>
          <t>岸に沿ってかなり茂った森があり、美しい絵のような光景を示している。；それからまた少し行くと、そんな谷いっぱいに森の茂っている処へ来た。；またあの藪の茂っているのを見ては、そう云うのも無理はありますまい。；島の外側は岩ばかりだけれど、洞窟の内部には豊富に草木が茂っていた。；彼はその樹を年寄りになってそれが入用になるときにと茂らせておいた。；それ以降の時期で単に葉が茂っている状態の桜を葉桜と呼ぶことはない。；伐られた山にはもう一度いつとなしに又草が茂り木が生ひ立ってきた。；しかしそこでは中々よく茂っていたけれど丈けはあまり高くはなかった。；岩にも樹々が茂っていて、最初から注意していない者には気がつかない。；ほぼ三マイルほど進むと昼もうす暗いほど樹が茂り、水の豊かな所に出た。；ココナッツ椰子が青い海の前に傾くように茂っている写真がついている。；かつて、辺り一面に葭が生え茂っていたことからこの名が付けられた。；降るような蝉の声の中、私たちは木々のおい茂る森をどこまでも歩いた。；白い道が下り坂になって、両方にさし出た葉の茂りだけが蒼いのである。；どの木も勢いのある緑色の葉を茂らせ、陽光をいっぱいに浴びている。；その後樹勢は回復し、豊かに葉を茂らせる姿が見られるようになった。；机は北向きの窓の下にあり、あけてある窓の外に、矢竹が茂っていた。；雨を冒して非常に樹の生え茂って居る急な坂を二里ばかり登ると闇くなった。；道は狭いうえに雑草が生え放題に茂っていて、ふたり並んでは歩けない。；谷底の地面をなしている堅く赤い砂地にも同じように灌木が茂っていた。；神社に続く道を歩いていくと、やがてよく茂った鎮守の森が視界に広がる。；私のしがみついている枝に寄生植物らしいこんもり茂ったものがあった。；濃く茂った夏の下草を、いっぴきの白い獣が矢のように走りすぎていく。；夏になると麻が小暗く道路の両側に茂り、私たちの丈よりも高くなった。；ですから、ここにほかの植物を茂らせるのは、たいへんなことでしょう。；窓が二つあって、プラタアヌの並木の青葉が一方の窓に近く茂っていた。；どこまで行っても平野で、ただ木の茂った高い山脈に沿うて行くばかり。；そこはほかよりも木が茂っていたので、無理して通らなければならなかった。；ようやく空き地は尽きて、ミズナラの茂りに覆われた森が目の前にある。</t>
        </is>
      </c>
      <c r="J3503">
        <f>HYPERLINK("https://www.weblio.jp/content/茂る", "词义详情")</f>
        <v/>
      </c>
      <c r="K3503">
        <f>HYPERLINK("https://yourei.jp/茂る", "查看例句")</f>
        <v/>
      </c>
    </row>
    <row r="3504">
      <c r="A3504" t="inlineStr">
        <is>
          <t>試験</t>
        </is>
      </c>
      <c r="B3504" t="inlineStr">
        <is>
          <t>成功</t>
        </is>
      </c>
      <c r="C3504" t="inlineStr">
        <is>
          <t>読み方：しけん
［名］(スル)
１ある物事の性質や性能などをためしてみること。また、検査すること。「新建材の耐久性を—する」「—飛行」
２入学・入社・登用などの採否を決めるため、問題に答えさせたり実技をさせたりして、学力・知識・能力などを判断・評価すること。考試。考査。「—に受かる」「実技の—」「面接—」「筆記—」</t>
        </is>
      </c>
      <c r="D3504" t="inlineStr">
        <is>
          <t>試験的(4%)；試験飛行(2%)；試験官；試験結果；試験用</t>
        </is>
      </c>
      <c r="E3504" t="inlineStr">
        <is>
          <t>調査；門；実験；試み；分析</t>
        </is>
      </c>
      <c r="F3504" t="inlineStr">
        <is>
          <t>卒業試験；次試験；実用試験；学科試験；評価試験</t>
        </is>
      </c>
      <c r="G3504" t="inlineStr">
        <is>
          <t>試験管；試験機；試験放送；試験運行；試験走行</t>
        </is>
      </c>
      <c r="H3504" t="n">
        <v>29</v>
      </c>
      <c r="I3504" t="inlineStr">
        <is>
          <t>建築士の資格は有していないが、試験問題の作成を担当したことがある。；新たな観客層獲得のため、試験的に鑑賞料金を変更する動きも見られる。；また一次試験を日本語ではなく英語で受けることも可能になった。；チューリングテストが一般的に言う知性を試験できない理由は二つある。；また不合格になった者は翌年の同じ回より前の試験は受験できない。；なお、日本語DPを受ける生徒の場合は11月に日本語で試験を受ける。；しかしその機関は試験運転中に爆発し、ディーゼルは九死に一生を得た。；この試験の公式目的は、「具体的な知識と技能」を評価することである。；一般的に「司法試験」というと、この第二次試験のみを指すことが多い。；試験には合格したが、失敗したら南米へ行こうと思っていたという。；試験プログラムが終了に近づいた頃、地球では接近する小天体が話題となる。；誘導員となるには、誘導員試験に合格し、誘導員資格を得る必要がある。；同様の試験が鉄道総研内でも行われていたが、試験車両は解体された。；そのかわりに導入されたのが科挙制度即ち科目別の試験制度である。；広義には、天文台や「農業試験所」なども含めて指している場合もある。；フランスで1919年頃試験線が建設されたが、詳細な記録は残されていない。；試験結果に問題がなければ路線バスへの導入が計画されている。；学科毎の合格点は明示されていないが、試験を受けることが必須である。；ただし、博士課程のための試験は、いかなる人物であれど必ず課される。；ドイツで狩猟を行うには試験に合格して狩猟免許を得る必要がある。；学部を卒業した者などが入学者選考試験を経て、合格したものが入学できる。；ほかの試験では、食事法を導入することでどこまで持ちこたえるかを比較した。；特に他のコンピュータ企業が自社製システムの試験装置を構築するのによく使った。；この試験結果も合わせ、電車による長距離高速運転を行う準備が確立した。；対し、一般的に言われている文官登用試験は対比して文科挙といわれる。；ただし、試験、営業列車共に九州方面への直通列車が設定された実績はない。；飛行士らが受けた訓練の中には、選抜試験の項目と重複するものもあった。；以下の受け入れ試験によってデッドラインが全て満たされることを示す。；全ての試験を合格して初めて客が遊技することが可能となる。</t>
        </is>
      </c>
      <c r="J3504">
        <f>HYPERLINK("https://www.weblio.jp/content/試験", "词义详情")</f>
        <v/>
      </c>
      <c r="K3504">
        <f>HYPERLINK("https://yourei.jp/試験", "查看例句")</f>
        <v/>
      </c>
    </row>
    <row r="3505">
      <c r="A3505" t="inlineStr">
        <is>
          <t>資源</t>
        </is>
      </c>
      <c r="B3505" t="inlineStr">
        <is>
          <t>成功</t>
        </is>
      </c>
      <c r="C3505" t="inlineStr">
        <is>
          <t>読み方：しげん
１自然から得る原材料で、産業のもととなる有用物。土地・水・埋蔵鉱物・森林・水産生物など。天然資源。「海洋—」「地下—」
２広く、産業上、利用しうる物資や人材。「人的—」「観光—」</t>
        </is>
      </c>
      <c r="D3505" t="inlineStr">
        <is>
          <t>資源開発(2%)；資源量；資源管理；資源保護；資源地帯</t>
        </is>
      </c>
      <c r="E3505" t="inlineStr">
        <is>
          <t>リソース</t>
        </is>
      </c>
      <c r="F3505" t="inlineStr">
        <is>
          <t>観光資源；石油資源；自然資源；重要な資源；金属資源</t>
        </is>
      </c>
      <c r="G3505" t="inlineStr">
        <is>
          <t>資源配分；資源局；資源ごみ；資源ゴミ；資源価格</t>
        </is>
      </c>
      <c r="H3505" t="n">
        <v>29</v>
      </c>
      <c r="I3505" t="inlineStr">
        <is>
          <t>石油資源がこの地域に集中して形成された原因は現在明らかではない。；計算複雑性理論は計算問題の難しさを様々な計算資源の観点で分析する。；豊かな自然と歴史資源を持つため、国家歴史文化名城に指定されている。；同時にこの頃には貴重な資源であったグアノの鉱山も荒廃してしまった。；イリガンは水力資源や工業だけでなく、文化の面でも豊かな都市である。；資源には見るべきものがなく、わずかに塩が生産されるのみである。；親の投資とは一匹の親が現在の子を育てるのに用いるあらゆる資源を指す。；資源量を維持するため親魚から採卵した卵を孵化し稚魚放流が行われる。；しかし戦争末期には資源不足から安易な代用品を選択することも多い。；そのため何としても南の資源を獲得しなければならなかった。；ここでは大型彫刻への資源集中が大きな政治的影響力を有していた可能性がある。；災害の防止や資源の保護のために植生を利用することも広く行われている。；また、資源埋蔵量にも限りがあるため持続性からも問題視されている。；まず二人のプレイヤーそれぞれが求めている資源を同時に見つけたと仮定する。；特定の資源を保有する国が資源輸出と外交的要求をセットにすることもある。；他の国に比べると比較にならないほど莫大な資源を有していると言われている。；本戸の数が村ごとに一定数に定められていたのは、資源確保の意味があった。；生産によって得られる資源を消費することで人間は生活している。；資源と収入に関しても乏しいためゲーム開始直後は厳しい展開となる。；騎兵ユニットは歩兵よりも移動や攻撃に優れるが作成に必要な資源が多い。；自然回復力のある海域に造られたものでは資源回復が確認されているものもある。；ハードウェアの資源を有効活用するための最適化手法のひとつである。；あるアルゴリズムの実行に必要な計算資源の量を見積もることは重要である。；同様に、マグレモーゼ文化やなども豊富な資源を背景に人類が発展を見せた。；そのため、例えばそれらの無い月面で多様な金属資源を得ることは困難である。；あるいは、前世代人の肉体も循環可能な資源とみなされる場合もある。；斑尾山周辺とあわせ、温泉やスキー場など、自然豊かな観光資源を持つ。；工業は石油などの資源はないが様々な工業が発展しており今後も成長が見込まれる。；いくつかの計算問題は非現実的な量の資源を想定すれば、より容易に解析可能である。</t>
        </is>
      </c>
      <c r="J3505">
        <f>HYPERLINK("https://www.weblio.jp/content/資源", "词义详情")</f>
        <v/>
      </c>
      <c r="K3505">
        <f>HYPERLINK("https://yourei.jp/資源", "查看例句")</f>
        <v/>
      </c>
    </row>
    <row r="3506">
      <c r="A3506" t="inlineStr">
        <is>
          <t>事件</t>
        </is>
      </c>
      <c r="B3506" t="inlineStr">
        <is>
          <t>成功</t>
        </is>
      </c>
      <c r="C3506" t="inlineStr">
        <is>
          <t>読み方：じけん
１世間が話題にするような出来事。問題となる出来事。「奇妙な—が起こる」
２事柄。特に、法令上で扱われる事柄。「頭書の—」
３「訴訟事件」の略。</t>
        </is>
      </c>
      <c r="D3506" t="inlineStr">
        <is>
          <t>事件発生；事件当時；事件解決；事件以来；事件直後</t>
        </is>
      </c>
      <c r="E3506" t="inlineStr">
        <is>
          <t>場合；事；例；ケース；件</t>
        </is>
      </c>
      <c r="F3506" t="inlineStr">
        <is>
          <t>二六事件；連続殺人事件；同事件；重大事件；犯罪事件</t>
        </is>
      </c>
      <c r="G3506" t="inlineStr">
        <is>
          <t>事件現場；事件当日；事件捜査；事件記者；事件屋</t>
        </is>
      </c>
      <c r="H3506" t="n">
        <v>29</v>
      </c>
      <c r="I3506" t="inlineStr">
        <is>
          <t>地上を移動すると事件が起こる危険があるため動くことができないのだ。；一部の古代宇宙飛行士説論者が江戸時代に起きたと主張する事件である。；謎と見ると放っておかれず、仕事抜きで事件に関わっていくことも多い。；またこの事件の直後の6億年前には最後の大規模な陸地形成が起こった。；首相経験者が暗殺されるのは二・二六事件以来であり、戦後初である。；ボッタはこの事件を公表しなかったが、後に彼の2人の友人が公表した。；警察等が犯罪を捜査した場合、事件を検察官に送致しなければならない。；さらに囚人虐待事件への対応などの影響から退任を求める声が出始めた。；このドラマでは、金ら実行犯側から見た事件の流れを追ったものであった。；この事件は信に大きな精神的打撃を与え、以後門を閉じて篭居していた。；なお、これ以前から村の中で起こった小さな事件などを解決しているらしい。；この説を取るならば武蔵戦・猿楽興行事件以降も吉岡家は存続している。；香港やマカオではしばしば食人事件が噂され、盛んに作品に翻案された。；この事件が競技中に起きたことから、全スポーツ界に大きな衝撃が広がる。；事件の被害に遭ったのは大韓航空に所属する大韓航空858便であった。；キリスト教やイスラム教などでも、大きな事件が起きたこともあった。；本編のとあるルートの後から約一年後の時間軸で起きた事件が書かれている。；この事件は近年のアメリカ史上最大の生物兵器による攻撃だと言われる。；のちに検察審査会で同事件での不起訴は不当であるとする議決を行った。；この事件を通じて蔣経国と宋美齢との対立関係は改めて明らかになった。；画像はこの事件を描いたフランス人画家テオドール・ジェリコーのもの。；この6年生の時の1936年には、2月26日に二・二六事件があった。；後に行われた発表では残骸も公表されて、事件はすぐに忘れ去られた。；従って、具体的事件の捜査についての指示や命令行うことはできない。；一方、東京では若い女性が突然昏倒し、やがて死亡する事件が多発する。；この皇帝の時代に東西教会分裂につながる相互破門事件が発生している。；突撃隊の活動はますます活発になり、多数の死者を出す事件が続発した。；アルルでの耳切り事件の後に描かれた自画像は、左耳に包帯をしている。；陸軍の統制派は二・二六事件の蹶起がもたらした状況を最大限に利用した。</t>
        </is>
      </c>
      <c r="J3506">
        <f>HYPERLINK("https://www.weblio.jp/content/事件", "词义详情")</f>
        <v/>
      </c>
      <c r="K3506">
        <f>HYPERLINK("https://yourei.jp/事件", "查看例句")</f>
        <v/>
      </c>
    </row>
    <row r="3507">
      <c r="A3507" t="inlineStr">
        <is>
          <t>次元</t>
        </is>
      </c>
      <c r="B3507" t="inlineStr">
        <is>
          <t>成功</t>
        </is>
      </c>
      <c r="C3507" t="inlineStr">
        <is>
          <t>読み方：じげん
１数学で、一般的な空間の広がり方の度合いを表すもの。座標の数で表される。線は一次元、面は二次元、立体は三次元。空間は三次元であるが、n次元や無限次元も考えられる。
２物理量を長さ・時間・質量の積の形で表示したもの。
３物事を考えたり行ったりするときの立場。また、その程度や水準。「話の—が低い」「それとこれとは—の違う問題だ」</t>
        </is>
      </c>
      <c r="D3507" t="inlineStr">
        <is>
          <t>次元的(4%)；次元ユークリッド空間；次元構造；次元空間；次元世界</t>
        </is>
      </c>
      <c r="E3507" t="inlineStr">
        <is>
          <t>度；程度；段階；層；程</t>
        </is>
      </c>
      <c r="F3507" t="inlineStr">
        <is>
          <t>二次元；四次元；高次元；一次元；別次元</t>
        </is>
      </c>
      <c r="G3507" t="inlineStr">
        <is>
          <t>次元大介；次元解析；次元の呪い；次元論；次元大介の墓標</t>
        </is>
      </c>
      <c r="H3507" t="n">
        <v>29</v>
      </c>
      <c r="I3507" t="inlineStr">
        <is>
          <t>対応する量は次元からみて別のものであることに注意する必要がある。；敵の駒の取り方も通常のポーンの動きを三次元的に拡張したものである。；それ以外の次元にねじれ正多胞体が存在するかどうかはわかっていない。；より高い次元ではフーリエ変換の制限問題の研究が興味深いものになる。；次元が 2 以上の場合は、理論はさらに多くの意味合いが入ってくる。；対角線に沿って見た場合、次元面たちは数字通りのグループに分割される。；いくつかの場合には、一次元の場合の記法を流用した記法も用いられる。；この性質を利用して高次元の球の体積と表面積を求めることができる。；次元削減はノイズの大きなデータを分析する上でも適切であることが多い。；あるいは A の表現する線型写像の像の次元と言っても同じである。；空間の3次元に時間を加えた4次元が、人間の認識している次元数である。；勾配や発散とは異なり、回転の概念を単純に高次元化することはできない。；どこでもドアでは行けないような遠い宇宙や異なる次元にも手が届く。；三次元では様々な座標系がラプラシアンを記述するために広く用いられる。；奇数次元の場合の式に現れる二重階乗 は と定義されるものである。；袋の中は四次元になっているらしく、数十kgもの砂が入っている。；単に超立方体と言った場合は特に四次元の超立方体を指すこともある。；研究の結果、最終的に四次元の四元数へとたどり着くこととなった。；別次元にある魔法世界に闇の勢力が現れ、その世界を支配した。；長さのマイナス1乗の次元を持つさまざまな物理量を測るのに使われる。；数学では、次元は様々な数学的対象について異なる方法で定義されている。；ベクトルの長さを計算する関数を、型および次元ごとに命名している。；系の次元そのものが系内の粒子の運動量を規定することが見てとれる。；四次元的に広げているので外から見ると元と変わりない。；以上は、一次元あるいは完全に等方的な場合を仮定してのものである。；潜在意識の次元では、魂がこれまでに経験した事柄がすべて記録されている。；この過程を推し進めると、より高次元の四元数体, 八元数体 が得られる。；まず、弦の運動が安定して維持可能な時空は26次元に限られていた。；それからしばらくして、「次元の墓」は地球に向かって移動を始める。</t>
        </is>
      </c>
      <c r="J3507">
        <f>HYPERLINK("https://www.weblio.jp/content/次元", "词义详情")</f>
        <v/>
      </c>
      <c r="K3507">
        <f>HYPERLINK("https://yourei.jp/次元", "查看例句")</f>
        <v/>
      </c>
    </row>
    <row r="3508">
      <c r="A3508" t="inlineStr">
        <is>
          <t>事故</t>
        </is>
      </c>
      <c r="B3508" t="inlineStr">
        <is>
          <t>成功</t>
        </is>
      </c>
      <c r="C3508" t="inlineStr">
        <is>
          <t>読み方：ことゆえ
よくないことが起こること。さしさわり。じこ。多く「ことゆえなし」の形で用いられる。
「相構へて、—なく返し入れ奉れ」〈平家・九〉</t>
        </is>
      </c>
      <c r="D3508" t="inlineStr">
        <is>
          <t>事故機(4%)；事故発生(2%)；事故当時；事故当日；事故直後</t>
        </is>
      </c>
      <c r="E3508" t="inlineStr">
        <is>
          <t>間違い；間違え；交通事故；異変；災難</t>
        </is>
      </c>
      <c r="F3508" t="inlineStr">
        <is>
          <t>本事故；大きな事故；死亡する事故；重大な事故；不幸な事故</t>
        </is>
      </c>
      <c r="G3508" t="inlineStr">
        <is>
          <t>事故後；事故原因；事故現場；事故調査；事故防止</t>
        </is>
      </c>
      <c r="H3508" t="n">
        <v>29</v>
      </c>
      <c r="I3508" t="inlineStr">
        <is>
          <t>その後事故や問題などは発生しなかったことから本格導入に移行した。；その他、管轄地域内で起こった事件、事故などの報告などが可能である。；TGVの運行歴史の中では死亡事故を含む重大事故が多数発生している。；その後この種の事故事例は東京以外でも多く発生するようになった。；庵野の父親は若い頃の事故で左足の膝から下を失っており義足であった。；また、工場では火花などによる事故を防ぐ目的で使用されることもある。；通常は金網などで安全対策が行われるが、死亡・負傷事故も起きている。；通常このような事故は稀であるが、全く発生していない訳ではない。；同社製のプールでは2016年時点で一度も事故は発生していないという。；あるいは、母に事故だと思わせるようにして自殺したという説もある。；また、センター建物では、施設関係の事故などの展示を行っているという。；重大な事件・事故が発生しても放送を休止することはほとんどない。；直接人間の生命を脅かしたりしない場合でも、事故と呼ばれる場合がある。；しかしこれらは事故時の耐久性や長期使用時の劣化等に問題があった。；市中央部の住宅密集地に位置するため、事故の危険性が懸念されていた。；この事故の原因はスパローを下に打ち出す力が足りないことにあった。；可動橋を使って搭載作業を行っている時にも事故が発生している。；この事故によりヨーロッパ・ツアーは開始が6週間遅れることとなった。；事故当時、小山は前記国道1号線を駆け下りていたところだったという。；ムクれるのはこちらのわけ故、どうも万事この調子ではヘキエキと思う。；本人によるとピローニの事故に遭遇するまでは、雨の方が得意だった。；前述の事故による廃車車両から使用可能な部品が再利用されている。；事故を防ぐことのできなかった主な要因は以下の通り。；このため事故や災害による運行の乱れが複数の路線に及ぶことが多い。；このため、しばしば海の事故を誘発したり船舶に影響を与えたりする。；事件・事故等のその日の重要なニュースをVTR中心に伝える。；これは日本に限ったことではなく、イタリアなど海外でも見られる事故である。；殺人か事故かは分からないが、人が人を殺した最古の証拠である。；大規模事件・事故の際、この運用を指摘する新聞記事が掲載されることがある。</t>
        </is>
      </c>
      <c r="J3508">
        <f>HYPERLINK("https://www.weblio.jp/content/事故", "词义详情")</f>
        <v/>
      </c>
      <c r="K3508">
        <f>HYPERLINK("https://yourei.jp/事故", "查看例句")</f>
        <v/>
      </c>
    </row>
    <row r="3509">
      <c r="A3509" t="inlineStr">
        <is>
          <t>施行</t>
        </is>
      </c>
      <c r="B3509" t="inlineStr">
        <is>
          <t>成功</t>
        </is>
      </c>
      <c r="C3509" t="inlineStr">
        <is>
          <t>読み方：しぎょう
１⇒しこう（施行）1
２⇒せぎょう（施行）2</t>
        </is>
      </c>
      <c r="D3509" t="inlineStr">
        <is>
          <t>施行距離(16%)；施行期日(4%)；施行区域(3%)；施行条件(3%)；施行予定(2%)</t>
        </is>
      </c>
      <c r="E3509" t="inlineStr">
        <is>
          <t>実行；適用；当てはめる；実施；当て嵌める</t>
        </is>
      </c>
      <c r="H3509" t="n">
        <v>29</v>
      </c>
      <c r="I3509" t="inlineStr">
        <is>
          <t>夏障害でも多くの競走が施行され、一部でグレード競走も行われている。；このため、腹膜透析を施行するのは長くても8年程度までとされている。；変更後の施行距離の記載がない競走は、施行距離に変更がないことを表す。；大東諸島の村制施行に伴って沖大東島は北大東村に属することになった。；本庁地区の領域は市制施行当初のものに旧生野町を合わせたものである。；新学制施行以後を対象とし、それ以前は旧制中等教育学校の一覧を参照。；年内に全ての非施行車を強化するため、各電車区でも工事が行われた。；まず施行されたのがトイレ付きで製造されたクハ111-2100番台。；この選挙法は植民地である樺太・朝鮮・台湾には最後まで施行されなかった。；なお、国民公会では1793年憲法が制定されたが、施行されなかった。；これは後の東京15区、即ち市制施行時の東京市の範囲とほぼ一致する。；電車緊急特別改造工事の実施項目と施行両数、実施内容は以下の通り。；さらにその後も柵戸や公民を中心とした郡制施行地を拡大していった。；しかし、この憲法は恐怖政治の採用のため実際には施行されなかった。；日本国憲法施行までの半世紀以上の間、一度も改正されることはなかった。；過去には徴兵制が施行されていたものの、現在は廃止されている。；このとき、中央から派遣した役人が全国の各地方を支配する郡県制が施行された。；新憲法施行以前に制定され、施行と同時に効力を発した主な法律を挙げる。；施行と同時に全国で20ダムが指定されたがこの中に手取川ダムも選ばれた。；その後、後述する更新を施行した編成は完全に撤去された。；この令は、律令制の本格施行ではなく先駆的に施行したものと考えられている。；同日から、指定都市を指定する政令が施行されて5市が指定都市に移行。；この要因として、まず1995年に新土地法が施行されたことが挙げられる。；律令の制定や施行の式典には、それのもっと複雑なことが行なわれる。；中華民国では憲法施行以後、これまでに3回の政権交代が行われている。；いずれも鉄骨の構造を大胆に剥き出しにした巨大建築物を施行した。；廃藩置県や町村制の施行、周辺自治体の編入・合併を経て現在に至る。；中心的な行政上の権力がなかったことから、法律はただ人々によって施行されていた。；都市高速鉄道は1968年に施行された都市計画法に規定されたものである。</t>
        </is>
      </c>
      <c r="J3509">
        <f>HYPERLINK("https://www.weblio.jp/content/施行", "词义详情")</f>
        <v/>
      </c>
      <c r="K3509">
        <f>HYPERLINK("https://yourei.jp/施行", "查看例句")</f>
        <v/>
      </c>
    </row>
    <row r="3510">
      <c r="A3510" t="inlineStr">
        <is>
          <t>嗜好</t>
        </is>
      </c>
      <c r="B3510" t="inlineStr">
        <is>
          <t>成功</t>
        </is>
      </c>
      <c r="C3510" t="inlineStr">
        <is>
          <t>読み方：しこう
ある物を特に好み、それに親しむこと。好み。主に飲食物についていう。「—が変わる」「日本人の—に合う」</t>
        </is>
      </c>
      <c r="D3510" t="inlineStr">
        <is>
          <t>嗜好品(3%)；嗜好飲料；嗜好用；嗜好癖；嗜好物</t>
        </is>
      </c>
      <c r="E3510" t="inlineStr">
        <is>
          <t>趣味；味；好み；優先；風情</t>
        </is>
      </c>
      <c r="F3510" t="inlineStr">
        <is>
          <t>音楽的嗜好；こうした嗜好；同性愛嗜好；音楽嗜好；異常な嗜好</t>
        </is>
      </c>
      <c r="G3510" t="inlineStr">
        <is>
          <t>嗜好性</t>
        </is>
      </c>
      <c r="H3510" t="n">
        <v>29</v>
      </c>
      <c r="I3510" t="inlineStr">
        <is>
          <t>妹は兄の嗜好を試験するためにさまざまなものをかき集めて持ってきた。；そして歴史や過去の芸術の解釈よりも、個人的な嗜好や感情を優先した。；プレーヤーの特定の趣味嗜好に合うか合わないかで分類する場合もある。；当時のアメリカ人にはまだあった発想や嗜好を反映している車である。；これらのことがフェリックスの音楽嗜好に大きな影響を与えたと思われる。；彼は繊細な洗煉された嗜好を持つてゐて、同時に単純な心の持主である。；僕はあなたがあんなものに嗜好を持っているなんて、一度も聞いたことがない。；それがまあ、どんなに三郎の変態的な嗜好を満足させたことでしょう。；サソリなど節足動物を思わせるデザインでゼツの嗜好が反映されている。；これらの主題は日本に対する外国人の趣味嗜好に合わせて選ばれた。；それには乾山の柄のみが嗜好であっただけでは埒があかないのである。；これにはレーニンと嗜好が違ったヨシフ・スターリンらの意向があった。；苦しみや絶望にこだわるのは、それが貴様の嗜好にあっているだけの話だ!；輸出先は40か国に及び、輸出先の嗜好に合わせて味を変更している。；この嗜好は父親の教育方針の影響である事が、帰郷した時に判明した。；職業や年収、参加者の趣味や嗜好を限定した仲介活動やイベントも多い。；彼らには人間の肝臓の味への独特の嗜好があるといわれている。；この種の欲情が彼の嗜好に大いに訴えたことはだれ知らぬものもないくらいだった。；絹は重要な嗜好品の一つで、これは帝国へ輸入され、加工されていた。；嗜好の理由以前に、長く保存するためには空気を抜く必要があった。；一方、庶民の嗜好の上などからラーメンの一種として扱われる事もある。；メンケンは多くの随筆や記事でアメリカ人の嗜好と文化の狭さを批判した。；衣服の嗜好はこの二三十年の間に、我々の目前においても著しく変った。；しかし、戦争が大衆の音楽への嗜好に影響を与えた可能性は容易に指摘できる。；そのため産業的栽培だと偽って嗜好大麻を栽培するのは困難である。；学者には伝えられていないだけとする人もいるが、ここに彼の趣味嗜好を見る人もいる。；嗜好度を調べたら2年目の梅酒が人気が一番高かったという研究もある。；脚部を性的対象とする嗜好は一般的であり、珍しいものとはいえない。；本作は、監督の嗜好・思想が随所に散りばめられた内容となっている。</t>
        </is>
      </c>
      <c r="J3510">
        <f>HYPERLINK("https://www.weblio.jp/content/嗜好", "词义详情")</f>
        <v/>
      </c>
      <c r="K3510">
        <f>HYPERLINK("https://yourei.jp/嗜好", "查看例句")</f>
        <v/>
      </c>
    </row>
    <row r="3511">
      <c r="A3511" t="inlineStr">
        <is>
          <t>試行</t>
        </is>
      </c>
      <c r="B3511" t="inlineStr">
        <is>
          <t>成功</t>
        </is>
      </c>
      <c r="C3511" t="inlineStr">
        <is>
          <t>読み方：しこう
［名］(スル)
１ためしにやってみること。試みにすること。「新教授法を—する」「—期間」
２さいころを振る実験のように、同一の条件のもとで繰り返しのきく実験や観測を試みること。多く、結果が偶然的なものをいう。</t>
        </is>
      </c>
      <c r="D3511" t="inlineStr">
        <is>
          <t>試行錯誤(21%)；試行的(4%)；試行回数(3%)；試行期間；試行関数</t>
        </is>
      </c>
      <c r="E3511" t="inlineStr">
        <is>
          <t>見る；試験；試み；努力；テスト</t>
        </is>
      </c>
      <c r="F3511" t="inlineStr">
        <is>
          <t>各試行；ドッキング試行；試行期間中</t>
        </is>
      </c>
      <c r="G3511" t="inlineStr">
        <is>
          <t>試行運行；試行雇用契約</t>
        </is>
      </c>
      <c r="H3511" t="n">
        <v>29</v>
      </c>
      <c r="I3511" t="inlineStr">
        <is>
          <t>現在も様々な試行が続いているが、確立された理論は出来ていない。；最初の衝突が発生するまでに行わなければならない試行回数を Qとする。；しかしその後も動物磁気は、民間レベルにおいては試行され続けていた。；以上のように多数回の試行によって経験的に経験の分布を計算することを示した。；このため、1930年代の日本では試行的な少数例を見るのみに終わっている。；何度か試行錯誤して、紙を染めてしまうと、面白いように筆が進んだ。；特に起こりうる結果が2つしかない試行はベルヌーイ試行と呼ばれる。；番組の進行に活用させるという、少々変わったシステムが試行された。；エンジンは3年間の試行を経て、設計を改善するためにいくつかの変更が行った。；鉄道管理局再編の試行として大幅に管理局の権限を移したケースもあった。；試行回数に対して、希望の結果が得られた回数の比率を求めるのである。；このために、フランス領側では大規模な太陽光発電計画が試行された。；最終的に作品がまとまるまで、たどりつづけなければならない試行の跡だ。；歌詞を書く際、畑は主人公に選択を迫る箇所を試行錯誤したという。；終わった試行はすでに終わったことでしかないのだ。；数多くの試行の後、提案されたルール変更のおよそ半分が競技規則に恒久的に追加された。；現在、このうちカイヌー県では議会の選択に普通選挙を試行している。；同年3月までは試行的実施であったが、4月より本格実施となった。；また、精度の良い結果を得るためには多くの試行回数が必要となる。；同じ問題を繰り返し試行し、方法を変えることなく、目標を疑うこともない。；「次こそは本気でやってやる」と決意を固め、必死に試行錯誤したという。；それが今日まで繰り返し試行錯誤され、ついに文字通り実を結んだのだった。；稽古なんですから、間違ったり試行錯誤したりして当然のはずなのに。；また試行期間中に、あわせてルート・ダイヤ再編の検討を行うこととした。；税金だけで管理することが困難であるため、有料化が試行されるようになった。；各試行の結果は独立しており、1回のトスで表が出る確率はである。；すなわち、過去の試行の結果は将来の結果について何の情報ももたらさない。；抜け出そうと試行錯誤していると、彼は美しくも奇妙な杖を発見する。；ドイツより文献を集め試行を繰り返したが、レーヨン製造には至らなかった。</t>
        </is>
      </c>
      <c r="J3511">
        <f>HYPERLINK("https://www.weblio.jp/content/試行", "词义详情")</f>
        <v/>
      </c>
      <c r="K3511">
        <f>HYPERLINK("https://yourei.jp/試行", "查看例句")</f>
        <v/>
      </c>
    </row>
    <row r="3512">
      <c r="A3512" t="inlineStr">
        <is>
          <t>思考</t>
        </is>
      </c>
      <c r="B3512" t="inlineStr">
        <is>
          <t>成功</t>
        </is>
      </c>
      <c r="C3512" t="inlineStr">
        <is>
          <t>読み方：しこう
［名］(スル)
１考えること。経験や知識をもとにあれこれと頭を働かせること。「—を巡らす」「—力が鈍る」
２哲学で、広義には、人間の知的精神作用の総称。狭義には、感覚や表象の内容を概念化し、判断し、推理する知性の働きをいう。
３心理学で、感覚や表象の内容を概念化し、判断し、推理する心の働きや機能をいう。</t>
        </is>
      </c>
      <c r="D3512" t="inlineStr">
        <is>
          <t>思考波(2%)；思考能力；思考法；思考方法；思考力</t>
        </is>
      </c>
      <c r="E3512" t="inlineStr">
        <is>
          <t>思う；考える；検討；考慮；考えること</t>
        </is>
      </c>
      <c r="F3512" t="inlineStr">
        <is>
          <t>柔軟な思考；思考プロセス；思考エンジン；まともな思考；思考内容</t>
        </is>
      </c>
      <c r="G3512" t="inlineStr">
        <is>
          <t>思考実験；思考回路；思考停止；思考パターン；思考ルーチン</t>
        </is>
      </c>
      <c r="H3512" t="n">
        <v>29</v>
      </c>
      <c r="I3512" t="inlineStr">
        <is>
          <t>作家と現実空間との緊張関係を主題にした思考性の強い作品を数多く制作。；そのため、中には非常に反動的な思考を持った人物も少なくはなかった。；思考とは確立された技術などと異なり、必ずしも結論に至るものではない。；変わった事をやらなければならないという思考から解放してくれたという。；複数事業を抱える多角化企業の経営には、新たな思考法が必要とされる。；逆に思考をしないためには心を空にする特別な修練を積む必要がある。；思考は言語を基礎に行われるが、それだけではなくイメージなども関与する。；通常、人間はこの前提をなるべく変更しないように思考する習性がある。；彼の才能は豊かで思考は鋭く、その文体は独自性と美しさで特筆される。；平和の価値を絶対視してその上に思考することは決して理性的なことではない。；バビロニアの住民は、関心や思考の異なる多数の民族に分かれていた。；ここで思考が使う情報とは、記憶の中に分布するホログラムと言える。；が、西欧的思考による猿の文化を否定するための定義と言えなくもない。；本書で建設的思考のある相について扉は閉ざされたと作者は信じている。；IMRAD型は、研究者が論文を読む過程での思考の流れとの相性がよい。；技術は表現しようとすることの手段であって、心理や思考が優先する。；思考は目的的に規制されたものとそうでないものがある。；他の一般的なパズルとは違い、思考はあまり重要視されない事が多い。；思考を促すような西洋の小説が続々とロシア語に翻訳されるようになった。；トキポナは、人間の思考過程をそのまま表現することを目指している。；彼の思索は中世の混沌のなかから近代的思考を準備したと高く評価されている。；しかし人間の意識や思考、心の源泉は、未だ科学には解明できていない。；思考コントロールは類を見ない特殊なもので、鬼宿の人間しか使えない。；文字は思考・創造の武器として民族に多大な影響を与えたものはなかった。；いずれにしても、社会主義国の官から民へ経済思考がシフトしている。；しかし思考一般から独立のものを考えることはできない。；どのような特定の思考についても、それから独立のものを考えることできる。；だが、コントの男性優位的な思考を変える出来事が後に起こっている。；しかし臨死体験では思考がはっきりしていて複雑な場合が多い。</t>
        </is>
      </c>
      <c r="J3512">
        <f>HYPERLINK("https://www.weblio.jp/content/思考", "词义详情")</f>
        <v/>
      </c>
      <c r="K3512">
        <f>HYPERLINK("https://yourei.jp/思考", "查看例句")</f>
        <v/>
      </c>
    </row>
    <row r="3513">
      <c r="A3513" t="inlineStr">
        <is>
          <t>志向</t>
        </is>
      </c>
      <c r="B3513" t="inlineStr">
        <is>
          <t>成功</t>
        </is>
      </c>
      <c r="C3513" t="inlineStr">
        <is>
          <t>読み方：しこう
［名］(スル)意識が一定の対象に向かうこと。考えや気持ちがある方向を目指すこと。指向。「高い—をもつ」「音楽家を—する」「上昇—」</t>
        </is>
      </c>
      <c r="D3513" t="inlineStr">
        <is>
          <t>志向するよう；志向的；志向性；志向型；志向し始め</t>
        </is>
      </c>
      <c r="E3513" t="inlineStr">
        <is>
          <t>意図；志す；企てる；目ざす；目差す</t>
        </is>
      </c>
      <c r="F3513" t="inlineStr">
        <is>
          <t>上昇志向；高級志向；独立志向；権力志向；プロ志向</t>
        </is>
      </c>
      <c r="H3513" t="n">
        <v>29</v>
      </c>
      <c r="I3513" t="inlineStr">
        <is>
          <t>日本のドイツ音楽偏重志向はこのときから始まると言えるかもしれない。；科学の実用技術や社会への応用が志向され、科学は宗教から分離し始めた。；農業を志向した社会主義経済の非効率性も経済発展の障害となっていた。；建学の精神は「心と体の健康を志向する‘健への教育'」となっている。；ヒッピー的な自然回帰を志向する傾向は、古くから欧米に存在していた。；こういった議論は、コペルニクスが新たな体系を志向するきっかけになる。；日本海軍の大口径砲志向への背景にもある種の類似したものがあった。；活用表の書き方には他に志向形、音便形を命令形の後に書く方法がある。；若い頃から脇役や老け役志向であったために仕事が多く来たという。；数多くの歴史的・社会的テーマを取り込んだ芸術志向の野心作だった。；このグループは革命的ではなく、むしろ緩やかな変革を志向していた。；その後は社会全体の構造をとらえる全体小説を志向し、次々と大作を発表。；その反議会主義と直接行動への志向は当時の知識人と労働者に歓迎された。；アメリカ独立戦争で独立を志向する愛国者に対して反対の立場を取った。；横浜市内で新入社員研修を受け、当初は作家業との両立を志向していた。；防大出身者が指導的立場に立ってから防衛面での独立志向が強まったためと思う。；この時期からポップ性を意識し始め、大作志向から短い曲へと変化していく。；本人は変わらずロック志向だったものの、周りに言われるがまま作家的な曲作りを続ける。；これ以降、穏健な立憲君主制を志向していた革命の流れは急進化していく。；このため、イギリス軍はまずこれらの攻略を志向することになった。；加藤は大学卒業後も研究を志向した点で、サッカー選手の中では異彩を放っている。；ただし北条氏はそもそも上洛を志向していないという説が有力である。；ミュージシャン以外には音楽を志向する俳優 ・ タレントが出演する場合もあった。；クライストはルソーに刺激を受け、農民の生活を志向するようになる。；このように保守主義は懐古趣味とは異なる志向の要素も含んでいる。；しかし、グループの構造だけではなく思想の志向にも着目している点が異なるという。；科学的志向の大学とは異なり、明確な職業観を持った職業訓練を志向している。；当初は百貨店は高級志向であり、様々な高級品を中心に質と種類を求め陳列した。；理想主義的な哲人政治を志向したが、書物としての教育論は残していない。</t>
        </is>
      </c>
      <c r="J3513">
        <f>HYPERLINK("https://www.weblio.jp/content/志向", "词义详情")</f>
        <v/>
      </c>
      <c r="K3513">
        <f>HYPERLINK("https://yourei.jp/志向", "查看例句")</f>
        <v/>
      </c>
    </row>
    <row r="3514">
      <c r="A3514" t="inlineStr">
        <is>
          <t>事項</t>
        </is>
      </c>
      <c r="B3514" t="inlineStr">
        <is>
          <t>成功</t>
        </is>
      </c>
      <c r="C3514" t="inlineStr">
        <is>
          <t>読み方：じこう
ある物事の中の一つ一つの事柄。「—索引」「特記—」</t>
        </is>
      </c>
      <c r="D3514" t="inlineStr">
        <is>
          <t>事項等；事項以外；事項その他；事項証明；事項違反</t>
        </is>
      </c>
      <c r="E3514" t="inlineStr">
        <is>
          <t>こと；事；品；要素；件</t>
        </is>
      </c>
      <c r="F3514" t="inlineStr">
        <is>
          <t>決定事項；要求事項；記載事項；必要な事項；必要事項</t>
        </is>
      </c>
      <c r="H3514" t="n">
        <v>29</v>
      </c>
      <c r="I3514" t="inlineStr">
        <is>
          <t>西洋婦人は髪の代りに帽子を蒙るから帽子へ金をかけると万事こう違う。；ベトナム側が協議事項としなかったことが、韓国には幸いしたのである。；その他、放送局から指定された事項があればそれに従うのは当然である。；地区議会は、各地区で懸案となっている事項を聞き取るのに重要である。；この件は、未確定の事項がまだ残っており、現在も交渉が続けられている。；といった事項が確認され、教会側に叙品権が与えられることで決着した。；これが二重責任の原則であり、監査報告書の導入区分への記載事項である。；また、将軍は評定会議には出席せず、決定事項を閲覧するのみであった。；なお、法人が申請人となる場合、以下の事項も記載しなければならない。；この節では特記なき限り共通事項及び登場時の形態について記述する。；質量がバネからぶら下がっている場合、前で考慮した事項が適用される。；上述の増備車共通事項以外は1000番台初期車とほぼ同一仕様である。；この法には人頭税、有権者登録の時期、および記録の要求事項があった。；飛鳥浄御原令により、いくつかの重要な事項が定められたとされている。；本項では出演機会の多いもしくは特記事項のあるゲストのみ記載する。；これらの事項は当事者の合意による任意の処分ができないと考えられている。；冒頭には、その神社について知っておくべき最も重要な事項を記述します。；株主を構成員とし、株式会社の基本的な方針や重要な事項を決定する。；スイスの最高裁は純粋に政治的な事項であるとして判決を拒否したことがある。；もう一つこの両番組の共通する事項は番組のテーマソングである。；競技中に次の事項のいずれかに該当した競技者は失格となり順位はつかない。；攻撃位置の確保は我々戦闘機乗りが習得していなければならない基本的事項だ。；関係する薬物規制法律に特例または必要な事項を定めるための法律である。；地球の考慮事項と実際の形状に基づいて、大きく2つのタイプに分類されるもの。；以上のように圧力鍋の取り扱いには特に注意すべき事項が存在する。；現在の全国的な問題の多くが、マサチューセッツ州の決定事項に影響されてきた。；また、頭を強打して血管が損傷するなどの外傷的な事項でも発生する。；雑誌掲載記事を事項別・事件別に分類し、新しい項目を作る。；以下の項目は、まだない項目で、執筆が求められている事項です。</t>
        </is>
      </c>
      <c r="J3514">
        <f>HYPERLINK("https://www.weblio.jp/content/事項", "词义详情")</f>
        <v/>
      </c>
      <c r="K3514">
        <f>HYPERLINK("https://yourei.jp/事項", "查看例句")</f>
        <v/>
      </c>
    </row>
    <row r="3515">
      <c r="A3515" t="inlineStr">
        <is>
          <t>試行錯誤</t>
        </is>
      </c>
      <c r="B3515" t="inlineStr">
        <is>
          <t>成功</t>
        </is>
      </c>
      <c r="C3515" t="inlineStr">
        <is>
          <t>読み方：しこうさくご
種々の方法を繰り返し試みて失敗を重ねながら解決方法を追求すること。「—を重ねる」</t>
        </is>
      </c>
      <c r="D3515" t="inlineStr">
        <is>
          <t>試行錯誤しながら(2%)；試行錯誤学習；試行錯誤説</t>
        </is>
      </c>
      <c r="E3515" t="inlineStr">
        <is>
          <t>トライアルアンドエラー</t>
        </is>
      </c>
      <c r="F3515" t="inlineStr">
        <is>
          <t>さまざまな試行錯誤；こうした試行錯誤；そういう試行錯誤</t>
        </is>
      </c>
      <c r="H3515" t="n">
        <v>29</v>
      </c>
      <c r="I3515" t="inlineStr">
        <is>
          <t>しかし多くの試行錯誤と設定の変更なしに完璧に動作するゲームはない。；特にライフリングには非常に苦労したようで試行錯誤を繰り返していた。；だから、少しの試行錯誤の後、死体の袋を埋めた場所は特定できたのだ。；マーカントの意見ははっきりしてますが、かれはまだ試行錯誤中ですよ。；飯田によれば体を大きくするために「試行錯誤した一頭」だったという。；試行錯誤の後、目が大きいのではなく眼光が強いことに気付いたという。；試行錯誤と山ほどの傷の結果、何世紀もかかって作りあげたものなんだ。；何度もの交渉や試行錯誤を経て製造が決定し、完成したのが本形式である。；治療は確立した方法はなく、病例毎に試行錯誤が繰り返されることが多い。；この間、各国は他の形態の戦車の開発に試行錯誤を繰り返していた。；試行錯誤により成長したが、民間と連携しないわけにはいかなかった。；しかし芸術性と商業性との矛盾に悩み失敗と試行錯誤を繰り返した。；いままで何度も何度も、うんざりするほど試行錯誤をくりかえしてきた。；治療の方向性はある程度は見えてきてはいるものの最終的には試行錯誤である。；試行錯誤しているつもりでも、さっきから同じ発想に立ち続けている。；試行錯誤を重ね、書き始めから約2週間で掲載用の記事を完成させたという。；ただし赤色に決定するまでは試行錯誤が続き、青も検討されたことがあった。；それに推測するにさ、彼らも各種の脳細胞を使って試行錯誤したはずなんだ。；しかし初期の教育制度は未整備で学校制度は様々な試行錯誤を重ねていく。；その間に弟子たちは、試行錯誤しながら、自分で自分を育てて行くのである。；東京のシンボルを探す試行錯誤は一九九八年頃から暇を見て行った。；各期ごとに試行錯誤が重ねられ、挑戦者決定リーグの開催方式が変更された。；ネットワークと電子本の結びつきは、今も試行錯誤の段階にある。；九四年の初版以降、試行錯誤のなかで改訂新版を重ねてきた労作だった。；ささやかな菜園だが、ここまでくるのに相当な試行錯誤があったのだろう。；適当にこんな感じかなあと思って作って、後は試行錯誤ですよ。；試行錯誤の末、チョコレート菓子を中心に洋菓子を販売することにした。；その方法に関しては、ここ三〇年ほど様々な試行錯誤をくりかえしてきた。；また、合いの手の掛け声は言い方を変えるなど試行錯誤を経て行われた。</t>
        </is>
      </c>
      <c r="J3515">
        <f>HYPERLINK("https://www.weblio.jp/content/試行錯誤", "词义详情")</f>
        <v/>
      </c>
      <c r="K3515">
        <f>HYPERLINK("https://yourei.jp/試行錯誤", "查看例句")</f>
        <v/>
      </c>
    </row>
    <row r="3516">
      <c r="A3516" t="inlineStr">
        <is>
          <t>時刻</t>
        </is>
      </c>
      <c r="B3516" t="inlineStr">
        <is>
          <t>成功</t>
        </is>
      </c>
      <c r="C3516" t="inlineStr">
        <is>
          <t>読み方：じこく
１時の流れにおける、ある瞬間。連続する時間の中のある一点。「約束の—」「列車の着く—」
２ちょうどよい時。時機。</t>
        </is>
      </c>
      <c r="D3516" t="inlineStr">
        <is>
          <t>時刻t；時刻表；時刻変更；時刻情報；時刻修正</t>
        </is>
      </c>
      <c r="E3516" t="inlineStr">
        <is>
          <t>時；時間；刹那；瞬時；咄嗟</t>
        </is>
      </c>
      <c r="F3516" t="inlineStr">
        <is>
          <t>同じ時刻；死亡推定時刻；発車時刻；開始時刻；こんな時刻</t>
        </is>
      </c>
      <c r="G3516" t="inlineStr">
        <is>
          <t>時刻表示；時刻同期；時刻系；時刻帯；時刻表記</t>
        </is>
      </c>
      <c r="H3516" t="n">
        <v>29</v>
      </c>
      <c r="I3516" t="inlineStr">
        <is>
          <t>なお現在の国際的な基準時刻は概念を修正した協定世界時を用いている。；第36回は史上初めて全11地区の会場で同日同時刻に予選が行われた。；こうした問題を解消するために、細かい時刻修正が行われることがある。；夕方の帯ニュースの時刻はほぼ1年前の状態へ復帰することになった。；定められた時刻通りに列車を運行することは鉄道事業の出発点である。；時刻の指示だけでなく時間の測定もできる時計にクロノグラフがある。；バビロニア人やエジプト人は日の出を一日の始まりの時刻だとしていた。；針や棒の影の先端の一点の位置で時刻を読み取る精密なタイプもある。；地球に到着したエリーは発射時刻から全く時が経っていないことに気づく。；この方式では表示される時刻が実際の時刻と異なることがある。；全てのクライアントが同じ内容を同じ時刻に見ており、通常の放送に近い。；時刻変更のときは番組終了と同時に切り替えになることも稀にある。；日没時刻は、太陽の縁が西の地平線の下に沈んだ瞬間として定義される。；自分の教室に授業開始時刻まで滞在していれば、授業に参加することが出来た。；このとき、 を時刻 より前に発生した事象の回数とすると、 となる。；その結果、特捜本部は以下のように死因・死亡推定時刻などを断定した。；秋には雨がやや増えるが夕立など特定の時刻に集中的に降ることが多い。；むしろ時刻表に記載された到着時刻より5分以上早く着くことが多い。；古くは日常生活の中で時刻を知る方法は太陽の動きなどであった。；つまり「時間」を時刻の意味で使ってしまう用法は正しい用法ではない。；その時にジョンソンは時計を確認し、時刻は10時44分だったという。；西洋の方法での予測が的中し見える位置、時刻ともに正確であった。；そのため、異なる天文台で同時刻に求めた UT0 は異なる値になる。；未来の時刻を設定して使用すると、未来にその場で発生する音声が再生される。；列車に遅れなどが生じた場合に、時刻調整や発着順序変更など行う。；既に開始時刻から40分以上経過していたが参加を許可される。；普通列車と比べ、優等列車の運転時刻が優先的に決められる場合が多い。；この場合は別に電源が必要となることが多いが、時刻合わせは一瞬で完了する。；この影響で予定していた一部のコーナーが休止・各コーナー開始時刻が異なっていた。</t>
        </is>
      </c>
      <c r="J3516">
        <f>HYPERLINK("https://www.weblio.jp/content/時刻", "词义详情")</f>
        <v/>
      </c>
      <c r="K3516">
        <f>HYPERLINK("https://yourei.jp/時刻", "查看例句")</f>
        <v/>
      </c>
    </row>
    <row r="3517">
      <c r="A3517" t="inlineStr">
        <is>
          <t>地獄</t>
        </is>
      </c>
      <c r="B3517" t="inlineStr">
        <is>
          <t>成功</t>
        </is>
      </c>
      <c r="C3517" t="inlineStr">
        <is>
          <t>読み方：じごく
《(梵)naraka（那落迦）、niraya（泥黎）の訳。地下の牢獄(ろうごく)の意》
１仏語。六道の一。この世で悪いことをした者が死後に行って苦しみを受けるという所。閻魔(えんま)大王が生前の罪業を裁き、獄卒の鬼が刑罰を加えるという。八熱地獄・八寒地獄などがある。地獄道。奈落(ならく)。⇔極楽。
２キリスト教で、神の教えに背いた者、罪を犯して悔い改めない魂が陥って永遠の苦を受け、救われないという世界。⇔天国。
３イスラム教で、この世の終末に復活して受ける審判によって、不信仰者や不正を行った者が永劫の罰を受ける所。罪人であっても信仰者はやがて天国に入れられる。ジャハンナム。
４非常な苦しみをもたらす状態・境遇のたとえ。「試験—」
５火山の、絶えず噴煙が噴き出している所。また、温泉地で絶えず煙や湯気が立ち、熱湯の噴き出ている所。「温泉場の—巡り」
６劇場の舞台の床下。奈落(ならく)。
７下等の売春婦。私娼(ししょう)。
「君も巴黎(パリイ)の—の味まで知ったなら」〈魯庵・社会百面相〉
[下接句]板子(いたご)一枚下は地獄・一寸下は地獄・聞いて極楽見て地獄・見ての極楽住みての地獄
[補説]作品名別項。→地獄</t>
        </is>
      </c>
      <c r="D3517" t="inlineStr">
        <is>
          <t>地獄行き；地獄篇；地獄極楽；地獄穴；地獄博士</t>
        </is>
      </c>
      <c r="E3517" t="inlineStr">
        <is>
          <t>焚火；ヘル；奈落；火の手；たき火</t>
        </is>
      </c>
      <c r="F3517" t="inlineStr">
        <is>
          <t>借金地獄；小地獄；炎熱地獄；飢餓地獄；火炎地獄</t>
        </is>
      </c>
      <c r="G3517" t="inlineStr">
        <is>
          <t>地獄絵図；地獄の門；地獄絵；地獄図；地獄変</t>
        </is>
      </c>
      <c r="H3517" t="n">
        <v>29</v>
      </c>
      <c r="I3517" t="inlineStr">
        <is>
          <t>これまでの地獄のような都市とは違い、住民と産業には活気が見られた。；また平安時代に小野篁が井戸を通って地獄に通ったとされる伝説も有名。；よく八幡地獄と混同して紹介されることがあったが、別の園地であった。；そしてグザファンは地獄の釜の炎を吹き続ける罰を与えられたとされる。；相手を瀕死にする能力の地獄の呪いが使える唯一のキャラクターである。；ただし移行抽選に当選しやすく、移行先も地獄モードが選ばれやすい。；永遠の地獄の存在を否定し、万人が天国に行くと主張するグループもある。；かつては地獄地帯の高温泉を地元の人達が調理に使っていたという。；しかし、その案が実行される前にルシファー達は負けて地獄に落とされる。；地球の上には七層からなる天界、下には七層からなる地獄が存在するとされる。；彼女たちが私のように、地獄のような体験をさせられなくてすむように。；故に地獄は数ある魔法世界の中で唯一複数の魔法大系を持つ世界となっている。；近代では火車の名は地獄の獄卒ではなく、前述の猫の妖怪を指す方が多い。；基地の兵は「毎日10名が餓死する生き地獄の島」とも紹介している。；日本においてはアルバムの邦題が「地獄」シリーズであることでも有名。；聖衣に装備された地獄の枷といわれる鋼球鎖での攻撃を得意とする。；光は全ての人の内部にあるから誰も地獄に落ちることはないという言い方もある。；紺屋地獄は、泥湯で有名な別府温泉保養ランドの所にあった地獄である。；地獄ダンジョンに登場する異形は例外なく神経塔のものより強力になっている。；八熱地獄に付随する十六の小地獄があるとし、また各々の種別を挙げる。；映画は撮影されるまでに何年も開発地獄に陥った。；だが、そこは非行少年グループによる暴力が支配する地獄の学園だった。；山頂には巨大なスクリーンが出現し、天国や地獄の様子が映し出された。；その姿は文字通り全身が黒く、背中にある翼で地獄中を自在に飛び回る。；他の地獄のように、元来の地獄の様子が一変するほどの手は加えられていない。；少女時代、ソーニャは市場での商売が嫌いで、地獄の仕事だと思っていた。；天国のみならず地獄もゲージ回復のための有効手段として利用できる。；この妻は行いが良くなかったため、生きながらにして地獄へ堕ちたといわれたという。；手術は3時間で終了したが、痛み止めの存在を知らず地獄の痛みに苦しむ。</t>
        </is>
      </c>
      <c r="J3517">
        <f>HYPERLINK("https://www.weblio.jp/content/地獄", "词义详情")</f>
        <v/>
      </c>
      <c r="K3517">
        <f>HYPERLINK("https://yourei.jp/地獄", "查看例句")</f>
        <v/>
      </c>
    </row>
    <row r="3518">
      <c r="A3518" t="inlineStr">
        <is>
          <t>自己紹介</t>
        </is>
      </c>
      <c r="B3518" t="inlineStr">
        <is>
          <t>成功</t>
        </is>
      </c>
      <c r="C3518" t="inlineStr">
        <is>
          <t>読み方：じこしょうかい
［名］(スル)初対面の人などに自分の名前・職業・身分などを、自分で知らせること。</t>
        </is>
      </c>
      <c r="D3518" t="inlineStr">
        <is>
          <t>自己紹介欄；自己紹介動画；自己紹介ページ；自己紹介文；自己紹介ソング</t>
        </is>
      </c>
      <c r="E3518" t="inlineStr">
        <is>
          <t>アピール；自己申告；自己アピール；自己開示</t>
        </is>
      </c>
      <c r="H3518" t="n">
        <v>29</v>
      </c>
      <c r="I3518" t="inlineStr">
        <is>
          <t>もう私のことは調べてあるでしょうから、自己紹介は必要なかったかな?；自己紹介の際にこの台詞を口にすることに、慣れきっているようだった。；こんな事を考えていると、気が付けば転校生の自己紹介が始まっていた。；料理が苦手なようで、自己紹介時に数々の失敗エピソードを語っている。；自己紹介ページ作成サービスの多くはモバイルサイト上に多く存在する。；単行本のカバーに記載されている自己紹介文によると、映画好きとの事。；星が自己紹介をし、いままでの体験を話すと、みながはげましてくれた。；この四人はもう入部を決めたってことで、自己紹介をすることになった。；それから日本人であることを明らかにし、簡単な自己紹介を行なった。；で、相手がなんか言い返してきたら、英語で簡単な自己紹介をするんだ。；彼が降り立ってから自己紹介をする間も、悠二はずっとそんな調子だった。；そして自分もまた別の地域でおなじような活動をやっている人間だと自己紹介をする。；車の中ではしばらく沈黙が続いたが、何とか自己紹介だけは済ませた。；彼は自分の性格を暴露して、とんだ自己紹介をやってのけたわけである。；自己紹介を、と言いたいところだが顔を合わせてりや嫌でも覚えるだろ。；いや、それ以前に、こんなことは自己紹介のときに言うことじゃない。；その代わり、横顔の魅力的な女性が彼の前の席に来て自己紹介した。；遅刻の件はひとまず置いて、中断した自己紹介を続けさせることにした。；小川肇と自己紹介を受けていて、先日からここで働き始めているらしい。；文香が自己紹介で何て言ったかなんて覚えてないし、席が隣でもなかった。；ちょうど最後の生徒が自己紹介を終えたあたりで授業終了のチャイムが鳴った。；それはなんのことばも必要とせず、一瞬のうちに自己紹介をしてしまうものである。；自己紹介はなかなか印象的なのをお互いに交わしたはずなんだが。；ある町に引っ越してきた少年の自己紹介や家族紹介を歌った楽曲。；手軽に携帯電話・パソコンの両方に対応した自己紹介ページを作成できる。；キノとエルメスがそれぞれ自己紹介をして、旅をしていることを告げる。；先ほどの自己紹介では、はっきりとは言わなかったが、夫とは離婚したらしい。；自己紹介の後で、彼女はもう一度そのノートに何が書かれているのかを尋ねた。；自己紹介でのキャッチフレーズが魔法要素のないものに改められた。</t>
        </is>
      </c>
      <c r="J3518">
        <f>HYPERLINK("https://www.weblio.jp/content/自己紹介", "词义详情")</f>
        <v/>
      </c>
      <c r="K3518">
        <f>HYPERLINK("https://yourei.jp/自己紹介", "查看例句")</f>
        <v/>
      </c>
    </row>
    <row r="3519">
      <c r="A3519" t="inlineStr">
        <is>
          <t>仕事</t>
        </is>
      </c>
      <c r="B3519" t="inlineStr">
        <is>
          <t>成功</t>
        </is>
      </c>
      <c r="C3519" t="inlineStr">
        <is>
          <t>読み方：しごと
［名］(スル)《「し」はサ変動詞「す」の連用形。「仕」は当て字》
１何かを作り出す、または、成し遂げるための行動。「やりかけの—」「—が手につかない」
２生計を立てる手段として従事する事柄。職業。「将来性のある—を探す」「金融関係の—に就く」「週の半分は自宅で—する」
３したこと。行動の結果。業績。「いい—を残す」
４悪事をしたり、たくらんだりすること。しわざ。所業。「掏摸(すり)が集団で—をする」
５《「針仕事」の略》縫い物。裁縫。
「お前急に一つ—をしてくれんか」〈紅葉・多情多恨〉
６力学で、物体が外力の作用で移動したときの、移動方向への力の成分と移動距離との積。単位はエネルギーの単位ジュール、その他ワット秒・ワット時など。
[下接語]遊び仕事・荒仕事・請負仕事・お役所仕事・片手仕事・片手間仕事・下仕事・力仕事・賃仕事・手仕事・出仕事・手間仕事・殿様仕事・庭仕事・野良仕事・針仕事・日仕事・一(ひと)仕事・水仕事・儲(もう)け仕事・遣(や)っ付け仕事・山仕事・夜(よ)仕事
[補説]2015年に実施した「あなたの言葉を辞書に載せよう。2015」キャンペーンでの「仕事」への投稿から選ばれた優秀作品。◆なんだかんだ言って生き甲斐だったりする。ハルヲさん◆あらゆる場面で使われている「言い訳ネタ」の王道。陽一郎タニーさん◆ブラックでも駄目、ムショクでも駄目。ハルクマさん◆自分、あるいは家族のために頑張るもの。ただし、時には家族との大切な時間をも犠牲にしてでも頑張らないといけないもの。しゃけ缶さん◆やればやるほど増えるもの。のびたさん◆終わりが待ち遠しくて、始まりは憂鬱なもの。すぅさん◆自分でやろうと決めた行動。その意味では自発的なものだけでなく、指示された内容も含む。福沢諭吉は世の中で一番楽しく立派なことは一生涯を貫く仕事を持つことであるとしている。かぁじぃさん◆社会の中での自分の「役割」を見つけ、同時に自分の「志」を実現する手段。rakuhitoさん◆与えられると窮屈になるもの。みずから掴み取るとワクワクとしてくるもの。みままさん◆生きがいでもあり、生きる糧を得るための手段でもあり、己を見つめ直すための修行でもある、人としての真っ当な営み。ばってら子さん</t>
        </is>
      </c>
      <c r="D3519" t="inlineStr">
        <is>
          <t>仕事ぶり；仕事部屋；仕事仲間；仕事熱心；仕事柄</t>
        </is>
      </c>
      <c r="E3519" t="inlineStr">
        <is>
          <t>務め；目的；事業；役；企業</t>
        </is>
      </c>
      <c r="F3519" t="inlineStr">
        <is>
          <t>どんな仕事；一緒に仕事；畑仕事；初仕事；主な仕事</t>
        </is>
      </c>
      <c r="G3519" t="inlineStr">
        <is>
          <t>仕事着；仕事人；仕事量；仕事内容；仕事師</t>
        </is>
      </c>
      <c r="H3519" t="n">
        <v>29</v>
      </c>
      <c r="I3519" t="inlineStr">
        <is>
          <t>最初の大きな仕事は月の位置を計算するプログラムを作成することだった。；謎と見ると放っておかれず、仕事抜きで事件に関わっていくことも多い。；事務所に入って最初の仕事は、企業向けビデオの顔出しでの出演である。；そのことが声の仕事をするきっかけになり、28歳で声優デビューする。；物体間で仕事を通じて移動する以外のエネルギーの移動形態を熱という。；しかし彼らの仕事は孤立して残っているばかりでよく知られていない。；この作品でブランドは俳優兼監督のアーサー・ペンと再び仕事をした。；後継の写譜師達からは仕事を断る者、途中放棄する者が出たほどである。；そのような中で依頼が来たのが日本の帝国ホテル新館設計の仕事であった。；僕らは声を出すことができないキャラクターの人生を再現するのが仕事です。；ピカソは仕事をしているとき以外は、一人でいることができなかった。；それ以降、会社側はカロザースが仕事を続けることは無理だと判断した。；この仕事のためにガニュメーデースには永遠の若さと不死が与えられた。；近年は声の仕事よりも、新人声優への講師が仕事の中心となっている。；ニュースの速報記事を書くのは、ウィキペディアの仕事ではありません。；父は湯浅屋支配人の仕事があるため、東京と松阪を往復する生活をした。；急行とは、仕事などを急いでやること、または目的地に急ぐことを指す。；この時期は日本を離れてハワイに滞在しており、日本での仕事をしていない。；その後映画の魅力にとりつかれ、映画業界の仕事に興味を持ち始める。；また、これらの下に雇や嘱託の身分で図書館専門の仕事を行う職員がいた。；共通の趣味となった音楽に嵌まり、仕事を半年余りで投げ出してしまう。；また、都市の発展とビジョンの仕事に対して全体的な責任を負っている。；仕事が終われば、スタッフを引き連れ、酒を飲みに行くことも多かった。；それらは仕事に使う道具の模造品であったり、衣装やお面なども含まれる。；この時に描いた爆発シーンが各所で評価され、仕事が来るようになったという。；ほとんどが手で扱うことが可能だが、主に大工仕事に用いるものをここに示す。；この日すぐ松之助はさんまを自身の仕事先であるラジオ局に連れて行った。；同時にスタッフに対しての態度が悪いのも同様に仕事を失う一因にもなる。；こっちへ行けばいいんだと示した点で、池田は大変大きな仕事をしたと思います。</t>
        </is>
      </c>
      <c r="J3519">
        <f>HYPERLINK("https://www.weblio.jp/content/仕事", "词义详情")</f>
        <v/>
      </c>
      <c r="K3519">
        <f>HYPERLINK("https://yourei.jp/仕事", "查看例句")</f>
        <v/>
      </c>
    </row>
    <row r="3520">
      <c r="A3520" t="inlineStr">
        <is>
          <t>示唆</t>
        </is>
      </c>
      <c r="B3520" t="inlineStr">
        <is>
          <t>成功</t>
        </is>
      </c>
      <c r="C3520" t="inlineStr">
        <is>
          <t>読み方：しさ
［名］(スル)《「じさ」とも》それとなく知らせること。ほのめかすこと。「—に富む談話」「法改正の可能性を—する」</t>
        </is>
      </c>
      <c r="D3520" t="inlineStr">
        <is>
          <t>示唆する(18%)；示唆される(7%)</t>
        </is>
      </c>
      <c r="E3520" t="inlineStr">
        <is>
          <t>提案；鍵；キー；助言；手がかり</t>
        </is>
      </c>
      <c r="F3520" t="inlineStr">
        <is>
          <t>有益な示唆；示唆する所見；示唆する徴候；示唆する証拠；示唆する発言</t>
        </is>
      </c>
      <c r="H3520" t="n">
        <v>29</v>
      </c>
      <c r="I3520" t="inlineStr">
        <is>
          <t>以前の世代よりも早い時期に性行為を始めることを示唆する研究もある。；彼は、中国を訪れた外交化や商人に注意を払うべきことを示唆している。；それは若いトリケラトプスだけで群れを作っていた可能性を示唆する。；登板はなかったが、今後も同様な場面があった場合の登板を示唆されていた。；この効果はニコチンの食欲抑制効果と関係があることが示唆されている。；この事実は、ひとつの薬がそれらすべてに有効である可能性を示唆している。；コペルニクスの事例は「科学理論の交代が起こる原因」に示唆を与える。；このことは環境さえ適切ならば生命の発生は比較的容易であることを示唆している。；このことから、今後新たな一代年寄が生まれない可能性が示唆されている。；複数の研究から、現存する最も近縁な種はミノバトと示唆されている。；彼のに基づく科学的方法論の歴史的分析は、次のことを示唆している。；これはかつてアントニウスとブルトゥスが友人であった事を示唆している。；このことは、形成過程が異なる可能性があることを示唆している。；有性生殖は未知であるが、ゲノム情報からはその存在が示唆されている。；またテティスから生まれてくる子供の運命についても示唆されている。；ただし、エピローグではすでに別個体が誕生していることが示唆されている。；ところが7月7日になってインタビューの延期を示唆し始めたという。；これはフン族も同様であることを示唆している、とするものがある。；これは、民族主義者との共闘に否定的な見解を示唆したものであった。；地球が氷結したことを示唆する地質学的証拠が多数確認されている。；この調査方法の変更は、過去に隠蔽が行われていたことを示唆するものである。；タウンゼントはこのツアーが今度こそ最後になることを示唆した。；これは複雑な生物が現れるためには特別な条件が必要であるかもしれないことを示唆している。；アンリ・トランや初期のなどのエリート労働者に多くの示唆を与えた。；レトロポゾンはレトロウイルスの起源である可能性も示唆されている。；また、配置位置は不明だが、37 mm砲搭載の可能性も示唆されていた。；また、こういった制限に当てはまらない店舗の存在を示唆している。；オムツをつけていることを示唆する発言があるが、具体的には語られなかった。；これよりも小さい細菌が存在する可能性も示唆されているが、支持されていない。</t>
        </is>
      </c>
      <c r="J3520">
        <f>HYPERLINK("https://www.weblio.jp/content/示唆", "词义详情")</f>
        <v/>
      </c>
      <c r="K3520">
        <f>HYPERLINK("https://yourei.jp/示唆", "查看例句")</f>
        <v/>
      </c>
    </row>
    <row r="3521">
      <c r="A3521" t="inlineStr">
        <is>
          <t>時差</t>
        </is>
      </c>
      <c r="B3521" t="inlineStr">
        <is>
          <t>成功</t>
        </is>
      </c>
      <c r="C3521" t="inlineStr">
        <is>
          <t>読み方：じさ
１⇒均時差(きんじさ)
２各地によって違う時刻の差。世界の各標準時相互間の差。
３時刻・時間をずらすこと。「—通学」「—式信号機」</t>
        </is>
      </c>
      <c r="D3521" t="inlineStr">
        <is>
          <t>時差修正；時差回数券；時差調整；時差通勤；時差編成</t>
        </is>
      </c>
      <c r="F3521" t="inlineStr">
        <is>
          <t>時差修正機能</t>
        </is>
      </c>
      <c r="G3521" t="inlineStr">
        <is>
          <t>時差放送；時差ボケ；時差ぼけ；時差式信号；時差式</t>
        </is>
      </c>
      <c r="H3521" t="n">
        <v>29</v>
      </c>
      <c r="I3521" t="inlineStr">
        <is>
          <t>時差があるので頭がはっきりしないが、夜になると友達に電話をかける。；一方の標準時の時計は、他の国や日本との時差の関係を知るために使う。；なおアメリカのように、国内に時差がある場合には放送事情が異なる。；そこで確認してみると、ドアの時差調整ダイヤルが10日も進んでいた。；場所が変ろうと、時差があろうと旅先での寝つきが良いのが私の取り柄。；ニューヨークのケネディ空港には、時差の関係で同じ三日の午後に着いた。；したがって、近くにある都市でも数分の時差があることは珍しくなかった。；時差六時間の距離にいるリュウジと自分は、同じ鎖でつながっている。；これにより北アイルランドとの間に時差が発生することが回避された。；時差の関係で向うは夜中であったが、そんなことにかまってはいられない。；よくわからないが、飛行機や時差の関係で疲れたんじゃないかな。；本社所在地以外の駅では、駅の時刻と現地の時刻に時差が発生することになる。；時差を考慮するところには気が回ったが、電話番号は調べがついていなかった。；本来なら一時間くらいの時差があってもよいところだろう。；アメリカの東海岸と西海岸では、たしか三時間ぐらい時差があるはずだ。；あちらも時差を考えて、ギリギリまで電話を掛けてくるのを待ったのだろう。；ワールドカップの試合は時差の関係で、こちらでは昼前後にテレビ放送される。；そうこうしている中に、時差の関係で窓の外には陽が輝き出す。；だから私たち夫婦の間のくいちがいは、この時差の違いからくると思っている。；光が三〇〇万キロを走るだけの時差で、竜堂家の長男と次男と四男が駆けつけた。；三日間も部屋でぼんやりしているうちに、時差や疲れもすっかり直っていた。；地球上のある場所を指定すると、時差に応じて道具の周囲をその場所の時間に変えることができる。；後者の方針では同時に攻撃するのではなく攻撃の時期に意図的な時差を作る欺瞞を活用した方針である。；テレ朝チャンネル2での放送終了より約1年ぶりの時差番組再開となる。；時差があるので、いまパリでは午後三時頃だが、東京では午後十一時頃だ。；ぼくは地図なんか持って歩かないから、日本との距離を時差だけで計っていた。；長時間の移動と時差で、頭が溶けていくような不思議な感覚だった。；タイソンじゃないけれど、やはり頭と足の考えることに時差がある人なのでしょう。；時差もあるし、疲れていないはずはないのに、そんな素ぶりは毛ほども見せない。</t>
        </is>
      </c>
      <c r="J3521">
        <f>HYPERLINK("https://www.weblio.jp/content/時差", "词义详情")</f>
        <v/>
      </c>
      <c r="K3521">
        <f>HYPERLINK("https://yourei.jp/時差", "查看例句")</f>
        <v/>
      </c>
    </row>
    <row r="3522">
      <c r="A3522" t="inlineStr">
        <is>
          <t>自在</t>
        </is>
      </c>
      <c r="B3522" t="inlineStr">
        <is>
          <t>成功</t>
        </is>
      </c>
      <c r="C3522" t="inlineStr">
        <is>
          <t>読み方：じざい
［名・形動］
１意のままであること。自分の思うとおりにできること。また、そのさま。「道具を操る—な手つき」「変幻—」
２「自在鉤(かぎ)」の略。
３「自在天」の略。
[派生]じざいさ［名］</t>
        </is>
      </c>
      <c r="D3522" t="inlineStr">
        <is>
          <t>自在法(5%)；自在式(2%)；自在鍵；自在師；自在スパナ</t>
        </is>
      </c>
      <c r="E3522" t="inlineStr">
        <is>
          <t>自由自在；思い通り；思う壺；意を得たり；願い通り</t>
        </is>
      </c>
      <c r="F3522" t="inlineStr">
        <is>
          <t>伸縮自在；大自在；変化自在；変通自在；自在書房</t>
        </is>
      </c>
      <c r="G3522" t="inlineStr">
        <is>
          <t>自在天；自在継手；自在継ぎ手；自在置物；自在結び</t>
        </is>
      </c>
      <c r="H3522" t="n">
        <v>29</v>
      </c>
      <c r="I3522" t="inlineStr">
        <is>
          <t>ここでは多数ある基礎的な術や皆が共通して使う自在法の一部を解説する。；その高さの位置に目に見えない床ができ、空中を自在に歩くことができる。；変幻自在の体はその大きさや姿を自在に変えられ、空も飛ぶ事ができる。；羽根は変幻自在であり、イメージした様々な武器の形に変化させられる。；また、機体の表面の色を自在に変更し、姿を消して行動することも出来る。；その間の表現は自在を極めるに至るこそ人間と人間との接触の理想であろう。；柄が長いため太刀のように自在に扱うには、相当に慣れが必要である。；わたしは不思議な自在さで自然のうちを往き来し、その一部となっている。；家持の作った歌の中でも晩期のものだが、稍自在境に入りかかっている。；森林地帯など狭い地形に沿って自在にボディを蛇行させ進む事が出来る。；頭部がライオンのような形状に変化し翼が生えたため自在に飛行が可能である。；思いがわずかにあれば、心の明かさは塞がり、自在でなくなると述べた。；声質や声域を自在に変えることが得意で、それが音楽にも反映されている。；相手先のみならず、自在研究所と連携しているケースがあることも特徴的である。；その姿は文字通り全身が黒く、背中にある翼で地獄中を自在に飛び回る。；半音階下降進行の装飾音などピアノの持つ能力を自在に取り入れている。；出入りが自在でどんな小さい隙間でも出入りが可能とされる。；レンズのためにごく軽く演技をすることも、彼女には自在に出来た。；基本の右構えから左に自在にスイッチし、強打を最大の武器とする。；なぜならば人が立てた計画の中で他の者が自在に働けるものでないからである。；人間の基準を超越して伸縮自在な筋肉で非常な怪力と耐久力を発揮する。；微笑ひとつで相手との距離を自在に操作することが出来る。；部屋同士は、通路となる細めの地下茎でつながっていて自在に移動できる。；これらの操作を自在に行うにはかなりの熟練と集中力が必要となる。；当時の牛子村内の地名として内どふ、河原町、自在袋が挙げられている。；山に冥通を得たこどもたちは、意識に於て「妙」というほどの自在を得た。；またコクピットの操作により、重力を調整する広さは自在に変更できる。；而も、歩行自在でない難病者が、乞食に多くなつて来た時代の事である。；この靴を履くと空気を足で踏むことができ、空中を自在に歩くことができる。</t>
        </is>
      </c>
      <c r="J3522">
        <f>HYPERLINK("https://www.weblio.jp/content/自在", "词义详情")</f>
        <v/>
      </c>
      <c r="K3522">
        <f>HYPERLINK("https://yourei.jp/自在", "查看例句")</f>
        <v/>
      </c>
    </row>
    <row r="3523">
      <c r="A3523" t="inlineStr">
        <is>
          <t>思索</t>
        </is>
      </c>
      <c r="B3523" t="inlineStr">
        <is>
          <t>成功</t>
        </is>
      </c>
      <c r="C3523" t="inlineStr">
        <is>
          <t>読み方：しさく
［名］(スル)論理的に筋道を立てて考えること。思惟。「—にふける」「人生の意味を—する」</t>
        </is>
      </c>
      <c r="D3523" t="inlineStr">
        <is>
          <t>思索的(7%)；思索家(4%)；思索力；思索者；思索型</t>
        </is>
      </c>
      <c r="E3523" t="inlineStr">
        <is>
          <t>思う；考える；検討；考慮；考えること</t>
        </is>
      </c>
      <c r="F3523" t="inlineStr">
        <is>
          <t>深い思索；自由な思索；長い思索；深刻な思索；論理的思索</t>
        </is>
      </c>
      <c r="H3523" t="n">
        <v>29</v>
      </c>
      <c r="I3523" t="inlineStr">
        <is>
          <t>これはあらゆる意味で言っているのだよ、君の生活や思索の道のことだ。；何処からその美しさが出て来るのか、いつものやうに私はさう思索する。；私はどちらかというと、非常に行動的な人間で、思索型の人間ではない。；古代の思索家たちは詩を定義しその質を評価する手段として分類を用いた。；だが、今ちょうど大切な思索の結論が出かかっているところなんだよ。；しかし、こうした思索は彼に不安の感じをいささかも与えてはいなかった。；一人として、万人のために書き万人のために思索する者がいなかった。；ソクラテス以前の哲学者の多くは、自然と宇宙を自ら思索の対象とした。；いずれにせよ彼らには現在このようなことを思索する時間はほとんどなかった。；私は一人の大学教授をでなく、「思索する人」そのものを見たのである。；彼はこれによって単なる思索者から確信ある行動家へと飛躍したのである。；しかし、思索的な人間はいつでも瞑想にふけることができるものである。；彼の思索は中世の混沌のなかから近代的思考を準備したと高く評価されている。；もしエイハブに考える時間があるなら、ここに思索の栄養物があるのだ。；之によると思索の試験は思想の科学の彼岸にある聖域ででもあるらしい。；私は思索を一段落させて、間を持たせる意味で、ひとつの疑問を口にした。；けれども、こんにち生きている思索家には、そのような信仰さえない。；哲学はそういう日常的思考をその思索省察の歴史的な出発とし入口とする。；が、たちまちわたしの宅地はかれらの視界と思索とから去ってしまう。；それに達しないのはどこかに思索に深まり方が足りないからであろうと思われた。；私の思索はまた「外から迫って来るように感ぜられる運命」の上に移った。；そうかと思うと急に思索が軌道に乗ったかのように、せきこんで話される。；いや彼が研究から引きだした思索的な推論は同僚よりも優れてさえいた。；主観がそれを思索すると否とに関らずそれは存在するものであろう。；勝手なことを想像して歩るく楽しみから『思索的な路』と彼は名づけた。；彼等にとつては、馬車の通過が思索の種子になる一大事件なのである。；彼が思索したのは却って彼が市場に現われて誰でもを捉えて談論した時である。；それには私の思索をもっとウィッセンシャフトリッヒにしなければならない。；例えば、熟睡中の人や一つの思索に熱心に専念する人は時間に気づかない。</t>
        </is>
      </c>
      <c r="J3523">
        <f>HYPERLINK("https://www.weblio.jp/content/思索", "词义详情")</f>
        <v/>
      </c>
      <c r="K3523">
        <f>HYPERLINK("https://yourei.jp/思索", "查看例句")</f>
        <v/>
      </c>
    </row>
    <row r="3524">
      <c r="A3524" t="inlineStr">
        <is>
          <t>試作品</t>
        </is>
      </c>
      <c r="B3524" t="inlineStr">
        <is>
          <t>成功</t>
        </is>
      </c>
      <c r="D3524" t="inlineStr">
        <is>
          <t>試作品製作；試作品第一号</t>
        </is>
      </c>
      <c r="E3524" t="inlineStr">
        <is>
          <t>試作；プロトタイプ；試作モデル；プロトモデル</t>
        </is>
      </c>
      <c r="H3524" t="n">
        <v>29</v>
      </c>
      <c r="I3524" t="inlineStr">
        <is>
          <t>以下に挙げた物は広く使用された物で、試作品の域を出ない物は除く。；製作された試作品は張り子のように眼と口は描かれたもので動かなかった。；第二次試作品は同年9月に完成したが、なお修正を要する点が見られた。；車両を初めとする各商品は、現在各種イベントで試作品が公開されている。；意匠性が高いデザインの試作品の製造も可能であることが特徴である。；いくつかの発明品や試作品を夢中になって見はじめた幡野に大助はいった。；その後、試作品のマリオの動きに合わせて作り直したものが採用された。；部品の一つ一つを作っていって、ようやく試作品第一号が完成した。；そして、この黒い紙袋にできたばかりの『試作品』を入れておいたのだ。；試作品の域を超えなかったので、今日では現存している数が非常に限られている。；博物館へ行ったときに、一〇年かかって作った試作品をご覧に入れましょう。；小型の試作品はウスチュルト台地の近隣で実験が行われているかもしれない。；本銃はこのプロジェクトで選出された試作品、ASMを改良したものである。；この砲は試作品が1968年に完成し、1970年に量産が開始された。；試作品の製造は1935年に行われたため、ここから二四式歩槍とも呼ばれる。；試作品の中には用心鉄をサーベルの護拳の様に伸ばしたものもあった。；グミでも試作品を作ったが触感も含めてあまりにリアルすぎたため断念。；そして彼は私に社の新製品の試作品を持ち出して来いと言ったんです。；しかも、その宇宙船はどう考えても実験段階の試作品とはわけが違う。；そのころ、すでに試作品が出来かかっていたものではないのか。；完成はしなかったものの、システムの試作品は他人の興味を刺激するのに十分であった。；主任の古河は変な男だが、擬態装甲の試作品を作ると躍起になっていた。；第二の試作品が出来たのは、それから十日たった後だった。；しかし普通に考えて、ちゃんと箱にしまわれている方が試作品だとは思わないよな。；しかし、これがあくまで試作品にすぎないとしたら、どう思います?；機械の作りが完璧なため、発見されていない試作品や類似の機械の存在が予想される。；試作品を売ることになったからどうとか、そんなことではないらしい。；それは、忘れもしない、彼の大事な『試作品』を持っているはずの男である。；どこまでが試作品でどこまでが部品なのか、さすがの護玄にも見当はつかない。</t>
        </is>
      </c>
      <c r="J3524">
        <f>HYPERLINK("https://www.weblio.jp/content/試作品", "词义详情")</f>
        <v/>
      </c>
      <c r="K3524">
        <f>HYPERLINK("https://yourei.jp/試作品", "查看例句")</f>
        <v/>
      </c>
    </row>
    <row r="3525">
      <c r="A3525" t="inlineStr">
        <is>
          <t>視察</t>
        </is>
      </c>
      <c r="B3525" t="inlineStr">
        <is>
          <t>成功</t>
        </is>
      </c>
      <c r="C3525" t="inlineStr">
        <is>
          <t>読み方：しさつ
［名］(スル)現地・現場に行き、その実際のようすを見極めること。「災害の状況を—する」</t>
        </is>
      </c>
      <c r="D3525" t="inlineStr">
        <is>
          <t>視察する(7%)；視察旅行(3%)；視察団；視察官；視察用</t>
        </is>
      </c>
      <c r="E3525" t="inlineStr">
        <is>
          <t>訪問；検査；見物；審査；検証</t>
        </is>
      </c>
      <c r="F3525" t="inlineStr">
        <is>
          <t>海外視察；欧米視察；前線視察；欧州視察；アメリカ視察</t>
        </is>
      </c>
      <c r="H3525" t="n">
        <v>29</v>
      </c>
      <c r="I3525" t="inlineStr">
        <is>
          <t>母・高間古代は阪本が視察で三国を訪れた際に夜伽を務めた女性である。；そして孫運璿自身も積極的な視察活動を行い多くの民衆の支持を獲得した。；ソ連でデューイの教育理論が受け入れられたため視察に向かったのである。；フォトタイムスにこれらの写真作品を掲載しつつ、視察状況を紹介した。；遠く日本からも都市行政関係者などが多数ストラスブールを視察している。；長崎から北海道まで、学校・会社・博物館・博覧会などを視察している。；箱型の車体の両側面と後部ドアにも視察窓と銃眼が設置されている。；大審院判事時代に伊藤博文の憲法調査に同行してドイツなどを視察する。；日露戦争での騎兵連隊の活躍から外国人将校も騎兵学校の視察に訪れた。；トーチカの壁には視察用と銃眼を兼ねた必要最小限の穴が設けられている。；辺境伯歌劇場が彼の作品を上演するのに十分な広さがあるかを視察に来たのだった。；山縣有朋や井上馨も北海道を視察して屯田兵を重視すべきとの印象を得た。；大正5年3月には、第一次世界大戦を視察するためにヨーロッパへ渡る。；視察先での飲酒について「職務中に許されるものではない」などと指摘。；児玉が戦闘視察時に第三軍参謀を叱責したとされる話は事実ではない。；特に英語科は開校当時はまだ珍しく、全国から視察が来たほどである。；又その時に、日本の病院の視察の目的で、徳洲会の大阪の病院を訪問している。；宿泊施設としては原発視察者のために作られたがレーニン広場にあった。；翌年から東京・横浜・名古屋・京都・大阪・神戸を視察し、路線計画が立てられた。；制服は日本の各学校を視察して良い所を取り入れた。；当地では、ヨーロッパ各都市の建築を視察すると共に第二回CIAMに参加。；しかし、その後に故郷を視察した際、その疲弊ぶりに衝撃を受けた。；金正日の現地視察に金正恩が同行したことが公式に報道されたのはこれが初めてである。；犯人はその日に病院の視察をしていた、ダルチガス伯爵と名乗る貴族であった。；その際、現地で本格的なエンターテイメントを視察することが多い。；ゴマンはルイ17世の衰弱した姿に驚き、国民公会の再視察を依頼した。；その後は目立った活動はなかったが、常に公安警察の視察対象だった。；丸山ダムの建設中は様々な人物や団体が工事現場の視察に訪れた。；その好色ぶりから、王がロンドン市内視察に出ると市民は妻女を隠したという。</t>
        </is>
      </c>
      <c r="J3525">
        <f>HYPERLINK("https://www.weblio.jp/content/視察", "词义详情")</f>
        <v/>
      </c>
      <c r="K3525">
        <f>HYPERLINK("https://yourei.jp/視察", "查看例句")</f>
        <v/>
      </c>
    </row>
    <row r="3526">
      <c r="A3526" t="inlineStr">
        <is>
          <t>支持</t>
        </is>
      </c>
      <c r="B3526" t="inlineStr">
        <is>
          <t>成功</t>
        </is>
      </c>
      <c r="C3526" t="inlineStr">
        <is>
          <t>読み方：しじ
［名］(スル)
１ささえもつこと。ささえてもちこたえること。「倒れかかる相手のからだを両手で—する」
２ある意見・主張などに賛成して、その後押しをすること。「民衆の—を失う」「政府の見解を—する」</t>
        </is>
      </c>
      <c r="D3526" t="inlineStr">
        <is>
          <t>支持する(16%)；支持者(4%)；支持される(2%)；支持派；支持方式</t>
        </is>
      </c>
      <c r="E3526" t="inlineStr">
        <is>
          <t>支；支え；承認；味方；認める</t>
        </is>
      </c>
      <c r="F3526" t="inlineStr">
        <is>
          <t>軸箱支持；強い支持；絶大な支持；広く支持；圧倒的な支持</t>
        </is>
      </c>
      <c r="G3526" t="inlineStr">
        <is>
          <t>支持率；支持基盤；支持層；支持母体；支持体</t>
        </is>
      </c>
      <c r="H3526" t="n">
        <v>29</v>
      </c>
      <c r="I3526" t="inlineStr">
        <is>
          <t>理由はファンやスポンサーから支持が得られなかった為と見られている。；この曲は彼を支持する者にも批判的な者にも驚きをもって迎えられた。；本説は下記に述べる生化学分野からのアプローチからも支持されている。；この立場は現在でも強い支持があるが、一方でさまざまな批判もある。；各地でフィッシャーを支持する人々がこの状況を何とかしようとした。；現代においてこのような伝承、古代の証言を支持するのは少数派である。；イタリアの社会主義者は戦争を支持すべきか反対すべきかで意見が分かれた。；米国では最近では医師たちもおよそ半数が代替医療を支持しているという。；これまで研究されてきた遺跡からはこの説を支持する確かな証拠が得られていない。；どこの政党を支持し投票をするかについては会員の自由となっている。；日本では明治の梅謙次郎以来その歴史は長いが、あまり支持されていない。；現代の聖書研究でもっとも広く支持されている仮説は二資料仮説である。；これは、メドベージェフ大統領が死刑の廃止を支持していた背景がある。；しかし、これ以降の時代には主に民衆から支持を得る形で小説が人気を得ていく。；つまり、このことはラマルクの用不用説を強く支持する根拠となり得る。；ヘーゲルは民主主義を支持しながら一方で懐疑的な立場を強めていった。；変更を支持する憲法専門家の主張では、違憲性はないと判断している。；サミットの新たなメンバー国を増やすには、全参加国の支持が必要となる。；彼を支持する人たちは自分達を自由な世界に属すと考えている。；レールも、車体を支えるアームとは逆側から、片持ちで支持されている。；大野哲弥は近年はこの説を支持するものが増えているようだとする。；経済建設を重視し、穏健な改革を訴え、都市市民らの支持を集めたとされる。；これよりも小さい細菌が存在する可能性も示唆されているが、支持されていない。；文はソビエト連邦で進行中の政治的・経済的変革への支持を表明した。；にもかかわらず、ヨーロッパ大陸の作曲家には変わらず彼を支持する者もいた。；特にフランスやイタリアでは共産党が支持を獲得しつつあった。；メルケル政権は発足当初から積極的な対露・対米外交を展開して高支持率を記録。；次節で述べるスカイレールも車体の支持・案内方式はIビーム式である。；彼はこの新聞で社会主義者などを説得して戦争を支持させた。</t>
        </is>
      </c>
      <c r="J3526">
        <f>HYPERLINK("https://www.weblio.jp/content/支持", "词义详情")</f>
        <v/>
      </c>
      <c r="K3526">
        <f>HYPERLINK("https://yourei.jp/支持", "查看例句")</f>
        <v/>
      </c>
    </row>
    <row r="3527">
      <c r="A3527" t="inlineStr">
        <is>
          <t>指示</t>
        </is>
      </c>
      <c r="B3527" t="inlineStr">
        <is>
          <t>成功</t>
        </is>
      </c>
      <c r="C3527" t="inlineStr">
        <is>
          <t>読み方：しじ
［名］(スル)
１物事をそれとさししめすこと。「地図上の一点を—する」
２さしずすること。命令。「—に従う」「—を与える」「部下に—する」</t>
        </is>
      </c>
      <c r="D3527" t="inlineStr">
        <is>
          <t>指示する(7%)；指示通り；指示される；指示どおり；指示器</t>
        </is>
      </c>
      <c r="E3527" t="inlineStr">
        <is>
          <t>示す；指定；命；指摘；指揮</t>
        </is>
      </c>
      <c r="F3527" t="inlineStr">
        <is>
          <t>直接指示；細かい指示；ご指示；方向指示；的確な指示</t>
        </is>
      </c>
      <c r="G3527" t="inlineStr">
        <is>
          <t>指示薬；指示代名詞；指示詞；指示関数；指示馬力</t>
        </is>
      </c>
      <c r="H3527" t="n">
        <v>29</v>
      </c>
      <c r="I3527" t="inlineStr">
        <is>
          <t>時刻の指示だけでなく時間の測定もできる時計にクロノグラフがある。；しかし強大な権限を握っていた政治工作系統は蔣経国の指示に抵抗した。；上記の特定行為を行う際にはオンラインで医師に指示を要請する必要がある。；それに対して大西は「中央からは何も指示をしないように」と希望した。；終電同士以外では駅や指令から特別な指示がない限り接続を取らない。；午前6時頃には全指揮官から任務は指示された通り実行されたとの報告を受けた。；従って、具体的事件の捜査についての指示や命令行うことはできない。；それからはメモの指示どおりに行動して、披露宴を抜け出したのである。；指示通りに向かった先で、裸の女性が倒れているのを見つけ駆け寄るたくや。；代わりにこれらがゲームをする人の中心的な指示者である。；これらの建物は、前述の建築指示により軒高が揃うように建設されている。；豊田は福留に、攻撃不可能と思える時は無理をすることはないと指示した。；このレースを前に調教師の野平は強い勝ち方をするよう岡部に指示をした。；作戦の継続を指示するとともに の3点を重視するように指示を出している。；特攻の成功を絶対に日本軍に知らせまいとするニミッツからの指示であった。；町の中心は丘の近くに置かれたが、カエサルの指示で現在の場所に移された。；作業指示は、他の意味に取られるような言葉では行わないようにしなければならない。；また労働者は、指示された場合に保護帽を着用しなければならない。；角居はルメールに好位につけるよう指示し、その通りに位置についた。；それぞれ役割があり、案内・警戒・規制・指示の各種類ごとに設置者が決められている。；その後、支線からの到着を許可する信号機に進行を指示する信号を現示する。；落合夫妻は「部下に指示はしていない」と起訴事実を全面的に否認した。；二つの金属板に加えられた電圧により力が生じることによって指示する。；一般的に、信号の現示は指示される速度が数字などで表示される。；未完了形からは願望形・命令形・指示形の3種類の法の動詞形が作られる。；但し機器によって、アルカリ乾電池を使うよう指示されている物もある。；しかし逆に利根単独での武蔵護衛が指示され護衛に向かっている。；途中に指示速度変更地点が設けられる場合もある。；当直仕官であった通信長は雷跡発見の報告後すぐに回避運動を指示しなかったという。</t>
        </is>
      </c>
      <c r="J3527">
        <f>HYPERLINK("https://www.weblio.jp/content/指示", "词义详情")</f>
        <v/>
      </c>
      <c r="K3527">
        <f>HYPERLINK("https://yourei.jp/指示", "查看例句")</f>
        <v/>
      </c>
    </row>
    <row r="3528">
      <c r="A3528" t="inlineStr">
        <is>
          <t>事実</t>
        </is>
      </c>
      <c r="B3528" t="inlineStr">
        <is>
          <t>成功</t>
        </is>
      </c>
      <c r="C3528" t="inlineStr">
        <is>
          <t>読み方：じじつ
［名］
１実際に起こった事柄。現実に存在する事柄。「意外な—が判明する」「供述を—に照らす」「—に反する」「—を曲げて話す」「歴史的—」
２哲学で、ある時、ある所に経験的所与として見いだされる存在または出来事。論理的必然性をもたず、他のあり方にもなりうるものとして規定される。
［副］本当に。実際に。「—一度もその人には会っていない」</t>
        </is>
      </c>
      <c r="D3528" t="inlineStr">
        <is>
          <t>事実そのもの；事実談；事実認定；事実経過；事実審理</t>
        </is>
      </c>
      <c r="E3528" t="inlineStr">
        <is>
          <t>状態；実際；様子；まったく；全く</t>
        </is>
      </c>
      <c r="F3528" t="inlineStr">
        <is>
          <t>明白な事実；意外な事実；こうした事実；重大な事実；紛れもない事実</t>
        </is>
      </c>
      <c r="G3528" t="inlineStr">
        <is>
          <t>事実関係；事実無根；事実誤認；事実婚；事実認定</t>
        </is>
      </c>
      <c r="H3528" t="n">
        <v>29</v>
      </c>
      <c r="I3528" t="inlineStr">
        <is>
          <t>証拠となる事実の取得の段階では、適切な測定方法の存在が重要となる。；ある種の主張を含んでいる場合も、淡々と事実のみを伝える場合もある。；あらためて詳細な調査と研究が行われた結果、 などの事実が判明した。；台風の多い日もしくは風の強い日といわれるが、必ずしも事実ではない。；これらは伝承や遺跡の解釈の問題でもあり、すぐには事実と認定できない。；この事実は、一見すると自然選択説の予想と矛盾するように感じられる。；その一方で、保有国が強く反対する事態がしばしば起こるのも事実である。；この事実は一般的な理論の助けを借りて理解し証明することができる。；そのことは多くの学校が19世紀に設立されたという事実からもわかる。；だが日本が実際に行った事実は田中が預言者であったかの如くさえ思われる。；証明とは、ある事柄が真理もしくは事実であることを明らかにすること。；一方で、この時代以前の大貴族がほとんど姿を消したのも事実である。；ソ連時代はニコライ2世を裁判なしに殺害した事実はタブーであった。；仮説とは、推測ではあるが、観察した現象や事実を説明できるものである。；事実欠神発作は非痙攣性であるが脳波異常がありてんかんの一種である。；既に知られている事実がいかに多くとも、別の解釈の可能性がそこには残っている。；この事実は、当時の熱の運動説では説明できないものであった。；その事実が明らかになったとき、GODの手にかかって姉妹は命を落とす。；中国とのつながりを否定する時に科学的な事実を無視している。；しかし海軍関係者の間で巨大戦艦建造の事実そのものは公然の事実だった。；その1人である川戸貞吉がこの事実を本に書き、公の知るところになった。；しかも、カビ発生の事実が公表されたのはそれから2年も後のことであった。；事実シラーは病に臥せっていたが、そのときは大事には至らずに回復した。；もっとも、日本語が印欧語との相違点を多く持つことは事実である。；事実的な意味で経済が政治とどのように関わっているのかには4つの主要な考え方がある。；学術的な研究の目的は、突き詰めれば新しい事実や解釈の発見である。；マルコーニは2日後のニューヨーク・タイムズにその事実を書いている。；嘘とは事実に反する事柄の表明であり、特に故意に表明されたものを言う。；落合夫妻は「部下に指示はしていない」と起訴事実を全面的に否認した。</t>
        </is>
      </c>
      <c r="J3528">
        <f>HYPERLINK("https://www.weblio.jp/content/事実", "词义详情")</f>
        <v/>
      </c>
      <c r="K3528">
        <f>HYPERLINK("https://yourei.jp/事実", "查看例句")</f>
        <v/>
      </c>
    </row>
    <row r="3529">
      <c r="A3529" t="inlineStr">
        <is>
          <t>支社</t>
        </is>
      </c>
      <c r="B3529" t="inlineStr">
        <is>
          <t>成功</t>
        </is>
      </c>
      <c r="C3529" t="inlineStr">
        <is>
          <t>読み方：ししゃ
１会社や団体で、本社から分かれて設けられた事業所。「大阪—」⇔本社。
２神社の分社。末社。</t>
        </is>
      </c>
      <c r="D3529" t="inlineStr">
        <is>
          <t>支社管内(7%)；支社管轄；支社所属；支社直轄；支社北陸広域鉄道部</t>
        </is>
      </c>
      <c r="E3529" t="inlineStr">
        <is>
          <t>部門；出店；支所；支部；支局</t>
        </is>
      </c>
      <c r="F3529" t="inlineStr">
        <is>
          <t>長野支社；岡山支社；中部支社；秋田支社；高崎支社</t>
        </is>
      </c>
      <c r="H3529" t="n">
        <v>29</v>
      </c>
      <c r="I3529" t="inlineStr">
        <is>
          <t>地方支社とはいえ、林クンはなかなかいいところに勤務しているようだ。；支局・支社などは設置されていないものの、次の2紙が販売されている。；これは、支社保有車両のイメージ統一を目的としたものと発表されている。；また京都支局では、東京本社や大阪支社の方針と何度も対立を繰り返す。；代わって九州内の駅ならびに現業機関を管轄する福岡支社が設置された。；クレイは部下と支社を守るため今日中に大口の契約を取ることを約束する。；麻美は結婚して夫が熊本支社に転勤になったので一緒について来たのだ。；本社・各支社のバスは合併前の会社エリアを主に運行している。；その後、ゴーストは世界中のスターク支社を攻撃し事態は悪化していく。；この時からは、東京支社日比谷スタジオから放送する番組も存在していた。；そのため東京等での報道取材や福島支社などから中継で登場することがあった。；南米およびブラジル各地に通信員がいるほか、日本には東京支社がある。；現在は同地に存在する株式会社でらゲーのマレーシア支社に勤めている。；九州内で支社が唯一設置されていない佐賀県における管理組織である。；現在はかつての親会社であった株式会社アトルの沖縄支社となっている。；秋田支社では、社員の安全意識の向上などに役立ててゆきたいとしている。；本社は当初大阪市であったが、後に東京に本社機能を移して大阪は支社扱いとなる。；実質的には支社であるが商法上は独立した会社であり、現に社長もいる。；支社境界は川越線と分かれた後の大成第六踏切付近に設けられている。；また、同じく中部支社の鶴見三郎も同誌同号で以下のように述べている。；この記事にくさっていると、支社へ姿を現したのは伊勢崎九太夫である。；男は、首をすくめるようにしてガラスのドアを開け、支社の中に入ってきた。；その後、県域単位に置かれていた支社を廃止後は総支社を支社と改称した。；その後、県域単位に置かれていた支社を廃止後は総支社を支社と改称した。；多くの企業が本社、支社、拠点を設けており、産業活動の中心となっている。；ただし、発行所と住所は東京本社ではなく中部支社のものが表記されている。；後述の通り、東京支社制作の番組が深夜を中心に全国ネットで多数放送された。；支社が世界中に設立されて、それらは後に独自の聖書協会となっていくのである。；名古屋支社ではトヨタ自動車を始めとした中部圏の経済報道を主体としている。</t>
        </is>
      </c>
      <c r="J3529">
        <f>HYPERLINK("https://www.weblio.jp/content/支社", "词义详情")</f>
        <v/>
      </c>
      <c r="K3529">
        <f>HYPERLINK("https://yourei.jp/支社", "查看例句")</f>
        <v/>
      </c>
    </row>
    <row r="3530">
      <c r="A3530" t="inlineStr">
        <is>
          <t>磁石</t>
        </is>
      </c>
      <c r="B3530" t="inlineStr">
        <is>
          <t>成功</t>
        </is>
      </c>
      <c r="C3530" t="inlineStr">
        <is>
          <t>読み方：じしゃく
１鉄を引きつける磁力をもつ物体または装置。永久磁石・電磁石など。
２地磁気を感じて南北を指す性質を利用した方位測定具。磁気コンパス。磁気羅針盤。
３天然に産する磁力をもつ鉱石。主に磁鉄鉱。じせき。</t>
        </is>
      </c>
      <c r="D3530" t="inlineStr">
        <is>
          <t>磁石式；磁石船；磁石鋼；磁石砲；磁石同士</t>
        </is>
      </c>
      <c r="E3530" t="inlineStr">
        <is>
          <t>コンパス；マグネット；電磁石；羅針盤；永久磁石</t>
        </is>
      </c>
      <c r="F3530" t="inlineStr">
        <is>
          <t>棒磁石；小さな磁石；大きな磁石；巨大な磁石；強い磁石</t>
        </is>
      </c>
      <c r="G3530" t="inlineStr">
        <is>
          <t>磁石の島；磁石屋とチタン男；磁石山</t>
        </is>
      </c>
      <c r="H3530" t="n">
        <v>29</v>
      </c>
      <c r="I3530" t="inlineStr">
        <is>
          <t>これをカメラで記録することで、磁石を使わずに表示することができる。；だが彼は、地図と磁石と歩数で行跡図を書いていくことはやめなかった。；車両へ装着する方式は、磁石式かベルト式のいずれかである場合が多い。；そして、ブーツの底についた磁石で、体を艦の外殻に固定させて立った。；若林はその磁石の先で、非常扉の外側に沿って、半円を描くようにした。；吸い寄せられるのではなく手に反発しているのだから、磁石のはずもない。；あたし教えて上げようかと思っているうちに、やっと磁石の蓋が開いたの。；カーターは規定通り、制服を着て、底に磁石のついた軍靴をはいていた。；昨日合わせたというのに、まだ磁石の影響が残っているようだった。；まるで強力な磁石のそばにある鉄を押さえているようなものだった。；それは磁石の針の如くに、かの共有している筈の秘密を指しているのである。；磁石になった靴底を船体の表面に張りつかせて、彼女はその場に立った。；これに対し磁北と呼ばれる磁石で表示される北を基準にする北がある。；彼は胸のポケットから磁石を出して方向を定めて、静かに眼を廻していった。；彼らは磁石を使い、北に背を向けて見渡す限りの雪原の上を進んでいった。；おれは無言でポケットから磁石を取り出し、ふたりの眼の前に突きつけた。；純粋のニッケルが磁石に吸引せられる事はちょっと人の知らぬ事です。；磁石の向きや強さを様々に組み合わせることで数千の組み合わせが可能である。；オリジナル版では主人公は磁石のように人を引きつける男性だった。；具体的にはコイルに対して磁石を回転させることで電気を発生させる。；南北磁石が作るゲームは障害になると判断しており、二人を排除しようとしている。；近くに強力な磁石があると影響を受けて変化することがある。；その震える頭とじっと定めた瞳とは、極を求める磁石の針を思わせた。；まるで彼女には、男たちの身体を半回転させる特別な磁石がついているようだった。；パチンコ玉はまるで強力な磁石に吸い寄せられるような動きを見せたのだ。；その結果、このパペットは磁石で接合する二つの部位に分けて作られた。；同じ電気回路で円盤を固定して磁石のみを回転しても起電力は生じない。；磁石で定着して、気密室と気密室を宇宙チューブで連結していたのです。；出るときに外した非常扉の掛け金は、磁石を使って掛け戻しておいた。</t>
        </is>
      </c>
      <c r="J3530">
        <f>HYPERLINK("https://www.weblio.jp/content/磁石", "词义详情")</f>
        <v/>
      </c>
      <c r="K3530">
        <f>HYPERLINK("https://yourei.jp/磁石", "查看例句")</f>
        <v/>
      </c>
    </row>
    <row r="3531">
      <c r="A3531" t="inlineStr">
        <is>
          <t>四捨五入</t>
        </is>
      </c>
      <c r="B3531" t="inlineStr">
        <is>
          <t>成功</t>
        </is>
      </c>
      <c r="C3531" t="inlineStr">
        <is>
          <t>読み方：ししゃごにゅう
［名］(スル)計算で、求めるけたの次の端数が4以下なら切り捨て、5以上なら切り上げて1とし、求めるけたに加える方法。「小数第三位を—する」</t>
        </is>
      </c>
      <c r="D3531" t="inlineStr">
        <is>
          <t>四捨五入する(15%)；四捨五入すれ(4%)；四捨五入される(2%)</t>
        </is>
      </c>
      <c r="H3531" t="n">
        <v>29</v>
      </c>
      <c r="I3531" t="inlineStr">
        <is>
          <t>四捨五入でいけば、四人よりも少なくなければ、若干という気がしない。；下の表は最も一般的な四捨五入で丸めを行った場合を示している。；四捨五入すると四十になる年齢のわりには、しっかり筋肉がついている。；当然のことなので、私は今年五六で、つまり四捨五入したら六〇の爺さんだ。；その後に5セント硬貨も廃止されたときは、四捨五入が使われるようになった。；なお小数点2桁目で四捨五入しているので、合計と合わない部分もある。；どうも四捨五入すると四十歳というのは認識したくないらしい。；まだ十代だろ、十代しかも前半だろ、四捨五入しても二十歳になんねーだろ!?；中には四捨五入すると三十秒台に行ってしまう場合もある。；なおここでは記録のパーセンテージのうち小数点以下は四捨五入して掲載している。；つまり四捨五入して二十歳といえるのは、今度の誕生日で最後ということになる。；四捨五入したらハタチだと言い張っていられるのも、今年が最後だ。；現在この船の速度は四捨五入して、対光速比〇・三四五そこそこだ。；男子の平均点も小数第二位を四捨五入した形で答えてください。；学年の平均点および女子の平均点はいずれも小数第二位で四捨五入されたものです。；面積値は小数点第2位を四捨五入しているため、多少の誤差がある。；たいていは四捨五入か偶数への丸めであるが、明示的に選択できないことも多い。；限りある都市の地積が一杯になると四捨五入して余分を市外に掃出さねばならない。；これを四捨五入したり、切り下げたりすることで誤差が生じます。；なお、トンネル入口手前に設置された標識の記載は、一の位を四捨五入した値となっている。；また、試合に出場した理由として、四捨五入で4割となるため実際は4割ではなかったと言われるのが嫌だったと語っている。；でも端数を切り捨ててしまうような、四捨五入でどんどん進むような粗雑さにはどうしても抵抗があったのだ。；独自に換算したり、四捨五入をすると、こうした日本語情報源と異なる結果になることもあるでしょう。；よく、二十五歳になれば、四捨五入で三十歳になってしまうと、先輩達が言っている。；年間乗降員数から年間日数を割り、小数点以下は四捨五入して求めている。；四捨五入したら十万円かかるんだけどね、店がスタイリストやヘアをセットする女性を抱えている。；得票率は小数点第3位以下を四捨五入しており、出典は同県選管から。；出版後、ある新聞の書評で「それにしても、四捨五入なんて英語で言うことがあるのだろうか」という批判がありましたが、そういう必要がある時代になっているからこそ、この本が私たちの予想をはるかに超えて受け入れられたのではないかとも思っています。；なお、小数点以下は四捨五入とし、極端にレーティング差がある場合に特例を設けている点は他と同様である。</t>
        </is>
      </c>
      <c r="J3531">
        <f>HYPERLINK("https://www.weblio.jp/content/四捨五入", "词义详情")</f>
        <v/>
      </c>
      <c r="K3531">
        <f>HYPERLINK("https://yourei.jp/四捨五入", "查看例句")</f>
        <v/>
      </c>
    </row>
    <row r="3532">
      <c r="A3532" t="inlineStr">
        <is>
          <t>自首</t>
        </is>
      </c>
      <c r="B3532" t="inlineStr">
        <is>
          <t>成功</t>
        </is>
      </c>
      <c r="C3532" t="inlineStr">
        <is>
          <t>読み方：じしゅ
［名］(スル)犯罪事実または犯人の発覚する前に、犯人が自ら捜査機関に犯罪事実を申告し、その訴追を求めること。刑が減軽または免除されうる事由となる。</t>
        </is>
      </c>
      <c r="D3532" t="inlineStr">
        <is>
          <t>自首する(16%)；自首しよ；自首すれ；自首しろ</t>
        </is>
      </c>
      <c r="E3532" t="inlineStr">
        <is>
          <t>明け渡し</t>
        </is>
      </c>
      <c r="F3532" t="inlineStr">
        <is>
          <t>早く自首；いさぎよく自首；自首するつもり；自首する気</t>
        </is>
      </c>
      <c r="H3532" t="n">
        <v>29</v>
      </c>
      <c r="I3532" t="inlineStr">
        <is>
          <t>もし彼に胸におぼえがあれば、捜査の手が及ぶ前に自首したほうがいい。；千賀井が自首をして出たのは、捜査が最後の段階に入ったときであった。；それが私の自首一つですっかり覆えされてしまうのだと気がつきました。；けれど、自首すれば借金の面倒みてやると言ってきたのは里佳子なんだ。；彼も必ず自首すると誓ったにかかわらず今日まで実行しませんでした。；すべてを話すというのは本心でしたが、自首する気はありませんでした。；自首して出たのと、それにそいつ、そう悪い人間じゃなかったんだね。；きっとあなたは明音が罪を認めて、自首するだろうと思ったのでしょうね。；自己顕示欲を満足させるために自首した犯罪者も何人かはいたに違いない。；自首して出たとはいえ、彼が来たのは、新聞に写真が載った後である。；家内の手術がうまくいったら、警察に自首しようと思っていたんです。；あのときあなたは彼に自首をすすめましたが、あれはいいことでした。；自首せず、何とか警察から疑われない方法はないものかと考えました。；結局、自殺か自首しかないところまで追いつめられたのではないだろうか。；自首した際には少年Kは、返り血と見られる血が付いた服を着ていた。；あとで警察から聞いたんだけど、自首するよう説得してたようですよ。；朔郎の話に錯乱した夜、わたしは心をきめて近くの交番へ自首して出た。；もし友人のものなら、彼に自首をすすめるというので、来て貰いました。；少年が自首し逮捕されたことはニュースで知ったのだろうか。；あやまって二人を殺したことを発見して、兄はすぐに自首して出た。；犯人が自首してきたのは、その三十分後、つまり朝七時のことだった。；結果、それにはまず先に自首して囚人に戻らねばならないことがわかった。；もし犯人でなかったら、なぜ、そんな嘘の自白をしに自首したのだろうか。；そんなことしなくても、俺たちが自首すると思ってたんでしょう?；ロレンス・レディングが自首した理由がいまにしてわかるような気がしていた。；むしろ、自首する気になった山本の心境の変化を遼は信じたいと思った。；若干の日本人がラストヴォロフ氏と関係があり、その中で自首した者もいる。；一方でジングは、6年前の事件の罪を償うために自首することを決める。；犯人はついに坊さんのところへ行って自首し、お上の手にかかったのです。</t>
        </is>
      </c>
      <c r="J3532">
        <f>HYPERLINK("https://www.weblio.jp/content/自首", "词义详情")</f>
        <v/>
      </c>
      <c r="K3532">
        <f>HYPERLINK("https://yourei.jp/自首", "查看例句")</f>
        <v/>
      </c>
    </row>
    <row r="3533">
      <c r="A3533" t="inlineStr">
        <is>
          <t>自主</t>
        </is>
      </c>
      <c r="B3533" t="inlineStr">
        <is>
          <t>成功</t>
        </is>
      </c>
      <c r="C3533" t="inlineStr">
        <is>
          <t>読み方：じしゅ
他からの干渉や保護を受けず、独立して事を行うこと。「—の精神」「—性に欠ける」「—独立」</t>
        </is>
      </c>
      <c r="D3533" t="inlineStr">
        <is>
          <t>自主的(22%)；自主独立(5%)；自主製作(5%)；自主開発(3%)；自主再建(3%)</t>
        </is>
      </c>
      <c r="E3533" t="inlineStr">
        <is>
          <t>独立；自立；自治；自律；一本立ち</t>
        </is>
      </c>
      <c r="F3533" t="inlineStr">
        <is>
          <t>自主規制；自主配給；自主編成；自主性；自主自立</t>
        </is>
      </c>
      <c r="G3533" t="inlineStr">
        <is>
          <t>自主制作；自主規制；自主性；自主映画；自主トレ</t>
        </is>
      </c>
      <c r="H3533" t="n">
        <v>29</v>
      </c>
      <c r="I3533" t="inlineStr">
        <is>
          <t>李完用は韓国の将来を考え、自主独立への道を模索していたといわれる。；これらの組織は地下組織も含め、自主的な基盤の形成を中心に活動した。；そのため、自身の広告主への批判を自主規制してしまうことが多い。；この世界は自由・自主・平等を望んでおり、今後もそうあり続けるだろう。；自主開発したCFDツールを用いて全機形状の設計・開発が行われた。；特定自主検査は、法定の検査資格を有する自主検査者が行う必要がある。；この実験の自主的な協力者にレーニンの姉妹マリヤ・ウリアノヴァがいた。；年々悪化してきており、バイトしながら続ける者や自主制作する者もいる。；パットンはその後自主的に被害にあった兵と現場にいた兵士達に謝罪している。；広島の修道高校時代から友人と自主製作の映画を作り文化祭で発表していた。；第一款 朝鮮は自主の国であり、日本と平等の権利を有する国家と認める。；こうしてHIS社への依存から離脱して自主開発体制を確立した。；この事故は日本航空の自主運行開始後、最初の旅客の死亡事故であった。；自主自律を重んじる指導方針で選手を育成、多くの大学推薦を輩出する。；その経験から、同党は「自主独立の重大性を認識させる契機」となった。；大名町通り沿いのビルは自主的に高さを制限しており、ビルの高さが整っている。；自身が監督、出演した映画を自主制作してDVDとして販売している。；自主スタジオのシャビー・ロード・スタジオも売却することとなった。；そのため自主目標を設定できても短期的なものかつ達成しやすい内容になってしまう。；国だけでなく、地方公共団体にも自主的な宇宙開発への努力義務を定めた。；三本松高校の生徒は、そのプロジェクトに自主的に参加することができる。；中国では中ソ対立以前のソ連製兵器をもとに装備の自主開発をおこなってきた。；自主編成をしないミニ放送局の為に24時間何らかの番組を供給している。；そしてゲットーの人口は急速に減少して行き、1943年に自主消滅した。；同工場で生産された一部の商品を自主回収することを決めた。；各自治体から委託を受けて以下の自主運行バスを運行している。；自主ライブ以外の大型ライブの出演には下記などがある。；ゲームだけでなく、主題歌を収録した音楽CDなども数点自主制作していた。；この判断の基準は原則として各放送局や各放送系列の持つ自主規定である。</t>
        </is>
      </c>
      <c r="J3533">
        <f>HYPERLINK("https://www.weblio.jp/content/自主", "词义详情")</f>
        <v/>
      </c>
      <c r="K3533">
        <f>HYPERLINK("https://yourei.jp/自主", "查看例句")</f>
        <v/>
      </c>
    </row>
    <row r="3534">
      <c r="A3534" t="inlineStr">
        <is>
          <t>刺繍</t>
        </is>
      </c>
      <c r="B3534" t="inlineStr">
        <is>
          <t>成功</t>
        </is>
      </c>
      <c r="C3534" t="inlineStr">
        <is>
          <t>読み方：ししゅう
［名］(スル)種々の糸を用いて、布地の表面に絵や模様を縫い表すこと。縫い取り。「ハンカチにイニシャルを—する」</t>
        </is>
      </c>
      <c r="D3534" t="inlineStr">
        <is>
          <t>刺繍入り；刺繍糸；刺繍台；刺繍職人；刺繍針</t>
        </is>
      </c>
      <c r="E3534" t="inlineStr">
        <is>
          <t>縫い；刺しゅう</t>
        </is>
      </c>
      <c r="F3534" t="inlineStr">
        <is>
          <t>美しい刺繍；フランス刺繍；金糸刺繍；派手な刺繍；金刺繍</t>
        </is>
      </c>
      <c r="H3534" t="n">
        <v>29</v>
      </c>
      <c r="I3534" t="inlineStr">
        <is>
          <t>龍や花紋様が刺繍で色美しく入れてあってなかなか美術的なものである。；それらの下に、共同墓地が白と緑の斑の刺繍をしたように広がっていた。；刺繍制作に関わっていたのはほぼ全て女性であると考えられている。；ポジーリャでは幾何学的な模様が平行に刺繍されているのが特徴である。；僕が刺繍をした軍服に身を固めて帰って来る日の喜びを考えて下さい。；クレムリンの建築は赤黒い刺繍を見ているようで奇怪な面の感じである。；裁縫が得意であり、彼女の音楽の本といくつかの刺繍が残されている。；二級は端に黒線の入った銀色の台布に黒の戦車が刺繍されている。；米は家の庭にあった畳のような下駄は刺繍の先生のだなと思った。；ある晩、食事のあとに、彼女は数か月来のめんどうな刺繍をなし終えた。；イスタンブール女子高校の音楽教師になり、後には美術と刺繍も担当した。；その男の長衣もまた黒だったが、そこには豪華な刺繍がほどこされている。；簡単な刺繍がそうであるように、この小さな飾りもその効力を見せる。；彼女は額を下げて、刺繍にじっと目を注ぎながらテーブルの前に坐っていた。；とても精巧な奇妙なデザインが刺繍されて、長さは男の腰まであるかないか。；刺繍のしてあるきれいな布地があったのでバラさんが袋にしてくれたのを。；かれは絹とベロアのジャケットの下に、刺繍のあるシャツまで着ていた。；そこにはいろいろな花が下草に雑つて刺繍でもしたやうに咲いてゐた。；その頭はおそらく書物か刺繍台の上にうつむいていたのであろう。；彼女は非常に背の高い小さな刺繍台の前で仕事をしていた。；誰か先の女の人が刺繍をした、お針仕事の青い渦巻形のお飾りもあるわ。；男性用・女性用があり、鮮かな染色や刺繍・装飾が施されたものもある。；やはり全く絵と刺繍が好きなためで御座いましたろうと思います。；プロ野球などでよく見られる刺繍や番号マークも禁止されている。；その日は刺繍の先生の市から村へ廻って来るのが遅れていた。；襟に白い3本線の縁取りがあり、左右の角には六光星の白い刺繍が入っている。；彼女は刺繍の仕事を手に持ってきていて、みんなの言うことには耳をかさなかった。；しかし熱心に刺繍をしているにしては、あまりにしばしば頭を上にもたげていた。；母の背後にはランプを持った刺繍の先生が黙って立っていた。</t>
        </is>
      </c>
      <c r="J3534">
        <f>HYPERLINK("https://www.weblio.jp/content/刺繍", "词义详情")</f>
        <v/>
      </c>
      <c r="K3534">
        <f>HYPERLINK("https://yourei.jp/刺繍", "查看例句")</f>
        <v/>
      </c>
    </row>
    <row r="3535">
      <c r="A3535" t="inlineStr">
        <is>
          <t>始終</t>
        </is>
      </c>
      <c r="B3535" t="inlineStr">
        <is>
          <t>成功</t>
        </is>
      </c>
      <c r="C3535" t="inlineStr">
        <is>
          <t>読み方：しじゅう
［名］
１物事の始めと終わり。
「—本末を思考せずして事を起こす者は」〈織田訳・花柳春話〉
２事柄の成り行きの、始めから終わりまでの全部。「事件の—を語る」「一部—」
３始めから終わりまで態度・状態などを変えないで通すこと。また、変わらないで同一になること。
「生民の為に身命を犠牲に供し、道義の為に—するに」〈東海散士・佳人之奇遇〉
４最後。結末。
「いかに申すとも—のことはかなふまじ」〈平家・一〉
［副］
１絶え間ないさま。頻繁に行われるさま。いつも。しょっちゅう。「—監視されている」「仕事もせずに—ぶらぶらしている」
２終わりには。結局は。
「寄せ手は大勢なり。城の構へ未だこしらへず、—いかがあるべからん」〈太平記・二九〉</t>
        </is>
      </c>
      <c r="D3535" t="inlineStr">
        <is>
          <t>始終着(2%)；始終点；始終端；始終心；始終動い</t>
        </is>
      </c>
      <c r="E3535" t="inlineStr">
        <is>
          <t>よく；まま；いつも；しばしば；常に</t>
        </is>
      </c>
      <c r="F3535" t="inlineStr">
        <is>
          <t>当駅始終；複線始終；常始終；始終端形信号場；始終着列車</t>
        </is>
      </c>
      <c r="H3535" t="n">
        <v>29</v>
      </c>
      <c r="I3535" t="inlineStr">
        <is>
          <t>学校を出てからもほとんど家族の一人のごとく始終そこへ出入していた。；もっとも始終顔を出す人に、それほど有名な人も勢力家も見えなかった。；しかしその強い民族のもっている文明自身が、やはり始終変化している。；私も始終顔を見知っていましたが言葉を交わしたことはなかったのです。；あの始終何かに微笑を送っているような朗然とした眼で頷いたのである。；近隣に宗吾車両基地があり、当駅を始終着とする列車が設定されている。；そこにまた私の疑いが始終靄のようにかかって、私の心を苦しめている。；その日夕方までうちくつろいだのが始まりで、以来学校では始終一緒だ。；が、その声は東京へ来ても、始終心にかかっていた男の声に違いなかった。；ただしその様式は、王朝の治世ときれいに一致して始終したのではない。；中には、その晩、始終泣き通しにしていた小さい男の児が眠っていた。；私はそれが始終気にかかって、何かで占ってみなければいられないんです。；母は仕事中も子を側へおいて、始終見てやらなければならなかつた。；その後弁護士がお町の家へ出入りして、始終二階で相談事があつた。；北初富方に車両基地があり、当駅を始終着とする列車が設定されている。；実はあなたのようになれたら結構だと思って、始終考えてるくらいです。；今度の事件でも彼らは始終皇室のため国家のためと思ったであろう。；母上は自分でも分らない不思議な望みと恐れとで始終心をなやましていた。；自分は彼女と話している間始終彼女から翻弄されつつあるような心持がした。；それから腹の太いのを賞められたがって、時機さえあれば始終叩いて見せた。；それには始終そのすさんだ心を温め潤す愛がはたになければなりません。；我々の作る映画は要するに始終見てくれる人々に見せるためのものでしかない。；目に見えるものが始終変つて行くので、我々は動いてゐると云ふ事が分るのだ。；アリョーシャは激しく胸をおどらせながら始終の様子に注意していた。；最も大切な所は思想を健全にするということで、私は始終そう思うておる。；出来る事なら始終傍に置いて好き自由に話したかったんです。；それに子供が何だ彼だと始終世話を焼かせるのでございましょう?；始終着駅や主要駅ではこれに続いて乗り換え案内などの放送が流れる。；その中一軒は美術書専門で始終新らしいものを持つて来てくれる。</t>
        </is>
      </c>
      <c r="J3535">
        <f>HYPERLINK("https://www.weblio.jp/content/始終", "词义详情")</f>
        <v/>
      </c>
      <c r="K3535">
        <f>HYPERLINK("https://yourei.jp/始終", "查看例句")</f>
        <v/>
      </c>
    </row>
    <row r="3536">
      <c r="A3536" t="inlineStr">
        <is>
          <t>自習</t>
        </is>
      </c>
      <c r="B3536" t="inlineStr">
        <is>
          <t>成功</t>
        </is>
      </c>
      <c r="C3536" t="inlineStr">
        <is>
          <t>読み方：じしゅう
［名］(スル)自分で学習・練習すること。「—時間」「自学—」</t>
        </is>
      </c>
      <c r="D3536" t="inlineStr">
        <is>
          <t>自習時間(12%)；自習室(6%)；自習中(3%)；自習用；自習スペース</t>
        </is>
      </c>
      <c r="G3536" t="inlineStr">
        <is>
          <t>自習者</t>
        </is>
      </c>
      <c r="H3536" t="n">
        <v>29</v>
      </c>
      <c r="I3536" t="inlineStr">
        <is>
          <t>最初の自習時間を監督した時のあの恐ろしい試練は今でも忘れられない。；残りの偶数クラスは教室で自習をして作業を待機するように命じられた。；夜は八時から自由時間になるが、十時までは自習をすることが出来る。；家へ帰っても算術の自習書と睨みっこで、寝ても鶴と亀の脚の夢を見た。；このような自習は基本的に学校の教室で、授業の時間に行われるものである。；いずれの場合も、登校が可能な場合は学校で自習となるケースが多い。；夜の自習時間に、四号たちは整列と修正があるものと期待していた。；自習状態の授業中は、今の自分の置かれている立場を考えるのに都合がよかった。；自習時間は七時から九時五〇分までで、あいだに三〇分の休憩がある。；学校では自習を行うための教室に登校しており、中学時代もそれが続いた。；クラス委員を呼んで、少しの間自習させるように言いつけて、教室を出た。；みんなが自習をしているのに、ぼんやり坐っているのも間が悪い。；洗濯して持ってきていたけど、前の体育が自習になって使わなかったものだ。；しかし担任が現れることはなく、自習を告げたのも別の教師だった。；中高生向けの本や雑誌を集めたコーナーで、放課後の自習にも利用可能。；自習の時間が終ったら、次には体育の時間が待っているようなものですから。；どうやら彼女の抱えているプリントが自習用の課題ということらしい。；ある晩、自習時間中に彼は地球を緑色に、雲をえび茶色に塗ってしまった。；彼は何年にもわたって自習の規律あるプログラムを始めました。；やっぱり朝から自習だったっていうことで、アレなんでしょうかねえ。；この自習室とほかの教室には決定的に違うことがひとつだけあるの。；夕食後は自由のようだが九時から消灯の十一時までは自習時間と名付けられていた。；生徒たちが自習している、眠そうな声にひきこまれていたのである。；さらに、休日に教室を開放することで、生徒の自習場所の確保をしている。；稽古の合間には、他者との接触、交流のための練習課題を、自習させる。；その夜、自習時間が始まって間もなく、小銃係の小原が前に立つと言った。；私の腕を掴むと、クラスに自習を言い渡して職員室に連れて行くのだった。；ゆっくりと歩きながら書架の通路に目を向けた老人は、今度は自習室へと目を向けた。；むしろ家庭で自習する方が勝っていたと語っている。</t>
        </is>
      </c>
      <c r="J3536">
        <f>HYPERLINK("https://www.weblio.jp/content/自習", "词义详情")</f>
        <v/>
      </c>
      <c r="K3536">
        <f>HYPERLINK("https://yourei.jp/自習", "查看例句")</f>
        <v/>
      </c>
    </row>
    <row r="3537">
      <c r="A3537" t="inlineStr">
        <is>
          <t>自粛</t>
        </is>
      </c>
      <c r="B3537" t="inlineStr">
        <is>
          <t>成功</t>
        </is>
      </c>
      <c r="C3537" t="inlineStr">
        <is>
          <t>読み方：じしゅく
［名］(スル)自分から進んで、行いや態度を慎むこと。「露骨な広告を業界が—する」</t>
        </is>
      </c>
      <c r="D3537" t="inlineStr">
        <is>
          <t>自粛するよう(4%)；自粛ムード(3%)；自粛期間中；自粛自戒；自粛する動き</t>
        </is>
      </c>
      <c r="E3537" t="inlineStr">
        <is>
          <t>我慢；自制；克己；慎み；自己抑制</t>
        </is>
      </c>
      <c r="F3537" t="inlineStr">
        <is>
          <t>販売自粛；営業自粛；使用自粛；芸能活動自粛；開催自粛</t>
        </is>
      </c>
      <c r="G3537" t="inlineStr">
        <is>
          <t>自粛警察；自粛ポリス</t>
        </is>
      </c>
      <c r="H3537" t="n">
        <v>29</v>
      </c>
      <c r="I3537" t="inlineStr">
        <is>
          <t>はそれぞれ発表されているライブを最後に活動を自粛することを発表。；政治の方針は、まず映画業者なら映画業者の自粛に俟つのだからである。；自粛してもらうよう呼びかける、対象となる行動の例を以下に挙げます。；ただし夜のつきあいは彼らのほうが自粛してるので、われわれも暇です。；そしてフジテレビはこの事実を認め、このシーンの放送自粛を決定した。；日本政府や企業はその通達を受け入れ、その後は使用を自粛していった。；いろいろと聞きたいこともあっただろうけど、それを自粛していた。；彼らの自粛などはとても本気では考えられないことなのである。；Zepp側も観客に自粛を呼びかけているが、解決には至っていない。；翌月には復帰したものの、その後はしばらく俳優活動を自粛している。；自粛の理由については電波産業会の規約違反が要因であるとされている。；このほかにも、事件直後にメンバーがSNSを自粛するなどの影響もあった。；セウォル号沈没事故を受けて、韓国での最終公演を自粛すると発表した。；私は、町会名で彼の陳情に自粛を求めるのは、恥ずかしい真似だと思う。；神の御家に踏み込む上での憚りや自粛とは、およそ無縁の存在であった。；戦争に関する、あるいは連想させるようなワードを自粛しているためだ。；だから、これ以上ジュウを事件に関わらせないために自粛していたのだろう。；悪用されることが多いので、輸入業者に販売の自粛が呼びかけられている。；これにより当CMの放送自粛と新たな内容への変更が発表された。；そのため、全ての球場で再びジェット風船使用が自粛されるようになった。；それ以上はさすがに、心の声といえど自粛した俺達である。；実戦で使うような効果的で汚い技は、敢えて自粛していたつもりだが。；新型インフルエンザ発生地域のレース自粛など、新しい問題も起きている。；一部の記者が自粛をせずに、自宅に電話してきても断り続けた。；この事件を受けた現地の人たちは恐怖におびえ外出自粛せざるを得なくなっていた。；また、当自粛期間に香取慎吾から毎日電話がきて、遅くまで二人で話した。；翌日1月31日より各分野の宣伝活動を自粛することとなった。；また、事件発生の22日よりCMを自粛していることが24日に判明した。；その後自粛期間が3ヶ月に短縮されたため、8月から再び復帰を果たした。</t>
        </is>
      </c>
      <c r="J3537">
        <f>HYPERLINK("https://www.weblio.jp/content/自粛", "词义详情")</f>
        <v/>
      </c>
      <c r="K3537">
        <f>HYPERLINK("https://yourei.jp/自粛", "查看例句")</f>
        <v/>
      </c>
    </row>
    <row r="3538">
      <c r="A3538" t="inlineStr">
        <is>
          <t>支出</t>
        </is>
      </c>
      <c r="B3538" t="inlineStr">
        <is>
          <t>成功</t>
        </is>
      </c>
      <c r="C3538" t="inlineStr">
        <is>
          <t>読み方：ししゅつ
［名］(スル)ある目的のために自分の所有する金銭や物品を支払うこと。また、その金品。「経費を—する」「—を抑える」「過年度—」⇔収入。</t>
        </is>
      </c>
      <c r="D3538" t="inlineStr">
        <is>
          <t>支出される(2%)；支出額；支出削減；支出項目；支出抑制</t>
        </is>
      </c>
      <c r="E3538" t="inlineStr">
        <is>
          <t>使う；費用；消費；会計；経費</t>
        </is>
      </c>
      <c r="F3538" t="inlineStr">
        <is>
          <t>補助金支出；公共支出；無駄な支出；公金支出；収入支出</t>
        </is>
      </c>
      <c r="H3538" t="n">
        <v>29</v>
      </c>
      <c r="I3538" t="inlineStr">
        <is>
          <t>この支出は巨額であるにもかかわらず、それまで公開されていなかった。；父王と違い、しばしば議会に戦費の支出を依頼しなければならなかった。；しかし一人あたりの生活支出は未だにイラン・イラク戦争前よりも低い。；上記の費用を支出の際に徴収することは容易ではないからである。；米国のいくつかの州では、教育関連の支出を所得税控除の対象としている。；ほとんどの支出がセットなどの美術費であるとのことである。；那覇市も国から支給された交付金を市内のAKBのイベントに支出した。；長期疾病となった場合には、支出の大部分を医療費が占める可能性がある。；従って生産された最終財・サービスは最終的に誰かの支出となる。；そのほか藩邸が焼けてその修理費にと、支出が相次いで財政難に陥った。；国が締結する債権法上の契約のうち、国の支出の原因となるもののみが該当する。；家計調査では、家計が支出した金額だけでなく購入数量も調査している。；逆に利子率 が減少すれば投資 は増加し、従って計画支出 も増加する。；このなかには医療・教育・社会保障関係支出の大幅削減も含まれる。；政府の法令を公式に発表する媒体であり、国庫から予算を支出されている。；子供の総支出のうち、子供と一緒にいる時間の分だけ各親が支出すると期待される。；公妾の生活や活動にかかる費用は公式に王廷費からの支出として認められた。；予定外の支出および予算を超過した支出へ対応するために準備しておく費用のこと。；データは自治体と共有することになっており、自治体もシステム整備費などを支出している。；これには重い軍事支出が一つの原因になっていた。；政府の税による収入と政府の支出の額は、常に均等になる保証はない。；財務上営業収入は統合・分配後各業者自身の必要に応じて支出する方式を採る。；リュティは失業者や貧困層を支援するための雇用対策への支出に反対した。；主な支出は、イベント開催費が40億円、会場整備費が27億円であった。；この南巡は費用は全て宮廷から支出するという、徹底したものだった。；大きな支出が必要な場合は、後見人が家裁に申請してチェックを受ける。；クリントン大統領の麻薬対策局長室は、膨大な警官への支出を拒否した。；支出報告書は、業務の結果として個人が負担したすべての経費を含む文書。；だがそれは、援助支出の増大を渋る議員らに対する便法に過ぎなかった。</t>
        </is>
      </c>
      <c r="J3538">
        <f>HYPERLINK("https://www.weblio.jp/content/支出", "词义详情")</f>
        <v/>
      </c>
      <c r="K3538">
        <f>HYPERLINK("https://yourei.jp/支出", "查看例句")</f>
        <v/>
      </c>
    </row>
    <row r="3539">
      <c r="A3539" t="inlineStr">
        <is>
          <t>辞書</t>
        </is>
      </c>
      <c r="B3539" t="inlineStr">
        <is>
          <t>成功</t>
        </is>
      </c>
      <c r="C3539" t="inlineStr">
        <is>
          <t>読み方：じしょ
１多数の語を集録し、一定の順序に配列して一つの集合体として、個々の語の意味・用法、またはその示す内容について記したもの。語のほかに接辞や連語・諺なども収める。また、語の表記単位である文字、特に漢字を登録したものも含めていう。辞書は辞典（ことばてん）・事典（ことてん）・字典（もじてん）に分類されるが、現実に刊行されている辞書の書名では、これらが明確に使い分けられているとはいえない。辞典。字書。字引(じびき)。
２パソコンの日本語入力システムやワープロソフトで、入力した仮名を漢字に変換するために登録されている語・熟語・類語などのファイル。また、自動翻訳システムで、語の対応や文法などを登録しておくファイル。
３先帝が新帝から贈られる太上(だいじょう)天皇の尊号を辞退する意を述べた書状。御奉書。御辞書。
４辞表。じそ。
「このごろ大弐(だいに)—奉りたれば」〈栄花・見果てぬ夢〉</t>
        </is>
      </c>
      <c r="D3539" t="inlineStr">
        <is>
          <t>辞書編纂(2%)；辞書類；辞書編集；辞書機能；辞書データ</t>
        </is>
      </c>
      <c r="E3539" t="inlineStr">
        <is>
          <t>辞典；事典；字書；字引；字典</t>
        </is>
      </c>
      <c r="F3539" t="inlineStr">
        <is>
          <t>対訳辞書；人名辞書；日本語辞書；地名辞書；用語辞書</t>
        </is>
      </c>
      <c r="G3539" t="inlineStr">
        <is>
          <t>辞書攻撃；辞書式順序；辞書順；辞書形；辞書登録</t>
        </is>
      </c>
      <c r="H3539" t="n">
        <v>29</v>
      </c>
      <c r="I3539" t="inlineStr">
        <is>
          <t>この言語を作った後、現実の言語と対応させた基本的な辞書を作成した。；新しく発生した意味も、他の辞書にさきがけて収録している場合が多い。；日本語辞書や文学などの分野ではこの用語が用いられることが多い。；辞書類にはその後も見えるものの、実際に行われたかどうかは定かでない。；しかし、これらは、辞書の形を見ただけでは区別することはできない。；同辞書はドイツ語学習者であれば、一度は手にしたことがあるとも言われる。；南ロシアやウクライナでの植物の現地名の辞書を作ったことでも知られる。；歌詞は辞書から変わった言葉を抽出して語感から組み立てることもある。；翻訳ソフト製品に付属する辞書は、自然言語処理的な調整がされている。；下記の表は、辞書などで掲載している一般的な伝位とその解説の一覧である。；上で示した辞書の定義文のように、ロボットは主に次のように大分類できる。；したがって語根がわからなければ一般に辞書を引くことができない。；米国でもっとも広く利用されている法律辞書「」では次のように定義している。；全ての辞書を利用できる有料版と、一部の辞書を利用できる無料版がある。；第三変化の場合は辞書に属格形で表示される語幹に-eがついた形を取る。；Mobipocket 形式で購入可能な辞書には、以下のものがあった。；このことにより、語彙の少ない初学者にも使いやすい辞書となっている。；しかしその意味は、辞書に書かれている意味とはいささか異なる。；なお、全ての級・全科目において辞書の使用は一切認められていない。；ただし、辞書の語彙数や変換率は決して満足の行くものではなかった。；ユーザ辞書を作成して、サイトに応じた固有名詞を登録することもできる。；生前に出版された彼の著書は、『論理哲学論考』とこの辞書だけである。；AppleScript用語辞書に定義されている範囲のみである。；古強者とはこういう人をいうのだという、まるで辞書の定義のようだ。；形態素解析は普通、その言語の単語を収めた辞書を用いておこなわれる。；辞書などでは、「結婚していない同棲関係」と説明されることもある。；英語の辞書では以下のような意味が説明されている。；英語以外の言語でも評価の高い辞書を送り続けている。；索引つき辞書は通常の辞書の操作に加えて、次の二つの操作をサポートする。</t>
        </is>
      </c>
      <c r="J3539">
        <f>HYPERLINK("https://www.weblio.jp/content/辞書", "词义详情")</f>
        <v/>
      </c>
      <c r="K3539">
        <f>HYPERLINK("https://yourei.jp/辞書", "查看例句")</f>
        <v/>
      </c>
    </row>
    <row r="3540">
      <c r="A3540" t="inlineStr">
        <is>
          <t>史上</t>
        </is>
      </c>
      <c r="B3540" t="inlineStr">
        <is>
          <t>成功</t>
        </is>
      </c>
      <c r="C3540" t="inlineStr">
        <is>
          <t>読み方：しじょう
歴史に現れているところ。歴史上。「—空前の惨事」</t>
        </is>
      </c>
      <c r="D3540" t="inlineStr">
        <is>
          <t>史上初めて(17%)；史上最も(6%)；史上唯一(3%)；史上最悪(3%)；史上最長(3%)</t>
        </is>
      </c>
      <c r="E3540" t="inlineStr">
        <is>
          <t>歴史上；史実上</t>
        </is>
      </c>
      <c r="F3540" t="inlineStr">
        <is>
          <t>クラブ史上；以来史上；プロ野球史上；大会史上；mlb史上</t>
        </is>
      </c>
      <c r="G3540" t="inlineStr">
        <is>
          <t>史上最高；史上最大；史上最年少；史上最多；史上最強</t>
        </is>
      </c>
      <c r="H3540" t="n">
        <v>29</v>
      </c>
      <c r="I3540" t="inlineStr">
        <is>
          <t>これはNHKのドラマ放送史上唯一の事であったため当時話題になった。；この年は史上初めて全試合ドーム球場で開催されたシリーズでもあった。；第36回は史上初めて全11地区の会場で同日同時刻に予選が行われた。；日本へ派遣された艦隊は史上例をみない世界史上最大規模の艦隊であった。；イブン・バットゥータは史上最も偉大な旅行家の一人と考えられている。；この本は、現在でも百合子研究史上重要な位置を占めるものとされている。；弁護士を介した文書を使った契約を史上初めて導入した選手である。；この戦争では史上初めて近代的な機械技術が主戦力として投入された。；現在では、史上最も高価で貴重なコミックブックのひとつとなっている。；同試合は東ドイツ代表が西ベルリンで試合を行った史上唯一の例となった。；もちろん死刑の廃止と復活は、世界中で史上何度も行われてきている。；千秋楽には寺尾を抜いて史上2位となる通算出場1796回を記録した。；セルティックスがホームで優勝を奪われるのはチーム史上初めてのことだった。；また、文章博士を務めたまま参議となったのは史上初めてのことであった。；これは日本シリーズが一球場のみで開催された史上唯一の例である。；西洋美術史上のあらゆる分野に、大きな影響を与えた芸術家である。；これは国際連盟規約第16条が史上唯一適用された事例であった。；準優勝チームからMVPに選ばれたのはKリーグ史上初めてのことだった。；無論、空母でこのような命令が出されたのはこれが史上唯一である。；この作品を巡り石橋忍月との間で論争が起こったことも文学史上有名である。；日本プロ野球史上に残る伝説の選手の一人で、フィリピンにて戦死している。；しかし、動物史上では、この地位にこそ最大級の種が含まれていることが多い。；このパピルスと要塞は、史上初めて紅海を渡る航路を明らかにしている。；訳経史上では、鳩摩羅什以前の訳を古訳と言って旧訳から区別することがある。；これらは戦後にわずかな例外を除いて芸術史上価値の高い歴史的建造物に至るまで撤去された。；その領土の範囲は人類史上において大英帝国に次ぐ2番目の巨大さだった。；彼は『ムービーメーカー』誌で史上5番目に影響力のある監督に選ばれた。；この試合に勝ったチームは優勝マジック40を球団史上最速で点灯させた。；スペースシャトル史上2度の大事故の後の初飛行はいずれもこの機体となっている。</t>
        </is>
      </c>
      <c r="J3540">
        <f>HYPERLINK("https://www.weblio.jp/content/史上", "词义详情")</f>
        <v/>
      </c>
      <c r="K3540">
        <f>HYPERLINK("https://yourei.jp/史上", "查看例句")</f>
        <v/>
      </c>
    </row>
    <row r="3541">
      <c r="A3541" t="inlineStr">
        <is>
          <t>市場</t>
        </is>
      </c>
      <c r="B3541" t="inlineStr">
        <is>
          <t>成功</t>
        </is>
      </c>
      <c r="C3541" t="inlineStr">
        <is>
          <t>読み方：いちば
１一定の商品を大量に卸売りする所。「魚—」「青物—」
２小売店が集まって常設の設備の中で、食料品や日用品を売る所。マーケット。「公設—」</t>
        </is>
      </c>
      <c r="D3541" t="inlineStr">
        <is>
          <t>市場向け；市場占有率；市場全体；市場投入；市場開拓</t>
        </is>
      </c>
      <c r="E3541" t="inlineStr">
        <is>
          <t>市；マーケット；マート；証券業界；市庭</t>
        </is>
      </c>
      <c r="F3541" t="inlineStr">
        <is>
          <t>米国市場；欧州市場；国際市場；ヨーロッパ市場；中古市場</t>
        </is>
      </c>
      <c r="G3541" t="inlineStr">
        <is>
          <t>市場町；市場価格；市場規模；市場調査；市場シェア</t>
        </is>
      </c>
      <c r="H3541" t="n">
        <v>29</v>
      </c>
      <c r="I3541" t="inlineStr">
        <is>
          <t>中古車市場では、極端な多走行車であっても取引が行われる事例がある。；各国の航空機メーカーはこの市場を狙って熱心に新型機の研究を行った。；この機種は教育市場向けモデルのため一般にはほとんど出回っていない。；これは企業デスクトップ市場を得るためのノベルの最初の試みであった。；日本と並ぶ主要市場であるアメリカ合衆国では、現地生産を行っている。；とは市場全体の一部を構成する特定のニーズを持つ規模の小さい市場のこと。；株式会社の株式に相当する投資口を時価で市場で購入することができる。；ここ最近ではNESiCAxLiveのコンテンツが市場の中心である。；アメリカが銀の法定備蓄を開始すると、国際市場での銀価格は急騰した。；どのサイトもまだ市場の優位性も批判的なサポートも得ることができていない。；新しい才能の育成と発見および、ロシアにおける出版市場の創出である。；ただし、近年は市場への供給が減っており、貴重な木材となりつつある。；この他、一般向けモデルをベースにした、教育市場向けのモデルが存在した。；祭りは年数回不定期で開催され、市場とミニコンサートで賑わっている。；新たな市場となったイギリスはオランダのような取引相手の主体となることは無かった。；トランスジェニック技術を採用して市場に出している組織は次のとおりである。；植物を栽培して花や実を収穫し、市場に売却することなどができる。；翌年以降は更に伸びており、この時期大量のソフトが市場に流れ込んでいた。；フリードマンは、あらゆる市場への制度上の規制は排除されるべきと考えた。；市場では、マイナスイオンを発生すると称する様々な商品が販売されている。；また、ロンドン自体が巨大な消費市場であるため、商業活動も活発である。；ゆえに製品発見のために市場投入と同等のコストがかかっては意味がない。；ポケットに入れられる小さなものが若干早く市場に出た。；最終的に、典礼劇は教会堂の外、教会堂の庭や市場へ上演の場を移した。；また、本作の受賞は日本映画産業が国際市場に進出する契機となった。；Itaniumのサポートは一度は計画されたが、市場導入には至っていない。；しかしこれらの分野でも次第にARMに市場を奪われていった。；これは楽市場での交通の自由や種々の特権を認めたものであった。；非市場社会には、価格を形成する自己調節的市場は存在しなかったとする。</t>
        </is>
      </c>
      <c r="J3541">
        <f>HYPERLINK("https://www.weblio.jp/content/市場", "词义详情")</f>
        <v/>
      </c>
      <c r="K3541">
        <f>HYPERLINK("https://yourei.jp/市場", "查看例句")</f>
        <v/>
      </c>
    </row>
    <row r="3542">
      <c r="A3542" t="inlineStr">
        <is>
          <t>試乗</t>
        </is>
      </c>
      <c r="B3542" t="inlineStr">
        <is>
          <t>成功</t>
        </is>
      </c>
      <c r="C3542" t="inlineStr">
        <is>
          <t>読み方：しじょう
［名］(スル)新しく開発された乗り物や購入したい車などにためしに乗ってみること。</t>
        </is>
      </c>
      <c r="D3542" t="inlineStr">
        <is>
          <t>試乗車(6%)；試乗会(5%)；試乗体験(4%)；試乗記(3%)；試乗コース</t>
        </is>
      </c>
      <c r="H3542" t="n">
        <v>29</v>
      </c>
      <c r="I3542" t="inlineStr">
        <is>
          <t>なお現在は櫂伝馬競漕は行われておらず、試乗体験会のみとなっている。；みんな胸にリボンをつけているから試乗者は老人だけに限ったらしい。；刑事二人がこのコースを試乗してみたら、大学に着いたのは一〇時七分すぎだった。；もう一つは建設中だが、邪魔が入らなければ、こちらも開園前に試乗する。；また旅行関連のイベントで展示や試乗体験を行っていた。；囲いに隠れて試乗班の姿は見えないし、昔も遠くまでは聞こえないだろう。；試乗後に彼は「これは私が乗った飛行機の中で最も素晴らしい」と述べている。；利家が容易に信じないので、家中の馬術の達者三人に御前で試乗させた。；その朝、彼は手紙を書き、馬の試乗をして過ごしたのである。；箱根で試乗会があるので、Yさんの運転するアウディに乗って行った。；次第によっては、わしは又何度、富士見の馬場へ試乗に参ってもよいぞ。；リチャード・ハモンドの運転で車体下方での爆破実験を含む試乗を行った。；新型ジェットコースターの試乗には、誰かほかのやつを誘ってくれないか?；また同様に観光用の試乗体験も行われている。；試乗の客たちで満員ではあるまいかと心配しながら跨線橋を渡ってきた私は拍子抜けした。；アンロックされていない自動車・バイクでも試乗が可能である。；池袋の方はまだ試乗しませんが、表門のすぐわきへ出られて便利の様子です。；いまは全部出払っているが、試乗者の名前が表に書き込んである。；一九三二年 ラテコエール航空会社の呼びかけに応じ、水上飛行機試乗。；続いて仁科中尉が二号艇に乗って試乗し同じように成功した。；あとはパイロットに試乗してもらいましょう。；だって、最近高速モーターボートを購入したのだが、明日の朝試乗してみるつもりだなどと言ったのだから。；そして交付直後の週末には試乗を兼ねてマユを車に乗せ、初のドライブに出た。；ええ、試乗する人がいるんですね、新型機は離着床に駐機してあるんですよ。；なお、試乗コース中央にあったオブジェはリニューアル時に撤去されている。；総勢七人、間もなく開通する岡山新幹線に試乗させていただくことになる。；普段乗車することのできない工作車への試乗をはじめ、さまざまなイベントが行なわれる。；彼らはマッジョーレ湖上でフォルラニーニの水中翼船に試乗している。；現在の東京湾に回航され、翌年の6月2日には品川沖で家光が試乗。</t>
        </is>
      </c>
      <c r="J3542">
        <f>HYPERLINK("https://www.weblio.jp/content/試乗", "词义详情")</f>
        <v/>
      </c>
      <c r="K3542">
        <f>HYPERLINK("https://yourei.jp/試乗", "查看例句")</f>
        <v/>
      </c>
    </row>
    <row r="3543">
      <c r="A3543" t="inlineStr">
        <is>
          <t>私情</t>
        </is>
      </c>
      <c r="B3543" t="inlineStr">
        <is>
          <t>成功</t>
        </is>
      </c>
      <c r="C3543" t="inlineStr">
        <is>
          <t>読み方：しじょう
１個人的な感情。私意。「—にとらわれる」「—を交える」「—を捨てる」
２利己的な心。私心。
「先方の利益を思うよりもわが—を満足さすばかりの」〈蘆花・思出の記〉</t>
        </is>
      </c>
      <c r="D3543" t="inlineStr">
        <is>
          <t>私情をはさむ余地</t>
        </is>
      </c>
      <c r="E3543" t="inlineStr">
        <is>
          <t>自分の意見；エゴ；エゴイズム；私見；私心</t>
        </is>
      </c>
      <c r="H3543" t="n">
        <v>29</v>
      </c>
      <c r="I3543" t="inlineStr">
        <is>
          <t>客観的判断に基づくもので私情はありませんので感謝には及びません。；むろん、才能のない庶民が、無影の私情で登用されたことは一度もない。；養子となって来たからは、家を先にして私情を後のものとせねばならぬであろう。；およそ士たる者が、主君に断りもなく私情で命を捨てる事のあるべきや。；この思いは、彼の死を悼むの念を、私情的のみならず公情的にも深める。；決して私情をはさんだり、あるいはきみを貶めようとするものじゃない。；そして、私情であるところに、もちろん、それらの理由の根強さがある。；この時、初めて、これまで一度も私情を口にしなかった羽生が、発言した。；しかし、確かに私情を抜いた光稀の指摘は当を得ているのだ。；高が国民の私情に過ぎぬものを、国民最上の美徳と称するのは不思議である。；都の大事であるから、キルケスも私情を抑え、全力をあげて協力していた。；李雄は私情に囚われずに賢人を愛し、その才能に合わせて人材を用いた。；直接に補佐する長中将は私情に流されて自己放棄してはならなかった。；もし一髪の私情にでも引かれたら彼の一門も明智と同じものになったろう。；もともとユーリアを屈服させたいゾーエの私情に基づいて設立されている。；後に逮捕された犯人は私情の縺れから放火に至ったとしている。；国家の為に私情を割く、篤麿不敏と雖も已むべきに非るを知ればなりと。；たったそれだけの私情で、帝系を乱した両親を、いまなおおれは憎む。；あのお方は、私情のために王国の利益をそこねることはできない方だと思います。；私情が結果に影響しないとは言い切れないわ。；兵士たるもの、私情は眉より上に押し込めて、鍵をかけておくべきである。；王は、父としての私情をどうしてもすてることができなかったのだ。；若い頃の父は大切な決断に私情を挟むことの少ない人だった。；近衛公は私情を忍ぶに於て実に強固なる意思を有したる人なりき。；さてこそ、そこに依怙や毛嫌いの私情が入り込む隙間があるのである。；だから社会のために私情を捨てて害を除こうとしたのだわ。；そんな私情を抜きにしても、見て見ぬ振りはできぬ断固たる姿勢もあるのにちがいない。；しかし彼の気持はそういう私情を娯んでいる暇がなかった。；今まで男になるために私情を捨て理念で生きてきた。</t>
        </is>
      </c>
      <c r="J3543">
        <f>HYPERLINK("https://www.weblio.jp/content/私情", "词义详情")</f>
        <v/>
      </c>
      <c r="K3543">
        <f>HYPERLINK("https://yourei.jp/私情", "查看例句")</f>
        <v/>
      </c>
    </row>
    <row r="3544">
      <c r="A3544" t="inlineStr">
        <is>
          <t>事情</t>
        </is>
      </c>
      <c r="B3544" t="inlineStr">
        <is>
          <t>成功</t>
        </is>
      </c>
      <c r="C3544" t="inlineStr">
        <is>
          <t>読み方：じじょう
物事がある状態に至るまでの理由や状態。また、その結果。事の次第。「やむをえぬ—があって遅れる」「—が許す限り協力する」「業界の—に通じる」「中南米諸国の—に明るい」「住宅—」「交通—」</t>
        </is>
      </c>
      <c r="D3544" t="inlineStr">
        <is>
          <t>事情をよく；事情聴取；事情説明；事情を打ち明け；事情を詳しく</t>
        </is>
      </c>
      <c r="E3544" t="inlineStr">
        <is>
          <t>わけ；状態；様子；事実；環境</t>
        </is>
      </c>
      <c r="F3544" t="inlineStr">
        <is>
          <t>食糧事情；何らかの事情；詳しい事情；そういう事情；交通事情</t>
        </is>
      </c>
      <c r="G3544" t="inlineStr">
        <is>
          <t>事情通；事情判決；事情変更の原則</t>
        </is>
      </c>
      <c r="H3544" t="n">
        <v>29</v>
      </c>
      <c r="I3544" t="inlineStr">
        <is>
          <t>その場で教授が初めてソーンヒルに接触して、すべての事情を説明する。；このあたりの事情は2冊の著作の中で徹底的かつ詳細に検証されている。；こうした事情から両者の対立が続いたため、与党三党は合意を破棄した。；実際に後述の事情から競争力が低下した古い客船の貨客船落ちもあった。；日本では事情は異なり、急速な普及や変化には難しい部分があった。；そうした事情が基になり、この伝説ができたものと考えられている。；管子の構成は成立の事情と散逸した箇所があるため非常に複雑である。；ミッキーはマックが娘のために傭兵に身を落とした事情を知ってしまう。；これは状況証拠すなわち前後の事情からして、ありそうなことである。；近年は交通事情の改善を目指し、近隣都市への鉄道の敷設が計画されている。；放送権や編成上の事情などで、一部放送できない試合が存在した年もあった。；離党するときは、支部または党の機関に、その事情を述べ承認を求める。；このような事情から、球団は二軍施設全体の再移転を検討することとなった。；このためアルフォンスの事情を知る相手からは総じて可愛がられている。；加えて、張本の場合は自身も移籍を希望していたという事情もあった。；この事情から、 の3点を目的とした局間ネットワークが組まれていった。；モロッコ国民の鉄道事情への不満に応えたものであるとされている。；玉音放送を聴く周囲の人々の雰囲気などで事情を把握した人が大半だった。；高校卒業後、大学入試には合格したが家庭の事情で進学しなかった。；これは後退にも見えるが、当時の人材事情から来る時代の要請である。；しかし安治川沿いの発展には時間の猶予は許されないという事情もあった。；江崎家やグリコの内部事情に犯人グループが通じていたことから出た説である。；この方針は結果として霞ヶ浦の治水対策を強化していく事情につながる。；こうした事情のためか、確実にこの時期に描かれたことが解る作品は殆ど無い。；こうした事情から本作は発行ごとに最終話の内容が異なる珍しい作品となっている。；政治的な事情により、事実上の首都と形式上の首都が異なる国もある。；事情を知った一般世論からも張学良は強い批判を浴びることとなった。；またフランスの国内事情により、航空機の開発も遅れがちであった。；運賃は基本的に区間制と距離制を地域事情に応じて併用している。</t>
        </is>
      </c>
      <c r="J3544">
        <f>HYPERLINK("https://www.weblio.jp/content/事情", "词义详情")</f>
        <v/>
      </c>
      <c r="K3544">
        <f>HYPERLINK("https://yourei.jp/事情", "查看例句")</f>
        <v/>
      </c>
    </row>
    <row r="3545">
      <c r="A3545" t="inlineStr">
        <is>
          <t>試食</t>
        </is>
      </c>
      <c r="B3545" t="inlineStr">
        <is>
          <t>成功</t>
        </is>
      </c>
      <c r="C3545" t="inlineStr">
        <is>
          <t>読み方：ししょく
［名］(スル)食品や料理の味をみるため、ためしに食べること。「新製品を—する」「—会」</t>
        </is>
      </c>
      <c r="D3545" t="inlineStr">
        <is>
          <t>試食する(10%)；試食会(2%)；試食品(2%)；試食コーナー；試食できる</t>
        </is>
      </c>
      <c r="E3545" t="inlineStr">
        <is>
          <t>試みる；試す；味見；試飲；試味</t>
        </is>
      </c>
      <c r="F3545" t="inlineStr">
        <is>
          <t>人肉試食</t>
        </is>
      </c>
      <c r="G3545" t="inlineStr">
        <is>
          <t>試食販売</t>
        </is>
      </c>
      <c r="H3545" t="n">
        <v>29</v>
      </c>
      <c r="I3545" t="inlineStr">
        <is>
          <t>あいつが農協の連合会の者を呼んで、試食させたいって言ってるんです。；自分は見たことはないが、手に入れば試食してみたいと思っている。；そしてまもなく、彼女の試食をやることになっていた男の姿を目撃しました。；くだんの紳士は新しいご馳走の匂いをかいで、その匂いを試食しました。；試験官が実際に試食した際の感覚的な評価に基づいて行う検査。；複数人で分け合って試食した場合は食べたうちの誰かが買い取りとなる。；ISSに滞在中、専用装置で人工栽培されていたレタスを試食している。；それぞれのグループごとにお茶を沸かし、お茶を飲みながらの試食である。；いろいろなパンをペニスに「試食」させてついに究極のパンを発見する。；正解で勝ち抜けとなり、VTRで紹介された料理を試食する事が出来る。；驚いたことに、試食したそばから、買いたいと申し出ている者がいる。；料理番組の最後の試食でこんなに食べるものかと、水を飲みながら私は思う。；イギリス軍捕虜の人肉を試食する会を開いたこともあったと聞いた。；特におじさんは、試食を男女問題と同じように考えてしまうようだ。；料理コーナーの試食のときに着物の解説をしていた。；スーパーなどでハムを試食しても、そののちの購入はせいぜい一本である。；うちの同居人は、新しい餌を猫に食べさせるとき、必ず自分で試食します。；次に総務か庶務を紹介してもらって、ここでも部長に試食をして頂く。；カリーによると、このトウガラシを試食した人々は全員嘔吐したとされる。；それともここにあるものを試食するほど、おなかが空いているかしら?；試食は、食べてみておいしかったら購入するという正常な商取引である。；試食のために、こんな大きなジャコピラミッドを用意するはずがない。；お米屋さんの店主は4匹に店頭で配っていた試食のおにぎりを食べさせる。；レギュラー陣も併せて既に用意されているものを試食する。；肉は、醤油をつけて、試食してみたが、あんまりうまいものではなかった。；発売直前には、開発や試食の模様が番組内で放送されている。；BS移行後は全員で事前に用意されているものを試食。；本選と同様の試食・審査を経て、最も多い支持票を得た学校を優勝校と決めていた。；今日最初に試食してくれたのは、腰の曲がったおばあさんだった。</t>
        </is>
      </c>
      <c r="J3545">
        <f>HYPERLINK("https://www.weblio.jp/content/試食", "词义详情")</f>
        <v/>
      </c>
      <c r="K3545">
        <f>HYPERLINK("https://yourei.jp/試食", "查看例句")</f>
        <v/>
      </c>
    </row>
    <row r="3546">
      <c r="A3546" t="inlineStr">
        <is>
          <t>辞職</t>
        </is>
      </c>
      <c r="B3546" t="inlineStr">
        <is>
          <t>成功</t>
        </is>
      </c>
      <c r="C3546" t="inlineStr">
        <is>
          <t>読み方：じしょく
［名］(スル)今までついていた職を自分からやめること。「責任をとって—する」「内閣総—」「—願い」
[用法]辞職・退職——「後進に道を譲るために辞職（退職）する」など、職をやめる意では相通じて用いる。◇「辞職」は自らの意志で職をやめること。「責任をとって議員を辞職する」「辞職願い」◇「退職」は職場から去ることで、自発的なものばかりでなく、定年・免職なども含まれる。「退職して悠悠自適の生活に入る」「定年退職」「退職金」◇類似の語に「辞任」がある。「辞任」は、それまで就いていた任務・役職などをやめること。必ずしも職場を去るとは限らない。「委員を辞任する」</t>
        </is>
      </c>
      <c r="D3546" t="inlineStr">
        <is>
          <t>辞職する(11%)；辞職後(3%)；辞職願い；辞職届；辞職しよ</t>
        </is>
      </c>
      <c r="E3546" t="inlineStr">
        <is>
          <t>引退；辞任；退職；降りる；退社</t>
        </is>
      </c>
      <c r="F3546" t="inlineStr">
        <is>
          <t>辞職願；議員辞職；引責辞職；自ら辞職；責任を取って辞職</t>
        </is>
      </c>
      <c r="G3546" t="inlineStr">
        <is>
          <t>辞職勧告</t>
        </is>
      </c>
      <c r="H3546" t="n">
        <v>29</v>
      </c>
      <c r="I3546" t="inlineStr">
        <is>
          <t>庾純はのちに、酒が入った上での発言であったと謝罪し、結局辞職した。；その音で外に出てきた学長に対して大声で辞職する旨を叫んだという。；しかし、両親が高齢であるために故郷を離れようとせず、官を辞職する。；その後1778年にメレディスは軍隊を辞職し、商業の世界に復帰した。；事実上の辞職要求と感じたブリューニングは翌5月30日に総辞職した。；これは、市民の秩序と安全のためであり、この際に二人役を辞職させている。；戦犯裁判の評決の発表の後、マンネルヘイムは大統領の辞職を決意した。；予定されていた計画実行日は東條内閣が総辞職した日であった。；されど責任を感じて辞職すべきものなりとせば今辞職するは軽きことなり。；批准書交換の日の6月23日に辞意を表明して7月15日に総辞職した。；不服とした西郷は参議・近衛都督を辞職して鹿児島へと帰国していった。；その後も勤務状況は変わらず、元禄13年2月15日に病気で辞職した。；この決定をみて、今度は東華学校の教員が一斉に総辞職することになった。；藤井は大臣辞職後、しばらくは休養に専念した後に政治活動を再開した。；追放に指定される可能性を察知して公表の前に講談社を辞職した。；事件の翌日に内閣は総辞職し、次の総理には軍人出身の齋藤實が就任した。；石嶺は「私は議会が選んだ議員ではない」などとして辞職を拒否している。；しかし政府が議会の信任を得られないことを理解してわずか2週間で総辞職した。；伊藤はこれ以上の政権維持は困難であるとみて8月31日に辞職した。；この方針に反対した対ロシア開戦慎重派の外相ダービー伯爵が辞職した。；京都帝国大学在職中に滝川事件が起こり、抗議のため同大学を辞職した。；敗北した政府は総辞職するか下院を解散することがあり得る。；父親同士が同じ職にあったこともあって、古くから知った仲。；また大統領が死去や辞職した場合、3ヵ月以内に選挙が実施される。；であった彼は、辞職しなかった唯一の南部出身上院議員であった。；しかし辞職に伴う補選に岡山の支持者たちは勝手に犬養を立候補させた。；時忠は5月に母が死去したことで、服喪のため検非違使別当を辞職する。；グレイ伯爵はこれ以上の政権運営は不可能と判断して7月に辞職した。；首相ローズベリー伯爵はこれを機に総辞職することを決定した。</t>
        </is>
      </c>
      <c r="J3546">
        <f>HYPERLINK("https://www.weblio.jp/content/辞職", "词义详情")</f>
        <v/>
      </c>
      <c r="K3546">
        <f>HYPERLINK("https://yourei.jp/辞職", "查看例句")</f>
        <v/>
      </c>
    </row>
    <row r="3547">
      <c r="A3547" t="inlineStr">
        <is>
          <t>詩人</t>
        </is>
      </c>
      <c r="B3547" t="inlineStr">
        <is>
          <t>成功</t>
        </is>
      </c>
      <c r="C3547" t="inlineStr">
        <is>
          <t>読み方：しじん
１詩を作る人。詩作を業とする人。
２詩的な感受性を強く持っている人。「彼はなかなかの—だ」</t>
        </is>
      </c>
      <c r="D3547" t="inlineStr">
        <is>
          <t>詩人達；詩人協会；詩人会；詩人オウィディウス；詩人ウェルギリウス</t>
        </is>
      </c>
      <c r="E3547" t="inlineStr">
        <is>
          <t>歌人；俳人；詩家；騒人；韻士</t>
        </is>
      </c>
      <c r="F3547" t="inlineStr">
        <is>
          <t>女流詩人；若い詩人；女性詩人；有名な詩人；著名な詩人</t>
        </is>
      </c>
      <c r="G3547" t="inlineStr">
        <is>
          <t>詩人の言葉；詩人の恋；詩人会議；詩人の死；詩人の旅</t>
        </is>
      </c>
      <c r="H3547" t="n">
        <v>29</v>
      </c>
      <c r="I3547" t="inlineStr">
        <is>
          <t>日本でも明治以来もっともよく知られたイギリス詩人の一人である。；・・・・・・ 今日、詩人がなしうることは、警告することだけである。；湖水地方への愛を深め、詩人になる決意を確認したのもこのころだった。；詩人ユスタシュ・デシャンは百年戦争の間の社会と精神構造を証言した。；そのため詩人の意図するところをめぐって激しい議論がなされている。；医師活動をする傍ら、詩人としても多くの作品を残したことでも知られる。；しかし、彼はイエズス会士や司法官ではなく、詩人になろうと決心した。；詩人でもあり詩集を出版しアカデミー・フランセーズの賞を受賞している。；露香が描いた一茶像は「笑いの中に涙を湛える飄逸なる詩人」であった。；詩人ジョヴァンニ・ボッカッチョと友人になったのもこの頃である。；エレギーアの発展にこの二人の詩人が寄与した部分は確かに大きい。；作者である詩人が、混乱を経た後にはすべてが最初の状態に戻ると考えていたとしている。；ランボーは家出を繰り返して家族や大人の権威に反抗した詩人である。；戦後は詩人研究で著名で、多くの全集類の編集出版にもあたった。；秋瑾は詩人でもあり、その主題は中国女性解放運動を中心としたものが多い。；フリードリヒは優れた詩人であり、同時に文芸の保護にも熱心だった。；詩人萩原朔太郎が比留間に師事しマンドリンを演奏していたのは有名。；詩人になることに父が明らかに反対したゆえの決断である。；画像はその代表的な詩人の細密画で、勇猛な戦士の姿で描いている。；神宗期に活躍したのが王安石であり、宋代最高の詩人である蘇軾である。；これらは、当時の詩人であった李白や杜甫によって歌に詠まれている。；後述のように彼等はローマ詩人によってしばしばファウヌスと混同された。；最終の第15歌は詩人の愛をかき立てたミューズへの告別の歌である。；著名な詩人のゼルダ・ミシュコフスキも教師の一人であった。；以上のようなアドバイスが男性に向けて詩人からなされる。；詩を書く者以外に対しても「詩人」という言葉が使われることがある。；はじめは詩人を目指していたが、化学教師の影響を受け科学者への道を目指すようになった。；その後、武田は詩人の更科源蔵の調査旅行に同行し、各地をまわっている。；しかしそれは後期ロマン派詩人には、再び単純なメルヘン調が好まれた。</t>
        </is>
      </c>
      <c r="J3547">
        <f>HYPERLINK("https://www.weblio.jp/content/詩人", "词义详情")</f>
        <v/>
      </c>
      <c r="K3547">
        <f>HYPERLINK("https://yourei.jp/詩人", "查看例句")</f>
        <v/>
      </c>
    </row>
    <row r="3548">
      <c r="A3548" t="inlineStr">
        <is>
          <t>地震</t>
        </is>
      </c>
      <c r="B3548" t="inlineStr">
        <is>
          <t>成功</t>
        </is>
      </c>
      <c r="C3548" t="inlineStr">
        <is>
          <t>読み方：じしん
地球内部の急激な変動による振動が四方に伝わり大地が揺れる現象。地殻や上部マントルに蓄積された歪みエネルギーが限度を超えると岩石が破壊され、弾性振動となって放出されて起こる。地震そのものの規模をマグニチュード、その土地における震動の強さを震度で表す。
[補説]1900年以降に発生した大規模地震上位10位（2017年3月3日現在）順位日時（日本時間）発生場所マグニチュード（Mw）11960年5月23日チリ9.521964年3月28日アラスカ湾9.232004年12月26日インドネシア、スマトラ島北部西方沖9.142011年3月11日日本、三陸沖（東北地方太平洋沖）9.01952年11月5日カムチャツカ半島9.062010年2月27日チリ、マウリ沖8.81906年2月1日エクアドル沖8.881965年2月4日アラスカ、アリューシャン列島8.792005年3月29日インドネシア、スマトラ島北部8.61950年8月15日チベット、アッサム8.62012年4月11日インドネシア、スマトラ島北部西方沖8.61957年3月9日アラスカ、アリューシャン列島8.6アメリカ地質調査所による（気象庁からの抜粋）</t>
        </is>
      </c>
      <c r="D3548" t="inlineStr">
        <is>
          <t>地震発生(5%)；地震後；地震直後；地震対策；地震被害</t>
        </is>
      </c>
      <c r="E3548" t="inlineStr">
        <is>
          <t>震動；脈動；アースクェイク；衝撃</t>
        </is>
      </c>
      <c r="F3548" t="inlineStr">
        <is>
          <t>本地震；大規模な地震；強い地震；沖地震；大規模地震</t>
        </is>
      </c>
      <c r="G3548" t="inlineStr">
        <is>
          <t>地震動；地震波；地震活動；地震学；地震予知</t>
        </is>
      </c>
      <c r="H3548" t="n">
        <v>29</v>
      </c>
      <c r="I3548" t="inlineStr">
        <is>
          <t>観測点が増加したことで新しい地震ほど大きな値が記録される傾向がある。；この地震は津波を起こすほどのものではなく、被害は報じられていない。；そしてまた、今後も同じように繰り返し地震を発生すると考えられる。；このようなこともあり、善光寺地震を始め、多数の地震を経験してきた。；幾つかの重要な病院は建物被害がひどく、地震後に使用不能となった。；プリニウスは爆発時に地震を感じ、地面は非常に揺れたと述べている。；極端に天気が変わりやすく地震などの自然災害も他地域と比べて多い。；地震のシーンが多いテレビ番組は放送を中止または延期するなどした。；しかし、21世紀に入っても一日一回以上無感地震が発生している。；武生市は大規模な地震や空襲にあっておらず、古い町並みが残っている。；古いものほど地震を多数回経験しているため、大きくずれているためである。；このようにして破壊が終結すると、一つの地震が終わることになる。；アゼルバイジャンの科学技術は主に地震に関するもので占められている。；以下は本震発生以前の近い時期における関連が指摘される地震の記録である。；P波とS波は地震だけでなく非常に発達した低気圧によっても発生する。；震源が深い地震は同じ規模の浅い地震に比べて地表での揺れは小さい。；地震の揺れが続いている中リアルタイムに計算を行う予測は不確実性を伴う。；地震後、計画的な都市作りが行われたため、非常にソ連的な町並みとなった。；だから、地震が起きたら、本当はここへ逃げるのが一番安全だったりする。；このタイプの地震は、過去の記録などから1793年に起きたとみられている。；あるアスペリティですべり欠損が破壊強度を超えた時に地震が発生する。；その後も地震リスクの大きいいくつかの国や地域で試験運用を経て稼動している。；それと比較すれば、この地震の報道は、かなり迅速化が図られたといえる。；ただし描かれている大仏は、地震の後に再建された木造の大仏である。；最初、以前より小さな建物が1693年地震の後に素早く建てられた。；フロリダ州以外での大きな地震は1886年チャールストン地震だった。；これは、地震などの際にそれぞれの建物からの力が集中して破壊されるおそれがあるためである。；また地震から数時間経過した後に最大波高を観測している。；発生当日の生放送は地震関連のニュースに全面変更して放送した。</t>
        </is>
      </c>
      <c r="J3548">
        <f>HYPERLINK("https://www.weblio.jp/content/地震", "词义详情")</f>
        <v/>
      </c>
      <c r="K3548">
        <f>HYPERLINK("https://yourei.jp/地震", "查看例句")</f>
        <v/>
      </c>
    </row>
    <row r="3549">
      <c r="A3549" t="inlineStr">
        <is>
          <t>自身</t>
        </is>
      </c>
      <c r="B3549" t="inlineStr">
        <is>
          <t>成功</t>
        </is>
      </c>
      <c r="C3549" t="inlineStr">
        <is>
          <t>読み方：じしん
１自分みずから。自分。「私が—でしたことだ」「自分—」
２他の何ものでもなくそれみずからの意で、他の語に付けてそれを強調する語。そのもの。自体。「彼—の問題だ」「それ—の重さ」</t>
        </is>
      </c>
      <c r="D3549" t="inlineStr">
        <is>
          <t>自身初めて；自身最高；自身最多；自身通算；自身も亦</t>
        </is>
      </c>
      <c r="E3549" t="inlineStr">
        <is>
          <t>自分；自ら；本人；自己；我</t>
        </is>
      </c>
      <c r="F3549" t="inlineStr">
        <is>
          <t>彼ら自身；ぼく自身；ご自身；作者自身；御自身</t>
        </is>
      </c>
      <c r="G3549" t="inlineStr">
        <is>
          <t>自身番；自身番屋</t>
        </is>
      </c>
      <c r="H3549" t="n">
        <v>29</v>
      </c>
      <c r="I3549" t="inlineStr">
        <is>
          <t>一般的には、様々な意味で人間自身が最も人間の関心を引くようである。；作品の中で自身の画力を自虐的に扱うシーンを入れる事も度々であった。；そこではまた、それまでの自身の歌詞を次のように3期に分けている。；さいとう自身は43歳になるまで和歌山で生まれたことを知らなかった。；現代では主に自身の性格やそれに基づいた相性を知るために利用する人がいる。；富野自身も両親に対して憎悪のような感情を抱いていたと述懐している。；自身の家庭を恵まれたものとは感じていなかった事を告白している。；また、ラヴェルは自身の創作姿勢については以下のように説明している。；レース直前に多くの選手が清めの塩を、自身の体や自転車にかける。；自身の精神的苦痛を訴えると同時に、歴代担当編集者を実名で批判した。；作者自身の自主避難体験を描くことを決意していたことも連載の中で描かれている。；カバーの背表紙の色は作者自身や作品のイメージから決められる。；アリストテレス自身が多数の人に見せることを想定して公開した著作が多数あった。；なお、第一章には 彼らのうちの一人、預言者自身が次のように言いました。；なお、一説によると火をつけたのはピロクテーテース自身だったとも言う。；がそれ自身エルミートならば、これは上で述べた平方根の概念と一致する。；その最大の原因は資金問題と自身の性格の問題である。；作者のローリングによると、ハリー自身はこれを喜んでいるという。；川端は伊藤の死の数日前から自身の体にも違和を感じていたという。；彼らは、自身の信念を強化するために疑似科学を利用することが多い。；この e を、それ自身を表すゲーデル数に適用すると矛盾が導かれる。；独特の丸い形状の家はハインライン自身が妻と共同で設計したものである()。；出産後は自身の経験を元にした『今日もお天気』シリーズを発表している。；おそらくシェイクスピア自身が経済的に大きな成功を収めていたためである。；また自身同人活動用ブログでは金澤尚子とも仲が良い旨が公表されている。；ボーマルシェはこの件について、自身を英雄のごとく劇的に描いている。；また、特定の宗教を信仰していないとして自身を無宗教と認識する者も多い。；作品よりも作者自身の方が面白いといわれている。；ユーザーは自身の作成したこれらのソフトウェアの重要性に気づいていないことが多い。</t>
        </is>
      </c>
      <c r="J3549">
        <f>HYPERLINK("https://www.weblio.jp/content/自身", "词义详情")</f>
        <v/>
      </c>
      <c r="K3549">
        <f>HYPERLINK("https://yourei.jp/自身", "查看例句")</f>
        <v/>
      </c>
    </row>
    <row r="3550">
      <c r="A3550" t="inlineStr">
        <is>
          <t>自信</t>
        </is>
      </c>
      <c r="B3550" t="inlineStr">
        <is>
          <t>成功</t>
        </is>
      </c>
      <c r="C3550" t="inlineStr">
        <is>
          <t>読み方：じしん
［名］(スル)自分で自分の能力や価値などを信じること。自分の考え方や行動が正しいと信じて疑わないこと。「—を失う」「—満々」
「悉(ことごと)く粋を尽くしていると—している」〈漱石・虞美人草〉</t>
        </is>
      </c>
      <c r="D3550" t="inlineStr">
        <is>
          <t>自信たっぷり(2%)；自信ありげ；自信家；自信喪失；自信がつい</t>
        </is>
      </c>
      <c r="E3550" t="inlineStr">
        <is>
          <t>覚え；信頼；自負；自負心</t>
        </is>
      </c>
      <c r="F3550" t="inlineStr">
        <is>
          <t>絶対的な自信；たる自信；絶大な自信；自信満満；自信なさげ</t>
        </is>
      </c>
      <c r="G3550" t="inlineStr">
        <is>
          <t>自信過剰；自信まんまん；自信マンマン</t>
        </is>
      </c>
      <c r="H3550" t="n">
        <v>29</v>
      </c>
      <c r="I3550" t="inlineStr">
        <is>
          <t>この公演は評判を呼び、自信をつけた金太郎は俳優になる決心がついた。；しかし、生徒たちが自分を受け入れてくれたと知ると自信を取り戻した。；作者の作品では初めてとなる、美人で自信家の女の子が主人公である。；赤松自身は、喧嘩は嫌いだったつもりだが腕力には自信があったという。；上記のエピソードは、皆、彼の勉強に裏付けられた自信の現れでもある。；同団体には裸足で走る事に自信のある者であれば、誰でも参加出来る。；打ち上げの模様がはじめて中継放送され、自信の程を世界にあらわした。；彼女は自分自身にあまり自信がない人に下記の通り役にたつことばを言った。；ニュースは敗戦・占領下で自信を失っていた日本国民に大きな力を与えた。；学部学生のころから優秀で自信に満ちた学生として有名になっていた。；かなりの自信家であり、その自信はキラとしての使命感の源ともなった。；この大会で速球が通用したことでプロでやっていく自信が芽生えたという。；敵を恐れず自信を持って対峙することができると信じています。；小さい頃からピアノを習っているが、自分にいまひとつ自信が持てない。；自信なく答えたもののアタックチャンスをものにしハワイ旅行を獲得した。；英雄の自信に満ちた行動に敵は圧倒され、英雄の一撃で敵は総崩れになる。；なにごとであれ、やるからには自信を持って断行しなくてはいけない。；性格は単純・直情的・女好きで、自信に溢れた明るい人間性をしている。；彼は今回の敗北では精神的にも大きく打撃を受け自信を喪失した。；失敗した際の再挑戦は不可能であるため、腕の自信が必要だった。；引退の理由は、理想と現実のギャップに悩み自信を喪失したからだという。；ハダカのセールス・ポイントは背中から腰にかけての線に自信があります。；この時期に打撃のベースが出来たことで、プロでやっていける自信をつけたという。；台湾の棋士とも多数交流し、早碁も沢山打ちその中で自信をつけていった。；東條はマリアナ方面の防備には相当の自信があることを公言していた。；彼は飛行機のコンピューターシステムに対し、絶対的な自信を持っていた。；自身の力に対する絶対的な自信から、四魂の玉にも関心がない。；自信を持てない王は荒川との練習にも身が入らなかったという。；そのような人物は、過剰な自信や自己指示を誇大にする傾向がある。</t>
        </is>
      </c>
      <c r="J3550">
        <f>HYPERLINK("https://www.weblio.jp/content/自信", "词义详情")</f>
        <v/>
      </c>
      <c r="K3550">
        <f>HYPERLINK("https://yourei.jp/自信", "查看例句")</f>
        <v/>
      </c>
    </row>
    <row r="3551">
      <c r="A3551" t="inlineStr">
        <is>
          <t>自信満々</t>
        </is>
      </c>
      <c r="B3551" t="inlineStr">
        <is>
          <t>成功</t>
        </is>
      </c>
      <c r="D3551" t="inlineStr">
        <is>
          <t>自信満々な顔；自信満々な態度；自信満々な笑顔</t>
        </is>
      </c>
      <c r="E3551" t="inlineStr">
        <is>
          <t>有頂天；尊大；不遜；意気揚々；得意げ</t>
        </is>
      </c>
      <c r="H3551" t="n">
        <v>29</v>
      </c>
      <c r="I3551" t="inlineStr">
        <is>
          <t>と、このように中村が自信満々で宣言するのには、もちろん根拠がある。；かといって眼前の敵に怯えるわけでもなく、いつもどおりに自信満々だ。；実際死に、それから先のことなどは問題ではない自信満々たる生涯であつた。；この女は、自信満々になる前に、まずこの無駄毛を始末したほうがいい。；あの子は冒険好きで、自信満々、自分の能力以上のことをやろうとする。；この巨漢の肚裡を、見ン事看破してくれた、と自信満々だったのである。；そこまで自信満々ならばたぶん何も出てこないだろう、とその場でまず全員が思った。；人のいない花壇の方へ歩きながら、唐木は、自信満々に、二人に話した。；自信満々で不得手はないと豪語する魅音のそれとは遠くかけ離れていた。；見覚えのある三人も、外で見た時は自信満々だったのに、今は見る影もない。；だがその笑顔は自信満々で、決して照れて赤くなっているわけではなかった。；一方、斉藤の方は、刑事を助けたということで、自信満々でいるだろう。；と香子は自信満々に主張して、野郎二人をここまで引率してきたのだ。；しかし、今にして思えばなぜあんなに自信満々だったのかまるで解せない。；シャフトは自信満々だが、この計画の困難は発案より実行にあるのだ。；自信満々に突き進む彼らの前に、その敗北が、一つ姿を取って現れる。；この前までは自信満々だったくせに、急に気の弱いところを発揮するヤツである。；中には金属製の耳掻き棒に似たものが何本か並んでおり、雨は自信満々に言う。；私は押入れから出した脚をぶらつかせながら自信満々に言った。；あの自信満々の顔は自分が太陽だと信じ切っていた。；でも彼は、これで分かるし、これがいちばん英語らしい訳であると自信満々です。；あるお針子は自信まんまんでこれはウルゴ人の服だとおれに言った。；その言葉から浮んでくるのは、全てに、自信満々な犯人の姿だった。；いつもどおり自信満々な笑顔で、ヘルムート・ケルナーが闊歩していた。；そして今、何カ月も間を置いて戻って来て、今まで以上に傲慢で自信満々だ。；自信満々な顔には、なんか見ているこっちまでにやけてしまった。；自信満々にたてたソ蒙軍殲滅作戦が失敗に終ったのを、はどう思ったことか。；言っていることは滅茶苦茶なんだけれど、自信満々に言われると妙に納得してしまう。；逆に、自信満々な人間ほど、考え込んでしまい、つまずくのではないか。</t>
        </is>
      </c>
      <c r="J3551">
        <f>HYPERLINK("https://www.weblio.jp/content/自信満々", "词义详情")</f>
        <v/>
      </c>
      <c r="K3551">
        <f>HYPERLINK("https://yourei.jp/自信満々", "查看例句")</f>
        <v/>
      </c>
    </row>
    <row r="3552">
      <c r="A3552" t="inlineStr">
        <is>
          <t>自炊</t>
        </is>
      </c>
      <c r="B3552" t="inlineStr">
        <is>
          <t>成功</t>
        </is>
      </c>
      <c r="C3552" t="inlineStr">
        <is>
          <t>読み方：じすい
［名］(スル)
１自分で食事をつくること。「外食をせずに—する」「—生活」
２手持ちの書籍や雑誌を裁断・解体し、各ページをイメージスキャナーで読み取り、電子書籍化すること。→スキャン代行サービス</t>
        </is>
      </c>
      <c r="D3552" t="inlineStr">
        <is>
          <t>自炊生活(12%)；自炊部(3%)；自炊宿；自炊用；自炊棟</t>
        </is>
      </c>
      <c r="F3552" t="inlineStr">
        <is>
          <t>借りて自炊；独居自炊；半自炊；自炊具</t>
        </is>
      </c>
      <c r="H3552" t="n">
        <v>29</v>
      </c>
      <c r="I3552" t="inlineStr">
        <is>
          <t>一人で自炊して食べるのも面倒だったので、なにか買ってくることにした。；美樹君もその部屋をあてにしてゐて一緒に、自炊しようと話合ひました。；けれども、外食が多いのか、自炊をすることもあるのかは聞いていない。；巨大な都市にレストランは20軒程もなく、駐在員は自炊を強いられる。；まあ、わたしが借りて自炊をしたのは、そんな茶丈の奥の部屋でしたよ。；学生時代も父親の後援者の家に預けられていて、自炊の経験がなかった。；たとえ定食食堂といえども、自炊よりははるかに高くついたのである。；患者たちは自炊をしなければならなかったから、どうしても体に無理がかかる。；小さな台所は使いやすいようにきちんと整理され、自炊している様子が見える。；その学生は鈴ヶ森の近所の小さなアパートで自炊しているそうです。；彼は自炊ができなかっただけに、それだけのことで直子は甚く感心した。；万里は地味ながらも記念すべき「初・まともな自炊料理」の夜を迎えた。；ある程度の年齢になると、この自炊アパートを選ぶ人が多くなる。；しかし材料さえ集めて置いて貰えば、僕が自炊をするというのである。；自炊の授業があり、あの子は慣れた手つきでカレーライスを作って見せた。；ここは一般の宿泊客の棟ですが、奥に長期の逗留客が自炊する棟があります。；宅間添子の居る部屋とは二室離れた部屋に居て、自炊をしています。；ヨーロッパでは自炊のためのメンバーズキッチンがある施設が多い。；その上、加代と真樹子は二年ほど一つ屋根の下で自炊生活をしていたのである。；外国に行ってる両親にはちゃんと自炊してるって 言ってるけど。；世界各国への旅行の際も、現地の食材で自炊を行なうほどの腕前である。；だが第一係だけは係全員と相談のうえ、昼食も自炊のときがある。；そしてその一方の隅っこに、自炊のできるようにガスが置いてある。；ジャンクフードもいいけど、割安にするためにも自炊は避けられないかな。；一人暮らしの夢を持つ俺としても、自炊はいつかは身に付けなくてはならない技術だ。；六畳、四畳半、それに、台所がついていて、男の手で自炊をしている。；あ、一人暮らししている人がみんな自炊しているとは限らないか。；あの人は、これから自炊しなければならないので、あたしが持って行かせたのです。；特に一人暮らしをして自炊をするようになってから、そういう思いは強くなった。</t>
        </is>
      </c>
      <c r="J3552">
        <f>HYPERLINK("https://www.weblio.jp/content/自炊", "词义详情")</f>
        <v/>
      </c>
      <c r="K3552">
        <f>HYPERLINK("https://yourei.jp/自炊", "查看例句")</f>
        <v/>
      </c>
    </row>
    <row r="3553">
      <c r="A3553" t="inlineStr">
        <is>
          <t>静か</t>
        </is>
      </c>
      <c r="B3553" t="inlineStr">
        <is>
          <t>成功</t>
        </is>
      </c>
      <c r="C3553" t="inlineStr">
        <is>
          <t>読み方：しずか
［形動］［文］［ナリ］
１耳ざわりな物音や声がしないさま。ひっそりしているさま。「—な宿」「虫の声が聞こえる—な夜」
２目につく動きがなく、ゆったりとしているさま。慌ただしくないさま。「—な川の流れ」「—に椅子を引いて座る」
３落ち着いているさま。気持ちに動揺や乱れがないさま。穏やか。「—な境地」「—に余生を送る」
４性格がおとなしく、口数が少ないさま。「—な人柄」
[派生]しずかさ［名］</t>
        </is>
      </c>
      <c r="D3553" t="inlineStr">
        <is>
          <t>静かな声；静かな口調；静かな住宅；静かな部屋；静かな海</t>
        </is>
      </c>
      <c r="E3553" t="inlineStr">
        <is>
          <t>平和；無事；穏やか；安い；静寂</t>
        </is>
      </c>
      <c r="F3553" t="inlineStr">
        <is>
          <t>ひどく静か；静かな寝息；静かな空気；静かな水面；静かな屋敷町</t>
        </is>
      </c>
      <c r="G3553" t="inlineStr">
        <is>
          <t>静かな場所；静かな生活；静かの海；静かな雨；静かなる男</t>
        </is>
      </c>
      <c r="H3553" t="n">
        <v>29</v>
      </c>
      <c r="I3553" t="inlineStr">
        <is>
          <t>結局ほとんどの人々は強制収容された彼らの家から静かに去っていった。；旧皇族は世間の注目を避けて静かに生活してきた者がほとんどだった。；突然、何百台もの車が列をなして走り抜けていき、やがて静かになった。；言語の壁を越え、国から国へとそのムーブメントは静かに広がっていった。；その素材も、自然のドラマ性からオランダの静かな風景へとなった。；中国が建造した原子力潜水艦中で2番目に静かな潜水艦となっている。；やや形を変えた再現部、展開部の回想の後、短く静かなコーダで終わる。；その一方で、上野の森口周辺には静かな雰囲気の街並みが広がっている。；絵も叙情詩のように静かで大胆な構図・情景を頻繁に用いるようになる。；そこには先のとがった大きな耳を持つ人々が静かに暮らしていた。；静かに窓を開ける音が聞こえた後、白い物を抱えた犯人が出てきた。；自身は、静かな音は彼が興味を引く唯一のものであると述べた。；午後6時頃に、二頭がゆっくりと静かに、頭上をまっすぐ通過したという。；大和文華館の展示館は、奈良市の西の郊外の静かな住宅地のなかにある。；決勝進出の瞬間、会場全体の観客は一気に青ざめ、静かになったという。；日本盤では、静かな表情の少年だけが写ったデザインに差し替えられた。；まとまった集落からは外れており、列車が出た後は大変静かである。；静かな環境に囲まれ、スメタナは平穏の中で仕事をすることができた。；高級住宅地である芦屋市の山手に位置し、自然豊かで静かな学校である。；ラバトの郊外にあり、狭い通りをそぞろ歩く静かな環境が維持されている。；もちろん、宣伝されたほど静かではなかったという方が正しいかもしれない。；現在では一部の休日を除けば、散策を楽しむような静かな観光地である。；その一方、東音楽大学内での裏口入学問題の捜査が静かに進んでいた。；夫を原因不明の自殺で失った女性の喪の作業を、静かな視線で描写してゆく。；日ノ出町は静かな町で七つ以上の病院があり病院町といわれるくらいであった。；次にリーはフッカーが静かに防御姿勢を続けることを期待せねばならなかった。；その後ルナツーの病室でワッケインとの会話中に静かに息を引き取った。；以前に静かであった犬は台の上でほえ歩き回り、装置をかみ引き裂いた。；静かに曲が進行していると、唐突に荒々しい楽想が顔を出す中間部に入る。</t>
        </is>
      </c>
      <c r="J3553">
        <f>HYPERLINK("https://www.weblio.jp/content/静か", "词义详情")</f>
        <v/>
      </c>
      <c r="K3553">
        <f>HYPERLINK("https://yourei.jp/静か", "查看例句")</f>
        <v/>
      </c>
    </row>
    <row r="3554">
      <c r="A3554" t="inlineStr">
        <is>
          <t>滴</t>
        </is>
      </c>
      <c r="B3554" t="inlineStr">
        <is>
          <t>成功</t>
        </is>
      </c>
      <c r="C3554" t="inlineStr">
        <is>
          <t>第一期水循環変動観測衛星GCOM-W1の愛称。宇宙から地球全体の水蒸気・海面水温・土壌水分・雪氷などを10〜15年間にわたって観測する。平成24年（2012）5月に打ち上げられた。</t>
        </is>
      </c>
      <c r="D3554" t="inlineStr">
        <is>
          <t>滴型(4%)；滴形；滴状；滴たり；滴石</t>
        </is>
      </c>
      <c r="E3554" t="inlineStr">
        <is>
          <t>玉；粒；珠；真珠状</t>
        </is>
      </c>
      <c r="F3554" t="inlineStr">
        <is>
          <t>液滴；数滴；涙滴；二滴；三滴</t>
        </is>
      </c>
      <c r="G3554" t="inlineStr">
        <is>
          <t>滴る；滴ら；滴下；滴定；滴らし</t>
        </is>
      </c>
      <c r="H3554" t="n">
        <v>29</v>
      </c>
      <c r="I3554" t="inlineStr">
        <is>
          <t>それからこの薬は一滴程嘗めておくと一週間眠り続ける事が出来る薬だ。；顔のまわりに髪に宿った大滴の露がまるでトパーズのように輝いていた。；雨に滴を拂らつて逃げまどふ烏の姿を私は何時までもふりかへつて見た。；翼端部には空気を圧縮するのに用いる涙滴形状のフェアリングがついた。；一粒の滴が左の眼の、眼尻の下に止まっていたが、それが涙を想わせた。；わたしの目は、汝の目の様子を見て同情のあまり、同じ涙の滴を落とす。；自分の心にほんの僅でも愛の滴がなければやって行かれない人間だ。；この種の罪人の血は、たとえ一滴といえども地上に流してはならない。；知識への渇きにとらえられて、かれは朝のうち一滴の水も飲まなかった。；肉がむき出しになった赤い断面は、しかし一滴の血も滲ませてはいない。；血液は、毒の源泉だからこれが一滴ついていても洗い落とす必要がある。；脇から緊張や不安などで滴が滴り落ちるほどの発汗をする症状である。；見ると迷亭君の両眼から涙のようなものが一二滴眼尻から頬へ流れ出した。；噴水が止まると、そのあとはさらに何滴かのしずくが落ちただけだった。；あたしの青ざめた顔をごらんになって、大きな涙を二滴こぼされました。；彼は立ちあがって数滴の水をインキつぼのなかに注がねばならなかった。；見ると大きな涙の滴が眼から落ちて、頬と白い髯の上に流れてゐる。；こういったデザインの例には、車の後部の小滴のような流線型がある。；彼らの顔は皆、おかしな程白く、多くの場合赤い筋や滴が付いていた。；辛うじて二口か三口のパンをかじり、数滴の水を飲んだだけであった。；おれはおまえの作ったものなど一滴たりとも口には入れぬ。；幸いにも血脈中に民衆の血を数滴所有してる人々は、それを光栄としていた。；滴音の反響を大きくするには底部に水を溜める工夫をする必要がある。；立ち際にその尾部から一、二滴の透明な液体を分泌するのがよく見えた。；帽子の縁に、今にも落ちそうになって小さな雨の滴がかかっていた。；水や滴をイメージした、白と水色が基調の立体的なGUIが特徴である。；しかし草の葉に数滴の血のしたたりと、雪の上を林の奥へ続いた足跡が残っていた。；もう一週間あまり一滴も注入しないのだから無理もありますまい!；彼は今夜は、最初からただ一滴の酒も飲まずに、深く物思いに沈んでいた。</t>
        </is>
      </c>
      <c r="J3554">
        <f>HYPERLINK("https://www.weblio.jp/content/滴", "词义详情")</f>
        <v/>
      </c>
      <c r="K3554">
        <f>HYPERLINK("https://yourei.jp/滴", "查看例句")</f>
        <v/>
      </c>
    </row>
    <row r="3555">
      <c r="A3555" t="inlineStr">
        <is>
          <t>静まり返る</t>
        </is>
      </c>
      <c r="B3555" t="inlineStr">
        <is>
          <t>成功</t>
        </is>
      </c>
      <c r="C3555" t="inlineStr">
        <is>
          <t>読み方：しずまりかえる
［動ラ五（四）］すっかり静かになる。「場内が水を打ったように—・る」</t>
        </is>
      </c>
      <c r="D3555" t="inlineStr">
        <is>
          <t>ひっそり；治まる；静まりかえる</t>
        </is>
      </c>
      <c r="F3555" t="inlineStr">
        <is>
          <t>ひっそりと静まり返る</t>
        </is>
      </c>
      <c r="H3555" t="n">
        <v>29</v>
      </c>
      <c r="I3555" t="inlineStr">
        <is>
          <t>そして次の瞬間にそれらは一斉に息を潜めて私の心の中に静まり返った。；呼吸をしているのか、どうかすら判然らない位凝然と静まり返っていた。；しかし今夜はその声も、閑散としたこの教会に劣らず静まり返っていた。；家の中は、呼鈴を押してみても暫らく静まり返っていて答えがなかった。；静まり返った闇の中では本当に何ひとつ僕を映し出すものを感じない。；そして城はまた、何事もなかったようにシーンと静まり返ったのです。；なるほど、三階の一番端の部屋だけが、電灯を消して静まり返っている。；こちらの次の出方を見ているのか、室内はひっそりと静まり返っている。；静まり返った客席に向かい、腹の底から吐き出すような声で彼は叫んだ。；数分も歩けば、周りには夕食を終えて静まり返った家々しかなくなった。；静まり返っている暗い森の中で時どき同じレベルの音がしていたことになる。；息を殺してひっそりと静まり返った家と云うものを不安に思わないでもない。；陰鬱で静まり返ったこんな朝は、それを歓迎することさえできただろう。；廊下は暗く静まり返っていたが、なんとなく油断のならぬ気配があった。；まだ九時にならないのに、町は真夜中のようにシーンと静まり返っていた。；しかし、夜が明けると辺りは何事もなかったかのように静まり返っていた。；使用人たちには暇を出し、屋敷の中はがらんと静まり返っておりました。；大きな歎息をした後のように静まり返っている室の中を見まわした。；この駅は人がいるのかいないのか分らないようにひっそりと静まり返っていた。；私は一回下ろした腰をすぐに上げ、静まり返ったテーブルを離れた。；周囲の世界は静まり返って、動かない鳥がときどき宙に静止していた。；ライブでは本作のイントロが始まると同時に会場が静まり返っていたという。；今にして思うと、妙に辺りが静まり返っていたような気がします。；ドアも二階の廊下も、あまりに静まり返っていたせいかもしれない。；部屋の中がいやにシーンと静まり返っているように感じられた。；会場はしばらく静まり返っていたが、舞台袖から歌声が聞こえてきた。；大巌洞が、これほど息を詰めたように静まり返っていたこともなかった。；けれどいつまでたってもその水が自然に静まり返ることはありませんでした。；辺りが静まり返ったのを確認し、ホウキを戻して、老婆は部屋に入った。</t>
        </is>
      </c>
      <c r="J3555">
        <f>HYPERLINK("https://www.weblio.jp/content/静まり返る", "词义详情")</f>
        <v/>
      </c>
      <c r="K3555">
        <f>HYPERLINK("https://yourei.jp/静まり返る", "查看例句")</f>
        <v/>
      </c>
    </row>
    <row r="3556">
      <c r="A3556" t="inlineStr">
        <is>
          <t>静まる</t>
        </is>
      </c>
      <c r="B3556" t="inlineStr">
        <is>
          <t>成功</t>
        </is>
      </c>
      <c r="C3556" t="inlineStr">
        <is>
          <t>読み方：しずまる
［動ラ五（四）］
１物音がやんで静かになる。「会場が—・る」
２勢力が衰える。威力がなくなる。「火事が—・る」「嵐が—・る」
３騒動や混乱がなくなる。平穏になる。「動乱が—・る」
４気持ちの乱れやからだの痛みなどがなくなる。「怒りが—・る」「動悸(どうき)が—・る」「歯痛が—・る」
５神霊が鎮座する。「太古より—・ります御霊(みたま)」
６態度などが落ち着く。
「人の気色見つべく—・れるを」〈源・空蝉〉
７寝入る。
「人—・るほど夜いたくふけて」〈新古今・恋三・詞書〉
[補説]3・4・5は多く「鎮まる」と書く。</t>
        </is>
      </c>
      <c r="D3556" t="inlineStr">
        <is>
          <t>静まるだろ</t>
        </is>
      </c>
      <c r="E3556" t="inlineStr">
        <is>
          <t>減少；緩和；減る；衰える；弱まる</t>
        </is>
      </c>
      <c r="F3556" t="inlineStr">
        <is>
          <t>自然に静まる</t>
        </is>
      </c>
      <c r="H3556" t="n">
        <v>29</v>
      </c>
      <c r="I3556" t="inlineStr">
        <is>
          <t>この一連の動作を繰り返していくと、日常的な心の働きが静まってくる。；時計の針の音しかしないこの部屋なら、すぐに気持ちも静まってくれる。；彼は眉を寄せて額に手をやりながら室内のざわめきが静まるのを待った。；けれどもホモイの顔を見ると、みんな急に安心したように静まりました。；おそらく源氏には話しているだけで心の静まる人ではなかったかと思います。；しかし、それにしては屋のうちの静まりすぎているのが少し変でした。；決して脅しつけるようなものではないが、その一言は辺りを静まらせた。；これに上声、下声が加わって4声となると次第に静まって再現部となる。；それでしばらくマチアに気の静まるまで待ってもらわねばならなかった。；それは最初私に精神的な変化を与え、静まっていた想像力を掻きたてた。；部屋中が夜の中でしんと静まって、雄一の声を聞いているようだった。；あなたはできる限り心を強く持って、この波が静まるのを待つしかないのだ。；ざわめきや足音が急速に静まり、カークは前方に設けられた台に登った。；嵐はようやく静まってきましたが、私はもう泳ぐ力もなくなっていました。；初めの慌てた気持が静まってくると、三人はぼんやり庭の中につっ立った。；人の姿は少なく、真昼の港はどこまでも、のどかな気配に静まっていた。；そして十分後、幹事が手を叩いてみんなを静まらせ、弓子に声をかけた。；体を動かしていれば、感情の波も少しは静まってくれるようだった。；これで自分の情熱も静まるだろうと思いながら、彼について行きました。；私の神経は相手から照り返して来る反射のないために段々静まりました。；その態度を見ているうちに私の呼吸がだんだんと静まって来た。；今まで、どこかの港に避難して、波の静まるのを待っていたのだろう。；すると彼の感動は、静まろうとはせずに、却って倍加して来るのである。；そして息が静まると、当綱と芋川が森の身体をひきずって畳に横たえた。；宮のお悲しみが少し静まってきたころからは御自身で返事もお書きになるようになった。；三人だけになると、急に座がしんと静まり、窓の外の闇が深くなった。；再び会場中が静まると王様が翼に向かって一歩二歩と歩いて行く。；霧が動き、水面に白い雨足が走ったかと思うとすぐにひっそりと静まる。；騒ぎが静まるまで待ってから、また姿を現わして、手を上げたんだ。</t>
        </is>
      </c>
      <c r="J3556">
        <f>HYPERLINK("https://www.weblio.jp/content/静まる", "词义详情")</f>
        <v/>
      </c>
      <c r="K3556">
        <f>HYPERLINK("https://yourei.jp/静まる", "查看例句")</f>
        <v/>
      </c>
    </row>
    <row r="3557">
      <c r="A3557" t="inlineStr">
        <is>
          <t>沈む</t>
        </is>
      </c>
      <c r="B3557" t="inlineStr">
        <is>
          <t>成功</t>
        </is>
      </c>
      <c r="C3557" t="inlineStr">
        <is>
          <t>読み方：しずむ
［動マ五（四）］
１水面上にあったものが水中に没する。水底へ下降する。また、水底につく。「ボートが—・む」「島が—・む」⇔浮かぶ／浮く。
２周囲より低くなる。「地盤が—・む」「床が—・む」
３下の物にめり込む。「柱が—・む」「頭が枕に—・む」
４太陽・月などが、地平線・水平線より下へ移動する。「夕日が水平線に—・む」
５飛行する物体・投球などが急にその位置を下げる。「機体ががくんと—・む」「ボールが打者の手元で—・む」
６
㋐望ましくない境遇・状態に陥る。「不運に—・む」「病に—・む」
㋑その心境になりきる。特に、暗い気持ちになる。落ち込む。「物思いに—・む」「悲しみに—・む」「—・んだ声」
７地味で落ち着いた感じになる。「—・んだ鐘の音」「全体に—・んだ色調の絵」
８色や模様などが浮き立たなくなる。また、存在が目立たなくなる。「黒っぽい背広にグレーのネクタイではネクタイが—・んでしまう」
９ボクシングで、打ち倒されて立てなくなる。「マットに—・む」
10ゲームなどで、最初の持ち点以下になる。「麻雀で一万点—・む」
[可能]しずめる
［動マ下二］「しず（沈）める」の文語形。
[下接句]石が流れて木の葉が沈む・浮きつ沈みつ・浮きぬ沈みぬ・思案に沈む・涙に沈む</t>
        </is>
      </c>
      <c r="D3557" t="inlineStr">
        <is>
          <t>沈むばかり；沈む心配</t>
        </is>
      </c>
      <c r="E3557" t="inlineStr">
        <is>
          <t>倒れる；沈没；没する；沈降；がっかりする</t>
        </is>
      </c>
      <c r="F3557" t="inlineStr">
        <is>
          <t>暗く沈む</t>
        </is>
      </c>
      <c r="H3557" t="n">
        <v>29</v>
      </c>
      <c r="I3557" t="inlineStr">
        <is>
          <t>これは、エジプトの神話で日の沈む場所は死者の領域だったからである。；だがダム建設に伴い鴨川沿岸の土井集落がダムの底に沈むこととなった。；場所によっては日が沈む前の明るい時間帯に行う地域も増えてきている。；わしの他には誰一人、船の沈むところを見た早目の者はいなかったぜ。；それはエイリイとコルマックの子が生れた日のその日の沈む前であった。；船尾にいた男が船頭に、船のどの部分がさきに沈むか、とたずねました。；ところが池に沈むと思いのほか、そこは秘密の洞窟へと続いていた。；それで、たしかにこの船は、二日以内に沈むということがわかりました。；それらは本来の色であり、沈む太陽から借用したものではないからだ。；雲をつらぬいて沈むうち、生命が存在しうる領域はうしろに遠ざかった。；リクライニングと連動して座面が沈むことで姿勢の維持を容易にしている。；太陽が東から昇って西へ沈む運行を猛スピードで繰り返しているのだ。；また、水の上に立っても沈むことなくそのまま水上を歩くことも出来る。；このようにすると炭酸の一部は消散して石灰の炭酸塩の一部は底に沈む。；王子達は日が昇ると白鳥に変わり、日が沈むと元の姿に戻るのだった。；サーフボードの準備をしながら、あとは陽が沈むのを待つだけだった。；北半球において南を向いて星空を観察すると星は東から昇り西へと沈む。；解放されるのは自分だけではない、苦界に沈む女の身が一人救われる。；同じ月相の月でも、昇った直後と沈む直前とでは上下がほぼ逆になる。；みんながあした太陽が沈むのを見られないのは自分だと思いこんでいるんだ。；上に述べた緑色の原材料で作られた全ての物体が沈むとは必ずしも限らない。；でも、十日もいっしょにいるのかと思うと、気持ちは沈みに沈むのね。；悲しみに沈むアンナにマオメットは愛を語り、彼女を妃にしようという。；本物の太陽と同様に東からのぼって西へ沈むため、室内でも昼夜が訪れる。；あの月が沈むまで、死に行く人魚の歌を、あの高殿で弾くことにしよう。；彼は夕暮を待つ蝙蝠のやうに、日が沈むと家を出て散歩するのが癖になつた。；とうとう日がボージョレの遠い山なみのうしろに沈むのに彼は気がついた。；しかし、船から沈む時、ここへ来るにどういう決心をしたのですか。；海辺を歩く二人の前で、太陽が沈む瞬間、緑の光線が放たれたのだった。</t>
        </is>
      </c>
      <c r="J3557">
        <f>HYPERLINK("https://www.weblio.jp/content/沈む", "词义详情")</f>
        <v/>
      </c>
      <c r="K3557">
        <f>HYPERLINK("https://yourei.jp/沈む", "查看例句")</f>
        <v/>
      </c>
    </row>
    <row r="3558">
      <c r="A3558" t="inlineStr">
        <is>
          <t>静める</t>
        </is>
      </c>
      <c r="B3558" t="inlineStr">
        <is>
          <t>成功</t>
        </is>
      </c>
      <c r="C3558" t="inlineStr">
        <is>
          <t>読み方：しずめる
［動マ下一］［文］しづ・む［マ下二］《「沈める」と同語源》
１物音や声を小さくさせる。静かにさせる。「場内を—・める」「鳴りを—・める」
２勢いをそぐ。「火事を—・める」「波を—・める」
３騒動や混乱をおさめる。「暴動を—・める」
４からだの痛み・症状や気持ちの乱れなどを落ち着かせる。「せきを—・める薬」
５神霊を安置する。鎮座させる。また、霊魂などを落ち着かせる。「神を—・める社」「御霊(みたま)を—・める」
６寝しずまらせる。
「夜深きほどに人を—・めて出で入りなどし給へば」〈源・夕顔〉
[補説]3・4・5は多く「鎮める」と書く。</t>
        </is>
      </c>
      <c r="D3558" t="inlineStr">
        <is>
          <t>解放；救う；救助；緩和；救済</t>
        </is>
      </c>
      <c r="H3558" t="n">
        <v>29</v>
      </c>
      <c r="I3558" t="inlineStr">
        <is>
          <t>自分の興奮を静めるためにはそういう場所がふさわしいような気がした。；余は心を静めて、昨夜の事件をできるだけ正確に記述しなければならぬ。；しかし、この腹立たしさはどうやっても静めることができないのである。；地方の事情さえすこしも通信してこず、全く鳴りを静めているのである。；だが、馬のほうが驚いてしまい、静めることさえできない有様となった。；私はそういう時、自分の心を静めるために、いつも一つの歌を口ずさむ。；機嫌が悪ければその怒りを静めるためについ貢物をしてしまうのだから。；胸の動悸を静めながら駅の入り口で待っているとGジャンの女が現れた。；心を静めていると、様々なことが、ティーエの頭の中に流れ込んで来る。；孔先生の道にも仏教の心を静め動揺しない状態に似たものが無い事も無い。；全身の力を丹田に凝縮して、どんな光景にも動じないように心を静める。；どういうわけか説明はつかないが、彼女の言葉はわたしの神経を静めてくれた。；神経を静めるために、おまじないに部屋のなかを二度ぐるぐると歩いた。；その気持の動揺を静めるためにも、三河屋を手伝った方がいいと思った。；体の熱さを静めるためには、男に抱かれるより他はないのだそうだ。；「大変なことをやったね」 と、刑事は相手の気を静めるようにした。；ふたたび店の中へ戻った彼は、気を静め、やがてのぼる朝の太陽を待った。；本田は、深刻そうな顔をして学兵たちを静めたあと、少しだけ笑った。；煮えくり返るような思いを何とか静めなけりゃならん、とかれは考えた。；人々は、彼が少年を地面にたたきつけて神々の霊を静めるだろうと思った。；アーミテージは両手をあげて、騒ぎを静めるようにゆっくり左右に振った。；デトレフは椅子に腰かけて化粧をし、心を静めて役へと没頭していった。；その動悸を静めるには、やはり彼に声を掛けてみるべきだと思った。；彼は長いあいだ鏡を見つめて、顔色をととのえ、呼吸を静める努力をした。；批判を静めるために、Facebookはその当初の利用規約に戻った。；警察は彼らを静めるために、拳銃を空に向けて威嚇射撃をせざるを得なかった。；何しろここでは母の心を静めるのが第一とは思ったけれど、慰めようがない。；彼女の言葉に拘らず、涙が彼女のうちの凡てを洗い静めたがようであった。；音自体は大きくなかったが、大混乱を静めるのには充分だった。</t>
        </is>
      </c>
      <c r="J3558">
        <f>HYPERLINK("https://www.weblio.jp/content/静める", "词义详情")</f>
        <v/>
      </c>
      <c r="K3558">
        <f>HYPERLINK("https://yourei.jp/静める", "查看例句")</f>
        <v/>
      </c>
    </row>
    <row r="3559">
      <c r="A3559" t="inlineStr">
        <is>
          <t>沈める</t>
        </is>
      </c>
      <c r="B3559" t="inlineStr">
        <is>
          <t>成功</t>
        </is>
      </c>
      <c r="C3559" t="inlineStr">
        <is>
          <t>読み方：しずめる
［動マ下一］［文］しづ・む［マ下二］《「静める」と同語源》
１沈むようにする。沈ませる。「敵の旗艦を—・める」「魚礁を—・める」⇔浮かべる。
２下の物にめり込ませる。「ソファーに深々とからだを—・める」
３不幸な境遇、望ましくない状況などに陥らせる。「苦界に身を—・める」
４ボクシングで、相手を打ち倒して立てなくする。「挑戦者をマットに—・める」
５ゴルフで、球を穴に入れる。
６質に入れる。
「初鰹の身代はりに—・めておいた袷」〈黄・造化夢〉</t>
        </is>
      </c>
      <c r="D3559" t="inlineStr">
        <is>
          <t>沈めるよう命じ</t>
        </is>
      </c>
      <c r="E3559" t="inlineStr">
        <is>
          <t>埋める；浸す；浸ける；沈ませる；漬す</t>
        </is>
      </c>
      <c r="H3559" t="n">
        <v>29</v>
      </c>
      <c r="I3559" t="inlineStr">
        <is>
          <t>そのほかにも1つチャンスがあったがうまく沈めることができなかった。；一体幾日の山旅で、それらの原始の森の中に身を沈めることができるのか。；人には書くことによってしか沈めることが出来ないものがあるでしょう。；霞むような手の動きで剣を抜き、手首を返して二人目を血の海に沈める。；全身の力が抜けたような気がして、ゼネラルチェアに深く身体を沈める。；船首を向けられる前に狙撃しなければ一撃で沈めることは難しいからだ。；身を沈めるようにわずかに下がったかと思うと、それを反動に天上へと。；でも、今になって、人の親切心が船を沈めるのを見なくてはならないとは!；体を沈めるための重りに、あれをポケットに入れていったんでしょう。；それらの死者の中で、この水槽に沈めるのは、ごく選ばれた少数でしょう?；煙草を捨てた男は、体を沈めるようにして北見たちを一人一人眺め直した。；戦前の予測では、新式戦艦を航空機で沈めるのは難しいとされていた。；彼らは死体を彼らのいう位置に沈めるが、死体はそこに留まっておりはせんのだ。；だから湯の中に身を沈めると、波がすぐ眼の前に寄せてくる。；この罪に対しては懲罰椅子に縛り付けて川に沈める刑罰が行われていた。；雪から足を上げ、次にまた少し前の深い雪へその足を沈める気にはほとんどなれなかった。；彼は最前列に近い席に身体を沈めるようにして、二人を見上げた。；陛下の船を沈めるのは断腸のきわみであるが、戦いは終ったわけではない。；これは砲を向けた船を沈める意思があると脅すものであった。；その代りに娘を波に沈めるのに、少しも歎くことはないではないか。；青々とした空の下へ出て行って、ようやく彼も心の憤りを沈めることができた。；側車に身を沈めるようにして、不安げにあたりの薮を見回している。；こんな時に仕事をおっぽりだしやがって、船を沈めるつもりなのか?；続けて魚雷を放し、同じ所を狙って穴を大きくし、機関まで破って沈める。；ソ連の主力艦を沈めるために潜水艦を使用するフィンランドの努力は失敗した。；せっかく手に入れた物を湖に沈めるなんて、とてもじゃないが想像できないんだ。；これは地上部で建物地下部分を構築し、構造自体の重量で地下に沈めるものである。；よっこいしょと声をあげて檜山がソファに身を沈めるのを待って切りだした。；むしろ性質としては近づく船を引き寄せ海底へ沈める渦巻きの方に近い。</t>
        </is>
      </c>
      <c r="J3559">
        <f>HYPERLINK("https://www.weblio.jp/content/沈める", "词义详情")</f>
        <v/>
      </c>
      <c r="K3559">
        <f>HYPERLINK("https://yourei.jp/沈める", "查看例句")</f>
        <v/>
      </c>
    </row>
    <row r="3560">
      <c r="A3560" t="inlineStr">
        <is>
          <t>鎮める</t>
        </is>
      </c>
      <c r="B3560" t="inlineStr">
        <is>
          <t>成功</t>
        </is>
      </c>
      <c r="C3560" t="inlineStr">
        <is>
          <t>読み方：しずめる
［動マ下一］［文］しづ・む［マ下二］《「沈める」と同語源》
１物音や声を小さくさせる。静かにさせる。「場内を—・める」「鳴りを—・める」
２勢いをそぐ。「火事を—・める」「波を—・める」
３騒動や混乱をおさめる。「暴動を—・める」
４からだの痛み・症状や気持ちの乱れなどを落ち着かせる。「せきを—・める薬」
５神霊を安置する。鎮座させる。また、霊魂などを落ち着かせる。「神を—・める社」「御霊(みたま)を—・める」
６寝しずまらせる。
「夜深きほどに人を—・めて出で入りなどし給へば」〈源・夕顔〉
[補説]3・4・5は多く「鎮める」と書く。</t>
        </is>
      </c>
      <c r="D3560" t="inlineStr">
        <is>
          <t>鎮めるべく</t>
        </is>
      </c>
      <c r="E3560" t="inlineStr">
        <is>
          <t>解放；救う；救助；抑える；緩和</t>
        </is>
      </c>
      <c r="H3560" t="n">
        <v>29</v>
      </c>
      <c r="I3560" t="inlineStr">
        <is>
          <t>だが、ぼくの胸は燃えていて、なんとしても鎮めることができないのだ。；そしてただ気分を鎮めるために急いで妻への手紙を書きに宿へ帰るのである。；王は、彼らに気を鎮めるようにと言って、この盲人達に住む家を与えた。；日本からの電話を待っている間、興奮を鎮めるために飲み始めた酒だった。；日本の社会は、事が起こればどう鎮めるかに関係者が努力する社会である。；犬を鎮めるには犬より大きな声を出さねば逃げるものではない。；いまの場合、鎮めるよりは事件の拡大するのを防がねばならなかった。；そして夜をこめて、私は彼のいとしい魂を鎮めることをやめなかった。；王と民は悪竜を鎮めるため、 毎日二頭の羊を捧げる事にしたそうだ。；けれども、結局、私はなんとしても気分を鎮めることができなかった。；投資などによって住民の怒りを鎮めるまではその港の施設は使用できない。；彼は桐子の火照りを鎮めるための性器でしかなく、それでいいのである。；素六は江戸から脱走した撤兵隊の部下を鎮めるため木更津へと向かった。；岡山県ではトウビョウの祟りを鎮めるために道通様の名で祀られている。；同じことをもう一度家の主人が言って、ぼくが気を鎮める間もあったものではない。；どうなってんだよこれは、と怒りたくなる思いを少しずつ鎮める。；私は興奮を鎮めるために、話をまた持参金の方に持って行きました。；カークは怒りを鎮めることができず、狭い部屋の中を行ったり来たりしていた。；部下たちの気持を鎮めるためにも、どこかで一杯やる必要があった。；退屈の虫を鎮めるために、学生時代の友に電話をかけても、留守が多い。；しかし証拠や理由のないことは彼の心の焦燥を鎮める何の効果ももたなかった。；彼女の震えを鎮めるためには、そうするよりほか仕様がなかった。；不安にざわめく脳細胞を鎮める術がなく、視線が泳ぐのを止められない。；問題が明らかになると、ポグロムを鎮めるために軍隊が派遣された。；患者の神経を鎮めるのに一日か二日、入院させる必要がある。；しかし一発ずつ遊底操作をすることで心を鎮めることができる。；だが、この警告は、もはやかれの意気ごみを鎮めることはできなかった。；矢島は、気を鎮めるように、ゆっくりとコーヒーを飲んでから言った。；アトラス計画で成し遂げたかった凪子の夢は東京の大地を鎮めることだ。</t>
        </is>
      </c>
      <c r="J3560">
        <f>HYPERLINK("https://www.weblio.jp/content/鎮める", "词义详情")</f>
        <v/>
      </c>
      <c r="K3560">
        <f>HYPERLINK("https://yourei.jp/鎮める", "查看例句")</f>
        <v/>
      </c>
    </row>
    <row r="3561">
      <c r="A3561" t="inlineStr">
        <is>
          <t>姿勢</t>
        </is>
      </c>
      <c r="B3561" t="inlineStr">
        <is>
          <t>成功</t>
        </is>
      </c>
      <c r="C3561" t="inlineStr">
        <is>
          <t>読み方：しせい
１からだの構え方。また、構え。かっこう。「楽な—で話を聞く」
２心構え。態度。「政治の—を正す」</t>
        </is>
      </c>
      <c r="D3561" t="inlineStr">
        <is>
          <t>姿勢を低く；姿勢変化；姿勢安定；姿勢を取り続け</t>
        </is>
      </c>
      <c r="E3561" t="inlineStr">
        <is>
          <t>側；立場；態度；方針；構え</t>
        </is>
      </c>
      <c r="F3561" t="inlineStr">
        <is>
          <t>政治姿勢；慎重な姿勢；前向きな姿勢；強硬な姿勢；低い姿勢</t>
        </is>
      </c>
      <c r="G3561" t="inlineStr">
        <is>
          <t>姿勢制御システム；姿勢制御装置；姿勢指示器；姿勢反射；姿勢矯正</t>
        </is>
      </c>
      <c r="H3561" t="n">
        <v>29</v>
      </c>
      <c r="I3561" t="inlineStr">
        <is>
          <t>しかし各戦線ともすでに防衛のみの姿勢に転じざるを得なくなっていた。；なお、この防御姿勢が設計段階から想定されていたかは不明とされる。；こうした姿勢に変化が見られるようになったのは1854年頃からである。；背もたれに中折れ機構を設け、着座姿勢をより改善しているものもある。；スタートの姿勢を取ったあとは、出発合図まで静止しなければならない。；多くのメスが首毛を持っており、ある姿勢を取るとそれがはっきりわかる。；帝国石油に試掘権を与えるなど、中国には強い姿勢で交渉を行っていた。；両選手はピスト中央に4mの距離をおいて構えの姿勢から試合を開始する。；もはや南極条約を遵守しようという姿勢は全く見られない状況となった。；このような執筆姿勢は以下のような記述からも明らかである。；この姿勢はWeb小説のコミカライズが流行した以降も継続している。；しかしながらそれはマリオンの有力者達の政治姿勢とは対立するものであった。；しかしこの頃から岸の強引な政治姿勢に対して三木は反発を強めていた。；アンデスのミイラの特徴は膝を折り腹部に付けた姿勢を取ることである。；また、ラヴェルは自身の創作姿勢については以下のように説明している。；過去は振り返らないようにしており、常に新しいことへ挑戦する姿勢だった。；リクライニングと連動して座面が沈むことで姿勢の維持を容易にしている。；その後は交番勤務を見下す姿勢を改め、毎年南部の墓参りに行っている。；ナジャフに入り、アメリカ主導の暫定統治政権に協力的な姿勢を見せた。；彼はソ連の突然の措置にも西側同盟国の対応姿勢にもひどくショックを受けた。；石油会社の中では積極的に環境保護に対して取り組む姿勢を見せている。；採寸は顧客が立った状態で肩の高さで腕を組んだ姿勢で行われた。；こうした姿勢は古代以来の哲学と共通するところがある。；英語という言語が世界全体におよぼす覇権に抵抗する姿勢を鮮明にする。；後を受けた石関昭町長は、合併も検討すべきであるとの姿勢を示していた。；だが、ソ連側は有利に戦争を進めており、強硬な姿勢で交渉に臨んでいた。；結果として、この姿勢を貫いたことが曇り一家との対立を決定的にした。；また日本との友好姿勢も国内の民族主義から敵視される背景となった。；客のことを考えた事業姿勢がソーライスの逸話などに残されている。</t>
        </is>
      </c>
      <c r="J3561">
        <f>HYPERLINK("https://www.weblio.jp/content/姿勢", "词义详情")</f>
        <v/>
      </c>
      <c r="K3561">
        <f>HYPERLINK("https://yourei.jp/姿勢", "查看例句")</f>
        <v/>
      </c>
    </row>
    <row r="3562">
      <c r="A3562" t="inlineStr">
        <is>
          <t>施設</t>
        </is>
      </c>
      <c r="B3562" t="inlineStr">
        <is>
          <t>成功</t>
        </is>
      </c>
      <c r="C3562" t="inlineStr">
        <is>
          <t>読み方：しせつ
［名］(スル)
１ある目的のために建物などをもうけること。また、その設備。「公共—」
２「養護施設」「老人福祉施設」などの略。</t>
        </is>
      </c>
      <c r="D3562" t="inlineStr">
        <is>
          <t>施設等；施設名；施設整備；施設内；施設群</t>
        </is>
      </c>
      <c r="E3562" t="inlineStr">
        <is>
          <t>建設；設立；設定；機関；創設</t>
        </is>
      </c>
      <c r="F3562" t="inlineStr">
        <is>
          <t>当施設；同施設；各施設；展示施設；訓練施設</t>
        </is>
      </c>
      <c r="G3562" t="inlineStr">
        <is>
          <t>施設管理；施設利用；施設命名権；施設等機関；施設科</t>
        </is>
      </c>
      <c r="H3562" t="n">
        <v>29</v>
      </c>
      <c r="I3562" t="inlineStr">
        <is>
          <t>これは、占領後の軍施設に使用することを想定していたと言われている。；そこから、後にこれらの施設がピースセンターと呼ばれることにもなる。；さらに、施設も旧九重のものを継承し九重の方が部屋を出て行く形となった。；海上保安庁には、初級職員となる者の教育を担当する以下の施設がある。；巡航ミサイルは主に通常弾頭で固定施設への精密攻撃に使用されている。；古墳に用いられる埋葬施設には、竪穴系のものと横穴系のものとがある。；その他、自治体名の変更 や施設自体の変更により変更される場合がある。；教育施設の中でももっぱら教育のために設立される施設を学校と呼ぶ。；このような構造を採用した施設を宇宙劇場と呼ぶことがある。；防衛軍の施設は、劇中のセリフの中でしか出てこないものも少なくない。；ヒューストンは文化・芸術活動を行う団体・施設を200以上有している。；藤沢駅は市役所等行政施設の最寄り駅であり、市の中心となる駅である。；展覧会などによる展示を中心とした施設にはギャラリーや彫刻館がある。；しかし、は電子的な行為なので、利用される道具や施設も電子的なものである。；また、同施設内のミニシアターの座席にグリーン車の座席が使われている。；その後、車運車用の施設が開設され1980年頃まで利用されていた。；施設がめだった目標となってその周辺の地名になることもある。；しかし防御施設が旧式で地形も不利な点を持つことを認識し強化に着手した。；これはスキッド・ロウ地区に路上生活者支援の施設があるためである。；現在の駅舎は地域間交流施設クローバと共同の建物を使用している。；同研究所はこれらの施設の管理・運営も行っている。；旧石器時代の礫群も発見されており、加熱調理施設であったと確認された。；地表面に近い部分や、鉄道駅のように大規模になる施設の構築に用いられる。；このため、研究ではない既知の技術を使った分析や製造を行う施設もそう呼ばれる。；横浜市が設置・管理する交通広場であり、横浜新都市ビルの施設ではない。；施設の中には市民に開放されているものがあるが、ほとんどは信徒向けである。；また、ビッグサイトのような常設のエリア放送局を保有する施設もある。；施設名の扱いに関してはメディアごとに対応が分かれている。；下記にある企業や施設によっては新宿区側に存在するものもある。</t>
        </is>
      </c>
      <c r="J3562">
        <f>HYPERLINK("https://www.weblio.jp/content/施設", "词义详情")</f>
        <v/>
      </c>
      <c r="K3562">
        <f>HYPERLINK("https://yourei.jp/施設", "查看例句")</f>
        <v/>
      </c>
    </row>
    <row r="3563">
      <c r="A3563" t="inlineStr">
        <is>
          <t>視線</t>
        </is>
      </c>
      <c r="B3563" t="inlineStr">
        <is>
          <t>成功</t>
        </is>
      </c>
      <c r="C3563" t="inlineStr">
        <is>
          <t>読み方：しせん
１目の向き。目で見ている方向。「—が合う」「—をそらす」
２目の中心と、見ている対象とを結ぶ線。視軸(しじく)。
３他人を、また、他人が見る目付き。ある気持ちの表れた目付き。「世間の—が気になる」「気の毒そうな—」</t>
        </is>
      </c>
      <c r="D3563" t="inlineStr">
        <is>
          <t>視線を投げかけ；視線を走らせる；視線を落とし；視線を追って</t>
        </is>
      </c>
      <c r="E3563" t="inlineStr">
        <is>
          <t>目線</t>
        </is>
      </c>
      <c r="F3563" t="inlineStr">
        <is>
          <t>冷たい視線；げな視線；強い視線；視線を彷徨わせ；視線を巡らせれ</t>
        </is>
      </c>
      <c r="G3563" t="inlineStr">
        <is>
          <t>視線速度法；視線誘導；視線恐怖；視線の行方；視線入力</t>
        </is>
      </c>
      <c r="H3563" t="n">
        <v>29</v>
      </c>
      <c r="I3563" t="inlineStr">
        <is>
          <t>視線はある行為が誰に向けられているのかを示す一つの手段になりうる。；彼はその視線を究極的な目標であるコンスタンティノープルへと向けた。；幻覚は通常、目を開けているときに現れ、視線が移動すると消えてゆく。；その仏性をもつ少年のような眼差しは特定の者に視線をむけてはいない。；だがどこからか大勢の人間に眺められている視線をはっきりと意識できる。；視線の先には、なんと数十枚もの黄色いハンカチが風にたなびいていた。；時には視線や表情だけでも、楽員に自分の意思を伝えるのに十分だった。；なお中央の機は敵の視線を僚機から逸らすためにあえて高く飛んでいる。；少女は何かに気を取られているらしく、視線を画面左に向けている。；外部からの視線を防ぐため建物の構造的に女湯の配置を考慮する場合もある。；タイプの特徴を普段の顔の表情や視線の一定性に結びつける考えも存在する。；強く照らされ、わずかに横を向いた頭は、鋭い視線で鑑賞者を見ている。；視線を眼から出る光とし、ユークリッドのように隙間のある構造を考える。；もちろんこの場合でも我々は実際視線上に地球を目撃することはできないであろう。；傍らで見ていた堀部ほりとの視線を交わしてから僅かの出来事だった。；お菊は自分を見るとすぐ横を向いて、自分の視線をさけるようすであった。；観光旅行では見えにくい京都の生活文化を地元民の視線から描いている。；男性の視線は鑑賞者に向けられているが、女性の視線は男性を見つめている。；女は男に視線を戻すと、口元に笑みを浮かべて、興味ないよ、と答えた。；ミカエルの視線は、槍の先から蛇の頭に向かって身体の線をたどっている。；その後方で、黄色い服の男性が青い上着の男性に視線を投げかけている。；その視線の先にあるのは玉座の下に置かれた灰色の斑岩の石棺である。；上記において、視線と光が同じ性質を取ることが暗黙の前提とされている。；彼らのに対する視線は、最終的に他の政党と比べても厳しいものとなった。；だが彼はなぜかあからさまにベラを避け、冷たい視線を向けるのだった。；しかし、加賀見の視線に異様なものを感じ、澪生は不安に駆られていた。；衛星は望遠鏡と惑星のすぐ近くの恒星とを結ぶ視線方向に沿って移動する。；先生は僕の視線から顔を隠す為にそんな姿勢を取られたのではないかとさえ思われた。；本人は男性が自分を見る際に顔から胸に視線が行くのが嫌だったとインタビューで語っている。</t>
        </is>
      </c>
      <c r="J3563">
        <f>HYPERLINK("https://www.weblio.jp/content/視線", "词义详情")</f>
        <v/>
      </c>
      <c r="K3563">
        <f>HYPERLINK("https://yourei.jp/視線", "查看例句")</f>
        <v/>
      </c>
    </row>
    <row r="3564">
      <c r="A3564" t="inlineStr">
        <is>
          <t>自然</t>
        </is>
      </c>
      <c r="B3564" t="inlineStr">
        <is>
          <t>成功</t>
        </is>
      </c>
      <c r="C3564" t="inlineStr">
        <is>
          <t>読み方：しぜん
［名］
１山や川、草、木など、人間と人間の手の加わったものを除いた、この世のあらゆるもの。「—に親しむ」「郊外には—がまだ残っている」
２人間を含めての天地間の万物。宇宙。「—の営み」
３人間の手の加わらない、そのもの本来のありのままの状態。天然。「野菜には—の甘みがある」
４そのものに本来備わっている性質。天性。本性。「人間の—の欲求」
５哲学で、
㋐他の力に依存せず、自らの内に生成・変化・消滅の原理を有するもの。
㋑精神とは区別された物質的世界。もしくは自由を原理とする本体の世界に対し、因果的必然的法則の下にある現象的世界。経験の対象となる一切の現象。
［形動］［文］［ナリ］
１言動にわざとらしさや無理のないさま。「気どらない—な態度」「—に振る舞う」
２物事が本来あるとおりであるさま。当然。「こうなるのも—な成り行きだ」
３ひとりでにそうなるさま。「—にドアが閉まる」
[派生]しぜんさ［名］
［副］
１ことさら意識したり、手を加えたりせずに事態が進むさま。また、当然の結果としてそうなるさま。おのずから。ひとりでに。「無口だから—（と）友だちも少ない」「大人になれば—（と）わかる」
２《「自然の事」の略》もしかして。万一。
「都へ上らばやと思ひしが、—舟なくてはいかがあるべきとて」〈伽・一寸法師〉
３たまたま。偶然。
「礫(つぶて)打ちかけしに、—と当り所悪しくそのままむなしくなりぬ」〈浮・諸国ばなし・一〉</t>
        </is>
      </c>
      <c r="D3564" t="inlineStr">
        <is>
          <t>自然的；自然豊か；自然物；自然消滅；自然分布</t>
        </is>
      </c>
      <c r="E3564" t="inlineStr">
        <is>
          <t>そのまま；天然；素；野生；自然に</t>
        </is>
      </c>
      <c r="F3564" t="inlineStr">
        <is>
          <t>超自然；豊かな自然；美しい自然；天然自然；自然描写</t>
        </is>
      </c>
      <c r="G3564" t="inlineStr">
        <is>
          <t>自然科学；自然環境；自然界；自然主義；自然保護</t>
        </is>
      </c>
      <c r="H3564" t="n">
        <v>29</v>
      </c>
      <c r="I3564" t="inlineStr">
        <is>
          <t>そしてそれは、自然物を対象にした生産や製作などの行為と対比される。；正直に云って、しぜんにこの方に責任を感じてもらうようにするんだわ。；幼いころから科学や自然に興味を持ち、植物採集に頻繁に出かけていた。；自然はこれに反定立される非我 であって本来的な哲学の対象ではない。；知識の各分野と神・人間・自然の相互の結びつきが表現されている。；または自然の地形を利用して、既存の小さな丘を用いることもあった。；今日の科学では合理的に説明できない超自然な能力を指すための名称。；科学が理解される以前は、神が宇宙を創造したと考えるのが自然であった。；処刑された学者の中には、これら超自然的な研究に携わった者も含まれる。；だが、そんなことから、しぜん老人は私と話すことのほうが多くなった。；ここ三時間にたくさんのことを覚えた彼は、しぜん警戒の構えにあった。；京の庶民の生態にはしぜんこうした保護神経が身についてしまっている。；ここで自然ではあるが、問題文では触れられていない次の仮定を置く。；しかし、自然に生じるといってもある程度、心に余裕がないと出てこない。；そんな武士も居たには居たのであり、しぜん講和の兆もあったのだった。；その素材も、自然のドラマ性からオランダの静かな風景へとなった。；自然にかなったものは無理にされるものとは異なった作用を生じる。；豊かな自然と歴史資源を持つため、国家歴史文化名城に指定されている。；各国記者が何人か集まって森に入るさいは、しぜん彼が幹事役になった。；島内には多くの自然が残り、暑寒別天売焼尻国定公園に指定されている。；調査報告書である『対馬の自然と文化』はその後の研究の基礎となった。；生物地理学の広範な研究は人間の活動が自然に与える影響に目を向けさせた。；なお、自然と読んだ場合、むしろあり得ないものが勝手に生まれるのを指す。；比較的本州に近い位置にありながらも美しい自然が残されている。；そのほうが、自分たちにとってはしぜんだと、ふたりの気持は一致した。；ずいぶん辛抱したあげく、しぜんにあのようなことになりましたのです。；自然豊かな村や谷は、4月になると杏の花でピンク色に埋め尽くされる。；これは、自然の単純さへのドルトンの確信から生まれた単なる仮説だった。；神道の神の種類は、大別すると自然神と文化神の二つに分類ができる。</t>
        </is>
      </c>
      <c r="J3564">
        <f>HYPERLINK("https://www.weblio.jp/content/自然", "词义详情")</f>
        <v/>
      </c>
      <c r="K3564">
        <f>HYPERLINK("https://yourei.jp/自然", "查看例句")</f>
        <v/>
      </c>
    </row>
    <row r="3565">
      <c r="A3565" t="inlineStr">
        <is>
          <t>事前</t>
        </is>
      </c>
      <c r="B3565" t="inlineStr">
        <is>
          <t>成功</t>
        </is>
      </c>
      <c r="C3565" t="inlineStr">
        <is>
          <t>読み方：じぜん
事の起こる前。事を行う前。「—に話し合う」⇔事後。</t>
        </is>
      </c>
      <c r="D3565" t="inlineStr">
        <is>
          <t>事前調査；事前準備；事前通告；事前情報；事前番組</t>
        </is>
      </c>
      <c r="E3565" t="inlineStr">
        <is>
          <t>前；プレ；予行；プリ</t>
        </is>
      </c>
      <c r="F3565" t="inlineStr">
        <is>
          <t>事前通知；事前購入；事前点検；事前申請；事前購入割引</t>
        </is>
      </c>
      <c r="G3565" t="inlineStr">
        <is>
          <t>事前予約；事前登録；事前協議；事前審査；事前確率</t>
        </is>
      </c>
      <c r="H3565" t="n">
        <v>29</v>
      </c>
      <c r="I3565" t="inlineStr">
        <is>
          <t>インタビューで語ったところでは、事前には何も準備していないという。；犯則調査の際は黙秘権が存在する企業統合の際の事前相談制度等がある。；その内の3割程度しか事前に同意が得られなかったと推定されている。；日本の文字多重放送は事前に収録した番組にしか対応していなかった。；これは朝廷と幕府の間で事前の合意があったものと見られている。；連合国は占領区画を事前に決めていたが、戦闘の影響で流動化していた。；押印のためには使用局へ直接赴くか、事前に郵送で依頼する必要がある。；この場合、量は多くないものの、秘密情報の事前の共有は必要である。；帳とメッセージの各文字を、事前に決めておいた方法で組み合わせていく。；ダイブコンピュータを使用する場合でも事前の潜水計画は不可欠である。；録音となる場合は事前に録音を行う告知が行われ、お便りの募集を行う。；この段階で事前に登録された競走馬は出走する競走を指定される。；事前に設定が必要だが、かざすと同時に注文され待ち時間が短縮される。；どのカードが該当するかは事前に公式ホームページで確認しなければならない。；この事を事前に知られていたのは腹心の中御門宣衡のみであったとされる。；現在は庄之助と伊之助が裁く取り組みは事前に定めて一方が控えとなる。；一部のツールは、人間が書くのが難しい事前条件や事後条件を記述できる。；事前に正式な出演の告知はされておらずシークレット扱いであった。；リスナーが事前に予想した、その日の本番組で起こりそうな出来事を紹介する。；ローンを行う必要がある場合は保護の実施機関への事前の相談の必要性がある。；そのようなテストは事前に公表されなければならない。；事前に登録された沿岸船舶向けに、24時間受付・伝送が行われている。；先に作詞が行われたり、事前に詞のテーマを設定するようなことは全くない。；この場合、最終目的地まで事前に予約・購入することが前提となっている。；日本人の場合、ビザはその場で発給され、事前に取得しておく必要はない。；初期の機種ではデジタルがゆえに事前にフォーマット作業が必要だった。；推薦入試・AO入試等の場合は事前指定された制作課題を提出することもある。；特に事前にパターンを幾つかの意味を決めておく事で、長距離通信に用いられた。；事前に特定の人へある料理・地域のおいしい店をリサーチしランキングを作成。</t>
        </is>
      </c>
      <c r="J3565">
        <f>HYPERLINK("https://www.weblio.jp/content/事前", "词义详情")</f>
        <v/>
      </c>
      <c r="K3565">
        <f>HYPERLINK("https://yourei.jp/事前", "查看例句")</f>
        <v/>
      </c>
    </row>
    <row r="3566">
      <c r="A3566" t="inlineStr">
        <is>
          <t>自然科学</t>
        </is>
      </c>
      <c r="B3566" t="inlineStr">
        <is>
          <t>成功</t>
        </is>
      </c>
      <c r="C3566" t="inlineStr">
        <is>
          <t>読み方：しぜんかがく
自然界の現象を研究する学問の総称。実験・観察・数理に支えられて、対象の記述・説明、さらには事実間の一般法則を見いだし実証しようとする経験科学。ふつう天文学・物理学・化学・地学・生物学などに分ける。→社会科学→人文科学→文化科学</t>
        </is>
      </c>
      <c r="D3566" t="inlineStr">
        <is>
          <t>自然科学的(8%)；自然科学系(3%)；自然科学分野(2%)；自然科学博物館；自然科学研究</t>
        </is>
      </c>
      <c r="E3566" t="inlineStr">
        <is>
          <t>科学；理科；理学</t>
        </is>
      </c>
      <c r="F3566" t="inlineStr">
        <is>
          <t>自然科学書；自然科学科；上海自然科学；自然科学界；自然科学全般</t>
        </is>
      </c>
      <c r="G3566" t="inlineStr">
        <is>
          <t>自然科学研究機構；自然科学研究科；自然科学書協会</t>
        </is>
      </c>
      <c r="H3566" t="n">
        <v>29</v>
      </c>
      <c r="I3566" t="inlineStr">
        <is>
          <t>現代のような自然科学は19世紀になってようやく誕生したものである。；彼らの影響で、自然科学を研究し、多くの論文はドイツ語で発表された。；しかしながら、自然科学的分析から、下記のような推定がなされている。；それをまた西欧が翻訳し直して、自然科学の基礎が復活したのだった。；自然科学の様々な分野で彼の名前が付けられた事物が存在している。；同大学では専門の植物学だけでなく、自然科学一般を英語で教えた。；自然科学の枠を超える様々な方面からのアプローチを必要とする分野である。；自然科学系の大学院のみである点が他の一般の大学とは異なる。；超自然的な力の介在を否定する機械論は、自然科学の発展の礎となった。；自然科学的に厳密な著作ではないため、学者からは批判も少なくない。；このほかの自然科学においても数学的な手法は基礎的な要素となっている。；現在は自然科学博物館となっており、自然科学の研究と普及の拠点である。；自然科学・人文科学・文学・芸術などの書籍を中心に出版している。；これは年輪だけではなく他の自然科学的年代測定に共通の問題である。；近親交配は遺伝的な問題を重視するためそれは自然科学的用語である。；父は内科及び外科の両方を行う医者で、自然科学に強い関心を持っていた。；以下の節では自然科学と物理学の歴史の中で特に重要な例について述べる。；博物館で展示される資料は大きく人文科学系の物と自然科学系の物に分類できる。；アメリカ制作の番組をNHKが再構成した自然科学系教養番組である。；彼はこのように学問は自然科学、ならびに数学から始まったと指摘している。；しかしながら、自然科学に興味をもったのは中等学校を卒業した後であった。；それが特集中唯一の自然科学系記事である『龍の生態と行動』であった。；自然科学における現象論とは、事物の表面的な現れだけをみて行う議論。；これらすべてを可能たらしめるシステム全体が近代自然科学の営為である。；このことが現代の自然科学の領域で高く評価されている。；いつも疑う態度を保ち、実際に確かめ続けるのが自然科学的態度である。；米国のいくつかの大学が自然科学を学ぶための無料オンラインコースを設けている。；ノーベル賞の自然科学分野の一つ、生理学・医学賞を日本人が受賞した。；この空中人間説は形而上学ではなく、自然科学によって説明がされている。</t>
        </is>
      </c>
      <c r="J3566">
        <f>HYPERLINK("https://www.weblio.jp/content/自然科学", "词义详情")</f>
        <v/>
      </c>
      <c r="K3566">
        <f>HYPERLINK("https://yourei.jp/自然科学", "查看例句")</f>
        <v/>
      </c>
    </row>
    <row r="3567">
      <c r="A3567" t="inlineStr">
        <is>
          <t>自然に</t>
        </is>
      </c>
      <c r="B3567" t="inlineStr">
        <is>
          <t>成功</t>
        </is>
      </c>
      <c r="C3567" t="inlineStr">
        <is>
          <t>読み方：じねん
１（「に」や「と」を伴って副詞的に用いる）おのずからそうであること。ひとりでにそうなること。
「—と浸み込んで来る光線の暖味(あたたかみ)」〈漱石・門〉
２仏語。人為を離れて、法の本性としてそうなること。
３少しも人為の加わらないこと。天然のままであること。
「本尊は—湧出の地蔵尊とかや」〈地蔵菩薩霊験記・九〉</t>
        </is>
      </c>
      <c r="D3567" t="inlineStr">
        <is>
          <t>自然に囲ま(2%)；自然に近い；自然にそういう；自然に起こる；自然に存在する</t>
        </is>
      </c>
      <c r="E3567" t="inlineStr">
        <is>
          <t>自然；天然；おのずから；ひとりでに；おのずと</t>
        </is>
      </c>
      <c r="F3567" t="inlineStr">
        <is>
          <t>豊かな自然に；自然に治る；自然に還る；自然に死ぬ；自然に還れ</t>
        </is>
      </c>
      <c r="G3567" t="inlineStr">
        <is>
          <t>自然に同型；自然に訴える論証</t>
        </is>
      </c>
      <c r="H3567" t="n">
        <v>29</v>
      </c>
      <c r="I3567" t="inlineStr">
        <is>
          <t>敦賀市街地から少し離れた場所にあるため、自然に囲まれた環境である。；両親は宗教を学ぶことを望んだが、幼いころから自然に興味を持っていた。；自分でつり上げたのではなく、女の指の動きで、自然にそうなったのだ。；フェードでやれば簡単なのはわかっているんですけど、もっと自然にね。；これはGBLがワイン中で自然に生成してくるということを示している。；このようにして、自然に残された廃棄物量を少なくする努力をしている。；地域の中央部に位置し、自然に囲まれた農村地帯にある小規模校である。；それでこういった書物は計画的に出ないでも、自然に懐にはいってくる。；自然に笑みを浮かべ、あたかもメモが重要でなかったかのように言った。；逆にその土地に人間の手が加わらなくなると自然に消滅してしまう。；すべてが自然に委されてあつたために、揃ふ顔がだんだんきまつて来た。；美空ひばりの歌を自然に口ずさみ気づいた頃には歌の世界を目指していた。；ただ、そう見えたのだとしたら、自然にそうなっていただけのことなのです。；シーズンが終わると小屋を撤去し、浴槽は土砂などで自然に埋められる。；小胆ものだから自然に日本の現状即ち政治的関係に左右されたわけである。；これは長い年月が、自然に現出した宗教的演出と云ってもいいであろう。；そうする事が自然にこの難題に解決をつける導火線にもなると思った。；これはこの優雅に書かれた漢字を見て、自然に推定したことであった。；あの娘がどうすれば自然にあんたのものになるかつてことさ。；この位置は腕を下ろすと自然に当たる位置で剣帯がある分長い剣でも抜ける。；子供の世話に慣れてくると自然に症状が解消するとされる。；つまり、合成知能と自然に発生する知能の境界は何かという問題である。；でも僕らが揃うと自然にパーティーになって、お楽しみの始まりなんだ。；その真心が天に通じて、自然にそんな不思議があらわれたのかも知れません。；電信電話郵便の無い世の中では、自然に想像を走らせる場合が多かった。；そういう時仲間のものは黙ってそれが自然に収まるのを待っているよりほかはない。；能動免疫とは、人がたとえば微生物と接触したときに自然に起こりうる。；遠い昔から自然にこうなっているんでしょうが、まことに都合よく出来ていますよ。；商売がなければ、自然に来なくなるであろうと思ったのである。</t>
        </is>
      </c>
      <c r="J3567">
        <f>HYPERLINK("https://www.weblio.jp/content/自然に", "词义详情")</f>
        <v/>
      </c>
      <c r="K3567">
        <f>HYPERLINK("https://yourei.jp/自然に", "查看例句")</f>
        <v/>
      </c>
    </row>
    <row r="3568">
      <c r="A3568" t="inlineStr">
        <is>
          <t>思想</t>
        </is>
      </c>
      <c r="B3568" t="inlineStr">
        <is>
          <t>成功</t>
        </is>
      </c>
      <c r="C3568" t="inlineStr">
        <is>
          <t>読み方：しそう
［名］(スル)
１心に思い浮かべること。考えること。考え。「新しい—が浮かぶ」
「普天下の人をして自由に—し」〈中村訳・自由之理〉
２人生や社会についての一つのまとまった考え・意見。特に、政治的、社会的な見解をいうことが多い。「反体制—を弾圧する」「末法(まっぽう)—」「危険—」
３哲学で、考えることによって得られた、体系的にまとまっている意識の内容をいう。</t>
        </is>
      </c>
      <c r="D3568" t="inlineStr">
        <is>
          <t>思想的(6%)；思想上；思想界；思想性；思想体系</t>
        </is>
      </c>
      <c r="E3568" t="inlineStr">
        <is>
          <t>考え；精神；主義；観念；信念</t>
        </is>
      </c>
      <c r="F3568" t="inlineStr">
        <is>
          <t>仏教思想；新しい思想；新思想；近代思想；宗教思想</t>
        </is>
      </c>
      <c r="G3568" t="inlineStr">
        <is>
          <t>思想史；思想犯；思想の自由；思想の科学；思想統制</t>
        </is>
      </c>
      <c r="H3568" t="n">
        <v>29</v>
      </c>
      <c r="I3568" t="inlineStr">
        <is>
          <t>天災が天の意思の現れだと言う思想もこの時期に形成されたようである。；政治的・思想的な立場を表すために右と左の語が用いられる場合がある。；これはブッダと同時代の諸思想の中でも特に主だったものを指している。；文献の内容が法然自身の語った思想であるか否かについては議論がある。；内容は春秋戦国時代の思想・社会の集大成と分析とも言えるものである。；ここでの教育において特に影響が大きかったのはキケロの思想であった。；完全なる一者から段階を経て世界が流出して生み出されたとする思想。；中世期に成立していた門流の多くと、思想的潮流の相当部分を包含する。；今日にも残る結婚式などでの忌み言葉も言霊の思想に基づくものである。；彼の数学や輪廻転生についての思想はプラトンにも大きな影響を与えた。；また、日本では個人の思想や教えによってグループが形成されている。；侯外廬は戦国時代に疲弊する農業共同体の農民思想の代弁だと主張した。；最愛の女性を亡くしたのち、コントの思想と行動に変化が生じていった。；文は客観的な思想を含むが、文の真理値がその文の意味なのだとする。；マルクスは組織運営の問題や思想上の対立でしばしば論敵をつくった。；仏教の時代に入ると「法」は非常に重要な言葉・思想・実践となった。；これは思想的な対立によるものだけでなく、感情的な反感も含まれている。；学問的にも、思想的にも、イギリスからの大きな影響を受けている。；このことからも東西の弾道ミサイル思想の違いがはっきり表れている。；インドでは、やがて大乗仏教が成立し、その初期には多仏思想が成立する。；彼の思想には、すべてのものは微小なアートマンだと言及する部分がある。；これに対抗する思想がロードス島戦記に登場するカーラに代表される。；王者の王道政治を理想とするのは、孟子と同じく儒家の基本思想である。；以上のように、東洋の思想を哲学と呼称する例はしばしばみられる。；スミスはランドの思想に関する学術的な本および論文を複数書いている。；資本主義に対する主な思想的立場からの見解や批判には以下がある。；これらがアハマディーヤのイスラーム思想を構成する中心的な思想である。；清原は野球に対する思想、哲学が何もない奴だ、天性だけでやっている。；死につつあったギリシア思想は教会の神学と祈祷書のなかで再生した。</t>
        </is>
      </c>
      <c r="J3568">
        <f>HYPERLINK("https://www.weblio.jp/content/思想", "词义详情")</f>
        <v/>
      </c>
      <c r="K3568">
        <f>HYPERLINK("https://yourei.jp/思想", "查看例句")</f>
        <v/>
      </c>
    </row>
    <row r="3569">
      <c r="A3569" t="inlineStr">
        <is>
          <t>子息</t>
        </is>
      </c>
      <c r="B3569" t="inlineStr">
        <is>
          <t>成功</t>
        </is>
      </c>
      <c r="C3569" t="inlineStr">
        <is>
          <t>読み方：しそく
男の子。むすこ。他人の子にいう。</t>
        </is>
      </c>
      <c r="D3569" t="inlineStr">
        <is>
          <t>子息たち(4%)；子息達；子息さん；子息さま；子息様</t>
        </is>
      </c>
      <c r="E3569" t="inlineStr">
        <is>
          <t>息子；息；男子；男の子；坊</t>
        </is>
      </c>
      <c r="F3569" t="inlineStr">
        <is>
          <t>御子息</t>
        </is>
      </c>
      <c r="H3569" t="n">
        <v>29</v>
      </c>
      <c r="I3569" t="inlineStr">
        <is>
          <t>頼政はその日のうちに子息たちを率いて園城寺に入り以仁王と合流した。；子息も面白くないもんですから、やはりお金を使ったり何かするんですね。；子息は、離婚したペソア国家行政相との間に長男がおり、その後は独身。；引退選手の最終試合の始球式を選手の子息などが務めることもある。；なお、持氏の子息の中では唯一史料に生母が明示されている人物である。；そしてその見失った二人の子息の行衛は今もって不明なのだという。；僧三頼りに思う御子息善鸞様はあのようなふうでございますしね。；他にも子息にも先立たれるなど、幸せとはいいがたいものだったとされている。；武田勝頼の代で活動が確認される栗原信盛は子息と推測されている。；慈晃の跡は現在執事長を務めている子息の慈晋への継承が予定されている。；その際、子息・俊太郎を帯同し、彼を英国に留学させたまま帰国する。；しかし月給取になつた子息を一人都に離して置くのも気がかりであつた。；これは当時、中流あるいは上流家庭の子息だけが望みえた境遇である。；一番ありそうなのは出奔した子息がアメリカで結婚して、家族を持った可能性です。；生徒は海外企業、各国領事館の子息等が主だが、日本人生徒も多数在籍する。；福沢氏は、有名な撃剣の先生の子息である一人の学生に、私の注意を向けた。；その子息である家朝は、寛喜年間に死去したと記述されている。；江戸中期に藩主の子息と身分なき娘の恋を描く作品。；又彼等の子息ジェームズ5世の子孫にはイングランド王位の継承権が発生した。；この二人の間に生れた一人子息が今の新七だ。；子息は東京の学校で日本語を勉強しつつあり、宮岡の友人である。；貴族や現役の士官の子息は、優先的に士官の地位を得られるのが普通だった。；彼の妻は既に死亡していたため、子息は一時的に児童養護施設に預けられた。；その中には関白殿の御子息の兵衛佐などもお見えになっている。；平児玉を称したとも系図にはあるが、平児玉を称したのは子息子孫である。；相手はブルジョウアの一人子息だけれど、何しろ学生のことだからね。；法師丸は人質と云っても大名の子息であったから特別の待遇を受けていたらしい。；またルイ・マルの子息であるマニュエル・マルにもサポートを受けている。；当初の設立目的はフランス軍と戦うため国外に配置された将校の子息の保護と教育だった。</t>
        </is>
      </c>
      <c r="J3569">
        <f>HYPERLINK("https://www.weblio.jp/content/子息", "词义详情")</f>
        <v/>
      </c>
      <c r="K3569">
        <f>HYPERLINK("https://yourei.jp/子息", "查看例句")</f>
        <v/>
      </c>
    </row>
    <row r="3570">
      <c r="A3570" t="inlineStr">
        <is>
          <t>時速</t>
        </is>
      </c>
      <c r="B3570" t="inlineStr">
        <is>
          <t>成功</t>
        </is>
      </c>
      <c r="C3570" t="inlineStr">
        <is>
          <t>読み方：じそく
乗り物などの速度を、1時間にそれが進行する距離で表したもの。「制限—」</t>
        </is>
      </c>
      <c r="D3570" t="inlineStr">
        <is>
          <t>時速二(5%)；時速一(4%)；時速三(3%)；時速五(3%)；時速約(3%)</t>
        </is>
      </c>
      <c r="F3570" t="inlineStr">
        <is>
          <t>時速数；時速九；最大時速；時速百三十キロ；時速百二十キロ</t>
        </is>
      </c>
      <c r="H3570" t="n">
        <v>29</v>
      </c>
      <c r="I3570" t="inlineStr">
        <is>
          <t>燃料をいっさい消費することなく、速度を時速数千マイルにあげたのだ。；時速四キロないし五キロのスピードで、完全な直線を描いて去ってゆく。；計算上の最高速度は時速約1000マイル以上に達する予定としている。；以前、夢魔は彼女を抱えて時速一八〇キロで飛行したことがあるのだ。；毎日時速三五マイルで走っていたら仕事にならないと思わないか?；この小世界の赤道部分は、時速一千キロ以上で回転しているにちがいない。；エンジンは五千六百馬力、船を時速百七十キロで推進することができた。；気流は嵐の影響を受けて、時速五六キロの速さで彼らを追いやっていた。；一日じゅうこのようにして時速九キロ半で走り、夜もその調子でつづいた。；一輪車に初めて乗ったときでも、もう少し時速が出せていたはずなのに。；そのとき推進器が急に回転をはじめ、測程器は時速二十ノットを示した。；車のウインドウは洗い流され、時速七十キロぐらいで走りつづけてゆく。；RA300は前のマシンに比べ時速二七キロのスピードアップを狙った。；時速一万マイルで飛んでも、そこへ着くのに二百万年以上かかる!；丘を上がっては下り、直線道路にくると時速七、八十マイルで飛ばした。；この時の速度は、時速七五〇マイル、即ち音波の速度と同じになっている。；フリジェスは船が時速二千マイルの巡航速度におちついたことを知った。；マラゴールは、ぼくの考えでは時速約九十六キロ以上の速さで飛んでいた。；しかも感知対象は、時速三〇キロ以上で移動している物体に限られている。；だが宇宙空間の果てなき広さに比べたとき、時速一万マイルが何であろう。；当時、モノレールは50人の乗客を乗せて時速で環状の軌道を走行した。；時速八百マイルの微風は、たとえ六万フィートの高空でも無視できない。；私の見積もりでは、時速二百キロと三百キロのあいだの風速になります。；既存の制御プログラムでも、時速二・五キロで二足歩行するんスから!；時速一二〇キロには達しているにちがいないと、ぼくは思った。；時速六〇〇キロの飛行機では、風速は毎秒一六〇メートル余りとなる。；飛行島は、だんだんにスピードを上げていって、いまや時速二十ノット!；ル・マン用マシンは時速300kmを超えるのを目標に僕がテストしていた。；また、瞬間的な最大速度は時速80 kmに達すると推定されている。</t>
        </is>
      </c>
      <c r="J3570">
        <f>HYPERLINK("https://www.weblio.jp/content/時速", "词义详情")</f>
        <v/>
      </c>
      <c r="K3570">
        <f>HYPERLINK("https://yourei.jp/時速", "查看例句")</f>
        <v/>
      </c>
    </row>
    <row r="3571">
      <c r="A3571" t="inlineStr">
        <is>
          <t>持続</t>
        </is>
      </c>
      <c r="B3571" t="inlineStr">
        <is>
          <t>成功</t>
        </is>
      </c>
      <c r="C3571" t="inlineStr">
        <is>
          <t>読み方：じぞく
［名］(スル)ある状態がそのまま続くこと。また、保ち続けること。継続。「薬効が—する」「諸外国との友好関係を—する」「—力」「—性」</t>
        </is>
      </c>
      <c r="D3571" t="inlineStr">
        <is>
          <t>持続する(17%)；持続的(13%)；持続可能(10%)；持続時間(8%)；持続性(6%)</t>
        </is>
      </c>
      <c r="E3571" t="inlineStr">
        <is>
          <t>整備；続く；連続；維持；続ける</t>
        </is>
      </c>
      <c r="F3571" t="inlineStr">
        <is>
          <t>以上持続；持続不可能；持続感染；長時間持続；持続射撃</t>
        </is>
      </c>
      <c r="G3571" t="inlineStr">
        <is>
          <t>持続可能性；持続可能な開発；持続可能；持続可能な社会；持続可能な開発目標</t>
        </is>
      </c>
      <c r="H3571" t="n">
        <v>29</v>
      </c>
      <c r="I3571" t="inlineStr">
        <is>
          <t>少しの量でも効果を発揮するが、食べた量による効果の持続時間は不明。；その研究用の診断基準では1か月以上持続していることを要求している。；持続的な効果が要求される場合には注射薬として使用されることが多い。；実際の最大持続生産量の決定にはより高度な手法も使用されている。；人間の持久力はその出力が小さいほど長時間持続することが可能となる。；そしてギャンブル障害は持続的であることもあれば寛解することもある。；持続すると急性腎不全となるため大量輸液などが必要となる場合がある。；これを契機として、さまざまな持続可能性を示す編集や改革が行われた。；このポッドは社会的な基本構成単位であり、長期間継続的に持続される。；少数の個体数の存続を持続可能なものにするための保護対策が進行中である。；そのほとんどは1年から長くて十数年の非常に短い期間しか持続しなかった。；まず、救急患者の前に来たとき、痙攣が持続しているか否かを確認する。；雪や雨は一時的な現象なので、川の持続的な水源は地下水である所が多い。；これ以上は持続時間が伸びるのみで体験内容に変化が起きることはない。；一瞬の切れでは見劣りしても「スピードを持続できる」馬に適している。；持続部がなく移行していく部分が重要なのでわたり音とも呼ばれる。；主な症状である頭痛が終わってからも、片頭痛の症状は数日間持続する。；徐放錠などにすることにより、持続時間を調整したりすることもできる。；持続時間はプレイヤーキャラクターに戻している間に少しずつ回復していく。；日本の未来を担う若者に持続可能な日本らしい食を伝えることを目的としている。；また、資源埋蔵量にも限りがあるため持続性からも問題視されている。；金融政策は経済を持続的に拡大させることが最終的な目的である。；習得した時点で効果が発揮され、以後のプレイでも効果が持続する。；第一次世界大戦は強力かつ持続的な影響を島の社会に与えた。；曲線への移行の背景として、ドライバーに緊張を持続させる意図がある。；発生後数分間持続し、時間が経過するとともにゆっくりと降下していく。；この例の場合「勇気とは魂の賢明な持続である」という主張が導かれる。；その後も力を持続し続け、上方お笑い大賞と上方漫才大賞を各一度受賞。；しかし、近世の持続可能な里山利用は近代に入ると3度の危機に瀕した。</t>
        </is>
      </c>
      <c r="J3571">
        <f>HYPERLINK("https://www.weblio.jp/content/持続", "词义详情")</f>
        <v/>
      </c>
      <c r="K3571">
        <f>HYPERLINK("https://yourei.jp/持続", "查看例句")</f>
        <v/>
      </c>
    </row>
    <row r="3572">
      <c r="A3572" t="inlineStr">
        <is>
          <t>四則算</t>
        </is>
      </c>
      <c r="B3572" t="inlineStr">
        <is>
          <t>成功</t>
        </is>
      </c>
      <c r="C3572" t="inlineStr">
        <is>
          <t>読み方：しそくざん
⇒四則演算</t>
        </is>
      </c>
      <c r="H3572" t="n">
        <v>29</v>
      </c>
      <c r="I3572" t="inlineStr">
        <is>
          <t>だが、病源体が分離されたというのに、惑星は第四則に該当したままだ!；別れたら独りで何処かで飲もうと胸算していた当てが外れたからである。；千手寺京算が祈祷していたものが中断されていたのを再開させたという。；この文を書いた人たちは、実行主義で権力主義者の算を乱させたのよね。；私は嘉永六年の丑の生まれですから、御一新の年には算えの十六でした。；だあれも愛したことがなくて、していることといったら、寄せ算ばかりだ。；お初はふと、このひとが家を捨てた遊歴算家であることの意味を思った。；そして、今の階段の高さの相違などもその一つに算えることが出来ました。；先生はこの虫喰い算を生徒に与えて、大変楽しく算数を勉強させました。；これは支那算書から伝わった風ではあるが、これを極端にやっている。；そして開設後七年の一七六一年の記録には日本人教師七人、学生十五人を算えている。；僕のように辛抱強く我慢しているのは、もう算える程になりましたよ。；たとえ望んだとて全部を算えあげることはできかねますから。；けれどもそれのみならば他にも彼以上の人はいくらも算えられる。；関東軍は、しかし、これでソ軍に徹底的打撃を与え得ると胸算していた。；旅から旅への暮らしをしながら、算学を教えたり、研究したりする。；大学寮には算道を教授する算博士と学生である算生で構成されていた。；これは前年の十二月が大であつたことを顧慮して算しても、亦同じである。；ただし形式算を確実に教授しておいてから行うべきである。；朝鮮から持ち帰って来た書物中には算書もあったかと思われる。；事は単に人の力だけでなく、天の力もあり、算があればやらねばなりません。；これを一回の観測と算えて、こういう観測を五分乃至十分置きに繰り返した。；別に方算があったわけではないが、そうしてしばらく瞳孔を開けたままでいた。；駈けつけた侍たちが、算をみだした大惨劇を発見した声にちがいない。；そして、そのとたんに、彼の計画の一切は破算を約束されたも同然になる。；算知は逆にそのことには言及せず、養生するようにとの返事をくれた。；ようやく苦痛と驚愕が去って、声が出たのはたっぷり百を算えてからだった。；サチ子に恋情を覚えたとき、不思議な落下を心に算えてゐたのであつた。；今までに日本人でこの研究所で勉強した人は算える位しかない。</t>
        </is>
      </c>
      <c r="J3572">
        <f>HYPERLINK("https://www.weblio.jp/content/四則算", "词义详情")</f>
        <v/>
      </c>
      <c r="K3572">
        <f>HYPERLINK("https://yourei.jp/四則算", "查看例句")</f>
        <v/>
      </c>
    </row>
    <row r="3573">
      <c r="A3573" t="inlineStr">
        <is>
          <t>子孫</t>
        </is>
      </c>
      <c r="B3573" t="inlineStr">
        <is>
          <t>成功</t>
        </is>
      </c>
      <c r="C3573" t="inlineStr">
        <is>
          <t>読み方：しそん
１一つの血統を受け継いで生まれてきたもの。また、生まれてくるもの。後裔(こうえい)。「—の繁栄を願う」
２子と孫。</t>
        </is>
      </c>
      <c r="D3573" t="inlineStr">
        <is>
          <t>子孫たち(3%)；子孫達；子孫代；子孫言語；子孫繁昌</t>
        </is>
      </c>
      <c r="E3573" t="inlineStr">
        <is>
          <t>後世；末裔；後裔；後代；後生</t>
        </is>
      </c>
      <c r="F3573" t="inlineStr">
        <is>
          <t>男系子孫；女系子孫；父系子孫；世子孫；ご子孫</t>
        </is>
      </c>
      <c r="G3573" t="inlineStr">
        <is>
          <t>子孫ノード</t>
        </is>
      </c>
      <c r="H3573" t="n">
        <v>29</v>
      </c>
      <c r="I3573" t="inlineStr">
        <is>
          <t>その後は妊娠することがなく子どもを残していないため、子孫はいない。；幾つかの郡ではスカンディナヴィア系の子孫が最大構成比になっている。；実際、昭和天皇は自分が神の子孫であることを否定した文章を削除した。；民間所有のものを私奴婢と言い、子孫に相続させることが可能であった。；かれの統治およびかれの子孫の統治のもとで、人間が主要な種族になった。；は戦前から朝鮮で居住しており、その子孫も大韓民国に住居している。；今日の英国王位継承権を保持する人物は、全員がゾフィーの子孫である。；我が子孫が世を取ることがあれば、それは全て我が力によるものである。；この子孫は世良田氏を称したのち江戸時代に入って真船氏を称したという。；この孔林に埋葬されている孔子の子孫の数は10万人以上ともされている。；その後主にアルゴンキン語を話す古代人の子孫が戻ってくるようになった。；また墓を建てても、子孫らがそれに継続的に参拝するとは限らない。；その意志を継いだ子孫の勢力を危惧したローマ教皇はフランスの手を借りた。；一家はマケドニア王国の伝説上の初代王カラノスの子孫であると称していた。；ただし、彼らの子孫すべてが軍事貴族・武士へ成長した訳ではない。；また、義宗の庶子とする新田宗親の子孫も存続しているとする説がある。；下賜された人物とその子孫が権威の象徴として「伝世」したともみられる。；多くの者はバージニア植民地から移ってきた者か、その子孫だった。；高句麗が征服した中国地域には朝鮮民族の子孫が広がることになった。；造寺・造仏の技術者は主として朝鮮からの渡来人やその子孫達であった。；正編が道長の没するまでを記し、続編でその子孫のその後を記している。；これは天智・天武両天皇の子孫である諸王及び諸氏と同じ待遇であった。；世良田満氏の子である経氏に始まり、その子重氏と以後子孫繁栄した。；その式の途中で、かつての戦士の子孫に報復すべくバルバンが襲撃してきた。；イギリス元首相のデーヴィッド・キャメロンは子孫の遠縁の一人である。；晩年は、幼い首皇子の子孫に皇統が安泰して継承されるために手を打った。；公式には男女を問わず子はいないため、子孫は存在しない。；基本的に、継体天皇の近親とそれ以降の天皇・皇子の子孫に与えられた。；成功した実業家の子孫は親ほど有能ではないと信じていた。</t>
        </is>
      </c>
      <c r="J3573">
        <f>HYPERLINK("https://www.weblio.jp/content/子孫", "词义详情")</f>
        <v/>
      </c>
      <c r="K3573">
        <f>HYPERLINK("https://yourei.jp/子孫", "查看例句")</f>
        <v/>
      </c>
    </row>
    <row r="3574">
      <c r="A3574" t="inlineStr">
        <is>
          <t>自尊心</t>
        </is>
      </c>
      <c r="B3574" t="inlineStr">
        <is>
          <t>成功</t>
        </is>
      </c>
      <c r="C3574" t="inlineStr">
        <is>
          <t>読み方：じそんしん
自分の人格を大切にする気持ち。また、自分の思想や言動などに自信をもち、他からの干渉を排除する態度。プライド。「—を傷つけられる」</t>
        </is>
      </c>
      <c r="D3574" t="inlineStr">
        <is>
          <t>自尊心を傷つけられ(5%)；自尊心を傷けら；自尊心を傷ける；自尊心を傷けた；自尊心をいたく</t>
        </is>
      </c>
      <c r="E3574" t="inlineStr">
        <is>
          <t>見え；品；得意；誇り；自慢</t>
        </is>
      </c>
      <c r="F3574" t="inlineStr">
        <is>
          <t>民族的自尊心；低い自尊心；臆病な自尊心；ひどく自尊心；愚かな自尊心</t>
        </is>
      </c>
      <c r="H3574" t="n">
        <v>29</v>
      </c>
      <c r="I3574" t="inlineStr">
        <is>
          <t>彼は自尊心からほかの所へ行くように忠告できなかったのかもしれない。；と云って、正直に寝られなかったと自白するには余り自尊心が強過ぎた。；彼らをして罪を犯させたものは何よりもゆがんだ自尊心だったといえる。；私の若い自尊心は彼よりも私のほうがずっと値うちがあるとささやいた。；こうした場合に、自尊心が黙っているとは、とても考えられないからね。；僕に向つてと云ふよりは寧ろ彼自身の自尊心に対してと云ふべきである。；まるでこの心が自尊心に動かされたことなど全然ないというようだった。；そのどちらも自尊心の低さと自己顕示欲の極端化に原因があると思われる。；彼女は自尊心からジュリアンのことをいつも夫と呼んでいたのである。；しかし同時にまた、わたしは彼女の態度に大いに自尊心を傷つけられた。；家の人々は彼のそういう自尊心の苦しみにほとんど気づかなかった。；だが自尊心をくすぐるこの夢が実現できないことはよくわかっていた。；僕はこんなことを自尊心によって言ってるわけではありません、本当に。；女の性格が高貴であればあるほど、自尊心の嵐におそるべきものがある。；おれの弁護士のところへいって、今度はあんたの自尊心を見せてくれんかね?；が、このまま馬鹿にされたままというのも彼の自尊心が許しはしない。；この自尊心の強い女は、彼が自分にふさわしくないと思っていたのである。；わたしにはもう自尊心はありませんし、昔のように怒る元気もありません。；私の心は恐ろしさ、いや何と言ったらいいか、自尊心の傷手にふるえた。；彼女たちには、自尊心のためのあらゆる玩具を与えてやらねばならない。；自尊心の手前、言いわけをしようと思ったが、うまく見つからなかった。；小生は他人様の眼より見れば、勿論、自尊心などもつべき柄には無之候。；こんどは、自尊心が傷けられたので彼女の憤怒はいっそう激しくなった。；わたしは恋もそうですが、今度は自尊心まで傷つけられてしまったのです。；しかし、ここでもまたばかげた自尊心が失敗という言葉に抵抗を感じた。；新聞記者の疲れ切った視線には、あいかわらず恐怖と自尊心とがあった。；伸ちゃんの自尊心を傷つけてまでも自分の優越を誇ろうとしたのである。；いつもは怒りや自尊心でひきつっている顔も、いまはすっかり安らかだ。；そうした自尊心は彼女のために燃えさかっている胸の焔よりも強かった。</t>
        </is>
      </c>
      <c r="J3574">
        <f>HYPERLINK("https://www.weblio.jp/content/自尊心", "词义详情")</f>
        <v/>
      </c>
      <c r="K3574">
        <f>HYPERLINK("https://yourei.jp/自尊心", "查看例句")</f>
        <v/>
      </c>
    </row>
    <row r="3575">
      <c r="A3575" t="inlineStr">
        <is>
          <t>舌</t>
        </is>
      </c>
      <c r="B3575" t="inlineStr">
        <is>
          <t>成功</t>
        </is>
      </c>
      <c r="C3575" t="inlineStr">
        <is>
          <t>読み方：した
１口腔底から突出している筋肉性の器官。粘膜に覆われ、非常によく動き、食物の攪拌(かくはん)・嚥下(えんげ)を助け、味覚・発音をつかさどる。べろ。
２話すこと。言葉遣い。弁舌。「—を振るう」
３雅楽器の篳篥(ひちりき)のリード。2寸（約6センチ）ほどに切った蘆(あし)の一端をつぶして吹き口とし、他の一端に和紙を巻いて管に差し込んだもの。蘆舌(ろぜつ)。</t>
        </is>
      </c>
      <c r="D3575" t="inlineStr">
        <is>
          <t>舌をまい；舌状；舌舐めずり；舌を巻か；舌を噛みそう</t>
        </is>
      </c>
      <c r="E3575" t="inlineStr">
        <is>
          <t>言葉；言；言語；用語；講義</t>
        </is>
      </c>
      <c r="F3575" t="inlineStr">
        <is>
          <t>長い舌；ぺろりと舌；舌嘗めずり；舌切亭すずめ；舌かみ切</t>
        </is>
      </c>
      <c r="G3575" t="inlineStr">
        <is>
          <t>舌先；舌なめずり；舌鼓；舌うち；舌足らず</t>
        </is>
      </c>
      <c r="H3575" t="n">
        <v>29</v>
      </c>
      <c r="I3575" t="inlineStr">
        <is>
          <t>その時に、舌を出していたので舌を噛んで死んだように見えたのだろう。；口の形や舌の位置を変えることで、音質も若干変化させることができる。；このチクチクする感じは腕から顔の方へ拡大していき、唇や舌に達する。；口真似が得意なのは舌の形状が人間のものと似ているためと言われている。；犬は水を飲む時、舌を裏に巻くようにして水をすくって飲む特徴がある。；舌や手を使って様々な場所に刺激を与えると男性はより強い快感を得られる。；自分の舌を相手の口の中に入れて、相手の舌を自分の口の中に引き寄せろ!；舌に攻撃判定が存在して、ボタン押しっぱなしで出し続けることが可能。；ちょうどいい犠牲者を選ぶと、その家に降り立ち舌を屋根から挿入する。；イヌなどが走るときに舌を出すのは、体温を逃がすためと言われている。；他の7点についても、風鐸や舌と前後する時期の製作と考えられている。；やや細長くて平らな動物で、形はやや舌に似ており属名もこれに基づく。；そして全てを知ったピロメーラーが何も話せないように舌を切り取った。；これによって舌と唇の間の空間が広くなり、周波数が下がるのだという。；心の活動の状態が最もはっきりと表面に現れるのが舌である。；もしこれで嘘をついていることが判明した場合、舌を抜かれてしまうという。；長い舌を出して敵キャラクターやアイテムを口に含むことができる。；舌や唇などの調音器官の位置・動きは通常発声とほとんど変わらない。；試合で出塁すれば相手の投手に向かって奇声を上げ、舌まで出して愚弄。；舌はまた、基本的な味には一般的に含まれていない他の感覚を感じることができる。；舌上面から下面に向けて繊維が伸び、舌の平坦化に関わる内舌筋である。；自分の舌を使って取ることも可能であるが、かなりの練習を要する。；また、長い舌は吸血だけでなく相手の身体に巻きつけての電撃も可能。；この音は、 のように口を横に開き、舌の中ほどを上げて発音する音である。；「C」を顔に見立て舌を出しているようなロゴマークが設定されている。；しかし、間もなく駆けつけた女刑事マージによると男には舌がないという。；ベルナル・ディアス・デル・カスティリョは彼女をわれわれの舌と呼んだ。；舌を下歯に当てたまま少し口を開いて発音される非円唇前舌半狭母音を表す。；なお、舌以外にも少ないながら味物質の受容器が存在することが知られている。</t>
        </is>
      </c>
      <c r="J3575">
        <f>HYPERLINK("https://www.weblio.jp/content/舌", "词义详情")</f>
        <v/>
      </c>
      <c r="K3575">
        <f>HYPERLINK("https://yourei.jp/舌", "查看例句")</f>
        <v/>
      </c>
    </row>
    <row r="3576">
      <c r="A3576" t="inlineStr">
        <is>
          <t>下</t>
        </is>
      </c>
      <c r="B3576" t="inlineStr">
        <is>
          <t>成功</t>
        </is>
      </c>
      <c r="C3576" t="inlineStr">
        <is>
          <t>読み方：か
［音］カ（漢）ゲ（呉）　［訓］した　しも　もと　さげる　さがる　くだる　くだす　くださる　おろす　おりる
［学習漢字］1年
〈カ〉
１空間的位置関係の低い方。「下部・下方／階下・眼下・地下・直下・天下・皮下」
２時間・順序が後の方。「下記・下元・下弦／以下」
３階級・身分・程度が低い方。「下院・下情・下層・下等・下僚」
４空間的・時間的範囲を限定する語。「県下・言下・時下・城下・目下・占領下」
５支配・影響を受ける側。「管下・麾下(きか)・傘下・配下・部下・門下」
６貴人の尊称に添える語。「閣下・貴下・殿下・陛下」
７脇付(わきづけ)に用いる語。「机下・虎皮下」
８上から下へ、高い方から低い方へ移動する。「下降／却下・降下・沈下・低下・投下・落下」
９中央から地方へ、中心から周辺へ移る。「西下・南下」
10上位者から下位者へ渡し与える。「下賜・下付・下命」
〈ゲ〉
１の1に同じ。「下界・下段／上下」
２の2に同じ。「下巻・下刻・下旬」
３の3に同じ。「下品・下郎・下剋上(げこくじょう)・下世話／凡下」
４の8に同じ。「下山・下車・下馬・下落・下痢」
５の9に同じ。「下向・下野」
６の10に同じ。「下知／宣下」
７へりくだる。「卑下」
〈した〉「下着・下手・下見・下役／靴下・手下・年下・軒下・幕下・目下・床下」
〈しも〉「下座・下手／風下・上下(かみしも)・川下」
〈もと〉「足下・膝下(ひざもと)」
［難読］下火(あこ)・下炬(あこ)・下司(げす)・下種(げす)・下衆(げす)・白帯下(こしけ)・下枝(しずえ)・下総(しもうさ)・下野(しもつけ)・下手(へた)</t>
        </is>
      </c>
      <c r="D3576" t="inlineStr">
        <is>
          <t>下顎；下唇；下半分；下野国；下におか</t>
        </is>
      </c>
      <c r="E3576" t="inlineStr">
        <is>
          <t>もと；底；低；尻；裾</t>
        </is>
      </c>
      <c r="F3576" t="inlineStr">
        <is>
          <t>統治下；落下；占領下；政権下；管轄下</t>
        </is>
      </c>
      <c r="G3576" t="inlineStr">
        <is>
          <t>下さい；下げ；下し；下記；下ろし</t>
        </is>
      </c>
      <c r="H3576" t="n">
        <v>29</v>
      </c>
      <c r="I3576" t="inlineStr">
        <is>
          <t>区の長期基本計画によると、都市核と指定された地域は下の6つである。；さらに、アンモニアの雲の下には薄い水の雲が存在すると予想される。；ニュースは敗戦・占領下で自信を失っていた日本国民に大きな力を与えた。；その後、1892年までに全ての首長国がイギリスの保護下に置かれた。；かつての国鉄は解体され、官民協力体制の下で委託経営が行われている。；最後は下関駅の先で海の下に潜って、再び地上に出るとそこは九州である。；ピクセルは通常、左下から右下へ、これを下から上に向かって保存する。；北に隣接するセルビアは紛争当事国となって国際的な制裁下に置かれた。；ある日、ゼウスとポセイドンの兄であるハデスが彼女の下を訪ねてきた。；知られている限り、全ての藍藻は好気環境下で酸素発生型光合成を行う。；一定圧力下で常温の水をゆっくり加熱すると、ある温度で蒸気に変わる。；彼の下にいた研究者の一部はパロアルト研究所へと移っていった。；近年の店舗ではマイクの下に注文を表示するディスプレイが導入されている。；日本統治下の私鉄路線は、韓国ではアメリカ占領時期に国有化された。；また、日本IBMの下には更に複数の子会社と関連会社が存在している。；下の左手には、下の右手には、上の左手には、上の右手にはを持つ。；宇宙環境下における細胞は地上での実験では見られない挙動を示す。；なお、斬首より軽いとされるのが銃殺、その下が一般的な絞首刑である。；教育制度の大部分は、教育・技能大臣を通じた政府の指導の下にある。；あるいは南を下、北を上とした時、東の方向が右、西の方向が左となる。；最近では法治を重視する政策の下、一定の役割を果すようになってきている。；詳しくは下に記した表の中にある「生成方法」項目を参照されたい。；最高指導者の下に指導者評議会があり、その下に各委員会が設置されている。；またブロックの上にいる敵はそのブロックを下から叩くことで倒すことができる。；残された「暁の星」はフェルキンの下で数々の混乱を経ながら続いた。；さらに口は開くと下を向き、湖底の餌をついばんで食べやすくなっている。；独立後、政府は主要産業を国有化し、保護政策の下で工業を発展させてきた。；娘で各種アイテム開発のプロであるからくり博士の日向おぼろの下に逃れた。；現行憲法下において法律を発案・提出する手続には、以下の三つがある。</t>
        </is>
      </c>
      <c r="J3576">
        <f>HYPERLINK("https://www.weblio.jp/content/下", "词义详情")</f>
        <v/>
      </c>
      <c r="K3576">
        <f>HYPERLINK("https://yourei.jp/下", "查看例句")</f>
        <v/>
      </c>
    </row>
    <row r="3577">
      <c r="A3577" t="inlineStr">
        <is>
          <t>死体</t>
        </is>
      </c>
      <c r="B3577" t="inlineStr">
        <is>
          <t>成功</t>
        </is>
      </c>
      <c r="C3577" t="inlineStr">
        <is>
          <t>読み方：したい
死んだ人間・動物のからだ。生命の絶えた肉体。死骸。しかばね。「白骨—」「—遺棄」
[補説] 「死体」「死骸」「しかばね」には肉体を物としてみている語感があり、人格を認めた表現にはふつう「遺体」「遺骸」「なきがら」などを用いる。</t>
        </is>
      </c>
      <c r="D3577" t="inlineStr">
        <is>
          <t>死体発見；死体解剖；死体所見；死体処理；死体運搬</t>
        </is>
      </c>
      <c r="E3577" t="inlineStr">
        <is>
          <t>遺体；死骸；残骸；死人；屍体</t>
        </is>
      </c>
      <c r="F3577" t="inlineStr">
        <is>
          <t>腐乱死体；惨殺死体；絞殺死体；無残な死体；他殺死体</t>
        </is>
      </c>
      <c r="G3577" t="inlineStr">
        <is>
          <t>死体検案；死体安置所；死体損壊；死体置場；死体遺棄罪</t>
        </is>
      </c>
      <c r="H3577" t="n">
        <v>29</v>
      </c>
      <c r="I3577" t="inlineStr">
        <is>
          <t>傷は死体からやや離れた場所にあり、何が原因で出来たのか分からない。；亡くなったばかりの死体の歯を売却することも珍しくなかったという。；死を決意し近づいていくが、そこで見たものは火星人たちの死体だった。；これ以上の被害を出さないために、討伐部隊は死体に火を付けて回った。；スワンの死体のポケットにあった鍵はスワン自身のアパートの鍵だった。；再度各地で調査を行う内に、主人公は和琴温泉にて男の死体を発見する。；死体を月に残したのも、警察に挑戦しようとする彼の性格のあらわれだった。；あるものはかなり分解の進んだ死体、さらには乾燥した死体ですら好む。；大量の死体を回収し、需要のある者たちに死体を販売することが主な目的。；警察にこの件を届けた桔梗だが、部屋に戻ると間淵の死体は消えていた。；殺された者の多くは女子供であり、死体は酷いやり方で損傷されていた。；だが、当初は初期形態同様突然死し、街には多数の死体が散乱していた。；死体はまだ温かく、死んでから時間はあまり経っていないようだった。；この伝説では、息子の死を悲しむレメクがその死体を木に架けたという。；彼らは18匹の死体を捨て、車にはまだ13匹以上の死体があったという。；死亡したことをはっきりさせたり強調する場合は「死体」と呼び区別される。；これは死者を弔うために花を死体の周りに添えたと解釈されている。；水中で魚の死体などに綿毛のように生えているのは、たいていこれである。；大佐の死体はモーニングルームという、庭に出られる部屋で発見された。；しかし死体から摘出された弾丸の数や口径は資料によって異なっている。；そして近くには、頭を殴られ殺害されているハイデッガーの死体があった。；これは頭と脚がない腐乱死体で年齢は30歳から40歳と推定された。；妻は複製が消えてなくなった棺桶に、ランスロット本人の死体を入れた。；一説によれば母はアルバニア系の死体処理業者の娘であったという。；答えを渋るローパーの目の前に待っていたのはウィリアムズの死体だった。；死体発見直後の映画関係者や熊の湯関係者からの聞き取りも詳細化されている。；このような刺激が死体の儀式化された取り扱いの起源となった。；その死体は川を堰き止めるほど大きく、そのせいで湖ができたという。；自殺を隠蔽して死体を絞首台にかける案も検討されたが、それは中止された。</t>
        </is>
      </c>
      <c r="J3577">
        <f>HYPERLINK("https://www.weblio.jp/content/死体", "词义详情")</f>
        <v/>
      </c>
      <c r="K3577">
        <f>HYPERLINK("https://yourei.jp/死体", "查看例句")</f>
        <v/>
      </c>
    </row>
    <row r="3578">
      <c r="A3578" t="inlineStr">
        <is>
          <t>次第</t>
        </is>
      </c>
      <c r="B3578" t="inlineStr">
        <is>
          <t>成功</t>
        </is>
      </c>
      <c r="C3578" t="inlineStr">
        <is>
          <t>読み方：しだい
［名］
１物事が行われる際の一定の順序。「式の—を書き出す」
２今まで経過してきた状態。なりゆき。「事の—を話す」
３物事の、そうなるに至った理由。わけ。事情。「そんな—で明日は伺えない」
４能や狂言の構成部分の一。七・五、返句、七・四の3句からなる拍子に合った謡。シテ・ワキなどの登場第一声として、また曲舞(くせまい)や乱拍子の序歌としても謡われる。
５能や狂言で、シテ・ワキなどの登場に用いる囃子事(はやしごと)。大鼓・小鼓に笛があしらい、続いて4が謡われる。
６歌舞伎囃子(ばやし)の一。5を取り入れたもので、能がかりの登場音楽として用いるほか、「関の扉(と)」などの幕開きにも奏する。
［接尾］
１名詞に付いて、その人の意向、またはその事物の事情のいかんによるという意を表す。「あなた—でどうともなる」「この世はすべて金—」
２動詞の連用形に付いて、その動作が行われるままにという意を表す。「手当たり—に投げつける」「望み—に買い与える」
３動詞の連用形または動作性の名詞に付いて、その動作がすむと直ちにという意を表す。「満員になり—締め切る」「本が到着—送金する」</t>
        </is>
      </c>
      <c r="D3578" t="inlineStr">
        <is>
          <t>次第でございます；次第であつ；次第でござる；次第ニ；次第で御座い</t>
        </is>
      </c>
      <c r="E3578" t="inlineStr">
        <is>
          <t>目；流れ；命；命令；徐々に</t>
        </is>
      </c>
      <c r="F3578" t="inlineStr">
        <is>
          <t>こういう次第；状況次第；条件次第；そんな次第；努力次第</t>
        </is>
      </c>
      <c r="G3578" t="inlineStr">
        <is>
          <t>次第次第に；次第司；次第高；次第浜</t>
        </is>
      </c>
      <c r="H3578" t="n">
        <v>29</v>
      </c>
      <c r="I3578" t="inlineStr">
        <is>
          <t>売却されるホテルは最高7つだが、どれが売却されるかは運次第である。；条件次第で捨ててしまうような値を事前に準備することは非効率的である。；展開次第では本命・対抗を負かせるかもしれない競走対象に付けられる。；また、展開次第では原作・アニメ版には登場しない姫の衣装も登場する。；武士を追っていた者は驚きながら長者の元に帰り、事の次第を伝えた。；以下のコーナーが実施されるか否かは投稿の有無および源石次第である。；相手が誰であっても、見つけ次第俺はこの手でそいつを殺してやる。；彼はローガンに彼の計画が完了し次第、すべてを話すことを約束した。；でも、コースの作りや用意されたむにむに次第で難易度は決まってくる。；今後の実績次第で新たなルートも検討されることとなっている。；その為、挑戦するイベント次第では皇帝継承を考慮する必要がある。；言葉は基本的に話さないが、環境次第で覚えさせることは可能である。；シーズン次第では三冠王を獲得してもおかしくない成績を残したと言える。；この一戦の内容次第では、翌年以降の外国遠征も検討されていた。；さらに、逃亡した副王の息子アルフォンスを見つけ次第処刑すると語る。；大気汚染は深刻で特に首都北京は風次第でしばしばスモッグに覆われる。；胸ポケットサイズの大きさで体のどの部分に付けるかはプレイヤーの好み次第。；ボクシングを続けるのも引退するのも「青木次第」と語ったこともある。；しかし乃木はこれに賛同しなかった上、逆に山縣に事の次第を通報した。；装置と蛍光色素の組み合わせ次第で以下のパラメータの測定が可能となる。；この浮動株の算出方法の定義次第では新たな問題が発生する可能性がある。；今後の研究次第では大幅に追記あるいは修正される可能性が高い。；さらに東センター駅までの延伸が行われるかは東部地区の開発次第とされた。；運行開始は認可が下り次第としていたが、同年12月1日より運行を開始。；不出馬表明の直前には「構図次第では出馬を検討する」と発言していた。；飼われている馬では、訓練次第でこれを意図的にさせることができる。；逆に特攻推進派からは対策次第では十分な威力があるとの分析が出されている。；状況次第で、これらの州は南部の一部とも言えるし、そうではないとも言える。；この定義次第で、物理主義はかなり広い範囲の立場を含むことが可能である。</t>
        </is>
      </c>
      <c r="J3578">
        <f>HYPERLINK("https://www.weblio.jp/content/次第", "词义详情")</f>
        <v/>
      </c>
      <c r="K3578">
        <f>HYPERLINK("https://yourei.jp/次第", "查看例句")</f>
        <v/>
      </c>
    </row>
    <row r="3579">
      <c r="A3579" t="inlineStr">
        <is>
          <t>辞退</t>
        </is>
      </c>
      <c r="B3579" t="inlineStr">
        <is>
          <t>成功</t>
        </is>
      </c>
      <c r="C3579" t="inlineStr">
        <is>
          <t>読み方：じたい
［名］(スル)勧められたことを遠慮して断ること。また、自分の既得の地位・権利などを遠慮して放棄すること。「出場を—する」</t>
        </is>
      </c>
      <c r="D3579" t="inlineStr">
        <is>
          <t>辞退する(11%)；辞退しよ；辞退申し上げ；辞退いたし；辞退届</t>
        </is>
      </c>
      <c r="E3579" t="inlineStr">
        <is>
          <t>拒否；辞任；拒絶；遠慮；退任</t>
        </is>
      </c>
      <c r="F3579" t="inlineStr">
        <is>
          <t>御辞退；ご辞退；参加辞退；立候補辞退；固く辞退</t>
        </is>
      </c>
      <c r="H3579" t="n">
        <v>29</v>
      </c>
      <c r="I3579" t="inlineStr">
        <is>
          <t>基本的にファン投票で選出された選手は出場を辞退することができない。；賞の歴史上、以下の人物が受賞を辞退したことが明らかになっている。；しかし日本政府はすでに戦闘が開始しているためこれを丁重に辞退した。；これ以降は歌手側も賞を辞退する事例が頻発し、番組視聴率も低下する。；出場が有力視されながら本人が辞退または落選した歌手は次の通り。；少年の通っていた高校は同年夏の高校野球岡山県大会への出場を辞退した。；しかし同時期に夫・四十郎の健康が悪化したことが最終的な辞退に繋がった。；他大学を受験する場合は慶應義塾大学への推薦を辞退しなければならない。；ディが修道会の入会を辞退した時に友達への手紙で次のように書いている。；ここではスペインが辞退したことで、西ドイツが無投票で開催国に選ばれた。；フレッシュオールスターゲームに選出されるも怪我の影響で辞退した。；その後しばらくの間、オリンピック代表に集中するために代表を辞退した。；しかしその新支部長も決定から数日後、体調不良を理由に立候補を辞退。；朱熹は何度も辞退したが、何度も推薦を受け、結局翌年3月にに赴いた。；枢密顧問官も叙爵も政府からの求めに応じただけで度々辞退していた。；それに伴い予定されていたフレッシュオールスターゲームへの出場を辞退した。；偶然にも自動車を当ててしまったが、社員であるため辞退した。；これまでにノーベル賞の受賞を辞退したのは、以下のとおりである。；複数の選挙区で当選した人物が辞退した選挙区では再選挙が行われる。；しかし是永は自身のスケジュールの都合がつかないことを理由に参加を辞退。；東北楽天ゴールデンイーグルスの発足当初には監督の就任要請を受けたが辞退。；これは、政治的な理由でノーベル賞の辞退を余儀なくされた最初の事例になった。；オールスターゲームの地方開催を辞退するのは史上初のケースだった。；さらに西園寺は京都で邦彦王に会った際に、直接婚約の辞退を勧告した。；鶴岡は東京にある南洋興発への入社辞退のお詫びまで同行したという。；助教授に推薦されたが、父子ともに実業に進む考えであったため辞退する。；石虎は形式的にこれを固く辞退したが、しばらくしてからその命を受けた。；更にテキサス工科大学からは学長に打診されたが、これは辞退している。；寛仁元年に三条が死去すると、敦明はついに皇太子の辞退を決意した。</t>
        </is>
      </c>
      <c r="J3579">
        <f>HYPERLINK("https://www.weblio.jp/content/辞退", "词义详情")</f>
        <v/>
      </c>
      <c r="K3579">
        <f>HYPERLINK("https://yourei.jp/辞退", "查看例句")</f>
        <v/>
      </c>
    </row>
    <row r="3580">
      <c r="A3580" t="inlineStr">
        <is>
          <t>事態</t>
        </is>
      </c>
      <c r="B3580" t="inlineStr">
        <is>
          <t>成功</t>
        </is>
      </c>
      <c r="C3580" t="inlineStr">
        <is>
          <t>読み方：じたい
物事の状態、成り行き。「容易ならない—を収拾する」「緊急—」</t>
        </is>
      </c>
      <c r="D3580" t="inlineStr">
        <is>
          <t>事態収拾；事態打開；事態解決；事態対処；事態不拡大</t>
        </is>
      </c>
      <c r="E3580" t="inlineStr">
        <is>
          <t>状態；様子；具合；情勢；境遇</t>
        </is>
      </c>
      <c r="F3580" t="inlineStr">
        <is>
          <t>深刻な事態；異常な事態；こんな事態；こういう事態；そんな事態</t>
        </is>
      </c>
      <c r="H3580" t="n">
        <v>29</v>
      </c>
      <c r="I3580" t="inlineStr">
        <is>
          <t>その一方で、保有国が強く反対する事態がしばしば起こるのも事実である。；この段階になればもはや事態を収拾しようとすることは極めて困難となる。；記事を執筆した記者の広岡勲が巨人担当を外れることで事態は収拾した。；この事態をゼノンは次のように説明している、とアリストテレスは言う。；このような事態の多くは本当は避けられたとする研究結果もある。；その一方で、ある種の事態を表現する動詞や形容詞の文字も存在した。；戦争の危機が高まり、急速に事態が緊張化して制御不能となっていく。；このような事態は霊場会が発足した以降は初めてのことである。；このため、信長が上京するたびに多くの訴訟が持ち込まれる事態となった。；この1977年の地方選挙では、もう一つ注目すべき事態が発生していた。；大吾は落合を発見するも、周囲は炎に囲まれ絶望的な事態となってしまった。；最悪の場合は藩帥を追放・殺害してすげ替えるといった事態に発展する。；翌7日にはデモ隊が暴徒化して議会や大統領府を襲撃する事態に発展した。；このような事態に対応するため、プログラムを保守していく作業が必要になる。；この予測された事態に対して建物は爆撃に備えて強化されていた。；日本軍は戦闘拡大を望まず、事態悪化を防ぐためにできる限り全てのことをした。；そして3日間で30万人以上のキューバ人が武装し最悪の事態に備えた。；悪魔の証明は証明不可能な事態を指し、単に証明困難な事態を指すのではない。；土地ブローカーが町内に事務所を構え、土地を買いあさる事態となった。；コックスはその混乱の渦中で、事件を起こし逮捕されるような事態に陥った。；事態が進展したのは最初の発見からおよそ30年後のことだった。；こうした中、変法派の一部は西太后を幽閉して事態を打開しようと図る。；相手の意図が分らないと、最悪の事態を想定して、関係が悪化することがある。；テレパシーのような能力を得るために人は事態をより正確に見定めるようになる。；女王の旅行の際に女官の切符の手配が忘れられるという事態さえ発生した。；事態を危険視した社民党政権のノスケ国防相は軍や義勇軍の動員を決定。；こうした事態に対応して、各国で権力の集中と国家体制の整備が進むようになった。；製造業が一社単独で銀行支援に動くというのは異例の事態であった。；重要影響事態とは、日本の平和及び安全に重要な影響を与える事態の名称である。</t>
        </is>
      </c>
      <c r="J3580">
        <f>HYPERLINK("https://www.weblio.jp/content/事態", "词义详情")</f>
        <v/>
      </c>
      <c r="K3580">
        <f>HYPERLINK("https://yourei.jp/事態", "查看例句")</f>
        <v/>
      </c>
    </row>
    <row r="3581">
      <c r="A3581" t="inlineStr">
        <is>
          <t>自体</t>
        </is>
      </c>
      <c r="B3581" t="inlineStr">
        <is>
          <t>成功</t>
        </is>
      </c>
      <c r="C3581" t="inlineStr">
        <is>
          <t>読み方：じたい
［名］
１自分のからだ。
２もともとの本体。それ自身。多くは他の名詞のあとに付いて接尾語的に、関係する他の事柄から切り離して、そのものだけについていうときに用いる。「建物—はりっぱだが、内装が貧弱だ」
３もともとの性質。本性。根本。
「—は親に似て大臆病の者なりければ」〈仮・浮世物語・一〉
［副］もともと。そもそも。元来。地体。「こうなったのも、—君に責任がある」</t>
        </is>
      </c>
      <c r="D3581" t="inlineStr">
        <is>
          <t>自体が少ない；自体がすでに；自体が少なく；自体が難しい；自体が珍しい</t>
        </is>
      </c>
      <c r="E3581" t="inlineStr">
        <is>
          <t>たち；地；当初；本来；もともと</t>
        </is>
      </c>
      <c r="F3581" t="inlineStr">
        <is>
          <t>こと自体；建物自体；作品自体；番組自体；行為自体</t>
        </is>
      </c>
      <c r="H3581" t="n">
        <v>29</v>
      </c>
      <c r="I3581" t="inlineStr">
        <is>
          <t>ただし英語新聞も割合こそ減少しているものの部数自体は増加している。；東京文化財研究所には工事を実施すること自体が知らされていなかった。；パワードスーツ自体は民間で開発が進められており販売もされている。；その表自体はウィリアム・アウトレッドによって書かれたとされている。；そもそも直接打撃制ルール自体は寸止めルールよりもはるかに歴史は古い。；この病気自体が稀でもあるので、一般にはあまり周知されてはいない。；京都本線自体を指して、あるいはその支線を含めて通称京都線と呼ばれる。；また一点に力が集中するため、エネルギー自体は小さくてもあまり問題はない。；もっとも、1986年時点で業容自体はかつての規模に戻りつつあった。；自動放送装置が搭載されているが、装置自体は浅草線内しか対応していない。；それ自体はインタプリタの手法とも言えるしコンパイラの手法とも言える。；また測定の繰り返し自体によって物差しの磨耗が進行するかもしれない。；また国際SIL自体も、方言であるとの意見を排除しないと表明している。；このためアッシュル攻略自体にはバビロニア軍は直接関与していない。；ただし他党と比べて「専守防衛」の武力行使自体にもかなり慎重である。；また、ロンドン自体が巨大な消費市場であるため、商業活動も活発である。；弾性は性質を表す語であって、それ自体は数値で表される指標ではない。；しかし、これ以降もポリ塩化ビニル生産のために製造自体は継続されている。；マビカは画像をディスクに保存し画像自体はテレビに表示するものであった。；一般にはその店舗自体を指すが、運営企業を指す場合にも用いられる語である。；これら自体は基本的にはアルカリではないが、アルカリと呼ぶこともある。；ただしこの特徴自体は他国の弩級艦にもそれ以前から採用例がある。；そのため次第に外藩部では清朝の支配を受け入れていた要因自体が薄れていった。；なお、 自体はある種の樹木を指すローマ時代のラテン語 からである。；日本では、雨はそれ自体神格化されず、水神や龍神が司るものとされる。；プール自体は数年前から維持管理コスト削減のために利用されていない。；今日では型の試合も実施され、型の演武それ自体が一つの競技とされるに至っている。；また豊富な水資源自体も工業、特に半導体産業等に有利となっている。；陰陽道自体が時代毎に多様化したのに伴いその儀礼も一様ではない。</t>
        </is>
      </c>
      <c r="J3581">
        <f>HYPERLINK("https://www.weblio.jp/content/自体", "词义详情")</f>
        <v/>
      </c>
      <c r="K3581">
        <f>HYPERLINK("https://yourei.jp/自体", "查看例句")</f>
        <v/>
      </c>
    </row>
    <row r="3582">
      <c r="A3582" t="inlineStr">
        <is>
          <t>時代</t>
        </is>
      </c>
      <c r="B3582" t="inlineStr">
        <is>
          <t>成功</t>
        </is>
      </c>
      <c r="C3582" t="inlineStr">
        <is>
          <t>読み方：じだい
［名］
１社会構造・政治形態や文化・思想など、ある目安によって区分された、相当の長さの歴史的期間。年代。「—の流れ」「平安—」「封建—」
２何かの意味における一定の時の長さ。時勢。「—が変わる」「地方文化の—」「—の波に乗る」
３その当時。当代。特に、現代。「—の申し子」「—の先端を行く」
４人の一生におけるある時期。「幸福な—もあった」「学生—」
５時がたって古びていること。「—を帯びる」「—を感じさせる」
６「時代物」の略。
［形動］［文］［ナリ］物事のようすが古めかしく感じられるさま。また、古風で大げさなさま。
「—な劇(しばい)でも観ているかのような感想(かんじ)を与える」〈藤村・破戒〉</t>
        </is>
      </c>
      <c r="D3582" t="inlineStr">
        <is>
          <t>時代以降；時代以来；時代末期；時代初期；時代後期</t>
        </is>
      </c>
      <c r="E3582" t="inlineStr">
        <is>
          <t>時；とき；日；現在；時間</t>
        </is>
      </c>
      <c r="F3582" t="inlineStr">
        <is>
          <t>子供時代；古い時代；青年時代；小学生時代；旧石器時代</t>
        </is>
      </c>
      <c r="G3582" t="inlineStr">
        <is>
          <t>時代より；時代遅れ；時代背景；時代小説；時代の流れ</t>
        </is>
      </c>
      <c r="H3582" t="n">
        <v>29</v>
      </c>
      <c r="I3582" t="inlineStr">
        <is>
          <t>子どもに人気のある物語の中には非常に古い時代に書かれたものもある。；画像はこの時代に再建がなされたローマのサン・ピエトロ大聖堂の内部。；周が混乱の時代を迎えると、漢字は各地で独自の発展をすることになる。；未発見の時代にはそもそも知られておらず、七曜・九曜にも含まれない。；それ以前は地域や時代により様々に呼ばれていたものを総称したものである。；この時代のものをオペレーティングシステムとは呼ばない場合もある。；彼の時代から正式に皇帝の称号を使用し、西欧諸国からも認められた。；この時代には大規模な環濠集落が形成され軍事的な緊張があったと考えられる。；プレスリーのコンサートは時代を経て、大規模なものになっていった。；今日に続く日本人の生活様式もこの時代にルーツが求められるものが多い。；また、この時代にはフランスのシャルル・ペローが童話の基礎を築いた。；しかし、これ以降の時代には主に民衆から支持を得る形で小説が人気を得ていく。；この時代の重要な技術的発明としてはほかに、弦の張り方もあげられる。；その後、ナポレオン戦争時代を舞台にしたシリーズの連載を開始した。；バブル景気の時代に入ると道路の開発ラッシュで整備がさらに進んだ。；しかしこの名称がいつ生まれたか正確な時代は不明である。；後の時代、繰り返し生成・消滅している宇宙という考え方が成立したという。；ユーゴスラビア時代に存在した首相は存在せず、大統領が閣議を主催した。；古代以来の各時代や社会と建築の関係、工法の発達などを研究する。；繁栄の裏ではスレイマン時代に始まった宮廷の弛緩から危機が進んでいた。；画像は現在の盧溝橋で、章宗時代に完成したものが基礎となっている。；現時点ではこの時代がどのようなものになるかを決定することは極めて困難である。；こうして3つの国家、2つの国民、1つの民族と呼ばれる時代が始まる。；しかしこの時代に、現代に通じる計算理論と計算模型が考案されている。；オスマン帝国時代に、この地方を呼ぶ時に使ったことが国名の由来である。；よく使われる「五箇条の御誓文」などの呼称は、後の時代の通称である。；古代から江戸時代初期までは、各時代の中国暦を輸入したものが使われていた。；古代ギリシアではヘーシオドスの時代には知られ、やと呼ばれていた。；その他、連載時との時代相違を考慮した変更が行われている。</t>
        </is>
      </c>
      <c r="J3582">
        <f>HYPERLINK("https://www.weblio.jp/content/時代", "词义详情")</f>
        <v/>
      </c>
      <c r="K3582">
        <f>HYPERLINK("https://yourei.jp/時代", "查看例句")</f>
        <v/>
      </c>
    </row>
    <row r="3583">
      <c r="A3583" t="inlineStr">
        <is>
          <t>次第に</t>
        </is>
      </c>
      <c r="B3583" t="inlineStr">
        <is>
          <t>成功</t>
        </is>
      </c>
      <c r="C3583" t="inlineStr">
        <is>
          <t>読み方：しだいに
［副］
１物事の程度や状態が少しずつ変化・進行するさま。だんだんと。徐々に。「病気が—よくなっていく」
２序列・順序に従って物事をするさま。順々に。
「数(あまた)の検非違使(けびゐし)官人等、東西に—着(ちゃく)し並みたり」〈今昔・一七・二二〉</t>
        </is>
      </c>
      <c r="D3583" t="inlineStr">
        <is>
          <t>次第に大きく；次第に強く；次第に小さく；次第に近づい；次第に高く</t>
        </is>
      </c>
      <c r="E3583" t="inlineStr">
        <is>
          <t>ゆっくり；加えて；ゆっくりと；徐々に；ますます</t>
        </is>
      </c>
      <c r="F3583" t="inlineStr">
        <is>
          <t>あたり次第に；頃から次第に；次第に激しく；次第に失わ；次第に退縮</t>
        </is>
      </c>
      <c r="H3583" t="n">
        <v>29</v>
      </c>
      <c r="I3583" t="inlineStr">
        <is>
          <t>この電圧が次第に低くなっていく各段階のことを電圧階級と呼んでいる。；しかし物語が進むにつれて、次第に二人の精神から境界が失われていく。；このようにして、独自アーキテクチャの維持に次第に限界が見えてきた。；次第にパンとサーカスに没頭して働くことを放棄した者も増えていった。；次第に議会と国王との対立から議会の地位をめぐる議論が紛糾していった。；条例は後に廃止されたもののブームは次第に沈静化していくことになる。；大戦中に艦隊の偵察任務は空母搭載の艦上機へと次第に移行していった。；次第に灯篭も数十個と下げるようになり、力を競うようになっていった。；郷里の環境に身を置くことで、ミホの神経症状は次第に回復していった。；一国の首相や大統領が女性である国も次第に増えてきている。；その接客設備の良さから次第に特急列車にも使用されるようになった。；その後、両者は次第に混同されて同じ刑罰の別名とされるようになった。；しかし、1990年代に入ったころから次第に運用状況に変化が見られた。；この差は版を重ねるごとに増大して行くので、次第に目立つようになる。；中世の君侯に憧れ次第に精神を病んでいった王の夢の城とされている。；次第に辺りは東大阪市の古くからの住宅や工場が多くなってくる。；そして次第に音楽産業は印刷業者からレコード業界へと移っていった。；次第に集団であることが知られ始め、様々な軋轢を生むこととなった。；同一のデザインが世界中に現れ、バス製造は次第にグローバル化されている。；そのようなグループは次第に組織化されて学会となっていった。；それぞれの地域はこの頃から次第に独自の歴史性をもって分離していくことになる。；また、晩年になるにつれ次第に多調・無調的要素が大きくなっていった。；前方に見える高塚山や額取山が次第に近づいてくると磐梯熱海駅である。；しかし富野のそうした発言は次第にトーンダウンしていくことになる。；しかしこれらの分野でも次第にARMに市場を奪われていった。；気温の変化は次第に北上していき、冬から春、春から夏へと移り変わる。；そのため次第に高速バス路線が増加の傾向を見せる様になった。；そのため次第に外藩部では清朝の支配を受け入れていた要因自体が薄れていった。；当初は6大都市が対象で、次第に他の都市へも適用されていった。</t>
        </is>
      </c>
      <c r="J3583">
        <f>HYPERLINK("https://www.weblio.jp/content/次第に", "词义详情")</f>
        <v/>
      </c>
      <c r="K3583">
        <f>HYPERLINK("https://yourei.jp/次第に", "查看例句")</f>
        <v/>
      </c>
    </row>
    <row r="3584">
      <c r="A3584" t="inlineStr">
        <is>
          <t>慕う</t>
        </is>
      </c>
      <c r="B3584" t="inlineStr">
        <is>
          <t>成功</t>
        </is>
      </c>
      <c r="C3584" t="inlineStr">
        <is>
          <t>読み方：したう
［動ワ五（ハ四）］
１恋しく思う。懐かしく思う。「兄のように—・う」「遠い祖国を—・う」「灯火を—・って虫が飛んでくる」
２離れがたく思ってあとを追う。「飼い主を—・って、どこへでもついて来る」「赤ん坊が母を—・って泣く」
３目上の人の人格・識見などにひかれる。憧れる。「その徳を—・って人が集まる」</t>
        </is>
      </c>
      <c r="D3584" t="inlineStr">
        <is>
          <t>慕うべき；慕うあまりに</t>
        </is>
      </c>
      <c r="E3584" t="inlineStr">
        <is>
          <t>思う；恋愛；望む；尊敬；感心</t>
        </is>
      </c>
      <c r="F3584" t="inlineStr">
        <is>
          <t>恋慕う；呼んで慕う；呼び慕う</t>
        </is>
      </c>
      <c r="H3584" t="n">
        <v>29</v>
      </c>
      <c r="I3584" t="inlineStr">
        <is>
          <t>あたしを慕っているどこかの人からでももらったのかもしれなくってよ。；口にこそ出さね、どのように深く深く、あの人を慕っておりましたろう。；私の所によく遊びに来、私が特に何もしてやれないのに慕っていてくれる。；だからぼくの両親は、それらの子たちには、親のごとく慕われたらしい。；この王さまはひと目見たとたんにお慕いせずにいられない気持にさせる。；ヤマカーンを慕っており彼が負けた際は悲しんでいる様子を見せていた。；おそらく米友を送るべくそのあとを慕って行ったものと思われます。；わたしがあのかたをこれほどまでにお慕い申しあげたこともなかったのだ。；雨は降ってはいないが、濡れた空気が慕いよるように家の中へ入ってきた。；あれほど彼女を慕っていた猫たちも今では影も形も見えなかった。；これは彼がいかに村民に慕われていたかということを示す逸話と言える。；徐々に慕っていた、当時の監督野村克也との関係は険悪になっていった。；その三人の子供に慕われているわが身の仕合せを思って唄っているのか。；球界一の気配りが出来る男と称され、多くの選手たちから慕われている。；ひと回りも年上の姉なので、姉というより母親を慕う気持ちに近いのだ。；彼は、故郷を慕うのあまり、病気になればとさえ考えていたのでした。；厳格な政治で慕われた前王は、その息子、つまり今の王様に暗殺された。；今は、二人の女のお子は母君のあとを慕って、次々に世をさられました。；マリユスが彼女を慕い彼女を崇拝したのは、きわめて当然のことだった。；それは、何十人いた王の中には、立派な政治で国民から慕われた者もいたさ。；木の影は、こうして慕い寄った旅人をいこわせるには十分でありました。；ウィルヘルムを慕う心と頼る心とが重なって美しい魂の声となっている。；まだ夫もなく慕いよる男もなかったが、ある夜、若い男が娘を訪れた。；兄弟の中で一番兄と気があっていたから両親以上に慕っていた。；当初はK'を敵視していたが、後に和解して実の兄のように慕っている。；敵も少なくはない方だが、味方にはこのうえなく慕われておられる。；わたし、初めてお目にかかったときから、あなたをお慕いしていたのよ。；この人は一行の最年長でもあり、それまで仲間からいちばん慕われていた。；彼は学生服を纏った幼い少年の姿をし、ミコトを慕っているのであった。</t>
        </is>
      </c>
      <c r="J3584">
        <f>HYPERLINK("https://www.weblio.jp/content/慕う", "词义详情")</f>
        <v/>
      </c>
      <c r="K3584">
        <f>HYPERLINK("https://yourei.jp/慕う", "查看例句")</f>
        <v/>
      </c>
    </row>
    <row r="3585">
      <c r="A3585" t="inlineStr">
        <is>
          <t>下請け</t>
        </is>
      </c>
      <c r="B3585" t="inlineStr">
        <is>
          <t>成功</t>
        </is>
      </c>
      <c r="C3585" t="inlineStr">
        <is>
          <t>読み方：したうけ
［名］(スル)ある人や会社などが引き受けた仕事の全部または一部を、さらに引き受けてすること。また、その人。下請負。又請(またう)け。「—に出す」「建築工事を—している」</t>
        </is>
      </c>
      <c r="D3585" t="inlineStr">
        <is>
          <t>下請け業者(7%)；下請け工場(3%)；下請け仕事；下請け作業；下請け製造</t>
        </is>
      </c>
      <c r="E3585" t="inlineStr">
        <is>
          <t>下請；下請負</t>
        </is>
      </c>
      <c r="F3585" t="inlineStr">
        <is>
          <t>下請け生産；自動車下請け；下請け加工；下請けメーカー；下請け産業</t>
        </is>
      </c>
      <c r="G3585" t="inlineStr">
        <is>
          <t>下請け企業；下請けいじめ</t>
        </is>
      </c>
      <c r="H3585" t="n">
        <v>29</v>
      </c>
      <c r="I3585" t="inlineStr">
        <is>
          <t>今は役所の下請けをした青年団ももとのままではいられなくなって来た。；足袋生産の多くを下請け工場や内職従事者に依存した生産体制であった。；中にはそのような企業から下請けを行っていた会社の存在も指摘されていた。；この他にも本市やその周辺地域にはこの分野の下請け業者が存在している。；父は叔父が経営するマツダの下請けの会社の工場でずっと働いていた。；しかし彼らは地方の実情を知らなかったため、徴税権を下請けに出した。；四の橋のあたりにも、芝浦辺の大工場の下請け工場がいっぱいできた。；下請けはこんな金は出さなかったが、その分工事単価を切り詰められた。；主にギターメーカーのOEMや楽器製造下請けなどを行っている会社である。；ことによると母はその店から洗張りの下請けを受けていたのではないだろうか。；本田宗一郎も伊藤が下請けを請け負わないのを見て見ぬふりをしていた。；急速な成長を見せているのは欧州諸国の被服製造の下請け産業である。；雇っていたといっても社員ではなく、まあ一種の下請けのようなもんですがね。；母親は、通りの先の洋服屋の下請けをやり、週に十ドルをもらっていた。；この遅れの一部は原子炉建設で未熟な下請けの監督の欠如が原因であった。；この時拾い出した数量は実行予算の作成や下請け業者との契約の資料にもなる。；もちろんあまり大きな工場ではなく、どこかの大工場の下うけ工場にちがいない。；成り行きで、「組」の仕事の下請けのようなことをやるようになったのだ。；当初はビング社の下請けをしていたが、やがて独自の商品を製造するようになる。；また西松建設に限らず複数のゼネコンからの下請け業者ルートも報告された。；下請けとして主にゲームソフトやオンラインゲームの開発を行っていた。；中国のIT企業は下請け産業から脱却し完成品を作成する段階に移行している。；古山機械の下請けになるかどうか迷っていた小さな町工場の主人です。；設立当初は作画作業の下請け及びグロス請けを中心に活動していた。；戦後は大手ワインメーカーの下請けとしてワインの原酒製造を主に行っていた。；また、チリ向けの7mm弾用銃身は、ブラジルの下請け業者が製造した。；あの時分、手前どもではかなりたくさん下請けに出しておりました。；他社ブランドのゲーム下請け制作と自社ブランドのゲーム制作を行っている。；また、下請けの仕事量、ひいては雇用にも影響があるとの考えを示した。</t>
        </is>
      </c>
      <c r="J3585">
        <f>HYPERLINK("https://www.weblio.jp/content/下請け", "词义详情")</f>
        <v/>
      </c>
      <c r="K3585">
        <f>HYPERLINK("https://yourei.jp/下請け", "查看例句")</f>
        <v/>
      </c>
    </row>
    <row r="3586">
      <c r="A3586" t="inlineStr">
        <is>
          <t>従う</t>
        </is>
      </c>
      <c r="B3586" t="inlineStr">
        <is>
          <t>成功</t>
        </is>
      </c>
      <c r="C3586" t="inlineStr">
        <is>
          <t>読み方：したがう
［動ワ五（ハ四）］
１後ろについて行く。あとに続く。「案内人に—・う」「前を行く人に—・って歩く」
２沿う。たどる。「川の流れに—・って下る」「標識に—・って進む」
３他からの働きに順応する。
㋐法律・慣習・意見などに逆らわないでそのとおりにする。意のままになる。服従する。「法の定めるところに—・う」「指示に—・って行動する」「意向に—・う」
㋑ほかの力のままに動く。任せる。「風に—・う葦(あし)」
４
㋐応じる。また、順応する。「問いに—・って答える」「条件に—・って賃金が異なる」
㋑ならう。まねる。「見本に—・って作る」
５たずさわる。従事する。「業務に—・う」
６（「…にしたがい」「…にしたがって」の形で）…につれて。…とともに。「年をとるに—・い円満さを増してきた」「登るに—・って気温が下がる」
[可能]したがえる
［動ハ下二］「したがえる」の文語形。</t>
        </is>
      </c>
      <c r="D3586" t="inlineStr">
        <is>
          <t>従うべき(4%)；従うなら；従うしかない；従う者たち；従うべし</t>
        </is>
      </c>
      <c r="E3586" t="inlineStr">
        <is>
          <t>属する；守る；伴う；同行；適応</t>
        </is>
      </c>
      <c r="F3586" t="inlineStr">
        <is>
          <t>黙って従う；直ちに従う；おとなしく従う；従うつもりです；従うだけです</t>
        </is>
      </c>
      <c r="H3586" t="n">
        <v>29</v>
      </c>
      <c r="I3586" t="inlineStr">
        <is>
          <t>彼が議会に出席するために移動するときには100名近い人々が従った。；これらの提案に従う義務があるなどと感じたりするべきではありません。；ここより一歩先へ従い来る者は、信長に生命をも与えくれたる者と見ん。；この提案には異議も出ているが、多くの研究者はこの方法に従っている。；大学施設を独立した記事とする場合には別途設定されている基準に従う。；権力者の意に従わないかもしれないと少しでも思われた者は排除される。；その結果ジャッジがああいう結果を出して、僕はそれに従っただけです。；従わない場合は車両の使用停止などの行政処分が行われる可能性がある。；近年開通した路線や計画中の路線にはこの原則に従わないものもある。；いつだったか、誰かあの人の診察を受ける人に従いていったことがある。；本人曰く、幼い頃は大人の言っていることに従わない子供だったという。；これらの初期の写本に見られる図像学と文体の伝統の多くに従っている。；以下の記述は、会社法が施行されるまでの商法に従っていることに注意。；彼は兵士や民衆が自発的に自分の大義に従ってくれると思い込んでいた。；ユダの兄弟の一人であるヤコブは初期からイエスに従った弟子であった。；軍隊内での作戦命令は絶対であり、それに従っただけであることを主張した。；石鑑はこれに従ったが、髪を抜かれた長史はこの一件を石虎へ報告した。；しかしウルマの町は従わなかったので、これを破壊して再建を禁止した。；そうしてわしに従いてさえ来れば、お前もどんなことでも出来るのだよ。；これらの提案に、従う義務があるなどと感じたりするべきではありません。；航空機はこれらの制限に従いながら、目的地へ向かう航空路へ合流する。；ここでエドムは神に従った異邦人の残りのものを象徴的に指している。；元来、生物は無生物が持つ科学法則には従わないものと考えられていた。；彼らはその名が示す通り、聖書の教えに忠実に従おうとする人々である。；しかしながら、これは対抗宗教改革の方針に従おうとしたものではない。；しかし講師の指導内容に納得が行かず、従わない事がしばしばあった。；アメリカが1941年後半に参戦を決めると、フォードもそれに従った。；つまり指揮官は時には自らの判断に従いながら行動しなければならない。；その他、放送局から指定された事項があればそれに従うのは当然である。</t>
        </is>
      </c>
      <c r="J3586">
        <f>HYPERLINK("https://www.weblio.jp/content/従う", "词义详情")</f>
        <v/>
      </c>
      <c r="K3586">
        <f>HYPERLINK("https://yourei.jp/従う", "查看例句")</f>
        <v/>
      </c>
    </row>
    <row r="3587">
      <c r="A3587" t="inlineStr">
        <is>
          <t>下書き</t>
        </is>
      </c>
      <c r="B3587" t="inlineStr">
        <is>
          <t>成功</t>
        </is>
      </c>
      <c r="C3587" t="inlineStr">
        <is>
          <t>読み方：したがき
［名］(スル)
１清書の前に練習のためにかいてみること。また、そのかいたもの。
２一応かき上げてはあるが、まだ多少手を加える必要のある文章。草稿。「—に手を入れる」
３（「下描き」とも書く）絵をかくときに、あらかじめおおよその輪郭をかくこと。ラフスケッチの類。</t>
        </is>
      </c>
      <c r="D3587" t="inlineStr">
        <is>
          <t>下書き原稿；下書き段階</t>
        </is>
      </c>
      <c r="E3587" t="inlineStr">
        <is>
          <t>原稿；コピー；ドラフト；底本；スケッチ</t>
        </is>
      </c>
      <c r="H3587" t="n">
        <v>29</v>
      </c>
      <c r="I3587" t="inlineStr">
        <is>
          <t>元隣が京都六条の自宅で開催した百物語怪談会をもとにした書とされる。；また下書きをしないで最初から着色していくのもこの技法の特徴である。；それは現存している芥川の小説の下書きを見れば、ひと目で明らかです。；それも不可能の時には、下書きとテープとを渡してかんべんしてもらう。；それを我慢しながら私は机にむかってルポの下書きを書きはじめた。；二度目の時はチャイさんが書いた下書きを電話で読んでもらいました。；こうした終わりのない形式の曲はほかにもあり、単なる下書き・構想ではない。；朗読をいっしょにしたからアイアイガサだと短絡的に判断した書き主に。；覚書の下がきを探しているときに、ポケットからでも落ちたのだろう。；会員の誰かが作家論を下書きして意見を述べるということにした。；発表に先立って執筆されたとみられる下書きの草稿が現存している。；どういうわけか残っているのは、できの悪いレポートの下書きばかりである。；いずれ劣らぬしっかりした書ではあるが、いずれも俗書であるのが残念だ。；そして彼は今、一生懸命石盤の上にその下書きをしているところなのである。；下書きや清書の時の、勢いというか楽しさというか、その問題である。；この銘刻のうえに顔やヴェールが描かれ、下書きのようになる場合もある。；帳簿に記す際に抜けがあると修正が利かないので、下書きのようなものだ。；その主人からきっと下書きを作ってもらったんだわね。；彼が新聞に出そうと思った広告の下書きであった。；下書きに描かれた装置の数々は機能するように見えたが、実機の製作には成功していない。；ここに彼が共犯者たちあてに書いた二通の手紙の下書きがあります。；そのときの下野部分の下書き絵図が佐野椿田の福地家に伝えられている。；アララギ会に所属した事があり斎藤茂吉と九州の関係性を研究した書がある。；ほとんど完成していて、下の方に少し下書きを残すだけだった。；彼はまた、ロバーツ卿の徴兵制度を推進させるスピーチも下書きしていた。；この装置も設計前の下書きの段階で終わっている。；早速作曲を始め、下書きまで済ませたが、数年間放置されたままであった。；この青い書類がそうです、それからこちらが、ご説明したとおり、下書きです。；何枚書くかなどは気にせず、下書きの準備を始めた。</t>
        </is>
      </c>
      <c r="J3587">
        <f>HYPERLINK("https://www.weblio.jp/content/下書き", "词义详情")</f>
        <v/>
      </c>
      <c r="K3587">
        <f>HYPERLINK("https://yourei.jp/下書き", "查看例句")</f>
        <v/>
      </c>
    </row>
    <row r="3588">
      <c r="A3588" t="inlineStr">
        <is>
          <t>従って</t>
        </is>
      </c>
      <c r="B3588" t="inlineStr">
        <is>
          <t>成功</t>
        </is>
      </c>
      <c r="C3588" t="inlineStr">
        <is>
          <t>読み方：したがって
［接］《動詞「したがう」の連用形＋接続助詞「て」から》前の条件によって順当にあとの事柄が起こることを表す。だから。それゆえ。「この品は手作りだ。—値が高い」</t>
        </is>
      </c>
      <c r="D3588" t="inlineStr">
        <is>
          <t>従って又；従って吾；従ってもし；従って我々；従ってわれわれ</t>
        </is>
      </c>
      <c r="E3588" t="inlineStr">
        <is>
          <t>そこで；だから；それで；なので；合わせて</t>
        </is>
      </c>
      <c r="F3588" t="inlineStr">
        <is>
          <t>従って穀物；従って主観；従って地主；従って本書；従って労働</t>
        </is>
      </c>
      <c r="H3588" t="n">
        <v>29</v>
      </c>
      <c r="I3588" t="inlineStr">
        <is>
          <t>従って地下川へ訪れるのはプエルト・プリンセサから丸一日仕事である。；従って予定されている全ての放送内容は時間遅れで全て放送される。；従ってその各段階に分けて人間の成長を理解することが重要視される。；従ってこの実身数制約を拡張するためには、再設計と実装が必要である。；従ってレコードを針を上げない限りこの音をずっと聴くことができる。；従って、かつての戦艦に相当するような艦と解釈するのは誤解である。；従って、種子が好適な場所に到達する何らかの手段がなければならない。；従って、この文書は不完全な文書をベースに作られたとも考えられる。；従って、各巻を続けてプレイすればそれだけ楽しめるようになっている。；従って、上式のような関係は一般には成立できないと考えられた。；従って水酸化マグネシウムの第二段階塩基解離定数は以下のようになる。；従って、劇場版では当初の構想を忠実に反映させた話の流れとなっている。；従って、具体的事件の捜査についての指示や命令行うことはできない。；従ってここではタブラチュアなどに記録されたものを対象に述べることになる。；従ってほとんどの場合、別の金属を添加した合金を用いて装飾品を作る。；従って当市から空港に行くのはバスや車の利用が多くなる。；従って新しい理論はしばしば古い理論の見かけをもっている。；従って、最高裁判所は、両説を折衷した立場にあると考えることができる。；従って上手く敵を囲むことで連続してコンボを発動させることも出来る。；従って他のマーラーの歌曲と違って順序どおり演奏するのが常識である。；従って、登山計画書は警察だけでなく家族にも渡しておくことが重要である。；従って場所によっては1度でもミスをするとクリアが著しく困難になる。；従ってまず、現地で停戦協定を実行して空気を緩和することが重要である。；従って一旦海に流されれば、生存できる可能性はほとんどないといえる。；従って 本記事の中での用語を以下のように統一する。；従って、表面をきれいにすることが保存性を高めるのに効果がある。；従って多数決の方法を変えれば、それに応じて多数派も変わってしまう。；従って右辺の定数はエントロピーに指数的に依存していることが分かる。；従って、この見解によっても意思の内容は相当抽象的にならざるを得ない。</t>
        </is>
      </c>
      <c r="J3588">
        <f>HYPERLINK("https://www.weblio.jp/content/従って", "词义详情")</f>
        <v/>
      </c>
      <c r="K3588">
        <f>HYPERLINK("https://yourei.jp/従って", "查看例句")</f>
        <v/>
      </c>
    </row>
    <row r="3589">
      <c r="A3589" t="inlineStr">
        <is>
          <t>下着</t>
        </is>
      </c>
      <c r="B3589" t="inlineStr">
        <is>
          <t>成功</t>
        </is>
      </c>
      <c r="C3589" t="inlineStr">
        <is>
          <t>読み方：げちゃく
都から地方に向かい、目的の地に着くこと。
「家の子若党を引きつれ、那須野の原に—して」〈虎明狂・釣狐〉</t>
        </is>
      </c>
      <c r="D3589" t="inlineStr">
        <is>
          <t>下着姿(7%)；下着類(4%)；下着ブランド；下着屋；下着売り場</t>
        </is>
      </c>
      <c r="E3589" t="inlineStr">
        <is>
          <t>肌着；襦袢；インナー；襯衣；下着類</t>
        </is>
      </c>
      <c r="F3589" t="inlineStr">
        <is>
          <t>新しい下着；女性用下着；黒い下着；薄い下着；赤い下着</t>
        </is>
      </c>
      <c r="G3589" t="inlineStr">
        <is>
          <t>下着メーカー；下着モデル；下着フェチ</t>
        </is>
      </c>
      <c r="H3589" t="n">
        <v>29</v>
      </c>
      <c r="I3589" t="inlineStr">
        <is>
          <t>被害者の制服は泥で汚れ激しく争った跡があり下着は持ち去られていた。；何らかの意図を政治的に示すために下着のみになることも広く行われている。；下着姿になり、脱いだ服を片手に持ち、彼女は奥の階段を駆け上がった。；この流れの中で初めから見せることを考えて作られた下着も広まった。；夏の暑い日などには下着のみで生活するのが常識である地域や民族もある。；二人は下着だけになると、床の上にひろげられた気密服の上に横になった。；彼女は私にシャツを七枚と、それから下着などをこしらえてくれました。；古代社会では、男性だけでなく女性もこのような下着を着用していた。；中央は吸収させる部分でサイドや裏面は下着への固定する役割がある。；全てのパーティの客が下着姿になってガガの周りで踊ったりキスをする。；その代りたくさんの古雑誌と手紙の束が、下着類の間からこぼれ出した。；誰もいないと思っていた部屋の中に、下着一枚の女がいました。；このときシエラはメイド服に変身するが下着はこの限りではないようだ。；そして下着だけになった時、スウ・リンが衣裳や何かを抱えて戻ってきた。；突然、私の性欲が昂奮し、一瞬のうちに下着を汚してしまったのである。；そのため、描写によっては下着をはいてないようにも見える場合がある。；血にそまったエナコの着物は耳男がいま下着にして身につけているのがそれよ。；清潔な下着と制服と勲章を二〜三お召しになれば、まだ現役の国王です。；かつて、人が生きることができない地上に都市を築こうとした着たちがいた。；ディスクジャケットはタイトル色の下着を着た女性が被写体となっている。；物資不足の中、下着も不足し、古くなった服を再加工したものも使われた。；もう一人の方が、かれの脱いだ服と下着を洗濯の仕切りへと持っていった。；靴や下着はインナーに分類され、条件を満たした場合のみ変更可能となる。；履いているのはやはりショートパンツではなく下着のトランクスだった。；大戦中に合成法が開発されたレーヨンも下着に使われるようになる。；この村で作られたレース下着は日本にも輸出されている。；日本の場合は、艦長ですら自分の下着は自分で洗濯せねばならないほどであった。；本番の時にはもちろん服を着ていたが、下着ははいていなかった。；そのため男性用の下着には、陰茎を出すための前開きが作られていることが多い。</t>
        </is>
      </c>
      <c r="J3589">
        <f>HYPERLINK("https://www.weblio.jp/content/下着", "词义详情")</f>
        <v/>
      </c>
      <c r="K3589">
        <f>HYPERLINK("https://yourei.jp/下着", "查看例句")</f>
        <v/>
      </c>
    </row>
    <row r="3590">
      <c r="A3590" t="inlineStr">
        <is>
          <t>支度</t>
        </is>
      </c>
      <c r="B3590" t="inlineStr">
        <is>
          <t>成功</t>
        </is>
      </c>
      <c r="C3590" t="inlineStr">
        <is>
          <t>読み方：したく
［名］(スル)
１予定されている物事を実行するのに必要なものをそろえること。準備。用意。「出張の—に追われる」「夕食を—する」
２外出するために身なりを整えること。身じたく。「出かけるから早く—しなさい」
３食事をすること。
「空腹となりたるに、—せんとこの茶屋にはいれば」〈滑・膝栗毛・七〉</t>
        </is>
      </c>
      <c r="D3590" t="inlineStr">
        <is>
          <t>支度金(3%)；支度料；支度しろ；支度をいいつけ；支度を改めて</t>
        </is>
      </c>
      <c r="E3590" t="inlineStr">
        <is>
          <t>考える；用意；準備；作る；備え</t>
        </is>
      </c>
      <c r="F3590" t="inlineStr">
        <is>
          <t>お支度；冬支度；嫁入り支度；すぐに支度；戦支度</t>
        </is>
      </c>
      <c r="H3590" t="n">
        <v>29</v>
      </c>
      <c r="I3590" t="inlineStr">
        <is>
          <t>オリヴィエが学校へもって行くべき荷物を支度しなければならなかった。；死んでいる筈なのに彼女は美しく、旅に出る支度をするように彼に告げた。；冬のさなかというのに、自然は、もう春の支度をしているのであります。；ひょっとすると、今ごろはもう号外を出す支度でもしているかも知れん。；女が夕食の支度をする間、男は腕附きの椅子に腰を掛けてじっとしている。；自分は客と話しながら、入院の支度を急いでいる妻や伯母を意識していた。；そのとき与平が、茶の支度をして炉端からこっちへ来るところであった。；それぢやね、行くから、支度をして待つてゐるやうにツて言つてお呉れ?；さうしてかねて接見の日と披露されてゐる明日の支度にとりかかつた。；食事の支度だけではなく、オックスを驚かせる仕掛けも準備されている。；そこで甚八が支度をととのえて大きな台所へでてみると、これは驚いた。；夕食の支度中や夕食が済んだ後でも、夕食に何を食べるかを紹介する。；この土地は亡くなった父が、僕の妹の嫁入り支度に買ってやったものです。；内藤君はご機嫌のかわらない中にと思って、すぐに支度をしてしまった。；節子は庭から縁側に上って、昼飯の支度をするために勝手の方へ行った。；材料持ちで、ホテルからでもコックを呼んで支度をさせたのだろうか。；自分は大きな油紙に重い雨合羽まで支度して、役にも立たぬ苦労をした。；女は微笑を湛えたまま、何かお支度をしておきましょうか、と云った。；ぎんはわくわくしながら、手紙をよむとすぐに支度をして送ってやった。；招待することに定めてあったと見えて、細君が支度をして待っていた。；私のなさねばならぬ務めは、その実の日に備えるための最初の支度である。；興醒めた気持になって今井田は服に着替えて出勤の支度をし始めました。；二人のお客は、彼が料理番に食事の支度を言いつけている声を聞いた。；「裏で支度をしているところでさ」と、萩野はそっと裏口の方を指した。；故に十二、三歳にもなると、子どもはもうそろそろ若者入りの支度をする。；その日は暮の三十一日で警察ではどこでもかしこでも正月の支度だった。；お客の給仕は彼女の役目であるので、お菊はすぐに茶の支度にかかった。；娘は棚から茶道具をとりおろして来て、すぐに茶をいれる支度にかかった。；それから三日めの朝、やはり出仕の支度をしている時のことだった。</t>
        </is>
      </c>
      <c r="J3590">
        <f>HYPERLINK("https://www.weblio.jp/content/支度", "词义详情")</f>
        <v/>
      </c>
      <c r="K3590">
        <f>HYPERLINK("https://yourei.jp/支度", "查看例句")</f>
        <v/>
      </c>
    </row>
    <row r="3591">
      <c r="A3591" t="inlineStr">
        <is>
          <t>自宅</t>
        </is>
      </c>
      <c r="B3591" t="inlineStr">
        <is>
          <t>成功</t>
        </is>
      </c>
      <c r="C3591" t="inlineStr">
        <is>
          <t>読み方：じたく
自分の生活の本拠となっている家。自分の家。「—療養」「—待機」</t>
        </is>
      </c>
      <c r="D3591" t="inlineStr">
        <is>
          <t>自宅近く；自宅アパート；自宅兼；自宅付近；自宅スタジオ</t>
        </is>
      </c>
      <c r="E3591" t="inlineStr">
        <is>
          <t>家；室；屋；館；居</t>
        </is>
      </c>
      <c r="F3591" t="inlineStr">
        <is>
          <t>兼自宅；自宅監禁；自宅住所；自宅裏；自宅療養</t>
        </is>
      </c>
      <c r="G3591" t="inlineStr">
        <is>
          <t>自宅療養；自宅軟禁；自宅待機；自宅謹慎；自宅サーバ</t>
        </is>
      </c>
      <c r="H3591" t="n">
        <v>29</v>
      </c>
      <c r="I3591" t="inlineStr">
        <is>
          <t>また一つだけあるボタンを押すことで、現代の自宅に戻ることができる。；そこで鳥の声のレコードを買ってきて、自宅で一日中流し続けていた。；ロシアの自宅では、アップライトピアノで練習していたといわれている。；父は何も仕事をせず、常に自宅におり、家族は軍人恩給で生活していた。；個人で撮影した画像を自宅のプリンターで印刷することが一般的になった。；買った本を自宅に置いたまま、職場や旅行先でも読める新たなサービス。；通夜は教会で行われるとは限らず、自宅や葬儀場で行われることもある。；関係者の話によると自宅のソファーの上で死亡したとのことである。；仕事を終えて自宅に戻ると、決まってそれらの樹と話をするという。；独特の雰囲気を求めて、駅周辺に自宅や勤務先がなくても訪れる人も多い。；その後、奥田は友人宅へ泊まり、翌日自宅に帰ったところを逮捕された。；雄は初子の身体を強く抱きしめ、家族だけに見送られて自宅を後にする。；友達と遊ぶのと違い、公園・自宅前での一人遊びは放置子に見られやすい。；残された時間を家族と過ごすために退院してウンケルの自宅に隠棲した。；放送が自宅で見られるよう配慮し、始業時間を繰り下げた企業もあった。；母親は音楽好きであり、自宅には洋輔が生まれたときからピアノがあった。；また、自宅から至近距離に生家のあった福田英子にも強い関心を抱いた。；ほかにも宇宙への関心が非常に強く、自宅に天文台が設置されている。；鎌倉市の自宅で家族と最後の時間を過ごした後、サイパン島に着任する。；同年、日本宣伝美術協会九州地区委員となり、自宅を小倉事務所とした。；サイゴン陥落時、自宅から大量の金塊を運んで逃亡しようとしたとされる。；錘は自宅での実験と同じものを、弦は長さ11mのワイヤーに変更した。；その後は弟子や昔の友人と団欒をし、同年12月10日に自宅で死去する。；晩年は信仰に拠り所を求め、ハンブルク近郊にあるの自宅で妻と暮らした。；プレスリーは自宅であるグレイスランドの敷地内に専用コートを建てた。；自宅に不審者が押し入る事件も発生したが、大事もなく解決している。；同年9月29日午後、自宅で意識を失っているところを家人に発見される。；当時、自宅に電話を引いてなかったため受賞連絡は電報で知らされた。；ここでヴァラドンは自宅にアトリエを構え、絵画に専念するようになる。</t>
        </is>
      </c>
      <c r="J3591">
        <f>HYPERLINK("https://www.weblio.jp/content/自宅", "词义详情")</f>
        <v/>
      </c>
      <c r="K3591">
        <f>HYPERLINK("https://yourei.jp/自宅", "查看例句")</f>
        <v/>
      </c>
    </row>
    <row r="3592">
      <c r="A3592" t="inlineStr">
        <is>
          <t>下心</t>
        </is>
      </c>
      <c r="B3592" t="inlineStr">
        <is>
          <t>成功</t>
        </is>
      </c>
      <c r="C3592" t="inlineStr">
        <is>
          <t>読み方：げしん
したごころ。内心。心がけ。
「—を悟って間夫ある事を察し」〈浮・禁短気・一〉</t>
        </is>
      </c>
      <c r="D3592" t="inlineStr">
        <is>
          <t>下心があつ</t>
        </is>
      </c>
      <c r="E3592" t="inlineStr">
        <is>
          <t>考え；つもり；意向；内心；悪意</t>
        </is>
      </c>
      <c r="F3592" t="inlineStr">
        <is>
          <t>そんな下心；たいという下心；妙な下心；どんな下心；そういう下心</t>
        </is>
      </c>
      <c r="H3592" t="n">
        <v>29</v>
      </c>
      <c r="I3592" t="inlineStr">
        <is>
          <t>下心がなかったと言えば嘘になるが、明確な意図があったわけじゃない。；こうやって昼食にさそったのも何か下心があってのことではなかったか。；おそらく、経営者のほうには、何かの下心があったのではないかと思う。；はっきりとした心の理論をもっているのは、人類だけだと考えてよい。；しようという下心で近づいてくる人と、そうでない人とは、わかるのよ。；副社長が彼女を秘書にする際には、何か、下心でもあったのではないか。；お二人をくっつけられるんじゃないか、という下心があってのことです。；この怒りとこの涙は、彼の熱した心に氷をのせたようなものだった。；妹は小さい頃から、すり寄ってくる人間の下心が見えると駄目なんです。；そして、自分が下心でしか動かない人間であることを認めていないからです。；女性なら一発で見抜けるのに、男性には女性の下心は見抜けないのです。；「少しのんびりしててもいいわ」彼女の下心は読まずともわかっていた。；ともかく、藤原が母に妙な下心は抱いていないことは分ってホッとした。；利用する下心から目をかけてやるとしたら、罠にかけるようなものだ。；しかし、何処にもさうした心の現はれを私は発見することが出来なかつた。；女房の働いている所へ客となってゆくのは気がさすが、今晩は下心があった。；幸子にこのような下心があれば、姑への協力は吝かではなかったはずだ。；こう申しあげたからといって、なにも下心があるわけじゃありませんのよ。；それは別に上役のご機嫌を取ろうなどという下心あってのことではない。；未婚の母と幼い一人娘とのほのぼのとした心の交流と成長を描いた作品。；しかし女は下心のために愛してもいない人を愛しているふりなどしてはいけないのである。；いや、考えるというほど、はっきりした心の働きがあるわけではない。；要するに何とかして早くこの学生は文壇に出たい下心なんだな、と感じた。；それも、何かおのれのためになすあらんとする下心のためではない。；不幸にして、私が消えたのは、下心があったわけではありません。；その下心があって、旅行の件はだれにも言ってはならないと口止めをしておいた。；それも、なにか下心があって、わざとそうしているのかもしれない。；少なくとも今度の殺人事件はそうした犯人の下心があったんじゃないかと思うんだ。；松陰の三人の妹たちは、いずれもしっかりした心構えを養われていた。</t>
        </is>
      </c>
      <c r="J3592">
        <f>HYPERLINK("https://www.weblio.jp/content/下心", "词义详情")</f>
        <v/>
      </c>
      <c r="K3592">
        <f>HYPERLINK("https://yourei.jp/下心", "查看例句")</f>
        <v/>
      </c>
    </row>
    <row r="3593">
      <c r="A3593" t="inlineStr">
        <is>
          <t>下地</t>
        </is>
      </c>
      <c r="B3593" t="inlineStr">
        <is>
          <t>成功</t>
        </is>
      </c>
      <c r="C3593" t="inlineStr">
        <is>
          <t>読み方：げじ
１菩薩(ぼさつ)の十地(じゅうじ)のうち、下等の地位。
２地上の世界。下界。
「—の人、何をか行きて供養する事を得ん」〈今昔・三・三四〉
３下級の地位。低い身分。
「—の者なりけれども、心ざま事に触れて尋常なりける」〈沙石集・七〉</t>
        </is>
      </c>
      <c r="D3593" t="inlineStr">
        <is>
          <t>下地点(10%)；下地窓；下地っ子；下地作り；下地車</t>
        </is>
      </c>
      <c r="E3593" t="inlineStr">
        <is>
          <t>中心；地；条件；基本；傾向</t>
        </is>
      </c>
      <c r="F3593" t="inlineStr">
        <is>
          <t>そういう下地；直下地上子；外壁下地；下地点周辺；下地ニヤ</t>
        </is>
      </c>
      <c r="G3593" t="inlineStr">
        <is>
          <t>下地島；下地幹郎；下地島空港；下地町；下地敏彦</t>
        </is>
      </c>
      <c r="H3593" t="n">
        <v>29</v>
      </c>
      <c r="I3593" t="inlineStr">
        <is>
          <t>下地案では更に赤字地方空港への一部発着便の移転を並行して実施する。；さうした地の生活を持つて生きて行く女となつて居たといふことである。；そして恋人の言葉に耳を傾けられるような下地を作っておいてください。；この両者がどこかで出会ったとすれば、結びつく下地はあったと言える。；まるで、ちゃんとした地面の上を歩くようなしっかりした足どりだった。；彼らが停泊した地はパタゴニアでも中部よりやや南の今で言うであった。；そこへ目を向けたことが、結局、知識を重視する下地を作ったのです。；ただし、低視認性を意識し下地は緑で、その周りを陸軍の場合赤で囲む。；また塗装も下地をかけてからもう一度塗装するなどの気配りをしている。；これは生れ変らない前の彼の体験がむしろ下地になっていたようだ。；本格的な渡世人とは言えないが、その下地だけは完全にできていたのである。；いずれにせよ、現在の国際的流行の下地を作ったのはイギリスである。；それは後のことだが、下地の相談は、すでにこの頃からあったかも知れない。；徐々に下地をつくっても、彼女のほうから別れをいいださない場合がある。；子供屋の下地っ子が茶店に寄るというなら一緒に行ってもよかったんだ。；中谷雄太の郷里には、動機を培うような下地はなにも発見されなかった。；なお、このユニット名の由来はアニミズムの思想が下地になっている。；また、物語の下地となりうる軍中記を利用したとも考えられていない。；そしてその第一に見出した地に基いてこれにカナヤマシダの名を付けた。；加えて識字力の発達が、キリスト教に関連する文学が発生する下地を作った。；これは1750年ごろに建てられたと思われ、楢下地内で一番古い建屋。；また、軍記物語の下地となりうる軍注記を利用したとも考えられていない。；リヒテンシュタインの国旗は、青と赤の二色が下地を占める旗である。；はじめは下廻りをやらされたが、見よう見まねで下地が身についていた。；日本軍が一度占領した地を敵に奪還されることもあり得るものか?；ひんやりとした地下の空気が、一転して、身を切るほどの風に変わった。；紘子が敏郎の愛人になったのは、そんな憧れの下地があったからだった。；後に武帝が病のために軍を返すと、李穆は獲得した地を放棄して撤退した。；ハルペーの落下地点に、他の単位規模のクラウドセルが存在しないのだ。</t>
        </is>
      </c>
      <c r="J3593">
        <f>HYPERLINK("https://www.weblio.jp/content/下地", "词义详情")</f>
        <v/>
      </c>
      <c r="K3593">
        <f>HYPERLINK("https://yourei.jp/下地", "查看例句")</f>
        <v/>
      </c>
    </row>
    <row r="3594">
      <c r="A3594" t="inlineStr">
        <is>
          <t>親しい</t>
        </is>
      </c>
      <c r="B3594" t="inlineStr">
        <is>
          <t>成功</t>
        </is>
      </c>
      <c r="C3594" t="inlineStr">
        <is>
          <t>読み方：したしい
［形］［文］した・し［シク］
１互いに打ちとけて仲がよい。懇意だ。「家族ぐるみで—・くしている」「—・い友達」
２血筋が近い。「—・い縁者」
３いつも接していて、なじみ深い。「子供のころから耳に—・いおとぎ話」→親しく
[派生]したしげ［形動］したしさ［名］</t>
        </is>
      </c>
      <c r="D3594" t="inlineStr">
        <is>
          <t>親しい友人(15%)；親しい間柄(7%)；親しい関係(6%)；親しい人(3%)；親しい仲(3%)</t>
        </is>
      </c>
      <c r="E3594" t="inlineStr">
        <is>
          <t>近い；身近；友好；親密；密接な</t>
        </is>
      </c>
      <c r="F3594" t="inlineStr">
        <is>
          <t>ごく親しい；とも親しい；特に親しい；一番親しい；非常に親しい</t>
        </is>
      </c>
      <c r="H3594" t="n">
        <v>29</v>
      </c>
      <c r="I3594" t="inlineStr">
        <is>
          <t>その手紙は私のいちばん親しかった青年時代の友から来たものだった。；幕下時代に親しくなった女性と結婚し、子供もいたがその後に離婚した。；土も水も生きてゐるもののやうな親しさと温かさとを彼は直接胸に感じた。；クリストフはまた彼の腕をとって、このうえもなく親しげに話しだした。；久しぶりに顔を合わせた夫婦は、周囲が驚くほど親しげな様子を見せた。；わけの分らない親しさが、不意に湧いたように、二人の間を流れていた。；一人の女が僕に親しげに微笑をしながら僕とすれちがつて行つたのは。；死がいかにも親しそうにすり寄ってきているような感じがよぎっていた。；わたしは彼女と親しかったが、ほんとうによく知っていたとはいえない。；部屋を下見に来た当初から、清美はこの番号に妙な親しさを覚えていた。；一隅に対坐して親しげに話し合っている二人と反対側の隅に座をしめた。；親しかっただれもかれもいなくなってしまってなお、世界はありうるのか。；親しい立場にあった漫画家でさえ本当の年齢を知って驚いたほどであった。；従姉弟のことだ、自分との結婚以前にはどんなに親しかったか知れない。；まるで自身の父か叔父のことでも話すやうな親しさと楽しさを以つて。；が、すぐに自分と親しかった大吉の父のことが頭をかすめたのであろう。；そして、2014年にイタリアで親しい友人や家族に囲まれて結婚した。；以前は親しかったのですから、誤解されても仕方がなかったでしょう。；親と子が、兄と妹が、先生と生徒が、毎日を親し気な顔で共にしていた。；親しげな笑みを浮かべてこっちに向かってぶんぶんと手を振っている。；艦隊本部にあってさえ、親しさが軽蔑につながることがあるのだろうか?；私は長いこと親しく交わり、訪問すると必ずといってよいほど連泊した。；ふたりの男が親しげに挨拶をかわす態度に、わたしは仰天してしまった。；日ごろは雲の上にいた重役たちまでが親しげに声をかけるようになった。；女は親しげに手をあげて笑みをむけると、ガードレールから腰をあげた。；あんたと親しげにいわれたのが、はだをなでられたように感じられた。；このような気持は、編集者に対する親しさだけで説明されるであろうか。；親しそうな笑いのためにすぐにあとの言葉がつづけられないのだ。；つまりは、それほど親しかったわけでもないのだろう、と白木は思った。</t>
        </is>
      </c>
      <c r="J3594">
        <f>HYPERLINK("https://www.weblio.jp/content/親しい", "词义详情")</f>
        <v/>
      </c>
      <c r="K3594">
        <f>HYPERLINK("https://yourei.jp/親しい", "查看例句")</f>
        <v/>
      </c>
    </row>
    <row r="3595">
      <c r="A3595" t="inlineStr">
        <is>
          <t>親しむ</t>
        </is>
      </c>
      <c r="B3595" t="inlineStr">
        <is>
          <t>成功</t>
        </is>
      </c>
      <c r="C3595" t="inlineStr">
        <is>
          <t>読み方：したしむ
［動マ五（四）］
１親密に接する。親しくする。「子供たちに—・まれる遊び」「幼いころから—・んだ友」
２いつも接してなじむ。「読書に—・む」「自然に—・む」
[可能]したしめる</t>
        </is>
      </c>
      <c r="D3595" t="inlineStr">
        <is>
          <t>親しむべき(2%)；親しむべく；親しむといふこと；親しむべし；親しむこと十</t>
        </is>
      </c>
      <c r="E3595" t="inlineStr">
        <is>
          <t>馴染む；なじむ；打ち解ける；慣れ親しむ；親しく接する</t>
        </is>
      </c>
      <c r="F3595" t="inlineStr">
        <is>
          <t>馴れ親しむ；親しめば親しむ；相親しむ；なれ親しむ</t>
        </is>
      </c>
      <c r="H3595" t="n">
        <v>29</v>
      </c>
      <c r="I3595" t="inlineStr">
        <is>
          <t>子供の頃から自然に親しんだ生活を送り、小動物や昆虫採集をしていた。；父親はレース製造の工場を経営していて、幼い頃から工芸品に親しんだ。；この占領の数年ほど、日本人が日常に英語に親しんだ時期はありません。；同じ政治団体に属していたけれども、二人は少しも親しんでいなかった。；同じ政治団体に属してゐたけれども、二人は少しも親しんでゐなかつた。；これまで一度も声をかけたことはないが、その子供の顔も親しんできていた。；その父からチケットをよくもらっていたことから幼い頃から映画に親しむ。；しかも本に対するこの感覚は本に親しむことによって得られるのである。；クラブ・バンドのシンガーだった父親の影響で幼い頃から歌に親しむ。；このような中年の夫が「妻と親しむ」とすれば、旅に出る以外にはない。；翌年大勢の人々がここに入植し、この場所の長所に親しむようになった。；幼い頃からソフトボールには親しんでいたが、野球は未経験のまま入部。；けれども平素我々が親しんでいる共通の表情というものがほとんど無い。；古典に親しむことを忘れた人間はどんどん変な方向に走っていってしまうんだわ!；従って私は、その頃鏡花に親しんだことを一種の幸福だったと思っている。；女がますます影と孤独にのみ親しんだ夜の存在のように思えてきた。；余は東京で買った文学書類に親しんだり、文章を書いて見たりした。；家臣らも、武の道とは別にこれら文化に親しんだことが伝わっている。；しかしそれよりももつと好いのは、自ら手を下して土に親しむことだ。；母親と長兄も画家だったこともあり、幼い頃から絵画に親しんでいた。；両親はロシアからの移民で、幼い頃からSF小説などに親しんで育った。；また、地元の人が敬い親しんだ山から祖父と付けられたともいわれる。；ただやや静かな心持で余は書物に親しんで居ったように記憶して居る。；喘息持ちで外で遊べなかったせいで子供の頃から映画に親しんでいた。；スポーツは何でも好きで、小さい頃からいろいろなスポーツに親しんでいた。；たしかにこの捜査は、もっともなれ親しんだ雰囲気のなかで展開されている。；過去十四五年の間に私は二三度も此處に來てこの大きな眺めに親しんだものである。；人々は中国風の装飾が施された部屋に着飾って集まり、これに親しんだ。；釣りはさることながら、私は旅先でそこの風景に親しむのが好きである。</t>
        </is>
      </c>
      <c r="J3595">
        <f>HYPERLINK("https://www.weblio.jp/content/親しむ", "词义详情")</f>
        <v/>
      </c>
      <c r="K3595">
        <f>HYPERLINK("https://yourei.jp/親しむ", "查看例句")</f>
        <v/>
      </c>
    </row>
    <row r="3596">
      <c r="A3596" t="inlineStr">
        <is>
          <t>下調べ</t>
        </is>
      </c>
      <c r="B3596" t="inlineStr">
        <is>
          <t>成功</t>
        </is>
      </c>
      <c r="C3596" t="inlineStr">
        <is>
          <t>読み方：したしらべ
［名］(スル)
１あらかじめ調査しておくこと。「ロケ地を—しに行く」
２学習をする部分をあらかじめ勉強しておくこと。予習。</t>
        </is>
      </c>
      <c r="D3596" t="inlineStr">
        <is>
          <t>下見；下準備；下ごしらえ；事前調査；事前準備</t>
        </is>
      </c>
      <c r="H3596" t="n">
        <v>29</v>
      </c>
      <c r="I3596" t="inlineStr">
        <is>
          <t>下調べなんてやってたら他の連中に食われるってのが分からねえんだよ。；それは公判の下調べと言うので遠く馬車を駆って裁判所まで行ったのだ。；そういう折りから下調べをおこたってきた生徒たちは小さくなっている。；昨日の下調べは今日の会議のための、言わばシナリオを作るためである。；驚きを浮かべているものが大半で、そうでない人たちは下調べをしてきたのか。；とにかく実際は本郷はあの劇場を下調べして、その上で脚本を書いた。；辰代と澄子とが茶の間で、一人は裁縫を一人は学校の下調べをしていた。；堂本はあたしのパソコンを使って、ネットで下調べをしてたみたいなの。；白星を取るために、字引がボロボロになるほど下調べをして教室に出る。；彼はネットでの下調べで、躍動的な羽犬の姿を見て魅了されたという。；彼女は何の下調べもしないで、オレたちに依頼をしてきたような感じがしないか?；彼らのたまり場がすぐに判明したのも、事前に下調べがなされていたからだろう。；与力が下調べをしたが、銀助は身に覚えのないことだと云い張った。；明日のインタビューの下調べもあったが、それ以上に気に掛かることがあった。；また、実行犯が事前にトラックのルートを下調べしていたことがわかっている。；ゆくゆくはパソコンで絵を描きたいから、値段の下調べのつもりだった。；吉兵衛には新吉が今度の件で下調べをはじめたのがよく判っていた。；本は下調べから装丁、印刷に至るまで、大勢の人の手によって完成します。；この刑事はかなり下調べをした上で、自分のところへ来たのだと奈央子は思った。；久美子はこのところつづけて次号雑誌の取材で下調べをしていた。；たまたま、その男が下調べをして来なかった、というと、うそになる。；たぶん、前もって恵がどの建物のどの部屋に入るのか下調べをしていたのだろう。；本番の為の下調べとして建物に訪れた時、彼は、その仕事を終えてしまった。；下調べをせず不正確な情報で買おうとすると高価なものを買わされる可能性がある。；宝田人事担当重役を始末するための下調べをしておかないとならない。；グランディエ屋敷と離れとについては、すでに下調べしてありました。；だから須藤は雑誌の特別企画の下調べで盛岡に出掛けたことになっている。；晩食を食つて行けと云ふのを学校の下調があると云つて辞退して誠太郎は帰つた。；事情というか下調べのつもりだったんですけど。</t>
        </is>
      </c>
      <c r="J3596">
        <f>HYPERLINK("https://www.weblio.jp/content/下調べ", "词义详情")</f>
        <v/>
      </c>
      <c r="K3596">
        <f>HYPERLINK("https://yourei.jp/下調べ", "查看例句")</f>
        <v/>
      </c>
    </row>
    <row r="3597">
      <c r="A3597" t="inlineStr">
        <is>
          <t>したたか</t>
        </is>
      </c>
      <c r="B3597" t="inlineStr">
        <is>
          <t>成功</t>
        </is>
      </c>
      <c r="C3597" t="inlineStr">
        <is>
          <t>読み方：したたか
［形動］［文］［ナリ］
１粘り強くて、他からの圧力になかなか屈しないさま。しぶといさま。「世の中を—に生きる」「—な相手」
２強く、しっかりしているさま。「—な後見役」「—な造りの家」
３強く勇猛であるさま。
「力が強く勇気があって—な豪傑である」〈魯庵・社会百面相〉
４程度がはなはだしいさま。
「いと—なるみづからの祝言どもかな」〈源・初音〉
５分量がたいへん多いさま。
「国の事など—に申し居たるさま見るに」〈夜の寝覚・一〉
[派生]したたかさ［名］
［副］
１分量がたいへん多いさま。たくさん。「—食料を買い込む」
２程度がはなはだしいさま。ひどく。「—腰を打つ」「—酔う」</t>
        </is>
      </c>
      <c r="D3597" t="inlineStr">
        <is>
          <t>したたかな女；したたか飲ん；したたか酒；したたか打ちつけ；したたかな男</t>
        </is>
      </c>
      <c r="E3597" t="inlineStr">
        <is>
          <t>大きく；非常に；全く；強く；とても</t>
        </is>
      </c>
      <c r="F3597" t="inlineStr">
        <is>
          <t>頭をしたたか；肩をしたたか；頬をしたたか；背中をしたたか；酒をしたたか</t>
        </is>
      </c>
      <c r="H3597" t="n">
        <v>29</v>
      </c>
      <c r="I3597" t="inlineStr">
        <is>
          <t>したたか打ちすえられてはいたが、まだどこか感覚が働きつづけていた。；しかし驚いたとはいうものの、彼にはしたたかなところが残っていた。；これだけしたたかなぐられたのでは、毅然としているわけにもいかない。；あの女は結構したたかで、二重三重のわなを張り巡らしておるようだぞ。；したたかな、しかしどこかに悪戯っ子のような感じを残した笑顔だった。；このしたたかな老農夫は、ギディオンの言葉をよく注意してきいていた。；男たちの遺物として一つだけしたたかな実体を持っているものがあった。；華奢な茶杓をにぎつた手が意外にしたたかなものであつたことがわかる。；が、頭をしたたかに打たれたので、先生はしばらく、ぼうっとしていた。；水をしたたか飲んでいるんで船からうつせないが、命はとりとめました。；したたかに足の甲を踏まれた巨漢の刑事が、苦痛と怒りの叫びをあげる。；落ち切ったことでかえってしたたかな何かを彼女は持っていた。；世間一般でいえば、それはしたたか加える強い一撃になるところである。；さっきしたたかに味わわされた恐怖の報復のつもりであったかもしれない。；勢い余って彼の方がステップでしたたかおでこを打ち、目から火が出た。；フューテュリティ・アパートの女は、二人とも相当のしたたかものだな。；こうした状況を注意深く観察しながら、鄧小平はしたたかな手を打った。；店員の丸山が後を尾けるが、したたかな万兵衛に見つかってしまい失敗。；喜んだのは、かつてしたたかな目にあった王とその側近派王党閥であった。；現実を積極的に祝祭に変えてしまおうというしたたかさがそこにはあった。；康子が二人の男を手玉にとるほどのしたたかな女でないことはよく知っている。；なかなかしたたかな人で、だからこそ総理大臣にまでなれたのでしょう。；親を殺してでも所領を手に入れんとするしたたかな連中なのだ。；妙に話がはずんで、したたか酔った百合江をアパートまで送って行った。；僕は、したたか水を呑んでしまった、水なんか決して呑みたくないのに。；したたかな彼らに、思わず涙をながさせるような力をひめているのですよ。；芝居を愉しんでいる気配で、彼はまたしてもしたたかなものを感じる。；彼の陰の部分は、麻緒よりはるかにしたたかなのかもしれなかった。；他ならぬ、逆もまた真といわれるしたたかな逆説のありようなのです。</t>
        </is>
      </c>
      <c r="J3597">
        <f>HYPERLINK("https://www.weblio.jp/content/したたか", "词义详情")</f>
        <v/>
      </c>
      <c r="K3597">
        <f>HYPERLINK("https://yourei.jp/したたか", "查看例句")</f>
        <v/>
      </c>
    </row>
    <row r="3598">
      <c r="A3598" t="inlineStr">
        <is>
          <t>仕立てる</t>
        </is>
      </c>
      <c r="B3598" t="inlineStr">
        <is>
          <t>成功</t>
        </is>
      </c>
      <c r="C3598" t="inlineStr">
        <is>
          <t>読み方：したてる
［動タ下一］［文］した・つ［タ下二］
１布地を裁って衣服に縫い上げる。「ドレスを—・てる」
２教え込んで一人前にする。仕込む。養成する。「一人前の職人に—・てる」
３そうでないものを、それらしく作り上げる。「悪人に—・てる」
４ある出来事を、芝居などの作品に作り上げる。「殺人事件をドラマに—・てる」
５ある目的・用途のために特別に乗り物などを用意する。「臨時列車を—・てる」「釣り舟を—・てる」
６目的に合った状態に作り上げる。飾りたてる。
「車きよげに—・てて見にゆく」〈枕・三〉
７病気を治す。
「危なき病人を十のもの七つばかりも—・て」〈浮・永代蔵・六〉</t>
        </is>
      </c>
      <c r="D3598" t="inlineStr">
        <is>
          <t>行う；制作；製作；作る；作成</t>
        </is>
      </c>
      <c r="H3598" t="n">
        <v>29</v>
      </c>
      <c r="I3598" t="inlineStr">
        <is>
          <t>私の友人で不倫癖がついている女がいて、必ず自分を被害者に仕立てる。；普通の船を戦艦に仕立てるに、まずやらねばならないことの一つだろう。；ティー・ポットの口が出るようにそこのところだけ少し開けて仕立てる。；もともと泥臭いところのあるものゆえ、味噌味で仕立てるのが一番いい。；これなら槍は九尺ぐらいに仕立てるのが適当だろうと判断したというのである。；グラールにも、髪の色を抜いて金髪に仕立てる貴婦人はたくさんいます。；縁日向の花を仕立てる畠の尽きたところまで行くと、そこに木戸がある。；あの若侍は、特別に舟を仕立てるために、交渉に行ったのだろう。；従って彼らは、その男を海上墜落事故の犠牲者に仕立てることを決めた。；この小袖から、現在の和服のように袖幅を大きく仕立てるようになる。；フライディはボートに仕立てるのにこの木を焼いて空洞を作ると主張した。；主に服を仕立てるために用いられるがカンガのように巻いて用いることも多い。；だが現在でも、交易船を仕立てるのは、アーヴの生活の重要な一部だった。；自分を悲劇の主人公に仕立てるのもよかったし、悪女ぶってみるのもいい。；短い文字で、どれだけわかりやすい情報に仕立てるかは、私の得意技だった。；われわれの宇宙服の上から着られるように仕立てることもできよう。；徴用した農民を、命令ひとつで動く兵卒に仕立てることは、至難の技だ。；なにも舟を仕立てるまでもないじゃありませんか。；そこで私が九隻の船を仕立てると、さっそく乗り手が集まって来た。；それを1つのしっかりしたコントに仕立てるのは名倉の役割という。；海が近ければ海まで、そうでなければ川まで、棺を運ぶ葬列を仕立てる。；どうやって自分を被害者に仕立てるのでしょうか。；順造も娘の白無垢を仕立てるのを楽しみにしているようだった。；林平を医者に仕立てる考へはそもそも父親のものだつたが、村全体のものでもあつた。；日高女史の狙いはいまも述べたように、牧君を犯人に仕立てるためでした。；旅行先で、たまたま見つけた佐々木を、犯人に仕立てることにした。；自らの阿呆ぶりか間抜けぶりのために、自らを犠牲に仕立てる人間のことである。；下衣には上衣と逆に直線的な裁断の白い長ズボンの組み合わせで仕立てる。；金貨二枚で服を仕立てるということは実際にはすごいことなのだ。</t>
        </is>
      </c>
      <c r="J3598">
        <f>HYPERLINK("https://www.weblio.jp/content/仕立てる", "词义详情")</f>
        <v/>
      </c>
      <c r="K3598">
        <f>HYPERLINK("https://yourei.jp/仕立てる", "查看例句")</f>
        <v/>
      </c>
    </row>
    <row r="3599">
      <c r="A3599" t="inlineStr">
        <is>
          <t>下取り</t>
        </is>
      </c>
      <c r="B3599" t="inlineStr">
        <is>
          <t>成功</t>
        </is>
      </c>
      <c r="C3599" t="inlineStr">
        <is>
          <t>読み方：したどり
［名］(スル)商品の代金の一部に当てるものとして、購入した客から古くなった同種の品物を引き取ること。「車を—に出す」</t>
        </is>
      </c>
      <c r="D3599" t="inlineStr">
        <is>
          <t>下取りする(7%)</t>
        </is>
      </c>
      <c r="H3599" t="n">
        <v>29</v>
      </c>
      <c r="I3599" t="inlineStr">
        <is>
          <t>公園内はバリアフリー化が計画され、継続した取組みが進められている。；あの魔女とわたしのあいだのちょっとした取りかわしのことをお聞きになった?；少しでもほこりが付けばその車を下取りに出し、新車を購入出来たのです。；元々はクリストファー・クロスがこの店に下取りに出していた個体であるという。；返品・下取りは可能だが、価格は買った金額より格段に低くなってしまう。；そのため下取り商品が故障していたり、著しく古いものであっても下取りの対象となる。；自家用車を下取りに出すいわれはないのに、二人ともそんなことは考えもしなかった。；発売当初は旧機種を下取りする代わりに「+」を安価で提供するサービスも実施された。；ほか、当時まだ主流であった馬車から自動車への転換を図りやすいように、馬の下取りにも応じていた。；だからさ、古い一年は下取りに出して、新しいのをもらおうよ。；どれでも二本で千円、古くなった物干し竿の下取りもいたします。；一方で価格を抑え、下取りを行い自社製品の改良に努め、消費者からの支持を集めた。；観念的な天下取り説よりは、むしろ、怨恨説のほうが、ましだ、と言いたい。；なおテスト終了後は次のテスト車の下取り車として売却されたり、申し出た他のオーナーに売却する例もある。；四万ドルでベンツを下取りに出し、三万ドルのレジェンドに乗り換える客も出はじめた。；泣いて泣いて泣き尽くした子供のようなぼんやりした取りとめのない心持ちで、葉子は何を思うともなくそれを聞いていた。；夏頃、新潟のパチンコ店で廃品になった「自由の女神」像を下取りする。；しかし、商談にしたら、随分間延びのした取引きと言わなければならぬだろう。；もうかなりくたびれていて、そろそろ取り替えようかと自動車屋へ持ってって、下取りの値をきいてびっくりした。；新製間もないこの機関車が、どういった経緯で楠木製作所の手に渡ったのかは詳らかでないが、おそらく事故で大破したものを下取りしたものと推定されている。；ただし、その中には一度販売したものを下取りし、再生して再度販売したものがダブルカウントされているとも語っており、正確な生産台数は不明である。；下取りは、新しい商品を購入することを条件に、それまで使用していた古い商品を買い取る契約、商習慣のこと。；下取り品でもあるんですか?；また、下取り金額は通常の買取りと比べて高額に設定され、本来であれば処分費用のかかるものであっても下取りの対象となる。；なお、製鉄所内で大量に使われている耐火煉瓦は補修の際に適宜更新されるが、その際に取り外されたものはそのまま下取りされて一般向けに再利用されることが多い。；下取りしてもらった売上げはアスナと山分けすることにしていたが、そのアスナは約束の時間を過ぎてもさっぱり現れない。；近いうちに古物商が下取りの査定にくるからなのだろうか。；下取りも白なら2割増しなどと言われ、営業マンも「白なら即納」と薦めた。；本作では単に敵を倒すだけでは金銭を得ることができず、敵の死体を調べて毛皮などの素材を入手し、それを下取り屋に売ることによって金銭を得ることができる。</t>
        </is>
      </c>
      <c r="J3599">
        <f>HYPERLINK("https://www.weblio.jp/content/下取り", "词义详情")</f>
        <v/>
      </c>
      <c r="K3599">
        <f>HYPERLINK("https://yourei.jp/下取り", "查看例句")</f>
        <v/>
      </c>
    </row>
    <row r="3600">
      <c r="A3600" t="inlineStr">
        <is>
          <t>下火</t>
        </is>
      </c>
      <c r="B3600" t="inlineStr">
        <is>
          <t>成功</t>
        </is>
      </c>
      <c r="C3600" t="inlineStr">
        <is>
          <t>読み方：あこ
《唐音》禅宗で、火葬のときに導師が遺体を焼く燃料に火をつけること。のちには偈(げ)を唱えてしぐさをするだけになった。秉炬(ひんこ)。</t>
        </is>
      </c>
      <c r="D3600" t="inlineStr">
        <is>
          <t>後退；減退；下向き；凋落；退潮</t>
        </is>
      </c>
      <c r="F3600" t="inlineStr">
        <is>
          <t>大分下火</t>
        </is>
      </c>
      <c r="H3600" t="n">
        <v>29</v>
      </c>
      <c r="I3600" t="inlineStr">
        <is>
          <t>この夜の騒ぎも七日、十日と過ぎていつか噂も下火となっていたころ。；火が下火になると、薄い鉱物性土壌と裸の岩が残っている全てとなった。；あの頃は少し下火になっていたけれど、半年ほど前は、絶頂だったわね。；あの頃は少し下火になっていたけれど、半年ほど前は絶頂だったわね。；そしてそれ以降、こういった形の反対運動も自然と下火になっていった。；アメリカ国内では広く普及しているが、日本では下火となっている。；この禁止令を受けて神判は、ヨーロッパ全土で次第に下火になっていく。；主要マーケットであるアメリカと日本での人気は完全に下火へ向かっていた。；以後数冊の小説を刊行するが、西武百貨店に入社し執筆活動は下火になる。；ひと頃下火だったのがまたはやりはじめたのかなと思ってたんだけど。；議会外のウィルクス運動も同時期に内部分裂を起こして下火になりはじめた。；これらの表現のため、時代が下ると徐々に人気は下火になっていった。；しかしその後、時代区分論争自体が結論のでないまま下火になっていく。；その後戦争で忘れ去られ、戦後に復活と下火になることを繰り返している。；次第にジャズ喫茶の人気が下火となり、スタジオや舞台での仕事が増えた。；また事件を最後に値下げ運動は終息に向かい、消灯運動も下火になった。；様々な理由があって1950年代末には活動が下火になりだした。；以前はアーモンドや穀物栽培も盛んであったが、現在は下火となっている。；最近はいくらか下火になったようだが、この風潮は依然としてあるのだ。；その後、安全性の観点から研究は下火になったが、一部で継続される。；もちろん、その場合、お二人は事件が下火になるまで会うまいと約束する。；その後各種ブロードバンド回線が急速に普及したため下火となった。；会話は、さかんにつづいていたが、食べ終ると、だんだん下火になった。；結局軍は動かなかったため、このデモはしだいに下火になっていった。；ただ19世紀後半はすでに決闘自体が下火になっていた時期だった。；しかし輸送コストがかかることや潮風の被害等により農業は下火となった。；流行が下火になった後もコンビニエンスストアなどで時おり販売されている。；その後風向きが再び変わり、火の勢いは徐々に下火になっていった。；しかし、理論に誤りがあることが指摘されるようになってこの研究は下火となった。</t>
        </is>
      </c>
      <c r="J3600">
        <f>HYPERLINK("https://www.weblio.jp/content/下火", "词义详情")</f>
        <v/>
      </c>
      <c r="K3600">
        <f>HYPERLINK("https://yourei.jp/下火", "查看例句")</f>
        <v/>
      </c>
    </row>
    <row r="3601">
      <c r="A3601" t="inlineStr">
        <is>
          <t>下町</t>
        </is>
      </c>
      <c r="B3601" t="inlineStr">
        <is>
          <t>成功</t>
        </is>
      </c>
      <c r="C3601" t="inlineStr">
        <is>
          <t>読み方：したまち
都会で、土地の低い所にある町。多く商工業地になっている。東京では浅草・下谷・神田・日本橋・京橋・本所・深川などの地域をいう。「—育ち」⇔山の手。</t>
        </is>
      </c>
      <c r="D3601" t="inlineStr">
        <is>
          <t>下町育ち(2%)；下町探偵局；下町情緒；下町一帯；下町っ子</t>
        </is>
      </c>
      <c r="F3601" t="inlineStr">
        <is>
          <t>下町地域；下町生まれ；下町出身；下町ッ；江戸下町</t>
        </is>
      </c>
      <c r="G3601" t="inlineStr">
        <is>
          <t>下町ロケット；下町言葉；下町ボブスレー；下町の太陽；下町ふう</t>
        </is>
      </c>
      <c r="H3601" t="n">
        <v>29</v>
      </c>
      <c r="I3601" t="inlineStr">
        <is>
          <t>また、東京都区部でも、下町の一部の路線で用いられている場合がある。；これらの地区はいずれも独立した町だったが、1970年代に合併した。；例へば東京市内でも下町と山の手とで震動の大いさに非常な相違がある。；宗森一尉に壊滅した町を案内されたとき、自分は何かを見ているはずだ。；以下、八幡市になって以降に発足した町を発足前の大字ごとに記載する。；以下、小倉市になって以降に発足した町を発足前の大字ごとに記載する。；以下、門司市になって以降に発足した町を発足前の大字ごとに記載する。；以下、若松市になって以降に発足した町を発足前の大字ごとに記載する。；この町は、炭鉱と鉄道の事業のためにエルキンズが創設した町であった。；以下、戸畑市になって以降に発足した町を発足前の大字ごとに記載する。；都心近くにありながら古民家も残り、下町の雰囲気があるとも称される。；司令部は荒廃化した町と城を再建し、そこを司令官の住居と本部とした。；この付近は下町の雰囲気があるため、たびたびドラマのロケに使われる。；彼は今日まで、俗にいう下町生活に昵懇も趣味も有ち得ない男であった。；そんなとき、いちばん大きな土地を提供した町の町長が選挙で落選した。；相当な大きさの城壁は、下町にある城から伸びて上町周辺の丘の上に至る。；また、同地区を含む自治体として南魚沼郡に存在した町の名称であった。；最初に彼は出身した町の病院で長に昇進し多くの弟子たちが彼から学ぶために集まった。；これは南北戦争以前に初めてアフリカ系アメリカ人が設立した町である。；下町的であることは、ある芝居には適しても、現代劇の一般には適せぬ。；ストーリーは大阪の下町から、東海道を上って江戸までを描いていく。；モントルイュ・スュール・メールの町は山の手と下町とに分かれていた。；ちゃんとした町で、イギリスで一番高いという塔をもった教会があります。；仕事に失敗して、どこか下町辺から家を畳んで来たらしいんですよ。；そのゴミゴミした町と町のあいだに、大きな森のようなものが見える。；車は高速を降りて、中野のごちゃごちゃした町並みの中に入っていった。；スフィアラボの敷地面積は、ちょっとした町に匹敵すると聞いています。；幕府・大名の拠点のある城を中心とした町のほかは基本的に農村と考えられていた。；河川沿いの長い丘状に発展した町の様から長岡という地名が起こったという。</t>
        </is>
      </c>
      <c r="J3601">
        <f>HYPERLINK("https://www.weblio.jp/content/下町", "词义详情")</f>
        <v/>
      </c>
      <c r="K3601">
        <f>HYPERLINK("https://yourei.jp/下町", "查看例句")</f>
        <v/>
      </c>
    </row>
    <row r="3602">
      <c r="A3602" t="inlineStr">
        <is>
          <t>下回る</t>
        </is>
      </c>
      <c r="B3602" t="inlineStr">
        <is>
          <t>成功</t>
        </is>
      </c>
      <c r="C3602" t="inlineStr">
        <is>
          <t>読み方：したまわる
［動ラ五（四）］数量がある水準より下になる。「人出が予想を—・る」「平年を—・る気温」⇔上回(うわまわ)る。</t>
        </is>
      </c>
      <c r="D3602" t="inlineStr">
        <is>
          <t>下回る可能性；下回る基準を定める</t>
        </is>
      </c>
      <c r="E3602" t="inlineStr">
        <is>
          <t>足りない；下る；劣る；及ばない；負ける</t>
        </is>
      </c>
      <c r="F3602" t="inlineStr">
        <is>
          <t>やや下回る；若干下回る；さらに下回る；少し下回る；更に下回る</t>
        </is>
      </c>
      <c r="H3602" t="n">
        <v>29</v>
      </c>
      <c r="I3602" t="inlineStr">
        <is>
          <t>これでは当初予定していた威力を下回った爆発しか起きなくなってしまう。；高校生の入学率はわずかに改善したが、学業成績は全国平均を下回った。；初週販売枚数は前作を下回ったものの、初のトップ10入りを果たした。；ある時点では100を下回らない様々な名称の鉄道線が州内で運行されていた。；建設しても需要が予想をはるかに下回ったとき非常に大きな負担となる場合もある。；スウェーデンとの終戦直後の穀物貿易も戦前の水準を下回る事となった。；最低基準を下回るサイズのバナナの販売はほぼ例外なく禁止だからである。；全国の市で人口が1万人を下回るのは、歌志内市に次いで2例目である。；は手術の影響もあり、前年を大きく下回る10試合の出場に終わった。；ホンダは年間一万台の販売は可能とみていたが、実際は計画を大幅に下回った。；成功の可能性は五分五分を下回っているが、少なくとも挑戦権はある。；逆に下回ってしまうと契約解除と称してシーズン継続数がリセットされる。；これは、ドイツで働く約10人に1人が下回る時給で働いたことになる。；その人が、平均年齢をがくんと下回っており、その下がもう私なのである。；盗塁数を前年から倍増させたものの、打撃成績は総じて前年を下回った。；しかも前述のように、A国の方が小麦の値段はB国のそれを下回らない。；最終的には合計6得点という前シーズンを下回る成績でシーズンを終えた。；民需用は国民生活に必要だとされる三百万トンを下回っていた。；なお、各州から選出される議員数は元老院の議員数を下回ってはならない。；そして月の視半径は常に太陽のそれを下回らないとし、金環食を否定した。；最寒月の平均気温が18度を下回る地域があり一部では降雪も見られる。；それが証拠に届出されるレイプ被害は実際をはるかに下回っているのである。；これは当初の想定を下回るものであり、政権入りには至らなかった。；どのゲームにも合格の基準が定められており、これを下回ると番組降板となる。；女の同性愛者の割合はどんな調査であっても常に男の場合を下回る。；速度がしばしば大幅に変化し広告の速度をはるかに下回る。；三〇〇点を下回る得点差で勝った場合は、レイブンクローに次いで二位になる。；これまで、movaのそれを下回っていたが、遂に逆転する事になった。；また、規定サイズを大幅に下回る作品が出品されることは皆無である。</t>
        </is>
      </c>
      <c r="J3602">
        <f>HYPERLINK("https://www.weblio.jp/content/下回る", "词义详情")</f>
        <v/>
      </c>
      <c r="K3602">
        <f>HYPERLINK("https://yourei.jp/下回る", "查看例句")</f>
        <v/>
      </c>
    </row>
    <row r="3603">
      <c r="A3603" t="inlineStr">
        <is>
          <t>下役</t>
        </is>
      </c>
      <c r="B3603" t="inlineStr">
        <is>
          <t>成功</t>
        </is>
      </c>
      <c r="C3603" t="inlineStr">
        <is>
          <t>読み方：したやく
１下級の役目。また、その役目の人。
２自分より下位の役員・職務についている人。部下。
３下級の役人。</t>
        </is>
      </c>
      <c r="D3603" t="inlineStr">
        <is>
          <t>下役人(21%)；下役たち(3%)；下役ども(3%)；下役共；下役元締</t>
        </is>
      </c>
      <c r="E3603" t="inlineStr">
        <is>
          <t>部下；配下；手下；子分；隷下</t>
        </is>
      </c>
      <c r="F3603" t="inlineStr">
        <is>
          <t>下役人たち</t>
        </is>
      </c>
      <c r="H3603" t="n">
        <v>29</v>
      </c>
      <c r="I3603" t="inlineStr">
        <is>
          <t>後を聞かなければ、それだけで独立した役にはとても立てられなかった。；執事は眠っていたが、執事の下役の一人のフリッツ氏が電話に出たのだ。；かつての下役の顔いっぱいの微笑は、ブーンにはおなじみのものだった。；ところが下役の者どもは、それぞれ身に応じた処罰をうけたのである。；大勢の下役達がしてゐる事を上役の者が知る事が出来ないやうに出来てゐるのだ。；それから在学中に映画のほうから話があって、ちょっとした役で出ました。；久兵衛の家族はすでに自刃しているので藩の下役人によって処置された。；七里鎌倉兵衛が蔵屋敷の留守居であったがこの者の下役であったようだ。；本来なら、ニーナがした役目は自分がすれば簡単に終わることだったはずだ。；なお、その映画で担当した役は原作にはないシーンで原作に登場しない人物である。；この役は篠田が声優のオーディションで初めて合格した役にもなった。；下役人は大声で彼の男に向って芝居をせよといいつけた。；下役が道徳的に同感であろうがなかろうが、むりに事を命じてやらせる。；下役人たちが縄をかけても、身をのたうって、獣のような声をあげた。；待つこと三十分ばかりで、彼は支庁の官吏や下役などの前に呼び出された。；山沢さんと、下役二人とまたその下役である彼と四人の一行であったらしい。；ほんらいなら、下役の上杉がとっくに社長の案内に来なければならない。；ドラマのちょっとした役を貰うために、どんな嫌なめに遭ったことか。；下役人であったがその仕事ぶりは真面目で能率がよく、評価されていたという。；大坂定番の支配下に属し、地元で採用した手代五人を下役に使っている。；処刑は警備や取りかたづけの下役人のものものしい警戒のなかで行なわれた。；ハイルナーにはそうした役をするための機知と毒とが乏しくなかった。；そんなわけで、とにかく漂流民を下役人には会わせぬがよいと決めたのである。；その日から浅田は、下役人の厳重な監視のもとに丸裸となって川を捜した。；人を許すことは絶対しないから下役の者は許す機会は絶対あたえまいと気を使う。；夕刊を眺めた下役共は夢ではなからうかと自分の鼻先を抓つてみたりした。；上役や下役の妻女たちに、彼が身分相当な生活をしていることを示す必要があった。；彼等は一杯やつてから件の教会の下役に問ひただした。；庭掃除の下役人が、翌朝あたり一面散らばった紅葉をきれいに掃除した。</t>
        </is>
      </c>
      <c r="J3603">
        <f>HYPERLINK("https://www.weblio.jp/content/下役", "词义详情")</f>
        <v/>
      </c>
      <c r="K3603">
        <f>HYPERLINK("https://yourei.jp/下役", "查看例句")</f>
        <v/>
      </c>
    </row>
    <row r="3604">
      <c r="A3604" t="inlineStr">
        <is>
          <t>質</t>
        </is>
      </c>
      <c r="B3604" t="inlineStr">
        <is>
          <t>成功</t>
        </is>
      </c>
      <c r="C3604" t="inlineStr">
        <is>
          <t>読み方：しち
⇒しつ</t>
        </is>
      </c>
      <c r="D3604" t="inlineStr">
        <is>
          <t>質的(2%)；質子；質土器；質マグマ；質溶岩</t>
        </is>
      </c>
      <c r="E3604" t="inlineStr">
        <is>
          <t>気；地；性；キャラクター；性格</t>
        </is>
      </c>
      <c r="F3604" t="inlineStr">
        <is>
          <t>粘土質；岩質；糖タンパク質；繊維質；葉質</t>
        </is>
      </c>
      <c r="G3604" t="inlineStr">
        <is>
          <t>質量；質素；質屋；質感；質的</t>
        </is>
      </c>
      <c r="H3604" t="n">
        <v>29</v>
      </c>
      <c r="I3604" t="inlineStr">
        <is>
          <t>構成といい、絵といい、とても質の高いもので、こんなの見たこと無い。；鉄などの金属系の元素を多数取り込んだため金属質な体表となっている。；面白いもの、良いものがあれば値段、質に関係なくどんどん使うという。；飼育下でも雑食性の種類は植物質と動物質の餌を適度に与えた方がよい。；細胞膜タンパク質の検出や細胞の粘弾性力の測定などに用いられている。；医療機関の質は悪くないが、医療サービスの質はあまり良いとは言えない。；こういった事情も、モーニングサービスの質や量を向上させた背景にある。；世界から珍しい素材や質の高い皮を集めて製品を作っていた。；良質なたんぱく質が多く含まれており、皮を取るとさらに低脂肪である。；肩肉のチョップはたいていロインよりも質が落ちると考えられている。；ただきれいというだけではなく、声の質をもって、ものを言うという才能。；このような質的な労働力の低下と無理な増産も部品の劣質化につながった。；日本の外食産業は成熟期に入り、価格から質へと方向が変化している。；一皿数百円の価格設定で寿司ネタの質が相対的に高い店は対面型が多い。；後者は、重い有機化合物を含む炭素質の物質や岩石であると考えられる。；日本では岩手県久慈市で、質は良く、量は世界スケールで見れば少ない。；特にこの頃の比較的早い時期に生産されるものが質のよいものとされ、貴重だという。；現在は住宅はおおむね行き渡ったとされ、質の向上が求められている。；このころにはすでに質の高い仕事で評判になっていた。；近年はオイルサンドを採掘して得られる重質油が主力になっている。；米が豊作の年には、米の質の関係から、醸造に失敗しやすい事もある。；最初の二つの質に何か稀で目覚ましい状況を加えてみたまえ。；そのため核がないのにもかかわらず、この顆粒質が核のように見えることもある。；いずれにせよ、保存環境やディスクの質によって寿命は大きく変化する。；意識という言葉のもつもうひとつの意味は主観的な経験、現象的な質である。；同時期の土師器とは色と質で明瞭に区別できるが、一部に中間的なものもある。；一方で彼らの主張を直接的に裏付ける証拠は、一般的に質が低いものである。；中心質にはふつうDNAが存在するため、この領域は核質ともよばれる。；質の高い番組がより多く制作・放送されることを目的に、2005年に制定した賞。</t>
        </is>
      </c>
      <c r="J3604">
        <f>HYPERLINK("https://www.weblio.jp/content/質", "词义详情")</f>
        <v/>
      </c>
      <c r="K3604">
        <f>HYPERLINK("https://yourei.jp/質", "查看例句")</f>
        <v/>
      </c>
    </row>
    <row r="3605">
      <c r="A3605" t="inlineStr">
        <is>
          <t>自治</t>
        </is>
      </c>
      <c r="B3605" t="inlineStr">
        <is>
          <t>成功</t>
        </is>
      </c>
      <c r="C3605" t="inlineStr">
        <is>
          <t>読み方：じち
１自分や自分たちに関することを自らの責任において処理すること。「大学の—」「—の精神」
２「地方自治」の略。⇔官治。</t>
        </is>
      </c>
      <c r="D3605" t="inlineStr">
        <is>
          <t>自治的(5%)；自治組織(5%)；自治権(3%)；自治団体；自治法</t>
        </is>
      </c>
      <c r="E3605" t="inlineStr">
        <is>
          <t>独立；自立；自主；自決；自律</t>
        </is>
      </c>
      <c r="F3605" t="inlineStr">
        <is>
          <t>アイルランド自治；大幅な自治；非自治；地域自治；自治制度</t>
        </is>
      </c>
      <c r="G3605" t="inlineStr">
        <is>
          <t>自治権；自治会；自治領；自治州；自治区</t>
        </is>
      </c>
      <c r="H3605" t="n">
        <v>29</v>
      </c>
      <c r="I3605" t="inlineStr">
        <is>
          <t>独立・自治宣言をし事実上分離状態に陥ったのはこれで3例目であった。；自治団体には地方議会が編成され、自治体の長を議会が選出するとした。；地域へのより大きな自治の提唱は、フランス社会党の主張と非常に近い。；ユダヤ人の自治組織は中世に成立し、1241年に初めて記録に現れる。；以降、FIFAは一定の自治が行われている地域の協会も認可している。；大学や議会、ローマ時代から維持していた自治特権はすべて廃止された。；自由な校風で知られ、生徒に学校運営を大きく委ねる自治を認めている。；頼朝とその家臣団である御家人が朝廷からの自治の確立のために称された。；中には戦国大名の承認の下で制限された自治を維持する惣村もあった。；ほとんどの自治的領域はそのまま州になったが、少数の例外がある。；世襲され半ば自治状態になると中央もその危険を放置できなくなった。；合併後も自治区が設けられ、一定の自治が認められる形となっている。；特定学校の学生を中心とする自治的な組織の名称として使用されることがある。；聖公会の教会組織は、国や地域ごとに独立して自治を行う形態をとっている。；彼らはそのような自治を創設する試みは、国家への侮辱や脅威とみなす。；これ以降およそ一世紀半の間に 29 の領域が自治的領域となった。；これらは全て、今でいう編入領域で、自治的領域と非自治的領域があった。；第三に、法執行の原理は、意思自治原則を基礎に考察されるべきである。；ローマ帝国の時代には単なるコロニアであったが、自治特権を得ていた。；の自治制度は、南京国民政府時代の制度が若干の修正を受けて使われている。；両団体はともに東パキスタンにより大きな自治を獲得するために活動した。；現在でもこの16地区はそれぞれ独立した自治組織を作っている。；ソマリアで分離状態にする形で独立・自治宣言をした例はこれで3例目であった。；その法典は個人による自治を基本とした不可侵の原則と認識されている。；だが、GAMはこの自治法を認めず、その後も散発的に抗争が発生した。；征服した土地に対して貢ぎ物を要求したが統治はせず、自治を許していた。；現代イタリアのコムーネ自治は自治都市の伝統を基礎としているといわれる。；竹富公民館には議会が設けられており、高度な自治能力を有している。；これは毎日の生活を生徒自身が責任を持って行う自労自治の精神に基づいている。</t>
        </is>
      </c>
      <c r="J3605">
        <f>HYPERLINK("https://www.weblio.jp/content/自治", "词义详情")</f>
        <v/>
      </c>
      <c r="K3605">
        <f>HYPERLINK("https://yourei.jp/自治", "查看例句")</f>
        <v/>
      </c>
    </row>
    <row r="3606">
      <c r="A3606" t="inlineStr">
        <is>
          <t>七五三</t>
        </is>
      </c>
      <c r="B3606" t="inlineStr">
        <is>
          <t>成功</t>
        </is>
      </c>
      <c r="C3606" t="inlineStr">
        <is>
          <t>読み方：しちごさん
１男子は3歳と5歳、女子は3歳と7歳にあたる年の11月15日に行われる、子供の成長を祝う行事。晴れ着を着せ、神社などに参詣する。七五三の祝い。《季冬》「まだ栄ゆ老舗(しにせ)猿飴—／秋桜子」
２祝い事に用いるめでたい数。奇数を陽の数とする中国の思想から出たもの。
３「七五三の膳(ぜん)」の略。
４しめなわの異称。</t>
        </is>
      </c>
      <c r="D3606" t="inlineStr">
        <is>
          <t>七五三兵衛ら泉州；七五三太；七五三兵衛殿；七五三兵衛は兵ども</t>
        </is>
      </c>
      <c r="G3606" t="inlineStr">
        <is>
          <t>七五三縄；七五三現象</t>
        </is>
      </c>
      <c r="H3606" t="n">
        <v>29</v>
      </c>
      <c r="I3606" t="inlineStr">
        <is>
          <t>とは思ったものの、気になるのは七五三兵衛がいい歳に見えたことだ。；それゆえ、七五三兵衛は泉州侍の当主たちの顔をほとんど知らなかった。；おのれは七五三兵衛とやらに戦働きには値せぬ者だと断ぜられたと聞く。；一方の七五三兵衛は、なぜか階でも上がったかのように丈が伸びている。；七五三兵衛が広間で浮かぬ顔をしていたのは、そのことを案じたからだ。；甲板では、景を組み敷いた七五三兵衛がまさに止めを刺さんとしていた。；舌を打ったが、義清は七五三兵衛に侮られるような柔な男ではなかった。；しかし、七五三兵衛はそれを知っても決意を翻そうとは思わなかった。；兵船の数も嘘ならば、七五三兵衛たちの命を助けたいとも思っていなかった。；もっとも、七五三兵衛の返事を聞いても、表情はいささかも動かなかった。；それが七五三兵衛の動きに安堵したのか、ふいに足を止めて振り向いた。；眞鍋七五三兵衛を目の当たりにした時から、この触頭は心に決めていた。；ここまで七五三兵衛に阻まれてきたが、女はその刀を狙い続けていた。；そんなつまらぬことよりも、七五三兵衛には考えるべきことがあった。；敵はさすがに刀を構えていたが、七五三兵衛は毛ほども躊躇しない。；そして、それが一生の不覚になろうとは、七五三兵衛は思いもしなかった。；一万余の死兵を前にしてもなお、眞鍋七五三兵衛は勇気を堅持し続けていた。；七五三兵衛が景の言うことを鵜呑みにしたのは、そういうことだったのか。；七五三兵衛は制止など耳に入らぬかのように、全身に力を込め始めた。；信長ほどの男を見ても、七五三兵衛の感想といえばこの程度である。；この例に洩れぬ七五三兵衛も、ごく戦術的に答えを出したに過ぎなかった。；その陰に隠れて七五三兵衛ら天王寺砦の兵、同じく三千が従っていた。；義清が討たれたとしても、非は勝手に戦線を離脱した七五三兵衛にある。；総大将の七五三兵衛が姿を消せば、味方の勝利は揺るぎないものとなる。；戦場で相見えて、七五三兵衛という男を深く思い知らされた気がした。；難波海で七五三兵衛に初めて出会ったとき、居合わせたのがこの者たちだ。；土塁には、七五三兵衛らが通ったのと同じ形の櫓門が据えられていた。；刀を掴む両手に力を込めたとき、七五三兵衛の大太刀がきらりと光った。；明治神宮のあたりは、七五三の着飾った女の子や男の子で賑わっていた。</t>
        </is>
      </c>
      <c r="J3606">
        <f>HYPERLINK("https://www.weblio.jp/content/七五三", "词义详情")</f>
        <v/>
      </c>
      <c r="K3606">
        <f>HYPERLINK("https://yourei.jp/七五三", "查看例句")</f>
        <v/>
      </c>
    </row>
    <row r="3607">
      <c r="A3607" t="inlineStr">
        <is>
          <t>質屋</t>
        </is>
      </c>
      <c r="B3607" t="inlineStr">
        <is>
          <t>成功</t>
        </is>
      </c>
      <c r="C3607" t="inlineStr">
        <is>
          <t>読み方：しちや
物品を質にとって金銭の貸し付けを行う業者。また、その店。江戸時代から庶民の金融機関として普及した。質店(しちみせ)。</t>
        </is>
      </c>
      <c r="D3607" t="inlineStr">
        <is>
          <t>質屋通い；質屋さん；質屋業；質屋主；質屋渡世</t>
        </is>
      </c>
      <c r="E3607" t="inlineStr">
        <is>
          <t>七つ屋；一六銀行</t>
        </is>
      </c>
      <c r="F3607" t="inlineStr">
        <is>
          <t>大きな質屋；自動質屋；小さな質屋；公営質屋</t>
        </is>
      </c>
      <c r="G3607" t="inlineStr">
        <is>
          <t>質屋蔵</t>
        </is>
      </c>
      <c r="H3607" t="n">
        <v>29</v>
      </c>
      <c r="I3607" t="inlineStr">
        <is>
          <t>その家はもと質屋だった蔵のある家で、そこに一人の男と同棲していた。；警察に駈け込んで来た質屋の親仁の禿頭は娘の顔を見ると泣いて喜んだ。；遂に妻を説得して、レコードを買うために時計を質屋に入れたりもした。；私が祖父にもらった時計も、質屋が何かしたのかもしれないと考えた。；質屋にでも持っていけば、いくらかにはなるだろうと考えたかもしれない。；小説はなかなかうまく書けなかったし受賞の時計は質屋に入れてしまった。；土曜日彼はさしあたり必要のない冬服を質屋に持ってゆき、本を売った。；質屋へ物を持つて行くに此の伝で下宿屋を出るので、訳はないのです。；思ったが、質屋に入るのは大変な悪いことで恥ずかしいことだと思った。；その自転車は、もう貧乏に貧乏なので質屋に入れてしまってあるんです。；弥八が紋付を持ち込んだ質屋に当たりをつけるのは訳もないことだった。；融資額を決定するために、質屋主はいくつかの要因を考慮する必要がある。；質屋は若者達を陰で支える控えめな態度の友ともいうべきものだった。；私が質屋に行かうといふのは、質物を出しに行かうといふのではありません。；もう困って困って、それを質屋に取りに行くあたりも悲惨でしたねえ。；質屋の娘が袖を噛み裂かんばかりに眉を逆立ててその姿を見送っている。；こういうことになるんだから、人まねもして質屋へも行くもんですよ。；池袋近くの大通りから横道に入った所に質屋があって、その前に近づく。；販売時に、質屋は条件に従って商品取り置き方式を提示することがある。；家にあるものを質屋にでも持って行けば、半年くらいは二人で生きて行ける。；隣りの質屋の相庇の上を誰かソロソロと歩いて行くような音がする。；おなみは質屋に入るとき持っていた風呂敷包みを、胸に抱えたままである。；質屋八島より期限の案内があったので、帰路寄ったが、門を閉めていた。；老人と自分とが話している間に質屋に行って来たのである。；そして質屋の番頭の血だらけの顔は、その悪夢の象徴のようなものである。；それで友達のマントを無断借用していって、しかもそれを質屋に入れた。；最前の質屋の娘が来かかったが三平の姿をすかして見ると急に物蔭に隠れた。；あの人のいい質屋さんが寝こんでしまうまでは連中だって仕事の進めようはないんだからね。；何でも旭川には三十数軒の質屋があるそうだから、裕福なほうなのであろう。</t>
        </is>
      </c>
      <c r="J3607">
        <f>HYPERLINK("https://www.weblio.jp/content/質屋", "词义详情")</f>
        <v/>
      </c>
      <c r="K3607">
        <f>HYPERLINK("https://yourei.jp/質屋", "查看例句")</f>
        <v/>
      </c>
    </row>
    <row r="3608">
      <c r="A3608" t="inlineStr">
        <is>
          <t>試着</t>
        </is>
      </c>
      <c r="B3608" t="inlineStr">
        <is>
          <t>成功</t>
        </is>
      </c>
      <c r="C3608" t="inlineStr">
        <is>
          <t>読み方：しちゃく
［名］(スル)服などを買う前に、自分のからだに合うかどうか試みに着てみること。「吊(つ)るしのブレザーを—する」「—室」</t>
        </is>
      </c>
      <c r="D3608" t="inlineStr">
        <is>
          <t>試着体験(2%)；試着会</t>
        </is>
      </c>
      <c r="H3608" t="n">
        <v>29</v>
      </c>
      <c r="I3608" t="inlineStr">
        <is>
          <t>実際にスーツを試着したときも、呼吸ができず死ぬ思いであったという。；家に帰って試着して、ショウコは鏡の前でいろんなポーズを取ってみた。；試着なさいますかという店員に礼をいって、そのままうちにもって帰った。；だって試着でさんざん裸見せられちゃって、俺、興奮してたんだもの。；日本では、足下工業株式会社本社にて試着や店頭購入が可能となっている。；試着した国王は誰もがため息をつくような立派な大将ぶりだった。；観覧者は古い制服を試着したり、柱を滑り降りたりすることができる。；防護服を試着しに部屋に戻った音緒は、しかしすぐリビングに戻ってきた。；試着をさせて欲しい、という彼女の依頼に、店員は満面の笑みで頷いた。；鏡の前で試着して出来ばえに気をよくしながら、私はドキンとした。；悪いけど試着スペースは一人分しかないから、そこで着替えてくれる?；ただし、試着数や来店時間の制限が定められていることも多い。；あれだけ試着して選んだ水着なのに、私はこの水着には愛着がなくなってきた。；だから、あのしみを発見したとき、試着したときに自分が知らずにつけたと思ってしまった。；ご試着なさるのでしたらお部屋のほうにお運びしましょうか?；でも店頭で試着するだけで照れてしまい、街を闊歩できる日は遠そうです。；ならば、こいつは買いもしない服を試着で着ていたのか?；その試着から「快適」を求めるには「汗」への対策が不可欠と結論付けた。；店頭で購入する場合も試着は困難であるため、自分に合うサイズを見つけるのが難しいとされている。；試着して、翌日までにサイズを合わせて届けて貰うことで、話がまとまった。；そして試着コーナーにいる連れに声をかける。；それを試着してみたときのギャビーの顔の表情は、深くシロッコの心を揺さぶった。；試着していたデニムの内側、股間あたりの縫い目を見ているらしい。；店員に勧められるまま服を試着し、試着室から出るとそこは同窓会の会場だった。；サイモンさんは紺色のスーツを試着してたけど、とてもよく似合っている。；そして集まった素材でパンツの試作し、運動時の試着を重ねた。；試着する時間もなく師匠のログハウスに戻っていた。；試着もせずに数着の服を握りしめレジに並びながら、こんな気持ちなのだろうかと思ってみる。；首から肩がすっかり出ているこのドレスを試着する際、ひょいと横を向き私は愕然とした。</t>
        </is>
      </c>
      <c r="J3608">
        <f>HYPERLINK("https://www.weblio.jp/content/試着", "词义详情")</f>
        <v/>
      </c>
      <c r="K3608">
        <f>HYPERLINK("https://yourei.jp/試着", "查看例句")</f>
        <v/>
      </c>
    </row>
    <row r="3609">
      <c r="A3609" t="inlineStr">
        <is>
          <t>視聴</t>
        </is>
      </c>
      <c r="B3609" t="inlineStr">
        <is>
          <t>成功</t>
        </is>
      </c>
      <c r="C3609" t="inlineStr">
        <is>
          <t>読み方：しちょう
［名］(スル)
１見ることと聴くこと。聴視。
「予が—に入らざるものは絶無なりし」〈芥川・開化の殺人〉
２注意や関心。「人々の—を引く」</t>
        </is>
      </c>
      <c r="D3609" t="inlineStr">
        <is>
          <t>視聴する(13%)；視聴できる(11%)；視聴可能(11%)；視聴者(9%)；視聴率(3%)</t>
        </is>
      </c>
      <c r="E3609" t="inlineStr">
        <is>
          <t>注意；集中；用心；耳目；専心</t>
        </is>
      </c>
      <c r="F3609" t="inlineStr">
        <is>
          <t>テレビ視聴；動画視聴；視聴環境；視聴層；無料視聴</t>
        </is>
      </c>
      <c r="G3609" t="inlineStr">
        <is>
          <t>視聴率；視聴覚；視聴者プレゼント；視聴者層；視聴者参加型番組</t>
        </is>
      </c>
      <c r="H3609" t="n">
        <v>29</v>
      </c>
      <c r="I3609" t="inlineStr">
        <is>
          <t>番組放送時から男女問わず視聴者からの苦情も非常に多く寄せられていた。；そのため、現在も視聴できるこのドラマは資料的な意味でも価値が大きい。；藤田曰く、この頃に初めて街で視聴者から声をかけられるようになった。；文字多重放送にも対応しているため、歌詞を見ながらのPV視聴が可能。；視聴するにはインターネットで認証を行わなければならないプロテクト。；DVDが発売・レンタルされており、現在でも比較的容易に視聴できる。；インターネットやテレビが視聴不可能な国や地域が未だに多く存在している。；ただし日本や中東・香港など一部の地域は放映権の関係から視聴できない。；またそれとは別に、横浜に所在する放送ライブラリーでも視聴可能である。；これにより、半年間だけではあったが全国での視聴が可能になった。；また番組専用電話番号もあり視聴者から身近な情報を提供してもらっていた。；ポイント制度もあったが、視聴契約を解約するとポイントは失効とされた。；ただし18歳以上の作品の場合は上記の条件を満たしていても視聴できない。；その後も多数のマスコミに登場し、辛口トークで視聴者から人気がある。；コンサートの模様はUstreamでも生配信され、多数の視聴が行われた。；企画会議に参加した糸井は、視聴ターゲットを高校生にすることを提案。；複数のチャンネルを視聴したい場合に、パック・セットが用意されている。；ただ鈴木はこれまで音楽番組と縁がなく、紅白も視聴したことがなかった。；隔週金曜日の正午から新しい回を視聴する事ができる様になっていた。；中にはアダルトアニメ・アダルトゲームなどを視聴しながら行う者もいる。；この数字は、2014年4月現在のテレビ放送視聴率の中で最高である。；それは逆に動かないことであり、その違いを明確にすることで視聴者を味方につけたという。；未成年の多くが視聴できる時間帯であるにもかかわらず性的な描写も見られる。；ただし視聴するだけでは単位を取得することはできない。；開始当初は電気事業連合会と視聴エリア内の電力会社が共同で提供していた。；以外のケーブルテレビ局やブロードバンド経由での視聴は出来なくなった。；残酷描写などが第1期より増えているため視聴年齢制限が掛けられた。；テレビやゲームが好きであり好んで視聴したり遊んだりしていた。；単なるワンセグ受信機器だけで視聴する場合にはこのような画面は表示されない。</t>
        </is>
      </c>
      <c r="J3609">
        <f>HYPERLINK("https://www.weblio.jp/content/視聴", "词义详情")</f>
        <v/>
      </c>
      <c r="K3609">
        <f>HYPERLINK("https://yourei.jp/視聴", "查看例句")</f>
        <v/>
      </c>
    </row>
    <row r="3610">
      <c r="A3610" t="inlineStr">
        <is>
          <t>市町村</t>
        </is>
      </c>
      <c r="B3610" t="inlineStr">
        <is>
          <t>成功</t>
        </is>
      </c>
      <c r="C3610" t="inlineStr">
        <is>
          <t>読み方：しちょうそん
市と町と村。一定の区域をその存立の基礎とし、区域内の住民を構成員として、一定の自治権をもつ基礎的な地方公共団体。</t>
        </is>
      </c>
      <c r="D3610" t="inlineStr">
        <is>
          <t>市町村再編(3%)；市町村単位；市町村圏；市町村別；市町村令</t>
        </is>
      </c>
      <c r="E3610" t="inlineStr">
        <is>
          <t>自治体；市制</t>
        </is>
      </c>
      <c r="F3610" t="inlineStr">
        <is>
          <t>周辺市町村；隣接する市町村；近隣市町村；全市町村；広域市町村</t>
        </is>
      </c>
      <c r="G3610" t="inlineStr">
        <is>
          <t>市町村長；市町村制；市町村歌；市町村議会；市町村章</t>
        </is>
      </c>
      <c r="H3610" t="n">
        <v>29</v>
      </c>
      <c r="I3610" t="inlineStr">
        <is>
          <t>以下は一部であり、これ以外の多数の市町村に於いても制定されている。；全国集計の基礎となる県や市町村レベルの値も、一部で公表されている。；建築・消防法規上の書類で実際にそのように分類している市町村も多い。；さらに郡は市町村に分けられ、国王がその長を任命することになっていた。；人口密度は京都府内の市町村でも群を抜いて高く、全国でも上位に入る。；一般的に郡は複数の市町村を域内に含んでいるが、いくつかの例外がある。；これらの話は、各地の地誌や市町村史類に記載されていることも多い。；かつては州と市町村の間に郡があったが、1980年代に廃止された。；この地域は他の市町村と同じく、農業用水を確保するための溜池が多い。；西岸海洋性気候に属する観測地点が存在するのは以下の市町村である。；亜寒帯湿潤気候に属する観測地点が存在するのは以下の市町村である。；複数の市町村に住む広範囲の住民が利用することを目的とした公園。；国土交通省が基準として定めている都市圏では以下の市町村が含まれる。；国道17号とほぼ並行し、一部区間を除き同じ市町村を経由している。；カッセル市の行政構造はヘッセン市町村法に基づいて整備されている。；日本人名の刻印記載は都道府県別で、沖縄県人は市町村別になっている。；市町村の合併によって、現在以下の地域が指定都市移行を目指している。；日本の温帯林を代表する樹木で、以下の市町村の木に指定されている。；カッセルに合併したかつての独立した市町村は以下の通りである。；温暖湿潤気候に属する観測地点が存在するのは以下の市町村である。；この学校には、近隣市町村からの生徒を含め、約365人が在籍している。；近年では市町村が運営するコミュニティバスの運行も数多く受託している。；ツンドラ気候に属する観測地点が存在するのは以下の市町村である。；温帯夏雨気候に属する観測地点が存在するのは以下の市町村である。；県全体の面積は日本一面積の大きい市町村である岐阜県高山市よりも狭い。；日本国内の市町村および区が、防災行政のために設置・運用するものである。；その後、周辺市町村との合併統合を経て鎌倉市の大字となり今に至る。；消防本部が置かれていない市町村では消防団が主として消防活動を行う。；サバナ気候に属する観測地点が存在するのは以下の市町村である。</t>
        </is>
      </c>
      <c r="J3610">
        <f>HYPERLINK("https://www.weblio.jp/content/市町村", "词义详情")</f>
        <v/>
      </c>
      <c r="K3610">
        <f>HYPERLINK("https://yourei.jp/市町村", "查看例句")</f>
        <v/>
      </c>
    </row>
    <row r="3611">
      <c r="A3611" t="inlineStr">
        <is>
          <t>質</t>
        </is>
      </c>
      <c r="B3611" t="inlineStr">
        <is>
          <t>成功</t>
        </is>
      </c>
      <c r="C3611" t="inlineStr">
        <is>
          <t>読み方：しち
⇒しつ</t>
        </is>
      </c>
      <c r="D3611" t="inlineStr">
        <is>
          <t>質的(2%)；質子；質土器；質マグマ；質溶岩</t>
        </is>
      </c>
      <c r="E3611" t="inlineStr">
        <is>
          <t>気；地；性；キャラクター；性格</t>
        </is>
      </c>
      <c r="F3611" t="inlineStr">
        <is>
          <t>粘土質；岩質；糖タンパク質；繊維質；葉質</t>
        </is>
      </c>
      <c r="G3611" t="inlineStr">
        <is>
          <t>質量；質素；質屋；質感；質的</t>
        </is>
      </c>
      <c r="H3611" t="n">
        <v>29</v>
      </c>
      <c r="I3611" t="inlineStr">
        <is>
          <t>構成といい、絵といい、とても質の高いもので、こんなの見たこと無い。；鉄などの金属系の元素を多数取り込んだため金属質な体表となっている。；面白いもの、良いものがあれば値段、質に関係なくどんどん使うという。；飼育下でも雑食性の種類は植物質と動物質の餌を適度に与えた方がよい。；細胞膜タンパク質の検出や細胞の粘弾性力の測定などに用いられている。；医療機関の質は悪くないが、医療サービスの質はあまり良いとは言えない。；こういった事情も、モーニングサービスの質や量を向上させた背景にある。；世界から珍しい素材や質の高い皮を集めて製品を作っていた。；良質なたんぱく質が多く含まれており、皮を取るとさらに低脂肪である。；肩肉のチョップはたいていロインよりも質が落ちると考えられている。；ただきれいというだけではなく、声の質をもって、ものを言うという才能。；このような質的な労働力の低下と無理な増産も部品の劣質化につながった。；日本の外食産業は成熟期に入り、価格から質へと方向が変化している。；一皿数百円の価格設定で寿司ネタの質が相対的に高い店は対面型が多い。；後者は、重い有機化合物を含む炭素質の物質や岩石であると考えられる。；日本では岩手県久慈市で、質は良く、量は世界スケールで見れば少ない。；特にこの頃の比較的早い時期に生産されるものが質のよいものとされ、貴重だという。；現在は住宅はおおむね行き渡ったとされ、質の向上が求められている。；このころにはすでに質の高い仕事で評判になっていた。；近年はオイルサンドを採掘して得られる重質油が主力になっている。；米が豊作の年には、米の質の関係から、醸造に失敗しやすい事もある。；最初の二つの質に何か稀で目覚ましい状況を加えてみたまえ。；そのため核がないのにもかかわらず、この顆粒質が核のように見えることもある。；いずれにせよ、保存環境やディスクの質によって寿命は大きく変化する。；意識という言葉のもつもうひとつの意味は主観的な経験、現象的な質である。；同時期の土師器とは色と質で明瞭に区別できるが、一部に中間的なものもある。；一方で彼らの主張を直接的に裏付ける証拠は、一般的に質が低いものである。；中心質にはふつうDNAが存在するため、この領域は核質ともよばれる。；質の高い番組がより多く制作・放送されることを目的に、2005年に制定した賞。</t>
        </is>
      </c>
      <c r="J3611">
        <f>HYPERLINK("https://www.weblio.jp/content/質", "词义详情")</f>
        <v/>
      </c>
      <c r="K3611">
        <f>HYPERLINK("https://yourei.jp/質", "查看例句")</f>
        <v/>
      </c>
    </row>
    <row r="3612">
      <c r="A3612" t="inlineStr">
        <is>
          <t>実</t>
        </is>
      </c>
      <c r="B3612" t="inlineStr">
        <is>
          <t>成功</t>
        </is>
      </c>
      <c r="C3612" t="inlineStr">
        <is>
          <t>読み方：さね
《「真(さ)根(ね)」の意》
１果実の中心にある堅い部分。種。
２板と板をつなぎ合わせるとき、一方の板の側面に作る細長い突起。
３陰核。
４障子や壁の下地となる骨組み。壁下地。
５根本のもの。実体。
「学問し候ふべき器量などのあるを後世者(ごせぢゃ)の—と申しあひて候ふなり」〈一言芳談〉</t>
        </is>
      </c>
      <c r="D3612" t="inlineStr">
        <is>
          <t>実朝(2%)；実数直線；実用品；実娘；実部</t>
        </is>
      </c>
      <c r="E3612" t="inlineStr">
        <is>
          <t>実際；種；事実；まったく；全く</t>
        </is>
      </c>
      <c r="F3612" t="inlineStr">
        <is>
          <t>実績；実休；実動；実軸；実射</t>
        </is>
      </c>
      <c r="G3612" t="inlineStr">
        <is>
          <t>実施；実現；実は；実験；実行</t>
        </is>
      </c>
      <c r="H3612" t="n">
        <v>29</v>
      </c>
      <c r="I3612" t="inlineStr">
        <is>
          <t>石から鉄になっても中実の砲弾ではそれほど使用法に変化はなかった。；従ってこの実身数制約を拡張するためには、再設計と実装が必要である。；一般の平面角の大きさは、単位となる角の大きさの実数倍で表しうる。；また、実のところその建設については法的根拠があるわけでもなかった。；突然一人の僧が現れ、手に持っていた梨の実を私に与えて食べさせてくれた。；ハイチは反乱軍に占拠された北と政府に維持された南とに実上分割された。；失ったものは帰ってくるのだろうか、いつか思いは実を結ぶのだろうか、と。；代表的な実時間処理による動画生成の用途はコンピュータゲームである。；任意の実でない四元数は に同型な の部分空間上にあることを見よう。；植物を栽培して花や実を収穫し、市場に売却することなどができる。；母は姉のことをもはや実の娘とはわからなくなっていた。；スロバキア人であった実の父親とは、マルチナが7歳の時に別れている。；義時はそれを聞くと幕府に参じ、政子と実朝の妻を八幡宮に逃れさせた。；ごく稀に夏から秋にかけて温度が高い時に実を結ぶことがある。；実がつかない雄花も食べることができるので、収穫して料理に利用できる。；古事記と同様に物実の持ち主の子とするならば天照大神の勝ちとなる。；投影されたのは実のところ写真ではなく、写真をもとに描かれた絵であった。；ただし、山田線内の実キロ数は旧青山トンネル経由の距離が記されている。；複素数平面上では、虚数全体は複素数平面から実軸を除いた部分である。；梅の実に付いている茎は竹串などで取り除き、傷のある実があれば除く。；これはアダムが知恵の樹の実を喉に詰まらせたとする伝説に由来する。；実部が のときに上記と同じく軌跡は繰り返し原点を通る曲線になる。；長らく理論のみで実観測例がなかったが、チリ地震で観測に成功した。；松田実によると、そのために両親や姉の溺愛を受けて育ったという。；またこの工事に合わせて、国鉄で最初の電子連動装置の実運用が開始された。；ザヒディ種はバグダードを中心に栽培されており、もっとも早く実がなる。；そのような対ふたつの和および実数倍は および で定義される。；二条種と六条種は皮が実と糊状のもので固着しており、はがすのが難しい。；例えば が実数直線 やその区間あるいは の他の部分集合などのときである。</t>
        </is>
      </c>
      <c r="J3612">
        <f>HYPERLINK("https://www.weblio.jp/content/実", "词义详情")</f>
        <v/>
      </c>
      <c r="K3612">
        <f>HYPERLINK("https://yourei.jp/実", "查看例句")</f>
        <v/>
      </c>
    </row>
    <row r="3613">
      <c r="A3613" t="inlineStr">
        <is>
          <t>実益</t>
        </is>
      </c>
      <c r="B3613" t="inlineStr">
        <is>
          <t>成功</t>
        </is>
      </c>
      <c r="C3613" t="inlineStr">
        <is>
          <t>読み方：じつえき
実際の利益。また、実際の役に立つこと。実利。「趣味と—を兼ねる」</t>
        </is>
      </c>
      <c r="D3613" t="inlineStr">
        <is>
          <t>実益的(2%)</t>
        </is>
      </c>
      <c r="E3613" t="inlineStr">
        <is>
          <t>実利</t>
        </is>
      </c>
      <c r="F3613" t="inlineStr">
        <is>
          <t>実利実益</t>
        </is>
      </c>
      <c r="H3613" t="n">
        <v>29</v>
      </c>
      <c r="I3613" t="inlineStr">
        <is>
          <t>金に余裕のある人間が趣味と実益を兼ねて競走馬を買うようなものである。；誰もが嫌がるその仕事だが、彼にとっては趣味と実益を兼ねた物だった。；庄兵衛のいわばそれが内職で、非番の遊びは実益を兼ねているのである。；日本語の勉強が最も趣味と実益とを兼ねているようである。；自らの趣味・実益である野球の取材を中心に活動する。；近藤の旅行好きもまた、趣味と実益を兼ねる域のものとなっている。；やはり趣味と実益をかねて、産婦人科でもやろうかと思ったりした。；多くの文化が、実益と装飾の目的で魚を飼う歴史を持っている。；普通の人には区別する実益がないため、混同されることがある。；しかし両者は一体的に扱われるべきであり、両者を厳密に区別する実益はないとされている。；そこでだ、おまえのやっている趣味と実益の商売、占い師商売というやつ。；心の繋りに実益が伴うとなると結びつきは一層強くなることを鎌足は知っていた。；中国との宗属関係は形式的なもので、実質的には貿易の実益を狙った経済活動だった。；趣味と実益を兼ねたAVの仕事を、なんとしても拡大したい。；まさに趣味と実益を兼ねている、という感じだが、本当にそんなことが可能なのか。；これは、特定の持分について抵当権が設定されている場合などに実益がある。；このように趣味と実益を共に追求するのが村上の特徴である。；趣味と実益とが一致して羨ましいですな、と人から言われる。；だが、こんどは研究のための研究ではなく、趣味と実益と目標と生きがいをかねている。；趣味と実益を兼ねた職業にありついたのだ、とりあえず不平などなかった。；だから実益を兼ねた趣味に走ることにした。；実益のあることを語ろうとして自滅する私を眺めて無上の愉悦を感じる人。；実益があって眠くなるという一石二鳥で、これにまさるものを知らない。；それは、簡単でスリルも実益もある、まさに彼らにうってつけの犯罪だった。；それにしても、先日の五ヶ国の一人旅行は、私に種々の実益を与えてくれた。；つまり趣味と実益を兼ねていたんだな。；確かな医学知識をベースにした健康実益情報を紹介。；戦争もいい、ここに来て実益があったと、わたしゃ、にっこりしたものです。；彼は、なんら実益がありえないような、それまで知られていなかったエネルギーとエンジンを開発しさえしたのだ!</t>
        </is>
      </c>
      <c r="J3613">
        <f>HYPERLINK("https://www.weblio.jp/content/実益", "词义详情")</f>
        <v/>
      </c>
      <c r="K3613">
        <f>HYPERLINK("https://yourei.jp/実益", "查看例句")</f>
        <v/>
      </c>
    </row>
    <row r="3614">
      <c r="A3614" t="inlineStr">
        <is>
          <t>実家</t>
        </is>
      </c>
      <c r="B3614" t="inlineStr">
        <is>
          <t>成功</t>
        </is>
      </c>
      <c r="C3614" t="inlineStr">
        <is>
          <t>読み方：じっか
１自分の生まれた家。生家。また、父母の家。
２旧民法で、婚姻または養子縁組によって他家にはいった者の、元の家。→実方(じつかた)1</t>
        </is>
      </c>
      <c r="D3614" t="inlineStr">
        <is>
          <t>実家近く；実家暮らし；実家住まい；実家へ帰つて；実家杉原氏</t>
        </is>
      </c>
      <c r="E3614" t="inlineStr">
        <is>
          <t>家；室；屋；館；居</t>
        </is>
      </c>
      <c r="F3614" t="inlineStr">
        <is>
          <t>ご実家；裕福な実家</t>
        </is>
      </c>
      <c r="H3614" t="n">
        <v>29</v>
      </c>
      <c r="I3614" t="inlineStr">
        <is>
          <t>実家の寺を継がないことで家族の反対にあったが俳優になる道を歩んだ。；高里の実家を訪れた広瀬は、高里に何の愛情も持たない母親と面会する。；実家の隣に住む7歳上の女の子が持つ電子オルガンを見たのがきっかけ。；彼女が実家へ戻るとその近くにいるためにコロンビア大学で研究を続けた。；現在は実家のナンニーニ菓子店など複数の企業を経営する実業家である。；母の小与は実家の田舎で留加をつれて暮らすことを決意し、町を去った。；東京の実家に戻ると中学進学を希望したが、父の反対で叶わなかった。；梶井は一年次は寮生活をしていたが、病気で実家からの通学に変更した。；そのうち周囲に説得されて結婚するが、すぐに離婚して実家へ戻る。；盛岡市には実家が保存されており、隣には原敬記念館が開設されている。；特に母が心配し、実家に逃げて帰ってくる夢を見て目が覚めることもあった。；アメリカで成功するまで実家にもほとんど帰らなかったといわれる。；中学校を卒業できないまま実家に戻り、父の下で金型工の見習いとなる。；母親が秋田県出身であったため 母親の実家のある秋田県で生まれた。；退院したジェフリーは実家に戻り、父親主催のパーティに出席していた。；彼がその場所を選んだのは母親の実家があるという理由であった。；実家は作家の原田康子宅の隣にあり、小学生時代に原田と交流があった。；素行が母親の実家である交野家へ遊びに行っていた時のことである。；しかし本人の知らぬ間に父と姉は実家を児童養護施設に転用していた。；道子は夫と百合の過去を知り、子どもを連れて実家に帰ってしまう。；ここで当初は草刈藤太の邸に滞在し、間もなく井上聞多の実家に移った。；それ以来実家にいる母に電話をすると、母の口調は自身を心配するものに変わった。；実家が漬物屋だったことで、独特の臭いが影響し、大の漬物嫌いだった。；そして田崎の実家が丸福村にある事を突き止め、単独で現地へと向かう。；場所後には珍しく実家に帰省し、3日間程度はとにかく寝て過ごしていた。；一度は坂戸の実家に戻るが、大正楼からの追っ手が来たため大阪に逃亡。；実家は祖父の代からフランスの陶器やガラス器の輸入業をしていた。；その母の実家の数軒隣りにジャイアント馬場の実家があったと言う。；辛抱の糸が切れたおしんは川の上流にある実家に向かい吹雪の中を歩き出す。</t>
        </is>
      </c>
      <c r="J3614">
        <f>HYPERLINK("https://www.weblio.jp/content/実家", "词义详情")</f>
        <v/>
      </c>
      <c r="K3614">
        <f>HYPERLINK("https://yourei.jp/実家", "查看例句")</f>
        <v/>
      </c>
    </row>
    <row r="3615">
      <c r="A3615" t="inlineStr">
        <is>
          <t>失格</t>
        </is>
      </c>
      <c r="B3615" t="inlineStr">
        <is>
          <t>成功</t>
        </is>
      </c>
      <c r="C3615" t="inlineStr">
        <is>
          <t>読み方：しっかく
［名］(スル)資格を失うこと。「予選で—する」「教育者として—の行為」</t>
        </is>
      </c>
      <c r="D3615" t="inlineStr">
        <is>
          <t>失格処分(6%)；失格者(2%)；失格負け；失格扱い；失格選手</t>
        </is>
      </c>
      <c r="E3615" t="inlineStr">
        <is>
          <t>排除；消去；不適任；不敏；不才</t>
        </is>
      </c>
      <c r="F3615" t="inlineStr">
        <is>
          <t>無期失格；予選失格；プロ失格；全員失格；両者失格</t>
        </is>
      </c>
      <c r="H3615" t="n">
        <v>29</v>
      </c>
      <c r="I3615" t="inlineStr">
        <is>
          <t>ベネズエラの代表が国際的なミスコンで失格となった唯一の例とされる。；野球賭博で失格処分を受けた選手が、初めて現役復帰する事例となった。；ただし参加者が地面や橋に手をつくか、橋から落ちた場合、失格となる。；レース後には輸入部品を使用していたとして数台が失格処分となっている。；規定の人数が勝ち抜けた時点で終了し、最後に残った挑戦者が失格となる。；無期または永久の失格処分を受けた選手は任意引退と同様の扱いとなる。；試合時間は3分で時間内に相手リーダーを失格させたチームの勝利となる。；つまり、選手は勝手に自分や他の選手を失格と見なしてはいけないのである。；ソーヴァリアントは同レースで1着となっていたが失格処分となった。；一方の観客は、間違えた時点で失格となり、次の問題に参加できなかった。；AMPAS側はテレビで初公開された映画ではならないことを理由に失格とした。；ライダーは決められた時間内にスタートラインに並ばないと失格になる。；一度頭部を破壊され失格となったあと、ジョンの手で非公式に修理されていた。；移動自体は車で行うが、食地点到着時に車から降りられなければ即失格となる。；また、所定の時間を超過した場合はどんなに点が高くても失格となる。；ブラバムが同じ機構を用いれば、車検で失格になることは明らかだった。；同レースを失格処分になった後、改めて2レース出場停止の処分を受けた。；逆に操作ミスでラジコンが場外に出た場合もそのラジコンは失格となる。；その上、走ったことが大会ルールに違反しているとして失格の可能性も出た。；失格が減ったからといって、審判が甘くなったことを意味するのではない。；競技中に次の事項のいずれかに該当した競技者は失格となり順位はつかない。；推進剤が切れてもシールドエネルギーが切れても、その時点で失格となる。；さらにスポーツ仲裁裁判所に控訴したが却下され、失格が確定となった。；失格後はダニエル・バーモントが急遽代わりに試合を裁くこととなった。；もっとも、ヘレンは未婚の母であることを理由に失格になっていたが。；しかし、顔面攻撃禁止のルールに慣れず、何度か失格になったこともあった。；ヘビー級の世界戦で失格により勝負が決したのはこれが唯一のケースである。；ピースは最終的にペースが遅すぎるため、黒旗が出されて失格となった。；ガンダムファイトのルール上、頭部を破壊された場合は失格となる。</t>
        </is>
      </c>
      <c r="J3615">
        <f>HYPERLINK("https://www.weblio.jp/content/失格", "词义详情")</f>
        <v/>
      </c>
      <c r="K3615">
        <f>HYPERLINK("https://yourei.jp/失格", "查看例句")</f>
        <v/>
      </c>
    </row>
    <row r="3616">
      <c r="A3616" t="inlineStr">
        <is>
          <t>しっかり</t>
        </is>
      </c>
      <c r="B3616" t="inlineStr">
        <is>
          <t>成功</t>
        </is>
      </c>
      <c r="C3616" t="inlineStr">
        <is>
          <t>読み方：しっかり
［副］(スル)
１物事の基礎や構成が堅固で安定しているさま。
㋐かたく強いさま。「ロープを—（と）結ぶ」
㋑確かでゆるがないさま。「土台の—（と）した建物」
２考えや人柄などが堅実で信用できるさま。「—（と）した意見の持ち主」「論旨の—（と）した論文」
３気持ちを引き締めて確実にするさま。「—（と）勉強する」「上級生らしく—しなさい」
４身心が健全であるさま。また、意識がはっきりしているさま。「—（と）した足どり」「高齢でも頭は—している」
５十分であるさま。たくさん。皮肉をこめていうこともある。「今のうちに—（と）食べておく」「金を—ためこんでいる」
６相場が上昇傾向にあるさま。</t>
        </is>
      </c>
      <c r="D3616" t="inlineStr">
        <is>
          <t>しっかりしろ；しっかりと握りしめ；しっかりつかん；しっかりしてる；しっかりと固定</t>
        </is>
      </c>
      <c r="E3616" t="inlineStr">
        <is>
          <t>十分に；しっかりと；ぴったり；確か；堅く</t>
        </is>
      </c>
      <c r="F3616" t="inlineStr">
        <is>
          <t>両手でしっかり；もっとしっかり；まだしっかり；腕をしっかり；なかなかしっかり</t>
        </is>
      </c>
      <c r="G3616" t="inlineStr">
        <is>
          <t>しっかり者のスズの兵隊</t>
        </is>
      </c>
      <c r="H3616" t="n">
        <v>29</v>
      </c>
      <c r="I3616" t="inlineStr">
        <is>
          <t>その一方で、彼はチームとはいかなるものかをしっかりと理解している。；そしてしっかり勉強して来年入段できなかったら韓国に帰ると約束した。；これらの種類の結合部は非常に隙間なくしっかりと組み合わせられる。；バンド自体がまだしっかりしていないことや、ファンを作ることなど。；テレビアニメ版の方も原作の雰囲気をしっかり出していて人気がある。；表面は飴色になっており、しっかりと味付けされているのが特徴である。；商品の特徴は、濃口のしっかりとした味付けを基本にしている点にある。；しっかり者だが、原作とは逆にテレビや漫画が好きで恋愛にも積極的。；しかし、この頃の学生拳闘連盟はしっかりと規定された組織ではなかった。；ところが球はしっかりと網に引っ掛かるというような芸当も見せていた。；しかし体の軸がしっかり安定しているため、コントロールが安定している。；しっかり者の外見からは想像もつかない天然ぶりをしばしば発揮している。；積算という言葉の定義は、これには学術的なしっかりとした定義はない。；しっかりした足取りで死刑台の階段を上った後、ギロチンで処刑された。；その時にキックを教えてもらったんですが、理論がしっかりしていて驚いた。；その基礎がしっかりしていてこそ、初めてこの変則的な攻めが成功していた。；種の判断がしっかりしていることは分類学の基礎であるから、当然ではある。；子供が音読するのを親がしっかりと聞いてやるとよい効果がでる。；紹介者を必要とし、身元のしっかりした娘であることが求められた。；エノキタケも光のある場所では、柄が短くしっかりした傘を持つ姿になる。；これによりしっかりと骨に結合するインプラント治療が可能になった。；実際勉強になったし、しっかりした芝居ができる役者を目指したかったので。；ここは広くしっかりした造りの邸宅であり、当初は木々で隠されていた。；中年からの入門で噺はうまくなかったが、興行の腕はしっかりしていた。；録音時に映像と音声がしっかり同期していれば、確実に再生時にも同期できる。；一般的には靴をしっかりと固定することで、その走行具の操作性を高める。；しかしこれは何度も打てないので3本目の矢の成長戦略をしっかり打つ。；地図をしっかりと読める力がないと、迷子になってしまう危険もある。；バスケットコートのラインも公式のルールに沿って規定の幅をしっかりとっている。</t>
        </is>
      </c>
      <c r="J3616">
        <f>HYPERLINK("https://www.weblio.jp/content/しっかり", "词义详情")</f>
        <v/>
      </c>
      <c r="K3616">
        <f>HYPERLINK("https://yourei.jp/しっかり", "查看例句")</f>
        <v/>
      </c>
    </row>
    <row r="3617">
      <c r="A3617" t="inlineStr">
        <is>
          <t>実感</t>
        </is>
      </c>
      <c r="B3617" t="inlineStr">
        <is>
          <t>成功</t>
        </is>
      </c>
      <c r="C3617" t="inlineStr">
        <is>
          <t>読み方：じっかん
［名］(スル)
１実際に事物・情景に接したときに得られる感じ。「喜びの—がわく」「人間の弱さを—させられた」
２実際に実物に接したように、生き生きと感じること。「—のこもった話」</t>
        </is>
      </c>
      <c r="D3617" t="inlineStr">
        <is>
          <t>実感する(8%)；実感できる(4%)；実感出来；実感しにくい；実感信仰</t>
        </is>
      </c>
      <c r="E3617" t="inlineStr">
        <is>
          <t>痛感</t>
        </is>
      </c>
      <c r="F3617" t="inlineStr">
        <is>
          <t>強く実感；生活実感；生々しい実感；しみじみと実感；強い実感</t>
        </is>
      </c>
      <c r="H3617" t="n">
        <v>29</v>
      </c>
      <c r="I3617" t="inlineStr">
        <is>
          <t>十四日 今日の様な風を昔の人は野分の風と呼んだのは実感からですね。；岩井の絵の物の拡大は離れて見ては物の実感を一応我々に与へてくれる。；現在でもかつて駅が設置されていた区間では駅間が長いことが実感できる。；そのため鈴木自身ライブを意識した内容であることは実感しているという。；私が男女の器官に相違があるらしいことを実感した、最初の記憶である。；受賞を実感したのは翌日の新聞で自分の顔を見てからと語っている。；この実感が、将来目標を達成するために積極的な行動を起こす動機となる。；又何をか云わんや、という表現はこんな場合の実感を伝え得るのである。；彼は若い男の実感に溢れた言葉に対して、何か返事らしいものを与えた。；すると、和泉との関係がいつもと違って親密になっていくのを実感する。；彼は人間は幸福のために生まれてきた存在であることを実感として悟った。；死が実感として目の前に来た私はまだ死ねない自分を明らかに認めた。；本人は、この経験からプロの声優の凄さを実感したことを語っている。；すると、一晩で良さを実感したと答えた人のほとんどがアスリートだった。；この都市にこんな大地があることを、実感としてわれわれは忘れていた。；講師が学生たちに見せている情報を全ての学生が、より身近に実感できる。；枇杷の花やつひこなひだは実だつたが それは庸事であるが実感である。；バイトとはいえ工場からの帰りにはいつも働いているという実感があった。；そして文学はこの社会的な発見の実感の中にさえも新しい萌芽をもっています。；音楽は国が異なっていても、共通する所が多いんだなと改めて実感出来ましたね。；その時、突如として彼の胸に、福次郎の死が実感として押しよせて来た。；真偽はまずこの今を実感することから始めるべきであるという意味である。；速度に応じて徐々に電圧を上げれば実感的な運転ができるわけである。；自分は愛されているのか、誰のために生きているのか実感が湧かない。；私はこの桜を見て、『本当の人間主義が、ここにある』と実感しました。；このことが荒廃した人々の心を漫画の絵が明るくすることを実感。；本人にとっても、手書きの方が向いているという事を実感できたという。；もしかすると差別はあったのかもしれないが、それを実感したことはない。；このため痛みも快感もなく、果てる彼を見て経験したことを実感した。</t>
        </is>
      </c>
      <c r="J3617">
        <f>HYPERLINK("https://www.weblio.jp/content/実感", "词义详情")</f>
        <v/>
      </c>
      <c r="K3617">
        <f>HYPERLINK("https://yourei.jp/実感", "查看例句")</f>
        <v/>
      </c>
    </row>
    <row r="3618">
      <c r="A3618" t="inlineStr">
        <is>
          <t>質疑</t>
        </is>
      </c>
      <c r="B3618" t="inlineStr">
        <is>
          <t>成功</t>
        </is>
      </c>
      <c r="C3618" t="inlineStr">
        <is>
          <t>読み方：しつぎ
［名］(スル)疑問の点を問いただすこと。特に、議案や動議について、提出者・発議者などに口頭で説明を求めること。「—を打ち切る」</t>
        </is>
      </c>
      <c r="D3618" t="inlineStr">
        <is>
          <t>質疑応答(2%)；質疑者；質疑等；質疑通告；質疑時間</t>
        </is>
      </c>
      <c r="E3618" t="inlineStr">
        <is>
          <t>聞く；質問；問う；尋ねる；聴く</t>
        </is>
      </c>
      <c r="H3618" t="n">
        <v>29</v>
      </c>
      <c r="I3618" t="inlineStr">
        <is>
          <t>併し之は物に就いての考えが私のと違っていることから起こる質疑である。；女優は質疑でサイトに情報の削除を求めたが拒否されたとも供述している。；国会と同様、質疑開催日の前日までに発言通告書を提出する必要がある。；この会議中に多くの質疑がなされ、中でも一番の問題は法律的なものだった。；第2回の放送も取材の結果を報告、質疑応答するためスタジオに出演した。；僕はこの件に付いての言及を一旦打ち切り、 最初の質疑に帰結する。；これにより、参議院では予算委員会での質疑に参加できるようになった。；質疑の後半にもなると、大輔はその内容の八割方を理解することができなかった。；しかし、皮肉にもその質疑の場で爆発事件が起き、多くの死傷者が出てしまう。；議会で質疑が行われた際にいくつか疑問点が投げられたが、政府は以下のように弁明をしている。；衆議院では主に質疑等は行われず専ら後に送られる貴族院で議論されることとなる。；質疑の様子はYouTubeなどにアップロードされ多数閲覧された。；なおしかしつぎのような問題がまだ起ってくるかもしれない。；分解や論証や質疑の代りに、単に次から次へとタッチがありタップがある。；午後図書館にて参加者や案内の方々が質疑や討論をしながら上記項目を執筆した。；彼らの祈祷は大胆にも議論の提出であり、彼らの礼拝は質疑である。；その後彼は年金暮らしとなり、残りの人生を公衆衛生と経済の質疑に捧げた。；さらに同行為が違法ではないかとの質疑が行われた。；伸子はそれに対して何だかぼんやりした質疑とでも云うものを抱いているのであった。；講義の最中にただの一度も質疑を口に出来なかったくせに、学に志すなど言えたものではなかった。；衆議院の質疑記録が該当箇所につき脱漏していることを理由とする。；質疑にて「これは科学と言えるのでしょうか」という疑問が発せられたという。；結局、最初の質疑は、ほとんど発見も進展もないままに終わった。；短時間の質疑のための部屋が一部屋あてられ、それから一般的な教科にもう一部屋があてられた。；これは予算委員会での質疑参加を可能にするためであり、政策的にみた統一会派ではないとしている。；株主総会では株主から渡邊の問題に関する質疑も予想されたが特になかった。；また、訓練の際に行われた委員の質疑と、千葉県警察の回答は以下のとおりである。；それ以上の質疑の何が必要であろう。；恋日先生の友人という時点で、その質疑への解答は持ち合わせているはずなのに。</t>
        </is>
      </c>
      <c r="J3618">
        <f>HYPERLINK("https://www.weblio.jp/content/質疑", "词义详情")</f>
        <v/>
      </c>
      <c r="K3618">
        <f>HYPERLINK("https://yourei.jp/質疑", "查看例句")</f>
        <v/>
      </c>
    </row>
    <row r="3619">
      <c r="A3619" t="inlineStr">
        <is>
          <t>失脚</t>
        </is>
      </c>
      <c r="B3619" t="inlineStr">
        <is>
          <t>成功</t>
        </is>
      </c>
      <c r="C3619" t="inlineStr">
        <is>
          <t>読み方：しっきゃく
［名］(スル)
１失敗したり陥れられたりして、地位や立場を失うこと。「失言がもとで大臣が—する」
２《「脚」を金銭の意の「あし」に通わせて》かかった費用。失費。
「さのみ—もかからず」〈浮・古今堪忍記〉</t>
        </is>
      </c>
      <c r="D3619" t="inlineStr">
        <is>
          <t>失脚する(11%)；失脚後(8%)；失脚させる(3%)；失脚させよ；失脚以来</t>
        </is>
      </c>
      <c r="E3619" t="inlineStr">
        <is>
          <t>失墜；転落</t>
        </is>
      </c>
      <c r="F3619" t="inlineStr">
        <is>
          <t>ナポレオン失脚；事実上失脚；受けて失脚；フルシチョフ失脚；失って失脚</t>
        </is>
      </c>
      <c r="H3619" t="n">
        <v>29</v>
      </c>
      <c r="I3619" t="inlineStr">
        <is>
          <t>王党派はもはやパリでは存在を許されず、フイヤン派は完全に失脚した。；その後は1907年の失脚まで政治にかかわる事はほとんどなくなった。；意知の死後に失脚して隠居した意次の跡は、意知の長男・意明が継いだ。；失脚後の父は家族に、政治のことをほとんど語らなかったという。；満寵とは意見が対立したため、その失脚を狙ったが失敗したという。；この時期に景義らが何らかの事件により失脚した可能性が高いと想定される。；しかし称徳天皇が崩御すると道鏡は失脚、この称号もそれきりとなった。；しかし末期国民公会では暴動に連座して失脚して財政委員会を追われた。；貞親失脚後に跡を継いで政所執事となった伊勢貞宗とは従兄弟にあたる。；失脚以前のような強大な権限は有していないとみられている。；宗尊親王の失脚後、重房が足利氏の被官になったのはその縁とみられる。；しかし、さらに進んで師実を完全に失脚させるためには、教通にも時間が不足していた。；ちなみに水野失脚のころ、沼では謎の怪獣事件が発生したと噂される。；しかしパーペンを失脚させたがっていたシュライヒャーはこの計画に反対した。；しかしこれにより家斉の不興を買った定信は、後に失脚することとなる。；すなわち彼は自身とその軍の栄光を追い求め、失脚するまでそれを再建した。；諸葛亮の死後、魏延とその後継を争い彼を殺したが、後に失脚し自殺した。；林彪国防部長の失脚後は夫の周恩来と江青ら4人組との対立が激化した。；メーヌ公は非嫡出子に落とされて王位継承権を奪われ、失脚してしまう。；結局フーケは国王の不興を買って、間もなく逮捕され、失脚してしまった。；ウィンストン・チャーチルはこの作戦の立案者であったため失脚した。；ナルセがシャーハンシャーになるとカルティールは失脚したとみられる。；その他の中国の報道機関も一斉に事件を報道し、周永康の失脚が確定した。；李厳は失脚後、諸葛亮ならばいずれ自分を復帰させてくれると期待していた。；しかし、ワーテルローの戦いで失脚したため、この構想は実現しなかった。；土橋栄益が龍造寺隆信の失脚を謀った際にも村中城攻めに協力している。；恵公の孫の霊公の時代に斉に復帰し、国氏を失脚させて再び権力を掌握した。；下野した高拱は太監の李芳などと結んで、徐階の失脚を狙うようになる。；その先頭に立っての活躍で、ロベスピエール失脚に決定的な役割を果たした。</t>
        </is>
      </c>
      <c r="J3619">
        <f>HYPERLINK("https://www.weblio.jp/content/失脚", "词义详情")</f>
        <v/>
      </c>
      <c r="K3619">
        <f>HYPERLINK("https://yourei.jp/失脚", "查看例句")</f>
        <v/>
      </c>
    </row>
    <row r="3620">
      <c r="A3620" t="inlineStr">
        <is>
          <t>失業</t>
        </is>
      </c>
      <c r="B3620" t="inlineStr">
        <is>
          <t>成功</t>
        </is>
      </c>
      <c r="C3620" t="inlineStr">
        <is>
          <t>読み方：しつぎょう
［名］(スル)
１職を失うこと。失職。「会社が倒産して—する」
２労働者が労働の能力と意欲とを持ちながら、労働の機会を得ることのできない状態。「潜在—」</t>
        </is>
      </c>
      <c r="D3620" t="inlineStr">
        <is>
          <t>失業中(9%)；失業者(5%)；失業対策(5%)；失業状態(3%)；失業率(2%)</t>
        </is>
      </c>
      <c r="E3620" t="inlineStr">
        <is>
          <t>失職；食い上げ</t>
        </is>
      </c>
      <c r="F3620" t="inlineStr">
        <is>
          <t>高失業；深刻な失業；若者失業；高い失業；膨大な失業</t>
        </is>
      </c>
      <c r="G3620" t="inlineStr">
        <is>
          <t>失業率；失業保険；失業問題；失業手当；失業給付</t>
        </is>
      </c>
      <c r="H3620" t="n">
        <v>29</v>
      </c>
      <c r="I3620" t="inlineStr">
        <is>
          <t>その上、仕事で幸せな人はより早く昇進し、失業する可能性が低くなる。；また山田が失業しなければ自分の働いた分だけは貯金することが出来る。；シンガポールは伝統的に先進国の中で失業率が最も低い国の一つである。；ソノラで唯一操業していた製剤所が閉鎖されて多くの人々を失業させた。；失業した労働者に政府が職を提供するものであったが、まもなく廃止された。；街の一人歩きも油断が出来ませず、いい人たちばかりが失業しております。；OECDは他の諸国に関しても完全雇用失業率の推定値を公表している。；当時、目に見える失業と移民社会とにつながる不満が突出したとされた。；失業対策事業をやっておりますと、健康保険に入れられてしまうんですね。；エヴァの父は失業しており、母と妹弟たちをエヴァひとりが養っている。；ここでの失業とは、仕事はないが積極的に仕事を探している人を指している。；ビリーは失業中であったため、借金を返すことができない状態にあった。；経済全体でみた場合には失業させた方が有意であるとの見方がある。；失業した労働者は職を失った後に健康状態が悪化しているという証拠がある。；いくら貯金があっても失業中じゃなかなか入居させてもらえないぞ、と。；職業を失ったのが失業であるか、初めから職業を持ち得ないのが失業であるか。；ルイ・ブランは失業の原因は市場競争と自由交換であると考えていた。；労働者の指導者は失業を恐れ、戦時の政府工場の生産を続けることを望んだ。；その後、安定した生活を送れるようになる前の2年間は失業していた。；失業した労働者は、住宅ローンの支払いが遅れ、家族に医療を提供する。；同年11月には継続して失業している者は10万人に減少したと発表されている。；失業しないまでも賃銀半額に引下げられた労働者の暮しはどんなものか。；あなたの願いがかなったとしたら、わたしは失業してしまうわけだ。；あの頃は青年の半分ぐらいが失業している時代であった。；また、失業した若者が不法移民や麻薬を輸送する犯罪に関わることもある。；失業給付が充実していれば失業状態を続けようとする意思が働いてしまう。；しかし一度失業すると、小遣取りの口に有りつくのは容易でなかった。；日雇労働者を主な対象とした失業等給付は日雇労働求職者給付金である。；俺が失業して困ってると思って、そんで助けてくれようとしてんのか?</t>
        </is>
      </c>
      <c r="J3620">
        <f>HYPERLINK("https://www.weblio.jp/content/失業", "词义详情")</f>
        <v/>
      </c>
      <c r="K3620">
        <f>HYPERLINK("https://yourei.jp/失業", "查看例句")</f>
        <v/>
      </c>
    </row>
    <row r="3621">
      <c r="A3621" t="inlineStr">
        <is>
          <t>実況</t>
        </is>
      </c>
      <c r="B3621" t="inlineStr">
        <is>
          <t>成功</t>
        </is>
      </c>
      <c r="C3621" t="inlineStr">
        <is>
          <t>読み方：じっきょう
現実のありのままの姿。実際の状況。「—中継」</t>
        </is>
      </c>
      <c r="D3621" t="inlineStr">
        <is>
          <t>実況アナウンサー(7%)；実況担当(2%)；実況席(2%)；実況中継；実況録音</t>
        </is>
      </c>
      <c r="E3621" t="inlineStr">
        <is>
          <t>状態；様子；事実；事情；模様</t>
        </is>
      </c>
      <c r="F3621" t="inlineStr">
        <is>
          <t>レース実況；競馬実況；メイン実況；応援実況；野球実況</t>
        </is>
      </c>
      <c r="G3621" t="inlineStr">
        <is>
          <t>実況放送；実況見分；実況パワフルプロ野球；実況生中継；実況プレイ</t>
        </is>
      </c>
      <c r="H3621" t="n">
        <v>29</v>
      </c>
      <c r="I3621" t="inlineStr">
        <is>
          <t>独立後は主にサッカーを中心としたスポーツ実況の分野で活動している。；これに伴い担当番組も大幅に変わり、スポーツ関係は実況専門となった。；実況は大阪局所属のスポーツ担当アナウンサーが務めるケースが多い。；これが解説を交えながら実況を伝える放送形式を生み出すことになった。；女性アナウンサーが実況やリポートを担当した事例は今まで一度もない。；また、関西の試合も原則TBSのアナウンサーが実況するようになった。；実況アナウンサーも全員、スポーツ担当のアナウンサーとなっている。；スポーツ実況アナウンサーが日替わりで出演し、スポーツ情報を伝える。；スポーツアナウンサーになってから10年ほど、競馬の実況も担当した。；これをきっかけに、以降も実況が野上の担当の場合は襲撃を敢行している。；Ustreamと異なり三段目から解説・実況付きでの配信となっていた。；BSフジの実況は、前年までの地上波中継を模した雰囲気で進められた。；馬券を買った上にそれを実況で話したアナウンサーは他にいない!；福島競馬場で開催される期間の午後のレースを実況中継している。；実況担当の刈屋富士雄アナウンサーもその研究熱心さに驚いていた。；その後プロ・アマの野球を中心とする各種スポーツの実況を担当。；スポーツアナウンサーとしては、全国中継で実況する機会は少なかった。；実況に関しても同様に競馬場からではなくモニターを見ながら行っていた。；発着点の実況・各中継所通過時の音声はテレビと同時音声となっていた。；ゲームタイトルにもなっている実況は、専門のアナウンサーが担当している。；サッカーの実況は年間で200試合以上を担当しているという。；当番組では実況・リポーターともフリーアナウンサーが担当している。；杉浦は団体後期も含め、WARの試合中継でもそのまま実況を担当していた。；ただし、以前から予定されていたスポーツ実況については異動後も担当した。；アナウンサーは担当チームのビジターゲームを実況することもある。；その頃には競馬中継でも実況ローテーションに加わるようになっていった。；テレビの野球中継での実況を、レギュラーで担当するのはこれが初めてであった。；放送席には別にMCや実況担当者を置いていることも多い。；スポーツ中継の実況担当は男性アナウンサーが務めることが圧倒的に多い。</t>
        </is>
      </c>
      <c r="J3621">
        <f>HYPERLINK("https://www.weblio.jp/content/実況", "词义详情")</f>
        <v/>
      </c>
      <c r="K3621">
        <f>HYPERLINK("https://yourei.jp/実況", "查看例句")</f>
        <v/>
      </c>
    </row>
    <row r="3622">
      <c r="A3622" t="inlineStr">
        <is>
          <t>実業家</t>
        </is>
      </c>
      <c r="B3622" t="inlineStr">
        <is>
          <t>成功</t>
        </is>
      </c>
      <c r="C3622" t="inlineStr">
        <is>
          <t>読み方：じつぎょうか
商業・工業・金融業など、経済的事業を営む人。</t>
        </is>
      </c>
      <c r="D3622" t="inlineStr">
        <is>
          <t>実業家福澤桃介；実業家渋沢栄一；実業家兼；実業家ビジナ・イヴァニシヴィリ；実業家ジョン</t>
        </is>
      </c>
      <c r="E3622" t="inlineStr">
        <is>
          <t>業界；事業者；経営者；ビジネスマン；事業家</t>
        </is>
      </c>
      <c r="F3622" t="inlineStr">
        <is>
          <t>アメリカ人実業家；地元実業家；イギリス人実業家；裕福な実業家；男性実業家</t>
        </is>
      </c>
      <c r="H3622" t="n">
        <v>29</v>
      </c>
      <c r="I3622" t="inlineStr">
        <is>
          <t>政治家や時には与党の有力支持者である実業家、学者などが任命される。；実業家のの個人的なコレクションを、彼の邸宅だった館で展示している。；現在は実家のナンニーニ菓子店など複数の企業を経営する実業家である。；実業家・政治家で叙された者については著名な役職のみを記載してある。；同年11月に所有者である日本人実業家自身が搭乗し飛行が行われた。；実業家エズラ・コーネルは、この地域の発展に多大な貢献をもたらした。；浜口の父は建設会社を経営する実業家で、家庭環境は非常に裕福だった。；現在は下北沢でレンタルスタジオを経営するなど実業家の一面も持つ。；亡命後に生まれた娘、ナジア・ドアンは成長してトルコ人実業家と結婚。；慈善事業家の地主かつ実業家でもあったによって1840年に開かれた。；長女はサンフランシスコの図書館員、長男は実業家で父の会社を継いだ。；成功した実業家の子孫は親ほど有能ではないと信じていた。；イギリスの実業家・政治家のの父親でもある。；ウォリアーズは85万ドルでサンフランシスコの実業家団体の手に渡った。；この名古屋電灯の経営に途中から参入したのが東京の実業家福澤桃介である。；実業家時代の千田はキリンビールの輸入販売権を獲得するなど業績を上げた。；現在は、日米スポーツ交流のコンサルティング会社を経営している実業家である。；父と違って軍人にはならず、政治家・実業家として活動した。；これを受けて、実業家や俳優がフランスから他国に移り住む事例が増えている。；実業家からの支援も受けるようになった。；単にテレビに良く出る有名人でなく、実業家として評価されている。；両親は九州出身で、父は福岡市の中洲でクラブを数店舗経営していた実業家であった。；その彼が実際に実験学校を指導することになったのは、という実業家の要請がきっかけであった。；経営が弱体化した中堅会社を実業家らが買収し、グループに組み入れたもの。；経済面では加盟国による実業家委員会や銀行連合体などが設置されている。；この計画にはグラスゴーの実業家であるロバート・グレイが資金を提供していた。；父・常久は後に安田工業の社長などを歴任する実業家となる。；父のクロード・シニアは実業家で、ゲイロードのを務めたこともある。；母マリーはバスク人、父ジョゼフはスイス出身の発明家兼実業家だった。</t>
        </is>
      </c>
      <c r="J3622">
        <f>HYPERLINK("https://www.weblio.jp/content/実業家", "词义详情")</f>
        <v/>
      </c>
      <c r="K3622">
        <f>HYPERLINK("https://yourei.jp/実業家", "查看例句")</f>
        <v/>
      </c>
    </row>
    <row r="3623">
      <c r="A3623" t="inlineStr">
        <is>
          <t>じっくり</t>
        </is>
      </c>
      <c r="B3623" t="inlineStr">
        <is>
          <t>成功</t>
        </is>
      </c>
      <c r="C3623" t="inlineStr">
        <is>
          <t>［副］落ち着いて、また、念入りに物事をするさま。「腰を据えて、—（と）話し合う」</t>
        </is>
      </c>
      <c r="D3623" t="inlineStr">
        <is>
          <t>じっくり見(3%)；じっくりと考え(3%)；じっくりと観察(2%)；じっくり考える；じっくりと眺め</t>
        </is>
      </c>
      <c r="E3623" t="inlineStr">
        <is>
          <t>慎重；慎重に；つくづく；熟；つぶさに</t>
        </is>
      </c>
      <c r="F3623" t="inlineStr">
        <is>
          <t>もう一度じっくり；もっとじっくり；じっくりと見る；じっくりと腰；じっくり味わう</t>
        </is>
      </c>
      <c r="H3623" t="n">
        <v>29</v>
      </c>
      <c r="I3623" t="inlineStr">
        <is>
          <t>これからは計画性を持って、じっくり検討した上で行為に及びましょう。；しかし今は、乗り気になれない理由をじっくりと分析している暇がない。；車で滝を遠くに見ることができるが、じっくりと見るのは容易でない。；彼は天井を見つめながら、もう一度じっくりと頭の中を整理しようとした。；神経の一本一本をじっくりと時間をかけて焼かれているような気分だ。；感情の見えない瞳は、じっくり観察すると人間離れしていることが分かる。；私はサイトの最初からじっくりとすべての写真とメールを見ていった。；さてこれから身の振り方をどうつけるか、じっくり考えねばならなかった。；つまり、ぼくはいろいろじっくり考える時間を稼いだことになるわけだ。；こんどは、仕事に手をつけるまえに、時間をかけてじっくり案をねった。；それに、友人に言うべきことをじっくりと考えておきたかったのです。；忙しくはあったが、彼にはまだこの経験をじっくり味わう時間があった。；彼らがどんな顔をして坐っているか、じっくりと眺めて見るのも一興だな。；もう一度じっくりとあのときのことを考えなおしてみようじゃないか。；ちょうど獣が、鼻づらを地面に当ててじっくり吠える時のようであった。；父親とじっくり顔を合わせるのは、通信簿をもらってきた時だけだった。；何時間か、アニアスの背信行為のことをじっくりと考えさせてやるんだ。；太陽宮の中で三人いっしょに一年かけてじっくり考えるだろうよ。；舟の動きにしたがって、水のじっくりとした圧力が手に伝わってくる。；動物は私のすぐそばまでやってきたので、じっくりと観察することができた。；じっくり時間をかけて話し合えば、最後には笑い話になると思っていた。；もっとじっくりよく見たいけど、あんまりジロジロ見ちゃ悪いみたいで。；じっくりと叩き込んだ腕でないと筆が軽く自由に動いてくれませぬ。；じっくり観察してどうやら男性だと判ったが、男らしい部分も特にない。；ぼくらはじっくりとお互いの体をながめ合ってから、お城へもどった。；部屋の中をじっくりと見回して、続いて自分の両手両足を見詰めてみた。；今日あった出来事は、どれもじっくり考えてみなくてはならないものばかりだ。；夜の後半はじっくり考えを練り、マーシを訪問した時のことを考えよう。；眉根にしわを寄せて、じっくり考えこんでいたが、ようやく返事をした。</t>
        </is>
      </c>
      <c r="J3623">
        <f>HYPERLINK("https://www.weblio.jp/content/じっくり", "词义详情")</f>
        <v/>
      </c>
      <c r="K3623">
        <f>HYPERLINK("https://yourei.jp/じっくり", "查看例句")</f>
        <v/>
      </c>
    </row>
    <row r="3624">
      <c r="A3624" t="inlineStr">
        <is>
          <t>湿気</t>
        </is>
      </c>
      <c r="B3624" t="inlineStr">
        <is>
          <t>成功</t>
        </is>
      </c>
      <c r="C3624" t="inlineStr">
        <is>
          <t>読み方：しっき
⇒しっけ（湿気）</t>
        </is>
      </c>
      <c r="D3624" t="inlineStr">
        <is>
          <t>湿気対策；湿気多し；湿気くさい；湿気っぽい</t>
        </is>
      </c>
      <c r="E3624" t="inlineStr">
        <is>
          <t>水気；湿；湿り気；湿り；しとり</t>
        </is>
      </c>
      <c r="F3624" t="inlineStr">
        <is>
          <t>温暖で湿気；暖湿気；ひどい湿気；じっとりと湿気；適度な湿気</t>
        </is>
      </c>
      <c r="G3624" t="inlineStr">
        <is>
          <t>湿気っぽく；湿気取り；湿気っぽい</t>
        </is>
      </c>
      <c r="H3624" t="n">
        <v>29</v>
      </c>
      <c r="I3624" t="inlineStr">
        <is>
          <t>湿気対策が大事なのは分かるが、どういうわけか俺の方を見てくれない。；それだから風のない雲のないそして湿気の多い晩に露が多い訳である。；湿気のない場所で、彼女の健康に気を使ってくれるところだといいがねえ。；適度な湿気と熱に恵まれているため、植物が十分に育っているのである。；埃と湿気のまざった匂いを感じるが、それは昔もそうだった記憶がある。；壁に湿気と生活のしみがしみついていることは、室内も同じことだった。；中は暖かで湿気が多く、地球のでも火星のでもない植物が繁茂していた。；湿気に強く染みや汚れがつきにくい点を考えれば実用性も高いと言える。；窓から流れこんでくる風が、土の臭いを帯びた湿気たものに変わった。；こんなひどい湿気は決してあなたのお体にもよくはないでしょう。；投げ込んだ火は湿気などのためにすぐに消え、最初の攻撃は失敗した。；これは年中湿気の多い東京の天気に対して全然信用を置かぬからである。；とても変な気分なのは、湿気が多くて暑苦しいせいだろうかと思った。；穴があいた鍋はまた一定した湿気のための植物に掛かるのに使用されていた。；ここのほうがずっと明るく輝いていたが、空気は暑く湿気が多かった。；セメントを混ぜるには湿気が多すぎるので建築は中止せねばならなかった。；湿気は煉瓦壁を通って放射し、壁と外壁の間の空間を通って排出された。；これから地面の下で湿気を食いながら生きて行くよりほかにはない。；東京の雪は湿気が多くてすぐに服が濡れると文句を言うと、檜林が笑った。；「地面の湿気でぬれてねえのはもう残っちゃいねえだ」と彼は答えた。；湿気った階段に足を踏み外した女主人が、滑って落ちてしまったのだった。；また、晴れた日には湿気を取るための虫干しも行っていたと伝わっている。；明け方に風が少し湿気を帯びた重い音になって村雨風な雨になった。；空気がなく湿気だけの場合にはわずかに分解するのみである。；海の湿気は、私の神経痛には、あまりよくないんでございましょうね?；一年中湿気が多くて苔におおわれたような場所で、その上にあの雨だ。；特に湿気の保たれた環境であることは重要らしく、水流の周辺に集中する。；もし僕がいなかったら病気も湿気もいくらふえるか知れないんだ。；京都の湿気のことを考えると、私にはすぐ杉苔の姿が浮かんでくる。</t>
        </is>
      </c>
      <c r="J3624">
        <f>HYPERLINK("https://www.weblio.jp/content/湿気", "词义详情")</f>
        <v/>
      </c>
      <c r="K3624">
        <f>HYPERLINK("https://yourei.jp/湿気", "查看例句")</f>
        <v/>
      </c>
    </row>
    <row r="3625">
      <c r="A3625" t="inlineStr">
        <is>
          <t>躾</t>
        </is>
      </c>
      <c r="B3625" t="inlineStr">
        <is>
          <t>成功</t>
        </is>
      </c>
      <c r="C3625" t="inlineStr">
        <is>
          <t>読み方：しつけ
１《動詞「しつける」の連用形から。「躾」とも書く。「躾」は国字》礼儀作法をその人の身につくように教え込むこと。また、その礼儀作法。「家庭の—がよい」「—が厳しい」
２裁縫で、縫い目や折り目を正しく整えるために仮にざっとあらく縫うこと。また、その糸。「—を掛ける」
３田畑に作物を植え付けること。
４作りつけること。
「笠に—の髭喰ひそらし」〈浄・大織冠・二〉</t>
        </is>
      </c>
      <c r="D3625" t="inlineStr">
        <is>
          <t>躾けら(10%)；躾られ(3%)；躾ける(2%)；躾けた；躾けが</t>
        </is>
      </c>
      <c r="E3625" t="inlineStr">
        <is>
          <t>教育；練習；育成；育ち；稽古</t>
        </is>
      </c>
      <c r="F3625" t="inlineStr">
        <is>
          <t>厳しく躾；厳しい躾；身躾；厳格な躾；きびしい躾</t>
        </is>
      </c>
      <c r="H3625" t="n">
        <v>29</v>
      </c>
      <c r="I3625" t="inlineStr">
        <is>
          <t>以上のことは、家庭だけの躾けで十分の効果をあげることはできません。；動物でも人間でも、言って聞かない奴は殴ってでも躾てやるべきなんだ。；躾けをするには年をとりすぎているし、道理を納得させるには若すぎる。；そこには、幼少のときからの薩摩武士の躾教育が生きていたようである。；主人公の躾役を担当していた為か、今でも時々小言を漏らすことがある。；君はいつだって、誰が見ても躾のいい尊敬されるようなことをやっている。；「きっと息子の躾がよかったんでしょう」 浩吉は窓の外に目をむけた。；が、この話は、わたしにはひどく鮮明に印象づけられた躾け方であった。；私の母が、まるで自分の娘のように大切に育てあげ、躾けてやったのです。；日本でも、このような躾け方をしている家庭があるかも知れない。；その上、そのままにして忘れるなどとは無躾な者があったものでございます。；父親の厳しい躾が、かえってわしを頑なな左利きにさせたのかもしれぬ。；躾けとは言いながら、しかし結局それはわたしの悲痛な詩であったであろう。；また、人にも涙などは見せるものでないように、侍は躾けられている。；もともとこの無躾な田舎女は平気で、主人達の会話に口をはさむのだった。；そしてこの子が正しく生きてゆけるように躾けていただきたいのです。；躾というものは、まだ育つものにしか誰もしようとしないものですものね。；汚い物を口に入れてはいけないと、小さい頃から厳しく躾られてきた。；躾の悪い犬もオウムも、今日は嘘のように何もかもが静まり返っている。；もともと彼は、この年代の、特にこういった無躾な感じの若者が大嫌いだ。；他人の話を立ち聞くような躾を母から受けてはいなかった。；この調子で六年間の訓練を受けたら、たいていの躾は身につくにちがいない。；両親の許へかえって私は、その日から、厳しい躾を母から与えられた。；あなたにできて、ご主人にできないことを、幼い息子たちに躾けて欲しい。；そんな躾の良さからくるなに気なさを、ジョクは嫌いではなかった。；それもあるかもしれないが、それ以上に、家庭の躾がよかったのかもしれない。；最初、陸橋の上で出会ったときに躾をきちんとしておくべきだった。；そんな様子を見ていた下の兄は、時に具末謨を厳しく躾けたりもした。；その目に怒りがこめられていたら、吉住は無躾な自分の発言を悔いただろう。</t>
        </is>
      </c>
      <c r="J3625">
        <f>HYPERLINK("https://www.weblio.jp/content/躾", "词义详情")</f>
        <v/>
      </c>
      <c r="K3625">
        <f>HYPERLINK("https://yourei.jp/躾", "查看例句")</f>
        <v/>
      </c>
    </row>
    <row r="3626">
      <c r="A3626" t="inlineStr">
        <is>
          <t>躾ける</t>
        </is>
      </c>
      <c r="B3626" t="inlineStr">
        <is>
          <t>成功</t>
        </is>
      </c>
      <c r="C3626" t="inlineStr">
        <is>
          <t>読み方：しつける
［動カ下一］［文］しつ・く［カ下二］《「し」はサ変動詞「する」の連用形。「仕」は当て字》
１しなれている。やりつけている。「—・けない仕事なので、はかどらない」
２（「躾ける」とも書く。「躾」は国字）礼儀作法や芸などを教え込む。「子供をきびしく—・ける」
３縫い物にしつけをする。「着物の袖を—・ける」
４植えつける。また、田植えをする。「畑にキャベツを—・ける」
５嫁入りや独立など、娘や息子の身の振り方を決めさせる。
「今時の縁組…美を尽くして—・けける」〈浮・一代女・四〉
６負かす。やっつける。
「千代歳さまに—・けられて無念な」〈浄・冥途の飛脚〉</t>
        </is>
      </c>
      <c r="D3626" t="inlineStr">
        <is>
          <t>調教；訓育；訓練</t>
        </is>
      </c>
      <c r="H3626" t="n">
        <v>29</v>
      </c>
      <c r="I3626" t="inlineStr">
        <is>
          <t>彼女が仔猫を躾ける根気のよさに、わたしはただただ驚くのみでした。；もっとも、羽入は空気みたいな存在だから、叩いて躾けることもできないのだが。；むしろ、彼女の生家は子供を躾ける余裕などない貧しい家だった。；南部の家庭で働く召使いたちの世界にはさまざまな相違があって、それは彼らを躾ける主婦のもつ性格や才能によって違ってくる。；そうならんように親も躾けるし学校でも教えるようにしておりますが、それでも欲望は抑えることはできないものです。；また、食事の前に神への感謝の祈りを捧げるよう子供を躾ける母親の姿は、フランスの中流市民の道徳観をよく表している。；躾けるには、生まれたばかりの今しかない。；だが、これでは躾ける事など不可能だった。；口のわるい大坂によれば、 「あの女は、男でも車でも上役でも、自分の好みに合うように躾けるのがうまい」 という。；両親を凌駕する力を持つ子供を躾けるのは難しいため、十歳頃になると先達の魔術者に預けられて指導を受けることになる。；トイレを躾けるには、尻尾が立つのを見たら直ぐにトイレへ連れて行きそこで済まさせ、褒美に餌を与える。；「飼育動物を躾ける一〇〇の方法」 聞かなければ良かった。；それに、コローン水や本麻のハンカチに一番の喜びを見出だすようにしかやつを躾けることができなかったとしたら、その私がやつにそういったものを与えていけない道理はないだろう?；子供にトラウマを与えるようなオブジェも多く、地元民の中には「悪いことするとまぼろしに連れていくよ」と子供を躾ける親もいるという。；問題の携帯電話をエプロンのポケットに入れ、ベッドの脇に座り直して、あんまり厳しく躾けるのも考えものかしらと、母親は思った。；親が子供を躾けるとき、先ず願うことは、体が丈夫であることの次に、正直な、公明正大な人間になって欲しいということであると思います。；性格は大人しく、物静かで主人家族と遊ぶことが大好きであるが、力が強いのでしっかりと静止が効くように躾ける必要がある。；その継子を厳格に躾けると、継母だから残酷だと言われる。；子供を躾けるのは親の役目だ。；いずれにしても、徹底的な規律の厳しさは婦女子に我慢という理念を植え付けて躾けるには都合が好いのだろうな。；ノツゴが伝承されている地方ではノツゴの名は子供を躾けるためにも用いられており、愛媛の内海村では夜に外出しようとする子供を「ノツゴが憑く」と言って戒め、三間町曾根では夕方遅くまで外で遊んでいる子供は「ノツゴに隠されるから早く帰れ」と言われたという。；彼女は典型的なスコットランドの女性で、家事をしている時は農家のおかみさんのようにたくましく、母親としての自覚をもって子供たちを躾ける時には、オールドミスの家庭教師みたいなプライドと厳しい一面を見せた。；星虫を躾ける時間はもうないわ。；奴らを躾けるには鞭しかないのだ!；女の子にも男の子にも、自分より弱いものに対する思いやりだけは、厳しく躾けるべきで、それが将来、礼儀作法や人格につながり、男の子なら女性に優しく、女の子なら男性に対して優しい心遣いを示すようになるわけだ。；「おばあさん子は三文安い」 という諺をしばしば口にして、きびしく躾けると称し、足がたたないので長いモノサシで私を殴ろうとしたりする。；人を躾けるやり方についても、小さい不正の度重なる方が、まれに大きい不正を犯すよりは重大である、ということを見抜くのは、やはり算用である。；その他は万事母様が預かって躾けるんだ。；陽性のいたずらっ子だったチャルとも、見るからに利発そうなチャピともちがう、おだやかな物腰の太郎は、特別に躾けるわけでもないのにお行儀がよく、食べものの好き嫌いもいわず、きちんと腰をおろして黙々と平らげます。</t>
        </is>
      </c>
      <c r="J3626">
        <f>HYPERLINK("https://www.weblio.jp/content/躾ける", "词义详情")</f>
        <v/>
      </c>
      <c r="K3626">
        <f>HYPERLINK("https://yourei.jp/躾ける", "查看例句")</f>
        <v/>
      </c>
    </row>
    <row r="3627">
      <c r="A3627" t="inlineStr">
        <is>
          <t>実験</t>
        </is>
      </c>
      <c r="B3627" t="inlineStr">
        <is>
          <t>成功</t>
        </is>
      </c>
      <c r="C3627" t="inlineStr">
        <is>
          <t>読み方：じっけん
［名］(スル)
１事柄の当否などを確かめるために、実際にやってみること。また、ある理論や仮説で考えられていることが、正しいかどうかなどを実際にためしてみること。「化学の—」「—を繰り返す」「新製品の効能を—する」
２実際に経験すること。
「自家(おのれ)が—せざる事実は、決して穿(うが)ちがたきものとや思える」〈逍遥・当世書生気質〉</t>
        </is>
      </c>
      <c r="D3627" t="inlineStr">
        <is>
          <t>実験的(6%)；実験用；実験室；実験データ；実験所</t>
        </is>
      </c>
      <c r="E3627" t="inlineStr">
        <is>
          <t>試験；試み；テスト</t>
        </is>
      </c>
      <c r="F3627" t="inlineStr">
        <is>
          <t>発射実験；実験体；実験線；実験部；実験方法</t>
        </is>
      </c>
      <c r="G3627" t="inlineStr">
        <is>
          <t>実験的；実験結果；実験機；実験動物；実験台</t>
        </is>
      </c>
      <c r="H3627" t="n">
        <v>29</v>
      </c>
      <c r="I3627" t="inlineStr">
        <is>
          <t>一見不可能に見えることも再現したり、実験したりしてみせるのが特徴。；商品ごとに個別に実験データを提出し審査を受け許可される必要がある。；いかなる実験も、作品が完成する前に行なわれていると考えたためである。；後の1960年の実験ではこれらが背景効果であることが証明された。；この試みはエジソンが映画の実験を始めた当初からの夢の一つだった。；実験の結果はかつての結果と一致しており、 元素の登録が申請された。；そのようなクレーターがどうやってできるのかも実験で研究している。；これらの実験で、電話が長距離でも作動することをはっきりと証明した。；このため、当初予定した通信実験ミッションのうちいくつかを断念した。；また濃度差エンジンの開発も一部で進められたが実験段階で終わった。；金属を変質させる可能性を信じており、そのための実験も行っている。；そのどちらの研究も反証実験が行われており、結果は否定されている。；これらの実験により温度と熱が異なる概念であることが確立された。；またこの絵にみられる実験や観察は医学に大きな発展をもたらした。；これらの報告によりヨーロッパでは多数の人々が研究実験を行った。；しかし、フェヒナーの実験の解釈については否定的な様々な見解がある。；この実験を行っていた時期はジュールにとって不幸な出来事が続いた。；そのため、その後は王立協会などから研究費を受けつつ実験を続けた。；同年イングランドのサリーにある採石場で初の公開爆発実験を行っている。；なお、干渉縞が現れるためには実験を繰り返し何度も行う必要がある。；スタイルや形態における実験が主題における新しい自由さに加わってきた。；そのため、理論値と実験値とのずれは解消されたとはいえなかった。；ただし、動物の行動や発生といった限定的なものはいくつか実験されている。；このやり方で計算されたイオン化エネルギーは実験と定性的に一致する。；右の図はドルトンが実験を記録する際に使った記号群を示している。；この研究室においては、気象観測や空気抵抗の実験などが行われていた。；VTRには、特に実験を必要をする場合などスタッフが出演することが多い。；一時期は王立協会の実験監督を務め、同協会の協議会の一員でもあった。；予備実験の段階で注意すべきことを箇条書きにすると、以下のようになる。</t>
        </is>
      </c>
      <c r="J3627">
        <f>HYPERLINK("https://www.weblio.jp/content/実験", "词义详情")</f>
        <v/>
      </c>
      <c r="K3627">
        <f>HYPERLINK("https://yourei.jp/実験", "查看例句")</f>
        <v/>
      </c>
    </row>
    <row r="3628">
      <c r="A3628" t="inlineStr">
        <is>
          <t>実現</t>
        </is>
      </c>
      <c r="B3628" t="inlineStr">
        <is>
          <t>成功</t>
        </is>
      </c>
      <c r="C3628" t="inlineStr">
        <is>
          <t>読み方：じつげん
［名］(スル)計画・期待などが現実のものになること。また、現実のものとすること。「—不可能な要求」「夢が—する」「要求を—する」</t>
        </is>
      </c>
      <c r="D3628" t="inlineStr">
        <is>
          <t>実現するため(4%)；実現できる(3%)；実現される(2%)；実現させる；実現可能</t>
        </is>
      </c>
      <c r="E3628" t="inlineStr">
        <is>
          <t>発生；表現；実行；履行；結実</t>
        </is>
      </c>
      <c r="F3628" t="inlineStr">
        <is>
          <t>実現期成同盟；実現する可能性；実現できる可能性；実現不可能な願望；実現せらるべき</t>
        </is>
      </c>
      <c r="G3628" t="inlineStr">
        <is>
          <t>実現主義；実現値</t>
        </is>
      </c>
      <c r="H3628" t="n">
        <v>29</v>
      </c>
      <c r="I3628" t="inlineStr">
        <is>
          <t>このような超高真空を実現するために、下記のような手法が用いられる。；初期にはアーケードゲームにて専用の電子回路を組んで実現されていた。；大日本軌道側も電車化を受け入れたが、結局実現はみることはなかった。；Javaのプラットフォーム非依存性は次のようにして実現されている。；これは他の技術を使うことなく実現可能なイメージの製作が可能だからである。；本鉄道は路線延長を申請または計画したが、いずれも実現していない。；淡路島全体で一つの市となる構想や動きもあったが、実現しなかった。；その結果、小学校への導入は当初の予定どおりには実現しなかった。；柔軟な制度にすることで利害関係者の利益を実現するのが目的である。；統一の動きが何度かあったが、いまのところ実現に至っていない。；また、複数のノードで同じデータを共有することも容易に実現できる。；登場前には窓上にも赤帯を巻くことも検討されたが、実現しなかった。；これを実現するために御茶ノ水駅の前後に立体交差が設置されている。；は当時実現していた他のハイパーテキストシステムとはいくつかの点で異なる。；これは横光利一の好意で改造社に口添えして実現したものであったという。；彼は経済基盤を健全化し、それを実現するために専制的な支配を強めた。；超伝導状態を実現するためには電子系が何らかの凝集状態にある必要がある。；資金も集めて準備も進められたが、この計画も実現しなかった。；脱出装置を予定して開発が始まったが、結局実現はしなかった。；ばねによって実現したい機能に、具体的には次のようなものが挙げられる。；この一連の手順はラグランジュの未定乗数法を用いることで実現できる。；なかなか処女作が実現しない黒澤は、生活のために脚本を書き続けた。；ただし、後述する東海道線への転用があり、湘南色の本系列が実現した。；セットはすべて久米が提供したコンセプトとイメージが実現された。；つまり、ユーザのイメージがすぐ実現するということを重視するのである。；これらの自由を実現するためにはユーザーが全てのコードにアクセスできるようにする必要があった。；こうした調整の結果、需要量と供給量が一致する価格が実現すると考えられる。；経験則も用いたおかげで、こうしたタービンも実現しているのである。；暗号とデジタル署名を実現できる方式として最初に公開されたものである。</t>
        </is>
      </c>
      <c r="J3628">
        <f>HYPERLINK("https://www.weblio.jp/content/実現", "词义详情")</f>
        <v/>
      </c>
      <c r="K3628">
        <f>HYPERLINK("https://yourei.jp/実現", "查看例句")</f>
        <v/>
      </c>
    </row>
    <row r="3629">
      <c r="A3629" t="inlineStr">
        <is>
          <t>しつこい</t>
        </is>
      </c>
      <c r="B3629" t="inlineStr">
        <is>
          <t>成功</t>
        </is>
      </c>
      <c r="C3629" t="inlineStr">
        <is>
          <t>［形］［文］しつこ・し［ク］
１色・味・においなどが濃厚すぎて、後に残る感じである。くどい。「脂が多くて—・い味」
２物事にこだわって煩わしい感じである。また、つきまとってうるさい。執念深い。「—・く追いまわす」「—・い男」
[派生]しつこさ［名］</t>
        </is>
      </c>
      <c r="D3629" t="inlineStr">
        <is>
          <t>しつこいよう(5%)；しつこい男(3%)；しつこいアメリカ人(3%)；しつこいやつ；しつこいんです</t>
        </is>
      </c>
      <c r="E3629" t="inlineStr">
        <is>
          <t>執拗な；悪質な；うんざりする；くどい；見苦しい</t>
        </is>
      </c>
      <c r="F3629" t="inlineStr">
        <is>
          <t>あまりしつこい；あまりにしつこい；なんてしつこい；しつこい雑草；しつこい汚れ</t>
        </is>
      </c>
      <c r="H3629" t="n">
        <v>29</v>
      </c>
      <c r="I3629" t="inlineStr">
        <is>
          <t>それにしつこくつきまとってきたのは意外にも彼女の方からだったんだ。；なぜ私がこのようにシツコイかといいますと、ほかに理由はありません。；小さな音ですが、しつこいので眠っていても目を覚ましてしまうんです。；金のためにきみが彼と一緒にいるのはかまわないが、老人はしつこいぜ。；その激しさ・しつこさ・に堪えられないで死ぬ人間さえあるではないか。；中には「その人の携帯の番号教えてください」としつこく言う客もいた。；しかも彼のほうは情熱的にしつこくくり返し主張を述べたからであろう。；するとこんどはあたしに連れあいになれと、しつこく迫ってきたのです。；柱の後ろから現れた男を見て、先からのやくざ者のしつこさを合点する。；僕がサボッていやしまいかと、何度もしつこく電話してきましたからね。；なぜ彼がそれほどしつこくすすめるのか、わたしには理解できなかった。；あんたたちの裸は、背中までひげもじゃでさ、と女はしつこく叫んでいた。；あまりその勧めがしつこいので、とうとうある日受けて立つことになった。；この数年間でしつこいくらいに繰り返してきた、たったひとつの結論。；それにしても、この男の丹念さというか、しつこさは相当なものである。；頭が焼けて口を利くのもおっくうなのに質問だけしつこくして帰ります。；あまりのしつこさに正は平本からの連絡には出ないようにしていたんです。；でもその後一回電話があっただけで、しつこく勧誘もされませんでしたよ。；しつこく ついてくる カケスにも ますます はらが 立ってきました。；酒を飲むと、しらふのときにも増してねちねちとしつこい性格になる彼。；しつこいようでさっぱりしているのがこの男の気持ちのいいところではある。；しつこくあたってみましたが、この二つの店からはなにもでてきませんでした。；だとしたらあまりしつこく呼びかけたりするのも悪いかもしれん。；あまりしつこくするようなら、こちらとしても対策を考えることになります。；突然訪ねてきた工藤を、靖子にしつこくいい寄っている客だと断定した。；あの百姓は単純そうに見えて、本当に嫌にしつこくて貪欲なのだろう。；そのことを誰かが話したらしく、刑事は美佐子にしつこく事情を質した。；このおげ丸をいま追いつつ、お芦はなおしつこく口にせずにはいられない。；こんなにしつこく顔に歯を立てられたのは初めての経験だった。</t>
        </is>
      </c>
      <c r="J3629">
        <f>HYPERLINK("https://www.weblio.jp/content/しつこい", "词义详情")</f>
        <v/>
      </c>
      <c r="K3629">
        <f>HYPERLINK("https://yourei.jp/しつこい", "查看例句")</f>
        <v/>
      </c>
    </row>
    <row r="3630">
      <c r="A3630" t="inlineStr">
        <is>
          <t>失効</t>
        </is>
      </c>
      <c r="B3630" t="inlineStr">
        <is>
          <t>成功</t>
        </is>
      </c>
      <c r="C3630" t="inlineStr">
        <is>
          <t>読み方：しっこう
［名］(スル)効力を失うこと。「契約は一年で—する」⇔発効。</t>
        </is>
      </c>
      <c r="D3630" t="inlineStr">
        <is>
          <t>失効する(15%)；失効後(3%)；失効情報；失効対策；失効状態</t>
        </is>
      </c>
      <c r="E3630" t="inlineStr">
        <is>
          <t>無効化</t>
        </is>
      </c>
      <c r="F3630" t="inlineStr">
        <is>
          <t>ライセンス失効；条約失効；登録失効；事実上失効；すべて失効</t>
        </is>
      </c>
      <c r="H3630" t="n">
        <v>29</v>
      </c>
      <c r="I3630" t="inlineStr">
        <is>
          <t>しかし、失効制度はあるものの、名義人自らが変更することができない。；しかしながら失効後もしばらくの間この制度の影響を受け続けることになる。；なおいずれもの事後の勅裁がされており、失効とされたものはなかった。；熊本市は以下の区間の特許も保有していたが1937年に失効している。；ドリフトしている最中、壁に自車が衝突するとそのポイントは失効する。；以下の一覧で示されるものの大半は廃止されるか失効している。；既に期限切れで失効していた場合も、ロールバックして再度有効となる。；指定暴力団に指定されていたが1997年の解散と同時に指定は失効した。；しかしそれは市場を失効させるようなことであってはならない。；中華民国の支配領域は条約の発効から失効までの間大きく変化している。；各利用者がこのリストを確認することで公開鍵の失効状況を確認ができる。；移行期間が終了する2021年1月1日以降は、この権利が失効される。；政府側には工事の遅れを理由とし契約を失効させる権利を持っていなかったことが判明した。；しかし4回以内に両方に合格できなければ科目合格は失効してしまう。；回生ブレーキの失効時には自動で空気ブレーキに切替を行う方式である。；他の3つの法律は1802年までに失効するか他の法律に置き換えられた。；ポイント制度もあったが、視聴契約を解約するとポイントは失効とされた。；なお、XMLマスターは認定失効のない資格制度として提供されている。；いっておくけど、あたしのカードを失効させても無駄だからね。；しかし工事が行われることなく1959年に計画は失効している。；日本国憲法施行後の昭和22年に後者が削除されたことにより失効した。；そのポイント失効の影響もあり、年間最終ランクは67位まで下落した。；有効期限は設定されていなかったが、紛失するとポイントは失効する。；カードの最終利用から1年経過すると、会員資格およびポイントが失効する。；マンション・ハウス駅より東側の建設許可は失効することになった。；どのくらいで失効するかのタームは、そのブロックの重要度による。；講習を受けずに教免が失効した者もすべて救済されることとなった。；登記が完了していなかったため、1569年、彼の死とともに失効した。；認証の有効期間は3年間で、更新審査に合格しなければ認証は失効する。</t>
        </is>
      </c>
      <c r="J3630">
        <f>HYPERLINK("https://www.weblio.jp/content/失効", "词义详情")</f>
        <v/>
      </c>
      <c r="K3630">
        <f>HYPERLINK("https://yourei.jp/失効", "查看例句")</f>
        <v/>
      </c>
    </row>
    <row r="3631">
      <c r="A3631" t="inlineStr">
        <is>
          <t>執行</t>
        </is>
      </c>
      <c r="B3631" t="inlineStr">
        <is>
          <t>成功</t>
        </is>
      </c>
      <c r="C3631" t="inlineStr">
        <is>
          <t>読み方：しっこう
［名］(スル)
１とりおこなうこと。実際に行うこと。「職務を—する」
２
㋐法律・命令・裁判・処分などの内容を実際に実現すること。「刑の—」
㋑「強制執行」の略。</t>
        </is>
      </c>
      <c r="D3631" t="inlineStr">
        <is>
          <t>執行する(8%)；執行委員会(6%)；執行される(4%)；執行部(4%)；執行者(3%)</t>
        </is>
      </c>
      <c r="E3631" t="inlineStr">
        <is>
          <t>する；仕事；行う；開催；やる</t>
        </is>
      </c>
      <c r="F3631" t="inlineStr">
        <is>
          <t>法執行；業務執行；職務執行；刑執行；党執行</t>
        </is>
      </c>
      <c r="G3631" t="inlineStr">
        <is>
          <t>執行役員；執行部；執行機関；執行官；執行役</t>
        </is>
      </c>
      <c r="H3631" t="n">
        <v>29</v>
      </c>
      <c r="I3631" t="inlineStr">
        <is>
          <t>こうした専門的な活動は当然のことながら図書館の予算内で執行される。；ある日執行吏が家に来て、この月のうちに家を出ていくように勧告した。；ここには、中国で行われたとみられる数千件の執行は含まれていない。；人口50万人以上の郡には郡執行役を置かねばならないことになっている。；その組織員は、市や郡の条例を含め州内全ての法律を執行する権限がある。；公式の組織になる以前は様々な連邦機関が法の執行を行っていた。；もし治癒しなければ、その後直ちに死刑が執行されるのが普通であった。；しかしこれら条約の執行に抵抗して戦闘を始めるものがいた。；業務を執行する社員が二人以上いるときは、各自が会社を代表する。；死刑の執行は罪人を殺すという行為を実際に行う者を死刑執行人と呼ぶ。；ソビエトの執行委員会は主にメンシェヴィキと社会革命党で構成された。；この議論も否定され、国家はその安全の利益のためにこのような執行ができるものとされた。；アメリカ合衆国のいくつかの州では、ガス室による死刑を執行している。；実はこの小説は、和也が実際に執行した制裁を基にしたものである。；そのため死刑は確定していたものの執行は長く延期となっていた。；また、信託銀行でも遺言信託と称して遺言執行サービスを提供している。；その上で、権限のある行政機関による執行がなされなければならない。；また、その他の役員は会長の指名により執行委員の中から決められる。；また、財産がない場合執行しても、費用倒れになるケースがある。；実際に執行あるいは組織指導をしている要職者に対して用いられることが多い。；番組当初より不定期に予想企画を行い不的中者に罰ゲームを執行する。；差押えは頻繁に執行する一方で、捜索まで実施するケースは限定されている。；補教師は教団の教憲教規上、聖礼典の執行ができないことになっている。；オーストラリア選手協会の執行委員会のメンバーでもある。；その恩赦の申請が却下されて初めて、刑の執行が可能になったのだという。；なお、2020年11月22日執行の選挙の結果は以下のとおりであった。；執行の際には主教が新しく叙聖される者の頭の上に手を置く。；外国判決について承認ないし執行判決を得て日本国内で効力を有することとなる。；これは法律の執行や、政令の制定・執行の責任の所在を明らかにするためである。</t>
        </is>
      </c>
      <c r="J3631">
        <f>HYPERLINK("https://www.weblio.jp/content/執行", "词义详情")</f>
        <v/>
      </c>
      <c r="K3631">
        <f>HYPERLINK("https://yourei.jp/執行", "查看例句")</f>
        <v/>
      </c>
    </row>
    <row r="3632">
      <c r="A3632" t="inlineStr">
        <is>
          <t>実行</t>
        </is>
      </c>
      <c r="B3632" t="inlineStr">
        <is>
          <t>成功</t>
        </is>
      </c>
      <c r="C3632" t="inlineStr">
        <is>
          <t>読み方：じっこう
［名］(スル)
１実際に行うこと。「計画を—に移す」「予定どおりに—する」
２刑法で、故意をもって犯罪を構成する要件にあたる行為を行うこと。
→実践(じっせん)［用法］</t>
        </is>
      </c>
      <c r="D3632" t="inlineStr">
        <is>
          <t>実行する(20%)；実行される(5%)；実行できる(3%)；実行可能(2%)；実行時</t>
        </is>
      </c>
      <c r="E3632" t="inlineStr">
        <is>
          <t>する；使用；利用；行う；実際</t>
        </is>
      </c>
      <c r="F3632" t="inlineStr">
        <is>
          <t>実行すれ；計画実行；実行犯；実行役；実行可能性</t>
        </is>
      </c>
      <c r="G3632" t="inlineStr">
        <is>
          <t>実行委員；実行犯；実行委員長；実行ファイル；実行力</t>
        </is>
      </c>
      <c r="H3632" t="n">
        <v>29</v>
      </c>
      <c r="I3632" t="inlineStr">
        <is>
          <t>両者ともそれを後の第二次世界大戦でより大規模に実行することになった。；近年は計算機を用いて煩雑な計算を実行する方法を研究することが多い。；実行環境を指定しない場合は、ホスト環境を対象にしていることがある。；上記コードをウェブブラウザ上で実行すると、以下の結果が表示される。；特定の条件が成立している限り、特定の処理を繰り返し何度でも実行する。；インストールしなくてもOASYSの基本機能を実行することができる。；ただし、一度に実行状態に移ることができるのは一つのプロセスである。；どれほど優れた戦略であっても、その実行には優れた戦術をも必要とする。；ワードは単独で実行できるため、部分に分けてのデバッグも容易である。；これは、複数のスレッドを同じCPU上で同時に実行できる技術である。；党大会決定の実行に責任をおい、対外的に党を代表し、全党を指導する。；それ以外は陝西省のように13年義務教育を実行している地域もある。；作った主人の命令だけを忠実に実行する召し使いかロボットのような存在。；つまり同時に複数のプログラムを実行することは不可能である。；しかしながら前述のように解釈の問題が数多いため、実行の壁は高い。；午前6時頃には全指揮官から任務は指示された通り実行されたとの報告を受けた。；変更が加えられると、プロジェクトの実行可能性を再評価しなければならない。；実行中は、実施されるべき計画が何であるかを常に意識していなければならない。；そのような場合には、大統領が望む政策を円滑に実行することは困難となる。；入力データと出力データのテープを適当に設定してプログラムを実行した。；アセンブルは比較的単純な規則からなるため、人の手でも実行できる。；以下のような計算は定義されないため実行してはならない。；静的型付けでは、全ての式の型はそのプログラムを実行する前に決定される。；プロセッサはそこに格納されている命令を常に読み取り、実行している。；必要に応じてその他の処理をするスレッドを作り、実行させることもできる。；命令列は、先頭から最後尾に向かって逐次的に実行されるよう記述される。；Pythonはインタプリタ上で実行することを前提に設計している。；メモリ上の実行すべき命令の位置はプログラムカウンタで指定される。；これ以降、立法権は皇帝が二院と調整した上で実行されることになる。</t>
        </is>
      </c>
      <c r="J3632">
        <f>HYPERLINK("https://www.weblio.jp/content/実行", "词义详情")</f>
        <v/>
      </c>
      <c r="K3632">
        <f>HYPERLINK("https://yourei.jp/実行", "查看例句")</f>
        <v/>
      </c>
    </row>
    <row r="3633">
      <c r="A3633" t="inlineStr">
        <is>
          <t>実際</t>
        </is>
      </c>
      <c r="B3633" t="inlineStr">
        <is>
          <t>成功</t>
        </is>
      </c>
      <c r="C3633" t="inlineStr">
        <is>
          <t>読み方：じっさい
［名］
１物事のあるがままの状態。「老人医療の—に目を向ける」「—は経営が苦しい」
２想像や理論でなく、実地の場合。「—に応用する」「—にあった話」「—問題」
３仏語。真如、または無余涅槃(むよねはん)のこと。存在の究極的な姿。
［副］ほんとに。実に。確かに。「あの時は—だめだと思った」「—やってみると難しい」</t>
        </is>
      </c>
      <c r="D3633" t="inlineStr">
        <is>
          <t>実際に起き；実際に体験；実際に現地；実際にそのよう；実際のところ</t>
        </is>
      </c>
      <c r="E3633" t="inlineStr">
        <is>
          <t>事実；まったく；全く；実際に；現実</t>
        </is>
      </c>
      <c r="F3633" t="inlineStr">
        <is>
          <t>実際に稼動；実際に見聞；実際にはほん；しかるに実際；実際に性行為</t>
        </is>
      </c>
      <c r="G3633" t="inlineStr">
        <is>
          <t>実際問題；実際家；実際主義；実際寺；実際の地上位置線</t>
        </is>
      </c>
      <c r="H3633" t="n">
        <v>29</v>
      </c>
      <c r="I3633" t="inlineStr">
        <is>
          <t>実際には、すべての生物で細胞がこの様な構造が見られるわけではない。；実際には、この条件を完全には満たさない国家もいくつか存在している。；実際には何度も観測されてはいたが惑星とは認識されていなかった。；実際の墨俣城は簡易な建築や柵で構成されたものであったとされている。；サッカー選手とは、サッカーにおいて競技を実際に行う者のことである。；実際にはこの作業を1発ごとに行う必要はなく、数発に一度行えばよい。；休刊と称していても、実際には復活せずそのまま廃刊となることも多い。；このヒルベルト空間が実際にどのようなものになるかは系に依存する。；この線と実際の絵を比較すると、窓やテーブルの角のラインが一致している。；そのようなコースでは適当な言語のコンパイラを実際に作らせることが多い。；ただし、死後300年を過ぎてから作られはじめたので実際の姿ではない。；実際は多くの生物でコドンの利用の偏りがこのことに制限を与えるが。；このためネットワークを実際に構築できる技術者を必要としていた。；しかしその後、実際の歩幅はそれよりも小さいことが明らかになった。；実際、それぞれ別の名がつけられているが、大洋はすべて繋がっている。；本研究は治験者が実際に瞑想を行い、ペアワイズ比較を用いて行われた。；ただし彼が実際に観察したものは、内容物を失ったあとの細胞壁であった。；しかし、キリスト教と科学の実際の関係はもっと豊穣で複雑なものであった。；データを分析および解釈する実際のプロセスは、計算生物学と呼ばれる。；発見の時には実際に手を触れないと駄目だとするルールもある。；資料を手にとって見ることができ、実際の本を見ながら探すことができる。；このようなイメージはメモリ上のスタックの実際の構造とはあまり関係ない。；AACやHE-AACは下記に採用されており、実際に利用されている。；実際にはロケットは真空中でも推進可能であり、明らかな誤解である。；極端な場合、実際には統治していない場所を政治的理由から首都と主張することもある。；実際のファイルシステムは使用するOSやドライバーソフトに依存する。；もっとも便宜的に住所を移動することが可能である為実際的な問題にはならない。；指定できる値は8ビットだが、実際には下位5ビット分しか使われない。；実際には、この証明はより強い形のツォルンの補題が正しいことを示している。</t>
        </is>
      </c>
      <c r="J3633">
        <f>HYPERLINK("https://www.weblio.jp/content/実際", "词义详情")</f>
        <v/>
      </c>
      <c r="K3633">
        <f>HYPERLINK("https://yourei.jp/実際", "查看例句")</f>
        <v/>
      </c>
    </row>
    <row r="3634">
      <c r="A3634" t="inlineStr">
        <is>
          <t>実在</t>
        </is>
      </c>
      <c r="B3634" t="inlineStr">
        <is>
          <t>成功</t>
        </is>
      </c>
      <c r="C3634" t="inlineStr">
        <is>
          <t>読み方：じつざい
［名］(スル)
１実際に存在すること。現実にあるもの。「—の人物」「この世に—しない生物」
２哲学で、
㋐意識から独立に客観的に存在するもの。
㋑生滅変転する現象の背後にあるとされる常住不変の実体。本体。</t>
        </is>
      </c>
      <c r="D3634" t="inlineStr">
        <is>
          <t>実在する(21%)；実在性(3%)；実在人物；実在感；実在論</t>
        </is>
      </c>
      <c r="E3634" t="inlineStr">
        <is>
          <t>リアリティ；実存；リアル</t>
        </is>
      </c>
      <c r="F3634" t="inlineStr">
        <is>
          <t>全て実在；歴史上実在；歴史的実在；実在企業；唯一実在</t>
        </is>
      </c>
      <c r="G3634" t="inlineStr">
        <is>
          <t>実在気体；実在性ミリオンアーサー；実在店舗</t>
        </is>
      </c>
      <c r="H3634" t="n">
        <v>29</v>
      </c>
      <c r="I3634" t="inlineStr">
        <is>
          <t>本作のエピソードの多くは、実在する演劇の内容がベースになっている。；なお、実在の人物の名前の発言はピー音で規制されていたこともあった。；多世界という用語を作り、その実在を最初に明確に主張したのはである。；主人公となった実在人物の書状が使用されたのはこの作品のみである。；このころの作品には湖水地方に実在する建物や人物がたびたび登場する。；ちなみに、作品のタイトルは実在の書籍や映画に由来するものが多い。；架空の人物であるとする説もあるが、実在したとする説が主流である。；登場する人物の多くは、彼が実際に会った実在の人物を元にしている。；ホイル状態の実在は確認されているが、正確な特徴はまだ不明である。；日本の歴史上の実在の人物や出来事から題材をとったシリーズの執筆が多い。；主人公のホリーは、複数の実在する人物を混合したキャラクターだった。；キャラクターの一部は、実在の有名人や映画の主人公をモデルにしている。；撮影に使用された建物は、本作製作時に実在した日本航空西嶺寮である。；その姿はトカゲあるいはヘビに似、かつては実在の生き物とされていた。；実在性の低い天皇の一人に挙げられている最大の根拠は伝説的な父と妻を持つためである。；また、星野一義などの自動車関連の実在の人物が登場することも多かった。；実在の存在をモデルとしない、ゲームオリジナルの存在も登場する。；各国、歴史的な実在と比定が確認されているもの、未確認のものがある。；実在する特定の地名、場所などはほとんど明示されることは無かった。；キャラクターの名前の一部は実在の人物や世相をもじったものも多い。；この話は江戸時代に実在した柿木金助という盗賊がモデルになっている。；それは、語られている時間のあいだだけ実在しているものである。；一部の登場人物は実在する通貨や、廃止された通貨と同じ名前の者がいる。；七月革命当時、フランスに実在した政治的秘密結社をモデルにしている。；かれらの活動時期や事跡はもとより、実在したかどうかも明らかではない。；生楽器だけでなく、実在しない楽器も作成することも可能である。；実在の人物としての空海は、弘仁年間には都で密教の普及に努めていた。；しかしこれはあくまで風説のレベルに過ぎず、実在を示した証拠は何もない。；作中の帝北学院付属中学・高校は、実在する京北中学校の可能性がある。</t>
        </is>
      </c>
      <c r="J3634">
        <f>HYPERLINK("https://www.weblio.jp/content/実在", "词义详情")</f>
        <v/>
      </c>
      <c r="K3634">
        <f>HYPERLINK("https://yourei.jp/実在", "查看例句")</f>
        <v/>
      </c>
    </row>
    <row r="3635">
      <c r="A3635" t="inlineStr">
        <is>
          <t>実際に</t>
        </is>
      </c>
      <c r="B3635" t="inlineStr">
        <is>
          <t>成功</t>
        </is>
      </c>
      <c r="D3635" t="inlineStr">
        <is>
          <t>実際に起き；実際に体験；実際に現地；実際にそのよう；実際に試し</t>
        </is>
      </c>
      <c r="E3635" t="inlineStr">
        <is>
          <t>実際；まるで；事実；まったく；全く</t>
        </is>
      </c>
      <c r="F3635" t="inlineStr">
        <is>
          <t>実際にはほん；実際に性行為；実際に性交；実際に素数；実際にはごく</t>
        </is>
      </c>
      <c r="H3635" t="n">
        <v>29</v>
      </c>
      <c r="I3635" t="inlineStr">
        <is>
          <t>実際には、すべての生物で細胞がこの様な構造が見られるわけではない。；実際には、この条件を完全には満たさない国家もいくつか存在している。；実際には何度も観測されてはいたが惑星とは認識されていなかった。；パッコロを採用したルールもあるが、実際にはほとんど普及していない。；天皇の称号が実際に用いられ始めたのもこの時代だと言われている。；実際にはこの作業を1発ごとに行う必要はなく、数発に一度行えばよい。；休刊と称していても、実際には復活せずそのまま廃刊となることも多い。；このヒルベルト空間が実際にどのようなものになるかは系に依存する。；実際には学生部長伊東延吉と事業部長紀平正美が中心となって運営する。；しかし実際には陸奥国の郡数は時代によって増減しており一定ではない。；実際に後述の事情から競争力が低下した古い客船の貨客船落ちもあった。；そのようなコースでは適当な言語のコンパイラを実際に作らせることが多い。；このためネットワークを実際に構築できる技術者を必要としていた。；そのため実際には変換の際に損失があるため二次側でエネルギーが減少する。；しかし実際には三波長形は演色性の面では一般形と高演色形の中間である。；本研究は治験者が実際に瞑想を行い、ペアワイズ比較を用いて行われた。；ただし彼が実際に観察したものは、内容物を失ったあとの細胞壁であった。；実際に金は苦しんでいたが、それ以上に南宋軍の弱体化が顕著であった。；発見の時には実際に手を触れないと駄目だとするルールもある。；しかし実際には爆破テロであったことが後に判明することになる。；彼らは一貫してデザイン画を描いたり、実際に裁縫をすることも多い。；ただし、実際には同じ種類の地形であっても個体ごとの規模は多種多様である。；AACやHE-AACは下記に採用されており、実際に利用されている。；実際にはロケットは真空中でも推進可能であり、明らかな誤解である。；実際にフェルマー数の値の最初の方をいくつか計算してみると、 が得られる。；また実際に巨大な合成数の素因数分解の計算機実験も行われている。；極端な場合、実際には統治していない場所を政治的理由から首都と主張することもある。；しかし、これが実際に通信衛星の開発に着想を与えたかどうかは不明である。；実際に監視付といっても、外出禁止の程度で行動は自由であった。</t>
        </is>
      </c>
      <c r="J3635">
        <f>HYPERLINK("https://www.weblio.jp/content/実際に", "词义详情")</f>
        <v/>
      </c>
      <c r="K3635">
        <f>HYPERLINK("https://yourei.jp/実際に", "查看例句")</f>
        <v/>
      </c>
    </row>
    <row r="3636">
      <c r="A3636" t="inlineStr">
        <is>
          <t>実施</t>
        </is>
      </c>
      <c r="B3636" t="inlineStr">
        <is>
          <t>成功</t>
        </is>
      </c>
      <c r="C3636" t="inlineStr">
        <is>
          <t>読み方：じっし
［名］(スル)法律・計画などを実際に行うこと。「試験を—する」「—要綱」
→実践(じっせん)［用法］</t>
        </is>
      </c>
      <c r="D3636" t="inlineStr">
        <is>
          <t>実施する(11%)；実施される(6%)；実施計画；実施済み；実施機関</t>
        </is>
      </c>
      <c r="E3636" t="inlineStr">
        <is>
          <t>する；行う；やる；実行；達成</t>
        </is>
      </c>
      <c r="F3636" t="inlineStr">
        <is>
          <t>未実施；工事実施；毎年実施；事業実施；作戦実施</t>
        </is>
      </c>
      <c r="G3636" t="inlineStr">
        <is>
          <t>実施設計；実施期間；実施日；実施中；実施主体</t>
        </is>
      </c>
      <c r="H3636" t="n">
        <v>29</v>
      </c>
      <c r="I3636" t="inlineStr">
        <is>
          <t>運用の変更に伴い車両基地の改修・新設・移転などを実施する場合もある。；東京文化財研究所には工事を実施すること自体が知らされていなかった。；したがって、閏秒が実施される年であってもその年を閏年とはいわない。；なお、2006年以降はJRと同日に改正を実施するようになっている。；過去にインターネットで歴代キャラクターの人気投票を実施していた。；これには学校においてスポーツ体育が実施されるようになった影響もある。；特急列車も含めた県内の鉄道のほとんどがワンマン運転を実施している。；メディアの痕跡探しは「メディアの三角形」に集中して実施されている。；その後、東横線用では2007年より間接制御式への変更が実施された。；それらに加え、量産化改造を実施する前の外観は以下のようなものだった。；これを利用して下記のように各社でいろいろな割引サービスを実施している。；この運用線区広域化の過程では、さまざまな改造・対策が実施された。；この年より監督に就任した広岡達朗の下、チームの改革を実施した。；電車緊急特別改造工事の実施項目と施行両数、実施内容は以下の通り。；しかし、選考や授賞式などの諸行事は他の部門と合同で実施されている。；だが同月25日の運転開始を前に終戦を迎えたため未実施に終わった。；上記の急行とは停車駅が異なり、宇治線内でも急行運転を実施していた。；太地町は水銀の影響を受けやすい子供の調査を実施すると発表した。；この状況を解消すべく、所沢市が主体で単独立体交差事業を実施している。；アフガニスタン北部ではドイツ軍などがハレカテ・ヨロ作戦を実施した。；実際のプロジェクト実施は、多くの組織や団体、機関などとの連携で行われる。；その他、その医師の独自の考え方により特殊な治療法が実施されることもある。；庶民に流通するようになったのは改革開放政策実施後のことである。；近年は麻薬密輸や凶悪犯罪対策のために警察支援活動を実施している。；これは3扉化工事とは別件で実施されたため、2扉車にも施工されていた。；車両は動態保存されているものがあり、定期的に展示運転が実施されている。；特に、軌間が同じである川越鉄道とは、直通運転などが実施されていた。；また全ての公立高校で令和5年度からは面接形式で自己表現が実施される。；そのため、当駅はホームの12両編成対応への改築工事などが実施される。</t>
        </is>
      </c>
      <c r="J3636">
        <f>HYPERLINK("https://www.weblio.jp/content/実施", "词义详情")</f>
        <v/>
      </c>
      <c r="K3636">
        <f>HYPERLINK("https://yourei.jp/実施", "查看例句")</f>
        <v/>
      </c>
    </row>
    <row r="3637">
      <c r="A3637" t="inlineStr">
        <is>
          <t>実質</t>
        </is>
      </c>
      <c r="B3637" t="inlineStr">
        <is>
          <t>成功</t>
        </is>
      </c>
      <c r="C3637" t="inlineStr">
        <is>
          <t>読み方：じっしつ
１実際に事物に備わっている内容や性質。「形式ばかりで—が伴わない」⇔形式。
２臓器の本来の生理機能を営む組織。→間質(かんしつ)
[補説] 「実質的に」の意で、副詞的に用いられることもある。「両者は—同じと考えられる」</t>
        </is>
      </c>
      <c r="D3637" t="inlineStr">
        <is>
          <t>実質的(50%)；実質上(9%)；実質gdp；実質価値；実質不可能</t>
        </is>
      </c>
      <c r="E3637" t="inlineStr">
        <is>
          <t>実；本質；エキス；エッセンス；眼目</t>
        </is>
      </c>
      <c r="F3637" t="inlineStr">
        <is>
          <t>実質経営；実質細胞；実質炭素；実質法；実質細胞外液</t>
        </is>
      </c>
      <c r="G3637" t="inlineStr">
        <is>
          <t>実質賃金；実質金利；実質所得；実質無料；実質臓器</t>
        </is>
      </c>
      <c r="H3637" t="n">
        <v>29</v>
      </c>
      <c r="I3637" t="inlineStr">
        <is>
          <t>これらのことから実質、作品に登場するほとんどの者が彼らの敵である。；実質的な権限を持つ大統領が、議会から選出される政治体制も存在する。；こうして実質は地方政権ながらも、劉嬰はついに皇帝となったのである。；そのため、個人の実質的な一定の閾値以上の効用確保を目指すのである。；国民生活の改善や国力増大の基準として実質成長への関心のほうが高い。；う蝕とは、歯の実質欠損のなかで、生物的要因が原因であるものである。；このため、国民生活は実質的な収入金額以上に安定しているといえる。；都市にその名前を与えた古い村は、新しい都市の実質的な出発点ではなかった。；なお、指定か私設かで実質的に制度が大きく異なるものではなかった。；しかし、実質的な支配者は綱房であり、高照は不安を抱いていたという。；以後はプレーせず、この2005年シーズン限りで実質引退状態となった。；実質53分の日本の当初の民放版ではさらに多くの場面が省略されている。；実質的にこの共同体は権利を保有しているが、土地を売ることはできない。；ちなみに同話は本シリーズの実質的な最終制作作品となった。；その後の産業革命の動力を担った蒸気機関の実質的な発明とされている。；実質的な領域もドイツとボヘミアに限られるようになっていった。；それ以前は元特急車である2000形が実質的な急行専用車となっていた。；幕府は実質的な敗北を認めざるを得ず、21日には休戦の勅許を得ていた。；日本とソ連はモンゴル人民共和国と満州国を相互に実質的に承認した。；登記上の本店とは別に、通称渋谷本社が実質的な本社機能を担っている。；また業務面でも浅井企画と提携しており、実質的な兄弟会社と言える。；実質的な開祖は基であるため、法相宗では玄奘を鼻祖と呼び分けている。；一方で1422年まで李芳遠が上王として実質的な権力を保持していた。；いろいろ難しいのは分かるが日本の空とシーレーンの防衛は実質的な改善を要求する。；そのため権利の性質と規定の実質に従って判断すべきとされる。；特急列車の大半が停車する小淵沢駅が実質的な玄関口となっている。；これに対して、明石も本部との絶縁を宣言して灯台社は実質上消滅した。；ただし人種平等が実質化するのは1960年代の公民権運動以降である。；ここから実質的なアメリカのメディア・リテラシー運動が始まった。</t>
        </is>
      </c>
      <c r="J3637">
        <f>HYPERLINK("https://www.weblio.jp/content/実質", "词义详情")</f>
        <v/>
      </c>
      <c r="K3637">
        <f>HYPERLINK("https://yourei.jp/実質", "查看例句")</f>
        <v/>
      </c>
    </row>
    <row r="3638">
      <c r="A3638" t="inlineStr">
        <is>
          <t>実社会</t>
        </is>
      </c>
      <c r="B3638" t="inlineStr">
        <is>
          <t>成功</t>
        </is>
      </c>
      <c r="C3638" t="inlineStr">
        <is>
          <t>読み方：じっしゃかい
観念的、理論的に考えられた社会に対して、現実の社会。実世間。</t>
        </is>
      </c>
      <c r="D3638" t="inlineStr">
        <is>
          <t>実世界；実生活；現実界；活社会</t>
        </is>
      </c>
      <c r="H3638" t="n">
        <v>29</v>
      </c>
      <c r="I3638" t="inlineStr">
        <is>
          <t>あたしたちは実社会にでても二人で離れずにやっていこうと決めていた。；その時、どんな思いが、実社会へ進む人たちの胸を占めることであろう。；誰が馬琴の『侠客伝』などを当時の実社会の反映だとはいい得ましょう?；一六歳になれば実社会を体験させることも必要と、近くの店に働きに出したのだ。；何時か彼は詩人であるよりも実社会の人であると思つた事はあるかも知れない。；あの人は実社会から引退してしまって、自分の好きなゲームをしているんですよ。；ところが、実社会の生活においては、絶対にそういうことが許されない。；はじめから実社会に出て生活と一緒に出発してしまいました。；それは、周囲に活動する実社会とは直接何らの関係もない淋しさでもあろう。；ただ一方では実社会や潮流から取り残されている事へのただの反発との批判もある。；実社会の経験を重ねてきた彼女には、そういう点はよく見抜けた。；誰でも実社会に出るよりは、上級学校に進むことを望んだと考えられていたものだった。；この法令が実社会においてどのように運用・解釈されているのかも記述して下さい。；このまま、何もしないで実社会へ出てしまったら、どうなるか。；受験戦争だってあるし、実社会なんて牢獄のようなところに決まっている。；父親は、家庭の外の実社会を自分の身で体験している。；実社会との持ちつ持たれつを学ぶことも必要。；一度堕落のどん底に沈んだ青年の彼は、実社会には死んだ人間であらねばならないのだ。；いや実社会における方が生活がかかっているだけにはるかに切実で苛酷である。；けだし当時の実社会に生存して居たものを取り来ってその材料に使ったのであります。；二人は大学にいた頃は通り一遍の交際だったが、実社会へ出て机を並べると事が早い。；そんな家庭環境だったから大学へは進まず、高校卒業後すぐに実社会に飛び込んだ。；高校や多くの文系の大学の授業と実社会との間には、彼らが渡っていくべき橋が架かっていない。；それにも関わらず、このような明確な線引きが実社会ではよく見受けられる。；けれども実社会では、いつでも、何でもが混乱しております。；この学部は実社会で活躍できる人材の育成を目標としている。；一つはその仮作物語と実社会と並行線なのであります。；この一点によって、文学は実社会と最も密接な交渉を持つだろう。；MBAでは実社会での内容ある勤務経験が要求される。</t>
        </is>
      </c>
      <c r="J3638">
        <f>HYPERLINK("https://www.weblio.jp/content/実社会", "词义详情")</f>
        <v/>
      </c>
      <c r="K3638">
        <f>HYPERLINK("https://yourei.jp/実社会", "查看例句")</f>
        <v/>
      </c>
    </row>
    <row r="3639">
      <c r="A3639" t="inlineStr">
        <is>
          <t>実習</t>
        </is>
      </c>
      <c r="B3639" t="inlineStr">
        <is>
          <t>成功</t>
        </is>
      </c>
      <c r="C3639" t="inlineStr">
        <is>
          <t>読み方：じっしゅう
［名］(スル)講義などで学んだ技術や方法などを実地または実物にあたって学ぶこと。「病院で—する」「教育—」</t>
        </is>
      </c>
      <c r="D3639" t="inlineStr">
        <is>
          <t>実習室(6%)；実習生；実習用；実習施設；実習訓練</t>
        </is>
      </c>
      <c r="E3639" t="inlineStr">
        <is>
          <t>実際；実行；練習；習慣；慣れ</t>
        </is>
      </c>
      <c r="F3639" t="inlineStr">
        <is>
          <t>航海実習；体験実習；乗船実習；漁業実習；実習場</t>
        </is>
      </c>
      <c r="G3639" t="inlineStr">
        <is>
          <t>実習助手；実習船；実習教諭；実習併用職業訓練</t>
        </is>
      </c>
      <c r="H3639" t="n">
        <v>29</v>
      </c>
      <c r="I3639" t="inlineStr">
        <is>
          <t>実習の途中で自身の指名を知り、生徒達からは思わぬ拍手喝采を受けた。；また、それら実習を行うために必要な知識的授業も多く行われている。；レーギスの褐炭工場で毎年行われるの実習も、教育内容に含まれていた。；つまり、実習と概念知識の両方が伴わなければならぬということになる。；隣接する早稲田大学をはじめとする複数の大学との連携実習が行われている。；また家庭科の授業では、老人ホームや保育園での実習を取り入れている。；原勉のゼミに所属し、ゼミの一環でレストランなどでの実習も経験した。；また企業でも職業実習を行うデュアルシステムが取り入れられている。；フィールドワーク型の授業と実習を多くカリキュラムに取り入れている。；実習のために付けた火が完全に鎮火していなかったのが出火原因と見られる。；公教育の一環としての任務のほかに、教育学部学生の実習の場でもある。；また、低予算でも製作が可能なため、映画学校で実習として作成される。；大学の教育の一部に、企業での実務実習が組み込まれている事も多い。；本格的な臨地実習は2年次の後期に行われ、半年間実習を行うこととなる。；教室の他に実習室が多くあり、作業機器など実習設備も充実している。；伊勢学園高等学校に隣接しており、同校の保育実習にも利用されている。；もう1年実習を続ける場合が多いが、それは義務的なものではない。；このほかに、家庭科調理室・機械実習棟・芸術棟などの建物も設置されている。；救急救命士学校養成所指定規則には、例えば以下のような実習名がある。；ロボット学校の仲間といっしょに人間の世界に実習に来た。；県下で初めて演技実習室が導入された学校としても有名である。；宇治に人を派遣して、現地で数年間実習させていたとも伝えられる。；学生の航海実習の他に、大学等の研究・調査にも使用されている。；生徒たちは授業だけでなく実習も交換して行われている。；今日は概念についてだけにしておいて、この次から実習について語ります。；実習校の確保にあたっては、在籍する大学等によって次の方法が存在する。；授業は机上の一斉講義ではなく、生徒が自ら行う実験実習が主体とされた。；ドラマは、ジョン・カーターの病院実習の第1日目の出来事から始まる。；実習を主目的とすることからそのように呼ばれている。</t>
        </is>
      </c>
      <c r="J3639">
        <f>HYPERLINK("https://www.weblio.jp/content/実習", "词义详情")</f>
        <v/>
      </c>
      <c r="K3639">
        <f>HYPERLINK("https://yourei.jp/実習", "查看例句")</f>
        <v/>
      </c>
    </row>
    <row r="3640">
      <c r="A3640" t="inlineStr">
        <is>
          <t>実情</t>
        </is>
      </c>
      <c r="B3640" t="inlineStr">
        <is>
          <t>成功</t>
        </is>
      </c>
      <c r="C3640" t="inlineStr">
        <is>
          <t>読み方：じつじょう
１物事の実際の事情・情況。「被災地の—を調査する」
２（実情）偽りのない心情。真情。まごころ。「—を尽くす」</t>
        </is>
      </c>
      <c r="D3640" t="inlineStr">
        <is>
          <t>実情調査；実情視察</t>
        </is>
      </c>
      <c r="E3640" t="inlineStr">
        <is>
          <t>状態；実際；様子；事実；事情</t>
        </is>
      </c>
      <c r="F3640" t="inlineStr">
        <is>
          <t>そうした実情</t>
        </is>
      </c>
      <c r="H3640" t="n">
        <v>29</v>
      </c>
      <c r="I3640" t="inlineStr">
        <is>
          <t>彼らは初めてチベットの実情をヨーロッパに伝えたことで知られている。；毎回様々な分野の実情をテーマにしたドキュメンタリーを放送していた。；このとき辻はソ連のさまざまな人と会話をして、ソ連の実情を看破した。；ところが私は、実情がそうなっていることを以前には意識しなかった。；代々の庄屋として神社の実情に最も通じていたと考えられるからである。；地域の実情に合わせて様々な手法を組み合わせ、交通静穏化を実施する。；実情としては武器・兵器の調達はその価格のため更新が進んでいない。；実情は全ユースのただの噛ませ犬でしかない寄せ集めのチームであった。；残る2回の開催でも反対が大勢で、町の主張通りの実情が示された。；しかし実情ではすでにこの頃、両者間には潜在的な不和が生じていた。；あの事件をこんなふうに述べては、当時のスペインの実情を無視することになる。；法律なんて、警察が勝手にどうにでも作るのが実情なのですから。；即ち、其処に多数の人心のまさに動き始めた実情を察するにあまりある。；ジェンキンスの耳戦争が始まるとイギリス軍艦の実情が明らかになった。；これらは、初代教会の実情を知る上での重要な資料を提供している。；現在では夢分析も改良され、広く現代人の実情を考慮した分析が多い。；芝居の方がずっと正確に、社会の実情を伝えてくれるのだった。；しかし、ソ連の食の実情は政府の宣伝とは大きく異なっていた。；これらからけっしてすべての障害者が働きたいとは思っていない実情がある。；人口・農地が少ないという当時の日本の実情に沿ったものであろう。；また、法的な定義は必ずしも実情を適切に表しているわけでもない。；改編期に合わせた形ではあったが、実情は打ち切りそのものだったという。；以上の状態により、ICDの大半は医師が占めているのが実情である。；だがわが国の実情問題として見る時、この大衆はどういうものであるか。；だが、兵力からいっても、毛利氏の追撃は無理であったのが実情である。；このためそこでつまずいてしまい、あまり研究が進んでいないのが実情である。；先づ今日、芝居を観に行かないといふのが、智識階級の実情であります。；それでは真に社会の実情に適合した法律のできるわけがないのです。；この行為を行っているものの殆どは日本人ではなく、海外からの攻撃であるのが実情である。</t>
        </is>
      </c>
      <c r="J3640">
        <f>HYPERLINK("https://www.weblio.jp/content/実情", "词义详情")</f>
        <v/>
      </c>
      <c r="K3640">
        <f>HYPERLINK("https://yourei.jp/実情", "查看例句")</f>
        <v/>
      </c>
    </row>
    <row r="3641">
      <c r="A3641" t="inlineStr">
        <is>
          <t>失職</t>
        </is>
      </c>
      <c r="B3641" t="inlineStr">
        <is>
          <t>成功</t>
        </is>
      </c>
      <c r="C3641" t="inlineStr">
        <is>
          <t>読み方：しっしょく
［名］(スル)今まで就いていた職を失うこと。失業。「会社が倒産して—する」</t>
        </is>
      </c>
      <c r="D3641" t="inlineStr">
        <is>
          <t>失職する(14%)；失職者給付金</t>
        </is>
      </c>
      <c r="E3641" t="inlineStr">
        <is>
          <t>失業；食い上げ</t>
        </is>
      </c>
      <c r="F3641" t="inlineStr">
        <is>
          <t>失職者；議員失職；受けて失職</t>
        </is>
      </c>
      <c r="H3641" t="n">
        <v>29</v>
      </c>
      <c r="I3641" t="inlineStr">
        <is>
          <t>いまのアメリカでたとえば失職がある程度以上の勢いで進行しつつある。；また、彼のグループで逮捕を免れた人々も失職することになったという。；まずこの事件の原因は夫が失職して妻が働いたのが失敗の元ですな。；もっとも、僕の父は戦後まもなくの失職でそれどころではなくなったが。；戦争に伴う失職者や引揚者が集まってここで商売をしていたという。；比例代表選出の議員が自ら離党すれば議員失職となることを受けた措置。；そして、彼女は咽びながら、父の吾平がいかにして失職したかを話した。；実際に、男の失職は、とし子の事がもとになつてゐないではなかつた。；委員が各号のいずれかに該当するに至ったときは、当然失職する。；このため不信任決議が可決され、クルツは首相を失職することとなった。；私は、昭和のはじめ、世の中が一番不景気の時代に失職してしまった。；ここのマダムが死んだ以上、彼女は失職しなければならないだろう。；学校が再編成されるなかで、いくらかのベテラン教師が失職することになった。；失職したジェシカは短い間だが窃盗を考えたが、最終的にその考えを捨てた。；毛利先生は生徒の機嫌をとってまでも、失職の危険を避けようとしている。；人気店となったが共同経営者から経営権を奪われ失職。；友部は逮捕され、裁判の結果懲役10年の実刑判決が確定して失職した。；第68条では以下の場合に首相が失職すると定められている。；その鹿取常彦が、失職した野々山に新しい仕事を頼みたいと言ったのだ。；そこへ乗り出してきたのが、当時恐慌で失職していた小林一三である。；しかし議会がこれを保留にして再度不信任案を可決したことから失職となった。；毛利先生は生徒のきげんをとってまでも、失職の危険を避けようとしている。；ベンはレズリーが失職しないようにするため、彼の職を犠牲にする。；そして物を作り得ない状況が生まれてきたとき、コンヴェアーは停止し人は失職する。；失職後のメンデスは12人の子供を抱え、経済的に困窮することとなる。；すでに任命されている公益委員がいずれかに該当するに至った場合には、当然に失職する。；ただ「失職するのに何が万歳なんだ」といって万歳三唱をしない議員もいる。；五十を越した失職職工がお清に夢中になろうとは、思いも寄らぬことだったに違いない。；万波は自分の突然の失職を妻に告げなかった。</t>
        </is>
      </c>
      <c r="J3641">
        <f>HYPERLINK("https://www.weblio.jp/content/失職", "词义详情")</f>
        <v/>
      </c>
      <c r="K3641">
        <f>HYPERLINK("https://yourei.jp/失職", "查看例句")</f>
        <v/>
      </c>
    </row>
    <row r="3642">
      <c r="A3642" t="inlineStr">
        <is>
          <t>実生活</t>
        </is>
      </c>
      <c r="B3642" t="inlineStr">
        <is>
          <t>成功</t>
        </is>
      </c>
      <c r="C3642" t="inlineStr">
        <is>
          <t>読み方：じっせいかつ
現実に毎日営んでいる生活。実際の日常生活。「—に役立つ知識」</t>
        </is>
      </c>
      <c r="D3642" t="inlineStr">
        <is>
          <t>実生活上(5%)；実生活面</t>
        </is>
      </c>
      <c r="E3642" t="inlineStr">
        <is>
          <t>実世界；実社会；現実界；活社会</t>
        </is>
      </c>
      <c r="H3642" t="n">
        <v>29</v>
      </c>
      <c r="I3642" t="inlineStr">
        <is>
          <t>物語はむしろ実生活に基づいたペースで展開されるようになるのである。；こういう女は実生活でも男にべたーっといろいろされているに相違ない。；あらゆる芸術は、自然こういう民衆の実生活を積極的に反映しているのだ。；メタデザインでは実生活レベルで機能する明晰な関連性を強調している。；その全体の結果として、文学は実生活からの逃避所となる傾向にあった。；この頃から、基次郎は近所の人々の実生活を意識的に見るようになった。；実生活の邪魔にもならないし、まあここらの文字は遊ばしておけである。；その人の実生活は周囲の実生活と必ずしも合理的な関係にある必要はない。；一方で巨人時代の選手とは実生活では食事や飲みには出かけたりはしなかったという。；実生活ではなんの役にも立たなそうな物品が大小とりまぜて置いてある。；作家以外の実生活の中で、彼は一人の男として将来をひらいてゆくだろう。；実生活の上でも彼が世間的な野心や功名心をいつまでも失わぬ人間であった。；実生活なんかよりももつと大切な、考へなければならないことがある。；その上、彼を憂鬱にさせることが実生活の中には、もっとたくさんあった。；即ち人間の実生活の上にこれを応用することについて各国が相競うのである。；これは文学がもともと私たちの実生活とも相容れない性質をもっているからだ。；女優藤純子が、実生活でも手本引きの達人だとは誰も考えないでしょう。；諸君は広大な知識と熟練した才能とをひっさげて実生活にはいるのだ。；また彼女は彼らから実生活について聞き、番組にこの現実を出すと約束した。；実生活でも恋仲である事を噂されたが、実際には二人の間には何もなかったという。；ヴァーロック夫人は、実生活の問題を持ち出して夫の興奮をさまさせた。；そして、互ひに慰め合うて居る間に、実生活を主題にしたものが出て来た。；これは、実際の実生活の中でも、自分を生かせばいいわけですからね。；実生活では2005年2月20日に長男が誕生し、1児の父親となった。；実生活で結婚に失敗した女が、こんな学校をやってるなんてね。；皮肉で聡明ではあったが、実生活にはモラリストであり、親切であった。；彼らは日ごと夜ごとに文明の詩を実現して、花に月に富貴の実生活を詩化しつつある。；けれ共学理的に解剖した事は実生活に不都合かと云うに必ずそうではない。；実生活に危険がないもんだから、そんな無鉄砲な真似をすることになったんだな。</t>
        </is>
      </c>
      <c r="J3642">
        <f>HYPERLINK("https://www.weblio.jp/content/実生活", "词义详情")</f>
        <v/>
      </c>
      <c r="K3642">
        <f>HYPERLINK("https://yourei.jp/実生活", "查看例句")</f>
        <v/>
      </c>
    </row>
    <row r="3643">
      <c r="A3643" t="inlineStr">
        <is>
          <t>実績</t>
        </is>
      </c>
      <c r="B3643" t="inlineStr">
        <is>
          <t>成功</t>
        </is>
      </c>
      <c r="C3643" t="inlineStr">
        <is>
          <t>読み方：じっせき
実際に現れた功績、または成績。「研究者としての—を上げる」「—がある」</t>
        </is>
      </c>
      <c r="D3643" t="inlineStr">
        <is>
          <t>足跡；事績；業績；功績</t>
        </is>
      </c>
      <c r="H3643" t="n">
        <v>29</v>
      </c>
      <c r="I3643" t="inlineStr">
        <is>
          <t>当時高川はまだ実績がなく、期待する者はほとんどなかったといわれる。；実績もあり理論的に指導できるコーチとして、選手からも信頼があった。；輸送活動の実績派遣された陸上自衛隊の部隊は次のような編成である。；公表している実績に以下のようなケースが含まれている可能性は否定できない。；これらの実績を残した当時のチームはエル・ドリーム・チームと称された。；その一方で海外での実績は歴代モデルと同様に非常に好調であった。；一軍は実績のある選手を使いたがる傾向がありますが、今は違います。；今後の実績次第で新たなルートも検討されることとなっている。；その中にはデビュー当初から優れた実績を挙げ才能を期待されていた人物も見られる。；この試験実績をもとに営業列車用の量産車として登場したのが本形式である。；試作改造車の実績を踏まえた上で本工事では以下の変更が行われた。；これらの実績により、水戸はJリーグから加盟継続が正式に承認された。；ブレーキシステムも電車で実績のある応答性の高い電気指令式を採用した。；これらの経済運営の実績を鄧小平に注目され、抜擢されることになる。；高校では難関進学コースと進学コースに分割し、合格実績の向上をめざす。；行財政改革に積極的に取り組んでおり、近年では以下の実績がみられる。；実施に当たり、日本の実績を参考にするため国鉄技師を日本で学ばせた。；その種牡馬実績が評価され、1990年にはJRA顕彰馬に選出された。；開発途中の製品を扱うことが多く、実用化されてヒットした実績には乏しい。；ただし、試験、営業列車共に九州方面への直通列車が設定された実績はない。；このため競技への出走実績はないが、国内外に数台の試作車が現存している。；この戦闘の原因は津軽側の実績作りといわれるが不明である。；実際の使用実績を述べる場合と、予想を述べる場合とがある。；また、移籍された場合、移籍元球団及び、移籍先球団での実績を通算する。；この路線で実績を得た技術は、のちに開業する東京モノレールなどに応用された。；近年では公立改革が進み、名門公立校が進学実績を持ち直してきている。；技術レベルは非常に高く、日本のみならず、海外での演奏活動の実績も豊富である。；実際に開通すると、この倍に達する輸送実績を残している。；車体の主要緒元は輸送実績に合致したコキ106形をベースとした。</t>
        </is>
      </c>
      <c r="J3643">
        <f>HYPERLINK("https://www.weblio.jp/content/実績", "词义详情")</f>
        <v/>
      </c>
      <c r="K3643">
        <f>HYPERLINK("https://yourei.jp/実績", "查看例句")</f>
        <v/>
      </c>
    </row>
    <row r="3644">
      <c r="A3644" t="inlineStr">
        <is>
          <t>実践</t>
        </is>
      </c>
      <c r="B3644" t="inlineStr">
        <is>
          <t>成功</t>
        </is>
      </c>
      <c r="C3644" t="inlineStr">
        <is>
          <t>読み方：じっせん
［名］(スル)
１主義・理論などを実際に自分で行うこと。「理論を—に移す」
２哲学で、
㋐人間の倫理的行為。アリストテレスの用法で、カントなどもこの意味で用いる。
㋑人間が外界についてもっている自らの知識に基づき、これに働きかけて変革していく行為。マルクスとエンゲルスによって明らかにされた意味。
[用法]実践・実行・実施——「計画を実践（実行・実施）する」のように、実際に行う意では相通じて用いられる。◇「実践」は理論・徳目などを、みずから実際に行う場合に多く使う。「理論と実践」「神の教えを実践する」など。◇「実行」は最も普通に使われるが、倫理的な事柄についてはあまり用いない。「親孝行の実践」に、「実行」を用いると不自然な感じになる。◇「実施」は、あらかじめ計画された事・行事などを実際に行う意で、「減税計画を実施する」「試験の実施期間」などと用いる。</t>
        </is>
      </c>
      <c r="D3644" t="inlineStr">
        <is>
          <t>実践的(15%)；実践する(8%)；実践者(3%)；実践力；実践家</t>
        </is>
      </c>
      <c r="E3644" t="inlineStr">
        <is>
          <t>する；使用；利用；行う；実際</t>
        </is>
      </c>
      <c r="F3644" t="inlineStr">
        <is>
          <t>宗教的実践；社会的実践；実践方法；実践性；実践型</t>
        </is>
      </c>
      <c r="G3644" t="inlineStr">
        <is>
          <t>実践理性；実践女学校；実践哲学；実践神学；実践躬行</t>
        </is>
      </c>
      <c r="H3644" t="n">
        <v>29</v>
      </c>
      <c r="I3644" t="inlineStr">
        <is>
          <t>未来学とは未来に起こりそうなことを想定する学問・技術・実践である。；生徒の批判的意識を高揚させるための理論や実践と言うこともできる。；平安時代に中国から入ってきた実践的な仏教声楽は梵唄と呼ばれていた。；仏教の時代に入ると「法」は非常に重要な言葉・思想・実践となった。；偉大なる知性と特に非常に実践的な能力を持った賢者のイメージである。；中世美学に関するエーコの研究が強調するのは理論と実践の区別である。；実践することで到達できる心の境地を四段階のレベルに分けている。；そのため神の存在は道徳的実践的見地から要請されねばならない、とした。；在籍中は、自らの実践を元にして、福祉に関する法律の制定に奔走した。；地域に開かれた大学、国際性を重視する大学、理論と実践の相まった大学。；多作な制作による実践教育と周辺の専門分野の座学を提供していた。；しかし、両軍ともビラに書かれた指示を実践し降伏する兵士はいなかった。；ババが教えた共感を実践する代わりに、人は彼の名前で戦争を始める。；ストア派にとって哲学とは常に実践と反省を行う動的な過程なのである。；これは、実践を重視した教育内容とともに本学の大きな特徴となっている。；次なる課題は市民の形成および穏健主義の「定着」という実践であった。；しかし、それは家庭で最も一般的に実践されていることである。；ジョミニは兵站を部隊を戦場に移動させる実践的な方法として捉えている。；当初から女子にも選手への道を開くことを構想し、実践した。；彼は健康と気性の荒さに役に立つと信じてその教えを実践するようになった。；教育実践を紹介する書籍やビデオも多数製作されている。；しかし、佐山はそのプロの技を一つ一つ言葉で説明して体で実践して生徒に教えた。；この食事法を実践することによる好ましい効果と副作用の両方を記録した。；しかし後期には政治的実践のためのプログラムが多くなる。；仏教では、菜食主義を実践すべきかどうかについてさまざまな意見がある。；しかし、佐山はそのプロの技を一つ一つ言葉で説明して体で実践して生徒に指導した。；前者は Renga として日本語以外の言語でも実践を行っている。；北ドイツにはシュタイナー学校をはじめ様々な新教育の実践が起こった。；このように文化実践の主体の帰属先自体が、人々の都合によって変更される。</t>
        </is>
      </c>
      <c r="J3644">
        <f>HYPERLINK("https://www.weblio.jp/content/実践", "词义详情")</f>
        <v/>
      </c>
      <c r="K3644">
        <f>HYPERLINK("https://yourei.jp/実践", "查看例句")</f>
        <v/>
      </c>
    </row>
    <row r="3645">
      <c r="A3645" t="inlineStr">
        <is>
          <t>実践的</t>
        </is>
      </c>
      <c r="B3645" t="inlineStr">
        <is>
          <t>成功</t>
        </is>
      </c>
      <c r="C3645" t="inlineStr">
        <is>
          <t>読み方：じっせんてき
［形動］自分で実地に行うさま。実行するさま。「理論の正しさを—に裏づける」</t>
        </is>
      </c>
      <c r="D3645" t="inlineStr">
        <is>
          <t>実践的な教育；実践的研究；実践的な知識；実践的かつ；実践的教育</t>
        </is>
      </c>
      <c r="E3645" t="inlineStr">
        <is>
          <t>現実的；実用的；技術的；リアリティ；実際的</t>
        </is>
      </c>
      <c r="F3645" t="inlineStr">
        <is>
          <t>実践的技術；実践的訓練；実践的要求；実践的自己；実践的理想主義</t>
        </is>
      </c>
      <c r="H3645" t="n">
        <v>29</v>
      </c>
      <c r="I3645" t="inlineStr">
        <is>
          <t>処が方法は体系よりも常に何かの意味に於て実践的であったであろう。；膨大な体系であってもその背後に実践的な意欲・試みが反映されていた。；それだけ之は実践的なものに制約されていなければならないように見える。；平安時代に中国から入ってきた実践的な仏教声楽は梵唄と呼ばれていた。；道徳的実在論を哲学的・実践的に応用する研究も多様に進められている。；他に、彼の教えの実践的側面の、慎重に言葉を選んだ説明もなされた。；偉大なる知性と特に非常に実践的な能力を持った賢者のイメージである。；またその間にも社会科学の高度な研究のための実践的な学校で科学を学んだ。；人は相容れない知識的確信と実践的要求とをもって満足することはできない。；何となれば社会的規定こそは真に実践的な規定であるであろうから。；園芸植物の栽培法を述べた実践的な書物としては中国最初のものとされる。；お父さんとお母さんがまたやってるな、と子供も実践的におぼえていったのだ。；そのため神の存在は道徳的実践的見地から要請されねばならない、とした。；だからまったくの初歩から、知識や技術を実践的に身につける必要があった。；機体性能の差を埋めて余りある、実践的なノウハウが存在していた。；トゥールミンは、絶対主義は実践的な価値を規定してきたと主張してきた。；それは人生の問題のいくつかを、理論的だけではなく実践的にも解決することである。；これは菊池寛流の実践的な感じの強い言葉で、また一種の風格がある。；しかし生の実践的な秩序の中ではひとは違う態度を取っている。；実践的動向の向うにある目的ではなくて、生活それ自体の翹望である。；わかりやすく実践的ですぐに行動に移せる内容と評判を得ている。；陸軍はスペインの半島戦争での実践的な経験により大きな興味を持っていた。；文系・理系を問わず、分野を横断した実践的な学びができる学部である。；科学的知識と実践的知識を融合して、創造的な行動をする能力を指している。；その時これは学問性の実践的規定を排斥することに他ならない。；本来的な形而上学は、理性が実践的な関心をもつ三つの対象に関わる。；国際的なネットワークを構築しながら、国際的かつ実践的な教育環境を提供。；ジョミニは兵站を部隊を戦場に移動させる実践的な方法として捉えている。；徹底して実践的な問題を、徹底的に現実に即して、日本は追求してきた。</t>
        </is>
      </c>
      <c r="J3645">
        <f>HYPERLINK("https://www.weblio.jp/content/実践的", "词义详情")</f>
        <v/>
      </c>
      <c r="K3645">
        <f>HYPERLINK("https://yourei.jp/実践的", "查看例句")</f>
        <v/>
      </c>
    </row>
    <row r="3646">
      <c r="A3646" t="inlineStr">
        <is>
          <t>質素</t>
        </is>
      </c>
      <c r="B3646" t="inlineStr">
        <is>
          <t>成功</t>
        </is>
      </c>
      <c r="C3646" t="inlineStr">
        <is>
          <t>読み方：しっそ
［名・形動］
１飾りけがないこと。質朴なこと。また、そのさま。「—な身なり」
２生活などがぜいたくでなく、つつましくて倹約なこと。また、そのさま。「—に暮らす」
[派生]しっそさ［名］</t>
        </is>
      </c>
      <c r="D3646" t="inlineStr">
        <is>
          <t>質素な生活(8%)；質素なもの(7%)；質素な食事；質素な服装；質素な暮らし</t>
        </is>
      </c>
      <c r="E3646" t="inlineStr">
        <is>
          <t>明らか；低い；小さい；単純；薄い</t>
        </is>
      </c>
      <c r="F3646" t="inlineStr">
        <is>
          <t>万事質素；いたって質素；質素な作り；至つて質素；質素倹約令</t>
        </is>
      </c>
      <c r="H3646" t="n">
        <v>29</v>
      </c>
      <c r="I3646" t="inlineStr">
        <is>
          <t>自ら地元の教会内に用意し、死後に埋葬された墓地は極めて質素である。；狭い階段をいくつも上っていちばん高い所にB君の質素な家庭があった。；わたしは、メグがごく質素に自分の生活を始めることに満足しています。；前述のように女性たちへの金銭的援助もあり、常に生活は質素であった。；真の幸福はよく働き、質素に生活することにあると彼は言うのだった。；近くのアパートで質素に暮らすアネットも彼女の世話をする余裕はない。；当初、彼女は極めて質素な生活を送っていたが、やがて状況は好転する。；装飾が質素なことは、上古の日本建築の様式を固定化したためといえる。；彼らは背の高い男たちで、まったく飾りのない質素なよろいをつけていた。；彼等の驚くべき贅沢さや質素さは皆この範囲から出て来るのである。；質素な実家に帰宅した彼を両親が出迎えたが、妻マリーの姿は無かった。；A君の指して教えられた中で、ただ一つ質素な板囲の小さい家があった。；フィラデルフィア市ローレルヒル墓地にある質素な墓に埋葬されている。；これらは質素で、サヴォワ地方の環境と歴史に関連した特徴を持っている。；基本的に黄衣以外は身につけて居らず全体に質素なデザインを持つ。；彼が質素であったことは、彼が常に兵卒同様の生活をしていたことでわかる。；ただ月に一度、月例試合のあとでだけ、質素な膳に酒が付くのであった。；二代目としてはもう初代のような質素な生活は出来ないのであります。；下女も置かずに、質素と云うよりはむしろ極めて賤しい暮しをしていた。；また検査等は無いが日常でも「質素で品位のある服装」が求められている。；質素なフロックコートを着たやせた老人たちがロシアの新聞を読んでいた。；民藝品たることは質素な簡単なものであることを要求してきます。；どちらもローマ人でパリへ遊びにきたのだが、たいへん質素に暮らしていた。；どうも他の質素な人々の目の前で私だけ豊かな暮らし方をするわけにも参りません。；武術の練習時に着用するような、質素ではあるが丈夫で動きやすい服装だ。；その結果必然に質素なまた単純な性質を有つものが多くなります。；彼の遺体はトゥールに埋葬され、その上に質素な礼拝堂が建てられた。；鮑永は将軍となっても、車に乗るときの服装は質素であったという。；酒ぬきの、ごく質素な食膳を見たとき、折岩半之助はいやな顔をした。</t>
        </is>
      </c>
      <c r="J3646">
        <f>HYPERLINK("https://www.weblio.jp/content/質素", "词义详情")</f>
        <v/>
      </c>
      <c r="K3646">
        <f>HYPERLINK("https://yourei.jp/質素", "查看例句")</f>
        <v/>
      </c>
    </row>
    <row r="3647">
      <c r="A3647" t="inlineStr">
        <is>
          <t>実態</t>
        </is>
      </c>
      <c r="B3647" t="inlineStr">
        <is>
          <t>成功</t>
        </is>
      </c>
      <c r="C3647" t="inlineStr">
        <is>
          <t>読み方：じったい
実際の状態。本当のありさま。実情。「経営の—を調べる」</t>
        </is>
      </c>
      <c r="D3647" t="inlineStr">
        <is>
          <t>実態把握；実態以上；実態調査報告書；実態不明；実態究明</t>
        </is>
      </c>
      <c r="E3647" t="inlineStr">
        <is>
          <t>状態；実際；様子；事実；現実</t>
        </is>
      </c>
      <c r="F3647" t="inlineStr">
        <is>
          <t>勤務実態；経営実態；運用実態；こうした実態；輸送実態</t>
        </is>
      </c>
      <c r="G3647" t="inlineStr">
        <is>
          <t>実態解明</t>
        </is>
      </c>
      <c r="H3647" t="n">
        <v>29</v>
      </c>
      <c r="I3647" t="inlineStr">
        <is>
          <t>建築基準法は大きくは総括的規定と実態的規定に分けて構成されている。；元職員は日本語が全くできない学生も受け入れていたなどと実態を証言している。；他にもずさんな実態の中央銀行があるものと世界銀行関係者が見ている。；しかし、すべての米国人がその実態を知っているとはいえない程度である。；しかしボッシュは実験しているうちに、事の実態がだんだん分かってきた。；ただし、大県と小県の実態的区分は人口ではなく面積だったという説もある。；しかし協会規制で言葉は変えたものの、活動の実態はほとんど変わらなかった。；その実態はさまざまであり、中には無治療と同等のものが存在する。；実態はただの口約束で、宝物を要求しているだけである可能性が高い。；韓国の朴正煕の政権は恐怖政治の実態があった、と指摘されることがある。；その実態は不明であるが、園池司はこのような園地の管理も行ったらしい。；また公廨稲を支給するために勤務実態のない権官に就けることもあった。；しかし実態は多くの日本の医師は無関心であり漫然と投与し続ける傾向にある。；毎年のようにブレイク寸前といわれるも、実態が伴わない状況が続いた。；各校の実態に応じて、設置される委員会はもちろん、活動内容も異なる。；日本で取り上げられた実態は以下のようなものがある。；これは、居住の実態をできるだけ正確に反映した統計を作成するためである。；とはいえ、この本来の目的とは別に流行しているのが実態である。；システム上登録できないため実態が反映されず外部発表的には残業時間は上記のようになる。；別事業者の駅である時期と実態は変わっていない場合もある。；これは一つには当時御家人制度が社会の実態にそぐわなかったことが挙げられる。；ただし、本土・香港の実態経済が無差別・不可分に機関化されている。；勢い、エコロジー運動は生態学の学問的実態を離れて行くことになる。；客車は電車が牽引していたので、運用実態としては後付付随車であった。；また、実態は不明だが自爆攻撃用の高速ボートも出現していた。；その実態は雷の一族よりも明らかにされていないが、彼ら同様に聖機兵に酷似した機兵を所有する。；しかし実態に即していないなどの批判があり、予算の執行割合も低い。；実態は東都の場合と同じく加盟校の追加と名称変更である。；中国にしっかりした政府の管理運営の実態はない。</t>
        </is>
      </c>
      <c r="J3647">
        <f>HYPERLINK("https://www.weblio.jp/content/実態", "词义详情")</f>
        <v/>
      </c>
      <c r="K3647">
        <f>HYPERLINK("https://yourei.jp/実態", "查看例句")</f>
        <v/>
      </c>
    </row>
    <row r="3648">
      <c r="A3648" t="inlineStr">
        <is>
          <t>実体</t>
        </is>
      </c>
      <c r="B3648" t="inlineStr">
        <is>
          <t>成功</t>
        </is>
      </c>
      <c r="C3648" t="inlineStr">
        <is>
          <t>読み方：じったい
１そのものの本当の姿。実質。正体。「—のない想像上の人物」
２《(ギリシャ)ūsia／(ラテン)substantia／(英)substance》多様に変化してゆくものの根底にある持続的、自己同一的なもの。アリストテレスでは具体的個物、デカルトではそれ自身によって存在し、その存在のために他のなにものも必要としないもの、カントでは現象を認識するための範疇(はんちゅう)にすぎないとされた。→属性</t>
        </is>
      </c>
      <c r="D3648" t="inlineStr">
        <is>
          <t>実体化(16%)；実体的(4%)；実体性；実体概念；実体論</t>
        </is>
      </c>
      <c r="E3648" t="inlineStr">
        <is>
          <t>状態；実際；様子；事実；事情</t>
        </is>
      </c>
      <c r="F3648" t="inlineStr">
        <is>
          <t>物理的な実体；物理的実体；政治的実体；実体鏡；実体波</t>
        </is>
      </c>
      <c r="G3648" t="inlineStr">
        <is>
          <t>実体化；実体法；実体弾；実体経済；実体二元論</t>
        </is>
      </c>
      <c r="H3648" t="n">
        <v>29</v>
      </c>
      <c r="I3648" t="inlineStr">
        <is>
          <t>社交界の女性主人には、女優のほか実体以上の評判を備えた女性もいた。；影ぶんちんで固定した影にこの液をかけると、影が黒いまま実体化する。；両者の秩序は、同じ実体の二つの側面を示すから、一致するとしている。；やがて認識可能な実体を形取るようになり、現在のような宇宙となった。；埋め込み対象となる 要素の実体となる画像はサイズ・種類等を問わない。；政府の政治的動きは、前政府の軍の輪郭の実体ある増加と統合された。；この帽子をかぶって物の形を考えると、その形が実体化して現れる。；このように実体化した組は真と評価される命題とみなすことができる。；ルネ・デカルトは実体を延長と精神に分け、後者のみに能動性を認めた。；また、特定の乗り物に接触することで後述のゴセイマシンに実体化する。；実体は、実世界のある面だけを取り出し、他の面を捨象したものである。；第三の混乱要因は、糠の有効成分の化学実体が不明であったことである。；アニメちゃんが壁に描いた絵がパソコンから出た光線を受け実体化する。；また、他の生物からエネルギーを吸収して実体化することができる。；人間の肉を直接喰らうこともあり、その場合には獣のような形に実体化する。；有名ではあるが実体不明の亀船も、この板屋船を改造したものといわれる。；そのためプログラムと違い実体を持っているが、その肉体は機械となっている。；例えば、三角形は真の実体であり、人間の心が生みだしたものではない。；そこでは心は実体・単純・同一的・相互作用的であるといわれる。；これは存在する唯一の実体は精神的なものであると主張する。；これはカプセルをレトルト食品のようにお湯に入れることで実体化する。；炎の山などは闇の力が強く、封印中でも一時的に実体化できたらしい。；実体が理念である限りでなければ、「心は実体である」とはいいえない。；そして実体は概念であるが故に不可視・不可触なものであると説明する。；XMLには、事前宣言された実体として次の表に示す5つの実体がある。；民主主義に実体を与える活動をしてきたのは社会主義者たちの運動であった。；そのような意味ではクラブとしてのもっともらしい実体がないクラブと言える。；変身の魔法と、描いたものを実体化させる魔法を使うことができる。；物質と精神を完全に別の二つの実体とすると、両者の間の関係を考える必要が出てくる。</t>
        </is>
      </c>
      <c r="J3648">
        <f>HYPERLINK("https://www.weblio.jp/content/実体", "词义详情")</f>
        <v/>
      </c>
      <c r="K3648">
        <f>HYPERLINK("https://yourei.jp/実体", "查看例句")</f>
        <v/>
      </c>
    </row>
    <row r="3649">
      <c r="A3649" t="inlineStr">
        <is>
          <t>失調</t>
        </is>
      </c>
      <c r="B3649" t="inlineStr">
        <is>
          <t>成功</t>
        </is>
      </c>
      <c r="C3649" t="inlineStr">
        <is>
          <t>読み方：しっちょう
１物事の調子が狂うこと。
２調和を失うこと。つりあいがとれなくなること。「栄養—」「自律神経—」</t>
        </is>
      </c>
      <c r="D3649" t="inlineStr">
        <is>
          <t>失調型橋本脳症(4%)；失調状態(3%)；失調感(3%)；失調性(2%)</t>
        </is>
      </c>
      <c r="F3649" t="inlineStr">
        <is>
          <t>空間識失調；精神失調；自律神経失調；性失調；見当識失調</t>
        </is>
      </c>
      <c r="G3649" t="inlineStr">
        <is>
          <t>失調型パーソナリティ障害</t>
        </is>
      </c>
      <c r="H3649" t="n">
        <v>29</v>
      </c>
      <c r="I3649" t="inlineStr">
        <is>
          <t>地球に残されていた人たちは、突然の頭痛から精神失調を起こしていた。；小脳失調を考える上で理解する必要がある小脳の運動機能は2つである。；抗甲状腺抗体が特徴の橋本脳症でも小脳失調を示すものが知られている。；このときたぶん一種の感情失調状態にあったのかも知れない。；工藤が混乱し、深刻な精神失調に陥るのも、しごく当然なことといえた。；どうも狭い空間に二人きりという状況が、レオの精神を失調させているようだ。；昨日「来夢」で架場と話している時に降りかかった、あの奇妙な現実の失調感。；どうしたことであろう、徹頭徹尾突きくずされ、絶対に失調させられるとは!；平衡感覚がわずかに失調して、バルアミーは片ひざを地面についてしまった。；これらの患者を治療する過程で、脳の損傷部位と精神機能失調の間に特定の関連があることが調べられた。；だが、人々がいっそう強烈な失調感を覚えるのは、彼の声を耳にしたときである。；戻れずにその閾値を超えた時に、様々な失調が起き更に様々な病態に進行する。；カルシウムの欠乏は、骨折などの怪我だけでなく、精神的な失調を招く。；寛解導入療法では小脳失調を可能な限り改善させるような積極的な治療が行われることが多い。；自己免疫性小脳失調性は従来考えられていたよりも高頻度であることが明らかになった。；初発症状は体幹失調がほとんどであるが四肢失調での発症例もあった。；脳損傷と精神機能失調の関係調査は20世紀初頭の第一次世界大戦で大きく進んだ。；先天性甲状腺機能低下症では精神運動発達遅延や小脳失調が知られている。；この子供には、明らかに一種の精神の失調があった。；自律神経失調の原因は、わたしの身勝手さの中にひそんでいたのだ。；また非典型例として痙性対麻痺型や純小脳失調型なども報告されている。；特に後根神経節に病変の主座がある場合は感覚失調を伴う。；また、機長が空間識失調に陥っていた可能性も指摘されている。；日常もっとも多く見うけられる失調は、言うまでもなく酒に酔った場合である。；今までもキャンプでこんな失調馬が出てるが、あの田舎医者にはそれさえわからない。；無重力下での動揺刺激による失調もあり、宇宙酔いとも呼ばれている。；僕も精神神経失調でもやらかして、アンブローズに治療させてみたいくらいだ。；空間識失調状態に陥り、状況把握ができなくなって事故が発生する要因となる。；なんだかうわっちょうしにかすれた、奇妙に精神失調を感じさせる声だった。</t>
        </is>
      </c>
      <c r="J3649">
        <f>HYPERLINK("https://www.weblio.jp/content/失調", "词义详情")</f>
        <v/>
      </c>
      <c r="K3649">
        <f>HYPERLINK("https://yourei.jp/失調", "查看例句")</f>
        <v/>
      </c>
    </row>
    <row r="3650">
      <c r="A3650" t="inlineStr">
        <is>
          <t>嫉妬</t>
        </is>
      </c>
      <c r="B3650" t="inlineStr">
        <is>
          <t>成功</t>
        </is>
      </c>
      <c r="C3650" t="inlineStr">
        <is>
          <t>読み方：しっと
［名］(スル)
１自分よりすぐれている人をうらやみねたむこと。「他人の出世を—する」
２自分の愛する者の愛情が、他の人に向けられるのを恨み憎むこと。やきもち。悋気(りんき)。「夫の浮気相手に—する」
[補説]作品名別項。→嫉妬
[補説]2017年に実施した「あなたの言葉を辞書に載せよう。2017」キャンペーンでの「嫉妬」への投稿から選ばれた優秀作品。◆人間を動かす大きな原動力。この世は妬み嫉みで出来ている。harukoさん◆相手を愛する反動。りんままさん◆独占欲を満たせないときに瞬時に生まれる、消しがたい感情。ぐらんぱさん◆SNSでの「いいね!」の裏の感情。豆さん◆幼稚で愚か、しかし切り捨てられない想い。高野さん</t>
        </is>
      </c>
      <c r="D3650" t="inlineStr">
        <is>
          <t>嫉妬ぶかい；嫉妬心；嫉妬してる；嫉妬ぶかく；嫉妬やき</t>
        </is>
      </c>
      <c r="E3650" t="inlineStr">
        <is>
          <t>羨望；妬み；羨む；嫉み；焼餅</t>
        </is>
      </c>
      <c r="F3650" t="inlineStr">
        <is>
          <t>激しく嫉妬；軽い嫉妬；烈しい嫉妬；はげしい嫉妬；嫉妬なんか</t>
        </is>
      </c>
      <c r="G3650" t="inlineStr">
        <is>
          <t>嫉妬深い；嫉妬深く；嫉妬妄想；嫉妬深；嫉妬深き</t>
        </is>
      </c>
      <c r="H3650" t="n">
        <v>29</v>
      </c>
      <c r="I3650" t="inlineStr">
        <is>
          <t>彼が初めて注文を得たときティツィアーノは嫉妬したと伝えられている。；でも基本的には歌手としては自分が一番好きで翼らに嫉妬することもある。；娘の姉たちは嫉妬の色を隠せないでいるが、一家は娘の幸福を喜び合う。；自分が得ることのできなかった幸福を手にしている妹を、女は嫉妬していた。；また正妻の嫉妬を受けることで王者の資質を証明することになるという。；妖精の妻を連れて城に戻った若者だが、二人を迎えた母は嫉妬に苦しんだ。；嫉妬する人族であったが、彼らもまた信仰する神の力を得るべく研究を始める。；プルチネルラに嫉妬する町の若い男たちはひそかにプルチネルラを殺す。；冬樹に近づく女性には、誰であろうと嫉妬の炎を燃やしてしまうことが多い。；卒業を迎えたパリでの千秋があることで嫉妬するエピソードを収録。；この嫉妬の激しさは女神の偉大な権威を証明するものだという説がある。；ルーはクロスビーがダンの歌唱力に嫉妬し出演させないのだと嘘をつく。；ただ人気者のギイの恋人として嫉妬する生徒もいまだに少なくなかった。；しかし、彼女はセバスチャンの才能に嫉妬し、彼を破滅させようとする。；彼は嫉妬や憎しみを抱いた者に対してはどんな嘘や中傷も平気で用いる。；また、原作とは違い牧村美樹が明と了の仲に嫉妬している場面がある。；私が彼女の権力に嫉妬しているのだと考えているんです。；圓説和尚から単なる嫉妬と言われても返す言葉もなかったかであろう。；まるで彼の目に止まるもの全てに嫉妬しているかのようだった。；ジャクリーヌは実は彼女の友人で夫の嫉妬深さに立腹している人物がいる。；彼女が他の子と仲良くしているのを見てアンネが嫉妬するほどだったという。；楊過が小龍女に弟子入りしたときなどは嫉妬も見せるほどであった。；表題曲の歌詞は水商売で働く彼女に嫉妬する男性の心情を描いている。；生まれるとすぐに、他の神々からの嫉妬を恐れた母に捨てられた。；帝国の統治を分割することで、そのような嫉妬と対立を回避できると考えたのかもしれない。；嫉妬や批判を警戒したためであろうとする説がある。；その為にエルザが別の女性と仲良くしていると嫉妬する事がある。；しかし人々は皆、これが六姫の嫉妬のためだと知っていた。；その仲の良さにはポール・マッカートニーが嫉妬するほどだった。</t>
        </is>
      </c>
      <c r="J3650">
        <f>HYPERLINK("https://www.weblio.jp/content/嫉妬", "词义详情")</f>
        <v/>
      </c>
      <c r="K3650">
        <f>HYPERLINK("https://yourei.jp/嫉妬", "查看例句")</f>
        <v/>
      </c>
    </row>
    <row r="3651">
      <c r="A3651" t="inlineStr">
        <is>
          <t>湿度</t>
        </is>
      </c>
      <c r="B3651" t="inlineStr">
        <is>
          <t>成功</t>
        </is>
      </c>
      <c r="C3651" t="inlineStr">
        <is>
          <t>読み方：しつど
空気中に含まれている水蒸気の割合。空気の乾湿の程度を表すもので、ふつう相対湿度をさし、空気1立方メートル中に存在する水蒸気量（絶対湿度という）と、その温度における飽和水蒸気量との比を百分率で表す。</t>
        </is>
      </c>
      <c r="D3651" t="inlineStr">
        <is>
          <t>湿度が高い(8%)；湿度が高く(7%)；湿度が低い(2%)；湿度管理；湿度が低く</t>
        </is>
      </c>
      <c r="E3651" t="inlineStr">
        <is>
          <t>水分；湿気；水気；潤い；湿り気</t>
        </is>
      </c>
      <c r="F3651" t="inlineStr">
        <is>
          <t>温湿度；暑く湿度；低湿度；適度な湿度；空中湿度</t>
        </is>
      </c>
      <c r="H3651" t="n">
        <v>29</v>
      </c>
      <c r="I3651" t="inlineStr">
        <is>
          <t>その上に湿度の極端に低いこの地方の大気が非常に多量の水を吸収する。；朝霧高原の北西に位置し、一帯では霧が発生することが多く湿度が高い。；これは元々はで湿度測定を自動化するために設計されたコンピュータである。；貯蔵庫は蔦で覆われることで理想的な温度と湿度を保っていたとされる。；夏は希薄で乾燥した空気と夏の低い湿度のために気温が大きく変化する。；両河川は湿度の上昇をももたらし、特に真夏には蒸し暑さの要因となる。；雨の日が増えたわけではないし、湿度が上がったとも感じられない。；季節変化としては寒冷期には少なく、温度と湿度の高い季節に増加する。；晴天であればいいと言うこともなく、温度と湿度も重要な要素となる。；そのために濡れた水分が室内に蒸発をはじめて急に湿度が高くなりました。；夏季の湿度は高く、温度も高くなっており、その気温は最大でに達する。；やや湿度の高いサバンナや、その周辺にある森林の林縁などに生息する。；やがて焼跡区域に入って行くにつれ、臭気と湿度の高い風が渡って来た。；温度や湿度の異なる大気領域を通過しながら成長するために形状は複雑になる。；湿度は夜は高くなるが、谷の内部の一部の地域では日中は乾燥する。；日本の夏には温度を下げつつ、湿度を上げねばならないので、栽培は難しい。；中の空気は、外気よりも、温度や湿度が少しずつ高いような気がした。；テンペラや油絵は温度や湿度の変化に弱いため、壁画には向いていない。；逆に、湿度の高い容器で飼育すると植物が全く無くても緑色型になる。；特に水中葉から水上葉に移行する際の湿度管理には注意が必要である。；また、送風される空気の温度と湿度も鋳鉄の品質に大きな影響を与える。；湿度が高くて暗い場所を好み、落ち葉や石の下、洞窟内などで生息する。；それは空中の湿度が低いため星辰の光が一層燦然と輝くからであるといふ。；これらの変異は周囲の温度、湿度などの環境に強く関与するものと思われる。；ただし、後述するように海流の関係で霧が発生し、湿度は非常に高い。；この日の気温は低く、湿度は高く、降り積もった雪が周囲を覆っていた。；風が弱い上に湿度が高いため、体感温度は熱帯地方を上回るほどである。；気温が上昇すればそれに応じて湿度も低くなるのが普通である。；湿式サウナはドライサウナと比較して温度が低く湿度が高いものを指す。</t>
        </is>
      </c>
      <c r="J3651">
        <f>HYPERLINK("https://www.weblio.jp/content/湿度", "词义详情")</f>
        <v/>
      </c>
      <c r="K3651">
        <f>HYPERLINK("https://yourei.jp/湿度", "查看例句")</f>
        <v/>
      </c>
    </row>
    <row r="3652">
      <c r="A3652" t="inlineStr">
        <is>
          <t>じっと</t>
        </is>
      </c>
      <c r="B3652" t="inlineStr">
        <is>
          <t>成功</t>
        </is>
      </c>
      <c r="C3652" t="inlineStr">
        <is>
          <t>［副］(スル)
１動かないで、そのままの状態を保つさま。「家で—している」
２視線や心などを集中して、よく見たり考えたりするさま。つくづく。「相手の顔を—見つめる」「—考え込む」
３心を抑えてがまんするさま。「非難に—耐える」
４力をこめて、押したり引いたり踏んだりするさま。ぎゅっと。
「陳平が高祖の足を—踏んだぞ」〈蒙求抄・四〉</t>
        </is>
      </c>
      <c r="D3652" t="inlineStr">
        <is>
          <t>じっと見つめ(9%)；じっと動か；じっとみつめ；じっと見詰め；じっとながめ</t>
        </is>
      </c>
      <c r="E3652" t="inlineStr">
        <is>
          <t>そっと；そろそろ；そと；じいっと</t>
        </is>
      </c>
      <c r="F3652" t="inlineStr">
        <is>
          <t>しばらくじっと；ままじっと；じっと瞳をこらし；じっと黙りこん；じっと息をころし</t>
        </is>
      </c>
      <c r="G3652" t="inlineStr">
        <is>
          <t>じっとしててね</t>
        </is>
      </c>
      <c r="H3652" t="n">
        <v>29</v>
      </c>
      <c r="I3652" t="inlineStr">
        <is>
          <t>元気な団員たちは、なんだかじっとしていられないような気持ちでした。；父は畳一畳ほどの前をじっと見守って遠いことでも考えているようだった。；少なくとも飼育下では同じ場所で動かずにじっとしていることが多い。；車はこうして、じっとしていたが、じっとしていないのは人間の方だった。；ただ先生の前の生徒のように、じっと相手の顔を見つめている外はないのだ。；あせる心をじっと抑えて、結論までの距離をなるだけ長くしようとした。；じっと見ていると、だんだん、そのちがいが、ひどくなってくるのです。；冬には、多くの動物が凍結しない場所で活動を停止しじっとしている。；そしてもしか母親にあいはしないかと女の人にあうたびにじっと見ました。；そしてなおも怪音をたてて上へあがっていく壁をじっと注意していました。；けれど、それまでじっと見ていられぬ者はどうすればいいのだろう?；人が一定の空間で動かずじっとしていると時間の流れが遅く感じる。；学校の帰りや夏休みなどに、現場のそばに行ってじっと見ていました。；晩年になるとじっとしていられない習慣が悪化、急速に老けていった。；でなければわたしは舞台の下にじっとしていられない質なんだろう。；ところが2週間ぐらいじっと時間がたっても、何も文句を言ってこれない。；大高はここで騒ぎになるわけにはいかないと思って、じっと我慢する。；何んにも言わず急にものもいわれないで瞻ると、親仁はじっと顔を見たよ。；兵曹長は、戦友の姿をみると、もうじっとしておられなくなったのです。；黄金仮面はまるで人形の様に無感覚に、じっとこちらを見つめたままだ。；顔を見合わせお互いじっと見つめ合う2人にはもう言葉はいらなかった。；ドアをあけるなり、じっとそこから見ていて、もう駄目だとみたらしい。；元来活動はあまり活発ではなく、じっとして獲物が通るのを待っている。；その時、斑鳩が遠くの柵からステッキをついてじっとこちらを見ていた。；彼は五分間ほど牛の動きをじっと観察し、そしてゆっくり歩き出した。；それをじっとして聞いているおせいはさすがに父が哀れになった。；風がないので、水は一枚の大きな青ガラスのように、じっとしているのです。；よほど気に入ったらしく、ある作品をじっと見つめては帰っていった。；帽子をまぶかにかぶって、その帽子の庇から、こっちをじっと見ている。</t>
        </is>
      </c>
      <c r="J3652">
        <f>HYPERLINK("https://www.weblio.jp/content/じっと", "词义详情")</f>
        <v/>
      </c>
      <c r="K3652">
        <f>HYPERLINK("https://yourei.jp/じっと", "查看例句")</f>
        <v/>
      </c>
    </row>
    <row r="3653">
      <c r="A3653" t="inlineStr">
        <is>
          <t>しっとり</t>
        </is>
      </c>
      <c r="B3653" t="inlineStr">
        <is>
          <t>成功</t>
        </is>
      </c>
      <c r="C3653" t="inlineStr">
        <is>
          <t>［副］(スル)
１軽く湿りけが行き渡っているさま。「—（と）ぬれた若草」
２静かに落ち着いて、好ましい趣のあるさま。「—（と）した感じの女性」</t>
        </is>
      </c>
      <c r="D3653" t="inlineStr">
        <is>
          <t>しっとりと濡れ(5%)；しっとりとぬれ；しっとりと露；しっとりと落ちつい；しっとりと落ち着い</t>
        </is>
      </c>
      <c r="E3653" t="inlineStr">
        <is>
          <t>そっと；そろそろ；穏やか；優しく；そと</t>
        </is>
      </c>
      <c r="F3653" t="inlineStr">
        <is>
          <t>夜露にしっとり；しっとりと濡らし；しっとりと潤ん；しっとりと降り；しっとりと潤い</t>
        </is>
      </c>
      <c r="H3653" t="n">
        <v>29</v>
      </c>
      <c r="I3653" t="inlineStr">
        <is>
          <t>雨でしっとりした髪が肩にかかり、パーマが伸びて昨日より長く見えた。；このしっとりした風こそが、さらに肌を落ち着かせてくれるに違いない。；見えるか見えないかの雨の中で、バラの花も葉もしっとりとぬれている。；その日まで着て居た着物をぬいでしっとりと折目のついたのに着かえた。；それは木の葉に触れているのと同じように物静かで、しっとりしている。；外に出ると輝いた星としっとりとした空気との春の夜であった。；しっとりした美人顔にはぜんぜん合わない、子供みたいな笑い方だった。；その微細な心理の変化がなにかジーンとするほどしっとりと理解できた。；森の中のしっとりとした空気はその光のせいで透明度を増しているようだった。；夜になると潮霧が深くこめて、街を歩くと服がしっとりとするようであった。；その頤が赤い鳥居の下で、今まで見たこともないようにしっとりしていた。；至るところに日影が深く、町全体が青樹の蔭のようにしっとりしていた。；あのしっとりとした紙の匂いと新しいニュースの匂いを嗅ぐだけのために。；アルハンブラ宮殿の赤い塔が深い緑の木立のなかにしっとりと立っていた。；狂ったような瞳の光は消えているが、そのかわりにしっとりと潤んでいる。；膝の高さほどある草は、すっかり秋の色を帯びて、しっとりと濡れていた。；バターケースの中で、白いバターの塊が汗をかいてしっとり潤んでいる。；湯上がりのためにしっとりとした肌から、温泉特有の香りが漂ってくる。；おろされたところは、しっとりとした冷やかさ、案の条、畳の上である。；しっとり黒い夜の梢の下で白い紙は、寒そうにアーク燈の光を浴びた。；しっとりとした肌は、肌理が細かくて、指の腹に吸いついてくるようだ。；しっとりと汗をかいたグラスを手にしたまま、僕は唇を噛み締めた。；「西洋の薬が入っているそうです」 粉はしっとりとして匂いはない。；手に吸いつくようなしっとりとした肌は、触れているだけで心地よかった。；不思議としっとりした印象だけを与えてくる女の人だった。；風の具合か、噴水の飛沫が霧状になって僕たちをわずかにしっとりとさせた。；しっとりとした夜の空気は森のなかを歩いているときに漂うものととてもよく似ていた。；たしかに、しっとりとした艶と色を持ったなめらかな美しさがあった。；部活後なのか汗が額から垂れて、髪もしっとりと水分に包まれていた。</t>
        </is>
      </c>
      <c r="J3653">
        <f>HYPERLINK("https://www.weblio.jp/content/しっとり", "词义详情")</f>
        <v/>
      </c>
      <c r="K3653">
        <f>HYPERLINK("https://yourei.jp/しっとり", "查看例句")</f>
        <v/>
      </c>
    </row>
    <row r="3654">
      <c r="A3654" t="inlineStr">
        <is>
          <t>室内</t>
        </is>
      </c>
      <c r="B3654" t="inlineStr">
        <is>
          <t>成功</t>
        </is>
      </c>
      <c r="C3654" t="inlineStr">
        <is>
          <t>読み方：しつない
部屋の中。家の内部。⇔室外。</t>
        </is>
      </c>
      <c r="D3654" t="inlineStr">
        <is>
          <t>室内装飾；室内灯；室内選手権；室内側；室内プール</t>
        </is>
      </c>
      <c r="F3654" t="inlineStr">
        <is>
          <t>狭い室内；暗い室内；広い室内；室内機；ヨーロッパ室内</t>
        </is>
      </c>
      <c r="G3654" t="inlineStr">
        <is>
          <t>室内楽曲；室内空間；室内オーケストラ；室内練習場；室内楽団</t>
        </is>
      </c>
      <c r="H3654" t="n">
        <v>29</v>
      </c>
      <c r="I3654" t="inlineStr">
        <is>
          <t>窓が小さく内部に部屋が多く、日中でも室内が暗くなる作りになっている。；屋外による収録が主であるが、番組末期は室内での収録が行われていた。；また内装も一部変更されており、室内の番号表記もプレート式となった。；なお機関車以外の全車両にLED常点灯方式の室内灯が標準装備される。；他のキハ20系中期車と同様、座席や室内灯などが製造途中で改良された。；また当初から室内灯に蛍光灯を装備したことも進んだ特徴であった。；室内に単独で立てられたものではなく既に建物に組み込まれている。；室内で食べると臭気がなかなか消えないので、屋外で食べることが多い。；この場合は当然、暗い外から明るい室内の様子を見ることが出来る。；結露を防ぐためには室内の気圧を低く維持することが必要になります。；ボディサイズは先代よりわずかに大きくなっており、室内も広くなった。；室内における残響は次の2つの部分から成り立っているといわれている。；借りていた部屋の近くに室内スキー場があり、滑らずにはいられなかった。；室内に広々とした光景を映し出しても、狭い部屋が広くなるわけではない。；室内に設置されたゲームやコインライドで遊ぶことのできるコーナー。；王妃が外出するには輿を用い、室内に入れば黄金製の椅子に座っている。；そのほかに現金自動支払機を動かしその隙間からも室内を偵察していた。；持ち運ぶもの、室内に置くもの、壁に掛けるものなど様々な種類がある。；これは、カリヨネアの練習用以外にも、音楽用や室内用に使用された。；晩年の1937年にはパリのシャイヨー宮の室内装飾を担当している。；屋外でも室内でも行われるが、かつてはオリンピックで行われていた。；また、作業面と室内の他の部分との関係で次の3つに分類される。；また室内に置かれる主制御機器も見えない位置に設置している場合も見受けられる。；耐久性がよく主に室内での飛行がメインであり操作性に優れている。；家を描く時に、庭越しに広いガラス窓を通して室内を見渡す絵を描く。；そして気づいたときには誰もいない室内で倒れていた。；先代と同じ5ナンバーサイズを維持しつつ、室内幅を40mm拡大した。；これは一般には人間の居住する室内のそれを想定する。；これは現在でも室内の音響を表すもっとも重要な指標になっている。</t>
        </is>
      </c>
      <c r="J3654">
        <f>HYPERLINK("https://www.weblio.jp/content/室内", "词义详情")</f>
        <v/>
      </c>
      <c r="K3654">
        <f>HYPERLINK("https://yourei.jp/室内", "查看例句")</f>
        <v/>
      </c>
    </row>
    <row r="3655">
      <c r="A3655" t="inlineStr">
        <is>
          <t>実に</t>
        </is>
      </c>
      <c r="B3655" t="inlineStr">
        <is>
          <t>成功</t>
        </is>
      </c>
      <c r="C3655" t="inlineStr">
        <is>
          <t>読み方：げに
［副］《「げん（現）に」の音変化という》
１ある事柄に対する自分の評価・判断を肯定して、さらに強調する気持ちを表す。本当に。実に。全く。
「—恋こそはまことのいのちである」〈倉田・愛と認識との出発〉
２他人の評価・判断に接して、納得し、賛同する気持ちを表す。なるほど。いかにも。
「ひまなき御前渡りに、人の御心をつくし給ふも—ことわりと見えたり」〈源・桐壺〉</t>
        </is>
      </c>
      <c r="D3655" t="inlineStr">
        <is>
          <t>実によく(3%)；実にいい；実に驚く；実に多く；実に美しい</t>
        </is>
      </c>
      <c r="E3655" t="inlineStr">
        <is>
          <t>よく；特に；最も；大きく；実際</t>
        </is>
      </c>
      <c r="F3655" t="inlineStr">
        <is>
          <t>実にどうも；実に至れり尽せ；実に勇敢；実に変てこ；実に思ひがけ</t>
        </is>
      </c>
      <c r="H3655" t="n">
        <v>29</v>
      </c>
      <c r="I3655" t="inlineStr">
        <is>
          <t>実にいい人たちだった彼らが、如何にして全宇宙を憎むようになったか。；地歌は非常に曲数が多く、歴史も長いため実に様々な傾向の曲が存在する。；我々がこのような人物を持っている事は実にすばらしいではないか。；他にも挙げればきりがないほど、実に様々なスタイルで行われている。；この説は可能であるが、実にもっともらしいというわけでもない。；そこに貴賤・男女・幼老の区別は無く、実に20万人余りが殺害された。；このため、勧銀・興銀の北海道進出が行われたのは実に戦後のことである。；このように、当駅周辺は実に多面的な要素を持ったエリアといえる。；これを聞いて激怒したエンリルの答えは、実に簡潔かつ感情的であった。；梅の実に付いている茎は竹串などで取り除き、傷のある実があれば除く。；日本にやってきた時から思い続けており、実に12年かけての成就である。；実に発見から30年たって彗星・小惑星遷移天体である事が判明した。；実に立派な山であることを登ってみて初めて知った。；下記にあげたのは一例であり、他にも実に多くの説がある。；初代の初参戦初クラス優勝から、実に57年ぶりの出来事であった。；彼の作曲数は多く、フルート・ソナタだけをとっても実に121曲に及ぶ。；最終的に消火されたのは、魚雷命中から実に12時間後のことであった。；実に、この怪物が持つ武器は、角ではなく糞であったと語り手は言う。；小さな大会等を合わせると、実に30もの大会を制覇してきたという。；食草は実に多様であるが、種によって食べる植物は決まっている。；フォード達が地球を脱出した方法は実に風変わりなものであった。；イタリアのチームがマドリードでの試合で勝利したのは実に35年ぶりとなった。；これは、一個の実に光合成で作られる糖分を集中させるためである。；この文殊像は獅子の上に乗った巨像で、完成までに実に12年を要した。；また、既に引退していた祖父・師実にも忠実を支える余力はなかった。；時代状況の変化に対応し、実に簡単に制度が変更される。；その他にも伝三郎は実に様々な事業の設立に関わっている。；遣戸障子は今日から考えると実に武骨で大変重い建具であり滑りも悪い。；初代モデルの登場から実に22年ぶりのモデルチェンジが行われた。</t>
        </is>
      </c>
      <c r="J3655">
        <f>HYPERLINK("https://www.weblio.jp/content/実に", "词义详情")</f>
        <v/>
      </c>
      <c r="K3655">
        <f>HYPERLINK("https://yourei.jp/実に", "查看例句")</f>
        <v/>
      </c>
    </row>
    <row r="3656">
      <c r="A3656" t="inlineStr">
        <is>
          <t>実は</t>
        </is>
      </c>
      <c r="B3656" t="inlineStr">
        <is>
          <t>成功</t>
        </is>
      </c>
      <c r="C3656" t="inlineStr">
        <is>
          <t>読み方：じつは
［副］事実を言えば。本当のところは。打ち明けて言うと。「—私が企てた事なのです」</t>
        </is>
      </c>
      <c r="D3656" t="inlineStr">
        <is>
          <t>実はこの(4%)；実は私；実は僕；実はまだ；実は俺</t>
        </is>
      </c>
      <c r="E3656" t="inlineStr">
        <is>
          <t>実際；事実；まったく；実際に；現実</t>
        </is>
      </c>
      <c r="F3656" t="inlineStr">
        <is>
          <t>椰子の実は；熟した実は；見せかけて実は；拓実は；忠実は</t>
        </is>
      </c>
      <c r="H3656" t="n">
        <v>29</v>
      </c>
      <c r="I3656" t="inlineStr">
        <is>
          <t>それは、彼らは実は生きていて、話したり自由に行動したりできるのだ。；王が見たのは実はアーヴィンの遺体だったのではないかという説もある。；また父親も実は、娘には歌手ではなく画家になってもらいたかったという。；実は、分割の大きさを極限で とすれば積分を定義するのに十分である。；実は内部に空気を含む隙間があって水に浮き、流れに乗って散布される。；実は彼女と僕は一緒にあるプロジェクトをするはずだったんだ。；実は浜崎が街金運営の資金としていた金は大帝都からの借金であったのだ。；実はこれらの用語そのものは、教育基本法や学校教育法には登場しない。；少なくともスタンダードは解体されたようでいて、実は生きていたのである。；沢村に対し常に明るく振る舞う和也だが実は重い過去を持っていて・・。；VR元年は実は人間の歴史とともに始まったと言えるような気もする。；実は病院での検査の結果が思わしくなかったフジミは、その年の夏に死去。；実は灯の両親が贈賄に加担しており、灯と両親は口封じに殺害されかける。；管仲の矢は腹に当たったように見えたが、実は腰帯の留金に当たっていた。；ところがこの時困っていた人物は、実は多賀竜の師匠の鏡山親方であった。；実はこの店はヤクザの経営で裏キックボクシング試合も行っていた。；しかし、これは実は遺伝子が直線の上に配置している場合でなければ成立しない。；これは動画が実は静止画のフレームの短い連続で作られているのと似ている。；身体は意識の表現であり、実はすべてが意識であると考える。；実はこの時、アランは年齢を詐称していたが、問題にはならなかった。；実は -加群の概念はアーベル群の概念と同じものと考えることができる。；新之助に瓜二つの彼は、実は生まれてすぐ引き離された双子の弟だった。；だがその部隊の正体は、実は遊んでばかりのオキラク部隊であった。；実はフェイはゾハルの力を継承した影響で三つの人格を有していた。；これは、日本人と同じ条件のもとで所有権を与えるよりも実は深刻な問題を残した。；この庭園計画も実は恵みの庭とまったく同じ方法で計画されている。；しかし実はミヤタがギガール星を去った後にトロンガーに殺害されていた。；実はこれも剣や杖と同じく、ある存在の器となるべく造られたもの。；とは言え、世界の自由と民主主義の命運は実は彼らにかかっていた。</t>
        </is>
      </c>
      <c r="J3656">
        <f>HYPERLINK("https://www.weblio.jp/content/実は", "词义详情")</f>
        <v/>
      </c>
      <c r="K3656">
        <f>HYPERLINK("https://yourei.jp/実は", "查看例句")</f>
        <v/>
      </c>
    </row>
    <row r="3657">
      <c r="A3657" t="inlineStr">
        <is>
          <t>失敗</t>
        </is>
      </c>
      <c r="B3657" t="inlineStr">
        <is>
          <t>成功</t>
        </is>
      </c>
      <c r="C3657" t="inlineStr">
        <is>
          <t>読み方：しっぱい
［名］(スル)物事をやりそこなうこと。方法や目的を誤って良い結果が得られないこと。しくじること。「彼を起用したのは—だった」「入学試験に—する」「—作」
[補説]2013年10月に実施した「あなたの言葉を辞書に載せよう。」キャンペーンでの「失敗」への投稿から選ばれた優秀作品。◆1回目は許されて、2回目は怒られて、3回目は仏様の顔が醜くゆがむこと。門川ゆうきさん◆飲酒した翌朝に一切の記憶を失っていること。酒井響介さん◆22時以降に炭水化物を食べること。まつこさん◆人の言動の結果として現れる事実や状態のこと。その人がのちに成功することによって美化される傾向がある。くらげさん◆挑戦することで得られる成果物の一形態。果実にはならないが肥料にすることができる。kobo-qさん◆多くの前例がありながら、人間が繰り返すもの。それにも関わらず、いつかは克服できると夢見るもの。老爺心さん◆成功するために避けては通れない経験。人を賢く、優しく、強く、そして前進させる。ケビンケイさん◆人間なら誰でも冒すこと。それが早ければ早いほど、その後の人生に役立つので、若いうちにできるだけ多くこれを経験した方がいい。これを恐れてはならない。タイガーさん◆努力した結果の一つ。逃避せず、挑戦した証拠。内容には満足できないが、後悔のない状態。佐藤翔太さん◆どれだけ許容できるかで、人の懐の広さを知れるもの。Taroさん◆もう一度チャレンジする気持ちを与えてくれるもの。ゴーちゃんさん◆本質を見抜き、うまく向き合えたら、強い味方に変わるもの。猫柳さん</t>
        </is>
      </c>
      <c r="D3657" t="inlineStr">
        <is>
          <t>失敗する(7%)；失敗作；失敗すれ；失敗例；失敗続き</t>
        </is>
      </c>
      <c r="E3657" t="inlineStr">
        <is>
          <t>間違い；崩壊；ミス；誤り；間違え</t>
        </is>
      </c>
      <c r="F3657" t="inlineStr">
        <is>
          <t>完全な失敗；全て失敗；結局失敗；作戦失敗；救援失敗</t>
        </is>
      </c>
      <c r="G3657" t="inlineStr">
        <is>
          <t>失敗国家；失敗学；失敗による否定；失敗の本質；失敗学会</t>
        </is>
      </c>
      <c r="H3657" t="n">
        <v>29</v>
      </c>
      <c r="I3657" t="inlineStr">
        <is>
          <t>しかし、彼の目の前で逆上がりに失敗したことから馬鹿にされてしまう。；ひみつ道具を調子に乗って使い過ぎたり悪用してしばしば失敗している。；これが失敗に終わった経緯に関してはいくつかの話が伝えられている。；また寛解に入っていない非寛解期に移植をしても失敗する可能性は高い。；ワーナー・マイカルの進出当初は業界内では失敗するものと思われていた。；同時代のケプラーや若干後のニュートンなども同じような失敗があった。；しかし最初の命令のゼウス殺しに失敗し追われる身となってしまう。；こうして対清輸出拡大を望むイギリスの試みは失敗に終わった。；また、1950年代にパキスタンで試みられた例は失敗に終わっている。；タソガレドキ城がカワタレドキ城と同盟を結ぼうとしたが失敗に終わる。；これらの多くは、精子・卵子の生産時に減数分裂に失敗したことによる。；しかしまもなくこの弾圧は政治的には失敗であったことが明らかになっていく。；試験には合格したが、失敗したら南米へ行こうと思っていたという。；信長は強硬策を用いて大河内城の攻撃を図るも失敗し、戦いは長期化した。；エジプト政府が売却に反発することを顧客が恐れたのが失敗した理由らしい。；ところが、方法に間違いがあったことから失敗し、不具の子であった。；しかしこのパリ会談は直前に起きたU2型機事件で失敗に終わった。；一部のプログラムはエラーがあるファイルの処理中に失敗する可能性がある。；その後、アナーバーでこれらを売却しようとしたが同様に失敗した。；第二東映は失敗したが、そのとき増えた専門館のシステムは残った。；米が豊作の年には、米の質の関係から、醸造に失敗しやすい事もある。；新人の失敗というストーリーは放送のための演出と考えるのが妥当である。；ちょっと失敗したかなと思うのは、バックライトを明るくし過ぎたことですね。；暗殺は失敗したがニューヨークから追い出すことには成功した。；しかし、時流は完全に廃仏に流れており、仏教の復権は失敗に終わった。；この騒動はワシントンの支持者がその後ろ盾に集まって失敗に終わった。；だが、またしてもヨーク公は貴族層の支持が薄いために失敗した。；しかし後半の主要防衛線への攻撃は第9師団がP堡塁を占領した以外は失敗。；また、パリでも売却しようとしたがこちらも失敗している。</t>
        </is>
      </c>
      <c r="J3657">
        <f>HYPERLINK("https://www.weblio.jp/content/失敗", "词义详情")</f>
        <v/>
      </c>
      <c r="K3657">
        <f>HYPERLINK("https://yourei.jp/失敗", "查看例句")</f>
        <v/>
      </c>
    </row>
    <row r="3658">
      <c r="A3658" t="inlineStr">
        <is>
          <t>実費</t>
        </is>
      </c>
      <c r="B3658" t="inlineStr">
        <is>
          <t>成功</t>
        </is>
      </c>
      <c r="C3658" t="inlineStr">
        <is>
          <t>読み方：じっぴ
実際に要した費用。手数料やもうけなどを含まない金額。「出張旅費の—を請求する」</t>
        </is>
      </c>
      <c r="D3658" t="inlineStr">
        <is>
          <t>実費負担(5%)；実費診療所(3%)；実費診療所(2%)；実費程度(2%)；実費医院</t>
        </is>
      </c>
      <c r="H3658" t="n">
        <v>29</v>
      </c>
      <c r="I3658" t="inlineStr">
        <is>
          <t>初めからすなおに実費をもらうことにしておいたほうがよかったのだろう。；実費を取り立てるためにも、山川の所在はつかんでいなければなるまい。；ただご都合のよいとき、かかった実費だけ支払っていただけば結構です。；フィルム代や撮影にかかった実費をさしひくと、わずかだが収益が残る。；マウントは固定式であるが製造当時は実費で改造修理扱いによる交換も可能であった。；現在では実費にてレッスン会場にて販売されているが、かつては無料で配布されていた。；同社によれば、英語版購入のユーザーにも実費程度で日本語版を提供するという。；また、医療機関でも実費負担で検査を受けられるところがある。；会員でないものが運転している際に事故を起こした場合、上記の補償は一切適用されず、実費負担となる。；そして貧乏な人達を相手に実費診療の事業を始めると言うのです。；実費で出る分の制作費さえ確保できればいいわけだ。；この場合、請求時に実費費用分が加算されてトラブルになりやすい。；大学卒業後、土木工事などのアルバイトでメキシコへ渡るべく実費を稼ぐ。；卒業後、米国実費精算式請負法の研究などの仕事についていた。；まだ百枚ほどある故、私に実費で譲ってくれるとの話。；その利用料金は無償、実費のみ、1回あたり3万円程度など様々である。；実費二百万円と、あなたが所持している東北交通の不正工作の資料。；最悪の場合、実費での補修や建て替えを余儀なくされることがある。；双方納得ずくの上だから危険はないし、費用も〝実費〟だけですむ。；また、地域本部が実費を負担し、費用が払えない生徒には授業料を免除している。；どうしても義歯に替えなければならない場合が万に一つもあったとしても、実費は数千円だ。；非営利目的には実費程度の対価を受け取る場合も含まれており、その範囲内での販売は許可されている。；しかしアルコールは実費で生中が一杯四五〇円だから市価より少し安いくらいだろうか。；日本人と見ると、誰にでも頭を下げて、事情を話して、実費で泊めて貰うことにしたからである。；いくら、あの辺の貧乏な連中を僅かな実費で診てやっても、さて、そいつが人のためになるかだ。；宿泊や施設の利用料は無料であり、シーツ代と食費の実費のみ必要。；いったい、日本の宿屋では、どこでも食費をほとんど実費以上にとるところはない。；ポスターの製作とその配付にかかる実費は自分で支払う、とダフネは言った。；貸出カードを作成する際には、身分証の提示とカード作成実費300円が必要である。</t>
        </is>
      </c>
      <c r="J3658">
        <f>HYPERLINK("https://www.weblio.jp/content/実費", "词义详情")</f>
        <v/>
      </c>
      <c r="K3658">
        <f>HYPERLINK("https://yourei.jp/実費", "查看例句")</f>
        <v/>
      </c>
    </row>
    <row r="3659">
      <c r="A3659" t="inlineStr">
        <is>
          <t>執筆</t>
        </is>
      </c>
      <c r="B3659" t="inlineStr">
        <is>
          <t>成功</t>
        </is>
      </c>
      <c r="C3659" t="inlineStr">
        <is>
          <t>読み方：しっぴつ
［名］(スル)
１文章を書くこと。「—を依頼する」「雑誌に連載小説を—している」
２書道で、筆の持ち方。
３香道で、聞き香などの競技のときに成績などを記録する役の人。</t>
        </is>
      </c>
      <c r="D3659" t="inlineStr">
        <is>
          <t>執筆活動(6%)；執筆中；執筆者；執筆陣；執筆当時</t>
        </is>
      </c>
      <c r="E3659" t="inlineStr">
        <is>
          <t>字；出版；発行；表記；刊行</t>
        </is>
      </c>
      <c r="F3659" t="inlineStr">
        <is>
          <t>脚本執筆；多数執筆；小説執筆；記事執筆；数多く執筆</t>
        </is>
      </c>
      <c r="G3659" t="inlineStr">
        <is>
          <t>執筆依頼；執筆家；執筆コンテスト</t>
        </is>
      </c>
      <c r="H3659" t="n">
        <v>29</v>
      </c>
      <c r="I3659" t="inlineStr">
        <is>
          <t>フランス語で執筆する作家の中には、フランスへの移住を選ぶ者もいた。；この行為から、執筆作業に対しての気持ちが入っていく面もあるという。；この当時、彼は多数の本を執筆して生態学や哲学的な考えを盛り込んだ。；初期は少年誌で活動していたが、後に青年誌でも執筆するようになった。；以降、多くの出版社で青年向けの漫画雑誌を中心に執筆活動をしている。；議会の無関心の一方でロベスピエールはこの事件に注目して記事を執筆した。；ブログでは、現在の心境を綴った本を執筆中であることを明らかにした。；ベンヤミンはブレヒトの理解者となり彼の作家論を幾つか執筆している。；サマセット・モームに執筆を依頼し短い作品を連載したところ評判になった。；本記事の執筆に直接使用していないものも含まれるので注意。；後に、クローヴスはこのシリーズの残りの全作品を執筆するため復帰した。；このような執筆姿勢は以下のような記述からも明らかである。；南名義では少年向け冒険小説を多数執筆、特に秘境冒険物を得意とした。；前年に執筆した『オランダ独立戦争史』の成果を買われてのことである。；おまけページに各作品執筆時のエピソードが漫画で描かれている。；執筆でひさしの足がむくむと好子はそれを取るためのマッサージをした。；後に父方の祖母が韓国人であることを執筆のための取材の途上で知る。；当初は本名の「加川良」名義で執筆していたが、後にペンネームにした。；以後16年間この職に従事しつつ、余暇を利用して執筆活動を続けた。；そのまま大阪に住み、アルバイトをしながら漫画の執筆・投稿を続けた。；次の長編はイングランドにいたころに構想ができ、ローマで大部分を執筆した。；この頃からおびただしい量の執筆・座談会・講演等をこなすようになる。；彼は論文を執筆するよりも同僚との間で長い手紙をやり取りするのを好んだ。；そこで、多数の協力者が執筆した脚本を元に作品が創られている。；この経験が戯曲風小説『悪魔のくる家』の執筆のヒントになったとされる。；小学館の漫画雑誌では、料理以外の事柄を題材にした作品を執筆している。；近年はストーリー性のある軽妙なコメディ作品も多く執筆している。；アニメ化に合わせて連載されたリメイク作品で、執筆は田中道明が担当。；フランス語で執筆するマグレブの作家たちの作品は、と呼ばれるようになった。</t>
        </is>
      </c>
      <c r="J3659">
        <f>HYPERLINK("https://www.weblio.jp/content/執筆", "词义详情")</f>
        <v/>
      </c>
      <c r="K3659">
        <f>HYPERLINK("https://yourei.jp/執筆", "查看例句")</f>
        <v/>
      </c>
    </row>
    <row r="3660">
      <c r="A3660" t="inlineStr">
        <is>
          <t>実物</t>
        </is>
      </c>
      <c r="B3660" t="inlineStr">
        <is>
          <t>成功</t>
        </is>
      </c>
      <c r="C3660" t="inlineStr">
        <is>
          <t>読み方：じつぶつ
実際のもの。現物。「—そっくりの模型」</t>
        </is>
      </c>
      <c r="D3660" t="inlineStr">
        <is>
          <t>実物資料；実物そっくり；実物教育；実物同様；実物以上</t>
        </is>
      </c>
      <c r="E3660" t="inlineStr">
        <is>
          <t>本物；現物；実機；真作；正規品</t>
        </is>
      </c>
      <c r="F3660" t="inlineStr">
        <is>
          <t>実物写真；実物化石；実物取引；実物模型；実物写生</t>
        </is>
      </c>
      <c r="G3660" t="inlineStr">
        <is>
          <t>実物大ガンダム；実物貨幣；実物経済；実物教授；実物資産</t>
        </is>
      </c>
      <c r="H3660" t="n">
        <v>29</v>
      </c>
      <c r="I3660" t="inlineStr">
        <is>
          <t>現在では一部の博物館でしかオリジナル版の実物は目にすることはできない。；この間実物を見たらすっかり装幀の出来た本だったと思ったのですが。；また、本棚に実物の本と同じ背表紙が表示されるのも独自の特徴である。；実物の飛行機やヘリコプター、飛行機のエンジンなどが展示されている。；その生根は一度も日本へ来なく、私等はまだこれの実物を見たことがない。；風洞実験用の模型が作られただけで、実物が製造されることはなかった。；ただし、実物を精査をした訳ではないため、確信は持てないとしている。；常設展示されていない実物資料は企画展示で公開される場合がある。；上手なカリカチュアは実物よりも以上に実物の全体を現わしているから。；つまり、実物とは違った写真が出来ないような、そういう彼女なのだ。；教授も始めて実物を見るといって、私を二階窓に案内してくれた。；日本国外のメーカーでは本格的な実物同様の構造を持つものもある。；第5部の射撃シーンでは実物に近い形の物が登場するが、寸法は大きい。；ショールームと称する施設では、展示してある実物を販売することは無い。；実物を縮小して作成されることが多いが、拡大して作られるものもある。；一連の段とリンクで構成された機器だが、実物が製作されることはなかった。；多くの電車は実物の形状に各国の国旗の色のパターンを乗せたものになっている。；実物と同じに見せるということは絵画の目的でないと同様に映画の目的でもない。；非常に緻密であるため、実物を見て描いたものでないとされている。；形状や感触は実物に近いが、身長は比較的小さく体重も軽いものが多い。；少し時代は下がるが戦国時代の墓から筆の実物が発見されている。；また撮影対象は実物ではなく、その対象が映った写真や絵でもよい。；現在では模型に使用されるが以前は実物の蒸気機関にも使用された。；かなりたくさんかいたが実物写生という事はついにやらずにしまった。；イベント時には限定モデルも発売されるがこのデザインは実物と異なったものになっている。；同社の施設には、このように飾り付けた実物の給水塔を建てたものが多い。；しかし、今でも紙に一定の縮尺で書かれた図の実物の長さを知る目的で使われる。；その絵、見せていただいたけど、実物よりよく描いてもらった感じでした。；こうして、いよいよ実物が出来上ったのが、昭和八年の四月であった。</t>
        </is>
      </c>
      <c r="J3660">
        <f>HYPERLINK("https://www.weblio.jp/content/実物", "词义详情")</f>
        <v/>
      </c>
      <c r="K3660">
        <f>HYPERLINK("https://yourei.jp/実物", "查看例句")</f>
        <v/>
      </c>
    </row>
    <row r="3661">
      <c r="A3661" t="inlineStr">
        <is>
          <t>尻尾</t>
        </is>
      </c>
      <c r="B3661" t="inlineStr">
        <is>
          <t>成功</t>
        </is>
      </c>
      <c r="C3661" t="inlineStr">
        <is>
          <t>読み方：しっぽ
《「しりお」の音変化》
１動物の尾、また、魚の尾びれ。「犬が—を振る」
２尾に似たもの。また、細長いものの末端。「行列の—に並ぶ」
３隠していたことやごまかしが現れる端緒。</t>
        </is>
      </c>
      <c r="D3661" t="inlineStr">
        <is>
          <t>尻尾をつかん；尻尾を出さ；尻尾みたい；尻尾をまい；尻尾付き</t>
        </is>
      </c>
      <c r="E3661" t="inlineStr">
        <is>
          <t>尾；尾部；テール；テイル；尻っぽ</t>
        </is>
      </c>
      <c r="F3661" t="inlineStr">
        <is>
          <t>太い尻尾；猫耳尻尾；大きな尻尾；小さな尻尾；尻尾爆発スクリュート</t>
        </is>
      </c>
      <c r="H3661" t="n">
        <v>29</v>
      </c>
      <c r="I3661" t="inlineStr">
        <is>
          <t>尻尾は魚のものとそっくりで、耳は魚のヒレのような形状へと変化する。；その尻尾だけを全体とちがったものにしようとするのは間ちがっている。；尻尾がない特徴的な姿からファンがおり、佐々木主浩もその一人だった。；チャームポイントはお尻で、尻尾の形状は生まれた物が基となっている。；花田 ただし尻尾を出しそうな奴は黙って引っ込んでいるほうがいいぜ。；頭だと思ふとそれが尻尾だつていふやうな動物がよくあるぢやないか。；国境の上で草を食ふ牝牛、お前が尻尾を向けてゐる方がイタリイだらう?；犬の耳と尻尾の付いた女の子が登場するのが特徴的な作品である。；黒い瞳の大きな目にウサギのような長い耳とキツネのような尻尾を持つ。；尻尾は水面を叩いて仲間に危険を伝える役割と脂肪を蓄える役割をもつ。；そこで尻尾を振って居たが、いよいよ行くというまでに決心がつかなかった。；また、連続攻撃や尻尾の回転攻撃の後にできた隙がほとんどなくなっている。；剛毅の目の前に現れたのは、猫の尻尾と耳の生えた二人組の少女だった。；それに気づいたトムは尻尾が抜けないため熱さに耐えられずやけど。；尻尾や翼を使った攻撃も多く、リーチが長めで攻撃範囲も広いのが長所。；尻尾攻撃中は無敵状態となるため敵の攻撃を回避する手段でもある。；猫や犬などの動物に似た、皮膚を覆う体毛や尻尾などの特徴を備えた人々。；他のロープが尻尾のように彼のガウンの下から引っ張るために縛られた。；その上には、空気服を着て太い尻尾を生やした三少年が立っていた。；尾節は、節足動物の最終体節の直後に付属した尻尾のような部分である。；さらに、感情を表し、個体間の情報伝達のために尻尾が使われる例も多い。；彼はロープを切り、尻尾のほうにも輪をかけるために船尾に移動した。；長い優美な尻尾を引きながら青い藻の中に見え隠れする金魚の群がある。；尻尾の先にある針で連続突きを決めるデマゴーグ・スペシャルが得意技。；ある将校がおかわりをしようとし、酒壺に飾られた雄鶏の尻尾に気付く。；尻尾は大部分が灰色で背中側には黒い筋があり先端も黒い。；また人型の悪魔は、上の顔、角のようなもの、羽、尻尾が生えている。；その尻尾は突き出され、ピアノの弦のように使うため固定されていた。；最後は尻尾だけがサテュロスであることを伺わせるところまで至った。</t>
        </is>
      </c>
      <c r="J3661">
        <f>HYPERLINK("https://www.weblio.jp/content/尻尾", "词义详情")</f>
        <v/>
      </c>
      <c r="K3661">
        <f>HYPERLINK("https://yourei.jp/尻尾", "查看例句")</f>
        <v/>
      </c>
    </row>
    <row r="3662">
      <c r="A3662" t="inlineStr">
        <is>
          <t>失望</t>
        </is>
      </c>
      <c r="B3662" t="inlineStr">
        <is>
          <t>成功</t>
        </is>
      </c>
      <c r="C3662" t="inlineStr">
        <is>
          <t>読み方：しつぼう
［名］(スル)期待がはずれてがっかりすること。また、その結果、希望を持てなくなること。「—の色を隠せない」「前途に—する」</t>
        </is>
      </c>
      <c r="D3662" t="inlineStr">
        <is>
          <t>失望させる；失望感；失望落胆；失望させたく；失望湾</t>
        </is>
      </c>
      <c r="E3662" t="inlineStr">
        <is>
          <t>失意；悲観；自暴自棄；自棄；やけくそ</t>
        </is>
      </c>
      <c r="F3662" t="inlineStr">
        <is>
          <t>大きな失望；ひどく失望；深く失望；深い失望；大きく失望</t>
        </is>
      </c>
      <c r="G3662" t="inlineStr">
        <is>
          <t>失望落胆</t>
        </is>
      </c>
      <c r="H3662" t="n">
        <v>29</v>
      </c>
      <c r="I3662" t="inlineStr">
        <is>
          <t>彼女は芸術性を失った現在の映画に失望し映画館を再開できないと語る。；失望から学校に行かなくなり、近所の森や山で時間を潰す日々を送った。；計画の失敗に失望したマルガはホテルの部屋に入った後、拳銃自殺した。；バントゥー教育に失望した教師たちの間からは辞職するものも多くでた。；アルバムはこれまでの作品ほどのヒットにはならず、ファンを失望させた。；しかし、革命派の内部対立に失望して、再度日本に渡り学習に復帰した。；彼はアルバムの歌の作業に参加しなかったことに対する認識に失望した。；最も失望させる事項は、TPPには環境や労働の章すらないことである。；教室には、家族を失望させない程度に定期的に顔を出す程度であった。；グルヌイユは失望し幻滅して彼の人生の原点であるパリへ移動し始めた。；ポリアフは失望して彼の元を去るが、彼女は二人に呪いをかけてしまう。；そうしたビクターの様子に両親は失望し、親子の関係は悪化していった。；イタリア兵らは、現地民の間に強い反英感情がないことに失望した。；彼らを失望させたくなかったため、彼はこの役を演じ、王国を建てた。；そして、エスネもまた、ハリーの行動に失望し彼のもとを去っていった。；彼女は彼のこの件への対応に失望して自身も告発に踏み切ったという。；GameSpotは本作を2003年で最も失望したゲームに選出した。；彼らはキャラバンが何も財宝を持っていなかったことに気づいて失望した。；このことに対し元方は深く失望し、その余り病を得て悶死したとされる。；失望のあまり頭を抱えるコンビの頭上に逃げ遅れた母ガモがやってきた。；しかし、一部の住民は抵抗を続けたかったためこの決定に失望した。；しかし、すぐに自分が成立を助けた共和政府に失望することになった。；その行動はホーソーンなど以前の友人の幾人かを大いに失望させた。；大韓帝国皇帝高宗はロシア勝利を期待したため、深く失望したといわれる。；しかしこの事件を機に、軍部の一揆に協力する態度に失望して軍を離れた。；彼はここで成功したが、伝道活動に否定的な教会員の態度に失望を感じていた。；この時「また星野監督に捨てられてしまう」と失望したと後に語っている。；一方、清浦とその支持勢力であった研究会はこの顛末にひどく失望した。；私のやった行動は自分自身のみならず観客の皆様をも失望させることになりました。</t>
        </is>
      </c>
      <c r="J3662">
        <f>HYPERLINK("https://www.weblio.jp/content/失望", "词义详情")</f>
        <v/>
      </c>
      <c r="K3662">
        <f>HYPERLINK("https://yourei.jp/失望", "查看例句")</f>
        <v/>
      </c>
    </row>
    <row r="3663">
      <c r="A3663" t="inlineStr">
        <is>
          <t>質問</t>
        </is>
      </c>
      <c r="B3663" t="inlineStr">
        <is>
          <t>成功</t>
        </is>
      </c>
      <c r="C3663" t="inlineStr">
        <is>
          <t>読み方：しつもん
［名］(スル)わからないところや疑わしい点について問いただすこと。また、その内容。「—に答える」「先生に—する」</t>
        </is>
      </c>
      <c r="D3663" t="inlineStr">
        <is>
          <t>質問状；質問書；質問しよ；質問内容；質問責め</t>
        </is>
      </c>
      <c r="E3663" t="inlineStr">
        <is>
          <t>調査；聞く；疑問；取材；インタビュー</t>
        </is>
      </c>
      <c r="F3663" t="inlineStr">
        <is>
          <t>そんな質問；こんな質問；ご質問；被告人質問；どんな質問</t>
        </is>
      </c>
      <c r="G3663" t="inlineStr">
        <is>
          <t>質問攻め；質問主意書；質問箱；質問紙法；質問応答システム</t>
        </is>
      </c>
      <c r="H3663" t="n">
        <v>29</v>
      </c>
      <c r="I3663" t="inlineStr">
        <is>
          <t>ただし質問自体は十分適切な監査証拠にはならないことに注意されたい。；最初の訪問国であるケニアは夫の北朝鮮訪問を質問されることになった。；この時期のやらせ質問依頼が他にも数件なされていることが確認されている。；プレーヤーの名前なども子供がお姉さんの質問に答える方法で決定する。；はなしついでにぼくはいちばん気になってたしつもんをしてみました。；また、読者からの手紙・質問にはほとんど返答を出すことでも知られる。；もちろんカルテで分かる内容だが、取り違い防止のために質問している。；公式サイト内のよくあるご質問では宗教ではないと記載されている。；これはカルデックの質問に数人の霊が答えるという形式で書かれている。；地区議会は市区に関わる質問・議論を聞くために重要な機会である。；Factoid型質問応答の基本的な処理の流れは、以下のようになる。；男はこの日、店を訪れると自分から「防犯登録をするんですか」と質問。；反対に制度上、大統領は議員の質問に答える義務がないとされる。；死者の魂を呼び出して質問に答えさせることや哲学に長じている。；そのため、教授が英語で授業をする中、学生がフランス語で質問してもよい。；ある日、父の友達が尋ねて来て、彼に経書の一句節に対して質問をした。；質問内容はゲストによって異なるが似たような質問の場合もある。；ボードの前には常時キャストがいるので、質問などをすることができる。；また、授業後には講師に質問できる無料の居残り自習が設定されている。；また報告徴収・質問は犯罪捜査のために認められたものと解釈してはならない。；宰相は国中のすべての教区に質問状を送り、地震とその影響を回答させた。；一人が問題を出し、他の人はイエス・ノーで答えられる質問を出す。；現役時代は個人ホームページが存在し、ファンからの質問にも答えていた。；その会場で一研究者からアイヌ民族人喰説に対する質問がなされたからだ。；一方、日本では質問に答えるだけで計算できる金融電卓が主流である。；このため、影の首相による質問のあいだは党首討論のような形となる。；出演者に関する質問が多かった場合、その人についての調査も行われる。；彼らの全て質問はその方向に向けられたものだった。；そのような質問をされた時に、窪島は2通りの答えを用意している。</t>
        </is>
      </c>
      <c r="J3663">
        <f>HYPERLINK("https://www.weblio.jp/content/質問", "词义详情")</f>
        <v/>
      </c>
      <c r="K3663">
        <f>HYPERLINK("https://yourei.jp/質問", "查看例句")</f>
        <v/>
      </c>
    </row>
    <row r="3664">
      <c r="A3664" t="inlineStr">
        <is>
          <t>執拗</t>
        </is>
      </c>
      <c r="B3664" t="inlineStr">
        <is>
          <t>成功</t>
        </is>
      </c>
      <c r="C3664" t="inlineStr">
        <is>
          <t>読み方：しつおう
［名・形動］「しつよう（執拗）」に同じ。
「己(おれ)が—なのじゃない」〈漱石・道草〉</t>
        </is>
      </c>
      <c r="D3664" t="inlineStr">
        <is>
          <t>執拗な攻撃；執拗な追跡；執拗な追及；執拗な嫌がらせ；執拗な抵抗</t>
        </is>
      </c>
      <c r="E3664" t="inlineStr">
        <is>
          <t>頑固；強情；頑な；片意地；硬骨</t>
        </is>
      </c>
      <c r="F3664" t="inlineStr">
        <is>
          <t>執拗なイジメ；執拗な眼付；執拗低音；執拗な反復；執拗な尋問</t>
        </is>
      </c>
      <c r="H3664" t="n">
        <v>29</v>
      </c>
      <c r="I3664" t="inlineStr">
        <is>
          <t>そんな彼に妻エルダは「そこに女がいるのね」と執拗な電話攻撃に出る。；執拗なまでの誘惑に恐怖を覚えたアナは必死の思いでオフィスを離れた。；昨夜の情緒が、妙に執拗に私の身体に尾を引いているように思われた。；瑠璃子が執拗に二三度訊くと、どんな秘密でも、明しかねない父だつた。；瑠璃子が執拗に二三度訊くと、どんな秘密でも、明しかねない父だった。；けれども彼はその執拗な質問で自分の耳学問を進めていったのです。；病気はやはり支那旅行以来のものが執拗に氏から離れないものらしい。；そして蛇のやうな執拗さで間がな隙がな追究しずにはゐられなかつた。；そんなハイの前に幻影は執拗に現れ、その心は父殺しへと動いていく。；実際、長男の顔だけに執拗に殴った大きな傷があることも判明した。；最初はそれも断られたが執拗に要求して最後は謁見にまで結びつけた。；いろいろな方法を執拗な努力でもって言語の砦を築いた。；しかしシンザンの担当予定者が執拗に不満を口にしたため、担当馬が交代される。；枷から自由になろうとして、彼は何時間もぶっ通しの執拗な努力を試みた。；三隅にそれを信じてくれるのかと執拗に迫られた重盛は混乱する。；しかしその旅路には常にヒューマンの執拗な追っ手の影が迫っていた。；京とは微妙な関係を続けながらも、彼の命を執拗に狙い続けている。；半年も経たない頃から、陸軍は政府に日独伊三国同盟の締結を執拗に要求。；性質の荒い種が多く、縄張りに侵入してくる他魚をしばしば執拗に攻撃する。；当時の担当編集から執拗に「学園ラブコメ」を描くように言われていた作者。；しかし、戦場から離脱しようとする島津軍を徳川軍は執拗に追撃し続けた。；その日を境にグロリアは白皮症の男から執拗に付きまとわれるようになる。；だが再び捜査を開始したシードリングの執拗な追跡に苛まれることになる。；執拗な追及から時行を助けたのは、逃若党の便女・亜也子の芸才だった。；外国へ行つてから向うの食物に嗜味を執拗にされたためであらうか。；しかし、両親を殺害した何者かにストーカーのごとく執拗に付き纏われる。；判決では、急所を執拗に狙っていたとして行動を制御する能力は残っていたとした。；それからまた数日の間、同じことが執拗に続けられました。；わたしも執拗く二度とは聞きもせずに見おろしていると、あたかもその時である。</t>
        </is>
      </c>
      <c r="J3664">
        <f>HYPERLINK("https://www.weblio.jp/content/執拗", "词义详情")</f>
        <v/>
      </c>
      <c r="K3664">
        <f>HYPERLINK("https://yourei.jp/執拗", "查看例句")</f>
        <v/>
      </c>
    </row>
    <row r="3665">
      <c r="A3665" t="inlineStr">
        <is>
          <t>実用</t>
        </is>
      </c>
      <c r="B3665" t="inlineStr">
        <is>
          <t>成功</t>
        </is>
      </c>
      <c r="C3665" t="inlineStr">
        <is>
          <t>読み方：じちよう
［名・形動ナリ］まじめなこと。また、そのさま。実直。律儀。
「いとまめに—にて、あだなる心なかりけり」〈伊勢・一〇三〉</t>
        </is>
      </c>
      <c r="D3665" t="inlineStr">
        <is>
          <t>実用的(26%)；実用化(24%)；実用性(10%)；実用上(4%)；実用試験(2%)</t>
        </is>
      </c>
      <c r="E3665" t="inlineStr">
        <is>
          <t>有効；便利；寄与；有用；有益</t>
        </is>
      </c>
      <c r="F3665" t="inlineStr">
        <is>
          <t>実用品；実用段階；実用レベル；実用可能；実用目的</t>
        </is>
      </c>
      <c r="G3665" t="inlineStr">
        <is>
          <t>実用新案；実用車；実用主義；実用英語技能検定；実用新案権</t>
        </is>
      </c>
      <c r="H3665" t="n">
        <v>29</v>
      </c>
      <c r="I3665" t="inlineStr">
        <is>
          <t>実用上はより弱い結果だがより評価のしやすいものを用いることもある。；これらの関数を実用的なプログラムで用いる場合には注意が必要である。；この本は厳密な体系学の調査研究であるが実用的でもある珍しい本である。；実用化したのは対応する製品が出始めた1999年以降のことである。；ヌード写真は、実用的なカメラが発明されるとほとんど同時に登場した。；科学の実用技術や社会への応用が志向され、科学は宗教から分離し始めた。；音価と文字が正確に対応しており、実用的な文字だったと考えられている。；近現代の塔は宗教塔や記念塔を除いて実用的な目的を帯びるようになった。；より魅力的に見せるために使われる物で、通常は実用的な目的が無いもの。；また、実用的知識から科学的な分野への移行を意味することもある。；ただし、どの段階で実用でなくなったのか明確な境界線を引くのは困難である。；高麗では1234年に青銅製の活字が作られ実用化したといわれている。；したがって、デモや冗談ならともかく、実用には絶対使ってはいけない。；彼らは簡単な実験をしたが、実用的な試作品を開発するには至らなかった。；実用的なものではないが、錯視現象を利用して色を知覚させる手法がある。；そうして忠敬の第五次測量の直前にようやく実用化できるようになった。；開発途中の製品を扱うことが多く、実用化されてヒットした実績には乏しい。；インドや中国ではオートバイはほとんどが実用目的で使われている。；単純な翻訳ではなく、実用的な解剖学書として再構成された本だと言える。；そのためノンストップで通行できるシステムが開発、実用化されている。；近代的な交通機関として鉄道が実用化された当初から用いられてきた機関車である。；その他、料理・園芸・健康・語学・趣味分野の実用書籍・ムックも多い。；しかしこの理論の実用性については多くの疑問が投げかけられている。；古代から現代に至るまで、迷宮は様々な場面で実用的に用いられた。；見かけ上の時刻のずれは、実用性によって動機づけられたものでもある。；現在実用化されているのは翼端のエンジンをナセルごと回転させる方式が主流である。；リモートクライアントの実用的な利用例として、次のようなものがある。；この案は欧州で実演されたが、実用的な通信機に開発されることはなかった。；本国ドイツより先に中国の上海で実用線が建設され営業運転している。</t>
        </is>
      </c>
      <c r="J3665">
        <f>HYPERLINK("https://www.weblio.jp/content/実用", "词义详情")</f>
        <v/>
      </c>
      <c r="K3665">
        <f>HYPERLINK("https://yourei.jp/実用", "查看例句")</f>
        <v/>
      </c>
    </row>
    <row r="3666">
      <c r="A3666" t="inlineStr">
        <is>
          <t>実力</t>
        </is>
      </c>
      <c r="B3666" t="inlineStr">
        <is>
          <t>成功</t>
        </is>
      </c>
      <c r="C3666" t="inlineStr">
        <is>
          <t>読み方：じつりょく
１実際に備えている能力。本当の力量。「—がつく」「—を発揮する」
２目的を果たすために実際の行為・行動で示される力。腕力・武力など。「—にうったえる」「—で排除する」</t>
        </is>
      </c>
      <c r="D3666" t="inlineStr">
        <is>
          <t>実力差(3%)；実力者；実力以上；実力制；実力を発揮でき</t>
        </is>
      </c>
      <c r="E3666" t="inlineStr">
        <is>
          <t>機能；技術；腕；能力；才能</t>
        </is>
      </c>
      <c r="F3666" t="inlineStr">
        <is>
          <t>高い実力；実力判定考査；実力制第四代；実力診断テスト；実力制第二代</t>
        </is>
      </c>
      <c r="G3666" t="inlineStr">
        <is>
          <t>実力行使；実力派；実力主義；実力テスト；実力組織</t>
        </is>
      </c>
      <c r="H3666" t="n">
        <v>29</v>
      </c>
      <c r="I3666" t="inlineStr">
        <is>
          <t>特に毎日王冠は数多くの実力馬が勝ってきていることでも知られている。；ジュニアクラスのフェンシングをしており大会に出るほどの実力を持つ。；世代別日本代表経験者も多く、他の地域にも引けを取らない実力を持つ。；そのため、勝敗には純粋な実力のみでなく、運の要素が絡む性質がある。；しかし投手としては実力不足を露呈したため6月以降は登板がなかった。；逆境であればあるほど実力を発揮する現象は「トンバ効果」と呼ばれた。；しかしそこで他の芸人たちとの歴然とした実力の差の現実を知った。；実力差がある場合にはハンデキャップをつけて対局することもできる。；過去においては各チームの実力を加味してその都度人数が定められていた。；その後もタッグ戦での実力を存分に発揮して注目されるようになる。；人気・実力共にアメリカを代表する役者の地位を不動のものとした。；これは伊達氏の実力を奥州随一として中央に認めさせることにもなった。；空手の真価を実力でもって証明し、空手の存在を一躍全国に知らしめた。；一人が所持出来るカードの枚数はその冒険者の実力に応じて増加する。；よって同じ段級位であった場合でも実力に差があるケースもある。；多くの役に挑戦して実力を蓄えつつ、1965年までイスラエルで活躍。；その基準は「実力があるのに会社が推すことのなさそうな奴ら」だという。；その後、日本やイギリスなどのレースで活躍し、実力をアピールしていく。；その為、「プレイヤーの真の実力を見たければ限定戦」と言う者もいる。；赤い彗星や黒い三連星に精通しており、彼らの実力を肌身に知っている。；設定を変えることによって自分の実力に合う設定でプレイできる。；義務の不履行があった場合、直接に義務者の身体や財産に実力を加えること。；また特別に実力の認められた者はエグゼクティブ・プロデューサーと呼ばれる。；演技指導の厳しさで知られている野沢も、高島の実力を高く評価している。；そのため優秀な指導者の存在が実力を大きく左右する。；彼の指導を受けたことで役者としての実力をつけた俳優やタレントは数多い。；セーブやロードが一切できないので、難易度は高く実力モードと言える。；その後1957年から実力別の大会に一新され、以下のように再編された。；声優活動を開始するも、自分の実力では先が見えなかった。</t>
        </is>
      </c>
      <c r="J3666">
        <f>HYPERLINK("https://www.weblio.jp/content/実力", "词义详情")</f>
        <v/>
      </c>
      <c r="K3666">
        <f>HYPERLINK("https://yourei.jp/実力", "查看例句")</f>
        <v/>
      </c>
    </row>
    <row r="3667">
      <c r="A3667" t="inlineStr">
        <is>
          <t>失礼</t>
        </is>
      </c>
      <c r="B3667" t="inlineStr">
        <is>
          <t>成功</t>
        </is>
      </c>
      <c r="C3667" t="inlineStr">
        <is>
          <t>読み方：しちらい
「しつれい（失礼）」に同じ。
「天下の—を仕うまつりあへり」〈宇津保・国譲下〉</t>
        </is>
      </c>
      <c r="D3667" t="inlineStr">
        <is>
          <t>失礼いたし(5%)；失礼なこと(5%)；失礼致し；失礼な話；失礼じゃない</t>
        </is>
      </c>
      <c r="E3667" t="inlineStr">
        <is>
          <t>大柄；傲慢；無礼；生意気；粗野</t>
        </is>
      </c>
      <c r="F3667" t="inlineStr">
        <is>
          <t>そんな失礼；失礼しまーす；失礼申上げ；失礼つかまつり；失礼つかまつる</t>
        </is>
      </c>
      <c r="H3667" t="n">
        <v>29</v>
      </c>
      <c r="I3667" t="inlineStr">
        <is>
          <t>日本の高官が当駅を御通過になるので失礼のないように固めているんだ。；いや、今夜も少し気が急いていましたので、どうも失礼をいたしました。；あたし達ばかり勝手なことを云って飲んでいちゃあ、それこそ失礼だわ。；友達などがたまたま訪ねてきてくれたりすると非常に失礼をいたしたりした。；後から考えてみると、その時色々無遠慮な失礼を云った事が気にかかる。；たとえ客であっても家の中で靴を履くことは失礼にあたると考えられている。；失礼だけど、あなたのことが実の妹のような気がするものだからね。；いやとんだ失礼なことを申上げまして、どうか気を悪くしないで下さい。；自分だって、君にお金を差し上げるなど失礼な事を考えていたのではない。；代用心臓の箱が失礼ともいわずに袋探偵の肋骨をいやというほど突いた。；外は失礼だと思って、女房たちの計らいで南の端の座敷の席が設けられた。；足の裏を見せることが失礼になるアラビアでの一般的な座り方である。；失礼かもしれませんが、あなたも何か目的をもっていらっしゃるでしょう。；日本語では相手の意向を直接的に聞くことは失礼に当たるからである。；その時はあまり立入った質問だと思ったのでつい失礼な返事を出してしまった。；かも知れないなどゝ云ふのが失礼に思はれるくらゐ、さうらしいのです。；アナウンサーが失礼なこと・聞かれたくないことを丁寧にうまく返す企画。；そして突然、 「失礼、あなたはいくつになりますね」 と尋ねてみた。；理由として、アニメの作画に携わっている人に失礼なことを挙げている。；ゆえに失礼ではございますが、ちょいとお伺いに出ましてございますが。；すぐ放して下さい、でないと、あなたを非常に失礼な人だと思いますよ!；ほんまに失礼なことをしたし、申し訳ないことをした気持ちの方が強いね。；その後ジュリアはトムに失礼な手紙を送るが、のちに二人は仲直りする。；女中三好夫人失礼ですけれど、お宅の旦那様は、おいくつにおなりですの。；小野田さんはいったい失礼な人だとわたしは思っていたのである。；そうしたメディアの姿勢を赤羽は「失礼で迷惑」と感じていたと言う。；相手に対して失礼な態度を意味し、発言の場合は口下手ともいわれている。；世間を広く渡って来て、 御婦人方に失礼な事はいたしません。；「失礼ながら眼を御煩いになったのはよほど以前の事なんですか」と聞いた。</t>
        </is>
      </c>
      <c r="J3667">
        <f>HYPERLINK("https://www.weblio.jp/content/失礼", "词义详情")</f>
        <v/>
      </c>
      <c r="K3667">
        <f>HYPERLINK("https://yourei.jp/失礼", "查看例句")</f>
        <v/>
      </c>
    </row>
    <row r="3668">
      <c r="A3668" t="inlineStr">
        <is>
          <t>実例</t>
        </is>
      </c>
      <c r="B3668" t="inlineStr">
        <is>
          <t>成功</t>
        </is>
      </c>
      <c r="C3668" t="inlineStr">
        <is>
          <t>読み方：じつれい
実際にあった事例。「—を挙げて説明する」</t>
        </is>
      </c>
      <c r="D3668" t="inlineStr">
        <is>
          <t>実例集；実例論；実例付き；実例写真</t>
        </is>
      </c>
      <c r="E3668" t="inlineStr">
        <is>
          <t>場合；事件；例；代表；ケース</t>
        </is>
      </c>
      <c r="F3668" t="inlineStr">
        <is>
          <t>こういう実例；そんな実例；顕著な実例；そうした実例；こんな実例</t>
        </is>
      </c>
      <c r="H3668" t="n">
        <v>29</v>
      </c>
      <c r="I3668" t="inlineStr">
        <is>
          <t>この事をもっとよくあなたにわかってもらえそうな実例が一つあります。；そしてわたしたちは、その一つの実例を、いま目のまえに見ているのだ。；これも言えとならば、実際の実例をあげて証拠立てることが僕に出来る。；これも実例について申しますならば、歴史上その事実は無数にあります。；そして彼の発展していくロズウェルの話はこれのもう一つの実例であった。；ただ具体的な実例の取り扱いの中に黙示的に含蓄されているだけである。；洞窟に埋葬したり砂漠の砂に埋めて自然にミイラになるのが実例になった。；この経験はたくさんの実例の中にさまざまな形で述べられている。；いや、こんな風に一つ一つ実例を並べていたんでは際限がありません。；しかし老人もさすがに猫の化けたという実例を知っていないらしかった。；顔の非常に大きい美男子というのは、あまり実例が無いように思われる。；判決の騙取は滅多に発生するものではないが、実例がないわけではない。；こんな処へ来る人ではないと言われた事については既に実例がある。；実際に住んでいる主屋に三本引きの建具が継承されている実例はわずかである。；確かに催眠で犯罪を行わせたとする実験や実例はいくつか存在する。；わたしがこの例を引くのは、それがあまりに明瞭な実例だからである。；たしかにそうしたものの実例の一つに、王冠をかぶった一人がここにいる。；他のどの年から選んでも同じような実例が得られるであろう。；その格変化の実例は非常に多様であるが、一定のパターンも存在する。；我々は、ある種の対象の存在の実例をたびたび経験したことを記憶している。；東宝がTwitter上でこうした取り組みを行うのは初の実例である。；まず、既に記事化されているものの実例を見ると次のとおりです。；世界全体で見られる2つの医療様式は古代エジプトで初期の実例が見られた。；従って、一つだけではなく、いくつかの実例にまで考察の範囲を拡張する。；しかし制度設立から2年経たずに終戦となったため延長された実例はない。；この男は、日本人が誰でも一般的に理知的であることの、いい実例になる。；とそういう意味のことを実例を引いて述べたものであった。；これらの値を達成したチューリングマシンの実例はかで見ることができる。；実例となるのは炭素中心がピラミッド状になっているC 60 である。</t>
        </is>
      </c>
      <c r="J3668">
        <f>HYPERLINK("https://www.weblio.jp/content/実例", "词义详情")</f>
        <v/>
      </c>
      <c r="K3668">
        <f>HYPERLINK("https://yourei.jp/実例", "查看例句")</f>
        <v/>
      </c>
    </row>
    <row r="3669">
      <c r="A3669" t="inlineStr">
        <is>
          <t>指定</t>
        </is>
      </c>
      <c r="B3669" t="inlineStr">
        <is>
          <t>成功</t>
        </is>
      </c>
      <c r="C3669" t="inlineStr">
        <is>
          <t>読み方：してい
［名］(スル)
１人・時・所・事物などを特にそれとさして決めること。「—の時刻」「約束の場所を—する」
２行政官庁が法令によって特定の資格を与えること。「国定公園に—する」</t>
        </is>
      </c>
      <c r="D3669" t="inlineStr">
        <is>
          <t>指定史跡；指定有形文化財；指定地；指定天然記念物；指定校</t>
        </is>
      </c>
      <c r="E3669" t="inlineStr">
        <is>
          <t>決定；条件；特定；規定；制限</t>
        </is>
      </c>
      <c r="F3669" t="inlineStr">
        <is>
          <t>座席指定；県指定；史跡指定；追加指定；強化指定</t>
        </is>
      </c>
      <c r="G3669" t="inlineStr">
        <is>
          <t>指定席；指定文化財；指定席券売機；指定暴力団；指定券</t>
        </is>
      </c>
      <c r="H3669" t="n">
        <v>29</v>
      </c>
      <c r="I3669" t="inlineStr">
        <is>
          <t>実行環境を指定しない場合は、ホスト環境を対象にしていることがある。；区の長期基本計画によると、都市核と指定された地域は下の6つである。；AIに自然言語で指定したイラスト生成させるサービスも登場している。；そして、瞬間瞬間の意識体験は高次元空間上の一点で指定されるとする。；あらかじめ指定したキャラクターが画面外から登場し攻撃などを行う。；座席指定で運賃のほかに料金が必要な列車が下記のとおり運行されている。；人口125万以上、政治・経済・文化の発展に重要な地域が指定される。；リフレッシュを行う行アドレスを指定するには、次のような方法がある。；初期に連盟が検討した問題は、パリ講和条約で指定されたものだった。；また高速自動車国道の路線を指定する政令では次のように指定されている。；特に指定しない場合は一般的には算術平均のことを単に平均という。；このときはグリーン車の設定がなく、全車が普通車指定席となっていた。；このため前者はC86、後者はC89からジャンルコードに指定された。；そこで、ある方向を定め、そちらを向いた時の左右で指定する方法がある。；門司港駅は駅舎としては九州で唯一、国の重要文化財に指定されている。；メモリ上の実行すべき命令の位置はプログラムカウンタで指定される。；日本三景のうち松島だけが国立公園にも国定公園にも指定されていない。；ただし区間指定・他社共通など、一部の定期券は紙式で残されている。；往復の交通は、旅行申込時に指定した航空便・列車しか利用出来ない。；JISを例にすると、ステンレス鋼の指定は以下のような具合である。；ただし指定後に沿線の自治体が合併したために上記のような性格を持たないものもある。；命令の一部の数値は命令コードと呼ばれ、実行すべき処理を指定する。；指定できる値は8ビットだが、実際には下位5ビット分しか使われない。；同様の理由でujisではなくeucjpmsを指定すべきである。；ともに座席指定ではないが、便名を指定してみどりの窓口で発売されていた。；出場が決まった選手は開催前日の指定時間までに競輪場へ入らなければならない。；一帯に残る館跡、城跡等は松平氏遺跡として国の史跡に指定されている。；スカイライナー経由で運行する座席指定有料特急列車の列車愛称である。；そのため、ソテツと同様に天然記念物に指定され保護されているものも多い。</t>
        </is>
      </c>
      <c r="J3669">
        <f>HYPERLINK("https://www.weblio.jp/content/指定", "词义详情")</f>
        <v/>
      </c>
      <c r="K3669">
        <f>HYPERLINK("https://yourei.jp/指定", "查看例句")</f>
        <v/>
      </c>
    </row>
    <row r="3670">
      <c r="A3670" t="inlineStr">
        <is>
          <t>指定席</t>
        </is>
      </c>
      <c r="B3670" t="inlineStr">
        <is>
          <t>成功</t>
        </is>
      </c>
      <c r="C3670" t="inlineStr">
        <is>
          <t>読み方：していせき
１列車や劇場などで、あらかじめ座る人が定められた席。→自由席
２（比喩的に）その人のために用意された地位。また、その物があるべき位置や場所。</t>
        </is>
      </c>
      <c r="D3670" t="inlineStr">
        <is>
          <t>指定席特急券(4%)；指定席料金(3%)；指定席特急料金；指定席利用；指定席用</t>
        </is>
      </c>
      <c r="F3670" t="inlineStr">
        <is>
          <t>グリーン車指定席；有料指定席；外野指定席；年間指定席；指定席専用</t>
        </is>
      </c>
      <c r="G3670" t="inlineStr">
        <is>
          <t>指定席券；指定席車</t>
        </is>
      </c>
      <c r="H3670" t="n">
        <v>29</v>
      </c>
      <c r="I3670" t="inlineStr">
        <is>
          <t>これにより必要となる指定席専用車として製造されたのが本形式である。；指定席では、購入客自身で座席表から席を自由に選択する事が可能である。；F号は老人の指定席のように高齢者が何人か入院しては退院していった。；以前に書いたことがあるが、指定席こそが彼等の有力な資金源となるのである。；またわずかな距離でもタクシーに乗り、映画館や劇場では必ず指定席に坐った。；だいたい最初から指定席を買っていれば、二号車の前で待ってられたのよ。；帰りは人が多かった上に指定席が通路側だったので取り出すことすらしませんでした。；そこはしかめっ面した父親の指定席で、いつもは近づくことが出来なかった。；一番奥正面のいわゆるお誕生席が最上位の席、祖父さまの指定席だ。；竜太はどの映画館でも二階の、映写室の下を指定席にしていた。；ちなみになぜか美夏の指定席が俺のヒザの上になっていたんだが。；そんな男がたまさか女の子と映画館に行けば無理して指定席だ。；市立劇場の二階桟敷に指定席を取っておいて、彼は規則正しく見に行った。；各座席には指定席とするための席番号表示器もあり指定席として使用することも可能となっている。；列車の運行状況によっては5・9・10号車は指定席となることもあった。；電車は指定席なので、時間を逃すと自腹で電車に乗らないといけなくなる。；指定席管理センターでの予約処理はおおよそ以下のとおりであった。；その樹の二股は半年前までは海を眺めるためのオレの指定席だった。；観戦の希望者には、指定席チケットの購入と入場時の提示を求めている。；急行列車のグリーン車も指定席が基本であったが、自由席のものもあった。；一部GI競走施行日は、入場・指定席の販売が通常とは異なる場合がある。；この区間では普通列車として運転されるが、一部の座席を除いて指定席である。；先日、銀座の映画館の指定席で、ちゃちなミステリー物を見ていました。；グループの大規模ライブでは初めて着席指定席が導入された。；また、一部を指定席にし一般料金より高めの料金設定をする劇場も見られた。；むしろ、指定席以外の普通席や、席のない人たちのほうが多い。；またブロック指定席だったS指定席とSA指定席が座席指定化。；指定席の位置を確かめると、揺れる列車の中を何事もなかったかのように歩きだした。；一般には自由席を利用する際に設定されるが、一部、指定席でも設定されている場合がある。</t>
        </is>
      </c>
      <c r="J3670">
        <f>HYPERLINK("https://www.weblio.jp/content/指定席", "词义详情")</f>
        <v/>
      </c>
      <c r="K3670">
        <f>HYPERLINK("https://yourei.jp/指定席", "查看例句")</f>
        <v/>
      </c>
    </row>
    <row r="3671">
      <c r="A3671" t="inlineStr">
        <is>
          <t>しでかす</t>
        </is>
      </c>
      <c r="B3671" t="inlineStr">
        <is>
          <t>成功</t>
        </is>
      </c>
      <c r="C3671" t="inlineStr">
        <is>
          <t>読み方：しでかす
［動サ五（四）］ふつうでは考えられないような大きなことや大失敗をする。やらかす。やってのける。「とんでもないことを—・したものだ」「何を—・すかわからない」</t>
        </is>
      </c>
      <c r="D3671" t="inlineStr">
        <is>
          <t>しでかすかわから(20%)；しでかすかも(3%)；しでかすか分ら(2%)；しでかすか知れ；しでかすかわかりませ</t>
        </is>
      </c>
      <c r="E3671" t="inlineStr">
        <is>
          <t>しでかした；やっちまう；為出かす</t>
        </is>
      </c>
      <c r="F3671" t="inlineStr">
        <is>
          <t>しでかすかも知れ；しでかすかもしれ</t>
        </is>
      </c>
      <c r="H3671" t="n">
        <v>29</v>
      </c>
      <c r="I3671" t="inlineStr">
        <is>
          <t>まわりに家があるのを見なかったらきっと軽率なことをしでかしたろう。；こういう狂気な娘どもはどんなことをしでかすかわかったものではない。；かといって、一人にしておいたら、何をしでかすか分からない娘だった。；突然じゃあ、どんな失敗をしでかすかわかったもんじゃありませんから。；相手が気違いだとすると、どんなことをしでかすか知れたものではない。；何かはわからないが許されないことをしでかした、そう思うと体が震えた。；奇妙な、何をしでかすかわからないバンドとして評判を呼んだのだから。；突然おかしくなって、自分でもわけがわからないことをしでかすのです。；このような間違いをしでかすなど、どこか具合でも悪いのではないか。；見ず知らずの人に出会ったら、なにをしでかすかわかったものではない。；注意を怠るととんでもないミスをしでかしていることが少なくなくてね。；この上なにか言われると、目のやつがなにをしでかすかわかりません。；もともと破廉恥なことをしでかすために生まれてきたような娘なのだ。；だが奥涯がここでしでかした不始末は、決して公にできることではない。；出かけていったら、わたしはなにをしでかしたかしれなかったと思う!；ほっておけばお俊のことだ、またなにをしでかすかしれたものじゃない。；何をしでかしたにせよ、誰もおめえのことをそれで悪く思うやつはいねえよ。；ガリオンは自分がそういうことをしでかしたときのことを思いだした。；主観的には学会で俺は失敗をしでかしたが、誰もそんなことは知らない。；少し前から、自分が何か馬鹿げたことをしでかしそうな気持になっていた。；彼はもう何をしでかすか分らない人間という奴ではなくて教祖なのだから。；彼はもう何をしでかすか分らない人間といふ奴ではなくて教祖なのだから。；そういう女は自分のしでかしたことを棚に上げて、みんな他人のせいにする。；あんなにされるってことは、なにか大変なことをしでかしたのだろうか。；あなた方があっとおどろくようなことを、ぼくは今にしでかしてみせる!；ところが彼女は会社では私が知っているかぎり、妙なことばかりしでかした。；許されないとなると、かえって逆上して何をしでかすか自分でも分らない。；sakkyさんが皆に対して何か不愉快になる様な事をしでかしたのか?；だが、おれは、その次ぎにまた、取りかへしのつかん失敗をしでかした。</t>
        </is>
      </c>
      <c r="J3671">
        <f>HYPERLINK("https://www.weblio.jp/content/しでかす", "词义详情")</f>
        <v/>
      </c>
      <c r="K3671">
        <f>HYPERLINK("https://yourei.jp/しでかす", "查看例句")</f>
        <v/>
      </c>
    </row>
    <row r="3672">
      <c r="A3672" t="inlineStr">
        <is>
          <t>指摘</t>
        </is>
      </c>
      <c r="B3672" t="inlineStr">
        <is>
          <t>成功</t>
        </is>
      </c>
      <c r="C3672" t="inlineStr">
        <is>
          <t>読み方：してき
［名］(スル)大切な点や注意すべきこと、欠点や過失などを具体的に取り上げて指し示すこと。「弱点を—される」</t>
        </is>
      </c>
      <c r="D3672" t="inlineStr">
        <is>
          <t>指摘する(9%)；指摘される(6%)；指摘どおり；指摘されれ；指摘事項</t>
        </is>
      </c>
      <c r="E3672" t="inlineStr">
        <is>
          <t>示す；意見；指す；指示；見せる</t>
        </is>
      </c>
      <c r="F3672" t="inlineStr">
        <is>
          <t>ご指摘；厳しく指摘；鋭く指摘；鋭い指摘；指摘する論者</t>
        </is>
      </c>
      <c r="H3672" t="n">
        <v>29</v>
      </c>
      <c r="I3672" t="inlineStr">
        <is>
          <t>背景にはインターネットでの書籍販売や電子書籍の普及が指摘されている。；近年では、さらに広範囲に渡って使用されていた可能性も指摘されている。；またそれに伴って精神的にも周期的に変動すると指摘されることもある。；また、中性子星同士が衝突した際にも元素合成が生じるとの指摘もある。；ただし銃の国内所持数が、かなりの数に及ぶ可能性が指摘されている。；この氷床はわずかながらも崩壊する可能性が指摘され、注目を集めている。；その一方で、メーカー側などでは80年前後保存が可能とする指摘もある。；太陽系内においても、火星には生命が存在する可能性が指摘されている。；この三つの合計は6兆5000億円となり、上の指摘の額と同じになる。；発売当時から2019年までという仕様だったことが指摘されている。；これらの問題についても江戸時代から新井白石によって指摘されていた。；父親が驚いて計算をやり直したところ、息子が指摘した通りであったという。；日本の参加が他国と比べて遅れた理由は、いくつか指摘されている。；別の要因として、開発体制や社風の違いで生じた企業間の壁も指摘された。；その他にも百人一首とテキストの異なる箇所が複数指摘されている。；過去には、文字を省略したがゆえに誤字だと指摘を受けたこともある。；また、アスペルガー症候群を示唆する特徴の多くを示しているとの指摘もある。；発酵性大豆食品の摂取量が多いほど総死亡リスクが低いとの指摘がある。；光合成や空気中の水分に依存するため大気汚染に弱いことも指摘されている。；また約1000年前に、同様な大地震が発生していた可能性も指摘されている。；無神論者の指摘・主張・発言には以下のようなものがある。；ノートパソコンを長時間使用する場合人体に与える影響が指摘されている。；また、厩舎関係者以外からも体調の悪さを指摘する声が挙がっていた。；また初心者にとっても理論が確立されていれば学習しやすい点も指摘できる。；死刑の適用に際して経済的・人種的差別が存在しているとの指摘もある。；しかし、戦争が大衆の音楽への嗜好に影響を与えた可能性は容易に指摘できる。；そしてどんな状況でも、すぐ誰かのミスを指摘していた。；この組織はクルド労働者党との関係があると指摘されている。；理論の評判・影響を判断するためには長い年月が必要だという理由はよく指摘される。</t>
        </is>
      </c>
      <c r="J3672">
        <f>HYPERLINK("https://www.weblio.jp/content/指摘", "词义详情")</f>
        <v/>
      </c>
      <c r="K3672">
        <f>HYPERLINK("https://yourei.jp/指摘", "查看例句")</f>
        <v/>
      </c>
    </row>
    <row r="3673">
      <c r="A3673" t="inlineStr">
        <is>
          <t>私鉄</t>
        </is>
      </c>
      <c r="B3673" t="inlineStr">
        <is>
          <t>成功</t>
        </is>
      </c>
      <c r="C3673" t="inlineStr">
        <is>
          <t>読み方：してつ
１民間の企業が経営する鉄道。私営鉄道。民鉄。
２JR以外の鉄道。もともとはその前身である国鉄（日本国有鉄道）に対していう語だったが、民営化されてからも慣例として使われる。</t>
        </is>
      </c>
      <c r="D3673" t="inlineStr">
        <is>
          <t>私鉄各社(4%)；私鉄路線(2%)；私鉄向け(2%)；私鉄電車；私鉄時代</t>
        </is>
      </c>
      <c r="F3673" t="inlineStr">
        <is>
          <t>準大手私鉄；一部私鉄；大私鉄；私鉄郊外電車設計；私鉄会社</t>
        </is>
      </c>
      <c r="G3673" t="inlineStr">
        <is>
          <t>私鉄線；私鉄協；私鉄特急；私鉄の戦時買収；私鉄ターミナル</t>
        </is>
      </c>
      <c r="H3673" t="n">
        <v>29</v>
      </c>
      <c r="I3673" t="inlineStr">
        <is>
          <t>私鉄では、京成電鉄でもこの愛称を使用していたことがあったとされる。；私鉄車両でも名称は異なるものの、同機能を搭載した車両が存在する。；一方で、準大手私鉄の中には同協会に加盟していない鉄道事業者もある。；直通急行とは、かつて日本の私鉄で使われていた列車種別の一種である。；日本国有鉄道清算事業団からの購入機などが一部の私鉄で残存していた。；日本統治下の私鉄路線は、韓国ではアメリカ占領時期に国有化された。；また密着自動連結器を採用していない一部の私鉄などでも使用されている。；実際の改造は同時期の多くの私鉄同様、認可に先行していたと推定される。；廃車後は私鉄に払い下げられることなく全機とも解体処分されている。；この台車は設計当時の路面電車や小私鉄で広く利用されていた形式であった。；前身の私鉄時代には旅客営業も行っていたため、旅客ホームが残っていた。；私鉄・バスの利用や施設への入館などを伴う場合を除き、費用は無料である。；以後私鉄を中心に普及し、新幹線0系電車にまで用いられることになった。；このうち、私鉄・第三セクター鉄道の主な事業者は下記のとおりである。；一部の私鉄は民営のまま残ったが、一地方の輸送を担うのみとなった。；今日では当然となった中間電動車を私鉄では初めて採用している。；日本の私鉄についてはそれぞれの会社記事の中で説明されている。；名古屋や京都の地下鉄でも私鉄との相互乗り入れが見られるようになった。；一部の私鉄では戦後の1969年まで若干のガソリン動車が存続していた。；以下に満洲国が存在した時期に一貫して私鉄であったものを挙げる。；国鉄だけではなく、国有化以前の主要私鉄でも魚運車を所有し運行していた。；名鉄およびその前身となった数多くの私鉄、バスに関わる資料を展示していた。；以後、国鉄や他私鉄の大型電車でも型鋼通し台枠は一般化して行く。；新幹線や地下鉄およびその他の高速輸送網、そして私鉄は含まれていない。；これらのほか、地方にはローカル線を運営する中小の私鉄が存在した。；日本の私鉄でも旅客営業規則、またはそれと同様の約款を定めている。；JRと線路を共用していても私鉄として運行される場合は利用不可である。；この買収・統合の際に買収された私鉄の一つが、この下之一色電車軌道である。；その後、1957年に廃車されたが、うち3両が私鉄に譲渡されている。</t>
        </is>
      </c>
      <c r="J3673">
        <f>HYPERLINK("https://www.weblio.jp/content/私鉄", "词义详情")</f>
        <v/>
      </c>
      <c r="K3673">
        <f>HYPERLINK("https://yourei.jp/私鉄", "查看例句")</f>
        <v/>
      </c>
    </row>
    <row r="3674">
      <c r="A3674" t="inlineStr">
        <is>
          <t>視点</t>
        </is>
      </c>
      <c r="B3674" t="inlineStr">
        <is>
          <t>成功</t>
        </is>
      </c>
      <c r="C3674" t="inlineStr">
        <is>
          <t>読み方：してん
１視線の注がれるところ。
２物事を見たり考えたりする立場。観点。「—を変えて考える」「相手の—に立つ」
３透視図法で、画像と直角に交わる仮定の一点。対象を眺める位置。</t>
        </is>
      </c>
      <c r="D3674" t="inlineStr">
        <is>
          <t>視点人物；視点変更；視点移動；視点スクロール；視点切り替え</t>
        </is>
      </c>
      <c r="E3674" t="inlineStr">
        <is>
          <t>見；目；眼；立場；態度</t>
        </is>
      </c>
      <c r="F3674" t="inlineStr">
        <is>
          <t>三人称視点；様々な視点；新たな視点；主観視点；俯瞰視点</t>
        </is>
      </c>
      <c r="H3674" t="n">
        <v>29</v>
      </c>
      <c r="I3674" t="inlineStr">
        <is>
          <t>主人公以外にも複数の登場人物の視点から物語が描写されるのが特徴。；曲毎にさまざまな人物の視点で描かれた短編集のような作りになっている。；この節以下ではアメリカやその同盟国であったイギリスの行動に視点を置く。；観客がどこで笑いを感じるかに視点を定め科学的な分類を実現した。；これを立証するのは難しいが、当時世論はこの視点を主に反映していた。；組織をコントロールする立場にある経営者の視点・立場での表現である。；英国では新聞各紙が独自の視点に基づいた大学ランキングを発表している。；なお、原作での主人公はチーフであり、物語はその視点で描かれている。；主に下層階級を主人公とし弱者の視点で社会を諷刺した作品を発表した。；女性の場合の視点としては、姉と妹のカップルに用いられることも多い。；あわせて外国出身者としての視点から見た多くの日本の魅力を紹介している。；そして独自の視点を加えて新しい体系へと発展させることになる。；教育心理学は、教育的な視点から心理学を応用しようとする学問である。；旧説に対する批判的視点にも目配りされたものには以下のものがある。；画面の大きさを変えたり、視点を変えたりできるようになっている。；しかしジャンヌは、この両国間の戦争に新たな概念と視点をもたらした。；つまり情報の更新という視点をベイズは積極的に使っていることになる。；次に赤穂浪士の敵討ちを肯定的には描かない新しい視点の物語群を示す。；その他、交通などの視点から那覇市より北を中北部と称する事もある。；植物ではいかなる種形成の視点であっても倍数性が考慮されなければいけない。；ミニバンの中では床面が高いが、視点も高いため前方視界は良好となる。；この項目では、国際的な視点に基づいた2000年代について記載する。；しかし主人公側の視点のゲームのため速水の顔はほとんど見ることはできない。；「主体」の視点では、革命的な党と指導者への絶対的な忠誠心を要求した。；高所からの視点に比べ撮影対象の人物が良く浮き上がる手法でもある。；多くのジャンルでの題材を社会主義者の視点から著し、相当の人気を得た。；歴史的な視点からは、カルヴァン派への警告とする解釈も提示されている。；相手の視点からすると自身が「おばあさん」と同年代になるためである。；このことは今日言う多様性につながる視点を当初から持っていたことを示す。</t>
        </is>
      </c>
      <c r="J3674">
        <f>HYPERLINK("https://www.weblio.jp/content/視点", "词义详情")</f>
        <v/>
      </c>
      <c r="K3674">
        <f>HYPERLINK("https://yourei.jp/視点", "查看例句")</f>
        <v/>
      </c>
    </row>
    <row r="3675">
      <c r="A3675" t="inlineStr">
        <is>
          <t>支店</t>
        </is>
      </c>
      <c r="B3675" t="inlineStr">
        <is>
          <t>成功</t>
        </is>
      </c>
      <c r="C3675" t="inlineStr">
        <is>
          <t>読み方：してん
本店とは別の場所にあって、その指揮・命令を受ける営業所。⇔本店。</t>
        </is>
      </c>
      <c r="D3675" t="inlineStr">
        <is>
          <t>支店勤務；支店コード；支店次長；支店網；支店支配人</t>
        </is>
      </c>
      <c r="F3675" t="inlineStr">
        <is>
          <t>名古屋支店；福岡支店；上海支店；銀行支店；秋田支店</t>
        </is>
      </c>
      <c r="H3675" t="n">
        <v>29</v>
      </c>
      <c r="I3675" t="inlineStr">
        <is>
          <t>同支店だけでなく全国の店舗で同様の行為があったとする指摘もある。；具体的な事業内容などは作中で語られていないが、大阪にも支店がある。；同支店は現在、マンハッタン島の別の場所に移転して営業を行っている。；VTB はロシアの銀行で初めて中国での営業許可を得て支店を出した。；このため、ほとんどの支店が何らかの形で高速バス運行に関わっている。；しかし、そこはパンタジアの支店とは思われないほどに寂れた店だった。；また、需要の多い路線には複数の支店の乗務員、車両が動員されている。；車両ヤードが千葉に集中しているため、主業務は千葉支店となっている。；支店、営業所を国内各地に持っており、職域を中心に販売活動している。；当時の店舗の一部は、現在も三菱UFJ銀行の支店として営業している。；北口駅前から海岸までの通りが青海の中心部で、銀行の支店などがある。；翌年には米銀として初となる海外支店をブエノスアイレスに開設した。；上記以外にも、かつては石川銀行や岐阜相互銀行の支店も所在していた。；証券取引所が廃止された後も金融機関の本店や支店が多く立地している。；市内に本店・支店・出張所等の窓口を置く金融機関一覧は以下のとおり。；他支店からの移籍車や中古車両でも座席の増設などは行っていない。；ただし、支店の場合には、その効果は管轄する営業の範囲にとどまる。；東京都内にはかつて支店が開設されていたが現在は、東京事務所が置かれている。；東京・赤阪に本店を置き、支店を札幌及び日本統治下台湾の台南に開設。；ブラジル銀行はアメリカ合衆国など複数の国に支店を展開している。；支店を持たない銀行や、そもそも銀行ではない組織が匿名口座を開いていた。；かつて市内にATMではなく、支店を設置したが、撤退した主な金融機関。；元々群馬銀行渋川中央支店であった建物の空きスペースが利用されている。；また、廃止後1年間は道銀釧路支店での払い戻し業務等の委託を行った。；ダシは一カ所でまとめて作られていて、毎日各支店に配送されている。；支店の看板は少なくとも2004年2月の時点までは存在していた。；南都銀行の支店を除くと、有人店舗は近鉄生駒駅前周辺に集中している。；車両整備工場は他の支店の車両の点検・車検など整備を施工することもある。；これらはフッガー家の当主が各支店を制御できなくなりつつあることを示すものであった。</t>
        </is>
      </c>
      <c r="J3675">
        <f>HYPERLINK("https://www.weblio.jp/content/支店", "词义详情")</f>
        <v/>
      </c>
      <c r="K3675">
        <f>HYPERLINK("https://yourei.jp/支店", "查看例句")</f>
        <v/>
      </c>
    </row>
    <row r="3676">
      <c r="A3676" t="inlineStr">
        <is>
          <t>辞典</t>
        </is>
      </c>
      <c r="B3676" t="inlineStr">
        <is>
          <t>成功</t>
        </is>
      </c>
      <c r="C3676" t="inlineStr">
        <is>
          <t>読み方：ことばてん
「辞典(じてん)」に同じ。「事典(じてん)」「字典(じてん)」と区別して呼ぶのに用いる語。→事典(ことてん) →文字典(もじてん)</t>
        </is>
      </c>
      <c r="D3676" t="inlineStr">
        <is>
          <t>辞典類；辞典編纂；辞典第；辞典等；辞典編集</t>
        </is>
      </c>
      <c r="E3676" t="inlineStr">
        <is>
          <t>辞書；事典；字書；字引；字典</t>
        </is>
      </c>
      <c r="F3676" t="inlineStr">
        <is>
          <t>語辞典；人名辞典；小辞典；医学辞典；日本史辞典</t>
        </is>
      </c>
      <c r="H3676" t="n">
        <v>29</v>
      </c>
      <c r="I3676" t="inlineStr">
        <is>
          <t>一般的な辞典には、消尽は記載されていても、用尽は記載されていない。；なお日本における仏教関連の辞典や書物では pl などと略称される。；Enbarrは「飛沫」の意味であると中世の辞典には定義されている。；現在では類語大辞典と言って差し支えないほどの重量感のある書籍である。；逆引きとは、辞典などで通常とは反対方向に引く行為や結果である。；初学者向けの学習辞典ではカタカナによって示されていることもある。；この教科書好みの大規模なものは辞典や古典の全集となって現われる。；さらにペルシア語辞典の編纂もインド・ムスリムの偉大な貢献であった。；主に中国・韓国・日本語関係の研究書・辞典・教材・雑誌等を刊行する出版社である。；ですから、私からいろいろふれず辞典のないことだけ返事いたしましょう。；辞典の中でも、特に特定の分野の用語に特化して掲載したものを用語辞典と呼ぶ。；日本で唯一現存するものとされる、この版の大辞典は現在も書庫で保管されている。；また活用される前の基本の形を基本形と呼び、辞典の見出しなどに使われている。；類語辞典とは、同じような意味を持つ言葉をまとめた辞典である。；辞典の編集は何十年も続き、非常に多くの読者からの貢献が辞典に反映された。；では生化学辞典とか、著名な辞典の表記に頼るしかないのでしょうか?；従来の辞書とは異なり、これらの辞典にる情報は正確である必要はありません。；日本音楽中辞典や日本音楽大事典で、邦楽の分野の執筆編集で貢献する。；これらの辞書で発音は中国の辞典の伝統から借りた反切を使って記録されている。；執筆を始めた頃には、辞典は複数の専門家により執筆されるものであるとの考えが普通であった。；これは辞典の項目名が「辞書」であるべきであるとの主張を含むものではありません。；ベン・イェフダーは辞典の執筆を一人で行っていたために、作業には長い時間がかかった。；一般向けの漢文読解を主な目的とした辞典では1万字以上を収録しているのが普通である。；後者は古式でありこれに従う辞典はかつて存在したが、現在ではもはや存在しない。；名数を集めて一つの書籍にしたものを名数辞典と呼び、多くのものが出版されている。；一言語辞典は語や句の定義を記述し、翻訳を記述しない点が二言語辞典とは異なる。；同時にロンドンでも発売され、初めての近代日本語辞典として列国が使用した。；日本では主に文学用語として使用されることが多かったが、文学辞典にも載っていない。；アカデミーの辞典にさうあるなら、さうして置かうといふ程度にはなつてをります。</t>
        </is>
      </c>
      <c r="J3676">
        <f>HYPERLINK("https://www.weblio.jp/content/辞典", "词义详情")</f>
        <v/>
      </c>
      <c r="K3676">
        <f>HYPERLINK("https://yourei.jp/辞典", "查看例句")</f>
        <v/>
      </c>
    </row>
    <row r="3677">
      <c r="A3677" t="inlineStr">
        <is>
          <t>時点</t>
        </is>
      </c>
      <c r="B3677" t="inlineStr">
        <is>
          <t>成功</t>
        </is>
      </c>
      <c r="C3677" t="inlineStr">
        <is>
          <t>読み方：じてん
時の流れの上で、ある一点またはある時期。「今の—では言明できない」「現—」</t>
        </is>
      </c>
      <c r="D3677" t="inlineStr">
        <is>
          <t>時点で既に；時点ですでに；時点で暫定総合；時点で早くも；時点で確変大当たり</t>
        </is>
      </c>
      <c r="E3677" t="inlineStr">
        <is>
          <t>時；場合；頃；瞬間；機会</t>
        </is>
      </c>
      <c r="F3677" t="inlineStr">
        <is>
          <t>末時点；開始時点；廃止時点；開業時点；どの時点</t>
        </is>
      </c>
      <c r="H3677" t="n">
        <v>29</v>
      </c>
      <c r="I3677" t="inlineStr">
        <is>
          <t>任意の時点の走行可能状態のプロセスは非常に多数になる可能性がある。；しかし、この時点で回避するにはあまりにも時間と距離が足りなかった。；参照時点で原典が存在せず転記となっているなど正確性も不明であった。；それに伴い、この時点で本系列の運用区間は以下のように変更された。；この時点では殆ど情報が集まっておらず、詳細な状況は不明であった。；終章でも時間軸上冒頭の時点で書かれた、日本語の文章が登場している。；ただしこの時点ではフランス側の作戦計画は察知できてはいなかった。；選ばれなかった方はこの時点で削除され、以後復元することが出来ない。；吸収が早いために、症状が出現した時点では胃洗浄は効果がないとされる。；すると、プログラムは要求を行った時点から処理を再開させることができる。；もっとも、1986年時点で業容自体はかつての規模に戻りつつあった。；この時点では緩やかな政治連合を形成していたと考えられている。；その時点で彼の帝国はアドリア海からインダス川にまで及ぶものであった。；その成果にはその時点での最高速のメッセージパッシングの報告もあった。；そのため大韓民国国家安全企画部は、早い時点で2人をマークしていた。；最初のカードがリードされたら、その時点でダミーのカードを机に晒す。；この時点ではまだ声優個人としての日本俳優連合への加盟はできない。；インストールした時点でオープンリレーができないようになっている。；ただし、この時点ではこの詞を交響曲に使用する予定はなかったとされる。；発表時点ではそれぞれが知られている最大の PRP であった。；遊びの終わりは明瞭で、子がすべて捕まった時点でそのゲームは終了する。；現在の秋田県を含む東北地方北部はこの時点で、朝廷に属していなかった。；発表されたトリビアはこの時点で、深夜時代を含めて999個だった。；過去には以下の方式が用いられたが、2022年時点でいずれも使用駅はない。；しかしこの時点で建設費用での問題が一部未解決となっていた。；プロモーターとの契約が成立した時点でプロ活動が可能になる。；その時点ではキャラクターに鼻が描かれていなかった。；数十年後の時点ではアレクラスト大陸で「楽園の島」と呼ばれた例がある。；定員に達するか入場時間になった時点で当日分の販売は打ち切られる。</t>
        </is>
      </c>
      <c r="J3677">
        <f>HYPERLINK("https://www.weblio.jp/content/時点", "词义详情")</f>
        <v/>
      </c>
      <c r="K3677">
        <f>HYPERLINK("https://yourei.jp/時点", "查看例句")</f>
        <v/>
      </c>
    </row>
    <row r="3678">
      <c r="A3678" t="inlineStr">
        <is>
          <t>自転</t>
        </is>
      </c>
      <c r="B3678" t="inlineStr">
        <is>
          <t>成功</t>
        </is>
      </c>
      <c r="C3678" t="inlineStr">
        <is>
          <t>読み方：じてん
［名］(スル)
１自分で回転すること。
２天体が、それ自身の内部にある軸の周りを回転する運動。→公転</t>
        </is>
      </c>
      <c r="D3678" t="inlineStr">
        <is>
          <t>自転速度(17%)；自転する(11%)；自転運動；自転方向；自転エネルギー</t>
        </is>
      </c>
      <c r="E3678" t="inlineStr">
        <is>
          <t>変化；回転；回り；廻り；循環</t>
        </is>
      </c>
      <c r="F3678" t="inlineStr">
        <is>
          <t>地球自転；速く自転；ゆっくりと自転；速い自転；同期自転</t>
        </is>
      </c>
      <c r="G3678" t="inlineStr">
        <is>
          <t>自転車競技選手；自転車競技；自転車道；自転周期；自転車ロードレース</t>
        </is>
      </c>
      <c r="H3678" t="n">
        <v>29</v>
      </c>
      <c r="I3678" t="inlineStr">
        <is>
          <t>地球の公転自転を知ってみたところで毎日の生活にはなんの影響もない。；相手側にも大きな損傷はみられないが、その自転はほとんど止まっていた。；自転中の周期的な陰りは変光に伴う光放射の源であると考えられている。；自転最置き場で、俺の隣の自転車に跨ろうとしてる女の子と目が合った。；星の自転に伴う変光で、晩期型巨星と高温度星のどちらでも起こり得る。；夜から朝へと変わる様は、地球が自転している事実を、馨に見せつけた。；地球も自転しながら進むのだからつまり空間に螺旋しているのだよ。；から測定された自転速度に基づいて計算された自転周期は106日である。；木星の速い自転のおかげで、その形成物はもうかなりはっきりと見える。；これは、恒星から地球の視線に沿った自転速度の赤道方向の成分である。；これはこの惑星の自転のスピードが早いせいであることに、わたしは気づいた。；玉が自転することで、2つの表面が接して回転するよりも摩擦が低くなる。；太陽系から見たBL星はこちらに約60度頭を向けた方向で自転している。；その流線が奇妙にゆがんでいるのは、核が自転しているせいだろうか。；また、ある点を中心とした公転運動や自転運動の中心点とも区別が必要である。；これは太陽が自転していることを示している証拠となった。；そのあとには、ゆっくりと自転するフットボール大の地球が現われた。；それは、地球が自転していることよりも、ずっと確かなことだった。；これはゆっくりとだが太陽が自転していることに由来する。；しかしこの定義であれば、主惑星の密度や自転速度には依存しない。；雲の移動速度は比較的遅く、自転方向と同じ東向きに移動していく。；しかし、この自転速度は、O型星の中では速くも遅くもないものである。；太陽も自転している以上はたしかに螺旋して進んでいるのだよ。；これらの計算は全て、白色矮星が自転していないことを仮定している。；惑星の自転は惑星に季節が存在するかどうかに影響する。；低気圧は惑星の自転と同方向に回転し、高気圧は反対方向に回転する。；その点は自転の中心になっているので、遠心力がはたらかないからである。；年齢は6億年と推定され、自転速度は75km/sと比較的高速である。；第一惑星、太陽にもっとも近い星は、自転しない灼熱世界で生物の影もなし。</t>
        </is>
      </c>
      <c r="J3678">
        <f>HYPERLINK("https://www.weblio.jp/content/自転", "词义详情")</f>
        <v/>
      </c>
      <c r="K3678">
        <f>HYPERLINK("https://yourei.jp/自転", "查看例句")</f>
        <v/>
      </c>
    </row>
    <row r="3679">
      <c r="A3679" t="inlineStr">
        <is>
          <t>自転車</t>
        </is>
      </c>
      <c r="B3679" t="inlineStr">
        <is>
          <t>成功</t>
        </is>
      </c>
      <c r="C3679" t="inlineStr">
        <is>
          <t>読み方：じてんしゃ
自分の足でペダルを踏むことによって車輪を回転させて走る乗り物。ふつうは二輪車。19世紀にドイツ人のドライスが作った、地面を足で蹴って走る二輪車に始まるという。→ドライジーネ</t>
        </is>
      </c>
      <c r="D3679" t="inlineStr">
        <is>
          <t>自転車用；自転車乗り；自転車専用；自転車選手；自転車歩行者道</t>
        </is>
      </c>
      <c r="E3679" t="inlineStr">
        <is>
          <t>サイクル；ちゃり；銀輪；ちゃりんこ</t>
        </is>
      </c>
      <c r="F3679" t="inlineStr">
        <is>
          <t>自転車通行；スポーツ自転車；自転車籠；自転車製造；自転車競走</t>
        </is>
      </c>
      <c r="G3679" t="inlineStr">
        <is>
          <t>自転車競技；自転車道；自転車ロードレース；自転車通学；自転車置き場</t>
        </is>
      </c>
      <c r="H3679" t="n">
        <v>29</v>
      </c>
      <c r="I3679" t="inlineStr">
        <is>
          <t>周辺に勾配が少ないことから自転車を用いて当駅を利用する乗客もいる。；ポーランドのプロ自転車チームCCCチームにフレームを供給していた。；なお、歩行者用の通路でも自転車が猛スピードで走っていくことが多い。；父親は厳しいなんてものじゃなく、自転車ごと投げられたこともあると語る。；なお、自転車ルート検索は日本では一部地域でのみサポートされている。；趣味で自転車旅をはじめたのがきっかけで、自転車輪行エッセイを執筆。；エンジンは普通のペダル式自転車用フレームで使用するために設計された。；駅を挟んだ西側と東側にロータリーおよび自転車預り所が設けられている。；かつては自転車に看板を積み、狭い路地に分け入って貼って回っていた。；また、駅舎外には市営バスのバス停や自転車の駐輪場が整備されている。；しかし大連市内は坂が多いため、元々自転車の姿はあまり見かけない。；「自転車」は、主に欧米の主要都市に提供され、日本では未対応である。；名古屋では自由散歩で自転車を運転していた捕虜将校が事故を起こしているほどである。；食事以外にも、レースでは機材故障に伴う部品や自転車の交換が必要になる。；自転車は所持しているようであるが学校へは基本的に徒歩で通学している。；今日見られる自転車である安全型自転車が作られたのは1885年である。；その後フリーホイール機構が普及し、自転車の基本がほぼ完成された。；このため歩行者・自転車は南側にある地下道を利用するよう案内されている。；自動車や自転車の雑誌や本でイラストレーターとしても活動している。；その日のゲストやスタッフとともに自転車で名古屋の街中を走る企画。；見通しの悪い真壁付近では、自転車と自動車の衝突事故が発生している。；レース直前に多くの選手が清めの塩を、自身の体や自転車にかける。；特定の目的のために特別に設計された自転車は認めない。；しかし、自転車の走行跡が砂利道にできて走りやすくなっている部分もある。；自転車を乗りこなすには数々の難しい技術があるのにもかかわらず、である。；これは危険な馬車から自転車を保護するための分離を図ったものと考えられている。；階段脇には自転車を乗せることが可能なスロープが設置されている。；会社設立から暫くして、当時普及しはじめていた自転車を扱うようになる。；また、この人物の名前に由来する高級スポーツ自転車のブランド。</t>
        </is>
      </c>
      <c r="J3679">
        <f>HYPERLINK("https://www.weblio.jp/content/自転車", "词义详情")</f>
        <v/>
      </c>
      <c r="K3679">
        <f>HYPERLINK("https://yourei.jp/自転車", "查看例句")</f>
        <v/>
      </c>
    </row>
    <row r="3680">
      <c r="A3680" t="inlineStr">
        <is>
          <t>指導</t>
        </is>
      </c>
      <c r="B3680" t="inlineStr">
        <is>
          <t>成功</t>
        </is>
      </c>
      <c r="C3680" t="inlineStr">
        <is>
          <t>読み方：しどう
［名］(スル)
１ある目的・方向に向かって教え導くこと。「演技の—にあたる」「—を受ける」「人を—する立場」「行政—」
２柔道の試合で、選手の軽微な違反行為に対する宣告。3回受けると反則負けとなる。組み手をいやがる、場外に出る（押し出す）など、23の事項がある。</t>
        </is>
      </c>
      <c r="D3680" t="inlineStr">
        <is>
          <t>指導者(11%)；指導的(3%)；指導部；指導下；指導層</t>
        </is>
      </c>
      <c r="E3680" t="inlineStr">
        <is>
          <t>行う；示し；運営；教育；教え</t>
        </is>
      </c>
      <c r="F3680" t="inlineStr">
        <is>
          <t>演技指導；サッカー指導；戦争指導；作戦指導；直接指導</t>
        </is>
      </c>
      <c r="G3680" t="inlineStr">
        <is>
          <t>指導部；指導員；指導力；指導教官；指導教授</t>
        </is>
      </c>
      <c r="H3680" t="n">
        <v>29</v>
      </c>
      <c r="I3680" t="inlineStr">
        <is>
          <t>これらに加えさらに厳しい指導基準を各生産地域が設けている場合もある。；オウエンと労働組合指導者との間で見解の相違が存在していたのである。；ただし、地区委員会以上の指導機関も直接入党を決定することができる。；バッハのチェンバロ協奏曲は弟子の指導用に書かれたと考えられている。；いずれも指導者だけが罪とされ、率いられて叛いた者は罪とされない。；党大会決定の実行に責任をおい、対外的に党を代表し、全党を指導する。；食事は調理師免許を持つ隊員の指導の下、各隊員が交代で作っている。；しかし講師の指導内容に納得が行かず、従わない事がしばしばあった。；双系制社会でも男性が指導権を握っていることに変わりはなかった。；そのためここからの道はアラゴルンを指導者として進むことになった。；後年には万里小路の指導が自分の素養に大きく役立ったと感謝していた。；入学を許可した大学は、補習を行うことで進級のための指導を行っている。；この義務は、採用を制限しないよう指導する目的で2001年に廃止された。；また事あるごとに講習会や実地授業などの場で指導し、普及に努めた。；また、ディーリアスはハンス・ジットからの指導も再び受け始めていた。；しかし、およそ25年間、統治の舵をとる指導者となることはなかった。；教育制度の大部分は、教育・技能大臣を通じた政府の指導の下にある。；ほかにも、素粒子物理学の指導的存在であるフアン・マルダセナがいる。；貨幣委員会の作業報告会にはフリードマンも参加しゼミ生の指導を行った。；小学生からアドバイスを求められても技術的な指導はしないという。；都道府県委員会など地方組織の指導機関が編集・発行する地方機関紙もある。；正三角形の鉛筆は、主に幼児に鉛筆の持ち方を指導するために使われる。；米国は日本を開国させた後、日本を新参の弟子かのように指導した。；党大会で決定された事業形態を具体的に組織化し、細部機関への指導を行う。；翌年の夏にもグリエールはソンツォフカを訪ねて更なる指導を行っている。；研究生指導科では、思想上の理由で退学した学生生徒の指導矯正を図る。；国がそれを指導するに至つては言語道断だというふうに考えるのであります。；その後も党の指導的役割に対して反対の姿勢は見せなかった。；そこで父の古くからの友人であり元ブラジル代表選手のに出会い指導を受けることになった。</t>
        </is>
      </c>
      <c r="J3680">
        <f>HYPERLINK("https://www.weblio.jp/content/指導", "词义详情")</f>
        <v/>
      </c>
      <c r="K3680">
        <f>HYPERLINK("https://yourei.jp/指導", "查看例句")</f>
        <v/>
      </c>
    </row>
    <row r="3681">
      <c r="A3681" t="inlineStr">
        <is>
          <t>児童</t>
        </is>
      </c>
      <c r="B3681" t="inlineStr">
        <is>
          <t>成功</t>
        </is>
      </c>
      <c r="C3681" t="inlineStr">
        <is>
          <t>読み方：じどう
１心身ともにまだ十分発達していない者。子供。特に、学校教育法で、満6〜12歳の学齢児童。→生徒2→学生
２児童福祉法で、満18歳未満の者。乳児・幼児・少年に分ける。</t>
        </is>
      </c>
      <c r="D3681" t="inlineStr">
        <is>
          <t>児童数(11%)；児童向け(5%)；児童養護施設(3%)；児童福祉法(2%)；児童たち</t>
        </is>
      </c>
      <c r="E3681" t="inlineStr">
        <is>
          <t>子；子供；生徒；子ども；児</t>
        </is>
      </c>
      <c r="F3681" t="inlineStr">
        <is>
          <t>男子児童；全校児童；児童雑誌；進学する児童；児童文芸家協会</t>
        </is>
      </c>
      <c r="G3681" t="inlineStr">
        <is>
          <t>児童書；児童文学作家；児童生徒；児童虐待；児童ポルノ</t>
        </is>
      </c>
      <c r="H3681" t="n">
        <v>29</v>
      </c>
      <c r="I3681" t="inlineStr">
        <is>
          <t>街の人にインタビューしたり、小学校を訪れて児童に問題を出したりする。；明治節当日は学校の職員・生徒・児童が学校に参集して祝賀式を行った。；児童・生徒向けのものが主であったが、近年は大人向けのものも増えている。；明治節当日に小学校に参集した職員と児童は次の儀式を行うこととされた。；しかし本人の知らぬ間に父と姉は実家を児童養護施設に転用していた。；この学校を卒業したほとんどの児童は 鎌倉市立御成中学校に入学する。；学区はあくまでそれぞれ設置主体である市の児童を対象にしている。；この他に学校外部のスポーツ少年団などに所属している児童も多い。；上海では今後も毎年500人程度の児童・生徒数増加があるとみられている。；実施数および対象児童数の拡散は昭和の戦後に入ってからである。；声優になる以前は児童向け劇団に所属し、舞台役者として活躍していた。；各学年の課程の修了の認定は、児童・生徒の平素の成績を評価して行う。；なお、対象が一定年齢以下の児童の場合は、すべての州で違法である。；また児童福祉施設などでも預かっている児童への性被害も報告されている。；そこではカナダ人修道士たちが児童に対して献身的な態度で接していた。；世界的には少数であるが、学校の教室等の掃除を児童や生徒が行う国がある。；これらは小学校低学年の児童の手に馴染むサイズに縮小化されていた。；日本の近代児童文学・児童音楽の創世期に最も重要な影響を与えた。；児童たちにはさまざまな子供がいたと紹介されている。；日本の小学校では、全児童を対象に石原表を用いた色盲検査が行われていた。；児童向けの全作品の訳と成人向けの全作品の訳を両方行った初めての訳者である。；児童・保護者・学校・地域と密接にかかわるため信頼関係が重要となる。；毎年市内7つの小学校児童が集まって、環境保護活動報告などが行われる。；その中でも、トゥーレ政権は児童基金の設立などの実績を残している。；神野小学校の児童数は数名程度であり、学校の存続も危ぶまれている。；その他放送当時の児童誌にいくつかマンガ版が掲載されていた。；村には約1万冊が寄贈され、児童・生徒が利用する16施設に分配された。；当時は児童数が急増し、1人あたりの学校の備品整備が不足しがちだった。；これらの場所・施設では、幼児や児童が安心して遊べる事が最大の目的である。</t>
        </is>
      </c>
      <c r="J3681">
        <f>HYPERLINK("https://www.weblio.jp/content/児童", "词义详情")</f>
        <v/>
      </c>
      <c r="K3681">
        <f>HYPERLINK("https://yourei.jp/児童", "查看例句")</f>
        <v/>
      </c>
    </row>
    <row r="3682">
      <c r="A3682" t="inlineStr">
        <is>
          <t>自動詞</t>
        </is>
      </c>
      <c r="B3682" t="inlineStr">
        <is>
          <t>成功</t>
        </is>
      </c>
      <c r="C3682" t="inlineStr">
        <is>
          <t>読み方：じどうし
動作主体の動作・作用が他に及ばないで、それ自身の働きとして述べられる動詞。「を」格の目的語をとることがない。「雨が降る」「花が咲く」の「降る」「咲く」などの類。⇔他動詞。</t>
        </is>
      </c>
      <c r="D3682" t="inlineStr">
        <is>
          <t>自動詞文(4%)；自動詞用法；自動詞節</t>
        </is>
      </c>
      <c r="H3682" t="n">
        <v>29</v>
      </c>
      <c r="I3682" t="inlineStr">
        <is>
          <t>チョル語の自動詞は活動を表すものと状態を表すものの区別がある。；移動を表す自動詞に由来する方向語が7つあり、動作の行われる方向を示す。；自動詞との関係も含めて、他動詞に関する言語現象一般を他動性という。；自動詞と同様に一人称単数形には子音重複が見られる点に留意されたい。；一方 f の文ではわざとではない行為を表しており、自動詞が用いられている。；しかし、君は自動詞を使ったけれども、他動詞で言うべきじゃないの?；「入る」のような自動詞の直説法現在の活用表は次のとおりである。；しかし自動詞は活動を表すものと状態を表すものに分かれる。；このように、英語では、多くの動詞が他動詞・自動詞の両方で使われています。；自動詞文の例には以下のようなものがある。；言語によっては自動詞が動作を表すものと状態を表すものの2種類に分かれる。；また、語幹が対応する一組の動詞で他動詞と自動詞に対応しているものもある。；自動詞の場合は具体的な目的語を持たないが、他動詞は持つ。；語形を反復させることにより、自動詞の反復相・継続相を表現可能である。；このような自動詞と他動詞の区別は他のウゴル諸語に属する言語にも見られる共通の特徴である。；日本語では、動詞によって他動詞であるか自動詞であるかは決まっています。；位置動詞と呼ばれる自動詞に似た一群の語が発達しており、どのような所にどのように位置しているかを表す。；自動詞と他動詞は変化形の上でも区別され、それぞれ活用が異なる。；否定を表す表現は自動詞節の場合その前に置かれ、他動詞節の場合もその述語より前に置かれる。；以下はそれぞれ単純な自動詞節と他動詞節の例である。；つまり有対自動詞といふやうな形が出来て来るのだ。；物体の空間的な位置を表す自動詞のクラスもある。；自動詞の項Sの標示の仕方がその言語に特有の分類に従って変わる。；他動性の高い特徴が見られる動詞ほど他動詞らしく、逆ならば自動詞に近づく。；では、自動詞文の例を少し見ておきましょう。；多くの活格言語では、自動詞の項の格は動詞ごとに典型的な状況に応じて固定化されている。；また一部の言語では、自動詞の項は話者によって決定される。；これらの接尾辞は、普段使われることは稀であり、自動詞か他動詞か強調して伝えたいときに用いる。；また、朝鮮語の自動詞と英語の他動詞を対応させてこのような誤りを犯す場合もある。</t>
        </is>
      </c>
      <c r="J3682">
        <f>HYPERLINK("https://www.weblio.jp/content/自動詞", "词义详情")</f>
        <v/>
      </c>
      <c r="K3682">
        <f>HYPERLINK("https://yourei.jp/自動詞", "查看例句")</f>
        <v/>
      </c>
    </row>
    <row r="3683">
      <c r="A3683" t="inlineStr">
        <is>
          <t>自動車</t>
        </is>
      </c>
      <c r="B3683" t="inlineStr">
        <is>
          <t>成功</t>
        </is>
      </c>
      <c r="C3683" t="inlineStr">
        <is>
          <t>読み方：じどうしゃ
原動機の動力によって車輪を回転させ、レールや架線を用いないで路上を走る車。</t>
        </is>
      </c>
      <c r="D3683" t="inlineStr">
        <is>
          <t>自動車用(3%)；自動車工場；自動車交通；自動車関連；自動車道路</t>
        </is>
      </c>
      <c r="E3683" t="inlineStr">
        <is>
          <t>車；乗用車；四輪車；モーターカー；オートモービル</t>
        </is>
      </c>
      <c r="F3683" t="inlineStr">
        <is>
          <t>関東自動車；自動車営業所；自動車輸送；自動車製造会社；自動車部門</t>
        </is>
      </c>
      <c r="G3683" t="inlineStr">
        <is>
          <t>自動車メーカー；自動車産業；自動車部品；自動車事故；自動車専用道</t>
        </is>
      </c>
      <c r="H3683" t="n">
        <v>29</v>
      </c>
      <c r="I3683" t="inlineStr">
        <is>
          <t>その性質から、自動車の窓や子供の多い学校などで広く利用されている。；そして彼らは自分たちが持っている自動車で競走をすることを考えた。；博物館には歴史的な飛行機や自動車、機械、装置などが展示されている。；自動車での送迎も可能であるが、馬車を希望する大使が多いと言われる。；このように、自動車は単に人や物資を輸送するだけの存在に留まらない。；自動車の美しさを競うコンテストや展示会も世界的な規模で開催される。；その他にも特有の性質により自動車一般とは異なる危険性を持っている。；他にも、数多くの高級腕時計メーカーが自動車との関わりを持っている。；ヒトラーの自動車を運転する姿の記録が一切ないのとは対照的である。；自動車はその歴史のなかで様々な構造が現れ、変遷を繰り返してきた。；自動車の通行区分は日本や宗主国のイギリスなどと同じ左側通行である。；そのため自動車用エンジンへの対応はもっぱら燃料の脱硫に頼っている。；そもそもバブル景気の崩壊以降若者が自動車に興味を示さなくなっていった。；ただし、女性が財産として自動車を所有することは禁止されていない。；また、エンジンや駆動系に、民間の自動車の部品を流用したものもある。；自動車やオートバイでは伸縮式のオイルダンパーが広く用いられている。；フォードは海外との貿易に依存することなく一から自動車を生産することだった。；蒸気発生器は標準的な自動車の鉛蓄電池と同じくらいの大きさだった。；これらの航路は全て貨物列車と、一部では自動車を積載するのみである。；自動車が普及している国では、車両とは逆の通行区分になっている場合が多い。；自動車を利用して来場する場合には駐車場の確保が問題となる。；ウズベキスタンには現代的な自動車を生産する自動車工場がある。；道路のすべりやすさは自動車の設計と安全性における重要な要因である。；例えば、自動車にはコンピュータやデジタル機器がいくつも搭載されている。；なお、消火器の設置が義務付けられている自動車は以下の通りである。；鉄道が自動車より安全であることの理由として、次のようなことが挙げられる。；また、星野一義などの自動車関連の実在の人物が登場することも多かった。；建物や自動車の窓では、室内を冷房した際に屋外側に結露が発生する。；さらに、自動車時代の幕開けとともにより多くの橋の建設が行われた。</t>
        </is>
      </c>
      <c r="J3683">
        <f>HYPERLINK("https://www.weblio.jp/content/自動車", "词义详情")</f>
        <v/>
      </c>
      <c r="K3683">
        <f>HYPERLINK("https://yourei.jp/自動車", "查看例句")</f>
        <v/>
      </c>
    </row>
    <row r="3684">
      <c r="A3684" t="inlineStr">
        <is>
          <t>自動的</t>
        </is>
      </c>
      <c r="B3684" t="inlineStr">
        <is>
          <t>成功</t>
        </is>
      </c>
      <c r="C3684" t="inlineStr">
        <is>
          <t>読み方：じどうてき
［形動］
１他の力によらず、自力で動くさま。「室温を—に調節する機械」
２特別に手を加えなくてもあることに伴って自然にそうなるさま。「—に契約が継続される」</t>
        </is>
      </c>
      <c r="D3684" t="inlineStr">
        <is>
          <t>自動性</t>
        </is>
      </c>
      <c r="F3684" t="inlineStr">
        <is>
          <t>自動的に施錠；自動的に行う装置</t>
        </is>
      </c>
      <c r="H3684" t="n">
        <v>29</v>
      </c>
      <c r="I3684" t="inlineStr">
        <is>
          <t>ABSはこれをコンピュータが自動的に行うシステム制御のことである。；彼らは流れとしてはほぼ自動的に新商品の主要販売元となるはずだった。；無誘導の兵器であったが、自動的に高度を維持する装置は必須であった。；背中のマントは、敵の攻撃を避ける時や飛行する際に自動的に装備される。；ただし、シナリオの進行など、特定の条件で自動的に離脱する事がある。；この関係で、ロックマンのHPが戦闘後自動的に回復しなくなっている。；また、証明を自動的に検証可能とするほど十分に形式化されたものである。；現場では開始時に機械を操作するだけで後は自動的に行われる。；また、作戦に必要なパーツを全て集めても作戦が自動的に実行される。；ゲーム開始直後からいくつかの村が存在しており、自動的に人口が増えていく。；後はこの水銀柱の高さに応じてフラップが自動的に動くようになればよい。；ことわざなどの始め一文字を与えるとその続きを自動的に言うなどもみられる。；これは停止ボタンのあるものと一定時間で自動的に止まるタイプとがある。；彼らが移動した先の土地は自動的に神に与えられた土地となった。；するとブートプログラムがより大きなプログラムを自動的にロードする。；電磁波を発しながら目標に向かって自動的に動くホーミング機雷の一種。；速度は固定されるか自動的に取り決められるかのいずれかである。；本作を同時に複数人数でプレイした場合、自動的に「リーダー制」となる。；解約せずに更新時期来ますと自動的に新カードが送られてくる。；また、ソフトウェアは時々自動的に更新されるようになっている。；イギリス連邦の規則によると、共和国を宣言すれば自動的に脱退となる。；父親がムスリムであるものは自動的にムスリムとなるとされている。；DCのないサイトは、近隣サイトのDCがそのサイトを自動的に担当する。；火災時に火災報知機などと連動して自動的に閉鎖される耐火性のある扉。；期限付き移籍期間が終了した場合、選手は自動的に移籍元クラブに再移籍する。；デフラグは少しずつ自動的に行われるため、ユーザーが意識する機会はない。；また仲間にしても操作することはできず、自動的に攻撃する。；EZフラットを利用してきたユーザーはダブル定額へ自動的に移行された。；また、面の変わり目に到達すると自動的に武器アイテムを手放してしまう。</t>
        </is>
      </c>
      <c r="J3684">
        <f>HYPERLINK("https://www.weblio.jp/content/自動的", "词义详情")</f>
        <v/>
      </c>
      <c r="K3684">
        <f>HYPERLINK("https://yourei.jp/自動的", "查看例句")</f>
        <v/>
      </c>
    </row>
    <row r="3685">
      <c r="A3685" t="inlineStr">
        <is>
          <t>しとしと</t>
        </is>
      </c>
      <c r="B3685" t="inlineStr">
        <is>
          <t>成功</t>
        </is>
      </c>
      <c r="C3685" t="inlineStr">
        <is>
          <t>［副］
１雨が静かに降るさま。「春雨が—（と）降る」
２物事をもの静かにするさま。しとやかなさま。しずしず。
「娘の母親が、—とあがって来た」〈里見弴・多情仏心〉
［形動］湿っているさま。また、濡れているさま。
「露に—に濡れて」〈左千夫・野菊の墓〉</t>
        </is>
      </c>
      <c r="D3685" t="inlineStr">
        <is>
          <t>しとしと降る(17%)；しとしと降り続い(3%)；しとしと降り始め(2%)</t>
        </is>
      </c>
      <c r="E3685" t="inlineStr">
        <is>
          <t>湿った；湿潤；湿っぽい；びしょびしょ；しめっぽい</t>
        </is>
      </c>
      <c r="H3685" t="n">
        <v>29</v>
      </c>
      <c r="I3685" t="inlineStr">
        <is>
          <t>嵐のような豪雨は、しとしと降り続ける不快なこぬか雨に変わっていた。；雨はしとしと降りつづけていましたが、風はおさまっていました。；天気が味方してくれたのはそこまでで、午後なかばに雨がしとしと降りだした。；翌日はまた春に有りがちなしとしと雨が銀線を匂やかな黒土の上におちて居た。；いったんやんでいた雨がいつかまたしとしと降りはじめていて、時刻はいつか十二時を過ぎている。；しとしと草を踏んで行く自分の草鞋の足音だけが耳に入つた。；しとしと雨の月曜日から、礼にいのいう通り警察の取り締まりが強化された。；しとしと降り続けている雨をその廊下からながめながら、聞くつもりもなく彼は公使らの話に耳を傾けた。；朝からのしとしと降りが氷雨まじりに激しくなっているらしい。；星の高く輝やく空から、眼に見えない透明な露がしとしと降りているらしくも思われた。；三日の雨に しとしと雨に さくらの花の うす紅色は すつかりさめた。；朝から降り出して、大阪から船の著く頃にはしとしと牡丹雪だった。；春の雨がしとしと降るころは、草木の芽ばえにつれて人も物思いがつのる。；梅雨の入りかと思うようなしとしと降りが四日ばかり続いたあとに、抜けるような青空が広がった。；十四日、朝早く立て行く間なく雨しとしとふりいでぬ。；どこからともなく水がしみ出してきて、しとしと滴り、洞窟の壁や床を濡らしている。；雨しとしと、その音は私をおちつかせる、風さうさう、その声もおちつかせる。；彼が戸口から出ると外はしとしと雨が降っていた。；「雨だわ」 ぽつぽつとした水滴がしとしとになるまで、五分と経たなかった。；道の真中は乾いているが、両側の田についている所は、露にしとしとに濡れて、いろいろの草が花を開いてる。；しとしと時雨の降る日海岸の砂に天井を向いて寝てゐたら、まつ白い土人がそろとはひ寄つて来てこんな事を言つた。；夕闇が濃く澱んでいる時や、細かい雨がしとしと降る時などに、出た。；時おり雨がしとしと降り、ひどく不快でしたが、私がいちばん心配したのは気球のことでした。；しとしと降る雨がゆっくりとあなたを映し出し始めました。；そして雨のしとしと降る音を近頃になくしみじみした親しみのある心できくことのできるような気分が訪れました。；雨がしとしと降る晩に、二人連れの刑事さんが犯人を捕まえたという報告にやって来た。；前夜からのしとしと雨が雪に変っている。；しとしという雨の音の中で、下駄の歯が小石に躓いた音がした。；春の雨のしとしと降る晩のことでした。</t>
        </is>
      </c>
      <c r="J3685">
        <f>HYPERLINK("https://www.weblio.jp/content/しとしと", "词义详情")</f>
        <v/>
      </c>
      <c r="K3685">
        <f>HYPERLINK("https://yourei.jp/しとしと", "查看例句")</f>
        <v/>
      </c>
    </row>
    <row r="3686">
      <c r="A3686" t="inlineStr">
        <is>
          <t>淑やか</t>
        </is>
      </c>
      <c r="B3686" t="inlineStr">
        <is>
          <t>成功</t>
        </is>
      </c>
      <c r="C3686" t="inlineStr">
        <is>
          <t>読み方：しとやか
［形動］［文］［ナリ］性質や動作がもの静かで上品であるさま。また、つつしみ深いさま。「物言いの—なお嬢さん」「—に振る舞う」
[派生]しとやかさ［名］</t>
        </is>
      </c>
      <c r="D3686" t="inlineStr">
        <is>
          <t>淑やかな娘</t>
        </is>
      </c>
      <c r="E3686" t="inlineStr">
        <is>
          <t>優雅；しなやか；雅；優美；しとやか</t>
        </is>
      </c>
      <c r="H3686" t="n">
        <v>29</v>
      </c>
      <c r="I3686" t="inlineStr">
        <is>
          <t>君の之等の詩は淑やかに読んでもいい、声あげて読んでもいい。；息を詰めて帯を締めている彼女は、傍から見ればとても淑やかそうだ。；床についた左手で体を支え、右手はお淑やかに髭に添えられていた。；それは穏かに庭で育った高価な家畜のような淑やかさをもっていた。；しかし、そういう少女の淑やかな性質が初めてこの氷のような青年の魂を動かしたと見える。；あの奥様は淑やかに見えるが、あれで娼婦のような性質が隠れているのだろう。；お淑やかな家庭婦人の役をやらせたら、これ以上、ぴったりの女優さんはいない。；しかし至って気立のいい、淑やかな女性で年は同年の二十二である。；なんて淑やかに暮らしているんだろうとおもって、うらやましくなる。；半球形をした佐代子の乳房は胸部に乗っているように見え、淑やかである。；それに、今時にしては珍しいお淑やかな子だとも聞いている。；淑やかそうに気取ってはいても精神年齢が低い私は、妹と喧嘩をするといい勝負だった。；姫様といえば、この世の者とは思えぬ淑やかさだと聞くが、目の前の女はこの世の者とは思えぬ荒々しさである。；彼女の後ろに身長の高い紳士が、エチケットの本のように、淑やかに立っていた。；いつものお淑やかな雰囲気に戻った深雪の周りには、男子生徒が群がっていた。；それでも普段の淑やかさからすると、格段の違いなのですが。；なでしこはその翌朝からまるで何事もなかったかのように淑やかに振る舞っていた。；お淑やかな歩き方だったのも、一つはこのせいか。；けれども、黙していることの多い人間の生活では彼女はむしろ寂しい淑やかな娘だった。；何事にも従順で淑やかなそんな千世が急に、夫婦のいとなみを辞退したいと言い出した。；その背後には、携帯端末形態のCADを構えた華奢な人影が淑やかに控えている。；「はい、そのつもりです」彼女はお淑やかな声を作って答える。；墨の濃くなったところと淡くなったところ、その陰影が淑やかである。；立ち居振る舞いが淑やかで優雅であり、心が広くてゆったりしていた。；憎しみの気持ちで彼女を迎えたフィリップだったが、彼女の美しさと淑やかさにすっかり心を奪われてしまう。；内地は空まで明るくて、そこに住んでゐる人は皆物腰がやさしく淑やかなさうである。；秋川の妹であったころに比べると、彼女はいかにも若妻らしい淑やかさを見せていた。；そこでは当然親族関係や財産などが、淑やかさや美しさと同様あるいはそれ以上に重んぜられるのである。；その声も表情も仕草も、いつもどおりの淑やかなものだ。</t>
        </is>
      </c>
      <c r="J3686">
        <f>HYPERLINK("https://www.weblio.jp/content/淑やか", "词义详情")</f>
        <v/>
      </c>
      <c r="K3686">
        <f>HYPERLINK("https://yourei.jp/淑やか", "查看例句")</f>
        <v/>
      </c>
    </row>
    <row r="3687">
      <c r="A3687" t="inlineStr">
        <is>
          <t>しどろもどろ</t>
        </is>
      </c>
      <c r="B3687" t="inlineStr">
        <is>
          <t>成功</t>
        </is>
      </c>
      <c r="C3687" t="inlineStr">
        <is>
          <t>［形動］［文］［ナリ］《「しどろ」を強めていう語》言葉の使い方や話の内容などが、とりとめなく、ひどく乱れたさま。「—に言いわけをする」「—な答え」</t>
        </is>
      </c>
      <c r="D3687" t="inlineStr">
        <is>
          <t>うろたえ；尻込み；たじたじ；ひるみ</t>
        </is>
      </c>
      <c r="H3687" t="n">
        <v>29</v>
      </c>
      <c r="I3687" t="inlineStr">
        <is>
          <t>彼はしどろもどろになりながらも、これまでの経緯や人物の紹介をした。；その時に話がしどろもどろになったり、矛盾が出てきたりしたらまずい。；私はしどろもどろになるのを必死になっておさえ、ゆっくりと微笑した。；こういった伝達の例がないために、しどろもどろの表現になっていた。；人間の想像のしどろもどろを わたしが当分起らぬようにして上げた。；質問する方も要領を得なかったが、答えるこちらはいっそうしどろもどろ。；女はこの激しい憤りの前にどぎまぎして、云い訳もしどろもどろだった。；鄙には稀な女性を見つけて愕いたのか、挨拶の言葉もしどろもどろであった。；顔といえば、僕は俊雄君の顔を考えるたびに、しどろもどろになるのである。；中畑さんが兵隊だったとは、実に意外で、私は、しどろもどろになった。；しどろもどろに話す様子と加えて、挙動不審に思われるのも仕方なしか。；敵はあわてて海の中でしどろもどろに乱れて騒ぎはじめました。；それに彼の話がしどろもどろになりはじめたからである。；そこで彼女は説明したが、おろおろして、言葉もしどろもどろだった。；そんな言い方をされれば、誰だってしどろもどろになるにきまっている。；才人も熱に浮かされたような頭で、しどろもどろになりながら答えた。；僕や敦子ちゃんに突っ込まれると、しどろもどろになってしまうんだろう。；神官はしどろもどろになり、祝詞は途中で切り上げる気になったらしい。；あたしは急いで会社に電話をかけ、熱があるので休みたいとしどろもどろに言った。；彼等のチグハグな情緒、彼等のシドロモドロの理論がいい例であろう。；「なにがあったのです」 と聞かれ、ケイ氏はしどろもどろで答えた。；正義は千鶴のほうにあっても、反論されるとしどろもどろになってしまう。；話し慣れていないのは当然だし、こんな雰囲気のなかでは緊張してしどろもどろになってしまうのも無理はない。；彼は自分が話をするのさえしどろもどろであった。；急に水を向けられて鈴木はしどろもどろになった。；そのことを知ったのは、辰夫がしどろもどろになりながら、こう言ったからだ。；どうも敗戦後の大の男はシドロモドロで体をなしていない。；しどろもどろで、自分でも何を言っているのかわからない。；簡単に説明しようとし、逆にしどろもどろになってしまう。</t>
        </is>
      </c>
      <c r="J3687">
        <f>HYPERLINK("https://www.weblio.jp/content/しどろもどろ", "词义详情")</f>
        <v/>
      </c>
      <c r="K3687">
        <f>HYPERLINK("https://yourei.jp/しどろもどろ", "查看例句")</f>
        <v/>
      </c>
    </row>
    <row r="3688">
      <c r="A3688" t="inlineStr">
        <is>
          <t>品</t>
        </is>
      </c>
      <c r="B3688" t="inlineStr">
        <is>
          <t>成功</t>
        </is>
      </c>
      <c r="C3688" t="inlineStr">
        <is>
          <t>読み方：しな
１（品）何かに使用する、形のあるもの。品物。「見舞いの—」「結構なお—」
２（品）商品。「良い—を安く売る」「—が豊富な店」「—ぞろえ」
３物の品質。「—が落ちる」
４材料や品質の良し悪しによって分けた種類。等級。「—分け」
５（科）ちょっとした媚(こび)を含んだ身ぶりやしぐさ。特に、女が男に見せるようす・態度についていう。「—をする」
６地位。身分。家柄。
「人の—高く生まれぬれば」〈源・帚木〉
７人の品格。人柄。品位。
「さぶらふ中に—心すぐれたる限りを選(え)りて」〈源・若菜上〉
８きざはし。階段。
「御階(みはし)の中の—のほどに居給ひぬ」〈源・若菜上〉
９物事の事情、立場。
「徳様も死なねばならぬ—なるが」〈浄・曽根崎〉</t>
        </is>
      </c>
      <c r="D3688" t="inlineStr">
        <is>
          <t>品揃え；品よく；品出荷額；品不足；品オリジナル</t>
        </is>
      </c>
      <c r="E3688" t="inlineStr">
        <is>
          <t>もの；性；物；器；アイテム</t>
        </is>
      </c>
      <c r="F3688" t="inlineStr">
        <is>
          <t>出土品；装備品；高級品；貴重品；お品</t>
        </is>
      </c>
      <c r="G3688" t="inlineStr">
        <is>
          <t>品物；品質；品川；品々；品位</t>
        </is>
      </c>
      <c r="H3688" t="n">
        <v>29</v>
      </c>
      <c r="I3688" t="inlineStr">
        <is>
          <t>本作品は何度か雑誌の移籍がされているので最終回は何作品か存在する。；日本では一般的に一心二葉が最高級、一心三葉は準高級品とされている。；本作品では、過去のシリーズとは異なる独自の要素が多く見られる。；日本では承認審査体制の整備前より使用されており、先発品は存在しない。；アメリカ合衆国では1940年代まで鶏肉は牛肉よりも貴重品であった。；雨宮は鈴木から本作品でシリーズが最後になるかもしれないと告げられたという。；宇宙刑事シリーズ終了を受けて本作品では宇宙指向で制作されている。；しかしこれらは、技術的に見て当時の一級品とは言いがたいものであった。；アジアを舞台にした劇映画の中で唯一、本作品のポスターが選ばれた。；を呼んで、「この品を大事に取っておいてくれ」と言って自分の耳を渡した。；縄文時代から人が暮らしていた可能性があるとされており、出土品も存在する。；特に生産数の少ない国産装備品は、価格面で輸入品に太刀打ちできない。；同年10月13日、それらの品をルドルフの息子が父のものだと確認した。；当初は輸入でしかもたらされない貴重品であり医薬品として扱われていた。；これを利用して、出土品や汚染物質の起源を推定することができる。；彼らは簡単な実験をしたが、実用的な試作品を開発するには至らなかった。；自らの体型に合わせた特注品であり制作費用は100万円以上であった。；正八品から従七品までを朝官といい、一緒にして京朝官という。；本作品より主人公側の衣裳をスタイリストが担当するようになった。；この様式は従来、神に捧げる奉納の品を納める建物にのみ用いられていた。；口紅は紅花が原料のものが使われていたが、極めて高価な品とされていた。；西洋の娯楽品の入手は非常に厳しかったが、それも一層困難化した。；なお王には北魏の場合と同様に官品は適用されていない。；人性論としても伝統的な性三品説から性善説が主張されるようになっていく。；絹は重要な嗜好品の一つで、これは帝国へ輸入され、加工されていた。；設定などは、本作品をふまえていないルパンという名称のみの流用作品。；Debianの派生品一覧に非掲載であるるものの、以下もその一部である。；製造年代毎の、試作・試験品の使用などを除く主な設計変更点や特徴などは以下の通り。；なおスイスは、もともと得意とする高級品だけでなく安価な時計の市場でも復活した。</t>
        </is>
      </c>
      <c r="J3688">
        <f>HYPERLINK("https://www.weblio.jp/content/品", "词义详情")</f>
        <v/>
      </c>
      <c r="K3688">
        <f>HYPERLINK("https://yourei.jp/品", "查看例句")</f>
        <v/>
      </c>
    </row>
    <row r="3689">
      <c r="A3689" t="inlineStr">
        <is>
          <t>市内</t>
        </is>
      </c>
      <c r="B3689" t="inlineStr">
        <is>
          <t>成功</t>
        </is>
      </c>
      <c r="C3689" t="inlineStr">
        <is>
          <t>読み方：しない
市の区域内。まちの中。「—電話」⇔市外。</t>
        </is>
      </c>
      <c r="D3689" t="inlineStr">
        <is>
          <t>市内中心部(2%)；市内各地；市内各所；市内全域；市内交通</t>
        </is>
      </c>
      <c r="E3689" t="inlineStr">
        <is>
          <t>町内；市中；街中；町中；街頭</t>
        </is>
      </c>
      <c r="F3689" t="inlineStr">
        <is>
          <t>東京市内；ロンドン市内；パリ市内；ローマ市内；ソウル市内</t>
        </is>
      </c>
      <c r="G3689" t="inlineStr">
        <is>
          <t>市内電車；市内局番；市内在住；市内通話；市内総生産</t>
        </is>
      </c>
      <c r="H3689" t="n">
        <v>29</v>
      </c>
      <c r="I3689" t="inlineStr">
        <is>
          <t>区の発足から1945年頃まで、東京市内で最も人口の多い区であった。；このように、映画との関わりが深い街であるが、市内には映画館がない。；市内にはいくつかの丘があるがその多くは人工的に築かれたものである。；市内の道路は広く整備が進んでおり、早くから国鉄との立体交差を推進。；京阪バスが市内だけでなく、空港連絡線や長距離線などを運転している。；市内にはこの豊富な水を利用した大規模工場や水田地帯が多くある。；また、市内には1984年開業のインドで最も古い地下鉄であるがある。；市内には大規模な製造業やそれに付帯した研究機関なども比較的多くある。；その後2つの路線はそれぞれ北と西とに進路を変え、当市内を横断する。；なお、これ以降は市内に定期旅客便が就航する空港は設置されていない。；北西部を中心に市内に多数ある直売所やスーパー等で購入可能である。；なお、市内の殆どの道が舗装されているものの、高速道路は存在しない。；それぞれの季節に花の咲く公園が市内に点在し、市民に親しまれている。；かつては中央本線国分寺駅から分岐する形で市内へ下河原線が存在した。；当初、鹿沼駅は旧市内に作られる計画であったが、現在の位置に決定した。；反乱を起こした市民を組織化するために、公安委員会 が市内に組織された。；バスに加えて、タクシーも市内のどこでも利用することができる。；本市内には現在、この他に多様なキリスト教系の宗教団体が存在している。；これにより市内すべての義務教育を行う学校が義務教育学校となった。；高松市では市内に設定されている町名には以下のような規則性がある。；この教会は市内中央部、ハイデルベルク城からも遠くない場所に位置する。；市内では国道同士や国道と県道を含め、多くの道が重複する区間がある。；縄文時代に入ると生活の跡である貝塚も市内に散見されるようになる。；火山に近く泉源数が多いため、市内の入浴施設のほとんどが温泉である。；さらに12月12日には市内のホテルが襲撃を受け、3人以上が死亡した。；このため、一部の収納業務は市内の郵便局の貯金窓口でも対応している。；そのほかにも市内を南北に河川が幾筋か流れている。；市内を走るバスは大きく下記の3種類に分類することができる。；こうした市内の観光名所には、年間約200万人の観光客が訪れている。</t>
        </is>
      </c>
      <c r="J3689">
        <f>HYPERLINK("https://www.weblio.jp/content/市内", "词义详情")</f>
        <v/>
      </c>
      <c r="K3689">
        <f>HYPERLINK("https://yourei.jp/市内", "查看例句")</f>
        <v/>
      </c>
    </row>
    <row r="3690">
      <c r="A3690" t="inlineStr">
        <is>
          <t>品薄</t>
        </is>
      </c>
      <c r="B3690" t="inlineStr">
        <is>
          <t>成功</t>
        </is>
      </c>
      <c r="C3690" t="inlineStr">
        <is>
          <t>読み方：しなうす
［名・形動］需要に対して、商品の供給が不足していること。また、そのさま。品枯れ。「長雨で野菜が—になる」</t>
        </is>
      </c>
      <c r="D3690" t="inlineStr">
        <is>
          <t>品薄状態(21%)；品薄感(3%)；品薄株</t>
        </is>
      </c>
      <c r="E3690" t="inlineStr">
        <is>
          <t>不足；欠乏；払底；闕乏</t>
        </is>
      </c>
      <c r="H3690" t="n">
        <v>29</v>
      </c>
      <c r="I3690" t="inlineStr">
        <is>
          <t>例の『〇九三〇事件』以降に新しい条例ができたから品薄になってるよ。；連載が開始された号は品薄状態となり、増刷されるも追いつかなかった。；目先の品薄感が強いが、将来的に供給が安定する可能性を暗示している。；彼はその被覆の中身が、いま品薄になっている銅であることを知っていた。；そのため覚醒剤が品薄になり、取引価格が異常なほど高騰したという。；それでも、市内の店は品薄で商品が手に入らない状況だった。；品薄の儚さが漂っていて、夏の好きな淑美でさえ思わず手を伸ばしたくなる。；知りあいの業者にもいろいろ当たってはいるんだけどね、どこも品薄で大変らしいよ。；人気色が品薄になる一方で、不人気色は不良在庫になったりもした。；一時期は品薄でニュースでも話題になっていたが、今はずいぶん、陳列されていた。；発売直後から品薄状態が続くほどの話題作となり、弘文堂は増刷に追われた。；通信販売と小売店で購入ができるが、生産量の関係で品薄であることが多い。；石炭、砂糖、石油などが品うすとなり、とくにパンの不足は深刻だった。；発売前から予約数が初期在庫を上回り、発売開始後も品薄状況が続いた。；そのような作家で連載当初から人気のある作品は、初版が発売直後に品薄となり、しばらくの間入手が困難となることもある。；ブームの過熱ぶりにより、日本各地でバナナが一時期品薄状態になった。；また、政府は品薄商品の増産の要請や、備蓄放出などの対応をした。；イタリアで流行していた白や赤のダチョウの尾羽を飾った帽子は非常に人気が高く、いつでも品薄であった。；以降も品薄の状態が続き、石屋製菓は予定していた他の菓子の生産再開を一時遅らせるなどして対応していた。；人気のあった作品の付録がつくと品薄になる。；発売まもなく品薄となり、同年4月末に再発売された。；太平洋戦争がはじまるとコーヒーは完全に品薄状態となった。；同作は「予想以上の反響で一時品薄」と日経トレンディが報道するほどのヒットとなった。；そのためすぐに増産できるような状態にあるが、それでも2008年1月頃までは品薄が続いていたようである。；第15版の刊行後に本書も再び注目されて品薄となったため、同年4月11日付で増刷が発表されている。；このようなツールは、入手の困難な人気商品・品薄な商品や、発売前でいつ予約が開始されるか分からない商品を注文する際に特に有効である。；また、計画停電による生産減少が品薄につながった例もあった。；また前作で決めた販売計画の成功を継続し、タイアップ商品であるレゴの「秘密の部屋」が品薄になったとの報道があった。；深夜に並ばなくちゃならんほど品薄なのか?</t>
        </is>
      </c>
      <c r="J3690">
        <f>HYPERLINK("https://www.weblio.jp/content/品薄", "词义详情")</f>
        <v/>
      </c>
      <c r="K3690">
        <f>HYPERLINK("https://yourei.jp/品薄", "查看例句")</f>
        <v/>
      </c>
    </row>
    <row r="3691">
      <c r="A3691" t="inlineStr">
        <is>
          <t>萎びる</t>
        </is>
      </c>
      <c r="B3691" t="inlineStr">
        <is>
          <t>成功</t>
        </is>
      </c>
      <c r="C3691" t="inlineStr">
        <is>
          <t>読み方：しなびる
［動バ上一］［文］しな・ぶ［バ上二］水分が失われて、張りのない縮んだ状態になる。衰えてみずみずしさを失う。「野菜が—・びる」「老人の—・びた顔」
→萎(しお)れる［用法］</t>
        </is>
      </c>
      <c r="D3691" t="inlineStr">
        <is>
          <t>萎える；しぼむ；萎む；萎れる；干からびる</t>
        </is>
      </c>
      <c r="H3691" t="n">
        <v>29</v>
      </c>
      <c r="I3691" t="inlineStr">
        <is>
          <t>何も感じない様子で、萎びた手をハリーに向けて伸ばしながら歩き続けた。；そうしていても大儀で、前に組んだ手の甲は老人のように萎びて見えた。；萎びた内容をもつ者は言葉でもってそれをふくらますのでございます。；おれは知っている 太陽は切断された萎びた心臓の傷は真赤にひかる。；その娘は病気らしく、美しい顔が萎びていて僅かに片笑いだけした。；こんなに萎びきるとは、そもどんな稼業をしてきたからというのだろう。；それは老人の萎びた手ではなく、私の愛する人のに他ならなかつた。；頭の中では生きてゐた者が萎びて、書き續けると死んでしまひさうになる。；萎びかけた草の葉のような色の悪い顔をして、眼鏡をかけている。；私はどこか他の萎びた草のかたまって生えているところの下に埋められますでしょう。；そして炎となって燃え上がり、床に落ち、小さく萎びて飛ばなくなった。；ポケットに杖をしまうとき、その手が黒く萎びているのにハリーは気がついた。；ところが、祖母はその萎びた花を大切そうに取りだし、水につけます。；眠ったのだろうかと思っていると、萎びた口が再び動いた。；男かと思ったが、肌脱ぎになって汗を拭っている胸には萎びた乳房があった。；それを見ると其辺の黄いろい萎びた顔が一度に灯が点いたやうに明るくなつた。；東部の多くの市は空になり、イタリアの幾つかの地域で作物やワインが萎びて残った。；また知った事が災難の種となってその智恵に縛られて萎びてしまう人も多いのだ。；萎びた手をした男、耳から真珠の塔を下げた女が出入りした。；鍵蔵は、年老いて萎びてしまった父と、顔色悪く痩せたすえを見比べた。；見れば椅子の上の肉体は皆萎びてしまって、脱殻になっている。；死なねば、乳もやらずに放って置けば消えるように萎びて死んでしまった。；尻尾から噴射された火で、その付近のかぼちゃの葉や茎が萎びてしまった。；そして萎びた人参のような足をつかんで、逆さにして尻を叩いた。；二人はこれらも死から蘇らせて、ムマトゥムオルが萎びた馬にまたがった。；それほど老人の肉体は不健康に萎び切っているのであった。；花の後の漏斗形の萼は、実を結ぶ様子もなく、小く萎びて立枯れてしまった。；摘まれたものはすべて萎びて色が変るのは習いじゃありませんか。；彼は書棚の前に立ち、躊躇いがちに一巻一巻、萎びた指を書物の上に這わせた。</t>
        </is>
      </c>
      <c r="J3691">
        <f>HYPERLINK("https://www.weblio.jp/content/萎びる", "词义详情")</f>
        <v/>
      </c>
      <c r="K3691">
        <f>HYPERLINK("https://yourei.jp/萎びる", "查看例句")</f>
        <v/>
      </c>
    </row>
    <row r="3692">
      <c r="A3692" t="inlineStr">
        <is>
          <t>品物</t>
        </is>
      </c>
      <c r="B3692" t="inlineStr">
        <is>
          <t>成功</t>
        </is>
      </c>
      <c r="C3692" t="inlineStr">
        <is>
          <t>読み方：しなもの
人が使ったり食べたりするためのもの。しな。物品。「金ではなく—を贈る」「値段は高いが—はよい」</t>
        </is>
      </c>
      <c r="D3692" t="inlineStr">
        <is>
          <t>品物全部；品物をとりだし</t>
        </is>
      </c>
      <c r="E3692" t="inlineStr">
        <is>
          <t>もの；物；品；記事；商品</t>
        </is>
      </c>
      <c r="F3692" t="inlineStr">
        <is>
          <t>いろいろな品物；必要な品物；さまざまな品物；貴重な品物；大切な品物</t>
        </is>
      </c>
      <c r="H3692" t="n">
        <v>29</v>
      </c>
      <c r="I3692" t="inlineStr">
        <is>
          <t>散らかった品物の間から、いろんな表情をした人たちの顔が現れて来る。；その午後かれらがごくわずかの値打ちしかない品物を売るところを見た。；それでこの前の時のように、品物を買いあつめて、商売の旅に出ました。；その後は「よい品物であれば随時必要に応じて購入する」とされている。；品物を父の寐ている部屋の縁側へ並べて傷がないかしらべたりしました。；母親が品物を調べているあいだに、父親は商人に小声で話をしていた。；窓際へ坐ったのは、その品物を膝の下に敷いて隠す為だったに違いない。；これは剣などの武器類やさまざまな品物の製作監督や製造技術確立を任務とした。；私は心配しながら、華やかな品物の上を、彼の眼が逍遙ふのを見つめた。；うとうとするとこのだいじな品物のうちどれかをなくした夢をみました。；それは兄貴とおれの外には、だれも持っているはずのない品物だった。；だが、今はすぐあなたの品物をみんなもってここから出ていってもらいます。；台の上には、赤と青の色をした洗面器があり、その中に品物が入っている。；多彩な見世があり、多くの職人兼商人たちが品物を製作・販売していた。；中世以前、ヘルシンゲルは人々が品物を売りに来る市場の場所であった。；そうでなくてあのような品物ばかりが、次々に奪われるはずはない。；銅や真鍮の品物が何万というほど積みあげられ、大きな山になっている。；令夫人の奪われた品物が匿名の手紙と一緒に小包で返却されたからです。；父親と母親は机の前にこしをかけて、せっせと品物をしまいこんでいた。；それに己は金も品物も持っていず、 世間の栄華や名聞も持っていない。；これからは品物を缶に入れさせて置いて、これでいくらと聞いてみるのだね。；すでにその品物は女賊の手からある人物の手に移っているだろう。；いろいろな飲食店もあり、生活に必要な品物をも売っている店もございます。；いろいろの品物を、船から送った岩は、船よりは、もちろん大きかった。；これ等の美しい品物はすべて、あたり前の百姓家にあるのである。；その品物の目録などはなかったから、何と何とがなくなったんだか分らない。；結局それは、小作には品物を絶対に売ってくれない事と同じだった。；日本では一般店舗へ安定して品物を供給できるまでに発売から約3ヶ月程かかった。；頼まれた品物は、実をいえば、そんなに気を入れるほどのものでない。</t>
        </is>
      </c>
      <c r="J3692">
        <f>HYPERLINK("https://www.weblio.jp/content/品物", "词义详情")</f>
        <v/>
      </c>
      <c r="K3692">
        <f>HYPERLINK("https://yourei.jp/品物", "查看例句")</f>
        <v/>
      </c>
    </row>
    <row r="3693">
      <c r="A3693" t="inlineStr">
        <is>
          <t>しなやか</t>
        </is>
      </c>
      <c r="B3693" t="inlineStr">
        <is>
          <t>成功</t>
        </is>
      </c>
      <c r="C3693" t="inlineStr">
        <is>
          <t>［形動］［文］［ナリ］
１弾力があってよくしなうさま。「—な足腰」「—な枝」
２動きやようすがなめらかで柔らかなさま。「—な身のこなし」「—な革」
３姿態などがなよなよして上品なさま。たおやかなさま。
「いと清げに—なる童(わらは)の、えならず装束(さうぞ)きたる」〈源・夢浮橋〉
[派生]しなやかさ［名］</t>
        </is>
      </c>
      <c r="D3693" t="inlineStr">
        <is>
          <t>しなやかな指(3%)；しなやかな体(3%)；しなやかな手(2%)；しなやかな身体(2%)；しなやかな肢体</t>
        </is>
      </c>
      <c r="E3693" t="inlineStr">
        <is>
          <t>優しい；上品；柔軟；優雅；雅</t>
        </is>
      </c>
      <c r="F3693" t="inlineStr">
        <is>
          <t>細いしなやか；長くしなやか；長いしなやか；白いしなやか；猫のようにしなやか</t>
        </is>
      </c>
      <c r="G3693" t="inlineStr">
        <is>
          <t>しなやかに歌って</t>
        </is>
      </c>
      <c r="H3693" t="n">
        <v>29</v>
      </c>
      <c r="I3693" t="inlineStr">
        <is>
          <t>しかし記録的には前述の通り優秀で、動きそのものはしなやかであった。；彼女はただしなやかな線とふくよかな香りと滑かな肉体とのみであった。；夢の中にも、腰に置いた手の、指から肩に至るしなやかさが眼についた。；流れるようなしなやかな動作で立ち上がった彼女の手にナイフが光っていた。；影が音もなくしなやかに暗い隅に退散すると同時に、翼が風を切った。；椅子やテーブルは素材の中で特徴的なしなやかさに形作られていた。；彼女はしなやかな身体をこちらに向けて、もっとよく光に当たろうとした。；それに、その眼とその口とを包んだ頬の曲線はしなやかにくずれていた。；ナイトクローラーの骨の構造はかなりのしなやかさをもたらしている。；鞭はとてもしなやかだったので、ひと打ちごとに宙でヒューッと鳴った。；彼の腕は彼女のしなやかな腰をかたく抱きしめ、彼女は身をすり寄せた。；私の頭部が大変に長くしなやかな頚部の先についているからだと。；また、ダルビッシュ有投手のようなしなやかな身体作りも目標としている。；まるで彗星の尾のように厚くて軽く、それにしなやかで光り輝いていた。；三人目の男はかれらの間にはさまれ、静かにしなやかに歩いてくる。；仙人がはだしで歩くと、露にぬれてしなやかな草は、音がしないのです。；彼の大胆な二本の腕が、不恰好に伸びて、しなやかな肉塊をしめつけた。；糸子は父が愛用していた安楽椅子の上に、静かにしなやかな体をなげた。；彼女の体には、生き生きした所とか、しなやかさというものがなかった。；娘のしなやかな肉体は、かれの腕の動きに応じて自由になった。；指環の緑の石が光っている彼の美しい手が、しなやかに紙の上を往き来する。；するとすぐに子供のしなやかな手足は硬直してねじまがった様子を見せた。；それに妙なことには好きな女の人には、みんなあいつのしなやかさか棲んでゐる。；そしてその髪を結ってやる手の運動が外の誰よりもしなやかで、優美である。；彼は、細くしなやかな杖で暗闇をさぐっている盲人のようなものだった。；長年の訓練により彼女は細身で非常にしなやかな肉体を獲得することができた。；無重力空間で身構えた姿勢から、しなやかな身体をまっすぐにのばした。；自分のからだのしなやかさと美しさを、崇拝にも似た感情で愛しているのであった。；けれどもその足は色の白いばかりか、しなやかに指を反らせている。</t>
        </is>
      </c>
      <c r="J3693">
        <f>HYPERLINK("https://www.weblio.jp/content/しなやか", "词义详情")</f>
        <v/>
      </c>
      <c r="K3693">
        <f>HYPERLINK("https://yourei.jp/しなやか", "查看例句")</f>
        <v/>
      </c>
    </row>
    <row r="3694">
      <c r="A3694" t="inlineStr">
        <is>
          <t>次男</t>
        </is>
      </c>
      <c r="B3694" t="inlineStr">
        <is>
          <t>成功</t>
        </is>
      </c>
      <c r="C3694" t="inlineStr">
        <is>
          <t>読み方：じなん
兄弟のうち2番目に生まれた男子。</t>
        </is>
      </c>
      <c r="D3694" t="inlineStr">
        <is>
          <t>次男坊(2%)；次男以下；次男三男；次男ジョン；次男フィリップ</t>
        </is>
      </c>
      <c r="E3694" t="inlineStr">
        <is>
          <t>次子；第二子；次男坊</t>
        </is>
      </c>
      <c r="F3694" t="inlineStr">
        <is>
          <t>次男秀康；次男保二；高見次男；長男次男；次男優</t>
        </is>
      </c>
      <c r="H3694" t="n">
        <v>29</v>
      </c>
      <c r="I3694" t="inlineStr">
        <is>
          <t>家康は返礼として次男・於義丸を秀吉の養子にするために大坂に送った。；長男と次男は財津が生まれる前に他界していたため、3人兄弟で育った。；次男は当時物心がついておらず、父親の記憶はほとんどないという。；男三人兄弟の長男で、俳優をやっている弟の三浦剛は次男にあたる。；父は工場を次男のに任せ、アルフレッドと両親はスウェーデンに帰国した。；英米で活躍した伝説的な日本人ダンサー・振付師である伊藤道郎の次男。；後継を次男の兼通と三男の兼家が争うが、結局兼通に関白が宣下される。；両者の間には4人の子供が生まれたが、長男と次男には先立たれた。；ベルリンの社長は長兄が承継し、ハンブルクの社長には次男が就任した。；ちなみに2022年時点では長男も次男も元夫同様に野球に関連した学生生活を送っている。；長男の元祐はすでに荘氏に養子入りしていたことから、次男の元親が跡を継いだ。；このため歴史上の有名人が長男や次男ではないことを示すキャンペーンも行われた。；基本的には五皇子の長男だが、『日本書紀』の一書では次男とされる。；ハインリヒ・ルイトポルトはこの二人の兄弟の間の次男であった。；六面の由来は、大自在天の次男だが六人の乳母に育てられたためといわれる。；ただし長男と次男は夭逝したため、事実上の長男扱いであった。；長男に陸延という人物がいたが若死し、陸遜の跡は次男の陸抗が継いだ。；次男・豊弥は養子、他の子供は弥太郎と妾との間に生まれた子供たちである。；アデアは伯爵の次男で、クラブで行われるカード賭博が好きだった。；藩内では支藩である高須藩主松平義建の次男・秀之助を望む者が多かった。；次男の栄次郎と三男の道三郎もそれぞれ水戸藩の馬廻役となっている。；さらに次男のアブドゥウラー・アフタフも父の亡くなった数週間後に亡くなった。；その跡を継いだのは永徳の長男・狩野光信と次男・狩野孝信である。；また次男の千宗守が養子先から出戻ってきて別に一家を起こし武者小路千家となった。；また、喜重郎・雅子夫妻の次男は野村財閥の野村元五郎の娘と結婚した。；嫡男・忠刻が寛永3年に早世していたため、家督は次男・政朝が継いだ。；父・秀太郎は河内国の名主の家の次男で、折口家の養子となり医を継いだ。；田中が事務所を通して離婚を発表し、長男と次男の親権は田中が持つこととなった。；次男の孫明は呉の富春郡を賜り、後の富春孫氏の祖となったと伝わる。</t>
        </is>
      </c>
      <c r="J3694">
        <f>HYPERLINK("https://www.weblio.jp/content/次男", "词义详情")</f>
        <v/>
      </c>
      <c r="K3694">
        <f>HYPERLINK("https://yourei.jp/次男", "查看例句")</f>
        <v/>
      </c>
    </row>
    <row r="3695">
      <c r="A3695" t="inlineStr">
        <is>
          <t>死ぬ</t>
        </is>
      </c>
      <c r="B3695" t="inlineStr">
        <is>
          <t>成功</t>
        </is>
      </c>
      <c r="C3695" t="inlineStr">
        <is>
          <t>読み方：しぬ
［動ナ五］［文］［ナ四・ナ変］《古くはナ行変格活用。室町時代ころからナ行四段活用が見られるようになり、江戸時代には二つの活用が並存。明治以降はナ行四段（五段）活用が一般的になったが、なお「死ぬる」「死ぬれ（ば）」などナ行変格活用が用いられることもある》
１命がなくなる。息が絶える。また、自ら命を断つ。「交通事故で—・ぬ」「世をはかなんで—・ぬ」「—・ぬか生きるかの大問題」「—・ぬほどの苦しみ」「—・んでも言えない」⇔生きる。
２そのもの本来の力や働きが果たされなかったり、うまく利用されなかったりする状態になる。活用されなくなる。「—・んだ金」
３そのものがもっている生命感や価値がなくなる。生き生きしたところが失われる。生気がなくなる。「陳列する場所を誤るとせっかくの絵も—・んでしまう」「目が—・んでいる」
４動きなどがなくなる。やむ。「風が—・ぬ」
５囲碁で、敵の石に囲まれて取られる。⇔生きる。
６野球で、アウトになる。「一塁で—・ぬ」⇔生きる。
[可能]しねる
[補説] 「死ぬ」の語尾は、完了の助動詞「ぬ」と同じなので、死んでしまうというのが原義。したがって平安時代までは助動詞「ぬ」は「死ぬ」に付くことがなかった。</t>
        </is>
      </c>
      <c r="D3695" t="inlineStr">
        <is>
          <t>死ぬだろ；死ぬべき；死ぬか生きる；死ぬんです；死ぬ死ぬ</t>
        </is>
      </c>
      <c r="E3695" t="inlineStr">
        <is>
          <t>死去；死亡；消える；死去する；亡くなる</t>
        </is>
      </c>
      <c r="F3695" t="inlineStr">
        <is>
          <t>どうせ死ぬ；生きるか死ぬ；たら死ぬ；もう死ぬ；まま死ぬ</t>
        </is>
      </c>
      <c r="G3695" t="inlineStr">
        <is>
          <t>死ぬかと思った；死ぬ瞬間；死ぬ権利；死ぬのは奴らだ；死ぬほど好き</t>
        </is>
      </c>
      <c r="H3695" t="n">
        <v>29</v>
      </c>
      <c r="I3695" t="inlineStr">
        <is>
          <t>もう一人の自分自身であるためどちらが死んでもどちらも死んでしまう。；動いているものに反応するので、死んだものや動かないものは食べない。；その時に、舌を出していたので舌を噛んで死んだように見えたのだろう。；女の子はマンジと名付けられたが、しばらくして病気で死んでしまった。；実際に長い進化の時間の中で生きたり死んだりするのは個体である。；その時私は初めて、本当にこのスポーツで死ぬ事があるのだと思いました。；この戦争が終わるまでにあと何人が死ななければいけないのだろうか?；しかしダウマーは彼に死ぬまで神の概念を理解させることはできなかった。；いかなる方法を用いても死ぬことがないことからアンデッドと命名された。；それを聞いた母親は「人が死ぬのを望むのは悪いことだ」とたしなめる。；すると森の方から兎が飛んできて切り株に首をぶつけて死んでしまった。；実際にスーツを試着したときも、呼吸ができず死ぬ思いであったという。；また、群れの仲間が死んだ場合に葬式ともとれる行動をとることがある。；二人目の子供を死なせた責任が自分にある竜三に断ることは出来なかった。；私は彼女のかすんだ目を見て、彼女が死に瀕している事を実感しました。；乗組員達は最後の生存者が死ぬまで油は漏れ続けるだろうと語っている。；私たち印度人は長い期間埋葬されても決して死なない霊力があるのです。；どうやら父の世界では母は死に、母の世界では父は死んでいるらしかった。；彼等の多くは3ヶ月の行程の間に死に、他の者も到着後間もなく死んだ。；俺は死にたくないから、誰か代わりに行って死んでくれ、とは言えん。；子供心に百合は自分の父を死なせた男に一度は会ってみたいと思っていたのだ。；命あるものは必ず死に、出会った者は必ず別れることになるという意味。；今息子に死なれては財産なんぞあつてもなくても同じことだと思つた。；そのほかの馬の死ぬシーンや馬舎の放火シーンでも実際に馬を殺した。；このまま死なせてしまっては、わしの目的を果たすことが出来ないからだ。；そのようにお前たちは死に、お前たちの子供たちがその地位を占めるだろう。；医師たちは今夜は持たないだろうと告げたが、大統領は死ななかった。；現在私がかうして今死なうとしてゐてさへ誰も憎らしい人はないのです。；それで幼王はベッドに、死んだ子供を置かせ、自分は物陰に隠れていた。</t>
        </is>
      </c>
      <c r="J3695">
        <f>HYPERLINK("https://www.weblio.jp/content/死ぬ", "词义详情")</f>
        <v/>
      </c>
      <c r="K3695">
        <f>HYPERLINK("https://yourei.jp/死ぬ", "查看例句")</f>
        <v/>
      </c>
    </row>
    <row r="3696">
      <c r="A3696" t="inlineStr">
        <is>
          <t>地主</t>
        </is>
      </c>
      <c r="B3696" t="inlineStr">
        <is>
          <t>成功</t>
        </is>
      </c>
      <c r="C3696" t="inlineStr">
        <is>
          <t>読み方：じしゅ
１土地の持ち主。じぬし。
２その土地の守り神。地主の神。</t>
        </is>
      </c>
      <c r="D3696" t="inlineStr">
        <is>
          <t>地主たち(3%)；地主階級(2%)；地主層；地主さん；地主屋敷</t>
        </is>
      </c>
      <c r="F3696" t="inlineStr">
        <is>
          <t>裕福な地主；女地主；山林地主；旧地主；富裕な地主</t>
        </is>
      </c>
      <c r="G3696" t="inlineStr">
        <is>
          <t>地主貴族；地主制；地主神社；地主権現；地主の神</t>
        </is>
      </c>
      <c r="H3696" t="n">
        <v>29</v>
      </c>
      <c r="I3696" t="inlineStr">
        <is>
          <t>しかし地主が多く所属する保守党内の反対勢力から激しい反発を受けた。；地主達は、長年に渡って戦争などが無く平和であることを理由に抵抗した。；いまでも駅前の土地の多くは旧村地区の地主が所有しているとされる。；しかし地主が多く所属する保守党内の抵抗勢力から激しい抵抗を受けた。；ただ保守党内の地主層への配慮から沈黙せざるをえない状況が続いていた。；ただし、地主と小作人の経済的な対立が宗教対立に変化することはあった。；彼は子どもに食べさせるものもなく地主に食べ物を求めにきたのだ。；そして残念ながら地主と小作人の関係は変則的な強制関係が存在します。；彼はガリツィア州地主協会に所属し、1875年にはその会長となった。；鶴岡市史によると、残りの474円57銭は他の地主が負担したという。；慈善事業家の地主かつ実業家でもあったによって1840年に開かれた。；父親は地主で地元では毎週集会を開く政治的な活動で知られていた。；しかしその容姿は有力な地主のマーク卿から目をつけられていた。；鈴木家は農家であったが、家族の他に下人が3人いる自作地主であった。；当時の地主の手によって墳丘上には古墳の主を祭る祠が建てられていた。；軽罪とされたものには、農民が地主などに対して抗議することなどがある。；権力のある地主らが大勢を占めていた貴族院はこの予算案を否決した。；地主はいくらその土地の価値が低くても、ただで貸すことはしない。；呂赫若は地主の家庭に生まれ、西洋近代教育を受けその思想の影響を受けた。；地主層や教会を中心とした絶対王政派の多くは、この新憲法に不満であった。；代わりに台頭してきたのが中小の地主層を中心とした階級である。；ディズレーリ予算案との最大の違いは地主に大きな負担を強いたことである。；盧啓一は村の小地主で船関係の商売もしていたため、家は裕福な方であった。；地主も農作を諦めて土地を貸すなどした者もいて、洪水にも悩まされた。；この地主は全国に数十人おり、彼らの家族が国土の半分以上の土地を所有している。；無邪気で素直な子供達に心を動かされた地主はポニーの家の存続を決めた。；測量で隣接する地主が境界線を配置する場所を決定する必要がある。；しかしこの問題は地主の多い保守党内では慎重に扱わねばならない問題であった。；特記すべきなのは全ての地主が政治に関心を有していた訳ではないということである。</t>
        </is>
      </c>
      <c r="J3696">
        <f>HYPERLINK("https://www.weblio.jp/content/地主", "词义详情")</f>
        <v/>
      </c>
      <c r="K3696">
        <f>HYPERLINK("https://yourei.jp/地主", "查看例句")</f>
        <v/>
      </c>
    </row>
    <row r="3697">
      <c r="A3697" t="inlineStr">
        <is>
          <t>凌ぐ</t>
        </is>
      </c>
      <c r="B3697" t="inlineStr">
        <is>
          <t>成功</t>
        </is>
      </c>
      <c r="C3697" t="inlineStr">
        <is>
          <t>読み方：しのぐ
［動ガ五（四）］
１押し分けて前に進む。乗り越えて進む。「波濤(はとう)を—・いで行く」
２困難や苦境などにじっと堪えて、なんとか切り抜ける。辛抱して乗り越える。また、防いで、堪え忍ぶ。「飢えを—・ぐ」「ピンチを—・ぐ」「風雨を—・ぐ」「日本の夏は—・ぎにくい」
３人を侮る。
「何処(どこ)までも人を—・いだ仕打な薬売は」〈鏡花・高野聖〉
４能力・程度などが他のものを追い抜いて上に出る。他よりまさる。「壮者を—・ぐ元気」「前作を—・ぐ傑作」「山頂雲を—・ぐ」
５押し伏せる。おおいかぶさる。
「高山の菅の葉—・ぎ降る雪の消ぬとか言はも恋の繁けく」〈万・一六五五〉
[可能]しのげる</t>
        </is>
      </c>
      <c r="D3697" t="inlineStr">
        <is>
          <t>凌ぐほど(7%)；凌ぐ可能性</t>
        </is>
      </c>
      <c r="E3697" t="inlineStr">
        <is>
          <t>超える；光る；生存；越える；上回る</t>
        </is>
      </c>
      <c r="F3697" t="inlineStr">
        <is>
          <t>大きく凌ぐ</t>
        </is>
      </c>
      <c r="H3697" t="n">
        <v>29</v>
      </c>
      <c r="I3697" t="inlineStr">
        <is>
          <t>純粋な人気では事実上の親ブランドディーオーをも凌ぐと言われている。；さっき僕がそうしていたように、水でも飲んで飢えを凌ぐしかないのだ。；これは皆様の聞かれた三つのものを凌ぐ、更に興味あるものであります。；けれどやはり私はわが吾妻川の山女魚の味を凌ぐものではないと思った。；日本での人気はアメリカを凌ぐものがあり、多様な商品が発売された。；とりもなおさず、その点では世界のどの民族をも凌ぐということである。；香澄と泉美が交互に防御魔法を発動することで何とか凌いでいる状態だ。；これは菊水一組も同様だったが、幽の能力はその子分たちを凌いでいた。；このドームの中にさえいれば、一日くらいは無事に凌ぐことができる。；第二の用途はこれで雨も凌ぐが、同時に荷物を背負う目的から出来る。；古材なので見ばえはよくなかったが、一家が風雨を凌ぐには十分だった。；この際、ヒューの部下達は篭城戦を展開し、数ヶ月間攻撃を耐え凌いだ。；それよりもこの波を凌いで大海を渡るには千噸の船を造らねばならん。；その反面、アクバルは皇帝を凌ぐほどの権力を持つ彼を内心恐れていた。；その細工の美しさは、アボットがこれまでに見たなにものをも凌いでいた。；益田さんは、八十何歳にして今日なお壮者を凌ぐ健康を保持している。；一個のインスタントラーメンを三つに割って一日を凌いだ経験もある。；しかし以後も官職を進め、地位と名声において族父を凌ぐようになった。；暑さを凌ぐためには、喉に空気を頻繁に入れることで体温調整をする。；一本の傘の下に二人の人が、雨を凌いでやって来るのは同じこと。；たくさんな災禍をやっと凌いで、二十年目に故郷の土地に帰ってきたのだ。；欵冬は早春に雪がまだ残っているうちに早くもその氷雪を凌いで花が出る。；真冬であったが、彼らの心に吹いた隙間風は本物のそれを遥かに凌いだ。；貧困にして纏うに衣なく寒を凌がんとして走るものに非ざるが故なり。；けれども雨を凌いでここまで来た彼には、まだ商量の隙間があった。；一斉に打ちかかってきた玄武組那智黒を、俺と三好兄弟が前線で凌いだ。；人類の歴史から見れば瞬く間に、人間族は他の種族を凌ぐ大勢力に成長した。；どういう技を掛けようとしても、治五郎がそれを凌いでしまうのである。；古代の王母は摂政時代に国王を凌ぐ影響力を持つ者が多く存在した。</t>
        </is>
      </c>
      <c r="J3697">
        <f>HYPERLINK("https://www.weblio.jp/content/凌ぐ", "词义详情")</f>
        <v/>
      </c>
      <c r="K3697">
        <f>HYPERLINK("https://yourei.jp/凌ぐ", "查看例句")</f>
        <v/>
      </c>
    </row>
    <row r="3698">
      <c r="A3698" t="inlineStr">
        <is>
          <t>偲ぶ</t>
        </is>
      </c>
      <c r="B3698" t="inlineStr">
        <is>
          <t>成功</t>
        </is>
      </c>
      <c r="C3698" t="inlineStr">
        <is>
          <t>読み方：しぬぶ
［動バ四］
１《「しの（偲）ぶ」の音変化。上代は「しぬふ」》「しの（偲）ぶ1」に同じ。
「瓜食(は)めば子ども思ほゆ栗食めばまして—・はゆ」〈万・八〇二〉
２《江戸時代に万葉仮名の「の」の読みを「ぬ」と誤読してできた語》「しの（偲）ぶ」に同じ。</t>
        </is>
      </c>
      <c r="D3698" t="inlineStr">
        <is>
          <t>偲ぶよす(5%)；偲ぶ記念碑；偲ぶべき；偲ぶ会</t>
        </is>
      </c>
      <c r="E3698" t="inlineStr">
        <is>
          <t>思う；思い出す；覚えている；回想；覚える</t>
        </is>
      </c>
      <c r="H3698" t="n">
        <v>29</v>
      </c>
      <c r="I3698" t="inlineStr">
        <is>
          <t>戦争で亡くなった人々を偲んで戦争記念碑がフランス各地に建立された。；旧い女、すでにこの世から消滅した女との過去を偲ぶためではなかった。；現在そこは記念碑が建てられ犠牲者を偲ぶ強制収容所墓地になっている。；箱に入ったままのマフラーは、今も私の家でひっそりと主を偲んでいる。；故人を偲ぶよすがにと思って、寛先生の父宛のお手紙を持って行ったの。；なるほど、よい形で、さすがに手練の程も偲ばれないことはありません。；食堂の内装もな、少しでも故郷を偲ぶよすがにと奥村は思ったんやろな。；残された者は夜を迎えるごとに、我らのことを偲んでくれるであろう。；そのことからも江戸時代には非常に重宝されていた様子が偲ばれる。；充分に細くなった川にも工事の手が入って古代を偲ぶのはむつかしい。；彼の訃報を聞いた兗州の多くの人々は涙を流して、彼を偲んだという。；惻々たるその音声にも男の真情が偲ばれてなかなか憐れ深いのであった。；寂しさのあまり、こうして一人昔のことを偲んでいたのであろうか。；青年の優美な姿は、上皇に息子の母、故建春門院のありし日を偲ばせた。；一方で戻れなくなった故郷を偲ぶ場として作られたのがこの望郷台である。；別に、卒業してしまった聖さまを偲んで感傷的になりにきたわけではない。；多くの文字は崩れ波状であり、全体的な効果としては筆記体を偲ばせる。；どれもこれも、かつて神童と呼ばれた男を偲ばせるものは何もない。；これらの犠牲者を偲んで1989年に修道院教会の裏に記念碑が建立された。；また、1927年に彼の業績を偲んで現地に鎮魂碑が建てられたている。；かつて、この店がどれだけ繁盛したのか、そのレイアウトから偲ばれる。；清盛を偲んで行われていた念仏踊りが祭りの起こりと言われている。；観賞魚売り場は他の売り場より天井高が高くなっており往時を偲ばせる。；それを偲んでまで、軍人さんだからつて、優遇する必要はないと思ふ。；豪華なマンションと夜景を失った今、あの時代を偲ばせる物を失った。；ロンドンのケンジントンに両親を偲んで建てたに埋葬されている。；その敷地は拡張された駅施設の下になっており、当時を偲ばせるものは全く残っていない。；遠くを見てお江戸を偲んで後ろを振り返らなくてはいけません。；旧路線沿いに残された鉄道用の築堤、橋、旧駅舎がかつての鉄道を偲ばせる。</t>
        </is>
      </c>
      <c r="J3698">
        <f>HYPERLINK("https://www.weblio.jp/content/偲ぶ", "词义详情")</f>
        <v/>
      </c>
      <c r="K3698">
        <f>HYPERLINK("https://yourei.jp/偲ぶ", "查看例句")</f>
        <v/>
      </c>
    </row>
    <row r="3699">
      <c r="A3699" t="inlineStr">
        <is>
          <t>忍ぶ</t>
        </is>
      </c>
      <c r="B3699" t="inlineStr">
        <is>
          <t>成功</t>
        </is>
      </c>
      <c r="C3699" t="inlineStr">
        <is>
          <t>読み方：しのぶ
《上代は上二段活用。平安時代になって「偲(しの)ぶ」と混同し、四段にも活用》
［動バ五（四）］
１つらいことをがまんする。じっとこらえる。耐える。「恥を—・んで申し上げます」「不便を—・ぶ」
２自分の存在や行いを、人に気付かれないようにする。外から見えないようにして身を置く。隠れる。「人目を—・んで通う」「—・ぶ恋」「世を—・ぶ」「物陰に—・ぶ」
[可能]しのべる
［動バ上二］
１（現代語に残存したものとして、ふつう「…にしのびず」「…にしのびない」など打消しの語を伴った形で用いる）救ってやりたい、捨てるに惜しい、といった気持ちを現したいのを押さえる。こらえる。「正視するに—・びず」「たっての願いを断るのは—・びないが」→しのびない
２1に同じ。
「人目多み目こそ—・ぶれすくなくも心のうちにわが思はなくに」〈万・二九一一〉
３2に同じ。
「惟光の朝臣、例の—・ぶる道はいつとなくいろひつかうまつる人なれば」〈源・松風〉</t>
        </is>
      </c>
      <c r="D3699" t="inlineStr">
        <is>
          <t>忍ぶべから(4%)；忍ぶべき；忍ぶべし；忍ぶ可からざる；忍ぶべく</t>
        </is>
      </c>
      <c r="E3699" t="inlineStr">
        <is>
          <t>辛抱；耐える；立ち向かう；凌ぐ；辛棒</t>
        </is>
      </c>
      <c r="F3699" t="inlineStr">
        <is>
          <t>到底忍ぶ</t>
        </is>
      </c>
      <c r="G3699" t="inlineStr">
        <is>
          <t>忍ぶ恋路；忍ぶの惣太；忍ぶ雨；忍ぶ糸</t>
        </is>
      </c>
      <c r="H3699" t="n">
        <v>29</v>
      </c>
      <c r="I3699" t="inlineStr">
        <is>
          <t>なんだって自分の家の中を歩くのにあのように足音を忍ばせるのだろう。；僕は忍ばねばならぬことは之を忍び、避けねばならぬことは之を避けた。；わたしの部屋に女が忍んで来ていることがアパート中にわかってしまった。；女性は忍んで彼女の肉体を男性に提供することを余儀なくされたのだ。；それでも叔父の胸の奥には言い知れない不安が忍んでいるのであった。；その秘密を保つ為にはどんな犠牲も忍ばねばならぬと覚悟を極めていた。；後年三河武士と称された家臣達は何事をも忍んで機の至るを待って居た。；足音を忍ばせて下ってゆくと、すぐに大きな人影が月明りの中に見えた。；田舎のお城に忍んで行って、ひそかにおなかを小さくするだけの事です。；小田原に忍ばせてある諸国御使者衆からの情報が勝頼のところに入った。；それから僕は部屋に戻って、しばらく腹をよじり声を忍んで笑いました。；人々が足音を忍ばせて歩きまわり、木のテーブルには本が山になっている。；「おまえは今頃なんでこんな所に忍んでいたのだ」 お冬は黙っていた。；そして足音を忍んで、小鳥の籠の置き並べられた箱の傍へ寄つて行つた。；そして、彼はクロッスと二人で、足を忍ばせてその動物の方へと進んだ。；じいやの小屋へも来るのですが、奥の方へもたびたび忍んで行くのです。；人目を忍ぶことであれば、音を立てないように気配りをして庭を歩いた。；胸のあたりが、ふくらんでいるのは、拳銃を忍ばせているからだろうか。；君は有名な火薬なんだから、侮辱を忍ぶことはできなかったでしょうよ。；彼女は足音を忍ばせてドアの前に行き、思い切って覗き穴から外を見る。；おれはこれ以上長居をしてはならぬと思い、足音を忍ばせて縁の下を出た。；私は這入ってゆくにも足音を忍ばせて、こんちはも言わないで壁にゆく。；そっと女の頭の下から腕を抜くと玄関のほうまで足音を忍ばせて行って見た。；けれどもそれを忍んで俳句などを認めるところに淋しい満足があります。；それなら、夫も人眼を忍んであのマンションに密会しにきたことになる。；ビルの後ろには子供がいて、斥候のように足音を忍ばせながらついてきた。；まるで何か悪いことをして、世を忍んでいる日陰者のような驚きかただ!；それでも足音を忍ばせてそっと表戸へ近寄ると潜戸の閂へ両手を掛けた。；蒼は玄関から外に出ることはしないで、足音を忍ばせて食堂に入った。</t>
        </is>
      </c>
      <c r="J3699">
        <f>HYPERLINK("https://www.weblio.jp/content/忍ぶ", "词义详情")</f>
        <v/>
      </c>
      <c r="K3699">
        <f>HYPERLINK("https://yourei.jp/忍ぶ", "查看例句")</f>
        <v/>
      </c>
    </row>
    <row r="3700">
      <c r="A3700" t="inlineStr">
        <is>
          <t>芝</t>
        </is>
      </c>
      <c r="B3700" t="inlineStr">
        <is>
          <t>成功</t>
        </is>
      </c>
      <c r="C3700" t="inlineStr">
        <is>
          <t>読み方：し
［常用漢字］　［音］シ（呉）（漢）　［訓］しば
〈シ〉キノコの一種。マンネンタケ。めでたいしるしとされた。「桂芝(けいし)・霊芝」
〈しば〉イネ科の草の名。「芝居・芝草・芝生(しばふ)」</t>
        </is>
      </c>
      <c r="D3700" t="inlineStr">
        <is>
          <t>芝区(2%)；芝川；芝刈り；芝罘；芝レース</t>
        </is>
      </c>
      <c r="E3700" t="inlineStr">
        <is>
          <t>芝生；芝草；芝地；ターフ</t>
        </is>
      </c>
      <c r="F3700" t="inlineStr">
        <is>
          <t>港区芝；東京市芝；東京芝；最優秀芝；江戸芝</t>
        </is>
      </c>
      <c r="G3700" t="inlineStr">
        <is>
          <t>芝生；芝居小屋；芝村；芝浦；芝山</t>
        </is>
      </c>
      <c r="H3700" t="n">
        <v>29</v>
      </c>
      <c r="I3700" t="inlineStr">
        <is>
          <t>アメリカのメジャーリーグの野球場で使用されている芝と同じ種である。；かつて1コーナーに存在した芝1400mのポケットがあるのがわかる。；それに初めての芝を気にしたのか、直線で追ってもあんまり延びない。；フェアウェイ同様、芝は常になめらかな状態にしていなければならない。；このあとは芝のレースを3戦使われるも勝ちきれないレースが続く。；日本には神戸と横浜の外国人クラブにしか芝のグラウンドは無かった。；芝競走は何度か繰り返した通りにダートより格が落ちるとみなされている。；芝の継ぎ目に当たれば大怪我することになるし、足への負担が大きい。；そのほか支藩の長府藩と清末藩は芝の泉岳寺を江戸の菩提寺としていた。；なだらかな山腹が芝に覆われており、奈良を代表する景観の一つである。；芝やダート、重馬場などあらゆる馬場で力を発揮できる点が最大の特徴。；この後、東京市芝区城山町にあった次兄の家に転居し卒業後まで過ごす。；ウィンブルドンでは優勝した際に芝を食べるのが恒例となっている。；日本テレビ盃を回避した後、芝に戻ったオールカマーでは8着に敗れた。；以降は芝とダートのレースを2、3戦ごとに交互に出走することとなる。；この際、球場内の芝が光を遮られたことで枯れてしまう問題が起きた。；開催場の翌日の天気予報や芝・ダートの状態についても説明している。；世界的に芝のコートが少なく練習もできないので、実戦の経験が重要となる。；この新直線コースは芝が定着した1960年9月11日まで使用されなかった。；砂漠気候であるため、芝の育成には特別な技術が用いられている。；創設時は芝3800mで行われたが、翌年より芝3900mに延長された。；除隊後芝楽が引退していたがどこの一門にも属さず三八の名のままで活動した。；駅が所在する北区のほか、芝川を挟んだ見沼区の住民の利用も多い。；日本芝は夏型芝のみであるが、西洋芝は夏型と冬型の両方の種類がある。；ここまで3戦の条件は、いずれも東京競馬場芝1800メートルだった。；この頃ドイツの街もまだ戦禍が生々しかったが、あちこちに見事な芝があった。；しかし秋になると開催できなくなり、同年の秋季の芝競走はすべて中止となってしまった。；グリーンは芝目の強い高麗芝であるため、パットの難易度も非常に高い。；施行場・距離は創設時より、中山競馬場の芝1800mで定着している。</t>
        </is>
      </c>
      <c r="J3700">
        <f>HYPERLINK("https://www.weblio.jp/content/芝", "词义详情")</f>
        <v/>
      </c>
      <c r="K3700">
        <f>HYPERLINK("https://yourei.jp/芝", "查看例句")</f>
        <v/>
      </c>
    </row>
    <row r="3701">
      <c r="A3701" t="inlineStr">
        <is>
          <t>支配</t>
        </is>
      </c>
      <c r="B3701" t="inlineStr">
        <is>
          <t>成功</t>
        </is>
      </c>
      <c r="C3701" t="inlineStr">
        <is>
          <t>読み方：しはい
［名］(スル)
１ある地域や組織に勢力・権力を及ぼして、自分の意のままに動かせる状態に置くこと。「異民族の—から脱する」「諸国を—する」
２ある要因が人や物事に影響を及ぼして、その考えや行動を束縛すること。「先入観に—される」「物体は引力に—されている」
３仕事を配分したり、監督・指揮したりして、部下に仕事をさせること。
「宇治の大臣(おとど)、成佐が弟子どもに—して、一日に三尺の地蔵菩薩の像を図絵し」〈著聞集・一三〉</t>
        </is>
      </c>
      <c r="D3701" t="inlineStr">
        <is>
          <t>支配する(17%)；支配的(5%)；支配地域；支配力；支配される</t>
        </is>
      </c>
      <c r="E3701" t="inlineStr">
        <is>
          <t>管理；左右；操作；占領；制御</t>
        </is>
      </c>
      <c r="F3701" t="inlineStr">
        <is>
          <t>被支配；領国支配；支配欲；直接支配；支配域</t>
        </is>
      </c>
      <c r="G3701" t="inlineStr">
        <is>
          <t>支配人；支配権；支配下；支配階級；支配体制</t>
        </is>
      </c>
      <c r="H3701" t="n">
        <v>29</v>
      </c>
      <c r="I3701" t="inlineStr">
        <is>
          <t>神の命令がこの宇宙において最後の結果を支配していると信じている。；イギリス領ソマリランドの時代には、英語が学校や政府で支配的だった。；古い時代の刑法では結果的責任及び団体的責任の観念が支配的であった。；ゼウスは全宇宙の支配を護る為に防衛戦を展開しなければならなかった。；またターリンバーンが郡の中心都市を支配しているのは39郡だと言う。；これは南アメリカ諸国のスペイン支配からの解放が始まったことを意味した。；イスラム王朝とは、ムスリムの皇帝や国王が支配する国家の総称である。；仏教信仰に熱心だった西夏支配の敦煌では最後の繁栄の時代を迎えていた。；中国の伝説で最初に中国を支配したのは、三皇であるとされている。；これを機に信長は今川氏の支配から独立した徳川家康と手を結ぶことになる。；ただしその後もスウェーデン、ロシア帝国と外国勢力に支配されてきた。；磁力を支配する場の起源と振る舞いはマクスウェル方程式で記述される。；彼は経済基盤を健全化し、それを実現するために専制的な支配を強めた。；百姓身分の農民を武士身分の役人が支配する郷村制度が確立した。；あるとき、この近隣の地域を支配していたジェモメスゥ公が狩に出かけた。；秀吉も中世的支配体系・支配勢力の排除・抑制に努め、中世をおわらせた。；政府は国家において安定的な支配を維持するための体制である。；そのため次第に外藩部では清朝の支配を受け入れていた要因自体が薄れていった。；このとき、中央から派遣した役人が全国の各地方を支配する郡県制が施行された。；一つの政治体制が放棄されたときには支配-服従関係の変化とも捉えられる。；直轄領の安土を拠点に畿内を中心に東海地方・北陸地方などを支配した。；Earlのみが、強力な支配権を有する大Baronの持つ称号であった。；サーサーン朝の支配地だったイランなどではゾロアスター教が主流だった。；また、信玄期に確立した大名権力により独自の領国支配が展開された。；勝頼の時代になってから領域が拡大せず領国支配が強化された。；多神教であったが、時代の支配民族によって、最高神は変わっていった。；やがてゲール人の伝統が拡大し、時を経て支配的な形となった。；そして爬虫類は、その前にいた両生類に代わり世界を支配し始めた。；江戸時代には幕府のほか、彦根藩も独自の船支配をおこなっていた。</t>
        </is>
      </c>
      <c r="J3701">
        <f>HYPERLINK("https://www.weblio.jp/content/支配", "词义详情")</f>
        <v/>
      </c>
      <c r="K3701">
        <f>HYPERLINK("https://yourei.jp/支配", "查看例句")</f>
        <v/>
      </c>
    </row>
    <row r="3702">
      <c r="A3702" t="inlineStr">
        <is>
          <t>芝居</t>
        </is>
      </c>
      <c r="B3702" t="inlineStr">
        <is>
          <t>成功</t>
        </is>
      </c>
      <c r="C3702" t="inlineStr">
        <is>
          <t>読み方：しばい
１《5などに由来》歌舞伎などの興行物。しばや。「—好き」「—通」
２役者などが演技をすること。また、その演技。「いい—をする」
３計画的に人をだますためのこしらえごと。狂言。「ひと—打つ」
４芝生に席を設けて座ること。また、芝生。
「搦手(からめて)は—の長酒盛(さかもり)にてさてやみぬ」〈太平記・九〉
５勧進の猿楽・曲舞(くせまい)・田楽などで、舞台と桟敷との間の芝生に設けた庶民の見物席。〈日葡〉
６歌舞伎など有料の興行物の見物席。特に桟敷に対して、大衆の見物席をいう。
「舞の—で同じ莚(むしろ)に居たる人」〈浮・織留・四〉
[下接語]操り芝居・田舎芝居・大芝居・御伽(おとぎ)芝居・戯(おど)け芝居・女芝居・陰芝居・歌舞伎芝居・紙芝居・絡繰(からく)り芝居・草芝居・首掛け芝居・小(こ)芝居・子供芝居・薦(こも)張り芝居・猿芝居・地(じ)芝居・書生芝居・素人芝居・壮士芝居・旅芝居・辻(つじ)芝居・道化芝居・緞帳(どんちょう)芝居・人形芝居・初芝居・一人芝居・宮芝居・村芝居</t>
        </is>
      </c>
      <c r="D3702" t="inlineStr">
        <is>
          <t>芝居見物；芝居好き；芝居じみ；芝居噺；芝居がかり</t>
        </is>
      </c>
      <c r="E3702" t="inlineStr">
        <is>
          <t>作品；本；制作；作；演奏</t>
        </is>
      </c>
      <c r="F3702" t="inlineStr">
        <is>
          <t>道化芝居；素人芝居；歌舞妓芝居；子供芝居；歌舞伎芝居</t>
        </is>
      </c>
      <c r="G3702" t="inlineStr">
        <is>
          <t>芝居気；芝居茶屋；芝居町；芝居絵；芝居もん</t>
        </is>
      </c>
      <c r="H3702" t="n">
        <v>29</v>
      </c>
      <c r="I3702" t="inlineStr">
        <is>
          <t>それまで歌だけのステージに芝居を加える舞台公演の第一号であった。；当初、京都の和泉式部境内の芝居に出ていた人気者の子役だったという。；採用の場合はその人物の小芝居をオープニングタイトルコールの前に行う。；さらに数々の翻訳・翻案作品が発表されたほか、芝居や映画も製作された。；この時は、本番で緊張するばかりで芝居を楽しむ余裕はなかったという。；このためしばらくは赤穂事件を扱った芝居は上演記録は残っていない。；劇団に所属はしていないが芝居好きなため、舞台には積極的に立っている。；高校時代に演劇を勉強していたことなどから、芝居や映画などに関心が高い。；お前、もういっぺん屁出るか、よし出たとてあんないい芝居出来へんて!；本来は芝居などで自分が脚本を書いた作品に出演すること。；ニーナは芝居を続けなくてよくなったらしいことを確認すると一同の前に現れる。；父親は既に他界しているが、芝居好きで自身の舞台をよく見に来てくれていた。；映画と一緒に旅回りの芝居をしていたが、覚えていなかったという。；その内容は絵の動きとセリフ、芝居の意図を説明する補足などが書かれる。；実際勉強になったし、しっかりした芝居ができる役者を目指したかったので。；ひとり芝居や、三遊亭円窓に落語を学び高座に上がるなどの経験も持つ。；その各自の台詞書を集めて、一つの芝居を仕組むのが緯の役であります。；父は芝居に厳しくセリフを覚えられないと学校に行かせてもらえなかった。；その時王は動揺し、芝居を止めよと命じ、芝居の幕はすぐに降ろされる。；ディケンズは芝居好きであったが、このころ俳優になろうとしたこともあった。；なお挑戦はガチンコで行われており、失敗も芝居ではなく本気で失敗している。；芝居に夢中になり過ぎたせいで、ろくに授業にも出ずに何年も居座り続けた。；やがて芝居そのものが楽しくなってしまい、大学をやめて演劇の道を志す。；小さい時から父の芝居を観に行かせてもらっていた。；山本有三さんの『盲目の弟』という芝居を弟と演じたことがありました。；芝居が終わった後は、出演者を囲んでの簡単な立食パーティが行われた。；味のある芝居であらゆるジャンルの作品でも存在感を発揮する。；この悲劇的な事件は現在でも定期的に芝居の題材に取り上げられる。；幼い頃から芝居に興味を持ち荷物持ち・付き人を経て人形浄瑠璃の世界に入る。</t>
        </is>
      </c>
      <c r="J3702">
        <f>HYPERLINK("https://www.weblio.jp/content/芝居", "词义详情")</f>
        <v/>
      </c>
      <c r="K3702">
        <f>HYPERLINK("https://yourei.jp/芝居", "查看例句")</f>
        <v/>
      </c>
    </row>
    <row r="3703">
      <c r="A3703" t="inlineStr">
        <is>
          <t>しばし</t>
        </is>
      </c>
      <c r="B3703" t="inlineStr">
        <is>
          <t>成功</t>
        </is>
      </c>
      <c r="C3703" t="inlineStr">
        <is>
          <t>読み方：しばし
［副］《「しまし」の音変化》少しの間継続するさま。しばらく。「歓声は—続いた」「—の別れ」「待て—」</t>
        </is>
      </c>
      <c r="D3703" t="inlineStr">
        <is>
          <t>しばし呆然と；しばし忘れ；しばし見つめ；しばし見とれ；しばしばか</t>
        </is>
      </c>
      <c r="F3703" t="inlineStr">
        <is>
          <t>待つことしばし；待てしばし；ほんのしばし；しばし考え込む；しばし見惚れ</t>
        </is>
      </c>
      <c r="H3703" t="n">
        <v>29</v>
      </c>
      <c r="I3703" t="inlineStr">
        <is>
          <t>ポルガラはしばし彼女を見つめていたかと思うと、いきなり笑いだした。；また彼らの言葉のはしばしから、すばしこくその心を読むことに努めた。；いましばしの別れとなって、はじめて感じが出てきたような気がする。；昼食の時間が近づいてくると、こうした嵐の中にもしばしの凪があった。；それが現われたときには、彼女はしばしの間救われたように幸福を感じた。；私はこれをきいてアッと驚き、しばしは二の句のつげない状態であった。；ペリトリ王子はしばしホールに立ちつくし、どうしようかと決めかねた。；両手を握りあったまま、二人の娘の間に奇妙な沈黙がしばし流れた。；と、ちょっと思い出せないような顔して、秀吉はしばし見まもっていた。；世間はしばし中将の行くえを失いて、浪子ひとりその父を占めけるなり。；またこうした階級に基づく称号などはしばし省略されることもある。；私はそこに現われた集中と純一と全存在的な活動とのゆえにしばし恍惚とした。；ロボットは姿を消し、次の戦闘が始まるまでしばしの日常に戻る。；青空を見るたび、しばし胸の苦痛を忘れて、昔の夢を見るのが習となった。；トリガーセンはしばし一人になっても、くだらないことはしないだろう。；彼らはドイツ人の言葉と習慣を身につけ、しばし名前や姓をドイツ化した。；わたしはしばしなりと敵を克服し得たとき、これらすべてを愛するものだ。；畏敬の沈黙をしばし続けた後、やっとのことでスコットが声を発した。；国王をはじめとする4人の子供が棺の横に立ち、女王の棺をしばし守った。；このような状態は、レスリングやブラジリアン柔術にもしばし見られる。；しばし黙っていたが、突然、歯で噛み刻むようにくつくつと笑い出した。；しばし青年の心をゆすぶった激情は、深い放心状態に席をゆずっていた。；プーランクは第二次世界大戦中もしばしの期間を従軍して過ごしている。；漂い流れてしばし茨の上に身を置く風船玉か、それとも鳥か何かのように。；おせい様のまわりには、しばし春の風が吹いている感じがするのだ。；胸をかきむしられる思いだが、わたしはしばしトスと別れねばならぬ。；一人は石に、一人は木の切株に腰かけて、しばし休んでいる体なのである。；そのまましばし観察していると、ちょっと離れた場所で草の頭が動くのを看破した。；しばし、わたしは石のように立ったまま、死んだ目でそいつをにらみつけた。</t>
        </is>
      </c>
      <c r="J3703">
        <f>HYPERLINK("https://www.weblio.jp/content/しばし", "词义详情")</f>
        <v/>
      </c>
      <c r="K3703">
        <f>HYPERLINK("https://yourei.jp/しばし", "查看例句")</f>
        <v/>
      </c>
    </row>
    <row r="3704">
      <c r="A3704" t="inlineStr">
        <is>
          <t>しばしば</t>
        </is>
      </c>
      <c r="B3704" t="inlineStr">
        <is>
          <t>成功</t>
        </is>
      </c>
      <c r="C3704" t="inlineStr">
        <is>
          <t>［副］(スル)しきりにまばたきをするさま。「目を—させる」</t>
        </is>
      </c>
      <c r="D3704" t="inlineStr">
        <is>
          <t>しばしば見られる；しばしば用いられる；しばしば使わ；しばしば登場する；しばしば混同される</t>
        </is>
      </c>
      <c r="E3704" t="inlineStr">
        <is>
          <t>多く；よく；まま；たくさん；繰り返し</t>
        </is>
      </c>
      <c r="F3704" t="inlineStr">
        <is>
          <t>しばしば行わ；しばしば津軽海峡以北；しばしば警視庁と相互；しばしば諍いを起こし；しばしば見受けられる</t>
        </is>
      </c>
      <c r="H3704" t="n">
        <v>29</v>
      </c>
      <c r="I3704" t="inlineStr">
        <is>
          <t>かつては人間側の用途で分類する方法もしばしば用いられたことがある。；映画でもしばしば披露する他、来日時には日本語で挨拶することもある。；古代の哲学者たちはしばしば現代でいう論理学者や数学者を兼ねていた。；ひみつ道具を調子に乗って使い過ぎたり悪用してしばしば失敗している。；アルタイ諸語との関係、また日本語との関係もしばしば議論の的となる。；特に後者は同じ文脈においてしばしば用いられるので注意すべきである。；休載になることもしばしばで作品の量は多くなく、本人も自覚している。；さまざまありうるが、次のような場所はしばしば目的地に設定されている。；香港やマカオではしばしば食人事件が噂され、盛んに作品に翻案された。；しかし講師の指導内容に納得が行かず、従わない事がしばしばあった。；このような多細胞構造は、しばしば特定の条件でのみ見られることがある。；カードゲームではしばしば各競技者が順番にある行動をする場合がある。；大気汚染は深刻で特に首都北京は風次第でしばしばスモッグに覆われる。；しばしば正のスカラー倍のみを許すように定義を制限することもある。；マルクスは組織運営の問題や思想上の対立でしばしば論敵をつくった。；ただし、これは大会の主催者によって変更されることもしばしばある。；この秘密主義の方針は、しばしば世界的な批判の的となっている。；他球団の選手では、初期の作品では近鉄の選手がしばしば登場した。；恋愛感情や怒りのような高ぶる感情はしばしば火や炎にたとえられる。；戦前の写真などを見るかぎり、しばしば上半身裸で行われていたようである。；また、味噌などと同様に、各集落で共同で作られることもしばしばあった。；この中には学問的に証明されていない主張も多くしばしばニセ科学になりやすい。；そのため新理論の提唱者はしばしば古めかしい概念を引きずっている。；それを明示するために合同式の記法を流用してしばしば などとも書く。；以上のように、東洋の思想を哲学と呼称する例はしばしばみられる。；さらに、しばしば地図記載などで詳細は割愛されて立山とのみ記される。；同行している作家仲間を驚かせることもしばしばだったという。；CD店、図書館、音楽関連書籍ではしばしば以下のように分類される。；このため、しばしば海の事故を誘発したり船舶に影響を与えたりする。</t>
        </is>
      </c>
      <c r="J3704">
        <f>HYPERLINK("https://www.weblio.jp/content/しばしば", "词义详情")</f>
        <v/>
      </c>
      <c r="K3704">
        <f>HYPERLINK("https://yourei.jp/しばしば", "查看例句")</f>
        <v/>
      </c>
    </row>
    <row r="3705">
      <c r="A3705" t="inlineStr">
        <is>
          <t>始発</t>
        </is>
      </c>
      <c r="B3705" t="inlineStr">
        <is>
          <t>成功</t>
        </is>
      </c>
      <c r="C3705" t="inlineStr">
        <is>
          <t>読み方：しはつ
１列車・電車・路線バスなどでその日、最初に出発すること。また、その乗り物。「—に間に合う」「—列車」⇔終発。
２そこを列車などの運行の起点とすること。また、その駅。「東京—の寝台特急」「—駅」</t>
        </is>
      </c>
      <c r="D3705" t="inlineStr">
        <is>
          <t>始発地；始発終着；始発停留所；始発点；始発着</t>
        </is>
      </c>
      <c r="F3705" t="inlineStr">
        <is>
          <t>前始発；同駅始発；東京駅始発；東京始発；途中駅始発</t>
        </is>
      </c>
      <c r="G3705" t="inlineStr">
        <is>
          <t>始発列車；始発便；始発電車</t>
        </is>
      </c>
      <c r="H3705" t="n">
        <v>29</v>
      </c>
      <c r="I3705" t="inlineStr">
        <is>
          <t>朝はJR両毛線に接続するための当駅始発の区間列車が運行されている。；駅東方には荒手車庫があり、この駅が始発となる電車も設定されている。；停留所は始発・終着地を除き、市内に設けられている所のみを表記する。；そのため、現在のダイヤでは当駅始発や当駅止まりの列車は存在しない。；当駅を始発・終点とする電車が朝と夕方ラッシュ時以降に設定されている。；その後は停留所の新設や始発を東京駅に変更するなどして現在に至る。；こちらは神木本町始発であることが判るよう専用の方向幕となっている。；または当高校が始発のジェイアール北海道バスを利用する生徒もいる。；車庫所在駅である関係で当駅を始発または終着とする列車が設定されている。；一部、県立大船渡病院ではなく須崎を始発とする便も設定されていた。；活動ポイントの場所取りは早いもの勝ちで、始発前から場所取りをするものもいる。；つまり犬山駅は4方向の列車の始発・終着駅としての機能を有している。；ラッシュ時を中心に当駅が始発・終点となる列車が設定されている。；始発営業列車が発車する前に御嵩行きの回送列車が2本当駅を通過する。；小海線の運行拠点の一つで、当駅を始発・終着とする列車が存在する。；平日の日中と土休日の始発から終電まではほぼ15分間隔となっている。；及び、日中には広島行き、広島始発の列車も多く設定されている。；当駅始発の普通列車は主に3番線発、区間快速は4番線発となっている。；京阪線の大阪方面からの当駅始発・終点の列車が少ないながら設定されている。；途中の広電本社前に車庫があり、広電本社前始発終着となる電車も多い。；両毛線の当駅止まりの列車が、当駅始発の列車に接続する場合がある。；近年、博士号は研究者の最終目標ではなく始発点との考えが広まりつつある。；これに伴い木更津始発の京葉線車両の運用が定期で初めて設定された。；朝ラッシュ時は塚口始発でJR東西線に直通する系統が設定されている。；新延橋は通過するため途中の停留所には停車せず、始発の次が終点となる。；なお、平日の朝に平手始発野並住宅行きの臨時増便が出たこともあった。；梧琴駅・水西駅始発の列車の約半分はこの駅まで運行してに入庫する。；連続しての乗車も可能であるが、時刻表上は霞ヶ丘始発とされている。；かつては当駅始発の名古屋方面行きの急行が1本設定されていた。</t>
        </is>
      </c>
      <c r="J3705">
        <f>HYPERLINK("https://www.weblio.jp/content/始発", "词义详情")</f>
        <v/>
      </c>
      <c r="K3705">
        <f>HYPERLINK("https://yourei.jp/始発", "查看例句")</f>
        <v/>
      </c>
    </row>
    <row r="3706">
      <c r="A3706" t="inlineStr">
        <is>
          <t>芝生</t>
        </is>
      </c>
      <c r="B3706" t="inlineStr">
        <is>
          <t>成功</t>
        </is>
      </c>
      <c r="C3706" t="inlineStr">
        <is>
          <t>読み方：しばふ
芝が一面に生えている所。また、庭などで芝が植えてある所。「—に寝そべる」</t>
        </is>
      </c>
      <c r="D3706" t="inlineStr">
        <is>
          <t>芝生広場(5%)；芝生席；芝生公園；芝生村；芝生コート</t>
        </is>
      </c>
      <c r="E3706" t="inlineStr">
        <is>
          <t>芝；芝草；芝地；ターフ</t>
        </is>
      </c>
      <c r="F3706" t="inlineStr">
        <is>
          <t>広大な芝生；青い芝生；小さな芝生；美しい芝生；狭い芝生</t>
        </is>
      </c>
      <c r="G3706" t="inlineStr">
        <is>
          <t>芝生町；芝生は緑；芝生小学校</t>
        </is>
      </c>
      <c r="H3706" t="n">
        <v>29</v>
      </c>
      <c r="I3706" t="inlineStr">
        <is>
          <t>かつては交通公園が整備されていたが、現在は芝生の広場となっている。；不動坂は外国人専用で、日本人はこれに交差する芝生坂を利用していた。；図書館と回廊の間には芝生広場があり、子供のサッカーなどに利用される。；日本では琉球列島の海岸線で、石灰岩の上で天然の芝生が成立している。；集落にはニコライ教会があり、芝生の共有地には街道市場が設けられた。；広大な芝生の中央に位置することや背景の青空を考慮し、黄色が採用された。；私は前の晩の夜警で疲れているので午後から二、三時間芝生の上で眠った。；これは土のグラウンドと芝生のグラウンドを比較して見るとわかりやすい。；斜面には「赤」の文字が木と芝生で描かれていて国道250号から見える。；特に水田にはよく出現し、場合によっては一面に生えて芝生のようになる。；この修道院の外郭施設はいくらかの立木を持つ広い芝生広場からなる。；ただし近年はシーショアパスパルムの名で芝生に使われることもある。；ストッキングに包まれた足を、心地良さそうに芝生の上に置いていた。；別の例として芝生でコケが支配的になり根絶することがある可能性がある。；サビの部分でメンバーがいる場所は幕張海浜公園の大芝生広場である。；また敷地の大部分が芝生に覆われているので人々が自由にスポーツを楽しんでいる。；芝生広場や多目的広場野外ステージを備える熊野古道へのアクセス拠点。；この当時の3000m障害は、現在と違い芝生の上で行われていた。；公園西側にある芝生と松を中心に各種の植物が植栽された日本庭園エリア。；落雷は当たった点の周りの芝生にも大きなリヒテンベルク図形を作る。；庭はよく維持され、芝生の上を歩くことは許可されていない。；一般に校庭は広大であり、大部分は芝生化されていることが多い。；最初のテラスには角に彫刻されたイチイの木が並ぶ2つの芝生があります。；園内には管理事務所もあり、芝生の広場には遊具が設置されている。；果樹はこうした庭で一般的であり、また芝生の座席がありました。；図書館棟の西側には、土を木で留めた芝生の生えた階段がある。；またイギリス風の芝生や庭園を維持している個人住宅も多い。；芝生の広場とスポーツ広場が主体の公園となっており地元民の憩いの場となっている。；道ばたやあまり手入れされない芝生の周辺、公園などに出現することも多い。</t>
        </is>
      </c>
      <c r="J3706">
        <f>HYPERLINK("https://www.weblio.jp/content/芝生", "词义详情")</f>
        <v/>
      </c>
      <c r="K3706">
        <f>HYPERLINK("https://yourei.jp/芝生", "查看例句")</f>
        <v/>
      </c>
    </row>
    <row r="3707">
      <c r="A3707" t="inlineStr">
        <is>
          <t>支払い</t>
        </is>
      </c>
      <c r="B3707" t="inlineStr">
        <is>
          <t>成功</t>
        </is>
      </c>
      <c r="C3707" t="inlineStr">
        <is>
          <t>読み方：しはらい
１品物やサービスなどに対して、金銭を払い渡すこと。「カードで—をする」「—を済ませる」
２金銭債務の履行として金銭を渡すこと。
[補説]国庫からの支払いにはもと「仕払い」の字を用いた。</t>
        </is>
      </c>
      <c r="D3707" t="inlineStr">
        <is>
          <t>支払い方法；支払い義務；支払いを命じる判決；支払い手段；支払い停止</t>
        </is>
      </c>
      <c r="E3707" t="inlineStr">
        <is>
          <t>費用；コスト；払い；経費；納入</t>
        </is>
      </c>
      <c r="F3707" t="inlineStr">
        <is>
          <t>お支払い；運賃支払い；給与支払い；社会保険支払い；賠償支払い</t>
        </is>
      </c>
      <c r="G3707" t="inlineStr">
        <is>
          <t>支払い猶予</t>
        </is>
      </c>
      <c r="H3707" t="n">
        <v>29</v>
      </c>
      <c r="I3707" t="inlineStr">
        <is>
          <t>もしこの支払いが予定通りになされなければ、彼らは自由の身になった。；世界的な規模ではクレジット機能付きのカードでの支払いが圧倒的に主流。；正確にいいますれば、3年以上も支払いを待ってもらっておるわけです。；ただし、支払い以前に商品を手にとって鮮度を確認することはできない。；ただし切手による支払いは後に廃止され、代金引換のみへ一本化された。；また生徒からの直接の支払いや賄賂に要求する教員もいると報告されている。；客はまず食べたいメニューを選んで各店舗で注文と支払いを済ませる。；スペインは莫大な持参金の支払いに同意したが、結局支払われなかった。；車内支払いより割安になる共通回数券は空港内の売店で販売されている。；例えばペルージャは税の支払いを拒否して教皇の軍隊に包囲され、降伏。；なお、自分の土地に止まった場合は支払いは発生しないので何も起こらない。；支払い期限が設定されたり、前回より少ない額を要求してくる場合が多い。；兵庫県では調停の結果、6000万円の支払いが命じられた例もあった。；一般線引小切手の場合、銀行以外の者からの支払いに応じる義務がない。；彼女はマーサ・グレアムへの支払いのため帽子やドレスのモデルを演じた。；慰謝料の支払いはなかったが、養育費は継続して支払われているという。；ドイツ銀行は罪を認めるか否かは明らかにせず、支払いに同意した。；それらは今後は納税と国有財産の支払いにのみ使用を許されることになった。；このため失業保険の支払いが膨大な額となり、何らかの対策が迫られた。；Jは噂を全く知らず、ただ仕事の支払いで金を下ろす指示をしただけだった。；この時代から金貨や銀貨を高額の支払いに使う例が増えたとみられる。；ユーロ圏外でも多くのヨーロッパの国で、ユーロでの支払いが可能である。；ほとんどのアフリカ諸国は、銀行への送金の支払いを制限している。；女性職員の採用や遊休施設を売却し支払いに充当するなどで場を凌いだ。；この制度は廃止され個別に支払い、料金は業者側が設定できるようになった。；それゆえ追加的な生産物のみが新たな交換と支払いをうみ出す事が出来る、とする。；しかし、既に退職した議員への支払いは減額措置を設けて続けられている。；以下の駅にある営業所ではクレジットカードでの支払いができない。；物品やサービスの購入とそれに対する支払いが一致しないことが多いためである。</t>
        </is>
      </c>
      <c r="J3707">
        <f>HYPERLINK("https://www.weblio.jp/content/支払い", "词义详情")</f>
        <v/>
      </c>
      <c r="K3707">
        <f>HYPERLINK("https://yourei.jp/支払い", "查看例句")</f>
        <v/>
      </c>
    </row>
    <row r="3708">
      <c r="A3708" t="inlineStr">
        <is>
          <t>支払う</t>
        </is>
      </c>
      <c r="B3708" t="inlineStr">
        <is>
          <t>成功</t>
        </is>
      </c>
      <c r="C3708" t="inlineStr">
        <is>
          <t>読み方：しはらう
［動ワ五（ハ四）］《「し」は動詞「す」の連用形。「支」は当て字》代金・料金を払い渡す。金銭の支払いをする。「ガス代を—・う」
[可能]しはらえる</t>
        </is>
      </c>
      <c r="D3708" t="inlineStr">
        <is>
          <t>支払う必要(3%)；支払う金額；支払う金銭；支払う料金；支払う方法</t>
        </is>
      </c>
      <c r="E3708" t="inlineStr">
        <is>
          <t>払う；注ぐ；収める；会計；代償</t>
        </is>
      </c>
      <c r="H3708" t="n">
        <v>29</v>
      </c>
      <c r="I3708" t="inlineStr">
        <is>
          <t>しかし、そこには金を支払った構成員達の名前も記されていたのである。；これは執筆収入から充分な対価がキブツに支払われたことで認められた。；最後の場合では、二人の男が養育費を重ねて支払う必要は無いであろう。；アムウェイはこれらの訴訟を解決するために数千万ドルを支払っている。；なお、本級の建造費用の一部は対外有償軍事援助の形で支払われている。；実際の運営は入札で落札した個人が契約金を行政に支払って行っていた。；杉本は銀行頭取時代のくせが抜けず、絶対に自分が支払おうとはしない。；中には個室を提供しているところもあり、別料金を支払って利用できる。；彼は映画化権獲得のために1000万ユーロを支払ったと噂されている。；適用事業に使用されて賃金を支払われていれば、適用労働者とされる。；この中にはひとつの解決のために10万ドルが支払われたという噂もある。；第二のタイプはパリにおけるもので、教師は教会から給料を支払われる。；優秀作品はファウストに掲載され、作者には規定の原稿料が支払われる。；この条約の結果、アメリカ合衆国はスペインに500万ドルを支払った。；女性は養育費月額10万円を支払ってもらうことにして離婚に同意した。；ガーバスは依頼料が支払われないと判断し、このケースから手を引いた。；取引に参加しなかった者は外部費用を支払うことになり、効用は減少する。；体術に関しては各街にあるショップで金を支払ってスタイルを変更可能。；境内に立ち入るには美化保存協力金200円を神社に支払う必要がある。；取得の際に支払われる登録料の一部は、ミクロネシア連邦の収入となる。；教会のメンバーはデュボイスの大学の学費を支払うために寄付を集めた。；この出演に対して彼女には30万ドルが支払われたと報道されている。；こちらも職員にきちんとした給与を支払っていかなくてはならない。；また彼女らの中では、韓国人客はチップを支払わない事で知られている。；これは高層住宅の開発者がこの入口の建設費用を全て支払ったためである。；患者は医療を受けた際、所得階層区分に応じた自己負担限度額を支払う。；滞納していた支払いもダラーラ側へ支払われ、マシン製造は再開された。；交換となるので、通常はカード発行時に支払う500円が無料になる。；これまでに勝利したプレーヤーと対戦料を支払って対戦ができる場所。</t>
        </is>
      </c>
      <c r="J3708">
        <f>HYPERLINK("https://www.weblio.jp/content/支払う", "词义详情")</f>
        <v/>
      </c>
      <c r="K3708">
        <f>HYPERLINK("https://yourei.jp/支払う", "查看例句")</f>
        <v/>
      </c>
    </row>
    <row r="3709">
      <c r="A3709" t="inlineStr">
        <is>
          <t>しばらく</t>
        </is>
      </c>
      <c r="B3709" t="inlineStr">
        <is>
          <t>成功</t>
        </is>
      </c>
      <c r="C3709" t="inlineStr">
        <is>
          <t>読み方：しばらく
歌舞伎十八番の一。荒事(あらごと)の代表的演目。元禄10年（1697）江戸中村座の「参会名護屋」で初世市川団十郎が初演。毎年の顔見世狂言に使われた趣向で、明治以後に一幕物として独立した。</t>
        </is>
      </c>
      <c r="D3709" t="inlineStr">
        <is>
          <t>しばらくじっと；しばらく行く；しばらく続い；しばらく歩い；しばらくそのまま</t>
        </is>
      </c>
      <c r="E3709" t="inlineStr">
        <is>
          <t>一定期間；一定の時間；所定の時間；それなりの時間</t>
        </is>
      </c>
      <c r="F3709" t="inlineStr">
        <is>
          <t>もうしばらく；ここしばらく；ほんのしばらく；まだしばらく；戦後しばらく</t>
        </is>
      </c>
      <c r="H3709" t="n">
        <v>29</v>
      </c>
      <c r="I3709" t="inlineStr">
        <is>
          <t>しばらくはソ連との結びつきの強い高崗が独自の地方運営を行っていた。；巡査はしばらく前からここにいるが、通ったのは一人の女だけと答える。；女の子はマンジと名付けられたが、しばらくして病気で死んでしまった。；北名古屋市に入りしばらく進むと道路上に市境があるという区間が続く。；電報を読んだ彼の顔は青ざめ、しばらく考えこんだ様子であったという。；しばらく前に突然麻痺の症状が出たというが、原因は分かっていない。；そして続く翌年からしばらくの旅は「死」が支配的なテーマとなった。；戦後はアメリカ軍が使用した後、しばらくホステルとして使われていた。；大宝令が施行されても、しばらく太政大臣は任命されることがなかった。；しかしながら失効後もしばらくの間この制度の影響を受け続けることになる。；しばらくして都の外れにある家にたいへん見事な紅梅が見つかった。；このバンドはしばらくして、他のメンバー達の進路の問題で解散する。；大学卒業後に一旦就職し、しばらくたってから大学院に入学する人も多い。；そのため占領後もしばらくの間は、アンネの生活に大きな変化はなかった。；帰国後もドヴォルザークはしばらく何も手につかない状態にあった。；しばらくして恐ろしい悲鳴が聞こえ、同時に重い物が倒れる音がした。；特記がない場合は、倒してしばらくすると初期位置に卵が出現して復活する。；途中で打ち切られた局や、しばらくの間放送する他系列ネットの局がある。；戦後の凱旋行事も盛んであり、しばらくすると各地に記念碑が建てられた。；この事件はしばらく状況を平穏にし、信仰熱の一時的な高揚につながった。；それからしばらくして、映画の公開にあわせて二葉のコンサートが催された。；しばらく走行した後に客車は停止し、乗客にけが人や犠牲者はなかった。；大宮駅を出ると、しばらく地下を走行し、鉄道博物館の横で地上に出る。；なお、以降登場するホンダの高級車はしばらくの間この構造が継承された。；車はしばらく動かなくなってしまうが、上り坂で再びエンジンを掛けて走る。；戦略爆撃の研究はしばらくその後の冷戦の中で重要視されなくなっていた。；出版は急速に進められ、窮乏によるストレスからしばらくは解放された。；千葉中央駅からしばらくの間は東日本旅客鉄道の外房線と並行して走る。；全駅がカード対応改札機に更新された後も、しばらくは枠のみが残っていた。</t>
        </is>
      </c>
      <c r="J3709">
        <f>HYPERLINK("https://www.weblio.jp/content/しばらく", "词义详情")</f>
        <v/>
      </c>
      <c r="K3709">
        <f>HYPERLINK("https://yourei.jp/しばらく", "查看例句")</f>
        <v/>
      </c>
    </row>
    <row r="3710">
      <c r="A3710" t="inlineStr">
        <is>
          <t>縛る</t>
        </is>
      </c>
      <c r="B3710" t="inlineStr">
        <is>
          <t>成功</t>
        </is>
      </c>
      <c r="C3710" t="inlineStr">
        <is>
          <t>読み方：しばる
［動ラ五（四）］
１縄やひもなどを巻きつけ、一つにまとめて結ぶ。また、動きが取れないようにひもや縄などで巻きつける。結わえる。くくる。「古新聞をひもで—・る」「後ろ手に—・る」
２自由にできないように制限する。束縛する。「規則で—・る」「時間に—・られる」
→括(くく)る［用法］
[可能]しばれる</t>
        </is>
      </c>
      <c r="D3710" t="inlineStr">
        <is>
          <t>縛るんです</t>
        </is>
      </c>
      <c r="E3710" t="inlineStr">
        <is>
          <t>結ぶ；拘束；付ける；張る；繋ぐ</t>
        </is>
      </c>
      <c r="F3710" t="inlineStr">
        <is>
          <t>しっかり縛る；きつく縛る</t>
        </is>
      </c>
      <c r="H3710" t="n">
        <v>29</v>
      </c>
      <c r="I3710" t="inlineStr">
        <is>
          <t>あの心のやさしい老人がずっとあのひとの生涯を縛っていたんですもの。；もはやアメリカが片手を背中に縛られたまま競争する必要はないのです。；今ああして縛られて行ったのが、どうしてもその当人と思われてならぬ。；使える身体は目に見えぬ縄で縛られて動きのとれぬほどの苦しみはない。；縛られた政府の権威が集中してるような名状し難い微笑を浮かべていた。；そうでもしてこの際お互いを縛ることが最善の方法だとは承知していたが。；鉄の輪は音もなくサヤの動きを縛り、顎が微かに震えただけで終わった。；私も、それを聞いていくらか身体が固く縛られたような感じがしてきた。；奴らは私の腕と脚を縛ってしまったので抵抗することができなかった。；数人の武士がその中にいたが、何と高手小手に縛られているではないか。；私は生来、どんな徳義観をもってしても自分を縛ることが出来ないのだ。；その後には雁字搦めに縛られた男が、大勢の刑事に守られて立っていた。；豚肉を糸で縛るところから始めて、うんと本格的なのを作ったんだから。；この時代、人々を縛っていたのは現実の裁判だけでなく、宗教法もある。；手首を縛られていたことから、警察は殺人の可能性が高いと見て捜査した。；けれども手足が鉄の鎖ででも縛られたように、身動きさえ出来なかった。；身体を縛る道具に、この鎖を使用しているのも、となると同じ理由だろう。；しかし、勝手に名乗っているものは多くそこまで厳しい縛りでもない。；帯で縛って止血してあったが、深く裂けた傷からは血が滲みだしていた。；創造神を含めた宇宙全ての存在はこの幸運と不幸の天秤に縛られている。；そして罰ゲーム付きのジャンル縛り大会が行われることとなったわけだが。；両手と両足を縛られた状態で のような内容の訓練を続けて行うものである。；綱で躯を縛るだけでは、動作が自由にいかないことがわかったからである。；彼女が不用意な発言をすればそれは、兄の行動を縛る結果になるのだから。；未知の相手と仕事をすることである程度の縛りを自分に与えるためであった。；女の髪は男と違って筋分けをすると、いきなり根を取って元結で縛る。；音楽のジャンルに縛られることのない方針でイベント運営が行われている。；縛り終えた俺は、機関手の正面に椅子を引きずって来て腰をおろした。；このため張天錫は二人を軍門に縛り付ると、兵士達に命じて射殺させた。</t>
        </is>
      </c>
      <c r="J3710">
        <f>HYPERLINK("https://www.weblio.jp/content/縛る", "词义详情")</f>
        <v/>
      </c>
      <c r="K3710">
        <f>HYPERLINK("https://yourei.jp/縛る", "查看例句")</f>
        <v/>
      </c>
    </row>
    <row r="3711">
      <c r="A3711" t="inlineStr">
        <is>
          <t>市販</t>
        </is>
      </c>
      <c r="B3711" t="inlineStr">
        <is>
          <t>成功</t>
        </is>
      </c>
      <c r="C3711" t="inlineStr">
        <is>
          <t>読み方：しはん
［名］(スル)市場・商店で普通に売ること。「来月から—される商品」「—薬」</t>
        </is>
      </c>
      <c r="D3711" t="inlineStr">
        <is>
          <t>市販される(4%)；市販化(3%)；市販モデル(2%)；市販車両；市販型</t>
        </is>
      </c>
      <c r="E3711" t="inlineStr">
        <is>
          <t>販売；出荷；マーケティング；マーケッティング</t>
        </is>
      </c>
      <c r="F3711" t="inlineStr">
        <is>
          <t>一般市販；市販乗用車；市販製品；市販状態；市販スポーツカー</t>
        </is>
      </c>
      <c r="G3711" t="inlineStr">
        <is>
          <t>市販品；市販薬；市販ソフト；市販ソフトウェア</t>
        </is>
      </c>
      <c r="H3711" t="n">
        <v>29</v>
      </c>
      <c r="I3711" t="inlineStr">
        <is>
          <t>市販では最初期のモデルにのみあったマニュアルが標準設定されていた。；日本で一般に市販されているものは頭部が赤く塗装されたものが多い。；これらの時期の作品の市販商品としては最も完全なものとされている。；なお、市販されている湧水では全国で一番高いところで採取されている。；このエンジンはのちにT360に搭載され市販されたものと同型である。；日本では製造中止になったような様々な形状の練炭が現在も市販されている。；市販用にされているためブレーキは標準装備されて販売されている。；これが市販の製品としては初のものとなり、世界中に普及していった。；ここでは現在市販されている二輪のオートバイとして一般的なものを示す。；など、様々な面で市販車の性能を大きく逸脱しないようになっている。；現在は市販されているため試薬会社から購入することも可能である。；こうした用途があるため、日本ではサカキやヒサカキは市販されている。；大きさが異なる製品や香りが付いた製品、色が付いた製品などが市販されている。；ドイツなどではグリューワイン用のミックススパイスも市販されている。；この際使用したテープは市販のビデオ用テープと同じ規格の物を使用した。；市販モデルを使う場合も、独自に改造したものがほとんどだった。；DRAMのアクセス方式によってさまざまな種類のものが市販されている。；有用な公式を多数集めた公式集と呼ばれる本が市販されている。；現在、市販されている白熱電球の多くは1000時間程度の寿命を持つ。；現代では簡便に空腹感を充足させる本品類似の食品も広く市販されている。；この当時の装丁は、市販化以降のものよりもシンプルなものであった。；市販の白いものは、生で食べられるように軟白栽培したものである。；糸によるラッピングは市販されているリードでは今でもより一般的である。；味噌汁の具を増やすための乾燥させた具が単独で市販されている場合もある。；これ以下の大きさ及び奇数号も存在するが、市販されているのは極めて稀である。；ここでは現在市販されている自動車として一般的なものを示す。；すべて、NHKが収録した音源を元にした市販のCDなどより使用された。；以下のようなさまざまな用途のカードが市販されている。；市販の6面ダイスに限っても、以下の目を持つサイコロなどが存在する。</t>
        </is>
      </c>
      <c r="J3711">
        <f>HYPERLINK("https://www.weblio.jp/content/市販", "词义详情")</f>
        <v/>
      </c>
      <c r="K3711">
        <f>HYPERLINK("https://yourei.jp/市販", "查看例句")</f>
        <v/>
      </c>
    </row>
    <row r="3712">
      <c r="A3712" t="inlineStr">
        <is>
          <t>地盤</t>
        </is>
      </c>
      <c r="B3712" t="inlineStr">
        <is>
          <t>成功</t>
        </is>
      </c>
      <c r="C3712" t="inlineStr">
        <is>
          <t>読み方：じばん
１地面。地殻の表層部。「—がゆるい」
２建造物・工作物などを据える基礎となる土地。土台。「家の—を固める」
３活動するための足場。勢力範囲。根拠地。「組織の確固たる—を築く」
４選挙で、その議員を支持し投票する有権者の多い地域。また、後援会などの支持組織。「看板」「鞄(かばん)」と合わせて「三ばん」という。
５物事が成り立つ基礎となるもの。「思想の形成される—」</t>
        </is>
      </c>
      <c r="D3712" t="inlineStr">
        <is>
          <t>地盤沈下；地盤固め；地盤面；地盤ブロック；地盤変動</t>
        </is>
      </c>
      <c r="E3712" t="inlineStr">
        <is>
          <t>拠点；ホーム；ベース；基地；本拠地</t>
        </is>
      </c>
      <c r="F3712" t="inlineStr">
        <is>
          <t>強固な地盤；軟弱な地盤；基礎地盤；保守地盤；強力な地盤</t>
        </is>
      </c>
      <c r="G3712" t="inlineStr">
        <is>
          <t>地盤改良；地盤工学；地盤調査；地盤材料；地盤液状化</t>
        </is>
      </c>
      <c r="H3712" t="n">
        <v>29</v>
      </c>
      <c r="I3712" t="inlineStr">
        <is>
          <t>一方で、地盤の特性により思わぬところで揺れが大きくなる場合がある。；本社を福岡市に置き、九州及び中国地方を主とする西日本が地盤だった。；同国を代表する女優の一人で、スイスにも地盤を置いて活動している。；これはそれまで観察されなかった現象で、その後も地盤の上昇が継続している。；しかし、トンネルの一部の地盤が悪く、ルートの一部を変更している。；その後、海軍の勢力地盤である海南島は南進の拠点として機能していた。；地盤もカンバンもない選挙区で、何の準備もないまま選挙戦に突入する。；争点の一つが首都問題であり、双方が自らの政治地盤への首都設置を要求した。；その後、連続して小選挙区で勝利を収め、安定した地盤を築いてきた。；主な地盤は南部のシンド州だが、他の地域にもそれなりの勢力を持つ。；創業以来の地盤は三重県であったため、同県内にも店舗網を展開している。；国人や家臣は守護の影響を排除して自らの地盤を固め、領主化していった。；また地域貢献を謳っており、設立当初より愛知県から地盤を移していない。；当社にとって初めて、地盤の神戸市以外の地域を走行する路線であった。；交通事業で地盤とする岡山県を中心に生活産業などを展開する。；中選挙区時代から宮澤喜一元首相が当選を重ね強固な地盤を持っていた。；そのため地盤が傾斜したり右にずれる断層帯として地表に変化を表した。；自らの地盤地域と選挙区を可能な限り一致させるためである。；この選挙以降、谷畑は強固な地盤もあり安定した戦いを続けてきた。；元秘書であった渡部恒三にも地盤を切り崩されたことも大きく影響していた。；この政治的経緯もあり民主進歩党など泛緑連盟の勢力の地盤ともなっている。；このため特に基礎地盤が軟弱であるため膨大な掘削量が予測された。；関東地方を地盤にマンション、宅地の開発、建設、販売を手がけていた。；不安定な地盤の影響を受けたのは、放棄された向皆外トンネルだけではなかった。；自民党と直接対決したのは比較的民主党の地盤が強い2県にすぎなかった。；しかし市民の人気は高く、根強い保守地盤の中で4回連続当選を果たした。；京王線沿線を中心とした東京23区西部や多摩地域を地盤に展開している。；堆積層の構成物質や厚さは様々であるため地盤の性質も異なる。；合併前の3信用金庫の営業地盤である白山市・小松市周辺に支店が多い。</t>
        </is>
      </c>
      <c r="J3712">
        <f>HYPERLINK("https://www.weblio.jp/content/地盤", "词义详情")</f>
        <v/>
      </c>
      <c r="K3712">
        <f>HYPERLINK("https://yourei.jp/地盤", "查看例句")</f>
        <v/>
      </c>
    </row>
    <row r="3713">
      <c r="A3713" t="inlineStr">
        <is>
          <t>耳鼻科</t>
        </is>
      </c>
      <c r="B3713" t="inlineStr">
        <is>
          <t>成功</t>
        </is>
      </c>
      <c r="C3713" t="inlineStr">
        <is>
          <t>読み方：じびか
耳・鼻および口腔の病気を研究・治療する医学の分野。</t>
        </is>
      </c>
      <c r="D3713" t="inlineStr">
        <is>
          <t>耳鼻科医院(2%)</t>
        </is>
      </c>
      <c r="F3713" t="inlineStr">
        <is>
          <t>耳鼻科医</t>
        </is>
      </c>
      <c r="H3713" t="n">
        <v>29</v>
      </c>
      <c r="I3713" t="inlineStr">
        <is>
          <t>耳鼻科の患者用の椅子は大型の背もたれ付きで、昇降可能なものが多い。；眼科薬に強く、一方で耳鼻科向けの医薬品でも、その名を知られている。；また、特定の耳鼻科で行われている上咽頭処置が効果的との報告もある。；まもなく同じ耳鼻科の同僚と、耳鼻科の教授もマンションに駆けつけた。；また、そこ以外近くの医者といえば、数軒先に耳鼻科医院があるだけだった。；彼女は確かにK大耳鼻科にいた事のある姫草ユリ子と同一人には相違なかった。；耳鼻科に行くことになって、家を出る時に父に言われた。；また、頻繁に出血する場合は、一度耳鼻科の診断を受けたほうがよい。；耳鼻科のお医者さんが使っている小さな鏡、あれを使えば前からでも見える。；「僕」はいとこの耳の治療につきあい、バスに乗って耳鼻科に向った。；誰でもない、大学の耳鼻科の教室で研究している羽振菊蔵という医学士だ。；彼女は治夫が前に約束した耳鼻科の専門医の所見を尋ねてきた。；医者にかかるとすれば耳鼻科ではなく神経科だろうか。；耳鼻科医のところから家に帰る途中だったのである。；幼時からあまりに長く耳鼻科に通院していたので、そんな癖になってしまったらしい。；耳鼻科領域においては、目のかゆみを除外したものを3大症状と呼んでいる。；舌癌などの舌に関わる医療は、主に歯科医師や耳鼻科医が担当する。；一日かかって耳鼻科を一通り見た。；耳鼻科では、ゾウゲやそのほかの材料を、鼻の中に入れる手術で、鼻を高くすることができます。；十年ほどたって、この先生が喉を悪くして、大学病院の耳鼻科に診察を受けに来た。；もう一人のH教授は耳鼻科の教授であったが、試験は学生を勉強させるためには必要であるが学生の知識をはかるものではないという信念を持っていた。；その様な場合は、耳鼻科的には該当領域の血管を焼き潰すことで治療する方法もある。；誰一人、耳鼻科のH教授の試験で落第したものはなかった。；虫の多い季節・地域では、外耳道に虫が入り、耳鼻科医の診察を受ける患者はごく普通に存在する。；名称はドイツの耳鼻科医ヴィルヘルム・キーゼルバッハに由来する。；その後京都帝国大学医科大学に進学、1910年に卒業して耳鼻科を専攻。；銀平に抱きかかえられるようにホテルへ帰って来、たまたま宿泊していた耳鼻科医の診断を受けたことまで覚えている。；飯田橋に、耳鼻科のいい先生がいる病院があるんですって。；もちろん試合中も出してしまうので、このたび、とある大事な試合の前に、先輩は近所の耳鼻科に行って相談したそうです。</t>
        </is>
      </c>
      <c r="J3713">
        <f>HYPERLINK("https://www.weblio.jp/content/耳鼻科", "词义详情")</f>
        <v/>
      </c>
      <c r="K3713">
        <f>HYPERLINK("https://yourei.jp/耳鼻科", "查看例句")</f>
        <v/>
      </c>
    </row>
    <row r="3714">
      <c r="A3714" t="inlineStr">
        <is>
          <t>字引</t>
        </is>
      </c>
      <c r="B3714" t="inlineStr">
        <is>
          <t>成功</t>
        </is>
      </c>
      <c r="C3714" t="inlineStr">
        <is>
          <t>読み方：じびき
１「字典」に同じ。
２「辞典」に同じ。
３「辞書1」に同じ。</t>
        </is>
      </c>
      <c r="D3714" t="inlineStr">
        <is>
          <t>字引を引き引き(2%)</t>
        </is>
      </c>
      <c r="E3714" t="inlineStr">
        <is>
          <t>辞書；辞典；事典；字書；字典</t>
        </is>
      </c>
      <c r="H3714" t="n">
        <v>29</v>
      </c>
      <c r="I3714" t="inlineStr">
        <is>
          <t>彼らは既定の法規範体系の単なる法字引でもなければ、見張人でもない。；家で引けなかったぶんをそのポケット用の字引を使って引いていたわけである。；字引か教科書だろうとは推察したが、別に訊いて見る気にもならなかった。；その二人はせっせと横文字の教科書を覗いたり字引を引いたりしていた。；白星を取るために、字引がボロボロになるほど下調べをして教室に出る。；字引に汽は水气也とあるを福沢翁の見つけ出して訳字に当てたるなりと。；字引を引く気力もなく、私はぼんやりとそれから先の主人公の運命を想像していた。；何度字引を買っても、結局これが楽なので、字が足りないけれどこれを使っている。；何しろフランス語を覚えたばかりで、字引を引き引き内容を想像する他はない。；なお重左衛門だけは異様な熱心さをもって例の字引を読んでいる。；明治より前の字引の類いはいろは順であり、近代にもいろは順のものがある。；それに驚くべきことだが、字引を引いたことがないという。；英語を學ぶと云つても、字引を引いて本を讀むだけでは世間へ出て用をなさない。；それも僕は、字引を引き引きしかもとうとう碌に分らないながらも読んでしまった。；それからは、小さい字引を手に入れて、自分一人で英語の勉強に力をそそぎました。；朝子のつかっている字引にはそういう細かいところまで出ていないのであった。；字引を引いたら英語とその訳を並べて書きなさい。；私が英語の必要を説くと、彼女は字引が一冊ほしいといった。；それに字引は一さつしかありませんから、たいへんでした。；とても普通の高校の教師としては考えられないことだが、ポケット用字引があっただけである。；これも感情の字引の中にはない言葉だった。；これはきっと字引を見て書いたのだと思う。；たとえ字引の言葉をみんな使ってもだめですわ。；ナポレオンと同じように、わしの字引には、不可能という文字はない。；字引重視の型と付録重視で教養書的なものの二傾向がある。；自分はその時雑誌を下へ置いて、あの字引はついに完成されずに、反故になってしまったのかと考えた。；その辞書と云うものは、此処にヅーフと云う写本の字引が塾に一部ある。；私は字引を引いてせっせと白を諳記し、この映画を三度か四度は見に行った筈である。；バロットに聞くと、まるで魔法の字引のようにすぐに答えが返ってくるのが不思議だった。</t>
        </is>
      </c>
      <c r="J3714">
        <f>HYPERLINK("https://www.weblio.jp/content/字引", "词义详情")</f>
        <v/>
      </c>
      <c r="K3714">
        <f>HYPERLINK("https://yourei.jp/字引", "查看例句")</f>
        <v/>
      </c>
    </row>
    <row r="3715">
      <c r="A3715" t="inlineStr">
        <is>
          <t>辞表</t>
        </is>
      </c>
      <c r="B3715" t="inlineStr">
        <is>
          <t>成功</t>
        </is>
      </c>
      <c r="C3715" t="inlineStr">
        <is>
          <t>読み方：じひょう
職を辞めたい旨を書いて出す文書。辞職願。「—を突きつける」「—を受理する」</t>
        </is>
      </c>
      <c r="D3715" t="inlineStr">
        <is>
          <t>辞表提出(2%)；辞表を出さ；辞表撤回；辞表組</t>
        </is>
      </c>
      <c r="E3715" t="inlineStr">
        <is>
          <t>辞職願；進退伺</t>
        </is>
      </c>
      <c r="F3715" t="inlineStr">
        <is>
          <t>取って辞表</t>
        </is>
      </c>
      <c r="H3715" t="n">
        <v>29</v>
      </c>
      <c r="I3715" t="inlineStr">
        <is>
          <t>私が共同通信社に辞表を出したのは、ずっと遅れて一九七五年であった。；この場合、高野は責任をとって会社に辞表を提出する覚悟を決めていた。；すぐに辞表を提出しなかったのは、職探しに手間取っていたからである。；いまから言っておくが、おまえの辞表だけは何があっても受け取らない。；実際、1848年には辞表を提出していたが残るよう説得されていた。；わたしの辞表も出てるさうだが、あれや自分で書いたもんぢやない。；母が気づいたときには、もうだれにも無断で会社に辞表を出したあとだった。；これを受け3月31日付で自民党党東京都連最高顧問の辞表を提出した。；キャプテン・ドウスが辞表を提出したのは、夫妻の銀婚式の日であった。；その場合伯爵が辞表を提出することはまったく疑いありません。；この一週間の休みが過ぎたら、辞表を出すという夫の決意は固いようだ。；おまえが辞表をだしたその日、警察がおまえを逮捕にいくだろう。；これを聞いた兄の穂積陳重も四日の朝、同じく辞表を提出している。；そして、進言が受け入れられないと見ると、病気を理由に辞表を提出した。；諏訪は警察の方にも辞表を出したが、それは受け入れられなかった。；他の女子社員の嫌がらせに腹を立てた里佳子は派遣先の会社に辞表を提出。；プロデューサーの三上真司は辞表を用意し、開発中止を訴えたという。；辞表を提出したのに、課長の玉井はなかなか受理しようとしなかった。；また、委員であった長谷部忠は、抗議のために委員の辞表を提出した。；市谷がそう気づいたのは辞表を出して一カ月ほど経ってからである。；また、ラーマ7世は陸軍の権力の大きさを考え辞表を拒否するだろうと見ていた。；ある人が「この仕事が失敗したら辞表を出す」と言ったとしよう。；圧力もかかっておるし、入院が長びけば辞表を出すことになるだろう。；選挙に反対したくらいで、辞表を出せなどと不条理な話がどこの世界にある。；自分はあす辞表を提出する身であることを榊は思い出し、途方に暮れた。；詔書が出されたことに抗議の意を示すため、4月21日に三条に辞表を提出。；このとき大統領が辞表を提出したのも、キッシンジャーに対してであった。；その後東條内閣が成立した直後の10月22日に正式に辞表が受理された。；その問題が辞表を提出させられるまでに発展していようとは、思いもかけなかった。</t>
        </is>
      </c>
      <c r="J3715">
        <f>HYPERLINK("https://www.weblio.jp/content/辞表", "词义详情")</f>
        <v/>
      </c>
      <c r="K3715">
        <f>HYPERLINK("https://yourei.jp/辞表", "查看例句")</f>
        <v/>
      </c>
    </row>
    <row r="3716">
      <c r="A3716" t="inlineStr">
        <is>
          <t>持病</t>
        </is>
      </c>
      <c r="B3716" t="inlineStr">
        <is>
          <t>成功</t>
        </is>
      </c>
      <c r="C3716" t="inlineStr">
        <is>
          <t>読み方：じびょう
１なかなか治らず、常に、または時々起こる病気。宿痾(しゅくあ)。痼疾(こしつ)。「—の神経痛に苦しむ」
２身について直らない悪い癖。「—の癇癪(かんしゃく)が出る」</t>
        </is>
      </c>
      <c r="D3716" t="inlineStr">
        <is>
          <t>持病の神経痛；持病悪化；持病の胸部疾患</t>
        </is>
      </c>
      <c r="E3716" t="inlineStr">
        <is>
          <t>悪癖；習癖；宿痾；長患い；痼疾</t>
        </is>
      </c>
      <c r="H3716" t="n">
        <v>29</v>
      </c>
      <c r="I3716" t="inlineStr">
        <is>
          <t>持病が本事故に直接関与したかどうかは明らかにすることはできなかった。；最初私は祖父の死を、漠然と持病の発作かなんかであろうと思っていた。；また運転手に持病はなく、会社の年2回の健康診断でも異常はなかった。；父の通は持病の心臓脚気で、何の仕事もせず、ぶらぶらと過ごしていた。；肺患の持病を持っていた信玄は一度寝こむとなかなか起きられなかった。；心の臓の持病が悪化したのも、そのせいではないかと新三郎は思った。；暑い季節になれば必ず其の勢ひを潜めた持病が彼を忘れて去らなかつた。；彼女がもともと貧血症なら話がわかるけれど、彼女にそんな持病はない。；どうなろうと運命だから仕方がないという考えは私の持病なのだから。；だからこの持病を嫌悪しながらも、一方では結構愛しているのだろう。；この相談には、持病の咳でこもりがちな金兵衛までが引っぱり出された。；と言っても、持病の喘息の発作がひどくなったというだけのことであった。；持病の心臓病が悪化して、手術をしたのですが、うまく行きませんでした。；それは僕がそういう持病を持っていたからかも分らなかった。；実際、彼は神経性胃炎と神経性皮膚炎を持病として持っているのである。；彼は、その母の手紙を見た途端に年来の持病は一切快癒したやうだつた。；これは、持病のようになっていて、テンカンによく似たものであった。；持病があってそう長くは生きられないという可能性はどうだろう。；この衝撃で、お清の持病は、たちまちに切迫の状態となってしまった。；融は持病もちの彼女の健康に、彼女自身より以上の不安を抱いてゐた。；いよいよ冬の気配が感じられ、それとともに持病の発作もおこってきた。；母親は持病に操られてそんな男の一人と一緒にいて死んだのだった。；胃の持病が原因と伝えられているが、当時は毒殺されたと噂された。；晩年は不遇だったようであり、背中のほか、心臓と胃に持病を抱えていた。；最近、私は持病の胃病に悩まされていたのでつい考えが胃に向うのである。；競走後には大型馬ゆえに持病としていた裂蹄が慢性化し、休養に入る。；酒は好きだったが溺れるほどでもなく、これといった持病もなかった。；持病の治療完了後、2008年6月7日付で正式にチームと契約を結んだ。；放っておいたほうがいいという内なる声があったが、持病がその声を圧倒した。</t>
        </is>
      </c>
      <c r="J3716">
        <f>HYPERLINK("https://www.weblio.jp/content/持病", "词义详情")</f>
        <v/>
      </c>
      <c r="K3716">
        <f>HYPERLINK("https://yourei.jp/持病", "查看例句")</f>
        <v/>
      </c>
    </row>
    <row r="3717">
      <c r="A3717" t="inlineStr">
        <is>
          <t>しびれる</t>
        </is>
      </c>
      <c r="B3717" t="inlineStr">
        <is>
          <t>成功</t>
        </is>
      </c>
      <c r="C3717" t="inlineStr">
        <is>
          <t>読み方：しびれる
［動ラ下一］［文］しび・る［ラ下二］
１からだの一部または全体の感覚が失われ、自由がきかなくなる。「正座して足が—・れる」
２電気などを感じてびりびりふるえる。「感電して—・れた」
３心を奪われてうっとりとする。強烈な刺激を受けて陶酔する。「ジャズ演奏に—・れる」</t>
        </is>
      </c>
      <c r="D3717" t="inlineStr">
        <is>
          <t>しびれるような思い(2%)；しびれるような恐怖(2%)；しびれるような痛み；しびれるような快感；しびれるような感覚</t>
        </is>
      </c>
      <c r="E3717" t="inlineStr">
        <is>
          <t>衝撃を受ける；感銘を受ける；感服する；琴線に触れる；グッとくる</t>
        </is>
      </c>
      <c r="H3717" t="n">
        <v>29</v>
      </c>
      <c r="I3717" t="inlineStr">
        <is>
          <t>あなたの前へ出ると、なんだか頭がしびれるみたいだつて云つてたわよ。；腕や腹筋がしびれるだけでなく、だんだん時間の感覚を失っていくのだ。；床に足がついたとたん、生まれて初めてのしびれるような感覚に襲われた。；その反対に、何かしびれるような恐怖と当惑とが彼女の脳につきあげた。；氷のかたまりを押し当てられたみたいで、しびれるような冷たさだった。；でも書いてる途中に膝に乗ってくるのは重いし邪魔だし足がしびれるからやめてくれ。；ぼくは汗びっしょりとなり、しびれるような痛みが全身を駆けめぐった。；しびれるような冷たい水が、夏枝の心をも冷たくさせていくようであった。；それを見ていた父親はまるで身体中がしびれるような恐ろしい悪寒を感じました。；しばらくして僕にも、あのいつものしびれるような感じが訪れた。；あれから、手がしびれるっていいだしたとき、あたしそう思ったんだわ。；呼吸すれば、肺に水が流れこんでしびれるような感じになるだろう。；ふと手がしびれるので気がつくと彼はまだ綱梯子を握っていた。；しびれるところが、なかったわけではないが、全然、別のところであった。；しびれるような欲望の熱感が健康すぎるほどな彼の五体をめぐり始めた。；聞くだけで指の先がしびれるような、そんな響きをもっていた。；軍医は胸のしびれるようななつかしさにあわててノートを手にとってみた。；きいている女の子が全員これだけでしびれるわけではない。；全身がしびれる魅力的な音だが、なんの音かまるでわからない。；しびれるような呪縛がゆったりと王の魂を圧倒的な力でとりこもうとする。；手足のしびれる程寒い日でも、愉快に毎日を働き乍ら送ることが出来た。；そんなものより、美しい、心がしびれるようなものを、見せてもらいたい。；だが、チャグムはもう、からだがしびれるような恐怖は感じていなかった。；しびれるような喜びのほかには、何もなくなっちゃうんですものね。；さうして、その想ひつきのしびれるやうな幸福感に暫らく揺られてゐた。；だが頭がしびれると胸がその影響を受け、幸福感は十倍にもなる。；私はそれにしびれるのを感じながら、でもそんな声も可愛いなあと思ったりした。；部屋じゅうに電気がみちわたり、からだがしびれるような気がします。；彼女は心臓のしびれるような思いをして、マズルカを待っていた。</t>
        </is>
      </c>
      <c r="J3717">
        <f>HYPERLINK("https://www.weblio.jp/content/しびれる", "词义详情")</f>
        <v/>
      </c>
      <c r="K3717">
        <f>HYPERLINK("https://yourei.jp/しびれる", "查看例句")</f>
        <v/>
      </c>
    </row>
    <row r="3718">
      <c r="A3718" t="inlineStr">
        <is>
          <t>渋い</t>
        </is>
      </c>
      <c r="B3718" t="inlineStr">
        <is>
          <t>成功</t>
        </is>
      </c>
      <c r="C3718" t="inlineStr">
        <is>
          <t>読み方：しぶい
［形］［文］しぶ・し［ク］
１渋柿を食べたときなどの、舌がしびれるような味である。「—・いお茶」
２はででなく落ち着いた趣がある。じみであるが味わい深い。「—・い声」「—・い色のネクタイ」「目の付け所が—・い」
３不愉快そうな、または、不満そうなようすである。「—・い顔をする」
４金品を出すのを嫌がるようである。けちである。「—・い客」
５動きが滑らかでない。「湿気でふすまが—・くなる」
[派生]しぶさ［名］</t>
        </is>
      </c>
      <c r="D3718" t="inlineStr">
        <is>
          <t>渋い顔(36%)；渋い表情(5%)；渋い声(4%)；渋い色調；渋い茶</t>
        </is>
      </c>
      <c r="E3718" t="inlineStr">
        <is>
          <t>ひどい；つらい；苦い；苦々しい；ダンディ</t>
        </is>
      </c>
      <c r="F3718" t="inlineStr">
        <is>
          <t>ちょっと渋い；渋い低音；渋い眼；渋い演技；渋い和服</t>
        </is>
      </c>
      <c r="H3718" t="n">
        <v>29</v>
      </c>
      <c r="I3718" t="inlineStr">
        <is>
          <t>「そんなことをしちゃいけないような気がしたんだ」と渋い顔で答える。；同意を求めて、国王の側近を見ると、彼は渋い顔をして首を横に振った。；それに比例して党に寄せられた寄付金もこれまでになく渋い額となった。；息子さんたちの話を聞きたいんだが、というと、小池老は渋い顔をした。；むしろ優れた学者なのではないかと思わせるような渋い会話だったともいえる。；そのとても渋い苦みは、それに馴染みのない者たちには衝撃的だからだ。；お父っつぁんは娘のあたしが言うのも何んだけど渋い、いい喉をしていたの。；身を起こし、そばに置かれた《客室サービスのご案内》を渋い顔で見た。；千晴は五百万円と言おうとしていたので、相手が意外に渋いのを感じた。；今日は胸がわりとあいてるシャツの上にジャケット着て、なんか渋いの。；ドアをあけたとたん、真正面に渋い顔で腕を組んでいる社長が見えた。；さすがに同席している冀小狛が渋い顔をしたが、なにもいえないでいる。；これが拳の作品で印刷になった最初であるが、主人はこれにも渋い顔をした。；客は笑った後のため一層渋く見える顔を、その時ゆっくりと少女の方へ向けた。；庶務担当者は渋い顔をしているが、老人達の間での評判はすこぶるいい。；彼がピアノを習うことに渋い顔をしていた父は、よくそう言ったものだった。；「かえでが顔を見られたかもしれませんね」 佐助が渋い口調で言った。；秋になって、少しばかり実がなったって、渋くて食べられないだろう。；三冊とも青系統で、かすかに色調の違って行くところが我ながら渋い。；「俺は蕾には手を出さねえ」 そんな渋いいぶし銀の声が聞こえてきた。；お前もそう渋い顔をせずに、少しは見る目を変えてみたらどうだ?；ちょうどそこへ渋い顔をした父がはいって来て腰をおろした。；「死者を呼び起こすにはこうでなくちゃな」カルテンが渋い顔で言った。；もしも他人の女の眼で見たら、渋い魅力がたまらないってタイプかしら。；シミュラの盗賊少年は渋い顔をして、手にはかなり大きな袋を握っていた。；渋いお茶室に、料理は一品ずつ、時間の流れに乗って運ばれてくる。；着ていくものは、三日前からシャネルの渋い茶のスーツと決めていた。；玄関に入って靴を脱いでいると、湯上がりらしい母親が渋い顔で出てくる。；蝉を食べた時は『土の味がする』と不味さに渋い顔となっていたけど。</t>
        </is>
      </c>
      <c r="J3718">
        <f>HYPERLINK("https://www.weblio.jp/content/渋い", "词义详情")</f>
        <v/>
      </c>
      <c r="K3718">
        <f>HYPERLINK("https://yourei.jp/渋い", "查看例句")</f>
        <v/>
      </c>
    </row>
    <row r="3719">
      <c r="A3719" t="inlineStr">
        <is>
          <t>私物</t>
        </is>
      </c>
      <c r="B3719" t="inlineStr">
        <is>
          <t>成功</t>
        </is>
      </c>
      <c r="C3719" t="inlineStr">
        <is>
          <t>読み方：しぶつ
公のものでなく、個人の所有する物品・財貨。「—入れ」「—化」→公物</t>
        </is>
      </c>
      <c r="D3719" t="inlineStr">
        <is>
          <t>私物化する(4%)；私物入れ；私物箱；私物以外；私物袋</t>
        </is>
      </c>
      <c r="H3719" t="n">
        <v>29</v>
      </c>
      <c r="I3719" t="inlineStr">
        <is>
          <t>本に描かれた部屋にはあの時計があり、ジルドレイの私物だったと判明。；しかし俺たちはなにも女子の私物を荒らしにきた変態野郎ではないんだ。；過去には面白かったネタの採用者に岡村の私物が送られることがあった。；学校を私物化して、ハーレムでも作る計画をしているのではありませんか?；別れた恋人が残していった私物が、簡単な説明文とともに展示されている。；専用の台が置かれたその上には様々な兄の私物が並べてあった。；施設の私物箱にはいっていたあの写真が、こんなところにもあった。；ロッカーのなかの私物をまとめているとキノネ主任が入ってきて言った。；潜入捜査用に警察から貸与されている車両でクロケットの私物ではない。；彼女の私物の中に不倫の相手の手がかりが残されているかもしれない。；空のスーツケースは城介の私服や私物を入れて帰るためのものである。；また、海軍では廃止後も将校が私物のピスヘルメットを使用していた。；時間は早かったが、仕事などもう私物の整理くらいしかなかったのだ。；自分の机の引出しから私物を持ち出すと、久米は黙って会社を出て行く。；その前にある机の周辺には、ほとんど私物が残されていなかった。；いつぼくの部屋へはいって、私物を持ちだしてこれるでしょうか?；しかし、道具や君たちの私物を調べれば多少銅製品があるんじゃないか。；選手が競走場へ持ち込み、使用することが認められている私物は以下の通り。；会社が与えたものではなく、彼個人で契約している私物である。；毛布も私物らしいから、まとめてくるんでしまえば、ほんの一と抱えだ。；個人の私物らしい物は寝台の横に置かれた長持が一つだけしかない。；他にも、私物のジュエリーをオークションに出すなどの活動もしている。；私物を整理するつもりで研究室に赴いた古在を、一人の男が待ちうけていた。；私の車は私物のワゴンだが、案内人の車は見るからに型の古いスズキ車だ。；セットの一部にはスタッフの私物が置かれたりしていた。；ウィリアム征服王は自分と家族のために領土の大半を私物化した。；佃に久保田と一緒になって女生徒の私物を盗みに学校に忍び込んだのだ。；ただ、私物が置かれ、明らかに使用されていた形跡のある部屋が八部屋あった。；だが、株式を公開した以上、その社はすでに経営者の私物ではありません。</t>
        </is>
      </c>
      <c r="J3719">
        <f>HYPERLINK("https://www.weblio.jp/content/私物", "词义详情")</f>
        <v/>
      </c>
      <c r="K3719">
        <f>HYPERLINK("https://yourei.jp/私物", "查看例句")</f>
        <v/>
      </c>
    </row>
    <row r="3720">
      <c r="A3720" t="inlineStr">
        <is>
          <t>しぶとい</t>
        </is>
      </c>
      <c r="B3720" t="inlineStr">
        <is>
          <t>成功</t>
        </is>
      </c>
      <c r="C3720" t="inlineStr">
        <is>
          <t>［形］［文］しぶと・し［ク］強情で臆するところがない。また、困難にあってもへこたれずねばり強い。「—・い奴だ、こらしめてやる」「—・くねばる」「—・い腫(は)れ物」
[派生]しぶとさ［名］</t>
        </is>
      </c>
      <c r="D3720" t="inlineStr">
        <is>
          <t>しぶとい打撃(4%)；しぶといもの(4%)；しぶとい奴(3%)；しぶとい女(2%)；しぶといやつ(2%)</t>
        </is>
      </c>
      <c r="E3720" t="inlineStr">
        <is>
          <t>勇敢な；しつこい；したたかな；タフな；粘り強い</t>
        </is>
      </c>
      <c r="H3720" t="n">
        <v>29</v>
      </c>
      <c r="I3720" t="inlineStr">
        <is>
          <t>しぶとく生きる母の血が私にもあることを、私は雨の花に会うたびに思う。；豊田泰光がこのしぶとさを随分勉強させてもらったと著書で述べている。；態度から云つても悪人と呼ぶだけの落ち付きもしぶとさもありません。；あんなしぶとい男がつかまるなんてことがあるわけがないではないか?；しぶといものもいたが、ほとんどが一刀のもとに切り倒すことができた。；世間知らずではあっても、芯は意外に強く、しぶといようだったからだ。；喉に胃液の違和感が残っている以外には、頭も心臓もしぶとく動いていた。；黒谷一人がまだしぶとく眠っていたが、太郎が脚を蹴っとばして起した。；数年にわたって何くわぬ顔で志摩家に出入りしていたほどのしぶとい奴。；今度のやつはしぶとかったな、と田中は弾数を数えながら思った。；お前はまだ天下を望む男のしたたかさ、しぶとさが分かっておらんな。；直線では2着と馬がしぶとかったのですが、よく交わしてくれました。；それが一日経った今でも、俺の頭の中にしぶとく残っている。；鈍重なだけにしぶといほど底強い性質だと、国香はこの甥を見ているのだ。；言葉をかへていへば地球の平均のしぶとさは鋼鐵の一倍半である。；三振の少ないしぶとい打撃が持ち味で、死球での出塁も得意としていた。；驚きから回復した男の表情には、すぐさましぶとい笑いが浮かんだ。；ぼくが担当したトイレの内部の人は、あくまでしぶとくカタリとも音がしない。；町者の私にはどうやら彼らの復仇にはしぶとい正しさがあるようにも感じられる。；続いて出走したジャパンカップダートではしぶとく伸びて5着だった。；「あと少しだけお聞きしたいのですが」と、浅見はしぶとく食いついた。；監視衛星が発達した現在でもスパイ網はしぶとく生きつづけている。；いずれも暴力のプロらしく、いかにもしぶとい匂いを発散させていた。；アッパースイングのため高めの球に弱いが、球際に強くしぶとさを持つ。；口のなかで女が繰りかえしているそのひびきにしぶとさとかなしさがあった。；直線に入ってしぶとく伸びサンダラスに1馬身差をつけて勝利した。；いちばん大切なのはしぶとい根性を持つことではないですか。；レースでは直線で内からしぶとく伸びたが4着に終わり、再び放牧に出された。；見ると、バリヤーがまだしぶとく生きていて、そこでさえぎっているのだ。</t>
        </is>
      </c>
      <c r="J3720">
        <f>HYPERLINK("https://www.weblio.jp/content/しぶとい", "词义详情")</f>
        <v/>
      </c>
      <c r="K3720">
        <f>HYPERLINK("https://yourei.jp/しぶとい", "查看例句")</f>
        <v/>
      </c>
    </row>
    <row r="3721">
      <c r="A3721" t="inlineStr">
        <is>
          <t>自分</t>
        </is>
      </c>
      <c r="B3721" t="inlineStr">
        <is>
          <t>成功</t>
        </is>
      </c>
      <c r="C3721" t="inlineStr">
        <is>
          <t>読み方：じぶん
［代］
１反射代名詞。その人自身。おのれ。「—を省みる」「—の出る幕はない」「君は—でそう言った」
２一人称の人代名詞。われ。わたくし。「—がうかがいます」
[補説]江戸時代、「御自分」の形で二人称の人代名詞としても用いられた。現代では「自分、昼飯すませたか」のように、大阪方言の会話で、自分と同等の者に対する親しみを表す二人称として用いられることがある。</t>
        </is>
      </c>
      <c r="D3721" t="inlineStr">
        <is>
          <t>自分達；自分ひとり；自分のからだ</t>
        </is>
      </c>
      <c r="E3721" t="inlineStr">
        <is>
          <t>私；わたし；僕；自身；俺</t>
        </is>
      </c>
      <c r="F3721" t="inlineStr">
        <is>
          <t>御自分；自分の迂濶；自分のドm体質；自分の馬鹿さかげん；自分の馬鹿さ加減</t>
        </is>
      </c>
      <c r="G3721" t="inlineStr">
        <is>
          <t>自分自身；自分のために；自分勝手；自分本位；自分流</t>
        </is>
      </c>
      <c r="H3721" t="n">
        <v>29</v>
      </c>
      <c r="I3721" t="inlineStr">
        <is>
          <t>自分の残りの人生はそのためだけに与えられていると思っていたという。；もし自分に反対する者がいるならトレードで出て行くことになるだろう。；彼は自分のメッセージが西洋世界に特別な意味を持っていると信じていた。；その先には、ロボットが自分で手術をできるようになる可能性もある。；相手認証とはある人が他の人に自分が確かに本人であると納得させるをいう。；そのようなことで自分の行動を制限されることを孟子は良しとしない。；最初は監督は自分には合わないと考えたが演出より面白いと感じる。；反対に自分の感じた感情が弱い程覚えていないのが短期記憶である。；ひかりは自分こそ選ぶ権利など最初からないのをわかっていなかったと語る。；百座のうち自分がいくつ登ったか増えていくのを楽しみにしている読者もいる。；それぞれ自分に関係しないスペースへの立ち入りは堅く禁じられている。；他人に自分の服を洗われることを拒否し、自分で洗濯を行っていたという。；私は、君が自分を愛しているよりももっと深く君を愛している最愛のものだ。；釈迦は自分の教説のなかで輪廻を超越する唯一神の存在を認めなかった。；後年には万里小路の指導が自分の素養に大きく役立ったと感謝していた。；「柱」は自分で死ぬこともこの世界の民に討たれることも許されないこと。；絵の購入者には、自分は風景を売ったが人物はおまけだと言っていた。；ハクもまた名を奪われ、自分が何者であったのかを思い出せずにいた。；これは、本来「自分で気づかなければいけない」とされているためである。；裕福な家庭だったが、自分のことには一切お金を使おうとしなかった。；しかしヘプバーンは自分が魅力ある女性だとは思っていなかった。；を呼んで、「この品を大事に取っておいてくれ」と言って自分の耳を渡した。；そのころまだ自炊をしていたので、自分で作った料理を食べてもらったんです。；彼を支持する人たちは自分達を自由な世界に属すと考えている。；中には小さいころから自分でその問題を考えていた、という学生もいるという。；ショパンもまた自分のプレイエルのピアノを輸送するのに問題を抱えていた。；機嫌を損ねた義満は、自分の生きている間には元号を変えさせなかった。；この場合、挟んだ石はすべて自分の色に変えなければならない。；プレイヤーが全員スタンドするとディーラーは自分のホールカードを開く。</t>
        </is>
      </c>
      <c r="J3721">
        <f>HYPERLINK("https://www.weblio.jp/content/自分", "词义详情")</f>
        <v/>
      </c>
      <c r="K3721">
        <f>HYPERLINK("https://yourei.jp/自分", "查看例句")</f>
        <v/>
      </c>
    </row>
    <row r="3722">
      <c r="A3722" t="inlineStr">
        <is>
          <t>紙幣</t>
        </is>
      </c>
      <c r="B3722" t="inlineStr">
        <is>
          <t>成功</t>
        </is>
      </c>
      <c r="C3722" t="inlineStr">
        <is>
          <t>読み方：しへい
素材が紙片である貨幣。一般に政府紙幣や銀行券をいうが、狭義には政府紙幣をさす。さつ。</t>
        </is>
      </c>
      <c r="D3722" t="inlineStr">
        <is>
          <t>紙幣発行；紙幣偽造；紙幣束；紙幣用紙；紙幣印刷</t>
        </is>
      </c>
      <c r="E3722" t="inlineStr">
        <is>
          <t>札；貨幣；通貨；硬貨；マネー</t>
        </is>
      </c>
      <c r="F3722" t="inlineStr">
        <is>
          <t>高額紙幣；ドル紙幣；ポンド紙幣；フラン紙幣；贋造紙幣</t>
        </is>
      </c>
      <c r="G3722" t="inlineStr">
        <is>
          <t>紙幣識別機；紙幣整理；紙幣発行権；紙幣計算機；紙幣追跡</t>
        </is>
      </c>
      <c r="H3722" t="n">
        <v>29</v>
      </c>
      <c r="I3722" t="inlineStr">
        <is>
          <t>この時に発行された1993年シリーズ紙幣の一部は外国で印刷された。；特に日本で製造された近代的紙幣の初期の彫刻は彼の手がけた作品である。；またこの紙幣の現代の古銭的価値も数万円以上の値がつくことがある。；紙幣表面は窓や門が描かれているのに対して、裏面は橋が描かれている。；ただし、一部のATMは紙幣のみで硬貨には対応していないものもある。；アイルランド銀行は、アイルランドで独自の紙幣を発行したことはない。；ほかの紙幣でも、この記番号は表面にある額面の上方に記載されている。；ワシューガル川は紙幣の発見場所よりも上流でコロンビア川に合流する。；紙幣を光源の反対側に置くと、中央部分の黒く磁気を帯びた筋が見える。；お金を貯めるときは、貯金箱になった人の口の中に貨幣や紙幣を入れる。；総裁政府は増刷に増刷を重ね、紙幣の信用は失われて経済は破壊された。；これらの紙幣は実際の発行年とは無関係に「1997」と記されている。；アメリカの紙幣は普通の紙と異なりデンプンが含まれていなかった。；これを補うためにはもはや小額紙幣をさらに増刷する以外にはなかった。；第2次紙幣ではそれらの額面に加えて合計9種の紙幣が発行されている。；これらの新紙幣にはすべてヤヒヤ・ジャメ大統領の顔がデザインされている。；また紙幣のデザインはすべての国で共通のものとなっている。；現在中国で発行されている50元紙幣の裏面の図柄に採用されている。；あだ名は、相手を買収するときに親指で紙幣を数えて手渡したことから。；若狭野の陣屋跡地には紙幣関係業務を行った役所の建物が現存している。；また、モーシェの肖像画はイスラエルで発行された紙幣にも採用された。；なお、布や皮革で作られた紙幣などもあるが、あくまで例外的である。；この線の数と幅で紙幣の金種がわかるようになっている。；損傷していなくても、現在発行されていない旧紙幣は同様にこの交換業務の対象となる。；麻薬などの薬物を吸引する際の道具として紙幣が用いられることが多い。；そこで考え出されたのが当時流通していた50銭紙幣の利用である。；また機械が偽造と判断した紙幣等も入金できないようになっている。；このほかに明の初期には、紙幣とともに布や米も高額取引に使われた。；ユーロが導入されるまで流通していた紙幣は以下の通りである。</t>
        </is>
      </c>
      <c r="J3722">
        <f>HYPERLINK("https://www.weblio.jp/content/紙幣", "词义详情")</f>
        <v/>
      </c>
      <c r="K3722">
        <f>HYPERLINK("https://yourei.jp/紙幣", "查看例句")</f>
        <v/>
      </c>
    </row>
    <row r="3723">
      <c r="A3723" t="inlineStr">
        <is>
          <t>司法</t>
        </is>
      </c>
      <c r="B3723" t="inlineStr">
        <is>
          <t>成功</t>
        </is>
      </c>
      <c r="C3723" t="inlineStr">
        <is>
          <t>読み方：しほう
国家の統治作用のうち、法を適用して争訟を解決する作用。法に基づいて行う民事・刑事および行政事件の裁判。</t>
        </is>
      </c>
      <c r="D3723" t="inlineStr">
        <is>
          <t>司法主任(6%)；司法判断(3%)；司法裁判所(3%)；司法部(2%)；司法科</t>
        </is>
      </c>
      <c r="F3723" t="inlineStr">
        <is>
          <t>最高司法；司法権；司法界；司法相；司法長官</t>
        </is>
      </c>
      <c r="G3723" t="inlineStr">
        <is>
          <t>司法試験；司法官；司法長官；司法権；司法解剖</t>
        </is>
      </c>
      <c r="H3723" t="n">
        <v>29</v>
      </c>
      <c r="I3723" t="inlineStr">
        <is>
          <t>住民が後背地にも住むようになると、司法地区や新たな郡が形成された。；多くの管理棟が通りに建設され、大規模な司法や管理施設が建設された。；CC系の特務は、特に教育・文化系統や司法・警察に向けて拡大された。；むしろ、司法の場で裁かれるよりも身内だけで解決したいと思っていた。；司法会議の指揮・監督を受け、司法会議の方針を実施に移す任務がある。；だが、その情報は刑事・司法関係者から少しずつ事件関係者に伝わっていた。；検察官は刑事事件の司法的処理を担当することを主な任務としている。；フランスと同じく、司法訴訟と行政訴訟は別の系統の裁判所が担当する。；初期のドルイドは、祭祀のみでなく、政治や司法などにも関わっていた。；各郡には郡裁判所が設置され、治安判事が行政と司法にあたることになった。；この相対立する要請を適切に調和させることこそが、刑事司法の目的である。；新しい司法センターの一部にその再建部分を見ることができる。；公式には強力な大統領権限、議会、司法に権力を分けることになっている。；また最高裁判所を頂点とする独立した司法機構が規定されている。；ただ、行政が私人と同等の立場で行う取引は通常の司法裁判所が担当した。；その際に司法への報復テロが頻発し、イタリア社会に暗い影を落とした。；しかしこの声明について行政の司法への介入ではないかとの批判も起きた。；裁判は、司法と国家安全保障の間のアメリカ合衆国の緊張を強調した。；報道部への異動後には記者となり、司法関係を主に担当していた。；これ以後、各司法部門での裁決は大明律に基づいて行われるようになった。；第3条では政府の立法・行政・司法各府の三権分離の原則を確認している。；これは司法機能と同時に行政機能をも併せ持った機関であった。；また、行政と司法の改革をして貴族の特権を廃止して弱体化させた。；合憲説のいう「司法」理解に果たして十分な論拠があるかが疑問である。；中華人民共和国の司法に関してはいくつかの問題が内外から指摘されている。；戦国時代には大名・国人などの領主層における行政・司法の意味で用いられた。；さらに裁判所の組織など司法分野も改革の対象になった。；その後寺内内閣でも司法相を務めた後、貴族院議員・枢密顧問官を歴任。；封建制の下では、領主は行政や司法を自主的な権力で実施している。</t>
        </is>
      </c>
      <c r="J3723">
        <f>HYPERLINK("https://www.weblio.jp/content/司法", "词义详情")</f>
        <v/>
      </c>
      <c r="K3723">
        <f>HYPERLINK("https://yourei.jp/司法", "查看例句")</f>
        <v/>
      </c>
    </row>
    <row r="3724">
      <c r="A3724" t="inlineStr">
        <is>
          <t>死亡</t>
        </is>
      </c>
      <c r="B3724" t="inlineStr">
        <is>
          <t>成功</t>
        </is>
      </c>
      <c r="C3724" t="inlineStr">
        <is>
          <t>読み方：しぼう
［名］(スル)人が死ぬこと。死去。「事故で—する」「—届け」</t>
        </is>
      </c>
      <c r="D3724" t="inlineStr">
        <is>
          <t>死亡する(11%)；死亡推定時刻；死亡時；死亡例；死亡原因</t>
        </is>
      </c>
      <c r="E3724" t="inlineStr">
        <is>
          <t>最後；死；死去；死ぬ；終わり</t>
        </is>
      </c>
      <c r="F3724" t="inlineStr">
        <is>
          <t>全員死亡；受けて死亡；起こして死亡；死亡証明；巻き込まれ死亡</t>
        </is>
      </c>
      <c r="G3724" t="inlineStr">
        <is>
          <t>死亡者；死亡事故；死亡診断書；死亡記事；死亡届</t>
        </is>
      </c>
      <c r="H3724" t="n">
        <v>29</v>
      </c>
      <c r="I3724" t="inlineStr">
        <is>
          <t>海で数年かけて大きくなり、また産まれた川に戻り産卵した後死亡する。；通常は金網などで安全対策が行われるが、死亡・負傷事故も起きている。；日本では1951年から約30年間、日本人の死亡原因の一位を占めた。；関係者の話によると自宅のソファーの上で死亡したとのことである。；死亡時には首の後ろにあったコブが野球ボール大にまで大きくなっていた。；前年に生まれ18日後に死亡した兄「正八」の名をそのままつけられた。；死亡した当日に葬ったことと、陵地・陵戸がないことは、他に例が無い。；オーストラリアでは死亡例があるが、日本では報告されていない。；南棟で死亡した民間人は計630人であり、北棟の半分以下の数字だった。；死亡したことをはっきりさせたり強調する場合は「死体」と呼び区別される。；一方、東京では若い女性が突然昏倒し、やがて死亡する事件が多発する。；兵士はイエスの足も折ろうとしたが、すでに死亡していたためやめた。；とくに動脈硬化に関連する病気や死亡に対する効果が期待されている。；牛ではウイルス蔓延を防ぐために病牛は治療はせず数週で死亡する。；治療しなければ患者は数時間のうちに死亡する場合もある。；割腹して二日後に死亡したことから判断して、いわゆる切腹ではなかった。；ふたりの関係は冷めたが、佐藤が死亡するまでふたりの友人関係は続いた。；長らく彼の死亡の原因は専門家の間でも様々な説が唱えられた。；その後イギリスへ戻されたものの、この時の傷がもとで後に死亡した。；治療中の患者がその傷病で死亡した場合は、死亡診断書が作成される。；さらに12月12日には市内のホテルが襲撃を受け、3人以上が死亡した。；心臓や呼吸が停止している場合、そのまま放置しておくと間違いなく死亡する。；実際は秀信は高野山を降りた際、ないしはその2か月後に死亡している。；また、糖尿病患者はインスリンを注射しているだけで死亡率が倍になる。；工事は困難を極め、数万の人夫が工事に従事し、多数が死亡している。；こうしてジオン公国は指導者たるザビ家の主要メンバー全員が死亡した。；また関係機関との調整やアザラシが死亡した場合の対応なども助言していた。；結局バディはその施設を追い出されて間もなく貧窮のうちに死亡した。；著作権は、著作者が死亡してから70年を経過するまでの間、存続する。</t>
        </is>
      </c>
      <c r="J3724">
        <f>HYPERLINK("https://www.weblio.jp/content/死亡", "词义详情")</f>
        <v/>
      </c>
      <c r="K3724">
        <f>HYPERLINK("https://yourei.jp/死亡", "查看例句")</f>
        <v/>
      </c>
    </row>
    <row r="3725">
      <c r="A3725" t="inlineStr">
        <is>
          <t>脂肪</t>
        </is>
      </c>
      <c r="B3725" t="inlineStr">
        <is>
          <t>成功</t>
        </is>
      </c>
      <c r="C3725" t="inlineStr">
        <is>
          <t>読み方：しぼう
脂肪酸とグリセリンのエステルのうち、常温で固体のもの。動物では皮下・筋肉・肝臓などに貯蔵され、エネルギー源となる。植物では主に種子に含まれる。→セルライト</t>
        </is>
      </c>
      <c r="D3725" t="inlineStr">
        <is>
          <t>脂肪分(10%)；脂肪層；脂肪質；脂肪量；脂肪食</t>
        </is>
      </c>
      <c r="E3725" t="inlineStr">
        <is>
          <t>脂；油脂；膏；脂身；脂肪組織</t>
        </is>
      </c>
      <c r="F3725" t="inlineStr">
        <is>
          <t>余分な脂肪；含まれる脂肪；白い脂肪；動物性脂肪；厚い脂肪</t>
        </is>
      </c>
      <c r="G3725" t="inlineStr">
        <is>
          <t>脂肪組織；脂肪細胞；脂肪族；脂肪肝；脂肪の塊</t>
        </is>
      </c>
      <c r="H3725" t="n">
        <v>29</v>
      </c>
      <c r="I3725" t="inlineStr">
        <is>
          <t>脂肪が多い肉を食べるようにすると、2日以内に身体は完全に回復した。；これらはいずれも脂肪がしっかり定着しなかったことが原因と考えられる。；いくらかの個体は脂肪の層が尽きて餓死するが、これは若い個体に多い。；良質なたんぱく質が多く含まれており、皮を取るとさらに低脂肪である。；尻尾は水面を叩いて仲間に危険を伝える役割と脂肪を蓄える役割をもつ。；嚢胞内部は脂肪を豊富に含む液体成分が含まれていたことが推察される。；どの程度の脂肪が含まれていたら脂肪便と呼ぶかは必ずしも標準化されていない。；安静時や強度の低い運動時には脂肪の方が糖よりも多く使われている。；大きな下顎孔の存在はエコロケーションに用いた脂肪塊の存在を意味する。；女性と子供が赤い泥と脂肪を混ぜたものを髪と肌に塗る習慣がある。；この大きさより大きくなると、脂肪が多くなり、食用には適さなくなる。；舌も食用とされたり、脂肪が薬用になると信じられていることもある。；回腸部の膜は逆に脂肪を多く含み、厚く存在する一方で窓は見られない。；しかし、脂肪が多量に含まれている肉でないと、あまり効果が出ない。；このため、余分な脂肪が抜け出て健康的な料理になると言われている。；脂肪やタンパク質の多い食事になり日本的な食事を食べなくなったためだと放送した。；常温で液体の油脂は油を指し、一方で脂肪と呼ぶとき固体のこともある。；シュルパは脂肪の多い肉の大きな塊と新鮮な野菜から作るスープである。；眼窩の周辺が後退し、脂肪量も減少すると眼窩の周辺にくぼみができる。；長時間放置しておくと、脂肪球が凝集して上部にクリームの層ができる。；この場合は胆汁の脂肪親和作用が得られないため脂肪便となることが多い。；脂肪に水を加え、加熱してから漉したものについてはラードの項を参照。；ペイストリーは、より多くの脂肪分を含むことでパンと区別される。；食用とされたり、脂肪が伝統的に薬用になると信じられている地域もある。；ただし魚の脂肪でも消化できるものと、できない種類のものがあるので注意する。；採取した脂肪の半分は注入用に使わない為、大量の脂肪が必要になる。；全体的な組成を決定するには、脂肪含有量の追加試験が必要となる。；脂肪を定着させるには次の3つのポイントを押さえる必要がある。；なお、安静時や強度の低い運動時には脂肪の方が糖よりも多く使われている。</t>
        </is>
      </c>
      <c r="J3725">
        <f>HYPERLINK("https://www.weblio.jp/content/脂肪", "词义详情")</f>
        <v/>
      </c>
      <c r="K3725">
        <f>HYPERLINK("https://yourei.jp/脂肪", "查看例句")</f>
        <v/>
      </c>
    </row>
    <row r="3726">
      <c r="A3726" t="inlineStr">
        <is>
          <t>志望</t>
        </is>
      </c>
      <c r="B3726" t="inlineStr">
        <is>
          <t>成功</t>
        </is>
      </c>
      <c r="C3726" t="inlineStr">
        <is>
          <t>読み方：しぼう
［名］(スル)自分はこうなりたい、こうしたいと望むこと。また、その内容。「小説家—の青年」「外交官を—する」「—校」</t>
        </is>
      </c>
      <c r="D3726" t="inlineStr">
        <is>
          <t>志望者(11%)；志望するよう；志望大学；志望する者；志望する学生</t>
        </is>
      </c>
      <c r="E3726" t="inlineStr">
        <is>
          <t>思い；夢；期待；思；希望</t>
        </is>
      </c>
      <c r="F3726" t="inlineStr">
        <is>
          <t>作家志望；第一志望；歌手志望；女優志望；小説家志望</t>
        </is>
      </c>
      <c r="G3726" t="inlineStr">
        <is>
          <t>志望動機</t>
        </is>
      </c>
      <c r="H3726" t="n">
        <v>29</v>
      </c>
      <c r="I3726" t="inlineStr">
        <is>
          <t>推薦入学した者は2年次からの分野を志望時の分野から変更できない。；俳優になるまでは文学者志望だった大河内には、哲学的な性格があった。；少年時代は算数に次いで音楽が好きで、しかも海軍の道を志望していた。；元々は歌手志望で、学生の頃は地元の事務所に所属しユニットを組んでいた。；青年時代には医者志望で、そのための資金稼ぎのためボクサーになった。；当初は体育教師を志望していたが、剣友会の仕事に触れ入会を決断した。；コンビ解消後は本来の志望に沿って活動の中心を舞台公演に移した。；その後、希望を聞かれたとき、第一志望としたのは韓国への転属であった。；上述の通り負傷により脚を悪くしたことを理由に外科医を志望している。；ニューヨークにある小さなタクシー会社に運転手志望の男性が現れた。；また一定程度、推薦制度を利用して本校に第一志望で入学する者も存在する。；また元はインテリアデザイナー志望で、高校でもその勉強をしていた。；もともとは騎手志望であったが、中学卒業と同時に騎手の夢を断念する。；演劇の道を志望していたが挫折し、フジテレビ系列の制作子会社に入社。；その活動などを著書にしたことから多くの部員志望者が集まった。；当初は映画監督を志望していたが、当時は映画部門の採用があまりなかった。；当初は報道志望であったが、入社してからは主にスポーツ実況を担当している。；もともと映画監督志望だったこともあり、一部の作品では監督も務めている。；アナウンサー志望ではなかったが、入社後にアナウンス部に配属される。；進路は明治大学を志望していたが帝京大学の推薦入試を受けて入学した。；中学生時代に出会った教師の影響を受け、大学入学当初は教師を志望していた。；この事はすぐに世間に知れ渡ることになり患者や弟子志望者が殺到。；その場合は、空きのある第2志望以下の学部学科へ入学することになる。；その後、街を彷徨っていたところをカメラマン志望の男性に助けられる。；姉が一人おり、その姉が声優志望だったためその影響で自身も声優を目指したと語っている。；またデザイナー志望の若者もおり、最大30人前後で構成されていた。；入試では生物系と環境系の間で、希望すれば相互に第2志望が認められている。；両親が教員だったため自身も同じように教員を志望したが、叶わなかった。；小学5年生の頃から作曲をするようになり、中学時代に作曲家を志望する。</t>
        </is>
      </c>
      <c r="J3726">
        <f>HYPERLINK("https://www.weblio.jp/content/志望", "词义详情")</f>
        <v/>
      </c>
      <c r="K3726">
        <f>HYPERLINK("https://yourei.jp/志望", "查看例句")</f>
        <v/>
      </c>
    </row>
    <row r="3727">
      <c r="A3727" t="inlineStr">
        <is>
          <t>萎む</t>
        </is>
      </c>
      <c r="B3727" t="inlineStr">
        <is>
          <t>成功</t>
        </is>
      </c>
      <c r="C3727" t="inlineStr">
        <is>
          <t>読み方：しぼむ
［動マ五（四）］
１草花などが生気をなくしてしおれたり縮んだりする。「花が—・む」
２いっぱいにふくらんでいたものが張りを失い、縮む。「風船が—・む」
３好ましいものへの期待で大きくふくらんでいたものが、勢いを失って小さくなる。「気持ちが—・む」「夢が—・む」</t>
        </is>
      </c>
      <c r="D3727" t="inlineStr">
        <is>
          <t>枯れる；枯死する；萎える；しぼむ；しおれる</t>
        </is>
      </c>
      <c r="H3727" t="n">
        <v>29</v>
      </c>
      <c r="I3727" t="inlineStr">
        <is>
          <t>全身に漲っていた欲望が消えてしまうと、元の萎んだ風船となっていた。；胸にこみあげていた希望が萎み、絶望の暗い闇のなかに消えていった。；空の薔薇色の雲は、ほんのわずかながら、さっきより萎みはじめていた。；四人に共通な時と場所を発見したという数時間前の喜びが嘘のように萎んでいる。；私の赤い林檎、私の緋色の柘榴 何故あなたは私を萎ませて苦くしたの?；アサガオによく似た淡紅色の花は夜に向って萎む用意をしていた。；有馬は今迄の緊張が空気が抜ける風船のように萎んでいくのを感じた。；茶モリフクロウを見たときに一瞬心にはためいた幸福感が萎んでしまった。；やがて、萎んでいくように、彼女の体はゆっくりと消えていった。；言葉には出さないが、萎んでいく思いで二人は通じている。；しばらく会わないうちに一回り萎んで顔の皺とシミも深く多くなっている。；折角そうしてくれても、翌日になって見れば、その花が萎んでいるかも知れない。；萎みだしたのは三年生となり、流子と付き合うことを選んでからだと思う。；しかしこの夢を絶つとなれば、京子はますます萎んでゆきはせぬか。；また低温に弱く、冷蔵庫で保存すると萎んでしまうので常温で保存する。；さっきまでの意気揚々とした気分が萎んでいくのを感じた。；黒く萎んでいた肌が少しずつ張りを取り戻してきたようである。；身ひとりのためかのように気を小さく萎められるな。；こういった幻想は、例の詩人たちをよく読んだとき、はじめて萎みました。；彼の体は打ち直し前の〝お多福綿〟のようにクタクタに萎み切っていた。；とも子を思い出すと、全身に漲っていた生命力が萎みかけるのを感じる。；だが、それに耐え、従っていては人は息がつまり、萎んでしまう。；心臓の鼓動に合わせて膨らんだり萎んだりしているように感じる。；実際、僕もちょっとだけ萎んでいるような気持ちになった。；そしてそこに竪琴師ノ長がいた、蒼白な顔をしてすっかり萎んでしまった長が。；よほど言いにくいことなのかさっきまで勢いは萎み、急に下を向いてモゴモゴとしている。；幾日かすると、又どうかすると二三時間のうちに、花は萎んで了ふ。；なんだか体も心も萎んだような感じになった。；ドクターは疲れ果てた様子で、小さく萎んでしまったように見えた。</t>
        </is>
      </c>
      <c r="J3727">
        <f>HYPERLINK("https://www.weblio.jp/content/萎む", "词义详情")</f>
        <v/>
      </c>
      <c r="K3727">
        <f>HYPERLINK("https://yourei.jp/萎む", "查看例句")</f>
        <v/>
      </c>
    </row>
    <row r="3728">
      <c r="A3728" t="inlineStr">
        <is>
          <t>絞る</t>
        </is>
      </c>
      <c r="B3728" t="inlineStr">
        <is>
          <t>成功</t>
        </is>
      </c>
      <c r="C3728" t="inlineStr">
        <is>
          <t>読み方：しぼる
［動ラ五（四）］
１
㋐水などが染み込んだ布などを強くねじって、水分を出す。「ぞうきんを—・る」「袖を—・る（＝ひどく泣く）」
㋑強く押して締めつけたり、にぎったりして、そのものに含まれている水分や液を取り出す。「牛乳を—・る」「ぶどうを—・る」
２
㋐簡単には出てこないものを努力して、また無理に出そうとする。「声を—・って応援する」「ない知恵を—・る」
㋑無理に出させて取る。むごく取り立てる。しぼりとる。「膏血(こうけつ)を—・る」
３（「油をしぼる」の略）ひどく責めたりしかったりする。厳しく鍛える。「こってり—・られる」「猛練習で徹底的に—・られた」
４（絞る）広がった状態のものを小さくする。
㋐すぼめたり、くくって縮めたり、押し縮めて片寄せたりして、まとめる。「傘を—・る」「袋の口を—・る」「幕を—・る」
㋑範囲を狭める。整理して、取り上げる範囲をごく小さく限定する。「捜査の網が—・られる」「問題点を—・る」「的を—・る」
５（絞る）
㋐カメラのレンズの絞りを小さくする。
㋑ラジオなどの音量を小さくする。「ボリュームを—・る」
６（絞る）弓を、力いっぱい十分に張る。引きしぼる。「弓を—・る」
７（絞る）相撲で、自分の腋(わき)に相手の腕を挟み、相手の重心を浮かせるようにして締めつける。「差し手を—・る」
８（絞る）絞り染めにする。
[可能]しぼれる
[下接句]油を絞る・膏血(こうけつ)を絞る・袖(そで)を絞る・袂(たもと)を絞る・知恵を絞る・涙を絞る・脳味噌(のうみそ)を絞る</t>
        </is>
      </c>
      <c r="D3728" t="inlineStr">
        <is>
          <t>絞るような声；絞るべき</t>
        </is>
      </c>
      <c r="F3728" t="inlineStr">
        <is>
          <t>身を絞るよう；軽く絞る；絞れば絞る</t>
        </is>
      </c>
      <c r="H3728" t="n">
        <v>29</v>
      </c>
      <c r="I3728" t="inlineStr">
        <is>
          <t>けれどもそれを誰か一人の人間に絞ることはほとんど不可能な気がした。；収録曲の発売された頃に結婚した男性に購入層を絞っているようである。；少なくとも少し緊張して気力を絞れば抵抗出来る程度のものでしかない。；まだこれからもっと苦い涙をあなたの眼から絞ってあげねばなりません。；サメの仲間を思わせる魚に似た黒い動物に彼らの視野は絞られて行った。；頭のいい馬だからきっと、自分で体を絞りにかかっていたんじゃないかな。；もう一つ、注意すべきなのは検索表が候補を絞る過程であることである。；間違っても、その人と別れて彼だけに絞ろうなんて考えないでください!；ところが、事実はその捜査は軍関係に向かって絞られていたのである。；会が発展するに伴ってイエズス会の活動分野は三つに絞られていった。；その指はほんのわずかを絞るだけで人の命を奪えるとは信じられなかった。；部屋に内側から鍵でも掛けられていれば、捜査はかえって絞られるだろう。；おそらく奴は処刑にことよせておれの血を絞ろうと思ってるのかもしれん。；絞られるような腹の痛みに襲われたのは、小用のために外に出た時だった。；なかには完全に血が絞られておらず、まだ血が滴っているものもあった。；そこで多少基礎知識を身につけたエレクトロニクスに的を絞ることにした。；では物語の期間は1年間だったのに対し、本作の物語は夏に絞っている。；私はスカートの裾を手で絞るように押えながらバスに乗りうちに帰った。；そしてようやく、ポイントをどこに絞るべきかが明らかになってきた。；それは飛行機というよりも巨大なオレンジ絞りの機械みたいに見えた。；登場人物をメインに絞って描いているため実写版よりも登場人物が少ない。；上記の題材の中でも、交通警察関係等、特定の内容に絞った番組もある。；事件はもう一度急転回して、最後の絞りに近づいたような気がしたのです。；なんとか絞り出したコメントは「胸を張って帰ってきて欲しい」だった。；あまり意味もないこじつけはよして、人物関係だけに視点を絞らんとな。；投げられると今度は松井が絞や逆で応酬し殆ど落ちるまでいって離れる。；最初からそこにあることを知っていたかのような、一気に狙いを絞る視線。；だから私は、客席の中央部あたりの何人かに的を絞ることにしている。；自動絞りに対応する製品もあるが、そうでない製品では手動絞りとなる。</t>
        </is>
      </c>
      <c r="J3728">
        <f>HYPERLINK("https://www.weblio.jp/content/絞る", "词义详情")</f>
        <v/>
      </c>
      <c r="K3728">
        <f>HYPERLINK("https://yourei.jp/絞る", "查看例句")</f>
        <v/>
      </c>
    </row>
    <row r="3729">
      <c r="A3729" t="inlineStr">
        <is>
          <t>資本</t>
        </is>
      </c>
      <c r="B3729" t="inlineStr">
        <is>
          <t>成功</t>
        </is>
      </c>
      <c r="C3729" t="inlineStr">
        <is>
          <t>読み方：しほん
１商売や事業をするのに必要な基金。もとで。
２生産の3要素（労働・土地・資本）の一。新たな生産のために投入される、過去の生産活動が生みだした生産物のストック。
３資本制生産で、剰余価値を生むことによって自己増殖を行う価値の運動体。
４簿記で、企業の資産総額から負債総額を差し引いた純資産。自己資本。</t>
        </is>
      </c>
      <c r="D3729" t="inlineStr">
        <is>
          <t>資本関係(8%)；資本家(2%)；資本的；資本業務提携；資本投下</t>
        </is>
      </c>
      <c r="E3729" t="inlineStr">
        <is>
          <t>資金；資本金；元手；キャピタル；原資</t>
        </is>
      </c>
      <c r="F3729" t="inlineStr">
        <is>
          <t>地元資本；アメリカ資本；商業資本；地場資本；イギリス資本</t>
        </is>
      </c>
      <c r="G3729" t="inlineStr">
        <is>
          <t>資本金；資本家；資本論；資本主義社会；資本参加</t>
        </is>
      </c>
      <c r="H3729" t="n">
        <v>29</v>
      </c>
      <c r="I3729" t="inlineStr">
        <is>
          <t>利益の多くは、NHKとは資本関係のない企業のものになってしまった。；当然のことながら当団体とWWEの資本・人材関係は現在のところない。；資本の廃止はそれ自体が社会革命であり、生産方法全体の変化を伴います。；マカオと隣接していることから、マカオ資本主体で開発が行われてきた。；この際には建設費は約80億円で民間資本を活用して行うことが構想されていた。；この新聞社との資本関係が非常に強く、社屋も共同で使用している。；都市は急速に強い商業都市として発展し、最初の資本集中の形が見られた。；TVコマーシャルは資本関係の強い瀬戸内海放送のみで放送されている。；は、資本取引を除いた純資産の増加額から減少額を差し引いたものである。；ただしほんの四、五分で、つぎの出番がまわってくるにちがいないが。；ただしフォードモーターは引き続き7700万ドルの資本は持ち続ける。；経営不振が深刻になったため、外部資本による増資受け入れを決定した。；近代以前より、多くの時代・地域で資本は小規模に存在していた。；結局、民間資本により開発することになり、ホテルが1972年に完成。；大島はこれらの海外資本での製作理由を「日本には刺激がないから」と述べた。；ブルデューは、文化資本は経済資本に対抗して発展してきたと主張している。；合同製鋼など既存の鉄鋼資本も最終的にはゲーリングと妥協していった。；それほど高度な技術や多額な資本投下無しに製造できることが推測できる。；いわば資本家が経営の上で資本の動きを見る時と同じ視点である。；機械所有の資本家には憎悪の対象であったが、詩人には創作の霊感を与えた。；資産説から資本控除説への移行に伴う会計処理の変化は、下表のとおり。；産業資本が近代に独自の資本形態とされるのは、そのためである。；シネマコンプレックスを運営する各社の資本関係は大きく変わりつつある。；資本が取得する剰余価値を増加させるには二つの方法がある。；地元資本の勢力が強く、複数の地場スーパーがチェーン展開を行っている。；新聞との資本関係については、噂から来るものと事実を分けて記述すること。；歴史的条件として、工業の発祥となった資本や技術などの影響が挙げられる。；さらにスウェーデンとイギリスによる漁業と農業への資本投下がなされた。；政府も欧米の巨大な資本に対抗するには日本でも企業を起こしていく必要性があると考えた。</t>
        </is>
      </c>
      <c r="J3729">
        <f>HYPERLINK("https://www.weblio.jp/content/資本", "词义详情")</f>
        <v/>
      </c>
      <c r="K3729">
        <f>HYPERLINK("https://yourei.jp/資本", "查看例句")</f>
        <v/>
      </c>
    </row>
    <row r="3730">
      <c r="A3730" t="inlineStr">
        <is>
          <t>島</t>
        </is>
      </c>
      <c r="B3730" t="inlineStr">
        <is>
          <t>成功</t>
        </is>
      </c>
      <c r="C3730" t="inlineStr">
        <is>
          <t>読み方：しま
１周囲が水で囲まれている陸地。「—へ渡る」「—国」
２庭の池や泉水の中にある築山。また、池や築山などがある庭。
３ある仲間内の勢力範囲。また、その土地。なわばり。「—を荒らす」
４近世の上方で、新町・島原以外の遊郭・色町。
５罪人の送られる島。特に近世では、八丈島・三宅島など。「—流し」
６手がかり・助けとなる物事。「取りつく—もない」</t>
        </is>
      </c>
      <c r="D3730" t="inlineStr">
        <is>
          <t>島式；島全体；島状；島沖；島津家</t>
        </is>
      </c>
      <c r="E3730" t="inlineStr">
        <is>
          <t>諸島；しま；縞；群島；ストライプ</t>
        </is>
      </c>
      <c r="F3730" t="inlineStr">
        <is>
          <t>硫黄島；小さな島；大きな島；ルソン島；三宅島</t>
        </is>
      </c>
      <c r="G3730" t="inlineStr">
        <is>
          <t>島々；島式ホーム；島根県；島津；島内</t>
        </is>
      </c>
      <c r="H3730" t="n">
        <v>29</v>
      </c>
      <c r="I3730" t="inlineStr">
        <is>
          <t>南部は島の数こそ少なくなるが、北部に比べ島の面積は非常に広くなる。；それが島の未来のためだと理解しながらもコトーは返事を出来ずにいた。；それ以外は大陸や島であり、人間が居住する土地の多くは北半球にある。；かつては島式1面2線だったが、現在は駅舎側の線路が撤去されている。；州全体が島だけで構成されているアメリカ合衆国で唯一の州である。；高山地帯は島の他の地域よりも涼しく湿っている点が特徴となっている。；大陸と島など他の地理的概念と同様に、具体的かつ普遍的な定義はない。；またこれは、国内の複数の島に広がることもあって複雑なものとなっている。；しかし彼は、最期まで自らが発見した島をアジアだと主張し続けたという。；また、港は複数の島に囲まれており、一部は定期航路が設定されている。；下りホーム側に駅舎があり、島式の上りホームへは跨線橋で連絡している。；しかも島にすむ生物は、ほとんどの場合最も近い大陸の生物と近縁である。；これらの島のうち、いくつかは構造的に近くの大陸とくっついている。；山がちな島だが、島の南部はとりわけ平地が多く、人口も集中している。；しかしこのような島の存在の理由はまだよく分かっていない。；これらの説では武蔵が京に上った後、巖流島の試合が行われたことになる。；日本国の島では唯一、他の島と排他的経済水域を接していない島でもある。；島の最南端の半島にグレート・ソルト池と言う湖に近い大きな池がある。；噴火が始まったのは七島展望台と二男山の間にある斜面と考えられている。；フィジーには300以上の島があり、その大半は小島で占められている。；グレートブリテン島など大陸周辺の島もことごとく大陸と一体化していた。；主要な島々には定期便があり、他の島への便はそれほど頻繁ではない。；部分的に沈んでいる島も含めて、その数は継続的に多くなっている。；かつては単式と島式の2面3線であったが、現在は島式1面2線である。；これらの島の王国政務における影響は限定されているが、確かに存在する。；これが転じて、池や築山のある日本庭園のことを島と呼ぶこともある。；他では、島の2つの地域は、文化や習慣のほぼすべての要素を共有している。；この間11月、龍家の一族、佐栄志の娘・とまを紹介されて島妻とした。；この橋はテムズ川を渡っていたか、今はない川の中に浮かぶ島を渡っていた。</t>
        </is>
      </c>
      <c r="J3730">
        <f>HYPERLINK("https://www.weblio.jp/content/島", "词义详情")</f>
        <v/>
      </c>
      <c r="K3730">
        <f>HYPERLINK("https://yourei.jp/島", "查看例句")</f>
        <v/>
      </c>
    </row>
    <row r="3731">
      <c r="A3731" t="inlineStr">
        <is>
          <t>縞</t>
        </is>
      </c>
      <c r="B3731" t="inlineStr">
        <is>
          <t>成功</t>
        </is>
      </c>
      <c r="C3731" t="inlineStr">
        <is>
          <t>読み方：しま
１2種以上の色糸を使って織り出した縦または横の筋。また、その織物。その筋模様の出し方で、縦縞・横縞・格子縞などという。
２縞織物の筋に似た模様。「腹に—のある魚」</t>
        </is>
      </c>
      <c r="D3731" t="inlineStr">
        <is>
          <t>縞状(2%)；縞木綿；縞もよう；縞ズボン；縞縮緬</t>
        </is>
      </c>
      <c r="E3731" t="inlineStr">
        <is>
          <t>筋；ストライプ；鉱脈；バー；縞模様</t>
        </is>
      </c>
      <c r="F3731" t="inlineStr">
        <is>
          <t>碁盤縞；黒い縞；白い縞；赤い縞；細い縞</t>
        </is>
      </c>
      <c r="G3731" t="inlineStr">
        <is>
          <t>縞柄；縞目；縞瑪瑙；縞馬；縞物</t>
        </is>
      </c>
      <c r="H3731" t="n">
        <v>29</v>
      </c>
      <c r="I3731" t="inlineStr">
        <is>
          <t>現在でも人気の高い緑縞のデザインは筆記具製造当初からのものである。；口笛と一緒に元気な足音がして、下の廊下を茶縞丹前の人が通りすぎた。；スレッドカウントは縞の幅を表すだけでなく、使用されている色も示す。；短いその髪は部分的に色が変わっていて、灰色の濃淡の縞になっている。；淡色になっていても縞が明確に見える時と砂に紛れるような色の時がある。；窓から引いた光と船から引いた光とがまじつて縦横に縞を作つて居る。；結句わたしも、ドロシーダと同じような縞服の女になって行ったのです。；その小さい女は黄と黒の縞の外套をきていて、何か快活そうに笑っていた。；法被を着た男や、縞の羽織に尻端折りをして、靴をはいた男などがいた。；陽光柱の中の明るい部分と暗い部分が交互に現れる帯は縞と呼ばれる。；ただし成長につれて白・黒が互いに灰色に近くなり、縞が不鮮明になる。；南部の個体群は様々であるが、下半身や脚や後部の縞の量は少なくなる。；この二つの要素が縞枯れの出現高度を決定する条件になるといえる。；すると、その縞の中で、ひと流れの霧が急がしそうに朦朧と動き始めた。；道化の赤縞の裃は、平次が考えたように、同じものが二た組ありました。；さうして、それと共に白い縞も、自由に拘束なく、延びる様な気がした。；でも、あの縞が終つてゐるお腹の横に光つた小さな石が見えるでせう。；鉱物の粒度が大きくなり縞状の構造が顕著になったものを片麻岩という。；尾柄部に一対の白い水平な縞が入ることでも近縁他種と区別することができる。；よって、枯れた部分が、一定の幅を持った縞のように見えるのである。；そして笑われるだろうと云いながら、やはり田舎縞の綿入れを着ていた。；暗褐色の体に黄色から白色の縞が入り、その模様は成長に応じて変化する。；胸のところに、これと同じように大佐の縞がついている潜水服を着ている奴だ!；亀田地区ではかつて「亀田縞」と呼ばれる織物が盛んに製造されていた。；雌は頭上と背中が暗い茶褐色で、肩羽と喉に褐色がかった白い縞が入る。；この事から必ずしも縞枯れの形成には斜面が関係してくるのではないと考えられる。；ここでスクリーン上のどの地点に暗い縞が現れるかを計算しよう。；己が見るともなしに、奥さんの羽織の縞を見ていると、奥さんが云われた。；これはかすかな知らせであるが、朝の最初の光りの縞だってそうだ。</t>
        </is>
      </c>
      <c r="J3731">
        <f>HYPERLINK("https://www.weblio.jp/content/縞", "词义详情")</f>
        <v/>
      </c>
      <c r="K3731">
        <f>HYPERLINK("https://yourei.jp/縞", "查看例句")</f>
        <v/>
      </c>
    </row>
    <row r="3732">
      <c r="A3732" t="inlineStr">
        <is>
          <t>終い</t>
        </is>
      </c>
      <c r="B3732" t="inlineStr">
        <is>
          <t>成功</t>
        </is>
      </c>
      <c r="C3732" t="inlineStr">
        <is>
          <t>読み方：しまい
１物事が終わること。物事をやめること。「これで—にする」
２物事の終わりの部分。最後。「本を—まで読みとおす」「—にはみんな怒りだした」
３品物が売り切れてなくなること。「今日はいちごは—だ」
４化粧をすること。〈和英語林集成〉
５信用取引や清算取引で、転売または買い戻しによって、取引関係を精算すること。手仕舞(てじま)い。
６節季、特に年末の収支決算。
「毎年の—には少しづつ足らず」〈浮・胸算用・四〉
７処置すること。始末。決着。→じまい（仕舞い）
「ちと処をかへ、堺の津に行き、—をせんはいかに」〈咄・醒睡笑・七〉</t>
        </is>
      </c>
      <c r="D3732" t="inlineStr">
        <is>
          <t>終い湯</t>
        </is>
      </c>
      <c r="E3732" t="inlineStr">
        <is>
          <t>最後；落；落ち；末；結局</t>
        </is>
      </c>
      <c r="H3732" t="n">
        <v>29</v>
      </c>
      <c r="I3732" t="inlineStr">
        <is>
          <t>彼らが少し頭がおかしいとしたら事をお終いにするのは非常に楽だろう。；終いには、呼ばれた番頭がすぐには顔を出さなくなるほど何度もきいた。；私はここを通る度にパリーもこんな所のある限りは早やお終いだと思う。；だから、私たちのことはもうこれでお終いにしましょうって話したのよ。；自分のいるその場所で自ら生にお終いを下した彼女のことを考える。；たとえ噂話にしてもそいつが広まって将軍さまのお耳にでも入れば終いだ。；何かが中央計算機をいじくるようなことがあれば、我々はみんなお終いだ。；そうして終いには殺してしまいたいくらい憎らしくなって来るんです。；助役は死んだが、金を持った男が現れてお咲を気に入ればそれで終いだ。；私がお父様に打たれましたのは後にも先にも、これが初めてのお終いでした。；終いには人間の歴史の流れをすら感じ取ることができたような気がしたものだ。；それでも抵抗して終いでもう一伸び、ゴール板手前で差し返しを果たした。；連中の魔法にかかっちゃ、マシーン兵器なんていちころでお終いになる。；お終いには、ぼくはカトリックになってしまってもいいかとまで感じていた。；一度きりの電話でお終いだとしたら、不幸があったとも思えない。；しかし、なかにはまだ帰ってから店終いの仕事が残っているという者もいた。；主人に知れたら、ああ、あの人の耳に入ったら、私はもうお終いです。；車のトランクにでも入れて置いて、発見されたら、それでお終いだからね。；パンドラの卒業した中学と別のところなら、それで推理もお終いにしよう。；しかしお終いにはどちらにも重大な事柄で争いが起きましょうよ。；わたしは何度も、もう足が進まずにこれでお終いになるのじゃないかと思った。；終いには風呂敷包みのように、土佐犬の強靱な首で振り廻わされて死ぬ。；ですがわたしは、 あれでお終いになればいいと心から願ってるんです。；それで終いになったが、内藤の投げやりな口調が今も耳に残っている。；こんなところで死んだことが表沙汰になれば、氷沼家はもうお終いだ。；父は店終いのあと前の道に出て、一人満足げな面持ちで店の看板を見上げている。；では、これにてこの話はお終い、というわけには残念ながら行かなかった。；お終いには、まるで落ぶれた詐偽師とでも話しているような態度をとった。；あんまり笑ったので、終いに咳こんで、それでもまだ笑いが止まらない。</t>
        </is>
      </c>
      <c r="J3732">
        <f>HYPERLINK("https://www.weblio.jp/content/終い", "词义详情")</f>
        <v/>
      </c>
      <c r="K3732">
        <f>HYPERLINK("https://yourei.jp/終い", "查看例句")</f>
        <v/>
      </c>
    </row>
    <row r="3733">
      <c r="A3733" t="inlineStr">
        <is>
          <t>姉妹</t>
        </is>
      </c>
      <c r="B3733" t="inlineStr">
        <is>
          <t>成功</t>
        </is>
      </c>
      <c r="C3733" t="inlineStr">
        <is>
          <t>読み方：きょうだい
１片親または両親を同じくする男の子供たち。兄と弟。また、その間柄。けいてい。
２男女の別なく、片親または両親を同じくする子供たち。また、その間柄。兄弟姉妹。「姉二人、兄二人の五人—の末っ子」「—げんか」
３養子縁組みなどにより親を同じくする間柄になった者。また、自分の兄弟姉妹の配偶者または自分の配偶者の兄弟姉妹。義理の兄弟。
４親しい男性どうしが、くだけた場面で用いる呼び名。「おい—、ひとつ頼むよ」
５「兄弟分(ぶん)」に同じ。
[補説]2・3は「兄妹」「姉弟」「姉妹」とも書く。書名別項。→兄弟</t>
        </is>
      </c>
      <c r="D3733" t="inlineStr">
        <is>
          <t>姉妹艦(4%)；姉妹たち(2%)；姉妹船；姉妹都市提携；姉妹誌</t>
        </is>
      </c>
      <c r="E3733" t="inlineStr">
        <is>
          <t>兄弟；シスター；ブラザー</t>
        </is>
      </c>
      <c r="F3733" t="inlineStr">
        <is>
          <t>月田姉妹；四姉妹；三人姉妹；四人姉妹；姉妹局</t>
        </is>
      </c>
      <c r="G3733" t="inlineStr">
        <is>
          <t>姉妹群；姉妹校；姉妹車；姉妹グループ；姉妹染色分体</t>
        </is>
      </c>
      <c r="H3733" t="n">
        <v>29</v>
      </c>
      <c r="I3733" t="inlineStr">
        <is>
          <t>やでのリデル三姉妹を連れてのボート遊びは、一種の習慣となっていた。；その後しばらくして姉妹の救出はK子から行った方がよいと助言をした。；しかしのちに親への不満を共通の話題にして姉妹仲はよくなった。；またプローブはマーキュリーブランドでの姉妹モデルは存在しなかった。；このことで本大会は男子の全米プロゴルフ選手権の正式な姉妹大会になった。；この間に源義朝の娘で源頼朝の同母姉妹である坊門姫を妻に迎えている。；建造中の姉妹艦ローマ から部品を流用して修理を行ったという。；結婚に行き遅れた3人姉妹の幸せ探しをテーマにストーリー展開する。；その事実が明らかになったとき、GODの手にかかって姉妹は命を落とす。；このため、これら3つの湖は「姉妹の湖」などと喩えられることもある。；なお、姉妹品ではロゴのデザインが多少変えられている場合がある。；掲載作品がこれらの姉妹誌の間で移籍することも多い。；作者は物語の中で、母親と姉妹を現実より伝統的な型に寄せて改変している。；そして、彼の姉妹は私たちと一緒にここにいるのではないか?；姉妹仲は非常に良く、好きな時代劇をよく一緒に見たりしている。；一説には、ケイトも加えて姉妹二人で暴露公演を行ったとされている。；キンチーの姉妹は同じ頃、ビルマ共産党の指導者の1人と結婚している。；下記以外にも過去に多数、姉妹品の飴菓子が製造販売されている。；これは多くの客に受け入れられ、グレコは多くの姉妹店を出した。；姉妹の中で唯一攻撃魔法を身に付けない受け身型の能力を覚える。；これは姉妹大会のキリンチャレンジカップの場合でも同様である。；姉妹も30代になり、これからも悪魔との戦いを続けていくことに疑問を感じ出す。；この時点では、姉妹艦と区別するために甲板前部に「ス」と書かれていた。；ヨーロッパでの国際姉妹都市提携は、欧州連合によって支援されている。；大航海時代の縁で日本の長崎市と1978年以来姉妹都市提携している。；ここで姉妹は実は自分達がその昔の姉妹の霊であると打ち明け、平座する。；また四連装28mm対空機銃を姉妹艦3隻の中で唯一装備していた。；異界に向かう途中でシヴァ・メーガス3姉妹・アニマと戦うことになる。；この時、姉妹教会の関係にあった日本正教会にも自治正教会位が認められた。</t>
        </is>
      </c>
      <c r="J3733">
        <f>HYPERLINK("https://www.weblio.jp/content/姉妹", "词义详情")</f>
        <v/>
      </c>
      <c r="K3733">
        <f>HYPERLINK("https://yourei.jp/姉妹", "查看例句")</f>
        <v/>
      </c>
    </row>
    <row r="3734">
      <c r="A3734" t="inlineStr">
        <is>
          <t>しまう</t>
        </is>
      </c>
      <c r="B3734" t="inlineStr">
        <is>
          <t>成功</t>
        </is>
      </c>
      <c r="C3734" t="inlineStr">
        <is>
          <t>読み方：しまう
［動ワ五（ハ四）］《「し」は動詞「す」の連用形》
１
㋐続いていた物事を、そこで終わりにする。終業する。「仕事を—・う」
㋑商売などをやめる。廃業する。たたむ。「営業不振で店を—・う」
２終わりになる。終わる。「予定より仕事が早く—・った」「今年は花見をせずに—・った」
３使用したもの、大切なものなどを元の場所や入れ物などの中に納める。かたづける。「夏物を—・う」「雛人形を—・う」「胸のうちに—・っておく」
４信用取引や清算取引で、建玉(たてぎょく)を転売または買い戻すことによって取引を完了する。
５
㋐ないようにする。なくする。
「世の中には富（＝富クジ）で身代を—・ふもあるから」〈黄・金生木〉
㋑精算する。特に、年末の決算を済ます。
「留守のうちに手廻しよく、内証—・ひ置きけるとうれしく」〈浮・胸算用・五〉
㋒殺して結末をつける。
「ほかに—・うてやる思案もあり」〈浮・二十不孝・一〉
㋓遊里で、一定の時間や紋日に揚げ代を出して遊女を買い切る約束をする。
「あしたあの八右衛門めが—・って下の魞(いけす)へ手めえを連れていくさうだ」〈洒・娼妓絹籭〉
６（補助動詞）主に動詞の連用形に接続助詞「て」を添えた語に付く。
㋐その動作・行為が完了する、すっかりその状態になる意を表す。「早く食べて—・いなさい」「所帯染みて—・う」「あきれて—・う」
㋑そのつもりでないのに、ある事態が実現する意を表す。「負けて—・った」「まずいところを見られて—・った」
[可能]しまえる</t>
        </is>
      </c>
      <c r="D3734" t="inlineStr">
        <is>
          <t>しまうだろ(2%)；しまう可能性；しまうでしょ；しまうわけです</t>
        </is>
      </c>
      <c r="E3734" t="inlineStr">
        <is>
          <t>隠す；隠蔽する；封印する；秘匿する；もみ消す</t>
        </is>
      </c>
      <c r="F3734" t="inlineStr">
        <is>
          <t>死んでしまう；せてしまう；消えてしまう；行ってしまう；しまうかもしれ</t>
        </is>
      </c>
      <c r="G3734" t="inlineStr">
        <is>
          <t>しまうまとライオン；しまうー</t>
        </is>
      </c>
      <c r="H3734" t="n">
        <v>29</v>
      </c>
      <c r="I3734" t="inlineStr">
        <is>
          <t>手や尻を後ろに突いてしまった場合はその地点までの距離が記録となる。；だが啓蒙主義はすでに宗教を科学の世界から追放してしまったのである。；それでは自分はまったく心を変えてしまわなければならないであろうか?；その結果同じ画像をGIFにした場合よりサイズが大きくなってしまう。；母の言うように、手術でもして取ってしまおうかと思ったこともあった。；それにしてもこれほどの遺物が大切にしまわれているのを発見したとは。；やつが逃げてしまわないうちに、あたり一帯の捜査を始めないことには?；と一言のもとに笑いころげてしまわれる立場にあった人かもしれません。；それゆえに選手達の緊張の糸が切れてしまわないかが心配だったのだ。；わたしはむしろこの場から逃げ出してしまおうかと思ったくらいでした。；自分の呼吸がそのまま止まってしまわなかったのが、いまでも不思議だ。；よくその場にたおれてしまわなかったか今でも不思議に思うくらいです。；これときめた一人の男のひとに、このからだを投げてやってしまおうか。；それで、どうしてもその考えは捨ててしまわなければなりませんでした。；一般に俳優ひとりが欠けるだけでも舞台や撮影が成立しなくなってしまう。；それは土地の脈動を感ずるのであろうといってしまえば話は簡単である。；大正9年には日本社会主義同盟が結成されるが翌年に禁止されてしまう。；ただし、具体的な言語の種類で対応する「音」が異なってしまっている。；出て行ってしまったら、そのあとで戸を閉めてしまおうかと思いました。；その箱の中には、夫の身に起きたすべてのことがしまわれているのだろう。；このストライキで一時大規模なファン離れが生じる結果となってしまった。；しかし抑えきれないまま始まってしまったデモを支持する以外なくなった。；私はこのけだものと別れてしまおうと決心し、食事もせずに外へ出た。；しかし、山代はこうしたことの全部をつかさに話してしまおうと思った。；このまま目を閉じてしまおうと思ったときよりも、はるかにつらかった。；なんでも三スーのお金をすぐに使ってしまえと言い張ったようであった。；彼が病院を出てしまわないうちに、行かなければならないような気がした。；これには神々も驚き、動物に姿を変えてエジプトの方へと逃げてしまった。；女性親は男がすぐに帰ってしまわないよう男の履物を抱いて眠ったという。</t>
        </is>
      </c>
      <c r="J3734">
        <f>HYPERLINK("https://www.weblio.jp/content/しまう", "词义详情")</f>
        <v/>
      </c>
      <c r="K3734">
        <f>HYPERLINK("https://yourei.jp/しまう", "查看例句")</f>
        <v/>
      </c>
    </row>
    <row r="3735">
      <c r="A3735" t="inlineStr">
        <is>
          <t>島々</t>
        </is>
      </c>
      <c r="B3735" t="inlineStr">
        <is>
          <t>成功</t>
        </is>
      </c>
      <c r="C3735" t="inlineStr">
        <is>
          <t>読み方：しましま
長野県松本市西部の地名。上高地への入り口にあたり、北アルプス登山の中継点。</t>
        </is>
      </c>
      <c r="D3735" t="inlineStr">
        <is>
          <t>島々谷；島々集落</t>
        </is>
      </c>
      <c r="F3735" t="inlineStr">
        <is>
          <t>点在する島々；大きな島々；各島々；構成する島々；美しい島々</t>
        </is>
      </c>
      <c r="G3735" t="inlineStr">
        <is>
          <t>島々谷川；島々線</t>
        </is>
      </c>
      <c r="H3735" t="n">
        <v>29</v>
      </c>
      <c r="I3735" t="inlineStr">
        <is>
          <t>これらの島々は戦争の終わりごろには軽便鉄道で結ばれるようになった。；これらの島々にはどのように人が島に降り立ったかを説明する伝説がある。；島々が日本の統治に入った1910年以後、訪問は頻繁ではなくなった。；ひとつの巨大な大陸といくつかの島々で構成されている世界である。；オーストラリアの多くの島々では個々に標準時を持っていることがある。；主要な島々には定期便があり、他の島への便はそれほど頻繁ではない。；他のエーゲ海の小さな島々と同様に、キティラ島の人口は減少している。；これらの島々の近くでも、多数が生息しているようではないらしい。；翌年、アメリカは取り分となる東半分の小さな島々を公式に占領した。；日本列島など大陸沿岸の島々には旧石器時代から人間が居住していた。；その他に扱われた問題は河川内にある島々への対応であった。；ウィリアムズはナラガンセット湾にある他の島々にも美徳を名前とした。；そこは断崖絶壁になっており、眺望が開けて海と島々の様子が見渡せる。；なお現在のところ他の小笠原諸島の島々への侵入はないとされる。；島々の名前と上記に挙げられた名前はすべてコーツによって議論されている。；次の艦船は1804年から1807年の間のどこかでこの島々に到着した。；スリガオ市はアジアの大陸棚の縁にある島々のモザイクで形成されている。；元々、沼地であった島々は灌漑により人が住めるようになったのである。；この頃、多くの島々では首長を頂点とした社会階層が形成されつつあった。；黒川は谷を流れ下るとすぐに、島々宿よりも奥で梓川に合流している。；笠岡諸島の島々はかつて土葬を行っていたが、それは島民に限られていた。；にもかかわらず、現時点では体系化されない理論の島々が存在している状況である。；また、特にその島々の中で最大面積の大余島を指して使用される場合もある。；英語以外の諸言語で本項の島々を指す場合には、英語のまま と呼称される。；主島であるモーリシャス島と、その付近の島々で構成される島国である。；アラン諸島が湾の入口に存在し、湾内には小さな島々がたくさん存在する。；以下の島々にも島内に県境が引かれており、2つの県にまたがっている。；ほかの島々から仕事や学業のために人々が集まってきている。；ロゴグラポスは小アジアのイオニアおよびその島々の出身者が多かった。</t>
        </is>
      </c>
      <c r="J3735">
        <f>HYPERLINK("https://www.weblio.jp/content/島々", "词义详情")</f>
        <v/>
      </c>
      <c r="K3735">
        <f>HYPERLINK("https://yourei.jp/島々", "查看例句")</f>
        <v/>
      </c>
    </row>
    <row r="3736">
      <c r="A3736" t="inlineStr">
        <is>
          <t>始末</t>
        </is>
      </c>
      <c r="B3736" t="inlineStr">
        <is>
          <t>成功</t>
        </is>
      </c>
      <c r="C3736" t="inlineStr">
        <is>
          <t>読み方：しまつ
［名・形動］(スル)
１物事の始めと終わり。始めから終わりまでの細かい事情、または成り行き。いきさつ。顛末(てんまつ)。「事の—を見守る」
２ある物事の最終的な状況。特に、よくない結果。「しまいには泣き出す—だ」「万事この—だ」
３物事の締めくくりをつけること。後片付けをすること。処理。「火の—」「—に困る」「店を—して田舎に帰る」
４浪費をしないように気をつけること。また、そのさま。倹約。「用紙を—して使う」
「—な家で、ずいぶん遠く使いに出る時も交通費は出なかった」〈島木健作・生活の探求〉</t>
        </is>
      </c>
      <c r="D3736" t="inlineStr">
        <is>
          <t>始末しよ；始末記；始末書；始末すれ；始末屋</t>
        </is>
      </c>
      <c r="E3736" t="inlineStr">
        <is>
          <t>結果；影響；決定；効果；料理</t>
        </is>
      </c>
      <c r="F3736" t="inlineStr">
        <is>
          <t>その後始末；こんな始末；来る始末；言われる始末；早く始末</t>
        </is>
      </c>
      <c r="G3736" t="inlineStr">
        <is>
          <t>始末の極意</t>
        </is>
      </c>
      <c r="H3736" t="n">
        <v>29</v>
      </c>
      <c r="I3736" t="inlineStr">
        <is>
          <t>罪を許され京へ帰参するついでに、邪魔な与兵衛をも始末しに来たのだ。；といって荷物の始末には二人のうちどちらか一人居残らねばならない。；それに、その前に、古い文債も一とまず始末して置かなければならない。；彼は黙ったままで唾をはき捨てながら馬の始末をするとすぐまた外に出た。；この悶着の始末は、有名なる文者石嶺の筆で書れて今日まで遺っている。；西村がパリット・スロンで車から降りて捕虜の始末を命じたものだという。；大の男たちが、赤ん坊のように、ようやく這って歩くような始末だった。；後の始末は家来たちに任せ帰ろうといって道誓と江田はその場を去った。；砂が水を吸い込む程度以上に、水が入って来るのだから、始末が悪い。；岡田は品の悪い題名ほど客が来ると思い込んでいるから始末に負えない。；そこには彼れと妻とが泣く赤坊の始末もせずにのそりと突立っていた。；県南勢もパルコが負傷を負ったものの石井兄弟を始末したため撤退する。；時には女の始末すべきものまで彼は片付けにかかるので、栖子はいった。；行くさきさえ、その辺で聞いても分らなかった、という始末なのですから。；いつになく私の様な青二才を手頼りにして何かと相談をする始末です。；しかしバスに押されて経営は悪化するばかりで社長が次々と交代する始末であった。；その上、2人の王子が毎日毎日、彼女の気を惹こうと頑張っている始末。；それは倉地が葉子と表向き結婚のできるだけの始末をして見せる事だ。；役員に責を問われたデインはセインツに情報を流し、彼らを始末させた。；ユーケイに与えられた任務は、証拠を押さえてその魔女を始末すること。；それが思いもかけずこの始末は、どうしたと云うのであろう。；そして、この不始末が幕府にも聞こえて、同月7日に改易処分となった。；二三年前に読みたいと思つた本も未だに読まずにゐる始末である。；新生寺さんの本当の希望は他人の手を借りずに、自分で始末をつけたかったのです。；しかし困ったのは宇宙塵が本艇にぶつかって横腹へあけた大穴の始末だ。；依頼を受けることでターゲットを始末する暗殺業を生業としている。；生徒も生徒なら親も親で、懇談会を開いても誰一人として来校しない始末。；ついには自分たちを狙ってきた猟銃男さえいじって笑いを取る始末。；あべこべ砲の始末を十分につけないで、放っておいたのが、誤だった。</t>
        </is>
      </c>
      <c r="J3736">
        <f>HYPERLINK("https://www.weblio.jp/content/始末", "词义详情")</f>
        <v/>
      </c>
      <c r="K3736">
        <f>HYPERLINK("https://yourei.jp/始末", "查看例句")</f>
        <v/>
      </c>
    </row>
    <row r="3737">
      <c r="A3737" t="inlineStr">
        <is>
          <t>閉まる</t>
        </is>
      </c>
      <c r="B3737" t="inlineStr">
        <is>
          <t>成功</t>
        </is>
      </c>
      <c r="C3737" t="inlineStr">
        <is>
          <t>読み方：しまる
［動ラ五（四）］
１固くひねったり、強く引っぱったりして緩みやあきのない状態になる。「帯が—・る」「瓶のふたがきちんと—・らない」
２からだつきや顔つきにたるんだところがなくなり引きしまる。「かたく—・った筋肉」「身の—・るような冷気」「—・った口もと」
３（「緊まる」とも書く）心や態度にすきがなく、しっかりする。その場の状態・ようすがぴりっとなる。緊張する。「最後まで—・っていこう」「彼がいると座が—・る」「—・らない話」
４生活態度がまじめになる。品行がよくなる。「さすがの遊蕩児も—・ってきた」
５むだな出費がなくなる。倹約・節約する。「こう物価高では—・らざるをえない」
６相場が堅調になる。「相場が—・ってきた」
７（閉まる）あいていた戸・門などがぴったりとじられる。「ドアは自動的に—・る」「カーテンが—・る」⇔開(あ)く。
８（閉まる）その日の営業・業務が終了する。終業する。「店が—・る」「銀行は三時に—・る」⇔開(あ)く。</t>
        </is>
      </c>
      <c r="F3737" t="inlineStr">
        <is>
          <t>立てて閉まる；たてて閉まる；開いて閉まる；自然に閉まる</t>
        </is>
      </c>
      <c r="H3737" t="n">
        <v>29</v>
      </c>
      <c r="I3737" t="inlineStr">
        <is>
          <t>窓はまだ閉まったままで、若者が起きているかどうかもわからなかった。；これまで閉まっていたところしか見たことのなかった鉄の扉が開いていた。；いま半ば開いたばかりのドアが、子供たちの背中ごしにふたたび閉まる。；大半の店は一日の営業を終えて閉まっていたが、人どおりはまだあった。；ところが門を押し開けようと手を出すと、鎖がかけられて閉まっていた。；写真奥に見える工場内に列車が入っている時には扉が閉まっている事が多い。；老人の出たあとでドアが閉まると、ナポレオンは友人にむかっていった。；扉が閉まると王妃は垂れ幕の後ろから出てきたが、机の上を見て驚いた。；エントランスの階段を上りかけると、背後で車のドアの閉まる音がした。；それから南の端に行き、閉まっている戸を音がしないように僅かに開けた。；三日という約束だったが、最後の日に来て見ると、ドアが閉まっていた。；のみならず、どうしたことか、実家の門は、昼も夜もなく閉まっている。；内側から鍵が閉まっていれば、再びここから外に逃げたとは思われにくい。；「まだ生きていたな」ドアが完全に閉まるのを待って鹿瀬が口を開いた。；ドアが閉まろうとしたとき、カークは何か人声を聞いたような気がした。；ペニングトンが出たあと、ドアが閉まるとレースは深いため息をついた。；「これが多くの代理を務めるさ」 彼は姿を消し背後でドアが閉まった。；エレベーターの扉が閉まると、中年男は、困ったような顔で息をついた。；イリヤはドアが音一つ立てたわけではないが、背後で閉まるのが分った。；立ったまま室内を見渡していると、玄関のドアが乱暴に閉まる音がした。；博物館の門は閉まっていたが、界児の言葉では通用門が開いているはずだ。；後ろでエレベーターのドアが閉まる音が聞こえ、はっとして振り返った。；カーテンはすっかり閉まっていたが、表のガラス戸は細めに開いていた。；ドアが閉まったので、もうなにも見るべきものはなくなってしまった。；それからドアが閉まりかけたので、あわててとびこむとボタンを押した。；町の商店もみな閉まってしまい、撤退した植民地の切れっぱしのようだ。；すると階段はゆっくり上に動きはじめ、ハリーの背後で壁が閉まった。；音も立てずに光の帯が消え、閉まった襖の奥から初太郎が重い咳をした。；扉がまた閉まって彼の姿が見えなくなろうとするとき、彼を呼びもどした。</t>
        </is>
      </c>
      <c r="J3737">
        <f>HYPERLINK("https://www.weblio.jp/content/閉まる", "词义详情")</f>
        <v/>
      </c>
      <c r="K3737">
        <f>HYPERLINK("https://yourei.jp/閉まる", "查看例句")</f>
        <v/>
      </c>
    </row>
    <row r="3738">
      <c r="A3738" t="inlineStr">
        <is>
          <t>締まる</t>
        </is>
      </c>
      <c r="B3738" t="inlineStr">
        <is>
          <t>成功</t>
        </is>
      </c>
      <c r="C3738" t="inlineStr">
        <is>
          <t>読み方：しまる
［動ラ五（四）］
１固くひねったり、強く引っぱったりして緩みやあきのない状態になる。「帯が—・る」「瓶のふたがきちんと—・らない」
２からだつきや顔つきにたるんだところがなくなり引きしまる。「かたく—・った筋肉」「身の—・るような冷気」「—・った口もと」
３（「緊まる」とも書く）心や態度にすきがなく、しっかりする。その場の状態・ようすがぴりっとなる。緊張する。「最後まで—・っていこう」「彼がいると座が—・る」「—・らない話」
４生活態度がまじめになる。品行がよくなる。「さすがの遊蕩児も—・ってきた」
５むだな出費がなくなる。倹約・節約する。「こう物価高では—・らざるをえない」
６相場が堅調になる。「相場が—・ってきた」
７（閉まる）あいていた戸・門などがぴったりとじられる。「ドアは自動的に—・る」「カーテンが—・る」⇔開(あ)く。
８（閉まる）その日の営業・業務が終了する。終業する。「店が—・る」「銀行は三時に—・る」⇔開(あ)く。</t>
        </is>
      </c>
      <c r="D3738" t="inlineStr">
        <is>
          <t>閉じる；閉まる；クローズ；塞がる</t>
        </is>
      </c>
      <c r="H3738" t="n">
        <v>29</v>
      </c>
      <c r="I3738" t="inlineStr">
        <is>
          <t>固く体が締まったアンコ型で、右差しで頭を付けての寄りを得意とした。；ホームに降りていると急にパッと締まって、列車が行っちゃいますからね。；そのうちにふと警官は気づいて窓の側によると、一つ一つ締まりを調べてみた。；ハテな、中から締まりがしてないのでは、今に戻って来るのじゃないかな。；坐った際膝頭の後ろが盛り上がったのは肉が締まっているからである。；友人たちの財布の紐が締まるのを見るようなことは、一度もなかった。；お歳をめしましたら少しは白い毛がないと締まりがのうていきません。；それでも彼は半七の手前、今後はきっと取締まると繰り返して云った。；女はあの時もドアが締まるのを待ちかねたように身を寄せて来た。；すぐ横の流しでは、栓がしっかり締まってないために水が細く流れていた。；口は大きくて、締まっていて、薄い唇には、残忍の気配を漂わせている。；それから川の方の壁に締まった戸のあったことを思い出した。；なかから二重に締まりがしてあったのだから、誰もそこへ入ることは出来なかった。；特に、河川に生息していた個体は身が特に締まっており、歯ごたえも良い。；が、意外にも中から締まりがしてあると見えて扉は堅く鎖されている。；歯をくいしばったので、顎のあたりの筋肉の締まるのが二人に見えた。；彼が今潜り込んできた隠し戸がぴったりと締まっているではないか。；よく締まった茶葉は容易に開かずまたそのことが質の良いことの証明でもある。；格好のいい唇もどこか締まりがなく、眼の色にも聡明さがなかった。；膣の中も、さっきまでの締まりとは比較にならないぐらい締めつけてくる。；お友達は手にしたピストルで頭を射たれていて、ドアも窓も締まっていました。；少し環が大きすぎたので、もう一度ちょうど首が締まるくらいに結び直した。；機械室のドアが締まり、二人の声は断ち切るように聞こえなくなった。；そうされながらも、彼女は自分の腰の環がきつく締まってゆくのを感じていた。；べーとペー、二人は、呼び名としては締まらない調子の友人同士だった。；ところが、運の悪いことには、甥のうちまで行くと表の戸が締まっている。；太腿はキュッと締まっていたが、女性の中心が固くなっているのを感じた。；それの締まりをする細引はちゃんと折れ釘に結びつけたままになっていた。；その締まっていたのを警察は釘のためだと思って、それから先を研究しなかったのだね。</t>
        </is>
      </c>
      <c r="J3738">
        <f>HYPERLINK("https://www.weblio.jp/content/締まる", "词义详情")</f>
        <v/>
      </c>
      <c r="K3738">
        <f>HYPERLINK("https://yourei.jp/締まる", "查看例句")</f>
        <v/>
      </c>
    </row>
    <row r="3739">
      <c r="A3739" t="inlineStr">
        <is>
          <t>自慢</t>
        </is>
      </c>
      <c r="B3739" t="inlineStr">
        <is>
          <t>成功</t>
        </is>
      </c>
      <c r="C3739" t="inlineStr">
        <is>
          <t>読み方：じまん
［名］(スル)自分で、自分に関係の深い物事を褒めて、他人に誇ること。「—ののど」「成績を—する」
[派生]じまんげ［形動］</t>
        </is>
      </c>
      <c r="D3739" t="inlineStr">
        <is>
          <t>自慢する(8%)；自慢話(5%)；自慢できる；自慢じゃない；自慢そう</t>
        </is>
      </c>
      <c r="E3739" t="inlineStr">
        <is>
          <t>見え；得意；誇り；誇る；吹く</t>
        </is>
      </c>
      <c r="F3739" t="inlineStr">
        <is>
          <t>力自慢；腕自慢；御自慢；料理自慢；器量自慢</t>
        </is>
      </c>
      <c r="G3739" t="inlineStr">
        <is>
          <t>自慢たらしく；自慢たらしい</t>
        </is>
      </c>
      <c r="H3739" t="n">
        <v>29</v>
      </c>
      <c r="I3739" t="inlineStr">
        <is>
          <t>父の自慢した時計が、やはり正確でなかったのかと思ったのであります。；たいへんによくできたアロハ・シャツで、彼の自慢のものだったのです。；フランスにしばらくいた男で、カクテルには、自慢の腕を持っています。；お前のお母さんは、まさかお前を自慢するわけにもいかないでしょう。；本人も自慢らしく吹聴していたので、友達らは皆その話を知っていた。；そして凡てが明かになってから君に見せて、自慢したかったのだろう。；最晩年まで入れ歯を用いず、自分の歯であることが自慢のひとつであった。；直接かつ霊的な接近がキリストとの間にあるという自慢であったのである。；僕はいつか遊び時間に僕等の家にあるものを自慢し合つたことを覚えてゐる。；スネ夫は自分が所持する大きなおもちゃのロボットの自慢話をしていた。；僕はいつか遊び時間に僕等の家にあるものを自慢し合ったことを覚えている。；彼女は市場の相場の変動によって料理の価を変えないことを自慢にした。；母思いのむす子は、母の前では母に厳しく、母の陰では母が自慢であった。；彼は自分の頤鬚よりも、むしろその堂々たる体格の方を自慢にしている。；スポーツ自慢の芸能人達が様々なスポーツ競技で鬼レンチャンを目指す。；家康がサイコロを振り、出た目の将軍が統治の自慢話を話していく。；私は芸術品が好きで、この邸宅を自慢していると知っているでしょう。；ある都道府県の人に自慢できる物のアンケートを取りベスト30を作成。；少年は決して自分の勝利を自慢するような風をしなかった。；自分をめぐる自慢話ではなく、アメリカについての自慢話だったようだ。；田舎の家なんていふものは、古いのを自慢にしてるんだからね。；毎年ファン感謝デーにはギターと自慢の歌声をファンに披露している。；彼は自分が金持ちであることに満足してはいたが、それを自慢したりしなかった。；陰謀とか自慢とか脅しだけならたやすいが、こと殺人となれば全く別だ。；事ある毎に筋肉を見せつけてくるが、それが自慢なのか威嚇なのかは不明。；あたくしの場合は、そんなこと自慢のつもりで申しあげてるんじやないの。；またこれは腕のいい料理人にとり自慢の腕を振るう格好の機会でもあった。；普通の箱の三四倍もある、この百貨店自慢の大エレベーターである。；戦後、北海道の空を日の丸のついた飛行機で初めて飛んだことが自慢だという。</t>
        </is>
      </c>
      <c r="J3739">
        <f>HYPERLINK("https://www.weblio.jp/content/自慢", "词义详情")</f>
        <v/>
      </c>
      <c r="K3739">
        <f>HYPERLINK("https://yourei.jp/自慢", "查看例句")</f>
        <v/>
      </c>
    </row>
    <row r="3740">
      <c r="A3740" t="inlineStr">
        <is>
          <t>染み</t>
        </is>
      </c>
      <c r="B3740" t="inlineStr">
        <is>
          <t>成功</t>
        </is>
      </c>
      <c r="C3740" t="inlineStr">
        <is>
          <t>読み方：しみ
１液体などが部分的にしみついて汚れること。また、その汚れ。「インクの—」「洋服の—を抜く」
２なかなか消えない過去のいやな記憶。また、消してしまいたいと思う不名誉な点。汚点。「心の—」「経歴に—がつく」
３顔などに生じる、褐色の色素沈着。肝斑(かんぱん)。</t>
        </is>
      </c>
      <c r="D3740" t="inlineStr">
        <is>
          <t>染みこん(6%)；染み出し(4%)；染みこま；染みひとつ；染み出す</t>
        </is>
      </c>
      <c r="E3740" t="inlineStr">
        <is>
          <t>汚れ；しみ；スポット；斑点；染</t>
        </is>
      </c>
      <c r="F3740" t="inlineStr">
        <is>
          <t>赤い染み；垢染み；気違い染み；小さな染み；子供染み</t>
        </is>
      </c>
      <c r="G3740" t="inlineStr">
        <is>
          <t>染みつい；染み込ま；染みる；染み付い；染み込む</t>
        </is>
      </c>
      <c r="H3740" t="n">
        <v>29</v>
      </c>
      <c r="I3740" t="inlineStr">
        <is>
          <t>先ほども言ったように失敗が既にどこか病気染みたところを持っていた。；頭が下になっていたが、どす黒い血がゆっくりと床に染みを作っていた。；そのうちに血は、赤ん坊の頭の皮膚まで染み通って行くに違いなかった。；こんな非効率的な場所に居住すること自体、犯罪染みていると思わんか?；恐怖な形で赤い血の色で染みつけられてあるように、描かれたこともある。；少年染みた髪の形になった自分の頭が、彼の眼に鮮明に浮び上ってきた。；そんな殊勝な行いと縁のない連中だってことは身に染みて理解している。；全身の血がしぼり出されたように、血は金盥を越え畳一面に染みていた。；この材料にこの色をどうやって染みこませたのだろうと不思議だった。；何もない、誰の手もないことの空虚さの方が、今の晴子には身に染みた。；はじめて壁の染みに気がついたのは今年の一月の半ば頃だったろうか。；天井から雨水でも染み出しているのか、遠くの方で小さな水滴音がする。；彼の言葉は香澄の心の奥に染みこんで、なにか大切なものを探している。；髪の形も着物も、東京の少女に較べると、かなり田舎染みて見えました。；どちらかといえば、染みが私の空想を邪魔したのは好もしいことだった。；僕のズボンには、どう見ても行為のあとといった白い染みがついている。；白いテーブルクロスには、ワインのものだと思われる小さな染みがある。；けれども彼女がやったのは手袋で窓の染みを執拗に擦ることだけだった。；小さな染みが、影が落ちたかのように入り乱れる生徒達の足元に現れた。；一万年のあいだに降った雨も、この黒い染みを洗い落とせなかったのね。；この泥と雨の中でも、フルートの足にはいつもあの緑の染みがついている。；祐子自身が若さを売り物にしてきたからこそ身に染みてわかっていた。；湿気に強く染みや汚れがつきにくい点を考えれば実用性も高いと言える。；家には、暮らしている人たちの人柄が染みこんでいるのだと俺は思う。；その右端、クルージの頭のあったところに大きな血の染みがついている。；少女が座っていたアスファルトに、赤い染みがあったような気がした。；それに、よく見ると、赤い染みがついているのは顔だけではなかった。；何人かの英国の女性は、月経血の染みを提示して、公に抗議しました。；ヴィシュヌは全ての物と生物に染みわたっていると描写されている。</t>
        </is>
      </c>
      <c r="J3740">
        <f>HYPERLINK("https://www.weblio.jp/content/染み", "词义详情")</f>
        <v/>
      </c>
      <c r="K3740">
        <f>HYPERLINK("https://yourei.jp/染み", "查看例句")</f>
        <v/>
      </c>
    </row>
    <row r="3741">
      <c r="A3741" t="inlineStr">
        <is>
          <t>地味</t>
        </is>
      </c>
      <c r="B3741" t="inlineStr">
        <is>
          <t>成功</t>
        </is>
      </c>
      <c r="C3741" t="inlineStr">
        <is>
          <t>読み方：じみ
［名・形動］
１形や模様などにはなやかさがなく、目立たないこと。また、そのさま。「—な服装」「—づくり」⇔派手(はで)。
２性質や物の考え方・生活態度などが、飾り気がなくて控え目なこと。また、そのさま。質素。「—で目立たない生徒」「—な商売」「—に暮らす」⇔派手。
３⇒ちみ（地味）
[補説] 「地味に」の形で、俗に、程度は小さいが確かにある、また、はなやかさはないが良い、などの意で用いられることがある。「突き指が—に痛い」「—においしいふりかけ」</t>
        </is>
      </c>
      <c r="D3741" t="inlineStr">
        <is>
          <t>地味な存在；地味な色；地味な服装；地味な印象；地味なスーツ</t>
        </is>
      </c>
      <c r="E3741" t="inlineStr">
        <is>
          <t>素直；素朴；保守的；おとなしい；質素</t>
        </is>
      </c>
      <c r="F3741" t="inlineStr">
        <is>
          <t>地味なネクタイ；地味な黒；地味な花；地味な身なり；地味な和服</t>
        </is>
      </c>
      <c r="G3741" t="inlineStr">
        <is>
          <t>地味婚；地味井平造</t>
        </is>
      </c>
      <c r="H3741" t="n">
        <v>29</v>
      </c>
      <c r="I3741" t="inlineStr">
        <is>
          <t>地味はよいらしいのであるが、一つ困ることは、水が足りない点である。；地味な人物である夫のルイ16世を見下しているところもあったという。；当初は描きだめしており、1話目は地味なものを選んだとのことである。；クラスの女子からは地味系と分類され、自分の現状に不満を募らせいた。；花は地味な色のものが多いが、動物じみた異様な印象を与えるものが多い。；概して地味な羽色だが、一部の種の雄は派手な色の羽や飾り羽を持つ。；先生は佐久地方の地味が水蜜桃に適すると気づいた最初の人でしたろう。；地味ではあるが実戦用の外装で、製作当時の姿を残した貴重な作品である。；善意のタイガーさんたちは普段は地味な仕事をコツコツしているタイプ。；古典様式ではあるが、同時代の建築物の中では比較的地味な外観を持つ。；色合から云ふと、もつと地味で、気持から云ふと、もう少し沈んでゐた。；文筆的には地味であるが、理論上の必要から正当に注目されるべき書物だ。；これまで地味だった常服は、この改正でより洗練されたものとなった。；しかし曲が地味で盛り上がりに欠けたのか、こちらは数週で終了している。；色合から云うと、もっと地味で、気持から云うと、もう少し沈んでいた。；花は小さくて地味なものが多く、ほとんどはその大きさが1cm以下である。；けれども、物堅い地味な人だと云うだけは、父が三人の前で保証した。；真理子は美人であったが男性に好かれないようにと地味な格好で生活していた。；翅の表は虹青色をしているが、裏は地味な黒と茶色の色合いをしている。；普通のときに出していたら、良い曲だけど地味だ、っていわれるだけ。；その一方で地元日本のスポーツ紙での扱いは地味なものであった。；地味で堅実なスタートであったが、チームは予算不足に苦戦していた。；以降は、地味だが重要な役を何度も果たし、物語終了まで生き残った。；本種は花が小さくて色も形も地味であり、個々の花の観賞価値は高くない。；その他、一見地味だが珍しい生態を持つ魚もおり、見るべきところは多い。；これには、打率の低さや存在の地味さが関係しているとみられる。；この中でも地味な仕事には、番組ADで堀の同期の権田祐輔が呼ばれる。；それが彼の宗教であり、この地味な然し偉大な苦業者の行なのである。；一方、妻の妙子は裕福な家庭に育ち、地味な夫への不満を募らせている。</t>
        </is>
      </c>
      <c r="J3741">
        <f>HYPERLINK("https://www.weblio.jp/content/地味", "词义详情")</f>
        <v/>
      </c>
      <c r="K3741">
        <f>HYPERLINK("https://yourei.jp/地味", "查看例句")</f>
        <v/>
      </c>
    </row>
    <row r="3742">
      <c r="A3742" t="inlineStr">
        <is>
          <t>しみじみ</t>
        </is>
      </c>
      <c r="B3742" t="inlineStr">
        <is>
          <t>成功</t>
        </is>
      </c>
      <c r="C3742" t="inlineStr">
        <is>
          <t>読み方：しみじみ
［副］
１心の底から深く感じるさま。「世代の違いを—（と）感じる」「親の有難さが—（と）わかる」
２心を開いて対象と向き合うさま。「友と—（と）語り合う」
３じっと見るさま。「—（と）自分の顔を眺める」</t>
        </is>
      </c>
      <c r="D3742" t="inlineStr">
        <is>
          <t>しみじみと感じ(4%)；しみじみ思う(2%)；しみじみと眺め；しみじみと思う；しみじみと身</t>
        </is>
      </c>
      <c r="E3742" t="inlineStr">
        <is>
          <t>強く；深く；ぐっと；熟；ぐんと</t>
        </is>
      </c>
      <c r="F3742" t="inlineStr">
        <is>
          <t>しみじみと味；しみじみと見つめ；しみじみと呟い；しみじみとつぶやい；妙にしみじみ</t>
        </is>
      </c>
      <c r="H3742" t="n">
        <v>29</v>
      </c>
      <c r="I3742" t="inlineStr">
        <is>
          <t>君のような男から愛されていることをしみじみと感じた日なんだからね。；いずれにしても木之助は時の移りをしみじみ感じなければならなかった。；二人はこの二三時間が自分たちの時間であることをしみじみと感じていた。；あなたとしみじみした別れをすることができなかったのを残念に思います。；あの暗いみぢめな、宗教に本質的な傷ましさが僕にしみじみするのです。；秘密を分けあっているという思いで、しみじみとするようなこともある。；こんな女を長らく自分のそばにおいておいた不覚がしみじみ感じられた。；ここの生活は空想と現実の差をしみじみと人々に思わせるのであった。；その茶室から静かに庭を眺めて、しみじみここは京都だと啓造は思った。；私は現在ひとの奥さんだけれど、しみじみこんな事を考える折がある。；私は教授とベッドのそばに並んで、彼女の死顔をしみじみ眺めながらいった。；正夫さんにも申したことですが私はしみじみと出家のねがいを感じます。；その時には感じなかった一人の尊さを、しみじみと思わせられたのだ。；外国へ来て見て、留学中と称する諸先生にあって、しみじみそう思うなあ。；作者は秋の暮に当って、その古い小口にしみじみと目をとめたのである。；テレーズの心のやさしさを、このときほどしみじみと感じたことはない。；そのときしみじみと静かな Refuge を求めたい気がするのである。；メグはしみじみと喜びを表現すると、例の手紙を長いこと眺めていた。；一昨日の晩であったかKさんが始めて家へ来てしみじみ話して行った。；そのとき赦されのありがたさがいかにしみじみと感ぜられたであろうか。；私は秘密と云う物の面白さを、子供の時分からしみじみと味わって居た。；あまり大きな顔をしてはいけないものだと、しみじみとわたしは思わせられた。；あるとき彼はそのときの恐ろしさを俺に向かってしみじみと語ったことがある。；彼女は彼をしみじみとした様子でながめ、強くその両手を振り動かして言った。；しみじみと礼の言葉をかけられたことなど嘗て覚えのないことだし意外だった。；自分の娘としての全てに、そうやってしみじみと別れを告げたかった。；彼女は一寸びっくりしたらしく、それからしみじみと僕の顔を眺めた。；あの時の音や映像に触れる度にすごくしみじみ感じることが多くてさ。；それだけの事で葉子の心はもうしみじみとしたものになっていた。</t>
        </is>
      </c>
      <c r="J3742">
        <f>HYPERLINK("https://www.weblio.jp/content/しみじみ", "词义详情")</f>
        <v/>
      </c>
      <c r="K3742">
        <f>HYPERLINK("https://yourei.jp/しみじみ", "查看例句")</f>
        <v/>
      </c>
    </row>
    <row r="3743">
      <c r="A3743" t="inlineStr">
        <is>
          <t>地道</t>
        </is>
      </c>
      <c r="B3743" t="inlineStr">
        <is>
          <t>成功</t>
        </is>
      </c>
      <c r="C3743" t="inlineStr">
        <is>
          <t>読み方：じみち
［名・形動］
１手堅く着実に物事をすること。地味でまじめなこと。また、そのさま。「—な努力をする」「—に働く」
２普通の速さで歩くこと。また、馬を普通の速さで進ませること。なみ足。→早道(はやみち)
「—に歩む馬に乗り」〈浮・栄花一代男〉
[派生]じみちさ［名］</t>
        </is>
      </c>
      <c r="D3743" t="inlineStr">
        <is>
          <t>地道な活動(6%)；地道な努力(6%)；地道な作業(2%)；地道な捜査(2%)；地道な研究</t>
        </is>
      </c>
      <c r="E3743" t="inlineStr">
        <is>
          <t>着実；堅実；一歩一歩；堅気；確実</t>
        </is>
      </c>
      <c r="F3743" t="inlineStr">
        <is>
          <t>地道な訓練；地道な改良；地道な生活；地道な営業；こつこつと地道</t>
        </is>
      </c>
      <c r="H3743" t="n">
        <v>29</v>
      </c>
      <c r="I3743" t="inlineStr">
        <is>
          <t>その間に好きではあるが専門分野でない歴史の知識を地道に重ねたという。；このような地道な努力が身を結び、ゼロは百二十五万部を突破しました。；芸術や文学の中の、極めて特殊な分野の編集を長年地道に行ってきた。；だが、表面の華々しさが消えたぶん、地道な需要が根をおろしたようだ。；しかし一度体験した成功体験を地道に継承していくことは必要である。；ジェームズには要領の良さがあったが、地道さには欠けていたのである。；ごく地道に道理の糸を辿って行けば、どうもそういうことになりそうだ。；やはり単なる想像なのかと、地道な聞き込みを続けながら笹垣は思った。；地道な苦労をする気はないのだから、職を見つけられるはずもない。；ぼくも地道な作業は投げ出したいタイプだから、人のことは言えないけど。；更に地道の死後、組の名跡を断絶させられるなど厳重な処分が行われた。；名古屋市工業研究所でも、セミナーを開催するなど地道な努力を重ねた。；そうやって、地道に評判を得ていくしかないのだと、バルサは思っていた。；があり、新幹線の速度向上はこれからも地道に続いていくと思われる。；同作は、焼き鳥屋でバイトをしながら5ヶ月かけて地道に描いたという。；何のためにこんな苦しく地道な練習をやってるんだってことになる。；事件から二ヶ月後、警察の地道な捜査がついに一つの実を結んだ。；トーレスは日本人ロレンソ了斎などの協力者を得て地道な宣教を続けた。；術の効果が永続するなら、地道に勉強する必要などなくなってしまう。；ついでに、地道に資料を調べるのも、どっちかというと苦手な方なんだ。；そうやって周りに支えられ、頭を低くして、地道に生きていけばよかったのだ。；働いたり金を稼いだり地道に生活することをどこかで軽蔑していた。；捜査畑にいても、地道に歩いて、調査を積み重ねていくタイプだった。；それならば、と、彼女の地道な修業に私も力を藉す約束ができると信じた。；地道に本を読んでいけば、いつかは国語が得意になるかもしれない。；地道は「自分の独断だが、田岡から承認を受ける自信はある」と答えた。；大きな規模での世界平和は、個人のそうした地道な平和活動から始まる。；どうして地道な仕事について、夜は家にいるようにしなかったんだ。；どの車も閉鎖された進入路の手前で、地道の方へ迂回しているのだ。</t>
        </is>
      </c>
      <c r="J3743">
        <f>HYPERLINK("https://www.weblio.jp/content/地道", "词义详情")</f>
        <v/>
      </c>
      <c r="K3743">
        <f>HYPERLINK("https://yourei.jp/地道", "查看例句")</f>
        <v/>
      </c>
    </row>
    <row r="3744">
      <c r="A3744" t="inlineStr">
        <is>
          <t>染みる</t>
        </is>
      </c>
      <c r="B3744" t="inlineStr">
        <is>
          <t>成功</t>
        </is>
      </c>
      <c r="C3744" t="inlineStr">
        <is>
          <t>読み方：しみる
［動マ上一］［文］し・む［マ上二］
１液体や気体が他の物に移りついて、次第に深く広がる。また、にじんで汚れる。しむ。「味が—・みる」「匂いが—・みる」「汗の—・みた下着」
２液体や気体などの刺激を受けて痛みを感じる。しむ。「消毒薬が傷口に—・みる」「歯に—・みる」
３心にしみじみと感じる。しむ。「親切が身に—・みる」
４好ましくない気風の影響を受けて、その傾向をもつようになる。そまる。しむ。「悪習に—・みる」
[用法]しみる・にじむ——「血のしみた（にじんだ）手ぬぐい」「汗のしみた（にじんだ）シャツ」のように、濡れて広がる意では相通じて用いられる。◇「しみる」は液体・気体・におい・味や外部からの刺激などが、内部にまで入りこむことで、「煙が目にしみる」「寒さが身にしみる」「煮物は味がしみるのに時間がかかる」「心にしみる音楽」などという。◇「にじむ」は、その部分から周囲へ広がる、また、内部から表面に出てくる意で、「絵の具の色がにじむ」「落ちた涙で字がにじむ」「涙で街灯がにじんで見える」「涙がにじみ出る」などと用いる。
[下接句]肝に染みる・骨に沁みる・骨身に沁みる・身に沁みる・目に染みる</t>
        </is>
      </c>
      <c r="D3744" t="inlineStr">
        <is>
          <t>染みるような純白</t>
        </is>
      </c>
      <c r="H3744" t="n">
        <v>29</v>
      </c>
      <c r="I3744" t="inlineStr">
        <is>
          <t>その時の、なんだか楽になるような、身に染みる思いは俺にも経験がある。；姿勢が良いためか着物も着崩れておらず、足袋も目に染みるほど白い。；そのえんじを主調にしたあでやかな色ぼかしが目に染みるようであった。；だけど、足の裏まで染みる落ち着きを提供してくれる、心地良い匂いだ。；そこに立つと、雄一郎の心の中まで、竹の青が染みるようであった。；オーケストラに負けないくらい声が強くなった、聴く人の心に染みると思う。；一度、額の傷に消毒薬が染みる焼けるような痛みで意識を回復した覚えがある。；薬が内外一面に染みるように、 汗を出さなくてはいけません。；教えたことは、水が砂に染みるように呑みこんでしまうでしょう。；だが、何度耳にしても、同じ中毒者として身に染みることは変わらなかった。；霜こそまだ降りてはいないが、五十を越えた犬麻呂には、冷たい風は骨に染みる。；雨がしょぼしょぼと顱巻に染みるばかりで、空だか水だか分らねえ。；身に染みるような寒さの中で女は震えた。；夜は玄関ロビーの暖房が消されているので、じっとしていると寒さが身に染みる。；老女の言葉は厳しくないが、土に染みる水のように反発できない。；目に染みる汗の匂いで彼女の周りだけ黄ばんで映る気がする。；役者の仕事をやればやるほどこの時の恩が身に染みる私よ。；生きているからこそ苦痛が身に染みるのだ。；その静かな林の中、何百年の人生をその中に封じ込めたその静かな林の中、その中の空気は深く私の体と心に染みるやうな気がした。；その名前の通り、彼の言葉は力を持ち、空を渡り大地に染みる。；そんなことは、昔から身に染みるほど分かってるんだ!；西の方から、目に染みるほど青い空が広がってきていた。；外に出ると、とっくに日は落ちており、夜の冷たい空気が傷口に染みるようだった。；染みるほどの青空を背景に、一機の複葉機が飛んでいるのが見える。；怒りの涙が目に染みる思いであった。；目に入った水が染みるが、手でこすっても意味はない。；身体に湯の染みるような感覚の中、彼が横に座ることに何となく身が縮まるような気がする。；どこを見ても雲一つなく、目に染みるほど青い。；ビームはクレイの胸を捉え、砂地に染みる水のように吸収された。</t>
        </is>
      </c>
      <c r="J3744">
        <f>HYPERLINK("https://www.weblio.jp/content/染みる", "词义详情")</f>
        <v/>
      </c>
      <c r="K3744">
        <f>HYPERLINK("https://yourei.jp/染みる", "查看例句")</f>
        <v/>
      </c>
    </row>
    <row r="3745">
      <c r="A3745" t="inlineStr">
        <is>
          <t>市民</t>
        </is>
      </c>
      <c r="B3745" t="inlineStr">
        <is>
          <t>成功</t>
        </is>
      </c>
      <c r="C3745" t="inlineStr">
        <is>
          <t>読み方：しみん
１市の住民。また、都市の住民。
２《citizen》近代社会を構成する自立的個人で、政治参加の主体となる者。公民。
３《(フランス)bourgeois》ブルジョアのこと。</t>
        </is>
      </c>
      <c r="D3745" t="inlineStr">
        <is>
          <t>市民たち(3%)；市民生活；市民会館；市民センター；市民病院</t>
        </is>
      </c>
      <c r="E3745" t="inlineStr">
        <is>
          <t>国民；民；住人；人民；下男</t>
        </is>
      </c>
      <c r="F3745" t="inlineStr">
        <is>
          <t>アメリカ市民；全市民；ロンドン市民；東京市民；江戸市民</t>
        </is>
      </c>
      <c r="G3745" t="inlineStr">
        <is>
          <t>市民団体；市民社会；市民運動；市民活動；市民軍</t>
        </is>
      </c>
      <c r="H3745" t="n">
        <v>29</v>
      </c>
      <c r="I3745" t="inlineStr">
        <is>
          <t>自由市民は自由市民の医師が診察し、奴隷は奴隷である医師が診察した。；アメリカ国内でアメリカ市民が反対することが発端となることが多い。；コンクリート製での再建案もあったが、市民の求めで木製で再建された。；高岡市の名を高め、市民に希望を与える功績を残した人物に授与される。；多くの市民が包囲された町から地下トンネル等を使って脱出した。；没収された不動産は後に市民に売却されて、土地の流動化につながった。；この演説は多くのベルリン市民やドイツ国民の心に残ることとなった。；彼はこの都市におけるユダヤ人とアラブ系市民の間の緊張に衝撃を受けた。；それぞれの季節に花の咲く公園が市内に点在し、市民に親しまれている。；軍部は公園に大勢の市民が自由に出入りすることに抵抗もあったと言われている。；この数字には、他国の援軍や市民権を持たない兵士は含まれていない。；反乱を起こした市民を組織化するために、公安委員会 が市内に組織された。；古代ローマでは、個々の市民が自ら訴えを提起しなければならなかった。；訓練を受けていない市民救助者と訓練を受けている市民救助者でも一部異なる。；分と言う時間の単位が市民の生活に現れたのは、鉄道の開通以降のことである。；経済建設を重視し、穏健な改革を訴え、都市市民らの支持を集めたとされる。；このことで民間の健康保険が無い市民でもその大半が医療を受けられるようになった。；予定のない平日の日中などは市民への個人開放も実施されている。；それを狙って米軍による空爆も開始され、市民は疎開を余儀なくされた。；今後市民の憩いの場やイベント会場として活用される予定としていた。；市民は公共の場に入るときに、他と共有できないものは捨てなければならない。；パリ市民が全員押しかけてきたのではないかと思うほどの大成功であったという。；州内では市民の歴史遺産を祝って多くの民族祭が開催されている。；多くの北イタリア諸都市のように、市民は2つの対立する派に二分された。；つまり上記の英文はシカゴおよびシカゴ市民を馬鹿にした発言である。；これは日本の市民・社会運動を研究している学生の要望に応えたものである。；いくつかの模擬店では市民の間にも名物として定着しているものがみられる。；そこで市民たちは、何の利害関係もない市外の人物から王を選ぶことにした。；都市の市民が領主から自治権を得ていくと都市は国家や自由都市に変貌した。</t>
        </is>
      </c>
      <c r="J3745">
        <f>HYPERLINK("https://www.weblio.jp/content/市民", "词义详情")</f>
        <v/>
      </c>
      <c r="K3745">
        <f>HYPERLINK("https://yourei.jp/市民", "查看例句")</f>
        <v/>
      </c>
    </row>
    <row r="3746">
      <c r="A3746" t="inlineStr">
        <is>
          <t>事務</t>
        </is>
      </c>
      <c r="B3746" t="inlineStr">
        <is>
          <t>成功</t>
        </is>
      </c>
      <c r="C3746" t="inlineStr">
        <is>
          <t>読み方：じむ
役所・会社などで、書類・帳簿の作成・処理など、主として机の上でする仕事。「会社で—を執る」「—を引き継ぐ」</t>
        </is>
      </c>
      <c r="D3746" t="inlineStr">
        <is>
          <t>事務的(8%)；事務処理(4%)；事務机(4%)；事務取扱(2%)；事務室(2%)</t>
        </is>
      </c>
      <c r="E3746" t="inlineStr">
        <is>
          <t>仕事；依頼；任務；業務；タスク</t>
        </is>
      </c>
      <c r="F3746" t="inlineStr">
        <is>
          <t>消防事務；事務系；事務官；事務仕事；事務センター</t>
        </is>
      </c>
      <c r="G3746" t="inlineStr">
        <is>
          <t>事務局；事務局長；事務室；事務員；事務官</t>
        </is>
      </c>
      <c r="H3746" t="n">
        <v>29</v>
      </c>
      <c r="I3746" t="inlineStr">
        <is>
          <t>設定登録の事務は第28条に基づいて登録機関が行うこととされている。；事務所では事務連絡に使用するため事務所に設置されていた。；仕事のほとんどは訴訟事務の取り扱いであり、味気のない日々が続いた。；大量の事務計算を素早く正確に行うことを目的とした電卓であった。；これは、基準日とその後の諸事務が実施されるまでの間の変更を反映させるためである。；後に劉備が蜀に入ると、彼を荊州に留めて州の事務の処理にあたらせた。；事務椅子や全天劇場用では背中を押し付けて傾けるだけのものが多い。；また、地方公共団体は、法令に違反してその事務を処理してはならない。；劉備が益州に入ると荊州に留められ、州の事務を一任される事になった。；事務用椅子をはじめとするオフィス向け家具類では高いシェアを持つ。；また近年は大手保険会社の集中事務センターの誘致に成功している。；環境省は事務系・理工系・自然系の3つに分けて総合職の採用がなされる。；また兵庫県内の神社の事務を管轄する兵庫県神社庁の事務所がある。；新師管の事務は、新しい師団司令部ができるまで既存の師団長が行った。；申請者が増えて事務処理や審査会の開催が間に合わなかったのが原因とされる。；検察官が事務の途中で交代しても、同一の検察官が行ったと同じ効果が発生する。；この発表は、東ドイツ政権内部での事務的な手違いによるものだとされる。；数箇所で月会が行われ、その月会で月例の事務会が行われる。；なお、貝塚市の事務センターは既に閉鎖され、現在は住宅地となっている。；中央書記処は、中央政治局と中央政治局常務委員会の事務処理機関である。；他の市町村に消防事務を委託し、受託した市町村が処理する場合もある。；日米間の事務レベルで軍民共用化に必要な条件を協議している。；委員会は委員会付きの事務および政策調査スタッフを雇用する。；武官が事務仕事まで手がけるのはマリネラ王国の伝統であるとされる。；このため、事務を専門とする隊員は登場したことがない。；閉鎖理由には、事務負担増に耐えきれず適切な対応が困難であると判断したことが挙げられている。；また州の事務を一任された荊州治中の潘濬とは親交を結ぶことはなかった。；親衛隊本部はもともとSDを除くすべての親衛隊機関の事務を担当していた。；ベルギーでは市町村単位で設置されている消防局が消防事務を実施している。</t>
        </is>
      </c>
      <c r="J3746">
        <f>HYPERLINK("https://www.weblio.jp/content/事務", "词义详情")</f>
        <v/>
      </c>
      <c r="K3746">
        <f>HYPERLINK("https://yourei.jp/事務", "查看例句")</f>
        <v/>
      </c>
    </row>
    <row r="3747">
      <c r="A3747" t="inlineStr">
        <is>
          <t>事務所</t>
        </is>
      </c>
      <c r="B3747" t="inlineStr">
        <is>
          <t>成功</t>
        </is>
      </c>
      <c r="C3747" t="inlineStr">
        <is>
          <t>読み方：じむしょ
事務を取り扱う所。オフィス。</t>
        </is>
      </c>
      <c r="D3747" t="inlineStr">
        <is>
          <t>事務所長；事務所所属；事務所内；事務所代表；事務所ビル</t>
        </is>
      </c>
      <c r="E3747" t="inlineStr">
        <is>
          <t>オフィス；執務室；事業所；事務室</t>
        </is>
      </c>
      <c r="F3747" t="inlineStr">
        <is>
          <t>同事務所；同じ事務所；建築設計事務所；建築事務所；東京事務所</t>
        </is>
      </c>
      <c r="G3747" t="inlineStr">
        <is>
          <t>事務所名；事務所費；事務所費問題；事務所費架空計上；事務所衛生基準規則</t>
        </is>
      </c>
      <c r="H3747" t="n">
        <v>29</v>
      </c>
      <c r="I3747" t="inlineStr">
        <is>
          <t>事務所や店などで子どもや生徒が大人や教師に話しかけるときにも使う。；他の事務所や劇団からの移籍者も多く、特に演劇系からの移籍者が多い。；事務所に入って最初の仕事は、企業向けビデオの顔出しでの出演である。；戦後の混乱期には、当時の将棋大成会が事務所を構えていた時期もある。；だが事務所のプロフィール用の写真で素顔を公開することには了承した。；春川芽生もニコモになって所属した事務所内で後に声優部へ移動している。；また多くの団地には敷地・建物内に管理事務所が設けられている。；事務所の壁に立たされていた人々も次々に逃げ、秘書だけが残された。；また重点区域とされている150か国には国事務所が設置されている。；ハンブルクの学校やル・コルビュジエの事務所で建築を学んだ経験がある。；ここでは長野県内の建設事務所の一覧およびその管内の自治体の一覧を示す。；同年、日本宣伝美術協会九州地区委員となり、自宅を小倉事務所とした。；地区別の行政業務については、17の地区事務所がその権限を有している。；なお離婚した現在でも、吹越は広田が代表を務める事務所に所属している。；題名については、名古屋城事務所で使用しているものと一部相違がある。；ただし事務所に保管されていた鍵で解錠することは任意でおこなえた。；北翼には事務所と住居があり、その中央には主玄関があった。；以後は今日に至るまで同事務所に所属することとなる。；本社は三重県四日市市にあったが後に事務所は大阪に移転した。；対象協会との協力関係を強化するため、世界中に開発事務所が設置されている。；しかし、急遽設立したため事務所もなければスタッフもいなかった。；事務所では事務連絡に使用するため事務所に設置されていた。；しかし近年はインターネットや事務所で写真を見てホストを決めるようになっている。；他に補助機関の事務所や党地方議員の事務所が存在する場合がある。；パリの本部のほか、世界各地に通常複数国を管轄する地域事務所が置かれている。；権藤英樹が事務所と使ってる家は千代田区にある旧渡邊洋治建築事務所。；注釈なきものは事務所の公式プロフィール に掲載されているもの。；土地ブローカーが町内に事務所を構え、土地を買いあさる事態となった。；開業当初は定期券売り場があったが、後に駅事務所内へ統合された。</t>
        </is>
      </c>
      <c r="J3747">
        <f>HYPERLINK("https://www.weblio.jp/content/事務所", "词义详情")</f>
        <v/>
      </c>
      <c r="K3747">
        <f>HYPERLINK("https://yourei.jp/事務所", "查看例句")</f>
        <v/>
      </c>
    </row>
    <row r="3748">
      <c r="A3748" t="inlineStr">
        <is>
          <t>氏名</t>
        </is>
      </c>
      <c r="B3748" t="inlineStr">
        <is>
          <t>成功</t>
        </is>
      </c>
      <c r="C3748" t="inlineStr">
        <is>
          <t>読み方：うじな
名字(みょうじ)。姓氏。</t>
        </is>
      </c>
      <c r="D3748" t="inlineStr">
        <is>
          <t>氏名千尋(3%)；氏名不詳；氏名等；氏名勝彦；氏名表記</t>
        </is>
      </c>
      <c r="E3748" t="inlineStr">
        <is>
          <t>名；名前；名称；呼称；称号</t>
        </is>
      </c>
      <c r="F3748" t="inlineStr">
        <is>
          <t>氏名公表；氏名年齢；氏名録；氏名テロップ；氏名または名称</t>
        </is>
      </c>
      <c r="G3748" t="inlineStr">
        <is>
          <t>氏名の変更；氏名権；氏名点呼投票</t>
        </is>
      </c>
      <c r="H3748" t="n">
        <v>29</v>
      </c>
      <c r="I3748" t="inlineStr">
        <is>
          <t>死去の報道では氏名を公表しているものと非公表としているものがある。；原作では明らかになっていない周囲の人々の氏名や職業が決定されている。；最近では、警察発表で被害者の氏名が伏せられることも増えてきている。；それは氏名変更が認められる一部の例外の、紛れもないひとつであった。；犠牲者の氏名は2つの翼のような作品が置かれた台座に記載されている。；入場券は氏名が記された本人以外は使用できず拒否されることになる。；当時、氏名すべての変更は前例がなく、日本では許可されていなかった。；ユニット名は3人の氏名のアルファベットの一部から取ったものである。；オムニバス形式であるため登場人物が多く、氏名が分からない者もいる。；法人が申請人となる場合、その代表者の氏名も記載しなければならない。；各エピソードのタイトルは、その回に手術を受ける患者の氏名である。；氏名表記テロップではそのメンバーの愛称が一緒に表示される場合もある。；そこには合格点以上を得た者の氏名及び得点がその得点順に記載されている。；この時の乗員らの氏名や、彼らがその後どうなったのかは不明である。；また、漢字で書かれた氏名から正しい読み方が特定できない場合もある。；氏名や所属部隊を偽る者が多かったので身元が確定できない者も多かった。；カードには口座番号や氏名の文字がエンボス加工されて刻印されている。；これら初期の役員の氏名と前身会社・合併会社での役職は以下の通り。；太字で氏名を表記した人物は、出演時点で毎日放送の現役アナウンサー。；運転席後ろに運転士の所属基地と氏名を表記した名札が掲示されている。；初めて掲載された時は、このキャラクターを考えた読者の氏名が発表された。；リストには氏名だけではなく、彼らの評価や毎月の報酬まで書かれていた。；ヴァインベルクにはさまざまな氏名があるため、多くの混乱が生じている。；ただし、氏名の後に学位の種別などを示す文字を置くことはかまわない。；六段以上の合格者は全剣連の広報誌や大手剣道雑誌に氏名が公表される。；このため、在日外国人などは正しい氏名表記ができない状況が存在していた。；懇談の内容は、オフレコとして氏名を隠して報道する約束になっている。；本来の氏神は、読んで字のごとく氏名の神であり、一族一統の神であった。；登場人物の氏名は原作が元になっているが、家族関係や性格設定は特に継承されていない。</t>
        </is>
      </c>
      <c r="J3748">
        <f>HYPERLINK("https://www.weblio.jp/content/氏名", "词义详情")</f>
        <v/>
      </c>
      <c r="K3748">
        <f>HYPERLINK("https://yourei.jp/氏名", "查看例句")</f>
        <v/>
      </c>
    </row>
    <row r="3749">
      <c r="A3749" t="inlineStr">
        <is>
          <t>指名</t>
        </is>
      </c>
      <c r="B3749" t="inlineStr">
        <is>
          <t>成功</t>
        </is>
      </c>
      <c r="C3749" t="inlineStr">
        <is>
          <t>読み方：しめい
［名］(スル)名をあげて、その人を指定すること。なざし。「—を受ける」「総理大臣を—する」</t>
        </is>
      </c>
      <c r="D3749" t="inlineStr">
        <is>
          <t>指名される(4%)；指名権(3%)；指名手配(2%)；指名され入団；指名候補</t>
        </is>
      </c>
      <c r="E3749" t="inlineStr">
        <is>
          <t>指定；任命；予選；推薦；ノミネート</t>
        </is>
      </c>
      <c r="F3749" t="inlineStr">
        <is>
          <t>目指名；後継指名；上位指名；再指名；候補指名</t>
        </is>
      </c>
      <c r="G3749" t="inlineStr">
        <is>
          <t>指名手配；指名選手；指名手配犯；指名打者制；指名試合</t>
        </is>
      </c>
      <c r="H3749" t="n">
        <v>29</v>
      </c>
      <c r="I3749" t="inlineStr">
        <is>
          <t>このような表示のきっかけは「工場の指名買い」があったためだという。；生徒の互選・選挙もしくは教師の指名で数名ずつか一名ずつ選ばれた。；その大半は任期の終わる前の数日間で公式に指名されたのでこの名がある。；得点の低いチームから指名し、どちらか4人出た時点で打ち切りとなる。；優秀なマリはたびたびこの役を指名されたが、それは大変な屈辱だった。；大統領は首相その他の大臣の任命・指名に関して議会の同意を得る必要がある。；唯一指名した巨人が、くじ引き抽選なしに桑田を獲得した格好となった。；その他党派選挙で選ばれる役人候補の指名は別の予備選挙で行われる。；行政を行うために、大統領は閣僚を米国の内諾を得たうえで指名する。；そのような彼がヒトラーの後継者に指名されたのは謎多きことだった。；当時のスポーツメディアは、その理由を「故障のため指名回避」と伝えた。；中途退学してリーグに加入した選手については指名制限の対象となる。；知事は州全体で選出される唯一の役人であり、ほかの役人は知事が指名する。；後に大統領に就任してからは、当時の学生や同僚の中から閣僚を指名している。；春の選抜が終わった時点で、巨人が一位指名してくれたらプロに行こうと決めた。；議会は彼女の死による内戦を防ぐために女王に結婚か後継者の指名を迫った。；大場翔太と服部泰卓の交渉権獲得に相次いで失敗した後の指名であった。；同年オフのドラフトで西武から3位指名を受け、正式に選手登録された。；正式に首相として就任したのは、指名後8日後に議会に承認されてからである。；また、韓国で指名手配され、日本に密入国して活動する暴力団員もいる。；その研究班の班長には、血友病治療の専門家である安部英が指名された。；ネーダーは今回も党の候補として指名を得られず、無所属で立候補した。；この2人を作家として指名したのは周囲のスタッフではなく百恵本人だった。；接客中に他の客からホストが指名を受けると、その客のテーブルにまわる。；彼は2004年選挙での党の指名を獲得することを試みた。；本指名でない場合は、ここで出勤中のソープ嬢の写真をみて選ぶこともできる。；どの質問希望者を指名するかは議長がその場で即座に判断する。；いくつかの国では証人たちは宣教者や特別開拓者として指名を受ける。；ホストを指名していない場合、接待役のホストは一定時間で交代する。</t>
        </is>
      </c>
      <c r="J3749">
        <f>HYPERLINK("https://www.weblio.jp/content/指名", "词义详情")</f>
        <v/>
      </c>
      <c r="K3749">
        <f>HYPERLINK("https://yourei.jp/指名", "查看例句")</f>
        <v/>
      </c>
    </row>
    <row r="3750">
      <c r="A3750" t="inlineStr">
        <is>
          <t>締め切り</t>
        </is>
      </c>
      <c r="B3750" t="inlineStr">
        <is>
          <t>成功</t>
        </is>
      </c>
      <c r="C3750" t="inlineStr">
        <is>
          <t>読み方：しめきり
１戸・窓などを、閉じたままにすること。また、閉じられたままの場所。「戸を—にする」「—の部屋」
２（締め切り）取り扱いを打ち切ること。また、その時日。あらかじめ決められた終了の期日。「受付は一〇時で—にする」「願書提出の—」
３（「〆切」とも書く）茶入れ・水指(みずさし)・建水の一種で、全体に糸で締めたような筋があるもの。口・底ともに広く、一般に鉄鉢に口を作り添えた形のもので、南蛮焼に多い。</t>
        </is>
      </c>
      <c r="D3750" t="inlineStr">
        <is>
          <t>締め切り後(4%)；締め切り時間(3%)；締め切り前(3%)；締め切り時刻；締め切り間際</t>
        </is>
      </c>
      <c r="E3750" t="inlineStr">
        <is>
          <t>終わり；完了；結び；終結；終り</t>
        </is>
      </c>
      <c r="F3750" t="inlineStr">
        <is>
          <t>応募締め切り；登録締め切り；発売締め切り；受付締め切り；締め切り破り</t>
        </is>
      </c>
      <c r="G3750" t="inlineStr">
        <is>
          <t>締め切り大堤防</t>
        </is>
      </c>
      <c r="H3750" t="n">
        <v>29</v>
      </c>
      <c r="I3750" t="inlineStr">
        <is>
          <t>このタイトルの由来は、曲の締め切りが朝に迫っていたからだという。；すでに投票締め切り十分前が告げられて、一分は経過しているだろう。；締め切りまで時間もあるので、横浜の動きとにらみ合わせて行動します。；神様が動いたのは締め切り五分前、オッズの放送が終わってからだった。；元々は柴田が締め切りに追われており仮題の予定だったとの事である。；この関係で、視聴者プレゼントの応募締め切りを通常より延長していた。；記事・写真の入稿締め切り時刻や、版ごとの配達地域は公表されていない。；締め切りがかなり早く設定されているので注意が必要である。；休めればいいけれど、仕事の締め切りなどでそうもいかない時もある。；ただし、ルイには雑誌の締め切りに追われていることにしてあった。；今までのところ、6月末、12月末の年二回の締め切りで募集している。；短編の締め切りが五日後に迫っているのだが、それは半年前に受けた依頼だった。；締め切りぎりぎりだと言っておきながら、書き直しの時間を見ていたのか。；というより、締め切りが迫っていて一週間ばかりは何も考えられない状態だったという。；ただし、1600形との運用時には、広幅貫通路は締め切りとしていた。；相違点は、リクエスト締め切り時間とランキング発表の時間が早い所だった。；あなたがここを締め切りにしておくのももっともですよ。；締め切りを完璧に無視した仕事ぶりに周囲から呆れられているはずである。；回復室と手術室を元のように締め切り、それから電話の受話器を手に取った。；原稿の締め切りに追われ、葬式にさえ顔を出さなかった夫である。；時間がないというのは、この5巻の締め切り前の時期に色々あったのです。；仕事の締め切りが近づいたために、おせちも雑煮も用意しなかったのである。；締め切りに追われて自身はなかなか納得がいかない絵をきちんと描くためにあえて短い話にした。；毎日の締め切りに追われるよりも、自分のペースで仕事がしたい。；しかしここに至るまでにかなり時間が経ってしまい、締め切りはもうすぐそこ。；年内の締め切りは終わっていたから、心配をかけるような話をする必要はないのだった。；とねは窓を締め切り、ますます家の中に閉じこもるようになった。；締め切りが迫っていたので、エリオットはパニックに陥ってしまった。；チェックインの締め切り時間も出発時刻の45分前から30分前に改めた。</t>
        </is>
      </c>
      <c r="J3750">
        <f>HYPERLINK("https://www.weblio.jp/content/締め切り", "词义详情")</f>
        <v/>
      </c>
      <c r="K3750">
        <f>HYPERLINK("https://yourei.jp/締め切り", "查看例句")</f>
        <v/>
      </c>
    </row>
    <row r="3751">
      <c r="A3751" t="inlineStr">
        <is>
          <t>締め切る</t>
        </is>
      </c>
      <c r="B3751" t="inlineStr">
        <is>
          <t>成功</t>
        </is>
      </c>
      <c r="C3751" t="inlineStr">
        <is>
          <t>読み方：しめきる
［動ラ五（四）］
１戸・門・窓などを、全部しめる。また、完全にしめる。「部屋じゅうの窓を—・る」「バルブを—・る」
２戸や窓などを、長い間しめたままにしておく。「冬の間山小屋を—・る」
３（締め切る）申し込みなどを、決められた期限や定員で打ち切る。終わりにする。「願書は今度の土曜日で—・る」</t>
        </is>
      </c>
      <c r="D3751" t="inlineStr">
        <is>
          <t>結ぶ；終わる；閉鎖；終結；終る</t>
        </is>
      </c>
      <c r="H3751" t="n">
        <v>29</v>
      </c>
      <c r="I3751" t="inlineStr">
        <is>
          <t>このとき、店舗のドアや窓は締め切られたままで換気されていなかった。；不在だった書斎は窓も扉も全て締め切られた状態だったそうやないか。；ドアを完全に締め切る直前、ちょっとだけ戻して僕の方を見ました。；廊下の左右はことごとく部屋で、部屋という部屋は皆締め切ってあった。；爽快なようだが、風は鼻に悪いと、夏でも窓は締め切ったままである。；ある日日の暮れ方に師匠を訪ねると、蕪村の家では戸を締め切つてゐる。；ところが君の代になって、階段の下のドアを締め切ってしまった。；返答はなく、締め切られていた暗い部屋の空気が私のせいで対流を起こす。；勿論吹雪の最中ですから、部屋の窓は完全に内部から締め切ってありました。；現河道の工事が完了した1939年に旧河道への分派口が締め切られた。；戸も窓も締め切った薄暗い部屋の中で、いま、お直は薬湯を煎じている。；隣は主のない家と見えて、締め切った門やら戸やらに蔦が一面に絡んでいる。；あなたがこんな部屋を締め切っておくのはもっともですね、実際。；締め切った窓の外は深閑とし、耳をすますと、風が川音をはこんできた。；将来的に新川と庄内川の河川整備が進めば締め切られることになっている。；乗車券は各列車とも発車5分前に発売が締め切られるため注意が必要。；それでも、締め切っている部屋の中から知らないうちに取られてしまうこともあるとされる。；ホームには待合室がないため、ホームと通路はドアで締め切るようになっている。；李張はこうして締め切ってある房の内へどうして入って来たろうと思って不審して見ていた。；締め切った室で、人の動き回らないときだとことによくわかります。；入学は既に締め切られていたが、彼はそのサッカーの才能によって入学を許可された。；このため浅間川が締め切られた後も流路跡が郡境を成していた。；小包は一二等局のみとなり、それも受付個数の制限が来ると締め切る。；すでに述べたが、開閉せずに、漆喰で蓋をして締め切ってしまうものもある。；隣近所に匂いが漏れると後が面倒なので、家中の窓を締め切っての食事になった。；台所の扉をためしてみましたが外から締め切ってあります。；表戸を締め切ってあるから、風の通りが悪いのであった。；襖も障子も締め切ったままで、ひと組の男と女を密室の世界に置いていた。；国公立大学を受験するためのセンター試験の募集は締め切った後だった。</t>
        </is>
      </c>
      <c r="J3751">
        <f>HYPERLINK("https://www.weblio.jp/content/締め切る", "词义详情")</f>
        <v/>
      </c>
      <c r="K3751">
        <f>HYPERLINK("https://yourei.jp/締め切る", "查看例句")</f>
        <v/>
      </c>
    </row>
    <row r="3752">
      <c r="A3752" t="inlineStr">
        <is>
          <t>じめじめ</t>
        </is>
      </c>
      <c r="B3752" t="inlineStr">
        <is>
          <t>成功</t>
        </is>
      </c>
      <c r="C3752" t="inlineStr">
        <is>
          <t>［副］(スル)
１湿気が多く不快なさま。「—（と）した土地」「下着が汗で—する」
２しめっぽくて陰気なさま。活気のないさま。「—（と）した話」</t>
        </is>
      </c>
      <c r="D3752" t="inlineStr">
        <is>
          <t>じめじめした地下；じめじめした地面；じめじめと湿っぽい；じめじめした草地</t>
        </is>
      </c>
      <c r="E3752" t="inlineStr">
        <is>
          <t>ジメジメ；ジトジト</t>
        </is>
      </c>
      <c r="F3752" t="inlineStr">
        <is>
          <t>暗いじめじめ；いつもじめじめ；毎日じめじめ；ひどくじめじめ；冷たくじめじめ</t>
        </is>
      </c>
      <c r="H3752" t="n">
        <v>29</v>
      </c>
      <c r="I3752" t="inlineStr">
        <is>
          <t>三〇分ものあいだ、ぼくたちはこのじめじめする闇のなかをさまよった。；A子に限らず、彼女のようなじめじめ女はどうして数多くいるのだろう。；靴の中がじめじめしてるのが、服の濡れたのよりは、私には気になる。；暗くてじめじめした谷間の底をすりぬけるようにして、川は続いていく。；それは自分達のじめじめした生活とは全く別な世界のようだった。；彼は卑屈でじめじめしてゐて人の心の裏を探りがちな自分を嫌惡してゐた。；日中から電気の灯りがほしいほどに暗くて、陰気で、じめじめしていた。；私はそういう理由もあって、じめじめとしたその和室がひどく嫌いだった。；忘れもしない、それは六月のじめじめとした、ある夜の十時ごろであった。；かなり暗い、じめじめしたところで、人間が住んでいる気配はまるでない。；次の朝は霧がじめじめ降って学校のうしろの山もぼんやりしか見えませんでした。；父は殆んど口をきかず、助手席の僕はだらしなくじめじめと泣いていた。；いつもじめじめしていたり、極端に日が当たったりするから空いているのだ。；孤独と云う暗くてじめじめしたものは僕の中にはほとんどなくなったみたいです。；その底辺の湿地の蛭が這うじめじめした長屋にお夏とお七の姉妹が住む。；このごろの秋の雨はとてもじめじめしていて、体によくないのです。；だが、雨はひどくじめじめして冷たく、雷はおそろしい音をたてている。；道が林の中に入り、しばらく道はじめじめして、あたりは見えなくなりました。；あそこはひどくじめじめしていると、いつも言っておいででした。；煙草のやにと、もう一つ、何かいひやうのないじめじめした臭ひがした。；ただ前の日はじめじめ湿っていたのが、今日は寒いというだけの違いだった。；じめじめした空気だが、不思議に酒や煙草の匂いはしなかった。；じめじめした梅雨の時期で体力が落ちて、もう持たなかったのだろう。；杉の古樹の陰に笹やら楢やらが茂って、土はつねにじめじめとしていた。；それがなくても、いったいが湿気の多いじめじめした部屋であった。；また年が一つ明けて春となり、やがてじめじめとした梅雨期になった。；また年が一つ明けて春となり、やがてじめじめとした梅雨期になつた。；そのために道には日がさしこまないから、いつもじめじめとしめっていた。；だが、廊下の外のじめじめした庭の闇がふと静三に恐怖を抱かすことがあった。</t>
        </is>
      </c>
      <c r="J3752">
        <f>HYPERLINK("https://www.weblio.jp/content/じめじめ", "词义详情")</f>
        <v/>
      </c>
      <c r="K3752">
        <f>HYPERLINK("https://yourei.jp/じめじめ", "查看例句")</f>
        <v/>
      </c>
    </row>
    <row r="3753">
      <c r="A3753" t="inlineStr">
        <is>
          <t>示す</t>
        </is>
      </c>
      <c r="B3753" t="inlineStr">
        <is>
          <t>成功</t>
        </is>
      </c>
      <c r="C3753" t="inlineStr">
        <is>
          <t>読み方：しめす
［動サ五（四）］
１相手によくわかるように、出して見せたり、自分で何かをして見せたりする。「定期券を—・す」「身をもって—・す」
２指などでさして教える。「地図を出して—・す」
３計器・時計などが、ある目盛りを指す。「寒暖計が三〇度を—・す」
４考え・気持ち・反応などが相手に伝わるように、何かの方法で表して見せる。「誠意を—・す」「態度で—・す」「格段の進歩を—・す」
５ある現象が、物事の状態・傾向を表す。「気圧配置が今年の暖冬を—・している」
６さとし戒める。
「宿の男などとの事は末の名の立つをひそかに—・し」〈浮・一代男・六〉
[可能]しめせる</t>
        </is>
      </c>
      <c r="D3753" t="inlineStr">
        <is>
          <t>示すべき；示す標識；示すべく；示す赤い</t>
        </is>
      </c>
      <c r="E3753" t="inlineStr">
        <is>
          <t>表現；指摘；記述；表示；指す</t>
        </is>
      </c>
      <c r="F3753" t="inlineStr">
        <is>
          <t>示す記念碑；示す概略図；示す赤ランプ；示す案内板；示す赤いランプ</t>
        </is>
      </c>
      <c r="H3753" t="n">
        <v>29</v>
      </c>
      <c r="I3753" t="inlineStr">
        <is>
          <t>これも統一された用語というわけではないが標準的なものを示しておく。；これは、雑種がその両親の中間的な性質を示すことが多いことに基づく。；審理人はあらゆる証拠を考慮して、適当と思われる方法で判断を示した。；テレビや新聞などで一般的に使用される震源は震央の位置を示している。；このことは血と肉によってでなく天におられる父によって示されている。；これにより健康な場合に対しどれだけ聞こえが悪くなったかが示される。；当時の日本や朝鮮の記録でも土田讓亮が軍人であるとは示されていない。；虚数があれば答えのない問題にも答えを与えることができると示している。；ここでは長野新幹線と呼称されていた2014年度までのデータを示す。；このようにして彼等は、我々に対する感謝の念を示そうとしたのである。；によれば、職務特性と職務満足度の関係は中程度に強いことが示された。；これらの定義は核について、 それぞれに扱いやすい特性を示している。；一方でや、といった研究者たちはこの主張に懐疑的な見解を示している。；この記号が現れた場合、その部分のデータが消去されていることを示す。；この技術の名称として、他に提案され吟味されたものの一部を次に示す。；それまでの仏教は万人が「仏」になる方法を示していなかったのであった。；この画像に示されている図は正確ではなく、上の表とは完全には一致しない。；そのため、以下に示すような非摂動論的な方法も、並行して用いられる。；それぞれの名に含まれている州名がおよその分布域を示している。；駅に黄色の制服がひとりいたが、おれには別に関心を示そうとしなかった。；あとはこの列が A と C のところで完全であることを示せばよい。；驚くべきことに、この子マウスは父親マウスと同様に異常行動を示した。；これらの状態のエネルギーは全てバンドギャップ内にあることが示される。；彼らの取りきめがいかなるものであったかを示せば、次のごとくである。；どのメーカーも効果を示すための実証データを示していないと指摘している。；現在では遺伝子は核酸の機能的単位を示すものとして事実上定義される。；彼は実解析の大部分を可述的な方法だけを用いて展開できることを示した。；回りには、非常に予算をかけた飾り付けが行われ、地域の財政力を示す。；以下に、現在使われている近代的なオーケストラの配置の一例を示す。</t>
        </is>
      </c>
      <c r="J3753">
        <f>HYPERLINK("https://www.weblio.jp/content/示す", "词义详情")</f>
        <v/>
      </c>
      <c r="K3753">
        <f>HYPERLINK("https://yourei.jp/示す", "查看例句")</f>
        <v/>
      </c>
    </row>
    <row r="3754">
      <c r="A3754" t="inlineStr">
        <is>
          <t>しめた</t>
        </is>
      </c>
      <c r="B3754" t="inlineStr">
        <is>
          <t>成功</t>
        </is>
      </c>
      <c r="C3754" t="inlineStr">
        <is>
          <t>［感］《動詞「し（占）める」の連用形＋完了の助動詞「た」から》期待どおりうまくいって喜ぶときに発する語。しめしめ。「—、うまくいったぞ」</t>
        </is>
      </c>
      <c r="D3754" t="inlineStr">
        <is>
          <t>しめたまひき；しめたおえん；しめたまえり</t>
        </is>
      </c>
      <c r="E3754" t="inlineStr">
        <is>
          <t>好都合だ；うまいぞ；しめしめ</t>
        </is>
      </c>
      <c r="H3754" t="n">
        <v>29</v>
      </c>
      <c r="I3754" t="inlineStr">
        <is>
          <t>彼の名を知らしめた曲であり、彼の楽曲の中でも最も有名な曲である。；化学兵器がその威力のほどを広く知らしめたのが第一次世界大戦だった。；レイニーの時代が始まったことを世間に知らしめたシーズンであった。；だが、彼の名を高からしめたのは何よりベートーヴェンの演奏であった。；その者の言った言葉は、其処に立会ていた者に、花の時代を思わしめた。；このアルバムによってステレオラブを世界に知らしめたと言われている。；ナポレオン・ボナパルトをして「わが運命を失わしめた男」と言わせた。；最盛期のブリウドの名を知らしめたのは聖ユリアヌス信仰の出現である。；そうした心の純粋さがとうとう私をしてお里を出さしめたのだろうと思います。；これらもまた死亡率を多からしめた原因の一つになっているであろう。；しかし彼がこの碑の存在を天下に広く知らしめたのは確かである。；幕府で明らかにエタ、非人の調査をなさしめたのは、享保の頃であった。；彼は最後にその頭をしめった土に落ちるにまかせると、調べを終えた。；彼らの始め語るや愚者のごとく終わりに聞く者をして賢ならしめた。；彼はしめたと思うと、すぐに、深く、深く、水の底に沈んでしまいました。；この曲は100万枚以上の売り上げを記録し、彼女の名を知らしめた。；彼はアジサイをはじめとする多くの日本の固有種をヨーロッパに知らしめた。；この一戦はほとんど絶望の涯てに在った普国を再生の思いあらしめた。；しかし、日本でブルースを広く大衆に知らしめたのはこの作品である。；藤田はこの記事で古群地区の遺跡が新治郡衙跡である可能性を世に知らしめた。；部下の手には、なにやらしめったガーゼのようなものがにぎられていた。；私は月窓亭の戸をあけて庭におり、朝露のしめった草の間をおりて道に出た。；此が又彼をして、万葉調のみならず、広い面を持つた歌を作らしめたのである。；仕方なくしめった衣服をもう一度着たが、ひどく気持悪いものだった。；そして、一両まえの二等車へとびこんで、ドアをピッタリしめたのです。；それが完了すると、金網戸のところを外へ出、ぴったりと戸をしめた。；自動車の軍事的重要性を世に知らしめたエピソードのひとつである。；写真撮影や表面温度の観測を行い、惑星表面の特徴的な地形を数多く知らしめた。；作者はいかにしてこの不可能を可能ならしめたか。</t>
        </is>
      </c>
      <c r="J3754">
        <f>HYPERLINK("https://www.weblio.jp/content/しめた", "词义详情")</f>
        <v/>
      </c>
      <c r="K3754">
        <f>HYPERLINK("https://yourei.jp/しめた", "查看例句")</f>
        <v/>
      </c>
    </row>
    <row r="3755">
      <c r="A3755" t="inlineStr">
        <is>
          <t>閉める</t>
        </is>
      </c>
      <c r="B3755" t="inlineStr">
        <is>
          <t>成功</t>
        </is>
      </c>
      <c r="C3755" t="inlineStr">
        <is>
          <t>読み方：しめる
［動マ下一］［文］し・む［マ下二］
１強く引っ張ったりひねったりして、緩みのないようにする。「三味線の糸を—・める」「元栓を—・める」「ねじを—・める」
２長い布やひもなどを巻きつけて、緩まないように固く結ぶ。「帯を—・める」「ネクタイを—・める」
３鍵などで固定して動かないようにする。「鍵を—・める」
４強く押しつけてしぼる。「ダイズを—・めて油をとる」
５
㋐（「緊める」とも書く）気持ち・態度などを緊張させる。また、管理を厳しくする。「気を—・めてかかる」「新入部員を—・める」「派を—・める存在」
㋑懲らしめる。とっちめる。「餓鬼大将を一度—・めてやろう」
６出費を切り詰める。節約する。「交際費を—・める」「家計を—・める」
７物事のまとまったことを祝ってみんなで一緒に手を打ち合わせる。手打ちする。「最後に手を—・めていただきましょう」
８（「〆る」とも書く）そこまでを一区切りとして合計する。また、飲食店で会計を頼む。「売り上げを—・める」「いったん—・めてください」
９（「〆る」とも書く）あれこれ飲み食いして、終わりの食べ物とする。「鍋料理は雑炊で—・めよう」
10（「〆る」とも書く）塩や酢で魚の身をひきしめる。「サバを酢で—・める」
11魚の鮮度を保つため、血抜きをする。→活け締め
12（閉める）あいていた窓や戸などをぴったりとじる。「雨戸を—・める」⇔開(あ)ける。
13（閉める）その営業・業務を終了する。また、廃業する。「店を—・める」「窓口は五時に—・めます」⇔開(あ)ける。
14取り決める。
「胸中残さずうち明けて、評議を—・めむといふ間もあらせず」〈浄・忠臣蔵〉
15契りを結ぶ。
「—・めてはなれし身なりしを、また結びかへ行く旅の」〈浮・御前義経記・三〉
→閉(と)じる［用法］
[下接句]勝って兜(かぶと)の緒を締めよ・財布の紐(ひも)を締める・箍(たが)を締める・手綱を締める・手を締める</t>
        </is>
      </c>
      <c r="D3755" t="inlineStr">
        <is>
          <t>閉めると同時に</t>
        </is>
      </c>
      <c r="E3755" t="inlineStr">
        <is>
          <t>結ぶ；終わる；閉鎖；終る；終える</t>
        </is>
      </c>
      <c r="F3755" t="inlineStr">
        <is>
          <t>そっと閉める</t>
        </is>
      </c>
      <c r="H3755" t="n">
        <v>29</v>
      </c>
      <c r="I3755" t="inlineStr">
        <is>
          <t>俺は自分の部屋の扉を閉めると、扉に持たれかかるようにへたり込んだ。；ドアを閉めるとき、反対側にある北棟のドアが開くのがはっきり見えた。；そして運悪くも、ちょうど今夜それを閉め忘れたかも知れたものでない。；いつもは開けておく筈の窓をどうしてだかその夜は閉めておいたと見える。；いつもは開けて置く筈の窓をどうしてだかその夜は閉めておいたと見える。；出て行ってしまったら、そのあとで戸を閉めてしまおうかと思いました。；階段を上がっていく音が聞こえ、最後にドアをばたんと閉める音がした。；そんな具合だから空室になつた分家の方も閉めて置くより他はなかつた。；彼女は扉を閉めるなら閉めると予告くらいはしてくれるべきだったのだ。；Xの父親も工場で働いていたが、工場は閉めて今は住宅地になっている。；そして二人に、はいったら内側から再びその戸を閉めるように言いました。；けれど友人や恋人が遊びに来る時は、あなたは押入れを閉めるだろう。；「何年ぶりかしらね」 ドアを閉めるときそう言う香織の声がしていた。；祖母は缶の蓋を無言で閉めると、立ち上がってそれを戸棚の上に載せた。；夜になって寒くならないうちにまたそれを閉めなければならなかった。；戸を閉めて置かないと自分の家に居る氣がしないとアノ人が云つてました。；男はロックせずにドアを閉めると駐車場のエレベーターにむかった。；彼等は最初にカザンに殴りこんで、門を閉めて民衆に抵抗を呼びかけた。；そして裏合わせになっている自分の部屋に入って、静かに境の襖を閉めた。；背景に描かれた鎧戸は外開きのもので、絵では閉められた状態である。；彼は戸を閉めたまま、その軒下からじっとあたりのようすをうかがった。；後方の客室ドアが開けられたが火災が激しかったためすぐに閉められた。；小屋のドアを閉めると、私は谷を医師の小屋のほうへ登っていった。；車側灯の目的別に見た取り付け高さでは、戸閉め車側灯が一番上になる。；もう店を閉めてしまいましたから、明日の朝にしてもらえませんかね?；ちょうど友達は、夫婦で家を閉めて散歩に出かけたと見えて留守であった。；閉められている宿の戸をそっと開くと、内からお婆さんの大きい声がした。；わたしはそこで貨物室の外側の扉を閉めるために、その区域に進みました。；部屋にはいったとき、彼女はドアを閉めるのを忘れていたのだった。</t>
        </is>
      </c>
      <c r="J3755">
        <f>HYPERLINK("https://www.weblio.jp/content/閉める", "词义详情")</f>
        <v/>
      </c>
      <c r="K3755">
        <f>HYPERLINK("https://yourei.jp/閉める", "查看例句")</f>
        <v/>
      </c>
    </row>
    <row r="3756">
      <c r="A3756" t="inlineStr">
        <is>
          <t>締める</t>
        </is>
      </c>
      <c r="B3756" t="inlineStr">
        <is>
          <t>成功</t>
        </is>
      </c>
      <c r="C3756" t="inlineStr">
        <is>
          <t>読み方：しめる
［動マ下一］［文］し・む［マ下二］
１強く引っ張ったりひねったりして、緩みのないようにする。「三味線の糸を—・める」「元栓を—・める」「ねじを—・める」
２長い布やひもなどを巻きつけて、緩まないように固く結ぶ。「帯を—・める」「ネクタイを—・める」
３鍵などで固定して動かないようにする。「鍵を—・める」
４強く押しつけてしぼる。「ダイズを—・めて油をとる」
５
㋐（「緊める」とも書く）気持ち・態度などを緊張させる。また、管理を厳しくする。「気を—・めてかかる」「新入部員を—・める」「派を—・める存在」
㋑懲らしめる。とっちめる。「餓鬼大将を一度—・めてやろう」
６出費を切り詰める。節約する。「交際費を—・める」「家計を—・める」
７物事のまとまったことを祝ってみんなで一緒に手を打ち合わせる。手打ちする。「最後に手を—・めていただきましょう」
８（「〆る」とも書く）そこまでを一区切りとして合計する。また、飲食店で会計を頼む。「売り上げを—・める」「いったん—・めてください」
９（「〆る」とも書く）あれこれ飲み食いして、終わりの食べ物とする。「鍋料理は雑炊で—・めよう」
10（「〆る」とも書く）塩や酢で魚の身をひきしめる。「サバを酢で—・める」
11魚の鮮度を保つため、血抜きをする。→活け締め
12（閉める）あいていた窓や戸などをぴったりとじる。「雨戸を—・める」⇔開(あ)ける。
13（閉める）その営業・業務を終了する。また、廃業する。「店を—・める」「窓口は五時に—・めます」⇔開(あ)ける。
14取り決める。
「胸中残さずうち明けて、評議を—・めむといふ間もあらせず」〈浄・忠臣蔵〉
15契りを結ぶ。
「—・めてはなれし身なりしを、また結びかへ行く旅の」〈浮・御前義経記・三〉
→閉(と)じる［用法］
[下接句]勝って兜(かぶと)の緒を締めよ・財布の紐(ひも)を締める・箍(たが)を締める・手綱を締める・手を締める</t>
        </is>
      </c>
      <c r="D3756" t="inlineStr">
        <is>
          <t>締めるよう指示</t>
        </is>
      </c>
      <c r="E3756" t="inlineStr">
        <is>
          <t>結ぶ；閉鎖；付ける；閉じる；張る</t>
        </is>
      </c>
      <c r="F3756" t="inlineStr">
        <is>
          <t>ひき締める；ギュッと締める；きゅっと締める</t>
        </is>
      </c>
      <c r="H3756" t="n">
        <v>29</v>
      </c>
      <c r="I3756" t="inlineStr">
        <is>
          <t>何方にしても女中は新しい帯さへ締める事が出来たらそれで結構なのだ。；これで締めれば、今回の会議内容は無駄じゃなかったって気がするなっ!；ぼくがどんな手を打ったって、自分から首なわを締めるようなもんだ。；冬らしくなったね、と母親は言い、彼女に硝子戸を締めるように命じた。；シャッターを締めると、船は実際に完全な不可視性を得ることができた。；このマントは首のところをしっかりと締めることができるようになっていた。；胸を張って飛行機に乗り、シートベルトを締めるとすぐに眠りにおちた。；扉を締めるとそこは壁と壁との間に隠れこんだような秘密的な落着きが得られる。；男の腕が、自分のほっそりとした肢体を締める鉄の輪のように感じられた。；詳しい歌詞もわからなければ、どうやって最後を締めるのかもわからない。；このような形をとることで、バックルを締めることで足を固定できる。；父の秀馬も常用こそしないが、重要な儀式のあるときにはそれを締める。；逃げたとすれば、その窓を内から締めることは出来なかつた筈だ。；老人夫婦がこんな宵の内に家を締めるなどは今までにないことだ。；岩と退屈の子供ら/おまえは長官を許すのか/自分で首を締めるがいい!；室が静かなのでその蓋を締める音が意外に強く耳に鳴った。；また性交や自慰をするときに膣を締めることも効果があるとの報告がある。；最後は「てん」の由来になっているお天道様で締める映像となっている。；これでは自分で自分の首を締めることになってしまいます。；これでは自分の首を自分で締めるようなものではないか。；手にも腕にもそれだけの力はないから、締めることはできない。；ソロドフニコフは背後で戸を締める音を聞きながら、早足に往来へ出た。；真綿で首を締めるってのは、まさにああいうのを言うんでござんしょう。；私の成績が悪い時には、師匠自らまわしを締めることもあった。；全員がベルトを締めるまで待つのは苦痛だったが、やがて降下が始まった。；その扉を開くと苦もなく開いたが、中に這入って扉を締めると真暗になる。；しかし、この繁栄も最終的には自分で自分の首を締めることになる。；サポートに労力を割くことになれば、むしろ自分の首を締める結果となる。；番組最後の曲はリスナーから寄せられた中島の曲へのリクエストで締める。</t>
        </is>
      </c>
      <c r="J3756">
        <f>HYPERLINK("https://www.weblio.jp/content/締める", "词义详情")</f>
        <v/>
      </c>
      <c r="K3756">
        <f>HYPERLINK("https://yourei.jp/締める", "查看例句")</f>
        <v/>
      </c>
    </row>
    <row r="3757">
      <c r="A3757" t="inlineStr">
        <is>
          <t>湿る</t>
        </is>
      </c>
      <c r="B3757" t="inlineStr">
        <is>
          <t>成功</t>
        </is>
      </c>
      <c r="C3757" t="inlineStr">
        <is>
          <t>読み方：しとる
［動ラ五（四）］しっとりとぬれる。しめりけを含む。しめる。
「夜霧に—・った娘の浴衣の袂(たもと)の中に」〈風葉・五反歩〉</t>
        </is>
      </c>
      <c r="D3757" t="inlineStr">
        <is>
          <t>湿気る</t>
        </is>
      </c>
      <c r="H3757" t="n">
        <v>29</v>
      </c>
      <c r="I3757" t="inlineStr">
        <is>
          <t>二つの眸は、何かの悲しみのため力なく湿んでいるようにさえ思われた。；高山地帯は島の他の地域よりも涼しく湿っている点が特徴となっている。；二つの眸は、何かの悲しみのため力なく湿んでゐるやうにさへ思はれた。；時代が進むと、都市の遺跡は土に覆われ、湿った泥炭地のようになった。；外辺のいわゆる湿熱環ほどではないが、多分摂氏四十度ぐらいはあろう。；それにまたとつぜん湿った土の強い妙な匂いが私の鼻孔をおそってきた。；ときどき忘れて湿らせたりもするが、まめにとり替えて僕が食べている。；極端な場合、水が無くても湿ったもので包んでおいた方がましである。；陸上の無脊椎動物では、周囲が湿っていなければ活動できない種も多い。；私と入れ違いで、髪を湿らせた少女たちの集団が帰っていくのに出会った。；一部の水車は、周辺の湿ったビオトープを保持するために機能している。；湿った土地で建築条件が良くなかったことから、単純な職人が主に住んだ。；しかし、湿らせすぎると、紙に処理を加えたことが明らかになってしまう。；好んで生息していたのは、湿って乾燥していて緑が生えていた場所である。；特に湿ったところが好みで、水のあるところに出現することが多い。；湿っていて常時短絡してしまうような場所でも使用することができる。；これには寒冷で湿った冬と乾燥した夏のサイクルが助長することになる。；霧のせいなのか、石の表面についていた細かな水滴が、指先を湿らせる。；湿分と反応するため、一度開封するとすぐに使用できなくなりやすい。；その後の私の宅の空気は喪の感じにこめられてうち湿っています。；あんなに朦気の立つところを見るとこの辺一帯湿けているのかもしれない。；湿った地形の丘の上にあり、空港を建設するのは非現実的であると考えられていた。；湿った藁の中に寝たり二人の酔っぱらいの黒人といっしょに寝たりしてさ。；その湿った靄の中には、パリーが産んだかと思える鼠の姿が見えている。；この池に悲しい禿が沈んだのだということが子供心を湿らせたに過ぎない。；それでも身体を湿らせるほどの量には達していない気がする。；雨は霽りかけたが、まだ露人の家のあたりの空は薄鼠色にうち湿っていた。；紙や繊維質が土に触れて湿った場所では、野外でも見ることができる。；楽しい春雨の降った後では、湿った梅の枝が新しい紅味を帯びて見える。</t>
        </is>
      </c>
      <c r="J3757">
        <f>HYPERLINK("https://www.weblio.jp/content/湿る", "词义详情")</f>
        <v/>
      </c>
      <c r="K3757">
        <f>HYPERLINK("https://yourei.jp/湿る", "查看例句")</f>
        <v/>
      </c>
    </row>
    <row r="3758">
      <c r="A3758" t="inlineStr">
        <is>
          <t>占める</t>
        </is>
      </c>
      <c r="B3758" t="inlineStr">
        <is>
          <t>成功</t>
        </is>
      </c>
      <c r="C3758" t="inlineStr">
        <is>
          <t>読み方：しめる
［動マ下一］［文］し・む［マ下二］
１あるもの・場所・位置・地位などを自分のものとする。占有する。「三賞を一人で—・める」「国際経済の中で重要な役割を—・める」「業界トップの座を—・める」「連番で座席を—・める」
２全体の中である割合をもつ。「賛成が過半数を—・める」「ビルの八割をテナントが—・める」
３（「味をしめる」の形で）体験して、うまみを知る。良さを知って、次を期待する。「一度味を—・めたらやめられない」
４《自分のものにするところから》食べる。
「すき焼きを—・めたあとで、葱(ねぎ)の湯どおしをあがってごろうじろ」〈魯文・安愚楽鍋〉
５ある才能・性質などを備える。
「いとあはれと人の思ひぬべきさまを—・め給へる人柄なり」〈源・浮舟〉</t>
        </is>
      </c>
      <c r="D3758" t="inlineStr">
        <is>
          <t>占めるべき；占める広大な地域</t>
        </is>
      </c>
      <c r="E3758" t="inlineStr">
        <is>
          <t>持つ；位置；所有；有する；保有</t>
        </is>
      </c>
      <c r="H3758" t="n">
        <v>29</v>
      </c>
      <c r="I3758" t="inlineStr">
        <is>
          <t>内容の大部分は後半に放送するいくつかの小さなコーナーで占められる。；物質はそうした現象や出来事が起こる場や対象のような位置を占めている。；特に、病気の予防の点でも治療の点でも食事が大きな位置を占めている。；上位20位の中で大半を占めるのは東京都と埼玉県に所在する駅である。；しかし現在では大半を占めるLED車では両者の区別が無くなっている。；この本は、現在でも百合子研究史上重要な位置を占めるものとされている。；しかも、その割合はイギリス人がインドで建設したものが多くを占めた。；ところがとされ、現在ではイスラエル人口の過半を占めるに至っている。；これは大ホールでの上演が約 75 % を占めていることを示している。；機体の大部分を占めるガス袋に水素もしくはヘリウムが充填されている。；鎌倉時代には日本の政治において最も重要な位置のひとつを占めていた。；新布石ブームが去った後も、星は隅を占める着点として完全に定着した。；各分野ごとに分析すると世界シェアで上位を占めるメーカーもある。；ムスリムが多数を占める地域・イスラム世界で現行している法律である。；この会議とその後の経過によってニカイア派が正統の地位を占めていく。；フィジーには300以上の島があり、その大半は小島で占められている。；庶民の楽しみの最も大きい部分を占めており、一スポーツの域を越えている。；従来、役員は地域協会の職員や元選手などサッカー関係者で占められてきた。；アゼルバイジャンの科学技術は主に地震に関するもので占められている。；鈴鹿山脈から琵琶湖まで愛知川に沿って東西に細長い地域を占めていた。；ミツスイ上科の中で最も放散した科で、属数・種数のほとんどを占める。；諮問組織メンバーの出身で最も多くを占めるのはユーロクリアである。；したがって、このような種や集団によって地球は占められていくことになる。；ビリケンはこうして通天閣の公式キャラクターの座を占めるようになった。；区域北部にある日本製鉄八幡製鐵所戸畑地区が区の面積の約半分を占める。；東南極は大陸の大部分を占める広大かつ標高が高く、寒冷な領域である。；一方でサービス業が成長し、イングランドの経済の重要な位置を占めている。；ダイヤモンド産業はイスラエル経済を語るうえで重要な位置を占める。；商業に関しては卸売業が販売額を占める割合が高いのが特徴となっている。</t>
        </is>
      </c>
      <c r="J3758">
        <f>HYPERLINK("https://www.weblio.jp/content/占める", "词义详情")</f>
        <v/>
      </c>
      <c r="K3758">
        <f>HYPERLINK("https://yourei.jp/占める", "查看例句")</f>
        <v/>
      </c>
    </row>
    <row r="3759">
      <c r="A3759" t="inlineStr">
        <is>
          <t>地面</t>
        </is>
      </c>
      <c r="B3759" t="inlineStr">
        <is>
          <t>成功</t>
        </is>
      </c>
      <c r="C3759" t="inlineStr">
        <is>
          <t>読み方：じめん
１土地の表面。地表。「でこぼこの—」
２土地。地所。「何ヘクタールもの—を所有する」</t>
        </is>
      </c>
      <c r="D3759" t="inlineStr">
        <is>
          <t>地面に叩きつけられ；地面すれすれ；地面にたたきつけ；地面に崩れ落ち；地面にたたきつけ</t>
        </is>
      </c>
      <c r="E3759" t="inlineStr">
        <is>
          <t>地；土地；土；泥；敷地</t>
        </is>
      </c>
      <c r="F3759" t="inlineStr">
        <is>
          <t>地面浸透処理；地面に接する地上駅；地面にくずれ落ち；地面に屈み込ん；地面スレスレ</t>
        </is>
      </c>
      <c r="G3759" t="inlineStr">
        <is>
          <t>地面効果翼機；地面師</t>
        </is>
      </c>
      <c r="H3759" t="n">
        <v>29</v>
      </c>
      <c r="I3759" t="inlineStr">
        <is>
          <t>ひじ・ひざ・頭・背中・お尻いずれかが先に地面に着いたら負けとなる。；地面に足をつけた状態から始め、体を後方に回転させながら棒上に上がる。；足裏は人間の歩行時に地面に接触し、そこに全体重がかかる部分である。；常に地上にいることから、尾羽の端は地面を引きずっていることが多い。；輪になったロープのような形をしており、地面などに置いて使用する。；カウントダウン中の爆弾を投げずに地面に置くには、この方法しかない。；なお、山の地面に接する霧または雲のことをガスと呼ぶことがある。；プリニウスは爆発時に地震を感じ、地面は非常に揺れたと述べている。；ただし参加者が地面や橋に手をつくか、橋から落ちた場合、失格となる。；象限儀は地面に対して正確に垂直になるように設置しなければならない。；そもそも、元は地面に描いた丸と自然の石で遊ばれていたと考えられている。；建物は地形の傾斜にあわせて、1階部分も2階部分も地面に接している。；地面が大規模に隆起し、かつそれが侵食に抵抗力のある岩盤である場合。；流砂は圧力がかかって崩壊するまでは、一見普通の地面のように見えている。；地面に接触していた部分は損傷していなかったのである。；線路や道路を高架橋で建設・改修した場合、その下と地面の間に空間ができる。；外から見ると、地面から柔らかい紐か何かが伸びているように見える。；この下に落ちた子供が丸太と地面の間に挟まれて大怪我をする事故も在った。；シンバは言われた通りに吠える練習をすると、突然地面が揺れ出した。；また、2本の脚が同時に地面に着いている時間が少ないことも明らかになった。；ビヨンドでは地球と異なり、内側から外側に向かって地面が敷かれている。；身を低くして地面をかすめるような走り方をしていたという。；走るときは首を下げていて、まるで地面を這うように走っていた。；足の裏以外の部分が先に地面に着いたら負けとなる。；これは、足が地面を掻く際の引っかかりになるように発達したものであろう。；この境界の北ではすべての地面は永久凍土もしくは氷河・氷床に覆われる。；その場合は、その低い場所の地面の色を注意深くじっくりと観察する。；初春の水田ではロゼット葉を広げて地面にはいつくばった姿で見られる。；誰かがジャンプしたい時、その人は地面に付加的な下向きの力を加える。</t>
        </is>
      </c>
      <c r="J3759">
        <f>HYPERLINK("https://www.weblio.jp/content/地面", "词义详情")</f>
        <v/>
      </c>
      <c r="K3759">
        <f>HYPERLINK("https://yourei.jp/地面", "查看例句")</f>
        <v/>
      </c>
    </row>
    <row r="3760">
      <c r="A3760" t="inlineStr">
        <is>
          <t>霜</t>
        </is>
      </c>
      <c r="B3760" t="inlineStr">
        <is>
          <t>成功</t>
        </is>
      </c>
      <c r="C3760" t="inlineStr">
        <is>
          <t>読み方：しも
１氷点下に冷却した地面や地上の物体に、空気中の水蒸気が触れて昇華してできる氷の結晶。風の弱い、晴れた夜にできやすい。《季冬》「—のふる夜を菅笠のゆくへ哉／竜之介」
２使用中の電気冷蔵庫の内側に付着する細かい氷。
３白髪をたとえていう語。「頭髪に—を交える」</t>
        </is>
      </c>
      <c r="D3760" t="inlineStr">
        <is>
          <t>霜刀；霜婆さん；霜葉；霜取り；霜元</t>
        </is>
      </c>
      <c r="E3760" t="inlineStr">
        <is>
          <t>凍結；凝結；氷結；フロスト；秋霜</t>
        </is>
      </c>
      <c r="F3760" t="inlineStr">
        <is>
          <t>お霜；白い霜；無霜；凌霜；白く霜</t>
        </is>
      </c>
      <c r="G3760" t="inlineStr">
        <is>
          <t>霜月；霜降り；霜月騒動；霜枯れ；霜降</t>
        </is>
      </c>
      <c r="H3760" t="n">
        <v>29</v>
      </c>
      <c r="I3760" t="inlineStr">
        <is>
          <t>お霜は近所の人達の走り使いなどに頼まれて、それで生活を立てていた。；そうして美しさの頂点に達したときに一度に霜に殺されるそうである。；冬には凝結して水滴になるのではなく、氷になるので、これを霜と呼ぶ。；風のない夜であったが、人のからだは霜を浴びているように寒かった。；けさもお庭に仏様のお花を切りに出て見ましたが一面に霜が置いていました。；町の上には半輪の月が、霜の下りた家々の屋根へ、寒い光を流していた。；いや、奥にいる筈だと答えると、お霜はすこし不思議そうな顔をして言った。；冬は変化が大きく、氷点下の気温になったり夜に霜が降りることが多い。；中には霜に打たれて、口へ入れると溶けるような味のするもあった。；だが、谷の向う側は北を受けて、枯れた羊歯の葉に霜が白く光っている。；レドモンドの植物成長期間は霜が無い時期が短いために極めて短い。；それらは諸島の約1割を占める、夏季に霜がないエリアのみに分布する。；しいんとした霜寒の空気の中に、私をぎょっとさせた音を聞いたからである。；空は一点の雲もない快晴であったが、地の面には一面に霜が真白くおりていた。；寒冷地で、除霜運転が多いことが予想される場合は有効な選択である。；間もなく秋も末になって風が寒くなり、霜がおりて木の棄が落ちてしまった。；ニューポート地域で平均的な植物生育期は、霜の無い約130日である。；そしてこの実験では、先ず霜の結晶の生長の各段階を調べることとした。；この霜を冷い硝子板で受け取って、顕微鏡下でその形を調べるのである。；霜の下りたその頭は星のやうに輝いて見える 女は走る。；お霜も正直には云わないで、唯ひと通りの夫婦喧嘩のように話していた。；おじいさんは、霜にあててはならないと思って、家の中へいれておきました。；その晩、この南の海に面したがけにも霜が降りたほど、寒かったのです。；すでに述べたように霜と雪との間には、結晶習性上本質的の差はない。；冷たい風が頭の上を吹いて通って、霜になりかけた露が時どき頬に落ちてきた。；その障子を開かせると、露と霜とに濡れた爽かな庭が、すぐ眼の前にあった。；雨のなかではどうにもならないので、人々はお霜を取り囲んで露路の奥へはいった。；それになほ、雲や霧や霜の危険よりも数倍の危険が、吾々の心を寒くした。；霜の来ないうちに早くと、崖の上でも下でも工事を急いだ。</t>
        </is>
      </c>
      <c r="J3760">
        <f>HYPERLINK("https://www.weblio.jp/content/霜", "词义详情")</f>
        <v/>
      </c>
      <c r="K3760">
        <f>HYPERLINK("https://yourei.jp/霜", "查看例句")</f>
        <v/>
      </c>
    </row>
    <row r="3761">
      <c r="A3761" t="inlineStr">
        <is>
          <t>下</t>
        </is>
      </c>
      <c r="B3761" t="inlineStr">
        <is>
          <t>成功</t>
        </is>
      </c>
      <c r="C3761" t="inlineStr">
        <is>
          <t>読み方：か
［音］カ（漢）ゲ（呉）　［訓］した　しも　もと　さげる　さがる　くだる　くだす　くださる　おろす　おりる
［学習漢字］1年
〈カ〉
１空間的位置関係の低い方。「下部・下方／階下・眼下・地下・直下・天下・皮下」
２時間・順序が後の方。「下記・下元・下弦／以下」
３階級・身分・程度が低い方。「下院・下情・下層・下等・下僚」
４空間的・時間的範囲を限定する語。「県下・言下・時下・城下・目下・占領下」
５支配・影響を受ける側。「管下・麾下(きか)・傘下・配下・部下・門下」
６貴人の尊称に添える語。「閣下・貴下・殿下・陛下」
７脇付(わきづけ)に用いる語。「机下・虎皮下」
８上から下へ、高い方から低い方へ移動する。「下降／却下・降下・沈下・低下・投下・落下」
９中央から地方へ、中心から周辺へ移る。「西下・南下」
10上位者から下位者へ渡し与える。「下賜・下付・下命」
〈ゲ〉
１の1に同じ。「下界・下段／上下」
２の2に同じ。「下巻・下刻・下旬」
３の3に同じ。「下品・下郎・下剋上(げこくじょう)・下世話／凡下」
４の8に同じ。「下山・下車・下馬・下落・下痢」
５の9に同じ。「下向・下野」
６の10に同じ。「下知／宣下」
７へりくだる。「卑下」
〈した〉「下着・下手・下見・下役／靴下・手下・年下・軒下・幕下・目下・床下」
〈しも〉「下座・下手／風下・上下(かみしも)・川下」
〈もと〉「足下・膝下(ひざもと)」
［難読］下火(あこ)・下炬(あこ)・下司(げす)・下種(げす)・下衆(げす)・白帯下(こしけ)・下枝(しずえ)・下総(しもうさ)・下野(しもつけ)・下手(へた)</t>
        </is>
      </c>
      <c r="D3761" t="inlineStr">
        <is>
          <t>下顎；下唇；下半分；下野国；下におか</t>
        </is>
      </c>
      <c r="E3761" t="inlineStr">
        <is>
          <t>もと；底；低；尻；裾</t>
        </is>
      </c>
      <c r="F3761" t="inlineStr">
        <is>
          <t>統治下；落下；占領下；政権下；管轄下</t>
        </is>
      </c>
      <c r="G3761" t="inlineStr">
        <is>
          <t>下さい；下げ；下し；下記；下ろし</t>
        </is>
      </c>
      <c r="H3761" t="n">
        <v>29</v>
      </c>
      <c r="I3761" t="inlineStr">
        <is>
          <t>区の長期基本計画によると、都市核と指定された地域は下の6つである。；さらに、アンモニアの雲の下には薄い水の雲が存在すると予想される。；ニュースは敗戦・占領下で自信を失っていた日本国民に大きな力を与えた。；その後、1892年までに全ての首長国がイギリスの保護下に置かれた。；かつての国鉄は解体され、官民協力体制の下で委託経営が行われている。；最後は下関駅の先で海の下に潜って、再び地上に出るとそこは九州である。；ピクセルは通常、左下から右下へ、これを下から上に向かって保存する。；北に隣接するセルビアは紛争当事国となって国際的な制裁下に置かれた。；ある日、ゼウスとポセイドンの兄であるハデスが彼女の下を訪ねてきた。；知られている限り、全ての藍藻は好気環境下で酸素発生型光合成を行う。；一定圧力下で常温の水をゆっくり加熱すると、ある温度で蒸気に変わる。；彼の下にいた研究者の一部はパロアルト研究所へと移っていった。；近年の店舗ではマイクの下に注文を表示するディスプレイが導入されている。；日本統治下の私鉄路線は、韓国ではアメリカ占領時期に国有化された。；また、日本IBMの下には更に複数の子会社と関連会社が存在している。；下の左手には、下の右手には、上の左手には、上の右手にはを持つ。；宇宙環境下における細胞は地上での実験では見られない挙動を示す。；なお、斬首より軽いとされるのが銃殺、その下が一般的な絞首刑である。；教育制度の大部分は、教育・技能大臣を通じた政府の指導の下にある。；あるいは南を下、北を上とした時、東の方向が右、西の方向が左となる。；最近では法治を重視する政策の下、一定の役割を果すようになってきている。；詳しくは下に記した表の中にある「生成方法」項目を参照されたい。；最高指導者の下に指導者評議会があり、その下に各委員会が設置されている。；またブロックの上にいる敵はそのブロックを下から叩くことで倒すことができる。；残された「暁の星」はフェルキンの下で数々の混乱を経ながら続いた。；さらに口は開くと下を向き、湖底の餌をついばんで食べやすくなっている。；独立後、政府は主要産業を国有化し、保護政策の下で工業を発展させてきた。；娘で各種アイテム開発のプロであるからくり博士の日向おぼろの下に逃れた。；現行憲法下において法律を発案・提出する手続には、以下の三つがある。</t>
        </is>
      </c>
      <c r="J3761">
        <f>HYPERLINK("https://www.weblio.jp/content/下", "词义详情")</f>
        <v/>
      </c>
      <c r="K3761">
        <f>HYPERLINK("https://yourei.jp/下", "查看例句")</f>
        <v/>
      </c>
    </row>
    <row r="3762">
      <c r="A3762" t="inlineStr">
        <is>
          <t>地元</t>
        </is>
      </c>
      <c r="B3762" t="inlineStr">
        <is>
          <t>成功</t>
        </is>
      </c>
      <c r="C3762" t="inlineStr">
        <is>
          <t>読み方：じもと
１そのことに直接関係ある土地。「—の意見を聞く」
２その人が居住している土地。また、その人の勢力範囲である土地。「—の候補者」</t>
        </is>
      </c>
      <c r="D3762" t="inlineStr">
        <is>
          <t>地元出身；地元クラブ；地元自治体；地元有志；地元開催</t>
        </is>
      </c>
      <c r="E3762" t="inlineStr">
        <is>
          <t>祖国；故国；お国；生息地；ホームグラウンド</t>
        </is>
      </c>
      <c r="F3762" t="inlineStr">
        <is>
          <t>地元球団；地元選出；地元テレビ局；地元チーム；地元民放テレビ局</t>
        </is>
      </c>
      <c r="G3762" t="inlineStr">
        <is>
          <t>地元民；地元企業；地元紙；地元警察；地元産</t>
        </is>
      </c>
      <c r="H3762" t="n">
        <v>29</v>
      </c>
      <c r="I3762" t="inlineStr">
        <is>
          <t>数十年後も、通信や情報の改革が地元経済の大部分を活性化させている。；自ら地元の教会内に用意し、死後に埋葬された墓地は極めて質素である。；地元の伝承ではラボックの一人当たりの教会の数では国内最大と言われる。；特徴的な開催場所としては地元のテーマパークで開催する自治体もある。；この公演について地元の新聞がいくらか批判的な評価を寄せている。；首を取られ残された遺体は、彼を崇める地元の領民によって埋葬された。；多数の防衛施設を抱えているため、地元経済への影響は無視できない。；そのため、当路線は地元の鉄道産業にも欠かせない路線の一つとなっている。；また、地元球団がある局では当該球団が出場した場合のみ放送する局もある。；新聞社や地元の有力企業などが主な出資者になっていることが多い。；珠算・簿記・税務会計の授業がある地元の商売人の子が来る高校だった。；建設費3億7000万円全額を地元が負担して建設された請願駅である。；父のイリヤは祖父の代以来の地元の金属工場の労働者であった。；イギリスGPではスターリング・モスの地元初優勝を祝う余裕も見せた。；地元はどこを見ても父親が妻を殴っていて、大人が子どもをぶん殴っていた。；また、レコード吹き込みにも名前が残るが、地元の芸妓の存在も大きい。；当時父親は地元の運送会社に勤めていたが、後にラーメン店を開いた。；工業は小規模で、地元での消費のために輸入した材料を加工する程度である。；試合はこのまま終了して敗れたものの、地元の新聞からも試合での動きを高く評価された。；一方、地元からは早い時期より「馬車道駅」とするよう要望されていた。；地元ではハリケーンはないがトルネードは突然来ると言われている。；Stadiは話者がヘルシンキの地元出身であると主張する時に使われる。；駅は乗客以外にも地元客のサロンのように使われたという。；地元でのイベント活動の様子の写真も紹介された。；また、育成改革も行われて6人の登録選手が地元で育成された人ではないといけない。；だが地元自治体の納得できるだけの放流量ではなく、交渉は不調に終わった。；その様子に感動した人達の中にいた地元の人形創作グループから指導を依頼される。；妻が九州出身なので「九州場所は地元のようなもの」とも言われた。；地元から比較的近い観光地への旅行が主流である。</t>
        </is>
      </c>
      <c r="J3762">
        <f>HYPERLINK("https://www.weblio.jp/content/地元", "词义详情")</f>
        <v/>
      </c>
      <c r="K3762">
        <f>HYPERLINK("https://yourei.jp/地元", "查看例句")</f>
        <v/>
      </c>
    </row>
    <row r="3763">
      <c r="A3763" t="inlineStr">
        <is>
          <t>視野</t>
        </is>
      </c>
      <c r="B3763" t="inlineStr">
        <is>
          <t>成功</t>
        </is>
      </c>
      <c r="C3763" t="inlineStr">
        <is>
          <t>読み方：しや
１外界の一点を凝視するとき、その点を中心として見える範囲。視力の及ぶ範囲。「—が開ける」「—を遮る」
２顕微鏡・望遠鏡・写真機などの、レンズで見ることのできる範囲。
３物事を考えたり判断したりする範囲。「—の狭い人」「国際的な—に立つ」</t>
        </is>
      </c>
      <c r="D3763" t="inlineStr">
        <is>
          <t>視野いっぱい；視野闘争；視野内；視野欠損；視野全体</t>
        </is>
      </c>
      <c r="E3763" t="inlineStr">
        <is>
          <t>立場；態度；視界；観点；見方</t>
        </is>
      </c>
      <c r="F3763" t="inlineStr">
        <is>
          <t>両眼視野；広視野；国際的視野；狭い視野；国際的な視野</t>
        </is>
      </c>
      <c r="G3763" t="inlineStr">
        <is>
          <t>視野狭窄；視野障害</t>
        </is>
      </c>
      <c r="H3763" t="n">
        <v>29</v>
      </c>
      <c r="I3763" t="inlineStr">
        <is>
          <t>それだのに今度は御自分がか弱い女のやうなことを仰つしやいますのね。；この背景には、既に朝鮮半島そして明への遠征が視野にあったとされる。；人間の目の動きと同じ範囲をカバーし、最大の視野を確保できるとされる。；ただ何んにも仰つしやいますな、誰も気のつくことではございませんから!；氷川は一日口を利かずにゐると、つひ何かしやべりたくなるのであつた。；どちら様でも、今日は全然お見かけしないつておつしやいましたわ。；が、同時に又一面には「書くやうにしやべりたい」とも思ふものである。；守備においては技術よりも、豊富な運動量や視野の広さが重視される。；日本経済が自由化に耐えられるか否かは議論が絶えていなかったもしや。；左右には白襟紋つきの子供の母達や教師たちが虔しやかに居並んでいる。；例えば右の視索に病変があると、両眼とも視野の左半分が見えなくなる。；鍼灸師の資格を取得して将来的には海外を視野に入れていることから。；テレスコピックサイトの一種であり、特に夜間の視野確保のための装置。；姉を姦したものは、又必ずその妹を姦するものだとかう仰しやいました。；厳密な定義はないが、人間の視野に近い画角をもつレンズの呼称である。；この結果の差は、人間集団内の差異を視野に入れるかどうかに関わっている。；移動中は一切会話を交わさないなど、解散も視野に入れていたほどであった。；木賃宿へ帰つた私は 髪を二ツに分けてカチユーシヤの髪を結んでみた。；コーナーの最初にこの後放送するニュースの見出しや上を向いて歩こう!；その人は起上り様に男の顔を見て、嬉しや、可懐しやと心も空なる気色。；どこか男の子のやうで、少ししや嗄れたやうな声も大人のやうに太かつた。；ただし情報の内容は、どちらも全視野のうち反対側の半分となる。；この方、あの、あたくしのお友達で、鳥居冬さんつておつしやいますの。；あなたは御自分がなりたいと思ふ程善良ではないと仰しやいました。；霧中や豪雨時に視野を確保する為と言う意見もあるが、あまり機能しない。；両社は日本だけでなく中国などのアジア市場を視野に入れて設立されたものだった。；なおこの当時は番組をスペシャル版で継続することまで視野に入れていなかった。；心が妙に興奮してゐて、思はぬ所ではしやいだりしたのであつた。；併しやがてはそういう所へまで進むのではないかと思われます。</t>
        </is>
      </c>
      <c r="J3763">
        <f>HYPERLINK("https://www.weblio.jp/content/視野", "词义详情")</f>
        <v/>
      </c>
      <c r="K3763">
        <f>HYPERLINK("https://yourei.jp/視野", "查看例句")</f>
        <v/>
      </c>
    </row>
    <row r="3764">
      <c r="A3764" t="inlineStr">
        <is>
          <t>じゃ</t>
        </is>
      </c>
      <c r="B3764" t="inlineStr">
        <is>
          <t>成功</t>
        </is>
      </c>
      <c r="C3764" t="inlineStr">
        <is>
          <t>［接］《「では」の音変化》
１前の事柄を受けて、あとの事柄が起こることを示す。それならば。じゃあ。「『私は行かない』『—、僕が行こう』」
２前の事柄と関係なく言葉を続けたり、話題を変えたりするときに用いる。それでは。じゃあ。「—、失礼します」
[補説] 「では」よりはくだけた場面に使われる。</t>
        </is>
      </c>
      <c r="D3764" t="inlineStr">
        <is>
          <t>じゃない(53%)；じゃありませ(4%)；じゃねえ(3%)；じゃなかった(2%)；じゃなく</t>
        </is>
      </c>
      <c r="F3764" t="inlineStr">
        <is>
          <t>わけじゃない；てるじゃない；んじゃねえ；なんかじゃ；好きじゃない</t>
        </is>
      </c>
      <c r="G3764" t="inlineStr">
        <is>
          <t>じゃなくて；じゃん；じゃろ；じゃま；じゃが</t>
        </is>
      </c>
      <c r="H3764" t="n">
        <v>29</v>
      </c>
      <c r="I3764" t="inlineStr">
        <is>
          <t>実は今まで僕の処に出入りしていた実験用の犬屋君が死んじゃったんだ。；よく考えたら、僕はほとんど彼女のことを知らないんじゃないだろうか?；僕もそこで自分からすり寄って合わせられるタイプじゃありませんしね。；僕はシラ・ブラックの歌を演奏するためにグループを作ったんじゃない。；だって彼は死んじゃったけど、死ぬまでわたしを愛してくれましたもの。；あなたが以前古代史に興味をお持ちじゃったこともよく知っております。；こんな簡単な事が分からない打者が今の野球には多過ぎるんじゃないかな。；役作りのためとは言えキャリア変更を検討した方がいいじゃないのか?；わしも昔はその一人じゃった、一時は恋にあこがれたこともあるからな。；自動操作のため自分の活躍だけじゃないチームメイトの強化も重要となる。；周囲に心配させまいとして黙っているうち、急に死んじゃったんですね。；これを聞いた本人はこの時「漫才師みたいじゃないか」と思ったという。；だから僕は世代間の争いなんてするべきじゃないとずっと言い続けているんだ。；とにかく幾段も見下げた扱いじゃったが、八番館ではまるで違うとった。；頭のいい馬だからきっと、自分で体を絞りにかかっていたんじゃないかな。；野球部からは「左投げじゃなかったら取らなかった」と言われたという。；お金もらうところじゃないんだもん、映ってないところで泣くんだから。；俺が名付けた訳じゃないし、気がついたらそういう名前になってたんだけど。；統一した色があるんじゃなくて、とにかく先見の明で先へ先へ行くという。；あのかたに結構じゃったものは、あなたにもやはり結構なはずじゃがな!；なかなかその機会がなくても、もうお前そんなこと言ってる歳じゃないぞと。；実際、僕だけじゃなく、若い連中からもかなり不満が出ていましたね。；これは俺達とレインの家族に起こったことであって、彼らにじゃない。；でもまさか街で踊っている人たちを連れてきたんじゃないですよね。；想像するに脚本の意図は少し違っていたんじゃないでしょうか。；父親は厳しいなんてものじゃなく、自転車ごと投げられたこともあると語る。；焼肉食べ放題の店を一軒か二軒、潰しているんじゃないかと思いますよ。；成績は、きみも予想したじゃろうが、受けた試験はすべて一番じゃった。；あの方は、昔は雷の魔法が下手くそじゃったけれど、今もそうですかな?</t>
        </is>
      </c>
      <c r="J3764">
        <f>HYPERLINK("https://www.weblio.jp/content/じゃ", "词义详情")</f>
        <v/>
      </c>
      <c r="K3764">
        <f>HYPERLINK("https://yourei.jp/じゃ", "查看例句")</f>
        <v/>
      </c>
    </row>
    <row r="3765">
      <c r="A3765" t="inlineStr">
        <is>
          <t>シャープペン</t>
        </is>
      </c>
      <c r="B3765" t="inlineStr">
        <is>
          <t>成功</t>
        </is>
      </c>
      <c r="G3765" t="inlineStr">
        <is>
          <t>シャープペンの芯</t>
        </is>
      </c>
      <c r="H3765" t="n">
        <v>29</v>
      </c>
      <c r="I3765" t="inlineStr">
        <is>
          <t>ただ、シャープペンを強くにぎりすぎて、また折ってしまっただけの話だ。；ぼくはシャープペンを机に置いて天を仰ぎ、大きな溜め息を天井にぶつけた。；しかし急ごうと思えば思うほど、シャープペンは引っかかり言葉は何も出てこないのだ。；真後ろの席にいた女が俺の背中をシャープペンでつついた。；ハードカバー本を手みやげに教室へ戻った俺の背中をシャープペンの先がつついた。；シャープペンを取り、ファイル・ノートに大きく楷書で二つの名前を書いた。；シャープペンを持ち直し、アンケートに意識を戻しつつ、俺は言った。；ただ全てを暗算でこなすとなると、ノートとシャープペンでやるのとはまるで勝手が違う。；さっきからシャープペンの先っぽの芯を親指の爪で僕に折り飛ばしてるのは誰!?；俺はシャープペンを転がして教科書を閉じて、精神安定剤を眺めることにした。；よほど難しい問題を解いているのか、時折そっぽを向いてはまたシャープペンを走らせる。；姫田亜矢子は不審に思い、シャープペンを握っていた手を止め、ラジオに耳を傾けた。；視線を感じた先に座るリュウシさんは黒板の方を向き、シャープペンを指先で回していた。；「じゃ、問題出すからそれぞれ紙に文章を書いてね」 リアと文香と暦がそれぞれ紙とシャープペンを用意した。；面を伏せた女子生徒がシャープペン片手に議事録みたいなノートを広げて待機している。；ある日、このTくんが授業中に背後からぼくの背中をシャープペンの先でつついて、何やら折り畳んだ紙片を渡してきたことがあった。；僕は大きな欠伸をしたのを機に、ノートの上にシャープペンを放り出すと、ベッドに横たわった。；俺はシャープペンを指の間に挟み、ぶらつかせながら反論する。；二分くらい経つと、ヨシモクはシャープペンを置き、ほんの少し上半身を起こす。；これもいつもならハルヒは俺の真後ろの席で窓の外を眺めているか、シャープペンで俺の背中を突っついたりしているのだが、この時のハルヒは首を伸ばして俺の手元をのぞき込み、困ったような、それでいて考え込むような顔で俺が持つコピー用紙の文字を目で追っていた。；おい〝ないない〟、シャープペンやシャツはどうでもいいけど、あの腕時計だけは返せよな。；メモを取るようにシャープペンを握りしめていたが、のぞき込めば書いているのは犬と猫のギャグタッチなイタズラ描きだ。；ドクターグリップのシャープペンの多くは、振ると芯が出る振り子式を採用している。；私は、三菱ユニの2Bを使っているんだけれども、一々削るんじゃない、芯が出てくるようなシャープペンみたいな鉛筆形式で書いている人もかなりいますね。；指が引っかかって、シャープペンはものすごい勢いで回転しながら里志の顔をかすめ、教室の隅まで吹っ飛んでいった。；問題集にさあ向かうぞ、というタイミングでふと気付くと、彼はシャープペンを握ったまま手元の一点を見つめている。；シャープペンのみ一部カラーが現行品であるが、※のついたカラーが製造終了、ボールペンは全カラーが製造終了となっている。；子どもたちの使用する筆記用具が多様化したため、消しゴム・シャープペンなど他の学用品・ハンカチが売られる場合もあるが、いずれの活動も下火となりつつある。；ハルヒはシャープペンを俺の顔の前でチッチッと振って、 「紅海からこっちはひっくるめて全部アジアなのよ」 どういう地理感覚だ。</t>
        </is>
      </c>
      <c r="J3765">
        <f>HYPERLINK("https://www.weblio.jp/content/シャープペン", "词义详情")</f>
        <v/>
      </c>
      <c r="K3765">
        <f>HYPERLINK("https://yourei.jp/シャープペン", "查看例句")</f>
        <v/>
      </c>
    </row>
    <row r="3766">
      <c r="A3766" t="inlineStr">
        <is>
          <t>謝意</t>
        </is>
      </c>
      <c r="B3766" t="inlineStr">
        <is>
          <t>成功</t>
        </is>
      </c>
      <c r="C3766" t="inlineStr">
        <is>
          <t>読み方：しゃい
１感謝の気持ち。「御厚意に心から—を表します」
２自分の過ちをわびる気持ち。「—を表して辞任する」</t>
        </is>
      </c>
      <c r="D3766" t="inlineStr">
        <is>
          <t>謝意を表したい(6%)；謝意を表する次第；謝意をのべ；謝意を述べさせ</t>
        </is>
      </c>
      <c r="E3766" t="inlineStr">
        <is>
          <t>感謝；礼；謝罪；お礼；お詫び</t>
        </is>
      </c>
      <c r="F3766" t="inlineStr">
        <is>
          <t>厚く謝意；ここに謝意；深甚な謝意</t>
        </is>
      </c>
      <c r="H3766" t="n">
        <v>29</v>
      </c>
      <c r="I3766" t="inlineStr">
        <is>
          <t>自分の謝意を表すために、言葉以外にできる唯一のことだったのだ。；わしは、でき得る限りの謝意をこめて別れを告げ、かれらの幸福を祈った。；最後に本書は次の各書を參考としたことを記し、謝意と敬意とを表する。；以上お世話になったすべての方方への深い謝意を、ここに記しておきたい。；僕は道中の不満も忘れ、またお目にかかれた光栄を喜び、謝意を述べる。；同郷人たちに謝意を告げてから、コルネイユは年経た父の邸を見に出かけた。；この場合はその人々にその理由を報じ、謝意を表するのが礼であるとされる。；ヒルダに対するアンネローゼの謝意は、事実と真実の双方であったのだ。；杯を持ちながら頭を下げて謝意を表した源中将はよい形であった。；妾は女史に謝意を表して早速その金田医師を呼んでくるように頼んだ。；この目録を掲載した冊子には日本政府関係者も次のような謝意の言葉を寄せた。；また勝利の際は必ずチームとスタッフに謝意を述べる。；彼は微笑で彼女に謝意を表して、彼女とならんで腰をおろした。；乗組員達は献身的な作業により、被災者達から尊敬および謝意を受けた。；多くの金銭を持っていなかった為、歌手になるために支援してくれた母親に謝意を表している。；簡単な自己紹介に続いて、相手がわたしへの謝意を言葉にした。；礼状は人付き合いを円滑にする目的で、謝意を述べる際に出す手紙である。；この中へ銭を投げ込む者があると、彼はうたひながら軽く頭を下げて謝意を表す。；校注者の故井上光貞氏と大曾根章介氏に深甚の謝意を表する次第である。；三州吉田に軍を返した信長の許に、家康が謝意を表するため、参向した。；なお取材や校正に当たり、お世話になった方々の名を記して謝意を表したい。；こちらのメンバー紹介を片桐が行なったところ、用意のよさに刑事たちは謝意を表してくれた。；せめてもの謝意に、私の最後の作品をあなたに差し上げたいとおもいます。；天皇は被爆地の訪問および東日本大震災の被災者との面会に謝意を表した。；これに対し石山は「ダイヤモンド」誌で、次のように謝意を述べている。；「メルシー」 芸のない言葉だが、何とか異国人の謝意は通じたらしい。；もう世話にならないのだから、常連に謝意をあらわしても仕方がない。；最後に本書は次ぎの各書を参考としたことを記し、謝意と敬意とを表する。；君が貴重な研究の時間を割いてこの面倒な仕事にあたつてくれたのに對し特に謝意を表明する。</t>
        </is>
      </c>
      <c r="J3766">
        <f>HYPERLINK("https://www.weblio.jp/content/謝意", "词义详情")</f>
        <v/>
      </c>
      <c r="K3766">
        <f>HYPERLINK("https://yourei.jp/謝意", "查看例句")</f>
        <v/>
      </c>
    </row>
    <row r="3767">
      <c r="A3767" t="inlineStr">
        <is>
          <t>社員</t>
        </is>
      </c>
      <c r="B3767" t="inlineStr">
        <is>
          <t>成功</t>
        </is>
      </c>
      <c r="C3767" t="inlineStr">
        <is>
          <t>読み方：しゃいん
１会社の一員として勤務している人。
２社団法人の構成員。株式会社では株主とよばれる。</t>
        </is>
      </c>
      <c r="D3767" t="inlineStr">
        <is>
          <t>社員たち(5%)；社員数；社員達；社員全員；社員総会</t>
        </is>
      </c>
      <c r="E3767" t="inlineStr">
        <is>
          <t>スタッフ；部下；人材；使用人；労働者</t>
        </is>
      </c>
      <c r="F3767" t="inlineStr">
        <is>
          <t>元社員；男性社員；全社員；若い社員；若手社員</t>
        </is>
      </c>
      <c r="G3767" t="inlineStr">
        <is>
          <t>社員寮；社員旅行；社員教育；社員選手；社員証</t>
        </is>
      </c>
      <c r="H3767" t="n">
        <v>29</v>
      </c>
      <c r="I3767" t="inlineStr">
        <is>
          <t>列車を確保し日本人社員と家族を朝鮮経由で日本に帰国させるよう命じた。；オープン時に社員から提案があり、社長の了承も得た上で変更したもの。；この時代に大量に採用された社員を指してバブル就職世代とも言われる。；本人は「社員だけに責任を転嫁したわけではない」と語っていたという。；社員が二人以上ある場合、業務の決定は原則として社員の過半数による。；LLCには大きく分けて、社員直接経営型と経由経営型の二種類がある。；レストランに行った際、その店で働いていた元社員がいて驚いたことがあった。；一部ラジオ番組では社員当時のタイトルコールが引き続き使用されていた。；社員を海外赴任させる企業が子供の障害まで考慮することはめったにない。；日本では、企業吹奏楽団は、楽器を趣味とする社員有志のクラブが多い。；入社には社員2名の推薦を必要とし、入社審査を通過する必要がある。；そのため松永長男は保安規定の作成を若手技術系社員と共同して実施した。；この頃になると社員ですらまともに生活ができないほど経営が苦しくなった。；終日社員配置で営業社員のほか、信号詰所には運転社員が配置されている。；より高い給料はイケア社員への主要な投資であるとイケアは述べている。；これは本社ビルと隣接していたため、当時の社員が多く利用していた事による。；スタジオジブリがスタッフを社員にして作った最初の映画である。；以前は駅舎に社宅が併設されており、社員の家族に駅業務を委託していた。；無人駅だが、繁忙期のみ社員が派遣され、特別改札を実施する事がある。；運転関係社員は前述の男性用制服と同じ紺色の制服を着用する。；設立時社員など法人を設立しようとする者が作成し署名又は記名捺印する。；他に、強制的に社員を退社させたり、業務権限を剥奪することもできる。；一部三井住友海上と親密な明光証券に、元社員の一部が採用されている。；ただし社員となっている人物が法人の業務に従事することに法令上の規制はない。；ライブコンサートも自身と少数の社員らで企画して行っている。；また福利厚生の一環として、社員に社宅や寮を提供している会社も多い。；そのため、他の社員に歓迎されない者が社員となる可能性を極力排除している。；国家を一種の社団と解するならば、国民はその社員と解されることになる。；丸大社員役の刑事を含め7人の特殊事件係刑事が指定された電車に乗り込む。</t>
        </is>
      </c>
      <c r="J3767">
        <f>HYPERLINK("https://www.weblio.jp/content/社員", "词义详情")</f>
        <v/>
      </c>
      <c r="K3767">
        <f>HYPERLINK("https://yourei.jp/社員", "查看例句")</f>
        <v/>
      </c>
    </row>
    <row r="3768">
      <c r="A3768" t="inlineStr">
        <is>
          <t>社会</t>
        </is>
      </c>
      <c r="B3768" t="inlineStr">
        <is>
          <t>成功</t>
        </is>
      </c>
      <c r="C3768" t="inlineStr">
        <is>
          <t>読み方：しゃかい
《英語societyの訳語として「社会」を当てたのは、明治初期の福地桜痴（源一郎）である》
１人間の共同生活の総称。また、広く、人間の集団としての営みや組織的な営みをいう。「—に奉仕する」「—参加」「—生活」「国際—」「縦—」
２人々が生活している、現実の世の中。世間。「—に重きをなす」「—に適応する」「—に出る」
３ある共通項によってくくられ、他から区別される人々の集まり。また、仲間意識をもって、みずからを他と区別する人々の集まり。「学者の—」「海外の日本人—」「上流—」
４共同で生活する同種の動物の集まりを1になぞらえていう語。「ライオンの—」
５「社会科」の略。</t>
        </is>
      </c>
      <c r="D3768" t="inlineStr">
        <is>
          <t>社会的(7%)；社会全体；社会情勢；社会改革；社会状況</t>
        </is>
      </c>
      <c r="E3768" t="inlineStr">
        <is>
          <t>世界；界</t>
        </is>
      </c>
      <c r="F3768" t="inlineStr">
        <is>
          <t>アメリカ社会；人類社会；反社会；公家社会；ユダヤ人社会</t>
        </is>
      </c>
      <c r="G3768" t="inlineStr">
        <is>
          <t>社会主義；社会人；社会問題；社会党；社会学</t>
        </is>
      </c>
      <c r="H3768" t="n">
        <v>29</v>
      </c>
      <c r="I3768" t="inlineStr">
        <is>
          <t>社会は広範かつ多様な領域を持っているために複雑な体系となっている。；今後、受け入れた人々の社会統合をより成功させるためにも重要なこと。；また別の観点では、発明の内容を社会に公開させるためのものともいえる。；主として何らかの社会と関連のある空間を意味する多義的な言葉である。；内容は春秋戦国時代の思想・社会の集大成と分析とも言えるものである。；インドでは少数派でありながら社会的に影響力のある宗教集団である。；また、社会内部の様々な利益を集約し、政治へと反映させる機能がある。；詩人ユスタシュ・デシャンは百年戦争の間の社会と精神構造を証言した。；また、記録の仕方によっても人や社会が影響を受けるとする考察もある。；日本で社会的に注目された副作用の事例には次のようなものがある。；農業中心の社会ではローマ暦のように春を年初とみなす場合が多かった。；クエーカー指揮の決定は、近年世俗社会で用いられるようになって来た。；当時の森監督は野球は教えたけど、社会人としての常識を教えなかった。；政治が成立する社会の基礎にはさまざまな関係が存在している。；しかし実際には社会からというよりも世の中からの隔離へと変化してきている。；当時、南部と北部との経済・社会・政治的な相違が拡大していた。；双系制社会でも男性が指導権を握っていることに変わりはなかった。；また姓を持たず氏のみを持つ非族長層も社会の表舞台に立つようになっていった。；経済は社会の中で希少性や効用性を持つ価値を配分する機能の一つである。；これらは、当時の社会や文化を伝える資料としても貴重な価値をもっている。；円滑に社会を営むために人間にはそれぞれ役割が与えられなければならない。；古代以来の各時代や社会と建築の関係、工法の発達などを研究する。；当時は売春の取り締まりが社会的な課題となっていた時期であった。；社会的・政治的・経済的な変化の多くが社会に定着した。；また世界的に関心の高い分野への受賞など社会的なメッセージともとれる例がある。；家庭は、人間の社会の最小単位である個人の次に小さい単位である。；彼らは社会体育勢が中心の全柔連のやり方に不満を持つようになった。；第一次世界大戦は空前の戦死傷率を記録して、社会に大きな傷跡を残した。；政党は社会に発生する紛争を政治問題として提示することが必要となる。</t>
        </is>
      </c>
      <c r="J3768">
        <f>HYPERLINK("https://www.weblio.jp/content/社会", "词义详情")</f>
        <v/>
      </c>
      <c r="K3768">
        <f>HYPERLINK("https://yourei.jp/社会", "查看例句")</f>
        <v/>
      </c>
    </row>
    <row r="3769">
      <c r="A3769" t="inlineStr">
        <is>
          <t>社会科学</t>
        </is>
      </c>
      <c r="B3769" t="inlineStr">
        <is>
          <t>成功</t>
        </is>
      </c>
      <c r="C3769" t="inlineStr">
        <is>
          <t>読み方：しゃかいかがく
社会現象を研究の対象とする科学の総称。政治学・法律学・経済学・社会学・社会心理学・教育学・歴史学・民族学およびその他の関係諸科学。→自然科学→人文科学</t>
        </is>
      </c>
      <c r="D3769" t="inlineStr">
        <is>
          <t>社会科学的(9%)；社会科学研究科(4%)；社会科学分野(2%)；社会科学院；社会科学総合学術院</t>
        </is>
      </c>
      <c r="E3769" t="inlineStr">
        <is>
          <t>科学；自然科学；サイエンス；人文科学</t>
        </is>
      </c>
      <c r="F3769" t="inlineStr">
        <is>
          <t>人文社会科学；ブルジョア社会科学；相関社会科学；社会科学大学；社会科学乃至歴史科学</t>
        </is>
      </c>
      <c r="G3769" t="inlineStr">
        <is>
          <t>社会科学高等研究院；社会科学研究所；社会科学科；社会科学研究会；社会科学書</t>
        </is>
      </c>
      <c r="H3769" t="n">
        <v>29</v>
      </c>
      <c r="I3769" t="inlineStr">
        <is>
          <t>で問題は、社会科学に於ても科学的実験が行なわれ得るかどうかである。；日本に帰国すると広島大学の大学院に進学し、社会科学研究科にて学んだ。；この分野は、社会科学の分野で行われる多くの定量的研究の中心である。；社会科学などは哲学に接近している限り文学的なのが当然なのだ。；計算社会科学は社会科学を計算学的方面から扱う学問の一分野である。；総明観とは古代南方で最も早く建てられた社会科学研究機構である。；軍事学の社会科学的な分野においては、以下のようなものが挙げられる。；「情報」を社会科学的な研究対象とした先駆者の一人としても知られる。；委員会の目的は向こう50年の社会科学研究の方向を定めるものであった。；然らば歴史の学といわゆる社会科学との間に何か関係するところがあるであろうか。；以上のようなものが社会科学に於ける研究方法の特殊的に具体化された形態である。；併しここから私は一つの社会科学的な公式を導き出すことが出来るのである。；社会科学的にはヘーゲルは右派からも左派からも批判の対象となってきた。；清水氏はかつての社会主義的社会科学に、或る宗教的な特徴を見たらしい。；之は社会科学方法論の古典的な成果の代表的なものと看做してよい。；その他、家庭科などの領域を含んだ社会科学全般の教育を想定することもある。；AIは社会だけでなく、社会科学の研究方法にも革命をもたらした。；同科学院は、社会科学・哲学の分野では北朝鮮最大の研究機関である。；今は社会科学を実質的に歴史科学と同じものと想定しておいていい。；例えば、法学を社会科学に含める場合もあればそうでない場合もある。；ヤングは訓練の方法として、社会科学の書籍を読むことを勧めている。；広義には社会科学及びシステムを中心とする学問領域とされる。；コントが生きた時代は社会科学と社会主義の黎明にあたる時代であった。；社会科学関連の項目で既に や のテンプレがある場合は置き換える。；問題はそこでまず、この自分なるものが社会科学でどう取り扱われ得るかである。；そしてそれを行うならば、社会科学の十分な理解を下敷きにしなければならない。；技術学もそういう意味で社会科学的な観点から見透しをつけられなければいけないのである。；SPSSは、社会科学の統計分析に広く使用されているプログラムである。；抑圧とは、社会や政治に参加する能力を制限する事を意味する社会科学の用語である。</t>
        </is>
      </c>
      <c r="J3769">
        <f>HYPERLINK("https://www.weblio.jp/content/社会科学", "词义详情")</f>
        <v/>
      </c>
      <c r="K3769">
        <f>HYPERLINK("https://yourei.jp/社会科学", "查看例句")</f>
        <v/>
      </c>
    </row>
    <row r="3770">
      <c r="A3770" t="inlineStr">
        <is>
          <t>社会人</t>
        </is>
      </c>
      <c r="B3770" t="inlineStr">
        <is>
          <t>成功</t>
        </is>
      </c>
      <c r="C3770" t="inlineStr">
        <is>
          <t>読み方：しゃかいじん
１実社会で働いている人。学生・生徒などに対していう。「—になる」「—一年生」
２社会の構成員としての個人。
[補説]多くスポーツでは、学生やプロに対して、企業に所属する人（選手）または団体（チーム）を指していう。「—野球」「—の全国リーグ」</t>
        </is>
      </c>
      <c r="D3770" t="inlineStr">
        <is>
          <t>社会人野球選手(5%)；社会人チーム(5%)；社会人サッカークラブ(3%)；社会人向け(2%)；社会人リーグ</t>
        </is>
      </c>
      <c r="F3770" t="inlineStr">
        <is>
          <t>本拠地とする社会人；社会人教育；活動する社会人；社会人バスケットボール；社会人アメリカンフットボール</t>
        </is>
      </c>
      <c r="G3770" t="inlineStr">
        <is>
          <t>社会人ベストナイン；社会人野球日本選手権大会；社会人大会；社会人類学；社会人野球日本選手権</t>
        </is>
      </c>
      <c r="H3770" t="n">
        <v>29</v>
      </c>
      <c r="I3770" t="inlineStr">
        <is>
          <t>指名がなければ社会人チームで野球を続ける進路を考えていたという。；大学、社会人に多数の選手を送るなど全国でも強豪として知られている。；旧地域リーグでは社会人のみであったが、新大会は大学も出場可となった。；社会人野球と学生野球は戦前からそれぞれが独立して組織・運営されてきた。；社会人編では入院モードが、学生編では10年後再会モードが選ばれる。；それまでの学生サッカーの時代から、社会人サッカーの時代の始まりだった。；一方、弟は佐川急便に入社し社会人で初めて兄弟別のチームとなった。；巨人退団後は台湾に戻り、2012年より現地の社会人チームでプレー。；加えて学校では夜間社会人のための講義をするために設置されることが多い。；社会人から子供まで様々な年代を対象とした講座を設置している。；また、高校卒業後に韓国の社会人チームへの留学も経験している。；晩年も山本は精力的に社会人野球や国際大会の会場に姿を見せていた。；特に大学、社会人は盛んに試合を組んでおり高校と大学も一定数行われている。；高校を卒業すると、それぞれ大学を経て社会人サッカーに進んだ。；に台湾の社会人リーグであるポップコーンリーグに加盟するに入団。；前作は高校が舞台だったが、本作は社会人となった彼らを描く。；社会人になるまで、1本も作品を完成させたことがなかったという。；つまり東大通がそのまま社会人になったキャラクターなので、ここに紹介。；これは高校卒業後の進学や、社会人の専門知識の習得を想定している。；近年は社会人野球とのプロ・アマ交流戦が開催されるようになった。；社会人は、社会に参加し、その中で自身の役割を担い生きる人のことである。；日本では学生・社会人を問わずNCAAルールに基づき行われる。；学生教育部門においても、社会人教育との連携を強く意識している。；当初は静岡県西部サッカー協会に所属して、社会人リーグで活動していた。；戦後日本の身代金誘拐事件で社会人男性が殺害されたのは初めてであった。；JBL・JBL2を初めとする社会人選手向けに設けられたとされる。；また、高校卒業を目的としない社会人対象の生涯学習の講座も実施していた。；ジャズに興味を持ち始めたのは社会人になってからだという。；社会人では多くの大会でベスト10の常連だったものの優勝は無い。</t>
        </is>
      </c>
      <c r="J3770">
        <f>HYPERLINK("https://www.weblio.jp/content/社会人", "词义详情")</f>
        <v/>
      </c>
      <c r="K3770">
        <f>HYPERLINK("https://yourei.jp/社会人", "查看例句")</f>
        <v/>
      </c>
    </row>
    <row r="3771">
      <c r="A3771" t="inlineStr">
        <is>
          <t>ジャガ芋</t>
        </is>
      </c>
      <c r="B3771" t="inlineStr">
        <is>
          <t>成功</t>
        </is>
      </c>
      <c r="C3771" t="inlineStr">
        <is>
          <t>読み方：じゃがいも
《「ジャガタラ芋」の略》ナス科の多年草。高さ60センチ〜1メートル。6月ごろ、白色や淡紫色の花を開く。地下茎は肥大していくつもの塊状となり、良質のでんぷんに富み、食用。アンデス山脈の原産。日本へはジャカルタから渡来。琉球芋。馬鈴薯(ばれいしょ)。《季秋》「かなしくて—を掘りさざめくも／波郷」</t>
        </is>
      </c>
      <c r="D3771" t="inlineStr">
        <is>
          <t>ジャガ芋畑(3%)</t>
        </is>
      </c>
      <c r="E3771" t="inlineStr">
        <is>
          <t>ジャガイモ；じゃが；ポテト；馬鈴薯；じゃが芋</t>
        </is>
      </c>
      <c r="H3771" t="n">
        <v>29</v>
      </c>
      <c r="I3771" t="inlineStr">
        <is>
          <t>先生としては、そこのところがじゃが芋君のいいところだと思っている。；店の外でジャガ芋を眺めている女はずっと背が低くて肥っている。；ちょっとのあいだ私を独りにし、ジャガ芋二人前を持って戻ってきた。；それが〝空色の味〟となって、じゃが芋の中にしみこむらしいのである。；熱いジャガ芋か肉団子を咽喉のところでころがしているような声である。；そこへ降りて行く道はないのに、ジャガ芋畑になっていた。；その日は初夏の太陽がまぶしい光をジャガ芋と麦の畑にふりそそいでいた。；立ったままで、もう一つのやかんにはジャガ芋を煮たようなものが入っています。；それにしてもじゃが芋の種類の豊富さにはびっくりする。；そしてその次の日にはジャガ芋の煮たのを持って来た。；それから、東京なら、里芋か八つ頭を用いるところを、ジャガ芋である。；あるものは自炊をして、昼も晩もパンとジャガ芋かスープで済ます。；台所で懸命に、じゃが芋をいくつも大根おろし器ですりおろしている。；砕いたジャガ芋はその面積が多く空気に触れるから甘くなるのだ。；乗員の絶望は、さらに大量のじゃが芋と玉ねぎが積み込まれるのを見て確定した。；じゃが芋を煮込んだ匂いが、彼女と一緒に運ばれてきた。；これで今度のジャガ芋植えは終りたれど、種が小さ過ぎるから出来るや否や疑問なり。；座席のあいだのスペースにも、積み上げられたジャガ芋みたいに折り重なって人が座っている。；どろりとした茶色の液体に、赤い人参や白いじゃが芋が浮かんでは消える。；この料理にはジャガ芋の湯煮たのを添えて出します。；ところで、おれもじゃが芋がそういうはたらきをすることは、前には知っていたが、すっかり忘れてしまっていた。；夕食は東発食堂、じゃが芋のコロッケを二つもお代りして食った。；ジャガ芋の花を悪く言って、大いに山川兄から叱られたが、あれももう大がい散ってしまったようだ。；「実に平凡な、妙に宿命的なジャガ芋畑だ」 私が見た原城の跡はそのようなものであった。；じゃが芋は、熱のために、皮のところどころが破れて少しめくれあがっている。；玉ネギや、じゃが芋が入っているのもあるらしいが、ここのは肉のみで、それもかなり大量に混入している。；「じゃが芋、好きかね」 「好きです」 といって幸福そうに笑った。；じゃが芋は、土中で育ちながら、いつも空への憧れを持っているようなのだ。；じゃが芋を入れる時が近づいている。</t>
        </is>
      </c>
      <c r="J3771">
        <f>HYPERLINK("https://www.weblio.jp/content/ジャガ芋", "词义详情")</f>
        <v/>
      </c>
      <c r="K3771">
        <f>HYPERLINK("https://yourei.jp/ジャガ芋", "查看例句")</f>
        <v/>
      </c>
    </row>
    <row r="3772">
      <c r="A3772" t="inlineStr">
        <is>
          <t>しゃがむ</t>
        </is>
      </c>
      <c r="B3772" t="inlineStr">
        <is>
          <t>成功</t>
        </is>
      </c>
      <c r="C3772" t="inlineStr">
        <is>
          <t>［動マ五（四）］ひざを曲げ、腰を落として姿勢を低くする。「—・んで小石を拾う」
[可能]しゃがめる
→屈(かが)む［用法］</t>
        </is>
      </c>
      <c r="H3772" t="n">
        <v>29</v>
      </c>
      <c r="I3772" t="inlineStr">
        <is>
          <t>彼女は岩の上にしゃがんだままで、私には気がついていないようだった。；私もその時仲間の中では一番高かったのに、彼は少ししゃがんで言った。；彼女はぼくの上にしゃがみ込んで、ぼくの体からピンを抜いていました。；ジョアンナがすぐ上の斜面にしゃがんでいて、その顔に雨が流れていた。；この場所に一生涯いて、しゃがんで雪をほおばっていたいとさえ思った。；三四郎のしゃがんでいる低い陰から見ると丘の上はたいへん明るい。；屋外にいることを避けられない場合は、低くしゃがむことが勧められる。；と見るや、彼もまた五つくらいの男の子の前にしゃがんで、背を向けた。；僕が黙っていると、おもねるように横にしゃがんで顔を覗き込んできた。；その格好で、俺と一緒に、植え込みの陰にしゃがみ込んでいるのだった。；討伐隊の中には、自分の剣を捨ててしゃがみ込んでしまう者すらいたのだ。；その前にひとりの男が背中を壁につけてしゃがみ、片手に槍をつかんでいた。；だから僕はしゃがむわけにはいかず、立ち続けなければならなかった。；もちろん和式のしゃがむ方式で、床にただ穴が開いていて、下が見える。；でけえ方でありますがなあ、あすこにしゃがんでみても出ねえであります。；それから、前にしゃがんでいる二人の婦人にも、見覚えがあるでしょう?；門の陰にしゃがみ込み、頭だけを出してこちらの様子をうかがっている。；ところが、その視界の隅に銀色を捉え、慌ててその場にしゃがみ込んだ。；ところが、そこに裸の男がしゃがんでいたので、いや驚いたのなんの。；体から水が落ちなくなってから、多恵子は祐一のすぐそばにしゃがんだ。；父のからだが、しゃがんだまま大きく左の方へ傾いているのがみえた。；ソロは彼女のそばにしゃがんで、彼女の腋の下に手を入れて支えてやった。；敵を両断した瞬間には、小次郎は、完全にしゃがんだ姿勢になっていた。；これはお前さんが染場の藍甕のそばでしゃがんでいたという証拠なンだ。；私にはカウンターのかげにしゃがみ込んだ光子の姿が見えるようだった。；わたしはそれを見て、体の力が抜けてしゃがんでしまいそうだった。；当時はたいてい二、三十個は手につかんで往来端にしゃがんだものだ。；そして、わたくしと同じようにしゃがみ込んで、目を合わせようとした。；あわてて駆けつけると、本人が失踪時と同じ格好でしゃがみ込んでいた。</t>
        </is>
      </c>
      <c r="J3772">
        <f>HYPERLINK("https://www.weblio.jp/content/しゃがむ", "词义详情")</f>
        <v/>
      </c>
      <c r="K3772">
        <f>HYPERLINK("https://yourei.jp/しゃがむ", "查看例句")</f>
        <v/>
      </c>
    </row>
    <row r="3773">
      <c r="A3773" t="inlineStr">
        <is>
          <t>市役所</t>
        </is>
      </c>
      <c r="B3773" t="inlineStr">
        <is>
          <t>成功</t>
        </is>
      </c>
      <c r="C3773" t="inlineStr">
        <is>
          <t>読み方：しやくしょ
地方公共団体である市の市長・職員が、市の行政事務を取り扱う役所。市庁。</t>
        </is>
      </c>
      <c r="D3773" t="inlineStr">
        <is>
          <t>市役所本庁舎；市役所庁舎；市役所内；市役所支所；市役所付近</t>
        </is>
      </c>
      <c r="F3773" t="inlineStr">
        <is>
          <t>市役所近く；市役所等；新市役所；市役所筋；市役所勤務</t>
        </is>
      </c>
      <c r="G3773" t="inlineStr">
        <is>
          <t>市役所職員；市役所通り；市役所前駅；市役所駅；市役所前停留場</t>
        </is>
      </c>
      <c r="H3773" t="n">
        <v>29</v>
      </c>
      <c r="I3773" t="inlineStr">
        <is>
          <t>松枝住宅行は市役所入口経由が廃止され、新たに四谷経由が新設された。；市の中心地は徳島小松島港付近であり、市役所や図書館などが位置する。；旧市街のはローマ時代からの町の中心地であり、市役所が置かれている。；市民の間でもかつて市役所に茶室があったことはあまりよく知られていない。；警察署や病院なども郊外に移転したが、市役所は現在でも堀之内にある。；こうした流れの中で、市役所内で実力者になってしまった方が何人かいた。；これは新市の中央に位置し、市役所が設置される可能性を期待したためである。；市立ホールは市役所のすぐ隣にあり、ガラス張りの通路で結ばれている。；万一に備えて市役所から放送が可能となるように放送設備を整えている。；市役所などの官公庁は当駅から西寄り、国道24号沿いに集中している。；市役所を含む多目的な市の施設を建設する長期再開発計画を推進している。；これらの基礎自治体の政府が実際にはその町の市役所として機能している。；それ以外の会社の路線も市役所を通るため乗換え拠点となっている。；市役所本庁舎及び隣接庁舎以外の施設についてはこちらを参照されたい。；その一つ上の交差点が鷹野橋交差点でその上に見える建物が市役所。；必要な場合は警察署や市役所に持って行くか、自宅で提示することが出来る。；市役所や駅のある市中心部からは矢作川を挟んで東側に位置する。；西那須野駅・那須塩原駅・市役所などを拠点に市内の各地区を結んでいる。；市役所と穂ノ原地区に挟まれたところにあり、東西に長い形となっている。；駅近くにはイオン五條店などもあり市役所をはじめとする公的施設も近い。；かつて州議事堂から市役所に転換するまでの間にも一時的に商用利用されていた。；市役所は5階建てであり、ここで市の主要管理機能が果たされている。；これにより空いたスペースに市役所の新庁舎を建設する計画が立てられた。；州間高速道路の真上に市役所があることでは国内唯一の都市である。；レストランやバスだけでなく、市役所が会議室への入室を拒否した事例もあった。；当初の市役所と郵便局があった場所は現在駐車場になっている。；市内最大の人口を有しながら市役所はないが行政施設が多く経済的中心を担う。；市役所のミスで一年早く入学通知が来たため、1951年小学校入学。；下記は市役所の支所・行政センターをもとにした区分である。</t>
        </is>
      </c>
      <c r="J3773">
        <f>HYPERLINK("https://www.weblio.jp/content/市役所", "词义详情")</f>
        <v/>
      </c>
      <c r="K3773">
        <f>HYPERLINK("https://yourei.jp/市役所", "查看例句")</f>
        <v/>
      </c>
    </row>
    <row r="3774">
      <c r="A3774" t="inlineStr">
        <is>
          <t>蛇口</t>
        </is>
      </c>
      <c r="B3774" t="inlineStr">
        <is>
          <t>成功</t>
        </is>
      </c>
      <c r="C3774" t="inlineStr">
        <is>
          <t>読み方：じゃぐち
水道管の流出口などに取り付け、水の量を調節する金属製の器具。</t>
        </is>
      </c>
      <c r="D3774" t="inlineStr">
        <is>
          <t>蛇口から出る水；蛇口から勢いよく；蛇口をきちんと閉め</t>
        </is>
      </c>
      <c r="G3774" t="inlineStr">
        <is>
          <t>蛇口クルーズセンター；蛇口伴蔵；蛇口街道</t>
        </is>
      </c>
      <c r="H3774" t="n">
        <v>29</v>
      </c>
      <c r="I3774" t="inlineStr">
        <is>
          <t>しかし水道の蛇口から水滴が落ちているだけでそこには誰もいなかった。；エネルギーの蛇口が広いだけで、タンクの大きさは変わらないのである。；洗面所に入ると、蛇口の下に頭をもっていって、冷たい水をぶちまけた。；どんなに水があったって、外に出す量は蛇口の大きさに左右される。；そういう風呂場の隅に蛇口が付いていて、ぼくはよくそこで水を飲んでいた。；当初収録が予定されていた「蛇口を止めて」が収録されなくなった。；蛇口を閉めると、それが合図だったかのようにしずるさんが口を開いた。；もとは何かの実験室だったのか、水道の蛇口は横に三つも並んでいる。；銀の縁取りのついた大きな鏡と、凝った形の銀の蛇口のついた洗面台。；わたしは借りたアパートの汚れたバスルームの蛇口から水を飲んだ。；われにかえった三吉は急いで部屋へとびこむとまず水道の蛇口をしめた。；家の脇に水道の蛇口があり、緑色のホースがのびてとぐろをまいていた。；蛇口の修理を、と言われても何をすればいいのかわかりません。；「どこかに蛇口があるはずだが」 だれかが医師のためにドアを開けてくれた。；ためしに、彼は蛇口の部分を手で押さえ、上へ上へとネジ込んでみた。；水道管から離れた蛇口は、切り落とされて口を開いた竜の頭のようだ。；蛇口をきちんと閉めないのは、何度注意しても直らない唯季の癖だった。；さらに殴りつけては蛇口の下に顔をつけることを繰り返しました。；蛇口を締めにいく気力を失い、バナージは仰臥した顔に腕を載せ直した。；一方の壁面には、細長い流しの上に蛇口と思われる物が二本つき出ていた。；それを蛇口のところに持っていって、冷たい水をシャーッと注ぎ足した。；食堂のほかに寝室が二つ、蛇口から直接、湯がでるようなアパートだ。；三本目の蛇口からは香りの強い紫の雲が出てきて、水面にたなびいた。；ごろごろと奥の方で音がするだけで、蛇口からは何も出てこない。；だが瞳のピントが蛇口に固定されておりそこから広角することができなかった。；この頃から、教会に通っていた同級生・蛇口銑治の影響で洋画家を志す。；ベンチと手洗い場の前を通ったとき立ち止まり、水道の蛇口の下を見た。；もう湯が溢れそうになっており、瑤子はたもとをおさえて蛇口をしめた。；そういえば蛇口の下の洗い場のところが少し水で濡れていた。</t>
        </is>
      </c>
      <c r="J3774">
        <f>HYPERLINK("https://www.weblio.jp/content/蛇口", "词义详情")</f>
        <v/>
      </c>
      <c r="K3774">
        <f>HYPERLINK("https://yourei.jp/蛇口", "查看例句")</f>
        <v/>
      </c>
    </row>
    <row r="3775">
      <c r="A3775" t="inlineStr">
        <is>
          <t>弱点</t>
        </is>
      </c>
      <c r="B3775" t="inlineStr">
        <is>
          <t>成功</t>
        </is>
      </c>
      <c r="C3775" t="inlineStr">
        <is>
          <t>読み方：じゃくてん
１十分でない点。欠点。「この機械には—がある」
２後ろ暗いところ。弱み。「政敵の—を握る」
→欠点［用法］</t>
        </is>
      </c>
      <c r="D3775" t="inlineStr">
        <is>
          <t>弱点をつい；弱点属性；弱点武器；弱点部位；弱点を補うべく</t>
        </is>
      </c>
      <c r="E3775" t="inlineStr">
        <is>
          <t>非；穴；傷；隙；欠点</t>
        </is>
      </c>
      <c r="F3775" t="inlineStr">
        <is>
          <t>大きな弱点；こうした弱点；やすいという弱点</t>
        </is>
      </c>
      <c r="H3775" t="n">
        <v>29</v>
      </c>
      <c r="I3775" t="inlineStr">
        <is>
          <t>特に本作の敵は炎を弱点とするため、これらを利用した戦略が鍵を握る。；これによりM16の弱点とされていた信頼性や整備性が改善されている。；しかし、大量にエネルギーを消費するために航続距離が短い弱点を持つ。；背中は弱点であるので、武芸者は通常、敵に背中を見せないようにする。；脆い弱点が存在するらしいが、劇中では説明だけで描写はされなかった。；敵の正面に攻撃を加えるよりも、敵の隠している弱点を攻撃するのがよい。；各ボスは独特の弱点があり、それを見抜くことが攻略のポイントである。；女性陣も番組チーム以外の他チーム女性同様あまり強くないのも弱点。；そのため弱点は少なく、部隊運用の際には補給する味方機の防衛をも行う。；ただし頭脳部分のみは交換が効かないため、そこが弱点ともなっている。；外国軍の装備を研究し、使われている技術や弱点などを見つけ出す手法。；さらにそれに加え、儒教自身が持つ弱点がこの時代に明らかになった。；前面以外は装甲が比較的薄い傾向にあり弱点になっていることが多い。；以下の弱点により表層的な類似性へさらに依存してしまうようになる。；前述の適応ゆえに火や熱には強いが、水が最大の弱点となっている。；弱点は殻に覆われた頭部であるが、初代と異なり常にその殻を閉じている。；この起こり得る弱点の重大性は他の通信規約ではみられない物である。；このため人間の注意力だけに頼る部分があり、保安上の弱点となっている。；彼もまた不死身に等しい肉体を持つが、皮肉にも唯一の弱点も同じである。；以上のように不死身で弱点などなさそうであるが、苦手なものはある。；敵から攻撃を受けた場合、背中は守りづらい箇所、あるいは弱点である。；一方で、恣意的に適用されてはならないといった弱点はいまだ存在する。；この弱点が露わとなり、2017年時点で橋の崩壊は時間の問題となっている。；その弱点が災いしてのび太は今までのしっぺ返しを食らうこととなった。；人に害を成す手段が手であるため、この手を折られることが弱点とされる。；これは敵との正面衝突を回避しながら後方の敵の弱点を叩くことで勝利する戦略である。；三輪車で遊んでいた際の事故で左脇腹を怪我し、その古傷が弱点になった。；平時、部隊は、戦略施設の警備における弱点の点検のために使用された。；ただしGM管にはその動作原理上、いくつかの固有の限界・弱点がある。</t>
        </is>
      </c>
      <c r="J3775">
        <f>HYPERLINK("https://www.weblio.jp/content/弱点", "词义详情")</f>
        <v/>
      </c>
      <c r="K3775">
        <f>HYPERLINK("https://yourei.jp/弱点", "查看例句")</f>
        <v/>
      </c>
    </row>
    <row r="3776">
      <c r="A3776" t="inlineStr">
        <is>
          <t>釈明</t>
        </is>
      </c>
      <c r="B3776" t="inlineStr">
        <is>
          <t>成功</t>
        </is>
      </c>
      <c r="C3776" t="inlineStr">
        <is>
          <t>読み方：しゃくめい
［名］(スル)自分の立場や考えを説明して、誤解や非難を解き、理解を求めること。「事故原因について—する」</t>
        </is>
      </c>
      <c r="D3776" t="inlineStr">
        <is>
          <t>釈明するため；釈明書；釈明文；釈明しよ；釈明演説</t>
        </is>
      </c>
      <c r="E3776" t="inlineStr">
        <is>
          <t>説明；解釈；解説；講義；解明</t>
        </is>
      </c>
      <c r="G3776" t="inlineStr">
        <is>
          <t>釈明権</t>
        </is>
      </c>
      <c r="H3776" t="n">
        <v>29</v>
      </c>
      <c r="I3776" t="inlineStr">
        <is>
          <t>しかしこんどは長谷川権六が何らかの釈明をしなければならないだろう。；相手の釈明は現実を目にしている彼には納得のいくものではなかったからだ。；私は釈明をしに来たんですよ、それを、いわば神聖な義務だと思ってね。；すぐ日本へもどったら、なぜそうなったかの釈明だけにも一苦労だろう。；人を殺したように見えたかもしれないが、それは誤解だと釈明するか。；馬鹿げた誤解と言うべきだが、釈明しに警察に出向くわけにもいかない。；ゆずるもののない顔であり、自身の行いの釈明を少しも求めていなかった。；いくらでも釈明の利く範囲のことを真姫さんは言ったに過ぎないのだから。；婦人は軽くうなずいて、今の自分の思想の釈明を是認する心を示した。；どう釈明したところで今の榎木津の態度は許されるものではあるまい。；そうしたこともあって、彼の釈明は額面通りには受け止められていない。；とにかく、この責任をどう取るのかと彼らに釈明させることにする。；罪を着せられ、釈明もせずに自殺したのだから、平野家は断絶となった。；貢はお紺に身に覚えのないことと釈明し、それを聞いて腹を立てるお鹿。；東吾の耳に、必死で釈明していたおすみの声と宇之助の声が甦って来た。；だからほかの理由ならば、私は真相を明らかにして身の釈明に努めただろう。；学校側はやけどの程度を甘く見ていたため、連絡をしていなかったと釈明。；そして彼女に会うこと、釈明すること、かたをつけることができなかった。；美濃部議員の釈明演説が新聞に掲載されると、攻撃はかえって増幅した。；かれの釈明を支持するだけの証拠は、ひとつとして存在しないんですからね。；キヨミをまねいたのは私だ、という誤解をどうしてでも釈明したかった。；失敗しても一定時日のあとで君が釈明して呉れればよいではないか。；自分でさえ、うまく翻訳できない行動と気持ちを、どう釈明したらいいのか。；釈明するけれども、ぼくは本当の任務中にはそんな真似はしない。；重大な用件で裁判所にひっぱり出され、釈明しなくてはならんときもある。；Aは前社から噂が全く事実無根であると言う釈明書を得て、それを提出した。；どういってみても、このひとに釈明する余地はないように思われているのである。；この事件についてマルケスは、ミラモンの命令であったとの釈明をした。；その辺のところを本人をここへ呼んで釈明させましょう。</t>
        </is>
      </c>
      <c r="J3776">
        <f>HYPERLINK("https://www.weblio.jp/content/釈明", "词义详情")</f>
        <v/>
      </c>
      <c r="K3776">
        <f>HYPERLINK("https://yourei.jp/釈明", "查看例句")</f>
        <v/>
      </c>
    </row>
    <row r="3777">
      <c r="A3777" t="inlineStr">
        <is>
          <t>借家</t>
        </is>
      </c>
      <c r="B3777" t="inlineStr">
        <is>
          <t>成功</t>
        </is>
      </c>
      <c r="C3777" t="inlineStr">
        <is>
          <t>読み方：かりいえ
「借家(しゃくや)」に同じ。</t>
        </is>
      </c>
      <c r="D3777" t="inlineStr">
        <is>
          <t>借家住まい(4%)；借家契約；借家住い；借家法；借家住居</t>
        </is>
      </c>
      <c r="F3777" t="inlineStr">
        <is>
          <t>借地借家；定期借家；狭い借家；旧借家</t>
        </is>
      </c>
      <c r="G3777" t="inlineStr">
        <is>
          <t>借家権</t>
        </is>
      </c>
      <c r="H3777" t="n">
        <v>29</v>
      </c>
      <c r="I3777" t="inlineStr">
        <is>
          <t>戦前は借家が一般的であり、自分の家を持つのは富裕層に限られていた。；借家は病院の近くで錢湯へ行くのには病院の前を通らねばならなかつた。；親子三人が住むわずか三間の借家だけれど、辻はこの家に満足していた。；赤坂の近く清--町の借家の左隣には学者とその美しい妻が住んでいた。；あの借家も今では震災のために跡かたちもなくなつてゐることであらう。；はじめは借家だったが、何年もたたぬうちに買いとって自分のものにした。；彼女は借家主のおばさんと酒場を一緒にやり、資本は彼女が出していた。；同じ建物に借家してる人たちで、彼らを知ってる者は一人もなかった。；野村の父が経営する店舗は空襲で焼失してしまい、住居は借家であった。；千歳の住宅は、民間借家で、そこは転勤族が多く住んでいる一画である。；私などの這入れる借家では、ちょつとこれだけの書物を置く場所がない。；「ただの借家」 エプロン姿の母親が玄関に出てきて、みんなを迎えた。；栄介の育った故郷の借家の玄関にくらべると、広さが三分の一ぐらいだ。；新丸太町で借家住まいを三十数年して、やっと手に入れたわが家だった。；これは収入が多分にあったわけでなく、一般的に借家が安かったせいである。；家族で住む家と、他人をごまかして住む人間の借家とを離すためであった。；借家らしい大して広くもない家の中に、雨村がいることは確かめてある。；その旅館には一週間ほどゐて、少年の一家は或る小さな借家に移つた。；小さな借家が一つついていて、その家賃を取り立てるのが私の仕事だった。；一軒まるごと学生たちが住んでいる家で、奈良にはそんな借家が多かった。；あの頃は借家の数が多かったから、うちの借家も借り主がよく変った。；私は一箇所に腰を下してしまうよりも借家から借家を転々とする方が好きなのだ。；彼は東京の杉並に住んでいた娘夫婦の近くに借家を捜してもらってそこに住んだ。；施行後に更新された場合も旧借地法・旧借家法が適用される。；借家だったから、もう他の人が入居してしまっているのだろうか。；この頃から、伊那市の借家に通うようになり、大自然への興味を深める。；でもやはり、借家にはちがいありませんし、何ひとつ自分のものではないのです。；新宅して分家する者はあつても、転転と借家を移りすむ者は一人もない。；あの子供らの母さんの時代のことを思うと、今の借家ずまいでも私には過ぎたものだ。</t>
        </is>
      </c>
      <c r="J3777">
        <f>HYPERLINK("https://www.weblio.jp/content/借家", "词义详情")</f>
        <v/>
      </c>
      <c r="K3777">
        <f>HYPERLINK("https://yourei.jp/借家", "查看例句")</f>
        <v/>
      </c>
    </row>
    <row r="3778">
      <c r="A3778" t="inlineStr">
        <is>
          <t>車庫</t>
        </is>
      </c>
      <c r="B3778" t="inlineStr">
        <is>
          <t>成功</t>
        </is>
      </c>
      <c r="C3778" t="inlineStr">
        <is>
          <t>読み方：しゃこ
汽車・電車・自動車などの車両を収容するための建物、または場所。「—入れ」「—証明」</t>
        </is>
      </c>
      <c r="D3778" t="inlineStr">
        <is>
          <t>車庫前(4%)；車庫線；車庫発着；車庫行き；車庫間</t>
        </is>
      </c>
      <c r="F3778" t="inlineStr">
        <is>
          <t>分車庫；機関車庫；同車庫；花見川車庫；各車庫</t>
        </is>
      </c>
      <c r="G3778" t="inlineStr">
        <is>
          <t>車庫証明；車庫前駅；車庫飛ばし；車庫法</t>
        </is>
      </c>
      <c r="H3778" t="n">
        <v>29</v>
      </c>
      <c r="I3778" t="inlineStr">
        <is>
          <t>かつては車両整備工場や車庫を併設した石川線の核となる駅であった。；同車は西広島車庫へ収容後解体処分されたが、車籍は戦後まで残された。；以前は習志野市芝園に車庫があったので習志野ナンバーの車両もあった。；thumb|旧駅舎旧・弘前電気鉄道時代には本社があり車庫もあった。；車庫所在駅である関係で当駅を始発または終着とする列車が設定されている。；奈良・京都線系統の通勤車両は東花園・西大寺の各車庫に所属している。；特に大原は車庫・事務所も併設されており、軌道運営の拠点であった。；また、駅付近は広大な車庫になっており、夜間滞泊が設定されている。；駅構内には車庫が設けられ、全ての車両はここを拠点に運用される。；さらに車庫には車両検査修繕施設として十分なものを有することとしている。；三陸鉄道の車両が所属する運行本部の車庫が構内の盛方に設けられている。；その左手駅表には胆振線用の転車台と小型の矩形車庫が残されている。；取り扱い廃止後はこれらの内の南側2本に、新たに車庫が設けられた。；山梨駅の車庫は工場併設で、最末期まで車両の設備更新を積極的に実施した。；小松線の始発駅で、国鉄の東側に位置し、車庫と乗務区が置かれていた。；旧鳩ヶ谷営業所同様、道路を挟んで向かい側にも第2車庫を有していた。；そのときは現在の国立博物館入口停留所の南側に車庫が設置された。；途中の広電本社前に車庫があり、広電本社前始発終着となる電車も多い。；甲浦方に車庫があり、本線から引き上げ線へ分岐するポイントがあった。；この駅は車庫所在地の駅のためこのような構造になっている。；黒木車庫には乗務員基地機能や整備施設もあり、常駐車も配置されている。；野々市車庫・南部車庫には、同路線利用者用の無料駐車場を用意していた。；駅の奥には車庫が併設されており、多数の車両が止まっている。；逆も同じパターンで本郷車庫を回送で出庫し、上之から営業運行に入る。；複数の留置線と駅裏の北側に転車台の残る小さな機関車庫を持つ。；本社と車庫を、現在の平和島に移転したのもこの頃で、1969年に移っている。；バスのみを記載し、過去に存在していたタクシーの車庫は省略する。；都電廃止後には一時期都バスの車庫として利用された後、現在の姿となった。；ホームの北側には保線基地があり、除雪車用の車庫や留置線を備えている。</t>
        </is>
      </c>
      <c r="J3778">
        <f>HYPERLINK("https://www.weblio.jp/content/車庫", "词义详情")</f>
        <v/>
      </c>
      <c r="K3778">
        <f>HYPERLINK("https://yourei.jp/車庫", "查看例句")</f>
        <v/>
      </c>
    </row>
    <row r="3779">
      <c r="A3779" t="inlineStr">
        <is>
          <t>社交</t>
        </is>
      </c>
      <c r="B3779" t="inlineStr">
        <is>
          <t>成功</t>
        </is>
      </c>
      <c r="C3779" t="inlineStr">
        <is>
          <t>読み方：しゃこう
人と人とのつきあい。世間での交際。「—のうまい人」「—場」</t>
        </is>
      </c>
      <c r="D3779" t="inlineStr">
        <is>
          <t>社交的(28%)；社交場(9%)；社交界(4%)；社交上(4%)；社交生活(3%)</t>
        </is>
      </c>
      <c r="E3779" t="inlineStr">
        <is>
          <t>接触；往来；交際；行き来；付き合い</t>
        </is>
      </c>
      <c r="F3779" t="inlineStr">
        <is>
          <t>社交好き；社交性；明るく社交的；社交活動；社交婦人</t>
        </is>
      </c>
      <c r="G3779" t="inlineStr">
        <is>
          <t>社交ダンス；社交性；社交辞令；社交クラブ；社交不安障害</t>
        </is>
      </c>
      <c r="H3779" t="n">
        <v>29</v>
      </c>
      <c r="I3779" t="inlineStr">
        <is>
          <t>それは家庭でのカルテット演奏会から育って大きくなった社交場だった。；奥さんが社交の修業を必要とするように言ったのもその辺に含蓄がある。；明るく社交的な性格で、研究者のみならず芸術界隈にも友人が多かった。；しかし、地元のバーから、我々は競技のリーグと社交イベントを作った。；彼らからいうと、それはむしろ陳腐過ぎる社交上の形式に過ぎなかった。；実に我々の日本人等は、芸者なしに一の社交や宴会をもなし得ないのだ。；しかし彼らは二人とも、かなり教養のある親切げな社交的な男であった。；この少年はもっと実際的な方面に才があり、話のしぶりも社交的であった。；大人の社交場とも称され、実際に社用として利用されることも多かった。；もし考えていたら、二人の関係は単なる社交だけに終っていたかもしれない。；内気な兄ヨーゼフ・ベネディクトとは反対に社交的で明るい性格だった。；そしてそれも多くは単なる社交的の挨拶にすぎないものであった。；貴族たちはこの社交人の典型を理想とし、到達しようと夢中になった。；この心霊学会に出席するのが同氏の唯一の社交生活ではないかと思われる。；さういふ外にある他家の良人と、日々、仕事の上や社交上で接してゐる。；こうしてオネット・オムと呼ばれる社交人の典型が生まれたのであった。；故に人は何処までも社交的性質のもので友なくては生存するわけには行かぬ。；いつたい伊太利では未婚の婦人は社交界へは滅多に出ないものなのである。；また控え目で非社交的であったが、正義感と感受性の強い性格であった。；その頃の彼の部屋は、気のあう作家や芸術家たちの社交場であった。；兄が来ると、兄は社交家だから、人が来て勉強が出来なくなるんで。；この時期に夜の大人の社交場で人心掌握術や社交術を身に付けていく。；社交的な一種の環境を外側から見る力はないでしょうからね。；積極的な社交的生活を送ったこの高校でもバレエの勉強は続いた。；人間は社交的動物だと言われていますが、なんという馬鹿げたことでしょう!；我々は社交的の動物であって、決して社会以外に棲息の出来ないものである。；全く自分の父と兄との社交的勢力の余波で、招待状が廻って来たのである。；全く自分の父と兄との社交的勢力の余波で、招待状が廻つて来たのである。；社交的で話し好きである人ほど、容易に自ずと選択されたであろう。</t>
        </is>
      </c>
      <c r="J3779">
        <f>HYPERLINK("https://www.weblio.jp/content/社交", "词义详情")</f>
        <v/>
      </c>
      <c r="K3779">
        <f>HYPERLINK("https://yourei.jp/社交", "查看例句")</f>
        <v/>
      </c>
    </row>
    <row r="3780">
      <c r="A3780" t="inlineStr">
        <is>
          <t>謝罪</t>
        </is>
      </c>
      <c r="B3780" t="inlineStr">
        <is>
          <t>成功</t>
        </is>
      </c>
      <c r="C3780" t="inlineStr">
        <is>
          <t>読み方：しゃざい
［名］(スル)罪や過ちをわびること。「被害者に—する」「—広告」</t>
        </is>
      </c>
      <c r="D3780" t="inlineStr">
        <is>
          <t>謝罪文；謝罪する事態；謝罪しよ；謝罪声明；謝罪コメント</t>
        </is>
      </c>
      <c r="E3780" t="inlineStr">
        <is>
          <t>言い訳；詫び；謝；弁明；申し訳</t>
        </is>
      </c>
      <c r="F3780" t="inlineStr">
        <is>
          <t>直接謝罪；公式謝罪；正式な謝罪；公式な謝罪；深く謝罪</t>
        </is>
      </c>
      <c r="G3780" t="inlineStr">
        <is>
          <t>謝罪広告；謝罪会見；謝罪と賠償；謝罪要求；謝罪記事</t>
        </is>
      </c>
      <c r="H3780" t="n">
        <v>29</v>
      </c>
      <c r="I3780" t="inlineStr">
        <is>
          <t>しかし出場権を得られなかったことを前述の理由もあり謝罪したという。；たけしが住民に謝罪する事態となり、このシーンはそのまま採用された。；経営トップが率先して行った誠実な謝罪をした記者会見が話題となった。；庾純はのちに、酒が入った上での発言であったと謝罪し、結局辞職した。；その後、金森は騒ぎを起こした原因を作ったことを関係者に謝罪している。；同日深夜には作者の深沢七郎が記者会見を開いて涙を流しながら謝罪した。；ただこの件に関しては酔っ払っていたこともあり、後に宮本は謝罪した。；翌日になって戻ってきたヘプバーンはわがままな行動を全員に謝罪している。；さらに謝罪に訪れた中大兄に陵辱されて精神が破壊されてしまった。；一旦謝罪し解放してもらった襄公は雪辱すべく泓水で楚と決戦を行った。；パットンはその後自主的に被害にあった兵と現場にいた兵士達に謝罪している。；叔父は後になってこの事を聞き知り、そこで初めて驚き謝罪し、高く評価した。；本人はその写真が本物であることを認めた上で謝罪した。；薫乃とうららは田中に謝罪に行き田中はお金が戻れば示談にすると提案。；韓国の新聞で謝罪文としているのは宣言文で、生徒が考えた。；その後謝罪の手紙を送ったが、以降代表招集されることは無かった。；本人たちも出番終了後のコメントで観客・視聴者に対して謝罪している。；同社からの指摘を受けて2016年5月9日付で謝罪文を公表した。；その上、謝罪すら行っていなかったが、それでも義宣は動かなかった。；さらにこの生徒2人はカスミの本部を両親らとともに訪れて謝罪を行った。；同クラブは保護者らに説明会を開いて謝罪と再発防止策などを伝えた。；また官僚的なショーに過ぎず原住民の権利回復の具体的な内容の無い謝罪だ。；謝罪が表明されている外交文書には日朝平壌宣言と日韓共同宣言がある。；代わりにウダイがワトバーンに謝罪することで決着させることを提案した。；この件に対し陸軍士官学校は正式に深く反省し謝罪する事態となった。；日本政府はまた、被害者に補償と公式の謝罪の手紙を与える組織を設立した。；被害者へ謝罪後に家族の生活拠点をカナダへ移した。；金大中事件の際には来日し事件が起こったことに関して謝罪している。；教皇がこれを拒絶したため、皇帝は自ら教皇に謝罪することになった。</t>
        </is>
      </c>
      <c r="J3780">
        <f>HYPERLINK("https://www.weblio.jp/content/謝罪", "词义详情")</f>
        <v/>
      </c>
      <c r="K3780">
        <f>HYPERLINK("https://yourei.jp/謝罪", "查看例句")</f>
        <v/>
      </c>
    </row>
    <row r="3781">
      <c r="A3781" t="inlineStr">
        <is>
          <t>車掌</t>
        </is>
      </c>
      <c r="B3781" t="inlineStr">
        <is>
          <t>成功</t>
        </is>
      </c>
      <c r="C3781" t="inlineStr">
        <is>
          <t>読み方：しゃしょう
電車・汽車・バスなどに乗って、旅客・荷物などの車内の事務を取り扱う者。</t>
        </is>
      </c>
      <c r="D3781" t="inlineStr">
        <is>
          <t>車掌室(6%)；車掌台(4%)；車掌さん(3%)；車掌長；車掌乗務</t>
        </is>
      </c>
      <c r="E3781" t="inlineStr">
        <is>
          <t>乗務員</t>
        </is>
      </c>
      <c r="F3781" t="inlineStr">
        <is>
          <t>女車掌；女性車掌；山下車掌；若い車掌；松本車掌</t>
        </is>
      </c>
      <c r="G3781" t="inlineStr">
        <is>
          <t>車掌スイッチ；車掌弁；車掌補；車掌dj</t>
        </is>
      </c>
      <c r="H3781" t="n">
        <v>29</v>
      </c>
      <c r="I3781" t="inlineStr">
        <is>
          <t>ドア扱いは運転士もしくは車掌のどちらかがその場の状況に応じて行う。；車掌が乗務していた時代はほとんどの車両の客用扉は中扉のみであった。；目的地の駅が近づくと、車掌はブレーキを操作して駅に停車させていた。；開通間もない頃には、美空ひばりが車掌に扮した映画が撮影されている。；なお当日は、列車の乗務員や車掌にも行先は告げられなかったとされる。；ただし、自動放送が未更新の車両は到着時の放送を車掌が肉声で行っている。；貸切車が使われる場合は案内・運賃収受の都合上、車掌が乗務していた。；また監視に集中することから、車掌と駅員の間での敬礼は行われない。；座席は全てロングシートで、当初は車掌台側車端部まで座席が設置されていた。；貫通扉が車掌台側に寄せられたため、3600形よりも配置に余裕がある。；また車体も、車掌台の窓が引き違い窓になるなどの変化がある。；この工事に関連して車掌用のドア開閉スイッチがこの装置内に移設されている。；その後、列車の車掌が、各自のクロノメーターを駅時計に合わせていた。；美濃電気軌道では、それを一歩推し進めて車掌に初めて女性を登用した。；車内自動放送が搭載されていない車両は、全て車掌により案内される。；日本の車掌は、それぞれの会社で定められた制服を着用し乗務する。；日本で初めて乗合自動車の車掌に女性を採用したのは東京市街自動車であった。；全車両がワンマン運転に対応しているが、車掌が乗務することもある。；大半の列車がワンマン運転であり、一部の列車に車掌が乗務している。；また、車掌は無人駅到着時に駅入口の改札付近に移動し改札・集札する。；その頃、電車に乗っていた絵里は東京まで乗り越すことを車掌に告げていた。；これは1次車好きな車掌が、4次車の内装を改造しているためである。；なお、この系統で運転されるバスは従来通り車掌が乗務していた。；車掌室を備えており、自動放送装置もこの時より設けられた。；一般的な車掌とは異なり、扉扱いや出発合図などの列車を操作する業務は行わない。；一方で乗り入れ車両については対応しておらず、車掌が直接案内する。；この車掌室はグリーン車等の特別席が装備されている車両に入っていることが多い。；ただし当駅以北へ直通する列車は当駅から車掌が乗務することもある。；一時阪急バスの車掌になるが、高座が忘れられず宝塚落語会で復帰する。</t>
        </is>
      </c>
      <c r="J3781">
        <f>HYPERLINK("https://www.weblio.jp/content/車掌", "词义详情")</f>
        <v/>
      </c>
      <c r="K3781">
        <f>HYPERLINK("https://yourei.jp/車掌", "查看例句")</f>
        <v/>
      </c>
    </row>
    <row r="3782">
      <c r="A3782" t="inlineStr">
        <is>
          <t>写真</t>
        </is>
      </c>
      <c r="B3782" t="inlineStr">
        <is>
          <t>成功</t>
        </is>
      </c>
      <c r="C3782" t="inlineStr">
        <is>
          <t>読み方：しゃしん
１光・放射線・粒子線などのエネルギーを用い、視覚的に識別できる画像として記録すること。また、それによって記録したもの。一般にはスチールカメラで写した映像のことで、被写体の像をレンズを通して感光材料（フィルム）の上に固定した画像や、デジタルカメラで撮影してメモリーに記録した画像データのことをいう。またさらに、そのフィルムやデータを使って印画紙に焼き付けたり印刷物にしたり、デジタルデータの場合は、ディスプレーなどで表示したりした画像のこと。
２ありのままを写しとること。写実。
「文章を綴るに当たりて…—を本意として綴らんは非なり」〈逍遥・小説神髄〉
３《「活動写真」の略》映画。</t>
        </is>
      </c>
      <c r="D3782" t="inlineStr">
        <is>
          <t>写真入り；写真付き；写真版；写真術；写真界</t>
        </is>
      </c>
      <c r="E3782" t="inlineStr">
        <is>
          <t>活動；映画；像；映像；画像</t>
        </is>
      </c>
      <c r="F3782" t="inlineStr">
        <is>
          <t>古い写真；写っている写真；x線写真；モノクロ写真；顕微鏡写真</t>
        </is>
      </c>
      <c r="G3782" t="inlineStr">
        <is>
          <t>写真集；写真撮影；写真館；写真機；写真部</t>
        </is>
      </c>
      <c r="H3782" t="n">
        <v>29</v>
      </c>
      <c r="I3782" t="inlineStr">
        <is>
          <t>その本の裏表紙には母親が撮影した幼いころの兄弟の写真を使っていた。；こういった映像表現の発生した背景には、初期の写真技術があげられる。；写真の出来に応じて現像するか否かをコマごとに決めることはできない。；写真はジョンのものとほぼ同一の仕様だがテールピースの形状が異なる。；最初は写真の基礎を学ぶため、新聞社か通信社で働くことを考えていた。；斎藤一を撮影したとされる写真の存在が、2016年に明らかになった。；写真の性質はフィルムとデジタルで異なるが、共通した観点が存在する。；カメラが普及し始めた時期でもあり、被害の写真が比較的多く残されている。；なお、後にニュースページの写真は全てカラー刷りに変更となっている。；それ以外の点も含めて、日本における写真の普及に果たした役割は大きい。；写真は阪神の地下入口があるため昭和9年以降のものであると推測される。；ただし、これらのつながりが写真表現の発展に貢献している面もある。；この写真は詳細を分からなくするため、意図的に暗くしたものである。；各山の文章中に、山周辺の地図と山の白黒写真が挿入された版もある。；文字と写真・イラストなどの図形により各種情報を提供する雑誌状の番組。；これらは写真を基にしたものもあれば、そうでないものもあった。；海上では、肉体鍛錬と同時に写真を撮ることを趣味とするようになった。；後に、この彗星の発見前の像が1月1日に撮影された写真上で見つかった。；番組放送中はスタジオ内の様子の写真がスライドショー形式で表示された。；上写真から60年を経ているが、大きな改修が行われていないことがわかる。；逆に、都市写真の対象となりうる都市を「写真都市」と呼ぶことがある。；その飲んでいる写真が新聞の記事になり牛乳会社の目に止まった。；著書の中では、ニューネッシーの「写真」とされるものも公開している。；写真の普及に努めたその一生は、そのほとんどを写真に捧げたといってよい。；投げられるプーチンの姿は印象的で、その写真や映像は世界中に報道された。；優勝当時の写真があったら、そこから主人の顔を消してください。；写真はオーストラリア・シャーク湾で今も生きているストロマトライト。；戦前の写真などを見るかぎり、しばしば上半身裸で行われていたようである。；大きな写真の賞の発表の場として、写真表現の発展に貢献している。</t>
        </is>
      </c>
      <c r="J3782">
        <f>HYPERLINK("https://www.weblio.jp/content/写真", "词义详情")</f>
        <v/>
      </c>
      <c r="K3782">
        <f>HYPERLINK("https://yourei.jp/写真", "查看例句")</f>
        <v/>
      </c>
    </row>
    <row r="3783">
      <c r="A3783" t="inlineStr">
        <is>
          <t>写生</t>
        </is>
      </c>
      <c r="B3783" t="inlineStr">
        <is>
          <t>成功</t>
        </is>
      </c>
      <c r="C3783" t="inlineStr">
        <is>
          <t>読み方：しゃせい
［名］(スル)景色や事物のありさまを見たままに写し取ること。絵のほかに、短歌・俳句・文章についてもいう。スケッチ。「梅の花を—する」「—旅行」</t>
        </is>
      </c>
      <c r="D3783" t="inlineStr">
        <is>
          <t>写生図(5%)；写生旅行(4%)；写生帖(3%)；写生的；写生帳</t>
        </is>
      </c>
      <c r="E3783" t="inlineStr">
        <is>
          <t>記述；描写；形容；叙；叙述</t>
        </is>
      </c>
      <c r="F3783" t="inlineStr">
        <is>
          <t>写生派；風景写生；急いで写生；写生句；写生用</t>
        </is>
      </c>
      <c r="G3783" t="inlineStr">
        <is>
          <t>写生画；写生句；写生説</t>
        </is>
      </c>
      <c r="H3783" t="n">
        <v>29</v>
      </c>
      <c r="I3783" t="inlineStr">
        <is>
          <t>私の記録や写生図の大部分は一千年前につくられた記録と同じであろう。；わざわざ写生に出かけた程なので、描いたことは何枚も描いたのである。；少しずつ神経の安定を覚え、何か大いに風景写生でもやってみたく思う。；かれは茶を飲みながら二三枚写生したまずい水彩画を出して友に示した。；西洋では昔しから写生を主張した結果今日のように発達したものと思われる。；私は紙四枚に、私の写生図に於る底線と同じ長さの線を引いたのを用意した。；木の葉一枚でも、写生をして見ないと、本当の形は分らないものである。；一人の女の子が車室の戸の所に立って外を眺めている所を、急いで写生した。；それからは毎日私が二人分の画の道具を肩にかけて写生に歩きまはつた。；だから、それが写生ではなく、想像画らしいと言うことはすぐに判った。；某画伯のこの花を写生した気持ちのいい絵の事をも思い出したりしていた。；ここに出した写生図は、人像の勢と力とを不充分にしか示していない。；或るとき私は写生帳を持って、町の中央部にある、中堀橋を渡っていた。；この頃は見たままの写生を自らなる図案にするといふのが目あてであつた。；これは向日町辺に写生に通ったりしたものだったが落選したと聞いた。；それについて思ひ出すのは、写生を基礎にした高浜虚子氏のことである。；バイエルンの風景や北イタリアの風景を描くために何度も写生旅行した。；ここに出した写生図は、宿屋に於ける私の部屋の三方の隅を示している。；仕方がないので、男学生十二、三人の写生旅行に加わって行きました。；写生を考える上では、彼の友人の絵描きたちの影響があったわけです。；私はかつて写生旅行をして満足に絵を作って帰ったためしは一度もありません。；後に彼女は私の宿へ来て滞在し、一緒に散歩したり食事したり写生したりした。；写生的な中に叙情味を持たせた軽やかな筆致を見せる作風を得意とした。；さうしてそれを眺め、それを味ひ、それから一々丁寧にそれを写生した。；郊外に写生に行くとするならば、まず家族連れということを考えるだろう。；炉は写生図にあるが如く、底石と二つの側石と一つの頭石とで出来ている。；日曜日になると、少年はよく瀬川姉弟に連れられて郊外へ写生に行つた。；なお、日本画で写生のために梅の枝とメジロを描くのとは意味が異なる。；これは大事な事だが、彼の写生帖はデッサンの練習帖ではないのである。</t>
        </is>
      </c>
      <c r="J3783">
        <f>HYPERLINK("https://www.weblio.jp/content/写生", "词义详情")</f>
        <v/>
      </c>
      <c r="K3783">
        <f>HYPERLINK("https://yourei.jp/写生", "查看例句")</f>
        <v/>
      </c>
    </row>
    <row r="3784">
      <c r="A3784" t="inlineStr">
        <is>
          <t>社説</t>
        </is>
      </c>
      <c r="B3784" t="inlineStr">
        <is>
          <t>成功</t>
        </is>
      </c>
      <c r="C3784" t="inlineStr">
        <is>
          <t>読み方：しゃせつ
新聞・雑誌などで、その社の責任ある意見および主張として載せる論説。</t>
        </is>
      </c>
      <c r="D3784" t="inlineStr">
        <is>
          <t>社説欄；社説記者；社説掲載</t>
        </is>
      </c>
      <c r="F3784" t="inlineStr">
        <is>
          <t>新聞社説；批判する社説；反対する社説</t>
        </is>
      </c>
      <c r="G3784" t="inlineStr">
        <is>
          <t>社説子</t>
        </is>
      </c>
      <c r="H3784" t="n">
        <v>29</v>
      </c>
      <c r="I3784" t="inlineStr">
        <is>
          <t>彼はまず社説に目を通したが、そこにはこんなことが解説してあった。；その趣旨はいずれも同一点を指摘しているが、毎日新聞も社説で述べた。；彼は個人的にリチャード・ニクソン大統領の辞任を求める社説を書いた。；ここでは、メディアなどで報道された人々の声や新聞の社説などを記述する。；新聞の社説でも読んだし、テレビでもそう話すのを聞いたように思ったんです。；初めから新聞の社説書きになることを心がけてとうとうそれに成功した人である。；新聞の社説のような論文を読んで、設問に答えたような記憶もある。；死の直前には第二次世界大戦を予見するような社説を書いていた。；キャンベルは、独断的社説を各号に掲載することでよく知られていた。；新聞の社説程度の説得など、やつの鏡の表面にさえ届かないだろう。；第一章では、『時事新報』で社説を執筆した人々について記されている。；Curfmanは先に、社説のタイミングと裁判との関係を否定していた。；社説は社論の中核を成すものであり、通常は無署名で行われることが多い。；これらの社説は、ショスタコーヴィチの音楽活動に大きな影響を与えた。；この社説を反映して、各地に「牛棚」と呼ばれる私刑施設が作られた。；現在のアメリカ国内及び国際的な政治の出来事を取り上げ、独自の社説を発行している。；同じことを新聞の社説でも投書でも知識人や政治家のインタビューでも多くの人が口にしました。；社説の反対側に設けられることからこの名がついた。；この社説を元にした映像作品には以下のようなものがある。；あたしも肩をもって、社説にも書いてやったんですがね。；新聞紙上の社説や、テレビのワイドショーなど至るところで目につく。；ローマの有力紙イル・メッサジェーロは、その朝の社説で次のように書いていた。；社説には論争があり、それ以後、本質的に編集内容が変えられている。；あのとき副社長も例の社説は読んでゐなかつたはずである。；同15日、北海道新聞・高知新聞が新改定案に反対する社説を掲載した。；コラム「世迷言」の内容は主筆である社長の意見であり、社説ではない。；日本が勝つというのは大臣と新聞の社説と神がかりと馬鹿ばかりのごとし。；他の新聞社がこの社説について述べた記述も発見されなかった。；中には社説を掲載していない新聞もある。</t>
        </is>
      </c>
      <c r="J3784">
        <f>HYPERLINK("https://www.weblio.jp/content/社説", "词义详情")</f>
        <v/>
      </c>
      <c r="K3784">
        <f>HYPERLINK("https://yourei.jp/社説", "查看例句")</f>
        <v/>
      </c>
    </row>
    <row r="3785">
      <c r="A3785" t="inlineStr">
        <is>
          <t>謝絶</t>
        </is>
      </c>
      <c r="B3785" t="inlineStr">
        <is>
          <t>成功</t>
        </is>
      </c>
      <c r="C3785" t="inlineStr">
        <is>
          <t>読み方：しゃぜつ
［名］(スル)相手の申し入れを断ること。「要求を—する」「面会—」</t>
        </is>
      </c>
      <c r="D3785" t="inlineStr">
        <is>
          <t>謝絶する(11%)</t>
        </is>
      </c>
      <c r="E3785" t="inlineStr">
        <is>
          <t>拒否；拒絶；遠慮；辞退；振る</t>
        </is>
      </c>
      <c r="H3785" t="n">
        <v>29</v>
      </c>
      <c r="I3785" t="inlineStr">
        <is>
          <t>そうかといって、彼は、門を閉じて客を謝絶する気にもなれなかった。；けれども我藩の使者は幕府の指令もあるから、この盟約は断然謝絶した。；店ではなんとか言葉を設けて、それを謝絶しようとしているものらしく聞えます。；宿の者は總がゝりで止めたが聞かない、伴を連れて行けと勸めても謝絶。；きっと普通の社交的な方法では、面会を謝絶されるにきまっていたからさ。；謝絶しては悪いとちょっとのぼったが、照れくさくてすぐおりてしまった。；厭離庵は従来から観覧謝絶で、私は幾度も此所を素通りしたことがある。；そんなとき女子社員はさまざまな表現で謝絶するだろう。；河野を捉えて、自分のために無用の心配をしてくれるなと謝絶して帰った。；最後に主人は昨日雨天のため面会を謝絶した理由も言訳も一言も述べなかった。；というか「この件はぼくには関係ない」と謝絶するのは小市民的態度の基礎基本。；断然面会を謝絶する勇気を有たない彼は、下女を見たなり少時黙っていた。；その日以来門を閉じ、一切来客を謝絶して北斎は仕事に取りかかった。；だが、わたしは戦争の傷が痛むのだと言って、どちらも謝絶した。；親族の面会も謝絶している状態なので、施設名を明かすことはできない。；そして、又レンズの前へ立ったところで、又機械に故障が出来たと云って謝絶られた。；保吉 いや、ただ夫は達雄の来た時に冷かに訪問を謝絶するのです。；当時余も君の向うを張って来客謝絶の看板を懸けていた。；店の者はそれを謝絶るに困じているらしくあります。；彼は金を謝絶して席を立ち、これ以後は財界から援助を仰ぐことに見切りをつける。；またその男が訪問して来るのを非常に不快に思うけれど、今更それを謝絶することも出来なかった。；彼は、私の申し出た奉仕を喜びながらも、慎重に、静かに、それを謝絶した。；けれどもこの時の余は、截然としてその委託を謝絶するほどの勇気もなかった。；しかしレギュラーシートが保証されないことが分かると、ウェルドンはこれを謝絶した。；それを遣るに極まつてゐる新聞雜誌の記者諸君丈を謝絶して見ようと試みた。；明日なら出来るが今夜は一文もないと謝絶られた。；関所で駕籠乗物の用意をするというのを謝絶って、やはり馬で行きました。；帰郷すると、邸の門戸を閉ざして客を謝絶し、理学の研鑽に打ち込んだ。；すべての演奏会を謝絶した先生は、ただ自分の部屋で自分の気に向いたときだけ楽器の前に坐る、そうして自分の音楽を自分だけで聞いている。</t>
        </is>
      </c>
      <c r="J3785">
        <f>HYPERLINK("https://www.weblio.jp/content/謝絶", "词义详情")</f>
        <v/>
      </c>
      <c r="K3785">
        <f>HYPERLINK("https://yourei.jp/謝絶", "查看例句")</f>
        <v/>
      </c>
    </row>
    <row r="3786">
      <c r="A3786" t="inlineStr">
        <is>
          <t>社宅</t>
        </is>
      </c>
      <c r="B3786" t="inlineStr">
        <is>
          <t>成功</t>
        </is>
      </c>
      <c r="C3786" t="inlineStr">
        <is>
          <t>読み方：しゃたく
社員やその家族を住まわせるために、会社が所有し管理する住宅。</t>
        </is>
      </c>
      <c r="D3786" t="inlineStr">
        <is>
          <t>社宅跡地(2%)；社宅管理事務所；社宅群；社宅等；社宅住まい</t>
        </is>
      </c>
      <c r="F3786" t="inlineStr">
        <is>
          <t>狭い社宅；工場社宅；職員社宅；鉱員社宅；支店長社宅</t>
        </is>
      </c>
      <c r="H3786" t="n">
        <v>29</v>
      </c>
      <c r="I3786" t="inlineStr">
        <is>
          <t>そして、小さな台所と六畳二間のお風呂のない小さな社宅に住んでいた。；そして会社の社宅に入ったら、あたしのような女がいっぱいいるでしょう。；高級参謀が部屋借りをしている鈴井物産の社宅からは二キロ離れている。；会社から通勤バスに乗って父親は九時には社宅に帰ってくるはずだ。；この社宅地区は姿川村本体の合併に先行して宇都宮市へ編入合併された。；東西電機の社宅の前にあった大きな田圃は全部埋めたてられてしまった。；以前は駅舎に社宅が併設されており、社員の家族に駅業務を委託していた。；また社宅や供給所などの福利厚生面でも大きな格差が設けられていた。；民間企業の社宅なども点在していたがほとんど宅地化してその姿は消えた。；また福利厚生の一環として、社員に社宅や寮を提供している会社も多い。；僕らはその小さな平和な町で、父親の会社が提供してくれた社宅に住んでいた。；たまたま主人の会社の社宅がこんなところにあったもので、なおさら。；父と同期の社員も多く、社宅には静と同い年の子どももたくさんいた。；あの川の側に父親の勤めていた銀行があって、社宅はそこから歩いて十分の近さにあった。；幹部クラスの社宅には内風呂が設けられ、社員用の共同浴場も整備された。；会社のそばの社宅だから、会社に行くために帰って来るんです。；社宅の庭が狭いので、奥さんは門の外に、その花壇を造つてゐるのである。；夫は、大手の損保会社に勤務していて、そこのマンションは二棟とも社宅だ。；「三海電気」は鈴木不動産が社宅の管理を一手に引き受けている会社だ。；社宅の集会所前に写真が貼られたとき、彼女にも知らせておくべきだったのだ。；社宅は、辞令が出た一週間後には次の人のために明け渡さなければならない。；篠原主計大尉は技師長の社宅に帰ったが、玄関に彼の妻が顔を出した。；しかし実際には松川夫妻は椎名の知人の企業経営者の社宅に匿われていた。；モール建設前には住友金属鉱山および住友林業の社宅群が立地していた。；鉄道社宅は1899年以降1945年の解放まで持続的に供給されている。；社宅を出なければならず、姉の佳代子・良平夫婦の家に居候する事に。；第二次世界大戦後に社宅などの撤去が行われ、残っていた人員も島を離れた。；すると、社員ではないのだから、社宅を出なければならなくなる。；社宅管理事務所での出来事は強くわたしの中に残った。</t>
        </is>
      </c>
      <c r="J3786">
        <f>HYPERLINK("https://www.weblio.jp/content/社宅", "词义详情")</f>
        <v/>
      </c>
      <c r="K3786">
        <f>HYPERLINK("https://yourei.jp/社宅", "查看例句")</f>
        <v/>
      </c>
    </row>
    <row r="3787">
      <c r="A3787" t="inlineStr">
        <is>
          <t>遮断</t>
        </is>
      </c>
      <c r="B3787" t="inlineStr">
        <is>
          <t>成功</t>
        </is>
      </c>
      <c r="C3787" t="inlineStr">
        <is>
          <t>読み方：しゃだん
［名］(スル)流れをさえぎって止めること。さえぎって、他の動き・作用などが及ばないようにすること。「交通を—する」「外部の騒音を—する」</t>
        </is>
      </c>
      <c r="D3787" t="inlineStr">
        <is>
          <t>遮断する(23%)；遮断される(5%)；遮断しよ；遮断できる；遮断時間</t>
        </is>
      </c>
      <c r="E3787" t="inlineStr">
        <is>
          <t>閉鎖；邪魔；ブロック；阻止；カット</t>
        </is>
      </c>
      <c r="F3787" t="inlineStr">
        <is>
          <t>すべて遮断；踏切遮断；遮断装置；退路遮断；遮断桿</t>
        </is>
      </c>
      <c r="G3787" t="inlineStr">
        <is>
          <t>遮断器；遮断薬；遮断周波数</t>
        </is>
      </c>
      <c r="H3787" t="n">
        <v>29</v>
      </c>
      <c r="I3787" t="inlineStr">
        <is>
          <t>とくに急降下爆撃機は敵の補給線や通信線を遮断することになっていた。；遮断や情報操作をされないよう独自の通信網を展開するようなこともある。；側窓は大型の一枚窓で、紫外線を遮断する着色ガラスが採用されている。；被験者の全感覚、すなわち全体野への入力がどれも遮断されるのである。；両者とも光を遮断し映画用フィルムを収容するカメラ本体を採用していた。；結局通過せずに遮断機が上がるため、踏切の遮断時間が長くなっている。；イギリスは日本と異なり、軌道側を遮断して車道側を通過させる方式。；即座に砦の状態が調査され、モービル市との通信手段が全て遮断された。；彼等は橋から遮断されサリバン隊に包囲されて降伏を強いられた。；さらに予想されうる敵の退却路を遮断するように部隊を派遣する。；それまで同川は時々大水を起こし、南北の交通を遮断したり橋を流したりした。；外部と内部の一切のアクセスは遮断され、ログアウトが出来なくなっている。；テューリンゲンとの間の古くからの交通や経済関係が遮断されたためであった。；そのため、社内の各開発チーム間の情報は一切遮断されているという。；軍はテレビ・ラジオを統制し、マスメディアから市民への情報を遮断した。；家具などが空気の循環を遮断しないよう設置場所に気をつける必要がある。；このことからその遮断特性などはそれぞれ保安上必要な基準以上のものとされている。；霧が晴れた後は下界の光を霧が遮断する為、銀河などが比較的良く見える。；腕木を利用する踏切遮断機で最も多く採用されている遮断方式である。；また、国外からの情報を遮断するためにネット検閲が導入されている。；この為、貿易を完全に遮断してしまう事は破滅的な結末をもたらしかねない。；天井、壁と合わせ建物内部を外部空間から遮断する役割を担うこともある。；これは主にアメリカ合衆国より供給されていた英仏軍の糧食を遮断することを目的としている。；この区間においては数箇所で鉄橋が落下し、南北に至る道路が遮断された。；ただし、通過列車が低速運転した場合は逆に遮断時間を長くしてしまうことがある。；また他の世界の影響を全く受けないほどに世界を加速させて彼のものの影響を遮断しようとする者も居る。；このため防音性こそ維持されてはいるが、完全に外の視線が遮断されているわけではない。；生物は区画された空間ではあるが、完全に外界から遮断されているわけではない。；色の濃い服ほど日光の遮断効果が高く、黒い色は最も日光を遮断する。</t>
        </is>
      </c>
      <c r="J3787">
        <f>HYPERLINK("https://www.weblio.jp/content/遮断", "词义详情")</f>
        <v/>
      </c>
      <c r="K3787">
        <f>HYPERLINK("https://yourei.jp/遮断", "查看例句")</f>
        <v/>
      </c>
    </row>
    <row r="3788">
      <c r="A3788" t="inlineStr">
        <is>
          <t>社長</t>
        </is>
      </c>
      <c r="B3788" t="inlineStr">
        <is>
          <t>成功</t>
        </is>
      </c>
      <c r="C3788" t="inlineStr">
        <is>
          <t>読み方：しゃちょう
会社の業務執行の最高責任者。会社代表の権限をもつ。
[補説]2014年6月に実施した「あなたの言葉を辞書に載せよう。2014」キャンペーンでの「社長」への投稿から選ばれた優秀作品。◆一番早く退社、一番遅く出勤とみせかけて24時間戦っている。あじさいさん◆仲間を抱えながら崖を登れる人。リフティングさん◆人にチャンスと言う回数券を配れる人のこと。花暦さん◆会社という大家族の親父みたいなもの。うとまれたり、尊敬されたり、孤独だったりするもの。ともさん◆一番高い所からしか見えない景色がある事を知り、一番高い所からは見えない景色がある事を忘れた者。トモタロウさん◆会社の代表者であり、最高決定権を持つ。ただし社員がいなければその権力も無いに等しく、社内で一番支えられている存在でもある。七つの海のピコさん同キャンペーン新聞広告に寄せられた現役社長の皆様の作品。◆楽観主義者より少しの悲観主義者であれ、最悪の事を考えて最善方法を考える。（株）岡本商会代表取締役社長・岡本憲治さん◆神輿のようなもの。誰でもなれるが担ぎ手（フォロワー）がいないと、ただの人。軽い方が担ぎやすい?（株）ワンワールド代表取締役社長・大場喜満さん◆時に最も尊敬され、時に最も軽蔑され、時に最も好かれ、時に最も嫌われる、タクトは持っていないコンダクター。太洋工業（株）代表取締役社長・細江美則さん◆ドーナツの穴のような存在。自分が会社に居なくても、社員がその気になって働く状態をつくる人。日東イシダ（株）代表取締役社長・鍋島孝敏さん◆自社株を過半数所有している場合は王様、ほかに大株主がいる場合は王様の執事。アツデン（株）代表取締役社長・佐藤基典さん</t>
        </is>
      </c>
      <c r="D3788" t="inlineStr">
        <is>
          <t>社長室(3%)；社長さん；社長就任；社長兼；社長夫人</t>
        </is>
      </c>
      <c r="E3788" t="inlineStr">
        <is>
          <t>会長；大統領；理事；取締役；役員</t>
        </is>
      </c>
      <c r="F3788" t="inlineStr">
        <is>
          <t>元社長；支社長；会社社長；同社社長；兼社長</t>
        </is>
      </c>
      <c r="G3788" t="inlineStr">
        <is>
          <t>社長会；社長が訊く；社長洋行記；社長千一夜；社長外遊記</t>
        </is>
      </c>
      <c r="H3788" t="n">
        <v>29</v>
      </c>
      <c r="I3788" t="inlineStr">
        <is>
          <t>後に民間人が社長を歴任しており、現在は企業として県との関連はない。；ただし第二地銀の中には「社長」の名称に戻したところも一部存在する。；社長である欽本立はこの要求を拒否したため、同紙は発行停止となった。；同社の社長ら幹部が関与していた疑いが指摘されている。；当初は社長であるダグ自らプログラムを組み、セールスして回っていた。；社長になれば、今後は自分が債務を負わなければならないからだった。；後に前社長が別の目的に流用していたことが明らかになった。；しかし社長は不在であったため、小林が経営の実権を握ることになった。；脚本まで完成していたが、円谷一社長の急死によって頓挫してしまった。；小林新社長が経営安定化とチーム成績向上を迫られた一年となった。；かつては石原裕次郎が社長を務めていた石原プロモーションに所属していた。；また田中社長本人はこの日を境にレスラーへの態度を一変させてしまったという。；彼にこの重要な仕事を与えたのはドレッサー・インダストリーズの社長であった。；以来UHBの歴代社長の座は道新専務級の人材が座ることになっている。；母親を社長にして漁網の製造、修理や広告代理店業務を行っていた。；初代社長には両企業の経営統合に活躍した島が就任した。；前述の社長の公募は、この事件を受けてのものと見られている。；分離元鉄道事業者の社長は設立以来初めてのことであった。；退社の件を、当時社長になっていた伯父に話すと激怒されたという。；当時の広島バスは帝産の傘下で、広島バスの社長の説得で実現した。；同時に同チームのバスケットボール運営部門の社長となった。；同年、オズボーンはペーパーバック社の社長を退任し、同社は解散した。；社長には、メルカリの取締役社長兼COOを務める小泉文明が就任した。；社長にはインターチェンジの建設地である榛原郡相良町の町長が就任した。；関西電力の社長・会長はたびたび関西経済連合会会長に就任している。；これにより、横川竟が会長兼社長兼CEOに就任しワンマン体制となる。；初代タイムリー社長が設立した為、タイムリーと併設していた店舗があった。；安倍昭恵は父親が森永製菓の社長だったことから、本人にも警察の保護がついた。；父・常久は後に安田工業の社長などを歴任する実業家となる。</t>
        </is>
      </c>
      <c r="J3788">
        <f>HYPERLINK("https://www.weblio.jp/content/社長", "词义详情")</f>
        <v/>
      </c>
      <c r="K3788">
        <f>HYPERLINK("https://yourei.jp/社長", "查看例句")</f>
        <v/>
      </c>
    </row>
    <row r="3789">
      <c r="A3789" t="inlineStr">
        <is>
          <t>若干</t>
        </is>
      </c>
      <c r="B3789" t="inlineStr">
        <is>
          <t>成功</t>
        </is>
      </c>
      <c r="C3789" t="inlineStr">
        <is>
          <t>読み方：じゃっかん
《「干」を「一」と「十」に分解して、一の若(ごと)く十の若しの意から》はっきりしないが、それほど多くはない数量を表す。いくらか。少しばかり。多少。「—の金を借りる」「—問題がある」「—名」
→多少(たしょう)［用法］</t>
        </is>
      </c>
      <c r="D3789" t="inlineStr">
        <is>
          <t>若干異なる(5%)；若干名；若干変更；若干異なり；若干数</t>
        </is>
      </c>
      <c r="E3789" t="inlineStr">
        <is>
          <t>少し；ちょっと；わずか；やや；多少</t>
        </is>
      </c>
      <c r="F3789" t="inlineStr">
        <is>
          <t>若干高く；若干離れ；若干劣る；若干低い；若干高い</t>
        </is>
      </c>
      <c r="H3789" t="n">
        <v>29</v>
      </c>
      <c r="I3789" t="inlineStr">
        <is>
          <t>基本は色を塗り替えただけだが通常色と比べて若干性能が向上している。；若干画面が湾曲したテレビも一時流行したが同様にあまり普及しなかった。；一般には、実際に建設された距離である建設キロとは若干のずれが生じる。；終盤の展開が初期に比べて若干変更されているのはそのためである。；たけし軍団用の戦車の的は攻撃軍用より若干後ろの位置に設置されていた。；植物や土壌のように分野に応じて若干異なった構成要素の分け方がされる。；主電動機以外には以下の搭載機器と床下機器配置に若干の変更を実施した。；また本来のストーリーの流れとは若干異なる物語が随所に挿入されている。；同時代のケプラーや若干後のニュートンなども同じような失敗があった。；おとぎ話に関連する村が多く登場し、作品ごとに登場する村は若干異なる。；後から登場したゲストの場合若干チープな椅子に座らすこともあった。；基本的には以下の通り使い分けられているが、若干の例外は存在する。；ホームと駅舎は若干離れており、屋根付きの連絡通路で繋がっている。；連結面はすべてに妻面窓が設置されたが、それまでよりも若干小さくなった。；これらを総称する丹波方言は一般的な関西弁とは若干異なる方言である。；ただし日本国内では、本来の英語とは若干異なる意味で用いられることが多い。；また、果肉や葉にも若干含まれていて、これらも利用される事がある。；一般兵用とは頭部と盾の形状に違いがあり、スペックも若干向上している。；実際のアニメでは、これらのキャラクターや名称を若干変更した形で発表された。；全車前後バンパーが若干大型化されサイドドアビームが標準装備された。；本来郷土料理である為、イクラの盛り方に各家庭で若干のちがいがある。；また第七版ではサイズが従来よりも若干大きくなっている。；他の番台と比べ、前照灯とタイフォンが若干高い場所に設置されている。；また、枝からの葉の付き方がモミとは若干異なっていることで識別できる。；つまり相手を攻撃し続け、より先に体力を削った方が若干有利になる。；装飾の内容や装飾の続く期間はバージョンや年度ごとに若干違う。；駅裏は上の貨物が停車している辺りに若干のストックヤードがあった。；これらの配線・配管や内部機器・発電装置は、作品ごとに若干変化する。；適応には複数の意味があり、文脈や用いられる分野によって若干異なる。</t>
        </is>
      </c>
      <c r="J3789">
        <f>HYPERLINK("https://www.weblio.jp/content/若干", "词义详情")</f>
        <v/>
      </c>
      <c r="K3789">
        <f>HYPERLINK("https://yourei.jp/若干", "查看例句")</f>
        <v/>
      </c>
    </row>
    <row r="3790">
      <c r="A3790" t="inlineStr">
        <is>
          <t>借金</t>
        </is>
      </c>
      <c r="B3790" t="inlineStr">
        <is>
          <t>成功</t>
        </is>
      </c>
      <c r="C3790" t="inlineStr">
        <is>
          <t>読み方：しゃっきん
［名］(スル)
１金銭を借りること。また、借りた金銭。借財。借銭。「—で首が回らない」「—を踏み倒す」「—して車を買う」
２（比喩的に）野球などのリーグ戦で、負けた数が勝った数を上回っているときの、その差。⇔貯金2。</t>
        </is>
      </c>
      <c r="D3790" t="inlineStr">
        <is>
          <t>借金返済(4%)；借金まみれ；借金だらけ；借金問題；借金苦</t>
        </is>
      </c>
      <c r="E3790" t="inlineStr">
        <is>
          <t>付け；借り；負債；債務；借用</t>
        </is>
      </c>
      <c r="F3790" t="inlineStr">
        <is>
          <t>前借金；大きな借金；膨大な借金；借金を全額返済；借金棒引き</t>
        </is>
      </c>
      <c r="G3790" t="inlineStr">
        <is>
          <t>借金取；借金とり；借金生活；借金漬け外交；借金依存症</t>
        </is>
      </c>
      <c r="H3790" t="n">
        <v>29</v>
      </c>
      <c r="I3790" t="inlineStr">
        <is>
          <t>実は浜崎が街金運営の資金としていた金は大帝都からの借金であったのだ。；ある日、父・真一が借金を抱えたまま病で倒れ植物状態になってしまう。；借金が100万円以上になってしまうとゲームオーバーになってしまう。；しかしこのような生活を続けたため、すぐにまた借金が膨らんでしまった。；多額の借金をし、利益を再投資し、市場の変化に迅速に対応していった。；借金を作らない経営方針のもと、毎年数頭の生産を20数年間続けていた。；この後は自分が借金して映画を作ることは出来なくなった。；領国を発展させていく過程で必要な場合は、商人から借金もできる。；この遠征も興行的には失敗で、小泉は多額の借金を抱えることになった。；商人からは借金・返済以外にも、米の売買および武器の購入ができる。；結局数年後3億円まで落として売却されたため、5億円の借金が残った。；大学を優秀な成績で卒業した後、地元ファイフに帰り父の借金の処理にあたった。；そうすれば、その旅館が借金をすべて肩代わりしてくれるというのだ。；借金返済のため、携帯電話の販売や人材派遣など様々な商売を手掛けた。；その後の増加に伴い借りすぎにより借金地獄に陥る人も増えている。；また、かつみの多額の借金に関する様々なエピソードでも知られている。；都井はこのころから犯行準備のため、自宅や土地を担保に借金をしていた。；またこの史料からは、本土からの借金を米で返そうとした事も分かる。；しかし、借金のためにパリにいられなくなったので一行はボルドーへ赴いた。；売春婦の大半は家出少女などで、借金付きで送られ売春をさせられていた。；藩政改革は軌道に乗り、借金まみれだった財政は黒字化を達成していた。；末期には帝冠さえ借金の担保にせざるを得ないほどの惨状であった。；しかし水利権の許可が下りなかったことで事業が上手く行かず借金が嵩む。；彼の元に訪れる客は、丑嶋から借金をしたことをきっかけに運命が動き出す。；残ったマンションを売却した資金で不動産の転売を続け、借金を返済した。；キャサリンの話から、エドワードは兄が借金を重ねた理由に不審を抱く。；あまりに借金が多い場合は参加を断られる場合があるという。；借金を含めたマネジメントの問題は全て清春が処理を行っていた。；作家として復活したのは雑誌の発行により抱えた借金を返済するためであった。</t>
        </is>
      </c>
      <c r="J3790">
        <f>HYPERLINK("https://www.weblio.jp/content/借金", "词义详情")</f>
        <v/>
      </c>
      <c r="K3790">
        <f>HYPERLINK("https://yourei.jp/借金", "查看例句")</f>
        <v/>
      </c>
    </row>
    <row r="3791">
      <c r="A3791" t="inlineStr">
        <is>
          <t>しゃっくり</t>
        </is>
      </c>
      <c r="B3791" t="inlineStr">
        <is>
          <t>成功</t>
        </is>
      </c>
      <c r="C3791" t="inlineStr">
        <is>
          <t>読み方：しゃっくり
［名］(スル)《「しゃくり」の音変化》横隔膜の痙攣(けいれん)により、急に空気が吸い込まれ声門が開いて音を発する現象。ほぼ一定の間隔で繰り返し起こるが、自然に治る場合が多い。</t>
        </is>
      </c>
      <c r="D3791" t="inlineStr">
        <is>
          <t>しゃっくり丸；しゃっくり止め；しゃっくりみたい</t>
        </is>
      </c>
      <c r="G3791" t="inlineStr">
        <is>
          <t>しゃっくり政談</t>
        </is>
      </c>
      <c r="H3791" t="n">
        <v>29</v>
      </c>
      <c r="I3791" t="inlineStr">
        <is>
          <t>老人はしゃっくりのような音を喉から発し、あわてて「三人」と答えた。；また市川は、急にシャックリが出てきたらどうするのだろうと思った。；私流のしゃっくりのとめ方なのだが、歩きながらではどうすることも出来ない。；栞子さんがしゃっくりみたいな変な声を上げて、片手で口を押さえた。；彼女は両手を口元に持っていき、しゃっくりするような声を発した。；コートジボワールのゲレ族はしゃっくりを治す際に葉の汁を飲んできた。；人と約束をしていたのでうちをとび出したのだが、しゃっくりはとまらない。；だが、美甘子はどういうわけか、もうひとつしゃっくりをしたではないか。；わたしは十五のとき、それを飲むといつもしゃっくりが出たものだ。；ロンは時々しゃっくりをしたが、小さなナメクジが二匹出てきただけだった。；シャックリは止まったが、大きな問題が解決したわけでもなく。；しゃっくりが止まった直後の、あのいやな感覚を、一三三名全員がいま共有していた。；その結果、いい年をして、子供のようにしゃっくりが出てしまう。；叔父のそばへつっ立っていると不思議にしゃっくりが止まった。；あはっ、とさよ子は笑い声ともしゃっくりともつかぬ乾いた声をたてた。；ただ単に空想するだけでは鳥肌もたたぬし、しゃっくりも出ないのである。；実際、耕太は息を呑みすぎてひっくとしゃっくりしてしまったくらいだ。；どれくらいの間、息を止めていればシャックリが収まるのだろう。；オズボーンのしゃっくりは、屠殺前の豚を計量しているときに始まった。；そして君は、しゃっくりが収まったら、私の番の時に話すという訳だ。；もちろんそれは小さなしゃっくりではなく大きなショックである。；これまで、テレビに出た人で急にシャックリが出て困っている人を、彼は見たことがなかった。；動かそうとしても、ひくひくとしゃっくりするような動きしかできない。；彼のしゃっくりのような激しい息遣いが少しおさまるのを待って、私は言った。；しゃっくりは、それが、おさまったとたんに、けろりとするものである。；リシダは、しゃっくり病みの男のようにただからだをおののかせています。；故意に不愛想にいおうとしたようですが、しゃっくりのような声でありました。；ぼくはシャックリの出た人が気まり悪がる様に、身体の震えていることを気まり悪がった。；小さい時、百合は、笑い過ぎるとシャックリを起こしたものだ。</t>
        </is>
      </c>
      <c r="J3791">
        <f>HYPERLINK("https://www.weblio.jp/content/しゃっくり", "词义详情")</f>
        <v/>
      </c>
      <c r="K3791">
        <f>HYPERLINK("https://yourei.jp/しゃっくり", "查看例句")</f>
        <v/>
      </c>
    </row>
    <row r="3792">
      <c r="A3792" t="inlineStr">
        <is>
          <t>車道</t>
        </is>
      </c>
      <c r="B3792" t="inlineStr">
        <is>
          <t>成功</t>
        </is>
      </c>
      <c r="C3792" t="inlineStr">
        <is>
          <t>読み方：しゃどう
道路で、車両が通行するように定められた部分。→歩道→人道</t>
        </is>
      </c>
      <c r="D3792" t="inlineStr">
        <is>
          <t>車道側；車道部分；車道橋；車道沿い；車道幅員</t>
        </is>
      </c>
      <c r="F3792" t="inlineStr">
        <is>
          <t>広い車道；狭い車道；旧車道；車道横断；車道中央部</t>
        </is>
      </c>
      <c r="G3792" t="inlineStr">
        <is>
          <t>車道町；車道東町；車道駅</t>
        </is>
      </c>
      <c r="H3792" t="n">
        <v>29</v>
      </c>
      <c r="I3792" t="inlineStr">
        <is>
          <t>そうしている間にも二台の乗用車は車道からそれて森の中へと入ってきた。；畑から下りてくるものもあれば、邸内車道を上がってくるものもあった。；彼は深い泥に足を取られながら、長い車道を家の方に上がっていった。；ただし東側を中心に車道や神社の建設の際に一部の遺構が破壊されている。；冠山北側には車道があり、駐車場を利用する車はこちらから出入りする。；そしてハーヴェイはこの車道はどのくらい長く続くのだろうと思った。；また地域に通じている車道はなく、西側にJR土讃線が通るのみである。；目黒通りの拡張計画に伴って、車道及び歩道の拡張工事が行われている。；車道も歩道も街路樹も家々の屋根もただ見る一面の雪におおわれている。；橋には車道と並んで歩道があったが、車両のみ通行料金を徴収していた。；門司港駅から登山した場合、途中の通信施設付近まで車道が引いてある。；頂上そばに車道が通じ、急勾配ではあるが登山道もよく整備されている。；この場合相手が車道へ少しでもとび出して来ることが必要なのです。；イギリスは日本と異なり、軌道側を遮断して車道側を通過させる方式。；二人の乗った自転車は、その流れとは逆の方向目指して車道を疾駆していく。；車道の両側は舗装されていないので、そこから埃りが舞い上がっている。；ある角で、車道の真中に一台電車が乗りすてられたままになっていた。；その謎の車がわき道や家の車道へ入っていってしまうとがっかりしたものだ。；私は中央の車道を通りながら、神田川の口の手前になった岸の方に眼をやった。；また、町長より水管橋に車道橋を併設する提案が出されたことがあった。；通常使用されない東京の地下軌道交通路線、もしくは地下車道が登場する作品。；その後現在に至るまで車道として再開通させる具体的な計画は立てられていない。；その中を肇が走る細いサイクリング道路と車道が二本並んで延びていた。；通りは歩道と車道とにわかれており、一定の間隔で木が植えられている。；なお北からの車道を上がると黒門への通路前に着きトイレの横に駐車する。；江藤家は車道に面しているわけではないが、たまには車も通るし人間も通る。；小女は仲店の前を出はずれると、吾妻橋の方へ向いて車道の縁を歩いた。；西脇を二車線の車道が南北に走り、わずか北を県道49号が東西に走る。；すなわち縁石等の工作物により歩道と車道が分離しているわけではない。</t>
        </is>
      </c>
      <c r="J3792">
        <f>HYPERLINK("https://www.weblio.jp/content/車道", "词义详情")</f>
        <v/>
      </c>
      <c r="K3792">
        <f>HYPERLINK("https://yourei.jp/車道", "查看例句")</f>
        <v/>
      </c>
    </row>
    <row r="3793">
      <c r="A3793" t="inlineStr">
        <is>
          <t>車内</t>
        </is>
      </c>
      <c r="B3793" t="inlineStr">
        <is>
          <t>成功</t>
        </is>
      </c>
      <c r="C3793" t="inlineStr">
        <is>
          <t>読み方：しゃない
自動車・列車などの中。車中。「—禁煙」「—販売」⇔車外。</t>
        </is>
      </c>
      <c r="D3793" t="inlineStr">
        <is>
          <t>車内設備(2%)；車内照明；車内灯；車内全体；車内外</t>
        </is>
      </c>
      <c r="F3793" t="inlineStr">
        <is>
          <t>車内自動；狭い車内；車内天井；車内案内；車内保温</t>
        </is>
      </c>
      <c r="G3793" t="inlineStr">
        <is>
          <t>車内販売；車内案内表示器；車内アナウンス；車内案内表示装置；車内信号</t>
        </is>
      </c>
      <c r="H3793" t="n">
        <v>29</v>
      </c>
      <c r="I3793" t="inlineStr">
        <is>
          <t>このため車内の大部分で通路は車体中心線からずれた配置となっている。；その一方で車内は冷房風洞の設置を除いて大きな改造は行われなかった。；車内は座席の一部を撤去してバリアフリー化及びワンマン化を実施した。；高圧機器が車内に搭載されたため、換気のため窓の一部が鎧戸とされた。；車内の自動放送も変更され、新たに英語による案内放送が開始された。；車内には0系風の転換座席を2脚設置したほか鉄道模型も展示されている。；一部車両は車体・車内更新を同時に施工したものも存在している。；車内のつり革は三角形であり、当初は座席前の線路方向のみ設置していた。；本系列では車内の座席などの接客設備も大幅な改良が図られている。；車内に信号機の現示を表示し、制限速度を超えた場合に警報が鳴動した。；大半が学生の利用で、時間帯次第では車内の座席が全て埋まることもある。；車内自動放送が搭載されていない車両は、全て車掌により案内される。；車内には電話が設置されており、タクシーを呼ぶことが出来る。；車内の配色は青を基調としているが、一部に薄紫色が用いられている。；その後2011年から、一部の編成の車内吊革の改良工事が行われている。；本番台から客用扉の把手が車内外とも片方にしか設置されていない。；ただし、車内での放送・表示では都営大江戸線のみ案内されている。；その鉄道車両が投入を予定されている用途に応じて車内の座席の配置の仕方は異なっている。；車内は快適性の向上や使い易さの向上などのため、仕様が見直されている。；ファンカーゴは実用的で利便性の高い広く機能的な車内空間を備えている。；かつては107番で呼出し設備を有する列車の車内呼び出しが可能だった。；そして乗客にも車内静粛への協力をよびかける文がテーブル裏などに記載された。；伝統的な車内装備品として客用扉脇に備えられた鏡がある。；一部の車両では、客用扉の窓の大型化と車内側への化粧板貼付けも行われている。；写真左の車体側面にあるルーバーは車内の雪切室につながる外気採入口。；車内は当時、量産が開始されていた6000系で採用された仕様を取り入れた。；全列車ワンマン運転を実施しているが、車内での運賃収受は行っていない。；車内では蛍光灯を飛散防止形を採用したため、蛍光灯保護棒を省略した。；尚、当該車両は高速車と違い車内にトイレは設置されていない。</t>
        </is>
      </c>
      <c r="J3793">
        <f>HYPERLINK("https://www.weblio.jp/content/車内", "词义详情")</f>
        <v/>
      </c>
      <c r="K3793">
        <f>HYPERLINK("https://yourei.jp/車内", "查看例句")</f>
        <v/>
      </c>
    </row>
    <row r="3794">
      <c r="A3794" t="inlineStr">
        <is>
          <t>社内</t>
        </is>
      </c>
      <c r="B3794" t="inlineStr">
        <is>
          <t>成功</t>
        </is>
      </c>
      <c r="C3794" t="inlineStr">
        <is>
          <t>読み方：しゃない
１会社の建物の内部。「—にいる」⇔社外。
２会社の組織の内部。「—結婚」⇔社外。
３神社の境内。社殿の中。⇔社外。</t>
        </is>
      </c>
      <c r="D3794" t="inlineStr">
        <is>
          <t>社内公募；社内呼称；社内名称；社内事情；社内改革</t>
        </is>
      </c>
      <c r="F3794" t="inlineStr">
        <is>
          <t>支社内；御霊社内；トヨタ社内；社内スタッフ；社内旅行</t>
        </is>
      </c>
      <c r="G3794" t="inlineStr">
        <is>
          <t>社内外；社内カンパニー；社内調査；社内ベンチャー；社内規定</t>
        </is>
      </c>
      <c r="H3794" t="n">
        <v>29</v>
      </c>
      <c r="I3794" t="inlineStr">
        <is>
          <t>社内食堂など、閉じられた空間で利用できるカードの券売機も存在する。；一部の鉄道・軌道業者では運転手を社内呼称として用いる業者もある。；京急社内で使用されている列車の車両組成表には「」と表記されていた。；S-58は同社の社内呼称であるが、販売にもこの名称を使用していた。；それを遥かに上回る売り上げだったのでこれは社内的にも驚きでしたね。；社内のバンドでウクレレ担当となり、これが初めて弾いた楽器であった。；複数の社内チームが設けられ、それぞれ並行する形で試作機が開発された。；弟は大型拳銃を好まず、社内での設計を禁止することさえ考えていたという。；社内預金の場合は共通措置に加え、以下の措置を取らなければならない。；その技術水準の高さは後年の名鉄社内においても高く評価されたという。；社内に残っていたXウイングのデータは全て破棄されたとされている。；しかしそれでも社内環境が悪かったため、なかなか改革は進まなかった。；元々Netscape社が社内で使ってきたシステムであったが、後に公開。；入社から2年経過後に、その努力が社内で認められて設計部門に異動。；そのため、社内の各開発チーム間の情報は一切遮断されているという。；そのため、社内では常に宮崎・高畑を頂点にして回っている一面があった。；社内には連れて来られたネコ用の通路や階段が天井や壁にめぐらされている。；そのような分析は当初、自動車メーカーや部品メーカーが社内で行っていた。；またきさくで腰の低い謙虚な人で野村社内では営業の神様と言われていた。；鉄道を所有する企業は社内の輸送システムとして使うだけである。；以前は東海ラジオ・東京支社内にある東京スタジオから生放送されていた。；彼らはスタジオや社内の多数人間を人質とし、要求を告げぬまま放送を中断。；これは最重要人物の永野は社内に温存させる、という土光の戦略だった。；日本のみならず、海外においても同様の施設が社内に設けられている企業が多い。；セダンのデザインはプジョーの社内案をベースとしたデザインを採用している。；もしかすると、この手の発言が社内で容認されていたのではないかと想像させる。；社長であるスーさんに伝わることを期待して社内全体へのFAX送信を行う。；先日、自身のブログにて社内では零ちゃんと呼ばれていることを公開した。；社内協議の結果、修理は行わず引退を約2カ月前倒しすることが決定した。</t>
        </is>
      </c>
      <c r="J3794">
        <f>HYPERLINK("https://www.weblio.jp/content/社内", "词义详情")</f>
        <v/>
      </c>
      <c r="K3794">
        <f>HYPERLINK("https://yourei.jp/社内", "查看例句")</f>
        <v/>
      </c>
    </row>
    <row r="3795">
      <c r="A3795" t="inlineStr">
        <is>
          <t>しゃぶる</t>
        </is>
      </c>
      <c r="B3795" t="inlineStr">
        <is>
          <t>成功</t>
        </is>
      </c>
      <c r="C3795" t="inlineStr">
        <is>
          <t>［動ラ五（四）］口の中に入れてなめたり、吸ったりする。「飴(あめ)を—・る」「指を—・る」
[可能]しゃぶれる</t>
        </is>
      </c>
      <c r="D3795" t="inlineStr">
        <is>
          <t>吸う；舐める；おっぱい；嘗める；喫う</t>
        </is>
      </c>
      <c r="H3795" t="n">
        <v>29</v>
      </c>
      <c r="I3795" t="inlineStr">
        <is>
          <t>「これでしゃぶると気持ちがいいからだ」紺野は興味なさそうに言った。；欲求不満の後家さんでは、よほどの男でないと骨までしゃぶられそうだ。；これに俺のものしゃぶらせるのかと思うと なんとなく背徳的な気がした。；友美がそれを渡すと、彼女の娘はただ嬉しそうにしゃぶっていたという。；背でむずかる弟に自らの指をしゃぶらせて勉強をすることもあった。；ホロが最後のアバラの骨をしゃぶり終えた時、店中から拍手が起こった。；おれはきみと結合しながら、きみのクリトリスをしゃぶっているんだ。；咬みつかれた自尊心の黒い蛇が一晩中彼の心をしゃぶりつづけたのである。；それとも、そいつのちんぽをしゃぶって味が忘れられなくなったのか?；なんか知らないが、まずは しゃぶってもらう事が通例になりそうだ。；この店の仔羊は香りが濃くてよいと、骨をしゃぶるようにして食べる。；泣き疲れて、指でもしゃぶり、ふてくされたように寝入ってしまうのか。；見れば二匹の子虎が、一本の人間の腿をしゃぶっているではないか。；俺はその良美にトイレでしゃぶって もらってたりするんだから。；三重子はこの前会った時にはチュウイン・ガムばかりしゃぶっていた。；そいつの見ている眼のまえで、おれはあきるほどおまえの体をしゃぶってやる。；しゃぶり終ってから骨を遠くへ抛ると、水音がし、骨は湖に沈んで行った。；そのとき私は半分どころか、市川さんに骨までしゃぶられるとおもった。；子供のように親指をしゃぶりながら彼女はその善き世界に横たわっていた。；同級生がトイレに入っていると姉がペニスをしゃぶりにきたりする。；骨の髄までしゃぶりつくすことなんて、最初っから無理だとわかってるさ。；通称どおりの意地汚い性格の屑で、仕事の仕方も骨までしゃぶり尽くす。；しゃぶをやっている人間は過剰なほど敏感になることを思い出した。；自らを知らない者は見当違いの賞賛をしゃぶって喜ぶことができる。；うしろから見ていても、飴をしゃぶっている有料観客の体に触れてはいけない。；久慈は、魚の肉をしゃぶり取った骨骼の強く鋭敏な美しさを想像した。；また、最近どこかでA子にチンポをしゃぶられた人も連絡していただきたい。；しばらくそれに舌を這わせ、しゃぶっておいて顔を離すと、微笑した。；彼女は小さく口を開き、真九郎の制服の襟をムニャムニャとしゃぶっている。</t>
        </is>
      </c>
      <c r="J3795">
        <f>HYPERLINK("https://www.weblio.jp/content/しゃぶる", "词义详情")</f>
        <v/>
      </c>
      <c r="K3795">
        <f>HYPERLINK("https://yourei.jp/しゃぶる", "查看例句")</f>
        <v/>
      </c>
    </row>
    <row r="3796">
      <c r="A3796" t="inlineStr">
        <is>
          <t>しゃべる</t>
        </is>
      </c>
      <c r="B3796" t="inlineStr">
        <is>
          <t>成功</t>
        </is>
      </c>
      <c r="C3796" t="inlineStr">
        <is>
          <t>読み方：しゃべる
土砂・石炭・雪などをすくったり掘り起こしたりするのに用いる、さじ状の道具。ショベル。→スコップ
[補説]東日本では大型のものをスコップ、小型のものをシャベルといい、逆に西日本では大型のものをシャベル、小型のものをスコップということが多い。JIS規格では、上部が平らで、土を掘るとき足をかけられるものをショベル（シャベル）とし、上部がなだらかな曲線状のものをスコップとしている。また、土を掘りやすくするために先が尖っていているものをシャベル、雪かきをするための先がまっすぐなものをスコップと区別する場合もある。</t>
        </is>
      </c>
      <c r="D3796" t="inlineStr">
        <is>
          <t>しゃべるんです；しゃべるまい；しゃべるしゃべる</t>
        </is>
      </c>
      <c r="E3796" t="inlineStr">
        <is>
          <t>話；会話；お話；トーク；話し合い</t>
        </is>
      </c>
      <c r="F3796" t="inlineStr">
        <is>
          <t>べらべらしゃべる；向かってしゃべる；一言しゃべる</t>
        </is>
      </c>
      <c r="H3796" t="n">
        <v>29</v>
      </c>
      <c r="I3796" t="inlineStr">
        <is>
          <t>彼が一人きりで発見したことを相手にしゃべられることを恐れたからだ。；何かしゃべってでもいなければ我慢がならないような気分になってきた。；何かしゃべりながらまわりの枝を叩いて大きな音を立て立て歩いてくる。；連中のしゃべっていることときたら、連中自身にもわかっていないのだ。；自信のある強い口調でしゃべれたなら、もっと様になっていただろうが。；しゃべろうと思っても、意味を持つ言葉がまったく頭に浮かんでこない。；どれも酒はよく飲んだが、興味のあることはほとんどしゃべらなかった。；周りで起こっていることは完全に分かっているようだが、しゃべれない。；彼は一人でいる時にもしゃべろうとしたが、自分の言葉に彼はおびえた。；つまり、アメリカとイギリスのように同じ言葉を両方がしゃべればだが。；しかし彼と話をしているうちに日本語が分らなくなると英語でしゃべった。；どうやらふたりの女性らしいが、しゃべっているのはひとりだけだった。；しゃべらないけど、人の言う事をよくきいているし、観察もしています。；ただ注意しておくが、俺がヨットを持ってることを誰にもしゃべるなよ。；この二人の天文学の権威ある学者は、一体何をしゃべったのであろうか。；そのようすを想像しながら、イクは大人二人がしゃべるのを聞いていた。；もしあんな夢を見なかったら、こんな話をしゃべりゃしなかっただろう。；父親は、しゃべらずにはいられないもののように、また言葉をつづけた。；目を覚ましかけている人が目を覚ましかけている人にしゃべるようにだ。；奴は心臓の病気を持っているから、君が責めたらすぐにしゃべるだろう。；あの人たちはときどきぼくに聞こえないと思ってしゃべっているんだ。；かすが噛んだ本人の手から自身に付いた場合は本人がしゃべる事になる。；食事のあいだ男は何もしゃべらないので、あたしも黙って箸を動かした。；彼らのうち一人のほうだけがしゃべり、あとの一人は黙って見ていた。；けれ共灯のつくまでも千世子を相手にしゃべる事はあんまりしなかった。；一体どこの国に他国語の一つや二つしゃべれない海軍兵科将校があるか。；これからしゃべろうとすることは誰の耳にも入れてはならないはずのことだ。；わたしがしゃべったことが、単なる思いつきだとでも思っているのかね?；あなたは別に、洩らしていけないことをしゃべったわけではありません。</t>
        </is>
      </c>
      <c r="J3796">
        <f>HYPERLINK("https://www.weblio.jp/content/しゃべる", "词义详情")</f>
        <v/>
      </c>
      <c r="K3796">
        <f>HYPERLINK("https://yourei.jp/しゃべる", "查看例句")</f>
        <v/>
      </c>
    </row>
    <row r="3797">
      <c r="A3797" t="inlineStr">
        <is>
          <t>邪魔</t>
        </is>
      </c>
      <c r="B3797" t="inlineStr">
        <is>
          <t>成功</t>
        </is>
      </c>
      <c r="C3797" t="inlineStr">
        <is>
          <t>読み方：じゃま
［名・形動］(スル)《3が原義》
１妨げること。また、妨げとなるものや、そのさま。「—な物をかたづける」「勉強を—する」
２（「お邪魔する」の形で）訪問すること。「今晩お—してよろしいでしょうか」
３仏語。仏道修行の妨げをする悪魔。
[補説]書名別項。→邪魔</t>
        </is>
      </c>
      <c r="D3797" t="inlineStr">
        <is>
          <t>邪魔される；邪魔物；邪魔しよ；邪魔立て；邪魔いたし</t>
        </is>
      </c>
      <c r="E3797" t="inlineStr">
        <is>
          <t>問題；壁；困難；禁止；荷物</t>
        </is>
      </c>
      <c r="F3797" t="inlineStr">
        <is>
          <t>御邪魔；どんな邪魔；ひどく邪魔；とんだ邪魔；邪魔物扱</t>
        </is>
      </c>
      <c r="G3797" t="inlineStr">
        <is>
          <t>邪魔っけ；邪魔くさい；邪魔くさ；邪魔くさく；邪魔者は殺せ</t>
        </is>
      </c>
      <c r="H3797" t="n">
        <v>29</v>
      </c>
      <c r="I3797" t="inlineStr">
        <is>
          <t>防御用の観点から、これらの狭い通りは市を攻略するのに邪魔となった。；北側は地形の関係から、南側は樹木に邪魔されて視界はあまり良くない。；月と太陽が洞窟から出ようとしたとき大きな岩が邪魔をして出られない。；それを邪魔立てするつもりなら祖母の国との対決も辞さない覚悟だった。；しかし昭和になると車の出入りの邪魔となったことから、門は撤去された。；珍しい表現や難しい表現が本を読むことを邪魔しないようにした。；人の家にお邪魔した際に飲むように出されたお茶につかるのが定番化。；ビーマは羅刹を怖がって家族の眠りを邪魔することはできないと言った。；罪を許され京へ帰参するついでに、邪魔な与兵衛をも始末しに来たのだ。；成功し始めた彼女は、母親が芸能活動の邪魔をしないよう裁判所に訴えた。；文面の邪魔にならないように書類に印刷情報などを付加することができる。；しかし、第四期でエリオスに恋をすると二人の邪魔をすることは減った。；妻からは「あなたは邪魔だから台所に来ないで」と何度も怒られたという。；多くの装具と共に降下する空挺部隊等ではその長さが邪魔になっていた。；苦行者の邪魔をすることもあり、それが原因でシヴァ神に焼き殺された。；今度の滞在時には、王とアマーリエは誰にも邪魔されずに蜜月を過ごした。；他者から認識されやすく、当人の行動の邪魔にならない箇所に装着する。；政府の役割は、そのプロセスを邪魔しないように環境を整備することである。；戦国時代にはいると、直垂の袖すら邪魔となり肩衣という物が生まれた。；しかし、彼のスケジュールは一緒に仕事をするのを邪魔しているようだった。；両親からは最初は邪魔されたが、後に助けられるようになった。；この場合浅瀬に邪魔されてロシア艦が射程内に近づけないと思われた。；他人を気にして、他人を邪魔するようなことは一切やりません。；この羽根は地上で邪魔にならないように降下時には排除可能である。；自宅に帰ろうとするがなぜか洋一はそれを邪魔するかのように振舞う。；また、レーダーの邪魔にならないように降着装置は引込式になっている。；逆に効率を求めすぎるあまり、システムやスタイルが邪魔をすることもある。；加えて、最終操作時のスプリアス信号が利用可能な映像の伝達を邪魔した。；一説にエリザベスとの結婚に邪魔なキャサリンを暗殺したとする説がある。</t>
        </is>
      </c>
      <c r="J3797">
        <f>HYPERLINK("https://www.weblio.jp/content/邪魔", "词义详情")</f>
        <v/>
      </c>
      <c r="K3797">
        <f>HYPERLINK("https://yourei.jp/邪魔", "查看例句")</f>
        <v/>
      </c>
    </row>
    <row r="3798">
      <c r="A3798" t="inlineStr">
        <is>
          <t>三味線</t>
        </is>
      </c>
      <c r="B3798" t="inlineStr">
        <is>
          <t>成功</t>
        </is>
      </c>
      <c r="C3798" t="inlineStr">
        <is>
          <t>読み方：さみせん
⇒しゃみせん</t>
        </is>
      </c>
      <c r="D3798" t="inlineStr">
        <is>
          <t>三味線方(3%)；三味線筆頭(2%)；三味線弾き(2%)；三味線堀；三味線屋</t>
        </is>
      </c>
      <c r="F3798" t="inlineStr">
        <is>
          <t>太夫三味線；義太夫節三味線；立三味線；地歌三味線；琴三味線</t>
        </is>
      </c>
      <c r="G3798" t="inlineStr">
        <is>
          <t>三味線音楽；三味線屋の勇次；三味線草；三味線豊吉；三味線屋勇次</t>
        </is>
      </c>
      <c r="H3798" t="n">
        <v>29</v>
      </c>
      <c r="I3798" t="inlineStr">
        <is>
          <t>干した姿が三味線のばちに似ていることから、ばちことも呼ばれている。；幼い頃から三味線の音を聞き分け、調子を合わせることができたという。；十代の頃から師匠をしていた三味線はその後も衰えなかったと伝えられている。；両親は音楽を愛好し、宴の席では母が三味線、父が歌をよく歌ったという。；それぞれが三味線を持って演奏しながらしゃべるスタイルで人気を博した。；宮城の作曲した最初の器楽曲であり、三味線を用いた初めての作品である。；三味線の作品は手事ものがほとんどで、その他には端歌ものも作曲している。；仁太坊は生きていくために、寝食を忘れて自分独創の三味線に挑戦する。；日本では古くから三味線の棹などに使用される高級銘木の1種である。；現代では、胴に合成紙を張るなどした簡易版の三味線も製作されている。；この店が閉店し、名古屋の両親のもとで、一人前の三味線職人となった。；葵と楓は東京都出身の姉妹2人からなる日本の三味線姉妹ユニットである。；そうしていつしかお春は三味線を弾きながら物乞いをする女になっていた。；また、独奏が主体のため左利き用の三味線も他の流派よりも使われている。；芳子の三味線に合わせて踊り、脱いでいって細身の体をチラリと見せる。；現在では三味線の調弦に対応したチューニング・メーターも販売されている。；通天閣が三味線を持ってジャンジャンと弾いている姿を表現している。；弟子はいなかったが梅夫は自宅で三味線の師匠をしていた。；父の代までは三味線方の家系だったが、彼の代から唄方に転向した。；この時、ハルは手首の状態を気にしながらも自ら三味線を演奏した。；現在でも公演の際には大夫、三味線に関係者等の協力を仰いでいる。；俚奏楽は昭和期に成立した三味線を主体とした新邦楽の一種である。；三味線のバチも象牙で作られ、茶道具でも茶杓や掛け軸の軸に使われた。；三味線の師匠だった母から音楽的な影響を受ける。；皮を三味線にして肉をニャンバーグにして販売している。；生家の破産後両親が離婚し、母は三味線の師匠で生計を立てていた。；三味線製造に猫の皮が欠かせないため、猫が多数減り、鼠が増加する。；祖母の影響で、8歳から藤本流の三味線を始め、高校入学前には名取りになる。；明治7年には東京で大三味線を弾いたことで帝都でもその名が知られるようになった。</t>
        </is>
      </c>
      <c r="J3798">
        <f>HYPERLINK("https://www.weblio.jp/content/三味線", "词义详情")</f>
        <v/>
      </c>
      <c r="K3798">
        <f>HYPERLINK("https://yourei.jp/三味線", "查看例句")</f>
        <v/>
      </c>
    </row>
    <row r="3799">
      <c r="A3799" t="inlineStr">
        <is>
          <t>斜面</t>
        </is>
      </c>
      <c r="B3799" t="inlineStr">
        <is>
          <t>成功</t>
        </is>
      </c>
      <c r="C3799" t="inlineStr">
        <is>
          <t>読み方：しゃめん
傾斜している面。「山の—」</t>
        </is>
      </c>
      <c r="D3799" t="inlineStr">
        <is>
          <t>斜面地；斜面一帯；斜面全体；斜面沿い；斜面中腹</t>
        </is>
      </c>
      <c r="E3799" t="inlineStr">
        <is>
          <t>面；坂；岸；傾斜；勾配</t>
        </is>
      </c>
      <c r="F3799" t="inlineStr">
        <is>
          <t>急な斜面；北斜面；東斜面；緩斜面；西斜面</t>
        </is>
      </c>
      <c r="G3799" t="inlineStr">
        <is>
          <t>斜面林；斜面移送システム；斜面安定解析</t>
        </is>
      </c>
      <c r="H3799" t="n">
        <v>29</v>
      </c>
      <c r="I3799" t="inlineStr">
        <is>
          <t>境内は斜面にある為に石垣が設けられ、その上に建物が建てられている。；斜面の上部にはゴールと思われるオウムの頭部の石像が配置されている。；多くの谷の西斜面はシエラネバダから出た大きなモレーンを持っている。；駅の東側の山の斜面には線路に沿って京都縦貫自動車道が通っている。；これは、重い雪質の急な斜面である高田の地形から判断した結果である。；一方、斜面に着弾した擲弾に不発が多く見られたことも記録されている。；どちらの絵も、山体の北西側の斜面から観察したものであると推測されている。；地形には高低差があるが斜面にも建物を問題なく建てることができる。；鳴子峡の左岸の崖上は緩斜面が広がっており、街道はここに通じていた。；背後の斜面には石垣の一部が残存しており、往時の様子を現在に伝える。；その理由は、降雨量が豊富なことと、山地の斜面が急であるからである。；西側の山地斜面はから開墾されリンゴを中心とした果樹園となっている。；砂丘の南斜面に位置するため、ホームと駅前広場との間に高低差がある。；周壁の外側は放射状の構造をしており、なだらかな斜面を形成している。；噴火が始まったのは七島展望台と二男山の間にある斜面と考えられている。；藻岩山の北東面は直線状の斜面を形成し、豊平川扇状地面に接している。；そこはマサチューセッツ州内に頂上があるフリッセル山の南斜面にある。；このことが原因で、丘陵地や斜面を好むという誤解が生まれたのである。；しかし南斜面の南パラダは写真のとおり、トップシーズンでも雪は少ない。；産地は斜面が多く、ヘリコプターなどを使用して搬出されることもある。；ブドウ畑は川に面した南向きの斜面に位置していることが多い。；地形を利用して斜面の中腹に幅10-16メートルの空堀を備えていた。；木立の中の道を歩くことができるが、道の脇の斜面が急なので注意を要する。；主にアメリカ合衆国とカナダのロッキー山脈の東斜面にのみ産出する。；現在、地すべりを起こした斜面の崩落を防ぐために対策事業を行っている。；一方で、比較的新しい住宅では斜面にあってもほとんど被害を受けない例が見られた。；街は斜面の急な丘に造られているため、移動が困難な場所である。；東側はかつては海に面した斜面で、斜面の下を海沿いに東海道が通っていた。；駅は斜面の途中に設置されており、集落から坂道を少し上がった場所に駅がある。</t>
        </is>
      </c>
      <c r="J3799">
        <f>HYPERLINK("https://www.weblio.jp/content/斜面", "词义详情")</f>
        <v/>
      </c>
      <c r="K3799">
        <f>HYPERLINK("https://yourei.jp/斜面", "查看例句")</f>
        <v/>
      </c>
    </row>
    <row r="3800">
      <c r="A3800" t="inlineStr">
        <is>
          <t>砂利</t>
        </is>
      </c>
      <c r="B3800" t="inlineStr">
        <is>
          <t>成功</t>
        </is>
      </c>
      <c r="C3800" t="inlineStr">
        <is>
          <t>読み方：ざり
⇒じゃり（砂利）</t>
        </is>
      </c>
      <c r="D3800" t="inlineStr">
        <is>
          <t>砂利敷き；砂利輸送；砂利場；砂利浜；砂利道</t>
        </is>
      </c>
      <c r="E3800" t="inlineStr">
        <is>
          <t>小石；石ころ；砂礫；石子；玉砂利</t>
        </is>
      </c>
      <c r="F3800" t="inlineStr">
        <is>
          <t>白い砂利；砂利まじり；小さな砂利；砂利線；砂利混じり</t>
        </is>
      </c>
      <c r="G3800" t="inlineStr">
        <is>
          <t>砂利採取；砂利採取場；砂利山；砂利鉄道；砂利採取法</t>
        </is>
      </c>
      <c r="H3800" t="n">
        <v>29</v>
      </c>
      <c r="I3800" t="inlineStr">
        <is>
          <t>砂利を打つ跫音さへ一瞬にして静かな闇に置き代へられてゐたのだつた。；そして外に出ると、細い砂利の上を踏みながら入口の方へ歩いて行つた。；父はその石を拾ってみたがそれは何の不思議もない小砂利に過ぎなかった。；玄関脇の小砂利の上には形ちのよい自動車が主人を送って来て控えている。；駐車場はここから歩いて十分のところにある砂利が敷いてある空き地だ。；腐植土ばかりの世界では、工事用の砂と砂利とは非常に貴重な材料である。；それは背後のモリンドの浜辺と同じように黒っぽい砂利で覆われていた。；また少し離れた所には大きな土管がいくつも砂利の上にころがしてあった。；岩石を破砕した砕石は形状が丸みを帯びたものではなく砂利とは異なる。；入ってしまえばもう安心し、砂利の上で肱を張り張り歩いて左の方に行く。；かれらはうなりをあげる風に追われるように砂利の通りを駆け抜けた。；その広場には砂利の山があり、シャベルを持った工夫がはたらいていた。；砂利の連中も棒をもっていたとすると、十人がかりになるわけだね。；所々に壺穴の痕があって、その中には小さな円い砂利が入っていました。；所々に壺穴の痕があって、その中には小さな円い砂利が入ってゐました。；砂利を足の裏に痛くふみながら崖に沿って寺の境内へ登って行った。；また、庄内川付近で採取された砂利を市内へ輸送することもあったという。；又少し離れた處には大きな土管がいくつも砂利の上にころがしてあつた。；製造以来、28年に渡って員弁川から産出する砂利の輸送に使用された。；同時に線路の砂利・枕木・レールも交換したので、走行音も低くなった。；その土の上に、すぐ砂利を盛りましたから、一層いけなかったのです。；泥除けは、砂利や泥はね等から、搭乗者を守るために重要な装備である。；日本における砂利の利用は、関東地震頃から本格化したとされている。；外の砂利の上には、一頭のコップ馬が軽二輪荷車を引いて待っていた。；やがて、道路の左側に幅の広い、砂利を敷いた余地がある所まで戻った。；代助は一寸砂利の上に立ち留つたが、すぐ左へ切れて勝手口の方へ廻つた。；北部の高台は、砂と砂利の上に主に更新世の砂が積もった土地である。；なるほど、この生首の口のあたりには、いっぱいに砂利がついている。；たいして大きな川ではなく、われわれが渡ったあたりの川底は砂利だった。</t>
        </is>
      </c>
      <c r="J3800">
        <f>HYPERLINK("https://www.weblio.jp/content/砂利", "词义详情")</f>
        <v/>
      </c>
      <c r="K3800">
        <f>HYPERLINK("https://yourei.jp/砂利", "查看例句")</f>
        <v/>
      </c>
    </row>
    <row r="3801">
      <c r="A3801" t="inlineStr">
        <is>
          <t>車輪</t>
        </is>
      </c>
      <c r="B3801" t="inlineStr">
        <is>
          <t>成功</t>
        </is>
      </c>
      <c r="C3801" t="inlineStr">
        <is>
          <t>読み方：しゃりん
１車の輪。また、車。
２俳優が舞台を一生懸命に務めること。転じて、休むことなく一生懸命に物事をすること。大車輪。
「—になって、万事万端の世話を焼いた」〈芥川・枯野抄〉
３器械体操の鉄棒や平行棒などの技で大車輪のこと。</t>
        </is>
      </c>
      <c r="D3801" t="inlineStr">
        <is>
          <t>車輪式；車輪径；車輪付き；車輪石；車輪状</t>
        </is>
      </c>
      <c r="E3801" t="inlineStr">
        <is>
          <t>車；輪；環；拷問；ホイール</t>
        </is>
      </c>
      <c r="F3801" t="inlineStr">
        <is>
          <t>独立車輪；各車輪；巨大な車輪；径車輪；小さな車輪</t>
        </is>
      </c>
      <c r="G3801" t="inlineStr">
        <is>
          <t>車輪配置；車輪止め；車輪の軸；車輪の再発明；車輪軸</t>
        </is>
      </c>
      <c r="H3801" t="n">
        <v>29</v>
      </c>
      <c r="I3801" t="inlineStr">
        <is>
          <t>あまりに重いため、それらはのように車輪を備えていることもあった。；台車は、一つの織られた籠と頑丈な三片設計の車輪から構成されていた。；車輪を発明しており、木を使った車輪付きカタパルトの利用も見られる。；車輪の一番内側にはフランジが設けられており、脱線を防ぐ働きをする。；これは彼らが移動に使った車両の車輪が高大であったためとされる。；これは変速機部分をロックし、強制的に車輪を動かなくする機能である。；鉾同様に車輪を付け綱で引いて動かし、鉾のように囃子方も乗せている。；主脚は左右それぞれに二重車輪の脚柱を5本並べた10輪構成となっている。；車輪は板車4輪で他に戻し車を備え、屋台中段は般若の大幕で覆われる。；これは車輪がついた篭を前後の人間の力で移動させるものである。；車輪・レール・枕木を用いた全線開通の記念碑が駅前に建てられている。；また、レールや車輪等を除いて、部品は日用品から作られるものが多い。；降着装置は当初ソリなども検討されたが、結局普通の車輪に落ち着いた。；動力機構で発生させた動力を車輪に伝達する機構は様々なものがある。；砲口用と照準器用とで分かれた開口部や、車輪用の溝が設けられている。；車輪を使うタイプもあったが、現在は走行装置にクローラを備えたものが多い。；車輪間隔の広い主輪は外向きに翼内に格納され、尾輪はは完全に格納された。；左右の車輪に生じた回転差が一定以上になると差動を制限する方式。；それは相反する面が互いに運動する車輪の回転のようでもある。；写真に写っている錆びた車輪は岡平がその辺に落ちているのを拾ったもの。；これらには車輪を付けて移動可能にしたものもあった。；旧尾上駅のあった場所には線路と車輪を用いたモニュメントが設置されている。；艇体脇に引上式の車輪を持ち、補助的に陸地での離着陸も可能であった。；人間が抱えられる程度の大きさと重量で、車輪つきの脚で歩行、走行する。；また現在まで続く「稲穂と車輪に金星紅旗」の帽章もこの時制定された。；低重心化及び低床化のため車輪径810 mmの小径車輪が採用された。；先史時代にはがあったことが知られており、文明の早い時期から車輪が使われていた。；車輪が苦手な場所で、車輪の代わりに使われるものには次のようなものもある。；現在、司教区の車輪は赤、市の車輪は黒で、ともに銀地の上に描かれる。</t>
        </is>
      </c>
      <c r="J3801">
        <f>HYPERLINK("https://www.weblio.jp/content/車輪", "词义详情")</f>
        <v/>
      </c>
      <c r="K3801">
        <f>HYPERLINK("https://yourei.jp/車輪", "查看例句")</f>
        <v/>
      </c>
    </row>
    <row r="3802">
      <c r="A3802" t="inlineStr">
        <is>
          <t>しゃれる</t>
        </is>
      </c>
      <c r="B3802" t="inlineStr">
        <is>
          <t>成功</t>
        </is>
      </c>
      <c r="C3802" t="inlineStr">
        <is>
          <t>読み方：しゃれる
［動ラ下一］《動詞「しゃ（曝）る」の意からの派生という。「洒落」は当て字》
１服装や髪形などに気を使って身を飾る。おしゃれをする。「—・れて新年会に出かける」
２気がきいている。あか抜けしている。「—・れた店を出す」「この柄はなかなか—・れている」
３しゃれを言う。「—・れたつもりが通じなかった」
４生意気である。差し出がましいことをする。「—・れたまねをしやがる」</t>
        </is>
      </c>
      <c r="D3802" t="inlineStr">
        <is>
          <t>装う；身を包む；着こなす；着飾る；身を固める</t>
        </is>
      </c>
      <c r="H3802" t="n">
        <v>29</v>
      </c>
      <c r="I3802" t="inlineStr">
        <is>
          <t>多分その子には、どこがしゃれているのかは分からないだろうけれども。；その先に、しゃれた郊外レストランなどありそうにもない雰囲気だった。；それからぼくは、彼女を裸にして、前と後ろの舌の散策としゃれ込んだ。；その前にはしゃれた作りの西洋骨董ふうの小さなテーブルが置かれていた。；そこには屋根つきの回廊があり、しゃれた柱につるが巻きついています。；風のいたずらであろうが、なかなかしゃれた自然の遊びという他はない。；ここは当時、雑誌に何度も紹介されたぐらいしゃれた建物であった。；十歳まで生きられないはずの娘が、しゃれた制服の女子高校生になった。；自由で幸福だったころ、大いにはつらつ、としゃれて見えたやつだった。；アメリカの科学者の中にも、しゃれた研究をする男がいるものである。；労働組合なんて、そんなしゃれたものとは縁のない会社だから話は早いよ。；さてパーティの後、私とその人とは、それはそれはしゃれたバーに入った。；イタリアへの小旅行としゃれこんで集まったポーラ市の店員らしかった。；時計など洒落《しゃれ 》たものは持っていないので、星の位置を読む。；自分の死に際して、康臣はそんなしゃれをやってみたというのだろうか。；けっして都会のそれのようなしゃれた金網が張られているわけではない。；だから「片想い」としゃれているんですが、これも初めての試みでした。；郡司は彼の持っている駐車場や空きビルに、次々としゃれた店をつくった。；現在の中間小説にあたるのもあれば、しゃれた都会派風のもあったりした。；あんな娘をしゃれたレストランに連れて行くのは楽しみだな。；しかし、いま言ったように、案内係にはしゃれた服が必要だと考えたわけです。；あの男にそんなしゃれッ気がありそうにもないが、どうもそう取るのが一番自然だ。；しゃれた服から考えて、この近くの村の子ではないようだった。；自分が求めたのは、こんな風にしゃれて機能的な部屋ではない。；ぬぐってやろうにもハンカチなんてしゃれたもんはやっぱり持ってない。；出土した人形などから見ると、住民の風俗などなかなかしゃれたものである。；こんなしゃれをきみがその靴の底をすりへらすまでつづけるがいいさ。；けれども、野暮な人は、とかく、しゃれた事をしてみたがるものである。；出たとたんに、帰るところがなくなったんじゃしゃれにならない。</t>
        </is>
      </c>
      <c r="J3802">
        <f>HYPERLINK("https://www.weblio.jp/content/しゃれる", "词义详情")</f>
        <v/>
      </c>
      <c r="K3802">
        <f>HYPERLINK("https://yourei.jp/しゃれる", "查看例句")</f>
        <v/>
      </c>
    </row>
    <row r="3803">
      <c r="A3803" t="inlineStr">
        <is>
          <t>じゃんけん</t>
        </is>
      </c>
      <c r="B3803" t="inlineStr">
        <is>
          <t>成功</t>
        </is>
      </c>
      <c r="C3803" t="inlineStr">
        <is>
          <t>［名］(スル)片手で、石（ぐう）・紙（ぱあ）・はさみ（ちょき）のいずれかの形を同時に出し合って勝負を決めること。また、その遊び。石ははさみに、はさみは紙に、紙は石に勝つ。石拳(いしけん)。じゃんけんぽん。→拳(けん)2
[補説] 「両拳」の中国語音からともいう。</t>
        </is>
      </c>
      <c r="D3803" t="inlineStr">
        <is>
          <t>じゃんけん勝負；じゃんけんレンジャー；じゃんけんゲーム；じゃんけんバトル；じゃんけん対決</t>
        </is>
      </c>
      <c r="G3803" t="inlineStr">
        <is>
          <t>じゃんけんぽん；じゃんけん民；じゃんけん選抜；じゃんけんブルドッグ；じゃんけんしょうぎ</t>
        </is>
      </c>
      <c r="H3803" t="n">
        <v>29</v>
      </c>
      <c r="I3803" t="inlineStr">
        <is>
          <t>たとえば、遊びの前にルールが決められ、じゃんけんをすることがある。；結果的にじゃんけんに負けた九係が南側を担当することになった。；配置が完了したらじゃんけんなどで順番を決め、交互に行動を選択する。；どうしてこう、じゃんけんになると一手目がグーになってしまうのか。；各すくみの手が秘マークに変化した状態でじゃんけんに勝つと発動する。；じゃんけんも理解することができ人間の4歳児程度の知能を有するとされる。；じゃんけんをしたときの状況を、彼はいまでもよく覚えている。；虎雄の背が少し伸びたようだと信夫はながめながら、じゃんけんをした。；またトーナメントで同点になった際のじゃんけん対決の発案も提案した。；ベッドは一人は惠センパイとして、あと一人は じゃんけんで決めます?；このようなオスがメスをめぐる争いはじゃんけんのようだと言われる。；女の子は彼女の妹だろうか、二人はじゃんけんをしていた。；同金額の場合には、じゃんけんでそれに参加できる者を決定した。；通常のじゃんけんで禁止である後出しをルール化したのが特徴。；ちなみになぜ僕がやるかというと不本意ながらじゃんけんに勝ってしまったからである。；最初はじゃんけん等で、どの競技者又はチームがサーブをするかを決める。；ちょうどじゃんけんと同じで、父と母と馨には互いに強い相手と弱い相手があった。；一方、日本との接触が少ない所では、石・紙・鋏のじゃんけんは普及していない。；乗る側の全員が「馬」に乗った場合は、壁に立つ人とじゃんけんで勝負を決める。；江戸時代には、じゃんけんについて記載されている文献はほとんど存在しない。；組み合わせを決めるじゃんけんで、彼女が萌恵のペアに決まったのだ。；楽曲を歌唱する選抜メンバーは、じゃんけんのみにより決定されている。；ようやくじゃんけんで勝つとお菓子をもらえるお店を見つけて走り寄る。；じゃんけんで決めましょうと彼女は言い、そのとおりにふたりはじゃんけんをした。；じゃんけんなどで役割を決め、輪を作って運行を開始する。；誰もが知るじゃんけんを話の題材とキーワードにした作品。；じゃんけんで勝った方を代打で使うと決めていたようだ。；打順はじゃんけんで決定されたものであるが、時々変更される。；歌いながら客同士がじゃんけんをして、勝った者から好きなかんざしを一本取る。</t>
        </is>
      </c>
      <c r="J3803">
        <f>HYPERLINK("https://www.weblio.jp/content/じゃんけん", "词义详情")</f>
        <v/>
      </c>
      <c r="K3803">
        <f>HYPERLINK("https://yourei.jp/じゃんけん", "查看例句")</f>
        <v/>
      </c>
    </row>
    <row r="3804">
      <c r="A3804" t="inlineStr">
        <is>
          <t>ジャンル</t>
        </is>
      </c>
      <c r="B3804" t="inlineStr">
        <is>
          <t>成功</t>
        </is>
      </c>
      <c r="C3804" t="inlineStr">
        <is>
          <t>読み方：じゃんる
種類。領域。特に、文芸・芸術作品の様式・形態上の分類についていう。</t>
        </is>
      </c>
      <c r="D3804" t="inlineStr">
        <is>
          <t>ジャンル名；ジャンル別；ジャンル分け；ジャンルごと；ジャンルそのもの</t>
        </is>
      </c>
      <c r="E3804" t="inlineStr">
        <is>
          <t>型；種；類；種類；形態</t>
        </is>
      </c>
      <c r="F3804" t="inlineStr">
        <is>
          <t>幅広いジャンル；さまざまなジャンル；あらゆるジャンル；呼ばれるジャンル；新しいジャンル</t>
        </is>
      </c>
      <c r="G3804" t="inlineStr">
        <is>
          <t>ジャンルレス；ジャンルイジ・ドンナルンマ；ジャンルカ・ザンブロッタ；ジャンルカ・ヴィアッリ；ジャンルカ・ヴィアリ</t>
        </is>
      </c>
      <c r="H3804" t="n">
        <v>29</v>
      </c>
      <c r="I3804" t="inlineStr">
        <is>
          <t>主に同社独自のゲームジャンルであるリコエイションゲームで使われる。；一つの番組内でジャンルを限定しない幅広い内容を提供する番組である。；多くがゴールデンタイムに放送されており、現在の主力ジャンルである。；映画をジャンル分けする際の明確な定義というものがある訳ではない。；本シリーズはウォー・シミュレーションゲームのジャンルに分類される。；同委員会またはある特定ジャンルの大部分を無視していることで非難されている。；また、多くの異なるジャンルの作家と交流を持ち、共同で仕事をしている。；推理小説のなかではもっとも一般的でかつ古典的なジャンルである。；演劇を始め、テレビドラマ・映画とジャンル問わず幅広く活躍している。；現代の音楽は、様々なジャンルの複雑な合成になっていることが多い。；演奏はそのジャンルに応じた規則にある程度従って行われる。；また、これらのジャンルに分類される一部の商用ゲームでも採用されている。；登場当初は確定したジャンルが存在しなかったものも多い。；さらに個別のジャンル内においても、いくつもの種類の駒が使用される。；このため前者はC86、後者はC89からジャンルコードに指定された。；また、様々なポピュラー音楽でも応用され新しいジャンルが生まれた。；ビデオのレンタルを行う店には、様々なジャンルのビデオが並べられている。；一方で、諸星はジャンルを越えた多くの著名人の作品に影響を与えている。；さまざまなジャンルの商品のランキングを紹介するコーナー。；口伝集は各ジャンルの歌に関して書きつづったものだと考えられている。；それぞれの下位ジャンルについての詳細は、個別の記事を参照されたい。；物語性が非常に強く、擬音を用いるなど地歌では特殊なジャンルと言える。；テクニカルな曲構成を展開し、同ジャンルの発展に大きく貢献した。；現在発売されているパチンコ機のジャンルのほとんどは、このタイプである。；番組のジャンル別には下記のような出来事もあった。；人気は他のゲームジャンル・漫画にも影響を与えた。；その他の週刊誌では特定ジャンルの週刊誌が発売される曜日でもある。；芸能とは、芸術の諸ジャンルのうち人間をもって表現する技法のことである。；後代には文学上において詩歌以外の文学ジャンルを指す言葉になった。</t>
        </is>
      </c>
      <c r="J3804">
        <f>HYPERLINK("https://www.weblio.jp/content/ジャンル", "词义详情")</f>
        <v/>
      </c>
      <c r="K3804">
        <f>HYPERLINK("https://yourei.jp/ジャンル", "查看例句")</f>
        <v/>
      </c>
    </row>
    <row r="3805">
      <c r="A3805" t="inlineStr">
        <is>
          <t>種</t>
        </is>
      </c>
      <c r="B3805" t="inlineStr">
        <is>
          <t>成功</t>
        </is>
      </c>
      <c r="C3805" t="inlineStr">
        <is>
          <t>読み方：くさ
［名］
１物事が生じるもとになるもの。たね。材料。原因。多く「ぐさ」と濁り、複合語として用いる。「語り—」「質—」
２たぐい。種類。
「唐土(もろこし)、高麗(こま)と尽くしたる舞ども、—多かり」〈源・紅葉賀〉
［接尾］助数詞。物の種類を数えるのに用いる。
「二—づつ合はせさせ給へ」〈源・梅枝〉</t>
        </is>
      </c>
      <c r="D3805" t="inlineStr">
        <is>
          <t>種属；種試験；種ごと；種群；種レベル</t>
        </is>
      </c>
      <c r="E3805" t="inlineStr">
        <is>
          <t>目；元；部；型；もと</t>
        </is>
      </c>
      <c r="F3805" t="inlineStr">
        <is>
          <t>ある種；数種；近縁種；他種；樹種</t>
        </is>
      </c>
      <c r="G3805" t="inlineStr">
        <is>
          <t>種族；種々；種子；種牡馬；種目</t>
        </is>
      </c>
      <c r="H3805" t="n">
        <v>29</v>
      </c>
      <c r="I3805" t="inlineStr">
        <is>
          <t>こうした呼称からはある程度その種の特徴を窺い知ることが可能である。；世界で食用に栽培されている植物はおよそ2300種ほどとされている。；左側眼・右側眼の両方の種類がいて、種の中では向きが統一されている。；この標本が今日知られている全てのユーカリ属の種の基準となっている。；いったん口に入れた果物の種や皮などを再度口から出す行為は印象が悪い。；多くの細菌種は単一の細胞として存在しているが、例外も知られている。；刀は、武器の一種であり、剣の内でもとくに片側にしか刃のない物を指す。；この種のオーガズムが初めて報告されたのは脊髄損傷を持つ人々であった。；多数の未記載種が知られ、分類は今後も拡大するものとみられる。；陸上の無脊椎動物では、周囲が湿っていなければ活動できない種も多い。；これはソフトウェアがデジタルデータの一種であることに由来する。；レッドタイプとイエロータイプの中間種でピンクタイプなども存在する。；虫媒のみに頼る、または一部を虫媒とする花は16万種に及ぶとされる。；初期成長が早いことが注目され、人工林の樹種として利用されてきた。；胞子の分散には、哺乳類やある種のハエが関与しているといわれている。；その一方で、ある種の事態を表現する動詞や形容詞の文字も存在した。；ここでは、セリンプロテアーゼの一種であるキモトリプシンの例を示す。；天然に存在するもの以外にも数十種の放射性同位体が同定されている。；専門料理は技術であり、また特に高度なものは芸術の一種と捉えられることもある。；猫の耳のついた髪飾りあるいは演劇・コスプレのコスチュームの一種である。；工場などが目標のため、使用弾種も焼夷弾ではなく通常爆弾が中心だった。；ただし、それらの形態は、小さな形の種にとどまっていたものが多い。；これらの揺らぎが現在の宇宙に見られる全ての構造の種となる。；現在の生物学では、独立した種や品種は、独立した種の数に含めない。；さらに近縁種のユウレイボヤでもゲノムプロジェクトが行われている。；この中からは地球化学で と呼ばれる、地球上には存在しない岩種が発見された。；尚、現在では一種とされるシャチであるが、複数の種に分割する見解もある。；歌手の声は歌手それぞれの主要な声種および声域により分類される。；フランスでは関連グッズの売れ行きを含めて一種の社会現象となっている。</t>
        </is>
      </c>
      <c r="J3805">
        <f>HYPERLINK("https://www.weblio.jp/content/種", "词义详情")</f>
        <v/>
      </c>
      <c r="K3805">
        <f>HYPERLINK("https://yourei.jp/種", "查看例句")</f>
        <v/>
      </c>
    </row>
    <row r="3806">
      <c r="A3806" t="inlineStr">
        <is>
          <t>主</t>
        </is>
      </c>
      <c r="B3806" t="inlineStr">
        <is>
          <t>成功</t>
        </is>
      </c>
      <c r="C3806" t="inlineStr">
        <is>
          <t>読み方：あるじ
１一家の長。主人。「旧家の—」
２集団を統括する人。「一国一城の—」
３持ち主。「部屋の—」
４「饗設(あるじもう)け」に同じ。
「方違(かたたが)へに行きたるに、—せぬ所」〈枕・二五〉</t>
        </is>
      </c>
      <c r="D3806" t="inlineStr">
        <is>
          <t>主な勝ち鞍；主目的；主な目的；主機；主屋</t>
        </is>
      </c>
      <c r="E3806" t="inlineStr">
        <is>
          <t>父；君；先生；主に；神</t>
        </is>
      </c>
      <c r="F3806" t="inlineStr">
        <is>
          <t>事業主；主な産業；主體；主な舞台；主任務</t>
        </is>
      </c>
      <c r="G3806" t="inlineStr">
        <is>
          <t>主要；主人公；主人；主演；主催</t>
        </is>
      </c>
      <c r="H3806" t="n">
        <v>29</v>
      </c>
      <c r="I3806" t="inlineStr">
        <is>
          <t>提供されるサービスは主に計算処理とデータの保存・利用に大別される。；このような新しいアプローチは主にアメリカやイギリスで提唱された。；海水はその表面に波が立っていることが多く、これは主に風の作用である。；この高い金属存在量を説明するために、主に3つの理論が提唱されている。；現在の日本語で最も基本的な文字であり、主に次のような場面で用いられる。；現代では主に自身の性格やそれに基づいた相性を知るために利用する人がいる。；上の地図で不明瞭、または省略されている主な離島の所属は以下の通り。；主な海外で使用されている震度階級としては以下のようなものがある。；これは主に伝説と歴史に対するプラントの関心から生まれたものであった。；主に米国で使用される名称で、後述するテーブル筐体もこの一種とされる。；しかし、これ以降の時代には主に民衆から支持を得る形で小説が人気を得ていく。；主に国内農業で使用されるピックアップトラックや多目的車が製造されている。；第二次世界大戦以降は、主に第一次世界戦争と呼ばれるようになった。；当時は主に先輩や先生のモノマネなどで、共に校内の人気者だったという。；中小私鉄は主にJRの駅から離れた都市とJR駅を結ぶ役割のものが多い。；東京近郊の時計坂という町にある木造2階建ての建物で、本作の主な舞台。；サーバ用に使用される主なオペレーティングシステムには以下がある。；このマシンは主にそのハードウェアを中心に各種雑誌で広くレビューされた。；本シリーズに登場するアイテムは、主に次のように分類される。；部品事業部が展開していた主にホビー向けの流れを受けたシリーズ。；この期間の主な開発のひとつがタイムシェアリングシステムである。；主に宗教儀式やヒーリングのために演奏していたと考えられている。；売買対象は主に漫画や文庫本など大量出版され希少価値の低い書籍である。；現代医学の立場から言えば、女性は主に婦人科系の役割が重要である。；今日はゲール文字の一部として主に装飾的な目的で使用されている。；この氾濫原だけが居住に適しており、主な活動はナイル河畔で行われた。；サーバ機能を提供する主なソフトウェアの種類には以下がある。；主に以下のように分類されるが、厳密に区別できるわけではない。；同学園の生徒は当駅が設置される前までは主に田端駅か日暮里駅を利用していた。</t>
        </is>
      </c>
      <c r="J3806">
        <f>HYPERLINK("https://www.weblio.jp/content/主", "词义详情")</f>
        <v/>
      </c>
      <c r="K3806">
        <f>HYPERLINK("https://yourei.jp/主", "查看例句")</f>
        <v/>
      </c>
    </row>
    <row r="3807">
      <c r="A3807" t="inlineStr">
        <is>
          <t>週</t>
        </is>
      </c>
      <c r="B3807" t="inlineStr">
        <is>
          <t>成功</t>
        </is>
      </c>
      <c r="C3807" t="inlineStr">
        <is>
          <t>読み方：しゅう
［音］シュウ（シウ）（漢）
［学習漢字］2年
七日間で一めぐりする時間の単位。「週刊・週間・週休・週給・週日・週末／隔週・今週・先週・毎週・来週・一週間」</t>
        </is>
      </c>
      <c r="D3807" t="inlineStr">
        <is>
          <t>週替わり(5%)；週一回；週二；週期；週ごと</t>
        </is>
      </c>
      <c r="E3807" t="inlineStr">
        <is>
          <t>週間；ウィーク；ウイーク</t>
        </is>
      </c>
      <c r="F3807" t="inlineStr">
        <is>
          <t>最終週；週一；同じ週；一週；数週</t>
        </is>
      </c>
      <c r="G3807" t="inlineStr">
        <is>
          <t>週末；週刊誌；週刊；週刊少年ジャンプ；週刊文春</t>
        </is>
      </c>
      <c r="H3807" t="n">
        <v>29</v>
      </c>
      <c r="I3807" t="inlineStr">
        <is>
          <t>ここで挙げる一例の他にも、これまでに様々なテーマの週が行われている。；番組は週7日間の帯で放送されていたが、後に平日のみの放送へと移行。；この番組は、さまざまなその週にあったスポーツを振り返る番組である。；これは週のうち一定の日は領主同士武力で争う事を禁じたものであった。；また、特定の月の特定の週の月曜日と定められている国民の祝日もある。；まず週始めに表示される仕事一覧から、請け負う仕事と担当者を決める。；出るメンバーも限られているんで次の週とかぶらないようにやってたんですよ。；渡辺正行は聴取率調査週間の前の週に呼ばれることが恒例となっている。；高校時代は美術部をメインに活動し、週一回文芸部にも顔を出していた。；現役引退後もニューヨークで週に数回英語のレッスンを受けているという。；これらが放送されている間、本番組は週4日間の放送に縮小していた。；日本は年48回の週1回程度で、世界平均の103回の半分以下である。；牛ではウイルス蔓延を防ぐために病牛は治療はせず数週で死亡する。；かつて日曜日のパドック担当は蔵内担当の週と永井担当の週とがあった。；年に数回、送信施設の大規模なメンテナンスがある週は放送休止になる。；以下の大阪局のスポーツ担当アナウンサーが、原則週単位で担当。；そのためドイツでは週5日制の学校と週6日制の学校が混在している。；それ以外の開催週は参加6チームのうち最大で4チームが出場して試合を行う。；番組の後半には、週代わりで魚を使った料理と釣具を紹介するコーナーもある。；放送数週前に荒井班が担当する番組の情報ページにて番組の告知をしていた。；この番組は毎週、その週のニュースをドラマ仕立てで紹介するものだった。；数週遅れだったり、翌になってから放送されたり、放送が全く無い地域もあった。；しかし、ドラマの最終週で本来の歌唱力を披露すると大反響となった。；これは大学受験の必要がないことや普段は週6日制を採用していることにもよる。；週後半や週末を中心に、昼・夕方・深夜の報道番組を長期間担当していた。；また、テーマ別のゲストのみの通し企画週も頻繁に行われた。；以降番組は蛍原と週替わりのMCとの組み合わせで収録を行っている。；大半の球団は固定されているが、一部週ごとに割り当てを変える球団も存在する。；他リーグでは通常、前シーズン1、2位校のカードが最終週に組まれる。</t>
        </is>
      </c>
      <c r="J3807">
        <f>HYPERLINK("https://www.weblio.jp/content/週", "词义详情")</f>
        <v/>
      </c>
      <c r="K3807">
        <f>HYPERLINK("https://yourei.jp/週", "查看例句")</f>
        <v/>
      </c>
    </row>
    <row r="3808">
      <c r="A3808" t="inlineStr">
        <is>
          <t>私有</t>
        </is>
      </c>
      <c r="B3808" t="inlineStr">
        <is>
          <t>成功</t>
        </is>
      </c>
      <c r="C3808" t="inlineStr">
        <is>
          <t>読み方：しゆう
［名］(スル)公共のものでなく、私人が所有していること。個人の所有。「山林を—する」「—物」⇔公有。</t>
        </is>
      </c>
      <c r="D3808" t="inlineStr">
        <is>
          <t>私有物(10%)；私有化(4%)；私有車；私有民；私有教会</t>
        </is>
      </c>
      <c r="F3808" t="inlineStr">
        <is>
          <t>墾田私有；私有限度；私有鉄道；私有資産；私有農地</t>
        </is>
      </c>
      <c r="G3808" t="inlineStr">
        <is>
          <t>私有財産；私有貨車；私有コンテナ；私有財産制；私有化</t>
        </is>
      </c>
      <c r="H3808" t="n">
        <v>29</v>
      </c>
      <c r="I3808" t="inlineStr">
        <is>
          <t>国中を旅し有権者に自ら会ったことでは初めての大統領候補者となった。；私有関係の外に向けて、どこまでも出ていくための経路は、なになのか。；スウェーデン道路庁が大部分を管理しているが、私有のものも存在する。；すなわち財産は全国共有であって、私有の財産というものは少しもない。；駅舎は下の状態のまま保存されており、現在は私有物となっている。；その後それぞれの城はポーランド貴族たちの私有となっていった。；両税法は土地私有や私有財産制を大幅に認めたところに新しさがあった。；結局政府は土地の私有を認めざるを得なくなり、律令制度は崩壊した。；アキテーヌ王ルイの王国の別の部分は当時、完全私有の封土に成長した。；現にその人たちの私有物になっているところがたくさんあるのです。；現在の邸宅は私有住宅となっているため通常は公開されていない。；鶴屋家の私有山は我が北高から東に水平移動した場所に位置している。；建物の一部は払い下げられ現存しているが、私有であり見学不可である。；私有化され所有者が変わるうち、工場はいくつもの部門に分割されて今に至る。；土地の共同経営が廃止され、人頭権制による土地の私有を認められた。；今日では修道院の一部が公開されており、修道士たちの居住部分は私有である。；教会を私有するゴジが司祭となって二重の権威を帯びることもあった。；そこには他者の労働の一部を私有化するという行為がその根底にある。；そこはザクセン貴族ビルング家の私有教会設立のための土地であった。；今日では、私有の水源を持つ個人宅のみが昔のように地熱暖房をしている。；農民たちは地方分権化と私有の冬の牧草地の利用に向かって動いた。；このうち家人は、貴族・豪族などに私有され、その財産として扱われた。；大化改新の詔の第一条は、皇族及び貴族の私有民を解放せよと命じている。；郷鎮企業は農村集団所有であることが多いが、私有企業であることもある。；この頃になると墾田の私有が認められ、地方豪族の勢力はいっそう発展した。；ほかの私有物といっしょに送られるだろう、と書かれている。；むしろこの点では私有図書の退蔵の方が社会的に恕すべき点が多い位いだろう。；また大化前代の土地私有制の発展段階の相違が考慮されていることも明らかである。；私有、あるいは外国資本の生産施設は一切攻撃を受けていなかった。</t>
        </is>
      </c>
      <c r="J3808">
        <f>HYPERLINK("https://www.weblio.jp/content/私有", "词义详情")</f>
        <v/>
      </c>
      <c r="K3808">
        <f>HYPERLINK("https://yourei.jp/私有", "查看例句")</f>
        <v/>
      </c>
    </row>
    <row r="3809">
      <c r="A3809" t="inlineStr">
        <is>
          <t>銃</t>
        </is>
      </c>
      <c r="B3809" t="inlineStr">
        <is>
          <t>成功</t>
        </is>
      </c>
      <c r="C3809" t="inlineStr">
        <is>
          <t>読み方：じゅう
［常用漢字］　［音］ジュウ（慣）　［訓］つつ
弾丸を発射する小型の武器。「銃火・銃撃・銃口・銃身・銃傷・銃弾・銃砲／拳銃(けんじゅう)・小銃・短銃・猟銃・機関銃」
［名のり］かね</t>
        </is>
      </c>
      <c r="D3809" t="inlineStr">
        <is>
          <t>銃把；銃手；銃塔；銃隊；銃兵</t>
        </is>
      </c>
      <c r="E3809" t="inlineStr">
        <is>
          <t>鉄砲；筒；ライフル；小銃；ライフル銃</t>
        </is>
      </c>
      <c r="F3809" t="inlineStr">
        <is>
          <t>歩兵銃；機関銃；レーザー銃；連発銃；麻痺銃</t>
        </is>
      </c>
      <c r="G3809" t="inlineStr">
        <is>
          <t>銃声；銃弾；銃口；銃身；銃器</t>
        </is>
      </c>
      <c r="H3809" t="n">
        <v>29</v>
      </c>
      <c r="I3809" t="inlineStr">
        <is>
          <t>軽く取り回しがいいこの銃はすぐにドイツ軍部に採用され生産に入った。；われわれの剣は銃を捨てて即座に対応するための有効な武器ではないのだ。；今度はフジを気絶させた後、謎の銃を使って基地の機器を破壊していく。；そのためこの武器を紹介するときに銃の項目でなされることもある。；ただし銃の国内所持数が、かなりの数に及ぶ可能性が指摘されている。；この場合、一般に軽機関銃と称される銃の一部も自動小銃に含まれうる。；人々は怖れをなしたか、450丁もの銃で撃ちとめたとしたといわれる。；ベレッタ社は1945年のイタリア敗戦まで拳銃や機関銃を作り続けた。；兼ねてよりこの銃手が弾を込める間に時間を取られて接近を許すことが多い。；APSカップでは認定銃でなければ出場できないルールとなっている。；しかもその学生は乱射に使用した銃を合法的に購入したことが判明している。；また、どのような銃を使うにしても、射撃時の反動は非常に大きかった。；銃はボルトアクション式や半自動式のものが数多く商品化されている。；反面、本銃はノウハウのなさを露呈するような重大な欠陥も持っていた。；しかし、身分が上の美しい女性に恋したことから銃で自殺した。；銃が登場するシーンでは、登場人物が弾丸の残量について言及している。；つまり、ライフルグレネードを使う時には銃本体を使用できなかった。；銃を用いた猟にあたっての時間の制限及び場所の制限も定めている。；そんなある日、頭部を銃で撃たれた重傷の少年ヨハンが搬送されてくる。；最近では非実体弾を射出する各種の武装・装備を銃と呼称する事も増えている。；USP以降に発表された銃では、これが標準的な装備となるまでに浸透した。；彼は優秀ではなく、訓練中に左右を間違えたり、銃の扱いも散々であった。；銃が手軽に手に入る社会であるため、スイスでは自殺にも銃を用いる傾向がある。；運転手と銃手はどちらか一方でも欠けると指揮車が出撃できなくなる。；大きなラッパ型の銃を所持しており、それを使い、コング達を攻撃する。；私は青年諸君はこの大会の決定を生かすために断じて銃を持ってはならない。；許可の更新は3年ごとであり、銃ごとに更新しなければならない。；通常の歩兵銃に比べ、馬上で取扱いやすいように銃身が短くなっている。；銃はほとんどもっておらず、昔ながらの投げ槍を武器にしていた。</t>
        </is>
      </c>
      <c r="J3809">
        <f>HYPERLINK("https://www.weblio.jp/content/銃", "词义详情")</f>
        <v/>
      </c>
      <c r="K3809">
        <f>HYPERLINK("https://yourei.jp/銃", "查看例句")</f>
        <v/>
      </c>
    </row>
    <row r="3810">
      <c r="A3810" t="inlineStr">
        <is>
          <t>自由</t>
        </is>
      </c>
      <c r="B3810" t="inlineStr">
        <is>
          <t>成功</t>
        </is>
      </c>
      <c r="C3810" t="inlineStr">
        <is>
          <t>読み方：じゆう
［名・形動］
１自分の意のままに振る舞うことができること。また、そのさま。「—な時間をもつ」「車を—にあやつる」「—の身」
２勝手気ままなこと。わがまま。
３《freedom》哲学で、消極的には他から強制・拘束・妨害などを受けないことをいい、積極的には自主的、主体的に自己自身の本性に従うことをいう。つまり、「…からの自由」と「…への自由」をさす。
４法律の範囲内で許容される随意の行為。
[派生]じゆうさ［名］
[補説]2013年10月に実施した「あなたの言葉を辞書に載せよう。」キャンペーンでの「自由」への投稿から選ばれた優秀作品。◆仕事が終わった後の居酒屋で待っているもの。翔さん◆眠くなったら寝て、目覚めた時にベッドから出る生活。あぶちゃんさん◆自分以外の家族全員が1泊2日の旅行に出かけていて、好きなテレビやゲームし放題の状態。だがそれが2泊3日になると寂しさも加味され始め不自由になる。ともへいさん◆未知なる可能性を持ち、様々なことに対し選択する権利があること。aiさん◆「支配からの離脱」のために勝ち取るべきもの。「自分勝手」と誤用されやすい。あいらむさん◆法律に抵触せず、人に迷惑がかからない範囲であれば何でもしていい状況。あつこさん◆考える時間とそれを実行出来る金銭的余裕がある事。ゆうちくさん◆何ものにも囚われない透明な心持ちでいられる瞬間×時間のこと。ローテローゼさん◆得られた、と思った瞬間に失われてしまうもの。RiuichiHFさん◆無秩序な状態。おーじさん◆その行為、結果すべてにおいて自らが責任を負うことを前提として、何かについて自らが好きに選べる態様を言う。無責任に受け取れる身勝手、好き勝手とは一線を画する。kaoru3737さん◆ある枠組みの中で人間らしく生きる様。意思表示の可能範囲が大きい状態。当事者の内的意思と価値判断によって作用される、当人の置かれた環境の豊かさ。ツタヤさん◆人の目を気にしないこと。花に蝶さん◆世界とのしがらみが少ないこと。ギンジさん◆好きな時に好きな場所へ行けること。好きな時に会いたい人に会えること。Henさん</t>
        </is>
      </c>
      <c r="D3810" t="inlineStr">
        <is>
          <t>自由民権運動；自由奔放；自由化；自由時間；自由生活</t>
        </is>
      </c>
      <c r="E3810" t="inlineStr">
        <is>
          <t>暇；任意；自立；自治；自主</t>
        </is>
      </c>
      <c r="F3810" t="inlineStr">
        <is>
          <t>自由間接話法；自由競爭；自由に動き回れる；自由角度装填；自由に歩きまわれる</t>
        </is>
      </c>
      <c r="G3810" t="inlineStr">
        <is>
          <t>自由民主党；自由主義；自由度；自由契約；自由自在</t>
        </is>
      </c>
      <c r="H3810" t="n">
        <v>29</v>
      </c>
      <c r="I3810" t="inlineStr">
        <is>
          <t>メニューでプレイしたいゲームを選ぶ事で自由に変更することが出来た。；寄生虫はもともとは自由生活をする生物から進化したと考えられている。；どのカードをどの位置に置くのかはプレイヤーが自由に決める事ができる。；責任とは、社会的に見て自由があることに伴って発生する概念である。；これに続けて攻撃に必要な内容をスクリプト部分に自由に記述可能となる。；自由市民は自由市民の医師が診察し、奴隷は奴隷である医師が診察した。；何故ならその行為の原因は、行為者の自由な決定でないからである。；自由な行為・選択があることに伴い、それに応じた責任が発生する。；どこの政党を支持し投票をするかについては会員の自由となっている。；帰ってきてから突然意見を変えるという事態も、じゆうぶん考えられる。；しかし、20世紀に入ると国家の行動の自由を制限するようになった。；誰もが自由であり、誰もが他の者の諸権利に関与する権限はない。；その結果、知的創作物を誰でも自由に利用できると説かれることが多い。；特定アルコールは許可を受けずに誰でも購入して自由に使用することができる。；チャレンジプログラムのパーティーでは服装を自由としているものが多い。；スタイルや形態における実験が主題における新しい自由さに加わってきた。；人権、基本的自由を尊重する考え方は国連主要目的の柱の一つになった。；タイトル画面から自由にフェーズを選んでスタートすることが可能。；帝国内部での自由な移動と居住の保証が大英帝国隆盛の大きな要因となった。；この印刷機で、彼は生徒のために自由な読み物とクラスの新聞を印刷した。；全100面の中から最初のステージを自由に選んでスタート可能。；この規定は後にフランスで自由法説が興隆する伏線となるのである。；これにはじゆうぶん時間をかけて、丁寧な指導を受けることが望ましい。；彼を支持する人たちは自分達を自由な世界に属すと考えている。；今回の選挙は独立後のグルジアで最も自由な選挙のうちの一つだったと考えられる。；公式の設定は何一つなく、プレイヤー間で自由に設定、使用が認められている。；彼の鞭はしじゆう犬共の間でうなりつづけたが、殆どきき目がなかつた。；ブランドは現代版の自由なアメリカ人を表現していた。；彼女はおれの体をまさぐりはじめた、あそこっから何からそこらじゆう。</t>
        </is>
      </c>
      <c r="J3810">
        <f>HYPERLINK("https://www.weblio.jp/content/自由", "词义详情")</f>
        <v/>
      </c>
      <c r="K3810">
        <f>HYPERLINK("https://yourei.jp/自由", "查看例句")</f>
        <v/>
      </c>
    </row>
    <row r="3811">
      <c r="A3811" t="inlineStr">
        <is>
          <t>重圧</t>
        </is>
      </c>
      <c r="B3811" t="inlineStr">
        <is>
          <t>成功</t>
        </is>
      </c>
      <c r="C3811" t="inlineStr">
        <is>
          <t>読み方：じゅうあつ
［名］(スル)強い力で圧迫すること。強くおさえつけること。また、その力。「権力の—に屈する」
「—する畏怖の下に」〈梶井・温泉〉</t>
        </is>
      </c>
      <c r="D3811" t="inlineStr">
        <is>
          <t>重圧感(6%)；重圧下</t>
        </is>
      </c>
      <c r="E3811" t="inlineStr">
        <is>
          <t>圧力；プレッシャー</t>
        </is>
      </c>
      <c r="F3811" t="inlineStr">
        <is>
          <t>大きな重圧；精神的な重圧；心理的重圧；圧倒的な重圧</t>
        </is>
      </c>
      <c r="H3811" t="n">
        <v>29</v>
      </c>
      <c r="I3811" t="inlineStr">
        <is>
          <t>生活の脅威と重圧とがなかったために、いっまでも決心がつかなかった。；なんといっても一人の人間をかかえているというのは大変な重圧ですよ。；未来は見えるところに仲間のいないセンターの重圧から練習の成果が出ない。；そして、期待されることの喜びよりも重圧感を覚えてしまうのだった。；それとも心のどこかでそういう期待感に重圧を感じていたのかもしれなかった。；想像の緊張・重圧は常に、感情・気持ちの通常の流動を妨げるのである。；そんな三層にもなる重圧に耐えられず、明石は死を選んだのだろうか。；本人はこの変化を国王としての責任の重圧が原因だと主張している。；背から足の方にかけて重圧を感じたが、彼の頭部は灰の外に出ていた。；しかし、この精神的な重圧から来る疲れは、どうにも避けられなかった。；この二日間の重圧が疲労となって、ズシリと彼の肩にかかっているのだ。；その深い重圧の苦しみのうちに、だれのことを彼は考えていたか。；別に死体を見るのは初めてではないくせに、胸にかかる重圧は相当なものだった。；遠目に姉妹の両親を眺めたときの重圧は、今でもときどき夢に見るのだった。；自分が生活の糧を得なくてはいけないという重圧と、息子の将来への不安。；紅香は、こうやって子供の頃からジュウに精神的な重圧を加えてきた。；そうした重圧の中、内心の痛みは生活上の痛みの何千万倍にも及んだ。；これらの重圧が精神をゆがめ、理想の光景を投影したのではないだろうか。；彼もこの一ヶ月間は、自分と同じく、異常な重圧下に置かれていたはずなのに。；このところ、心の重圧のせいか、彼は上の空の状態でいることが多かった。；重圧から解放され、ほっとした者が自信を取りもどした言葉の調子だった。；それは普段の彼女が感じている重圧を、僕に想像させるのに十分な深いため息だった。；その深い重圧の苦しみのうちに、誰のことを彼は考えていたか。；ドズルの時はただ奇妙な重圧感が恐らく重い敵だろうと思わせただけであった。；上条の目が覚めた理由は単純で、体の上に何か重圧を感じたからだ。；その瞬間、重圧のようなものを感じてロレンスは体をのけぞらせてしまう。；それは陸軍の最高統率者の最後の責任であり、彼に加えられている重圧であった。；あまり自覚をしているつもりはなかったがやはり重圧からの解放感が広がっていく。；これがもしも枝分かれでもしていたら、重圧に負けて口を開いていただろう。</t>
        </is>
      </c>
      <c r="J3811">
        <f>HYPERLINK("https://www.weblio.jp/content/重圧", "词义详情")</f>
        <v/>
      </c>
      <c r="K3811">
        <f>HYPERLINK("https://yourei.jp/重圧", "查看例句")</f>
        <v/>
      </c>
    </row>
    <row r="3812">
      <c r="A3812" t="inlineStr">
        <is>
          <t>周囲</t>
        </is>
      </c>
      <c r="B3812" t="inlineStr">
        <is>
          <t>成功</t>
        </is>
      </c>
      <c r="C3812" t="inlineStr">
        <is>
          <t>読み方：しゅうい
１もののまわり。ぐるり。また、周辺。「—を木でかこまれた家」
２まわりの長さ。外周。「—五キロの島」
３円周の長さ。
４まわりの人や事物。「子供は—の影響を受けやすい」</t>
        </is>
      </c>
      <c r="D3812" t="inlineStr">
        <is>
          <t>周囲一帯；周囲腔；周囲温度；周囲三百六十度；周囲イオン化</t>
        </is>
      </c>
      <c r="E3812" t="inlineStr">
        <is>
          <t>側；近く；あたり；周辺；付近</t>
        </is>
      </c>
      <c r="F3812" t="inlineStr">
        <is>
          <t>血管周囲；慌てて周囲；素早く周囲；ぐるりと周囲；油断なく周囲</t>
        </is>
      </c>
      <c r="H3812" t="n">
        <v>29</v>
      </c>
      <c r="I3812" t="inlineStr">
        <is>
          <t>このようなことから川には魚が多く、周囲の人たちの漁場になっている。；洞窟の中は外よりも気温が低く、生物環境なども周囲とは大きく異なる。；見通しをよくするために周囲には広大なオープンスペースが設けられた。；駅舎は通路により周囲の建物に直結しており、直接道路には出られない。；傘を開くときは周囲に人がいない方に向けて、危険のないように注意する。；だが、周囲の色に引きずられて物の色が違って見えては困るであろう。；揚力が生じているとき周囲の空気にはどこかで必ず逆向きの運動が起きる。；一方、マーラーはその一徹な性格から周囲の反発を買うことも多かった。；周囲の温度が2度程度低いことからこれは高気圧性の嵐と考えられる。；駅周囲は閑静な住宅街となっており、中・低層のマンションも立地する。；家の周囲や内部に埋葬された擦文文化の墓制とは、かなりの違いが見られる。；陸上の無脊椎動物では、周囲が湿っていなければ活動できない種も多い。；逆に火の勢いが強くなると、周囲のものが熱などによって影響を受けやすい。；戻って来ないのではないかという周囲の心配をよそに9月8日に帰国した。；この二人の関係は、周囲の状況に影響を受け順調にはいかなかった。；墳丘の周囲は「結界石」と呼ばれる石の列によって二重に囲まれている。；中国伝統楽器を始めたきっかけはメンバーのほとんどが友達や周囲の影響だと答えている。；電線と周囲との距離をとることで空気を絶縁体として利用することも多い。；湖沼は、周囲を陸に囲まれ海と直接連絡していない静止した水の塊である。；玉音放送を聴く周囲の人々の雰囲気などで事情を把握した人が大半だった。；父母ともに子供が外国人との間に生まれた子であったことを周囲に隠していたという。；外耳は小さいが周囲の体毛が長いため、特に南部亜種では大きく見える。；続いて、ある領域の周囲にいくつかの領域がある場合を考える。；大吾は落合を発見するも、周囲は炎に囲まれ絶望的な事態となってしまった。；万物は宇宙の中心点である中心火の周囲を決まった軌道を通って周行するものとされた。；そのため火の周囲の温度が低下すれば火は消えやすい。；オスは単独で生活するか、優位のオスは群れの周囲に縄張りを形成する。；初登場時にもかかわらず周囲の人物は母の名前を知っていた。；周囲は、西北東の3方をメヒコ州に囲まれ、南にモレロス州と隣接する。</t>
        </is>
      </c>
      <c r="J3812">
        <f>HYPERLINK("https://www.weblio.jp/content/周囲", "词义详情")</f>
        <v/>
      </c>
      <c r="K3812">
        <f>HYPERLINK("https://yourei.jp/周囲", "查看例句")</f>
        <v/>
      </c>
    </row>
    <row r="3813">
      <c r="A3813" t="inlineStr">
        <is>
          <t>収益</t>
        </is>
      </c>
      <c r="B3813" t="inlineStr">
        <is>
          <t>成功</t>
        </is>
      </c>
      <c r="C3813" t="inlineStr">
        <is>
          <t>読み方：しゅうえき
事業などによって利益を得ること。また、その利益。「—をあげる」</t>
        </is>
      </c>
      <c r="D3813" t="inlineStr">
        <is>
          <t>収益率(4%)；収益源(3%)；収益化；収益構造；収益改善</t>
        </is>
      </c>
      <c r="E3813" t="inlineStr">
        <is>
          <t>入り；利益；上り；収入；上がり</t>
        </is>
      </c>
      <c r="F3813" t="inlineStr">
        <is>
          <t>大きな収益；期待収益；高い収益；莫大な収益；興行収益</t>
        </is>
      </c>
      <c r="G3813" t="inlineStr">
        <is>
          <t>収益金；収益力；収益事業；収益還元法；収益認識</t>
        </is>
      </c>
      <c r="H3813" t="n">
        <v>29</v>
      </c>
      <c r="I3813" t="inlineStr">
        <is>
          <t>高収益企業として新聞や雑誌ランキング記事の上位に名前を連ねている。；フェンリルはソフトウェアなどを販売することなどで収益を得てはいない。；鉄道事業には膨大な資金が必要であるが、収益発生までに時間がかかる。；この雑誌は収益を上げていたが、世界恐慌がクレイトンに打撃を与えた。；今日では顧客リストこそが収益と同義語であることが明らかになっている。；所有権とは、物の全面的支配すなわち自由に使用・収益・処分する権利。；ツアーは大きな収益を上げたが、ステージ外の問題に悩まされていた。；そして自己勘定取引がこの収益の大部分を占めると推定されている。；家畜生産量でも国内で最大級であり、牛が最も収益を上げる生産物である。；クラブ収益の一割にも満たない金のためにクラブの独立性を捨てるのか!；社会医療法人は、それらに加えて収益業務を行うことができるとされている。；そして収益と対応する費用の差として求められるのが利益である。；長年ラグナロクオンラインに依存していた収益体質が大きく変化した。；尚、会社の運営は学生たちに任されており、収益は大学の運営に使われていた。；これまでの活動で唯一の高収益を上げた仕事であった。；収益の中心は農薬事業であり、自社開発した農薬を世界中で販売している。；阪神・淡路大震災の際にも、Tシャツを販売して収益を支援活動にあてた。；さらに企業とも関係をもち、大きな収益を上げるようになった。；犯罪収益を源流とした資金が流入していた形跡は発見できなかった。；閲覧は無料で、広告を掲載することで収益を確保する予定だった。；これより以前にはイギリス東インド会社が自身で軍隊を保有しその収益から維持していた。；同作は1983年公開のインド映画で最も高い収益を上げた映画の一つとなった。；活動は寄付などの収益を伴うものもあるが、原則として無報酬で行われる。；収益改善を目指した沖縄進出も、約3ヶ月で撤退することとなった。；その後、更に転じて所領からの収益管理を意味するようになった。；短期の資金を集めて長期で運用する銀行の収益にマイナスに働く。；益金の額は、これら4つの収益の額の全部の合計としての総称の意味を持つ。；幕府の権威があったときは順調に収益があったとされる。；企業収益の改善が、名目賃金の改善に結びつくとは必ずしもいえない。</t>
        </is>
      </c>
      <c r="J3813">
        <f>HYPERLINK("https://www.weblio.jp/content/収益", "词义详情")</f>
        <v/>
      </c>
      <c r="K3813">
        <f>HYPERLINK("https://yourei.jp/収益", "查看例句")</f>
        <v/>
      </c>
    </row>
    <row r="3814">
      <c r="A3814" t="inlineStr">
        <is>
          <t>集会</t>
        </is>
      </c>
      <c r="B3814" t="inlineStr">
        <is>
          <t>成功</t>
        </is>
      </c>
      <c r="C3814" t="inlineStr">
        <is>
          <t>読み方：しゅえ
１多人数が集まること。しゅうかい。
「諸(もろもろ)の—の大衆(だいしゅ)に充(あ)つるに」〈今昔・三・二九〉
２衆徒・僧などが会合すること。また、その集まり。しゅうえ。
「衆徒講堂の庭に—して」〈義経記・五〉</t>
        </is>
      </c>
      <c r="D3814" t="inlineStr">
        <is>
          <t>集会所(13%)；集会場(5%)；集会室；集会施設；集会参加</t>
        </is>
      </c>
      <c r="E3814" t="inlineStr">
        <is>
          <t>会；大会；議会；集；会う</t>
        </is>
      </c>
      <c r="F3814" t="inlineStr">
        <is>
          <t>決起集会；追悼集会；学術集会；全校集会；伝道集会</t>
        </is>
      </c>
      <c r="G3814" t="inlineStr">
        <is>
          <t>集会条例</t>
        </is>
      </c>
      <c r="H3814" t="n">
        <v>29</v>
      </c>
      <c r="I3814" t="inlineStr">
        <is>
          <t>以前のように集会を開いて練り歩くことのできない場所となっている。；集会に参同することを許されない者は結社に加入することを禁じられる。；ゲッベルスは他党の何倍にもあたる数の党集会を組織することを心掛けた。；この事件が由来となって集会が開かれた場所はと名付けられた。；次の日は午前中に労働組合のデモや集会が行われ、午後はお祭りとなる。；国王が臨席する荘厳な全体集会があるが、この場では審議は行われない。；駅舎解体前までは地元住民の集会所やイベント広場として利用されていた。；後者については、現代の無教会主義集会の問題となっているようである。；この集会室の西側に面して3層吹き抜けで設けられているのが霊塔殿である。；この集会はヨーロッパ各国の急進派が一堂に会する大規模なものとなった。；稲荷講社の傘下に入ることで、合法的に集会を行うことも可能になった。；以来、彼らの集会で音楽を用いる習慣は多くの発展を重ねてきた。；また、発表の舞台も主として福祉関係の集会など、非常に限られている。；留学中の彼は、危険を冒して集会を行う反体制知識人とも接触を持った。；サユディスは、大規模集会を開いてこれらの目標を押し進めようとした。；アキレウスはその日以降、集会にも出ず、戦闘にも参加しなくなった。；この集会でジュリアーニは「決闘裁判をするのだ」と声を上げて求めた。；学内集会は、主に大学内で教授・学生が集まって行われる集会のことを指す。；彼らは集会時に黒いスーツや軍装風の服を着用することで知られる。；保存車両はなく、1両が自治会の集会所として転用されただけであった。；暴動の中で脅迫や無許可の集会などを理由に三度警察に拘束されている。；ただし、翌27日には立憲民主党候補の岡本章子の集会にも顔を出した。；愛と信念に支えられた政治集会を貴方に捧げるために集まったのです。；マルクスはパリの労働者集会にも参加し、労働運動の可能性を感じ始めた。；これは事件直後の6月の運動以後では最大規模の全国集会となった。；ハーラル3世は集会で自身を支持した貴族の意に沿う統治を行った。；集会の看板には「キリスト教巡回伝道者」と書くように厳しく依頼した。；なお、このライブは一般向けには公開されておらず、校内集会扱いとなった。；尚、音楽集会等では、このブロックの班毎に集合し活動を行うことが多い。</t>
        </is>
      </c>
      <c r="J3814">
        <f>HYPERLINK("https://www.weblio.jp/content/集会", "词义详情")</f>
        <v/>
      </c>
      <c r="K3814">
        <f>HYPERLINK("https://yourei.jp/集会", "查看例句")</f>
        <v/>
      </c>
    </row>
    <row r="3815">
      <c r="A3815" t="inlineStr">
        <is>
          <t>収穫</t>
        </is>
      </c>
      <c r="B3815" t="inlineStr">
        <is>
          <t>成功</t>
        </is>
      </c>
      <c r="C3815" t="inlineStr">
        <is>
          <t>読み方：しゅうかく
［名］(スル)
１農作物をとりいれること。また、とりいれたもの。「—が多い」「—の秋」「米を—する」
２何かをすることで得られた成果。「たいした—もなく取材から帰る」
[補説]書名別項。→収穫</t>
        </is>
      </c>
      <c r="D3815" t="inlineStr">
        <is>
          <t>収穫量(6%)；収穫期(4%)；収穫後(3%)；収穫時期(2%)；収穫できる</t>
        </is>
      </c>
      <c r="E3815" t="inlineStr">
        <is>
          <t>効果；成果；獲物；結晶；幸</t>
        </is>
      </c>
      <c r="F3815" t="inlineStr">
        <is>
          <t>秋の収穫；大収穫；大した収穫；収穫なし；たいした収穫</t>
        </is>
      </c>
      <c r="G3815" t="inlineStr">
        <is>
          <t>収穫祭；収穫の時；収穫体験；収穫逓増；収穫加速の法則</t>
        </is>
      </c>
      <c r="H3815" t="n">
        <v>29</v>
      </c>
      <c r="I3815" t="inlineStr">
        <is>
          <t>収穫用機械が本格的に導入されるのは1950年代になってからである。；生葉を利用するときは、必要に応じていつでも枝を切りとって収穫する。；植物を栽培して花や実を収穫し、市場に売却することなどができる。；江戸に限らず全国でもウナギは収穫されたため、どこでも食べられた。；実がつかない雄花も食べることができるので、収穫して料理に利用できる。；結晶池で塩が堆積した後は収穫機等で水平に塩の層を削り取り採塩する。；また、堅果の多くは収穫時期が限られるために、貯蔵する必要が生じた。；促成栽培とは、露地での栽培よりも成長・収穫・出荷を早くする栽培法。；秋からが収穫期で、翌年の初春を迎えるまで冬の間は長い期間収穫できる。；これは火事や竜巻よりも被害が大きく、その年の収穫に大きな影響が出る。；実りの秋から転じて、季節に関わらず収穫時期を秋と呼ぶことがある。；凶作は、栽培している農作物の収穫量が通常より極端に少ない状態のこと。；観光に最適な時期はブドウ収穫時期の10月で、ワイン祭りが行われる。；これは面積から算定した標準的な収穫高で、村単位で設定された。；収穫期は3月中旬から下旬の間で、機械を使わずに一本ずつ手で収穫する。；この時点で収穫することで、糖度と酸のバランスが最適になるのである。；基本的に秋に種をまいて、苗の状態で越冬させてから春に収穫をする。；また、ロープの先に鈎を付けた物を船の上や岸から投げて収穫する方法もある。；現在のところ人工栽培することができず、自然に発生したものを収穫する。；順次収穫できるようになるので、この間も追肥を欠かさないようにする。；メロンは世界中の温暖な地域で栽培され、各地で多くの収穫が上がっている。；韓国・朝鮮の農楽舞や中国のヤンガーも収穫に関係したものと言われている。；中国では清明節前に収穫された茶を明前茶と呼び、高級品に格付けされる。；このために大陸の西部と東部では同じ面積の土地であっても穀物の収穫量には大きな差ができる。；抑制栽培とは、露地での栽培よりも成長・収穫・出荷を遅くする栽培法。；平坦地は夏まきして秋から冬の間に収穫するのが一般的である。；以降の収穫周期を継続するかの判断は、採算が合うかで判断される。；一方春播き小麦は春に播いて、夏の終わりに収穫するのが一般的である。；収穫適期になると外側から葉茎が黄色から褐色に変化して枯れてくる。</t>
        </is>
      </c>
      <c r="J3815">
        <f>HYPERLINK("https://www.weblio.jp/content/収穫", "词义详情")</f>
        <v/>
      </c>
      <c r="K3815">
        <f>HYPERLINK("https://yourei.jp/収穫", "查看例句")</f>
        <v/>
      </c>
    </row>
    <row r="3816">
      <c r="A3816" t="inlineStr">
        <is>
          <t>就学</t>
        </is>
      </c>
      <c r="B3816" t="inlineStr">
        <is>
          <t>成功</t>
        </is>
      </c>
      <c r="C3816" t="inlineStr">
        <is>
          <t>読み方：しゅうがく
［名］(スル)学校に入って教育を受けること。また、在学していること。ふつう、義務教育についていう。</t>
        </is>
      </c>
      <c r="D3816" t="inlineStr">
        <is>
          <t>就学前(19%)；就学年齢(5%)；就学児童(4%)；就学者(3%)；就学期間</t>
        </is>
      </c>
      <c r="E3816" t="inlineStr">
        <is>
          <t>入学；進学；入校</t>
        </is>
      </c>
      <c r="F3816" t="inlineStr">
        <is>
          <t>就学先；就学時期；就学可能；早期就学；就学経験</t>
        </is>
      </c>
      <c r="G3816" t="inlineStr">
        <is>
          <t>就学率；就学生；就学猶予；就学義務；就学免除</t>
        </is>
      </c>
      <c r="H3816" t="n">
        <v>29</v>
      </c>
      <c r="I3816" t="inlineStr">
        <is>
          <t>日本では義務教育である小学校の就学年齢に満たない児童のことを表す。；この際に木村を強く推薦したのが林家就学時代の先輩の岩瀬忠震だった。；学齢とは学校に就学して教育を受けることが適切とされる年齢のことである。；この時点では14歳で、本来の就学年齢より1年早い高校入学となった。；特に農村部では女性が就学年齢である16歳から被害に遭うことが多い。；彼は、堅信礼を経た子供に教育を与え、事実上就学の義務を規定した。；ただし実際にはこれを大幅に外れた年齢の生徒も就学した。；就学年齢に達しているはずなのに、貧困のために学校へ行っていないのだろう。；当時6人の就学期の子供達にはヘルマン・ホルレンダーが教育を行った。；喜三太は戸長であり、自分の子を就学させないわけにはいかなかった。；また、一部だが従来の学士課程でも完全な自費就学の枠が増加しつつある。；実家での生活の場合にまだ就学中の弟妹が同居していることがある程度である。；義務就学ではなく、希望就学だったことの影響で、男女比の偏りがある。；すべての子供に6歳になった最初の秋学期から就学前学級に参加する。；主に就学中の音楽家の支援を行うのが目的の国際コンクールである。；それで中国語を覚え、そのうち就学年齢に達して日本語も話せるようになる。；もし就学していれば、地域の小学校に在学時の学籍が残っているはずである。；ところが、まだ就学前の子供だから、長さを測るなんてことできないわけ。；これは一般男性の魅力を高めるために女子は大学では就学を認められなかった。；なお、血液透析を受けながらの就業・就学は地域によっては可能である。；学齢成熟の考え方があることから、小学校の就学時期には幅を持たせている。；あの子が就学年齢に達していない場合はどうするか?；就学前から京都での子供向けのコンクールで3年間連続の金賞を受賞。；そのため多くの子どもは就学できずに働いており、女子は幼くして結婚させられている。；また都市と地方の就学状況は顕著な差が開いたままである。；就学も可能だがイギリスの学生査証のような正規留学は出来ない。；公園にいるのは就学前の小さな子供たちとその母親。；戦後焼け野原になった東京での就学環境は劣悪で特に住宅不足が社会的問題であった。；地区内には就学前学校2校、小学校5校、中学校2校、高校1校がある。</t>
        </is>
      </c>
      <c r="J3816">
        <f>HYPERLINK("https://www.weblio.jp/content/就学", "词义详情")</f>
        <v/>
      </c>
      <c r="K3816">
        <f>HYPERLINK("https://yourei.jp/就学", "查看例句")</f>
        <v/>
      </c>
    </row>
    <row r="3817">
      <c r="A3817" t="inlineStr">
        <is>
          <t>修学</t>
        </is>
      </c>
      <c r="B3817" t="inlineStr">
        <is>
          <t>成功</t>
        </is>
      </c>
      <c r="C3817" t="inlineStr">
        <is>
          <t>読み方：しゅうがく
［名］(スル)学問をおさめること。学んで知識を得ること。しゅがく。「子弟を英国で—させる」「—資金」</t>
        </is>
      </c>
      <c r="D3817" t="inlineStr">
        <is>
          <t>修学期間(7%)；修学院(5%)；修学年限(3%)；修学僧侶(2%)；修学支援(2%)</t>
        </is>
      </c>
      <c r="E3817" t="inlineStr">
        <is>
          <t>研究；学；勉強；学び；学問</t>
        </is>
      </c>
      <c r="F3817" t="inlineStr">
        <is>
          <t>修学館；静修学；修学時代；修学困難</t>
        </is>
      </c>
      <c r="G3817" t="inlineStr">
        <is>
          <t>修学院；修学院離宮；修学旅行列車；修学院村；修学院駅</t>
        </is>
      </c>
      <c r="H3817" t="n">
        <v>29</v>
      </c>
      <c r="I3817" t="inlineStr">
        <is>
          <t>若干名は全額自己負担で企業に入社せずに修学することも可能としている。；この種の作曲をするためには特殊な修学が必要とされています。；修士課程は独立して存在しないため、日本からの修学は注意が必要である。；蘇秦も張儀も共に修学時代彼と一緒に洛邑に放浪していた仲間であった。；学則とは、学校の在籍者の修学上必要な事項を定めた規則のことである。；卒業時に修学継続の意志がある場合は、研究生となり期限無く延長が出来る。；また愛する許婚者も、彼のめでたく修学して帰って来る日を待っている。；禅瀧寺に設けられた真言宗播磨中学林には多くの修学僧が収容されていた。；彼はのクルアーン・カレッジで修学しており、専攻は10のとであった。；また就職した場合も、大学の夜間課程などへの修学を支援する企業もある。；江さんは無事に修学を終えて帰国してしまったのだ。；対象となるのは義務教育の修学に必要な費用である。；日本での修学の後、自身の希望でスイスとイギリスの全寮制の学校で教育を受ける。；修学院のほうに親切なギター屋があるから行ってみればと。；「修学上の配慮が必要」とする医師の証明書も考慮して合格と判断している。；日本で修学している中国人留学生は、この地域の出身者が最多である。；そこへ行って学んだらインドの事情が分るだろうと思って、修学にまいりました。；ここに最も気の毒な最も哀れむべき者は下等の修学僧侶の生活である。；深は大とはその趣が異なっているが、これもまた修学の目標としなければならないものである。；魔法を使うには長期間の修学と訓練が必要だということを知らされていないのでしょうか?；大学入学に際し、大学修学能力評価試験を受験しなければならない。；特に利発の人であると二十八歳位でその修学を終って博士号をもらう人も稀にはあるです。；修学院の自宅に戻ったのは午前零時前だったと思う。；巨額の財産を相続したのを修学のための旅行に使用した。；開国504年に日本へ留学し、陸軍士官学校と陸軍戸山学校で修学した。；で、この入学を許されるということはただ修学坊主だけではない。；そのためもあって修学が同年齢より5年ばかり遅れて中央大学専門部法科に入学。；もし都合がつけば当時唯一の便利な医学校といってもよかった済生学舎に通って修学する。；良快和尚は君平9歳の折に死去するが、その後も延命院で修学したとされる。</t>
        </is>
      </c>
      <c r="J3817">
        <f>HYPERLINK("https://www.weblio.jp/content/修学", "词义详情")</f>
        <v/>
      </c>
      <c r="K3817">
        <f>HYPERLINK("https://yourei.jp/修学", "查看例句")</f>
        <v/>
      </c>
    </row>
    <row r="3818">
      <c r="A3818" t="inlineStr">
        <is>
          <t>習慣</t>
        </is>
      </c>
      <c r="B3818" t="inlineStr">
        <is>
          <t>成功</t>
        </is>
      </c>
      <c r="C3818" t="inlineStr">
        <is>
          <t>読み方：しゅうかん
１長い間繰り返し行ううちに、そうするのがきまりのようになったこと。「早寝早起きの—」
２その国やその地方の人々のあいだで、普通に行われる物事のやり方。社会的なしきたり。ならわし。慣習。「盆暮れに贈り物をする—がある」
３心理学で、学習によって後天的に獲得され、反復によって固定化された個人の行動様式。
[用法]習慣・慣習——「土地の習慣（慣習）に従う」「これまでの習慣（慣習）を破る」など、ならわし・しきたりの意では相通じて用いられる。◇「習慣」は「毎朝のジョギングを習慣にしている」「イスラム教徒の女性はベールをつける習慣がある」など、個人的な事柄にも、社会的な事柄にも使う。◇「慣習」は「村の慣習として、祭りの当番は持ち回りにする」「慣習法」など、社会的に行われているものをいう。◇類似の語「しきたり」「ならわし」は、「町のしきたり」「世のならわし」のように「慣習」とほぼ同じ意。</t>
        </is>
      </c>
      <c r="D3818" t="inlineStr">
        <is>
          <t>習慣的(4%)；習慣化；習慣性；習慣どおり；習慣づけ</t>
        </is>
      </c>
      <c r="E3818" t="inlineStr">
        <is>
          <t>風；性；実際；伝統；実行</t>
        </is>
      </c>
      <c r="F3818" t="inlineStr">
        <is>
          <t>古い習慣；思考習慣；商習慣；そういう習慣；悪い習慣</t>
        </is>
      </c>
      <c r="G3818" t="inlineStr">
        <is>
          <t>習慣法；習慣流産；習慣病</t>
        </is>
      </c>
      <c r="H3818" t="n">
        <v>29</v>
      </c>
      <c r="I3818" t="inlineStr">
        <is>
          <t>彼はまた、万年筆で慎重に原稿を書く習慣があることでも知られていた。；やでのリデル三姉妹を連れてのボート遊びは、一種の習慣となっていた。；スペイン王太子がアストゥリアス公を称する習慣もこれに由来している。；現在では特に子供に金銭を与える習慣及びその金銭の意で用いられている。；晩年になるとじっとしていられない習慣が悪化、急速に老けていった。；イタリアでは滋養のあるものや重い食べ物を木曜日に食べる習慣がある。；また、世俗主義はそれら三つの理念を推進する習慣と言うこともできる。；どちらを選ぶかは関連する文章やその言語の習慣によるものとする。；そのため、提示部には習慣的な反復記号が付けられているものが多い。；食事にワインを合わせる習慣があり、基本的にはその土地のワインを飲む。；習慣的な有酸素運動やカフェインの減量はよく不安の治療に用いられる。；ある数学定数を表すために広く習慣的に使われる記号がいくつかある。；死後の戒名の習慣は仏教国のなかでも日本にしかない独特のもの。；古くからクジラから採取した肉や皮を食べる習慣がある国や地域が存在する。；世界各地に同様の習慣、つまり昼食と夕食の間に間食をとる習慣がある。；これは局の途中で嶺上牌がこぼれて見えてしまうのを防ぐための習慣である。；どのような言葉が挨拶に用いられるかは、その文化圏の言語習慣に依存する。；これは、四旬節に入る前に卵を残さないために生じた習慣でもある。；インドネシア人は、職場や学校へ行く時に弁当を持っていく習慣がない。；しかし、従来の習慣から、旧来のFTPを利用しているユーザーは多い。；立体的な像を原則避ける習慣には、偶像崇拝を避ける意図があるとされる。；他では、島の2つの地域は、文化や習慣のほぼすべての要素を共有している。；また、オーストラリアやアフリカでも大型のクモを食べる習慣があるという。；これは、習慣となったものであり、明文化された資料等は確認されていない。；米国などでは、コイントスで決めるのが習慣になっている州もある。；各国代表が習慣的に贈答品の交換を行っているうちに贈呈されるようになった。；恒子に女は男衆が食事を済ませてから頂く、この辺の習慣だと言われる。；エスキモーは客人へのもてなしとして自分の妻を提供する習慣があった。；この習慣は、父がしつけの家訓とした四カ条の一つに由来していた。</t>
        </is>
      </c>
      <c r="J3818">
        <f>HYPERLINK("https://www.weblio.jp/content/習慣", "词义详情")</f>
        <v/>
      </c>
      <c r="K3818">
        <f>HYPERLINK("https://yourei.jp/習慣", "查看例句")</f>
        <v/>
      </c>
    </row>
    <row r="3819">
      <c r="A3819" t="inlineStr">
        <is>
          <t>週間</t>
        </is>
      </c>
      <c r="B3819" t="inlineStr">
        <is>
          <t>成功</t>
        </is>
      </c>
      <c r="C3819" t="inlineStr">
        <is>
          <t>読み方：しゅうかん
１1週のあいだである7日間。「—天気予報」→週
２特別な行事などを行う7日間。「交通安全—」</t>
        </is>
      </c>
      <c r="D3819" t="inlineStr">
        <is>
          <t>週間後(8%)；週間前(5%)；週間シングル(5%)；週間チャート(4%)；週間アルバム(2%)</t>
        </is>
      </c>
      <c r="E3819" t="inlineStr">
        <is>
          <t>週；ウィーク；ウイーク</t>
        </is>
      </c>
      <c r="F3819" t="inlineStr">
        <is>
          <t>一週間；オリコン週間；何週間；二週間；三週間</t>
        </is>
      </c>
      <c r="G3819" t="inlineStr">
        <is>
          <t>週間予報</t>
        </is>
      </c>
      <c r="H3819" t="n">
        <v>29</v>
      </c>
      <c r="I3819" t="inlineStr">
        <is>
          <t>また、この数週間後には治療のため前歯を全て抜くことも決定していた。；その数週間後にイギリスとナポレオンのフランスとの間に戦争が勃発した。；先に発表されたのは小説であり、その数週間後に映画が公開された。；これは実行され、数週間後にSACは大統領の科学諮問委員会となった。；最初の実施要綱は同年10月に国民精神作興週間とセットで定められた。；ただ、この際に逮捕されたユダヤ人は、数週間で釈放された者が多い。；カロライナ植民地領主は決定的な危機は最初の数週間だったと信じていた。；オリコン週間アルバムランキングでは初の2週連続の首位獲得となった。；自身2作連続となるオリコンの週間シングルランキング首位を獲得した。；隆の里が好きなだけ食べる日は数週間に一度だけであったという。；一説によると軍への入隊期間は数週間にも満たなかったとも言われる。；執筆は各年ともローマで行われ、日本で行う作業の期間は数週間ほどだったという。；その後数週間から数か月程度で一般市民と変わらない生活に移行する。；その後の数週間のうちに、乗組員達は船から出来る限りの物を運び出した。；シングルは、オリコン週間シングルランキングで最高位5位を獲得した。；事態が深刻化してから数週間、政府は何の対策もとらなかった。；進行性で治療に抵抗性のものでは数週間で死に至るものもある。；熱狂的な証拠探しが広く行われ、数週間のうちにこの噂は国際的な現象となった。；感染が改善するまでに数週間かかることがあり、再発が一般的である。；副作用で障害を受けた骨髄も数週間後には回復したが、結局再発死亡した。；メイン企画となってからはひとつの企画を数週間にかけて放送するようになっている。；モンタギューは親戚に会いに来たが数週間後の議会にも出席するだろうと答えた。；カーニバル期間中とその前の数週間は、水掛けのいたずらが行なわれる。；しかし治癒するまでに数週間、場合によっては数ヶ月もかかることがある。；より厳しい食料制限が始まり、最近数週間の雰囲気が変わってきた。；台風シーズンになると、毎年のように数週間以上船が動かせなくなることもある。；今では、船でのアクセスは夏の数週間に限られ、また特別の許可が必要である。；この遺体は後に数週間前に誘拐されて殺害された10代の女性のものであると特定された。；さらに次男のアブドゥウラー・アフタフも父の亡くなった数週間後に亡くなった。</t>
        </is>
      </c>
      <c r="J3819">
        <f>HYPERLINK("https://www.weblio.jp/content/週間", "词义详情")</f>
        <v/>
      </c>
      <c r="K3819">
        <f>HYPERLINK("https://yourei.jp/週間", "查看例句")</f>
        <v/>
      </c>
    </row>
    <row r="3820">
      <c r="A3820" t="inlineStr">
        <is>
          <t>週刊誌</t>
        </is>
      </c>
      <c r="B3820" t="inlineStr">
        <is>
          <t>成功</t>
        </is>
      </c>
      <c r="C3820" t="inlineStr">
        <is>
          <t>読み方：しゅうかんし
1週間に1回発行される雑誌。時事問題のほか雑多な種類の記事を載せ、実用性・娯楽性を兼ねるものが多い。</t>
        </is>
      </c>
      <c r="D3820" t="inlineStr">
        <is>
          <t>週刊誌記者；週刊誌等；週刊誌ブーム；週刊誌連載；週刊誌ネタ</t>
        </is>
      </c>
      <c r="F3820" t="inlineStr">
        <is>
          <t>一部週刊誌；漫画週刊誌；某週刊誌；系週刊誌；少年週刊誌</t>
        </is>
      </c>
      <c r="H3820" t="n">
        <v>29</v>
      </c>
      <c r="I3820" t="inlineStr">
        <is>
          <t>ここでは新聞などでは報じられていない週刊誌などの情報を記していく。；近年は週刊誌の連載コラムやインタビューなどが主な仕事となっている。；私は立って、部屋の反対側のテーブルから、問題の週刊誌を持ってきた。；そしてその記事に触発されて、週刊誌が取材して二ページの記事にした。；週刊誌の記事を読むまでもなく、こういうことは現実にある話なのだ。；最も多忙な時期で月刊誌・週刊誌あわせて5本の連載作品を持っていた。；その後は数々の週刊誌の表紙を飾りバラエティ番組やドラマに多数出演。；基本的には一般には公表されないものだが、週刊誌や書籍等で発表されている。；現夫・大和田獏との結婚直後の頃に、週刊誌でオールヌードを披露した。；むろん、日美香はその週刊誌の表紙を飾っている男のことを知っていた。；新聞から週刊誌に移行し、それと合わせてWebサイトは随時更新した。；週刊誌に女性との赤裸々なLINEメッセージが暴露され話題となった。；ー その日に発売される週刊誌の記事をピックアップして紹介する。；週刊誌での連載ではあるが、前作に続き本作も月一回掲載の連載形式をとっていた。；その他の週刊誌では特定ジャンルの週刊誌が発売される曜日でもある。；伊奈はシートに腰をおろして、膝の上で週刊誌のページを開いていた。；実の弟である大森南朋も夫婦の秘密を明らかにする週刊誌記者役で出演している。；週刊誌の記事では「郊外の私鉄」となっていたが、小田急線だったのだ。；大塚は取材に「週刊誌からの指摘で確認し、すぐに返金した」と述べた。；離婚やこの家屋のことは、当時テレビや週刊誌で何度も報道された。；これは新聞や週刊誌でも大々的に報道され、大いにうらやましがられた。；週刊誌連載が終わってどのくらい経った頃であったろうか。；その後しかし、週刊誌には、女房の写真もぼくの写真も出なかった。；嫌だな、あの話は週刊誌なんかでさんざん書きつくされたじゃないですか。；いくつかの週刊誌なども取材を行いこの件を記事にした。；教育雑誌・週刊誌などへの寄稿を経て、現在は書籍執筆を中心に行う。；一方、週刊誌の多くは実名や顔写真を掲載しセンセーショナルに報じた。；週刊誌なくしてしまったし、それにその人の名前も忘れてしまった。；選挙マニアでもあり、週刊誌にて選挙の議席予想を行ったこともある。</t>
        </is>
      </c>
      <c r="J3820">
        <f>HYPERLINK("https://www.weblio.jp/content/週刊誌", "词义详情")</f>
        <v/>
      </c>
      <c r="K3820">
        <f>HYPERLINK("https://yourei.jp/週刊誌", "查看例句")</f>
        <v/>
      </c>
    </row>
    <row r="3821">
      <c r="A3821" t="inlineStr">
        <is>
          <t>周期</t>
        </is>
      </c>
      <c r="B3821" t="inlineStr">
        <is>
          <t>成功</t>
        </is>
      </c>
      <c r="C3821" t="inlineStr">
        <is>
          <t>読み方：しゅうき
循環して起こる現象や動作が、ひと回りして前と同じ状態になるまでの時間・期間。「月経の—」「地球の自転—」</t>
        </is>
      </c>
      <c r="D3821" t="inlineStr">
        <is>
          <t>周期性(8%)；周期軌道；周期進行波；周期倍化；周期アトラクター</t>
        </is>
      </c>
      <c r="E3821" t="inlineStr">
        <is>
          <t>期；期間；リズム；循環；サイクル</t>
        </is>
      </c>
      <c r="F3821" t="inlineStr">
        <is>
          <t>光周期；短い周期；同じ周期；年周期；長い周期</t>
        </is>
      </c>
      <c r="G3821" t="inlineStr">
        <is>
          <t>周期表；周期彗星；周期点；周期関数；周期函数</t>
        </is>
      </c>
      <c r="H3821" t="n">
        <v>29</v>
      </c>
      <c r="I3821" t="inlineStr">
        <is>
          <t>それまでは305日周期の変化を発見しようと努力していたからである。；専門家はこの地域での同様の地震は100年周期で起こると主張している。；追加される周期は、第7周期よりも多くの元素を含むことが予想される。；の中に存在する安定周期点の領域は周期窓あるいは単に窓と呼ばれる。；格子状に配置されていない場合は、非正規配置または非周期配置と呼ぶ。；太陽暦とは、地球が太陽の周りを回る周期を基にして作られた暦である。；この索餌活動の日周期性は餌となる生物の活動時間帯と深い関連がある。；周期項を無視し、長い期間にわたって平均すると両者は以下の関係にある。；この理論では極の位置は約305日の周期で変化するものと結論されていた。；なお、一部車両においては以下に記載の検査周期から変更されている。；また、この周期とは別に、約40年の長い周期を持つと考えられている。；真の北極は428日の周期で反時計まわりに回っていることが分かる。；次の表の各行は、説明したように周期性を示していることが分かる。；のとき、カオス軌道とは別に、あらゆる周期の周期軌道も存在している。；火山の周辺では周期別にいくつかの種類の精密な地震計を設置して観測を行う。；窓の幅は、周期3の窓が最も広く、周期が大きいほど幅は狭まっていく。；合は周期性を持つため、年代の整理に用いようとするものも現れた。；またこのとき、大出現は33年周期ではないかとの仮説が立てられた。；それらの観測から地磁気が約10年の周期で変動していることを発見した。；また、得たデータをもとにした活動の周期の特定も目的とする。；これは超短周期惑星と呼ばれる惑星候補の初めての検出例であった。；同周期内の原子同士では、原子番号が大きくなるほど半径は小さくなる。；原子周期が整合した原子面どうしの接触では、一般に結合力は強くなる。；変光しているか否かは定かではないものの、74日の周期で振動している。；その一方で、今まで食を作らなかった周期が新たな系列となって食を起こすようになる。；長期にわたる記録を整理して、食の発生に周期性があるのを発見したためである。；しかし周期は完全ではなく、様々な要因によって少し違った出来事が起こる。；数十分から数時間の周期性を持つ生物の行動・生理現象である。；大規模地震では周期が数百秒を超える地震動や地球自由振動も観測される。</t>
        </is>
      </c>
      <c r="J3821">
        <f>HYPERLINK("https://www.weblio.jp/content/周期", "词义详情")</f>
        <v/>
      </c>
      <c r="K3821">
        <f>HYPERLINK("https://yourei.jp/周期", "查看例句")</f>
        <v/>
      </c>
    </row>
    <row r="3822">
      <c r="A3822" t="inlineStr">
        <is>
          <t>衆議院</t>
        </is>
      </c>
      <c r="B3822" t="inlineStr">
        <is>
          <t>成功</t>
        </is>
      </c>
      <c r="C3822" t="inlineStr">
        <is>
          <t>読み方：しゅうぎいん
１日本国憲法のもとで、参議院とともに国会を構成する両院の一。総選挙で選出された、全国民を代表する議員で組織される。解散のあることが参議院と異なるが、法律の再議決、予算の先議・議決、条約の承認などについて優越した地位を有する。→参議院
２明治憲法下で、貴族院とともに帝国議会を構成した一院。</t>
        </is>
      </c>
      <c r="D3822" t="inlineStr">
        <is>
          <t>衆議院本会議(6%)；衆議院予算委員会(3%)；衆議院内閣委員；衆議院不当財産取引；衆議院法務委員会</t>
        </is>
      </c>
      <c r="F3822" t="inlineStr">
        <is>
          <t>衆議院決算；衆議院運輸；衆議院予算委員長；衆議院農林水産；衆議院行政監察</t>
        </is>
      </c>
      <c r="G3822" t="inlineStr">
        <is>
          <t>衆議院議長；衆議院解散；衆議院議員総選挙；衆議院選挙；衆議院議員選挙</t>
        </is>
      </c>
      <c r="H3822" t="n">
        <v>29</v>
      </c>
      <c r="I3822" t="inlineStr">
        <is>
          <t>参議院も衆議院と同様に全国民を代表する選挙された議員で組織される。；衆議院が予算の先議権を有することは大日本帝国憲法でも規定されていた。；衆議院では民社党から自由民主党に転じた塚本三郎などを支援してきた。；衆議院では、参議院からの修正回付案に同日同意が与えられ、成立した。；旧・国民民主党の存在した期間に衆議院の選挙は存在しなかった。；事実上、衆議院の議決で過半数を得た候補が内閣総理大臣に指名される。；内閣不信任決議可決当日に衆議院を解散しなかったのはこの時だけである。；なお、この場合によらず、内閣は任意に衆議院を解散できると解釈される。；同年9月の鳩山由紀夫内閣の成立に伴い、衆議院文部科学委員長に就任。；衆議院は全国民を代表する、選挙された衆議院議員で組織される。；日本国憲法施行後に制定されたすべての法律は、衆議院ので閲覧可能である。；同時期に衆議院でも正式の中学校としての認可を求めるべきだとの議論がなされている。；国会法に基づいて置かれる事務総長を長とし、衆議院の事務を執行する。；結果としてこの修正が衆議院に反対され、選挙法改正案は廃案になった。；内閣総理大臣指名において衆議院と異なる者を指名した例は過去に5例ある。；委員会では委員の会議録として「衆議院委員会議録」が作成されている。；これは参議院が衆議院同様に政党に主導されるようになって以来唯一の例である。；そして買収案は帝国議会衆議院で取り上げられることになった。；衆議院では主に質疑等は行われず専ら後に送られる貴族院で議論されることとなる。；農林水産大臣に起用された鹿野道彦に代わり、衆議院予算委員長に就任した。；衆議院第一議員会館の南側の区画には内閣総理大臣官邸が立地している。；これを期に政界からの引退を表明し、衆議院から名誉議員の称号を贈られた。；予算は衆議院に先に提出しなければならない。；この国王の非妥協的な態度に衆議院は憤慨して妥協案は否決された。；衆議院には、議員提案の改正案が上記の4案が提出されていた。；内閣は、天皇への助言と承認を通して衆議院を解散することができる。；最初の2本についてはいずれも衆議院が不承諾の議決をして失効している。；一方、内閣は衆議院を解散する権限を有していると解されている。；しかし、参議院が求めた場合でも、衆議院は拒否することができる。</t>
        </is>
      </c>
      <c r="J3822">
        <f>HYPERLINK("https://www.weblio.jp/content/衆議院", "词义详情")</f>
        <v/>
      </c>
      <c r="K3822">
        <f>HYPERLINK("https://yourei.jp/衆議院", "查看例句")</f>
        <v/>
      </c>
    </row>
    <row r="3823">
      <c r="A3823" t="inlineStr">
        <is>
          <t>住居</t>
        </is>
      </c>
      <c r="B3823" t="inlineStr">
        <is>
          <t>成功</t>
        </is>
      </c>
      <c r="C3823" t="inlineStr">
        <is>
          <t>読み方：すまい
《動詞「す（住）まう」の連用形から》
１住むこと。また、暮らし。生活。「ひとり—(ずまい)」「佗び—(ずまい)」
２（「住居」とも書く）住んでいる家や所。「閑静な—」</t>
        </is>
      </c>
      <c r="D3823" t="inlineStr">
        <is>
          <t>住居跡(4%)；住居用；住居址；住居兼；住居群</t>
        </is>
      </c>
      <c r="E3823" t="inlineStr">
        <is>
          <t>家；室；屋；館；居</t>
        </is>
      </c>
      <c r="F3823" t="inlineStr">
        <is>
          <t>新しい住居；仮住居；兼住居；式住居；小さな住居</t>
        </is>
      </c>
      <c r="G3823" t="inlineStr">
        <is>
          <t>住居表示に関する法律；住居侵入；住居侵入罪；住居番号；住居地域</t>
        </is>
      </c>
      <c r="H3823" t="n">
        <v>29</v>
      </c>
      <c r="I3823" t="inlineStr">
        <is>
          <t>しかし、柱の太さからいって普通の住居ではなかったことは推測できる。；西側のデフファの近くには都市的ともいえる住居遺構の集中がみられた。；もうこの段階では住居ではなく儀式空間へと特化した座敷となっている。；出家した僧の住居はゴンパの近くに出身の家が負担して用意する事が多い。；その他、動物の骨や皮で作られたテント様の住居なども知られている。；主要な城は、為政者や指揮官の住居であり、政治や情報の拠点であった。；また年価値10ポンド以上の住居の借家人にも選挙権が認められていた。；リリスは自らの住居を破壊し、誰も住んでいない荒野に去っていった。；「住居」は、人が起臥寝食のために日常的に使用する場所と定義される。；祖母と叔父が経営していたライブ喫茶店舗兼住居に住んでいた。；野村の父が経営する店舗は空襲で焼失してしまい、住居は借家であった。；この時期は移動して生きていたので住居はテントや掘立小屋程度のものだった。；駅の設置をきっかけに鉄道職員の住居が作られるなどして、集落が形成された。；また、村の一般の住居でも遺跡から持ち運ばれた石材が良く見られる。；一方、高速道より北側は、山に面していて緑も多く、住居も数多く存在する。；集落跡には井戸があり、漁師の一時的な住居や放牧に利用されてきた。；北翼には事務所と住居があり、その中央には主玄関があった。；また工場、煉瓦家屋、木造住居の順に被害が大きくなる傾向が見られた。；住居には竈が複数ある場合もあり、多世帯が同居していたと思われる。；現在見つかっているポリネシア人の住居遺跡のなかでは最も南に位置するものである。；伝統的な志摩地方の住居は防風設備を備えた小さな家屋を特徴とする。；警察から連絡を受けたアターソンは、刑事をハイドの住居に案内した。；住居の建設ができないため、この地域に住むことはできない。；南部の湿地帯の周囲では葦を泥で固めて作る住居も広く建設された。；未明自身15歳頃から20歳頃まで春日山神社境内の住居に住んでいた。；王家の住居を除いて一般に公開されており、観光地としても有名である。；つまり東側のほうが住居が多くはるかに巨大だった。；この時は当局が拡大を恐れて、患者の住居など20戸を焼却している。；土蔵は高いところに窓が一つ空いているだけの、昼も薄暗い住居であった。</t>
        </is>
      </c>
      <c r="J3823">
        <f>HYPERLINK("https://www.weblio.jp/content/住居", "词义详情")</f>
        <v/>
      </c>
      <c r="K3823">
        <f>HYPERLINK("https://yourei.jp/住居", "查看例句")</f>
        <v/>
      </c>
    </row>
    <row r="3824">
      <c r="A3824" t="inlineStr">
        <is>
          <t>宗教</t>
        </is>
      </c>
      <c r="B3824" t="inlineStr">
        <is>
          <t>成功</t>
        </is>
      </c>
      <c r="C3824" t="inlineStr">
        <is>
          <t>読み方：しゅうきょう
《religion》神・仏などの超越的存在や、聖なるものにかかわる人間の営み。古代から現代に至るまで、世界各地にさまざまな形態のものがみられる。→原始宗教→民族宗教→世界宗教</t>
        </is>
      </c>
      <c r="D3824" t="inlineStr">
        <is>
          <t>宗教的(12%)；宗教上(4%)；宗教活動；宗教心；宗教政策</t>
        </is>
      </c>
      <c r="E3824" t="inlineStr">
        <is>
          <t>教会</t>
        </is>
      </c>
      <c r="F3824" t="inlineStr">
        <is>
          <t>非宗教；諸宗教；新しい宗教；宗教生活；宗教対立</t>
        </is>
      </c>
      <c r="G3824" t="inlineStr">
        <is>
          <t>宗教改革；宗教団体；宗教法人；宗教家；宗教画</t>
        </is>
      </c>
      <c r="H3824" t="n">
        <v>29</v>
      </c>
      <c r="I3824" t="inlineStr">
        <is>
          <t>だが啓蒙主義はすでに宗教を科学の世界から追放してしまったのである。；またラッセルは、宗教や信仰を死や神秘的なものへの恐怖にあるとした。；インドでは少数派でありながら社会的に影響力のある宗教集団である。；キリスト教では、悪意などを宗教的な意味での罪であるとみなしている。；第二に、伝統的な宗教であるイスラム教を原動力にしていることである。；皇帝はキリスト教などの全ての宗教を公認したが、国教は定めなかった。；また多くの宗教で霊と呼ばれる形態の生物の存在を想定している。；インド仏教が密教化したのは、周辺の宗教から影響を受けた結果である。；二つの小宗教はアブラハムの宗教のどの区分にもまったく該当しない。；そのためダルマの宗教とも呼ばれる が、これにはいくつかの批判もある。；父のは、チュラーロンコーン大学で東洋の宗教と哲学の講師をしていた。；エジプトでは宗教的な行為のひとつとしてこのような球技が行われていた。；東ヨーロッパではスラブ宗教の古代の伝統が一神教の要素を含んでいた。；中国やその周辺の東アジア諸国で信仰・研究されていた宗教、または学問。；カントは宗教を、道徳の基礎の上に成り立つべきものであるとしている。；多民族国家であるため、言語と同様、宗教にも地理的な分布が存在する。；エジプトの非宗教的なテキストにおける神話への考え方は大きく異なる。；また、宗教・民族の少数者を差別した記事を載せた場合の罰則もある。；そして宗教的な裁判所を廃止して代わりに民事裁判所を設置した。；儀式用複合施設はミシシッピ文化の人々の宗教では主要な要素だった。；彼らは自身の宗教を保持することが許され、生命権や財産権も保障される。；多くの地域と同じようにバビロニアの古い建築を代表するものは宗教建築である。；また、日本国家の形成に影響を与えたとされている宗教である。；ハインラインはまた、宗教の政治への関与にも一貫して反対の立場だった。；このことは、現在なお信仰され続けている宗教等にも該当する。；しかし彼らは同じ法律、宗教、道徳の規範に従うことを期待されていた。；ただし、実際の用法としては異なった宗教を指すためにも用いられている。；日付は宗教ごとに決まった暦を使用するため、大部分は移動祝日になる。；このような宗教が広まることで庶民の間にもその宗教は広まっていく。</t>
        </is>
      </c>
      <c r="J3824">
        <f>HYPERLINK("https://www.weblio.jp/content/宗教", "词义详情")</f>
        <v/>
      </c>
      <c r="K3824">
        <f>HYPERLINK("https://yourei.jp/宗教", "查看例句")</f>
        <v/>
      </c>
    </row>
    <row r="3825">
      <c r="A3825" t="inlineStr">
        <is>
          <t>就業</t>
        </is>
      </c>
      <c r="B3825" t="inlineStr">
        <is>
          <t>成功</t>
        </is>
      </c>
      <c r="C3825" t="inlineStr">
        <is>
          <t>読み方：しゅうぎょう
［名］(スル)
１その日の業務に従事すること。仕事に取りかかること。「毎朝定時に—する」
２職業につくこと。</t>
        </is>
      </c>
      <c r="D3825" t="inlineStr">
        <is>
          <t>就業支援(4%)；就業率(4%)；就業者(4%)；就業形態(3%)；就業中(3%)</t>
        </is>
      </c>
      <c r="E3825" t="inlineStr">
        <is>
          <t>職；雇用；在職；就労；雇傭</t>
        </is>
      </c>
      <c r="F3825" t="inlineStr">
        <is>
          <t>農業就業；就業斡旋；就業技術科；就業力；未就業</t>
        </is>
      </c>
      <c r="G3825" t="inlineStr">
        <is>
          <t>就業者；就業時間；就業人口；就業機会；就業制限</t>
        </is>
      </c>
      <c r="H3825" t="n">
        <v>29</v>
      </c>
      <c r="I3825" t="inlineStr">
        <is>
          <t>朝は七時就業だが、ぼくだけは六時半に来なければならないと云われた。；いや就業のブーに追われて小屋を出るやいなや吹ッ飛んでいたのである。；それは隼子が、絵のなかの人物に就業させたことのない職業名だった。；女子の就業は徴用とせず、通勤を主にして、勧誘の形をとるようである。；これは、就業せずに社会保障制度に依存することを防ぐ意味合いがある。；また、就業を制限されたものに就くために受けるべき講習の一覧でもある。；労働者の家族にしても、就業している労働者たちの一家が多いことはすぐわかった。；独立開業を目的とはしておらず、活動範囲は自身が就業している企業内に限定される。；バッジ以外の就業態度にも問題があるとした会社側の主張は事実と認められること。；選手は、昼間帯は農業に従事し、就業後ハンドボールの練習を行っている。；障害者の大半は寮生活を しており、就業時以外のサポートも行っている。；卒業生は原則として、出身事業所や出身会社に戻り就業することになる。；彼は町の連邦副保安官を就業させ、支配権を得るために味方を集め始めた。；江南は文学青年で、商社に勤めだしても就業中に詩を書くような男だった。；GPのほとんどは独立開業医であるが、一部はチームで就業している。；なお、血液透析を受けながらの就業・就学は地域によっては可能である。；科学的組織営業を導入することによって営業成果の向上と就業環境の向上を目的としている。；もともと半日就業の会社が多いために、酒場の客はすくない日なのである。；求人票が発行され次第、求人先へすぐ電話して翌日には就業できた。；就業日の顔は、もっと真実に近く、もっとはっきりと自分をあらわしている。；これは単に、大友の復帰の話ではなく、「女性の就業問題改革」であろう。；生徒の気風が変わってきたのは、就業構造の変化もあるだろう。；局の各部署には元の局員が就業するとともに、ソ連の局員も配置された。；そしてそのために必要なのが教育と就業であった。；就業率が、実際に子供たちがどの程度登校しているかを反映するとは必ずしも限らない。；年間の拠出限度額は、就業する企業やプランではなく労働者個人に属する。；世帯主の収入と配偶者の就業率の間には負の相関関係があることを明らかにした。；これらの学校で、就業に必要な資格を得ることができる。；輸入競争によって高校を卒業していない労働者の就業状況が悪化したからであると考えられている。</t>
        </is>
      </c>
      <c r="J3825">
        <f>HYPERLINK("https://www.weblio.jp/content/就業", "词义详情")</f>
        <v/>
      </c>
      <c r="K3825">
        <f>HYPERLINK("https://yourei.jp/就業", "查看例句")</f>
        <v/>
      </c>
    </row>
    <row r="3826">
      <c r="A3826" t="inlineStr">
        <is>
          <t>終業</t>
        </is>
      </c>
      <c r="B3826" t="inlineStr">
        <is>
          <t>成功</t>
        </is>
      </c>
      <c r="C3826" t="inlineStr">
        <is>
          <t>読み方：しゅうぎょう
［名］(スル)
１その日の業務を終えること。仕事が終わりになること。「会社は五時半で—する」⇔始業。
２学校で1学期、または1学年の授業を終えること。「—式」⇔始業。</t>
        </is>
      </c>
      <c r="D3826" t="inlineStr">
        <is>
          <t>終業時間(14%)；終業後(11%)；終業時刻(9%)；終業ベル(5%)；終業式(4%)</t>
        </is>
      </c>
      <c r="E3826" t="inlineStr">
        <is>
          <t>完成；終わる；閉鎖；完了；終る</t>
        </is>
      </c>
      <c r="H3826" t="n">
        <v>29</v>
      </c>
      <c r="I3826" t="inlineStr">
        <is>
          <t>二度鳴ったそれが指しているのは、少女の一日の終業時間である十時。；工場の終業時間になったようで、女工員らしい若い女の数が多くなった。；モレルは普通は終業時間になっても、なかなか竪坑の底に現れなかった。；だが、大番頭の息子も小僧と一緒に終業するのかどうかそれは知らない。；現在では、朝の始業時と夕の終業時には校歌が校内放送にて放送される。；五時の終業時間がくる前に、朝倉は経理部長の小泉に電話を入れた。；「おい、そこの衆、終業だぞ、」と隣の切場を出て行く坑夫達が叫んだ。；その終業から午前九時の昼の部の始業まで、工場には完全に人がいなくなる。；彼が主任室から出ると、ちょうど終業時間を知らせるチャイムが鳴った。；別に事務系と現場従業員の間に終業時間の差があるわけではない。；終業のチャイムが鳴ってから三十分以上も経ってるのに、出てこない。；門はまだ閉まっているし、時計台の針は終業の五時に少し間がある。；部に所属しない生徒が大半を占めているため終業時刻直後の列車が生徒の乗車率が一番高い。；会社のセキュリティー・システムは終業モードになっているのだ。；それから十分後に鳴った終業ベルが、どんなにありがたかったかしれない。；一方、時間が厳守されないことが常態化しているものに終業時間が挙げられる。；各ステージではクリア条件のノルマと「終業時間」が設定されている。；おかげで、会社に戻ったのは終業時間を過ぎた後だった。；まだ終業のチャイムが鳴っていないので、通学路に生徒の姿はない。；たいていの会社は、五時が一応の終業時間になっている。；終業時間になると、自分の奴隷をわたしと競わせていたその監督は、本気で心配していた。；ちょうど終業のチャイムが鳴って、花田と山中が授業から帰って来た。；終業したために座りっぱなしで膝掛けが正しく機能してるからでしょうか。；毎日の終業時にトンネルの入り口に木製の蓋が戻され、表面に泥が被された。；いつも始業終業の鐘を鳴らす小使いさんが軍服の間を疲れた顔をして歩いていた。；その日の午後、終業近く、治夫は病院に思いがけぬ男の来訪を受けた。；ある日終業間際に少年に新らしい仕事が追加された。；それから五時の終業時間まで、時はのろのろと過ぎていった。；会社の終業時刻が五時であったとする。</t>
        </is>
      </c>
      <c r="J3826">
        <f>HYPERLINK("https://www.weblio.jp/content/終業", "词义详情")</f>
        <v/>
      </c>
      <c r="K3826">
        <f>HYPERLINK("https://yourei.jp/終業", "查看例句")</f>
        <v/>
      </c>
    </row>
    <row r="3827">
      <c r="A3827" t="inlineStr">
        <is>
          <t>従業員</t>
        </is>
      </c>
      <c r="B3827" t="inlineStr">
        <is>
          <t>成功</t>
        </is>
      </c>
      <c r="C3827" t="inlineStr">
        <is>
          <t>読み方：じゅうぎょういん
雇われて、ある業務に従事している人。</t>
        </is>
      </c>
      <c r="D3827" t="inlineStr">
        <is>
          <t>従業員たち(4%)；従業員数(4%)；従業員用；従業員組合；従業員達</t>
        </is>
      </c>
      <c r="E3827" t="inlineStr">
        <is>
          <t>サラリーマン；担任；労働者；雇い；担当者</t>
        </is>
      </c>
      <c r="F3827" t="inlineStr">
        <is>
          <t>全従業員；若い従業員；従業員輸送；男性従業員；従業員教育</t>
        </is>
      </c>
      <c r="G3827" t="inlineStr">
        <is>
          <t>従業員満足；従業員給与；従業員持株制度；従業員満足度；従業員支援プログラム</t>
        </is>
      </c>
      <c r="H3827" t="n">
        <v>29</v>
      </c>
      <c r="I3827" t="inlineStr">
        <is>
          <t>逆に客がまったく来ない日もあり、そんな日は従業員は非常に暇である。；さらに日本の工場では従業員教育の一環としても行われている面がある。；店・女性従業員・客のそれぞれの傾向によって様々なプレイが展開する。；なお、この支援に伴いバスの減便や従業員の削減は行わないとしている。；周辺には中部国際空港の従業員向けの単身者住宅が多く建設されている。；最盛期には作画から編集に至るまで300名以上の従業員を抱えていた。；しかし、他の企業の多くは従業員数が5人以下の零細企業が占めている。；会社関係者やテナント従業員向けの路線のため、一般客は利用できない。；規則に違反して勤務中に眠った従業員は懲戒処分を受ける場合もある。；すぐに従業員の点検が行われて、1人だけ姿が消えていることが判明した。；従業員に住宅・菜園・学校を提供し、食糧不足に備えて組合を整備した。；支払いのことを気にするだけの余裕が客と従業員にはまだあった。；州内の病院では雇用数でも最大であり、従業員数は1万8千人である。；元々名前は付けられておらず、従業員の間だけで呼ばれていた。；企業の従業員輸送やスクールバスの運行、イベント輸送を行っている。；監査役会構成員 に従業員代表を含める制度も株式会社と同じである。；また従業員用の住宅団地も建造されるなど人口も大きく増加する。；その後引越しの際に発生した従業員の大規模な退職が最後の脱出劇となった。；現在はブリヂストン久留米工場の一部と同工場の従業員駐車場となっている。；この事件に関わった従業員は当時のジャケから全員が退職している。；ただし島には住民はおらず、工場の従業員は定期船で新居浜から通っている。；一時期は社長が自分の田畑を処分して従業員の給料を支払っていたという。；従業員だけではなく、ビル利用者なら誰でも利用することができる。；普段の施設運営は一般の従業員が行っているが、栗山自身も現地にいる場合がある。；中央付近も途中まで取り壊されて従業員専用通路となっている。；これは当駅に、付近の工場などへ向かう従業員の送迎バスが発着するためである。；記録省ではダクトは環境の一部として目に見えるが、従業員の頭上にある。；また、一部車両は、工場や基地への従業員輸送用として使われたこともあった。；従業員は給与明細を参照することでも給与体系を知ることが出来る。</t>
        </is>
      </c>
      <c r="J3827">
        <f>HYPERLINK("https://www.weblio.jp/content/従業員", "词义详情")</f>
        <v/>
      </c>
      <c r="K3827">
        <f>HYPERLINK("https://yourei.jp/従業員", "查看例句")</f>
        <v/>
      </c>
    </row>
    <row r="3828">
      <c r="A3828" t="inlineStr">
        <is>
          <t>集金</t>
        </is>
      </c>
      <c r="B3828" t="inlineStr">
        <is>
          <t>成功</t>
        </is>
      </c>
      <c r="C3828" t="inlineStr">
        <is>
          <t>読み方：しゅうきん
［名］(スル)受け取るべき金銭を集めること。また、集めた金銭。「—に回る」</t>
        </is>
      </c>
      <c r="D3828" t="inlineStr">
        <is>
          <t>集金人(26%)；集金係(2%)；集金旅行；集金システム；集金力</t>
        </is>
      </c>
      <c r="F3828" t="inlineStr">
        <is>
          <t>集金担当者；集金代行；集金カード</t>
        </is>
      </c>
      <c r="H3828" t="n">
        <v>29</v>
      </c>
      <c r="I3828" t="inlineStr">
        <is>
          <t>この際の費用は、日中に各家から集金しているケースがほとんどである。；集金人が、どんなことをしたのかと、肝腎のことを聞きもしないのです。；むろん、集金人の坐っている位置からは、寝ている私の躰が見られます。；通達を聞いた方は、当然金を集めて本山から集金にくる僧を待っている。；二週間後同じ日本人だからと思って、つい気を許して、集金に行かせた。；彼が小さな天吾を集金に連れてまわったのには、いくつかの理由があった。；そしておたくに集金人が現れた日には、彼は別の地区をまわっていた。；たぶん父親と集金に歩いているところを、誰かに見られたのだろう。；だから父親は、日曜日にはとくに集金の困難な家の多いルートをまわった。；切符代の集金やら、それに芝居の批評会にも出なきゃならなかったので。；ちょうど、その時に玄関のブザーが鳴って新聞の集金人がやって来た。；気軽に集金に来てくれる行員にそれを告げるのは少し辛いことに思えた。；集金した金を持っていたので悪い奴等に襲われたのかも知れない。；「またあなたはこう考えておられる」と集金人は彼女の心を読むように言う。；子供を連れて歩いた方が、集金がしやすくなることを父親はよく知っていた。；しかしその奇妙な集金人はこの建物の中に留まることにしたのだ。；集金した金だけは竹神へ送り、自分はどこかへ消えてしまわねばならない。；この時刻に、やって来る人間は、集金人なのかも知れない、と思った。；そしてその集金人は実はあなたじゃないかと僕は考えている。；老人は集金をすませて、二本のビールを飲むのを楽しみにしているという。；左手に傘を、右手に集金係が持つような黒のセカンドバッグを持っていた。；家を出た途端に、ふと東京で集金すべき金がまだ残っていることを思い出した。；こうして、集金方式が現在でもほとんど変わっていないことを探り出した。；得意先の小母さんが集金に行った保郎をからかって言ったこともある。；そして僕らが一緒に受信料の集金にまわった日々は遠い昔に終わったんだ。；集金した金の中から小遣いを誤魔化して安バーに行っても結構もてた。；ぼくの集金がうまくいかないのでね、ぼくはクビになりそうなんだ。；何日か前にやってきたNHKの集金人のことを、その子が電話で説明してくれた。；国立銀行員だなんて云つても、よぼよぼの電気の集金人みたいな人でした。</t>
        </is>
      </c>
      <c r="J3828">
        <f>HYPERLINK("https://www.weblio.jp/content/集金", "词义详情")</f>
        <v/>
      </c>
      <c r="K3828">
        <f>HYPERLINK("https://yourei.jp/集金", "查看例句")</f>
        <v/>
      </c>
    </row>
    <row r="3829">
      <c r="A3829" t="inlineStr">
        <is>
          <t>集計</t>
        </is>
      </c>
      <c r="B3829" t="inlineStr">
        <is>
          <t>成功</t>
        </is>
      </c>
      <c r="C3829" t="inlineStr">
        <is>
          <t>読み方：しゅうけい
［名］(スル)数を寄せ集めて合計すること。また、その合計した数。「各営業所の売上げを—する」</t>
        </is>
      </c>
      <c r="D3829" t="inlineStr">
        <is>
          <t>集計結果(4%)；集計される(4%)；集計方法；集計対象；集計作業</t>
        </is>
      </c>
      <c r="E3829" t="inlineStr">
        <is>
          <t>合計；通算；累計；トータル；総計</t>
        </is>
      </c>
      <c r="F3829" t="inlineStr">
        <is>
          <t>オリコン集計；みを集計；地域集計；集計サイト；ランキング集計</t>
        </is>
      </c>
      <c r="G3829" t="inlineStr">
        <is>
          <t>集計機；集計ミス</t>
        </is>
      </c>
      <c r="H3829" t="n">
        <v>29</v>
      </c>
      <c r="I3829" t="inlineStr">
        <is>
          <t>番組側はデータを集計し番組で発表するなどして利用することができる。；PASMOなど相互利用カードのデータは集計・分析の対象にならない。；全国集計の基礎となる県や市町村レベルの値も、一部で公表されている。；ボニファシオは最終的に選挙の結果を受け入れたが、再集計を主張した。；このため情報を集計・整理する段階での誤認の混入がある事が指摘される。；これは、集計に外国人を加えた2013年7月以来初めてのこととなる。；ただし東慶寺に残る記録を分類集計するだけでも全体の傾向は見てとれる。；日本レコード協会の集計では前作に引き続きミリオンヒットを達成した。；下表は各ハプログループを大きな括りで集計したものであることに注意。；また毎年最後には年間のチャートを集計した年間ベスト10が放送される。；投票が行われるべき指定時間があり、その後で票数集計が行われます。；データ集計機とは、複数の機器のデータを集計・保存する機器をいう。；このポイントを作戦ごとに集計するランキングが本ゲームの楽しみの一つとなっている。；使用目的の違いから、経済活動の集計方法には下表のように何通りもある。；DS版の全国正解率はアーケード版で集計されたものを使用している。；この集計に含まれていないものも含め、主な被害状況は以下の通り。；主催者はそれを集計して、互いに指名のあった男女をカップルとみなす。；得票を集計すると、モンローは19州のうち3州を除いて勝利を収めた。；これらを理解した上で人種・民族などの集計を読む必要がある。；各ステージ終了後は、敵の撃墜率やアイテム回収率などが集計される。；最終的に一定のターンを経過した後、勝利ポイントを集計し勝敗を決める。；非集計型でもっとも一般的な予測手法は、非集計行動モデルである。；この年から出玉の数をポイントに替えて集計する方法に改められた。；公式サイトのランキングはこのポイントを集計して発表していた。；生放送中でも途中参加ができ、参加して最初に回答した問題から集計された。；さらに批判は、サイトがスコアの集計方法の公開を拒否している点に向けられた。；混乱を避けるため過去の集計は変更しないとしている。；なお集計結果は、投票受付期間終了から数時間後に閲覧可能であった。；それぞれの投票後には、票の集計・数の検査・投票用紙の焼却が行われる。</t>
        </is>
      </c>
      <c r="J3829">
        <f>HYPERLINK("https://www.weblio.jp/content/集計", "词义详情")</f>
        <v/>
      </c>
      <c r="K3829">
        <f>HYPERLINK("https://yourei.jp/集計", "查看例句")</f>
        <v/>
      </c>
    </row>
    <row r="3830">
      <c r="A3830" t="inlineStr">
        <is>
          <t>襲撃</t>
        </is>
      </c>
      <c r="B3830" t="inlineStr">
        <is>
          <t>成功</t>
        </is>
      </c>
      <c r="C3830" t="inlineStr">
        <is>
          <t>読み方：しゅうげき
［名］(スル)襲いかかること。不意をついて攻めること。「背後から—する」</t>
        </is>
      </c>
      <c r="D3830" t="inlineStr">
        <is>
          <t>襲撃する(7%)；襲撃者(5%)；襲撃される(2%)；襲撃隊；襲撃部隊</t>
        </is>
      </c>
      <c r="E3830" t="inlineStr">
        <is>
          <t>攻撃；侵攻；攻め；乱暴；突進</t>
        </is>
      </c>
      <c r="F3830" t="inlineStr">
        <is>
          <t>銀行襲撃；襲撃地点；襲撃グループ；小規模な襲撃；襲撃対象</t>
        </is>
      </c>
      <c r="G3830" t="inlineStr">
        <is>
          <t>襲撃機</t>
        </is>
      </c>
      <c r="H3830" t="n">
        <v>29</v>
      </c>
      <c r="I3830" t="inlineStr">
        <is>
          <t>これを聞いた南部住民数千人がアラブ系住民を襲撃するなどの事件が発生。；過去にはジョナサン博士の研究所を襲撃、博士の殺害にも使用されている。；しかし浮浪の徒らがこのことを知って、途中で襲撃するとの報が入った。；このバンドはスウェーデン公演の際に、地元の右翼に襲撃されている。；しかも内戦時代には学校への襲撃もあったなど教育は立ち遅れている。；シュルツは、アビーの襲撃者が自分かどうか調べたらどうかと挑発した。；また現代社派からの再度の内ゲバ襲撃も今の時点まで起こっていない。；しかし将校の一人が生徒を利用することに反対したため、襲撃計画は中止された。；それ以外にも小さな襲撃や捕虜となった後にさらに多くの者が死んだと信じられている。；この他にも、観艦式襲撃の際に合流した幾つかの小規模な部隊も存在する。；多数のスカウトらが襲撃を受けて同年8月頃まで姿を消す出来事もあった。；家を出るに出られなくなった一行は宴会をはじめ、襲撃者は困惑する。；さらに12月12日には市内のホテルが襲撃を受け、3人以上が死亡した。；リンは幼い頃、両親や部族の仲間を山賊の襲撃で失い一人で暮らしていた。；隋軍は各地の城を攻略し、首都平壌も襲撃したが最終的に撃退された。；翌7日にはデモ隊が暴徒化して議会や大統領府を襲撃する事態に発展した。；過去に島を幾度も襲撃していた人類軍が再びやってきたのだ。；その式の途中で、かつての戦士の子孫に報復すべくバルバンが襲撃してきた。；襲撃目標リストは第一次目標と第二次目標に分けられていた。；この襲撃は、2017年に両勢力間で和平合意が成立するまで続いた。；荒木はこれらが渡辺が襲撃目標となった原因であると述べている。；中国南部沿岸には、倭寇と呼ばれる海上の無法者たちが襲撃を重ねていた。；だが、二人はバトル・ドロイドの一団に襲撃され、乗ってきた船も失う。；第八艦隊司令部はアメリカ軍機動部隊に襲撃されることを警戒して離脱を決定。；一度制圧した惑星は時間が経過すると敵艦隊に襲撃される。；超獣や侵略宇宙人に襲撃されたり、Aと超獣の戦場となった回数も多い。；オールグレンと勝元・村人は心をひとつにして襲撃者たちと戦い勝利する。；政子が亀の前の邸を襲撃させて実力行使に出るのは、この4ヶ月後である。；その後も、深夜に一人勤務している際に強盗に襲撃されるケースがしばしば発生した。</t>
        </is>
      </c>
      <c r="J3830">
        <f>HYPERLINK("https://www.weblio.jp/content/襲撃", "词义详情")</f>
        <v/>
      </c>
      <c r="K3830">
        <f>HYPERLINK("https://yourei.jp/襲撃", "查看例句")</f>
        <v/>
      </c>
    </row>
    <row r="3831">
      <c r="A3831" t="inlineStr">
        <is>
          <t>集合</t>
        </is>
      </c>
      <c r="B3831" t="inlineStr">
        <is>
          <t>成功</t>
        </is>
      </c>
      <c r="C3831" t="inlineStr">
        <is>
          <t>読み方：しゅうごう
［名］(スル)
１1か所に集まること。また、集めること。「駅前に八時に—する」⇔解散。
「森羅万象を—して自在に己れの材料と為し」〈鉄腸・花間鶯〉
２数学の基本概念の一。物の集まりで、個々の物がその集まりの中に属するかどうか、かつ、その集まりの中の二つの物が等しいかどうかが明確に判定できるものをいう。個々の物を元(げん)または要素という。</t>
        </is>
      </c>
      <c r="D3831" t="inlineStr">
        <is>
          <t>集合上；集合体；集合時間；集合a；集合論</t>
        </is>
      </c>
      <c r="E3831" t="inlineStr">
        <is>
          <t>軍；チーム；会；グループ；一緒</t>
        </is>
      </c>
      <c r="F3831" t="inlineStr">
        <is>
          <t>再集合；帰納的可算集合；全員集合；集合教育；総員集合</t>
        </is>
      </c>
      <c r="G3831" t="inlineStr">
        <is>
          <t>集合住宅；集合論；集合場所；集合写真；集合的</t>
        </is>
      </c>
      <c r="H3831" t="n">
        <v>29</v>
      </c>
      <c r="I3831" t="inlineStr">
        <is>
          <t>ここで配置とは、物体の全ての物質点の位置から構成される集合である。；よって、左の円が表す集合に属する元は全て右の円が表す集合に属する。；人の集合を避けるため、飛行ルートは飛行開始の3時間前に公表された。；最後の段階は娘鎖伸長に関わるタンパク質が親鎖に集合することである。；通常の集合ではある要素が集合に属するか属しないかは明確に区別される。；岸が約束した合宿は優勝から中1日を挟んで8月3日が集合日となった。；以下の自然数のうち最大素因数が 以下のものからなる集合を とする。；このほか個別処理や小集落の集合処理で適用されている技術がいくつかある。；このように、同じ集合に対して定めることのできる距離は一つではない。；互いに同型な集合はその構造に関しては同じものとみなすことができる。；素子やその集合体には、規模や形態に応じて下記の様な呼称がある。；またプログラムの訓練に用いられるデータ全体の集合をデータセットという。；なお、2バイト文字集合の文字のことを2バイト文字と呼ぶことがある。；色を説明する場合に、様々な色彩理論を集合的に概説する場合がある。；そして、この長さにより集合 P の元を使い尽くすことで矛盾を得る。；正規表現は、文字列の集合を一つの文字列で表現する方法の一つである。；ここでは説明を簡単にするため係数の集合は体 であるとする。；次に、その分類で、後者に分類されるもの全てからなるような集合を想定する。；現代の形式的な扱いでは、ほとんどの数学的対象は集合の観点から定義される。；またパッケージツアーの集合・出発場所としても用いられる事が多かった。；集合の予定時間に自宅を出発する人がいるなど、時間設定の個人間のずれを指す。；「自分自身を含まないすべての集合」で構成される集合は存在しない。；ほかにも任意の集合上のの表現などが例に挙げられる。；検索とは、データの集合の中から目的のデータを探し出すことである。；書記系を用いて特定の言語を表記するための規則の集合を指す。；この測度の概念で、測度が定義できない集合が存在することが知られている。；戦略空間とは、そのゲームにおいて各個体が取りうる戦略全体の集合の事である。；有限個の集合 の交わり は、そのすべてに共通に含まれる元の全体である。；これらのことは、離散構造が集合上自由であるというより広い現象の例になっている。</t>
        </is>
      </c>
      <c r="J3831">
        <f>HYPERLINK("https://www.weblio.jp/content/集合", "词义详情")</f>
        <v/>
      </c>
      <c r="K3831">
        <f>HYPERLINK("https://yourei.jp/集合", "查看例句")</f>
        <v/>
      </c>
    </row>
    <row r="3832">
      <c r="A3832" t="inlineStr">
        <is>
          <t>収支</t>
        </is>
      </c>
      <c r="B3832" t="inlineStr">
        <is>
          <t>成功</t>
        </is>
      </c>
      <c r="C3832" t="inlineStr">
        <is>
          <t>読み方：しゅうし
収入と支出。「—が合う」「—決算」</t>
        </is>
      </c>
      <c r="D3832" t="inlineStr">
        <is>
          <t>収支改善(4%)；収支決算(4%)；収支計算(3%)；収支報告；収支状況</t>
        </is>
      </c>
      <c r="E3832" t="inlineStr">
        <is>
          <t>出納</t>
        </is>
      </c>
      <c r="F3832" t="inlineStr">
        <is>
          <t>営業収支；年度収支；収支面；事業収支；現金収支</t>
        </is>
      </c>
      <c r="G3832" t="inlineStr">
        <is>
          <t>収支係数</t>
        </is>
      </c>
      <c r="H3832" t="n">
        <v>29</v>
      </c>
      <c r="I3832" t="inlineStr">
        <is>
          <t>十五年分の収支計算が終わったころ、窓の外はすっかり暗くなっていた。；ファハド政権は悪化した収支の中で国を存続させる経済政策を採用した。；だから金が沢山要つて収支が償はないやうなことが出来て来るのである。；かつて大きく赤字を計上していたアメリカン航空は最近収支が改善した。；政府はアヘン政策に焦点を当て、植民地の収支予算を黒字に安定させた。；当初は国庫の収支の管理や小切手の発行等の業務を行う国営銀行であった。；そこで市議会議員になり、フリースラントの収支を監督する職についた。；構造的収支の改善が全体の財政収支の改善に大きな役割を果たした。；そして収支同意権はその性質上国家に租税を負担する者だけに属すると考えられていた。；また別大学であれば、収支も 独立に算出され、経営責任も明確になります。；二次粒子に与えられたエネルギーのその後の収支は、以下の場合が考えられる。；一方、制度を取り入れていたが、収支不足で打ち切った自治体もある。；収支面では赤字であるが、当初予想していた以上の利用者となった。；確かに収支計算書を送ってはきたものの、そこには誰の署名も入れられていなかった。；現実には中華人民共和国など海外部門の収支も考える必要があるが、ここでは無視する。；箱の内部には光量子がいつもそれと増減の収支が釣り合う数だけある。；おそらく高級クラブの会員だろうが、収支を合わせるのも大変だろうと思わせた。；この時、寄附の制限が導入され、同時に政治団体の収支公開も強化された。；またこれに加えて収支管理機能などを持つものもある。；この時点で収支がプラスであればそのプレイヤーは勝利となる。；保険会社の将来の収支を予測する際に使用するシステムである。；最初のひと月でさえ、彼女は収支をとんとんであげたのじゃあないだろうか。；鉄の生産はカラグウェ王国内の経済収支において、重要な役割を果たした。；二〇〇年後の現代でもその収支決算書は書かれないでいる。；換金率は三・三円なので、一万発も出せば収支はプラス三万になる。；また2009年7月1日にはリーグ・各球団の収支報告が発表された。；そして現在のところ計算は収支がうまく合っていた。；運用中のある時点までの収支をみるか、ライフサイクル全体を見るかの二通りがある。；一日一〇〇〇人クラスの線区でも、収支は相当に好転するだろう。</t>
        </is>
      </c>
      <c r="J3832">
        <f>HYPERLINK("https://www.weblio.jp/content/収支", "词义详情")</f>
        <v/>
      </c>
      <c r="K3832">
        <f>HYPERLINK("https://yourei.jp/収支", "查看例句")</f>
        <v/>
      </c>
    </row>
    <row r="3833">
      <c r="A3833" t="inlineStr">
        <is>
          <t>修士</t>
        </is>
      </c>
      <c r="B3833" t="inlineStr">
        <is>
          <t>成功</t>
        </is>
      </c>
      <c r="C3833" t="inlineStr">
        <is>
          <t>読み方：しゅうし
学位の一。大学院に2年から4年以内在学して所定の単位を修得し、修士論文の審査、最終試験に合格した者に与えられる称号。マスター。→博士(はくし)1</t>
        </is>
      </c>
      <c r="D3833" t="inlineStr">
        <is>
          <t>修士号(7%)；修士学位(3%)；修士プログラム；修士レベル；修士修了</t>
        </is>
      </c>
      <c r="F3833" t="inlineStr">
        <is>
          <t>大学院修士；神学修士；行政学修士；平修士；哲学修士</t>
        </is>
      </c>
      <c r="G3833" t="inlineStr">
        <is>
          <t>修士号；修士論文；修士・博士一貫教育；修士一年</t>
        </is>
      </c>
      <c r="H3833" t="n">
        <v>29</v>
      </c>
      <c r="I3833" t="inlineStr">
        <is>
          <t>彼は大学院に戻り、最終的には芸術の修士を取得することを計画していた。；これは修士教育と呼ばれ、修士論文のあるものとないものに分けられる。；それらの修士号と博士号もまたスペインでトップに位置づけられている。；多数の学部から構成されており、この大学で修士号や博士号を取得できる。；学校は、2つの修士レベルの科目を持って修士号の許可を持っています。；この時点で卒業校であるニューヨーク大学の学位も修士に昇格された。；このセッチンは、大学院修士ではないが大学課程は終了した学士である。；これには礼拝形式と修道士および助修士の生活のあり方が規定されている。；また、ミシガン大学でコンピュータ・情報と制御工学の修士を取得した。；とくに修士学生は在学中に一度は発表することが講座の方針だった。；この人がいつまでたっても助修士でいるのはおかしいな。；修士たちはそれぞれ違う一族に属しており、それらを「仙門百家」と呼ぶ。；結果、彼女は六年という超スピードで学士・修士・博士の課程を通過した。；これは助手の採用時に博士や修士の学位を要求されなかった時代の産物である。；上記の大学間で公共政策修士のデュアル・ディグリー制度が運用されている。；また、アイルランドで最初のビジネス情報学修士を設立した大学でもある。；これらはアメリカの経営修士取得者特有の用語なんだそうだ。；教育研究を目的とした大学院であり、修了者には修士の学位が授与される。；グリフィス大学は約300以上の学士・修士・博士課程を提供している。；たぶんマイクル助修士がくる時に持ってきてくれるのだろう。；この後は、修士になる初之助のために、わたくしのできる限りのことをいたしましょう。；彼女は逮捕された当時イラン研究と国際関係の修士を得ようと励んでいた。；しかし、修士と博士はタッセルを動かすことはなく、左側のままにする。；故に当該塾より授与される称号は修士及び博士の学位には該当しない。；聖母の騎士修道院のポーランド修士が軟禁を解かれて阿蘇から帰って来た。；またドイツ型の大学においては学生が最初に取得する学位は修士レベルのものであった。；明治維新後は大学の修士となり、この学問を取り入れた蔵書を数多く執筆した。；一般的には学士および修士、一部においては博士などの学位を付与する。；そして一八八八年、ロンドン大学で、優等の成績で科学修士の資格をとった。</t>
        </is>
      </c>
      <c r="J3833">
        <f>HYPERLINK("https://www.weblio.jp/content/修士", "词义详情")</f>
        <v/>
      </c>
      <c r="K3833">
        <f>HYPERLINK("https://yourei.jp/修士", "查看例句")</f>
        <v/>
      </c>
    </row>
    <row r="3834">
      <c r="A3834" t="inlineStr">
        <is>
          <t>終始</t>
        </is>
      </c>
      <c r="B3834" t="inlineStr">
        <is>
          <t>成功</t>
        </is>
      </c>
      <c r="C3834" t="inlineStr">
        <is>
          <t>読み方：しゅうし
［名］(スル)
１物事の始めと終わり。「—のけじめをつける」
２同じ態度・状態・内容などが、始めから終わりまで続くこと。「自己弁護に—する答弁」
３始めから終わりまで全部。始終。多く副詞的に用いる。「論理的に—を貫く発言」「—積極的に攻める」</t>
        </is>
      </c>
      <c r="D3834" t="inlineStr">
        <is>
          <t>終始する(7%)；終始一貫(3%)；終始変わら；終始変ら；終始うつむい</t>
        </is>
      </c>
      <c r="E3834" t="inlineStr">
        <is>
          <t>一貫；始終；首尾；貫徹；最初から最後まで</t>
        </is>
      </c>
      <c r="F3834" t="inlineStr">
        <is>
          <t>終始危なげない；終始する主要地方道；終始黙々；終始する国道；終始うつむき</t>
        </is>
      </c>
      <c r="H3834" t="n">
        <v>29</v>
      </c>
      <c r="I3834" t="inlineStr">
        <is>
          <t>人間の魂がいかにして神に至るかをディオニュシオスは終始問題にする。；試合の際は感情を表に出さず、終始冷静にプレーをするスタイルである。；このときは3人とも仕事をしながら趣味的なバンド活動に終始していた。；先述・後述にもある通り、当番組は終始体力勝負が鍵になる番組だった。；帝国外でも終始一貫して親皇帝勢力として戦ったのはスペインだけだった。；しかし終始和やかな雰囲気で会談は進められていたのを確認している。；無論従来車との併結も不可能であり、終始本系列同士で編成を組んでいた。；翌年以降も故障がちで戦線離脱の繰り返しに終始して伸び悩んでいた。；チームは前半戦をAクラスで終えていたが、後半戦は4位に終始した。；土木等の戦闘補助任務に終始して、教育を全く受けられなかった者もいる。；当日天皇は謡本を手に終始熱心に舞台を観ており、伴馬を感激させた。；しかし、同社では予備車的扱いに終始し、1980年に廃車解体された。；終始国道23号の海側に沿っており、バイパス的な役割も果たしている。；シルベスターは終始試合を支配していたが、この試合はフルランが勝った。；この連絡線を経由した運転は終始入換の扱いとされていた。；ロシア側の周到な準備にも拘らず、戦闘は事実上の一騎討ちに終始した。；この時の冬木は終始汗が止まらず、顔色も悪く既に末期的症状であったという。；現在は企画もので終始したり、1つの討論テーマに絞るなどしている。；結局、一・二軍の往復に終始し、チームの消滅とともに自由契約となった。；人間には自分達の言語を理解できない事をいい事に終始勝手な事を言っているが、基本的に相手にされていない。；時間にすれば三十秒足らずだが、終始騒がしい会場が沈黙に包まれていた。；出演中はサングラスを終始着用し、顔ははっきりとはわからなかった。；しかし負傷前の自己最高位は更新できず、幕内下位と十両の往復に終始した。；古代の終始については、政治史的観点と社会史的観点から様々な説がある。；教会への批判や指摘に終始したまま勅使河原の家族が帰る。；党員でこそなかったものの、終始党の指導者たちと親密な関係をとり続けていた。；終始宮島線で運用されたが、1989年に廃車となり、全車解体された。；小説『三国志演義』では、終始鄧艾の側近のような立場で描かれている。；太平洋戦争末期に竣工したが訓練に終始し、戦後アメリカに引き渡された。</t>
        </is>
      </c>
      <c r="J3834">
        <f>HYPERLINK("https://www.weblio.jp/content/終始", "词义详情")</f>
        <v/>
      </c>
      <c r="K3834">
        <f>HYPERLINK("https://yourei.jp/終始", "查看例句")</f>
        <v/>
      </c>
    </row>
    <row r="3835">
      <c r="A3835" t="inlineStr">
        <is>
          <t>習字</t>
        </is>
      </c>
      <c r="B3835" t="inlineStr">
        <is>
          <t>成功</t>
        </is>
      </c>
      <c r="C3835" t="inlineStr">
        <is>
          <t>読み方：しゅうじ
文字を正しく、美しく書く練習。もと、小・中学校における国語科の一分野。現在では書写といい、硬筆と毛筆とによって指導される。</t>
        </is>
      </c>
      <c r="D3835" t="inlineStr">
        <is>
          <t>習字教室；習字帳；習字用；習字教科書；習字帖</t>
        </is>
      </c>
      <c r="E3835" t="inlineStr">
        <is>
          <t>書道；能書；表意文字；カリグラフィー；入木</t>
        </is>
      </c>
      <c r="F3835" t="inlineStr">
        <is>
          <t>ボールペン習字</t>
        </is>
      </c>
      <c r="H3835" t="n">
        <v>29</v>
      </c>
      <c r="I3835" t="inlineStr">
        <is>
          <t>全く書を専門に教える習字の先生から尊ぶべき書が生まれた試しはない。；母は、子供に習字を教えたりしているので、書には興味があるらしい。；それだけのことが、お習字のような丁寧な字で書かれていたきりです。；また橋梁部に設置する銘板には各小学校の習字が採用されることになった。；習字の先生、メスマーのところに下宿しようかと考えたことは事実です。；小学校の生徒も習字のある日などは、大概顔や手足を汚して帰って来る。；向かいの席で習字に朱を入れていた花井先生が、顔を上げて微笑した。；まだ元気だった頃は、近所の子供を集めて習字教室をやっていた。；図工の時間に描いた絵や、習字で書いた四文字の熟語がはりつけられる。；素読は父の又五郎が教え、母が習字や針の使いかたなどを教えていた。；私が教室を開いた時、誰が西洋のお習字なんて習いに来ると思った?；母は習字のほうは相当やっていたので、なかなかの達筆でかかれてあった。；習字ばかりではなく、これからは大学・中庸なども読ませなくてはならぬ。；いっけん習字か何かの反古紙にも見える包装用の紙には、図柄があった。；先生は教室のうしろの壁に、昨日書いた生徒の習字を貼りはじめた。；一年生から六年生までの習字のうち、甲を取ったもの十枚を貼って行く。；机に向ってお習字をやっている途中で、ふいにしゃくりあげはじめたのだ。；枝に枝のさした冬の木にながめ入っては、しきりと習字を始めた。；習字を教えられた照姫は、たちまち上達して守役の者たちを一驚させた。；この板はごく最近まで朝鮮の寺子屋で習字や作詩のため用いられた。；第一が暗誦第二が習字で時間の上からいうと最も多く習字に費やされて居る。；いや、お習字されすぎて、頭がぼーっとしていたのがたぶん大きい。；習字箱のようなものを持った女性の姿だったという。；教室のうしろの壁に貼ってある図画や習字のうまさに、竜太は目を瞠った。；こんな頭の悪い時に習字でもして置かうと思つて自分の名だの良人の名だのを書いて居た。；自分もあの先生に教えを受けて、今では習字の塾を開いている。；無くなつてみれば勿論紀念にもならないし、習字の手本にもならない。；マッカーサーが習字をやめさしよってから日本の子供は心が荒んだ。；左利きであるが、ギター・ボウリング・習字などは右手を使っている。</t>
        </is>
      </c>
      <c r="J3835">
        <f>HYPERLINK("https://www.weblio.jp/content/習字", "词义详情")</f>
        <v/>
      </c>
      <c r="K3835">
        <f>HYPERLINK("https://yourei.jp/習字", "查看例句")</f>
        <v/>
      </c>
    </row>
    <row r="3836">
      <c r="A3836" t="inlineStr">
        <is>
          <t>重視</t>
        </is>
      </c>
      <c r="B3836" t="inlineStr">
        <is>
          <t>成功</t>
        </is>
      </c>
      <c r="C3836" t="inlineStr">
        <is>
          <t>読み方：じゅうし
［名］(スル)重要なものとして注目すること。「実績を—する」⇔軽視。</t>
        </is>
      </c>
      <c r="D3836" t="inlineStr">
        <is>
          <t>重視する(20%)；重視される(7%)；重視型；重視政策；重視派</t>
        </is>
      </c>
      <c r="E3836" t="inlineStr">
        <is>
          <t>優先；重要視；重大視</t>
        </is>
      </c>
      <c r="F3836" t="inlineStr">
        <is>
          <t>みを重視；攻撃重視；スピード重視；守備重視；ストーリー重視</t>
        </is>
      </c>
      <c r="H3836" t="n">
        <v>29</v>
      </c>
      <c r="I3836" t="inlineStr">
        <is>
          <t>米国では理論だけの研究はほとんどなく理論と実証の往復が重視される。；現代の潜水艦は水中での高速性や静粛性を重視し、砲を装備していない。；家族の存続を重視する朝鮮の伝統社会では、結婚が成人の指標とされた。；座席配置は100番台と同じであるが、経済性を重視した設計とされた。；彼女が重視したのはそれぞれの曲に合った精緻な音色と想像力であった。；舞台背景も重視されず、謎を成立させるために非現実的な設定の作品もある。；スギの葉から作られる線香は匂いよりも煙の量を重視したものである。；これらは当時朝廷から重視された神社であることを示している。；エンジニアリングは、数学と科学の機能と利用を重視した設計に適用。；イギリス・アメリカでは大学院教育が重視されるようになる。；だが、ラテン語が今日の欧州で重視されているとまでいうことはできない。；原少将は、自らの南方重視索敵が的中したことで勝利を確信したという。；中国語の歌は、メロディーに歌詞をつける際に声調はあまり重視されない。；機動力が重視される現代の戦争においては歩兵も機械化されることが多い。；この価値は他の価値に依存しており、チームワークを重視している。；ここでも容量単価の低さを重視するアップルの基本戦略が発揮された。；経済建設を重視し、穏健な改革を訴え、都市市民らの支持を集めたとされる。；女尊男卑する文化と建物構造も女重視で男軽視の構造になっている。；初期のキリスト教会が外形的な表現を重視しなかったわけではない。；Perl を代替可能であることが初期の段階から重視されている。；最近では法治を重視する政策の下、一定の役割を果すようになってきている。；中国や日本においては、特に主要な五種の穀物を五穀と呼び重視してきた。；つまり、ユーザのイメージがすぐ実現するということを重視するのである。；どちらを重視して補正し他方を犠牲にするかを選べるレンズ銘柄もある。；この学校は現代美術の動向や国際性を重視しており、トーベはらに学んだ。；用途によっては、光学的性質と力学的性質の両方が重視される場合もある。；インド占星術では太陽よりも月をどちらかというと重視する。；父ヴィンチェンツォは音響学の研究で数的な記述・分析を重視する手法を用いた。；山縣有朋や井上馨も北海道を視察して屯田兵を重視すべきとの印象を得た。</t>
        </is>
      </c>
      <c r="J3836">
        <f>HYPERLINK("https://www.weblio.jp/content/重視", "词义详情")</f>
        <v/>
      </c>
      <c r="K3836">
        <f>HYPERLINK("https://yourei.jp/重視", "查看例句")</f>
        <v/>
      </c>
    </row>
    <row r="3837">
      <c r="A3837" t="inlineStr">
        <is>
          <t>従事</t>
        </is>
      </c>
      <c r="B3837" t="inlineStr">
        <is>
          <t>成功</t>
        </is>
      </c>
      <c r="C3837" t="inlineStr">
        <is>
          <t>読み方：じゅうじ
［名］(スル)もっぱらその仕事に携わること。「研究に—する」</t>
        </is>
      </c>
      <c r="D3837" t="inlineStr">
        <is>
          <t>従事する(21%)；従事者(4%)；従事中郎；従事史；従事員</t>
        </is>
      </c>
      <c r="E3837" t="inlineStr">
        <is>
          <t>関与；奉公；奉仕；執務；献身</t>
        </is>
      </c>
      <c r="F3837" t="inlineStr">
        <is>
          <t>業務従事；作戦従事；第三次産業従事；第一次産業従事；第二次産業従事</t>
        </is>
      </c>
      <c r="H3837" t="n">
        <v>29</v>
      </c>
      <c r="I3837" t="inlineStr">
        <is>
          <t>したがって労働に従事させる者もいずれは殺害するつもりであった。；その後の二水戦に大規模海戦を行う機会は訪れず、局地輸送に従事した。；この両市街地・集落に酪農従事者世帯以外の住民の大半が居住している。；つまり、それ以前の武に従事した者は、武官ではあっても武士ではない。；朝鮮十三道には道長官が任命されそれぞれの支所で行政任務に従事した。；軽い家内労働に従事できる者や奴隷身分から解放される者はごく少数だった。；チャージャーで訓練を終えた兵は大西洋での対潜水艦任務に従事した。；ブレジネフ政権末期の頃には党のイデオロギー担当の仕事に従事した。；その一方で宣教師達は教育・医療に従事しアユタヤー王朝に貢献した。；歴史家で自らも戦時中に暗号解読に従事していたは次のように述べている。；多くの住人が、新しく始まった窯業とそれに関連する産業に従事していた。；もちろん、ある特定の資格を持たないと従事できない職業もある。；彼らは京都鴨川河原に小屋住まいをし、都の民のために賤業に従事した。；続いて南太平洋海戦では陸軍のガダルカナル島での総攻撃支援に従事。；以後16年間この職に従事しつつ、余暇を利用して執筆活動を続けた。；海岸の大代地区には漁業に従事する人々が暮らしていたようである。；一部の自治体では、社会福祉事業従事者試験に合格のみで任用されている。；そのため、これに研究従事する人々の属する分野は様々である。；主教の監督下に司祭が置かれ、主に地域の個教会の牧師の任務に従事する。；工事は困難を極め、数万の人夫が工事に従事し、多数が死亡している。；自衛隊員の中で階級と制服が指定され、武装して戦闘に従事する要員を指す。；ただし社員となっている人物が法人の業務に従事することに法令上の規制はない。；翻訳時代には、イスラム教徒以外にも、翻訳活動に従事していた人物が多い。；元々は貧しい家の出だったが、文武に優れた能力を発揮して州の従事となった。；シューハートは翌年設立されるベル研究所で引退するまで研究に従事した。；また、家庭内労働従事者にたいして、この用語が使用される場合がある。；教頭時代にもレムセンとの研究に従事し、化学工業界での業績を残した。；彼は時折、この地域の自治体の道路整備や脱穀作業の仕事に従事していた。；中央官であり、通常は都に居住して神宮関係の行政に従事した。</t>
        </is>
      </c>
      <c r="J3837">
        <f>HYPERLINK("https://www.weblio.jp/content/従事", "词义详情")</f>
        <v/>
      </c>
      <c r="K3837">
        <f>HYPERLINK("https://yourei.jp/従事", "查看例句")</f>
        <v/>
      </c>
    </row>
    <row r="3838">
      <c r="A3838" t="inlineStr">
        <is>
          <t>終日</t>
        </is>
      </c>
      <c r="B3838" t="inlineStr">
        <is>
          <t>成功</t>
        </is>
      </c>
      <c r="C3838" t="inlineStr">
        <is>
          <t>読み方：しゅうじつ
一日中。朝から晩まで。まる一日。ひねもす。「—机に向かう」</t>
        </is>
      </c>
      <c r="D3838" t="inlineStr">
        <is>
          <t>終日停車する(3%)；終日無人駅；終日運行；終日運転；終日営業</t>
        </is>
      </c>
      <c r="E3838" t="inlineStr">
        <is>
          <t>いつも；いつでも；常時；一日中；一晩中</t>
        </is>
      </c>
      <c r="F3838" t="inlineStr">
        <is>
          <t>終日無料；終日有人駅；終日放送；終日配置；終日雨</t>
        </is>
      </c>
      <c r="H3838" t="n">
        <v>29</v>
      </c>
      <c r="I3838" t="inlineStr">
        <is>
          <t>往復の場合は一日乗車券がセットされるので他の列車も終日利用できた。；それ以外は天神大牟田線で運用されている車両が終日共通で運用される。；後に本人が語ったところによると、終日拘束具をつけられていたという。；その一方で、上り同士・下り同士の普通の対面接続が終日行われている。；営業担当は平日の日中のみ配置だが、輸送担当は終日配置されている。；終日社員配置で営業社員のほか、信号詰所には運転社員が配置されている。；利用客は少ないが終日駅員が配置されており運転扱いも行われている。；廃止時点では5時台から22時台まで終日12分間隔で運行されていた。；また、終日、屋外で仕事をしている男性によく見られる風俗ともされる。；終日立ち込めるカトマンズの霧は火葬場の煙であるとさえ言われている。；終日無人駅の扱いであるが、ホーム上には乗車券発売所が設置されている。；なお開運橋東五差路は菜園通りから当線への右折が終日禁止されている。；カッコ内は主な系統のうち、原則として毎日、終日運行されている区間。；また、駅員がホームに終日待機し乗換放送やホームの監視を行っている。；南側は終日開いており、トレモント・アベニューへと出ることができる。；ほぼ終日設定されており、日中は1時間あたり4本が運転されている。；野田線も春日部駅で大宮方面の始発列車が終日に渡って設定されている。；病の終日の苦しさのため、しだいに妻はほとんど黙っているようになった。；終日机に向い続けたため、やがて足腰が立たなくなるほどであったという。；隔日で本車両が終日運用に入ることもあり、運用の頻度が増している。；日曜だというと、二人は教会の入口へ行って、終日そこに佇んでいた。；終日無人駅であり、駅舎には窓口も残っているものの使われていない。；終日凍結するような環境では多くが春を迎えられずに死亡する。；トンネルの手前に信号扱所があり、終日信号係の職員が常駐していた。；一度運用についた電車は、基本的には終日同じ方向への環状運転を行っている。；かつては京都方面からの直通列車が終日にわたって設定されていた。；当駅は終日有人駅のため、2両編成ではホーム側の全てのドアが開く。；また、詔して終日諸生に音楽を演奏させていたのをやめさせた。；事故発生から終日運営休止となり、以降営業休止の状態が続いていた。</t>
        </is>
      </c>
      <c r="J3838">
        <f>HYPERLINK("https://www.weblio.jp/content/終日", "词义详情")</f>
        <v/>
      </c>
      <c r="K3838">
        <f>HYPERLINK("https://yourei.jp/終日", "查看例句")</f>
        <v/>
      </c>
    </row>
    <row r="3839">
      <c r="A3839" t="inlineStr">
        <is>
          <t>充実</t>
        </is>
      </c>
      <c r="B3839" t="inlineStr">
        <is>
          <t>成功</t>
        </is>
      </c>
      <c r="C3839" t="inlineStr">
        <is>
          <t>読み方：じゅうじつ
［名］(スル)必要なものが十分に備わること。中身がいっぱいに満ちていること。「設備を—させる」「内容の—した試合」</t>
        </is>
      </c>
      <c r="D3839" t="inlineStr">
        <is>
          <t>充実させる(4%)；充実化；充実感；充実度；充実期</t>
        </is>
      </c>
      <c r="E3839" t="inlineStr">
        <is>
          <t>充満；充溢；遍満</t>
        </is>
      </c>
      <c r="F3839" t="inlineStr">
        <is>
          <t>かなり充実；機能充実；内容充実；整備充実；一番充実</t>
        </is>
      </c>
      <c r="G3839" t="inlineStr">
        <is>
          <t>充実ぶり；充実野菜</t>
        </is>
      </c>
      <c r="H3839" t="n">
        <v>29</v>
      </c>
      <c r="I3839" t="inlineStr">
        <is>
          <t>現在は記事を作ることよりも内容を充実させることが求められています。；車両面の充実のほかに路線の延長や施設の改良・拡充も積極的に行われた。；とりわけ教育や医療などの公共サービスを充実させるよう提言している。；画像配信の手段が充実するとともに運用の機会はかなり減少している。；この危機を乗り越えるために経済力・工業力の充実を指向したのである。；良質な温泉と施設が充実しているので地元でも人気があるとされる。；この分野の執筆者は少ないですが、将来的に充実する可能性があります。；また、ブラジルの店では牛肉の提供が充実しており、非常に贅沢である。；ただし、事務局の体制が充実していると、これも形骸化する場合もある。；バスは路線が充実しており、乗り継ぎをすれば大体はどこへでも行ける。；テーマパークの成功のためには、コンテンツの魅力と充実が求められる。；駅舎は1990年代の設計・建築のため、施設は比較的充実している。；このプロジェクトの目的は、音楽関連の記事のさらなる充実なのです。；それを受けて同年、2回目は、腹袋が充実した内臓の強い仔を目指した。；そのため軍はドイツ義勇軍組織を充実させ、軍の補助部隊としようとした。；新興住宅地の新設駅が徐々に設備内容を充実させていった顕著な例といえる。；教室の他に実習室が多くあり、作業機器など実習設備も充実している。；校舎かと間違われるほどの寮や専用の球場などの充実した設備をもつ。；後述のように、公立高校としては設備が充実している方だといわれる。；低年層をターゲットとしているが、ストーリーなどの充実度は高い。；質・量ともに充実しており極めて貴重な資料であるといえよう。；弟の趙匡義が跡を襲って中国の統一を果たし、科挙制度の充実を図った。；その高い人気から充実した様々な商品展開を行っている。；失業給付が充実していれば失業状態を続けようとする意思が働いてしまう。；後述のようにそれらを活用するツールやドライバの類も充実することとなった。；描かれたグラフに対しての回転や反転などの編集機能も充実している。；そのほかの駅でも、駅ナカの充実など駅自体の集客能力の向上を進めている。；また、年々厳しくなる安全性能に対応すべくさらに装備を充実させた。；教育の充実と質素倹約を旨とし「備前風」といわれる政治姿勢を確立した。</t>
        </is>
      </c>
      <c r="J3839">
        <f>HYPERLINK("https://www.weblio.jp/content/充実", "词义详情")</f>
        <v/>
      </c>
      <c r="K3839">
        <f>HYPERLINK("https://yourei.jp/充実", "查看例句")</f>
        <v/>
      </c>
    </row>
    <row r="3840">
      <c r="A3840" t="inlineStr">
        <is>
          <t>終止符</t>
        </is>
      </c>
      <c r="B3840" t="inlineStr">
        <is>
          <t>成功</t>
        </is>
      </c>
      <c r="C3840" t="inlineStr">
        <is>
          <t>読み方：しゅうしふ
１欧文などで、文の終わりに打つ符号。ピリオド。
２音楽で、曲の終わりを示す符号。
３物事の終わり。結着。結末。</t>
        </is>
      </c>
      <c r="D3840" t="inlineStr">
        <is>
          <t>終止符を打つべく；終止符を打ち閉店</t>
        </is>
      </c>
      <c r="E3840" t="inlineStr">
        <is>
          <t>ピリオド；句点</t>
        </is>
      </c>
      <c r="H3840" t="n">
        <v>29</v>
      </c>
      <c r="I3840" t="inlineStr">
        <is>
          <t>番組開始から約2ヶ月間にも及ぶ、タイトルなし状態に終止符を打った。；世界中の悲しんでいる人に笑顔と希望を届けるため終止符を求めている。；上記の事故がきっかけで11年間のアメリカ生活に終止符を打ち、帰国。；女と昆虫屋のこの不愉快な馴れ合いに早く終止符をうちたいだけなのだ。；彼女との関係は、いずれは終止符を打たなければならない性質のものである。；しかし、それで流血と恐怖と住民の不安に終止符が打たれたわけではない。；大手メーカーに左右されてきた歴史に終止符をうち、地酒をとり戻したい。；それは同時に、自分の軍人生活に終止符が打たれたのを認めたことでもあった。；この激しい戦いは、オードリー卿自身が戦死したことで終止符を打たれた。；ひとつの恋に終止符を打って、その足で来たのが北の国、余市だった。；ひとりにならないよう皆を友達にするため終止符を求めている。；手紙を書いて、両親に報告すれば、この留保に終止符を打つことになる。；川口は、あれで終止符が打たれたはずなのに、なんてことをしたんだ。；このどこまでも異常な数週間に終止符を打つ、ねぎらいの言葉を待った。；そこへ合流した一人娘のセルマに自らを殺させ二人の戦いに終止符をうつ。；展開を予測することは不可能だし、どこで終止符がうたれるかもわからない。；また、この作品は一連の日本語ロック論争に終止符を打ったとも言われる。；この独占はアングロックが一二二二年に出現するに及んで終止符を打った。；このため感嘆符は、終止符の役割を代替して文の終わりも示すことがある。；断固として終止符を打たなければ、人生の前途に黒い幕がおりてしまう。；このような政治状況の変化がバッカニアの活動に終止符を打つことになった。；それだけで、Dとブロージュ伯との死闘に終止符を打たせた男であった。；乱世に終止符を打つべく、三者三様の立場でそれぞれの道を進んでいく。；この結果により、ユニットは解散となり約2年半の歴史に終止符を打った。；一度で終わる関係もあれば、数回続けて会って急に理由なく終止符が打たれる相手もいた。；そして七千年におよんだ神々と王たちと人々の争いに終止符が打たれたのである。；何とかしてこのマスコミの波状攻撃に終止符を打たなければならない。；また、初期作品から続いた大河的な流れに一つの終止符が打たれた物語でもある。；彼はあなたとの恋愛に終止符を打つことを本気で考えるだろう。</t>
        </is>
      </c>
      <c r="J3840">
        <f>HYPERLINK("https://www.weblio.jp/content/終止符", "词义详情")</f>
        <v/>
      </c>
      <c r="K3840">
        <f>HYPERLINK("https://yourei.jp/終止符", "查看例句")</f>
        <v/>
      </c>
    </row>
    <row r="3841">
      <c r="A3841" t="inlineStr">
        <is>
          <t>収集</t>
        </is>
      </c>
      <c r="B3841" t="inlineStr">
        <is>
          <t>成功</t>
        </is>
      </c>
      <c r="C3841" t="inlineStr">
        <is>
          <t>読み方：しゅうしゅう
［名］(スル)
１寄せ集めること。「ごみの—日」
２趣味・研究などのために集めること。また、そのもの。コレクション。「資料を—する」「切手の—家」</t>
        </is>
      </c>
      <c r="D3841" t="inlineStr">
        <is>
          <t>収集する(9%)；収集家(3%)；収集物；収集対象；収集活動</t>
        </is>
      </c>
      <c r="E3841" t="inlineStr">
        <is>
          <t>収録；取る；集合；集める；コレクション</t>
        </is>
      </c>
      <c r="F3841" t="inlineStr">
        <is>
          <t>資料収集；ゴミ収集；美術品収集；情報収集；美術収集</t>
        </is>
      </c>
      <c r="G3841" t="inlineStr">
        <is>
          <t>収集品；収集癖；収集型金貨</t>
        </is>
      </c>
      <c r="H3841" t="n">
        <v>29</v>
      </c>
      <c r="I3841" t="inlineStr">
        <is>
          <t>エフェクターも自身が収集してきたヴィンテージ品を多く使用している。；後の古代オリエントの王国や帝国は文書収集の長い伝統を持っていた。；その資料とするために、彼はいろいろなものを積極的に収集するようになる。；収集の対象は娘のオルガの臨終の床での言葉や動物の鳴き声にも及んだ。；幼少時は漫画の収集、さらに父と美術館に足を運ぶことが趣味であった。；不特定多数の人々が利用する環境ゆえに、収集効率がとても良いためだ。；廃止後は、それまでに収集した個人情報は速やかに消去するとしている。；今日でもヨーロッパ各地の博物館で当時の貴族たちが収集した日本刀を見ることができる。；実地データは、制御されていない現場の環境で収集された生データである。；映画の衣装・小道具の収集は一部のシリーズ・ファンの趣味にもなっている。；彼は1911年にもかつての楼蘭王国の領域を訪れて壁画などを収集した。；黄色は理想的とは言えないが収集の対象と認められるもの。；ただし小・中学校区やゴミ収集などの単位は、必ずしも以下に準じない。；収集した文献や資料は死後、法政大学大原社会問題研究所に寄贈された。；かつて学校や地域を中心に、グリーンマークを収集する活動が行われていた。；インターネットが普及する以前は、非認定団体の情報を収集することは困難であった。；プロトタイプは2機製作され、各種テストによるデータ収集が行われた。；イギリスの宣教師は収集した話をもとに『スワヒリの昔話』を発表した。；日露戦争時には捕虜収容所で通訳を行い、ロシア情報の収集に当たった。；古代中国では周の時代には資料を収集・保存する機関があり史官が設置されていた。；データ収集に当たってICTを使用することを含んだ観察や測定を行うこと。；意識は、それぞれの形態が収集できる印象と関係して成長する。；しかし、シギントや画像情報の収集には高い能力を示すと思われる。；BCLを趣味とする人々は、べリカードの収集を楽しみの一つとする。；これは西太后が熱狂的な収集家であったことに由来するとされる。；また、日本の黒姫童話館にはエンデに関わる多くの資料が収集されている。；上村松園、松篁・淳之の作品などの収集・保管・展示を目的としている。；野球の技術を手に入れるためには、情報を収集するだけではなく実際に体験して自分のものにする。；これは村上の趣味がナイフの収集だったので、趣味から商売に移行したようである。</t>
        </is>
      </c>
      <c r="J3841">
        <f>HYPERLINK("https://www.weblio.jp/content/収集", "词义详情")</f>
        <v/>
      </c>
      <c r="K3841">
        <f>HYPERLINK("https://yourei.jp/収集", "查看例句")</f>
        <v/>
      </c>
    </row>
    <row r="3842">
      <c r="A3842" t="inlineStr">
        <is>
          <t>住所</t>
        </is>
      </c>
      <c r="B3842" t="inlineStr">
        <is>
          <t>成功</t>
        </is>
      </c>
      <c r="C3842" t="inlineStr">
        <is>
          <t>読み方：じゅうしょ
１住んでいる場所。
２法律で、各人の生活の本拠である場所。法人の場合は、その主たる事務所の所在地。→居所(きょしょ)</t>
        </is>
      </c>
      <c r="D3842" t="inlineStr">
        <is>
          <t>住所氏名；住所地；住所表示；住所姓名；住所変更</t>
        </is>
      </c>
      <c r="E3842" t="inlineStr">
        <is>
          <t>所；所在地；行方；途方；住まい</t>
        </is>
      </c>
      <c r="F3842" t="inlineStr">
        <is>
          <t>ご住所；新住所；新しい住所；正確な住所；自宅住所</t>
        </is>
      </c>
      <c r="G3842" t="inlineStr">
        <is>
          <t>住所録；住所不定；住所不定無職；住所証明情報；住所地特例</t>
        </is>
      </c>
      <c r="H3842" t="n">
        <v>29</v>
      </c>
      <c r="I3842" t="inlineStr">
        <is>
          <t>現在居住しているというだけではその場所が住所であるとは限らない。；従って、住所を数回移転した場合、複数の情報が必要となる場合がある。；住所の別の利点は、それが実際の家よりもずっと扱いやすいことである。；ブリタニカの編集を望む者は、事前に本名と住所を登録する必要がある。；古い家の表札には今でも下のような住所で書かれていることがある。；現在この地の多くに、住所の大字の一部に水島の表記が冠せられている。；駅の名前は加古川市の地名である土山だが駅の住所は播磨町野添である。；国民年金と異なり、日本国内に住所を有しない者の任意加入の制度はない。；また、いくつかの住所や通りにも彼の名を由来とするものがある。；住所を知らせた両親から、本気で心配された内容の手紙が届いたこともある。；この場合は新住所の記載された印鑑証明書のみで手続きが可能である。；もっとも便宜的に住所を移動することが可能である為実際的な問題にはならない。；一方で警察に保護されたものの住所や名前などの身元不明の人が13人いた。；勧誘文には3人の銀行口座または住所が記載された送金先リストがある。；本名や住所などを知ったかどうかは告訴期間の起算点に影響しない。；市境を挟むように建設されているため美原方面と橿原方面で住所が異なる。；ほか3村は大字未設置であったが、合併後は旧村名を住所に表記している。；実際の住所がわからなくなることから、悪徳商法にも利用されることがある。；また合併された6町村も会期中に住所が変更されるという珍事が起きた。；星野の助言で達也の実母・桂子の住所や結婚して子供がいることが判明。；なお東京版では過去に全本社の住所が掲載されていた。；ただし、発行所と住所は東京本社ではなく中部支社のものが表記されている。；その中で訴状を公開し、返還を拒否している男性の住所と実名が判明した。；そして残る一人の住所に行ってみると、そこはジョナスのオフィスだった。；次のプログラムは入力として顧客番号を受け取って名前と住所を出力する。；駅自体は御嵩町中にあるが、道路の反対側から住所が御嵩町御嵩に変わる。；個人の住所を表すにも、その者が住んでいる建物の「所在」を使う。；通信教育は、以下の区域内に住所を有する者に対して行うものとする。；また以前から、実際の住所以外の場所に何らかの貢献をしたいという人は存在した。</t>
        </is>
      </c>
      <c r="J3842">
        <f>HYPERLINK("https://www.weblio.jp/content/住所", "词义详情")</f>
        <v/>
      </c>
      <c r="K3842">
        <f>HYPERLINK("https://yourei.jp/住所", "查看例句")</f>
        <v/>
      </c>
    </row>
    <row r="3843">
      <c r="A3843" t="inlineStr">
        <is>
          <t>就職</t>
        </is>
      </c>
      <c r="B3843" t="inlineStr">
        <is>
          <t>成功</t>
        </is>
      </c>
      <c r="C3843" t="inlineStr">
        <is>
          <t>読み方：しゅうしょく
［名］(スル)職業につくこと。新しく職を得て勤めること。「地元の企業に—する」「—試験」</t>
        </is>
      </c>
      <c r="D3843" t="inlineStr">
        <is>
          <t>就職する(13%)；就職口(2%)；就職後；就職でき；就職支援</t>
        </is>
      </c>
      <c r="E3843" t="inlineStr">
        <is>
          <t>就労；就業</t>
        </is>
      </c>
      <c r="F3843" t="inlineStr">
        <is>
          <t>出て就職；就職斡旋；就職難；就職面接；就職課</t>
        </is>
      </c>
      <c r="G3843" t="inlineStr">
        <is>
          <t>就職先；就職難；就職試験；就職率；就職氷河期</t>
        </is>
      </c>
      <c r="H3843" t="n">
        <v>29</v>
      </c>
      <c r="I3843" t="inlineStr">
        <is>
          <t>この時代に大量に採用された社員を指してバブル就職世代とも言われる。；その後、兄が就職して家を出たため、その後は母と二人暮らしになった。；短期大学の卒業を控えた主人公の就職、恋愛への不安と成長が描かれる。；就職しても収入額に応じて段階的な保障が受けられる制度に変更した。；大学卒業後に一旦就職し、しばらくたってから大学院に入学する人も多い。；都市部の中小企業に就職したかれらの豊富な労働力が日本経済を支えた。；帰還者たちは、居住の自由や就職の自由、すべての自由が奪われていた。；大学生の就職人気企業ランキングの文系部門では第1位を長年得ていた。；最高裁裁判官には任命されなかったが、公職就職禁止は非該当となった。；このパッケージでは、退職金のほか次の就職までの支援なども含まれる。；主に情報・総合コースは就職、進学コースは進学を目的としている。；就職を希望している人のうち、どれだけの人数が就職したかという割合。；またその進路の大きな特徴は、病院への就職に非常に強いことである。；進学対策や就職対策など、進路に応じて多様なコースを設置している。；それまで本人は、デパートにでも就職するつもりだったと語っている。；どのアルバイトも長く続けていれば卒業後に就職しないかと誘われる。；このインターンシップで経験を積むことが就職の必須条件となっている。；卒業後は両親を安心させるために繊維会社に就職するも並行して劇団に入る。；就職により生活の目途が立ったため、学生の身分を維持したまま結婚した。；そのため、日本への就職を求める韓国の若者が毎年増加している。；大学卒業後に就職するもその後脱サラし、演劇などを経て漫画家を志す。；しかし、父親の強い勧めによってパリで法律を学び、内務省に就職した。；教育を受けた若者はさらに高い教育や就職の機会を求めて他州に出て行く傾向にある。；同年のうちに当時日本の植民地だった台湾に渡り製糖会社に就職。；アニメのみで、環境保護局の自然調査員に就職するとの設定がある。；大学ではアナウンス研究会に所属し、放送業界への就職を目指すようになる。；また一旦就職した人がその仕事を失い再度就職することもある。；大学で音楽について専門的に学んだとしても就職が安定しないことが多い。；東海大学医学部付属病院をはじめ医療機関への就職者が大半となっていた。</t>
        </is>
      </c>
      <c r="J3843">
        <f>HYPERLINK("https://www.weblio.jp/content/就職", "词义详情")</f>
        <v/>
      </c>
      <c r="K3843">
        <f>HYPERLINK("https://yourei.jp/就職", "查看例句")</f>
        <v/>
      </c>
    </row>
    <row r="3844">
      <c r="A3844" t="inlineStr">
        <is>
          <t>修飾</t>
        </is>
      </c>
      <c r="B3844" t="inlineStr">
        <is>
          <t>成功</t>
        </is>
      </c>
      <c r="C3844" t="inlineStr">
        <is>
          <t>読み方：しゅうしょく
［名］(スル)
１美しく飾ること。よく見せるために上辺を飾ること。「過大に—して話す」
２文法で、ある語句が他の語句の意味を限定したり詳しくしたりすること。</t>
        </is>
      </c>
      <c r="D3844" t="inlineStr">
        <is>
          <t>修飾する(18%)；修飾される(4%)；修飾子(4%)；修飾語(2%)；修飾酵素</t>
        </is>
      </c>
      <c r="E3844" t="inlineStr">
        <is>
          <t>模様；限定；装飾；飾り；化粧</t>
        </is>
      </c>
      <c r="F3844" t="inlineStr">
        <is>
          <t>ヒストン修飾；疾患修飾；後置修飾；共有結合修飾；クロマチン修飾</t>
        </is>
      </c>
      <c r="G3844" t="inlineStr">
        <is>
          <t>修飾キー；修飾部；修飾塩基；修飾語句；修飾麻疹</t>
        </is>
      </c>
      <c r="H3844" t="n">
        <v>29</v>
      </c>
      <c r="I3844" t="inlineStr">
        <is>
          <t>すべてがいっさいの修飾を離れて純粋な人間の苦しみを現わしている。；以下の表に、人を表す絵文字と5個の修飾子との全ての組み合わせを示す。；データ型の名前はそれが含まれるポッドの名前によって完全修飾される。；限定形の形容詞は、被修飾名詞を限定したり特定するために用いられる。；形容詞は名詞と同様に変化し、修飾する名詞と性・格・数を一致させる。；常に修飾する名詞の性・格・数に影響を受けない無変化形容詞もある。；また一部の原核生物では、複数のタイプの制限修飾システムを保持している。；修飾語が後置修飾になる以外は、中国語と非常によく似た性格を持つ。；上記のほかにタンパク質合成後に修飾を受けるアミノ酸残基も存在する。；その修飾のない言葉と笑顔とが、重吉の大きく緊った口元をもゆるめた。；反対側の面はトランス面と呼ばれ、修飾された化合物が出ていく場所である。；ナノダイヤモンドの表面を化学修飾することで様々な特性を付与できる。；肩文字はべき乗を示すだけでなく、関数の修飾を意味することがある。；長期予後を改善する病態修飾薬の登場で機能予後も改善されつつある。；DNA同士の二本鎖であるが修飾が異なるためヘテロ二本鎖核酸である。；定量的で均一なアルキル化のためには修飾するタイミングが重要である。；何の修飾もない質問ではあるが、特にここで修飾する必要はない。；ここで、gは名前の重複問題がないのに修飾されていることに注意して欲しい。；そのたびに物語は発展し、修飾されていって、一つの完成した形になっていったようです。；しかしそれはこの記憶が何回となく再生されている中に、自ら修飾されたものであろう。；RNAでは、主要ではない塩基や修飾された塩基はより頻繁に生じる。；形容詞・動詞および一部の数詞は修飾する名詞の性・数に応じて変化する。；ハードウェアに近い操作を行う処理を記述する際は、特に重要になる修飾子である。；黒いは猫がを修飾するから、黒いは猫がに依存している。；母親は笑ひを噛み殺し、妹はさすがにしなを作つて銅羅声を修飾した。；地名や言語名は修飾語と固有名詞の組み合わせで表現される。；さらにはどちらでもなく適当に両者をくっつけ修飾したものということもあり得る。；さらにこの語が 「馬」を修飾する場合は、連音変化によって となる。；コンストラクタを宣言する際に使える修飾子はアクセス修飾子のみである。</t>
        </is>
      </c>
      <c r="J3844">
        <f>HYPERLINK("https://www.weblio.jp/content/修飾", "词义详情")</f>
        <v/>
      </c>
      <c r="K3844">
        <f>HYPERLINK("https://yourei.jp/修飾", "查看例句")</f>
        <v/>
      </c>
    </row>
    <row r="3845">
      <c r="A3845" t="inlineStr">
        <is>
          <t>十字路</t>
        </is>
      </c>
      <c r="B3845" t="inlineStr">
        <is>
          <t>成功</t>
        </is>
      </c>
      <c r="C3845" t="inlineStr">
        <is>
          <t>読み方：じゅうじろ
十字に交わっている道路。また、その場所。四つ辻。
[補説]書名別項。→十字路</t>
        </is>
      </c>
      <c r="D3845" t="inlineStr">
        <is>
          <t>十字路交差点(3%)；十字路付近；十字路発着；十字路間；十字路停留所</t>
        </is>
      </c>
      <c r="E3845" t="inlineStr">
        <is>
          <t>交差点；辻；交叉点；四辻；四つ角</t>
        </is>
      </c>
      <c r="F3845" t="inlineStr">
        <is>
          <t>東港線十字路；胡屋十字路；コザ十字路；東峰十字路；臨海十字路</t>
        </is>
      </c>
      <c r="H3845" t="n">
        <v>29</v>
      </c>
      <c r="I3845" t="inlineStr">
        <is>
          <t>撮影が一段落して来た道を戻ってゆくと、さっきの十字路まで来ました。；終点のひとつ手前が仁多行のバスが来る十字路で、二人はそこで降りた。；はじめの十字路で、別の車が出て来て、わたしたちの車の前を走った。；そこをさらに左へ曲がり、建物ひとつ分、走ったところが十字路である。；この十字路からは細い道が何本か伸びていて、あちこちの鉱山に通じていた。；人形部屋の前の通路は少し先で十字路になっているんだけど。；そのカーブを抜けた場所からほんの目と鼻の先に、あの十字路が見えた。；狭い裏通りを二十メートルほど進んだところで、十字路にさしかかった。；太市は、南課長の家を出ると、十字路のほうに向かって戻って行った。；道は十字路から五十ヤードと行かぬところで、するどくカーブしていた。；しかし十字路の場面のほうが説明し易いのではないでしょうかね。；十字路に到着したのはおそらく九時十五分か二十分ごろでしょう。；高原の湿地帯にある案内板がある十字路を左に進むと八幡平山頂である。；あの晩こそ運命の十字路にわたしは立っていたのであった。；私たちの会う場所は十字路のしるべの石標の所に決めてありました。；十字路があって、その右手奥には、ぢ、の大看板がビルの上に見えていた。；頼むから、たったいま、この十字路で、僕から離れて行ってもらいたい。；開放地の突端までいくと、崖下にコザ十字路の町が見下ろせるのだった。；車が十字路を曲がって完全に見えなくなるまで、章は動かなかった。；おれは狭い十字路に車をのり入れた時、思わず笑い出してしまった。；その先の平坦になった十字路で、一度だけブレーキランプを点灯させた。；十字路の向こう、あたしたちの正面の位置に新手が十人ほど迫ってきているのだ。；これは南課長が十字路に到着する予定の時刻に多少の誤差があってもいいようにしたのです。；十字路毎に巡査が立つて電車の旗振の代りと通行人の警戒とに当つて居る。；十字路の方に注意を奪われていて、こちらに気づいていない。；逢坂の視線の先、大きな十字路の一隅に、櫛枝実乃梨が立っていたのだ。；会場は街の三カ所、周辺を高いビルが囲んだ十字路で主に開かれた。；そして罐へ入れて封をし、人に見られないようにして十字路に埋める。；二〇秒ほど走ったろうか、眼前の広い十字路にある人だかりが目に入った。</t>
        </is>
      </c>
      <c r="J3845">
        <f>HYPERLINK("https://www.weblio.jp/content/十字路", "词义详情")</f>
        <v/>
      </c>
      <c r="K3845">
        <f>HYPERLINK("https://yourei.jp/十字路", "查看例句")</f>
        <v/>
      </c>
    </row>
    <row r="3846">
      <c r="A3846" t="inlineStr">
        <is>
          <t>重心</t>
        </is>
      </c>
      <c r="B3846" t="inlineStr">
        <is>
          <t>成功</t>
        </is>
      </c>
      <c r="C3846" t="inlineStr">
        <is>
          <t>読み方：じゅうしん
１物事の中心となる点。均衡を保つはたらきをするもの。「—を置く」
２物体の各部に働く重力をただ一つの力で代表させるとき、それが作用する点。質量中心。「—が低い」
３数学で、図形上に一様に質量を分布させたときの質量中心。三角形では頂点と各対辺との中点を結ぶ3本の線分の交点。</t>
        </is>
      </c>
      <c r="D3846" t="inlineStr">
        <is>
          <t>重心位置(7%)；重心化(4%)；重心移動(2%)；重心を低く；重心降下</t>
        </is>
      </c>
      <c r="E3846" t="inlineStr">
        <is>
          <t>的；中心；核；焦点；ピント</t>
        </is>
      </c>
      <c r="F3846" t="inlineStr">
        <is>
          <t>共通重心；地理重心；低い重心；機体重心；地理的重心</t>
        </is>
      </c>
      <c r="G3846" t="inlineStr">
        <is>
          <t>重心ボロノイ分割；重心動揺計</t>
        </is>
      </c>
      <c r="H3846" t="n">
        <v>29</v>
      </c>
      <c r="I3846" t="inlineStr">
        <is>
          <t>どんなプレーでも常に足に重心を意識してからプレーするようにさせました。；そのため多くの機体ではこれらの搭載物は重心付近に置かれている。；つまり、バスタードソードは独特の重心と使用法を持った剣なのである。；重心が低いため投げや引き技で仕留められることはそれほど多くない。；また、高速でも安定した走行が出来るように、重心を低くとった物も多い。；自動車ではエンジンの重心が後車軸中心より後ろにあるものを指す。；ボブスレーでも、小柄な選手が重心の低さを生かそうとする考えもある。；まずこの技でラートの重心移動や逆さの感覚を体験することが出来る。；肢端には3本の趾があり、中央の中指に重心がかかるようになっていた。；これは車両重心が高く横揺れが大きかったことを解消するためである。；オイラー線上にある外心・重心・垂心以外の重要な点をいくつか挙げる。；主には船の重心の位置を低く寄せる事で船の安定性をます効果を期待している。；重心を基底面の外に出すと、そのまま姿勢が変化しなければ自然と倒れる。；重心が手元から遠く、一般的に打球に威力を与えることを重視する形状。；強拍における重心が確保されると小節が成立し、2つ並んで動機となる。；この場合は、恒星の運動は系の重心の周りでほぼケプラーの法則に従う。；連星とは2つの恒星が両者の重心の周りを軌道運動している天体である。；つまり、重量物は機体の先端部の重心の近くに集中して搭載されるようになった。；いずれもドライサンプ化され、車自体の重心を下げることに成功している。；人口重心とは、ある地域に住む人々の居住地点からなる図形の重心である。；車両は、重心を低くするために床の高さを通常のものより75cm低くしてある。；天文学で言う公転は、ある天体が系の重心の周りを周回することを指す。；長く重厚な尾は頭部と胴部のバランスを取り、重心は腰の上にあった。；振子車両に必要とされる軽量化と低重心化を図った車体構造となっている。；着陸装置としては重心よりも後ろの位置に固定式の主輪が取り付けられている。；この艦種では防潜網を網庫から上甲板に上げた時に重心位置が更に高くなる。；また、水素タンクを中心より低い位置に搭載することで低重心化に成功した。；現在主流なのは、重心位置を制御して歩行を制御する方法である。；搭載物を含めた船体重心の位置が浮力の中心より低いことで復原性が生じる。</t>
        </is>
      </c>
      <c r="J3846">
        <f>HYPERLINK("https://www.weblio.jp/content/重心", "词义详情")</f>
        <v/>
      </c>
      <c r="K3846">
        <f>HYPERLINK("https://yourei.jp/重心", "查看例句")</f>
        <v/>
      </c>
    </row>
    <row r="3847">
      <c r="A3847" t="inlineStr">
        <is>
          <t>修正</t>
        </is>
      </c>
      <c r="B3847" t="inlineStr">
        <is>
          <t>成功</t>
        </is>
      </c>
      <c r="C3847" t="inlineStr">
        <is>
          <t>読み方：しゅうせい
［名］(スル)不十分・不適当と思われるところを改め直すこと。「文章の誤りを—する」「—案」「軌道—」</t>
        </is>
      </c>
      <c r="D3847" t="inlineStr">
        <is>
          <t>修正すること(2%)；修正第(2%)；修正される；修正版；修正するため</t>
        </is>
      </c>
      <c r="E3847" t="inlineStr">
        <is>
          <t>変更；変化；改造；改善；調整</t>
        </is>
      </c>
      <c r="F3847" t="inlineStr">
        <is>
          <t>一部修正；バグ修正；軌道修正；下方修正；上方修正</t>
        </is>
      </c>
      <c r="G3847" t="inlineStr">
        <is>
          <t>修正主義；修正条項；修正パッチ；修正主義者；修正液</t>
        </is>
      </c>
      <c r="H3847" t="n">
        <v>29</v>
      </c>
      <c r="I3847" t="inlineStr">
        <is>
          <t>なお現在の国際的な基準時刻は概念を修正した協定世界時を用いている。；こうした問題を解消するために、細かい時刻修正が行われることがある。；その間、通常リリースと同様に6週間毎に修正版のリリースが行われる。；使用色は単色の物、黒・赤・修正用の白の複数色を数段に並べた物もある。；漫画家記事を新たに執筆した際に、関連して追加・修正した方がよい項目。；日本以外ではほとんど修正ヘボン式のみが使われているとしている。；修正刷りのチェックなど校正がほとんど行われなかったためとみられる。；第4版の用語修正版に版を重ねており、世界でも広く使われている。；ネットワーク経由でバグの修正や性能・機能の向上がメーカーより提供される。；その後、映画化された際に、この10話を含めた修正を行ったという。；ここで表に示した科・亜科レベルの修正以外にも、多数の属が科を移動された。；その過程で、ロンドン側の文章に誤りがあったが、その後修正された。；そしていくつかの修正が加えられた末、この法案は正式に可決された。；こちらに移ってからは全ての修正はこの開発ブランチで行われる。；仮に磁気単極子が存在するものとすれば、この式は次のように修正される。；オープニングの映像は1980年代後半のころに一部修正されている。；問題の源を特定したら、次はどのようにその問題を修正するかを決定する作業である。；やがそれで、どちらもセル・オートマトンの定義に何らかの修正を施す。；そのため回を重ねるごとに地の声に近づくよう、少しずつ軌道修正していった。；格納された各データの参照や修正といった管理を容易にするための構成である。；A321の空力特性に合わせて飛行制御システムも小修正が加えられた。；この場合、行動変容ないし行動修正の呼称が用いられることもある。；アニメ版では使った日の翌日の朝に文章や絵が修正前に戻る。；ちなみに三奉請では阿弥陀如来が最初に奉請されるよう修正されている。；初代モデルの欠点であった、撮影画像の下部が緑色になる問題が修正された。；その後の再放送の際には修正されたものが使用されている。；現代の真理概念は様々な形で修正を受け、相対的な傾向を強めている。；これによりSU理論は否定され、大統一理論に修正を迫ることになった。；また考古学の発展もあって、文字の発達や分化の理論も修正された。</t>
        </is>
      </c>
      <c r="J3847">
        <f>HYPERLINK("https://www.weblio.jp/content/修正", "词义详情")</f>
        <v/>
      </c>
      <c r="K3847">
        <f>HYPERLINK("https://yourei.jp/修正", "查看例句")</f>
        <v/>
      </c>
    </row>
    <row r="3848">
      <c r="A3848" t="inlineStr">
        <is>
          <t>自由席</t>
        </is>
      </c>
      <c r="B3848" t="inlineStr">
        <is>
          <t>成功</t>
        </is>
      </c>
      <c r="C3848" t="inlineStr">
        <is>
          <t>読み方：じゆうせき
列車や劇場などで、だれが座ってもよい席。→指定席</t>
        </is>
      </c>
      <c r="D3848" t="inlineStr">
        <is>
          <t>自由席車(4%)；自由席特急料金(3%)；自由席券(2%)；自由席扱い；自由席用</t>
        </is>
      </c>
      <c r="F3848" t="inlineStr">
        <is>
          <t>全車自由席；全席自由席；グリーン車自由席；新幹線自由席；全便自由席</t>
        </is>
      </c>
      <c r="H3848" t="n">
        <v>29</v>
      </c>
      <c r="I3848" t="inlineStr">
        <is>
          <t>かつては自由席車両もあったが、2015年シーズンをもって終了した。；当初は自由席が1両設定されていたが、それ以降は全席指定席となった。；これらの列車は非対号列車と呼ばれており、全席が自由席となっている。；また昼間も新幹線や特急の自由席に座るために多くの駅で行列ができた。；新幹線停車駅相互間では現行の自由席の価格より安価に設定されている。；佐伯は、3号車自由席の中ほどに腰を下ろして、窓の外を眺めている。；外野自由席が左中間・右中間にある外野指定席を挟む形で存在していた。；また、列車が遅れているようなので、何時に乗ってもいい自由席にしたと言ってもいい。；全車自由席の無愛称列車としてはこれが165系最後の運転となった。；自由席の路線でも路線・目的地のアピールとして付けているケースがある。；九両の中、グリーンが一両、指定が六両、残る二両が、自由席だった。；自由席でしたがね、二人分の座席にゆったりと広がってきましたわ。；なお、一部の下り列車では、5号車は普通車自由席となる場合がある。；なお、普通・快速として運行する区間は全車自由席で運転されていた。；急行列車のグリーン車も指定席が基本であったが、自由席のものもあった。；また、全席指定のため自由席の設定や、それに絡めた値引き制度もない。；その近くには信濃川左岸観覧席と呼ばれる有料の自由席も用意されている。；予約時に指定した列車・座席に限り有効で、指定した列車以外は自由席も含めて利用できない。；設定区間内では普通列車・急行列車・特急列車の自由席に乗り降り自由。；外を見たい者にとっては車窓の左右が選べる自由席がよいからである。；折り返しの上りは、各駅停車・全車自由席で通常の列車と同じ運行となる。；宇高航路については、航行時間が短いこともあり、自由席のみであった。；和美は名古屋で乗車して、自由席のある車両に向かって歩いていたのではなかったか。；一般には自由席を利用する際に設定されるが、一部、指定席でも設定されている場合がある。；やはり、今日は、自由席券と指定席券と二列に分かれて並ぶようになっていた。；なお、1号車の自由席車両は通常この区間を走行する車両とほぼ同等の設備となっていた。；座席は指定席ではなく自由席であり、飲食物の持ち込みも自由だった。；当初は全列車が車両指定制の自由席となっていて、乗車駅ごとに指定された車両内の空席を利用する方式をとっていた。；自由席の有効期間は購入日当日限りである。</t>
        </is>
      </c>
      <c r="J3848">
        <f>HYPERLINK("https://www.weblio.jp/content/自由席", "词义详情")</f>
        <v/>
      </c>
      <c r="K3848">
        <f>HYPERLINK("https://yourei.jp/自由席", "查看例句")</f>
        <v/>
      </c>
    </row>
    <row r="3849">
      <c r="A3849" t="inlineStr">
        <is>
          <t>修繕</t>
        </is>
      </c>
      <c r="B3849" t="inlineStr">
        <is>
          <t>成功</t>
        </is>
      </c>
      <c r="C3849" t="inlineStr">
        <is>
          <t>読み方：しゅうぜん
［名］(スル)壊れたり悪くなったりしたところを繕い直すこと。修理。「古い型でもまだ—がきく」「屋根を—する」</t>
        </is>
      </c>
      <c r="D3849" t="inlineStr">
        <is>
          <t>修繕費用；修繕作業；修繕屋；修繕工場；修繕ii</t>
        </is>
      </c>
      <c r="E3849" t="inlineStr">
        <is>
          <t>改善；改正；修理；修正；直し</t>
        </is>
      </c>
      <c r="F3849" t="inlineStr">
        <is>
          <t>大規模な修繕；船舶修繕；大修繕；車体修繕；維持修繕</t>
        </is>
      </c>
      <c r="G3849" t="inlineStr">
        <is>
          <t>修繕費；修繕積立金</t>
        </is>
      </c>
      <c r="H3849" t="n">
        <v>29</v>
      </c>
      <c r="I3849" t="inlineStr">
        <is>
          <t>また1989年春からは一部編成を除いて冷房化と車体修繕も開始した。；州は幾つかの校舎を修繕するか閉鎖し、重要な新しい施設の建設を始めた。；なお今までの三本のベルトは修繕作業を行った後に馬場家に返還された。；碑の下からは何も出土しなかったが、佐々は碑を修繕して鞘堂を建てた。；それまでは築炉会社が行っていた炉の修繕の要請も受けるようになった。；東北ドック鉄工が行う船舶修繕・改造事業の一部を担当することもある。；審判員にどのくらい修繕すれば良いのかアドバイスを聞くことはできる。；また清朝軍の退却時に破壊された橋を修繕して鉄道の運行を再開した。；捕獲されたオランダ艦はみな、修繕が不可能なほどに破壊されていた。；しかしこの峠は、周囲にある他の峠などよりもよく修繕されている。；他にやることもなかったため、ガブリエラはホテルを修繕することにした。；その使用頻度から、外観の修繕と改修が最も必要とされる王冠でもある。；このころはおもに飛行場施設の建設やダムの修繕計画などを手がけている。；客車はタシュケントの鉄道工場で更新修繕されたものが使われている。；河川改修も完全に停滞し、修繕がままならぬ状態で日本は終戦を迎えた。；アメリカでは廃車になった車両を修繕し展示や運転を行うグループが存在する。；修繕と風待ちで更に遅れて一行が再び出発できたのは8月3日だった。；戦後は何度か消失の危機が迫ったが、修繕を重ねて保護されてきた歴史がある。；父は修繕屋をしていたが、村ではもっとも貧しい一家だったという。；ほかの博物館に修繕作業のために売却されたり貸し出されたりした機関車もある。；しかし二人に恩義がある為になんだかんだ言いながらも修繕している。；この全般検査はこれまでにない長期間をかけた修繕作業となった。；さらに車庫には車両検査修繕施設として十分なものを有することとしている。；現在の建築は善導塔以外、1980年以降に修繕・再建されたものである。；その後1955年に更新修繕を受け、片方の運転台と荷物室を撤去した。；修繕されたものの、ラベルは当初のものほど良いものだとは考えていなかった。；営繕役は、建物を新築したり、修繕したりする役、またはその人を指す。；福島側の言い分では、雨漏りする部分を止むを得ず修繕しただけという。；この造船所ではあらゆる種類の海軍艦船の建造・改装・修繕を行っている。</t>
        </is>
      </c>
      <c r="J3849">
        <f>HYPERLINK("https://www.weblio.jp/content/修繕", "词义详情")</f>
        <v/>
      </c>
      <c r="K3849">
        <f>HYPERLINK("https://yourei.jp/修繕", "查看例句")</f>
        <v/>
      </c>
    </row>
    <row r="3850">
      <c r="A3850" t="inlineStr">
        <is>
          <t>収束</t>
        </is>
      </c>
      <c r="B3850" t="inlineStr">
        <is>
          <t>成功</t>
        </is>
      </c>
      <c r="C3850" t="inlineStr">
        <is>
          <t>読み方：しゅうそく
［名］(スル)
１分裂・混乱していたものが、まとまって収まりがつくこと。また、収まりをつけること。「事態の—を図る」「争議が—する」
２数学で、ある値に限りなく近づくこと。収斂(しゅうれん)。⇔発散。
㋐ある無限数列が、ある値にいくらでも近づくこと。
㋑数列の項が、ある値に限りなく近づくこと。
㋒級数の途中までの和が、ある値にいくらでも近い値をとること。
３多くの光線が一点に集まること。収斂。集束。
４海洋学で、流線が周囲から一点に向かって集まること。収斂。</t>
        </is>
      </c>
      <c r="D3850" t="inlineStr">
        <is>
          <t>収束する(26%)；収束させる(4%)；収束後；収束率；収束ビーム</t>
        </is>
      </c>
      <c r="E3850" t="inlineStr">
        <is>
          <t>重複；収拾；交わり；終息；沈静化</t>
        </is>
      </c>
      <c r="F3850" t="inlineStr">
        <is>
          <t>一様収束；弱収束；向かって収束；事件収束；収束超音波</t>
        </is>
      </c>
      <c r="G3850" t="inlineStr">
        <is>
          <t>収束性；収束型境界；収束級数；収束半径；収束列</t>
        </is>
      </c>
      <c r="H3850" t="n">
        <v>29</v>
      </c>
      <c r="I3850" t="inlineStr">
        <is>
          <t>一件無関係に見えるこれらの点もやがて1本のラインへと収束していく。；渡辺は乱闘が収束した後に、同リーグで初めて前述の規定を適用された。；最大の根が ならば、 に収束することも無限大に発散することもない。；これをきっかけに笑い男は一切現れなくなり、一連の事件は収束した。；このとき、 で は次のような値に収束することが知られている。；このときこの数列は に収束するといい、このことを あるいは と書く。；結果一貫性を持つシステムは、収束する前に任意の値を返す可能性がある。；戦争は永遠に続くものではなく、一定の段階を過ぎれば収束していく。；その後は完全に飯塚雅弓関連のネタは採用されなくなり騒ぎは収束となった。；これは例えば数値が収束しているかどうかを見るのに使われた。；これによって次の世代を選び、解が収束するまでこれを繰り返していく。；制御系全体が振動しながら所定の安定的な状態に収束する制御方式である。；最初の正三角形の面積を とするとコッホ雪片の面積は に収束する。；絶対収束していないが収束する場合、この級数は条件収束する という。；すなわち魔法の大鍋等の魔法の器の影響が聖杯へと収束されたとも考えるのである。；紙が太陽光に対し垂直ではないため焦点付近の光の収束が円形ではない。；収束の形式的な定義は以下のように述べることができる。；この事実に基づき消失点へ平行線を収束させる図法が点透視図法である。；この騒乱状態は奈良時代の間には収束せず、平安時代へと引き継がれる。；数々の謎は、一つの爆弾テロに収束し、物語はクライマックスを迎える。；より一般化された確率理論では、中心極限定理は弱収束理論の一部となる。；またこの垣生地区では当路線が2つに分かれるが、すぐ1本に収束する。；任意のコーシーフィルターが収束しているとき X はだと言われる。；それは、実用的に重要な冪級数が収束円の内部で絶対収束するためである。；しかし、東方の隣国であるパルティアとの紛争を収束させていなかった。；一様収束軸の値は、収束軸・絶対収束軸とは異なる方法で求められる。；冪級数はその収束域を定義域として函数を定義することに利用できる。；そのため、猛暑が収束してもすぐには冷めないので、尾を引きやすい。；あくまでも、 のある近傍内の が収束することを保証しているだけである。</t>
        </is>
      </c>
      <c r="J3850">
        <f>HYPERLINK("https://www.weblio.jp/content/収束", "词义详情")</f>
        <v/>
      </c>
      <c r="K3850">
        <f>HYPERLINK("https://yourei.jp/収束", "查看例句")</f>
        <v/>
      </c>
    </row>
    <row r="3851">
      <c r="A3851" t="inlineStr">
        <is>
          <t>終息</t>
        </is>
      </c>
      <c r="B3851" t="inlineStr">
        <is>
          <t>成功</t>
        </is>
      </c>
      <c r="C3851" t="inlineStr">
        <is>
          <t>読み方：しゅうそく
［名］(スル)物事が終わって、やむこと。「蔓延(まんえん)していた悪疫が—する」</t>
        </is>
      </c>
      <c r="D3851" t="inlineStr">
        <is>
          <t>終息する(10%)；終息させる(3%)；終息後(3%)；終息させよ；終息しよ</t>
        </is>
      </c>
      <c r="E3851" t="inlineStr">
        <is>
          <t>終わる；完了；終結；終る；済む</t>
        </is>
      </c>
      <c r="F3851" t="inlineStr">
        <is>
          <t>事件終息；ブーム終息</t>
        </is>
      </c>
      <c r="G3851" t="inlineStr">
        <is>
          <t>終息宣言</t>
        </is>
      </c>
      <c r="H3851" t="n">
        <v>29</v>
      </c>
      <c r="I3851" t="inlineStr">
        <is>
          <t>しかし彼は部下の裏切りにあって殺害されたためこれはすぐに終息した。；当地域における形態異常個体の出現はその後数年の間に終息している。；出生の秘密が明らかになれば、終息させる方法が発見できるかもしれない。；フランス軍の指揮官と副官の両方が捕虜になったため抵抗は終息した。；犯人たちが死んでしまったから、一見したところ事件は終息したように見える。；人生とはそういうものだ、過去は過ぎ去った時点で既に終息している。；折しもアメリカでは、アメリカ国内での航空戦国時代が終息しつつあった。；これは最終氷期のかなり後で、活動が終息したのはおよそ1万年前である。；また事件を最後に値下げ運動は終息に向かい、消灯運動も下火になった。；これはもともとペストが終息したことの記念碑として建造されたものだった。；そして混乱の終息を望む世界の統治者達もそんな繰り返しを望まない。；ブーム終息以後も様々な音楽性を横断しながら独創的な活動を行っている。；指導者層を失った蜂起軍の勢力は急速に衰え、戦いは終息に向かった。；この逮捕により、戦前の日本のシュルレアリスム運動は終息に向かった。；そのかがやきが終息した頃には、太陽は、地平線のむこうに沈んでいた。；国民も積極的に運動に参加することは少なく、運動はうやむやの内に終息した。；しかしそれも散発的なものであり、彼らの侵攻はいったん終息しているようだ。；学園長の思っていたネギ先生の試練、事件の終息が一度に解決されたのだ。；この事件をもって「戦前のアナキズム活動の終息」と見る向きもある。；ダニーがサイバーマンを爆破して雲を焼き払ったことで事態は終息する。；しかし起訴猶予となり、薬師寺も責任を問われることなく事件は終息した。；幕藩体制という一つの永久機関がその歴史的役割を終息しようとしていた。；私はいま一つの時代が終息し、一つの時代が始まった相撲内容を書くつもりはない。；ピラミッド建設時代が終息してからもその影響は周辺諸国にも及んだ。；しかしこれは成功を収めることはなく1974年頃には次第に終息に向かった。；この事件が終息しないうちは、ほかの何をやっても減点なんだ。；西日本新聞では、問題が終息した現在でも継続的に報道している。；また、発生から終息までの時間は長くても数分程度である。；噴火は午前10時頃には沈静化していき、同日16時頃にほぼ終息した。</t>
        </is>
      </c>
      <c r="J3851">
        <f>HYPERLINK("https://www.weblio.jp/content/終息", "词义详情")</f>
        <v/>
      </c>
      <c r="K3851">
        <f>HYPERLINK("https://yourei.jp/終息", "查看例句")</f>
        <v/>
      </c>
    </row>
    <row r="3852">
      <c r="A3852" t="inlineStr">
        <is>
          <t>従属</t>
        </is>
      </c>
      <c r="B3852" t="inlineStr">
        <is>
          <t>成功</t>
        </is>
      </c>
      <c r="C3852" t="inlineStr">
        <is>
          <t>読み方：じゅうぞく
［名］(スル)
１権力や威力のあるものに依存して、それにつき従うこと。「大国に—する」
２主要な事柄に対して、それに付随または支配される関係にあること。「規約改正に—する諸手続き」</t>
        </is>
      </c>
      <c r="D3852" t="inlineStr">
        <is>
          <t>従属する(20%)；従属的(5%)；従属爵位(4%)；従属させる(3%)；従属下(2%)</t>
        </is>
      </c>
      <c r="E3852" t="inlineStr">
        <is>
          <t>信頼；信用；依存；頼り；信</t>
        </is>
      </c>
      <c r="F3852" t="inlineStr">
        <is>
          <t>従属民；従属国；従属構成素；従属状態；経済的従属</t>
        </is>
      </c>
      <c r="G3852" t="inlineStr">
        <is>
          <t>従属国；従属関係；従属的；従属変数；従属節</t>
        </is>
      </c>
      <c r="H3852" t="n">
        <v>29</v>
      </c>
      <c r="I3852" t="inlineStr">
        <is>
          <t>一説では、秀隆を説得して家康に従属させるのが目的であったともいう。；カルタゴと同様に対等の同盟を宣言していたが、事実上は従属であった。；ジズヤは単なる税金であるだけでなく、従属の象徴的な表現でもあった。；過去に起こった工業化の大半は綿花農業に従属するものとしてであった。；また、従属官の中では後に生まれた事から新参者である事が確認されている。；この変更は、文民政府への軍の従属を明確にすることを目指したものである。；ここで、共犯は正犯のいかなる要素に従属するかが問題とされるのである。；ローマは直接の領土拡大はしなかったが、シリアが放棄した地域を従属させた。；これは信長に従属する以前、つまり幕臣時代の光秀を描いたものとされる。；ミューラーは移動後、従属的な役割で終わる見られたが、代わりに離れた。；当時のペルシア王国はメディア王国に従属する小王国にすぎなかった。；門徒は知識と個別に従属するわけではなく、集団として宗門を構成した。；罪名従属性とは共同者間で罪名は同じであるべきかどうかということである。；アンソニーは堕胎にも強く反対し、それを女性の男性への従属の証とみた。；さらに後趙君主石虎に使者を派遣して表を奉じ、従属する姿勢を示した。；所従・下人に至っては荘園領主や荘官、上級層の住民らに従属していた。；それ以前の外相と比較して首相に従属的な立場ながら様々な外交問題で活躍した。；バロックでは変化・運動が見られ、各部分は全体のモチーフに従属している。；政治的にはブラジルに従属することになり、以後この二国の強い影響を受けることになる。；但し、自身の能力を超えた力を持つ妖魔を従属させる事はできない。；現代では、学校の教職員に完全従属しない関係を指すことが多い。；彼らは徴税権を一手に担い地方官、従属を誓った諸部族・都市を支配した。；なお本作では大名を従属させることはできるが、同盟は結べない。；つまり個人崇拝であってもあくまで神が主体で人間が従属、神の一部と捉えられた。；ロシアはモンゴルに従属していたが、15世紀末に完全に独立した。；彼の死後、従属王国の一つメディアの王であった兄弟のヴォノネス2世が即位した。；宇文逸豆帰は一貫して後趙に従属し、貢献を絶やす事は無かったという。；この三権のうち、立法権が最高権であり、他の権力はこれに従属する。；文脈から明らかなときには単に従属、独立などと言うこともある。</t>
        </is>
      </c>
      <c r="J3852">
        <f>HYPERLINK("https://www.weblio.jp/content/従属", "词义详情")</f>
        <v/>
      </c>
      <c r="K3852">
        <f>HYPERLINK("https://yourei.jp/従属", "查看例句")</f>
        <v/>
      </c>
    </row>
    <row r="3853">
      <c r="A3853" t="inlineStr">
        <is>
          <t>渋滞</t>
        </is>
      </c>
      <c r="B3853" t="inlineStr">
        <is>
          <t>成功</t>
        </is>
      </c>
      <c r="C3853" t="inlineStr">
        <is>
          <t>読み方：じゅうたい
［名］(スル)物事がとどこおってすらすらと進まないこと。つかえて流れないこと。「事務が—する」「交通—」</t>
        </is>
      </c>
      <c r="D3853" t="inlineStr">
        <is>
          <t>渋滞緩和(5%)；渋滞解消(2%)；渋滞対策；渋滞時；渋滞が激しい</t>
        </is>
      </c>
      <c r="E3853" t="inlineStr">
        <is>
          <t>停滞；沈滞；輻輳；欝積</t>
        </is>
      </c>
      <c r="F3853" t="inlineStr">
        <is>
          <t>渋滞状況；渋滞が起こりやすい；渋滞が酷く；渋滞対策道路；渋滞が起きやすい</t>
        </is>
      </c>
      <c r="G3853" t="inlineStr">
        <is>
          <t>渋滞税；渋滞予測</t>
        </is>
      </c>
      <c r="H3853" t="n">
        <v>29</v>
      </c>
      <c r="I3853" t="inlineStr">
        <is>
          <t>この渋滞箇所は1977年に二期工事が完成するまで解消されなかった。；ヒガンバナのシーズンには周辺道路が渋滞するので、注意が必要である。；人口の著しい増加で、予想以上に交通量が増えたのが渋滞の原因である。；夏の渋滞路を走行中ラジエターに穴が空いた事例が多数報告されている。；信号交差点付近での路上駐車が渋滞の原因となっている事例は多くみられる。；流入車そのものも遅い速度のまま本線に合流すれば渋滞の原因となりうる。；この為に朝夕の渋滞時には新淀川大橋を超える渋滞もしばしばであった。；日中は交通量が多いが、特に渋滞することなく走行することができる。；吹田方面の出口側も吹田IC付近を先頭にほぼ毎日渋滞が発生している。；そのため地区の住民らが周辺維持管理委員会を設立し、渋滞対策をしてきた。；やはりこれも検挙中に1車線が塞がると渋滞が発生するためと思われる。；また昼夜問わず旧国道との交差点の青信号が短く慢性的に渋滞している。；渋滞の発生は都市などの美観の問題として取り上げられることも多い。；伊豆半島は道路事情が悪く、特に観光シーズンは渋滞が発生しやすい。；近年は渋滞や事故の減少のため常時幹線青方式に変更されるケースが多い。；路線バスがバス停に一時停車するだけでも渋滞を引き起こすこともある。；年々悪化していった渋滞などの影響により、1982年に廃止となった。；日中時は日田方面からの車両を中心に渋滞が生じることが多い。；そのため、特に通勤時間帯や週末は周辺の道路で渋滞が発生している。；幅員の狭い豊平橋付近で渋滞が発生したため、橋の架け替えを決定した。；また、駅周辺道路は踏切がほとんどなく、渋滞の発生はほとんど起きない。；当IC付近では、大型連休には渋滞が発生するポイントとなっている。；狭隘道路の区間もあるため通勤時間帯や週末などは常に渋滞気味である。；市内の台鉄の線路は、慢性的な渋滞解消のため、すべて地下化が完了している。；それは通りを拡張することで渋滞を緩和させることにあった。；異説もあるが、以下の3都市は世界で最も渋滞の発生する都市と言われている。；渋滞の激しく土地の狭い市内から材木業は郊外へと移転した。；踏切での渋滞を避けるために一部ターミナルに入らないバスもある。；また英国でも渋滞や公害の問題などを背景にSUVへの反対の声が政治家から起きた。</t>
        </is>
      </c>
      <c r="J3853">
        <f>HYPERLINK("https://www.weblio.jp/content/渋滞", "词义详情")</f>
        <v/>
      </c>
      <c r="K3853">
        <f>HYPERLINK("https://yourei.jp/渋滞", "查看例句")</f>
        <v/>
      </c>
    </row>
    <row r="3854">
      <c r="A3854" t="inlineStr">
        <is>
          <t>重体</t>
        </is>
      </c>
      <c r="B3854" t="inlineStr">
        <is>
          <t>成功</t>
        </is>
      </c>
      <c r="C3854" t="inlineStr">
        <is>
          <t>読み方：じゅうたい
病気や負傷の程度がひどく、生命に危険があること。「—に陥る」</t>
        </is>
      </c>
      <c r="D3854" t="inlineStr">
        <is>
          <t>重体節；重体説</t>
        </is>
      </c>
      <c r="E3854" t="inlineStr">
        <is>
          <t>瀕死；死にかけ；危篤；死に際；危篤状態</t>
        </is>
      </c>
      <c r="F3854" t="inlineStr">
        <is>
          <t>御重体；はねられ重体；ご重体</t>
        </is>
      </c>
      <c r="H3854" t="n">
        <v>29</v>
      </c>
      <c r="I3854" t="inlineStr">
        <is>
          <t>父親が重体なので面倒をみなくてはならないと予備校には説明した。；唯一生存した次女も一時は重体となり、回復後も脳に重い障害を負った。；ご親戚の山下さんが入院された、重体だからすぐ来て欲しいというのだ。；おまけに病気で、一度は重体になり、医者から見放されたこともあった。；宮崎市では屋根の修理をしていた男性が転落、意識不明の重体となった。；だから、重体で病院に運ばれたこと、記者の人、忘れちゃったんですよね。；この部屋の主は何者かに拳銃で撃たれ、重体になって入院中である。；男性は意識不明の重体となり、病院に搬送されたが死亡が確認された。；病院で治療を受けているが極めて重体なので、すぐにもお越しいただきたい。；この戦闘でフランス兵1人が重体、イスラム戦闘員数十人が殺害される。；一時は生死の境をさまよう重体に陥ったが、半年間の入院期間を経て退院。；もしこれがヒューマンなら、手のつけようのない重体といいたいね。；だが、訊いているのが重体の姉なので、いやいやながら答えてくれた。；あなたのところのあの収容所には、病で重体の人々がいます。；その一方で、業界内では重体説や再起不能説が囁かれていたという。；その際頭部を強打し小倉記念病院に運ばれたが意識不明の重体だった。；発見した時には妻はすでに死亡しており、夫は重体で病院に運ばれたが、翌日に死亡した。；また岳父と岳母に同行していた中国人女性のツアーガイドも重体となった。；奥様は御重体でいらしたとすると、どういう御病気だったんですの?；ある日、真人が担当していたチェーン店の店長が飛び降りし重体になる。；心理というより、いくつものそれぞれ別の意識の多重体であった。；そこにアンナがグイドの祖父が入院して重体であると伝えに来る。；慕容隆は殺され、慕容農は生き残ったが脳が露出するほどの重体だった。；報道によれば重体の男児は、新宿のホテルに家族で滞在中に発症したという。；重体で発見された母から無理心中をはかられたとみられており、後に母は死亡した。；腹板は背板ほど明瞭には小分割されず、比較的単純な形で重体節ごとに並んでいる。；付き合いで走らされた社長はもっと重体で、ベンチの上に寝転んでいる。；そこにネイトが重体のガールフレンドを運び込んで来るが息を引き取る。；溺れて一時重体となり、日本の病院へ収容された隊員も出た。</t>
        </is>
      </c>
      <c r="J3854">
        <f>HYPERLINK("https://www.weblio.jp/content/重体", "词义详情")</f>
        <v/>
      </c>
      <c r="K3854">
        <f>HYPERLINK("https://yourei.jp/重体", "查看例句")</f>
        <v/>
      </c>
    </row>
    <row r="3855">
      <c r="A3855" t="inlineStr">
        <is>
          <t>重大</t>
        </is>
      </c>
      <c r="B3855" t="inlineStr">
        <is>
          <t>成功</t>
        </is>
      </c>
      <c r="C3855" t="inlineStr">
        <is>
          <t>読み方：じゅうだい
［名・形動］
１事柄が普通でなく、大変な結果や影響をもたらすような状態であること。また、そのさま。重要。「事の—を感じる」「—な局面」「—発表」
２軽々しく扱えない、大切な事柄であること。また、そのさま。「—な役割」
３重く大きいさま。
「—なる舟車を自由に進退す可し」〈福沢・学問のすゝめ〉
[派生]じゅうだいさ［名］</t>
        </is>
      </c>
      <c r="D3855" t="inlineStr">
        <is>
          <t>重大な問題(4%)；重大な影響(3%)；重大な副作用(3%)；重大な意味(2%)；重大事件(2%)</t>
        </is>
      </c>
      <c r="E3855" t="inlineStr">
        <is>
          <t>必要；大きな；重要；危険；主要</t>
        </is>
      </c>
      <c r="F3855" t="inlineStr">
        <is>
          <t>重大な事実；重大な犯罪；重大な脅威；重大な結果；重大な事故</t>
        </is>
      </c>
      <c r="G3855" t="inlineStr">
        <is>
          <t>重大性；重大ニュース；重大発表；重大インシデント；重大局面</t>
        </is>
      </c>
      <c r="H3855" t="n">
        <v>29</v>
      </c>
      <c r="I3855" t="inlineStr">
        <is>
          <t>これまでに起きた重大な事件及び事故の中には以下のようなものがある。；驚くべき速度で進化を続けるがそれにはある重大な秘密が隠されている。；NASAがとある重大発見をしたのでこれを確認してほしいと言うのだ。；TGVの運行歴史の中では死亡事故を含む重大事故が多数発生している。；しかしながら重大な意識障害が見られる場合には他の診断も考慮する。；現在でもスポーツや政治などの重大な試合や局面の比喩にその名を残す。；その情報から重大事故と判断された場合には以下の物品を揃えて出場する。；ママハハには重大な任務があるが、シクルゥにはそのような設定はない。；この改造案が発表された後、国際エスペラント運動は重大な分裂が続いた。；重大な事件・事故が発生しても放送を休止することはほとんどない。；我々はそのような重大な自由を妨げるコンピュータを購入しないし勧めない。；この戦いは日清戦争の展開を日本に有利にする重大な転回点であった。；以降、南満洲鉄道を柱とする満洲経営権益は日本の重大な課題となった。；フランシス・ベーコンは知識獲得の方法の発展に重大な貢献をした。；重大なニュースがあった場合は、放送時間を1時間早めて放送していた。；赤嶺が球団を存続させたことは、しばらくして重大な意味を持つことになる。；重大な違反とされたにもかかわらず、罰金その他の制裁は一切なかった。；過去の裁判で失火者の重大な過失と認められた主な失火原因は以下である。；反面、本銃はノウハウのなさを露呈するような重大な欠陥も持っていた。；その他特別法で重大な過失が問題となる場合としては次のような例がある。；この聴聞会は公に放送され、南アフリカの社会に重大な衝撃をもたらした。；保険が適用されるような重大事故となると問題が起きることがある。；警報は、重大な災害の起こるおそれのある旨を警告して行う予報である。；協定の締結はドイツにとって重大な外交政策上の転換を意味していた。；当時の軍艦建造は、それほど重大な責任感を持って行われていた。；そうして僕は芸術にあっては巧拙よりも作品の品格の高下を重大視している。；寄生によって宿主が重大な病気や命に関わる被害を受ける場合がある。；被害者たちの関連性を調べていくうちに、ある重大な過去が浮かび上がる。；これらは改良を加えられ現在でも使われており、その後の言語開発に重大な影響を与えた。</t>
        </is>
      </c>
      <c r="J3855">
        <f>HYPERLINK("https://www.weblio.jp/content/重大", "词义详情")</f>
        <v/>
      </c>
      <c r="K3855">
        <f>HYPERLINK("https://yourei.jp/重大", "查看例句")</f>
        <v/>
      </c>
    </row>
    <row r="3856">
      <c r="A3856" t="inlineStr">
        <is>
          <t>集大成</t>
        </is>
      </c>
      <c r="B3856" t="inlineStr">
        <is>
          <t>成功</t>
        </is>
      </c>
      <c r="C3856" t="inlineStr">
        <is>
          <t>読み方：しゅうたいせい
［名］(スル)多くのものを集めて、一つのまとまったものにすること。また、そのもの。集成。「多年の研究を—する」</t>
        </is>
      </c>
      <c r="D3856" t="inlineStr">
        <is>
          <t>集大成的(6%)；集大成ともいえる(3%)；集大成とも言える；集大成とも言う；集大成盤</t>
        </is>
      </c>
      <c r="E3856" t="inlineStr">
        <is>
          <t>構成；規則；大成；編輯；法典</t>
        </is>
      </c>
      <c r="F3856" t="inlineStr">
        <is>
          <t>シリーズ集大成；極悪集大成；集大成的な作品</t>
        </is>
      </c>
      <c r="H3856" t="n">
        <v>29</v>
      </c>
      <c r="I3856" t="inlineStr">
        <is>
          <t>本作品は、そうした人々を大画面に描いた集大成の作品であるとされる。；内容は春秋戦国時代の思想・社会の集大成と分析とも言えるものである。；シュレイダーは本作が自分の人生の集大成的な作品であると述べている。；その為、製作者が海外に移行して以降の作品の集大成的な作品とも言える。；毎日毎日、一日五十文字ずつ書き続けた集大成が今ここに完成したのです!；当時、これらの建築物は流行と洗練性の集大成であると考えられていた。；ここでは、これまで造ってきた展示館の集大成をしようと考えている。；そして彼のサラブレッド生産の集大成となったのがコールボーイである。；先行するすべての曲のメロディーと音楽的なセクションの集大成である。；略奪される女性像の集大成とも言うべき作品であったが、未完に終わった。；ロマーニー語については資料を集大成し、本格的な研究の基礎を築いた。；モーツァルトの持っている技術の集大成のように纏め上げられている。；ここらで退職し、集大成のつもりでやってみるのもよいのではないか。；数年間にわたるドラッグ関連トラブルの集大成とも言える事態であった。；単なる集大成に過ぎず、新しいものは何ひとつ生み出せなかったとね。；私が生涯の集大成となる仕事をしようとしていることなど、世に知られたくはないからな。；広文庫は日本の明治時代前の文献からの引用文を集大成した類書である。；小林は「活動の集大成となる大会にしたい」と大会前に語っていた。；ついで、トリボニアヌスを長とする委員に法学者の学説を集大成させた。；本作の続編であり、テレビシリーズの集大成的な位置付けとなっている。；李白の詩は、漢魏六朝以来の中国詩歌の世界を集大成したものとされる。；彼の多数のソロ・アルバムはその試みの集大成である。；主題にマズルカが採用されるなど、ショパンの作曲技術の集大成といえる。；この時代には、より完全な法源の確立を目指したシーア派伝承の集大成が完成する。；訓練生はこれまで学んできたことの集大成をここで発揮する。；集めた咄も選択が適当で、日本の笑話のすぐれた集大成と言ってよい。；この建物も江戸時代からの鹿児島の石造技術の集大成であるとも考えられるのです。；証言は公に文書化されていないが、クエーカーの神と世界との接し方の共通の集大成といえる。；漢字の一字一字が意味を訴えており、それを集大成したものが歌全体の意味に反映しているのである。</t>
        </is>
      </c>
      <c r="J3856">
        <f>HYPERLINK("https://www.weblio.jp/content/集大成", "词义详情")</f>
        <v/>
      </c>
      <c r="K3856">
        <f>HYPERLINK("https://yourei.jp/集大成", "查看例句")</f>
        <v/>
      </c>
    </row>
    <row r="3857">
      <c r="A3857" t="inlineStr">
        <is>
          <t>住宅</t>
        </is>
      </c>
      <c r="B3857" t="inlineStr">
        <is>
          <t>成功</t>
        </is>
      </c>
      <c r="C3857" t="inlineStr">
        <is>
          <t>読み方：じゅうたく
１人が住むための家。住居。すまい。すみか。「—地」「公営—」
２すみかとすること。住みつくこと。
「六条の三筋町に—しけり」〈色道大鏡・一三〉</t>
        </is>
      </c>
      <c r="D3857" t="inlineStr">
        <is>
          <t>住宅地(5%)；住宅街(4%)；住宅開発(2%)；住宅建設；住宅用</t>
        </is>
      </c>
      <c r="E3857" t="inlineStr">
        <is>
          <t>家；室；屋；館；居</t>
        </is>
      </c>
      <c r="F3857" t="inlineStr">
        <is>
          <t>静かな住宅；戸建て住宅；個人住宅；住宅設備；住宅難</t>
        </is>
      </c>
      <c r="G3857" t="inlineStr">
        <is>
          <t>住宅街；住宅団地；住宅ローン；住宅地域；住宅都市</t>
        </is>
      </c>
      <c r="H3857" t="n">
        <v>29</v>
      </c>
      <c r="I3857" t="inlineStr">
        <is>
          <t>ここでは万人により安価でより良い住宅を提供することが目標とされた。；北部は瀬戸内海国立公園の指定地内を通るが、道沿いに住宅などは無い。；予定では1990年までこの住宅問題は解決されることになっていた。；小坂町の中心部にあり、住宅が多く駅の東側は商店街が形成されている。；東側は木津川沿いの農業地帯、南部と西部は丘陵地にある住宅地である。；第二次世界大戦後、市の中核部より外側の郊外地域に住宅が開発された。；地区の一部には純粋な英国式の住宅が見られ、イギリス地区とも呼ばれる。；市中央部の住宅密集地に位置するため、事故の危険性が懸念されていた。；駅舎がない北口は駅前整備も長年行われず、寺院や住宅が密集している。；住宅は線路沿いにいくつかのやや大きな集落がある程度である。；古くからの住宅密集地帯が多く、細く狭い道や急な山坂が多いのが特徴。；築堤上に位置するため、周辺の住宅等からはかなり高いところにある。；旧・長島町の中心部に位置しており古くからの住宅や個人商店が多くある。；松枝住宅行は市役所入口経由が廃止され、新たに四谷経由が新設された。；住宅・物品販売店舗・飲食店・学校・病院・ホテル等は建てられない。；駅周囲は閑静な住宅街となっており、中・低層のマンションも立地する。；駅の敷地のすぐ横には線路に沿った形で住宅が並んでいる。；その結果、商業施設やホテル・住宅を併設した高層ビル街が形成された。；住宅が多いベッドタウンで、北口の前を通る道路は桜並木になっている。；大和文華館の展示館は、奈良市の西の郊外の静かな住宅地のなかにある。；ただし、多くの国において主に住宅を建設しているのは民間である。；荒廃した地域では一戸建ての住宅が1ドルで販売されているところもある。；次第に辺りは東大阪市の古くからの住宅や工場が多くなってくる。；当駅周辺はこれらの地域からはやや離れた位置にあり、完全な住宅街となっている。；それぞれの市区で住宅地や団地に固有の名称を付けている場合もある。；現在は住宅はおおむね行き渡ったとされ、質の向上が求められている。；しかし近年は住宅が増加しており、人口も徐々に増加している。；相次いで住宅や商工業施設が建設される一方で茶園は減少していった。；周辺の一角には中高層の店舗兼共同住宅を中心とした住宅地区もある。</t>
        </is>
      </c>
      <c r="J3857">
        <f>HYPERLINK("https://www.weblio.jp/content/住宅", "词义详情")</f>
        <v/>
      </c>
      <c r="K3857">
        <f>HYPERLINK("https://yourei.jp/住宅", "查看例句")</f>
        <v/>
      </c>
    </row>
    <row r="3858">
      <c r="A3858" t="inlineStr">
        <is>
          <t>集団</t>
        </is>
      </c>
      <c r="B3858" t="inlineStr">
        <is>
          <t>成功</t>
        </is>
      </c>
      <c r="C3858" t="inlineStr">
        <is>
          <t>読み方：しゅうだん
１人や動物、また、ものが集まってひとかたまりになること。また、その集まり。群れ。「—で登校する」「野生馬が—をつくる」「—生活」
２なんらかの相互関係によって結ばれている人々の集まり。「政治—」「演劇—」</t>
        </is>
      </c>
      <c r="D3858" t="inlineStr">
        <is>
          <t>集団内；集団化；集団疎開；集団指導；集団軍</t>
        </is>
      </c>
      <c r="E3858" t="inlineStr">
        <is>
          <t>軍；チーム；グループ；仲間；群</t>
        </is>
      </c>
      <c r="F3858" t="inlineStr">
        <is>
          <t>大集団；小集団；演劇集団；中央軍集団；戦闘集団</t>
        </is>
      </c>
      <c r="G3858" t="inlineStr">
        <is>
          <t>集団生活；集団農場；集団的自衛；集団自殺；集団自決</t>
        </is>
      </c>
      <c r="H3858" t="n">
        <v>29</v>
      </c>
      <c r="I3858" t="inlineStr">
        <is>
          <t>集団を形成するようになる有史以来、人類が繰り返してきたものである。；集団内の個人を取り上げた場合、さらに次のようなものが取り上げられる。；インドでは少数派でありながら社会的に影響力のある宗教集団である。；つまり、年齢ではなく集団に貢献出来る能力を成人の基準にしたのである。；神経細胞や軸索が単独で存在することは少なく、集団をなすことが多い。；もともと、集団ごとの差異を論じるのはエジプトの古代絵画にも見える。；各集団の人口変化や形成時期も推定でき、移住の歴史が反映されているという。；これは上に挙げたさまざまな集団の存在に気づかないために起こる誤認による。；進行方向に応じた座席の転換はできず、集団見合式と集団離反式がある。；アジアの非イスラム教国の多くには自国民のムスリムの集団が存在する。；ゴ集団の中には人類の文化・芸術に興味を示して熟達する者もいた。；これら刀鍛冶集団は石山本願寺とも結びつきが強いと推定されている。；当初想定されていた戦車の運用法では大量の戦車による集団戦を行う予定であった。；この集団が現在のようなボブキャットに進化したのは2万年前頃と。；後者ではその集団を認識しやすいが、前者では直感的に把握しにくい。；したがって、このような種や集団によって地球は占められていくことになる。；また、17世紀半ばにはムスリムの農民集団が目につくようになっている。；次第に集団であることが知られ始め、様々な軋轢を生むこととなった。；共通語とは、ある地域や集団の違いを超えて共通に用いられる言語。；ただし複数人で使用する場合、入場・出場時は集団で行動することになる。；軍隊は、兵器およびそれを扱う兵士からなる、戦闘力を備えた軍人の集団。；集団痴漢の事例では、集まった男たちは互いに面識がないことも多い。；この過程で聖霊は新しい方法で自身を表し、集団の神秘主義を示している。；これはコーカソイドの集団が秋田周辺にやってきた可能性を示すものである。；教会教会とは、共通の信仰によって形成される集団・団体や社会のことである。；軍の組織崩壊も始まり、今までほとんど見られなかった集団投降も増えてきた。；これらの刀工集団の作を大坂新刀と呼び、新刀の中でも特に区別される。；しかしながら、これらの集団内での話し手の数は年々減少する傾向にある。；同じころ、大島では発疹チフスとよく似た病気が集団発生しはじめた。</t>
        </is>
      </c>
      <c r="J3858">
        <f>HYPERLINK("https://www.weblio.jp/content/集団", "词义详情")</f>
        <v/>
      </c>
      <c r="K3858">
        <f>HYPERLINK("https://yourei.jp/集団", "查看例句")</f>
        <v/>
      </c>
    </row>
    <row r="3859">
      <c r="A3859" t="inlineStr">
        <is>
          <t>絨毯</t>
        </is>
      </c>
      <c r="B3859" t="inlineStr">
        <is>
          <t>成功</t>
        </is>
      </c>
      <c r="C3859" t="inlineStr">
        <is>
          <t>読み方：じゅうたん
床の敷物などに使う厚い毛織物の総称。そのうち、竪機(たてばた)を使った手織りの高級品は緞通(だんつう)とよんで区別し、ふつう、機械織りのものをさす。カーペット。《季冬》</t>
        </is>
      </c>
      <c r="D3859" t="inlineStr">
        <is>
          <t>絨毯敷き；絨毯商人；絨毯みたい；絨毯工場；絨毯産業</t>
        </is>
      </c>
      <c r="E3859" t="inlineStr">
        <is>
          <t>マット；カーペット；じゅうたん；絨緞；氈</t>
        </is>
      </c>
      <c r="F3859" t="inlineStr">
        <is>
          <t>厚い絨毯；長い絨毯；真っ赤な絨毯；青い絨毯；豪華な絨毯</t>
        </is>
      </c>
      <c r="H3859" t="n">
        <v>29</v>
      </c>
      <c r="I3859" t="inlineStr">
        <is>
          <t>ブラジルではこの赤い絨毯をテーマにしたCMも放送されたことがある。；あなたのお踏みになっているその絨毯はもうわたしたちのではないのよ。；室内には赤い絨毯が敷き詰められていて、これまで気づかなかったのだ。；それから絨毯の上に立ち、辞書のいちばん初めの言葉を読みあげました。；絨毯の敷いてある階段を、母親は静かにゆっくり、二階へ上がって来た。；この時期にはケルマーンの絨毯はイングランドやドイツに輸出されていた。；ひとつ目は、絨毯はどこか地面に降りるまでは、言うことを聞くのです。；彼は言うべき言葉を知らないで、彼女の前の絨毯の上へ崩折れてしまった。；すると、厚い絨毯の上を静かに歩いて一人の女が、応接室に入ってきた。；絨毯や絵がもちこまれるのを待っている、美しいからっぽの家のようだ。；水の上を歩くことができさうな、厚味の深い澱んだ色の絨毯なのだつた。；二人が絨毯のある屋根の下にさしかかったとき、一人がこうたずねました。；製織の技術では日本のに相当するものであり絨毯を作る要領で製作される。；犬がフンと鼻を鳴らすたびに、体の下で絨毯が揺れるのが感じられます。；産業革命の間においても、この町はイギリスの絨毯産業の中心であった。；部屋は花模様の壁紙だけは真新しく、あとは小さな絨毯にベッドが二つ。；この絨毯は狭山様のお宅の床が、妾の血で穢れないように敷いたのです。；絨毯はこちらにいただくが、念のためおまえはそのままにしておくぞ。；絨毯が下へ降りはじめ、幕を抜けて店内になめらかに着地したからです。；行ってみると、もと胸甲騎兵は部屋の絨毯の上に長々と横たわっていた。；椅子に腰を下ろしていて、足の裏がいつの間にやら、絨毯から離れて来た。；時代が下って都市が現れるようになると、ムラのある絨毯は減っていった。；床に第二の《しみ》はあるのですが、上の絨毯のやつと一致しないのです。；その土手の上にあるのがそうで、その絨毯がここまで運んできてくれたのです。；大きな電子工学機械を置いた絨毯の床が過熱防止装置の役目をしている。；絨毯の上に犬の口の中に見つけたのと同じ紙切れが二、三片散らばっていた。；絨毯にも、二人の服や髪にも、溶けかかった氷が山と積もっています。；二人は、船室の絨毯の上に横になると、すぐ鼾をかいて眠ってしまった。；わたしの絨毯の上で、白昼夢の盗賊の姿で何をしていたのか、話しなさい。</t>
        </is>
      </c>
      <c r="J3859">
        <f>HYPERLINK("https://www.weblio.jp/content/絨毯", "词义详情")</f>
        <v/>
      </c>
      <c r="K3859">
        <f>HYPERLINK("https://yourei.jp/絨毯", "查看例句")</f>
        <v/>
      </c>
    </row>
    <row r="3860">
      <c r="A3860" t="inlineStr">
        <is>
          <t>周知</t>
        </is>
      </c>
      <c r="B3860" t="inlineStr">
        <is>
          <t>成功</t>
        </is>
      </c>
      <c r="C3860" t="inlineStr">
        <is>
          <t>読み方：しゅうち
［名］(スル)世間一般に広く知れ渡っていること。また、広く知らせること。「—の事実」「—の通り」「運動の趣旨を社会に—させる」</t>
        </is>
      </c>
      <c r="D3860" t="inlineStr">
        <is>
          <t>周知させる(4%)；周知される(3%)；周知徹底(2%)；周知のごとく；周知期間</t>
        </is>
      </c>
      <c r="E3860" t="inlineStr">
        <is>
          <t>公；伝達；拡散；アナウンス；馴染み</t>
        </is>
      </c>
      <c r="F3860" t="inlineStr">
        <is>
          <t>情報周知；社内周知</t>
        </is>
      </c>
      <c r="G3860" t="inlineStr">
        <is>
          <t>周知徹底；周知活動；周知の埋蔵文化財包蔵地</t>
        </is>
      </c>
      <c r="H3860" t="n">
        <v>29</v>
      </c>
      <c r="I3860" t="inlineStr">
        <is>
          <t>学校や兵舎でも公式な告知や発表文でも広く使われて周知されていった。；そうでなければ、彼が優れた点のある人であることは周知の通りです。；この病気自体が稀でもあるので、一般にはあまり周知されてはいない。；そのことに彼女たちが反対の意見を表していることは周知の通りです。；そしてこれら二つの印象が人類の心情に与える影響は周知のことに属する。；動くといえば、周知のように博士ほど遍歴を重ねた知識人はあるまい。；周知の通り、淡路島は大阪湾の西側に蓋をするかのごとく南北に長い。；やがてかれの病気はこれこれの病気ということになり、周知のこととなる。；だが船乗りには、周知のとおり、その代償となるものが他の港にあった。；これからはシリコンの時代になることを関係者に周知徹底させようとした。；お前が上等の宿にえらく美人な修道女と泊まっているのは周知のことだ。；その計画もまた、すでに周知のごとく惨憺たる失敗に終わったのだが。；女と親しくしていたことは周知のことだし、前科の記録をもっている。；彼らがすっかり搾りあげられてしまっていることは周知であるから。；このため、捜査方法の改善が模索され、テレビなどで周知される事もある。；彼に興味を持つほどの人なら彼が弟子をとらないということも周知のはずであった。；PTAが任意加入の団体であることは、報道等により近年周知されてきた。；中部太平洋ハリケーンセンターは事前の情報周知に遅れを取っていた。；彼の方法が何処で成功し、何処で失敗するかは既に周知の事だ。；とにかく、信長が、安土に城を築いていることは周知のこととなった。；また時々刻々と変わる状況を放送や誘導などの手段で遊泳客に周知させる。；まあ、ニーチェがひじょうに音楽的な人であることは、周知のことです。；この曲についてはここに贅するまでもなく、常識的に周知のことである。；いま、勝家と秀吉の仲、日ごとに険悪となりつつあることは天下の周知。；しかし、これはその後あまりにも周知のこととなったから、やめておこう。；TikTokは、私が事実を周知しようとしたためアカウントを停止した。；その存在は、各所轄の署長クラス以上の警察関係者にしか周知されていない。；周知のごとく、ロシアの民衆はあだ名をつけるのにかけては名人である。；本遺跡は縄文時代中期の集落跡を中心とした周知の埋蔵文化財包蔵地である。</t>
        </is>
      </c>
      <c r="J3860">
        <f>HYPERLINK("https://www.weblio.jp/content/周知", "词义详情")</f>
        <v/>
      </c>
      <c r="K3860">
        <f>HYPERLINK("https://yourei.jp/周知", "查看例句")</f>
        <v/>
      </c>
    </row>
    <row r="3861">
      <c r="A3861" t="inlineStr">
        <is>
          <t>執着</t>
        </is>
      </c>
      <c r="B3861" t="inlineStr">
        <is>
          <t>成功</t>
        </is>
      </c>
      <c r="C3861" t="inlineStr">
        <is>
          <t>読み方：しゅうじゃく
［名］(スル)⇒しゅうちゃく（執着）</t>
        </is>
      </c>
      <c r="D3861" t="inlineStr">
        <is>
          <t>執着する(15%)；執着しすぎ；執着してる；執着ぶり；執着力</t>
        </is>
      </c>
      <c r="E3861" t="inlineStr">
        <is>
          <t>我慢；欲；色気；根気；忍耐</t>
        </is>
      </c>
      <c r="F3861" t="inlineStr">
        <is>
          <t>異常な執着；異様な執着；女に執着；深い執着；自己執着</t>
        </is>
      </c>
      <c r="H3861" t="n">
        <v>29</v>
      </c>
      <c r="I3861" t="inlineStr">
        <is>
          <t>平和が約束される時、極めて発達した武器に人は執着するであろうか。；右の河は貪りや執着の心を表し、左の河は怒りや憎しみをそれぞれ表す。；僕は何に限らず一つものに執着することも、束縛されることも好まない。；この出版に執着しなければならない理由は左近にはなかったのである。；つまる所は私はまだまだこの俗世に執着を感じているのではあるまいか。；光の結社を離脱した後は、黒い物に異様な執着を見せるようになった。；斯執着の意味を多少とも解し得る鍵を得たのは、田舎住居の御蔭である。；父への反発と同時に、既に故人である姉には特別な執着を抱いている。；あらゆる種類の感情で、死への執着は魅力と客観化の両方で明らかになる。；この時点で、ハイドニックの子供への執着は危険なまでに高まっていた。；安心すると同時に仕事の事がたゞ一つの執着になつて私に逼つて來た。；しかし、その後も金に執着せずやりたいことをやり、財産は残さなかった。；第一の攻撃でわたしにわからぬことは、執着すればするほどわからなくなる。；深く執着するものがある者は、死後自分の帰ってゆくべきところをもっている。；高い戦闘能力を持ち、父親であるビッグ・ボスに執着した行動を取る。；すでに君が俺に執着のない以上決して強ひてとは言はない。；恬淡というか、無頓着というか、一つのものに執着することがなかった。；無常のこの世にいてそう夫婦愛に執着している自分でもないものと思っていた。；私はきつと執着いても、この怨は返して遣るから、覚えてゐるが可い!；たゞ自身に対して丈けは全ての執着を集めてからみつけてお置きなさい。；また、精神的・肉体的・社会的問題が起こっても、対象に執着し続ける。；深く執着するものがある者は、死後自分の歸つてゆくべきところをもつてゐる。；キリスト教が入っているが、伝統宗教に執着している者の数も多い。；この霊的執着の半面には物質を超越せんがために強烈なる煩悶があった。；自分のものというのは何もなく、また何物にも執着してはいけないのである。；何か反歴史的な執着などから経済的にもその他にもごたついてはいないのです。；それは外界にのみ執着しなれたお前に取っては考えられそうなことだ。；まったく人は、その憎むところのものに深い執着をもっているのだ。；其處は恐ろしい執着をもつて何かを期待してゐるやうであつた。</t>
        </is>
      </c>
      <c r="J3861">
        <f>HYPERLINK("https://www.weblio.jp/content/執着", "词义详情")</f>
        <v/>
      </c>
      <c r="K3861">
        <f>HYPERLINK("https://yourei.jp/執着", "查看例句")</f>
        <v/>
      </c>
    </row>
    <row r="3862">
      <c r="A3862" t="inlineStr">
        <is>
          <t>終着</t>
        </is>
      </c>
      <c r="B3862" t="inlineStr">
        <is>
          <t>成功</t>
        </is>
      </c>
      <c r="C3862" t="inlineStr">
        <is>
          <t>読み方：しゅうちゃく
列車など交通機関が、ある路線の最後の駅に着くこと。終点に着くこと。</t>
        </is>
      </c>
      <c r="D3862" t="inlineStr">
        <is>
          <t>終着点(26%)；終着地(6%)；終着とする列車(5%)；終着列車(4%)；終着便</t>
        </is>
      </c>
      <c r="E3862" t="inlineStr">
        <is>
          <t>最後；末；終わり；末期；結び</t>
        </is>
      </c>
      <c r="F3862" t="inlineStr">
        <is>
          <t>始発終着；町田バスセンター終着；同駅終着；終着地点</t>
        </is>
      </c>
      <c r="G3862" t="inlineStr">
        <is>
          <t>終着駅殺人事件；終着駅シリーズ</t>
        </is>
      </c>
      <c r="H3862" t="n">
        <v>29</v>
      </c>
      <c r="I3862" t="inlineStr">
        <is>
          <t>そこではあらゆる場所が出発点であり、また終着点でありうるからだ。；停留所は始発・終着地を除き、市内に設けられている所のみを表記する。；許されるならば、その終着点まで皆様とご一緒させて頂ければ幸いです。；この強制収容所は通過収容所であり、終着点の強制収容所ではなかった。；皮肉なことに、たいていの場合、彼らの旅の終着地点はわかっている。；明確な目的も終着も知らないのに意味もなくだらだらと伸びやがって。；宇都宮の手前で日が落ち、終着の黒磯に着いた時はすでに夜が落ちていた。；以下の5つのゾーン・区間を出発地・終着地とする往復型の乗車券である。；車庫所在駅である関係で当駅を始発または終着とする列車が設定されている。；そこで4日を過ごしたあと、彼の巡礼の終着点であるメッカへ向かった。；京滬高速鉄道の中で、始発と終着の列車がある地級市の唯一の駅である。；SAO世界は終着点ではなく、始まりでしかないのだと彼は気付いた。；旅の終着点でダイアンを発見できるものかどうか見当もつかない。；それでも、アマーティの求婚が成功するか否かがこの騒ぎの終着点である。；彼は7月21日にクタイシから旅を始め、のライラシが終着地となった。；小海線の運行拠点の一つで、当駅を始発・終着とする列車が存在する。；俺は真っ黒になって、そいつの一部になったまま、深い終着に落ちていった。；幸いにして学問のどの方面も、まだ終着点に到達していない。；ロンドンはひと財産作ろうともくろむ人たちの波の終着点であった。；その旅がカイ・ホスローと同じ終着点を持つかどうか、まだ判明していない。；途中の広電本社前に車庫があり、広電本社前始発終着となる電車も多い。；ここがあなたの終着ポイントでいいんじゃありませんか?；旅の終着に達した今、彼らが共にいなければならない理由はまったくなかったからである。；彼は三百年の生の終着点に、アリスを守るための戦いを選んだのだ。；クルナから終着点であるバゲルハットまでは鉄道によって結ばれている。；終着用ホームは通常のプラットホームの下の階にあるが、現在は使用されていない。；幸い終着の東京が近いので、席から離れて立っていても別におかしくはありません。；全列車が当駅終着とすると設備に不十分があったためである。；だれもがいろいろな道をたどり迷いしたあげく、人生の終着点に到達する。</t>
        </is>
      </c>
      <c r="J3862">
        <f>HYPERLINK("https://www.weblio.jp/content/終着", "词义详情")</f>
        <v/>
      </c>
      <c r="K3862">
        <f>HYPERLINK("https://yourei.jp/終着", "查看例句")</f>
        <v/>
      </c>
    </row>
    <row r="3863">
      <c r="A3863" t="inlineStr">
        <is>
          <t>集中</t>
        </is>
      </c>
      <c r="B3863" t="inlineStr">
        <is>
          <t>成功</t>
        </is>
      </c>
      <c r="C3863" t="inlineStr">
        <is>
          <t>読み方：しゅうちゅう
［名］(スル)
１1か所に集めること。また、集まること。「精神を—する」「質問が—する」
２ある作品集や文集の中。「この描写は—の圧巻だ」</t>
        </is>
      </c>
      <c r="D3863" t="inlineStr">
        <is>
          <t>集中する(16%)；集中的(3%)；集中させる(3%)；集中でき；集中攻撃</t>
        </is>
      </c>
      <c r="E3863" t="inlineStr">
        <is>
          <t>注意；夢中；専念；用心；結集</t>
        </is>
      </c>
      <c r="F3863" t="inlineStr">
        <is>
          <t>短期集中；集中連載；集中式；集中治療；権力集中</t>
        </is>
      </c>
      <c r="G3863" t="inlineStr">
        <is>
          <t>集中的；集中豪雨；集中砲火；集中治療室；集中開催</t>
        </is>
      </c>
      <c r="H3863" t="n">
        <v>29</v>
      </c>
      <c r="I3863" t="inlineStr">
        <is>
          <t>国内では西海岸の人口密度が高く、特に首都周辺に人口が集中している。；中でも浅草は江戸で最も人が集中する所で人・物・金が集まってきた。；大型の店舗は駅の近辺よりもこれらの主要道路沿いに集中している。；外国の料理を特徴としたレストランは主にベイオール地区に集中している。；また駅から徒歩15分程の国道342号線沿いにも店舗が集中している。；同じ穀醤の中でも特定地域に集中している醤油製造との違いでもある。；東京湾岸にも集中している貝塚であるが、作られ方は時期によって違う。；また一点に力が集中するため、エネルギー自体は小さくてもあまり問題はない。；メディアの痕跡探しは「メディアの三角形」に集中して実施されている。；人口の大きな集中が都心にあり、重要なものは近年成長している観光である。；このことで彼は研究に集中することができるようになった。；日本では、この頃から小規模な水力発電の集中制御化・無人化が進んだ。；一方、政治体制は絶対君主制を維持し、全ての権限を自身に集中させた。；まずは同行に集中されていた各種金融機能が専門銀行に分割された。；軍事的努力が東方へ集中している間にイタリアの情勢は悪化していた。；そのほか、小売店は鉄道各駅や幾つかのバス停留所付近に集中している。；訓練や集中を必要としないとされる点は、ほかの手当て療法と大きく異なる。；ネットワークの状態を追跡し維持する集中監視機能や性能測定機能は存在しない。；政治と軍事を切り離し、軍事を超国家組織に集中しようとする考え。；この頃から、東京に集中していた工場群が横浜・川崎にも多く進出し始めてきた。；君主に権力を集中し、それを迅速に適材に委ねる必要があったのである。；当初はカント哲学とキリスト教の両立問題に関心を集中させていた。；市役所などの官公庁は当駅から西寄り、国道24号沿いに集中している。；この4つの都市はいずれも人口の集中するメキシコの中央高原に位置している。；また、重力の働く場所が一点に集中したと考えたとき、それは重心である。；ラスベガス市とリノ市にはアフリカ系アメリカ人が集中する場所がある。；高校一年生の時にサッカー部を辞め、漫画一本に集中することに決める。；年間降水量は少なく冬季に集中するために雪が多くなる地域も多い。；ここでは大型彫刻への資源集中が大きな政治的影響力を有していた可能性がある。</t>
        </is>
      </c>
      <c r="J3863">
        <f>HYPERLINK("https://www.weblio.jp/content/集中", "词义详情")</f>
        <v/>
      </c>
      <c r="K3863">
        <f>HYPERLINK("https://yourei.jp/集中", "查看例句")</f>
        <v/>
      </c>
    </row>
    <row r="3864">
      <c r="A3864" t="inlineStr">
        <is>
          <t>終点</t>
        </is>
      </c>
      <c r="B3864" t="inlineStr">
        <is>
          <t>成功</t>
        </is>
      </c>
      <c r="C3864" t="inlineStr">
        <is>
          <t>読み方：しゅうてん
１物事の終わりのところ。特に、ある路線の終わる地点や、ある路線を走る列車・電車・バスなどが最後に行き着く駅・停留所。「東海道本線の—」⇔起点。
２数学で、ベクトルまたは向きをもった線分ABの点B。⇔始点。</t>
        </is>
      </c>
      <c r="D3864" t="inlineStr">
        <is>
          <t>終点付近(4%)；終点側；終点近く；終点方向；終点および経過地</t>
        </is>
      </c>
      <c r="E3864" t="inlineStr">
        <is>
          <t>最後；末；結局；最終；終わり</t>
        </is>
      </c>
      <c r="F3864" t="inlineStr">
        <is>
          <t>林道終点；至り終点となる；終点停留所；終点直前；合流し終点</t>
        </is>
      </c>
      <c r="H3864" t="n">
        <v>29</v>
      </c>
      <c r="I3864" t="inlineStr">
        <is>
          <t>そのため終点で折り返して同じルートを戻る場合に違う系統番号となる。；道路交通情報では、終点である東京へ向かう方向を上りと表現している。；オロノからは神山線の既存ルートと同じで終点の神山高校前へと向かう。；当駅を始発・終点とする電車が朝と夕方ラッシュ時以降に設定されている。；一般国道の路線を指定する政令に基づく起終点および経過地は次の通り。；東京を起点とする東海道案の終点は当初は小牧ではなく三宮であった。；終点となる豊田市駅では三河線知立方面との対面接続が考慮されている。；また終点では前後両方の扉が開く旨の放送が流れていた。；当駅を終点とする普通列車もあり、南越地方の主要駅の一つとなっている。；ラッシュ時を中心に当駅が始発・終点となる列車が設定されている。；当初は首都高速3号渋谷線が接続しておらず、東名単独の起終点だった。；京阪線の大阪方面からの当駅始発・終点の列車が少ないながら設定されている。；正式には名古屋線の終点であるが、当駅発が下り列車となる。；一般国道の路線を指定する政令 に基づく起終点および経過地は次の通り。；一般国道の路線を指定する政令に基づく起終点および経過地は次のとおり。；路線の終点は幡生駅であるが、幡生側の列車は下関駅まで運転されている。；終点側の端に改札口があり、簡易Suica改札機のみが置かれている。；かつては富内線の延長区間の終点となる金山線が計画されていた。；田園地帯を進み、中村川を渡ったのちにやがて終点の氷見駅に到着する。；当駅の所属線である伯備線と、当駅を終点とする姫新線が乗り入れている。；当駅の所属線である姫新線と、当駅を終点とする津山線が乗り入れている。；車両センターへの出入りのため、一部列車は当駅が始発・終点となっている。；かつては日中にも当駅起終点の列車が1往復設定されていた。；両路線とも当駅が終点で全列車が当駅始発・終着で運転される。；反対に、船橋駅方向に向かうバスは基本的に京成船橋駅を終点とする。；一般国道の路線を指定する政令 に基づく起終点および経過地は次のとおり。；星久喜線方向からの2本に限り千葉中央線側の終点が穴川駅となっていた。；起点から終点へと、沿道の風景や接続路線などを順次述べていくこととする。；南北線の終点で、「カメイアリーナ仙台前」の副駅名が付けられている。</t>
        </is>
      </c>
      <c r="J3864">
        <f>HYPERLINK("https://www.weblio.jp/content/終点", "词义详情")</f>
        <v/>
      </c>
      <c r="K3864">
        <f>HYPERLINK("https://yourei.jp/終点", "查看例句")</f>
        <v/>
      </c>
    </row>
    <row r="3865">
      <c r="A3865" t="inlineStr">
        <is>
          <t>終電</t>
        </is>
      </c>
      <c r="B3865" t="inlineStr">
        <is>
          <t>成功</t>
        </is>
      </c>
      <c r="C3865" t="inlineStr">
        <is>
          <t>読み方：しゅうでん
「終電車」の略。</t>
        </is>
      </c>
      <c r="D3865" t="inlineStr">
        <is>
          <t>終電後(9%)；終電間際(3%)；終電時刻；終電繰り上げ；終電近く</t>
        </is>
      </c>
      <c r="F3865" t="inlineStr">
        <is>
          <t>下り終電；上り終電</t>
        </is>
      </c>
      <c r="G3865" t="inlineStr">
        <is>
          <t>終電ちゃん</t>
        </is>
      </c>
      <c r="H3865" t="n">
        <v>29</v>
      </c>
      <c r="I3865" t="inlineStr">
        <is>
          <t>私が扉のところまで行っても彼らは終電の乗客のように押し黙っている。；その日の終電時刻がすぎたころ、サヤーの両親がうちの店にやってきた。；終電同士以外では駅や指令から特別な指示がない限り接続を取らない。；歩行者用信号は赤だが、終電前の混雑で交差点内には車が溜まっていた。；話し込んでいるうちに終電を逃してしまい、私はタクシーで家に戻った。；名古屋鉄道の各駅から名古屋駅へ向かう終電を舞台としたコメディ作品。；その駅を利用するつもりだったのだが、もちろん終電は出ている。；早朝・日中と深夜近くから終電までの間は1編成のみの運用である。；姉の車がみえなくなるとすぐに「終電逃した」と弟は時計をみながらいった。；また、金曜日の終電直前のみ運行される各駅停車が1本設定されている。；今、会社の人たちと新宿で飲んでいるんだけど、終電、逃しちゃったよ。；この議論に熱中し、つい帰りの終電に乗りおくれてしまった者もある。；うまく終電に間に合ったとしても、降りた駅にはもちろんバスの姿はない。；妹の夫は電気会社に勤務していて、大体終電で帰ってくるという。；もっとも営業時間は終電までなので、残り時間は一時間くらいだったのだが。；時刻はまもなく十一時で、終電で帰る者はそろそろ準備を始める時間である。；平日の日中と土休日の始発から終電まではほぼ15分間隔となっている。；普段は3番線のみが使用され、4番線は初電と終電にのみ使用される。；終電まではまだ時間があり、意外と多くの人が駅を利用していた。；終電も繰り下げになり、大阪発で23時まで運転されるようになった。；まもなく終電だというのに、ホームからは人の波が湧き出してくる。；終電が近いためか、行き交う人の足取りがこころなしか早くなっている。；終電が行ってしまってから始発が走るまでの間はラッチの外に出てもいいんでしょ。；三泊目の夜もなんだか盛り上がっていたようだが、私は終電で現場へ向かった。；勿論とっくに終電が終わっているので、駅付近といえどもガランとしていた。；エンディングでは、終電後の秋葉原駅で撮影された本人出演の映像が流れた。；このため廃止直前には「日本一終電が早い駅」としても知られていた。；ケーブルの終電はすでに発車した後で、そこへ引返して来たのである。；しかし終電の時間をすぎるころになって、私は不意に妻が家出をしたのではないかと思った。</t>
        </is>
      </c>
      <c r="J3865">
        <f>HYPERLINK("https://www.weblio.jp/content/終電", "词义详情")</f>
        <v/>
      </c>
      <c r="K3865">
        <f>HYPERLINK("https://yourei.jp/終電", "查看例句")</f>
        <v/>
      </c>
    </row>
    <row r="3866">
      <c r="A3866" t="inlineStr">
        <is>
          <t>重点</t>
        </is>
      </c>
      <c r="B3866" t="inlineStr">
        <is>
          <t>成功</t>
        </is>
      </c>
      <c r="C3866" t="inlineStr">
        <is>
          <t>読み方：じゅうてん
１物事のいちばん大切なところ。最も力を注ぐ部分。「語学に—を置いて勉強する」
２「踊り字」に同じ。</t>
        </is>
      </c>
      <c r="D3866" t="inlineStr">
        <is>
          <t>重点措置(3%)；重点分野；重点化；重点項目；重点目標</t>
        </is>
      </c>
      <c r="E3866" t="inlineStr">
        <is>
          <t>焦点；重き；比重；力点；ウェート</t>
        </is>
      </c>
      <c r="F3866" t="inlineStr">
        <is>
          <t>最重点；攻勢重点；国家重点；重点整備；重点研究</t>
        </is>
      </c>
      <c r="G3866" t="inlineStr">
        <is>
          <t>重点大学；重点産業；重点港湾；重点領域研究；重点区</t>
        </is>
      </c>
      <c r="H3866" t="n">
        <v>29</v>
      </c>
      <c r="I3866" t="inlineStr">
        <is>
          <t>この段階に至っても、日本海軍の作戦重点は南東方面に向けられていた。；また、他のゲームに比べてキャラクター同士の戦闘に重点が置かれている。；世界中には、子どもの権利に重点のある法律や条約がいくつか存在する。；武装は一切搭載されておらず、上半身による打撃に重点が置かれている。；漫画よりも肉体労働に重点を置くようになり、晩年は非常に寡作になる。；椅子は意匠に重点がおかれる場合と機能に重点がおかれる場合がある。；映画の中では特にアイリーンとティリアの関係に重点が置かれている。；建物測量技師は、建物の状態の調査と法令順守作業に重点を置いている。；前述の通り改良の重点は装甲の強化に置かれ、車体自体も後方に延長された。；百年余の歴史を持ち、重点大学・国家重点投資建設校に指定されている。；ここでは各シーズンごとの日本版『逃走中』との違いを重点に記述する。；それに呼応するようにバンド、ロックに重点を置いた本番組がスタートした。；かつては炭鉱町だったが、現在では観光・教育・研究にも重点が置かれている。；このことは生業形態が農耕に重点が移っていったことを示している。；陸軍も海軍同様に天号作戦では特攻戦術に重点を置く決定をしていた。；この学校は英語に重点をおいたプログラムを展開している。；また、イタリアに重点を置いた彼の施策は帝国に混乱をもたらした。；同作品における動きやカメラアングルなどに重点を置いた演出が特徴である。；また自社ブランド製品の強化に重点を置くなど経営戦略の転換を進めている。；アルバムの構成と旋律により重点が置かれ、数々のヒット曲が生まれた。；旧OVAとかなり設定などが違い、ギャグを重点において作られている。；普通選挙の実施を求めた他、環境保護やオンブズ活動にも重点を置いた。；日本市場を強く意識して軽量さとコンパクトさに重点が置かれている。；中継対象となる競馬場で行われるレースの展望や解説を重点に放送。；これはよりコンパクトな曲とより少ないギターソロに重点を置いたアルバムであった。；また、利用するだけでなく、探索し、評価することに重点が置かれている。；これらの船は速さではなく、豪華さと安全性に重点を置くものとした。；適切に設計された疫学的調査よりも、スクリーニングに重点が置かれてきた。；またこれを機に食のコーナーを取りやめ、医療にさらに重点を置くようになった。</t>
        </is>
      </c>
      <c r="J3866">
        <f>HYPERLINK("https://www.weblio.jp/content/重点", "词义详情")</f>
        <v/>
      </c>
      <c r="K3866">
        <f>HYPERLINK("https://yourei.jp/重点", "查看例句")</f>
        <v/>
      </c>
    </row>
    <row r="3867">
      <c r="A3867" t="inlineStr">
        <is>
          <t>充電</t>
        </is>
      </c>
      <c r="B3867" t="inlineStr">
        <is>
          <t>成功</t>
        </is>
      </c>
      <c r="C3867" t="inlineStr">
        <is>
          <t>読み方：じゅうでん
［名］(スル)
１蓄電池・蓄電器に外部から電流を流し、電気エネルギーを蓄えること。⇔放電。
２人が次に行う物事に備えて、活力を蓄えること。「休暇を取って—する」</t>
        </is>
      </c>
      <c r="D3867" t="inlineStr">
        <is>
          <t>充電する(9%)；充電式(5%)；充電用(4%)；充電期間(4%)；充電時(2%)</t>
        </is>
      </c>
      <c r="E3867" t="inlineStr">
        <is>
          <t>搭載；積む；チャージ；被せる；荷電</t>
        </is>
      </c>
      <c r="F3867" t="inlineStr">
        <is>
          <t>満充電；再充電；過充電；充電状態；充電システム</t>
        </is>
      </c>
      <c r="G3867" t="inlineStr">
        <is>
          <t>充電池；充電スタンド；充電時間；充電ステーション；充電式電池</t>
        </is>
      </c>
      <c r="H3867" t="n">
        <v>29</v>
      </c>
      <c r="I3867" t="inlineStr">
        <is>
          <t>現代の交通用ではどれくらいこのような充電が必要かは明確ではない。；モバイルバッテリーなどの充電機器の企画開発・販売に力を入れている。；また、惰行時や駅での停車時でも充電率が低い場合は充電が続けられる。；電池の充電は燃料の給油と比較して長い時間がかかることも欠点である。；解散ではなくあくまで充電期間というものの再開の時期は発表されていない。；ここでは12台がおよそ毎に充電施設が設置された4路線以上で使用された。；女性の身体はまるで電気のように充電したり放電したりするように記述される。；ボタン型二次電池は、自身で充電機能を持つ小型機器に使われている。；iPhone 6を急速充電するにはもしくは、を使用する必要がある。；このシングルを最後に宇多田は約1年間の充電期間に入ることになる。；充電表示していないだけで実際には充電されているという機種も存在する。；放電時にも充電時と同様に、放電に伴って放電電圧が直線的に低下する。；これらの電池はゆっくりと充電されゆっくりと放電することができる。；満足のいく充電システムは潜在的に廉価な材料で高エネルギーである。；これによりフル充電の時間を約20分程度短縮することに成功している。；車両は駅で停車時に充電するため、軌道上での電力供給も必要ない。；また、太陽光のみの充電であれば発電時に二酸化炭素を出すこともない。；いかなる電池を充電する場合でも保護めがねを着用することが望ましい。；とはいえ、いくつかの改修型ではバッテリーに充電されている必要がある。；車両甲板には、国内のフェリーで初となる電気自動車充電設備を搭載した。；急速充電が可能だが、バッテリー温度の上昇は一定の範囲内に抑えられている。；充電能力や凌波性に優れていたが、運用に問題があったといえる。；最近は本体にバッテリーが内蔵されており、直接充電できるタイプが多い。；ロートンは送信機と受信機をはじめて一体化させ、電池を充電式とした。；充電台と携帯機器との間では受電側から送電側への単方向通信が行われる。；日本では1990年代頃から理容室を中心に充電式のバリカンが普及した。；駐車場内には電気自動車急速充電器・普通充電器を4台ずつ設置している。；実際の運行のためにはそのほかに、充電設備の設置費用などがかかることになる。；したがって、充電においては極めて高い精度での電圧制御が必要である。</t>
        </is>
      </c>
      <c r="J3867">
        <f>HYPERLINK("https://www.weblio.jp/content/充電", "词义详情")</f>
        <v/>
      </c>
      <c r="K3867">
        <f>HYPERLINK("https://yourei.jp/充電", "查看例句")</f>
        <v/>
      </c>
    </row>
    <row r="3868">
      <c r="A3868" t="inlineStr">
        <is>
          <t>柔道</t>
        </is>
      </c>
      <c r="B3868" t="inlineStr">
        <is>
          <t>成功</t>
        </is>
      </c>
      <c r="C3868" t="inlineStr">
        <is>
          <t>読み方：じゅうどう
日本古来の柔術諸流派をもとに、明治15年（1882）嘉納治五郎によって創始された格闘技。心身を鍛練修養し、青少年の教育に貢献することを目的とした。技は、投げ技・固め技・当て身技の3部門から成る。第二次大戦後、スポーツとして世界的に普及。</t>
        </is>
      </c>
      <c r="D3868" t="inlineStr">
        <is>
          <t>柔道界(4%)；柔道整復師(3%)；柔道場(2%)；柔道連盟(2%)；柔道大会</t>
        </is>
      </c>
      <c r="F3868" t="inlineStr">
        <is>
          <t>ワールド柔道ツアー；ijfワールド柔道；柔道師範；柔道指導；柔道教室</t>
        </is>
      </c>
      <c r="G3868" t="inlineStr">
        <is>
          <t>柔道家；柔道選手；柔道着；柔道一直線；柔道整復</t>
        </is>
      </c>
      <c r="H3868" t="n">
        <v>29</v>
      </c>
      <c r="I3868" t="inlineStr">
        <is>
          <t>一方で柔道でもこの方法を想定しており危険防止のため禁止されている。；柔道など投げ技がきれいに決まることが勝利条件の一つであるものも多い。；アマチュアレスリングや柔道でも体重を基準にして選手を分類している。；さりながら、競技運動の目的は単純で狭いが、柔道の目的は複雑で広い。；一方で、学校対抗の陸上競技・柔道・水泳などの大会にも出場して活躍。；小学校4年の時に父親の影響を受けて、近所の松島道場で柔道を始めた。；また大日本武徳会柔道部門には空手や捕縛術も柔道傘下に置かれていた。；生来の肥満体を案じた両親に勧められ小学校5年生の時で柔道を始めた。；高校時代には柔道で全国優勝したとアメリカのメディアが報じている。；そのため準決勝からは新しい柔道衣に着替えて出場することになった。；子供時代は父親の影響で柔道もしており、11歳の時に茶帯だった。；柔道の当身の中に武器術、対武器術の概念を含むことを述べている。；柔道を教えることは続けていたものの、生徒のほとんどは日本人の子だった。；このような経緯を経て戦後警察柔道はいち早く復活を認められた。；日下部は柔道を始めて半年後には初めて出た大会でいきなり優勝。；本作では、日の目を見ることが少ない高校女子柔道も並行して扱っている。；柔道では投げ技で崩され下になった場合の防御法として一般的である。；また柔道の専門書の出版も積極的に行い、その発展に貢献した。；また、父親は高校の国語教師で柔道をやっており、柔道を教え込まれた。；柔道の山下泰裕物語に影響された祖父の下、小学3年生で相撲を始める。；しかし柔道ができなくなったので空手が自分の体でできるのか龍夫に相談した。；これは、大会名に関したオリジナルの柔道着を着用して柔道を行うというもの。；別々の中学校で柔道をしていた主人公達が、この高校で集結し物語が始まる。；小学生の時には柔道を習っていたが、中学に入学すると相撲を始めた。；柔道でも、この方法で掛けた方が、楽に投げられる可能性がある。；中学時代には柔道をやっていたが、南部高等学校進学後に相撲を始める。；柔道と異なり綺麗に投げても一本勝ちにはなら確かに柔道で言う効果。；中学でも野球部に所属する傍ら、父親の勧めで中学2年から柔道もしていた。；そのため、主催はIJFではなく全柔連とエジプト柔道連盟になっている。</t>
        </is>
      </c>
      <c r="J3868">
        <f>HYPERLINK("https://www.weblio.jp/content/柔道", "词义详情")</f>
        <v/>
      </c>
      <c r="K3868">
        <f>HYPERLINK("https://yourei.jp/柔道", "查看例句")</f>
        <v/>
      </c>
    </row>
    <row r="3869">
      <c r="A3869" t="inlineStr">
        <is>
          <t>修得</t>
        </is>
      </c>
      <c r="B3869" t="inlineStr">
        <is>
          <t>成功</t>
        </is>
      </c>
      <c r="C3869" t="inlineStr">
        <is>
          <t>読み方：しゅうとく
［名］(スル)学問・技芸などを学んで会得すること。「柔道の技を—する」</t>
        </is>
      </c>
      <c r="D3869" t="inlineStr">
        <is>
          <t>修得すること(4%)；修得できる(4%)；修得するため；修得退学；修得主義</t>
        </is>
      </c>
      <c r="E3869" t="inlineStr">
        <is>
          <t>学ぶ；学習；マスター；習得；会得</t>
        </is>
      </c>
      <c r="F3869" t="inlineStr">
        <is>
          <t>単位修得；技術修得；修得済み；科目修得；単位以上修得</t>
        </is>
      </c>
      <c r="H3869" t="n">
        <v>29</v>
      </c>
      <c r="I3869" t="inlineStr">
        <is>
          <t>自分の王国に十分満足している者に、そんな技術を修得する必要はない。；本作ではマスターも成長し、様々な大魔法を修得していくようになった。；また一部の妖怪が修行をしたり人間が訪れて魔法を修得することもある。；や、そもそも未修得者には博士課程進学が認められていないからである。；この時期に修得した生化学的知識がその後の研究の大きな推進力となった。；彼の写真技術は自分で修得したものであって、特に教育などは受けていない。；船の帆走術を修得してからフダラクへ出かけていった法師のことである。；韓国のホテルに勤めていると、英語と日本語の修得は必須条件なのである。；不動真徳流は一部の門人のみが学んでいたため修得した者は少なかった。；履修したすべての科目で単位を修得すると言う意味で使われる場合もある。；彼は大変日本語修得に熱心で、後で又話しに来ると云って出て行った。；これ以外に各地の施設で特殊作業を修得でき、内政の際に有利になる。；つまり、学校の勉強や魔法の修得に関わることではないということだ。；ただし、普通の兵士には受けられない法規などの学科を学び、修得した。；授業内容は通常の授業の他に資格修得授業があり、希望する生徒に対応している。；どのパイロットも最低二つの研究領域において学位を修得しております。；数年来のつきあいで、こういう時の扱い方だけは、竜憲は修得していた。；大学を卒業するための単位のほとんどは、三年間で修得してしまったそうだ。；嘉永五年、小五郎は江戸へ出て、純粋に個人的な目的で剣術を修得した。；放送授業によって卒業に必要な大半の単位を修得できることが特徴である。；電子科は、電子機器の製作などの基本的な知識と技術を修得させる学科。；また、のちに同時通訳ができるほど極めて高いレベルにまで修得した。；「強者になる一番の近道は毛家居合拳の修得である」と語るのであった。；その間に仙道を修得して、自在に飛行することができるようになった。；大学の講義をうけて、単位を修得できる高大連携教育も実施している。；ナヴコムの技術者たちにスコープの扱いを修得させたのもこのためだった。；それだけでもどれほどの学問修得と日々の研鑽が必要だったか。；しかし、そのためにはより高度な技の修得が不可欠であることも承知していたのだ。；特に技術投資により経営成果を挙げる戦略性を修得することが重視されている。</t>
        </is>
      </c>
      <c r="J3869">
        <f>HYPERLINK("https://www.weblio.jp/content/修得", "词义详情")</f>
        <v/>
      </c>
      <c r="K3869">
        <f>HYPERLINK("https://yourei.jp/修得", "查看例句")</f>
        <v/>
      </c>
    </row>
    <row r="3870">
      <c r="A3870" t="inlineStr">
        <is>
          <t>柔軟</t>
        </is>
      </c>
      <c r="B3870" t="inlineStr">
        <is>
          <t>成功</t>
        </is>
      </c>
      <c r="C3870" t="inlineStr">
        <is>
          <t>読み方：じゅうなん
［形動］［文］［ナリ］
１やわらかく、しなやかなさま。「—な身のこなし」
２一つの立場や考え方にこだわらず、その場に応じた処置・判断のできるさま。「—な態度」「—に対応する」
[派生]じゅうなんさ［名］</t>
        </is>
      </c>
      <c r="D3870" t="inlineStr">
        <is>
          <t>柔軟性(33%)；柔軟体操；柔軟な対応；柔軟な運用；柔軟な姿勢</t>
        </is>
      </c>
      <c r="E3870" t="inlineStr">
        <is>
          <t>柔らか；しなやか；柔軟性；弾力；柔かい</t>
        </is>
      </c>
      <c r="F3870" t="inlineStr">
        <is>
          <t>高い柔軟；柔軟路線；柔軟姿勢；柔軟なリンカー；柔軟なカスタマイズ</t>
        </is>
      </c>
      <c r="G3870" t="inlineStr">
        <is>
          <t>柔軟仕上げ剤；柔軟化粧水</t>
        </is>
      </c>
      <c r="H3870" t="n">
        <v>29</v>
      </c>
      <c r="I3870" t="inlineStr">
        <is>
          <t>現代の政治家の判断には柔軟性がいるが、アスキスはそれが下手だった。；柔軟な制度にすることで利害関係者の利益を実現するのが目的である。；このルールを柔軟に運用することで、ゲームはダイナミックに変化する。；これは水分子を介した相互作用の柔軟性のためであると考えられている。；もっとも、近年は女性に対して柔軟な考えをも持っている山親方もいる。；唇のような柔軟性がないが、硬いために突くなどする際には効果が大きい。；ドアの位置や車両の長さの異なる車両にも柔軟に対応できる。；もう1つの大きな目的は、製造工程の柔軟性と転換可能性の向上である。；最近ではわんぱくウォークの後に握力と柔軟性を鍛えることもしている。；柔軟な中継回線接続が可能で、中継回線の効率的な利用が可能になった。；また脚および趾は柔軟性が強く、様々な方向に水を掻くことができる。；世界の変化に柔軟に対応できない硬直的なものだ、ということなのである。；柔軟な特性変更ができるためデジタル信号処理において良く用いられる。；このように釘調整の全てに逆の作用があることを認識する柔軟な対応が求められる。；その場合、無線の規格変更にもプログラムの変更で柔軟に対応可能である。；簡単な部品交換だけで左右どちらからでも給弾できることも柔軟な運用を可能にした。；表記体系はほかの諸言語と比べて極めて複雑かつ柔軟性の高さが特徴である。；口に発達した硬質の口器はなかったため、餌は柔軟であったと推測される。；皮膚を伸ばしたときには鱗同士の間隔が広がり、柔軟な皮膚が露出する。；時代に即したレイアウトを柔軟に考え取り入れて行くことが重要とされている。；しかしその中身は複雑化と柔軟化に向けて20世紀に大きく様変わりした。；当時の水準では柔軟な記述を許容するなど、扱いやすく高機能なものだった。；また、法律改正を必要としない例外の柔軟な追加手続も別途認められている。；このため、競技者は初めて見る地図と地形に柔軟に対応する力を持つ必要がある。；正規の座席だけでは収容の柔軟性に欠ける面もあることから設置されることが多い。；メモリの管理は明示的に行う必要が出てくるが、柔軟性が向上する。；エジプト神話は非常に柔軟で、互いに矛盾しているようにも見える。；大戦後半には連隊内の車種の統一が行われ、作戦への柔軟性が向上している。；また、飛行中にパイロットがプログラムを変更する際の柔軟性が高められている。</t>
        </is>
      </c>
      <c r="J3870">
        <f>HYPERLINK("https://www.weblio.jp/content/柔軟", "词义详情")</f>
        <v/>
      </c>
      <c r="K3870">
        <f>HYPERLINK("https://yourei.jp/柔軟", "查看例句")</f>
        <v/>
      </c>
    </row>
    <row r="3871">
      <c r="A3871" t="inlineStr">
        <is>
          <t>収入</t>
        </is>
      </c>
      <c r="B3871" t="inlineStr">
        <is>
          <t>成功</t>
        </is>
      </c>
      <c r="C3871" t="inlineStr">
        <is>
          <t>読み方：しゅうにゅう
金銭や物品を他から収め入れて自分の所有とすること。また、その金品。「安定した—を得る」「臨時—」⇔支出。</t>
        </is>
      </c>
      <c r="D3871" t="inlineStr">
        <is>
          <t>収入減；収入増；収入額；収入面；収入実績を下表</t>
        </is>
      </c>
      <c r="E3871" t="inlineStr">
        <is>
          <t>入り；上り；上がり；収益；稼ぎ</t>
        </is>
      </c>
      <c r="F3871" t="inlineStr">
        <is>
          <t>運賃収入；観光収入；税収入；無収入；財政収入</t>
        </is>
      </c>
      <c r="G3871" t="inlineStr">
        <is>
          <t>収入役；収入印紙；収入証紙；収入保障保険</t>
        </is>
      </c>
      <c r="H3871" t="n">
        <v>29</v>
      </c>
      <c r="I3871" t="inlineStr">
        <is>
          <t>面積では国内最大の州であり、一人当たり収入では第6位になっている。；広告などは、その他の販売関連業の収入に依存しているのが現状である。；これは一般に収入の低い者の方が需要の価格弾力性が高いことによる。；一説に藩の収入の3分の1近くをこの事業に注ぎ込んだといわれている。；開業の効果は大きく、収入・乗客数はおよそ3割の増加になったという。；これは執筆収入から充分な対価がキブツに支払われたことで認められた。；収入総合計額が増加した時期もあったが、最近では減少している。；これは家庭収入が低下したためではなく、精神的な理由によるものとされる。；一般的に、収入は多くの都市部で高く、州の北西部で特に低くなっている。；パズルの作成だけで収入を得ている純粋なプロはあまり多くない。；このため営利目的の広告をしておらず、商業広告による収入を得ていない。；明治大学漫画研究会に在籍し、在学中から漫画を描いて収入を得ていた。；無職で収入がないことから立石の車での野宿をしながらの旅であった。；賃労働者はこのようにして雇用者に労働力を販売して収入を得ている。；このため、国民生活は実質的な収入金額以上に安定しているといえる。；戊辰戦争の結果、諸藩の債務は平均で年間収入の3倍程度に達していた。；シャーリー・テンプルが得た収入の高さは伝説として語り継がれている。；しかし、それでも賄いきれなくなった領主は特権収入に頼るようになる。；プレミアリーグの選手は、平均で年間約100万ドルもの収入を得ている。；調査票に回答と収入や居住状態の立証書類を添付して保険者に提出する。；成績による場所ごとの収入の計算式を示すと次のようになる。；事業収入の柱となるものは以下の様なものである。；これにより官費の倍近くの収入を得ることができたからであった。；ソニーから携帯電話での漫画配信を依頼されるがほとんど収入になるものではなかった。；ただし基本的に単発かつ不定期の仕事であり、安定した収入にはなりにくい。；収入面での効果が、比較的多くの人々の関心を集めている。；軍のトラックの修理によって、安定した収入を得るようになった。；旅客運賃収入が増加した時期もあったが最近では減少している。；赤字が続いたが、特許のライセンス収入がかろうじて会社を支えていた。</t>
        </is>
      </c>
      <c r="J3871">
        <f>HYPERLINK("https://www.weblio.jp/content/収入", "词义详情")</f>
        <v/>
      </c>
      <c r="K3871">
        <f>HYPERLINK("https://yourei.jp/収入", "查看例句")</f>
        <v/>
      </c>
    </row>
    <row r="3872">
      <c r="A3872" t="inlineStr">
        <is>
          <t>就任</t>
        </is>
      </c>
      <c r="B3872" t="inlineStr">
        <is>
          <t>成功</t>
        </is>
      </c>
      <c r="C3872" t="inlineStr">
        <is>
          <t>読み方：しゅうにん
［名］(スル)ある任務・職務につくこと。「取締役に—する」</t>
        </is>
      </c>
      <c r="D3872" t="inlineStr">
        <is>
          <t>就任する(11%)；就任直後；就任当初；就任以降；就任演説</t>
        </is>
      </c>
      <c r="E3872" t="inlineStr">
        <is>
          <t>発足；入会；着任；イニシエーション</t>
        </is>
      </c>
      <c r="F3872" t="inlineStr">
        <is>
          <t>社長就任；首相就任；会長就任；コーチ就任；それぞれ就任</t>
        </is>
      </c>
      <c r="G3872" t="inlineStr">
        <is>
          <t>就任式；就任前；就任宣誓；就任初日</t>
        </is>
      </c>
      <c r="H3872" t="n">
        <v>29</v>
      </c>
      <c r="I3872" t="inlineStr">
        <is>
          <t>これらは後に王がダイエーの監督に就任することから現実のものとなる。；修史事業が本格的になるのは、藩主に就任した寛文期以後のことである。；橋本龍太郎は自民党幹事長に就任してからテレビによく出るようになった。；元ウルグアイ代表経験を持つウーゴ・フェルナンデスが監督に就任した。；この年より監督に就任した広岡達朗の下、チームの改革を実施した。；また、7月27日に海部は自由改革連合を結成して代表に就任している。；かつて吉田は同所発足時に所長就任を要請されたときはこれを断っていた。；再び首相に就任するまでの16年というブランクは歴代最長記録である。；これらは同社のデザイン顧問に就任した水戸岡鋭治が手掛けたものである。；初代の内閣総理大臣には伊藤博文が就任し、第1次伊藤内閣が作られた。；その土地の国造や新興の有力者が就任した郡司の郡衙は郡家とも呼ばれた。；こうした経験から、首相就任時に沖縄に関して理解を示す期待が一部でされた。；就任当時は41歳で、当時のドイツの大都市では最も若い市長だった。；首相に就任する際、あまりの重責に顔面蒼白になったという話もある。；初代校長にグロピウスが就任し、同年にバウハウス創立宣言が出された。；社長には、メルカリの取締役社長兼COOを務める小泉文明が就任した。；新たに設立された国際精神療法学会の会長にユングが就任した。；そして政党の力を利用してそのリーダーを元首などの国家指導者に就任させる。；本人は後に、国税課長昇進が蔵相就任時よりも嬉しかったと述懐している。；彼は就任するや、友人らに政治への参加を勧めた。；後任にコーチの松波正信がクラブOB初・クラブ最年少で監督に就任した。；これにより、横川竟が会長兼社長兼CEOに就任しワンマン体制となる。；後に文部卿に自ら就任したのは、国民教育を充実させることを目指したものであった。；執筆中だった回顧録は州首相就任直前の部分で絶筆になった。；強化育成部長には昨シーズン途中から代理で努めていた西山哲平が就任した。；そしてフランシスコ・マシアス・ンゲマが初代大統領に就任した。；一方で、のが憲法上の規定により、暫定大統領に就任すると発表した。；野村は就任直後にRCA社を訪問して技術支援契約を結び従来の関係に戻す。；その後、2015年の国政選挙でジミー・モラレスが大統領に就任した。</t>
        </is>
      </c>
      <c r="J3872">
        <f>HYPERLINK("https://www.weblio.jp/content/就任", "词义详情")</f>
        <v/>
      </c>
      <c r="K3872">
        <f>HYPERLINK("https://yourei.jp/就任", "查看例句")</f>
        <v/>
      </c>
    </row>
    <row r="3873">
      <c r="A3873" t="inlineStr">
        <is>
          <t>修復</t>
        </is>
      </c>
      <c r="B3873" t="inlineStr">
        <is>
          <t>成功</t>
        </is>
      </c>
      <c r="C3873" t="inlineStr">
        <is>
          <t>読み方：しゅうふく
［名］(スル)
１建造物などの、傷んだ箇所を直して、もとのようにすること。しゅふく。「本堂を—する」
２破綻をきたした関係を元通りに戻すこと。「友好関係を—する」</t>
        </is>
      </c>
      <c r="D3873" t="inlineStr">
        <is>
          <t>修復する(7%)；修復作業(4%)；修復工事(3%)；修復される(2%)；修復不可能</t>
        </is>
      </c>
      <c r="E3873" t="inlineStr">
        <is>
          <t>修理；修正；直し；改修；復元</t>
        </is>
      </c>
      <c r="F3873" t="inlineStr">
        <is>
          <t>大規模な修復；修復費用；修復手術；絵画修復；修復過程</t>
        </is>
      </c>
      <c r="G3873" t="inlineStr">
        <is>
          <t>修復歴；修復象牙質</t>
        </is>
      </c>
      <c r="H3873" t="n">
        <v>29</v>
      </c>
      <c r="I3873" t="inlineStr">
        <is>
          <t>前述のように偽使を用いて苦労して朝鮮との関係を修復したところだった。；修復等の措置はなされず、現在もホームは半壊状態のままとなっている。；逆に頭だけ残っていたシイナは完全に体を修復出来た事が明らかになっている。；バンド復帰とも推測されたが、アクセルとの関係は修復されなかった。；とくに絵画の修復時に過度なまでに手を入れているという非難が多い。；自由国軍は建物を砲撃、大きな損傷を受けたが、戦後に修復されている。；現在は修復され、内部が公開されているので玄室内に入ることも可能である。；幕閣の命で代官が派遣され、建物壁の落書消しや石垣修復が行なわれた。；後に浮上したとき、搭載機は修復不可能なほどの損傷を受けていた。；世界遺産登録以降、城跡は徐々に整備および修復作業の強化が行われた。；土橋監督と選手たちの関係は修復不可能なぐらいこじれちゃってるんです。；現代では、こうした西洋楽器の修理・修復にも日本のツゲが用いられている。；これ以上の修復は直接宇宙へ行き、ハッブルを修理するしかなかった。；かつて議論がなされた修復正義も、この観点から説明することが可能である。；このことから、二人の母同士の関係も修復され、陳表の名声も高まった。；このときの対立から生じた父との亀裂は終生、修復されることはなかった。；シャーマンは、魂を修復することで病気や疾患を治療すると言われている。；Sバーンの工事により構造上の損傷を受けたが、その後完全に修復された。；この停止期間の間に、細胞は修復機構によって検知された問題を解消する。；多くの種類の演劇のための主要会場である修復されたレンシック劇場を使っている。；この石垣が新しくみえるのは、昭和49年に修復されているからである。；修復に時間がかかるため、当初は傷がつかないよう控えめな演技となっていた。；最後の修復は、第二次世界大戦で屋根の骨組みが焼失した後のものである。；内装の一部も更新され、事前調査から通算で9年程度を経て修復は完了した。；関東大震災で大きな被害を受けた後、一部構成の変更と修復を経て現在に至る。；宮殿は1736年にロシア軍によって破壊されたが、その後修復された。；棺も、修復して公開されているが顔の部分が削られてしまっている。；建設ブームも起こり、鉄道の修復も進み、周辺への雇用創出ともなった。；このため、2003年2月と比較すると数倍の修復能力を持つに至る。</t>
        </is>
      </c>
      <c r="J3873">
        <f>HYPERLINK("https://www.weblio.jp/content/修復", "词义详情")</f>
        <v/>
      </c>
      <c r="K3873">
        <f>HYPERLINK("https://yourei.jp/修復", "查看例句")</f>
        <v/>
      </c>
    </row>
    <row r="3874">
      <c r="A3874" t="inlineStr">
        <is>
          <t>重複</t>
        </is>
      </c>
      <c r="B3874" t="inlineStr">
        <is>
          <t>成功</t>
        </is>
      </c>
      <c r="C3874" t="inlineStr">
        <is>
          <t>読み方：じゅうふく
［名］(スル)「ちょうふく（重複）」に同じ。「—して申し込む」</t>
        </is>
      </c>
      <c r="D3874" t="inlineStr">
        <is>
          <t>重複する部分；重複する区間；重複立候補；重複する場合；重複当選</t>
        </is>
      </c>
      <c r="E3874" t="inlineStr">
        <is>
          <t>繰り返し；収束；反復；繰返し；交わり</t>
        </is>
      </c>
      <c r="F3874" t="inlineStr">
        <is>
          <t>一部重複；とも重複；指名重複；ゲノム重複；それぞれ重複</t>
        </is>
      </c>
      <c r="G3874" t="inlineStr">
        <is>
          <t>重複立候補；重複度；重複感染；重複障害；重複コード</t>
        </is>
      </c>
      <c r="H3874" t="n">
        <v>29</v>
      </c>
      <c r="I3874" t="inlineStr">
        <is>
          <t>雑劇の歌詞と性質を同じくし、作家が重複することもしばしばであった。；ここまでの内容と一部重複するが、プレーの終了となる場合を以下に示す。；この地域は炭田ではないが、多くの重複する地域と連続した炭田がある。；航空母艦との重複を避けたため、本来の用途とは名称が反対となっている。；行動圏が他の個体と重複した場合は、それらの個体と群れを形成する。；重複する上級ユニットの説明は、最初に登場した場合のみ解説をした。；阪神間と重複ないし関係する地域区分には以下のようなものがある。；当路線と多くの区間で重複するルートで事実上の復活となった。；同一人が二つ以上の団体に重複して出場することは認めない。；飛行士らが受けた訓練の中には、選抜試験の項目と重複するものもあった。；また、最終競走締切予定時刻は3ヶ月毎に変更して重複を回避している。；そのような重複するデータを挿入しようとした場合はこれを処理する必要がある。；アニメ版と重複する人物は記載せず、ゲーム版からの登場人物のみ記載。；その際に髄節間の重複や左右間の重複の存在に注意する必要がある。；一般的に伽耶と同一、または重複する地域を指す用語として用いられる。；名称が特有のもので重複することがなければ必要ではありません。；起点から青江交差点まではかつて国道2号であり、当線と重複していた。；交差点より奥は京都府道205号中山向日線も加わり三重複区間となる。；SHIELDとJUMPの効果は重複せず、後に使った方が優先される。；事業分野が重複しないため同じ商標を使用しているとみられる。；重複は少なく出来るようにすべきではないかと思います。；地下鉄と完全に重複する錦通や伏見通を通過する路線はほとんどない。；扱う商品が販売会社によって異なり営業エリアが重複するものがある。；また記事中に説明があるものを重複して列挙しないで下さい。；二つの分野の間ではいくらか重複しているところがあるものの、通常は区別することができる。；次の区間で浜松バスと路線が重複していたが、現在浜松バスは撤退している。；また、一部区間が複数事業者で重複する場合、特殊な計算をする場合がある。；しかし、当系統の廃止により系統番号の重複は解消されることとなる。；なお、合併によりどちらかが同名称で残った場合には重複して表記することはしない。</t>
        </is>
      </c>
      <c r="J3874">
        <f>HYPERLINK("https://www.weblio.jp/content/重複", "词义详情")</f>
        <v/>
      </c>
      <c r="K3874">
        <f>HYPERLINK("https://yourei.jp/重複", "查看例句")</f>
        <v/>
      </c>
    </row>
    <row r="3875">
      <c r="A3875" t="inlineStr">
        <is>
          <t>十分</t>
        </is>
      </c>
      <c r="B3875" t="inlineStr">
        <is>
          <t>成功</t>
        </is>
      </c>
      <c r="C3875" t="inlineStr">
        <is>
          <t>読み方：じゅうぶん
［名］(スル)（十分）10に等分すること。「—の一」「利益を—して配る」
［形動］満ち足りて不足のないさま。充実して完全であるさま。「—な休養」「—に整う」
［副］
１思い残すところのないさま。思うまま。「—楽しむ」「—注意する」
２必要なだけ、またはそれ以上あるさま。「まだ—使える」「隣町まで5キロは—ある」</t>
        </is>
      </c>
      <c r="D3875" t="inlineStr">
        <is>
          <t>十分前(4%)；十分過ぎ；十分ごろ；十分遅れ；十分かかる</t>
        </is>
      </c>
      <c r="E3875" t="inlineStr">
        <is>
          <t>大きい；良い；たくさん；満足；充分</t>
        </is>
      </c>
      <c r="F3875" t="inlineStr">
        <is>
          <t>二十分；四十分；五十分；数十分；あと十分</t>
        </is>
      </c>
      <c r="H3875" t="n">
        <v>29</v>
      </c>
      <c r="I3875" t="inlineStr">
        <is>
          <t>ぼくは五分や十分、きみたち三人を相手に抵抗する力はあるつもりだよ。；午後十二時三十分に出発して一時四十分頃また西沢の落口に戻って来た。；学校の時計と自分の家のとはその時二十分近く違っていたからである。；「時計は家の心臓だな」 妹は腕時計を見て針を二時五十分に合わせた。；この辺の駅から十分は大抵懸値があるんだが、僕のところは正味十分だ。；これら最初の表現主義的な映画のセットには十分な予算がつぎ込まれた。；こちらの言っていることは全て理解しているし、会話するには十分だ。；しかし、キリスト教勢力はこの勝利を十分に活用することができなかった。；翌日応接室で彼に会える三十分ばかりのことも、彼女はもう考えていた。；実は、分割の大きさを極限で とすれば積分を定義するのに十分である。；チェンバー戦は最後の二人まで残り、代役とはいえ十分役割を果たした。；二三十分後、ぽっかりと眼を開いたが、その時はもう吉川は死んでいた。；時には視線や表情だけでも、楽員に自分の意思を伝えるのに十分だった。；霧に十分に光が当たっているときは霧粒をはっきりと確認することができる。；通りにいる人は、トラックに轢かれないよう十分注意しなければならない。；さっき墓地の入り口のところの店屋の時計を見たら七時二十分だった。；両コースとも崩壊地など足場が悪いので十分気をつける必要がある。；もちろんそれだけでは長いあいだには十分というわけにはいかない。；左岸の崖頭を横に搦みて一時間の後之を通過し、三時三十分、再び雪渓。；二十分経ち三十分経っても、父は寝室へ行くような様子を見せなかった。；第三の客がきたのは、それから三十分ばかりあとのことであった。；その半減期は数秒と予測され、化学実験を行うのに十分な長さであった。；適度な温度や十分な時間や酸素がないと納豆にならず煮豆のままとなる。；誓いの文句などは人のいない時十分考えて用意しているのである。；自分で自分は十分落付いていると思っていた夫人も一寸これには驚きました。；そう思っていると三十分ばかりしてその自動車は帰り去った。；妙な話をし出して結局六時四十分まで君ら二人は庭にいた。；甲刑事がはいってから出てくるまでに二十分たっていますからね。；いくつで死んでも、それだけの事さへしてゐれば、それで十分生きたのだ。</t>
        </is>
      </c>
      <c r="J3875">
        <f>HYPERLINK("https://www.weblio.jp/content/十分", "词义详情")</f>
        <v/>
      </c>
      <c r="K3875">
        <f>HYPERLINK("https://yourei.jp/十分", "查看例句")</f>
        <v/>
      </c>
    </row>
    <row r="3876">
      <c r="A3876" t="inlineStr">
        <is>
          <t>周辺</t>
        </is>
      </c>
      <c r="B3876" t="inlineStr">
        <is>
          <t>成功</t>
        </is>
      </c>
      <c r="C3876" t="inlineStr">
        <is>
          <t>読み方：しゅうへん
１あるもののまわり。あるものをとりまく部分。「都市の—」
２ある物事に隣接して、それと関連をもっている物事。「—の事情を考慮する」
３数学で、円または多角形の外側の線。</t>
        </is>
      </c>
      <c r="D3876" t="inlineStr">
        <is>
          <t>周辺住民；周辺地区；周辺一帯；周辺道路；周辺環境</t>
        </is>
      </c>
      <c r="E3876" t="inlineStr">
        <is>
          <t>側；近く；あたり；周囲；付近</t>
        </is>
      </c>
      <c r="F3876" t="inlineStr">
        <is>
          <t>湖周辺；空港周辺；東京周辺；学校周辺；地区周辺</t>
        </is>
      </c>
      <c r="G3876" t="inlineStr">
        <is>
          <t>周辺機器；周辺部；周辺諸国；周辺海域；周辺国</t>
        </is>
      </c>
      <c r="H3876" t="n">
        <v>29</v>
      </c>
      <c r="I3876" t="inlineStr">
        <is>
          <t>現地で地名が変化したのに、周辺言語が古い地名を保存することもある。；工業では高速道路の整備以降は高速周辺での工場誘致が各地で起こった。；公園などで周辺環境に考慮する必要がある場合には薬剤は使用しない。；インド仏教が密教化したのは、周辺の宗教から影響を受けた結果である。；核となる地域は茅ケ崎駅周辺であり、行政、商業の中心地となっている。；上の分類とは別に、火山体周辺で起こるものを特別に分ける場合がある。；多くは小説の進行に伴って、主人公およびその周辺の人物の成長が描かれる。；中国やその周辺の東アジア諸国で信仰・研究されていた宗教、または学問。；かつては駅周辺に遊園地が存在していたが、現在は住宅地になっている。；各山の文章中に、山周辺の地図と山の白黒写真が挿入された版もある。；東京周辺の古い駅ホームでは大谷石のホーム土台を広く見ることができる。；ある時期にイラン高原に侵入し、その北西部周辺の地域に定着したとされる。；グレートブリテン島など大陸周辺の島もことごとく大陸と一体化していた。；インド本国の他、ネパールやチベットなど周辺の地域でも行われている。；習志野市周辺にも藤崎堀込貝塚などの当時の遺跡が多数確認されている。；阿蘇山は巨大な火山ゆえに、その周辺はたくさんの温泉に恵まれている。；当駅周辺は、主に区役所をはじめとする北区の行政の中心となっている。；その周辺には、餌を取り込むための筋肉が発達しているのが通例である。；規模を縮小の上改めて入曽駅周辺の再整備計画が立案されることになった。；これはコーカソイドの集団が秋田周辺にやってきた可能性を示すものである。；施設がめだった目標となってその周辺の地名になることもある。；大規模な城では、周辺の山々に支城を設け、山系全体を要塞としていた。；故にハマダーン周辺の地域は「メディア」であったと見ることができる。；当駅周辺は所沢市の中心部であり、駅を中心に市街地が広がっている。；また補佐官ら周辺も同じように事故と考え、予定通り小学校へ入った。；当駅及び当駅周辺は相模原市北部の交通・商業の拠点地域としての役割を持つ。；兵庫県とその周辺が舞台となっており、具体的な地名が登場する。；公式ではこの拡張端子を使った周辺機は発売されていない。；大阪周辺の立ち食いうどん店などでは天かすは無料で提供されている事がある。</t>
        </is>
      </c>
      <c r="J3876">
        <f>HYPERLINK("https://www.weblio.jp/content/周辺", "词义详情")</f>
        <v/>
      </c>
      <c r="K3876">
        <f>HYPERLINK("https://yourei.jp/周辺", "查看例句")</f>
        <v/>
      </c>
    </row>
    <row r="3877">
      <c r="A3877" t="inlineStr">
        <is>
          <t>週末</t>
        </is>
      </c>
      <c r="B3877" t="inlineStr">
        <is>
          <t>成功</t>
        </is>
      </c>
      <c r="C3877" t="inlineStr">
        <is>
          <t>読み方：しゅうまつ
1週間の終わりころ。金・土曜から日曜日にかけてのころ。ウイークエンド。</t>
        </is>
      </c>
      <c r="D3877" t="inlineStr">
        <is>
          <t>週末興行収入(3%)；週末版；週末興行成績；週末ごと；週末に行われる</t>
        </is>
      </c>
      <c r="E3877" t="inlineStr">
        <is>
          <t>土日；ウィークエンド；ウイークエンド</t>
        </is>
      </c>
      <c r="F3877" t="inlineStr">
        <is>
          <t>公開週末；最終週末；オープニング週末；全国週末；週末午後</t>
        </is>
      </c>
      <c r="G3877" t="inlineStr">
        <is>
          <t>週末ノオト；週末ちぐまや家族；週末婚；週末キッズタイム；週末シンデレラ</t>
        </is>
      </c>
      <c r="H3877" t="n">
        <v>29</v>
      </c>
      <c r="I3877" t="inlineStr">
        <is>
          <t>昼間は仕事をしながら夕方以降に編集作業、週末には試合を見て回った。；サッカーを趣味としており、週末にはサッカーで汗を流しているという。；また、日比谷花壇が企画するイベントに主に週末を使って出演している。；また中央の広場にはステージがあり、週末には各種イベントが開催される。；別居の際の条件でダイアナは王子二人と隔週の週末に会うようになった。；そのため総合テレビでの全国ネットの番組は週末に振り替え放送される。；番組は、セレッソ大阪の前週末の試合や練習の模様をリポートしていた。；今度の週末も兄ウィクは弟を旅行に連れ出して酒を忘れさせようとする。；音楽院で毎週行われていた週末ライブに2年間すべての公演に出場する。；アメリカでは週末興行成績ランキングと合わせて興行収入も発表される。；広島を中心とした週末情報や話題、音楽を提供する30分番組である。；週末だけの運航であったが、これが初めてのヨーロッパ進出となった。；毎年9月中旬の週末に開催される小中学生とその親を対象としたイベント。；なお、小学校は全寮制であることも多く週末のみ家庭に帰る子どもも多い。；番組は週末のJリーグの試合結果や海外のサッカー情報などを伝えていた。；このことで、『スピーク』は週末も含めて毎日放送されることとなった。；この公園内では週末を中心にイベントが盛んに行われている。；同公園内では週末になると多くのスポーツ競技が開催される。；週後半や週末を中心に、昼・夕方・深夜の報道番組を長期間担当していた。；当初は平日のみの配信であったが、のちに週末にも配信されている。；著書の題名どおり週末は普通に競馬場に通っているところが見かけられる。；夏期の週末は通りを歩行者天国にして開放し、イベントを開催している。；開設期間は小屋番が週末を中心に入るが、平日はいないこともある。；これは平日は一緒に暮らしておらず、週末だけ一緒に過ごすというもの。；また、高速道路や市街地を走るシーンは、週末にしか撮影されなかった。；また週末に予定されていたNFLのレギュラーシーズンも中止が決定された。；一方で週末版は番組そのものがネットワークセールス枠であるため。；映像の仕事に憧れて、週末には結婚式場での商業撮影の仕事を始める。；そのため、特に通勤時間帯や週末は周辺の道路で渋滞が発生している。</t>
        </is>
      </c>
      <c r="J3877">
        <f>HYPERLINK("https://www.weblio.jp/content/週末", "词义详情")</f>
        <v/>
      </c>
      <c r="K3877">
        <f>HYPERLINK("https://yourei.jp/週末", "查看例句")</f>
        <v/>
      </c>
    </row>
    <row r="3878">
      <c r="A3878" t="inlineStr">
        <is>
          <t>住民</t>
        </is>
      </c>
      <c r="B3878" t="inlineStr">
        <is>
          <t>成功</t>
        </is>
      </c>
      <c r="C3878" t="inlineStr">
        <is>
          <t>読み方：じゅうみん
ある一定の地域内に居住している人。</t>
        </is>
      </c>
      <c r="D3878" t="inlineStr">
        <is>
          <t>住民たち(6%)；住民達；住民側；住民サービス；住民全員</t>
        </is>
      </c>
      <c r="E3878" t="inlineStr">
        <is>
          <t>通り；住人；居住者；永住者；占有者</t>
        </is>
      </c>
      <c r="F3878" t="inlineStr">
        <is>
          <t>系住民；現地住民；沿線住民；全住民；都市住民</t>
        </is>
      </c>
      <c r="G3878" t="inlineStr">
        <is>
          <t>住民票；住民基本台帳；住民登録；住民税；住民運動</t>
        </is>
      </c>
      <c r="H3878" t="n">
        <v>29</v>
      </c>
      <c r="I3878" t="inlineStr">
        <is>
          <t>この王は戦争に勝利しても、土地の住民をローマに移住させなかった。；また住民の協力も得られないため攻撃を強行しても成果が出なかった。；これを聞いた南部住民数千人がアラブ系住民を襲撃するなどの事件が発生。；通勤列車は毎日勤務先と家との間を往復する大量の住民を運んでいる。；自治体行政の分散を図る観点から、ハムは住民共同体 を形成している。；州内には67の選挙区があり、それぞれ約6万人の住民が含まれている。；英国の植民地の住民が医師を目指す場合には英国の医大に入学することが多い。；キリスト教徒を全部合わせても住民の5割以下に過ぎない現実がある。；この3者が現代スーダンの住民対立の大きなグループとしてあげられる。；ノースカロライナ州の住民の現在の宗教宗派別構成は次の通りである。；住民は国家の管轄下に置かれているために国民と呼ばれる。；コロラド州の大部分の住民はこの都市化の進んだ一帯に暮らしている。；サンノゼの住民は、他のどの都市よりも多くの米国特許を出願している。；このため横田地区の住民が鉄道を利用する場合、当駅を利用することが多い。；大学は町の中心部にあり、この町の住民にとって最大の職場となっている。；複数の市町村に住む広範囲の住民が利用することを目的とした公園。；ペンシルベニア州の州の住民の宗教宗派別構成比は次のようになっている。；このような状況に刺激をうけた住民が1962年ごろより大規模な合併運動を開始。；しかしカトリック系住民の間では、ゲーリック・ゲームズの人気も高い。；鉄道は産業用途として重要であるが、住民はあまり鉄道を使わない。；行政は住民を押さえ付けはしても福利厚生はほとんど行わない。；この文書は同地の住民たちに大受けしたようで、彼の人気は一気に高まった。；国営公園は複数の都道府県の住民が、利用することを目的とした公園。；現地の住民の間ではパトワと呼ばれるクレオールの一種が使われる。；同市の住民は北に疎開したが、彼らの大半が移動中に死んでいく結果となった。；撤退の際も当時の現地の住民であるマッロイ人の征服が行われた。；北カフカースの先住民族のひとつのチェチェン人が住民の多数を占める。；中には開発によって農業をやめた住民が商店を経営するということもあった。；ネブラスカ州の住民は、大草原を牧場や農場に科学的な方法で転換した。</t>
        </is>
      </c>
      <c r="J3878">
        <f>HYPERLINK("https://www.weblio.jp/content/住民", "词义详情")</f>
        <v/>
      </c>
      <c r="K3878">
        <f>HYPERLINK("https://yourei.jp/住民", "查看例句")</f>
        <v/>
      </c>
    </row>
    <row r="3879">
      <c r="A3879" t="inlineStr">
        <is>
          <t>重役</t>
        </is>
      </c>
      <c r="B3879" t="inlineStr">
        <is>
          <t>成功</t>
        </is>
      </c>
      <c r="C3879" t="inlineStr">
        <is>
          <t>読み方：おもやく
責任の重い役目。また、その役目の人。じゅうやく。
「あの御方が商会の—を勤め給うと聞けども嘘のようなり」〈紅葉・不言不語〉</t>
        </is>
      </c>
      <c r="D3879" t="inlineStr">
        <is>
          <t>重役たち(7%)；重役会議(2%)；重役陣；重役連；重役達</t>
        </is>
      </c>
      <c r="E3879" t="inlineStr">
        <is>
          <t>社長；幹部；理事；取締役；役員</t>
        </is>
      </c>
      <c r="F3879" t="inlineStr">
        <is>
          <t>会社重役；藩重役；御重役；元重役；銀行重役</t>
        </is>
      </c>
      <c r="G3879" t="inlineStr">
        <is>
          <t>重役出勤</t>
        </is>
      </c>
      <c r="H3879" t="n">
        <v>29</v>
      </c>
      <c r="I3879" t="inlineStr">
        <is>
          <t>私は何うやら将来重役になれそうに思われて、明るい気分になって来た。；あなたのお父さんがいろいろな会社の重役であることも問題でありません。；食品会社の重役だった父親の仕事の関係で、一家は様々な都市に住んだ。；主人は小さな銀行の重役をしていてからそこへ移って来ていたものであった。；机に座っている人物は小さな会社の重役か社長であるかもしれない。；どこの国に三人も秘書をつれてブラブラしている重役がいるかッてんだ。；そして、お互いに重役だったことも社員だったことも考えないだろう。；なるほど、職工が重役になったからといって何の意味もあることではない。；重役連中が苦手にしているところを見ると、団さんは確かに骨がある。；この穴だけは、あなたがた会社の重役みずから掘らなければいけません。；社員がお金に群がるなか彼らは進み、会社の重役達の部屋の前に来る。；私はある小さな会社の重役をつとめている者の妻でございます。；が、源吉の目的は迅鉄を利用してさる藩の重役に復讐をする事であった。；社長の親族となった男は重役に抜擢されて、家庭内の不和は解消された。；会社の重役なら金を銀行に寝かして置きませんから、株を買いますよ。；三井家の重役のなかでもとくに勢力があり、贅沢な暮らしぶりで知られた。；これによってこれを見るに、橘高庄三は社長重役の間に認められている。；それがなかったら、重役候補はおろか、下っ葉の走り使いがせいぜいよ。；しかし後には寺田系の重役陣と対立するに至り、1943年に退社した。；天国へ行ってからも社員は重役の前では頭を下げるわけではない。；翌日には町の重役が艦に招かれ、また市民らは外からロシアの観賞を許された。；貴顕紳士と呼ばれるもので、皮革会社の重役となって恥としないのである。；毎朝五時に自宅で朝食を摂りながら、重役たちと財閥運営会議を開いた。；旧来の重役や株主は守旧的や利益主義であり当然これらの改革には反対した。；DCコミックス社の重役で原作者でもあるは次のように述べている。；この車がGMの重役の元へ行き、公表されていないという説もある。；だが、今は私たちの前には某銀行の重役のBさん夫妻が並んでいる。；現在日本で片手の指で数えられている大会社の重役で、これをやっているのがある。；その結果創刊されたのが当紙で社長などの重役は信濃毎日新聞から派遣されていた。</t>
        </is>
      </c>
      <c r="J3879">
        <f>HYPERLINK("https://www.weblio.jp/content/重役", "词义详情")</f>
        <v/>
      </c>
      <c r="K3879">
        <f>HYPERLINK("https://yourei.jp/重役", "查看例句")</f>
        <v/>
      </c>
    </row>
    <row r="3880">
      <c r="A3880" t="inlineStr">
        <is>
          <t>収容</t>
        </is>
      </c>
      <c r="B3880" t="inlineStr">
        <is>
          <t>成功</t>
        </is>
      </c>
      <c r="C3880" t="inlineStr">
        <is>
          <t>読み方：しゅうよう
［名］(スル)人や物を一定の場所や施設に入れること。「被災者を—する」「—人員」「—能力」</t>
        </is>
      </c>
      <c r="D3880" t="inlineStr">
        <is>
          <t>収容する(12%)；収容所(9%)；収容者(6%)；収容できる(5%)；収容される(3%)</t>
        </is>
      </c>
      <c r="E3880" t="inlineStr">
        <is>
          <t>入れる；拘束；受け入れる；監禁；束縛</t>
        </is>
      </c>
      <c r="F3880" t="inlineStr">
        <is>
          <t>名収容；収容数；収容先；俘虜収容；収容台数</t>
        </is>
      </c>
      <c r="G3880" t="inlineStr">
        <is>
          <t>収容人数；収容施設；収容人員；収容定員；収容所群島</t>
        </is>
      </c>
      <c r="H3880" t="n">
        <v>29</v>
      </c>
      <c r="I3880" t="inlineStr">
        <is>
          <t>また戦車を搭載した場合、第4甲板へのトラックの収容能力は減少する。；クングールの労働収容所に入れられたのち、列車に乗った際に逃亡した。；収容者には政治犯や精神病者なども含まれたため、支配の象徴とされた。；ドランシー収容所へ送られる前のユダヤ人たちを収容していたこともある。；最初期のころから近隣の村から連行したユダヤ人数千人も収容された。；日露戦争の際には、俘虜収容所や付属施設などが一時期設置されていた。；収容局設備から各ユーザ宅の間に光ケーブルの分岐ポイントがあるもの。；寝室は自習室の廊下を挟んだ反対側にあり、3部屋分の学生を収容する。；日本人以外の収容者にはアメリカ軍の兵食が提供されていた。；メタル電話回線収容装置の維持限界の時期は想定が困難とされている。；このため随所に関係者や収容されていた者の落書きが残されている。；これは巡査に暴行したとされ、石川島監獄に収容されていたからである。；グラウンド面にまで観客を収容して行われたライブ・コンサートのみ記載する。；収容局は一部地域を除き以下の2ビルが該当し、市内局番は以下の通り。；第一次世界大戦では約800万人が降伏して捕虜収容所に収容された。；これらが複合的に収容された施設の計画や建設も多く見受けられる。；中・短距離路線向けに、収容力を大きくしたモデルとして開発された。；彼らを収容するために突撃隊員はあちこちに私的収容所を創設した。；翌10日に艦長を初めとするエムデンの乗員は収容され捕虜となった。；隼鷹は第三次攻撃隊を収容したのち、一旦北上して破損機の修理を実施。；日本では、収容局から加入者へのDSL通信として最も普及している。；島内には、かつて奴隷の収容に使われていた奴隷の家が残されている。；この収容所には1945年末の時点ですでに850人が収容された。；その数・収容率と強固な構造は、他国の防空壕と比べても群を抜いている。；ここに収容される者は自由が大幅に制限されていた。；反乱の疑いのあるものは政治犯収容所S21などに収容され虐殺された。；この2つの施設を収容するために北側に低層階の拡張が行われた。；接近したのは攻撃力発揮と攻撃隊を収容をするためであった。；収容局は一部地域を除き以下のビルが該当し、市内局番は以下の通り。</t>
        </is>
      </c>
      <c r="J3880">
        <f>HYPERLINK("https://www.weblio.jp/content/収容", "词义详情")</f>
        <v/>
      </c>
      <c r="K3880">
        <f>HYPERLINK("https://yourei.jp/収容", "查看例句")</f>
        <v/>
      </c>
    </row>
    <row r="3881">
      <c r="A3881" t="inlineStr">
        <is>
          <t>重要</t>
        </is>
      </c>
      <c r="B3881" t="inlineStr">
        <is>
          <t>成功</t>
        </is>
      </c>
      <c r="C3881" t="inlineStr">
        <is>
          <t>読み方：じゅうよう
［名・形動］物事の根本・本質・成否などに大きくかかわること。きわめて大切であること。また、そのさま。「戦略上—な地域」「—性」
[派生]じゅうようさ［名］</t>
        </is>
      </c>
      <c r="D3881" t="inlineStr">
        <is>
          <t>重要な役割(7%)；重要な要素；重要人物；重要な位置；重要な意味</t>
        </is>
      </c>
      <c r="E3881" t="inlineStr">
        <is>
          <t>必要；主要；大きい；第一；大事</t>
        </is>
      </c>
      <c r="F3881" t="inlineStr">
        <is>
          <t>重要な点；重要な人物；重要な情報；重要な拠点；重要事項</t>
        </is>
      </c>
      <c r="G3881" t="inlineStr">
        <is>
          <t>重要視；重要文化財；重要参考人；重要伝統的建造物群保存地区；重要無形民俗文化財</t>
        </is>
      </c>
      <c r="H3881" t="n">
        <v>29</v>
      </c>
      <c r="I3881" t="inlineStr">
        <is>
          <t>現代でも様々な場で使用されており、鉄に次いで重要な金属材料といえる。；また、こうした翻訳が重要な役割を果たした国として日本が挙げられる。；多くの川では漁業も盛んであり、重要な食料供給源の一つとなってきた。；こうした断食はイスラム教の信仰の中でも最重要なもののひとつである。；脳機能の回復と記憶の再構成にはこの状態となることが重要とされている。；有機物中に存在する硫黄は反応性が高く重要なアミノ酸に含まれている。；彼は、IBMの新しいシステムは重要な商業的な成功でないと思っていた。；安全な飲み水を確保することは、古の時代から重要な課題であった。；ハイテクは現在でも重要な部門だが、大規模な技術主導の会社は少ない。；その他にも、人間行動の心理的要素や制度的側面も重要な研究対象である。；さらに発掘調査による出土資料も重要な史料となりうると言われている。；この作品以降、特殊効果が映画の重要な要素として扱われるようになる。；以上で述べた概念の中で重要なものの一つにパラコンパクトがある。；地球の大気は惑星規模の生態系を維持するのに重要な役割を果たしている。；早期にこれらの適切な一般療法を施し、悪化させないことが重要である。；にまとめられた彼らの詩はその後ヴィシュヌ派の重要な聖典へと発展する。；以前に経済の中心をなしていた農業は産業の工業化により重要度が低下した。；ヨーロッパとの関係も重要であり、もっとも関係のよい国家はスペインである。；この時代の重要な技術的発明としてはほかに、弦の張り方もあげられる。；また、この衝突は木星大気の成分分析に関わる重要なデータを提供した。；対極的な性質を持つ無限アーベル群の重要な二つのクラスに、とがある。；このシナイ山での契約は、ユダヤ教の重要な原点のひとつとされている。；数々の玩具は、発育や様々な機能の発達に刺激を与える重要な道具である。；アメリカではこの日22日の午前から重要な同盟各国への通知が行われた。；そのような作物は大規模な灌漑に依存する不毛な地域で重要になるだろう。；ホウ素は主に植物の細胞壁を維持するのに必要である重要な栄養素である。；この内9割程が北海道で生産され、その中でも日高地方は特に重要である。；加えて、そのルールはこれらの証明の初期の生成には必ずしも重要なものではない。；この族は元素を分類する上で最も重要な方法と考えられている。</t>
        </is>
      </c>
      <c r="J3881">
        <f>HYPERLINK("https://www.weblio.jp/content/重要", "词义详情")</f>
        <v/>
      </c>
      <c r="K3881">
        <f>HYPERLINK("https://yourei.jp/重要", "查看例句")</f>
        <v/>
      </c>
    </row>
    <row r="3882">
      <c r="A3882" t="inlineStr">
        <is>
          <t>従来</t>
        </is>
      </c>
      <c r="B3882" t="inlineStr">
        <is>
          <t>成功</t>
        </is>
      </c>
      <c r="C3882" t="inlineStr">
        <is>
          <t>読み方：じゅうらい
以前から今まで。これまで。従前。「—の方式」「—定説とされてきた学説」</t>
        </is>
      </c>
      <c r="D3882" t="inlineStr">
        <is>
          <t>従来通り(3%)；従来型(3%)；従来車；従来どおり；従来機</t>
        </is>
      </c>
      <c r="E3882" t="inlineStr">
        <is>
          <t>以前；これまで；昔；過去；それまで</t>
        </is>
      </c>
      <c r="F3882" t="inlineStr">
        <is>
          <t>従来の三重県警察部；従来の兵庫県警察部；従来の埼玉県警察部；従来の岩手県警察部；従来の愛媛県警察部</t>
        </is>
      </c>
      <c r="G3882" t="inlineStr">
        <is>
          <t>従来予想</t>
        </is>
      </c>
      <c r="H3882" t="n">
        <v>29</v>
      </c>
      <c r="I3882" t="inlineStr">
        <is>
          <t>この点では一人でプレイする従来のRPGよりも難しい問題が発生する。；従来は行われていなかったが超音波断層撮影の有用性が報告されている。；この動きから従来の農業とは異なる様々な農業の形態が生まれた。；また、DMAコントローラーに従来よりも高速なものが使用されていた。；他にも、駅到着時の接続列車の案内などは従来通り肉声放送で行われている。；従来、日本では真鍮は江戸時代になって普及したと考えられていた。；従来、役員は地域協会の職員や元選手などサッカー関係者で占められてきた。；当路線の開業により、西武鉄道では従来にない列車の運行を開始した。；従来は独立して設置していた機器類は共通機器箱に集約した。；ここでは従来からのオリジナルルールを中心に記述する。；このように、MDLPは従来仕様との互換性が比較的高いのが特徴である。；背番号の書体は従来のものと異なり、オリジナルのものが採用された。；OOPは従来のライブラリが提供していなかった情報を必要とした。；また、従来の試合では基本的に1回のショーでは1試合だけを行っていた。；第二局での羽生の指し方は、従来の常識からかけ離れたものであった。；銀行口座ではユーロあるいは従来の通貨単位での表示が行われていた。；この様式は従来、神に捧げる奉納の品を納める建物にのみ用いられていた。；計量法では従来から「距離」の語を用いず、「長さ」のみを用いている。；初期の半鋼製車では窓の高さが客車や従来の電車よりも若干高い位置とされた。；また、売り場の改装に合わせて従来のコーナーを大規模化した店舗もあった。；これは反発力が強く、従来のラバーと比べて打力が飛躍的に向上した。；彼らは、従来の政治的意識に欠ける研究者を「政治地理学者」と呼んだ。；従来ニムラブス科もネコ科に含まれていたが、現在は独立した科とされている。；朱熹はこの頃からすでに、従来の経書解釈に疑念を持つことがあった。；貫通扉はこの衝突柱の奥に設けられたので、従来の車両よりやや奥に設置されている。；これによって空間が拡大し、従来より多くの旅客を輸送できることとなった。；後に従来の急行列車を昇格して特急列車とした際にもこの扱いを行うことが多かった。；従来の開発ラインは大阪開発室とし、2ラインの体制となった。；また、従来の車両と最高速度が異なるため、ATCにも改良が加えられた。</t>
        </is>
      </c>
      <c r="J3882">
        <f>HYPERLINK("https://www.weblio.jp/content/従来", "词义详情")</f>
        <v/>
      </c>
      <c r="K3882">
        <f>HYPERLINK("https://yourei.jp/従来", "查看例句")</f>
        <v/>
      </c>
    </row>
    <row r="3883">
      <c r="A3883" t="inlineStr">
        <is>
          <t>修理</t>
        </is>
      </c>
      <c r="B3883" t="inlineStr">
        <is>
          <t>成功</t>
        </is>
      </c>
      <c r="C3883" t="inlineStr">
        <is>
          <t>読み方：しゅうり
［名］(スル)壊れたり傷んだりした部分に手を加えて、再び使用できるようにすること。修繕。「時計を—に出す」「車を—する」</t>
        </is>
      </c>
      <c r="D3883" t="inlineStr">
        <is>
          <t>修理工場(3%)；修理中(2%)；修理後；修理屋；修理完了</t>
        </is>
      </c>
      <c r="E3883" t="inlineStr">
        <is>
          <t>改造；修正；直し；改修；修復</t>
        </is>
      </c>
      <c r="F3883" t="inlineStr">
        <is>
          <t>解体修理；大修理；保存修理；修理用；本格的な修理</t>
        </is>
      </c>
      <c r="G3883" t="inlineStr">
        <is>
          <t>修理工；修理亮；修理業；修理権大夫；修理サービス</t>
        </is>
      </c>
      <c r="H3883" t="n">
        <v>29</v>
      </c>
      <c r="I3883" t="inlineStr">
        <is>
          <t>昭和修理時にも松琴軒の正確な建立年代を示す資料は発見されなかった。；親からもらったラジオや懐中電灯などの壊れた機器をよく修理していた。；さらにボイラーやタービンの修理用部品の入手も困難になりつつあった。；修理完了後は海上護衛総司令部の指揮下に入り船団護衛任務に従事する。；軍が輸入した軍楽隊の楽器の修理をしたことがはじまりとされている。；ひどい損傷を負った旧式艦には修理するほどの意味がなかったためである。；高コストの機体ほど修理に必要な時間やポイントも多く必要になる。；保証が切れても有償で修理や交換に応じてくれるメーカーや代理店もある。；またそのモジュールは、非常に修理しやすくなるよう設計されていた。；社領の一種で、郡からの収入はその神社の修理・祭祀費用に充てられた。；戦闘後は充分な修理を受けられず、損傷部分も放置されたままで運用される。；誰もが家のまわりで作業や修理をすることができ、家を建設することさえできた。；王子はその場に残り、「ぼく」は飛行機の修理をするために戻っていった。；地球帰還のためにエンジン修理や改良と忙しい日々を送っていく。；鎮火後の修理の間も、建物が閉鎖されることなく通常の業務が続けられていた。；損傷の修理と並行して、利根で問題となったタービンの修理を行った。；また、即日修理が出来ない場合は代替機の貸し出しを行ったりしている。；耐久度は別の装備品や素材を使って修理することで回復できる。；どうしても直せないものだけがメーカーに送られ専門の修理スタッフが対応した。；近代以降、明治から昭和にかけて諸堂の修理・保存が施工されている。；また籠城のための武器の買い入れ、総構の修理・櫓の建築なども行った。；隼鷹は第三次攻撃隊を収容したのち、一旦北上して破損機の修理を実施。；予備のためのサブグリーンはプレーが禁止される修理地として扱われる。；ドックに入って修理しないかぎり、長期の作戦行動をとれなくなったのである。；家族は祖父の代から麻布で自動車修理工場を経営する父と母、弟。；また、このような大きな損傷を受けても修理を経て再出撃できる整備性があった。；この風潮は修理に人件費などコストがかかりすぎる場合、特に強くなる。；修理の後、1954年に全線が開通して3月1日に北海道に移管された。；しかし修理が開始されると訓練ができなくなるといった理由からこれは行われなかった。</t>
        </is>
      </c>
      <c r="J3883">
        <f>HYPERLINK("https://www.weblio.jp/content/修理", "词义详情")</f>
        <v/>
      </c>
      <c r="K3883">
        <f>HYPERLINK("https://yourei.jp/修理", "查看例句")</f>
        <v/>
      </c>
    </row>
    <row r="3884">
      <c r="A3884" t="inlineStr">
        <is>
          <t>修了</t>
        </is>
      </c>
      <c r="B3884" t="inlineStr">
        <is>
          <t>成功</t>
        </is>
      </c>
      <c r="C3884" t="inlineStr">
        <is>
          <t>読み方：しゅうりょう
［名］(スル)学業などの一定の課程を終えること。「全課程を—する」「—証書」</t>
        </is>
      </c>
      <c r="D3884" t="inlineStr">
        <is>
          <t>修了後(13%)；修了生；修了時；修了試験；修了した者</t>
        </is>
      </c>
      <c r="F3884" t="inlineStr">
        <is>
          <t>大学院修了；博士課程修了；専攻修了；博士前期課程修了；博士後期課程修了</t>
        </is>
      </c>
      <c r="G3884" t="inlineStr">
        <is>
          <t>修了証；修了証書；修了式；修了検定</t>
        </is>
      </c>
      <c r="H3884" t="n">
        <v>29</v>
      </c>
      <c r="I3884" t="inlineStr">
        <is>
          <t>さらに入営後の階級も各自が修了した教育程度によって区分されていた。；カリフォルニア州では例外的に非認定校の修了生にも受験を認めている。；博士課程修了後の研究のために1950年にアメリカ合衆国に向かった。；この中期教育を修了して試験に合格するとウィングマークを取得する。；今後しばらくは修了生の支援に力を入れる方針に転換している。；なかには全課程を修了していなくても卒業を授与する大学も一部ある。；大学院修了を控えて松下電器産業の採用試験を受けるが、不採用となる。；これまでの研究の一部を学位の対象とすることが認められたため翌年には修了した。；各学年の課程の修了の認定は、児童・生徒の平素の成績を評価して行う。；尚、本人は書類上修了になっているか未修了になっているのかを確認していない。；修了考査は、科目免除をされた者を含め全員がすべての問題に解答する。；大学入学時から大学院修了まではプリンスホテルに所属していた。；その場合は修了資格が授与されている事が条件である。；また、旧制中学校2年生を修了すると師範学校への進学が可能であった。；それぞれ修了に必要な単位があり、それらは講習時間で管理される。；大学院修了後に名古屋へ戻り、東海テレビの契約アナウンサーになる。；よって大学院を2つ修了することで、無試験で資格を取得することができた。；大学予備門を修了していないため正科卒業とはならず、法学士号を得ていない。；技能講習修了済みでなければ学科試験の申し込みができない地域もある。；彼はいくつかの試験に合格したが、死亡するまでに学位を修了することはできなかった。；国内外で非常に高い評価を受けており、修了生は各界で活躍している。；それらのすべてを認められると修了認定が行われる。；素読所を修了した者で成績優秀者は講釈所への入学が認められた。；不合格であった者に再試験は行われないので改めて再受講し修了試験を受けなければならない。；各学科を修了すると、以下の免許・資格・修了証等を取得することができる。；金策のため通常は半年の教習コースを修了するのに3年半を費やした。；博士課程を修了し、論文が認定された者には博士号が授与される。；歯科医師免許取得後1年以上の卒後臨床研修を修了しなければならない。；ホームヘルパーは講習を受け修了した者に与えられる認定である。</t>
        </is>
      </c>
      <c r="J3884">
        <f>HYPERLINK("https://www.weblio.jp/content/修了", "词义详情")</f>
        <v/>
      </c>
      <c r="K3884">
        <f>HYPERLINK("https://yourei.jp/修了", "查看例句")</f>
        <v/>
      </c>
    </row>
    <row r="3885">
      <c r="A3885" t="inlineStr">
        <is>
          <t>終了</t>
        </is>
      </c>
      <c r="B3885" t="inlineStr">
        <is>
          <t>成功</t>
        </is>
      </c>
      <c r="C3885" t="inlineStr">
        <is>
          <t>読み方：しゅうりょう
［名］(スル)物事がすっかりおわること。また、おえること。「式典を—する」「試合—」⇔開始。</t>
        </is>
      </c>
      <c r="D3885" t="inlineStr">
        <is>
          <t>終了後(23%)；終了する(9%)；終了時(3%)；終了間際；終了直後</t>
        </is>
      </c>
      <c r="E3885" t="inlineStr">
        <is>
          <t>最後；末；完成；止め；最終</t>
        </is>
      </c>
      <c r="F3885" t="inlineStr">
        <is>
          <t>連載終了；大会終了；サービス終了；ゲーム終了；契約終了</t>
        </is>
      </c>
      <c r="G3885" t="inlineStr">
        <is>
          <t>終了ステータス；終了コード；終了のお知らせ</t>
        </is>
      </c>
      <c r="H3885" t="n">
        <v>29</v>
      </c>
      <c r="I3885" t="inlineStr">
        <is>
          <t>発行終了後の取り扱いなどの詳細は、項目があるものは該当項目を参照。；これは収録段階でゲーム部分の開発がある程度終了していたため可能となった。；本作終了後、2019年現在、この枠でアニメが放送されたことはない。；これに関連してサービスを終了するアーケードゲーム作品も存在した。；パターンには以下のように開始と終了を定義するパターンもある。；全員がゲームから抜けるか脱落するかした段階でゲームは終了である。；連載終了後はてんとう虫コミックススペシャルより単行本も発売された。；しかし、連載の終了は4週間前に通告されるという突然なものであった。；終了した側はもう一方が終了するまで受信可能の状態を継続する。；宇宙刑事シリーズ終了を受けて本作品では宇宙指向で制作されている。；敵から逃げることに成功した場合も戦闘終了となるが、この場合は何も得られない。；アルバム制作終了後、私はコントロール室内に入って全テイクを聴いた。；ゲーム終了後は使用した空き缶をゴミとして処分するのがマナーである。；記念表彰は計画終了後に起業家たちが収集家を満足させるために制作した。；thumb|上の写真がゲーム開始直後、下の写真がゲーム終了後の様子。；遊びの終わりは明瞭で、子がすべて捕まった時点でそのゲームは終了する。；連載終了以降一度も再現されなかったカラー原稿を初めて収録。；放送は終了したが、復活できる機会があれば復活させたいと最終回で語っていた。；そのため撮影が終了する頃には、編集もほとんど済んでしまうことが多かった。；彼は部下にトスカをリサイタル終了後にここに呼ぶように命令する。；どちらかのチームがラバーを獲得した時点で、そのラバーは終了する。；後半戦に入ると、第26節終了時には6位と勝点で並ぶ7位にまで浮上。；見習い期間が終了し、内部審査を経て、認められた者だけが正所属となる。；しかし、この操作は、元が有限個である場合と違って有限回で終了しない。；既に対応機器の発売は終了しており、AVCRECに移行している。；翌年の1999年12月18日に映画化された、一旦シリーズは終了した。；ドイツとオーストリアの印刷終了が遅れたのは使用頻度が高かったためである。；時代区分の開始年・終了年を設定するのには常に困難が伴う。；その処理が終了すると、もとのストリーム・キューの処理を再開する。</t>
        </is>
      </c>
      <c r="J3885">
        <f>HYPERLINK("https://www.weblio.jp/content/終了", "词义详情")</f>
        <v/>
      </c>
      <c r="K3885">
        <f>HYPERLINK("https://yourei.jp/終了", "查看例句")</f>
        <v/>
      </c>
    </row>
    <row r="3886">
      <c r="A3886" t="inlineStr">
        <is>
          <t>重量</t>
        </is>
      </c>
      <c r="B3886" t="inlineStr">
        <is>
          <t>成功</t>
        </is>
      </c>
      <c r="C3886" t="inlineStr">
        <is>
          <t>読み方：じゅうりょう
１物の重さ。目方。「規定の—を超える」「—をはかる」
２目方が重いこと。「—貨物」「—級」
３「重さ2」に同じ。</t>
        </is>
      </c>
      <c r="D3886" t="inlineStr">
        <is>
          <t>重量物(4%)；重量増加(2%)；重量軽減；重量配分；重量制限</t>
        </is>
      </c>
      <c r="E3886" t="inlineStr">
        <is>
          <t>重さ；重み；荷重；目方；斤量</t>
        </is>
      </c>
      <c r="F3886" t="inlineStr">
        <is>
          <t>大重量；全重量；車体重量；最低重量；全備重量</t>
        </is>
      </c>
      <c r="G3886" t="inlineStr">
        <is>
          <t>重量感；重量挙げ；重量税；重量トン；重量ポンド</t>
        </is>
      </c>
      <c r="H3886" t="n">
        <v>29</v>
      </c>
      <c r="I3886" t="inlineStr">
        <is>
          <t>三型は機体重量が増したことから上昇力は一型と同程度に留まっている。；前作から登場したキャラクターの全長・重量は前作の記事を参照のこと。；それは翌1828年にアメリカ合衆国の重量を参照するのに採用された。；これは、重量制限のため橋梁使用が困難な事態を想定しての設計である。；ロボットの重量設定はシリーズ他作品よりも小さいものとなっている。；さらに、急制動時に重量物の移動から乗員を守る保護機能も必要である。；この単純な装置では、力の方向と重量が移動する方向は同じである。；このため本体の重量は1号と比較して約6倍の 508kg となった。；重量については記録はないが運搬には馬が必要だったといわれている。；なお、この時代の砲のサイズは使用する砲弾の重量によって区別される。；中に入って調べてみると、ハンマーの音程は、その重量と関係があった。；重量増大に対応するため、中央脚が標準装備になり4輪式に変更された。；頭蓋骨と下顎の両方に空洞があり、頭部の重量を軽減する効果があった。；機動性を重視し、機体重量を軽くするために装甲に強獣の骨を用いている。；DT32形では車体重量の増加に伴って軸バネを新設計のものに交換した。；このことは、重量のある車が2級道路しか利用できないことを意味している。；ボールの重量、直径が大きいものほど慣性を利用した用法に有利である。；機体外見は変わらないが重量増加に対応して主翼や胴体の構造を強化した。；「超重荷」に定められた重量を超える装備品を持ち歩くことはできない。；また騎手は自分の体重を含め指定された重量で騎乗することが求められる。；また重量のためタイヤに負担がかかり頻繁に交換が必要だという。；どの程度の重量の戦車を中戦車とするのかは国や時代によって大きく異なる。；さらに素材の違いによる重量差を利用して重量調整にも用いられる。；なお、このカラットは宝石の重量を表すカラットとは異なるものである。；もともとは米俵など、サイズが大きく重量のある荷物の縛り方だった。；航空機発射型魚雷の場合重量が重要であり、装着点や発射速度に影響がある。；超重量打線と呼ばれる巨人の打撃陣にも、積極的にバントをさせると宣言。；とはいえ上級モデルより重量があるもののレースに使えないわけではない。；特に重量物である鉱石を輸送する路線には強力な機関車が配備されていることが多い。</t>
        </is>
      </c>
      <c r="J3886">
        <f>HYPERLINK("https://www.weblio.jp/content/重量", "词义详情")</f>
        <v/>
      </c>
      <c r="K3886">
        <f>HYPERLINK("https://yourei.jp/重量", "查看例句")</f>
        <v/>
      </c>
    </row>
    <row r="3887">
      <c r="A3887" t="inlineStr">
        <is>
          <t>重力</t>
        </is>
      </c>
      <c r="B3887" t="inlineStr">
        <is>
          <t>成功</t>
        </is>
      </c>
      <c r="C3887" t="inlineStr">
        <is>
          <t>読み方：じゅうりょく
地球上の物体が地球から受ける引力で、物体の重さの原因となっている力。地球の万有引力と地球自転による遠心力との合力。</t>
        </is>
      </c>
      <c r="D3887" t="inlineStr">
        <is>
          <t>重力下(4%)；重力的(3%)；重力世界(2%)；重力制御；重力式</t>
        </is>
      </c>
      <c r="E3887" t="inlineStr">
        <is>
          <t>重要性；荘厳；引力；万有引力</t>
        </is>
      </c>
      <c r="F3887" t="inlineStr">
        <is>
          <t>高重力；微小重力；低重力；重力空間；重力エネルギー</t>
        </is>
      </c>
      <c r="G3887" t="inlineStr">
        <is>
          <t>重力式コンクリートダム；重力加速度；重力相互作用；重力異常；重力場</t>
        </is>
      </c>
      <c r="H3887" t="n">
        <v>29</v>
      </c>
      <c r="I3887" t="inlineStr">
        <is>
          <t>また居住スペースは人体活動を維持できる十分な重力がある必要がある。；惑星の重力の影響を考慮したエンケ彗星の軌道を計算したことで知られる。；ある高さで物体を離すと重力を発している重力源に向かって落ちていく。；そしてこのことからすべての物体間に重力が作用することを主張した。；重力のように体積要素を使って のように表記できる力を体積力という。；そのため宇宙規模の距離では本来弱いはずの重力が支配的になる。；重力で黒い玉が常に眼球の下にあるので、下を向いている様に見える。；重力の及ぶ範囲は、部屋の中程度から野比家の近所辺りまで調節できる。；これはあくまで理想的な状態の場合で、実際には微小重力状態である。；複雑な形態は重力ではなく磁場が大きな役割を果たしていることを示している。；また、重力の働く場所が一点に集中したと考えたとき、それは重心である。；火星重力下での高い走破性能を得ており、遠征や地上戦の際に装備される。；この理論には星の重力により光が曲げられるという予言も含まれていた。；重力は地球だけでは我々が経験する場合、唯一の大きい力になる。；施設では、700m以上の落差を利用した無重力実験が繰り返し行われた。；このうちBはAとは固有運動が異なるので重力的に結合したものではない。；宇宙戦用機とされているが、劇中では重力下でも運用されていた。；ベジータが住むようになってからは、最上階に重力室が備え付けられた。；上の式は圧力の勾配による鉛直方向の力と重力とが釣り合うことを示す。；宇宙のほとんどの銀河は、ほかの多くの銀河から重力の影響を受けている。；国際宇宙ステーションも微小重力下での研究を目的の一つとしている。；これらから重力値を測定して、地下構造を推定することができる。；その走破性や機動性は重力下での運用に耐用するレベルのものである。；人類が微小重力を得るための有効な方法は現在のところ自由落下のみである。；その付近ではテーベの重力は公転の遠心力をわずかに上回るのみである。；重力までも統一する理論のことを超大統一理論ないし万物の理論という。；これらはいずれも、火星の重力が地球よりも弱いことに起因している。；するとこの部分は重力が強くなり周囲の星雲の物質を引き寄せるようになる。；また、重力下での運用には対応していないとする資料もある。</t>
        </is>
      </c>
      <c r="J3887">
        <f>HYPERLINK("https://www.weblio.jp/content/重力", "词义详情")</f>
        <v/>
      </c>
      <c r="K3887">
        <f>HYPERLINK("https://yourei.jp/重力", "查看例句")</f>
        <v/>
      </c>
    </row>
    <row r="3888">
      <c r="A3888" t="inlineStr">
        <is>
          <t>守衛</t>
        </is>
      </c>
      <c r="B3888" t="inlineStr">
        <is>
          <t>成功</t>
        </is>
      </c>
      <c r="C3888" t="inlineStr">
        <is>
          <t>読み方：しゅえい
［名］(スル)
１守ること。見張ること。また、その人。警固。
「当日尾州でも禁門を—したと」〈藤村・夜明け前〉
２官庁・会社・学校・工場などで、出入り口の監視や敷地・建物内の警備に当たる職。また、その人。
３旧衆議院・貴族院で院内の警備・看視に当たった職員。今の衛視。</t>
        </is>
      </c>
      <c r="D3888" t="inlineStr">
        <is>
          <t>守衛さん(5%)；守衛室(4%)；守衛長(4%)；守衛所(2%)；守衛たち(2%)</t>
        </is>
      </c>
      <c r="E3888" t="inlineStr">
        <is>
          <t>備え；番；監視；警備；見張り</t>
        </is>
      </c>
      <c r="F3888" t="inlineStr">
        <is>
          <t>守衛番長；老守衛；守衛達；守衛本部；刑部守衛</t>
        </is>
      </c>
      <c r="G3888" t="inlineStr">
        <is>
          <t>守衛新選組</t>
        </is>
      </c>
      <c r="H3888" t="n">
        <v>29</v>
      </c>
      <c r="I3888" t="inlineStr">
        <is>
          <t>そこには彼の顔も知らない博物館の守衛の子供がひとりいるだけだった。；これはまだ現界へ帰るべき因縁がある事を守衛が知つてゐたからである。；注意をしようかと守衛小屋から出ていくと、それに気づいて立ち去った。；勝手に入るにしても守衛室の前で学生証を見せないと入れてくれない。；二人がそれを飲み終わった時、守衛がタクシーの到着を知らせてきた。；日曜で社員はいないし、しかも夕方なので、守衛の言葉は当然であった。；入り口の守衛とすったもんだの一つ二つは起こしてきたようにも見える。；その男によると、守衛の内2人はドイツの諜報員であるとのことだった。；つまり守衛とよく似た佝僂であったことが、あの男の不運であったのだ。；そして彼の耳にはなお、彼をそこに残して行った守衛の言葉が響いていた。；守衛はまだ門をひらかないのに、内がわはたちまち人々であふれてきた。；二人の友達は正門から外へ出ると、守衛所までぶらぶら歩いてもどった。；守衛は車内に眼をやったとき、女性が三人乗っているのは確認したはずだ。；寒い通路のところで、誰かが外に出てきて守衛と大声で話をしていた。；私は一人だったけれども、守衛達は私を中に入れてくれそうだった。；そこには何人かの守衛が、大きな青銅の銅鑼の下の腰かけに坐っていた。；廊下でライター型手榴弾をくらったなかに守衛も入っているのであろう。；そちらに向き直って、四五人の守衛の前に挑むような構えになっていた。；扉の錠を守衛から受け取った鍵で外し、扉の脇のボタンを青江は押した。；誰も見ていなかったので、私は、本来なら守衛がいるはずの門から外へ出た。；げんに第一の被害者守衛さんの首は、後に池の中から発見されたではないか。；この宿舎は監視が厳重で、出入りの者は守衛が一一チェックしています。；ところが、彼がゲートに着かないうちに、守衛車が彼の車を呼びとめた。；村長もそうだったがこの人なども、守衛の死を悼むふうはみじんもない。；彼女はポケットからプラスティックのカードを出して守衛にわたした。；守衛長がなにもそこにいる少年を冗談半分に掴まえていたわけじゃないんです。；守衛たちが一定区域の捜査を完了するたびにかけてくる電話だ。；有価証券をたくさん保管していますから、いつでも守衛がいるはずです。；守衛に手をあげて挨拶して門を出ると、人気のない通りを眺めた。</t>
        </is>
      </c>
      <c r="J3888">
        <f>HYPERLINK("https://www.weblio.jp/content/守衛", "词义详情")</f>
        <v/>
      </c>
      <c r="K3888">
        <f>HYPERLINK("https://yourei.jp/守衛", "查看例句")</f>
        <v/>
      </c>
    </row>
    <row r="3889">
      <c r="A3889" t="inlineStr">
        <is>
          <t>主演</t>
        </is>
      </c>
      <c r="B3889" t="inlineStr">
        <is>
          <t>成功</t>
        </is>
      </c>
      <c r="C3889" t="inlineStr">
        <is>
          <t>読み方：しゅえん
［名］(スル)演劇・映画で、主役を演じること。また、その人。「人気女優が—する」「—男優」⇔助演。</t>
        </is>
      </c>
      <c r="D3889" t="inlineStr">
        <is>
          <t>主演女優；主演俳優；主演作品；主演男優；主演経験者</t>
        </is>
      </c>
      <c r="E3889" t="inlineStr">
        <is>
          <t>主役</t>
        </is>
      </c>
      <c r="F3889" t="inlineStr">
        <is>
          <t>w主演；単独主演；主演経験；初主演；映画主演</t>
        </is>
      </c>
      <c r="G3889" t="inlineStr">
        <is>
          <t>主演男優賞；主演映画；主演作；主演ドラマ；主演舞台</t>
        </is>
      </c>
      <c r="H3889" t="n">
        <v>29</v>
      </c>
      <c r="I3889" t="inlineStr">
        <is>
          <t>主に舞台を活動の中心としており、多くのミュージカルに主演している。；コンビでの主演番組のみ、単独での出演はそれぞれの項目を参照のこと。；ただし、それを担当する主演俳優のことも単に主演ということができる。；主演には前作と同様、ロバート・デ・ニーロの起用を考えていたという。；映画などでは古く主演を張ることを 、主演者のことを と表現した。；これはスタローンが自監督のみ担当して主演しなかった唯一の作品である。；同時にこの番組枠では5作目にして初の女性単独主演となった。；主人公健太役の堀川亮は本作で主演での声優デビューを果たしている。；詳細はブルース・リーが主演・出演している映画・ドラマのそれぞれの項を参照。；また、松浦とは後に主演した『星のカービィ』でも現場を共にしている。；昭和を代表する映画俳優の一人として数多くの映画やドラマに主演。；主演である旨を示す文字情報が加えられる場合もある。；既に若山富三郎主演で映画化されていたが、これと並行する形で制作が決定した。；また脚本は主演を務めたラッセル・クロウからの提案による修正も行われた。；また、単独でもドラマや映画で主演を務めたり、レコードデビューも果たした。；基本的には主演といわれる俳優の役は主人公である。；映画では時代劇を中心に出演し、主演は子供向け作品が多かった。；石原裕次郎主演の映画『若い人』では、この会社のバスが登場している。；俳優座時代、また無名塾公演でも多くのシェイクスピア作品に主演した。；本作は、日本で最初に劇場公開されたジャッキー主演作品である。；本作では製作・監督・脚本・主演を務めている。；同年、武田真治主演で主に同作品をベースにしたテレビドラマが制作された。；スタローンは主演を兼任するつもりで複数のスタジオに脚本を売り込んだ。；同作は他の初期主演作と同様に、ソフィアの肉感的な体を強調した作品であった。；主演・監督を務めた映画『青の光』に感動してのことという。；MGM時代後期は、ジミー・デュランテとのダブル主演となっていった。；ここで初代森乃福郎、上方柳次・柳太との3組主演公演などを手がけた。；この映画で主演したことがきっかけで児童劇団に入団する。；この舞台の主演によって、越路が国産ミュージカル女優第一号となった。</t>
        </is>
      </c>
      <c r="J3889">
        <f>HYPERLINK("https://www.weblio.jp/content/主演", "词义详情")</f>
        <v/>
      </c>
      <c r="K3889">
        <f>HYPERLINK("https://yourei.jp/主演", "查看例句")</f>
        <v/>
      </c>
    </row>
    <row r="3890">
      <c r="A3890" t="inlineStr">
        <is>
          <t>主観</t>
        </is>
      </c>
      <c r="B3890" t="inlineStr">
        <is>
          <t>成功</t>
        </is>
      </c>
      <c r="C3890" t="inlineStr">
        <is>
          <t>読み方：しゅかん
《subject》
１ラテン語のsubjectum（下に置かれたもの）に由来し、スコラ哲学以来、18世紀ごろまでは性質・状態・作用を担う基体を意味した。近世以後は認識し行為する人間存在の中心である自我をいう。特にカントでは、先験的意識としての主観が設定された。⇔客観。→主体
２その人ひとりのものの見方。「できるだけ—を排して評価する」⇔客観。</t>
        </is>
      </c>
      <c r="D3890" t="inlineStr">
        <is>
          <t>主観的(33%)；主観視点；主観時間；主観説；主観客観</t>
        </is>
      </c>
      <c r="E3890" t="inlineStr">
        <is>
          <t>考え；主張；意見；我；確信</t>
        </is>
      </c>
      <c r="F3890" t="inlineStr">
        <is>
          <t>純主観；超越論的主観；そういう主観；小主観；主観派と客観</t>
        </is>
      </c>
      <c r="G3890" t="inlineStr">
        <is>
          <t>主観性；主観主義；主観と客観；主観的体験；主観確率</t>
        </is>
      </c>
      <c r="H3890" t="n">
        <v>29</v>
      </c>
      <c r="I3890" t="inlineStr">
        <is>
          <t>代わりに、ゲームをプレイする人の主観的な経験に注意が向けられている。；しかし時間はわれらの意識現象を統一するために主観が設けた概念である。；即ち芸術は作者の主観を担いながらそれ自身で立っているべきである。；であるから自然は今日の言葉で云えば、主観から独立な客観を意味する。；家族に内密にして進めていた経緯があるため、作者の主観で描かれている。；そして重要な判断を行う際に主観的な根拠を基とするのは危険であるとしている。；子供の時には我々の精神は自然的である、従って主観の作用が微弱である。；存在を一般に主観的であるとか客観的であるとか呼ぶのは無意味である。；これらの主観的な確率は、物理的な確率よりも精神に直接関係している。；遺跡などもこの例が多く、これらは西欧文明の主観的な判断といってよい。；芸術の源泉は、芸術家の主観にあるのではなく永遠のイデアの中にある。；それでもやっぱり、とても主観的なレベルで僕はキリストを愛してる。；旧過失論とは主観的な予見可能性が過失の本質であるとする見解である。；しかし、それほど明確な境界線を持つわけではなく、主観的な側面もある。；前者は客観で知を主とし、後者は主観で感を主とするのが特性であります。；そして芸術は、個人の主観が創造するものと初めてなったのであった。；従ってこの現象性によっては空間は主観的と考えられる道を断たれている。；類推によれば、人が他人の主観的な感覚を経験できないことは問題ではない。；しかし実際にはそこに作者の主観が幕の後ろで活躍している事は云うまでもない事である。；そうすればフィヒテの弁証法が愈々主観的であったことを暴露して来る。；主観的に言えば宇宙の気であって、その絶対は相対的なものである。；意識という言葉のもつもうひとつの意味は主観的な経験、現象的な質である。；主観がそれを思索すると否とに関らずそれは存在するものであろう。；人間は他人の主観の中に、けっして安息していられるものではありません。；そしてそれが客観説をば主観説から安全にしているように見える。；私は客観主観両方面の文学の目的とするところを一言述べました。；解釈が主観的なため再現性を重視する科学の検証に耐えられてないと言われている。；それ故条件が主観的であっても空間を主観的と考える理由はない。；そこでは主体ではなくて、観測するものとしての主観が現われるのである。</t>
        </is>
      </c>
      <c r="J3890">
        <f>HYPERLINK("https://www.weblio.jp/content/主観", "词义详情")</f>
        <v/>
      </c>
      <c r="K3890">
        <f>HYPERLINK("https://yourei.jp/主観", "查看例句")</f>
        <v/>
      </c>
    </row>
    <row r="3891">
      <c r="A3891" t="inlineStr">
        <is>
          <t>主義</t>
        </is>
      </c>
      <c r="B3891" t="inlineStr">
        <is>
          <t>成功</t>
        </is>
      </c>
      <c r="C3891" t="inlineStr">
        <is>
          <t>読み方：しゅぎ
１持ちつづけている考え・方針・態度など。「それが僕の—だ」「完全—」「菜食—」
２思想・学説・芸術理論などにおける一定の立場。イズム。「実存—」「自然—文学」
３特定の原理に基づく社会体制・制度など。「資本—」</t>
        </is>
      </c>
      <c r="D3891" t="inlineStr">
        <is>
          <t>主義的(6%)；主義政党；主義運動；主義様式；主義政策</t>
        </is>
      </c>
      <c r="E3891" t="inlineStr">
        <is>
          <t>主張；態度；意見；精神；解釈</t>
        </is>
      </c>
      <c r="F3891" t="inlineStr">
        <is>
          <t>新古典主義；社会民主主義；秘密主義；中心主義；第一主義</t>
        </is>
      </c>
      <c r="G3891" t="inlineStr">
        <is>
          <t>主義主張</t>
        </is>
      </c>
      <c r="H3891" t="n">
        <v>29</v>
      </c>
      <c r="I3891" t="inlineStr">
        <is>
          <t>これは両者がともに数学の厳密主義の開始者であった事にも関係する。；国家の団結を確立することが民族主義であり、これは国族主義でもある。；しかし、死去するまで手紙や日記では反ユダヤ主義的な発言を繰り返した。；かれの思想はまさに農民主義、職人主義そのものと言っていいだろう。；この秘密主義の方針は、しばしば世界的な批判の的となっている。；適応主義は現在、批判的な意味と肯定的な意味で異なる意味で用いられる。；今後の外交は秘密主義をやめ公開主義でいかなければならない。；イギリスでは、新古典主義とはいくつかある現象のうちの一つにすぎなかった。；社会保障は高福祉高負担の立場を欧州の社会民主主義政党が掲げてきた。；ソ連時代からなお秘密主義が強く、動静が注目される国家である。；三木は、選挙戦は「主義政策よりも候補者の質の争い」になると考えた。；非社会主義国にもあり、これもまた後に戻されてしまうことがある。；民主党に移行した部分は、その後は社会民主主義を提唱していない。；そのビスマルクも一度反ユダヤ主義勢力に関与しかけたことがあった。；また新ブラックパンサー党も反ユダヤ主義的な発言を繰り返している。；適応主義的アプローチは近年では医学や心理学にも応用されつつある。；メルケルに限らず、ドイツ国民一般に財政均衡主義の傾向があると言われる。；非両立主義に属するもうひとつの考え方は、リバタリアニズムである。；ヨハネによる福音書やそれを題材とした作品に反ユダヤ主義があるかは議論されている。；公開主義は公明正大に各人がその責任を明らかにするという趣旨に基づく。；農業第一主義・貿易第一主義・軽工業第一主義を改めて提起。；もし今保護貿易主義を復古しようなどとすれば国民の暴動が起こるのは確実だった。；投票には公開主義と秘密主義がある。；したがって、反宗教主義と積極的無神論は区別されなければならない。；彼らは「文は必ず秦漢、詩は必ず盛唐」を標榜して擬古主義を提唱した。；しかし、そこに新古典主義の理念を見いだすことはもはや困難である。；保守党もこれ以上保護貿易主義を掲げ続けるのは難しい情勢だった。；なお上述のマディソンは連邦主義と州権主義のあいだを行き来したとされる。；文学作家たちにも反ユダヤ主義的な意識が見られる。</t>
        </is>
      </c>
      <c r="J3891">
        <f>HYPERLINK("https://www.weblio.jp/content/主義", "词义详情")</f>
        <v/>
      </c>
      <c r="K3891">
        <f>HYPERLINK("https://yourei.jp/主義", "查看例句")</f>
        <v/>
      </c>
    </row>
    <row r="3892">
      <c r="A3892" t="inlineStr">
        <is>
          <t>修行</t>
        </is>
      </c>
      <c r="B3892" t="inlineStr">
        <is>
          <t>成功</t>
        </is>
      </c>
      <c r="C3892" t="inlineStr">
        <is>
          <t>読み方：しゅぎょう
［名］(スル)
１悟りをめざして心身浄化を習い修めること。仏道に努めること。
２托鉢(たくはつ)・巡礼して歩くこと。「全国を—する」
３学問や技芸を磨くため、努力して学ぶこと。「弓道を—する」「武者—」
[補説]3は「修業」とも書く。また、1・2も俗に「修業」と書くことがある。</t>
        </is>
      </c>
      <c r="D3892" t="inlineStr">
        <is>
          <t>修行中(4%)；修行時代；修行場；修行法；修行道場</t>
        </is>
      </c>
      <c r="E3892" t="inlineStr">
        <is>
          <t>研究；調査；検討；勉強；学問</t>
        </is>
      </c>
      <c r="F3892" t="inlineStr">
        <is>
          <t>もとで修行；仏道修行；剣術修行；海外修行；再修行</t>
        </is>
      </c>
      <c r="G3892" t="inlineStr">
        <is>
          <t>修行僧；修行寺；修行智仁；修行人宿</t>
        </is>
      </c>
      <c r="H3892" t="n">
        <v>29</v>
      </c>
      <c r="I3892" t="inlineStr">
        <is>
          <t>かつては助監督が作ることが多く、監督昇格のための修行の一つだった。；ティルテュ国第一王子であるヴァルムは王になるために修行の旅に出る。；塚原卜伝がこの地で修行したときに卜伝の湯に入ったと言われている。；元々身軽だった彼女は父親や仲間との修行にも引けを取ることがなかった。；そこで待っていたのは厳しい修行と挫折・困難・そして克服の日々だった。；パラメータはそれぞれのヒロインの家の親の元で修行して上げる事も可能。；修養は先に性の修行から始め、次に命を修煉する先性後命の丹法である。；リュウも自分の求めていた強さを改めて見つめ直し、再度修行の旅に向かう。；修行のための断食と言うよりは、死を覚悟してのものだったらしい。；その後、比叡山の叡空の下で修行中に父が殺害されたことを知ったとされる。；と述べており、単独修行のなかで陥りやすい煩悩について指摘している。；修行中、影の国ではスカアハと対立するオイフェとの間に戦争が起こった。；尸魂界で何の役にも立てなかったと苦悩して、一人強くなるために修行をする。；また、苦行と呼ばれるさまざまな修行方法によって、精神体験を求めた。；唐から戻った際、無事帰国できたことを感謝すべく、再び登山し修行した。；幼い頃に皆川城の鬼門を守る、皆川持明院で修行をしたといわれている。；幼少時から出家し善恵寺で修行した後、善恵寺に子院・持是院を構えた。；初期から、悟りを開く前の修行時代の仏陀のことを菩薩と呼んでいた。；彼がもっと修行を積んだ落語家なら、筆者は大いにこの点を推奨したい。；本人談によれば、このヨガ道場での修行で腰痛が快癒したと語っている。；性格は生真面目で、さらに強くなるために日々修行に励み続けている。；そこから一般に、一定の僧堂に留まって修行する修行者をも雲水という。；富士山・立山・白山などの霊山に登って修行することなども禅定という。；帰還後はカカシとヤマトの教えの元でチャクラの性質変化の修行を開始する。；ラストでは、絵の修行のため貨物船でフランスに旅立つとされていた。；一方、本格的に弟子入りした後は、非常に厳しい内弟子修行を行っている。；開山となった法身性才は、中国の宋で修行してから帰国した僧である。；本人の著書によれば、約1年半、前座として新師匠彦六宅で修行をする。；仙人になるために修行をする者は道士、または羽士・方士と呼ばれる。</t>
        </is>
      </c>
      <c r="J3892">
        <f>HYPERLINK("https://www.weblio.jp/content/修行", "词义详情")</f>
        <v/>
      </c>
      <c r="K3892">
        <f>HYPERLINK("https://yourei.jp/修行", "查看例句")</f>
        <v/>
      </c>
    </row>
    <row r="3893">
      <c r="A3893" t="inlineStr">
        <is>
          <t>修業</t>
        </is>
      </c>
      <c r="B3893" t="inlineStr">
        <is>
          <t>成功</t>
        </is>
      </c>
      <c r="C3893" t="inlineStr">
        <is>
          <t>読み方：しゅうぎょう
［名］(スル)学術・技芸などを学んで身につけること。また、その分野で規定される課程または年限を済ますこと。しゅぎょう。「高校の課程を—する」「—証書」</t>
        </is>
      </c>
      <c r="D3893" t="inlineStr">
        <is>
          <t>修業中(3%)；修業時代(3%)；修業者；修業年数；修業生</t>
        </is>
      </c>
      <c r="E3893" t="inlineStr">
        <is>
          <t>研究；調査；検討；勉強；学問</t>
        </is>
      </c>
      <c r="F3893" t="inlineStr">
        <is>
          <t>文学修業；もとで修業；音楽修業；兵法修業；板前修業</t>
        </is>
      </c>
      <c r="G3893" t="inlineStr">
        <is>
          <t>修業期間；修業立志編；修業僧</t>
        </is>
      </c>
      <c r="H3893" t="n">
        <v>29</v>
      </c>
      <c r="I3893" t="inlineStr">
        <is>
          <t>これら生徒や修業人は、試験の成果を普及するのに大きな役割を果たした。；ですから私はあなたの弟子になって、仙術の修業をしたいと思うのです。；ですから私はあなたの弟子になつて、仙術の修業をしたいと思ふのです。；けれども、そこまで行くには、これほどの修業をしなくてはならないのか。；この作品はカノーヴァの修業時代の作品でも最も有名な作品と言われている。；彼は、その後日本にもやってきて、京都の大徳寺で禅の修業もしている。；修業が終わって腕のいい猟師になると、村の名主に仕えることになった。；うるさい世間の口を避けるために、江戸へ修業に行くのも確かにいい。；後にイタリアに移住したものの、修業時代については不明な点が多い。；きちんとした店で修業していないのだから無理もありません。；数珠とは下根を引接し修業を継続できるようにする法具である、とする。；父は寿司屋になるため修業中で家に不在で母は新聞配りをしながら育てた。；画を制作する、謡の修業をする、決して苦しくないことはないものです。；修業を終えた2年後には、それぞれの技の強化版を使用する様にもなっている。；早速女優修業が始まったが、そこには先輩女優のしごきが待っていた。；いかなる修業を求めてもこの山を意のままにして見度い。；日本語では修行を「修業」と表記し、その意味が混同される場合も多い。；主人公は洋食の修業をしたものの父に命じられて寿司屋を継いだ男。；十四五の時から新聞記者になる修業のために来たい来たいと思っていた米国に着いたのだ。；修業時代のことはよくわかっておらず、絵画の師も不明である。；また、松村宗棍のように、薩摩に渡って示現流を修業してくる者もいた。；私に泣かされた少年は、その後学問の修業はせずに、或会社へ通ふ事になつた。；男性に較べると女性が絵の修業をするのには、特別にいろいろな困難が伴います。；フランスで修業後、ロンドンに戻りいくつかのレストランでシェフを務めた。；手術されると知って病院を脱走し、修業先の親方の元に逃げ戻った。；この当時の画家の常として、修業時代には各地に遍歴の旅に出ている。；この時は演劇修業のための渡米だったが、この時は映画には全く興味を示さなかった。；医者になることを止めて、1900年から彫刻家になる修業を始めた。；修業をしたハワイのテリトリーは当時はアル・カラシックが支配していた。</t>
        </is>
      </c>
      <c r="J3893">
        <f>HYPERLINK("https://www.weblio.jp/content/修業", "词义详情")</f>
        <v/>
      </c>
      <c r="K3893">
        <f>HYPERLINK("https://yourei.jp/修業", "查看例句")</f>
        <v/>
      </c>
    </row>
    <row r="3894">
      <c r="A3894" t="inlineStr">
        <is>
          <t>授業</t>
        </is>
      </c>
      <c r="B3894" t="inlineStr">
        <is>
          <t>成功</t>
        </is>
      </c>
      <c r="C3894" t="inlineStr">
        <is>
          <t>読み方：じゅぎょう
［名］(スル)学校などで、学問や技芸を教え授けること。「国語の—を受ける」「教科書なしで—する」「—時間」
[補説]作品名別項。→授業</t>
        </is>
      </c>
      <c r="D3894" t="inlineStr">
        <is>
          <t>授業中(7%)；授業時間；授業内容；授業料；授業開始</t>
        </is>
      </c>
      <c r="E3894" t="inlineStr">
        <is>
          <t>学校；教育；指導；伝える；講義</t>
        </is>
      </c>
      <c r="F3894" t="inlineStr">
        <is>
          <t>補習授業；通常授業；たのしい授業；選択授業；体育授業</t>
        </is>
      </c>
      <c r="G3894" t="inlineStr">
        <is>
          <t>授業参観；授業書；授業後；授業料免除；授業評価</t>
        </is>
      </c>
      <c r="H3894" t="n">
        <v>29</v>
      </c>
      <c r="I3894" t="inlineStr">
        <is>
          <t>大学の授業を担当せず、年に数回程度の講演会をするだけの場合もある。；当時担当した授業では、生徒の中に元プロ野球選手の湯上谷竑志がいた。；授業放送であるため、高等学校学習指導要領に基づいて制作されている。；そして、授業と称して子供たちにロックのあらゆることを教え始める。；外国人学生を対象とした日本語クラスを除いて、授業は全て英語で行われる。；大学時代は授業に出るより散歩をするのが好きだったと話している。；科目選択制であるため、生徒によって授業の予定が大きく異なっている。；日々の英語の授業に加え、大英博物館を訪れたりして文化歴史も学ぶ。；授業の内容はほとんど決められており学生が授業を選んで取ることはほとんどない。；また地域貢献の一環として、小学校での訪問授業をこの時期開始した。；その問題に対し、学校・教育側は方言の授業を設ける等を検討している。；これらもNHK学園高校の授業放送であり、単位取得の対象となっている。；そして全学生共通のカリキュラムで授業を行っているところがある。；そのため、1日交代で学校に通って授業内容を教え合ったりしていたという。；学校や塾などにおいて休み時間とは、授業と授業の間にある時間である。；そのため、教授が英語で授業をする中、学生がフランス語で質問してもよい。；復活以降は各授業の優秀生徒になると、豪華商品が与えられるようになった。；また事あるごとに講習会や実地授業などの場で指導し、普及に努めた。；小学校でも運動を止められていて体育の授業は座って見ているだけの生徒であった。；たとえば化学の授業を受けるには理科棟に移動して授業を受けることになる。；この年、彼女は授業を受ける傍らで70ポンド以上の収入を得ていた。；大学の授業にはあまり出席せず、新太陽社で編集のアルバイトをしていた。；授業は小規模で読書室を利用していた生徒と知り合うように努力した。；自由時間はほとんどなく、イマームとしての公務と授業に追われていた。；珠算・簿記・税務会計の授業がある地元の商売人の子が来る高校だった。；音楽の授業では、詩に曲をつけさせたり、遠藤が作曲した歌を歌ったりした。；学校の授業がない平日には朝から児童クラブを利用することになる。；外国からの留学生は、ビザの条件上この期間に授業を取る必要はない。；聖光学院在学時に授業で建築模型を製作して以来建築に興味を抱いていた。</t>
        </is>
      </c>
      <c r="J3894">
        <f>HYPERLINK("https://www.weblio.jp/content/授業", "词义详情")</f>
        <v/>
      </c>
      <c r="K3894">
        <f>HYPERLINK("https://yourei.jp/授業", "查看例句")</f>
        <v/>
      </c>
    </row>
    <row r="3895">
      <c r="A3895" t="inlineStr">
        <is>
          <t>授業料</t>
        </is>
      </c>
      <c r="B3895" t="inlineStr">
        <is>
          <t>成功</t>
        </is>
      </c>
      <c r="C3895" t="inlineStr">
        <is>
          <t>読み方：じゅぎょうりょう
学校などに、授業を受けるために納める費用。</t>
        </is>
      </c>
      <c r="D3895" t="inlineStr">
        <is>
          <t>授業料値上げ；授業料無料；授業料等；授業料無償化；授業料未納</t>
        </is>
      </c>
      <c r="G3895" t="inlineStr">
        <is>
          <t>授業料減免</t>
        </is>
      </c>
      <c r="H3895" t="n">
        <v>29</v>
      </c>
      <c r="I3895" t="inlineStr">
        <is>
          <t>これらのケースでは各大学への授業料とは別途に留学費用が必要となる。；彼はその教授の授業を聴講するレベルに上がりたくて授業料を払うのだ。；一時間余の後に、彼の授業料は見事に消え失せてしまっていたからである。；授業料収入の減少を前に、学校は健全な財政の維持に懸念を持っていた。；授業料はかなり高かったが、他の学校以上に多くの生徒を引きつけた。；優秀な学生は最大で卒業までの授業料が半額免除になるケースもある。；ほぼ全ての大学では、授業料が従量制であることが大きな特徴である。；一日のびればホテル代も授業料もかさんでくるので死ぬ思いであった。；このころから機械やゲームを発明し、その収入を授業料の一部に充てていた。；そんな単純な真理に気づくのに、どれだけの授業料を払ってきたことか。；ほかの生徒の邪魔になるわけではないし、正規の授業料も支払われている。；稀れには授業料を親から貰っている学生もあるが、それは例外的な存在である。；中学生の時にクラブでのサッカーを始め、授業料はこの収入で納めていた。；二人の授業料三十圓を差引いて少くとも四五十圓は飲めると云うものだ。；彼らには英語が主流で授業料が高い外国人学校は選択の中にない。；おそらく家が授業料を払うことができなかったからだと思われる。；あくまでも研究費や学生の授業料を国費で援助しているだけである。；やはり合格したとなると、入学金だの授業料だのといろいろお金がかかる。；授業料は払ってあるが、生活費のほうはなんとかしなければならない。；それに伴い、国の援助に加え、学生からの授業料の徴収を開始した。；一二・〇〇AM 授業料を支払うことによって得られる学生の権利とは何か。；また教授のポケットにはいる学生の授業料もこの方につぎ込むということにした。；授業料は無料だが、地元農家から依頼される農作業で生活費を稼いでいる。；申すまでもなくそのなかには授業料の工面のつかない人も数多くあることでしょう。；授業料ををさめることが出來なくなつて、小學校へ行く生徒が急に減つた。；岡崎中へ入る前から名古屋軍に声を掛けられ、授業料も援助してもらっていた。；これは就学支援金が授業料の一部として確実に使われるようにするためである。；ほとんどの学校は授業料のみで学校を運営している。；アメリカの大学の年間授業料は、一万ドルくらいと言われる。</t>
        </is>
      </c>
      <c r="J3895">
        <f>HYPERLINK("https://www.weblio.jp/content/授業料", "词义详情")</f>
        <v/>
      </c>
      <c r="K3895">
        <f>HYPERLINK("https://yourei.jp/授業料", "查看例句")</f>
        <v/>
      </c>
    </row>
    <row r="3896">
      <c r="A3896" t="inlineStr">
        <is>
          <t>塾</t>
        </is>
      </c>
      <c r="B3896" t="inlineStr">
        <is>
          <t>成功</t>
        </is>
      </c>
      <c r="C3896" t="inlineStr">
        <is>
          <t>読み方：じゅく
［常用漢字］　［音］ジュク（呉）
私設の学舎。「塾生・塾長・塾頭／家塾・義塾・私塾・村塾」
［名のり］いえ</t>
        </is>
      </c>
      <c r="D3896" t="inlineStr">
        <is>
          <t>塾幼稚舎(2%)；塾大学教授；塾内；塾出身；塾通い</t>
        </is>
      </c>
      <c r="E3896" t="inlineStr">
        <is>
          <t>予備校；学習塾</t>
        </is>
      </c>
      <c r="F3896" t="inlineStr">
        <is>
          <t>家塾；義塾幼稚舎；学塾；野球塾；英語塾</t>
        </is>
      </c>
      <c r="G3896" t="inlineStr">
        <is>
          <t>塾長；塾頭；塾講師；塾し；塾舎</t>
        </is>
      </c>
      <c r="H3896" t="n">
        <v>29</v>
      </c>
      <c r="I3896" t="inlineStr">
        <is>
          <t>芸歴が短い者は所属と同時に本人の希望で青二塾へ入塾する場合もある。；なお誠臣塾は現在もこの行為が正当なものであるとの見解を示している。；学校や塾などにおいて休み時間とは、授業と授業の間にある時間である。；ちなみにこの学校は、3ヶ国語の育成や大手進学塾との提携をしている。；母親が副収入のために経営していた塾を、兄と共に一家3人で経営する。；また、当時、奥田猛は自分が経営していた盡己塾でも授業を行っていた。；この他、慶應義塾関連の歌を演奏したCD、レコードが数多く存在する。；学校と塾と家を往復する人生に、疑問を感じる日々を送っていた。；慶應義塾が設置・運営する学校と連携して小中高大一貫教育を行っている。；時系列上の登場が東堂塾との対戦前であるため、便宜上ここに記載する。；戦後は引退していたが、音楽塾を経営し、歌の指導を行っていた。；この塾の経営で負債がたまり、解消の一助に新街活版製造所を設立した。；進学可能先 男子は塾高へ、女子は女子高への進学者が比較的多い。；中には、資格取得が可能なプログラムを準備している塾もある。；同塾に参加した神山健治からは「器をまとめるのがうまい」と言われた。；学習塾というよりは、やや学校に近い雰囲気のある塾となっている。；これは玄白個人を表すのではなく、出版の主体としての塾名だと考えられる。；又一般的な塾・予備校とは異なり本部には教室を併設していない。；同年に塾の実績と皇后の推薦で、創設された華族女学校の教授に迎えられた。；そろばん塾を開いていた発見者の友人からの求めによって命名された。；名字帯刀を許され、学塾において藩主・前田家の人々に講義をしていた。；これは塾歌が長いために歌っている途中に味方の攻撃が終わってしまうことがしばしばあったためだと言われている。；そのため、見学のできない塾に入るような形式のものも存在する。；慶應義塾が設置・運営する学校と連携して小中高大一貫教育を行う。；大学予備門の受験勉強のために、知人に慶應義塾別科を勧められて入学。；塾とは別に、小学校ではバトントワリングの教室や部活動にも参加していた。；また土曜日に大手進学塾と提携し講師を招き特別の受験指導を行っている。；鵞峰が整えた林家学塾の組織は、その後の昌平坂学問所の基礎となった。；全国の河合塾校舎のみならず提携塾や個人塾、高等学校に配信されている。</t>
        </is>
      </c>
      <c r="J3896">
        <f>HYPERLINK("https://www.weblio.jp/content/塾", "词义详情")</f>
        <v/>
      </c>
      <c r="K3896">
        <f>HYPERLINK("https://yourei.jp/塾", "查看例句")</f>
        <v/>
      </c>
    </row>
    <row r="3897">
      <c r="A3897" t="inlineStr">
        <is>
          <t>祝賀</t>
        </is>
      </c>
      <c r="B3897" t="inlineStr">
        <is>
          <t>成功</t>
        </is>
      </c>
      <c r="C3897" t="inlineStr">
        <is>
          <t>読み方：しゅくが
［名］(スル)めでたいこととして喜び祝うこと。「優勝を—する」「—会」</t>
        </is>
      </c>
      <c r="D3897" t="inlineStr">
        <is>
          <t>祝賀会(36%)；祝賀パーティー(2%)；祝賀式典(2%)；祝賀行事(2%)；祝賀使</t>
        </is>
      </c>
      <c r="E3897" t="inlineStr">
        <is>
          <t>祭；祭り；寿；祝い；祭礼</t>
        </is>
      </c>
      <c r="F3897" t="inlineStr">
        <is>
          <t>優勝祝賀；戦勝祝賀；盛大な祝賀；新年祝賀；就任祝賀</t>
        </is>
      </c>
      <c r="G3897" t="inlineStr">
        <is>
          <t>祝賀ムード；祝賀御列の儀；祝賀使節</t>
        </is>
      </c>
      <c r="H3897" t="n">
        <v>29</v>
      </c>
      <c r="I3897" t="inlineStr">
        <is>
          <t>明日は新潮社の新発足の祝賀会が三時からあって酒や餅が出るとのこと。；明治節当日は学校の職員・生徒・児童が学校に参集して祝賀式を行った。；ソ連が続いていた時期、5月9日はソ連と東側陣営の諸国で祝賀された。；改革の新たな提案はモロッコ人に広く支持され、国中で祝賀が行われた。；町章は、1919年に下中島村を編入した際の合併祝賀会で定められた。；彼女はまた、戦いを祝賀する詩作品を書いたことでも知られている。；祝賀式典に出席していた女学生一人にも弾があたって死亡したという。；祝賀会場は八畳三間と廊下を合わせて三十畳ほどの広さだった。；やがてかぐや姫と命名し、男女きらわず呼び集めて盛んな祝賀会をやる。；公開365日目にはチェンナイのシャンティ劇場で祝賀会が開催された。；ホテル・ブリボートにてバッファロー・ビルたちの祝賀会が行なわれる。；これはフロイトの八〇歳の誕生日になされた祝賀講演のなかの一部である。；孝二たち一家は豊平の道営アパートの一室で祝賀会の花火の音を聞いた。；おそらくこの話をきくのは、宴で祝賀を受けるよりも重要なのだろう。；またワシントンの大統領就任式では祝賀のための印象的な夕食会を開催した。；インドでは、世界食料デーを祝賀するイベントはまだ行われていない。；ライト兄弟が初めて試験飛行に成功したとき祝賀会でスピーチを求められた。；馬産地では、周囲の人に祝賀会の開催を提案されたが、嶋田は断っていた。；毎年1月5日の19時からは新年祝賀大会を開催することが慣例だった。；翌日からは多数の企業が祝賀広告を新聞に掲載するなど国民は祝賀ムードに包まれた。；当日は会の発表祝賀会を兼ねて製作展覧を催したのでありました。；それから、君のための祝賀会の晩、君がわたしの腕の中に倒れかかって来た時のこと!；甲板で帰朝の祝賀が行われた後、裕仁親王は内火艇に乗って港に上陸した。；当時そのホテルでは祝賀会が行われており、多くの犠牲者が出た。；これを聞いた侯成は追いかけて馬を奪い返し、同僚たちから祝賀された。；ローマの人たちは服喪の日と祝賀の日とに同じ服装をつけた。；この第三版は1963年に独立の父生誕200年を祝賀するために出された。；さくら書房の会議室で行われた授賞式のあと、小さな祝賀会が開かれた。；以前の正月の祝賀の歌には、しばしば「古酒の香」を悦ぶ文句があった。</t>
        </is>
      </c>
      <c r="J3897">
        <f>HYPERLINK("https://www.weblio.jp/content/祝賀", "词义详情")</f>
        <v/>
      </c>
      <c r="K3897">
        <f>HYPERLINK("https://yourei.jp/祝賀", "查看例句")</f>
        <v/>
      </c>
    </row>
    <row r="3898">
      <c r="A3898" t="inlineStr">
        <is>
          <t>熟語</t>
        </is>
      </c>
      <c r="B3898" t="inlineStr">
        <is>
          <t>成功</t>
        </is>
      </c>
      <c r="C3898" t="inlineStr">
        <is>
          <t>読み方：じゅくご
１2字またはそれ以上の漢字で書かれる漢語。熟字。「幸福」「美女」など。
２二つまたはそれ以上の単語が合わさって、一つの単語として用いられるようになったもの。複合語。合成語。
３慣用によって、特定の意味に用いられるようになった語句。慣用句。成句。イディオム。「気が抜ける」「油を売る」などの類。</t>
        </is>
      </c>
      <c r="D3898" t="inlineStr">
        <is>
          <t>熟語法(2%)；熟語本位；熟語集</t>
        </is>
      </c>
      <c r="E3898" t="inlineStr">
        <is>
          <t>決まり文句；複合語；成句；常套句；イディオム</t>
        </is>
      </c>
      <c r="F3898" t="inlineStr">
        <is>
          <t>漢字熟語；意味する熟語；新熟語；和製熟語</t>
        </is>
      </c>
      <c r="H3898" t="n">
        <v>29</v>
      </c>
      <c r="I3898" t="inlineStr">
        <is>
          <t>複数の語が結合して、1つの語となったものを熟語と称することもある。；現在まで使用されているものの代表例には以下のような熟語がある。；また、人をすっかり夢中にさせてしまうことを意味する熟語でもある。；複数の漢字が一つの語を形成するものを特に熟語と称する場合もある。；更に此癖は、熟語かどうかと言ふ感じをさへも、鈍らしてゐるのである。；複数の語がなすある種の固定的な表現を「熟語」とみなす立場がある。；ただし「御機嫌」のように意味を変えて一種の熟語を形成する場合もある。；そのため現代ドイツ語でも熟語化した表現にはこの語尾が現れることがある。；熟語は字義の説明に必要なものを本文に書いている以外、掲載されていない。；重松はこんな恐怖感をそそるような医学上の熟語はもう聞きたくなかった。；なお、漢字同士の結びつきが弱い場合は熟語とみなさない立場もある。；特に漢文調の熟語や術語がそういう場合の役に立っているように見える。；熟語は頭に浮かんだが、それがどんな漢字なのか神鷹は気になった。；特定の地域でしか使われない熟語や慣用句がある以外は他国間で差異はない。；聞きなれない、面倒な熟語が、釘ッ切れのように百姓の耳朶を打った。；日本語においては和語を含んだ語も熟語であると認識されている。；これに決と云ふのは法律上の熟語となつて居まして、決行するの意であります。；化学の世界や、他の色と対比したり、熟語を作る際には褐色と称する。；此は、新時代の熟語でありながら、昔の熟語法と通じてゐるものがあるのだ。；魅了は、人の心を鷲掴みにして、惹きつけてしまうことを指す熟語である。；茲に山と言ふ言葉があると、其を修飾する言葉がついて熟語が出来る。；此が第二段の熟語法で、名詞的な語尾の屈折と言ふことになつて来る。；中国語においても同様に、和製熟語は中国語の近代語彙の不足を補った。；熟語には特殊な読みをするもの以外、発音はついていない。；中国語圏において熟語と総称される語は、以下のようなものに分類できるという。；此には、昔の熟語を作る意識があつて出来たものであらう。；さうして妙な相場の熟語を、十ばかり一度に教へられた。；熟語とならなくても、明かに体言の職能を示して居るのである。；あの繊細そうな子供に、それはあまりにも似合わない二字熟語だった。</t>
        </is>
      </c>
      <c r="J3898">
        <f>HYPERLINK("https://www.weblio.jp/content/熟語", "词义详情")</f>
        <v/>
      </c>
      <c r="K3898">
        <f>HYPERLINK("https://yourei.jp/熟語", "查看例句")</f>
        <v/>
      </c>
    </row>
    <row r="3899">
      <c r="A3899" t="inlineStr">
        <is>
          <t>祝日</t>
        </is>
      </c>
      <c r="B3899" t="inlineStr">
        <is>
          <t>成功</t>
        </is>
      </c>
      <c r="C3899" t="inlineStr">
        <is>
          <t>読み方：いわいび
祝い事のあるめでたい日。しゅくじつ。</t>
        </is>
      </c>
      <c r="D3899" t="inlineStr">
        <is>
          <t>祝日限定；祝日ダイヤ；祝日等；祝日および年末年始；祝日運休</t>
        </is>
      </c>
      <c r="E3899" t="inlineStr">
        <is>
          <t>節；暇；休み；休日；休暇</t>
        </is>
      </c>
      <c r="F3899" t="inlineStr">
        <is>
          <t>日曜祝日；大祝日；天長節祝日；休祝日；法定祝日</t>
        </is>
      </c>
      <c r="G3899" t="inlineStr">
        <is>
          <t>祝日大祭日</t>
        </is>
      </c>
      <c r="H3899" t="n">
        <v>29</v>
      </c>
      <c r="I3899" t="inlineStr">
        <is>
          <t>かつては、祝日に編成の都合でナイトゲームを放送できない日があった。；これを記念して4月12日はロシアほか様々な国で祝日となっている。；NPO法人による運営が行われており、土・日・祝日に開催されている。；マサチューセッツ州ではこれを記念して4月19日を祝日に定めている。；特にテレビ朝日では祝日に第16作以降の作品の再放送が行われている。；このため路線によっては一部の便の時刻が日曜と祝日で異なる場合がある。；これはこの国で初めてその名を持った祝日を公式に祝う機会となった。；町の名前はアメリカの祝日や年中行事の名称から採られているものが多い。；これを公のものとし、特別の祈祷を行い、祝日を設定したのはである。；その隣にあるメイフラワーリフトは日曜・祝日のみの運行となっている。；そこでこの祝日では、ナツメヤシなどのヤシ科の植物の枝が祝別される。；基本的には週5日間の帯で放送されていたが、祝日には放送を休止していた。；主に毎月1回程度の土・日曜日または祝日の午後に44分間放送された。；市街地で開かれるイベント時は土日、祝日の開放も検討するとしている。；路上で行われる宗教上の祝日のフットボールは衰退の道をたどっていた。；代表的なものは主に現在の祝日にあたる日に行われている。；湯島聖堂の大成殿土・日・祝日は大成殿の内部が一般公開されている。；一般的な企業では土曜日・日曜日・祝日が公休日になっていることが多い。；その日は数えない日と呼ばれ、バルダに暮らすすべての人々の祝日である。；毎年春 - 秋の一定期間に土・日・祝日限定で無料で公開される。；さらに祝日や受験直前には各種模試やさまざまな特訓授業が開講される。；ただし、平日でも大人土日祝日用が使用できる日が設定されることがある。；逆に、設定日の半分を日曜日以外の祝日に実施された年もあった。；これらの他に日曜日で固定された祝日の翌日は常に振替休日となる。；のシングルが祝日にあたる水曜日に発売されるのは本作が初となる。；土・日・祝日は一般路線の代わりに、村内周遊観光バスが運行されている。；州ではこの日を「ジョージアの日」と名付けて州の祝日としている。；かつては祝日も運転していたが令和2年のダイヤ改定で運休となった。；ただし、祝日となる場合およびイベント開催日はこの割引が適用されない。</t>
        </is>
      </c>
      <c r="J3899">
        <f>HYPERLINK("https://www.weblio.jp/content/祝日", "词义详情")</f>
        <v/>
      </c>
      <c r="K3899">
        <f>HYPERLINK("https://yourei.jp/祝日", "查看例句")</f>
        <v/>
      </c>
    </row>
    <row r="3900">
      <c r="A3900" t="inlineStr">
        <is>
          <t>縮小</t>
        </is>
      </c>
      <c r="B3900" t="inlineStr">
        <is>
          <t>成功</t>
        </is>
      </c>
      <c r="C3900" t="inlineStr">
        <is>
          <t>読み方：しゅくしょう
［名］(スル)縮まって小さくなること。また、縮めて小さくすること。「五分の一に—した模型」「軍備を—する」⇔拡大。</t>
        </is>
      </c>
      <c r="D3900" t="inlineStr">
        <is>
          <t>縮小する(7%)；縮小される；縮小傾向；縮小版；縮小化</t>
        </is>
      </c>
      <c r="E3900" t="inlineStr">
        <is>
          <t>減少；低下；カット；削減；短縮</t>
        </is>
      </c>
      <c r="F3900" t="inlineStr">
        <is>
          <t>拡大縮小；事業縮小；路線縮小；大幅縮小；大きく縮小</t>
        </is>
      </c>
      <c r="G3900" t="inlineStr">
        <is>
          <t>縮小写像；縮小再生産；縮小半群；縮小均衡；縮小解釈</t>
        </is>
      </c>
      <c r="H3900" t="n">
        <v>29</v>
      </c>
      <c r="I3900" t="inlineStr">
        <is>
          <t>バブル崩壊後出来たため当初構想されていたときよりも規模が縮小された。；妊娠線では産後に縮小し目立たなくなるが完全には消えないことも多い。；以後も連載は続くが縮小傾向となり、同年12月号で連載は終了した。；いわば、教育委員会の解体ないし縮小は、事実上進行しているといえる。；これらは2001年以降には規模が縮小されるか、完全に閉鎖された。；いわゆる「拡大登録」がこれにあたるが、逆に縮小登録にも適用される。；なお、現在の別区には石製品のレプリカが大きさを縮小して建てられている。；この路線が認定されたと同時に滋賀県道264号も縮小されている。；帝国は領土的縮小の時代に入り、9世紀まで回復することはなかった。；ただし妻面の窓は縮小し、編成先頭以外の貫通扉の窓は拡大された。；しかし、松方財政政策で地方の馬産も縮小し、馬不足が深刻になっていた。；同様に主題が音価を縮小されて示される場合、これを縮小フーガと呼ぶ。；当初は現在よりも大きかったが粕川の排水で現在の広さまで縮小している。；しかしながら、第一次世界大戦の経済的な影響で、カード製造は縮小した。；だが藩からは規模の半分しか許可されなかったため、計画を縮小しての工事となった。；新小岩操駅の規模縮小に伴い不要となった敷地の一部を利用して整備された。；この縮小部分には後に両国国技館や江戸東京博物館が建設されている。；以下に主な競走を挙げるが、アラブ系競走の縮小に伴い現在は行われていない。；また、西側の5千坪は陸軍用墓地となり、境内は2万坪ほどに縮小した。；その結果、大きな事故は減少し、事故による被害も縮小してきている。；これらは小学校低学年の児童の手に馴染むサイズに縮小化されていた。；日本は独立したリージョンからアジア地区の1事業所へと縮小した。；これによってユーゴスラビアの経済は1990年の半分にまで縮小した。；しかし、2009年はチームが活動を縮小したため、参戦していない。；サイズを縮小する際に生じる挑戦には以下のものがある。；その結果、ハムの自治権は縮小され、領主の絶対支配の余地が生まれた。；世界最古のキリスト教共同体が存在したが移住のため縮小していった。；OECDの統計では、構造改革期に格差が縮小したことが示されている。；しかし大審院と司法省が完成した時点で予算不足のため計画は大幅に縮小された。</t>
        </is>
      </c>
      <c r="J3900">
        <f>HYPERLINK("https://www.weblio.jp/content/縮小", "词义详情")</f>
        <v/>
      </c>
      <c r="K3900">
        <f>HYPERLINK("https://yourei.jp/縮小", "查看例句")</f>
        <v/>
      </c>
    </row>
    <row r="3901">
      <c r="A3901" t="inlineStr">
        <is>
          <t>宿題</t>
        </is>
      </c>
      <c r="B3901" t="inlineStr">
        <is>
          <t>成功</t>
        </is>
      </c>
      <c r="C3901" t="inlineStr">
        <is>
          <t>読み方：しゅくだい
１家庭でやってくるべきものとして教師が児童・生徒に課する、学習上の課題。「夏休みの—」
２解決が後日に持ち越された課題。「その件は今後の—にする」</t>
        </is>
      </c>
      <c r="D3901" t="inlineStr">
        <is>
          <t>宿題を出さ；宿題帳；宿題忘れ；宿題クイズ</t>
        </is>
      </c>
      <c r="E3901" t="inlineStr">
        <is>
          <t>問題；課題；問；悩み；問い</t>
        </is>
      </c>
      <c r="F3901" t="inlineStr">
        <is>
          <t>静宜亭宿題</t>
        </is>
      </c>
      <c r="H3901" t="n">
        <v>29</v>
      </c>
      <c r="I3901" t="inlineStr">
        <is>
          <t>決まっているのは一人ではなくみんなで力を合わせて挑戦する宿題だけ。；予備校行ったり宿題したりするのは暇で暇で他にやることがないからよ。；ぼくはこの問題を君に今日、考えてもらいたいと宿題として出したんだ。；宿題がある時も、母は全部自分でやって僕にはやらせてくれなかった。；ありえないほどの宿題が出され、それを片していくことで日々が終わる。；宿題として、自分に答えうる準備ができたらお目にかけるつもりだった。；本ばかり読んでいないで庭を掃きなさいとか宿題をしなさいとか言われた。；少年は帰途になると、まだせずに置いたラテンの宿題の事を思い出した。；そう、宿題の存在を、この石に気をとられて忘れてしまっていたのだった。；そんなあやふやな家の中で、仕方なく冬休みの宿題を広げたりするのだ。；竹田が部屋で学校の宿題をやっていると、窓から女の子が入ってきた。；そして最後には、前と同じようにわたしへの宿題が箇条書きにしてあった。；そのかわり、出された宿題をやっていかないなんて考えられないことだった。；家に両親はいなかったが、妹の桜がテレビの前で宿題をしていた。；宿題やってないなら後で小萌先生と二人きりの個人授業が待ってますよ?；今が何時とか宿題がどうとか、もはやそんな事を言っている場合ではなかった。；なる程四郎は、机の前に坐つて、宿題の算術をやつてゐるところだつた。；奥さんの事も宿題にするという約束だから、よく考えて返事をなさい。；が、それも、事業がにわかに忙しくなったので宿題のままになっていた。；八月も終わりに近づく頃、無計画な友人どもはあわてて宿題をはじめる。；子供の頃、理科の宿題で朝顔の成長日記をつけさせられたのを思い出す。；宿題をするふりをしたが、頭の中では父に対する怒りが渦巻いていた。；二人は放課後になると、図書室で宿題をしたり本を読んだりして過ごした。；山に行くことができたから立派な宿題ができるとは限らない。；今日は宿題もないので、部屋に戻ってさっそく読み始めることにする。；通常のお父さんだけが挑戦する宿題と違い、家族全員で挑戦する宿題。；生徒たちは宿題の経緯に関するアッバス・キアロスタミの質問に答えた。；散会直前に、祐巳は令さまから大変な宿題が与えられてしまったのだった。；第八号棟の中にある食堂で夕食を済ませ、少し宿題をしてから眠った。</t>
        </is>
      </c>
      <c r="J3901">
        <f>HYPERLINK("https://www.weblio.jp/content/宿題", "词义详情")</f>
        <v/>
      </c>
      <c r="K3901">
        <f>HYPERLINK("https://yourei.jp/宿題", "查看例句")</f>
        <v/>
      </c>
    </row>
    <row r="3902">
      <c r="A3902" t="inlineStr">
        <is>
          <t>熟知</t>
        </is>
      </c>
      <c r="B3902" t="inlineStr">
        <is>
          <t>成功</t>
        </is>
      </c>
      <c r="C3902" t="inlineStr">
        <is>
          <t>読み方：じゅくち
［名］(スル)細かなところまでよく知っていること。詳しく知っていること。「—の間柄」「その件ならすでに—している」</t>
        </is>
      </c>
      <c r="D3902" t="inlineStr">
        <is>
          <t>熟知する(7%)；熟知せら；熟知せる</t>
        </is>
      </c>
      <c r="E3902" t="inlineStr">
        <is>
          <t>知識；精通；面識；詳しさ</t>
        </is>
      </c>
      <c r="F3902" t="inlineStr">
        <is>
          <t>熟知するところ</t>
        </is>
      </c>
      <c r="H3902" t="n">
        <v>29</v>
      </c>
      <c r="I3902" t="inlineStr">
        <is>
          <t>着慣れた服の袖に手を通すような、熟知と経験を鏡越しに見た気がした。；サヴォルドは、生涯の間に夜の効果を熟知していたことで知られていた。；彼女は、ここにおさめられた数百万の書物のすべてを熟知しているのだ。；敵情を熟知した上での自信ならよかったが、そうではなかったのである。；地の利がある分、みんな逃げるのに有利な地形を熟知しているのだろう。；それができるのは、かれらがオールドコースを熟知しているからである。；私はその日まで丸畑が何村に属するかをも熟知していなかったのです。；自分の能力に真の自信をもっている者は、その限界も熟知しているのである。；昔の品を熟知する者にとっては、見劣りがしてならないからであります。；病人の世話とは何を意味するかを、彼はその年齢で熟知したのである。；彼女は、なにをすれば危険で、なにをすれば安全であるかを熟知している。；彼女はこの店に存在する何百万冊という本の場所をすべて熟知しているのだ。；弟子たちのほうも、師と同様に学問の本質を熟知していなかったから。；両種の特徴を熟知しない場合は飛翔する姿からの同定は難しいことが多い。；およそ人形に関することなら、彼女は何にでも目がないし熟知している。；僕は君が君自身の内面生活に於いて苦のない人でない事は熟知してゐる。；そのことを、マサ自身が熟知していたからこそ、マサはそう思ったのだ。；そういった道具の使用法を熟知した少数の人間が、多数の人間を支配する。；プレイヤーはこれらの性質を熟知して虹のかけらを集めなければならない。；相手が何を語ろうとしているのか既に熟知している事が彼女を優位に置いた。；そのため、持ち技の性質を熟知して攻撃を確実に当てていくことが要求される。；どこにどれくらいの力を込めればいいのか、熟知している様子だった。；こんなわけで、私はカナダの雪についてはきわめて熟知するに至ったのだ。；店で常に使い、味わいも熟知している地酒が、別のもののように思える。；彼は巧妙な政治家であり、人々を自らの利益に操作する方法を熟知していた。；作品を論ずるに作者を熟知するは必ずしも得とならざる例の一つか。；と言うことは、便器の下の装置への通路を熟知している可能性もあるわけだ。；この息子が意外に激高しやすい性格であることをふきは熟知している。；カーターは、ギガースのすべての装備を熟知しているわけではなかった。</t>
        </is>
      </c>
      <c r="J3902">
        <f>HYPERLINK("https://www.weblio.jp/content/熟知", "词义详情")</f>
        <v/>
      </c>
      <c r="K3902">
        <f>HYPERLINK("https://yourei.jp/熟知", "查看例句")</f>
        <v/>
      </c>
    </row>
    <row r="3903">
      <c r="A3903" t="inlineStr">
        <is>
          <t>宿泊</t>
        </is>
      </c>
      <c r="B3903" t="inlineStr">
        <is>
          <t>成功</t>
        </is>
      </c>
      <c r="C3903" t="inlineStr">
        <is>
          <t>読み方：しゅくはく
［名］(スル)自宅以外の所に泊まること。「親類の家に—する」「—所」</t>
        </is>
      </c>
      <c r="D3903" t="inlineStr">
        <is>
          <t>宿泊する(8%)；宿泊所(7%)；宿泊者(5%)；宿泊先(5%)；宿泊費(3%)</t>
        </is>
      </c>
      <c r="E3903" t="inlineStr">
        <is>
          <t>滞在；泊まる；逗留；泊る；滞留</t>
        </is>
      </c>
      <c r="F3903" t="inlineStr">
        <is>
          <t>宿泊業；宿泊棟；宿泊場所；宿泊研修；宿泊代</t>
        </is>
      </c>
      <c r="G3903" t="inlineStr">
        <is>
          <t>宿泊客；宿泊券；宿泊艦；宿泊税；宿泊者名簿</t>
        </is>
      </c>
      <c r="H3903" t="n">
        <v>29</v>
      </c>
      <c r="I3903" t="inlineStr">
        <is>
          <t>捜査の結果、犯人は被害者の横の部屋に宿泊していた男だと判明した。；所属寺院から発行される証書を持っていることが宿泊許可の条件とされる。；江戸時代に入ると街道が整備され、大名などは宿場町の本陣に宿泊した。；全ての街で仲間を生き返らせる費用や宿泊費が一律の値段となっている。；ホテルへの派遣の場合、宿泊費や飲食費等は一般に客側の負担となる。；ヘレン・ケラーやジョン・ウェインらが宿泊したことでも知られている。；巡礼者の数が増えると共に、道沿いには無料の宿泊所が整備されてきた。；そのため、子供連れの家族からビジネス客まで同じ客室に宿泊している。；なお、アメリカを公式訪問した日本の昭和天皇や歴代首相も宿泊している。；鎌倉時代には多くの寺院が建立され、兵の集結宿泊所として利用される。；両チームの選手は同じ列車で移動し同じ宿に宿泊したという。；宿泊のほか、トレーニングジムや貸会議室等での利用にも対応している。；安倍晋三首相が首相就任以降、毎年年末年始に宿泊したホテルでもある。；日帰りを前提としているため、宿泊のためのホテルや旅館は紹介されない。；修学旅行の宿泊のために建設されたためこのような構成になった。；宿泊先のホテルは病状を案じる1万人以上もの大群衆に囲まれてしまう。；陸揚げされた客船時の艤装品は呉海軍工廠関係者の宿泊時に用いられた。；ただし、当時は男子のみ宿泊が可能であり、女子にはホテルが提供されていた。；宿泊者などは両館の施設を共通で利用可能となっている。；このセンターは約25万人が滞在可能な宿泊所を備える大規模な施設である。；受け入れ可能な宿泊者数に限度があるため完全予約制となっている。；椿山荘に宿泊する外国人観光客にも日本滞在中の運動をするのに人気。；二人の画家との出会いがきっかけで旅館業に転じ後には安井曾太郎も宿泊した。；これが昭和三陸地震と呼ばれる地震で宿泊していた宿は津波に襲われて全壊。；赤湯の自家泉源を持つ宿で、宿泊のほか日帰り入浴も可能となっている。；父は当初競輪選手だったが、宿泊していた旅館の娘と結ばれて結婚。；スペインでは宿泊業の営業には観光登録が必要である。；ただ宿泊だけを目的とした施設ではないので、客に対して様々なサービスがある。；イタリアでは宿泊業の営業には自治体への届出が必要である。</t>
        </is>
      </c>
      <c r="J3903">
        <f>HYPERLINK("https://www.weblio.jp/content/宿泊", "词义详情")</f>
        <v/>
      </c>
      <c r="K3903">
        <f>HYPERLINK("https://yourei.jp/宿泊", "查看例句")</f>
        <v/>
      </c>
    </row>
    <row r="3904">
      <c r="A3904" t="inlineStr">
        <is>
          <t>宿命</t>
        </is>
      </c>
      <c r="B3904" t="inlineStr">
        <is>
          <t>成功</t>
        </is>
      </c>
      <c r="C3904" t="inlineStr">
        <is>
          <t>読み方：しゅくみょう
１仏語。前世における善悪・苦楽などの状態。
２⇒しゅくめい（宿命）</t>
        </is>
      </c>
      <c r="D3904" t="inlineStr">
        <is>
          <t>宿命的(20%)；宿命づけられ；宿命観；宿命みたいなもの；宿命付けられ</t>
        </is>
      </c>
      <c r="E3904" t="inlineStr">
        <is>
          <t>定め；運命；運；幸せ；定</t>
        </is>
      </c>
      <c r="F3904" t="inlineStr">
        <is>
          <t>がたい宿命；そういう宿命；たる宿命；不幸な宿命；悲劇的な宿命</t>
        </is>
      </c>
      <c r="G3904" t="inlineStr">
        <is>
          <t>宿命の女</t>
        </is>
      </c>
      <c r="H3904" t="n">
        <v>29</v>
      </c>
      <c r="I3904" t="inlineStr">
        <is>
          <t>人は生まれ持った宿命から逃れ、人生を変えることが出来るのか・・・?；青年は娘を強姦することによつて自らの宿命を試みやうと考へたのです。；宿命のある種の風は人の魂のうちにそういう波を立たせるものである。；さういふ男とさういふ事情になるやうな宿命だけが分かるのだつた。；それは、自由を奪われた少年の宿命であり、彼に選択の余地はなかった。；だが彼は、自分の宿命の中に抵抗のきざしがあることを感じとっていた。；私はその僅かな二行の裡にもその詩人の不幸な宿命をいつか見出していた。；その機械を考案した不幸の医者は、宿命的な名前を持っていたものだ。；彼は自分の気づかぬうちに宿命が恐るべき歩みをなしたことを考えてみた。；これは文学の宿命であり、文学と政治との絶対不変の関係なのである。；しかしすぐに別の世界に行き、真の宿命に直面することを余儀なくされる。；自らの宿命がいかに惨めで絶望的かをハイタが初めて意識し始めたのは。；その宿命的である場合は、その生活が正しき緊張から退縮した時である。；この句には或る象徴的な、沈痛で暗い宿命的の意味を持った暗示がある。；自分自身に託された宿命の重みがだんだん軽くなってくるのを感じた。；と母親は観念すると、たちまちそこに宿命に素直になる歓びさへ覚えた。；特別な魂を持って生まれたために戦う宿命を背負った少女達を巡る物語。；茲に於て、人は神の全てを知るとも宿命の軌道を壊つことは不可能である。；こうしてアルカードを中心にドラキュラ城に宿命の魂が集うのであった。；富岡は、ゆき子との、かうした長い交渉を宿命のやうにも思ふのだつた。；でもね、これが人の言う逃げようもない宿命だったのでしょうね。；と母親は観念すると、たちまちそこに宿命に素直になる歓びさえ覚えた。；僕はそこにも我々人間の負はされてゐる宿命みたいなものを感じずにはゐられません。；きわめて温良でやや疲れた性質の中に、ごく穏やかな宿命観をもっていた。；転生後も涼の妹となり、神の側についた彼女との宿命的戦いがテーマとなる。；自分の意志ではどうにもならない宿命的な悲劇のやうな思ひがした。；それがこの種のジャーナリストの職業的宿命のように考えられている。；かくて過去は全く取返へしのつかぬ決定的宿命的なる事柄では無くなる。；人間の意識が生きているかぎり担う一つの悲劇的な宿命なのである。</t>
        </is>
      </c>
      <c r="J3904">
        <f>HYPERLINK("https://www.weblio.jp/content/宿命", "词义详情")</f>
        <v/>
      </c>
      <c r="K3904">
        <f>HYPERLINK("https://yourei.jp/宿命", "查看例句")</f>
        <v/>
      </c>
    </row>
    <row r="3905">
      <c r="A3905" t="inlineStr">
        <is>
          <t>手芸</t>
        </is>
      </c>
      <c r="B3905" t="inlineStr">
        <is>
          <t>成功</t>
        </is>
      </c>
      <c r="C3905" t="inlineStr">
        <is>
          <t>読み方：しゅげい
手先でする技芸。刺繍(ししゅう)・編物・人形作りなど。「—品」</t>
        </is>
      </c>
      <c r="D3905" t="inlineStr">
        <is>
          <t>手芸店(5%)；手芸用品(3%)；手芸教室；手芸家；手芸学校</t>
        </is>
      </c>
      <c r="E3905" t="inlineStr">
        <is>
          <t>芸術；工芸；技芸；手工芸；人形作り</t>
        </is>
      </c>
      <c r="G3905" t="inlineStr">
        <is>
          <t>手芸部；手芸用品店</t>
        </is>
      </c>
      <c r="H3905" t="n">
        <v>29</v>
      </c>
      <c r="I3905" t="inlineStr">
        <is>
          <t>手芸の方面をどんどんのばしてやることは、とてもためになることです。；私は手芸売場で何冊かの本を選び、それに出ていた毛糸玉を買ってきた。；英語以外にも、手芸が得意であり、娘のおもちゃも自ら作るほどである。；東野は楽譜を片手に手芸室や作業室を覗いてまわったが、やはりいない。；農業のほか手芸用レースを初めとする繊維産業が盛んな町であった。；貞代は時花手芸学院とは離れて、郊外のマンションに部屋を持っていた。；しかもそれが例の「手芸木製品」だとあってなかなか安くないのである。；クラフト作家の川乃は大好きな手芸を仕事にできて幸せを感じていた。；テレビ局が彼女に要求してきたのは、単に手芸家としてのそれでなかった。；一方生産を行う手芸などの部門は比較的容易になっている。；ワイヤーワークとは、手芸の一種で針金を使用して小物を制作すること。；個人で手芸とか教えてる人がお茶会がてら借り切りにしてくれることもあるし。；手芸が好きな主人公・みるくは、あるきっかけで自分の店を開くことになった。；ミス・カッシングは無関心なさまで、相かわらず静かに手芸をやっていた。；君はU子さんの開いてゐる手芸の私塾に大分前から通つて来てゐた。；手芸やぬいぐるみ作りはもともと好きだったから、それくらい簡単だったわ。；手芸のうち針と糸などを使って布を縫い衣服などを制作する行為。；かつてはカメラ店・学生服店・手芸店・着物店等も存在していた。；日本では、手芸作家の久家道子がプチポワンに関する本を出版している。；市観光局によると、特有の自然や料理、手芸、伝統社会が体験出来る。；渋い奥行きのある色は、単なる手芸の域では、もはや出すことはできない。；彼女は母親の手芸の腕は受け継がなかったが、幼い頃から琴が上手かった。；カード類やペーパークラフトなどの工作・手芸の材料にも使われる。；ペインテックスは、特殊な絵具を用いて布などに絵や模様を描く手芸である。；音緒の立っているのは喫茶店の前で、その両脇を手芸屋と時計屋が挟んでいる。；その地域はバティックや伝統的な絵付け手芸の因習より知られる。；「美知香さんに編み物を教えてあげることになったの」 妻は手芸が好きだ。；一方で家付き娘である母親は、女からも惚れられるほどの美人で手芸の名人。；この建物は、1906年に創設された手芸・工芸学校のために建設されたものである。</t>
        </is>
      </c>
      <c r="J3905">
        <f>HYPERLINK("https://www.weblio.jp/content/手芸", "词义详情")</f>
        <v/>
      </c>
      <c r="K3905">
        <f>HYPERLINK("https://yourei.jp/手芸", "查看例句")</f>
        <v/>
      </c>
    </row>
    <row r="3906">
      <c r="A3906" t="inlineStr">
        <is>
          <t>受験</t>
        </is>
      </c>
      <c r="B3906" t="inlineStr">
        <is>
          <t>成功</t>
        </is>
      </c>
      <c r="C3906" t="inlineStr">
        <is>
          <t>読み方：じゅけん
［名］(スル)試験を受けること。「大学を—する」「—シーズン」《季春》</t>
        </is>
      </c>
      <c r="D3906" t="inlineStr">
        <is>
          <t>受験すること(3%)；受験できる(2%)；受験し合格；受験者；受験準備</t>
        </is>
      </c>
      <c r="F3906" t="inlineStr">
        <is>
          <t>受験校；受験参考書；受験する場合；音楽学校受験；東大受験</t>
        </is>
      </c>
      <c r="G3906" t="inlineStr">
        <is>
          <t>受験勉強；受験者；受験資格；受験戦争；受験シーズン</t>
        </is>
      </c>
      <c r="H3906" t="n">
        <v>29</v>
      </c>
      <c r="I3906" t="inlineStr">
        <is>
          <t>また、連携していない中学校からも一般の入試で受験することができる。；日本人学校は、帰国後の教育や受験に対応することが目的の学校である。；また不合格になった者は翌年の同じ回より前の試験は受験できない。；卒業していない場合は入学資格試験を受験しなければならない場合が多い。；複数の科を受験することが可能であり、2つの科で合格した者も存在する。；カリフォルニア州では例外的に非認定校の修了生にも受験を認めている。；工業系資格取得は一部を除き任意受験であり、普通科の生徒でも行える。；一般には、1回の受験で合格するために、必要な全ての科目を選択する。；武より文の面が強調されており、台湾などでは受験の際に礼拝される。；他大学を受験する場合は慶應義塾大学への推薦を辞退しなければならない。；授業内容は受験的な暗記ではなく、なぜそうなったかを考えさせる式のもの。；どの級も同じ時間帯に試験を行うので、複数級の受験はできない。；数多くの検定取得に力を入れており、そのほとんどが学校で受験可能である。；彼は医師になることを希望していたが受験したいずれの医科大学も不合格であった。；出願の条件として、多くの自治体が受験可能な年齢の上限を定めている。；早期受験で合格した場合、ボストンカレッジに入学する義務が発生する。；外国の検査技師学校を卒業し厚労大臣の認定を受け国家試験を受験する。；原則として現役生が対象ではあるが、浪人生も受験が可能な学校もある。；私立文系大学の受験対策のほか日芸対策をしていることでも知られている。；小学校卒業後に膳所中学校を受験したが落第したため、高等科へ進んだ。；また坂本の墓所の近隣に位置していた立命館大学も受験したが不合格。；合格者の発表は同年の11月下旬に官報で受験番号と名前が公告される。；さらに祝日や受験直前には各種模試やさまざまな特訓授業が開講される。；同年の12球団合同トライアウトを受験するも不合格となり、現役を引退。；すべての分野のテストは同時刻に行われ、同一日に複数の科目の受験はできない。；あくまで受験地別の分布であり、受験者の国籍を表したものではない。；高等映画学院の受験に失敗した後、ニューヨーク大学で映画制作を学ぶ。；試験結果と受験合否は連動しているもの、必ずしも一致するとは限らない。；当時、普通科の受験は個別に行うのではなく、統合して行われていた。</t>
        </is>
      </c>
      <c r="J3906">
        <f>HYPERLINK("https://www.weblio.jp/content/受験", "词义详情")</f>
        <v/>
      </c>
      <c r="K3906">
        <f>HYPERLINK("https://yourei.jp/受験", "查看例句")</f>
        <v/>
      </c>
    </row>
    <row r="3907">
      <c r="A3907" t="inlineStr">
        <is>
          <t>主語</t>
        </is>
      </c>
      <c r="B3907" t="inlineStr">
        <is>
          <t>成功</t>
        </is>
      </c>
      <c r="C3907" t="inlineStr">
        <is>
          <t>読み方：しゅご
１文の成分の一。文において、述語の示す動作・作用・属性などの主体を表す部分。「鳥が鳴く」「山が高い」「彼は学生だ」という文で、「何が」に当たる部分をいう。日本語では、主語がなくても文として成立する。
２論理学で、ある対象について何らかの主張をする判断（命題）において、主張がなされる当の対象。例えば、「犬は哺乳類である」における犬。主辞。⇔述語。</t>
        </is>
      </c>
      <c r="D3907" t="inlineStr">
        <is>
          <t>主語的；主語仮説；主語接頭辞；主語優勢言語；主語態</t>
        </is>
      </c>
      <c r="E3907" t="inlineStr">
        <is>
          <t>主部；サブジェクト；主辞</t>
        </is>
      </c>
      <c r="F3907" t="inlineStr">
        <is>
          <t>文法的主語；代名詞主語；形式主語；論理的主語；空主語</t>
        </is>
      </c>
      <c r="H3907" t="n">
        <v>29</v>
      </c>
      <c r="I3907" t="inlineStr">
        <is>
          <t>哲学の伝統は、主語になる対象の内容からさきに分析するように勧める。；主語が抜けているが、当然それは港で別れた凍空こなゆきのことである。；主語が長くなる場合は、最初に it を使ってしまう方が一般的です。；しかし元になったラテン語文では、主語が誰であるか明示されていない。；主語となって述語とならないといっても、それは自証するものではない。；なお、主語優勢言語でも主題を標示する方法が存在しないわけではない。；この表現だけでは説明される主語が単数なのか複数なのかははっきりしない。；また元の主語からの物の移動を表す場合は「から」を用いることができる。；実体とは論理学的に云うならば常に主語となる処のものに外ならない。；英語などの主語優勢言語と比較すると、以下のような特徴が見られる。；それを主語にして、より包括的な述語のもとに包摂することができない。；行為者の代わりに、行為の対象を表す名詞句が主語になることが多い。；なんらかの理由で主語を特に強調したい場合には自立代名詞が使われる。；原因動作の主語あるいは目的語と結果の主語が異なる場合にも使える。；主語がすべて空欄になっている長い長い文章を読んでいるような訳のわからなさ。；日本語の場合は助詞や同音異義語が多数存在し、主語の省略も行われる。；文章が少しだれてくると、人間以外の物を主語にした文章を持ってきて変化をつける。；例えば「私はあの家へ行く」と言う場合、 のように主語を書かない。；これは不活動体が他動詞の主語になるのが例外的であることと関係している。；またすでに死んでいる人を主語にすることも原則としてできない。；女は不安げな瞳を上げ、それからその主語に気付いて軽く息を呑んだ。；ここで動詞 nywa は主語の性と数に応じて接頭辞を変化させている。；チェコ語では英語にあるような主語の代名詞の義務的な使用は不要である。；主語となり、これに続けて対格となる名詞をおくことで存在を表現できる。；シュメール語の定動詞は法を区別し、主語と目的語に数と性が一致する。；また、主語にあたる人の意志、願望などを表現するときにも用いられる。；文法的主語は、意味の側面を排除し、完全に形式的な側面から定められる。；ところが、その客というのはだれかと言えば、主ご自身だったんだからな。；これは、主語の右方移動に伴い項位置に現れた虚辞とも解釈される。</t>
        </is>
      </c>
      <c r="J3907">
        <f>HYPERLINK("https://www.weblio.jp/content/主語", "词义详情")</f>
        <v/>
      </c>
      <c r="K3907">
        <f>HYPERLINK("https://yourei.jp/主語", "查看例句")</f>
        <v/>
      </c>
    </row>
    <row r="3908">
      <c r="A3908" t="inlineStr">
        <is>
          <t>主催</t>
        </is>
      </c>
      <c r="B3908" t="inlineStr">
        <is>
          <t>成功</t>
        </is>
      </c>
      <c r="C3908" t="inlineStr">
        <is>
          <t>読み方：しゅさい
［名］(スル)中心となって会合や行事などを行うこと。また、その人や団体・機関。「新聞社が—するスポーツ大会」「—者」</t>
        </is>
      </c>
      <c r="D3908" t="inlineStr">
        <is>
          <t>主催する(24%)；主催試合(4%)；主催者(2%)；主催団体；主催大会</t>
        </is>
      </c>
      <c r="E3908" t="inlineStr">
        <is>
          <t>開催；オープン；執行；後援；挙行</t>
        </is>
      </c>
      <c r="F3908" t="inlineStr">
        <is>
          <t>連盟主催；巨人主催；uefa主催；共同主催；大会主催</t>
        </is>
      </c>
      <c r="G3908" t="inlineStr">
        <is>
          <t>主催者発表；主催者側；主催旅行</t>
        </is>
      </c>
      <c r="H3908" t="n">
        <v>29</v>
      </c>
      <c r="I3908" t="inlineStr">
        <is>
          <t>イギリスを拠点とする世界大学評価機関QSが主催するMBAイベント。；開催が決定されると主催者から出場者に連絡が入り、急きょ開催される。；ただし、大会主催者の決定によって使用する番号を制限することができる。；ただし、これは大会の主催者によって変更されることもしばしばある。；ただし、阪神が主催ゲームを行う場合には、ビジョンで案内されている。；個人が主催する為、規則や規約は使用する場所に準拠している場合が多い。；朝日新聞主催となった新名人戦で、当初活躍したのは大竹英雄であった。；その後も秋葉原などでユーザー主催のイベントが何回か開かれた。；また関西地区でのコンサートやイベントを主催・後援することがある。；ユーゴスラビア時代に存在した首相は存在せず、大統領が閣議を主催した。；日本相撲協会主催の大相撲は土俵上への女性の立ち入りを認めていない。；在阪放送局主催の若手を対象にした演芸の賞では最も歴史ある大会である。；店舗主催で行う大会はこのモードを使用する場合が多い。；その他Kawaiian TV主催のイベントも同所で開催されている。；新宿ロフトプラスワンへは共に主催・ゲストとして多数出演していた。；茶道では、その前身である闘茶を最も早く主催した人物の一人ともいわれる。；幼児から小・中学生を対象とした市主催の絵画コンクールも行われている。；これを受け、当駅開業前年の最後の主催試合をもって、同駅は廃止となった。；やがて2人は数々のイベントをこのロフトで主催することになった。；以下、特に断りのない限り広島東洋カープ主催試合を想定した説明である。；第五次落語研究会で収録された映像が主催のTBSに残っている。；最終的には個人主催イベントに参加するコスプレイヤーで割り勘を行われる。；各大陸の代表は、それぞれの大陸連盟が主催する大陸選手権大会で決まっていた。；その後も巨人主催の公式試合が開催されている。；美濃部は東京都が主催していた各公営ギャンブルの廃止を公約に掲げていた。；秋にはその他毎回様々な企業の主催による謎解きイベントが開催されている。；この毎日新聞が主催して大阪で始まった大会を現在の高校選手権の前身としている。；また、近鉄バファローズの主催試合を長良川球場で行っていたこともある。；大学当局は学生の主催であり大学の公式行事ではないという立場を取っている。</t>
        </is>
      </c>
      <c r="J3908">
        <f>HYPERLINK("https://www.weblio.jp/content/主催", "词义详情")</f>
        <v/>
      </c>
      <c r="K3908">
        <f>HYPERLINK("https://yourei.jp/主催", "查看例句")</f>
        <v/>
      </c>
    </row>
    <row r="3909">
      <c r="A3909" t="inlineStr">
        <is>
          <t>取材</t>
        </is>
      </c>
      <c r="B3909" t="inlineStr">
        <is>
          <t>成功</t>
        </is>
      </c>
      <c r="C3909" t="inlineStr">
        <is>
          <t>読み方：しゅざい
［名］(スル)芸術作品や報道記事の題材・材料を、ある物事や事件などから取り集めること。「神話に—した作品」「師走の街を—する」</t>
        </is>
      </c>
      <c r="D3909" t="inlineStr">
        <is>
          <t>取材旅行；取材活動；取材対象；取材先；取材協力</t>
        </is>
      </c>
      <c r="E3909" t="inlineStr">
        <is>
          <t>質問；インタビュー；ヒアリング；聞き取り；聴き取り</t>
        </is>
      </c>
      <c r="F3909" t="inlineStr">
        <is>
          <t>報道取材；密着取材；海外取材；電話取材；直接取材</t>
        </is>
      </c>
      <c r="G3909" t="inlineStr">
        <is>
          <t>取材陣；取材記者；取材拒否；取材源；取材内容</t>
        </is>
      </c>
      <c r="H3909" t="n">
        <v>29</v>
      </c>
      <c r="I3909" t="inlineStr">
        <is>
          <t>鶴瓶らの旅ロケとは別に、スタッフが旅の舞台となった町の魅力を取材。；取材部門が取材する際のカメラマンや技術スタッフは取材部の所属となる。；この頃から新聞や雑誌の取材も少しではあるが受けるようになる。；取材場所に変化があれば、いつ起きたのかを、取材元へ詳細に尋ねている。；翌日の生放送で、馬場自ら取材の内容を報告するスタイルを取っていた。；今後の九州、京都、大阪での撮影は取材を拒否する方針との表明があった。；ジャズ業界の知識を援用して音楽方面に取材した作品を複数発表している。；なお、この取材記録は同プロダクションの映画作品には使われていない。；今日にいたるまで坂井に取材したいと思ったことはないと語っている。；以降の話も見ず、十数年以上ルパンについての取材も断り続けたという。；新聞の製作は、まず記者が取材を行い記事を書くところから始まる。；当番組のキャスター陣が、進行・取材・インタビューを担当していた。；一方でベレー帽は普段は着用せず取材のときだけかぶっていたとの証言もある。；当時はまだアナウンサーが取材することが珍しい時代だった。；なお自社取材以外の国内一般ニュースは時事通信社から供給を受けている。；このため以降の撮影を取材した記事はほとんど見られない。；ゲストとしてグラビアアイドルや取材現場の記者が登場することもあった。；なお、テレビ取材用報道カメラ車は日本テレビの移動1号車の後に付く。；後に父方の祖母が韓国人であることを執筆のための取材の途上で知る。；取材時にはアイディアの説明をおこない、これが週刊朝日に掲載された。；その際に長期入院が必要となり、すべての取材と出演の仕事をセーブした。；各地方版の記事などは、全国に約1700人いる通信員が取材している。；両番組でも、『ごめんやす』シリーズと同様の取材・報告を続けていた。；この企画では、スタッフはおらず参加者の15人が取材カメラなどを担当した。；作品を執筆をするにあたり、世界各国への取材を積極的に行っている。；国会議員や秘書、中央官僚などは取材しても書けないであろうとのこと。；他人から見ればどうでもいいが気になる素朴な疑問をリポーターが取材に行く。；他に取材先の中継車で受信し、ここで一次的な番組制作を行うこともある。；一遍の遷化後ほどなくして取材・制作された経緯から、資料的価値も高い。</t>
        </is>
      </c>
      <c r="J3909">
        <f>HYPERLINK("https://www.weblio.jp/content/取材", "词义详情")</f>
        <v/>
      </c>
      <c r="K3909">
        <f>HYPERLINK("https://yourei.jp/取材", "查看例句")</f>
        <v/>
      </c>
    </row>
    <row r="3910">
      <c r="A3910" t="inlineStr">
        <is>
          <t>趣旨</t>
        </is>
      </c>
      <c r="B3910" t="inlineStr">
        <is>
          <t>成功</t>
        </is>
      </c>
      <c r="C3910" t="inlineStr">
        <is>
          <t>読み方：しゅし
１事を行うにあたっての、もとにある考えや主なねらい。趣意。「会社設立の—を述べる」
２文章や話などで、言おうとする事柄。趣意。「話の—が伝わらない」</t>
        </is>
      </c>
      <c r="D3910" t="inlineStr">
        <is>
          <t>趣旨説明；趣旨書；趣旨及び目的；趣旨弁明；趣旨又は目的</t>
        </is>
      </c>
      <c r="E3910" t="inlineStr">
        <is>
          <t>考え；気；心；意味；用</t>
        </is>
      </c>
      <c r="F3910" t="inlineStr">
        <is>
          <t>同じ趣旨；設立趣旨；立法趣旨；たいという趣旨；御趣旨</t>
        </is>
      </c>
      <c r="H3910" t="n">
        <v>29</v>
      </c>
      <c r="I3910" t="inlineStr">
        <is>
          <t>自己の学んだ技術の正確な所作・動作・趣旨を理解し確認するのが目的。；そのほかの学校もだいたいこれと同様の趣旨とねらいが掲げられている。；耳をすませばモデル地に加え駅周辺のスポットを紹介する趣旨とされた。；趣旨には、日本人自身や外国から訪問する人が旅行するプランとしている。；法の趣旨は臨床検査のセンターではなく臨床検体の検査センターである。；本番組終了後は同様の趣旨の番組として『サスケマニア』が放送された。；一部趣旨と違うものもあるが、わざと夏と関係ない曲を演奏した意図的なものである。；しばしば「日本はドイツを見習うべき」という趣旨の発言を行っていた。；知己であったマリアンヌ・フェイスフルも、同様の趣旨の証言を行った。；裴松之は、鍾繇を先にして荀攸を後にした趣旨は分からないと述べている。；以後同様の趣旨の競走が定期的に行われるようになり、現在の天皇賞へと発展した。；しかし同時に、健児の選抜という本来の趣旨は次第に忘れられていった。；ことを趣旨とした制度であるとの説が一般的である。；テンポイントの死によって趣旨が変更されて発表された作品もある。；それを超えて、宗教団体が政治的活動をすることをも排除している趣旨ではない。；このような番組趣旨から一般的なクイズ番組とは違い、トップを競わない。；晩年は教育基本法改正反対の立場から、同趣旨の集会に参加している。；インタビューでアダムスは次のような趣旨のことを答えている。；三条教憲の各条は次の通りであり、いずれも国体の趣旨に依拠している。；公開主義は公明正大に各人がその責任を明らかにするという趣旨に基づく。；つまりこれを取り去ると路線位置が変更されかねず、本法案の趣旨が変わる。；上記のような事例の存在を踏まえて、近年日本でもこの趣旨の法の制定を求める声がある。；本来は、1年で最も暑い時期に相手の健康を気遣う趣旨のものである。；その内容は参謀長は参謀をもっと指導しなければならないという趣旨である。；同連盟には趣旨に賛同する全国62自治体の議員78人も参加した。；日本においては、同趣旨の法律制定を主張している国会議員は確認されていない。；能力はマシンに乗って戦うゲームの趣旨により本編と比べて多少変更が加えられている。；「最新の東京情報を広島に住んでいる若者に教えよう」との趣旨で放送された。；番組趣旨は当初から一貫しているが、番組構成やルールは時代ごとに変えながら続けている。</t>
        </is>
      </c>
      <c r="J3910">
        <f>HYPERLINK("https://www.weblio.jp/content/趣旨", "词义详情")</f>
        <v/>
      </c>
      <c r="K3910">
        <f>HYPERLINK("https://yourei.jp/趣旨", "查看例句")</f>
        <v/>
      </c>
    </row>
    <row r="3911">
      <c r="A3911" t="inlineStr">
        <is>
          <t>種々</t>
        </is>
      </c>
      <c r="B3911" t="inlineStr">
        <is>
          <t>成功</t>
        </is>
      </c>
      <c r="C3911" t="inlineStr">
        <is>
          <t>読み方：くさぐさ
種類や品数の多いこと。さまざま。いろいろ。「—の意見」</t>
        </is>
      </c>
      <c r="D3911" t="inlineStr">
        <is>
          <t>種々雑多(4%)；種々なる(3%)；種々な事；種々な点；種々な話</t>
        </is>
      </c>
      <c r="E3911" t="inlineStr">
        <is>
          <t>様々；いろいろ；数々；多様；色々</t>
        </is>
      </c>
      <c r="F3911" t="inlineStr">
        <is>
          <t>その他種々；其他種々；大小種々；種々薬帳；種々雜多</t>
        </is>
      </c>
      <c r="G3911" t="inlineStr">
        <is>
          <t>種々相</t>
        </is>
      </c>
      <c r="H3911" t="n">
        <v>29</v>
      </c>
      <c r="I3911" t="inlineStr">
        <is>
          <t>このため、悪の源となる種々の力や悪の源であるような神は否定される。；種々の政体の国家なども存在し無かったし、妻・子供の所有も無かった。；その他、漫画・文芸を問わず種々の雑誌に多数の短編が掲載されている。；エビデンスは無いが、種々の文献では予防的に使用すべきとされている。；福音書や種々の資料からイエスの死の日時を特定するのは簡単ではない。；この方法は種々のコンパクト化を構成する上で基本的な方法論となっている。；江戸しぐさを伝えていた種々の江戸講は国家総動員法で解散させられた。；神聖ローマ皇帝はユダヤ人への徴税権を担保にして種々の取引を行った。；各写真には目的があり種々の要件を満たしたものでなければならない。；以下に示される種々のルールはほとんどのフィールドで一般的なものである。；このためアミノ酸の合成は需要が高く、種々の方法が提案されている。；こうして彼は、種々の重要な学術論文を書くことができるようになった。；このような両者の分布パターンによっても、種々の名称がつけられている。；これは楽市場での交通の自由や種々の特権を認めたものであった。；第一象限は印刷物だけでなく種々の情報資源の統合や連携に重点がある。；変異が起こる過程やそれらに伴う現象を検出するための種々の試験法がある。；アメリカ合衆国では種々の契約が書面が必要な要式契約とされている。；そして二重膜の中に種々の機能をもつ蛋白質が存在するという構造である。；状況に応じて種々の定義がなされるので注意が必要である。；戦後は著名な刑事弁護士として活躍し種々の著名事件で無罪判決を獲得した。；これは一人の人間が毎日できる仕事ではないため種々の交代勤務体制が取られている。；語源的には、種々の対象を認識するからとも、集めるからとも解釈される。；種々の活動手法が用いられるが、4ラウンド法が最もポピュラーである。；金子はまた、伊藤首相への報告書を作成して種々の機会で成果を発表した。；埋蔵量については種々の試算方式があり、それぞれに大きな開きがある。；石棺を作る部民や赤土で種々の器を作る部民を定めたという意味である。；この時代を描いた種々の中編が中編集『炎と血』におさめられている。；この漢字文書は種々 な儀式で使用されヤオ族の重要な文化資源といえる。；また果実は、かれらの選ぶに任せ、種々の鳥の肉は、かれらの好みのまま。</t>
        </is>
      </c>
      <c r="J3911">
        <f>HYPERLINK("https://www.weblio.jp/content/種々", "词义详情")</f>
        <v/>
      </c>
      <c r="K3911">
        <f>HYPERLINK("https://yourei.jp/種々", "查看例句")</f>
        <v/>
      </c>
    </row>
    <row r="3912">
      <c r="A3912" t="inlineStr">
        <is>
          <t>手術</t>
        </is>
      </c>
      <c r="B3912" t="inlineStr">
        <is>
          <t>成功</t>
        </is>
      </c>
      <c r="C3912" t="inlineStr">
        <is>
          <t>読み方：しゅじゅつ
［名］(スル)
１医者がメスなどを用い、患部を切開したり切断・摘出したりして回復させる治療法。オペ。
２物事を大幅に改めること。「旧来の機構に大—を施す」
３手段。方法。
「何卒して—を用い」〈竜渓・経国美談〉</t>
        </is>
      </c>
      <c r="D3912" t="inlineStr">
        <is>
          <t>手術後(4%)；手術台(3%)；手術用；手術痕；手術費用</t>
        </is>
      </c>
      <c r="E3912" t="inlineStr">
        <is>
          <t>操る；オペレーション；外科手術；執刀；施術</t>
        </is>
      </c>
      <c r="F3912" t="inlineStr">
        <is>
          <t>中絶手術；切除手術；心臓手術；改造手術；豊胸手術</t>
        </is>
      </c>
      <c r="G3912" t="inlineStr">
        <is>
          <t>手術中；手術着；手術衣；手術材料病理診断</t>
        </is>
      </c>
      <c r="H3912" t="n">
        <v>29</v>
      </c>
      <c r="I3912" t="inlineStr">
        <is>
          <t>その後帰国し手術をして未所属の状態のまま長いリハビリ生活を始めた。；その先には、ロボットが自分で手術をできるようになる可能性もある。；手棒に十手や鉄扇の使用法があり、それが現在の一角流十手術となった。；シーズン終了後には慢性的な痛みを抱えてきた右股関節の手術を受けた。；現在では悪評の高い手術となっており、薬物療法が一般的となっている。；摘出術が考慮されることもあるが手術をした場合も薬物療法は必要である。；韓国には患者の手術後の回復のために犬肉を差し入れる習慣がある。；はっきりした記録が残っているものでは世界最初の麻酔手術である。；手術を行わなくても大丈夫な場合もあるので、その判断が重要である。；内、手術したのは172頭であり、それ以外はすでに手術済みであった。；DDBとの見極めは受傷後数日あるいは手術時に判明するケースもある。；公の場にYOSHIKIが姿を現すのは手術後これが初めてとなった。；ロシアでは、医者が病人のしゅじゅつをするところをみせてくれました。；この手術は、それから10年程で世界で広く行なわれるようになった。；生後八ヶ月で腸重積で手術を受けるなど、幼少の頃は病気がちであった。；そのまま手術となり残りのシーズンとワールドカップを棒に振った。；女性から男性への手術 、男性から女性への手術 に分類される。；ブランドは膝の手術を受けたことで身体的に軍隊から拒否される理由はなくなったのである。；女性から男性への手術では、いくつかの段階に分けておこなわれる。；小橋が膝の手術で長期欠場に入ると三沢光晴率いるWAVEに加入した。；以下の場合は、早い時期に手術をすることが好ましいと考えられる。；この場合は外科的に手術で治療しないと勃起障害などの原因となる。；右肩痛についてはオフに手術に踏み切る覚悟もあることを明らかにした。；この後、負傷箇所であるヒザの手術のために約5か月間、欠場となった。；しかし翌年の2012年には左足が同じ病気になってしまい再び手術を受けた。；手術から十分に回復していなかったため、トライアウトにも参加できなかった。；第2部では強化改造手術によってZXとしての新たな身体を与えられる。；彼らの結婚はバーバラが手術後の合併症で亡くなるまで10年間続いた。；以降は右肘の手術とリハビリなどで、大きな活躍は見せられなくなる。</t>
        </is>
      </c>
      <c r="J3912">
        <f>HYPERLINK("https://www.weblio.jp/content/手術", "词义详情")</f>
        <v/>
      </c>
      <c r="K3912">
        <f>HYPERLINK("https://yourei.jp/手術", "查看例句")</f>
        <v/>
      </c>
    </row>
    <row r="3913">
      <c r="A3913" t="inlineStr">
        <is>
          <t>首相</t>
        </is>
      </c>
      <c r="B3913" t="inlineStr">
        <is>
          <t>成功</t>
        </is>
      </c>
      <c r="C3913" t="inlineStr">
        <is>
          <t>読み方：しゅしょう
《内閣の首席の大臣の意》内閣総理大臣の通称。</t>
        </is>
      </c>
      <c r="D3913" t="inlineStr">
        <is>
          <t>首相就任；首相職；首相在任；首相辞任；首相経験</t>
        </is>
      </c>
      <c r="E3913" t="inlineStr">
        <is>
          <t>王；大統領；国王；女王；君主</t>
        </is>
      </c>
      <c r="F3913" t="inlineStr">
        <is>
          <t>前首相；初代首相；鈴木首相；近衛首相；新首相</t>
        </is>
      </c>
      <c r="G3913" t="inlineStr">
        <is>
          <t>首相候補；首相府；首相指名；首相公選；首相秘書官</t>
        </is>
      </c>
      <c r="H3913" t="n">
        <v>29</v>
      </c>
      <c r="I3913" t="inlineStr">
        <is>
          <t>首相経験者が暗殺されるのは二・二六事件以来であり、戦後初である。；ウィリアムは議会の意思に関係なく首相を任命した最後の王になった。；大統領および副大統領が国内にいない場合は首相が大統領の代行を務める。；行政府の長である首相は議会によって選出され大統領により任命される。；一国の首相や大統領が女性である国も次第に増えてきている。；大統領は首相その他の大臣の任命・指名に関して議会の同意を得る必要がある。；首相は連邦議会議員であることを要するが、大統領はこの限りではない。；同時に大統領選挙の延期を発表したほか、内務大臣を新首相に任命した。；ユーゴスラビア時代に存在した首相は存在せず、大統領が閣議を主催した。；池田はテレビを利用して政策をアピールした最初の首相でもあった。；また、首相および国防大臣には軍に対する指揮権・監督権は存在しない。；再び首相に就任するまでの16年というブランクは歴代最長記録である。；首相お膝元のハノーファーで万国博覧会を開催するが、大失敗に終わる。；首相時代に自民党のCMにも出演していた際にもその様子が窺える。；大統領は首相を任命し、その補佐を受けて17名の大臣も任命する。；内閣に相当する閣僚評議会のメンバーは、首相が大統領に推薦し任命される。；非常に首相に権限が集中するシステムに見える。；大統領は議会の承認に基づき首相を任命する。；これ以降ロイド・ジョージ首相も戦車開発の拡大を支持した。；通常の立法機関としての機能も持ち、首相や大統領の任命権も持っている。；一方で首相職と入れ替わる形で設置された副大統領職は首相職復活後も廃止されていない。；こうした経験から、首相就任時に沖縄に関して理解を示す期待が一部でされた。；総選挙の結果を受け、多数派政党の指導者を大統領が首相に任命する。；首相に就任する際、あまりの重責に顔面蒼白になったという話もある。；この時の演説にはそれまでの首相が触れていたドイツ再統一の言葉が触れられていなかった。；イギリスのマクミラン首相は休暇先で趣味の狩猟をしてそこから離れなかった。；なぜなら、いつでも大臣の首を切れるような首相を作ると国王の権力が低下するからである。；政府は君主および首相を長とする閣僚会議によって構成されている。；執筆中だった回顧録は州首相就任直前の部分で絶筆になった。</t>
        </is>
      </c>
      <c r="J3913">
        <f>HYPERLINK("https://www.weblio.jp/content/首相", "词义详情")</f>
        <v/>
      </c>
      <c r="K3913">
        <f>HYPERLINK("https://yourei.jp/首相", "查看例句")</f>
        <v/>
      </c>
    </row>
    <row r="3914">
      <c r="A3914" t="inlineStr">
        <is>
          <t>主将</t>
        </is>
      </c>
      <c r="B3914" t="inlineStr">
        <is>
          <t>成功</t>
        </is>
      </c>
      <c r="C3914" t="inlineStr">
        <is>
          <t>読み方：しゅしょう
１全軍を指揮する大将。首将。
２競技で、チームを統率する人。キャプテン。</t>
        </is>
      </c>
      <c r="D3914" t="inlineStr">
        <is>
          <t>主将兼；主将中山忠光；主将格；主将制度；主将代理</t>
        </is>
      </c>
      <c r="E3914" t="inlineStr">
        <is>
          <t>将軍；部長；大佐；船長；大尉</t>
        </is>
      </c>
      <c r="F3914" t="inlineStr">
        <is>
          <t>部主将；チーム主将；代表主将；元主将；兼主将</t>
        </is>
      </c>
      <c r="H3914" t="n">
        <v>29</v>
      </c>
      <c r="I3914" t="inlineStr">
        <is>
          <t>また、この年はプロ4年目で初めてチームの主将を務めることになった。；主将に就任し、開幕時に日本人ロスターしか居なかったチームを支えた。；入団志願者の中でも特に技量が優れていたことから主将にも選ばれた。；各年代別代表にも招集されここでも主将を務め中心選手として活躍した。；ごうだの妹に惚れたむらさきが、彼女の気を引く為に主将を買って出た。；中学校では投手だったが、2年秋に主将となると同時に捕手に転向した。；準決勝で勝利校の監督、決勝で優勝校の監督・主将のインタビューを行う。；大会優秀選手で構成される日本高校選抜の海外遠征に参加し主将も務めた。；東西合同で開会式を行う東京では春季都大会優勝校の主将が宣誓を行う。；リッカルド・モントリーヴォに代わって主将にも就任することが決定した。；文禄の役では二番隊主将となり鍋島直茂、相良頼房などを傘下に置いた。；主将の中山は脱出するが、他はほとんどの者が戦死するか捕縛された。；カレッジエイト時代の成績は優秀で、ラグビー部では主将を務めていた。；その中で河石は才能に磨きをかけ、最上級生時には水泳部主将を務めた。；コートジボワール代表の元主将であり、最多得点記録の保持者でもある。；小学校からプロまで主将を務め、常にチーム全体や他の選手を気にかけていた。；また3年次の1993年にはU-20日本代表に選出され主将を務めた。；これに対して、ブラジルのアナ・サングラード主将は抗議の意を示した。；青山学院大学でも1年次から正捕手に定着し、4年次には主将を務めた。；監督やコーチは現在おらず、練習プランは主将の馬呉と桜井が立案する。；男相手の喧嘩では作中最強であり、大学時代は空手部主将を務めていた。；筑陽学園高等学校時代に再びサッカーを始め、3年生では主将を務める。；A代表には1999年欧州選手権より選ばれており、後に主将も務める。；大分トリニータと名前を変更してから初の主将に任命された。；したがってその間、大学ないし高校時代に主将を経験した選手が多く加入していた。；FIFA加盟各国の代表チームの監督と主将による投票で決定された。；同年開催の第33回日米大学野球選手権大会にも選出され、主将を務めた。；その後、新チーム結成時には主将となったが翌年6月に降りた。；大学ではレスリング部と美術部に在籍し、レスリング部では主将を務めた。</t>
        </is>
      </c>
      <c r="J3914">
        <f>HYPERLINK("https://www.weblio.jp/content/主将", "词义详情")</f>
        <v/>
      </c>
      <c r="K3914">
        <f>HYPERLINK("https://yourei.jp/主将", "查看例句")</f>
        <v/>
      </c>
    </row>
    <row r="3915">
      <c r="A3915" t="inlineStr">
        <is>
          <t>受賞</t>
        </is>
      </c>
      <c r="B3915" t="inlineStr">
        <is>
          <t>成功</t>
        </is>
      </c>
      <c r="C3915" t="inlineStr">
        <is>
          <t>読み方：じゅしょう
［名］(スル)賞をうけること。「アカデミー賞を—する」⇔授賞。</t>
        </is>
      </c>
      <c r="D3915" t="inlineStr">
        <is>
          <t>受賞作(3%)；受賞者；受賞歴；受賞理由；受賞対象</t>
        </is>
      </c>
      <c r="E3915" t="inlineStr">
        <is>
          <t>優勝；勝利；得る；勝つ；制覇</t>
        </is>
      </c>
      <c r="F3915" t="inlineStr">
        <is>
          <t>初受賞；グランプリ受賞；同時受賞；それぞれ受賞；受賞記念講演</t>
        </is>
      </c>
      <c r="G3915" t="inlineStr">
        <is>
          <t>受賞作品；受賞講演</t>
        </is>
      </c>
      <c r="H3915" t="n">
        <v>29</v>
      </c>
      <c r="I3915" t="inlineStr">
        <is>
          <t>その後も数々の賞を受賞し、イギリスを代表するSF作家の一人となる。；ここでペレルマンが本賞を受賞するのかどうかが一部の関心を呼んでいた。；受賞を実感したのは翌日の新聞で自分の顔を見てからと語っている。；賞の歴史上、以下の人物が受賞を辞退したことが明らかになっている。；みたびブッカー賞を受賞するかと話題になったが実現はしなかった。；SFファンが選ぶ年間ベスト賞である星雲賞を星は一度も受賞していない。；ブランドはこの演技でプライムタイム・エミー賞助演男優賞を受賞した。；自身の監督作品の中では初の演技部門での受賞となった。；両賞を連続受賞した作家は今のところカードしかいない。；日本ファンタジーノベル大賞の受賞作を刊行するために創設された。；また世界的に関心の高い分野への受賞など社会的なメッセージともとれる例がある。；同年のカーネギー賞佳作に選出されたほか、数々の賞を受賞している。；当時、自宅に電話を引いてなかったため受賞連絡は電報で知らされた。；また、本作の受賞は日本映画産業が国際市場に進出する契機となった。；同年の文化庁メディア芸術祭アニメーション部門では優秀賞を受賞した。；過去の受賞作と同内容のものが候補となることは異例である。；その年の最優秀新人部門をはじめとする2つのグラミー賞も受賞した。；同受賞を記念して編んだ詩集『わたしは月にはいかないだろう』刊行。；日本人である湯川秀樹、朝永振一郎らがやはり物理学賞で受賞している。；プロ野球界に最も貢献した人物に贈られる正力松太郎賞も初受賞した。；漫画作品での日本人の選出は、伊藤と同時受賞した浦沢直樹が初となる。；非核三原則を打ち出したのは佐藤内閣であり、受賞はその点を評価された。；同局はこれまで多くのラジオ・テレビ番組で同賞を受賞している。；その後第81回アカデミー賞では日本映画初の外国語映画賞を受賞した。；しかしながら重要性が認められ、この論文はアカデミー大賞を受賞した。；賞を受賞することはなかったが隠し玉として出版された本。；国境なき医師団の活動は広く評価され、多くの賞を受賞している。；以下の表は、黒澤の主な映画賞の受賞とノミネートのリストである。；死去の際は受賞しなかったことが、話題の一つとなった。</t>
        </is>
      </c>
      <c r="J3915">
        <f>HYPERLINK("https://www.weblio.jp/content/受賞", "词义详情")</f>
        <v/>
      </c>
      <c r="K3915">
        <f>HYPERLINK("https://yourei.jp/受賞", "查看例句")</f>
        <v/>
      </c>
    </row>
    <row r="3916">
      <c r="A3916" t="inlineStr">
        <is>
          <t>主食</t>
        </is>
      </c>
      <c r="B3916" t="inlineStr">
        <is>
          <t>成功</t>
        </is>
      </c>
      <c r="C3916" t="inlineStr">
        <is>
          <t>読み方：しゅしょく
日常の食事で、主となる食べ物。米飯・パンなど。⇔副食。</t>
        </is>
      </c>
      <c r="D3916" t="inlineStr">
        <is>
          <t>主食用(2%)；主食作物；主食物；主食材；主食とする動物</t>
        </is>
      </c>
      <c r="F3916" t="inlineStr">
        <is>
          <t>主食穀物；主食として広く；主食として食べられる</t>
        </is>
      </c>
      <c r="H3916" t="n">
        <v>29</v>
      </c>
      <c r="I3916" t="inlineStr">
        <is>
          <t>主食が米飯からパンなどへ変わりつつあることから消費が低迷している。；恐らくディプロトドンはこれらの植物を主食にしていたものと見られる。；伝統的な食文化の枠を逸脱した主食に対する人間の適応能力を調査する。；肉の料理がいろいろあっても、主食がたべられないほどには口にされない。；自分の仕事の問題や主食問題や生活問題などが妙に気にかかって心細くなる。；北は水が少なく、小麦などが主食となるが、南では水稲がメインとなる。；これは強化費みたいなものでしたが、ぼくにとってはそれが主食費ですね。；アフリカ東部で主食とされるウガリは、地域ごとに食べ方の違いがある。；フランスの主食はバゲットであり、これはフランスの象徴にもなっている。；それは主食が牛のミルクと残飯だけであることが原因であるといわれている。；すると、彼女の死体からは様々な種類の芋が発生し、人々の主食となった。；またナマケモノがこの植物の葉や芽を主食としているのもよく知られている。；どちらかというと味はスープに近く、主食のツァンパを練るのにも使う。；彼はいつも、飲んだあとに何かしら主食となるものを食べるのが習慣だった。；一〇〇パーセント以上の者には三品も四品もの副食がつき主食も十分ある。；主食米の配給量が一日二合三勺になるのは翌十六年四月からである。；夏になったが、畑は主食の方に取られて、今年は水瓜が少ないとのうわさ。；現在発見されているクモの中で唯一植物を主食とする珍しい習性を持っている。；エールは、中世に主食であるパンと一緒に飲む重要な飲み物であった。；インドの哲学を熱愛したわたしが米を主食にするのはふさわしいことであった。；一人一年に主食で七〇キロ食べると考えても、一億人で七〇〇万トン必要なんです。；それわ、アイヌに魚お主食とした時代のあったことお、物語るものである。；穀物の粉らしいものを荷袋にひとつ持っていて、あれが主食の全てだった。；コメはアジアの主食であってあんまり国際市場には出てこない。；エチオピアにはパルショータと呼ばれる醸造酒を主食とする人々がいる。；地域によって主食となる穀物の種類が異なるのが特徴となっている。；もともとはノルウェーの羊飼いや農民が主食としていたパンである。；東南アジアではイネの導入以前に主食の一端を占めていたと考えられている。；そういうことを考えずに、食糧を、とくに主食を、買っていいのだろうか。</t>
        </is>
      </c>
      <c r="J3916">
        <f>HYPERLINK("https://www.weblio.jp/content/主食", "词义详情")</f>
        <v/>
      </c>
      <c r="K3916">
        <f>HYPERLINK("https://yourei.jp/主食", "查看例句")</f>
        <v/>
      </c>
    </row>
    <row r="3917">
      <c r="A3917" t="inlineStr">
        <is>
          <t>主人</t>
        </is>
      </c>
      <c r="B3917" t="inlineStr">
        <is>
          <t>成功</t>
        </is>
      </c>
      <c r="C3917" t="inlineStr">
        <is>
          <t>読み方：しゅじん
１家の長。一家のぬし。また、店のぬし。あるじ。「隣家の—」「老舗(しにせ)の—」
２自分の仕える人。雇い主など。「—の不興を買う」
３妻が他人に対して夫をさしていう語。「—は出張しております」
４客を迎えてもてなす立場の人。「—役をつとめる」</t>
        </is>
      </c>
      <c r="D3917" t="inlineStr">
        <is>
          <t>主人夫婦；主人さま；主人役；主人側；主人家族</t>
        </is>
      </c>
      <c r="E3917" t="inlineStr">
        <is>
          <t>主；君；先生；夫；部長</t>
        </is>
      </c>
      <c r="F3917" t="inlineStr">
        <is>
          <t>女主人；若主人；老主人；新しい主人；若い主人</t>
        </is>
      </c>
      <c r="G3917" t="inlineStr">
        <is>
          <t>主人と奴隷；主人公キャラ；主人公は僕だった；主人は冷たい土の中に；主人在宅ストレス症候群</t>
        </is>
      </c>
      <c r="H3917" t="n">
        <v>29</v>
      </c>
      <c r="I3917" t="inlineStr">
        <is>
          <t>または初めから魔法が主人と相性のいい存在を選んでいるとも言われる。；多くの解放奴隷は解放後もかつての主人やその一家と関係を持ち続けた。；しかし、宿屋の主人がなかなか食事を運んでこないので腹を立てている。；そして主人は二人の関係を知っておきながら、知らないようによそおう。；社交界の女性主人には、女優のほか実体以上の評判を備えた女性もいた。；とうふ屋の主人は長秋の熱心さに感じてその代価を受けなかつたと言う。；ただし既に主人がいる場合、鉢に触れられても主人の移動はしない模様。；蕎麦屋の主人は何か作業をしてこちらに背を向けており、顔はわからない。；主人が練習に疲れて家に帰って来て、もう音は聞きたくないという。；しかし3年待っても5年待っても主人が旅から帰ってくることは無かった。；こうして男は屋敷の主人となり、裕福な暮らしを手に入れることができた。；死後のペットがその主人を待つ世界観を持っている宗教は存在していない。；しかし奇妙なことに、友人の飼い犬はその場で主人を待ち続けていた。；その姿に驚き、恐れを抱いた怪物は、主人の部屋を飛び出してしまう。；一方で、老年まで勤め上げた奴隷を奴隷身分から解放する主人もいた。；奴隷は、主人が住むトンコナンの周りに建てられる粗末な小屋に住んだ。；そして任を去ってから幾年も経たずにその像を壊し、その主人を替える。；私が主人に野球のことで口を出したのはその時が初めてです。；母に聞かれて自分が主人を殺して追われていることを伝えた。；作った主人の命令だけを忠実に実行する召し使いかロボットのような存在。；ところがある日、ご主人は救急車で運ばれ病院に担ぎ込まれてしまった。；奴隷が、彼らの主人の下に戻りたがっているという内容の歌は豊富にあった。；その頃までは便利なように主人の姓でジャック・デュクロと呼ばれていた。；主人が庭に出ると、年老いた猫が頭に赤い布をかぶって立っていた。；いささか遅れて到着してしまうものの、主人の登場にはどうやら間に合う。；優勝当時の写真があったら、そこから主人の顔を消してください。；ストロングが怪我から回復した後、ライルは彼を他の主人へ売り払った。；そんなある日、ご主人が旅行に出かけてしまい、トムは大変困り果てた。；主人がふと見ると、小さな小箱が部屋に置かれてあるのに気づいた。</t>
        </is>
      </c>
      <c r="J3917">
        <f>HYPERLINK("https://www.weblio.jp/content/主人", "词义详情")</f>
        <v/>
      </c>
      <c r="K3917">
        <f>HYPERLINK("https://yourei.jp/主人", "查看例句")</f>
        <v/>
      </c>
    </row>
    <row r="3918">
      <c r="A3918" t="inlineStr">
        <is>
          <t>受信</t>
        </is>
      </c>
      <c r="B3918" t="inlineStr">
        <is>
          <t>成功</t>
        </is>
      </c>
      <c r="C3918" t="inlineStr">
        <is>
          <t>読み方：じゅしん
［名］(スル)
１電信・電波などを受けること。「衛星放送を—する」「メールを—する」「—料」⇔送信／発信。
２電報または郵便物を受け取ること。「速達を—する」⇔発信。</t>
        </is>
      </c>
      <c r="D3918" t="inlineStr">
        <is>
          <t>受信する(13%)；受信できる(6%)；受信側(5%)；受信機(4%)；受信者(4%)</t>
        </is>
      </c>
      <c r="E3918" t="inlineStr">
        <is>
          <t>受付；捕捉；傍受；拝受；受令</t>
        </is>
      </c>
      <c r="F3918" t="inlineStr">
        <is>
          <t>受信信号；受信アンテナ；受信設備；受信局；受信部</t>
        </is>
      </c>
      <c r="G3918" t="inlineStr">
        <is>
          <t>受信料；受信障害；受信契約；受信報告書；受信料制度</t>
        </is>
      </c>
      <c r="H3918" t="n">
        <v>29</v>
      </c>
      <c r="I3918" t="inlineStr">
        <is>
          <t>その間の様々な位置に受信装置をおいて、振幅や波動の方向を観測した。；受信側ではなく送信側への対策として、以下のようなものが考えられる。；終了した側はもう一方が終了するまで受信可能の状態を継続する。；様々な種類のメッセージを受信する際の構文解析などでよく使われる。；そのため、テレビやラジオの受信環境は必ずしも安定しているとは言えない。；放送区域内だからといって必ずしも全ての局が安定して受信できる訳ではない。；ニューファンドランドでの受信は日中も可能だったと主張していた。；GMでは再生時に受信すべきいくつかのコントローラを規定している。；無線交信の開始時、相手局に受信状態を大雑把に報告する際に使われる。；番組の取材も受信可能であれば調布市や狛江市以外でも行われている。；インターネットラジオ受信に対応したオーディオ機器も一部に存在した。；日本以外では最も初期のビジネスモデルは放送受信機の販売だった。；他に取材先の中継車で受信し、ここで一次的な番組制作を行うこともある。；また、ラジオの受信が可能で、屋根上にはそのアンテナが設けられている。；この場合GPS信号を受信できない状態も、ある程度の位置は分かる。；カナダに類似の法律はないが、概ね米国と同じ設定で受信している。；その逆の処理を多重分離と呼び、受信側で本来の伝送路群を展開する。；また遠方で受信できた場合に近距離であれば必ず受信できるとも限らない。；短波放送に至ってはアメリカ合衆国や日本のものさえ受信可能のケースがあった。；裏番組とは、ある放送局の番組と同じ時間帯に同じ地域で受信できる他局の番組。；ニュースなどのデータ更新は主要駅に設置されているデータ転送装置から受信する。；通信方向を切り替えて使用するもので、送信・受信を同時にできないもの。；ただし両者は電波の送信場所が異なるため、受信可能な区域も当然異なる。；いずれも、受信部・バッテリーが収まった箱をポケットに入れていた。；もう一つは内蔵された小型無線受信機に接続する通信センサーである。；モノラル受信にすればほんの少しは改善されるが、すこし軽減される程度。；特にFNN・TXN系列の番組が通常では受信出来ないことが多い。；プレミアムサービスなどでの直接受信への移行などが求められる。；無線遠隔測定を行うためには、観測地に を置き、受信側に を設置する。</t>
        </is>
      </c>
      <c r="J3918">
        <f>HYPERLINK("https://www.weblio.jp/content/受信", "词义详情")</f>
        <v/>
      </c>
      <c r="K3918">
        <f>HYPERLINK("https://yourei.jp/受信", "查看例句")</f>
        <v/>
      </c>
    </row>
    <row r="3919">
      <c r="A3919" t="inlineStr">
        <is>
          <t>受診</t>
        </is>
      </c>
      <c r="B3919" t="inlineStr">
        <is>
          <t>成功</t>
        </is>
      </c>
      <c r="C3919" t="inlineStr">
        <is>
          <t>読み方：じゅしん
［名］(スル)医師の診察を受けること。「診療所で—する」</t>
        </is>
      </c>
      <c r="D3919" t="inlineStr">
        <is>
          <t>受診すること(6%)；受診できる；受診率；受診する場合；受診時</t>
        </is>
      </c>
      <c r="F3919" t="inlineStr">
        <is>
          <t>病院受診；医療機関受診；未受診；健康診断受診；専門医受診</t>
        </is>
      </c>
      <c r="H3919" t="n">
        <v>29</v>
      </c>
      <c r="I3919" t="inlineStr">
        <is>
          <t>薬の使用で入院は減少していたが、救急科の再受診は寧ろ増加していた。；もちろん、これまでに産婦人科を受診した経験がなかったわけではない。；受診が終わると食堂で食事をし、二人は札幌神社の宵宮祭の街を歩いた。；彼女は急用ができたからと受診をキャンセルして、家に帰ってしまった。；受診資格を、この地域の住民と制限したのはそのためもあると聞いています。；したがって、かかる治療を受けるのなら健康保険を使って受診できない。；また、健康診断で脱衣が必要な検査項目を受診時に着用することもある。；過剰医療をまねく理由の一つに、医師自身への受診紹介があるとされる。；ホールの自動受付機前には、受診登録のため既に長い列が出来ている。；特に手術給付金など、加入者が受診を選択できる保障でこの傾向が強い。；ヒ素中毒の疑いがあるときは、直ちに病院を受診することが大切である。；彼の家は、札幌に受診に行くことぐらい、経済的に苦痛はないであろう。；どうやら子宮癌らしいというので、札幌の病院に受診に出かけて行った。；痛みが続く時や痛みとともに吐き気などが続く場合は病院を受診すること。；家庭にて治療をした場合も髄膜炎、脳炎の否定のために受診が望まれる。；女性の受診率が高いため診断数も多いが、罹患率には男女差はないという。；妻は夫を、精神科医に受診させる必要があるのではないかと思った。；そう、性病科を受診する際に、病院の前を行きつ戻りつしたあの時だ。；そして彼は、私のいる病院に電話で受診を求めてきたのだった。；また甲状腺機能異常の症状が出現したときには主治医を受診する必要がある。；そして立川が出した結論が、アメリカでの足病専門医の受診であった。；Backgroundは、患者の受診理由や状況を判断する場所でもある。；痙攣を新規に発症した場合には、医療機関を受診することが重要である。；これにより大阪では未受診妊娠対策医療機関を中心に実施されている。；眼圧には日内変動があり病院受診時の眼圧が代表的な眼圧とは限らない。；減額は受診時の自己負担が減るため医療従事者以外の国民理解を得やすい。；典型的には3分ほどで覚醒するので病院を受診した時点では覚醒している。；心臓ドッグを受診する企画に参加した際、心臓弁膜症であることが判明した。；ワクチンの種類や病院受診の有無、など様々なクロス集計も実施された。</t>
        </is>
      </c>
      <c r="J3919">
        <f>HYPERLINK("https://www.weblio.jp/content/受診", "词义详情")</f>
        <v/>
      </c>
      <c r="K3919">
        <f>HYPERLINK("https://yourei.jp/受診", "查看例句")</f>
        <v/>
      </c>
    </row>
    <row r="3920">
      <c r="A3920" t="inlineStr">
        <is>
          <t>主人公</t>
        </is>
      </c>
      <c r="B3920" t="inlineStr">
        <is>
          <t>成功</t>
        </is>
      </c>
      <c r="C3920" t="inlineStr">
        <is>
          <t>読み方：しゅじんこう
１事件や小説・劇などの中心人物。ヒーローまたはヒロイン。「悲劇の—」
２「主人1」の敬称。
「どこか山国の人にも近い感じのする—が…迎えてくれる」〈藤村・夜明け前〉</t>
        </is>
      </c>
      <c r="D3920" t="inlineStr">
        <is>
          <t>主人公たち(3%)；主人公達；主人公以外；主人公役；主人公格</t>
        </is>
      </c>
      <c r="E3920" t="inlineStr">
        <is>
          <t>主役；ヒーロー；ヒーロ</t>
        </is>
      </c>
      <c r="F3920" t="inlineStr">
        <is>
          <t>男性主人公；わが主人公；副主人公；扮する主人公；準主人公</t>
        </is>
      </c>
      <c r="G3920" t="inlineStr">
        <is>
          <t>主人公は僕だった</t>
        </is>
      </c>
      <c r="H3920" t="n">
        <v>29</v>
      </c>
      <c r="I3920" t="inlineStr">
        <is>
          <t>ブロックが主人公の頭上で消えずに落ちてくると押し潰されてミスになる。；この作品は破壊工作員の疑いをかけられた青年が主人公の物語である。；当初は漫画の主人公の名前だったが、後にペンネームもそれへと改める。；この作品から主人公の女の子にアルル・ナジャという名前が設定された。；多くは小説の進行に伴って、主人公およびその周辺の人物の成長が描かれる。；また24年組の漫画家はみな、主人公が少年である作品を手がけている。；リメイク作品が原作ということもあり、初めて新主人公が登場しない章。；水兵が主人公として選ばれていることには一定の現代性が認められる。；主に下層階級を主人公とし弱者の視点で社会を諷刺した作品を発表した。；主人公・風間真をはじめとする本作の主要キャラクターたちが所属する部隊。；主人公たちと同時に船も移動先の城や町の近くへ移動する。；当ゲームの主人公は幼い時にひびきの市に住んでいた少年である。；本編はぬいぐるみのリカちゃんがそれぞれの物語の主人公を演じている。；主人公健太役の堀川亮は本作で主演での声優デビューを果たしている。；タイトルおよび主人公の呼称の日本語訳名は「白雪姫」が一般的である。；黄帝やモーセのように主人公は、皇帝として人々のあいだへ帰ってくる。；バイクの暴走少年を主人公とした事については以下の様に述べている。；書いた小説の内容は短めで、主人公のほとんどは死んでしまう話だったという。；キャラクターの一部は、実在の有名人や映画の主人公をモデルにしている。；主人公のおばあさんは、「長谷川の性格をモデルにした」との説もある。；小松作品では純粋で正義感の強い青年が主人公を務めることが多い。；また、貧しい環境の自然児的な主人公が、微妙な摩擦を起こす話が多い。；この役は又一と同じく、主人公万俵鉄平の妻の父、いわゆる義父である。；主人公は存在しないため、基本的にレギュラー6人の中から物語は進行される。；本作品より主人公側の衣裳をスタイリストが担当するようになった。；香港ではユン・ピョウだけが主人公となるように編集されたバージョンが公開された。；基本的には主演といわれる俳優の役は主人公である。；主人公名がそのままタイトルになっている作品が多い。；プレイヤーは主人公となって物語を進め、女の子とエッチするのが目的となる。</t>
        </is>
      </c>
      <c r="J3920">
        <f>HYPERLINK("https://www.weblio.jp/content/主人公", "词义详情")</f>
        <v/>
      </c>
      <c r="K3920">
        <f>HYPERLINK("https://yourei.jp/主人公", "查看例句")</f>
        <v/>
      </c>
    </row>
    <row r="3921">
      <c r="A3921" t="inlineStr">
        <is>
          <t>主体</t>
        </is>
      </c>
      <c r="B3921" t="inlineStr">
        <is>
          <t>成功</t>
        </is>
      </c>
      <c r="C3921" t="inlineStr">
        <is>
          <t>読み方：しゅたい
１自覚や意志に基づいて行動したり作用を他に及ぼしたりするもの。「動作の—」⇔客体。
２物事を構成するうえで中心となっているもの。「食事療法を—に種々の治療を行う」「市民—の祭典」
３《語源の(ギリシャ)hypokeimenōnは、根底にあるもの、基体の意》哲学で、他に作用などを及ぼす当のもの。認識論では主観と同義。個人的、実践的、歴史的、社会的、身体的な自我の働きが強調される場合、この主体という言葉が用いられる。→主観</t>
        </is>
      </c>
      <c r="D3921" t="inlineStr">
        <is>
          <t>主体的(2%)；主体部；主体従；主体民族；主体論</t>
        </is>
      </c>
      <c r="E3921" t="inlineStr">
        <is>
          <t>メイン；サブジェクト</t>
        </is>
      </c>
      <c r="F3921" t="inlineStr">
        <is>
          <t>運行主体；経営主体；若手主体；設置主体；建設主体</t>
        </is>
      </c>
      <c r="G3921" t="inlineStr">
        <is>
          <t>主体的；主体思想；主体と客体；主体思想塔；主体思想派</t>
        </is>
      </c>
      <c r="H3921" t="n">
        <v>29</v>
      </c>
      <c r="I3921" t="inlineStr">
        <is>
          <t>各プロジェクトはリーダーを主体としてプロジェクトが構成されていた。；その主体は企業であり、これが物財やサービスを生産し流通させている。；あくまで文明はさまざまな行為主体の政治行動を方向付けるものである。；この頃から国や自治体など行政が主体となった組織的な研究が活発化した。；翻案作品の方が有名なケースでも、原作を記事の主体として執筆します。；話題中の動作や状態の主体が話者よりも上位である場合に使われる。；元々は、清朝末期に李鴻章が結成した地方軍・淮軍が主体となっている。；学生主体の運営であることに原因があると言える場合が多い。；また、区が主体となる連続立体交差事業はこれが初めての事例となる。；新たな市場となったイギリスはオランダのような取引相手の主体となることは無かった。；こうした学説では古代とは奴隷が生産の主体を担った発展段階と定義される。；当時は千葉県立八千代高等学校の生徒の利用が主体だったとされる。；また、国公立・私立などの設置主体の別によって区別されることもある。；西武でも黄色を主体とした塗装を採用していたが、これは偶然の一致である。；中心部ではフランス語が主体であるものの、英語も幅広く多く使われている。；いわゆるYouTuber活動を主体に、ほぼ毎日更新を行っている。；この状況を解消すべく、所沢市が主体で単独立体交差事業を実施している。；学区はあくまでそれぞれ設置主体である市の児童を対象にしている。；一般の旅客輸送はトロトロや大型の都市間バスなどが主体となっている。；市警察は市が設置する警察であり、管轄は設置主体である市の全域となる。；弦楽器が主体となるが、トロンボーンによる特徴のある主題も聞かれる。；路線バスの車両は、東部は三菱ふそう車が、西部は日野車が主体である。；新幹線鉄道では、地上中継信号機と称し、主体の地上信号機を中継している。；当初は畳割りであったが、江戸時代になると柱割りが主体となった。；炭酸塩粒子を主体とするものは炭酸塩岩に分類され、砂岩には含めない。；この場合はアメリカとは異なり、当初から国家が主体となって結成される例がほとんどである。；しかし、この病気の被害者を主体に見れば、話は大きく食い違うことになる。；軍事技術の研究を主体とした東京帝国大学第二工学部の開設に合わせて開業。；現代での治療の主体は副腎皮質ステロイドを中心とする免疫抑制剤である。</t>
        </is>
      </c>
      <c r="J3921">
        <f>HYPERLINK("https://www.weblio.jp/content/主体", "词义详情")</f>
        <v/>
      </c>
      <c r="K3921">
        <f>HYPERLINK("https://yourei.jp/主体", "查看例句")</f>
        <v/>
      </c>
    </row>
    <row r="3922">
      <c r="A3922" t="inlineStr">
        <is>
          <t>主題</t>
        </is>
      </c>
      <c r="B3922" t="inlineStr">
        <is>
          <t>成功</t>
        </is>
      </c>
      <c r="C3922" t="inlineStr">
        <is>
          <t>読み方：しゅだい
１中心となる題目・問題。
２芸術作品で、作者の主張の中心となる思想内容。テーマ。
３楽曲を特徴づけ、展開させる核となる楽想。テーマ。</t>
        </is>
      </c>
      <c r="D3922" t="inlineStr">
        <is>
          <t>主題部；主題別；主題提示；主題歌集；主題群</t>
        </is>
      </c>
      <c r="E3922" t="inlineStr">
        <is>
          <t>曲；楽曲；調べ；テーマ；話題</t>
        </is>
      </c>
      <c r="F3922" t="inlineStr">
        <is>
          <t>同じ主題；第二主題；ロンド主題；第一主題；副主題</t>
        </is>
      </c>
      <c r="G3922" t="inlineStr">
        <is>
          <t>主題曲；主題歌賞；主題と変奏；主題図；主題化</t>
        </is>
      </c>
      <c r="H3922" t="n">
        <v>29</v>
      </c>
      <c r="I3922" t="inlineStr">
        <is>
          <t>ただし、のちの著書には星占いを主題とする複数の著書が含まれている。；例えば歴史的、思想的な記述が必要な主題では特にそうなるでしょう。；作品の主題によっては異類婚姻譚と一部共通する性質を持つこともある。；彼は後になってそれをいくつかの主題で構成された交響曲に比較してみせた。；とは、位相空間上の性質がZFCと独立かどうかを主題する分野である。；また、第一主題と第二主題の間に動機的関連を持たせるものも多い。；主題として風景を扱うことは明らかに非古典的で、ありえないことだった。；第4主題を経て力を増していき、第1主題に基づいて大きな頂点を作る。；これは単に呼び方の問題だけではなく、その主題の性格も表している。；鉄道は、マネや印象派の画家が追求した近代性を象徴する主題であった。；しかし、学術的な扱いでは、主題のデータは単なる情報の一群とされる。；一つの主題が全ての楽章に登場し作品全体に統一感を与えている。；金管が第1主題の動機を繰り返して再び激しくなるところから展開部。；詳細を知る上で助けになるであろうダルフール紛争を主題とした作品を挙げる。；第1主題がすべてを圧するかのように出ると、再現部に入ったことになる。；スタイルや形態における実験が主題における新しい自由さに加わってきた。；序奏部のあとは、暗く悲劇的な第1主題が弦で提示され提示部が始まる。；またボルヘスの作品では架空の書物や作家がしばしば主題に設定されている。；主要主題は再現するたびにオーケストレーションが変えられていく。；番組は、基本的に月曜日から金曜日までの5回の放送で同じ主題を扱う。；神話主題の作品は当時のスペインでは非常に稀なものであった。；最も重要なのは、エビングハウス自身が研究の唯一の主題だったことである。；第2変奏では右手は16分音符の音型となり、その中に主題が隠される。；これらは主題ごとに編纂されて全11巻の書籍として出版されている。；黒い星印は、この画像の原典たる論文が主題とするの化石産出地を示す。；主題でもある女装は、化粧品や服装などかなり広い範囲をカバーしている。；恋愛小説は、男女間もしくは同性間での恋愛を主題とした小説のこと。；すなわち、パガニーニと同じ主題を使って別の変奏を試みているのである。；金管の警告的な響きで展開部となり、第1主題をフガート的に展開する。</t>
        </is>
      </c>
      <c r="J3922">
        <f>HYPERLINK("https://www.weblio.jp/content/主題", "词义详情")</f>
        <v/>
      </c>
      <c r="K3922">
        <f>HYPERLINK("https://yourei.jp/主題", "查看例句")</f>
        <v/>
      </c>
    </row>
    <row r="3923">
      <c r="A3923" t="inlineStr">
        <is>
          <t>手段</t>
        </is>
      </c>
      <c r="B3923" t="inlineStr">
        <is>
          <t>成功</t>
        </is>
      </c>
      <c r="C3923" t="inlineStr">
        <is>
          <t>読み方：しゅだん
ある事を実現させるためにとる方法。てだて。「—を講じる」「目的のためには—を選ばない」「強硬—」「生産—」
[用法]手段・方法——「患者の生命を救うための手段（方法）を考える」「相手に自分の意志を伝える有効な手段（方法）」など、目的を実現するためのやり方の意では相通じて用いられる。◇「生産の手段」というと、原料・道具・建物などをさし、それらを使って物を生産するやり方が「方法」となる。「強行手段に訴える」といえば、交渉を一方的に打ち切ったり、武力を用いたりすることで、これを「強硬方法に訴える」とは普通はいわない。◇手段は具体的な行為・方策をさし、「方法」は一つ一つの手段を総合して効果的に動かすやり方をさすといえる。◇類似の語「手だて」は、「もはやほかに手だてはない」のように、やり方の意で用いられる。</t>
        </is>
      </c>
      <c r="D3923" t="inlineStr">
        <is>
          <t>手段方法；手段ヲ講；手段ヲ尽シテ；手段ニヨリテ；手段口伝書</t>
        </is>
      </c>
      <c r="E3923" t="inlineStr">
        <is>
          <t>手；方法；法；方式；政策</t>
        </is>
      </c>
      <c r="F3923" t="inlineStr">
        <is>
          <t>あらゆる手段；どんな手段；有効な手段；非常手段；代替手段</t>
        </is>
      </c>
      <c r="G3923" t="inlineStr">
        <is>
          <t>手段的日常生活動作；手段の目的化</t>
        </is>
      </c>
      <c r="H3923" t="n">
        <v>29</v>
      </c>
      <c r="I3923" t="inlineStr">
        <is>
          <t>一応回避手段は存在するが、初心者には理解が難しいものとなっている。；人間の感覚器官による発見を防ぐための手段は、古くより行われてきた。；そのため点字だけではなく音声案内など他の情報伝達手段も重要である。；警察はどこにも存在しないし、犯罪を抑圧する手段は極めて限られている。；従って、種子が好適な場所に到達する何らかの手段がなければならない。；蒸気船や鉄道と同様自動車は遠距離を走ることのできる手段となった。；キャラクターの耐性は防具の装備や魔法などの手段で変えることもできる。；これは行政立法の一種ではあるが、国会への抑制手段とまでは言えない。；本作では移動手段が徒歩と城へ帰還する呪文やアイテム以外にも追加された。；国防は脅威から国家を守ることであるが、そのためには手段が必要である。；発祥の地であるヨーロッパでも、治療の主な手段となることはほとんどない。；イベントはプロモーションのための手段の一つとして行われることも多い。；そこに到達するためには、強力なロケットを使用する以外に手段はなかった。；これは一時的に強い力を出す時に有効な手段であるからである。；そのためバスが主要な交通手段として発達しており、運行本数が多い。；それぞれの違いはコミュニケーションの手段に何を使うかである。；アナグラムは詳細を明かさずに先に発見したことを示す手段だった。；不公正な取引方法に該当する手段が多いが、それに限定されるものではない。；コンメディア・デッラルテは観客を楽しませるために様々な手段を使った。；詩法は口承文化においてテクストのよりよい伝承を確保する手段でもある。；写真は少なくともこの意味で確かに撮影者の創作物であり、表現の手段である。；また同時に、文書の一部分を文書内の他の箇所から参照する手段を提供している。；このシステムは、潜水以外にも多くの安全対策手段として用いられている。；その場での着陸を必要としない場合、カタパルトの使用は有効な手段になる。；実際の利用には乗り継ぎの利便性や移動手段の快適性の影響も受ける。；アメリカの多くの都市と同様、ロサンゼルスの主要な移動手段は自動車である。；硬さにはさまざまな測定手段とそれに対応する値が存在する。；死体が破壊される手段は、その死者を生き返らせられるかどうかに影響を与える。；交通の手段・方法として整備された体系を交通機関または交通システムと呼ぶ。</t>
        </is>
      </c>
      <c r="J3923">
        <f>HYPERLINK("https://www.weblio.jp/content/手段", "词义详情")</f>
        <v/>
      </c>
      <c r="K3923">
        <f>HYPERLINK("https://yourei.jp/手段", "查看例句")</f>
        <v/>
      </c>
    </row>
    <row r="3924">
      <c r="A3924" t="inlineStr">
        <is>
          <t>受注</t>
        </is>
      </c>
      <c r="B3924" t="inlineStr">
        <is>
          <t>成功</t>
        </is>
      </c>
      <c r="C3924" t="inlineStr">
        <is>
          <t>読み方：じゅちゅう
［名］(スル)注文を受けること。「鉄道会社から車両を—する」⇔発注。</t>
        </is>
      </c>
      <c r="D3924" t="inlineStr">
        <is>
          <t>受注すること；受注数；受注できる；受注競争；受注限定</t>
        </is>
      </c>
      <c r="F3924" t="inlineStr">
        <is>
          <t>工事受注；共同受注；新規受注；受注量；受注実績</t>
        </is>
      </c>
      <c r="G3924" t="inlineStr">
        <is>
          <t>受注者；受注販売；受注型企画旅行；受注終了；受注製造</t>
        </is>
      </c>
      <c r="H3924" t="n">
        <v>29</v>
      </c>
      <c r="I3924" t="inlineStr">
        <is>
          <t>ただし、国内の受注は同国内の企業が強い、とは必ずしも言い切れない。；目的は、一定規模の物件業務を共同で受注を目指し設立することである。；最初の作品は実兄の住宅、これを見た兄の取引先の会社から工場を受注。；注文が入ることで工場など製作企業へ直接受注の形で制作される。；受注したクエストを遂行・達成することでご褒美が得られることがある。；そして約3ヶ月の受注期間を経て期日に受注率が達成され、販売が決定。；すると最初の受注からすぐに製粉所や醸造所の注文がいくつも相次いだ。；実際、当該記事によると本機は受注開始後早い段階で完売したとのこと。；伊藤忠商事との関係も深く、同社関連の建設工事を受注することも多い。；受注する建物の規模が大きくなるにつれ、彼の設計手法は大きく変わった。；近年ではコンビニ店内やパチンコ店内のATM管理なども受注している。；この時も各社に発注の打診を行ったが、受注したのは三菱のみであった。；中国での受注数は59機まで増えてアジアで最大の市場となった。；東急車輛製造当時に受注・製造したものについてはこちらの項を参照。；イタリア以外では、北米の鉄道事業者からの受注にも力を入れている。；官営時代に受注し建造中の鉄船もそのまま引き継がれ経営を助けた。；インターネットの普及に伴い、インターネットを利用した受注を行う業者もある。；またこの時代に、会社はイギリス海軍本部から数隻の軍艦を受注した。；そして、仕事のウェイトを同人や受注の仕事を中心にするようになる。；キャラクターのレベルが上がることで順次クエストを受注可能になる。；日本の日立製作所がシステム等を受注しており、日本跨座式を採用している。；また、本形式は雨宮製作所が鉄道省から受注した最後の形式となった。；一気に流れは竹田建設へと流れ、談合の末に福龍川ダム工事を受注する。；このように受注品事業では事業本部と事業所のマトリックス構造をなしている。；受注やクリアをすることで強力なアクションを入手することがある。；それは7月に承認されバルト造船所は魚雷艇113号の建造を受注した。；かつては一般の印刷も受注していたが、同人誌印刷の受注は少ない方であった。；受注企業のおよそ200社に約300人が天下りしていると推定されている。；なお、西側滑走路は別の業者が受注したため、ひび割れは起こっていない。</t>
        </is>
      </c>
      <c r="J3924">
        <f>HYPERLINK("https://www.weblio.jp/content/受注", "词义详情")</f>
        <v/>
      </c>
      <c r="K3924">
        <f>HYPERLINK("https://yourei.jp/受注", "查看例句")</f>
        <v/>
      </c>
    </row>
    <row r="3925">
      <c r="A3925" t="inlineStr">
        <is>
          <t>主張</t>
        </is>
      </c>
      <c r="B3925" t="inlineStr">
        <is>
          <t>成功</t>
        </is>
      </c>
      <c r="C3925" t="inlineStr">
        <is>
          <t>読み方：しゅちょう
［名］(スル)自分の意見や持論を他に認めさせようとして、強く言い張ること。また、その意見や持論。「—を通す」「自説を—する」</t>
        </is>
      </c>
      <c r="D3925" t="inlineStr">
        <is>
          <t>主張する者；主張し続け；主張する人々；主張する学者；主張する説</t>
        </is>
      </c>
      <c r="E3925" t="inlineStr">
        <is>
          <t>考え；話；言葉；思い；評価</t>
        </is>
      </c>
      <c r="F3925" t="inlineStr">
        <is>
          <t>強く主張；領有権主張；こうした主張；自己主張；権利主張</t>
        </is>
      </c>
      <c r="H3925" t="n">
        <v>29</v>
      </c>
      <c r="I3925" t="inlineStr">
        <is>
          <t>一部の古代宇宙飛行士説論者が江戸時代に起きたと主張する事件である。；また台湾は島の地位が確定するまで漁業権を認めるようにも主張している。；しかし、このシューハルトの主張はいくつかの理由から否定されている。；一方でや、といった研究者たちはこの主張に懐疑的な見解を示している。；本法が法律として制定されるまで、以下のような主張と進行が行われた。；神を生み出す神話は王が神の息子であり継承者であると主張している。；侯外廬は戦国時代に疲弊する農業共同体の農民思想の代弁だと主張した。；アルゼンチン・イギリス・チリの主張する地域には重なった部分がある。；教会のリーダーは男性であるべきと主張し、結婚は苦難を招くと説いた。；このような評議会の設立は、王国国策会議によって長年主張されてきた。；テキサスの地域を最初に領有権主張したヨーロッパの国はスペインだった。；キリストの遺骸を祭る墓があるかもしれないと主張する人たちも居る。；中華民国は戦後も自らが中国の唯一の正統な国家だと主張していた。；ブロックがこうした主張を行う背景には一定の経験がある。；変更を支持する憲法専門家の主張では、違憲性はないと判断している。；一方で、やはり文明崩壊、そして人肉食は起きたと主張する学者もいる。；一神教の最も一般的な主張の一つは世界の統一性から導かれるものである。；極端な場合、実際には統治していない場所を政治的理由から首都と主張することもある。；ドラヴィダ語族との関係を主張する説もあるが、これを認める研究者は少ない。；もし天皇を裁判に付せば、裁判の法廷で天皇はそのように主張するであろう。；また双方の主張者がすべて同一であるわけではない。；他にも彼の日ごろからの社会的主張もいくつかのエッセイにまとめられている。；しかし、この成果は認められることはなく、後に発見の主張を撤回している。；この理論はイギリスとドイツで特に盛んに主張されたが、その背景は大きく異なっている。；板倉は「新理論は旧理論の内部矛盾の検討を通して誕生する」と主張した。；フォンノイマンの平均エルゴード定理の主張は次のようなものである。；少なくとも1つの科学的研究もこうした主張を支持している。；無神論者の指摘・主張・発言には以下のようなものがある。；人性論としても伝統的な性三品説から性善説が主張されるようになっていく。</t>
        </is>
      </c>
      <c r="J3925">
        <f>HYPERLINK("https://www.weblio.jp/content/主張", "词义详情")</f>
        <v/>
      </c>
      <c r="K3925">
        <f>HYPERLINK("https://yourei.jp/主張", "查看例句")</f>
        <v/>
      </c>
    </row>
    <row r="3926">
      <c r="A3926" t="inlineStr">
        <is>
          <t>出演</t>
        </is>
      </c>
      <c r="B3926" t="inlineStr">
        <is>
          <t>成功</t>
        </is>
      </c>
      <c r="C3926" t="inlineStr">
        <is>
          <t>読み方：しゅつえん
［名］(スル)演劇・映画・テレビなどに出て演技をすること。「話題作に—する」「—者」</t>
        </is>
      </c>
      <c r="D3926" t="inlineStr">
        <is>
          <t>出演する(13%)；出演者；出演料；出演作品；出演依頼</t>
        </is>
      </c>
      <c r="E3926" t="inlineStr">
        <is>
          <t>演奏；公演；演技；上演；演じる</t>
        </is>
      </c>
      <c r="F3926" t="inlineStr">
        <is>
          <t>多数出演；映画出演；多く出演；番組出演；cm出演</t>
        </is>
      </c>
      <c r="G3926" t="inlineStr">
        <is>
          <t>出演作；出演予定；出演シーン；出演中；出演映画</t>
        </is>
      </c>
      <c r="H3926" t="n">
        <v>29</v>
      </c>
      <c r="I3926" t="inlineStr">
        <is>
          <t>また、作品の舞台となった場所出身の俳優・女優が出演することもある。；ブランドは出演した複数の舞台で不安定で反抗的なパターンを確立した。；事務所に入って最初の仕事は、企業向けビデオの顔出しでの出演である。；アニメや洋画の吹き替えなどに声だけで出演する俳優は声優と称される。；などの各所属ユニット全体での出演はそれぞれの項目を参照のこと。；この映画にはこれが唯一の映画出演となったセレーナも出演している。；勝負に関係の無いクイズ番組では平均的な知識のタレントが多く出演する。；この影響で時代劇を生業としていた俳優は現代劇に出演するようになる。；言い換えればほとんどが本名以外の別名を女優名にして出演している。；本作の登場人物は他の藤子作品、およびアニメに出演したことがある。；また、この時期のバーグマンはいくつかの舞台作品にも出演している。；いくつかの映画に出演したり、アカデミー賞のプレゼンターにも立った。；各TV局のドラマ等に出演したほか、公共広告機構のCFにも出演した。；VTRには、特に実験を必要をする場合などスタッフが出演することが多い。；明確に一定期間他局に出演しないと古巣局と取り決めを持つ場合もある。；詳細はブルース・リーが主演・出演している映画・ドラマのそれぞれの項を参照。；レースライセンスを保有していたことから、F1関連番組に多数出演した。；日本の映画俳優第一号は、この作品に出演した横山運平だと言われている。；二人はしばしばお互いのライブにゲスト出演し、共に演奏した。；ハリウッドでのバーグマンは映画だけでなく舞台にも出演していた。；退団後の再入団は認められておらず、外部の俳優が本公演に出演することもない。；出演料の高騰は新人声優の登用など、この後の業界構造に影響を与えた。；これが初めての舞台出演となり、演劇の世界に魅了されていった。；このライブには他の種類の動物も多く出演し、色々な動きを見せるライブである。；ドラマ『アテンションプリーズ』への出演を機に日本での活動を再開した。；孤児であり、出演した作品に両親や兄弟が登場するシーンはない。；このほか、文化放送では『立川談志 最後のラジオ』にも出演していた。；ファーラーは大物舞台人としては初めて映画に出演した人物だという。；団員が在団中に外部の舞台・テレビなどに出演することは少ない。</t>
        </is>
      </c>
      <c r="J3926">
        <f>HYPERLINK("https://www.weblio.jp/content/出演", "词义详情")</f>
        <v/>
      </c>
      <c r="K3926">
        <f>HYPERLINK("https://yourei.jp/出演", "查看例句")</f>
        <v/>
      </c>
    </row>
    <row r="3927">
      <c r="A3927" t="inlineStr">
        <is>
          <t>出荷</t>
        </is>
      </c>
      <c r="B3927" t="inlineStr">
        <is>
          <t>成功</t>
        </is>
      </c>
      <c r="C3927" t="inlineStr">
        <is>
          <t>読み方：しゅっか
［名］(スル)荷を積み出すこと。特に、商品を市場に出すこと。「全国各地へ—する」</t>
        </is>
      </c>
      <c r="D3927" t="inlineStr">
        <is>
          <t>出荷される(9%)；出荷する(8%)；出荷額(4%)；出荷枚数(3%)；出荷時(3%)</t>
        </is>
      </c>
      <c r="E3927" t="inlineStr">
        <is>
          <t>販売；発信；差し出し；市販；マーケティング</t>
        </is>
      </c>
      <c r="F3927" t="inlineStr">
        <is>
          <t>製造品出荷；初回出荷；工場出荷；出荷先；出荷開始</t>
        </is>
      </c>
      <c r="G3927" t="inlineStr">
        <is>
          <t>出荷台数；出荷停止</t>
        </is>
      </c>
      <c r="H3927" t="n">
        <v>29</v>
      </c>
      <c r="I3927" t="inlineStr">
        <is>
          <t>発売と同時に製品の確保と出荷調整に苦労するほど売れる状態となった。；アメリカ盤は二人の顔のみ印刷された茶色のカバーに入れて出荷された。；モーグ社側が提示する最初期の日本への出荷記録は以下の通りである。；原産地・中国では、淡水魚の中で最も多くの量が養殖・出荷されている。；そのまま出荷されたほか、4月10日製造分の脱脂粉乳に再利用された。；ただ、これは最初の価格であって、必要なのは出荷の度に安くすることだ。；以前の出荷先は県外が中心であったが近年は県内にも出荷している。；促成栽培とは、露地での栽培よりも成長・収穫・出荷を早くする栽培法。；出荷本数は前作の60万本の3倍以上となる190万本を記録している。；本州にも製品は出荷されており、スーパー等で購入することは可能である。；工場出荷時から付いているカバーで、流通時や店頭陳列時にもついている。；工場出荷後に論理回路構成を変更できるFPGAなども広く使われている。；さらに、それらは栽培技術の進歩もあって周年出荷の形へ展開した。；日本国内では、出荷時期の違いによって両方のバージョンが流通した。；また、あまり積極的に販売もされていなかったため、出荷数・現存数が少ない。；最大出荷数を記録したタイトルは『ギャラクシアン』の18万本である。；ほかに大蒜、西瓜などが中国国内では有名で、国内外に出荷されている。；このため、後期出荷版では修正され、通常のプレイでは実行できなくなっている。；夏の涼しい気候を利用し、冬や春の野菜を夏に出荷することでもある。；ただしこの場合アンモニアは回収されず、商品に含まれて出荷される。；国外向けの後期出荷版では従来のカートリッジ方式を採用している。；財政力指数が高く、製造品出荷額全国第2位の日本を代表する工業都市。；抑制栽培とは、露地での栽培よりも成長・収穫・出荷を遅くする栽培法。；面積・人口・工業出荷額で国内1位、人口世界6位の大都市へと成長した。；シリーズの累計出荷本数は2015年に1500万本以上に達している。；週報は栗東本社で編集し、印刷のみ各支社で行って全国へ出荷される。；日本で初めて、セルビデオのみで100万本を出荷した作品となった。；ハウス栽培をメインとしており、年間を通して生産・出荷されている。；両者をわかりやすく区別するため、基本的にどちらも蹄をつけたまま出荷される。</t>
        </is>
      </c>
      <c r="J3927">
        <f>HYPERLINK("https://www.weblio.jp/content/出荷", "词义详情")</f>
        <v/>
      </c>
      <c r="K3927">
        <f>HYPERLINK("https://yourei.jp/出荷", "查看例句")</f>
        <v/>
      </c>
    </row>
    <row r="3928">
      <c r="A3928" t="inlineStr">
        <is>
          <t>出願</t>
        </is>
      </c>
      <c r="B3928" t="inlineStr">
        <is>
          <t>成功</t>
        </is>
      </c>
      <c r="C3928" t="inlineStr">
        <is>
          <t>読み方：しゅつがん
［名］(スル)願書を出すこと。また、ある機関に対して、認可・許可などを願い出ること。「特許を—する」</t>
        </is>
      </c>
      <c r="D3928" t="inlineStr">
        <is>
          <t>出願人(5%)；出願時(3%)；出願者(2%)；出願日(2%)；出願書類</t>
        </is>
      </c>
      <c r="F3928" t="inlineStr">
        <is>
          <t>商標登録出願；国際出願；分割出願；県下全域から出願；出願局</t>
        </is>
      </c>
      <c r="H3928" t="n">
        <v>29</v>
      </c>
      <c r="I3928" t="inlineStr">
        <is>
          <t>米国の大学ではインターネットを通じた出願手続が一般的となっている。；そこで数箇所の地点で調査を進めた結果、戸台発電所を計画し出願した。；出願人数が一定数を超えた場合のみ入学考査前の抽選を行う学校もある。；秘密特許と合わせて運用される制度に外国出願制限が存在する場合がある。；サンノゼの住民は、他のどの都市よりも多くの米国特許を出願している。；この特許は1988年に出願されたものであり現在では消滅している。；その後印字機械について数十の特許をアメリカだけでなく海外にも出願。；なぜならそうであった場合、出願が保留されることはなかったからである。；分割された各出願の出願日は、分割前の原出願の出願日であるとみなす。；特許出願された発明が完成された時か、出願がされた時か、が問題である。；出願の条件として、多くの自治体が受験可能な年齢の上限を定めている。；なかでもGipeが出願したシリコーンゴムを用いたものが優れていた。；拒絶の理由が発見された場合には、出願人に拒絶理由通知が通知される。；出願には2年間の活動経験が求められ、5年ごとに資格更新の必要がある。；特許出願されたが、審査の請求をしなかったために権利化はされていない。；また、一定の級やスコアの取得が出願条件になっている場合もある。；要約は、国際出願日に影響を与えることなく後日補充することができる。；この出願には、当時の県令であった安田定則の意向が大きく関わっていた。；なお、後者の場合は朝鮮総連の紹介状を出願書類に同封する必要がある。；出願から約9ヶ月を経て、蘆別神社が受けた回答は次のようなものだった。；さらに、ユダヤ人入植地を適切な場所に作るための出願もなされた。；出願人数が一定数を超えた場合のみ入学考査前の抽選を行う園もある。；同時に出願者数そのものも前年よりも3500人増加している。；水谷はその個人向けの官有地貸与に出願したものと考えられている。；受験生は各大学に出願する前に自身のセンター試験での成績を知ることができない。；この際翻訳が必要な場合は出願人自身が翻訳する。；いずれの学科も学区の制限はなく、大阪府内全域から出願が可能である。；はそれを自動式に改良し、1825年と1830年に特許を出願している。；そのため、他者の出願した発明を調べて予めこれを回避する事が不可能であった。</t>
        </is>
      </c>
      <c r="J3928">
        <f>HYPERLINK("https://www.weblio.jp/content/出願", "词义详情")</f>
        <v/>
      </c>
      <c r="K3928">
        <f>HYPERLINK("https://yourei.jp/出願", "查看例句")</f>
        <v/>
      </c>
    </row>
    <row r="3929">
      <c r="A3929" t="inlineStr">
        <is>
          <t>出勤</t>
        </is>
      </c>
      <c r="B3929" t="inlineStr">
        <is>
          <t>成功</t>
        </is>
      </c>
      <c r="C3929" t="inlineStr">
        <is>
          <t>読み方：しゅっきん
［名］(スル)勤めにでること。勤務先へでかけること。「毎朝九時に—する」「休日—」⇔退勤。</t>
        </is>
      </c>
      <c r="D3929" t="inlineStr">
        <is>
          <t>出勤する(18%)；出勤前(4%)；出勤時間(3%)；出勤途中；出勤日</t>
        </is>
      </c>
      <c r="E3929" t="inlineStr">
        <is>
          <t>出所；出社；登庁</t>
        </is>
      </c>
      <c r="F3929" t="inlineStr">
        <is>
          <t>早く出勤；御出勤；毎日出勤；同伴出勤；ご出勤</t>
        </is>
      </c>
      <c r="G3929" t="inlineStr">
        <is>
          <t>出勤停止</t>
        </is>
      </c>
      <c r="H3929" t="n">
        <v>29</v>
      </c>
      <c r="I3929" t="inlineStr">
        <is>
          <t>箸を取る時には出勤するか何うか疑問だったが、もう決心がついていた。；一月一杯は店に出ていたが、二月に入ってからは一度も出勤していない。；彼は80歳を超えても週に何日かはスタンフォード大学に出勤していた。；妻女はあっても子供の世話かなにかで二、三時ごろでなくては出勤しない。；出勤者たちの出てしまったこの時間には通りには人影は稀だった。；据え置き型は主に営業所に設置され、出勤時や業務運転前に使用される。；女は松永の恋人で、同じ電車でいっしょに出勤しているのだと思った。；そのためリーは勤務先に公共交通機関を使って出勤せざるを得なくなる。；窓の外の屋根つき道路は、出勤してくる政府の職員でこみあっている。；通りは朝の出勤時間で黄包車の群れが、路いっぱいに河のように流れていた。；出勤時間の九時に大分間がありますので、そこにはまだたれも来ていません。；その日も桂三郎は大阪の方へ出勤するはずであったが、私は彼をも誘った。；またたとえば教授の出勤時刻をしらせる時計の音が何度も出て来る。；興醒めた気持になって今井田は服に着替えて出勤の支度をし始めました。；会社の方には殆んど仕事らしいものもなく、出勤時間も謂わば自由でした。；お祖父さんは軍人で、馬に乗って出勤した姿を僕は朧ろながら覚えている。；勤め人が立派なものに見えたのは、小沼さんの出勤ぶりを見てからである。；この子供芝居の第二回から中村又五郎がはじめて出勤したように記憶している。；これからも、そういう点は忍耐して必要と思われる出勤はいたします。；聴覚機関の故障を発見した翌日は出勤前に寄ったと見えて、晩に報告があった。；ところが、ある日出勤したところ、なぜか全員退職したことになっていた。；けれども明る日になったら、そうでもないような顔をして役所へ出勤した。；一定の時間だけ出勤すれば、それで仕事の能率が上ると思うのは間違いだ。；やがていつもの出勤時刻が来ても、六郎氏は会社へも顔を出さない。；父親は少しずつ出勤しているが、仕事中に娘を思い出して集中できないでいるという。；任官当時、毎朝仕事前に冷水を全身に浴び気合いを入れて出勤していた。；出勤前の星城子君来訪、幸雄さんはそれよりも早く見舞つてくれてゐる。；本指名でない場合は、ここで出勤中のソープ嬢の写真をみて選ぶこともできる。；翌日、軽い二日酔いで出勤した時、片岡は上川事件のことを忘れていた。</t>
        </is>
      </c>
      <c r="J3929">
        <f>HYPERLINK("https://www.weblio.jp/content/出勤", "词义详情")</f>
        <v/>
      </c>
      <c r="K3929">
        <f>HYPERLINK("https://yourei.jp/出勤", "查看例句")</f>
        <v/>
      </c>
    </row>
    <row r="3930">
      <c r="A3930" t="inlineStr">
        <is>
          <t>出血</t>
        </is>
      </c>
      <c r="B3930" t="inlineStr">
        <is>
          <t>成功</t>
        </is>
      </c>
      <c r="C3930" t="inlineStr">
        <is>
          <t>読み方：しゅっけつ
［名］(スル)
１血液が血管の外に流れ出ること。外出血や内出血、喀血(かっけつ)・吐血・下血・血尿などがある。「傷口から—する」「—多量」
２損害をこうむること。犠牲を払うこと。「—サービス」</t>
        </is>
      </c>
      <c r="D3930" t="inlineStr">
        <is>
          <t>出血性(2%)；出血量；出血症状；出血部位；出血リスク</t>
        </is>
      </c>
      <c r="F3930" t="inlineStr">
        <is>
          <t>大出血；性出血；再出血；ひどい出血；下出血</t>
        </is>
      </c>
      <c r="G3930" t="inlineStr">
        <is>
          <t>出血傾向；出血性ショック；出血熱；出血毒；出血死</t>
        </is>
      </c>
      <c r="H3930" t="n">
        <v>29</v>
      </c>
      <c r="I3930" t="inlineStr">
        <is>
          <t>また、出血熱の名の由来である出血症状は一部の患者にしか見られない。；大顎の力は強力で、人が挟まれた際には痛みと出血は免れないと言われる。；出血表現が伴う場合はあるものの、敵の死体は五体満足なままとなる。；肺出血を起こした馬は競走能力の低下を起こすという研究結果がある。；人間が手などを挟まれると皮膚が切断されて出血することもあるほどである。；なお、出血熱の名の由来である外部への出血は一部の患者にしか見られない。；この鞭は強力なもので、打たれた者は皮膚が裂け出血するほどである。；赤い便も見られることが多く、主に消化管・肛門からの出血が原因である。；大型個体は挟む力も強く、手などを挟まれると出血に至ることがある。；手術中に出血で患部が見にくくなった際に血を拭き取る為に使用される。；そして5回途中に負傷した箇所からの出血が止まらずドクターストップ。；だが最近になってバイパス術を行うことで再出血を予防することが証明された。；抜歯した傷口内部を掻爬して再出血させ、血餅を形成させることもある。；腫瘍は出血を伴うことが多く、腫瘍の内部に壊死巣が見られる事がある。；火吹き竹で出血を増大させることもあり、そのためにブーブーともいう。；内出血の可能性は刺鍼部位にもよるが、鍼の太さにもよるところが大きい。；頭に包帯を巻いてプレーを続けたが出血が止まらず前半で負傷交代となった。；そのはずみで転倒したため、右目の上や両膝から出血する事態に陥った。；解剖の結果、すい臓からの出血が心不全を起こしたことが死因とされた。；排卵出血は以下の理由で起こることがある生理的な現象で、特には心配ない。；外科的治療が困難な場合は再出血防止のための保存的治療を行う。；しかし腫瘍も出血も発見されず、脳の一部に若干の委縮が見られただけだった。；しかし、血小板が減少すると、生体の各部位で出血が起こるようになる。；毒は主に出血毒だが、一部の強毒種は非常に強い神経毒を持つ。；肝硬変が原因の場合、出血が止まりにくいので特に注意が必要となる。；殺精子剤ので膀胱が刺激されて出血したと考えられるケースもある。；また、一度止血しても、翌日〜一週間後に再出血を起こすことがある。；何者かが着ぐるみを着ている訳ではないようで、撃たれるとそこから出血する。；また、頻繁に出血する場合は、一度耳鼻科の診断を受けたほうがよい。</t>
        </is>
      </c>
      <c r="J3930">
        <f>HYPERLINK("https://www.weblio.jp/content/出血", "词义详情")</f>
        <v/>
      </c>
      <c r="K3930">
        <f>HYPERLINK("https://yourei.jp/出血", "查看例句")</f>
        <v/>
      </c>
    </row>
    <row r="3931">
      <c r="A3931" t="inlineStr">
        <is>
          <t>出現</t>
        </is>
      </c>
      <c r="B3931" t="inlineStr">
        <is>
          <t>成功</t>
        </is>
      </c>
      <c r="C3931" t="inlineStr">
        <is>
          <t>読み方：しゅつげん
［名］(スル)
１あらわれでること。隠れていたものや見えなかったものなどが、姿をあらわすこと。「救世主が—する」「新技術の—」
２天体が、他の天体による食(しょく)または掩蔽(えんぺい)状態から、再び見えてくること。出離。</t>
        </is>
      </c>
      <c r="D3931" t="inlineStr">
        <is>
          <t>出現する(26%)；出現頻度；出現率；出現期；出現以前</t>
        </is>
      </c>
      <c r="E3931" t="inlineStr">
        <is>
          <t>登場；出来；発生；見える；出る</t>
        </is>
      </c>
      <c r="F3931" t="inlineStr">
        <is>
          <t>再出現；御出現；次々と出現；出現パターン；出現期古墳</t>
        </is>
      </c>
      <c r="G3931" t="inlineStr">
        <is>
          <t>出現情報</t>
        </is>
      </c>
      <c r="H3931" t="n">
        <v>29</v>
      </c>
      <c r="I3931" t="inlineStr">
        <is>
          <t>この解釈から証言として知られることになる共通の信仰形態が出現した。；家屋内には、人以外にも多くの生物が出現し、様々な生活を行っている。；この人魚が出現すると嵐が起こるとされ、船乗り達には恐れられていた。；この遺跡は農耕社会出現前の食料採集民の戦争の確実な例とされている。；しかし同時にこのような形態の戦争は現実の戦争で出現しているわけではない。；総攻撃を突破した後にボスが出現するという構成を取るステージが多い。；日本で最初の土器がどのようにして出現したのかははっきり分かっていない。；吸収が早いために、症状が出現した時点では胃洗浄は効果がないとされる。；なお、1968年以降、特に分割政府の出現する期間が長くなっている。；そしてその出現に色々影響を受けた英語圏のシーンというものがあった。；さらに1970年代に入るとファッションヘルスが出現し流行していく。；観客がそれを待ち望んでいたためだけにそれを出現させることもあったという。；この早熟雄は河川での成長速度の速い個体から出現すると考えられる。；ただし の で を取るなど、同じ素数が何度も出現する場合がある。；パーキンソン病や脳血管障害では両側性に病変が出現することは少ない。；上記のようにゴシック体が正確にいつ出現したかは明らかでない。；特記がない場合は、倒してしばらくすると初期位置に卵が出現して復活する。；全てのゲームでノルマを達成することで出現する隠し要素も存在する。；は多数の互換機も出現したが、大半は知的財産権的に問題があり消滅した。；また、研究所も設置されるようになり、彼らの働く場所が出現した。；宝箱を出現させるにはフロア毎に設定された条件を満たす必要がある。；敗北した場合は、CPレベルが減少した状態で出現待ち状態になる。；しかし実際には観測される色と出現する高度にはおおまかに相関関係がある。；ベントン母型彫刻機を導入して新たに活字を供給する事例が出現した。；ウェールズ語の出現は瞬間的ではなく、明確に特定できるものではなかった。；人類出現以来、隣り合う文化文明は互いに交流し影響を及ぼしあってきた。；工業化と大規模開発工場といった生産の出現までは唯一の作業場所であった。；前時代に恐竜から分岐した鳥類では、この時代に真鳥類が出現している。；固有種が多く、また、飛べない鳥の出現なども広く見られることである。</t>
        </is>
      </c>
      <c r="J3931">
        <f>HYPERLINK("https://www.weblio.jp/content/出現", "词义详情")</f>
        <v/>
      </c>
      <c r="K3931">
        <f>HYPERLINK("https://yourei.jp/出現", "查看例句")</f>
        <v/>
      </c>
    </row>
    <row r="3932">
      <c r="A3932" t="inlineStr">
        <is>
          <t>述語</t>
        </is>
      </c>
      <c r="B3932" t="inlineStr">
        <is>
          <t>成功</t>
        </is>
      </c>
      <c r="C3932" t="inlineStr">
        <is>
          <t>読み方：じゅつご
１文の成分の一。主語について、その動作・作用・性質・状態などを叙述するもの。「鳥が鳴く」「山が高い」「彼は学生だ」の「鳴く」「高い」「学生だ」の類。
２論理学で、判断（命題）において、主語について何か主張されている概念。例えば、「犬は哺乳類である」における哺乳類。賓概念。賓辞。⇔主語。</t>
        </is>
      </c>
      <c r="D3932" t="inlineStr">
        <is>
          <t>述語論理式(2%)；述語動詞；述語記号；述語制；述語全体</t>
        </is>
      </c>
      <c r="F3932" t="inlineStr">
        <is>
          <t>一階述語；真理述語；名詞述語；動態述語；組み込み述語</t>
        </is>
      </c>
      <c r="G3932" t="inlineStr">
        <is>
          <t>述語変換意味論</t>
        </is>
      </c>
      <c r="H3932" t="n">
        <v>29</v>
      </c>
      <c r="I3932" t="inlineStr">
        <is>
          <t>また名詞化節をとる場合、述語となる節は原因・結果を表すようになる。；しかしどの述語によっても、その個人を完全に規定することはできない。；命令のブロックは制御命令を含んでおらず、述語命令を含むことができる。；主語となって述語とならないといっても、それは自証するものではない。；それを主語にして、より包括的な述語のもとに包摂することができない。；そしてそれはさらにクエリ内の述語の選択結果の見積もりに依存している。；対象となる述語論理式は冠頭標準形にした選言標準形の式で表現される。；最後が述語で終ると言ふ形とは全く異り、英語の様な形式を持つものもある。；状態述語の時制の対立を共通語と対比させながら示すと以下のようになる。；このことから真偽判定述語は算術的に定義不可能であることが導かれる。；裸の複数形は通常、述語の外側の位置に制限されるが、これには例外がある。；ここには文の大基本である主語と述語に含まれている意味への考察がなされていない。；ロシア言語学と同じく主語と述語の結びつきを語結合と見なしていない。；基本的な節構造は、それを主語と述語に二分することで理解される。；しかしながら、この式は元々の語彙 L の真理述語しか定義できない。；文の述語と同じ主語だが、異なる時間を表す点で半分詞とは異なる。；この技法は個々の述語の選択結果の見積もりについてはうまく機能する。；でのEQUALのような完全な述語は存在しないことも言える。；それゆえ主語と述語動詞の結びつきこそが文を形作るものであるとされている。；述語に動詞があるのは動詞文、名詞があるのは名詞文と呼ぶことにします。；日本語の述語全体は以下のように構成されている。；そういうことが当然可能なこととして述語は定義されていく。；何故ならば、相反する述語が同じものに同時に適用されることはできないからである。；物体を主語のみで判断することに加えて、述語も加えた上で判断することを言う。；動作や出来事がどこまで進んでいるかの違いを表す述語の形式を、アスペクトと呼ぶ。；英語など多くの言語では、形容詞を述語とする場合にも名詞文と同じ形式をとる。；存在したりしなかったりするのは、主語であって述語ではない。；のプログラム単位である述語の各節の本体に現れる質問単位である副目標数は平均5個以内と極めて少ない。；一般に、述語論理式が証明可能かどうかは決定可能でないことが知られている。</t>
        </is>
      </c>
      <c r="J3932">
        <f>HYPERLINK("https://www.weblio.jp/content/述語", "词义详情")</f>
        <v/>
      </c>
      <c r="K3932">
        <f>HYPERLINK("https://yourei.jp/述語", "查看例句")</f>
        <v/>
      </c>
    </row>
    <row r="3933">
      <c r="A3933" t="inlineStr">
        <is>
          <t>出向</t>
        </is>
      </c>
      <c r="B3933" t="inlineStr">
        <is>
          <t>成功</t>
        </is>
      </c>
      <c r="C3933" t="inlineStr">
        <is>
          <t>読み方：しゅっこう
［名］(スル)でむくこと。命令を受けて、籍をもとのところに置いたまま、他の役所や会社などで勤務につくこと。「子会社へ—する」
[補説]人事異動としての出向は、出向元の事業主と何らかの関係を保ちながら出向先の事業主との間に新たな雇用契約を結んで継続的に勤務することで、在籍型出向と移籍型出向がある。</t>
        </is>
      </c>
      <c r="D3933" t="inlineStr">
        <is>
          <t>出向者(4%)；出向社員；出向先；出向扱い；出向元</t>
        </is>
      </c>
      <c r="F3933" t="inlineStr">
        <is>
          <t>外務省出向；警察庁出向；国内史として出向；千久出向；一時出向</t>
        </is>
      </c>
      <c r="G3933" t="inlineStr">
        <is>
          <t>出向き；出向く；出向か；出向け；出向こ</t>
        </is>
      </c>
      <c r="H3933" t="n">
        <v>29</v>
      </c>
      <c r="I3933" t="inlineStr">
        <is>
          <t>両親がアメリカに出向していなかったにもかかわらず学院に入学した。；しかし下記の目的に則した出向の場合は供給事業とは判断されない。；医療政策は、旧厚生省出向がきっかけで研究に従事するようになった。；二十年前の事件が公になったことで常務の梨田は子会社へ出向となった。；士官の人数がそれだけでは足りず、国防軍から出向者を迎えたりしている。；この件は調査されたが証拠が出ず、速撒は上京留守に出向させられた。；公安調査庁からの出向者は近年、中東に赴任することが多くなっている。；警視正に昇任するにはこうした警察庁への出向経験等が条件となっている。；ただし企業や科警研、海外への長期出向や長期研修などがある場合がある。；大学職員は全員当時のダイエーから出向させ、同時に理事長に就任した。；すべての委員会では上部組織への出向を除き、委員の兼任を基本的に禁止していた。；大学在学中に映画宣伝会社に入社し、後にユナイト映画宣伝部に出向。；外務省への出向経験をもつほか国連機関の評価・改革委員も務める。；入社後は企画本部脚本課配属となったものの、すぐ助監督部へ出向となる。；調査部に長く在籍しあまたの企業を訪問したほか、出向も経験した。；また、同年は南海土建に出向という形で社会人野球でもプレーしている。；出向の形で東映動画に出入りするようになり、その後、東映に正式に所属。；駅長・助役・一部の駅係員は東武鉄道からの出向という形をとっている。；また、ソニーとの人事往来は主に技術職に多く、相互の出向が盛んである。；犯罪捜査局所属の刑事も各BOCUに出向して犯罪捜査を行っている。；東京都内のスタジオで収録していたため、辛坊は大阪からの出向で出演していた。；主要な都市ガスメーカーが会員数と取扱量が多く、出向者数も多い。；また、一時は群馬県庁に出向しており、群馬県土木部住宅課長も務めた。；同年12月に阪神電気鉄道に入社し、出向の形で大阪タイガースに入団。；その後、西部鉄道会社に数ヶ月出向勤務ののちネブザーの会社に復帰する。；その後縁起かを経て1971年より東宝映画に出向し芸能室室長となる。；この連携のため国家安全保障局の情報班長には内調出向者が当てられている。；RKB毎日放送の役員等は毎日新聞社からの出向であることがその例である。；横浜では騎兵隊から出向の身分で、フランス公使館の護衛に就いた。</t>
        </is>
      </c>
      <c r="J3933">
        <f>HYPERLINK("https://www.weblio.jp/content/出向", "词义详情")</f>
        <v/>
      </c>
      <c r="K3933">
        <f>HYPERLINK("https://yourei.jp/出向", "查看例句")</f>
        <v/>
      </c>
    </row>
    <row r="3934">
      <c r="A3934" t="inlineStr">
        <is>
          <t>出国</t>
        </is>
      </c>
      <c r="B3934" t="inlineStr">
        <is>
          <t>成功</t>
        </is>
      </c>
      <c r="C3934" t="inlineStr">
        <is>
          <t>読み方：しゅっこく
［名］(スル)国を出ること。外国へ行くこと。「ひそかに—する」「—手続き」⇔入国。
[補説]日本の入国管理制度では、本邦外の地域に赴く意図をもって日本の領域（領海・領空）から外に出ることをいう。</t>
        </is>
      </c>
      <c r="D3934" t="inlineStr">
        <is>
          <t>出国すること(3%)；出国手続き(3%)；出国後(2%)；出国時(2%)；出国許可</t>
        </is>
      </c>
      <c r="F3934" t="inlineStr">
        <is>
          <t>大量出国；出国制限；向けて出国；出国する前；超法規出国</t>
        </is>
      </c>
      <c r="G3934" t="inlineStr">
        <is>
          <t>出国禁止；出国命令；出国者；出国審査場；出国証印</t>
        </is>
      </c>
      <c r="H3934" t="n">
        <v>29</v>
      </c>
      <c r="I3934" t="inlineStr">
        <is>
          <t>当該患者はイタリアへの出国した記録があるが、帰国の記録はなかった。；同年3月24日に大阪国際空港から出国した記録が残っているとされる。；なお、資格を剥奪された選手2人は発表時点で既に日本を出国している。；書類には父親以下家族六名の名前すべてが出国対象者として載っていた。；警察はこれを認め、旅人は何事もなかったかのように夕方に出国した。；経済不況が原因で出国した若い人々が難民の大部分を占めることとなった。；ポーランドを出国する前に書いた最後のポロネーズだとされている。；革命政府に全財産を没収されたキリル一家は、出国することを許された。；フランスへの入国を拒否し、フランスからの出国も認められなくなる。；尤も、これは一度出国してビザを更新すればよかっただけのことであった。；ドイツのナチズムの台頭する中、彼は出国することを快しとしなかった。；こんな問題を起こして、その日のうちに何もなかったように出国。；同年4月25日に出国、5月18日に帰国するまでフランスに滞在した。；というのは、役人どもがずらりと並んで彼の出国を拒否したのである。；陰性になるのを待ち、再び検疫期間をとれば出国は可能だったという。；発覚して懲戒免職となったが、前後して出国し、行方不明になっていた。；私はこれから国際線に乗るのですが、どこで出国手続きをするのでしょう?；一カ月後、私は出国記者用に用意されたソ連製の特別機でサイゴンを去った。；しかし、そろそろ飽きたからと出国するにあたって、二人はこう思った。；該当国への旅行は控え、できるだけ早く出国することを勧めている。；一カ月後、私は、出国記者団用の特別機でこの住み慣れた土地を去った。；母と一緒にフランスに出国したものの、その母は後に彼女を残して単独で帰郷した。；氏真の出国には、早川殿をはじめ、それまで同行していた家族も同行した。；街の人間が全員いたのではと思えるほどの見送りを後にして、キノ達は出国した。；身元もすぐに割れて、同日に出国している私が一番に疑われてしまう。；米国を出国する際と日本に入国する際の2回、関係者全員の検査を米側に要請。；おそらく1553年に前後してフランスに出国、同地で余生を過ごした。；主犯格のAはすでに出国しており、国際手配されたが現在も逃亡中である。；キューバ国民が海外に出国する方法は大きくわけて四種類あり、 である。</t>
        </is>
      </c>
      <c r="J3934">
        <f>HYPERLINK("https://www.weblio.jp/content/出国", "词义详情")</f>
        <v/>
      </c>
      <c r="K3934">
        <f>HYPERLINK("https://yourei.jp/出国", "查看例句")</f>
        <v/>
      </c>
    </row>
    <row r="3935">
      <c r="A3935" t="inlineStr">
        <is>
          <t>出産</t>
        </is>
      </c>
      <c r="B3935" t="inlineStr">
        <is>
          <t>成功</t>
        </is>
      </c>
      <c r="C3935" t="inlineStr">
        <is>
          <t>読み方：しゅっさん
［名］(スル)
１子が生まれること。また、子を産むこと。「男子を—する」
２産物ができること。産物をつくること。産出。「—地」</t>
        </is>
      </c>
      <c r="D3935" t="inlineStr">
        <is>
          <t>出産する(9%)；出産時(3%)；出産直後；出産前；出産率</t>
        </is>
      </c>
      <c r="E3935" t="inlineStr">
        <is>
          <t>製造；制作；作；生産；製作</t>
        </is>
      </c>
      <c r="F3935" t="inlineStr">
        <is>
          <t>妊娠出産；計画出産；出産間隔；出産権；水中出産</t>
        </is>
      </c>
      <c r="G3935" t="inlineStr">
        <is>
          <t>出産予定日；出産予定；出産費；出産育児一時金；出産準備</t>
        </is>
      </c>
      <c r="H3935" t="n">
        <v>29</v>
      </c>
      <c r="I3935" t="inlineStr">
        <is>
          <t>また今年に入ってから第一子となる男児を出産していたことも報告した。；娘夫婦から母子ともに健康で無事出産したことをメールで報告を受けた。；一夫一妻制の下では、女性一人が生涯に出産出来る子供の数は限られる。；この出産は公開され、宮廷に出入りできる者なら誰でも見ることができた。；出産時に母を失うが、子供時代の名前ダニーは母親がつけたものである。；数十年後にスーザンは結婚し、リーの孫となる子供を3人出産している。；ゼウスとの間にできていた子供であるエパポスをエジプトで出産した。；秋にも出産することがあるが、春の繁殖に失敗した個体によるものが多い。；また、妊娠中の女性がカアバの中で出産したという記録も残されている。；近代までの日本では、出産は産婆を呼んで自宅で行うものであった。；全ての種は移動性で、冬は暖温帯域に移動し、そこで交尾、出産を行う。；これは、出産が可能な女性の総人口が減少していることによるものである。；日程が出産間近に予定されていたコンサートは約半年の延期となった。；子を出産し、育児を行う母親になったギャルのことをギャルママと呼ぶ。；出産サービスは無料で、生後6ヶ月までの子どもの手当ても無料である。；母親は理恵子の兄を連れて実家に帰り、そこで出産・育児をしている。；しかし、みさえの出産が近づいたのを期に禁煙し、現在は吸っていない。；この姫はのちに道三正室となって、織田信長正室である濃姫を出産した。；水谷正村に嫁した政勝の娘・小藤姫も、女子を出産した直後に死亡した。；結構お腹が大きくなるまでニュース読んでいたが、出産するため退社した。；佐吉はその半年も前に出奔し、たみが出産した時は家には居なかった。；メスは通常小さな洞窟や穴の開いた丸太などの何かに囲まれた場所で出産をする。；そのため1954年から1957年には、計画出産が公式に奨励された。；これも早川殿が未だ出産できる年齢ではなかったためとされている。；死産となることも多く、経膣出産の最中に死亡してしまうこともある。；また、出産の女神でもあったアルテミスの原像ともかなり異なっている。；現在もこれより低年齢での出産は確認されていないが、その息子は40歳で死去した。；数週の入院の後に自宅に戻る場合もあれば、出産時までそのまま入院が継続される場合もある。；産前産後休暇を取得したうえで、同年の12月中旬に第二子を出産した。</t>
        </is>
      </c>
      <c r="J3935">
        <f>HYPERLINK("https://www.weblio.jp/content/出産", "词义详情")</f>
        <v/>
      </c>
      <c r="K3935">
        <f>HYPERLINK("https://yourei.jp/出産", "查看例句")</f>
        <v/>
      </c>
    </row>
    <row r="3936">
      <c r="A3936" t="inlineStr">
        <is>
          <t>出社</t>
        </is>
      </c>
      <c r="B3936" t="inlineStr">
        <is>
          <t>成功</t>
        </is>
      </c>
      <c r="C3936" t="inlineStr">
        <is>
          <t>読み方：しゅっしゃ
［名］(スル)会社に出勤すること。「午前九時に—する」「—時間」⇔退社。</t>
        </is>
      </c>
      <c r="D3936" t="inlineStr">
        <is>
          <t>出社する(20%)；出社拒否(2%)；出社時間；出社時刻；出社日</t>
        </is>
      </c>
      <c r="E3936" t="inlineStr">
        <is>
          <t>出勤；出所；登庁</t>
        </is>
      </c>
      <c r="F3936" t="inlineStr">
        <is>
          <t>午後出社；初出社；毎日出社；頃出社；翌日出社</t>
        </is>
      </c>
      <c r="H3936" t="n">
        <v>29</v>
      </c>
      <c r="I3936" t="inlineStr">
        <is>
          <t>彼が熱を出して出社を午後にしたところ、男の声で電話があったという。；出社の途中で事故にあったのなら、もうニュースになっている筈ですよ。；会議のある月曜か火曜には必ず出社することが多かったと記憶している。；その翌日の月曜日の朝、彼が出社すると、すぐに机の上の電話が鳴った。；できるだけ若作りをして出社すると、そこには若い二人の女の子がいた。；また洒落者で知られ、着流し姿で出社することもしばしばあったという。；翌日出社すると、朝のミーティングの席で課長がきのうのことを尋ねた。；当然ファッカー山田も出社しているもんだと思ったら、誰もいなかった。；会長よりさきに出社するためには、七時に家を出なければならない。；特に最初の二、三日は早くこれがやりたくて、九時に出社したくらいである。；さっき出社してきた男以外にも、いくつかの人の気配があるのだ。；彼女はさらに、その部署の人が出社してくるたびに、僕を紹介してくれた。；俺が出社してきたのを見ると、彼はコーヒーを用意しながら視線をそむけた。；いわば、この出社は老人にとっては一種の運動のようなものであった。；だが、それに伴って彼の出社拒否がおさまったかと言えば、そうではない。；明日はもう一人面接があると耳に挟みましたけど、また私の出社前かしら?；たった一人しか出社してくる姿を見かけていないというのに。；翌日、誰もが宿酔で頭を抱えるなか、三郎くんは、元気に出社して来た。；初出社の日に応接室で後に妻となる三村千代子と初めて出会っている。；出社してみて、私は自分の甘さをいやというほど思い知らされました。；出社して、我慢できなくなったら、打ち合わせと称して外に出ればいい。；「明日より出社すべし」という速達がきて、僕はそこに一年半いました。；その回覧状には、ウィーヴァーが九時に出社すると書いてあったんですよ。；幸いなことに松村は二日間無断欠勤しただけで、この日は出社してきた。；昼ごろ出社して来た石巻浩志は、その車を見て、ちょっと顔をしかめた。；出社してすぐに廊下のいちばん奥のあの部屋に行って、またゲームの続きをやった。；それからも時々、出社のために電車を待っていると、彼女を見ることがあった。；その後は出社せずにテレビドラマの脚本を執筆するなどしていた。；美緒たちが話していると、間もなく他の編集部員たちが出社してきた。</t>
        </is>
      </c>
      <c r="J3936">
        <f>HYPERLINK("https://www.weblio.jp/content/出社", "词义详情")</f>
        <v/>
      </c>
      <c r="K3936">
        <f>HYPERLINK("https://yourei.jp/出社", "查看例句")</f>
        <v/>
      </c>
    </row>
    <row r="3937">
      <c r="A3937" t="inlineStr">
        <is>
          <t>出場</t>
        </is>
      </c>
      <c r="B3937" t="inlineStr">
        <is>
          <t>成功</t>
        </is>
      </c>
      <c r="C3937" t="inlineStr">
        <is>
          <t>読み方：しゅつじょう
［名］(スル)
１その場所に出ること。
２競技会などに参加すること。「野球大会に—する」⇔欠場。
３消防車・救急車が現場におもむくこと。出動。「—体制」
４改札口・出入り口などを通って、場内・構内から外へ出ること。</t>
        </is>
      </c>
      <c r="D3937" t="inlineStr">
        <is>
          <t>出場する(9%)；出場でき；出場権；出場経験；出場記録</t>
        </is>
      </c>
      <c r="E3937" t="inlineStr">
        <is>
          <t>出席；出仕；参列；列席；来場</t>
        </is>
      </c>
      <c r="F3937" t="inlineStr">
        <is>
          <t>先発出場；試合出場；連続出場；途中出場；一軍出場</t>
        </is>
      </c>
      <c r="G3937" t="inlineStr">
        <is>
          <t>出場権；出場者；出場停止；出場停止処分；出場枠</t>
        </is>
      </c>
      <c r="H3937" t="n">
        <v>29</v>
      </c>
      <c r="I3937" t="inlineStr">
        <is>
          <t>駅北側から直接入出場できないことは当駅の大きな課題となっている。；基本的にファン投票で選出された選手は出場を辞退することができない。；この大会の優勝はユーゴスラビアに代わって出場したデンマークだった。；サッカーに関しては高校大学ともにレギュラーで試合に出場している。；出場時には自動精算機で現金または他のカードで精算することもできた。；他のスポーツと同様、プロトーナメントなどに出場し賞金を獲得できる。；開幕直前に右手薬指を骨折したが完治しないまま開幕戦を強行出場する。；また、地元球団がある局では当該球団が出場した場合のみ放送する局もある。；最終的には122試合に出場して前年同様安定した成績を残した。；その最中にも拘らず試合に出場させたとして没収試合を4試合経験した。；両選手とも合流後すぐ試合に出場し、求められた役割を果たし結果を残していった。；JRの精算・区間変更並びにICカード入出場処理には対応していない。；ただし複数人で使用する場合、入場・出場時は集団で行動することになる。；そのため、同様に一旦出場して養老鉄道の乗車券を用意する必要があった。；また、通常時には入場券のような同一駅での入・出場はできない。；この処分に不服を感じたチームメイトは、全員で試合出場をボイコット。；小学生の時に水泳でジュニアオリンピックに出場し第8位の記録を持つ。；それと同時に、連続出場をサポートしてくれたトーリ監督に感謝の意を示した。；カカが負傷によりチームを離脱すると、再びレギュラーとして出場した。；出場が決まった選手は開催前日の指定時間までに競輪場へ入らなければならない。；前年、怪我でほとんど出場できなかったウィルソンが37本塁打と復活。；既にリーグ優勝を決めていた後の試合で先発出場し後半5分までプレーした。；このことから、全ての出場国がベストメンバーを組めるわけではない。；この時点で現役最多だった連続フルイニング出場が574試合で止まる。；第一ピリオドは各チームのキャプテンが出場しなくてはならない。；この大会での出場はこの試合のみに終わった。；また、衣笠祥雄の連続試合出場記録を記念した石碑もその中にある。；「ミス電通大コンテスト」に出場する学生は女装をした男子学生である。；一般棋戦の中には全棋士が参加するものもあるが、出場条件が限られたものがある。</t>
        </is>
      </c>
      <c r="J3937">
        <f>HYPERLINK("https://www.weblio.jp/content/出場", "词义详情")</f>
        <v/>
      </c>
      <c r="K3937">
        <f>HYPERLINK("https://yourei.jp/出場", "查看例句")</f>
        <v/>
      </c>
    </row>
    <row r="3938">
      <c r="A3938" t="inlineStr">
        <is>
          <t>出生</t>
        </is>
      </c>
      <c r="B3938" t="inlineStr">
        <is>
          <t>成功</t>
        </is>
      </c>
      <c r="C3938" t="inlineStr">
        <is>
          <t>読み方：しゅっしょう
［名］(スル)
１うまれでること。人がうまれること。しゅっせい。
２ある土地・境遇・家柄の生まれであること。「—の秘密」</t>
        </is>
      </c>
      <c r="D3938" t="inlineStr">
        <is>
          <t>出生地(17%)；出生後(4%)；出生数(3%)；出生直後；出生年</t>
        </is>
      </c>
      <c r="E3938" t="inlineStr">
        <is>
          <t>生まれ；誕生；生まれる；生れ；出産</t>
        </is>
      </c>
      <c r="F3938" t="inlineStr">
        <is>
          <t>男子出生；出生力；出生児；出ずる出生；出生届</t>
        </is>
      </c>
      <c r="G3938" t="inlineStr">
        <is>
          <t>出生率；出生名；出生届；出生証明書；出生前</t>
        </is>
      </c>
      <c r="H3938" t="n">
        <v>29</v>
      </c>
      <c r="I3938" t="inlineStr">
        <is>
          <t>出生することによって、人は権利の主体であることができる地位を得る。；こうした噂は既にレオーンの出生直後から広く流布していたようである。；一番長く住んだのは北海道札幌市であるが、出生地を出身地としている。；DNA以前の時代とあって、子どもの出生は立証されることはなかった。；「夫が子の出生を知った時」とは妻が分娩した事実を知った時を指す。；その一方で、青森県などでは予想されたほど出生数は増えず人口が減少した。；内容は両方とも同一で、出生についてはいずれにも触れられていない。；父王はすでに死去していたため、出生と同時にスペイン国王となった。；ルイス式血液型では出生後に血液型は変化するがABO式では稀である。；名前と出生地は女帝と同じで、良い教育を受けていたことも共通していた。；神戸市出生との説もあり、成人するまで母親に一度も会うことなく育った。；少年時代から出生地・パンプローナにあるCAオサスナに所属していた。；ひょっとしたらアリサの出生の秘密も知られてしまったかもしれない。；ただしそれ以外では、義持が新たな男子出生を願っていたためともいわれる。；中国大陸の僧が、仏法を学ぶため、釈迦の出生地を目指すものが現れた。；神奈川県横浜市で出生した後に、家庭の都合で広島県内やスペインに居住。；この出生から彼女は時に「小ストルーエンセ」と呼ばれることもあった。；父親はいわゆる転勤族で、中学2年生のときに出生地の岡崎市に戻った。；また、出生後の処置について、小早川隆景に相談した記録も発見された。；それ以後、少なくとも法令上は出生順により兄弟姉妹が決められている。；次女の伊都子はこのとき産まれた子で、名前は出生地のローマにちなむ。；日本の戸籍制度は、国民一人一人を出生関係により登録する制度である。；出生したのは兵庫県神戸市垂水区だが「宮崎県宮崎市出身」としている。；ただし属州で生まれた兄とは異なり、首都ローマ滞在中に出生したと考えられている。；ドイツ軍将兵には多くの出生を隠したユダヤ系がいたのではないか?；同様にアメリカでも1960年代後半から男児の出生割合が減少している。；日本国外で生まれた子供は、出生国でミドルネームを持つことがある。；アフリカでは出生登録が充分に行われず、親が子供に教育を受けさせようとする意識が低い。；人が出生したときは14日以内に本籍地の市町村に届出なければならない。</t>
        </is>
      </c>
      <c r="J3938">
        <f>HYPERLINK("https://www.weblio.jp/content/出生", "词义详情")</f>
        <v/>
      </c>
      <c r="K3938">
        <f>HYPERLINK("https://yourei.jp/出生", "查看例句")</f>
        <v/>
      </c>
    </row>
    <row r="3939">
      <c r="A3939" t="inlineStr">
        <is>
          <t>出身</t>
        </is>
      </c>
      <c r="B3939" t="inlineStr">
        <is>
          <t>成功</t>
        </is>
      </c>
      <c r="C3939" t="inlineStr">
        <is>
          <t>読み方：しゅっしん
１その土地・身分などの生まれであること。その学校・団体などから出ていること。「九州の—」「民間—の閣僚」「—校」
２官に挙げ用いられること。出世すること。
「名利を志し—を宗として」〈沙石集・一〇〉</t>
        </is>
      </c>
      <c r="D3939" t="inlineStr">
        <is>
          <t>出身の元(13%)；出身者(5%)；出身のフィギュアスケート選手；出身のプロバスケットボール選手；出身の女性フィギュアスケート</t>
        </is>
      </c>
      <c r="E3939" t="inlineStr">
        <is>
          <t>出；国；生まれ；里；故郷</t>
        </is>
      </c>
      <c r="F3939" t="inlineStr">
        <is>
          <t>アメリカ合衆国出身；神奈川県出身；ドイツ出身；イギリス出身；埼玉県出身</t>
        </is>
      </c>
      <c r="G3939" t="inlineStr">
        <is>
          <t>出身国；出身大学；出身成分；出身民族；出身種族</t>
        </is>
      </c>
      <c r="H3939" t="n">
        <v>29</v>
      </c>
      <c r="I3939" t="inlineStr">
        <is>
          <t>これは自分がベドウィン出身であることを強調するためであるとされる。；また、旧ユーゴスラビア諸国出身のサッカー監督は極めて多いと言える。；州内の郡の大半は主に北西ヨーロッパの出身者が住んでいる。；それまで学生出身力士は大成しないジンクスがあったが、それを破った。；イスタンブール出身者はだが英語ではイスタンブライト が使われている。；諮問組織メンバーの出身で最も多くを占めるのはユーロクリアである。；大学の漫画研究会出身で、初の連載でヒットという極めて稀な例であった。；キーレンは元々グアムの出身だが、同連邦へ帰化した存在の一人である。；俳優出身のレーガンにはこの双方を満たして余りあるものがあった。；募集方法が変えられ、もはや士族出身者を積極採用することはなくなった。；社会党出身の民主党議員へ政治献金を行っていたことも判明している。；ドイツ出身者は、親がドイツに駐在したイギリス軍に就いていたものである。；それもそのはずで、第5代からすべての王がエトルリア出身だったのである。；妻が九州出身なので「九州場所は地元のようなもの」とも言われた。；民間軍事会社の社員は多くは警察、軍の出身者であり、国籍も多様である。；列車名は、秋田県湯沢市小野出身とされる小野小町が由来とされている。；最高裁判所長官は裁判官枠出身の者が任命されていることが多い。；また出身の高校も現在ではアイザック・アシモフ高校という名前になっている。；この為、阿川弘之等の広高出身者に対しては尊敬の念を抱いていたらしい。；拠点局でも、名古屋は単身赴任者を含め愛知県出身者が多く在籍している。；ヤクルトの初代オーナー・松園尚巳が長崎県出身だったのが理由である。；マカオではほとんどの奴隷はアフリカ出身であり、アジア出身の奴隷も少数いたとされる。；同年生まれのアニメ監督に宮崎駿や同じ虫プロ出身のりんたろうがいる。；採用されるのは主にウィーン国立音楽大学の出身者で、先輩団員から直接指導を受けている。；母マリーはバスク人、父ジョゼフはスイス出身の発明家兼実業家だった。；ジェノヴァ出身の彼の元々の姓名はクリストーフォロ・コロンボであった。；アジア系の住民のなかでも特に日系人が多く、出身国別では第2位である。；また、卒業した者を卒業生といい、卒業した学校を母校、出身校などという。；学部学生の出身高校所在地方別入学者の人数および比率は、以下のようになっている。</t>
        </is>
      </c>
      <c r="J3939">
        <f>HYPERLINK("https://www.weblio.jp/content/出身", "词义详情")</f>
        <v/>
      </c>
      <c r="K3939">
        <f>HYPERLINK("https://yourei.jp/出身", "查看例句")</f>
        <v/>
      </c>
    </row>
    <row r="3940">
      <c r="A3940" t="inlineStr">
        <is>
          <t>出世</t>
        </is>
      </c>
      <c r="B3940" t="inlineStr">
        <is>
          <t>成功</t>
        </is>
      </c>
      <c r="C3940" t="inlineStr">
        <is>
          <t>読み方：しゅっせ
［名］(スル)
１社会的に高い身分・地位を得ること。「—して親を喜ばす」「立身—」
２この世に生まれ出ること。
「先づ老子—し、次孔子出」〈雑談集・九〉
３仏語。
㋐仏が衆生(しゅじょう)を救うためこの世に現れること。しゅっせい。
㋑俗世間を離れて仏道に入ること。また、その人。出家。
㋒比叡山で、公卿の子弟の出家したもの。
㋓禅寺の住持となること。特に、紫衣を賜り、師号を受け、あるいは勅宣を蒙って官寺の住持となること。</t>
        </is>
      </c>
      <c r="D3940" t="inlineStr">
        <is>
          <t>出世する(7%)；出世コース(3%)；出世欲；出世街道；出世できる</t>
        </is>
      </c>
      <c r="E3940" t="inlineStr">
        <is>
          <t>誕生；向上；昇進；上がる；上る</t>
        </is>
      </c>
      <c r="F3940" t="inlineStr">
        <is>
          <t>大出世；御出世；一番出世；早く出世；順調な出世</t>
        </is>
      </c>
      <c r="G3940" t="inlineStr">
        <is>
          <t>出世頭；出世間；出世魚；出世払い；出世のチャンス</t>
        </is>
      </c>
      <c r="H3940" t="n">
        <v>29</v>
      </c>
      <c r="I3940" t="inlineStr">
        <is>
          <t>絶対にそんなことはないと思う日吉だったが、彼は着実に出世していく。；彼は他の諸大臣の頭越しに出世し、1947年に燃料動力大臣に就いた。；後に出世した大名の中で彼らの助力を受けていないものは一人もいないだろう。；この時彼は35歳ほどで、スタヴィラツより上へ出世できていなかった。；僕が有名な作家になっても、僕の出世では1ペニーも目にすることはない。；ただし、この出世は宦官の魏忠賢の愛顧を受けていたためとされている。；逆に力になってあげると出世ポイントやカードを貰えることもある。；門閥外から幹部に出世するだけあってかなりの研究熱心でもあった。；加えて息子の出世を期待して身を寄せていた父親と貧困生活を強いられてしまう。；節度使が宰相への出世コースになっていたのを潰す意図があったとされる。；康熙帝時代の清を舞台に主人公、韋小宝が機転と運で出世していく作品。；周囲からは「出世街道まっしぐら」と言われ、大変期待されている存在。；再出世の力士は、以前は出世披露されていたが、現在では行われていない。；門人から幹部俳優にまで出世したが、酒癖が悪くしばしば周囲と揉めた。；またPadumuttara仏が出世した時も同じ誓願を起こしたという。；そのため相撲界では、料理がうまいやつは出世できないとも言われている。；従ってマンシュタインの軍における出世は誕生時から保証されていた。；その後も不遇だった張儀はすでに趙で出世していた蘇秦を頼って行った。；よく稽古をつけてくれた大関前の山の引退が出世を止めた一因ともいわれる。；日本の籍に入ってはいたが、姓も禹のままでもあり出世は難しかった。；将校は貴族出身者で占められ、平民出身将校には出世の見込みがなかった。；かつては営業能力の有無が社員の出世の分け目となることもあった。；その馬が、織田信長の目にとまり、出世を助けたという話から来ている。；しかし中には、武士の身分を捨てて商人として出世した者もいた。；その後もトントン拍子に出世していき、1827年には大関へ昇進した。；五位から昇殿が許され殿上人となるため、武士の出世の目安となっていた。；また、出世に興味のない者でも定年を迎えるときは主任で迎えることが多い。；実は彼女は出世し、魔法使の下でオズの国の広報官を務めていたのだ。；父コンスタンティウスの出世もまたこの歴史的な経緯の中に位置付けられる。</t>
        </is>
      </c>
      <c r="J3940">
        <f>HYPERLINK("https://www.weblio.jp/content/出世", "词义详情")</f>
        <v/>
      </c>
      <c r="K3940">
        <f>HYPERLINK("https://yourei.jp/出世", "查看例句")</f>
        <v/>
      </c>
    </row>
    <row r="3941">
      <c r="A3941" t="inlineStr">
        <is>
          <t>出席</t>
        </is>
      </c>
      <c r="B3941" t="inlineStr">
        <is>
          <t>成功</t>
        </is>
      </c>
      <c r="C3941" t="inlineStr">
        <is>
          <t>読み方：しゅっせき
［名］(スル)会合や学校の授業などに出ること。「クラス会に—する」「—簿」⇔欠席。</t>
        </is>
      </c>
      <c r="D3941" t="inlineStr">
        <is>
          <t>出席するため(3%)；出席でき；出席日数；出席番号；出席率</t>
        </is>
      </c>
      <c r="E3941" t="inlineStr">
        <is>
          <t>いる；ある；行く；参加；出場</t>
        </is>
      </c>
      <c r="F3941" t="inlineStr">
        <is>
          <t>会議出席；全員出席；御出席；多数出席；代理出席</t>
        </is>
      </c>
      <c r="G3941" t="inlineStr">
        <is>
          <t>出席簿；出席停止；出席拒否</t>
        </is>
      </c>
      <c r="H3941" t="n">
        <v>29</v>
      </c>
      <c r="I3941" t="inlineStr">
        <is>
          <t>答弁または説明のために出席を求められた際は出席しなければならない。；しかしバーティはその結婚式への出席を希望し、女王の説得にあたった。；彼は聖パトリック寺院の葬儀に出席していられないほど具合が悪かった。；彼は侵略戦争計画が示された最も重要な相談に出席していなかった。；ラウレル大統領は11月に東京で開催された大東亜会議に出席している。；しかしこの日の会議にはヒムラーとゲーリングが出席していなかった。；男子の方が女子よりも出席率が高い傾向が報告されている。；叔父は上記の結婚披露宴に出席していたエピソード等を披露した。；大学の授業にはあまり出席せず、新太陽社で編集のアルバイトをしていた。；他の作家たちは出席許可を得なかったか、自分から諦めてしまった。；なお、検察官の出席は義務ではないが出席をすることは可能である。；また、将軍は評定会議には出席せず、決定事項を閲覧するのみであった。；父フランソワは絶望で打ちひしがれたのか妻の葬儀に出席しなかった。；耕一はすぐに入会したが、体調がすぐれず結成式には出席できなかった。；それは1959年に妹の結婚式に出席して以来46年ぶりのことであった。；だが何故か同日3回行われた会議いずれもヒムラーが出席していなかった。；この際は天皇明仁に対し、出席できないことを手紙で説明し、配慮した。；外交問題評議会に関連して、ビルダーバーグ会議にも毎年出席している。；深夜過ぎに調印が行われ、スターリンも出席した乾杯が幾度も行われた。；出席率は対して良くなかったが、最終試験では「一級」の評価を得た。；この会議に出席した諸政府は赤十字団体の活動を認める条約に署名したのである。；永久欠番の式典に出席した時には杖なしで歩けず、右目は失明していた。；大統領とファーストレディが名誉賞の授賞式に出席するのが通例である。；同年10月27日に開かれた秋の園遊会に出席し、以後数回出席している。；人気を得るに従って授業に出席できなくなり、卒業はしていない。；このため公の場では女装した状態で出席させられている。；彼が出席する講義では、講師は特に正確さに注意が必要だった。；このうち4日に開催された世界平和頂上連合総会に出席しスピーチした。；最近では自治体が工夫し、出席率が上昇しているところもある。</t>
        </is>
      </c>
      <c r="J3941">
        <f>HYPERLINK("https://www.weblio.jp/content/出席", "词义详情")</f>
        <v/>
      </c>
      <c r="K3941">
        <f>HYPERLINK("https://yourei.jp/出席", "查看例句")</f>
        <v/>
      </c>
    </row>
    <row r="3942">
      <c r="A3942" t="inlineStr">
        <is>
          <t>出題</t>
        </is>
      </c>
      <c r="B3942" t="inlineStr">
        <is>
          <t>成功</t>
        </is>
      </c>
      <c r="C3942" t="inlineStr">
        <is>
          <t>読み方：しゅつだい
［名］(スル)
１問題を出すこと。「クイズ番組に—する」
２詩歌の題を出すこと。</t>
        </is>
      </c>
      <c r="D3942" t="inlineStr">
        <is>
          <t>出題される(25%)；出題する(7%)；出題範囲(4%)；出題形式；出題内容</t>
        </is>
      </c>
      <c r="E3942" t="inlineStr">
        <is>
          <t>問題；設問；設題</t>
        </is>
      </c>
      <c r="F3942" t="inlineStr">
        <is>
          <t>問題出題；クイズ出題；問程度出題；出題比率；出題対象</t>
        </is>
      </c>
      <c r="H3942" t="n">
        <v>29</v>
      </c>
      <c r="I3942" t="inlineStr">
        <is>
          <t>いずれの級も検定の内容に挙げた項目の全てが出題されるわけではない。；番組で出題者が福留功男から福澤朗に交代した直後の時期に発売された。；それを基に作成したクイズをスタジオにいるゲストに3問出題していた。；検定日の約1ヶ月前までのニュースを下記の5つの領域から出題される。；加えて、教科書に載せられた題材も出題しないことが慣習となっている。；出題時のテレビ画面もやや類似したようなフォーマットになっている。；出演者たちが体を張って撮影してきた映像からクイズを出題していた番組。；上半期最後の放送でも出題範囲を発音以外にも広げて同様の企画を行った。；出題されたテーマに合った曲や流れてきたイントロの曲を歌詞つきで歌う。；また、出題される問題の難易度も順位に応じて上がっていくこととなる。；日本でも国家試験の情報処理技術者試験の出題問題となったことがある。；基本的にはイギリス英語で出題されるが、国際的な英語が考慮されている。；番組タイトルが示す通り、音楽をテーマにしたクイズを出題していた。；かつては手書き簿記を前提とした帳簿問題や伝票問題が出題されていた。；これはフェルミ自身がシカゴ大学の学生に対して出題したとされている。；国公立中学校は、小学校課程を超えない範囲で出題しなければいけない。；大会で実際に出題された問題から厳選したものが収録されている。；また、今回は一つだけ物語の進行上、絶対に解けないナゾが出題される。；各問題には予め賞品が設定されており、出題の後に続けて紹介される。；江戸時代の文化・歴史を中心に様々なジャンルから出題される。；出題側は基本的にキャプテンのみが進行役として出演したのみだった。；毎回様々な分野のゲストが出場し、そのゲストに因んだ問題が出題された。；全員不正解の場合には、クイズを出題したゲストに10点が与えられた。；ゲストとのトークを交えながら雑学をベースとしたクイズが出題された。；なお、問題は全員が起爆装置のフタを開けてから10秒後に出題される。；また、現役を引退してからも将棋雑誌や新聞などにもよく問題を出題している。；お題がすべて、過去に出題されたのと同じものに再び挑戦するという企画。；タイトルが示す通り、普通では決して正解できない難問が出題されていた。；数学パズルの問題は短いストーリーを伴って出題されることが多い。</t>
        </is>
      </c>
      <c r="J3942">
        <f>HYPERLINK("https://www.weblio.jp/content/出題", "词义详情")</f>
        <v/>
      </c>
      <c r="K3942">
        <f>HYPERLINK("https://yourei.jp/出題", "查看例句")</f>
        <v/>
      </c>
    </row>
    <row r="3943">
      <c r="A3943" t="inlineStr">
        <is>
          <t>出張</t>
        </is>
      </c>
      <c r="B3943" t="inlineStr">
        <is>
          <t>成功</t>
        </is>
      </c>
      <c r="C3943" t="inlineStr">
        <is>
          <t>読み方：しゅっちょう
［名］(スル)会社・役所などの仕事で、他の地域・場所に臨時に派遣されること。「米国に—する」「—手当」</t>
        </is>
      </c>
      <c r="D3943" t="inlineStr">
        <is>
          <t>出張中(6%)；出張版；出張陣屋；出張校正；出張旅費</t>
        </is>
      </c>
      <c r="F3943" t="inlineStr">
        <is>
          <t>長期出張；欧州出張；欧米出張；御出張；ご出張</t>
        </is>
      </c>
      <c r="G3943" t="inlineStr">
        <is>
          <t>出張先；出張り；出張販売；出張費；出張ホスト</t>
        </is>
      </c>
      <c r="H3943" t="n">
        <v>29</v>
      </c>
      <c r="I3943" t="inlineStr">
        <is>
          <t>それは父が出張から戻ってきたときに持ってき てくれた写真だった。；また、地方への出張時は現地で用意されたと思われる車両を使用している。；ただし決定は清に出張中の副島の帰国を待ってから行うこととなった。；ある日彼女は、夫・直之が東京出張と称して浮気をしていることを知る。；遠距離通勤者や出張者もよく利用しており、周辺には巨大駐車場がある。；少女を探しに行こうとする健太郎の元へは、出張していた彼女が戻ってくる。；日本の大会社の支店長をはじめ、出張員等のほとんどが収容されていた。；晩年は実家近くに工場を設けたり、久留米絣の出張教授をしたりした。；出張から帰ってきたハリーは、カレンはじめ家族全員の出迎えを受ける。；また国家的事件の解決のために、朝鮮やインドなど海外に出張することも多い。；車で弟子の家まで出張レッスンをする姿勢が、多くの弟子に慕われていた。；ある日、父親の出張でマロウと運転手のレスターと庭師だけが家に残る。；しかし家達がそれに承諾を与えなかったため、河井の出張も中止となった。；全国各地での出張教室も行い、フィギュアスケートの普及に努めている。；農務省に務める男が、その方面に出張するついでにその農園に寄ってみた。；連合の隠し部屋提供者の要望に応じての出張奉仕をすることである。；同年には造園と観光施設研究を目的に、ヨーロッパに視察出張している。；さらに各地の音楽文化向上のための出張演奏も行っている。；幼稚園・保育園・高齢者施設などで全国へ出張コンサートを行っている。；大学の学園祭で出張ライブを行い、その模様を放送したこともある。；この工事は、オーストラリアのゴニナン社が出張工事で担当している。；ただし、地方遠征の際には出張扱いとするなど配慮はされていた。；また、教員の校務分掌に関連した会議や研修などで出張することもある。；妻が勤務していた出版社に問い合わせると、そんな出張はしていないと言う。；そうしてふと時計を見ると、出張旅行のための出発時間をとっくに過ぎている。；しかし、ベアは仕事での出張を名目にして彼女たちの旅行についていった。；父親は福島に出張中、姉も仕事でおらず、家には母親と被害者の二人きりだった。；通常は道場で行われているが出張プロレス教室も実施されている。；また、フジテレビの夏イベントや各種出張イベントで拝観が可能であった。</t>
        </is>
      </c>
      <c r="J3943">
        <f>HYPERLINK("https://www.weblio.jp/content/出張", "词义详情")</f>
        <v/>
      </c>
      <c r="K3943">
        <f>HYPERLINK("https://yourei.jp/出張", "查看例句")</f>
        <v/>
      </c>
    </row>
    <row r="3944">
      <c r="A3944" t="inlineStr">
        <is>
          <t>出店</t>
        </is>
      </c>
      <c r="B3944" t="inlineStr">
        <is>
          <t>成功</t>
        </is>
      </c>
      <c r="C3944" t="inlineStr">
        <is>
          <t>読み方：しゅってん
［名］(スル)店を出すこと。「学園祭に—する」
[補説] 「でみせ」と読めば別語。</t>
        </is>
      </c>
      <c r="D3944" t="inlineStr">
        <is>
          <t>出店する(10%)；出店テナント；出店者；出店店舗；出店地域</t>
        </is>
      </c>
      <c r="E3944" t="inlineStr">
        <is>
          <t>部門；支所；支社；支部；支局</t>
        </is>
      </c>
      <c r="F3944" t="inlineStr">
        <is>
          <t>初出店；再出店；多く出店；店舗出店；テナント出店</t>
        </is>
      </c>
      <c r="H3944" t="n">
        <v>29</v>
      </c>
      <c r="I3944" t="inlineStr">
        <is>
          <t>上古町を中心に趣味性の強い個人店が多く出店していることも特徴である。；また郊外の大型SCに出店したりして売上を伸ばしている百貨店もある。；以前はホーム上に立ち食いそば屋が出店していたが、現在は撤退している。；また、テナントとして有名ホテルがレストランを出店している所もある。；その後、東岸和田駅前への出店構想があったが、これも実現しなかった。；中でもこの地区はパソコンショップの出店が名古屋一多いのが特徴である。；近年では上越地方での出店も多くなり、新潟県下共通の味となりつつある。；一方でCMやCIマーク、海外出店では赤モスのロゴも使用されている。；また、この間には店舗の閉鎖も行わず、出店した全店舗を営業し続けていた。；十勝総合振興局は営業エリアに含まれているが出店はしていない。；続いて1970年にはハリウッドの中心部に同じく大規模店を出店した。；現在では西武系に限らず、大手百貨店の主要店には比較的多く出店している。；その後2011年6月15日に再出店が決定したが、場所は駅舎ではない。；そこで、隣接県に出店して規模を拡大していく方針を定めた。；近年は新たな出店が落ち着いてきたが、不採算サイトの撤退が見られている。；当初は半年間限定での出店だったが、好評につき、期間延長にて営業していた。；この店の成功は、後に付近のエリアに進出したアルマーニの出店にも影響を与えた。；愛媛県や岡山県、関東近郊にも出店していたが現在は撤退している。；テナントにおいても出店や業態変更、あるいは撤退を頻繁に行っている。；以下では都道府県ごとにサークルKの出店と転換の情報を記載する。；それを後押ししたのが相次ぐデパートや総合スーパーなどの出店だった。；催事場での出店では年十数回自ら店頭に立ち販売を行っている。；ファボーレの集客力の高さから近隣には複数の大型郊外店が出店している。；かつて、イトーヨーカ堂と中信地方・南信地方で共同出店を行っていた。；近年はコンビニエンスストア等を含め様々な分野の店舗の出店が相次いでいる。；駅の南側も80年代後半より整備され、イオンなどが出店している。；最高学年である3年生になると各クラス模擬店を出店し軽食等を提供する。；ローマを中心に出店を行ったが、地元の業者が注文アプリソフトを開発するなどして対抗。；かつてはカナダ・大韓民国にも出店していたが閉鎖した。</t>
        </is>
      </c>
      <c r="J3944">
        <f>HYPERLINK("https://www.weblio.jp/content/出店", "词义详情")</f>
        <v/>
      </c>
      <c r="K3944">
        <f>HYPERLINK("https://yourei.jp/出店", "查看例句")</f>
        <v/>
      </c>
    </row>
    <row r="3945">
      <c r="A3945" t="inlineStr">
        <is>
          <t>出動</t>
        </is>
      </c>
      <c r="B3945" t="inlineStr">
        <is>
          <t>成功</t>
        </is>
      </c>
      <c r="C3945" t="inlineStr">
        <is>
          <t>読み方：しゅつどう
［名］(スル)軍隊・消防隊などが、活動するために出向くこと。「除雪車が—する」</t>
        </is>
      </c>
      <c r="D3945" t="inlineStr">
        <is>
          <t>出動する(13%)；出動命令(3%)；出動要請(2%)；出動させる(2%)；出動準備</t>
        </is>
      </c>
      <c r="E3945" t="inlineStr">
        <is>
          <t>仕事；執行；任務遂行；業務遂行</t>
        </is>
      </c>
      <c r="F3945" t="inlineStr">
        <is>
          <t>初出動；災害出動；出動態勢；受けて出動；自衛隊出動</t>
        </is>
      </c>
      <c r="H3945" t="n">
        <v>29</v>
      </c>
      <c r="I3945" t="inlineStr">
        <is>
          <t>納税拒否のような非協力的な行為にも空軍が出動して懲罰作戦を行った。；部隊はさまざまな重大な事件に対応して出動しており、以下に示す。；出動した事案の大半が、空港内での不審な手荷物を検査する作業である。；この頃より警察が出動して警戒に当たるとともに、自主避難も始まった。；ハーレム率いる特別戦闘部隊で、その出動は攻撃目標全破壊を意味する。；炎は制御不能なまでに燃え盛り、地元の消防隊が出動する事態となった。；かつては暴走族が数千台規模で集まり、警察が出動したこともあった。；出動現場等において、警察事務の執行のため必要な通信を確保すること。；部下の警察部隊をクーデタの予備隊として出動できるよう準備していた。；このころ第10飛行師団の隷下航空部隊と出動可能機数は次のとおりである。；株主総会で本社を東京に移すと決める際には警官の出動する騒ぎであったという。；幾度か乗客を輸送中だったために出動できなかったことがある。；出動可能隊にも限りがあるため、緊急性の高いものを選別する必要があった。；また、戦後と異なり要請が無くても師団長の判断で出動させることが可能であった。；アメリカは計300兆円ぐらい財政出動しているが、日本は規模も小さい。；出動部門は人員が最大であり、日々の消防部の運営を担当している。；警察が出動するほどの喧嘩をしてしまったり、トマト半分の昼食を出したり。；ドイツ国内での民間援助にも航空輸送部隊は出動する。；国家の危機に対処すべくアメリカ軍が動員され、アメリカ海兵隊も出動。；運輸保安庁の現地職員によれば、初期の出動では職員自身にも危険があったという。；この日の午前7時から猟師5人が出動し警戒していた矢先の出来事だった。；実際の出動は、要請が来てから、午前10時になってしまったのだ。；迅鯨は直ちに出動して救難を試みたが成功せず、呂60号は処分された。；この絵は題名となった市民隊が出動する瞬間を描いている。；統合幕僚会議では、統合防衛計画作成や出動時の統合調整を行うとしていた。；救急・救助・消防活動を任務としており、通年で出動態勢をとっている。；山形県警の要請で宮城県警察機動隊も出動し28日以降に活動を行った。；さらに機動隊をも出動させ、抵抗する組合側と乱闘する騒ぎとなった。；出動作戦司令部の人的能力は任務の種類と範囲に依存する。</t>
        </is>
      </c>
      <c r="J3945">
        <f>HYPERLINK("https://www.weblio.jp/content/出動", "词义详情")</f>
        <v/>
      </c>
      <c r="K3945">
        <f>HYPERLINK("https://yourei.jp/出動", "查看例句")</f>
        <v/>
      </c>
    </row>
    <row r="3946">
      <c r="A3946" t="inlineStr">
        <is>
          <t>出発</t>
        </is>
      </c>
      <c r="B3946" t="inlineStr">
        <is>
          <t>成功</t>
        </is>
      </c>
      <c r="C3946" t="inlineStr">
        <is>
          <t>読み方：しゅっぱつ
［名］(スル)
１目的地に向かって出かけること。出立(しゅったつ)。「朝五時に山小屋を—する」
２物事を始めること。また、その始まり。「新会社として—する」</t>
        </is>
      </c>
      <c r="D3946" t="inlineStr">
        <is>
          <t>出発する(14%)；出発点(8%)；出発前(2%)；出発しよ；出発地</t>
        </is>
      </c>
      <c r="E3946" t="inlineStr">
        <is>
          <t>始め；出る；立つ；初め；スタート</t>
        </is>
      </c>
      <c r="F3946" t="inlineStr">
        <is>
          <t>再出発；向かって出発；向って出発；早く出発；出発ロビー</t>
        </is>
      </c>
      <c r="G3946" t="inlineStr">
        <is>
          <t>出発式；出発進行；出発信号；出発の歌；出発反応標識</t>
        </is>
      </c>
      <c r="H3946" t="n">
        <v>29</v>
      </c>
      <c r="I3946" t="inlineStr">
        <is>
          <t>自分が本物か迷いつつもルパンは不二子の依頼を受け新たな仕事へ出発。；これが近代的な工場の出発点とされ、産業革命の要因の1つともなった。；定められた時刻通りに列車を運行することは鉄道事業の出発点である。；花袋の小説は私小説の出発点ともされ、以後日本の小説の主流となった。；スタートの姿勢を取ったあとは、出発合図まで静止しなければならない。；一時基地へ撤退した車両部隊は再編成を行い、再度救出へと出発する。；当駅を北西方向へ列車が出発して最初に渡る小河川が喜瀬川である。；この二人がアメリカへと出発したのは1925年6月30日のことだった。；学問の出発点は定義と呼ばれる適切な名称を用いて命題を構築することである。；通常言われているように、出発点であることは示されていない。；上り本線を除き、他の3線は上下線双方に出発可能な線路配置である。；元は衣料品店として出発したため、衣料品のみを扱う店舗も多くあった。；文化2年からはすべての樽廻船が西宮から出発することが恒例となった。；都市にその名前を与えた古い村は、新しい都市の実質的な出発点ではなかった。；ホーバーフェリーの出発・到着便に合わせたダイヤで運行されている。；不慮の事故を防ぐためにツアー出発12時間以内の飲酒は禁止されている。；以前は上野寄りに下り線から上り方面に出発する分岐器が設けられていた。；辰野駅構内で、当駅から列車が出発した旨を伝える内容が放送される。；最も西側の線路が到着線で、その東隣が出発線となっている。；これまでの定義の試みはすべてそこから出発している。；彼が出発すると、追いかけて使者がきて、家族全員の死を順に知らせる。；これらの区間では、出発時機表示器設置区間よりも運転本数が少ない。；上記の方法では、対象とする核種が移動しなくなった時点が年代の出発点となる。；彼の予見では、ここは月探検のための理想的な出発点のはずだった。；鉄道路線とは、出発地と目的地の間に敷設された鉄道の線路の区間である。；すべてのホームから上下いずれの方向にも出発が可能。；秀吉軍は10日朝に明石を出発し、同日の夜には兵庫まで進んでいた。；発車時刻が近づくと一旦すべての客用ドアを開けた後客用ドアを閉めて出発する。；決して夜が迫ってからのご出発であってはならぬ。</t>
        </is>
      </c>
      <c r="J3946">
        <f>HYPERLINK("https://www.weblio.jp/content/出発", "词义详情")</f>
        <v/>
      </c>
      <c r="K3946">
        <f>HYPERLINK("https://yourei.jp/出発", "查看例句")</f>
        <v/>
      </c>
    </row>
    <row r="3947">
      <c r="A3947" t="inlineStr">
        <is>
          <t>出版</t>
        </is>
      </c>
      <c r="B3947" t="inlineStr">
        <is>
          <t>成功</t>
        </is>
      </c>
      <c r="C3947" t="inlineStr">
        <is>
          <t>読み方：しゅっぱん
［名］(スル)印刷その他の方法により、書籍・雑誌、並びにそのデジタルデータなどを製作して販売または頒布すること。「児童書を—する」「自費—」「—社」「電子—」</t>
        </is>
      </c>
      <c r="D3947" t="inlineStr">
        <is>
          <t>出版社(4%)；出版者；出版物；出版事業；出版部</t>
        </is>
      </c>
      <c r="E3947" t="inlineStr">
        <is>
          <t>発表；出す；発行；リリース；執筆</t>
        </is>
      </c>
      <c r="F3947" t="inlineStr">
        <is>
          <t>自費出版；多数出版；出版協会；大手出版；出版譜</t>
        </is>
      </c>
      <c r="G3947" t="inlineStr">
        <is>
          <t>出版物；出版業；出版局；出版記念；出版権</t>
        </is>
      </c>
      <c r="H3947" t="n">
        <v>29</v>
      </c>
      <c r="I3947" t="inlineStr">
        <is>
          <t>青春18きっぷを活用する方法などを記した書籍は多数出版されている。；また1982年以降の作品は、死後に出版された作品であることを示す。；また、ゲームの製作方法を解説した各種の公式書籍も出版されている。；ソ連時代に禁じられていた放送・出版も活発に行われるようになった。；これが、奈良を中心とする寺院の間に、出版事業を興させるようになる。；日本で出版された38冊に及ぶ数学原論や、定期的に開催されるで有名。；近年では魔術師のカードが複数枚入ったセットも出版されている。；ウェイトの著作のうちいくつかは近年になっても出版されている。；作品は海外でも高く評価され、世界30数か国で翻訳出版されている。；しかし内容の過激さから、予定していた部署からの出版を拒否される。；出版当初の売れ行きは悪く、アメリカの出版社はこの作品を絶版にした。；シュミットはその後、自らの体験を自費出版した後に行方不明となった。；また、最近ではこのパズルのみを集めた雑誌も複数出版されている。；当時のソ連で楽譜が公に出版された唯一の日本人作曲家である。；しかし、それがもっとよいものだったなら、出版されなかったかもしれない。；このとき作った節を、作曲家になった後で気に入って自ら出版したこともある。；成果を得たのはニュートンが先だが、出版はライプニッツが先だった。；出版は急速に進められ、窮乏によるストレスからしばらくは解放された。；売買対象は主に漫画や文庫本など大量出版され希少価値の低い書籍である。；本人の著書と称されているものが、日本では2冊出版されている。；戦後、アメリカン・コミックは戦前ほどの出版量は回復できなかった。；一九五五年に作家出版社本が出版され、以降標点本として広く流布した。；出版から3年半越しに重版が決まるなど息の長いロングヒットとなった。；現代では出版されて活字で残されるようになったものも多い。；ランドは後にこれらの論文のいくつかを書籍化して出版した。；この原稿はその後書籍にも収録され出版されている。；書籍や雑誌など出版されたものをと呼び、出版を事業とする企業を出版社と呼ぶ。；ただし、現在ほとんどの新聞社では雑誌、書籍の出版も手がけている。；連載終了直後の同年11月に同社から1冊の単行本化され出版された。</t>
        </is>
      </c>
      <c r="J3947">
        <f>HYPERLINK("https://www.weblio.jp/content/出版", "词义详情")</f>
        <v/>
      </c>
      <c r="K3947">
        <f>HYPERLINK("https://yourei.jp/出版", "查看例句")</f>
        <v/>
      </c>
    </row>
    <row r="3948">
      <c r="A3948" t="inlineStr">
        <is>
          <t>出費</t>
        </is>
      </c>
      <c r="B3948" t="inlineStr">
        <is>
          <t>成功</t>
        </is>
      </c>
      <c r="C3948" t="inlineStr">
        <is>
          <t>読み方：しゅっぴ
［名］(スル)費用をだすこと。また、その費用。「—がかさむ」「趣味に—する」</t>
        </is>
      </c>
      <c r="D3948" t="inlineStr">
        <is>
          <t>費用；消費；会計；経費；支出</t>
        </is>
      </c>
      <c r="F3948" t="inlineStr">
        <is>
          <t>無駄な出費；大きな出費；痛い出費；多大な出費；余計な出費</t>
        </is>
      </c>
      <c r="H3948" t="n">
        <v>29</v>
      </c>
      <c r="I3948" t="inlineStr">
        <is>
          <t>だがそれはチームに余計な出費をかけないからというだけのことだった。；どれだけいろいろと多くのよけいな出費をしているか知れないからです。；毎日毎日なんですから、これが結構バカにならない出費になるわけです。；自分が体験したシャトウでの生活を考えると、当然の出費だというのか。；荷を運んだわけでもない船に、商人がそんな出費をするはずがありません。；そのために、一時の出費や個人のちっぽけな生命を惜しむべきではない。；これだけの大集団を伴っての旅行で、出費は大変な額にのぼりました。；また従来の二年一貢も、王府には出費が勝っている事実を指摘している。；思いがけない出費もあるだろうし、保養にならないことがわかっていた。；いちばん安い数千円のものを選んだが、その出費はあきらめるしかない。；最近、妻の美知子は、仕事場の費用を無駄な出費と考えている節がある。；国や地方の政治家は国や地方の出費を減らすために苦労している。；これまでの出費で百万円の資金が底をつきかけているのを二人とも知っていたのだ。；その上に歴代藩主のほとんどは江戸に定府していたため出費がかさんでいた。；それにより買収後の出費が多いことから、買収を思いとどまらせるもの。；何でも、一時に四五千圓出費するのだとは、義雄も氷峰から聽いてゐた。；夫を役人にさせ満足な暮らしを得るためとあらば、多少の出費は仕方がない。；今じゃもうそれだけ一年に出費しなければならんのだからね。；昨秋の改修工事にも八千両に近い出費を強いられたと噂されている。；ホテルを利用するにしても、食事を共にするにしても、多少の出費があります。；高価な出費をかけてこの星を防衛しようなどと試みてはならない。；それにすでに父の病気中、全く取りかえしのつかない出費があいついだ。；こんな所で無駄出費なんて、やっぱり今回も不幸な事になりそうだーっ!!；白い大理石製で、戦争で出費がかさんでいたため少しずつ建設された。；そういう仕事のための出費が多いから、日頃はなおさら質素にしている。；このため、毎年多額の出費をともなう砂の除去を行わなければならない。；だが、安いとはいっても、別にアトリエを持つのは、二重の出費である。；それがいやで、出費が痛いのは重々承知のうえ、通いはじめたのだった。；その時私は、ことの次第を語る恥よりも、手痛い出費の方を選んだのだ。</t>
        </is>
      </c>
      <c r="J3948">
        <f>HYPERLINK("https://www.weblio.jp/content/出費", "词义详情")</f>
        <v/>
      </c>
      <c r="K3948">
        <f>HYPERLINK("https://yourei.jp/出費", "查看例句")</f>
        <v/>
      </c>
    </row>
    <row r="3949">
      <c r="A3949" t="inlineStr">
        <is>
          <t>出品</t>
        </is>
      </c>
      <c r="B3949" t="inlineStr">
        <is>
          <t>成功</t>
        </is>
      </c>
      <c r="C3949" t="inlineStr">
        <is>
          <t>読み方：しゅっぴん
［名］(スル)展覧会・陳列場などに、作品・物品を出すこと。「博覧会に—する」</t>
        </is>
      </c>
      <c r="D3949" t="inlineStr">
        <is>
          <t>出品者(3%)；出品される(3%)；出品作品(3%)；出品物；出品しよ</t>
        </is>
      </c>
      <c r="E3949" t="inlineStr">
        <is>
          <t>発表；示す；表示；展示；見せる</t>
        </is>
      </c>
      <c r="F3949" t="inlineStr">
        <is>
          <t>正式出品；参考出品；部門出品；初出品；展出品</t>
        </is>
      </c>
      <c r="H3949" t="n">
        <v>29</v>
      </c>
      <c r="I3949" t="inlineStr">
        <is>
          <t>自分が出品したもの以外であればどの品であっても入札することができる。；最初にカンヌ国際映画祭に出品したときは、良い評価を得られなかった。；競争部門のチャンピオンクラスを除いては誰でも出品することができる。；まず、出品国の公用語以外で撮影された映画を出品できるようになった。；抽選で選ばれた者のみが出品できるが購入・入場は自由となっている。；市場に出品される場合は以下のような行為を含むことがある。；アメリカ以外の英語圏の国からも、英語以外の言語の作品が出品されている。；同作は第71回カンヌ国際映画祭のコンペティション部門に出品された。；また、後の特別プログラムでは、歴代ベスト出品作品の14位となった。；同作品はベルリン国際映画祭に正式出品されるなど、高い評価を受けた。；同作はヴェネツィア国際映画祭に出品され、ファシスト党杯を受賞した。；その後も成田の米屋観光センターや髙島屋などでの新規出品を始めている。；全国茶品評会に出品されている高品質の玉露は、全て伝統本玉露である。；翌1936年の二科展に出品した「街」は野田の影響の濃い作品だった。；に無断出品しており、著作権侵害の疑いがあることが明らかになった。；また、規定サイズを大幅に下回る作品が出品されることは皆無である。；中国のネットオークションサイトでは犬皮や猫皮の製品が出品され問題になったことがある。；後に軍の圧力で二科展が解散されるまで毎年作品を出品する。；翌1973年に第26回カンヌ国際映画祭の監督週間部門に出品された。；この年に一水会展に出品した「夏の牧場」が生涯最後の作品となった。；奨励の意味を込めて、出品者のうち約3割が何らかの賞を受けている。；その後、出品者が漫画古書店「まんだらけ」で入手したとの情報を得る。；朝鮮物産共進会では朝鮮各地から各種産業の展示品が出品された。；この再編集版は出品時と受賞時に再放送された。；簡易的な検査で放射線が確認されており、出品者の入手経緯なども捜査している。；コンペティション部門に出品された作品の監督から選出される。；大学在学中より映画を制作し始め、現在まで数々の国際映画祭へ作品を出品。；このような自動車は、多くの中古車オークション会場で出品が禁止されている。；インターネットオークションへの出品代行サービスを行う業者も存在する。</t>
        </is>
      </c>
      <c r="J3949">
        <f>HYPERLINK("https://www.weblio.jp/content/出品", "词义详情")</f>
        <v/>
      </c>
      <c r="K3949">
        <f>HYPERLINK("https://yourei.jp/出品", "查看例句")</f>
        <v/>
      </c>
    </row>
    <row r="3950">
      <c r="A3950" t="inlineStr">
        <is>
          <t>首都</t>
        </is>
      </c>
      <c r="B3950" t="inlineStr">
        <is>
          <t>成功</t>
        </is>
      </c>
      <c r="C3950" t="inlineStr">
        <is>
          <t>読み方：しゅと
その国の中央政府のある都市。首府。</t>
        </is>
      </c>
      <c r="D3950" t="inlineStr">
        <is>
          <t>首都ローマ；首都モスクワ；首都圏；首都ベルリン；首都パリ</t>
        </is>
      </c>
      <c r="E3950" t="inlineStr">
        <is>
          <t>首府</t>
        </is>
      </c>
      <c r="F3950" t="inlineStr">
        <is>
          <t>旧首都；首都ブエノスアイレス；首都バンコク；首都層；首都防衛</t>
        </is>
      </c>
      <c r="G3950" t="inlineStr">
        <is>
          <t>首都高速道路；首都高速；首都機能；首都圏中央連絡自動車道；首都高</t>
        </is>
      </c>
      <c r="H3950" t="n">
        <v>29</v>
      </c>
      <c r="I3950" t="inlineStr">
        <is>
          <t>王の公式な宣言はなかったものの、宮廷の位置が事実上の首都となった。；夏には全州の半分以上に何らかの反乱がおき、首都でも衝突が発生した。；レバノンに存在する劇場の大部分は首都ベイルートに拠点を構えている。；国内では西海岸の人口密度が高く、特に首都周辺に人口が集中している。；なお首都のブダペスト都はいずれにも属さない、独立した自治体である。；首都ローマにも都市を守る城壁であるセルウィウス城壁が築かれていた。；こうして首都だけで4000人の死者を出してようやく内戦は終結した。；首都は、国政の中心として交通の便が良い場所が選定されることが多い。；大気汚染は深刻で特に首都北京は風次第でしばしばスモッグに覆われる。；複数の国によって同じ都市が首都とされる唯一の例となっている。；中部はアメリカの雷首都とも呼ばれ、国内のどこよりも雷発生回数が多い。；アンタナナリボはマダガスカルの首都であり、かつ最大の都市でもある。；たとえばイギリスや日本は首都の地位を明示する法が存在しない。；写真家にはウクライナの首都キエフを活動拠点にしていたが代表される。；ザンビア最大の都市は首都のルサカであり、国土のほぼ中央に位置する。；第二次世界大戦後に成立した中華人民共和国は北京を首都としている。；政治的な事情により、事実上の首都と形式上の首都が異なる国もある。；一般的に東アジアの伝統では、首都の名前をこのようにつけることが多かった。；極端な場合、実際には統治していない場所を政治的理由から首都と主張することもある。；首都が最大都市である国もあれば、首都と最大都市が異なる国もある。；ベリーズの首都であるベルモパンに至っては、人口が1万人程度である。；首都を含む数市、または首都周囲の県などに特別の地位が与えられることがある。；交通網では、首都に向かう方向を上り、首都と逆の方向に向かう方向を下りという。；またタリバーンは南部や東部だけでなく首都カーブルの近隣でも攻撃を行った。；その後首都サライを訪れ、スルタンのウズベク・ハンに旅の報告をした。；その西にはルーカスがあり、カンザス州では大衆芸術の首都とされている。；フランコ軍の勝利とともに、マドリードは再びスペインの首都となった。；最大の都市は首都で、グランドコモロ島の主都でもあるモロニである。；帝国の行政上の中心である属州首都は多く海港ないしその付近に置かれた。</t>
        </is>
      </c>
      <c r="J3950">
        <f>HYPERLINK("https://www.weblio.jp/content/首都", "词义详情")</f>
        <v/>
      </c>
      <c r="K3950">
        <f>HYPERLINK("https://yourei.jp/首都", "查看例句")</f>
        <v/>
      </c>
    </row>
    <row r="3951">
      <c r="A3951" t="inlineStr">
        <is>
          <t>主導</t>
        </is>
      </c>
      <c r="B3951" t="inlineStr">
        <is>
          <t>成功</t>
        </is>
      </c>
      <c r="C3951" t="inlineStr">
        <is>
          <t>読み方：しゅどう
［名］(スル)中心となって他を導くこと。「若手が大会の運営を—する」</t>
        </is>
      </c>
      <c r="D3951" t="inlineStr">
        <is>
          <t>主導する(11%)；主導的(8%)；主導権(3%)；主導型；主導下</t>
        </is>
      </c>
      <c r="E3951" t="inlineStr">
        <is>
          <t>行う；指揮；経営；指導；リード</t>
        </is>
      </c>
      <c r="F3951" t="inlineStr">
        <is>
          <t>民間主導；アメリカ主導；主導的立場；行政主導；米国主導</t>
        </is>
      </c>
      <c r="G3951" t="inlineStr">
        <is>
          <t>主導者</t>
        </is>
      </c>
      <c r="H3951" t="n">
        <v>29</v>
      </c>
      <c r="I3951" t="inlineStr">
        <is>
          <t>最後のイギリス植民地というべき香港返還は中華人民共和国が主導した。；ハイテクは現在でも重要な部門だが、大規模な技術主導の会社は少ない。；軍部が主導し1930年代後半から日本やドイツで工業生産が行われた。；編集方針の決定や原資料の選択は政治的に有力者が主導したものと推測されている。；これによって正式に精神運動は、内務省主導で推進されることになった。；ナジャフに入り、アメリカ主導の暫定統治政権に協力的な姿勢を見せた。；作戦は国連主導のものではなく、米国が単独で行ったものであった。；とくに省政府が主導する公共インターネット網はよく整備されている。；これは同戦争を主導したアメリカ・イギリスに次ぐ人数であった。；また、絵画は14世紀の後半から芸術において主導的な立場へ昇華した。；フランスとコスタリカが主導し、日本を含む約50カ国が参加している。；東欧の旧枢軸国はソ連の占領下に置かれ、ソ連主導の政府が作られていった。；ヨーロッパ諸国の同種部隊のなかでも主導的な立場にある部隊の一つである。；ピウスツキはポーランド国民の圧倒的支持のもと、開発独裁を主導した。；革命後にイギリス建築界の主導的立場に立ったのはクリストファー・レンである。；西アフリカ諸国経済共同体の主導的な立場にある国のひとつである。；結局西部戦線は翌年5月からドイツの主導で戦端が開かれることになった。；いずれもジョージ・W・ブッシュ大統領の所属する共和党主導で行われた。；戊辰戦争の一部をなす北越戦争で長岡藩側を主導したことで知られる。；塩見孝也ら幹部が逮捕され弱体化する中で主導権を握った森恒夫と対立した。；このことから、そもそも毛利元就がこの戦を主導していたのか疑問視する声もある。；埼玉県主導の伊奈土地区画整理事業で誕生した新しい学園地区が広がる。；このため脳の視葉が発達していて、動くものに反応する視覚主導型の習性である。；若い二人の姿は、文部省主導の生活改善運動を背景に、人々の憧れとなった。；以後数年の間、この体制が京都政局を主導していくこととなる。；エルンスト・アウグストは事実上の領主主導政治を1690年に実現した。；主導国はロシアであったが、ドイツの参加がなければ干渉が実現しなかったとも言われる。；新たな宇宙からの脅威に備え、種の保存を目的とした宇宙移民計画を主導。；アメリカ合衆国で開発を主導したのはユダヤ系イギリス人であった。</t>
        </is>
      </c>
      <c r="J3951">
        <f>HYPERLINK("https://www.weblio.jp/content/主導", "词义详情")</f>
        <v/>
      </c>
      <c r="K3951">
        <f>HYPERLINK("https://yourei.jp/主導", "查看例句")</f>
        <v/>
      </c>
    </row>
    <row r="3952">
      <c r="A3952" t="inlineStr">
        <is>
          <t>主任</t>
        </is>
      </c>
      <c r="B3952" t="inlineStr">
        <is>
          <t>成功</t>
        </is>
      </c>
      <c r="C3952" t="inlineStr">
        <is>
          <t>読み方：しゅにん
その任務を中心になって行う人。また、その任務の担当者の中で上席の人。「数学科の—」「警備—」</t>
        </is>
      </c>
      <c r="D3952" t="inlineStr">
        <is>
          <t>主任司祭(2%)；主任技師(2%)；主任さん；主任委員；主任参謀</t>
        </is>
      </c>
      <c r="E3952" t="inlineStr">
        <is>
          <t>頭；長；部長；幹部；キャリア</t>
        </is>
      </c>
      <c r="F3952" t="inlineStr">
        <is>
          <t>捜査主任；司法主任；赤松主任；委員会主任；部主任</t>
        </is>
      </c>
      <c r="G3952" t="inlineStr">
        <is>
          <t>主任教授；主任技術者；主任の大臣；主任研究官；主任審査官</t>
        </is>
      </c>
      <c r="H3952" t="n">
        <v>29</v>
      </c>
      <c r="I3952" t="inlineStr">
        <is>
          <t>捜査チームの主任捜査官だったエリオット・ネスの自伝を基にしている。；フランス帰国後は、公共建築を監督する公共建築主任建築家の職に着く。；その後彼は大北電信会社の通信士の職を得、すぐに主任通信士となった。；その後フロント入りし、球団運営部査定室主任や編成調査室課長を歴任。；初代主任を務めた鄧小平は「一種の過渡的性質の組織」と表現している。；なお、各系にはその代表者である系主任が任命されて置かれる。；シラーとの確執は、飛行主任が発射を決定したときから始まっていた。；オートバイ部門では新たな主任技師を迎えて新規車種の開発をはじめた。；主任大工や主任石工に昇進しそこから建築分野における高地位についた。；のちに夫となるシルヴィオ・クレメンテッリは、同作の製作主任であった。；RJは現在2名で、局管理者や総合制作主任等の役職者も含まれている。；その後は京都の有名ラーメン店である新福菜館に勤務し副主任を務めていた。；サザン鉄道の主任技師長の座は旧SECR従業員であったに与えられた。；また、出世に興味のない者でも定年を迎えるときは主任で迎えることが多い。；ほとんどの場合、主任の死や交代ののちも、同じ名前が使われた。；機密性が高く、設計主任クラスなどの少数の人員のみがこの番号に関与した。；設計主任の平賀大佐は損傷時の浸水極限の為これを許容したと伝えられる。；これにはミケロッツォ設計が採用され、彼は大聖堂主任建築家に任命された。；主任分析官となった背景にも鈴木の威光があったとされる。；第一次世界大戦時には第3軍主任参謀および第1師団参謀を務めていた。；その連絡を受けた主任職員2人は同日、少年に事実を確認した。；ラインは後に自ら創設した超心理学研究室の主任となった。；統合参謀本部の一員であり、陸軍に関する大統領の主任軍事顧問である。；日本帰任後の1998年には、国際情報局分析第一課主任分析官となる。；現在は、輸送主任、運転係、改札・集札と案内業務係のみ配置されている。；整備主任は彼らを監督する立場であり、仕事場はハンガー1階のデスク。；またかつては代々木アニメーション学院で声優タレント科の主任講師を務めていた時期もある。；また、この委員会の調査鑑定主任であるは弱冠20歳の任命であった。；訓練主任職系は公務員への訓練プログラムを担っており、70人強いる。</t>
        </is>
      </c>
      <c r="J3952">
        <f>HYPERLINK("https://www.weblio.jp/content/主任", "词义详情")</f>
        <v/>
      </c>
      <c r="K3952">
        <f>HYPERLINK("https://yourei.jp/主任", "查看例句")</f>
        <v/>
      </c>
    </row>
    <row r="3953">
      <c r="A3953" t="inlineStr">
        <is>
          <t>首脳</t>
        </is>
      </c>
      <c r="B3953" t="inlineStr">
        <is>
          <t>成功</t>
        </is>
      </c>
      <c r="C3953" t="inlineStr">
        <is>
          <t>読み方：しゅのう
組織や団体の中心にいて指導的な役割を果たす人。「各国の—が集まる」「—会談」「—陣」</t>
        </is>
      </c>
      <c r="D3953" t="inlineStr">
        <is>
          <t>首脳たち(3%)；首脳会合(2%)；首脳者(2%)；首脳陣(2%)；首脳部</t>
        </is>
      </c>
      <c r="E3953" t="inlineStr">
        <is>
          <t>リーダー；主任；指導者；盟主；巨頭</t>
        </is>
      </c>
      <c r="F3953" t="inlineStr">
        <is>
          <t>各国首脳；両首脳；最高首脳；両国首脳；幕府首脳</t>
        </is>
      </c>
      <c r="G3953" t="inlineStr">
        <is>
          <t>首脳部；首脳会談；首脳会議</t>
        </is>
      </c>
      <c r="H3953" t="n">
        <v>29</v>
      </c>
      <c r="I3953" t="inlineStr">
        <is>
          <t>そのために、協会首脳は彼の三役格昇進を躊躇したものと考えられます。；海外首脳の歓迎にも用いられ、国家の祝祭と抗議運動の両方に使われる。；しかし会議の前日になって新たな文書が提出され、首脳らの注目を集めた。；多くの外国の首脳が、いくつかの初成功を含む中国の成功を祝福した。；また、G20参加国以外からも、オランダとスペインの首脳も出席した。；この構想は満州を日本の生命線としていた関東軍首脳の興味を捕らえた。；ブッシュ・ブレア両首脳が会する時の友好的な雰囲気がそれを示していた。；ぼくと共に出資者の一人でもあり、事業経営の最高首脳者でもあるわけさ。；企画の実現に伴って生じる費用の一部を、阪神の首脳陣と選手一同が負担する。；共同研究会の報告は、検討のために両国首脳に提出される予定である。；おまえ自身のことについては、ほかの首脳連中が調べた後で殺すことになろう。；この動きは軍首脳である林彪によって導かれていたと伝えられている。；文は日本の菅に続きバイデンと対面会談した2人目の外国首脳となった。；軍には絶対に、首脳がなければならないし、統帥は明確でなければ紊れる。；その上、ブラッドは東京に集ってくる各国の首脳を狙おうとしているのだ。；北朝鮮の首脳が軍事境界線を超えて韓国側入りしたことは史上初である。；中曽根康弘首相ら歴代政府首相・首脳のアドバイザーとしても知られる。；幕僚が首謀者となり宇垣ら陸軍首脳も関与していた三月事件が発覚した。；就任してから1年も経っていない首脳の受賞は極めて異例である。；その頃、米ソ両軍首脳の一部が独自の攻撃を行おうとしている事が分かった。；この会議には欧州やアジアなどの40か国・地域の首脳が招待された。；国の首脳がこの問題に触れたのは初めてとされる。；ただしその場にはリビア首脳とモロッコ国王は出席していなかった。；このときこそ、首脳たちはまったく無防備の状態に置かれるのだ。；しかし、セラヤは裁判所の決定を受け入れず、軍の首脳であるを罷免した。；また三首脳が必要に応じて開催した少人数の秘密会でも協議されるようになった。；ディズニー社の首脳が来日してから、すでに4年5か月が経過していた。；誰もが政府の五人の首脳を恐れ、五人はまたそれぞれ自分以外の者を恐れている。；両国の独立以降、首脳が相手国の首相就任宣誓式に出席するのは初めてとなる。</t>
        </is>
      </c>
      <c r="J3953">
        <f>HYPERLINK("https://www.weblio.jp/content/首脳", "词义详情")</f>
        <v/>
      </c>
      <c r="K3953">
        <f>HYPERLINK("https://yourei.jp/首脳", "查看例句")</f>
        <v/>
      </c>
    </row>
    <row r="3954">
      <c r="A3954" t="inlineStr">
        <is>
          <t>守備</t>
        </is>
      </c>
      <c r="B3954" t="inlineStr">
        <is>
          <t>成功</t>
        </is>
      </c>
      <c r="C3954" t="inlineStr">
        <is>
          <t>読み方：しゅび
［名］(スル)
１敵の攻撃に対して味方を守るべく備えること。「要塞(ようさい)を—する」「—隊」
２競技などで、自分の領域を守り、相手に得点を与えないようにすること。「九回裏の—につく」⇔攻撃。</t>
        </is>
      </c>
      <c r="D3954" t="inlineStr">
        <is>
          <t>守備兵(5%)；守備隊(5%)；守備的(4%)；守備走塁コーチ(2%)；守備軍(2%)</t>
        </is>
      </c>
      <c r="E3954" t="inlineStr">
        <is>
          <t>見る；備え；守る；抑え；監視</t>
        </is>
      </c>
      <c r="F3954" t="inlineStr">
        <is>
          <t>内野守備；最優秀守備；堅実な守備；守備陣；守備能力</t>
        </is>
      </c>
      <c r="G3954" t="inlineStr">
        <is>
          <t>守備力；守備面；守備範囲；守備固め；守備位置</t>
        </is>
      </c>
      <c r="H3954" t="n">
        <v>29</v>
      </c>
      <c r="I3954" t="inlineStr">
        <is>
          <t>守備の際はそれぞれの選手はおよそ次の図および解説に示す位置に立つ。；これはこの地域を守備している一般兵たちが建設したログハウスだった。；すると守備兵たちは高所を抑えられた恐怖から砦から逃げ去っていった。；守備・打撃の両面で1990年代を代表する選手の一人にまで成長した。；このため袁紹は、淳于瓊に命じて輸送された食糧を守備させようとした。；またこのシーズンは守備に就いた試合では全て一塁手としての出場であった。；守備においては技術よりも、豊富な運動量や視野の広さが重視される。；プレイ再開後に守備側からアピールがあれば、その走者はアウトになる。；守備に定評があったが、ゴールドグラブ賞が創設される前に引退となった。；NPBでは守備イニングが公式に発表されていないという問題がある。；ドイツが守備に成功することはもはや不可能であった。；守備に難があったが打撃が良かったので、監督の渡辺は鈴木を使い続けた。；本塁と二塁を結んだ直線上を中心として外野の中央部分が主な守備位置。；は同球団の二軍であるサーパス神戸の外野守備・走塁コーチを務めた。；安土城を守備するかのように琵琶湖周辺には重臣の居城が配置されている。；そのとき、漢中の守備兵が三万に満たなかったため、諸将は恐れ慄いた。；そのためプロでは、高度な守備力が要求されるポジションである。；しかし、守備中にバントシフトをとらないなど怠慢な姿勢も見られた。；取られたときに守備に使われにくいからである。；日本軍は輸送作戦を繰り返し行い、両島の守備を強化していった。；にファームで3割を打ち、守備だけでなく確実な打撃も評価された。；また、守備でも後半になるにつれ精彩を欠くプレーが目立つようになる。；ダイエー移籍後は、守備が監督の王貞治から高く評価されて一軍に定着。；右手を完全に開くことができなかったため、特注のグラブで守備を行っていた。；ゴールキーパーを除き、全員での攻撃と守備が基本となっている。；韓国時代から外野守備の経験はなかったが、ロッテ時代には左翼も守った。；前述のとおり肩も非常に強く、外野守備時には度々矢のような送球を見せた。；および、このことが原因で走者を進塁させた場合に付される守備記録。；守備では内野の全ポジションを高いレベルで守れる器用さが魅力であった。</t>
        </is>
      </c>
      <c r="J3954">
        <f>HYPERLINK("https://www.weblio.jp/content/守備", "词义详情")</f>
        <v/>
      </c>
      <c r="K3954">
        <f>HYPERLINK("https://yourei.jp/守備", "查看例句")</f>
        <v/>
      </c>
    </row>
    <row r="3955">
      <c r="A3955" t="inlineStr">
        <is>
          <t>主婦</t>
        </is>
      </c>
      <c r="B3955" t="inlineStr">
        <is>
          <t>成功</t>
        </is>
      </c>
      <c r="C3955" t="inlineStr">
        <is>
          <t>読み方：しゅふ
一家の家事の切り盛りをする女性。「専業—」</t>
        </is>
      </c>
      <c r="D3955" t="inlineStr">
        <is>
          <t>主婦たち(6%)；主婦業；主婦さん；主婦向け；主婦達</t>
        </is>
      </c>
      <c r="E3955" t="inlineStr">
        <is>
          <t>専業主婦；大奥様；家刀自</t>
        </is>
      </c>
      <c r="F3955" t="inlineStr">
        <is>
          <t>平凡な主婦；お主婦；パート主婦；jourすてきな主婦；主婦犯人扱い</t>
        </is>
      </c>
      <c r="G3955" t="inlineStr">
        <is>
          <t>主婦の友；主婦の友社；主婦之友；主婦と生活社；主婦の店</t>
        </is>
      </c>
      <c r="H3955" t="n">
        <v>29</v>
      </c>
      <c r="I3955" t="inlineStr">
        <is>
          <t>子供を授かったと分かった時、自身の母のように主婦になる道を選んだ。；町のなかでは、何台ものスクーターが、主婦を乗せて走りまわっていた。；毒入りお菓子事件が発生し子どもを持つ主婦たちは不安に陥っていた。；現在は夫と子供のためにだけ時間を使っていた平凡なパート主婦であった。；このような子供のプチ家出に似た、主婦や夫の家出も少なくないという。；日中勤務する女性や主婦のために門戸を開く夜間授業が行われていた。；主婦向けの番組なので、子供のお食事時間に配慮したものと思われる。；彼女の初期の姿は悪い意味で田舎の主婦を装った男性にしか見えなかった。；警察は、主婦の家を家督相続していた養子の男性を尊属殺人で連行した。；父は自分の店も持っている祖父の代からの銃器工で、母は主婦だった。；或は、煙草店の主婦が用事に立っている隙に通り過ぎたのかも知れない。；彼女は主婦たちの中で、彼がまだ幼かった頃に初めて彼と出会った人物です。；代理母出産で娘の子供を産むことになった主婦のストーリーが展開される。；このサービスにはオタク層だけでなく、ごく普通の主婦の間でも利用がある。；主婦向けのドラマではあるが、男性にも人気が高いドラマである。；ジュリア・チャイルドはアメリカの家庭や主婦に大きな影響を与えた。；その時ぐらゐからあと、私は文学夫人でなくなつて普通の家の主婦になつた。；地主の主婦に就て聞いて見ると、徳利のやうな物が出た事が有つたといふ。；その晩は他に相客がなかったので、主婦はいよいよ彼を丁寧に取扱った。；家庭の主婦のため、暮らしに役立つ情報を毎週この日に紹介していた。；その中で自分は主婦ではなく、独身でバリバリ仕事をして働いている。；その為前述にもあるが、主婦審査員の温情で合格するケースもあった。；そこへ、騒ぎを聞いて主婦もやって来ますし、女中達も大勢集まって来ました。；生き埋めになったのは、家に居たお年寄りや主婦、幼児が大半であった。；現在は主婦をメインとしており、芸能活動については控えているとのこと。；彼は思わず裏口から逃げてしまい、それを主婦に目撃されてしまう。；ニュージャージー州で機械工の父と主婦の母との間に生まれ育った二世である。；そういうわけで、私たちは家の主婦を奥さんと呼んでいました。；主婦は歿くなりでもしたと見え食事中も世話は娘のカテリイヌが焼いていた。</t>
        </is>
      </c>
      <c r="J3955">
        <f>HYPERLINK("https://www.weblio.jp/content/主婦", "词义详情")</f>
        <v/>
      </c>
      <c r="K3955">
        <f>HYPERLINK("https://yourei.jp/主婦", "查看例句")</f>
        <v/>
      </c>
    </row>
    <row r="3956">
      <c r="A3956" t="inlineStr">
        <is>
          <t>手法</t>
        </is>
      </c>
      <c r="B3956" t="inlineStr">
        <is>
          <t>成功</t>
        </is>
      </c>
      <c r="C3956" t="inlineStr">
        <is>
          <t>読み方：しゅほう
物事のやり方。特に、芸術作品などをつくるうえでの表現方法。技法。「写実的な—」「新—を用いる」</t>
        </is>
      </c>
      <c r="D3956" t="inlineStr">
        <is>
          <t>手法自体；手法論</t>
        </is>
      </c>
      <c r="E3956" t="inlineStr">
        <is>
          <t>手；型；方法；技術；法</t>
        </is>
      </c>
      <c r="F3956" t="inlineStr">
        <is>
          <t>表現手法；研究手法；新しい手法；設計手法；同じ手法</t>
        </is>
      </c>
      <c r="H3956" t="n">
        <v>29</v>
      </c>
      <c r="I3956" t="inlineStr">
        <is>
          <t>回帰も類似した手法だが、既存のデータが不正確であることを考慮する。；現在は、初期の手法 をより高速化したアルゴリズムが使用されている。；このような超高真空を実現するために、下記のような手法が用いられる。；同様の手法は システムで使われている コードでも使われている。；しかし、使われる手法は多岐に渡り、また非常に高度であることが多い。；この手法を用いて推定された銀河系の銀河円盤の年齢は80億年である。；複数の手法による解析の結果、いくつかの破壊モデルが挙げられている。；これは学問手法による分類でなく、学問の目的・対象による分類である。；このような手法にこだわったため、制作には翌1867年までかかった。；人文科学研究の一例は、歴史的手法で具体化された歴史的研究である。；一般的にこの分野では統計物理学と呼ばれる強力な手法が使われる。；ブルゴーニュでこの手法を用いると、という現象が起こる可能性がある。；手法には経験的なものから非経験的なものまで多数存在する。；この手法は更に管理的で不変の破片の創造を認めることで効率を上げた。；ここに金銀を打つのは、通常は勝ちづらいと考えられている手法である。；上記の三つの系は効率の高低はあるがほぼ共通の手法を用いることができる。；その手法はいくつかあるが、最も有名なものはチューリングマシンである。；それ自体はインタプリタの手法とも言えるしコンパイラの手法とも言える。；しかし、いずれの手法もその基本は現象などの正確な観察である。；しかしこの手法は一過性の物で、製品に反映される性格の仕様ではなかった。；以下に取り上げる曲でもこの手法が有効に用いられるものがある。；それが行われるようになったのは、フロイトがその手法を一般化した後である。；連続して変化する絵や物により発生する仮現運動を利用した映像手法である。；構造力学分野で発達し、他の分野でも広く使われている手法である。；彼以前にはこのように運動を数的に研究する手法はヨーロッパにはなかったと考えられている。；また、個々の文字体系の中でも、さまざまな造字手法を発展させてきた。；アルキメデスは、現代で言う積分法と同じ手法で無限小を利用していた。；グループ分けの最も簡単な例は「対照実験」といわれ実験手法であろう。；中国の推拿の手法に類似しているので、その影響もあると見られる。</t>
        </is>
      </c>
      <c r="J3956">
        <f>HYPERLINK("https://www.weblio.jp/content/手法", "词义详情")</f>
        <v/>
      </c>
      <c r="K3956">
        <f>HYPERLINK("https://yourei.jp/手法", "查看例句")</f>
        <v/>
      </c>
    </row>
    <row r="3957">
      <c r="A3957" t="inlineStr">
        <is>
          <t>趣味</t>
        </is>
      </c>
      <c r="B3957" t="inlineStr">
        <is>
          <t>成功</t>
        </is>
      </c>
      <c r="C3957" t="inlineStr">
        <is>
          <t>読み方：しゅみ
１仕事・職業としてでなく、個人が楽しみとしてしている事柄。「—は読書です」「—と実益を兼ねる」「多—」
２どういうものに美しさやおもしろさを感じるかという、その人の感覚のあり方。好みの傾向。「—の悪い飾り付け」「少女—」
３物事のもっている味わい。おもむき。情趣。
「さびた眺望(ながめ)で、また一種の—が有る」〈二葉亭・浮雲〉</t>
        </is>
      </c>
      <c r="D3957" t="inlineStr">
        <is>
          <t>趣味性；趣味嗜好；趣味趣向；趣味恋愛；趣味特技</t>
        </is>
      </c>
      <c r="E3957" t="inlineStr">
        <is>
          <t>認識；好み；優先；嗜好；道楽</t>
        </is>
      </c>
      <c r="F3957" t="inlineStr">
        <is>
          <t>成金趣味；そういう趣味；江戸趣味；文学趣味；東洋趣味</t>
        </is>
      </c>
      <c r="G3957" t="inlineStr">
        <is>
          <t>趣味の園芸；趣味講座；趣味判断；趣味誌；趣味悠々</t>
        </is>
      </c>
      <c r="H3957" t="n">
        <v>29</v>
      </c>
      <c r="I3957" t="inlineStr">
        <is>
          <t>共通の趣味・興味を持つ仲間が定期的に集まって形成する団体をいう。；両親の趣味はクラシック音楽で演奏会に連れて行かれることもあった。；現代では開放的な走りを楽しむ趣味的な車として使用されることが多い。；趣味の世界である高級な馬のショーでは、どの分野でも活躍している。；プライベートでは写真撮影が趣味の家庭人で誠実な人物であったという。；この時点までは彼らの仕事はまだ趣味の域を出ないものだった。；いずれの分野も一朝一夕で身につくものではなく、奥の深い趣味と言える。；また、水野の趣味である世界の警察関連の知識を披露することもあった。；この時代には趣味としての移動運用やQSLカードの交換も行われていた。；しかし操作する楽しみは、やがて趣味から競技へと変化していった。；趣味で自転車旅をはじめたのがきっかけで、自転車輪行エッセイを執筆。；趣味はゲームで、特にリソース管理系のゲームが好きだと話している。；短編小説を書くのは1943年夏ごろから夢中になった彼女の趣味だった。；海上では、肉体鍛錬と同時に写真を撮ることを趣味とするようになった。；趣味は陶芸とダイビングで、後者は夏に伊豆へ行って行っているという。；そば打ちは趣味の域を超え、仙台市内のそば店に卸していたこともある。；ちなみに、アルベルトも音楽好きでヴァイオリンの演奏が趣味であった。；日本では、企業吹奏楽団は、楽器を趣味とする社員有志のクラブが多い。；共通の趣味となった音楽に嵌まり、仕事を半年余りで投げ出してしまう。；また、大学入学後にはもう一つの趣味であった剣道にも力を入れた。；作曲が特技であり、趣味で作った歌を自身のサイトで公開している。；また趣味であった園芸においても自らの体験を交えた作品を発表している。；歌が好きで、数千人に及ぶ観衆を集めコンサートを開くのが趣味であった。；鷹狩りを趣味としていたのは有名で、3000羽の鷹を飼育させていた。；幼少時は漫画の収集、さらに父と美術館に足を運ぶことが趣味であった。；以上の意味より転じて、異性や趣味などの好みの範囲を指す場合にも使われる。；学園長室はさくらの趣味を反映してか和室であり、鍋をすることもある。；作陶しない時は、読書やテレビ鑑賞、趣味の日本刀の手入れをしていた。；これには市場の大きさの違いと、オートバイの持つ趣味性が多分に影響している。</t>
        </is>
      </c>
      <c r="J3957">
        <f>HYPERLINK("https://www.weblio.jp/content/趣味", "词义详情")</f>
        <v/>
      </c>
      <c r="K3957">
        <f>HYPERLINK("https://yourei.jp/趣味", "查看例句")</f>
        <v/>
      </c>
    </row>
    <row r="3958">
      <c r="A3958" t="inlineStr">
        <is>
          <t>寿命</t>
        </is>
      </c>
      <c r="B3958" t="inlineStr">
        <is>
          <t>成功</t>
        </is>
      </c>
      <c r="C3958" t="inlineStr">
        <is>
          <t>読み方：じゅみょう
１生命の存続する期間。特に、あらかじめ決められたものとして考えられる命の長さ。命数。「—が延びる」「—が尽きる」「平均—」
２物の使用に耐える期間。また、その限界。「電池の—」「機械に—が来る」</t>
        </is>
      </c>
      <c r="D3958" t="inlineStr">
        <is>
          <t>寿命延長；寿命核種；寿命末期；寿命管理；寿命予測</t>
        </is>
      </c>
      <c r="E3958" t="inlineStr">
        <is>
          <t>人生；生涯；一生；ライフ；一期</t>
        </is>
      </c>
      <c r="F3958" t="inlineStr">
        <is>
          <t>長い寿命；短寿命；製品寿命；選手寿命；運用寿命</t>
        </is>
      </c>
      <c r="G3958" t="inlineStr">
        <is>
          <t>寿命寺</t>
        </is>
      </c>
      <c r="H3958" t="n">
        <v>29</v>
      </c>
      <c r="I3958" t="inlineStr">
        <is>
          <t>そのため、車両自体の寿命を迎える前に大量淘汰を受けることとなった。；多くの歯を失った老人でも最後まで生えており、その寿命は一番長い。；また、動物の成長速度や寿命、NGの多さで撮影は大変といわれている。；かくして「命」の語が寿命や運命をも意味するようになったわけである。；超新星爆発を起こして死を迎えるような大きな星は寿命が短いためである。；寿命はまだよくわかっていないが、飼育下では50年生きた個体もいる。；このデータを基にして平均的に何歳までに寿命を迎えるかを出す。；このためひまわり5号はそのまま寿命を超えて使われることになった。；一般には、人間が生まれてから死ぬまでの時間のことを寿命という。；寿命の短いものはすぐに崩壊するが、安定な粒子は地上で観測される。；酷い振動が起こり、寿命も短くなると言って、完全に無視しているのだ。；また、空孔のサイズが大きいほど寿命は長くなることが知られている。；そのため主系列の寿命に比べると、この段階にいる長さはずっと短くなる。；抵抗膜方式に比べて視認性に優れ、構造的にも堅牢で寿命が長く出来る。；成虫の雄は飼育スペースが小さいとストレスで寿命が短くなってしまう。；人間の本来の寿命からその分の生命を奪うことにより生きている存在。；生物が死ぬまでの時間を寿命と言うが、この言葉の意味にもいろいろある。；このような運転寿命の延長のための措置が実施されたのは初めてのことであった。；また、生きている者の寿命がすべて記されているともされている。；ヒトデの一生には不明な点が多く、その寿命も確かなことは分かっていない。；いずれにせよ、保存環境やディスクの質によって寿命は大きく変化する。；種族IIIの星は極端に大きく高温で寿命が短かったと考えられている。；ケンタウルス族の軌道は不安定であり、力学的な寿命は数百万年である。；突風の一種で、規模が小さく寿命が短い割に、猛烈な風を伴うのが特徴。；理想的な環境でのヒトの最大寿命は120歳を少し超える程度と想像される。；人為的破壊が無い限り城壁はかなり長い寿命を維持することができる。；生殖可能期以降の寿命が長いことの理由については、いくつかの説がある。；ホビットは人間より若干長い寿命を持ち、しばしば120歳まで生きた。；現在、市販されている白熱電球の多くは1000時間程度の寿命を持つ。</t>
        </is>
      </c>
      <c r="J3958">
        <f>HYPERLINK("https://www.weblio.jp/content/寿命", "词义详情")</f>
        <v/>
      </c>
      <c r="K3958">
        <f>HYPERLINK("https://yourei.jp/寿命", "查看例句")</f>
        <v/>
      </c>
    </row>
    <row r="3959">
      <c r="A3959" t="inlineStr">
        <is>
          <t>樹木</t>
        </is>
      </c>
      <c r="B3959" t="inlineStr">
        <is>
          <t>成功</t>
        </is>
      </c>
      <c r="C3959" t="inlineStr">
        <is>
          <t>読み方：じゅもく
地面に生えている木の総称。立ち木。「—が茂る」</t>
        </is>
      </c>
      <c r="D3959" t="inlineStr">
        <is>
          <t>樹木群；樹木伐採；樹木帯；樹木状；樹木限界</t>
        </is>
      </c>
      <c r="E3959" t="inlineStr">
        <is>
          <t>木；樹；高木；ツリー；東屋</t>
        </is>
      </c>
      <c r="F3959" t="inlineStr">
        <is>
          <t>大きな樹木；巨大な樹木；たる樹木；古い樹木；科樹木</t>
        </is>
      </c>
      <c r="G3959" t="inlineStr">
        <is>
          <t>樹木希林；樹木医；樹木葬；樹木学；樹木学者</t>
        </is>
      </c>
      <c r="H3959" t="n">
        <v>29</v>
      </c>
      <c r="I3959" t="inlineStr">
        <is>
          <t>北側は地形の関係から、南側は樹木に邪魔されて視界はあまり良くない。；いずれも樹木の幹や枝の中に根を下ろした灌木のような姿の植物である。；この独特の歯で樹木の葉を櫛で漉き取るように食べていたと推測される。；また、マツの形態的特徴は樹木以外の生物の名前に使われることもある。；多くの面積が公園になっていて、樹木が多い公園では野鳥が散見される。；これらの公園内にある多くの樹木は開発前からあったものである。；樹木の上に木の枝や草の茎、樹木の細い根などを組み合わせた巣を作る。；ほとんどが遊休化し、草木や樹木で覆われているものも少なくなかった。；蝉は何百マイルもの樹木をなくしても良いが人間にそれは許されない。；石垣のライトアップや周辺の樹木の伐採を行うなど整備が行われている。；なお、 自体はある種の樹木を指すローマ時代のラテン語 からである。；この新たな噴気域の拡大に伴い地熱の上昇と樹木の枯死も報告されている。；樹木の多大なコレクションの他、この植物園は系統的に区分されている。；日本の温帯林を代表する樹木で、以下の市町村の木に指定されている。；そのため、植えられた樹木は強い根を張るクロマツが主体となっている。；これらの樹木は樹冠が傘のように丸く盛り上がるのも特徴の一つである。；また、着生植物はまず着生する樹木が伐採されると生息の場が失われる。；太くなった根茎を切断すると樹木の年輪に似た鮮紅色の輪ができている。；本法を適用することで樹木の年代は正確に暦年単位で決定することができる。；構成樹種に葉の表面の照りが強い樹木が多いのでその名がある。；森林の林縁部や民家の近く、農耕地の周辺の樹木などの樹上に生息する。；特に、樹木のように大きいものは、すべてを取り切ることはまずできない。；地元・箱根山の樹木は植林された人工林が多いため、素材には適さない。；文化祭は「香椿祭」と称し、学校の付近にかつてあった樹木に由来する。；樹木によっては、一定の季節に一斉に全ての葉を放棄するものがある。；乾期や冬季がそれほどひどくなければ、樹木は葉を捨てずに切り抜ける。；流入した泥や樹木も大きな被害の元となり、復興にも障害となった。；また、周辺の樹木も少しづつ整理され弥生時代の風景へと整備されつつある。；種類にもよるが、他の樹木が生えないような岩や砂だらけの荒地でもよく育つ。</t>
        </is>
      </c>
      <c r="J3959">
        <f>HYPERLINK("https://www.weblio.jp/content/樹木", "词义详情")</f>
        <v/>
      </c>
      <c r="K3959">
        <f>HYPERLINK("https://yourei.jp/樹木", "查看例句")</f>
        <v/>
      </c>
    </row>
    <row r="3960">
      <c r="A3960" t="inlineStr">
        <is>
          <t>主役</t>
        </is>
      </c>
      <c r="B3960" t="inlineStr">
        <is>
          <t>成功</t>
        </is>
      </c>
      <c r="C3960" t="inlineStr">
        <is>
          <t>読み方：しゅやく
１劇・映画などの主人公の役。また、それを演じる人。
２ある事柄における主要な役割・役目。また、それをつとめる人。「歴史の—をになう」「パーティーの—」</t>
        </is>
      </c>
      <c r="D3960" t="inlineStr">
        <is>
          <t>主役級(3%)；主役機；主役メカ；主役ロボット；主役ライダー</t>
        </is>
      </c>
      <c r="E3960" t="inlineStr">
        <is>
          <t>主人公；主演；ヒーロー；ヒーロ</t>
        </is>
      </c>
      <c r="F3960" t="inlineStr">
        <is>
          <t>主役候補；主役俳優；主役クラス；主役交代；主役陣</t>
        </is>
      </c>
      <c r="H3960" t="n">
        <v>29</v>
      </c>
      <c r="I3960" t="inlineStr">
        <is>
          <t>この時期の重商主義政策では、王が設立許可を出した会社が主役だった。；原作の主人公であるため、ほとんどのシリーズで主役を務めており皆勤。；キャリアの中で、ほぼ主役しか演じないようになる俳優やタレントもいる。；この場合は中にいる人間が主役となるので、個人の差の問題までも考慮する。；さまざまな作品で主役を演じており、劇団の代表的な女優の一人であった。；それまで脇役しか演じたことのなかった藤田が初めて主役に抜擢された。；彼が主役のビデオゲームもNES時代から様々な機種で発売されている。；ミーモが主役格で、他のキャラクターは小さく描かれていることが多い。；彼によって日本は間違いなく世界のファッションシーンの主役になった。；また女優業ではドラマで主役を務めるなど活躍の場を広げた。；また、主役がお七と吉三郎ではなく、紅長こと紅屋長兵衛とお七である。；続いて同年公開の清水宏監督『村の牧場』では早くも主役に抜擢された。；東アジアの高成長は、地域における主役を交代させることで達成してきた。；所属の松竹芸能が主催する舞台では主役のジョン・レノン役を務めた。；国内選手のキャストは主役級の声優を集めている事が売りの一つとなっている。；これは主役の座を明け渡したIGBTでさえ得ることができない性能である。；ただし武蔵を主人公とする作品が多く、小次郎を主役とした作品は少ない。；従来は脇役であったが、近年は狩矢を主役にしたシリーズも制作されている。；これとは別にキタサンヒボタンが主役の女壷振り師のシリーズもある。；近代以降は、特産品ではなく一般的な衣類などの商品が輸出の主役となった。；海外出身者にダンス・歌と並行して日本語の授業を設けており、中には主役を務めた者もいる。；主役となるキャラクターはシリーズを通し、女子高生である事も特徴の一つ。；最も特徴的なのは番組タイトルであり、本作は唯一主役ロボットの個体名を指していない。；主役である学生5人の役を実際の同大学の学生が務めている。；主人公も神話のような神や超人ではなく、あくまで人間が主役となっている。；機体の地味な性格ゆえか、主役よりは脇役としての登場・活躍が目立つ。；この他、1980年代の数多くの作品で主役・ヒロイン役を担当した。；主役は李さんであり、主人公の青年は進行役になっている。；衣装はポイントの場面ではつけるが、主役でさえ稽古着で登場することが多い。</t>
        </is>
      </c>
      <c r="J3960">
        <f>HYPERLINK("https://www.weblio.jp/content/主役", "词义详情")</f>
        <v/>
      </c>
      <c r="K3960">
        <f>HYPERLINK("https://yourei.jp/主役", "查看例句")</f>
        <v/>
      </c>
    </row>
    <row r="3961">
      <c r="A3961" t="inlineStr">
        <is>
          <t>授与</t>
        </is>
      </c>
      <c r="B3961" t="inlineStr">
        <is>
          <t>成功</t>
        </is>
      </c>
      <c r="C3961" t="inlineStr">
        <is>
          <t>読み方：じゅよ
［名］(スル)さずけあたえること。「勲章を—される」「—式」</t>
        </is>
      </c>
      <c r="D3961" t="inlineStr">
        <is>
          <t>授与される(20%)；授与する(7%)；授与式(2%)；授与対象；授与権</t>
        </is>
      </c>
      <c r="E3961" t="inlineStr">
        <is>
          <t>与え；くれる；与える；上げる；述べる</t>
        </is>
      </c>
      <c r="F3961" t="inlineStr">
        <is>
          <t>毎年授与；それぞれ授与；勲章授与；授与する記章；授与する学位</t>
        </is>
      </c>
      <c r="H3961" t="n">
        <v>29</v>
      </c>
      <c r="I3961" t="inlineStr">
        <is>
          <t>他のノーベル賞と異なり、団体も授与対象となっているのが特徴である。；この勲章を授与されたのはコンラート・アデナウアー以来二人目である。；高岡市の名を高め、市民に希望を与える功績を残した人物に授与される。；同賞では、戦法でも囲いでもない特定の一手に対する初の授与であった。；国内唯一の大学以外で学位を授与する機関であり、大学評価機関でもある。；アメリカと日本とイギリスは作曲と演奏でも、博士号を授与している。；アメリカ合衆国の軍人に大統領から直接授与されるものである。；日本芸術院賞は、日本芸術院がその会員以外の者に授与する賞のひとつ。；個々の大会運営委員会の裁量で、他の賞も発表・授与されることがある。；イギリスに存在する主な勲章と、ナイトが授与される等級を以下に示す。；学士の学位を授与された後は、大学院修士課程に進学することができる。；同戦争のケーニヒグレーツの戦いで勇戦した功績によりを授与された。；学位の名称を用いるときには、授与機関の名称を付記しなければならない。；授与された者は最新の弟子として阿弥陀如来と結縁することを意味する。；この年には彼の生涯で初となる名誉博士号がジュネーヴ大学より授与された。；最高勲章は彼女の夫であるアルバート王配が代わりに授与されていた。；その他随行の関係者等にも、その役職に応じた等級の勲章が授与される。；なかには全課程を修了していなくても卒業を授与する大学も一部ある。；日本国内における建築・建設分野で功績を上げた個人・団体を称え授与される。；戦前の昭和17年まで一万人を超える各種武術家に称号が授与されている。；社会的な活動を認められての授与が大半である。；オーケストラが指揮者に音楽顧問の称号を授与・任命する場合がある。；秀吉政権下では一族や大名などに羽柴氏が称号として授与された。；伝統的に作曲と演奏に博士号を授与しない鉄のルールで知られる。；この学位授与はゲッベルスの知識人としてのプライドを大いに満足させた。；しかし、授与以降もそれまで巻いていた赤黒帯を継続して巻いている。；その他の等級に関しても、現在は男女ともに共通の綬をもって授与される。；国王はこのような階級を授与・剥奪する権限を持っている。；経済学賞は、当該受賞者が全盛期を過ぎてから授与されるケースが多い。</t>
        </is>
      </c>
      <c r="J3961">
        <f>HYPERLINK("https://www.weblio.jp/content/授与", "词义详情")</f>
        <v/>
      </c>
      <c r="K3961">
        <f>HYPERLINK("https://yourei.jp/授与", "查看例句")</f>
        <v/>
      </c>
    </row>
    <row r="3962">
      <c r="A3962" t="inlineStr">
        <is>
          <t>主要</t>
        </is>
      </c>
      <c r="B3962" t="inlineStr">
        <is>
          <t>成功</t>
        </is>
      </c>
      <c r="C3962" t="inlineStr">
        <is>
          <t>読み方：しゅよう
［名・形動］いろいろある中で特に大切なこと。また、そのさま。「—なメンバー」「—な事項」「世界の—都市」</t>
        </is>
      </c>
      <c r="D3962" t="inlineStr">
        <is>
          <t>主要都市(5%)；主要道路；主要駅；主要メンバー；主要機器</t>
        </is>
      </c>
      <c r="E3962" t="inlineStr">
        <is>
          <t>必要；重要；大きい；第一；大事</t>
        </is>
      </c>
      <c r="F3962" t="inlineStr">
        <is>
          <t>主要河川；主要施設；主要政党；主要スタッフ；主要路線</t>
        </is>
      </c>
      <c r="G3962" t="inlineStr">
        <is>
          <t>主要地方道；主要産業；主要撮影；主要部；主要キャスト</t>
        </is>
      </c>
      <c r="H3962" t="n">
        <v>29</v>
      </c>
      <c r="I3962" t="inlineStr">
        <is>
          <t>また、ここから転じて中国全土や中国の主要民族を指す名称ともなった。；ニュートン力学の主要な点はすべてこの中に含まれていると言ってもよい。；これに分類される人々の主要な居住地はサハラ以南のアフリカ大陸である。；ビールはパンと並んで主要な食物とされており、大量に生産・消費された。；ただし、主要駅を中心に一部の駅では優先座席の案内板が設置されている。；主要な城は、為政者や指揮官の住居であり、政治や情報の拠点であった。；このことが1933年に日本が国際連盟から脱退する主要な原因となった。；ピタゴラスは音階の主要な音程に対応する数比を発見したとされている。；彼等の果たす主要な役割は、神から人間へのメッセージの伝達である。；古くからホンダを除く主要日本メーカーのほとんどが参戦、活躍を見せた。；このような固有振動数を持つことが、ばねの主要な特性の3つ目である。；しかし一部の主要駅では一世代前のものが使われている駅もある。；人権、基本的自由を尊重する考え方は国連主要目的の柱の一つになった。；イラクは鉄道が発達しており、国内の主要都市すべてが鉄道で結ばれている。；なお、哲学では、強力な還元主義が主要な立場になることは稀である。；儀式用複合施設はミシシッピ文化の人々の宗教では主要な要素だった。；東部の主要都市サンタクルスが開発されたのも第二次世界大戦前後からである。；ベルリン学派の主要な4人は全員米国へ渡り、その地で亡くなっている。；大陸を指す最も狭義の概念は切れ目がない主要な陸地ということになる。；これは主要な心理学者が集っていた二つの大学の名前を指している。；台湾の解禁で主要国で日本映画を上映禁止するのは韓国だけとなった。；大阪線・奈良線と並ぶ近鉄の主要幹線であるが、快速急行の設定はない。；マデイラ諸島は4つの主要な島からなり、南西に900キロ離れている。；歌手の声は歌手それぞれの主要な声種および声域により分類される。；林業にも力を入れており、その主要となっているのは人工造林である。；高速道路や主要道路を中心に、ラジオの再送信を行っているケースもある。；これはリボソームの主要な部分が小胞体に結合しているためである。；交通網の中で主要な路線を幹線と呼び、最も重要な路線は本線と呼ぶ場合もある。；パイロットのみならず、劇場版や最終巻などの主要回の演出を全て務め上げた。</t>
        </is>
      </c>
      <c r="J3962">
        <f>HYPERLINK("https://www.weblio.jp/content/主要", "词义详情")</f>
        <v/>
      </c>
      <c r="K3962">
        <f>HYPERLINK("https://yourei.jp/主要", "查看例句")</f>
        <v/>
      </c>
    </row>
    <row r="3963">
      <c r="A3963" t="inlineStr">
        <is>
          <t>需要</t>
        </is>
      </c>
      <c r="B3963" t="inlineStr">
        <is>
          <t>成功</t>
        </is>
      </c>
      <c r="C3963" t="inlineStr">
        <is>
          <t>読み方：じゅよう
１もとめること。いりよう。「人々の—に応じる」
２家計・企業などの経済主体が市場において購入しようとする欲求。購買力に裏づけられたものをいう。⇔供給。</t>
        </is>
      </c>
      <c r="D3963" t="inlineStr">
        <is>
          <t>需要家(3%)；需要増加；需要が高い；需要量；需要が多い</t>
        </is>
      </c>
      <c r="E3963" t="inlineStr">
        <is>
          <t>接収；徴用；徴発；入用；入り用</t>
        </is>
      </c>
      <c r="F3963" t="inlineStr">
        <is>
          <t>水需要；航空需要；交通需要；観光需要；大口需要</t>
        </is>
      </c>
      <c r="G3963" t="inlineStr">
        <is>
          <t>需要予測；需要拡大；需要曲線；需要喚起；需要供給</t>
        </is>
      </c>
      <c r="H3963" t="n">
        <v>29</v>
      </c>
      <c r="I3963" t="inlineStr">
        <is>
          <t>そして各需要家に発電所から電気を供給するためのシステムを構築した。；特に魚肉の一種とみなされ食肉が禁止されていた修道院に需要があった。；またロシアに並ぶ輸出相手国であった中国の需要が減少するなど経済環境が悪化。；これは駅間距離の短さも手伝って日中の生活需要も大きいためである。；需要自体が少ないため、近代的な品種改良もあまり行われてはいない。；一時は需要が急増してフル生産体制になり、メーカーは当惑したという。；州人口が増加を続けているために水需要については大きな歪みを生じている。；新たな刀の需要は殆どなくなり、当時活躍した多くの刀鍛冶は職を失った。；本形式は登場以来需要の変化に対応するため、頻繁に編成が組みかえられた。；このためアミノ酸の合成は需要が高く、種々の方法が提案されている。；また、北米ではある程度の需要が見込めるクーペも引き続き設定された。；一般には価格が上昇すると需要は減少する傾向がある。；福岡都市圏の拡大に伴い輸送需要が増加し、列車本数は増加傾向にある。；こういった夢は、確かにモチベーションの維持という観点では需要である。；これは価格が上がるほど需要量が減少することによる。；需要とは、人々がある時点で購入したいと思っている商品の価値の尺度である。；その後第二次世界大戦の需要でダグラス社は成長することとなる。；これらの経験から関係者や国民の間で情報収集衛星の需要が徐々に高まった。；ワシントン州の特徴ある地形のために例外的な交通需要がある。；また有力者からの需要が多かった胸像の優れた彫り手でもあった。；生き残ったものは山上にも町があり、観光以外の需要があるものだけだった。；こうした調整の結果、需要量と供給量が一致する価格が実現すると考えられる。；また需要に対して発電量が不足する場合は、他の電源に頼ることになる。；電灯需要地に近いエリアへ直流送電するため都市内に建設されたものである。；特に2004年以降は携帯電話の着メロ用の半導体の需要が堅調である。；さらに需要の少ない路線には座席数数十席程度のコミューター機が使用される。；ウェストバージニア州の石炭は五大湖の港から大きな需要が来ていた。；この膨大な需要は、運河周辺に様々な産業を立地させることになった。；しかし国産ワインの需要も少なく、各地で細々と作られていただけであった。</t>
        </is>
      </c>
      <c r="J3963">
        <f>HYPERLINK("https://www.weblio.jp/content/需要", "词义详情")</f>
        <v/>
      </c>
      <c r="K3963">
        <f>HYPERLINK("https://yourei.jp/需要", "查看例句")</f>
        <v/>
      </c>
    </row>
    <row r="3964">
      <c r="A3964" t="inlineStr">
        <is>
          <t>樹立</t>
        </is>
      </c>
      <c r="B3964" t="inlineStr">
        <is>
          <t>成功</t>
        </is>
      </c>
      <c r="C3964" t="inlineStr">
        <is>
          <t>読み方：じゅりつ
１［名］(スル)しっかりと立つこと。また、しっかりとうちたてること。「世界新記録を—する」「国交—」
２交配によって新品種を作出すること。
３生体から単離した細胞や遺伝子などに何らかの手を加えた細胞を安定的に培養し、医学や生物学の研究に利用できる状態にすること。</t>
        </is>
      </c>
      <c r="D3964" t="inlineStr">
        <is>
          <t>樹立すること(2%)；樹立される；樹立後；樹立しよ；樹立し自立</t>
        </is>
      </c>
      <c r="E3964" t="inlineStr">
        <is>
          <t>設置；建設；設立；制作；設定</t>
        </is>
      </c>
      <c r="F3964" t="inlineStr">
        <is>
          <t>国交樹立；政権樹立；政府樹立；外交関係樹立；記録樹立</t>
        </is>
      </c>
      <c r="H3964" t="n">
        <v>29</v>
      </c>
      <c r="I3964" t="inlineStr">
        <is>
          <t>この大会で数々の記念碑を樹立してきたワトソンの最後のメジャー優勝になる。；またこの時当時の歴代1位タイとなる17戦連続完走記録も樹立した。；その結果、各共和国にはいずれも民族色の強い政権が樹立された。；その演技力が評価され、シリーズ最高記録の興業収入を樹立した。；だが、連立政権を樹立するには直隷派も奉天派も共に権力欲が強過ぎた。；地方にも続々と反乱政府が樹立されていき、北インド全域に反乱が拡大した。；政府樹立当時の政治状況から大統領制と議院内閣制の折衷として設けられた。；そして1月17日に安全委員会は王政の廃止と暫定政府樹立を宣言した。；しかしソ連はその占領地域に影響下の政府を樹立し、影響力を拡大していた。；モルディブは独立の2年後、1967年に日本との国交を樹立している。；しかし、その後3か月間、安定した政権を樹立する試みは失敗した。；これに伴い、ルワンダでは暫定政府が樹立され、戦闘は一応の収束を見た。；松本謙吾はこの大会で3試合連続本塁打の大会タイ記録を樹立している。；同時に明の大統暦が日本国王に授与され、両国の国交が正式に樹立された。；笑い飯がM-1決勝大会で樹立して現在も保持している記録を記載。；第二次世界大戦直後は、世界政府樹立とそれによる平和維持をめざした。；天台宗独自の制度樹立を図った最澄の意図についてはいくつか考えられる。；日本でも55年体制が崩壊し、非自民・非共産連立政権が樹立された。；江夏はこれ以後抑えに転向し、当時の記録である6試合連続セーブを樹立。；この政権は政権樹立後、反EUや反移民を訴えて指示を拡大した。；これを独自の武家政権を樹立する構えと解釈した天皇との関係が悪化、建武の乱が勃発した。；第二次世界大戦後、イタリアでは王政が廃止されて共和国が樹立した。；国交樹立までの日本と中華人民共和国との交流は、細々とした民間交流に過ぎなかった。；新国家の樹立にも力を尽くした極右政党のブラジル統合主義運動も解散させた。；冀東防共自治政府は日本の華北分離工作によって樹立されたものであった。；このシーズンには23試合連続勝利の記録も樹立した。；文武の新しい統合の道を樹立しなければ日本は救われない。；それに対して、さらに細分化された民族が自らの政府の樹立を望んで国民となろうとしているようにも見える地域も無数に存在している。；戦後は新たに樹立したユーゴスラビア社会主義連邦共和国の共和国の一つとなった。</t>
        </is>
      </c>
      <c r="J3964">
        <f>HYPERLINK("https://www.weblio.jp/content/樹立", "词义详情")</f>
        <v/>
      </c>
      <c r="K3964">
        <f>HYPERLINK("https://yourei.jp/樹立", "查看例句")</f>
        <v/>
      </c>
    </row>
    <row r="3965">
      <c r="A3965" t="inlineStr">
        <is>
          <t>種類</t>
        </is>
      </c>
      <c r="B3965" t="inlineStr">
        <is>
          <t>成功</t>
        </is>
      </c>
      <c r="C3965" t="inlineStr">
        <is>
          <t>読み方：しゅるい
ある基準でみて性質・形態などが共通するものを分類し、それぞれのまとまりとしたもの。「どういう—の本ですか」「蝶は非常に—が多い」</t>
        </is>
      </c>
      <c r="D3965" t="inlineStr">
        <is>
          <t>種類ごと；種類以上；種類別；種類の多；種類毎</t>
        </is>
      </c>
      <c r="E3965" t="inlineStr">
        <is>
          <t>目；部；型；種；類</t>
        </is>
      </c>
      <c r="F3965" t="inlineStr">
        <is>
          <t>様々な種類；同じ種類；さまざまな種類；どんな種類；多種類</t>
        </is>
      </c>
      <c r="G3965" t="inlineStr">
        <is>
          <t>種類株主；種類債権；種類株</t>
        </is>
      </c>
      <c r="H3965" t="n">
        <v>29</v>
      </c>
      <c r="I3965" t="inlineStr">
        <is>
          <t>この反応を行う合成系にはいくつかの種類があることが知られている。；当記事の最初で説明したように、ゲーム機には以下のような種類がある。；左側眼・右側眼の両方の種類がいて、種の中では向きが統一されている。；したがって、ラムの種類を変えることでも味の調整を行うことができる。；原料の種類も七種に限らず、客の求めに応じて減じたり増したりできる。；JR化後に開発・採用されたデジタルATCは以下のような種類がある。；こうした酒米の種類の多極化は、精米歩合の技術にも変化を与えている。；なお、下記に示した種類は日本において知名度の高いものを挙げている。；このために気体の状態では物質の種類を問わずに共通の性質が表れやすい。；画面は升目状に区切られており、いくつかの種類の駒が配置されている。；設置された時期や場所により様々な種類の公衆電話が設置されている。；その後も研究が進み、今日では非常に様々な種類のダイオードが存在する。；これらの種類の結合は似た電気陰性度を持つ原子間でのみ安定である。；ただし特別な処理を行なわなくても発芽する種類がほとんどである。；ボーゾックの構成員が使用する巨大車両で、こちらも様々な種類がある。；混合物とは、単体の複数の種類のものが混じり合ってできたもののこと。；今日では反応の種類に応じて多くの種類の触媒が開発されている。；この過程の細かい部分は宇宙の物質の量と種類によって変わってくる。；一度職業を決めると4種類の職業から違う種類に途中変更は効かない。；多種類の帳簿があったとされ、現在確認されているのは11種類ある。；なお、近縁の数亜科にまたがる種類の魚をまとめてプレコと呼んでいる。；分類上の種類は様々あるが一般的に用いられるものは主に以下の2つとなる。；球果と枝とを結ぶ柄についても長いものから短いものまで種類は様々である。；ただ個体レベルでは動作の種類に応じて左右のどちらかの手足を使う傾向がある。；様々な種類のメッセージを受信する際の構文解析などでよく使われる。；これまで合成された金の化合物の種類は同族の銀や銅と比べて少ない。；これは、分子内の結合や官能基の種類を特定するために一般に使用される。；敵に囲まれた空挺部隊の為、あらゆる種類の大砲が必要な場所に送られた。；IEEEのメンバーシップと所属にはいくつかの種類とグレードがある。</t>
        </is>
      </c>
      <c r="J3965">
        <f>HYPERLINK("https://www.weblio.jp/content/種類", "词义详情")</f>
        <v/>
      </c>
      <c r="K3965">
        <f>HYPERLINK("https://yourei.jp/種類", "查看例句")</f>
        <v/>
      </c>
    </row>
    <row r="3966">
      <c r="A3966" t="inlineStr">
        <is>
          <t>受話器</t>
        </is>
      </c>
      <c r="B3966" t="inlineStr">
        <is>
          <t>成功</t>
        </is>
      </c>
      <c r="C3966" t="inlineStr">
        <is>
          <t>読み方：じゅわき
電話機の受信用の音声再生装置。電気エネルギーとして流れた音声を音響エネルギーに変換する。レシーバー。⇔送話器。</t>
        </is>
      </c>
      <c r="D3966" t="inlineStr">
        <is>
          <t>受話器をとりあげ；受話器をつかん；受話器越し</t>
        </is>
      </c>
      <c r="E3966" t="inlineStr">
        <is>
          <t>レシーバー；イヤホン；ヘッドホン；ヘッドフォン；イヤホーン</t>
        </is>
      </c>
      <c r="F3966" t="inlineStr">
        <is>
          <t>急いで受話器；受話器を握り直し；受話器をとり上げ；受話器をさし出し；受話器をつかみ上げ</t>
        </is>
      </c>
      <c r="H3966" t="n">
        <v>29</v>
      </c>
      <c r="I3966" t="inlineStr">
        <is>
          <t>受話器を戻して一歩足を階段の方向に出した時、またもや電話が鳴った。；やがて、彼の耳に押しあてた受話器に、女の声が軋るような音をたてた。；弁護士は受話器をおいて、回転椅子にもたれかかって煙草に火をつけた。；彼は、思わず受話器を耳から離したが、それを置くのを忘れてしまった。；女性は受話器を持ったまま血を流して倒れていたが、一命を取り留めた。；あの女が手に受話器をもって電話している姿が目に見えるようだ。；受話器をとってから、交換手が出るまでに、ひどい時には五分もかかる。；リックは受話器を手にして立ったまま、彼女の心の離脱を感じていた。；キッチンにいたお母さんが、バタバタと出てきて元気に受話器を取った。；受話器をはずして返事をすると、電話をかけて来たのは三木健であった。；当時の電話は今と違い、受話器を取ると隣の通話も聞こえたのである。；慌てて受話器をズック鞄の中へ返したが、その眼は好奇心に輝いていた。；「電話くらいしておくか」 部屋に備え付けられた電話の受話器をとる。；受話器を耳に当ててしばらく待っていた彼は明るい声でいった。；そしてまた、その電話を他の受話器で同時に聞き、かつ話すこともできた。；ところが、いつまでたっても、受話器からはなんの音もはいって来ません。；棍棒みたいな受話器を耳にあてて待っているあいだに、彼女はいった。；私が受話器を耳に当てると、思いがけず娘の嗚咽する声が伝わって来た。；翠はぼんやりとテレビを眺めながら、受話器の向こうに神経を集中させた。；歯でビールの王冠を開けた女は、相変らず受話器を耳に当てたままである。；まるで別の誰かが女から受話器を奪ってたたきつけたような切れ方だった。；それから受話器を静かに置いて切り、アネットに質問させないようにしろ。；肩で息をしながら立ったままで受話器を鷲掴みにして耳に当てた。；受話器を置かずにどうかメッセージが終わるまでお聞きください。；私は居ても立ってもいられなくなって、売店の公衆電話の受話器をとった。；この場合、食べている最中に電話が鳴っても誰も受話器をとらないのでしょうか。；今日のように、電話の途中で荒々しく受話器をおいたことはなかった。；計算を行う場合は、電話機の受話器を上げセンター番号をダイヤルする。；受話器をとり、遠慮なく話すべきことを話して、問題は円満に解決した。</t>
        </is>
      </c>
      <c r="J3966">
        <f>HYPERLINK("https://www.weblio.jp/content/受話器", "词义详情")</f>
        <v/>
      </c>
      <c r="K3966">
        <f>HYPERLINK("https://yourei.jp/受話器", "查看例句")</f>
        <v/>
      </c>
    </row>
    <row r="3967">
      <c r="A3967" t="inlineStr">
        <is>
          <t>準～</t>
        </is>
      </c>
      <c r="B3967" t="inlineStr">
        <is>
          <t>成功</t>
        </is>
      </c>
      <c r="C3967" t="inlineStr">
        <is>
          <t>読み方：みずもり
細長い材に溝をつけて水を入れ、土台面などにのせて水平かどうかを測定すること。また、その器具。みずばかり。水準(すいじゅん)。</t>
        </is>
      </c>
      <c r="H3967" t="n">
        <v>0</v>
      </c>
      <c r="J3967">
        <f>HYPERLINK("https://www.weblio.jp/content/準～", "词义详情")</f>
        <v/>
      </c>
      <c r="K3967">
        <f>HYPERLINK("https://yourei.jp/準～", "查看例句")</f>
        <v/>
      </c>
    </row>
    <row r="3968">
      <c r="A3968" t="inlineStr">
        <is>
          <t>瞬間</t>
        </is>
      </c>
      <c r="B3968" t="inlineStr">
        <is>
          <t>成功</t>
        </is>
      </c>
      <c r="C3968" t="inlineStr">
        <is>
          <t>読み方：しゅんかん
《またたきをする間の意》きわめて短い時間。またたく間。また、何かをした、そのとたん。「事故は—の出来事だった」「声を聞いた—子どものころを思い出した」「決定的—」</t>
        </is>
      </c>
      <c r="D3968" t="inlineStr">
        <is>
          <t>瞬間的；瞬間移動；瞬間瞬間；瞬間風速；瞬間最大風速</t>
        </is>
      </c>
      <c r="E3968" t="inlineStr">
        <is>
          <t>時期；時点；一瞬；タイミング；とっさ</t>
        </is>
      </c>
      <c r="F3968" t="inlineStr">
        <is>
          <t>決定的瞬間；ほんの瞬間；決定的な瞬間；こういう瞬間；瞬間湯わかし器</t>
        </is>
      </c>
      <c r="G3968" t="inlineStr">
        <is>
          <t>瞬間移動；瞬間接着剤；瞬間湯沸かし器；瞬間物質移送器；瞬間中心</t>
        </is>
      </c>
      <c r="H3968" t="n">
        <v>29</v>
      </c>
      <c r="I3968" t="inlineStr">
        <is>
          <t>日々なにげないことで幸せを感じる瞬間・体験を送ってもらうコーナー。；皮肉な事に、これが長年彼が心の中で望んでいた朝鮮解放の瞬間であった。；上田本人は車が衝突した瞬間以降のことは記憶に残っていなかったという。；生前に「なるほどそうだったのかと思えるのが死の瞬間」と語っていた。；さらに金星が西へ進み、完全に太陽面から離れた瞬間を第4接触という。；パリは瞬間的に新勢力に占拠され、またもとの日常へともどっていった。；時刻とは、時間の流れにおけるある一点、連続する時間の中のある瞬間。；そして、瞬間瞬間の意識体験は高次元空間上の一点で指定されるとする。；意識が絶える瞬間まで「早く仕事に戻りたい」と繰り返していたという。；逆に子の側には、仲間を助ける際の瞬間的な判断と勇気が求められる。；アニメに登場しない独自の設定が、元のアニメを越えてしまった瞬間である。；その瞬間、金賢姫はそれが彼女の本当の名前なのではないかと思った。；降りた瞬間、計時係がストップウォッチを押して正確な時間を測定した。；公称速度とされているのは無線機器間を結ぶ瞬間的な通信速度である。；日没時刻は、太陽の縁が西の地平線の下に沈んだ瞬間として定義される。；死亡: 上二つの場合以外なら、次の瞬間にそのセルは白いセルになる。；競馬においては、ゴールとは馬体の一部が決勝線に到達した瞬間を指す。；これが新しいスポーツが作られた瞬間であると歴史家によって考えられている。；全ての苦労が報われ、夢は叶うと言い続けて実現させた瞬間であった。；記憶にある瞬間瞬間と現在瞬間が比較される時、時間概念が誕生するわけである。；ティティの起点となる朔及び望の瞬間は1日のどの時間でも起こり得る。；番組終盤では事故の映像が公開され、リチャード自ら瞬間を解説している。；その瞬間ミシガン大の2年越しの全米制覇の夢は終了となってしまった。；階下に降りた瞬間に、それがイライラの歌から宇宙の歌へと変わった。；人類が初めて地球の全体像をひと目で見たのは、まさにこの瞬間であった。；黄経では180度となり、この点を太陽が通過する瞬間が秋分となる。；発表の瞬間は民間放送の情報ワイドショー番組などで中継することが多い。；また、発動した瞬間は無敵らしく、敵の攻撃を防ぐのにも使えたりする。；ウェールズ語の出現は瞬間的ではなく、明確に特定できるものではなかった。</t>
        </is>
      </c>
      <c r="J3968">
        <f>HYPERLINK("https://www.weblio.jp/content/瞬間", "词义详情")</f>
        <v/>
      </c>
      <c r="K3968">
        <f>HYPERLINK("https://yourei.jp/瞬間", "查看例句")</f>
        <v/>
      </c>
    </row>
    <row r="3969">
      <c r="A3969" t="inlineStr">
        <is>
          <t>循環</t>
        </is>
      </c>
      <c r="B3969" t="inlineStr">
        <is>
          <t>成功</t>
        </is>
      </c>
      <c r="C3969" t="inlineStr">
        <is>
          <t>読み方：じゅんかん
［名］(スル)
１ひとめぐりして、もとへ戻ることを繰り返すこと。「市内—バス」
２血液やリンパが体内をめぐること。「血液が—する」
３流体力学で、ある閉曲線上で流体の速度の接線成分を積分した値。</t>
        </is>
      </c>
      <c r="D3969" t="inlineStr">
        <is>
          <t>循環する(12%)；循環バス(7%)；循環路線(3%)；循環式(2%)；循環的(2%)</t>
        </is>
      </c>
      <c r="E3969" t="inlineStr">
        <is>
          <t>円；回転；輪；丸；回り</t>
        </is>
      </c>
      <c r="F3969" t="inlineStr">
        <is>
          <t>再循環；循環ポンプ；好循環；循環障害；循環経路</t>
        </is>
      </c>
      <c r="G3969" t="inlineStr">
        <is>
          <t>循環器；循環系；循環器系；循環論；循環型社会</t>
        </is>
      </c>
      <c r="H3969" t="n">
        <v>29</v>
      </c>
      <c r="I3969" t="inlineStr">
        <is>
          <t>は内部に循環を持たないニューラルネットワークの総称・クラスである。；循環宇宙論の中で、1つの宇宙が誕生し消滅するまでの期間と言われる。；また試験的に運行していた浦戸循環線では高知県交通も乗り入れていた。；主に機械・電気機器の冷却、装置内部等の空気の循環などに使用される。；リカードが考えていたのは、財の生産に財が投入される循環構造である。；熱帯低気圧は、地球表面の大気の循環の中でも一定の役割を担っている。；すなわち原子炉出力を上げたい時は冷却材再循環ポンプの出力を上げる。；そしてこれらがさらに機械の発明や改善に繋がる好循環を生み出した。；昭和30年代の開通だが、前述の三宿循環の開業より数年後のことである。；無駄のない循環作用が厳しい環境で生きるモンゴル高原の人々を長年支えてきた。；次の関数は双方向循環リスト上のノードの次に新たなノードを追加する。；その循環のためにポンプの役割をする器官があり、これが心臓である。；戸塚駅から北部に位置する上矢部地区周辺を循環運行する路線である。；家具などが空気の循環を遮断しないよう設置場所に気をつける必要がある。；また、関東バスのエリアに入るくぬぎ橋循環が僅かに設定されている。；このほか、市内各地に向けて循環バスとデマンドタクシーも運行されている。；疾患ではないが、喫煙などでも循環血漿量の減少をもたらすことがある。；あるいは、前世代人の肉体も循環可能な資源とみなされる場合もある。；この循環は、コンピュータや現在のパソコンにも見られる大きな要素である。；内部に2系統以上の熱交換器を持ち、給湯・風呂循環を行う事が出来る。；市が尾駅からの循環線と、川和高校方面の路線で構成されていた系統。；このような短期的な循環だけでなく、より複雑な炭素循環も機能する。；中心街は谷状の窪地に位置しており、空気の循環が制限されている。；久里浜地域内を循環していた系統路線で2000年3月まで運行されていた。；地球上には多くの水が存在しており、生物の生育や熱の循環に重要な役割を持っている。；伊万里市街を循環する路線と、郊外と市街地の間を結ぶ路線が発着している。；つまり心臓から全身を回る循環と、肺へ行ってすぐ戻る循環が分化する。；反とは道の動とされ、道は循環運動を永遠に続けているとされる。；下図は、左に3文字の循環シフトをした場合のアルファベット列である。</t>
        </is>
      </c>
      <c r="J3969">
        <f>HYPERLINK("https://www.weblio.jp/content/循環", "词义详情")</f>
        <v/>
      </c>
      <c r="K3969">
        <f>HYPERLINK("https://yourei.jp/循環", "查看例句")</f>
        <v/>
      </c>
    </row>
    <row r="3970">
      <c r="A3970" t="inlineStr">
        <is>
          <t>準急</t>
        </is>
      </c>
      <c r="B3970" t="inlineStr">
        <is>
          <t>成功</t>
        </is>
      </c>
      <c r="C3970" t="inlineStr">
        <is>
          <t>読み方：じゅんきゅう
《「準急行列車」の略》急行列車よりやや停車駅の数の多い列車。</t>
        </is>
      </c>
      <c r="D3970" t="inlineStr">
        <is>
          <t>準急運用；準急運転；準急形；準急a；準急通過駅</t>
        </is>
      </c>
      <c r="F3970" t="inlineStr">
        <is>
          <t>臨時準急；急行または準急；上り準急；気動車準急；直通する準急</t>
        </is>
      </c>
      <c r="G3970" t="inlineStr">
        <is>
          <t>準急行；準急電車；準急行列車；準急形車両；準急形気動車</t>
        </is>
      </c>
      <c r="H3970" t="n">
        <v>29</v>
      </c>
      <c r="I3970" t="inlineStr">
        <is>
          <t>朝ラッシュ時・夕方・夜には当駅発着の急行・準急・普通が設定されている。；日中は土休日の下りを除いて特急と準急との緩急接続が行われている。；ホームは大変狭いものの、急行と準急が高速で通過していくため注意が必要。；これにより100kmを超えて走行する準急はすべて急行列車となった。；座席も車体幅拡幅を受けて準急形に準じたゆとりのあるものとなった。；名古屋線の準急・普通を中心に、一部は山田線・鳥羽線でも運用されている。；この準急は他の準急とは別に設定されており、途中矢田駅のみ停車していた。；準急が停車するようになった理由は、ホーム有効長が長かったためである。；京橋駅を出ると普通や準急との連絡はなく、樟葉着は0時49分である。；また、1961年には国鉄の準急夕張に対抗して急行列車が運行された。；そのため、泉大津駅と浜寺公園駅の3番線に停車する準急は存在しない。；当駅発着の区間急行・普通はほとんどの列車が準急と接続する。；この列車では運板が桜のマークであったことから、通称「桜準急」と呼ばれていた。；また、準急や快速などの運用の場合はスクロールせずに表示された。；なお、急行列車の一部区間のみ「準急」として運行する事例が存在した。；なお、国鉄時代は大阪側・名古屋側双方を発着する準急の夜行列車もあった。；大阪線のみならず、近鉄全体で準急が通過する駅では最も多い。；三島駅 - イエティ間は準急と特急合わせて2往復が毎日運転される。；なお、この年の5月には九州で準急「あさぎり」の運行が開始されている。；これに伴い日中の急行は上りが準急、下りが普通に種別変更され設定がなくなった。；時間帯によっては、快速は池袋駅発、準急は地下鉄線方面発と逆になる。；準急は1946年に設定され、金岡駅と鳳駅以南の各駅に停車していた。；準急は急行が運行されていない時間帯および朝ラッシュ時の上りに運行されている。；かつては準急も存在したが、現在は廃止されている。；また有楽町線内での通過運転は2010年に廃止された準急以来7年ぶりとなる。；急行は尾張旭駅と三郷駅に停車し、準急と普通は市内の全ての駅に停車する。；快速急行は大和八木駅で特急と接続をし、一部の準急とも接続を行う。；高速・特急・快速・急行・準急バスほか空港線その他特殊路線のみ述べる。；朝と夕方のラッシュ時は区間準急から準急となり、大半が当駅で折り返す。</t>
        </is>
      </c>
      <c r="J3970">
        <f>HYPERLINK("https://www.weblio.jp/content/準急", "词义详情")</f>
        <v/>
      </c>
      <c r="K3970">
        <f>HYPERLINK("https://yourei.jp/準急", "查看例句")</f>
        <v/>
      </c>
    </row>
    <row r="3971">
      <c r="A3971" t="inlineStr">
        <is>
          <t>巡査</t>
        </is>
      </c>
      <c r="B3971" t="inlineStr">
        <is>
          <t>成功</t>
        </is>
      </c>
      <c r="C3971" t="inlineStr">
        <is>
          <t>読み方：じゅんさ
１警察官の階級の一。巡査部長の下で最下位。一般職の地方公務員。役職は警視庁・警察署の係員など。
２一般に、警察官。
[補説]明治5年（1872）司法省に警察行政が移ってからの称。明治初年は邏卒(らそつ)といった。</t>
        </is>
      </c>
      <c r="D3971" t="inlineStr">
        <is>
          <t>巡査たち(3%)；巡査さん；巡査派出所；巡査達；巡査ども</t>
        </is>
      </c>
      <c r="E3971" t="inlineStr">
        <is>
          <t>警察；警官；警察官；察；ポリス</t>
        </is>
      </c>
      <c r="F3971" t="inlineStr">
        <is>
          <t>交通巡査；青木巡査；油戸巡査；阿部巡査；草川巡査</t>
        </is>
      </c>
      <c r="G3971" t="inlineStr">
        <is>
          <t>巡査長；巡査教習所；巡査・今泉慎太郎；巡査分限令</t>
        </is>
      </c>
      <c r="H3971" t="n">
        <v>29</v>
      </c>
      <c r="I3971" t="inlineStr">
        <is>
          <t>巡査はしばらく前からここにいるが、通ったのは一人の女だけと答える。；わたしは不思議に思って前の方を見ると、そこに巡査の派出所があった。；そして自分も監督や巡査と一緒に後の一台へ乗ろうとした時であった。；女は巡査との情事の際中に店にやって来た男Xに殺されていたのだった。；何にしても婦人は大きに怒り、地階に達するや否や巡査にこれを訴えた。；これが土地の警察の耳にもはいって、刑事巡査は富子の宿へも調べに来た。；昨日の刑事は二人の巡査を伴って、約束通り一時カッキリにやって来た。；これは巡査に暴行したとされ、石川島監獄に収容されていたからである。；さうしなければいつ警察から巡査が連れに来るかわからぬと思つたからであつた。；千住までくると、そこにはもう巡査二名が暗中に佇んで橋を守っていた。；そのあとあらわれたのは、角灯を掲げ棒を持つ巡査姿の杉田薫であった。；そこへ帽を目深にかぶった巡査が一人歩みより、少年の肩へ手をかける。；これは巡査長が階級的職位にすぎず、階級上は巡査と同格だからである。；時々巡査が来て小言を云うが、すぐまた元のように人山が出来てしまう。；そうして、かれと巡査とお春とお留とが一緒につながって宿へはいって来た。；警備の巡査を近辺につけてくれと言われても、気にしませんでした。；遠泉君は漁師から聞いたあばた蟹の話をすると、巡査はただ笑っていた。；このとき早く、警護の麹町署の巡査二人が駈けつけて正造を抱き止めた。；最初の巡回の間、二人はほとんどの巡査が持ち場にいないことに気づいた。；巡査のうち一定の条件を満たすものを「巡査長」に任命する制度がある。；あとになって、実際ゴリラ男の為に噛みつかれた巡査さえあったのだから。；一体、何か事あるごとに一々そこへ巡査を呼んで来たりするのはよくない。；本町に出て見たが、巡査がぢつとして立つてゐる外に、人が一人もゐない。；巡査は松明を片手に這い寄ると、穴の奥から不意に一個の石が飛んで来た。；もし巡査にでも見られた日には盗賊の名を負わされたかも知れない。；塚田巡査が穴を降るに就ては、市郎ほどの危険と困難とを感じなかった。；放火現場に書かれたマークが病院にもあると聞いた久能は池本巡査に連絡。；そこへ、刑事と巡査が青年の腕を抱えながら、屍骸の前にやって来た。；主任も巡査も、昼間の手紙のことなんかてんで問題にしていないのです。</t>
        </is>
      </c>
      <c r="J3971">
        <f>HYPERLINK("https://www.weblio.jp/content/巡査", "词义详情")</f>
        <v/>
      </c>
      <c r="K3971">
        <f>HYPERLINK("https://yourei.jp/巡査", "查看例句")</f>
        <v/>
      </c>
    </row>
    <row r="3972">
      <c r="A3972" t="inlineStr">
        <is>
          <t>瞬時</t>
        </is>
      </c>
      <c r="B3972" t="inlineStr">
        <is>
          <t>成功</t>
        </is>
      </c>
      <c r="C3972" t="inlineStr">
        <is>
          <t>読み方：しゅんじ
またたく間(ま)。ほんのわずかな時間。瞬間。「—も忘れることのない面影」</t>
        </is>
      </c>
      <c r="D3972" t="inlineStr">
        <is>
          <t>瞬時に沈没；瞬時値；瞬時に移動できる；瞬時に回復できる；瞬時に行えるよう</t>
        </is>
      </c>
      <c r="E3972" t="inlineStr">
        <is>
          <t>時；瞬間；一瞬；時刻；とっさ</t>
        </is>
      </c>
      <c r="G3972" t="inlineStr">
        <is>
          <t>瞬時符号</t>
        </is>
      </c>
      <c r="H3972" t="n">
        <v>29</v>
      </c>
      <c r="I3972" t="inlineStr">
        <is>
          <t>中には特に制限時間がなく瞬時に特定の武器を得るだけのものもある。；しかし自分が実際に死んでいると想像したことは一瞬時もなかった。；黄色には瞬時に全てのものを生き生きとさせる魔法の特性があったわ。；一度訪れた部屋はゲーム中断時の画面から選択して瞬時に移動できる。；そこに瞬時に巻き違う寂しさに似たものの淀みもたまって来るのだった。；びしょ濡れの自分を見た彼は、自分が空間を瞬時に移動できることを知る。；格納庫は瞬時に大炎上したが機体は全機、掩体壕内にあり無事であった。；瞬時に発火するため一連の爆発が一発の大爆発のように聞こえます。；操作キャラクターは最大4人の編成から瞬時に切り替えることができる。；もうどこにも逃げ場はないし、掠奪者の眼は瞬時も獲物からはなれない。；ジャック・ソニエールが今夜したことの全貌が、瞬時にして見てとれた。；アレッサンは瞬時に自分の寝室の扉に顔を向け、心配そうに息をのんだ。；その穴には、瞬時にその形から外国人の眼が覗いていると判断したのだった。；それが無駄口を叩くなという無言の圧力であると静嵐は瞬時に判断した。；ほんの瞬時の衝突によって接触して、彼の生は彼の死と化合したのだった。；けれども瞬時にしてスノーボールの雄弁が彼らの心をさらってしまった。；八紘丸はの地点で瞬時に爆沈し、ラッシャーがその様子を確認していた。；この高速では瞬時にしてそのエネルギーの狂宴の現場についてしまうのだから。；自ら先駆けて敵機の技量や能力を分析し、瞬時に有効な手段を判断する。；二匹目が瞬時に死ぬと、残った怪物どもは互いに甲高い声で鳴き交わす。；ノートを見れば、今俺が考えた程度の結論には、瞬時に到達できるはずだ。；状況判断力が高く、自分のおかれた状況を瞬時に理解することも可能である。；なお瞬時に決められた場所へ戻れる帰還の術を覚えるキャラクターもいる。；ああ、彼が故郷を思い出すのは、僅かにこの一瞬時あるばかりであった。；昨夜は涙ぐむまでに彼の心を動かした感動のすべてが瞬時にして消え去った。；それは現実的な前提から出発し、それを瞬時といえども離れない。；この方法は瞬時に利益を得ることはできないが長期的に利益を得ることができる。；サイクロメトラの能力で、傷付いても瞬時に再生できるようになっている。；彼女は、私の様子から、隣室と私との妙な関係を瞬時に察したようでした。</t>
        </is>
      </c>
      <c r="J3972">
        <f>HYPERLINK("https://www.weblio.jp/content/瞬時", "词义详情")</f>
        <v/>
      </c>
      <c r="K3972">
        <f>HYPERLINK("https://yourei.jp/瞬時", "查看例句")</f>
        <v/>
      </c>
    </row>
    <row r="3973">
      <c r="A3973" t="inlineStr">
        <is>
          <t>順々に</t>
        </is>
      </c>
      <c r="B3973" t="inlineStr">
        <is>
          <t>成功</t>
        </is>
      </c>
      <c r="C3973" t="inlineStr">
        <is>
          <t>読み方：じゅんじゅん
（多く「に」を伴って副詞的に用いる）順序を追ってすること。順次。「—に仕事をかたづける」</t>
        </is>
      </c>
      <c r="D3973" t="inlineStr">
        <is>
          <t>順に；連続的；逐次；順々に；順順</t>
        </is>
      </c>
      <c r="F3973" t="inlineStr">
        <is>
          <t>一人ずつ順々；みんな順々；一つ一つ順々</t>
        </is>
      </c>
      <c r="H3973" t="n">
        <v>29</v>
      </c>
      <c r="I3973" t="inlineStr">
        <is>
          <t>そこで外の鳥は残りの乏しい水で順々に浴びなくてはならぬやうになる。；行列があんまり長くなり過ぎたので、心配した人が順々に数えはじめた。；屋敷のなかも順々に教えてやるが、通っていい場所は決められている。；小太郎はかれの背後に居ならんだ黒衣の人影に順々に目を移していった。；一瞬一つの窓に姿を見せたかと思うと、すぐまた次と、順々に開けて行く。；驚いたことに山に近づいた者から順々に射るので、誰も山に入れない。；警部がポケットから出した物を箱の上におくと、彼は順々にそれを見ていった。；そして、そんな事を自分の手で順々になおして行かなくちゃならないのよ。；順々に四ツ足じみた背中が引っ込んではまた次の背中がタコの前に出た。；素数を小さい方から順々にかいて1万個目までいったほうが全然早い。；彼は乙女が杯を差すにつれ、順々に一人ずつその名を尋ねはじめました。；そのあと、機械から機械へと動きまわり、順々にスイッチを切っていった。；これらの美人は順々に、局票へ書いた客の名通り、我々の間に席を占める。；汽車の時間を順々に見て行くと、からだも一緒に動いて行くやうな気がする。；それで彼女は、順々に賭けるようにと例の三枚のカードを教えてやったんだ。；扉を押す手から順々に外の光を浴びて、建物内との温度の違いを感じ取る。；ニレの木の一枚板でできたその壁を背に、艦長は三人を順々に見た。；信じられないというようにぼくたちと、受け取ったものを順々に見る。；そして皆でその中の一人一人を順々に取調べるわけにもいかなかった。；灰色の目立たぬ持ちのいい着物を、順々に寝台のそばの赤い椅子にのせた。；写真と一致した検索データが順々に表示され、ひとつの顔を形作ってゆく。；三七度線が通っているすべての地点を順々に調べてみよう。；わたしは順々に彼らといっしょになった仲間のひとりでした!；面白いから通読してみる気になって第一頁から順々に読んで行った。；それから毎年のように、新しいセクターが順々にオープンしていった。；しまいまで残っていた近所の人たちも、順々に家へはいっていった。；王国中の娘城に集められ、高貴な者から順々に指輪が合うか試していった。；私もどんなふうにして結論に達したか順々にお話ししましょう。；この問題にかぎって、下から順々と説得していくのは得策ではないと思った。</t>
        </is>
      </c>
      <c r="J3973">
        <f>HYPERLINK("https://www.weblio.jp/content/順々に", "词义详情")</f>
        <v/>
      </c>
      <c r="K3973">
        <f>HYPERLINK("https://yourei.jp/順々に", "查看例句")</f>
        <v/>
      </c>
    </row>
    <row r="3974">
      <c r="A3974" t="inlineStr">
        <is>
          <t>順序</t>
        </is>
      </c>
      <c r="B3974" t="inlineStr">
        <is>
          <t>成功</t>
        </is>
      </c>
      <c r="C3974" t="inlineStr">
        <is>
          <t>読み方：じゅんじょ
１ある基準に従った並び方。また、その位置。順番。「—が狂う」「—よく並ぶ」
２物事を行う手順。段取り。「まず上司に相談するのが—だ」「—を踏む」</t>
        </is>
      </c>
      <c r="D3974" t="inlineStr">
        <is>
          <t>順序正しく；順序通り；順序付け；順序どおり；順序性</t>
        </is>
      </c>
      <c r="E3974" t="inlineStr">
        <is>
          <t>目；方法；流れ；命；命令</t>
        </is>
      </c>
      <c r="F3974" t="inlineStr">
        <is>
          <t>順序立て；正しい順序；どういう順序；時間的順序；実行順序</t>
        </is>
      </c>
      <c r="G3974" t="inlineStr">
        <is>
          <t>順序対；順序体；順序集合；順序付け；順序関係</t>
        </is>
      </c>
      <c r="H3974" t="n">
        <v>29</v>
      </c>
      <c r="I3974" t="inlineStr">
        <is>
          <t>時間的な順序とは異なった流れの当時としては珍しい手法で構成される。；ひとつの折の中では同じ調の曲を用い、その順序にも一定の傾向がある。；中にはその発明が最も有効に働く順序で発明されなかったものもある。；この2楽章をどのような順序でどうやって出版すべきかも問題であった。；そのような場合に演算の順序を明確化するために括弧を使うこともある。；文字の順序はほかのセム系の文字とは大きく異なり、以下のように並ぶ。；色の並ぶ順序も暈と同様に太陽に近い側が赤、遠い側が紫となっている。；そもそも厳格に順序を確定させようとする試み自体に否定的な意見もある。；また、以上の順序の中でも細かな点については以下のようになっていた。；なお、ここに並べた序列は、形式の発展順序を示しているわけではない。；この情報は以下に示す順序のいくつかのフィールドで構成されている。；このような方法と精神は以下の順序を踏むことで実現することが可能である。；また、 と のクロス積は基底 の元の順序に依存して と定義される。；一般に置換は交換可能ではないので置換の順序には注意が必要である。；従って他のマーラーの歌曲と違って順序どおり演奏するのが常識である。；列車に遅れなどが生じた場合に、時刻調整や発着順序変更など行う。；単行本でのエピソードの収録順は、雑誌連載時の順序と多少異なっている。；もし親疎の順序を考えるのであれば、汝ではなく沖に授けられるだろう。；マソラ本文ではそれぞれの文書は次のような順序で配置されている。；以下の表にある変化は図式的なもので実際にこのような順序で起きたのではない。；それぞれのポイントは指定された順序で周らなければならない。；等、後の順に名乗る様になる時とは異なり、順序も決まってはいない。；量化子を意味する部分の順序を変えると、その内容は全く変わってしまう。；が部分順序集合は順序集合の部分集合に自然な順序を入れたものも指す。；方式による違いは用語の使い方や記述順序であり、本質的な違いはない。；輞川の詩は前後と繋がっており、詩の順序は意識的に構成されている。；リストの順序は、日本海沿岸を東から西へ河口の位置を基準に並んでいる。；多表を切り替えていく順序を指示する乱変式多表暗号に関わる分類である。；リストの順序は河口の位置を基準とし、海岸線沿いに東から西へと並んでいる。</t>
        </is>
      </c>
      <c r="J3974">
        <f>HYPERLINK("https://www.weblio.jp/content/順序", "词义详情")</f>
        <v/>
      </c>
      <c r="K3974">
        <f>HYPERLINK("https://yourei.jp/順序", "查看例句")</f>
        <v/>
      </c>
    </row>
    <row r="3975">
      <c r="A3975" t="inlineStr">
        <is>
          <t>純情</t>
        </is>
      </c>
      <c r="B3975" t="inlineStr">
        <is>
          <t>成功</t>
        </is>
      </c>
      <c r="C3975" t="inlineStr">
        <is>
          <t>読み方：じゅんじょう
［名・形動］純真で邪心のない心。また、その心をもっているさま。「—な少年」「—可憐(かれん)」
[派生]じゅんじょうさ［名］</t>
        </is>
      </c>
      <c r="D3975" t="inlineStr">
        <is>
          <t>純情そう；純情派；純情可憐；純情家；純情詩集</t>
        </is>
      </c>
      <c r="E3975" t="inlineStr">
        <is>
          <t>初；純；無邪気；素朴；純白</t>
        </is>
      </c>
      <c r="F3975" t="inlineStr">
        <is>
          <t>純情小曲集；純情一途；純情すぎる；純情青年；純情性</t>
        </is>
      </c>
      <c r="G3975" t="inlineStr">
        <is>
          <t>純情ロマンチカ；純情二重奏；純情可憐；純情少年；純情クレイジーフルーツ</t>
        </is>
      </c>
      <c r="H3975" t="n">
        <v>29</v>
      </c>
      <c r="I3975" t="inlineStr">
        <is>
          <t>いくら純情でも、男の私に声をかけられて顔を赤らめるはずがなかった。；それ故そこにはあるいは青年の純情とも言いつべきものがあるかもしれない。；けれど、純情だからこそやりにくい部分もあるのだと私は気が付いた。；小次郎もかつての純情なだけの世間知らずではなくなっているつもりだ。；彼女は君のような感傷的な比較的純情な青年を要求していたんだぜ。；貧乏といふよりも僕は、あの父子の世にも稀な純情に打たれてゐるんだ。；まさか私の気持ちを全部分かっていて、わざと純情ぶっているのだろうか。；ただの純情な恋人同士のように話に夢中になっているわけではない。；勿論私は純情な李を理解することが出来るのだと自分に云った。；それに当時の夫はまだまだ純情だったと私は信じ込んでいたのだから。；八弥太を介していっているとおりに、この若い武士の想いは純情だった。；と短い悲鳴を上げた私は純情可憐な少女というよりカマトトみたいだ。；だが、そうした純情こそ、彼女の最も美しい魅力だったのかもしれぬ。；自分が真の芸術家でなかったことに絶望するほど、私は純情ではありませんでした。；僕のような純情ピュアガールだと、思わず恋に落ちてしまうかもしれない。；俺は俺のうちに目ざめかけた純情という奴を殺すために来たようだ。；彼は飛行機に乗っても野球をやっていても、純情で純粋でありすぎたように思われる。；彼は、いろんな悪いことはしていながらも、純情な人間だったからである。；真由の、度が過ぎるほど控えめで純情な性格は既に知れ渡っていること。；この純情な青年を、自分が不当に傷つけたことがわかったからだった。；純情な人間性の上に於てのみ築かれる社会でなければならない。；要するに女の顔を見る時にはあまりに純情的になり過ぎる嫌いはありそうだ。；彼の姿は人々の心の中に曾ては自分たちも持っていたところの純情を思い出させた。；私は純情というものの生活法の上での価値を幾度でも繰り返して言って置きたい。；あの女は、純情そうな顔をしてますけど、男関係が、一杯あるんです。；ここに、非常に純情な、ほんとうに疑うことを知らない夫婦がいました。；女優としては、本人の持つイメージから純情な役を演じることが多かった。；しかし僕は純情であるといわれることに微妙な反撥を覚えているのかもしれない。；だが、それは彼の純情のあかしではないことを、佐希子は知っていた。</t>
        </is>
      </c>
      <c r="J3975">
        <f>HYPERLINK("https://www.weblio.jp/content/純情", "词义详情")</f>
        <v/>
      </c>
      <c r="K3975">
        <f>HYPERLINK("https://yourei.jp/純情", "查看例句")</f>
        <v/>
      </c>
    </row>
    <row r="3976">
      <c r="A3976" t="inlineStr">
        <is>
          <t>準じる</t>
        </is>
      </c>
      <c r="B3976" t="inlineStr">
        <is>
          <t>成功</t>
        </is>
      </c>
      <c r="C3976" t="inlineStr">
        <is>
          <t>読み方：じゅんじる
［動ザ上一］「じゅん（準）ずる」（サ変）の上一段化。「先例に—・じる」</t>
        </is>
      </c>
      <c r="D3976" t="inlineStr">
        <is>
          <t>準じる区域を単位；準じる教育を受け</t>
        </is>
      </c>
      <c r="E3976" t="inlineStr">
        <is>
          <t>従う；踏襲；準拠；倣う；則る</t>
        </is>
      </c>
      <c r="H3976" t="n">
        <v>29</v>
      </c>
      <c r="I3976" t="inlineStr">
        <is>
          <t>なお、番組に出演していても含まれない者や準じた立場にある者もいる。；北米やオーストラリアなど多くの国でそれに準じた処分が行われている。；均衡概念およびそれに準じた概念のうち、代表的なものを以下に挙げる。；戦後に創刊され、これらに準じる配布域を持つに至った新聞も含まれる。；また、通常木型は形状のみでなく、分割方法も製品に準じて製作される。；袖仕切りは01系に準じた仕切りと荷棚の端が一体になったものである。；各試合とも基本的にそれぞれのシーズンのJリーグ試合方式に準じる。；表中の選手名・所属名は公式記録の表記に準じるが、便宜上略称を含む。；基本的に原作に準じているが、一部はオリジナルの設定も存在する。；アニメ放送と時期が近いが、比較的小説版に準じた内容となっている。；当初は馬車鉄道とそれに準じる鉄道についての監督を目的としていた。；また、宗教のカノンの意味に準じ、様々なものがカノンと呼ばれている。；またアニメ版では変身前の名前は演じた声優の名に準じたものとなっている。；兵器体系はかつて中国から購入した哨戒艇などを除いて殆ど西側に準じている。；この際、8000系に準じた色調の塗色への変更が同時に行われている。；構造的には前モデルのキュービック・フルノンステップバスに準じている。；それ以外の地域では大学の法医学教室がそれに準じて行っている。；安倍なつみに顔立ちが似ているとの理由から、芸名もそれに準じている。；基本的なルールは通常のサッカールールに準じるが、一部ルールを変更している。；しかし、代表チームに準じる相手との対戦であることに変わりはない。；これらの改良は、先に開発された特急形のキハ80系に準じたものである。；指点字は点字の規則に準じているが、会話用にカスタマイズされている。；座席も車体幅拡幅を受けて準急形に準じたゆとりのあるものとなった。；脚本は映画版に準じた形になっているが、エピソードや人物が追加されている。；ただし小・中学校区やゴミ収集などの単位は、必ずしも以下に準じない。；また教育理事会は議事を行う会議体であり、司法府に準じる機能もある。；基本的には20世紀末の現実世界に準じた世界を描いているが異なる点もある。；ダムの管理についてはその多くが水力発電所の管理に準じている場合が多い。；ただし、その姿は普段憑依し活動する小さな人形の姿に準じている。</t>
        </is>
      </c>
      <c r="J3976">
        <f>HYPERLINK("https://www.weblio.jp/content/準じる", "词义详情")</f>
        <v/>
      </c>
      <c r="K3976">
        <f>HYPERLINK("https://yourei.jp/準じる", "查看例句")</f>
        <v/>
      </c>
    </row>
    <row r="3977">
      <c r="A3977" t="inlineStr">
        <is>
          <t>純粋</t>
        </is>
      </c>
      <c r="B3977" t="inlineStr">
        <is>
          <t>成功</t>
        </is>
      </c>
      <c r="C3977" t="inlineStr">
        <is>
          <t>読み方：じゅんすい
［名・形動］
１まじりけのないこと。雑多なものがまじっていないこと。また、そのさま。「—な（の）アルコール」「—な（の）秋田犬」
２邪念や私欲のないこと。気持ちに打算や掛け引きのないこと。また、そのさま。「少年の頃の—な気持ち」「—な愛」
３そのことだけをいちずに行うこと。ひたむきなこと。また、そのさま。「学問に対する—な情熱」「—に真理を追い求める」
４哲学で、外的、偶然的なものを含まず、それ自体の内的な普遍性・必然性をさす。
５学問で、応用を考えず理論だけを追究する分野。純粋数学・純粋法学など。
[派生]じゅんすいさ［名］</t>
        </is>
      </c>
      <c r="D3977" t="inlineStr">
        <is>
          <t>純粋培養；純粋性；純粋な形；純粋小説；純粋な気持ち</t>
        </is>
      </c>
      <c r="E3977" t="inlineStr">
        <is>
          <t>実際；事実；まったく；全く；実際に</t>
        </is>
      </c>
      <c r="F3977" t="inlineStr">
        <is>
          <t>純粋知性；純粋経済学；純粋関数型；純粋悟性概念；純粋関数型言語</t>
        </is>
      </c>
      <c r="G3977" t="inlineStr">
        <is>
          <t>純粋経験；純粋数学；純粋理性批判；純粋状態；純粋科学</t>
        </is>
      </c>
      <c r="H3977" t="n">
        <v>29</v>
      </c>
      <c r="I3977" t="inlineStr">
        <is>
          <t>純粋な人気では事実上の親ブランドディーオーをも凌ぐと言われている。；この時の純粋さとは汚れを避けることではなく、汚れを見つめうる純粋さだ。；純粋に大名ゲームからスタートの場合スタート地点はランダムに設定。；純粋なコンサルティングファームの中では最も種類の多いものである。；純粋なワインは酔うほど甘美であるが、我々の側の杯には、泥しかない。；これは、被害者が純粋悪の神話の影響を受けていることが考えられる。；これは純粋に基準を満たす人材の確保ができない点が挙げられている。；計算高い行動をとることもあれば、純粋すぎる行動をすることもある。；純粋な遺伝子をもつ集団は絶滅したため、詳しいことは分かっていない。；SFに限らず、純粋な電子音楽を初めて用いた画期的な作品でもあった。；純粋なものが必要なときには、蒸留などで精製してすぐ用いるべきである。；パズルの作成だけで収入を得ている純粋なプロはあまり多くない。；これほど純粋で素朴なホームランバッターは過去にいませんでしたね。；そのため、勝敗には純粋な実力のみでなく、運の要素が絡む性質がある。；この配役からハーフと思われることも多いが、本人は純粋な日本人である。；私は純粋に古風な美徳に則った全く新しい芸術の到来を予見しています。；現在でもこの規程は有効であり、純粋の漢方医は日本には存在しない。；喜びは喜びとして、不幸は純粋に不幸として受け取らなくてはならない。；その代わりにほぼ純粋な青を装飾のように絵にのせた。；小松作品では純粋で正義感の強い青年が主人公を務めることが多い。；純粋な絶対有は、そのあまりの純粋さのために、無内容性を持つ。；最後に、冷媒液化装置で処理するとほぼ純粋な四酸化二窒素が得られる。；それは純粋な笑気ガスを製造する方法を確立したという発見だった。；このバージョンでは、純粋なジュークボックスソフトにすぎなかった。；これにより、非常に純粋なプラスミドDNAを大量に得ることができる。；だが、この場合も純粋なマザーコンプレックスは女性に多く見られるという。；そして我々が望んだものが純粋に偶発的なものであるならば、我々は自由ではない。；純粋な古道をもって皇道の本領であるとし、仏意も儒意もどちらも斥けた。；誰とでも友達になろうとする天真爛漫な性格で、純粋な心の持ち主。</t>
        </is>
      </c>
      <c r="J3977">
        <f>HYPERLINK("https://www.weblio.jp/content/純粋", "词义详情")</f>
        <v/>
      </c>
      <c r="K3977">
        <f>HYPERLINK("https://yourei.jp/純粋", "查看例句")</f>
        <v/>
      </c>
    </row>
    <row r="3978">
      <c r="A3978" t="inlineStr">
        <is>
          <t>春節</t>
        </is>
      </c>
      <c r="B3978" t="inlineStr">
        <is>
          <t>成功</t>
        </is>
      </c>
      <c r="C3978" t="inlineStr">
        <is>
          <t>読み方：しゅんせつ
中国、台湾などで旧暦の正月のこと。新暦の正月よりも盛大に祝う。</t>
        </is>
      </c>
      <c r="D3978" t="inlineStr">
        <is>
          <t>春節前(3%)</t>
        </is>
      </c>
      <c r="G3978" t="inlineStr">
        <is>
          <t>春節聯歓晩会</t>
        </is>
      </c>
      <c r="H3978" t="n">
        <v>29</v>
      </c>
      <c r="I3978" t="inlineStr">
        <is>
          <t>春節は正月初一を示す言葉であり、古代においては元旦と称されていた。；これは中国の春節の時期の年賀状に使用されるためである。；春節の来歴に関しては、万年という人物の伝承が民間に伝わっている。；伝承では春節の際に山は山から人里に下りてくるため、人々は春節を非常に恐れていたとされる。；中国では春節の他に端午節、中秋節が旧暦での国の休日となっている。；温家宝首相は救援の努力を視察している間、春節を江西省で過ごした。；また中国への春節の祝電もトランプ大統領にティラーソンが提案したとされている。；また、中秋節や春節など中国系住民の間のほかの祭りでもそれは恒例となっている。；検閲を司り悪鬼から門を守るとの伝えから春節に中国各地の門戸に貼られる。；中国の春節を基本にし、日本やベトナムで異なる年は注記する。；この春晩は、春節の年越しに放映される番組で、中国国民のほとんどが見るといわれている。；中国から称賛された春節での祝電もトランプにティラーソンが提案したとされている。；草暦を知った天子はこれを賞賛し春を一年の最初とし、春節と名付けることを命じた。；笑い声と歌声と歓声が飛び交い、まるで春節のときのように賑わっていた。；当日は旧暦の正月である春節の連休が終わった直後であった。；ほかにも春節や秋の収穫祭でも龍舞を行うことがある。；毎年の春節から元宵節までの間、夫子廟で「金陵灯会」が開催される。；一方、春節の休暇期間を利用して観光旅行をする人々も多い。；また中国では春節に戸口に貼られる倒福の起源も洪武帝の時の文字の獄である。；中国の春節や、大晦日、クリスマスや復活祭などの日にイベントが行われる。；アニメ劇場版の第8作は2022年の春節期間に公開された。；中国などの春節と一致する年も多いが、しばしば1日または1朔望月ずれる。；人々は春節を迎えることを過年と表現し、家々では寿星図を準備して万年の功績を偲んだとされる。；髪菜やクワイのような普段用いることのない食材は春節の時期にのみ食することが一般的である。；なお、今でも春節の日は、時憲暦をもとに決定されるなど、シャールの成果は一部で利用が続いている。；北京で年に一度行われる『春節文化廟会』はここで行われる。；徳州の人々は、春節の前後によくこの料理を食べる。；ピアノや中国語を学ばせており、2018年に春節での挨拶の際にニコライはこれを披露している。；新華社によると、数百万人の中国人は2月前半の春節の時期に伝統的な祝賀をするために大都市から田舎の彼らの実家まで戻る。</t>
        </is>
      </c>
      <c r="J3978">
        <f>HYPERLINK("https://www.weblio.jp/content/春節", "词义详情")</f>
        <v/>
      </c>
      <c r="K3978">
        <f>HYPERLINK("https://yourei.jp/春節", "查看例句")</f>
        <v/>
      </c>
    </row>
    <row r="3979">
      <c r="A3979" t="inlineStr">
        <is>
          <t>順調</t>
        </is>
      </c>
      <c r="B3979" t="inlineStr">
        <is>
          <t>成功</t>
        </is>
      </c>
      <c r="C3979" t="inlineStr">
        <is>
          <t>読み方：じゅんちょう
［名・形動］物事が調子よく運ぶこと。とどこおりなくはかどること。また、そのさま。順潮。「—な売れゆき」「経過は—だ」
[派生]じゅんちょうさ［名］</t>
        </is>
      </c>
      <c r="D3979" t="inlineStr">
        <is>
          <t>順調な滑り出し；順調なスタート；順調に進められ；順調な発展；順調に勝ち上がり</t>
        </is>
      </c>
      <c r="E3979" t="inlineStr">
        <is>
          <t>円滑；スムーズ；快調</t>
        </is>
      </c>
      <c r="F3979" t="inlineStr">
        <is>
          <t>その後順調；万事順調；順調な仕上がり；順調な経済成長；順調な進撃</t>
        </is>
      </c>
      <c r="H3979" t="n">
        <v>29</v>
      </c>
      <c r="I3979" t="inlineStr">
        <is>
          <t>術後の回復も順調であったため、9月25日の放送から番組に復帰した。；はじめ小天体とのニアミスが一度あったことを除けば飛行は順調に進む。；この二人の関係は、周囲の状況に影響を受け順調にはいかなかった。；その後もチームは順調に運営され、道東地区の中で有力なチームとなった。；この時期の失業率は低水準を維持しており収入も順調に増加していた。；順調にキャリアを伸ばす信は2008年秋には2枚目のアルバムを発表。；タロンの下では失敗していた漁業や農業のような産業が順調に成長し始めた。；教師はそれを見て、だれが順調に学習を進めているかすぐに見て判断できる。；しかし斉藤が指揮者となった翌日以降も順調に工事が進むことはなかった。；その後も順調に活躍し、大作映画の貴重な脇の顔として親しまれている。；しかし順調な調整と鍛錬が妨げられ、結果的には競走成績に反映された。；その間順調の回復させ、5月中旬のオランダでのライヴからバンド復帰。；しかし上陸部隊は既に出発しており、バリクパパン攻略作戦は順調に進む。；圭の心が勇介と藤木との間で揺れ動く場面もあったが交際は順調に続く。；第一と第造の計画はすべて順調だと思われたが、第造の体に異変が生じる。；日本と並んで順調に翻訳が進んでいるのはフランスである。；その後は順調に番付を上げて行き、1973年11月場所に十両に昇進。；その時点での手術後の経過は順調で、10月12日に退院する予定だった。；以後工場誘致は順調に進み、市内各地に大企業の大型工場が進出した。；ただし、こうした戦略は販売計画が順調に推移した際にのみ有効なものである。；地券を発行したが、土地評価の問題のため、買収は順調には進行しなかった。；春は仕上がりが順調で好成績を収めてきたが、秋には相手の進境が著しい。；十分な予算がつけられた結果、比較的順調に工事は進められた。；しかし、手術後は順調な回復を見せ、正ゴールキーパーとして復帰した。；試験中に以下の改修が加えられたが、いずれも困難な問題ではなく飛行試験は順調に進んだ。；その後も多くの人気作品に参加し、順調にキャリアを重ねていった。；女優としての仕事は順調であったが、彼女はバンドで演奏する事を強く望んでいた。；距離に関しては全く問題ないし、このまま順調に行けばかなり期待できますよ。；以降、順調に番付を上げて行き、1975年1月場所で十両に昇進した。</t>
        </is>
      </c>
      <c r="J3979">
        <f>HYPERLINK("https://www.weblio.jp/content/順調", "词义详情")</f>
        <v/>
      </c>
      <c r="K3979">
        <f>HYPERLINK("https://yourei.jp/順調", "查看例句")</f>
        <v/>
      </c>
    </row>
    <row r="3980">
      <c r="A3980" t="inlineStr">
        <is>
          <t>順に</t>
        </is>
      </c>
      <c r="B3980" t="inlineStr">
        <is>
          <t>成功</t>
        </is>
      </c>
      <c r="D3980" t="inlineStr">
        <is>
          <t>順に並べる；順に多い；順に読ん；順に記載する；順に列挙する</t>
        </is>
      </c>
      <c r="E3980" t="inlineStr">
        <is>
          <t>連続的；逐次；順々；順々に；順順</t>
        </is>
      </c>
      <c r="F3980" t="inlineStr">
        <is>
          <t>順に並べ；端から順に；向かって順に；順に一丁目から四丁目；順に一丁目から三丁目</t>
        </is>
      </c>
      <c r="H3980" t="n">
        <v>29</v>
      </c>
      <c r="I3980" t="inlineStr">
        <is>
          <t>江戸時代の記録によれば、笑い役は座敷の中央に順に出て笑ったとある。；同一ラインに並んでいる選手については右側から順に番号が付けられた。；これらの公式を順に心の中で繰り返し唱え、自己催眠状態になっていく。；歴史的なイオニア諸島を構成する主要な7島は、北から順に以下の通り。；すべての武器が上から順に対応していて鹵獲した武器は敵の武器の性能となる。；コーキュートスは外側から順に4つの円に分けられ、内側へ下ってゆく。；なお、番組開始当初は、通常問題と同じく1番席から順に解答していた。；参加者が順に発表者となり、自ら選んだ論文の内容を発表し、講義する。；彼が出発すると、追いかけて使者がきて、家族全員の死を順に知らせる。；従って表の通りに上から下へ順に王位が継承されたわけではない。；通常のポーカーの手役は適用されず、手役は強い順に以下の通りである。；その反対に値を大きい方から小さい方へ順に並べることを降順という。；ゲーム中各プレイヤーは、下のカードが見えるように順に重ねてカードを置く。；多数の花が並んでいる場合、基本的には先端から遠いものから順に花が咲く。；エリア1から順に攻略し、惑星を開放していくという流れになっている。；モンゴル諸語を話す人々の一般的な民族分類に従い、東から順にあげる。；通常は上から順に行うが、2人プレーなどでは順番が上下する場合がある。；一般的には数多くの検索エンジンで上位表示されるページから順に表示される。；ザ・ラトルズの足跡を順に追ったストーリーに沿った曲順となっている。；金属のイオン化傾向を大きいものから順に配列すると以下のとおりになる。；本項では前者を採るが、後者の場合には順に第9番から第16番となる。；このコードでは、以下のように5つのボタンを同じ行に順に配置した状態となる。；画像の量が多くなった場合、古いものから順に消すことがあります。；人の絵の描き方は特に決まっていないが、多くの人は上から順に描く傾向がある。；旅客案内上ののりばと運転取り扱い上の番線は、北側から順に次の通り。；神族は色が違い、順に黄色・紫・赤・青であるが白・黒・赤・青と呼ばれることが多い。；各ワールドを順に攻略し、仲間を救出することがゲームの目的となる。；これは以前と異なり、おおむね北から南に向かって順につけられた。；これにより、すべての書類が使用時間順にソートされることが保証される。</t>
        </is>
      </c>
      <c r="J3980">
        <f>HYPERLINK("https://www.weblio.jp/content/順に", "词义详情")</f>
        <v/>
      </c>
      <c r="K3980">
        <f>HYPERLINK("https://yourei.jp/順に", "查看例句")</f>
        <v/>
      </c>
    </row>
    <row r="3981">
      <c r="A3981" t="inlineStr">
        <is>
          <t>順番</t>
        </is>
      </c>
      <c r="B3981" t="inlineStr">
        <is>
          <t>成功</t>
        </is>
      </c>
      <c r="C3981" t="inlineStr">
        <is>
          <t>読み方：じゅんばん
順序に従って代わる代わるそのことに当たること。また、その順序。「—を待つ」</t>
        </is>
      </c>
      <c r="D3981" t="inlineStr">
        <is>
          <t>順番待ち(3%)；順番通り；順番どおり；順番交替；順番に並べ替える</t>
        </is>
      </c>
      <c r="E3981" t="inlineStr">
        <is>
          <t>目；命；命令；番；回転</t>
        </is>
      </c>
      <c r="F3981" t="inlineStr">
        <is>
          <t>好きな順番；行動順番；正しい順番；どういう順番；一人ずつ順番</t>
        </is>
      </c>
      <c r="H3981" t="n">
        <v>29</v>
      </c>
      <c r="I3981" t="inlineStr">
        <is>
          <t>具体的には上で述べた順番の前後の勢力との相性が悪く設定されている。；どのような順番で食べ始め、食べ終わるべきかが議論されることがある。；以後レースの順番通りに馬柱を掲載していくシステムが基本となっている。；プレイヤーは、一回の冒険で基本的に下の動作を順番にすることになる。；つまり、マイトナーの説とは逆の順番で反応が起こると考えたのである。；プレイの順番は無く、誰でも思いついた順にカードを出すことができる。；神が十二支の動物を決める際、家の門の前に来た順番に決めることにした。；これを使うとコードを逐次的でない順番で実行することが可能となる。；そしてエンジンの回転する方向に順番にシリンダー番号が振られていく。；カードゲームではしばしば各競技者が順番にある行動をする場合がある。；複数の異なる数字がある場合は、その順番が黒マスの順番を表している。；ブロックの先頭から転送を要求した場合、順番に転送されるだけである。；これは集合の中の全要素を順番に参照するような処理を大いに簡素化する。；ほかの話として、候補の動物たちが順番を投票で決められることとなった。；配置が完了したらじゃんけんなどで順番を決め、交互に行動を選択する。；前作はほとんどストーリーの流れに沿った順番でしかゲームを進行できなかった。；B群ビタミンのひとつだが、12は発見された順番を表す数字ではない。；以前のシリーズとは異なり、攻略は任意の順番で行うことができる。；騎手の場合は、2014年までは以下の順番で優勝騎手を決定していた。；前作に引き続き話を聞く順番を変える事で話の内容が変化するシステムとなっている。；表の値を決めるためは、すぐ左の値を見て、一つ上の列でその順番の値を取る。；虚無の使い魔のいる国は虚無の使い魔の歌の順番と同じにするため変更。；ミッションを順番に達成していくことでストーリーが展開していく。；キャラクターの表記順は各キャラクターの作品が誕生した順番に準拠している。；原作とアニメでは話の順番が一致していないため、時期設定の点で相違が見られる。；はじめにプレイ人数・年数やターンの順番などのルール設定をおこなう。；順番は関係ありませんので、「名称」を先に書いても問題ありません。；相手の攻撃パターンを予測して効率的な順番で技を繰り出すには慣れが必要。；なお、上記の12反応に使用される酵素は上から順番に以下の通りである。</t>
        </is>
      </c>
      <c r="J3981">
        <f>HYPERLINK("https://www.weblio.jp/content/順番", "词义详情")</f>
        <v/>
      </c>
      <c r="K3981">
        <f>HYPERLINK("https://yourei.jp/順番", "查看例句")</f>
        <v/>
      </c>
    </row>
    <row r="3982">
      <c r="A3982" t="inlineStr">
        <is>
          <t>準備</t>
        </is>
      </c>
      <c r="B3982" t="inlineStr">
        <is>
          <t>成功</t>
        </is>
      </c>
      <c r="C3982" t="inlineStr">
        <is>
          <t>読み方：じゅんび
［名］(スル)物事をする前に、あらかじめ必要なものをそろえたり態勢を整えたりして用意をすること。「実験の—を進める」「心の—」「会議資料を—する」「—万端ととのう」「下—」
[用法]準備・用意——「食事の準備（用意）が整った」「外出の準備（用意）をする」「研究発表の準備（用意）をする」など、前もって整える意では、相通じて用いられる。◇「準備」は、「大会の準備をする」といえば、必要な物をそろえるだけでなく、そのための組織を運営することをも含み、総合的であるといえる。◇「用意」は「大地震にそなえて十分な用意をする」「当日は上履を御用意ください」のように、必要なものを前もってそろえておくことに意味の重点がある。◇類似の語「支度」は、必要な物をそろえる具体的な行動をする意に用い、「支度金」は必要品を買いととのえる金銭であり、「食事の支度をする」は、材料をそろえて調理することである。</t>
        </is>
      </c>
      <c r="D3982" t="inlineStr">
        <is>
          <t>準備室；準備委員会；準備段階；準備工事；準備万端</t>
        </is>
      </c>
      <c r="E3982" t="inlineStr">
        <is>
          <t>考える；提供；用意；作る；備え</t>
        </is>
      </c>
      <c r="F3982" t="inlineStr">
        <is>
          <t>戦闘準備；設立準備；戦争準備；作戦準備；攻撃準備</t>
        </is>
      </c>
      <c r="G3982" t="inlineStr">
        <is>
          <t>準備中；準備不足；準備会；準備金；準備運動</t>
        </is>
      </c>
      <c r="H3982" t="n">
        <v>29</v>
      </c>
      <c r="I3982" t="inlineStr">
        <is>
          <t>インタビューで語ったところでは、事前には何も準備していないという。；彼らはナデジダ・グラノフスキーの下での再リリースの準備をしていた。；嘘の公式発表をするのと並行してマッカーサーは脱出の準備を進めていた。；連合軍の司令官や兵士たちはこの様子を見て撤退の準備であると信じた。；かつて言語を研究していた父にラテン語の準備をしてもらってから入学した。；そのかわり、間を埋めるプロジェクトは色々と準備されているとのこと。；民俗学が独自の領域と主張を持つための下準備を着々と進めていった。；手かざしは人間に世界への刷新の準備をさせるものと考えられている。；これを受けて神戸市は、次期売却先の公募に向けた準備作業を開始した。；二人の共演が決まっていた映画『戦争と平和』の撮影準備中のことだった。；ほとんど地下区間での運用となることから、大半の編成が冷房準備車だった。；息子が科学者になれると知った父は息子のために投資の準備を始めた。；それを無視して、ふと気が付けば、村中の男たちが彼を殺す準備をしていた。；紫熊祭で行われる企画、運営および全ての準備は学生の手で行われている。；資金も集めて準備も進められたが、この計画も実現しなかった。；ただし、観客を入れない場合は準備日料金となり1日650万円である。；恐ろしいことかもしれないが、戦争の準備は私には魅力的です。；準備は2時間で済むはずのところ、3時間半と想定よりも長くかかった。；ロシアは要請に応じてタジキスタン内のロシア軍基地の使用準備を開始した。；そのことで、自分への誅殺を恐れた英布は、反乱の準備を整えはじめた。；設置の前年1973年に、創設準備室が宮崎大学内に設置されていた。；放送業務は分割準備会社に移行し社名も現在のRSK山陽放送に変更した。；このような中で、ソ連は極秘のうちに大規模な反攻作戦の準備を進めていた。；この試験結果も合わせ、電車による長距離高速運転を行う準備が確立した。；南北戦争が勃発した時点では、北部も南部も戦争の準備は全くできていなかった。；日本でも、発生地域の医療機関で抗血清を準備しているところがある。；この目的のためピサ教会会議が準備され、1511年に実際に開会した。；決定がなされるまでに問題点は全て明らかになり、教団は決定の準備が完了する。；輸送の準備や後始末で駅構内や車両基地において行う移動が車両である。</t>
        </is>
      </c>
      <c r="J3982">
        <f>HYPERLINK("https://www.weblio.jp/content/準備", "词义详情")</f>
        <v/>
      </c>
      <c r="K3982">
        <f>HYPERLINK("https://yourei.jp/準備", "查看例句")</f>
        <v/>
      </c>
    </row>
    <row r="3983">
      <c r="A3983" t="inlineStr">
        <is>
          <t>諸～</t>
        </is>
      </c>
      <c r="B3983" t="inlineStr">
        <is>
          <t>成功</t>
        </is>
      </c>
      <c r="C3983" t="inlineStr">
        <is>
          <t>読み方：しょ
［音］ショ（漢）　［訓］もろ　もろもろ　これ
［学習漢字］6年
〈ショ〉多くの。もろもろの。「諸君・諸侯・諸国・諸派・諸般」
〈もろ〉「諸手・諸肌」
［名のり］つら・もり</t>
        </is>
      </c>
      <c r="H3983" t="n">
        <v>0</v>
      </c>
      <c r="J3983">
        <f>HYPERLINK("https://www.weblio.jp/content/諸～", "词义详情")</f>
        <v/>
      </c>
      <c r="K3983">
        <f>HYPERLINK("https://yourei.jp/諸～", "查看例句")</f>
        <v/>
      </c>
    </row>
    <row r="3984">
      <c r="A3984" t="inlineStr">
        <is>
          <t>賞</t>
        </is>
      </c>
      <c r="B3984" t="inlineStr">
        <is>
          <t>成功</t>
        </is>
      </c>
      <c r="C3984" t="inlineStr">
        <is>
          <t>読み方：しょう
［音］ショウ（シャウ）（呉）（漢）　［訓］めでる　ほめる
［学習漢字］5年
１功績・善行などをほめる。「賞賛・賞辞・賞揚／激賞・推賞・嘆賞・信賞必罰」
２功績・善行などに対して与えられる金品。ほうび。「賞金・賞杯・賞品・賞与／恩賞・懸賞・受賞・授賞・大賞・特賞・入賞・副賞」
３すぐれた点を楽しみ味わう。「賞翫(しょうがん)・賞味／観賞・鑑賞」
［名のり］たか・たかし・よし</t>
        </is>
      </c>
      <c r="D3984" t="inlineStr">
        <is>
          <t>賞受賞(3%)；賞讃(3%)；賞められ；賞典；賞めて</t>
        </is>
      </c>
      <c r="E3984" t="inlineStr">
        <is>
          <t>賞金；トロフィー；賞品；賞与；賞典</t>
        </is>
      </c>
      <c r="F3984" t="inlineStr">
        <is>
          <t>優秀選手賞；奨励賞；各賞；協会賞；贈られる賞</t>
        </is>
      </c>
      <c r="G3984" t="inlineStr">
        <is>
          <t>賞金；賞品；賞味；賞状；賞与</t>
        </is>
      </c>
      <c r="H3984" t="n">
        <v>29</v>
      </c>
      <c r="I3984" t="inlineStr">
        <is>
          <t>作品は世界的に評価され数々の賞を得ており、映画化されたものも多い。；その後も数々の賞を受賞し、イギリスを代表するSF作家の一人となる。；ここでペレルマンが本賞を受賞するのかどうかが一部の関心を呼んでいた。；同賞では、戦法でも囲いでもない特定の一手に対する初の授与であった。；賞の歴史上、以下の人物が受賞を辞退したことが明らかになっている。；テレビ東京系列で同賞の技術部門で受賞するのは初のケースだった。；個々の大会運営委員会の裁量で、他の賞も発表・授与されることがある。；そのことを反映して、賞の正式名称も、 という長いものとなっている。；NSC在学中に関西の賞を受賞したのは過去にキングコングのみである。；白沢自らが企画したことも評価され、ギャラクシー賞月間賞も受賞した。；SFファンが選ぶ年間ベスト賞である星雲賞を星は一度も受賞していない。；大きな写真の賞の発表の場として、写真表現の発展に貢献している。；最終結果は、その合計得点でチーム賞と個人賞を決定していた。；両賞を連続受賞した作家は今のところカードしかいない。；同賞を受賞するのは3回目だが教養番組部門で受賞するのは初めてだった。；現職の国家指導者が同賞を受けたのは、現在までチャーチルのみである。；在阪放送局主催の若手を対象にした演芸の賞では最も歴史ある大会である。；したがってこのような賞をいただけることが私には全く信じられないことなのです。；同年のカーネギー賞佳作に選出されたほか、数々の賞を受賞している。；台湾との交流を続けており、2015年3月3日に台湾観光貢献賞を受賞。；その後、この賞はIMUアバカス・メダルに改称されることが発表された。；一連の原発事故報道が評価され2012年度の日本新聞協会賞を受賞した。；日本人である湯川秀樹、朝永振一郎らがやはり物理学賞で受賞している。；質の高い番組がより多く制作・放送されることを目的に、2005年に制定した賞。；本賞はハリウッド外国人映画研究協会の会員の投票により選定される。；その後、この試合は年間プロレス大賞年間最高試合賞に認定される。；同局はこれまで多くのラジオ・テレビ番組で同賞を受賞している。；その1970年には、他の民放などでもいくつかの賞を受賞をする。；賞を受賞することはなかったが隠し玉として出版された本。</t>
        </is>
      </c>
      <c r="J3984">
        <f>HYPERLINK("https://www.weblio.jp/content/賞", "词义详情")</f>
        <v/>
      </c>
      <c r="K3984">
        <f>HYPERLINK("https://yourei.jp/賞", "查看例句")</f>
        <v/>
      </c>
    </row>
    <row r="3985">
      <c r="A3985" t="inlineStr">
        <is>
          <t>使用</t>
        </is>
      </c>
      <c r="B3985" t="inlineStr">
        <is>
          <t>成功</t>
        </is>
      </c>
      <c r="C3985" t="inlineStr">
        <is>
          <t>読み方：しよう
［名］(スル)人や物を使うこと。「会議室を—するには許可がいる」「ストロボの—は御遠慮ください」</t>
        </is>
      </c>
      <c r="D3985" t="inlineStr">
        <is>
          <t>使用する(17%)；使用される(10%)；使用できる(3%)；使用可能；使用法</t>
        </is>
      </c>
      <c r="E3985" t="inlineStr">
        <is>
          <t>利用；使う；運用；用いる；実行</t>
        </is>
      </c>
      <c r="F3985" t="inlineStr">
        <is>
          <t>みを使用；使用許可；使用停止；継続使用；使用車両</t>
        </is>
      </c>
      <c r="G3985" t="inlineStr">
        <is>
          <t>使用者；使用可能；使用量；使用料；使用済み</t>
        </is>
      </c>
      <c r="H3985" t="n">
        <v>29</v>
      </c>
      <c r="I3985" t="inlineStr">
        <is>
          <t>テレビや新聞などで一般的に使用される震源は震央の位置を示している。；現在は、初期の手法 をより高速化したアルゴリズムが使用されている。；使用する文字は同言語かどうかの判断基準としてはあまり用いられない。；エンジンは近年では珍しい存在となりつつあるOHVを使用している。；かつてこの楽器には魔力があると信じられ、戦場の軍楽隊で使用された。；また、低価格で信頼性が高いことから医療機器分野でも多く使用された。；しかし通常の使用には問題がなく、多くのカメラがこの方式を採用している。；また、DMAコントローラーに従来よりも高速なものが使用されていた。；現代的な仕様のシステムでは余分にディスク領域を使用しても問題はない。；彼の時代から正式に皇帝の称号を使用し、西欧諸国からも認められた。；主な海外で使用されている震度階級としては以下のようなものがある。；主に米国で使用される名称で、後述するテーブル筐体もこの一種とされる。；ボーゾックの構成員が使用する巨大車両で、こちらも様々な種類がある。；CHUNKING拡張と合わせて使用したときにのみ使うことが出来る。；主に国内農業で使用されるピックアップトラックや多目的車が製造されている。；例えば、Androidで使用されているカーネルもそのひとつである。；これは、分子内の結合や官能基の種類を特定するために一般に使用される。；GPLは最も一般的に使用されるフリーソフトウェアライセンスである。；後に漫画の投稿活動を再開したときから、このペンネームを使用している。；Wは古来の文字ではないので英語やドイツ語からなどの外来語で使用する。；競技に使用されるトラックは、多くの場合競技専用に開発された車両が使用される。；その他の部分はオペランドと呼ばれ、その命令で使用する情報を示している。；サーバには、TLSを使用しない接続の許可・拒否のオプションがある。；日付は宗教ごとに決まった暦を使用するため、大部分は移動祝日になる。；このときに限りすべての急病人搬送に官民すべての車両の使用を許可した。；ほかにもゲーム好きな人々はゲームソフトを高頻度で使用している。；今日はゲール文字の一部として主に装飾的な目的で使用されている。；インテルが現在使用している名称はIntel486プロセッサである。；実際のファイルシステムは使用するOSやドライバーソフトに依存する。</t>
        </is>
      </c>
      <c r="J3985">
        <f>HYPERLINK("https://www.weblio.jp/content/使用", "词义详情")</f>
        <v/>
      </c>
      <c r="K3985">
        <f>HYPERLINK("https://yourei.jp/使用", "查看例句")</f>
        <v/>
      </c>
    </row>
    <row r="3986">
      <c r="A3986" t="inlineStr">
        <is>
          <t>仕様</t>
        </is>
      </c>
      <c r="B3986" t="inlineStr">
        <is>
          <t>成功</t>
        </is>
      </c>
      <c r="C3986" t="inlineStr">
        <is>
          <t>読み方：しよう
《「し」は動詞「す」の連用形》
１物事をする方法。しかた。やりかた。「まだほかに—があるだろう」
２機械類や建築物などの構造や内容。「—の一部を変更する」</t>
        </is>
      </c>
      <c r="D3986" t="inlineStr">
        <is>
          <t>仕様車(3%)；仕様機；仕様変更；仕様限定；仕様盤</t>
        </is>
      </c>
      <c r="E3986" t="inlineStr">
        <is>
          <t>手；道；方法；法；方式</t>
        </is>
      </c>
      <c r="F3986" t="inlineStr">
        <is>
          <t>標準仕様；初回仕様；デジパック仕様；特別仕様；輸出仕様</t>
        </is>
      </c>
      <c r="G3986" t="inlineStr">
        <is>
          <t>仕様変更；仕様書；仕様化；仕様記述言語；仕様です</t>
        </is>
      </c>
      <c r="H3986" t="n">
        <v>29</v>
      </c>
      <c r="I3986" t="inlineStr">
        <is>
          <t>この仕様の中では外部データの入力または計算結果の出力は供給しない。；写真はジョンのものとほぼ同一の仕様だがテールピースの形状が異なる。；この仮想機械方式による の実行方法は の言語仕様にも含まれている。；フランスでは国内版にないRGB出力を追加された仕様で発売された。；XSLT の仕様はジェームズ・クラークを中心とした人々が設計した。；仕様は書籍およびウェブで公開されており自由に参照・使用できる。；今後の製品の性能向上を念頭に置いてシステムバスの仕様を変更している。；一方、「キーワード」は言語仕様上特別な意味を持った語のことである。；発売当時から2019年までという仕様だったことが指摘されている。；他に、以下のようなスタイルで仕様が与えられている言語もある。；料金の違いは観戦場所によるもののみであり、座席の仕様に違いはない。；また、初期にはマイクロソフト仕様のシリアルマウスも使用されていた。；それに対応するために楽器の構造や仕様に手が加えられた。；しかしこの手法は一過性の物で、製品に反映される性格の仕様ではなかった。；この仕様では軌道へ到達するために上段ロケットが必要とされた。；これはClascalの言語仕様を整理・発展させたものである。；ただし、発車ブザーのスイッチはJR東日本仕様のものが使われている。；これ以外の仕様は在来車と同じだが新製時より転落防止幌を設置している。；この他にも高速仕様車であるHタイプの一部にエアロエースを導入している。；ベンダー拡張の中には、のちに標準仕様として取り込まれたものもある。；これによって地上ではどうしても燃料類が漏れ出てしまう仕様となっていた。；近年の路面電車の新造車両は低床仕様となっているのが主流である。；ひとつのメーカーでも年代により仕様が異なっていることがある。；型付けは動的型付けに分類できるが、言語仕様の中に型概念は登場しない。；このように、MDLPは従来仕様との互換性が比較的高いのが特徴である。；また、言語仕様にない場合でも強い型検査を行うことができる。；CSS では要素にスタイルを与えるため、次のような仕様が定められている。；この規格は制定の一歩手前の段階までは、現在の姿とはかなり異なる仕様だった。；小説ながらこちらの単行本はZETMANの物と同様の仕様となっている。</t>
        </is>
      </c>
      <c r="J3986">
        <f>HYPERLINK("https://www.weblio.jp/content/仕様", "词义详情")</f>
        <v/>
      </c>
      <c r="K3986">
        <f>HYPERLINK("https://yourei.jp/仕様", "查看例句")</f>
        <v/>
      </c>
    </row>
    <row r="3987">
      <c r="A3987" t="inlineStr">
        <is>
          <t>私用</t>
        </is>
      </c>
      <c r="B3987" t="inlineStr">
        <is>
          <t>成功</t>
        </is>
      </c>
      <c r="C3987" t="inlineStr">
        <is>
          <t>読み方：しよう
［名］(スル)
１私事に用いること。「社用封筒を—する」「—電話」⇔公用。
２自分個人の用事。私事。「—で早退する」⇔公用。</t>
        </is>
      </c>
      <c r="D3987" t="inlineStr">
        <is>
          <t>私用外出；私用金庫</t>
        </is>
      </c>
      <c r="G3987" t="inlineStr">
        <is>
          <t>私用領域；私用車；私用面；私用文書等毀棄罪</t>
        </is>
      </c>
      <c r="H3987" t="n">
        <v>29</v>
      </c>
      <c r="I3987" t="inlineStr">
        <is>
          <t>村尾課長は私用があるというが、途中で抜けて帰ったものと思っていた。；極端ないい方をするなら、社用も私用もあるものか、と思っているんだ。；公共の輸送機関以外、私用の車はすべて運動に積極的に協力したらしい。；部長の奥さんが社長の奥さんの私用を助けたりすることもごく普通のことである。；どうしても乗らなければならないときでも、私用の場合は町かごに乗る。；私用の異体字セレクタを追加する提案もあったが、取り入れられていない。；ドーントレス号さえまだ私用したことがないほどの新兵器なのだ。；父から譲られた翼を私用に使うのは気がひけ、古い翼のほうを使うことにした。；で、その包みは彼の私用金庫の一番奥にそのままにしておかれた。；民間機とは、私用や商用の目的で運航されている非軍事的な航空機を指す。；三十八のところにかかってきた電話は、私用社用問わず絶対に取り次がない。；それで私用の金庫にしまいこみまして、また仕事にとりかかりました。；そうなれば、多くの燃料を私用に〝保存〟したといって排斥する者はいない。；書類の多くは公用のもの、手紙は公用と私用とが相半するくらいでありました。；一銭も私用に使う金じゃないから、私は露ほども恥じたりはしない。；私用があって中座したと思った村尾氏は、実は大阪行の飛行機に乗っているのだ。；誰に何の用か知らんが、そういう私用は仕事以外の時間に片づけておくのが当然ではないか。；ちょっと私用がございまして、どうしても片付けなくてはならなかったのです。；第一に私たちはいずれも、没頭しなければならぬ私用を控えていたこというまでもない。；明日は休みだものですから、私用のお金をおろしに来たんです。；浜田が私用でどこかへ行く時は、だからきまってバスか電車である。；隊士たちはたとえ私用でも、ひとりじゃ出歩くなって言われていた。；シノーラが私用で移動しやすいように、わざと人を置かないようにしているためでもある。；それも仕事の一環なのでインタビューには馴れているが、今日ばかりは完全な私用である。；私用のほうにかかってこないだけ、まだマシというべきだろう。；私用で他人の会社に電話をするのは主義ではないが、俺ものんびり相手からの電話を待ってはいられない。；自衛隊の自動車を用いていないところからすると、この街には私用で来たのだろう。；また、職務中に私用の携帯電話を使ってメールを送っていたことも明らかとなった。；今日は、私用だからということなのか、いつもの白地に赤の縁取りのある騎士服ではない。</t>
        </is>
      </c>
      <c r="J3987">
        <f>HYPERLINK("https://www.weblio.jp/content/私用", "词义详情")</f>
        <v/>
      </c>
      <c r="K3987">
        <f>HYPERLINK("https://yourei.jp/私用", "查看例句")</f>
        <v/>
      </c>
    </row>
    <row r="3988">
      <c r="A3988" t="inlineStr">
        <is>
          <t>小～</t>
        </is>
      </c>
      <c r="B3988" t="inlineStr">
        <is>
          <t>成功</t>
        </is>
      </c>
      <c r="C3988" t="inlineStr">
        <is>
          <t>読み方：お
［接頭］
１名詞に付く。
㋐小さい、細かい意を表す。「—川」
㋑語調を整えたり、表現をやわらげたりして、やさしい感じの意を表す。
「言出(で)しは誰が言なるか—山田の苗代水の中淀にして」〈万・七七六〉
２用言に付いて、少し、わずかという意を表す。「—暗い」「—やみない長雨」</t>
        </is>
      </c>
      <c r="H3988" t="n">
        <v>0</v>
      </c>
      <c r="J3988">
        <f>HYPERLINK("https://www.weblio.jp/content/小～", "词义详情")</f>
        <v/>
      </c>
      <c r="K3988">
        <f>HYPERLINK("https://yourei.jp/小～", "查看例句")</f>
        <v/>
      </c>
    </row>
    <row r="3989">
      <c r="A3989" t="inlineStr">
        <is>
          <t>上位</t>
        </is>
      </c>
      <c r="B3989" t="inlineStr">
        <is>
          <t>成功</t>
        </is>
      </c>
      <c r="C3989" t="inlineStr">
        <is>
          <t>読み方：じょうい
順位・地位・位置が上であること。「—の入賞者」⇔下位。</t>
        </is>
      </c>
      <c r="D3989" t="inlineStr">
        <is>
          <t>上位入賞(3%)；上位チーム；上位機種；上位争い；上位選手</t>
        </is>
      </c>
      <c r="E3989" t="inlineStr">
        <is>
          <t>高級；上級；上等；格上；優良</t>
        </is>
      </c>
      <c r="F3989" t="inlineStr">
        <is>
          <t>成績上位；幕内上位；各組上位；各グループ上位；リーグ上位</t>
        </is>
      </c>
      <c r="G3989" t="inlineStr">
        <is>
          <t>上位進出；上位陣；上位互換；上位モデル；上位概念</t>
        </is>
      </c>
      <c r="H3989" t="n">
        <v>29</v>
      </c>
      <c r="I3989" t="inlineStr">
        <is>
          <t>上位6名にはヨーロッパでのレース遠征をサポートする事も発表された。；上位20位の中で大半を占めるのは東京都と埼玉県に所在する駅である。；直接プロになる制度ではないが、奨励会の上位に編入できる制度がある。；予選は優勝クラブ予選と上位クラブ予選の二つのルートで行われる。；男子ほどではないものの、非黒人選手が上位入賞するケースは稀である。；話題中の動作や状態の主体が話者よりも上位である場合に使われる。；銀行はメガバンク再編前から上位都銀のほぼすべてが店舗を構えていた。；本大会は、開催前年度の各国大会の上位チームに参加資格が与えられる。；各分野ごとに分析すると世界シェアで上位を占めるメーカーもある。；水力発電所がある関係で、他の山村よりも所得数字的には上位にあった。；なぜ上位の4姓以外が運用されなかったのかについて記録は残されていない。；中央線では通勤快速より特別快速の方が上位だが、常磐線は逆であった。；このように上位層でも動作する装置をマルチレイヤスイッチと呼ぶ。；トーナメントなどに勝利することでより上位の階級を目指すことが目的である。；時として君主の師匠扱いもされ、君主より上位の存在の場合すらあった。；人口密度は京都府内の市町村でも群を抜いて高く、全国でも上位に入る。；上位に掲載されていることが多く、時折表紙にも大きく描かれている。；特に映画誌などで行われる過去の作品のランキング等では必ず上位にランキングされている。；バーダックは下級戦士としては上位にいるが中級戦士にはなれていない。；特に江戸時代には、三公は親王よりも上位とされ、その権威は高かった。；これは、大手書店のランキングで上位に掲載されることを目的とした行為である。；これは日本の代表3選手の中では最も上位の成績であった。；教養系大学であり、国内ランキングでも常に上位に位置している。；同一対戦校に勝ち越した場合に勝ち点1を獲得し、勝ち点が多い方が上位。；一般的には数多くの検索エンジンで上位表示されるページから順に表示される。；また、呉では上大将軍を設置し、これは大将軍より上位の官職であった。；複数の類を構成要素とする上位の類を考えることもできる。；一方で輸入は中華人民共和国、メキシコ、日本が上位3位までに入る。；アメリカ合衆国の都市の面積順リストでは、アラスカ州内の都市が上位を占める。</t>
        </is>
      </c>
      <c r="J3989">
        <f>HYPERLINK("https://www.weblio.jp/content/上位", "词义详情")</f>
        <v/>
      </c>
      <c r="K3989">
        <f>HYPERLINK("https://yourei.jp/上位", "查看例句")</f>
        <v/>
      </c>
    </row>
    <row r="3990">
      <c r="A3990" t="inlineStr">
        <is>
          <t>上映</t>
        </is>
      </c>
      <c r="B3990" t="inlineStr">
        <is>
          <t>成功</t>
        </is>
      </c>
      <c r="C3990" t="inlineStr">
        <is>
          <t>読み方：じょうえい
［名］(スル)映画をうつして観客に見せること。「話題作が—される」「好評—中」</t>
        </is>
      </c>
      <c r="D3990" t="inlineStr">
        <is>
          <t>上映される(5%)；上映時間(4%)；上映作品(3%)；上映用；上映館</t>
        </is>
      </c>
      <c r="E3990" t="inlineStr">
        <is>
          <t>発表；展示；公演；披露；上演</t>
        </is>
      </c>
      <c r="F3990" t="inlineStr">
        <is>
          <t>同時上映；映画上映；初上映；先行上映；特集上映</t>
        </is>
      </c>
      <c r="G3990" t="inlineStr">
        <is>
          <t>上映後；上映前；上映開始；上映期間；上映劇場</t>
        </is>
      </c>
      <c r="H3990" t="n">
        <v>29</v>
      </c>
      <c r="I3990" t="inlineStr">
        <is>
          <t>その結果、この映画はアメリカにある多くの映画館で上映されなかった。；本作品は現在に至るまで中華人民共和国での一般上映が禁じられている。；また、現在は上映作品の傾向からミニシアターと認識されることが多い。；大ヒットし、通し上映では6時間を超えることから総集編も製作された。；しかし、この案では上映時間が3時間を超えてしまうという意見が出た。；上映時間はテレビ版が74分、ヨーロッパで劇場公開された版は90分。；台湾の解禁で主要国で日本映画を上映禁止するのは韓国だけとなった。；また同日に田中絹代ぶんか館で出演映画の上映が開催されるようになった。；映画上映後、そのままTHE虎舞竜のコンサートが始まると形式で公開。；また北側の壁にロールスクリーンを設けて、映画の上映などが行なわれた。；部室には壁一面に布スクリーンが張ってあり、24時間上映可能である。；活動弁士は無声映画の上映中にその内容を語りで解説する職業である。；アカデミー賞の他の賞とは違い、アメリカ国内で上映されている必要はない。；警察が上映反対派に協力的だったこともあり、鈴木は無抵抗を貫いた。；また、映画館でも英語字幕付きのタイ映画を上映したりと精力的である。；フランスで邦画としては過去最大となる約100館での上映が決定した。；ただし、本作の劇場作品は上映規模があまり大きい作品ではない。；ほかにもイギリス、韓国など世界26ヶ国での上映が予定されている。；年に一度、映画館を借り切っての上映など、外部上映会に力を入れている。；以後も全国主要都市や海外でも上映されることになった。；アルゴ・ピクチャーズは4月12日に予定していた上映の中止を決定した。；この映画はヨーロッパやアメリカ合衆国の各地で上映され、大成功を収めた。；また、10日にニューヨークで開催されるコミコンでも先行上映された。；日本では2016年10月に高知大学と高知競馬場で上映会が行われた。；これは日本で最初に上映されたニュース映画だったといわれる。；その後も、本作の節目の年には劇場版がさまざまな形で上映された。；この作品は東急文化会館5階の渋谷東急で上映された最後の映画となった。；また、スクリーン上映に耐えうる高画質記録媒体での保存も行っている。；一般映画館ではなく、ホールを借りて上映する地方巡回方式で上映された。</t>
        </is>
      </c>
      <c r="J3990">
        <f>HYPERLINK("https://www.weblio.jp/content/上映", "词义详情")</f>
        <v/>
      </c>
      <c r="K3990">
        <f>HYPERLINK("https://yourei.jp/上映", "查看例句")</f>
        <v/>
      </c>
    </row>
    <row r="3991">
      <c r="A3991" t="inlineStr">
        <is>
          <t>省エネ</t>
        </is>
      </c>
      <c r="B3991" t="inlineStr">
        <is>
          <t>成功</t>
        </is>
      </c>
      <c r="C3991" t="inlineStr">
        <is>
          <t>読み方：しょうえね
「省エネルギー」の略。</t>
        </is>
      </c>
      <c r="D3991" t="inlineStr">
        <is>
          <t>省エネ化(6%)；省エネ性能(5%)；省エネ対策(3%)；省エネ技術(2%)；省エネ主義(2%)</t>
        </is>
      </c>
      <c r="E3991" t="inlineStr">
        <is>
          <t>節約；引き締め；コストダウン；省エネルギー；緊縮</t>
        </is>
      </c>
      <c r="G3991" t="inlineStr">
        <is>
          <t>省エネルギー化；省エネルギーセンター；省エネ法；省エネ大賞；省エネ環境診断士</t>
        </is>
      </c>
      <c r="H3991" t="n">
        <v>29</v>
      </c>
      <c r="I3991" t="inlineStr">
        <is>
          <t>店舗の大型化を進め、多くの店舗で採光用の窓を付け省エネも行われている。；それに対処した経験は、俺の省エネのモットーを突き崩しはしなかった。；これらは省エネ型製品情報サイト から誰でも検索・印刷することが可能である。；ただし、更なる省エネ化のおかげで連続通話時間は大幅に伸びている。；被写体が来たところで微調整するだけだから、時間の省エネは凄いわけだ。；省エネの観点からも、電動機では直入れ制御からの置き換えが推奨される。；パソコンは何時の間にか省エネモードになってて、画面は真っ暗だった。；ジェボンズのパラドックスはときに省エネが無駄との主張の根拠に使われることがある。；各国には以下のような国家省エネ基準が存在する。；トンネル内の空気環境を適切に維持しながら省エネ性も実現。；近年、省エネの点でも改良が進み熱効率が向上し調理時間がさらに早くなっている。；車両の省エネ対策はその後も推進されている。；家庭用エアコンの省エネ性能の目標基準を15年ぶりに改正する方針を固めた。；省エネ時代だというのに、小型車にまともに取り組もうとしなかった。；一部ではオンデマンド定着方式を採用するなどの省エネや環境問題に対応したタイプが販売されている。；近年は、「技術でエコを変えていく」をテーマに省エネ製品に注力している。；省エネコンサルティング事業及び感染症対策関連事業を行っている。；どうやら、店が薄暗かったのは、お客がいない時の省エネモードだったらしい。；それに対し俺が、この省エネ主義の奉太郎が少しでも責任を負うと?；ホータローの省エネ主義がどこまでホータローの柱になってるか、僕には知る術もない。；ただ乾燥機能付きのものは同機能分だけ消費電力は大きく、省エネ効果は期待できない。；このビルのシステムとしての最大の特徴は、様々な方法で省エネに取り組んでいることである。；ところが先日知人に「最近ずいぶん省エネしてますねえ」と言われてしまった。；つまり、少し省エネを実行しさえすれば、世界は原子力なしでもやっていける。；走行試験では万葉線で導入する際の省エネ効果などを調べた。；省エネに協力してくれなくちゃ困るなあ。；このため、震災後に自宅の照明器具を全て省エネのためLEDに交換している。；買い換えの際は省エネ達成率だけではなく、年間消費電力量も必ず確認したほうが良い。；環境に配慮した省エネ対策などが行われている。</t>
        </is>
      </c>
      <c r="J3991">
        <f>HYPERLINK("https://www.weblio.jp/content/省エネ", "词义详情")</f>
        <v/>
      </c>
      <c r="K3991">
        <f>HYPERLINK("https://yourei.jp/省エネ", "查看例句")</f>
        <v/>
      </c>
    </row>
    <row r="3992">
      <c r="A3992" t="inlineStr">
        <is>
          <t>上演</t>
        </is>
      </c>
      <c r="B3992" t="inlineStr">
        <is>
          <t>成功</t>
        </is>
      </c>
      <c r="C3992" t="inlineStr">
        <is>
          <t>読み方：じょうえん
［名］(スル)観客に見せるために劇などを舞台で演じること。「新作を—する」</t>
        </is>
      </c>
      <c r="D3992" t="inlineStr">
        <is>
          <t>上演される(8%)；上演する(7%)；上演時間；上演禁止；上演回数</t>
        </is>
      </c>
      <c r="E3992" t="inlineStr">
        <is>
          <t>発表；出演；舞台；演奏；展示</t>
        </is>
      </c>
      <c r="F3992" t="inlineStr">
        <is>
          <t>オペラ上演；舞台上演；演劇上演；初上演；再上演</t>
        </is>
      </c>
      <c r="H3992" t="n">
        <v>29</v>
      </c>
      <c r="I3992" t="inlineStr">
        <is>
          <t>結局、このオペラは作曲家であるスメタナ自身の指揮の下で上演された。；これは大ホールでの上演が約 75 % を占めていることを示している。；作品の多くは世界中でツアーを行い、日本でも定期的に上演を行っている。；舞台で上演するほかに、映画としても数多くのミュージカル作品がある。；これを上演すると、ニューヨーク大司教区から上演中止の要請があった。；本作の英語以外の言語での上演およびアメリカ以外での上演は日本が初めてだった。；各国版でミス・サイゴンが上演された国・都市は下記の通りである。；このためしばらくは赤穂事件を扱った芝居は上演記録は残っていない。；同作は今日でも上演されることが多い人気作となっている。；その後、これらの歴史劇が一度に上演されることはほとんどなかった。；しかし、すべての町の上演がギルドとの提携でなされたわけではない。；客が少ないことでも有名で、客が1人しかいない中で上演されることもあった。；奈良時代に仏教寺院で行われていた伎楽は、次のような上演様態をもつ。；上演場所も演劇専用劇場から学校や公民館まで様々な場所で上演されている。；演劇の上演はもちろんのこと、コンサートや歌舞伎が上演されることもある。；ただしこのとき、実際の演技として伎楽が上演されたかどうかは不明。；日本でも、作品は数多く繰り返し上演され、大きな共感を呼び起こした。；最終的に、典礼劇は教会堂の外、教会堂の庭や市場へ上演の場を移した。；これにより、今まで上演できなかった都市での公演が実現できるようになった。；基本的にオリジナル作品で、毎年異なる作品が上演されているのが特徴である。；プロセニアム・アーチの存在はそこで上演される演劇に多大な影響を与えた。；東大寺の大仏開眼供養の時には他の諸芸能とともに大規模に上演された。；演劇は主に俳優を中心に考えて作られ上演された。；同年9月1日から上演されて画期的な内容で大ヒットを記録した。；ガーコンの長講が大ガーコンとなるわけではなく、上演時間は関係ない。；再演や、映画化されたのちに舞台上演されたなどは、これらの数字に含まない。；しかし本番当日、ジュリエット役の俳優が上演の直前に変声期を起こす。；また、自由劇場開業後は従前のストレートプレイの上演も増加している。；辺境伯歌劇場が彼の作品を上演するのに十分な広さがあるかを視察に来たのだった。</t>
        </is>
      </c>
      <c r="J3992">
        <f>HYPERLINK("https://www.weblio.jp/content/上演", "词义详情")</f>
        <v/>
      </c>
      <c r="K3992">
        <f>HYPERLINK("https://yourei.jp/上演", "查看例句")</f>
        <v/>
      </c>
    </row>
    <row r="3993">
      <c r="A3993" t="inlineStr">
        <is>
          <t>消化</t>
        </is>
      </c>
      <c r="B3993" t="inlineStr">
        <is>
          <t>成功</t>
        </is>
      </c>
      <c r="C3993" t="inlineStr">
        <is>
          <t>読み方：しょうか
［名］(スル)
１生体が体内で食物を吸収しやすい形に変化させること。また、その過程。多くの動物では消化管内で、消化器の運動（物理的消化）、消化液の作用（化学的消化）、腸内細菌の作用（生物学的消化）などによって行われる。「—のいい食べ物」「よくかまないと—に悪い」
２理論や知識などをよく理解して自分のものとして身につけること。「本の内容を—する」
３たまった仕事や商品をさばくこと。「国内市場では—しきれない過剰在庫」「スケジュールを—する」
４形がなくなって他のものに変化すること。
「人の魂気…火尽き烟となって空にのぼり、気とともに—して」〈読・英草紙・三〉</t>
        </is>
      </c>
      <c r="D3993" t="inlineStr">
        <is>
          <t>消化する(11%)；消化吸収(5%)；消化でき(4%)；消化される；消化しきれ</t>
        </is>
      </c>
      <c r="E3993" t="inlineStr">
        <is>
          <t>こなれ</t>
        </is>
      </c>
      <c r="F3993" t="inlineStr">
        <is>
          <t>消化しやすい；消化不良；日程消化；消化能力；消化状態</t>
        </is>
      </c>
      <c r="G3993" t="inlineStr">
        <is>
          <t>消化器；消化不良；消化器系；消化酵素；消化試合</t>
        </is>
      </c>
      <c r="H3993" t="n">
        <v>29</v>
      </c>
      <c r="I3993" t="inlineStr">
        <is>
          <t>体外消化の場合には、消化は特に決まった部分で行われるわけではない。；その結果、多くの人間は成長後にラクトースを適切に消化できなくなる。；いかに叩き込んだところで消化が出来なければ国民の栄養にはなるまい。；総じて消化の悪いものが多く、食用種であっても食べ過ぎない方がよい。；また閉店中に大当たりを消化できなかった台も天国継続の可能性がある。；なお、スフィンゴ脂質の消化吸収は他の脂質と比較すると吸収率が低い。；この強力な消化吸収能力が、偶蹄目の動物が繁栄した一因とされている。；消化中の保留球マークが手紙マークならそこからメール予告に発展する。；消化率とは、食べた物のうち消化吸収された量の割合を示すものである。；ゲーム数を消化してしまうとRTに移行し、カボチャが1個表示される。；葉・サンゴ・石・ゴミのような消化不能物を飲み込んでいる場合もある。；デリケートな性格で消化が悪く、追い切りをすると頻繁に熱発していた。；まず消化しやすいものが出され、徐々に腹持ちのいい料理に移行した。；しかし九頭炉は惑星に残っており、完全には消化されていなかった。；それ以外は、滞在ゲーム数消化後にいずれかのモードに移行する。；無脊椎動物では多くの種が砂嚢を持っており、消化の役割を果たしている。；多くの伏線を張ってあるが、全て消化しきれず打ち切りにより連載終了。；バンドは崩壊後も契約消化のため、アルバム・リリースを継続せねばならなかった。；そのことが次第にステージを消化していくうちに露呈してしまう。；雛は、親の口の中に頭を突っ込んで半消化した餌をもらって成長する。；なお、ワニは消化の促進以外にも浮力の調整の役割でも胃石を利用する。；このままでは消化されてしまうが刃物はなく腹を裂いて外に出ることはできない。；原作のエピソードを消化できず、官渡の戦いの途中の場面で物語は終わった。；消化には数時間を要し、その作業にそれなりのエネルギーが費やされる。；規定の試合数を消化した時点で最も成績の良い参加者が優勝者となる。；ブレアーによれば、怪物には他の生物を消化して細胞を模倣する能力がある。；その際モチーフ全てを導入したわけではなく、彼らなりの観点で消化・吸収された。；これは消化酵素が十分分泌されない人の消化を助けるために販売されている。；原作を消化しつつアニメオリジナルを交えたストーリーとなった。</t>
        </is>
      </c>
      <c r="J3993">
        <f>HYPERLINK("https://www.weblio.jp/content/消化", "词义详情")</f>
        <v/>
      </c>
      <c r="K3993">
        <f>HYPERLINK("https://yourei.jp/消化", "查看例句")</f>
        <v/>
      </c>
    </row>
    <row r="3994">
      <c r="A3994" t="inlineStr">
        <is>
          <t>消火</t>
        </is>
      </c>
      <c r="B3994" t="inlineStr">
        <is>
          <t>成功</t>
        </is>
      </c>
      <c r="C3994" t="inlineStr">
        <is>
          <t>読み方：しょうか
［名］(スル)火を消すこと。火事を消すこと。「消防車が出動して—する」「—活動」</t>
        </is>
      </c>
      <c r="D3994" t="inlineStr">
        <is>
          <t>消火器(26%)；消火作業(6%)；消火装置(5%)；消火用(2%)；消火ポンプ</t>
        </is>
      </c>
      <c r="E3994" t="inlineStr">
        <is>
          <t>消す</t>
        </is>
      </c>
      <c r="F3994" t="inlineStr">
        <is>
          <t>初期消火；粉末消火；泡消火；消火訓練；消火活動</t>
        </is>
      </c>
      <c r="G3994" t="inlineStr">
        <is>
          <t>消火栓；消火剤；消火設備；消火弾；消火隊</t>
        </is>
      </c>
      <c r="H3994" t="n">
        <v>29</v>
      </c>
      <c r="I3994" t="inlineStr">
        <is>
          <t>慌てて消火をしようとしたものの火の勢いが強くて消すことが出来ない。；イギリスでは火災発生時に消火用水を供給するための池が作られている。；この強力な消火装置は、その後建造された連絡船には装備されなかった。；死亡した人の中には、消火に当たっていた消防士も複数含まれている。；この実験によりいずれかの数値が1以上でないと消火器と認められない。；結局、救助できたのは消火作業後だったが、福澤はすでに死亡していた。；なお、消火器の設置が義務付けられている自動車は以下の通りである。；飛行中の航空機や電子機器の火災のためのガス系消火器に用いられる。；危険と無意味さを認識して、接近や消火のための努力は払われなくなった。；消火が断念されたイモージェンはその少し後に沈んだものと思われる。；最終的に消火されたのは、魚雷命中から実に12時間後のことであった。；また日暮れは19時22分であるから、そのころには既に消火していた。；また消火システムや燃料測定システムなど安全性も考慮した設計となっている。；必要に応じて消火整備を設置して消防機とすることも可能である。；そのため、火災検知装置や消火装置の設置が義務付けられていなかった。；乗員達は5時間にも及ぶ消火及び排水作業を懸命に行い、艦を維持した。；操縦士は墜落を避けるために彼の頭を数回殴り、小型消火器をぶつけた。；これの他に、 の消火用水供給ラインと の空調用冷却水ラインがある。；消火までに島の約15パーセントの森林が焼失したと推定されている。；救助に向かうにしても、消火に向かうにしても厳しい条件下での事故だった。；強化液消火器の場合も、あまり確実に長期間の保存はできないとされている。；住民たちには、革袋に消火用水を用意しておくことが義務づけられていた。；しかし地震により消火配管が破断していたことで初期消火が阻害された。；かつては酸アルカリ消火器、強化液消火器などがこの方式を用いていた。；従業員数名が消火器で初期消火を試みたが、火勢は強まるばかりだった。；各国が連携して船舶・航空機を用いた救助・消火・油防除活動に尽力した。；泡が工業分野で有効利用される例として消火器や食品工業などがある。；建物内にあった十一面観音像などは消火の放水で濡れたものの無事。；更に事務所には消火器の中身を噴出させられたり看板を破られていたりもした。</t>
        </is>
      </c>
      <c r="J3994">
        <f>HYPERLINK("https://www.weblio.jp/content/消火", "词义详情")</f>
        <v/>
      </c>
      <c r="K3994">
        <f>HYPERLINK("https://yourei.jp/消火", "查看例句")</f>
        <v/>
      </c>
    </row>
    <row r="3995">
      <c r="A3995" t="inlineStr">
        <is>
          <t>城下</t>
        </is>
      </c>
      <c r="B3995" t="inlineStr">
        <is>
          <t>成功</t>
        </is>
      </c>
      <c r="C3995" t="inlineStr">
        <is>
          <t>読み方：じょうか
１城の下。城のそば。
２城下町。</t>
        </is>
      </c>
      <c r="D3995" t="inlineStr">
        <is>
          <t>城下士；城下侍；城下絵図；城下はずれ；城下外れ</t>
        </is>
      </c>
      <c r="F3995" t="inlineStr">
        <is>
          <t>若松城下；仙台城下；甲府城下；御城下；広島城下</t>
        </is>
      </c>
      <c r="G3995" t="inlineStr">
        <is>
          <t>城下かれい；城下まち；城下郡；城下東；城下村</t>
        </is>
      </c>
      <c r="H3995" t="n">
        <v>29</v>
      </c>
      <c r="I3995" t="inlineStr">
        <is>
          <t>移転先の校舎内には移転前の城下に存在した本校の正門が展示してある。；古地図にも存在が示されており、小田原城下と城外の境界であり続けた。；技術はそれぞれの分野を発展させる為に城下に専用の町を作らなければならない。；安国は城下まで来たが、門が閉ざされており、入ることができなかった。；江戸時代の徳島城下の人々は、この湧水を購入して飲み水としていた。；現在も城下には五輪塔や塚が点在しており、周囲には支城の遺構もある。；城下の永明寺集落に居館があり、平時はそこで生活していたと推測される。；城下に訴訟箱を設置して広く民間の意見を求める政策も行った。；松山市の松前町の付近は、城下では最も古くから開けた地域であった。；老町は城下内の下町に属しており、商人や職人などが主に住んでいたとされる。；札の辻を中心とした一帯が城下の商人地区である上五ヶ町であった。；翌年、城下が大火に見舞われたため、その救済や建物の再建に当たった。；この井戸水の安定供給によって城下に5万人を超える人口が涵養された。；川崎家は鹿児島城下に居住する城下士の中でも最下級の小姓組であった。；仙台城下の町人武士なら、武士用の門と町人用の玄関を別の道に開いていた。；城下には商工業者が集められ、市が開かれるなどして活況を呈したという。；城下の経済的発展に対応するものとされ、城の大手門は城の南から東に移された。；はじめ真福寺が立てられたのは登米郡にある葛西氏本拠地の城下であった。；その直後に家臣や城兵も矢野城下の真教寺に幽閉されて殺害された。；かつては小田急バス生田営業所も城下 - 西菅団地便を担当していた。；江戸時代には、脇街道としての山陽道が三原城下を通る形で整備された。；しかし藩主が江戸に定府していたこともあって、城下の発展はあまり見られなかった。；その後、城下は中心部を奥谷から街道沿いにあった八上に移した。；なお、仙台城下の奥州街道本筋は上記の町以外にも南北に続いていた。；札の辻を中心とした一帯が城下の商人地区である上五ヶ町である。；木曳堀の完成によって阿武隈川水系と仙台城下が結ばれることになった。；銃眼付き胸壁に立つと、一方は城下を見下ろす感動的なパノラマである。；かわりに日市銭を城下の全商人から取り立てて6年交代で町に配るようになった。；多くの場合城下の一角に集められ、大名や武士の注文に応じた。</t>
        </is>
      </c>
      <c r="J3995">
        <f>HYPERLINK("https://www.weblio.jp/content/城下", "词义详情")</f>
        <v/>
      </c>
      <c r="K3995">
        <f>HYPERLINK("https://yourei.jp/城下", "查看例句")</f>
        <v/>
      </c>
    </row>
    <row r="3996">
      <c r="A3996" t="inlineStr">
        <is>
          <t>浄化</t>
        </is>
      </c>
      <c r="B3996" t="inlineStr">
        <is>
          <t>成功</t>
        </is>
      </c>
      <c r="C3996" t="inlineStr">
        <is>
          <t>読み方：じょうか
［名］(スル)
１きれいにすること。清浄にすること。「空気を—する」
２心身の罪やけがれを取り除くこと。社会の悪弊などを除いて、あるべき状態にすること。「腐敗した政治を—する」
３ある地域から他民族を排し、民族構成を単一化すること。→民族浄化
４⇒カタルシス</t>
        </is>
      </c>
      <c r="D3996" t="inlineStr">
        <is>
          <t>浄化する(13%)；浄化装置(4%)；浄化される(3%)；浄化作用(3%)；浄化施設</t>
        </is>
      </c>
      <c r="E3996" t="inlineStr">
        <is>
          <t>掃除；洗濯；清掃；洗う；精製</t>
        </is>
      </c>
      <c r="F3996" t="inlineStr">
        <is>
          <t>空気浄化；環境浄化；排気ガス浄化；排ガス浄化；血液浄化</t>
        </is>
      </c>
      <c r="G3996" t="inlineStr">
        <is>
          <t>浄化センター；浄化能力；浄化作戦；浄化作業；浄化槽法</t>
        </is>
      </c>
      <c r="H3996" t="n">
        <v>29</v>
      </c>
      <c r="I3996" t="inlineStr">
        <is>
          <t>死者の魂が安全に戻ってこられるよう場を浄化する、と考えられている。；三反五反運動が体制を浄化することに成功したことも忘れてはならない。；また空気浄化装置も備えられており、各妻面上部の左右に設置している。；ルートヴィヒによると、絵画は魂の浄化への理想的な道程を表している。；このような放射性物質で汚染された物や人を浄化する作業を除染と呼ぶ。；この祭りは罪を海の波で洗い流して浄化することを目的としている。；工場の敷地は汚染されていたので、工事を始める前に浄化する必要があった。；そのため上流の流入水路の原因調査や底質の浄化対策などが実施されている。；沖館川の浄化はみんなでお米のとぎ汁を使ったりなど親も協力をしている。；彼らの多くは裁判の場に引き出され、フランス解放後の浄化の対象となった。；電気は通じているが、水道は無いために雨水を浄化して使用している。；実験池はは岸の植生や浮島の水質浄化効果などの研究が行われている。；そして12回目の戦いは終わり、浄化を受けた戦士達は新たな戦いへと望む。；このため河川浄化の取り組みが国や地方自治体によって進められている。；優れた環境を回復させるために水質処理や浄化が行われてきた。；カコはそれら怨霊と呼ばれる存在を浄化して退治する力を持っていた。；図像上は通常草のほうきを手にしており、浄化の神であることを表している。；また環境浄化への利用を目的とした研究も行われている。；ルフィを「希望の星」と感じ、自分たちが浄化したすべての影を託した。；それぞれの泥浴室や泥パック室は中央浄化・最終施設から泥を供給されている。；しかし血液を浄化するので、このためにも作られているようである。；五大湖合意によって浄化手段を開始するために是正行動計画が創設された。；半吸血鬼状態の解消には、アイテムの浄化石を使用する必要がある。；戦いの障害となる魔女化の問題を解決すべく、自動浄化システムを求めている。；その後4人の合体技で浄化され生来の姿に戻り、プリキュアに復帰した。；レイマーク跡地の浄化費用は2億ドルを超えるものと見積もられている。；この問題を解決するため、様々な浄化装置が車両に備えられる。；山々は観光や産業の資源を提供するだけでなく、空気を浄化する働きを持つ。；今、アリスィアの魂は一時的に身体を離れ浄化されているのだ、と。</t>
        </is>
      </c>
      <c r="J3996">
        <f>HYPERLINK("https://www.weblio.jp/content/浄化", "词义详情")</f>
        <v/>
      </c>
      <c r="K3996">
        <f>HYPERLINK("https://yourei.jp/浄化", "查看例句")</f>
        <v/>
      </c>
    </row>
    <row r="3997">
      <c r="A3997" t="inlineStr">
        <is>
          <t>紹介</t>
        </is>
      </c>
      <c r="B3997" t="inlineStr">
        <is>
          <t>成功</t>
        </is>
      </c>
      <c r="C3997" t="inlineStr">
        <is>
          <t>読み方：しょうかい
［名］(スル)
１未知の人どうしの間に入って引き合わせること。仲立ち。「知人の—で就職する」「友人を家族に—する」「自己—」
２知られていない物事を世間に広く教え知らせること。「雑誌で—された店」「日本文化を海外に—する」「新刊—」</t>
        </is>
      </c>
      <c r="D3997" t="inlineStr">
        <is>
          <t>紹介する(17%)；紹介される(5%)；紹介しよ；紹介記事；紹介文</t>
        </is>
      </c>
      <c r="E3997" t="inlineStr">
        <is>
          <t>導入；引き合わせる；引き合わせ；取入れる；引接</t>
        </is>
      </c>
      <c r="F3997" t="inlineStr">
        <is>
          <t>自己紹介；御紹介；曲紹介；広く紹介；キャラクター紹介</t>
        </is>
      </c>
      <c r="G3997" t="inlineStr">
        <is>
          <t>紹介映像；紹介料；紹介予定派遣；紹介採用；紹介屋</t>
        </is>
      </c>
      <c r="H3997" t="n">
        <v>29</v>
      </c>
      <c r="I3997" t="inlineStr">
        <is>
          <t>近代的な欧米の図書館制度を日本に最初に紹介したのは福沢諭吉である。；メディア等で、梅酒の作り方を紹介した際に問題となったケースがある。；やや特殊ながら、ほとんど全人類に共通の好意的な挨拶を紹介しておく。；ここで紹介するブランドは、現在も販売されているものも存在する。；後に京都や鎌倉などでテレビ番組等で度々紹介されて、各地に普及した。；様々なローカルルールが存在するが、以下は基本的なルールの紹介である。；この模様は日本での新聞などで取り上げられ、世界のメディアでも紹介された。；切断された木の一部は、駅コンコースに紹介文とともに展示されている。；ユーロゲームに用いられることの多い代表的な内容物を、以下に紹介する。；ヴァレンティノ・ガラヴァーニなどを日本に紹介する記事を担当した。；カードには道の駅の基本情報やおすすめポイントなどが紹介されている。；以下、ウィキペディア上に単独記事の存在するものを中心に紹介する。；紹介経由は連携先の病院からの紹介で入院するものをいう。；日本ではイギリス風の食事が紹介されることが比較的多い。；いずれにしても以上の説明は、大学の学科紹介などからの抜粋である。；役名・役職は公式サイトの作品紹介の文章における記載などを基とした。；この間11月、龍家の一族、佐栄志の娘・とまを紹介されて島妻とした。；それまでゲストが翌日・翌週のお友達を紹介するというのがお約束だった。；紹介が必要になるパターンは様々で などが挙げられる。；あるいは有名な曲だとしてもその取り上げ方や紹介の仕方にもセンスのある人。；ここで紹介されているのは結婚斡旋業から転じたものである。；研究成果および歴博の紹介が各メディアにて取り上げられている。；クロスプラットフォームのソフトが多いためハード別では紹介しない。；州の法律に規定された業務範囲以外の治療や検査が必要な場合は他の医療機関を紹介する。；日本国内でソフトが入手可能な主な作品を紹介する。；また、JR設定色は公式な呼称が存在しないため最も一般的な呼称で紹介している。；その後も交流や日本での紹介を行ない、尊敬を持って接し続けた。；第一回は、講義の目的や実証主義の精神を紹介するイントロダクション。；本節では、そうしたプラスアルファの性質のうち代表的なものを紹介する。</t>
        </is>
      </c>
      <c r="J3997">
        <f>HYPERLINK("https://www.weblio.jp/content/紹介", "词义详情")</f>
        <v/>
      </c>
      <c r="K3997">
        <f>HYPERLINK("https://yourei.jp/紹介", "查看例句")</f>
        <v/>
      </c>
    </row>
    <row r="3998">
      <c r="A3998" t="inlineStr">
        <is>
          <t>照会</t>
        </is>
      </c>
      <c r="B3998" t="inlineStr">
        <is>
          <t>成功</t>
        </is>
      </c>
      <c r="C3998" t="inlineStr">
        <is>
          <t>読み方：しょうかい
［名］(スル)問い合わせて確かめること。「身元を勤め先に—する」</t>
        </is>
      </c>
      <c r="D3998" t="inlineStr">
        <is>
          <t>照会すること(2%)；照会できる；照会書；照会文書；照会サービス</t>
        </is>
      </c>
      <c r="E3998" t="inlineStr">
        <is>
          <t>調査；質問；問い合わせ；リサーチ</t>
        </is>
      </c>
      <c r="F3998" t="inlineStr">
        <is>
          <t>情報照会；残高照会；再照会；身元照会；身分照会</t>
        </is>
      </c>
      <c r="H3998" t="n">
        <v>29</v>
      </c>
      <c r="I3998" t="inlineStr">
        <is>
          <t>もといた寺へ照会してもそのような者は知らぬという答えが返って来た。；東京の文部科学省に照会した際も、誰も知らなかったということである。；照会を受けた様々な専門家の中には、デザインは実現不可能と考える者もいた。；横浜の警察に照会したが、六年前そういう事件があったことは間違いない。；ウィリアムズ氏が照会して来ればすぐわかることを知っていたのです。；本籍地に照会した戸籍謄本が届いたのは、N印刷を訪ねて三日後である。；コンピュータの端末からデータを引き出し、ひとつずつ照会していった。；このほか情報収集・先例・旧格の照会を行うのも重要な任務であった。；動物管理センターや清掃課に照会をつづけているが該当する猫は現われない。；そういう場合、すぐに身元を照会できるようにしてあるのだそうだ。；伍長は納得せず、ホテルに投宿中の将校に照会しなくてはならないと言った。；投資家からの照会も多く、この目標は数年間で達成可能と思われる。；ほぼ前後して身許不明死体の特徴が県警の照会センターに照会された。；それで事が面倒になって、その男はもう少しで警察から学校へ照会されるところでした。；車体にあるVINを送ってくれたら登録証と照会してくれるという。；死体が日本人という可能性があれば領事館に警察から照会があったに違いない。；以下の単純なクエリ例では特定のメッセージを持つエンティティを照会する。；ただ後者はアメリカの拒否にあい、条約そのものではなく照会文で言及されることになった。；正式な照会文書があったら別ですけど、そんなんなしでは、調査に応じられません。；二人の行方不明になったことに関して、警察へ照会したものすらないという。；こちらも家族や知人からの照会がなければ把握のしようがありませんからね。；そうなると、約六〇〇万人分の指紋を照会しなければならなかった。；念のために管轄区役所に照会したが、住民基本台帳の記載はなかった。；この二週間のうちに、こうした探りを入れるような照会が三度も来ていた。；「照会」は手続きに時間がかかる令状を必要としない点が重要である。；非常線で機動隊ともめて、それで部下のところに身分照会が入ったようなのだ。；ホテルが警察へ届け出れば、いずれは警察から羽室家に照会が来るであろう。；私が英京ロンドンへ着くと、公使からそのことを照会せられました。；身元不明で困っていたが、指紋照会でわかったようなことを聞いた。</t>
        </is>
      </c>
      <c r="J3998">
        <f>HYPERLINK("https://www.weblio.jp/content/照会", "词义详情")</f>
        <v/>
      </c>
      <c r="K3998">
        <f>HYPERLINK("https://yourei.jp/照会", "查看例句")</f>
        <v/>
      </c>
    </row>
    <row r="3999">
      <c r="A3999" t="inlineStr">
        <is>
          <t>生涯</t>
        </is>
      </c>
      <c r="B3999" t="inlineStr">
        <is>
          <t>成功</t>
        </is>
      </c>
      <c r="C3999" t="inlineStr">
        <is>
          <t>読み方：しょうがい
１この世に生きている間。一生の間。終生。副詞的にも用いる。「教育に—をささげる」「—忘れられない出来事」
２一生のうち、ある事に関係した期間。「政治家としての—」
３いのち。生命。
「—ニ賭ケテ」〈日葡〉</t>
        </is>
      </c>
      <c r="D3999" t="inlineStr">
        <is>
          <t>生涯最後；生涯忘れ；生涯未婚；生涯唯一；生涯最高</t>
        </is>
      </c>
      <c r="E3999" t="inlineStr">
        <is>
          <t>人生；一生；寿命；ライフ；半生</t>
        </is>
      </c>
      <c r="F3999" t="inlineStr">
        <is>
          <t>全生涯；短い生涯；長い生涯；わが生涯；御生涯</t>
        </is>
      </c>
      <c r="G3999" t="inlineStr">
        <is>
          <t>生涯独身；生涯教育；生涯現役；生涯スポーツ；生涯賃金</t>
        </is>
      </c>
      <c r="H3999" t="n">
        <v>29</v>
      </c>
      <c r="I3999" t="inlineStr">
        <is>
          <t>生涯に書いた著作のページ数の総計は5万ページ以上だと言われている。；フーリエは、個人はその多くの生涯の間にだんだんと向上すると考えた。；生涯結婚することが無く、一般的には子供もいなかったと言われる。；それらによると生涯に三度、こうした手紙類を記したことが分かっている。；これを生涯のうちで達成することをキャリア・グランドスラムという。；無欲恬淡な性格で生涯寺を持たず、諸民に信頼され、良く教化に努めた。；これにはキリストの昇天とイエスの生涯から10の場面が描かれている。；とりわけスケッチが好きであり、彼女は生涯にわたって絵を描き続けた。；そのために芳年の生涯での製作作数は1万にも及ぶと見られている。；韓非の生涯で転機となったのは、隣国秦への使者となったことであった。；生涯で3度結婚しており、それぞれの妻との間に娘が一人ずついる。；また生涯で少なくとも60回以上引越しを繰り返したことも知られている。；しかし本来は臨時職である征夷大将軍の称号を生涯に渡って身に帯び続けた。；なお、生涯が2世紀に渡っている場合はあとの世紀に区分するものとする。；北川殿の弟が盛時であったことが、氏親の生涯に大きな影響を与えた。；また、11本塁打を放って生涯初となる本塁打王のタイトルを獲得した。；気の強い性格のヴェーラ夫人には生涯頭が上がらなかったと云われている。；この年には彼の生涯で初となる名誉博士号がジュネーヴ大学より授与された。；残りの生涯をこの城で過ごし、死後は大聖堂に葬られることを望んだ。；サッポーに関する信頼できる文献は少なく、その生涯ははっきりしない。；はじめはの話を構想したが、彼女の生涯は舞踏では表現不可能であると思い至る。；ジョン・フォードは、生涯インタビューにはほとんど応じなかったという。；絵画のほかに短歌もよくし、短い生涯に多くの文章を残している。；生涯に渡りバイセクシュアルであることをオープンにしていた。；八節の前に同棲していた房子を入れると外骨は生涯に5人の女性を妻とした。；この結婚生活は生涯続いたが、彼らの間に子供は生まれなかった。；芭蕉、一茶は作品よりも、彼らの生涯が芝居になりそうで興味がある。；後年、文通をするなど、その女性を生涯忘れることはなかったとされる。；このときの体験が、彼女が生涯人権のために働いた原動力であったともいえる。</t>
        </is>
      </c>
      <c r="J3999">
        <f>HYPERLINK("https://www.weblio.jp/content/生涯", "词义详情")</f>
        <v/>
      </c>
      <c r="K3999">
        <f>HYPERLINK("https://yourei.jp/生涯", "查看例句")</f>
        <v/>
      </c>
    </row>
    <row r="4000">
      <c r="A4000" t="inlineStr">
        <is>
          <t>障害</t>
        </is>
      </c>
      <c r="B4000" t="inlineStr">
        <is>
          <t>成功</t>
        </is>
      </c>
      <c r="C4000" t="inlineStr">
        <is>
          <t>読み方：しょうがい
［名］(スル)
１さまたげること。また、あることをするのに、さまたげとなるものや状況。しょうげ。「旧弊が改革の—になる」「—を乗り越える」「電波—」
「立憲公議の美政を組織せんと欲せば、之を—し是を非難し」〈東海散士・佳人之奇遇〉
２個人的な原因や、社会的な環境により、心や身体上の機能が十分に働かず、活動に制限があること。「胃腸—」「言語—」
３「障害競走」の略。</t>
        </is>
      </c>
      <c r="D4000" t="inlineStr">
        <is>
          <t>障害者；障害発生；障害重賞；障害性；障害コース</t>
        </is>
      </c>
      <c r="E4000" t="inlineStr">
        <is>
          <t>問題；壁；困難；異常；病</t>
        </is>
      </c>
      <c r="F4000" t="inlineStr">
        <is>
          <t>摂食障害；感覚障害；重大な障害；性障害；様々な障害</t>
        </is>
      </c>
      <c r="G4000" t="inlineStr">
        <is>
          <t>障害者；障害競走；障害児；障害飛越；障害者スポーツ</t>
        </is>
      </c>
      <c r="H4000" t="n">
        <v>29</v>
      </c>
      <c r="I4000" t="inlineStr">
        <is>
          <t>障害側の全体ではなく、傷害を受けた神経の支配筋だけが影響を受ける。；夏障害でも多くの競走が施行され、一部でグレード競走も行われている。；これら表記の不統一が、コンピュータで検索する際などには障害ともなる。；弱視と失語症の障害があって体も弱く、当初は後継候補から外れていた。；婚姻には民法に規定される婚姻障害事由が存在しないことが必要である。；社員を海外赴任させる企業が子供の障害まで考慮することはめったにない。；貧困や障害などにより知識を有していても行動が難しい人も数多く存在する。；また有機物の量が少ないため、長期間使用すると土壌障害の原因となる。；世界が生き生きとしたものになるためには障害が不可欠なのである。；なお、腎臓での再吸収障害のため尿糖の出る腎性糖尿は別の現象である。；農業を志向した社会主義経済の非効率性も経済発展の障害となっていた。；身体機能の障害に対して、法令などで障害の語が当てられるようになった。；単一の神経根が障害された場合は感覚鈍麻の範囲は皮膚分節より狭い。；一方、書籍によっては二次障害がなければ取得できないとしているものもある。；また障害もかつては3つあったが、1974年より現行の2つになった。；しかし日本においては障害馬でも去勢されないことが圧倒的に多い。；現在ではこれらの病気はビタミン不足による障害だと知られている。；障害を克服するため、剣道や居合の稽古をより行うようになったという。；前者の2件は読字がしにくいディスレクシアほかの障がいにも対応する。；日本国内においては、このことが栽培規模拡大への障害のひとつとなっている。；障害に合わせた支援があれば十分に習熟・卒業が可能である。；表在感覚が優位に障害されるものは偽性神経根型といわれるものも含まれる。；このため、在宅勤務を導入しようとする組織では、重大な障害となっている。；心機能と肝機能を障害するゴシポールが腺に含まれているからである。；障害コースの中では最も設置数が多い障害である。；しかし、機能テストパターンは一般的な製造工程での障害を検出しない。；昭和20年代までは、東京競馬場と小倉競馬場にも同様の障害があった。；乖離性感覚障害とは要素的感覚の中のある種類が他のものより強く障害されていることである。；以前の襷にあった2号障害は水壕だったが、その後人工竹柵障害に変更。</t>
        </is>
      </c>
      <c r="J4000">
        <f>HYPERLINK("https://www.weblio.jp/content/障害", "词义详情")</f>
        <v/>
      </c>
      <c r="K4000">
        <f>HYPERLINK("https://yourei.jp/障害", "查看例句")</f>
        <v/>
      </c>
    </row>
    <row r="4001">
      <c r="A4001" t="inlineStr">
        <is>
          <t>奨学金</t>
        </is>
      </c>
      <c r="B4001" t="inlineStr">
        <is>
          <t>成功</t>
        </is>
      </c>
      <c r="C4001" t="inlineStr">
        <is>
          <t>読み方：しょうがくきん
１すぐれた学術研究を助けるため、研究者に与えられる金。
２奨学制度で、貸与または給付される学資金。</t>
        </is>
      </c>
      <c r="D4001" t="inlineStr">
        <is>
          <t>奨学金プログラム；奨学金事業；奨学金支援；奨学金給付；奨学金貸与</t>
        </is>
      </c>
      <c r="E4001" t="inlineStr">
        <is>
          <t>スカラシップ；給費；育英資金；スカラーシップ</t>
        </is>
      </c>
      <c r="F4001" t="inlineStr">
        <is>
          <t>全額奨学金；留学奨学金；記念奨学金；特別奨学金；旅行奨学金</t>
        </is>
      </c>
      <c r="H4001" t="n">
        <v>29</v>
      </c>
      <c r="I4001" t="inlineStr">
        <is>
          <t>複数の志望校の中から奨学金が得られる大学を選ぶのは自然な行為である。；留学生の父親は後に奨学金財団を設立し、アジア出身の学生を援助した。；クーンは論文作成のため学生奨学金をUSENIXより授与されていた。；に進み、王立音楽アカデミーの奨学金を得てにピアノと作曲を師事する。；全国から家庭の事情でサッカーを続けられなくなった選手を奨学金で集めている。；オーストラリア国立スポーツ研究所にサッカーの奨学金で所属していた。；その一方で選手が奨学金以外の収入を得ることを禁止しているので批判の声も強い。；この制度では日本学生支援機構から奨学金の支給を受けることも出来る。；子供の頃から頭が良く、奨学金を得てテネシー州立大学で学ぶようになる。；コンサートの曲間に、カレッジから留学奨学金授与者の発表がされる。；また海外の留学生のために奨学金を設立して、成績が優秀な学生に提供する。；幾つかのスポーツの運動選手は奨学金を得ながら訓練施設を使うことができる。；学校ではとびぬけた成績を示し、奨学金を得てシラキューズ大学に入学。；これにより事実上奨学金を希望すれば貸与を受けられるようになった。；委員会はカレッジで農業コースを履修する学生に奨学金も出している。；また、高校から海外の大学に直接進学する際の海外直接進学奨学金を設置している。；ドヴォルザークは1877年に奨学金審査のためにこの作品を提出した。；その後に奨学金を提供されて、イギリスのオックスフォード大学に通った。；サリムは研究のため植民地政府に奨学金を申請するが、拒否されてしまう。；この試験を最も優秀な成績を収めたものが奨学金受領者となる。；ローズの死からわずか5年後に最初の黒人学生が奨学金を得てもいる。；奨学金によりその後の進学も可能となり、最終的に博士号も取得している。；中学・高校では成績がトップで入学金の免除、奨学金の支給がされていた。；留学生を奨学金によって世界中から集めているので国際色豊かな大学である。；彼は16歳で高校を卒業し、奨学金を受け取ってトロント大学に進学した。；選択した一番上の学生は無料の教育にも生活費に向かって王室の奨学金を受ける。；三年次にSMPを選択した場合、米国陸軍奨学金を得ることはできない。；この期間中に彼はカーネギー平和協会から奨学金を受けていた。；そして大学進学のための奨学金を政府から受けるつもりであった。</t>
        </is>
      </c>
      <c r="J4001">
        <f>HYPERLINK("https://www.weblio.jp/content/奨学金", "词义详情")</f>
        <v/>
      </c>
      <c r="K4001">
        <f>HYPERLINK("https://yourei.jp/奨学金", "查看例句")</f>
        <v/>
      </c>
    </row>
    <row r="4002">
      <c r="A4002" t="inlineStr">
        <is>
          <t>小学生</t>
        </is>
      </c>
      <c r="B4002" t="inlineStr">
        <is>
          <t>成功</t>
        </is>
      </c>
      <c r="C4002" t="inlineStr">
        <is>
          <t>読み方：しょうがくせい
小学校に在学する子供。→児童</t>
        </is>
      </c>
      <c r="D4002" t="inlineStr">
        <is>
          <t>小学生時代(10%)；小学生たち；小学生向け；小学生以下；小学生みたい</t>
        </is>
      </c>
      <c r="F4002" t="inlineStr">
        <is>
          <t>全国小学生；小学生女子；小学生編；小学生時代より；小学生未満</t>
        </is>
      </c>
      <c r="G4002" t="inlineStr">
        <is>
          <t>小学生将棋名人戦；小学生全集；小学生名人戦；小学生レベルの問題；小学生日記</t>
        </is>
      </c>
      <c r="H4002" t="n">
        <v>29</v>
      </c>
      <c r="I4002" t="inlineStr">
        <is>
          <t>卒業に合わせて小学生がクラス単位で購入することもあったとされる。；子役をしていた小学生時代は友達と遊ぶ機会もほとんど無かったという。；小学生の頃に空手教室に入ったが、それは長続きせずすぐに止めている。；またラーメンが好きで小学生ながら一人でラーメン屋まで出かけていた。；選手が移籍すると社員が小学生になるなどおかしなことになる場合も。；放送当時、小学生のファンから特に人気の高かったキャラクターである。；実家は作家の原田康子宅の隣にあり、小学生時代に原田と交流があった。；小学生時代はテニスの選手であり、海外へテニス留学をした経験を持つ。；小学生時代は野球、中学生時代は夏に野球、冬にサッカーをやっていた。；小学生の時に初めて訪れた映画館が本渡第一映劇であると語っている。；小学生時にギターを始め、高校生時には本格的な音楽バンドを結成した。；小学生の頃からの夢だったアナウンサーを目指し、高校卒業後に東京へ移住。；小学生にして酒を覚えたこと、古本屋で万引きした経験も告白している。；刊行されている作品の大半は小学生向けであり、ジャンルも多岐にわたる。；以前、揚げマーズバーは小学生の間で人気の昼食になったことがあった。；出場していれば夏季五輪では日本人初の小学生五輪選手となっていた。；小学生からアドバイスを求められても技術的な指導はしないという。；詩は小学生頃から書き始めたが、これは話すことが苦手であったためである。；一部の小学生対象企画では以前、ポイント制で全員最後まで残していた。；小学生の時からオリジナルのゲームブック作成などの創作活動を始める。；小学生時代から作曲を始め、地元の学校に通いながら音楽活動を続ける。；このため最初はサンリオの講堂で小学生を集めてオーディションをした。；小学生時代にスピードスケートをやっていたので、その風景も出しました。；小学生の時に水泳でジュニアオリンピックに出場し第8位の記録を持つ。；東京都内の小学生がその当時歌っていたわらべうたが曲の素材である。；本編では小学生だった主人公たちが中学生になってからの物語を描いている。；幼い頃にテレビで見た日本野球に憧れ、小学生時から野球を始めた。；小学生のときに先生に褒められたことがきっかけで本格的に美術に目覚める。；小学生時代の坂田めぐみが声を担当した物が現在も使われている。</t>
        </is>
      </c>
      <c r="J4002">
        <f>HYPERLINK("https://www.weblio.jp/content/小学生", "词义详情")</f>
        <v/>
      </c>
      <c r="K4002">
        <f>HYPERLINK("https://yourei.jp/小学生", "查看例句")</f>
        <v/>
      </c>
    </row>
    <row r="4003">
      <c r="A4003" t="inlineStr">
        <is>
          <t>正月</t>
        </is>
      </c>
      <c r="B4003" t="inlineStr">
        <is>
          <t>成功</t>
        </is>
      </c>
      <c r="C4003" t="inlineStr">
        <is>
          <t>読み方：しょうがち
「しょうがつ（正月）」に同じ。〈日葡〉</t>
        </is>
      </c>
      <c r="D4003" t="inlineStr">
        <is>
          <t>正月十(2%)；正月二；正月早々；正月三日；正月元旦</t>
        </is>
      </c>
      <c r="E4003" t="inlineStr">
        <is>
          <t>新年；元日；元旦；年明け；お正月</t>
        </is>
      </c>
      <c r="F4003" t="inlineStr">
        <is>
          <t>翌年正月；元年正月；閏正月；春正月；正月七日</t>
        </is>
      </c>
      <c r="G4003" t="inlineStr">
        <is>
          <t>正月三が日；正月映画；正月料理；正月飾り；正月一日</t>
        </is>
      </c>
      <c r="H4003" t="n">
        <v>29</v>
      </c>
      <c r="I4003" t="inlineStr">
        <is>
          <t>冬に赤く美しい果実をつけるため栽培され、また正月の飾りに使われる。；十日えびすと二十日正月が一緒になって現在の形になったと考えられる。；しかし以後、直哉は正月用の頼まれ原稿程度のものしか執筆しなくなる。；紙面は白黒であるが、正月版では赤色を用いて日の丸が印刷されている。；正月の遊びとして定着したのは明治頃とされているが、起源ははっきりしない。；レギュラー放送時代には、毎年正月にスペシャルが放送されていた。；春節は正月初一を示す言葉であり、古代においては元旦と称されていた。；翌天正19年正月にヴァリニャーノは秀吉に謁見してこの書簡を渡した。；これ以降、蜀では重臣の妻や母による正月の挨拶は行われなくなった。；寿永2年正月、時忠は権大納言となるが政権の崩壊は間近に迫っていた。；このことが正月に羽根突きが行われることの由来となっている。；この作品が翌1971年の同誌正月号に掲載され、デビューを果たす。；なお、正月七日に七種の食材を食べて健康を願う風習は中国にも残っている。；祭り、仏事、正月などの催し物がある折に作られることが多い料理である。；寝正月を過ごしながらも、正月気分を人並みに味わうことのできる道具。；現在も沖縄の家庭では正月には欠かせない料理として親しまれている。；ちなみに、放送された年の翌年の正月に再放送がなされている。；さらに昔は正月ダイヤ中は、豊橋発着の高速・急行が当駅発着となっていた。；節日のうち最も重要なのが正月であることから、正月料理を指すようになった。；歌かるたが正月の風俗となったのは格別の理由がある訳ではない。；これによれば古くは正月でなく10月の行事だったことになる。；現在でも残る正月の飾り物は、元々年神を迎えるためのものである。；続いて翌1987年の正月競馬に登録を行ったが、出走を取り消した。；一時復調し正月を自宅で過ごすが再び体調を崩し1月5日から再び入院。；上等品のため、倹約を旨とする商家などでは正月など特別な機会のみに使った。；日本では正月に多く食べられ、地域や家庭によって違いがある。；正月に初詣などの出掛けを行わずただ寝て過ごすことを寝正月と呼ぶ。；正月には雑煮などおせち料理が出、部隊記念日には酒が配給された。；そして1963年中山の正月開催で障害3戦目にして勝ちあがった。</t>
        </is>
      </c>
      <c r="J4003">
        <f>HYPERLINK("https://www.weblio.jp/content/正月", "词义详情")</f>
        <v/>
      </c>
      <c r="K4003">
        <f>HYPERLINK("https://yourei.jp/正月", "查看例句")</f>
        <v/>
      </c>
    </row>
    <row r="4004">
      <c r="A4004" t="inlineStr">
        <is>
          <t>小学校</t>
        </is>
      </c>
      <c r="B4004" t="inlineStr">
        <is>
          <t>成功</t>
        </is>
      </c>
      <c r="C4004" t="inlineStr">
        <is>
          <t>読み方：しょうがっこう
義務教育の第一段階で、初等普通教育を施す学校。修業年限は6年。学齢に達した満6歳から満12歳までの児童の就学が、学校教育法によって義務づけられている。
[補説] 小学校の名称は、明治5年（1872）の学制発布に始まるが、昭和16年（1941）から昭和22年（1947）までは国民学校と称された。</t>
        </is>
      </c>
      <c r="D4004" t="inlineStr">
        <is>
          <t>小学校卒業；小学校低学年；小学校高学年；小学校入学；小学校六</t>
        </is>
      </c>
      <c r="E4004" t="inlineStr">
        <is>
          <t>小学；初等学校</t>
        </is>
      </c>
      <c r="F4004" t="inlineStr">
        <is>
          <t>区立小学校；付属小学校；各小学校；町立小学校；小学校跡地</t>
        </is>
      </c>
      <c r="G4004" t="inlineStr">
        <is>
          <t>小学校教師；小学校教諭；小学校令；小学校高等科；小学校受験</t>
        </is>
      </c>
      <c r="H4004" t="n">
        <v>29</v>
      </c>
      <c r="I4004" t="inlineStr">
        <is>
          <t>竹田市では市内の各小学校の周辺地区を12箇所にそれぞれ分けている。；一つの学区の小学校、中学校から別の学区の高校に進学する場合もある。；小学校で教育を受けるのに適切な発達段階になることを学齢成熟と呼ぶ。；その結果、小学校への導入は当初の予定どおりには実現しなかった。；マルクスが小学校教育を受けたという記録は今のところ発見されていない。；ドラマに登場する入江小学校も実際の清水入江小学校とは異なっている。；また地域貢献の一環として、小学校での訪問授業をこの時期開始した。；また、小学校の学習発表会などで演劇を発表する際にも脚本が使用される。；小学校は横浜市立のものが線路を挟んで東側と西側に一つずつ配置されている。；乳幼児とは乳児と幼児を指し、小学校に入学する前の子供の総称である。；特徴は他の小学校からもその中学校に進学できることである。；出入口は南北双方に設置されており、播磨小学校の通学路を兼ねている。；曲も英国人が作曲した別曲で、小学校では当初こちらが教えられた。；つまり蔣経国は万竹小学校で初めて本格的な近代的な教育を受けることになった。；名古屋市立の中学校については、学区内の小学校の進学先となっている。；合併消滅時点のもの 町内には4つの小学校と2つの中学校があった。；小学校高学年くらいに漠然と将来はアナウンサーか声優と考えていた。；左手に小学校が見えると、右にカーブして南下しトンネルで峠越えをする。；それ以前にも自身の勤務する小学校でユースホステルを臨時に設置していた。；小学校入学前からの熱烈な野球少年で、将来の夢はプロ野球選手だった。；小学校に入学した希望が早退してもう学校には行かないと言う。；近くに小学校や中学校、高校があり、児童生徒たちにもよく使われている。；小学校と中学校は駅南側にあるが、中学校は駅からやや離れている。；同じ設置者が小学校と中学校を併設し、接続して小中一貫教育を行うもの。；なお、小学校は学校選択制度を導入しておらず、番毎で各学校に指定されている。；国公立中学校は、小学校課程を超えない範囲で出題しなければいけない。；小学校半ばからお笑いが好きで、当時は前述の通りお笑いスター誕生!!；駅周辺には小学校から大学までが集約される文教地区となっている。；小学校などでは単元別試験、中学校以降は定期考査が行われることが多い。</t>
        </is>
      </c>
      <c r="J4004">
        <f>HYPERLINK("https://www.weblio.jp/content/小学校", "词义详情")</f>
        <v/>
      </c>
      <c r="K4004">
        <f>HYPERLINK("https://yourei.jp/小学校", "查看例句")</f>
        <v/>
      </c>
    </row>
    <row r="4005">
      <c r="A4005" t="inlineStr">
        <is>
          <t>しょうがない</t>
        </is>
      </c>
      <c r="B4005" t="inlineStr">
        <is>
          <t>成功</t>
        </is>
      </c>
      <c r="C4005" t="inlineStr">
        <is>
          <t>読み方：しようがない
１うまい方法がない。「自分でするより—・い」
２始末におえない。「—・い怠け者だ」
[補説] 現在では多く「しょうがない」と発音される。</t>
        </is>
      </c>
      <c r="D4005" t="inlineStr">
        <is>
          <t>しょうがないじゃない(3%)；しょうがないんです；しょうがないんじゃ；しょうがない奴；しょうがない子</t>
        </is>
      </c>
      <c r="E4005" t="inlineStr">
        <is>
          <t>仕方ない；しようがない；致し方ない；やむをえない；詮方ない</t>
        </is>
      </c>
      <c r="F4005" t="inlineStr">
        <is>
          <t>ちゃしょうがない；んじゃしょうがない；かかってしょうがない；嬉しくてしょうがない；うれしくてしょうがない</t>
        </is>
      </c>
      <c r="H4005" t="n">
        <v>29</v>
      </c>
      <c r="I4005" t="inlineStr">
        <is>
          <t>そんな気があったのなかったのなんて、あとから言ってもしょうがない。；しょうがないわねと思いながら、原はにっこり笑って手を振ってあげた。；一年に迷宮入りの殺人が三つもあったんじゃ、しょうがないでしょうが。；自分の身体がびんびんだったら、自分がやりたくてしょうがないんだぜ。；リサイクルはできるはずもないし、残しておいてもしょうがないと思う。；その後の日本人に思考能力の低下が訪れても、しょうがないかもしれない。；あたしが言ってもしょうがないんだけど、鮎には才能があると思うのよね。；それは非常に残念なことであるが、記憶にないものだからしょうがないのだ。；でも確かに、責任の一旦は確実に 僕らにあるのだから、しょうがない。；ときおりこういう風に反対のことをしないと行き詰まってしょうがない。；死んだあとのことを考えたってしょうがない、と思うておられるのじゃよ。；まったく意味がないのが悲しいけど他に何もできないんだからしょうがない。；彼がもう何週間も前に、何年も前に死んでいるような気がしてしょうがない。；俺はあくまでも反対だがな、主君がこう言うならしょうがないだろうが。；まあ、怪我人に運転させるわけにはいかないから、しょうがないだろう。；だれもあがれといわないが、しょうがないのでのこのこと廊下へあがった。；糧食を失い、総指揮官も倒されたとあっては他にしょうがないのだろう。；どうせ女自身も生理前だからしょうがないとわかっているのだから。；わかっているのは、自分がこわくてしょうがないということだけだった。；健常者と試合をしているが、とにかく楽しくてしょうがないそうである。；だけど、あの子はそう生まれついちゃったんだから、しょうがないのよ。；非常階段から消えてまた現れた男の話なんて、ここでしてもしょうがない。；そして「本来なら夏はビーチボーイズなんだがしょうがない」と笑った。；嫌いではなかったが、特別に好きでしょうがないという相手でもない。；そんなのは料理とは言わないと思うけど、 本人が好きなんだからしょうがない。；まあこの『世界』のお母さんを見てもしょうがないんでしょうけれど。；ひとの死は突然だったが、結婚は予定していたことだから、しょうがないのか。；ずっと外で働いていた子だし、急に環境が変わったんだもの、しょうがないさ。；村でいろんなことをやろうとしても、やる人間がいないとしょうがない。</t>
        </is>
      </c>
      <c r="J4005">
        <f>HYPERLINK("https://www.weblio.jp/content/しょうがない", "词义详情")</f>
        <v/>
      </c>
      <c r="K4005">
        <f>HYPERLINK("https://yourei.jp/しょうがない", "查看例句")</f>
        <v/>
      </c>
    </row>
    <row r="4006">
      <c r="A4006" t="inlineStr">
        <is>
          <t>将棋</t>
        </is>
      </c>
      <c r="B4006" t="inlineStr">
        <is>
          <t>成功</t>
        </is>
      </c>
      <c r="C4006" t="inlineStr">
        <is>
          <t>読み方：しょうぎ
室内遊戯の一。縦横各9列の盤上に各20枚の駒を並べて二人が相対し、互いに一手ずつ動かして相手の王将を詰めたほうを勝ちとするもの。攻め取った相手の駒は自分のものとして使用できる。インドに起こり、中国を経て奈良時代に日本に伝来したという。盤の目の数、駒の数などによって大将棋・中将棋・小将棋などの別があり、現在のものは小将棋から発達した。→将棋の駒
[補説] 将棋をすることを「将棋を指す」と言う。囲碁は、「（囲）碁を打つ」と言う。</t>
        </is>
      </c>
      <c r="D4006" t="inlineStr">
        <is>
          <t>将棋道場；将棋好き；将棋ファン；将棋センター；将棋クラブ</t>
        </is>
      </c>
      <c r="E4006" t="inlineStr">
        <is>
          <t>囲碁；碁；チェス；ボードゲーム；オセロ</t>
        </is>
      </c>
      <c r="F4006" t="inlineStr">
        <is>
          <t>平安大将棋；将棋選手権；プロ将棋；将棋観戦記者；将棋トーナメント</t>
        </is>
      </c>
      <c r="G4006" t="inlineStr">
        <is>
          <t>将棋棋士；将棋界；将棋盤；将棋倒し；将棋会館</t>
        </is>
      </c>
      <c r="H4006" t="n">
        <v>29</v>
      </c>
      <c r="I4006" t="inlineStr">
        <is>
          <t>戦後の混乱期には、当時の将棋大成会が事務所を構えていた時期もある。；将棋の歩とも性質が大きく異なるため、特に注意が必要とされている。；趣味は将棋であり、阪神に在籍していた時は川藤幸三とよく指していた。；現在では、囲碁・将棋それぞれの棋戦優勝者の称号の一つになっている。；ただ、この年は離婚裁判を抱えたことで将棋に力を注げなかったという。；ほとんどが将棋に関係ある用語や人物から名前を付けられている。；祖父に将棋のルールを教えてもらい、近所の子ども教室で将棋を覚える。；後に江戸に出て大橋隆慶の元で将棋を学んで後に上方へ諸国漫遊に出る。；秀吉は将棋が好きだったが、あまりうまくなく、なかなか勝てなかった。；父と兄が将棋を指していたのを見て将棋に興味を持ち、将棋を始める。；駒の初期配置は通常の四人将棋とは異なり、図2のようになっていた。；大大将棋は、将棋の一種であり、二人で行うボードゲームの一種である。；京都将棋とは将棋の一種であり、2人で行うボードゲームの一種である。；囲碁将棋部は第21回全国高等学校将棋選手権大会で団体優勝している。；囲碁、将棋のようにかつては存在していた家元制度が失われた分野もある。；また、ファクシミリが無い時代の新聞の将棋欄は電話連絡で作られていた。；日本でも将棋や囲碁のアマチュア大会では積極的に採用されている。；将棋自身も賭博の対象から純粋なマインドスポーツへと変化している。；つまり、弟が将棋の世界に入ったのは口減らしのためだったのです。；将棋の段級位の制度・基準は、 のどれであるかによって、全く異なる。；将棋では、自分の手番で によって投了の意思を表示することができる。；本番組でアマチュア3級となり、以降も将棋関連の活動を行うようになる。；将棋の対局は、大きく以下の3つの場面に分けて考えることができる。；アマチュア強豪であった父と兄の影響から4歳ごろから将棋に興味を持つ。；初年度の放送では将棋番組の制作は初めてのスタッフばかりで非常に苦労したという。；江戸時代に将棋九世名人の大橋宗英によって考案されたと言われている。；将棋界への貢献を評価されて日本将棋連盟から特別賞を与えられたこともある。；槍将棋とは、将棋の一種であり、2人で行うボードゲームの一種である。；鯨将棋とは、将棋の一種であり、2人で行うボードゲームの一種である。</t>
        </is>
      </c>
      <c r="J4006">
        <f>HYPERLINK("https://www.weblio.jp/content/将棋", "词义详情")</f>
        <v/>
      </c>
      <c r="K4006">
        <f>HYPERLINK("https://yourei.jp/将棋", "查看例句")</f>
        <v/>
      </c>
    </row>
    <row r="4007">
      <c r="A4007" t="inlineStr">
        <is>
          <t>蒸気</t>
        </is>
      </c>
      <c r="B4007" t="inlineStr">
        <is>
          <t>成功</t>
        </is>
      </c>
      <c r="C4007" t="inlineStr">
        <is>
          <t>読み方：じょうき
１液体の蒸発や固体の昇華によって生じる気体。
２「水蒸気」に同じ。「やかんから—が立ち上る」
３「蒸気機関車」「蒸気船」の略。</t>
        </is>
      </c>
      <c r="D4007" t="inlineStr">
        <is>
          <t>蒸気ドーム(2%)；蒸気動力；蒸気鉄道；蒸気船；蒸気車</t>
        </is>
      </c>
      <c r="E4007" t="inlineStr">
        <is>
          <t>湯気；汽船；気体；水蒸気；スチーム</t>
        </is>
      </c>
      <c r="F4007" t="inlineStr">
        <is>
          <t>高圧蒸気；蒸気軍艦；水銀蒸気；蒸気力；熱い蒸気</t>
        </is>
      </c>
      <c r="G4007" t="inlineStr">
        <is>
          <t>蒸気船；蒸気機関；蒸気タービン；蒸気圧；蒸気エンジン</t>
        </is>
      </c>
      <c r="H4007" t="n">
        <v>29</v>
      </c>
      <c r="I4007" t="inlineStr">
        <is>
          <t>このために蒸気の力を用いることを考え、そのために多くの実験をした。；一定圧力下で常温の水をゆっくり加熱すると、ある温度で蒸気に変わる。；彼は単に意識を持った氷であるだけでなく、意識のある水および蒸気でもある。；蒸気を発生させるためのボイラーを蒸気ボイラーと分類することがある。；冷却器は機体外部に露出した物ではなく、翼面蒸気冷却装置を採用した。；蒸気は常に吸気口から排気口へ一方方向へ流れるのでこの名称で呼ばれる。；以後蒸気推進時代に至るまで120門艦は最大の戦列艦だと考えられていた。；このため、鉱山労働者は水銀蒸気用の防毒マスクを着用し従事していた。；流量の減少や蒸気発生の増加などで、炉の出力が徐々に増加を始めた。；主な発明に、蒸気タービンや、蒸気を使って自動で開く扉などがある。；大気中には蒸気が含まれているが、これは音の伝達にはほとんど関与しない。；蒸気管の内側にあるものもあれば、蒸気管の外側にあるものもありました。；これが蒸気雲と呼ばれ、透明なガスが間接的に人の目に触れることになる。；この蒸気を利用した「スメ」と呼ばれる蒸し器が炊事に利用されている。；そのため、魔法薬学の授業では鍋から発生する蒸気を吸って髪が膨らむ。；一度利用した蒸気を低圧シリンダで再度膨張させる事によって利用する。；これにより蒸発器の内部は、低い品質の水と蒸気を混合したものになる。；砂箱は安全弁と蒸気ドームの間のボイラー上に箱型のものが置かれていた。；彼は、洞窟内の蒸気が患者を治療してくれると信じていた。；しかし蒸気冷却によるゴスホークエンジンの開発は結局失敗に終わった。；しかし蒸気推進時代に至るまで少数が建造され続けた。；その後法人化し蒸気軌道に変更し工事に着手するも開業できなかった。；したがって、通常は蒸気温度が一定になったところを捕集し、それをと呼ぶ。；原子炉で蒸気を発生させて走行する機関車も設計されたが、実用化された例はない。；また、番組で使用する蒸気音などの効果音も出版社側で用意された。；蒸気でなく、皮膚からも吸収されるので取り扱いには注意が必要。；一両ごとに蒸気もしくは内燃機関を搭載し、単独または複数両の車両で運行される。；過去に蒸気化や電化を試みて失敗したことも響き、崖っぷちの状態になっていた。；わずかに蒸気捨管の配置や舷窓配置に違いが見られるだけという。</t>
        </is>
      </c>
      <c r="J4007">
        <f>HYPERLINK("https://www.weblio.jp/content/蒸気", "词义详情")</f>
        <v/>
      </c>
      <c r="K4007">
        <f>HYPERLINK("https://yourei.jp/蒸気", "查看例句")</f>
        <v/>
      </c>
    </row>
    <row r="4008">
      <c r="A4008" t="inlineStr">
        <is>
          <t>定規</t>
        </is>
      </c>
      <c r="B4008" t="inlineStr">
        <is>
          <t>成功</t>
        </is>
      </c>
      <c r="C4008" t="inlineStr">
        <is>
          <t>読み方：じょうぎ
１物を裁断したり、線を引いたりするのにあてがって使う器具。三角定規・T字定規・雲形定規などがある。
２物事の標準。手本。模範。「自分の—で他人をはかる」「杓子(しゃくし)—」</t>
        </is>
      </c>
      <c r="D4008" t="inlineStr">
        <is>
          <t>定規刀(2%)；定規で作図できる；定規断面；定規距離；定規通り</t>
        </is>
      </c>
      <c r="E4008" t="inlineStr">
        <is>
          <t>法；定め；規定；原則；習慣</t>
        </is>
      </c>
      <c r="F4008" t="inlineStr">
        <is>
          <t>車両定規；曲線定規</t>
        </is>
      </c>
      <c r="G4008" t="inlineStr">
        <is>
          <t>定規筋</t>
        </is>
      </c>
      <c r="H4008" t="n">
        <v>29</v>
      </c>
      <c r="I4008" t="inlineStr">
        <is>
          <t>定規で引いたような影は、しかし近づけば床に滲み出ているではないか。；界方とは直線を引くに用いる定規で、それで文鎮をかねるものであった。；住所や宛名は、定規を使って書いたような、奇妙な文字で記されていた。；その封筒の上書きも定規で引いたような規格正しい文字で書かれている。；それが乾いたので自分はガラスの定規で端を切つては臺紙を貼りつけた。；たとえば車の扉を開くために用いる定規のようなものを見たことのある人も多いだろう。；複数の曲線をもつ複雑な形状の定規が数枚で一組になっている。；これは立方体倍積問題がコンパスと定規で解けないことに関係している。；ただその文字は筆跡を隠すために、定規を当てて書いたもののようだ。；君はさきに定規を作つておいて、その上で人間を決定して行かうとしてゐるんだ。；もう定規刀は入っていなかったが、かわりに重い辞書が入っている。；定規をお互いに交換し、どのような定規をゲームに使うのか、確認する。；机の上の定規が曲がって置かれているのも気になるのである。；宇宙の真、美が、すべて直線で定規で引いた様には出来て居ない。；これは定規距離より若干小さいが、近傍の観測者間では違いは無視できる。；定規とコンパス以外の道具を用いて任意の角の三等分を行うことは可能である。；これにより定規に当てやすいため、快適に正確な線を書くことができる。；また良く知られる話として、彼はデザインの段階で定規も使わない。；定規を使って書いたような、几帳面そうな文字が升目一杯に詰まっていた。；定規のようなものが一把ほどあるがそれがみんな曲りくねっている。；定規の色やフォントの大きさは、任意に変更が可能となっている。；加えて、観測者が正確なまっすぐな定規を持っているとする。；顔がほっそりとして、唇は定規を使って引いたような一本の直線を描いている。；定規刀を自分の太腿に突き刺したときとまったくおなじ感覚だった。；定規をつかってすべての水平線を引いたところまでは上出来であった。；コンパスと角定規を埋めた五つの地点の中央は、森の中心でもある。；一方で断固拒否したのは定規で引いたような直線であった。；二人の刑事が、加害者と被害者の立場に立って、定規で腹を刺す真似をした。；現在ではこれらは全て定規とコンパスのみでは作図できないことが証明されている。</t>
        </is>
      </c>
      <c r="J4008">
        <f>HYPERLINK("https://www.weblio.jp/content/定規", "词义详情")</f>
        <v/>
      </c>
      <c r="K4008">
        <f>HYPERLINK("https://yourei.jp/定規", "查看例句")</f>
        <v/>
      </c>
    </row>
    <row r="4009">
      <c r="A4009" t="inlineStr">
        <is>
          <t>上機嫌</t>
        </is>
      </c>
      <c r="B4009" t="inlineStr">
        <is>
          <t>成功</t>
        </is>
      </c>
      <c r="C4009" t="inlineStr">
        <is>
          <t>読み方：じょうきげん
［名・形動］非常に機嫌がよいこと。また、そのさま。「—な声で話す」</t>
        </is>
      </c>
      <c r="D4009" t="inlineStr">
        <is>
          <t>上機嫌な声；上機嫌な様子；上機嫌ぶり；上機嫌な顔；上機嫌な父</t>
        </is>
      </c>
      <c r="E4009" t="inlineStr">
        <is>
          <t>得意；快活；ご機嫌；朗らか；意気揚々</t>
        </is>
      </c>
      <c r="F4009" t="inlineStr">
        <is>
          <t>みんな上機嫌；酔って上機嫌；大変な上機嫌</t>
        </is>
      </c>
      <c r="H4009" t="n">
        <v>29</v>
      </c>
      <c r="I4009" t="inlineStr">
        <is>
          <t>あとであまり自分が上機嫌だったのを思い出して、びっくりしましたよ。；私が上機嫌だったのは次のようなことを言われたためではないのか。；大きな音に驚いたのだろうが、これまでの上機嫌がまるで嘘のようだ。；そう云う時は上機嫌で早く自分の子供が欲しい、などと云ったそうである。；兵部も上機嫌でみやげの酒を出して、あとで皆して飲んでくれといった。；既に何杯目かのグラスを飲み干された王子は、上機嫌で話を続けられた。；酔って上機嫌だった様子に自殺を想像させる印象はまったくなかった。；カードをくらべると大佐は八十二だった、そして彼は上機嫌で支払った。；於勝が死んで以来、こんなに青洲が上機嫌だったことは見たことがない。；たぶん、今回の事件に関わっている多くの人間の中で、一番上機嫌である。；それを見つけたフィガロは何をしているのかと上機嫌で声をかける。；怒っている時のみならず、上機嫌なあまり人を殺すことすらあった。；反対尋問が終わった後のシュペーアは勝利を確信して上機嫌だったという。；上機嫌でいる母といっしょにいるのが、我慢できないくらいだった。；そのリズムだけで、足音の主が上機嫌じゃないことがはっきりとわかった。；その時には、非常に上機嫌で、半切に牡丹の絵や藤の絵をかいてくれた。；だがカンバセレスを待っていた人物は、上機嫌とはほど遠い状態だった。；祝宴では、家康ひとりが上きげんであったが、胸の中はおだやかでない。；橋の真中で我々は、酒に酔っていくらか上機嫌な三人の男に出喰わした。；グルーは、カー・ダルベンを出発して以来はじめて上機嫌になっていた。；そう言ったなら上機嫌の顔と言葉とが食い違っていただろうから。；彼女はまた笑った、上機嫌だった、水夫たちと話をして、冗談を交した。；彦四郎は思いもしなかった上機嫌で、ちゃんと膳部を整えて待っていた。；弟の顔つきは、いやおうなしに、彼を上きげんにしてしまうのであった。；治安判事である彼は、三人の密猟者を罪に定めてきたとかで上機嫌だった。；ある日のこと、父は久方ぶりの上機嫌で、わたしの部屋へ入ってきた。；だが、夫だって、今日丸一日ずっと上機嫌であったわけはないのだ。；そしてジムが祝福するのも、ふたりの上機嫌ぶりも、確かにもっともだ。；事故にもかかわらずパルミターノは怪我はなく、上機嫌だと報告した。</t>
        </is>
      </c>
      <c r="J4009">
        <f>HYPERLINK("https://www.weblio.jp/content/上機嫌", "词义详情")</f>
        <v/>
      </c>
      <c r="K4009">
        <f>HYPERLINK("https://yourei.jp/上機嫌", "查看例句")</f>
        <v/>
      </c>
    </row>
    <row r="4010">
      <c r="A4010" t="inlineStr">
        <is>
          <t>乗客</t>
        </is>
      </c>
      <c r="B4010" t="inlineStr">
        <is>
          <t>成功</t>
        </is>
      </c>
      <c r="C4010" t="inlineStr">
        <is>
          <t>読み方：じょうかく
⇒じょうきゃく（乗客）</t>
        </is>
      </c>
      <c r="D4010" t="inlineStr">
        <is>
          <t>乗客たち(5%)；乗客乗員；乗客全員；乗客用；乗客達</t>
        </is>
      </c>
      <c r="E4010" t="inlineStr">
        <is>
          <t>客；旅客；船客；乗り手；パッセンジャー</t>
        </is>
      </c>
      <c r="F4010" t="inlineStr">
        <is>
          <t>一般乗客；利用する乗客；日本人乗客；乗客サービス；乗客輸送</t>
        </is>
      </c>
      <c r="H4010" t="n">
        <v>29</v>
      </c>
      <c r="I4010" t="inlineStr">
        <is>
          <t>利用者の多い上りホームはホームの端まで乗客の列ができることもある。；本路線の乗客の大半は当駅を利用するため路線全体の利用客数に近い。；営業運転中は一方に向きが固定され、乗客による座席の転換はできない。；任務機に何らかの問題が発生した場合に副務機が代替して乗客を輸送する。；その後乗客からの要望を受け、一部の定期列車も停車するようになった。；乗客から完全に分離するため、ホーム上には安全柵が設置されている。；最初の乗客の飛行は147年前に気球を介して行われたと記録されている。；ただしその座席も、当該区間外では予約のない乗客が自由に着席できる。；乗客は建物から徒歩で飛行機に向かい、タラップを使って乗降していた。；乗客が上総片貝駅に尋ねにいくと、鉄道が先かバスが先かを案内してくれた。；他の船員・乗客が救命ボートで脱出する中で、一家は船に取り残される。；乗員乗客123人のうち100人が負傷したが、幸い死者は出なかった。；なお、どれも軍用のようで、乗客輸送などは行っていないようである。；この事故で乗客乗員124人の内乗客1人が負傷したが死者は出なかった。；ただし、座席指定のある乗客が来た場合には、座席を譲る必要がある。；しばらく走行した後に客車は停止し、乗客にけが人や犠牲者はなかった。；また、連絡通路が狭いために通路内で乗客が錯綜することもあった。；これを記念してエコバッグを作成し、同年12月4日に乗客へ配布した。；機内放送を行っても彼の身分に気付いた乗客はほとんどいなかった。；しかし最盛期の乗客に対応しきれず2007年から特別ダイヤが復活した。；飛行機の乗客はこの方式を選択することはできない。；駅は乗客以外にも地元客のサロンのように使われたという。；乗客の何名かは、タイタニックの船体が折れる音を聞いたと証言している。；幸いにも爆発や炎上などはなく、由美を含めた乗員乗客は全員無事だった。；きっぷを利用する乗客は窓口前の通路を通るよう案内されている。；以前はハワイ州の大きな島には鉄道網があり、農産物や乗客を運んでいた。；この列車の乗客には食事は無料で提供される。；当駅には乗務員交代のために運転停車するが、乗客の乗降は取り扱わない。；鋼板張りの平らな屋根には、しばしば乗客の大量の荷物が積載される。</t>
        </is>
      </c>
      <c r="J4010">
        <f>HYPERLINK("https://www.weblio.jp/content/乗客", "词义详情")</f>
        <v/>
      </c>
      <c r="K4010">
        <f>HYPERLINK("https://yourei.jp/乗客", "查看例句")</f>
        <v/>
      </c>
    </row>
    <row r="4011">
      <c r="A4011" t="inlineStr">
        <is>
          <t>昇給</t>
        </is>
      </c>
      <c r="B4011" t="inlineStr">
        <is>
          <t>成功</t>
        </is>
      </c>
      <c r="C4011" t="inlineStr">
        <is>
          <t>読み方：しょうきゅう
［名］(スル)給料が上がること。「毎年四月に—する」「定期—」⇔降給。</t>
        </is>
      </c>
      <c r="D4011" t="inlineStr">
        <is>
          <t>昇給者；昇給酒合戦；昇給額</t>
        </is>
      </c>
      <c r="H4011" t="n">
        <v>29</v>
      </c>
      <c r="I4011" t="inlineStr">
        <is>
          <t>昇給を組合活動によってしか求めえない日本とは違った弾力性を感じた。；インドの警察でも、スポーツの成績と昇進・昇給とが正比例する場合が多い。；税理士であれ、他の有資格者であれ昇格・昇給の機会があると考えられる。；金融機関によっては、取得を昇給や昇格の条件にしている場合がある。；今までの心配が帳消しになるばかりじゃない、うまくいきゃ昇給ものだぞ。；法案自体は成立したが、可決前に昇給を廃止する規定が削除された。；踏み倒すつもりはないけど、昇給するまで待っててね、ということである。；もっとも、昇給がおくれ、ボーナスがへらされることにはなるだろうが。；その為、階級に応じて労働者を昇給・昇進するという制度が採られるようになった。；この場合も、修士をとると大体年間千ドルぐらい昇給する規定があるとのことである。；幕府の書類を翻訳して昇給したという記録があるというから、漢字もかなり読み得たのではないか。；どうせ簡単にやめられないのならと思ったのか、この頃アイバは満潮に昇給を願いでている。；政府労働者の昇給法案も提案したが成立しなかった。；この昇給は、前作で3人がそれぞれもらっていた35万ドルから大幅に上がったことになる。；昇任せずとも長年勤続すれば上位の級に昇給できる仕組みである。；手柄を立てて昇給させてもらいたいのだが、あいにく事件といえる事件もない。；柳が来て来年度の昇給者の予算をする、上げてやりたい役者てものはゐないものである。；あっしゃもうこれで一年以上お情金で食って来たんだがその方の昇給って奴はねえもんかね?；その結果、ローレンスのストライキ参加者の要求が容れられ昇給がなされた。；夜の「昇給」で杉寛一分以上の穴をあける、老人だけに怒れもしない。；黙っていても昇進し又昇給することは当然の約束なのだし、場合によっては形式的にせよ身分保証まで出来ている。；その契約は労働者への昇給を政府が定めた上限以下に押さえる自主的な収入政策を考慮するものだった。；どうあがいたからって小役人勤めを続けているかぎり、昇給の高は知れている。；フォードは順調な一年間を過ごし、その労働者に大規模な昇給を行うことができるほどの余裕があった。；その月の後半から、ニコラスは昇給分を地元の慈善団体に寄付するようになった。；賃金はある種低く抑えられるが、昇給は年功と能力の組み合わせに基づく昇進で行われる。；結婚のために昇給をランナーに願い出たが、拒否されてしまう。；月末になると、こともあろうにひそかに昇給を期待する顔をして、一層浅ましかった。；オフの契約更改では外野手としての出場も評価され大幅昇給を勝ち取った。</t>
        </is>
      </c>
      <c r="J4011">
        <f>HYPERLINK("https://www.weblio.jp/content/昇給", "词义详情")</f>
        <v/>
      </c>
      <c r="K4011">
        <f>HYPERLINK("https://yourei.jp/昇給", "查看例句")</f>
        <v/>
      </c>
    </row>
    <row r="4012">
      <c r="A4012" t="inlineStr">
        <is>
          <t>上級</t>
        </is>
      </c>
      <c r="B4012" t="inlineStr">
        <is>
          <t>成功</t>
        </is>
      </c>
      <c r="C4012" t="inlineStr">
        <is>
          <t>読み方：じょうきゅう
段階・等級などが高いこと。</t>
        </is>
      </c>
      <c r="D4012" t="inlineStr">
        <is>
          <t>上級者(10%)；上級学校(4%)；上級士官(3%)；上級職(2%)；上級市長(2%)</t>
        </is>
      </c>
      <c r="E4012" t="inlineStr">
        <is>
          <t>高度；上位；高級；上等；格上</t>
        </is>
      </c>
      <c r="F4012" t="inlineStr">
        <is>
          <t>上級中心都市；上級幹部；上級家臣；上級顧問；上級試験</t>
        </is>
      </c>
      <c r="G4012" t="inlineStr">
        <is>
          <t>上級大将；上級裁判所；上級貴族；上級副社長；上級曹長</t>
        </is>
      </c>
      <c r="H4012" t="n">
        <v>29</v>
      </c>
      <c r="I4012" t="inlineStr">
        <is>
          <t>ほとんどの生徒が国公立大学をはじめとする上級学校への進学を目指す。；そのため一般的に初心者は大きいものを、上級者は小さいものを用いる。；また藩政初期には、上級家臣には分部姓を称する者が多くを占めていた。；案内員の背後には、その案内員を監視する上級の案内員がいるとされる。；国体など数々の大会に使われた中上級者向けコースがとても充実している。；王室の上級メンバーがこのように話すことは前例のないことであるという。；さらにこれらの上級司令部の下、以下の戦闘部隊等が配置されている。；また江戸吉原や京島原など特定の遊廓の上級の女性達の正装でもあった。；上がえしとも言われる様に、通常のかえしよりも濃厚な上級品である。；このグループの種はどの種も難しい上級者向けに分類される。；また、地下4階にある特別な回復の泉では上級職に転職することができる。；ただし、主に上級の武士は郊外などに個人的に別邸を構えることもあった。；作戦が策定された後、上級指揮官からまず各級指揮官に作戦内容が伝えられる。；ウル第3王朝の末期にはウルの上級の役人にもアムル人が採用されていた。；捕虜たる将校は、抑留国の上級の将校に対してのみ敬礼するものとする。；一般には居合刀を使用することが多いが、上級者では真剣を使用する。；一方、当時藩政を握っていた上級武士からの参加者はわずかであった。；上級職なだけあって現場を上手くまとめながら指揮を執る事に長けている。；主に印刷用に使用される紙で、非塗工印刷用紙の上級印刷紙に分類される。；当初は普通科のみで翌年からは上級教育を行う専修科が設置された。；成功すると上級クラスとなることができ、新たな能力を習得できるようになる。；全国の各県で開催される中級者から上級者を対象にした大会。；また鰾膠を使用した弓はニベ弓と呼ばれ、上級者の間で珍重されている。；後にオデソスの外に軍の野営地に他のローマ人上級司令官の中心が置かれた。；上級学校への進学を希望したが許されず、結局、家業を手伝うことになる。；すべて普通席のみで、クラスJ等の上級クラスは設定されていない。；上級酒である諸白はさらに好まれ、下り諸白といって高値で取引された。；上級理性能力のひとつである判断力の統制的使用の批判を主題とする。；この時、「下級旗」と「上級旗」と呼ばれていた2種類の旗が使われた。</t>
        </is>
      </c>
      <c r="J4012">
        <f>HYPERLINK("https://www.weblio.jp/content/上級", "词义详情")</f>
        <v/>
      </c>
      <c r="K4012">
        <f>HYPERLINK("https://yourei.jp/上級", "查看例句")</f>
        <v/>
      </c>
    </row>
    <row r="4013">
      <c r="A4013" t="inlineStr">
        <is>
          <t>消去</t>
        </is>
      </c>
      <c r="B4013" t="inlineStr">
        <is>
          <t>成功</t>
        </is>
      </c>
      <c r="C4013" t="inlineStr">
        <is>
          <t>読み方：しょうきょ
［名］(スル)
１消えてなくなること。また、消してなくすこと。「不安が—する」「録画を—する」
２数学で、いくつかの未知数を含むいくつかの方程式から、未知数の数を減らすために、特定の未知数を他の未知数に置き換え、その未知数を含まない方程式を導くこと。</t>
        </is>
      </c>
      <c r="D4013" t="inlineStr">
        <is>
          <t>消去する(17%)；消去される(7%)；消去できる；消去法；消去処理</t>
        </is>
      </c>
      <c r="E4013" t="inlineStr">
        <is>
          <t>消滅；除く；排除；去る；削除</t>
        </is>
      </c>
      <c r="F4013" t="inlineStr">
        <is>
          <t>すべて消去；完全消去；データ消去；全て消去；重力消去</t>
        </is>
      </c>
      <c r="G4013" t="inlineStr">
        <is>
          <t>消去算</t>
        </is>
      </c>
      <c r="H4013" t="n">
        <v>29</v>
      </c>
      <c r="I4013" t="inlineStr">
        <is>
          <t>起訴側と同意して彼女が後悔を表明することで彼女の記録は消去された。；この記号が現れた場合、その部分のデータが消去されていることを示す。；PS3版にて一部の仕様が変更され、歌詞の消去ができるようになった。；彼女の知っている世界はそこからは排除され、現実は消去されていた。；それを展望している間に驚くべき早さで三分間の時間が消去されたのだ。；よって内部エントロピーを減少させるメモリの消去の過程が必要となる。；または修正液を用いるのいずれかの 消去する事を意味するものとなった。；事件開始時の1回ごとに犯人と解決者の記憶が任意で消去することができる。；道路・交通条件の変化に伴い路面標示を消去しなければならないことがある。；従ってこれは統合されるべき存在ではなく、消去すべきものとなる。；その場合、システム上の対応するアクセス規則を変更したり消去したりする。；するとコンピューターはたちまち全部の記憶を消去してしまうだろう。；あるいは、ぼくがきみに何かを消去するよう命令することもできる。；つまり書くべきでないところを想定し、その場所を消去するのです。；ゲーム中にも、パイロットが記憶を消去されるハッキングが登場している。；廃止後は、それまでに収集した個人情報は速やかに消去するとしている。；犯人にしてみれば、指紋や遺留品を消去するのが精一杯だったでしょう。；朝を迎えると普通の世界に戻るが、ミラージュにいた時の記憶は消去される。；画面内にある同じ色のブロックを接触させる事で消去していくタイプのゲームとなっている。；とりあえず、言われた回数が多いものから消去していってみようと思った。；消してはいけないものは、描き、命じた本人の手によって消去された。；彼の生データが記録されたファイルは彼のコンピュータから消去されていた。；いまかりにこの世界から時間を消去してしまったような世界を想像してみるとする。；精神を消去すれば、芸術にも生きた血が通って来るはずである。；どうやったかというと、最も基本となる作動コードを消去してしまったのです。；彼はその数千人の中から、不運の徴侯のあるものを消去していったんだ。；知性を破壊して廃人にするか、主命そのものを消去して亡き者にするか。；増えた反応の中で、今までの反応に近い反応のみを選び、強化・消去を行う。；発言数が五一二を超えると、最も古い発言から順番に消去されてゆく方式である。</t>
        </is>
      </c>
      <c r="J4013">
        <f>HYPERLINK("https://www.weblio.jp/content/消去", "词义详情")</f>
        <v/>
      </c>
      <c r="K4013">
        <f>HYPERLINK("https://yourei.jp/消去", "查看例句")</f>
        <v/>
      </c>
    </row>
    <row r="4014">
      <c r="A4014" t="inlineStr">
        <is>
          <t>商業</t>
        </is>
      </c>
      <c r="B4014" t="inlineStr">
        <is>
          <t>成功</t>
        </is>
      </c>
      <c r="C4014" t="inlineStr">
        <is>
          <t>読み方：しょうぎょう
生産者と需要者の間に立って商品を売買し、利益を得ることを目的とする事業。具体的には卸売商・小売商のような商品売買業者の活動をさすが、このほかに運送業・倉庫業・金融業・保険業・広告宣伝業などを含めて広く考える立場もある。</t>
        </is>
      </c>
      <c r="D4014" t="inlineStr">
        <is>
          <t>商業的(21%)；商業活動(3%)；商業用(2%)；商業化(2%)；商業映画</t>
        </is>
      </c>
      <c r="E4014" t="inlineStr">
        <is>
          <t>仕事；事業；企業；勤務；営業</t>
        </is>
      </c>
      <c r="F4014" t="inlineStr">
        <is>
          <t>商業開発；商業組合；商業利用；商業空港；商業棟</t>
        </is>
      </c>
      <c r="G4014" t="inlineStr">
        <is>
          <t>商業学校；商業地；商業高校；商業地区；商業銀行</t>
        </is>
      </c>
      <c r="H4014" t="n">
        <v>29</v>
      </c>
      <c r="I4014" t="inlineStr">
        <is>
          <t>これら具体音の導入は、商業音楽などの分野にも決定的な影響を与えた。；商業圏の間で商品の値が違うので、客商はこれを利用して利益を上げた。；戦後まで横浜市の商業の中心地であった伊勢佐木町の南西側に所在する。；歴史的に跨座式より古く、商業的に成功したのも懸垂式の方が先である。；これらの作品はイギリスで作られた最初の商業用映画の一つである。；彼は、IBMの新しいシステムは重要な商業的な成功でないと思っていた。；これは東アジアの商業音楽業界が長いあいだ分業制であったためである。；本作のメディアミックス作品群の中では最も商業的に成功している。；イーストマン・コダックメーカーであり、現在は商業印刷の大手である。；更には、これら商業作品の強い影響を受けた自主制作作品も含まれる。；ニオブが商業的に初めて利用されたのは20世紀初めになってからであった。；州内には他にも約12の商業空港と多くの一般用と空港がある。；こうした商業取引の決済手段には銀が重要な役割を果たしていた。；古くはヨーロッパ沿岸河川、北米大西洋沿岸でも商業的に生産されていた。；その後は緻密な鉄道網によってこの地域の産業・商業の発展が促された。；このため営利目的の広告をしておらず、商業広告による収入を得ていない。；ホッパーの両親は、商業芸術を学んで手に職をつけるように言った。；この世代のうち、最も商業的に成功を収めたのはハンナ・クレンティである。；嬬恋村の商業の中心となる三原地区の様子や町並みが車窓右手に広がる。；また、ロンドン自体が巨大な消費市場であるため、商業活動も活発である。；商業に関しては卸売業が販売額を占める割合が高いのが特徴となっている。；中世以降、商業が活発になると譜代下人などの形態も見られるようになる。；販売を目的とした商業的生産は、明治時代初期には始まっていた。；経済的にも商業的にも非常に重要な地で、繊維業と布が名産であった。；当駅及び当駅周辺は相模原市北部の交通・商業の拠点地域としての役割を持つ。；彼は建築は時代を反映されるべきではなく、商業的な力からは距離を置くべきだと考えていた。；当初は商業を学ぶ予定だったが次第に「商買の事」から離れていった。；アルバムは大規模な商業的かつ重要な成功を収めた。；阪神電車の他駅と比較してみても、商業集積が進んでいる駅である。</t>
        </is>
      </c>
      <c r="J4014">
        <f>HYPERLINK("https://www.weblio.jp/content/商業", "词义详情")</f>
        <v/>
      </c>
      <c r="K4014">
        <f>HYPERLINK("https://yourei.jp/商業", "查看例句")</f>
        <v/>
      </c>
    </row>
    <row r="4015">
      <c r="A4015" t="inlineStr">
        <is>
          <t>上京</t>
        </is>
      </c>
      <c r="B4015" t="inlineStr">
        <is>
          <t>成功</t>
        </is>
      </c>
      <c r="C4015" t="inlineStr">
        <is>
          <t>読み方：かみぎょう
京都市北部の三条通り以北の、御所を中心とする地域。
京都市北部の区名。明治22年（1889）の市制で下京区とともに成立、昭和4年（1929）左京・中京・東山各区を、同30年北区を分離。御所・府庁・西陣織物会館がある。</t>
        </is>
      </c>
      <c r="D4015" t="inlineStr">
        <is>
          <t>上京する(9%)；上京後(4%)；上京以来；上京直後；上京会寧府</t>
        </is>
      </c>
      <c r="F4015" t="inlineStr">
        <is>
          <t>卒業後上京；その後上京；目指して上京；頼って上京；志して上京</t>
        </is>
      </c>
      <c r="G4015" t="inlineStr">
        <is>
          <t>上京龍泉府；上京臨潢府；上京の戦い；上京町；上京ものがたり</t>
        </is>
      </c>
      <c r="H4015" t="n">
        <v>29</v>
      </c>
      <c r="I4015" t="inlineStr">
        <is>
          <t>文明元年には四国・九州の諸大名に軍を率いて上京するよう命じている。；これがきっかけで俳優になる事を決意し高校卒業と同時に上京する。；しかし上京が全くなかったら、失業率が酷いことになっていたであろう。；村の子供たちに読み書きを教えて暮らしていた半蔵は、意を決して上京。；故郷の大分市から上京してきた時には、工藤は既に30代となっていた。；中学時に年の離れた次兄の誘いを受けて、その次兄宅に家族で上京する。；しかし日本使節のソウル上京は一度の例外を除き認められなくなった。；多くが上京者で編成され表では横文字職業に就いているのが特徴。；しかし貿易事業そのものは失敗し、杉山は妻子を福岡に残して上京した。；長渕はデビューし上京して間もない頃、当駅近くのアパートで暮らしていた。；高校時代より同人活動を始め、卒業後上京し東京のデザイン学校に進学。；上京してきた女性が勝負下着をつける時はどのような時かを描く。；明治18年に職を失ったため東京へ上京するも、明治21年に病死した。；上京してすぐに暮らした部屋は、建築家の黒川紀章の設計したものだった。；そして慶応3年に慶喜が将軍になると奥右筆に任じられ、上京している。；大学3年生の時点で卒業に必要な単位をすべて取得し、4年生の時に上京。；投稿を続けるうちにプロを意識するようになり、高校卒業後に上京。；このため、信長が上京するたびに多くの訴訟が持ち込まれる事態となった。；中学・高校で音楽に目覚め、卒業後に上京して、プロの歌手を目指す。；幼い頃からムード歌謡や、上京した兄が残していった蔵書に慣れ親しむ。；九州での野球生活に限界を感じたのを機にの秋、二人は駆け落ち同然に上京。；亜樹は上京後、年齢を偽りながらも雀荘で働くことで生計を立てていた。；ディズニー関連が好きで、上京後はキャストになることも考えていた。；上京後は叔父の養子となって太田稲造として英語学校で英語を学んだ。；高校卒業後に上京しRCAレコードから「恋人もいないのに」でデビュー。；彼女は家族たちに見送られ故郷を離れ、上京するが現実は厳しかった。；上京後、1年間はソロで活動していたが、のちにバンドで歌うようになる。；上京して一人暮らしをしている英二郎はそれだけでは当然足りない。；将来への不安を感じてジャーナリストになることを決めて入社1年で上京。</t>
        </is>
      </c>
      <c r="J4015">
        <f>HYPERLINK("https://www.weblio.jp/content/上京", "词义详情")</f>
        <v/>
      </c>
      <c r="K4015">
        <f>HYPERLINK("https://yourei.jp/上京", "查看例句")</f>
        <v/>
      </c>
    </row>
    <row r="4016">
      <c r="A4016" t="inlineStr">
        <is>
          <t>状況</t>
        </is>
      </c>
      <c r="B4016" t="inlineStr">
        <is>
          <t>成功</t>
        </is>
      </c>
      <c r="C4016" t="inlineStr">
        <is>
          <t>読み方：じょうきょう
移り変わる物事の、その時々のありさま。「—を見きわめる」「周囲の—」</t>
        </is>
      </c>
      <c r="D4016" t="inlineStr">
        <is>
          <t>状況次第；状況報告；状況把握；状況調査；状況認識</t>
        </is>
      </c>
      <c r="E4016" t="inlineStr">
        <is>
          <t>時；場合；際；状態；様子</t>
        </is>
      </c>
      <c r="F4016" t="inlineStr">
        <is>
          <t>こうした状況；困難な状況；利用状況；厳しい状況；そんな状況</t>
        </is>
      </c>
      <c r="G4016" t="inlineStr">
        <is>
          <t>状況証拠；状況判断；状況説明；状況設定；状況劇場</t>
        </is>
      </c>
      <c r="H4016" t="n">
        <v>29</v>
      </c>
      <c r="I4016" t="inlineStr">
        <is>
          <t>この時点では殆ど情報が集まっておらず、詳細な状況は不明であった。；石油が発見されて以来、州経済は石油産業の状況に大きく依存してきた。；道路の状況およびインターチェンジなどについては両道路の項目を参照。；こうした状況は彼ら全員が1955年にヨーロッパに戻るまで続いた。；また5年ごとに会議を開き、条約の運営状況を検討することを定めている。；このような状況から大企業の本社機能の移転などが行われるには至っていない。；以後、儀式の話をしただけで、彼らは白人に逮捕される状況となった。；プロジェクト関連文書の更新状況は次の場所で参照できます。；携帯電話での普及状況は、おサイフケータイの項もあわせて参照の事。；この二人の関係は、周囲の状況に影響を受け順調にはいかなかった。；昭和初期の『詩と詩論』運動はこの状況に対抗して発生したものである。；元々狭い場所に建設された経緯があり、バリアフリー化は困難な状況だった。；和平か敗戦か色々な可能性があり、状況を注視して対応したいと述べた。；さらに各方法には変爻の有無や位置を選ぶ操作があり状況変化を表現する。；陸軍の統制派は二・二六事件の蹶起がもたらした状況を最大限に利用した。；先の不正会計事件は世界金融危機時の状況までさかのぼって調べられた。；開業後の輸送状況も好調であったことから、経営面でも負担にはならなかった。；産学共同の状況では56件中14件が大学と企業との共同研究であった。；競技が可能な道路幅と路面状況であることが開催の条件となる。；すでに医師が多くいる地域だったためこれ以上の成功は望めない状況だったという。；この点は、物理化学研究の伝統を持つ欧米とは大きく異なった状況にある。；この状況を解消すべく、所沢市が主体で単独立体交差事業を実施している。；また、大学のボート部に参加しようと決意したことも状況を変える効果をもたらした。；また、彗星が地球へ衝突するという状況を描いた作品も多数存在する。；その後改変された建築物が少なくないが、以下は当初の状況を述べる。；従ってカウント値からは、この状況は有利でも不利でもないと判断される。；しかし2018年に漁業法が改正されたことを受けて状況は変わりつつある。；教会は「反革命活動」をしないことを条件に存続が許されている状況にある。；しかし、当時は現代的な意味での考古学は未整備な状況であった。</t>
        </is>
      </c>
      <c r="J4016">
        <f>HYPERLINK("https://www.weblio.jp/content/状況", "词义详情")</f>
        <v/>
      </c>
      <c r="K4016">
        <f>HYPERLINK("https://yourei.jp/状況", "查看例句")</f>
        <v/>
      </c>
    </row>
    <row r="4017">
      <c r="A4017" t="inlineStr">
        <is>
          <t>消極的</t>
        </is>
      </c>
      <c r="B4017" t="inlineStr">
        <is>
          <t>成功</t>
        </is>
      </c>
      <c r="C4017" t="inlineStr">
        <is>
          <t>読み方：しょうきょくてき
［形動］自分から進んで物事をしないさま。引っ込みがちなさま。また、否定的であるさま。「—な態度」「提案に—な回答をする」⇔積極的。</t>
        </is>
      </c>
      <c r="D4017" t="inlineStr">
        <is>
          <t>消極的姿勢；消極的抵抗；消極的美；消極的態度；消極的理由</t>
        </is>
      </c>
      <c r="E4017" t="inlineStr">
        <is>
          <t>否定的；控えめ；悲観；弱気；後ろ向き</t>
        </is>
      </c>
      <c r="F4017" t="inlineStr">
        <is>
          <t>消極的権利；消極的政策；当初消極的；消極的破綻主義；消極的方面</t>
        </is>
      </c>
      <c r="G4017" t="inlineStr">
        <is>
          <t>消極的安楽死；消極的事実の証明；消極的無神論；消極的平和；消極的平和主義</t>
        </is>
      </c>
      <c r="H4017" t="n">
        <v>29</v>
      </c>
      <c r="I4017" t="inlineStr">
        <is>
          <t>ぼくは高里の吊し上げに積極的にも消極的にも参加しませんでしたから。；しかし、それによって彼への攻撃が少しも消極的になるのではなかった。；彼はそれとはなしに、自分の犯行を消極的ながらも、認めていたのです。；それが消極的にしろ、僕の言葉を受け入れてくれた証拠だと信じたかった。；昆虫屋はただ首を左右に振って、消極的に少年の動きを牽制しただけだ。；星は自己の宣伝をまったくしなかったが、といって消極的だったのではない。；最初からPK戦を狙ったような消極的で守備的な試合が行われたからだった。；史料で跡づける限りでは、消極的に見えるのは基地航空隊だけではない。；電側は戦闘に参加した第五艦隊各艦の消極的姿勢を強く非難している。；その二通りのうち一つは積極的のもので、一つは消極的のものである。；昔し僕のところへ泊りがけに来て例の通り消極的の修養と云う議論をしてね。；父親ががみがみと説教しているときも消極的に反抗心を抱くのみである。；カルタゴ議会は艦隊を再建する負担を考えて戦争を継続するのに消極的となった。；法の強制を支持する者の多くは判決の警官に対する消極的見解に激怒した。；都会の人と違って、村の人たちは病理解剖なんてことにも消極的だしね。；どちらかというと消極的レースの方が粋だと太郎は考えている。；このころからモルティマーはグループとしての活動に消極的になっていた。；会長と頭取が調査委員会の設置に消極的だったのもわかるような気がしました。；単に消極的になっているからというだけではないだろう。；気持が消極的になっているせいか、前に坐っている人が私の顔を見ているような気が常にします。；この消極的諸反応もまた性格を特徴づける非常に強い働きを示す。；仏教の政治的伝統は歴史的に宗教共同体の枠外での政治関与に消極的だった。；あるいはむしろ苦しみは消極的の価値もしくは手段的の価値しかもっていないもののように思われる。；この三種の中では、縁へ出て手を打つのが最も消極的のようである。；結局の所、消極的ながら大内氏は経久側を支援する立場になっている。；今まででもインテリゲンチャは決して単に消極的に彷徨していたわけではない。；六十九議会に於ては国民はまだ迷っていたし消極的だった。；相手はなかば姉に強制されているわけだから、ちょっと消極的らしい。；どうして祥子さまとのことになると、こうも消極的になるのかな。</t>
        </is>
      </c>
      <c r="J4017">
        <f>HYPERLINK("https://www.weblio.jp/content/消極的", "词义详情")</f>
        <v/>
      </c>
      <c r="K4017">
        <f>HYPERLINK("https://yourei.jp/消極的", "查看例句")</f>
        <v/>
      </c>
    </row>
    <row r="4018">
      <c r="A4018" t="inlineStr">
        <is>
          <t>賞金</t>
        </is>
      </c>
      <c r="B4018" t="inlineStr">
        <is>
          <t>成功</t>
        </is>
      </c>
      <c r="C4018" t="inlineStr">
        <is>
          <t>読み方：しょうきん
賞として与える金銭。「—をかせぐ」「—を出す」</t>
        </is>
      </c>
      <c r="D4018" t="inlineStr">
        <is>
          <t>賞金額(4%)；賞金総額(4%)；賞金獲得額；賞金競走；賞金賞</t>
        </is>
      </c>
      <c r="E4018" t="inlineStr">
        <is>
          <t>賞；利益；報酬；褒美；賞品</t>
        </is>
      </c>
      <c r="F4018" t="inlineStr">
        <is>
          <t>賞金獲得；高額賞金；最高賞金；総賞金；莫大な賞金</t>
        </is>
      </c>
      <c r="G4018" t="inlineStr">
        <is>
          <t>賞金ランキング；賞金首；賞金ランク；賞金王；賞金女王</t>
        </is>
      </c>
      <c r="H4018" t="n">
        <v>29</v>
      </c>
      <c r="I4018" t="inlineStr">
        <is>
          <t>賞金は新たなロボットとパイロットのデータを購入する際に使用する。；旧ソ連時代は賞金の国外持ち出し額にも厳しい制限があったと言われる。；ケースを開けない事を選択した場合は、自分のケースの賞金額を獲得する。；そのためタブマンに掛けられた賞金額は合計4万ドルを超えたとされる。；他のスポーツと同様、プロトーナメントなどに出場し賞金を獲得できる。；しかしこの賞金は父に全額持って行かれ、研究費に使われてしまった。；当時の日本国内最高賞金の競走で、現在の天皇賞のルーツの一つである。；欧州選手権では初優勝を果たし、賞金で母と祖母と住むアパートを建てた。；フィッシャーはこの試合に見事勝利し、300万ドル以上の賞金を得た。；トップレベルの選手になると年間に1億円以上の賞金を稼ぐこともある。；この原因の一つとして、韓国・中国と日本の賞金の違いが考えられる。；一般的には、多数を選んで多数が一致するほど受け取れる賞金は高くなる。；これに「ディール」すれば、提示した賞金を獲得してゲーム終了となる。；また一レース毎の賞金もこの種のカテゴリーでは他に例のない高額であった。；この大会で5年間のシード権が与えられ、56万ドルの賞金を獲得する。；目を見張るような高額賞金のレースは全国のホースマンに衝撃を与えた。；番組が提示したゲームや課題に挑戦し、成功すれば希望する額の賞金を獲得できた。；賞金の一部で故郷ビクーニャに彼女の名を冠した図書館が建てられる。；これは、同じく賞金目当てに来る者たちへの警告の意味を兼ねていた。；このためこれほどの賞金を獲得することになったのである。；「出来る」と選択した人のうち一人が挑戦し、成功したら賞金を獲得できる。；この競走は当時英国内で最高額の賞金を誇り、現在もG1に指定されている。；相手のロボットを全て倒せばこちらの勝利となり、賞金が手に入る。；例えばノーベル賞などでも先取権を持つ者に賞と賞金が授与される。；そして獲得した賞金で母国タイに土地を買い両親にプレゼントした。；ただし番組賞金額の算出方法やクラス編成は主催者によってさまざまである。；彼は分子ビーム研究所に資金を提供するため賞金の半分をラービに渡した。；そして続いて挑戦したのは世界最高賞金額を誇るドバイワールドカップ。；賞金はないのが普通だが、時にはスポンサー賞が用意されているときがある。</t>
        </is>
      </c>
      <c r="J4018">
        <f>HYPERLINK("https://www.weblio.jp/content/賞金", "词义详情")</f>
        <v/>
      </c>
      <c r="K4018">
        <f>HYPERLINK("https://yourei.jp/賞金", "查看例句")</f>
        <v/>
      </c>
    </row>
    <row r="4019">
      <c r="A4019" t="inlineStr">
        <is>
          <t>常勤</t>
        </is>
      </c>
      <c r="B4019" t="inlineStr">
        <is>
          <t>成功</t>
        </is>
      </c>
      <c r="C4019" t="inlineStr">
        <is>
          <t>読み方：じょうきん
［名］(スル)臨時でなく、原則として毎日一定の時間、勤務すること。「二名の社員が—している」</t>
        </is>
      </c>
      <c r="D4019" t="inlineStr">
        <is>
          <t>常勤職員(8%)；常勤医(4%)；常勤監査役(4%)；常勤役員(3%)；常勤顧問(3%)</t>
        </is>
      </c>
      <c r="F4019" t="inlineStr">
        <is>
          <t>常勤化；常勤スタッフ；常勤雇用；常勤教員；常勤隊員</t>
        </is>
      </c>
      <c r="H4019" t="n">
        <v>29</v>
      </c>
      <c r="I4019" t="inlineStr">
        <is>
          <t>昭和五十年代に入っても常勤役員の平均年齢は五十を少し越しただけ。；残りの職員は常勤で、従来は欧州委員会に属していた者たちとなっている。；その5所有・運営局を強化するため、だけ9常勤の系列局を持っていた。；また、多くの教科では常勤教諭のほかに非常勤講師も授業を行っている。；現在の常勤性は、現勤務先でフルタイムで職務に従事している事である。；研究・講義などを行い、常勤でないため、大学運営業務には携わらない。；また同市では2017年度現在弁護士が常勤職員で課長を務めている。；過去の常勤性は、実務経験や経営経験の計算で使われるものである。；委員は通常別に常勤の職業を持っているその道の専門家である。；郡政委員は常勤の公務員であり、郡政府全体の予算の承認などの任務を行う。；過去の職歴から当初は「常備」と呼ばれる常勤に近い待遇を与えられた。；初の常勤者である管理者や科学者は翌1958年から勤務を開始した。；といっても、常駐者はマッキンゼーの常勤四人を入れても十人に満たない。；多くの人々が常勤でドナルドの衣装を着て病院の子供たちを訪れる。；ウィリアムズには常勤職員の座が用意され、細菌学副主任に任命された。；彼はこの団体による雑誌 の最初の常勤の編集者であり、後に発行者となった。；小さな門には常勤の衛兵はいないが、そのかわりに歩哨が固めている。；常勤ではなく時に応じて任命される名誉職で、副首相に準ずる地位である。；広義には長期雇用が前提の常勤職員として就職することを指すことがある。；常勤の絵画教師のもう一人はフランチェスコ・アイエツであった。；閉鎖前のホテルには常勤13名、非常勤8名の雇用が確保されていた。；現在の常勤性は、健康保険証などをに提示することで証明できる。；市の常勤職員・非常勤職員のほとんどが市支配人の監督下にある。；後に、彼は、オックスフォード大学の最初の常勤の副総長に就任した。；委員は常勤の特別職国家公務員であり、年収は約1650万円であった。；親会社のトヨタ自動車出身者以外では初の社長となり、また初の常勤社長となる。；InterBaseは通常は、常勤のデータベース管理者を必要としない。；Jリーグ常勤理事就任同時に日本サッカー協会の理事にも就任している。；病院経営、研修医の指導のほか、同病院の常勤医として診療にも当たる。</t>
        </is>
      </c>
      <c r="J4019">
        <f>HYPERLINK("https://www.weblio.jp/content/常勤", "词义详情")</f>
        <v/>
      </c>
      <c r="K4019">
        <f>HYPERLINK("https://yourei.jp/常勤", "查看例句")</f>
        <v/>
      </c>
    </row>
    <row r="4020">
      <c r="A4020" t="inlineStr">
        <is>
          <t>上空</t>
        </is>
      </c>
      <c r="B4020" t="inlineStr">
        <is>
          <t>成功</t>
        </is>
      </c>
      <c r="C4020" t="inlineStr">
        <is>
          <t>読み方：じょうくう
空の上の方。また、ある地点の上にある空。「—に舞いあがる」「東京の—」</t>
        </is>
      </c>
      <c r="D4020" t="inlineStr">
        <is>
          <t>上空警戒；上空高く；上空援護；上空直衛；上空約</t>
        </is>
      </c>
      <c r="E4020" t="inlineStr">
        <is>
          <t>空；天；青空；乾；天上</t>
        </is>
      </c>
      <c r="F4020" t="inlineStr">
        <is>
          <t>東京上空；基地上空；目標上空；艦隊上空；赤道上空</t>
        </is>
      </c>
      <c r="H4020" t="n">
        <v>29</v>
      </c>
      <c r="I4020" t="inlineStr">
        <is>
          <t>海面近くと上空の風速の差を利用し、風からエネルギーを得て飛行する。；中心付近で行き場を失った空気は、上昇気流に乗って上空へと運ばれる。；本船も上空に到着して求めていた水と緑の豊かな惑星を手に入れる事が出来た。；そして人々の様子や上空の月の状態もまた、町を訪れた時のように戻っていた。；この高度の場合、目標を機の上空2000m以内に収めねばならなかった。；以上の交番は、それぞれ上空から見るとトランプのマークになっている。；彼らはその後さらに1日ほど月の上空を周回し続け、月の写真を撮った。；そこから索敵機に味方上空であることが伝えられ、ようやく解決した。；目の周辺部では上昇気流、目の中心部の上空では下降気流が起きている。；原爆の投下は目視が厳命されており、上空の視界の情報が重要であった。；この頃、地上や海上で行われていた気象観測が上空にも拡大し始める。；ここには、地上から上空の目標まで誘導される自動迎撃装置が搭載された。；山頂では、ゲーム開始時に登場したコンドルがその上空を飛んでいる。；第2波内でオランダ上空で生還したのはマッカーシー機だけであった。；海洋性と違い、大陸性は上空高くまで発達しなければ激しい雨とならない。；このルートからならば旅客機の窓より上空から市内を一望することができる。；記載の場所以外でも、打ち上げに上空を飛ぶロケットを見ることは可能。；気象制御を行うため、ソニックブームを上空に発射する装置が存在する。；また、朝日新聞の報道によると、識者が上空から河川の氾濫状況を分析。；大暗斑の上空には、地球の巻雲に相当するメタンと氷の雲が集中していた。；線路跡地は、現在でも上空から跡地がはっきりと分かる状態になっている。；一方、第1波はローセンダール上空でアステル機を失っただけであった。；同年にはロサンゼルス上空からのスカイダイビングにも挑戦している。；鉄道とのアンダーパス部では道路上空に公園が設けられている。；ある地点の上空における大気の安定度を評価するために用いられる。；本区域の上空2000フィートまでは米軍による使用が認められている。；駅舎は高架下、路線の下を走る国道357号の上空に設けられている。；動物たちが生きていれば、上空でも酸素がなくならないと分かるからである。；つまり上空で待機してて離脱して帰ろうとする奴を一撃必墜するんだ。</t>
        </is>
      </c>
      <c r="J4020">
        <f>HYPERLINK("https://www.weblio.jp/content/上空", "词义详情")</f>
        <v/>
      </c>
      <c r="K4020">
        <f>HYPERLINK("https://yourei.jp/上空", "查看例句")</f>
        <v/>
      </c>
    </row>
    <row r="4021">
      <c r="A4021" t="inlineStr">
        <is>
          <t>上下</t>
        </is>
      </c>
      <c r="B4021" t="inlineStr">
        <is>
          <t>成功</t>
        </is>
      </c>
      <c r="C4021" t="inlineStr">
        <is>
          <t>読み方：うえした
１位置・場所などの上と下。じょうげ。「書棚の—を入れ替える」
２（「うえしたになる」の形で）上と下が逆になる状態。さかさま。「揺れて積み荷が—になる」
３身分の上下。また、身分の上の者と下の者。官と民。〈日葡〉</t>
        </is>
      </c>
      <c r="D4021" t="inlineStr">
        <is>
          <t>上下二(2%)；上下ホーム；上下列車；上下運動；上下本線</t>
        </is>
      </c>
      <c r="E4021" t="inlineStr">
        <is>
          <t>高低；上げ下げ；アップダウン；高下；上がり下がり</t>
        </is>
      </c>
      <c r="F4021" t="inlineStr">
        <is>
          <t>激しく上下；上下逆；ゆっくりと上下；神名帳上下；左右上下</t>
        </is>
      </c>
      <c r="G4021" t="inlineStr">
        <is>
          <t>上下左右；上下関係；上下水道；上下動；上下両院</t>
        </is>
      </c>
      <c r="H4021" t="n">
        <v>29</v>
      </c>
      <c r="I4021" t="inlineStr">
        <is>
          <t>ホームは4両対応となっており、上下列車の交換が当駅で行われている。；馬歯は一生を通じて硬い草を食べ続けるため上下に長い形状をしている。；客室扉の窓は従来車と同様の縦長形状であるが上下を丸くデザインした。；エレベーターは上下ホームに設置されており、また多目的トイレがある。；中国のコンセントはオーストラリアの標準とは上下が逆になっている。；当駅最大の特徴は、上下のホーム間が大きく離れていることである。；上下列車が交換可能な駅はなく、同時に1列車しか運転できなかった。；一方の既存線は、上下4車線を下り一方向として運用することになった。；しかし、いくつもの系統の階級が従来の階級から大きく上下することとなった。；その後の駅改良工事に伴い、上下ホーム間の線路予定地に線路が敷設された。；上下ホームを連絡する跨線橋があり、エレベーターも設置されている。；現在、長門の艦体は上下逆さまで着底しており、艦橋部分は折れている。；このため、列車交換がない場合、発着列車は上下とも1番線を使用する。；現在は上下列車とも、基本的に増設されたホームを使う1番線に発着する。；駅舎は岡山方面行きホーム側にあり、上下ホームは跨線橋で結ばれている。；切歯は大半のものが上下三対とも揃っており、効率よく植物を裁断する。；シリア文字では、さまざまな目的のために文字の上下に点を打った。；身分の上下問わず数多くの女性と性交したので漁色家として知られた。；また、上下各ホームと改札階は階段とエレベーターで連絡している。；組織の実働部隊は若者ばかりで、階級や任務による上下の区別はない。；SDSLは東京めたりっく通信などが提供していた上下速度対称の方式。；不思議なことに右葉の上下亜区を境界する構造は存在しない。；すべてのホームから上下いずれの方向にも出発が可能。；上下ホームと改札階を連絡するエレベーターが設置されている。；移動はボタン配置のタイプによって、上下移動の正逆を選択できる。；長い牙もゾウ類の特徴であり、上下の第二切歯が変化したものである。；地上アナログ放送では多少左右を切った上、上下に少し黒枠を加えている。；なお二層通路橋は上下層で方向を別にしたり、道路と鉄道の併用にしたりするもの。；上下ホーム間は地下道でつながっているが、エレベーターは設置されていない。</t>
        </is>
      </c>
      <c r="J4021">
        <f>HYPERLINK("https://www.weblio.jp/content/上下", "词义详情")</f>
        <v/>
      </c>
      <c r="K4021">
        <f>HYPERLINK("https://yourei.jp/上下", "查看例句")</f>
        <v/>
      </c>
    </row>
    <row r="4022">
      <c r="A4022" t="inlineStr">
        <is>
          <t>衝撃</t>
        </is>
      </c>
      <c r="B4022" t="inlineStr">
        <is>
          <t>成功</t>
        </is>
      </c>
      <c r="C4022" t="inlineStr">
        <is>
          <t>読み方：しょうげき
１瞬間的に大きな力を物体に加えること。また、その力。「衝突時の—を吸収する」
２意外な出来事などによって強く心を揺り動かされること。また、その心の動き。ショック。「—が走る」「世界に強い—を与えた事件」</t>
        </is>
      </c>
      <c r="D4022" t="inlineStr">
        <is>
          <t>衝撃的(5%)；衝撃音；衝撃吸収；衝撃力；衝撃砲</t>
        </is>
      </c>
      <c r="E4022" t="inlineStr">
        <is>
          <t>影響；効果；調子；衝突；驚き</t>
        </is>
      </c>
      <c r="F4022" t="inlineStr">
        <is>
          <t>強い衝撃；激しい衝撃；軽い衝撃；鈍い衝撃；強烈な衝撃</t>
        </is>
      </c>
      <c r="G4022" t="inlineStr">
        <is>
          <t>衝撃的；衝撃映像；衝撃試験；衝撃の瞬間；衝撃波管</t>
        </is>
      </c>
      <c r="H4022" t="n">
        <v>29</v>
      </c>
      <c r="I4022" t="inlineStr">
        <is>
          <t>英雄が独裁的統治者となったこの出来事は多方面に様々な衝撃を与えた。；この論理は生物学だけでなく社会一般に大きな衝撃を持って迎えられた。；一見するとただの紙だが、強い衝撃を与えると癇癪玉のように破裂する。；このスプリングは防楯に被弾した際に衝撃を吸収する役割も持っていた。；幸い命に別状はなかったものの、世間に与えた衝撃は非常に大きかった。；このとき見聞きした出来事はフランス労働者団に衝撃を与えるものであった。；巨人の発表はこの噂が事実であったことを意味し、社会に大きな衝撃を与えた。；口を閉じた状態のときに前方からオトガイ部に衝撃を受け発生する。；彼はこの都市におけるユダヤ人とアラブ系市民の間の緊張に衝撃を受けた。；基本的に衝撃に耐え得るように分厚く丈夫に作られていることが多い。；この事件が競技中に起きたことから、全スポーツ界に大きな衝撃が広がる。；ジャンプからの着地の際に身体への衝撃を和らげるのが主な役目である。；クラッシャブルゾーンを設けて衝撃を吸収する構造になっているものもある。；また、エギゾーストも事故時などに衝撃を吸収する構造となっている。；この聴聞会は公に放送され、南アフリカの社会に重大な衝撃をもたらした。；ひとつは強い衝撃を加えた時、もうひとつは急激に温度を変化させた時である。；これは九三式魚雷の信管が鋭敏すぎたため波の衝撃で反応したためである。；彼はベレグを見ると衝撃を受け、涙をはらはらと流しながら駆け寄った。；アメリカの民衆は衝撃を受け、ヨーロッパ大陸の指導者らはこれを非難した。；打撃を受ける際には歯を噛み締めて頭部の衝撃に耐えるのが基本だからである。；これらのことは、この事故が社会に与えた衝撃の大きさを物語るものといえる。；フリーの前座をした時に、ステージ袖で彼のプレイを見て、衝撃を受けた。；この中には衝撃によって月や火星から飛び出し飛来したものもあった。；これは揚弾中に衝撃を受けた時の自爆が構造的に起こり難い利点があった。；はじいたときの衝撃が緩和されるため、ゴムとびに利用する子供も多い。；これに大きな衝撃を受けた諭吉は、それ以来、英語の必要性を痛感した。；体の大きさや群れでの飛行がその衝撃を悪化させる。；円盤が強い衝撃を受けて破壊されると、訓練機自体も爆発してしまう。；矢代が死去した当時の日本の作曲家の衝撃を語る記録である。</t>
        </is>
      </c>
      <c r="J4022">
        <f>HYPERLINK("https://www.weblio.jp/content/衝撃", "词义详情")</f>
        <v/>
      </c>
      <c r="K4022">
        <f>HYPERLINK("https://yourei.jp/衝撃", "查看例句")</f>
        <v/>
      </c>
    </row>
    <row r="4023">
      <c r="A4023" t="inlineStr">
        <is>
          <t>証言</t>
        </is>
      </c>
      <c r="B4023" t="inlineStr">
        <is>
          <t>成功</t>
        </is>
      </c>
      <c r="C4023" t="inlineStr">
        <is>
          <t>読み方：しょうげん
［名］(スル)
１ある事柄の証明となるように、体験した事実を話すこと。また、その話。「マスコミに事故の有り様を—する」
２法廷などで証人が供述すること。</t>
        </is>
      </c>
      <c r="D4023" t="inlineStr">
        <is>
          <t>証言台；証言集；証言拒否；証言いたし；証言どおり</t>
        </is>
      </c>
      <c r="E4023" t="inlineStr">
        <is>
          <t>証明；供述；陳述；口述；証する</t>
        </is>
      </c>
      <c r="F4023" t="inlineStr">
        <is>
          <t>貴重な証言；有利な証言；アリバイ証言；宣誓証言；信仰証言</t>
        </is>
      </c>
      <c r="G4023" t="inlineStr">
        <is>
          <t>証言内容；証言記録；証言拒絶権；証言録取；証言拒否権</t>
        </is>
      </c>
      <c r="H4023" t="n">
        <v>29</v>
      </c>
      <c r="I4023" t="inlineStr">
        <is>
          <t>同期の友人の証言では、英雄は大学ではボート部に所属していたという。；この解釈から証言として知られることになる共通の信仰形態が出現した。；フレーム・ユニットだけは完成していたという一部関係者の証言もある。；宣弘社の渡辺邦彦は、同社時代に一緒に野球をしていたと証言している。；詩人ユスタシュ・デシャンは百年戦争の間の社会と精神構造を証言した。；現代においてこのような伝承、古代の証言を支持するのは少数派である。；また再調査によって証言が虚偽であったことが判明しているものもある。；逃亡を防ぐ目的および督戦のための処置ではないかとの証言であった。；第一発見者の男性・現場に駆け付けた救急隊員の証言から新たに判明した。；このため当時は今井の証言が有力なものであるとは受け止められなかった。；この証言は非会徒との関係で正直で公平であることを友会徒に求めてきた。；内なる光の信仰は、証言と呼ぶ幾つかの主要概念の発展につながっている。；一方でベレー帽は普段は着用せず取材のときだけかぶっていたとの証言もある。；自分がハンニバルの生まれ変わりであると信じていたという証言もある。；そのため上記の小島の証言のような、批判論の矛盾に気づかない場合が多い。；元職員は日本語が全くできない学生も受け入れていたなどと実態を証言している。；どの仮説が正しいかは、証言できる者が生存しておらず不明のままである。；現場に居たチリの外交官は広場で大規模な銃撃は無かったと証言している。；また、渡辺は、本作品以降中野は火を好むようになったと証言している。；人数が多数に上ったことについては、強制動員されたという証言もある。；歴史的にみると、すべて友会徒がすべての証言に同時に一致したわけではない。；特技監督の中野昭慶は、子供と動物の扱いもうまかったと証言している。；戦中・戦後の食糧難の時代に犬を食べたという証言・報道は多数ある。；一方で、当時「虐殺」は見ていない・聞いていないとする証言も多数ある。；しかし、靖国神社の銅像を見た夫人はそっくりであると証言している。；公判では写真界の有力者たちが「重ね写し」する手法について証言した。；本人の証言に基づき、犯人はサッチャー政権の保守党幹部だったと伝えた。；バーでピアノを弾いていたなどの証言が多く残り、楽器も達者に演奏できた。；更にそれ以前にハッカーのコミュニティで使われていたという証言もある。</t>
        </is>
      </c>
      <c r="J4023">
        <f>HYPERLINK("https://www.weblio.jp/content/証言", "词义详情")</f>
        <v/>
      </c>
      <c r="K4023">
        <f>HYPERLINK("https://yourei.jp/証言", "查看例句")</f>
        <v/>
      </c>
    </row>
    <row r="4024">
      <c r="A4024" t="inlineStr">
        <is>
          <t>条件</t>
        </is>
      </c>
      <c r="B4024" t="inlineStr">
        <is>
          <t>成功</t>
        </is>
      </c>
      <c r="C4024" t="inlineStr">
        <is>
          <t>読み方：じょうけん
１約束や決定をする際に、その内容に関しての前提や制約となる事柄。「—をのむ」「—をつける」「一日だけという—で借りる」「—のいい会社」
２ある物事が成立・実現するために必要な、または充分な事柄。「いつ倒産してもおかしくない—がそろっている」「一定の—を満たす物件」「—が整う」
３法律行為の効力の発生または消滅を、発生するかどうか不確定な将来の事実にかからせる付款(ふかん)。また、その事実。「入学したら学費を出す」などがこれにあたる。</t>
        </is>
      </c>
      <c r="D4024" t="inlineStr">
        <is>
          <t>条件付き；条件つき；条件式；条件次第；条件付け</t>
        </is>
      </c>
      <c r="E4024" t="inlineStr">
        <is>
          <t>指定；制限；限定；予約；コンディション</t>
        </is>
      </c>
      <c r="F4024" t="inlineStr">
        <is>
          <t>立地条件；交換条件；有利な条件；諸条件；地理的条件</t>
        </is>
      </c>
      <c r="G4024" t="inlineStr">
        <is>
          <t>条件戦；条件反射；条件づけ；条件分岐；条件面</t>
        </is>
      </c>
      <c r="H4024" t="n">
        <v>29</v>
      </c>
      <c r="I4024" t="inlineStr">
        <is>
          <t>実際には、この条件を完全には満たさない国家もいくつか存在している。；また環境条件が相手国にとって有利かどうかも重要な判断材料となる。；ただし、それは毎月作品を採用かつ量産された場合の契約条件であった。；上記のほか、以下の条件のいずれかに該当する馬にも出走資格が与えられる。；これをベクトル空間の公理に独立した条件として加えている文献もある。；このような多細胞構造は、しばしば特定の条件でのみ見られることがある。；この条件から外れると領海を形成するために有効な領土ではなくなる。；両者の暴力停止が合意されたが、交渉再開は停戦継続を条件としている。；裁判所は、一定の広範な条件の下で、世界の全ての国に開かれていた。；そこに法的申立てを成功させるために必要な条件が示されていたからである。；適当な条件の下では、この議論をもっと明確化することができる。；残りの条件は「この群が 上の加群となる」という条件にまとめられる。；逆に、人間の作り出した環境条件が好適であるために増えるものもある。；次の条件は、採用しているライセンスと、そうでないライセンスがある。；予選2位以内に入ることで非常に有利な条件を得ることができるシステムである。；宝箱を出現させるにはフロア毎に設定された条件を満たす必要がある。；また、結合長や位置の固定など様々な拘束条件を付加することもできる。；競技が可能な道路幅と路面状況であることが開催の条件となる。；ハンカチ落としは一定の条件を付けてプログラミングの問題に応用される。；イギリスは同意したが、ソ連は日本が条件をつけようとしていることを非難した。；契約に際してNSUから提示された条件は以下のようなものだった。；これは日本が置かれている幾つかの地理条件が関係している。；TBSはかなり早い段階で、4つの条件を円谷特技プロに提示している。；また、当時と同じ条件なら再びイラク侵攻をするだろうとも述べた。；教会は「反革命活動」をしないことを条件に存続が許されている状況にある。；巨視的な条件は統計集団と呼ばれ、代表的なものとして が挙げられる。；したがって、このような条件を満たすような通常の関数は存在しない。；従って、それらの条件をある程度変化させると、タンパク質は変性する。；雪の結晶は、成長過程の大気中の環境条件によりその形を大きく変える。</t>
        </is>
      </c>
      <c r="J4024">
        <f>HYPERLINK("https://www.weblio.jp/content/条件", "词义详情")</f>
        <v/>
      </c>
      <c r="K4024">
        <f>HYPERLINK("https://yourei.jp/条件", "查看例句")</f>
        <v/>
      </c>
    </row>
    <row r="4025">
      <c r="A4025" t="inlineStr">
        <is>
          <t>証拠</t>
        </is>
      </c>
      <c r="B4025" t="inlineStr">
        <is>
          <t>成功</t>
        </is>
      </c>
      <c r="C4025" t="inlineStr">
        <is>
          <t>読み方：しょうこ
１事実・真実を明らかにする根拠となるもの。あかし。しるし。「—を残す」「動かぬ—」「論より—」
２要証事実の存否について裁判官が判断を下す根拠となる資料。</t>
        </is>
      </c>
      <c r="D4025" t="inlineStr">
        <is>
          <t>証拠品；証拠不十分；証拠資料；証拠収集；証拠固め</t>
        </is>
      </c>
      <c r="E4025" t="inlineStr">
        <is>
          <t>証明；根拠；由；印；標</t>
        </is>
      </c>
      <c r="F4025" t="inlineStr">
        <is>
          <t>確かな証拠；確たる証拠；確実な証拠；有力な証拠；十分な証拠</t>
        </is>
      </c>
      <c r="G4025" t="inlineStr">
        <is>
          <t>証拠隠滅；証拠立て；証拠調べ；証拠能力；証拠書類</t>
        </is>
      </c>
      <c r="H4025" t="n">
        <v>29</v>
      </c>
      <c r="I4025" t="inlineStr">
        <is>
          <t>証拠となる事実の取得の段階では、適切な測定方法の存在が重要となる。；ここまでの証拠が出るとさすがに彼らも否定することはできなかった。；審理人はあらゆる証拠を考慮して、適当と思われる方法で判断を示した。；彼の貢献には、整理されたチームフットボールの最も初期の証拠がある。；収蔵品の中にはこの地域でのクロアチア人の存在の証拠も含まれている。；ただし証拠を示していないため、事実かどうかを確認できないままにある。；戦後の裁判でもこの説を立証する命令書などの証拠は見つけられなかった。；そのため進化の過程を解き明かす証拠は少なく、まだ不明な部分も多い。；地球上の生命は、およそ37億年前には存在していたという証拠がある。；その証拠として州東部にはフランス語起源の地名が多く残されている。；ただし、肝心の英国側にはそのような作戦を行った証拠となる記録は無い。；三次の場合の二項定理が6世紀のインドで知られていたことは証拠がある。；また、この型の菌根が古生代から存在したらしい証拠も見つかっている。；使っているうちにこの箸を壊すことは元気に育っている証拠とされる。；これまで研究されてきた遺跡からはこの説を支持する確かな証拠が得られていない。；金および隕鉄だけが、人類が銅より前に使用していたという証拠がある。；後にはそれ以前にエジプトで使われた証拠も発見されている。；年をとるにつれて音楽の好みが変わる可能性があることを示す証拠が出ている。；しかしそのようなプレート活動があった証拠はまだ確認されていない。；経験的な証拠を異なって解釈することからいかに科学的な論争が巻き起こるか。；このような粒子が存在することを示す実験的証拠は見つかっていない。；この時期にショパンがピアノ以外の楽器を演奏したという証拠がある。；その証拠に河上はその老人が元力士らしき体格もきちんと記録していた。；証拠を集めた者によれば、20世紀初頭にまだ寄進箱は使われていた。；しかしいずれも確たる証拠がなく、誰が光緒帝を暗殺したかは不明である。；この時はアメリカ側は証拠となる空中写真をまだ公開していない。；その証拠として、食事や書字の際には右手を使っていたことが挙げられる。；主張文には証拠となる長電話を記録テープから起こしたものも書かれている。；実際、彼がほとんど何も書いていないという証拠も法廷に提出された。</t>
        </is>
      </c>
      <c r="J4025">
        <f>HYPERLINK("https://www.weblio.jp/content/証拠", "词义详情")</f>
        <v/>
      </c>
      <c r="K4025">
        <f>HYPERLINK("https://yourei.jp/証拠", "查看例句")</f>
        <v/>
      </c>
    </row>
    <row r="4026">
      <c r="A4026" t="inlineStr">
        <is>
          <t>正午</t>
        </is>
      </c>
      <c r="B4026" t="inlineStr">
        <is>
          <t>成功</t>
        </is>
      </c>
      <c r="C4026" t="inlineStr">
        <is>
          <t>読み方：しょうご
昼の12時。この時刻に太陽が子午線を通過する。</t>
        </is>
      </c>
      <c r="D4026" t="inlineStr">
        <is>
          <t>正午頃(6%)；正午ごろ(6%)；正午過ぎ(4%)；正午前(3%)；正午近く(3%)</t>
        </is>
      </c>
      <c r="E4026" t="inlineStr">
        <is>
          <t>昼；午；真昼；お昼；日盛り</t>
        </is>
      </c>
      <c r="F4026" t="inlineStr">
        <is>
          <t>同日正午；毎日正午；正午ちかく；翌日正午；正午まえ</t>
        </is>
      </c>
      <c r="G4026" t="inlineStr">
        <is>
          <t>正午台；正午計</t>
        </is>
      </c>
      <c r="H4026" t="n">
        <v>29</v>
      </c>
      <c r="I4026" t="inlineStr">
        <is>
          <t>地球の運動速度は一定でないため、太陽は正午に真南に来るとは限らない。；その後他の乗組員の脱出を支援し、正午までに32人が海岸に到達した。；正午ごろになると、憲兵がこの橋に立ち、市内に入る者を制止していた。；なおヨーロッパでは19世紀頃までは公式に正午を一日の始まりにしていた。；正午は前でも後でもないのであるから、どちらの略語を用いてもおかしい。；検死の結果、死亡時刻はどちらも正午過ぎから午後2時半頃までと判明。；出発地の印よりも下に正午の印がある場合は南下していることを意味する。；これが現代でも昼の12時ちょうどを表す「正午」の語源となっている。；翌年3月には復活後の初選挙が正午から2時間に渡って、実施された。；放送時間も現在とは違って正午ではなく、13時から放送されていた。；朝は、陽が昇ってから正午までの間のある程度の範囲の時間帯のこと。；半七は家へ帰っていると、正午すぎになって子分の多吉が先ず帰って来た。；正午過ぎには薩摩軍の増援として兵具方一番隊と一番遊撃隊が到着した。；絵のコンクールの優勝者は、正午に発表されることになっていました。；当日正午ごろまでは、憲兵がこの橋に立ち、市内に入る者を制止していた。；隔週金曜日の正午から新しい回を視聴する事ができる様になっていた。；観測している地点の子午線を太陽が通過した時刻が正午となる。；正午前ということもあって、食事の準備のために火を使っている家庭も多かった。；食堂の鐘が、死者2名への追悼の意を込めて翌日の正午まで鳴らされた。；正午の太陽が垂直に立てた棒に落とす影が帯の定義の基本である。；これら韓国軍部隊と766部隊員は正午頃に集落中央の中学校付近で衝突した。；騎士達の壮大なパレードは正午のトーナメント開催を想定したものだった。；イギリス軍の破壊行為は正午頃に終わり、その乗ってきた船に戻った。；ある日の正午頃男が来て大きな声で話をしていた。；その後西南進し同日の正午には、台風の勢力へ発達したと発表した。；正午頃になると巣穴に消え、最も早くても午後2時頃までは姿を現さない。；彼は、1820年代に午前11時から正午まで毎日ここで昼食を取った。；正午ごろにはフランス軍全軍が撤退をはじめ、戦闘はこれで終わった。；同日の正午ごろ、ベルリンとハンブルクの中間に位置するに到着した。</t>
        </is>
      </c>
      <c r="J4026">
        <f>HYPERLINK("https://www.weblio.jp/content/正午", "词义详情")</f>
        <v/>
      </c>
      <c r="K4026">
        <f>HYPERLINK("https://yourei.jp/正午", "查看例句")</f>
        <v/>
      </c>
    </row>
    <row r="4027">
      <c r="A4027" t="inlineStr">
        <is>
          <t>照合</t>
        </is>
      </c>
      <c r="B4027" t="inlineStr">
        <is>
          <t>成功</t>
        </is>
      </c>
      <c r="C4027" t="inlineStr">
        <is>
          <t>読み方：しょうごう
［名］(スル)照らし合わせて確かめること。「書類を原簿と—する」</t>
        </is>
      </c>
      <c r="D4027" t="inlineStr">
        <is>
          <t>照合すること(4%)；照合座標；照合すれ；照合できる；照合作業</t>
        </is>
      </c>
      <c r="F4027" t="inlineStr">
        <is>
          <t>比較照合；印鑑照合；地形照合；話者照合；版本照合</t>
        </is>
      </c>
      <c r="H4027" t="n">
        <v>29</v>
      </c>
      <c r="I4027" t="inlineStr">
        <is>
          <t>今日から軍の魔法技術部門に属するスタッフの照合が開始されている。；指紋が残っていたのなら、照合したらすぐにわかってしまうんじゃない?；自動印字機には文字の打ちぐせがあるから照合してみればわかるはずだ。；先に見つかった首と照合したところ、同一人物であると結論付けられた。；これらのモデルは現地で観測された被害とも照合するものであった。；いずれの指紋にしても照合されて、その主が特定されたら最後である。；証言の記録や、独裁政権の犠牲となった人々の映像記録の照合にあたった。；また、その記録の照合のため、藩内をまわってたしかめることもできる。；いかにして彼は、自動照合システムを避けて通ることができたのか?；あとは送られてくる名刺の指紋を照合して、証拠固めをする作業だけだ。；驍の唱えていたおマジナイと、原詩の部分を照合して見ていただきたい。；私は、夫婦の秘密を晒け出し、指紋の照合に応じようとしていたのです。；燃え残ったビルを手がかりに、記憶と照合しつつ、道をたどっていった。；しかし、当局が爆発現場の遺留指紋と照合するのに数日はかかるだろう。；通常の事件と同様に遺留品などから検出された指紋の照合も行われていた。；これは失われた系図部分と照合したものであると考えられている。；諸伝承は大伝承との照合を受け、教会の教導権の指導のもと、伝えられる。；さらにもう少し先まで、我々と動物との間の照合比較をおし進めてみようか。；少し面倒だが手続き上、その原文の方も照合して見なくてはならない。；遺体とあそこの手形を照合したら、まさしくあれは浜田のものだったよ。；荷物を受け、伝票に記載された番号とコンテナに記されたそれを照合する。；しかし疑っているからこそ、照合の電話をしているのではないのか。；ただ、僕の拙い知識で照合した結果、分かるのはスイセンぐらいだった。；私はカードを照合して八人の生徒たちの学習コースを指示した。；この際に複数の情報資料をそれぞれ組み合わせて照合を行う。；そこでコードの照合をして、後はそれからということになりますね。；指紋の照合まではできないと考えたのか、しないと予測したのか。；不一致文字規則は照合が失敗した位置の T 内の文字に注目する。；身体は、意識に先立って世界との照合関係をもっている匿名の機能系である。</t>
        </is>
      </c>
      <c r="J4027">
        <f>HYPERLINK("https://www.weblio.jp/content/照合", "词义详情")</f>
        <v/>
      </c>
      <c r="K4027">
        <f>HYPERLINK("https://yourei.jp/照合", "查看例句")</f>
        <v/>
      </c>
    </row>
    <row r="4028">
      <c r="A4028" t="inlineStr">
        <is>
          <t>症候群</t>
        </is>
      </c>
      <c r="B4028" t="inlineStr">
        <is>
          <t>成功</t>
        </is>
      </c>
      <c r="C4028" t="inlineStr">
        <is>
          <t>読み方：しょうこうぐん
同時に起こる一群の症候。シンドローム。「ネフローゼ—」「頸腕(けいわん)—」</t>
        </is>
      </c>
      <c r="D4028" t="inlineStr">
        <is>
          <t>症候群性；症候群患者</t>
        </is>
      </c>
      <c r="E4028" t="inlineStr">
        <is>
          <t>シンドローム</t>
        </is>
      </c>
      <c r="F4028" t="inlineStr">
        <is>
          <t>睡眠時無呼吸症候群；本症候群；後症候群；性症候群；播種性血管内凝固症候群</t>
        </is>
      </c>
      <c r="H4028" t="n">
        <v>29</v>
      </c>
      <c r="I4028" t="inlineStr">
        <is>
          <t>それは見たもの全てを記憶する過剰記憶症候群を患っていることである。；しかし知能に問題のある症候群も多いのは確かではあるがすべてではない。；それらの原因を分析した上で、一つ一つに症候群の名前が付けてある。；遡ると、この症候群は1929年に初めて報告されていた可能性がある。；本項目では類似の概念であるひとりじゃいられない症候群も含めて解説する。；彼らの誤りは単なる症候群や合併症を独立の病気とみなすことにあった。；この症候群は、患者の日常作業への集中を妨げ、衰弱させることがある。；その名称は、この症候群を報告したアメリカの内分泌学者に由来する。；出社拒否症候群や帰宅拒否症候群という言葉が出現したのもこの頃です。；こうした知識症候群の問題はおおむねいくつかのタイプに分類できるでしょう。；この映画の2作目では実際に症候群に侵された登場人物との対決が見られる。；このことから、本症候群をライ・ジョンソン症候群と呼ぶ研究者もいる。；これらの症状や要因は、二次性毛細血管漏出症候群の原因となりうる。；新しく認められた症候群の命名に、決まった共通の規則はない。；それこそが、雛見沢症候群のもっとも危険な一面と言えるでしょう。；この疾患はX連鎖症候群であるため、女性よりも男性の患者が大幅に多い。；鬼隠しや他の話で登場しているように見えるが、それは雛見沢症候群の初期症状である。；これは素直になれない症候群と言いまして恋愛的症例の一つです。；それはつまり、雛見沢症候群をなかったことにするというのと同じだ。；起こさなくてもPQ未熟症候群の人々が増えたら日本の将来は限りなく暗い。；XX男性症候群の症状はさまざまであるため、治療の詳細も同様に多様なものとなる。；指定難病のチャーグーストラウス症候群の患者であると公表している。；そのような警官の特徴を、この研究では「怠惰な警察」症候群と呼んでいる。；ちょうど主婦の台所症候群という現象が雑誌などに取り上げられている頃だった。；「おじさん症候群」に対する非難の声は、巷に満ち満ちていたのである。；ハンター・ラッセル症候群をベースに症状の組み合わせを求めるものであった。；祖父は自分がすでに雛見沢症候群に感染していると自称しているくらいだった。；血管炎症候群の中では比較的ステロイド治療に対する反応は良好である。；なお、肝心のKOT症候群については、ゲーム中は何も語られなかった。</t>
        </is>
      </c>
      <c r="J4028">
        <f>HYPERLINK("https://www.weblio.jp/content/症候群", "词义详情")</f>
        <v/>
      </c>
      <c r="K4028">
        <f>HYPERLINK("https://yourei.jp/症候群", "查看例句")</f>
        <v/>
      </c>
    </row>
    <row r="4029">
      <c r="A4029" t="inlineStr">
        <is>
          <t>詳細</t>
        </is>
      </c>
      <c r="B4029" t="inlineStr">
        <is>
          <t>成功</t>
        </is>
      </c>
      <c r="C4029" t="inlineStr">
        <is>
          <t>読み方：しょうさい
［名・形動］細部に至るまでくわしいこと。また、そのさま。「—なメモ」「—に調べる」</t>
        </is>
      </c>
      <c r="D4029" t="inlineStr">
        <is>
          <t>詳細な情報；詳細不明；詳細情報；詳細な調査；詳細な説明</t>
        </is>
      </c>
      <c r="E4029" t="inlineStr">
        <is>
          <t>点；ポイント；箇所；項；アイテム</t>
        </is>
      </c>
      <c r="F4029" t="inlineStr">
        <is>
          <t>詳細設計；詳細な解説；詳細な地図；詳細なデータ；詳細な内容</t>
        </is>
      </c>
      <c r="G4029" t="inlineStr">
        <is>
          <t>詳細釣り合い</t>
        </is>
      </c>
      <c r="H4029" t="n">
        <v>29</v>
      </c>
      <c r="I4029" t="inlineStr">
        <is>
          <t>あらためて詳細な調査と研究が行われた結果、 などの事実が判明した。；発行終了後の取り扱いなどの詳細は、項目があるものは該当項目を参照。；この時点では殆ど情報が集まっておらず、詳細な状況は不明であった。；通常この計画には生物種とその生息地の実際のデータが詳細に記載される。；営業路線の詳細は「路線」の節を、その他の詳細は以下の各記事を参照。；取材場所に変化があれば、いつ起きたのかを、取材元へ詳細に尋ねている。；伝説の中の伝説の存在と言われており、神龍のみがその詳細を知っていた。；各発明道具の詳細については、発明道具名からのリンク先を参照のこと。；これらのiアプリDX機能の詳細については一般には公開されていない。；以下に、ルールの詳細に立ち入らない範囲で各色の特徴の一部を述べる。；魚群探知機の周波数が高いと、より詳細な画面情報が取得しやすくなる。；この写真は詳細を分からなくするため、意図的に暗くしたものである。；独立記事がある作品の書誌情報の詳細はそれぞれの作品記事を参照。；その他にも仏教など様々な信仰があるが、詳細は琉球における信仰を参照。；石は詳細に調査・記録され、現在は、エディンバラ城に安置されている。；様々な理由から物語の詳細は小説と映画では異なっている。；過程の詳細は判明していないが、他にも元素合成を起こす宇宙の現象がある。；この図はあくまで概略であり、より詳細な分類方法と経緯があることに注意。；ザラスシュトラがいつどこで生まれたのか詳細は分かっていない。；各系列の詳細・使用線区・運用などについてはそれぞれの記事を参照のこと。；詳細はブルース・リーが主演・出演している映画・ドラマのそれぞれの項を参照。；断片では、プロクロスが書いた詳細なあらすじが最も貴重なものである。；王位に上がる予定ではなかったため、幼少期の詳細は知られていない。；フランスで1919年頃試験線が建設されたが、詳細な記録は残されていない。；詳細は大阪高等裁判所 平成21年第2082号の判決文を参照のこと。；このため、チューリング機械の定義の詳細は文献によって異なっている。；東シベリアの一部の地域でも繁殖しているといわれるが、詳細は不明。；アナグラムは詳細を明かさずに先に発見したことを示す手段だった。；それぞれの下位ジャンルについての詳細は、個別の記事を参照されたい。</t>
        </is>
      </c>
      <c r="J4029">
        <f>HYPERLINK("https://www.weblio.jp/content/詳細", "词义详情")</f>
        <v/>
      </c>
      <c r="K4029">
        <f>HYPERLINK("https://yourei.jp/詳細", "查看例句")</f>
        <v/>
      </c>
    </row>
    <row r="4030">
      <c r="A4030" t="inlineStr">
        <is>
          <t>勝算</t>
        </is>
      </c>
      <c r="B4030" t="inlineStr">
        <is>
          <t>成功</t>
        </is>
      </c>
      <c r="C4030" t="inlineStr">
        <is>
          <t>読み方：しょうさん
相手に勝てる見込み。勝ち目。「—のある試合」</t>
        </is>
      </c>
      <c r="D4030" t="inlineStr">
        <is>
          <t>勝算あり(2%)；勝算なき(2%)；勝算なし(2%)</t>
        </is>
      </c>
      <c r="E4030" t="inlineStr">
        <is>
          <t>光；希望；当て；望み；見込み</t>
        </is>
      </c>
      <c r="H4030" t="n">
        <v>29</v>
      </c>
      <c r="I4030" t="inlineStr">
        <is>
          <t>そうすれば充分な勝算を立てた上で攻撃することができるではないか。；充分に勝算があって言ったのだと、いやでも理解せざるを得なかった。；当然、自分の戦力は判っているから勝算がどちらにあるか計算出来るな。；勝算がないにもかかわらず、ドイツの水雷艇は降伏せずに最後まで戦った。；勝算がないことに手を出すような浅はかな商人とはとても思えない。；唯一の勝算は、耕太があかねを好きにはなっていないということだけだ。；数字の上の勝算よりも、もっと重視しなくてはならない事がある。；それが彼の策である以上、当然そこには確たる勝算があるのだろう。；これらの航空機をもってしても数値上勝算はほぼ不可能といえる。；ただ勝算がないから、そんな俺に付いていいのかって言いたいんだ。；勝算は人類に不利な一〇〇対一から、一挙に人類に有利な六〇対四〇に転じた。；それに打ち勝てる勝算など百のサイコロが全て1を示してもありえません。；それからなら、いくぶんでも勝算を持って進撃することができるでしょう。；度重なる敗戦にギリシア軍は勝算なしと見て撤退の準備を進めていた。；この絶望的な状況を理解できても、それを打破するための勝算が浮かばない。；この手の小心者が姿を現す時には、絶対に勝算があるに決まってる。；果して彼等の胸中には、勝算ある作戦計画が秘められているのであろうか。；ヤツが表舞台に出てきた以上、確かな勝算があっての事だろう。；その自信の裏には勝算があってのことに思われた。；今までの戦いは勝算があったからこそ通した事です。；どんなに不利な戦いでも勝算を作ってしまうこの男が、潔く死ぬわけがない。；この子がわずかでも勝算ありって言う以上、わたしはそれに賭けたいと思う。；万に一つほどの勝算がなくとも、ここで立ち止まる事はできない。；以上のような要素を戦前に比較し、十分な勝算が見込めるときに兵を起こすべきとする。；勝算は百万対一ではなく、実際には一対一かそれ以下なのだ。；半数は、もはや勝算がないから撤退して長安へ帰還しよう、と主張している。；いつ勝算が立つか、まだはっきりしないが、とにかく自分が失敗しようとは思っていない。；自分の持つ力ではどうにもならない、あやふやな勝算しか持てない。；勝算があるのなら、なにゆえDクラスとの勝負をしなかったのじゃ?</t>
        </is>
      </c>
      <c r="J4030">
        <f>HYPERLINK("https://www.weblio.jp/content/勝算", "词义详情")</f>
        <v/>
      </c>
      <c r="K4030">
        <f>HYPERLINK("https://yourei.jp/勝算", "查看例句")</f>
        <v/>
      </c>
    </row>
    <row r="4031">
      <c r="A4031" t="inlineStr">
        <is>
          <t>障子</t>
        </is>
      </c>
      <c r="B4031" t="inlineStr">
        <is>
          <t>成功</t>
        </is>
      </c>
      <c r="C4031" t="inlineStr">
        <is>
          <t>読み方：しょうじ
１室内の仕切りや外気を防ぐのに用いる建具の総称。明かり障子・ついたて・ふすまなど。近年は、格子に組んだ木の枠に白紙を張った明かり障子をいう。そうじ。《季冬》「あさがほの枯蔓うつる—かな／万太郎」
２鼻中隔(びちゅうかく)の俗称。鼻の二つの穴の間の仕切り。</t>
        </is>
      </c>
      <c r="D4031" t="inlineStr">
        <is>
          <t>障子戸；障子越し；障子窓；障子襖；障子帳</t>
        </is>
      </c>
      <c r="E4031" t="inlineStr">
        <is>
          <t>明障子；明り障子；明かり障子；紙障子</t>
        </is>
      </c>
      <c r="F4031" t="inlineStr">
        <is>
          <t>腰高障子；白い障子；破れ障子；紙障子；脇障子</t>
        </is>
      </c>
      <c r="G4031" t="inlineStr">
        <is>
          <t>障子堀；障子ヶ岳城；障子岳；障子ヶ岳；障子山</t>
        </is>
      </c>
      <c r="H4031" t="n">
        <v>29</v>
      </c>
      <c r="I4031" t="inlineStr">
        <is>
          <t>寝た位置がよかったので、ちょうど障子の間から出した顔と対していた。；足をとめてきいていると声は、どうやら右手の障子の中からするらしい。；その窓からでも、彼女等の顔は、向うの障子のガラス越しに見えるのだ。；窓の障子はだいぶ高くなった日の光で前よりもさらに黄色く輝いていた。；床の上で雑誌を読んでいると、障子の外からお母さんの声がしました。；南側の障子のガラスは手延べガラスという古いガラスが使用されている。；玄関の障子を少し開けて見て居たお梅はもう少し開けて顔だけを出す。；すると、障子のはまった茶の間の方を向いて何か分らないことを云った。；幕太郎 障子を開けても、自由な空気ははいつて来さうにありません。；どこからとも知れず、怪しい低い声が座敷の障子にむかって呼びかけた。；ガラス戸や雨戸がないころ、障子だけしかなかったころの産物であろう。；平鉋もない時代なので障子は今と同じ大きさで比べても非常に重い。；一度聞耳を立てるために天井に向けた顔をまた障子の方に向けなおした。；庵室の障子には熟しきった梅の実のように、真黄色な灯がうつっていた。；底冷たい秋の日影がぱっと障子に染めたかと思うとじきとまた暗くなる。；女が出る時も居たのだが、その人は今、障子をたてきった四畳半の中に居た。；たとえば家の外で物音がしたので、家人が障子を開けてみると突然現れる。；側面窓は横に拡大するとともに、横桟に変化を持たせた障子を設けた。；窓には障子がはめてあり、その下に家の端から端に一本の細引が渡してある。；そして、障子一重の家の中には、一人の女が惨殺されて横わっている。；通りに面する窓は、外側のガラス障子との内側に障子を設けた二重の作り。；壁には、大きさや位置が異なる、明かり取りの障子が設けられている。；一同が障子を開けると、清兵衛の姿はなく、そばが羽織を着て座っていた。；「お助けでございます」が始まると、お鳥はきツと障子のそばへ行つた。；障子の発達はそのまま寝殿造の発達でもあり、また書院造への道でもある。；卜伝は入口の障子戸の上に木を置き、戸を触ると落ちてくる仕掛けを作った。；そこへ、草履の音がぴたぴたと近づいて来て、表障子がしずかに開いた。；由良助は障子を開け、奥庭に置いた雪で作ったふたつの五輪塔を見せる。；あの晩、君は障子のすき間から電燈のついているのを見たと云いましたね。</t>
        </is>
      </c>
      <c r="J4031">
        <f>HYPERLINK("https://www.weblio.jp/content/障子", "词义详情")</f>
        <v/>
      </c>
      <c r="K4031">
        <f>HYPERLINK("https://yourei.jp/障子", "查看例句")</f>
        <v/>
      </c>
    </row>
    <row r="4032">
      <c r="A4032" t="inlineStr">
        <is>
          <t>上司</t>
        </is>
      </c>
      <c r="B4032" t="inlineStr">
        <is>
          <t>成功</t>
        </is>
      </c>
      <c r="C4032" t="inlineStr">
        <is>
          <t>読み方：じょうし
１その人より役職が上位の人。上役。「—の許可を得る」
２その官庁の上級の官庁。
３荘園制で、現地で実務にあたる下司(げし)に対し、在京の荘官。預かり所(どころ)。
[補説]2016年に実施した「あなたの言葉を辞書に載せよう。2016」キャンペーンでの「上司」への投稿から選ばれた優秀作品。◆コマの芯棒。歪んでいると全てが万事、円滑に回らない。燻製カレーさん◆いるとうざいがいなくても困るもの。ナイジェルさん◆仕事上のアドバイザーに徹してほしいが、人生のアドバイザーになりたがる存在。大きなお世話。まちまるさん◆良いことも悪いことも教えてくれる、学ばせてくれる存在。仲良くなれば色々得することもある。chinaさん◆仏にも鬼にもなりうる存在。快速準急さん◆選ぶことはできないが、尻拭いをしてくれたりさせられたりする存在。当たれば天国、はずれれば転職。梅子さん◆部下を選ぶことができず、部下もまたその逆の立場である者のこと。一二三茶さん</t>
        </is>
      </c>
      <c r="D4032" t="inlineStr">
        <is>
          <t>上司や同僚；上司たち；上司役；上司氏；上司m</t>
        </is>
      </c>
      <c r="E4032" t="inlineStr">
        <is>
          <t>部長；リーダー；大将；主任；所長</t>
        </is>
      </c>
      <c r="F4032" t="inlineStr">
        <is>
          <t>直属上司；わが上司；男性上司；セクハラ上司；直近上司</t>
        </is>
      </c>
      <c r="G4032" t="inlineStr">
        <is>
          <t>上司海雲；上司小劍</t>
        </is>
      </c>
      <c r="H4032" t="n">
        <v>29</v>
      </c>
      <c r="I4032" t="inlineStr">
        <is>
          <t>怒ってばかりいては、部下が上司の気を使うだけの人間になってしまうと。；原首相に反感を抱く人物が上司におり、それに影響されたとされている。；彼女が拒否するとブレイクは最初バス会社に連絡し上司に電話をかけた。；自分の意見は、たとえそれが上司であっても大声で直言したと伝えられる。；会社でも同僚たちは祝福してくれたが、上司は軽くあしらうだけである。；このとき上司の妻と恋仲になり、そのことが原因で退職したと伝えられる。；彼はいまや上司のことを、無能よばわりできるほどの知識を持っていた。；ダーティペアを部下に持った上司全員が胃を壊していたことが発覚する。；上司にそのことが知れてしまったために、二人はコンビを解消される。；生命の危険を感じるテリーだが、警察側の上司は妻役の交代を認めてくれない。；ミランダは新しい上司とうまくいかず、キャリアの危機に陥っている。；自殺した職員の上司である46歳の女性係長によるパワハラを認定した。；これについては、上司を批判したために翻訳局に移されたともいわれている。；故吏とはかつて辟召を受けて上司と部下の関係になったことである。；例えば上司に頼まれてまとめた会議用資料はインテリジェンスである。；この時に上司に反抗的な態度を取ったため、帰国後に謹慎を言い渡された。；以下の人物は、毎日放送アナウンサー時代に関係の深かった同僚・上司。；そこの上司と恋仲であり、さまざまな寝物語を聞かせてもらっている。；夫は職場の上司と対立しており、妻は母を亡くし心を病んだ弟を抱えている。；上司と問題を起こして連邦軍を辞めた後、マドラスがスカウトしてきた。；チャーリーを逮捕するため上司の命令を無視してまで職務に遂行する。；ある日、氷見子の昔の恋人・光介がフランスから帰国し、上司に就任する。；また、米国での上司との折合いの悪さがあるとも言われている。；彼女は急いで上司に報告するも、上司は問題の隠蔽を命じるのだった。；しかしその後は上司の理解もあり、上達した腕前で大会での入賞も果たす。；常に指揮官先頭を実践し、部下からも上司からも絶大な信頼を寄せられた。；コンビのようであるが、実際には9歳年齢差がある上司と部下の師弟関係。；ダミアンは上司に特別な許可を願って、ハワイへ派遣されることになった。；かつての自分の上司を退職に追い込んだ旬太郎は、自分も会社を辞めた。</t>
        </is>
      </c>
      <c r="J4032">
        <f>HYPERLINK("https://www.weblio.jp/content/上司", "词义详情")</f>
        <v/>
      </c>
      <c r="K4032">
        <f>HYPERLINK("https://yourei.jp/上司", "查看例句")</f>
        <v/>
      </c>
    </row>
    <row r="4033">
      <c r="A4033" t="inlineStr">
        <is>
          <t>少子化</t>
        </is>
      </c>
      <c r="B4033" t="inlineStr">
        <is>
          <t>成功</t>
        </is>
      </c>
      <c r="C4033" t="inlineStr">
        <is>
          <t>読み方：しょうしか
出生率の低下に伴い、総人口に占める子供の数が少なくなること。統計的には、合計特殊出生率（女性が一生の間に産む子供の数）が人口置換水準（長期的に人口が増減しない水準）に達しない状態が続くこと。
[補説]日本では昭和48年（1973）の第2次ベビーブームを最後のピークとして出生率が低下しはじめ、昭和50年（1975）以降、人口の安定に必要な水準を下回った状態にある。これを受け、平成15年（2003）に少子化社会対策基本法が成立・施行された。</t>
        </is>
      </c>
      <c r="D4033" t="inlineStr">
        <is>
          <t>少子化傾向(2%)；少子化社会；少子化等；少子化時代；少子化担当大臣</t>
        </is>
      </c>
      <c r="G4033" t="inlineStr">
        <is>
          <t>少子化問題；少子化社会対策基本法；少子化対策担当大臣；少子化社会対策会議</t>
        </is>
      </c>
      <c r="H4033" t="n">
        <v>29</v>
      </c>
      <c r="I4033" t="inlineStr">
        <is>
          <t>産業の対象が低年齢層であることから、少子化の影響が懸念されている。；これらの設定は少子化や教育の崩壊などの社会問題を反映したものとされる。；家族に過度な負担をかけるため少子化の弊害が深刻化するとの意見がある。；江戸時代後期に「少子化」が起きていたことは明らかにされている。；元々は5クラス編成だったが、少子化の影響で近年4クラスに削減された。；同年12月5日には基金を作って少子化現象の対策にあたる考えを示した。；少子化の影響で近年は生徒数があまり増えていない。；近年では少子化の影響で上級学校の難易度が緩和される傾向にある。；未婚化・晩婚化の進展がより強く少子化に影響しているという側面もある。；その後少子化のため児童数が開校時793名から409名に減少した。；区内の少子化のため、区立小学校を統合して新校を作る計画により作られた。；少子高齢化が叫ばれており、日本、ドイツに次いで少子化が進行している。；加えて第2次ベビーブーム世代の進学が一巡した後の本格的な少子化に向けた対応が遅れていた。；宿とは最後の家のことで、最近子供が生まれた家が宿になることが多いが少子化で最近子供が生まれていない地区は集会所を使うことがある。；しかし、少子化を迎えた今それらの役割は達成された。；少子化の影響で陸上部のない中学校も増えてきている。；しかし、近年は少子化の影響もあって、女子中学生が叩くこともある。；少子化の影響などで生徒数が減少している。；俺は少子化をこれほどありがたいと思ったことはなかった。；乳幼児用は少子化で国内の需要が減退している中、海外輸出が旺盛である。；これが、豊かな少子化時代に適応した養育体制のあり方であると私は信じている。；高校卒業後に若者が流出し、少子化の影響もあり、若年層の人口が減少している。；それがドイツにおける少子化を改善する兆しになると見ている。；減少の背景に結婚適齢期世代の少子化があると考えられる。；日本の人口は既に減少しつつあり、それは少子化傾向が進んでいるということだ。；恋愛では少子化の進行により架空の強制結婚制度をテーマとしたものが多数登場した。；少子化が進んだ21世紀初頭、全国の学校は経営難に陥っていた。；少子化や車両交通の増加により、かつてはこの行事が行われていたが今では消えつつある地域もある。；その後近隣の新設校への生徒の移動と少子化の影響により児童数は750名程度となっている。</t>
        </is>
      </c>
      <c r="J4033">
        <f>HYPERLINK("https://www.weblio.jp/content/少子化", "词义详情")</f>
        <v/>
      </c>
      <c r="K4033">
        <f>HYPERLINK("https://yourei.jp/少子化", "查看例句")</f>
        <v/>
      </c>
    </row>
    <row r="4034">
      <c r="A4034" t="inlineStr">
        <is>
          <t>正直</t>
        </is>
      </c>
      <c r="B4034" t="inlineStr">
        <is>
          <t>成功</t>
        </is>
      </c>
      <c r="C4034" t="inlineStr">
        <is>
          <t>読み方：しょうじき
［名・形動］正しくて、うそや偽りのないこと。また、そのさま。「—なところ自信がない」「—に非を認める」「—者」
［名］
１おもりを糸で垂らして柱などの傾きを調べる道具。
２桶屋(おけや)の職人などが用いる1メートルくらいの大きな鉋(かんな)。木のほうをのせて削る。
［副］見せかけやごまかしではないさま。率直なさま。本当のところ。「その計画は—不可能だ」
[派生]しょうじきさ［名］</t>
        </is>
      </c>
      <c r="D4034" t="inlineStr">
        <is>
          <t>正直なところ(9%)；正直者(4%)；正直な話；正直な気持ち；正直な人間</t>
        </is>
      </c>
      <c r="E4034" t="inlineStr">
        <is>
          <t>真；正面；実；明るい；正しい</t>
        </is>
      </c>
      <c r="F4034" t="inlineStr">
        <is>
          <t>真正直；正直すぎる；正直一途；一番正直；正直ほっと</t>
        </is>
      </c>
      <c r="G4034" t="inlineStr">
        <is>
          <t>正直者が馬鹿を見る；正直の頭に神宿る；正直女子さんぽ；正直不動産；正直一徹</t>
        </is>
      </c>
      <c r="H4034" t="n">
        <v>29</v>
      </c>
      <c r="I4034" t="inlineStr">
        <is>
          <t>しかし正直な妹の話もほとんど第一の問題には何の解決も与えなかった。；いずれにしても、僕は子どもの時から市野を知っていると正直に答えた。；ルワンダの問題を解決するために、正直なところ何が行われただろうか?；人間の感情生活の変化の厳密なる報告、正直なる日記でなければならぬ。；良くも悪くも自分に正直な性格をしており、敵を作ることが多かった。；また、個人の正直さや誠実さが今日の名誉の主要な意味に含まれている。；稀に嘘を云うともその為反って正直な所がわかるような嘘を云う意味。；彼女の両親は彼女に自分らしく、いつも正直であるように育てられた。；わしも、正直に言えば、その友人が、変になっていたのだと思っていた。；せっかくですが、自分に正直であれば、いまはとにかく何も言えません。；が、その喧嘩のもとは、他の正直な人々の間のようには、欲得ではない。；この故に我我は正直になることに不安を感ぜずにはいられぬのである。；この故に我我は正直になることに不安を感ぜずにはゐられぬのである。；すなわち、正直に投票することが各投票者とって常に最善の戦略となる。；口では否定しても全然反抗ができていないなど体は正直というタイプ。；彼は己を欺いて、この事実を否定するには、余りに正直な人間であった。；また脳震盪を起こしたとしても正直には告げずにプレーを続けると語った。；この証言は非会徒との関係で正直で公平であることを友会徒に求めてきた。；正直に言ってそれは社会的な正義感というものではなかったようです。；彼は正直で空気に乗りやすく、それにいいリアクションをしてくれた。；それでも彼女は少なくとも正直な生活を送ることはできようと思っていたのだ。；なんだか嘘らしいような話でもあったが、正直な六三郎は父を疑わなかった。；けれども、正直過ぎた自白の間には、多少の諷刺も籠つて居るつもりだ。；正直言って、これまでこんな歴史のあるチームでプレーしたことなんてないよ。；正直に述べるが、我々は、彼は将来的に適切な監督ではないと考えている。；しかし私は又此の友達が絶対に信頼していゝ正直な人だと云ふ事を知つてゐた。；そう云ふ人達よりはまだ正直な人々の方がどの位尊敬する価値があるかしれない。；一番正直な人が一番最後まで苦しむことになっているのでしょう?；正直なところ、スタジオが次に何をしたいのかさえわかりません。</t>
        </is>
      </c>
      <c r="J4034">
        <f>HYPERLINK("https://www.weblio.jp/content/正直", "词义详情")</f>
        <v/>
      </c>
      <c r="K4034">
        <f>HYPERLINK("https://yourei.jp/正直", "查看例句")</f>
        <v/>
      </c>
    </row>
    <row r="4035">
      <c r="A4035" t="inlineStr">
        <is>
          <t>常識</t>
        </is>
      </c>
      <c r="B4035" t="inlineStr">
        <is>
          <t>成功</t>
        </is>
      </c>
      <c r="C4035" t="inlineStr">
        <is>
          <t>読み方：じょうしき
一般の社会人が共通にもつ、またもつべき普通の知識・意見や判断力。「—がない人」「—で考えればわかる」「—に欠けた振る舞い」「—外れ」
[補説]common senseの訳語として明治時代から普及。</t>
        </is>
      </c>
      <c r="D4035" t="inlineStr">
        <is>
          <t>常識的(35%)；常識はずれ(6%)；常識外れ(5%)；常識化；常識水準</t>
        </is>
      </c>
      <c r="E4035" t="inlineStr">
        <is>
          <t>前提；センス；良識；コモンセンス</t>
        </is>
      </c>
      <c r="F4035" t="inlineStr">
        <is>
          <t>あまりに常識；もはや常識；常識乃至</t>
        </is>
      </c>
      <c r="H4035" t="n">
        <v>29</v>
      </c>
      <c r="I4035" t="inlineStr">
        <is>
          <t>日本とは常識感の違った環境が多い中でも順応している様を見せている。；常識的なことも知らないような大学出がごろごろしてるじゃないですか。；公使交換が西欧の条約体制下では常識であることを説明するためである。；訪問したこともされたこともなくてもと言うのは常識的な言葉である。；むしろ世間一般のことについては常識的な人間でありたいと思ってます。；当時の森監督は野球は教えたけど、社会人としての常識を教えなかった。；テレビの前で様々なジャンルの常識力をクイズ形式で鍛えられるソフト。；それは常識で考えても、又気象報告を調べても有り得べきことではない。；この時代、城攻めの法に常識的なものとして十二の法が考案されている。；これからの試験にこういう常識上知っておかなければならぬ問題が出るんだぞ。；初めにやったことは、それまでの戦闘の常識から外れた部隊の配置であった。；夏の暑い日などには下着のみで生活するのが常識である地域や民族もある。；漫画家が絵だけの権利を主張しても通らないのが業界の常識になっている。；やっぱり、そこまで常識はずれの事態が現実には起こるはずがないのだ。；私の方が普通で、日本の他の文士の方が常識的でないように思うのである。；愛といえば人は常識的にそれが何を現わすかを朧ろげながらに知っている。；従って他のマーラーの歌曲と違って順序どおり演奏するのが常識である。；これは現代では素粒子物理学などの物理学の諸分野でも常識となっている。；環境に中立が含まれないとき、その空間は常識的なルールの束縛がない。；学校で教えていること、一般の人が常識としていることとはまるで違うのだ。；本の中には、俺の周りに広がっているものよりよほど常識的な現実があった。；けれども政孝は一度だって常識的な普通の男であったことはなかった。；堅実が一番を、業界の常識としたプラットフォーム企業を目指している。；そのために、今では常識となっている音響工学を設計に初めて取り入れた。；他人につき、他人に見せる自分につき、僕はいつも常識的であろうとした。；職務著作契約が常識であるコミック界ではあまり見られない措置だった。；今日、少し常識あるものは不姙が女だけの責任でないことを理解している。；全く常識では想像もおよばないような奇蹟的着想を掴むことがあるのだ。；そのためモルトケはこれまでの軍事の常識を簡単に捨て去ることができた。</t>
        </is>
      </c>
      <c r="J4035">
        <f>HYPERLINK("https://www.weblio.jp/content/常識", "词义详情")</f>
        <v/>
      </c>
      <c r="K4035">
        <f>HYPERLINK("https://yourei.jp/常識", "查看例句")</f>
        <v/>
      </c>
    </row>
    <row r="4036">
      <c r="A4036" t="inlineStr">
        <is>
          <t>商社</t>
        </is>
      </c>
      <c r="B4036" t="inlineStr">
        <is>
          <t>成功</t>
        </is>
      </c>
      <c r="C4036" t="inlineStr">
        <is>
          <t>読み方：しょうしゃ
輸出入貿易を業務の中心にした商業を営む会社。</t>
        </is>
      </c>
      <c r="D4036" t="inlineStr">
        <is>
          <t>商社員(5%)；商社勤務；商社設立；商社機能；商社系</t>
        </is>
      </c>
      <c r="E4036" t="inlineStr">
        <is>
          <t>会社；公司</t>
        </is>
      </c>
      <c r="F4036" t="inlineStr">
        <is>
          <t>大手商社；一流商社；輸入商社；繊維商社；大商社</t>
        </is>
      </c>
      <c r="G4036" t="inlineStr">
        <is>
          <t>商社金融</t>
        </is>
      </c>
      <c r="H4036" t="n">
        <v>29</v>
      </c>
      <c r="I4036" t="inlineStr">
        <is>
          <t>それだけにここでは外国の高級軍人や外国商社員らが足繁く出入りした。；加藤は地元の建設資材商社である土佐屋の社長を務めていた人物である。；複数の商社の監査役会に所属し、また複数の都市の名誉市民にもなった。；五十半ばの主人は市内の大きな商社に勤め、二人の娘はそれぞれ結婚していた。；これら商社の関与は、海外での権利ビジネスを目的としたものである。；前身は日商岩井とニチメンであり、両者はともに十大商社に数えられた。；商社等を介さない直接貿易が中心で、一国一代理店を原則としている。；アメリカでも統一教会との結びつきが非常に強い貿易商社が輸入元となっている。；エンビバはすでに15年に渡る長期契約を日本の大手商社と結んでいる。；この中には、商社などに勤務していた者もいたが、キリスト教関係者も多かった。；出せば、回り回って、日本の商社に横流しにされる可能性があるからね。；と、不思議に思うかも知れんが、女房は昔、外資系の商社に勤めていてね。；インド人たちは商社を閉鎖し、その多くが国外に拠点を移して去った。；よく大商社などが豪華ホテルに展示するガラスの飾り棚の前で足をとめる。；父は商社勤めを経て30代半ばでアパレル関係の事業を立ち上げた起業家。；一時期、農業はもうかるというので大商社が企業的農業に手をつけた。；宇宙交路とウラニウム社の広告も多く、その他の商社の広告もあった。；この辺りは古くから薬品関係のメーカーや商社などが犇めいているところだ。；それまで茶の輸出は横浜の問屋業者がアメリカ合衆国の貿易商社へ卸していた。；江南は文学青年で、商社に勤めだしても就業中に詩を書くような男だった。；ニューヨークで日本人の若い商社員一家が事件を起こした。；これら企業の中にはファブレスメーカーやOEM専門の商社も存在している。；ある商社と関係があって非常に情報に通じている司祭長がふと思いついて言った。；父が商社で働いていた関係でオーストラリアで育った。；北商コーポレーションは、燃料及び副産品の販売を中心とした商社である。；政府は地域商社100社以上の設立支援を目標に掲げている。；しかし、だしぬけに、この男がいかにも商社の管理職風に見えてきたのだ。；しかし、それは大商社の手口のほんのちょっとした部分にすぎません。；戦前から各種のカメラ、写真用品を輸入する有力な商社であった。</t>
        </is>
      </c>
      <c r="J4036">
        <f>HYPERLINK("https://www.weblio.jp/content/商社", "词义详情")</f>
        <v/>
      </c>
      <c r="K4036">
        <f>HYPERLINK("https://yourei.jp/商社", "查看例句")</f>
        <v/>
      </c>
    </row>
    <row r="4037">
      <c r="A4037" t="inlineStr">
        <is>
          <t>乗車</t>
        </is>
      </c>
      <c r="B4037" t="inlineStr">
        <is>
          <t>成功</t>
        </is>
      </c>
      <c r="C4037" t="inlineStr">
        <is>
          <t>読み方：じょうしゃ
［名］(スル)
１鉄道・バスなどに乗ること。「始発駅から—する」「整列—」⇔下車／降車。
２ある人が乗る車。「—の手配をする」</t>
        </is>
      </c>
      <c r="D4037" t="inlineStr">
        <is>
          <t>乗車する(15%)；乗車券(10%)；乗車できる(5%)；乗車時(4%)；乗車可能(3%)</t>
        </is>
      </c>
      <c r="E4037" t="inlineStr">
        <is>
          <t>乗る；搭乗；乗船；乗り込む；乗りこむ</t>
        </is>
      </c>
      <c r="F4037" t="inlineStr">
        <is>
          <t>乗車証；乗車用；乗車ホーム；乗車専用；乗車人数</t>
        </is>
      </c>
      <c r="G4037" t="inlineStr">
        <is>
          <t>乗車人員；乗車カード；乗車駅証明書発行機；乗車券類；乗車定員</t>
        </is>
      </c>
      <c r="H4037" t="n">
        <v>29</v>
      </c>
      <c r="I4037" t="inlineStr">
        <is>
          <t>また、乗車の場合は両駅のホームに設置されている連絡電話を使用する。；一般旅客でも地上の川越線を走行する列車に乗車することが可能である。；乗車時に発券機に表示されている番号を覚えておかなくてはならない。；そのため、乗車当日になると目的の列車の座席が無い場合もあり得る。；他の区間と跨いで乗車する際は特急料金は特例区間外のみで計算される。；開業当時は相対式のホームを乗車用と降車用とに分けて使用していた。；乗車時に運転手に依頼すれば、特定の目的地に到着した際に教えてはくれる。；或るいは団体客が乗車する場合も同様で、時刻表に載らない場合が多い。；したがって特急ふじさん号の場合は当駅を越えた乗車が認められていない。；今までのようにホーム中央に停車しなくなったので、乗車の際は注意が必要である。；乗車時には、バスに向かって手を挙げるなどして運転手に合図する。；JR東日本ではICカードを利用して乗車した際は別の運賃が適用される。；県はIC乗車券の記録情報を分析し、データを活用する考えを示した。；新幹線・在来線の特に限定された列車や乗車区間において、発売される。；定期券では乗車できないため、通勤・通学利用向きの列車ではなかった。；乗車人数が少ないので、同じ人数を運ぶためにはより多くの車両が必要となる。；定期に使うことを前提にしているため、誤っての乗車は限られるからである。；観光路線などでは「乗車の記念」「観光の記念」で発行されるものもある。；このバスは特定輸送のため生徒・職員しか乗車できない。；この頃、当鉄道では70歳以上の流山市民の乗車賃を無料にしていた。；SRの場合、購入時にあらかじめ乗車する列車を指定する必要がある。；当列車への乗車用の乗車券・特急券部分の有効期間は発行日当日のみとなっている。；連続しての乗車も可能であるが、時刻表上は霞ヶ丘始発とされている。；唯一の社員配置駅で、窓口で乗車券やグッズなどを発行・販売している。；その体重ゆえに衝突衝撃で車両に乗車している人間及び車両に多大な影響を与える。；必ず次の便に乗車する時などは下車時に乗務員にその旨を伝えておくことも可能である。；都区内地域外へ乗り入れる路線は乗車区間に応じた運賃が適用される。；次の場合には特例が適用されず、実際に乗車した全区間の特急料金が必要となる。；また、別途乗車の場合などには当分岐点を発着する乗車券類も発売される。</t>
        </is>
      </c>
      <c r="J4037">
        <f>HYPERLINK("https://www.weblio.jp/content/乗車", "词义详情")</f>
        <v/>
      </c>
      <c r="K4037">
        <f>HYPERLINK("https://yourei.jp/乗車", "查看例句")</f>
        <v/>
      </c>
    </row>
    <row r="4038">
      <c r="A4038" t="inlineStr">
        <is>
          <t>成就</t>
        </is>
      </c>
      <c r="B4038" t="inlineStr">
        <is>
          <t>成功</t>
        </is>
      </c>
      <c r="C4038" t="inlineStr">
        <is>
          <t>読み方：じょうじゅ
［名］(スル)物事を成し遂げること。また、願いなどがかなうこと。「悲願を—する」「大願—」</t>
        </is>
      </c>
      <c r="D4038" t="inlineStr">
        <is>
          <t>成就する(15%)；成就させる(4%)；成就される(2%)；成就者；成就しよ</t>
        </is>
      </c>
      <c r="E4038" t="inlineStr">
        <is>
          <t>成功；完成；達成；遂行；大成</t>
        </is>
      </c>
      <c r="F4038" t="inlineStr">
        <is>
          <t>学業成就；願成就；願望成就；神政成就；成就法</t>
        </is>
      </c>
      <c r="G4038" t="inlineStr">
        <is>
          <t>成就寺；成就値；成就岳</t>
        </is>
      </c>
      <c r="H4038" t="n">
        <v>29</v>
      </c>
      <c r="I4038" t="inlineStr">
        <is>
          <t>俺たちの主張を成就するためには手段を選んではいられなくなったんだ。；この約束は、エジプトからの脱出が終わった後に成就するとされている。；しかしその困難を犯しても成就すればよいけれどもまず絶望の姿である。；で彼は望みの半分だけが成就したことで満足しなければならなかった。；それは彼の力の及ぶかぎり、愛の純粋な表現を成就しようということだ。；日本には、これにちなんだ恋愛成就イベントを開催する企業も存在する。；この目的を成就するため、プロパガンダ技術を第一に用いることとなる。；そしてそこには幸福と成就とが待っているように思われるのです。；この建立計画を成就するためにはさらにおびただしい鏡が必要となる。；現代が過ぎ逝いてしまわないうちに、これらのことは成就するであろう。；けれども、彼女の後の要求を成就させるために十三日間そこに逗留した。；私たちの恋が成就するためには、山のような困難が横たわっています。；この特権を排除せずに改革を成就できないことはすぐに明白になった。；しかしながらこの迷信からの解放は今成就されんとしつつあるように見える。；それを外にしては、彼は永遠に、彼の恋を成就する術はなかったのである。；日本にやってきた時から思い続けており、実に12年かけての成就である。；こういう交互の作用がいつか自然主義の機関を成就させたのであった。；従って学問上にいろいろの仕事が成就し、それだけ学界へ貢献するわけだ。；一つの優れたる芸術、哲学を創造して寄与するのも愛の一つの成就である。；日露の講和が成就して乃木将軍がめでたく凱旋しても上がる事は出来ん。；天の澄めると地の濁れると相觸れてこそ、大事業大制作は成就すべけれ。；カードによっては進化を進めることで恋の成就シーンを見ることができる。；これはその子供が必ず学業を成就するようにと祝願するの意味だそうです。；あるいはよきものにはならなかったかも知れぬが、しかし成就したのである。；多くの男女の恋のうちで、ただゆるされた恋のみが成就するのじゃ。；恐ろしいことだ、飯綱成就の人の言葉には目に見えぬ権威があった。；後に改めてその決意が成就したならば、歌詞を編んで別に添えようと思う。；それが成就しようとしまいと私達の関したことではない。；そして例の為事を、こっそりと 我手で成就すると云うことになるのです。</t>
        </is>
      </c>
      <c r="J4038">
        <f>HYPERLINK("https://www.weblio.jp/content/成就", "词义详情")</f>
        <v/>
      </c>
      <c r="K4038">
        <f>HYPERLINK("https://yourei.jp/成就", "查看例句")</f>
        <v/>
      </c>
    </row>
    <row r="4039">
      <c r="A4039" t="inlineStr">
        <is>
          <t>少女</t>
        </is>
      </c>
      <c r="B4039" t="inlineStr">
        <is>
          <t>成功</t>
        </is>
      </c>
      <c r="C4039" t="inlineStr">
        <is>
          <t>読み方：おとめ
《「おと」は、動詞「お（復）つ」と同語源で、若々しいの意。本来は「おとこ」に対する語。「乙」は後世の当て字》
１年の若い女。また、未婚の女性。むすめ。しょうじょ。処女。「—の悩み」
「—壮士(をとこ)の行き集ひかがふ嬥歌(かがひ)に」〈万・一七五九〉
２五節の舞姫のこと。
「あまつ風雲の通ひ路吹きとぢよ—の姿しばしとどめむ」〈古今・雑上〉
（少女）源氏物語第21巻の巻名。夕霧の元服、大学教育、雲井(くもい)の雁(かり)との恋、六条院の新築などを描く。</t>
        </is>
      </c>
      <c r="D4039" t="inlineStr">
        <is>
          <t>少女たち(5%)；少女向け；少女期；少女雑誌；少女誌</t>
        </is>
      </c>
      <c r="E4039" t="inlineStr">
        <is>
          <t>娘；姉；女子；女の子；嬢</t>
        </is>
      </c>
      <c r="F4039" t="inlineStr">
        <is>
          <t>幼い少女；天才少女；小さな少女；不思議な少女；小柄な少女</t>
        </is>
      </c>
      <c r="G4039" t="inlineStr">
        <is>
          <t>少女時代；少女だった；少女小説；少女漫画雑誌；少女歌劇</t>
        </is>
      </c>
      <c r="H4039" t="n">
        <v>29</v>
      </c>
      <c r="I4039" t="inlineStr">
        <is>
          <t>ここに描かれている少女が誰かは興味深い問題で、さまざまな説がある。；姫を図案化した少女のイラストに背表紙に赤文字でタイトルが書かれた。；少女向けアニメは、少女が見ることを想定して製作されたアニメの総称。；そこで声の方を尋ねると、老夫婦がきれいな少女を間にして泣いていた。；そうして少女は竜を退治したと勘違いした人々から推戴され女王となる。；ゲームオリジナルキャラクターである転校生の少女を主人公とした物語。；現実の女学校でもエスに良く似た少女同士の強い関係が生まれていた。；東ヒカルの名はそのままに主人公が少年から少女に変更されている。；子供の頃はおきゃんな少女で、現在と変わらず見栄っ張りの様子である。；そこには、将来少女たちに起こるであろう不幸が記載されていた。；そしてその哲朗をそれぞれ遠くから見つめる二人の少女の姿があった。；主人公の少女は友人の少女に恋人を紹介されるが、それは主人公の恋人であった。；山村付近に住んでおり、近くに引っ越してきた少女サクラと友達になる。；ヒマラヤの山麓の村に地元の少女と暮らしている日本人と思われる男がいた。；青年向け・少年向け・少女向けと幅広いジャンルで活躍している。；ある日、神子が目が覚ますと自分と同じ姿をしている少女が他に3人いた。；幼少の頃は比較的大人しかったが徐々に元気で活発な少女に育っていった。；その少女の持つ神秘性を、とくに顕著に表すようなスタイルでもある。；それから数年後、とある海岸で2人の少女が太鼓のような音を耳にする。；したがって少女が頭に巻いているターバンの鮮やかな青が強く印象に残る。；しかし実際には少女読者の人気を獲得していくこととなった。；幼い頃から少女歌手として、両親に連れられて慰問先でよく歌を歌っていた。；韓国人たちはキリバスの特に幼い少女を買春することが問題となっている。；他の多くの少女たちにも影響を与えたのは確かだ。；このバーに、近所に住む少女が、母親のタバコを買いにしばしば訪れていた。；最初期を除き現在に至るまで、少女向け小説を中心に扱っている。；成長したルーシーは、並ぶ者の無い美しい少女となったのである。；当時は少女の間で水森亜土のイラスト、文字および言葉が人気となっていた。；繭の中で見ていた空を落ちる夢から、少女は「ラッカ」と名づけられる。</t>
        </is>
      </c>
      <c r="J4039">
        <f>HYPERLINK("https://www.weblio.jp/content/少女", "词义详情")</f>
        <v/>
      </c>
      <c r="K4039">
        <f>HYPERLINK("https://yourei.jp/少女", "查看例句")</f>
        <v/>
      </c>
    </row>
    <row r="4040">
      <c r="A4040" t="inlineStr">
        <is>
          <t>少々</t>
        </is>
      </c>
      <c r="B4040" t="inlineStr">
        <is>
          <t>成功</t>
        </is>
      </c>
      <c r="C4040" t="inlineStr">
        <is>
          <t>読み方：しょうしょう
［名］
１わずかの分量・数量。「—の塩を入れる」
２特に取り立てるほどでもない程度。「—のことは大目に見る」
［副］
１分量・程度が少しであるさま。少しばかり。いくらか。ちょっと。「お金が—足りない」「もう—お詰めください」
２ほんのしばらく。ちょっとの間。「—お待ちください」</t>
        </is>
      </c>
      <c r="D4040" t="inlineStr">
        <is>
          <t>少々お待ちください；少々驚い；少々異なる；少々離れ；少々うんざり</t>
        </is>
      </c>
      <c r="E4040" t="inlineStr">
        <is>
          <t>少し；かなり；ちょっと；わずか；相当</t>
        </is>
      </c>
      <c r="F4040" t="inlineStr">
        <is>
          <t>もう少々；塩少々；少々風邪気味；少々お伺い；少々早すぎる</t>
        </is>
      </c>
      <c r="H4040" t="n">
        <v>29</v>
      </c>
      <c r="I4040" t="inlineStr">
        <is>
          <t>感覚のホムンクルスの少々想像的で非常に模式的な図は右に示してある。；もっとも、実際にはこれらの機体であっても比べるのは少々問題がある。；水の足りない時に使うだけであるから、少々惡くても大したことはない。；少々匂が残っていても、朝までには強い風に吹き飛ばされてしまいます。；雌雄ともに腹面は白いが、オスでは喉の部分が少々黄色みがかっている。；しかしその網は少々特殊なもので、ナゲナワグモとの関連が論じられた。；これが偶然、誂へ向きの男ばかりとは、少々くすぐつたい次第であつた。；ことにリスリンを少々加えた水につけておきますと、一冬は十分もちます。；少々、角顋の頭が、没論理に出来上っているような気がしたからである。；手配レベル6では前作の軍隊が強すぎたのか少々軍人が弱体化されている。；しかしながら、その考えは定期的に行うには少々危険すぎると考えられた。；勿論、著名の物を少々ばかり紹介いたすに過ぎないと御承知ください。；糖衣構文あるいは構文糖衣とするのは少々意訳的だがよく使われている。；池の東・南・西側には水路が所在しているため、近づくことは少々困難である。；お風呂に入れない日などもあり少々大変であるが、たいへん良い経験になる。；「整理」の範囲を少々はみ出す程度の場合に「整理等」とした例もある。；僕は少々きまりが悪くなって、急いでキャフェを飲みこんでそこを出た。；設定がテレビシリーズとは異なっており、少々グロテスクな内容もある。；そして前には少々さし控えられた手を餅菓子へ三度も続けてだした。；少々いい加減な性格で忘れっぽく、仲間の名前もなかなか覚えられない。；その環境の影響で改革派に少々かぶれたが、深く傾倒することはなかった。；古藤田君のお宅は仕合せにも壁が少々落ちたくらいの程度で、被害が少い。；この一応の事実がよつてくるところを少々考えてみよう。；またこれらの通称とは少々異なるが、役職名が固有名詞化したものもある。；このお託宣のような文句を聞くと、わたしは少々考えこんでしまう。；少々位の困難はもとより覚悟の前ですから何でもないことです。；川越線側は地下を走行する区間が少々長く、鉄道博物館の横で地上に出る。；このステータスが高いとピーノは少々変わった行動をとりやすくなる。；こちらの押し入れの中で少々音をたてても、相手に気づかれる心配はなかった。</t>
        </is>
      </c>
      <c r="J4040">
        <f>HYPERLINK("https://www.weblio.jp/content/少々", "词义详情")</f>
        <v/>
      </c>
      <c r="K4040">
        <f>HYPERLINK("https://yourei.jp/少々", "查看例句")</f>
        <v/>
      </c>
    </row>
    <row r="4041">
      <c r="A4041" t="inlineStr">
        <is>
          <t>症状</t>
        </is>
      </c>
      <c r="B4041" t="inlineStr">
        <is>
          <t>成功</t>
        </is>
      </c>
      <c r="C4041" t="inlineStr">
        <is>
          <t>読み方：しょうじょう
病気やけがの状態。病気などによる肉体的、精神的な異状。「自覚—」</t>
        </is>
      </c>
      <c r="D4041" t="inlineStr">
        <is>
          <t>症状がみられる；症状緩和；症状改善；症状が重く；症状が軽く</t>
        </is>
      </c>
      <c r="E4041" t="inlineStr">
        <is>
          <t>病態；症候</t>
        </is>
      </c>
      <c r="F4041" t="inlineStr">
        <is>
          <t>無症状；初期症状；精神症状；アレルギー症状；主な症状</t>
        </is>
      </c>
      <c r="H4041" t="n">
        <v>29</v>
      </c>
      <c r="I4041" t="inlineStr">
        <is>
          <t>年齢が高い人よりも低い人の方が、症状が重い人は多いと言われている。；便が非常に柔らかくなる際に合併する主な症状は、 などが挙げられる。；本症はこの動脈硬化が原因で身体にさまざまな症状が現れることを指す。；そのストレスでこの頃から後の拒食症の初期症状を見せるようになった。；これらの症状が出たり消えたりしても、すぐに医師に連絡する必要がある。；また、出血熱の名の由来である出血症状は一部の患者にしか見られない。；また、医者が死の直前に行った瀉血が症状を悪化させたとも言われる。；吸収が早いために、症状が出現した時点では胃洗浄は効果がないとされる。；病気の症状に応じて、個々の患者ごとに食事の内容を変更する必要がある。；しばらく前に突然麻痺の症状が出たというが、原因は分かっていない。；また、症状の持続時間は関節リウマチそのものの活動性と関連している。；主に患者の苦痛の軽減や一時的な症状改善の目的で行われる治療のことである。；またショックの症状が認められ全身状態の改善が急務の場合も考えられる。；例えば「妄想」などの症状は、その区別が不可能になる極端な例である。；干しシイタケの戻し汁などでも症状が発生することが報告されている。；CTでは症状と関係のない脳の異常がわかってしまうからである。；本頁では特に患者の症状に応じて治療の優先順位を決定することを説明する。；なお、人間以外の動物でも繁殖用の犬や馬などで稀に同様の症状が確認される。；ただし、症状がひどい場合は、その部位の専門医に相談するほうがよい。；これ以上のヒスタミン量では何らかの症状が出る可能性が高くなると予測される。；アレルゲンとの接触を続けていれば抗体値も上がり、症状もひどくなる。；進行すると両側性に症状が現れ、左右差はなくなることが多い。；しかし、比較的よく見られる特徴的な症状があるため、これを下記に記す。；近視の症状は、遠くをはっきり見ることができないことが主である。；意識障害が起こる場合もあり、これが発作開始時の症状である場合もある。；これら毒素はいずれも同じように振る舞い、似たような症状を生み出す。；さらに進行すると呼吸器症状が現れ、全身状態が悪化して死に至ることもある。；様々なタイプの痛みを含んだ幅の広い症状概念である。；過呼吸症候群によって引き起こされる症状には以下のようなものがある。</t>
        </is>
      </c>
      <c r="J4041">
        <f>HYPERLINK("https://www.weblio.jp/content/症状", "词义详情")</f>
        <v/>
      </c>
      <c r="K4041">
        <f>HYPERLINK("https://yourei.jp/症状", "查看例句")</f>
        <v/>
      </c>
    </row>
    <row r="4042">
      <c r="A4042" t="inlineStr">
        <is>
          <t>上昇</t>
        </is>
      </c>
      <c r="B4042" t="inlineStr">
        <is>
          <t>成功</t>
        </is>
      </c>
      <c r="C4042" t="inlineStr">
        <is>
          <t>読み方：じょうしょう
［名］(スル)より高い位置、高い程度に向かってゆくこと。上がってゆくこと。「物価の—」「気温が—する」「—志向」⇔下降／低下。</t>
        </is>
      </c>
      <c r="D4042" t="inlineStr">
        <is>
          <t>上昇する(18%)；上昇式；上昇力；上昇志向；上昇し始め</t>
        </is>
      </c>
      <c r="E4042" t="inlineStr">
        <is>
          <t>上げ；増加；向上；伸び；上げる</t>
        </is>
      </c>
      <c r="F4042" t="inlineStr">
        <is>
          <t>段上昇；価格上昇；大きく上昇；血圧上昇；気温上昇</t>
        </is>
      </c>
      <c r="G4042" t="inlineStr">
        <is>
          <t>上昇率；上昇傾向；上昇と下降；上昇婚；上昇階乗冪</t>
        </is>
      </c>
      <c r="H4042" t="n">
        <v>29</v>
      </c>
      <c r="I4042" t="inlineStr">
        <is>
          <t>三型は機体重量が増したことから上昇力は一型と同程度に留まっている。；またこの措置は金属の価格が上昇したことなども要因となっている。；日本沿岸でも、1980年代半ば以降では大きな上昇率が観測されている。；予測器の性能が上昇した2010年代以降のCPUではその影響は小さい。；A型肝炎ではTTTが上昇するがIgMは上昇するのだから当然である。；なお、時代の経過とともに建設費がいかに上昇したかは次の例で表される。；外力を大きくしていくと、それを打ち消すために摩擦力も上昇していく。；側窓は竣工時一段下降式であったが、こちらも二段上昇式に改良されている。；これはそれまで観察されなかった現象で、その後も地盤の上昇が継続している。；この壮大な上昇過程が最終的にどうなるかは述べられていない。；一般には価格が上昇すると需要は減少する傾向がある。；後年には改良されて高度30 km程度まで上昇できるようになった。；すなわちスロットル操作に対するエンジンの出力上昇に遅れが生じやすい。；ナインティナインはこれを機に、東京での知名度上昇に成功している。；この技能レベルの上昇は、維持にかかるエネルギー消費も減少する。；潜水中も心拍数が低下することはなく、呼吸する前には逆に心拍数が上昇する。；逆にドルは流入したので、戦前からドル基準の国内物価が上昇した。；人口の増加も見られており、現在では再び地価が上昇している。；これは温度の上昇に伴って伝導電子がより散乱されるためである。；特に燃料満載状態では護衛するはずの爆撃機に劣る上昇力しか持たなかった。；天王星と同様にこの加熱の原因は不明だが、その上昇率には大きな違いがある。；最近では自治体が工夫し、出席率が上昇しているところもある。；ビタミンBの高用量摂取は肺癌リスク上昇と関連している可能性がある。；例えばアメリカでは30年の間に、IQの平均が約10上昇している。；したがって、圧力増加に伴って粘度も上昇することが予測される。；この機能により特定の音程の速度と演奏しやすさを大きく上昇した。；近年はブロックチェーン関連需要で株価上昇などの際立った動きが見える。；地球の長い歴史をみると、顕著な海面上昇と海面低下は何度も発生している。；しかし、花火玉自体が重過ぎたために上昇せず水中で爆発、失敗に終わった。</t>
        </is>
      </c>
      <c r="J4042">
        <f>HYPERLINK("https://www.weblio.jp/content/上昇", "词义详情")</f>
        <v/>
      </c>
      <c r="K4042">
        <f>HYPERLINK("https://yourei.jp/上昇", "查看例句")</f>
        <v/>
      </c>
    </row>
    <row r="4043">
      <c r="A4043" t="inlineStr">
        <is>
          <t>上場</t>
        </is>
      </c>
      <c r="B4043" t="inlineStr">
        <is>
          <t>成功</t>
        </is>
      </c>
      <c r="C4043" t="inlineStr">
        <is>
          <t>読み方：じょうじょう
［名］(スル)
１劇などを上演すること。「一幕物を—する」
２特定の株式・債券銘柄や特定の商品を、証券取引所（金融商品取引所）または商品取引所の市場において、売買取引の対象とすること。</t>
        </is>
      </c>
      <c r="D4043" t="inlineStr">
        <is>
          <t>上場する(7%)；上場銘柄(2%)；上場時；上場廃止；上場基準</t>
        </is>
      </c>
      <c r="F4043" t="inlineStr">
        <is>
          <t>市場上場；未上場；単独上場；東証上場；第一部上場</t>
        </is>
      </c>
      <c r="G4043" t="inlineStr">
        <is>
          <t>上場廃止；上場会社；上場投資信託；上場廃止基準；上場株式</t>
        </is>
      </c>
      <c r="H4043" t="n">
        <v>29</v>
      </c>
      <c r="I4043" t="inlineStr">
        <is>
          <t>共通上場は小さい市場から始まり大きな市場に成長した企業に特によくみられる。；かつてはニューヨーク証券取引所にも上場していたが、後に廃止している。；上場直前の2011年7月7日に当初予定していた公募増資を中止した。；形式には契約型と会社型の2つがありうるが、多くは会社型で上場されている。；また「上場もされていないような会社に球団は売らない」と明言していた。；これをはじめとして本土企業が次々と香港で上場するようになった。；海外の株価指数に連動するETFの日本国内上場はこの例が最初であった。；上場 瞳は、近畿地方と岡山県を拠点に活動している日本のタレント。；ユーロネクスト・パリに上場し、フランスのパリに本社を置いている。；バブル経済崩壊後はじめて邦銀グループがNYSEへの上場を果たした。；そのため、所有していた上場各社の株式の多くを手放すこととなった。；米国アトランタに本部を置き、ニューヨーク証券取引所に上場している。；これはこのセリ市に上場された馬のなかで最も安い価格だった。；地元財閥企業が取引開始と同時に株式公開し、上場第一号となった。；これに伴い、同年7月に東京証券取引所第一部の上場が廃止されている。；上場時の株価は2千円のため購入者からの苦情や相談が発生した。；なお、この株主偽装は上場当初の1957年から存在したと言われている。；証券取引所に上場することのメリットとして、以下のことが挙げられる。；会社が消滅するまでは、現在の東京証券取引所に上場していた。；地域金庫が集めた資金の大部分が上場持株会社で集中管理される。；数百の大学付属企業があり、2社が上海証券取引所に上場している。；多数上場しており、下記に上げていない物も多数ある。；後述のように上場すると赤字店の営業継続が困難として、東京店も閉鎖を決めている。；日本のETFとしては以下のものが東京証券取引所に上場している。；これは設立から上場までの最も短い例である。；同年6月24日に上場が承認され、7月15日に初の上場を果たした。；韓国企業では唯一NASDAQへ直接上場している企業でもある。；現在は、東京証券取引所への上場に向けて準備を進めている。；投資した企業を上場させたり、他のファンド等に転売して利益を得ることもある。</t>
        </is>
      </c>
      <c r="J4043">
        <f>HYPERLINK("https://www.weblio.jp/content/上場", "词义详情")</f>
        <v/>
      </c>
      <c r="K4043">
        <f>HYPERLINK("https://yourei.jp/上場", "查看例句")</f>
        <v/>
      </c>
    </row>
    <row r="4044">
      <c r="A4044" t="inlineStr">
        <is>
          <t>生じる</t>
        </is>
      </c>
      <c r="B4044" t="inlineStr">
        <is>
          <t>成功</t>
        </is>
      </c>
      <c r="C4044" t="inlineStr">
        <is>
          <t>読み方：しょうじる
［動ザ上一］「しょう（生）ずる」（サ変）の上一段化。「義務が—・じる」</t>
        </is>
      </c>
      <c r="D4044" t="inlineStr">
        <is>
          <t>生じる可能性(2%)</t>
        </is>
      </c>
      <c r="E4044" t="inlineStr">
        <is>
          <t>くる；来る；出来；発生；由来</t>
        </is>
      </c>
      <c r="F4044" t="inlineStr">
        <is>
          <t>伴って生じる</t>
        </is>
      </c>
      <c r="H4044" t="n">
        <v>29</v>
      </c>
      <c r="I4044" t="inlineStr">
        <is>
          <t>緊張の高い時のほか、何かに夢中になっているときにも笑いは生じない。；また、この俗解が基になって更にさまざまな伝承を生じることになった。；性格の違いから、特定の人生経験が生じることを予測することができる。；中国で古くから両方に「桐」の字を用いているために混乱が生じている。；こうして生じる空間パターンはチューリング・パターンと呼ばれている。；このような駅の場合、JRの乗車券類の発売に制限が生じる場合がある。；一般には、実際に建設された距離である建設キロとは若干のずれが生じる。；また、中性子星同士が衝突した際にも元素合成が生じるとの指摘もある。；しかし、自然に生じるといってもある程度、心に余裕がないと出てこない。；しかし、この場合にどこの国の法が適用されるかについては問題が生じる。；自然にかなったものは無理にされるものとは異なった作用を生じる。；テレビ会社が映画を制作すると、上述のようなお金の流れは生じない。；異常が生じるメカニズムは多様であり、全てが知られているわけではない。；下りは15分等間隔で運転されているが、上りは少しずれが生じている。；やがて自由派内において穏健派と急進派の路線対立が生じるようになる。；特に高句麗史の帰属をめぐり韓国朝鮮と中国の間には論争が生じている。；こうして正義が確定される一方、中唐になると注疏批判の動きが生じた。；彗星の発見数が増加してくると、この方法の運用に綻びが生じてきた。；このような流れを反映してか、メーカーの戦略にも変化が生じる。；他の動物では骨性ラチリスムと呼ばれる骨格異常が生じることがある。；イージスシステムは継続的な改良を受け、多数のバージョンが生じている。；応仁の乱後に幕府の衰退が明らかになると、朝廷との関係に変化が生じた。；この畳の寸法にはいろいろなものがあり、差が生じる原因は2つある。；流体のある位置にそれらが急に集められる場合に、渦を生じることが多い。；そのため、完全な球であれば同義である以下の定義にも差異が生じる。；また、相手のよくない結果を望む、心の中に生じる意思を意味する。；ただ耐水性ではなく、亀裂を生じさせやすいので単体では殆ど用いない。；またクリアの内部動作に差があると正しくリセットされない段が生じる。；建設や完成後の運用にも様々な問題が生じ、その解決策を模索することとなる。</t>
        </is>
      </c>
      <c r="J4044">
        <f>HYPERLINK("https://www.weblio.jp/content/生じる", "词义详情")</f>
        <v/>
      </c>
      <c r="K4044">
        <f>HYPERLINK("https://yourei.jp/生じる", "查看例句")</f>
        <v/>
      </c>
    </row>
    <row r="4045">
      <c r="A4045" t="inlineStr">
        <is>
          <t>昇進</t>
        </is>
      </c>
      <c r="B4045" t="inlineStr">
        <is>
          <t>成功</t>
        </is>
      </c>
      <c r="C4045" t="inlineStr">
        <is>
          <t>読み方：しょうしん
［名］(スル)《古くは「しょうじん」とも》職務上の地位、官位などが上がること。「課長に—する」</t>
        </is>
      </c>
      <c r="D4045" t="inlineStr">
        <is>
          <t>昇進する(9%)；昇進後；昇進でき；昇進披露；昇進伝達式</t>
        </is>
      </c>
      <c r="E4045" t="inlineStr">
        <is>
          <t>向上；起用；上昇；育成；促進</t>
        </is>
      </c>
      <c r="F4045" t="inlineStr">
        <is>
          <t>真打昇進；新十両昇進；階昇進；名誉昇進；関取昇進</t>
        </is>
      </c>
      <c r="H4045" t="n">
        <v>29</v>
      </c>
      <c r="I4045" t="inlineStr">
        <is>
          <t>昇進できないことを条件に忠誠の宣誓を拒否する権利も認められている。；そのために昇進することができず最終階級が大尉で除隊する者が多い。；後に地方へ出て山陰県令となり、中央に戻った際に参軍校尉に昇進した。；部屋の兄弟子であった小錦が大関に昇進した際には騎馬の前方を務めた。；予備士官は、制度上は最終的に大佐まで昇進できるようになっていた。；幹部に昇進すれば京都に家を持ち、妻子や妾を迎えることが許された。；丁宮が三公のひとつである司徒に昇進した時、士壱は都に呼び出された。；横綱まで昇進しながら幕内優勝を一度も経験していない力士でもある。；亭号を変えたり、昇進時に師匠と異なる亭号を名乗ったりすることもある。；関取に昇進することはできず、2010年1月場所限りで現役引退した。；尊敬するピカードの勧めもあって、艦隊の特別訓練に参加し大尉に再昇進した。；彼の能力は同僚にも直ちに認められ、翌1825年には教授へと昇進した。；は曹長から少将に昇進し、ジャンセンに代わる新たな司令官に就任した。；その後、朝乃山が十両昇進を果たし、関取不在は一場所で解消している。；小錦の場合も当時5大関がおり、昇進に高レベルの成績が求められていた。；しかし以降の昇進はなく、アイヒマンの階級はここで止まっている。；採用された公務員の身分は基本的に保障され、昇進も個人の能力に応じる。；海軍消滅までに、戦死者を含め各科約1800名が少佐に昇進している。；この急速な昇進には公武に強い権力を保持していた父の強い意向があったためである。；翌場所には外国出身で初の関脇に昇進し、大関候補の一人と目されるようになる。；彼は西部戦線と東部戦線のどちらでも前線で戦い、中尉にまで昇進した。；国王軍から革命軍へ転じ、数々の武勲をあげ、陸軍中将にまで昇進する。；蔵人頭とは通常、四位の官とされて辞任時に参議に昇進するものとされていた。；その一方で江沢民の息のかかった「上海閥」を次々に昇進させている。；それとは別に三役や横綱への昇進のかかるケースで不公平感が問題視されることがある。；再陥落後は昇進のチャンスもあったが、十両上位の星運に泣いた。；後鳥羽上皇もこれに期待して実朝を優遇して昇進を重ねさせた。；以下の表では各力士の再昇進までの場所別成績を示す。；その後は提督への昇進記録はなく、艦隊を辞して父と同じく外交の道に進む。</t>
        </is>
      </c>
      <c r="J4045">
        <f>HYPERLINK("https://www.weblio.jp/content/昇進", "词义详情")</f>
        <v/>
      </c>
      <c r="K4045">
        <f>HYPERLINK("https://yourei.jp/昇進", "查看例句")</f>
        <v/>
      </c>
    </row>
    <row r="4046">
      <c r="A4046" t="inlineStr">
        <is>
          <t>上手</t>
        </is>
      </c>
      <c r="B4046" t="inlineStr">
        <is>
          <t>成功</t>
        </is>
      </c>
      <c r="C4046" t="inlineStr">
        <is>
          <t>読み方：うわて
［名］
１位置・方向が上のほう。うえ。特に、風上・川上などをいう。かみて。「風の—にまわる」⇔下手(しもて)。
２相撲で、四つに組んで相手の差し手の上から相手のまわしを取ること。また、その手。「—を引く」⇔下手(したて)。
３囲碁・将棋で、対局者のうち段位・力量のすぐれたほう。⇔下手(したて)。
４犬追物(いぬおうもの)で、自分の馬の前に立つ射手。
５石帯(せきたい)の左の一端についている革帯。
［名・形動］
１技能・学問・知識などが他よりすぐれていること。また、その人。「役者が一枚—だ」「相手の—を行く」
２人を脅かすような態度をとること。また、そのさま。高飛車(たかびしゃ)。⇔下手(したて)。
「この—な物言いが変に私を圧迫した」〈志賀・暗夜行路〉</t>
        </is>
      </c>
      <c r="D4046" t="inlineStr">
        <is>
          <t>上手下手；上手な人；上手側；上手回し；上手い人</t>
        </is>
      </c>
      <c r="E4046" t="inlineStr">
        <is>
          <t>うまい；巧み；鮮やか；巧妙；有能</t>
        </is>
      </c>
      <c r="F4046" t="inlineStr">
        <is>
          <t>一枚上手；料理上手；商売上手；名人上手；右上手</t>
        </is>
      </c>
      <c r="G4046" t="inlineStr">
        <is>
          <t>上手い；上手投げ；上手出し投げ；上手物；上手と下手</t>
        </is>
      </c>
      <c r="H4046" t="n">
        <v>29</v>
      </c>
      <c r="I4046" t="inlineStr">
        <is>
          <t>僕よりも一枚うわてのうちとけにくい男がいることに興味を覚えたので。；やはり、死体がどうなっているかみておかないと、心配だったのである。；おれがバカなことを考えたが、やつのほうがうわてだったというわけだ。；自分の上手で相手の足の膝の内側を掬い上げ、体を捻って相手を倒す技。；中学高校時代にギターの上手さで田代に敵う者は周囲にいなかったという。；上手に飼育することで数ヶ月後に思わぬ生き物が顔を出すこともある。；コロスが祭壇または舞台上を上手から下手に移動しながらこれを歌った。；つまりは、自分を中心として左手の方が上手で、右手の方が下手である。；最終的に挑戦者の内誰が聞きウマ上手だったかをお悩み女子が判定する。；この他、上手が玉将以外の全ての駒を落とす裸玉と呼ばれるものもある。；まず黄色以外のすべての色を使ってできるだけ上手に絵を描く。；理由は曰く単純にメンバーの中で自身が一番ギターが上手だったからだという。；一方で胸が合うと馬力の差が出るため、上手を狙いに左に動くことがある。；編み物が上手であるが、料理は家族や知人に恐怖されるほど下手である。；左四つの相撲で右上手を取ると力を発揮し、突き押しでも相撲が取れた。；これは多くの盾を上手に用いた戦術例で、戦わずして勝利した例でもある。；日本人からよく『日本語がお上手ですね』と中国人だと思われる事がある。；ステージに向かって上手側の上方にパイプオルガンが設置されている。；対白鵬戦では特にこの特徴が発揮され、上手を与えず攻め続けることもあった。；両手はほとんど使わなくなり、尻尾できのみの殻を上手に剥いて食べる。；甘え上手な妹の理々子とそれに振り回される兄の大介を描く4コマ漫画。；ラストをかなり強引と見るか上手いまとめ方とみるかで論が分かれている。；これを頭につけて話すと、誰でも上手に人をおだてることができる。；教える立場の人間が上手に指導すればなんら他の人々に負けることはない。；雰囲気を作るのが上手で、その独特な雰囲気は幅広いファンに定評がある。；秀甫からは、東京で学んでいれば上手には達したろうと評されていた。；しかし競技会でテリアに期待される他の仕事はどれも上手に出来た。；彼らのほうが事件にはなれているだけに、一枚うわてであった。；だけど、もっと上手な先輩とやる時は正拳突きも使っていましたよ。</t>
        </is>
      </c>
      <c r="J4046">
        <f>HYPERLINK("https://www.weblio.jp/content/上手", "词义详情")</f>
        <v/>
      </c>
      <c r="K4046">
        <f>HYPERLINK("https://yourei.jp/上手", "查看例句")</f>
        <v/>
      </c>
    </row>
    <row r="4047">
      <c r="A4047" t="inlineStr">
        <is>
          <t>少数</t>
        </is>
      </c>
      <c r="B4047" t="inlineStr">
        <is>
          <t>成功</t>
        </is>
      </c>
      <c r="C4047" t="inlineStr">
        <is>
          <t>読み方：しょうすう
数が少ないこと。「賛成が—で否決された」⇔多数。</t>
        </is>
      </c>
      <c r="D4047" t="inlineStr">
        <is>
          <t>少数者(3%)；少数精鋭(2%)；少数生産；少数派；少数機</t>
        </is>
      </c>
      <c r="E4047" t="inlineStr">
        <is>
          <t>マイノリティ；少数者；少数派；マイノリティー</t>
        </is>
      </c>
      <c r="F4047" t="inlineStr">
        <is>
          <t>少数例；少数精鋭主義；少数民族問題；少数の守備兵；少数精鋭部隊</t>
        </is>
      </c>
      <c r="G4047" t="inlineStr">
        <is>
          <t>少数派；少数与党；少数意見；少数言語；少数株主</t>
        </is>
      </c>
      <c r="H4047" t="n">
        <v>29</v>
      </c>
      <c r="I4047" t="inlineStr">
        <is>
          <t>データが残っていればいくらでも生産が可能だが、少数生産向きである。；しかし、この時期には船の遺物は発見されていないため少数の意見である。；ほかにも北海道や横浜などでも、ごく少数が入換用に使用されていた。；少数の警備員で多数の施設を警戒することが出来るため費用が安くすむ。；しかし少数ではあるが大量生産を前提に製造されているものもある。；軽い家内労働に従事できる者や奴隷身分から解放される者はごく少数だった。；この他、映画・アニメ・ゲームの漫画化作品も少数ながら掲載されている。；また少数ではあるが、ユダヤ人やサマリア人も居住していたとされる。；さらにミス後のリトライではカプセルを持った敵の出現がごく少数である。；またホンジュラスやドミニカ共和国、中国にも少数機が売却されている。；無声音だけでなく有声音にも有気音の体系を持つ言語も少数ながらある。；あるいは空軍州兵向けに生産されたものの、こちらも少数にとどまった。；そのため、コストパフォーマンスに問題が生じ、少数の生産に終わった。；文化を享受するには一定の教養が必要であり、少数者のものであった。；また、宗教・民族の少数者を差別した記事を載せた場合の罰則もある。；ただし、当時ドルビーデジタルに対応した映画館はごく少数しかなかった。；現在もごく少数の社寺で女性の神事の参加を禁止している所がある。；それに伴いMSXによる音楽活動も比較的少数ではあるが再活発化した。；砂漠戦仕様の本機は、ごく少数が生産され、前線に投入されたとされる。；以前は群れが観察されたこともあったが、近年は少数の渡来がほとんどである。；狭い瓶の首から少数のものを取り出す場合と同じ原理であることからいう。；周囲には工場が多いが、駅前には少数の売店や居酒屋なども軒を連ねる。；それ以前の二等車が中心であるが、少数ながら前項の車両も含まれた。；朝を中心に名古屋方面への当駅始発列車が少数設定されている。；この車両は日本にも極めて少数ながら輸入されている。；芸術的に見て優れた絵も多く、画家にも少数だがファンが付いているほどである。；各地にそれぞれ在来種と呼ばれる固有の特徴をもった品種が少数存在する。；なおU30系は富士重工製だけでなく西工製もごく少数ながら存在する。；これに加え少数ながら転入車を導入しており、いすゞ自動車製も見られる。</t>
        </is>
      </c>
      <c r="J4047">
        <f>HYPERLINK("https://www.weblio.jp/content/少数", "词义详情")</f>
        <v/>
      </c>
      <c r="K4047">
        <f>HYPERLINK("https://yourei.jp/少数", "查看例句")</f>
        <v/>
      </c>
    </row>
    <row r="4048">
      <c r="A4048" t="inlineStr">
        <is>
          <t>小数</t>
        </is>
      </c>
      <c r="B4048" t="inlineStr">
        <is>
          <t>成功</t>
        </is>
      </c>
      <c r="C4048" t="inlineStr">
        <is>
          <t>読み方：しょうすう
１1より小さい正の実数。
２整数でない実数を、小数点を用いて十進法で表した数。0.1のように整数部分を含まないものを純小数、1.23のように整数部分を含むものを帯小数という。</t>
        </is>
      </c>
      <c r="D4048" t="inlineStr">
        <is>
          <t>小数第(7%)；小数部分(6%)；小数展開(5%)；小数表示(3%)；小数機(2%)</t>
        </is>
      </c>
      <c r="F4048" t="inlineStr">
        <is>
          <t>小数第二位；小数第一位</t>
        </is>
      </c>
      <c r="G4048" t="inlineStr">
        <is>
          <t>小数賀</t>
        </is>
      </c>
      <c r="H4048" t="n">
        <v>29</v>
      </c>
      <c r="I4048" t="inlineStr">
        <is>
          <t>思ったより小数だったが、やつらだってきっと必死だったにちがいない。；小数第 位の数字は、この構成における第 段階の点の位置に反映する。；これらは小数に近い考えだが、度量衡それぞれで異なる小単位があった。；極めて小数の人達しか知らない悪い言葉を私はうつかり用ゐたのである。；ここで言う意味での小数展開が必ずしも数を表すとは限らないことに注意すべきである。；次に手をつけたのが、小数や分数がごっちゃになっている計算問題だった。；同じ小数位は末尾の0を含めてそれぞれの値で使用する必要がある。；上の等式 は、 などの実数の無限十進小数展開を用いても説明できる。；この値は十進小数で表すと であり、小数点以下6桁まで と一致する。；このような小数は簡単に作ることができて は非循環小数である。；同県人すらごく小数の人だけがその名を知るにすぎないやうな山底の部落なのである。；この定義値は、米国の定義値の小数7桁目を四捨五入したものである。；このように、二十進法では、一桁小数で四分割と五分割が可能である。；予想ではセンチ単位で小数以下ゼロが一三ぐらい並んだ先にくる数ではないかと思うね。；そのため、ファンデルコルプト数列は と続き、小数表記では となる。；現代の数学の系譜であるヨーロッパの数学においては、小数の導入は遅れた。；現在では小数の農家が約 400 ha の農地を耕作するだけである。；信徒の数は極めて小数にして八百三十五名を算うるのみなり。；小数のものを大惨事後に生き残らせるような計画をもっていたに相違ないんじゃないかな?；極めて小数の天才達には最後の勝負が彼らの不断の人生である。；これ以降SLMCは小数第3党としての役割を意識した行動を取るようになった。；彼らを見ると、彼女はヘリウムの小数グループのひとびとのことを思いだした。；戯作者のすべてがそのやうな人ではないが、小数の戯作者にそのやうな人もあつた。；時刻値を示すために一般には小数が付けられる。；然し芸術になつてゐるものがどれだけあるか、頗る小数である事だけは確かである。；で、円の面積である円周率に極めて近く、小数第17位まで一致する。；小数は、片手で十二分の一の位、両手で百四十四分の一の位が計算可能となる。；進数には小数展開の類似を考えることができ、位が左へ進む。；そして、この を使って、小数部分を と表記することにする。</t>
        </is>
      </c>
      <c r="J4048">
        <f>HYPERLINK("https://www.weblio.jp/content/小数", "词义详情")</f>
        <v/>
      </c>
      <c r="K4048">
        <f>HYPERLINK("https://yourei.jp/小数", "查看例句")</f>
        <v/>
      </c>
    </row>
    <row r="4049">
      <c r="A4049" t="inlineStr">
        <is>
          <t>称する</t>
        </is>
      </c>
      <c r="B4049" t="inlineStr">
        <is>
          <t>成功</t>
        </is>
      </c>
      <c r="C4049" t="inlineStr">
        <is>
          <t>読み方：しょうする
［動サ変］［文］しょう・す［サ変］
１名乗る。名づけて言う。「自ら名人と—・する」「論文と—・するほどのものではない」
２口実として言う。偽って言う。「病気だと—・して会社を休む」
３ほめたたえる。「その功績を—・する」</t>
        </is>
      </c>
      <c r="D4049" t="inlineStr">
        <is>
          <t>称する者たち；称する農民反乱集団</t>
        </is>
      </c>
      <c r="E4049" t="inlineStr">
        <is>
          <t>名乗る；自称する；称える</t>
        </is>
      </c>
      <c r="F4049" t="inlineStr">
        <is>
          <t>自ら称する；指称する</t>
        </is>
      </c>
      <c r="H4049" t="n">
        <v>29</v>
      </c>
      <c r="I4049" t="inlineStr">
        <is>
          <t>超自然的な方法によると称する未来予想を行う者も未来学には含まれない。；夫妻が同音であれば、子孫は母の兄弟と会った時にどう称すればよいか。；このため日本ではこの形態を「パノラマ形」と称するのが一般的である。；スペイン王太子がアストゥリアス公を称する習慣もこれに由来している。；また自ら皇帝を称するなど台湾王朝の建国を目指したものが6件あった。；更に、インディーズ時代のアルバムにある楽曲を名曲と称する人も多い。；これが低温のため容易に分解せず、次第に炭化したものを泥炭と称する。；一方、現在バーブ教を称する一派はとも呼ばれ今もイランに残るという。；市場では、マイナスイオンを発生すると称する様々な商品が販売されている。；これは、読者より寄せられた告白体験をまとめたと称する書籍である。；この神社の他にも西区内や明石市には所縁を称する神社が数多くある。；その他、交通などの視点から那覇市より北を中北部と称する事もある。；効力上から定義すれば憲法とは主権者が憲法と称する法令の全体である。；広義では体の他の部分を覆うものもそのように称することがある。；漢字の音読みと対応する語彙体系であるので字音語と称することもある。；舌を頬に貼りつけて舐めあげる行為を、KISSと称すればのことだが。；なお、難波から高野線の山岳区間へ直通運転することを大運転と称する。；共産主義国家の中国とベトナムでは唯物論の観点から同様に数字で称する。；現在、野田家と山東家の流れと称するものが各地に伝えられている。；逆に、小説は書いていないが単に作家と称する例が多い。；三位以上の公卿や皇族を将軍とする際も軍職の名を大将軍と称することもあった。；「病院」と称することができる施設は、医療法上の病院に限定される。；一方、選挙投票所の立会人に対してもウォッチャーと称することがある。；鶏肉と鶏卵以外を材料とする丼の中にも「親子丼」と称する料理がある。；上下の代わりに頭側/尾側、前後の代わりに腹側/背側と称する。；元は真言律宗に属したが、1999年に同宗を離脱し、光明宗と称する。；背中の光輪から、神の光の力と称するエネルギー波を放ち攻撃する。；クハ312形はほぼ同仕様であるため、いずれも2300番台を称する。；この種のトンネルが並列したものを特にメガネトンネルと称する。</t>
        </is>
      </c>
      <c r="J4049">
        <f>HYPERLINK("https://www.weblio.jp/content/称する", "词义详情")</f>
        <v/>
      </c>
      <c r="K4049">
        <f>HYPERLINK("https://yourei.jp/称する", "查看例句")</f>
        <v/>
      </c>
    </row>
    <row r="4050">
      <c r="A4050" t="inlineStr">
        <is>
          <t>情勢</t>
        </is>
      </c>
      <c r="B4050" t="inlineStr">
        <is>
          <t>成功</t>
        </is>
      </c>
      <c r="C4050" t="inlineStr">
        <is>
          <t>読み方：じょうせい
変化していく物事の、その時々のようす。今、物事がどのように動いていて、今後どうなっていきそうかという、状況の流れや方向。「緊迫した—にある」「国際—」「—判断」</t>
        </is>
      </c>
      <c r="D4050" t="inlineStr">
        <is>
          <t>情勢下(3%)；情勢判断；情勢不安；情勢変化；情勢悪化</t>
        </is>
      </c>
      <c r="E4050" t="inlineStr">
        <is>
          <t>状態；流れ；様子；傾向；事態</t>
        </is>
      </c>
      <c r="F4050" t="inlineStr">
        <is>
          <t>政治情勢；経済情勢；国内情勢；こうした情勢；不穏な情勢</t>
        </is>
      </c>
      <c r="G4050" t="inlineStr">
        <is>
          <t>情勢調査；情勢ノ推移ニ伴フ帝国国策要綱；情勢の推移に伴う帝国国策要綱</t>
        </is>
      </c>
      <c r="H4050" t="n">
        <v>29</v>
      </c>
      <c r="I4050" t="inlineStr">
        <is>
          <t>現地の政治情勢に到着したばかりのマゼランが首を突っ込んでしまった。；これはもちろん昭和10年代の社会情勢に密接に関わったものであった。；本形式は、登場当初か様々な社会情勢の変化に翻弄されたことで知られる。；以来、再打上げの噂があるが現在の政治情勢ではその可能性は極めて低い。；軍事的努力が東方へ集中している間にイタリアの情勢は悪化していた。；毎週、社会情勢や流行等様々なテーマを定めて掘り下げる内容であった。；この変化の原因はまず第一に国内の政治情勢の変化である。；こうした危急存亡の情勢はパリの革命的な性格を急速に強化した。；全体供用は暫定供用後の諸情勢を踏まえて順次の整備が予定されている。；なお、両者の死によって北関東の情勢が変わっていくことになっていった。；本系列はこのような情勢下で1939年から増備されたものである。；過去には、世界的な情勢などによって公式ピアノの数が異なった開催回がある。；こうした情勢下で反革命勢力は巻き返しを図ろうとしているように見えた。；連載が長期に渡っているため、社会情勢の変化に伴い自然消滅した設定も多い。；この法令が制定されるに至った社会情勢などを記述して下さい。；経済情勢も深刻で、工業生産は戦前の40パーセント程度に留まっていた。；そののちに事件・社会情勢などを扱う「ランキングまいど」が登場。；そのような情勢で軽々しく市を放棄すると、味方の市民が殺される恐れがあった。；こうしたフランスの革命は各国の情勢にも影響を与えた。；占領の解除も行われず、経済情勢も不穏となったドイツは混乱をきたした。；このような複雑な情勢の中で、国人層は恩賞を求め右往左往していた。；各エピソードは古い事件とその背景を描く故に、当時の社会情勢がテーマとなることがある。；しかし、各地で武装組織の活動が続き、不穏な情勢の中で投票日を迎えた。；おそらく当時の社会情勢が素直な平和主義的主張を許さなかったと考えられる。；このような欧州情勢の不透明感から、この打診には態度を保留し続けた。；大陸での緊迫した情勢はさらに激しさを増し、日中戦争へと発展した。；彼らは混乱する情勢を利用してケルマーンで勢力を拡大した。；したがって防御戦闘が頻繁に実施されることは、戦略的情勢の悪化を意味している。；戴季陶の辺疆問題への取り組みはこうした緊迫した情勢と連関していた。</t>
        </is>
      </c>
      <c r="J4050">
        <f>HYPERLINK("https://www.weblio.jp/content/情勢", "词义详情")</f>
        <v/>
      </c>
      <c r="K4050">
        <f>HYPERLINK("https://yourei.jp/情勢", "查看例句")</f>
        <v/>
      </c>
    </row>
    <row r="4051">
      <c r="A4051" t="inlineStr">
        <is>
          <t>小説</t>
        </is>
      </c>
      <c r="B4051" t="inlineStr">
        <is>
          <t>成功</t>
        </is>
      </c>
      <c r="C4051" t="inlineStr">
        <is>
          <t>読み方：しょうせつ
１《坪内逍遥がnovelに当てた訳語》文学の一形式。特に近代文学の一ジャンルで、詩や戯曲に対していう。作者の構想のもとに、作中の人物・事件などを通して、現代の、または理想の人間や社会の姿などを、興味ある虚構の物語として散文体で表現した作品。
２《「漢書」芸文志から》市中で口頭によって語られた話を記述した文章。稗史(はいし)。</t>
        </is>
      </c>
      <c r="D4051" t="inlineStr">
        <is>
          <t>小説家；小説化；小説作品；小説集；小説執筆</t>
        </is>
      </c>
      <c r="E4051" t="inlineStr">
        <is>
          <t>ロマン；虚構；ノベル；ローマン；人情本</t>
        </is>
      </c>
      <c r="F4051" t="inlineStr">
        <is>
          <t>自伝的小説；近代小説；現代小説；自伝小説；ユーモア小説</t>
        </is>
      </c>
      <c r="G4051" t="inlineStr">
        <is>
          <t>小説版；小説家になろう；小説を読む；小説化；小説新潮</t>
        </is>
      </c>
      <c r="H4051" t="n">
        <v>29</v>
      </c>
      <c r="I4051" t="inlineStr">
        <is>
          <t>映画公開後に発表された小説は、脚本と同時進行で書かれた部分もある。；その叙述に現在時制を用いたことでは最初の小説の一つとされてもいる。；小説などの原作を持たないテレビ番組オリジナルのキャラクターである。；ラジオドラマの制作を目標に本人が書いた同名の小説も連載されていた。；ファーマー作品には既存の小説や歴史上の人物を登場させるものが多い。；また、神話上の人物を現代を舞台にした小説に登場させることもよくある。；のようなグループやのような運動は小説や詩の美学を刷新しようと試みた。；多くは小説の進行に伴って、主人公およびその周辺の人物の成長が描かれる。；その小説の多くはヨーロッパに住んでいるか旅しているアメリカ人を描いている。；また、これがきっかけで小説が他の文芸紙にも掲載されるようになる。；小説では原作ゲームとは異なる、独自の展開・設定がなされている。；この小説をきっかけとして、大きな脚本の依頼が入ってくることになった。；当時のドラマ・アニメ・小説などで、博覧会が登場することもあった。；日本では他の古典小説同様に江戸時代に輸入されたがあまり注目されたとは言えない。；この姿勢はWeb小説のコミカライズが流行した以降も継続している。；しかし、これ以降の時代には主に民衆から支持を得る形で小説が人気を得ていく。；他の作家が1929年から1930年にかけて類似の小説を書いている。；一説には師の逍遥から小説家としての限界を指摘されたからとも言われる。；様々な理由から物語の詳細は小説と映画では異なっている。；この年は永い作家生活の中で、初めて小説の発表が一編もなかった。；は、他国出身ではあったが、ロシア語で創作した最初の小説家であった。；思考を促すような西洋の小説が続々とロシア語に翻訳されるようになった。；ぼくの小説を読んでいない連中が言っているんでしょう。；この小説では、不道徳と権威の否定的な描写が重要なテーマである。；小説の表紙・挿絵やゲームのキャラクターデザインなどを手がけている。；以前は、小説と物語の間には明確な区分があるとされてきた。；また、特定の小説や映画などの世界を再現するものも登場する。；恋愛小説は、男女間もしくは同性間での恋愛を主題とした小説のこと。；小説などの文学作品や漫画の場合は「アンソロジー」と呼ぶことが多い。</t>
        </is>
      </c>
      <c r="J4051">
        <f>HYPERLINK("https://www.weblio.jp/content/小説", "词义详情")</f>
        <v/>
      </c>
      <c r="K4051">
        <f>HYPERLINK("https://yourei.jp/小説", "查看例句")</f>
        <v/>
      </c>
    </row>
    <row r="4052">
      <c r="A4052" t="inlineStr">
        <is>
          <t>消息</t>
        </is>
      </c>
      <c r="B4052" t="inlineStr">
        <is>
          <t>成功</t>
        </is>
      </c>
      <c r="C4052" t="inlineStr">
        <is>
          <t>読み方：しょうそく
［名］(スル)《「消」は陰気のなくなること。「息」は陽気の生じること》
１人や物事の、その時々のありさま。動静。状況。事情。「その後の—を尋ねる」「政界の—に通じている」
２状況や用件などを手紙などで知らせること。また、その手紙や連絡。音信。音沙汰。たより。「—を交わす」「漁船が—を絶つ」
「彼女は、短くとも殆(ほと)んど毎日—してよこした」〈有島・宣言〉
３消えることと生じること。衰えることと盛んになること。盛衰。
「—、窮通、皆運有り」〈菅家文草・四〉
４他家を訪れて、来意を告げ、案内をこうこと。しょうそこ。
「月あかき夜、人の来て、—言はせたるに」〈和泉式部続集・詞書〉</t>
        </is>
      </c>
      <c r="D4052" t="inlineStr">
        <is>
          <t>消息文；消息欄；消息を知りたい；消息を語るもの；消息をきか</t>
        </is>
      </c>
      <c r="E4052" t="inlineStr">
        <is>
          <t>情報；報告；案内；報道；ニュース</t>
        </is>
      </c>
      <c r="F4052" t="inlineStr">
        <is>
          <t>御消息；きり消息；消息を知り得る；消息をつかん</t>
        </is>
      </c>
      <c r="G4052" t="inlineStr">
        <is>
          <t>消息通；消息筋；消息子；消息宣下</t>
        </is>
      </c>
      <c r="H4052" t="n">
        <v>29</v>
      </c>
      <c r="I4052" t="inlineStr">
        <is>
          <t>コンスタンティアとの間に生まれた男子の消息は記録がなく不明である。；花顚は二ヶ月後に京都に戻ったが月湖のその後の消息は伝わっていない。；以降の消息は伝えられておらず、時代は第二次世界大戦に突入している。；山川は逃げるようにフランスへ留学し、その後の消息は不明といわれる。；その後の消息は明らかではなく、ガーリチで獄死したと推測されている。；これらは昭和30年代前半に除籍されたが、その後の消息は不明である。；また田中ケロをはじめ関係者が消息を探していたが、現在も不明とのこと。；なお、地球攻略艦隊はゴルバ戦以降の描写がなかったため、消息は不明。；いかだで海に出た後は生存も死亡も確認されておらず、消息は不明である。；七重の消息も分からないまま、ミンは韓国へ帰ることになってしまう。；以後の消息は明らかになっておらず、存命であれば現在満86歳である。；時代は第二次世界大戦に突入、戦後の消息については伝えられていない。；ある人物の消息を尋ねるためにやってきたのだが、有力な情報が得られない。；しかし彼らもまた、わずかな資料を送ってきただけで消息を絶ってしまった。；のち消息はよくわかっていないが、寛永14年に死去したといわれている。；その後の消息は不明であるが、先述の横須賀で運用された機体ともされる。；永山はこの出演を終えて母国・北朝鮮へ帰国、その後消息は不明である。；安貞元年7月に病にあったと知られるのが最後で、以後の消息は不明。；明治8年に京都で警察官に採用されたとされるが、以後の消息は不明。；その後公式ホームページも閉鎖され、以後の消息は不明のままである。；その後の消息は全く知らないけど、あの子のことをずっと書きたいと思ってたんだ。；劉は後に自由を得たが1949年以後の消息は知られていない。；この作品の後に完全に芸能界から身を引いたため、その後の消息は不明である。；以降の消息は不明であり、この時、馬籠遠山氏は滅亡したと考えられる。；その後、遊園地の守衛などを務めたというが、晩年の消息は不明である。；その後の消息はほとんど聞かれず、伝説中の人物となっていた。；同機は1940年に台湾に売却されたが、その後の消息は不明である。；その後の消息は不明だが、おそらく焼失したものと考えられている。；その後の消息は不明であるが、平成に入って間も無く死去したという。</t>
        </is>
      </c>
      <c r="J4052">
        <f>HYPERLINK("https://www.weblio.jp/content/消息", "词义详情")</f>
        <v/>
      </c>
      <c r="K4052">
        <f>HYPERLINK("https://yourei.jp/消息", "查看例句")</f>
        <v/>
      </c>
    </row>
    <row r="4053">
      <c r="A4053" t="inlineStr">
        <is>
          <t>招待</t>
        </is>
      </c>
      <c r="B4053" t="inlineStr">
        <is>
          <t>成功</t>
        </is>
      </c>
      <c r="C4053" t="inlineStr">
        <is>
          <t>読み方：しょうたい
［名］(スル)《古くは「しょうだい」》客を招いてもてなすこと。催しなどに客として招くこと。また、人にわざわざ来てもらうこと。「祝賀会に—される」「—券」</t>
        </is>
      </c>
      <c r="D4053" t="inlineStr">
        <is>
          <t>招待状(10%)；招待される(4%)；招待作品(2%)；招待券；招待者</t>
        </is>
      </c>
      <c r="E4053" t="inlineStr">
        <is>
          <t>呼ぶ；誘い；招き；招く；促す</t>
        </is>
      </c>
      <c r="F4053" t="inlineStr">
        <is>
          <t>ご招待；御招待；正式招待；無料招待；追加招待</t>
        </is>
      </c>
      <c r="G4053" t="inlineStr">
        <is>
          <t>招待選手；招待所；招待制；招待競走；招待国</t>
        </is>
      </c>
      <c r="H4053" t="n">
        <v>29</v>
      </c>
      <c r="I4053" t="inlineStr">
        <is>
          <t>また、県外のチーム・選手が招待参加し一部の区間に参加する年もある。；伝統的にこの会には女性だけが参加していたが、男性が招待される場合もある。；近隣中学校を大会に招待することで生徒・教員間などで地域連携を図る目的。；優勝しなかった場合でも成績に基づいて招待される場合がある。；番組表上で国際または国際招待とあるのが出走可能なレースである。；その招待は彼には遅すぎ、生徒の中に行き場のない者が出てしまったのである。；キック力を要することから、サッカー選手などが招待されることが多い。；会議ごとに、招待講演に基づく学術的な論文を含む議事録が刊行される。；翌日寅次郎は、大洲城の近くで偶然に知り合った老人の家に招待される。；最初の段階として主催者が自らの知り合いをネットワーク上に招待する。；また招待を受けた国際連合総会オブザーバーも参加することができる。；下野とはよく飲みに行ったり、食事に行ったり、家に招待されたりしている。；京都フランス音楽アカデミーの2006年度招待教授にも任命されている。；彼は貧しい人々と一緒に食事をし、彼らを自分の家に招待して彼らを養った。；多くの社会的行事に招待されるようになり、それをうまく利用した。；一方で蔣介石はドイツ大物軍人を中国に招待する希望を持っていた。；間に招待されない年もあったが、2012年も日本から1人の参加となった。；さらに可能な限り多くの人々をカーニバルに招待する目的もある。；製作前の各作品に「抽選で50名を試写会にご招待」とまで告知された。；東京に来てから玉置本人に会うことができ、自宅にも招待された。；これは、招待券の配布店舗が東京周辺の南関東に限られていたことによる。；翌1982年には前年の日本での活躍から、マスターズに招待される。；指名されるチームメイトの招待状所持は特に問われないようである。；彼はまたアメリカ合衆国の作曲家アーロン・コープランドに招待され師事した。；招待作家は翌年1月の展覧会までに規定のサイズの新作を制作して発表する。；父は外出が好きだったからマイケルはネバーランドに招待してくれた。；第一回の1930年大会は全出場チームが招待参加している。；SF作家などの関係者は一般参加者とは別に委員会から招待されることもある。；その際彼女は、自分の舞台の様子を知ってもらうため、敢えて母を劇場に招待。</t>
        </is>
      </c>
      <c r="J4053">
        <f>HYPERLINK("https://www.weblio.jp/content/招待", "词义详情")</f>
        <v/>
      </c>
      <c r="K4053">
        <f>HYPERLINK("https://yourei.jp/招待", "查看例句")</f>
        <v/>
      </c>
    </row>
    <row r="4054">
      <c r="A4054" t="inlineStr">
        <is>
          <t>正体</t>
        </is>
      </c>
      <c r="B4054" t="inlineStr">
        <is>
          <t>成功</t>
        </is>
      </c>
      <c r="C4054" t="inlineStr">
        <is>
          <t>読み方：しょうたい
《古くは「しょうだい」》
１隠されているそのもの本来の姿。本体。「—を現す」「—不明の怪人物」
２正常に意識が働いているときのようす。正気。「—もなく眠る」
３（「御正体」の形で）神仏の本体。神体。
「御—をば取りて本宮にゐてたてまつりて」〈今昔・三一・一〉</t>
        </is>
      </c>
      <c r="D4054" t="inlineStr">
        <is>
          <t>正体不明；正体を現わし；正体を知りたい</t>
        </is>
      </c>
      <c r="E4054" t="inlineStr">
        <is>
          <t>たち；地；意識；自体；実態</t>
        </is>
      </c>
      <c r="F4054" t="inlineStr">
        <is>
          <t>正体を現わす</t>
        </is>
      </c>
      <c r="G4054" t="inlineStr">
        <is>
          <t>正体字</t>
        </is>
      </c>
      <c r="H4054" t="n">
        <v>29</v>
      </c>
      <c r="I4054" t="inlineStr">
        <is>
          <t>正体が特定されたものはほとんどないが、目撃例は中世以降多数存在する。；このダークエネルギーの真の正体は現状ではほぼ推測の対象にすぎない。；兵器の正体を知らされないまま3人は兵器を持つ組織の基地に潜入する。；犬の正体はナポレオンが動物主義を教え込んだという仔犬たちであった。；そして雨宮は事件の背後にある巨大な陰謀と自身の正体を知ることになる。；宇宙の手と呼ばれる存在が支えているとも言われるが、その正体は不明である。；そのため、大阪時代には川村龍一が正体であると噂されたことがある。；程無くしてゴヴの活動は露見し、その正体が明かにされることとなった。；一方、黒い蛇の正体は、白い蛇を排除するべく生み出された蛇のコピー。；虫の正体は分からずじまいで女医ではなく老医師に注射を1本打たれる。；普段は人間として暮らしているが、その正体は鳥状の姿をしている。；そして自らの腕の皮を剥がして金属骨格になった腕を見せて正体を明かす。；そんな中、夫へのプレゼントを機に家族に正体が知られそうになる。；この男性の正体は未だに不明であるが、夫の家茂である可能性が強い。；アニメでもグレートサイヤマンの正体と同じくらい強さが気になると発言していた。；この正体を理解するための観測が現在続けられている。；正体が全く知られていないか、公開を強く拒否している場合。；互いの正体に二人はショックを受け、それと同時に相手を殺す事を決意する。；ここでは菊タローの正体だと言われている菊澤光信の経歴も記載する。；その正体はアンドルフが残したバイオウェポンが独自で進化したもの。；ただし、本人が公の場に姿を現したことはなく、その正体は謎に包まれている。；だがその部隊の正体は、実は遊んでばかりのオキラク部隊であった。；妖霊は魔法の力を持つ存在で、魔術師たちの力の正体ともいわれる。；太古から悪と戦い続けた、という以外正体が謎に包まれている意識生命体。；実はその正体は火であり、ウートガルザ・ロキが見せた幻影であった。；技術協力を行った人物の正体はシャア・アズナブルであるとされる。；これらの傾向は、既に述べた散在流星の正体の仮説と、ほぼ一致している。；この時にもルルロフ殿下は顔を見せていないため、その正体は謎のままである。；その後、陳勝は、反乱を起こして、自分の正体は扶蘇であると詐称した。</t>
        </is>
      </c>
      <c r="J4054">
        <f>HYPERLINK("https://www.weblio.jp/content/正体", "词义详情")</f>
        <v/>
      </c>
      <c r="K4054">
        <f>HYPERLINK("https://yourei.jp/正体", "查看例句")</f>
        <v/>
      </c>
    </row>
    <row r="4055">
      <c r="A4055" t="inlineStr">
        <is>
          <t>状態</t>
        </is>
      </c>
      <c r="B4055" t="inlineStr">
        <is>
          <t>成功</t>
        </is>
      </c>
      <c r="C4055" t="inlineStr">
        <is>
          <t>読み方：じょうたい
人や物事の、ある時点でのありさま。「危険な—」「昏睡(こんすい)—」「健康—」</t>
        </is>
      </c>
      <c r="D4055" t="inlineStr">
        <is>
          <t>状態不良；状態で保た；状態良好；状態で臨ん；状態からぬけ</t>
        </is>
      </c>
      <c r="E4055" t="inlineStr">
        <is>
          <t>こと；様子；様；状；事態</t>
        </is>
      </c>
      <c r="F4055" t="inlineStr">
        <is>
          <t>保存状態；近い状態；膠着状態；可能な状態；危険な状態</t>
        </is>
      </c>
      <c r="G4055" t="inlineStr">
        <is>
          <t>状態遷移；状態変化；状態方程式；状態ベクトル；状態密度</t>
        </is>
      </c>
      <c r="H4055" t="n">
        <v>29</v>
      </c>
      <c r="I4055" t="inlineStr">
        <is>
          <t>逆に、ある状態をいくつかの状態の重ね合わせに分解することもできる。；この統一的な状態を破壊したものが、近代的な国民国家の成立と言える。；皆既日食が起こると空がかなり暗くなり星の観測も可能な状態になる。；脳機能の回復と記憶の再構成にはこの状態となることが重要とされている。；このときエネルギーの測定は摂動が加わってない状態で行われている。；これらの状態のエネルギーは全てバンドギャップ内にあることが示される。；この中心核の構造は地球と似ているが、より濃密な状態になっている。；このために気体の状態では物質の種類を問わずに共通の性質が表れやすい。；このような状態で見える水の色を、日本語ではそのまま水色と呼んでいる。；しかし宇宙全体で見ると、実は液体の状態で存在している量は少ない。；状態を分離することでUIの状態をより予測しやすいものにできる。；また遺伝的固定度が高い状態から選抜し、系統化するため効率的である。；日本では、カチンコを手に持ち、手を伸ばした状態で鳴らすことが多い。；これは赤と緑を十分に区別できないいわゆる「赤緑色盲」の状態である。；狭義では、複数枚の紙が一方の端を綴じられた状態になっているもの。；説明的妥当性を持つ理論は初期状態である普遍文法の性質を記述する。；雷を発生させる雲を雷雲と呼び、その時に雲は帯電状態となっている。；命名は発見順になされており、液晶の状態を反映したものではない。；まれにこの演出すら発生しないまま商品購入状態の初期画面にされる場合もある。；このころは業界では評価されるが、一般的には無名の状態であった。；バンドギャップのためにそのような状態とならない物質が絶縁体である。；記録は、安定した形で定着・保存された状態にある情報である。；欠陥とは、理想状態を想定できる物事における理想状態との違いである。；ネットワークの状態を追跡し維持する集中監視機能や性能測定機能は存在しない。；超新星爆発で中性子星が残らない場合の状態を探る研究も行われている。；そのため、生きている状態と死んでいる状態をはっきりと区別することはできない。；の3つの流れをバランスよく滞りない状態にするのが治療目標になる。；基本的に治療の目標は嘔吐を止めて、歩行可能状態にすることである。；この繰り返し計算を行うことで、照明状態が一定の安定状態に至る。</t>
        </is>
      </c>
      <c r="J4055">
        <f>HYPERLINK("https://www.weblio.jp/content/状態", "词义详情")</f>
        <v/>
      </c>
      <c r="K4055">
        <f>HYPERLINK("https://yourei.jp/状態", "查看例句")</f>
        <v/>
      </c>
    </row>
    <row r="4056">
      <c r="A4056" t="inlineStr">
        <is>
          <t>承諾</t>
        </is>
      </c>
      <c r="B4056" t="inlineStr">
        <is>
          <t>成功</t>
        </is>
      </c>
      <c r="C4056" t="inlineStr">
        <is>
          <t>読み方：しょうだく
［名］(スル)《古くは「じょうだく」》相手の意見・希望・要求などを聞いて、受け入れること。「上司の—を得る」「依頼を—する」</t>
        </is>
      </c>
      <c r="D4056" t="inlineStr">
        <is>
          <t>承諾する(11%)；承諾なし；承諾証明情報；承諾書；承諾すれ</t>
        </is>
      </c>
      <c r="E4056" t="inlineStr">
        <is>
          <t>理解；契約；約束；一致；承認</t>
        </is>
      </c>
      <c r="F4056" t="inlineStr">
        <is>
          <t>ご承諾；御承諾；不承諾；事前承諾；よろこんで承諾</t>
        </is>
      </c>
      <c r="G4056" t="inlineStr">
        <is>
          <t>承諾殺人罪；承諾者</t>
        </is>
      </c>
      <c r="H4056" t="n">
        <v>29</v>
      </c>
      <c r="I4056" t="inlineStr">
        <is>
          <t>王子が再度韮作りの娘に求婚すると、娘は承諾し、みな幸せに暮らした。；当時の町議会は、これを承諾し、これが現在の工業団地の基礎となった。；一旦は承諾し帰宅した剣の元に、またも組織からの置手紙が届けられる。；最終的には両親も、演劇をずっと頑張ってきた姿を知っているので承諾する。；何人もの女優に出演を断られたが、最終的に岸惠子が共演を承諾した。；しかし家達がそれに承諾を与えなかったため、河井の出張も中止となった。；不安になったレオポルトは立候補を断念し、国王もそれに承諾を与えた。；白鳥はこれをすぐには承諾せずに、推薦者と思われる近衛の元に赴いた。；アメリカ合衆国と大清帝国の条約案文を朝鮮側が事後承諾する形で締結。；かねてから弟子を取らないクリングラーであったが承諾され、師事する。；一方の和美は京極からのアプローチを受け、未来へ行くことを承諾する。；王はこの美女の要求を承諾し、そして美女を抱いて交わると歓喜を得た。；美しい文字で書を書くことで男性への交際を申し込みを承諾させてしまう。；パロディであるが円谷プロダクションの承諾を得たものとなっている。；しかし五社監督から「斬った張ったが似合うよ」と言われ出演を承諾した。；浦田が入社を承諾すれば息子も一緒に入れる、という条件を提示されていた。；代わりに師のズーカーマンが「日本を元気づけたい」と出演を承諾した。；この「犯人出頭」を評価した巨人側も広島での公式戦開催を承諾した。；当てが無い千里は仕方なく結婚を承諾したが、1カ月後に新造は死亡する。；その場に居合わせた雄一も説得に強力させられた結果、神崎らは承諾する。；承諾した竜は帰京後に師匠に相談し、対戦者を探して飛田のために尽力した。；もちろんこれは地主であるインディアンの承諾を得たものではない。；莫高窟の再建を計画していた王道士は500両で売ることを承諾した。；主人は土地付きの家とそれの交換を申し出、農夫は承諾したと言う。；その熱意がNBCを動かし、承諾を一気に取り付けることができました。；王は新しい服を購入するための資金を与えデオンは承諾した。；ビル・ニコルソン監督から受けた2度の勧誘を承諾しトッテナムと契約。；周囲は就任は危険だと説得したが彼は承諾した。；ところがこれをリーが承諾しなかったため、トレードは成立せずに終わった。</t>
        </is>
      </c>
      <c r="J4056">
        <f>HYPERLINK("https://www.weblio.jp/content/承諾", "词义详情")</f>
        <v/>
      </c>
      <c r="K4056">
        <f>HYPERLINK("https://yourei.jp/承諾", "查看例句")</f>
        <v/>
      </c>
    </row>
    <row r="4057">
      <c r="A4057" t="inlineStr">
        <is>
          <t>上達</t>
        </is>
      </c>
      <c r="B4057" t="inlineStr">
        <is>
          <t>成功</t>
        </is>
      </c>
      <c r="C4057" t="inlineStr">
        <is>
          <t>読み方：じょうたつ
［名］(スル)
１《古くは「しょうたつ」》技芸・技術などがよく身につき、進歩すること。「英会話が—する」
２下の者の意見などが君主や上位の官に知られること。「下意—」⇔下達(かたつ)。</t>
        </is>
      </c>
      <c r="D4057" t="inlineStr">
        <is>
          <t>上達する(10%)；上達ぶり(2%)；上達論；上達法；上達すれ</t>
        </is>
      </c>
      <c r="E4057" t="inlineStr">
        <is>
          <t>技術；発展；向上；発達；進行</t>
        </is>
      </c>
      <c r="F4057" t="inlineStr">
        <is>
          <t>すぐに上達；かなり上達；早く上達；囲碁上達</t>
        </is>
      </c>
      <c r="H4057" t="n">
        <v>29</v>
      </c>
      <c r="I4057" t="inlineStr">
        <is>
          <t>それは本人の誠実と、年齢と腕の上達とが主人に考慮されたからだった。；人間の持つ才能は、どんなものであれ、練習すればするほど上達します。；勉強したわけではなく、日本人の友人と話しているうちに上達したという。；スポーツというものは、そう簡単に上達できるものでも無いのだけれど。；上達が早くて自分では間に合わなくなったから、法神に託したのである。；前より、うんと文が長くなっていて、その上達ぶりにびっくりしました。；それがこんどはじめて、安任の嘆願書一通だけが上達されたのであった。；立派な手本をみて「習字」することが上達の基本だと信じたからだった。；バイクの技術だって上達してきてるんだし、大会に出て上位に入れよ。；このため、人間としては手首や腕の柔軟さが上達の程度に影響してくる。；最後に娘の演奏を腕の皮膚上で聞いたとき、彼女は妻と同じ程度に上達していた。；ただし、上達のためには待ったをしないことが重要であるといわれる。；一方、大阪城に集結した森上達は桐山のいる大阪の集英会事務所を襲撃。；八月まで滞在するそうで、その間の上達ぶりは後日報告するつもりです。；いや、少なくともフールが以後の使用を許可するぐらいにまでは上達した。；女性の身体を見るように撮影すれば、誰でも簡単に上達するに違いないと思った。；フランス語はかなり上達したので、もうレッスンを受けに行かなくなった。；私が名人になったからといって、子供の剣術が上達するわけではない。；綾の上達を認めた先生は、今度の発表会に出てもいいと言ってくれた。；あれから剣の練習はつんでいるが、どこまで上達しているかは自信がない。；一体この齢に僅かづゝ上達したところで、それがどうなるといふのです。；家に帰ったピングーは上達した演奏を披露し、家族を楽しませるのだった。；足掛六七年になるが、これも怠けて居るから、どれ程の上達もして居ない。；洋学も勉強すべし、漢学も勉強すべし、同時に学んでともに上達すべし。；彼の言葉は、上達とスタイルの関係を考える上で、非常に参考になる。；また、能力は訓練することによってその能力を上達させることも可能である。；私自身は、上達の論理の技化ができている人にこれまで何人も出会ってきた。；あれを買って、英語が上達し、頭のよくなった人がいたかどうか。；それに、バレーの経験があるせいか、バランスのとりかたは上達が早い。</t>
        </is>
      </c>
      <c r="J4057">
        <f>HYPERLINK("https://www.weblio.jp/content/上達", "词义详情")</f>
        <v/>
      </c>
      <c r="K4057">
        <f>HYPERLINK("https://yourei.jp/上達", "查看例句")</f>
        <v/>
      </c>
    </row>
    <row r="4058">
      <c r="A4058" t="inlineStr">
        <is>
          <t>冗談</t>
        </is>
      </c>
      <c r="B4058" t="inlineStr">
        <is>
          <t>成功</t>
        </is>
      </c>
      <c r="C4058" t="inlineStr">
        <is>
          <t>読み方：じょうだん
［名・形動］
１遊びでいう言葉。ふざけた内容の話。「—を交わす」「—を真に受ける」
２たわむれにすること。また、そのさま。いたずら。「—が過ぎる」
「—な女どもだ。みんな着物をかぶってくるは」〈滑・膝栗毛・六〉
[補説]曲名別項。→冗談</t>
        </is>
      </c>
      <c r="D4058" t="inlineStr">
        <is>
          <t>冗談めかし(5%)；冗談半分(3%)；冗談まじり；冗談みたい；冗談ごと</t>
        </is>
      </c>
      <c r="E4058" t="inlineStr">
        <is>
          <t>ユーモア；ギャグ；ふざけ；洒落；戯れ</t>
        </is>
      </c>
      <c r="F4058" t="inlineStr">
        <is>
          <t>そんな冗談；半ば冗談；御冗談；ご冗談；軽い冗談</t>
        </is>
      </c>
      <c r="G4058" t="inlineStr">
        <is>
          <t>冗談口；冗談交じり；冗談話；冗談音楽；冗談関係</t>
        </is>
      </c>
      <c r="H4058" t="n">
        <v>29</v>
      </c>
      <c r="I4058" t="inlineStr">
        <is>
          <t>あなた、いくら冗談でもそんな乱暴なことをいうものじゃありませんよ。；直後に冗談だったと否定したものの、後に本人が自身の口から引退を認めた。；私が冗談を言ったのじゃなく、ジュリアン先生が言ったのでもありません。；ブルークマンによると、元はが冗談で使ったのがはじまりであるという。；冗談だと信じない仲間たちを、ジョンは河原へ連れて行き死体を見せる。；半信半疑だったが、無料だったこともあり冗談半分で登録した小百合。；太夫の方ぢや何時もの冗談と思ふから、笑つてばかりゐて相手にしない。；入団会見時には「貢献したから選ばれたのかな」と冗談を飛ばしている。；ボビーはそれを冗談だと思って一笑に付し、その場は別れた二人だった。；地下鉄サリン事件直後からオウム真理教の冗談を周囲に話すようになる。；奴らは発売後、すぐに結果を欲しがるんだが、そんなものは悪い冗談だ。；ゲラン自身によると、復帰の話は「最初は冗談みたいなもの」であった。；彼は以前、自分が死んだ際には墓石にと刻んでほしいと冗談を言っていた。；この話で夕食会は盛り上ったが、その時はパーティの席での冗談であった。；デモを作って彼に送ったところ、彼は僕が冗談を言っていると思ったようだ。；暗くなった後、人々は夕方の残りの時間を冗談と昔の話をするのに費やした。；冗談を言う側がその後も恒常的に冗談を言い続けられるようにするためである。；手順も様々で、中には冗談とも思えるバカバカしい様な方法も存在した。；インタビューの際には、いつものように冗談をいいつつも涙を見せた。；彼は録音は冗談であり、女の子ではなく友人に送信されたと述べた。；冗談ではなかったのだ、この妙な老人には、何かしら成算があるらしい。；冗談のつもりだったが、数日後に和康は何者かに刺されて殺されてしまう。；それほど崋山のこの冗談のような語には、妙な鋭さがあったのである。；冗談ではあろうが、屋敷をしくじるように祈っていると言ったこともある。；居合わせたのが欧米人のみであったために、冗談と思われたのである。；陶は他国人の前で、出来るならば冗談に紛らせようとして僕の方を見た。；階下では嘉六が母の弟の妻や娘を相手に冗談ばなしでもしているのでしょう。；敵だ敵だと云うのですが、それが冗談にいうのか本気で云っているのか分らないんです。；ゲオルギーは面白い冗談を言っては兄を非常に面白がらせたのだった。</t>
        </is>
      </c>
      <c r="J4058">
        <f>HYPERLINK("https://www.weblio.jp/content/冗談", "词义详情")</f>
        <v/>
      </c>
      <c r="K4058">
        <f>HYPERLINK("https://yourei.jp/冗談", "查看例句")</f>
        <v/>
      </c>
    </row>
    <row r="4059">
      <c r="A4059" t="inlineStr">
        <is>
          <t>承知</t>
        </is>
      </c>
      <c r="B4059" t="inlineStr">
        <is>
          <t>成功</t>
        </is>
      </c>
      <c r="C4059" t="inlineStr">
        <is>
          <t>読み方：しょうち
［名］(スル)
１事情などを知ること。また、知っていること。わかっていること。「無理を—でお願いする」「君の言うことなど百も—だ」「事の経緯を—しておきたい」
２依頼・要求などを聞き入れること。承諾。「申し出の件、確かに—した」
３相手の事情などを理解して許すこと。多く下に打消しの語を伴って用いる。「この次からは—しないぞ」</t>
        </is>
      </c>
      <c r="D4059" t="inlineStr">
        <is>
          <t>承知いたし；承知致し；承知おき；承知下さい；承知ください</t>
        </is>
      </c>
      <c r="E4059" t="inlineStr">
        <is>
          <t>理解；契約；知る；約束；一致</t>
        </is>
      </c>
      <c r="F4059" t="inlineStr">
        <is>
          <t>ご承知；重々承知；十分承知；たら承知；すべて承知</t>
        </is>
      </c>
      <c r="G4059" t="inlineStr">
        <is>
          <t>承知のすけ；承知川</t>
        </is>
      </c>
      <c r="H4059" t="n">
        <v>29</v>
      </c>
      <c r="I4059" t="inlineStr">
        <is>
          <t>ここへ来る客人は皆、わしの説明を聞くまでは手術を承知しないからね。；ただし、このときのパイロットは、本事故の状況を事前に承知していた。；赤眼はあいつの家にたった一人のお袋がいることを前から承知している。；同年には病身であったがそれを承知で日本紡績協会委員長に就いていた。；僕も承知しているのだ、今御膳会議で二人の噂が如何に盛んであったか。；世界のどのアメリカ軍基地でも撤去を求められているとは承知していない。；若者が承知すると、女は若者の頬に噛み付き、頬に傷がついてしまった。；以後も藩命としてそれぞれに棄教を迫ったが、承知する者はいなかった。；手ごたえのある処にいって暴れてみないじゃ腹の虫が承知しないからな。；ただし、偽装して屋敷と称したのではなく、幕府は内実を承知していた。；その悔しさから、問題を抱えているのを承知で無理を強いたかもしれない。；しかしパスカルはヴィヴィアン・リー主演で映画化することは承知した。；善兵衛はあしたにしろと言ったのですが、叔父はどうしても承知しない。；そして、王子が来るのを、どうしても承知しようとはしませんでした。；お千代 わたくしが頼めば、どうしてあの人が承知するのでございます。；こゝに来てゐらつしやる巡査さんもこのことはよく御承知の筈だと思ひます。；それを聞いたア太郎は無理を承知の上で花を咲かせることを決意する。；その入れ合わせに、三次も同じ目に合わせてやらねば、承知出来ぬと思った。；罠が仕掛けられている事を承知で、その中に飛び込んでゆく結衣ら兄弟。；距離をその八尺ずつというお達しでさ、御承知でもございましょうがね。；いくら、あれは君の事を書いたのではないと云つても、承知しない。；すると、他の家族が承知したものの、帰ってきたトールが結婚に反対した。；だけど一方でそれを承知でやってる、覚悟してやってるというか。；年の順とあれば議論の仕様もないので三人もおとなしく承知した。；そのため、格が違うのを承知の上で、意図的に誤訳したのだと思われる。；あなたもご承知のように、僕は金庫の鍵を持っているのですからね。；その後、二人にとって困難であることを承知の上で、この結婚を承認した。；当時の首相ゴードン・ブラウンはこうした行為を承知していたとみられている。；東京周辺は御承知のように非常に混乱をいたしております。</t>
        </is>
      </c>
      <c r="J4059">
        <f>HYPERLINK("https://www.weblio.jp/content/承知", "词义详情")</f>
        <v/>
      </c>
      <c r="K4059">
        <f>HYPERLINK("https://yourei.jp/承知", "查看例句")</f>
        <v/>
      </c>
    </row>
    <row r="4060">
      <c r="A4060" t="inlineStr">
        <is>
          <t>焼酎</t>
        </is>
      </c>
      <c r="B4060" t="inlineStr">
        <is>
          <t>成功</t>
        </is>
      </c>
      <c r="C4060" t="inlineStr">
        <is>
          <t>読み方：しょうちゅう
日本固有の蒸留酒。酒かす・みりんかすを蒸留したものと、穀類やサツマイモを発酵させたもろみを蒸留したものとがある。アルコール分20〜50パーセント。米焼酎・芋焼酎・麦焼酎・泡盛など多くの種類がある。《季夏》「汗垂れて彼の飲む—豚の肝臓(きも)／波郷」
[補説]酒税法では、連続式蒸留機で蒸留した甲類と、単式蒸留機で蒸留した乙類に分類される。→甲類焼酎→乙類焼酎</t>
        </is>
      </c>
      <c r="D4060" t="inlineStr">
        <is>
          <t>焼酎ブーム；焼酎メーカー；焼酎製造；焼酎乙類；焼酎火</t>
        </is>
      </c>
      <c r="E4060" t="inlineStr">
        <is>
          <t>酒；ジョン；アルコール；スピリッツ；強い酒</t>
        </is>
      </c>
      <c r="F4060" t="inlineStr">
        <is>
          <t>乙類焼酎；イモ焼酎；藷焼酎；新式焼酎；連続式蒸留焼酎</t>
        </is>
      </c>
      <c r="G4060" t="inlineStr">
        <is>
          <t>焼酎居酒屋；焼酎ハイボール</t>
        </is>
      </c>
      <c r="H4060" t="n">
        <v>29</v>
      </c>
      <c r="I4060" t="inlineStr">
        <is>
          <t>それでも足りないとみると、二軒目の店では焼酎を浴びるように飲んだ。；それから私は前からの約束もあって、友人と焼酎を飲みに出かけて行った。；酒というものを飲んだことのない者がいきなりビール入り焼酎である。；この人が焼酎を飲んで地べたに寝るのかと不思議でなりませんでした。；今晩あたり林がここにくるはずだからと、焼酎を飲み飲み待っていた。；傷を焼酎で洗われたりしたら痛いだろうのに、眉をしかめもしなかった。；焼酎というのは、飲むためというより、怪我をしたときの消毒薬なんだ。；焼酎を海外に輸出するにはアラックの名が一番有力であると思ったのであるが。；江戸時代から南九州で広く栽培されているサツマイモを原料とした焼酎。；少女の父親は少女が死んでくれればいいと話し、昼間から焼酎を飲んでいた。；しばらく焼酎を飲んでから七輪に火をおこし、ヤカンに水を汲んでくる。；「美少年」の銘柄で日本酒を製造・販売したほか、焼酎も製造していた。；盃の焼酎に落ちて溺れて蠅が死んだ、それは私自身の姿ではなかつたか。；かつて日本では、焼酎を燗して飲むという飲酒法が、よく行われていた。；そのせいで昨夜は仕事に出ず、今日も朝から焼酎を飲んでいる。；九州の地酒はこれを境に日本酒と焼酎に分かれているとされる。；五十代の作業着姿の男が、焼酎の瓶とサキイカの袋を持って立っていた。；そして藷焼酎を飲むためにこの世へ生れて来たやうな男も随分居る。；焼酎は前から冷やしてあったらしく、ギヤマンの表面にすぐ水滴がつく。；主に生産するのは日本酒だが、焼酎やリキュール類も生産している。；ウイスキーやブランデーのかわりに焼酎がメインとされるものである。；また、焼酎の主原料としても使用されることがありそば焼酎と呼ばれる。；おもに焼酎を中心とした酒類の製造および販売の運営を行っている。；これを要するに、わが国には現在次のような四種の焼酎があるといってよい。；種々の男が入れ代って、アルコールで調合した焼酎を飲んでゆきました。；日本酒を主力としているが、乙類焼酎や梅みつワインも製造している。；心がうきうきして焼酎がいつもの倍ほども旨く感ぜられたくらいです。；ピアノの上にはビールのかわりに焼酎が何杯も運ばれてきた。；度数は五十度以上は確かだが何度だかわからぬという恐ろしい焼酎である。</t>
        </is>
      </c>
      <c r="J4060">
        <f>HYPERLINK("https://www.weblio.jp/content/焼酎", "词义详情")</f>
        <v/>
      </c>
      <c r="K4060">
        <f>HYPERLINK("https://yourei.jp/焼酎", "查看例句")</f>
        <v/>
      </c>
    </row>
    <row r="4061">
      <c r="A4061" t="inlineStr">
        <is>
          <t>情緒</t>
        </is>
      </c>
      <c r="B4061" t="inlineStr">
        <is>
          <t>成功</t>
        </is>
      </c>
      <c r="C4061" t="inlineStr">
        <is>
          <t>読み方：じょうしょ
「じょうちょ（情緒）」に同じ。「下町—」</t>
        </is>
      </c>
      <c r="D4061" t="inlineStr">
        <is>
          <t>情緒的(16%)；情緒不安定(8%)；情緒表現；情緒豊か；情緒性</t>
        </is>
      </c>
      <c r="E4061" t="inlineStr">
        <is>
          <t>感じ；思い；気持；気持ち；空気</t>
        </is>
      </c>
      <c r="F4061" t="inlineStr">
        <is>
          <t>下町情緒；詩的情緒；温泉情緒；たる情緒；南国情緒</t>
        </is>
      </c>
      <c r="G4061" t="inlineStr">
        <is>
          <t>情緒纏綿；情緒障害児短期治療施設；情緒障害児；情緒的近親姦；情緒不安定性パーソナリティ障害</t>
        </is>
      </c>
      <c r="H4061" t="n">
        <v>29</v>
      </c>
      <c r="I4061" t="inlineStr">
        <is>
          <t>そういう植物の情緒や感覚が触れてくる、二人はもう普通の人ではない。；長くわたくしが巴里の空を忘れ得ぬのもこの情緒のなすところであろう。；今一度言葉をかへていふ時は、思想は情緒のある傾向を示すものである。；もちろん気分や情緒的に暗いのではなく、実際に光がすくなかったのだ。；月は人間の感情や情緒的気分などの心理的傾向を示すといわれている。；昨夜の情緒が、妙に執拗に私の身体に尾を引いているように思われた。；事件や行動の報告よりは情調情緒の報告の方が更に具象的なる場合がある。；こういう情緒を表現する方法はつまりは二つしかないものなのね。；しかしある期間、ワルマ卿が神経質になり情緒不安になるときがあった。；また最も高揚された情緒と言ふものは斯ういふ境地なのではあるまいか。；観念や情緒や意欲のある処、即ち思想がある、と一応云っていいだろう。；彼は幾つになっても青年のような純な情緒を持っていた人である。；私が、こんなふうに情緒的になると、その後、きまって熱を出すのです。；斯くて秩父の山や谷が私に与える感じは、情緒的であり女性的である。；このアーケードは江戸時代の情緒や海をモチーフにしたものだという。；また反日とは関係の無い問題でも、国民情緒が司法に影響する場合がある。；そして音の高低や弛張につれて私の情緒も波のように動いて行った。；この人の演奏は同門のペトリとは反対に、技巧よりも情緒が優れている。；京都へくると、また京都らしい情緒をその名称の中にたたえていて嬉しい。；に見られるような、あたらしい情緒の世界の設立は禁断であらねばならぬ。；彼は、生まれつき豪勇で事があったときには情緒に左右されなかった。；その瞬間に乞食としての自分の情緒がいくらかの変化を受けはしないだろうか。；情緒情調の報告よりは思想の報告の方が更に具象的なる場合がある。；都の公卿ほどな風流でも贅でもないが、そんな情緒が彼は好きなのである。；ある特殊な情緒に動いている人間の顔などは、モデルに頼ることができぬ。；色彩は明るくなり、絵のスタイルも情緒的なものに変わっていった。；がその他の点に於ては、尋常以上に情緒の支配を受けるべく余儀なくされていた。；その無作法にただ鳴らしたところが三四郎の情緒によく合った。；洋楽の手法で日本人の情緒感と原始的郷愁を踏まえた作品を多く残した。</t>
        </is>
      </c>
      <c r="J4061">
        <f>HYPERLINK("https://www.weblio.jp/content/情緒", "词义详情")</f>
        <v/>
      </c>
      <c r="K4061">
        <f>HYPERLINK("https://yourei.jp/情緒", "查看例句")</f>
        <v/>
      </c>
    </row>
    <row r="4062">
      <c r="A4062" t="inlineStr">
        <is>
          <t>象徴</t>
        </is>
      </c>
      <c r="B4062" t="inlineStr">
        <is>
          <t>成功</t>
        </is>
      </c>
      <c r="C4062" t="inlineStr">
        <is>
          <t>読み方：しょうちょう
［名］(スル)抽象的な思想・観念・事物などを、具体的な事物によって理解しやすい形で表すこと。また、その表現に用いられたもの。シンボル。「平和の—」「現代を—する出来事」</t>
        </is>
      </c>
      <c r="D4062" t="inlineStr">
        <is>
          <t>象徴する(23%)；象徴的(10%)；象徴性；象徴化；象徴物</t>
        </is>
      </c>
      <c r="E4062" t="inlineStr">
        <is>
          <t>意味；代表；説明；表現；表す</t>
        </is>
      </c>
      <c r="F4062" t="inlineStr">
        <is>
          <t>象徴するアイコン；象徴として認識；象徴する建造物；象徴する図像；象徴する建築物</t>
        </is>
      </c>
      <c r="G4062" t="inlineStr">
        <is>
          <t>象徴主義；象徴派；象徴詩；象徴天皇；象徴種</t>
        </is>
      </c>
      <c r="H4062" t="n">
        <v>29</v>
      </c>
      <c r="I4062" t="inlineStr">
        <is>
          <t>収容者には政治犯や精神病者なども含まれたため、支配の象徴とされた。；武器はその能力以外に民族や権力の象徴のような特別な意味を持つ場合がある。；現代ではフランク族を象徴する武器のひとつとしてしばしば言及される。；右図にあるように肌が緑色なのは植物の色を象徴しているからだといわれる。；また遠くには月が見えていて、計画の最終的な目標を象徴している。；中間部にある白い領域には、イスラム教を象徴する大きな三日月がある。；鉄道は、マネや印象派の画家が追求した近代性を象徴する主題であった。；神話の物語は象徴化を用いることでこの領域の出来事を理解しやすくしている。；この曲は本作を象徴する音楽として関連作品でも多く用いられている。；工具は、人類を地球上の全ての他の動物から分離した決定的な象徴である。；このマークは形そのものが手鏡を示しており女性を象徴するものと扱われている。；日本の天叢雲剣は三種の神器の中では天皇の持つ武力の象徴とされている。；エリザベスの手は地球儀に置かれ、彼女の国際的な力を象徴している。；これらは武蔵野の農村であった調布の近代化を象徴する出来事であった。；これらの相が示すその象徴的な意味は以下のようになる。；これは勝利で終えた戦いを象徴し、戦勝記念の一環である要素が反映している。；前述の生命の樹を中心にした象徴照応教義はこの時に最大活用された。；この称号は元首としての意味は持たないが、統合の象徴となっている。；新王国期には、この出来事がエジプトの生命と時間の概念の複雑な象徴へと発展した。；本系列が地方路線近代化の旗手となったことを象徴する事実である。；王宮はハンガリーを象徴するもので、13世紀以来戦いの舞台であった。；神権を象徴する美しい冠をかぶった荘厳な姿で描かれ、孔雀がその聖鳥。；アニメや漫画などの評論では登場人物の象徴的なものを記号と呼ぶことがある。；企業や団体などの組織を象徴する色をコーポレートカラーと言う。；下賜された人物とその子孫が権威の象徴として「伝世」したともみられる。；ただし神話記述のあらゆる細部に象徴的な意味があるわけではない。；西洋の冠・王笏などは権力の象徴であるが、同時に装飾の役割を果たした。；次に卦辞が続き卦の名前と卦全体の内容を様々な象徴的な言葉で説明する。；フランスの主食はバゲットであり、これはフランスの象徴にもなっている。</t>
        </is>
      </c>
      <c r="J4062">
        <f>HYPERLINK("https://www.weblio.jp/content/象徴", "词义详情")</f>
        <v/>
      </c>
      <c r="K4062">
        <f>HYPERLINK("https://yourei.jp/象徴", "查看例句")</f>
        <v/>
      </c>
    </row>
    <row r="4063">
      <c r="A4063" t="inlineStr">
        <is>
          <t>焦点</t>
        </is>
      </c>
      <c r="B4063" t="inlineStr">
        <is>
          <t>成功</t>
        </is>
      </c>
      <c r="C4063" t="inlineStr">
        <is>
          <t>読み方：しょうてん
１レンズや球面鏡で、光軸に平行な入射光線が集中する一点。または入射光線が発散する場合、発散の原点と考えられる点。太陽の光を凸レンズで集めると、この点に置いた黒い紙が焦げるところからいう。
２楕円・双曲線・放物線を、定点と定直線からの比が一定である点の軌跡として位置づけるときの、定点。
３人々の注意や関心の集まるところ。また、物事のいちばん重要な点。「話の—を絞る」「—を当てる」</t>
        </is>
      </c>
      <c r="D4063" t="inlineStr">
        <is>
          <t>焦点を当て(26%)；焦点面；焦点化；焦点レンズ；焦点調節</t>
        </is>
      </c>
      <c r="E4063" t="inlineStr">
        <is>
          <t>的；中心；点；ポイント；箇所</t>
        </is>
      </c>
      <c r="F4063" t="inlineStr">
        <is>
          <t>共焦点；長焦点；短焦点；焦点調節機構；焦点テンソル</t>
        </is>
      </c>
      <c r="G4063" t="inlineStr">
        <is>
          <t>焦点空港；焦点深度；焦点都市；焦点合成</t>
        </is>
      </c>
      <c r="H4063" t="n">
        <v>29</v>
      </c>
      <c r="I4063" t="inlineStr">
        <is>
          <t>この段階では主鏡の位置合わせが行われておらず、焦点は合っていない。；作曲家本人は、耳の記憶に焦点を当てた作曲を行っていると述べている。；は与えられた二焦点からの距離のが一定となるような点の軌跡をいう。；こうした文化による体験の違いについては長く議論の焦点となってきた。；CGはほとんど用いず、アーティストの動きに焦点を当てた作品が特徴。；話題はすべての文にあるわけではないが、焦点はすべての文にあるとされる。；石見銀山を確保するにあたり、大きな焦点になったのは山吹城であった。；文の話題が明示されている場合、焦点は文のその他の部分に含まれる。；会社における中・長期的な戦略的な役割に焦点をあてたものである。；授業は「中の下」くらいの学力層に焦点を当てて進めることが多くなる。；遺伝よりも環境に焦点を当て犯罪原因の特定を試みる点に特徴がある。；州内では文化、歴史、民俗に焦点を当てた多くの祭も開催されている。；観測所では、観測グループで観測装置を観測焦点に設置する作業がある。；この研究では、主に人生経験が人格の変化に及ぼす影響に焦点を当てた。；この位置は戦略的に重要な位置にあったため、戦いの焦点になったのである。；つまり、音楽の内容と映画上の物語を繋ぐことに焦点を置いているのである。；また、一部の非焦点では、焦点よりも多くの便や就航地を運航している。；これを解決するためにフィルム用に焦点を変えられるモデルも一部に存在する。；でも私がこの賞を獲得したことで、この問題にさらなる焦点が当たると思う。；共同体の活動の焦点もまた、採用の促進から技術仕様の開発へと移動した。；初の語りによって書かれ、主に初と凌の関係に焦点が当てられている。；物語は数話ごとに1人の子供に焦点を当てた連作形式で構成される。；ほとんどの場合、我々は根本的な問題に焦点を当てるほど知識が無いのだ。；議論においては、議論の内容に冷静に焦点を合わせることが必要となる。；我々が主張している理論では、信用供給に焦点を当てた訳です。；軸と平行にレンズを通った光は、レンズを通った後レンズの焦点を通る。；そのためこれらの国の緑の党は、選挙制度の民主化に焦点を当てている。；このリストは、西洋の業績に焦点を当てすぎているとして批判された。；このリストもまた、西洋に焦点を当てすぎていると批判された。</t>
        </is>
      </c>
      <c r="J4063">
        <f>HYPERLINK("https://www.weblio.jp/content/焦点", "词义详情")</f>
        <v/>
      </c>
      <c r="K4063">
        <f>HYPERLINK("https://yourei.jp/焦点", "查看例句")</f>
        <v/>
      </c>
    </row>
    <row r="4064">
      <c r="A4064" t="inlineStr">
        <is>
          <t>商店</t>
        </is>
      </c>
      <c r="B4064" t="inlineStr">
        <is>
          <t>成功</t>
        </is>
      </c>
      <c r="C4064" t="inlineStr">
        <is>
          <t>読み方：しょうてん
商品を売る店。「—街」</t>
        </is>
      </c>
      <c r="D4064" t="inlineStr">
        <is>
          <t>商店街(7%)；商店主(4%)；商店等；商店会；商店社長</t>
        </is>
      </c>
      <c r="E4064" t="inlineStr">
        <is>
          <t>店；店舗；蔵；倉庫；ショップ</t>
        </is>
      </c>
      <c r="F4064" t="inlineStr">
        <is>
          <t>地元商店；小規模な商店；大商店；沿いに商店；各商店</t>
        </is>
      </c>
      <c r="G4064" t="inlineStr">
        <is>
          <t>商店会；商店街振興組合；商店経営；商店街振興組合法；商店ガイレンジャー</t>
        </is>
      </c>
      <c r="H4064" t="n">
        <v>29</v>
      </c>
      <c r="I4064" t="inlineStr">
        <is>
          <t>この結果、本校の卒業者は半数近くが銀行・会社・商店員の職に就いた。；駅前には商店やトイレ等の施設は全くなく、民家が数軒あるのみである。；水田と畑で農業が営まれ、地区の中心の街道沿いに商店がいくつかある。；現在は流通関係の施設、市場関係の人を対象としていた商店が多い。；屋根を持つ歩廊式の建物内の両側に商店や工房が並ぶ方式が一般的である。；商店を持つ者同士がお互いのことを屋号で呼び合うのは今日でも同じである。；道路に沿って住宅や商店が並んでいる他は、田畑の広がる地域である。；商店は駅から少し離れたところに点在しており、ロードサイド型が多い。；全ての材料を揃えたら商店街に設置してあるキッチンで料理を開始し。；またものによっては地域の商店などの広告が入っている場合がある。；とても山深い場所に位置し駅周辺には商店はなく自動販売機もない。；各フロア毎にテーマ別に名前が付けられそれぞれ多数の商店が並ぶ。；襲撃された商店の店主らは自衛のため暴徒へ向かって発砲を繰り返した。；商店などでは祭り当日まで他人に飾りを見せないしきたりになっているという。；このころから、中小商店から大型店への人の流れが急速に移行しつつあった。；駅前は道路も狭く、食堂などの商店が数軒あるが整備はされていない。；国道147号沿いや音楽文化ホール裏には郊外型専門店や商店が見られる。；駅付近には銀行や大規模な商店など一通りのものがそろっている。；中には開発によって農業をやめた住民が商店を経営するということもあった。；校区内に国道1号が通っており、それに沿って商店等が発展している。；現在、米倉商店が経営するレストランよねくら裏の工場で製造されている。；周辺商店では、坂の愛称に合わせた南欧風の街づくりも行われている。；ダイエー千林店は千林商店街ではなく、隣接する千三商店に面していた。；木祖村郷土館で関連資料を見学できるほか、地元商店で購入可能である。；この駅の北側には古くからの吉礼集落が広がっており駅前には商店などもある。；書店はなく、購入できるのは商店で売っているごく限られた雑誌や本のみである。；農業以外にも水商売や小規模商店などの事業を行うものも多かった。；駅の清掃も同商店が行っており、花壇の整備は地元の老人会が行っている。；この通りには数多くの商店やレストランの照明やネオンサインが並んでいる。</t>
        </is>
      </c>
      <c r="J4064">
        <f>HYPERLINK("https://www.weblio.jp/content/商店", "词义详情")</f>
        <v/>
      </c>
      <c r="K4064">
        <f>HYPERLINK("https://yourei.jp/商店", "查看例句")</f>
        <v/>
      </c>
    </row>
    <row r="4065">
      <c r="A4065" t="inlineStr">
        <is>
          <t>上等</t>
        </is>
      </c>
      <c r="B4065" t="inlineStr">
        <is>
          <t>成功</t>
        </is>
      </c>
      <c r="C4065" t="inlineStr">
        <is>
          <t>読み方：じょうとう
［名・形動］
１物の品質や出来ばえなどが、すぐれてよいこと。また、そのさま。優秀。「—な品」⇔下等。
２申し分がないさま。結構。上出来。満足。「マラソンで10着に入れば—だ」
３等級が上であること。等級が上のもの。
「船賃は—にて十円か十五円」〈福沢・福翁自伝〉
[補説]2は、「喧嘩上等」「左遷だって。上等じゃないか」のように、一般には避けるのが普通の物事に向こう見ずに飛びついたり、落胆するような場面でそれがどうしたと居直ったりする気分で使うことがある。
[派生]じょうとうさ［名］</t>
        </is>
      </c>
      <c r="D4065" t="inlineStr">
        <is>
          <t>上等兵(4%)；上等なもの(3%)；上等品；上等社会；上等な服</t>
        </is>
      </c>
      <c r="E4065" t="inlineStr">
        <is>
          <t>妙；立派；高度；上位；優れた</t>
        </is>
      </c>
      <c r="F4065" t="inlineStr">
        <is>
          <t>一番上等；いちばん上等；地野上等；近堂上等；上等飛行兵曹</t>
        </is>
      </c>
      <c r="G4065" t="inlineStr">
        <is>
          <t>上等兵曹；上等水兵；上等車；上等裁判所</t>
        </is>
      </c>
      <c r="H4065" t="n">
        <v>29</v>
      </c>
      <c r="I4065" t="inlineStr">
        <is>
          <t>私は眼を転じていわゆる上等品の中、美しい作を取り上げてみましょう。；その医者は同じ建物の中二階にある、はるかに上等の部屋を領していた。；私は此家で一番上等にしてある二階の八畳の部屋を占領していた。；複雑な斑紋が入るが、落ち葉の上等では保護色になると考えられている。；長い細い足には上等な、かかとのほとんどない白革の半靴をはいている。；ロシアから輸入されるところの西洋小間物は皆上等の物ばかりである。；いずれにしても、みんなはけっして上等の聞き手ではありませんでした。；昨年から相撲をも見せる事にしたが、これも上等桟敷を買うことにした。；よく英語を交えて話したが、その英語は上等なものとは言えなかった。；上等のものにしろ普通のものにしろ、用のために作らずば美しくはならないと。；どこか郊外に、上等の料理屋か庭か広間でも、借りなければならないわ。；全く荒唐無稽なことならば、この夢はかなり上等な夢であるかもしれない。；かつて聞いたこともないようなすばらしく上等の香のにおいがするのです。；店の奥には棚ものといって上等のお茶を入れた茶壺がたくさんならんでいました。；これでも上等の部ですが、お望みではどんなのでもありますから。；モー一層上等にすると鳥の肉を幾か処も切って豚の脂身を注し込みます。；主に台所道具で、上等のものではないにしても何か活々したものを感じます。；乾海老の上等なのは尾がクルクルと巻き込んで決して長くなっていない。；その時分はまだ桜の材で上等のものが沢山あったが現今では甚だ稀です。；その負担は非常に重いもので、上等戸といえどもしばしば破産するに至った。；本人が着用するか、あるいは着用せず机上等に置いて用いられる。；私どもは何時でも光沢のないものばかり見ていますから上等のを知ません。；この点につきては、上等社会よりも中等社会の方のよきことが分かる。；元レディースで構成された、勝つ為には手段を選ばない喧嘩上等なチーム。；大きいのは四寸位にまで育って腹に吸盤のついていないものが上等とされている。；同じ魚でも西洋料理では下等の魚を上等の御馳走にする事が出来ます。；したがって上等の品物ならほとんど何でも美しいと書かれるのです。；孫軍曹は一度来たことのある徐上等兵を先に立て、腰をまげて歩いた。；生の肉を買ってみ給え、東京辺では極く上等で二十二、三銭位だろう。</t>
        </is>
      </c>
      <c r="J4065">
        <f>HYPERLINK("https://www.weblio.jp/content/上等", "词义详情")</f>
        <v/>
      </c>
      <c r="K4065">
        <f>HYPERLINK("https://yourei.jp/上等", "查看例句")</f>
        <v/>
      </c>
    </row>
    <row r="4066">
      <c r="A4066" t="inlineStr">
        <is>
          <t>消毒</t>
        </is>
      </c>
      <c r="B4066" t="inlineStr">
        <is>
          <t>成功</t>
        </is>
      </c>
      <c r="C4066" t="inlineStr">
        <is>
          <t>読み方：しょうどく
［名］(スル)薬品・熱・紫外線などによって、病原菌を殺すこと。「食器を—する」</t>
        </is>
      </c>
      <c r="D4066" t="inlineStr">
        <is>
          <t>消毒する(7%)；消毒用(4%)；消毒薬(3%)；消毒法(3%)；消毒液</t>
        </is>
      </c>
      <c r="E4066" t="inlineStr">
        <is>
          <t>防疫；断種</t>
        </is>
      </c>
      <c r="F4066" t="inlineStr">
        <is>
          <t>アルコール消毒；手指消毒；燻蒸消毒；消毒等；消毒所</t>
        </is>
      </c>
      <c r="G4066" t="inlineStr">
        <is>
          <t>消毒液；消毒剤；消毒用アルコール；消毒用エタノール；消毒副生成物</t>
        </is>
      </c>
      <c r="H4066" t="n">
        <v>29</v>
      </c>
      <c r="I4066" t="inlineStr">
        <is>
          <t>しかし長く鎖された箇所を破って消毒するほどの価値はないと判断した。；管制室に入った連中は、内部が消毒されているのを見て慌てて出てきた。；大した傷ではなさそうでしたので、消毒してそのままにしておきました。；助けてくれたのが医者だとすれば、この消毒薬の匂いも納得 できる。；いったいどうしてこの間からヴェニスでは消毒されているのだろう、と。；それよりも安価で清潔に消毒もできる瀬戸物類の方がよいと思われます。；同時に、消毒用の濡れナプキンの代金を返していないことを思い出した。；消毒用など、純度がそれほど問われない場合は混合物のまま使用される。；ロシア内戦中はチフスなど病気治療のために必要な消毒室を設計している。；消毒班がやがて来るから、すべてのものはそのままにしておくように。；アルコールで消毒はされるかもしれないがあまり気持の好いものではない。；山本に傷の消毒をしてもらいながら、すらすらと謝罪の言葉を口にする。；座席の間隔を空けたり消毒作業を徹底したり様々な予防策を行っている。；アキラは黙って、完全消毒された教会のような建物の内部を見まわしている。；しかしこれが完全に試みられるようになったのはリスターの消毒処理であった。；ふたたび甲板では爆音が響きだして、消毒器の湯のたぎる音を打消した。；うんだりするといけませんから、せめて傷の消毒ぐらいは、すべきです。；早く消毒しておかないとあとで化膿してひどいことになるだろう。；そのため、現在のような消毒が主な役割とはされていなかった。；消毒が面倒なので、ぼくは部屋のガラス越しにしか弟と会うことができなくなった。；だが通常の有機体のようにワクチンや熱消毒などを使った治療が可能である。；消毒は一般に認められるようになり外科手術はより自由に行われるようになった。；それに小さな都市だから、消毒するにも防衛するにもずっと楽だ。；たびたびふたりは舟を止めて、ビルの包帯を消毒しなくてはならなかった。；ただし、消毒法・滅菌法などが混在して書かれているので注意が必要。；「警視庁に着いたらすぐに車のトランクを消毒します」と、彼はいった。；時には消毒のみで放流しなければならない下水道とは、その点で異なる。；そのため結核患者の病室床・壁などの周辺環境消毒にも利用される。；刃を焼いて消毒をすませると、小さな男はしばらくじっと熱をさました。</t>
        </is>
      </c>
      <c r="J4066">
        <f>HYPERLINK("https://www.weblio.jp/content/消毒", "词义详情")</f>
        <v/>
      </c>
      <c r="K4066">
        <f>HYPERLINK("https://yourei.jp/消毒", "查看例句")</f>
        <v/>
      </c>
    </row>
    <row r="4067">
      <c r="A4067" t="inlineStr">
        <is>
          <t>衝突</t>
        </is>
      </c>
      <c r="B4067" t="inlineStr">
        <is>
          <t>成功</t>
        </is>
      </c>
      <c r="C4067" t="inlineStr">
        <is>
          <t>読み方：しょうとつ
［名］(スル)
１突き当たること。ぶつかること。「電柱に—する」「—事故」
２相反する立場・利害などがぶつかって争いとなること。「意見の—がみられる」「国境で軍隊が—する」</t>
        </is>
      </c>
      <c r="D4067" t="inlineStr">
        <is>
          <t>衝突する(12%)；衝突時；衝突音；衝突安全性；衝突防止</t>
        </is>
      </c>
      <c r="E4067" t="inlineStr">
        <is>
          <t>軍；戦；戦争；戦い；戦闘</t>
        </is>
      </c>
      <c r="F4067" t="inlineStr">
        <is>
          <t>全面衝突；激しい衝突；激しく衝突；軍事的衝突；大規模な衝突</t>
        </is>
      </c>
      <c r="G4067" t="inlineStr">
        <is>
          <t>衝突クレーター；衝突回避；衝突後；衝突被害軽減ブレーキ；衝突事件</t>
        </is>
      </c>
      <c r="H4067" t="n">
        <v>29</v>
      </c>
      <c r="I4067" t="inlineStr">
        <is>
          <t>夏には全州の半分以上に何らかの反乱がおき、首都でも衝突が発生した。；その結果、敵に衝突することが最も効果的な方法という結論を得ている。；特に複数のチームで開発を行っていると名前の衝突が起きやすい。；つまり最も衝突の危険が高い主要文明はイスラム文明と中華文明である。；また、中性子星同士が衝突した際にも元素合成が生じるとの指摘もある。；この衝突は技術的なものであると同時にそれぞれの時代背景にも原因がある。；このため彼の統治は絶え間ないフェーデと外交上の衝突の連続であった。；微惑星同士の衝突があったように、原始惑星同士も衝突するようになる。；この作品では石油の消費と生産における世界的な衝突を予測している。；特に とすればこれは衝突過程でのエネルギー保存の法則を表している。；ローマ帝国との国境を越えたゲルマン諸族は各地で混乱や衝突を起こした。；ある夜、私の機はプラットで訓練中に、衝突でエンジン火災を起こした。；この世紀の芸術家たちの最大の起点は政治的な衝突に関係したものであった。；カリストの表面に見られる最も大きい衝突地形は多重リング構造である。；また、この衝突は木星大気の成分分析に関わる重要なデータを提供した。；その後も勲旧勢力と士林勢力は繰り返し衝突し、政局は混乱を続けていた。；アルフレッド・ロッコは、この衝突は不可避と主張して以下発言をした。；衝突痕は小型望遠鏡でも観測できたため、各地でも観測会が開かれた。；このような巨大衝突の繰り返しで、金星、地球が形成されたと考えられる。；しかし両者はエゴが衝突しうまくやっていくことができなかった。；時間と空間の捉え方も2人の見解が大幅に相違しており、互いに衝突していた。；分子同士が衝突するためには分子は有限の大きさを持たなければならない。；生息地の減少と人間との衝突が種を脅かす最大の原因と考えられる。；また、彗星が地球へ衝突するという状況を描いた作品も多数存在する。；これらの列車が2本同時に走ると衝突してしまうため、これを防ぐ必要がある。；地球の月は、地球形成末期に起きた巨大衝突の産物であるとする説が有力である。；これは東條が、陸海軍の摩擦や衝突を回避しようと考えていたことによる。；沖は、真反対の方位に対応する十二支同志の関係で衝突の意味がある。；各主要都市でも学生と警察隊が衝突し、186人の死者を出した。</t>
        </is>
      </c>
      <c r="J4067">
        <f>HYPERLINK("https://www.weblio.jp/content/衝突", "词义详情")</f>
        <v/>
      </c>
      <c r="K4067">
        <f>HYPERLINK("https://yourei.jp/衝突", "查看例句")</f>
        <v/>
      </c>
    </row>
    <row r="4068">
      <c r="A4068" t="inlineStr">
        <is>
          <t>小児科</t>
        </is>
      </c>
      <c r="B4068" t="inlineStr">
        <is>
          <t>成功</t>
        </is>
      </c>
      <c r="C4068" t="inlineStr">
        <is>
          <t>読み方：しょうにか
小児の内科的な病気を専門に扱う医学の分野。</t>
        </is>
      </c>
      <c r="D4068" t="inlineStr">
        <is>
          <t>小児科病院(4%)；小児科病棟(3%)；小児科専門；小児科クリニック；小児科教授</t>
        </is>
      </c>
      <c r="F4068" t="inlineStr">
        <is>
          <t>小児科専門医；小児科病院兼</t>
        </is>
      </c>
      <c r="G4068" t="inlineStr">
        <is>
          <t>小児科学</t>
        </is>
      </c>
      <c r="H4068" t="n">
        <v>29</v>
      </c>
      <c r="I4068" t="inlineStr">
        <is>
          <t>近年までほとんどの病院では少ない数の小児科当直医が全て診療していた。；小児科の名医であるの弟子であったと自称しているが、証明はされていない。；混雑している内科や小児科の待合室などとは違い、ほとんど人気がない。；ベンゾジアゼピン系の使用に抵抗のある小児科でも用いられてきた。；小児科領域では年齢によって肺炎の好発起炎菌が推定することができる。；あそこへ行けば、あの子達の検査を小児科の専門医に任せることが出来ます。；小児の場合は、慣れているという点で小児科の方が良いことがある。；小児科長はNICU科長を兼務しており、NICU科長補佐も在籍する。；柏原病院でも、人事異動と後任医師の不足から小児科閉鎖の危機となった。；授業中、突然声が出なくなった男の子が、小学校の養護の先生と小児科に来ました。；これだから佐久間医院は小児科の患者が多いのだろうと思った。；小児科の子供といえば、少し元気な子は廊下を走りまわって、さわいでばかりいた。；地域では産科と小児科の人気・評判が高く、産科の入口が独立しているのが特徴である。；再度名前を変えたウェバーは小児科病院に採用されるが子供の首を絞めているところを目撃される。；翌年より国立三島病院で勤務し、この頃から小児科を専門とした。；ここには小児科の心得のあるものは多くはなかったのだ。；さらには、小児科、内科、外科などの高度医療も同様の状況に至っている。；また骨形成不全症の小児科患者には本疾患は発生しないので休薬は必要とされない。；女は近所の小児科までついてきてくれた。；まるでこの小児科病棟に隠された秘密の集会場を垣間見た気がした。；そうした効率の悪さが改善されないまま、小児科は年々減っていく傾向にある。；小児科のことで、隣の広い室には多勢子供の患者が居た。；こっちが小児科の医者にでもなった気分だ。；兵庫県立柏原病院の小児科が閉鎖される可能性があるという報道をきっかけに結成された。；あの長浜へ出る処に小児科病院を開いている男です。；小児科病棟に着く頃には、辺りはすっかり夕闇に包まれていた。；小児科の前では子供たちに手を振った。；電車に乗れば十分ほどで新宿に出られるし、アパートの前には小児科の医院もある。；小児科に連れて行くのを妻の役目にすれば、妻の外出を減らす事にもつながる。</t>
        </is>
      </c>
      <c r="J4068">
        <f>HYPERLINK("https://www.weblio.jp/content/小児科", "词义详情")</f>
        <v/>
      </c>
      <c r="K4068">
        <f>HYPERLINK("https://yourei.jp/小児科", "查看例句")</f>
        <v/>
      </c>
    </row>
    <row r="4069">
      <c r="A4069" t="inlineStr">
        <is>
          <t>承認</t>
        </is>
      </c>
      <c r="B4069" t="inlineStr">
        <is>
          <t>成功</t>
        </is>
      </c>
      <c r="C4069" t="inlineStr">
        <is>
          <t>読み方：しょうにん
［名］(スル)
１そのことが正当または事実であると認めること。「相手の所有権を—する」
２よしとして、認め許すこと。聞き入れること。「知事の—を得て認可される」
３国家・政府・交戦団体などの国際法上の地位を認めること。「国連に—された国」</t>
        </is>
      </c>
      <c r="D4069" t="inlineStr">
        <is>
          <t>承認する(7%)；承認される(3%)；承認なし；承認されれ；承認手続き</t>
        </is>
      </c>
      <c r="E4069" t="inlineStr">
        <is>
          <t>認め；契約；命；命令；約束</t>
        </is>
      </c>
      <c r="F4069" t="inlineStr">
        <is>
          <t>独立承認；国会承認；事後承認；正式承認；最終承認</t>
        </is>
      </c>
      <c r="G4069" t="inlineStr">
        <is>
          <t>承認欲求；承認者；承認取得；承認案；承認拒否</t>
        </is>
      </c>
      <c r="H4069" t="n">
        <v>29</v>
      </c>
      <c r="I4069" t="inlineStr">
        <is>
          <t>これは国王に承認され、来るべき戦いで決定的な役割を担うこととなる。；ただし、会社の承認を受けて会社以外の者が設置することを妨げない。；しかし、結局1985年に問題がなくなったとして追加廃止承認された。；こうしてルーズベルト大統領の承認を得て、戦時中も試合は継続された。；複数の政治政党が政府の承認を経て設立されたものとなっている。；ここで承認が降りない場合、クレジットカードを使用することはできない。；離党するときは、支部または党の機関に、その事情を述べ承認を求める。；承認後、最終的な文章には編集上のわずかな変更しか加えることができない。；シティは女王の承認を得ていない唯一の自治体であり、独自の警察を有する。；イギリスは選挙実施後に独立の承認を決定することとした。；これらの実績により、水戸はJリーグから加盟継続が正式に承認された。；貴族たちが国王大権を認める代わりに、王は貴族や教会の特権を承認した。；ただし、まだ承認待ちの種類があるため、この後若干変更される可能性がある。；その為、婚姻は親側の承認が先に出ないと成立させることが不可能となっている。；ただし、同委員会のイラク入りは比較的早い段階で承認されている。；これらの権限は内閣の助言に基づき行使され、内閣の承認を必要とする。；名誉革命での権利の章典においても議会の承認なしの課税は禁止された。；その成果を踏まえて、1974年7月29日に部隊使用承認を取得した。；さらにスイスとネーデルラント共和国の独立が正式に承認された。；いずれのグループもNetscape社の助力や承認は得ていない。；両チームが各々新元素への命名を提案し、公式な承認なしで用いた。；日本とソ連はモンゴル人民共和国と満州国を相互に実質的に承認した。；中華人民共和国は中華民国政権を承認していないので、臺軍と呼ばれている。；この処分は、次の党会議で承認を受けなくてはならない。；パーティーはリーダーが承認するか死亡する事によって解消することができる。；この発議された憲法改正案を国民に提案し、国民の承認を経なければならない。；ソ連との戦争を経て、1920年、タルトゥ条約で、独立が承認される。；性機能不全の治療のための使用はまだ承認されていない。；日本はマラウイを独立と同時に承認し、現在では相互に大使館を開設している。</t>
        </is>
      </c>
      <c r="J4069">
        <f>HYPERLINK("https://www.weblio.jp/content/承認", "词义详情")</f>
        <v/>
      </c>
      <c r="K4069">
        <f>HYPERLINK("https://yourei.jp/承認", "查看例句")</f>
        <v/>
      </c>
    </row>
    <row r="4070">
      <c r="A4070" t="inlineStr">
        <is>
          <t>商人</t>
        </is>
      </c>
      <c r="B4070" t="inlineStr">
        <is>
          <t>成功</t>
        </is>
      </c>
      <c r="C4070" t="inlineStr">
        <is>
          <t>読み方：あきうど
⇒あきゅうど</t>
        </is>
      </c>
      <c r="D4070" t="inlineStr">
        <is>
          <t>商人たち(9%)；商人達；商人風；商人町；商人宿</t>
        </is>
      </c>
      <c r="E4070" t="inlineStr">
        <is>
          <t>店員；酒屋；ディーラー；ベンダー；店番</t>
        </is>
      </c>
      <c r="F4070" t="inlineStr">
        <is>
          <t>小商人；貿易商人；外国商人；富裕な商人；悪徳商人</t>
        </is>
      </c>
      <c r="G4070" t="inlineStr">
        <is>
          <t>商人頭；商人資本；商人文化</t>
        </is>
      </c>
      <c r="H4070" t="n">
        <v>29</v>
      </c>
      <c r="I4070" t="inlineStr">
        <is>
          <t>これらの制度は商人との取引が多かった地域などに見ることもできる。；密輸業者も含んだ植民地の商人たちは抗議活動に大きな役割を果たした。；彼は、中国を訪れた外交化や商人に注意を払うべきことを示唆している。；これが農民のみならず、貴族や商人階層の不満をも高める結果となった。；特に積極的に動いたのが商人的市民と周辺の土地所有者層であった。；しかし用意した贈り物を見た王の役人やイスラム教徒の商人は笑い出した。；この事から、これらの行為をなすことを業とするものは「商人」となる。；軍隊の駐屯地には付随して商人や職人の集落が形成され都市の核となった。；この都市はまもなくギリシア人の航海者や商人と交流を持つようになった。；これにはロシアが反対した上、イランの聖職者・知識人・商人も抵抗した。；市場の数は都市以外に村落にも増え、商人たちは都市や貿易港で活躍した。；ユダヤ人は商人などが多いので、東インド会社もユダヤ人が関係している。；商人が市を出入りすることから、橋は市に使用料と税金をもたらした。；これらは擬制商人と呼ばれており、講学上、固有の商人とは区別される。；同時に城下町も碁盤目状に整備され、家臣や商人・職人などが定住した。；男子の子どもは15歳になると、江戸の商人の下に送って商売を見習わせた。；その後この屋敷は商人のアウグスト・クラスマンのものとなった。；インド人商人なども多かったが、現在は大半が他都市に移動するか帰国している。；同時に有力商人に運上銀を上納させるなどして、藩財政の安定を図った。；千夜一夜物語にはユーラシアの大ネットワーク上で活躍する商人の話が多い。；見切りを付けた商人が町から出ていったとも言われている。；商人の子として生まれ、若い頃より各国を渡り歩き、商売で富を築いた。；後にはタタール人の商人や職人もここに住み、タタール人街を形成した。；またインド系商人も南アフリカ内部の流通業に進出、現地経済を支えた。；これを浅草の商人に販売を依頼した事で「浅草海苔」の名前が付いた。；また、個別分散的だった商人が集団を作るようになり、商幇と呼ばれた。；司祭も商人団が指名しており、商人たちが教会を管理していた。；室町時代以降、主に東北地方の商人が交易を行っていたと考えられている。；チエンマイの商人は遠くはパガンまで行ったという記録も残っている。</t>
        </is>
      </c>
      <c r="J4070">
        <f>HYPERLINK("https://www.weblio.jp/content/商人", "词义详情")</f>
        <v/>
      </c>
      <c r="K4070">
        <f>HYPERLINK("https://yourei.jp/商人", "查看例句")</f>
        <v/>
      </c>
    </row>
    <row r="4071">
      <c r="A4071" t="inlineStr">
        <is>
          <t>証人</t>
        </is>
      </c>
      <c r="B4071" t="inlineStr">
        <is>
          <t>成功</t>
        </is>
      </c>
      <c r="C4071" t="inlineStr">
        <is>
          <t>読み方：あかしびと
事実を証明する人。しょうにん。
「其を救う為の一個(ひとり)の—にならねばならぬ」〈木下尚江・火の柱〉</t>
        </is>
      </c>
      <c r="D4071" t="inlineStr">
        <is>
          <t>証人たち(4%)；証人席(2%)；証人台；証人喚問；証人会</t>
        </is>
      </c>
      <c r="F4071" t="inlineStr">
        <is>
          <t>検察側証人；重要な証人；重要証人；目撃証人；アリバイ証人</t>
        </is>
      </c>
      <c r="G4071" t="inlineStr">
        <is>
          <t>証人尋問；証人保護プログラム</t>
        </is>
      </c>
      <c r="H4071" t="n">
        <v>29</v>
      </c>
      <c r="I4071" t="inlineStr">
        <is>
          <t>証拠もなく、証人もいなければこれ以上の捜査はできないと警官が言う。；証人台の上でスモールはそのようないかなるものを言うことを拒否した。；多数の証人は、船はたいへん長いローリングをしていたことを証明した。；犯人は息子の復讐を狙う父親なのか、それとも他の証人の中にいるのか?；証人には、特別の定めがある場合を除き、宣誓をさせなければならない。；事件の証人である三浦は、遊ばせておけば間違いなく殺害されるだろう。；双方の記録は失われているため、証人がいたかどうかを確認する方法はない。；残土の撤去を訴えた裁判では住民側の証人として意見書の提出を行った。；ただしこの証人申請は通常、陳述書を提出した側が行うべきものである。；証人がこのことに十分に気づいていたであろうことは、注意されるべきである。；議院証言法により証人には宣誓させなければならないことになっている。；ソ連側から東京裁判に証人としての出廷を要請されたが、拒否している。；検察側は予定していた3人の証人を法廷に連れてくることができなかった。；これはイギリスの裁判史での初の専門家証人とされている。；しかも事件の重要証人であるウェイトレスのダイアンも姿を消してしまう。；別の女性証人は、Aが似たナイフを持ち歩くのを見たことがあると証言した。；結局A子と対面したのは彼女が証人として呼ばれた一審の法廷であった。；これは、その証人が真実を述べているかを判断する助けとなる。；証人・立会人は以下の欠格者以外の者なら誰でもなることができる。；いくつかの国では証人たちは宣教者や特別開拓者として指名を受ける。；証人は、Aが着ていたのは暗い色のシャツで、衣服は汚れていたと証言した。；そしてスミスを誘い出し、証人の前で全てを語らせるという計画だった。；この事件では両者に有利な証言をした弁護側証人が偽証罪で起訴されている。；この史料にはヴィクボルトとその妻・娘、その他の証人が挙げられている。；これは証人喚問が証人自身に多大なる精神的苦痛をあたえた例とされる。；裁判が行われたのは全部で182日間に及び、82人の証人が証言を行った。；裁判が開始されたが、召喚される証人から次々と意外な事実が解明されていく。；証人に証言拒否事由があるときは証言を拒否することができる。；出頭確保や証人等の他害防止が困難になるときは保釈条件を設定できない。</t>
        </is>
      </c>
      <c r="J4071">
        <f>HYPERLINK("https://www.weblio.jp/content/証人", "词义详情")</f>
        <v/>
      </c>
      <c r="K4071">
        <f>HYPERLINK("https://yourei.jp/証人", "查看例句")</f>
        <v/>
      </c>
    </row>
    <row r="4072">
      <c r="A4072" t="inlineStr">
        <is>
          <t>情熱</t>
        </is>
      </c>
      <c r="B4072" t="inlineStr">
        <is>
          <t>成功</t>
        </is>
      </c>
      <c r="C4072" t="inlineStr">
        <is>
          <t>読み方：じょうねつ
ある物事に向かって気持ちが燃え立つこと。また、その気持ち。熱情。「研究に—を燃やす」「サッカーに—を傾ける」「—家」</t>
        </is>
      </c>
      <c r="D4072" t="inlineStr">
        <is>
          <t>情熱的(10%)；情熱家；情熱恋愛；情熱を持ち続け；情熱そのもの</t>
        </is>
      </c>
      <c r="E4072" t="inlineStr">
        <is>
          <t>感情；熱；熱心；興奮；真剣</t>
        </is>
      </c>
      <c r="F4072" t="inlineStr">
        <is>
          <t>宗教的情熱；暗い情熱；強い情熱；たいという情熱；はげしい情熱</t>
        </is>
      </c>
      <c r="G4072" t="inlineStr">
        <is>
          <t>情熱大陸；情熱の嵐；情熱の花；情熱物語；情熱のルムバ</t>
        </is>
      </c>
      <c r="H4072" t="n">
        <v>29</v>
      </c>
      <c r="I4072" t="inlineStr">
        <is>
          <t>メキシコを題材とした情熱的な作品を数多く残し太陽の画家と呼ばれた。；この主題は傲慢かつ情熱的な主人公の性格を表現しているといわれている。；しかし、学生たちの自由への情熱と決闘の習慣によって注目されていた。；とても情熱的な性格をしており、興奮すればするほど角や爪の温度が上がる。；これは情熱を失い自由な精神を無くす人々を見た彼の気持ちを反映している。；プロコフィエフの数ある作品の中でも、最も憂鬱で情熱的な作品である。；教育愛こそ本学園の情熱であり、人間教育こそ本学園の精神である。；この両者の関係は情熱的なものではなく肉体的なものだった。；それは、二反長半の出自や情熱を理解しての卓見であったかも知れない。；青はグループの将来性と社会への貢献を、赤は情熱と向上心を表している。；しかし、私の生涯で本当に情熱をかき立てさせられたのは、ゲリだけだ。；また両親は息子のスポーツへの情熱を知り彼をミーシンに託す事に同意した。；何でも集める人もいるが、多くの人は特定の分類群に情熱を集中する。；したがって、政治家には情熱・責任感・判断力の資質が特に重要である。；しかし、この段階ではまだアートが彼女の最大の情熱の対象だった。；演出助手時代、仕事への情熱を失い業界を辞めようとしたことがある。；さらに第1主題と同様に激しいコデッタ主題が情熱的な高揚を見せて続く。；「今後はドラムに情熱を感じているので、音楽の道へ進みたい」と述べた。；しかし彼にはレジスタンス運動に情熱を注いでおりしかもすでに恋人が居た。；自分もあんな心揺さぶるような歌が歌いたいと言う情熱で上京する。；彼より情熱的な人物の下でプレイしたことはなかった。；彼の親切、情熱、知性が彼を現代の世界的なリーダーにすると述べた。；脚本完成後、再び映画に対する情熱を感じたことで映画の道に進むことを決心した。；これらはすべて、美しい本の製造に情熱を傾けたがためであった。；落語への情熱は衰えず、特に若手には上方・東京を問わず熱心に指導した。；中間部は同じ音形が嬰ヘ短調で繰り返されて、劇的な情熱が奏でられる。；選択科目の現代アートのクラスが彼に描く事への情熱を思い出させた。；それもこれも、みんな国を思う情熱から出てきたことです。；彼は正確さと詳細への情熱について次のように語っている。</t>
        </is>
      </c>
      <c r="J4072">
        <f>HYPERLINK("https://www.weblio.jp/content/情熱", "词义详情")</f>
        <v/>
      </c>
      <c r="K4072">
        <f>HYPERLINK("https://yourei.jp/情熱", "查看例句")</f>
        <v/>
      </c>
    </row>
    <row r="4073">
      <c r="A4073" t="inlineStr">
        <is>
          <t>少年</t>
        </is>
      </c>
      <c r="B4073" t="inlineStr">
        <is>
          <t>成功</t>
        </is>
      </c>
      <c r="C4073" t="inlineStr">
        <is>
          <t>読み方：しょうねん
１年が若い人。特に、年少の男子。ふつう、7、8歳くらいから15、16歳くらいまでをいう。「—の心」「—時代」
２少年法などでは満20歳に満たない者。児童福祉法では小学校就学から満18歳に達するまでの者。いずれも男子と女子を含んでいう。→特定少年
[補説]書名別項。→少年</t>
        </is>
      </c>
      <c r="D4073" t="inlineStr">
        <is>
          <t>少年達；少年向け；少年探偵；少年役；少年男子</t>
        </is>
      </c>
      <c r="E4073" t="inlineStr">
        <is>
          <t>子；やつ；青年；奴；若者</t>
        </is>
      </c>
      <c r="F4073" t="inlineStr">
        <is>
          <t>天才少年；幼い少年；浮浪少年；春木少年；サッカー少年</t>
        </is>
      </c>
      <c r="G4073" t="inlineStr">
        <is>
          <t>少年たち；少年少女；少年期；少年野球；少年院</t>
        </is>
      </c>
      <c r="H4073" t="n">
        <v>29</v>
      </c>
      <c r="I4073" t="inlineStr">
        <is>
          <t>少年役を演じたのはこのオーディションが初めての経験だと語っていた。；少年が自分で文字盤を指しているように見えたので、事実であるとした。；近年ではハスキーボイスを活かした少年役などで活躍の場を広げている。；また24年組の漫画家はみな、主人公が少年である作品を手がけている。；小学生の頃は野球をしたりスイミングクラブに通うスポーツ少年だった。；アニメ草創期から活動しており、少年から老人、人間以外の役もこなす。；当ゲームの主人公は幼い時にひびきの市に住んでいた少年である。；少年達に囲まれるゲーリッグとベーブ・ルースは記録的な年であった。；本名は敬三だが、少年のころからなぜか「ケンちゃん」と呼ばれていた。；この少年はUber Eatsなどにも同様の事をしていたことが判明した。；バイクの暴走少年を主人公とした事については以下の様に述べている。；座席は少年の体格に合わせて作られているため、大人は搭乗できない。；パスカルが少年の時に、教育熱心な父親は一家を引き連れパリに移住する。；コマンドの選択後、その結果を表す文章はすべて少年の一人称で語られる。；しかし家族に猛反対されて連れて帰る旅中、前の少年に互先で打ち分けた。；アニメでは大人の女性役が多いが、少年役から老女役まで演じ分けられる。；夕方の学校で、少年がトイレで用を済ませ、拭こうとすると紙が無かった。；ヒーロー像がエリート少年から野性的な少年に変わったためと考えられる。；メジャーレーベルは、こぞってこの才能に溢れた少年との契約を望んだ。；少年らしい悪戯や失敗の逸話も残されており、同期の団結の中心となった。；自転車を持ち出したのは、少年が歩くよりも早い方法を使ったためかもしれない。；そのLeMUに時同じくして足を運んだ、1人の青年と1人の少年がいた。；成長の代償に失うもの、大人になれない少年の姿が描写されている。；ただし、これ以前から既にこの図様に近い少年像は存在していた。；とくにはっきりと覚えているのが一人の少年です。；配達は主に同社少年部所属の社員見習いの者が自転車やオートバイで行った。；少年・少女向けから大人向けまで、幅広い分野で多彩な技量を見せていた。；小学校から高校までは、サッカー部に所属するスポーツ少年だった。；この少年がロビンであり、彼と6体のロボットがレインボー戦隊である。</t>
        </is>
      </c>
      <c r="J4073">
        <f>HYPERLINK("https://www.weblio.jp/content/少年", "词义详情")</f>
        <v/>
      </c>
      <c r="K4073">
        <f>HYPERLINK("https://yourei.jp/少年", "查看例句")</f>
        <v/>
      </c>
    </row>
    <row r="4074">
      <c r="A4074" t="inlineStr">
        <is>
          <t>勝敗</t>
        </is>
      </c>
      <c r="B4074" t="inlineStr">
        <is>
          <t>成功</t>
        </is>
      </c>
      <c r="C4074" t="inlineStr">
        <is>
          <t>読み方：しょうはい
勝つことと負けること。勝ち負け。勝負。「—の分かれ目」「—は時の運」</t>
        </is>
      </c>
      <c r="D4074" t="inlineStr">
        <is>
          <t>勝敗数；勝敗結果；勝敗表；勝敗決定；勝敗判定</t>
        </is>
      </c>
      <c r="E4074" t="inlineStr">
        <is>
          <t>雌雄；優劣；勝ち負け；高下；優り劣り</t>
        </is>
      </c>
      <c r="F4074" t="inlineStr">
        <is>
          <t>決定的な勝敗；直接勝敗；行い勝敗</t>
        </is>
      </c>
      <c r="H4074" t="n">
        <v>29</v>
      </c>
      <c r="I4074" t="inlineStr">
        <is>
          <t>戦争の勝敗が主要都市の制圧にかかっていることは歴史的に見ても多い。；いずれも撃墜数が勝敗に直結するとは限らない特殊なものとなっている。；勝敗の判定は、中国ルールと同様に、地の大きさと生き石の数で決める。；切断された場合もアイテムは手に入るが、勝敗数のカウントはされない。；二本勝負、三本勝負もあるので、最終的な勝敗が決まったとは限らない。；これを1局とし、黒・白を交代しながら6局を対戦して勝敗の数を競う。；の勝敗がつかずにシーズンを終えた登板数のメジャーシーズンを更新。；特に相入玉になった場合は、勝敗の決着をつけること自体が困難になる。；その場合、両力士が組み合ったまま勝敗をつけられない場合が出てくる。；しかしながら勝敗ははっきりとせず、数日の間は砲撃戦を続けていた。；このアイテムをどちらが獲得するかで、勝敗が大きく左右されることもある。；戦前には勝敗を問わずこれを最後として引退することが発表された。；そのため、勝敗には純粋な実力のみでなく、運の要素が絡む性質がある。；これらの内容が戊辰戦争の勝敗を決したものであると考えられている。；しかし、このような控え選手の存在も試合の勝敗を左右する重要な存在である。；勝利点カードは領土を示し、最終的な勝敗を決める勝利点を持つカードである。；よく勘違いされるが、王手をした・された瞬間に勝敗がつくわけではない。；またこれ以外の条件もレースの勝敗を決定する要素になり得る。；野球と同様、2つのチームが攻撃と守備を交互に繰り返して勝敗を競う。；運の要素が関係するゲームも多いが、純粋に運のみで勝敗が決定することはない。；ただし、ダブルがあるために、一度のゲームで勝敗が決まることもある。；勝敗は敵の戦闘ユニットを統率する第一部隊を壊滅させた側の勝利となる。；ゲームの勝敗を分けるのは装備品の性能でなく完全にプレイヤーの腕次第である。；各モードで相手の体力を0にする以外で勝敗のルールをつけることができる。；広島を相手に3回1失点を記録するが、同年は勝敗ともにつかなかった。；勝敗を決するゴールは存在せず、島の発展を観賞することが主となる。；もちろん、勝敗表や個人成績が一昨日現在のものが掲載されるのがほとんど。；ゲスト審査員が勝敗を決定し、敗者は相手が指定した罰ゲームを受ける。；日が暮れても両者の勝敗はつかず、寄せ手はそれぞれの陣営に退却した。</t>
        </is>
      </c>
      <c r="J4074">
        <f>HYPERLINK("https://www.weblio.jp/content/勝敗", "词义详情")</f>
        <v/>
      </c>
      <c r="K4074">
        <f>HYPERLINK("https://yourei.jp/勝敗", "查看例句")</f>
        <v/>
      </c>
    </row>
    <row r="4075">
      <c r="A4075" t="inlineStr">
        <is>
          <t>商売</t>
        </is>
      </c>
      <c r="B4075" t="inlineStr">
        <is>
          <t>成功</t>
        </is>
      </c>
      <c r="C4075" t="inlineStr">
        <is>
          <t>読み方：しょうばい
［名］(スル)
１利益をあげる目的で物を売り買いすること。あきない。「数軒の支店を持って—している」「客—」「—繁盛」
２生活の基盤になっている仕事。職業。「本を書くのが—だ」「因果な—だ」
３芸者・遊女などの仕事。水商売。</t>
        </is>
      </c>
      <c r="D4075" t="inlineStr">
        <is>
          <t>商売柄(2%)；商売上；商売女；商売用；商売熱心</t>
        </is>
      </c>
      <c r="E4075" t="inlineStr">
        <is>
          <t>仕事；販売；事業；企業；専門</t>
        </is>
      </c>
      <c r="F4075" t="inlineStr">
        <is>
          <t>こういう商売；ご商売；どんな商売；闇商売；御商売</t>
        </is>
      </c>
      <c r="G4075" t="inlineStr">
        <is>
          <t>商売繁盛；商売道具；商売敵；商売気；商売繁昌</t>
        </is>
      </c>
      <c r="H4075" t="n">
        <v>29</v>
      </c>
      <c r="I4075" t="inlineStr">
        <is>
          <t>の仕事は、商売や工場などの世界で女性が働くための足掛かりであった。；第二次世界大戦前は少数の商売店がある以外は、閑静な住宅地であった。；他の商人は日市が立つ町に出かけてそこで場所か店を賃借りして商売した。；自身の店舗を持つことを可能にするデータセットで、商売を経験できる。；この大戦が終われば商売の方針を一変しなければならないと考えていた。；この商売道徳が現在まで富山売薬を発展させてきた一因であるとされる。；商売をする上では、客の目を引くようできるだけ道と近い方が有利である。；ニューヨーク、モントリオールでの商売にも成功し、複数の子供がいた。；石炭に至っては海軍の軍艦の燃料に使用され、商売はますます繁盛した。；利益率の低い商売をするからちょっとのことでダメになると発言した。；そこで元来の釣り好きであったイエテは、それを商売にしようと考えた。；地域内の商売が中心であり、周辺は都市部への農作物供給地域となっている。；人気商売ですから、恋愛の話が出れば出るほどお客さんは減りますよね。；わたしみたいなショウバイしてると、いろんなひとが調査を依頼してくる。；戦争に伴う失職者や引揚者が集まってここで商売をしていたという。；日々の暮らしに追われ慣れない商売や農業を始める有様であった。；このように、きわめて少数の高級マニア向けの商売を行うことを特徴とした。；ギター制作が軌道に乗った頃、その商売は三村の予想以上に儲かっていた。；軍払い下げの商品を5と10が付く日など日付を限定して商売していた。；士族の中には商売を始める者もいたが、士族の商法で多くは失敗した。；当初は商売をしてみたようだが「武士の商法」のことわざ通り失敗する。；これは橋台で商売をしていた髪結床に、橋梁の消防を命じたものである。；たとえばイスラム教では商売は許されるが利息を取ることは禁止されている。；商売を禁止されている外交官でさえこの取引を行ったとされる。；ただし、薬屋の商売については具体的なことはほとんど描写されていない。；以後夫の看病、子供の世話、夫に代わっての商売と精一杯の人生を歩む。；イシュカによれば同様に商売の才能のなかったが家族を大事にした父親に似ている。；土地と店舗が空いたため、妻の藤森晶子は新たな商売を開こうと考える。；完成車を提供するばかりでなく、他車にエンジンを提供することもいい商売になった。</t>
        </is>
      </c>
      <c r="J4075">
        <f>HYPERLINK("https://www.weblio.jp/content/商売", "词义详情")</f>
        <v/>
      </c>
      <c r="K4075">
        <f>HYPERLINK("https://yourei.jp/商売", "查看例句")</f>
        <v/>
      </c>
    </row>
    <row r="4076">
      <c r="A4076" t="inlineStr">
        <is>
          <t>蒸発</t>
        </is>
      </c>
      <c r="B4076" t="inlineStr">
        <is>
          <t>成功</t>
        </is>
      </c>
      <c r="C4076" t="inlineStr">
        <is>
          <t>読み方：じょうはつ
［名］(スル)
１液体がその表面から気化する現象。「水分が—する」
２人がいつの間にかその場からいなくなること。また、人が家を出て行方不明になること。「突然妻が—する」
[補説]書名別項。→蒸発</t>
        </is>
      </c>
      <c r="D4076" t="inlineStr">
        <is>
          <t>蒸発する(12%)；蒸発させる(5%)；蒸発事件；蒸発冷却；蒸発速度</t>
        </is>
      </c>
      <c r="E4076" t="inlineStr">
        <is>
          <t>消える；失踪；無くなる；昇華；気化</t>
        </is>
      </c>
      <c r="F4076" t="inlineStr">
        <is>
          <t>光蒸発；蒸発乾；水分蒸発；十五万円蒸発；超常的蒸発</t>
        </is>
      </c>
      <c r="G4076" t="inlineStr">
        <is>
          <t>蒸発熱；蒸発器；蒸発岩；蒸発散；蒸発散量</t>
        </is>
      </c>
      <c r="H4076" t="n">
        <v>29</v>
      </c>
      <c r="I4076" t="inlineStr">
        <is>
          <t>ちょうどわれわれの影が日に向かってはとらえがたい蒸発を示すように。；太陽の近くではこのような揮発成分は容易に蒸発してしまうためである。；要は出来るだけ昇華蒸発をさせないで保存する方法を考えることである。；縁で指を切ってしまい、絵に血が飛んでしまうが、なぜか蒸発してしまう。；ロンドン中がチャールズ・デアル卿の奇妙な遺体蒸発事件のことを知った。；このとき、蒸発に必要な気化熱は全てその空気塊から奪われるものとする。；そこで蒸発したエタノールの方を集めて濃縮する蒸留を行う必要がある。；また、水が蒸発するときには蒸発熱として大量のエネルギーが奪われる。；流入した水は大部分が蒸発によって失われるが、塩湖にはなっていない。；池の周辺は、水分が蒸発した後の食塩と塩化カルシウムで囲まれている。；早くに父親が蒸発、残された母親に虐待されて育ったと称している。；それらはわれわれの日常の会話や蒸発して消える息のような発散物ではない。；彼は蒸発してしまったのではないかと疑われたが、本当に蒸発していたのだ。；それとも、霞となって空高く蒸発してしまったとでも、考える外はない。；その比重は充放電中の蒸発および温度変化以外からは影響を受けない。；この爆発により、プリムはわずかな破片を残して一瞬のうちに蒸発した。；灯心が損傷することで燃料を蒸発器へ吸い上げることができなくなる。；共通する特徴は、蒸発面が大きくなるよう口が大きくなっている。；水と反応しガスを発生するが、マグマに触れると蒸発し双方とも消滅する。；両親は正式な結婚でなく、父は事業の失敗後に蒸発してしまう。；それでごく僅かな水が蒸発しても、たくさんの熱を奪うことになる。；一方、空気が湿っている場合には、昇華や蒸発が鈍いためすぐ雨になる。；青銅の首を持ち、鉄の指を持つ怪物が、気体となって蒸発するはずはない。；水は熱容量が大きく、蒸発時の蒸発熱も大きいので強い冷却作用がある。；この物質の蒸気圧は比較的高いので蒸発し再びフィラメント部に戻る。；これは、表面にある海が蒸発してしまうのには十分な数値である。；伴星が蒸発したか、潮汐破壊された可能性があると考えられている。；水は蒸発する前に様々な場所にあったとも考えられる。；ある男の蒸発の旅から自身への帰還、偶然降り立った国立の街が舞台になっている。</t>
        </is>
      </c>
      <c r="J4076">
        <f>HYPERLINK("https://www.weblio.jp/content/蒸発", "词义详情")</f>
        <v/>
      </c>
      <c r="K4076">
        <f>HYPERLINK("https://yourei.jp/蒸発", "查看例句")</f>
        <v/>
      </c>
    </row>
    <row r="4077">
      <c r="A4077" t="inlineStr">
        <is>
          <t>上半身</t>
        </is>
      </c>
      <c r="B4077" t="inlineStr">
        <is>
          <t>成功</t>
        </is>
      </c>
      <c r="C4077" t="inlineStr">
        <is>
          <t>読み方：かみはんしん
「じょうはんしん（上半身）」に同じ。⇔下半身(しもはんしん)。</t>
        </is>
      </c>
      <c r="D4077" t="inlineStr">
        <is>
          <t>上半身裸(8%)；上半身全体；上半身部分；上半身をまっすぐ；上半身を屈め</t>
        </is>
      </c>
      <c r="E4077" t="inlineStr">
        <is>
          <t>胴体；ボディ；胴；胸像；ボディー</t>
        </is>
      </c>
      <c r="F4077" t="inlineStr">
        <is>
          <t>脱いで上半身</t>
        </is>
      </c>
      <c r="H4077" t="n">
        <v>29</v>
      </c>
      <c r="I4077" t="inlineStr">
        <is>
          <t>ここではすでにダゴンは上半身が魚の半魚半人の姿をもつものとされる。；ウニの寝ているところに上半身裸の主人がワインを持ってやって来る。；ただし上半身には一般的な衣服を着用するためパンツ一丁にはならない。；武装は一切搭載されておらず、上半身による打撃に重点が置かれている。；手前の女性は上半身を伸ばし、その顔立ちは様式的で簡略化されている。；白兵戦用の重装機で形状は巨大な手で歩行する上半身だけの巨人である。；戦前の写真などを見るかぎり、しばしば上半身裸で行われていたようである。；上半身は黒地の部分と花模様の部分とが、クリス・クロスになっていた。；PVでは曲と映画のイメージにあわせ、上半身裸の姿を披露している。；座高は上半身発達の指標とされたが、その測定の意義は不明確であった。；女は上半身すっかり裸体で、鳶足に坐った膝の上に赤ん坊を抱いている。；服装は、上半身は裸で拳法着のズボンと黄色い帯を身につけているのみ。；とりわけ両こぶし大から上半身大ほどまで大きく作られることに特徴がある。；スポーツや炎天下での作業などでは、上半身裸で作業する男性もいる。；そのため上半身に対して具体的に何かを指示する記述は存在しない。；馬の首から上が人間の上半身に置き換わったような姿をしている。；阿南は湯上がりと見えて、上半身裸で机で何かを書いている最中であった。；そのようにして上半身が安定したあと、彼は両膝の位置を修正した。；このXマス近い海の夜中に、上半身裸の彼らが、赤白く光って浮かんだ。；上半身は裸で、身につけていたと思われる白いセーターを抱きしめていた。；敵の上半身をねらってただ一撃と思いきや、相手は寝てしまったんだ。；引きのショットでは上半身サイズの大型なカチンコが使われる場合がある。；上半身を表示させるには服だけで良く、帽子、靴などは必要はない。；寸法は実物大だが、製作されたのはガウォーク形態の上半身に限られる。；左腕は人間の姿で描かれており、頭と上半身を識別することができる。；彼女は入浴中で、上半身こそ人間だったが下半身は魚に変わっていた。；裸芸人とは、上半身裸の状態で芸をする日本のお笑い芸人の通称である。；上半身のみを保持する胸ハーネスと区別するためフルハーネスともいう。；男子の場合、一般的には上半身半裸で以下の種類が使用されている。</t>
        </is>
      </c>
      <c r="J4077">
        <f>HYPERLINK("https://www.weblio.jp/content/上半身", "词义详情")</f>
        <v/>
      </c>
      <c r="K4077">
        <f>HYPERLINK("https://yourei.jp/上半身", "查看例句")</f>
        <v/>
      </c>
    </row>
    <row r="4078">
      <c r="A4078" t="inlineStr">
        <is>
          <t>消費</t>
        </is>
      </c>
      <c r="B4078" t="inlineStr">
        <is>
          <t>成功</t>
        </is>
      </c>
      <c r="C4078" t="inlineStr">
        <is>
          <t>読み方：しょうひ
［名］(スル)
１使ってなくすこと。金銭・物質・エネルギー・時間などについていう。「ガスを—する」「—電力」
２人が欲望を満たすために、財貨・サービスを使うこと。「個人—」</t>
        </is>
      </c>
      <c r="D4078" t="inlineStr">
        <is>
          <t>消費する(18%)；消費される(7%)；消費者(3%)；消費量(2%)；消費地</t>
        </is>
      </c>
      <c r="E4078" t="inlineStr">
        <is>
          <t>使用；利用；使う；消耗；支出</t>
        </is>
      </c>
      <c r="F4078" t="inlineStr">
        <is>
          <t>燃料消費；自家消費；多く消費；大消費；国内消費</t>
        </is>
      </c>
      <c r="G4078" t="inlineStr">
        <is>
          <t>消費電力；消費量；消費税；消費者金融；消費者庁</t>
        </is>
      </c>
      <c r="H4078" t="n">
        <v>29</v>
      </c>
      <c r="I4078" t="inlineStr">
        <is>
          <t>試合に勝利することで得られるポイントを消費して選手を強化する。；むろんタイ国内での消費のみならず先進諸国にも輸出が行われ消費された。；酪農は主に大消費地に近い地域、放牧はそうでない地域で行われている。；アイダホ州で消費されるエネルギーの大半は他州から輸入されている。；ビールはパンと並んで主要な食物とされており、大量に生産・消費された。；消費の大型化・高級化・多様化が進み、国民の生活も大きく変えていった。；すなわち、1秒あたりに変換・使用・消費されているエネルギーを表す。；この作品では石油の消費と生産における世界的な衝突を予測している。；ただしこのほとんどは国内で消費され、輸出はほとんど行われない。；しかし、高額な消費財を国民に提供することは、満足にはできなかった。；パーティー用クラッカーなど一部の品目を除き購入や消費に制限がある。；なお燃費測定に際しては、電装品が消費する燃料分は考慮されていない。；血中酸素は各組織で消費され、代わって血中には二酸化炭素が放たれる。；インドでは珍しく豚肉の消費が盛んで、リングィーサなども食べられる。；技はWPを消費し、技と対応した所持武器を持っていれば使用できる。；先頭はよりエネルギーを消費するため交代制となっている。；これにより大量のメモリを消費するアプリケーションが実現可能になる。；国民はいくつかの種類のブッシュティーを消費する生活が日常となっている。；可採年数に限りのある物質を消費し続ける人間活動は持続可能性がない。；また、ロンドン自体が巨大な消費市場であるため、商業活動も活発である。；術の使用時には、画面右上に表示されている技値を消費する。；大人のカナダ人が一年で消費するチーズの2500人分の量に匹敵する。；心臓の働きは全身のエネルギー消費や生活リズム等とともに変化する。；この税金当たりで消費される率では最下位に近い42位になっている。；そのため、マップの広さに比例して莫大なデータ容量を消費してしまう。；これはガソリンの精製に軽油よりもエネルギーを消費しているためである。；工業は小規模で、地元での消費のために輸入した材料を加工する程度である。；スイス国内での犬肉の流通は禁止されているが、消費する事自体は黙認されている。；目的は、消費を気にせずに生産を最大化することであった。</t>
        </is>
      </c>
      <c r="J4078">
        <f>HYPERLINK("https://www.weblio.jp/content/消費", "词义详情")</f>
        <v/>
      </c>
      <c r="K4078">
        <f>HYPERLINK("https://yourei.jp/消費", "查看例句")</f>
        <v/>
      </c>
    </row>
    <row r="4079">
      <c r="A4079" t="inlineStr">
        <is>
          <t>商品</t>
        </is>
      </c>
      <c r="B4079" t="inlineStr">
        <is>
          <t>成功</t>
        </is>
      </c>
      <c r="C4079" t="inlineStr">
        <is>
          <t>読み方：しょうひん
売るための品物。販売を目的とする財およびサービス。「—を陳列する」「目玉—」「キャラクター—」</t>
        </is>
      </c>
      <c r="D4079" t="inlineStr">
        <is>
          <t>商品化(4%)；商品展開；商品企画；商品販売；商品群</t>
        </is>
      </c>
      <c r="E4079" t="inlineStr">
        <is>
          <t>品物；物品；商売物；商い物</t>
        </is>
      </c>
      <c r="F4079" t="inlineStr">
        <is>
          <t>ヒット商品；新商品；人気商品；様々な商品；定番商品</t>
        </is>
      </c>
      <c r="G4079" t="inlineStr">
        <is>
          <t>商品化；商品開発；商品価値；商品券；商品作物</t>
        </is>
      </c>
      <c r="H4079" t="n">
        <v>29</v>
      </c>
      <c r="I4079" t="inlineStr">
        <is>
          <t>日本と同様に、商品の価格を皿の色で区別するシステムを採用している。；商品ごとに個別に実験データを提出し審査を受け許可される必要がある。；羊毛と布産業のための単位は、単位をそれらの商品に特有なものにした。；そのため商品価格とブランド価値は必ずしも一致するとは限らない。；労働者は自らの労働力を商品化し、資本家にそれを売って生活している。；下記のような多くのメリットがあるため、定番の人気商品となっている。；ワインは色が濃いのでブレンドに用いられ、単一種の商品は見られない。；様々な商品が様々な効能があることを直接・間接に示唆しつつ販売された。；この任意の商品は両者の間を往復するだけで、実質的には移動しない。；商品の販売者の側から見れば、自動で販売を行ってくれる機械である。；商品とは、経済活動において生産・流通・交換される物財のことである。；しかし、商品は自らの価値を自分だけで表現することはできない。；まれにこの演出すら発生しないまま商品購入状態の初期画面にされる場合もある。；単純に移植、もしくはある程度手を加えて商品化するタイプも出て来ている。；銃はボルトアクション式や半自動式のものが数多く商品化されている。；揚げ麺と粉末スープの素をセットにした商品が数社から販売されている。；絵具として商品化されたのは1936年に商品化されたすぐ後である。；縁日の屋台で扱われる商品やサービスを列挙すると次のようなものがある。；顧客への参照と注文された商品への参照を含む簡単なXML文書の例を考える。；市場では、マイナスイオンを発生すると称する様々な商品が販売されている。；当たったあとに商品券等が出て換金や商品と交換するシステムとなっている。；実際の国際貿易で取引される商品の国内外価格を比較して決定した。；これは2007年の年末に、商品の供給が追いつかなかったためである。；ただし、支払い以前に商品を手にとって鮮度を確認することはできない。；店舗や商品を管理するシステムもウォルマートから導入している。；簡易な椅子や机などを用意し、客が店で買った商品を飲食することができる。；この売店は通常の商品のほかに鉄道グッズコーナーが併設されている。；需要とは、人々がある時点で購入したいと思っている商品の価値の尺度である。；このような場所では商品を売る際にその場にいる労働者が全員で働くことはあまりない。</t>
        </is>
      </c>
      <c r="J4079">
        <f>HYPERLINK("https://www.weblio.jp/content/商品", "词义详情")</f>
        <v/>
      </c>
      <c r="K4079">
        <f>HYPERLINK("https://yourei.jp/商品", "查看例句")</f>
        <v/>
      </c>
    </row>
    <row r="4080">
      <c r="A4080" t="inlineStr">
        <is>
          <t>賞品</t>
        </is>
      </c>
      <c r="B4080" t="inlineStr">
        <is>
          <t>成功</t>
        </is>
      </c>
      <c r="C4080" t="inlineStr">
        <is>
          <t>読み方：しょうひん
コンクール・競技などで成績の良かった人に賞として与える品物。</t>
        </is>
      </c>
      <c r="D4080" t="inlineStr">
        <is>
          <t>賞品獲得；賞品授与；賞品総額；賞品提供；賞品カード</t>
        </is>
      </c>
      <c r="E4080" t="inlineStr">
        <is>
          <t>賞；賞金；賞与；賞典</t>
        </is>
      </c>
      <c r="F4080" t="inlineStr">
        <is>
          <t>豪華な賞品；応じて賞品；スペシャル賞品；希望賞品；高価な賞品</t>
        </is>
      </c>
      <c r="H4080" t="n">
        <v>29</v>
      </c>
      <c r="I4080" t="inlineStr">
        <is>
          <t>二三の賞品をいつも用意してあって、点の一番多い句に賞を出していた。；特定の答えの中に賞品が隠されており、それを獲得できるルールがあった。；ここまでの獲得賞品・賞金の総額が少ない者から、ひとりずつ挑戦する。；「優秀組には賞品もあるぞ」と言った上で、幹部が組を決めていった。；なお、初期には中継が無く、賞品がそのままスタジオに登場していた。；そして一週間の練習の後、スタジオで競技を披露し、成功すれば賞品獲得。；最終的に得点の多いチームが優勝となり、カメラ・週替わりの賞品を獲得。；そこまで言い切る以上は、自分自身を賞品にする覚悟はあるのだろうなと。；入手した賞品は自分でコートを作成する際に自由に配置できる。；チャンスゲームには賞品の種類や金額に合わせて様々なものがあった。；各問題には予め賞品が設定されており、出題の後に続けて紹介される。；他人から賞められた上賞品を貰つたといふ事は、あれ以外には無いことだ。；その奴隷女を、奴隷と囚人だけの賞品にしようと思っていたからだ。；戦闘に勝利すればアイテムと仲間となるモンスターが賞品として手に入る。；あの人は家にもどってくるわ、賞品を持って、わたしの足許に置きに。；しかし、おまえが勝負に勝っても、決して賞品を手に入れることはできない。；予選の段階での優勝賞品発表が唯一行われた大会でもある。；近年は作家の色紙やサイン入り単行本などを賞品とするものも現れている。；ちなみに賞品はジャガイモ1年分で1個ずつ自分で数えて貰ったという。；五分以内で通り抜けりゃ賞品を進呈するとあったんで、皆が張り切った。；一般の部の優勝賞品はロシアの極東連邦大学1か月留学の権利だった。；優勝賞品の多くはほとんど、あるいは全く役に立たないものであった。；一位になったら賞品が出る、なんて言ってこれだけ集まるんだから。；旅行などのロケを伴う賞品は後日の演芸コーナーでその模様が放送される。；それにともなって100ポイントの賞品が、75ポイントに変更された。；どの賞品にするかとなると、あのひと、これに目をつけましたの。；この第2期のルールでは両方とも正解しないと賞品はもらえなかった。；賞品などは無く、全国放送で自分の名前を言えることが特典であった。；ゲスト1名が番組が作ったこの世に一つしかない賞品獲得を目指してゲームに挑戦する。</t>
        </is>
      </c>
      <c r="J4080">
        <f>HYPERLINK("https://www.weblio.jp/content/賞品", "词义详情")</f>
        <v/>
      </c>
      <c r="K4080">
        <f>HYPERLINK("https://yourei.jp/賞品", "查看例句")</f>
        <v/>
      </c>
    </row>
    <row r="4081">
      <c r="A4081" t="inlineStr">
        <is>
          <t>上品</t>
        </is>
      </c>
      <c r="B4081" t="inlineStr">
        <is>
          <t>成功</t>
        </is>
      </c>
      <c r="C4081" t="inlineStr">
        <is>
          <t>読み方：じょうひん
［名］品質のよいこと。また、高級品。「—だけを扱う老舗(しにせ)」⇔下品。
［形動］［文］［ナリ］品格のあるさま。品のよいさま。また、味などの洗練されているさま。「—な立ち居振る舞い」「—な味」「—に着こなす」⇔下品。
[派生]じょうひんさ［名］</t>
        </is>
      </c>
      <c r="D4081" t="inlineStr">
        <is>
          <t>上品な顔立ち；上品な感じ；上品な言葉；上品な婦人；上品な態度</t>
        </is>
      </c>
      <c r="E4081" t="inlineStr">
        <is>
          <t>優しい；優雅；しなやか；雅；優美</t>
        </is>
      </c>
      <c r="F4081" t="inlineStr">
        <is>
          <t>献上品；最上品；美しく上品；上品上生；上品な言葉遣い</t>
        </is>
      </c>
      <c r="G4081" t="inlineStr">
        <is>
          <t>上品濃；上品寺；上品山；上品野</t>
        </is>
      </c>
      <c r="H4081" t="n">
        <v>29</v>
      </c>
      <c r="I4081" t="inlineStr">
        <is>
          <t>使いなれた便利なものも、上品な道具類もまだなくなっていないからね。；でも、僕はみんな実に気持のいい上品な人たちだというよりほかはないな。；そしていつものとおり上品に、ちょっと畳の上に膝をついて挨拶した。；戦前の日本で言えば焼芋みたいで、あまり上品な食べ物とされていない。；私はその鼻が、高い、立派な、上品な鼻であってくれればいいと思った。；もはや死語となったような上品な表現の台詞が多く発せられるのも特徴。；わざと汚なくしていたのは、お上品なプチブル趣味への反逆でもあった。；彼は暗い灰色の品のよい上品な服を着て、褐色の中折帽を手に持っていた。；すると皇帝はそのたんびに感心したやうに上品な顔を動かしたものだ。；その女の子は身分のある者らしく良い着物を着て上品であった。；広辻の自分の室の上品な家具や天井を高くした作りを眺めたが駄目だつた。；若くして上品で美しく、学問と品行があり、文章を作るのを得意とした。；私の童謡はただ美しいとか上品とか云ふばかりを主にして居ますのではありません。；の入口はホテル周辺の上品な雰囲気に合わせたものであった。；きのうも私にあの上品往生の発願文を読んでくれとおっしゃいましてね。；それでまた色がどのなに色に比べましても陶磁器の中では一番上品な色を持っている。；現在では上記の意味から転じて、小編成の上品な軽音楽を広く指すことが多い。；州内の都市、特にサンフランシスコはその上品さと寛容さで有名になった。；全く上品往生というのはかような死に方をいうのであろうと思います。；モケットは包み込むような上品な空間とするため茶色と黄色が採用された。；真摯な一面にはそういう明るい上品な笑いが常にこもっていました。；奥さんは、小がらの、おたふくがおであったが、色が白く上品であった。；いくら上品にするといっても、昨夜の結婚披露会のあの食事は、少し滑稽だ。；ただこの町ではそれらのものが、上品に淑かに行われるのである。；彼の話すドイツ語も宮廷やオーストリア貴族の間で使われるような上品なものであった。；いったい昔は、独酌でさえあまり上品なものではなかったのである。；言葉は上品だし、顔は美しいし、気質もそんなにひねくれてはいない様だ。；南側は一般的に北側よりも裕福で上品であると見られている。；また、現在の橋はかえってシンプルな上品さがあるという評価もある。</t>
        </is>
      </c>
      <c r="J4081">
        <f>HYPERLINK("https://www.weblio.jp/content/上品", "词义详情")</f>
        <v/>
      </c>
      <c r="K4081">
        <f>HYPERLINK("https://yourei.jp/上品", "查看例句")</f>
        <v/>
      </c>
    </row>
    <row r="4082">
      <c r="A4082" t="inlineStr">
        <is>
          <t>商品券</t>
        </is>
      </c>
      <c r="B4082" t="inlineStr">
        <is>
          <t>成功</t>
        </is>
      </c>
      <c r="C4082" t="inlineStr">
        <is>
          <t>読み方：しょうひんけん
百貨店や事業協同組合が、自己の取り扱う商品・サービスを券面に記載した価額に達するまで給付する旨を約束して発行する一覧払いの無記名有価証券。商品切手。</t>
        </is>
      </c>
      <c r="D4082" t="inlineStr">
        <is>
          <t>商品券等；商品券類</t>
        </is>
      </c>
      <c r="F4082" t="inlineStr">
        <is>
          <t>付き商品券</t>
        </is>
      </c>
      <c r="H4082" t="n">
        <v>29</v>
      </c>
      <c r="I4082" t="inlineStr">
        <is>
          <t>当たったあとに商品券等が出て換金や商品と交換するシステムとなっている。；また、ためたポイントは近鉄百貨店の商品券などへの交換が可能であった。；かつては、店舗利用額に応じて商品券を提供する形で還元していた。；応募者から1名にで使用できる1万円の商品券がプレゼントされている。；その他にココストアイーストの店舗ではカスミ商品券の利用も可能である。；さかさにしたが、中から出てきたのは、商品券が一枚だけである。；神ならぬ弱い人間が、一千万円の商品券の受け取りを断固拒否できるかどうか。；時計や商品券、ビール券を何度も出してきたが、一度も受け取らなかった。；酒や醤油、うなぎに至るまで、商品券の手法を広めるきっかけとなった。；また過去には独自の商品券として「LIVIN商品券」を発行していた。；この共通商品券発行開始後に発行元百貨店が経営破綻した場合の対応は2つある。；商品券はイオングループ発行のもの以外は利用できなくなった。；村田は上からの命令に従ったまでだが、一千万円の商品券は断じて受け取ってはならなかった。；大福引きで箪笥や座蒲団をくれたり、商品券をくれたりするようなこともない。；通常、店舗付近に設置された両替店で、景品用商品券を換金することになる。；テレフォンカードなどの商品券の規制を行う法律の立案に関わる。；後味の悪さと少しばかりの敗北感を覚えながら、正恵は商品券を手に階段を上っていた。；佳作は5編が選ばれ、イトーヨーカドー提供の商品券が贈られていた。；プレミアム商品券とは、2015年に日本国内で流通した商品券の一種である。；ただし条件として、1か月ごとに商品券1万円分購入する必要がある。；商品券とは、券面に記載された一定金額の商品を提供してもらう権利のある有価証券。；商品券は引き続きユニー系店舗で販売しており、ファミリーマートでは販売していない。；また、相手先が商品の選択を可能とする目的で、商品券や引換券を贈る場合もある。；商品券の多くはセントの大きさだったが、より薄く、青銅製だった。；商品券「ジェフグルメカード」を当初の予測を大幅に上回る量を発行。；ただし、英語のトークンは日本語の商品券のように紙片に限られず硬貨のような形状のものを含む。；ロシア革命による経済混乱期には自らの肖像入り商品券を流通させるほどの信用が築かれていた。；サッパリと商品券全部を紙幣類似として禁止した方が片手落ちがなくていいものと私は思うのであります。；本人よりも両親が喜んで、デパートの商品券五千円分を、杏に贈った。</t>
        </is>
      </c>
      <c r="J4082">
        <f>HYPERLINK("https://www.weblio.jp/content/商品券", "词义详情")</f>
        <v/>
      </c>
      <c r="K4082">
        <f>HYPERLINK("https://yourei.jp/商品券", "查看例句")</f>
        <v/>
      </c>
    </row>
    <row r="4083">
      <c r="A4083" t="inlineStr">
        <is>
          <t>勝負</t>
        </is>
      </c>
      <c r="B4083" t="inlineStr">
        <is>
          <t>成功</t>
        </is>
      </c>
      <c r="C4083" t="inlineStr">
        <is>
          <t>読み方：しょうぶ
［名］(スル)
１勝ち負け。勝敗。「—を争う」「一気に—をつける」
２勝ち負けを決めようとして争うこと。「—の世界に生きる」「ここ一番の—に出る」「力の差がありすぎて—にならない」「実力で—する」</t>
        </is>
      </c>
      <c r="D4083" t="inlineStr">
        <is>
          <t>勝負強い；勝負しよ；勝負検査役；勝負しろ；勝負根性</t>
        </is>
      </c>
      <c r="E4083" t="inlineStr">
        <is>
          <t>戦；試合；ゲーム；戦い；比べ</t>
        </is>
      </c>
      <c r="F4083" t="inlineStr">
        <is>
          <t>五番勝負；三番勝負；いい勝負；大勝負；本勝負</t>
        </is>
      </c>
      <c r="G4083" t="inlineStr">
        <is>
          <t>勝負事；勝負師；勝負どころ；勝負所；勝負ごと</t>
        </is>
      </c>
      <c r="H4083" t="n">
        <v>29</v>
      </c>
      <c r="I4083" t="inlineStr">
        <is>
          <t>これから市場の拡大に伴って、いかに市場を握っていくかが勝負でしょう。；勝負に関係の無いクイズ番組では平均的な知識のタレントが多く出演する。；嘉納の挙げる勝負の理論の応用の例について要約すると次のようになる。；二本勝負、三本勝負もあるので、最終的な勝敗が決まったとは限らない。；先述・後述にもある通り、当番組は終始体力勝負が鍵になる番組だった。；三度目の勝負の日には、噂を聞きつけてたくさんの観衆が集まっていた。；スローペース追走から直線勝負となったが、こちらが全く伸びなかった。；また満塁では11打数8安打を記録するなど満塁での勝負強さが光った。；榎本さんとの勝負だけは野球をやっている感じがしませんでした。；これで七番勝負の流れが変わり、続く第4、5局も勝って3連勝とした。；数々の大一番で見せた勝負強さから、「七番勝負の鬼」の異名も取った。；檜垣是安と伊藤宗看の対局であるが、角落ちと香落ちの二番勝負だった。；こうして戦いはどちらが最初に船を海上に復帰させるかの勝負になったと思われる。；棋王と挑戦者が五番勝負を戦い、先に3勝したほうが新たな棋王となる。；体重制を取らなくても勝負が成立する理由の一つもここにある。；には1試合5安打を記録するなど勝負強い打撃でチームに貢献した。；勝負は決したが二人は互いに勝利を譲らず、カイラス山に判定を求めた。；驚異的な勝負強さを誇り、土壇場でチームを救うプレーが数多くあった。；大舞台での驚異的な勝負強さもジョーダンの特徴のひとつである。；ポストシーズンでも勝負強さを発揮することで知られている。；挑戦者は王将と七番勝負を戦い、先に4勝した棋士が新たな王将となる。；従来の球速よりキレで勝負する投球法に変更したことで被打率が向上した。；挑戦者決定戦のみ三番勝負で行い、先に2勝したものが挑戦者となる。；はっきり勝負が着いていたから手をついたまで。；日本側の関係者でさえ、どちらの勝ちかで割れた程に際どい勝負であった。；挑戦者は棋王と五番勝負を戦い、先に3勝した棋士が新たな棋王となる。；それまで勝負の場だった空間が華やいで、興業の場に変わるんです。；どんな勝負でも指定した相手を勝たせることのできる道具。；そのため、大原がインチキな手段で勝負に勝った際には本気で失望していた。</t>
        </is>
      </c>
      <c r="J4083">
        <f>HYPERLINK("https://www.weblio.jp/content/勝負", "词义详情")</f>
        <v/>
      </c>
      <c r="K4083">
        <f>HYPERLINK("https://yourei.jp/勝負", "查看例句")</f>
        <v/>
      </c>
    </row>
    <row r="4084">
      <c r="A4084" t="inlineStr">
        <is>
          <t>丈夫</t>
        </is>
      </c>
      <c r="B4084" t="inlineStr">
        <is>
          <t>成功</t>
        </is>
      </c>
      <c r="C4084" t="inlineStr">
        <is>
          <t>読み方：じょうふ
《「じょうぶ」とも。中国の周の制度で1丈（約2メートル）を男子の身長としたところから》りっぱな男。ますらお。「堂々たる—」「偉—」</t>
        </is>
      </c>
      <c r="D4084" t="inlineStr">
        <is>
          <t>丈夫そう(5%)；丈夫な体；丈夫な子；丈夫な歯；丈夫な紐</t>
        </is>
      </c>
      <c r="E4084" t="inlineStr">
        <is>
          <t>いい；強い；よい；兵；良い</t>
        </is>
      </c>
      <c r="F4084" t="inlineStr">
        <is>
          <t>御丈夫；一番丈夫；金関丈夫；くらい丈夫；丈夫届</t>
        </is>
      </c>
      <c r="G4084" t="inlineStr">
        <is>
          <t>丈夫人</t>
        </is>
      </c>
      <c r="H4084" t="n">
        <v>29</v>
      </c>
      <c r="I4084" t="inlineStr">
        <is>
          <t>その翌年娘が生まれたが、これは丈夫に育って今ではすっかり成人した。；多くは着用者の身体を保護する役割が強い丈夫な布や皮革で作られている。；女は浴室から上ったらしい丈夫相な半裸体のまま朝の食事を摂って居た。；求めやすい価格で、丈夫な紙袋に入れて売られているのが特徴であった。；基本的に衝撃に耐え得るように分厚く丈夫に作られていることが多い。；この方法ではタイルより丈夫で、整備も容易になると考えられている。；その帆に使うための、厚手で丈夫な布として作られたのが始まりである。；流通量が少なく入手はやや困難だが、極めて丈夫で飼育は容易である。；西側や南側には風や雪に備えて杉を中心に背の高く丈夫な木が植えられていた。；そこで、馬車の通れる幅広い道・丈夫な石橋が作られていったのである。；丈夫で軽い素材で作られており、高級なものでは数十年使い続けることができる。；わたしは体も丈夫だつたし、一生食ふに困らぬ位の財産を持つてゐたのだよ。；言葉が示すとおり、綱元には麻製の非常に丈夫な綱が設置されている。；ただ脚もとは丈夫だったし、小柄だけど、元気だけはよかったですね。；ひと休みごとに丈夫になって帰ってきて、良い状態でレースに出せました。；そうでなくては、あの丈夫な鉄格子のはいった窓をやぶることはできない。；丈夫な維管束系の進化なしには、より高くすることはできなかった。；指には水かきがついているが、ラブラドールのものよりも長く丈夫である。；専用の器具がなくても、短い棒状のものと丈夫なロープがあれば行える。；胸は広く丈夫な体を持っているが、脚はすらりと長く、走るのが速い。；だがこの部屋の構造は特別に丈夫に作らせてあるのだ。；ヒエガエリよりやや丈夫そうで、全体に白い粉を吹いた様子をしている。；それで厄年にできた子は、うちで育てては丈夫な子にはならない。；このような事から、それまでのエンフィールド弾薬包より丈夫であった。；軽くて丈夫なヒョウタンは、世界各国で様々な用途に用いられてきた。；食いしん坊のビリーは丈夫な歯を持ち、あたりのものは全て食べてしまう。；丈夫で粗い皮膚は鮫皮として価値が高く、剣の柄や盾などに用いられる。；マントの丈夫さを証明するようにカペー朝の王たちはマントに住んだ。；竹製の自転車は金属製のそれよりも丈夫で長持ちするといわれている。</t>
        </is>
      </c>
      <c r="J4084">
        <f>HYPERLINK("https://www.weblio.jp/content/丈夫", "词义详情")</f>
        <v/>
      </c>
      <c r="K4084">
        <f>HYPERLINK("https://yourei.jp/丈夫", "查看例句")</f>
        <v/>
      </c>
    </row>
    <row r="4085">
      <c r="A4085" t="inlineStr">
        <is>
          <t>小便</t>
        </is>
      </c>
      <c r="B4085" t="inlineStr">
        <is>
          <t>成功</t>
        </is>
      </c>
      <c r="C4085" t="inlineStr">
        <is>
          <t>読み方：しょうべん
［名］(スル)
１老廃物として腎臓で血液中から濾過(ろか)され、尿管から膀胱(ぼうこう)にたまり、尿道を経て体外に排出される液体。また、それを排出すること。尿。ゆばり。小用。小水。「—に立つ」「寝—」「立ち—」「—小僧」
２いったん約束した売買を一方的にとりやめること。「契約を—されてはたまらない」</t>
        </is>
      </c>
      <c r="D4085" t="inlineStr">
        <is>
          <t>小便所；小便くさい；小便用；小便をしよ；小便をちびり</t>
        </is>
      </c>
      <c r="E4085" t="inlineStr">
        <is>
          <t>尿；排尿；放尿；おしっこ；小用</t>
        </is>
      </c>
      <c r="F4085" t="inlineStr">
        <is>
          <t>用小便；長い小便；連れ小便；小便不利；小便を漏らしそう</t>
        </is>
      </c>
      <c r="G4085" t="inlineStr">
        <is>
          <t>小便小僧；小便臭い；小便臭；小便臭く；小便少女</t>
        </is>
      </c>
      <c r="H4085" t="n">
        <v>29</v>
      </c>
      <c r="I4085" t="inlineStr">
        <is>
          <t>いつも小便の度に目にしているのと同一のものとはとても思えなかった。；馬たちに小便をさせているその音は、八月の最初の雨のように思えたわ。；ぼくは、小便するとき、だれかに手を握っていてもらう必要はないんだ!；あたしらは、商売のためだったら、嫌いな人間の小便だって飲むんだよ。；先生の弁当箱の中に小便をするようなイタズラばかりしていたのである。；だがあのとき日本人に放った小便は、自分の心に向けたのと同じであった。；女は抵抗したが、既に放尿は始まっていて、急には小便を止められない。；表へ小便にも行けない老婆も、行かなければならないものだとしてゐた。；礼が夜小便に行くのにいいだろうと思ってそのままにしておいた。；そして俺は何も小便がしたくてここへ来たんじゃないということを確認した。；駆けながら新城は、自分の股間が小便で濡れてゆくことに気づいていた。；奴の気配がなくなった後、俺は小便の続きをして、部屋に帰って寝た。；私が小便を終ってふりむいたときには、あたりには誰の姿も見えなかった。；そのお月さんを見ながら、崖の上から小便をしておりましたんです。；小便の海を渉り歩いて小便壺まで辿りつかねばならぬような時もあった。；浅羽が見たら、それだけで恐怖のあまり小便をもらすような笑みだった。；何日か経って江分利は正面の部屋が小便所であることに気がついた。；酒乱で皆に恐れられる乱暴者が恐怖で小便を漏らしてしまったのである。；やっとそのままの姿で小便をとってもらってじっと我慢していた。；「何をするつもりだ」口が乾いているくせに、また小便がしたくなった。；童子がたまった小便をするとその流れは川となり、鬼は流されていった。；余り飲んだので、主人は小便がしたくなつたと見えて、便所に這入つた。；この前最後に小便をしたのはいったいいつのことだっただろう?；男の小便のほうが、女よりも、放出位置が高いだけよく響くはずである。；奥さんが死んじまったとわかったときは、おれは小便ちびりそうだった。；折にふれ小便をかけられていては、どんな木もいずれは枯れてしまおう。；先達は皆さん此所は不淨場でありますといつて自分が先に小便をした。；櫟と椎とえごの木の林で、つれている犬が小便をしようと片足をあげた。；小便をした床をふいたあと、私はじいっと床を見続けずにいられなかった。</t>
        </is>
      </c>
      <c r="J4085">
        <f>HYPERLINK("https://www.weblio.jp/content/小便", "词义详情")</f>
        <v/>
      </c>
      <c r="K4085">
        <f>HYPERLINK("https://yourei.jp/小便", "查看例句")</f>
        <v/>
      </c>
    </row>
    <row r="4086">
      <c r="A4086" t="inlineStr">
        <is>
          <t>譲歩</t>
        </is>
      </c>
      <c r="B4086" t="inlineStr">
        <is>
          <t>成功</t>
        </is>
      </c>
      <c r="C4086" t="inlineStr">
        <is>
          <t>読み方：じょうほ
［名］(スル)《他の人に道を譲るの意から》自分の意見や主張を押さえて相手の意向に従ったり妥協したりすること。「—を求める」「価格をもうこれ以上—するわけにはいかない」</t>
        </is>
      </c>
      <c r="D4086" t="inlineStr">
        <is>
          <t>譲歩すること(3%)；譲歩案；譲歩する形；譲歩しよ；譲歩しすぎ</t>
        </is>
      </c>
      <c r="E4086" t="inlineStr">
        <is>
          <t>譲る；調停；折れる；協調；折り合い</t>
        </is>
      </c>
      <c r="F4086" t="inlineStr">
        <is>
          <t>大きな譲歩；政治的譲歩；大きく譲歩；かなり譲歩；いかなる譲歩</t>
        </is>
      </c>
      <c r="H4086" t="n">
        <v>29</v>
      </c>
      <c r="I4086" t="inlineStr">
        <is>
          <t>彼女がそれを条件にしたので、私も譲歩しなければならなかったのです。；グロデグは何としてでもきみを一人きりにして譲歩を迫ってくるだろう。；何かで急にこちらが譲歩しなければならぬことになるのが心配だった。；政府は労働者側に譲歩することで最終的になんとか平和的に解決した。；これが父母を恐怖させるので、いつも息子に譲歩してしまうのであった。；つまり、相手があまりに唯物論者に譲歩していると非難したのであった。；つまり日米和解して譲歩する一歩手前まで事態は行っていたのである。；これは一帯の奴隷主の多くの心配を緩和するために必要な譲歩だった。；だが、おそらくおれのほうがお前に譲歩すべきだったのかもしれない。；議論に十分余裕があるのであるから、たいていの譲歩をしても差支えない。；最終的にこの事件はフランス側が譲歩することによって一応の解決を見せた。；われわれの力がどのくらいのものであろうと、われわれは譲歩してはならない。；現在、自治体の既存の鉄道は連邦鉄道ネットワークの譲歩を受けています。；だが指揮官は、まだ完全に譲歩しようとはせず、吐きだすように答えた。；財団は譲歩したが、ビジュアルエディターの開発と改良は続けるとした。；ソ連側は満足しなかったが、ソ連へのいかなる譲歩にも反対した。；見つけたのはお前なんだし、少しくらいは譲歩すべきかしらねえ?；ヒトラーは、ポーランドがドイツの要求に譲歩するものと考えていた。；その譲歩は、ミンスクを国境のポーランド側に残すと言うものであった。；なにしろマルネフ夫人との浮気を大目に見るほどの譲歩をしたのだから!；日本が戦争決意をしていると知れば、アメリカは譲歩するだろうという考え。；マザランは一旦は譲歩の姿勢を示すが、8月に入ると首謀者を逮捕する。；また、内閣が全く譲歩しようとしなかったため、多くの支持を失った。；しかし、法案の反対者は南部の奴隷勢力に対する譲歩だと言って非難した。；アフリカ諸国からの圧力に直面した中華民国は、抗議の末に譲歩した。；このようにして、両政府はいずれも譲歩しないように思われた。；その他のことについては万事彼のほうで譲歩して見ない振りをした。；もし半ブルジョワ的な政府に一歩でも譲歩するならば、必ず欺かれるのだ。；コルヴィザールはこの点で譲歩することを拒否して就職を断って書いた。</t>
        </is>
      </c>
      <c r="J4086">
        <f>HYPERLINK("https://www.weblio.jp/content/譲歩", "词义详情")</f>
        <v/>
      </c>
      <c r="K4086">
        <f>HYPERLINK("https://yourei.jp/譲歩", "查看例句")</f>
        <v/>
      </c>
    </row>
    <row r="4087">
      <c r="A4087" t="inlineStr">
        <is>
          <t>消防</t>
        </is>
      </c>
      <c r="B4087" t="inlineStr">
        <is>
          <t>成功</t>
        </is>
      </c>
      <c r="C4087" t="inlineStr">
        <is>
          <t>読み方：しょうぼう
１火事を消し、延焼を防ぎ、また、火災・水害の警戒・予防などをすること。
２「消防士」「消防団」などの略。</t>
        </is>
      </c>
      <c r="D4087" t="inlineStr">
        <is>
          <t>消防部局(11%)；消防局(6%)；消防活動(3%)；消防事務(2%)；消防業務(2%)</t>
        </is>
      </c>
      <c r="E4087" t="inlineStr">
        <is>
          <t>消火；火消し</t>
        </is>
      </c>
      <c r="F4087" t="inlineStr">
        <is>
          <t>消防当局；消防本署；消防協会；消防関係；管轄する消防</t>
        </is>
      </c>
      <c r="G4087" t="inlineStr">
        <is>
          <t>消防団；消防車；消防士；消防本部；消防隊</t>
        </is>
      </c>
      <c r="H4087" t="n">
        <v>29</v>
      </c>
      <c r="I4087" t="inlineStr">
        <is>
          <t>建築・消防法規上の書類で実際にそのように分類している市町村も多い。；そのため、一般の用語と消防行政用語が指す範囲に明らかなズレがある。；消防防災博物館の資料によると以下のような被害拡大の要因があった。；これを機に地区内の警察・消防の管轄が総社から玉島に変更となった。；開発の進んだ地域では火災に対処するため消防サービスが提供されている。；また空中消火用消防飛行機としても多くの国での実績を積み重ねている。；それが現代の日本の消防署・消防団へと総合的に繋がって発展してきた。；これは特消隊を試験的に増強し、消防力の強化を図っているものである。；アメリカの警察・消防では軍隊や航空分野とは異なるものを用いる。；特別救助隊とは、人命救助活動を主要な任務とする消防の専門部隊のこと。；消防本部が置かれていない市町村では消防団が主として消防活動を行う。；これにより、消防の同意なしに建築確認がなされることはないことになる。；残りの消防本部の音楽隊は消防の通常業務を兼ねている兼務隊である。；消防のためにはポンプ車に接続するためのバルブが備えられている。；日本では、消防は市町村が責任を持って果たすこととされている。；この火災を最初に消防に通報したのは道路向かいの理髪店の店主であった。；この大火で消防の指揮をとっていたのは播磨赤穂藩主・浅野長矩であった。；消防防災政策などについて日本国民の理解を求めるために作成されている。；洋風建築であるが、戦前の消防施設らしく火の見櫓が設置されている。；消防や救急用の様々な拡張装備が用意されており、日本でも多くの自治体が採用している。；同市に消防事務を委託している高石市域と大阪狭山市域も管轄している。；近年は、防災も消防の任務と考えられることが多くなりつつある。；都道府県別に設置される社団法人の消防協会会長も団長の中から選出される。；町の消防の主な歴史は下記の通りとなっている。；シンボルマークも部隊の名前である竜と消防ホースを組み合わせたものである。；開発国であるイタリアの警察・消防を始め各機関で運用されている。；この価格設定は、警察・消防・軍事系などが主要ユーザーであることも影響している。；消防・郵便・ラジオなどの分野にユーゲントの隊員が投入された。；消防局を名前に冠しているが、業務内容は他の消防本部と同一である。</t>
        </is>
      </c>
      <c r="J4087">
        <f>HYPERLINK("https://www.weblio.jp/content/消防", "词义详情")</f>
        <v/>
      </c>
      <c r="K4087">
        <f>HYPERLINK("https://yourei.jp/消防", "查看例句")</f>
        <v/>
      </c>
    </row>
    <row r="4088">
      <c r="A4088" t="inlineStr">
        <is>
          <t>情報</t>
        </is>
      </c>
      <c r="B4088" t="inlineStr">
        <is>
          <t>成功</t>
        </is>
      </c>
      <c r="C4088" t="inlineStr">
        <is>
          <t>読み方：じょうほう
１ある物事の内容や事情についての知らせ。インフォメーション。「事件についての—を得る」「—を流す」「—を交換する」「—がもれる」「極秘—」
２文字・数字などの記号やシンボルの媒体によって伝達され、受け手に状況に対する知識や適切な判断を生じさせるもの。「—時代」
３生体系が働くための指令や信号。神経系の神経情報、内分泌系のホルモン情報、遺伝情報など。
４中等教育の教科の一。情報技術（IT）や情報化社会のモラルなどを身につけることを目標とする。情報科。
[補説]2016年に実施した「あなたの言葉を辞書に載せよう。2016」キャンペーンでの「情報」への投稿から選ばれた優秀作品。◆振り回されてもしがみついてしまうもの。エヌジマさん◆有り過ぎると無いに等しくなるもの。桐子博士さん◆人をも操れる形の無いもの。おこげさん◆受け手によって意味の変わるモノ。ぽちさん◆嘘か真か見極めて利用しなければならないもの。みいこさん◆簡単に信じてはいけないモノ。使いようにより武器にも弱点にもなる諸刃の剣。ボブさん◆賢く取捨選択しないと踊らされてしまうもの。ROIさん◆ウィキペディア。イケガミユイさん</t>
        </is>
      </c>
      <c r="D4088" t="inlineStr">
        <is>
          <t>情報部；情報伝達；情報サイト；情報網；情報源</t>
        </is>
      </c>
      <c r="E4088" t="inlineStr">
        <is>
          <t>報告；データ；知識；案内；報道</t>
        </is>
      </c>
      <c r="F4088" t="inlineStr">
        <is>
          <t>重要な情報；新しい情報；様々な情報；正確な情報；詳細な情報</t>
        </is>
      </c>
      <c r="G4088" t="inlineStr">
        <is>
          <t>情報番組；情報源；情報提供；情報処理；情報交換</t>
        </is>
      </c>
      <c r="H4088" t="n">
        <v>29</v>
      </c>
      <c r="I4088" t="inlineStr">
        <is>
          <t>ただし、捜査情報の一部を公開して広く国民の協力を求める場合もある。；本を読む場合はページをめくる事によって次々と情報を得る事が出来る。；開発当初、WWW は文字情報を扱うだけの比較的単純なものであった。；この時点では殆ど情報が集まっておらず、詳細な状況は不明であった。；この情報の移動は水素結合が共有結合性を含んでいる時にしか起きない。；このため、通信や放送などの長距離の情報送信に使用されることが多い。；この段階では名前はついておらず、後から情報を集めて思いついて行った。；しかし、この技術を超光速の情報伝達のために使うことは不可能である。；逆にメディアミックスは単数の情報を複数の媒体で展開することである。；主要な城は、為政者や指揮官の住居であり、政治や情報の拠点であった。；しかし、学術的な扱いでは、主題のデータは単なる情報の一群とされる。；それぞれの国内では全ての公用語で情報が行き渡るようになっている。；同国では全土において一般犯罪が日常的に発生しているとの情報がある。；強い磁気に晒されると磁気情報が破損して使用できなくなることがある。；しかし一度に大量の情報を話し、聞き返す事もできないためメモは必須。；記録は、安定した形で定着・保存された状態にある情報である。；その他の部分はオペランドと呼ばれ、その命令で使用する情報を示している。；導き出された情報を予報の種類に合わせてまとめ、適切な形式で発表する。；相打ちになれば相手にも同じ情報を与えるので、自分が有利になることはない。；変調はアナログ信号の情報をより高い周波数で伝送するのにも使われる。；さらにはそうした情報を別のサイトに転送する事も可能である。；情報技術分類では、対象となる情報そのものの標準を制定している。；舟運を通じた江戸との交流も盛んで、物のほか人や情報も多く行き交じった。；OOPは従来のライブラリが提供していなかった情報を必要とした。；開始の区切り文字は無く、@で区切る事でユーザー情報の終わりを示す。；データは何らかの形で分析されて初めて意思決定を行うのに適した情報となる。；交渉の初期段階においてボーマルシェに情報を流していたのはこの男であった。；それらの微化石を研究する事で貴重な情報を得ることができる。；作品中の描写から得られる情報は以下の通りである。</t>
        </is>
      </c>
      <c r="J4088">
        <f>HYPERLINK("https://www.weblio.jp/content/情報", "词义详情")</f>
        <v/>
      </c>
      <c r="K4088">
        <f>HYPERLINK("https://yourei.jp/情報", "查看例句")</f>
        <v/>
      </c>
    </row>
    <row r="4089">
      <c r="A4089" t="inlineStr">
        <is>
          <t>賞味</t>
        </is>
      </c>
      <c r="B4089" t="inlineStr">
        <is>
          <t>成功</t>
        </is>
      </c>
      <c r="C4089" t="inlineStr">
        <is>
          <t>読み方：しょうみ
［名］(スル)食べ物のおいしさをよく味わって食べること。「郷土料理を—する」</t>
        </is>
      </c>
      <c r="D4089" t="inlineStr">
        <is>
          <t>賞味する(30%)；賞味される(5%)；賞味できる(2%)；賞味されます；賞味法</t>
        </is>
      </c>
      <c r="E4089" t="inlineStr">
        <is>
          <t>感謝；楽しむ；鑑賞；賞賛；味わう</t>
        </is>
      </c>
      <c r="F4089" t="inlineStr">
        <is>
          <t>御賞味</t>
        </is>
      </c>
      <c r="G4089" t="inlineStr">
        <is>
          <t>賞味期限切れ；賞味期間</t>
        </is>
      </c>
      <c r="H4089" t="n">
        <v>29</v>
      </c>
      <c r="I4089" t="inlineStr">
        <is>
          <t>生物が行動の基準とする賞味の利益の方法は例えば次のようなものである。；だが、それを賞味するのにも眼の端に黒ずんだ写真を留めねばなるまい。；その時も、まだ諸岡は美奈子の体を賞味できるとは確信していなかった。；そう悪いものではないが、さまで賞味するほどのことではないような気分だ。；そしておれの歓待の馳走を賞味してから、弟の招待を受けに行ってくれ。；別れて一人になってこの体験を賞味し、反芻したいとでもいった気持であった。；この賞味は彼にとっては自分の享楽である以前に女への敬意であった。；家康もこの歳になるまで、それほどしばしば賞味したことがない。；肝臓が発達すると身がやせてしまうので、身だけを賞味するならば夏が良い。；今の味覚から言っても、猪の肉を賞味する時は生後一年の仔猪にかぎる。；この席で、まったく知らないできた御馳走も賞味することができた。；魚肉と獣肉とを問わず、ペルシダー中で彼らが賞味しないものはないのだ。；苦くて私は余りたべなかったが、祖父母達はすみそを潜らして賞味した。；ちょうど今が飲み頃だと思いますので、どうか御賞味ください。；だがこれだけは、あなたの賞味のためにとっておきましょう。；世界の三大珍味を賞味するのだと言って、キャビアとフォアグラを買った。；つまり毛の中の細胞液を吾らは賞味しているのである。；こういうものを賞味するようにならなければ、食通とはいえまい。；もっとも賞味すべきはらわたが抜けてしまっては価値がない。；人間は、先史時代にはマウスを食べていたし、現在でも賞味する地区がある。；間違いなく、サイゴンの長屋で何回となく賞味したカー・ロックの味だった。；そんなげてものを賞味する人類が不思議なものに思えてくる。；とりたてのクジラの肉が手に入ったので、わたしたちはサシミにして賞味した。；肉体を貪ろうとする狂気のない、それを別なところに置いている、賞味を見る。；つまりこちらと同様に先方にも温いうちに賞味される必要があるというわけである。；どんな町へ行っても、その土地でいちばんうまいものを賞味しなければ気がすまない。；特に柚子は、果実のまま賞味される高級品「玉ゆず」の産地と知られる。；その華麗な花にも似た部分を眼で賞味されることを彼女はことさらに楽しんでいるふうである。；男は金を受け取りに来て、そして歌子の白い体をタップリと賞味した。</t>
        </is>
      </c>
      <c r="J4089">
        <f>HYPERLINK("https://www.weblio.jp/content/賞味", "词义详情")</f>
        <v/>
      </c>
      <c r="K4089">
        <f>HYPERLINK("https://yourei.jp/賞味", "查看例句")</f>
        <v/>
      </c>
    </row>
    <row r="4090">
      <c r="A4090" t="inlineStr">
        <is>
          <t>正味</t>
        </is>
      </c>
      <c r="B4090" t="inlineStr">
        <is>
          <t>成功</t>
        </is>
      </c>
      <c r="C4090" t="inlineStr">
        <is>
          <t>読み方：しょうみ
１余分なものを取り除いた、物の本当の中身。「—の少ない果物」
２風袋を除いた、商品だけの目方。「—1キログラム」
３実質的な数量。「昼休みを除いて、—8時間働いた」
４掛け値のない値段。また、仕入れの値段。正味値段。「—で売る」
５表面に現れない、隠された本当のところ。
「—を言わねば事実談にならぬから」〈福沢・福翁自伝〉</t>
        </is>
      </c>
      <c r="D4090" t="inlineStr">
        <is>
          <t>正味二(4%)；正味三(3%)；正味一(2%)；正味十(2%)；正味四</t>
        </is>
      </c>
      <c r="E4090" t="inlineStr">
        <is>
          <t>内容；中身；中味；内容物</t>
        </is>
      </c>
      <c r="F4090" t="inlineStr">
        <is>
          <t>正味二十</t>
        </is>
      </c>
      <c r="G4090" t="inlineStr">
        <is>
          <t>正味実現可能価額</t>
        </is>
      </c>
      <c r="H4090" t="n">
        <v>29</v>
      </c>
      <c r="I4090" t="inlineStr">
        <is>
          <t>この辺の駅から十分は大抵懸値があるんだが、僕のところは正味十分だ。；その前に四八歳である正味の私の顔を見せなければならないのである。；週に一度は広い第一運動場を使って正味四十五分、運動をさせるのだ。；言葉を今くらい操るようになるまで、正味二ヶ月もかかっていないのだ。；物質移動は、ある位置からもう一つの位置への物質の正味の移動である。；この偉大なる実験の結果は、正味のところ、完全な失敗に終わったのだ。；吸熱反応では、熱が吸収されて正味のエンタルピー変化が正の値になる。；をモデル基質とした場合の、全体的な正味の反応は次のとおりである。；滋子が出たのは番組のなかの特集枠で、正味は十五分ぐらいのものだった。；正味二十数時間のドック入りではあったが、彼の体はあらゆる面で健康だった。；妹との手を携えての仕事は正味不快だが、必須だからと我慢する僕だった。；それを知り抜いているおあきは、正味を話すしかないことも分かっていた。；ただし他の短編・中編が数作収録されているため、正味10巻弱となる。；パルミチン酸をモデル基質とした場合の全体の正味の反応は次のとおりである。；正味の曲直を標準にしても、競り合わない前に、彼女はすでに勝っていた。；発熱反応では、熱が放出されて正味のエンタルピー変化が負の値になる。；正味の話、子供のころから耳にタコができるくらい言われていた。；警察医がやって来たのは事件が発生して正味三十分の後であった。；といって、彼のことば通りを正味にうけて、自分の夢に酔っているふうでもない。；そこへ出すものは、何でも正味の料理だけなんですからね。；正味二日半かかって行くのだけど、二日とも雨が降って風が吹いてシケていた。；その結果正味財産が約37万円と経営状況が悪化していた。；ここには、その正味に近い史料に拠っただけの小伝をまず掲げておく。；なかにいたのは正味三十分ぐらいだろうか。；敷地は間口が三十五フィートあって、建物は正味二十五フィートを占めていた。；レイプが一般的にほとんどの男性に正味の利益をもたらす可能性が低くなることが提示された。；生まれてはじめて口にした酒を、正味三合ぺろりと酌んでしまったのには我れながら驚く。；こうした刹那には、つい正味の自己が出てしまうのも、ぜひがない。；彼は彼でその七十二時間を正味七十二時間に使って帰ったのだ。</t>
        </is>
      </c>
      <c r="J4090">
        <f>HYPERLINK("https://www.weblio.jp/content/正味", "词义详情")</f>
        <v/>
      </c>
      <c r="K4090">
        <f>HYPERLINK("https://yourei.jp/正味", "查看例句")</f>
        <v/>
      </c>
    </row>
    <row r="4091">
      <c r="A4091" t="inlineStr">
        <is>
          <t>静脈</t>
        </is>
      </c>
      <c r="B4091" t="inlineStr">
        <is>
          <t>成功</t>
        </is>
      </c>
      <c r="C4091" t="inlineStr">
        <is>
          <t>読み方：じょうみゃく
末梢の毛細血管網から血液を心臓に向けて送る血管。小・中静脈を経て上下の大静脈となり、心臓に戻る。動脈に比べて壁が薄く、中静脈以降には弁があって逆流を防ぐ。→動脈</t>
        </is>
      </c>
      <c r="D4091" t="inlineStr">
        <is>
          <t>静脈内投与(6%)；静脈洞(5%)；静脈投与(2%)；静脈系；静脈叢</t>
        </is>
      </c>
      <c r="E4091" t="inlineStr">
        <is>
          <t>血管；脈；脈絡；青筋；気脈</t>
        </is>
      </c>
      <c r="F4091" t="inlineStr">
        <is>
          <t>経静脈；肝静脈；頚静脈；硬膜静脈；大腿静脈</t>
        </is>
      </c>
      <c r="G4091" t="inlineStr">
        <is>
          <t>静脈血；静脈瘤；静脈内注射；静脈麻酔；静脈血栓塞栓症</t>
        </is>
      </c>
      <c r="H4091" t="n">
        <v>29</v>
      </c>
      <c r="I4091" t="inlineStr">
        <is>
          <t>舌骨付近にて下顎部からのいくつかの表在静脈が合流することで始まる。；入院して調べてみると、脚の静脈に血栓ができていることがわかった。；あんたいい静脈してるね、私の通ってた医大なんか行けば超モテモテよ。；動脈から静脈へどのようにして血液が流れるかを示すことが出来なかった。；スリッパがぶら下がっている足には赤や青の静脈が走っているのがわかる。；血管の離断がある場合は静脈損傷、神経損傷を合併していることが多い。；左右の静脈は走行が異なり、右副腎静脈は下大静脈へとつながっている。；続いて静脈のほうもカテーテルをセットし、装置へと管を導いてやった。；静脈還流の減少は逆の効果をもたらし、一回拍出量の減少を引き起こす。；他の首の静脈と反比例するように大きさは変化し、二倍になることもある。；陶器のように真っ白な左脚の股の内側に、青い静脈が幾筋も走っていた。；彼はある静脈の色に注目し、髪の毛の性質すらも精密な検査を行った。；腕の静脈を刺させるくらいなら、なぜ同じように頸動脈を切らせないか。；血管保護作用があり慢性静脈不全など静脈疾患の症状改善に使用される。；同じ静脈に継続して注射しても、組織損傷や浮腫を起こすことがある。；梶棒の先につけた提灯の光が車夫の手の静脈を太く浮び上がらしていた。；このとき右総主静脈と右前主静脈の一部から作られるのが上大静脈である。；彼は頸部の手術において頸動脈および内頚静脈を避けるように指示した。；静脈は、毛細血管から発生した静脈血を心臓に送るために使われる血管。；脳の静脈は、通常は硬膜と頭蓋骨の間にあるの大きなスペースを通る。；ナイフの刃先は胃を貫通して、背中の静脈の一歩手前で止まっていた。；しかも毛の長さから比例配分したように毛根や静脈洞のサイズが変化する。；顔面静脈は弁を持たず、他の大部分の表在静脈のように弛緩していない。；人工呼吸と心臓マッサーシが同時に行なわれ、輸液の静脈が確保された。；静脈内の食塩水は、ソンムの戦いでショックを受けた者を助けなかった。；右半身ではこうした静脈は直接下大静脈に流れ込んでいるのが普通である。；静脈系の主体は体壁系から内臓系に移行し皮静脈系とリンパ管系が発達する。；ハルキス氏の心臓の状態から手術は不可能でしたから、静脈治療をやったのです。；雪子は、心臓ばかりか、手首の静脈まで激しく脈打っているのを感じた。</t>
        </is>
      </c>
      <c r="J4091">
        <f>HYPERLINK("https://www.weblio.jp/content/静脈", "词义详情")</f>
        <v/>
      </c>
      <c r="K4091">
        <f>HYPERLINK("https://yourei.jp/静脈", "查看例句")</f>
        <v/>
      </c>
    </row>
    <row r="4092">
      <c r="A4092" t="inlineStr">
        <is>
          <t>常務</t>
        </is>
      </c>
      <c r="B4092" t="inlineStr">
        <is>
          <t>成功</t>
        </is>
      </c>
      <c r="C4092" t="inlineStr">
        <is>
          <t>読み方：じょうむ
１日常の業務。「—に精励する」
２「常務取締役」の略。</t>
        </is>
      </c>
      <c r="D4092" t="inlineStr">
        <is>
          <t>常務委員兼；常務次長；常務時代；常務兼；常務副</t>
        </is>
      </c>
      <c r="E4092" t="inlineStr">
        <is>
          <t>社長；幹部；理事；取締役；役員</t>
        </is>
      </c>
      <c r="F4092" t="inlineStr">
        <is>
          <t>担当常務；元常務；支部常務；球団常務；上杉常務</t>
        </is>
      </c>
      <c r="G4092" t="inlineStr">
        <is>
          <t>常務理事；常務委員会；常務執行役員；常務会；常務委員長</t>
        </is>
      </c>
      <c r="H4092" t="n">
        <v>29</v>
      </c>
      <c r="I4092" t="inlineStr">
        <is>
          <t>このほか、中央政治委員会委員、軍事委員会常務委員にも就任している。；あわせて中央政治委員会指定委員、軍事委員会常務委員も兼任している。；こうした大規模発電所の設置は同社常務松永安左エ門が計画したという。；常務と運転手が彼の家を訪ねて来たのは、その翌日の午後である。；祖父江重兵衛が経営に失敗した愛知物産の常務となり、経営を再建した。；その後金曜は新たに当時吉本興業常務であった木村政雄の担当となった。；父は合併で大日本人造肥料となっていた大きな化学会社の常務だった。；私はこの時ふと三越の常務をしている浜田四郎君のことを思い出した。；原因は整備不良とされ、元常務ら4人が起訴され有罪判決を受けている。；ある夜、花夜は常務室で、杏平が女性の血を吸っている場面を目撃する。；常務時代は名古屋勤務で、木曽川・矢作川その他の水力開発に従事した。；歴代役員のうち、上記社長・専務・常務経験者以外の主な人物は以下の通り。；一方、ソン常務はストライキを利用して事態を一気に片づけようとする。；各国の副首相に相当し、国務院全体会議及び国務院常務会議を構成する。；先述の電話を受け、社長一家は、常務が家に来るのを待っていたところだった。；また、東海銀行の常務営業本部長を務めていた伊藤是介は叔父にあたる。；林は西山会議派において中央常務委員兼海外部長に任命されている。；また、中国共産党中央顧問委員会では創設から廃止まで常務委員を務めた。；同ホテル常務としてホテル業界では初めて和風スタイルの導入を提言する。；総務部長・取締役・常務・副社長などを経て、1969年に社長に就任。；企画、及びタイトル命名は、当時の東映常務兼企画製作本部長・岡田茂。；部長はい、常務もはじめは、そのようにおっしゃっておられました。；組合の常務は各組合員又は各業務執行者が単独で行うことができる。；このような大火力発電所の新設は、常務の松永安左エ門が計画したものという。；昼少し前に常務の赤石さんが入って来たのには一寸困った。；あわせて中央政治委員会員と軍事委員会常務委員も兼任している。；同年5月に新政党常務委員となるが民主党に復党して同党中央常務委員。；各店舗で経験を積み、店長、常務を経て2013年に社長に就任した。；上海・武漢の両国民政府が合流すると、広州特別市党部常務委員となる。</t>
        </is>
      </c>
      <c r="J4092">
        <f>HYPERLINK("https://www.weblio.jp/content/常務", "词义详情")</f>
        <v/>
      </c>
      <c r="K4092">
        <f>HYPERLINK("https://yourei.jp/常務", "查看例句")</f>
        <v/>
      </c>
    </row>
    <row r="4093">
      <c r="A4093" t="inlineStr">
        <is>
          <t>照明</t>
        </is>
      </c>
      <c r="B4093" t="inlineStr">
        <is>
          <t>成功</t>
        </is>
      </c>
      <c r="C4093" t="inlineStr">
        <is>
          <t>読み方：しょうめい
［名］(スル)
１光で照らして明るくすること。特に、電灯などの人工的な光で明るくすること。また、その光。「部屋の—が暗い」「探照灯で—する」「—器具」
２舞台や撮影の効果を高めるために光を当てること。また、その光。「—効果」</t>
        </is>
      </c>
      <c r="D4093" t="inlineStr">
        <is>
          <t>照明灯(3%)；照明設備(3%)；照明装置；照明用；照明塔</t>
        </is>
      </c>
      <c r="E4093" t="inlineStr">
        <is>
          <t>ライト；明かり；ライター；電灯；電燈</t>
        </is>
      </c>
      <c r="F4093" t="inlineStr">
        <is>
          <t>夜間照明；薄暗い照明；明るい照明；人工照明；室内照明</t>
        </is>
      </c>
      <c r="G4093" t="inlineStr">
        <is>
          <t>照明弾；照明技師；照明デザイナー；照明部；照明助手</t>
        </is>
      </c>
      <c r="H4093" t="n">
        <v>29</v>
      </c>
      <c r="I4093" t="inlineStr">
        <is>
          <t>また広告が入っていた場合でも、照明を点灯することはなくなっていた。；照明調整室と同じ場所か、スポットライト専用の部屋を設けて設置する。；一方でリール内照明点滅やスタート音の変化などはそのまま残してある。；その他の交直両用電車でも照明は消えないが、一部電気系統が停止する。；その影響で、照明には以前の青ではなく、赤が使われるようになった。；初代に比べて車体がやや大きくなり、簡易照明が設置されるようになった。；スタジオ構成番組が多く、情報を的確に伝えることを主とした照明である。；ナイター照明設備がないため、試合や練習での使用は日中に限られる。；この繰り返し計算を行うことで、照明状態が一定の安定状態に至る。；それは描かれたイメージのそれぞれの部分を、背後から照明することが出来た。；なおナイター競走開催のために照明設備が設置されている場もある。；また、ナイター競走開催のための照明設備が設置されている場もある。；さらに、イベント設備としてカラオケ機器や照明設備も用意されている。；この言葉が野球ファンの共感を得たため、照明灯は設置されてこなかった。；ただし、現在では明るい照明があるし、ケガをしない安全爪切りがある。；これらの照明現象はデザイナーなどにより調整されなくてはならない。；照明をあてることで、背景として使われる白色の大きな幕のことを言う。；こうしてセットが完成すると、スタンドインはそこに入り照明を浴びる。；全体的に現在の東京版に類似していて、乗り場などの照明は青になっている。；前述した電圧低下による照明の消灯はこの頃もしばしば発生していた。；建物上部にホームの照明灯が見える thumb|ホームから見た村の風景。；しかしその後、照明設備が追加設置されると次第に観客動員数は増加。；今でもこうした照明を用いる寺院や教会では、すすが発生している。；また、通路天井の照明が「HOMMACHI」となっている部分がある。；両端にはポール照明が、中央部には高欄照明がそれぞれ採用されている。；このため短期間に大電流を消費するデジタル機器や照明用途などに向く。；秋から冬の間は、照明近くの街路樹に大群の集団ねぐらを作ることがある。；検討委員会は同年11月20日に当球場を照明設置の第一候補と決定した。；この通りには数多くの商店やレストランの照明やネオンサインが並んでいる。</t>
        </is>
      </c>
      <c r="J4093">
        <f>HYPERLINK("https://www.weblio.jp/content/照明", "词义详情")</f>
        <v/>
      </c>
      <c r="K4093">
        <f>HYPERLINK("https://yourei.jp/照明", "查看例句")</f>
        <v/>
      </c>
    </row>
    <row r="4094">
      <c r="A4094" t="inlineStr">
        <is>
          <t>証明</t>
        </is>
      </c>
      <c r="B4094" t="inlineStr">
        <is>
          <t>成功</t>
        </is>
      </c>
      <c r="C4094" t="inlineStr">
        <is>
          <t>読み方：しょうめい
［名］(スル)
１ある物事や判断の真偽を、証拠を挙げて明らかにすること。「身の潔白を—する」「本人であることを—する書類」「身分—」「印鑑—」
２数学および論理学で、真であると認められているいくつかの命題（公理）から、ある命題が正しいことを論理的に導くこと。論証。
３訴訟法上、当事者が事実の存否について、裁判官に確信を抱かせること。または、これに基づき裁判官が確信を得た状態。→疎明(そめい)</t>
        </is>
      </c>
      <c r="D4094" t="inlineStr">
        <is>
          <t>証明する(20%)；証明書(4%)；証明できる(3%)；証明される(3%)；証明しよ</t>
        </is>
      </c>
      <c r="E4094" t="inlineStr">
        <is>
          <t>示す；証拠；判明；確認；証言</t>
        </is>
      </c>
      <c r="F4094" t="inlineStr">
        <is>
          <t>技能証明；証明済み；証明可能な論理式；証明ずみ；証明する手立て</t>
        </is>
      </c>
      <c r="G4094" t="inlineStr">
        <is>
          <t>証明写真；証明責任；証明論；証明系；証明可能安全性</t>
        </is>
      </c>
      <c r="H4094" t="n">
        <v>29</v>
      </c>
      <c r="I4094" t="inlineStr">
        <is>
          <t>したがって、規定された名称以外を取引・証明に使うことは禁止される。；それはすなわち であることに他ならないから、これで証明は完成する。；それを自分が事業で成功して、 証明しなきゃならないと思ったんです。；尺貫法は現在は廃止されており、取引・証明に使用することはできない。；となった際に、アマチュア無線独自の証明機関を設立することとなった。；プログラムが正しいことを確認するには、それを証明しなければならない。；この事実は一般的な理論の助けを借りて理解し証明することができる。；つまり、時代が進めば進むほど証明の可能性が原理的に狭められてきた。；これらの実験で、電話が長距離でも作動することをはっきりと証明した。；証明とは、ある事柄が真理もしくは事実であることを明らかにすること。；が具体的な値を取るいくつかの場合についてはさまざまな証明が与えられた。；レピュニット素数は無限にあると予想されているが、証明されていない。；能力の証明を用いたで代表的なものは、電子署名を用いた方法である。；故に対偶を取ることで が自然数論の体系内で証明可能なことがわかる。；おおむね購入時に本人の年齢を確認できる公的証明書の提示を求められる。；一般書籍でいわれる精油の効能は、科学的に証明されていないものが多い。；またアレルギー性疾患とアトピー性疾患の関連は十分に証明されている。；ゲッティンゲンには16世紀からユダヤ教組織の存在が証明されている。；素数が無数に存在することを証明に用いないため、その証明をも含んでいる。；計量経済学的分析に力を発揮することが経験的に証明されている。；一般の場合が初めて証明されたのは1878年でフロベニウスによる。；この定理はすでに紀元前3世紀頃のユークリッド原論で証明されていた。；今また、彼は悪と戦争から手を引くことはないと証明している。；したがって時間階層定理の証明も対角線論法を使っていることが分かる。；この年は国際舞台でその強さを証明することに成功した。；この中には学問的に証明されていない主張も多くしばしばニセ科学になりやすい。；の性格上、その歴史には定理の自動証明の研究が大きく関係している。；年度ごとの初回購入時に年齢を確認できる公的証明書の提示が必要である。；その一つの動機は、三次や四次の相互法則を証明することにあった。</t>
        </is>
      </c>
      <c r="J4094">
        <f>HYPERLINK("https://www.weblio.jp/content/証明", "词义详情")</f>
        <v/>
      </c>
      <c r="K4094">
        <f>HYPERLINK("https://yourei.jp/証明", "查看例句")</f>
        <v/>
      </c>
    </row>
    <row r="4095">
      <c r="A4095" t="inlineStr">
        <is>
          <t>正面</t>
        </is>
      </c>
      <c r="B4095" t="inlineStr">
        <is>
          <t>成功</t>
        </is>
      </c>
      <c r="C4095" t="inlineStr">
        <is>
          <t>読み方：しょうめん
１物の前の面。建築物などの表の側。おもて。「—から出入りする」「—玄関」
２正しく向き合っている方向。まっすぐ前。「—を向く」「—に見える建物」
３物事にまともに対すること。避けたりしないで、直接立ち向かうこと。「問題に—から取り組む」
４相撲で、土俵の北側の席。→向こう正面
５能舞台で、中央から前の目付(めつけ)柱と脇柱との間の所、およびその外縁の観客席。正(しょう)。→能舞台→中正面→脇正面</t>
        </is>
      </c>
      <c r="D4095" t="inlineStr">
        <is>
          <t>正面玄関(5%)；正面衝突；正面入口；正面攻撃；正面きって</t>
        </is>
      </c>
      <c r="E4095" t="inlineStr">
        <is>
          <t>前；表；正直；前面；フロント</t>
        </is>
      </c>
      <c r="F4095" t="inlineStr">
        <is>
          <t>正面口；正面階段；正面扉；正面向き；建物正面</t>
        </is>
      </c>
      <c r="G4095" t="inlineStr">
        <is>
          <t>正面跳び；正面通；正面橋</t>
        </is>
      </c>
      <c r="H4095" t="n">
        <v>29</v>
      </c>
      <c r="I4095" t="inlineStr">
        <is>
          <t>正面にはそれぞれ木の階段があり、さらにその前方に石階が設置されている。；駅舎の正面にバス停が設けられ、阪急バスの以下の路線が発着している。；双塔型の西正面を持つ建築物がいつごろ建設されたのかは明確でない。；正面中央の玄関とその奥の廊下を挟んで南北に部屋を配置する。；金堂は南でなく東を正面とし、五重塔と向かいあう形で建てられていた。；ホームに上屋はないが、駅正面に雨や雪を防ぐ待合施設が設置されている。；また正面にある窓または潜望鏡によって位置を確認することができた。；盾は剣をしまった状態ではギルの正面、剣を抜いた状態では左側を向く。；アニメ版のソロモン攻略戦では、敵の正面を埋め尽くす描写がなされた。；正面の愛称表示器は幕式、車体側面の行先表示器は3色LED式である。；前面は非貫通型とし、正面が「く」の字になった独特の形状を採用した。；また、正面窓のワイパーは量産車とは異なる形状のものが採用されている。；また駅舎正面入口へは十数段の階段が取り付けられている。；初期の車両は先頭車の正面脇に「ひげ」を入れていたが、後に廃止された。；このため、車両番号は正面非常扉の白色部の下に4桁表示で記載された。；他のほ乳類では、ネコ類がやや正面に眼が配置し、顔面らしい形を作る。；奏者は正面ではなくやや左を向き、右に首をかしげて唇を歌口に当てる。；正面の5間は等間ではなく、西から2間目の柱間が他より広くなっている。；パルティア美術の独特な特徴は正面主義原則を厳密に守った人物描写である。；ほとんどの種では正面と両側面の視覚が優れていたことが明らかにされている。；タウンホールの正面には、舵輪に手を掛けたミッキーマウスの像がある。；このホールの正面に、大学のシンボルの一つアルマ・マーテル像がある。；正面を向いているのはゴルゴーンの持つ邪眼を機能させるためだとされている。；複数の正面軍の作戦指導は最高司令官が任命した最高司令官代理が担う。；駅舎は正面口にのみあり、改札口から直接東口へ出ることはできない。；作戦は第一想定正面であるパラオ近海において防衛を行うこととした。；正面・最後部・側面ともに全てオージ製LED表示器を採用している。；前方部正面の二段目の斜面からも竪穴式石室が見つかっている。；上段正面背部には押し板と違い棚が設けられ、座敷飾りの場所となった。</t>
        </is>
      </c>
      <c r="J4095">
        <f>HYPERLINK("https://www.weblio.jp/content/正面", "词义详情")</f>
        <v/>
      </c>
      <c r="K4095">
        <f>HYPERLINK("https://yourei.jp/正面", "查看例句")</f>
        <v/>
      </c>
    </row>
    <row r="4096">
      <c r="A4096" t="inlineStr">
        <is>
          <t>消耗</t>
        </is>
      </c>
      <c r="B4096" t="inlineStr">
        <is>
          <t>成功</t>
        </is>
      </c>
      <c r="C4096" t="inlineStr">
        <is>
          <t>読み方：しょうこう
［名］(スル)「しょうもう（消耗）」に同じ。
「次第に—して行くより外には何の事実も認められなかった」〈漱石・道草〉
「勢を—する季節の変化を見るまでは」〈長塚・土〉</t>
        </is>
      </c>
      <c r="D4096" t="inlineStr">
        <is>
          <t>消耗する(11%)；消耗させる(3%)；消耗品；消耗しつくし；消耗性</t>
        </is>
      </c>
      <c r="E4096" t="inlineStr">
        <is>
          <t>使用；利用；使う；疲れ；消費</t>
        </is>
      </c>
      <c r="F4096" t="inlineStr">
        <is>
          <t>かなり消耗；ひどく消耗；著しく消耗；大きく消耗；激しく消耗</t>
        </is>
      </c>
      <c r="G4096" t="inlineStr">
        <is>
          <t>消耗戦；消耗戦争；消耗部品；消耗品費</t>
        </is>
      </c>
      <c r="H4096" t="n">
        <v>29</v>
      </c>
      <c r="I4096" t="inlineStr">
        <is>
          <t>これは本型が半消耗品として考えられていた状況を示すものと思われる。；アメリカ軍の戦力は不足しており、折からの猛暑で兵士も消耗していた。；ゲージは敵やダメージ床などに接触すると消耗し、特定条件で回復する。；上りが続く道で隊員の消耗は激しく、ロスとワイマンは遅れがちになる。；こうしてフランス軍は消耗してゆき、兵力差はますます拡大していった。；特にイタリアは馬産国ではなかったので馬の消耗を極力防ぐことが重要であった。；戦力を無駄に消耗させるような作戦指導は一度も行われなかった。；このとき、彼は長い放浪生活で消耗しきったうえに精神的な危機に陥っていた。；ポーランドも消耗していたため、和平を結ぶことには同意していた。；体力を消耗しており、すぐに次の殺人を起こす気にはならなかったためである。；連続走行のためチェッカー後はマシンから降りられないほど消耗していたという。；ビラード自身、完成後数日のうちに神経を消耗したと言われている。；レースでの消耗が激しかったことから帰国後は長期休養に入ることになった。；この戦争により両大国の力は消耗し周辺国では自立の動きが活性化した。；市街戦での兵力消耗を嫌った傭兵隊長らしい行動の結果の崩壊であった。；そうすることでバルブの動作が最適化され、消耗を防ぐことができる。；それは主に舞台での仕事は感情的に消耗が激しいからだという。；しかしこれらの遠征はあまり成果は挙げられず、国力を消耗しただけであった。；しかし、この時の孫震以下の勇戦は、日本軍の大きな消耗をもたらした。；その下絵は後に多くの芸術家によって勉強の為にコピーされ消耗し失われた。；何隻かは密輸摘発任務で消耗し、代替の艦が要求されることとなった。；すなわち、エンジンの出力の一部がガスの排気のために消耗される。；外装部品を除き、通常の維持管理上必要な消耗品は容易に入手できる。；昭和15年度は消耗した高雄空を再建させるために原隊復帰が必要となった。；そのため消耗も激しく、4隻フル編成が維持できたのは半年にも満たない。；兵器と人命を消耗した責任を問われ、渋谷大佐は予備役に編入された。；装備アイテムには耐久力が設定されており、時間の経過や使用する事で消耗していく。；これは、バッテリーの消耗した状態や寒冷地での始動に非常に役立った。；消耗していったドイツ軍は降伏を余儀なくされ、侵攻は失敗した。</t>
        </is>
      </c>
      <c r="J4096">
        <f>HYPERLINK("https://www.weblio.jp/content/消耗", "词义详情")</f>
        <v/>
      </c>
      <c r="K4096">
        <f>HYPERLINK("https://yourei.jp/消耗", "查看例句")</f>
        <v/>
      </c>
    </row>
    <row r="4097">
      <c r="A4097" t="inlineStr">
        <is>
          <t>条約</t>
        </is>
      </c>
      <c r="B4097" t="inlineStr">
        <is>
          <t>成功</t>
        </is>
      </c>
      <c r="C4097" t="inlineStr">
        <is>
          <t>読み方：じょうやく
国家間または国家と国際機関との間の文書による合意。協約・規約・憲章・協定・取り決め・宣言・覚書・議定書などの名称が用いられることもある。日本では、内閣が条約の締結権を有するが、事前または事後に国会の承認を得なければならない。</t>
        </is>
      </c>
      <c r="D4097" t="inlineStr">
        <is>
          <t>条約締結(4%)；条約調印；条約第；条約交渉；条約批准</t>
        </is>
      </c>
      <c r="E4097" t="inlineStr">
        <is>
          <t>協定；協約</t>
        </is>
      </c>
      <c r="F4097" t="inlineStr">
        <is>
          <t>同条約；和平条約；基本条約；休戦条約；軍縮条約</t>
        </is>
      </c>
      <c r="G4097" t="inlineStr">
        <is>
          <t>条約違反；条約改正交渉；条約局；条約派；条約の改正</t>
        </is>
      </c>
      <c r="H4097" t="n">
        <v>29</v>
      </c>
      <c r="I4097" t="inlineStr">
        <is>
          <t>右に述べた以外のどのような解釈も、この条約を無効にするものである。；ただし、艦齢20年以上に達した艦は条約の範囲で代艦建造が許された。；この条約はほんの数ヶ月前にテオバルドによって提唱されたものだった。；つまり、これらの条約に加盟していない国との関係で問題になるに過ぎない。；また5年ごとに会議を開き、条約の運営状況を検討することを定めている。；その後朝鮮は似たような内容の条約を他の西洋諸国とも締結することとなった。；ベルヌ条約の原条約が成立する過程で、フランスが果たした役割は大きい。；だが、条約の内容を知ったスペインは領土の分割に強く抵抗した。；この協定は内容が不正確であったため、後に新たな条約に置き換えられた。；机の上においていた条約文書は、副本は残っていたが、原本が消えていた。；さらに、平和の条約を結んでいたワンパノアグ族との関係も悪化していった。；その内の軍事条約によって戦艦・航空母艦の所有数に制限が課せられた。；日ソどちらが先に条約に違反したかを巡っては、様々な主張・見解がある。；同条約は、ポーツマス条約後の同年9月27日に両国で公表されている。；条約が採択された都市の名称をとって、ワシントン条約とも呼ばれる。；批准書交換が行われて条約が発効した6月23日、岸は退陣を表明した。；この会議に出席した諸政府は赤十字団体の活動を認める条約に署名したのである。；条約案を受け取ったドイツでは激しい反発が起こった。；一方、締約国会議では条約の基準年を用いた増減率が提示されることが多い。；一部例外を除き、国際電気通信条約で定められた次の14のバンドによる。；こうした戦術から条約巡洋艦を切実に必要としていたのは日本だけであった。；この条約で宣戦布告の効力は相手国が受領した時点で発生すると定められた。；しかしこれら条約の執行に抵抗して戦闘を始めるものがいた。；条約批准の段階に至っても、朝鮮側の関心事は体面的なものであった。；この条約の結果、日本は「一等国」と国内外から呼ばれるようになった。；ロシアとの間にも同様の追加条約を結んでいた。；この条約はフランスを怒らせ政治的議論の中心課題になった。；日本では1965年の条約締結以降に無効になったと考えている。；これらの条約によってオランダ人の長崎市街への出入りが許可された。</t>
        </is>
      </c>
      <c r="J4097">
        <f>HYPERLINK("https://www.weblio.jp/content/条約", "词义详情")</f>
        <v/>
      </c>
      <c r="K4097">
        <f>HYPERLINK("https://yourei.jp/条約", "查看例句")</f>
        <v/>
      </c>
    </row>
    <row r="4098">
      <c r="A4098" t="inlineStr">
        <is>
          <t>醤油</t>
        </is>
      </c>
      <c r="B4098" t="inlineStr">
        <is>
          <t>成功</t>
        </is>
      </c>
      <c r="C4098" t="inlineStr">
        <is>
          <t>読み方：しょうゆ
日本独特の調味料。小麦・大豆を原料とする麹(こうじ)に食塩水を加え、発酵させて絞った液体。濃い口醤油・薄口醤油・たまり醤油・再仕込み醤油（甘露醤油）・白醤油などがある。むらさき。したじ。
[補説] 「正油」と当てて書くこともある。</t>
        </is>
      </c>
      <c r="D4098" t="inlineStr">
        <is>
          <t>醤油醸造(4%)；醤油味(4%)；醤油ベース；醤油樽；醤油大さじ</t>
        </is>
      </c>
      <c r="E4098" t="inlineStr">
        <is>
          <t>紫；下地；ソイソース</t>
        </is>
      </c>
      <c r="F4098" t="inlineStr">
        <is>
          <t>生姜醤油；砂糖醤油；銚子醤油；醤油だれ；醤油工業</t>
        </is>
      </c>
      <c r="G4098" t="inlineStr">
        <is>
          <t>醤油ラーメン；醤油漬け；醤油差し；醤油漬；醤油煮</t>
        </is>
      </c>
      <c r="H4098" t="n">
        <v>29</v>
      </c>
      <c r="I4098" t="inlineStr">
        <is>
          <t>同じく以前は酒造も営まれていたが、醤油とほぼ同時期に消滅している。；同じ穀醤の中でも特定地域に集中している醤油製造との違いでもある。；そしてこの技術も野田醤油が醤油業界の発展のため公開するのである。；もう一つの理由は、調味料として醤油が入手しやすくなったことである。；発送品は、醤油工場の町であることや漁港の町であることを反映している。；さらに、醤油や薬味などを入れて用いるためのもっと小さい皿もある。；現在では醤油が普及したため、ほとんど使用されなくなっている。；味は一般に豚骨醤油味と呼ばれるが、大きく分けて2つの系統がある。；家庭によっては、塩や醤油などを加えて、好みの味に作る場合もある。；醤油を使う場合は全体にかけず、手塩皿に取って食べるのが作法とされる。；英国においても、17世紀の文献に醤油を 、 とした記述が見られる。；名称の通り、酒や醤油などに用いる徳利と同様の形状のものが多い。；また、醤油をつけないほうが蒲鉾本来の味を楽しめるという意見もある。；元々この地域は醤油の生産工場があったところでもあった。；江戸時代後期になると、稲毛米を原料とした酒や醤油の製造が盛んになった。；なお、味噌や醤油など他の醸造メーカーではこのような習慣は見られない。；そのため今日の関東と関西では醤油の味が違うのだともいう。；なお、1950年代には醤油や砂糖醤油につけて食べるケースもあった。；対して西日本では醤油や塩を使うため、薄茶色や透明な仕上がりになる。；とは言え、篠原家も醤油醸造蔵や米蔵など多くの建物を焼失している。；また生姜の他にも醤油や玉ねぎもこの料理における重要な材料である。；またこの河岸は持ち舟1艘のみで橋本屋の醤油の輸送のみに従事していた。；元々はイチミツボシのブランドで醤油・ソースなどを製造していた。；この の起源は日本語の醤油であると考えられている。；醤油は装置産業でもあり、ある程度の販売数量がないと利益が出ない。；日本に伝えられた径山寺味噌を、日本の醤油の起源とする言説がある。；私も「おしょうゆをかけて食べるもの」は生魚を除いてはたいてい好きだ。；一般的には酢醤油で食べられるが、マヨネーズと醤油で食べることもある。；さらに戦後、醤油は配給品となり、流通量が不足することとなった。</t>
        </is>
      </c>
      <c r="J4098">
        <f>HYPERLINK("https://www.weblio.jp/content/醤油", "词义详情")</f>
        <v/>
      </c>
      <c r="K4098">
        <f>HYPERLINK("https://yourei.jp/醤油", "查看例句")</f>
        <v/>
      </c>
    </row>
    <row r="4099">
      <c r="A4099" t="inlineStr">
        <is>
          <t>賞与</t>
        </is>
      </c>
      <c r="B4099" t="inlineStr">
        <is>
          <t>成功</t>
        </is>
      </c>
      <c r="C4099" t="inlineStr">
        <is>
          <t>読み方：しょうよ
１役所や企業などで、夏季・年末などに職員・従業員に給与とは別に支給する金銭。ボーナス。
２功労に対して、ほうびとして金品を与えること。また、その金品。「—金」</t>
        </is>
      </c>
      <c r="D4099" t="inlineStr">
        <is>
          <t>賞与式(8%)；賞与金(6%)；賞与額；賞与支払届</t>
        </is>
      </c>
      <c r="E4099" t="inlineStr">
        <is>
          <t>褒美；賞品；景品；褒賞；報奨</t>
        </is>
      </c>
      <c r="F4099" t="inlineStr">
        <is>
          <t>特別賞与；年末賞与；標準賞与；賞与支払</t>
        </is>
      </c>
      <c r="H4099" t="n">
        <v>29</v>
      </c>
      <c r="I4099" t="inlineStr">
        <is>
          <t>この事件の犯人検挙に従事したものにはそれぞれ賞与が出たといわれる。；復活された賞与式にしても、勝俣秀吉を本当に満足させはしなかった。；悪くない賞与ではあるが、誰も自信がないと見えて応ずる者が無い。；彼らは言葉で彼に感謝したばかりでなく、かなりの賞与をあたえた。；しやうない、僕は、お前に黙つて賞与がふえたやうな顔をしとつたんや。；専門は校正で、職員もかなわないくらい達者だから、作業賞与金も多い。；賞与まで取って試験を通り、一人前の看護婦に資格づけられたのだった。；ただ賞与が出た際には給料から天引きの形で国債を買わされたという。；今度の賞与の時には直ぐに知らせてやりましょうと心に誓った。；それから二ヶ月後の年末賞与に、彼は月給の十ヶ月分の包みを貰って驚いた。；給与や賞与が日払いでない場合の支払日も、ほとんどの企業で五十日である。；だが、とにかく彼はまもなく議会にあてて賞与の請求訴願なるものを提出した。；みつかったら、二万五千ドルの賞与をやると約束したんです。；彼は賞与式を、あの栄光ある幾刻かを復活させたくって堪らなかった。；そういうものはみなこの九一による賞与金をアテにしているのだった。；現在軍部では、大佐に賞与を、との方向で話を勧めております。；なお標準賞与額には各保険ごとに上限額が設定されている。；欧米のように社員や部署の業績に応じて個別に支払われる賞与もある。；うちは数年まえに研究開発チームの士気を高めるために、特別賞与はやめにした。；つい前年の暮にも、賞与の授与式があったばかりである。；而して、竣工の上は賞与もなく、せいぜい銀何枚で我慢しなければならない。；だから今それをいい出すと、賞与や成績に影響すると考えたので、母は授与式まで思いとどまらした。；ポーテギンは自分の賞与がどれくらいになるか計算しているうちに、眠りにただよっていった。；少ないながら賞与を賜わったが、全額を淄博の工事のために寄付した。；賞与式はたいてい午後早くから始まり、たいそう時間がかかるのを常とする。；三歳の幼児までが賞与式に参列を強いられている反面、この席には二人の家族が欠けていた。；現に今日の大事な賞与式にしても、みんなの説得にもかかわらず、辰次はついに出てこなかったのである。；労働組合と交渉して給料を上げるよりも、良く働く社員に賞与を与えることの方を好んだ。；労働者が有給休暇を取得した日を欠勤として扱い賞与を減額することは許されない。</t>
        </is>
      </c>
      <c r="J4099">
        <f>HYPERLINK("https://www.weblio.jp/content/賞与", "词义详情")</f>
        <v/>
      </c>
      <c r="K4099">
        <f>HYPERLINK("https://yourei.jp/賞与", "查看例句")</f>
        <v/>
      </c>
    </row>
    <row r="4100">
      <c r="A4100" t="inlineStr">
        <is>
          <t>常用</t>
        </is>
      </c>
      <c r="B4100" t="inlineStr">
        <is>
          <t>成功</t>
        </is>
      </c>
      <c r="C4100" t="inlineStr">
        <is>
          <t>読み方：じょうよう
［名］(スル)
１日常使用すること。「—している万年筆」
２かなりの日数にわたって、続けて使うこと。「睡眠薬を—する」</t>
        </is>
      </c>
      <c r="D4100" t="inlineStr">
        <is>
          <t>常用する(7%)；常用ブレーキ(5%)；常用者(4%)；常用発電機；常用洪水吐き</t>
        </is>
      </c>
      <c r="E4100" t="inlineStr">
        <is>
          <t>一般的；慣用；習慣的；慣例的</t>
        </is>
      </c>
      <c r="F4100" t="inlineStr">
        <is>
          <t>麻薬常用；常用貫通；常用最大；常用語；常用最大制動</t>
        </is>
      </c>
      <c r="G4100" t="inlineStr">
        <is>
          <t>常用漢字表；常用対数；常用字字形表；常用時；常用ポンド</t>
        </is>
      </c>
      <c r="H4100" t="n">
        <v>29</v>
      </c>
      <c r="I4100" t="inlineStr">
        <is>
          <t>また島内に唯一ある非常用テントには水や救急箱などが備えられている。；通常運転での減速や停車に用いる常用ブレーキとは扱いが区別されている。；これによって故障車両を駅まで戻せるため、非常用通路の必要としない。；そこには非常用の梯子がついていて、この三階から中庭にまで通じていた。；運転席背後に非常用脱出口が設けられたため、仕切部の窓が小型化された。；非常用に潜水艦で用いられる設計の脱出ハッチが2つ取り付けられた。；また常用量で使用できる点も非専門医でも扱いやすいところである。；なお、一部の交流負荷への対応のため非常用電動発電機も装備されていた。；過去の病歴のため劉はいくつかの薬を常用していたが、それも取り上げられた。；前面には外開き式の非常用貫通路があり、丸みをおびた形となっている。；地下鉄用車両であるため、先頭部右側には非常用扉が設置されている。；大麻の離脱症状は、長期常用した場合の異常な夢などが起こることもある。；前照灯の間にある中央の丸い部分は、非常用の連結器が収納されている。；あわせてダムの常用洪水吐に排砂機能を付加するよう設計することとした。；GIGNは安全を確保した乗客を機体後部の非常用シュートで脱出させた。；ブルネルはそうせずに閉鎖中の非常用脱出口に逃げ、そこで大きな音を立てた。；麻薬入りのタバコを常用しているのが原因かもしれないという意見もある。；その原因は唯一の相続人だった後妻の無関心と麻薬常用だと見られる。；ユニット名称はそれぞれのパイロットの常用ビークルの名前に由来。；ほぼ黄道上にあり、航海位置の計測の基準となる常用恒星となっている。；現在はあまりサングラスをしないが、デビュー直後は常用していた。；ドイツでは、第二次世界大戦頃までこの書体を印刷に常用していた。；客室との仕切壁付近には地下線内における非常用の梯子が設置してある。；薬物常用者・依存者は、病気として扱われ治療を受けることが出来る。；この他、日常業務ではスペイン語・ポルトガル語・英語も常用されている。；力行・常用ブレーキともに5300形よりもノッチ数を増加させている。；これが君の常用していた浴衣であることは、ちゃんと調べが届いているのだよ。；このような特性から近年は非常用や軍用の電源に使用されている。；キワノという名称は、企業の登録商標とされているが、常用されている。</t>
        </is>
      </c>
      <c r="J4100">
        <f>HYPERLINK("https://www.weblio.jp/content/常用", "词义详情")</f>
        <v/>
      </c>
      <c r="K4100">
        <f>HYPERLINK("https://yourei.jp/常用", "查看例句")</f>
        <v/>
      </c>
    </row>
    <row r="4101">
      <c r="A4101" t="inlineStr">
        <is>
          <t>将来</t>
        </is>
      </c>
      <c r="B4101" t="inlineStr">
        <is>
          <t>成功</t>
        </is>
      </c>
      <c r="C4101" t="inlineStr">
        <is>
          <t>読み方：しょうらい
［名］(スル)
１《将(まさ)に来(きた)らんとする時の意》これから先。未来。前途。副詞的にも用いる。「—の日本」「—を期待する」「—のある若者」「—医者になりたい」
２引き連れてくること。特に、外国など他の土地から持ってくること。「中国から—した書物」
３ある状態や結果を招くこと。招来。「物価の値上がりを—する」
［アクセント］1はショーライ、2・3はショーライ。
[用法]将来・未来——「将来（未来）への夢」「明るい将来（未来）」のように、現在よりあとのことについていう場合には共通して用いられる。◇「私は将来、弁護士になりたい」に「未来」は使わない。また、「二〇〇年後の未来を空想する」に「将来」は使いにくい。10年後ぐらいならば「将来」と言うほうが普通。「未来」は「将来」よりも非現実的な遠い先という感じが強い。◇「近い将来」とは言うが、「近い未来」とはあまり言わない。「近未来」は新造語。◇類似の語に「今後」がある。「今後」は先のことを言うより、「今後の課題」「今後気をつけます」のように「今から」という意である。「今後しっかり勉強して大学に入りたい」の「今後」は大学に入ることでなく、勉強することにかかっている。</t>
        </is>
      </c>
      <c r="D4101" t="inlineStr">
        <is>
          <t>将来的(4%)；将来有望；将来保有する；将来像；将来性</t>
        </is>
      </c>
      <c r="E4101" t="inlineStr">
        <is>
          <t>後；先；以降；やがて；以後</t>
        </is>
      </c>
      <c r="F4101" t="inlineStr">
        <is>
          <t>遠い将来；近き将来；将来世代；将来どんな；将来展望</t>
        </is>
      </c>
      <c r="G4101" t="inlineStr">
        <is>
          <t>将来性；将来有望；将来装輪戦闘車両；将来推計人口；将来型攻撃偵察機</t>
        </is>
      </c>
      <c r="H4101" t="n">
        <v>29</v>
      </c>
      <c r="I4101" t="inlineStr">
        <is>
          <t>光伝送技術の導入に積極的なインテル社は、将来の採用を構想している。；これは、そのような契約を将来に渡って無効化することを目的としている。；そして、最も生産的で安定したクローンが将来の使用のために選択される。；烏丸線内はすべての駅が将来の増結に対応したホーム長となっている。；私は将来の国際会議や協議会でエスペラントが採用されることを望みます。；将来の不安から酒の量が増えていたのが原因とされている。；彼女とあなたの将来が、私たちの今夜の判断を正当化するように、と話す。；また、将来の道路のアンダーパス計画の設置スペースを確保している。；台車についても将来の冷房化に対応できるよう車軸などを強化している。；小学校高学年くらいに漠然と将来はアナウンサーか声優と考えていた。；これは将来的な人類の外部太陽系への探査を念頭に置いたものである。；小学校入学前からの熱烈な野球少年で、将来の夢はプロ野球選手だった。；学校名は将来的に入学する可能性がある近隣中学校を対象に一般公募で選出された。；ロシアとの将来的な対決はビスマルク時代にはすでに不可避となっていた。；身売りすることで近い将来に餓死する事だけは避けえたからである。；だが帝国海軍の将来を考える時必ずこの人に大任を託す時期が来ると思う。；二人は将来のヨーロッパ史で第一次世界大戦が勃発すると予言したのである。；全体計画は拒絶され、改めて近い将来土地利用計画から立案がなされる。；ジョンはそのような裕福な一家で将来活躍することを期待されつつ誕生したのであった。；何度かの法令改正で、兵員の将来と権利を保障する制度が導入された。；この頃の将来の夢は「どこかの会社の事務員になること」であった。；将来への不安を感じてジャーナリストになることを決めて入社1年で上京。；多くのプロジェクトが、過去にすでに行われており、将来さらに予定されている。；これを彼は将来自分が大戦士になる予言であると解釈した。；しかし将来を考えて設置の可能性は残されている。；出生時にコブは無く、背中の将来こぶになる部分は皮膚がたるんでいる。；チャールズは17歳の時、将来の国王としてオーストラリアに留学した。；列車止めがあり、その先は将来の札幌方面延伸に向け工事中となっている。；将来はさらに、多くの自治体が更新費用の増加・捻出に苦労することが予想される。</t>
        </is>
      </c>
      <c r="J4101">
        <f>HYPERLINK("https://www.weblio.jp/content/将来", "词义详情")</f>
        <v/>
      </c>
      <c r="K4101">
        <f>HYPERLINK("https://yourei.jp/将来", "查看例句")</f>
        <v/>
      </c>
    </row>
    <row r="4102">
      <c r="A4102" t="inlineStr">
        <is>
          <t>勝利</t>
        </is>
      </c>
      <c r="B4102" t="inlineStr">
        <is>
          <t>成功</t>
        </is>
      </c>
      <c r="C4102" t="inlineStr">
        <is>
          <t>読み方：しょうり
［名］(スル)
１戦いや争いなどで、相手に勝つこと。「決勝戦で—を得る」「賃金闘争に—する」⇔敗北。
２（勝利）仏語。すぐれた利益(りやく)。
「亡者の追善には何事か—多き」〈徒然・二二二〉
[補説]1で、サ変動詞「勝利する」は昭和40年代前半、学生運動が盛んになる中、学園内の立て看板や活動家のアジ演説で使われるようになった。当時は非難されたが、後に一般化した。</t>
        </is>
      </c>
      <c r="D4102" t="inlineStr">
        <is>
          <t>勝利条件；勝利投手；勝利チーム；勝利感；勝利すれ</t>
        </is>
      </c>
      <c r="E4102" t="inlineStr">
        <is>
          <t>点；優勝；得る；受賞；勝ち</t>
        </is>
      </c>
      <c r="F4102" t="inlineStr">
        <is>
          <t>大勝利；完投勝利；決めて勝利；重賞勝利；決定的な勝利</t>
        </is>
      </c>
      <c r="G4102" t="inlineStr">
        <is>
          <t>勝利数；勝利者；勝利の女神；勝利宣言；勝利の方程式</t>
        </is>
      </c>
      <c r="H4102" t="n">
        <v>29</v>
      </c>
      <c r="I4102" t="inlineStr">
        <is>
          <t>この王は戦争に勝利しても、土地の住民をローマに移住させなかった。；ついに皇帝は勝利を確定させることなく1250年に68歳で死去した。；そして、双方の合計点を数え、この合計点の高低で勝利チームを決める。；日本の勝利と清の敗北により東アジアの冊封体制は崩壊することになる。；勝利を喜んだのはアメリカだけではなく、フランス王国もそうだった。；一方で誰か一人でもゴールできればプレイヤー全員の勝利になる。；支持者と参加者たちはこれを大きな出来事で運動の勝利であると考えている。；増沢は後に、この勝利で失いかけていた人気が急に復活したと振り返っている。；これは勝利で終えた戦いを象徴し、戦勝記念の一環である要素が反映している。；決勝はJ1リーグ戦でこれまで1度も勝利をした事がない川崎と対戦。；フィッシャーはこの試合に見事勝利し、300万ドル以上の賞金を得た。；その後も元康は藤波畷の戦いなどに勝利して、西三河の諸城を攻略する。；大韓帝国皇帝高宗はロシア勝利を期待したため、深く失望したといわれる。；羽生を相手に、同一タイトル戦で2年連続勝利したのは谷川が初である。；一方的な勝利となったこの空戦はニューギニア航空戦最後の栄光となった。；イラクはアメリカを含む国際社会の助けで辛くも勝利した形となった。；多くのスポーツは試合で勝利することが目的である。；妖怪に勝利し、地底界に妖怪大魔王を追放した後は地上を去っていた。；フィナーレの第1主題と4度動機に基づき、勝利感に満ちた終結となる。；攻撃を成功させるとポイントとなり、規定のポイントを先取した選手が勝利する。；並行して浅井方の横山城を陥落させつつ、織田・徳川連合軍は勝利した。；この時の入会試験官を務めた奨励会員は有吉道夫であり、加藤は勝利した。；この勝利を機に、陣営はクラシックへの手応えを得るようになったという。；準決勝で猫田と対戦したスマイルはこれまた圧倒的な結果で勝利して見せた。；禁門の変の勝利を受けて幕府は長州藩への攻撃の準備に取りかかった。；フランコ軍の勝利とともに、マドリードは再びスペインの首都となった。；オールグレンと勝元・村人は心をひとつにして襲撃者たちと戦い勝利する。；イギリスがアラスの戦いで勝利したことで期待が高くなったことも一因であった。；しかし、ジョンソンが脚の故障を理由に途中棄権、ベイリーが勝利した。</t>
        </is>
      </c>
      <c r="J4102">
        <f>HYPERLINK("https://www.weblio.jp/content/勝利", "词义详情")</f>
        <v/>
      </c>
      <c r="K4102">
        <f>HYPERLINK("https://yourei.jp/勝利", "查看例句")</f>
        <v/>
      </c>
    </row>
    <row r="4103">
      <c r="A4103" t="inlineStr">
        <is>
          <t>上陸</t>
        </is>
      </c>
      <c r="B4103" t="inlineStr">
        <is>
          <t>成功</t>
        </is>
      </c>
      <c r="C4103" t="inlineStr">
        <is>
          <t>読み方：じょうりく
［名］(スル)
１船や海から陸に上がること。航空機で空港に降り立つことにもいう。「岸に—する」「台風が紀伊半島に—する」
２外国の文物が渡来すること。また、海外の資本などが進出してくること。「ラップ音楽が日本に—」「外資系生命保険会社が相次いで—する」
３日本の入国管理制度で、外国人が1の許可を受けること。入国2と区別していう。</t>
        </is>
      </c>
      <c r="D4103" t="inlineStr">
        <is>
          <t>上陸する(9%)；上陸部隊(4%)；上陸後(2%)；上陸地点(2%)；上陸しよ</t>
        </is>
      </c>
      <c r="E4103" t="inlineStr">
        <is>
          <t>着陸；降下；着地；接地；降着</t>
        </is>
      </c>
      <c r="F4103" t="inlineStr">
        <is>
          <t>逆上陸；敵前上陸；敵上陸；米軍上陸；アメリカ軍上陸</t>
        </is>
      </c>
      <c r="G4103" t="inlineStr">
        <is>
          <t>上陸用舟艇；上陸戦；上陸許可；上陸演習；上陸第一歩</t>
        </is>
      </c>
      <c r="H4103" t="n">
        <v>29</v>
      </c>
      <c r="I4103" t="inlineStr">
        <is>
          <t>よって司令部上陸論ともいうべき主張が司令部内でされるようになった。；航空機に伴う一切の仕事はマッカーサー上陸後、数日後に禁止となった。；上陸の際は、歩いて通ることのできる地形であればどこにでも上陸できる。；第二次世界大戦中にはアメリカの黒人部隊の上陸を拒否したほどである。；スコットはすでに1月2日に西側のロス島に上陸し基地を建設していた。；ノルマンディー上陸作戦にも参加したが、上陸初日には参加していない。；この年フランスはアルジェに上陸・占領し、やがて国全体を占領した。；雨天では日中もしばしば活動し、岸辺に上陸して動き回る姿も見られる。；船からヘリコプターでアクセスするのが最も容易な上陸方法である。；最後に上陸した第38師団の兵士もこれと同様の話を語っている。；上陸地点がジャングルが海岸近くまで迫る地形であることが読み取れる。；海江田が東京に上陸し、日本と同盟を結んだ会談上で提唱された概念。；続いてコテージ作戦にも参加し、キスカ島上陸部隊の一員に加えられる。；アイルランドでは1798年に反乱とフランスによる上陸の試みがあった。；シルル紀に突入すると多くの植物が上陸し、地上での成長を開始した。；画像は1854年に再び日本を訪れて横浜に上陸したペリー一行を描いたもの。；そこへ、船を襲って海から現れたゴジラが上陸し、再びラドンも現れる。；彼らは上陸する際に船上からテティスの讃歌を唱えなければならなかった。；だが、映画ではごく普通に海岸に船で上陸することができるように描かれている。；作戦は、ミッドウェー島上陸日を6月7日と決定して一切を計画した。；同社はマクドナルドやKFCより10年も先駆けて日本に上陸している。；カエルの成体は陸上生活をするものが多く、それらは変態後に上陸する。；クルスクでの戦いの最中には、イタリアのシチリア島に連合国軍が上陸。；計画の段階で海からの上陸が3個師団、空挺部隊が2個旅団要求された。；またマイアミ一帯はハリケーンが頻繁に上陸することでも知られる。；同時に島では第三アルヴィス上陸に向けた動きが進められた。；同年11月2日にはアメリカ軍が上陸し、以後終戦まで戦闘が続いた。；そして、8月29日にこの都市の近くのメキシコ湾沿岸に再上陸した。；上陸に適した暗さになるまで沖合いで群れを作って待つ性質がある。</t>
        </is>
      </c>
      <c r="J4103">
        <f>HYPERLINK("https://www.weblio.jp/content/上陸", "词义详情")</f>
        <v/>
      </c>
      <c r="K4103">
        <f>HYPERLINK("https://yourei.jp/上陸", "查看例句")</f>
        <v/>
      </c>
    </row>
    <row r="4104">
      <c r="A4104" t="inlineStr">
        <is>
          <t>省略</t>
        </is>
      </c>
      <c r="B4104" t="inlineStr">
        <is>
          <t>成功</t>
        </is>
      </c>
      <c r="C4104" t="inlineStr">
        <is>
          <t>読み方：しょうりゃく
［名］(スル)簡単にするために一部を取り除くこと。せいりゃく。「説明を—する」「前文—」</t>
        </is>
      </c>
      <c r="D4104" t="inlineStr">
        <is>
          <t>省略する(15%)；省略される(6%)；省略形(2%)；省略できる；省略可能</t>
        </is>
      </c>
      <c r="E4104" t="inlineStr">
        <is>
          <t>出す；除く；排除；カット；除去</t>
        </is>
      </c>
      <c r="F4104" t="inlineStr">
        <is>
          <t>すべて省略；一切省略；長母音記号を省略；いっさい省略；かなり省略</t>
        </is>
      </c>
      <c r="G4104" t="inlineStr">
        <is>
          <t>省略記号；省略語；省略三段論法；省略時設定</t>
        </is>
      </c>
      <c r="H4104" t="n">
        <v>29</v>
      </c>
      <c r="I4104" t="inlineStr">
        <is>
          <t>既に議会が成立していたにもかかわらず、審議が省略された経緯は不明。；ただし英語の地名では国名を省略して済ませられない場合が一部にある。；ダンクーガのデザインは、それまでと比べて線が極端に省略されている。；どちらも番組後期では時間の関係で冒頭部分が省略されることが多かった。；ただし、シリーズものの場合、歌のコーナーを省略するケースもあった。；上の地図で不明瞭、または省略されている主な離島の所属は以下の通り。；また写像の制限の記号は誤解のおそれが無い限り省略されることも多い。；スペイン語圏では、複数部分からなる姓の一部が省略されることがある。；は伝統的なオーストラリアムシクイ科を複数科に分割したが省略している。；但し、表面水温以外の資料がないときはその部分を示す数字は省略する。；DC戦争末期には一部機能を省略しコストダウンした機体も量産された。；一方で走破性を考慮した構造から大気圏内飛行能力は省略されている。；この過程で「毛」の表記は省略されたが、「け」の読みは残されている。；非鉄金属が主な対象となっており、非金属元素は省略されることが多い。；映画では原作では丁寧に描かれたドラマの多くが省略されている。；他にもさまざまな量が年当たりで算出されるが、毎年は省略することが多い。；以下の対照表では、ごく一部の属のみが関係する科を省略している。；運転時間が短いことと、収容力確保のため、通常トイレの設置は省略される。；ただし、名称の末尾に使われた音を持たない記号については省略します。；実質53分の日本の当初の民放版ではさらに多くの場面が省略されている。；過去には、文字を省略したがゆえに誤字だと指摘を受けたこともある。；またこうした階級に基づく称号などはしばし省略されることもある。；このほか、前面では当時既に使用が終了していた通過標識灯が省略された。；日本語の場合は助詞や同音異義語が多数存在し、主語の省略も行われる。；このパターンが基本だが、変身ポーズを省略したことも何度かあった。；また、公園などではいくつかの線が省略されていることもある。；形態的には、新製費節減のため給水加熱器を省略しているのが特徴である。；また、省略表記の数字をそのまま希望ナンバーにしている車両も多い。；トイレを備えている車両もあるが、省略されていることもある。</t>
        </is>
      </c>
      <c r="J4104">
        <f>HYPERLINK("https://www.weblio.jp/content/省略", "词义详情")</f>
        <v/>
      </c>
      <c r="K4104">
        <f>HYPERLINK("https://yourei.jp/省略", "查看例句")</f>
        <v/>
      </c>
    </row>
    <row r="4105">
      <c r="A4105" t="inlineStr">
        <is>
          <t>奨励</t>
        </is>
      </c>
      <c r="B4105" t="inlineStr">
        <is>
          <t>成功</t>
        </is>
      </c>
      <c r="C4105" t="inlineStr">
        <is>
          <t>読み方：しょうれい
［名］(スル)ある事柄を、よいこととして、それをするように人に強く勧めること。「貯蓄を—する」</t>
        </is>
      </c>
      <c r="D4105" t="inlineStr">
        <is>
          <t>奨励する(13%)；奨励賞(6%)；奨励金(5%)；奨励される(2%)；奨励会員</t>
        </is>
      </c>
      <c r="E4105" t="inlineStr">
        <is>
          <t>話；起用；推進；勧め；育成</t>
        </is>
      </c>
      <c r="F4105" t="inlineStr">
        <is>
          <t>研究奨励；日本学術振興会奨励；学術奨励；保護奨励；輸出奨励</t>
        </is>
      </c>
      <c r="G4105" t="inlineStr">
        <is>
          <t>奨励会；奨励品種；奨励服</t>
        </is>
      </c>
      <c r="H4105" t="n">
        <v>29</v>
      </c>
      <c r="I4105" t="inlineStr">
        <is>
          <t>また、海防警備の強化や織物業を中心とした新産業の奨励などに努めた。；前述の通り、武徳会は武術奨励のためにさまざまな事業を展開していた。；また李暠は農耕・養蚕や西域との貿易を奨励して安定した国家を築いた。；当時の名門家では文武両道を旨とし知的教育と並んで体育も奨励された。；芸術家やその他文化活動従事者は国王からの奨学金によって奨励された。；学問を奨励して諸国から学者を集め、商工業を糧に富国に成功している。；集団回収の活動に対して奨励金や報奨金などを出している自治体もある。；海外留学を奨励しており、毎年数名が海外に留学し、単位も認定している。；今後の発展に対して市は2020年まで大規模な奨励策を有している。；この時の入会試験官を務めた奨励会員は有吉道夫であり、加藤は勝利した。；教会の司祭も、こうした態度を奨励しないまでも黙認していたようだ。；また上であげた、ゆったり通勤奨励金とあわせて使うとより有効的である。；加えて、船舶の所有者は甲板員らに仕事中に歌を歌うことを奨励していた。；女性の奨励会員が退会し、女流棋士を希望した場合は次の通りとする。；また、共通語として公式の場ではなるべく英語を使うことが奨励される。；第二次世界大戦中にアメリカ農務省は映画を製作し麻の生産を奨励した。；そのため1954年から1957年には、計画出産が公式に奨励された。；作曲部門では入賞せず奨励賞の第2席、ピアノ部門では2位であった。；また砂糖作りの奨励も行い、取引を円滑化するため砂糖為替法を定めた。；第67回からは、タイトルを保持する女性奨励会員も参加している。；現実の生活に役に立つ学問をまずは身につけることを奨励している。；プファルツ選帝侯の宮廷では芸術と音楽、学問と商業が奨励された。；多くの教会では、信者に定期的に典礼に参加することを奨励している。；女性にも体育が奨励され健康な子を持つことが期待された。；自転車にも同様の危険があり、専用ヘルメットなどの安全装備が奨励されている。；政府は健康的な食品の販売や運動の奨励を行うことで対策に乗り出しているという。；科挙制度廃止後、清は西欧式教育を導入すると共に海外留学を奨励した。；なお、本作は、1985年度のギャラクシー賞で奨励賞を受賞している。；そのため自己表現を重視することが奨励され、野球を始めとしたスポーツにも力が入れられている。</t>
        </is>
      </c>
      <c r="J4105">
        <f>HYPERLINK("https://www.weblio.jp/content/奨励", "词义详情")</f>
        <v/>
      </c>
      <c r="K4105">
        <f>HYPERLINK("https://yourei.jp/奨励", "查看例句")</f>
        <v/>
      </c>
    </row>
    <row r="4106">
      <c r="A4106" t="inlineStr">
        <is>
          <t>女王</t>
        </is>
      </c>
      <c r="B4106" t="inlineStr">
        <is>
          <t>成功</t>
        </is>
      </c>
      <c r="C4106" t="inlineStr">
        <is>
          <t>読み方：じょうおう
⇒じょおう（女王）</t>
        </is>
      </c>
      <c r="D4106" t="inlineStr">
        <is>
          <t>女王竜；女王様；女王国；女王候補；女王メアリー</t>
        </is>
      </c>
      <c r="E4106" t="inlineStr">
        <is>
          <t>女帝；クィーン；女皇；女親分；クイーン</t>
        </is>
      </c>
      <c r="F4106" t="inlineStr">
        <is>
          <t>小さな女王；新女王；カスティーリャ女王；ナバラ女王；初代女王</t>
        </is>
      </c>
      <c r="G4106" t="inlineStr">
        <is>
          <t>女王陛下；女王さま；女王蜂；女王アリ；女王バチ</t>
        </is>
      </c>
      <c r="H4106" t="n">
        <v>29</v>
      </c>
      <c r="I4106" t="inlineStr">
        <is>
          <t>しかしバーティはその結婚式への出席を希望し、女王の説得にあたった。；副女王は女王のクローンであることが近年多くの種で確認されている。；多くの人々が女王と結婚するためにダドリーが妻の死を企てたと疑った。；そうして少女は竜を退治したと勘違いした人々から推戴され女王となる。；そしてついには愛する女王を人質にとられ、王は処刑されることとなる。；卑弥呼の後継の男王の次に、13歳で女王になり倭をまとめたとされる。；ルーレットはカジノの女王とも呼ばれ、多くのカジノで提供されている。；女王でさえ、服装に合わせて黒や赤の手袋をするようになったのよ。；シティは女王の承認を得ていない唯一の自治体であり、独自の警察を有する。；パタニ女王は日本の使者を歓迎し、すべての要望を認めたと伝えられる。；そこに、チェシャ猫が空中に頭だけ出して出現し、女王たちを翻弄する。；戦争は長引き、女王率いる軍が無事勝利を収めた頃には十数年が経過していた。；女王になるための訓練をすべて終えた後に「アミダラ」の称号を授かる。；以降女王はバーティを疎むようになり、公務から遠ざけるようになった。；霊能者を自称して女王に取り入ったはガルに個人的な恨みを持っていた。；そこで女王はパタニの防衛を強化するため、巨大砲の製造を命じた。；宣伝も盛んに行われたことから、「宣伝女王」と揶揄されることもあった。；本車の装甲はここでも有効で、その姿から「戦場の女王」と称された。；女王によれば、この時ピールは決意に満ちた表情であったという。；この時の大月氏王はかつて匈奴に殺された先代王の夫人で、女王であった。；議会は彼女の死による内戦を防ぐために女王に結婚か後継者の指名を迫った。；メーヴ女王が立った姿勢のまま、顔を敵に向けて埋葬されていると推測されている。；これは「女王」に限らず、長音化がなされる他の用語でも同様である。；この条約にしても、女王の示した態度は、寛大でありすぎたと言えなくもない。；その箱から出現したのは魔界の女王の娘で次期女王候補の1人・マキ。；当時世界最年少の女王が、世界最年長の老女王から次のような評価を得た。；よって新女王の卵はクロヤマアリの働きアリが世話をして成長する。；子供を喜ばせるため、しばしばこの女王か男王は子供が選ばれる。；女王の旅行の際に女官の切符の手配が忘れられるという事態さえ発生した。</t>
        </is>
      </c>
      <c r="J4106">
        <f>HYPERLINK("https://www.weblio.jp/content/女王", "词义详情")</f>
        <v/>
      </c>
      <c r="K4106">
        <f>HYPERLINK("https://yourei.jp/女王", "查看例句")</f>
        <v/>
      </c>
    </row>
    <row r="4107">
      <c r="A4107" t="inlineStr">
        <is>
          <t>除外</t>
        </is>
      </c>
      <c r="B4107" t="inlineStr">
        <is>
          <t>成功</t>
        </is>
      </c>
      <c r="C4107" t="inlineStr">
        <is>
          <t>読み方：じょがい
［名］(スル)その範囲には入らないものとして取りのけること。除くこと。「幼児は料金の対象から—する」「—例」</t>
        </is>
      </c>
      <c r="D4107" t="inlineStr">
        <is>
          <t>除外する(15%)；除外される(11%)；除外例；除外できる；除外診断</t>
        </is>
      </c>
      <c r="E4107" t="inlineStr">
        <is>
          <t>出す；例外；除く；排除；カット</t>
        </is>
      </c>
      <c r="F4107" t="inlineStr">
        <is>
          <t>除外財産；除外変数；除外区域；除外人口；選出除外</t>
        </is>
      </c>
      <c r="H4107" t="n">
        <v>29</v>
      </c>
      <c r="I4107" t="inlineStr">
        <is>
          <t>これは前線で戦闘中に死亡した兵士の数が除外されたためとされている。；ゲームが除外されているのは携帯電話ゲーム板が既に存在しているため。；過去に認定されたがその後除外された、現存する組織には以下がある。；この初期のIUPACから除外された有力な国の1つは、ドイツである。；殆どのユダヤ人は高学歴であったが、政府官僚の地位からは除外された。；ただし、対象から除外されている車両もあり、詳細は以下の表に記載する。；病院事業が除外されたのは、県立病院が従来仙台市になかったことによる。；固定した状態で使用するものやエアゾール式簡易消火具は除外されている。；オーストリアを除外しプロイセンを指導者とするドイツ統一を主張した。；しかし現在では『黙示録』は除外し、四文書のみを指すことの方が多い。；女子選手は団体の方針により試合提供に限定されている為、除外する。；背景・技などの演出・セリフなどでしか登場しないキャラクターは除外する。；犯人は盗品を除外して蔵書目録を作成するなどして犯行を隠蔽していた。；バリュータイプのホテルでは一部特典が除外もしくは簡略化されている。；三成はイエズス会派の者を除外するように主張したが、許されなかった。；また他分野で活躍した人物も要職に就いていない場合は除外した。；処刑対象に選ばれたプレイヤーは死亡しゲームから除外される。；一方、上記のうち名簿式比例代表制を用いたものを除外する用法もある。；死亡したプレイヤーはゲームから除外され、ゲーム終了まで会話してはいけない。；かれらはこのドーズ委員会の進める登録制度から除外されたのである。；診断では自律神経障害の原因となる他の疾患の合併を除外する必要がある。；ただし、後述する例外に基づき、下記の規制の一部または全部が除外される。；原因がわかっているため現在も有害作用の除外が改善されている。；なお、都市高速道路である阪神高速道路は事業範囲から除外されている。；なお以下の者は、この158号条約より除外することが可能である。；またCを除外した人は、自分の子供時代の記憶を消し去ってしまっているだろう。；また、下級の姓の中には伴造から除外されて百八十部の身分に属する者もいた。；一般の被保険者としての適用を除外されている者の一部が該当する。；この時、除外された最速の記録であっても単発としての記録は有効となる。</t>
        </is>
      </c>
      <c r="J4107">
        <f>HYPERLINK("https://www.weblio.jp/content/除外", "词义详情")</f>
        <v/>
      </c>
      <c r="K4107">
        <f>HYPERLINK("https://yourei.jp/除外", "查看例句")</f>
        <v/>
      </c>
    </row>
    <row r="4108">
      <c r="A4108" t="inlineStr">
        <is>
          <t>初期</t>
        </is>
      </c>
      <c r="B4108" t="inlineStr">
        <is>
          <t>成功</t>
        </is>
      </c>
      <c r="C4108" t="inlineStr">
        <is>
          <t>読み方：しょき
ある物事の初めの時期。始まって間のないころ。「—の作品」「明治—」</t>
        </is>
      </c>
      <c r="D4108" t="inlineStr">
        <is>
          <t>初期段階；初期状態；初期作品；初期化；初期車</t>
        </is>
      </c>
      <c r="E4108" t="inlineStr">
        <is>
          <t>最初；始め；当初；初め；入口</t>
        </is>
      </c>
      <c r="F4108" t="inlineStr">
        <is>
          <t>明治初期；平安時代初期；明治時代初期；鎌倉時代初期；江戸初期</t>
        </is>
      </c>
      <c r="G4108" t="inlineStr">
        <is>
          <t>初期値；初期メンバー；初期設定；初期化；初期キリスト教</t>
        </is>
      </c>
      <c r="H4108" t="n">
        <v>29</v>
      </c>
      <c r="I4108" t="inlineStr">
        <is>
          <t>こういった映像表現の発生した背景には、初期の写真技術があげられる。；ただし、と同様に、現在のは初期のものから非常に大きく変化している。；現在は、初期の手法 をより高速化したアルゴリズムが使用されている。；初期の鉄道模型はこのタイプの製品が多く、特にアメリカで盛んである。；初期にはアーケードゲームにて専用の電子回路を組んで実現されていた。；初期は少年誌で活動していたが、後に青年誌でも執筆するようになった。；初期のコンピュータにもプラグボードでプログラムを組むものがあった。；江戸時代初期、各藩は隣接する藩との間で境界争いが盛んとなった。；現在よく知られているこれらの用語は、初期の実装に由来するものである。；子供に兄や姉がいる場合、彼らが初期の仲間関係をつくる相手となる。；初期のアーキテクチャと後期のアーキテクチャではかなり構造が異なる。；初期の人類が時間を認識する基礎は、季節の観念だったと考えられる。；文明初期の中心となったのは民族系統が不明のシュメール人である。；初期のウェブブラウザが対応していたHTMLは非常に単純なものだった。；紀元前1400年頃には初期のマンカラが登場してアフリカに伝播した。；そこにはロバート・ゴダード博士の初期の研究の成果も取り入れられている。；会議では、初期の頃の空軍のX-20計画を含む様々な提案がなされた。；説明的妥当性を持つ理論は初期状態である普遍文法の性質を記述する。；初期のクリームは、多くの曲を演奏してみせるタイトなバンドであった。；まれにこの演出すら発生しないまま商品購入状態の初期画面にされる場合もある。；初期成長が早いことが注目され、人工林の樹種として利用されてきた。；各種コンポーネントを含めても初期のシステムは大きくはなかった。；時計が秒単位を表示するようになった初期の例は、16世紀後半に現れる。；議員である有力者が議会運営のために作った名望家政党が初期の政党である。；加えて、そのルールはこれらの証明の初期の生成には必ずしも重要なものではない。；初期のコンピュータのプログラミングは機械語で直接行なわれていた。；古代から江戸時代初期までは、各時代の中国暦を輸入したものが使われていた。；初期より晩年の方を高く評価する見解も示されている。；また、安全性確保のため初期状態ではインストールされないようになった。</t>
        </is>
      </c>
      <c r="J4108">
        <f>HYPERLINK("https://www.weblio.jp/content/初期", "词义详情")</f>
        <v/>
      </c>
      <c r="K4108">
        <f>HYPERLINK("https://yourei.jp/初期", "查看例句")</f>
        <v/>
      </c>
    </row>
    <row r="4109">
      <c r="A4109" t="inlineStr">
        <is>
          <t>初級</t>
        </is>
      </c>
      <c r="B4109" t="inlineStr">
        <is>
          <t>成功</t>
        </is>
      </c>
      <c r="C4109" t="inlineStr">
        <is>
          <t>読み方：しょきゅう
能力や技能など、上達していくものの、いちばん初めの等級。最も低い等級。「—英会話」「—コース」</t>
        </is>
      </c>
      <c r="D4109" t="inlineStr">
        <is>
          <t>初級者(14%)；初級学校(6%)；初級士官(4%)；初級中学(3%)；初級幹部(2%)</t>
        </is>
      </c>
      <c r="E4109" t="inlineStr">
        <is>
          <t>ビギナークラス；初心者クラス</t>
        </is>
      </c>
      <c r="F4109" t="inlineStr">
        <is>
          <t>初級大学；初級段階；朝鮮初級；初級隊員；女子初級</t>
        </is>
      </c>
      <c r="G4109" t="inlineStr">
        <is>
          <t>初級滑空機；初級システムアドミニストレータ；初級シスアド</t>
        </is>
      </c>
      <c r="H4109" t="n">
        <v>29</v>
      </c>
      <c r="I4109" t="inlineStr">
        <is>
          <t>海上保安庁には、初級職員となる者の教育を担当する以下の施設がある。；また段階が設定され初級をクリアすると中級が解放される条件を満たす。；初級者から上級者向けの3コースと子ども向けのコースが整備されている。；人生は初級の数学ではない、方程式ですべてが解決するわけではない。；そのため、このグループの種は飼育しやすい初級者向けに分類される。；初級の場合は予備的暗算は筆算を教えるときに計算の理解を容易にする。；しかし初級職である筈のアクセルには、実は彼も知らなかった秘密があった。；ただ初級クラスと、アヴォンリーに新しくやってきた十人だけは別だった。；初級の算数ではないのだから、考えても明快な結論がでるわけはない。；港朝鮮初級学校は学校運営を継続し、西成地域在住の児童を受け入れた。；求めさえすれば、君は首都裁判所の初級秘書官の地位につけたのだ。；個々の目的に応じて初級・中級・上級といったコースが設けられている。；ビジネス・コースともなると初級とはまったく教室の空気が違う。；また、この山が源流の谷はいずれも初級の沢登りコースとなっている。；ローレンスは初級ではなく上級向けの授業を行なうつもりだと語った。；大介はテレビを観ながら時々、初級のトリックを解説してくれた。；ただしこれからパイロットを目指す初級ビギナーには適さないとされている。；手軽にポイをすることができるので初級者から上級者の間で広く使われている。；初級から上級の選択も、コンピュータの戦術が向上することで変化している。；初級中学と高級中学の二段階であり、高級中学までが義務教育である。；全国対戦では自動的に初級者と中級者上級者を分けてマッチングされる。；将校の養成機関である陸軍士官学校の教育は初級将校の養成を目的としていた。；これらのことから、難易度は本作品の中では初級者向けである。；この反撞への対応の技術は馬術の初級段階から最後までにおいて重要である。；李彰剛とは初級学校から高級学校までチームメイトであり親交が深い。；シングル・ペアでは低い順に初級から8級まで区分されている。；初級学校の6年目のクラスを修了したのち、日雇いの労働者となった。；ファグ、というのは、特定の上級生につく従僕のような初級生のことだ。；主な運用目的は、初級から中級までの曲技も含む訓練飛行に使用するものであった。</t>
        </is>
      </c>
      <c r="J4109">
        <f>HYPERLINK("https://www.weblio.jp/content/初級", "词义详情")</f>
        <v/>
      </c>
      <c r="K4109">
        <f>HYPERLINK("https://yourei.jp/初級", "查看例句")</f>
        <v/>
      </c>
    </row>
    <row r="4110">
      <c r="A4110" t="inlineStr">
        <is>
          <t>助教授</t>
        </is>
      </c>
      <c r="B4110" t="inlineStr">
        <is>
          <t>成功</t>
        </is>
      </c>
      <c r="C4110" t="inlineStr">
        <is>
          <t>読み方：じょきょうじゅ
大学・高等専門学校などの教授に次ぐ職階。また、その人。学校教育法の改正によって平成19年（2007）4月より准教授となった。</t>
        </is>
      </c>
      <c r="D4110" t="inlineStr">
        <is>
          <t>助教授等；助教授時代；助教授就任；助教授兼；助教授在任中</t>
        </is>
      </c>
      <c r="F4110" t="inlineStr">
        <is>
          <t>同助教授；教養部助教授；経済学部助教授；教育大学助教授；法学部助教授</t>
        </is>
      </c>
      <c r="H4110" t="n">
        <v>29</v>
      </c>
      <c r="I4110" t="inlineStr">
        <is>
          <t>助教授に推薦されたが、父子ともに実業に進む考えであったため辞退する。；講師の経験のないまま助教授に就任したことは異例であった。；大学卒業後に助手として採用され、同大学専任講師、助教授を経て教授。；なお、1978年版では東ではなく助教授の金井達夫が最後の脈を取った。；他の早稲田の教授と比較して助教授時代が長い、というのが本人の弁。；猪木に勧められ、当時助教授であった高坂正堯の自主ゼミにも参加した。；東京大学助手・助教授を経て、1981年に解剖学第二講座教授となる。；教授は中心的な活動を行い、助教授はこれを補佐し、特に必要なとき講師を置いた。；ボーンは地元大学でアジアについて教える助教授になろうと努力する。；翌年に帝国大学農科大学助教授に就任、留学先のドイツなどの大学の教授にも就任。；イギリス・ドイツに留学後、1933年に東京文理科大学の助教授になる。；同大学の助教授を経て1998年に中央大学法学部教授となった。；しかし助教授がオペラに出るのは学校も文部省も当時許さず、学校は退職した。；東京大学工学部の助教授を経て教授に就任し、建築学科にて教鞭を執る。；大学内では書記、助手、講師、助教授を経て、1983年に教授となる。；マクリントックは自分よりも業績が劣る研究者が助教授になっていくのが不満だった。；教授や助教授等の主要ポストも日本人が占めていた。；その後、本務が環境科学研究所となり、助教授、昇任後は教授を務めた。；助教授の頃は厳格な先生として生徒達に認識されていた。；門下に東京商科大学助教授を経て弁護士に転身した村上秀三郎等がいる。；帰国後は東京大学経済学部にて助教授を務め、後に教授に昇任する。；帰国後名古屋大学助教授を経て、1982年に東京大学教養学部助教授。；日本へ帰国後は京都大学に採用され、助手、同助教授を経て、同教授に昇任。；当時専門部の助教授を務めていたのは、杉本のほかは体操の教員だけであった。；卒業後はアイオワ州立大学で数学と物理学の助教授の職を得た。；現在、ウィーン国立音楽大学指揮科助教授の湯浅勇治も弟子の一人である。；大阪市立大学の助教授時代からはネパールを研究フィールドとするようになった。；卒業後、同大学助手、助教授として植物学教室で研究と学生の指導を継続。；現在は助教授の定めが無く、新設された助教とも異なる。</t>
        </is>
      </c>
      <c r="J4110">
        <f>HYPERLINK("https://www.weblio.jp/content/助教授", "词义详情")</f>
        <v/>
      </c>
      <c r="K4110">
        <f>HYPERLINK("https://yourei.jp/助教授", "查看例句")</f>
        <v/>
      </c>
    </row>
    <row r="4111">
      <c r="A4111" t="inlineStr">
        <is>
          <t>職</t>
        </is>
      </c>
      <c r="B4111" t="inlineStr">
        <is>
          <t>成功</t>
        </is>
      </c>
      <c r="C4111" t="inlineStr">
        <is>
          <t>読み方：しき
１律令官制で、省の下、寮の上に位置する役所。中宮職・大膳(だいぜん)職・京職・摂津職など。
２中世、職務に付随する権限をさす。本家職・領家職・下司職・作職・守護職・地頭職など。
３「職曹司(しきのぞうし)」の略。
「—へなむ参る。ことづけやある」〈枕・八三〉</t>
        </is>
      </c>
      <c r="D4111" t="inlineStr">
        <is>
          <t>職を解か；職探し；職を与えられ；職田；職試験</t>
        </is>
      </c>
      <c r="E4111" t="inlineStr">
        <is>
          <t>仕事；職業；雇用；在職；稼業</t>
        </is>
      </c>
      <c r="F4111" t="inlineStr">
        <is>
          <t>会長職；教授職；大統領職；首相職；奉行職</t>
        </is>
      </c>
      <c r="G4111" t="inlineStr">
        <is>
          <t>職員；職人；職務；職場；職種</t>
        </is>
      </c>
      <c r="H4111" t="n">
        <v>29</v>
      </c>
      <c r="I4111" t="inlineStr">
        <is>
          <t>もっともこの会議は一度も開かれることはなく、単なる名誉職であった。；キュレーター職は学芸員の中でも企画を担当する権限を有する人を指す。；この時代では国司職を求めて戦国大名が朝廷へ盛んに献金などを行った。；軍事長官である師の職に就いていたことから、「師尚父」とも呼ばれる。；職も探せば無かったわけではないので、何とかなるだろうと思ったという。；この結果、本校の卒業者は半数近くが銀行・会社・商店員の職に就いた。；兵蟻も幼虫とされているが職蟻と違い、通常は他階級には分化できない。；弟であるサー・アーサーもこれを機にインドでの職を退くことにした。；新たな刀の需要は殆どなくなり、当時活躍した多くの刀鍛冶は職を失った。；しかし本来は臨時職である征夷大将軍の称号を生涯に渡って身に帯び続けた。；ホッパーの両親は、商業芸術を学んで手に職をつけるように言った。；以後16年間この職に従事しつつ、余暇を利用して執筆活動を続けた。；押川は院長の職に留まるが給料は半減するということで合意が成立する。；このとき三職に任命されたのは以下の人物である。；古代には綾織りを職とする漢部が居住していたとことに由来する。；後に州刺史も節度使に倣い、その下に幕職官・曹官を抱えるようになる。；この職にあった軍人はときに将軍とも呼称された。；主に管理面を担当する名称と認識されており、技術職には用いない傾向がある。；一方で唐の三品以上の高官は追放したが、四品以下の官僚はその職に残した。；教授職は1964年に辞したものの、その後も無給で講義は行っていた。；また、地下4階にある特別な回復の泉では上級職に転職することができる。；職が無いことで南部の白人もシカゴのような都市に移住し雇用機会を求めた。；パリでは劇場の検札係などの職を転々とする困窮した生活を送った。；教授職を退いた後は村の子供にフランス語やダンスを教えながら余生を過ごした。；プーチンはこの職に就任して法務と旧共産党の資産移転と管理を担当した。；もしくは養子にした時点で管領職を譲っていたともされている。；自身が大統領に選出されるまでこの職にあった。；同年、父がリーズ大学での教授職を提供され、一家でイングランドに戻った。；これは当時のパリのオルガニストの最高峰といわれた職であった。</t>
        </is>
      </c>
      <c r="J4111">
        <f>HYPERLINK("https://www.weblio.jp/content/職", "词义详情")</f>
        <v/>
      </c>
      <c r="K4111">
        <f>HYPERLINK("https://yourei.jp/職", "查看例句")</f>
        <v/>
      </c>
    </row>
    <row r="4112">
      <c r="A4112" t="inlineStr">
        <is>
          <t>職員</t>
        </is>
      </c>
      <c r="B4112" t="inlineStr">
        <is>
          <t>成功</t>
        </is>
      </c>
      <c r="C4112" t="inlineStr">
        <is>
          <t>読み方：しょくいん
官公庁・会社・学校などに籍を置き、ある職務を担当する人。「研究所の—」「—室」</t>
        </is>
      </c>
      <c r="D4112" t="inlineStr">
        <is>
          <t>職員たち(2%)；職員数；職員用；職員室；職員配置駅</t>
        </is>
      </c>
      <c r="E4112" t="inlineStr">
        <is>
          <t>スタッフ；人員；担当者；実務者</t>
        </is>
      </c>
      <c r="F4112" t="inlineStr">
        <is>
          <t>国鉄職員；女子職員；全職員；政府職員；警察職員</t>
        </is>
      </c>
      <c r="G4112" t="inlineStr">
        <is>
          <t>職員会議；職員団体；職員組合；職員令；職員住宅</t>
        </is>
      </c>
      <c r="H4112" t="n">
        <v>29</v>
      </c>
      <c r="I4112" t="inlineStr">
        <is>
          <t>職員らは、公園内のヨセミテ渓谷以外の場所も訪れることを勧めている。；これは孤児であった彼の祖父が市の職員から名付けられたものである。；戦後は岩手県の職員保養所となっていたが1972年に閉鎖されている。；海上保安庁には、初級職員となる者の教育を担当する以下の施設がある。；フランスでは職員群ごとに競争試験が行われそれに基づき採用者が選ばれる。；なお、次の職員には地方公務員法以外に特別の法律が設けられている。；工場機能を担当する職員のほとんどは、熊本総合車両所に転勤となった。；また、これらの下に雇や嘱託の身分で図書館専門の仕事を行う職員がいた。；元職員は日本語が全くできない学生も受け入れていたなどと実態を証言している。；従来、役員は地域協会の職員や元選手などサッカー関係者で占められてきた。；また職員の中にも海外医療協力経験者、希望者も多くさまざまな活動も盛ん。；観光鵜飼の多くは自治体が運営しており鵜匠は自治体職員であることが多い。；イギリスなどでは博物館専門職員のことをと呼んでいる。；具体的な人数は不明だが、数多くの隊員・職員・見習い隊員が常駐している。；秋田県では県職業安定課や各地の職業安定所の職員が列車に同乗していた。；町職員同士が結婚した場合、夫婦どちらかに退職を促す慣習が残っている。；その目的はエジプトと全中東における図書館の専門職員を訓練することである。；教師の役職はすべて本部の職員で、一部の助教師も職員の者がいる。；また同市では2017年度現在弁護士が常勤職員で課長を務めている。；社員・職員として放送局に所属せずに、アナウンサーの仕事をする人のこと。；足利大学へのスクールバスが発着しており、学生や職員の利用が多い。；その中の1つに、警察職員の徒歩パトロールを強化する実験があった。；捜査の過程ではGHQ職員らも金を受け取っていたことが発覚。；また、今まで契約社員扱の職員を正行員とし、待遇面で改善がみられる。；「必要な専門的職員その他の専任職員」を置くことが規定されている。；国内の文化財の研究や運用に寄与する全ての職員の養成に協力する。；チームは連邦と連携を取りながら職員を派遣し、人的支援を行った。；かつては信号場に併設された官舎に住んでいる職員の家族が主な利用客であった。；組織および職員は都道府県でなく国に属し、職員の身分は国家公務員である。</t>
        </is>
      </c>
      <c r="J4112">
        <f>HYPERLINK("https://www.weblio.jp/content/職員", "词义详情")</f>
        <v/>
      </c>
      <c r="K4112">
        <f>HYPERLINK("https://yourei.jp/職員", "查看例句")</f>
        <v/>
      </c>
    </row>
    <row r="4113">
      <c r="A4113" t="inlineStr">
        <is>
          <t>食塩</t>
        </is>
      </c>
      <c r="B4113" t="inlineStr">
        <is>
          <t>成功</t>
        </is>
      </c>
      <c r="C4113" t="inlineStr">
        <is>
          <t>読み方：しょくえん
食用として精製された塩。主成分は塩化ナトリウム。また、塩化ナトリウムのこと。→塩(しお)</t>
        </is>
      </c>
      <c r="D4113" t="inlineStr">
        <is>
          <t>食塩摂取；食塩入れ；食塩注射；食塩不使用；食塩量</t>
        </is>
      </c>
      <c r="G4113" t="inlineStr">
        <is>
          <t>食塩泉；食塩感受性高血圧；食塩感受性</t>
        </is>
      </c>
      <c r="H4113" t="n">
        <v>29</v>
      </c>
      <c r="I4113" t="inlineStr">
        <is>
          <t>江戸市民はこれをいわゆる食塩にはしなかったようなのである。；いたずら好きの近所の人が採掘孔に大量の食塩を流し込んだのであった。；池の周辺は、水分が蒸発した後の食塩と塩化カルシウムで囲まれている。；この物質は食塩の他に粉ミルク、砂糖製品および穀粉にも使われている。；図柄: 9つの食塩の結晶を並べた形を模した銀色の横帯で上下二分割。；食塩で味をつけるのがよくないのかなと思ったりした。；「牧さん」 と、刑事は食塩のびんをテーブルにおきながら声をかけた。；食塩は不可欠であるため、健康に大きな影響を与える可能性がある。；また食塩を加えることで生地の伸びがよくなるが、多すぎると逆に低下する。；あるものは多量の食塩および土地の物質を含み、他のものは殆ど純粋である。；これは食塩の過剰摂取が高血圧症を悪化させるとされている事と同じ理由である。；使用後に食塩の結晶ができて、ノズル等を詰まらせるからだとされる。；だから食塩にいろいろの種類があっても、ちっともふしぎではないのである。；今のところ食塩、芒硝および塩化マグネシウムは既に開発が進んでいる。；距離が長いほど出来上がりに時間がかかり、食塩の味をより感じやすいとされている。；また、塩としてかつては食塩ではなく白塩が使用されていた。；継続的な食塩の採掘が始まったのは中世で、最初の言及は1075年になされている。；これ以後にはヨウ素を含む食塩は世界の多くの部分で政府の支持によって作られるようになった。；彼は思わずも食塩を入れていたのだった。；動物と植物とを殺すのをやめるためにまず水と食塩だけ呑み給え。；竜太は、口の中にひろがる食塩のやり場に困りながら、また一句よんだ。；他には二つの食塩入れがあるきりだった。；マルニ株式会社は、大阪府大阪市北区に本社を置く食塩メーカーである。；採取された食塩は、現地では魚の保存などに使用される。；味はポブラノに近いが、油分が多く、乾燥過程で用いる食塩の味を感じる。；材料に含まれる食塩などの電解質の量や、電極間の距離で焼き具合や味に変化がある。；砂糖を入れることもあり、最後に食塩を加えて完成となる。；例えば、ワインにチーズ、テキーラに食塩などが有名な組み合わせである。；当時、食塩は肉や魚などの保存に用いられていたため、相対的に需要の高い食品であった。</t>
        </is>
      </c>
      <c r="J4113">
        <f>HYPERLINK("https://www.weblio.jp/content/食塩", "词义详情")</f>
        <v/>
      </c>
      <c r="K4113">
        <f>HYPERLINK("https://yourei.jp/食塩", "查看例句")</f>
        <v/>
      </c>
    </row>
    <row r="4114">
      <c r="A4114" t="inlineStr">
        <is>
          <t>職業</t>
        </is>
      </c>
      <c r="B4114" t="inlineStr">
        <is>
          <t>成功</t>
        </is>
      </c>
      <c r="C4114" t="inlineStr">
        <is>
          <t>読み方：しょくぎょう
生計を維持するために、人が日常従事する仕事。生業。職。「教師を—とする」「—につく」「家の—を継ぐ」「—に貴賤(きせん)なし」</t>
        </is>
      </c>
      <c r="D4114" t="inlineStr">
        <is>
          <t>職業的(3%)；職業上(3%)；職業柄(2%)；職業学校；職業意識</t>
        </is>
      </c>
      <c r="E4114" t="inlineStr">
        <is>
          <t>仕事；職；業；技能；生業</t>
        </is>
      </c>
      <c r="F4114" t="inlineStr">
        <is>
          <t>どんな職業；さまざまな職業；あらゆる職業；各職業；職業能力</t>
        </is>
      </c>
      <c r="G4114" t="inlineStr">
        <is>
          <t>職業訓練；職業軍人；職業教育；職業紹介；職業人</t>
        </is>
      </c>
      <c r="H4114" t="n">
        <v>29</v>
      </c>
      <c r="I4114" t="inlineStr">
        <is>
          <t>歴史は古く、古代からこのような職業が存在していたと考えられている。；理由は祖母がなりたかった職業だということを聞いていたからだという。；職業も一部の武将に設定されており、大きく戦略に影響することがある。；日本では法令上の用語ではないが、自由業または自由職業とも呼ばれる。；この発見は職業として彼が天文学を選択する上で決定的なものであった。；資格制度のうち職業資格の認定試験は、各地の職能団体が実施している。；一方で勉強した後にどのような職業に就くかはあまり考えていなかったという。；また待期期間中に職業に就き又は事業を開始した場合には支給されない。；この職業はウンディーネと呼ばれ、観光産業で重要な役割を持っている。；引退の理由は、経験してみたい他の職業ができたためとしている。；多くが上京者で編成され表では横文字職業に就いているのが特徴。；一度職業を決めると4種類の職業から違う種類に途中変更は効かない。；この他にも1871年には異なる身分・職業間の結婚も認められるようになった。；世界中のさまざまな仕事と職業を映像で紹介していた番組。；それぞれの職業の特徴は一般的なRPGのものに準ずるが下記の通りである。；父・好水が医師という職業を千畝に強く薦めたのにはこうした背景がある。；もちろん、ある特定の資格を持たないと従事できない職業もある。；私立教育は、国との契約のもと、小学校4校と職業リセで行われている。；塔はおおむね職業を限定せずに、体力のある男性のグループで構成される。；運転をする人や、運転することを職業とする人を運転手と言う。；安価で手に入りやすいことから年齢、職業に関係なく広く吸飲されている。；彼はソノラ州で生まれ、小学校を卒業した後様々な職業を経験した。；メイドが免許制の国家資格となり、女性に人気の職業となっている世界。；倒したときの経験値は、倒した相手の職業による絶対制のままである。；高校時代はテニスに熱中、コーチを職業にすることを考えるほどだった。；それは、職業上高い地位を得た者だけが享受しているのではない。；日本では近世の城下町の建設期に、職業を冠した町に職人を集住させた。；占星術の学者たちの職業上の道具であったとも言われている。；父親の職業は画家であり、その交友関係は芸術を通じてのものが多かった。</t>
        </is>
      </c>
      <c r="J4114">
        <f>HYPERLINK("https://www.weblio.jp/content/職業", "词义详情")</f>
        <v/>
      </c>
      <c r="K4114">
        <f>HYPERLINK("https://yourei.jp/職業", "查看例句")</f>
        <v/>
      </c>
    </row>
    <row r="4115">
      <c r="A4115" t="inlineStr">
        <is>
          <t>食事</t>
        </is>
      </c>
      <c r="B4115" t="inlineStr">
        <is>
          <t>成功</t>
        </is>
      </c>
      <c r="C4115" t="inlineStr">
        <is>
          <t>読み方：しょくじ
［名］(スル)栄養をとるために、習慣的に毎日何度か物を食べること。また、その食べ物。「—をとる」「忙しくて—するひまもない」
[補説]居酒屋などで、お茶漬け・お握り・丼物・カレーライス・味噌汁・麺類などを、つまみと区別して食事という場合がある。</t>
        </is>
      </c>
      <c r="D4115" t="inlineStr">
        <is>
          <t>食事中；食事会；食事を共に；食事代；食事法</t>
        </is>
      </c>
      <c r="E4115" t="inlineStr">
        <is>
          <t>テーブル；料理；食べる；夕食；上がる</t>
        </is>
      </c>
      <c r="F4115" t="inlineStr">
        <is>
          <t>一緒に食事；軽い食事；簡単な食事；豪華な食事；食事予約券</t>
        </is>
      </c>
      <c r="G4115" t="inlineStr">
        <is>
          <t>食事制限；食事処；食事券；食事メニュー；食事療養</t>
        </is>
      </c>
      <c r="H4115" t="n">
        <v>29</v>
      </c>
      <c r="I4115" t="inlineStr">
        <is>
          <t>特に、病気の予防の点でも治療の点でも食事が大きな位置を占めている。；多忙な両親のために、幼い頃から自分と弟の食事を作ることも多かった。；安永自身も食事中のミホノブルボンに接近することは恐怖だったという。；多くの歯は抜け落ち、食事や服を着るのにも非常に長い時間がかかった。；また、苗族と布依族を対象にした調査では食事前後の挨拶はないという。；この語は、それ以外の食事会などでも比喩として用いられることもある。；食事を目的とした料理というよりは遊び、イベントとしての色彩が濃い。；この場合でも食事を準備するためのスペースが列車内のどこかに用意されている。；食べ物では卵が好きで一度の食事で15個食べることもあったという。；病気の症状に応じて、個々の患者ごとに食事の内容を変更する必要がある。；したがって、味噌を食事の一部にすることは非常に良いと考えられている。；食事類を提供する喫茶店を営業する場合は飲食店営業の許可が必要である。；この食事法は、特に子供に対して非常に効果的であることが分かった。；食事は調理師免許を持つ隊員の指導の下、各隊員が交代で作っている。；床に座って食事をする場合、片膝立座で座るのが朝鮮の正式座法である。；食事にワインを合わせる習慣があり、基本的にはその土地のワインを飲む。；食事の際には常に後ろ姿が映るため、どのような食べ方かは不明である。；これらは、ハレの行事の時の儀式的な食事の際に天皇が用いたものである。；軽食とは、手間をかけず短時間で食べることが出来る食事のことである。；食事以外にも、レースでは機材故障に伴う部品や自転車の交換が必要になる。；中継基地では燃料と食事が支給され、運転手は休息することができた。；日本ではイギリス風の食事が紹介されることが比較的多い。；その証拠として、食事や書字の際には右手を使っていたことが挙げられる。；それぞれの食事に割り当てられた被験者の体重は以下のように変動した。；食事の話ばかりになったのは食料がますます減らされたためだった。；調理室があり、簡単な食事なども寮の中で作れるが、使用は制限される。；食事を食べているところを他人に見られたがらない場合も多い。；恒子に女は男衆が食事を済ませてから頂く、この辺の習慣だと言われる。；記者と食事、キャッチボールを行うことも多く、度々記事になっている。</t>
        </is>
      </c>
      <c r="J4115">
        <f>HYPERLINK("https://www.weblio.jp/content/食事", "词义详情")</f>
        <v/>
      </c>
      <c r="K4115">
        <f>HYPERLINK("https://yourei.jp/食事", "查看例句")</f>
        <v/>
      </c>
    </row>
    <row r="4116">
      <c r="A4116" t="inlineStr">
        <is>
          <t>食卓</t>
        </is>
      </c>
      <c r="B4116" t="inlineStr">
        <is>
          <t>成功</t>
        </is>
      </c>
      <c r="C4116" t="inlineStr">
        <is>
          <t>読み方：しょくたく
食事用のテーブル。食台。「—につく」「—を囲む」</t>
        </is>
      </c>
      <c r="D4116" t="inlineStr">
        <is>
          <t>食卓につい(4%)；食卓用；食卓につか；食卓越し；食卓に出さ</t>
        </is>
      </c>
      <c r="E4116" t="inlineStr">
        <is>
          <t>膳；食膳；ちゃぶ台；ダイニングテーブル；飯台</t>
        </is>
      </c>
      <c r="F4116" t="inlineStr">
        <is>
          <t>大きな食卓；一緒に食卓；長い食卓；食卓作法；食卓掛</t>
        </is>
      </c>
      <c r="G4116" t="inlineStr">
        <is>
          <t>食卓の賢人たち；食卓の王様</t>
        </is>
      </c>
      <c r="H4116" t="n">
        <v>29</v>
      </c>
      <c r="I4116" t="inlineStr">
        <is>
          <t>別にこの先生よりずつと肉付のよい婦人が他の食卓の上座を占めてゐた。；戦争は、我々が平和な食卓で結論するほど単純なものではないのである。；それから静かに食卓の上にパンを置いて、再びそれに手をつけなかった。；食卓の上などでそれが色に出る時さえ兄の性質としてはたまにはあった。；こうして妙な気分が食卓の上に織りなされながらやがて食事は終わった。；寛一君が湯から上って食卓についた時、その赤い顔が皆の注目を惹いた。；その室の中の第三の室には、夕食の食卓に二人前の用意がしてあった。；まったく食卓につくと、わたしは自分の決心を忘れてしまうのである。；彼は次に同じ食卓の向うの端にいる湯本譲次をチラッと上眼使いに見た。；彼女は犬猫のと同じような木の皿で彼らといっしょに食卓の下で食事をした。；この板は食卓代わりに宿屋等で使われ始め、家庭に広まったとみられる。；食卓と勉強机とに兼用してるただ一つのテーブルで、二人は晩を過ごした。；食卓でワシリーサが黙っているとバーバ・ヤーガが何か話すよう言った。；その晩、カヨは夕食に降りてきて食卓にはついたが、箸は取らなかった。；彼はまた、お三輪の見ている前で、食堂の内にある食卓の上までも拭いた。；食卓の料理の皿はいくら食い荒らされても、また次々に運ばれてきました。；彼は食卓の仲間らに向かって、自分は彼らといっしょではないと宣言していた。；二個の長い食卓には、何かしら温い物の入つてゐる鉢から煙が出てゐた。；ただし彼がほかの者よりも先に食卓を離れたことは真似しない。；結婚当初の半年くらいは、晩飯の食卓に料理が十品くらい並んでいた。；彼はゴリオ爺さんが起きていて食卓につこうとしているのを見つけた。；子供の順吉の最初の記憶に殘る母の不幸はある日の食卓での出來事だつた。；時間は大分過ぎて居るので、軽い昼食を摂る為めに食卓へ進んで行った。；使徒たちが座っている食卓は、急な対角線上で奥の空間に後退している。；食卓でいちいち合掌させて食事をさせるというようなのは私は好まない。；下層階級の家庭では食卓に料理を直において食べるのも普通であった。；シャーロック・ホームズは私が降りてきたときには朝の食卓にもう着いていた。；そのとたん犬はジョリクールのすわっていた食卓のほうへとび上がった。；宅へ帰って食卓に向った時、奥さんはどうして遅くなったのかと尋ねました。</t>
        </is>
      </c>
      <c r="J4116">
        <f>HYPERLINK("https://www.weblio.jp/content/食卓", "词义详情")</f>
        <v/>
      </c>
      <c r="K4116">
        <f>HYPERLINK("https://yourei.jp/食卓", "查看例句")</f>
        <v/>
      </c>
    </row>
    <row r="4117">
      <c r="A4117" t="inlineStr">
        <is>
          <t>食堂</t>
        </is>
      </c>
      <c r="B4117" t="inlineStr">
        <is>
          <t>成功</t>
        </is>
      </c>
      <c r="C4117" t="inlineStr">
        <is>
          <t>読み方：じきどう
寺院で、僧が食事をする所。また、そのための建物。</t>
        </is>
      </c>
      <c r="D4117" t="inlineStr">
        <is>
          <t>食堂車；食堂兼；食堂街；食堂棟；食堂経営</t>
        </is>
      </c>
      <c r="E4117" t="inlineStr">
        <is>
          <t>レストラン；喫茶店；カフェ；料理屋；料亭</t>
        </is>
      </c>
      <c r="F4117" t="inlineStr">
        <is>
          <t>小さな食堂；兼食堂；広い食堂；軽食堂；簡易食堂</t>
        </is>
      </c>
      <c r="G4117" t="inlineStr">
        <is>
          <t>食堂かたつむり；食堂自動車</t>
        </is>
      </c>
      <c r="H4117" t="n">
        <v>29</v>
      </c>
      <c r="I4117" t="inlineStr">
        <is>
          <t>地下1階は大食堂があり、職員はもちろん、多くの市民も利用している。；アメリカ合衆国で本格的な食堂車が登場したのは1860年代である。；医療品事業以外では2016年以降、食堂や温泉事業にも参入している。；本館の前には外来食堂の建物があり、その横にはベンチが置かれている。；社内食堂など、閉じられた空間で利用できるカードの券売機も存在する。；作る場である台所は、食べる場である食堂との関係が非常に重要になってくる。；一行は街の食堂で昼食を取ることになるが、もうその日はバスがないという。；LEOCは、学校・病院給食や企業の食堂などの管理・運営を行う企業。；食堂には「箸とらば」の歌詞が掲げられており、食事の前に合唱を行う。；麺類食堂は、同年12月より北口駅舎のそばに移転し営業を続けている。；昼休みに高校生は学校の食堂に行くか、街の店まで買いに出ることが多い。；韓国の食堂ではキムチが無料で提供されるが、これが再利用される問題がある。；食事は宿泊棟にある食堂で行うが、毎週土の昼食はカレーになっている。；以来、産地直送品の販売や食堂、ベーカリーのサービスが行われてきた。；また食堂はこの教会と同時期に建設されたものである。；彼らは翌朝スタジオの食堂で顔を合わせるまで、そのことを知らなかった。；ホテルは黒人客を受け入れないため、選手はバスが食堂・寝室だった。；歴史的な建造物を改築した食堂ゼークルークは人気のハイキング地である。；大学側が運営する食堂があるほか、多くの図書館・ホールにカフェが入る。；捕虜収容のための船室も作り、士官用特別船室、捕虜専用食堂も備えた。；駅前は道路も狭く、食堂などの商店が数軒あるが整備はされていない。；古くは、街道筋の食堂、みやげ物店などが店舗ごとに駐車場を用意していた。；クリミア戦争のときは、居酒屋のようなお酒を提供する食堂を経営していた。；中にはすでに食堂で昼食を食べ始め、それを中断して来た者もあった。；その日、母は食堂でずっとテレビニュースを見ていたのだという。；トイレは白人用と黒人用が横に並んでいたが、黒人用の食堂は地下にあった。；また、食堂が設けられ、テーブルに集まって食事ができるような場所も多かった。；なお、食堂はスタンドの中の他にも内馬場などにも設置されている。；その後、断りもなく審議を抜けだし、議員食堂にいるところを発見された。</t>
        </is>
      </c>
      <c r="J4117">
        <f>HYPERLINK("https://www.weblio.jp/content/食堂", "词义详情")</f>
        <v/>
      </c>
      <c r="K4117">
        <f>HYPERLINK("https://yourei.jp/食堂", "查看例句")</f>
        <v/>
      </c>
    </row>
    <row r="4118">
      <c r="A4118" t="inlineStr">
        <is>
          <t>職人</t>
        </is>
      </c>
      <c r="B4118" t="inlineStr">
        <is>
          <t>成功</t>
        </is>
      </c>
      <c r="C4118" t="inlineStr">
        <is>
          <t>読み方：しょくにん
１自分の技能によって物を作ったり、加工したりすることを職業とする人。大工・左官・表具師など。
２（1から）特定の分野の技術者。技師・整備士など。
３（比喩的に）確かな技術や優れた技能をもった人。その道の専門家。「バントの—といわれる野球選手」「この店の彼女はおいしいコーヒーをいれる—だ」</t>
        </is>
      </c>
      <c r="D4118" t="inlineStr">
        <is>
          <t>職人たち(8%)；職人芸；職人風；職人達；職人さん</t>
        </is>
      </c>
      <c r="E4118" t="inlineStr">
        <is>
          <t>俳優；職工；匠；工人；名工</t>
        </is>
      </c>
      <c r="F4118" t="inlineStr">
        <is>
          <t>菓子職人；金細工職人；ガラス職人；若い職人；レンガ職人</t>
        </is>
      </c>
      <c r="G4118" t="inlineStr">
        <is>
          <t>職人技；職人町；職人組合；職人歌合；職人かたぎ</t>
        </is>
      </c>
      <c r="H4118" t="n">
        <v>29</v>
      </c>
      <c r="I4118" t="inlineStr">
        <is>
          <t>発売当初は職人の手で行われていたが、現在はすべて機械化されている。；江戸時代には経済社会・都市の発達に伴い職人はさらに分化し発展した。；彼らは軍人ではなく、ただの職人であったが、全員が剣で斬り殺された。；かれの思想はまさに農民主義、職人主義そのものと言っていいだろう。；軍隊の駐屯地には付随して商人や職人の集落が形成され都市の核となった。；市に定住した技術者と職人はギルドを設立し、市の経済の発展を助けた。；靴の作り方を知らないため、その後十年がかりで職人から学んだという。；同時に城下町も碁盤目状に整備され、家臣や商人・職人などが定住した。；日本では近世の城下町の建設期に、職業を冠した町に職人を集住させた。；製造する職人と演奏するプレイヤーが共同で製造されたモデル。；個別住宅建設が優勢であることが特徴で、質の高い職人の技を見せている。；しかし王は国中の職人を集めてすべての衣装を完成させてしまう。；父方の祖父は二輪馬車職人の家に生まれた四輪馬車の御者であった。；職人という仕事にはせず、趣味の一環としてや作家専従のケースが多い。；音楽作りに対する拘りと独自の制作姿勢から「音の職人」とも称される。；後にはタタール人の商人や職人もここに住み、タタール人街を形成した。；都市の職人は注文に応じる形でも、市場で販売する形でも商品の生産を行った。；都市にあっては特殊な仕事に従事する職人などが使用した。；建築・障壁画等の製作には当時の第一級の職人が参加している。；基本的には注文生産であり、奏者と職人の人間関係が大切であるとされる。；中世の職人とは異なる、高い教養と科学的知識を持つ建築家の誕生である。；それが実現できたのは、板金職人が手作業で合わせながら作っているから。；アルトリエに暮らす神の手を持つ職人と言われている伝説の職人、天選。；革命の主体は門番、洗濯人、パン・ビール職人などの下層民衆であった。；名称の差異も存在するが、ここでは各職人の仕事内容の違いに絞り込む。；一部を除き、極細の線もすべてこの筆を使っており職人芸と評されている。；ジャコバンクラブには議員以外にも職人の親方層から貴族まで広く参加した。；米芾以前は文人自身が字入れしたとしても刻んだのは専門の職人であった。；レンガ職人の父・ウィリアム・パークスと母・モリーとの間に生まれる。</t>
        </is>
      </c>
      <c r="J4118">
        <f>HYPERLINK("https://www.weblio.jp/content/職人", "词义详情")</f>
        <v/>
      </c>
      <c r="K4118">
        <f>HYPERLINK("https://yourei.jp/職人", "查看例句")</f>
        <v/>
      </c>
    </row>
    <row r="4119">
      <c r="A4119" t="inlineStr">
        <is>
          <t>職場</t>
        </is>
      </c>
      <c r="B4119" t="inlineStr">
        <is>
          <t>成功</t>
        </is>
      </c>
      <c r="C4119" t="inlineStr">
        <is>
          <t>読み方：しょくば
職業として働く場所。会社・工場などで、執務・作業をする場所。「—環境」「—結婚」</t>
        </is>
      </c>
      <c r="D4119" t="inlineStr">
        <is>
          <t>職場内；職場放棄；職場単位；職場見学；職場仲間</t>
        </is>
      </c>
      <c r="E4119" t="inlineStr">
        <is>
          <t>仕事場；勤め先；勤め口</t>
        </is>
      </c>
      <c r="F4119" t="inlineStr">
        <is>
          <t>新しい職場；各職場；どの職場；やすい職場；どんな職場</t>
        </is>
      </c>
      <c r="G4119" t="inlineStr">
        <is>
          <t>職場復帰；職場体験；職場結婚；職場いじめ；職場恋愛</t>
        </is>
      </c>
      <c r="H4119" t="n">
        <v>29</v>
      </c>
      <c r="I4119" t="inlineStr">
        <is>
          <t>そのため職場の人にも父の正体がばれてそのことで質問されたりもした。；ただし前回と違って職場の理解を得られた為、会場には足を運んでいる。；大学の部および職場・一般の部の全国大会は、会場は固定されていない。；買った本を自宅に置いたまま、職場や旅行先でも読める新たなサービス。；少年の父は少年の実母と離婚後、同じ職場で働いていた医師と再婚した。；新たな職場はわずかしかなく、長く存続できた企業はわずかであった。；近隣・学校・職場など社会的関係を生じる環境がリスクとなる場合がある。；こうした状況の中、町は適切な住宅供給と地元の職場創出に取り組んだ。；同じ職場で働いている人たちで結成したチームが参加できる大会。；大学は町の中心部にあり、この町の住民にとって最大の職場となっている。；インドネシア人は、職場や学校へ行く時に弁当を持っていく習慣がない。；広い家の多くは家族構成の規模と職場での地位により政府から与えられた。；いくつかのワークフロー改善理論が提案され、既に職場で実施されている。；職場のアメリカ人たちからいじめを受けたのが直接の理由だという。；被害者女性がある人物への怒りは消えてないものの新しい職場で働き始めていること。；母親が夜勤が多かった為、幼いときから母の職場に一緒に行く事が多かった。；職場が同じという縁で結成された日本出身のシャーマンたちのチーム。；会社側はこの勝利をもとにさらに積極的に職場規律の確立と合理化を進めた。；奉公人はしばしば職場や家で雇用主からの暴力に曝されることがあった。；会場には身重であった妻と長男、当時の職場の同僚などが応援に来ていた。；しかも雑誌に取り上げられたことで、職場はパニックとなってしまう。；中学生に職場体験させ、さまざまな経験を積むことを目的に行われている。；職場で旧姓を使用することは、会社が許可した場合のみ可能である。；以前同じ職場ユニオン運河で働いたときに面識があったか否かは不明である。；バルやカフェで軽食と共にビールやワインを飲んで職場に戻る人もいる。；職場がどこであったか思いだせないと、後年ホイットマンは語っている。；江原会の職場江原会には以下のようなものがあるが、これが全てではない。；事件当日も作業着事件で辞めた元職場の友人へ遊ぼうと呼びかけている。；この漫画の人気は、多くの人によく知られた職場を場面とテーマにしたことに理由がある。</t>
        </is>
      </c>
      <c r="J4119">
        <f>HYPERLINK("https://www.weblio.jp/content/職場", "词义详情")</f>
        <v/>
      </c>
      <c r="K4119">
        <f>HYPERLINK("https://yourei.jp/職場", "查看例句")</f>
        <v/>
      </c>
    </row>
    <row r="4120">
      <c r="A4120" t="inlineStr">
        <is>
          <t>触発</t>
        </is>
      </c>
      <c r="B4120" t="inlineStr">
        <is>
          <t>成功</t>
        </is>
      </c>
      <c r="C4120" t="inlineStr">
        <is>
          <t>読み方：しょくはつ
［名］(スル)
１物に触れて、発動・発射したり爆発したりすること。「魚雷が—する」
２なんらかの刺激を与えて、行動の意欲を起こさせること。「友人の研究に—される」</t>
        </is>
      </c>
      <c r="D4120" t="inlineStr">
        <is>
          <t>触発信管；触発機雷；触発源</t>
        </is>
      </c>
      <c r="E4120" t="inlineStr">
        <is>
          <t>刺激；もたらす；引き起こす；生ずる；産む</t>
        </is>
      </c>
      <c r="H4120" t="n">
        <v>29</v>
      </c>
      <c r="I4120" t="inlineStr">
        <is>
          <t>彼の後期の詩は大変若い女性との老いらくの恋に触発されたものである。；マーラー自身の悲恋に触発されて作曲されたものと広く信じられてきた。；ロマン派の作曲家の中にはロマ音楽に触発されて曲を書いたものもいた。；この動きに触発され、大都市の建物や他の地域での占拠が増加している。；特にロマン派以降の作曲家にロマの音楽に触発された作品が多く見られる。；彼はロマンチック的な詩の形式に触発された様子が、彼の作品から見られる。；これはフランスで1968年に起こった五月革命に触発された作品である。；当時の経験と米国企業で働く人々に触発され、シェパードは脚本を執筆した。；竹の屋の成功に触発され後に全国に同様の旅館が増えていった。；減速用パラシュートを有しており、信管は空中爆発と触発が用意された。；これらの書籍・記事に触発されたうどん遠征記なども書籍化された。；現地の風景やレコーディングでのサウンドに触発されて書かれたものが多い。；そして、1837年たまたま発生した不況に触発されて起きたのがである。；このとき仕事をともにした月岡貞夫らから触発されたと、後に語る。；エディは新たな環境とコニーに触発されギターの練習に夢中になる。；なぜならや他の作家に触発され、望む方針に沿って実験を続けることができたからです。；これに触発されてさらにアイデアを進化させたのがオノレ・ブランやである。；本作は息子の大江光に触発されて書かれた作品のひとつである。；この曲は映画ができる以前に書かれ、映画の題名はこの曲に触発されてつけられた。；この論文に触発され、深瀬とも直接面会し、作品を構想することとなった。；それはピーター・デイビッドの一時の冗談に触発されたものだった。；和田はこの動きに触発された与党が同様の内容の法案を提出したと述べている。；幸福だったその頃に産み出されたのは、民族的に触発された作品だけではない。；それでも2017年には日本の研究に触発されて白人での初の研究が実施されている。；しかし、彼の作品は感情的・感覚的な人生体験に触発されることもしばしばあった。；これはリョベートに触発される以前の1925年に作曲されている。；クロウズ自身が見たいくつかの夢と、元妻が昔からよく見ていた夢に触発された作品だという。；捜査当局はこのことに触発された可能性もあるとみている。；彼は、空を飛ぶワシに触発されて、空を飛ぶ機械を作りたいと考えた。</t>
        </is>
      </c>
      <c r="J4120">
        <f>HYPERLINK("https://www.weblio.jp/content/触発", "词义详情")</f>
        <v/>
      </c>
      <c r="K4120">
        <f>HYPERLINK("https://yourei.jp/触発", "查看例句")</f>
        <v/>
      </c>
    </row>
    <row r="4121">
      <c r="A4121" t="inlineStr">
        <is>
          <t>食費</t>
        </is>
      </c>
      <c r="B4121" t="inlineStr">
        <is>
          <t>成功</t>
        </is>
      </c>
      <c r="C4121" t="inlineStr">
        <is>
          <t>読み方：しょくひ
食事にかかる費用。「—がかさむ」</t>
        </is>
      </c>
      <c r="D4121" t="inlineStr">
        <is>
          <t>食費その他；食費及び居住費；食費分；食費等</t>
        </is>
      </c>
      <c r="E4121" t="inlineStr">
        <is>
          <t>生活費；食事代；食い扶持</t>
        </is>
      </c>
      <c r="H4121" t="n">
        <v>29</v>
      </c>
      <c r="I4121" t="inlineStr">
        <is>
          <t>きみに働いてもらって、きみの食費と住まいの世話をしてるだけなんだ。；何だがさう云ふ子に会ふとすぐ食ひ付いてしまひさうで仕様がなかつた。；一人の一日の食費百七十円前後とあってはこれで精いっぱいであろう。；それもドラゴンキラー二人の食費の前に、わずか一週間で見事に消えた。；それを大事さうに自分の膳の側に置いて、それから復た食ひ始めました。；食ひ物は、どんなものでもそれを食つてゐる時だけしか僕の頭を支配しない。；その木虱共は私が話したやうに多勢の食ひしん坊共の毎日のパンなのだ。；この能力を封印していたのは食費がかかりすぎるのが理由とのこと。；それは百姓屋とそれに食ひ込んだやうな飯場の真下あたりの処だつた。；自分も一緒に食ひながら、急に、接木をしたやうな親しみを皆に見せた。；私はここに好きなだけ滞在できますし、食費と部屋代も一切かかりません。；菓子売つて食つてゐる癖に、月に幾円と外で買い食ひをするのでせう。；光熱費、食費にどれほど金がかかっているのか、確かめようともしない。；今日も趣味の会があり、冷房食堂で定食を食ひ、一席やって、座へ出る。；食費と部屋代の分だけ店で働きたいと言い出したのは、サーラの方だった。；おかげで食費はかなり浮かすことができたけれど、これではたまらない。；一カ月に一万五千円も食費にまわせるほど余裕のある学生はまずいない。；室代はもちろん食費もセンテュパンのほうで賄ってくれるらしいのである。；父親に家から追い出されて以来、家賃や食費の心配をしたことはない。；食ひ始めた時に、坊主頭の五十恰好の男が細い目をして這入つて来た。；借金があって食費にも事欠くと知ってからは、父に薬を出すのすら渋った。；昼の頃ヤマハハ来たりて娘を取りて食ひ、娘の皮をかぶり娘になりてをる。；食ひものはどこへたどり着いてもホツキ貝ばかり出されるのに往生した。；それで大てい小間に一杯、四五人から六七人で飲み食ひしたものだ。；それだけ働いても、食費などをひくと手元に残る収入はわずかだった。；ご自分の食費は毎日十スーであげてゆきたいっておっしゃるんです。；しかしそこで得た100万円は食費へと消えてしまったという。；午飯も外へ食ひに出ないでホテルの料理を部屋へ運ばせて済ませた。；いかんとなれば多くの人はそれを食ひ物にしようとしてをるから。</t>
        </is>
      </c>
      <c r="J4121">
        <f>HYPERLINK("https://www.weblio.jp/content/食費", "词义详情")</f>
        <v/>
      </c>
      <c r="K4121">
        <f>HYPERLINK("https://yourei.jp/食費", "查看例句")</f>
        <v/>
      </c>
    </row>
    <row r="4122">
      <c r="A4122" t="inlineStr">
        <is>
          <t>食品</t>
        </is>
      </c>
      <c r="B4122" t="inlineStr">
        <is>
          <t>成功</t>
        </is>
      </c>
      <c r="C4122" t="inlineStr">
        <is>
          <t>読み方：しょくひん
人が食用にする品物の総称。直接料理の材料としたり、そのまま食べたりすることができる食用の品。飲食品。「生鮮—」「—売り場」</t>
        </is>
      </c>
      <c r="D4122" t="inlineStr">
        <is>
          <t>食品製造；食品工場；食品売場；食品栄養科学部；食品用</t>
        </is>
      </c>
      <c r="E4122" t="inlineStr">
        <is>
          <t>食物；食材；食料品</t>
        </is>
      </c>
      <c r="F4122" t="inlineStr">
        <is>
          <t>動物性食品；栄養食品；多い食品；食品以外；食品関係</t>
        </is>
      </c>
      <c r="G4122" t="inlineStr">
        <is>
          <t>食品加工；食品メーカー；食品医薬品局；食品会社；食品スーパー</t>
        </is>
      </c>
      <c r="H4122" t="n">
        <v>29</v>
      </c>
      <c r="I4122" t="inlineStr">
        <is>
          <t>多くの食品にはいわゆる旬があり、決まった時期にしか手に入らなかった。；食品製造時に用いられているポリ手袋も同様の理由から問題視された。；上記のように、酸味がまったくないのにビタミンCが豊富な食品も多い。；このため、現在は乳児には絶対に与えてはならない食品の一つとなっている。；得られた知見は社会的に医療・食品・環境など、広い分野で利用されている。；発酵性大豆食品の摂取量が多いほど総死亡リスクが低いとの指摘がある。；また、店舗や食品工場では誘虫を防ぐため白色系のランプが利用される。；斎は程度に応じてこれらの食品を禁止または許可するものである。；前述の通り、その地域の一般的な麺類がカップ食品化されるケースが多い。；現在では日本でも外国の麺食品のカップ版を入手することができる。；中国にも同様の食品があるので中国から伝来した可能性も高い。；即席麺を生産する日清食品を中心とする食品グループの持株会社である。；食品は安全・栄養・経済・実用・嗜好などの価値で評価・分析できる。；中国でも台湾に似た形態の屋台が見られるが、売る食品は地域ごとに異なる。；日本の食品は特別食・一般食として、多数が宇宙で食されている。；しかし、動物試験での濃度に比して食品中の濃度はごく微量でしかない。；食品産業では、食品が接触する部分の多くがステンレス化されている。；刺身を作る際に考慮されるのが、美しさと、その食品の特性である。；パンの実は調理すると食べられ、さらに他のさまざまな食品の素材になる。；摂取する食品の量や種類が徐々に増え、献立や調理の形態も変化していく。；政府は健康的な食品の販売や運動の奨励を行うことで対策に乗り出しているという。；ある種の組換え作物の方が食品としての安全性が高いという報告がある。；また、食品など原材料との関係でバージンと呼ばれるものも存在する。；飲料や食品以外の調製法の場合はフォーミュラと呼ばれる場合がある。；ミルウォーキーは、機械・印刷・食品・醸造などの工業が盛んである。；コムギはたとえば次のような食品の主要な材料となっている。；食品を模した日用品にはフレーバーではなくフレグランスが用いられる。；加熱脱気は密閉容器を使って食品を長期保存する発明の基本原理である。；一般的に食品の味は食味成分の分析や官能試験により科学的に評価される。</t>
        </is>
      </c>
      <c r="J4122">
        <f>HYPERLINK("https://www.weblio.jp/content/食品", "词义详情")</f>
        <v/>
      </c>
      <c r="K4122">
        <f>HYPERLINK("https://yourei.jp/食品", "查看例句")</f>
        <v/>
      </c>
    </row>
    <row r="4123">
      <c r="A4123" t="inlineStr">
        <is>
          <t>植物</t>
        </is>
      </c>
      <c r="B4123" t="inlineStr">
        <is>
          <t>成功</t>
        </is>
      </c>
      <c r="C4123" t="inlineStr">
        <is>
          <t>読み方：うえもの
１植物。草木。
２畑に植える野菜類。
３連歌・俳諧の題材となる事物の分類の一つで、草木・苔などの植物。
４近世、軍略上、城郭内に植えた樹木。</t>
        </is>
      </c>
      <c r="D4123" t="inlineStr">
        <is>
          <t>植物体(2%)；植物群；植物種；植物質；植物標本</t>
        </is>
      </c>
      <c r="E4123" t="inlineStr">
        <is>
          <t>緑；草木；プラント；本草；くさき</t>
        </is>
      </c>
      <c r="F4123" t="inlineStr">
        <is>
          <t>維管束植物；科植物；熱帯植物；野生植物；宿主植物</t>
        </is>
      </c>
      <c r="G4123" t="inlineStr">
        <is>
          <t>植物園；植物学；植物相；植物食；植物性</t>
        </is>
      </c>
      <c r="H4123" t="n">
        <v>29</v>
      </c>
      <c r="I4123" t="inlineStr">
        <is>
          <t>世界で食用に栽培されている植物はおよそ2300種ほどとされている。；メンデルや初期の研究者はほとんどが植物を用いて実験を行っていた。；湿原性植物と高山性植物が混交して生息しているのが特徴になっている。；その予測し得る破滅を回避すべく、海洋性植物の研究が進められていく。；当時の植物には、現在は植物に含められない褐藻や真菌類を含んでいた。；植物や土壌のように分野に応じて若干異なった構成要素の分け方がされる。；前者の代表が植物であり、多くの生物種は後者の方式を利用している。；砂丘独特の植物・動物が自生・生息しており研究の対象となっている。；人類と向精神性作用のある植物との関係は遥か昔まで遡ることができる。；ヤクシマの名を冠した植物は極めて数が多く、以下のようなものがある。；重水の中では魚類も生きることができず、植物の発芽や成長も停止する。；似たような遊びをする植物にスミレ類やオオバコなどが良く知られる。；植物や動物から絞り出す成分そのものを指してエキスと言う場合もある。；ウリ科の植物の多くは熱帯に分布し、人類の歴史上最も古い作物を含む。；何故彼らは、本来地球外の植物である酔魂草の培養を行っているのか?；そこで、この段階を母植物の上で過ごしてしまう方向へ進化が進んだのであろう。；形状が植物のユリに似ていると考えられたことから名付けられた。；多くの植物はこの時期から葉を伸ばし、栄養を蓄えてから繁殖を始める。；まさにランドスケープの歴史は、いつの時代も植物の歴史そのものである。；植物を栽培して花や実を収穫し、市場に売却することなどができる。；キューガーデンは植物に関する情報をウェブで公開し普及に努めている。；同大学では専門の植物学だけでなく、自然科学一般を英語で教えた。；ホウ素は主に植物の細胞壁を維持するのに必要である重要な栄養素である。；動物媒の受粉様式は動物と植物の共進化の例として研究がなされている。；現在は砂漠だが古代には植物の豊かな地域であり、大型恐竜が多く生息した。；幼いころから好奇心旺盛で、植物標本を集めたり、実験したりしていた。；たとえばカイメンなどは、植物と動物の中間的な生物と考えられた。；彼らの成功は「白菜を他のアブラナ科植物から隔離したこと」にあった。；これが親植物から離れた地点で発芽して新世代の植物となる。</t>
        </is>
      </c>
      <c r="J4123">
        <f>HYPERLINK("https://www.weblio.jp/content/植物", "词义详情")</f>
        <v/>
      </c>
      <c r="K4123">
        <f>HYPERLINK("https://yourei.jp/植物", "查看例句")</f>
        <v/>
      </c>
    </row>
    <row r="4124">
      <c r="A4124" t="inlineStr">
        <is>
          <t>嘱望</t>
        </is>
      </c>
      <c r="B4124" t="inlineStr">
        <is>
          <t>成功</t>
        </is>
      </c>
      <c r="C4124" t="inlineStr">
        <is>
          <t>読み方：しょくぼう
［名］(スル)人の前途・将来に望みをかけること。期待すること。「将来を—されている若手社員」</t>
        </is>
      </c>
      <c r="D4124" t="inlineStr">
        <is>
          <t>嘱望される選手；嘱望される人材</t>
        </is>
      </c>
      <c r="F4124" t="inlineStr">
        <is>
          <t>未来を嘱望</t>
        </is>
      </c>
      <c r="H4124" t="n">
        <v>29</v>
      </c>
      <c r="I4124" t="inlineStr">
        <is>
          <t>山水画を描く中国現代画家の中で最も将来を嘱望されていると言われる。；将来を嘱望されながらも第一次世界大戦によってその短い生涯を閉じた。；あなたの息子さんは、人柄もいいし、会社でも将来を嘱望されている。；幼いころから利発で思慮深く、将来を嘱望されていたが、病弱であった。；いずれも藩校で秀才と評判が高かった将来を嘱望されている男たちだ。；そのため多くの美術家から日本画の将来の担い手として嘱望されていた。；康智は京都帝大を卒業後は大蔵省に入り、大いに将来を嘱望されている。；彼は京大で西洋史を学び、学者としての将来を嘱望された秀才であった。；女の夫が将来を嘱望された学者らしいこともわかった。；高校生の頃から彼は音楽の才能をさまざまに発揮し、将来を嘱望された存在だった。；デビュー前には雑誌で世代注目馬に挙げられるなど、将来を嘱望された馬であった。；雨村は、この中研で将来を最も嘱望されている若手の科学者であった。；なかなか切れ味のいいコピーを書くので、会社からも将来を嘱望されていた。；タイプは異なるが、いずれも優秀な人材で将来を嘱望されている。；二十七歳という年齢から見て、銀行の中でも将来を嘱望されている身には違いなかった。；翁の晩年の弟子の中で最も嘱望されていたのは斎田惟成氏であった。；助十郎が、多田道場でもっとも将来を嘱望されていたころの話である。；あの女は将来を嘱望された指揮者と出会ってすぐ結婚した。；将来を嘱望された学僧だったが、志半ばにカルチェ・ラタンを去っていた。；父はハワイ大学からハーバード大学を卒業したため、将来を嘱望されていた。；川口所属の26期生の中では最も早く優勝をしているなど、将来を嘱望されていた。；一方アンはといえば、近くにいる人々の間で、将来画家になるものと嘱望されていた。；ユース各世代のイタリア代表に招集され、将来を嘱望されてきた選手の一人。；ペレ本人に『新たなペレ』と称され、将来を強く嘱望されるようになった。；樋端は兵学校の前後数クラスで群を抜いた秀才であり、将来を嘱望されていた。；将来を嘱望されているにも程がある羽川のことなのだ。；時の外相陸奥宗光からとくに嘱望されて派遣されたものである。；特別競輪等で下記に挙げるとおりの実績を挙げていたことから、将来を嘱望されていた選手の一人だった。；父の話を思い出すと、影山さんは将来を嘱望された有為の画家だったようです。</t>
        </is>
      </c>
      <c r="J4124">
        <f>HYPERLINK("https://www.weblio.jp/content/嘱望", "词义详情")</f>
        <v/>
      </c>
      <c r="K4124">
        <f>HYPERLINK("https://yourei.jp/嘱望", "查看例句")</f>
        <v/>
      </c>
    </row>
    <row r="4125">
      <c r="A4125" t="inlineStr">
        <is>
          <t>植民地</t>
        </is>
      </c>
      <c r="B4125" t="inlineStr">
        <is>
          <t>成功</t>
        </is>
      </c>
      <c r="C4125" t="inlineStr">
        <is>
          <t>読み方：しょくみんち
ある国からの移住者によって経済的に開発され、その国の新領土となって本国に従属する地域。武力によって獲得された領土についてもいう。</t>
        </is>
      </c>
      <c r="D4125" t="inlineStr">
        <is>
          <t>植民地政府(4%)；植民地人(3%)；植民地軍(2%)；植民地統治；植民地総督</t>
        </is>
      </c>
      <c r="E4125" t="inlineStr">
        <is>
          <t>植民；コロニー；入植地；属国；租界</t>
        </is>
      </c>
      <c r="F4125" t="inlineStr">
        <is>
          <t>フランス植民地；アメリカ植民地；旧植民地；オランダ植民地；ポルトガル植民地</t>
        </is>
      </c>
      <c r="G4125" t="inlineStr">
        <is>
          <t>植民地化；植民地支配；植民地主義；植民地議会；植民地政策</t>
        </is>
      </c>
      <c r="H4125" t="n">
        <v>29</v>
      </c>
      <c r="I4125" t="inlineStr">
        <is>
          <t>第一次世界大戦で敗れたドイツはルワンダを含む全ての植民地を失った。；次に、歴史的に為替が固定されていたかつてのフランスの植民地がある。；夕食で二人はイギリスの北米植民地で起きている反乱について議論した。；ヨーロッパを越えて新大陸やインドにも植民地をめぐる戦争は拡大した。；密輸業者も含んだ植民地の商人たちは抗議活動に大きな役割を果たした。；フランスの植民地の大部分が獲得されたのは普仏戦争後のことである。；この法律はヴィシー政権の統治下にあるフランスの植民地にも適用された。；さらに現代では、イギリスの植民地文化にも大きな影響を受けている。；香港は同じくイギリス植民地だったシンガポールと密接な関係にあった。；アメリカ独立戦争の折、ニューヨークの北にイギリスの植民地があった。；最後のイギリス植民地というべき香港返還は中華人民共和国が主導した。；植民地にされて独立を失ってしまった土地の人々は、とてもみじめである。；戦争は1744年から、カナダとインドでも英仏間の植民地戦争となった。；この植民地は小さな前進基地以上のものにはならず、成長しなかった。；またフランスとオランダの植民地の多くをイギリスが獲得した。；そしてカリブ海を対象とした西インド会社を再創設、植民地を建設した。；英国の植民地の住民が医師を目指す場合には英国の医大に入学することが多い。；一方で彼が外交面でフランスに残した最大の物は植民地であった。；コンゴの名前はコンゴ川と植民地以前に存在したコンゴ王国に由来する。；しかし多くの者はイングランド植民地に移動する道を選んだ。；奴隷供給源の喪失はブラジル植民地にとって大打撃だったからである。；北アメリカ東部におけるスペインの植民地はフロリダに限定されていた。；宗主国や言語を超えて植民地のアフリカ人が協力する運動が始まった。；この英国式のカードがイギリスの植民地や明治以降の日本で普及した。；イギリスも植民地のアメリカやジャマイカにロマの開拓団を送っている。；スペインの植民地であった頃に、現地議会の急進独立派のメンバーであった。；また、イギリス植民地であったことから英語は広く使われている。；この選挙法は植民地である樺太・朝鮮・台湾には最後まで施行されなかった。；彼はアフリカに植民地を設立しようと試みたが失敗した。</t>
        </is>
      </c>
      <c r="J4125">
        <f>HYPERLINK("https://www.weblio.jp/content/植民地", "词义详情")</f>
        <v/>
      </c>
      <c r="K4125">
        <f>HYPERLINK("https://yourei.jp/植民地", "查看例句")</f>
        <v/>
      </c>
    </row>
    <row r="4126">
      <c r="A4126" t="inlineStr">
        <is>
          <t>職務</t>
        </is>
      </c>
      <c r="B4126" t="inlineStr">
        <is>
          <t>成功</t>
        </is>
      </c>
      <c r="C4126" t="inlineStr">
        <is>
          <t>読み方：しょくむ
その人が担当している仕事。役目。つとめ。「—を怠る」「—柄」</t>
        </is>
      </c>
      <c r="D4126" t="inlineStr">
        <is>
          <t>職務上(7%)；職務怠慢；職務執行；職務内容；職務遂行</t>
        </is>
      </c>
      <c r="E4126" t="inlineStr">
        <is>
          <t>仕事；務め；役；役割；作業</t>
        </is>
      </c>
      <c r="F4126" t="inlineStr">
        <is>
          <t>重要な職務；市長職務；職務分掌；職務範囲；職務遂行能力</t>
        </is>
      </c>
      <c r="G4126" t="inlineStr">
        <is>
          <t>職務権限；職務著作；職務経験；職務発明；職務命令</t>
        </is>
      </c>
      <c r="H4126" t="n">
        <v>29</v>
      </c>
      <c r="I4126" t="inlineStr">
        <is>
          <t>によれば、職務特性と職務満足度の関係は中程度に強いことが示された。；実際に彼らがどのような状況において職務を行ったのかも不明である。；なお、委員長に事故があった場合は理事が職務を行うことになっている。；弁護士の職務範囲には、以下のように隣接士業の職務が幅広く含まれる。；尚書令在任時は、職務に通じた人材であると高く評価されていたという。；臣下のこれこれができますと言ったことに合わせて、職務を行わせる。；正六品以下が宮官であり、宮中内の職務に携わる女官たちのことである。；早期治療の効果か1か月後には米内は職務に復帰することができた。；派出所とは、組織の中で職務に当たらせるために作られた拠点である。；本来殉職とは勤務時間中などに職務上の理由で死亡したものを指す。；しかしその後、彼はもとの職務に復帰することはなく、同年11月に死去。；仕置役の下に各部署が設置されて職務を分担し、奉行がこれを統率した。；実務経験とは以下に該当する職務に従事した経験のことである。；なおこのデータには職務中に事故死した人数は含まれていない。；このような職務を務める者は、東アジアでは古代から軍中にみられた。；母は息子が勝手に職務を放棄したため、部下の前において棒で50回叩いた。；すなわち職務として与えることで、実際的な統治をおこなわせたのである。；ミニステリアーレの主な職務のひとつは城を維持することだった。；実際に多くの女性神官たちが職務として売春を行っていたと考えられている。；代表はもとの職場に属したままで職務にあたり、職能的な政治家ではない。；保安官となったアープ兄弟は、職務の傍ら消えた牛の足取りを追っていた。；各職務に適した人間を訓練してから職務につけなければならない。；宗教的売春婦と対をなすように同じような職務を遂行する男性がいた。；この他に職務の特性から身体基準が設けられている。；また王羲之の真書鑑定職務についており、その書をよく学んだと思われる。；現在は巡業部に所属し、勧進元との交渉などの職務に当たっている。；以上の職務を遂行するために管理技術者は次のことを心がけておく必要がある。；他に、思い当たる人物がおり、その人物が報告のために職務上来ていたのであろう。；職務を滞りなく行い、門の前で人が待つようなことはなかった。</t>
        </is>
      </c>
      <c r="J4126">
        <f>HYPERLINK("https://www.weblio.jp/content/職務", "词义详情")</f>
        <v/>
      </c>
      <c r="K4126">
        <f>HYPERLINK("https://yourei.jp/職務", "查看例句")</f>
        <v/>
      </c>
    </row>
    <row r="4127">
      <c r="A4127" t="inlineStr">
        <is>
          <t>食物</t>
        </is>
      </c>
      <c r="B4127" t="inlineStr">
        <is>
          <t>成功</t>
        </is>
      </c>
      <c r="C4127" t="inlineStr">
        <is>
          <t>読み方：くいもの
１食べる物。食物。「—にありつく」
２自分の利益のために人やものを利用すること。また、その利用される人やもの。「悪徳商法の—になる」</t>
        </is>
      </c>
      <c r="D4127" t="inlineStr">
        <is>
          <t>食物屋；食物摂取；食物調理；食物科；食物及び必要品</t>
        </is>
      </c>
      <c r="E4127" t="inlineStr">
        <is>
          <t>食品；食べ物；食材；食料品</t>
        </is>
      </c>
      <c r="F4127" t="inlineStr">
        <is>
          <t>主な食物；高い食物；どんな食物；食物ことわざ事典；食物調理科</t>
        </is>
      </c>
      <c r="G4127" t="inlineStr">
        <is>
          <t>食物連鎖；食物アレルギー；食物網；食物不足；食物学科</t>
        </is>
      </c>
      <c r="H4127" t="n">
        <v>29</v>
      </c>
      <c r="I4127" t="inlineStr">
        <is>
          <t>これが病気の原因となるので、食物の多くを生で食べることをすすめた。；ビールはパンと並んで主要な食物とされており、大量に生産・消費された。；ゴミ捨て場などの食物が豊富な環境では縄張りを形成しないこともある。；虫が混入した食物も、虫を誤って食べるおそれがあるために避けられる。；近年の研究では、低脂肪の食物と子供の成長阻害の関係が示されている。；他の種類の食物でも食べることはできるが、主食は生命の木の根である。；その力はワインを生み出すだけでなく、望むときに食物をも生み出した。；普通は食物を削りとって食べるものだが、より特殊化したものもある。；得た食物を巣の内部のやあちこちに分散して貯蔵する習性を持っている。；キリスト教には特定の食物を穢れたとする考え方はないからである。；例えばコモドドラゴンでは食物の多くを死肉から得ているとする報告もある。；特定の食物の組み合わせが禁忌となる場合があり、これを合食禁と呼ぶ。；味覚機能には関与せず、採食や食物の移動などの機械的な機能に関与する。；マレイン酸と同様、細胞は食物をエネルギーに変換するのに用いている。；環境省は、人里で動物に食物を与えることには否定的な見解を示している。；糞尿などから食物や水などを経由し、経口感染するケースが大半である。；最近では「アウトバックで手に入る食物」という意味にも発展している。；最も重要な感染源は、患者の糞便や吐瀉物に汚染された水や食物である。；また、江戸時代には高僧によって食物の名が命名されたとする伝承が多い。；道具を使わない代わりに、手から直接口に食物を運ぶ食文化である。；さらに今後は能動的に惑星以外の食物を捜すことを表明しさえした。；一部の地域では、食物を補充するために狩りや野生の植物の採集を行う。；虫卵に汚染された食物を食べたり、卵の付いた指が感染源となる場合が多い。；米は、それがバングラデシュの主要な食物・作物であることを表している。；また、フランス宮廷では食物の毒の検証に用いられたと伝えられる。；その後、食物史学者の篠田統と出会い、独立して伝承料理の研究を行う。；食物調理科の一番の魅力は卒業と同時に調理師免許が取得出来ることである。；前方か前方側面に、細胞口と呼ばれる食物の取り込み口を持つものが多い。；毒見とは、誰かに出される食物が安全であるかどうかを実際に食して確認すること。</t>
        </is>
      </c>
      <c r="J4127">
        <f>HYPERLINK("https://www.weblio.jp/content/食物", "词义详情")</f>
        <v/>
      </c>
      <c r="K4127">
        <f>HYPERLINK("https://yourei.jp/食物", "查看例句")</f>
        <v/>
      </c>
    </row>
    <row r="4128">
      <c r="A4128" t="inlineStr">
        <is>
          <t>食欲</t>
        </is>
      </c>
      <c r="B4128" t="inlineStr">
        <is>
          <t>成功</t>
        </is>
      </c>
      <c r="C4128" t="inlineStr">
        <is>
          <t>読み方：じきよく
仏語。食物に対する欲望。</t>
        </is>
      </c>
      <c r="D4128" t="inlineStr">
        <is>
          <t>食欲不振(8%)；食欲旺盛(2%)；食欲増進；食欲減退；食欲抑制</t>
        </is>
      </c>
      <c r="E4128" t="inlineStr">
        <is>
          <t>食慾；食い意地；食い気；食意地</t>
        </is>
      </c>
      <c r="F4128" t="inlineStr">
        <is>
          <t>猛烈な食欲；異常な食欲；盛んな食欲；健康な食欲；貪婪な食欲</t>
        </is>
      </c>
      <c r="G4128" t="inlineStr">
        <is>
          <t>食欲不振症</t>
        </is>
      </c>
      <c r="H4128" t="n">
        <v>29</v>
      </c>
      <c r="I4128" t="inlineStr">
        <is>
          <t>食欲が著しく無いのでもっとたくさん食べることができないからである。；この効果はニコチンの食欲抑制効果と関係があることが示唆されている。；客の食欲を満足させるよりは、好奇心を満足させる料理を出そうとした。；アントワーヌは食欲に負けてしまった自分に腹を立てているらしかった。；ところが今彼は、パリー人の方がすぐれた食欲をもってることを認めた。；一つにはそうやって翌日の食欲が旺盛であるようにしたのであった。；ときどき食欲があまりないことがあるけれども、今夜はおおいにあった。；頭を垂れている牛や、食欲のない豚を見るほどにも注意を払わなかった。；今日は朝から一杯の御飯も食べていなかったが、食欲は全くなかった。；食欲旺盛で、放置しておくと木が一本まる裸にされてしまうこともある。；こうしてほかの人が食べるのを見ると、食欲がでるといいますから。；形式からいえば、食欲や性欲のような実質的な、最も詩と遠い意志です。；そして恐ろしい胃病のために自分の食欲がなくなっているとは知らなかった。；実のところ、ジムはドラゴンの姿になってはじめて、食欲を失っている。；この時期には食欲が悪く、体重が減るために十分な調教ができなかった。；腹が減り、身体が疲れているのに、同じものだと少しも食欲が出なかった。；豆粒のような欠片を一口食べるだけで、通常の何倍もの食欲を発揮できる。；人間が生命を維持するための睡眠欲・食欲・性欲などがこれに当たる。；これ一匹でロザリーと自分の食欲をじゅうぶん満足させられるだろう。；もちろんそのためには、自分の食欲を素直に感じる訓練がなくてはなるまい。；食欲は食べているうちに出てくるので、他に出て来ようはない。；当時は食欲が低下していたが、死亡前日まで特に目立った異常はなかった。；今日やっと気がついたんですが、食欲もでて、おいしそうに食べましたよ。；健康な年若な人たちは、心配事の最中でも、食欲を失ったりはしない。；わたしは、フランス人のいうように、自分の食欲を知っているだけだもの。；ただ実際のところは、食欲不振の発表は嘘、理由付けに過ぎなかった。；だが光生物どもが、車の中和場で食欲を満たしはじめたのだとわかっていた。；かれらは宗教的な義務感から共食いをしたのであって、食欲のためではなかった。；品種名は、稲穂の実る食欲の秋の澄み渡る空をイメージして命名された。</t>
        </is>
      </c>
      <c r="J4128">
        <f>HYPERLINK("https://www.weblio.jp/content/食欲", "词义详情")</f>
        <v/>
      </c>
      <c r="K4128">
        <f>HYPERLINK("https://yourei.jp/食欲", "查看例句")</f>
        <v/>
      </c>
    </row>
    <row r="4129">
      <c r="A4129" t="inlineStr">
        <is>
          <t>食料</t>
        </is>
      </c>
      <c r="B4129" t="inlineStr">
        <is>
          <t>成功</t>
        </is>
      </c>
      <c r="C4129" t="inlineStr">
        <is>
          <t>読み方：くいりょう
１食物にするもの。食べ物。
２食費。食い扶持(ぶち)。</t>
        </is>
      </c>
      <c r="D4129" t="inlineStr">
        <is>
          <t>食料生産；食料供給；食料調達；食料庫；食料源</t>
        </is>
      </c>
      <c r="E4129" t="inlineStr">
        <is>
          <t>食事；テーブル；料理；膳；時刻表</t>
        </is>
      </c>
      <c r="F4129" t="inlineStr">
        <is>
          <t>十分な食料；必要な食料；貴重な食料；食料資源；食料等</t>
        </is>
      </c>
      <c r="G4129" t="inlineStr">
        <is>
          <t>食料品店；食料不足；食料自給率；食料品売場；食料安全保障</t>
        </is>
      </c>
      <c r="H4129" t="n">
        <v>29</v>
      </c>
      <c r="I4129" t="inlineStr">
        <is>
          <t>多くの川では漁業も盛んであり、重要な食料供給源の一つとなってきた。；この遺跡は農耕社会出現前の食料採集民の戦争の確実な例とされている。；そのため当艦のクルーは艦長をはじめ、主に自然由来の食料を使用する。；経済が未発達なカンボジアでは、食料供給の大部分を川に依存している。；食料が不足していると人口が減少すると同時に施設が破壊されることがある。；現代でも食料・飲み水・農業・輸送などあらゆる面で国民生活を支えている。；そうしなければ支配の安定と食料の確保が困難であったためである。；しかし外出することが許されなかったためこの食料に頼るしかなかった。；低い食料生産と恒常的な品不足で、経済は改善の徴候が見られなかった。；また、彼らは健脚で知られ、馬は移動手段というよりむしろ食料だった。；この間は、各々の個人や集団などで独自に確保した水と食料が必要である。；アユタヤのあったタイ中央平原部では食料に事欠かなかった地域である。；ここから彼らは自分達の食料を消化するのに役立つ微生物叢を取得する。；戦争が開始されると、朝鮮・明軍・日本軍が食料の現地調達を行った。；食事の話ばかりになったのは食料がますます減らされたためだった。；動物的生活は、移動をしながら外部から食料を取るやりかたのことである。；有名な例外は、家族は自分の食料を育てるべきだと教える神農であった。；電化製品を買って貯まったポイントが食料品等で消費されることになる。；しかし空気も食料も幾ばくかは余裕があり、当分は生存が可能ではある。；食料の乏しいこの村では老いても揃っている歯は恥ずかしいことだった。；肉のみを食料とする種も多く、ほとんどの地域で食物連鎖の頂点にいる。；事件から約半年後、とある男が食料を探しているところから物語は再開する。；それまで全ての形態の米の輸入はインド食料公社によって独占されていた。；芋類を切断し地中に埋めると、再生し食料が得られることが背景にある。；彼らは食料を獲得してから消費するまで何度も何度も分配が繰りかえされる。；人間が生きていくためには空気、水、食料、それに適当な温度が必要である。；食料のためじゃなく、誰がリーダーに相応しいかを教えるために戻るんだ!；それらは食料確保のためでもあるが、趣味としても行なわれている。；戦時中は食料を確保するため、自分で畑を耕して野菜を作っていたという。</t>
        </is>
      </c>
      <c r="J4129">
        <f>HYPERLINK("https://www.weblio.jp/content/食料", "词义详情")</f>
        <v/>
      </c>
      <c r="K4129">
        <f>HYPERLINK("https://yourei.jp/食料", "查看例句")</f>
        <v/>
      </c>
    </row>
    <row r="4130">
      <c r="A4130" t="inlineStr">
        <is>
          <t>食料品</t>
        </is>
      </c>
      <c r="B4130" t="inlineStr">
        <is>
          <t>成功</t>
        </is>
      </c>
      <c r="C4130" t="inlineStr">
        <is>
          <t>読み方：しょくりょうひん
食料とする品物。食品。普通は、肉類・野菜類・果実類など主食品以外のものをさす。「—店」</t>
        </is>
      </c>
      <c r="D4130" t="inlineStr">
        <is>
          <t>食料品屋(4%)；食料品売り場(3%)；食料品スーパー；食料品室；食料品製造</t>
        </is>
      </c>
      <c r="E4130" t="inlineStr">
        <is>
          <t>食品；食物；食材</t>
        </is>
      </c>
      <c r="F4130" t="inlineStr">
        <is>
          <t>本社を置く食料品；地下食料品；食料品商；食料品価格；食料品小売</t>
        </is>
      </c>
      <c r="G4130" t="inlineStr">
        <is>
          <t>食料品売場</t>
        </is>
      </c>
      <c r="H4130" t="n">
        <v>29</v>
      </c>
      <c r="I4130" t="inlineStr">
        <is>
          <t>食料品ではあるものの、家、車、または人に卵が投げられることがある。；店の外に出る途中、盆や食料品をしまってある棚のそばに立ちどまった。；少し先の河岸の食料品屋の前で、赤い車で待っている恋人に会うためです。；私はこの列べ立てに於て、私が名前を知っている食料品だけをあげた。；すると、箱が出てきて中にはそうめんとかの食料品が入っていました。；果たして朝比奈さんが俺を連れて行ったのも地下の食料品売り場だった。；たとえば基礎的な食料品の価格が上がっても、その需要はあまり減少しない。；非常食と似ているがより範囲の広い食料品を対象としたものである。；ガントブールを発見した食料品屋のラガーキストにも問題はないようだ。；長期の旅行を計画している者が、その直前に大量の食料品を購入するはずがない。；三千人といえば、その毎日の食料品を考えてみただけでも大変な費用だった。；高品質で安全な日本の食料品は、上海の富裕層からは高い支持を受けた。；小さく店と店との間にはさまっていわば一間間口をはって居る食料品や。；知らなきゃ教えてやるがな、おまえの盗みにはいったここは食料品屋だぜ。；食料品を中心とした日用品が多いので、生活の本拠の近くの店で買う。；メンドーザは、ビルが食料品を買いに出かけているものと思っていたのです。；私がはじめて歌に作ったのは、まさに通りの向こう側の食料品屋そのものであった。；その人は、食料品屋の馬車に乗せてもらって、目ざす町へつきました。；約300席のイートインスペースを有する食料品中心の店舗となっている。；ドイツでは酒類も食料品の一部と考えられ特別の免許制度等はとられていない。；また、他の店舗に迷惑をかけないために、食料品中心の店舗にするともした。；このほかに、昔の食料品製造、特にパンの製造方法について説明している。；これにより、この地域からイングランドへの食料品の輸出が始まった。；食料品は水産加工品など、電気機械はICなどの電子機械等が主である。；ここには主に食料品のマーケットや専門店センターが設けられている。；ユニマートは合併後に付与された食料品主体の小型店の名称である。；輸入は食料品や木材が多く、貿易額ではロシアがその半分を占める。；わたくしは三日目ぐらいには散歩の途すがら食料品を買わねばならない。；そして食料品相談の過半が今や安全や品質のことで占められています。</t>
        </is>
      </c>
      <c r="J4130">
        <f>HYPERLINK("https://www.weblio.jp/content/食料品", "词义详情")</f>
        <v/>
      </c>
      <c r="K4130">
        <f>HYPERLINK("https://yourei.jp/食料品", "查看例句")</f>
        <v/>
      </c>
    </row>
    <row r="4131">
      <c r="A4131" t="inlineStr">
        <is>
          <t>諸君</t>
        </is>
      </c>
      <c r="B4131" t="inlineStr">
        <is>
          <t>成功</t>
        </is>
      </c>
      <c r="C4131" t="inlineStr">
        <is>
          <t>読み方：しょくん
主に男性が、対等かそれ以下の多数の相手に対して、親しみを込めていう語。きみたち。みなさん。「ここで—に一言注意しておく」「満場の紳士淑女—」「クラスの—によろしく」</t>
        </is>
      </c>
      <c r="D4131" t="inlineStr">
        <is>
          <t>諸君自身；諸君全員；諸君ハ；諸君ら三；諸君ニ</t>
        </is>
      </c>
      <c r="E4131" t="inlineStr">
        <is>
          <t>君たち；あなたたち；皆様；あなたがた；君ら</t>
        </is>
      </c>
      <c r="F4131" t="inlineStr">
        <is>
          <t>学生諸君；紳士諸君；青年諸君；塾生諸君；市民諸君</t>
        </is>
      </c>
      <c r="H4131" t="n">
        <v>29</v>
      </c>
      <c r="I4131" t="inlineStr">
        <is>
          <t>わが読者諸君のうち誰ひとり人間の全生涯を生き終えた人はいないのだ。；諸君のように大きな変化の時代に生まれた人は非常に幸福であります。；諸君は共産主義の思想がたちまちにして実現されんとするのを見るだろう。；諸君は諸君の発明の結果がどんなであったかを明らさまに話してくれ。；それとは反対に、私は、諸君をごく真面目な心を持っているものとする。；かくの如き重大なる責任はこれを誰が持つかといえば、無論諸君である。；しかし、愛読者諸君は、島に残された人々の運命を知りたいに違いない。；この道への諸君のあらゆる努力が立派にその効果をもたらすであろう。；が、労働者階級の青年諸君にものを言うのには簡単に言ってもよく分る。；電車やバスなどの中で、青年諸君は病人でない限り必ず起つてゐること。；今こそわれわれは生命尊重以上の価値の所在を諸君の目に見せてやる。；もつと他の諸君の作も批評したいが紙面の都合で次の機会に譲つて貰ふ。；諸君はこの学校を出た後には相当の地位を占められるに相違ない。；諸君のうちには嘗てこの場所で私と語り合った方が相当おありのはずです。；はたしてしからば、いったいどうすればいいのかと諸君は言うであろう。；ところが、諸君の教育もやはり社會によつて決定されるのではないか。；もし諸君がマズイ出来のを見つけたら、それは僕の作だと思ってくれ。；そのひとりが、だれであったか、読者諸君は、もうおわかりでしょうね。；こうしたことは諸君が人民の中に行けば必ず目撃し得ることである。；諸君は歩一歩ごとにこの思想を確かめる証拠を自分で見出すであろう。；だが、読者諸君、悪魔は彼の約束を少しだってたがえはしなかったのだ。；その答はここには書かないで、小説の形にした上で諸君に答えようと思う。；もし諸君が我々を助けに来なければ、明日には諸君らの国が奪われるだろう。；諸君は窓から野や森の景色をながめて、自然の美しさを鑑賞するであろう。；諸君が教育を施すその社會的諸關係によつて決定されるのではないか。；この意味から僕は文壇諸君のぼんやりした民本主義や人道主義が好きだ。；諸君のような人ばかりなら、幾人居たって私は心配も何もしないが。；なお実験室で親しく交際した私の特別な学生諸君にも感謝の意を表する。；諸君が、既に、それを体得してゐるといふなら、また何をか云はんやだ。</t>
        </is>
      </c>
      <c r="J4131">
        <f>HYPERLINK("https://www.weblio.jp/content/諸君", "词义详情")</f>
        <v/>
      </c>
      <c r="K4131">
        <f>HYPERLINK("https://yourei.jp/諸君", "查看例句")</f>
        <v/>
      </c>
    </row>
    <row r="4132">
      <c r="A4132" t="inlineStr">
        <is>
          <t>助言</t>
        </is>
      </c>
      <c r="B4132" t="inlineStr">
        <is>
          <t>成功</t>
        </is>
      </c>
      <c r="C4132" t="inlineStr">
        <is>
          <t>読み方：じょげん
［名］(スル)助けになるような意見や言葉を、そばから言ってやること。また、その言葉。助語。じょごん。「友人として—する」</t>
        </is>
      </c>
      <c r="D4132" t="inlineStr">
        <is>
          <t>助言者(6%)；助言役；助言通り；助言機関；助言委員会</t>
        </is>
      </c>
      <c r="E4132" t="inlineStr">
        <is>
          <t>指導；提案；案内；勧め；示唆</t>
        </is>
      </c>
      <c r="F4132" t="inlineStr">
        <is>
          <t>ご助言；有益な助言；法的助言；貴重な助言；必要な助言</t>
        </is>
      </c>
      <c r="H4132" t="n">
        <v>29</v>
      </c>
      <c r="I4132" t="inlineStr">
        <is>
          <t>その後しばらくして姉妹の救出はK子から行った方がよいと助言をした。；深刻な心疾患を避けるためにすぐにでも実験を中止するよう助言した。；経験者の知識・助言・支援などは離脱症状からの離脱の助けになるであろう。；引退後は後輩歌手に一切の指導・助言を行わなかったのも特徴的であった。；政治に関わることはなかったが、何か問題が起こるたびに助言を求められた。；そして現地に到着するとスキピオの助言に逆らって直ちに攻撃を命じた。；これらの権限は内閣の助言に基づき行使され、内閣の承認を必要とする。；また関係機関との調整やアザラシが死亡した場合の対応なども助言していた。；奔放な容大も兼子の助言だけはこののち聞き入れるようになったという。；この戦いでは同行していたポリュビオスも小スキピオに助言している。；のちに主要貢献者の助言もあり、公式なGNUプロジェクトとなった。；同研究所に通っていた金山明の助言により抽象画に興味を持つようになる。；星野の助言で達也の実母・桂子の住所や結婚して子供がいることが判明。；在位の中で、グスタフ・アドルフが助言を求めずに独自にした判断もある。；この際、最後の段階ではバリー・メイザーの助言があったと言われる。；彼女の家で眠りについた主人公は、謎の女性から助言を受ける。；日本中の現場にも広く足を伸ばし技術指導や助言も行っている。；何人もの貴族が宮廷で王の助言者、そして高位聖職者を勤めていた。；彼はゴーディの才能を評価し、作家になる夢をあきらめないよう助言する。；その中の1つで委員会を強化し大統領にタイムリーな助言を提供することがあった。；女紅場に勤務していたときの経験を生かし、同志社の運営に助言を与えた。；新規事業の立ち上げやイノベーションマネジメントに関わる助言を行う。；NISTの所長は大統領が指名し、上院の助言と同意を得て任命する。；カリオストロは主人公に知識や助言を与えるメンター的な役回りだった。；性的関係はなくなったものの、彼女は国王から深く信頼され有力な助言者となった。；首相は国王への助言・承認のもとで下院を解散することができる。；しかし母の助言によりすぐに実家を出て、ほどなくして結婚することができた。；キルケーの助言では、スキュラを選ぶべきである、ということであった。；この時コナンに「世の中には謎のままにしておいた方がいいこともある」と助言した。</t>
        </is>
      </c>
      <c r="J4132">
        <f>HYPERLINK("https://www.weblio.jp/content/助言", "词义详情")</f>
        <v/>
      </c>
      <c r="K4132">
        <f>HYPERLINK("https://yourei.jp/助言", "查看例句")</f>
        <v/>
      </c>
    </row>
    <row r="4133">
      <c r="A4133" t="inlineStr">
        <is>
          <t>徐行</t>
        </is>
      </c>
      <c r="B4133" t="inlineStr">
        <is>
          <t>成功</t>
        </is>
      </c>
      <c r="C4133" t="inlineStr">
        <is>
          <t>読み方：じょこう
［名］(スル)電車や自動車などが、速力を落としてゆっくりと進むこと。「安全確認のため—する」「—運転」</t>
        </is>
      </c>
      <c r="D4133" t="inlineStr">
        <is>
          <t>徐行運転(16%)；徐行する(9%)；徐行区間；徐行速度；徐行しはじめ</t>
        </is>
      </c>
      <c r="F4133" t="inlineStr">
        <is>
          <t>徐行解除；ゆっくりと徐行</t>
        </is>
      </c>
      <c r="H4133" t="n">
        <v>29</v>
      </c>
      <c r="I4133" t="inlineStr">
        <is>
          <t>なお、これらの方法は一旦停止して準備した後、必ず徐行で行っている。；ちなみに、この区間は、列車はポイント通過のために徐行運転していた。；福田君は車を徐行させおれは右側の窓に顔をおしつけて入口を観察した。；さらに釣り人が通行している場合があるため、徐行で運転した方がよい。；こんどは後ろから来たジープが一台徐行しはじめ、一行と動きを共にした。；二十メートルほど距離を置き、濃紺のワゴン車が徐行運転でついてくる。；おそらく数日前から、徐行運転で通過しなければならなくなっていたのだろう。；徐行は日本独自の規制であるが、類似の最高速度規制は世界中で見られる。；当日現場を通行する列車は線路内に人が立ち入る危険があるため徐行する。；どの車も徐行してクラクションを鳴らし、健児のマシンを見つめている。；上野駅を出てしばらくの間、ポイント上を通過するなど徐行運転を続ける。；車を止めるかなと思い、男の脇を徐行してみたが、その気はなさそうだった。；そのさい、軍隊が馬車の前を徐行したため、われわれの進行がとめられた。；鉄橋の修理はまだ完全には終っていないらしく、貨物列車が徐行していた。；権藤は賀谷へ五分おきの連絡をいれながら、坂道にワゴンを徐行させた。；島村と駒子とのことをもう知っている運転手はなんとなく徐行したらしい。；徐行する車の列の屋根から屋根へ飛び移ってゆく人影がちら、と目に映った。；門扉の開くのを待つあいだ、馬車は徐行しなければならないという。；徐行しながら車を進めると、店番をしていた人々がわざわざ表へと出てくる。；なお、自転車は引き続き歩道を徐行して走行することも可能である。；私はなるべく長い間彼女を見ていたかったので最徐行をしていた。；テレビの画面では早朝の人気のない街中を白いボディーの車が徐行している。；広い駐車場に入った晴彦は、そのまま駐車場のいちばん奥まで徐行していった。；木炭屋のところが少しカーブになっているので、トラックは徐行する。；なお、紅葉の最盛期の昼間時間帯は大谷川を渡る区間で徐行運転を行う。；許可する場合、必要に応じて徐行や夜間走行等の条件を付けることができる。；隊員たちが二手に分かれ、その合間を、一台のバギーカーが徐行してくる。；といっても東京港のごちゃごちゃしたところを出るまでは徐行運転。；わずかな記念品は、あとから徐行列車で送られるはずだった。</t>
        </is>
      </c>
      <c r="J4133">
        <f>HYPERLINK("https://www.weblio.jp/content/徐行", "词义详情")</f>
        <v/>
      </c>
      <c r="K4133">
        <f>HYPERLINK("https://yourei.jp/徐行", "查看例句")</f>
        <v/>
      </c>
    </row>
    <row r="4134">
      <c r="A4134" t="inlineStr">
        <is>
          <t>諸国</t>
        </is>
      </c>
      <c r="B4134" t="inlineStr">
        <is>
          <t>成功</t>
        </is>
      </c>
      <c r="C4134" t="inlineStr">
        <is>
          <t>読み方：しょこく
多くの国々。いろいろな国。「—を行脚する」「近隣—」</t>
        </is>
      </c>
      <c r="D4134" t="inlineStr">
        <is>
          <t>諸国間；諸国行脚；諸国同様；諸国御；諸国連合</t>
        </is>
      </c>
      <c r="E4134" t="inlineStr">
        <is>
          <t>各国；国々；列国</t>
        </is>
      </c>
      <c r="F4134" t="inlineStr">
        <is>
          <t>東南アジア諸国；ラテンアメリカ諸国；列強諸国；湾岸諸国；中南米諸国</t>
        </is>
      </c>
      <c r="G4134" t="inlineStr">
        <is>
          <t>諸国漫遊；諸国巡見使；諸国里人談；諸国民の富；諸国百物語</t>
        </is>
      </c>
      <c r="H4134" t="n">
        <v>29</v>
      </c>
      <c r="I4134" t="inlineStr">
        <is>
          <t>プロテスタント諸国の教会からの援助は続いていて交流も盛んである。；アフリカ諸国の政治的な独立が進んだものの、経済的な自立は困難だった。；この為に赤道ギニアの文学はアフリカ諸国の中でも独特なものとなっている。；中国やその周辺の東アジア諸国で信仰・研究されていた宗教、または学問。；全てのアフリカ諸国が平和裏に独立を獲得できたわけではない。；これは南アメリカ諸国のスペイン支配からの解放が始まったことを意味した。；ほとんどの連合軍諸国は、自らの作戦及び戦闘を様々な名称で呼んだ。；長らく近隣の湾岸協力会議の参加諸国と連携して国際関係を築いてきた。；しかしこの時、タイファ諸国はムラービト軍を積極的に支援しなかった。；この要求にこたえつつ、列強諸国の力を利用して袁世凱は統治を行った。；字とは、中国など東アジアの漢字圏諸国で使われる人名の一要素である。；第十一代天皇の活目入彦は諸国に多くの池溝を開いて農業を盛んにした。；これはアフリカ諸国だけでなく、世界でも高い方に分類される。；世界創造紀元はロシアなどの正教会諸国でも近代に至るまで使用されていた。；連合諸国にいわゆる民主主義はドイツ至上主義に反対する立場である。；近年はG8諸国を中心に先進国との外交活動を積極的に推進している。；現在ポルトガル語を公用語としているのは、以下の諸国と地域である。；しかしEU諸国とはコソボの地位問題などで意見の相違も見られる。；東欧社会主義諸国の共産主義政党の中でも特に親ソ連の立場が強かった。；日本や中国、韓国など東アジア諸国にはほぼ共通の校歌の概念がある。；しかしアメリカほどの国力がない他の諸国には強硬手段を剥き出しにした。；アフリカ諸国が最大の貿易相手国だが、EUとの結びつきも強い。；第二次世界大戦後に成立した東欧社会主義諸国でもこの制度は導入された。；この料理はアンゴラのみならず中部アフリカ諸国でも食されている。；逆に輸入額が多いのは日本やアフリカ諸国である。；その後、広州などを開放して東南アジア諸国や英仏などの交易を許した。；諸国は課税再開を要請したが、結局即位10年まで課税停止は延長された。；東南アジア諸国では、名称はさまざまだが同様の質量の単位が使われている。；そのため他のアジア各国やアフリカ諸国と比べて文化が十分成熟の域に達していると言える。</t>
        </is>
      </c>
      <c r="J4134">
        <f>HYPERLINK("https://www.weblio.jp/content/諸国", "词义详情")</f>
        <v/>
      </c>
      <c r="K4134">
        <f>HYPERLINK("https://yourei.jp/諸国", "查看例句")</f>
        <v/>
      </c>
    </row>
    <row r="4135">
      <c r="A4135" t="inlineStr">
        <is>
          <t>書斎</t>
        </is>
      </c>
      <c r="B4135" t="inlineStr">
        <is>
          <t>成功</t>
        </is>
      </c>
      <c r="C4135" t="inlineStr">
        <is>
          <t>読み方：しょさい
個人の家で、読書や書き物をするための部屋。書室。</t>
        </is>
      </c>
      <c r="D4135" t="inlineStr">
        <is>
          <t>書斎兼；書斎机；書斎へ入；書斎ニ；書斎裡</t>
        </is>
      </c>
      <c r="E4135" t="inlineStr">
        <is>
          <t>書院；書房；書屋；文房</t>
        </is>
      </c>
      <c r="F4135" t="inlineStr">
        <is>
          <t>小さな書斎；静かな書斎；狭い書斎；薄暗い書斎；広い書斎</t>
        </is>
      </c>
      <c r="G4135" t="inlineStr">
        <is>
          <t>書斎の死体</t>
        </is>
      </c>
      <c r="H4135" t="n">
        <v>29</v>
      </c>
      <c r="I4135" t="inlineStr">
        <is>
          <t>一方のモートンはやきもきしながら書斎の中を行ったり来たりしていた。；それは小さな黒い泥の塊、書斎の机にあったものとそっくりであった。；三千子さんの書斎の棚の上に、首だけの青い像がのっていたというのだ。；今日の午後、私が外出したあとで誰かが二階の書斎へ上りはしなかったか。；また宅地開発されそうになった志賀直哉邸跡を購入して書斎を移築した。；その仕事を始めているうちに、雪が来て幾度も書斎の外の庭を埋めた。；明智は書斎を一渡り眺めてから、外の廊下の端の階段を上って行った。；この後、書斎の整理管理を行っていたとき、経典を干す作業をしていた。；岸本はまたその頃の記憶を階下から自分の書斎へ持って来ることも出来た。；書斎の会話をすべて聞くためには、布張りの扉を開く必要があった。；その話は、一つ一つ屋敷の書斎にある小物たちにまつわる物語であった。；これらを右に見て長廊下を五間ほど行くと、六畳と八畳の部屋が今の書斎である。；召使達に聞かれることを恐れて、先に立って、二階の書斎へ入って行った。；丁度其時、出逢頭に女中が一通の封書を手にして彼の書斎へ入って来た。；この詩集の作品は、家の中で一番よい部屋を書斎にして書かれたものである。；この二階が以前の高輪の家の近くに岸本の仮の書斎としてあったところだ。；書斎へ上ったり店へ下りたりして、いつもの癖で無暗に髪の毛を掴んだ。；雨降る日、十郎が書斎で書きものをしていると遊び仲間の詩人が現れた。；水明楼へ来る度に、私は先生の好く整理した書斎を見るのを楽みにする。；君は彼の時僕の書斎に掛けてあった大きな建物の写真を見たろう?；彼の書斎がほぼ完全なかたちでエステンセ書庫館の中に保存されている。；書斎の丸窓の側に、ほんの二、三本の竹があればよいと思つてゐる。；染井の須永先生の書斎に通されたのは、もう九時を廻っていたのでした。；庭は窓際の書斎へ通じており、その窓が開いているのを知っていた。；ブレイクの書斎は南西の大きな角部屋で、南の窓から前庭を見下ろせた。；僕はお父さんの書斎から地図を持って来て客間の唐机の上に広げた。；同年4月23日には福岡・書斎りーぶるでもこの3人でライブを行った。；書斎の後ろの小部屋へ連れてってくれ、君が案内された部屋だ。；書斎は二重扉になっており、よく聞こえそうになかったが、内扉は開いていた。</t>
        </is>
      </c>
      <c r="J4135">
        <f>HYPERLINK("https://www.weblio.jp/content/書斎", "词义详情")</f>
        <v/>
      </c>
      <c r="K4135">
        <f>HYPERLINK("https://yourei.jp/書斎", "查看例句")</f>
        <v/>
      </c>
    </row>
    <row r="4136">
      <c r="A4136" t="inlineStr">
        <is>
          <t>所在</t>
        </is>
      </c>
      <c r="B4136" t="inlineStr">
        <is>
          <t>成功</t>
        </is>
      </c>
      <c r="C4136" t="inlineStr">
        <is>
          <t>読み方：しょざい
１物事が存在する所。ありか。また、人が居る場所。「責任の—をはっきりさせる」「犯人の—は不明です」
２すること。行為。仕事。「—がなくて退屈している」
３身分。地位。境遇。
「—こそ出女(でおんな)なれ、お大名へも知られた関の小まんがてて親を」〈浄・丹波与作〉</t>
        </is>
      </c>
      <c r="D4136" t="inlineStr">
        <is>
          <t>所在する公立(3%)；所在なげ；所在する県立高等学校；所在する市立；所在する神社</t>
        </is>
      </c>
      <c r="E4136" t="inlineStr">
        <is>
          <t>ところ；場所；位置；所；場</t>
        </is>
      </c>
      <c r="F4136" t="inlineStr">
        <is>
          <t>所在する縄文時代；所在する寺院；所在する超高層マンション；所在するショッピングセンター；所在する福岡市地下鉄空港線</t>
        </is>
      </c>
      <c r="G4136" t="inlineStr">
        <is>
          <t>所在不明；所在無；所在無く；所在不明高齢者</t>
        </is>
      </c>
      <c r="H4136" t="n">
        <v>29</v>
      </c>
      <c r="I4136" t="inlineStr">
        <is>
          <t>上位20位の中で大半を占めるのは東京都と埼玉県に所在する駅である。；戦後まで横浜市の商業の中心地であった伊勢佐木町の南西側に所在する。；このため、配信記事の責任の所在を巡ってトラブルが起こることもある。；なお、廃止された南海平野線の中野停留場も本駅の近くに所在していた。；だがセントクレア本人の遺体は発見されず、所在も不明のままだった。；近隣には国公私立問わず、中学校・高等学校・専門学校が多く所在する。；アイルランドの西の端に所在しているとされるド田舎の小さな島。；日本のドーム球場としては2番目に建造されており、最も南に所在する。；ロシアは5月にバルト海に所在する艦船群の極東派遣を決定・発表した。；ハムはこれ以後も兵舎所在都市ではあったが、防衛施設を持たなかった。；奈良県に所在する奈良県全域を放送対象とする唯一のラジオ局でもある。；線路西側に所在する駅舎西側とホーム間は跨線橋で連絡している。；同市の最南端にある駅でもあり、西鉄で唯一博多区に所在する駅である。；初回放送時のフィルムは経年劣化が著しい上に所在が不明となっている。；こうして四散した作品には現在も所在の分からないものもある。；なお同じ北陸内に所在する石動信用金庫でも同様のサービスを実施している。；長崎県内では所在・管轄する地域を示す郡名の略称として南高とも呼ばれた。；駅舎は芝山町と成田市との境界上に所在するが、所在地は芝山町である。；基地自体が厚木付近に所在している設定であり、リアルな描写となっている。；車庫所在駅である関係で当駅を始発または終着とする列車が設定されている。；上記以外にも、かつては石川銀行や岐阜相互銀行の支店も所在していた。；近隣に所在するゆかりの寺である西方寺には、標本が保存されている。；専用道の延伸時に、旧駅舎の所在していた場所に設置された。；所在は早く失われ、江戸時代末になって現在の大内山陵に治定された。；また、GSSPに内定した千葉セクションが所在することでも知られる。；静岡県内にある東海道本線の駅としては唯一、町に所在する駅である。；この他の市内に所在する集配業務を行わない郵便局は、以下の通り。；当線は小山駅のみが栃木県内にあり、残りの駅は全て茨城県内に所在する。；なおイリヤとの間には二人の子供がいるが、親権の所在などは明らかにされていない。</t>
        </is>
      </c>
      <c r="J4136">
        <f>HYPERLINK("https://www.weblio.jp/content/所在", "词义详情")</f>
        <v/>
      </c>
      <c r="K4136">
        <f>HYPERLINK("https://yourei.jp/所在", "查看例句")</f>
        <v/>
      </c>
    </row>
    <row r="4137">
      <c r="A4137" t="inlineStr">
        <is>
          <t>所持</t>
        </is>
      </c>
      <c r="B4137" t="inlineStr">
        <is>
          <t>成功</t>
        </is>
      </c>
      <c r="C4137" t="inlineStr">
        <is>
          <t>読み方：しょじ
［名］(スル)
１身につけて持っていること。「大金を—する」「—品」
２法律で、物を事実上支配していると認められる状態。
→所有［用法］</t>
        </is>
      </c>
      <c r="D4137" t="inlineStr">
        <is>
          <t>所持する(10%)；所持者(8%)；所持金(5%)；所持できる；所持数</t>
        </is>
      </c>
      <c r="E4137" t="inlineStr">
        <is>
          <t>持つ；所有；有する；保持；保有</t>
        </is>
      </c>
      <c r="F4137" t="inlineStr">
        <is>
          <t>麻薬所持；銃所持；薬物所持；多数所持；マリファナ所持</t>
        </is>
      </c>
      <c r="H4137" t="n">
        <v>29</v>
      </c>
      <c r="I4137" t="inlineStr">
        <is>
          <t>所持していると逮捕される可能性もある場合があり注意が必要である。；ただし銃の国内所持数が、かなりの数に及ぶ可能性が指摘されている。；もしその席の指定券を所持する乗客が来たら別の席に移動することになる。；新規にプレイ開始を行ったプレイヤーは基本カードのみを所持している。；義体と担当官の所持する銃はそれぞれ共通性があることを示している。；逆に、合法に所持・携帯していても使用に不法性を問われることもある。；自転車は所持しているようであるが学校へは基本的に徒歩で通学している。；片岡鶴太郎は実際には免許証を所持していないが教習所指導員を演じた。；技はWPを消費し、技と対応した所持武器を持っていれば使用できる。；次のステージに進む入口を開くには、一定のお金を所持していないとならない。；城下町の何人かの人物はネームカードと呼ばれるものを所持している。；日本国内では少数ながら狩猟用途で所持許可されている個体もある。；また、所持できるスタイルの数は前作の2つまでから1つだけになった。；大きなラッパ型の銃を所持しており、それを使い、コング達を攻撃する。；また、射殺した警官が所持していた拳銃を女性行員に命じて奪わせた。；同銃は民間ではフルオート銃の所持が許可された者だけが購入・所持できる。；またゾーンスタート時の画面で現在所持しているアイテムの一覧が表示される。；既に所持しているアイテムを取得した場合は10000点加算される。；一つだけ所持することができ、入手時に手持ちのアイテムと入れ替わる。；兄がB級ライセンスを所持していた影響から自動車の運転を得意としている。；ロールの取得には、所持しているキャラを一度でも仲間にする必要がある。；現在では航空機の信頼性が向上したため所持は認められていない。；ミスする度に招き猫とひょっとこの効果が消失し、所持金が半分になる。；刀系のカードを所持していると、その強さに応じて攻撃力が上がる。；最初はアゲハ以外のメダル戦士が所持していたが日本チームに託された。；すでに所持している装備より弱いものを売った場合には持ち替えないことがある。；メトロパス所持者でないと使用できず、また全ての駐車場には屋根がない。；当初この警察隊は拳銃を所持しなかったが、最終的には所持することになった。；近くには棒を所持していない人が数名いて、その様子を眺めているか待機している。</t>
        </is>
      </c>
      <c r="J4137">
        <f>HYPERLINK("https://www.weblio.jp/content/所持", "词义详情")</f>
        <v/>
      </c>
      <c r="K4137">
        <f>HYPERLINK("https://yourei.jp/所持", "查看例句")</f>
        <v/>
      </c>
    </row>
    <row r="4138">
      <c r="A4138" t="inlineStr">
        <is>
          <t>女史</t>
        </is>
      </c>
      <c r="B4138" t="inlineStr">
        <is>
          <t>成功</t>
        </is>
      </c>
      <c r="C4138" t="inlineStr">
        <is>
          <t>読み方：じょし
《昔、中国で、記録の事務を扱った女官の称から》
１社会的地位や名声のある女性を敬意を込めていう語。また、その女性の名前に添えて敬意を表す語。
２昔、文書の事務を扱った女官。</t>
        </is>
      </c>
      <c r="D4138" t="inlineStr">
        <is>
          <t>女史自身；女史箴；女史碑</t>
        </is>
      </c>
      <c r="F4138" t="inlineStr">
        <is>
          <t>一葉女史；柴田女史；五十川女史；黒田女史；クリスティ女史</t>
        </is>
      </c>
      <c r="H4138" t="n">
        <v>29</v>
      </c>
      <c r="I4138" t="inlineStr">
        <is>
          <t>妙子の云うのには、玉置女史もそんなに長く行っているつもりではない。；その女性はリース女史のアメリカ生活からは思い浮かばないでしょうよ。；パリに着くと突然、どうしてか分らないがU女史は結婚したことを知った。；その時私は女史がこのような事を知っているのを非常に喜んだ。；あたしの考えているようなことを言ってくれたのは、黒田女史だった。；実際は、女史は財産を相続する年齢に達する前に亡くなったんですからね。；ベティ・フリーダン女史は、写真で見た通りの、目の大きな人であった。；S女史は、あんな失礼をぶちかました私に仕事を持ってきてくれたのだ。；少年の口からその日の予定を聞いた女史は、気づかわしそうに言った。；だが老女史がその私の決心をからかうようにこう吟じられているのだ。；女史は人を支配して、自分の力を試してみるのが愉快だったのでした。；少しして、二階のカメラの一台が、階段を上ってくる女史の姿をとらえる。；同じ境内には1922年に建立された「一葉女史碑」も建てられている。；それが名霊媒の岩竹女史であることは、会員席からのささやきで知れた。；彼がエリザベス・サウスウェル女史に子を産ませたことは有名な話である。；けれど、母がなくなってから、女史の肩にまた重荷がかかってきました。；また私は他の探偵小説家たちの持っていない女史の要素に敬服しております。；ある時若い画家が女史を訪れて来て、肖像画を描かせて呉れと頼んだ。；女史が元の席へ戻ったので、僕はさっきの話のつづきをしてくれるよう頼んだ。；お魚女史は嵐の中を何やら大きなフロシキ包みをブラ下げてきたのである。；かうした貧しい中にも、景山女史が大切に持つてゐた軸物がありました。；山川菊栄女史はどういう風に見られたか、それは残念ながら私は見なかった。；そして一葉女史と海舟旦那を結ぶラインに、何かあると思っているわ。；二人もわれわれに気がつき、ドライバー女史は手をふって挨拶を送った。；あの園遊会の晩、たしかに女史は右手で日本の茶をたてていたように思います。；その内の一本が一葉女史への接触を命じたものだった。；鏡を見ると柴田女史が身悶えしていて、その上に跨って笑う私がいた。；「ちょっと」 声をかけてきたのは、クラス委員の黒田直子女史だった。；その間でいちばん早くきげんを直して相好を変えたのは五十川女史だった。</t>
        </is>
      </c>
      <c r="J4138">
        <f>HYPERLINK("https://www.weblio.jp/content/女史", "词义详情")</f>
        <v/>
      </c>
      <c r="K4138">
        <f>HYPERLINK("https://yourei.jp/女史", "查看例句")</f>
        <v/>
      </c>
    </row>
    <row r="4139">
      <c r="A4139" t="inlineStr">
        <is>
          <t>女子</t>
        </is>
      </c>
      <c r="B4139" t="inlineStr">
        <is>
          <t>成功</t>
        </is>
      </c>
      <c r="C4139" t="inlineStr">
        <is>
          <t>読み方：おなご
《「おんなご」の音変化》
１女。女性。
２女の子供。女の子。
３女中。下女。
「高島屋の—に呼びかけられて」〈浮・一代男・七〉
[補説] 現在、多く東北地方や関西で使われる。</t>
        </is>
      </c>
      <c r="D4139" t="inlineStr">
        <is>
          <t>女子ダブルス(3%)；女子選手(2%)；女子社員(2%)；女子大学教授；女子高校</t>
        </is>
      </c>
      <c r="E4139" t="inlineStr">
        <is>
          <t>女；娘；女性；少女；姉</t>
        </is>
      </c>
      <c r="F4139" t="inlineStr">
        <is>
          <t>巫女子ちゃん；女子世界；女子高等学校；女子中高生；元女子</t>
        </is>
      </c>
      <c r="G4139" t="inlineStr">
        <is>
          <t>女子大生；女子生徒；女子学生；女子供；女子校</t>
        </is>
      </c>
      <c r="H4139" t="n">
        <v>29</v>
      </c>
      <c r="I4139" t="inlineStr">
        <is>
          <t>特に月経の処置に慣れていない初経を迎えた直後の女子に多く見られる。；学習内容と同じく漫画も各学年別に男子向けと女子向けが用意されている。；これにより国内の大会で女子も男子と同じ黒帯を用いることになる。；このような経緯から男子部と女子部が存在することになった。；主に女子の競技であり、男子では主に110メートルハードルが行われる。；それによると、男子女子でそれぞれ以下の表のようになっている。；赤と青は男子が青、女子が赤、男女共同で使えるためといわれている。；男子の方が女子よりも出席率が高い傾向が報告されている。；これとは別に女子チームの三菱重工業女子サッカー部も存在していた。；主に男子の競技であり、女子では100メートルハードルが行われる。；これは女子部門でも例外ではなく、欧州勢がそれを追う展開となっている。；バスケットボールのプロ化は国際的な流れであり、女子もまた例外ではない。；全国争覇戦時代は女子の部や実用車・軽快車を使ったレースも実施された。；女子選手は団体の方針により試合提供に限定されている為、除外する。；とりわけ東ヨーロッパ諸国では各国でいち早く女子チームが作られた。；獲得した全国タイトルは、全国女子ユースチーム最多の計12回である。；翌年以降も女子限定ではあるものの「市民の部」が行われていた。；女子の制服は前身である東華学校から引き継がれている濃紺のブレザー。；女子のゴルフ・メジャー選手権は、長い歴史の中で何度も変更されている。；男子選手のための制度と女子選手のための制度がある。；初めは女子ばかりが生まれ、跡継ぎの男子を望む姑から責め立てられた。；女性は無料であるため、女子中高生がいたずらでかける場合も多数あった。；医療少年院を除けば、それぞれに男子と女子に別々の施設が設けられる。；男子・女子の群像はいずれも4人一組で、計16人の人物が描かれている。；男子は10個の技の点の合計が、女子は8個の技の点の合計が難度点になる。；幼少期は女子を欲していた母によって女子の格好をさせられていた。；また、70周年を記念して始められた女子柔道部の活動にも力を入れている。；また留学生の派遣にも力を入れ、日本初の女子留学生の派遣も実現させた。；そのためか同大学をモチーフとした女子高校である順愛学園を主な舞台としている。</t>
        </is>
      </c>
      <c r="J4139">
        <f>HYPERLINK("https://www.weblio.jp/content/女子", "词义详情")</f>
        <v/>
      </c>
      <c r="K4139">
        <f>HYPERLINK("https://yourei.jp/女子", "查看例句")</f>
        <v/>
      </c>
    </row>
    <row r="4140">
      <c r="A4140" t="inlineStr">
        <is>
          <t>助手</t>
        </is>
      </c>
      <c r="B4140" t="inlineStr">
        <is>
          <t>成功</t>
        </is>
      </c>
      <c r="C4140" t="inlineStr">
        <is>
          <t>読み方：じょしゅ
１仕事の手助けをする人。
２大学で、教授・准教授・助教の職務を助ける職。また、その人。学校教育法では、「その所属する組織における教育研究の円滑な実施に必要な業務に従事する」と規定される。</t>
        </is>
      </c>
      <c r="D4140" t="inlineStr">
        <is>
          <t>助手たち(4%)；助手台；助手時代；助手兼；助手ども</t>
        </is>
      </c>
      <c r="E4140" t="inlineStr">
        <is>
          <t>助け；手伝い；補佐；アシスタント；与力</t>
        </is>
      </c>
      <c r="F4140" t="inlineStr">
        <is>
          <t>保安官助手；文学部助手；美術助手；医学部助手；少年助手</t>
        </is>
      </c>
      <c r="G4140" t="inlineStr">
        <is>
          <t>助手さん</t>
        </is>
      </c>
      <c r="H4140" t="n">
        <v>29</v>
      </c>
      <c r="I4140" t="inlineStr">
        <is>
          <t>父の仕事のフィルム編集の助手をしていたが、女優への思いを募らせる。；その人を私の助手ということにして、一緒にベイルートを出たのである。；何らかの情報をマフィアに隠している様子であることに気付くジョシュ。；観測中は、観測者の他、もう一人記録をする助手が居た方が精度が上がる。；タネールは渡仏し、 いくつかの商業映画の助手をしばらくやっていた。；この事件の後もRは葉たちを助手にして、様々な調査を行っていく。；第一次世界大戦中はカナダのアメリカ陸軍病院で看護助手として働いた。；本作の録音にはそれまで助手であったリュック・イェルサンを抜擢する。；ランドは研究し続けているので、助手たちのチームが交代でついたのである。；結局ファラデーは旅行が終わるまで助手兼従者として働くことになった。；ニューヨークでジョシュと結婚し、夫との間に二人の息子を持つ。；探偵事務所に戻った明智は、夫人で助手の文代に事件の調査を指示する。；また、これら一連のテストは監督の指示のもとに助手が代行する場合もある。；助手たちの話によれば、許可がないかぎり城に入れてもらうことはできないらしい。；アインシュタインは、大学に残って助手になりたがったが採用されなかった。；その一方で、ジョシュは一向に自身の映画を完成させられずにいた。；なお『1』の時点では助手の真宵がこの事務所に住み込んでいたらしい。；暗くなって小学校に着いたKはフリーダ、助手と食事をし、眠りに就いた。；大学卒業後に助手として採用され、同大学専任講師、助教授を経て教授。；助手のベンと川の調査をしていると木の上から死んだカエルが次々と降ってきた。；特筆すべき点として、助手が解答者と一緒に解答する点が特徴的である。；感動した光太郎は熱心な手紙を書き、薄給ではあったが彼の助手にしてもらった。；カーリーとジョシュは必死の思いで地下室へ向かい、そこに閉じこもった。；バランゲーには同じ名前をもつ息子がおり、のちにガウディの助手となる。；ムチッ子マシーンから出て来るムチッ子を研究している博士&amp;助手の話。；彼女の輝かしい業績にも関わらず、彼女には助手のポストしかなかった。；パワーステアリングの普及で、助手のこのような作業は過去のものとなっている。；いつもその被害者になっている元同級生のジョシュをベッドに誘ったことがある。；学校でルチア役を選び、助手の娘たちを生徒の中から選んだりする。</t>
        </is>
      </c>
      <c r="J4140">
        <f>HYPERLINK("https://www.weblio.jp/content/助手", "词义详情")</f>
        <v/>
      </c>
      <c r="K4140">
        <f>HYPERLINK("https://yourei.jp/助手", "查看例句")</f>
        <v/>
      </c>
    </row>
    <row r="4141">
      <c r="A4141" t="inlineStr">
        <is>
          <t>初旬</t>
        </is>
      </c>
      <c r="B4141" t="inlineStr">
        <is>
          <t>成功</t>
        </is>
      </c>
      <c r="C4141" t="inlineStr">
        <is>
          <t>読み方：しょじゅん
月の初めの10日間。上旬。</t>
        </is>
      </c>
      <c r="D4141" t="inlineStr">
        <is>
          <t>初旬頃(2%)；初旬に行われる；初旬ごろ山本</t>
        </is>
      </c>
      <c r="F4141" t="inlineStr">
        <is>
          <t>六月初旬；十二月初旬；七月初旬；九月初旬；十一月初旬</t>
        </is>
      </c>
      <c r="H4141" t="n">
        <v>29</v>
      </c>
      <c r="I4141" t="inlineStr">
        <is>
          <t>怪我をしたために、五月初旬に捕虜になってアメリカ軍の病院へ送られた。；九月初旬三度目に行ったときには宿の池にやっと二三羽の鶺鴒が見られた。；作曲は春に始められ、夏の初旬には第1楽章をすでに完成させている。；喜八郎がふたたび新旅籠町の米屋をたずねたのは、九月初旬の朝だった。；申しおくれましたが、私がここから出るのは十二月初旬ときまりました。；ヌイツが恨みをのんで江戸をたったのは十一月初旬の早朝のことだった。；旧幕府海軍主力は1868年10月初旬まで江戸周辺から動かなかった。；選手名および球団名は2009年9月初旬時点のデータを搭載したものである。；七月初旬に発表されるランキングでは、恐らくそのようになるだろう。；警察は2016年5月初旬にこのスケッチの更新版を新たに発表した。；彼等は11月初旬にその仕事を終え、開発用の82のブロックが決められた。；この事件はハリソン郡に移管され、1月初旬に開廷されることになった。；およそ一ヵ月ののち、冬の最初の月アムゴルの初旬のことであった。；運行期間は3月中旬から11月初旬までであり、冬季は運行されていない。；通例だとワールドコンは毎年9月初旬頃に世界中の様々な都市で開催される。；遅くとも四月の初旬までには、僕はまた東京に戻らなければならなかった。；再開は神田が5月初旬であったが他の2駅は目処がついていない状態であった。；同イベントは年々規模が拡大され9月初旬の大阪市の風物となりつつある。；前年十二月初旬入院時七八キロの私の体重は約二カ月後七〇キロまで減った。；雪がまた降り始める前の9月初旬から10月までに旅を終えることが期待された。；基本的に晩秋のキノコだが、稀に9月初旬の早い時期に発生することもある。；毎年数百名規模の総会を卒業生中心に1月下旬から2月初旬に実施している。；パリでの丹後ブランドのスカーフの販売は、2018年初旬に開始された。；月の初旬頃に放送されるデンボンニュースの再放送を視聴することができる。；彼は1943年12月初旬に、重慶の中国国民党政府の本部に到着した。；惣兵衛の密葬より7ヶ月を経た12月初旬、妻子は罪を許され帰宅した。；第七十六号海防艦も3月初旬門司発の船団を護衛し台湾基隆に向った。；最後の定例会見が行われたのは、四月の初旬だった、と覚えている。；これは地すべり等が発生しやすくなる梅雨時を前とした6月初旬に設定されたことによる。</t>
        </is>
      </c>
      <c r="J4141">
        <f>HYPERLINK("https://www.weblio.jp/content/初旬", "词义详情")</f>
        <v/>
      </c>
      <c r="K4141">
        <f>HYPERLINK("https://yourei.jp/初旬", "查看例句")</f>
        <v/>
      </c>
    </row>
    <row r="4142">
      <c r="A4142" t="inlineStr">
        <is>
          <t>徐々に</t>
        </is>
      </c>
      <c r="B4142" t="inlineStr">
        <is>
          <t>成功</t>
        </is>
      </c>
      <c r="C4142" t="inlineStr">
        <is>
          <t>読み方：じょじょに
［副］少しずつ進行したり変化したりするさま。「新体制に—移行する」</t>
        </is>
      </c>
      <c r="D4142" t="inlineStr">
        <is>
          <t>徐々に大きく；徐々に失わ；徐々に薄れ；徐々に頭角を現し；徐々に徐々に</t>
        </is>
      </c>
      <c r="E4142" t="inlineStr">
        <is>
          <t>ゆっくり；次第に；ゆっくりと；静かに；そろそろ</t>
        </is>
      </c>
      <c r="F4142" t="inlineStr">
        <is>
          <t>以降徐々に；徐々に取って代わら；徐々に減便；徐々に減薬；徐々に登板機会</t>
        </is>
      </c>
      <c r="H4142" t="n">
        <v>29</v>
      </c>
      <c r="I4142" t="inlineStr">
        <is>
          <t>その権力は市民革命を経て徐々に制限され、立憲君主に移行していった。；街の成長は主に港の施設や他の設備が徐々に改善されていった半島部で起きた。；しかしその後、キリスト教が徐々にリトアニアに入ってくるようになった。；このころから学校では徐々に鉛筆が使われはじめるようになった。；こうした運動は反対に遭いながらも、徐々に欧州全体に浸透していった。；しかし近年では和食の影響を受け、徐々に料理に使われてきている。；発射されると気球からは徐々に水素ガスが抜け、気球の高度は低下する。；高校募集を停止して完全中高一貫校になる学校が徐々に増えつつある。；現在は国際共通マークとして認められ、徐々にその活動の輪が広がっている。；さらに観測精度が向上し、徐々に推定距離が長く算定されるようになった。；しかし近年は住宅が増加しており、人口も徐々に増加している。；成立についても戦国から漢代の長い時期に徐々に完成されたと考えられる。；速度に応じて徐々に電圧を上げれば実感的な運転ができるわけである。；そして、QWERTY配列は他の業者にも徐々に採用されていった。；目撃者の目の前で金粉銀粉が徐々に増えていく目撃例も多数報告されている。；この過程によってキリスト教神学は徐々に理論化され、確立されていった。；この頃より合作ではなく、単独で描いた漫画が徐々に増えていく。；しかし前漢・後漢を通じた中で徐々に勢力を伸ばしていき、国教化された。；元就はこれを拒否したため、徐々に両者の対立は先鋭化していった。；現在もキャッシュレス決済に対応した機種の開発や導入が徐々に行われている。；こうしてドヴォルザークはワーグナーの影響下から徐々に離れていった。；第五章では徐々に世界全体を探索できるようになっていく。；その後徐々に様相が変化し、駅周辺は新たな町の中心地として発展していった。；ヘルシンキの経済は徐々に工業から今日の基盤となるサービス部門に移って来た。；すでに自殺を決意し、体を睡眠薬に徐々に慣らしていたのだろうと推測される。；フランチェスコは徐々に人々からの崇敬を集めるようになっていった。；母川の記憶と特定に関しては、最近の研究により徐々に解明されている。；本願寺は、近江や北陸地方を中心に徐々にではあるが教線を拡張する。；その後は、隔離政策は徐々に衰退し外来診療が重視されていくことになる。</t>
        </is>
      </c>
      <c r="J4142">
        <f>HYPERLINK("https://www.weblio.jp/content/徐々に", "词义详情")</f>
        <v/>
      </c>
      <c r="K4142">
        <f>HYPERLINK("https://yourei.jp/徐々に", "查看例句")</f>
        <v/>
      </c>
    </row>
    <row r="4143">
      <c r="A4143" t="inlineStr">
        <is>
          <t>初心者</t>
        </is>
      </c>
      <c r="B4143" t="inlineStr">
        <is>
          <t>成功</t>
        </is>
      </c>
      <c r="C4143" t="inlineStr">
        <is>
          <t>読み方：しょしんしゃ
その道に入ったばかりで、まだ未熟な者。習い始め、あるいは覚えたての人。</t>
        </is>
      </c>
      <c r="D4143" t="inlineStr">
        <is>
          <t>初心者向け(13%)；初心者用(3%)；初心者向き；初心者コース；初心者プレイヤー</t>
        </is>
      </c>
      <c r="E4143" t="inlineStr">
        <is>
          <t>新人；若手；素人；坊や；まだ若い</t>
        </is>
      </c>
      <c r="F4143" t="inlineStr">
        <is>
          <t>ゲーム初心者；パソコン初心者；競馬初心者；超初心者；初心者でも遊びやすい</t>
        </is>
      </c>
      <c r="G4143" t="inlineStr">
        <is>
          <t>初心者講習；初心者狩り；初心者丸出し</t>
        </is>
      </c>
      <c r="H4143" t="n">
        <v>29</v>
      </c>
      <c r="I4143" t="inlineStr">
        <is>
          <t>一応回避手段は存在するが、初心者には理解が難しいものとなっている。；そのため株式投資の初心者を主要な読者対象に想定していると思われる。；そのため一般的に初心者は大きいものを、上級者は小さいものを用いる。；全国の各支部・各道場で開催される初心者から中級者を対象にした大会。；キャプチャーした敵を回転させるのに慣れていない初心者向けの設定。；山麓付近の初心者向けのコースは残り4基のリフトでカバーされている。；またこれに振りをつけた上方舞の演目のなかでも初心者向きの曲とされる。；特殊な生態を持つ種の為に飼育が困難なため、初心者には不向きである。；そのため、初心者でもきわどいサービスを打つことが容易になっている。；初心者向けのものには練習用の運針用布などが入っているものもある。；と初心者には非常に数え難かったが、新ルールでは全てが1点となった。；全員が何かと初めてのことが多い初心者であることから命名される。；初心者が最初に来る所であるためか攻撃してくる敵は少ない。；参加選手は男子のみで、オープン部門と初心者部門に分かれている。；アドバイザーに声がつき、初心者でも手軽にプレイできるようになった。；攻撃的な面は無く、友好的なため初心者でも飼育しやすい犬種である。；演奏が比較的困難な音域での演奏となり、初心者の練習には適していない。；訓練初期や初心者は1回の訓練は長くて5分ほどで終了しなければいけない。；釣り人はキャリアの長い者から初挑戦の初心者までさまざまである。；初心者でも扱いやすいことから学習キットなどに広く利用されている。；またランクがアマチュア以上になると初心者サーバー内へ入れなくなる。；適切な取り口を知らない初心者が得点できる機会はほとんどないといって良い。；初心者などを対象としていることからサポート体制が厚いサービスとなっている。；また初心者にとっても理論が確立されていれば学習しやすい点も指摘できる。；指の動かし方にコツがあり、初心者では連続して音を立て続けることが難しい。；北嶺山の西麓にあって初心者から上級者まで9コースが設置されている。；プロに星目置く人に星目置く人に星目置く人に星目置くのが初心者という意味の言葉である。；初心者用の練習機から本格的な競技用まて様々な機種を製造している。；アニメのキャラクターが使用するカードを中心に収録した、初心者向けシリーズ。</t>
        </is>
      </c>
      <c r="J4143">
        <f>HYPERLINK("https://www.weblio.jp/content/初心者", "词义详情")</f>
        <v/>
      </c>
      <c r="K4143">
        <f>HYPERLINK("https://yourei.jp/初心者", "查看例句")</f>
        <v/>
      </c>
    </row>
    <row r="4144">
      <c r="A4144" t="inlineStr">
        <is>
          <t>女性</t>
        </is>
      </c>
      <c r="B4144" t="inlineStr">
        <is>
          <t>成功</t>
        </is>
      </c>
      <c r="C4144" t="inlineStr">
        <is>
          <t>読み方：じょせい
１おんな。婦人。女子。一般には、成人した女をいう。「—の社会進出がめざましい」「—編集者」⇔男性。
２インド‐ヨーロッパ語系の文法で、名詞・代名詞・形容詞などの性の区別の一。男性・中性に対する。
[用法]女性・婦人——「女性（婦人）の地位の向上」「女性（婦人）解放運動」など相通じて用いられる場合もある。◇「女性」は江戸時代までは「にょしょう」と読んだ。「じょせい」となったのは明治以降で、欧州語系の文法用語の、男性・中性・女性としてまず使われるようになったといわれる。◇「婦人」は古くからの語で、成人した女性、また人妻の意であった。多く文章語として用いられたが、明治以降は男と同等の社会的存在としての女を意味する語として使われるようになった。◇「女性」「婦人」の複合語は多く慣用によるものであり、互いに言い換えることのむずかしいものが多い。「女性的」「女性ホルモン」「婦人科（病）」「婦人警官」など。◇現在では「婦人」という語も女性差別を表す語であるとして、「女性」に言い換える傾向がある。東京都生活文化局の「婦人青少年部婦人計画課」は「女性青少年部女性計画課」と名称変更を行った。◇これらは、「女性（じょせい）」という語が最もあたらしく、かつ文法用語・学術用語として使われて、中立的であるからといえよう。</t>
        </is>
      </c>
      <c r="D4144" t="inlineStr">
        <is>
          <t>女性たち(3%)；女性フィギュアスケート選手；女性像；女性達；女性モデル</t>
        </is>
      </c>
      <c r="E4144" t="inlineStr">
        <is>
          <t>女；妻；室；夫人；女子</t>
        </is>
      </c>
      <c r="F4144" t="inlineStr">
        <is>
          <t>美しい女性；中年女性；黒人女性；白人女性；アメリカ人女性</t>
        </is>
      </c>
      <c r="G4144" t="inlineStr">
        <is>
          <t>女性アイドルグループ；女性歌手；女性向け；女性用；女性名</t>
        </is>
      </c>
      <c r="H4144" t="n">
        <v>29</v>
      </c>
      <c r="I4144" t="inlineStr">
        <is>
          <t>また、バクトリア地方から出土した数体の石製女性像が見つかっている。；男性と女性では刺激を受けている際の脳の変化に違いが認められた。；その女性は夫にひどい扱いを受けており、邸宅に監禁されているという。；これに対し、女性に継承権が存在する場合は3つのパターンが存在する。；ヘナで爪を染めた女性の五本の指に見えることを由来とする呼称である。；卒業し制服を着なくなると痴漢に遭わなくなったとの女性の声も多い。；女性にも取り組みやすいような踊りを取り入れるなど工夫されたという。；この作風とペンネームゆえ、かつては女性と誤解されることが多かった。；ただし、女性が財産として自動車を所有することは禁止されていない。；また、ひらがなは漢字の草書体を元にしたもので主に女性が用い始めた。；一国の首相や大統領が女性である国も次第に増えてきている。；このゲーム中の男性は、ゲストに女性と思わせるのが目的となる。；連邦上院議員と州知事の双方に女性を選出したことでは最初の州になった。；しかし、ジャンヌが受けた重要な支援のなかには女性から受けたものもある。；これらの女性への性暴力の犯罪の大半がラッシュアワーに起きている。；このマークは形そのものが手鏡を示しており女性を象徴するものと扱われている。；その中でも一番有名だと思われた女性は、ジョセフィン・ベイカーだった。；しかしヘプバーンは自分が魅力ある女性だとは思っていなかった。；たとえば女性的な男性がすなわち性同一性が女性というものではない。；日本相撲協会主催の大相撲は土俵上への女性の立ち入りを認めていない。；また信仰上の理由により兵役免除も可能であるが、これも女性のみである。；見学者のうち女性のみが拒否され問題となった例 も多数ある。；現代医学の立場から言えば、女性は主に婦人科系の役割が重要である。；これを機に女性も鋏を入れる例が増えたが土俵には上がらないことが続いた。；その中で、魅力的な女性が登場するを売りにしたゲームが登場するようになった。；この女性たちは西側メディアからは「カダフィ・ガールズ」と呼ばれた。；女性は無料であるため、女子中高生がいたずらでかける場合も多数あった。；動物や女性などの彫刻が見つかっているが、その技術はきわめて高いとされる。；ヒッチコックの女性の描写は、さまざまな学術的議論の対象となってきた。</t>
        </is>
      </c>
      <c r="J4144">
        <f>HYPERLINK("https://www.weblio.jp/content/女性", "词义详情")</f>
        <v/>
      </c>
      <c r="K4144">
        <f>HYPERLINK("https://yourei.jp/女性", "查看例句")</f>
        <v/>
      </c>
    </row>
    <row r="4145">
      <c r="A4145" t="inlineStr">
        <is>
          <t>書籍</t>
        </is>
      </c>
      <c r="B4145" t="inlineStr">
        <is>
          <t>成功</t>
        </is>
      </c>
      <c r="C4145" t="inlineStr">
        <is>
          <t>読み方：しょじゃく
「しょせき（書籍）」に同じ。
「毫も—の価値を解して居らん」〈漱石・吾輩は猫である〉</t>
        </is>
      </c>
      <c r="D4145" t="inlineStr">
        <is>
          <t>書籍化(3%)；書籍版；書籍等；書籍出版；書籍販売</t>
        </is>
      </c>
      <c r="E4145" t="inlineStr">
        <is>
          <t>作品；本；発表；制作；作</t>
        </is>
      </c>
      <c r="F4145" t="inlineStr">
        <is>
          <t>一般書籍；向け書籍；関連する書籍；当該書籍；紙書籍</t>
        </is>
      </c>
      <c r="G4145" t="inlineStr">
        <is>
          <t>書籍商；書籍館；書籍出版業組合；書籍レーベル；書籍出版業組合記録</t>
        </is>
      </c>
      <c r="H4145" t="n">
        <v>29</v>
      </c>
      <c r="I4145" t="inlineStr">
        <is>
          <t>青春18きっぷを活用する方法などを記した書籍は多数出版されている。；書籍・雑誌ではバスラマ・インターナショナルに書籍広告を出している。；また、ゲームの製作方法を解説した各種の公式書籍も出版されている。；背景にはインターネットでの書籍販売や電子書籍の普及が指摘されている。；当時のVTRや書籍などの中ではパイプを咥えている姿がよく見られる。；また初歩から応用までを所載した技術解説書としては以下の書籍がある。；ただし、語学用の書籍では、変化した発音を載せてもよいとされている。；流通している書籍と文献にもこの分類にしたがっているものも多い。；この放送で訪れた寺院をまとめた書籍が講談社から発行されている。；哲学・社会学・文学・法律・経済学・政治等の書籍を中心に出版する。；仕様は書籍およびウェブで公開されており自由に参照・使用できる。；上野千鶴子の書籍を、図書館から排除させようとする動きなどが存在した。；ちなみに、作品のタイトルは実在の書籍や映画に由来するものが多い。；彰考館では、第一の目的である修史の他にも、多くの書籍が編纂された。；いま唯一と言ってよいほど自由に物が言えるのが、書籍の世界であるとしている。；以下の書籍の該当頁には、類話の一部が載っているので参照されたい。；多くの場合書籍の裏、値段の前にCxxxxといった形で記されている。；一般書籍でいわれる精油の効能は、科学的に証明されていないものが多い。；日本の報道や書籍ではほとんどナジブラと表記・呼称されていた。；本項では掲載後、書籍などに収録されていないものを記載している。；書籍見本市を組織しているドイツ書籍協会もフランクフルトに本部がある。；国土法事件で逮捕された際に宗教弾圧であるとして多くの書籍を出版した。；ゴジラを題材とした玩具、書籍、映像・音楽媒体は多数発売されてきた。；このほか、書籍で怪優と呼ばれたことのある日本の俳優を以下に例示する。；ほぼ毎年更新される世界遺産関連書籍には以下のものがあります。；多くの書籍があるにもかかわらず、有害作用が記載されているものは少ない。；そのため、学術論文や専門的な書籍などでは通常こちらの区別が用いられる。；日本語で描かれたシジウィックについての書籍として下記のものがある。；書籍やテレビ等で、この車を購入したことに触れていることが多い。</t>
        </is>
      </c>
      <c r="J4145">
        <f>HYPERLINK("https://www.weblio.jp/content/書籍", "词义详情")</f>
        <v/>
      </c>
      <c r="K4145">
        <f>HYPERLINK("https://yourei.jp/書籍", "查看例句")</f>
        <v/>
      </c>
    </row>
    <row r="4146">
      <c r="A4146" t="inlineStr">
        <is>
          <t>所詮</t>
        </is>
      </c>
      <c r="B4146" t="inlineStr">
        <is>
          <t>成功</t>
        </is>
      </c>
      <c r="C4146" t="inlineStr">
        <is>
          <t>読み方：しょせん
［名］
１最後に落ち着くところ。
「せっかく鳥に生まれて来ても、…なんの—もないことじゃぞ」〈賢治・二十六夜〉
２仏語。経文などによって表される内容。能詮(のうせん)に対していう。
［副］
１最後に行き着くところを述べるときに用いる。どうこう言っても結局は。つまるところ。多く、否定的な意味の語句を伴って用いる。「—かなわぬ夢」「生意気を言っても、—は子供だ」
２（命令・意志を表す語句を伴って）こうなったうえは。それでは。
「—こなたの念仏をば留め候ふべし」〈謡・隅田川〉</t>
        </is>
      </c>
      <c r="D4146" t="inlineStr">
        <is>
          <t>所詮こんな；所詮及ば；所詮出来ない；所詮助から；所詮叶わ</t>
        </is>
      </c>
      <c r="E4146" t="inlineStr">
        <is>
          <t>結局；ようやく；ついに；単なる；過ぎない</t>
        </is>
      </c>
      <c r="F4146" t="inlineStr">
        <is>
          <t>所詮こんなもの</t>
        </is>
      </c>
      <c r="H4146" t="n">
        <v>29</v>
      </c>
      <c r="I4146" t="inlineStr">
        <is>
          <t>いくら合格しても、一日も学校に行かなければ、所詮勝負にはならない。；それに、いずれ骨になる者は所詮絶対者にもなり得なかったのであろう。；それに、どこの国でも所詮はその国相当以上のことを期待しても無理です。；しかし、所詮それは私が一人きりで耐えうるようなものではなかったのだ。；所詮は無理なものをつなぐ糸、蜘蛛の糸ほどの力を持たぬ糸であっても。；短刀を持っていても所詮この相手では無手と同じこと、無駄とわかった。；僕は芥川は所詮助からぬ人であつたかと、嘆きをまた新にしたのである。；能役者など所詮は賤業の所行と考えていた者がまだ多かったからである。；自分の家を治め、自分の畑を耕すことは、かれには所詮出来ませなんだ。；所詮小説家になり得るものはなり、なり得ざるものはなり得ざるべき乎。；晴代は所詮駄目だといふ気がしたが、それも二人の大きな亀裂であつた。；古代を舞台にとった小説も、所詮は近代人の描いた未開人の絵である。；他人は心が溶け合おうがなにをしようが、所詮は他人でしかありませんわ。；男の作家の創造した女性は、所詮、その作家の不思議な女装の姿である。；所詮の意味が確かになるのは、平安遺文などが書かれた平安時代になる。；しかしそれは所詮構想であって具体的な検討は1969年以降に行なわれた。；兄晴景とは、所詮、決着をつけなければならない運命にあったのである。；所詮彼女は一足飛びに自身の択んだ方針へ進んで行かれる人ではなかった。；そして、人間というものは、所詮、他人の心をどうしうるものでもない。；所詮、カルナックの宮殿は取るにたりぬささやかな宮殿にすぎなかった。；しかし、芸術家が芸術を擁護しようとすることは所詮、感傷にすぎまい。；どのようにいいと思ったとて、所詮お前方の所有にはなるまいに。；所詮は、そういう用心棒程度にしか自分を評価していてくれぬのであろうか。；どのような作り話でも、所詮はその人間が得た知識の延長のものでしかない。；あの探査機が相手では所詮、地球から救出される者は一人もいないだろう。；所詮、俺たちは異国の雪と氷の中で果てるように生れついているんだ。；所詮彼らは、先祖が同じ国に住んでいたというだけの間柄でしかない。；所詮子供のわがままで、これ以上糾弾する気も失せてしまったのだった。；所詮、人は、気になることの全てを知って死ねるわけではありません。</t>
        </is>
      </c>
      <c r="J4146">
        <f>HYPERLINK("https://www.weblio.jp/content/所詮", "词义详情")</f>
        <v/>
      </c>
      <c r="K4146">
        <f>HYPERLINK("https://yourei.jp/所詮", "查看例句")</f>
        <v/>
      </c>
    </row>
    <row r="4147">
      <c r="A4147" t="inlineStr">
        <is>
          <t>所属</t>
        </is>
      </c>
      <c r="B4147" t="inlineStr">
        <is>
          <t>成功</t>
        </is>
      </c>
      <c r="C4147" t="inlineStr">
        <is>
          <t>読み方：しょぞく
［名］(スル)個人や事物などが、ある団体・組織にその一員・一部として加わっていること。「テニス部に—する」</t>
        </is>
      </c>
      <c r="D4147" t="inlineStr">
        <is>
          <t>所属する日本；所属馬；所属するラグビーユニオン選手；所属タレント；所属するラグビー選手</t>
        </is>
      </c>
      <c r="E4147" t="inlineStr">
        <is>
          <t>属する；合併；加入；加盟；付属</t>
        </is>
      </c>
      <c r="F4147" t="inlineStr">
        <is>
          <t>厩舎所属；部所属；党所属；事務所所属；吉本興業所属</t>
        </is>
      </c>
      <c r="G4147" t="inlineStr">
        <is>
          <t>所属選手；所属チーム；所属クラブ；所属レコード会社；所属政党</t>
        </is>
      </c>
      <c r="H4147" t="n">
        <v>29</v>
      </c>
      <c r="I4147" t="inlineStr">
        <is>
          <t>教育研究上の基本となる組織の一つで、学生が所属する教育組織である。；装備の開発は主に科学センター所属の岩本博士とイデ隊員が行っている。；現在は全てのメンバーがアップフロントプロモーションに所属している。；歴史的には、戦場での所属を表すものとして使われた軍旗に起源を持つ。；リハビリに専念するため、どのチームにも所属していない状態が続いた。；このうち中央本線は当駅が起点であり、当駅の所属線ともなっている。；また、彼らは所属する報道機関の旗をつけるために旗棒を取り付けていた。；上の地図で不明瞭、または省略されている主な離島の所属は以下の通り。；春川芽生もニコモになって所属した事務所内で後に声優部へ移動している。；日活の転進はそれまで所属していた大物俳優や監督との訣別を意味した。；事件の被害に遭ったのは大韓航空に所属する大韓航空858便であった。；かつては所属していた劇団若草の講師を務めていたこともあった。；名詞だけ見る限り所属クラスが不明確な場合でも一致を確かめれば分かる。；主人公・風間真をはじめとする本作の主要キャラクターたちが所属する部隊。；そして、入門時に所属した部屋から、他部屋への移籍は原則認められない。；IEEEのメンバーシップと所属にはいくつかの種類とグレードがある。；ただし、前述の経緯から徳島線の列車が走る線路も高徳線に所属している。；上記の例外となっている地域は、後に当郡の所属となっている。；Jリーグに所属するクラブはアカデミーをもつことを義務つけている。；山陽本線を所属線としており、宇部線を加えた2路線が乗り入れている。；手始めに、まずはこの宿に所属する冒険者の登録作業を行うこととなる。；国内団体の選手には日本のプロレス団体に所属している外国籍の選手を含む。；該当部屋に所属する年寄の中の責任者の年寄名跡が部屋名に冠せられる。；日本においては、大学に所属する研究者のみを指すのが通常である。；海外留学生と、共同プログラムに所属する日本人学生の交流の場も提供する。；大学時代は放送研究会に所属し、ラジオドラマ作りに夢中になっていた。；さらに各リーグに所属するチームは地図上で東中西の3つの地区に分割される。；徽章は所属部隊を表すもので、ジオン公国軍将兵のほぼ全員が着用する。；群馬ダイヤモンドペガサスに所属していたラミレスが現役を引退した。</t>
        </is>
      </c>
      <c r="J4147">
        <f>HYPERLINK("https://www.weblio.jp/content/所属", "词义详情")</f>
        <v/>
      </c>
      <c r="K4147">
        <f>HYPERLINK("https://yourei.jp/所属", "查看例句")</f>
        <v/>
      </c>
    </row>
    <row r="4148">
      <c r="A4148" t="inlineStr">
        <is>
          <t>所帯</t>
        </is>
      </c>
      <c r="B4148" t="inlineStr">
        <is>
          <t>成功</t>
        </is>
      </c>
      <c r="C4148" t="inlineStr">
        <is>
          <t>読み方：しょたい
《身に帯びているものの意》
１一家を構えて独立した生計を営むこと。また、そのくらし向き。せたい。「—が苦しい」
２住居や生計を同じくする人たちの集合体。せたい。「女—」「大—」「—数」
３所持している財産・領土や、ついている官職など。
「—所職を帯する程の人の」〈平家・三〉</t>
        </is>
      </c>
      <c r="D4148" t="inlineStr">
        <is>
          <t>所帯じみ(6%)；所帯道具(3%)；所帯を持ちたい；所帯暮し；所帯分</t>
        </is>
      </c>
      <c r="E4148" t="inlineStr">
        <is>
          <t>家族；家庭；ファミリー；世帯；家事</t>
        </is>
      </c>
      <c r="F4148" t="inlineStr">
        <is>
          <t>小所帯；寄合所帯；女所帯；小さな所帯</t>
        </is>
      </c>
      <c r="G4148" t="inlineStr">
        <is>
          <t>所帯やつれ；所帯染み；所帯持；所帯くずし</t>
        </is>
      </c>
      <c r="H4148" t="n">
        <v>29</v>
      </c>
      <c r="I4148" t="inlineStr">
        <is>
          <t>あらためて所帯をもつには年をとりすぎているというわけではなかった。；事実、私はまだ東京の所帯主でここでは私の妻が所帯主になっている。；とうとう島には戻らんとこっちで所帯を持つことになってしまって。；自分達が女所帯で男っ気が全くないことを気にしている模様。；さまざまな部族の寄合い所帯ですから、なにかと問題があるようですが。；二人で所帯を持つなどということは、夢をみるのと同じことだった。；あまり大きな所帯になってしまうとこういう身軽な真似はできない。；が、こちらは大浦と長岡の二人所帯で後は飯炊きの爺がいるだけである。；おめぇだって早く所帯でも持って初孫でも見せてやれよ、親父さんにさ。；しばらくして隣の敷地に所帯を持っている弟夫婦や、夫の従兄達もやってきた。；私は、なんだか、この汗臭い少女と所帯を持っているような気分になった。；多少のたくわえもあるのですから、京で二人で所帯をもちましょう。；そこの女将の聖子は、かつて寅次郎が所帯を持とうとした女性であった。；こちらは人型戦車とスーパー戦車随伴歩兵で構成されている小さな所帯だ。；私たちはまるで山の中に所帯を持った夫婦のようだった。；それにあたし、所帯を持つ前もこういうお店で働いてたんです。；長女が上外場で所帯を持ってるんで、喪主に立ってもらうことになりました。；このふたりのこと、ふたりが所帯をもって幸福に暮す姿しか考えられなかった。；のちに所帯を持った女とは子宝に恵まれず、随分前にその女も死んだ。；この世界に来てねんごろになった女がいない訳ではないが、所帯を持つのは無理だ。；最初に所帯を持った人との間にも子はできなかった。；寄合い所帯とはいえ、しかし共通の利害のためには協力するはずです。；二人ともに遅れてはいたが、はじめて所帯を持つ身の上であった。；だが総勢といっても、全部で十一名しかいない小さな所帯である。；離れた土地に所帯を持った高夫も、ときどき電話くらいは掛けてよこす。；「所帯なんて、持ちませんよ」と淳悟が笑いを抑えるような声で言った。；祖父に捨てられたあと、この王克強という男と所帯を持ったのかもしれない。；下の階の人数まで含めて、総勢でも三十人ぐらいの所帯らしかった。；二十四所帯の集合住宅であるが、一階段八戸ずつに区分されている。</t>
        </is>
      </c>
      <c r="J4148">
        <f>HYPERLINK("https://www.weblio.jp/content/所帯", "词义详情")</f>
        <v/>
      </c>
      <c r="K4148">
        <f>HYPERLINK("https://yourei.jp/所帯", "查看例句")</f>
        <v/>
      </c>
    </row>
    <row r="4149">
      <c r="A4149" t="inlineStr">
        <is>
          <t>初対面</t>
        </is>
      </c>
      <c r="B4149" t="inlineStr">
        <is>
          <t>成功</t>
        </is>
      </c>
      <c r="C4149" t="inlineStr">
        <is>
          <t>読み方：しょたいめん
それまで会ったことのない人と初めて顔を会わせること。「—のあいさつ」</t>
        </is>
      </c>
      <c r="D4149" t="inlineStr">
        <is>
          <t>初対面時；初対面同士</t>
        </is>
      </c>
      <c r="F4149" t="inlineStr">
        <is>
          <t>まったく初対面；お互い初対面</t>
        </is>
      </c>
      <c r="H4149" t="n">
        <v>29</v>
      </c>
      <c r="I4149" t="inlineStr">
        <is>
          <t>これは公園のベンチ居住者のあいだでは初対面の挨拶の形式なのである。；この空気は初対面故のものだと判断していたけど、別の理由があるようだ。；私が、なにも考えていないことが、どうして初対面のあなたにわかるの?；慣れたとはいっても、やっぱり初対面で世間話をするには無理があった。；私が先ず二人の性格の相違を著るしく感じたのは初対面の印象であった。；ドイツ語に於ける君の造詣の深いことは、初対面の日にもう知れていた。；しかもその信用は初対面の時からあったのだという証拠さえ発見しました。；初対面よりだんだんに愛相のよくなるのがおかしいくらいであった。；私の昔の知り合いに、初対面の相手を見る目が変わっている男の人がいた。；もし初対面で彼を見る人があったら誰が彼を宣教師と思う人があるだろうか。；初対面のぎごちなさがとれてくると、かれの舌は滑らかに回転はじめた。；こんなとき、初対面の人間とどんな会話をすればいいのかわからない。；そこは、音子に憧れて京都にやって来たけい子と初対面した場所だった。；初対面のはずの松尾は、初めから大槻警部がリーダーだとわかっていた。；ほとんど初対面に近いほど疎遠になっている友人が、わんさといたのだ。；疲れているに違いないが、初対面から病気とさとられるのは嫌なのだろう。；悟空と初対面を果たすが、17号は悟空の姿も声も知っていたと話した。；また、江戸から大槻家を訪ねていた松崎慊堂とここで初対面を果たした。；初対面のとき彼から受けた、変ったひどく分裂した印象が、忘れられない。；お互い初対面の筈なのに、なぜお互いを見たことがあると感じたのであろうか。；しかし事実上今日が初対面みたいな相手にいきなりそんなことを言えば角が立つ。；まことにいい都合であると思ったが、なにをいうにも相手は初対面の女である。；従ってこう云う事件に関して兄との交渉は、まあ初対面の様なものである。；僕は彼と初対面の時、何か前にも彼の顔を見たことのあるような心もちがした。；初対面の女性にいきなり名前を呼ばれ、一瞬きょとんとした表情を見せる。；そんなような初対面の空気のままで、柳田平治は船長室を引下りました。；岩代こそ以前に一度面識があったらしいが、他の者はみな初対面であった。；メンバー2人は彼女の初対面時に「乃木坂46が来た」と思ったという。；ぼくも初対面の主導権争いで、彼女と火花を散らしていたかもしれない。</t>
        </is>
      </c>
      <c r="J4149">
        <f>HYPERLINK("https://www.weblio.jp/content/初対面", "词义详情")</f>
        <v/>
      </c>
      <c r="K4149">
        <f>HYPERLINK("https://yourei.jp/初対面", "查看例句")</f>
        <v/>
      </c>
    </row>
    <row r="4150">
      <c r="A4150" t="inlineStr">
        <is>
          <t>処置</t>
        </is>
      </c>
      <c r="B4150" t="inlineStr">
        <is>
          <t>成功</t>
        </is>
      </c>
      <c r="C4150" t="inlineStr">
        <is>
          <t>読み方：しょち
［名］(スル)
１その場や状況に応じた判断をし手だてを講じて、物事に始末をつけること。「適切に—する」
２傷や病気の手当てをすること。「虫歯を—する」「応急—」
→処分(しょぶん)［用法］</t>
        </is>
      </c>
      <c r="D4150" t="inlineStr">
        <is>
          <t>処置室；処置法；処置群；処置しよ；処置なし</t>
        </is>
      </c>
      <c r="E4150" t="inlineStr">
        <is>
          <t>扱い；処理；処分；始末；終結</t>
        </is>
      </c>
      <c r="F4150" t="inlineStr">
        <is>
          <t>適切な処置；医療処置；防腐処置；必要な処置；御処置</t>
        </is>
      </c>
      <c r="H4150" t="n">
        <v>29</v>
      </c>
      <c r="I4150" t="inlineStr">
        <is>
          <t>これはDAISの存在を世間に知られないようにするための処置である。；どちらの場合も両親はその処置に満足していないと記録に残っている。；このような処置を施さざるを得ないまでに兄弟間の関係は険悪であった。；これが処置されていなかった時には呼吸停止や死につながる場合もある。；特に月経の処置に慣れていない初経を迎えた直後の女子に多く見られる。；左こめかみを負傷した片倉は陸相専用車で病院へと運ばれ処置を受けた。；日本中毒情報センターでも無症状では無処置と経過観察を推奨している。；このような処置がとられているのは世界中でも日本だけである。；こうしたプレホスピタルでの処置が救命率に非常に大きく関わっている。；また、特定の耳鼻科で行われている上咽頭処置が効果的との報告もある。；理由は球団制作中継のリポーターが就任直後だった為の処置である。；これは他の和歌山県内のローカル新聞でも同様の処置がとられている。；邸宅にある救急箱では傷を処置できる薬もなく、誰もが大声で泣いていた。；ダニが皮膚に食い込んだ場合は、自分で抜かず医師の処置が必要である。；これはアングルの首の怪我にできるだけ障らないための処置であった。；自宅であっても病院であっても担当者が派遣され、献眼の処置を行う。；処置室、ICUは救命病棟24時第二シリーズのセットが使われている。；中心性チアノーゼが現れた際は、基本的に何らかの処置を必要とする。；しかし、FAAはこの件に関しても推奨された処置を行っていなかった。；国内外への遺体の輸送にエンバーミング処置を義務付けている国もある。；これは帝国全土の教会に対して同様の処置がとられるべきことを命じていた。；このような処置を行っていたのはグランプリシリーズの中でも本大会のみである。；移植前処置開始前後から生着が確認されるまで無菌室で行われることが多い。；参謀本部は、政治的な指導の委託を受けて軍事的な処置をとるものである。；これは、御台所に格式が求められたためなされた処置であると考えられる。；いうまでもなく鼻の処置であるため、目の症状には効果はない。；現代では、医療的に治療のために行われる処置も穿頭と呼んでいる。；処置や判断の速さもかなりのもので、複数の患者を同時に治療することもある。；これは呼吸穴から衝撃波が進入しないようにするための処置である。</t>
        </is>
      </c>
      <c r="J4150">
        <f>HYPERLINK("https://www.weblio.jp/content/処置", "词义详情")</f>
        <v/>
      </c>
      <c r="K4150">
        <f>HYPERLINK("https://yourei.jp/処置", "查看例句")</f>
        <v/>
      </c>
    </row>
    <row r="4151">
      <c r="A4151" t="inlineStr">
        <is>
          <t>食器</t>
        </is>
      </c>
      <c r="B4151" t="inlineStr">
        <is>
          <t>成功</t>
        </is>
      </c>
      <c r="C4151" t="inlineStr">
        <is>
          <t>読み方：しょっき
食事に使う容器・器具。茶碗・皿・はしなど。「—棚」</t>
        </is>
      </c>
      <c r="D4151" t="inlineStr">
        <is>
          <t>食器類(8%)；食器戸棚(3%)；食器室；食器用洗剤；食器皿</t>
        </is>
      </c>
      <c r="E4151" t="inlineStr">
        <is>
          <t>食器類；カトラリー</t>
        </is>
      </c>
      <c r="F4151" t="inlineStr">
        <is>
          <t>ガラス食器；高級食器；用食器；金属食器；製食器</t>
        </is>
      </c>
      <c r="G4151" t="inlineStr">
        <is>
          <t>食器洗い；食器洗い機；食器セット；食器洗浄機；食器乾燥機</t>
        </is>
      </c>
      <c r="H4151" t="n">
        <v>29</v>
      </c>
      <c r="I4151" t="inlineStr">
        <is>
          <t>島の形が食器のハムジバクに似ているからこの名前がつけられたという。；竹で簡単な柵みたいな物が出来ていて、それには食器が日に乾してある。；皿や食器なしに移動しながら容易に食べられるように作られている。；ガチャンガチャンと妹が縁先の小さい池に食器類を投入する音が聞えた。；どうやら壊れた食器を掃除しているうちに、眠って夢を見ていたらしい。；お客でもしたら毎日食器を変えても、一カ月分ぐらいはあるかも知れぬ。；彼はラマスフィールドの売り出しでガラス食器をセットで買ったんです。；カザフスタンの人々は出来る限り美しい食器を使用する伝統を有している。；ミリエルから譲り受けた銀の食器を売った資金で黒ガラス工場を作った。；僕は例の食器口を開けて、みんなが廊下の廻りを廻って歩くのを見ていた。；震度4で食器同士が音を立て、5強で棚の中のものが落ちるとされている。；水に濡れた食器や衣服は、乾燥機を使わなくても自然に乾くからである。；その外見からホテルやレストランの食器に擬態し紛れていることが多い。；家庭で日々用いる食器としてはこれらの磁器にまさるものはありません。；食器を洗っていると門が開き、誰かが台所の横窓の下にくるけはいがした。；テーブルの上には食器がならんで、さらの上にナプキンが置いてあった。；第一に彼の目にはいったものは、銀の食器のはいってる籠だった。；この食器類をぼくが検査したのは、あなたも見ましたね、カーリーさん。；すなわち、ほかの何者かがユーフィーミアの食器に手を触れたわけですよ。；その部屋の真ん中には夕食の残りと三人分の食器が用意されていた。；銀の食器を入れる小さな金庫のような箱は、台所の戸棚の中にあった。；ザンジャーンの職人は銀細工のほかさまざまな装飾的な食器なども扱う。；初期の轆轤は手や足で直接、轆轤を回転させながら壺や食器を形作った。；同社は1921年から東洋陶器の国内向け食器の販売も行なっていた。；ビードルは使い散らした食器類を配膳室の方へと運んでいったものだ。；元は祭祀で使われる礼器であったが、後世では日常の食器として使われた。；一般的には上面が広く開いている食器のうち浅く平たい形状のものを指す。；本体のほかに蓋と中子で構成され、それぞれ食器や米の計量にも使用される。；衣裳が婦人の生命でありますならば、食器はお料理の生命であると言えましょう。</t>
        </is>
      </c>
      <c r="J4151">
        <f>HYPERLINK("https://www.weblio.jp/content/食器", "词义详情")</f>
        <v/>
      </c>
      <c r="K4151">
        <f>HYPERLINK("https://yourei.jp/食器", "查看例句")</f>
        <v/>
      </c>
    </row>
    <row r="4152">
      <c r="A4152" t="inlineStr">
        <is>
          <t>しょっちゅう</t>
        </is>
      </c>
      <c r="B4152" t="inlineStr">
        <is>
          <t>成功</t>
        </is>
      </c>
      <c r="C4152" t="inlineStr">
        <is>
          <t>［副］《「初中後(しょちゅうご)」の音変化か》いつも。しじゅう。「—遅刻をする」</t>
        </is>
      </c>
      <c r="D4152" t="inlineStr">
        <is>
          <t>しょっちゅう来；しょっちゅう使わ；しょっちゅう聞かさ；しょっちゅう起こる；しょっちゅうこう</t>
        </is>
      </c>
      <c r="E4152" t="inlineStr">
        <is>
          <t>よく；まま；いつも；しばしば；常に</t>
        </is>
      </c>
      <c r="F4152" t="inlineStr">
        <is>
          <t>そんなにしょっちゅう；こんなにしょっちゅう；なんかしょっちゅう；しょっちゅう泣い；しょっちゅう飲ん</t>
        </is>
      </c>
      <c r="H4152" t="n">
        <v>29</v>
      </c>
      <c r="I4152" t="inlineStr">
        <is>
          <t>あなたたちがしょっちゅうふたりだけで出かけているのはそのためだわ。；しょっちゅう彼が悲鳴をあげている理由がお分かりになったでしょうか?；しょっちゅう彼女を見てはいたが、心でその姿を見たことはなかった。；生徒たちがその話をするのが、しょっちゅうハリーの耳に入ってきた。；あの人はこの頃しょっちゅう言いだすんだけど、あれなんのことかしら?；しょっちゅう誰かが階段のところでわっしを呼んでいるような気がします。；この部屋はコルサール人がしょっちゅう行き来する廊下の端にあるのだ。；父はしょっちゅう宗教のことを語ったり、また考えながら日を送った。；僕はラキーチンさんと意見があわないことがしょっちゅうあるんですよ。；男の人はしょっちゅう気が変わるもんだって母さんが教えてくれたわ。；そのへんにいる騎士連中がしょっちゅう変装して歩くことを知らないのか?；ところでこの男は数年まえからしょっちゅうわたしの事務所へやって来ます。；彼女の友達は、しょっちゅう流行の芝居の座席を彼女のために取ってくれた。；そこでわたしは彼をしょっちゅう夕食に家まで連れて来たものだ。；明け方に家を出て、翌日の夜まで帰ってこないこともしょっちゅうだった。；わしはしょっちゅうといっていいほど愚かで、しかも下劣になるんだよ。；見たまえ、習慣はしょっちゅう自然の法則をねじまげているではないか。；しょっちゅう、お化けのようなものが通るのが見えるような気がしました。；こういうことはしょっちゅう起こるので、すっかりなれきった動作である。；あたしのようにお皿をしょっちゅうこわすような子じゃないかもしれません。；村長はしょっちゅうこんなきわめて少ない場合のことを話していたのだった。；しょっちゅう、わたしはこの問いをわたしは自分で自分にかけてみました。；話ばかりして、しょっちゅう火を消したりつけたりする人のパイプですよ。；だから、彼はしょっちゅう窓ごしに自分の手になった仕事を見ていたわけである。；あなたはなんだってしょっちゅうそんなことを言っているんです?；しょっちゅう行ったり来たりし、日に二十度も出たりはいったりした。；ダヴーが朝に晩にやって来て、しょっちゅう議論さえもしていました。；しかしそれは、自分が村の子どもらからしょっちゅういわれていることでした。；大学の野球の選手で新聞にしょっちゅう名前が出ていたではないか。</t>
        </is>
      </c>
      <c r="J4152">
        <f>HYPERLINK("https://www.weblio.jp/content/しょっちゅう", "词义详情")</f>
        <v/>
      </c>
      <c r="K4152">
        <f>HYPERLINK("https://yourei.jp/しょっちゅう", "查看例句")</f>
        <v/>
      </c>
    </row>
    <row r="4153">
      <c r="A4153" t="inlineStr">
        <is>
          <t>しょっぱい</t>
        </is>
      </c>
      <c r="B4153" t="inlineStr">
        <is>
          <t>成功</t>
        </is>
      </c>
      <c r="C4153" t="inlineStr">
        <is>
          <t>読み方：しょっぱい
［形］
１塩味が濃い。塩辛い。「—・い漬物」
２勘定高い。けちである。「—・いおやじ」
３困惑や嫌悪で顔をしかめるさま。「—・い顔をする」
４声がしわがれている。声がかれ、かすれている。「—・い声を張り上げる」
５見劣りがする。つまらない出来である。もとは相撲で弱いことをいった語。「—・い試合」「—・い仕上がり」
[派生]しょっぱさ［名］</t>
        </is>
      </c>
      <c r="D4153" t="inlineStr">
        <is>
          <t>しょっぱい顔(9%)；しょっぱい試合(2%)；しょっぱい汗(2%)；しょっぱい涙(2%)</t>
        </is>
      </c>
      <c r="H4153" t="n">
        <v>29</v>
      </c>
      <c r="I4153" t="inlineStr">
        <is>
          <t>そんなしょっぱい眼つきをしたのは、この男も三十年ぶりのことだろう。；そして海の水と似たようなしょっぱさが、目尻の下からあふれでていた。；流れた涙の意味ではなく、その滑稽なしょっぱさを強調するようなリズム。；初めて会話した際にいきなり「お前の試合はしょっぱい」と言われたとのこと。；汗だか涙だかがまだ乾いていなくて、麻子さんの顔はどこもしょっぱかった。；何でまた、あのしょっぱい顔をした水夫風情の言うままになったんだろう?；だけど、いつの間にか、しょっぱくなった雨が口の中にまで流れこんでいた。；チーズが十分にしょっぱい場合には塩を入れないこともある。；石膏像の首のようにも見えるが、それは舐めるとしょっぱいはずだ。；私たちも半信半疑でそれを真似てみると、不思議なことに海の水がしょっぱくないのです。；特に、中華料理が好きであるがしょっぱい味は苦手だと語っている。；まだ酒が残っているのか、ツラヌイはしょっぱい顔をしている。；甘いもの、しょっぱいもののどちらでもカノム・トーキョーの具になる。；水はなんだかしょっぱいへんな味がしました。；思い出しただけで、由乃の方も「しょっぱいしょっぱい」なんだけれど。；パン以外はどれもこれも、やけにしょっぱくて変な味がして、ほんの一口ずつしか食べることができなかった。；オレはこの世でもっともショッパイ客にあたってしまった。；しょっぱいかな、と思った直後には鼻の奥に独特のにおいが抜けていって、喉の奥に全部溶けてしまう。；その多くは小テストのショッパイ結果を眺めながら、友人と互いに愚痴をこぼし合った。；涙と一緒に鼻水まで口に流れこんできて、しょっぱかった。；塩はしょっぱさを与えるものであるが、甘いものに混ぜて甘味を増加させるためにも使用される。；激しいのはいやだ痛いのはいやだ苦いのはしょっぱいのはそれから苦しいのはいやだ悲しいのもいやだ。；ドバドバ出てきて口に入ってしょっぱかったりした。；洗濯せずに日にさらしたジーンズのようなちょっとしょっぱい老人の臭いがする。；でも、いつもの味よりどこかしょっぱく感じられた。；遠子先輩の唇は溶けてしまいそうにやわらかで、濡れていて、しょっぱい味がした。；どうも東京の下町人の舌にも近ごろはそのショッパイ味覚がさっぱり忘れられてきた。；唇の上に、大粒でしょっぱいものがしたたり落ちた。；泣いた後のせいか、ほんの少しだけしょっぱい味が混じっている。</t>
        </is>
      </c>
      <c r="J4153">
        <f>HYPERLINK("https://www.weblio.jp/content/しょっぱい", "词义详情")</f>
        <v/>
      </c>
      <c r="K4153">
        <f>HYPERLINK("https://yourei.jp/しょっぱい", "查看例句")</f>
        <v/>
      </c>
    </row>
    <row r="4154">
      <c r="A4154" t="inlineStr">
        <is>
          <t>所定</t>
        </is>
      </c>
      <c r="B4154" t="inlineStr">
        <is>
          <t>成功</t>
        </is>
      </c>
      <c r="C4154" t="inlineStr">
        <is>
          <t>読み方：しょてい
決められていること。決まっていること。「—の期日までに提出する」</t>
        </is>
      </c>
      <c r="D4154" t="inlineStr">
        <is>
          <t>所定位置；所定給付日数；所定時間；所定量；所定の実務年数</t>
        </is>
      </c>
      <c r="F4154" t="inlineStr">
        <is>
          <t>条所定；所定の申込用紙；所定期間内；所定めず；所定ダイヤ</t>
        </is>
      </c>
      <c r="G4154" t="inlineStr">
        <is>
          <t>所定外労働時間</t>
        </is>
      </c>
      <c r="H4154" t="n">
        <v>29</v>
      </c>
      <c r="I4154" t="inlineStr">
        <is>
          <t>なお、次の場合は所定の期間より短い期間を有効期間とすることがある。；また、所定の判定時間以外で見えた線は、正しい結果でない場合がある。；二段以上は、昇段戦に参加し所定の成績をあげることにより認定される。；そして6月2日に始発から全列車が所定の運転に復旧することになった。；葬送列車が進行する際には、会葬者は所定の位置に立って弔意を表した。；所定の高度で飛行する航空機が、どれだけ遠くのレーダーを攻撃できるか。；そこで軍服の所定の位置に簡略化された略綬を付ける事がよく行われる。；イギリス艦隊は所定の位置に着いた後はほとんど動かなかった。；シナリオは任務を受け所定の時間が経過することで進行していく。；また、所定の時間を超過した場合はどんなに点が高くても失格となる。；PITは基本的な訓練には含まれず、後に所定の訓練を受けなければならない。；社会前進の分量として彼は所定の社会の分量エネルギー消費を提案した。；Rボタンを押しながら、技ごとに異なる所定の操作を行うことで発動する。；つまり、所定のサイズと形状の粒子が溶液の底に定着する速度を示す。；住宅ローンの場合には「所定の保証会社」の保証が求められる場合が多い。；制御系全体が振動しながら所定の安定的な状態に収束する制御方式である。；一人であっても住民監査請求を行って所定の条件を満たしていれば行える。；所定の操作でそれら機能が働くものは隠しコマンドとも呼ばれる。；同期センサーが製品がコンベア上の所定の検査位置に来たことを知らせる。；利用するには使用日の5日前までに所定の使用承認申請書を提出する必要がある。；医師の診断書ですが所定の様式があるのでそれを使用すること。；他金融機関のカード利用時は所定の現金自動支払機利用手数料がかかる。；マリナー型貨物船では所定の機数を搭載できるかが不安視された。；他にも資源や時間が限られていたり、所定の条件が課されたりすることもある。；所定の目的を達した特定地域総合開発計画は1967年に完了した。；既に両方のカードを所持していた人は所定の手続きで本カードに変更することが可能。；なお、所定の位置に通常のサメが停止してもボールは払いだされない。；綱元床面には綱を所定の位置で固定するためのストッパーが設けられている。；局の途中において、所定の条件が満たされた場合に流局とすることがある。</t>
        </is>
      </c>
      <c r="J4154">
        <f>HYPERLINK("https://www.weblio.jp/content/所定", "词义详情")</f>
        <v/>
      </c>
      <c r="K4154">
        <f>HYPERLINK("https://yourei.jp/所定", "查看例句")</f>
        <v/>
      </c>
    </row>
    <row r="4155">
      <c r="A4155" t="inlineStr">
        <is>
          <t>書店</t>
        </is>
      </c>
      <c r="B4155" t="inlineStr">
        <is>
          <t>成功</t>
        </is>
      </c>
      <c r="C4155" t="inlineStr">
        <is>
          <t>読み方：しょてん
書物を売る店。また、書物を出版する店。本屋。</t>
        </is>
      </c>
      <c r="D4155" t="inlineStr">
        <is>
          <t>書店チェーン；書店主；書店等；書店経営；書店流通</t>
        </is>
      </c>
      <c r="F4155" t="inlineStr">
        <is>
          <t>堂書店；大手書店；大きな書店；籾山書店；専門書店</t>
        </is>
      </c>
      <c r="G4155" t="inlineStr">
        <is>
          <t>書店くじ</t>
        </is>
      </c>
      <c r="H4155" t="n">
        <v>29</v>
      </c>
      <c r="I4155" t="inlineStr">
        <is>
          <t>不健全図書に指定された書籍は、大手や一部の書店で販売されていない。；現在の公立図書館や一般の書店で目にしやすいと見られるものに限った。；一方で書店におけるトイレは経営上重要な意味をもつという意見もある。；すべての書店の売上から生じる利益の一部は、公園等に寄付されている。；書店での生理現象を指す現象の由来となった女性とは同名の別人である。；近畿地方では本書を置かない方針とする書店や公共図書館も一部にある。；同社書籍だけでなく、他社商品含め広く漫画一般を取り扱う書店だった。；これは一般書店での販売ではなく、同団体が申し込みに応じて発行していた。；これは、大手書店のランキングで上位に掲載されることを目的とした行為である。；ヨーロッパでは、書店の他に雑誌と新聞のみを扱う専門店がある。；会員制による定期購読となっており、一般書店等では販売されていない。；出版事業は、企業直販向けの部門と、書店・一般向けの部門に分かれる。；鉄道業界の動向を伝える業界誌であり、日本の書店での取り扱いはない。；東京都内ほか主要都市の大手書店内で勧誘する姿を目にすることが多かった。；インターネットを通じて販売しており、通常の書店では手に入らない。；一般書店以外にも社会人野球主要大会の会場でも販売されている。；書店の常連客の中には、来店のたびにトイレを利用する者も存在する。；安全に書店に戻ることができなくなったため、時計塔の方へ進んだ。；米国の図書館や一般書店にコミックが置かれるようになったのには同作の影響がある。；書店は流通ルートを持たない出版社と直接取引するよりも早く入手できる。；書店に勤務しながら低予算の劇場プロジェクトの脚本執筆、また指導などを行う。；ただしとっさに退店するのが難しい構造の書店もあるので注意が必要である。；これは当時の書店数とほぼ同じで、500億円規模の市場となった。；書店という環境に存在する化学・物理的な刺激に原因を求める意見は多い。；また、資料の調達は自動車資料の知識を有する書店に依頼している。；李氏朝鮮では末期になるまで書店が存在せず書籍を売買する事が出来なかった。；書店はなく、購入できるのは商店で売っているごく限られた雑誌や本のみである。；それとは別に運輸の都合や書店によって刊行日が異なることもある。；チョの父親は自営業者で、書店を経営していたが、収入はわずかであった。</t>
        </is>
      </c>
      <c r="J4155">
        <f>HYPERLINK("https://www.weblio.jp/content/書店", "词义详情")</f>
        <v/>
      </c>
      <c r="K4155">
        <f>HYPERLINK("https://yourei.jp/書店", "查看例句")</f>
        <v/>
      </c>
    </row>
    <row r="4156">
      <c r="A4156" t="inlineStr">
        <is>
          <t>書道</t>
        </is>
      </c>
      <c r="B4156" t="inlineStr">
        <is>
          <t>成功</t>
        </is>
      </c>
      <c r="C4156" t="inlineStr">
        <is>
          <t>読み方：しょどう
毛筆によって書の美を表そうとする芸術。中国で古くから発達。日本に伝来し、平安時代に草仮名がつくられたことと相まって独自の発展を遂げ、世尊寺流・持明院流・定家流・青蓮(しょうれん)院流などの流派が生じた。</t>
        </is>
      </c>
      <c r="D4156" t="inlineStr">
        <is>
          <t>書道会(3%)；書道教室(2%)；書道教育；書道団体；書道塾</t>
        </is>
      </c>
      <c r="F4156" t="inlineStr">
        <is>
          <t>書道芸術；泰東書道；六朝書道；書道美術館；東方書道</t>
        </is>
      </c>
      <c r="G4156" t="inlineStr">
        <is>
          <t>書道部；書道界；書道史；書道展；書道科</t>
        </is>
      </c>
      <c r="H4156" t="n">
        <v>29</v>
      </c>
      <c r="I4156" t="inlineStr">
        <is>
          <t>小学校などで子どもたちへ書道教室等のワークショップを開催している。；書道学科とは、書道を教育研究するために大学に設置される学科の名称。；教育系団体は独自の検定試験などを行い、書道の普及活動に努めている。；さらに漢字や書道などの漢民族独特の文化をも取り入れていったのである。；東京書道教育会はペン字・書道教育の普及を目的として設立された団体。；関東を中心に、日本書鏡院より教授資格を授与された書道教室がある。；これまでの書道は技法を継承し、古典の再現を指向するものであった。；中国の書道を学びたがって、シーマンは、中国語のクラスに出席した。；主に授業や習い事での書道に多く用いられ、漫画制作用にも頻繁に用いられる。；書の視点から仏教の世界を探求した素堂は、新文人主義仏教書道を提唱。；隋は南方の文化を取り入れ、王羲之を中心とする南朝の書道を重視した。；書道教育には力を入れており、多くの書家や研究者を輩出している。；故郷の豊中市で音楽教室を経営し、書道とピアノを子供に教えている。；書道は主に毛筆と墨を使いその特徴を生かして紙の上に文字を書く。；芸術コースは、音楽系・美術系・書道系の3系列に分かれている。；モンゴル書道もまた、道具から様式に至るまで中国書道の影響を受けている。；書道をやっていてよかったと思う瞬間は、自分の書をプレゼントするときだという。；TV等でパフォーマンス書道を行っていることで広く知られている。；前述の通り、小篆は現代でも書道や印章の世界では現役の書体である。；北辰書道会をベースに多くの弟子や生徒に指導を行っている。；母親のほか祖父母も書道家であり、自身も書道で特待生の位を有している。；翌年、上田桑鳩が中心となって結成された書道芸術社に参加した。；書道班は全国優勝に該当する文部科学大臣賞を多数回受賞している。；特技は、ダンス・ピアノ・ギター・ベース・料理・書道・サッカー。；今まで学んだことをベースに自分が主宰する書道団体を設立。；また、書道の心得があり、彼の文字は非常に読みやすいものだった。；また書道や中国獅子舞の技術を持つことでも知られていた。；書道の才能があり、書を通じて本願寺との交流も盛んに行っていた。；幼い頃から書道を習っていたわけではなく、書画の道は独学で歩み始めた。</t>
        </is>
      </c>
      <c r="J4156">
        <f>HYPERLINK("https://www.weblio.jp/content/書道", "词义详情")</f>
        <v/>
      </c>
      <c r="K4156">
        <f>HYPERLINK("https://yourei.jp/書道", "查看例句")</f>
        <v/>
      </c>
    </row>
    <row r="4157">
      <c r="A4157" t="inlineStr">
        <is>
          <t>助動詞</t>
        </is>
      </c>
      <c r="B4157" t="inlineStr">
        <is>
          <t>成功</t>
        </is>
      </c>
      <c r="C4157" t="inlineStr">
        <is>
          <t>読み方：じょどうし
品詞の一。付属語のうち、活用のあるもの。用言や他の助動詞について叙述を助けたり、体言、その他の語について叙述の意味を加えたりする働きをする。</t>
        </is>
      </c>
      <c r="H4157" t="n">
        <v>29</v>
      </c>
      <c r="I4157" t="inlineStr">
        <is>
          <t>助動詞のそれぞれの意味については、あとでゆっくり見ることにしましょう。；話し手は、自分の気分に合わせて、さまざまな助動詞を使うことができます。；一方、東三河では、「れる」以外の尊敬助動詞はほとんど用いられない。；ドイツ語では、法の助動詞を除くと、過去を表すのに非過去の完了がごく普通に用いられる。；英語の助動詞も、歴史の古さは様々であるが、すべて意味のある動詞に由来する。；特徴的な助動詞のうち主要なものは次のとおり。；助動詞の最も主要な役割は、動詞に付属して以下のような情報を加えることである。；いかがですか、それぞれの助動詞の意味の違いを感じていただけたでしょうか。；ただしこのような活用ができる動詞は限られており、代わりに助動詞を用いるのが普通である。；鈴木重幸・鈴木康之・高橋太郎らは大部分の助動詞を単語とは認めない。；文章の型を定めてゐるものが違ふので、助動詞なんかゞ違ふのです。；複合時制において時制を示すのは助動詞であって、本動詞は変化しない。；特定の助動詞や助詞以外は全県で共通するものが多い。；英語は未来時制を持たないが、未来を表現するには一般に法の助動詞 を用いる。；ただし、普通は、助動詞は語幹と活用語尾を区別することはほとんどない。；条件法や未来を表わす助動詞を使ったり、形式主語を用いたりもする。；助動詞は通常、動詞が本来の意味を失って文法機能だけ表示するようになったものである。；東北地方・北関東を中心に広い範囲で使用される助動詞である。；なお、形容動詞とされるものと助動詞「だ」の活用様式は基本的に同一である。；日本語において活用する語は用言と助動詞であり、あわせて活用語という。；日本語は上のような動詞の活用・助動詞などの結合が多い点で、総合的言語といえる。；語法を分解して考えて見れば、その秘密はどうやら助辞や助動詞の間にあるようにも推測されぬでもない。；英語では未来表現として一般に法助動詞のwillまたはshallを使う。；山田孝雄は、助動詞を認めず、動詞から分出される語尾と見なしている。；essereを助動詞にした場合、過去分詞は主語の性数に一致する。；現代語では、日本語のように動詞の前後や文末に助詞・助動詞が来る。；助動詞のない場合は、形式助動詞 do を用いてその位置を入れ替える。；実際、彼は助動詞としての用法や存在や位置を示すための用法には何の問題もないとしていた。；ただし、基底語順で助動詞が動詞の前にある点がドイツ語と異なる。</t>
        </is>
      </c>
      <c r="J4157">
        <f>HYPERLINK("https://www.weblio.jp/content/助動詞", "词义详情")</f>
        <v/>
      </c>
      <c r="K4157">
        <f>HYPERLINK("https://yourei.jp/助動詞", "查看例句")</f>
        <v/>
      </c>
    </row>
    <row r="4158">
      <c r="A4158" t="inlineStr">
        <is>
          <t>所得</t>
        </is>
      </c>
      <c r="B4158" t="inlineStr">
        <is>
          <t>成功</t>
        </is>
      </c>
      <c r="C4158" t="inlineStr">
        <is>
          <t>読み方：しょうとく
得をすること。もうけること。
「これにかへてんやと言ひければ、玉のぬしの男、—したりと思ひけるに」〈宇治拾遺・一四〉</t>
        </is>
      </c>
      <c r="D4158" t="inlineStr">
        <is>
          <t>所得水準(5%)；所得者；所得層；所得倍増；所得税</t>
        </is>
      </c>
      <c r="E4158" t="inlineStr">
        <is>
          <t>入り；利益；上り；収入；上がり</t>
        </is>
      </c>
      <c r="F4158" t="inlineStr">
        <is>
          <t>中所得；年間所得；所得調査；中間所得；資本所得</t>
        </is>
      </c>
      <c r="G4158" t="inlineStr">
        <is>
          <t>所得格差；所得税法；所得倍増計画；所得控除；所得隠し</t>
        </is>
      </c>
      <c r="H4158" t="n">
        <v>29</v>
      </c>
      <c r="I4158" t="inlineStr">
        <is>
          <t>つまり、所得の低い一般人の子弟は中学に行くなと考えていたのである。；水力発電所がある関係で、他の山村よりも所得数字的には上位にあった。；基礎消費は所得がゼロになったとしても変化しないような消費を表す。；これらの改革によってハンガリー経済は発展し、国民の所得も増加した。；人々の所得・雇用が減ってしまうと、貧困者層には大きな打撃を与える。；そして、彼の所得のための信託財産がきちんと準備されなかったと主張する。；また所得の少ない女性には、自宅でのセルフ受精を行っている企業もある。；日本では所得税率が高いために自発的に悠々自適の生活に入る人は少ない。；所得水準も、町西側の民間マンションの住民をのぞけば低いほうである。；ジョン・スコット・ハリソンの農業所得の大半は子供の教育に費やされた。；赤字の場合は、一定の範囲で他の所得と損益通算をすることができる。；ただし、赤字であっても、他の所得の金額から控除することはできない。；また、中学生で緑帯を所得したものは中学校卒業した時点で青帯昇格となる。；需要側の要因の一つが一人当たりの所得の上昇である。；経常収支と輸入額は共に q と国内の所得レベル Y の関数である。；黄金律で最大化されるのは消費であって、生産や所得が最大化されるわけではない。；中間所得層が購入可能な価格設定としたこともあって発売直後から人気を博した。；これが個人の金融所得になった時点で適用される日本での所得税とは違う点である。；個人の所得層別の影響分布は関係する仮定および測定された時点に基づいて大きく変化する。；すなわち、人々は所得が減少しても消費を維持しようとする。；各所得グループの納税者の割合は2023年の期間にも示されている。；所得の不平等と経済成長はどのように折り合いをつけることができるのか?；所得が落ち、製品需要が低下すると、工場や設備を新設しようとする要求は低下する。；デナリ郡は2005年時点での一人あたり所得では全米第49位だった。；部族員であるオグララ族の一人あたりの所得は年間で約7000ドルである。；国際的には中所得国であり、アフリカ開発銀行の本部が置かれている。；受験産業の確立した高い所得水準を誇る地方ではほとんど確認されない。；教育程度や所得の低い層や高齢者から高い人気を得ている。；この所得を得る機会を犠牲にしているからである。</t>
        </is>
      </c>
      <c r="J4158">
        <f>HYPERLINK("https://www.weblio.jp/content/所得", "词义详情")</f>
        <v/>
      </c>
      <c r="K4158">
        <f>HYPERLINK("https://yourei.jp/所得", "查看例句")</f>
        <v/>
      </c>
    </row>
    <row r="4159">
      <c r="A4159" t="inlineStr">
        <is>
          <t>処罰</t>
        </is>
      </c>
      <c r="B4159" t="inlineStr">
        <is>
          <t>成功</t>
        </is>
      </c>
      <c r="C4159" t="inlineStr">
        <is>
          <t>読み方：しょばつ
［名］(スル)罪に相当する罰を加えること。罰すること。「違反者を—する」</t>
        </is>
      </c>
      <c r="D4159" t="inlineStr">
        <is>
          <t>処罰する(12%)；処罰される(10%)；処罰しよ；処罰感情；処罰及び犯罪収益</t>
        </is>
      </c>
      <c r="E4159" t="inlineStr">
        <is>
          <t>処分；懲罰；罰する；成敗；処する</t>
        </is>
      </c>
      <c r="F4159" t="inlineStr">
        <is>
          <t>厳しく処罰；重い処罰；重く処罰；刑事処罰；過酷な処罰</t>
        </is>
      </c>
      <c r="G4159" t="inlineStr">
        <is>
          <t>処罰法；処罰規定；処罰阻却事由</t>
        </is>
      </c>
      <c r="H4159" t="n">
        <v>29</v>
      </c>
      <c r="I4159" t="inlineStr">
        <is>
          <t>医師たちが意見をすると激しく怒り、処罰する寸前に至ることもあった。；旧幕府勢力への処罰では厳罰を主張し、戦後の石高を低いものに抑えた。；ただし、刑事処罰はないので事実上黙認されている状態となっている。；徽章は誰でも購入できるが、叙勲されていない者が着用すれば処罰される。；イスラエルの民が金の子牛を崇拝した際には、極刑をもって処罰された。；そして厳しい処罰を要求し、違反とは関連のないことにまで判断が影響する。；帰国し処罰されても万人のためにならないし、これこそ無駄死にだ。；現在のドイツなど、複数の国では掲示行為自体が処罰の対象となる。；FARC戦闘員への逮捕命令は一時停止されるが、合意違反は処罰される。；これらには独裁の犠牲者を悼み、犯行者を処罰することも含まれていた。；我々はヒットラーとその側近だけを処罰することに腐心したわけではない。；この経緯のため田中自身は処罰されず、トレーナーが処分を受けた。；ユダヤ人を傷つけるか殺害するかした者は誰であれ処罰すると世に知らしめた。；何人かの商人や指導者は処罰を受けたものの、幕府が衰えるきっかけとなった。；根拠法が制定されており、これ以外は全て賭博罪で処罰の対象となる。；戦争における残虐行為を裁判で処罰することを定めた最初の公式宣言となった。；六波羅探題に対しても、御家人の処罰権を与えるなど機能を強化させた。；幕府は帰国に身の安全を保証したが、仙太郎には処罰の恐怖が勝ったといわれている。；学校指定の制服を正しく着用しない場合は校則違反となり処罰される。；また軍令違反であるからといって必ずしも処罰を受ける訳ではない。；この場合、親族相盗例に従えば、祖母と伯父夫婦は処罰される事はない。；特にファイル共有ソフトは所有しているだけで処罰の対象となる。；その後復帰したものの、処罰として第1試合での試合を義務付けられた。；またユーザーは権利侵害と判断されれば、いきなり処罰されてしまう。；もしこのお触れを無視し、隠れて他所酒を飲む者があったら処罰する。；事実上の婚姻をも含むとすれば処罰範囲が曖昧になるためである。；犯罪者に対しては法の裁きを受けさせず、自らの手で処罰することもある。；処罰などをした場合は農民を引き渡した側の体面を潰すことになるからである。；司法警察活動の中心は犯罪の訴追もしくは処罰の準備のための捜査活動である。</t>
        </is>
      </c>
      <c r="J4159">
        <f>HYPERLINK("https://www.weblio.jp/content/処罰", "词义详情")</f>
        <v/>
      </c>
      <c r="K4159">
        <f>HYPERLINK("https://yourei.jp/処罰", "查看例句")</f>
        <v/>
      </c>
    </row>
    <row r="4160">
      <c r="A4160" t="inlineStr">
        <is>
          <t>初版</t>
        </is>
      </c>
      <c r="B4160" t="inlineStr">
        <is>
          <t>成功</t>
        </is>
      </c>
      <c r="C4160" t="inlineStr">
        <is>
          <t>読み方：しょはん
刊行された書物の最初の版。また、その本。第1版。「—本」</t>
        </is>
      </c>
      <c r="D4160" t="inlineStr">
        <is>
          <t>初版発行(16%)；初版第(15%)；初版刊行；初版底本；初版譜</t>
        </is>
      </c>
      <c r="F4160" t="inlineStr">
        <is>
          <t>初版単行本；初版以降；初版表紙；初版発売；初版分</t>
        </is>
      </c>
      <c r="H4160" t="n">
        <v>29</v>
      </c>
      <c r="I4160" t="inlineStr">
        <is>
          <t>この本は1922年の初版から版を重ね、現在では第四版になっている。；この記事の初版はフランス語版ウィキペディアの記事が元になっている。；初版では8番目の話として収録されていたが、第二版以降で削除される。；もちろん、初版時の挿絵のままに出版され続けている本はさらに多い。；彩色されたものが初版の形態であったのかどうかは明確ではない。；パリとリガで出版されたロシア語での初版は、このホールにて発表された。；初版から装丁等を変えずに非常に長い間再刷が行われることでも知られる。；この著作の正確な題名は、初版と第二版以降で以下のように異なる。；英国人名事典の初版を出版した後、リーは増補巻の編集にとりかかった。；初版との交換も可能であったが、12月10日に店頭での交換期間が終了。；各バージョンの初版が出版された年は以下のとおりである。；初版の絶望的な結末も作者の当時の心理状態を反映したものである。；オックスフォード英語大辞典の初版で最も長い語として記載されている。；これはヒューズ自身が初版が出版された後すぐにタイトルを改題したのである。；アメリカ版が先に発売され、クノップフの初版は15万部発行された。；初版では批判があった用例に年代が付されていない点を第二版では大幅に改善した。；その初版は日本語版第2版を翻訳したもので1980年に発行された。；前半の14通の書簡は初版の時点から詩集に含まれていたと考えられている。；この初版では後に用いられる三度のフレーズが左右の手でやり取りされる。；以前は複数版が存在したが、現在では初版のみの発行である。；このため誤ってこれらの年代が、初版の時期として言い伝えられている。；初版刊行時より、映画化の話があったが、ロケの問題もあり困難であった。；部分的な初版が1591年にアントウェルペンで によって印刷された。；前年1月1日から12月31日までに初版発行された新作が対象とされた。；第16版以降、ハールヴェークが初版に依拠し直したものとなっている。；印刷は大急ぎで行われ、1月30日には初版の印刷が完了したらしい。；初版のデザイナーであったサンディ・ピーターセンも同時期に社を離れた。；初版で省略された3番を含めた完全版のカバーは市販されていない。；初版では本とカセットテープが一体となったカセットブックの形態であった。</t>
        </is>
      </c>
      <c r="J4160">
        <f>HYPERLINK("https://www.weblio.jp/content/初版", "词义详情")</f>
        <v/>
      </c>
      <c r="K4160">
        <f>HYPERLINK("https://yourei.jp/初版", "查看例句")</f>
        <v/>
      </c>
    </row>
    <row r="4161">
      <c r="A4161" t="inlineStr">
        <is>
          <t>書評</t>
        </is>
      </c>
      <c r="B4161" t="inlineStr">
        <is>
          <t>成功</t>
        </is>
      </c>
      <c r="C4161" t="inlineStr">
        <is>
          <t>読み方：しょひょう
書物について、その内容を紹介・批評した文章。</t>
        </is>
      </c>
      <c r="D4161" t="inlineStr">
        <is>
          <t>書評欄(5%)；書評誌；書評委員；書評サイト；書評者</t>
        </is>
      </c>
      <c r="F4161" t="inlineStr">
        <is>
          <t>朝日新聞書評；書評新聞；書評掲載</t>
        </is>
      </c>
      <c r="H4161" t="n">
        <v>29</v>
      </c>
      <c r="I4161" t="inlineStr">
        <is>
          <t>いまは書評紙の編集部に勤めており、将来は作家になるつもりでいる。；彼は、自分の書物が受けるであろう書評の中の文章や文句を作ってみ始めた。；一九九二年の春、私はちょっと変わった本の書評を依頼されました。；で、読んだとしたら、きっとその内容を書評に書いたと思うんですよ。；今に又なんかの折、すこしはましな書評でもおめにかけたいものです。；しかし、書評でほめてあるので、つい買ったはいいが、読みにくい文章。；新聞や雑誌に次々と好意的な書評が出るようになって売れ行きは加速した。；現在も並行して文芸誌で書評も手がけるなど、マルチな活躍をしている。；その後の詳しい調査ではこの本についての書評もあったことが知られている。；出版業界では最も影響力があり広く読まれている書評誌の1つである。；ニュースに書評が掲載されるなど詩の枠組みを超えた評価を得る。；そのため、この本が出版されても、ほとんど書評がなされなかった。；私はその美点を認めないで書評を書いたことは一度もなかった。；書評したいと思っているうちに、その時期を失してしまう本がある。；後に、先生の『行政の理法』の書評を書くようにと雑誌社から依頼がきた。；これに伴って精神医療をテーマとした書籍の書評も手がけている。；彼女の作品は雑誌のに掲載され、にも好意的な書評が掲載された。；紙面の特集項目に存在する刊行書籍の書評を、高く評価する人がいる。；ネイチャー同様、原著論文の他に論文の紹介記事や書評なども掲載される。；執筆法、法帖・諸碑の評論、古名人より張照に至るまでの書評論である。；この他、新刊の専門書の書評欄や海外ニュースの欄なども設けられている。；もし私があの書評をかくとすればそのところにつよい光をあてます。；ある者は読みとおし、ある者は第一章だけ読み、ある者は書評を読む。；ただ、狐名義の書評の多くは本の読みどころを好意的に取り上げたもの。；毎号で特集を組み、地図の話題以外に関連書の書評なども掲載される。；大拙の英文による主要著書の書評を北川は米国の宗教学術誌に執筆した。；いまこの四冊の評論集をながめて、書評を書こうとし、非常に困難を感じる。；ところが、二冊の統合版が出版されたときには、書評は好意的だった。；随筆や書評などの著作物は例えば次のような新聞・雑誌に寄稿した。</t>
        </is>
      </c>
      <c r="J4161">
        <f>HYPERLINK("https://www.weblio.jp/content/書評", "词义详情")</f>
        <v/>
      </c>
      <c r="K4161">
        <f>HYPERLINK("https://yourei.jp/書評", "查看例句")</f>
        <v/>
      </c>
    </row>
    <row r="4162">
      <c r="A4162" t="inlineStr">
        <is>
          <t>処分</t>
        </is>
      </c>
      <c r="B4162" t="inlineStr">
        <is>
          <t>成功</t>
        </is>
      </c>
      <c r="C4162" t="inlineStr">
        <is>
          <t>読み方：しょぶん
［名］(スル)
１取り扱いを決めて物事の決まりをつけること。処理。
「書生下女を差図して家事を—し」〈鉄腸・花間鶯〉
２規則・規約などを破った者に罰を加えること。処罰。「—を受ける」「違反者を厳重に—する」「懲戒—」
３不要なものや余分なものなどを、捨てる、売り払う、消滅させる、など適当な方法で始末すること。「古いノートを—する」「家を—する」
４
㋐公法上、具体的事実や行為について、行政権または司法権を作用させる行為。行政処分・強制処分・保護処分など。
㋑私法上、処分行為のこと。
[用法]処分・処理・処置——「処分（処理・処置）の方法を考える」のように、物や物事の扱いを決める意では相通じて用いられる。◇「処分」を人に対して使う場合は、「停職処分とする」のように違反・違法行為をした者に罰を加えること。物についていう場合は捨てたり手放したりする意で、「古い家具を処分した」のように用いる。これらは「処理」「処置」では置き換えられない。◇「処理」は「種なしぶどうはホルモン剤で処理される」「汚水処理」「事故の処理が終る」のように物に対して何等かの手を加え、それまでとは違った形にしたり、片づけたりすることで、人に対しては使わない。◇「処置」は「処理」と似ているが、「処理」より一時的で、その当座の扱い、当面の手当ての意が強い。また、物にだけでなく、人にも使うことができる。「けがの応急処置をする」「罹災者には緊急保護の処置を取った」などの場合、「処分」「処理」では置き換えられない。</t>
        </is>
      </c>
      <c r="D4162" t="inlineStr">
        <is>
          <t>処分される；処分しよ；処分方法；処分法；処分場</t>
        </is>
      </c>
      <c r="E4162" t="inlineStr">
        <is>
          <t>料理；処理；処刑；始末；刑</t>
        </is>
      </c>
      <c r="F4162" t="inlineStr">
        <is>
          <t>解体処分；追放処分；禁止処分；失格処分；騎乗停止処分</t>
        </is>
      </c>
      <c r="G4162" t="inlineStr">
        <is>
          <t>処分保留；処分状；処分行為；処分品；処分権主義</t>
        </is>
      </c>
      <c r="H4162" t="n">
        <v>29</v>
      </c>
      <c r="I4162" t="inlineStr">
        <is>
          <t>父の死後、母が父の写真を全部処分したため、父の顔は知らないという。；北米やオーストラリアなど多くの国でそれに準じた処分が行われている。；さらに、晩年になっても友人に昔の作品を処分するよう依頼している。；ここでコラボレートが処分を受けた受け入れ先企業が明らかとなっている。；最終的に5両が個人・企業に売却され、他の車両は全て解体処分となった。；処分は10月26日付で行われていたが、テレビ朝日は公表しなかった。；また、潜水は処分士が総括しており、処分士は掃海科に配置されている。；このような処分は全国でも2例だけで、他は旧武蔵国や旧摂津国である。；エンポリウムでは遠征した軍隊のために補給や戦利品の処分も行なった。；なお、本系列は他社へ譲渡された車両は存在せず、全車解体処分された。；少年院送致の処分は警察や裁判所に前歴が残るだけで前科にはならない。；以上の事件を受けて、それぞれの関係者には以下の処分が下された。；ゲーム終了後は使用した空き缶をゴミとして処分するのがマナーである。；所有権とは、物の全面的支配すなわち自由に使用・収益・処分する権利。；また、後述の不渡りを起こした者に厳しい処分がとられるのもこのためである。；当然、自由な処分は不可であり、その経営の仕方も決められたものであった。；この処分に不服を感じたチームメイトは、全員で試合出場をボイコット。；この中で安吾は、升田の処分を決める棋士総会を傍聴したと記している。；この塩振りおじさんは国際サッカー連盟により処分されることとなった。；難を逃れた成氏は両者の処分を幕府に訴えたが実現しなかった。；反対投票をした者はその場で逮捕、強制収容所への送致処分となることがある。；これらの事項は当事者の合意による任意の処分ができないと考えられている。；そのため、多くが産廃として処分され、その有効利用が課題となっている。；千代田処分を命じられた五十鈴だが曳航を断念せず準備を進めていた。；この処分は、次の党会議で承認を受けなくてはならない。；戦後は政治家になろうと故郷の長野に戻ったが公職追放処分になり諦めている。；すぐに何かを思いつくことができない場合は、歌詞を処分した。；家を引越しする際、可燃ごみと一緒に処分してしまったのではないかとされる。；このほか幾人かが追放などの処分を受けた。</t>
        </is>
      </c>
      <c r="J4162">
        <f>HYPERLINK("https://www.weblio.jp/content/処分", "词义详情")</f>
        <v/>
      </c>
      <c r="K4162">
        <f>HYPERLINK("https://yourei.jp/処分", "查看例句")</f>
        <v/>
      </c>
    </row>
    <row r="4163">
      <c r="A4163" t="inlineStr">
        <is>
          <t>初歩</t>
        </is>
      </c>
      <c r="B4163" t="inlineStr">
        <is>
          <t>成功</t>
        </is>
      </c>
      <c r="C4163" t="inlineStr">
        <is>
          <t>読み方：しょほ
学問・技術・芸事などの習いはじめ。初学。手はじめ。「ドイツ語を—から学ぶ」</t>
        </is>
      </c>
      <c r="D4163" t="inlineStr">
        <is>
          <t>初歩的なミス(3%)；初歩練習；初歩的な知識；初歩的な質問；初歩段階</t>
        </is>
      </c>
      <c r="E4163" t="inlineStr">
        <is>
          <t>最初；開始；初；初め；始まり</t>
        </is>
      </c>
      <c r="F4163" t="inlineStr">
        <is>
          <t>最も初歩的；こんな初歩；そんな初歩；ほんの初歩；あまりにも初歩的</t>
        </is>
      </c>
      <c r="H4163" t="n">
        <v>29</v>
      </c>
      <c r="I4163" t="inlineStr">
        <is>
          <t>これは現在では初歩的な積分を使うことで簡単に確認することができる。；広告の初歩を学ぶといって、彼がいた会社でアルバイトをしていた娘だ。；しっかり演奏に集中しないと今みたいに初歩的な指示を受けることになる。；これによって本田の開発陣は航空機の開発の初歩的な経験を身に付けた。；職場グループ等で詩を勉強している、初歩の人たちだけが読んで下さい。；エドガーはそういう初歩的なこともよくわかっていない自分に苦笑した。；シャプレーは一般の人々に理解できるような初歩的な話を主に取り上げた。；初歩的な女の学生の間にそれは愛情と亢奮とをもって読みまわされていた。；彼らの生理学は初歩的なものであり、哲学によって強く支配されていた。；度学という書物は残っているものがあるが、もとより初歩のものである。；多分そんな初歩的なことは、おれ以外の誰もが知っていたのだろう。；この悲劇は内鍵を掛け忘れることから生じる、ごく初歩的なミスである。；いま彼らに金縛りの術をかけてきたように初歩の魔法を使うことすらできる。；縄文クッキーからの最も初歩的な進化といっていいかもしれなかった。；初歩的な論理の原則から言っても、それ以外の可能性は考えられない。；きわめて初歩の時代であると考えるのが妥当とさえ考えたいのでございます。；こんな訓練、ごく初歩的な反応速度の向上を狙ったものでしかない。；カメラ教室の先生も兼業しているので、初歩的なミスは出来なかった。；そこでは自由身分の人々が集団で暮らし、初歩的な自治の組織を持っていた。；どうしてそんな初歩的なミスをおかしてしまったのだろうと思った。；ただ、彼女が自分から疑いをそらすことができる初歩的な手段がある。；要するにこの種の霊媒は、初歩の心霊現象を作る為めの機関に過ぎない。；初歩的な実験や演習がそれほど面白いものでないことはたしかである。；「ごく初歩的な質問をしていいですか」 彼女は生き生きとしてきた。；内容は、インターネットに関する初歩的な質問に舟元が答えているもの。；恐らく、この初歩的経験はどんな名優にも通じているものだと推察する。；そのために岩本ら陸軍の搭乗員は訓練を初歩からやりなおす他なかった。；「どうだ、初歩の初歩ぐらいはわかってきたか」 息も切らせていない。；だからまったくの初歩から、知識や技術を実践的に身につける必要があった。</t>
        </is>
      </c>
      <c r="J4163">
        <f>HYPERLINK("https://www.weblio.jp/content/初歩", "词义详情")</f>
        <v/>
      </c>
      <c r="K4163">
        <f>HYPERLINK("https://yourei.jp/初歩", "查看例句")</f>
        <v/>
      </c>
    </row>
    <row r="4164">
      <c r="A4164" t="inlineStr">
        <is>
          <t>処方箋</t>
        </is>
      </c>
      <c r="B4164" t="inlineStr">
        <is>
          <t>成功</t>
        </is>
      </c>
      <c r="C4164" t="inlineStr">
        <is>
          <t>読み方：しょほうせん
１医師が、患者に投与する薬について薬剤師に与える指示書。
２（比喩的に）ある問題を解決するのに効果的な方法。「トラブル回避の—」</t>
        </is>
      </c>
      <c r="D4164" t="inlineStr">
        <is>
          <t>処方箋なし(6%)；処方箋無し；処方箋薬；処方箋調剤；処方箋発行</t>
        </is>
      </c>
      <c r="E4164" t="inlineStr">
        <is>
          <t>方式；手法；製法；レシピ；処方</t>
        </is>
      </c>
      <c r="F4164" t="inlineStr">
        <is>
          <t>保険処方箋</t>
        </is>
      </c>
      <c r="H4164" t="n">
        <v>29</v>
      </c>
      <c r="I4164" t="inlineStr">
        <is>
          <t>椅子の一つに腰をおろして鋭一は、父親のための処方箋を自分で書いた。；だが正直いって、こんな処方箋は現実的にはなんの役にも立ちはしない。；すでに昔の学者で多少処方箋らしいものを出している人もあります。；一般に、処方箋医薬品はこの処方箋がなければ入手することはできない。；社会的な要因なり処方箋が折々に提示されながら問題は深刻化するばかりだ。；しかし国や地域によって事情が異なるため、万能の処方箋は存在しない。；また巧妙な処方箋はどこからも出ようがないことかも知れなかった。；おれは処方箋ははっきり憶えているし、そのとおりやることに問題はない。；そのため近年では、ドラッグストアで処方箋を扱う店が出てきている。；あの処方箋は神様が書いているのではなく道士が書いているのかもしれない。；あれにしても医者の処方箋による糖尿病の薬かどうかわかったものではない。；ここじゃあ処方箋までは出せんが、起きたらこの薬を飲ませておいてくれ。；それは誰かに処方箋を与えてほしいという他力本願のあらわれだった。；日本の処方箋医薬品であり、医師の処方箋なしでは入手することはできない。；ポケットの中には、薬局へ届けるはずの処方箋がいくつかはいっていた。；日本国内で医薬品を購入するためには、医師の処方箋が必要となる。；会員がコンタクトレンズ の購入時には眼科で処方箋を入手する必要がある。；アメリカでは、日本と違い処方箋を書くことによる医師の収入は全くない。；処方箋を持って薬局へ行き、薬をもらって、指示通りに服用してください。；部屋は空だし、テーブルの上の処方箋を取るだけで、誰の邪魔をもしないだろうと私は考えた。；つまり大体の見当をつけておいて診察をし、処方箋を書くんですよ。；さっきもらった処方箋をドラッグ・ストアで見せて薬を買うこと。；低濃度のコデインが含まれる医薬品は処方箋なしで入手する事が可能である。；通常の処方箋とは別に、供給と流通について詳細な記録をつけることが求められる。；処方箋を書き、薬を受け取って部屋に帰ると、高梨の姿はなかった。；たぶん、上のクリニックで処方箋をもらい、薬を作ってもらっている客だろう。；よくそこに処方箋を持って行って、薬を出してもらうわ。；処方箋が届けられた先の人物には実験的にこの変化させたウイルスを投与されている。；念のためにと出された処方箋を、フランシスは近所の薬屋で調剤してもらう。</t>
        </is>
      </c>
      <c r="J4164">
        <f>HYPERLINK("https://www.weblio.jp/content/処方箋", "词义详情")</f>
        <v/>
      </c>
      <c r="K4164">
        <f>HYPERLINK("https://yourei.jp/処方箋", "查看例句")</f>
        <v/>
      </c>
    </row>
    <row r="4165">
      <c r="A4165" t="inlineStr">
        <is>
          <t>庶民</t>
        </is>
      </c>
      <c r="B4165" t="inlineStr">
        <is>
          <t>成功</t>
        </is>
      </c>
      <c r="C4165" t="inlineStr">
        <is>
          <t>読み方：しょみん
世間一般の人々。特別な地位・財産などのない普通の人々。「—の文化」「—の暮らし」</t>
        </is>
      </c>
      <c r="D4165" t="inlineStr">
        <is>
          <t>庶民的(6%)；庶民たち；庶民生活；庶民層；庶民階級</t>
        </is>
      </c>
      <c r="E4165" t="inlineStr">
        <is>
          <t>市民；世間；民；民衆；大衆</t>
        </is>
      </c>
      <c r="F4165" t="inlineStr">
        <is>
          <t>江戸庶民；貧しい庶民；広く庶民；庶民教育；庶民出身</t>
        </is>
      </c>
      <c r="G4165" t="inlineStr">
        <is>
          <t>庶民院議員；庶民的；庶民院議長；庶民院院内総務；庶民感覚</t>
        </is>
      </c>
      <c r="H4165" t="n">
        <v>29</v>
      </c>
      <c r="I4165" t="inlineStr">
        <is>
          <t>藩士のみならず農民等の一般庶民にも入学させたのを最大の特徴とする。；近世にも庶民は天皇の存在を知っており、敬慕していたとも述べている。；それを真似て装った女性らに流行し、その便利さから庶民にも定着した。；地方の指導者を育成するために武士のみならず庶民の子弟も教育した。；当初は貴族などが用いていたが、江戸時代には庶民にまで普及した。；また過去の時代の庶民の姿を題材としたものを「時代世話」とも呼んでいた。；この時の美は歴史の表舞台には現れないが、庶民の生活の中に息づいてきた。；その後、庶民などにも浸透していき現在の地位を確立することになる。；このような宗教が広まることで庶民の間にもその宗教は広まっていく。；中世になると、貴族に代わり武士や庶民が熊野詣をするようになった。；油の火の神として庶民の信仰を集めている油日神社の前を通っている。；庶民に流通するようになったのは改革開放政策実施後のことである。；時代に関係なく庶民の女性は何も纏わずに入浴するのが通例となっている。；江戸時代に庶民が1日3食を取るようになったのは元禄年間からとされる。；庶民はこの文字を使い詩や歌を記録し、また私文書に使用した。；街は庶民ばかりで軍隊はおらず、司教たちが指揮を執ることになった。；江戸時代中期に入ると全国の庶民の間へと信仰は広がった。；一方、庶民の嗜好の上などからラーメンの一種として扱われる事もある。；江戸末期には、口語としては庶民にまで一般的に使われるようになった。；この集団は各国から集まった庶民、第一回に従軍した領主や兵士が含まれていた。；江戸時代には武士階級にのみ朱肉が許され、庶民の印影は黒であった。；そして地方には地方貴族と庶民の教育を担当する郷校があった。；しかしこの後もピットは庶民院への巨大な影響力を有し続けた。；また、木工の改革は庶民や身分の低いものと直結していた点が特筆される。；平安時代には市で針が売られており庶民はその針で衣服を縫製したという。；近代まで庶民が貴人に面会するときも土下座をするのが通常であった。；この頃、三島大社境内に設けられた庶民大学など全国を巡り講義を行う。；中世以降、庶民の間でも家が成立し、その繁栄や継続が重視された。；日本でいえば味噌汁のように、庶民的でかつ各家庭ごとに味の異なるものである。</t>
        </is>
      </c>
      <c r="J4165">
        <f>HYPERLINK("https://www.weblio.jp/content/庶民", "词义详情")</f>
        <v/>
      </c>
      <c r="K4165">
        <f>HYPERLINK("https://yourei.jp/庶民", "查看例句")</f>
        <v/>
      </c>
    </row>
    <row r="4166">
      <c r="A4166" t="inlineStr">
        <is>
          <t>庶務</t>
        </is>
      </c>
      <c r="B4166" t="inlineStr">
        <is>
          <t>成功</t>
        </is>
      </c>
      <c r="C4166" t="inlineStr">
        <is>
          <t>読み方：しょむ
種々雑多な事務。「—係」</t>
        </is>
      </c>
      <c r="D4166" t="inlineStr">
        <is>
          <t>庶務課長(26%)；庶務係(5%)；庶務部長(4%)；庶務主任(3%)；庶務二課</t>
        </is>
      </c>
      <c r="E4166" t="inlineStr">
        <is>
          <t>僕；女中；ボーイ；使用人；召使い</t>
        </is>
      </c>
      <c r="F4166" t="inlineStr">
        <is>
          <t>局庶務；同庶務；兼庶務；編集庶務；庶務係長</t>
        </is>
      </c>
      <c r="H4166" t="n">
        <v>29</v>
      </c>
      <c r="I4166" t="inlineStr">
        <is>
          <t>この爆弾事件対策のための海外出張の第一の障害は警備局の庶務だった。；庶務担当者は渋い顔をしているが、老人達の間での評判はすこぶるいい。；庶務係の警官は、かれが署長室から降りてくる間に指示を受けたようだった。；現在庶務取扱に従事している俊秀の材は現場に出して実戦力とすること。；見廻したところ、在席しているのは庶務担当の女子行員一人だけである。；Sという大きな会社の庶務から、取締りに出て欲しいと云うのであった。；庶務の子の話だと、それもかなり大々的にプッシュしてきているらしいわ。；その声は正に庶務課全員の声を代弁していると言ってよかっただろう。；しかし福次郎は不幸にして職を追われ、今は小会社の庶務係に勤めている。；今考えると、その地点は庶務室と炊事場の境に近いところであった。；庶務課に配属されたが、毎日のように窓から離島を眺めていたという。；それが本当なら、庶務部にいた人間はみんな強制的に退去させられたはずだ。；しかし、寛の生まれたころ家は没落し、父親は小学校の庶務係をしていた。；「熊野君」 と庶務課の奥の宣伝部から畑君が私を見かけて出て来た。；特に小規模事業所では、技術職以外の事務、庶務等も行う事までもある。；いつもの通り庶務課へ入って行ったら、自分の机と椅子がなくなっていたのである。；サイバーセキュリティ戦略本部の庶務はNISCが行うこととされている。；ドアにノックの音がして、編集庶務の依田千鶴子がお茶を運んできた。；加藤はその本を取ると、すぐ庶務係の田口みやのところへ引返していった。；昨夜庶務係長とともに自分宛てに送りつけられたビデオを見たという。；書記の仕事は机の上で、会社でいうと庶務係のようなものです。；撮影現場には、庶務課長の他に教師もいたはずだし、何よりも大勢の生徒がいる。；次に総務か庶務を紹介してもらって、ここでも部長に試食をして頂く。；水は、ゆうべ庶務の老人が持ちこんでくれたが、一人一日分しか入れてない。；加えて、メディア監督機関の一般的な予算の準備及び計画と庶務を担当する予算担当委員会がある。；庶務課のひとは、もんの履歴書を見て立派な文字だと云つて讃めてくれた。；直接、客に接する部署は大変だが、正巳は庶務課長で、いわば雑用係だ。；庶務課の部屋は、役員の部屋に近いので彼らとときどき出会うことがある。；兵器の製造や食糧の備蓄など、軍事や国事の庶務において頼りにされた。</t>
        </is>
      </c>
      <c r="J4166">
        <f>HYPERLINK("https://www.weblio.jp/content/庶務", "词义详情")</f>
        <v/>
      </c>
      <c r="K4166">
        <f>HYPERLINK("https://yourei.jp/庶務", "查看例句")</f>
        <v/>
      </c>
    </row>
    <row r="4167">
      <c r="A4167" t="inlineStr">
        <is>
          <t>署名</t>
        </is>
      </c>
      <c r="B4167" t="inlineStr">
        <is>
          <t>成功</t>
        </is>
      </c>
      <c r="C4167" t="inlineStr">
        <is>
          <t>読み方：しょめい
［名］(スル)本人が自分の名を書類などに書くこと。また、その書かれたもの。「契約書に—する」</t>
        </is>
      </c>
      <c r="D4167" t="inlineStr">
        <is>
          <t>署名者(2%)；署名入り；署名捺印；署名国；署名簿</t>
        </is>
      </c>
      <c r="E4167" t="inlineStr">
        <is>
          <t>サイン；判；自筆；落款；肉筆</t>
        </is>
      </c>
      <c r="F4167" t="inlineStr">
        <is>
          <t>反対署名；請願署名；署名方式；署名付き；ご署名</t>
        </is>
      </c>
      <c r="G4167" t="inlineStr">
        <is>
          <t>署名運動；署名記事；署名サイト；署名本；署名tv</t>
        </is>
      </c>
      <c r="H4167" t="n">
        <v>29</v>
      </c>
      <c r="I4167" t="inlineStr">
        <is>
          <t>本プロジェクトへ参加を表明される方は/参加者へ署名をお願いします。；楽団のメンバーから多くの手紙や署名が届けられ、決心に至ったという。；ちなみに、署名のおよそ一割が女性の名であったことが知られている。；カザフスタンは2004年4月に議員会議との間で協力合意に署名した。；設立時社員など法人を設立しようとする者が作成し署名又は記名捺印する。；この作品は、ミケランジェロが署名を入れた唯一の作品として知られる。；手紙を読んだホームズは、それの署名までタイプされていることに注目した。；署名された協定は各国の議会又は上院によって批准される必要があった。；この署名運動では20日間のうちに100万人を超える署名が集まった。；このように制作された作品の中には署名のみルーベンスが行ったものも存在している。；識字率の低い時代にも署名や押印の代わりには、他の様々な手段が使われた。；それには私の署名があり、私が発令したのであり、私に責任がある。；これは署名なしの文書によるが、作者はフィチーノと目されている。；この様な状況から、円形になるよう放射状に署名する形式は登場した。；契約時に署名・捺印させられる書類は主なものだけでも、 などが挙げられる。；社説は社論の中核を成すものであり、通常は無署名で行われることが多い。；一方でジューコフはスターリンの発令した死守命令に共に署名している。；法律への署名に当たり、ジョージ・W・ブッシュ大統領は次のように述べた。；確かに収支計算書を送ってはきたものの、そこには誰の署名も入れられていなかった。；戦国時代になると、武家の多くは署名・花押のみを行うのが一般的となった。；彼らが日本各地に残した作品の署名には、雅号の前に朝鮮と描かれているものが多い。；最終的にソ連の代表は講和会議に出席したものの講和条約には署名しなかった。；それ以来、多くの国がこの条約に署名し、その提案を採択している。；小切手の署名は彼の顧客であり友人でもあるヘンリー・ジキル博士だった。；しかしこの通知後も韓国は「署名国」としての地位の要求を継続した。；当然のことではありますが、署名しなくても参加できます。；また、「赤旗」の評論員論文・無署名論文の多くを執筆したともいわれる。；対話証明プロトコルから署名方式を作成する方法もほぼ同様である。；和解時に署名された文書の規定により、ドスタムは元帥に叙されている。</t>
        </is>
      </c>
      <c r="J4167">
        <f>HYPERLINK("https://www.weblio.jp/content/署名", "词义详情")</f>
        <v/>
      </c>
      <c r="K4167">
        <f>HYPERLINK("https://yourei.jp/署名", "查看例句")</f>
        <v/>
      </c>
    </row>
    <row r="4168">
      <c r="A4168" t="inlineStr">
        <is>
          <t>書面</t>
        </is>
      </c>
      <c r="B4168" t="inlineStr">
        <is>
          <t>成功</t>
        </is>
      </c>
      <c r="C4168" t="inlineStr">
        <is>
          <t>読み方：しょめん
１文書・手紙などに書かれてあること。文面。
２手紙。文書。書類。「—で知らせる」</t>
        </is>
      </c>
      <c r="D4168" t="inlineStr">
        <is>
          <t>書面申請；書面審理；書面審査；書面等；書面を添付</t>
        </is>
      </c>
      <c r="E4168" t="inlineStr">
        <is>
          <t>手紙；状；書；文；便</t>
        </is>
      </c>
      <c r="F4168" t="inlineStr">
        <is>
          <t>証明する書面；外国語書面；添付書面；契約書面；書面および端末</t>
        </is>
      </c>
      <c r="H4168" t="n">
        <v>29</v>
      </c>
      <c r="I4168" t="inlineStr">
        <is>
          <t>月も日も忘れたが、大学から一の書面が私の郷里に届き私の手に入った。；問い合わせにはすべて書面で答えることになっていると彼女は言った。；長身の青年が、立ったまま手にした書面から顔を上げてこちらを見た。；月も日も忘れたが、大学から一つの書面が私の郷里に届き私の手に入った。；審査は形式的な書面上のものであり、著作物の内容などは審査されない。；自分が理不尽な書面を突きつけたことに、任務とはいえ気が咎めたのだ。；常からある一般的不平が昨日の書面と今日の電報で刺戟されたのだった。；書面語ではハルハと変わらないが、口語の面では中国語の影響が大きい。；適切な書面でこれを実行できる場合は、それを適切な書面に残しておきます。；この契約は取り壊すべき事由を記した書面によってしなければならない。；商取引の情報を書面及び電子的形式で表現し発行するものである。；ただし保証契約などは書面でしなければならないとされており要式契約である。；アメリカ合衆国では種々の契約が書面が必要な要式契約とされている。；事実、この書面に見えるような兆候があるとすればこれは真に重大である。；すでに余の意図するところは、その全貌を書面をもって諸氏に知らしめた。；多くの契約で書面が必要とされているのは詐欺防止法に由来する。；書面は求馬が今年の春、楓と二世の約束をした起請文の一枚であった。；昭和四十年十二月十五日付で最高裁に提出した書面は、次の内容である。；修理前後の写真や書面など詳細な記録を残しており現在の文化財修理の基礎を築いた。；マツーシュカは書面での抗議を行ったものの受け入れられなかった。；取得予定日の2週間前までに、書面にて事業主に申し出る必要がある。；この書面を読み終わると、私はげらげら笑いださずにいられなかった。；久保氏の御書面などは天来のものだが、どうにも御返事に困るのも多い。；元の報告者は、会社から提供された回答の書面によるコピーを受け取る。；しかし血に染んだ遺書の中には、もう一通の書面が巻きこんであった。；バトラーは後の書面で、この日の出来事について責任は無いと主張し続けた。；敵の主将はその書面を見て狼狽え、降伏の交渉を行うことに決めた。；下僕はその書面を持ち急いで帰って来ましたのはちょうど四時過ぎでございました。；届出の方法は口頭でもよいが、実際は書面でおこなうのが通常である。</t>
        </is>
      </c>
      <c r="J4168">
        <f>HYPERLINK("https://www.weblio.jp/content/書面", "词义详情")</f>
        <v/>
      </c>
      <c r="K4168">
        <f>HYPERLINK("https://yourei.jp/書面", "查看例句")</f>
        <v/>
      </c>
    </row>
    <row r="4169">
      <c r="A4169" t="inlineStr">
        <is>
          <t>書物</t>
        </is>
      </c>
      <c r="B4169" t="inlineStr">
        <is>
          <t>成功</t>
        </is>
      </c>
      <c r="C4169" t="inlineStr">
        <is>
          <t>読み方：しょもつ
本。書籍。</t>
        </is>
      </c>
      <c r="D4169" t="inlineStr">
        <is>
          <t>書物机；書物庫；書物蔵；書物卓；書物収集</t>
        </is>
      </c>
      <c r="E4169" t="inlineStr">
        <is>
          <t>本；書；資料；文書；文章</t>
        </is>
      </c>
      <c r="F4169" t="inlineStr">
        <is>
          <t>分厚い書物；貴重な書物；あらゆる書物；こうした書物；どんな書物</t>
        </is>
      </c>
      <c r="G4169" t="inlineStr">
        <is>
          <t>書物問屋；書物展望社；書物占い；書物復権；書物研究</t>
        </is>
      </c>
      <c r="H4169" t="n">
        <v>29</v>
      </c>
      <c r="I4169" t="inlineStr">
        <is>
          <t>明確に子ども向けに作られた書物は17世紀までには既に存在していた。；そのためクルアーン以外の書物は読んだことがなかったといわれている。；内部の者はそれが科学的というよりも政治的な書物であると知っています。；「藩」は一部の学者などが書物などで使用するのみの語だったのである。；無数の老若男女の顔を持ち、右手には書物を持った姿で現れるとされる。；もともとは落ち葉を書物に挟んだいわゆる押し葉がその起源と思われる。；こうした古典的な文献以外にも、ソ連の哲学関係の書物も多く翻訳出版した。；各目には、諸々の書物から記事や文章を抜粋した上で分類排列している。；この体系は植民地時代の書物であるチラム・バラムの書で使われている。；戦国時代以降には、各地の方言を記録した書物が現れるようになった。；一方で、読んだ書物の登場人物になりきって演技を試みる癖があった。；優美でいささか感動的な響きのある命題によってこの書物は閉じられる。；引用元とされているのは作中で参照されている古い書物である場合が多い。；後に大成経を始めとする由緒の明らかでない書物の出版・販売が禁止された。；ここには約15万タイトルのファンタジー文学の書物が収蔵されている。；ラテン語で書かれた書物の扉において、出版地は処格形で示されている。；テーマなど特定の共通項に基づいていくつかの書物・著作をまとめあげたもの。；かつて引っ越しをした際には書物を30台の車に載せた程であった。；様々な色の鯉がいることは中国の西晋時代の書物に言及されている。；矢野は多数の書物を執筆しており、その多くはいまでも広く読まれている。；古くは書物の保存に使われていたが、現在はあらゆるものの保存に使用されている。；またボルヘスの作品では架空の書物や作家がしばしば主題に設定されている。；作中には物語を進める上で謎を解く鍵となる書物がいくつか登場する。；欧陽脩は嫌いな書物・国家の検閲を経ない出版の禁止を強行している。；王が本を記し、その書物が容易に売却されることはまず無いことであろうと思われる。；非常に古くに日本に取り入れられた西洋の書物といえる。；なお日本における仏教関連の辞典や書物では pl などと略称される。；江戸時代の書物に描かれた雷獣をハクビシンだと指摘する専門家も存在する。；仏教・儒教・道教等の書物が入ってきたことでこの頃から文字の使用が普及する。</t>
        </is>
      </c>
      <c r="J4169">
        <f>HYPERLINK("https://www.weblio.jp/content/書物", "词义详情")</f>
        <v/>
      </c>
      <c r="K4169">
        <f>HYPERLINK("https://yourei.jp/書物", "查看例句")</f>
        <v/>
      </c>
    </row>
    <row r="4170">
      <c r="A4170" t="inlineStr">
        <is>
          <t>女優</t>
        </is>
      </c>
      <c r="B4170" t="inlineStr">
        <is>
          <t>成功</t>
        </is>
      </c>
      <c r="C4170" t="inlineStr">
        <is>
          <t>読み方：じょゆう
女性の俳優。女役者。⇔男優。</t>
        </is>
      </c>
      <c r="D4170" t="inlineStr">
        <is>
          <t>女優業；女優さん；女優たち；女優活動；女優志望</t>
        </is>
      </c>
      <c r="E4170" t="inlineStr">
        <is>
          <t>女役者；アクトレス</t>
        </is>
      </c>
      <c r="F4170" t="inlineStr">
        <is>
          <t>人気女優；大女優；専属女優；ミュージカル女優；看板女優</t>
        </is>
      </c>
      <c r="G4170" t="inlineStr">
        <is>
          <t>女優デビュー；女優と詩人；女優霊；女優須磨子の恋；女優ナナ</t>
        </is>
      </c>
      <c r="H4170" t="n">
        <v>29</v>
      </c>
      <c r="I4170" t="inlineStr">
        <is>
          <t>また、作品の舞台となった場所出身の俳優・女優が出演することもある。；女優などが自分の名前を冠した商品やブランドを立ち上げることもある。；女優になることを夢見ており、若い頃は犯罪の道に進む気配はなかった。；また女優業からは一線を退き、映画やドラマでの復帰はないとしている。；女優の中村玉緒がバラエティ路線進出のきっかけとなった番組でもある。；特に毎年の主演女優は必ずと言ってよいほど途中で体調を崩していた。；その後の二人はタレント、歌手、女優などとしてそれぞれ活動している。；タレント・女優としても活動し、テレビCM・ドラマ・映画などに出演。；女優になる前はヴァッサー大学で絵画を学び、パリに滞在したこともある。；言い換えればほとんどが本名以外の別名を女優名にして出演している。；これらの作品は商業的には振るわず、一度は女優の夢を諦めたかに見えた。；声優・女優の福井裕佳梨や沖佳苗などは本作品のファンを公言している。；同作のヒットで原は戦後のトップ女優としての地位を確立した。；テレビ草創期の頃は舞台やテレビドラマなどで女優としても活動していた。；当時のパリでは、あるひとりの女優があらゆる階級の男たちを惹きつけていた。；一方で企画単体女優との共演などから火が付き、追い上げるケースもある。；卒業後は主に女優としてドラマ・映画に出演し活動していた。；名の知られている単体女優が枠から外れ移行する場合もある。；また女優業ではドラマで主役を務めるなど活躍の場を広げた。；後述のように知名度を生かして女優やタレントへの転身も少なくない。；この宣伝短編フィルムがガルボの女優としての最初のキャリアとなった。；何人もの女優に出演を断られたが、最終的に岸惠子が共演を承諾した。；以降は映画やテレビドラマなどで女優としても活動するようになる。；その後歌手中心の活動から女優メインの活動へ転向してゆく。；演出や役柄の解釈について自分の意見を主張し納得するまで議論する女優だった。；以来、舞台をはじめ映像分野でも幅広く活躍する総合女優として活躍。；この割合には女優から発売中止を正式に申請されて中止したものも含んでいる。；以後は一女優として、劇の他にテレビのレポーターなどでも活躍した。；当時は背番号の代わりに女優の名前を入れたりしていた。</t>
        </is>
      </c>
      <c r="J4170">
        <f>HYPERLINK("https://www.weblio.jp/content/女優", "词义详情")</f>
        <v/>
      </c>
      <c r="K4170">
        <f>HYPERLINK("https://yourei.jp/女優", "查看例句")</f>
        <v/>
      </c>
    </row>
    <row r="4171">
      <c r="A4171" t="inlineStr">
        <is>
          <t>処理</t>
        </is>
      </c>
      <c r="B4171" t="inlineStr">
        <is>
          <t>成功</t>
        </is>
      </c>
      <c r="C4171" t="inlineStr">
        <is>
          <t>読み方：しょり
［名］(スル)物事を取りさばいて始末をつけること。「事務を手早く—する」「事後—」「熱—」
→処分(しょぶん)［用法］</t>
        </is>
      </c>
      <c r="D4171" t="inlineStr">
        <is>
          <t>処理すること(3%)；処理能力(2%)；処理される(2%)；処理できる；処理するため</t>
        </is>
      </c>
      <c r="E4171" t="inlineStr">
        <is>
          <t>料理；処分；加工；始末；対処</t>
        </is>
      </c>
      <c r="F4171" t="inlineStr">
        <is>
          <t>事後処理；再処理；混ぜ物処理；処理装置；防腐処理</t>
        </is>
      </c>
      <c r="G4171" t="inlineStr">
        <is>
          <t>処理落ち；処理プラント；処理防止装置；処理系依存；処理可能性理論</t>
        </is>
      </c>
      <c r="H4171" t="n">
        <v>29</v>
      </c>
      <c r="I4171" t="inlineStr">
        <is>
          <t>提供されるサービスは主に計算処理とデータの保存・利用に大別される。；上記のソースコードをで処理することで、以下のような出力が得られる。；すると、プログラムは要求を行った時点から処理を再開させることができる。；個人用のプリンターで印刷したものの場合、既にこの処理は行われている。；レイテンシとは、ある処理が開始してから完了するまでの時間である。；ただし特別な処理を行なわなくても発芽する種類がほとんどである。；複数のデータを処理する場合は、複数のウィンドウを開くことになる。；一切の処理をコンピューター同士が対等に通信を行うのが特徴である。；のプログラムは他のプログラムを処理するように書くことができる。；代表的な実時間処理による動画生成の用途はコンピュータゲームである。；時間管理機能はカーネルが管理する時間に依存した処理を行うための機能である。；これは完全な文字認識に比べて処理も軽く、入力もしやすいとされている。；一部の駅の出札窓口でも専用の処理機を使う事で利用することができた時期もある。；必要に応じてその他の処理をするスレッドを作り、実行させることもできる。；一部のプログラムはエラーがあるファイルの処理中に失敗する可能性がある。；このアルカリ処理は、現在ではニシュタマリゼーションと呼ばれている。；現代の写真処理は1840年から最初の20年の一連の改良を基底とする。；現在の多くのCPUは、割り込みを処理するための機能を備えている。；ここで挙げた例は、データや状態の変化に反応して処理が起動されると呼ばれる。；これ以外のC言語の標準文字列処理関数の多くにも同様の問題がある。；最後に、冷媒液化装置で処理するとほぼ純粋な四酸化二窒素が得られる。；いくつかの開発環境ではこの処理を自動化している。；命令の一部の数値は命令コードと呼ばれ、実行すべき処理を指定する。；これらを呼び出す処理を行っている場合にはチェックが必要である。；携帯電話内のデータを、携帯電話内に搭載された音源が処理し音を鳴らしている。；センサによる測定は、出力信号の処理によって以下の方式に分けられる。；ACIDはデータベースが全ての処理を一度に処理できることを要求している。；その処理が終了すると、もとのストリーム・キューの処理を再開する。；これらの石は加熱処理によりアクアマリンへと変色させることができる。</t>
        </is>
      </c>
      <c r="J4171">
        <f>HYPERLINK("https://www.weblio.jp/content/処理", "词义详情")</f>
        <v/>
      </c>
      <c r="K4171">
        <f>HYPERLINK("https://yourei.jp/処理", "查看例句")</f>
        <v/>
      </c>
    </row>
    <row r="4172">
      <c r="A4172" t="inlineStr">
        <is>
          <t>書類</t>
        </is>
      </c>
      <c r="B4172" t="inlineStr">
        <is>
          <t>成功</t>
        </is>
      </c>
      <c r="C4172" t="inlineStr">
        <is>
          <t>読み方：しょるい
文書・書き付けなどの総称。特に、事務や記録などに関する書き付け。「重要—」</t>
        </is>
      </c>
      <c r="D4172" t="inlineStr">
        <is>
          <t>書類上(4%)；書類送検(3%)；書類審査；書類鞄；書類入れ</t>
        </is>
      </c>
      <c r="E4172" t="inlineStr">
        <is>
          <t>記録；資料；文書；記；ドキュメント</t>
        </is>
      </c>
      <c r="F4172" t="inlineStr">
        <is>
          <t>必要な書類；関係書類；機密書類；証明する書類；秘密書類</t>
        </is>
      </c>
      <c r="G4172" t="inlineStr">
        <is>
          <t>書類送検；書類作成；書類チューン</t>
        </is>
      </c>
      <c r="H4172" t="n">
        <v>29</v>
      </c>
      <c r="I4172" t="inlineStr">
        <is>
          <t>PSWに対応する書類ではあっても、性格の違う書類であるとはいえる。；登場人物の西はこれを「ファックスから出てきた書類」と表現している。；建築・消防法規上の書類で実際にそのように分類している市町村も多い。；この配置は海相の決裁書類すべてに関与する軍政上の重要配置であった。；この書類とともに提出された写真が戦後公式記録に残る唯一の写真となった。；それでも試合が終わって戻るとすぐ、根本が無言で書類を持ってきた。；それぞれのレベルの書類の提出範囲は以下のようになっている。；結局十数年ほどで閉鎖されてしまいその時に関連した書類はすべて焼却された。；文面の邪魔にならないように書類に印刷情報などを付加することができる。；そもそもこの小箱の中の書類の原本の存在さえ疑問視する意見もある。；書類での誤字の修正や漫画などで線がはみ出したりした際に使うことが多い。；使用済みの申込書・証明書類は読み取り台の端にある回収口に投入する。；この時点では、まだ大統領関連書類は大統領の私物とみなされていた。；このさいドメインの登録には特定の名前の所有を証明する書類が必要である。；成人後も読解力が低く、複雑な書類などは人に読んでもらう必要があった。；これらの事実が、日本の平壌攻略によって得た多数の書類から発見された。；使用する書類は同一の物であるが、限定である旨が表示される。；このため、書類上12200系と名乗っていたのは1日だけであった。；調査票に回答と収入や居住状態の立証書類を添付して保険者に提出する。；これらは書類上、いずれも1946年11月28日付で除籍されている。；ただこれらの施設には軍の重要書類が多数積み込まれていた。；夫の書類を整理し、彼の音楽の普及に努め、自身の回顧録を記した。；また、書類上は、全て堆肥化したとしていたことも明らかになっている。；婚姻届は、日本において、法的な結婚をしようとする者が提出する書類。；研究者たちは、その時に多くの書類が廃棄されたと考えている。；計算規則では、以下の書類を作成することを規定している。；横浜市営バス303系統と同一路線であり、書類上は新羽線に含まれていた。；公文書は基本的にアラビア語、一部の書類はフランス語でも書かれる。；尚、本人は書類上修了になっているか未修了になっているのかを確認していない。</t>
        </is>
      </c>
      <c r="J4172">
        <f>HYPERLINK("https://www.weblio.jp/content/書類", "词义详情")</f>
        <v/>
      </c>
      <c r="K4172">
        <f>HYPERLINK("https://yourei.jp/書類", "查看例句")</f>
        <v/>
      </c>
    </row>
    <row r="4173">
      <c r="A4173" t="inlineStr">
        <is>
          <t>しょんぼり</t>
        </is>
      </c>
      <c r="B4173" t="inlineStr">
        <is>
          <t>成功</t>
        </is>
      </c>
      <c r="C4173" t="inlineStr">
        <is>
          <t>［副］(スル)元気がなく、さびしそうなさま。「試合に負けて—（と）帰る」「—（と）した後ろ姿」</t>
        </is>
      </c>
      <c r="D4173" t="inlineStr">
        <is>
          <t>しょんぼりとうなだれ；しょんぼり佇ん；しょんぼりうなだれ；しょんぼりとうつむい；しょんぼりしてる</t>
        </is>
      </c>
      <c r="E4173" t="inlineStr">
        <is>
          <t>ブルー；がっかり；失意；がっくり；嘆息</t>
        </is>
      </c>
      <c r="H4173" t="n">
        <v>29</v>
      </c>
      <c r="I4173" t="inlineStr">
        <is>
          <t>あまりしょんぼりしてしまったので、逆に羽村のほうが困ってしまった。；この辺を夕方しょんぼり行ったり来たりしてゐたのを見た人もあると云った。；しょんぼりしていると思ったら、一人でのんびりとカードを切っていた。；ドアのノックを一人で待つ長門のしょんぼりした姿が容易に想像できる。；そのそばには眼を泣き腫らした女学生の一人がしょんぼりと坐っていた。；風さんはその後数日のあいだ、ちょっとしょんぼりしていたように見えた。；まあ曲のしょんぼりとした由来はともかく、演奏自体は素晴らしかった。；その二人の後から例の犬のジョンが、これもションボリしてついて来ました。；「まあ、そんなにしょんぼりしないでくれよ」 父親のような目をした。；気が弱く、いつも教室の片隅でしょんぼりしている生徒はどこにもいる。；別にしょんぼりしているわけではなく、もう次の予想を考えているのである。；あわれなコウノトリは、しょんぼりして、みんなの中に立っていました。；しょんぼりしていればあたしが考え直すとでも思っているようだった。；が、今日はただの日ではないと、しょんぼり雪に吹きつけられていた。；そんなことが一層この橋の感じをしょんぼりさせているのだろう。；が、私のションボリ振りには意外な思いをされたことだと思います。；しょんぼりと肩をおとし、頭が重すぎるとでもいうようにかしげている。；私が教室を出ると、しょんぼり窓にもたれかかった彼が立っていたのです。；一人の娘が他の連中より少し離れた所にしょんぼり立っていた。；しょんぼりと彼は家に帰って来て、急な斜面になっている小さい庭にはいった。；しょんぼりして家に引きこもっている彼の顔が眼にみえるようだった。；おれの同室者のオストロフがしわくちゃになってしょんぼりとしていた。；翌朝になって小坊主が門前を掃きにくると牛が一匹しょんぼりしている。；その時私は禁酒したのと旅から急いで帰って来たのとでションボリしていた筈です。；彼の眼には、先生の姿がいつもしょんぼりしているように見えた。；花婿が負け犬のようにしょんぼりしていたのでは、パレードにならない。；私は、しょんぼりと立たされている自分の姿を人に見られるのが辛い。；一日例によって孫を抱いて泣いていると祝がしょんぼり入ってきた。；「お帰りになるんですか、先生」 由香子はしょんぼりと肩を落とした。</t>
        </is>
      </c>
      <c r="J4173">
        <f>HYPERLINK("https://www.weblio.jp/content/しょんぼり", "词义详情")</f>
        <v/>
      </c>
      <c r="K4173">
        <f>HYPERLINK("https://yourei.jp/しょんぼり", "查看例句")</f>
        <v/>
      </c>
    </row>
    <row r="4174">
      <c r="A4174" t="inlineStr">
        <is>
          <t>白髪</t>
        </is>
      </c>
      <c r="B4174" t="inlineStr">
        <is>
          <t>成功</t>
        </is>
      </c>
      <c r="C4174" t="inlineStr">
        <is>
          <t>読み方：しらが
《上代は「しらか」か》
１色素がなくなったために白くなった髪。はくはつ。「—が増える」「若—」
２昔、幼児の髪置きの祝いに長命を祈って用いたかぶり物。すが糸・麻苧(あさお)・真綿などで白髪の垂れた形に作る。しらがわた。
３婚礼の祝いの贈り物に用いる麻または白絹の束。
４白い絹糸。</t>
        </is>
      </c>
      <c r="D4174" t="inlineStr">
        <is>
          <t>白髪頭(7%)；白髪まじり(5%)；白髪混じり；白髪小僧；白髪白髯</t>
        </is>
      </c>
      <c r="E4174" t="inlineStr">
        <is>
          <t>霜；アッシュ；銀髪；シルバーブロンド；グレイヘアー</t>
        </is>
      </c>
      <c r="F4174" t="inlineStr">
        <is>
          <t>長い白髪；見事な白髪；薄い白髪；半白髪；美しい白髪</t>
        </is>
      </c>
      <c r="G4174" t="inlineStr">
        <is>
          <t>白髪鬼；白髪山；白髪三千丈；白髪部；白髪童顔</t>
        </is>
      </c>
      <c r="H4174" t="n">
        <v>29</v>
      </c>
      <c r="I4174" t="inlineStr">
        <is>
          <t>あの白髪の方は人目に立つような格好をしているとお思いになりません?；こんなに白髪がありますけど、わたしはそれほど年をとってはいません。；わたしはどういう運命か、母親の腹を出た時には白髪頭をしていたのだよ。；昨日何か手に隠して持って来たのを、開けて見たら白髪が三本だった。；まだ自分等よりはずっと若い人で自分より多くの白髪の所有者もあった。；わたしはどう云ふ運命か、母親の腹を出た時には白髪頭をしてゐたのだよ。；金髪の子供らのことを考えてみ、白髪の老人らのことを考えてみるがいい。；あとに残っているのは、あの年とった頭の白髪と顎ひげだけなのか。；白髪の教授が太い柱の向うにいて、説明をしているが、よく聞きとれない。；振向いて見ればその白髪の老人で、やはりにこにこと笑って立っている。；形の整った頑健な肉体全部に目をやると、頭の白髪が妙に不調和だった。；白髪の婆さんと向い合って、歯の抜けた頭の禿げた爺さんが坐っていた。；彼の前には綺麗な若い娘と白髪を後頭で刈り切つた老婆とが立つてゐた。；と、このとき、ドアがあいて、さっきの小屋にいた白髪の男が入ってきた。；白髪にして腰から上は裸、腰には帆布のような物を巻きつけていた。；数分すると、オルロンの伴侶である威厳のある白髪の婦人が入ってきた。；前頭部から後頭部まで禿げ上がった白髪頭が特徴の、初老の男性である。；まだ六十にようやくなのに、ほとんど白髪になった老いさらばえた妻の姿。；彼女は、あやまって地上に残された白髪の天使のような顔をしていた。；光を浴びた長身の人物はやや青白い顔の白髪、テーブルの脇に立っていた。；これはブリーチをしているわけではなく、本物の白髪である事を告白した。；そのとなりには政府高官が一人、ひどく腰の曲がった白髪の老人が続く。；栄耀栄華と一緒にこのわしの白髪頭までが尊く見えたのかも知れない。；このときにはハドソンと同様に白髪となっており老婆のような姿となっていた。；そして手をもじゃもじゃの白髪につっこんでうしろに引くようにした。；復讐鬼にはこの恐ろしい白髪の老人が何と似つかわしいことであろう。；帽子を振っている白髪交じりの男性は、虹のほうに視線を向けている。；それからのわしは、地獄の底から這い出して来た、一匹の白髪の鬼であった。；前にいる白髪の老人の横顔の輪郭がなんと若々しく張り切っている事だ。</t>
        </is>
      </c>
      <c r="J4174">
        <f>HYPERLINK("https://www.weblio.jp/content/白髪", "词义详情")</f>
        <v/>
      </c>
      <c r="K4174">
        <f>HYPERLINK("https://yourei.jp/白髪", "查看例句")</f>
        <v/>
      </c>
    </row>
    <row r="4175">
      <c r="A4175" t="inlineStr">
        <is>
          <t>知らず知らず</t>
        </is>
      </c>
      <c r="B4175" t="inlineStr">
        <is>
          <t>成功</t>
        </is>
      </c>
      <c r="C4175" t="inlineStr">
        <is>
          <t>読み方：しらずしらず
［副］それと意識せずに、いつのまにかある行動をしたり、ある状態になっていたりするさま。「—話に引き込まれていた」</t>
        </is>
      </c>
      <c r="D4175" t="inlineStr">
        <is>
          <t>つい；勝手に；何となく；自動的に；自然に</t>
        </is>
      </c>
      <c r="H4175" t="n">
        <v>29</v>
      </c>
      <c r="I4175" t="inlineStr">
        <is>
          <t>知らず知らずに私はちゃんと彼の隠れている場所のそばへ来ていたのだ。；少年に話をしてるうちに知らず知らず少年の思想に調子を合わしていた。；だがこの娘さんたちを見ているだけで、知らず知らず喉が詰まってくる。；蛍を追うて知らず知らず遠くまで歩いて行ったような場合かと想像する。；いつとなく知らず知らず斯ういう孤独の身になってしまったからである。；娘は父の夢に知らず知らずのうちに染まり、父の野望に支配されてきた。；彼はどこへ行っても、知らず知らずに、自分の内部の光明の跡を残した。；自分でも知らず知らずのうちに、馬鹿にされることに慣れちゃってるんだ。；彼は、自分を施設に預けた母を知らず知らず恨んでいたのかもしれない。；知らず知らず、この世でもっとも素晴らしい顔を作っているに違いない。；だから生まれたときから知らず知らずのうちに行っているのである。；知らず知らずのうちに東京から日本を眺めることに慣れきっています。；けれども知らず知らずのうちに、ある幾つかの顔が彼の頭に残っていた。；この影響下で、漢人の服装意識が知らず知らずのうちに分裂されてゆく。；疲れを知らぬ二人の戦いは、知らず知らずのうちに長期戦へとなっていった。；然し彼には家庭の調子を乱したくない気が知らず知らずの間に働いていた。；何年もナイフを作り続けてきた結果、知らず知らずのうちにそうなったのさ。；しかし彼には家庭の調子を乱したくない気が知らず知らずの間に働いていた。；知らず知らずの内に、それだけこの医者に寄りかかっていたという事か。；知らず知らずのうちにストーリーを考え、表題を考えにふけるのである。；知らず知らずに私が全部食べてしまったかもしれない、と不安が過ぎるのだ。；その色は、年ごとに、生活のため知らず知らずに変わっていったのだ。；けれどもその言葉は魔法のように、知らず知らずのうちに、私に作用した。；知らず知らずのうちに、城のかなり高いところへ来ていたのが判った。；知らず知らずのうちに、人の恨みを買っていた可能性も否定できない。；浅羽は頭上の光景に魂を奪われ、知らず知らずのうちに立ち上がっていた。；それは知らず知らずのうちに彼等を「仲間」と思っているからだった。；知らず知らずに眉がひそめられて来るのを、どうすることも出来なかった。；その気持ちを恋だと自覚しないまま、知らず知らずに育てているのだ。</t>
        </is>
      </c>
      <c r="J4175">
        <f>HYPERLINK("https://www.weblio.jp/content/知らず知らず", "词义详情")</f>
        <v/>
      </c>
      <c r="K4175">
        <f>HYPERLINK("https://yourei.jp/知らず知らず", "查看例句")</f>
        <v/>
      </c>
    </row>
    <row r="4176">
      <c r="A4176" t="inlineStr">
        <is>
          <t>知らせ</t>
        </is>
      </c>
      <c r="B4176" t="inlineStr">
        <is>
          <t>成功</t>
        </is>
      </c>
      <c r="C4176" t="inlineStr">
        <is>
          <t>読み方：しらせ
１知らせること。また、その内容。通知。「合格の—を待つ」「悪い—が届く」
２何か事が起こるような兆し。前兆。「不吉な—」「虫の—」
３歌舞伎で、幕開きや舞台転換などのとき、その合図に打つ拍子木。</t>
        </is>
      </c>
      <c r="D4176" t="inlineStr">
        <is>
          <t>知らせてくれる；知らせて来；知らせまし；知らせたい；知らせなけれ</t>
        </is>
      </c>
      <c r="E4176" t="inlineStr">
        <is>
          <t>情報；報告；影；連絡；案内</t>
        </is>
      </c>
      <c r="F4176" t="inlineStr">
        <is>
          <t>悪い知らせ；告げ知らせ；知らせてください；知らせて下さい；知らせておく</t>
        </is>
      </c>
      <c r="G4176" t="inlineStr">
        <is>
          <t>知らせよ；知らせろ；知らせれ；知らせん；知らせりゃ</t>
        </is>
      </c>
      <c r="H4176" t="n">
        <v>29</v>
      </c>
      <c r="I4176" t="inlineStr">
        <is>
          <t>リュティはソ連の要求を議会に知らせず、ドイツの要求の検討を行った。；弟は翌日にこのことを人々に知らせ、皆で武器を手にして夜を待った。；ガララーガは再入院となった時、この事を外部へは一切知らせなかった。；いま都からこの年の暮れにもお帰りにならないと知らせがまいりました。；日本で初めて時計による時の知らせが行われたことを記念して制定された。；また、彼女は遠方の夫にパリの政治的状況について手紙で知らせていた。；陣営からの徴発に出たものがオスマンの接近を知らせたにもかかわらず。；起源は宇都宮家に凶事がある際に汗をかいてそれを知らせたというもの。；そんな折、主人公の下に日本から知らせがとどき、帰国することになる。；数日後の雪の夜、幸蔵はおもとの弟・三吉から衝撃的な知らせを受ける。；これをヨーロッパ中に伝えて鍼灸が優れた治療法であることを知らせます。；そう判断した三者は警察に事態を知らせ、助けを呼ぶことに同意。；平氏が、この世にあってはならない力を手にしたとの知らせが入る。；全能の精霊がビットが消失した場合に常にそれを知らせてくれるとする。；しかし、そこで待っていたのは募集が終了したとのあまりに残酷な知らせ。；キネマ旬報の主演女優賞の受賞の知らせもベッドの上で聞いたという。；キエルも父の死の知らせでおかしくなってしまった母親に心を痛めていた。；この条約についての知らせはモスクワを大いに刺激することとなった。；特攻の成功を絶対に日本軍に知らせまいとするニミッツからの指示であった。；中には子供が早く発見され安全に保護されるようにと直後に電話で知らせてきた者もいたという。；イゾリエが登場し、十字軍が真夜中に帰ってくると知らせを持ってくる。；この知らせを聞いてキアラを含む10名のイエズス会士が日本へ向かった。；その多くは不名誉除隊の知らせが家族に届いていたため帰る家を無くした。；省内でひそかに傅亮に知らせた者があり、傅亮は病と称して宮城を出た。；住所を知らせた両親から、本気で心配された内容の手紙が届いたこともある。；その知らせは元顧客たちから源氏の元へ悲鳴や涙の抗議と共に届く事になる。；しかし、受賞の知らせを受けたとたん、怒り出す作家もいるらしい。；しかし、その知らせを聞いてまもなく、日本の爆撃機の攻撃を受けた。；しかし父の怪我の知らせを受けて家に戻り、騎手の夢を諦めることになった。</t>
        </is>
      </c>
      <c r="J4176">
        <f>HYPERLINK("https://www.weblio.jp/content/知らせ", "词义详情")</f>
        <v/>
      </c>
      <c r="K4176">
        <f>HYPERLINK("https://yourei.jp/知らせ", "查看例句")</f>
        <v/>
      </c>
    </row>
    <row r="4177">
      <c r="A4177" t="inlineStr">
        <is>
          <t>知らせる</t>
        </is>
      </c>
      <c r="B4177" t="inlineStr">
        <is>
          <t>成功</t>
        </is>
      </c>
      <c r="C4177" t="inlineStr">
        <is>
          <t>読み方：しらせる
［動サ下一］［文］しら・す［サ下二］
１他の人が知るようにする。言葉やその他の手段で伝える。「手紙で無事を—・せる」「事件を—・せる」「虫が—・せる」
２身にしみて分からせる。思い知らせる。「この恨みを—・せずにおくものか」
[用法]しらせる・つげる——「時を知らせる（告げる）鐘の音」など、知るようにする意では、相通じて用いられる。◇「知らせる」は、「電話で事故を知らせる」のように一方的な伝達で受け手の意志を問題としないこともあるが、知りたいと思っている相手に伝える場合にも用いられる。「心配していた家族に無事を知らせた」「近況を知らせてください」など。◇「告げる」は情報よりも意志とか命令などを相手に伝える意が強い。この場合相手は個人でも、不特定の人々でもよい。「三日以内に立ち退くように告げた」「いとまを告げる」◇類似の語に「報ずる」がある。「報ずる」は、ふつう多くの人々に、何らかの情報を伝える場合に用いる。「ニュースが首相の外遊を報じた」</t>
        </is>
      </c>
      <c r="D4177" t="inlineStr">
        <is>
          <t>知らせるべき(2%)；知らせるべく</t>
        </is>
      </c>
      <c r="E4177" t="inlineStr">
        <is>
          <t>発表；連絡；云う；案内；宣言</t>
        </is>
      </c>
      <c r="F4177" t="inlineStr">
        <is>
          <t>たら知らせる；広く知らせる；知らせるべきかどう；知らせるべきだろ</t>
        </is>
      </c>
      <c r="H4177" t="n">
        <v>29</v>
      </c>
      <c r="I4177" t="inlineStr">
        <is>
          <t>その不思議な絵を見た手紙の主は当日に仕事仲間にもこのことを知らせる。；主な役割は超神に妖怪出現を知らせることと緊急時の超神の運搬である。；それを基本的には左胸につけて、公認審判員だと知らせることができる。；結果が出たらすぐに知らせろと念を押していた龍華が不在ときているのだ。；後に列車運行状況を知らせる電光掲示板が追加されて取り付けられた。；また、他の弟子たちにイエスの復活を告げ知らせるようにと言われた。；列車が接近すると、到着・通過を知らせる接近表示が点滅するものもある。；何も出力されない場合は停止したメモリ位置をユーザーに知らせる。；調査に同意するなら調査を行う警察官が関係者などに知らせるかもしれない。；彼が出発すると、追いかけて使者がきて、家族全員の死を順に知らせる。；また、取材OKを知らせる際にしらじらしくやるのも演出となっている。；その際、周囲に知らせるために歩道橋の屋根上にまで登る人も続出した。；告示とは、行政庁が決定した事項等を公式に一般に知らせることである。；主に連絡を取りたい相手の通信機器に情報を知らせるために用いる。；なお、この出来事は船橋の名を広く世界に知らせるきっかけとなった。；革命の少し前から軽症の結核だったが周囲に知らせることはなかった。；商品などを広く世間一般に知らせるために描かれた絵を指す。；楊恵敏は感動し、全国に知らせるため全兵士の名簿をくれるよう頼んだ。；ある嵐の激しい夜に、脱獄者が出た事を知らせるサイレンが鳴り響いた。；距離測定装置は、航空機にVOR局との距離を知らせるシステムである。；自身の存在を知らせるため、彼は多数のテレビ番組に登場するようになった。；警察に手紙を出したことを湯川にも知らせる手紙が届いたというのだ。；そこに使者が現れ、洞窟に残してきたヘレネが消え失せたことを知らせる。；布告を日本国民に知らせるためのポスターも約10万枚用意してあった。；絵津子に結果を知らせるとその日からぱったりと姿を見せなくなってしまった。；道路・施設等において危険を知らせるものとして、次のようなものがある。；インディアンはこの場所を使って領土内への侵入を知らせる狼煙を挙げていた。；万引き対策の実施を知らせる簡単な掲示を行うことで万引きを抑制する。；時刻を知らせるためのチャイムは一般に時計と連動した機械である。</t>
        </is>
      </c>
      <c r="J4177">
        <f>HYPERLINK("https://www.weblio.jp/content/知らせる", "词义详情")</f>
        <v/>
      </c>
      <c r="K4177">
        <f>HYPERLINK("https://yourei.jp/知らせる", "查看例句")</f>
        <v/>
      </c>
    </row>
    <row r="4178">
      <c r="A4178" t="inlineStr">
        <is>
          <t>調べる</t>
        </is>
      </c>
      <c r="B4178" t="inlineStr">
        <is>
          <t>成功</t>
        </is>
      </c>
      <c r="C4178" t="inlineStr">
        <is>
          <t>読み方：しらべる
［動バ下一］［文］しら・ぶ［バ下二］
１わからないことや不確かなことを、いろいろな方法で確かめる。調査する。研究する。「渡り鳥の生態を—・べる」「電話帳で番号を—・べる」
２不都合な点や異常・ごまかしなどがないか、実物に当たって確かめる。検査する。点検する。「所持品を—・べる」「帳簿を—・べる」「故障がないかどうか、エンジンを—・べる」
３罪状などをはっきりさせるために、あれこれと問いただす。とりしらべる。「重要参考人として—・べる」
４音楽を演奏する。「琴を—・べる」
５いろいろに音を出して、音律を合わせ整える。調子を合わせる。
「次の『紀文大尽』に出る夫人が三味線を—・べている」〈三島・純白の夜〉
６調子に乗る。
「わづかに聞き得たることをば、我もとより知りたることのやうに、こと人にも語り—・ぶるもいとにくし」〈枕・二八〉</t>
        </is>
      </c>
      <c r="D4178" t="inlineStr">
        <is>
          <t>調べるべき；調べるべく；調べる核磁気共鳴分析；調べる学習コンクール</t>
        </is>
      </c>
      <c r="E4178" t="inlineStr">
        <is>
          <t>見る；みる；調査；比較；求める</t>
        </is>
      </c>
      <c r="F4178" t="inlineStr">
        <is>
          <t>調べれば調べる；よく調べる；どうか調べる；ないか調べる；調べるほどわから</t>
        </is>
      </c>
      <c r="H4178" t="n">
        <v>29</v>
      </c>
      <c r="I4178" t="inlineStr">
        <is>
          <t>二人は政府の協力を得て地球外通信の記録を調べるが、空振りに終わる。；この変化を観察することである生物種がどのように分化したかを調べる。；これらのような笛は、人の可聴範囲を調べるために使われることもある。；そのためX線回折法は物質表面に限定して結晶構造を調べる手法となる。；現在のランレベルは以下のようなコマンドを使って調べることができる。；宇宙飛行の影響を調べるために船内には数種類の生物がのせられていた。；日本国内に同じ名前の山があるかどうかを調べるには、、などがあります。；これにはプログラムの他の部分を調べることが必要な場合がある。；記号の意図と意味を調べることについて、いくつかは困難なことがある。；欲しければお前にもやるから、こいつをもってかえってゆっくり調べろ!；これに合わせて図書館では「調べる学習サポート教室」を実施している。；どのような動きをするか、また一つ一つの武器のパワーを調べるのである。；年代識別には特にハブール土器の様式の変化を調べることが有効である。；逆にこの現象を利用して物質の結晶構造を調べることが可能である。；前者は一定の膜電位でのイオンチャネルの活動を調べるのに適している。；流通システムの次の側面を調べると、市場分析に役立つ場合があります。；影に地図を渡す約束の時期になっていたし、彼は僕に森を調べろと命じたのだ。；システムを組み立てて、実際に機能するか調べる研究が行われている。；これらの研究には解析的階層を調べるためのアプローチが各種含まれる。；さらに、関連する種のタイプ標本を直接に調べる必要が生じることもある。；ワーキングメモリの構造や脳の関連部位を調べる研究が多数行われている。；鳥達が食べているところを観察して、何が食べられるのか調べることが重要となる。；しかし、以下のような点に注意して調べることで問題が見つかることが多い。；霊が写っている部分の特定の場所を調べると、霊とのバトルが始まる。；この残留磁化を調べることで古代の大陸移動の様子を知ることができる。；花と緑の情報を調べるための書籍やパソコンも用意されている。；今から調べるものの概要をとらえるというぐらいでしか使わないと思います。；長期の宇宙滞在が人体に与える影響を調べることも、重要な任務の一つだった。；研究者は文献を調べるのに図書館にいく必要がなくなった。</t>
        </is>
      </c>
      <c r="J4178">
        <f>HYPERLINK("https://www.weblio.jp/content/調べる", "词义详情")</f>
        <v/>
      </c>
      <c r="K4178">
        <f>HYPERLINK("https://yourei.jp/調べる", "查看例句")</f>
        <v/>
      </c>
    </row>
    <row r="4179">
      <c r="A4179" t="inlineStr">
        <is>
          <t>尻</t>
        </is>
      </c>
      <c r="B4179" t="inlineStr">
        <is>
          <t>成功</t>
        </is>
      </c>
      <c r="C4179" t="inlineStr">
        <is>
          <t>読み方：しり
［名］
１人や動物の胴体の後部で、肛門の付近の肉づきの豊かなところ。けつ。おいど。臀部(でんぶ)。
２動く人や物の後ろ。あと。後方。「行進の—について歩く」
３物事の一番あと。終わりの部分。しまい。最後。「ことばの—」「—から二番目の成績」
４物の、最も後ろの部分。最後部。「—の切れたわらぞうり」
５本・末のある長い物の、末の部分。末端。「縄の—を持つ」
６容器の外側の底の部分。また、果物の底部。「鍋の—」
７着物の裾。
８物事や行為の結果。結果として生じた事態。また、事件の余波。とばっちり。
「その責任を持ち込んで来る—はなかった」〈徳永・太陽のない街〉
[補説]他の語の下に付いて複合語をつくるときは一般に「じり」となる。
［接尾］助数詞。矢羽に用いる鳥の羽を数えるのに用いる。尾羽を用いるところからの語。大鷲(おおわし)は14枚、小鷲は12枚、鷹(たか)は10枚で一尻という。
「鷲の羽百—、よき馬三疋」〈義経記・二〉
[下接語] （じり）脂尻・糸尻・押っ立て尻・織り尻・仮名尻・川尻・為替尻・勘定尻・木尻・口尻・鞍(くら)尻・交換尻・湖尻・言葉尻・賽(さい)尻・財布尻・鞘(さや)尻・地(じ)尻・瀬尻・台尻・檀(だん)尻・帳尻・月尻・出尻・どん尻・長尻・鍋(なべ)尻・沼尻・半尻・貿易尻・幕尻・眉(まゆ)尻・目尻・矢尻</t>
        </is>
      </c>
      <c r="D4179" t="inlineStr">
        <is>
          <t>尻ポケット(2%)；尻っ尾；尻鰭；尻をつい；尻びれ</t>
        </is>
      </c>
      <c r="E4179" t="inlineStr">
        <is>
          <t>下；先；最後；もと；落</t>
        </is>
      </c>
      <c r="F4179" t="inlineStr">
        <is>
          <t>眼尻；縮尻；大きな尻；三田尻；幕尻</t>
        </is>
      </c>
      <c r="G4179" t="inlineStr">
        <is>
          <t>尻餅；尻目；尻込み；尻もち；尻ごみ</t>
        </is>
      </c>
      <c r="H4179" t="n">
        <v>29</v>
      </c>
      <c r="I4179" t="inlineStr">
        <is>
          <t>手や尻を後ろに突いてしまった場合はその地点までの距離が記録となる。；ひじ・ひざ・頭・背中・お尻いずれかが先に地面に着いたら負けとなる。；その後にその個体は向きを変え、今度はお尻の方から集団に接触してゆく。；私は彼らによって首と尻を撃たれたが、それはもはや過去のことである。；鞘尻金具の形態などから7世紀後半でも早い時期のものと見られている。；チャームポイントはお尻で、尻尾の形状は生まれた物が基となっている。；長い背中は軽く筋肉質で、平らな尻と長く直立した首につながっている。；男主人公が女の尻に敷かれて性のおもちゃにされてしまう図式も見られる。；その時電車が急ブレーキをかけ、意図せずにその女性のお尻に触れてしまう。；父は息子からお尻の弾丸を抜いてもらっていると、いい作戦を思いついた。；左右の脛の外側と尻にもV字型の蓋の切り込みポケットが付いている。；大顎を開けば、上から向かって尻の部分までほぼ逆三角形のスタイルとなる。；一方で、その当時は年に4回ほど尻の猛烈な痒みに苦しめられてもいた。；生まれたときからお尻が大きかったことが名前の由来になっているとのこと。；言われるままにその男の尻をほじって嘗めたところ、甘い柿の味がした。；姉妹は生まれながらにして、腰から尻にかけての部分が結合していた。；卵は付近で眠っていたトムの尻に押し潰され、中から子アヒルが誕生した。；相手の腰または尻に自分の胸や腹をぶつけていくのが正しい。；主に女性で構成されているのが特徴で、男性兵士は尻に敷かれた状態となっている。；ホッジス夫人は左尻と左腕にひどい打撲を負ったが、歩くことはできた。；猿尾堤の名の由来は、その形が猿の尻から伸びた尾に見えることからである。；尻側が上がっている石を逆石といい滑りやすく孕みの原因となる。；尻だけでなく、腕にも巨大な針を一対持つが、一番毒性が強いのは尻の針である。；テスカトリポカは怒ってふたりの首をはねてその頭を尻に縫いつけた。；根の部分は水分が少なくて甘みが多いが、尻に向かうほど辛みが強くなる。；また左右の腰部分とお尻の部分にふた無しの切り込みポケットが付いている。；自身のセールスポイントは胸からお尻にかけたバランスの取れた身体。；ホラッフェンの形は、この時の市長夫人の尻を模ったといわれている。；怒りに震えながら椅子に腰を下ろすと、縫い針が主人のお尻にズブリ!</t>
        </is>
      </c>
      <c r="J4179">
        <f>HYPERLINK("https://www.weblio.jp/content/尻", "词义详情")</f>
        <v/>
      </c>
      <c r="K4179">
        <f>HYPERLINK("https://yourei.jp/尻", "查看例句")</f>
        <v/>
      </c>
    </row>
    <row r="4180">
      <c r="A4180" t="inlineStr">
        <is>
          <t>知り合い</t>
        </is>
      </c>
      <c r="B4180" t="inlineStr">
        <is>
          <t>成功</t>
        </is>
      </c>
      <c r="C4180" t="inlineStr">
        <is>
          <t>読み方：しりあい
互いに相手を知っていること。また、その相手。知人。「長年の—」</t>
        </is>
      </c>
      <c r="D4180" t="inlineStr">
        <is>
          <t>知り合い結婚；知り合い同士；知り合い意気投合；知り合い交際；知り合い親交</t>
        </is>
      </c>
      <c r="E4180" t="inlineStr">
        <is>
          <t>仲間；知人；近づき；ご存じ；顔見知り</t>
        </is>
      </c>
      <c r="F4180" t="inlineStr">
        <is>
          <t>古い知り合い；どういう知り合い；偶然知り合い；新しい知り合い；介して知り合い</t>
        </is>
      </c>
      <c r="H4180" t="n">
        <v>29</v>
      </c>
      <c r="I4180" t="inlineStr">
        <is>
          <t>偶然にもその精神科医はブランドの友人である医者と知り合いであった。；また東谷とは7年ほど前からの知り合いで飲みに行くほどの仲だという。；黙ってののしり合いをきいていたキヨ子が、小さな身体で二人を分けた。；このようなつながりの間に入る知り合いの人数は平均すると6であった。；のちに、仕事で訪ねた百貨店の受付を担当する女性と知り合い結婚した。；もしもその時から二人が知り合になつてゐたならば、どうなつたらう。；ところが後で知り合になってみると皆な若い人ばかり、これにも驚いた。；父の知り合の人であちらで商売をしてゐるのを私は多少たよりに思つてゐた。；ちなみに林は同コーナーで、知り合いの松平健似のインド人を紹介した。；知り合いでまたは家族で設立・経営している会社も少なくない。；それが私の同郷の者で古い知り合でしたが、そりゃ実にやり手なんです。；嵆康は山に薬草を採りに行った時に知り合い、彼の元に3年通っていた。；そんな中で名前が挙がったのがHIDEの知り合いのHEATHだった。；だから互ひに相手の心を知り合つてゐるといふわけではなかつた。；最初の段階として主催者が自らの知り合いをネットワーク上に招待する。；公園で休憩していた片山義太郎に、知り合いの刑事が声をかけてきた。；テメェは俺の知り合いってだけの理由でアイツまで狙細うとしたのかよ!?；また、最後に登場する無筆の男も知り合いではない普通の送り手になっている。；尾高尚忠とはベルリン留学中に知り合い、帰国後も親しく交流していた。；親友同士は、単なる知り合いの人間よりも互いに争いごとになることが多い。；大森と宗が共通の知り合いであるメンバーをクビにし代わりに前畑が加入。；気持ちが切れたかのように寝続けていたため、会いに来た知り合いも帰ってしまったという。；また、後藤新平とはドイツ留学時代に知り合い、その後も親交を続けた。；ある事件をきっかけにマイク・ハガーと知り合い、それ以来の友人である。；彼女の兄弟のうちの2人はエイブラハム・リンカーンと知り合いであった。；そのころから雑誌『種蒔く人』の人たちと知り合い、文学の道に向かう。；なんだよ、そんな幼稚なののしり合いが大人の大事な話なのかよ。；今でも、しょっちゅう電話で話をするが、もちろんののしり合いはしない。；私は少し許り知り合になった或る男から教示された通りを応用した迄なのである。</t>
        </is>
      </c>
      <c r="J4180">
        <f>HYPERLINK("https://www.weblio.jp/content/知り合い", "词义详情")</f>
        <v/>
      </c>
      <c r="K4180">
        <f>HYPERLINK("https://yourei.jp/知り合い", "查看例句")</f>
        <v/>
      </c>
    </row>
    <row r="4181">
      <c r="A4181" t="inlineStr">
        <is>
          <t>知り合う</t>
        </is>
      </c>
      <c r="B4181" t="inlineStr">
        <is>
          <t>成功</t>
        </is>
      </c>
      <c r="C4181" t="inlineStr">
        <is>
          <t>読み方：しりあう
［動ワ五（ハ四）］互いに相手のことを知っている。知り合いになる。「サークルで—・う」「仕事を通して—・う」</t>
        </is>
      </c>
      <c r="F4181" t="inlineStr">
        <is>
          <t>よく知り合う</t>
        </is>
      </c>
      <c r="H4181" t="n">
        <v>29</v>
      </c>
      <c r="I4181" t="inlineStr">
        <is>
          <t>男と知り合うとすぐにその男の部屋に荷物を持って転がり込むのである。；結婚話からも遠ざかり、男性と知り合う機会にも期待しなくなっていた。；これらはあなたと知り合う前からすでに彼の生活の中に存在していたものだ。；これを失ってはわれわれはもう手をつなぐことも知り合うこともできない。；これを失っては我々はもう手をつなぐことも知り合うこともできない。；実は麗子は江上と知り合う前に、失踪していた兄に会っていたのだった。；その隣の隣の席で同じくノートに落書きをしていた西村義明と知り合う。；日本時代に神戸市で知り合ったアルゼンチン出身の女性と結婚している。；最近知り合う女の人からは必ずロバートと友達かどうかを確認されるとです。；また、大学3年の時に知り合った塩谷治と卒業後に結婚することとなる。；彼らが知り合ったのはテアトル・エコーの先輩・渡辺正行の紹介である。；妻とは運休した新幹線で隣に座っていたことがきっかけで知り合った。；授業は小規模で読書室を利用していた生徒と知り合うように努力した。；この時にのちの大女優であるオードリー・ヘプバーンと知り合ったという。；それは、あなたと知り合うまで、わたしが経験したことのないことでした。；知り合ったホステラー同士で次の日に観光などの行動を共にすることもある。；いままで知り合うようになったすべての人のことを考えてみた。；でも、多くの人と知り合えたおかげで、いまUNFPAで働いています。；姉がいなければ知り合わなかった人だから、そうなるのは当然なのかもしれない。；夏枝は人と知り合うことがきらいで、どちらかというと客ぎらいだった。；自分はこの女の子とどんな切っ掛けで知り合うことになるのだろう。；知り合うほど一面では、こういうふうに、警戒し合っているところもあった。；京都の愛陶家が集まって開催した古陶研究会に参加し豊蔵と知り合う。；ここで、散歩中の福沢諭吉と知り合う機会があって、その学僕になった。；ウィリアムは捜査に当たる現地警察のカーシャ・ラトー刑事と知り合う。；兄と知り合う前は貿易会社で働いていて、海外出張なんかも多かったと聞く。；翌日寅次郎は、大洲城の近くで偶然に知り合った老人の家に招待される。；この頃にほかのバンドで活動していた岸田やichigoと知り合う。；父と母は1970年代にファンク・バンドでの活動を通じて知り合った。</t>
        </is>
      </c>
      <c r="J4181">
        <f>HYPERLINK("https://www.weblio.jp/content/知り合う", "词义详情")</f>
        <v/>
      </c>
      <c r="K4181">
        <f>HYPERLINK("https://yourei.jp/知り合う", "查看例句")</f>
        <v/>
      </c>
    </row>
    <row r="4182">
      <c r="A4182" t="inlineStr">
        <is>
          <t>退く</t>
        </is>
      </c>
      <c r="B4182" t="inlineStr">
        <is>
          <t>成功</t>
        </is>
      </c>
      <c r="C4182" t="inlineStr">
        <is>
          <t>読み方：ひく
［動カ五（四）］
１物の端を持って手近の所に寄らせる。手前に引き寄せる。
㋐たぐり寄せる。「網を—・く」
㋑手前に動かす。「サイドブレーキを—・く」
㋒矢を射放つ。「弓を—・く」
㋓（根差したものを）抜き取る。「草を—・く」
㋔（勝運などを託して）一つを選んで手もとに取る。「くじを—・く」「花を—・く」
㋕除き去る。減ずる。「三から二を—・く」「一割—・いて安く売る」
㋖こっそり盗み去る。「猫に魚を—・かれた」
㋗（ふつう「弾く」と書く）弦楽器や鍵盤楽器を鳴らす。弾じる。「ピアノを—・く」
２引き寄せ操って目ざす所に伴う。
㋐（引き綱を取って）連れ出す。「犬を—・いて散歩する」
㋑連行する。引き立てる。「警察に—・かれる」
㋒（手を取って）導き行く。「子供の手を—・く」
㋓（長い物が）地面などに触れたまま従い動く。引きずる。「裾が—・いている」「たもとを—・く」
㋔後ろに連結して運ぶ。「犬ぞりを—・く」「荷車を—・く」
㋕誘い込む。「客を—・く」「—・く手あまた」
㋖（「惹く」とも書く）人の注意や関心を向けさせる。「同情を—・く」「気を—・くしぐさ」「目を—・く広告」
㋗書物を繰って求める語を探し出す。「辞書を—・いて調べる」「電話帳を—・く」
㋘例としてあげる。引き合いに出す。「証拠を—・く」「故事を—・く」
㋙肩をもつ。ひいきにする。「派閥で—・いて三役に据える」
３線状に伸ばし延べる。
㋐線で描く。また線を描く。「設計図を—・く」「罫(けい)を—・く」
㋑張り広げる。「カーテンを—・く」
㋒塗り延べる。「油を—・く」「唇に紅を—・く」
㋓延べ広げる。「砂利を—・く」「なだらかな山裾を—・く」
㋔長く伸ばす。「声を—・いて歌う」
㋕糸状のものを生じさせる。「納豆が糸を—・く」
㋖特定の道筋を通じさせる。「バス路線を—・く」「ガスを—・く」「田に水を—・く」
㋗受け継いで伝わり及ぶ。「血筋を—・く」「学統を—・く」
㋘あとに余波が続く。「航跡を—・く」「わだかまりが尾を—・く」
㋙贈り物をする。
「布施に馬を—・き給へりける」〈今鏡・七〉
４出ているものを近づけ寄せる。
㋐自分の側に動かす。「あごを—・く」「右手を先に—・く」
㋑吸いつけようとする働きをもつ。「磁石は鉄を—・く」
㋒体内に吸い込む。「風邪を—・く」「大きく息を—・く」
㋓取りのけて後方にかたづける。「膳を—・く」
㋔後方に退かせる。「敗れて兵を—・く」
㋕（湯をくんで）浴びる。
「御湯—・かせ奉る」〈平家・一〇〉
５（「退く」とも書く）出ているものが遠くへ去る。しりぞく。
㋐向こうへ離れる。「潮が—・く」
㋑元のような状態にもどる。「水が—・く」「熱が—・く」
㋒うせる。なくなる。「痛みが—・く」「血の気が—・く」
㋓縁を切る。関係を断つ。「事件から手を—・く」
㋔引退する。「現役を—・く」「舞台を—・く」
㋕（俗語）相手に関心や興味を持たなくなる。相手から気持ちが離れる。「これを口にすると女性が—・く」→どん引き
６強く押し当てたものでこする。
㋐（ふつう「挽く」と書く）のこぎりや鉋(かんな)で切ったり削ったりする。「のこを—・く」「ろくろで—・く」
㋑（ふつう「碾く」と書く）ひき臼(うす)を回して穀類をすり砕く。「豆を—・く」
㋒（ふつう「轢く」と書く）車輪が人や動物を押しつけて通る。「自動車に—・かれる」
[可能]ひける
［動カ下二］「ひける」の文語形。
[下接句] 後(あと)に引けない・後を引く・一髪千鈞(せんきん)を引く・糸を引く・尾を引く・陰で糸を引く・気を引く・心を引く・潮が引く・袖(そで)を引く・体(たい)を引く・血を引く・血の気(け)が引く・杖(つえ)を曳(ひ)く・手を引く・手薬煉(てぐすね)引く・鼠(ねずみ)が塩を引く・人目を引く・棒を引く・幕を引く・満を引く・身を退(ひ)く・三度(みたび)諫(いさ)めて身を退く・目を引く・湯を引く・弓を引く・我が田へ水を引く</t>
        </is>
      </c>
      <c r="D4182" t="inlineStr">
        <is>
          <t>退くべき；退くしかない；退くまい；退くよう命じ；退くべし</t>
        </is>
      </c>
      <c r="E4182" t="inlineStr">
        <is>
          <t>引退；撤退；非難；辞任；去る</t>
        </is>
      </c>
      <c r="F4182" t="inlineStr">
        <is>
          <t>一歩退く；退くまで国際aマッチ；跳び退く；引き退く；退くしか</t>
        </is>
      </c>
      <c r="H4182" t="n">
        <v>29</v>
      </c>
      <c r="I4182" t="inlineStr">
        <is>
          <t>官職から退いた後は、友人の経済的な援助を支えに生活していたという。；味方が残らず討たれて最後の一人になるまでも決して後へは退きません。；また女優業からは一線を退き、映画やドラマでの復帰はないとしている。；これはお前だけに言っておくが、私は秋の株主総会を最後に社長を退く。；が殆どその時の店の中心であつた彼は単純に身を退くわけには行かなかつた。；どっちかやってもらうまでは、おれはこの部屋を退くわけにはいかない。；二人のまえで霧のようには退かず、間近に寄っても不透明なままだった。；そのために大佐の時に軍を退かなければならなくなつたと言います。；後ろからは教師を前にして一歩も退かない勇士たちの怒号が響いてきた。；進むか退くかどちらかに決定しなければならない問題が其処にあった。；しかし馬車の列の間にはさまれて進むことも退くこともできなかった。；これがわれわれの作戦で、わが軍をわざと退かせておいたわけである。；大榎を背中にして米友はこれより後ろへは一歩も退くことはできぬ。；ペンバートンは最後の抵抗を試みた後、町の周りの塹壕の内側に退いた。；だが、この戦いで木村政彦は謎のKO負けとなり一線を退くこととなる。；ついさっきまで戦っていた日本軍には、一歩も退かない決意が漲っていた。；担当番組の終了により退いた人物や現在も他番組に出演している人物は除く。；その代わり、自分が正しいと思ったら、相手がだれであろうと後へ退くな。；このとき彼等は上からの射撃を浴び、進むも退くも明確な作戦は無かった。；弟であるサー・アーサーもこれを機にインドでの職を退くことにした。；契約延長の際に、2020年限りで現役を退くことを明らかにしている。；六〇・〇五フランでの買手となり得ない所の六〇フランの買い手は退く。；その瞳は恐怖に怯えながらも、一歩も退かないぞ、という意思が見えた。；穏やかな、しかし退かない熱を秘めた声が続き、急に視界が暗くなった。；この戦はそう長くは続かず、いずれどちらかが島から退く外あるまい。；この際、現役を退いていたかつてのエース・パイロットの一部も復帰した。；現在では現役を退いてはいるが、最近までバージニア大学の教授であった。；しかしアカマースを攻撃して戦場から退かせ、また木馬作戦に参加した。；父王がブラジルに戻れば、彼は父を支持して帝位から退こうと考えていた。</t>
        </is>
      </c>
      <c r="J4182">
        <f>HYPERLINK("https://www.weblio.jp/content/退く", "词义详情")</f>
        <v/>
      </c>
      <c r="K4182">
        <f>HYPERLINK("https://yourei.jp/退く", "查看例句")</f>
        <v/>
      </c>
    </row>
    <row r="4183">
      <c r="A4183" t="inlineStr">
        <is>
          <t>自立</t>
        </is>
      </c>
      <c r="B4183" t="inlineStr">
        <is>
          <t>成功</t>
        </is>
      </c>
      <c r="C4183" t="inlineStr">
        <is>
          <t>読み方：じりつ
［名］(スル)
１他への従属から離れて独り立ちすること。他からの支配や助力を受けずに、存在すること。「精神的に—する」
２支えるものがなく、そのものだけで立っていること。「—式のパネル」</t>
        </is>
      </c>
      <c r="D4183" t="inlineStr">
        <is>
          <t>自立する(7%)；自立的(3%)；自立心(2%)；自立できる；自立型</t>
        </is>
      </c>
      <c r="E4183" t="inlineStr">
        <is>
          <t>独立；自治；自主；自律；一本立ち</t>
        </is>
      </c>
      <c r="F4183" t="inlineStr">
        <is>
          <t>自主自立；樹立し自立；経済的な自立；民族自立；自立度</t>
        </is>
      </c>
      <c r="G4183" t="inlineStr">
        <is>
          <t>自立支援；自立的；自立支援施設；自立活動；自立語</t>
        </is>
      </c>
      <c r="H4183" t="n">
        <v>29</v>
      </c>
      <c r="I4183" t="inlineStr">
        <is>
          <t>結果は反対多数だったため当面は合併をせず自立を目指すことになった。；アフリカ諸国の政治的な独立が進んだものの、経済的な自立は困難だった。；藩経済の自立化政策として江戸中期から日本各地で採用された経済思想。；これらは自立して世界を探求し、自我を強く意識するために重要である。；孫策はこれを契機に袁術からの独立を決意し、完全な自立勢力となった。；長男夫婦と暮らしていた時期もあったが、自立したため妻と二人暮らしであった。；母子分離が出来ており、自立的な態度が身についていることが基本とされる。；それは自立して行動し、次第に改良され、ソ連軍を圧倒するようになる。；また公爵になった後の慶喜は経済的にも宗家から自立するようになった。；けれども最愛の妻と立派な息子の支えがあり大人として自立していく。；立像の脚は、自立して立っていられるような形には作られていない。；マケドニア西部では兄弟がムルニャヴチェヴィチ領から独立し自立した。；国家が安全保障を確保する手段には自立と同盟の二種類に分けられる。；内では民族の自立を実現できず、外では世界の共栄を図ることができなかった。；当初、ニールセン作品の認知度は十分とは言えず彼の自立は困難であった。；この戦争により両大国の力は消耗し周辺国では自立の動きが活性化した。；その後の五胡十六国時代には中央から自立した西涼がこの地に首都を置いた。；これによりRCXを搭載した制作物を単体で自立動作させることができる。；彼らは生前に西部から受けた指導に感謝し、日本の対米自立を改めて誓った。；その他の地域でも自立する者は多く、後の十国の元となっている。；最終的には生産者・労働者の権利や知識、技術の向上による自立を目指す。；しかし、ヴァランス夫人との生活はルソーの自立を困難なものにした。；だが、この時代の子供の自立は早く、10歳で働き始めるのが普通であった。；実家に戻ると、自立するよう父親から言われ、多少の金を渡され家を出された。；人間と同サイズのアンドロイド系やその他自立型思考を持つ等身大ロボット。；これは、娘たちの自立を必死に望んだアッバの思いが反映されていると考えられている。；女性上位や女の自立などの現象に押されて、男たちの存在は薄かった。；時を得て学び何事にも動じない心を養い、自立して誠を尽くす精神である。；これは彼の牧師年金だけでは望めなかったような経済的自立をもたらした。</t>
        </is>
      </c>
      <c r="J4183">
        <f>HYPERLINK("https://www.weblio.jp/content/自立", "词义详情")</f>
        <v/>
      </c>
      <c r="K4183">
        <f>HYPERLINK("https://yourei.jp/自立", "查看例句")</f>
        <v/>
      </c>
    </row>
    <row r="4184">
      <c r="A4184" t="inlineStr">
        <is>
          <t>資料</t>
        </is>
      </c>
      <c r="B4184" t="inlineStr">
        <is>
          <t>成功</t>
        </is>
      </c>
      <c r="C4184" t="inlineStr">
        <is>
          <t>読み方：しりょう
研究・調査の基礎となる材料。</t>
        </is>
      </c>
      <c r="D4184" t="inlineStr">
        <is>
          <t>資料館(6%)；資料室(2%)；資料収集；資料等；資料展示</t>
        </is>
      </c>
      <c r="E4184" t="inlineStr">
        <is>
          <t>記録；データ；文書；文章；著作</t>
        </is>
      </c>
      <c r="F4184" t="inlineStr">
        <is>
          <t>関係資料；研究資料；重要な資料；関連資料；生活資料</t>
        </is>
      </c>
      <c r="G4184" t="inlineStr">
        <is>
          <t>資料保存；資料組織論；資料論</t>
        </is>
      </c>
      <c r="H4184" t="n">
        <v>29</v>
      </c>
      <c r="I4184" t="inlineStr">
        <is>
          <t>特定の地域のみの資料を扱うものと地域を越えて資料を扱うものがある。；これは第31回漢字小委員会以降で配付された資料に基づくものである。；明史の資料的価値は康熙帝が望んだとおり現在でも高い評価を得ている。；必要な時に利用できるように何らかの方法で蓄積された情報や資料。；さらなる研究のための基本となる古典的資料としては以下のものがある。；カタリ派自体が消滅していて、彼ら自身の資料がほとんどないためである。；国立国語研究所は、これに協力する形で各種資料などの作成も行っている。；その資料とするために、彼はいろいろなものを積極的に収集するようになる。；鮑叔との関係が実際にどうであったか同時代の資料には残っていない。；一部の資料では連邦軍やアフリカ民族解放戦線でも運用されているとされる。；数々の統計資料を作成し、改革のためにつくられた各種委員会に提出した。；これらは、当時の社会や文化を伝える資料としても貴重な価値をもっている。；Q資料の存在を否定する立場の人々は次のような論拠を述べている。；編集方針の決定や原資料の選択は政治的に有力者が主導したものと推測されている。；しかし死体から摘出された弾丸の数や口径は資料によって異なっている。；この本は手紙や写真やその他真実を物語る多くの資料によって書かれている。；常設展示されていない実物資料は企画展示で公開される場合がある。；これが金文と呼ばれるもので、この時代の貴重な資料となっている。；資料を手にとって見ることができ、実際の本を見ながら探すことができる。；しかしながら、ミキサーでの録音資料はストリーム配信にのみ限られる。；さらに資料を置くための別邸、および郊外のクラパムの別荘を所有した。；一部の資料では、第一期線の全区間を含めて谷山線としていることもある。；これは、習慣となったものであり、明文化された資料等は確認されていない。；初代司会者の決定の経緯については、資料によって内容が異なっている。；むろん、重要な解釈資料としての価値までが失われるわけではない。；明治時代にはすでに子どもたちの間で遊ばれていたとする資料もある。；アメリカ側の資料なので、厳密には機銃配置などで異なる部分がある。；しかし、トールキンは単に演出として資料の表面を利用しただけではない。；ハイドンの自筆原稿は残っていないことが多く、信頼できる資料は少ない。</t>
        </is>
      </c>
      <c r="J4184">
        <f>HYPERLINK("https://www.weblio.jp/content/資料", "词义详情")</f>
        <v/>
      </c>
      <c r="K4184">
        <f>HYPERLINK("https://yourei.jp/資料", "查看例句")</f>
        <v/>
      </c>
    </row>
    <row r="4185">
      <c r="A4185" t="inlineStr">
        <is>
          <t>汁</t>
        </is>
      </c>
      <c r="B4185" t="inlineStr">
        <is>
          <t>成功</t>
        </is>
      </c>
      <c r="C4185" t="inlineStr">
        <is>
          <t>読み方：じゅう
［常用漢字］　［音］ジュウ（ジフ）（慣）　［訓］しる
〈ジュウ〉しる。「液汁・果汁・胆汁・肉汁・乳汁・墨汁・一汁一菜」
〈しる（じる）〉「汁粉(しるこ)・汁物／煮汁・鼻汁・味噌汁(みそしる)」
［難読］灰汁(あく)・豆汁(ご)・苦汁(にがり)</t>
        </is>
      </c>
      <c r="D4185" t="inlineStr">
        <is>
          <t>汁椀；汁液；汁質；汁なし；汁講</t>
        </is>
      </c>
      <c r="E4185" t="inlineStr">
        <is>
          <t>液体；液；スープ；ソース；ジュース</t>
        </is>
      </c>
      <c r="F4185" t="inlineStr">
        <is>
          <t>みそ汁；うまい汁；つけ汁；漬け汁；多汁</t>
        </is>
      </c>
      <c r="G4185" t="inlineStr">
        <is>
          <t>汁物；汁気；汁もの；汁麺；汁かけ飯</t>
        </is>
      </c>
      <c r="H4185" t="n">
        <v>29</v>
      </c>
      <c r="I4185" t="inlineStr">
        <is>
          <t>またこの種は大型動物の糞から汁を吸う習性があることが知られている。；北へゆく道で 南へいって凝えた豌豆汁で お舌をやいてこォがした。；干しシイタケの戻し汁などでも症状が発生することが報告されている。；昔し、女達はその肌を白くするのに此の草の汁を使つたものなんです。；その名にふさわしく、ゲーム全体で非常に汁っ気の多いゲームである。；しかしそれでもまだそれに弾ねられて汁のなかへ落ち込んだりするのがいた。；成虫は竹の上で生活し、竹の茎に傷をつけ出てきた汁を吸って生活している。；そして何よりも、その絞り汁を発酵させた飲料を製造するのに用いていた。；コートジボワールのゲレ族はしゃっくりを治す際に葉の汁を飲んできた。；彼は食うものを作りながら、誰れかに甘い汁を吸われているのだった。；また、民間療法で馬の糞から作られた馬糞汁を飲むのが良いとされた。；鍋の具を食べ終わると、残りの汁で雑炊を作ることが一般的である。；体色は茶褐色や灰緑色などが普通で、植物の上に生活し、その汁を吸う。；アニメではここで紹介した以外にも様々な乾汁が登場する。；南育ちの人々が多いからといふので、特にカレー汁が食卓に用意されてゐた。；見ればこれも旧式の、平もあれば壺もある、さすがに汁には泥も沈んでいない。；鉢に水と一緒に入れて骨を除き、その汁で野菜や魚を煮る事が多い。；チベット、ネパールでは モモと称して、汁を加えて食べることもある。；毒虫を絞った汁にもせよ、人生れて男にして、これは辞すべきでない。；一部報道によると汁すらない日もあったようであり、米に水をかけて食べた日もあったという。；悪蛇の奴、もう血の汁も出なくなって皮ばかりにひしゃげた首を石の間に垂れているわ。；円汁は仏像と人間の融合を研究しており、いろんな事件の黒幕的存在だった。；これは、現代タミル語ではソースや汁を意味する言葉となっている。；空気孔がないのは、穴から汁が漏れてしまうのを防ぐためである。；恐ろしい格好をした吻の先から、煙草の噛み汁のような黒い泡を滲ませる。；これらのように一汁三菜での汁ではなく、菜あるいは肴に分類される。；それとも、こんな牛乳みたような汁ばかり飲んで生きておいでになるのですか。；部下に木の汁を集めさせ、持っていた物に塗ると美しく染まった。；上の婆は「大きな雁が落ちてきた」と、爺を打ち殺して汁にして食った。</t>
        </is>
      </c>
      <c r="J4185">
        <f>HYPERLINK("https://www.weblio.jp/content/汁", "词义详情")</f>
        <v/>
      </c>
      <c r="K4185">
        <f>HYPERLINK("https://yourei.jp/汁", "查看例句")</f>
        <v/>
      </c>
    </row>
    <row r="4186">
      <c r="A4186" t="inlineStr">
        <is>
          <t>知る</t>
        </is>
      </c>
      <c r="B4186" t="inlineStr">
        <is>
          <t>成功</t>
        </is>
      </c>
      <c r="C4186" t="inlineStr">
        <is>
          <t>読み方：しる
［動ラ五（四）］
１物事の存在・発生などを確かにそうだと認める。認識する。「おのれの非を—・る」「ニュースで事件を—・った」
２気づく。感じとる。「昨夜の地震は—・らなかった」「—・らずに通り過ぎる」
３物事の状態・内容・価値などを理解する。把握する。さとる。「物のよしあしを—・っている」「世界の人口はどのくらいか—・っていますか」
４忘れずに覚えている。記憶する。また、物事に通じている。「昔を—・っている人」「内部の事情をよく—・っている者の犯行らしい」
５経験する。体験して身につける。「酒の味を—・る」「世の中の苦労を—・らない」
６学んで、また、慣れて覚える。「フランス語なら、少し—・っている」
７付き合いがある。知り合いである。面識がある。「—・っている人に会う」「—・った顔ばかり」
８（多く、打消しや反語を伴って用いる）そのことにかかわって責任を持つ。関知する。「私の—・ったことではない」
９（「領る」「治る」とも書く）
㋐領有する。所有する。
「春日の里に—・るよしして」〈伊勢・一〉
㋑支配する。治める。
「汝が御子やつひに—・らむと雁は卵(こ)産(む)らし」〈記・下・歌謡〉
10世話をする。
「また—・る人もなくて漂はむことのあはれに避(さ)りがたうおぼえ侍りしかば」〈源・柏木〉
[可能]しれる
［動ラ下二］「し（知）れる」の文語形。
[下接句]過ちを観(み)て斯(ここ)に仁を知る・井の中の蛙(かわず)大海を知らず・いざ知らず・衣食足りて礼節を知る・一を聞いて十を知る・一葉落ちて天下の秋を知る・一丁字(いっていじ)を識(し)らず・易者身の上知らず・燕雀(えんじゃく)安(いずく)んぞ鴻鵠(こうこく)の志を知らんや・男を知る・親の心子知らず・女を知る・嘉肴(かこう)ありと雖(いえど)も食らわずんばその旨(うま)きを知らず・歌人は居ながらにして名所を知る・臭い物身知らず・怖いもの知らず・疾風に勁草(けいそう)を知る・倉廩(そうりん)実(み)ちて礼節を知る・誰(たれ)か烏(からす)の雌雄(しゆう)を知らんや・手の舞い足の踏む所を知らず・天知る、地知る、我知る、子(し)知る・天命を知る・年寒くして松柏(しょうはく)の凋(しぼ)むに後るるを知る・情けを知る・汝(なんじ)自らを知れ・恥を知る・世に知られる・論語読みの論語知らず・我が身を抓(つね)って人の痛さを知れ</t>
        </is>
      </c>
      <c r="D4186" t="inlineStr">
        <is>
          <t>知るべき；知るよし；知るまい；知るべし；知る人ぞ知る</t>
        </is>
      </c>
      <c r="E4186" t="inlineStr">
        <is>
          <t>思う；発見；経験；理解；わかる</t>
        </is>
      </c>
      <c r="F4186" t="inlineStr">
        <is>
          <t>窺い知る；うかがい知る；知る能わざる；知る能はず；知るうえで貴重</t>
        </is>
      </c>
      <c r="G4186" t="inlineStr">
        <is>
          <t>知るべ；知るを楽しむ；知る区ロード；知るかバカうどん</t>
        </is>
      </c>
      <c r="H4186" t="n">
        <v>29</v>
      </c>
      <c r="I4186" t="inlineStr">
        <is>
          <t>本の中では数十年が経過しており、誰も当時の自分を知る者はなかった。；こうした呼称からはある程度その種の特徴を窺い知ることが可能である。；内部の者はそれが科学的というよりも政治的な書物であると知っています。；まだその時には彼女がモーリス・ルブランの妹とは知らなかったという。；腕の皮膚に意識を集中し、彼女の爪がどのように動くのか知ろうとした。；そんなこと、私は知ったことではありません、私の責任ではありません。；特に毎日王冠は数多くの実力馬が勝ってきていることでも知られている。；わたくしさえ知ろうとしなかった、別のわたくしがいるのかもしれない。；古代のアテネであるアテナイは強力な都市国家であったことで知られる。；その真理が内容的には何であるかを我々は知ろうと欲しているのである。；現在知られている大陸とは別に、別な観点に立った大陸と呼ぶ対象もある。；また毎日三食饅頭だけで過ごし健康を害しかかったこともよく知られる。；これを聞いたイオカステーは真実を知り、自殺するためその場を離れた。；過去の軋轢を知る人々や地元を中心に大きな驚きをもって伝えられた。；ぼくはダイアナを知ろうとせずに、自分のものにしたかっただけだった。；未発見の時代にはそもそも知られておらず、七曜・九曜にも含まれない。；それより、中身を知りながらメールの公開を決めた人のほうが気になる。；腕の皮膚に意識を集中し、彼女の爪がどのように動くのかを知ろうとした。；知らないで済むものならば、無理に知ろうとすることなど何もないのだ。；まだ、このリストの関係者の現在をしきりに知ろうとしていた頃である。；この輪回しの輪は多くの文化圏で古くからよく知られている玩具である。；夫の胸を領している非常の決意が、どんなものであるかを知ろうと努めた。；年輪がないので樹齢を知ることは難しいが、数千年に達するといわれる。；四高時代に窪川鶴次郎らを知り、短歌や詩や小説を発表するようになる。；男の前に地図を示して、どこから来たかを知ろうと試みたこともある。；子供の私はおばあさんが八十なのか六十なのか知ろうともしなかった。；現在では低品位炭が南極横断山脈の様々な場所にある事が知られている。；戦いは剣と槍の力で決するものではないことを人々は知ることになるだろう。；ある時、王は妻の不貞を知り、妻と相手の奴隷たちの首をはねて殺した。</t>
        </is>
      </c>
      <c r="J4186">
        <f>HYPERLINK("https://www.weblio.jp/content/知る", "词义详情")</f>
        <v/>
      </c>
      <c r="K4186">
        <f>HYPERLINK("https://yourei.jp/知る", "查看例句")</f>
        <v/>
      </c>
    </row>
    <row r="4187">
      <c r="A4187" t="inlineStr">
        <is>
          <t>印</t>
        </is>
      </c>
      <c r="B4187" t="inlineStr">
        <is>
          <t>成功</t>
        </is>
      </c>
      <c r="C4187" t="inlineStr">
        <is>
          <t>読み方：いん
［音］イン（呉）（漢）　［訓］しるししるす
［学習漢字］4年
〈イン〉
１はんこ。「印鑑・印章／押印・検印・刻印・極印・実印・代印・調印・捺印(なついん)・封印・拇印(ぼいん)・烙印(らくいん)」
２版を押して刷る。「印行・印刷／影印」
３文字・形などをしるす。「印字・印象」
４インド。「印欧語族／蘭印」
〈しるし（じるし）〉「旗印・星印・目印・矢印」
［名のり］あき・かね・しる</t>
        </is>
      </c>
      <c r="D4187" t="inlineStr">
        <is>
          <t>印刷本；印文；印奈；印契；印明</t>
        </is>
      </c>
      <c r="E4187" t="inlineStr">
        <is>
          <t>影；証拠；証明；気配；知らせ</t>
        </is>
      </c>
      <c r="F4187" t="inlineStr">
        <is>
          <t>押印；星印；御印；バツ印；船印</t>
        </is>
      </c>
      <c r="G4187" t="inlineStr">
        <is>
          <t>印刷；印度；印象派；印章；印刷物</t>
        </is>
      </c>
      <c r="H4187" t="n">
        <v>29</v>
      </c>
      <c r="I4187" t="inlineStr">
        <is>
          <t>押印のためには使用局へ直接赴くか、事前に郵送で依頼する必要がある。；ドアに毎日チョークで印をつけたことから始まったとすることもある。；このスタンプラリー終了後も押印可能だったが、後に全駅で撤去された。；白マスであることが確定したマスには、下のように印を付けておくとよい。；黒い星印は、この画像の原典たる論文が主題とするの化石産出地を示す。；その時、私たちに残る武器は、ロザリオとおん子の残された印だけです。；それらのものには異教徒の印や象徴を引き続き用いることが大幅に認められた。；の印の付いたものは、C++11規格で導入・標準化されたものである。；製品に記載されている王冠の印は、下に線が入っているデザインへ変更された。；全てのステージで100点を獲るとタイトル画面に星印が表示される。；攻撃する場合はバツ印がないマスを攻撃したほうが命中する可能性は高い。；さらにユーロ紙幣には機械で真券であるかを検査するための印がある。；浸透印タイプの印章は公文書などへの使用は認められていないことが多い。；最初に敵として登場し、途中で仲間になるキャラクターは印をつけていない。；家康を救った時、その船に立てた船印を重忠は馬印として使ったという。；印は、協定が締結されたことを決定するための証拠として使用される。；有効マスには印をつけたり穴をあけたりして判別できるようにする。；識字率の低い時代にも署名や押印の代わりには、他の様々な手段が使われた。；同時に、印ソ政府間貿易経済・科学技術協力委員会の共同議長も務めた。；タイトル中の星印は小説で取り入れられたもので、意味はない。；第2世代モデルではハローキティの彫印が入ったモデルも限定販売された。；北宋後期から金代にかけては型押しで施文した印花装飾がおこなわれた。；墨指を壺の中に入れて墨をつけ、これで材木に印や文字や短い直線を書く。；出席した記者全員がサクラチヨノオーを見切り、予想印は無印であった。；レースを選んで印をつけるだけで簡単に予想ができる。；しかも詫びの印とばかりに立ち木に生えているリンゴをプレゼントする。；また旧事業会社分の押印も今まで通り日本橋郵便局で行われている。；データは2007年9月現在ただし〇印は2002年のデータ内は授業日。；また、印をつけた場所では、印をつけられた人は痛みを感じないとも信じられていた。</t>
        </is>
      </c>
      <c r="J4187">
        <f>HYPERLINK("https://www.weblio.jp/content/印", "词义详情")</f>
        <v/>
      </c>
      <c r="K4187">
        <f>HYPERLINK("https://yourei.jp/印", "查看例句")</f>
        <v/>
      </c>
    </row>
    <row r="4188">
      <c r="A4188" t="inlineStr">
        <is>
          <t>記す</t>
        </is>
      </c>
      <c r="B4188" t="inlineStr">
        <is>
          <t>成功</t>
        </is>
      </c>
      <c r="C4188" t="inlineStr">
        <is>
          <t>読み方：しるす
［動サ五（四）］
１文字や文章などを書きつける。書きとめる。記録する。「氏名を—・す」「感想を—・す」
２記憶にしっかりとどめる。忘れないようによく覚えておく。「今日の喜びを胸に—・す」
→書く［用法］
[可能]しるせる</t>
        </is>
      </c>
      <c r="D4188" t="inlineStr">
        <is>
          <t>記すべき；記すべし</t>
        </is>
      </c>
      <c r="E4188" t="inlineStr">
        <is>
          <t>記録；記憶；表記；記念；執筆</t>
        </is>
      </c>
      <c r="F4188" t="inlineStr">
        <is>
          <t>特に記す；まとめて記す；分けて記す；詳しく記す</t>
        </is>
      </c>
      <c r="H4188" t="n">
        <v>29</v>
      </c>
      <c r="I4188" t="inlineStr">
        <is>
          <t>青春18きっぷを活用する方法などを記した書籍は多数出版されている。；この項では新製配置完了後に発生した車両配置と運用線区の変化を記す。；両者は基本的に同一の内容を記しているが、一部に相違点がみられる。；記されたテトラグラマトンは特別な神聖さをもって扱われる必要がある。；リンク先に挙げられている人物の数をそれぞれの名前のあとに記した。；手作りのものは、脚の一本がとれてそこに作者の名前が記されている。；なお、分類は分類より多くの目を含むがゆえ、先に記したに過ぎない。；自然の地形の項ではその地形の様子と特産品の情報が記されている。；歴史作家でジャーナリストのは、この時の様子を以下のように記している。；それらによると生涯に三度、こうした手紙類を記したことが分かっている。；新聞やメディアでは民社党と混同しないよう社党と記される場合もある。；米国版のオンライン・カタログにはかつて以下のように記されていた。；当時の年中行事を記した日記的な記述が多くみられる点も特徴のひとつである。；上に記した官僚制の基本的な特徴もヴェーバーの定義に基づいている。；以下に文書の一覧を示し、複数の巻物が含まれる場合はその本数を記す。；この属以外にもこの名を持つ例はあるが、この項ではこの属について記す。；多くの場合書籍の裏、値段の前にCxxxxといった形で記されている。；以下の一覧表にも記す通り、小結の優勝は事例が少ないことで知られる。；馬琴が手探りで記し、路が書き継いだ原稿が早稲田大学に現存している。；これが聖書に記されたために、この名で広く知られるようになった。；以下に記した区間・駅で、改札を出ないで乗り継ぐ場合に限り適用される。；r 化の際に n が脱落するなどの変化があるが、変化前の形で記す。；日本語では表記上の都合で「カニカマ」と片仮名で記されることも多い。；酒令用なので酒令具と呼ばれ、各目にはその目が出たときにする行為が記されている。；さらに、イスラム教の教えの中に傲慢であってはならないと記されている。；以下に、当レーベルよりリリースされた映画のタイトルを抜粋して記す。；やがてぜんごうと呼び方がかわり、江戸時代末には前後と記された。；シューティングゲーム、ゲーム業界に影響を与えたものや出来事を記す。；ここでは存在が公表されながら発売に至っていない楽曲を記す。</t>
        </is>
      </c>
      <c r="J4188">
        <f>HYPERLINK("https://www.weblio.jp/content/記す", "词义详情")</f>
        <v/>
      </c>
      <c r="K4188">
        <f>HYPERLINK("https://yourei.jp/記す", "查看例句")</f>
        <v/>
      </c>
    </row>
    <row r="4189">
      <c r="A4189" t="inlineStr">
        <is>
          <t>指令</t>
        </is>
      </c>
      <c r="B4189" t="inlineStr">
        <is>
          <t>成功</t>
        </is>
      </c>
      <c r="C4189" t="inlineStr">
        <is>
          <t>読み方：しれい
［名］(スル)
１指揮・命令すること。また、その命令。「撤退を—する」
２行政官庁などで、上級の機関から下級の機関に出す通達・命令。</t>
        </is>
      </c>
      <c r="D4189" t="inlineStr">
        <is>
          <t>指令室(3%)；指令所(2%)；指令式；指令書；指令センター</t>
        </is>
      </c>
      <c r="E4189" t="inlineStr">
        <is>
          <t>命；指揮；命令；指示；判決</t>
        </is>
      </c>
      <c r="F4189" t="inlineStr">
        <is>
          <t>通信指令；eu指令；ブレーキ指令；総合指令；緊急指令</t>
        </is>
      </c>
      <c r="G4189" t="inlineStr">
        <is>
          <t>指令法；指令塔；指令破壊；指令電話；指令主義</t>
        </is>
      </c>
      <c r="H4189" t="n">
        <v>29</v>
      </c>
      <c r="I4189" t="inlineStr">
        <is>
          <t>終電同士以外では駅や指令から特別な指示がない限り接続を取らない。；上田たちは毎回番組側から出される指令に基づいて企画を遂行していた。；欧州連合では指令との形で、各国が達成すべき労働法の基準を示している。；生産する作物は政府から指令され、買い上げ価格まで政府の決定による。；このような事件は、もはや指令が発効してからは発生することはない。；工作員への指令はかつてこの放送で行われていたとされている。；指令局・移動局間の直接通信は行われず、全ての通信が制御局で中継されている。；同時に日比谷線上野駅にあった電力指令所を当地区に統合することとした。；総司令部は神道指令を各種指令の中でも重要度の高いものと見なしていた。；しかし何度も上官に指令を仰いだが「待て」と言われるばかりであった。；また袁紹が大将軍の命であると偽って、各地に指令を出したこともあった。；ブレーキシステムも電車で実績のある応答性の高い電気指令式を使用している。；方向幕は指令器をMc車に設ける計画のため、登場当初は不使用であった。；伊達政宗の文書にて「草調儀」と入った指令書がいくつか残されている。；私は総統に4月23日午後10時までに私に指令を送るよう要請した。；リーダーは、事前に何らかの連絡方法で伝えられた指令伝達場所に出向く。；上層部は指令を下す際、対応する組織に合わせてコードネームを変える。；これに伴いブレーキ制御方式が電気指令式遅れ込め制御方式に変更されている。；演説を終えたギレンは要塞中央指令室に移動して全軍の指揮を取った。；この指令を受けて作成された「GHQ原案」には次の条文が含まれていた。；この指令書をトルーマンが承認した証拠は見つかっていない。；この指令を受けてEUの各構成国でもオプト・イン規制を整備してきている。；そんな中で指令が両駅にされ、すぐに羽後岩谷駅は閉塞打合を依頼してきた。；この指令はベトナム戦争においてフォックスが下した初の指令であった。；重大事件発生時には緊急配備が発令される場合があり、指令の下協力にあたる。；無信号である場合は絶対停止を指令し非常制動がかけられる。；同時刻に要塞中央指令室に到着したキシリアがギレンと面会している。；地上指令センターの制御信号を受けることなく2週間システムが運用できるように設計されている。；指令センターを消防局内に置き、伊丹市消防局と共同運用を行っている。</t>
        </is>
      </c>
      <c r="J4189">
        <f>HYPERLINK("https://www.weblio.jp/content/指令", "词义详情")</f>
        <v/>
      </c>
      <c r="K4189">
        <f>HYPERLINK("https://yourei.jp/指令", "查看例句")</f>
        <v/>
      </c>
    </row>
    <row r="4190">
      <c r="A4190" t="inlineStr">
        <is>
          <t>じれったい</t>
        </is>
      </c>
      <c r="B4190" t="inlineStr">
        <is>
          <t>成功</t>
        </is>
      </c>
      <c r="C4190" t="inlineStr">
        <is>
          <t>読み方：じれったい
［形］［文］じれった・し［ク］物事がなかなか思うようにならないので、いらいらして気持ちが落ち着かない。はがゆい。もどかしい。「—・くて見ていられない」「もたもたして—・いやつだ」
[派生]じれったがる［動ラ五］じれったげ［形動］じれったさ［名］
[用法]じれったい・はがゆい——「一向にはかどらなくてじれったい（はがゆい）」「自分の気持ちが伝わらなくて、何ともじれったい（はがゆい）」のように、思うようにならなくて、いらいらする意では相通じて用いられる。◇「じれったい」は、その気持ちの生じる状況に対し、自分では手の出しようがなく、いらだたしい思いがつのる場合に多く使われる。「私が行ければいいのだが、ほんとうにじれったい」◇「はがゆい」は、他の人のすることを見て、何をしているのだといらだたしく思う場合に多く使われる。「一度の失敗であきらめるとは、はがゆい人だ」◇類似の語「もどかしい」は古くからの語で、「じれったい」「はがゆい」と同じように使うが、文章語的である。「上着を着るのももどかしく部屋を飛び出した」のように、心がせいて何をする時間も惜しいの意は他の二語にはない。</t>
        </is>
      </c>
      <c r="D4190" t="inlineStr">
        <is>
          <t>じれったい思い(7%)；じれったいよう(6%)；じれったい気持</t>
        </is>
      </c>
      <c r="E4190" t="inlineStr">
        <is>
          <t>曖昧な；もどかしい；イライラする；いらだたしい；掴みどころのない</t>
        </is>
      </c>
      <c r="F4190" t="inlineStr">
        <is>
          <t>じれったいほどゆっくり</t>
        </is>
      </c>
      <c r="G4190" t="inlineStr">
        <is>
          <t>じれったいね</t>
        </is>
      </c>
      <c r="H4190" t="n">
        <v>29</v>
      </c>
      <c r="I4190" t="inlineStr">
        <is>
          <t>魂はそれが与えられる時期を、一種のじれったい気持で待っていたのだ。；いつまでも男がじっとしているので、彼女はじれったくなって声をかけた。；いつもじれったげで、ほとんどいつも怒っていることがわかっていたのだ。；ときどき見ていて、こっちがじれったくなることがよくありましたよ。；操はじれったい思いで言い渡しを受けている自分のあわれな姿を見ていた。；我輩は己が人の言葉を持たないことにこれほどじれったくなったことはない。；じれったくなって、カウンターの少女に、ぼくの名前を聞いてみました。；私の不得要領なようすを見て、涼子はじれったそうに記憶を喚起させた。；彼女は帽子を脱いでしまうと、じれったそうに傍に置いて、話しかけた。；「今のところ見当もつきません」と、エラリーはじれったそうに答えた。；顔に血がのぼっていたし、服の下で小さな足が、じれったそうに動いていた。；対して、渡り終えた兵たちの数はじれったいほどゆっくりとしか増えていかない。；こうして麗一は、幸せながらもじれったい日々を過ごしていくこととなる。；元気な弟はとうとうじれったくなり、獲物を先に構えて穴の中にはいってみた。；それをじっと見ていると、親王にはじれったいような気がしてくるほどだった。；ジレッタはその婦人のふりをして彼と同衾して二人の子をもうける。；これは初めに感じたことだが、立ち居の動作が、じれったいほどのろい。；じれったくなってぼくがいこうとすると、三宅が手をとってひきとめる。；途中で何度か停止したときには、それがじれったいほどだった。；首をかしげている日本人を見ながら、少女が、じれったそうにいった。；そんな様子を見て小夢ちゃんはじれったそうに追い討ちをかけてきた。；お新さんには甘える人もなく、こんな私の我儘がじれったくもあるのだろう。；男はまた気が変っていいそうだけれど、女はどうも勝手がちがってじれったいわ。；道に迷う、みたいなじれったい状況になると能力ある奴はすぐ使いたなるもんや。；エドガー・リントンは私の話を終りまで聞くもじれったいようでした。；それはほんのわずかな時間であったにもかかわらず、奇妙に長くじれったいものに思われた。；こんな点がすべて、スキャチャード先生にはじれったいのでしょうね。；白い胸は段々と高揚していって、じれったくなるような赤みを帯びていく。；読んでみたい本が山ほどもあるのに、自分ではどうにもならないのがじれったかった。</t>
        </is>
      </c>
      <c r="J4190">
        <f>HYPERLINK("https://www.weblio.jp/content/じれったい", "词义详情")</f>
        <v/>
      </c>
      <c r="K4190">
        <f>HYPERLINK("https://yourei.jp/じれったい", "查看例句")</f>
        <v/>
      </c>
    </row>
    <row r="4191">
      <c r="A4191" t="inlineStr">
        <is>
          <t>試練</t>
        </is>
      </c>
      <c r="B4191" t="inlineStr">
        <is>
          <t>成功</t>
        </is>
      </c>
      <c r="C4191" t="inlineStr">
        <is>
          <t>読み方：しれん
信仰・決心のかたさや実力などを厳しくためすこと。また、その時に受ける苦難。「厳しい—を受ける」「—に耐える」</t>
        </is>
      </c>
      <c r="D4191" t="inlineStr">
        <is>
          <t>試練場；試練編；試練を課せられ；試練期；試練クエスト</t>
        </is>
      </c>
      <c r="E4191" t="inlineStr">
        <is>
          <t>務め；役割；試み；任務；義務</t>
        </is>
      </c>
      <c r="F4191" t="inlineStr">
        <is>
          <t>厳しい試練；大きな試練；過酷な試練；つらい試練；大試練</t>
        </is>
      </c>
      <c r="H4191" t="n">
        <v>29</v>
      </c>
      <c r="I4191" t="inlineStr">
        <is>
          <t>この冬はまた、あちこちの池にも非常に厳しい試練を与えた冬であった。；いま自分の能力がこれまでで最大の試練にさらされていることを知った。；最初の自習時間を監督した時のあの恐ろしい試練は今でも忘れられない。；それが終わったときには、この試練が始まる前のようにおちついていた。；この意味での二匹の犬は、心の中の「避けられない試練」の象徴である。；われわれがみごとに試練を切り抜けたことにも気づかないみたいである。；それから君の感情が、時の試練に耐え得るかどうかを、見たかったのです。；もつと真面目な態度で、この試練を受けるやうに導いて下さいませんか。；われわれの忍耐の極限までためそうとする、緊張と試練の連続であった。；こうしてオフェリアはパンに与えられた3つの試練に挑むことになった。；しかし、なんのために、なんのために、この無意味な試練が必要なんだ?；だが語るに値するのは彼の成功談ではなくて、彼の試練の物語なのである。；彼らはよくその試練に堪えて、自分が籾であることを立証したばかりだ。；ここでの生活は時として精神的な試練であったとルターは言っている。；京重の頭の中を、今日までに遭遇した無数の試練が駆け巡っていった。；彼は妊娠中の妻と子の死を含め、彼の人生で多くの試練を経験した。；かれらにとっては、第二段階の試練がはじまった、ともいえるであろう。；まあ、いい試練だったと思いなさい、これが最悪の試練だったかどうか!；これは神が私に与えた試練なのか、それともシャネルの陰謀なのかっ!?；勉強の最初の試練が終わるまでは、大変な危険にさらされているのだからな。；これこそたしかに人間の心に課せられる試練の最も困難なものの一つでしょう。；だがこうした試練の数かずにもかかわらず、義務感が彼の心を支配していた。；これまで彼女はたいして苦しみもせずに厳しい試練を通り抜けてきた。；どうせ将来は、もっと大きなスケールで経なければならない試練だからね。；それからの一年半の長い長い天との婚約の試練も今夜で果てたのだ。；ほとんどの客は試練に合格できなかったが、「私」は簡単に合格した。；だが、リカルドは彼の目撃し、受けた試練に耐えることはできなかった。；試練クエストをクリアしていくごとに高ランクの装備が解禁されていく。；そうして私をただ独り苦しみと試練とのうちに残して置いたまま行ってしまった。</t>
        </is>
      </c>
      <c r="J4191">
        <f>HYPERLINK("https://www.weblio.jp/content/試練", "词义详情")</f>
        <v/>
      </c>
      <c r="K4191">
        <f>HYPERLINK("https://yourei.jp/試練", "查看例句")</f>
        <v/>
      </c>
    </row>
    <row r="4192">
      <c r="A4192" t="inlineStr">
        <is>
          <t>城</t>
        </is>
      </c>
      <c r="B4192" t="inlineStr">
        <is>
          <t>成功</t>
        </is>
      </c>
      <c r="C4192" t="inlineStr">
        <is>
          <t>読み方：き
敵などを防ぐために垣をめぐらした所。とりで。しろ。
「筑紫の国は敵(あた)守るおさへの—そと」〈万・四三三一〉</t>
        </is>
      </c>
      <c r="D4192" t="inlineStr">
        <is>
          <t>城兵；城攻め；城域；城将；城介</t>
        </is>
      </c>
      <c r="E4192" t="inlineStr">
        <is>
          <t>館；砦；要塞；居城；城砦</t>
        </is>
      </c>
      <c r="F4192" t="inlineStr">
        <is>
          <t>支城；諸城；彭城；帰城；在城</t>
        </is>
      </c>
      <c r="G4192" t="inlineStr">
        <is>
          <t>城壁；城下；城内；城砦；城下町</t>
        </is>
      </c>
      <c r="H4192" t="n">
        <v>29</v>
      </c>
      <c r="I4192" t="inlineStr">
        <is>
          <t>燕軍を城から撤退させ九里離れたところに砦を築くようにするよう命じた。；フルク5世はこの間にやカラク城をはじめとする数多くの城砦を築いた。；スッポンタケ城と仲が良いが、向こうは一時的に組んでいるだけである。；また、この城は市とトイトブルクの森を通る街道を護るものでもあった。；主要な城は、為政者や指揮官の住居であり、政治や情報の拠点であった。；このため山に城を築く行為は、地域や時代を問わず普遍的に行われている。；タソガレドキ城がカワタレドキ城と同盟を結ぼうとしたが失敗に終わる。；その起源は、中世の騎士が各地から戦争を始める城へ集結した行動とされる。；本作では移動手段が徒歩と城へ帰還する呪文やアイテム以外にも追加された。；信一と子の信吉が、現在の城のおよその形を作ったと考えられている。；中世の君侯に憧れ次第に精神を病んでいった王の夢の城とされている。；主人公たちと同時に船も移動先の城や町の近くへ移動する。；この城は何度も改築・増築が繰り返され、現在の旧宮殿の原型となった。；残りの生涯をこの城で過ごし、死後は大聖堂に葬られることを望んだ。；最終的に、城の外のトゥルク人は1828年にフランス兵に除去された。；大規模な城では、周辺の山々に支城を設け、山系全体を要塞としていた。；隋軍は各地の城を攻略し、首都平壌も襲撃したが最終的に撃退された。；その後も元康は藤波畷の戦いなどに勝利して、西三河の諸城を攻略する。；汚い手を使うことで有名と言われているドクタケ同様、悪い城の一つ。；中世の小城であった城を現代の規模に拡大改修したのも豊氏である。；このことで各地に城が築かれ都城も防衛しやすい近江大津宮に移された。；大きな城が1つ、小さな村が1つあるほかはいくつか洞窟があるだけである。；この時に城の四方から項羽の故郷である楚の国の歌が聞こえてきた。；掘削作業の過程で地中から城の基礎壁が遺されていることが明らかになった。；同年、ヌルハチは明の庇護を受けていたイェへ周辺の諸城を攻撃し始めた。；また領主には自由保有地の城を封土として再付与するよう要求する者もいた。；安土桃山時代には城建築の際に石を滑らせるための材料として使用していた。；主に朝鮮の邑城を修理するか、適当な邑城がなかった場所に新たに建設された。；大天守に上げられた金鯱は城だけでなく名古屋の街の象徴である。</t>
        </is>
      </c>
      <c r="J4192">
        <f>HYPERLINK("https://www.weblio.jp/content/城", "词义详情")</f>
        <v/>
      </c>
      <c r="K4192">
        <f>HYPERLINK("https://yourei.jp/城", "查看例句")</f>
        <v/>
      </c>
    </row>
    <row r="4193">
      <c r="A4193" t="inlineStr">
        <is>
          <t>白い</t>
        </is>
      </c>
      <c r="B4193" t="inlineStr">
        <is>
          <t>成功</t>
        </is>
      </c>
      <c r="C4193" t="inlineStr">
        <is>
          <t>読み方：しろい
［形］［文］しろ・し［ク］
１雪のような色をしている。白色である。「ベンチを—・く塗る」
２潔白である。無罪である。「—・いか黒いか、出るところへ出て決めよう」
３どの色にも染めてない。また、何も書き込みがない。「—・いままのカンバス」
４明るい。鮮やかである。
「まいて、日など—・くなれば」〈宇津保・祭の使〉
５経験に乏しい。野暮である。
「是見よがしに膝枕しながら、目を細めてじゃらじゃら言ひたがるは、いかう前方(まへかた)な—・い人と心得べし」〈浮・禁短気・五〉
[派生]しろさ［名］</t>
        </is>
      </c>
      <c r="D4193" t="inlineStr">
        <is>
          <t>白いもの(3%)；白い歯(3%)；白い顔(2%)；白い肌(2%)；白い光</t>
        </is>
      </c>
      <c r="E4193" t="inlineStr">
        <is>
          <t>明るい；明か；真っ白な；純白の；明い</t>
        </is>
      </c>
      <c r="F4193" t="inlineStr">
        <is>
          <t>白い毛；白い泡；白い霧；小さな白い；大きな白い</t>
        </is>
      </c>
      <c r="G4193" t="inlineStr">
        <is>
          <t>白い手；白い雲；白い粉；白いシャツ；白い雪</t>
        </is>
      </c>
      <c r="H4193" t="n">
        <v>29</v>
      </c>
      <c r="I4193" t="inlineStr">
        <is>
          <t>右下に本線と並行して水路脇を南東に向かう軌道跡が白く残されている。；白い砂地の場所に少しの水が流れている状態でも水は僅かに青く見える。；黒色の毛に覆われており、たいていは胸・腰のあたりに白い模様がある。；だから真ん中にイラストを配置して、枠状に周りが白くなるようにした。；スカリーは壁と床が白く光っている部屋にあるベッドに横たわっていた。；眼の周囲が白く左右の眼の間には白い横縞が入るため、眼鏡状に見える。；僕の指はどれが黒でどれが白かもわからないでも鍵盤の上を滑って行く。；これは校板が白くて大きいためにボールが見えにくかったためである。；ありえないことに丹が嘆息すると、白い頭の烏と角が生えた馬が現れた。；雄の冬羽は雌に似ているが、頭央線が白く明瞭であることで区別できる。；いまは頭が白くなってきたのでブルー系は難しくなってきたと話した。；眼上部にある眉状の斑紋は白く明瞭で、眉班の上部に黒い筋模様が入る。；また隠岐島には冬になっても白くならない亜種オキノウサギが生息する。；高里の病室に入った広瀬は、高里の傍らに何者かの気配と白い腕を見る。；白い毛のものと茶色の毛のもの、白と茶色がまだらになったものがいる。；役者たちは吐く息が白くならないように、口中に氷を含んで演技をした。；中間部にある白い領域には、イスラム教を象徴する大きな三日月がある。；このため黒っぽい背景に置くと青みを帯び、明るい背景では白く見える。；額から長い冠羽が突き出ており、目の後ろには細くて白い飾り羽もある。；腹側は白いが、個体によっては縁の部分や腹部が背側と同じ色をしている。；傍らには白い百合が置かれているが、天使が百合を携えている場合もある。；死亡: 上二つの場合以外なら、次の瞬間にそのセルは白いセルになる。；地元で切り出される白い石灰岩は、城壁や多くの建物にも使われてきた。；一方、黒い蛇の正体は、白い蛇を排除するべく生み出された蛇のコピー。；片方のプレイヤーは黒い石を、もう一方のプレイヤーは白い石を使う。；この塔は白く塗られ、中ほどに一本の太い赤い水平の帯が付けられている。；喉から目の前後に白い帯模様、後頭部から目に向かっても白い帯模様がある。；この兄はやに色が白くって、芝居の真似をして女形になるのが好きだった。；腹面は白くなるが成長すると腹びれの周辺が黒化する場合もある。</t>
        </is>
      </c>
      <c r="J4193">
        <f>HYPERLINK("https://www.weblio.jp/content/白い", "词义详情")</f>
        <v/>
      </c>
      <c r="K4193">
        <f>HYPERLINK("https://yourei.jp/白い", "查看例句")</f>
        <v/>
      </c>
    </row>
    <row r="4194">
      <c r="A4194" t="inlineStr">
        <is>
          <t>素人</t>
        </is>
      </c>
      <c r="B4194" t="inlineStr">
        <is>
          <t>成功</t>
        </is>
      </c>
      <c r="C4194" t="inlineStr">
        <is>
          <t>読み方：しらびと
「しろうと」に同じ。
「ただの—が強盗とみづから名乗りて」〈著聞集・一二〉</t>
        </is>
      </c>
      <c r="D4194" t="inlineStr">
        <is>
          <t>素人探偵(3%)；素人同然；素人考え；素人芝居；素人下宿</t>
        </is>
      </c>
      <c r="E4194" t="inlineStr">
        <is>
          <t>新人；アマチュア；一般人；初心者；駆け出し</t>
        </is>
      </c>
      <c r="F4194" t="inlineStr">
        <is>
          <t>素人参加；素人芸；素人っぽい；素人劇団；素人相手</t>
        </is>
      </c>
      <c r="G4194" t="inlineStr">
        <is>
          <t>素人名人会；素人臭い；素人女性；素人歌舞伎；素人モデル</t>
        </is>
      </c>
      <c r="H4194" t="n">
        <v>29</v>
      </c>
      <c r="I4194" t="inlineStr">
        <is>
          <t>そのため、当該ゲストが出演する際は素人時代の出演映像が紹介される。；舞台への愛情は自ら加わっていた素人芝居の中で次第に醸成されていった。；当時、彼はプログラムの組み立てが素人に出来るとは考えていなかった。；こうした恋愛番組は、芸能人以外にも素人が出演することが非常に多い。；素人時代には三上悠亜のファンとしてイベントに足を運んだことがある。；医学上の素人から専門家への一段階上に上がるという儀式的意味がある。；匿名の素人個人や稀にグループなどが趣味として制作・運営していた。；営業社員は、この言葉をきくたびに熱心な素人であるように肝に銘じた。；計画を立て工事を監督した者は、測量でも土木工事でも素人であった。；そこにいたのは俳句はズブの素人だがいずれも個性の強いメンバーだった。；現在はほとんどがメーカー品だが、以前は素人の撮った作品も販売されていた。；そのため頭数だけそろえた素人作業員が危険な作業をしていたことになる。；モデルとしてはプロだけでなく、ビデオを見た素人も参加していた。；また黒化型は素人では他種蛇と判別がつきにくいが多くはあごの下が黄色い。；角川が映画に参入したとき「素人に何ができる」という声が強くあった。；そのため、素人が野生種を捕まえて自ら調理することは大変危険である。；彼らはそこで、いわゆる素人出演系のバラエティ番組を収録するのだ。；また、多くの作品で演技経験のない素人を俳優として起用している。；素人判断で工具を加工する行為は本来の性能を失わせることになるだけである。；このため、登場する素人達は全員カメラに向かって話しかける演技をしていた。；その後は、素人として地方番組に出演するも、プロになる意思はなかった。；順治は俺が考えた通り、方々の女と遊んでいたが、ズブの素人も一人いた。；素人の絵だけに、どういった場面であるかは伝わってこない。；女性も男性も素人だという前提で行われていたが、実際にはそうでない場合もあった。；酔っ払いは恐れを知らずに攻撃をするし、素人は想定外の戦いをするからだ。；あまり演出力や技術が必要とされないため、素人から募集される場合がほとんど。；当時は素人が公共のマイクを使って歌うというのは世界的にもなかった。；翌日、慎之介は素人と練習すると腕が鈍るという理由で練習に来なかった。；彼は死体に防腐処理を施そうとするが、素人に上手くできるものではない。</t>
        </is>
      </c>
      <c r="J4194">
        <f>HYPERLINK("https://www.weblio.jp/content/素人", "词义详情")</f>
        <v/>
      </c>
      <c r="K4194">
        <f>HYPERLINK("https://yourei.jp/素人", "查看例句")</f>
        <v/>
      </c>
    </row>
    <row r="4195">
      <c r="A4195" t="inlineStr">
        <is>
          <t>白黒</t>
        </is>
      </c>
      <c r="B4195" t="inlineStr">
        <is>
          <t>成功</t>
        </is>
      </c>
      <c r="C4195" t="inlineStr">
        <is>
          <t>読み方：しらくら
《「しろくろ」の音変化》とやかく言われる理由。
「へん、そりゃあねえ。そこにかけちゃあ—なし」〈滑・浮世床・初〉</t>
        </is>
      </c>
      <c r="D4195" t="inlineStr">
        <is>
          <t>白黒写真(6%)；白黒させる(2%)；白黒空中写真；白黒放送；白黒映像</t>
        </is>
      </c>
      <c r="E4195" t="inlineStr">
        <is>
          <t>モノクローム</t>
        </is>
      </c>
      <c r="F4195" t="inlineStr">
        <is>
          <t>白黒画面；白黒パトカー；白黒つけ；白黒リバーサル；白黒表示</t>
        </is>
      </c>
      <c r="G4195" t="inlineStr">
        <is>
          <t>白黒映画；白黒フィルム；白黒リバーサルフィルム；白黒アンジャッシュ；白黒騒動</t>
        </is>
      </c>
      <c r="H4195" t="n">
        <v>29</v>
      </c>
      <c r="I4195" t="inlineStr">
        <is>
          <t>今度こそどちらが優れた男か白黒つけてあげないといけないもんなあ。；白黒写真ではあるが、肌や髪の色を感じさせる出来になったと思っている。；後にDVD化されるまで、オリジナルの白黒版はソフト化されなかった。；その結果、開発チームは白黒で表現された世界を構築する必要があった。；この番組で放送された短編作品にはカラーのほか、白黒も含まれていた。；さて、彼女がこの白黒の部屋から解放されたらいったいどうなるだろうか。；自分の身の上に起こったことが理解出来ず、啓太は目を白黒させている。；一編の緊張感が溢れる白黒の映画を見ている様な余韻が残る作品である。；各山の文章中に、山周辺の地図と山の白黒写真が挿入された版もある。；百姓の借家にいるころ、白黒のテレビさえ、女や娘につけさせなかった。；佳代子の顔からサングラスが落ち、目を白黒させている様子が露になる。；机の上に、引き延ばされた白黒写真が何枚も置かれているのに気がついた。；昔の白黒写真が出され、次いでその区域の今の姿がビデオ動画で出される。；「それは白黒で撮影し、着色するようなものだろう」と彼は結論付けた。；第二次世界大戦の爆撃で焼失しており、白黒の写真しか残されていない。；後者は白黒のツートンで、車体は古くエアコンが無い場合が殆どである。；しかし、築地が白黒での製作を主張したため、結局は白黒作品となった。；原は「時間の多様性を楽しむ」ために意図的に白黒写真を撮影している。；以前は白黒のみだったが、近年ではカラー表示も可能になりつつある。；白黒をはっきりさせたら、不倫の恋はそこで終わってしまうのだから。；この時の審査や授賞式の模様を伝えた白黒ニュースフィルムが現存する。；祖母に見張っててもらい、蠅帳のかげで目を白黒させて食べるのである。；オリジナル版は白黒映像だが、現在発売中のDVDはカラー映像である。；ビデオの7割ほどは白黒の映像で、そこにカラーの場面が挟まれている。；その子が白黒のテレビを買ってくれないかと久子に持ちかけたらしい。；こういうお寺様とのおつきあいも初めてで、万事目を白黒させています。；白黒双方とも二人の打ち手がチームを組み、交互に着手する形式を取る。；背中の毛皮は長い巻き毛で白黒の毛が混じった黄色がかった茶色である。；最初は白黒だったが、後にカラーに移行され、番組タイトルも変更された。</t>
        </is>
      </c>
      <c r="J4195">
        <f>HYPERLINK("https://www.weblio.jp/content/白黒", "词义详情")</f>
        <v/>
      </c>
      <c r="K4195">
        <f>HYPERLINK("https://yourei.jp/白黒", "查看例句")</f>
        <v/>
      </c>
    </row>
    <row r="4196">
      <c r="A4196" t="inlineStr">
        <is>
          <t>じろじろ</t>
        </is>
      </c>
      <c r="B4196" t="inlineStr">
        <is>
          <t>成功</t>
        </is>
      </c>
      <c r="C4196" t="inlineStr">
        <is>
          <t>［副］無遠慮に目を向けるさま。「そんなに—（と）人の顔を見るな」</t>
        </is>
      </c>
      <c r="D4196" t="inlineStr">
        <is>
          <t>じろじろ見(26%)；じろじろと見(7%)；じろじろと眺め(6%)；じろじろながめ(3%)；じろじろとながめ</t>
        </is>
      </c>
      <c r="E4196" t="inlineStr">
        <is>
          <t>よくよく；丹念に；一心に；ジッと；しげしげと</t>
        </is>
      </c>
      <c r="F4196" t="inlineStr">
        <is>
          <t>あまりじろじろ；姿をじろじろ；様子をじろじろ；無遠慮にじろじろ；じろじろ見廻し</t>
        </is>
      </c>
      <c r="H4196" t="n">
        <v>29</v>
      </c>
      <c r="I4196" t="inlineStr">
        <is>
          <t>だがすべての人が変な風にたがいに相手をじろじろとみつめ合っていた。；食事をしているあいだにもふたりは周囲がじろじろ見ているのを知っていた。；農婦は人の気配に気づいて顔をこちらに向けじろじろとぼくを見回した。；お高は、磯五にじろじろ見られるのが気になって、怒っているのだった。；男にじろじろ見られると気持ち悪いのは一生変わらないんじゃないかと思う。；その後なにか言いたそうな顔をしてわたしをじろじろ見ていました。；若い騎士などは明らかな疑惑のまなざしで少女をじろじろと眺めている。；みんなは彼女をじろじろみてゆくが、挨拶する者はひとりもなかった。；隅の方で、じろじろ眺めていた老人はこのとき急に言葉をさし挿んだ。；隅の方で、じろじろ眺めてゐた老人はこのとき急に言葉をさし挿んだ。；目が合ってしまうと、彼はリディアを品定めするようにじろじろと見た。；突進してきた戦士たちは、はたと停止してじろじろとわたしをながめた。；男は私を頭のてっぺんから足の先までじろじろと見ながら更に言葉を続けた。；あの娘が、あたしのドレスや部星のなかをじろじろ見まわしていた理由が。；じろじろあら探しされないではだれひとり通り過ぎることはできない。；婦人の剣幕と大声に、周囲の客たちがこっちをじろじろ見ているのだ。；不安と、それに嫌惡の情をもって、彼は客の顏をじろじろと眺めていた。；男はエキモスのようすをじろじろながめてから、ひくい声でいいました。；トラックが去ったあとでも、近所の人がじろじろと中をのぞきこんでいる。；周囲の客や店の者が、不思議そうな顔をして、二人をじろじろ眺めはじめた。；フレッドさんはじろじろあたしを眺めながらこんなことを考えている。；彼がぼんやりと考えていると、依子はじろじろ彼の様子を眺め初めた。；ハルはこういうの嫌いなんです、目立ったりじろじろ見られたりするの。；じろじろ見ていると、少し先の方に、何か書いたものが貼り付けてあった。；小使は妙な顔をして、じろじろ私の顔を見ながら起ち上がって奥へ行った。；まるで呆れているかのようにぼくをじろじろ見て、ようやく口を開く。；あの騒ぎ以来、じろじろ見られるので、あまり町に出ることが出来ません。；あたしの顔をじろじろ見つめていたので、あたしはまた顔を赤らめた。；思ったより人が多いので、私は思わずその人たちをじろじろ見てしまいました。</t>
        </is>
      </c>
      <c r="J4196">
        <f>HYPERLINK("https://www.weblio.jp/content/じろじろ", "词义详情")</f>
        <v/>
      </c>
      <c r="K4196">
        <f>HYPERLINK("https://yourei.jp/じろじろ", "查看例句")</f>
        <v/>
      </c>
    </row>
    <row r="4197">
      <c r="A4197" t="inlineStr">
        <is>
          <t>しわ</t>
        </is>
      </c>
      <c r="B4197" t="inlineStr">
        <is>
          <t>成功</t>
        </is>
      </c>
      <c r="C4197" t="inlineStr">
        <is>
          <t>読み方：しわ
歴史上の出来事を話にしたもの。史実を語る話。</t>
        </is>
      </c>
      <c r="D4197" t="inlineStr">
        <is>
          <t>しわだらけ(13%)；しわぶき；しわがより；しわが深く；しわひとつ</t>
        </is>
      </c>
      <c r="E4197" t="inlineStr">
        <is>
          <t>皺；シワ；小皺；小じわ；小ジワ</t>
        </is>
      </c>
      <c r="F4197" t="inlineStr">
        <is>
          <t>小さなしわ；細かいしわ；しわひとつなく；しわ一つない</t>
        </is>
      </c>
      <c r="G4197" t="inlineStr">
        <is>
          <t>しわざ；しわくちゃ；しわ寄せ；しわしわ；しわぶき</t>
        </is>
      </c>
      <c r="H4197" t="n">
        <v>29</v>
      </c>
      <c r="I4197" t="inlineStr">
        <is>
          <t>顔のしわは鋭いが、そのいくつかにはユーモアが潜在しているとみえた。；それから靴の中底にしわがよるために靴ずれができるときがあります。；男は太い眉の間にやけにしわを寄せながら、アイスモナカを食べていた。；彼女もあまり愉快ではなかったらしく、まだ眉間のしわが消えていない。；かれは、しわだらけの年老いた顔から注意をそらすことができなかった。；イークイノックスの外表面には、どこにもしわ一つなく、鋭い線もない。；しわの多い髭づらの顔には、どこかすまなさそうな表情が浮かんでいる。；こうすると表面にしわが寄って内部は柔らかくなり香りもよくなる。；眉根にしわを寄せて、じっくり考えこんでいたが、ようやく返事をした。；神経の発作が起きたみたいに、そのしわだらけの顔がびくびくしている。；男は部屋に入ると、ダールのしわ一つないなめらかな額に銃口を向けた。；そいつは年とった、しわだらけの顔をしていて、ひげはありません。；鼻孔は赤く、顔の側面には垂直にしわが走っており、その中に腺がある。；それから靴の内側の裏当てにしわがよってできる靴ずれがあります。；その問いにひどく悩まされてでもいるように、額に深いしわを寄せていた。；目の前に、どこか人間を思わせる小人のしわにおおわれた顔があった。；額にしわをよせて、気むずかしい暗い顔をしてるのは、もうたくさんだ!；母親にも視線を移したが、母は誇らしげに紙幣のしわを伸ばしていた。；でも目は優しくて、しわはどれもキュッとあがって笑いじわになっていた。；世間によく顔を知られた人物だが、思っていたよりしわが多い。；ひどく年を取っており、雪のように白い髪にしわ深い顔をして、やせていた。；そして、しわだらけの手を握りしめているところは、水夫独特のものだ。；そして白秋の字らしい包み紙のしわを伸ばして、大せつにしまって置いた。；それを読んでいくうちに、ポワロの眉間に、深いしわが刻まれていった。；ツィマーマン夫人は暗闇のなかをすかして見ながら、鼻にしわを寄せた。；髪はまだ茶色で、きっぱりした顔にはかすかにしわがあらわれただけ。；しわの一本一本がより深く刻まれど事は無しに顔つきが険しくなっていた。；顔のしわは程よくついていて、注意して見る者にはいい感じを与えるようだった。；クロップ課長は顔に深く労苦のしわをきざんだいかつい感じの男だった。</t>
        </is>
      </c>
      <c r="J4197">
        <f>HYPERLINK("https://www.weblio.jp/content/しわ", "词义详情")</f>
        <v/>
      </c>
      <c r="K4197">
        <f>HYPERLINK("https://yourei.jp/しわ", "查看例句")</f>
        <v/>
      </c>
    </row>
    <row r="4198">
      <c r="A4198" t="inlineStr">
        <is>
          <t>仕分け</t>
        </is>
      </c>
      <c r="B4198" t="inlineStr">
        <is>
          <t>成功</t>
        </is>
      </c>
      <c r="C4198" t="inlineStr">
        <is>
          <t>読み方：しわけ
［名］(スル)
１物事を区別して行うこと。行い分けること。「仕事の—」「役柄の—」
２品物などを種類・用途・宛先などに応じて分類すること。区分。「郵便物を地方別に—する」
３（仕訳）簿記で、取引の勘定科目と金額を決定し、借方要素と貸方要素とに分析すること。</t>
        </is>
      </c>
      <c r="D4198" t="inlineStr">
        <is>
          <t>仕分け線(7%)；仕分け作業(4%)；仕分けられ(3%)；仕分け業務；仕分けまたは留置線</t>
        </is>
      </c>
      <c r="E4198" t="inlineStr">
        <is>
          <t>分類；区別；整理；区分；分ける</t>
        </is>
      </c>
      <c r="F4198" t="inlineStr">
        <is>
          <t>遺伝子系統仕分け</t>
        </is>
      </c>
      <c r="G4198" t="inlineStr">
        <is>
          <t>仕分け人；仕分け機</t>
        </is>
      </c>
      <c r="H4198" t="n">
        <v>29</v>
      </c>
      <c r="I4198" t="inlineStr">
        <is>
          <t>彼の目の前には、仕分けがされ、積み上げられたたくさんの荷物がある。；女王は、己の敵と己が必要とする人材とを、巧みに仕分けしているのだ。；仕分けした新聞を自転車に載せているときも、おまえは笑っていた。；他の二人は小さなテーブルを挟んでなにかを仕分けしていた。；留まることを許された奴隷の中で、労働の仕分けは性別で分けられた。；その五グループに客を仕分けして、該当するキーを押さねばならない。；沙羅華は対象回避の新発見は難しいとしながらも、仕分け回避に協力する。；そこなら、まだ荷物を色ごとに仕分けしている他の騎手から見えない。；そこで、楽曲形式だけではなく、様々な切り口で曲種の仕分けが行なわれる。；事務・権限仕分けの区分については、次に掲げるパターンを基本とする。；だから手紙の仕分け係の苦労は、本当のことを言ってしまえば徒労なのである。；速水は、住所の区、ごとに名前を仕分けし、地図上に点を打ってみた。；進行方法は、行政刷新会議が行う事業仕分けと基本的に同じである。；ただし、上記の通りカード類や書類などを仕分けし物色した形跡は残されていた。；自分のデスクに戻り、新たに束で届いていた日航関連の原稿を仕分けした。；おそらく中のゴミもきちんと仕分けされているにちがいない。；当座借越が行われた際の仕分けを一勘定制で処理する場合に用いる科目である。；段ボール箱は全国の地区別に仕分けされているようだった。；病院にもっていくものは小さく仕分けられ、それぞれきちんと風呂敷に包まれていた。；同年4月にはロンドン北部ヘンドンの郵便物仕分け所に爆弾を仕掛けた。；また2つのホームの間には10本ほどの仕分け線が敷かれている。；今夜は文書室長が、これらの文書の仕分けを手伝ってくれるだろう。；一時間半ほどかけてまずはノートや資料の仕分けにとりかかった。；仕分けが済んだ年賀状を持って、私と祐麒は少し離れてソファーに座る。；日本で仕分けした種子の袋にも本種が紛れ込んでいる場合がある。；あれだけ並んだクリスタル箱が一日で仕分けされ、詰め替えられるとは思えない。；燃えるゴミと燃えないゴミの仕分けもしてありませんでしたよ。；ホームの南側は、仕分け線、着発線4本、上下本線の順に並んでいる。；生きていい者とよくない者とを、自分の都合で勝手に仕分けて、その通りに死を振りまいてきたのだ。</t>
        </is>
      </c>
      <c r="J4198">
        <f>HYPERLINK("https://www.weblio.jp/content/仕分け", "词义详情")</f>
        <v/>
      </c>
      <c r="K4198">
        <f>HYPERLINK("https://yourei.jp/仕分け", "查看例句")</f>
        <v/>
      </c>
    </row>
    <row r="4199">
      <c r="A4199" t="inlineStr">
        <is>
          <t>仕業</t>
        </is>
      </c>
      <c r="B4199" t="inlineStr">
        <is>
          <t>成功</t>
        </is>
      </c>
      <c r="C4199" t="inlineStr">
        <is>
          <t>読み方：しぎょう
現場での機械操作や運転・運行の仕事をすること。「—点検」</t>
        </is>
      </c>
      <c r="D4199" t="inlineStr">
        <is>
          <t>仕業である(8%)；仕業であろ；仕業じゃない；仕業かどう；仕業でござい</t>
        </is>
      </c>
      <c r="E4199" t="inlineStr">
        <is>
          <t>行動；行い；行為；アクション；振る舞い</t>
        </is>
      </c>
      <c r="F4199" t="inlineStr">
        <is>
          <t>洗浄仕業；なき仕業</t>
        </is>
      </c>
      <c r="G4199" t="inlineStr">
        <is>
          <t>仕業人</t>
        </is>
      </c>
      <c r="H4199" t="n">
        <v>29</v>
      </c>
      <c r="I4199" t="inlineStr">
        <is>
          <t>ぼくはその場にいたから、ぼくのしわざじゃないことははっきりしてる。；彼女が寄り添ってきたのは、手紙の中に見える愛情のなす仕業であろう。；しかし、それが何者のしわざであるかは、すこしもわからないのでした。；これが何を意味するのか、また誰のしわざなのか、知る由もありません。；わたしたちの友人のしわざとすれば、驚くべき偶然の一致だといえよう。；電話の故障やガソリンの抜き取りもすべてマークの仕業だったのである。；前の恋は都の位ある人のしわざと見つけて、さては伏見と置きたるなり。；江戸を恐怖のドン底に投げ込まうとするのは、どんな人間の仕業でせう。；それまで一度も無かったことだけに阿仁のしわざに間違いはなかった。；わたくしが、これを同国人のしわざかと考えはじめたのも、そのとおり。；すべての女房たちの仕業の悪かったことに基因しているのであると思った。；わたしの胸がなくなってしまったのは、美乃里、あなたのしわざなの!?；それでは、これはみんな魔法使の仕業にちがいない、と私は決めました。；つまり霊のしわざではなくて、人のしわざだったりすることが多いんです。；あちこちに積み上げられた土の山は運のない山師たちのむなしい仕業だ。；「目をこすりながら食べたぞ、誰のしわざだ」とバスで文句を言う程度。；刑事がそう言うくらいでは、やっぱり透さんの仕業だったかも知れません。；「こいつは狂人のしわざだ」彼はまわりの森から目をはなさずにいった。；何事だかまた誰の仕業だか、お査べになるのに早過ぎはしまいと思ひます。；それを獅子の子の仕業と考え名を友切と改められ、源義朝へと譲られた。；金蔵やぶりの盗賊が一人の仕業でないのは、容易に想像されることである。；証拠品を求めて敷地内をしらみつぶしに捜した刑事たちのしわざだろう。；このうちのどこまでが自分を追っている影の仕業なのだろう?；こうしてみると、それが普通の賊の仕業でないことは判り切っていた。；けれども私の考えではこれは悪魔の仕業ではないと思います。；勿論それも同じ鬼娘の仕業であることに決められてしまった。；これには最初おどろいたが、すぐにこれは地震のしわざに違いないと考えた。；そこに住んでいる宇宙人の為す仕業であろう、というふうに考えている。；彼は何も言わなかったが、誰の仕業かは当然見当がついていた。</t>
        </is>
      </c>
      <c r="J4199">
        <f>HYPERLINK("https://www.weblio.jp/content/仕業", "词义详情")</f>
        <v/>
      </c>
      <c r="K4199">
        <f>HYPERLINK("https://yourei.jp/仕業", "查看例句")</f>
        <v/>
      </c>
    </row>
    <row r="4200">
      <c r="A4200" t="inlineStr">
        <is>
          <t>芯</t>
        </is>
      </c>
      <c r="B4200" t="inlineStr">
        <is>
          <t>成功</t>
        </is>
      </c>
      <c r="C4200" t="inlineStr">
        <is>
          <t>読み方：しん
１精神。こころ。また、こころの奥底。「—、技、体のそろった力士」「—の強い人」→心(しん)から
２（多く「芯」と書く）もののなか。中央。中心。
㋐内部の奥深いところ。「からだの—まで冷える」
㋑中央にあって、重要な役割をになう部分。「鉛筆の—」「蝋燭(ろうそく)の—」「一家の—となって働く」
㋒火が通っていない飯粒や麺の、中央の硬い部分。「—のある御飯」
㋓物の形状を保つために、その内部に入れるもの。「襟に—を入れる」
３《1が宿るとされたところから》心の臓。心臓。「—不全」
４二十八宿の一。東方の第五宿。蠍座(さそりざ)のアンタレスほか二星をさす。なかごぼし。心宿。
５⇒真(しん)7
６仲間。友だち。
「おいらも—に入れねえな」〈滑・浮世風呂・前〉</t>
        </is>
      </c>
      <c r="D4200" t="inlineStr">
        <is>
          <t>芯棒；芯式；芯部；芯ケーブル；芯入り</t>
        </is>
      </c>
      <c r="E4200" t="inlineStr">
        <is>
          <t>心；中心；基本；基礎；軸</t>
        </is>
      </c>
      <c r="F4200" t="inlineStr">
        <is>
          <t>女芯；鋼芯；燈芯；灯芯；真芯</t>
        </is>
      </c>
      <c r="G4200" t="inlineStr">
        <is>
          <t>芯線；芯ホルダー；芯地；芯研器；芯人</t>
        </is>
      </c>
      <c r="H4200" t="n">
        <v>29</v>
      </c>
      <c r="I4200" t="inlineStr">
        <is>
          <t>下からは木の芯が出るが、その先端が大きく丸く広がるのが特徴である。；見たこともない鷄介の妻が不憫になつてきて、急に頭の芯が痛み始める。；出音の傾向は明らかに違いProphecyの方が太い芯のある音がする。；ちゃんと芯があり、芝野の気持ちにリンクしているん部分があると思う。；だが、彼はあんなおとなし相な様子でいて、芯は非常な強情者であった。；作風は多岐にわたるが内容はコメディ色が主で家族を芯にした作品が多い。；鉛筆での筆記の際には、筆圧が必要以上に強いと芯が折れることがある。；どこか氷になる芯が出来て、それからだんだん氷が成長してゆく。；さらには界芯星で生まれた不良芯人が魔界王のもとへ行くこともある。；片耳が花の芯のように小さく縮まってしまって、耳たぶがなかったのだ。；日本で使われた・作られた石油ランプには、芯などの型に様々な種類があった。；一見は柔和な人物であったが、芯が強く、自説を曲げない人物であった。；なお、元から金属製の芯が入ってない、薄型の学生鞄も販売されていた。；これは、初期には輪芯に木材を使用していたことも関係している。；性格は天真爛漫で芯が強く、自分の考えや思ったことははっきり言うタイプ。；木製の芯などを使わずに像などを作ることができ、日本では乾漆と呼ばれた。；ここに生えている巨大な界樹に生る木の実から芯人が生まれてくる。；現在ではエボナイト製のペン芯を使用しているメーカーは皆無に等しい。；足に非常に長細い鉤爪を持っており、骨芯の長さは10 cmに達した。；中は全身の中央、極は端から端まで張った芯柱であることから名づけられた。；芯になるのはあくまで列車増発を目的とする現実の運動なのだ。；しかも、その中の一本には極く太目のものを君は芯にしているんだ。；当時のプロフィールでは見かけに寄らず芯は強いと紹介されている。；主人公・白雪が芯を持っている様子はティンパニで表現されている。；芯の通ったJAZZYでエバーグリーンな楽曲が高く評価されている。；カッターマシンも最も偏芯が少なく安定したものXRCD用に選別した。；特に評価したいのは、弾く姿勢に芯があることと、耳の良さとセンス。；つまり芯まで金素材なのではなく、金色に粉飾する、という意味である。；絵巻なので弘廂の幅は短く描かれているが通常芯々で10尺前後である。</t>
        </is>
      </c>
      <c r="J4200">
        <f>HYPERLINK("https://www.weblio.jp/content/芯", "词义详情")</f>
        <v/>
      </c>
      <c r="K4200">
        <f>HYPERLINK("https://yourei.jp/芯", "查看例句")</f>
        <v/>
      </c>
    </row>
    <row r="4201">
      <c r="A4201" t="inlineStr">
        <is>
          <t>真</t>
        </is>
      </c>
      <c r="B4201" t="inlineStr">
        <is>
          <t>成功</t>
        </is>
      </c>
      <c r="C4201" t="inlineStr">
        <is>
          <t>読み方：まな
［接頭］人を表す名詞に付いて、非常にかわいがっている、大切に愛し育てている、などの意を表す。「—弟子」「—娘」</t>
        </is>
      </c>
      <c r="D4201" t="inlineStr">
        <is>
          <t>真九郎(7%)；真奈(3%)；真菌；真蒼；真棹</t>
        </is>
      </c>
      <c r="E4201" t="inlineStr">
        <is>
          <t>実際；事実；まったく；全く；実際に</t>
        </is>
      </c>
      <c r="F4201" t="inlineStr">
        <is>
          <t>真樹子；曹真；真九郎；真只中；真姫</t>
        </is>
      </c>
      <c r="G4201" t="inlineStr">
        <is>
          <t>真似；真剣；真面目；真ん中；真相</t>
        </is>
      </c>
      <c r="H4201" t="n">
        <v>29</v>
      </c>
      <c r="I4201" t="inlineStr">
        <is>
          <t>晩年になってもスミスはこの作品が唯一の真のSFだったと述べている。；いやむしろ、あなたがそれに与えた解釈は真の命題でなければならない。；が真だとすると、そこで表明されていることは全て真でなければならない。；この後方に連接した副目標が全て真となった場合に限り副目標は真となる。；医療を受けてきたことが原因で、真の病気となっていることも少なくない。；を真であり同時に偽であるとすると、それは偽でなければならなくなる。；日本でも古代から赤い真円で太陽を表すことは一般的ではなかったと思われる。；真の危険はテクノロジーが人間を存在からさらに遠ざけるところにある。；地球の運動速度は一定でないため、太陽は正午に真南に来るとは限らない。；しかしこの方法では真の意味における削減の目的にかなうものではない。；以前原虫とされていたニューモシスチス肺炎は現在は真菌に分類される。；究極的には、真の文法が得られた場合に限り文法性の評価が可能となる。；これらのプレイヤーの真の意図の問題を追跡して請うことは不可能である。；どちらの仮説を採用しても、は真でありかつ偽であるという結論に至る。；この値のことを誤差理論において 真の値または真値 と呼んでいる。；任意の素元が必ず既約元となることに対し、その逆は一般には真でない。；ただし当時の花火はまだ真円には開かず、また入りも単色に限られていた。；真奈美との別れから6年が過ぎたある日、その本人が正樹の目の前に現れる。；十両以上の力士は、真の意味でのプロの力士である関取として扱われる。；この結果、全エルフの中で彼女のみが真の死を経ることになったのであった。；彼はこのことからリーマン予想が真であることが導かれると示した。；これと同じ傾向が、真核生物種のほとんどのアミノ酸で示されている。；ただしこれは、全ての星が放つ真の明るさは一定という前提に立っていた。；沖は、真反対の方位に対応する十二支同志の関係で衝突の意味がある。；この文を偽だとすると、そこで言っている内容は真ではないということになる。；したがって信号の真値の信頼度によって結果が変わる可能性があることが指摘されている。；多くはその分野の真の意味での専門家ではない。；この寺は、見かけは立派だが、真の出家者などはいないではないか。；彼は美を真や善と結びつけることによって、この問題を解決しようとする。</t>
        </is>
      </c>
      <c r="J4201">
        <f>HYPERLINK("https://www.weblio.jp/content/真", "词义详情")</f>
        <v/>
      </c>
      <c r="K4201">
        <f>HYPERLINK("https://yourei.jp/真", "查看例句")</f>
        <v/>
      </c>
    </row>
    <row r="4202">
      <c r="A4202" t="inlineStr">
        <is>
          <t>進化</t>
        </is>
      </c>
      <c r="B4202" t="inlineStr">
        <is>
          <t>成功</t>
        </is>
      </c>
      <c r="C4202" t="inlineStr">
        <is>
          <t>読み方：しんか
［名］(スル)
１生物が、周囲の条件やそれ自身の内部の発達によって、長い間にしだいに変化し、種や属の段階を超えて新しい生物を生じるなどすること。一般に体制は複雑化し機能は分化していく。また、無機物から有機物への変化、低分子から高分子への変化などについても用い、拡張して星の一生や宇宙の始原についても用いられる。「恒星の—」「陸上生活に適するように—する」
２社会が、未分化状態から分化の方向に、未開社会から文明社会へと変化発展すること。
３事物が進歩して、よりすぐれたものや複雑なものになること。「日々—するコンピューターソフト」⇔退化。</t>
        </is>
      </c>
      <c r="D4202" t="inlineStr">
        <is>
          <t>進化する(7%)；進化的(4%)；進化前；進化論；進化過程</t>
        </is>
      </c>
      <c r="E4202" t="inlineStr">
        <is>
          <t>展開；発展；成長；向上；発達</t>
        </is>
      </c>
      <c r="F4202" t="inlineStr">
        <is>
          <t>社会進化；人類進化；自己進化；大きく進化；進化形態</t>
        </is>
      </c>
      <c r="G4202" t="inlineStr">
        <is>
          <t>進化形；進化心理学；進化生物学；進化学；進化生物学者</t>
        </is>
      </c>
      <c r="H4202" t="n">
        <v>29</v>
      </c>
      <c r="I4202" t="inlineStr">
        <is>
          <t>化石を含む骨の形態情報から推定された属の進化史は以下の通りである。；驚くべき速度で進化を続けるがそれにはある重大な秘密が隠されている。；寄生虫はもともとは自由生活をする生物から進化したと考えられている。；彼の考えは、生物の進化に大きく3つの方向があると考えたことである。；実際に長い進化の時間の中で生きたり死んだりするのは個体である。；そのため進化の過程を解き明かす証拠は少なく、まだ不明な部分も多い。；そのような計算機が1940年代に電子式のコンピュータへと進化した。；これは、多くの種が同じ進化の歴史を経てきているからであると説明される。；そうした遺伝子進化の結果、強い性の衝動と様々な脳の傾向が生まれた。；これは動物に散布してもらうように進化した結果と考えられている。；こうした現象を引き起こす進化の様式は、今では共進化と呼ばれている。；この立場はかならずしも進化上の系統を重視しているわけではない。；被子植物の中で進化の進んだグループであり、大きな目となっている。；後に進化し、長柄の穂と反対側の端には石突きが付けられるようになった。；異なる由来の器官が同じ機能を持つように進化することを収斂進化と呼ぶ。；これは魚類の進化の多くが大陸移動以前から起こってきたためである。；また制御AIは自己進化システムを導入した「800」へと改良された。；つまり基本的な生命現象は進化的に保存されていると言える。；しかし彼らの若い友人トマス・ハクスリーははっきりと進化に反対していた。；我々地球上生命の形態は、地球の環境に適応して進化を遂げた結果である。；そこで、この段階を母植物の上で過ごしてしまう方向へ進化が進んだのであろう。；スペンサーは進化を一から多への単純から複雑への変化と考えた。；意識を持つように人類が進化する以前に、人類は言語を使えるようになった。；進化的安定性を定義するためのゲームは以下のようなものである。；本作における進化とは生物のそれと同一ではなく成長や強化に当たるものである。；進化は、生物の形質が世代を経る中で変化していく現象のことである。；これは進化の過程で、遺伝子が細胞核へ移動したからだと考えられている。；この集団が現在のようなボブキャットに進化したのは2万年前頃と。；人間は、自分の遺伝子の安全だけを大事にするように進化してきたのではない。</t>
        </is>
      </c>
      <c r="J4202">
        <f>HYPERLINK("https://www.weblio.jp/content/進化", "词义详情")</f>
        <v/>
      </c>
      <c r="K4202">
        <f>HYPERLINK("https://yourei.jp/進化", "查看例句")</f>
        <v/>
      </c>
    </row>
    <row r="4203">
      <c r="A4203" t="inlineStr">
        <is>
          <t>侵害</t>
        </is>
      </c>
      <c r="B4203" t="inlineStr">
        <is>
          <t>成功</t>
        </is>
      </c>
      <c r="C4203" t="inlineStr">
        <is>
          <t>読み方：しんがい
［名］(スル)他人の権利や所有などをおかして損害を与えること。「著作権を—する」</t>
        </is>
      </c>
      <c r="D4203" t="inlineStr">
        <is>
          <t>侵害する(16%)；侵害される(3%)；侵害者；侵害訴訟；侵害受容</t>
        </is>
      </c>
      <c r="E4203" t="inlineStr">
        <is>
          <t>侵攻；侵入；犯罪；違反；侵略</t>
        </is>
      </c>
      <c r="F4203" t="inlineStr">
        <is>
          <t>商標権侵害；法益侵害；特許権侵害；知的財産権侵害；人格権侵害</t>
        </is>
      </c>
      <c r="G4203" t="inlineStr">
        <is>
          <t>侵害行政；侵害犯</t>
        </is>
      </c>
      <c r="H4203" t="n">
        <v>29</v>
      </c>
      <c r="I4203" t="inlineStr">
        <is>
          <t>日本では過去の判例に著作権法の寄与侵害が認定された例は一例もない。；しかしこの条約は、決してサーミ人の権利を侵害するものではなかった。；これらは著作権を侵害しており、公式サイトでも注意を呼びかけている。；侵害刺激とは痛みをもたらし、組織の損傷を引き起こすような刺激である。；構成員の思想信条の自由・政党支持の自由を侵害するという批判もある。；これらは著作権を侵害する行為であるが、サイトは急成長を続けていった。；そうなれば民間事業や個人の自由はナチ党政権と同程度に侵害されるだろう。；著作権が侵害された場合の救済手段として差止請求権が認められている。；犯罪の関係者などが侵害されて問題となることが多い。；雑喉場問屋は鮒魚仲間から営業範囲侵害について訴えられたこともある。；竹島は連合国軍以外の勢力が武力で日本の主権を侵害した唯一の島である。；またユーザーは権利侵害と判断されれば、いきなり処罰されてしまう。；具体的な保護法益の侵害や、危険の発生が成立の要件とはされない。；許可を得ないこの武力介入は国家主権の侵害に当たる行為であった。；書籍名や歌詞に商標を用いることは、商標権侵害には当たらないとされる。；痴漢は個を奪われて性の対象にされて侵害される行為だとジャーナリストは語っている。；侵害したとする特許の中にはOSレベルのものも含まれている。；そのため、財産権の侵害や親族への連座制ではないかとの指摘もある。；以下の項では、主に侵害訴訟において論点となる部分について説明する。；後者は権利侵害が起こりやすく、コンテンツの質も一定に保ちにくい。；法改正前にも2014年ので特許権侵害が争われたときに実施されている。；他人の権利・利益を侵害するような営業は、当然、許されない。；テレパシーによるプライバシーの侵害を防ぐ精神の壁を作る技能を学ぶ。；その場合、著作者人格権を侵害する態様で著作物を利用することはできない。；各個人は、それが他人の権利を侵害しない限り、人の為の権利があるかを判断する権限と責任を持っている。；しかし、構成員の個別利益や共同利益を過度に侵害することはしない。；ただし、一部の権利侵害類型では「使用」を要件の一部とする場合もある。；当初共和政を支持したが、彼の財産への侵害が行われると次第に反共和政的になった。；不法行為とは、ある者が他人の権利ないし利益を違法に侵害する行為。</t>
        </is>
      </c>
      <c r="J4203">
        <f>HYPERLINK("https://www.weblio.jp/content/侵害", "词义详情")</f>
        <v/>
      </c>
      <c r="K4203">
        <f>HYPERLINK("https://yourei.jp/侵害", "查看例句")</f>
        <v/>
      </c>
    </row>
    <row r="4204">
      <c r="A4204" t="inlineStr">
        <is>
          <t>進学</t>
        </is>
      </c>
      <c r="B4204" t="inlineStr">
        <is>
          <t>成功</t>
        </is>
      </c>
      <c r="C4204" t="inlineStr">
        <is>
          <t>読み方：しんがく
［名］(スル)
１上級の学校に進むこと。「大学に—する」《季春》
２学問の道に進み励むこと。</t>
        </is>
      </c>
      <c r="D4204" t="inlineStr">
        <is>
          <t>進学する(14%)；進学後(6%)；進学先；進学者；進学実績</t>
        </is>
      </c>
      <c r="E4204" t="inlineStr">
        <is>
          <t>入学；入校；就学</t>
        </is>
      </c>
      <c r="F4204" t="inlineStr">
        <is>
          <t>外部進学；大学院進学；中学進学；特別進学；中学校進学</t>
        </is>
      </c>
      <c r="G4204" t="inlineStr">
        <is>
          <t>進学塾；進学率；進学予備校；進学課程；進学指導重点校</t>
        </is>
      </c>
      <c r="H4204" t="n">
        <v>29</v>
      </c>
      <c r="I4204" t="inlineStr">
        <is>
          <t>連携中学校から他の高等学校や高等専門学校などへの進学も可能である。；父親の眼の治療のためと、ボルヘスおよび妹のノラの進学のためである。；一つの学区の小学校、中学校から別の学区の高校に進学する場合もある。；東京の実家に戻ると中学進学を希望したが、父の反対で叶わなかった。；高校卒業後は音楽学校などへ進学せず、美術学校で映画と美術を学んだ。；ただ、朝鮮学校では高級学校までは進学させることを原則としている。；その娘の息子が、慶應高校に進学して高校野球で活躍した田村圭である。；中学校の卒業者は無試験で接続の高等学校に進学することができる。；家業を継いでもらいたいと考えていた両親は当初進学に反対した。；特徴は他の小学校からもその中学校に進学できることである。；また進学先として慶應義塾大学を希望していることも明らかになった。；学士の学位を授与された後は、大学院修士課程に進学することができる。；高校時代より同人活動を始め、卒業後上京し東京のデザイン学校に進学。；小山力也などは別の大学を卒業してからこれらの大学に進学した。；自身は大学院進学も希望していたが、両親の意向もあり家庭に入る。；実際に合格した生徒は開成とは別の高校に進学していたという。；名古屋市立の中学校については、学区内の小学校の進学先となっている。；高校卒業後、大学入試には合格したが家庭の事情で進学しなかった。；二人とも同大学の絵画科を志していたが落ちてしまい、版画科へと進学した。；その日のうちに親に宣言するも、「泣いて止められた」ため大学へ進学した。；高校では難関進学コースと進学コースに分割し、合格実績の向上をめざす。；当初は高校から大学に進学して、教師になろうと考えていた。；義務教育後の教育としては私立高校からは大学へ進学する者が多い。；このため一人娘に進学を断念させることにもなってしまった。；多くの貧しい地域の学生は高等学校に進学することはできない。；戦いを終えたなるみ達は高等部へ進学し、1学期を終了する目前だった。；また一部の高校では進学先理解のために大学や研究施設を見学先とする例もある。；日本においては、中学校とは、戦前は優秀な男子のみが進学する道であった。；工業系の大学のほかに福祉医療系や経営学系に進学する人も多い。</t>
        </is>
      </c>
      <c r="J4204">
        <f>HYPERLINK("https://www.weblio.jp/content/進学", "词义详情")</f>
        <v/>
      </c>
      <c r="K4204">
        <f>HYPERLINK("https://yourei.jp/進学", "查看例句")</f>
        <v/>
      </c>
    </row>
    <row r="4205">
      <c r="A4205" t="inlineStr">
        <is>
          <t>人格</t>
        </is>
      </c>
      <c r="B4205" t="inlineStr">
        <is>
          <t>成功</t>
        </is>
      </c>
      <c r="C4205" t="inlineStr">
        <is>
          <t>読み方：じんかく
１
㋐独立した個人としてのその人の人間性。その人固有の、人間としてのありかた。「相手の—を尊重する」「—を疑われるような行為」
㋑すぐれた人間性。また、人間性がすぐれていること。「能力・—ともに備わった人物」
２心理学で、個人に独自の行動傾向をあらわす統一的全体。性格とほぼ同義だが、知能的面を含んだ広義の概念。パーソナリティー。「—形成」「二重—」
３倫理学で、自律的行為の主体として、自由意志を持った個人。
４法律上の行為をなす主体。権利を有し、義務を負う資格のある者。権利能力。</t>
        </is>
      </c>
      <c r="D4205" t="inlineStr">
        <is>
          <t>人格的(2%)；人格化；人格者；人格性；人格高潔</t>
        </is>
      </c>
      <c r="E4205" t="inlineStr">
        <is>
          <t>人；地；性；人物；キャラクター</t>
        </is>
      </c>
      <c r="F4205" t="inlineStr">
        <is>
          <t>交代人格；非人格；立派な人格；宗教法人格；高潔な人格</t>
        </is>
      </c>
      <c r="G4205" t="inlineStr">
        <is>
          <t>人格者；人格形成；人格権；人格障害；人格主義</t>
        </is>
      </c>
      <c r="H4205" t="n">
        <v>29</v>
      </c>
      <c r="I4205" t="inlineStr">
        <is>
          <t>そして銀も自分の中に別の人格が存在していることに気がついていた。；近代になるまで子どもを人格の主体とする考え方は極めて弱いものだった。；アニメでは善の人格の時の髪の色は青、悪の人格の時は灰色で描かれる。；青年時代の栗田は学問は出来、頑張りやその上に高い人格を持っていた。；しかしまた他の人格が別のことに使ってしまい、この繰り返しとなる。；ゲーム中では、一部のイベントを除く任意の場面で人格を交代できる。；こうして生活も少しずつ安定し同時に技術人格ともに成長していく。；人格が制御できる状態にあるかどうかで責任問題が起こるためである。；精神分析学では、抑圧は人格発達のために必要な概念と考えられている。；間違った判断をすることもあるし、人格や人間性に問題がある場合もある。；自覚があっても治療者を警戒しているうちは交代人格は姿を現さない。；前作にて登場したソーディアン達のオリジナル人格にして初代マスター。；多重人格といわれてもひとつの肉体に複数の人格が宿った訳ではない。；ブーシェも晩年はその絵画だけではなく、人格も非難されるようになった。；任意団体であるものが多いが、NPO法人格を取得している団体もある。；等、人権無視、人格を完全に破壊する目的の鬼畜行為が収録されている。；息子を女性から遠ざけようとする母親の人格がマリオンを殺したのだった。；この2人の主人公の人格が何度も入れ替わって物語を進めることとなる。；この研究では、主に人生経験が人格の変化に及ぼす影響に焦点を当てた。；しかし、ジオには圧倒的な力を持つもう一つの人格、サタンが存在した。；はっきりと他と区別される別人格も確認されれば解離性同一性障害となる。；そのように不幸な人は、人格としては存在すらしていないのである。；実はフェイはゾハルの力を継承した影響で三つの人格を有していた。；それが人格を持って語られる場合、それは悪魔的なものとなる。；デビュー当初はネタの時と素の人格が大きく異なるようなネタが多かった。；以降の人格交代は双方の意思によるものとなり、記憶も共有されるようになる。；性同一性とは、自分自身の性別を自ら認識する個人の人格的な感覚である。；このため古来より武芸・人格に優れた武将が務める大役とされてきた。；敵として出てくるのは17号、18号とも未来の冷酷な人格の方となる。</t>
        </is>
      </c>
      <c r="J4205">
        <f>HYPERLINK("https://www.weblio.jp/content/人格", "词义详情")</f>
        <v/>
      </c>
      <c r="K4205">
        <f>HYPERLINK("https://yourei.jp/人格", "查看例句")</f>
        <v/>
      </c>
    </row>
    <row r="4206">
      <c r="A4206" t="inlineStr">
        <is>
          <t>新型</t>
        </is>
      </c>
      <c r="B4206" t="inlineStr">
        <is>
          <t>成功</t>
        </is>
      </c>
      <c r="C4206" t="inlineStr">
        <is>
          <t>読み方：しんがた
従来のものとは違う、新しい型・形式。また、その製品。「—の車両」</t>
        </is>
      </c>
      <c r="D4206" t="inlineStr">
        <is>
          <t>新型車両(8%)；新型機(6%)；新型エンジン(2%)；新型爆弾；新型電車</t>
        </is>
      </c>
      <c r="F4206" t="inlineStr">
        <is>
          <t>新型砲；新型ウイルス；新型台車；新型ms；新型特急車両</t>
        </is>
      </c>
      <c r="G4206" t="inlineStr">
        <is>
          <t>新型コロナウイルス感染症；新型コロナウイルス感染症の流行；新型コロナ；新型コロナウイルス感染症の世界的流行；新型コロナウィルス</t>
        </is>
      </c>
      <c r="H4206" t="n">
        <v>29</v>
      </c>
      <c r="I4206" t="inlineStr">
        <is>
          <t>各国の航空機メーカーはこの市場を狙って熱心に新型機の研究を行った。；近年では、和歌山県で大型の新型車両が導入される唯一の地区であった。；その後規制に対応させた新型を開発していることが公表されている。；彼は外国人の専門家に兵士を訓練させ、西欧式の新型火器を装備させた。；新型の構えが優秀なところは桂を跳ねたあとにもスキができないところ。；これに応じて専用に新型の小型ドアエンジン・TK5型を装備している。；以後はこの弾薬を用いて新型火器の開発が進められていくこととなる。；この場合、新型と旧型の2世代のマシンの混走したレースとなっていた。；これらの課題を満たす新型通勤車として開発された車両がHE車である。；新型機のテスト飛行ではFDRに記録されたデータが利用される。；また、下記の各種新型兵器の運用能力も付与されると言われている。；東西冷戦期には「ソ連の新型機」ではないかという説も盛んに主張された。；タランは新型機の配備が軌道に乗ってからも引き続き行われている。；交通局ではこの車両を「8000形新型車両」と呼称してPRしていた。；また、最後の新型車両150型の入線もここの引き込み線から行われた。；また近づく対ポーランド戦争のため、西欧式の新型軍隊を育成しこれに備えた。；三式戦闘機のこれ以上の性能改善にはより強力な新型エンジンが必要な状況であった。；後者の方式はJR初期の新型車両にまで幅広く使われることとなる。；また、この年の9月11日には新型特急車両の開発が正式に決定した。；数学に力を入れ、理系大学への合格を目指す新型の学科として設置された。；その後、2022年10月に新型が国内にも導入されることになった。；また将来登場が見込まれる新型ソノブイへ対応可能な拡張性も持つ。；それらの問題点を解消するために銃と銃剣を一体化した新型騎銃が構想された。；風紀を正すため所々で火を噴いていたタクシーは新型車両に交換した。；このシステムは民営化後のJR新型車両にも多数採用されている。；転じて、鉄道車両や自動車の新型車両などの登場時にも使われる。；カラシニコフの草案から新型突撃銃の設計図面を引いたのは彼女だった。；自動車がそのペットネームを保ったまま、新型に移行することを指す。；表紙の写真はその時期に登場した新型車両を優先的に使用するのが大きな特徴となっている。</t>
        </is>
      </c>
      <c r="J4206">
        <f>HYPERLINK("https://www.weblio.jp/content/新型", "词义详情")</f>
        <v/>
      </c>
      <c r="K4206">
        <f>HYPERLINK("https://yourei.jp/新型", "查看例句")</f>
        <v/>
      </c>
    </row>
    <row r="4207">
      <c r="A4207" t="inlineStr">
        <is>
          <t>新幹線</t>
        </is>
      </c>
      <c r="B4207" t="inlineStr">
        <is>
          <t>成功</t>
        </is>
      </c>
      <c r="C4207" t="inlineStr">
        <is>
          <t>読み方：しんかんせん
高速で主要都市間を結ぶJRの鉄道。また、その列車。在来の主要幹線に並行する。軌間は在来線より広く、1.435メートル（標準軌間）。時速200キロ以上で走行。昭和39年（1964）開業の東海道新幹線をはじめ、山陽新幹線・東北新幹線・上越新幹線・北陸新幹線・九州新幹線・北海道新幹線が運行されている。→ミニ新幹線</t>
        </is>
      </c>
      <c r="D4207" t="inlineStr">
        <is>
          <t>新幹線ホーム(3%)；新幹線駅(2%)；新幹線開業；新幹線用；新幹線口</t>
        </is>
      </c>
      <c r="E4207" t="inlineStr">
        <is>
          <t>高速鉄道</t>
        </is>
      </c>
      <c r="F4207" t="inlineStr">
        <is>
          <t>東海道新幹線；山陽新幹線；新幹線開通；新幹線車内；新幹線規格</t>
        </is>
      </c>
      <c r="G4207" t="inlineStr">
        <is>
          <t>新幹線鉄道；新幹線大爆破；新幹線電車；新幹線部；新幹線総合車両センター</t>
        </is>
      </c>
      <c r="H4207" t="n">
        <v>29</v>
      </c>
      <c r="I4207" t="inlineStr">
        <is>
          <t>日本として新幹線の車両技術を輸出・現地導入した初めての事例である。；これは当時最速の列車であった日本の新幹線の最高営業速度を上回った。；新幹線ホームを含めた全ホームでテイチク製のメロディを使用している。；一度消滅した新幹線の愛称が復活したのは「とき」が唯一の例である。；南口は新幹線駅開業に伴い整備され、以後はホテルや駐車場が増えた。；こうすることで新幹線ホームは合わせて2面4線にすることができる。；旧仙台藩と旧盛岡藩との旧・藩境を越えて新幹線駅併設の北上駅に入る。；同年7月以降はが当駅限定の弁当を新幹線改札内の売店で販売している。；新幹線では通常運行の行われない午前0時を回って列車が運行された。；在来線区間も走行することから車体は通常の新幹線より幅が小さい。；新幹線ホームは8両編成にまで対応し、可動式安全柵が設置されている。；その他にも新幹線の開通で空港の旅客数が顕著に減少する例が多い。；新幹線・在来線の特に限定された列車や乗車区間において、発売される。；また日本の新幹線を基にした高速鉄道や貨物鉄道も計画されている。；したがって新幹線がない時代には在来線の概念も定義もなかった。；新幹線駅舎は現在の駅舎の北側、かつ駅舎の東側に設置される。；こうした検討が行われた結果、現在地に新幹線駅の設置が決まった。；新幹線は在来線とは違い、下り長崎方面が大きいホーム番号となっている。；この時点で新幹線開業前から運行されていた急行列車が無くなった。；新設された高架線は新幹線高架線の東側に寄り添うように建設された。；一方で、現在では東海道新幹線と北陸本線との接続で重要な駅となっている。；以下の各事例は、新幹線の安全を脅かす事故例と考えられ、重大視されてきた。；鉄道路線ではなく、送電線の名称に「新幹線」と付けられたものがある。；新幹線では駐車場の便も考慮して三河安城駅の利用が多くなる。；新幹線は全列車が特急列車扱いであり、特例もないため利用できない。；新幹線では、複数の車両に動力を備えた「動力分散方式」が採用される。；運用対象には東海道新幹線を初めとする日本の新幹線があった。；上越新幹線を除いて競合路線がなく、埼玉県内の路線でも混雑率が高い。；中学時代は絵画に興味があり、新幹線に乗り一人で東京の美術館に足を運んだ。</t>
        </is>
      </c>
      <c r="J4207">
        <f>HYPERLINK("https://www.weblio.jp/content/新幹線", "词义详情")</f>
        <v/>
      </c>
      <c r="K4207">
        <f>HYPERLINK("https://yourei.jp/新幹線", "查看例句")</f>
        <v/>
      </c>
    </row>
    <row r="4208">
      <c r="A4208" t="inlineStr">
        <is>
          <t>新規</t>
        </is>
      </c>
      <c r="B4208" t="inlineStr">
        <is>
          <t>成功</t>
        </is>
      </c>
      <c r="C4208" t="inlineStr">
        <is>
          <t>読み方：しんき
［名・形動］
１新しく事をすること。また、そのさま。「—に加入する」「—採用」
「半蔵夫婦の—な生活は始まったばかりだ」〈藤村・夜明け前〉
２（多く「御新規」の形で）飲食店などで、新しい客。「御—さんお二人御案内」
３新しい規則。</t>
        </is>
      </c>
      <c r="D4208" t="inlineStr">
        <is>
          <t>新規事業(5%)；新規開発(3%)；新規出店；新規設計；新規路線</t>
        </is>
      </c>
      <c r="E4208" t="inlineStr">
        <is>
          <t>初；新しい；新；新た；新鮮</t>
        </is>
      </c>
      <c r="F4208" t="inlineStr">
        <is>
          <t>新規発行；新規購入；新規収録；新規顧；新規参戦</t>
        </is>
      </c>
      <c r="G4208" t="inlineStr">
        <is>
          <t>新規契約；新規採用；新規性；新規作成；新規上場</t>
        </is>
      </c>
      <c r="H4208" t="n">
        <v>29</v>
      </c>
      <c r="I4208" t="inlineStr">
        <is>
          <t>初代バージョンを除き、本シリーズ独自の楽曲は新規追加されていない。；結の体は新規構築され最高の技術が投入された珪素基系のものにされる。；新規に投入された冷暖房車には、黄色地に赤帯の専用塗装が採用された。；新規発券終了後に開店した店舗ではサービスコーナーでのみ使用できた。；また、ゲームを行うごとに新規カードが払い出されるようになっている。；また、一度契約が切れてしまうと新規での製品購入が必要であった。；従来の特急形車両の基本を踏襲しながら以下に示す機構が新規採用された。；DVD版ではお色気シーンなどの新規映像や次回予告が追加されている。；IP電話などで同様のことが可能になったため、新規の導入は少ない。；ただし、その運営方式の変更以後は新規の加入を凍結して現在に至っている。；当初から上記の長大編成対応で製造されたグループは新規の番号区分が行われた。；この企画は女性には人気が高いといわれ、新規顧客獲得に成功した。；一般国道の新規路線の区域の多くは主要地方道が昇格したものである。；その他の国でも、新規路線にはこのタイプを導入することが多い。；セゲダは禁止されたのは新規の町の建設であって旧市の城壁ではないと答えた。；新規に開発されたマンションおよび既存の路線から離れた住宅地と両駅とを結ぶ。；新規開業路線に旧形国電が使用されたケースは当線が最後である。；ダウンロード販売も行われていたが、現在は新規購入が不可能になっている。；オートバイ部門では新たな主任技師を迎えて新規車種の開発をはじめた。；京成の新規製造の通勤車では初めてVVVFインバータ制御を採用した。；しかし、作品の独創性や新規性により、そうした矛盾を問題視させない。；ここでは、新規に製造された111系・113系の番台区分を解説する。；そのため場合によっては新規に製品を買い直す方が安価になることが多い。；一年戦争後連邦軍が接収した開発データを基に新規製造されたゲルググ。；ユニットのイラストに関しては現在全て新規描き起こしのものが使用されている。；また、新規の融資にも消極的な姿勢を示し、貸し渋りとの批判もあった。；発明は、従来みられなかった新規な物や方法を考え出すことである。；新規拡張部に隣接した5番出口は地上と一体化した吹き抜けのものへと改修。；痙攣を新規に発症した場合には、医療機関を受診することが重要である。</t>
        </is>
      </c>
      <c r="J4208">
        <f>HYPERLINK("https://www.weblio.jp/content/新規", "词义详情")</f>
        <v/>
      </c>
      <c r="K4208">
        <f>HYPERLINK("https://yourei.jp/新規", "查看例句")</f>
        <v/>
      </c>
    </row>
    <row r="4209">
      <c r="A4209" t="inlineStr">
        <is>
          <t>審議</t>
        </is>
      </c>
      <c r="B4209" t="inlineStr">
        <is>
          <t>成功</t>
        </is>
      </c>
      <c r="C4209" t="inlineStr">
        <is>
          <t>読み方：しんぎ
［名］(スル)ある物事について詳しく調査・検討し、そのもののよしあしなどを決めること。「原案を—する」</t>
        </is>
      </c>
      <c r="D4209" t="inlineStr">
        <is>
          <t>審議会(10%)；審議官(3%)；審議委員(3%)；審議される；審議中</t>
        </is>
      </c>
      <c r="E4209" t="inlineStr">
        <is>
          <t>議論；論；協議；会談；話し合い</t>
        </is>
      </c>
      <c r="F4209" t="inlineStr">
        <is>
          <t>再審議；予算審議；法案審議；委員会審議；大臣官房審議</t>
        </is>
      </c>
      <c r="G4209" t="inlineStr">
        <is>
          <t>審議官；審議会等；審議未了；審議拒否；審議会方式</t>
        </is>
      </c>
      <c r="H4209" t="n">
        <v>29</v>
      </c>
      <c r="I4209" t="inlineStr">
        <is>
          <t>既に議会が成立していたにもかかわらず、審議が省略された経緯は不明。；審議委員制度やランキング制度を導入するなどスポーツ性も重視している。；この日の審議がなぜ中断されたのか議会議事録には何も記録されていない。；当初予定されていた放送枠より大幅に早く審議が終了した場合も同様である。；国王が臨席する荘厳な全体集会があるが、この場では審議は行われない。；日鉄の解体が決定すると、それに対応する日鉄再建整備計画の審議が開始された。；翌年、1924年ロンドン交通法が委員会の審議の結果を受けて成立した。；第一特別基地隊司令部では、兵器として採用するか否かの審議が行われた。；その後、ほとんどの議題は分野別に次の6つの主要委員会で審議される。；独自の見解にもとづいて管理の欠陥を否定した原審は審議不十分である。；その後、断りもなく審議を抜けだし、議員食堂にいるところを発見された。；いずれも野党時代のものであり審議未了ないし本会議否決となっている。；日本相撲協会に請われて、協会の運営審議委員会委員を死去時まで務めた。；立法府は複数の国民の代表が出席した議会で審議を行うことで成り立っている。；その他、複数の企業・団体の経営・運営に関わる一方で政府審議会の委員を務めたりした。；校舎改築・校地拡張は1927年に大阪府議会で審議されることになった。；帰国後は講道館国際部部長や同審議部部長を経て、同参与を務めた。；素案では25件とされていたが、審議を経て35件に修正された結果である。；審議が終了すると競走の成績が確定され、勝馬投票券の配当額が発表される。；これにより帝国議会の定期的な召集と1年ごとの予算審議が保証された。；世界遺産は、政府間委員会である世界遺産委員会の審議を経て決定される。；これを重く見た共和国議会は急遽審議を行い軍事予算の増額を可決した。；本会議中心主義の議会で、本会議での審議の際に広く採用されている。；そのような者が着席している間は、審議を進めるわけにはまいらない。；第二審の審議は双方の主張が鋭く対立したため判決まで10年以上かかった。；日本国政府は、数次にわたり審議機関を設置し、この問題の検討をした。；首相は下院議員の中から下院の審議・承認の後、国王によって任命される。；ここで理事西尾末広が予定時間の到来を告げ、同日の審議は終了した。；その翌年に行われる第2回会議では中央機関の人選名簿を審議する。</t>
        </is>
      </c>
      <c r="J4209">
        <f>HYPERLINK("https://www.weblio.jp/content/審議", "词义详情")</f>
        <v/>
      </c>
      <c r="K4209">
        <f>HYPERLINK("https://yourei.jp/審議", "查看例句")</f>
        <v/>
      </c>
    </row>
    <row r="4210">
      <c r="A4210" t="inlineStr">
        <is>
          <t>親近感</t>
        </is>
      </c>
      <c r="B4210" t="inlineStr">
        <is>
          <t>成功</t>
        </is>
      </c>
      <c r="C4210" t="inlineStr">
        <is>
          <t>読み方：しんきんかん
自分に近いものと感じて抱く、親しみの気持ち。「似た境遇に—をもつ」</t>
        </is>
      </c>
      <c r="D4210" t="inlineStr">
        <is>
          <t>親近感を持たせる；親近感をいだか</t>
        </is>
      </c>
      <c r="E4210" t="inlineStr">
        <is>
          <t>類似；親しみ；相性；縁故；類縁</t>
        </is>
      </c>
      <c r="F4210" t="inlineStr">
        <is>
          <t>深い親近感</t>
        </is>
      </c>
      <c r="H4210" t="n">
        <v>29</v>
      </c>
      <c r="I4210" t="inlineStr">
        <is>
          <t>付きあっていて、自分の方が勝ちだと思ったとき、相手に親近感を持つ。；この時形成された親近感は、後の物語の展開で活かすことも可能である。；敵だとはいえ、子供である江利子の方にむしろ親近感をもったくらいだ。；彼は自分と同時代の人々よりも、彼らの方にいっそうの親近感を感じた。；私は、氏が大の蚊嫌いで、私と同じであるのを知って親近感をおぼえた。；ところがこの日、その患者たちへの親近感が薄れていることに気づいた。；名前に同じ文字が入っているので、何か親近感をもってしまいますね。；だが日本人と朝鮮人との間には、親近感も温かい感情も存在していない。；僕が笑ったのは、井上さんに一種言いようのない親近感を感じたからだ。；互いに親近感を抱いている日伊間には、多くの姉妹都市が存在している。；同じ目的とそれを可能にする能力をもつもの同士の親近感のせいかもしれない。；身体の切り売りをしていても、握手だけでは達せられない親近感である。；廊下で交わした長くない会話で、私は彼に親近感を抱くようになっていた。；実家が静岡県藤枝市で豆腐屋をしていたことも人々に親近感を与えた。；しかし、その時にも昔から持っていた親近感は消えはしなかった。；一方歴史的にロシアに親近感を持っていたブルガリアは直接参戦はしなかった。；通じにくいのは、渋谷駅にたいする私の親近感があるからにちがいない。；クビライは、この点からもマルコらに親近感をいだいていたようである。；彼女にも夫に秘密があるんだということを知って、少しの驚きと親近感を持った。；人間が虫よりも犬に親近感をもつのは霊性の違いを本能的に認識するからである。；人的・物的交流が西隣のフランスと深く、フランス国家への親近感も強い。；そのせいか武田は親近感を憶え、異国に来ているという気がしなかった。；したがって子供の時から一心太助にはなんとなく親近感を持っていた。；最初から裸で出会ったために、たがいに独特の親近感が湧いたらしい。；なるほど、彼らは自分の出身国になにがしかの親近感を持っている。；ふたりは突然、思いもしなかった親近感を感じて妙な気恥かしきをおぼえた。；君は、同じような環境に育ったお元さんに親近感を持ったのです。；この芸を披露することで日本人に親近感を抱かせるのもよく使われる手法である。；それがまたさらに、人に親近感を与えているように私は思う。</t>
        </is>
      </c>
      <c r="J4210">
        <f>HYPERLINK("https://www.weblio.jp/content/親近感", "词义详情")</f>
        <v/>
      </c>
      <c r="K4210">
        <f>HYPERLINK("https://yourei.jp/親近感", "查看例句")</f>
        <v/>
      </c>
    </row>
    <row r="4211">
      <c r="A4211" t="inlineStr">
        <is>
          <t>真空</t>
        </is>
      </c>
      <c r="B4211" t="inlineStr">
        <is>
          <t>成功</t>
        </is>
      </c>
      <c r="C4211" t="inlineStr">
        <is>
          <t>読み方：しんくう
１工学的、技術的に周囲に比べて十分圧力が低い状態。物質が全く存在しない空間は完全真空という。
２実質のないからっぽの状態。また、働きや活動が停止し、外部からの影響・作用なども全く及んでいない状態。「頭が—になる」「—地帯」
３仏語。一切の現象を空(くう)であり無であると観じた、そうした空さえも超えた空。宇宙万物の本体である真如(しんにょ)の姿。</t>
        </is>
      </c>
      <c r="D4211" t="inlineStr">
        <is>
          <t>真空中(13%)；真空式(3%)；真空管(2%)；真空下；真空掃除</t>
        </is>
      </c>
      <c r="E4211" t="inlineStr">
        <is>
          <t>無駄；空白；空洞；空っぽ；窪み</t>
        </is>
      </c>
      <c r="F4211" t="inlineStr">
        <is>
          <t>絶対真空；真空波；真空環境；真空領域；真空槽</t>
        </is>
      </c>
      <c r="G4211" t="inlineStr">
        <is>
          <t>真空状態；真空ポンプ；真空ブレーキ；真空パック；真空地帯</t>
        </is>
      </c>
      <c r="H4211" t="n">
        <v>29</v>
      </c>
      <c r="I4211" t="inlineStr">
        <is>
          <t>ボイルはまた真空のなかでは音の伝わらないことをも実験して見ました。；保温性を高めるために二重構造にしたものや真空構造にしたものもある。；コーネルの基本攻撃は自身の体術で、腕を振り真空波を出して攻撃する。；そこでほぼ真空に近い陰極線管に電圧をかけてみると直線状の影が現れた。；ガラス製の場合、真空側の面はメッキが施されており鏡面になっている。；水や空気の中では、光の速度は真空中を移動する時より低下する。；第2項は誘電体などが無い真空であったと仮定した際の電束密度である。；実際にはロケットは真空中でも推進可能であり、明らかな誤解である。；そして、まるで真空の中にいるのではなく、空気を呼吸しているようでした。；トイレ設置場所の側窓部分は埋められ、汚物処理装置も真空式となった。；トイレは車椅子での使用に対応した真空式のものが後位側客用扉直後に設置された。；このビームに対しては、いかなる物質も真空ほどの抵抗力さえなかった。；精密な成型物を求められる場合には、しばしば真空注型法が用いられる。；初期の設計では真空中での比推力はわずか363秒と推定されていた。；この市長は優れた物理学者でもあり、真空の実験を行ったことで知られる。；それぞれの真空システムに最大5機の干渉計を設置することができる。；絶対圧とは、絶対零圧力すなわち、絶対真空を基準に表した圧力のこと。；アーマーは他にも酸素タンクを持ち宇宙の真空から着用者を保護する。；加えてトイレの汚物処理方式も循環式から真空式へ変更されている。；またトイレの処理方式は従来の循環式から真空吸引式に改造された。；身と剣の一如の動きに澄みきった真空を感じることができないのだ。；真空中では、音の媒質となるものが存在しないので、音波は伝わらない。；また、真空については、存在を認める議論と認めない議論の両方があった。；真空中で使用される代表的なエンジニアプラスチックはPEEKである。；この点では実際ラジオなどに使う真空管とよく似た場合である。；その後の何年にも渡って、宇宙は真空であると思われていた。；さっそく私は、憑きものでもしたような真空の状態でまず街上に立つ。；よって十分な低温状態下では粒子はひとつもない状態が真空である。；もしそれがあったと仮定するならば、現在の真空は準安定状態となる。</t>
        </is>
      </c>
      <c r="J4211">
        <f>HYPERLINK("https://www.weblio.jp/content/真空", "词义详情")</f>
        <v/>
      </c>
      <c r="K4211">
        <f>HYPERLINK("https://yourei.jp/真空", "查看例句")</f>
        <v/>
      </c>
    </row>
    <row r="4212">
      <c r="A4212" t="inlineStr">
        <is>
          <t>神経</t>
        </is>
      </c>
      <c r="B4212" t="inlineStr">
        <is>
          <t>成功</t>
        </is>
      </c>
      <c r="C4212" t="inlineStr">
        <is>
          <t>読み方：しんけい
《(オランダ)zenuwの訳語で、杉田玄白ほか訳「解体新書」に現れる語。神気の経脈の意》
１からだの機能を統率し、刺激を伝える組織。中枢神経（脳・脊髄）と末梢神経（脳神経・脊髄神経・自律神経）に大別される。神経系を構成する神経細胞（ニューロン）は、1個の細胞体とそこから伸びる多数の突起から成り、最も長い突起は軸索（神経線維）と呼ばれる。また、末梢神経系にみられる神経線維の束を神経という場合もある。
２物事に感じ、それに反応する心の働き。また、特に過敏な心の働き。感受性。「—が細い」「—が高ぶる」「—をすり減らす」「無—」</t>
        </is>
      </c>
      <c r="D4212" t="inlineStr">
        <is>
          <t>神経痛(3%)；神経過敏；神経的；神経性；神経回路</t>
        </is>
      </c>
      <c r="F4212" t="inlineStr">
        <is>
          <t>神経病；神経叢；神経索；繊細な神経；どういう神経</t>
        </is>
      </c>
      <c r="G4212" t="inlineStr">
        <is>
          <t>神経細胞；神経衰弱；神経症；神経系；神経伝達物質</t>
        </is>
      </c>
      <c r="H4212" t="n">
        <v>29</v>
      </c>
      <c r="I4212" t="inlineStr">
        <is>
          <t>その刺激が神経から脳に伝えられ直線加速度を感じるようになっている。；障害側の全体ではなく、傷害を受けた神経の支配筋だけが影響を受ける。；神経を分類するには、構造的・機能的な観点によるが、一長一短がある。；筋生検をしても筋内神経にリンパ腫細胞が認められることは稀である。；ヒトの神経の名称一覧は、人間の神経の名称を一覧にしたものである。；同月には、神経痛の父を松山の道後温泉へ送った後に船で大阪に戻った。；網膜の光受容細胞では光の強度と波長の分布が神経信号に符号化される。；この神経系への侵入機構については3つの背反な仮説が呈示されてきた。；脳の可塑性というのは、一度できた神経結合を変更する能力のことである。；神経内科は物質的な神経を扱う科であり、精神的な病気は扱わない。；単一の神経根が障害された場合は感覚鈍麻の範囲は皮膚分節より狭い。；これはパイロットと機体を神経接続し、人機一体に近づけるシステムである。；このような異常は、神経の発達にさえ影響を与えることもある。；BDNFは中枢神経に特に豊富で、神経活動依存的に合成・分泌される。；体性運動性と知覚性の混合神経であり、脳神経の中で最大の神経である。；なお、これらの略称は神経ではなく骨に対しても使われることがある。；現代の見解では、脳ではなく、大きい神経の活動領域であったとされている。；Tramtrack タンパク質は神経への運命を阻害する機能をもつ。；脊椎動物などでは原腸胚期の後、神経管が形成される神経胚期へと進む。；動物の場合、これは神経系と内分泌系の二つによって実現されている。；表在感覚が優位に障害されるものは偽性神経根型といわれるものも含まれる。；地獄ダンジョンに登場する異形は例外なく神経塔のものより強力になっている。；その後、麻痺は一般的に新しい神経筋接続が形成されるにつれて改善する。；周波数が高めで神経を刺激するTENSはリハビリ目的で使われている。；脳は小型で咽頭背壁に接し、腹神経索は腹正中を走り1本で分節しない。；乳首の皮膚神経が刺激されると、平滑筋の作用によりその長さは伸びる。；誘導現象は他にもあるため、現在ではこれを神経誘導と呼んでいる。；手術は神経をいじるものであったため腰に多少のしびれが残った。；これは神経エネルギーの流れが作用する現象である。</t>
        </is>
      </c>
      <c r="J4212">
        <f>HYPERLINK("https://www.weblio.jp/content/神経", "词义详情")</f>
        <v/>
      </c>
      <c r="K4212">
        <f>HYPERLINK("https://yourei.jp/神経", "查看例句")</f>
        <v/>
      </c>
    </row>
    <row r="4213">
      <c r="A4213" t="inlineStr">
        <is>
          <t>神経質</t>
        </is>
      </c>
      <c r="B4213" t="inlineStr">
        <is>
          <t>成功</t>
        </is>
      </c>
      <c r="C4213" t="inlineStr">
        <is>
          <t>読み方：しんけいしつ
［名・形動］
１情緒的に不安定で、わずかなことにも過敏に反応して自分を病的な状態だと思い込む気質。
２細かいことまでいちいち気に病むさま。「見かけによらず—な男」「他人の評価に—になる」</t>
        </is>
      </c>
      <c r="D4213" t="inlineStr">
        <is>
          <t>神経質そう(11%)；神経質なところ；神経質な性格；神経質なほど；神経質すぎる</t>
        </is>
      </c>
      <c r="E4213" t="inlineStr">
        <is>
          <t>心配；緊張；鋭い；慎重；敏感</t>
        </is>
      </c>
      <c r="F4213" t="inlineStr">
        <is>
          <t>神経質にぴくぴく；神経質な咳払い；神経質な笑い声；神経質そうな顔立ち；神経質な手つき</t>
        </is>
      </c>
      <c r="H4213" t="n">
        <v>29</v>
      </c>
      <c r="I4213" t="inlineStr">
        <is>
          <t>わたしもまた、そういうことに神経質なのはちょっと姉に似ていますの。；しかも、これ以上わたしが神経質にならないように、特に気をつけてね。；弾き手は明らかに神経質になっていたが、しばらくすると徐々に消えた。；気の弱い神経質の少女にどうしてこの一筋だけ勇気があるんだろうか。；本なんてものは、いたずらに人の頭を混乱させ、神経質にするだけだね。；作曲家は非常に神経質で、しばしば自分自身に強く不満を持つものである。；これでは彼までが神経質になっていると言われても仕方あるまい。；彼の態度には神経質なところがあるので、それが彼の言葉を裏切っていた。；私は父が神経質になっていることにもほとんど気がつかなかった。；僕は神経質じゃないから、後日、侵入場所と危険場所を知りたいですね。；かういふものも神経質に取締つたり、排除したりする必要はないと思ふ。；わたしのように神経質な人はあまり話し好きではないもんですよ。；衝突しやしないかと云う心配は、少し神経質の人にはかなりあったのです。；それだけ幕府は、この片手落ちの評定に神経質になっていたのであろう。；この日、彼女はいつにも増して神経質な様子だったと言われている。；とうとうぼくには、彼女もぼくと同じ位神経質になっていることがわかった。；しかしある期間、ワルマ卿が神経質になり情緒不安になるときがあった。；だが僕は神経質すぎて文章を完全にまとめ上げることができない。；彼女がそこにいること自体がグライムズをひどく神経質にしてしまっていた。；こいつは神経質なやつだから、気を張りつめさせておかねばならないが。；昔のものと今出来のものとを比べると今の方がずっと神経質で仕事が細い。；もっとも鞍の上でグラグラするので、私はいささか神経質になっていた。；あれがあってから課長はすっかり神経質になってしまったんだ。；父は神経質になってきていて、彼女の言うことがわからないのだ。；最前の恐怖からまだ回復できないでいる貴族は、ひどく神経質そうだった。；勇猛な性格であるとともに、神経質で頑固な面もあったと書かれている。；そのために彼女は、鶴子の事にかけては家中で一番神経質になつてゐた。；しづは神経質で気に入らない時は私の顔を見るのもいやだというほどでした。；とても神経質なやつで、ときには不愉快に感じられることもあるだろう。</t>
        </is>
      </c>
      <c r="J4213">
        <f>HYPERLINK("https://www.weblio.jp/content/神経質", "词义详情")</f>
        <v/>
      </c>
      <c r="K4213">
        <f>HYPERLINK("https://yourei.jp/神経質", "查看例句")</f>
        <v/>
      </c>
    </row>
    <row r="4214">
      <c r="A4214" t="inlineStr">
        <is>
          <t>真剣</t>
        </is>
      </c>
      <c r="B4214" t="inlineStr">
        <is>
          <t>成功</t>
        </is>
      </c>
      <c r="C4214" t="inlineStr">
        <is>
          <t>読み方：しんけん
［名］本物の刀剣。木刀や竹刀(しない)に対していう。
［形動］［文］［ナリ］まじめに物事に対するさま。本気で物事に取り組むさま。「将来を—に考える」「—なまなざし」
[派生]しんけんさ［名］しんけんみ［名］</t>
        </is>
      </c>
      <c r="D4214" t="inlineStr">
        <is>
          <t>真剣な顔(5%)；真剣な表情(5%)；真剣そのもの(2%)；真剣な眼差し；真剣味</t>
        </is>
      </c>
      <c r="E4214" t="inlineStr">
        <is>
          <t>熱；熱心；本気；情熱；真面目</t>
        </is>
      </c>
      <c r="F4214" t="inlineStr">
        <is>
          <t>真剣御前試合；真剣な面もち；真剣な顔つき；真剣な顔付；真剣な目つき</t>
        </is>
      </c>
      <c r="G4214" t="inlineStr">
        <is>
          <t>真剣師；真剣少女；真剣白刃取り；真剣道；真剣佑</t>
        </is>
      </c>
      <c r="H4214" t="n">
        <v>29</v>
      </c>
      <c r="I4214" t="inlineStr">
        <is>
          <t>のDVDを見て工藤の真剣さに胸を打たれ、協力する気になったという。；そこには真剣に取り組むことができる、登場人物と彼らの行動があった。；あたりに立っている刑事たちの顔にはしんけんな期待の色が見えた。；そして自前でプロセッサを設計することを真剣に検討するようになった。；しかし、そのほとんどは真剣に受け止められるようなものではなかった。；現代の社会に対する表現の影響を真剣に考慮すべきと主張している。；偶然の一致に笑い合うが、ロバートは不意にそのことを真剣に考え始める。；個人でやりたいことや興味のある事を真剣に学び、挑戦するロケ企画。；当初は軽い関係だったが、やがてお互い真剣な気持ちとなってゆく。；彼らの主張が歴史家のものとして真剣に捉えられることを我々は拒否する。；もっと真剣に向き合って『やりきるべきなのではないか』と考えました。；不純な動機で始めた委員会ではあったが、祐馬は真剣に仕事に打ち込む。；お互いを信頼しないパートナーは真剣な交渉を行うことはできない。；待ったが増えた場合には、そのような立合いの真剣さが問われたこともあった。；初めてとなる真剣な恋愛関係を持ったのは画家のであった。；音楽が演奏される中を真剣を用いて円形の試合場で演武が行われる。；抵抗に向けて真剣な準備が始まったのは1942年秋からだった。；しかしかれらはなかまのことになると、驚くほどしんけんになることがある。；ルイジアナ州の多くの地域では、卵の戦いは真剣な競技イベントである。；教師たちはこれらを学び研究しようとするノズルルの真剣さに感銘を受けた。；その結果、システムの継続または復旧の準備を非常に真剣に行う必要がある。；尚子の思いが真剣であると知ったななは、二人の結婚式場の予約をする。；一般には居合刀を使用することが多いが、上級者では真剣を使用する。；実際に人工意識を持つマシンを開発しようと真剣に取り組んでいる者もいる。；共和党が白人労働者のことなど真剣に考えていないことが明らかになり始めた。；母親に対するコンプレックスから真剣に女性と交際したことがなかった。；だが真剣に聞いてもらえず、ますます女性が収集されてしまう事態に。；重要な問題に真剣に取り組みながらも、タバリーにはユーモアがあった。；取り上げられためんこは返してもらえないので、真剣に遊ぶ要素がある。</t>
        </is>
      </c>
      <c r="J4214">
        <f>HYPERLINK("https://www.weblio.jp/content/真剣", "词义详情")</f>
        <v/>
      </c>
      <c r="K4214">
        <f>HYPERLINK("https://yourei.jp/真剣", "查看例句")</f>
        <v/>
      </c>
    </row>
    <row r="4215">
      <c r="A4215" t="inlineStr">
        <is>
          <t>進行</t>
        </is>
      </c>
      <c r="B4215" t="inlineStr">
        <is>
          <t>成功</t>
        </is>
      </c>
      <c r="C4215" t="inlineStr">
        <is>
          <t>読み方：しんこう
［名］(スル)
１乗り物などが目的地点に向かって前進して行くこと。「列車が—する」「—方向」
２あらかじめ考えていた線に沿って活動・作業などが進むこと。また、活動・作業などを進めること。「予定どおり式が—する」「議事を—させる」
３物事、特に病状などが悪化すること。「環境破壊が—する」「癌(がん)が—する」</t>
        </is>
      </c>
      <c r="D4215" t="inlineStr">
        <is>
          <t>進行する(16%)；進行中(5%)；進行役(4%)；進行状況；進行速度</t>
        </is>
      </c>
      <c r="E4215" t="inlineStr">
        <is>
          <t>行く；発展；進出；向上；進む</t>
        </is>
      </c>
      <c r="F4215" t="inlineStr">
        <is>
          <t>司会進行；ゲーム進行；番組進行；議事進行；ストーリー進行</t>
        </is>
      </c>
      <c r="G4215" t="inlineStr">
        <is>
          <t>進行中；進行性；進行波；進行形；進行性核上性麻痺</t>
        </is>
      </c>
      <c r="H4215" t="n">
        <v>29</v>
      </c>
      <c r="I4215" t="inlineStr">
        <is>
          <t>映画公開後に発表された小説は、脚本と同時進行で書かれた部分もある。；音楽に合わせてプレイヤーが何らかのアクションをとることで進行する。；最初のスーツはこのデザインに基づいて制作され、撮影も進行していた。；前者は動作の進行・継続を表し、後者は動作の行われた結果や完了を表す。；すなわち自発的に進行する方向に反応の速度を増加させる働きを持つ。；本法が法律として制定されるまで、以下のような主張と進行が行われた。；列車は、信号機が進行を現示するまで閉塞区間に入ることを許されない。；温度の増加に伴う種種の性質の変化は螺旋構造の崩壊の進行に比例する。；地方からの人々の流入で中心部の再開発や郊外の都市化も進行している。；火薬が後方から起爆されると、爆発は後方から前方に向かって進行する。；多くは小説の進行に伴って、主人公およびその周辺の人物の成長が描かれる。；そうした意味でもバクテリオロドプシンが今なお研究が進行している。；当番組のキャスター陣が、進行・取材・インタビューを担当していた。；前1500年頃にはパンジャーブ地方に進行し国の基礎を築いたとされる。；第二期作戦は、第一期作戦の進行、つまり制海権で三つが想定された。；この他、明治以降の埋め立ての進行で市域は海に向かって拡大している。；また測定の繰り返し自体によって物差しの磨耗が進行するかもしれない。；これにより、触媒が存在しない場合よりも著しく高速に反応が進行する。；ただし、伝導率変化は移動度変化というよりも、の進行度変化とされる。；進行すると両側性に症状が現れ、左右差はなくなることが多い。；前作はほとんどストーリーの流れに沿った順番でしかゲームを進行できなかった。；高山市と協力し、高山市内に水力発電所を建設する計画が進行している。；これは座順およびツモ番や親番の移動が反時計回りに進行するのとは逆である。；各期は細胞周期チェックポイントで完了が確認されてから次の期間へと進行する。；ゲーム進行は完全な一本道だが、条件を満たさないと進めない場面もある。；一部のカードは進行系・便利系のどちらかの分類にランダムで入る。；ストーリー進行などに多少の変更があり、H大学は城西大学で撮影された。；通常の閉塞信号でも進行現示することがない信号機が多数存在した。；ただし、原作挙動の再現はゲームの進行が不可能になる場合がある。</t>
        </is>
      </c>
      <c r="J4215">
        <f>HYPERLINK("https://www.weblio.jp/content/進行", "词义详情")</f>
        <v/>
      </c>
      <c r="K4215">
        <f>HYPERLINK("https://yourei.jp/進行", "查看例句")</f>
        <v/>
      </c>
    </row>
    <row r="4216">
      <c r="A4216" t="inlineStr">
        <is>
          <t>新興</t>
        </is>
      </c>
      <c r="B4216" t="inlineStr">
        <is>
          <t>成功</t>
        </is>
      </c>
      <c r="C4216" t="inlineStr">
        <is>
          <t>読み方：しんこう
既存のものに対して、別の勢力が新しくおこること。また、新しくおこすこと。「—勢力」</t>
        </is>
      </c>
      <c r="D4216" t="inlineStr">
        <is>
          <t>新興都市(3%)；新興チーム(2%)；新興国家；新興住宅；新興成金</t>
        </is>
      </c>
      <c r="F4216" t="inlineStr">
        <is>
          <t>新興航空会社；新興文学；新興演芸；新興武官学校；新興地主</t>
        </is>
      </c>
      <c r="G4216" t="inlineStr">
        <is>
          <t>新興国；新興宗教；新興キネマ；新興勢力；新興企業</t>
        </is>
      </c>
      <c r="H4216" t="n">
        <v>29</v>
      </c>
      <c r="I4216" t="inlineStr">
        <is>
          <t>一方で西浦航路は一定の需要があり新興会社を買収するなどの動きもあった。；埼玉古墳群の築造が止んだ後に、新興の豪族が築いたと推定されている。；この工業地区は隣のシュテーデン市区の新興開発地区にまたがっている。；世間にも広まった時期で、新興階級の部屋に置かれることもあった。；新興知識人は海外で新知識を学んだ留学生と新式学堂で学んだ学生が主体である。；最終的にこの名前は新興の周辺地区に冠せられることとなった。；貴族層の関心が、庶民や新興階級である武士に向かったのも院政期であった。；F1では新興の同チームを指揮しグランプリ通算4勝の実績を残した。；当時は既存新聞の増紙よりも新興新聞に用紙が割り当てられた時期でもある。；天下グループは、大手金融系企業であり、新興の民間異人組織でもある。；古典を題材とした物語絵や歴史風俗画を得意とし、新興大和絵風の作品が多い。；後に百貨店や映画館も進出し、新興の盛り場として発展し始めていた。；宇高多に長く住んでいる者達が多く加入している新興の宗教集団。；さらに末期には新興から北関東方面への小麦輸送にも用いられた。；歴史の浅い新興の学園都市ゆえに都市伝説が生み出されやすいという。；今後は西部大開発や東北新興などの対策に格差改善の期待が寄せられている。；ヒトの場合、多くの新興ウイルスは他の動物に由来するものである。；当時は新興の教えであったプロテスタントはまだ入ってきていなかった、と見られている。；当駅が開業した頃は市街地から外れた新興地区であった。；比較的新興の流派で、中国の嵩山召琳寺で作られた召琳武術とは異なる。；満州国全新興都市の都邑計画調査や計画事業実施などで中心的役割を果たす。；ただしその中でもベルヒルのような新興開発地は共和党寄りである。；映画・ラジオなどの新興メディアの利用や後の国民精神総動員運動のモデルとなったことで知られている。；この場合は貴族勢力に対する新興地主勢力が官職を得る場となった。；ウルバニサシオン・アルドイ地区は旧市街の西側に建設された新興地区である。；産業革命の第四の波は、破壊的な効果を伴う可能性の高いいくつかの新興技術が十分に実行された時に来ると予想されている。；トリマルキオという人物の設定もこうした新興の富豪を描写したものである。；この時代は人口が増加し、地域の新興農家に製品やサービスを届ける必要が生じた。；これら新興誌はカストリ雑誌の子ども版だという批判も存在した。</t>
        </is>
      </c>
      <c r="J4216">
        <f>HYPERLINK("https://www.weblio.jp/content/新興", "词义详情")</f>
        <v/>
      </c>
      <c r="K4216">
        <f>HYPERLINK("https://yourei.jp/新興", "查看例句")</f>
        <v/>
      </c>
    </row>
    <row r="4217">
      <c r="A4217" t="inlineStr">
        <is>
          <t>信仰</t>
        </is>
      </c>
      <c r="B4217" t="inlineStr">
        <is>
          <t>成功</t>
        </is>
      </c>
      <c r="C4217" t="inlineStr">
        <is>
          <t>読み方：しんこう
［名］(スル)《古くは「しんごう」》
１神仏などを信じてあがめること。また、ある宗教を信じて、その教えを自分のよりどころとすること。「—が厚い」「守護神として—する」
２特定の対象を絶対のものと信じて疑わないこと。「古典的理論への—」「ブランド—」</t>
        </is>
      </c>
      <c r="D4217" t="inlineStr">
        <is>
          <t>信仰上；信仰生活；信仰心；信仰深い；信仰形態</t>
        </is>
      </c>
      <c r="E4217" t="inlineStr">
        <is>
          <t>信；信条；信心；信奉；信教</t>
        </is>
      </c>
      <c r="F4217" t="inlineStr">
        <is>
          <t>広く信仰；キリスト教信仰；キリスト教信仰；神信仰；仏教信仰</t>
        </is>
      </c>
      <c r="G4217" t="inlineStr">
        <is>
          <t>信仰告白；信仰者；信仰の自由；信仰対象；信仰復興</t>
        </is>
      </c>
      <c r="H4217" t="n">
        <v>29</v>
      </c>
      <c r="I4217" t="inlineStr">
        <is>
          <t>この解釈から証言として知られることになる共通の信仰形態が出現した。；信仰のために死を選んだ最初期の例は古代のユダヤ教にみることができる。；こうした断食はイスラム教の信仰の中でも最重要なもののひとつである。；またラッセルは、宗教や信仰を死や神秘的なものへの恐怖にあるとした。；代表的なものとしては、相手の信仰を改宗させるために行う場合がある。；信仰の歴史は古く、ビルマ族が同地に王国を形成する以前から存在した。；これらのことからも古くから弓矢が信仰の対象となってきたことが窺える。；中国やその周辺の東アジア諸国で信仰・研究されていた宗教、または学問。；宗教的にも歴史が深く古代信仰の形体を知る上でも重要な地区である。；内なる光の信仰は、証言と呼ぶ幾つかの主要概念の発展につながっている。；その他にも仏教など様々な信仰があるが、詳細は琉球における信仰を参照。；この各々の段階の信仰内容はどうであったのかを分析・研究し、明確にする。；殷の時代には風の神、またはその使者として信仰されていたといわれる。；世界の多くの地域では、神聖な山として山に対する信仰が生まれている。；仏教信仰に熱心だった西夏支配の敦煌では最後の繁栄の時代を迎えていた。；古代より原始信仰の対象であったとされているが、その始まりは諸説ある。；従来の使徒信条を唱えることもできるが、略式の信仰宣言は廃止された。；これは信仰の中心となっている大辯才天堂への入口を示すものである。；神自身が関わっているしるしとされ、人々を信仰へと導くものである。；またこのころから教会に出入りし、神や信仰、罪などの問題に悩み始める。；主にインドで信仰されているヒンドゥー教では牛を神聖視している。；このことは、現在なお信仰され続けている宗教等にも該当する。；その色から大きさ、製作まで信仰と密接に繋がっていたことがわかる。；こうした信仰は近年になって生まれたもので、それまではほとんど見られなかった。；また信仰上の理由により兵役免除も可能であるが、これも女性のみである。；主に北アイルランドとその国境付近のアイルランドで信仰されている。；だがローマによる破門の後もカトリックの教義への信仰は失わなかった。；インドのマハラシュトラ州を中心にデカン高原一帯で多く信仰されている。；教会教会とは、共通の信仰によって形成される集団・団体や社会のことである。</t>
        </is>
      </c>
      <c r="J4217">
        <f>HYPERLINK("https://www.weblio.jp/content/信仰", "词义详情")</f>
        <v/>
      </c>
      <c r="K4217">
        <f>HYPERLINK("https://yourei.jp/信仰", "查看例句")</f>
        <v/>
      </c>
    </row>
    <row r="4218">
      <c r="A4218" t="inlineStr">
        <is>
          <t>振興</t>
        </is>
      </c>
      <c r="B4218" t="inlineStr">
        <is>
          <t>成功</t>
        </is>
      </c>
      <c r="C4218" t="inlineStr">
        <is>
          <t>読み方：しんこう
［名］(スル)学術・産業などを盛んにすること。また、学術・産業などが、盛んになること。「科学の—を図る」「観光事業を—する」</t>
        </is>
      </c>
      <c r="D4218" t="inlineStr">
        <is>
          <t>振興会(10%)；振興協会(5%)；振興財団(4%)；振興策(2%)；振興公社</t>
        </is>
      </c>
      <c r="E4218" t="inlineStr">
        <is>
          <t>開発；成功；展開；発展；成長</t>
        </is>
      </c>
      <c r="F4218" t="inlineStr">
        <is>
          <t>教育振興；科学振興；芸術振興；科学技術振興；貿易振興</t>
        </is>
      </c>
      <c r="G4218" t="inlineStr">
        <is>
          <t>振興政策；振興造機；振興組合連合会；振興区；振興三倍券</t>
        </is>
      </c>
      <c r="H4218" t="n">
        <v>29</v>
      </c>
      <c r="I4218" t="inlineStr">
        <is>
          <t>修道院付属の学校が創設され、ラテン語の普及など文化の振興が進んだ。；翌年には経済のマイナス成長が始まり、政府の振興策も効果が無かった。；立派な帝立の劇場や美術・音楽などの学校を有し、文化が振興されていた。；中部10連盟で組織された吹奏楽の発展と振興を目的とする団体である。；五条では諸役を免除して商業の振興を図るなど、城下町の整備を行った。；県は県内高等教育機関の振興案も併せて検討せざるを得ない状況となった。；地域の発展や、産業の振興を図るための相談支援体制を整えている。；工場建設は地方振興と失業者対策の意味もあり、にも作られている。；都道府県が発行する振興計画の中に島嶼群毎の振興計画が記載されている。；科学及び人文学の研究・指導・連絡・学術振興・人材育成を行なっている。；人間性豊かな教育制度の確立と文化・教育・スポーツ・科学技術に振興する。；海軍の重要性を理解し、世界初の乾ドックを建設して、貿易を振興した。；また、日野総合事務所は西部総合事務所日野振興センターに再編された。；また、振興策に魅力を感じて積極的に誘致する自治体もしばしば見られる。；それは教育の改善・インフラの整備・国防の充実・産業貿易の振興であった。；駅付近には製薬工場が数軒あり、駅北側には薬業技術振興センターがある。；団体として全国手もみ茶振興会があり、品評会や茶師の称号認定を行っている。；アルフレッド大王の精神を引き継いで教育を振興し、翻訳事業を再開した。；習志野市が所有し、管理・運営は習志野市スポーツ振興協会が行っている。；前出のスタジアムなど、ワコビアはスポーツ振興事業にも積極的である。；革命政府は工業の振興に努力をし、軍需工業とその関連部門に資金を投入した。；半島振興計画は、国・地方公共団体・その他の者が実施しなければならない。；晩年のマーガレットは宮廷から引退して信仰生活と教育振興に余生を捧げた。；地域産業の振興、人材の育成、市内企業に対する融資などを行っている。；第三セクターのうらかわ優駿の里振興株式会社が運営にあたっている。；これら歴史事例からも科学技術の振興は国家の責務である、と考えられている。；メッツアを運営するムーミン物語と地域・教育振興で連携協定を結んでいる。；研究機関に資金提供することで科学振興を目指す組織である。；スポーツの振興や支援を行うはダッカに拠点を置いている。</t>
        </is>
      </c>
      <c r="J4218">
        <f>HYPERLINK("https://www.weblio.jp/content/振興", "词义详情")</f>
        <v/>
      </c>
      <c r="K4218">
        <f>HYPERLINK("https://yourei.jp/振興", "查看例句")</f>
        <v/>
      </c>
    </row>
    <row r="4219">
      <c r="A4219" t="inlineStr">
        <is>
          <t>信号</t>
        </is>
      </c>
      <c r="B4219" t="inlineStr">
        <is>
          <t>成功</t>
        </is>
      </c>
      <c r="C4219" t="inlineStr">
        <is>
          <t>読み方：しんごう
［名］(スル)
１色・音・光・形・電波など、言語に代わる一定の符号を使って、隔たった二地点間で意思を伝達すること。また、それに用いる符号。サイン。「—を送る」「危険—」
「わたり鳥へ—してるんです」〈賢治・銀河鉄道の夜〉
２道路・鉄道線路などで進行の可否を知らせる機械。信号機。シグナル。「—無視」「赤—」</t>
        </is>
      </c>
      <c r="D4219" t="inlineStr">
        <is>
          <t>信号機(11%)；信号待ち；信号弾；信号システム；信号線</t>
        </is>
      </c>
      <c r="E4219" t="inlineStr">
        <is>
          <t>章；マーク；合図；記；印</t>
        </is>
      </c>
      <c r="F4219" t="inlineStr">
        <is>
          <t>入力信号；制御信号；停止信号；用信号；出力信号</t>
        </is>
      </c>
      <c r="G4219" t="inlineStr">
        <is>
          <t>信号所；信号処理；信号灯；信号扱所；信号旗</t>
        </is>
      </c>
      <c r="H4219" t="n">
        <v>29</v>
      </c>
      <c r="I4219" t="inlineStr">
        <is>
          <t>そして、信号機が故障していれば安全側の現示を示すようになっている。；従来は構内の信号設備の関係上回送も含めすべての列車が停車していた。；信号が開通したときに鳴動する信号開通メロディは以下のとおりである。；一部のチャンネルや番組プログラムには第二音声信号があるものがある。；通過信号機を使用することができないときに、その代わりに使用する。；これは、身体からの信号である感覚をもとに構成されたものとなる。；この跨線橋新設のため、下り向きには中継信号機が新たに設置された。；この付近では停止信号でよく特に上りが減速したり停車したりする。；多くの場合、これは正しく波形が伝わる信号速度と考えることができる。；曲線が長く続くなどの場合、複数の中継信号機を設置することもある。；FeliCaポケットの領域を利用し、端末とシステムは日本信号社製。；このために用いられる信号波形としては、下記の2方式が代表的である。；終日社員配置で営業社員のほか、信号詰所には運転社員が配置されている。；通過信号機は停止を現示することはないため、停止の赤色灯は存在しない。；こうした信号機は、半自動信号機と区別するため自動信号機と呼ばれている。；信号交差点付近での路上駐車が渋滞の原因となっている事例は多くみられる。；通常の閉塞信号でも進行現示することがない信号機が多数存在した。；出力は、何らかの対象から出る信号や力、またその種類や大きさのことである。；ここでの距離は色灯式・単灯式信号機に取り付けられる背面板からの距離である。；これらの分岐・合流地点は、当駅が開業する前は田島信号場とされていた。；その後、支線からの到着を許可する信号機に進行を指示する信号を現示する。；一般的に、信号の現示は指示される速度が数字などで表示される。；センサによる測定は、出力信号の処理によって以下の方式に分けられる。；信号は与えられた範囲の任意の値をとり、それぞれの信号値が異なる情報を表現している。；この周波数は信号伝播の最悪ケースを考慮して決めなければならない。；このため信号機が停止現示にならないときは、鎖錠したままにする。；既に北側の信号機は使用可能な状態になっており今後、同ホームからの発着も考えられる。；CDと同様、信号の記録は非常に細かい楕円形のくぼみで行われている。；SAからICに出る際に事故を防止する為、信号機が設置されている。</t>
        </is>
      </c>
      <c r="J4219">
        <f>HYPERLINK("https://www.weblio.jp/content/信号", "词义详情")</f>
        <v/>
      </c>
      <c r="K4219">
        <f>HYPERLINK("https://yourei.jp/信号", "查看例句")</f>
        <v/>
      </c>
    </row>
    <row r="4220">
      <c r="A4220" t="inlineStr">
        <is>
          <t>人工</t>
        </is>
      </c>
      <c r="B4220" t="inlineStr">
        <is>
          <t>成功</t>
        </is>
      </c>
      <c r="C4220" t="inlineStr">
        <is>
          <t>読み方：じんこう
自然の事物や現象に人間が手を加えること。また、人間の手で自然と同じようなものを作り出したり、自然と同じような現象を起こさせたりすること。「—の湖」「—着色」⇔天然。</t>
        </is>
      </c>
      <c r="D4220" t="inlineStr">
        <is>
          <t>人工的(23%)；人工太陽；人工池；人工飼料；人工合成</t>
        </is>
      </c>
      <c r="E4220" t="inlineStr">
        <is>
          <t>加工；人為；人造</t>
        </is>
      </c>
      <c r="F4220" t="inlineStr">
        <is>
          <t>人工血管；人工栄養；人工美；人工水路；人工環境</t>
        </is>
      </c>
      <c r="G4220" t="inlineStr">
        <is>
          <t>人工的；人工知能；人工物；人工芝；人工島</t>
        </is>
      </c>
      <c r="H4220" t="n">
        <v>29</v>
      </c>
      <c r="I4220" t="inlineStr">
        <is>
          <t>完全な人工環境下で生活史を再現した飼育研究は、まだ知られていない。；人工張りは環境の変化に強い反面、高く鋭い音になりやすい特徴がある。；歴史上最初に行われた人工処理は、軽くワックスと油を塗ることだった。；毛皮が上質なため、中国やロシアでは産業的な人工飼育が行われている。；閉鎖環境あるいは人工環境中で魚を飼うことは、歴史的に深い起源を持つ。；このような働きにより、舗装道路など人工構造が破壊されることもある。；城の南方面の防御は峻険な崖を利用しており、特に人工的な防御施設はない。；これは人工的な交雑種ゆえに調査対象の絶対数が少ないことに由来する。；川、湖、ダムなどの中に作られたものがある一方、人工のものもある。；そのため、救急用に人工赤血球の開発の必要は昔から指摘されていた。；また、人工爪材料メーカーなどが主催する講習会や認定資格も多くある。；谷川を堰き止めた人工池を中心とした広大な庭園とその関連建物からなる。；以前の襷にあった2号障害は水壕だったが、その後人工竹柵障害に変更。；ベルリン近郊に人工の丘を造り、そこや自然の丘から飛行実験を行なった。；これはフォボスが人工的な起源を持つことを示唆するものである。；近年では栽培技術が向上し冬季に人工照明での栽培なども行われる。；手術を施したり、人工的な薬物を投与したりしなくても治る機能のこと。；ほか、ラットの脳の海馬を解析して人工海馬を作る実験も行われている。；近年では人工ケーシングを使った製品が多く、その場合は直径で分類する。；もともとはペルシャ語起源で人工の堰を意味し、インドでも多く使われた。；人工の川は公園北東の角へ流れていき、北東の角には噴水がある。；トルコ石は、色の良さと耐久性を上げることを狙って人工処理される。；なお、人工池の魚には館入口で販売されている餌を直接与えることができる。；その庭には中国の洞庭湖を模した人工池である大沢池が造られている。；全てがシルエットとミラージュの両方の特性を付加された人工ハーフ種。；また同時に、馬厩肥に依存しない人工の堆肥を用いた栽培も普及していった。；人工の場所への適応力があり、北米で最も一般的な水鳥となっている。；当時は灯火管制が敷かれており、人工の灯りである可能性は低いとされる。；同ビルの工事開始以前は下りホーム中央部に「無事湖」と称する人工池が存在した。</t>
        </is>
      </c>
      <c r="J4220">
        <f>HYPERLINK("https://www.weblio.jp/content/人工", "词义详情")</f>
        <v/>
      </c>
      <c r="K4220">
        <f>HYPERLINK("https://yourei.jp/人工", "查看例句")</f>
        <v/>
      </c>
    </row>
    <row r="4221">
      <c r="A4221" t="inlineStr">
        <is>
          <t>人口</t>
        </is>
      </c>
      <c r="B4221" t="inlineStr">
        <is>
          <t>成功</t>
        </is>
      </c>
      <c r="C4221" t="inlineStr">
        <is>
          <t>読み方：じんこう
１人の数。特に、一国、または一定の地域内に住む人の総数。「—が減る」「—集中」「釣り—」
２世人の口の端(は)。世間のうわさ。「—に上る」</t>
        </is>
      </c>
      <c r="D4221" t="inlineStr">
        <is>
          <t>人口最大(6%)；人口約；人口規模；人口推移；人口調査</t>
        </is>
      </c>
      <c r="E4221" t="inlineStr">
        <is>
          <t>個体数；ポピュレーション</t>
        </is>
      </c>
      <c r="F4221" t="inlineStr">
        <is>
          <t>人口減；人口希薄；人口急増；推定人口；居住人口</t>
        </is>
      </c>
      <c r="G4221" t="inlineStr">
        <is>
          <t>人口密度；人口減少；人口統計；人口密集；人口集中</t>
        </is>
      </c>
      <c r="H4221" t="n">
        <v>29</v>
      </c>
      <c r="I4221" t="inlineStr">
        <is>
          <t>区の発足から1945年頃まで、東京市内で最も人口の多い区であった。；これに続くのが国土面積や人口で比較にならないが中国と日本である。；近年は千葉市のベッドタウンの性格が強くなり人口は増加を続けている。；国内では西海岸の人口密度が高く、特に首都周辺に人口が集中している。；人口125万以上、政治・経済・文化の発展に重要な地域が指定される。；山がちな島だが、島の南部はとりわけ平地が多く、人口も集中している。；世界の諸都市のうち人口は25番目に多く、都市圏では18番目に多い。；人口で5倍、経済力で38倍の相手に対抗できたのはここまでであった。；現在の日本では、人口十万以上の都市の半分以上は城下町を起源としている。；ただし、その後もポーランド国内でのユダヤ人人口は減少を続けた。；開業当時、代々木村に駅がなく人口が多かったことが背景と見られる。；しかし当時の北多摩地域はまだ人口も少なく、経営状態は良くなかった。；今日の人口の大部分はあの当時子どもだったか、まだ生まれてもいませんでした。；しかしながら、この当時は人口の大半がヨーロッパロシアに居住していた。；フォースの使い手は、平均的な人口に比べて数が非常に限られている。；西部の人口が多いために民主党が州全体の結果を制する傾向にある。；この4つの都市はいずれも人口の集中するメキシコの中央高原に位置している。；人口が多く広大な土地を持つ中国における生産高は世界1位である。；その一方で、青森県などでは予想されたほど出生数は増えず人口が減少した。；これらにはやがて人口調査や地名・人名なども加わるようになった。；人口は明治時代中期以降しばらく、毎年1万の増加を見せるようになった。；これは州人口が少ないことに起因し、それに比例して訴訟案件も少ない。；ベリーズの首都であるベルモパンに至っては、人口が1万人程度である。；アメリカ合衆国の州ではアフリカ系アメリカ人人口が少ない方の州である。；山陰地方で最も人口が少なく、また島根県で最も面積が狭い市である。；この頃の日本の産業・人口は三大工業地帯を含む東海道に集中した。；現在では農業人口は減少し都市近郊農業型へと転換している。；すべてのデータはアメリカ合衆国統計局 州人口見込みからの情報である。；オレゴン州の人々の宗教別人口構成は次のようになっている。</t>
        </is>
      </c>
      <c r="J4221">
        <f>HYPERLINK("https://www.weblio.jp/content/人口", "词义详情")</f>
        <v/>
      </c>
      <c r="K4221">
        <f>HYPERLINK("https://yourei.jp/人口", "查看例句")</f>
        <v/>
      </c>
    </row>
    <row r="4222">
      <c r="A4222" t="inlineStr">
        <is>
          <t>信号待ち</t>
        </is>
      </c>
      <c r="B4222" t="inlineStr">
        <is>
          <t>成功</t>
        </is>
      </c>
      <c r="H4222" t="n">
        <v>29</v>
      </c>
      <c r="I4222" t="inlineStr">
        <is>
          <t>そのためホームの手前で電車が信号待ちをする光景がよく見られる。；ビルを出て、交差点で信号待ちをしていると、隣に一人の男が立った。；そこで信号待ちをしていると、反対側の歩道で手を振っている少年がいた。；ハッと気が付いたときには信号待ちのテールランプが目前に迫っていた。；信号待ちの時、ショーウィンドーに映った自分の姿がふと目にはいった。；すくなくとも信号待ちの間は、二つの帽子は固定したように動かなかった。；百五十メートル先の交差点で、車の群が信号待ちで停止していた。；ある日、この国道で信号待ちをしている時に、彼は美しい女性に出会った。；すると、信号待ちをしていた今のタクシーが左に曲って走って来る。；信号待ちの停車をしているときに、大久保はふとわたしをふり返った。；街を歩けば信号待ちの交差点で男どもは必ず声をかけてきた。；信号待ちのない道を疾走しているから、一回休みのマスも見当たらない。；そしてこれが肝心なことですが、ビューラーは絶対に信号待ちの時に。；つまり装備されたセンタースタンドを使わなくても信号待ちなどで自立する。；横断歩道の手前で信号待ちをしていると、頭にぽつりと感じるものがあった。；ふと視線を下げた俺の目が、向こう側でやはり信号待ちをしている人物に留まった。；自衛軍の兵員輸送車両の列が店の窓いっぱいに連なって信号待ちをしていた。；御獄神社を目前にして、信号待ちに引っかかった俺の腹がぐうと鳴った。；バイパスの出入口には、出勤者の車がつながって信号待ちをしていた。；電話ボックスを出て信号待ちしているところを確認してから、脇道に入った。；日本人観光客を乗せた大型バスがラルジュベッシェ橋の上で信号待ちをしていた。；信号待ちをしながら腕時計を見ると八時三十二分だった。；中間地点に幹線道路の交差点があり、信号待ちをすることになる。；そして、車に乗って買いに来る客が、信号待ちのふりをして金を渡すのを待つのだ。；交差点で信号待ちをしていた大柄の中年女性に、私は声をかけた。；信号待ちをしているとき、イタガキは前を見たまま話しだした。；この改良では自動車が を維持して走行した場合は信号待ちが発生しないように信号の間隔が調整された。；どこかで遠い昼休みのチャイムが信号待ちの空白に流れこんできた。；Vの背後で男が信号待ちをしているように見えました。</t>
        </is>
      </c>
      <c r="J4222">
        <f>HYPERLINK("https://www.weblio.jp/content/信号待ち", "词义详情")</f>
        <v/>
      </c>
      <c r="K4222">
        <f>HYPERLINK("https://yourei.jp/信号待ち", "查看例句")</f>
        <v/>
      </c>
    </row>
    <row r="4223">
      <c r="A4223" t="inlineStr">
        <is>
          <t>申告</t>
        </is>
      </c>
      <c r="B4223" t="inlineStr">
        <is>
          <t>成功</t>
        </is>
      </c>
      <c r="C4223" t="inlineStr">
        <is>
          <t>読み方：しんこく
［名］(スル)
１申し告げること。「選手の交替を—する」
２国民が法律上の義務として、官庁などに一定の事実を申し出ること。「一時所得として—する」「確定—」</t>
        </is>
      </c>
      <c r="D4223" t="inlineStr">
        <is>
          <t>申告する(12%)；申告書(7%)；申告制(3%)；申告すれ；申告納付</t>
        </is>
      </c>
      <c r="E4223" t="inlineStr">
        <is>
          <t>話；言葉；話し；言；発言</t>
        </is>
      </c>
      <c r="F4223" t="inlineStr">
        <is>
          <t>税務申告；過少申告；納税申告；被害申告；確定申告</t>
        </is>
      </c>
      <c r="G4223" t="inlineStr">
        <is>
          <t>申告分離課税；申告敬遠；申告納税制度</t>
        </is>
      </c>
      <c r="H4223" t="n">
        <v>29</v>
      </c>
      <c r="I4223" t="inlineStr">
        <is>
          <t>交易先も管理され、申告した地方や国以外との貿易は認められていない。；女の夫は、女が最初に申告した時点で既に亡くなっていたとみられている。；この傾向は、自己申告を用いて研究を行う際に深刻な問題を引き起こす。；自己申告でもよいので、こちらに記事名と日付を書いていってください。；また各登場人物のプロフィールは本人達の自己申告であると公表されている。；この金銭に関して税務上の申告がどのようにされているか定かではない。；部屋の中央に立って司令官に申告しようとした瞬間、異常なことが起こった。；制度の複雑性から、申告書の作成を代行業者に依頼する者の割合が多い。；朱美自身が自分の症状を冷静に申告できる状態であったとは思えないからだ。；金は申告して、通過した各距離に応じて道路税を支払わなければならない。；ただし、家を建てた時は、費用をどこから出したかの内訳を申告する。；それにもかかわらず、申告書が当方に提出されることはほとんどありません。；いったい税務署は議員たちの申告をなんだと思っているんだろう。；例えば、標準刺激の2倍の強さと感じたら、係数の2倍の数を申告する。；これは申告書に掲載されていなかったものと考えられた。；当該職員より指摘を受け、納税者が自発的に申告を修正することをいう。；ただし割引運賃が適用される子供の場合は事前に営業所で申告が必要である。；鉄道やバス、映画館などでは自己申告で小学生料金とする場合が多い。；ホールごとのスコアも、コースのスコアと同じように表記して申告される。；機長は日本軍機多数に迎撃され、機銃も故障して離脱したと申告している。；予めの申告や駅に設置の電話からの連絡のあった時だけ停車し、通常は通過する。；医師は自己の証明書を提示してこの特権を得る申告をしなければならなかった。；交代した選手の守備位置をそのまま引き継ぐ場合も交代の申告が必要になる。；図書館の本を破って持ってきちゃって、見つかっちゃってね、中学に申告された。；嘘の申告やこっそり軍艦を移動させるなどの反則はもってのほかである。；ルート夫人が間違えたのかと思ったが、申告書にもイギリス人と書いてある。；確定申告義務がない場合であっても確定損失申告をする必要がある。；また納税申告書を公開しなかったことや、政府での経験が足りないことも攻撃した。；サロンでは、関税申告の書類に書き込みをしている者の姿も見られた。</t>
        </is>
      </c>
      <c r="J4223">
        <f>HYPERLINK("https://www.weblio.jp/content/申告", "词义详情")</f>
        <v/>
      </c>
      <c r="K4223">
        <f>HYPERLINK("https://yourei.jp/申告", "查看例句")</f>
        <v/>
      </c>
    </row>
    <row r="4224">
      <c r="A4224" t="inlineStr">
        <is>
          <t>深刻</t>
        </is>
      </c>
      <c r="B4224" t="inlineStr">
        <is>
          <t>成功</t>
        </is>
      </c>
      <c r="C4224" t="inlineStr">
        <is>
          <t>読み方：しんこく
［名・形動］
１事態が容易ならないところまできていること。また、そのさま。「住宅問題が—になる」
２容易ならない事態と受けとめて、深く思いわずらうこと。また、そのさま。「—に考え込む」「—な表情」
３考え・表現などが深いところにまで達していて重々しいこと。また、そのさま。
「悲壮な熱情と—な思想とは」〈藤村・破戒〉
４無慈悲で厳しいこと。むごいこと。また、そのさま。過酷。
「是程—な復讎(かたき)を取られる程」〈漱石・それから〉
[派生]しんこくさ［名］</t>
        </is>
      </c>
      <c r="D4224" t="inlineStr">
        <is>
          <t>深刻化(8%)；深刻な問題(5%)；深刻な影響(3%)；深刻な被害(2%)；深刻な顔</t>
        </is>
      </c>
      <c r="E4224" t="inlineStr">
        <is>
          <t>危険；大きい；大変；激しい；恐ろしい</t>
        </is>
      </c>
      <c r="F4224" t="inlineStr">
        <is>
          <t>深刻な資金難；深刻な感染症；深刻な経営不振；深刻な経営難；深刻な得点力不足</t>
        </is>
      </c>
      <c r="G4224" t="inlineStr">
        <is>
          <t>深刻小説</t>
        </is>
      </c>
      <c r="H4224" t="n">
        <v>29</v>
      </c>
      <c r="I4224" t="inlineStr">
        <is>
          <t>加えて同時期には軌道・施設や運行車両の老朽化が深刻な状況となった。；イパーブのスイッチをうまく入れられなかった場合は深刻な事態となる。；特にその深刻さを強調する場合には、教育病理または教育危機とも呼ぶ。；しかし、両者の長年の対立は深刻ですぐに和睦できるものではなかった。；第二次世界大戦が終わった1940年代後半には特に深刻な危機に陥った。；この制度設計の欠陥は、国家のガバナンスの観点からすれば深刻である。；最も深刻だったのは一貫して大衆の支持を得られなかったことだった。；発射から軌道到達に至るまでの過程では、深刻なトラブルが発生した。；この時コンスタンティヌス1世は深刻な決断を迫られていたと見られる。；これに伴い、地域の疲弊は深刻化し、1916年には大反乱が勃発する。；メモリリークが以下のような状況で起こった場合、問題は特に深刻になる。；アメリカよりも深刻な国家が、他に存在しているのも事実である。；大気汚染は深刻で特に首都北京は風次第でしばしばスモッグに覆われる。；再起動させる上での最も深刻な問題は、正しい軌道に復帰させることだった。；日本以外にも世界中へ移入されており、生態系に深刻な影響を与えている。；被害は黄砂が少量の場合でも発生するが、量が多いほど被害が深刻になる。；スコピエでは革命の組織は上手く行かず武器の不足など深刻な問題であった。；家族に過度な負担をかけるため少子化の弊害が深刻化するとの意見がある。；それは深刻な人種問題を抱えていた当時のアメリカでは画期的なことであった。；その後鳩の糞害が深刻化したため、公園での鳩の餌やり風景が減少した。；しかし国内の政治は、開化派と守旧派勢力との対立が深刻化していた。；より最近では、2002年から2005年の深刻な乾燥で知られている。；西カメルーン州は反発し、一部の住民は独立を主張するほど対立は深刻化した。；世界恐慌が発生すると、ドイツ人居住域の状況は深刻なものになった。；家臣団の拡大は家康への服従以来問題になっていた家臣同士の対立を深刻にした。；しかし新独立国においては、国家と国民との乖離が深刻なものとなっていた。；平衡が保たれていない木では、これが深刻な問題となる場合もある。；団結していたドイツはマルクス主義によって深刻な分裂に追い込まれた。；また扱われるテーマは多岐に渡り、時には非常に深刻なテーマも扱う。</t>
        </is>
      </c>
      <c r="J4224">
        <f>HYPERLINK("https://www.weblio.jp/content/深刻", "词义详情")</f>
        <v/>
      </c>
      <c r="K4224">
        <f>HYPERLINK("https://yourei.jp/深刻", "查看例句")</f>
        <v/>
      </c>
    </row>
    <row r="4225">
      <c r="A4225" t="inlineStr">
        <is>
          <t>新婚</t>
        </is>
      </c>
      <c r="B4225" t="inlineStr">
        <is>
          <t>成功</t>
        </is>
      </c>
      <c r="C4225" t="inlineStr">
        <is>
          <t>読み方：しんこん
［名］(スル)
１結婚したばかりで間のないこと。また、その人。「—ほやほや」「—家庭」
２新たに結婚すること。
「其中には—した許(ばかり)のものもあった」〈漱石・三四郎〉</t>
        </is>
      </c>
      <c r="D4225" t="inlineStr">
        <is>
          <t>新婚夫婦(11%)；新婚カップル(6%)；新婚早々(5%)；新婚時代(4%)；新婚当時(3%)</t>
        </is>
      </c>
      <c r="F4225" t="inlineStr">
        <is>
          <t>新婚ほやほや；新婚気分；ご新婚；新婚直後；新婚客</t>
        </is>
      </c>
      <c r="G4225" t="inlineStr">
        <is>
          <t>新婚生活；新婚さん；新婚初夜；新婚さんいらっしゃい；新婚道中記</t>
        </is>
      </c>
      <c r="H4225" t="n">
        <v>29</v>
      </c>
      <c r="I4225" t="inlineStr">
        <is>
          <t>別れたらまた再婚するのだろうから、かくも新婚が多いのかもしれない。；新婚夫婦たちがたち去ったあと、一同は急に手持無沙汰になりはじめた。；逆にいえば、新婚のときと同じ状態にもどってしまっているのである。；三組の新婚カップルの戸籍を手に入れたのは、どんな種類の人間なのか。；デンマークで数ヶ月過ごしたのち、新婚夫婦はニューヨークに到着した。；そう、おれの新婚の妻は、まだ組織されていない集団の仮の議長だった。；新婚カップルの結婚の結末を予測する研究は、人々によく知られている。；亮子が嫁に来た時、新婚夫婦のためにと広い庭を利用して建て増しした。；新婚の彼の頭からとれたカツラを、犯人はしっかりとつかんでいたようだ。；夫妻の結婚生活は新婚の時期を過ぎると、幸福なものとは言えなくなった。；搭乗手続きを終えた新婚カップルは、その黒い集団の中に入って行った。；だから、他の二組の新婚カップルが真似て、蒸発したのかもしれません。；ロンドンに新婚でピアノを習いに来たときからもう一風変っていたな。；手に手をとって、ふたりは、新婚時代を過ごすことになる城へと出発した。；水戸徳川家ともなれば、新婚の夫婦の間には何人もの家人たちが存在する。；いくら新婚だって、二日ぐらいやらなくても誰も不思議には思うまい。；新婚なら、必ず、金を持っていると考えた犯人たちの狙いは正しかった。；それを見た新婚カップルは、手にしていた器からおかずをつまみあげた。；それでまた新婚夫婦の夫の方は、真っ赤になって汗を拭いているのである。；手前どもは、ご新婚からそうたっていないおかただと、睨んでおりました。；むろん新婚の妻も古女房も例外ではなく、年に十ヵ月は旅にでているのである。；一泊旅行から帰ってから、私は郷里の家で志乃と新婚の十日を暮らした。；新婚の時はともかく、普通の夫婦はそんなにセックスをするもんじゃない。；新婚の若奥様という言葉を聞いて多くの男たちがイメージしそうな姿である。；もう一組の新婚カップルは、他の車両に行ったらしく、姿が見えなかった。；「新婚なのに悪い」となかなか一緒にいきたがらない姉を熱心に説得した。；新婚当時はとくに、いつもきちんと丸髷に結っていたのは昔のはなしだ。；あれは君たちの新婚の頃だったかね、君は奥さんばかり描いていたじゃないか。；「なんか新婚の頃に戻ったみたいだな」 少し嬉しそうに夫は言った。</t>
        </is>
      </c>
      <c r="J4225">
        <f>HYPERLINK("https://www.weblio.jp/content/新婚", "词义详情")</f>
        <v/>
      </c>
      <c r="K4225">
        <f>HYPERLINK("https://yourei.jp/新婚", "查看例句")</f>
        <v/>
      </c>
    </row>
    <row r="4226">
      <c r="A4226" t="inlineStr">
        <is>
          <t>審査</t>
        </is>
      </c>
      <c r="B4226" t="inlineStr">
        <is>
          <t>成功</t>
        </is>
      </c>
      <c r="C4226" t="inlineStr">
        <is>
          <t>読み方：しんさ
［名］(スル)詳しく調べて、適否・優劣・等級などを決めること。「—に付する」「資格を—する」「—員」</t>
        </is>
      </c>
      <c r="D4226" t="inlineStr">
        <is>
          <t>審査員(6%)；審査委員会(4%)；審査委員長(2%)；審査会；審査対象</t>
        </is>
      </c>
      <c r="E4226" t="inlineStr">
        <is>
          <t>みる；評価；調査；批判；判断</t>
        </is>
      </c>
      <c r="F4226" t="inlineStr">
        <is>
          <t>資格審査；次審査；書類審査；ゲスト審査；特別審査</t>
        </is>
      </c>
      <c r="G4226" t="inlineStr">
        <is>
          <t>審査会；審査官；審査基準；審査請求；審査員賞</t>
        </is>
      </c>
      <c r="H4226" t="n">
        <v>29</v>
      </c>
      <c r="I4226" t="inlineStr">
        <is>
          <t>商品ごとに個別に実験データを提出し審査を受け許可される必要がある。；凍結に際して第三社が審査するシステムが無いことも問題視されている。；審査によって代表に推薦されると上位大会である支部大会に出場できる。；なお、仮称二号水戦の開発は三二型の審査の遅れを受けて中止されている。；裁判所に、法律が憲法に適合するか否か審査する権限が与えられている。；憲法裁判所は法律が憲法に違反しているか否かを審査する権限を有する。；最初は皆レベル1からスタートし、条件を満たすことで階級審査が発生。；それを味の専門家3人が誰が作ったか分からない状態で食べて審査。；新文展に改組するの当たり、審査は投票で行われるよう改められている。；見習い期間が終了し、内部審査を経て、認められた者だけが正所属となる。；これらの場合は審査のうえで解除することができるとされている。；緩やかな審査基準が妥当する場合で、消極目的規制の場合に適用される。；一度は夜天に非難されたが夜天が審査に参加した最終審査に合格する。；その戦いで指定された順位内に入ることが出来れば階級審査を通った事になる。；特許出願されたが、審査の請求をしなかったために権利化はされていない。；ドヴォルザークは1877年に奨学金審査のためにこの作品を提出した。；これは審査で国家に忠実とみなされた者にのみ許される権利だった。；公式審査では、運転手の飲酒と無謀な運転が事故の原因だったと発表された。；裁判所は請求に基づき審査を開始したが、まだ裁判所の判断は示されていない。；事務総長が提出し、専門家からなる行政予算問題諮問委員会が審査する。；指紋を事前登録することで、機械による審査で入出境することができる。；七段以上はブロック連盟が意見書を付けて、段位審査委員会に上申する。；これらの楽曲は全て、ユーザーにより投稿され審査に合格したものである。；このうち600人が会場審査員で、残りの400人は自宅審査員となる。；他の審査委員から賛成の声が上がったこともあり、河野理事長が締めた。；これらの寿命延長は詳細な審査と承認の対象であり、上記の表には含まれていない。；このため鈴木は正式な加盟審査に掛けることなく、申請を握りつぶした。；このためエントリーしていても当日審査を通過しなくては大会に参加できないこともある。；既に所有している学士に加えて別の学士を取るべく同機構の審査を受ける者もいる。</t>
        </is>
      </c>
      <c r="J4226">
        <f>HYPERLINK("https://www.weblio.jp/content/審査", "词义详情")</f>
        <v/>
      </c>
      <c r="K4226">
        <f>HYPERLINK("https://yourei.jp/審査", "查看例句")</f>
        <v/>
      </c>
    </row>
    <row r="4227">
      <c r="A4227" t="inlineStr">
        <is>
          <t>震災</t>
        </is>
      </c>
      <c r="B4227" t="inlineStr">
        <is>
          <t>成功</t>
        </is>
      </c>
      <c r="C4227" t="inlineStr">
        <is>
          <t>読み方：しんさい
１地震による災害。
２関東大震災、阪神・淡路大震災および東日本大震災のこと。</t>
        </is>
      </c>
      <c r="D4227" t="inlineStr">
        <is>
          <t>震災直後(5%)；震災発生(4%)；震災時(2%)；震災当時；震災以降</t>
        </is>
      </c>
      <c r="F4227" t="inlineStr">
        <is>
          <t>東大震災；震災被害；震災対策；関東震災；震災翌日</t>
        </is>
      </c>
      <c r="G4227" t="inlineStr">
        <is>
          <t>震災前；震災復興；震災手形；震災遺構；震災復興支援</t>
        </is>
      </c>
      <c r="H4227" t="n">
        <v>29</v>
      </c>
      <c r="I4227" t="inlineStr">
        <is>
          <t>ただし、震災で具体的にどの程度の騒音被害があったのかは明確でない。；また書架は背が高いものを採用したため、震災時の落下図書が多かった。；また、震災関連の記事のみを扱った臨時増刊を出版した企業も存在する。；特徴的な題材が二つあり、ひとつは聖書挿画、もう一つは震災図である。；またこの体験から震災関連の講演会・シンポジウムにも多数出演している。；震災ですっかり焼け、その後学校を建てることになり土地を平らにした。；災害の種類ごとに、震災対策編や風水害対策編などで構成されている。；震災から3年が経とうとする1997年12月に再建された現在のビル。；これは震災にともなう動物の異常行動がヨーロッパで最初に記録されたものである。；このうち数台は、震災時に無料で供給できる機能がついている。；ここでは、震災の影響で不通区間が発生していた時期について述べる。；震災以降、各出版社からは震災に関連する様々な単行本が出版されている。；震災等の災害時における救援物資輸送路としての利用も想定されている。；また県知事選と同様、3月に発生した震災からの復興策も争点であった。；現在も開発途中で、郊外には震災当時のままの「廃墟」が残っている。；その後も小松自身は震災からの復旧活動に積極的に関与していた。；震災に対応するため24時間運用を行いし、アメリカ軍も使用した。；当店には震災の対策本部が置かれ、翌日には一部フロアの営業を再開した。；前シーズン途中に震災の影響でチームを離れていたブライアン・ハーパーも復帰。；ただし、新本社への移転は震災以前からの既定方針で、同ビルも建設中だった。；これは震災発生前の段階では、2011年末までの放送期間を予定していたためである。；震災復旧後の1996年から、5001形と同様に保全工事を開始した。；震災失業とは震災が起きたことを原因として生じる失業のことである。；震災以前にその場所を訪ねた回と併せて収録されている。；これは震災が発生したということをきっかけとして行われた結婚。；昔とは少し違った印象に、震災当時にも湧いた疑問が再び頭をかすめる淳平。；従来の報道機関は特別の体制をとって震災に関する報道を行った。；よって、だいちゃんは震災の体験を全く体験していないとのこと。；街は震災から復興したが、憲太郎の心の底にはまだ震災で受けた衝撃が残っていた。</t>
        </is>
      </c>
      <c r="J4227">
        <f>HYPERLINK("https://www.weblio.jp/content/震災", "词义详情")</f>
        <v/>
      </c>
      <c r="K4227">
        <f>HYPERLINK("https://yourei.jp/震災", "查看例句")</f>
        <v/>
      </c>
    </row>
    <row r="4228">
      <c r="A4228" t="inlineStr">
        <is>
          <t>人材</t>
        </is>
      </c>
      <c r="B4228" t="inlineStr">
        <is>
          <t>成功</t>
        </is>
      </c>
      <c r="C4228" t="inlineStr">
        <is>
          <t>読み方：じんざい
才能があり、役に立つ人。有能な人物。人才。「—を求める」「—不足」</t>
        </is>
      </c>
      <c r="D4228" t="inlineStr">
        <is>
          <t>人材登用(2%)；人材確保；人材サービス；人材交流；人材養成</t>
        </is>
      </c>
      <c r="E4228" t="inlineStr">
        <is>
          <t>スタッフ；部下；社員；物資；資産</t>
        </is>
      </c>
      <c r="F4228" t="inlineStr">
        <is>
          <t>有能な人材；必要な人材；有為な人材；活躍する人材；貴重な人材</t>
        </is>
      </c>
      <c r="G4228" t="inlineStr">
        <is>
          <t>人材派遣；人材派遣会社；人材不足；人材紹介；人材開発</t>
        </is>
      </c>
      <c r="H4228" t="n">
        <v>29</v>
      </c>
      <c r="I4228" t="inlineStr">
        <is>
          <t>優秀な人材を獲得してチーム運営をすることが重要であると考えている。；当然のことながら当団体とWWEの資本・人材関係は現在のところない。；これは純粋に基準を満たす人材の確保ができない点が挙げられている。；高度な技術・能力を持つ者、というような意味では、人材とも言われる。；現在は官民の各部門で両国の文化・人材交流事業を積極的に展開している。；特に強い人材がこのチームには居ないため、あまり勝利していない。；これは後退にも見えるが、当時の人材事情から来る時代の要請である。；人材が豊かで教育水準も高く、共通テストでは合格率が全国最高である。；民衆は従来の権力構造の外からの人材を求めていたのである。；これにより髑髏部隊は親衛隊特務部隊の重要な人材供給源となっていた。；そこでショックレーは大学を卒業したばかりの優秀な人材を物色し始めた。；より専門的な教育を行うため、学校外の人材の活用も行っている。；以来UHBの歴代社長の座は道新専務級の人材が座ることになっている。；彼は仏教国からを果たしたばかりのモルディブにとって貴重な人材だった。；頼朝は朝廷との交渉や幕府機構の整備のために、京都からの人材を求めていた。；現代中国文学は、優秀な人材を輩出していて、年少作家も多く出ている。；以下は、このシステムを開発・構築するにあたり参加・人材協力を行った企業である。；入社時に要求されるICT活用スキルを有する人材になることが求められる。；資材も人材も不足する中で、冷房装置の製造・搭載には大変な困難が伴った。；李雄は私情に囚われずに賢人を愛し、その才能に合わせて人材を用いた。；ICTの基礎的な知識・技能を有する人材になることが求められる。；その為、優秀な人材を育てることで日本を守ろうと考えていたといわれている。；なお福祉人材が求められる現在でも、スポーツでの活躍で宣伝する姿勢である。；また丁稚制度が一般的であった時代に、学校で教育を受けた人材を積極的に採用した。；吉田の死と前後してタツノコプロからは多くの人材が流出することとなった。；また、各種会場での小説教室の指導者として、多数の人材を輩出している。；その影響で映画への道を目指した人材も少なくない。；この結果、有能な人材は失われ、また民衆の支持も失ってしまった。；活発な商業は他国から人を呼び、この中から優れた人材を積極的に登用した。</t>
        </is>
      </c>
      <c r="J4228">
        <f>HYPERLINK("https://www.weblio.jp/content/人材", "词义详情")</f>
        <v/>
      </c>
      <c r="K4228">
        <f>HYPERLINK("https://yourei.jp/人材", "查看例句")</f>
        <v/>
      </c>
    </row>
    <row r="4229">
      <c r="A4229" t="inlineStr">
        <is>
          <t>新作</t>
        </is>
      </c>
      <c r="B4229" t="inlineStr">
        <is>
          <t>成功</t>
        </is>
      </c>
      <c r="C4229" t="inlineStr">
        <is>
          <t>読み方：しんさく
［名］(スル)新しく作品などを作ること。また、その作品。「落語を—する」「—映画」</t>
        </is>
      </c>
      <c r="D4229" t="inlineStr">
        <is>
          <t>新作ゲーム；新作アルバム；新作発表；新作ソフト；新作カット</t>
        </is>
      </c>
      <c r="E4229" t="inlineStr">
        <is>
          <t>オリジナル作品</t>
        </is>
      </c>
      <c r="F4229" t="inlineStr">
        <is>
          <t>シリーズ新作；新作バレエ；新作ドラマ；新作タイトル；新作放送</t>
        </is>
      </c>
      <c r="G4229" t="inlineStr">
        <is>
          <t>新作映画；新作アニメ；新作能；新作歌舞伎；新作のハーモニカ</t>
        </is>
      </c>
      <c r="H4229" t="n">
        <v>29</v>
      </c>
      <c r="I4229" t="inlineStr">
        <is>
          <t>現在ノー・ダウトは彼女以外のメンバーで新作アルバムを製作中である。；自分は死んだ作曲家に、口述筆記で新作を託されていると主張していた。；年数回のペースで開催されるイベントで新作が発表され、販売されていた。；現在では新作が減少している傾向にあり、ブームが去ったのが要因である。；大学を退職後の現在も、新作発表に忙しい毎日を世界中で過ごしている。；新作漫画の執筆意欲は見せていたものの作品発表はなされていない。；それ以外の旧作・新作はワーナー・ホーム・ビデオから発売されている。；なお、2000年代後半頃までは新作以外の作品では表示していなかった。；プロローグを除いてはほぼ新作と言っていいほど内容が大幅に追加されている。；新作になるほど現実性の追求から仕事はさらに複雑化する傾向にある。；既存作品の再放送が多いものの、後述するように新作の放送数も増えている。；これは新作ゲームが「ニューゲーム」と呼ばれたのと対極の言葉だった。；新作の全てがこうした深刻な方向性であったわけではない。；開催時期は特に決まっておらず、節目の年や新作発売前などに開催される。；新作コントが制作されなくなってからは総集編のみの放送となった。；倒産後しばらくはADK作品を基にした新作や続編は出てこなかった。；年一回、新作ネタのライブを行うという形で、業界関係者の目に止まる。；本作の他にアイドル防衛隊ハミングバードやオリジナル新作等も含まれた。；日本のPlayStationで発売のソフトでは最後の新作ゲームとなった。；またフランス人はストラヴィンスキーの新作に興味を持たなくなっていた。；また1983年7月21日に新作が終了後、次の通りに再放送を行った。；しかし、2000年には新作のシングルやアルバムはリリースされていない。；その後も、初心者向けのシリーズ解説DVDなどは新作が発売されている。；コーナー休止中の期間に寄せられた作品の新作紹介の後にグランプリ審査。；日本での復活ライブを大成功させたバンドはさっそく新作の制作に着手。；パリ滞在は新作オペラを華々しく成功させることだったからである。；このように同時期に3本新作深夜アニメに参画するのは初めてとなる。；招待作家は翌年1月の展覧会までに規定のサイズの新作を制作して発表する。；かつての連載作品の再刊と並行しつつ、新作の掲載も行っている。</t>
        </is>
      </c>
      <c r="J4229">
        <f>HYPERLINK("https://www.weblio.jp/content/新作", "词义详情")</f>
        <v/>
      </c>
      <c r="K4229">
        <f>HYPERLINK("https://yourei.jp/新作", "查看例句")</f>
        <v/>
      </c>
    </row>
    <row r="4230">
      <c r="A4230" t="inlineStr">
        <is>
          <t>診察</t>
        </is>
      </c>
      <c r="B4230" t="inlineStr">
        <is>
          <t>成功</t>
        </is>
      </c>
      <c r="C4230" t="inlineStr">
        <is>
          <t>読み方：しんさつ
［名］(スル)病気の有無や病状などを判断するために、医師が患者のからだを調べたり質問したりすること。「患者を—する」「—室」</t>
        </is>
      </c>
      <c r="D4230" t="inlineStr">
        <is>
          <t>診察台(3%)；診察室(3%)；診察券；診察所；診察料</t>
        </is>
      </c>
      <c r="E4230" t="inlineStr">
        <is>
          <t>診断；見立て；検診</t>
        </is>
      </c>
      <c r="F4230" t="inlineStr">
        <is>
          <t>身体診察；白い診察；御診察；診察法；診察衣</t>
        </is>
      </c>
      <c r="H4230" t="n">
        <v>29</v>
      </c>
      <c r="I4230" t="inlineStr">
        <is>
          <t>しかし他の病院で再度診察を受けた際、全く異常が無いことがわかった。；そうして置いて彼はそっと診察所の窓を開くようにして置いたのです。；で診察を受けるよう勧められていたのだが、結局彼はそれを断っている。；召使いの病気を診察した医師に会いましたが、何も得られませんでした。；自由市民は自由市民の医師が診察し、奴隷は奴隷である医師が診察した。；医療機関ではなく自宅や施設などを訪れて行う診察や治療を往診という。；院内で診察・治療・看護・研究等にあたる者も同様に防衛省職員である。；厚生年金保険に加入していない者でも診察を受けることが可能である。；また医師時代の経験を生かして患者の診察、歯科部長を担当したりした。；病院では集団農場に入ったものしか診察を受けることができなかった。；幻聴の病であろうかと、医者に診察してもらっても異常はみられない。；これらの近代的な検査が存在しなかった場合は身体診察で経過観察を行っていた。；そこで東京の大学病院へ遙々診察を受けに行ったところが簡単なものさ。；彼女を診察した医師はもう長い時間生きてはおられないだろうと診断した。；感覚障害は無症状であるが診察すると感覚低下が明らかになる。；一方で、内科など専門でないことを診察の断りの口実にすることもある。；医者が一人の病人を診察するにも長い観察や実験が必要でしょう。；病が重くなると、天祚帝のもとから太医が派遣されて病状を診察された。；口の中の嫌な味がとれないクレイグは病院で医師の診察を受ける。；診察をするといっても、患者を診察室によびいれて診察するのではない。；巨人が病気になったときにハンターは巨人をずっと診察していた。；症状がない場合は、定期的に診察され、それだけで十分な場合がある。；貧しい人を自分の無料病院で診察していないとき、彼は実験室にいる。；校内の男女からの人気は高く、特に男子からの診察依頼が絶えないという。；医者の診察によると、留吉の怪我は幸いに差したることでも無かった。；私も診察なら病院へ来たまえなどと廻りくどいことは言わないから。；次の日も同じ時間に診察に来たが、このときも散歩で不在だった。；診察した医者は「よくこの状態で普通に呼吸ができていたものだ」と言ったという。；その倦怠を覚えかけたところへ、二十五六になる一人の男が診察を受けに来ました。</t>
        </is>
      </c>
      <c r="J4230">
        <f>HYPERLINK("https://www.weblio.jp/content/診察", "词义详情")</f>
        <v/>
      </c>
      <c r="K4230">
        <f>HYPERLINK("https://yourei.jp/診察", "查看例句")</f>
        <v/>
      </c>
    </row>
    <row r="4231">
      <c r="A4231" t="inlineStr">
        <is>
          <t>紳士</t>
        </is>
      </c>
      <c r="B4231" t="inlineStr">
        <is>
          <t>成功</t>
        </is>
      </c>
      <c r="C4231" t="inlineStr">
        <is>
          <t>読み方：しんし
《搢紳(しんしん)の士の意》
１上流社会の人。
「有名—の商議場たるが如く」〈織田訳・花柳春話〉
２上品で礼儀正しく、教養の高いりっぱな男性。ジェントルマン。「—淑女」
３成人の男性。「—服」</t>
        </is>
      </c>
      <c r="D4231" t="inlineStr">
        <is>
          <t>紳士的(5%)；紳士たち(3%)；紳士淑女(2%)；紳士風；紳士然</t>
        </is>
      </c>
      <c r="E4231" t="inlineStr">
        <is>
          <t>男；男性；男子；士；お方</t>
        </is>
      </c>
      <c r="F4231" t="inlineStr">
        <is>
          <t>青年紳士；立派な紳士；若い紳士；英国紳士；田舎紳士</t>
        </is>
      </c>
      <c r="G4231" t="inlineStr">
        <is>
          <t>紳士協定；紳士録；紳士服店；紳士は金髪がお好き；紳士同盟</t>
        </is>
      </c>
      <c r="H4231" t="n">
        <v>29</v>
      </c>
      <c r="I4231" t="inlineStr">
        <is>
          <t>父親や父親の所属する紳士階級の美術クラブのメンバーから絵を学んだ。；進化後は完全に涙を見せる一面は無くなり、紳士的な性格になっている。；紳士が友人を迎えに戻ってくると、理髪師は友人はもう行ったと答えた。；しかし老紳士が生きているうちは、われわれとしてもどうしようもない。；後には怪紳士ひとりが残ったが、腕時計をちょっと見て何か考えていた。；日本に滞在していた際のカッブの様子は、たいへん紳士的であったという。；仏教は全国民に受け入れられたわけではなく、特に紳士階級がそうであった。；ラッシュはイギリスにおいて紳士的な態度が評価され、好印象を残した。；ひとりの紳士が、店のおくにいる支配人の前へいって声をかけました。；そんな彼女の態度に業を煮やした紳士が森の中にある自宅に招待する。；本作は、毛皮で裏打ちされた厚手の黒いコートを着た紳士を表している。；なおデュマースはファウルをする汚い選手ではなく紳士的な選手だった。；それは紳士のような服を着たウサギで、エリカの携帯電話を持って逃走。；当時の階級社会では、彼はその出自のために紳士とはみなされなかった。；学問より紳士教育を受けるために大学に入るのが普通だった。；俊助は初めてその中年の紳士が清水昌一と云う男だったのに気がついた。；袖と袖と重ねたのは、二側に居余る、いづれも声なき紳士淑女であつた。；紳士は別行動をとることになり、令嬢のみが子供の跡をつけることになった。；この紳士こそ、四馬剣尺の部下として重きをなす机博士その人であった。；老紳士とは似てもつかぬ整った顔立ちの、非常に色の白い青年である。；店内にいた老紳士が撃たれた4人に触れると傷が完全に癒えたのである。；私だけでなく、この街に住まねばならない全ての紳士がそれを感じている。；このようなランドンの姿勢は、紳士的であると多くの人々の敬意を集めた。；リボンとメダルを持ってフランスに旅した紳士は立派にその役割を果たした。；本間さんはそれを見ると何故か急にこの老紳士が、小面憎く感じ出した。；その中から、奇妙な質感の衣服に身を包む初老の紳士風の男性が現れた。；しかし、彼の隣に人種的偏見の色を顔に浮かべた紳士が控えていた。；誰か、青年紳士のことばに反対する人があるかと思ったからだ。；真の紳士であったハーディ・エイミスに仕えていた事を覚えています。</t>
        </is>
      </c>
      <c r="J4231">
        <f>HYPERLINK("https://www.weblio.jp/content/紳士", "词义详情")</f>
        <v/>
      </c>
      <c r="K4231">
        <f>HYPERLINK("https://yourei.jp/紳士", "查看例句")</f>
        <v/>
      </c>
    </row>
    <row r="4232">
      <c r="A4232" t="inlineStr">
        <is>
          <t>人事</t>
        </is>
      </c>
      <c r="B4232" t="inlineStr">
        <is>
          <t>成功</t>
        </is>
      </c>
      <c r="C4232" t="inlineStr">
        <is>
          <t>読み方：じんじ
１人間社会の出来事。人世の事件。自然の事柄に対していう。「—に煩わされる」
２人間の力でできる事柄。人間が行う事柄。「—を尽くす」
３社会・機構・組織などの中で、個人の身分・地位・能力の決定などに関する事柄。「重役会に—を一任する」「—部」
４俳句の季語の分類の一。天文・地理などに対し、人間に関する題材。</t>
        </is>
      </c>
      <c r="D4232" t="inlineStr">
        <is>
          <t>人事部長(3%)；人事課；人事局；人事案；人事担当</t>
        </is>
      </c>
      <c r="F4232" t="inlineStr">
        <is>
          <t>役員人事；陸軍省人事；海軍省人事；人事係；人事問題</t>
        </is>
      </c>
      <c r="G4232" t="inlineStr">
        <is>
          <t>人事部；人事権；人事院；人事不省；人事課長</t>
        </is>
      </c>
      <c r="H4232" t="n">
        <v>29</v>
      </c>
      <c r="I4232" t="inlineStr">
        <is>
          <t>私は人ごとながら、やはりこの眼でそれを見届けたい気がしたのである。；翌週号からは副編集長であった茨木政彦の編集長への昇格人事を行った。；専門知識の共有のため、積極的なグループ内の人事交流が行われている。；とまた人ごとのように聞き流そうとしたが、今度はそうはいかなかった。；それはいろいろと人ごとに違うもので、その話を聞くのがまた面白い。；それもお母アさんの生きてゐる内なればともかく、死んだら赤の他人じや。；阿南が人事局長時代に力を入れたことのひとつが将校の不足解消であった。；この人事が今後のSonicStage開発に及ぼす影響が注目された。；ウェストが選手人事の仕事に携わって以降で合計7回目の優勝となった。；この強引な人事もあって硫黄島の陸軍内の統制は保たれることとなった。；この人事は特攻開始を希望する大西の意見を認めたものともいわれる。；しかし派遣した医師の交代など人事は医局側に属するのが通例である。；人ごとのように感じていたが、自分にこそ必要なものだったのだ。；会う人ごとに、彼女を見かけなかったかと訊くのが、彼は大好きだった。；また超人ごとの筋肉の描き分けを初めて意識した超人とも語っている。；地位の上昇と同時に外交・人事などしなければならないことも増える。；人事交流の期間は原則3年以内とされ、最大5年まで延長が可能とされる。；人ごとながら、養育費だけでもさぞかし大変であろうと心配してしまう。；そこだけ取り出して吟味するに、隆旗は人ごとのように失笑してしまう。；霊的に燃えていて、会う人ごとに信仰の迫力を感じさせる人のようだ。；「つまり彼女がぼくを捨てるという意味です」人ごとのように男は言う。；海軍の制度と人事を刷新すると意気込んで部下にその検討をさせた。；父は日本への留学を行ってきたリハビリテーションの人事だった。；そのばかげたやり口といったら、人ごとでも胸くそが悪くなってくるよ!；これはドゥプチェクが西側に亡命することを期待した人事だったとの説もある。；彼女の態度には、人ごとの話を聞くともなく耳にしているといった感じがあった。；そして、今自分たちの助けられることが、なぜか人ごとのように思われるのだ。；この人事はウェリントン公爵が国王ジョージ4世に推挙した結果だった。；千枝太郎は逢う人ごとに訊いてみたが、誰にも確かなことは判らなかった。</t>
        </is>
      </c>
      <c r="J4232">
        <f>HYPERLINK("https://www.weblio.jp/content/人事", "词义详情")</f>
        <v/>
      </c>
      <c r="K4232">
        <f>HYPERLINK("https://yourei.jp/人事", "查看例句")</f>
        <v/>
      </c>
    </row>
    <row r="4233">
      <c r="A4233" t="inlineStr">
        <is>
          <t>寝室</t>
        </is>
      </c>
      <c r="B4233" t="inlineStr">
        <is>
          <t>成功</t>
        </is>
      </c>
      <c r="C4233" t="inlineStr">
        <is>
          <t>読み方：しんしつ
寝るために使う部屋。ねや。</t>
        </is>
      </c>
      <c r="D4233" t="inlineStr">
        <is>
          <t>寝室用；寝室兼；寝室係；寝室女官；寝室付き</t>
        </is>
      </c>
      <c r="E4233" t="inlineStr">
        <is>
          <t>寝所；閨；寝間；ベッドルーム；閨房</t>
        </is>
      </c>
      <c r="F4233" t="inlineStr">
        <is>
          <t>主寝室；小さな寝室；兼寝室；暗い寝室；共同寝室</t>
        </is>
      </c>
      <c r="G4233" t="inlineStr">
        <is>
          <t>寝室ものがたり</t>
        </is>
      </c>
      <c r="H4233" t="n">
        <v>29</v>
      </c>
      <c r="I4233" t="inlineStr">
        <is>
          <t>建物の中心にはスルタンのための寝室があり、その下に水が流れていた。；初期のものは、木製で椅子のような構造で移動式で寝室などに置かれた。；雨漏りを放っておくと屋根に穴が開き、寝室には雨が降ってきたという。；寝室は自習室の廊下を挟んだ反対側にあり、3部屋分の学生を収容する。；寝室のドアが開くと、一人の兵士が銃を発砲しようと構えたのを見た。；彼の事務所と寝室にいる重病の妻との会話を目的としたものだった。；謝ろうと決心してママの寝室の前に立つと、ドアの隙間から強烈な光が。；そして夕食後、寝室を与えられて寝ましたが、どうして睡られましょう。；蘭堂は我が恋人を殺害した当の敵と同じ寝室に夜を明かしたことになる。；二階にあるいちばん良い部屋を二室、自分の居間と寝室に改めました。；伯爵が寝室へ行く様に勧めても、娘の生死が分るまではと肯じなかった。；いま魔法博士の寝室にあらわれたのも、そういう人形のひとつだったのです。；最後に夫の姿を目にしたその日、あの人、寝室で怪我をしたんです。；それから彼は意識を失ったまま椅子に前屈みになり、寝室に運ばれた。；伯爵の寝室を選んだのは、そこが邸中で一番安全な場所だからだ。；ホテルは黒人客を受け入れないため、選手はバスが食堂・寝室だった。；この細い棟の反対側には廊下があって、三つの寝室が面している。；そのあとから、青ざめた女中達がオズオズと、寝室の入口へ顔を出した。；スウッと寝室を出て、廊下から一階の階段へ、音もなく走っていきます。；そそくさと寝室の中へ引っ返して、何かを手に持って、浩一の前に来た。；現在でも地方の農家などでは、寝室を指して納戸と言うこともあるという。；寝室は邸内でも一番静かで奥まった部屋だし、メアリがわざわざ選んだ。；彼は寝室に運ばれて、その日の午後に息を引き取ったと伝えられる。；あとでわかったのだが、そこはほかならぬ綾子の寝室の入口であった。；報道では発見時は首をつった状態であり、場所は寝室であったと報じられた。；園田さんは、二、三日のあいだ、その寝室から外へ出ないことにしました。；ライトは他にもホワイトホール宮殿の国王の寝室に天井画を描いている。；それは寝室の北側の壁のあたりから発したように思った。；マンションの主寝室のベッドの上にてアップルホワイトの遺体が発見された。</t>
        </is>
      </c>
      <c r="J4233">
        <f>HYPERLINK("https://www.weblio.jp/content/寝室", "词义详情")</f>
        <v/>
      </c>
      <c r="K4233">
        <f>HYPERLINK("https://yourei.jp/寝室", "查看例句")</f>
        <v/>
      </c>
    </row>
    <row r="4234">
      <c r="A4234" t="inlineStr">
        <is>
          <t>真実</t>
        </is>
      </c>
      <c r="B4234" t="inlineStr">
        <is>
          <t>成功</t>
        </is>
      </c>
      <c r="C4234" t="inlineStr">
        <is>
          <t>読み方：しんじち
［名・形動ナリ］「しんじつ（真実）」に同じ。
「—に絶え入りにければ、まどひて願たてけり」〈伊勢・四〇〉</t>
        </is>
      </c>
      <c r="D4234" t="inlineStr">
        <is>
          <t>真実性(3%)；真実夜；真実感；真実そのもの；真実仏教</t>
        </is>
      </c>
      <c r="E4234" t="inlineStr">
        <is>
          <t>実際；事実；まったく；全く；実際に</t>
        </is>
      </c>
      <c r="F4234" t="inlineStr">
        <is>
          <t>恐ろしい真実；不真実；歴史的真実；意外な真実；まぎれもない真実</t>
        </is>
      </c>
      <c r="G4234" t="inlineStr">
        <is>
          <t>真実在；真実和解委員会；真実らしさ；真実一路；真実の口</t>
        </is>
      </c>
      <c r="H4234" t="n">
        <v>29</v>
      </c>
      <c r="I4234" t="inlineStr">
        <is>
          <t>彼は、全ての文は暗黙のうちにそれ自身の真実性を表明しているとした。；しかし、意味をなすことと真実であることは、必ずしも対応していない。；それは一つの文が別の文の真実性を述べることができる言語である。；これを聞いたイオカステーは真実を知り、自殺するためその場を離れた。；ただしこの書物に記載された内容が真実であるかどうか定かではない。；このように、この問題の真実を明らかにすることはかなり困難である。；この喜劇の脚本の記述の真実性への疑義は、避けようのないことである。；真実を知った順は、たまたま通りかかった后平の前で泣き崩れてしまう。；そして、彼こそ今まで待ち望んできた真実の恋の相手ではないかと考える。；現実と区別されるのは、嘘や真実を組み合わせてできたものである。；エジプト人はその当時に設定された物語さえも不変の真実であると考えた。；困惑を抱きながらも、籐矢は全ての真実を知る決意をし、行動を始めた。；真実を知っていたのはオビ=ワンなどほんの一握りの人物だけであった。；近代的な意味での真実など求められてはいなかったのである。；ナチス台頭が迫っており、真実を明かすのはとても危険なこととされた。；それらは真実であると宣言しているが、その詳細は説明されない。；彼らは、楽に読める文章は全く真実を語る本ではないと思っている。；当時の人々からは、神罰や仏罰の存在が真実であると考えられていた。；そして、わざと嘘を言っているのでない限り、その予言は必ず真実となる。；この本は手紙や写真やその他真実を物語る多くの資料によって書かれている。；利直がこのことを次衆に告げると、これを真実と考える者が多かった。；ただしいずれの話も真実かどうかははっきりしていない。；ニーチェは、唯一の真実なるものはなく、解釈があるのみだと考えた。；心眼とは心の目によって目に見えない真実を確かめる力のことである。；ハーバードで彼は「病は気から」が真実であると確信するようになった。；もちろんこれらのこともすべて一般化した内容ではあるけど、真実でもあると思うよ。；そのような制度だと真実でないことを真実にして、公的記録に残るのではないか。；ラファエル前派は自然にとっての真実性を追求することを徹底していた。；事件の内容が全て真実であるのかは現在も判明していないため、今後の研究を待ちたい。</t>
        </is>
      </c>
      <c r="J4234">
        <f>HYPERLINK("https://www.weblio.jp/content/真実", "词义详情")</f>
        <v/>
      </c>
      <c r="K4234">
        <f>HYPERLINK("https://yourei.jp/真実", "查看例句")</f>
        <v/>
      </c>
    </row>
    <row r="4235">
      <c r="A4235" t="inlineStr">
        <is>
          <t>信者</t>
        </is>
      </c>
      <c r="B4235" t="inlineStr">
        <is>
          <t>成功</t>
        </is>
      </c>
      <c r="C4235" t="inlineStr">
        <is>
          <t>読み方：しんじゃ
１ある宗教に対し信仰をもつ者。また、その宗教集団の成員。信徒。
２ある人物に傾倒して、その言説・思想などを熱心に信奉する人。</t>
        </is>
      </c>
      <c r="D4235" t="inlineStr">
        <is>
          <t>信者達(3%)；信者数；信者以外；信者同士；信者獲得</t>
        </is>
      </c>
      <c r="E4235" t="inlineStr">
        <is>
          <t>信徒；手下；教徒；子分；主義者</t>
        </is>
      </c>
      <c r="F4235" t="inlineStr">
        <is>
          <t>熱心な信者；キリスト信者；在家信者；プロテスタント信者；元信者</t>
        </is>
      </c>
      <c r="H4235" t="n">
        <v>29</v>
      </c>
      <c r="I4235" t="inlineStr">
        <is>
          <t>ジョーンズは、何十人かのほぼ白人で構成された信者達に囲まれていた。；また、父が熱心に勧めた影響で兄の彬も生長の家の熱心な信者になった。；キリスト教を積極的に保護し、豊後国の信者は3万人を超えたとされる。；通常はパンのみだが、場合によっては信者もぶどう酒を飲むこともある。；この組織は1930年代から存在し、現在は100人ほどの信者がいる。；ギルガメス・バララント双方の国家に多くの信者を持つ巨大な宗教結社。；一方で、父と同じくキリスト教に大きな興味を示して信者を手厚く保護した。；そのため、今でも人々のほとんどが、ローマ・カトリックの信者である。；ここでいう「教会」とは建物のことではなく「信者の集団」のことである。；教義上の理由により、決められた一部の幹部信者しか入ることが出来ない。；信者数は世界に1000万から2000万の間だと推定されている。；また、ポーランド・ドイツ・カナダ・アメリカにも夥しい信者がいる。；一般信者は、家族であっても、その者との付き合いや挨拶なども制限される。；信者は、自宅にご神体を奉斎し、家と、その家がある地域の幸福を願う。；その状態のおひかり、またはその信者の状態を指す言葉としても使われる。；オウム真理教には、ヨーガがきっかけになって入信した信者が多かった。；この場所はその後、急速に増加した信者やゲストの集会所として利用された。；家族は敬虔な信者であったが、ハウスドルフは強い不可知論者となった。；宗教的な書物は押収され、信者が姿を消したケースも少なくない。；多くの教会では、信者に定期的に典礼に参加することを奨励している。；これは信者が早く救われて天国に与れるように、との祈願の表れである。；五戒は男性信者および女性信者の両者に適用され、内容は以下である。；宗教の熱心な信者にとって、避妊は性の本来のあり方に反するとされる。；もちろん彼の両親もエホバの証人であり、親族にも多くの信者が居る。；急速な信者数の増加に伴って、二代目のかなり大きな教会堂が必要となった。；浄霊を受けない未信者は、縁なき衆生として布教対象にはならなかった。；信者はおひかりを首にかけることで浄霊を行うことが可能になる。；上記の他にも数多くの神々が知られており、それぞれに信者や司祭も存在する。；神道信者や神道施設の数は、日本の宗教の中で最大だと言われている。</t>
        </is>
      </c>
      <c r="J4235">
        <f>HYPERLINK("https://www.weblio.jp/content/信者", "词义详情")</f>
        <v/>
      </c>
      <c r="K4235">
        <f>HYPERLINK("https://yourei.jp/信者", "查看例句")</f>
        <v/>
      </c>
    </row>
    <row r="4236">
      <c r="A4236" t="inlineStr">
        <is>
          <t>神社</t>
        </is>
      </c>
      <c r="B4236" t="inlineStr">
        <is>
          <t>成功</t>
        </is>
      </c>
      <c r="C4236" t="inlineStr">
        <is>
          <t>読み方：じんじゃ
神道の神を祭り、祭祀(さいし)や参拝のための施設のある所。また、その建物。やしろ。おみや。</t>
        </is>
      </c>
      <c r="D4236" t="inlineStr">
        <is>
          <t>神社境内；神社名；神社側；神社周辺；神社本殿</t>
        </is>
      </c>
      <c r="E4236" t="inlineStr">
        <is>
          <t>社；神殿；聖堂；大宮；殿堂</t>
        </is>
      </c>
      <c r="F4236" t="inlineStr">
        <is>
          <t>鎮座する神社；当神社；同神社；大山祇神社；新羅神社</t>
        </is>
      </c>
      <c r="G4236" t="inlineStr">
        <is>
          <t>神社本庁；神社参拝；神社建築；神社神道；神社合祀</t>
        </is>
      </c>
      <c r="H4236" t="n">
        <v>29</v>
      </c>
      <c r="I4236" t="inlineStr">
        <is>
          <t>当神社の境内には、硫黄鳥島からの移住を記念した碑が建立されている。；この靖国神社への公式参拝がどんな形になるか神社界で注目されている。；多くの神社で祭神としているスサノオと習合している例が多数見られる。；神祇官に登録されている神社とされていないものに分けられている。；故に現在も神社脇に旧寺の墓地が存在する、珍しい状態となっている。；これらは当時朝廷から重視された神社であることを示している。；その為か神社の建物に菊の紋章が入っていない珍しい神社でもある。；水木しげるとの神社の骨董市での最後の遭遇時のエピソードなどを語る。；真言宗に属している神宮寺が廃されて、神社に改められることもあった。；もはや用済みとなった後藤新平像は、長年神社の境内に放置され続けた。；解体された精進屋は茅野市内にある別の神社の社殿として再利用された。；このような配置の神社は「下り宮」・「下り参りの宮」と呼ばれている。；また、地方の神社や地方誌の中にも上記の文献群には見られない伝承を残している。；という歌を引き後に穴師神社が建てられ祀ることとなったと考察する。；男女神社前の丘にはこれを記念する碑が建てられている。；神宮寺は神社に建てられた寺院のことで、神仏習合の初期段階で登場した。；そのため、一つの神社には必ず一人の宮司を置かなければならないとしている。；このような場所は寺や神社が所有していたり、近隣共同体の共有財産であったりした。；各神社は国家が管理する台帳の一種である神社明細帳に登録された。；なお四角い土俵は各地の神社や南部相撲などに現存し使用されている。；政治ばかりで家庭に無関心な父親を嫌い、祖父の神社に家出している。；この神社の他にも西区内や明石市には所縁を称する神社が数多くある。；為朝の息子とされる実久三次郎のお墓が残っており、神社も建てられている。；三山それぞれの山頂に神社があり、これらを総称して出羽三山神社という。；同時に祭神不明の一千余りの神社を廃止することを決定した。；このように、社殿のない神社が本来の形式であったと考えられる。；戦後、これら神社系3団体を母体として設立されたのが神社本庁である。；駿河湾に面した久能山の南斜面に設けられた表参道を登った上に神社がある。；以前は能舞台は神社等に作られ、舞台の屋根が青天井に晒されていた。</t>
        </is>
      </c>
      <c r="J4236">
        <f>HYPERLINK("https://www.weblio.jp/content/神社", "词义详情")</f>
        <v/>
      </c>
      <c r="K4236">
        <f>HYPERLINK("https://yourei.jp/神社", "查看例句")</f>
        <v/>
      </c>
    </row>
    <row r="4237">
      <c r="A4237" t="inlineStr">
        <is>
          <t>真珠</t>
        </is>
      </c>
      <c r="B4237" t="inlineStr">
        <is>
          <t>成功</t>
        </is>
      </c>
      <c r="C4237" t="inlineStr">
        <is>
          <t>読み方：しんじゅ
アコヤガイ・シロチョウガイなどの体内にできる球状の物質。体内に入り込んだ異物に分泌液が層状に沈着して作られる。天然に産するが、養殖も盛ん。銀白色の光沢があり宝石として珍重される。パール。</t>
        </is>
      </c>
      <c r="D4237" t="inlineStr">
        <is>
          <t>真珠色(8%)；真珠採取；真珠塔；真珠王；真珠玉</t>
        </is>
      </c>
      <c r="F4237" t="inlineStr">
        <is>
          <t>養殖真珠；小さな真珠；パール真珠；真円真珠；敏感な真珠</t>
        </is>
      </c>
      <c r="G4237" t="inlineStr">
        <is>
          <t>真珠湾攻撃；真珠貝；真珠養殖；真珠郎；真珠の首飾り</t>
        </is>
      </c>
      <c r="H4237" t="n">
        <v>29</v>
      </c>
      <c r="I4237" t="inlineStr">
        <is>
          <t>その名前や見た目の通り、一生に一度最高の真珠を作ると言われている。；アコヤガイの形をしていて、このケースに入れた物は何でも真珠になる。；それらの中央と外側の枝は通常は葉であるが、他は真珠が先端に置かれる。；山に登って玉を採るものがあれば、海に入って真珠を採るものもいます。；このことがきっかけで本格的に真珠の養殖を始めることになったとされる。；牡蠣についた真珠のように、娘の涙は彼女の価値を高めるばかりでした。；真珠の台座に非常報知の電気仕掛けがあろうとは、夢にも知らなかった。；又ある一部の人々には真珠を持つて居ると命が危ないといふ迷信がある。；科学的な鑑別によって、真珠の美しさを判断するのは困難だからである。；その真珠はもう穴を穿けてつなぐより他にどうすることもいらないのだ。；強いて申せば、その眼が真珠のような光だったと云うほかにございません。；「テキサスで真珠屋でもやるさ」とのコメントを残して帰国したという。；仲間は、一列に並べた黒い真珠のように、同じ道をぞろぞろ歩いていた。；自分はその中にある真珠の指環を手に取って、ふんと云いながら眺めた。；和名の由来は果実が丸くて白いのを真珠に似ているとすることによる。；それもあってか真珠の日常生活には今一つ張り合いのなさを感じていた。；実際、真珠は処女の純粋さを示唆し、ルビーは愛の赤色を示唆している。；一体その多数の真珠を、レッドは何処に隠して持っていたのだろう。；集落は島の西部にあり、東部は真珠工場と畑が点在する程度である。；ルミナはシラおばさんから家の外で真珠の魔法を使うことを禁じられた。；かぼそく白い網のやうな繊維の袋のなかに照り映えてゐる真冬の真珠玉。；それから町のまわりには、真珠や金で出来た壁が立っているの。；古来の伝説に於てすら語られたことのない巨大な真珠であった。；そしてその中からすぐれた真珠の玉のやうな宝をつかんだと思つた。；相当の大籠に、真珠色に光って、山盛りになっていたことだけを覚えている。；でも、その花びらというのが、一枚一枚、真珠を半分にしたものでした。；それは、乙のところのたいからも真珠は出なかったかと聞きにきたのであります。；逆に真珠のように日本国内よりも海外の方が高額で取引される宝石も存在する。；すると甲のほうのたいの腹から小指の先ほどの真珠が飛び出したのであります。</t>
        </is>
      </c>
      <c r="J4237">
        <f>HYPERLINK("https://www.weblio.jp/content/真珠", "词义详情")</f>
        <v/>
      </c>
      <c r="K4237">
        <f>HYPERLINK("https://yourei.jp/真珠", "查看例句")</f>
        <v/>
      </c>
    </row>
    <row r="4238">
      <c r="A4238" t="inlineStr">
        <is>
          <t>人種</t>
        </is>
      </c>
      <c r="B4238" t="inlineStr">
        <is>
          <t>成功</t>
        </is>
      </c>
      <c r="C4238" t="inlineStr">
        <is>
          <t>読み方：じんしゅ
１人類を骨格・皮膚・毛髪などの形質的特徴によって分けた区分。一般的には皮膚の色により、コーカソイド（白色人種）・モンゴロイド（黄色人種）・ニグロイド（黒色人種）に大別するが、この三大別に入らない集団も多い。
２人をその社会的地位・生活習慣・職業や気質などによって分類していう言い方。「仕事を生きがいとする—」</t>
        </is>
      </c>
      <c r="D4238" t="inlineStr">
        <is>
          <t>人種間(4%)；人種問題(3%)；人種的(2%)；人種隔離；人種分離</t>
        </is>
      </c>
      <c r="E4238" t="inlineStr">
        <is>
          <t>民族；部族；種族；エスニックグループ</t>
        </is>
      </c>
      <c r="F4238" t="inlineStr">
        <is>
          <t>様々な人種；同じ人種；あらゆる人種；さまざまな人種；機械人種</t>
        </is>
      </c>
      <c r="G4238" t="inlineStr">
        <is>
          <t>人種的；人種主義；人種差別主義；人種隔離政策；人種的偏見</t>
        </is>
      </c>
      <c r="H4238" t="n">
        <v>29</v>
      </c>
      <c r="I4238" t="inlineStr">
        <is>
          <t>人間の場合は人種または民族の異なる父母の間に子が生まれることを指す。；人種あるいは地域によるこのような差がなぜ生じたのかは不明である。；これらの領域が、民族・人種集団間の格差の原因として提案されている。；大きな発展や改善の時期を過ごした彼は、全ての人種に入学の機会を与えた。；特に人間を指してこのように呼ぶ場合は、人種・民族等の区別が前提となる。；なぜ人間は人種に敏感なのかを説明する仮説は大きく分けると三つある。；彼は人種の感覚を鈍らせた原因としてキリスト教と民主主義を批判した。；人種別統計は長くとられておらず、そうした調査も実施されていない。；また、同じ役を全く異なる人種や民族の俳優で再演することもよくあった。；それは深刻な人種問題を抱えていた当時のアメリカでは画期的なことであった。；ジョーは血統や人種に関係なく信頼がおける者は組織に加えていった。；両親の人種や民族に関係なく、一般的に子供はどのような言語でも獲得できる。；サン=ドマングの革命で、様々な人種の人々が大量に植民地を脱出した。；それぞれのキャラクターは背の高さや肌の色が異なり、人種の差を表現している。；MLBのみならず、人種差別問題そのものへ与えた影響も非常に大きい。；この人種に属する人々は一般に濃い褐色の髪を持ち、瞳の色もそれに伴う。；さらに同年、学校を人種分離することを要求する法が認められた。；また、一般に濃い色の肌の人種と関連している黒い髪の遺伝子もある。；人に用いる場合は、人種を問わず植民地で生まれた者はクレオールと呼ぶ。；同一人種間の日本と海外での患者割合の差は、食生活の違いにあるとされる。；フィンマルクには3つの人種集団が存在しており、長い歴史を持っている。；この過程で伝統的な人種観に科学的根拠のないことが明らかにされていくことになる。；一方でビュフォンは機能的な分析をし、人類の進化や人種に影響を持った。；世代を重ねて混血が進んだため、人種集団をはっきり区分することはできない。；黒人は、通俗的人種概念の一つで、肌の色が濃色で黒に近い人種の総称。；ファシストの運動は通常、国家や人種や社会の視点に社会進化論を持つ。；「ピグミー」は、一般的には矮小な人種や動物に適用される用語である。；人種混合バンドであることがザ・ヴィスケインズをいかした存在にした。；また、狩猟をその手段としていた民族や人種にも犬肉食の忌避が存在する。</t>
        </is>
      </c>
      <c r="J4238">
        <f>HYPERLINK("https://www.weblio.jp/content/人種", "词义详情")</f>
        <v/>
      </c>
      <c r="K4238">
        <f>HYPERLINK("https://yourei.jp/人種", "查看例句")</f>
        <v/>
      </c>
    </row>
    <row r="4239">
      <c r="A4239" t="inlineStr">
        <is>
          <t>心中</t>
        </is>
      </c>
      <c r="B4239" t="inlineStr">
        <is>
          <t>成功</t>
        </is>
      </c>
      <c r="C4239" t="inlineStr">
        <is>
          <t>読み方：しんじゅう
［名］(スル)
１相愛の男女が合意の上で一緒に死ぬこと。情死。相対(あいたい)死に。
２複数の者が一緒に死ぬこと。合意なしに相手を道連れにして死ぬ場合にもいう。「一家—」「無理—」
３ある物事と運命をともにすること。「商売と—する」
４人に対して義理を守ること。
「—が立たぬと思ひ、親へ便りもせずに帰る」〈浄・歌念仏〉
５愛し合っている男女が指や髪を切ったりして、愛情の変わらないことを示すこと。また、その証(あかし)。
「女郎の—に髪を切り爪をはなち」〈浮・一代男・四〉</t>
        </is>
      </c>
      <c r="D4239" t="inlineStr">
        <is>
          <t>心中事件(3%)；心中ひそか(2%)；心中未遂；心中しよ；心中穏やか</t>
        </is>
      </c>
      <c r="E4239" t="inlineStr">
        <is>
          <t>考え；思い；気持ち；意見；意</t>
        </is>
      </c>
      <c r="F4239" t="inlineStr">
        <is>
          <t>偽装心中；今戸心中；無理心中；鳥辺山心中；母子心中</t>
        </is>
      </c>
      <c r="G4239" t="inlineStr">
        <is>
          <t>心中立て；心中物；心中もの；心中立；心中天の網島</t>
        </is>
      </c>
      <c r="H4239" t="n">
        <v>29</v>
      </c>
      <c r="I4239" t="inlineStr">
        <is>
          <t>心中した2人は近所でも仲がいいと評判の夫婦だったが子供はなかった。；彼はこの分ならまだ五六年は生き堪へられるぞと、心中で呼ぶのだつた。；親一人子一人だから期待が大きいらしく、母親の心中がわかる気がした。；心中者や武将などの死者の霊が火の玉に姿を変えたものとする伝承が多い。；と心中に快哉を叫んだ時、廊下に面した障子が開いて人がはいって来た。；彼は心中をやりそこねるまでは独身だつたが、その後女房を五人かへた。；ところがそれまでになつたステパンの心中には満足の出来ない事があつた。；彼女に会うときの健三が、心中迷惑を感じたのは大部分この口にあった。；こんなのが江戸っ子なら江戸には生れたくないもんだと心中に考えた。；家康はその正義を信仰し、その父を心中ひそかに英雄化してはぐくんだ。；心中するほどの二人がなぜ俄かにそんな叩き合いの喧嘩を始めたのだろう。；だがその心中は、故郷に対する捨て切れぬ思いと将来への不安に揺れる。；小百合を捨て別の女性と付き合い始めた淳一郎は女と心中してしまう。；そして亨一の心中を想ひやつて氣の毒に思ふ心のみが先に立つて居た。；このような場合が、私をして二つの文明を心中で比較させ続ける。；そして、二人はボーム峡谷から身投げして心中してしまったのだという。；左多六は驚いたが、心中で巻物を持ってきていないことを思いついた。；その時の愉快は今思い出しても心中の俗塵を洗い去るの感がございます。；最初の目的が達せられるかと思ふと心中窃に悦ばしさを禁じえなかつた。；レーザーディスクと心中する気持ちは、萩野さんにはありませんでした。；そして亨一の心中を想ひやつて気の毒に思ふ心のみが先に立つて居た。；「どうしたんでしょうねえ、心中でしょうか」と、彼女は小声で訊いた。；ルーベンス風の牧歌的風景は、愛の巡礼たちの心中を表したものである。；いや独白というよりも、心中の考えをそのまま声に現わしているものらしい。；その数日前のことだが、ぼくのいる宿に泊った若い女の二人連れが心中した。；なんという考えがその折わたしの心中に生じたことでしょう!；そして半年以上におよぶ入念な準備の末、夫妻の結婚記念日に心中した。；しかしよくよく見ればこの乞食女は誰の心中にも居るのである。；その辺から見ても、家康の心中には、何か期するところがあったに相違ない。</t>
        </is>
      </c>
      <c r="J4239">
        <f>HYPERLINK("https://www.weblio.jp/content/心中", "词义详情")</f>
        <v/>
      </c>
      <c r="K4239">
        <f>HYPERLINK("https://yourei.jp/心中", "查看例句")</f>
        <v/>
      </c>
    </row>
    <row r="4240">
      <c r="A4240" t="inlineStr">
        <is>
          <t>進出</t>
        </is>
      </c>
      <c r="B4240" t="inlineStr">
        <is>
          <t>成功</t>
        </is>
      </c>
      <c r="C4240" t="inlineStr">
        <is>
          <t>読み方：しんしゅつ
［名］(スル)進み出ること。新しい方面や分野に進み出て、活動領域を広げること。「準決勝に—する」「海外市場へ—する」</t>
        </is>
      </c>
      <c r="D4240" t="inlineStr">
        <is>
          <t>進出する(12%)；進出でき；進出しよ；進出企業；進出争い</t>
        </is>
      </c>
      <c r="E4240" t="inlineStr">
        <is>
          <t>進行；進み；広がる；進歩；前進</t>
        </is>
      </c>
      <c r="F4240" t="inlineStr">
        <is>
          <t>初進出；ワールドシリーズ進出；準々決勝進出；日本シリーズ進出；ポストシーズン進出</t>
        </is>
      </c>
      <c r="H4240" t="n">
        <v>29</v>
      </c>
      <c r="I4240" t="inlineStr">
        <is>
          <t>また米国人と米国企業は世界のあらゆるところに進出して活動している。；また近年看護系の専門学校も進出し学生の町としての発展も期待される。；ワーナー・マイカルの進出当初は業界内では失敗するものと思われていた。；当駅の周辺には大学の進出があり、また駅周辺の宅地化も進んでいる。；平成時代に日本は独自で軍事的に再び海外に進出するようになった。；ゼムノヴィッチ体制初の大会となった天皇杯は2大会ぶりに決勝に進出した。；また、本作の受賞は日本映画産業が国際市場に進出する契機となった。；しかしこのころには、すでにヨーロッパ列強がこの地域に進出を開始していた。；この成功に活気付けられて任天堂はすぐに北米市場への進出を考えた。；これらは人類が宇宙に進出してから少しずつではあるが、前者に比べて成果を挙げている。；イギリスのインド進出に最後まで抵抗したのがシク王国である。；またフランス軍がピレネーに進出し、ドイツ方面へ軍を派遣できなかった。；市原市では特に石油産業などの化学工業を主とする企業の進出が多い。；またインド系商人も南アフリカ内部の流通業に進出、現地経済を支えた。；この他に政治が強く関与した経済的進出としては、鉄道の建設が挙げられる。；また、宗氏は戦国時代には壱岐に進出した松浦氏との対立がはじまった。；ほぼすべてが淡水産であるが、ごく一部に汽水域に進出する種類が知られる。；天皇杯でも東京ガス時代の1997年以来となるベスト4へ進出した。；内戦からの急速な復興を受けて、中印など外国企業の進出も盛んである。；この時期からテレビ界にも進出し、テレビドラマにも時折ゲストで出演した。；日本の自動車メーカーが複数進出して製造販売を行っている。；現代音楽への進出は、原田力男の推薦にもかかわらず成功しなかった。；上記はステージ進出ごとに加算されることを意味している。；節足動物は様々な生息環境に進出しており、それに応じた多様な呼吸様式がみられる。；この運河は中国の主要河川2本をつなぐことで秦の南西進出を支えた。；その他の分野にも多角的に進出しながら現在に至っている。；以後工場誘致は順調に進み、市内各地に大企業の大型工場が進出した。；最近、マイクロソフトがこの分野に進出することを発表している。；遥かな未来、銀河に進出した人類は、二大陣営に分かれて戦っていた。</t>
        </is>
      </c>
      <c r="J4240">
        <f>HYPERLINK("https://www.weblio.jp/content/進出", "词义详情")</f>
        <v/>
      </c>
      <c r="K4240">
        <f>HYPERLINK("https://yourei.jp/進出", "查看例句")</f>
        <v/>
      </c>
    </row>
    <row r="4241">
      <c r="A4241" t="inlineStr">
        <is>
          <t>心情</t>
        </is>
      </c>
      <c r="B4241" t="inlineStr">
        <is>
          <t>成功</t>
        </is>
      </c>
      <c r="C4241" t="inlineStr">
        <is>
          <t>読み方：しんじょう
心の中にある思いや感情。「被災者の—を察する」「—的には賛成だ」</t>
        </is>
      </c>
      <c r="D4241" t="inlineStr">
        <is>
          <t>心情的(6%)；心情描写；心情表現；心情吐露；心情を打ち明け</t>
        </is>
      </c>
      <c r="E4241" t="inlineStr">
        <is>
          <t>感じ；思い；気持；気持ち；感情</t>
        </is>
      </c>
      <c r="F4241" t="inlineStr">
        <is>
          <t>そんな心情；そういう心情；たいという心情；やさしい心情；苦しい心情</t>
        </is>
      </c>
      <c r="H4241" t="n">
        <v>29</v>
      </c>
      <c r="I4241" t="inlineStr">
        <is>
          <t>なので、その風景や心情を楽曲に出来ないかと思って作ったんですよね。；心情がぼんやりしてるのは、私よりもむしろ彼の方だったではないか。；幸いにも心情を授かっていない人たちには人生は安楽だ、と彼は考えた。；あるひは其を為たら、自分の心情が先輩の胸にも深く通じたらうものを。；キリスト教的なものと、反対のものとは人間の心情で感じ分けられる。；藤堂平助の心情を中心に、それぞれの戦いや仲間への想いを描いている。；漫画を構成する要素の一つで、効果音から人の心情まで幅広く表現する。；それを書くのだから、なにかそこにはおのずから心情の温かみがあろう。；詞のあちこちに親が我が子の成功を祈る心情が事細かに描写されている。；勘当はされても子は親を、親は子を思い続ける複雑な心情を描いた人情噺。；平易な言葉を使い、誰でも一度は心に思ったことがある心情を表現している。；ちなみに歌詞は女の子の心情を表現したフレーズをつぎはぎして書かれた。；歌詞の内容は、自分の中で相反する心情の葛藤を描いたものとなっている。；またそれぞれの機嫌に応じて各キャラクターの心情も変化していく。；映画では描写されなかった設定やシーン、登場人物たちの心情などが描かれる。；法隆寺金堂釈迦像はそういう心情を見事に示しているのではなかろうか。；初デートの朝から夜までの女性の揺れ動く心情を表現して作られた曲である。；そこでは庶民の生活・心情・思想などが出版物や劇場を通じて表現された。；そういうものに触れない抽象的な宗教的心情や信仰はあり得ないからだ。；歌詞は、「世界中を敵にしても君を守る」という男性の心情を描いたもの。；むろん私たち西洋人にも、日本の善良な娘の心情のいくらかは分かる。；あるいはまた、諸君がその愛他的な心情からついにつぎのように言うだろうか。；男性のアカデミー会員には男性を求めない女性の心情が理解できなかったのだという。；結局、原告被告双方の間で心情的に歩み寄ることはなく訴訟は終了した。；どちらの楽曲にも共通して登場人物の将棋に対する心情が込められている。；表題曲の歌詞は水商売で働く彼女に嫉妬する男性の心情を描いている。；妻や娘の手になる音曲を聞かせて、心情を和らげようという作戦であった。；この時の心情がどうだったか説明することができない。；しかし心情面では靖国神社問題に関連して関係が悪化している。</t>
        </is>
      </c>
      <c r="J4241">
        <f>HYPERLINK("https://www.weblio.jp/content/心情", "词义详情")</f>
        <v/>
      </c>
      <c r="K4241">
        <f>HYPERLINK("https://yourei.jp/心情", "查看例句")</f>
        <v/>
      </c>
    </row>
    <row r="4242">
      <c r="A4242" t="inlineStr">
        <is>
          <t>信じる</t>
        </is>
      </c>
      <c r="B4242" t="inlineStr">
        <is>
          <t>成功</t>
        </is>
      </c>
      <c r="C4242" t="inlineStr">
        <is>
          <t>読み方：しんじる
［動ザ上一］「しん（信）ずる」（サ変）の上一段化。「無罪を—・じる」</t>
        </is>
      </c>
      <c r="D4242" t="inlineStr">
        <is>
          <t>信じるなら(2%)；信じるしかない；信じるだろ；信じるべき；信じる信じない</t>
        </is>
      </c>
      <c r="E4242" t="inlineStr">
        <is>
          <t>思う；信用；信ずる；信じ込む；信じこむ</t>
        </is>
      </c>
      <c r="F4242" t="inlineStr">
        <is>
          <t>そのまま信じる；固く信じる</t>
        </is>
      </c>
      <c r="H4242" t="n">
        <v>29</v>
      </c>
      <c r="I4242" t="inlineStr">
        <is>
          <t>我が国の国民がこのようなゲームを買うなどとはとても信じられません。；本気で神になると信じていた訳ではなく、彼の最後のユーモアであった。；この際にはラウラが解放の際に殺害されたと信じるようになったという。；しかしその拙さゆえに人は簡単に信じてしまうものだと、指摘している。；彼は自分のメッセージが西洋世界に特別な意味を持っていると信じていた。；人間は悪に染まらず神に帰還するように選択するべきだと信じられている。；神の命令がこの宇宙において最後の結果を支配していると信じている。；それ以外では登場人物は明らかな信じ難いことにも全く沈黙している。；それでもゲーリングは自分が直接英国へ行けば状況は変わると信じていた。；ムーアの法則は技術のすべての形を予測すると共通に信じられている。；その裁判の正当性は当時でも疑問とされ、冤罪であると信じられている。；かつてこの楽器には魔力があると信じられ、戦場の軍楽隊で使用された。；一部の人々はソフトウェア工学が計算機科学の一部であると信じている。；ダニッチでもっとも古い建物でインディアンが作ったと信じられている。；連合軍の司令官や兵士たちはこの様子を見て撤退の準備であると信じた。；多くの民衆は松永久秀の策動が背景にあったことを信じて疑わなかった。；ヨーロッパの中世では広く神の存在が信じられ、神を疑う人は稀であった。；火や血の色である赤は古来から魔除けの効果があると信じられていた。；東洋学者たちは彼が、記録したすべての街を訪れたとは信じていない。；私はそこまで日本を開かない限り日本自体の延命はありえないと信じる。；ハッチンソンは信仰だけが魂の救済に必要であると信じる傾向にあった。；また、信じているとも信じていないとも断言できないと言う人もいる。；金属を変質させる可能性を信じており、そのための実験も行っている。；これは色眼鏡で見ると、見たままを信じてしまうことを表現している。；この形式を発明したのはフランチェスコ・ベルニだと信じられている。；ただし、それを信じることができるかできないかが問題なのだという。；ほとんどの記者やファンは連続試合出場による疲れだと信じていた。；変化されることができると皆が信じるなら、香港は必ず変わるだろう。；過去、熱に関してはその源として熱素なるものの存在が信じられていた。</t>
        </is>
      </c>
      <c r="J4242">
        <f>HYPERLINK("https://www.weblio.jp/content/信じる", "词义详情")</f>
        <v/>
      </c>
      <c r="K4242">
        <f>HYPERLINK("https://yourei.jp/信じる", "查看例句")</f>
        <v/>
      </c>
    </row>
    <row r="4243">
      <c r="A4243" t="inlineStr">
        <is>
          <t>心身</t>
        </is>
      </c>
      <c r="B4243" t="inlineStr">
        <is>
          <t>成功</t>
        </is>
      </c>
      <c r="C4243" t="inlineStr">
        <is>
          <t>読み方：しんしん
《古くは「しんじん」とも》こころと、からだ。精神と身体。「—を鍛える」「—ともに疲れる」</t>
        </is>
      </c>
      <c r="D4243" t="inlineStr">
        <is>
          <t>心身共(6%)；心身制御；心身障害児；心身両面；心身鍛錬</t>
        </is>
      </c>
      <c r="F4243" t="inlineStr">
        <is>
          <t>全心身；心身合一；健康な心身；重症心身障がい児；心身鍛練</t>
        </is>
      </c>
      <c r="G4243" t="inlineStr">
        <is>
          <t>心身問題；心身障害者；心身医学；心身二元論；心身喪失</t>
        </is>
      </c>
      <c r="H4243" t="n">
        <v>29</v>
      </c>
      <c r="I4243" t="inlineStr">
        <is>
          <t>人間には心身ともに癒やし要素を持つものが本質的には受け入れられる。；彼がそうすると、心身の疲れが一時にそこへ寄り集るもののように見えた。；参拝する前に、本来は神の前に向かう前に心身を清める禊が必要である。；この見方では心身は独立して並行しているが、本質としては一つである。；また、同作品の舞台にも参加し、同じく今井監督に心身共に鍛えられた。；起源は仏教にあるが、宗教的問題の解決ではなく、心身の健康に応用した。；香りの心身への影響も知られ、精油を用いた治療も古くからおこなわれた。；赤髪にして心身ともに健全な二十一歳以上の男性は誰でも資格あり。；やがて結婚した二人は、錠一郎の心身を考慮して心機一転京都に移住。；また、宇宙の運行が人間の運命と心身に影響すると考えていた。；豊かな心と自ら学ぶ力を育み、心身ともに健康な子どもを育成する。；下記の基準で疾病・心身障害は代表的なものや知られているものを中心に記述している。；また普段と同じ食事をすることで心身を落ち着かせる効果もある。；心身両面に安定感を身に付けて大分在籍時から続いた守備の粗さを克服。；羽田自身も流産後の分娩で生死の境を彷徨うほど心身に負担がかかった。；心身統一合氣道はその名のとおり、心身統一道と合氣道の二つからなる。；だが、彼は心身ともに疲れきってしまい、今では薬漬けの日々を送っていた。；ブラック企業に働き続けた主人公は、とうとう心身が崩れてしまった。；当時の中国は戦乱が続き民衆は飢えと疲労で心身ともに疲弊しきっていた。；また、心身の成長と共に、前述の症状が消えて行くケースも見られる。；そして母の予見通り、かの女は身の丈優れ心身共に強靭な女性となった。；合氣道は心身統一道で学んだことを体現化するものと位置づけられている。；心身ともにそれで完全に充実していたから、それ以外にはなにも必要ではなかった。；中学2年生の時に絵を描き始め、絵にして吐き出すことで心身を整理を行う。；これらの行為で職員が心身に不調を来すなどするようになった職員もいたとされる。；安全な室内では、心身ともに平静な状態であり、容易に理解、納得できる。；人間尊重の精神を基調とし、心身ともに健康で個性豊かな人間を育成する。；赤鬼役に決まった者は、心身を清めるために行動に一定の制限が加えられる。；家庭の料理が滅びることは、それだけ心身ともに不健康な人間が多くなることだ。</t>
        </is>
      </c>
      <c r="J4243">
        <f>HYPERLINK("https://www.weblio.jp/content/心身", "词义详情")</f>
        <v/>
      </c>
      <c r="K4243">
        <f>HYPERLINK("https://yourei.jp/心身", "查看例句")</f>
        <v/>
      </c>
    </row>
    <row r="4244">
      <c r="A4244" t="inlineStr">
        <is>
          <t>新人</t>
        </is>
      </c>
      <c r="B4244" t="inlineStr">
        <is>
          <t>成功</t>
        </is>
      </c>
      <c r="C4244" t="inlineStr">
        <is>
          <t>読み方：しんじん
１新しく加わった人。新しく登場した人。「—を発掘する」「—歓迎コンパ」「—選手」
２現在の人類と知能・身体がほぼ共通する人類。クロマニョン人など更新世後期の化石現生人類および現在の我々をふくむ人類の総称。ホモ‐サピエンス‐サピエンス。→猿人→原人→旧人2→化石人類
３キリスト教で、過去の罪悪を悔い改めて新しい信仰生活に入った人。</t>
        </is>
      </c>
      <c r="D4244" t="inlineStr">
        <is>
          <t>新人選手(4%)；新人作家(2%)；新人監督；新人発掘；新人俳優</t>
        </is>
      </c>
      <c r="E4244" t="inlineStr">
        <is>
          <t>若手；初心者；ルーキー；まだ若い；新入生</t>
        </is>
      </c>
      <c r="F4244" t="inlineStr">
        <is>
          <t>新人アーティスト；新人候補；公募新人；新人育成；新人漫画賞</t>
        </is>
      </c>
      <c r="G4244" t="inlineStr">
        <is>
          <t>新人王；新人戦；新人類；新人公演；新人王戦</t>
        </is>
      </c>
      <c r="H4244" t="n">
        <v>29</v>
      </c>
      <c r="I4244" t="inlineStr">
        <is>
          <t>ゲストが歌手のとき以外の番組でかける曲は極力新人歌手を選んでいる。；この「左ページ」に載ることが新人アーティストの目標ともされていた。；埴谷は、新人作家の発見や紹介推薦に優れた力を発揮したことで知られる。；また、新人獲得時の裏金は、球団経営を圧迫する原因とも言われている。；また非常に稀な例として機動隊での新人隊員教育や訓練も取り上げられた。；新人の失敗というストーリーは放送のための演出と考えるのが妥当である。；交換要員は当時プロとして認められていなかった新人投手金榮光だった。；新人選手の獲得にあたっては契約金の最高標準額が申し合わされている。；さらに新人動画に過ぎなかった宮崎駿をメインスタッフに昇格させた。；新人がレギュラー出演する前に演技のテストを兼ねてカメオ出演している。；最近の検討によると、初期現代型新人の特徴に一致するという。；球団で新人投手が二桁セーブを挙げるのは当時初めてのことだった。；その中で新人時代を過ごしたことが初風の成長に大きな影響を与えたとする評価がある。；授与される賞は正賞が15部門あり、その他に新人俳優賞などがある。；天気予報のBGMには主に新人アーティストの楽曲が使われていた。；したがって、制作未経験の新人を設定制作として採用する会社も比較的多い。；文太さんに文太さんらしさを出すなと言ったんだから、新人以下の扱いよ。；球団本社からの強化費用が予想以上に出ず、新人2選手が加入しただけで終わる。；東大は発行の時点で入部選手が確定しておらず、新人選手の紹介はなかった。；新人タレントへの厳しい演技指導で知られ、数多くの人気タレントを育てた。；企業のどんたく隊は団結力を高めるなど新人社員教育に活用されている。；また、新人作家の育成に力を入れてきたことも特徴である。；ここで戦わされる新人剣闘士たちは最初の戦いで命を落とすことが多かった。；トキワ荘を中心として新人漫画家たちが理想の漫画を描くために集まった。；期待の大型新人と注目されプロデビューしたものの順風満帆とはいかなかった。；この作品でインディペンデント・スピリット賞新人俳優賞を受賞する。；これほどの話題作での演技経験なしの新人の起用は異例であり、話題を呼んだ。；また、番組出身の新人歌手を紹介するデビューコーナーがある。；入団1年目の活躍もあり阪神の球団新人記録を多く保持していた。</t>
        </is>
      </c>
      <c r="J4244">
        <f>HYPERLINK("https://www.weblio.jp/content/新人", "词义详情")</f>
        <v/>
      </c>
      <c r="K4244">
        <f>HYPERLINK("https://yourei.jp/新人", "查看例句")</f>
        <v/>
      </c>
    </row>
    <row r="4245">
      <c r="A4245" t="inlineStr">
        <is>
          <t>人身事故</t>
        </is>
      </c>
      <c r="B4245" t="inlineStr">
        <is>
          <t>成功</t>
        </is>
      </c>
      <c r="C4245" t="inlineStr">
        <is>
          <t>読み方：じんしんじこ
交通事故などで、人が負傷したり死亡したりする事故。</t>
        </is>
      </c>
      <c r="D4245" t="inlineStr">
        <is>
          <t>人身事故等</t>
        </is>
      </c>
      <c r="E4245" t="inlineStr">
        <is>
          <t>事故；交通事故；アクシデント；航空事故；自動車事故</t>
        </is>
      </c>
      <c r="F4245" t="inlineStr">
        <is>
          <t>鉄道人身事故</t>
        </is>
      </c>
      <c r="H4245" t="n">
        <v>29</v>
      </c>
      <c r="I4245" t="inlineStr">
        <is>
          <t>逆を突ければよし、もし同じ方向に避けてしまえば人身事故間違いない。；彼は免許をとったばかりで人身事故を起こし、子供を一人轢き殺していた。；過去にも人身事故を含む交通事故を複数回起こしていたことが分かっている。；また車道をスケートボードで走行していて人身事故に遭う事例も出ている。；なお、これらの事故はもちろん人身事故に数えられるものである。；私は初めての人身事故に動転して、正常な判断力を失っていました。；ここで人身事故を起こしては、数十億の取引が破談になってしまう。；うち人身事故は1件だが、その1件が非常に大規模なものであった。；十年以上前、一度人身事故を起こしてから恐ろしくなって車に乗っていなかった。；死亡事故を2件含む多数の人身事故を起こしていたことが発覚する。；東京都の奥多摩では造林木や家畜への食害、人身事故などが発生している。；またこの踏切では、過去に何度も人身事故や自動車等の立ち往生などが発生している。；しかしここで問題になるのが人身事故である。；そればかりでなく、同様にして人身事故も多い場所だ。；例えば、亀井の車を、誰かが借りて運転し、その時、人身事故を起こす。；人身事故については、開通以来平成17年度末まで1件も発生していない。；とはいっても、人身事故らしきものが発生して、それを無視することができるわけではない。；この際、沿線は大変な騒ぎとなり、復路の運行中に人身事故を起こしてしまった。；人身事故などで岐阜側が不通になると当駅で名古屋方面への折り返し列車が設定されることがある。；刑罰の新設後は、人身事故は過失運転致死傷罪の適用となっている。；やっぱり、JRの人身事故の影響で遅れているのだろうか。；酔っぱらい運転して人身事故にいたらなかったのも、あの状況から考えたら奇跡に近い。；世良が泊りの夜、またしても白石街道付近で人身事故が発生した。；人身事故が発生すると、多くの列車に影響が出る。；駅構内では、人身事故対策のためスピーカーからBGMが流れている。；幸い、運行期間中に人身事故は発生しなかったものの、非常に危険な状態であることには変わりはなかった。；都心から埼玉へと通じている私鉄のN駅で、午後の一時すぎに人身事故があった。；この中でも人身事故のペナルティがもっとも大きく、基本的には一発でリタイアとなる。；さらに追い討ちをかけたのが、同車が引き起こした人身事故であった。</t>
        </is>
      </c>
      <c r="J4245">
        <f>HYPERLINK("https://www.weblio.jp/content/人身事故", "词义详情")</f>
        <v/>
      </c>
      <c r="K4245">
        <f>HYPERLINK("https://yourei.jp/人身事故", "查看例句")</f>
        <v/>
      </c>
    </row>
    <row r="4246">
      <c r="A4246" t="inlineStr">
        <is>
          <t>申請</t>
        </is>
      </c>
      <c r="B4246" t="inlineStr">
        <is>
          <t>成功</t>
        </is>
      </c>
      <c r="C4246" t="inlineStr">
        <is>
          <t>読み方：しんせい
［名］(スル)希望や要望事項を願い出ること。特に、国や公共の機関などに対して認可・許可その他一定の行為を求めること。「ビザを—する」</t>
        </is>
      </c>
      <c r="D4246" t="inlineStr">
        <is>
          <t>申請する(8%)；申請者(3%)；申請書；申請できる；申請すれ</t>
        </is>
      </c>
      <c r="E4246" t="inlineStr">
        <is>
          <t>求め；要求；依頼；要請；願い</t>
        </is>
      </c>
      <c r="F4246" t="inlineStr">
        <is>
          <t>免許申請；登記申請；登録申請；特許申請；適用申請</t>
        </is>
      </c>
      <c r="G4246" t="inlineStr">
        <is>
          <t>申請書類；申請手続き；申請中；申請可能；申請代理</t>
        </is>
      </c>
      <c r="H4246" t="n">
        <v>29</v>
      </c>
      <c r="I4246" t="inlineStr">
        <is>
          <t>実験の結果はかつての結果と一致しており、 元素の登録が申請された。；本鉄道は路線延長を申請または計画したが、いずれも実現していない。；仕様書は申請した者のみに開示され一般には概要のみが公開されている。；RNCPに登録される資格には無条件登録資格と申請後登録資格がある。；申請を法定代理人や任意依頼人に委任する場合は、当日発行はされない。；なお、法人が申請人となる場合、以下の事項も記載しなければならない。；移住者の最初の波だけで州昇格を申請するだけの人口が集まった。；アメリカで連邦倒産法第11章を申請したのはロウズ社だけではなかった。；この局以外にも、首都圏で数局が無線局免許状の申請を準備している。；日本政府は中国の申請はユネスコ記憶遺産の政治利用であると抗議した。；このため鈴木は正式な加盟審査に掛けることなく、申請を握りつぶした。；再三の申請にも関わらず許可がおりず、チーム探しもできない状況が続いた。；申請は9月12日に受理され、申請以来停止していた商品供給を再開した。；本人が日本でのプレー続行を希望したため球団がウェイバー公示申請を行った。；但し、同じ専攻分野であっても専攻区分が異なる場合は申請が可能である。；また、開局の際には1364社の申請があったことでも有名である。；その恩赦の申請が却下されて初めて、刑の執行が可能になったのだという。；また、次のような申請内容と判断される場合は受け付けられない。；これによって、処分対象者からの申請による球界復帰への道が開かれた。；ただし、権利を得た日から2週間以内に申請を行わない場合、権利は消滅する。；婚姻登録の申請は特別な事情がある場合を除き、結婚する1か月前までに行う。；大きな支出が必要な場合は、後見人が家裁に申請してチェックを受ける。；客については、実際に労災補償を申請したケースは確認されなかった。；しかし神中鉄道・湘南電気鉄道と競合していたため、申請は却下された。；以下の学部相当の課程の卒業者は、申請により学士の学位が授与される。；なお、経営の厳しい事業者は先の例外に漏れていても免除申請をすることができる。；設立申請者は、認証基準に合致していることを積極的に疎明する必要がある。；これらの技術は数十年間に 640 以上の特許が申請された。；山岳ガイドの認定を行っていたが、初期には申請するだけで資格を得ることが出来た。</t>
        </is>
      </c>
      <c r="J4246">
        <f>HYPERLINK("https://www.weblio.jp/content/申請", "词义详情")</f>
        <v/>
      </c>
      <c r="K4246">
        <f>HYPERLINK("https://yourei.jp/申請", "查看例句")</f>
        <v/>
      </c>
    </row>
    <row r="4247">
      <c r="A4247" t="inlineStr">
        <is>
          <t>神聖</t>
        </is>
      </c>
      <c r="B4247" t="inlineStr">
        <is>
          <t>成功</t>
        </is>
      </c>
      <c r="C4247" t="inlineStr">
        <is>
          <t>読み方：しんせい
［名・形動］尊くておかしがたいこと。清浄でけがれがないこと。特に、宗教・信仰の対象などとして、日常の事柄や事物とは区別して扱われるべき特別の尊い価値をもっていること。また、そのさま。「—な山」「学問を—視する」→聖(せい)
[派生]しんせいさ［名］</t>
        </is>
      </c>
      <c r="D4247" t="inlineStr">
        <is>
          <t>神聖なる(8%)；神聖なもの(7%)；神聖視(7%)；神聖な場所(3%)；神聖化</t>
        </is>
      </c>
      <c r="E4247" t="inlineStr">
        <is>
          <t>聖；ありがたい；聖なる；尊い；有難い</t>
        </is>
      </c>
      <c r="F4247" t="inlineStr">
        <is>
          <t>神聖な義務；神聖帝国；神聖な動物；神聖王国；神聖騎士団</t>
        </is>
      </c>
      <c r="G4247" t="inlineStr">
        <is>
          <t>神聖ローマ帝国；神聖ローマ；神聖同盟；神聖ローマ帝国軍；神聖文字</t>
        </is>
      </c>
      <c r="H4247" t="n">
        <v>29</v>
      </c>
      <c r="I4247" t="inlineStr">
        <is>
          <t>このような環境下では牛は貴重な財産であり、神聖視されることもある。；記されたテトラグラマトンは特別な神聖さをもって扱われる必要がある。；労働は神の行った行為のひとつであるため、神聖な行為と考えられている。；小林作品に一貫するが、実際には日本統治・支配の神聖化はしていない。；宗教の社会に属する者は、神聖な道具を守り、宗教的な儀式を実施した。；壁には神聖化された聖なる船の前で儀式を行う場面が描かれている。；恋愛至上主義は、精神的な恋愛を神聖視して、肉体的な恋愛は否定する。；世界の多くの地域では、神聖な山として山に対する信仰が生まれている。；高い山は典型的にその付近の住民によって神聖なものとみなされている。；パンと茶はキルギスの文化において非常に神聖なものと考えられている。；主にインドで信仰されているヒンドゥー教では牛を神聖視している。；古くからヨーロッパでは宗教的に神聖な木とされ幸運を呼ぶ木とされてきた。；その事績が仏教徒の間で伝説化し神聖視された痕跡が各地に残されている。；古来より神聖視されてきた井戸で如何なる時にも枯れないと伝えられる。；しかしペルシアの文化では、王権と神聖性は不可分とされたことである。；こうした神聖性の強調は、ナンマトルの例外性と結びつく可能性がある。；法廷に呼び出されたのは、鶏の一件で神聖を汚した行為のためであった。；古では山頂に近づくほどより強い神聖性を持つと考えられてきた。；神聖なモスクの中で流血の事態をもたらすことは禁忌だったからである。；彼は万物は神とつながっていて、そのため万物は神聖であると信じた。；この後の時代にも受け継がれる、神聖視される人物の扱いの定型化も特徴。；一部の地域では、黒竜を他の竜同様に、神聖な存在として祀ってもいる。；ラビが断食や祈祷などの神聖な儀式を行った後、土をこねて人形を作る。；これは、神聖なテキストの解釈に基づく理由が非公共的であるためである。；人間に宿る魂のうち、もっとも神聖な部分が人間のフラワシなのだという。；巻末のデータ集には、戦勝神ユリスカロアの神聖魔法が収録されている。；刀は、神聖視されて神社の神体となったり信仰の対象ともなった。；だが、このことにより国王の神聖性の権威が損なわれる結果となった。；古代には時を告げる鳥として神聖視され、主に愛玩動物として扱われた。</t>
        </is>
      </c>
      <c r="J4247">
        <f>HYPERLINK("https://www.weblio.jp/content/神聖", "词义详情")</f>
        <v/>
      </c>
      <c r="K4247">
        <f>HYPERLINK("https://yourei.jp/神聖", "查看例句")</f>
        <v/>
      </c>
    </row>
    <row r="4248">
      <c r="A4248" t="inlineStr">
        <is>
          <t>人生</t>
        </is>
      </c>
      <c r="B4248" t="inlineStr">
        <is>
          <t>成功</t>
        </is>
      </c>
      <c r="C4248" t="inlineStr">
        <is>
          <t>読み方：じんせい
１人がこの世で生きていくこと。また、その生活。「第二の—を送る」「—を左右する出来事」「—経験」
２人の、この世に生きている間。人の一生。生涯。「芸術は長く—は短い」
[補説]2015年に実施した「あなたの言葉を辞書に載せよう。2015」キャンペーンでの「人生」への投稿から選ばれた優秀作品。◆やり直したいと言う声が多い割に、結構多くの人が満足して終える不思議な旅。ウラノスさん◆なんて不公平なんだろう…って思うけど、それなりに楽しいこともしあわせな事もある。本人しだいで、変わるもの。はるひさん◆なんで生まれてきたのかを探す旅。さっちゃんさん◆リセットのできないオリジナルのRPG（ロールプレイングゲーム）。まーさんさん◆笑い皺をつくること。がちお、さん◆全ての人間に与えられた試練。ただし必ずしも試練は平等では無い。あの頃は…さん◆神様から借りてきたもの。だから全うするまで頑張らなければならない。マーサさん◆たくさんの道、まっすぐでも曲がってもいる。山もあれば、谷も、川もある。行先も違う。あきいさん◆自らが主人公である物語。しかしそのように感じられない人も多い、少し切ない物語。JKさん◆死ぬまでに与えられた時間。こかちだ福さん◆気付いたら始まっている、とてつもなく長い成長の旅。mayuさん◆家族や親友との出会いの場。あつこさん◆選択し決断を繰り返してきた足跡。ぴろこさん◆振り返ることはできるが戻ることはできない。どらみんさん</t>
        </is>
      </c>
      <c r="D4248" t="inlineStr">
        <is>
          <t>人生そのもの；人生論；人生最大；人生初；人生観</t>
        </is>
      </c>
      <c r="E4248" t="inlineStr">
        <is>
          <t>生活；暮らし；生涯；一生；暮し</t>
        </is>
      </c>
      <c r="F4248" t="inlineStr">
        <is>
          <t>長い人生；野球人生；新たな人生；短い人生；どんな人生</t>
        </is>
      </c>
      <c r="G4248" t="inlineStr">
        <is>
          <t>人生経験；人生相談；人生の目的；人生劇場；人生の意味</t>
        </is>
      </c>
      <c r="H4248" t="n">
        <v>29</v>
      </c>
      <c r="I4248" t="inlineStr">
        <is>
          <t>自分の残りの人生はそのためだけに与えられていると思っていたという。；特に初期作品にはアーヴィング本人の人生が反映されているといわれる。；世界中の人々の壮絶人生やあの物語の裏にあった感動の結末などを紹介。；小・中学生の頃が自身の作曲家人生のピークだったと本人が語っている。；彼らは、皆に人生を変えるほどの影響を本作から受けたと語っている。；彼はイギリスで過ごした時間を「僕の人生を形作った」と表現している。；しかし、幕末までは民族の伝統に即した命名のもとに人生を送っていた。；カーネギーは人生を価値あるものとする鍵はフィランソロピーだとした。；ここに至っても二・二六事件は山下の人生に暗い影を投げかけていた。；僕らは声を出すことができないキャラクターの人生を再現するのが仕事です。；マーサはその人生の後半に権利を得た奴隷を解放することはできた。；自然豊かな環境で育ったことが、その後の人生に影響を与えたと言われている。；最初に金田さんと出会えたおかげでいい野球人生を送ることができました。；僕からすれば、ブルーハーツに出会わない人生は想像できないんですよ。；これが晩年に人生を捧げることになるユニセフへの最初の貢献だった。；彼は残りの人生を通して社会改革を訴え続けなければならないと確信していた。；「このまま音楽人生を終わらせてもいいかなと思った」と後に語っている。；彼が亡くなったことはとても寂しいが、彼はとても豊かな人生だったと思う。；しかし、彼は政治家としての活動と俳優としての人生を完全に分けている。；本人曰く「これが人生で最初に作ったドラマである」とのことである。；また娘や息子に迷惑がかからないように人生を終えるといつも言っていた。；その翌日にエステルライヒリンクで出場した人生初のレースで優勝してしまう。；慶喜はこのときが人生で死を覚悟したときの一つだったという。；この敗走は後の伊賀越えと並んで人生最大の危機とも言われている。；この最高善を見いだすことこそ人生の最高の価値である、としたのである。；両親も教育者であったマリは、その人生において多くの人々を教えた。；ボート部で活躍するが、2年になる頃から人生問題に悩むようになる。；藤村のように人生を野球に賭けた男がいたから航路に光が射したのである。；人生初めての鉄道畑以外の仕事であったが、研究者達を大いに励ましたという。</t>
        </is>
      </c>
      <c r="J4248">
        <f>HYPERLINK("https://www.weblio.jp/content/人生", "词义详情")</f>
        <v/>
      </c>
      <c r="K4248">
        <f>HYPERLINK("https://yourei.jp/人生", "查看例句")</f>
        <v/>
      </c>
    </row>
    <row r="4249">
      <c r="A4249" t="inlineStr">
        <is>
          <t>親戚</t>
        </is>
      </c>
      <c r="B4249" t="inlineStr">
        <is>
          <t>成功</t>
        </is>
      </c>
      <c r="C4249" t="inlineStr">
        <is>
          <t>読み方：しんせき
血縁や婚姻によって結びつきのある人。親類。
→親類［用法］</t>
        </is>
      </c>
      <c r="D4249" t="inlineStr">
        <is>
          <t>親戚関係(3%)；親戚筋(2%)；親戚一同；親戚縁者；親戚宅</t>
        </is>
      </c>
      <c r="E4249" t="inlineStr">
        <is>
          <t>家；家族；縁；親；一族</t>
        </is>
      </c>
      <c r="F4249" t="inlineStr">
        <is>
          <t>ご親戚；近い親戚；御親戚；親戚みたい；親戚友人</t>
        </is>
      </c>
      <c r="G4249" t="inlineStr">
        <is>
          <t>親戚故旧；親戚朋友；親戚知友</t>
        </is>
      </c>
      <c r="H4249" t="n">
        <v>29</v>
      </c>
      <c r="I4249" t="inlineStr">
        <is>
          <t>作者一家の顔をみるなり追い返さなければならなかった親戚も不幸である。；幼少の頃から親戚の訪問のために母とともに日本に毎年訪れていたという。；その夜、親戚友人たちは男の家に集まって楽しく酒を飲み、酒歌を歌う。；クローザーで主演をしている女優のキーラセジウィックは親戚にあたる。；長い尾を持ち、全体的に見てイヌの遠い親戚のような外観を想像される。；主な登場人物には以下の親戚関係があるが、これ以外にも多くの親族がいる。；大正8年、父が東京の親戚の事業を手伝うことになり、一家で上京した。；遊んでばかりいるのを心配した親戚の中上川彦次郎による斡旋であった。；その美貌のせいで争いが起こり、親戚縁者の間を転々とする生活が続く。；植民地の家族構成は「核家族」が普通であり、近い親戚は近くに住んだ。；田畑の耕作は許可されていたため、多くは付近の親戚や知人宅を頼った。；博士はトリゲニス一家とは親戚にあたり、捜査の状況を聞きたいという。；生まれてからしばらく、昼間のうちは親戚の家に預けられて育てられていた。；その後、アユは祖母の病気のため新潟の親戚の家に引っ越してしまった。；しかし、兄弟姉妹や親戚の中には長く深い関係を保ち続けた人々もいた。；就任のきっかけは松崎がプロデューサーの親戚であったことである。；同じ姓であるサミー・ソーサとは親戚関係にあることを自称している。；奇跡的に母の妹に対面し、父に連れ戻されないように親戚を転々とした。；たとえば、適当な理由をつけて遠い親戚から金を借りようとすることがある。；多くの北朝鮮市民は、日本の親戚から送金されたお金に依存している。；彼女の男性の親戚の同意を得て、彼女を別の男と結婚させた。；そこでは友人や親戚と狭い家に肩を寄せ合って暮らした。；語源はイロコイ族の言葉に類似しており、イロコイ族とは親戚類に入る。；家族・親戚関係に著名な人物がいる場合もここに記述する。；兵たちはお互いの中に、個人的な友人や戦友、そして親戚を認めたのである。；ユダヤ系の両親や親戚はドイツやオランダからイスラエルに移住した。；この質問に、東京見物に来た親戚一同を案内していたと答える源さん。；長らく本名は金武亭と思われていたが、親戚の証言によれば金炳禧である。；幼い頃はヨーロッパ中にいる親戚を訊ねて各国の宮廷を訪れた。</t>
        </is>
      </c>
      <c r="J4249">
        <f>HYPERLINK("https://www.weblio.jp/content/親戚", "词义详情")</f>
        <v/>
      </c>
      <c r="K4249">
        <f>HYPERLINK("https://yourei.jp/親戚", "查看例句")</f>
        <v/>
      </c>
    </row>
    <row r="4250">
      <c r="A4250" t="inlineStr">
        <is>
          <t>親切</t>
        </is>
      </c>
      <c r="B4250" t="inlineStr">
        <is>
          <t>成功</t>
        </is>
      </c>
      <c r="C4250" t="inlineStr">
        <is>
          <t>読み方：しんせつ
［名・形動］
１相手の身になって、その人のために何かをすること。思いやりをもって人のためにつくすこと。また、そのさま。「人の—にあずかる」「—を無にする」「—な応対」
２（深切）心の底からすること。また、そのさま。
「独立の気力ある者は国を思うこと—にして」〈福沢・学問のすゝめ〉
[派生]しんせつげ［形動］しんせつさ［名］しんせつみ［名］</t>
        </is>
      </c>
      <c r="D4250" t="inlineStr">
        <is>
          <t>親切な人(2%)；親切そう；親切な男；親切ごかし；親切な言葉</t>
        </is>
      </c>
      <c r="E4250" t="inlineStr">
        <is>
          <t>配慮；厚い；優しい；考察；暖かい</t>
        </is>
      </c>
      <c r="F4250" t="inlineStr">
        <is>
          <t>御親切；みんな親切；やさしく親切；親切なマカール；親切ごころ</t>
        </is>
      </c>
      <c r="G4250" t="inlineStr">
        <is>
          <t>親切気；親切なクムジャさん；親切国体</t>
        </is>
      </c>
      <c r="H4250" t="n">
        <v>29</v>
      </c>
      <c r="I4250" t="inlineStr">
        <is>
          <t>ある裁判所の役人の親切でそのひとつを自分で読んだことさえあります。；おそらく僕が君に親切じゃなかったか、君が僕にはそうだったからだよ。；その度毎に親切に遠くからでも栄一の所へ報らせてくれるものがあつた。；劣悪な環境であったが島民は彼らに親切に交流した記録がいくつも残る。；君はおれたちを、おれたちの親切にふさわしいようには扱わなかったね。；わしのような人間が、どうしてあの子の親切を受けることができようか。；ニューカム先生が大変親切にしてくれて、自宅まで馬車で送ってくれた。；わしがあなたがたへのただ一つの親切にそれを取りついであげましょう。；いったん練習が終わると他の会員にも親切にコーチしていたという。；とにかくあんなに親切に指導してくれる人は僕の生涯でほかにいなかった。；それで彼はみんなの親切を感謝して、その晩は小畑と二人で同じ室に寝た。；ホテル側がチャンスを提供するのは親切な行為であって、強制ではない。；その人はアッケンのお父さんと同じような、親切な快活な顔をしていた。；この品は、それ自身は簡単なものだったが、親切な感情を示していた。；この優しい親切な良人は、寝もしないで妻の介抱をしているのであった。；彼らはその子供にさえもわかるように、親切に説明してくれたりさえもする。；親方は親切に看護をしたので、マルコはだんだんよくなってゆきました。；河田さんの親切に感謝しながら、私はそれを郵便局から受け取って来た。；あなたの親切と同情心にぐっときたのは、ここ何年もなかったことだ。；配下の一員は親切に一時間と経ない内に来るからと注意してくれた。；この間の御親切なお手紙にも私はまだ御返事を上げないでゐました。；また、夜になって親切に泊めてくれた美しい女は、実は人食い鬼だった。；ただし、他人から親切にされると貯めたポイントから減点されてしまう。；それというのも、そこにいる多くの者は彼の親切な心に感じていたのである。；親切な警官がストランドへ行けと教え、別な人が乗り合いバスを教えた。；ブルース卿が余りにも良い方で親切なので言わざるを得ませんでした。；その方は七十四歳の高齢でなかなか親切に仏教の事を説明してくれた。；病気になって以来、親切がこんなにありがたいと思ったことはありません。；身につけるものもなくなった息子に、親切な友人がトランクを与えた。</t>
        </is>
      </c>
      <c r="J4250">
        <f>HYPERLINK("https://www.weblio.jp/content/親切", "词义详情")</f>
        <v/>
      </c>
      <c r="K4250">
        <f>HYPERLINK("https://yourei.jp/親切", "查看例句")</f>
        <v/>
      </c>
    </row>
    <row r="4251">
      <c r="A4251" t="inlineStr">
        <is>
          <t>新鮮</t>
        </is>
      </c>
      <c r="B4251" t="inlineStr">
        <is>
          <t>成功</t>
        </is>
      </c>
      <c r="C4251" t="inlineStr">
        <is>
          <t>読み方：しんせん
［名・形動］
１魚・肉・野菜などが、新しくて生き生きとしていること。また、そのさま。「—なくだもの」
２汚れがなく、澄みきっていること。また、そのさま。「山の—な空気を吸う」
３物事に今までにない新しさが感じられるさま。「—な感覚の絵」
[派生]しんせんさ［名］しんせんみ［名］</t>
        </is>
      </c>
      <c r="D4251" t="inlineStr">
        <is>
          <t>新鮮な空気(7%)；新鮮な野菜；新鮮な水；新鮮な魚；新鮮な肉</t>
        </is>
      </c>
      <c r="F4251" t="inlineStr">
        <is>
          <t>新鮮外気取入；新鮮凍結血漿；新鮮な海の幸；新鮮な外気；新鮮な魚介類</t>
        </is>
      </c>
      <c r="G4251" t="inlineStr">
        <is>
          <t>新鮮な死体；新鮮組；新鮮市場；新鮮み；新鮮組本部</t>
        </is>
      </c>
      <c r="H4251" t="n">
        <v>29</v>
      </c>
      <c r="I4251" t="inlineStr">
        <is>
          <t>海やオゾンの風味の新鮮な海岸の香りの印象を与えるために用いられる。；大部分は、新鮮で豊富な植物と水のある開けた土地に制限されている。；新鮮な素材を用いた料理を求めて地域住民を中心にリピーター客も多い。；このワインは新鮮なうちに飲むべきで、その味はとても特別なものである。；錆石の下には酸化されていない新鮮な花崗岩が地下深くまで続いている。；彼はその朝、自らパリの有名な市場に最高の新鮮な魚を探しに行ったそうだ。；相手を知りすぎているので、いうことに新鮮さが感じられないためであろう。；新鮮なものは刺身でも食べられるが、傷みが早いので注意が必要である。；学校があったこと、新鮮な空気があったこと、人間がたくさんいたこと。；この風車は1959年まで住民に新鮮な水を供給する目的で使われていた。；自然に恵まれた環境の良い市場で、新鮮な魚を手に入れる事が出来る。；彼らは党首だったルッケが政治に新鮮な風をもたらしたと見なしている。；多くの大きなクレーターは、比較的新鮮な氷でできた光条を持っている。；葉がやわらかいため、新鮮なうちに使い切るようにするのが基本である。；健康管理に注意する文化も新鮮な産品の人気を上げることに貢献している。；新鮮なうちならば、加熱せずにサラダやマリネなどにしても食べられる。；荒川は、慣れてきて新鮮さを忘れていたかもしれないと述懐している。；画題の本質を新鮮な目で見て、新しい方法で実験を行った時代である。；これを防ぐには、新鮮なうちに茹でるなどして調理してしまうことである。；食文化が豊富で、特にフルーツの種類が多く新鮮なものが安く手に入る。；この果物は、売れ残りの氷を利用して新鮮な状態を維持することができた。；若く新鮮なものは赤味が強いことが多く、時を経たものは淡褐色になる。；また新鮮な肉を提供するため、焼き鳥の串打ちは各店舗で行っている。；これらの映画は今見ても新鮮な驚きと発見に満ちている。；ところが彼らには十分な新鮮な水が供給されておらず、多くの軍馬が死んでいた。；料理方法はたいていシンプル、新鮮な食材を利用しており健康的であった。；その一方で頻繁に新鮮な動物の死体からも筋肉を切り取って肉団子を作る。；シュルパは脂肪の多い肉の大きな塊と新鮮な野菜から作るスープである。；また近海で獲れた新鮮なものは刺身や洗いとして利用されることもある。</t>
        </is>
      </c>
      <c r="J4251">
        <f>HYPERLINK("https://www.weblio.jp/content/新鮮", "词义详情")</f>
        <v/>
      </c>
      <c r="K4251">
        <f>HYPERLINK("https://yourei.jp/新鮮", "查看例句")</f>
        <v/>
      </c>
    </row>
    <row r="4252">
      <c r="A4252" t="inlineStr">
        <is>
          <t>親善</t>
        </is>
      </c>
      <c r="B4252" t="inlineStr">
        <is>
          <t>成功</t>
        </is>
      </c>
      <c r="C4252" t="inlineStr">
        <is>
          <t>読み方：しんぜん
互いを知り合って、仲よくすること。「—を深める」「国際—試合」</t>
        </is>
      </c>
      <c r="D4252" t="inlineStr">
        <is>
          <t>親善訪問(8%)；親善協会(5%)；親善使節(4%)；親善大会(4%)；親善交流(3%)</t>
        </is>
      </c>
      <c r="E4252" t="inlineStr">
        <is>
          <t>友情；親交；友好；誼；友誼</t>
        </is>
      </c>
      <c r="F4252" t="inlineStr">
        <is>
          <t>友好親善；日米親善；日韓親善；日中親善；支親善</t>
        </is>
      </c>
      <c r="G4252" t="inlineStr">
        <is>
          <t>親善大使；親善都市；親善外交；親善人形</t>
        </is>
      </c>
      <c r="H4252" t="n">
        <v>29</v>
      </c>
      <c r="I4252" t="inlineStr">
        <is>
          <t>このような状況では、ポーランドはドイツとの親善を図るしかなかった。；中国や日本などアジアを中心にアフリカ文化の普及や親善活動を行う。；国際親善の増進と会員相互の親睦、知識の交換を図ることを目的とする。；創設時より同競馬場との親善を目的として、競走名に場名を冠している。；しかし、関係をすることだけが人生だとか、国際親善だとか思わない。；同年8月にはアラスカ・ゴールドパナーズとの日米親善野球試合に出場。；外交面では好戦的な一面も見せたが、周辺の遊牧国家とは親善を図った。；親善大会編エンディングでは翼と共にイタリアへ渡ることを決意した。；これを思うと、日満、日支の精神的な親善は容易なことでなさそうである。；それ故酒学者の間の日中親善は昔も今も極めてこまやかである。；藤堂駿平の今度の旅行も表面は個人の資格で、日ソ親善を目的としていた。；夫妻の慰問と時期を同じくして、現地では日中親善の機運が高まっていた。；ヒューマニズムに支えられてこれこそ世界親善飛行ではないのか。；国際親善の大紳士も、直接応待の手段が見つからなかったようである。；中学3年生時には日中友好親善野球大会の日本代表メンバーに選ばれた。；一方では1931年に夫妻で欧米・エジプトを訪問して国際親善にも努めている。；高畠は最も気の合った弟子で、二人の仲は死ぬまで親善だった。；これにともない、親善目的のチームは2010年を最後に結成されていない。；東京を出発して朝鮮、満州へと向かう日満親善飛行の途中であった。；同年8月にはアラスカ・ゴールドパナーズとの日米親善野球試合に出場した。；経済交流を図り、産業経済の発展および、国際親善の進展に貢献した。；歌手活動の傍ら、台日文化交流親善活動、国際活動にも尽力している。；同大会の後には日韓米の三国親善国際大会の日本代表に選ばれた。；その後もソビエト連邦への親善遠征チームのヘビー級代表になるなどして活躍した。；そして神のごとき純潔な日本の人々の心を紹介し、親善のために戦うつもりです。；日露協会とは、1906年4月に日露の親善のために生まれた協会である。；その他国際親善にも寄与し関係諸国からも多数の勲章を受けた。；海外への書の紹介だけでなく、書を通じて国際交流、国際親善に貢献。；国外には日本国際親善厚生財団の協力のもと日本に1店舗を出店している。</t>
        </is>
      </c>
      <c r="J4252">
        <f>HYPERLINK("https://www.weblio.jp/content/親善", "词义详情")</f>
        <v/>
      </c>
      <c r="K4252">
        <f>HYPERLINK("https://yourei.jp/親善", "查看例句")</f>
        <v/>
      </c>
    </row>
    <row r="4253">
      <c r="A4253" t="inlineStr">
        <is>
          <t>真相</t>
        </is>
      </c>
      <c r="B4253" t="inlineStr">
        <is>
          <t>成功</t>
        </is>
      </c>
      <c r="C4253" t="inlineStr">
        <is>
          <t>読み方：しんそう
ある物事の真実のすがた。特に、事件などの、本当の事情・内容。「—を究明する」</t>
        </is>
      </c>
      <c r="D4253" t="inlineStr">
        <is>
          <t>真相解明；真相を知りたい；真相をつかん；真相を探るべく；真相を打ち明け</t>
        </is>
      </c>
      <c r="E4253" t="inlineStr">
        <is>
          <t>実際；事実；現実；真；実</t>
        </is>
      </c>
      <c r="F4253" t="inlineStr">
        <is>
          <t>真相糾明；真相を調べよ；真相を確かめるべく；真相を探り始める；真相を語り始める</t>
        </is>
      </c>
      <c r="G4253" t="inlineStr">
        <is>
          <t>真相はこうだ；真相箱；真相報道バンキシャ；真相はかうだ；真相報道</t>
        </is>
      </c>
      <c r="H4253" t="n">
        <v>29</v>
      </c>
      <c r="I4253" t="inlineStr">
        <is>
          <t>依頼の裏に隠された彼女の真相を知ったとき、真九郎が選んだ行動とは。；この噂に対して軍は否定を続けているが、真相は明らかになっていない。；しかしながら、次のシーズンが作られず、真相は不明のままで終わった。；翔は謎の男に付きまとわれる中で、過去の事故の真相を知ることとなる。；裁判の資料集めに奔走する過程で担当する事件の真相が明らかになる。；ゲイツはこのことを認めたかもしれないが、いまだに真相は不明である。；耐えられなくなった美禰子はついに事件の真相を糸川の家族に告白する。；彼女は何かの贖罪のため尼僧となったとの噂だが、真相は誰も知らない。；正式名称は過去の護衛総局に戻った可能性もあるが真相は不明である。；犯人に自分が姿を見たことを知られたと思ったマークは事件の真相を探り始める。；そして最後に証言台に上がったブラウン神父が、意外な真相を語りだす。；クリア後も真相や矛盾点など未解明部分が多く残る作品となっている。；現在も以仁王の墓らしきものが残っているが、その真相は定かではない。；永田は、ウクバールから自身を迎えに来たというが、真相は不明である。；各話の事件発生後から真相直前の回の冒頭に表示される事件関係者のリスト。；しかし一方では、彼は単に利用されただけで真相は知らなかったとする意見もある。；登場人物たちの事件に関連する真相とその後の影響については以下。；ツィタは次のように語ったが、真相はなおも明らかにはされていない。；この事態に絶望したマキシムはレベッカの死の真相を「わたし」に語る。；しかし複雑な時代を背景に起きたこの怪事件の真相は未だに謎のままである。；最初の真相糾明開始決定の日から4年以内に調査を完了しなければならない。；娘を殺された中学校教師が生徒を相手に真相に迫っていくミステリー映画。；実際に、ゲストが深く関わる重大事件の真相などが語られている。；古に文明を崩壊させるほどの天変地異が起きたことが原因とされているが真相は不明。；そのシナリオは意味深い内容が描かれており、その真相は様々に解釈できる。；酒井は真相を求めて平沢との面会を希望したが、実現する事は無かった。；これは前陸軍大臣の畑俊六にさえも真相は伝えられていなかったほどである。；事故死とされた一方、殺されたという意見もあり、真相は謎とされている。；それまで母を信じてきた繭子はどうしても母の家出の真相を知りたいと思った。</t>
        </is>
      </c>
      <c r="J4253">
        <f>HYPERLINK("https://www.weblio.jp/content/真相", "词义详情")</f>
        <v/>
      </c>
      <c r="K4253">
        <f>HYPERLINK("https://yourei.jp/真相", "查看例句")</f>
        <v/>
      </c>
    </row>
    <row r="4254">
      <c r="A4254" t="inlineStr">
        <is>
          <t>心臓</t>
        </is>
      </c>
      <c r="B4254" t="inlineStr">
        <is>
          <t>成功</t>
        </is>
      </c>
      <c r="C4254" t="inlineStr">
        <is>
          <t>読み方：しんぞう
１血液循環の原動力となる器官。収縮と拡張を交互に繰り返し、静脈から戻ってくる血液を動脈に押し出し、全身に送るポンプの働きをする。ヒトでは握りこぶし大で、胸腔内の横隔膜のすぐ上、やや左側にあり、3層の膜に包まれ、内腔は隔壁・弁膜によって左右の心房・心室の4部分に分かれる。
２物事の中心部のたとえ。「都市の—部」
３《「心臓が強い」から》厚かましいこと、ずうずうしいこと、押しが強いことなどの意の、俗な言い方。「あの人に借金を頼むなんて、君も—だね」</t>
        </is>
      </c>
      <c r="D4254" t="inlineStr">
        <is>
          <t>心臓部(3%)；心臓手術；心臓弁膜症；心臓血管；心臓病</t>
        </is>
      </c>
      <c r="E4254" t="inlineStr">
        <is>
          <t>心；胸；ポイント；核；本質</t>
        </is>
      </c>
      <c r="F4254" t="inlineStr">
        <is>
          <t>弱い心臓；心臓脚気；心臓バイパス；心臓痲痺；告げ口心臓</t>
        </is>
      </c>
      <c r="G4254" t="inlineStr">
        <is>
          <t>心臓病；心臓麻痺；心臓疾患；心臓移植；心臓血管外科</t>
        </is>
      </c>
      <c r="H4254" t="n">
        <v>29</v>
      </c>
      <c r="I4254" t="inlineStr">
        <is>
          <t>目は地上から火星の生物を見ることができ、心臓は永久に動くとされる。；心臓と小腸は共に中国の五行でいうと火に属するため密接な関係を持つ。；機体内にはアバラや心臓のようなものがあるが、内部構造の詳細は不明。；古くから心臓の鼓動を生命活動の有無の判断に用いたのは当然と言える。；その上健康も害しており、当地の医者に心臓病だとの診断を受けていた。；怒っている場合、激しいトレーニングは心臓にとって非常に危険である。；彼らの次の研究課題は心臓へのカテーテル法の技術の開発だった。；天使の像は矢を彼女の心臓に射込もうとはしておらず、引き下げている。；それは、過飽和な液体人間たちの中の目に見えない心臓を中心にしていた。；そんなある日、敦河の心臓の鼓動が上がった時、異形の怪物が出現した。；中には心臓や臓器のようなものがむき出しになってあるだけだった。；レーヴィはその心臓を取り出し、次にもう一つの心臓を同じ液に浸した。；まだ動いている心臓が銀の皿にのせられていたという。；心臓もその発生からは体の中央にあるべきものである。；心臓の働きは全身のエネルギー消費や生活リズム等とともに変化する。；心臓に不安を抱えているためか、上記以降はセミリタイア中である。；心臓や呼吸が停止している場合、そのまま放置しておくと間違いなく死亡する。；ヒトの場合の主な非対称は心臓と肝臓の位置、及び消化管の配置である。；また心臓が発達しており、追い運動をしても疲れを見せなかった。；特に体調が優れないということはなく、心臓の病気もなかったという。；循環器病学とは、心臓及び全身の血管系を扱う学問を指す場合が多い。；糖尿病悪化の影響もあり、1990年になって心臓の状態は再び悪化。；そして、レギンはファフニールの心臓を炙って食べさせてくれと頼んだ。；迷走神経に電気的な刺激を与えると、1つの心臓の動きがゆっくりになった。；ただし、ホワイトハウスの心臓部と言えるのはウエストウイングである。；DSAでは患者を静止させる必要があるため、心臓の撮影には適用できない。；他にも溶血毒や細胞毒、心臓毒や筋肉毒などの毒素も含んでいる事もある。；また狭心症などでは、心臓部の痛みを左上腕の痛みと認知することがある。；これらの細胞は心臓から毛細血管まで全ての循環器系の内壁に並んでいる。</t>
        </is>
      </c>
      <c r="J4254">
        <f>HYPERLINK("https://www.weblio.jp/content/心臓", "词义详情")</f>
        <v/>
      </c>
      <c r="K4254">
        <f>HYPERLINK("https://yourei.jp/心臓", "查看例句")</f>
        <v/>
      </c>
    </row>
    <row r="4255">
      <c r="A4255" t="inlineStr">
        <is>
          <t>人造</t>
        </is>
      </c>
      <c r="B4255" t="inlineStr">
        <is>
          <t>成功</t>
        </is>
      </c>
      <c r="C4255" t="inlineStr">
        <is>
          <t>読み方：じんぞう
人間がつくること。特に、天然に存在するものと同じもの、またはそれに似せたものを、人工的につくること。また、そのつくったもの。</t>
        </is>
      </c>
      <c r="D4255" t="inlineStr">
        <is>
          <t>人造肥料(4%)；人造人間(3%)；人造島(3%)；人造天使(3%)；人造物(2%)</t>
        </is>
      </c>
      <c r="E4255" t="inlineStr">
        <is>
          <t>加工；人工；人為</t>
        </is>
      </c>
      <c r="F4255" t="inlineStr">
        <is>
          <t>人造ダイヤ；東京人造；人造霊；人造砥石；人造吸血鬼</t>
        </is>
      </c>
      <c r="G4255" t="inlineStr">
        <is>
          <t>人造湖；人造石；人造人間キカイダー；人造石油；人造絹糸</t>
        </is>
      </c>
      <c r="H4255" t="n">
        <v>29</v>
      </c>
      <c r="I4255" t="inlineStr">
        <is>
          <t>見ていると彼はそれを函の中の人造人間に読み聞かせている様であった。；人造が出来るようになってからは宇宙線の流れる数は急激に増加した。；人造デジモンの一体で、黒装束に杖を持った人間のような姿をしている。；頼りない登山道もあるにはあるが、それ以外の人造物などほとんどない。；町の南西部には広大な人造林であるアムステルダムセ・ボス公園がある。；一見糸みたいな人造肉を、適当に処理し、固めると肉状のものができます。；その人造超能力者がやはり反乱に加わっては意味がないでしょうに。；ダムの高さはあり、天然、人造を問わず世界で最も高いダムとなっている。；カバーを人造皮膚で覆っていないのは、改造費をケチったからだろう。；残っている湖は多くのマスタープランを開発したためにできた人造のものである。；しかしまだまだ天然のが人造のに圧倒されるところまでには月日がある。；そうかと云ってこの人造世界に向って猪進する勇気は無論ないです。；倒立振子には人造のものも自然のものも含めて様々な例がある。；第一番のお客様は諸戸屋敷から連れて来た、人造片輪者の一団であった。；そのような地域では人造的な建造物に生息している。；インピングとは鳥の通常の羽を明るい色のついた人造の羽と入れ替える習慣である。；つまり、この人造島は、大洋の浮島であるとともに、一種の方船なのさ。；一方で、人造の模造品は、色、模様の両方で根本的に違っているのである。；すると皿の上の例のぶよぶよした人造生物は、ぷうッとふくらみはじめた。；人造悪をも詩の一種と感じるほど、彼の日常は常識市民の雰囲気であるのでしょう。；読者は映画で、人造の怪物フランケンシュタインを見たことがあるだろうか。；室生さんも人造悪の小説かいて、まだこういう範囲で云っている。；博物館には人造の洞窟や自然の茂み、湿地のある野外空間も含まれる。；また、ランシールでは密かに人造ヴァルキュリアの研究が行われている。；限りなく暗闇に近い空間に浮かぶ、生物とも人造物ともつかぬもの。；此の間三人の男が、箱を舟につんで出帆したのも、人造不具者輸出なんだ。；この人造岩は観光課の要望でそのまま残され、その後は観光地となっていた。；私のあれは人造で、せいぜい五百フラン位なものだったのですよ!；また、学者が地球上に存在しない超ウラン元素を人造合成するのにもこの反応が使用されている。</t>
        </is>
      </c>
      <c r="J4255">
        <f>HYPERLINK("https://www.weblio.jp/content/人造", "词义详情")</f>
        <v/>
      </c>
      <c r="K4255">
        <f>HYPERLINK("https://yourei.jp/人造", "查看例句")</f>
        <v/>
      </c>
    </row>
    <row r="4256">
      <c r="A4256" t="inlineStr">
        <is>
          <t>親族</t>
        </is>
      </c>
      <c r="B4256" t="inlineStr">
        <is>
          <t>成功</t>
        </is>
      </c>
      <c r="C4256" t="inlineStr">
        <is>
          <t>読み方：うから
《上代は「うがら」》血縁の人々の総称。血族。しんぞく。「—やから」
「わが家もこの国にて聞ゆる—なるに」〈鴎外・文づかひ〉</t>
        </is>
      </c>
      <c r="D4256" t="inlineStr">
        <is>
          <t>親族たち(2%)；親族会議；親族間；親族衆；親族一同</t>
        </is>
      </c>
      <c r="E4256" t="inlineStr">
        <is>
          <t>家族；親；族；一族；親戚</t>
        </is>
      </c>
      <c r="F4256" t="inlineStr">
        <is>
          <t>扶養親族；親族訪問；男性親族；親族席；著名な親族</t>
        </is>
      </c>
      <c r="G4256" t="inlineStr">
        <is>
          <t>親族法；親族名称；親族の基本構造；親族相盗；親族代表</t>
        </is>
      </c>
      <c r="H4256" t="n">
        <v>29</v>
      </c>
      <c r="I4256" t="inlineStr">
        <is>
          <t>親族は教会から距離を置いたが、マリアだけは変わらず信仰を堅持した。；それだけでなく親族の中で枢機卿にあげることができるのは一人だけとした。；無一文で、病気になってから親族や友人が見舞いに来ることもなかった。；秀吉の晩年、秀次は豊臣家の二世世代では唯一の成人した親族であった。；心配になった親族や近所の住民が通りを探したが、見付からなかった。；なお死体がみな裸なのは運んだのが親族なら帰った後に盗られたのかもしれない。；実際に被害者の親族が立ち会えるように要請したが拒否されている。；衣服は成長して着用できなくなれば、親族間等で使い回しされていた。；葬儀は親族らの「銀行に迷惑がかかる」との理由で密葬の形式となった。；回復後のサバイバーや世話をしていた親族なども対象に含まれる。；点火して後に親族間で束を分け、それぞれが焼香台に添える場合もある。；マリー・テレーズは田園地域の城で、夫や親族と廷臣に囲まれ暮らした。；なお脱退一時金は未支給であっても死亡後に親族が請求することはできない。；彼の妻や他の親族からの手紙はラファイエットを心理的に動揺させた。；親族に与えられた資産の多くはスペインよりの人々から没収したものであった。；国から遠く離れた江戸でまさか半十郎の親族に会うとは思わず、つい話してしまったのだ。；たてかべは生涯独身で、親族と事務所関係者が最後を看取ったといわれる。；同族経営とは、特定の親族などが支配・経営する組織のことを指す。；大坂では親族は白または水色の無紋の麻の上下で、夏は白の晒を着用した。；なお、親族衆では信豊と叔父にあたる信廉のみが起請文を提出している。；娘たちの結婚についても可能な限り親族内で、また商売上の戦略に基づいて行った。；しかし演奏直後、再び親族の手によって封印されてしまうこととなる。；本人、その親族、他人の三者関係について三つのケースが考えられる。；驚きあわてた安井は浅野長矩の親族の大名戸田氏定にその書状を見せた。；既に婚姻が解消されている場合には、養子縁組をしていない限り親族ではない。；その後も元夫妻や親族間の交流は続いているという。；もちろん彼の両親もエホバの証人であり、親族にも多くの信者が居る。；母は、父との関係を良く思わない親族全てから絶縁されていた。；自然人に特有の性別・年齢・親族などの権利義務は法人には発生しない。</t>
        </is>
      </c>
      <c r="J4256">
        <f>HYPERLINK("https://www.weblio.jp/content/親族", "词义详情")</f>
        <v/>
      </c>
      <c r="K4256">
        <f>HYPERLINK("https://yourei.jp/親族", "查看例句")</f>
        <v/>
      </c>
    </row>
    <row r="4257">
      <c r="A4257" t="inlineStr">
        <is>
          <t>迅速</t>
        </is>
      </c>
      <c r="B4257" t="inlineStr">
        <is>
          <t>成功</t>
        </is>
      </c>
      <c r="C4257" t="inlineStr">
        <is>
          <t>読み方：じんそく
［名・形動］物事の進みぐあいや行動などが非常に速いこと。また、そのさま。「—な報道」「—に処理する」
[派生]じんそくさ［名］</t>
        </is>
      </c>
      <c r="D4257" t="inlineStr">
        <is>
          <t>迅速診断キット；迅速承認；迅速確実；迅速適切；迅速適正</t>
        </is>
      </c>
      <c r="E4257" t="inlineStr">
        <is>
          <t>早く；急；たちまち；急速；直ちに</t>
        </is>
      </c>
      <c r="F4257" t="inlineStr">
        <is>
          <t>迅速診断</t>
        </is>
      </c>
      <c r="H4257" t="n">
        <v>29</v>
      </c>
      <c r="I4257" t="inlineStr">
        <is>
          <t>またこれらの部品交換が迅速に行えるよう配慮された設計となっている。；一方で通勤用の車両では迅速な乗降のために扉の数を増やす傾向にある。；そのため迅速な採決のために取り入れられた運営方法であるといえる。；そして、迅速に商業繁華街に変化して、大型アパートなども建設された。；このための迅速な提供を可能にするためにタイムボックス管理が行われる。；建設は迅速さを要求されたため、ビルマ側・タイ側両方から開始した。；河川など車両が通行できないような箇所に迅速に橋を設置することができる。；この時の黒沢村長の指揮ぶりは、迅速適切で見事なものであったという。；計算法は器械的・客観的であるほど迅速かつ正確に計算することができる。；この頃までの臼砲は大型で迅速な移動を考慮したものではなかった。；そのことで様々な状況に応じて敵に迅速に先制攻撃を行うことを目指していた。；君主に権力を集中し、それを迅速に適材に委ねる必要があったのである。；これによって命令の迅速な伝達と確実な理解を期待することができた。；射撃に必要となる目標の情報を迅速に処理、友軍に伝達するための装備。；多額の借金をし、利益を再投資し、市場の変化に迅速に対応していった。；陶侃は近路を通って迅速に行軍し、武昌に到着すると周囲に兵を伏せた。；数千から数万の個別に動くエージェントを容易かつ迅速に生成できる。；それと比較すれば、この地震の報道は、かなり迅速化が図られたといえる。；これにより少ない門数でも迅速に火砲を敵艦に向けられる工夫であった。；交易上の問題だけでなく、兵力の迅速な輸送にも関わったためである。；これにより軍人は軍事に専念できるようになり、軍事行動が迅速化した。；サッソ・コルバロ城は、二つの城から離れた丘の上に、迅速に建造された。；もし、迅速に前脚を目視できていれば、この事故は防げた可能性がある。；専用型はある特定の分野における省力化・迅速化を目的としている。；NTTドコモはLG電子の開発スピードの迅速さを高く評価している。；輪状軟骨圧迫は、何年もの間、迅速導入中の標準治療と考えられていた。；以後、彼女は財政問題と迅速な法務処理に強い関心を示すようになる。；相談・調査依頼・打合せには電子メールで迅速な対応に努めている。；迅速高校生徒会、通称・速攻生徒会はそのような生徒を集めて組織された。</t>
        </is>
      </c>
      <c r="J4257">
        <f>HYPERLINK("https://www.weblio.jp/content/迅速", "词义详情")</f>
        <v/>
      </c>
      <c r="K4257">
        <f>HYPERLINK("https://yourei.jp/迅速", "查看例句")</f>
        <v/>
      </c>
    </row>
    <row r="4258">
      <c r="A4258" t="inlineStr">
        <is>
          <t>身体</t>
        </is>
      </c>
      <c r="B4258" t="inlineStr">
        <is>
          <t>成功</t>
        </is>
      </c>
      <c r="C4258" t="inlineStr">
        <is>
          <t>読み方：からだ
１
㋐動物の頭・胴・手足などのすべてをまとめていう語。五体。しんたい。「—を横たえる」
㋑頭・手足を除いた、胴。「—を反らす」「—の線が崩れる」
㋒体格。骨格。からだつき。「がっしりした—」
２健康状態。また、体力。「—を悪くする」「お—に気をつけて」「—の弱い子供」
３
㋐生理的存在としての身体。肉体。「—で覚える」「—が糖分を欲求している」「—を使う仕事」
㋑性的な対象としてみた身体。肉体。「—を許す」「—の関係がある」
㋒社会的活動を営む主体としてみた身体。身(み)。「今夜は—が明いている」「—がいくつあっても足りない」
４死体。なきがら。
「—はどこに捨ててある」〈浄・布引滝〉</t>
        </is>
      </c>
      <c r="D4258" t="inlineStr">
        <is>
          <t>身体つき；身体全体；身体じゅう；身体ごと；身体機能</t>
        </is>
      </c>
      <c r="E4258" t="inlineStr">
        <is>
          <t>身；体；全身；体制；肉体</t>
        </is>
      </c>
      <c r="F4258" t="inlineStr">
        <is>
          <t>大きな身体；小柄な身体；細い身体；華奢な身体；身体施呪</t>
        </is>
      </c>
      <c r="G4258" t="inlineStr">
        <is>
          <t>身体能力；身体検査；身体障害者；身体障害；身体表現</t>
        </is>
      </c>
      <c r="H4258" t="n">
        <v>29</v>
      </c>
      <c r="I4258" t="inlineStr">
        <is>
          <t>ただし、不特定または多数人の生命・身体・財産であるとする説もある。；本症はこの動脈硬化が原因で身体にさまざまな症状が現れることを指す。；上部に描かれた巨大な支配者の身体は多数の人間から構成されている。；脂肪が多い肉を食べるようにすると、2日以内に身体は完全に回復した。；あまりの恐ろしさに二人は身体が震え、何も言えずに泣き出してしまう。；ほとんどの場合、男性の身体機能には問題がなく、心因性のものである。；これは、身体からの信号である感覚をもとに構成されたものとなる。；ところが喉の病気が原因で、思い切り歌うことが出来ない身体であった。；北方に生息するものや開けた地形に生息するものほど身体が大きいとされる。；心理状態が身体の状態に影響を与えるという実証的な研究が進んでいる。；陰核と膣のオーガズムは同じ身体的な段階を持っているとされている。；元々は、大人が両腕を一杯に広げた長さとして定義された身体尺である。；元々のインチは、男性の親指の幅に由来する身体尺だったとされている。；コングは優れた知性と体力を持ち、その身体は映画の中で代わっていた。；ジャンプからの着地の際に身体への衝撃を和らげるのが主な役目である。；雄は初子の身体を強く抱きしめ、家族だけに見送られて自宅を後にする。；現代の自分の魂のみがその時代の自分の身体へ行くため、現代の体は息もしない。；これらの近代的な検査が存在しなかった場合は身体診察で経過観察を行っていた。；場合によっては童子の顔と翼だけで身体を持たない姿に描かれることもある。；人類の歴史上、身体の装飾行為がいつ始まったのかは定かではない。；身体に先だって精神があるのでもなく精神に先だって身体があるのでもない。；塩を追加した足湯は、塩を加えていない場合より身体の保温性が良い。；被拐取者の身体の自由と安全、すなわち生命も保護法益とする説もある。；ブランドは膝の手術を受けたことで身体的に軍隊から拒否される理由はなくなったのである。；後述のように身体尺を起源とする単位ともいわれており基準は不安定であった。；身体機能の障害に対して、法令などで障害の語が当てられるようになった。；また、直接身体を用いるものと打具としてラケットを用いるものがある。；効果は15分続き、その間にほかの物に身体をつけても変わることは出来ない。；身体を冷やす作用があるため、多く食べ過ぎるのは良くないとも言われている。</t>
        </is>
      </c>
      <c r="J4258">
        <f>HYPERLINK("https://www.weblio.jp/content/身体", "词义详情")</f>
        <v/>
      </c>
      <c r="K4258">
        <f>HYPERLINK("https://yourei.jp/身体", "查看例句")</f>
        <v/>
      </c>
    </row>
    <row r="4259">
      <c r="A4259" t="inlineStr">
        <is>
          <t>寝台</t>
        </is>
      </c>
      <c r="B4259" t="inlineStr">
        <is>
          <t>成功</t>
        </is>
      </c>
      <c r="C4259" t="inlineStr">
        <is>
          <t>読み方：しんだい
寝るときに使う台。ベッド。ねだい。</t>
        </is>
      </c>
      <c r="D4259" t="inlineStr">
        <is>
          <t>寝台車；寝台料金；寝台室；寝台客車；寝台個室</t>
        </is>
      </c>
      <c r="E4259" t="inlineStr">
        <is>
          <t>ベッド；バース；臥榻</t>
        </is>
      </c>
      <c r="F4259" t="inlineStr">
        <is>
          <t>b寝台；個室寝台；大きな寝台；簡易寝台；式寝台</t>
        </is>
      </c>
      <c r="G4259" t="inlineStr">
        <is>
          <t>寝台特急；寝台列車；寝台券；寝台急行；寝台特急列車</t>
        </is>
      </c>
      <c r="H4259" t="n">
        <v>29</v>
      </c>
      <c r="I4259" t="inlineStr">
        <is>
          <t>わたしを取り巻いて寝台のそばに立っている人たちの顔も知らなかった。；私はあの時寝台の中の女を悪魔だと思い込んで殺したので御座いました。；ぼんやりとした悲しみが、夜となれば、寝台の上にそっと来て乗る。；バスやトラックでは交替運転者の寝台や仮眠室が設置されることがある。；壁に沿って寝台が設けられ、テーブルとストーブが小屋の中央を占めた。；この車両は製造当初から冷房を搭載した日本で初めての寝台車である。；インドを立って以来立派な西洋風の寝台で寝たのはこの時が始めてであります。；朝早く目を開いても、自分がいつもの寝台にねているような気がしなかった。；その内自分もその囚人の一人のやうに思つて、寝台の上で伸びをする。；暫くしてから周は始めて自分が成の寝台で寝ていることに気がついた。；だが、寝台の上にもその傍の小さいテーブルの上にも何もなかった。；そのとき父は寝台の鉄枠にことりと当つた妙な音を聞いて振り向いた。；岸本は寝衣の上に国の方から持って来た綿入を重ねて、寝台を下りて見た。；しかし立っている程の力がないので、また仰向けに寝台の上に倒れた。；被害者は寝台の上にあるほうのあの窓からそこへ落ちたのだよ。；その寝台の上に寝ていた怪塔王は、顔を下にむけて寝ていたのである。；汚い寝台もあるから、明日の朝帰って、苗字を聞いてまた来るがいいよ。；その代わり寝台の上に1羽の鳩がおり、天に向かって飛び立ったという。；いま思いますと、お父さんの腕の傷は寝台に出ていた釘で受けたものですよ。；勇一君のからだと寝台とのあいだが、もう二センチほどもひらきました。；寝台の縁に掛けてあるショオルを取って体に巻いて、椅子に腰を掛けた。；彼の寝台の傍で番をしていた老人は、恐らくぐっすり眠っているのだろう。；奥さんと母と私とが、この部屋の寝台や椅子を動かして大掃除をしたのです。；私は寝台から飛び起きるとすぐにラジオのそばへ駈けつけていった。；私は娘の頼みどおりに寝台へ上って娘の身体を抱いてやりました。；フィリップは寝台のこっちの端に寝、お神さんは奥のほうに寝るのである。；そうして寝台の側へ椅子を持って行って病人の手をつかまえて涙を飜した。；彼女は姫の寝室の氈の掛かった寝台の上に、疲労れた体を横仆えていた。；その寝台の板の下には、すでに二人の侍女たちがひそんでいたのです。</t>
        </is>
      </c>
      <c r="J4259">
        <f>HYPERLINK("https://www.weblio.jp/content/寝台", "词义详情")</f>
        <v/>
      </c>
      <c r="K4259">
        <f>HYPERLINK("https://yourei.jp/寝台", "查看例句")</f>
        <v/>
      </c>
    </row>
    <row r="4260">
      <c r="A4260" t="inlineStr">
        <is>
          <t>人体</t>
        </is>
      </c>
      <c r="B4260" t="inlineStr">
        <is>
          <t>成功</t>
        </is>
      </c>
      <c r="C4260" t="inlineStr">
        <is>
          <t>読み方：じんたい
［名］
１（人体）人間のからだ。「—に及ぼす影響」「—実験」
２人のようす。人柄。人品。にんてい。
「やら—にも似合はぬ事をおしやる」〈虎明狂・雁盗人〉
３人を丁寧にいう語。おかた。御仁(ごじん)。
「ソノ里ニ名ヲバイソポト言ウテ異形不思議ナ—ガオヂャッタガ」〈天草本伊曽保・イソポが生涯〉
４⇒御仁体(ごじんたい)
［名・形動ナリ］体裁が悪いこと。また、そのさま。
「—な事云はずと、人の来ぬ間においでいなあ」〈伎・黄金鱐〉</t>
        </is>
      </c>
      <c r="D4260" t="inlineStr">
        <is>
          <t>人体内；人体交換；人体構造；人体冷凍保存；人体表現</t>
        </is>
      </c>
      <c r="E4260" t="inlineStr">
        <is>
          <t>人身；有待</t>
        </is>
      </c>
      <c r="F4260" t="inlineStr">
        <is>
          <t>商人体；浪人体；怪人体；人体測定；人体各部</t>
        </is>
      </c>
      <c r="G4260" t="inlineStr">
        <is>
          <t>人体解剖；人体模型；人体改造；人体生理学；人体の急所</t>
        </is>
      </c>
      <c r="H4260" t="n">
        <v>29</v>
      </c>
      <c r="I4260" t="inlineStr">
        <is>
          <t>また居住スペースは人体活動を維持できる十分な重力がある必要がある。；彼は幼い頃より毒物が人体に与える影響について強い興味を抱いていた。；人体の生命活動を総合的に解明することを目標に研究活動を行っている。；日本では人体の左右の肩から出ている長い部分、腕も「手」と呼ばれる。；設立後に人体被害の影響を考慮してDDTの製造禁止を発表している。；人体を構成する器官のように、個々の組織は何らかの機能を持っている。；ただし、人体にどのような効果があるのかを明確にするよう要望している。；生死には影響を及ぼさないまでも人体への影響がないといってはならない。；これらは恒星のような天体でありながら人体と同程度の温度を持っている。；レオナルドは人体の機能は宇宙の動きと関連していると信じていた。；温冷感を決定する環境側の4要素に、人体側の2要素を加えて考慮する。；爆発のエネルギーが人体を損傷する形態は以下の4つに分類される。；筋組織と神経線維は両方とも、人体で電気的な組織と考えられている。；主に動物や人体など動きのあるものを素早く捉える訓練として行われる。；近代に入り、が人体やその他の物を簡略化したアイソタイプを考案した。；場所を表す人体語に由来する語が多くあり、これを関係名詞と称する。；銃口から人体の皮膚表面までの距離によって以下のように区別される。；家や人体などを雨から守るため、古来から防水について考えられてきた。；また、原作のような激しい人体切断や流血描写はほぼカットされている。；また、帯電している金属部に人体が触れることで感電するケースもある。；ノートパソコンを長時間使用する場合人体に与える影響が指摘されている。；しかし彼が真に専門分野としたことは、人体に対する電気の影響であった。；大きい口から小さい口に向かって進むと人体やそれに付随している物が小さくなる。；他の6価クロムと同様に人体への毒性が非常に強く、環境負荷も大きい。；振付は、動作を行う際の人体の構成や動作の流れの構成を行う芸術の一種である。；ヨーロッパの多くの国で人体への使用が禁止されている。；長期の宇宙滞在が人体に与える影響を調べることも、重要な任務の一つだった。；ボディピアスに使われ、針を人体の一部に通すことで装身具を固定する。；人体を用いての胸骨圧迫練習が固く禁じられている理由はこのためである。</t>
        </is>
      </c>
      <c r="J4260">
        <f>HYPERLINK("https://www.weblio.jp/content/人体", "词义详情")</f>
        <v/>
      </c>
      <c r="K4260">
        <f>HYPERLINK("https://yourei.jp/人体", "查看例句")</f>
        <v/>
      </c>
    </row>
    <row r="4261">
      <c r="A4261" t="inlineStr">
        <is>
          <t>甚大</t>
        </is>
      </c>
      <c r="B4261" t="inlineStr">
        <is>
          <t>成功</t>
        </is>
      </c>
      <c r="C4261" t="inlineStr">
        <is>
          <t>読み方：じんだい
［形動］［文］［ナリ］程度のきわめて大きいさま。「—な被害」
[派生]じんだいさ［名］</t>
        </is>
      </c>
      <c r="D4261" t="inlineStr">
        <is>
          <t>甚大な被害(47%)；甚大な損害(6%)；甚大な影響(4%)；甚大な損傷；甚大な損失</t>
        </is>
      </c>
      <c r="E4261" t="inlineStr">
        <is>
          <t>巨大；大きい；大変；激しい；恐ろしい</t>
        </is>
      </c>
      <c r="F4261" t="inlineStr">
        <is>
          <t>損害甚大；あまりにも甚大；甚大な経済的</t>
        </is>
      </c>
      <c r="H4261" t="n">
        <v>29</v>
      </c>
      <c r="I4261" t="inlineStr">
        <is>
          <t>幹線道路沿いのこの町は、スウェーデン戦争で特に甚大な被害を受けた。；第二次世界大戦直後の1945年4月4日の夜に甚大な事故が発生した。；基本的に敵の数が多い状態で相手の先制を許すと味方に甚大な被害が出る。；最初のカルタゴ騎兵攻撃に衝撃を受けたローマ軍の被害は甚大であった。；この豪雨は町の歴史上おそらく最も甚大な被害をもたらした天災であった。；その台風はアジア各国に甚大な被害をもたらし、様々な影響を与えた。；この戦闘は重要な指揮官の損失の多さでは特に被害甚大となった。；しかし爆発の電磁パルスの影響で、発射基地周辺は甚大な被害を受けた。；これらは甚大な被害によって外部からの救援を必要とする場合が多い。；マイソール軍の被害は甚大で、これはあまりにも重すぎるものだった。；更に1964年6月16日に発生した新潟地震では甚大な被害を受けた。；科学者的に予想すると甚大な雑種海水動物の可能性が高いと言われている。；この戦争では、フランケン地方の多くの町や集落が甚大な損害を被った。；しかしスターゲイザーの被害も甚大だったため遺棄せざるを得なくなった。；勢力が強い台風の場合は、雨と風の両方で甚大な被害が出ることも少なくない。；甚大な被害を出しながらも、生き残った人々は人類の再建を誓うのだった。；しかし当時のモスクワ国家は甚大な経済的・社会的危機を迎えていた。；台風による被害が甚大であったとして変更されたアジア名は以下の通り。；しかし一方で、洪水の度に川沿いの地域に甚大な被害が出ていた。；このような通常言語文の関数的な分析は後に哲学と言語学に甚大な影響を与えた。；そしてこのときの大雨は関東地方の多くの田畑に甚大な被害をもたらした。；この文禄・慶長の役で甚大な被害を受けた朝鮮半島では反日感情が残る。；一方、名阪特急の営業成績は東海道新幹線の開業で甚大な影響を被った。；先の戦闘で甚大な損害を被っていたため、久智は追撃を断念し撤退した。；この戦闘によるアドミラル・グラーフ・シュペーの被害は甚大であった。；阪神淡路大震災の際には、阪神間にある諸教会が甚大な被害を受けた。；多くの小さな町が被害を受け農業の被害は甚大だった。；このときの甚大な被害はジュヌヴィリエの町全体で起きていた。；竜巻が発生することもあり、1987年には甚大な被害をもたらした。</t>
        </is>
      </c>
      <c r="J4261">
        <f>HYPERLINK("https://www.weblio.jp/content/甚大", "词义详情")</f>
        <v/>
      </c>
      <c r="K4261">
        <f>HYPERLINK("https://yourei.jp/甚大", "查看例句")</f>
        <v/>
      </c>
    </row>
    <row r="4262">
      <c r="A4262" t="inlineStr">
        <is>
          <t>診断</t>
        </is>
      </c>
      <c r="B4262" t="inlineStr">
        <is>
          <t>成功</t>
        </is>
      </c>
      <c r="C4262" t="inlineStr">
        <is>
          <t>読み方：しんだん
［名］(スル)
１医者が患者を診察して、健康状態、病気の種類や病状などを判断すること。「—を下す」「インフルエンザと—する」「健康—」
２物事の実情を調べて、その適正や欠陥の有無などを判断すること。「経営—」</t>
        </is>
      </c>
      <c r="D4262" t="inlineStr">
        <is>
          <t>診断される(4%)；診断名；診断法；診断できる；診断書</t>
        </is>
      </c>
      <c r="E4262" t="inlineStr">
        <is>
          <t>見る；比較；チェック；調べる；点検</t>
        </is>
      </c>
      <c r="F4262" t="inlineStr">
        <is>
          <t>早期診断；臨床診断；正確な診断；除外診断；迅速診断</t>
        </is>
      </c>
      <c r="G4262" t="inlineStr">
        <is>
          <t>診断書；診断結果；診断装置；診断学；診断士</t>
        </is>
      </c>
      <c r="H4262" t="n">
        <v>29</v>
      </c>
      <c r="I4262" t="inlineStr">
        <is>
          <t>男性のほうが診断率が高いが、男女で等しく確認されると言われている。；これは、状態を表現しただけのもので原因まで含めた診断名ではない。；その上健康も害しており、当地の医者に心臓病だとの診断を受けていた。；これは母マリーがイレーヌを産むときに診断されたのと同じ病気だった。；ただし正確な診断を行うためには入院して3夜連続で測定を行う必要がある。；女性の受診率が高いため診断数も多いが、罹患率には男女差はないという。；の背中の痛みは、夏になっても鎮まらず、後に脊椎骨骨折と診断された。；調律が異常と判定された場合は後述される不整脈の診断を行うこととなる。；約1年後、再び腹部に強い痛みを覚え検査を受け腸閉塞と診断され入院。；これは患者の状態を把握するもので不整脈の診断にはそれほど重要ではない。；負傷していた左目も医師の診断で完全に回復したと伝えられた。；このため、肥満と診断する際は下のような定義と併用することがある。；公演後に病院で全治3ヶ月との診断を受けたが、活動はそのまま継続。；医者たちはヨハン2世に長期の静養を取らねばならないと口々に診断した。；そのために支援が遅れがちで、大人になってからの診断例も目立つ。；働いていたとしても本当の診断名を隠すように医師から指導されることもある。；こうした症状は外からではわからないため、特別な機械を使わないと診断できない。；良性腫瘍の診断は必ずしも臨床的な予後が良好であることを意味しない。；推定診断は、発熱の症状と次の中から2つの症状を確認することで行われる。；多彩な像を呈するため肺結核は画像のみでの正確な診断は困難である。；良子女王は健康体と診断されたが、このとき色覚検査は行っていなかった。；しかし青春期または青年期まで診断される可能性のほうが高く一般的である。；一般的な病気の症状に対して、それと似たような稀な病気を診断してしまうこと。；その後意識は回復したものの、復帰には最短でも1年はかかると診断された。；診断や治療などに直接関連する応用的な研究分野である。；したがって同じ非定型精神病と診断されても症状は、さまざまである。；幼稚園のころに急性腎炎と診断され、入院生活を送るようになったという。；事故後も意識ははっきりしており搬送先の病院で左鎖骨骨折と診断された。；高尿酸血症の診断では必ず二次性の高尿酸血症・痛風の可能性に検討する。</t>
        </is>
      </c>
      <c r="J4262">
        <f>HYPERLINK("https://www.weblio.jp/content/診断", "词义详情")</f>
        <v/>
      </c>
      <c r="K4262">
        <f>HYPERLINK("https://yourei.jp/診断", "查看例句")</f>
        <v/>
      </c>
    </row>
    <row r="4263">
      <c r="A4263" t="inlineStr">
        <is>
          <t>新築</t>
        </is>
      </c>
      <c r="B4263" t="inlineStr">
        <is>
          <t>成功</t>
        </is>
      </c>
      <c r="C4263" t="inlineStr">
        <is>
          <t>読み方：しんちく
［名］(スル)新しく建物を建てること。また、その建物。「マイホームを—する」</t>
        </is>
      </c>
      <c r="D4263" t="inlineStr">
        <is>
          <t>新築移転(7%)；新築住宅；新築落成；新築祝い；新築家屋</t>
        </is>
      </c>
      <c r="E4263" t="inlineStr">
        <is>
          <t>建設；作り；建築；建造；構築</t>
        </is>
      </c>
      <c r="F4263" t="inlineStr">
        <is>
          <t>校舎新築；新築開館；新築開場；新築オープン；新築アパート</t>
        </is>
      </c>
      <c r="G4263" t="inlineStr">
        <is>
          <t>新築地劇団；新築マンション；新築地</t>
        </is>
      </c>
      <c r="H4263" t="n">
        <v>29</v>
      </c>
      <c r="I4263" t="inlineStr">
        <is>
          <t>また同年、新築の建物にアメリカ先住民研究の支援センターを設置した。；昼も夜も夫婦で必死で働いたおかげで、店を新築することもできた。；小見川町の協力による校地の拡張や校舎新築に向けた動きが活発化する。；現在では珍しくなっているが、郊外で新築物件の供給が行われている。；旧ビルの老朽化のため総事業費約3億1500万円をかけて新築された。；そしてこの日に新築の家に引っ越し、疲労困憊の体で早めに床に就いた。；かつては湯治場だったが、現在は新築された近代的な宿泊棟となっている。；建物は小出出張所時代に移転新築されたが、数年間しか使用されなかった。；南側のスタンドを全て解体し新築、北側は店舗スペース等を追加し拡張した。；総合部が設置された際に新しく総合部校舎が新築された。；ただ広島が急速に発展していく中で手狭となったことから新築移転することになった。；年号が昭和になったばかりのころ、北村は湯島に左楽の家を新築した。；開発に伴い新築・更新された事例のほか、敷地を利用して公的施設とされたのも多い。；KTMコミューターの運行区間拡大にともない駅が移転、新築された。；新駅舎は旧駅舎の南側に新築され、待合室と公衆トイレが併設されている。；松原駅から改称された際に三善製紙が費用を負担して待合室を新築している。；自宅を新築し、後にアメリカの住居としては唯一世界遺産に登録されている。；市の大変少ない地域では新築住宅が建設されている。；なお、演習林事務所については1930年に現在の事務所が新築された。；新築で対応した場合と比べ大幅な事業費の圧縮が図られている。；新築竣工した際は4階建てだったものの、その後7階まで増築を行った。；石川県立美術館の新築移転に伴い旧館を利用して1984年に開館した。；これは、家を新築する際に家の下に埋めて家内安全を願うために用いられている。；この左岸の校地が漸次拡張され、のちの校舎新築移転を期に現所在地となる。；その後みのもんたが自宅新築のため同敷地を購入し、現在も暮らしているとのこと。；校舎の新築、大規模改修を実施し、2006年12月に校舎棟Iが完成。；これらを新築することは難しいが、改築であれば比較的容易に建築可能なためである。；評価対象となるのは、日本国内の新築・既存建築物である。；カイサニエミ・グラウンドから新築されたにホームスタジアムを移転した。</t>
        </is>
      </c>
      <c r="J4263">
        <f>HYPERLINK("https://www.weblio.jp/content/新築", "词义详情")</f>
        <v/>
      </c>
      <c r="K4263">
        <f>HYPERLINK("https://yourei.jp/新築", "查看例句")</f>
        <v/>
      </c>
    </row>
    <row r="4264">
      <c r="A4264" t="inlineStr">
        <is>
          <t>身長</t>
        </is>
      </c>
      <c r="B4264" t="inlineStr">
        <is>
          <t>成功</t>
        </is>
      </c>
      <c r="C4264" t="inlineStr">
        <is>
          <t>読み方：みたけ
１身の丈。身長。
２洋服で、肩から裾までの丈。→着丈
３和服で、長着の身頃(みごろ)の長さ。肩山から裾までの丈。→着丈</t>
        </is>
      </c>
      <c r="D4264" t="inlineStr">
        <is>
          <t>身長一(3%)；身長差(2%)；身長五；身長二；身長六</t>
        </is>
      </c>
      <c r="E4264" t="inlineStr">
        <is>
          <t>背；丈；背丈；身の丈；上背</t>
        </is>
      </c>
      <c r="F4264" t="inlineStr">
        <is>
          <t>高い身長；低い身長；公称身長；身長百；平均的な身長</t>
        </is>
      </c>
      <c r="G4264" t="inlineStr">
        <is>
          <t>身長差別</t>
        </is>
      </c>
      <c r="H4264" t="n">
        <v>29</v>
      </c>
      <c r="I4264" t="inlineStr">
        <is>
          <t>ロボットの身長設定はシリーズ他作品よりも大きいものとなっている。；小学卒業時までに現在の身長になり、以後正しい年齢で見られなくなる。；男女が行う場合は、身長が女性より高いであろう男性が傘を持ち構える。；小児では身長の伸びの低下によって分泌の不足に気づかれることも多い。；妊娠中に牛乳を多く飲むと子供の身長が高くなるという研究結果がある。；逆に、身長計を使ってもそれの誤差が数cmもあれば正確に測定出来ない。；女性の身長を表す2本の水平線の間には二進法の 8 が記されている。；この頃には既に身長にしては体重があり、それをからかう記者などもいた。；出した金を後から返済して、身長が縮むのを待ってもらうことはできない。；身長は人間の子供と同じくらいであるが、耳が尖っているのでそれと分かる。；身長が急激に伸びながら体重が逆に低下する時期があるのはそのためである。；身長の高い選手があまりに有利にならないように導入された。；形状や感触は実物に近いが、身長は比較的小さく体重も軽いものが多い。；巣は地面近くには作らず、人の身長よりも高い位置に作ることが多い。；号数の多くは身長に応じた体格から平均的に算出した寸法で生産されている。；身長は直立した状態で伸ばした耳の高さが歌の膝の高さくらい。；研究によると、身長が低いことと平均余命が長いことには相関関係がある。；身長102cm以上、3歳以上の条件を満たさない人の利用はできない。；例えば、生徒の身長の統計をとる場合、度数分布表は以下のようになる。；米軍の捕虜になった際の拘留記録によると身長は178センチである。；しかし、身長の低さなどから、発表回でメインの役をもらうことが出来なかった。；その身長は小柄な人間ほどで、頭部は大きく灰色の肌をしている。；身長166cmは2007年時点での12球団の中で最小の投手だった。；身長、体重などの情報はトニー自身が興味がないので知らないという。；高校生で身長の伸びが止まって以降、モデルの活動はしていない。；特に高校に入ってからは身長が大きく伸びたという。；身長や体重は再生前と同一であり、容姿や能力にもまったく変化が見られない。；身長や体重が大きくなる事は成長と言い、言葉や運動を覚える事を発達と言う。；入団当初娘役だったが身長の問題などがあり早くに男役に転向した。</t>
        </is>
      </c>
      <c r="J4264">
        <f>HYPERLINK("https://www.weblio.jp/content/身長", "词义详情")</f>
        <v/>
      </c>
      <c r="K4264">
        <f>HYPERLINK("https://yourei.jp/身長", "查看例句")</f>
        <v/>
      </c>
    </row>
    <row r="4265">
      <c r="A4265" t="inlineStr">
        <is>
          <t>慎重</t>
        </is>
      </c>
      <c r="B4265" t="inlineStr">
        <is>
          <t>成功</t>
        </is>
      </c>
      <c r="C4265" t="inlineStr">
        <is>
          <t>読み方：しんちょう
［名・形動］注意深くて、軽々しく行動しないこと。また、そのさま。「—を期する」「万事に—な人」「—に検討を重ねる」⇔軽率。
[派生]しんちょうさ［名］</t>
        </is>
      </c>
      <c r="D4265" t="inlineStr">
        <is>
          <t>慎重な姿勢；慎重論；慎重な態度；慎重な手つき；慎重な性格</t>
        </is>
      </c>
      <c r="E4265" t="inlineStr">
        <is>
          <t>注意；警戒；丁寧；つくづく；じっくり</t>
        </is>
      </c>
      <c r="F4265" t="inlineStr">
        <is>
          <t>慎重姿勢；慎重すぎるほど慎重；慎重な指揮官；慎重な足取り；慎重熟慮</t>
        </is>
      </c>
      <c r="G4265" t="inlineStr">
        <is>
          <t>慎重居士；慎重勇者</t>
        </is>
      </c>
      <c r="H4265" t="n">
        <v>29</v>
      </c>
      <c r="I4265" t="inlineStr">
        <is>
          <t>彼はまた、万年筆で慎重に原稿を書く習慣があることでも知られていた。；彼の提案は実行されることになり、慎重な繁殖プログラムが開始された。；しかしこの際も文王は慎重な態度を取り具体的な行動を起こさなかった。；また日本はこの問題について日本の国体論を非常に慎重に意識していた。；一方海軍はデータを取りながら慎重に開発を進める安全策を主張した。；そしてさらに校正がなされ、慎重を期する時には三校以上が重ねられる。；これらのリスクファクターがある患者はより慎重な治療が求められる。；また、長きに渡る戦いの経験を経て、冷静かつ慎重な性格になっている。；彼らとしてもアメリカ以外進出したことはなかったので、慎重だったのである。；他に、彼の教えの実践的側面の、慎重に言葉を選んだ説明もなされた。；彼は慎重に観測を重ね、それが未発見の衛星であることを発表した。；停止の前後の年月日は特に注意して慎重に行動するべきとされる。；その曖昧さは経済運営にも反映され、人民公社の解体は慎重に進められた。；ただし禁煙運動が進む中、この引き下げには慎重論も根強く残っている。；ただし他党と比べて「専守防衛」の武力行使自体にもかなり慎重である。；創作ペースは、多くの委嘱者に囲まれた現在ですら、非常に慎重である。；それぞれ信用と安心、慎重な判断を示す3つの鍵があしらわれている。；ロベスピエールの慎重な立場を大きく変化させる事件が発生する。；タップが折れてしまうと除去することは困難なため、慎重に作業する。；そのベンチマークが認証されたものでなければ、慎重さが重要となる。；ただしどちらも水に浮くので慎重に米研ぎをすれば気づくことがある。；過去の心的外傷との関連に関しては、慎重な解釈が要求されるだろう。；対する中道派はそれに反対ないし慎重な立場をとる勢力である。；慎重に検討した結果、ハリソンはヒギンズ教授役を受けることにした。；そのことで関係が複雑にならないように願うばかりだけど、慎重にならないとね。；特に忘れ薬は軍事・犯罪・政治的な利用が考えられるため、慎重な開発が求められている。；また英・仏両国も慎重ながら原則的にポーランドの独立支持に踏み切った。；よって、政府与党は慎重に法制を実施することに念頭がおかれたのである。；アンドレーア・ガブリエーリは明らかに自作の出版には慎重であった。</t>
        </is>
      </c>
      <c r="J4265">
        <f>HYPERLINK("https://www.weblio.jp/content/慎重", "词义详情")</f>
        <v/>
      </c>
      <c r="K4265">
        <f>HYPERLINK("https://yourei.jp/慎重", "查看例句")</f>
        <v/>
      </c>
    </row>
    <row r="4266">
      <c r="A4266" t="inlineStr">
        <is>
          <t>進捗</t>
        </is>
      </c>
      <c r="B4266" t="inlineStr">
        <is>
          <t>成功</t>
        </is>
      </c>
      <c r="C4266" t="inlineStr">
        <is>
          <t>読み方：しんちょく
［名］(スル)物事がはかどること。「工事の—状況」「仕事が—する」</t>
        </is>
      </c>
      <c r="D4266" t="inlineStr">
        <is>
          <t>進捗度；進捗ぶり；進捗具合；進捗状態；進捗報告</t>
        </is>
      </c>
      <c r="E4266" t="inlineStr">
        <is>
          <t>発展；進出；向上；進行；進み</t>
        </is>
      </c>
      <c r="F4266" t="inlineStr">
        <is>
          <t>事業進捗；開発進捗；かなり進捗；建設進捗；更新進捗</t>
        </is>
      </c>
      <c r="G4266" t="inlineStr">
        <is>
          <t>進捗管理；進捗率</t>
        </is>
      </c>
      <c r="H4266" t="n">
        <v>29</v>
      </c>
      <c r="I4266" t="inlineStr">
        <is>
          <t>私は自分の本を調べながら、弟の勉強がどの位進捗したかを計つてゐた。；彼は工事の進捗状態に眼を移しつつ、例の音楽的な声でしゃべっていた。；一方には学校を控えていたから、思うように自分の仕事も進捗らなかった。；そうでなければ、これほど捜査の進捗がないことには説明がつかなかった。；駅跡地にはホームが残っていたが、この事業の進捗に伴い撤去された。；翌21日から騎兵第1旅団は攻撃を開始したが、戦闘は進捗しなかった。；それはマルライヒおよび七人組の裁判を迅速に進捗せんがためであった。；彼女を見つけ出すという点では、たしかに少しも進捗は見られていない。；一方には学校を控えていたから、思うように仕事も進捗らなかった。；園区の整備進捗とどもに、周縁に更地状態のままの未開発地がまだ多い。；物や事が本来の進行方向・進捗方向とは正反対の側へ進むことを言う。；起工式から一年以上が経つというのに、工事はほとんど進捗していない。；製作の進捗度が不明のため、実際に配信されない可能性のあるものも含まれる。；前述したブログデンの報告によれば、トンネル工事の進捗は良いとされた。；北京から送られて来た写真を見ましたが、あれ以上進捗していないようです。；家の改造が進捗している間、矢代の友人たちの間にも変化があった。；この測夫の熟練のいかんによって観測作業の進捗が支配されるのである。；何度確認したところで画面の文字に変化はなく、昨日から捜査に進捗は見られない。；扉の鍵前の破壊作業が進捗して不安になってきたからだ。；その後百合とは何度も二人だけになる機会があったが、進捗はない。；戦略開発の最終段階には、進捗や不慮の事態発生時の測定計画を作成する。；「かぐ」ことなしにはいかなる実験も一歩も進捗することはあり得ない。；冬の初めの或る日、水素の仕事も大分進捗していた頃のことである。；自然の発育を見ると、自分の進捗のまどろこしさを思わずには居られない。；進捗はGPAを参考に秀・優・良・可・片・無・他の5+2段階とした。；おそらく、三人だけで議論をつづけていても事態は進捗しそうもないと感じたのであろう。；今ごろは捜査はどの辺まで進捗しているのであろうか。；冬の初めのある日、水素の仕事も大分進捗していた頃のことである。；この要望に応えるには、前工程に戻って進捗度を戻さざるをえなくなる。</t>
        </is>
      </c>
      <c r="J4266">
        <f>HYPERLINK("https://www.weblio.jp/content/進捗", "词义详情")</f>
        <v/>
      </c>
      <c r="K4266">
        <f>HYPERLINK("https://yourei.jp/進捗", "查看例句")</f>
        <v/>
      </c>
    </row>
    <row r="4267">
      <c r="A4267" t="inlineStr">
        <is>
          <t>進呈</t>
        </is>
      </c>
      <c r="B4267" t="inlineStr">
        <is>
          <t>成功</t>
        </is>
      </c>
      <c r="C4267" t="inlineStr">
        <is>
          <t>読み方：しんてい
［名］(スル)人に物を差し上げること。進上。「記念に自著を—する」</t>
        </is>
      </c>
      <c r="D4267" t="inlineStr">
        <is>
          <t>進呈する(21%)；進呈される(9%)；進呈しよ(6%)；進呈いたし</t>
        </is>
      </c>
      <c r="E4267" t="inlineStr">
        <is>
          <t>くれる；与える；上げる；授与；述べる</t>
        </is>
      </c>
      <c r="F4267" t="inlineStr">
        <is>
          <t>ポイント進呈；粗品進呈</t>
        </is>
      </c>
      <c r="H4267" t="n">
        <v>29</v>
      </c>
      <c r="I4267" t="inlineStr">
        <is>
          <t>帰りに李青年に進呈しようかと考えたが、やめといたほうがよさそうだ。；わたしは彼の気が楽になるように、これを進呈しようと考えただけだ。；そのような結論に到達したあと、そのアルバムを冬彦は夏子に進呈した。；僕は悪魔の子供を一匹つれてきて、チャレンジャに進呈しようと思うのさ。；きみがニコラ・デュグリヴァルの奥さんに五万フラン進呈した話がかい!；五分以内で通り抜けりゃ賞品を進呈するとあったんで、皆が張り切った。；あいつ達のネタを一週間以内にもってくれば手附の十倍の報酬を進呈するわ。；一時期このクイズの正解者にはゲストからゲスト賞が進呈されていた。；そして、誤植を発見した人には謝礼を進呈することを約束していた。；私はちょうど持って行っていた日本音楽のレコードを進呈した。；知識を他人に進呈することが、うれしくてならないという様子だった。；本ができましたら、無代で十冊でも二十冊でも進呈いたしますわ。；あの人に進呈したのなら、あの人んところにあるはずだわ。；その家の主人に進呈した時計の他には四リーヴルと十スウが残っていたにすぎなかった。；毎年会員登録をすると、貨車などのメンバー専用の製品が進呈される。；今ちょうど修理にだしてあるが、あれが直ってきたら進呈しよう。；トップ賞を獲得したパネラーにはその町の特産品などを進呈した。；投稿内容が優秀作に選ばれたリスナーには、番組から景品を進呈した。；頼嗣に貞観政要を学んでほしいという願いから進呈したものと考えられる。；使い残し進呈するから乗りに行ったらええやないか。；挿絵が気に入つたと云つていつまでも龍吉君はそれを手から離さぬので進呈する。；今夜の生贄を連れてきてくれた礼にこの薬を進呈する。；武帝はこれを聞いて喜び、王偃民に進呈された礼物を全て柳弘に賜った。；鴨一羽、そのうち、とったら進呈するがね、しかし、それには条件がある。；なお地酒2本セットは後述の「基本コース」の乗客にのみ進呈される。；カマキリは人間の髪の毛が非常に好きで進呈すると幾本でも貪り食う。；万一間違があったにしても五百円進呈すると言うんだから、大した損はない。；お供え物の一つや二つ自腹を切って進呈してもいい気分である。；だから、若い人たちにぼくが与えられるものを惜しみなく進呈してゆきたい。</t>
        </is>
      </c>
      <c r="J4267">
        <f>HYPERLINK("https://www.weblio.jp/content/進呈", "词义详情")</f>
        <v/>
      </c>
      <c r="K4267">
        <f>HYPERLINK("https://yourei.jp/進呈", "查看例句")</f>
        <v/>
      </c>
    </row>
    <row r="4268">
      <c r="A4268" t="inlineStr">
        <is>
          <t>進展</t>
        </is>
      </c>
      <c r="B4268" t="inlineStr">
        <is>
          <t>成功</t>
        </is>
      </c>
      <c r="C4268" t="inlineStr">
        <is>
          <t>読み方：しんてん
［名］(スル)事態が進行して、新たな局面があらわれること。また、物事が進歩・発展すること。「事件が意外な方面に—する」「医学のめざましい—」</t>
        </is>
      </c>
      <c r="D4268" t="inlineStr">
        <is>
          <t>進展する(7%)；進展状況；進展ぶり；進展具合；進展次第</t>
        </is>
      </c>
      <c r="E4268" t="inlineStr">
        <is>
          <t>展開；発展；成長；進出；向上</t>
        </is>
      </c>
      <c r="F4268" t="inlineStr">
        <is>
          <t>大きく進展；急速な進展；具体的な進展；新しい進展；急進展</t>
        </is>
      </c>
      <c r="H4268" t="n">
        <v>29</v>
      </c>
      <c r="I4268" t="inlineStr">
        <is>
          <t>情報化社会の進展にともなって新たな問題も生じているといわれている。；新タワー構想を推進していくことで建設に向けた計画に進展が付いた。；XMLを使用すべきかとの議論が何年も続けられているが、進展は遅い。；この発見をきっかけに、本作品の研究が大きく進展することとなった。；時代の進展に対応した教育内容の導入で教育内容の現代化を実現。；材料中にき裂や損傷が、発生・進展して破壊に至るまでの過程を扱う。；この道路の開通は腰越地域の宅地化を急速に進展させた原動力となった。；また、産業面では工業化が進展した一方で、農業の衰退が見られている。；この分野は現在さらに進展しつつあるため、今後も大小の変更があり得る。；また、人物に対してアイテムを使った時にストーリーが進展する事もある。；この頃には正教会との合同へ向けた動きもあったが、進展しなかった。；事態が進展したのは最初の発見からおよそ30年後のことだった。；この方針に反対した岡本の辞任もあって、樺太の開拓は進展しなかった。；数年間、日朝の国交交渉が進展せず、この余波がさまざまな形で現れた。；山本草二によれば、不干渉義務は歴史的に三段階の進展を遂げたとする。；現代の生命科学及び技術の進展に対応する生命論を目指している。；また現代の研究の進展により戦国時代末期に成立したとの見方が示されている。；戦国時代から商業が発達した事による貨幣経済の進展が基になった。；その後近代以降にモータリゼーションの進展に伴い自動車道路へと発展していった。；カサブブの復職以降、コンゴの各勢力間で和解に向けた動きが進展した。；動員解除を適切に行わねば大変な事態に進展する可能性があった。；一方、国内では様々な面で充実を見、特に文化面では顕著な進展が見られた。；あなたが事態の進展をある程度理解しており、責任感も備えていると感じました。；しかし、この構想についてはその後具体的な進展はみられなかった。；郊外化の進展は、既存の市街地の衰退以外にも多くの問題点を抱えている。；これらを通じて集められた知見は法規制や大気汚染の予測へと進展する。；情報革命の進展に伴い、制度改革がしばしば行われるようになった。；しかし第2次世界大戦後、後期知識学期の研究も着実に進展しつつある。；IT革命の進展には1948年の情報理論の提唱が大いに寄与している。</t>
        </is>
      </c>
      <c r="J4268">
        <f>HYPERLINK("https://www.weblio.jp/content/進展", "词义详情")</f>
        <v/>
      </c>
      <c r="K4268">
        <f>HYPERLINK("https://yourei.jp/進展", "查看例句")</f>
        <v/>
      </c>
    </row>
    <row r="4269">
      <c r="A4269" t="inlineStr">
        <is>
          <t>しんと</t>
        </is>
      </c>
      <c r="B4269" t="inlineStr">
        <is>
          <t>成功</t>
        </is>
      </c>
      <c r="C4269" t="inlineStr">
        <is>
          <t>［副］(スル)
１物音一つしないさま。静まりかえっているさま。「教室が水を打ったように—なる」
２寒さ・音などが深く身にしみとおるさま。
「土間へ入ると、—寒くて」〈康成・雪国〉</t>
        </is>
      </c>
      <c r="D4269" t="inlineStr">
        <is>
          <t>しんと静まりかえり(3%)；しんと静まり返り(2%)；しんと静まり返る；しんとなり；しんと静まりかえる</t>
        </is>
      </c>
      <c r="E4269" t="inlineStr">
        <is>
          <t>静かに；ひっそり；ひっそりと；深々と；森閑と</t>
        </is>
      </c>
      <c r="F4269" t="inlineStr">
        <is>
          <t>しんとしずまり；一瞬しんと；みんなしんと；しんと沈ん；しんとなりまし</t>
        </is>
      </c>
      <c r="G4269" t="inlineStr">
        <is>
          <t>しんとう</t>
        </is>
      </c>
      <c r="H4269" t="n">
        <v>29</v>
      </c>
      <c r="I4269" t="inlineStr">
        <is>
          <t>英次はその大きな建物が、しんと静まり返っているのを不思議に思った。；藤尾は安心したように枕をし直し、間もなくしんと眠りいってしまった。；自分が来た方向を振り返ってみたが、ただ林がしんと広がっているだけだった。；若夫婦はとくになにを話すでもなく、車内の空気はしんと静かだった。；三人だけになると、急に座がしんと静まり、窓の外の闇が深くなった。；いつかしんとなつた日本人の群の上に雲雀の囀るやうな音ばかりが高かつた。；ハリーが肖像画の穴を登って入っていくと、部屋中がしんとなった。；やがて僕たちはしんと音のない水球儀の中で寄り添うように浮かんでいた。；書記が書いたものを読みあげるあいだ、廷内はしんと静まり返っていた。；表玄関のドアはまだしまっていて、いっさいがしんと寝しずまっていた。；それと共に舟の中もしんとなったが、しばらくして小さな声が起った。；窓の外が一瞬、しんと静まりかえったと思うと、新たな音が聞こえた。；村で戸を開けているうちはなくって、どこもしんと静まり返っていた。；辺りは一瞬しんとなり、呆気にとられた人々の視線が女に降り注いだ。；しんと静かになった頭が空になり、田口は小銃を肩に洞窟の奥に向かった。；狩りが始まっているとは思えぬほど、辺りはしんと静まり返っていた。；いまの船とちがってエンジン音がないので、船はしんと静まっている。；しんと静まり返った廊下は長く、どこまでもどこまでも続いていた。；すっかり聞えなくなるまで、みんな黙って、しんと耳を澄ませていた。；俯向いたままで、重たげにゆっくりと脇のほうへ向き、しんと黙っていた。；幹部が何人か出たり入ったりしていたらしいが、今はしんと静まりかえっている。；誰もいない、しんと静まりかえった店に、女が独りで酒を飲んでいた。；が、闇はしんと静まり返ったまま、結城の声に反応しようとはしなかった。；あとは、また、しんとなって、僕は立ち上り、廊下に出て、庭を眺めた。；エレベーターホールはしんと静まって誰も住んでいないみたいだ。；甲斐はそれには気づかないようすで、しんと、うた声に聞きいっていた。；細かな泡がはじけたあと、彼女が飛び込んだ第二コースはしんとなった。；真夜中をすぎてから登ったので、大きな家はしんと静まり返っていた。；大きな声をするのもはばかられるほどあたりはしんと静まっていた。</t>
        </is>
      </c>
      <c r="J4269">
        <f>HYPERLINK("https://www.weblio.jp/content/しんと", "词义详情")</f>
        <v/>
      </c>
      <c r="K4269">
        <f>HYPERLINK("https://yourei.jp/しんと", "查看例句")</f>
        <v/>
      </c>
    </row>
    <row r="4270">
      <c r="A4270" t="inlineStr">
        <is>
          <t>進度</t>
        </is>
      </c>
      <c r="B4270" t="inlineStr">
        <is>
          <t>成功</t>
        </is>
      </c>
      <c r="C4270" t="inlineStr">
        <is>
          <t>読み方：しんど
物事の進み方の程度。はかどりぐあい。「—が速い」「—をそろえる」</t>
        </is>
      </c>
      <c r="D4270" t="inlineStr">
        <is>
          <t>歩；速度；スピード；歩み；ペース</t>
        </is>
      </c>
      <c r="F4270" t="inlineStr">
        <is>
          <t>授業進度；開発進度</t>
        </is>
      </c>
      <c r="H4270" t="n">
        <v>29</v>
      </c>
      <c r="I4270" t="inlineStr">
        <is>
          <t>また継続的に一般の生徒のクラスより授業進度が速く発展的な内容を学ぶ。；教育の成果とか、進度などというものを測定しようなどとは思わないことだ。；都市間をより直線的に結ぶ高速線の建設もゆっくりとした進度ながら進められている。；学習面では、英語・数学に特に力を入れており、数学の進度も早い。；授業の進度に誤解がないか、再度確認するよう尾道先生にお願いしたんです。；このときの展開進度は設計値に近いため、展開駆動力は設計通りに維持されていたと判断された。；他の公立学校と授業進度・内容を変えて、研究のデータとして利用されている。；イギリスでの放送は地域によってずれていたため進度も異なった。；他の技術者がそれをしないのは、おそらく彼らには部隊ごとの進度が頭に入っていないからだろう。；不幸にもピルグリム号には、進度を早くするスクリューは装備されていなかった。；いい加減な母親だと、結果はそのまま子供の進度に反映される。；そのころから、病人が続出して、作業の進度は目にみえておとろえた。；そのため、このままの進度が維持されると財政再生団体に転落する恐れがある。；対戦モードでは、ストーリーモードの進度に応じて、使うことのできる戦車が増えていくようになっている。；その原因として徒弟制度が無くなったこと、時代の進度の加速を挙げる。；逆に、あまり下げると進度が遅れて、教科書が終わらない事態になる。；頂上に近づきつつあることは分っていたがその登攀進度はおそかった。；ピルグリム号には、一定時間の進度を正確に示す測程儀があった。；そこから派生して、他人に左右されず、自らの方法や進度を崩さない性格の人間を指すときにも使用される。；ヨーゼフ2世の改革の進度は、ハプスブルク帝国内で統一されているわけではなかった。；あのチームは、自分の進度を点検する力を完全に持っているし、そんなものは三十分でできるんだ。；いっぽう上陸した米軍は、彼らの目の前で驚くべき進度で破壊された橋を修復し、構築していった。；序列を決するのは肩書きではなく年齢ではなく、探索の進度だった。；こうした動作が、手紙を書くのに非常に助けになるのは疑いのない事実であるが、それは、書く人の進度をある程度おくらすことにもなる。；開発進度が100に達するとようやく生産が可能になるが、この段階では1ヶ月に1隊しか生産できない状態である。；これは特別急行列車や食堂車が復活するなど、復興の進度を国民に示すものともなった。；授業によっては少人数クラスが編成され、個人の学習進度に応じた授業を受けられるものもある。；少人数制で、生徒それぞれの学習状況に応じて、個別の進度に合わせて授業を行う。；ゲームは上の画面でプレイ画面が、下の画面ではスコアやエリアの進度などが表示されるようになっており、土管を通って地下に行った時などは上下画面が入れ替わることがある。</t>
        </is>
      </c>
      <c r="J4270">
        <f>HYPERLINK("https://www.weblio.jp/content/進度", "词义详情")</f>
        <v/>
      </c>
      <c r="K4270">
        <f>HYPERLINK("https://yourei.jp/進度", "查看例句")</f>
        <v/>
      </c>
    </row>
    <row r="4271">
      <c r="A4271" t="inlineStr">
        <is>
          <t>しんどい</t>
        </is>
      </c>
      <c r="B4271" t="inlineStr">
        <is>
          <t>成功</t>
        </is>
      </c>
      <c r="C4271" t="inlineStr">
        <is>
          <t>［形］《「しんど」の形容詞化か》
１ひどく疲れを感じるさま。つらい。「年をとると階段の昇り降りが—・い」
２面倒が多いさま。骨が折れるさま。「近所づきあいもなかなか—・いものだ」
[派生]しんどさ［名］</t>
        </is>
      </c>
      <c r="D4271" t="inlineStr">
        <is>
          <t>しんどいこと(8%)；しんどいだろ(2%)；しんどい思い(2%)；しんどい仕事(2%)；しんどい作業</t>
        </is>
      </c>
      <c r="E4271" t="inlineStr">
        <is>
          <t>困難；大変；難しい；面倒；苦しい</t>
        </is>
      </c>
      <c r="F4271" t="inlineStr">
        <is>
          <t>ちょっとしんどい；もうしんどい；こんなしんどい</t>
        </is>
      </c>
      <c r="H4271" t="n">
        <v>29</v>
      </c>
      <c r="I4271" t="inlineStr">
        <is>
          <t>ただこんなしんどい思いをするだけなら、なんのために生きてるんです?；以前の学園祭ほどではないにせよ、しんどいことになるのは間違いない。；一度戻るのもしんどいので、今日はこのまま観察してみようかと思います。；けれど本当のところ、当時の私はかなりしんどい精神状態にありました。；病室に戻ると彼女たちはしんどそうに、体を横にしてみんなすぐ眠った。；我々だってそんなことに税金使ったりしんどい思いしたりなんかしませんよ。；二〇〇キロ近い身体を一〇メートル運ぶだけでもしんどいのだろう。；やってる役者がしんどいもんを客が観てておもしろいわけないもんな。；一人乗りから二人乗りになった復路は思った以上にしんどかった。；ホテルから出るだけでどれだけしんどかったか、思い出したんです。；ぼくでもけっこうしんどい対応をしなくちゃならないだろうね、実際。；だから、しんどいけど、人がたくさんいる場所に出ていくことも好きだった。；それどころか、こうして家に帰っていくこと自体がもうしんどいのだ。；でも、さすがにこの季節、五日もかけて森を抜け、歩いていくのはしんどい。；この段階でこれを持って歩くのはかなりしんどいだろう。；一人で支えるのはしんどいから、木の台に銃身を当てて狙うのである。；しんどい仕事ではあったが、彼には目標が与えられていた。；先行している松竹を相手に、しんどい戦いを覚悟しなければならないだろう。；正直いってぼくは坐禅というものが少々しんどくなってしまっていた。；それに明の顔からやはりしんどさがぬぐいきれていないのは紛れもない事実だった。；最初のうちは遠い、しんどいと文句を言っていたくせに、特に疲れた様子でもなかった。；その理由は「通学途中の坂を登るのがしんどかった」ためとしている。；歩いて病院へ行くのはしんどかったし、実際かなりヤバイ状態だったのも確かだった。；機織りは「しんどい」と云って一番先にやめてしまったことも思い出せた。；頭を打ちすぎて、考えるのがしんどくなってしまったのだ。；フェル博士はしんどそうにやっと巨体を階段に押しあげるとひと息ついた。；今が一番しんどい時期だろうけど、ここを乗り切ればヤスもよくなる、と。；しんどいだろうが、壁にしがみついて少しでもずり落ちないようにしてくれ。；しんどくたって、銀行から借りた方が、結局はいいんだからね。</t>
        </is>
      </c>
      <c r="J4271">
        <f>HYPERLINK("https://www.weblio.jp/content/しんどい", "词义详情")</f>
        <v/>
      </c>
      <c r="K4271">
        <f>HYPERLINK("https://yourei.jp/しんどい", "查看例句")</f>
        <v/>
      </c>
    </row>
    <row r="4272">
      <c r="A4272" t="inlineStr">
        <is>
          <t>振動</t>
        </is>
      </c>
      <c r="B4272" t="inlineStr">
        <is>
          <t>成功</t>
        </is>
      </c>
      <c r="C4272" t="inlineStr">
        <is>
          <t>読み方：しんどう
［名］(スル)
１揺れ動くこと。「爆音でガラス戸が—する」
２ある量が、一つの状態を中心に周期的に変動すること。振り子・ばねの運動や電気振動など。
３数学で、無限に続く数列・関数列の極限が不定で、収束せず、また極限値が無限大でもないこと。</t>
        </is>
      </c>
      <c r="D4272" t="inlineStr">
        <is>
          <t>振動音(2%)；振動波；振動数；振動面；振動系</t>
        </is>
      </c>
      <c r="E4272" t="inlineStr">
        <is>
          <t>揺れ；動揺；振る；震動；揺</t>
        </is>
      </c>
      <c r="F4272" t="inlineStr">
        <is>
          <t>激しい振動；激しく振動；大きな振動；低振動；異常振動</t>
        </is>
      </c>
      <c r="G4272" t="inlineStr">
        <is>
          <t>振動子；振動板；振動エネルギー；振動状態；振動パック</t>
        </is>
      </c>
      <c r="H4272" t="n">
        <v>29</v>
      </c>
      <c r="I4272" t="inlineStr">
        <is>
          <t>エンジン回転数はエンジン音・振動の大きさの変化から判断されていた。；そして理論はフォノンの振動数だけが関係しているため比較的簡単である。；プランクの理論式は、高振動数の領域ではヴィーンの理論式に移行する。；超音波とは人間の耳には聞こえない高い振動数をもつ弾性振動波である。；酷い振動が起こり、寿命も短くなると言って、完全に無視しているのだ。；板に触れていると固定点となり、振動波はそこで吸収され一部は跳ね返る。；こまのような回転のかわりに棒やリングの振動を用いた方式である。；振り子車の車体が振動するという特性を生かし、動くようになっている。；これを避けるため蛹は体をうねらせて振動を起こし、周囲に存在を伝える。；すなわち、熱はカロリックが振動することで伝わるとする考えである。；作動時の振動が少なく空気圧縮機や空調機としての用途にも使用される。；振動低減や居住快適性アップなど利用者にはその成果を支持されている。；気鳴楽器は、主に空気の塊を振動させることによって音を出す楽器である。；怒ると頭部を振動させ、頭部と胸部の間で音を発することが知られている。；は発音の図解を公開している、音は上下唇の振動で発生するものと思われる。；吊床方式のためにバス走行時の振動がほとんど伝わらないようになっている。；高速系競技での振動吸収を目的とした金属製プレートが最初となる。；動き関係のセンサーを搭載した物や振動機能を持つゲームは非対応としている。；PSEでは振動機能を搭載したゲームパッドを使用しないと全く意味がない。；制御系全体が振動しながら所定の安定的な状態に収束する制御方式である。；振動を伝達する物体として何を採用するかで、音の聞こえ方が違ってくる。；振動にはコンピュータ制御による工業用のバイブレータが用いられた。；これは土を盛ったとき型崩れしにくく、振動にも強いためでもある。；蓋に木の枝や棒等を当てて、振動が無くなった時をもって炊き上がりとする。；この損傷により、修理完了後も全速力を出すと艦尾が振動する状態となる。；オシロスコープ とは、電気的な振動をスクリーンに表示する装置である。；後者は振動と各回転部の異常磨耗で検修陣に負担がかかっていた。；音波は壁などの物体に衝突すると、その壁自体が音波と同じように振動する。；これを局在振動モードと呼び、結晶中を伝播せずに欠陥付近に局在する。</t>
        </is>
      </c>
      <c r="J4272">
        <f>HYPERLINK("https://www.weblio.jp/content/振動", "词义详情")</f>
        <v/>
      </c>
      <c r="K4272">
        <f>HYPERLINK("https://yourei.jp/振動", "查看例句")</f>
        <v/>
      </c>
    </row>
    <row r="4273">
      <c r="A4273" t="inlineStr">
        <is>
          <t>震動</t>
        </is>
      </c>
      <c r="B4273" t="inlineStr">
        <is>
          <t>成功</t>
        </is>
      </c>
      <c r="C4273" t="inlineStr">
        <is>
          <t>読み方：しんどう
［名］(スル)ふるえ動くこと。また、ふるわせること。「大地が—する」「高出力のエンジンが車体を—する」</t>
        </is>
      </c>
      <c r="D4273" t="inlineStr">
        <is>
          <t>震動音(3%)；震動波；震動しはじめ；震動記録；震動し始め</t>
        </is>
      </c>
      <c r="E4273" t="inlineStr">
        <is>
          <t>震え；揺れ；打撃；地震；ショック</t>
        </is>
      </c>
      <c r="F4273" t="inlineStr">
        <is>
          <t>激しい震動；強震動；激しく震動；家鳴り震動；時空震動</t>
        </is>
      </c>
      <c r="H4273" t="n">
        <v>29</v>
      </c>
      <c r="I4273" t="inlineStr">
        <is>
          <t>彼らは家が震動せんばかりに音量をあげた音楽に合わせてダンスをした。；最初は手と足にしか感じられなかった震動が、徐々に大きくなってきた。；早く行かなくていいのかよ、と言わんばかりに車の震動が続いている。；しかもその震動の影響は、なかなかこれ位のことに止まらないのである。；例へば東京市内でも下町と山の手とで震動の大いさに非常な相違がある。；無理に眠ろうとすればするほど、列車の震動が気になったりするのだった。；へぴ そのあとは大きな揺れこそないが、足元がかすかに震動している。；さまざまな震動が複雑な合成音となって船体を小きざみに震わせていた。；これで見ても、そうこの建物の震動は激烈なものでなかったことがわかる。；それは野獣が猛り立つ感じで、あたりの空気を震動させるものがあった。；全身をセンサーにしていなくても、その震動は感じられたに違いない。；ただ、その音と震動の中に身をまかせているより仕方の無いものです。；すると、小さなガス・エンジンで家じゅうが震動したと食ってかかった。；ぼくたちは目に見える光の波長帯だけに震動するスクリーンを作ったんだ。；この地震はカナダのトロントでも震動が観測されたとのことである。；そんな言葉が頭を過った時、床と壁を通じて微かな震動が伝わってきた。；船が、本当に屋根に乗りあげでもしたように、グラリと揺れ、震動した。；設計用地震動は再現期間が50年と2500年の二つが定められている。；二つの刃のような音色は、そこに集まるものの完全な沈黙の中で震動した。；それがやむと、少しの間を置いて更に第三第四の震動がくり返された。；やがてその震動は、地面からブーツの底にも感じられるようになった。；自分のたっている床が、こまかく震動しながら沈んでいくようだった。；爆発の直前では逆に震動記録より音の記録の方が低いところで激しい変化を見せている。；ジョーンズ艦長が何か言おうとしたとたん、また、艦に震動が伝わった。；話しするのもいやな震動は、互いに話さなくとも互いにわかっている。；歩いていて、僕は奇妙な心の動揺や同情に充ちた震動に顫えてはいないか。；それには、汽車の震動ばかりと思えない、何か内容的なものがあった。；雷鳴のような咆哮で、丘陵地帯そのものが震動せんばかりだったからだ。；ガラスの下のかすかな震動は、電灯がまだ切れてはいないことをしめした。</t>
        </is>
      </c>
      <c r="J4273">
        <f>HYPERLINK("https://www.weblio.jp/content/震動", "词义详情")</f>
        <v/>
      </c>
      <c r="K4273">
        <f>HYPERLINK("https://yourei.jp/震動", "查看例句")</f>
        <v/>
      </c>
    </row>
    <row r="4274">
      <c r="A4274" t="inlineStr">
        <is>
          <t>しんなり</t>
        </is>
      </c>
      <c r="B4274" t="inlineStr">
        <is>
          <t>成功</t>
        </is>
      </c>
      <c r="C4274" t="inlineStr">
        <is>
          <t>［副］(スル)軟らかいさま。しなやかなさま。「—としなだれかかる」「野菜をゆでて—させる」</t>
        </is>
      </c>
      <c r="D4274" t="inlineStr">
        <is>
          <t>しんなりする程度(4%)</t>
        </is>
      </c>
      <c r="H4274" t="n">
        <v>29</v>
      </c>
      <c r="I4274" t="inlineStr">
        <is>
          <t>骨のない者のように、小萩の白い腕がしんなりとその背にまといつく。；器量のいい女ではなかったけれども、餅のようにしんなりした肌をしていた。；お湯の中に長い時間浸かっていたかのように、乳首全体がしんなりとしている。；しんなりしたところで塩胡椒で味をつけ、金色の麺にゆっくりからめる。；しんなりとしていたそれはいつの間にか、立ち上がっていてこんもりとした森になっていた。；ヒタヒタの水でしんなり煮た後、好みの量の砂糖を加え甘みを煮含ませる。；先生の高ぶりが強まるにつれて、陰毛の茂みがしんなりしてきている。；実物を見せるのが一番早いが、こう、焼くとしんなりするんだよ。；しんなりと手をついて、羞じらうように眼を伏せながら云った。；耕太の頬から生えているひげが、しんなりとなった。；ところが暫くするともうオードリージュニアはしんなりと萎れかかっていた。；思ってはみるのだが、いつもは半分走り出しているはずの欲望はしんなりとしおれていた。；少年の躰は、しんなりと骨が細く、腕の中でたわみそうだった。；だが根自体は、まだ水分をふくんでしんなりとしている。；しんなりと見えるお阿野は、そんなことをされるほどみごとに盛りあがった大きな乳房を持っていたのである。；次に合わせ調味料を入れ、長ねぎがしんなりするまで火にかける。；煮えたつ鍋のなかに、クロモをくぐらせ、しんなりしたところを頬張る。；何事につけても柔かくシンナリとあつかって呉れる母親と同じ様に、この美は我々の心を笑わす事も涙をこぼさせる事も出来る力を持って居ると云う事を私は信じ私に対してはまったくそうなのである。；母の滝子は奥の四畳半でしんなりと縫物をしている。；よくかき混ぜながら玉葱がしんなりしたら、今度は小さなサイコロのように切ってオーヴンの中でカリッとさせておいたパンを加えます。；な、何ですかこの売れ残った野菜みたいなシンナリ具合は!；生気を失い、しんなりしたキャベツが床に張り付いた姿は悲しい。；平地の高菜に比べると小さめで、しんなりしにくいため漬物作りに向いているという。；彼女のフリルからはみ出たおっぱいが日本人特有にしんなりしていて、当り前だけど私のと似ていて、その生活臭に力が抜けた。；阿宝は車の中から孫を見つけて、しんなりした手で簾を搴げて、目もはなさずに見つめた。；彼女のフリルからはみ出たおっぱいが日本人特有にしんなりしていて、当り前 だけど私のと似ていて、その生活臭に力が抜けた。；ふつうの丸煮はあらかじめ調理場で酒で殺してしんなりしたのを運んでくるが、ここのは石川五右衛門の釜うでさながら生きたままを目の前で煮殺す。；きっと、しんなりとした歯ごたえがするだろう。；あんまり仰山な着物より気のきいた柄の銘仙の上に縮緬の羽織をかけたのが一番気持がいいと口ぐせに云って、お召のあのしんなりした肌ざわりをすいて居た。</t>
        </is>
      </c>
      <c r="J4274">
        <f>HYPERLINK("https://www.weblio.jp/content/しんなり", "词义详情")</f>
        <v/>
      </c>
      <c r="K4274">
        <f>HYPERLINK("https://yourei.jp/しんなり", "查看例句")</f>
        <v/>
      </c>
    </row>
    <row r="4275">
      <c r="A4275" t="inlineStr">
        <is>
          <t>侵入</t>
        </is>
      </c>
      <c r="B4275" t="inlineStr">
        <is>
          <t>成功</t>
        </is>
      </c>
      <c r="C4275" t="inlineStr">
        <is>
          <t>読み方：しんにゅう
［名］(スル)他の領分を侵して強引に入り込むこと。「賊が—する」「不法—」</t>
        </is>
      </c>
      <c r="D4275" t="inlineStr">
        <is>
          <t>侵入する(12%)；侵入しよ；侵入者；侵入でき；侵入軍</t>
        </is>
      </c>
      <c r="E4275" t="inlineStr">
        <is>
          <t>占領；侵攻；攻略；侵略；攻勢</t>
        </is>
      </c>
      <c r="F4275" t="inlineStr">
        <is>
          <t>深く侵入；無断侵入；破って侵入；不正侵入；越えて侵入</t>
        </is>
      </c>
      <c r="G4275" t="inlineStr">
        <is>
          <t>侵入検知システム；侵入窃盗；侵入種；侵入防止システム；侵入思考</t>
        </is>
      </c>
      <c r="H4275" t="n">
        <v>29</v>
      </c>
      <c r="I4275" t="inlineStr">
        <is>
          <t>これはほとんどの場合は、水がある時期に外から侵入してくるためである。；平和維持のため緩衝地帯はあらゆる作戦部隊の侵入と行動が禁止される。；北アフリカからジブラルタル海峡を越えてスペインに侵入し領土とした。；またこの裁判で全斗煥の生家にも侵入していた事実が明らかになった。；ドイツ軍の侵入に備えた防衛計画の研究と作成が1938年に始まった。；ある時期にイラン高原に侵入し、その北西部周辺の地域に定着したとされる。；スルアンを占領したアメリカ攻略部隊はレイテ湾への侵入を開始した。；狡猾な戦略で知られ、地球侵入以前にもいくつかの星を侵略している。；紀元前2000年頃にアーリア人がイランからインド北西部に侵入した。；ただし受入国の警察部隊は特別な協定に基づけば侵入することは出来る。；しかし、イタリアにも侵入してきたマジャール人に王は大敗してしまった。；第36話で一度だけ藤宮が侵入を試みているが、失敗に終わっている。；日本が大陸と地続きで温暖な時代に侵入した遺存種と考えられている。；二人が息を潜めていると、カムデン・ハウスに別の何者かが侵入してくる。；金軍の侵入で王宮が占領された際に発見され、初めてその存在が明るみに出た。；坑夫や鉱山師がラコタ族に約束された土地に違法に侵入するようになった。；伝説上では11世紀ごろ、この地域にモシ人が侵入してを建設した。；一旦前線に穴が開くと、戦車が侵入し前線の数百マイル後方にまで侵入できた。；外敵の侵入を妨げる為もあって階段で出来た路地が複雑に入り組んでいる。；攻撃されても、主要なシステムへの侵入が困難であるようシステムを構築することが大事である。；最後は腹部から体内へ侵入され、そのまま背中を突き破られて倒される。；一方で繁殖地にネズミ類が侵入することによる影響が懸念されている。；しかし派遣が決定したのは15時で、暴徒らは既に議事堂内に侵入していた。；もちろんこの中には外部から一時的に侵入したもの、偶発的なものも含まれる。；しかし日本本土に遅れて松食い虫が侵入し、近年はその被害で減少している。；基地内に侵入したシャア・アズナブルのズゴックに次々と撃破される。；しかし恐怖を引き起こすミームは、現実には危険でなくても心に侵入しやすい。；旅客機の操縦室のドアには、侵入や攻撃を防ぐ対策が施されている。；周の厲王が無道であったため、淮夷は中国に侵入して略奪をおこなった。</t>
        </is>
      </c>
      <c r="J4275">
        <f>HYPERLINK("https://www.weblio.jp/content/侵入", "词义详情")</f>
        <v/>
      </c>
      <c r="K4275">
        <f>HYPERLINK("https://yourei.jp/侵入", "查看例句")</f>
        <v/>
      </c>
    </row>
    <row r="4276">
      <c r="A4276" t="inlineStr">
        <is>
          <t>新入社員</t>
        </is>
      </c>
      <c r="B4276" t="inlineStr">
        <is>
          <t>成功</t>
        </is>
      </c>
      <c r="D4276" t="inlineStr">
        <is>
          <t>新入社員研修(3%)；新入社員たち；新入社員教育；新入社員時代；新入社員歓迎会</t>
        </is>
      </c>
      <c r="H4276" t="n">
        <v>29</v>
      </c>
      <c r="I4276" t="inlineStr">
        <is>
          <t>その代わりに学校を卒業したばかりの新入社員に再組み立てを行わせた。；同じ説明でも、女がすると納得せず、新入社員でも男がすると納得する。；事前に、女子新入社員の出身校別リストを入手して、検討するべきです。；季節のせいか、街の中にも電車の中にも新入社員の新しい背広が目立つ。；女子新入社員が配属されてくると、男たちの目はそちらへ向いてしまう。；なにしろ二人はうちの会社が出来た当時の新入社員だったんですね。；これからも新入社員などの追随を許さぬプロの電話番の道を極めて下さい。；新入社員のためにも、自分の勉強のためにもプラスになると考えたのである。；新入社員は全て契約社員とし、一年後に正社員にするか解雇にしてきた。；新入社員も1名を募集すると100名200名が簡単に集まったという。；このグループに新入社員が来るのは久しぶりのことだ、と課長は話していた。；年齢的にも多くの新入社員より二歳上で、確かに変わり種ではあったのだ。；それは彼がまだほんの新入社員だった頃から、足しげく通った古い店である。；新入社員でいきなりここに配属させられるのは、珍しいことであった。；新入社員が仕事を自分のものにして、ただの「社員」となる瞬間です。；新入社員は私を含めて女の子三人、男の子四人は全員営業部にまわされていた。；新入社員にも同じような瞬間があるのではないでしょうか。；後輩にも追い越されて会社での私の立場といったら新入社員よりも下なんです。；男性の新入社員はすみのほうにチョコッと集まってるだけなんだもの。；外国通信部の新入社員である高畑としては、居る場所もない気持であった。；平の新入社員とはいささか差がついてしまいましたわね。；新入社員の頃、私がいちばん苦労したのが言葉づかいであったように思います。；横浜市内で新入社員研修を受け、当初は作家業との両立を志向していた。；新入社員がお茶くみに対して心得違いをしないようにと思ったのだろうか。；それから一年おきに一人ずつ、女子の新入社員がはいってきた。；最後に残った何十人かの新入社員の中から、|適当に何人か引っこぬく。；新入社員であるテルコちゃんは、よくいえば物おじしない元気な子だった。；態度も見かけも新入社員めいているから、ついそんな態度になってしまったのだ。；同年の新入社員であったケンケン中島と共に音楽を担当した出たな!!</t>
        </is>
      </c>
      <c r="J4276">
        <f>HYPERLINK("https://www.weblio.jp/content/新入社員", "词义详情")</f>
        <v/>
      </c>
      <c r="K4276">
        <f>HYPERLINK("https://yourei.jp/新入社員", "查看例句")</f>
        <v/>
      </c>
    </row>
    <row r="4277">
      <c r="A4277" t="inlineStr">
        <is>
          <t>新入生</t>
        </is>
      </c>
      <c r="B4277" t="inlineStr">
        <is>
          <t>成功</t>
        </is>
      </c>
      <c r="C4277" t="inlineStr">
        <is>
          <t>読み方：しんにゅうせい
新しく入学した学生・生徒。《季春》</t>
        </is>
      </c>
      <c r="D4277" t="inlineStr">
        <is>
          <t>新入生たち(5%)；新入生歓迎(4%)；新入生募集；新入生勧誘；新入生全員</t>
        </is>
      </c>
      <c r="F4277" t="inlineStr">
        <is>
          <t>大学新入生；武芸科新入生；新入生オリエンテーション；新入生しごき；新入生歓迎コンパ</t>
        </is>
      </c>
      <c r="H4277" t="n">
        <v>29</v>
      </c>
      <c r="I4277" t="inlineStr">
        <is>
          <t>ひょっとしたらいま俺が目にしている新入生の中にあるのかもしれない。；そのほかにはだれも日本の新入生に積極的に近づいてくる者はいなかった。；まだ白いと思っている新入生が、二三日してみるみる赤くなってしまう。；およそ34パーセントの新入生が高校でトップの10にいた学生である。；もし文芸部に入ろうと心を決めていた新入生がいたなら気の毒なことだ。；しかし、この新入生を見たとき、彼の魂は一瞬にして幸福に燃えあがった。；新入生の中でただ一人レギュラー入りを果たしているのが、その証拠だった。；一部で新入生が強制参加させられるとの誤解もあるが、事実ではない。；新入生総代を務める彼の妹は間違いなく、生徒会に選ばれるだろうから。；本来ならばわたしではなく、お兄様が新入生総代を務めるべきですのに!；なので下は十三から上は三十過ぎまで新入生といってもかなり年齢の幅がある。；新入生の受付は三時からだから、まだ、準備ができていないんですって。；入学の時期には、新入生向けの登録センター行きの臨時路線も運行される。；それを薔薇さまたちが一つずつとって、新入生の首にかけていくのだ。；季節は春、鹿鳴館高校では新入生歓迎を兼ねた部活紹介が行われていた。；彼らは新入生のためにひとりひとりの教授の歴史を説明してくれた。；多くの大学では、騙されないよう新入生に強く注意を呼びかけている。；新入生はジントを除いてすべて青い髪を持ったアーヴだったのである。；全体的なイメージは会社員というより大学新入生に近い感じである。；太郎はにこにこしながら傍らを歩いて行く新入生たちを眺めている。；ななめ横の椅子に腰をおろした新入生の眼鏡が気になったのである。；あれだけの数の新入生の情報をいつの間にか入手している清美である。；幹子は、この頃田舎の方から新しくこちらの学校へ入ってきた新入生でした。；そもそも地下の施設まで到達できた新入生自体が、ほとんどいない。；見回りは基本的に一人で行うものであり、新入生といえどそこは変わらない。；着慣れぬ制服に袖を通し、初々しく校内をそぞろ歩く新入生たちの中に。；あの時点で、新入生が単独で行動することはできないからである。；新入生たちはそれに対して不満があっても先輩に反抗することは許されない。；彼がそう言うと、新入生は安心した表情を浮かべて大きく一礼した。</t>
        </is>
      </c>
      <c r="J4277">
        <f>HYPERLINK("https://www.weblio.jp/content/新入生", "词义详情")</f>
        <v/>
      </c>
      <c r="K4277">
        <f>HYPERLINK("https://yourei.jp/新入生", "查看例句")</f>
        <v/>
      </c>
    </row>
    <row r="4278">
      <c r="A4278" t="inlineStr">
        <is>
          <t>信任</t>
        </is>
      </c>
      <c r="B4278" t="inlineStr">
        <is>
          <t>成功</t>
        </is>
      </c>
      <c r="C4278" t="inlineStr">
        <is>
          <t>読み方：しんにん
［名］(スル)信頼・信用して物事を任せること。「—が厚い」「—を得る」「内閣を—する」</t>
        </is>
      </c>
      <c r="D4278" t="inlineStr">
        <is>
          <t>信任厚い(2%)；信任厚く；信任される；信任決議；信任あつい</t>
        </is>
      </c>
      <c r="E4278" t="inlineStr">
        <is>
          <t>依頼；信頼；信用；頼む；委託</t>
        </is>
      </c>
      <c r="F4278" t="inlineStr">
        <is>
          <t>御信任；深く信任；ご信任；厚く信任；郎信任</t>
        </is>
      </c>
      <c r="G4278" t="inlineStr">
        <is>
          <t>信任投票；信任状捧呈式；信任状奉呈式</t>
        </is>
      </c>
      <c r="H4278" t="n">
        <v>29</v>
      </c>
      <c r="I4278" t="inlineStr">
        <is>
          <t>はじめはヘンリ8世の好意を得たが、王の結婚に反対して信任を失った。；皇帝の信任を受けた李訓・鄭注は牛派・李派双方を朝廷から追い出した。；劉備には信任されていたが、関羽は親交を結ぼうとはしなかったという。；また、国会の信任を失った場合は首相は辞任しなくてはならないとされた。；その成果に満足した昭襄王は、范雎を信任することが非常に厚くなった。；日中戦争間は蔣介石の信任を得て国民参政会副秘書長などに任命される。；王は高い訓練指導力を発揮して成果をあげ、袁から信任を受けるようになった。；王の信任を得た人物あるいは集団が政権を独占的に担う状態を指す。；大統領による任命後、就任し続けるには議会の信任を得続けなければならない。；安倍はこの結果を受けて、アベノミクスが信任を得たものと主張した。；特に彼は若いジュリアンを信任し、カリエとタリアンの調査を行わせた。；議院内閣制を採用しており、内閣は議会の信任を得なければならない。；しかし政府が議会の信任を得られないことを理解してわずか2週間で総辞職した。；これらの功績もあって、張群は蔣介石から信任を受けることとなった。；速水本人は通貨が信任を得ることが強い経済の条件と考えていた。；これは当時二代将軍であった徳川秀忠の信任によるところが大きい。；大統領は首相と同様、議会における多数派の信任が必要になることとなった。；本罪は、物の委託者と受託者の委託信任関係を保護するものであるとされる。；母が北条氏だったため、北条高時の信任を得て鎌倉に居住したという。；こうした経緯から定房も早くから亀山上皇に仕えてその信任を得た。；清教徒革命が勃発すると立憲王政派として行動して国王の信任を得た。；一方、政府が議会またはその一部の信任を失うと、総理大臣は辞任する。；また、それまで選挙を経ていなかったレンツィへの国民の信任が初めて示されたとされた。；鄭一の死後は鄭一の妻の石陽の信任を受けて鄭一の組織を継承。；しかしながら、ジャクソンの敗北は彼の政治的な信任を高めることとなった。；己達が無条件に信任せられていた時代が、 兎に角真の黄金時代だったて。；なぜなら、自分の一族ほど天皇の信任を博し易いものはなかったからである。；徳川家康に信任され、江戸城の内堀沿いに邸を貰い、日本人と結婚した。；この「権女」は国阿を信任していた高橋殿のことと考えられている。</t>
        </is>
      </c>
      <c r="J4278">
        <f>HYPERLINK("https://www.weblio.jp/content/信任", "词义详情")</f>
        <v/>
      </c>
      <c r="K4278">
        <f>HYPERLINK("https://yourei.jp/信任", "查看例句")</f>
        <v/>
      </c>
    </row>
    <row r="4279">
      <c r="A4279" t="inlineStr">
        <is>
          <t>新年</t>
        </is>
      </c>
      <c r="B4279" t="inlineStr">
        <is>
          <t>成功</t>
        </is>
      </c>
      <c r="C4279" t="inlineStr">
        <is>
          <t>読み方：しんねん
新しい年。新春。《季新年》「—の病臥の幾日既に過ぎ／誓子」</t>
        </is>
      </c>
      <c r="D4279" t="inlineStr">
        <is>
          <t>新年号(7%)；新年早々(4%)；新年最初；新年祭；新年おめでとう</t>
        </is>
      </c>
      <c r="E4279" t="inlineStr">
        <is>
          <t>正月；元日；元旦；年明け；お正月</t>
        </is>
      </c>
      <c r="F4279" t="inlineStr">
        <is>
          <t>新年会；新年附録；新年叙勲；新年號；新年初日</t>
        </is>
      </c>
      <c r="G4279" t="inlineStr">
        <is>
          <t>新年度；新年の挨拶；新年宴会；新年立；新年祝賀の儀</t>
        </is>
      </c>
      <c r="H4279" t="n">
        <v>29</v>
      </c>
      <c r="I4279" t="inlineStr">
        <is>
          <t>江馬さんが新年の雑誌にかいたものなど見せてもらって下さいませんか。；これは1863年の新年までの予定だったが、実際には不可能であった。；さすがに新年だけあって、あちこちでたくさんの催し物が行われていた。；新年がきたが、だれもそれを慶賀すべき日であるとは思い出せなかった。；村からばかりでなく、町からまで、多くの人々が新年のあいさつにきた。；友人のうちには、新年の贈物にもらった本を僧院に持ち込んだ者もいた。；新年号の諸雑誌の原稿は大抵十一月一杯または十二月のはじめへかかる。；それは明治の頃も、大正となって初めて新年を迎える今も変わりない。；新年の祝は一週間続き、その間はどんな仕事をさせることも不可能である。；新年を目前にした京阪神の様子を中継で伝えるなどの放送を行なった。；レンズ豆はその形ゆえ、新年にお金をもたらしてくれると信じられている。；その此年の書牘たることは、「新年の詩二首」と云ふを以てこれを知る。；新年を迎える用意もしなければならぬが、何を買ってどうするものやらわからぬ。；新年の門付けのくぐつ師が、首にかけた人形箱の人形を舞わせて歩く。；それに先駆け、同年1月5日には同事務所の新年撮影会に登壇している。；この感じは畢竟新年と立春とが一致すると否とによって分れるのであろう。；読者は新年の初刊を看てここに至る時、縁起が悪いと云うかも知れない。；新年に大きなイベントが開催される会場地などの例としては、 などがある。；同時に、1年の良い出来事すべてに感謝を示し、新年も続くことを願う。；新年に伺おうと思ったんだが、急に変にせわしくなって穴に籠ったきりだ。；新年には、特に北部の州でKniepertieを食べる習慣がある。；私はまた東京で新年を迎へたのかと思ふと、うんざりするやうになつてゐる。；漁船が新年を迎えるために帰国してからすでに二カ月も経っていた。；その作品が掲載された新年号を抱いて寝たほどだった。；これは、多くの暦で年が変わるときに行われる新年パーティと良く似ている。；毎年1月5日の19時からは新年祝賀大会を開催することが慣例だった。；その新年の祭日には参詣の人が少しの切れ目もなく途上に続く位であった。；暦年上の新年は、現在多く使われている太陽暦順に記すと次のようになる。；小説家堀川保吉はある婦人雑誌の新年号の口絵に偶然三重子を発見した。</t>
        </is>
      </c>
      <c r="J4279">
        <f>HYPERLINK("https://www.weblio.jp/content/新年", "词义详情")</f>
        <v/>
      </c>
      <c r="K4279">
        <f>HYPERLINK("https://yourei.jp/新年", "查看例句")</f>
        <v/>
      </c>
    </row>
    <row r="4280">
      <c r="A4280" t="inlineStr">
        <is>
          <t>信念</t>
        </is>
      </c>
      <c r="B4280" t="inlineStr">
        <is>
          <t>成功</t>
        </is>
      </c>
      <c r="C4280" t="inlineStr">
        <is>
          <t>読み方：しんねん
１正しいと信じる自分の考え。「—を貫き通す」「固い—」
２宗教を信じる気持ち。信仰心。</t>
        </is>
      </c>
      <c r="D4280" t="inlineStr">
        <is>
          <t>信念体系；信念バイアス；信念質問；信念堅固；信念更新</t>
        </is>
      </c>
      <c r="E4280" t="inlineStr">
        <is>
          <t>意見；精神；決意；信頼；確信</t>
        </is>
      </c>
      <c r="F4280" t="inlineStr">
        <is>
          <t>宗教的信念；確固たる信念；政治的信念；固い信念；そういう信念</t>
        </is>
      </c>
      <c r="H4280" t="n">
        <v>29</v>
      </c>
      <c r="I4280" t="inlineStr">
        <is>
          <t>これらの信念が同じ内容を持っているというのはどうすれば可能なのか。；また彼はその宗教的な信念に基づいて、生徒への身体教育は行わなかった。；これは人の心は高い力によって制御されることを主張する信念だった。；ゴールとは、システムデータの更新だったり、信念の更新だったりする。；エンゲルスは家族と別れを告げてでも信念を全うする覚悟を固めていた。；その後の出来事は、エヴァンスの信念の正しさを確認するはずであった。；発案者が信念を持っていない意見やアイデアは無視すると決めている。；また彼らには被撃墜時には必ず敵機を道づれとする信念があったという。；彼らは、自身の信念を強化するために疑似科学を利用することが多い。；手紙の内容はわからないが、信念を貫く強い気持ちが、参加を実現させた。；この信念はしばしばメディアや一部の社会科学者のものだと解されている。；敗北した後も、己の信念に準じたことに満足しつつ笑いながら消滅していった。；深くその書を愛し、深くその義を取るというのが彼の信念であった。；つまり特定の信念や意味について何も知らなくてもいいのである。；どんな人にもその人なりの主張や信念、生きてきた人生がある。；祖父はベルを教師にするために必要な信念と明瞭な話法を教え込んだ。；この条約はその以前からの信念である自由貿易を取り入れていた。；彼らには現地語による伝道が必要だという強い信念があったのである。；この信念ゆえに、80年代に新しい文化になっていったのだという。；全ての壁をとっぱらい自分の壁さえも突破するという信念から生まれた。；愛と信念に支えられた政治集会を貴方に捧げるために集まったのです。；より重要なのは、自身の信念をソッツィーニ派として開陳した点である。；知識ではなく信念をモデル化する場合など、可能な選択が他にも確かに存在する。；当人の良心に基づく信念であり、拒否した者を良心的兵役拒否者という。；彼の純粋数学に関する信念は本の要約に次のようにまとめられている。；民衆を指導していく立場にある政治家・役人が持つべき信念・道徳が説かれている。；ここで言う「原則」とは事実と因果関係と正しさについての信念のこと。；私のメッセージが世界に届くような信念を持ち、毎日の勝負に全てをかけています。；狂人とののしられながら、自己の信念に生きる信長も、人の子だったのか?</t>
        </is>
      </c>
      <c r="J4280">
        <f>HYPERLINK("https://www.weblio.jp/content/信念", "词义详情")</f>
        <v/>
      </c>
      <c r="K4280">
        <f>HYPERLINK("https://yourei.jp/信念", "查看例句")</f>
        <v/>
      </c>
    </row>
    <row r="4281">
      <c r="A4281" t="inlineStr">
        <is>
          <t>心配</t>
        </is>
      </c>
      <c r="B4281" t="inlineStr">
        <is>
          <t>成功</t>
        </is>
      </c>
      <c r="C4281" t="inlineStr">
        <is>
          <t>読み方：しんぱい
［名・形動］(スル)
１物事の先行きなどを気にして、心を悩ますこと。また、そのさま。気がかり。「親に—をかける」「将来を—する」「—な天気」
２気にかけてめんどうをみること。世話をすること。「近くに住む娘が食事の—をしてくれる」</t>
        </is>
      </c>
      <c r="D4281" t="inlineStr">
        <is>
          <t>心配する(8%)；心配そう(7%)；心配事；心配してる；心配ごと</t>
        </is>
      </c>
      <c r="E4281" t="inlineStr">
        <is>
          <t>問題；不安；困難；恐れ；占領</t>
        </is>
      </c>
      <c r="F4281" t="inlineStr">
        <is>
          <t>そんな心配；ひどく心配；余計な心配；心配さうな顏；心配かけてすみません</t>
        </is>
      </c>
      <c r="G4281" t="inlineStr">
        <is>
          <t>心配のタネ</t>
        </is>
      </c>
      <c r="H4281" t="n">
        <v>29</v>
      </c>
      <c r="I4281" t="inlineStr">
        <is>
          <t>次第に意識が薄れていく中でも彼女は学校のことを心配していたという。；心配して駆けつけた博士の腕の中でいつまでも泣き続けるさくらだった。；と心配の声が寄せられたが優勝賞金150万円をそのまま獲得している。；子供の視聴者もたくさんいるのだから悪い影響があるのではと心配だ。；そして自分の夢は正夢になるので、心配になり上京して来たというのだ。；これには共和政への移行を論じていた新聞や雑誌も含めて国中が心配した。；心配になったカービィはたった1つしかない星を見ていることにした。；特に母が心配し、実家に逃げて帰ってくる夢を見て目が覚めることもあった。；夫人はゲーリッグが脳腫瘍にかかったのかもしれないと心配していた。；親友のノアは彼を心配するが、彼の事情を知っているだけに何も言えない。；心配して声をかけると、振り向いた女の顔には目も鼻も口も付いていない。；今回のケースは、内側干渉の心配があるように誤解しやすいパターン。；右下の厚みは強力であり、白石が周囲に増えても攻撃を受ける心配はない。；全生息数は数十万頭と考えられており、さしあたっては絶滅の心配はない。；父は、学費の心配は要らないから他の学校に行け、と堀に言ったという。；現地政府はその中に治安攪乱の意図を持った者がいないか心配した。；戻って来ないのではないかという周囲の心配をよそに9月8日に帰国した。；心配する相手に「心配しなくても大丈夫ですよ」と伝える際に使用される。；母親は受験が控えている為ギターに夢中になり勉強をしなくなる事を心配していた。；それ以来実家にいる母に電話をすると、母の口調は自身を心配するものに変わった。；しかし事件となると飛び出していく彼女のことが心配で仕方ないミョンウ。；医者は手術の合併症を心配し、まず2日間ベッドで静養するよう言った。；熱性痙攣も、数分内におさまって意識が回復する場合には心配がない。；しかし旦那の様子はいつもと変わらず、元気のない新吉を心配する。；自分の意志でやったことだから心配しないでと電話を置く梨絵。；とっても心配性で、大事なものを口いっぱいに入れて歩く癖がある。；義父や義兄ジャックらは、感情がそぎ落ちたような彼女を心配していた。；心配になった親族や近所の住民が通りを探したが、見付からなかった。；この間に自殺を心配した母親が島を訪れたこともあり、学校を続けることを決意する。</t>
        </is>
      </c>
      <c r="J4281">
        <f>HYPERLINK("https://www.weblio.jp/content/心配", "词义详情")</f>
        <v/>
      </c>
      <c r="K4281">
        <f>HYPERLINK("https://yourei.jp/心配", "查看例句")</f>
        <v/>
      </c>
    </row>
    <row r="4282">
      <c r="A4282" t="inlineStr">
        <is>
          <t>心配事</t>
        </is>
      </c>
      <c r="B4282" t="inlineStr">
        <is>
          <t>成功</t>
        </is>
      </c>
      <c r="C4282" t="inlineStr">
        <is>
          <t>読み方：しんぱいごと
心配なこと。気がかりな事柄。</t>
        </is>
      </c>
      <c r="D4282" t="inlineStr">
        <is>
          <t>心配；懸念；気がかり；煩い；気掛かり</t>
        </is>
      </c>
      <c r="H4282" t="n">
        <v>29</v>
      </c>
      <c r="I4282" t="inlineStr">
        <is>
          <t>もっとも二本とも新たに宗助の心を乱すような心配事は書いてなかった。；男が、自分の心配事に心を奪われているのに、どんなに救われたことか。；彼がどこまでいっちゃうのかは、王としての心配事のひとつでもあった。；心配事を考えて、考えて、結局片付かないで抱えて生きる大人になった。；でも私には、夫が何かひどい心配事に悩んでいることがわかりました。；そして私はしきりに心配事の種が心臓の辺でうずき出しているのを感じた。；週末から吉住氏に元気がなかったのは別の心配事のせいかもしれない。；けれどもこんな下らない男には下らぬ心配事にかまけさせておくがいい。；ぼくは自分の心配事だけでたくさんだし、だいいち精神分析医じゃない。；いまは、世の中に何も心配事のないような気持ちでいましょうよ。；父さんだって、心配事があるたびに、母さんに助けを頼んでいるんです。；もしそれが本当ならお前の心配事は皆このわしに云うのが当り前。；機嫌が悪いというのではなく、何か心配事を抱えているような感じだ。；よほどの心配事があるのか、顔色も悪いし、人の話をあまり聞いていないしね。；けれどエドガーは、リディアの心配事からはかけ離れた言葉を口にした。；ここで罪悪とか苦悩とか下世話な心配事なんか、想像できないでしょう。；あとできっと心配事が起って来るよ、あの子供は今年十五だし、娘は十二だ。；心配事がひとつ去ったかと思えば、また新たな心配事が訪れる。；何が心配事かと聞かれて、「穴を埋めること」と答えたこともあるという。；お文はしなくてもいい心配事に胸を一杯にしていた。；少しは心配事がないと精神的なバランスがとれないものである。；いつしよに住んでるのに心配事を打明けないのは水くさいぢやないか。；その動作に迷いはなく、ここに来るまでの心配事はまったく頭の中になかった。；何か心配事があると、部屋の中を行ったり来たりするんです。；父にそう言われるまでもなく、娘のお玉には、娘らしい心配事が山ほどある。；ちがった心配事がたくさん出てきて、どうしていいかわかりません。；メイドのサンドラは近所に住むスネル夫人と心配事があると会話している。；だが、ひとつ心配事がなくなると、また別な心配事が生まれるものだ。；少なくともこれで、矢継ぎ早に起きた心配事のひとつは解消された。</t>
        </is>
      </c>
      <c r="J4282">
        <f>HYPERLINK("https://www.weblio.jp/content/心配事", "词义详情")</f>
        <v/>
      </c>
      <c r="K4282">
        <f>HYPERLINK("https://yourei.jp/心配事", "查看例句")</f>
        <v/>
      </c>
    </row>
    <row r="4283">
      <c r="A4283" t="inlineStr">
        <is>
          <t>審判</t>
        </is>
      </c>
      <c r="B4283" t="inlineStr">
        <is>
          <t>成功</t>
        </is>
      </c>
      <c r="C4283" t="inlineStr">
        <is>
          <t>読み方：しんぱん
［名］(スル)《「しんばん」とも》
１物事の是非・適否・優劣などを判定すること。「国民の—を受ける」
２ある事件を審理し、その正否の判断・裁決をすること。
㋐訴訟における審理と裁判。
㋑家庭裁判所が家事事件または少年事件について行う手続き。
㋒「行政審判」の略。「—請求」
３運動競技などで、技の優劣、反則の有無、勝敗などを判定すること。また、その役。
４キリスト教で、神がこの世を裁くこと。「最後の—」
[補説]書名別項。→審判</t>
        </is>
      </c>
      <c r="D4283" t="inlineStr">
        <is>
          <t>審判員(7%)；審判部(4%)；審判者(3%)；審判長(2%)；審判役</t>
        </is>
      </c>
      <c r="E4283" t="inlineStr">
        <is>
          <t>評価；批判；判断；宣言；裁判</t>
        </is>
      </c>
      <c r="F4283" t="inlineStr">
        <is>
          <t>セントラル・リーグ審判；無効審判；パシフィック・リーグ審判；公認審判；関西審判</t>
        </is>
      </c>
      <c r="G4283" t="inlineStr">
        <is>
          <t>審判団；審判の日；審判委員；審判官；審判所</t>
        </is>
      </c>
      <c r="H4283" t="n">
        <v>29</v>
      </c>
      <c r="I4283" t="inlineStr">
        <is>
          <t>審判の方も僕のせいでジャッジに迷いが出るようになったかもしれない。；歴史とは、人間が自らが自身にもたらした危機と審判の記録である。；この時に回ったり前後に動いている場合は審判からの合図は来ない。；審判法・着眼点も整備されており、審判員の講習も盛んに行われている。；加入労働者の業種は公営競技で、主に窓口や審判を務める労働者である。；審判はほとんどの場合過去にポリシーディベートの経験がある人かコーチ。；人々はこのような不法な審判が行われる筈は無いと信じていた。；検査担当者には時の審判部長・副部長が必ず就くことになっている。；したがって、監督が審判に対して直接抗議をすることは認められない。；サッカーでは、コート外からボールを蹴ってコート内の審判にパスをする。；また、プレイヤーとしてだけではなく、審判も早慶戦で多く務めている。；母は同じくフィギュアスケート選手でのちに審判員となった上野衣子。；中陰の間7日毎に審判が行われ、その判決で来世が変わっていくとされる。；そう言っていながら俺は昨夜審判と戦っていなかった。；そのため国際公認審判には日常会話程度の英語能力も問われる。；この当時、リーグ戦でも学生同士が審判をしており、技術は未熟であった。；そのため従来の2人制審判から3人制審判を採用することが多くなっている。；合議体で審判を行う場合においては、審判官のうち一人を審判長とする。；審判は過去にディベートの経験がある人かコーチが多いが、必ずしもそうではない。；また、これまでセ・リーグとパ・リーグに分かれていた審判部が統合された。；審判役を必要とすることからコンピュータゲーム化への適性が高い。；同社に勤務する傍ら、東京六大学野球連盟などで審判を務めていた。；稀に分担がうまくいかず二人の審判が別々の裁定を行ってしまうことも見られる。；それを動かさないキャッチングで審判にストライクだと思わせていた。；一方で審判部が講習会を開催したことも明らかにされた。；審判長席は、入退場を行うA点の正面であるC点の外側に置かれる。；また近年では女性の進出もめざましく、上級公認審判も多数誕生している。；ペナルティには多くの種類がありそれぞれに対応した審判のジェスチャーがある。；幸いにして審判に気づかれず、非紳士的な行為に対する警告は与えられなかった。</t>
        </is>
      </c>
      <c r="J4283">
        <f>HYPERLINK("https://www.weblio.jp/content/審判", "词义详情")</f>
        <v/>
      </c>
      <c r="K4283">
        <f>HYPERLINK("https://yourei.jp/審判", "查看例句")</f>
        <v/>
      </c>
    </row>
    <row r="4284">
      <c r="A4284" t="inlineStr">
        <is>
          <t>神秘</t>
        </is>
      </c>
      <c r="B4284" t="inlineStr">
        <is>
          <t>成功</t>
        </is>
      </c>
      <c r="C4284" t="inlineStr">
        <is>
          <t>読み方：しんぴ
［名・形動］《古くは「じんぴ」とも》人間の知恵では計り知れない不思議なこと。普通の認識や理論を超えたこと。また、そのさま。「宇宙の—を探る」「—な美」
[派生]しんぴさ［名］</t>
        </is>
      </c>
      <c r="D4284" t="inlineStr">
        <is>
          <t>神秘的(34%)；神秘性(4%)；神秘化；神秘感；神秘な力</t>
        </is>
      </c>
      <c r="E4284" t="inlineStr">
        <is>
          <t>不思議；なぞ；奇怪；怪しい；怪</t>
        </is>
      </c>
      <c r="F4284" t="inlineStr">
        <is>
          <t>深い神秘；あらゆる神秘；神秘説；神秘現象；どんな神秘</t>
        </is>
      </c>
      <c r="G4284" t="inlineStr">
        <is>
          <t>神秘的；神秘家；神秘体験；神秘主義者；神秘思想</t>
        </is>
      </c>
      <c r="H4284" t="n">
        <v>29</v>
      </c>
      <c r="I4284" t="inlineStr">
        <is>
          <t>またラッセルは、宗教や信仰を死や神秘的なものへの恐怖にあるとした。；また作者にとって不思議もしくは神秘的と見えるものを表すこともある。；神話が語られることで世界に対して神秘的な影響を与えることができる。；この交易は神秘的な人々と商人がお互いの顔を見ることなく行われる。；その神秘的な風貌を目にした人々はリロイに一層魅了されることになる。；だが、復一はこの神秘性を帯びた恋愛にだんだんプライドを持って来た。；この殆んど神秘的な説明し難い感情こそ、土と人との連結でもあるのだ。；彼の経験と彼の死予言する神秘的な声との関連を怪しみながらも脱出した。；後世には男でもあり女でもある神秘的な存在とされるようになった。；天城は楓の調査をしていく内に、彼女の神秘的な雰囲気に惹かれていく。；主題はアレクサンドリアの聖カタリナとキリストの神秘的な結婚である。；以上の愛論でも分る通り、前者は神秘のもとで、後者はその膨張である。；一方、沈黙を選んだことで神秘性が保たれたと考えることもできます。；これらの文章は、クロウリーの体系の最終的な神秘の屋台骨を形成する。；こうした少ない言葉に私たちの救いのすべての神秘が述べられているのです。；およそ地上に、こうも不思議と神秘に満ちた大いなる愛があるでしょうか。；その少女の持つ神秘性を、とくに顕著に表すようなスタイルでもある。；心をこめてお願いすると体の各部分が良くなる神秘的な石である。；そこに、我身ながら、計り知られぬ神秘を感じないではいられなかった。；こういった画像はオルメカの神秘的な起源とつながりがあると考えられる。；お祭りの騒がしさの中、太鼓と笛の音が響き、神秘的な世界に包まれる。；で折もあらばこの神秘の霊域を探検して世に紹介しようと思うていた。；武器の威力や金属の輝きは武器に神秘性を与え呪術的な要素となった。；現在魔術というと、神秘的な魔法が想像されるのはこのためである。；江戸時代から神秘的な美しさが知られており、貫名海屋らが絵を残している。；また、冬には池から湯気が立つ神秘的な風景も見られることがある。；それを思うとすべての現象は恐ろしい神秘に包まれて見える。；生涯で14本の長編映画を監督し、いずれの作品も神秘性を持つとされる。；このうずまきの持つ神秘性をテーマに独自の世界観を持って描かれた作品。</t>
        </is>
      </c>
      <c r="J4284">
        <f>HYPERLINK("https://www.weblio.jp/content/神秘", "词义详情")</f>
        <v/>
      </c>
      <c r="K4284">
        <f>HYPERLINK("https://yourei.jp/神秘", "查看例句")</f>
        <v/>
      </c>
    </row>
    <row r="4285">
      <c r="A4285" t="inlineStr">
        <is>
          <t>人物</t>
        </is>
      </c>
      <c r="B4285" t="inlineStr">
        <is>
          <t>成功</t>
        </is>
      </c>
      <c r="C4285" t="inlineStr">
        <is>
          <t>読み方：じんぶつ
１ひと。人間。「偉大な—」「登場—」
２人柄。ひととなり。「面接試験では主として—を見る」「—は確かだ」
３人格・才能などのすぐれた人。人材。「肚のすわった、なかなかの—だ」
４描画の対象である人間の姿・形。「—のデッサン」</t>
        </is>
      </c>
      <c r="D4285" t="inlineStr">
        <is>
          <t>人物像；人物描写；人物設定；人物評；人物埴輪</t>
        </is>
      </c>
      <c r="E4285" t="inlineStr">
        <is>
          <t>人；性格；性質；柄；個性</t>
        </is>
      </c>
      <c r="F4285" t="inlineStr">
        <is>
          <t>重要な人物；登場人物；著名な人物；作中人物；有名な人物</t>
        </is>
      </c>
      <c r="G4285" t="inlineStr">
        <is>
          <t>人物一覧；人物伝；人物写真；人物らしく；人物らしい</t>
        </is>
      </c>
      <c r="H4285" t="n">
        <v>29</v>
      </c>
      <c r="I4285" t="inlineStr">
        <is>
          <t>多数の人物が登場するが、ここでは複数の話に登場する人物を解説する。；アリほどの著名な人物で、他に徴兵を拒否したものは誰一人いなかった。；中期も多くが前期旧石器を捏造をした人物が関与していて否定的である。；フランスでは子供に付けられる名前が少なく、同じ名前の人物が多数いる。；なお、実在の人物の名前の発言はピー音で規制されていたこともあった。；ルソーが嫌いな人物をヒュームが弁護するのが我慢できなくなっていた。；父は脱サラの走りみたいな人物で、会社へはあまり行きたがらなかった。；地蔵菩薩を描いた絵画なども伝わっており、画才にも優れた人物だった。；賞の歴史上、以下の人物が受賞を辞退したことが明らかになっている。；地味な人物である夫のルイ16世を見下しているところもあったという。；多くは小説の進行に伴って、主人公およびその周辺の人物の成長が描かれる。；未来派の主要な芸術家・美術家としては以下のような人物が挙げられる。；クラブの発展に貢献した人物を顕彰するために設けられた賞である。；長州藩からは下級の身分から身を起こした人物が多く運動に参加した。；また、中世の錬金術師は、賢者の石を手にした唯一の人物と考えていた。；著名な絵画や人物像、ゲームや漫画の登場人物などが題材にされることが多い。；その中にはデビュー当初から優れた実績を挙げ才能を期待されていた人物も見られる。；題材となる人物やテーマに所縁のある地方とタイアップする事も多い。；絵の購入者には、自分は風景を売ったが人物はおまけだと言っていた。；しかしが書いた他の人物に関する伝記を読んで、彼に発行の許可を与えた。；マルクスは人類の歴史の中で最も影響力のある人物の一人であると説明されている。；できる限り人物の記事を作成してから追加するようお願いします。；なぜこのような人物像が作られたかというと、その方がわかりやすいからだという。；とは、物や人物に与えられた言葉のことで、対象を呼んだりする際に使われる。；炎のように激しく・また熱く、火のように明るく・また暖かい人物である。；歴史上有名な数学者の中でもリーマン予想を疑っている人物はいた。；彼は伯爵と共にド・ディオン・ブートン社を共同設立した人物でもあった。；また、この人物の名前に由来する高級スポーツ自転車のブランド。；ただし、博士課程のための試験は、いかなる人物であれど必ず課される。</t>
        </is>
      </c>
      <c r="J4285">
        <f>HYPERLINK("https://www.weblio.jp/content/人物", "词义详情")</f>
        <v/>
      </c>
      <c r="K4285">
        <f>HYPERLINK("https://yourei.jp/人物", "查看例句")</f>
        <v/>
      </c>
    </row>
    <row r="4286">
      <c r="A4286" t="inlineStr">
        <is>
          <t>新聞</t>
        </is>
      </c>
      <c r="B4286" t="inlineStr">
        <is>
          <t>成功</t>
        </is>
      </c>
      <c r="C4286" t="inlineStr">
        <is>
          <t>読み方：しんぶん
１社会の出来事の報道や論評を、広い読者を対象に伝達するための定期刊行物。日刊が多いが、週刊・旬刊・月刊などもある。
２「新聞紙(しんぶんし)」の略。「—で包む」
３新しく聞いた話。新しい話題。ニュース。
「当時流行の訳書を読み世間に奔走して内外の—を聞き」〈福沢・学問のすゝめ〉</t>
        </is>
      </c>
      <c r="D4286" t="inlineStr">
        <is>
          <t>新聞紙上；新聞雑誌；新聞社；新聞各紙；新聞等</t>
        </is>
      </c>
      <c r="E4286" t="inlineStr">
        <is>
          <t>新聞紙；ペーパー；ペイパー；ペーパ</t>
        </is>
      </c>
      <c r="F4286" t="inlineStr">
        <is>
          <t>中日新聞；各新聞；どの新聞；週刊新聞；日日新聞</t>
        </is>
      </c>
      <c r="G4286" t="inlineStr">
        <is>
          <t>新聞記者；新聞紙；新聞記事；新聞広告；新聞部</t>
        </is>
      </c>
      <c r="H4286" t="n">
        <v>29</v>
      </c>
      <c r="I4286" t="inlineStr">
        <is>
          <t>ルールが単純なことから新聞・雑誌・クイズ番組等でもよく掲載される。；テレビや新聞などで一般的に使用される震源は震央の位置を示している。；ただし英語新聞も割合こそ減少しているものの部数自体は増加している。；一部の売店非設置駅では、改札で新聞のみの販売を行っている駅がある。；宝石を見たホームズは、新聞に毎日掲載されている記事のことを話した。；編集者は、本や新聞などの刊行物や論文などの内容を編集する者である。；これには共和政への移行を論じていた新聞や雑誌も含めて国中が心配した。；受賞を実感したのは翌日の新聞で自分の顔を見てからと語っている。；午後には、各方面行きの列車に新聞を積み込む様子を見ることができる。；刑務所ではラジオを置く・新聞を取る・労働はせずに快適に暮らしていた。；この有名な15条は明治42年当時の新聞で広く日本や世界に公表された。；新聞やメディアでは民社党と混同しないよう社党と記される場合もある。；この公演について地元の新聞がいくらか批判的な評価を寄せている。；新聞の製作は、まず記者が取材を行い記事を書くところから始まる。；この模様は日本での新聞などで取り上げられ、世界のメディアでも紹介された。；なお、大学や高等学校で学生が編集する新聞は学生新聞とも呼ばれる。；新聞や雑誌で、その直前に発表された新しい作品を評価するもの。；国民に向けて最も多くの戦争報道をしたのが新聞であった。；その飲んでいる写真が新聞の記事になり牛乳会社の目に止まった。；また、生前に雑誌や新聞に投稿・寄稿した作品も少ないながら存在する。；幼少期より新聞で丸めたボールを棒で打つ野球に似た遊びをしていた。；以降は演説などは行わず、新聞上での評論活動を主な活動としている。；この印刷機で、彼は生徒のために自由な読み物とクラスの新聞を印刷した。；許可期間は6ヶ月で、各新聞は6ヶ月ごとに許可を更新する必要がある。；最初の新聞は1873年に発行され、今日では何百もの印刷所がある。；すでにいくつかの新聞は貴方が政治介入することに反対しています。；しかし、1990年代以降、時評を掲載しない新聞や雑誌も現れている。；テレビやラジオ、新聞、雑誌などのメディアもこれを報道している。；これは他の和歌山県内のローカル新聞でも同様の処置がとられている。</t>
        </is>
      </c>
      <c r="J4286">
        <f>HYPERLINK("https://www.weblio.jp/content/新聞", "词义详情")</f>
        <v/>
      </c>
      <c r="K4286">
        <f>HYPERLINK("https://yourei.jp/新聞", "查看例句")</f>
        <v/>
      </c>
    </row>
    <row r="4287">
      <c r="A4287" t="inlineStr">
        <is>
          <t>人文科学</t>
        </is>
      </c>
      <c r="B4287" t="inlineStr">
        <is>
          <t>成功</t>
        </is>
      </c>
      <c r="C4287" t="inlineStr">
        <is>
          <t>読み方：じんぶんかがく
政治・経済・社会・歴史・文芸・言語など、人類の文化全般に関する学問の総称。狭義には、自然科学・社会科学に対して、歴史・哲学・言語などに関する学問をいう。文化科学。じんもんかがく。</t>
        </is>
      </c>
      <c r="D4287" t="inlineStr">
        <is>
          <t>人文科学系(6%)；人文科学科(4%)；人文科学研究(2%)；人文科学分野；人文科学的</t>
        </is>
      </c>
      <c r="E4287" t="inlineStr">
        <is>
          <t>教養；人文</t>
        </is>
      </c>
      <c r="F4287" t="inlineStr">
        <is>
          <t>文教育学部人文科学；人文科学研究院</t>
        </is>
      </c>
      <c r="G4287" t="inlineStr">
        <is>
          <t>人文科学研究所；人文科学者；人文科学とコンピュータ研究会</t>
        </is>
      </c>
      <c r="H4287" t="n">
        <v>29</v>
      </c>
      <c r="I4287" t="inlineStr">
        <is>
          <t>絵画の技術だけでなく、人文科学や音楽の高い教育を受けることもできた。；人文科学研究の一例は、歴史的手法で具体化された歴史的研究である。；自然科学・人文科学・文学・芸術などの書籍を中心に出版している。；学校や大学などへ行けなかったが、人文科学を中心とした家庭教育を受けた。；博物館で展示される資料は大きく人文科学系の物と自然科学系の物に分類できる。；彼は詩の本のほか、医学や人文科学に関する書籍を多数執筆している。；人文科学的側面からは、思想・歴史・文学など異文化理解について学ぶ。；人文科学では、系統発生はすなわち「歴史」である、と私は思っていた。；もっぱら、水族館学・人文科学・漁業などの分野で使われる用語である。；結果は、数学や人文科学が含まれていたときだけでなく、分野内でも保持されていた。；それ以前は、で音楽と哲学に焦点を当てて人文科学を学んでいた。；これは人文科学、自然科学、ファインアートの三つの分野を対象とした。；学際の概念や、人文科学の価値、大学の組織などが主な論点となった。；今日の物理学は自然科学のみならず人文科学・社会科学とも関係している。；日本の人文科学で「シナ」と呼ばれる歴史的領域の最終的な姿にほぼ一致する。；世界文化の人文科学の総合研究を行うことを目的としている。；地域aではD、地域bではEとなる理由は人文科学的な要因に求められる。；自然科学系だけでなく、人文科学系・社会科学系の研究者も在籍している。；彼らはいずれも人文科学を担当する教授たちであり、特別研究社交室に長年在籍していた。；現代の学問の分類で人文科学・社会科学・自然科学に三分される。；人文科学・社会科学の研究者が日本語で執筆して、日本国内で出版した著書が対象である。；明治の人文科学は、果してその凡ての方面に於て、完全に発達しつつありや。；人文科学の分野で父、母、または創設者と見なされている人物の一覧。；人文科学にも興味を持ち、1888年に作家のインゲボルグ結婚した。；計算言語学や社会統計学のように、人文科学や社会科学でも重要である。；現在、 の語自体は広く人文科学全般を指すものとなっている。；歴史学は日本では一般的に人文科学に分類されている。；本シリーズは精神医学の分野だけでなく、哲学をはじめとした人文科学の分野にも大きな影響を与えた。；分野で大別すれば、自然科学の雑誌から社会・人文科学の雑誌と種々雑多。</t>
        </is>
      </c>
      <c r="J4287">
        <f>HYPERLINK("https://www.weblio.jp/content/人文科学", "词义详情")</f>
        <v/>
      </c>
      <c r="K4287">
        <f>HYPERLINK("https://yourei.jp/人文科学", "查看例句")</f>
        <v/>
      </c>
    </row>
    <row r="4288">
      <c r="A4288" t="inlineStr">
        <is>
          <t>新聞社</t>
        </is>
      </c>
      <c r="B4288" t="inlineStr">
        <is>
          <t>成功</t>
        </is>
      </c>
      <c r="C4288" t="inlineStr">
        <is>
          <t>読み方：しんぶんしゃ
新聞を編集し、発行する会社。</t>
        </is>
      </c>
      <c r="D4288" t="inlineStr">
        <is>
          <t>新聞社社長；新聞社主催；新聞社側；新聞社等；新聞社系</t>
        </is>
      </c>
      <c r="F4288" t="inlineStr">
        <is>
          <t>大手新聞社；日本経済新聞社；某新聞社；発行する新聞社；日日新聞社</t>
        </is>
      </c>
      <c r="H4288" t="n">
        <v>29</v>
      </c>
      <c r="I4288" t="inlineStr">
        <is>
          <t>加盟新聞社間で共同連載企画を実施したり、記事交換などを行っていた。；最初は写真の基礎を学ぶため、新聞社か通信社で働くことを考えていた。；この出来事を地元の新聞社が翌5日に報道し、日本中から反響があった。；新聞社や地元の有力企業などが主な出資者になっていることが多い。；これらの経緯を経て、新聞社や日本放送協会の報道は制約されはじめる。；ただし、現在ほとんどの新聞社では雑誌、書籍の出版も手がけている。；新聞社の人物は全員、服装・表情ともに時代劇のような表現がなされている。；東京では、複数の新聞社を訪問し運動について語るが記事にはならなかった。；それに伴い、各新聞社より1名から2名ずつに解説者が増員されている。；丸井は新聞社勤務などを経て2013年より同誌編集部員を務めていた。；また地方局も東京キー局とその関連の新聞社の系列に入るようになる。；キングはそこで印刷業を学び、後に新聞社のオーナー兼編集長となった。；寄贈賞を提供する読売新聞社は、東京・大阪・福岡に本社を置く新聞社。；パドックは競技を続けながら、いくつかの新聞社の経営にも携わっていた。；契約社の多くは地方新聞社であり、東京都内で発行している新聞社はない。；この時期は他の新聞社も、朝日新聞を除いて追放処分を受けている。；数社のアメリカの新聞社は日記の翻訳の一部を公表した。；大蔵省案の廃止に伴い、新聞社製の語呂合わせも徐々に姿を消していった。；なお、日本国内すべての新聞社が日本新聞協会に加盟しているわけではない。；ただし、すべての出版社や新聞社に主筆が置かれているわけではない。；グラハムは、20世紀のアメリカの主要新聞社では初の女性発行者だった。；彼らの多くは、王室の情報を新聞社に流して、いい収入を得ていた。；寄贈賞を提供している産業経済新聞社は、東京と大阪に本社を置く新聞社。；株式会社防長新聞社が岩国市を中心とする山口県東部で発行していた新聞。；レースの模様は地元の新聞社やGHQなどが取材に来ていた。；この新聞はもともと、地域の話題を取り扱う、独立した新聞社だった。；第1位の動きは他の新聞社ニュースサイトにも大きな影響を与えた。；そしてその後、ノックスは複数の新聞社を所有するまでに成長した。；島根県庁は焼き討ちされ、新聞社・発電所もその機能を一部破壊された。</t>
        </is>
      </c>
      <c r="J4288">
        <f>HYPERLINK("https://www.weblio.jp/content/新聞社", "词义详情")</f>
        <v/>
      </c>
      <c r="K4288">
        <f>HYPERLINK("https://yourei.jp/新聞社", "查看例句")</f>
        <v/>
      </c>
    </row>
    <row r="4289">
      <c r="A4289" t="inlineStr">
        <is>
          <t>進歩</t>
        </is>
      </c>
      <c r="B4289" t="inlineStr">
        <is>
          <t>成功</t>
        </is>
      </c>
      <c r="C4289" t="inlineStr">
        <is>
          <t>読み方：しんぽ
［名］(スル)
１物事がしだいによりよいほうや望ましいほうへ進んでいくこと。「—が早い」「長足の—を遂げる」「技術が—する」⇔退歩。
２歩を進めること。前進。
「いっそ橋を越えて…、向う両国へ—」〈魯文・胡瓜遣〉</t>
        </is>
      </c>
      <c r="D4289" t="inlineStr">
        <is>
          <t>進歩的(8%)；進歩発展；進歩発達；進歩派；進歩性</t>
        </is>
      </c>
      <c r="E4289" t="inlineStr">
        <is>
          <t>開発；展開；発展；成長；進出</t>
        </is>
      </c>
      <c r="F4289" t="inlineStr">
        <is>
          <t>大きな進歩；技術的進歩；大きく進歩；急速な進歩；著しい進歩</t>
        </is>
      </c>
      <c r="G4289" t="inlineStr">
        <is>
          <t>進歩的；進歩主義；進歩派；進歩性；進歩主義者</t>
        </is>
      </c>
      <c r="H4289" t="n">
        <v>29</v>
      </c>
      <c r="I4289" t="inlineStr">
        <is>
          <t>日本国内および国際的に、数学の進歩・発展のために力をつくしている。；どこか捨てがたい魅力ある競技の進歩発展を阻害してきたものと思う。；比較的自由主義で進歩的な考え方をした、穏健な指導者だとされている。；貿易と商業は進歩の時代であり、幾つかの銀行と企業が設立された。；昨年に比べて進歩を見せてはいるが、実力面では上位との差が大きい。；遺伝学の研究はショウジョウバエを材料とすることで著しい進歩を見た。；母の敏子もカナダのミッションスクールで進歩的な教育を受けていた。；坂口安吾は、文化も進歩もない農村精神が敗戦につながったと批判した。；この頃は、鉱物学の手法的な進歩は一時的に停滞期にあったと言える。；電子出版の概念は、技術の進歩と社会との関わりの中で変化し続けている。；さらに、それらは栽培技術の進歩もあって周年出荷の形へ展開した。；また、近年の技術的な進歩に伴い、これらの装置を応用されている装置もある。；ナノ科学の進歩による分子スケールで動く機械の登場が期待されている。；各種医薬品が劇的に進歩した現在では、治療に用いられることはない。；だがこれまでこのような会談は無かったので、大きな進歩でもある。；カーネギーは社会の進歩は道徳的義務を果たす個人に依存していると考えていた。；人類の進歩で技術は進みそれは自動車も例外ではない。；これらを含む測定方法の向上は近代科学を進歩させる原動力のひとつとなった。；しかし、その後に進歩は停滞し、遺伝子研究の進歩を待つこととなった。；したがって、それを得る材料となる燃料は、人類の進歩を支えてきたと言っていい。；科学の理論の進歩は、認識が孕む問題と大きく関係しているのである。；様式的に言うと、初期作品のほうが後の作品よりも進歩的である。；土木・建築技術の進歩に伴い、現代は地下の利用範囲・目的が急速に広がっている。；これらは寝技が研究と練習によって進歩できることを証明している。。；しかし、近年では摩擦現象のその場観察の手法が進歩しつつある。；食物を火で加熱することを覚えたことは、人類にとって重大な進歩だった。；内国産馬からこれだけのスピード馬が誕生したのは大きな進歩。；その多くは、イタリアのガブリエーリ進歩的な技法が採用されている。；近代以降は土木技術の進歩で河川整備が進み、河川の流路が変わらなくなっている。</t>
        </is>
      </c>
      <c r="J4289">
        <f>HYPERLINK("https://www.weblio.jp/content/進歩", "词义详情")</f>
        <v/>
      </c>
      <c r="K4289">
        <f>HYPERLINK("https://yourei.jp/進歩", "查看例句")</f>
        <v/>
      </c>
    </row>
    <row r="4290">
      <c r="A4290" t="inlineStr">
        <is>
          <t>辛抱</t>
        </is>
      </c>
      <c r="B4290" t="inlineStr">
        <is>
          <t>成功</t>
        </is>
      </c>
      <c r="C4290" t="inlineStr">
        <is>
          <t>読み方：しんぼう
［名］(スル)《仏語「心法」からか。「辛棒」とも当てて書く》つらいことや苦しいことをがまんすること。こらえ忍ぶこと。「もう少しの—だ」「この店で一〇年間—してきた」
→我慢(がまん)［用法］</t>
        </is>
      </c>
      <c r="D4290" t="inlineStr">
        <is>
          <t>辛抱づよく(6%)；辛抱でき(4%)；辛抱しきれ(2%)；辛抱づよい；辛抱すれ</t>
        </is>
      </c>
      <c r="E4290" t="inlineStr">
        <is>
          <t>抵抗；我慢；反抗；争う；挑む</t>
        </is>
      </c>
      <c r="F4290" t="inlineStr">
        <is>
          <t>ご辛抱；辛抱立役；辛抱なさい；辛抱づよかった；辛抱おし</t>
        </is>
      </c>
      <c r="G4290" t="inlineStr">
        <is>
          <t>辛抱強い；辛抱強</t>
        </is>
      </c>
      <c r="H4290" t="n">
        <v>29</v>
      </c>
      <c r="I4290" t="inlineStr">
        <is>
          <t>これは少し説明しないとわからないだろうから、しばらく辛抱されたい。；ほかの女なら誰でも辛抱しそうなことが、彼女には辛抱しきれなかった。；この会が今にも解散する時には分ることだろうと辛抱しているのである。；私があの箱を送り届けるまで、辛抱して待っていられないんですからね。；相変わらず私は自分がこの上侮辱される事は辛抱が出来ないのですから。；他の二人がやりあっているあいだもケルラは辛抱しきれない様子だった。；才能のない者は芸術の世界では辛抱されるわけにはいかないのです。；それでどうも具合がわるくて、もう一度見たいのを辛抱しているんです。；一週間ぐらいは少し辛抱すれば音なしく出来る、訳はないとお島が言った。；それでどうも具合がわるくて、もう一度見たいのを辛抱してゐるんです。；それを誰よりもいつもひどく受けながら、辛抱づよく我慢したのだった。；けれども、Yに本を読んでやることは、誰にも辛抱ができませんでした。；うちに帰ってサンドイッチでも作るまで、辛抱しなければならなかった。；たいていの大人がやってきてさえ、辛抱がしきれずにいってしまうのです。；辛抱はしていても、思いは遠く水天宮の空の方へ行っているようであった。；それまで辛抱がつづいたら、この仕事も何かの実験というに値する、と。；寒いので彼も飲みたかったのだが、城介の身柄を思って、辛抱していた。；それも辛抱するが、年を取りつゝある両親の手前どうも己れは忍びない。；みんなが辛抱してくれているのも、僕が息子だからにすぎないんだ。；二人が二人のこととして辛抱しなければならないことがはっきりと見られる。；人々は出るも入るもならず、男たちは辛抱づよくそばに立って待っていた。；ずいぶん辛抱したあげく、しぜんにあのようなことになりましたのです。；たいていの者は辛抱しかねて、もとの古巣へ戻って来るのであります。；といっても、ウォッチのほうも仕事を取り上げられたのでは辛抱出来ない。；「音をたてないように、ここで辛抱しているのです」ホームズが答えた。；あの連中でも辛抱できるんなら、おれにだって辛抱できると思ったからだ。；そして微笑しながら、おれはこうみえても辛抱づよいんだよ、と云った。；女房たちも心細がって辛抱ができずに一人一人とお邸から出て行った。；どんなことがあろうとも、あきらめないで、じっと辛抱していて下さい。</t>
        </is>
      </c>
      <c r="J4290">
        <f>HYPERLINK("https://www.weblio.jp/content/辛抱", "词义详情")</f>
        <v/>
      </c>
      <c r="K4290">
        <f>HYPERLINK("https://yourei.jp/辛抱", "查看例句")</f>
        <v/>
      </c>
    </row>
    <row r="4291">
      <c r="A4291" t="inlineStr">
        <is>
          <t>辛抱強い</t>
        </is>
      </c>
      <c r="B4291" t="inlineStr">
        <is>
          <t>成功</t>
        </is>
      </c>
      <c r="C4291" t="inlineStr">
        <is>
          <t>読み方：しんぼうづよい
［形］［文］しんばうづよ・し［ク］よく辛抱するさま。がまん強い。忍耐強い。「—・く機会を待つ」</t>
        </is>
      </c>
      <c r="D4291" t="inlineStr">
        <is>
          <t>辛抱強い人(3%)；辛抱強い口調(2%)；辛抱強い性格(2%)；辛抱強い男；辛抱強い生物</t>
        </is>
      </c>
      <c r="E4291" t="inlineStr">
        <is>
          <t>粘り強い；我慢強い；辛抱づよい；がまん強い；辛棒強い</t>
        </is>
      </c>
      <c r="H4291" t="n">
        <v>29</v>
      </c>
      <c r="I4291" t="inlineStr">
        <is>
          <t>彼は辛抱強くジョーがはっきりした答えをいってくれるのを待っている。；ここの谷にいる夫婦は、耕作をする辛抱強さがなくて山に住んでるのよ。；おまえはひとつの役割を何百メガ秒にもわたって辛抱強く演じつづけた。；それとも山賊どものほうからなにか訊ねてくるのを辛抱強く待つべきか。；一同は、流れの中に舟を停めて、獣群が立去るのを辛抱強く待っていた。；辛抱強く待つうち、そいつは周囲を確認しつつ、こちらに近寄ってきた。；辛抱強く観察を続けたが、不審に思える点はどこにも見あたらなかった。；辛抱強く話の続きを待っていると、黒猫は身体ごと後ろを向いてしまった。；辛抱強い性格なのか、ふたりっこはまだおれたちに手を振っている。；少々卑屈なことを考えながら、竜憲は辛抱強く彼が口を開くのを待った。；料理は辛抱強くさえあれば、どんな者でも身につけられる技術です。；辛抱強く待っていると、西の方からヘッドライトの列が近づいてきた。；辛抱強く待つうちに、カイがじっとしているのに耐えられなくなった。；考えてみると、ジョウンはずいぶんと辛抱強く教えてくれていたのだ。；聡美は座布団の上で正座したまま、辛抱強く時間が経過するのを待った。；何もわからないほうを、頭から叱ったりせずに、辛抱強く教えてくれた。；私は胸を躍らせながら、その窓を見上げて、辛抱強く立ちつくしていた。；僕のように辛抱強く我慢しているのは、もう算える程になりましたよ。；辛抱強く教えれば、かなりのことを身につけることができるかもしれない。；辛抱強く道助の愚痴に耳を傾けてくれるのは心やさしい娘だけであった。；浅見も辛抱強いほうだが、張り番の刑事も相当に鍛えられているのだろう。；警官は同情心を露にしたような沈鬱な表情で、辛抱強く同じことを尋ねてきた。；よい土地でありさえすればいい、よい土地のように辛抱強くありさえすればいい。；おれがいったいどうしてなんだと尋ねると、かれは辛抱強く説明した。；ニールの方はあきらめの表情を浮かべ、辛抱強く棒を持って立っています。；今後、私は君たちが吉報を持ってきてくれるのを辛抱強く待つことにする。；悲しみにくれるイモジェンにいつも辛抱強く耳を傾けていたのは誰だったか。；そしてその日に備えて我々の知識を辛抱強く鍛えようではないか。；辛抱強くまた同じページを繰り返して読もうとしたが無駄だった。</t>
        </is>
      </c>
      <c r="J4291">
        <f>HYPERLINK("https://www.weblio.jp/content/辛抱強い", "词义详情")</f>
        <v/>
      </c>
      <c r="K4291">
        <f>HYPERLINK("https://yourei.jp/辛抱強い", "查看例句")</f>
        <v/>
      </c>
    </row>
    <row r="4292">
      <c r="A4292" t="inlineStr">
        <is>
          <t>親密</t>
        </is>
      </c>
      <c r="B4292" t="inlineStr">
        <is>
          <t>成功</t>
        </is>
      </c>
      <c r="C4292" t="inlineStr">
        <is>
          <t>読み方：しんみつ
［名・形動］互いの交際の深いこと。きわめて仲のよいこと。また、そのさま。「—な間柄」
[派生]しんみつげ［形動］しんみつさ［名］</t>
        </is>
      </c>
      <c r="D4292" t="inlineStr">
        <is>
          <t>親密な関係(23%)；親密な間柄(3%)；親密な仲(2%)；親密な友人；親密な交際</t>
        </is>
      </c>
      <c r="E4292" t="inlineStr">
        <is>
          <t>近く；近い；深い；直；親交</t>
        </is>
      </c>
      <c r="F4292" t="inlineStr">
        <is>
          <t>親密性；親密な態度；親密な感情；親密な空気；親密地銀</t>
        </is>
      </c>
      <c r="G4292" t="inlineStr">
        <is>
          <t>親密感；親密関係；親密交際</t>
        </is>
      </c>
      <c r="H4292" t="n">
        <v>29</v>
      </c>
      <c r="I4292" t="inlineStr">
        <is>
          <t>すると、輪を投げた者は輪を投げられた者と親密な友人だったことになる。；最終的な庭、財産の大きさに合った親密な空間を作ったのはここでであった。；すると、和泉との関係がいつもと違って親密になっていくのを実感する。；誤解が重なって、かつては親密であった国王との友情も終わりを告げた。；ジャックと別れた後は、部下であるアルメイダ捜査官と親密な仲となる。；このような言葉があるほどに、人間は親密になることも可能である。；これ以後、アムロと距離を感じていた彼女と急速に親密になっていく。；清華大学で出会った後、すぐに彼らは親密な友人になっていたという。；行くごとにそこの人たちと親密になり、私はこの町と周辺地区の一部となった。；透は教師生活を送りながら、やがてある女性と親密な仲になっていく。；リャプノフとバラキレフは、作曲をする内に親密な関係になっていった。；両社の社長は当時ともに本多貞次郎が務めており、関係は親密であった。；彼女は、パウリーネ・メッテルニヒと大変親密な友人関係を持っていた。；バラク・オバマ大統領の夫人のミシェル・オバマとも親密な関係である。；基礎集団は、例えば家族など、親密な近親者ベースの小さな集団である。；Bクラブのようなより専門性の高い他のクラブとは親密ではなかった。；マギーと親密になったバッグスは彼女のアパートで同棲するようになる。；一方で、他の表情は親密な個人の間でも解釈が難しいことがある。；親密にしていた台湾の業者から輸入を行い、毎日業務に追われた。；独身で通してきたが、親密な仲になった女性がいないわけではない。；ボルマンにとって党幹部と親密な関係を持つ上で重要な結婚となった。；渋沢栄一はこの時の市兵衛の行動に感謝し、以来、親密な関係となった。；一部三井住友海上と親密な明光証券に、元社員の一部が採用されている。；この頃には公に親密に交際を育んでいることを双方とも認めている。；思いのほか、気のあう二人は親密になってゆき、結婚することとなる。；これ以前から永田や小畑らとは勉強会を通して親密になっていたという。；病的な人間不信の消滅は、人と親密になることを学習することでもある。；また、各場所に対応したキャラクターと会話をしたり、親密になれたりする。；また、エジプトではクレオパトラ7世と親密な関係にあったとされる。</t>
        </is>
      </c>
      <c r="J4292">
        <f>HYPERLINK("https://www.weblio.jp/content/親密", "词义详情")</f>
        <v/>
      </c>
      <c r="K4292">
        <f>HYPERLINK("https://yourei.jp/親密", "查看例句")</f>
        <v/>
      </c>
    </row>
    <row r="4293">
      <c r="A4293" t="inlineStr">
        <is>
          <t>人脈</t>
        </is>
      </c>
      <c r="B4293" t="inlineStr">
        <is>
          <t>成功</t>
        </is>
      </c>
      <c r="C4293" t="inlineStr">
        <is>
          <t>読み方：じんみゃく
《山脈・鉱脈などになぞらえた語》ある集団・組織の中などで、主義・主張や利害などによる、人と人とのつながり。「豊富な—を誇る」</t>
        </is>
      </c>
      <c r="D4293" t="inlineStr">
        <is>
          <t>人脈的(2%)；人脈形成；人脈づくり；人脈構築；人脈図</t>
        </is>
      </c>
      <c r="E4293" t="inlineStr">
        <is>
          <t>ネットワーク；組織網；網状組織</t>
        </is>
      </c>
      <c r="F4293" t="inlineStr">
        <is>
          <t>豊富な人脈；太い人脈；強い人脈</t>
        </is>
      </c>
      <c r="H4293" t="n">
        <v>29</v>
      </c>
      <c r="I4293" t="inlineStr">
        <is>
          <t>彼女の頭の中では人脈図がどうなっているのか、竜介には理解できない。；ここでの勤務時代の人脈が、現在での研究活動の幅を広げることになる。；そのため人から好かれ、どこにいても人脈がどんどん広がっていきます。；当初は人脈、地縁上の対立であったが、次第に政策上の違いが出てきた。；健吾の人脈の広さなら、鷹羽中学出身の友人の一人や二人はいるだろう。；彼の発想からすれば、かつての受験校の仲間は貴重な人脈であるはずだ。；出身校や親の職業を重視するのは、記者たちの人脈がめあてなのだ。；世の中、幸運と実力よりも人脈がものをいう場合のほうが圧倒的に多い。；徹馬は政界に広く人脈をもっており、彼らから支援を得ることができた。；その人脈の強さは彼の能力の一種ともいえるものになっている。；人脈を築くのが一苦労だが、それはこの街に流れてきた時も同じだった。；思い立ち、今まで世話になった人々に挨拶に行き人脈を築いていった。；そのような中、山本悦は海軍関係者との人脈を築いていくことになる。；オーナーの永田雅一と出会ったことをきっかけに政財界に人脈を築いた。；彼の人脈の及ばぬ、新宿以外の土地へ行ってしまったのかもしれない。；在住地の法律に通じかつ人脈・情報を持つアドバイザーが求められる。；しかし、田中が考えたことはたんなる上部との人脈関係の強化ではなかった。；社長も府中に三年入ってて、そんときの人脈が今も役に立ってるってよ。；この辺りは創刊編集長である鳥嶋和彦の人脈をフルに活用したものである。；由里子は私の人脈を当てにして銀座に店を出させようとしていた。；パタリロはとても広い交友関係があり、世界中にさまざまな人脈を持つ。；まさに父は可能な限りの人脈を使い、縁談成立を成し遂げたのである。；それでも由紀子には、何代か前の警視総監であった父親の人脈がある。；そこでは互いの交流が盛んになり、人脈や情報ネットワークも形成されていく。；また、こうした人脈を利用して刀剣購入の世話をすることもあった。；大学時代に所属していた音楽サークルで培った人脈を活用した楽曲が多い。；人の長所を見出し人を引き込むことを志向しており、人脈が豊富である。；有田一壽の人脈で設立時には出光興産も出資して2万株を保有していた。；米国では社員の人脈から採用を行う社員リファラル制度を導入している企業も多い。</t>
        </is>
      </c>
      <c r="J4293">
        <f>HYPERLINK("https://www.weblio.jp/content/人脈", "词义详情")</f>
        <v/>
      </c>
      <c r="K4293">
        <f>HYPERLINK("https://yourei.jp/人脈", "查看例句")</f>
        <v/>
      </c>
    </row>
    <row r="4294">
      <c r="A4294" t="inlineStr">
        <is>
          <t>人民元</t>
        </is>
      </c>
      <c r="B4294" t="inlineStr">
        <is>
          <t>成功</t>
        </is>
      </c>
      <c r="C4294" t="inlineStr">
        <is>
          <t>読み方：じんみんげん
⇒元2</t>
        </is>
      </c>
      <c r="D4294" t="inlineStr">
        <is>
          <t>人民元建て(4%)；人民元決済；人民元以上；人民元業務</t>
        </is>
      </c>
      <c r="F4294" t="inlineStr">
        <is>
          <t>中国人民元；万人民元</t>
        </is>
      </c>
      <c r="G4294" t="inlineStr">
        <is>
          <t>人民元切り上げ</t>
        </is>
      </c>
      <c r="H4294" t="n">
        <v>29</v>
      </c>
      <c r="I4294" t="inlineStr">
        <is>
          <t>同行は中国での外貨の流通を禁止し、流通通貨を「人民元」に統一した。；そして最後は、中国共産党の発行する人民元に取って変わられた。；兌換券は人民元の価値で表示するが、外貨との間で自由に交換できる機能を持っていた。；構築には 450 百万人民元のコストがかかると推定される。；この後人民元の開始は思わぬ形で困難を来たした。；計画投資額は520億人民元で、第一期の費用をまかなう予定である。；これは、人民元が先進国の通貨に比べて自由化されておらず、通常の方法で取引できないためである。；一部のATMは香港ドルだけでなく人民元も引き出すことが出来る。；人民元はその後、毎日一定の幅で変動することになった。；さらに防弾チョッキや通信機器などの各種装備購入にもおよそ30万人民元の予算が投入されたと見られている。；この処置に関わる香港ドルと人民元の決済業務は、中国銀行が行っている。；車両の製造費は1億人民元で設計上の最高速度は210km/hとなっている。；人民元の開始からほぼ2年で本土における人民元の一本化に成功したのである。；打診したのはイラン側で、対価として数千万ドル相当を中国の人民元で提供するとの条件を提示した、と報道された。；中華人民共和国は世界貿易機関に加盟してから外貨準備を証券化して国内の人民元を氾濫させていた。；既に北朝鮮で最も広く流通しているのは、北朝鮮のウォンではなく、中国の人民元と考えられている。；当時、中国がいつ人民元の切り下げを行うかに多大な関心が集まっていたが、とうとう切り下げは行われなかった。；中国側はウイグル語の日常使用や教育を特別制限しておらず、ドルと違い人民元にすらウイグル語が印刷されていると反論している。；第二期の2機も含めると合計700億人民元に上ると考えられる。；中国建設銀行の総資産は24兆億人民元で中国第2位の地位を有している。；国民党系の資本は国有化され、基本通貨は人民元に統一された。；再び人民元高を加速させたのである。；通貨は中国の人民元が使われ、ミャンマーの通貨であるチャットは用いられない。；この資金調達は2期のうちの一つであり、合計100億人民元を調達することを計画している。；選抜された研究者には100万人民元の一度限りの賞金と、研究や学術交流のための多額の資金、住宅費や交通費の援助が提供される。；ただ、中国は投資目的などでは国境を越えた人民元のやり取りを現在でも規制しており、完全に自由に使える通貨とは言えない面もある。；中国の通貨である人民元は、鄧小平の改革開放によって大きく変化する。；貿易などで使われる割合の順位で、人民元は急上昇している。；日本や欧米の政治家や製造業者のいくらかは人民元が自国通貨よりも不当に安く、そのために人民元安が中国の輸出を有利にしていると主張している。</t>
        </is>
      </c>
      <c r="J4294">
        <f>HYPERLINK("https://www.weblio.jp/content/人民元", "词义详情")</f>
        <v/>
      </c>
      <c r="K4294">
        <f>HYPERLINK("https://yourei.jp/人民元", "查看例句")</f>
        <v/>
      </c>
    </row>
    <row r="4295">
      <c r="A4295" t="inlineStr">
        <is>
          <t>人命</t>
        </is>
      </c>
      <c r="B4295" t="inlineStr">
        <is>
          <t>成功</t>
        </is>
      </c>
      <c r="C4295" t="inlineStr">
        <is>
          <t>読み方：じんめい
人のいのち。「—救助」「—軽視」</t>
        </is>
      </c>
      <c r="D4295" t="inlineStr">
        <is>
          <t>人命軽視；人命尊重；人命被害；人命財産；人命損失</t>
        </is>
      </c>
      <c r="F4295" t="inlineStr">
        <is>
          <t>忍人命；押人命；直接人命</t>
        </is>
      </c>
      <c r="G4295" t="inlineStr">
        <is>
          <t>人命は地球より重い；人命救助システム</t>
        </is>
      </c>
      <c r="H4295" t="n">
        <v>29</v>
      </c>
      <c r="I4295" t="inlineStr">
        <is>
          <t>貿易を行う際には、人命や貿易品を守るための安全保障が重要となった。；手足を振り回した結果、一〇〇万人単位の人命が失われても知った事か。；いつもあれのおかげで人命を失うようなことがありはしないかと心配する。；あちこちで行なわれている人命救出作業を統一化しようとしているらしい。；第一次世界大戦では多数の国で従来に無い破壊と人命損失が発生した。；なんだか、人命にかかわる問題でもあるように思われてきたのである。；この撤退は秩序だったものであり、混乱も無く人命も失われなかった。；日本以外の地域に生息する種でも人命に関わるような毒性を持つものは少ない。；最も危険な毒物になるルイサイトでは人命に関わる事故は発生しなかった。；「この件にはまだ多くの人命がかかっている」 やがて医師は吐息をした。；彼の行動は、他のどのヴィクトリア朝の官吏よりも多くの人命を救った。；断われば人命に関わるのだから、やって来た人間はいくらでも収容する。；満洲国を今日にするために、日本は多くの人命を含む大犠牲を払っている。；だがこと人命にかかわるとなれば、物資のボッカとはわけが違ってくる。；彼の偉大なる間違いが、実に多くの人命を救うことになったのだから。；しかし、人命は、そうした芸術の成功の上に賭けられてはならぬものじゃ。；被害は人命にもおよび、6名の生徒と卒業したばかりの2名が犠牲になった。；数千の人命が失われ、街の中の重要施設の多くが破壊された。；しかし、これだけ多くの人命がかかっているのに、それが問題になるだろうか?；しかし、内科の医者の電話は、私と違って人命に関わるかもしれない。；お犬のことも、重大事には相違ないが、人命はより貴重なものだ。；一ヶ月前、彼は故郷の町で多くの人命を奪う事件を起こしていた。；人命は明日を期しがたきもの故、早く罪を定めんとするが第二の理由である。；あいつのモラルは見ての通り、人命なんかこれっぽっちも考えちゃいない。；ぼくが臆病だったばっかりに、少くとも、四人の人命が失われたのです。；自分の〝読み〟の甘さで又しても多くの人命を無駄に散らしてしまった。；免震技術の最大の目的は、大地震の際の人命や財産の被害を防ぐことである。；日本軍隊の底流には人命軽視があったが、米国軍隊には人格無視があった。；しかしこの人命金は上位の自由人、自由人、奴隷との間で差異があった。</t>
        </is>
      </c>
      <c r="J4295">
        <f>HYPERLINK("https://www.weblio.jp/content/人命", "词义详情")</f>
        <v/>
      </c>
      <c r="K4295">
        <f>HYPERLINK("https://yourei.jp/人命", "查看例句")</f>
        <v/>
      </c>
    </row>
    <row r="4296">
      <c r="A4296" t="inlineStr">
        <is>
          <t>深夜</t>
        </is>
      </c>
      <c r="B4296" t="inlineStr">
        <is>
          <t>成功</t>
        </is>
      </c>
      <c r="C4296" t="inlineStr">
        <is>
          <t>読み方：しんや
真夜中。よふけ。深更。「—放送」「—労働」</t>
        </is>
      </c>
      <c r="D4296" t="inlineStr">
        <is>
          <t>深夜時間帯；深夜さん；深夜時代；深夜バラエティ番組；深夜早朝</t>
        </is>
      </c>
      <c r="E4296" t="inlineStr">
        <is>
          <t>夜中；真夜中；夜半；正子；十二時</t>
        </is>
      </c>
      <c r="F4296" t="inlineStr">
        <is>
          <t>土曜深夜；同日深夜；金曜深夜；平日深夜；月曜深夜</t>
        </is>
      </c>
      <c r="G4296" t="inlineStr">
        <is>
          <t>深夜帯；深夜放送；深夜バス；深夜アニメ；深夜枠</t>
        </is>
      </c>
      <c r="H4296" t="n">
        <v>29</v>
      </c>
      <c r="I4296" t="inlineStr">
        <is>
          <t>当初は月曜と火曜の深夜に編成されていたが、後に土曜深夜へ移動した。；ただし深夜には閉鎖されるため、停車するバスは昼行便のみである。；当時の夕方や深夜の全国ニュースと基本的なタイトルを合わせたことになる。；これも関西ローカル土曜深夜時代のクイズとほぼ同様の進行方式である。；この特番では、8月10日の朝から深夜まで通しての生放送が行われた。；この日は夕方から深夜まで子供と遊びながら画を描いた。；現代の日本では、午後あるいは夕方から深夜12時前後までの営業が一般的。；終夜放送はあまり行われておらず、深夜は放送を休止する場合が多い。；深夜まで走り市内の路線網が良く整備され高頻度な路線バスも運行されている。；過去に深夜時間帯に大阪駅を通過する寝台特急が経由していたことがある。；発表されたトリビアはこの時点で、深夜時代を含めて999個だった。；地方のラジオ局では珍しい、日曜深夜を含めた完全24時間放送を実施。；基本的に以下の4人が深夜・レギュラー・特番含めて出演している。；都市生活者の生活習慣に合わせ、深夜まで営業している店舗も多い。；チョロマでは深夜に堤防が決壊して死者4000人以上の被害を出した。；深夜過ぎに調印が行われ、スターリンも出席した乾杯が幾度も行われた。；早朝・日中・深夜の一部時間帯以外は必ず当駅で列車交換が行われる。；また平日の早朝と深夜には下り古市発橿原神宮前行きが運転されている。；通常は土曜深夜に予選を放送し、翌日に決勝の模様が放送される。；どちらも下り列車は早朝、上り列車は深夜にのみ設定されている。；これにはRKB毎日放送が関与し、当日深夜にRKBテレビで放送される。；現在では通勤・帰宅時の混雑も激しく、深夜もトラックの通行量が多い。；さらに、航空業界では深夜になって交渉が妥結し、回避されることも多い。；早朝・日中と深夜近くから終電までの間は1編成のみの運用である。；この中継はフジテレビでも2000年まで深夜に録画放送されていた。；長距離輸送を担う深夜運行のトラック運転手を対象にした番組である。；早朝・深夜の一部列車を除く全ての列車が列車交換を行っている。；後者の場合は、深夜急行バスまたは深夜中距離バスと呼ばれることがある。；教義上の理由もあるが、費用が廉価である早朝・深夜に主に放送されている。</t>
        </is>
      </c>
      <c r="J4296">
        <f>HYPERLINK("https://www.weblio.jp/content/深夜", "词义详情")</f>
        <v/>
      </c>
      <c r="K4296">
        <f>HYPERLINK("https://yourei.jp/深夜", "查看例句")</f>
        <v/>
      </c>
    </row>
    <row r="4297">
      <c r="A4297" t="inlineStr">
        <is>
          <t>親友</t>
        </is>
      </c>
      <c r="B4297" t="inlineStr">
        <is>
          <t>成功</t>
        </is>
      </c>
      <c r="C4297" t="inlineStr">
        <is>
          <t>読み方：しんゆう
互いに心を許し合っている友。特に親しい友。「無二の—」</t>
        </is>
      </c>
      <c r="D4297" t="inlineStr">
        <is>
          <t>親友同士；親友関係；親友役；親友かつ；親友どうし</t>
        </is>
      </c>
      <c r="E4297" t="inlineStr">
        <is>
          <t>仲間；相棒；盟友；仲良し；仲よし</t>
        </is>
      </c>
      <c r="F4297" t="inlineStr">
        <is>
          <t>わが親友；かけがえのない親友；亡き親友；大事な親友；数少ない親友</t>
        </is>
      </c>
      <c r="H4297" t="n">
        <v>29</v>
      </c>
      <c r="I4297" t="inlineStr">
        <is>
          <t>フィリッピーノは後に親友となるだけでなく、彼の一番の協力者となる。；父・エルンストは親友の医師の誘いでオーストラリアへの移住を決める。；親友のノアは彼を心配するが、彼の事情を知っているだけに何も言えない。；しかし親友の体験談を聞いてまもなく同様の症状が自分にも出現したという。；お互いに親友だと言い合った次の瞬間、里人は目の前から姿を消していた。；ペトラルカの親友でもあり、ダンテの最も早い時期の崇拝者でもあった。；長い年月共に仕事をしてきた親友が、彼とは血はつながっていないが兄弟だった。；後にベルマーレでもチームメートとなる田坂和昭とはこの時以来の親友。；また、この詩には彼の親友であったドビュッシーが曲をつけている。；ビールも飲み終え自宅に戻るとそこには親友のゴードが息子を連れて遊びに来ていた。；アーノルド・バックスの親友でもあり、当然彼のピアノ作品の録音がある。；操とは長年の親友であったが、ある事情から15年もの間会っていなかった。；その兄と親友だったのが広田で、下の兄と同窓だったのが宗八だった。；チームメイトで親友のレフティ・ウィリアムズも同じリーグに所属した。；この著書には親友である剣武のインタビューも掲載されている。；偶然にもスミスの父親クレイトンとペインは志を同じくする親友だった。；夕顔は親友・頭中将の元恋人で、行方知れずになっていた人であった。；光太郎は幼いころに両親を失い、父親の親友だった秋月家で育てられていた。；親友は右上の絵画にも描かれている猫のグリマルキンであった。；初期作品は兄弟や親友同士の友情や精神的な絆を多く描いている。；後日、完治の職場に故郷から研修で上京中の親友青木が訪ねてきていた。；その一方で、プライベートでは大の親友だったともいわれている。；本庄さんと私は親友でしたが、今では敵同士になってしまいました。；同時に大関に昇進した貴ノ花とは、土俵を離れれば親友同士でもあった。；ある日、ただ一人の親友であるミヨちゃんが北海道に引っ越すことになった。；しかし直後に二人で大笑いとなり、その後は親友になったと水木は語っている。；二人は性格はまったく異なっていたが、親友同士であった。；自らを悪友・親友同士である芸能人2人以上を迎えてのゲストコーナー。；主人公・うずまきナルトの親友にして、宿敵ともいえるほどのライバル。</t>
        </is>
      </c>
      <c r="J4297">
        <f>HYPERLINK("https://www.weblio.jp/content/親友", "词义详情")</f>
        <v/>
      </c>
      <c r="K4297">
        <f>HYPERLINK("https://yourei.jp/親友", "查看例句")</f>
        <v/>
      </c>
    </row>
    <row r="4298">
      <c r="A4298" t="inlineStr">
        <is>
          <t>信用</t>
        </is>
      </c>
      <c r="B4298" t="inlineStr">
        <is>
          <t>成功</t>
        </is>
      </c>
      <c r="C4298" t="inlineStr">
        <is>
          <t>読み方：しんよう
［名］(スル)
１確かなものと信じて受け入れること。「相手の言葉を—する」
２それまでの行為・業績などから、信頼できると判断すること。また、世間が与える、そのような評価。「—を得る」「—を失う」「—の置けない人物」「店の—に傷がつく」
３現在の給付に対して、後日にその反対給付を行うことを認めること。当事者間に設定される債権・債務の関係。「—貸付」</t>
        </is>
      </c>
      <c r="D4298" t="inlineStr">
        <is>
          <t>信用でき(8%)；信用する(7%)；信用性(2%)；信用出来；信用力</t>
        </is>
      </c>
      <c r="E4298" t="inlineStr">
        <is>
          <t>付け；依頼；信頼；確信；依存</t>
        </is>
      </c>
      <c r="F4298" t="inlineStr">
        <is>
          <t>信用合作社；信用購買組合；信用購買販売組合；信用録第；信用しとらん</t>
        </is>
      </c>
      <c r="G4298" t="inlineStr">
        <is>
          <t>信用組合；信用保証；信用取引；信用度；信用事業</t>
        </is>
      </c>
      <c r="H4298" t="n">
        <v>29</v>
      </c>
      <c r="I4298" t="inlineStr">
        <is>
          <t>このヨーロッパ銀行を支配していたのがフランス商業信用銀行である。；古い文書の記述を信用するのであれば、日本の馬は江戸期に小型化した。；このように中央道の調査は非常に大雑把で信用に足るものではなかった。；これらの問題を解決する手段として信用の輪を構築する方法が挙げられる。；アドルフ・ヒトラーが私の逮捕を命じたなんて話が信用できると思うかね?；私たちの会社の信用は、私の称号のために問題にされることはない。；客がどの予想屋を信用するかにかかっており、全ては客の自己責任となる。；またそうした、品位の保持は人々より尊敬或いは信用を受けるとされる。；信用できるバイクタクシーやトゥクトゥクを利用したほうが安全である。；タツノコの名前があったことは社会的な信用も得ることにも繋がった。；主人公に加勢する場合でも完全に背中を預けるような信用はされない。；予算や撮影日数をオーバーする監督を信用しないと著書で述べている。；周囲からもアホ扱いされている「あたる」とは異なり人望も信用もある。；このため、民謡の言葉や魅力を理解できず、その力を信用しきれなかった。；しかしデラニーの受けた印象は完全に信用できないというものだった。；争うべき証言の信用性が十分に証明できないままに判決が出されたと主張している。；それは俺たちに信用のレベルを与え、どのようにやっていくかの小道となった。；それぞれ信用と安心、慎重な判断を示す3つの鍵があしらわれている。；いくつかの地方巡業の舞台で活躍した後、小売信用会社で働き始める。；信用の輪における特定の鍵の信用度を表す指標の一つに MSDがある。；総裁政府は増刷に増刷を重ね、紙幣の信用は失われて経済は破壊された。；ヘーメンのことは話に聞いているが、彼は信用できる人物ではない。；ただし、歌詞は非常に政治的なもので、信用ならない政府を標的にしている。；性格はややひねくれており、一匹狼ゆえに基本的に他人を信用しない。；なお、気象学的に考えてもっとも信用性があるのは、雲を使った予想である。；なお、ウイルスは単離確定されていなくても、抗体検査は信用性がある。；しかし彼の報告はほとんどの国で信用されなかった。；タロナスはまったく信用されておらず、ルーブルは非常に不安定だった。；追放について言及した中世の文献で、信用に足る説明をなしえたものはない。</t>
        </is>
      </c>
      <c r="J4298">
        <f>HYPERLINK("https://www.weblio.jp/content/信用", "词义详情")</f>
        <v/>
      </c>
      <c r="K4298">
        <f>HYPERLINK("https://yourei.jp/信用", "查看例句")</f>
        <v/>
      </c>
    </row>
    <row r="4299">
      <c r="A4299" t="inlineStr">
        <is>
          <t>信頼</t>
        </is>
      </c>
      <c r="B4299" t="inlineStr">
        <is>
          <t>成功</t>
        </is>
      </c>
      <c r="C4299" t="inlineStr">
        <is>
          <t>読み方：しんらい
［名］(スル)信じて頼りにすること。頼りになると信じること。また、その気持ち。「—できる人物」「両親の—にこたえる」「医学を—する」</t>
        </is>
      </c>
      <c r="D4299" t="inlineStr">
        <is>
          <t>信頼できる(10%)；信頼性(3%)；信頼感(2%)；信頼出来る；信頼しうる</t>
        </is>
      </c>
      <c r="E4299" t="inlineStr">
        <is>
          <t>依頼；自信；確信；信用；依存</t>
        </is>
      </c>
      <c r="F4299" t="inlineStr">
        <is>
          <t>厚い信頼；深く信頼；深い信頼；大きな信頼；絶対的な信頼</t>
        </is>
      </c>
      <c r="G4299" t="inlineStr">
        <is>
          <t>信頼関係；信頼度；信頼回復；信頼できる情報源；信頼区間</t>
        </is>
      </c>
      <c r="H4299" t="n">
        <v>29</v>
      </c>
      <c r="I4299" t="inlineStr">
        <is>
          <t>この頃に井上は米内の信頼を得て以降、米内の下で活躍することになる。；実績もあり理論的に指導できるコーチとして、選手からも信頼があった。；黒人生徒の点は標本数が少ないために信頼できる統計とはなっていない。；また、低価格で信頼性が高いことから医療機器分野でも多く使用された。；もう一つの問題は国家が国民からの信頼を失っている点にある。；殻から年齢を推定する信頼できる方法が無いため、年間の成長速度は不明。；理性は知識を獲得する信頼にたる源であり、啓示と完全に調和している。；そしてシャクルトンを加えたことは高い個人的な信頼を表していた。；無欲恬淡な性格で生涯寺を持たず、諸民に信頼され、良く教化に努めた。；フィリピンに独立を保証するという彼らの最近の約束は全く信頼できない。；しかし、合理的によく信頼できるような情報を提示する専門家もいる。；着任早々に功績を挙げ、やがて仲間からの信頼も得るようになった亮子。；桓武・平城・嵯峨の三帝に仕え、いずれの天皇にも信頼され重用された。；このためフランチェスコ2世にはあまり信頼できない兵隊のみが残された。；ラーベの報告は実験の詳細がなくとも信頼できるものと考えても特に無理はない。；米内さんに仕えた者は、誰でも自分が一番信頼されているように思いこむ。；肩書きこそ隊長であるものの、やや頼りなく他の隊員からの信頼は薄い。；マクダ夫人はこれに感謝し、ヒトラーに大変な信頼を寄せることとなる。；サッポーに関する信頼できる文献は少なく、その生涯ははっきりしない。；性交を避けることは感染を回避する最も信頼のおける方法でもある。；そして両国はそれに積極的に取り組み新たな信頼を築いてきたのです。；また、私的な依頼による行動も外部からの信頼を失うため、禁止された。；ハイドンの自筆原稿は残っていないことが多く、信頼できる資料は少ない。；検体検査の精度管理は信頼にたる精度の検査結果を得るために行われる。；これにより欧州でのJVCブランドは絶対的な信頼を獲得することとなる。；お互いを信頼しないパートナーは真剣な交渉を行うことはできない。；ヨシュアは死の床で民の代表者たちに神への信頼を説き、この世を去った。；カールは老帝から大いに信頼され、次のような評価を受けている。；出力だけでなく、改修されるごとに信頼性や燃費も向上している。</t>
        </is>
      </c>
      <c r="J4299">
        <f>HYPERLINK("https://www.weblio.jp/content/信頼", "词义详情")</f>
        <v/>
      </c>
      <c r="K4299">
        <f>HYPERLINK("https://yourei.jp/信頼", "查看例句")</f>
        <v/>
      </c>
    </row>
    <row r="4300">
      <c r="A4300" t="inlineStr">
        <is>
          <t>心理</t>
        </is>
      </c>
      <c r="B4300" t="inlineStr">
        <is>
          <t>成功</t>
        </is>
      </c>
      <c r="C4300" t="inlineStr">
        <is>
          <t>読み方：しんり
１心の働きやありさま。精神の状態。「複雑な—」「深層—」
２「心理学」の略。</t>
        </is>
      </c>
      <c r="D4300" t="inlineStr">
        <is>
          <t>心理的(14%)；心理描写(3%)；心理学(2%)；心理學；心理分析</t>
        </is>
      </c>
      <c r="E4300" t="inlineStr">
        <is>
          <t>心理学；サイコロジー</t>
        </is>
      </c>
      <c r="F4300" t="inlineStr">
        <is>
          <t>異常心理；微妙な心理；同じ心理；複雑な心理；そういう心理</t>
        </is>
      </c>
      <c r="G4300" t="inlineStr">
        <is>
          <t>心理的；心理学者；心理状態；心理療法；心理学科</t>
        </is>
      </c>
      <c r="H4300" t="n">
        <v>29</v>
      </c>
      <c r="I4300" t="inlineStr">
        <is>
          <t>英国では現代心理学と統計学的を元に確立させたのが大きな特徴と言える。；バンカーの存在は、試合に参加する各プレイヤーの心理に強く影響する。；論理的思考が心理にとって有効な働きをすることを強調した名称である。；その重要性は、身体への影響と同じく、心理への影響のせいでもあった。；作品の全盛期では「人の心理」をテーマに使ったエピソードが多かった。；極地観測隊員からの報告の中には心理的な問題を誇張したものもある。；心理伝染とは範囲に限定されない噂やデマゴーグに影響された行動である。；戦場の心理について、人間は勝利のために戦うわけではないと述べている。；技術は表現しようとすることの手段であって、心理や思考が優先する。；そのため、観客との間に心理的な距離が生まれてしまうことがある。；心的外傷後ストレス障害を起こして心理的な援助を必要とする場合もある。；健康・疾病に影響する要因として心理社会的因子の役割を重視すること。；実際に色が黒い部分や影の部分を表すだけでなく、心理描写にも効果を発揮する。；字の書き方や文字の大きさなどで、書いた人物の性格や心理を分析するもの。；むしろ多くの政治的見解は人間心理に従った非合理的な性質を持つものである。；ルフィには心理描写が一切無く、思ったことは必ず口に出すようにしている。；人間の心理や行動に基づく環境デザイン理論を専門に研究している。；以下のような心理社会的治療は、I型・II型の両方に有効とされる。；主に物質的な刺激のことをいうが心理的な意味も含まれる。；この作品の心理描写の超現実的な新しい手法と「魔界」が注目された。；数々の漫画のキャラクターの心理を分析した著書を多数執筆。；労働現場の矛盾を心理的な側面から描く手法で注目された。；人間内部の心理の現実を深く見つめるもので、人生の暗さが描かれた。；また、症状は心理的な要因にも大きく左右されるとの説もある。；生物学的指標は存在せず、現在の診断は患者の心理症候に依存している。；幼児期の心理特性は、自分を基準にして世界を解釈することである。；この手術によって回復する場合の多くは、心理的な効果とみなされている。；人間は単体である場合と集団である場合には明らかに異なった心理過程を抱く。；津城は、こういった理解は大衆的な心理学とは異なっていると指摘している。</t>
        </is>
      </c>
      <c r="J4300">
        <f>HYPERLINK("https://www.weblio.jp/content/心理", "词义详情")</f>
        <v/>
      </c>
      <c r="K4300">
        <f>HYPERLINK("https://yourei.jp/心理", "查看例句")</f>
        <v/>
      </c>
    </row>
    <row r="4301">
      <c r="A4301" t="inlineStr">
        <is>
          <t>侵略</t>
        </is>
      </c>
      <c r="B4301" t="inlineStr">
        <is>
          <t>成功</t>
        </is>
      </c>
      <c r="C4301" t="inlineStr">
        <is>
          <t>読み方：しんりゃく
［名］(スル)他国に攻め入って土地や財物を奪い取ること。武力によって、他国の主権を侵害すること。「隣国を—する」「—戦争」</t>
        </is>
      </c>
      <c r="D4301" t="inlineStr">
        <is>
          <t>侵略的(2%)；侵略者；侵略軍；侵略しよ；侵略計画</t>
        </is>
      </c>
      <c r="E4301" t="inlineStr">
        <is>
          <t>占領；侵攻；侵入；攻略；攻勢</t>
        </is>
      </c>
      <c r="F4301" t="inlineStr">
        <is>
          <t>アジア侵略；地上侵略；武力侵略；新たな侵略；大規模な侵略</t>
        </is>
      </c>
      <c r="G4301" t="inlineStr">
        <is>
          <t>侵略戦争；侵略行為；侵略的外来種；侵略政策；侵略前夜</t>
        </is>
      </c>
      <c r="H4301" t="n">
        <v>29</v>
      </c>
      <c r="I4301" t="inlineStr">
        <is>
          <t>この思想はアジア侵略を先導した思想だとして戦後大きな非難を受けた。；だが、次の侵略艦隊が来るのが時間の問題であることにはかわりなかった。；これら全ての侵略軍はポーランドの首都ワルシャワを最終目標とした。；ジャムとは、超空間通路を通じ地球へと侵略してきた謎の異星体である。；ESSは打ち負かされない戦略と違い、大規模な侵略を想定していない。；同盟にはその作戦目標から侵略的な場合と防衛的な場合がある。；この都市を建てたのはローマ人で、がローマの侵略と戦っていたころである。；この時期にはイギリスのみならず、いくつかの国家がアジアへの侵略を開始した。；超獣や侵略宇宙人に襲撃されたり、Aと超獣の戦場となった回数も多い。；しかし間もなく侵略に転じ、近隣諸国の領土を拡大し勢力を伸ばした。；新の王莽の末年になると、烏桓は匈奴とともに侵略を行うようになった。；生存のために大量の水を必要としており、それが侵略目的の一つ。；これにより、再度イベリアからのイスラム圏の侵略に対応しようとした。；ダイノアースにある侵略の園と呼ばれる巨大な城を拠点としている。；ロシアの侵略に対する日本との協力関係を期待したものと見られる。；革命に続く時代には、外国の侵略や内乱があり、さらに多くの人々が逃亡した。；歴代の国王は地理的な統合を求めて相続・侵略を繰り返していくことになる。；スペイン人ピサロの侵略に遭い処刑され事実上の最後の皇帝となった。；地球を訪れる最初の目的は侵略ではなく、故障した宇宙船の修理のためだった。；ヴァイキングに侵攻を受けた後は、ロシア人やデーン人の侵略を受ける。；各軍は将校と兵士、そして侵略ロボットから構成されている。；遠山はこの論文で「脱亜論」は日本帝国主義のアジア侵略論と紹介した。；警察と消防隊は、エイリアンの侵略軍と交戦するために町から急いで出た。；元地獄軍事局参謀で洗剤兵器と健康食品による侵略活動に力を入れていた。；その結果、富を求め近隣諸国を侵略していったとされるものである。；これはイギリス統治時代以前のポルトガルのインド侵略による影響が大きい。；ナチス・ドイツは旧東部領土の回復をポーランド侵略の口実とした。；自機のゴモラを操作して惑星アトランタルを侵略することを目的としている。；リヴォニアとエストニアは、侵略後も特別な地位を維持することが許された。</t>
        </is>
      </c>
      <c r="J4301">
        <f>HYPERLINK("https://www.weblio.jp/content/侵略", "词义详情")</f>
        <v/>
      </c>
      <c r="K4301">
        <f>HYPERLINK("https://yourei.jp/侵略", "查看例句")</f>
        <v/>
      </c>
    </row>
    <row r="4302">
      <c r="A4302" t="inlineStr">
        <is>
          <t>診療</t>
        </is>
      </c>
      <c r="B4302" t="inlineStr">
        <is>
          <t>成功</t>
        </is>
      </c>
      <c r="C4302" t="inlineStr">
        <is>
          <t>読み方：しんりょう
［名］(スル)医師が患者を診察し、治療すること。「土曜日は午前中のみ—します」「—中」</t>
        </is>
      </c>
      <c r="D4302" t="inlineStr">
        <is>
          <t>診療所(15%)；診療室(8%)；診療科(2%)；診療時間(2%)；診療施設</t>
        </is>
      </c>
      <c r="E4302" t="inlineStr">
        <is>
          <t>医療；診断；見立て；見立；見たて</t>
        </is>
      </c>
      <c r="F4302" t="inlineStr">
        <is>
          <t>無料診療；歯科診療；がん診療；救急診療；初期診療</t>
        </is>
      </c>
      <c r="G4302" t="inlineStr">
        <is>
          <t>診療報酬；診療科；診療ガイドライン；診療放射線技師；診療録</t>
        </is>
      </c>
      <c r="H4302" t="n">
        <v>29</v>
      </c>
      <c r="I4302" t="inlineStr">
        <is>
          <t>医者が患者へリアルタイムに診療を行う方法と、そうでない方法である。；なお診療外の非医療分野のアルバイトは禁止について言及されていない。；まもなく彼女は退院したが、またすぐに感染のため個人診療所へ戻った。；また、患者の身分にかかわらず診療を行ったことでも知られている。；電気生理学的検査の代表的なものであり、日常診療で広く利用されている。；また医療現場に栄養素品の利用を取り入れた新しい診療システムも構築した。；小規模な診療施設はあり、応急処置や簡単な治療を受けることができる。；近年までほとんどの病院では少ない数の小児科当直医が全て診療していた。；歯科とは、歯または歯に関連した組織に関する疾患を扱う診療科である。；新宿のオンボロ診療所を舞台にクマ先生と、多くの生命との交流を描く。；また麻酔科医だけでなく、各診療科の専門医師を配置したりする場合もある。；和歌山県がん診療連携推進病院や災害拠点病院などの指定を受けている。；衆議院議員落選後は医療現場に戻り、港湾労働者への診療を行っていた。；生体を傷つけず測定でき、自動血圧計や一般診療で日常的に用いられる。；これらの限界と変動を打開するいくらかの方法が実際の診療で試みられている。；元々は各工場地域に診療所として点在していたものを1つに集約した。；病院名も、設置時には熊本逓信診療所として始まり、のちに病院へ昇格。；回診とは、病棟の入院患者のもとを医師が巡回して診療することである。；夕張市にある唯一の総合病院だったが、指定管理者の導入で診療所となった。；市民は救急診療所の設置された地下駐車場に避難したが、サムは死亡。；博物館は、フロイトのかつての診療や当時の個人的な生活の一部で構成されている。；例えば拠点から1日で移動できるところに移動診療所や検査センターを出すことになる。；医療部門では主に医療施設の運営とブラジル奥地への巡回診療を行っている。；この目標に向けて、同社はプライマリ・ケア診療施設6つを売却した。；一方で、成人で発症した例では、どの診療科が受け持つのかが問題となる。；若年寄の支配に属し、奥に住んでいる将軍とその家族の診療をした。；なお、計画的な訪問診療にかかる交通費は徴収していないとのこと。；治療の経過などを書面にまとめ、紹介することは診療行為の一環と見なせる。；この病院では2009年まで診療がおこなわれていたが、老朽化のために。</t>
        </is>
      </c>
      <c r="J4302">
        <f>HYPERLINK("https://www.weblio.jp/content/診療", "词义详情")</f>
        <v/>
      </c>
      <c r="K4302">
        <f>HYPERLINK("https://yourei.jp/診療", "查看例句")</f>
        <v/>
      </c>
    </row>
    <row r="4303">
      <c r="A4303" t="inlineStr">
        <is>
          <t>尽力</t>
        </is>
      </c>
      <c r="B4303" t="inlineStr">
        <is>
          <t>成功</t>
        </is>
      </c>
      <c r="C4303" t="inlineStr">
        <is>
          <t>読み方：じんりょく
［名］(スル)ある目的の実現のために、力を尽くすこと。「町の復興に—する」</t>
        </is>
      </c>
      <c r="D4303" t="inlineStr">
        <is>
          <t>尽力する(7%)；尽力いただい；尽力いただき</t>
        </is>
      </c>
      <c r="E4303" t="inlineStr">
        <is>
          <t>務める；試み；努力；苦労；取り組み</t>
        </is>
      </c>
      <c r="F4303" t="inlineStr">
        <is>
          <t>ご尽力；向けて尽力；多大な尽力；その実現に尽力；長年尽力</t>
        </is>
      </c>
      <c r="H4303" t="n">
        <v>29</v>
      </c>
      <c r="I4303" t="inlineStr">
        <is>
          <t>業界や競技に捉われず、冬季産業、スポーツ産業の発展に尽力している。；また検地制度の改革などを実施して、農業生産と藩財政の安定に尽力した。；渡辺が若頭に就任した時と同様、五代目に就任するのに宅見は尽力した。；創設に尽力した政策研究大学院の副学長として、組織の運営に携わった。；第二次世界大戦の後、アメリカで学んできた板野がその普及発展に尽力した。；パグウォッシュ会議の設立にも尽力し、創設メンバーの一人でもある。；その後の、選手会が導入に尽力したFA制度を利用して巨人に移籍している。；隋の初代皇帝である文帝は仏教を深く信仰し、国内外での普及に尽力した。；対外戦争に尽力し、西方ではローマ帝国と何度か戦い、これに勝利した。；以降広く知識人と交わり始め、ヨーロッパの精神的独立のために尽力した。；跨線橋前には、当駅開業に尽力した初代駅長の功績を讃えた記念碑がある。；一方で、自らサッカースクールを創設してサッカー選手育成に尽力している。；終戦後は戦争中に供出された仏具・仏像などの文化財修理・保護に尽力。；イタリア統一戦争の際にもプロイセンが反墺的中立をとるよう尽力した。；最近では節水型トイレの製造もしており、環境分野においても尽力している。；また、南朝とのパイプを持ち和睦交渉に尽力するも成果を出せなかった。；この宿は大久保長安が建設に尽力した街道中最大の宿である。；犬好きで動物愛護協会設立に尽力し、晩年は多数の犬と暮らした。；彼は、仏教以外の宗教も奨励したが、何より仏教を広めるのに尽力をした。；日本でのツーバイフォー工法建築の専門家としてその技術の普及に尽力した。；第二次世界大戦後の日本の作曲界の隆盛に尽力し、顕著な業績を残した。；自身と同じ九州出身選手や、他の地方から九州球界で活躍した選手の入団に尽力している。；以後、1912年まで孫文と生死を共にして辛亥革命の成功に尽力した。；明治後期から昭和初期にかけて日本の近代歯科医療制度の確立に尽力した。；ヘーゲル哲学を専門に教え、ヘーゲル哲学の伝統の教授と流布に尽力した。；大阪帝国大学理学部教授に就任してからはサイクロトロンの建設に尽力した。；建設にあたって当時の国会議員瀬戸山三男の尽力があったといわれている。；さらに1938年にはイラン縦貫鉄道を完成させるなど産業の育成にも尽力した。；藩政の基礎を固めるために城下町の建設や治水工事などにも尽力した。</t>
        </is>
      </c>
      <c r="J4303">
        <f>HYPERLINK("https://www.weblio.jp/content/尽力", "词义详情")</f>
        <v/>
      </c>
      <c r="K4303">
        <f>HYPERLINK("https://yourei.jp/尽力", "查看例句")</f>
        <v/>
      </c>
    </row>
    <row r="4304">
      <c r="A4304" t="inlineStr">
        <is>
          <t>森林</t>
        </is>
      </c>
      <c r="B4304" t="inlineStr">
        <is>
          <t>成功</t>
        </is>
      </c>
      <c r="C4304" t="inlineStr">
        <is>
          <t>読み方：しんりん
樹木、特に高木が群生して大きな面積を占めている所。また、その植物群落。</t>
        </is>
      </c>
      <c r="D4304" t="inlineStr">
        <is>
          <t>森林内(3%)；森林資源(2%)；森林会議員；森林地域；森林管理</t>
        </is>
      </c>
      <c r="F4304" t="inlineStr">
        <is>
          <t>大森林；地方森林；広大な森林；深い森林；豊かな森林</t>
        </is>
      </c>
      <c r="G4304" t="inlineStr">
        <is>
          <t>森林伐採；森林公園；森林鉄道；森林限界；森林破壊</t>
        </is>
      </c>
      <c r="H4304" t="n">
        <v>29</v>
      </c>
      <c r="I4304" t="inlineStr">
        <is>
          <t>森林の低木の枝先などに糸を引いてぶら下がっているのがよく見られる。；島全体が低い丘陵地で、森林は海岸性のものがわずかにある程度である。；ただし乾燥した地中海沿岸では、古くから森林の発達は限定的であった。；しかし、人口増加に伴う急速な開発で毎年多くの森林が伐採されている。；エミリー山の森林監視所では不明機と森からの白煙が確認されている。；指定にあたり森林を構成する主要樹種、所有の形態などには左右されない。；これは幕府が飛騨の森林や鉱山の直轄支配を図ったためとする説がある。；山野や低山の森林にごく普通に見られ、特に崩壊地などにはよく育っている。；保安施設地区は将来的に森林が成立したと判断されると保安林へ転換される。；州南部に森林の多くが残っており、家具製造業の支えになっている。；その他の点でも、ゆっくりとではあるが森林内の環境は変化するものと考えられる。；アメリカ合衆国農務省森林サービスの管轄下にある地域は以下の通りである。；森林は、開発の制限されている3つの国立公園を除きほぼ存在しない。；生態系は広大な森林から小さな池まで様々な大きさのものがある。；これらは森への風の出入りをふせぎ、森林の内部を保護するように働いている。；出現する種は限られるが、森林には出現しないものも存在する。；管理が放棄されている森林は、表面植生が衰退して土壌が流亡しやすい。；森林国である日本は条件に恵まれており、これを大いに活用すべき。；またこの場合森林面積は減少しているためカーボンニュートラルとはならない。；ダチョウと違い主に森林に生息していたが、草原にも生息していた。；森林内にヒトが作った林道や山道などを、他の動物が利用することも多い。；植生も雨に左右され、雨の多い地域では森林が発達し、農業生産が盛んである。；サラエヴォの町は濃厚な森林に覆われた丘陵地と5つの山に囲まれている。；森林に覆われた谷と山の斜面の上には、高山のツンドラ地帯が広がっている。；州域の大部分は森林に覆われていて、ヨーロッパの主要な材木生産地の一つである。；森林には、その型や発達程度にもよるが、ある程度の似かよった構造がある。；森林は単独の樹種のみで形成されることはごく少ない。；ただし物質生産が盛んであるため、森林量は世界で最も大きい樹林となっている。；森林は豊富であったものの、隣藩のように林業を有効活用することが出来なかった。</t>
        </is>
      </c>
      <c r="J4304">
        <f>HYPERLINK("https://www.weblio.jp/content/森林", "词义详情")</f>
        <v/>
      </c>
      <c r="K4304">
        <f>HYPERLINK("https://yourei.jp/森林", "查看例句")</f>
        <v/>
      </c>
    </row>
    <row r="4305">
      <c r="A4305" t="inlineStr">
        <is>
          <t>人類</t>
        </is>
      </c>
      <c r="B4305" t="inlineStr">
        <is>
          <t>成功</t>
        </is>
      </c>
      <c r="C4305" t="inlineStr">
        <is>
          <t>読み方：じんるい
人間。ひと。動物学上は、脊索動物門哺乳綱霊長目ヒト科ヒト属に分類される。→人(ひと)</t>
        </is>
      </c>
      <c r="D4305" t="inlineStr">
        <is>
          <t>人類社会；人類全体；人類初；人類側；人類愛</t>
        </is>
      </c>
      <c r="E4305" t="inlineStr">
        <is>
          <t>人；人間；ヒト</t>
        </is>
      </c>
      <c r="F4305" t="inlineStr">
        <is>
          <t>世界人類；超人類；人類最古；人類史上初；人類救済</t>
        </is>
      </c>
      <c r="G4305" t="inlineStr">
        <is>
          <t>人類学；人類史；人類滅亡；人類の進化；人類の起源</t>
        </is>
      </c>
      <c r="H4305" t="n">
        <v>29</v>
      </c>
      <c r="I4305" t="inlineStr">
        <is>
          <t>戦争は人類と同じくらい古いもののようだが、平和は現代の発明である。；ナイフは人類が使う道具類の中でも特に基本的なもののひとつである。；人類や文明の起源は宇宙人であるとする古代宇宙飛行士説も唱えられた。；集団を形成するようになる有史以来、人類が繰り返してきたものである。；この時期の機族に特別な能力はなく、ほとんど人類の子供と変わりがない。；人類が活用できる地下の深度は、地球レベルでは、ごく表面だけである。；その起源は相当古くに遡り、人類最古の文化のひとつに数えられている。；人類がいつごろから火を使い始めたのか、はっきりした事は解っていない。；人類が大きな国家を作るようになると船舶による輸送が不可欠となった。；この時代には、日本列島に人類は住んでいなかったと推測されている。；石は手に入りやすい硬い材料であり人類最初の材料といわれている。；サウスダコタ州となった地域には少なくとも数千年前から人類が住んでいた。；人類と向精神性作用のある植物との関係は遥か昔まで遡ることができる。；人類最初の王権が成立した都市とされているエリドゥが古代はあった。；初期の人類が時間を認識する基礎は、季節の観念だったと考えられる。；金および隕鉄だけが、人類が銅より前に使用していたという証拠がある。；以降、人類はずっとこのプライヤを改善し続けているということである。；前述のように、人類は意識を持つよりも先に言語を獲得していた。；大西洋沿岸のほぼすべての地域には有史以前から人類が居住していた。；清瀬市域に最初の人類が現れたのは、ヴュルム氷期の約2万年前である。；ウリ科の植物の多くは熱帯に分布し、人類の歴史上最も古い作物を含む。；これは、楽園を追放されたイブリースから人類への最初の復讐であった。；この現象は、「人類が観測した最初で最大の規模」であったとされる。；工具は、人類を地球上の全ての他の動物から分離した決定的な象徴である。；ゴ集団の中には人類の文化・芸術に興味を示して熟達する者もいた。；意識を持つように人類が進化する以前に、人類は言語を使えるようになった。；人類の歴史上、身体の装飾行為がいつ始まったのかは定かではない。；マルクスは人類の歴史の中で最も影響力のある人物の一人であると説明されている。；チューク環礁に人類が辿り着いたのは西暦の紀元前だと考えられている。</t>
        </is>
      </c>
      <c r="J4305">
        <f>HYPERLINK("https://www.weblio.jp/content/人類", "词义详情")</f>
        <v/>
      </c>
      <c r="K4305">
        <f>HYPERLINK("https://yourei.jp/人類", "查看例句")</f>
        <v/>
      </c>
    </row>
    <row r="4306">
      <c r="A4306" t="inlineStr">
        <is>
          <t>進路</t>
        </is>
      </c>
      <c r="B4306" t="inlineStr">
        <is>
          <t>成功</t>
        </is>
      </c>
      <c r="C4306" t="inlineStr">
        <is>
          <t>読み方：しんろ
１進んで行く道。行く手。「敵の—を阻む」「台風の—」⇔退路。
２将来進むべき道。将来の方向。「卒業後の—を決める」</t>
        </is>
      </c>
      <c r="D4306" t="inlineStr">
        <is>
          <t>進路図(3%)；進路上(2%)；進路妨害；進路希望；進路選択</t>
        </is>
      </c>
      <c r="E4306" t="inlineStr">
        <is>
          <t>道；流れ；路線；道路；路</t>
        </is>
      </c>
      <c r="F4306" t="inlineStr">
        <is>
          <t>進路表示機；進路ガイダンス；進路予報；進路を北寄り；進路をふさが</t>
        </is>
      </c>
      <c r="G4306" t="inlineStr">
        <is>
          <t>進路変更；進路指導主事；進路資料室</t>
        </is>
      </c>
      <c r="H4306" t="n">
        <v>29</v>
      </c>
      <c r="I4306" t="inlineStr">
        <is>
          <t>進路希望や興味・関心にあわせて科目を選択するシステムになっている。；学校側も具体的な進路達成目標を掲げており、実績の上昇を目指している。；その後2つの路線はそれぞれ北と西とに進路を変え、当市内を横断する。；このバンドはしばらくして、他のメンバー達の進路の問題で解散する。；指名がなければ社会人チームで野球を続ける進路を考えていたという。；右図では、進路が主要な線路より右方に開通しているときを表示している。；またその進路の大きな特徴は、病院への就職に非常に強いことである。；進学対策や就職対策など、進路に応じて多様なコースを設置している。；線区別中央装置から受け取った情報を元に進路制御・旅客案内などを行う。；帰国隊員向けの研修や進路相談などがJICAによって実施されている。；ラーン川はヴェッツラーを過ぎた直後に、南から西にその進路を変える。；劇中ではそれを利用してある程度の進路誘導が可能なことが証明されている。；このときにどの進路への進入を許可するかを表示するのが進路表示機である。；神の命令の範囲内で、人は自らの進路を選択する自由意志が与えられている。；その後の中国の進路や日本の対中政策を大きく変えることになった。；来年春の卒業を控え就職活動中だが、その進路は決まらないままだった。；ウルダネータは北緯38度まで北東に進み、そこから進路を東にとった。；秀吉の懸念材料は、京都への進路上に勢力を張る摂津衆の動向であった。；それらは増殖を繰り返しながら明確に地球への進路を取っていた。；彼らはより易しい進路の方が好きである傾向があるかもしれない。；進路が確立していれば進行信号を表示し、確立していない場合は停止信号を表示する。；高2より科目選択制となり、進路に対応したカリキュラムとなっている。；進路に迷っていた時京都へ来た小林秀雄から文学の道を勧められる。；なお、高校時代に進路を声優一本に絞るきっかけとなったのは山寺宏一。；進路は明治大学を志望していたが帝京大学の推薦入試を受けて入学した。；モンブランはベッドフォード湾へ向け港のダートマス側に進路をとった。；学生の目指す資格や進路に対応した特別講義が展開されている。；普通コースは2年次に進路希望によりさらにモデルコースを選択する。；しかし直線で進路を確保してから猛烈な勢いで加速し、ほぼ同時にゴール。</t>
        </is>
      </c>
      <c r="J4306">
        <f>HYPERLINK("https://www.weblio.jp/content/進路", "词义详情")</f>
        <v/>
      </c>
      <c r="K4306">
        <f>HYPERLINK("https://yourei.jp/進路", "查看例句")</f>
        <v/>
      </c>
    </row>
    <row r="4307">
      <c r="A4307" t="inlineStr">
        <is>
          <t>針路</t>
        </is>
      </c>
      <c r="B4307" t="inlineStr">
        <is>
          <t>成功</t>
        </is>
      </c>
      <c r="C4307" t="inlineStr">
        <is>
          <t>読み方：しんろ
１《羅針盤で進行方向を知るところから》船舶・航空機などの進む方向。コース。「南に—をとる」「—を外れる」
２目ざす方向。進路。「党の—」</t>
        </is>
      </c>
      <c r="D4307" t="inlineStr">
        <is>
          <t>針路変更(2%)；針路上；針路前方；針路修正；針路保持</t>
        </is>
      </c>
      <c r="E4307" t="inlineStr">
        <is>
          <t>方；道；流れ；路線；方向</t>
        </is>
      </c>
      <c r="F4307" t="inlineStr">
        <is>
          <t>正しい針路；予定針路；大きく針路；新しい針路</t>
        </is>
      </c>
      <c r="H4307" t="n">
        <v>29</v>
      </c>
      <c r="I4307" t="inlineStr">
        <is>
          <t>いつの間にか艦が全く勝手に新しい針路を取ってしまったように見える。；先ほどの急激な揺れば、船が突然針路を変えたことが原因であるらしい。；つまり舵を一定にしていても外力の影響で針路から少しずつ外れていく。；カシュタルは、各船の船長に湾の中央部を針路とするよう指示していた。；こうなることはわかりきっていたのに、針路を変えようとはしなかった。；嵐がおさまったあとも、われわれはこの針路をほとんどそれずに進んだ。；この船をして針路をあやまらせないように指導するのが将校の任務である。；敵魚雷は少しずつ針路を修正し、まっしぐらにこちらへと接近していた。；昭和十年代、この国は戦争にむかって大きく針路を変えようとしていた。；なぜかプログラムされたコースから艦の針路をはずすことができない。；やがて南緯六〇度まで来ると、艦の針路はまったくとざされてしまった。；船の針路が変るのを眼で確認するには、ある程度の時間が必要なのだ。；これは中国との間での朝鮮外交の針路に多大な影響を与えることとなった。；たぶん、ある時間に針路を変更するように、命令が出ていたのだろう。；最初わずかの間、東に針路をとり、それから今一度北に方向を転じた。；きみの偽の情報で航宙艦一隻が針路を転じたとでも書けっていうのかね?；規則的な上下動が、船が一定の針路を航行中だということを示していた。；雲の上にいてそんなことは知らない爆撃隊や戦闘隊は同じ針路を維持した。；機は針路を少し東に寄せ、ビクトリア山を右に見て、ココダの上を通る。；それらの島はわれわれの針路上にあって、全然コースからはずれていない。；帆船時代、時々船長達はこの島を北へ針路を変える前の目印としていた。；間もなく艦隊を発見し攻撃を試みたものの、頻繁に針路を変えられて失敗した。；午ごろになって一行は森の東のはずれに到達し、そこで南に針路を変えた。；西に針路を取った関船で、その光景をまず目にしたのは景親であった。；とほうに暮れた操縦士が知らないうちに、船は南東の針路をとっていた。；魚雷の飛行針路は、これ以上にはできないというほど慎重に計算されている。；グライムズは併航するようにちょっと針路を変え、速度を殺していった。；あなたがたはわが都市の軌道と交錯する針路をとっていらっしゃいます。；日本艦隊も那智機の報告を受けて敵艦隊との会敵予想針路を取った。</t>
        </is>
      </c>
      <c r="J4307">
        <f>HYPERLINK("https://www.weblio.jp/content/針路", "词义详情")</f>
        <v/>
      </c>
      <c r="K4307">
        <f>HYPERLINK("https://yourei.jp/針路", "查看例句")</f>
        <v/>
      </c>
    </row>
    <row r="4308">
      <c r="A4308" t="inlineStr">
        <is>
          <t>新郎新婦</t>
        </is>
      </c>
      <c r="B4308" t="inlineStr">
        <is>
          <t>成功</t>
        </is>
      </c>
      <c r="H4308" t="n">
        <v>29</v>
      </c>
      <c r="I4308" t="inlineStr">
        <is>
          <t>新郎新婦両方の父親を含めて60人が死亡した他、115人が負傷した。；信州から出てきたぼくの両親だけが不安そうな目をして新郎新婦を見つめていた。；おそらく古代の結婚式では、新郎新婦がこのような髪飾りをつけたのだろう。；聘定式は互いに結婚を誓い合う新郎新婦による結婚の契約の儀式である。；婚約・結婚は単なる新郎新婦間の法的合意ではなく、神を含む契約である。；階段の下では、半白の髪をした牧師さんが、新郎新婦を待ち受けている。；新郎新婦の付添人や親類を待ったり、案内したりしなくてもよかった。；そのとき正面の広い階段を新郎新婦らしきふたりがおりてきた。；新郎新婦の床入りのあと、夫の身内と妻の身内にその事実が知らされる。；この押し入れは新郎新婦が枕をならべて寝た八畳とは壁一重である。；六畳の大広間には、新郎新婦相並んで正面赤毛布の上に座って居る。；新郎新婦と仲人夫婦の前にだけ、白布に花を飾ったテーブルが置いてある。；壁際に新郎新婦の親が立つと、わたしの友人たちのちいさな声が聞こえてきた。；ある地方では、この木の枝を新郎新婦の手の上に置く。；彼の内部の何かが、結婚式の新郎新婦よろしく並んでいる二人の姿に反発しているのだ。；少なくとも新郎新婦に、はっきりと口頭で誓約を求めるようなことはしない。；新郎新婦は三又従兄妹の関係にあるため、結婚には教皇の認可を必要とした。；しかし新郎新婦は後から来て先に立ってしまったから、会って祝意を述べる機会がなかった。；新郎新婦は自身の自由な意思で結婚に同意する。；かつての皇族のみならず、現代の一般の新郎新婦も同様に行う。；だがそれにしても、二時には新郎新婦は寝床へ入った筈である。；係の人が慌しくやってきて、新郎新婦のお二人は、と言いながらわたしたちを見た。；ただ現在は新郎新婦の時間的な制約もあり、以下のような略式を用いる神社も多い。；新郎新婦は今も昔も神と人間が見つめる前で結婚する。；階段の左右に立った列席者たちが、新郎新婦に向けて拍手を送る。；小さな子供を連れた夫婦や赤ん坊を抱いた女、新郎新婦の祖父母らしい老人もいた。；新郎新婦で伝統的でない色を用いる場合もあり、なかでも紫と青が最もよく選ばれる。；この約1か月の間、新郎新婦は家から出ずに子作りに励んだという。；あのアタッシェケースは今、あのレストランの中の新郎新婦のテーブルの下にあります。</t>
        </is>
      </c>
      <c r="J4308">
        <f>HYPERLINK("https://www.weblio.jp/content/新郎新婦", "词义详情")</f>
        <v/>
      </c>
      <c r="K4308">
        <f>HYPERLINK("https://yourei.jp/新郎新婦", "查看例句")</f>
        <v/>
      </c>
    </row>
    <row r="4309">
      <c r="A4309" t="inlineStr">
        <is>
          <t>神話</t>
        </is>
      </c>
      <c r="B4309" t="inlineStr">
        <is>
          <t>成功</t>
        </is>
      </c>
      <c r="C4309" t="inlineStr">
        <is>
          <t>読み方：しんわ
１宇宙・人間・動植物・文化などの起源・創造などを始めとする自然・社会現象を超自然的存在（神）や英雄などと関連させて説く説話。
２実体は明らかでないのに、長い間人々によって絶対のものと信じこまれ、称賛や畏怖の目で見られてきた事柄。「地価は下がらないという—」「不敗—」</t>
        </is>
      </c>
      <c r="D4309" t="inlineStr">
        <is>
          <t>神話的(8%)；神話上(2%)；神話時代；神話画；神話化</t>
        </is>
      </c>
      <c r="E4309" t="inlineStr">
        <is>
          <t>伝え；物語；伝説；伝承；言い伝え</t>
        </is>
      </c>
      <c r="F4309" t="inlineStr">
        <is>
          <t>ダーレス神話；不敗神話；古史神話；神話論；古い神話</t>
        </is>
      </c>
      <c r="G4309" t="inlineStr">
        <is>
          <t>神話学者；神話論理；神話物語群；神話高千穂トロッコ鉄道；神話戦士ギガゼウス</t>
        </is>
      </c>
      <c r="H4309" t="n">
        <v>29</v>
      </c>
      <c r="I4309" t="inlineStr">
        <is>
          <t>またその他にもユダヤ人の神話や伝説などを集めた作品でも知られている。；どんな武器であったか神話中に記載はないが、一般に剣とされている。；また、神話上の人物を現代を舞台にした小説に登場させることもよくある。；剣は、神話や伝説中ではしばしば魔法の力を持つなどとされることがある。；神を生み出す神話は王が神の息子であり継承者であると主張している。；神話はそれらと関連した出来事が起こるたびに現実のものとなった。；これは、被害者が純粋悪の神話の影響を受けていることが考えられる。；ただ、ある程度は、時間の周期的な側面が神話の過去にも存在していた。；神話の物語は象徴化を用いることでこの領域の出来事を理解しやすくしている。；ヒンドゥー教の神話では、インドとはラマと呼ばれる橋で結ばれていた。；エジプトの非宗教的なテキストにおける神話への考え方は大きく異なる。；楽器の開発者とされるなど、他にも神話上に多くの役割を持っている。；神話主題の作品は当時のスペインでは非常に稀なものであった。；ヨーロッパでは古代から狩猟対象となっており、各地の神話にも登場する。；ただし神話記述のあらゆる細部に象徴的な意味があるわけではない。；ただし固有の神話を持たず、特定の夫と息子の組み合わせは持たない。；白や茶色などの小石を用いて狩猟や神話を主題とした場面を表現した。；大衆の動員において用いられるところの社会的神話はそれで問題である。；彼らはなお神を信仰していたのであるが、神話についてはそうでもなかった。；神話での記述の解釈や、その神にまつわるその他のエピソードを書きます。；やや後年の物語は神話上の出来事をあらすじに取り上げたものが多い。；そのため重要な神とされながら、神話には登場することが少ない。；だがこの姿勢はしかし神話を明確に拒絶するほど徹底したものでもなかった。；インディアン座は新しい星座であるため、神話や伝承は伝わっていない。；神話ではまたイアーソーンがメーデイアを離婚した土地ともいわれる。；同神話が表している信仰は、古代エジプトの宗教の重要な部分である。；ロココを代表する画家であり、上流社会の肖像画や神話画などを描いた。；ロスコの神話の使い方は、現代の歴史の解説し物語るものではなかった。；また、神話や伝説においても重要な地位を与えられている例が多い。</t>
        </is>
      </c>
      <c r="J4309">
        <f>HYPERLINK("https://www.weblio.jp/content/神話", "词义详情")</f>
        <v/>
      </c>
      <c r="K4309">
        <f>HYPERLINK("https://yourei.jp/神話", "查看例句")</f>
        <v/>
      </c>
    </row>
    <row r="4310">
      <c r="A4310" t="inlineStr">
        <is>
          <t>巣</t>
        </is>
      </c>
      <c r="B4310" t="inlineStr">
        <is>
          <t>成功</t>
        </is>
      </c>
      <c r="C4310" t="inlineStr">
        <is>
          <t>読み方：す
１鳥・獣・虫などのすむ所。「ネズミの—」「小鳥の—」
２人の住む所。すみか。「愛の—」
３よくない仲間が寄り集まる場所。「悪党の—」
４クモが獲物を捕まえるために張る網。</t>
        </is>
      </c>
      <c r="D4310" t="inlineStr">
        <is>
          <t>巣作り；巣材；巣喰う；巣眼；巣づくり</t>
        </is>
      </c>
      <c r="E4310" t="inlineStr">
        <is>
          <t>住宅；住居；住まい；織物；アジト</t>
        </is>
      </c>
      <c r="F4310" t="inlineStr">
        <is>
          <t>烏巣；蜘蛛巣眼；原発巣；大きな巣；記憶巣</t>
        </is>
      </c>
      <c r="G4310" t="inlineStr">
        <is>
          <t>巣鴨；巣窟；巣箱；巣食う；巣立ち</t>
        </is>
      </c>
      <c r="H4310" t="n">
        <v>29</v>
      </c>
      <c r="I4310" t="inlineStr">
        <is>
          <t>糸は巣を作る際や動物体を基質に固定するなど、それぞれに用途がある。；小さな家族で暮らし、草と泥で作られた巣とダムの周りに縄張りを持つ。；他のげっ歯類の多くは、巣が安全でないと判断すると自分の子を食べる。；また他の恐竜のような巣に並んだ形ではなく列になった卵の発見記録がある。；砂や植物片を自ら出す絹糸に絡めて円筒形その他の巣を作るものが多い。；ミツバチが利用した空間の形状によっては巣板が傾いていることもある。；死別しなければ前年のペアを解消することは少なく、同じ巣を利用する。；屋外の敵であってもその敵の巣を破壊すれば二度と出現しなくなる。；大きな木の根と根の間に植物で巣を作り、青または紫色をした卵を産む。；誰が何といってもこの土地は我々が生まれ育ち埋められる巣であり墓なのだ。；木に巣を作る鳥の多くは青や緑がかった、しばしば斑点のある卵を産む。；基本的に同じ場所で繁殖し、巣も毎年同じものを使用する傾向がある。；いくつかのケースでは後になって原発巣が明らかになることもある。；雌が近づくと、その前で独特のダンスをして雌を巣に誘い込もうとする。；その他に糸を使って幼虫が巣を造るもの、蛹を固定するものなどがある。；また地面に近い藪の中に巣を作る鳥は、斑点のある卵を産むことが多い。；巣は樹洞を利用するが、体が小さいので節穴にも巣を作ることができる。；野放しになったナノマシンは何処かで巣を作っているに違いないなかった。；毎年同じ巣を利用することもあり、最大で同じ巣を6年利用した例がある。；巣の材料にはさまざまなものが使われるが、泥を使うものが多い。；他から材料を持ってきて巣を作る場合、材料は、葉・枝・土・泥・石などである。；巣はごく一時的に使用される場合と、永続的に使われる場合がある。；巣は地面近くには作らず、人の身長よりも高い位置に作ることが多い。；テリーを倒していない場合、巣に行く途中でテリーが攻撃をしてくる。；岩場の上など地上に木の枝などを組み合わせた皿状の巣を作る。；アナツバメ類にも洞窟に栄巣するものがあり、反響定位を利用している。；腫瘍は出血を伴うことが多く、腫瘍の内部に壊死巣が見られる事がある。；これらの化石化した巣の中に、時折雌雄の化石が同時に発見されている。；繁殖期にはコロニーを形成し、低木や地面に枯草と泥を用いた巣を作る。</t>
        </is>
      </c>
      <c r="J4310">
        <f>HYPERLINK("https://www.weblio.jp/content/巣", "词义详情")</f>
        <v/>
      </c>
      <c r="K4310">
        <f>HYPERLINK("https://yourei.jp/巣", "查看例句")</f>
        <v/>
      </c>
    </row>
    <row r="4311">
      <c r="A4311" t="inlineStr">
        <is>
          <t>酢</t>
        </is>
      </c>
      <c r="B4311" t="inlineStr">
        <is>
          <t>成功</t>
        </is>
      </c>
      <c r="C4311" t="inlineStr">
        <is>
          <t>読み方：さく
［常用漢字］　［音］サク（慣）　［訓］す
〈サク〉
１すっぱい液体。す。「酢酸」
２客が返杯する。「酬酢」
〈す（ず）〉「甘酢・梅酢・三杯酢」
［難読］酢漿草(かたばみ)</t>
        </is>
      </c>
      <c r="D4311" t="inlineStr">
        <is>
          <t>酢締め；酢つぱい；酢みそあえ；酢媛；酢命</t>
        </is>
      </c>
      <c r="E4311" t="inlineStr">
        <is>
          <t>ビネガー</t>
        </is>
      </c>
      <c r="F4311" t="inlineStr">
        <is>
          <t>西洋酢；若酢；宮酢媛；白酢；火酢</t>
        </is>
      </c>
      <c r="G4311" t="inlineStr">
        <is>
          <t>酢漬け；酢の物；酢飯；酢のもの；酢酸エチル</t>
        </is>
      </c>
      <c r="H4311" t="n">
        <v>29</v>
      </c>
      <c r="I4311" t="inlineStr">
        <is>
          <t>料理する人は毎日魚へ酢を使っても何のためだという事を知らずにいる。；そして、その酢のことは料理の名のなかにあらわれていないのである。；勿論この島の事ですから、酢や醤油は都程、味が好いとは思われません。；それからというもの、崟は任氏の塩酢の世話をすべてするようになった。；当初は米酢が使用されていたが粕酢が使用されるようになっていった。；私自身もそのときの己れの好みで酢を控えたり、醤油をふやしたりする。；書きたいことはあるらしいんだけれど酢のままでいるんです。；和名はその蓋を酢に入れて自然に動くのを楽しんだことに由来する。；醤油やソースや味醂や酢などの調味料が置かれていて足の踏み場もない。；勿論この島の事ですから、酢や醤油は都ほど、味が好いとは思われません。；酢をよく使うため、長男はそれが長寿の秘訣ではないかと思うと語っていた。；何か簡単な酢が手に入るようになれば、当然にこういうものは忘れられて行くのである。；特に酢がきつめで、全体が白くなって噛むとゴムみたいに硬いのが多い。；海綿の清掃は、彼らは単にバケツで水と塩または酢で洗うだけであった。；調味料の入っている小さな扉で、高見は醤油か酢かを探していたのだった。；肉を柔らかくするためにワインや酢のような酸性の液体が加えられた。；それは鮎を飯の中に入れ酢をかけたるを桶の中に入れておもしを置く。；だが、女とすれば、こんな堅人は面白くでも酢ッぱくでもないのだろう。；広島県は日本酒の産地であり、そこから派生して酢の製造も盛んであった。；酢の歴史は文明と同程度に古く、酢酸産生菌はいたるところに存在する。；この寿司は粕酢と塩のみで合わせ酢を作り砂糖を使用しないものであった。；あるいは炊いた御飯へ酢と塩とを混ぜても出来ますが炊いた方が結構です。；鮎は蓼酢で食べるのが一般的だが、ほかにも蓼味噌を添える場合もある。；米・酢もオリジナルのものを使い、販売開始当時の製法を守っている。；金だらいの水の横揺れどおりに動いているが、たちまち酢に殺されてしまう。；けふ蓼酢にこの葉を使つてみたところが、ちつとも辛味が利かないんです。；酢が使われることが多く、常温での保存性を高めた料理法であるといえる。；ただし、酢を使うソースなので、作る際はアルミ製のボウルは使わない。；タバスコソースで使用されることで有名なほか、唐辛子酢でも使用される。</t>
        </is>
      </c>
      <c r="J4311">
        <f>HYPERLINK("https://www.weblio.jp/content/酢", "词义详情")</f>
        <v/>
      </c>
      <c r="K4311">
        <f>HYPERLINK("https://yourei.jp/酢", "查看例句")</f>
        <v/>
      </c>
    </row>
    <row r="4312">
      <c r="A4312" t="inlineStr">
        <is>
          <t>図</t>
        </is>
      </c>
      <c r="B4312" t="inlineStr">
        <is>
          <t>成功</t>
        </is>
      </c>
      <c r="C4312" t="inlineStr">
        <is>
          <t>読み方：ず
［音］ズ（ヅ）（呉）ト（漢）　［訓］はかる
［学習漢字］2年
〈ズ〉ある枠の中にものの形をえがいたもの。「図案・図画・図鑑・図形・図示・図書(ずしょ)・図表／絵図・系図・構図・縮図・製図・地図・付図・略図」
〈ト〉
１絵。また、本。「図書(としょ)／画図」
２地図。「版図」
３思いはかる。「意図」
４計画。はかりごと。「企図・壮図・雄図」
［名のり］のり・みつ
［難読］図図(ずうずう)しい・図体(ずうたい)</t>
        </is>
      </c>
      <c r="D4312" t="inlineStr">
        <is>
          <t>図屏風；図thumb；図枝；図巻；図入り</t>
        </is>
      </c>
      <c r="E4312" t="inlineStr">
        <is>
          <t>設計；デザイン；絵；映像；画</t>
        </is>
      </c>
      <c r="F4312" t="inlineStr">
        <is>
          <t>之図；想像図；設計図；進路図；復元図</t>
        </is>
      </c>
      <c r="G4312" t="inlineStr">
        <is>
          <t>図る；図ら；図り；図書；図面</t>
        </is>
      </c>
      <c r="H4312" t="n">
        <v>29</v>
      </c>
      <c r="I4312" t="inlineStr">
        <is>
          <t>上図に現れない次の第三図のケースを問題としていたとする解釈もある。；守備の際はそれぞれの選手はおよそ次の図および解説に示す位置に立つ。；それまでの天球図は、天球の外側から見える形で書くのが通常であった。；この画像に示されている図は正確ではなく、上の表とは完全には一致しない。；実際に建てられたものばかりでなく図面上の作品からもそれは明らかである。；地震計の観測結果を基に図に表し、断層の位置や動いた方向を解析する。；こうした歴史的永久機関には図に示したものの他に以下のようなものがあった。；また中南米と呼称される場合もあるが、これは図に合う正確な表現ではない。；そのような場で、図に当たるように行動することは難しいことだ。；中の間の床脇の地袋の戸に描かれた鸚鵡と果物籠の図は呉春の筆である。；つまり上図で黒がaと取った直後に、白がbと取り返すのは反則となる。；相図は物質や系の相と熱力学的な状態量との関係を表したもの。；この図はあくまで概略であり、より詳細な分類方法と経緯があることに注意。；右の図はドルトンが実験を記録する際に使った記号群を示している。；またこの図はファイル・ランクの各数字の合計が、すべて260になる。；例えば以下の図では、閉じた括弧同士がグループを成すように認識される。；そのため脳波図を調べたが、まったく異常が無いことが確認された。；夏の陣図は1枚で、冬の陣の中心図と対になる構成になっている。；更に細かい分類方法と経緯があり、この図はあくまで概略である事に注意。；レイアウトとは、背景や人物などを含めた大まかな画面設計図である。；この図では酸素原子のうち最も存在量が多い 16 Oを表している。；この式から周波数スペクトルの図を描き検討すると証明ができる。；その場合の初期配置を図で示すと以下のようになる。；図では示されていないが、前提には明示されるものと、そうでないものがある。；このほかに特別大図や特別小図、特別地域図などといった特殊な地図も存在する。；古代エジプトの遺跡で、星の並びを人などに見立てた図が発見されている。；結び目を射影図として図示するほかにも、以下のような表示方法がある。；なお右下の図と対応させるために五十音順ではなくABC順に列記している。；例えばこの図で と は比較可能だが、 と は比較不能である。</t>
        </is>
      </c>
      <c r="J4312">
        <f>HYPERLINK("https://www.weblio.jp/content/図", "词义详情")</f>
        <v/>
      </c>
      <c r="K4312">
        <f>HYPERLINK("https://yourei.jp/図", "查看例句")</f>
        <v/>
      </c>
    </row>
    <row r="4313">
      <c r="A4313" t="inlineStr">
        <is>
          <t>粋</t>
        </is>
      </c>
      <c r="B4313" t="inlineStr">
        <is>
          <t>成功</t>
        </is>
      </c>
      <c r="C4313" t="inlineStr">
        <is>
          <t>読み方：いき
［名・形動］《「意気」から転じた語》
１気質・態度・身なりなどがさっぱりとあかぬけしていて、しかも色気があること。また、そのさま。「—な姿」「—な柄」「—な店」⇔野暮(やぼ)。
２人情の機微、特に男女関係についてよく理解していること。また、そのさま。「—な計らい」⇔野暮。
３花柳界の事情に通じていること。また、花柳界。「—筋」⇔野暮。</t>
        </is>
      </c>
      <c r="D4313" t="inlineStr">
        <is>
          <t>粋な計らい；粋な女；粋な姿；粋好み；粋客</t>
        </is>
      </c>
      <c r="E4313" t="inlineStr">
        <is>
          <t>いき；乙；浮いた；スマート；おしゃれ</t>
        </is>
      </c>
      <c r="F4313" t="inlineStr">
        <is>
          <t>鏡粋；至粋；文粋；生ッ粋；王粋</t>
        </is>
      </c>
      <c r="G4313" t="inlineStr">
        <is>
          <t>粋筋；粋狂；粋すじ；粋なり；粋な風来坊</t>
        </is>
      </c>
      <c r="H4313" t="n">
        <v>29</v>
      </c>
      <c r="I4313" t="inlineStr">
        <is>
          <t>これは面白い話だが、それほど彼の指揮は粋なものであったそうである。；すると奥から衣摺れの音がして三十格好の梵妻らしい粋な女が出て来た。；これは、裸になった時にも礼を失わないように、との粋な計らいである。；今こそ肌にしみが多いが、昔はずいぶん粋な京男だつたらうと思はれる。；藤村先生はあれでなかなか諧謔趣味の粋なところがおありだったらしい。；押し出しを前提としたスタイルの中にも、常に粋な雰囲気が漂っている。；そのような中で、粋に振舞うことが男性のステータスと考えられていた。；顔は見えないが、湯壺のなかで粋な声で源太節を唄っているのがひとり。；粋である状態を説明するとしたら、私はこれしかないと思っている。；こんな家に住んでいる娘の恋人になろうなんて粋興な男がいるでしょうか。；殷雷は和穂の身を守り、鏡粋を相手にしても致命的な攻撃は避けていた。；それとも、あいだを往ったり来たりして、両方の粋を満喫する手もある。；お前はその酔漢を見たとき、どう思つたか、粋客だとは思つたらうね。；技術の粋であるこの環境は、故郷などしのばせるものではないらしい。；連れのひとりは此の時代の江戸の侍にありがちな粋な男であった。；わざと、髪には頭巾はかぶらないで、粋な結びに絞りの布をかけていた。；服装はいつものとおりで、つまりほとんど粋といっていいほどの格好をしていた。；巴里の女の様な粋な美には乏しいが愛と智慧とには富んで居相である。；この女は粋で、はつらつとしたかつてのアリーヌにほとんど似ていない。；とかく大通と言いしても、しゃれや粋な形をするを、通とは言いイせん。；近代文明の粋を集めた自動車に限って幽霊が出現するのは、なぜであろうか。；西洋文明の粋を知ること漸く深くなって、好学の念がいよいよ強くなる。；科学と技術の粋をあつめた大殿堂とでも、いいたいほどの大壮観であった。；その娘は二十歳ぐらいで、深田君の話ぶりによるとなかなか粋な女であるらしい。；なぜなら私達の身の内に今、氏の作中にあるごとき粋は存在しないからだ。；隊長の身なりはひどく粋なもので、えりと袖口には金の房がついていた。；というより、この大男は泉州者の粋を集めたかのような暴れ者である。；細君は赤坂の八百勘で女中をしていた人で、始終粋な丸髷に結っていた。；読む者みなに知らしめん、 ありとあらゆる精霊の粋を集めし人なるを。</t>
        </is>
      </c>
      <c r="J4313">
        <f>HYPERLINK("https://www.weblio.jp/content/粋", "词义详情")</f>
        <v/>
      </c>
      <c r="K4313">
        <f>HYPERLINK("https://yourei.jp/粋", "查看例句")</f>
        <v/>
      </c>
    </row>
    <row r="4314">
      <c r="A4314" t="inlineStr">
        <is>
          <t>推移</t>
        </is>
      </c>
      <c r="B4314" t="inlineStr">
        <is>
          <t>成功</t>
        </is>
      </c>
      <c r="C4314" t="inlineStr">
        <is>
          <t>読み方：すいい
［名］(スル)
１時がたつにつれて状態が変化すること。移り変わっていくこと。「情勢が—する」
２時が経過すること。「時間が—する」</t>
        </is>
      </c>
      <c r="D4314" t="inlineStr">
        <is>
          <t>推移すれ；推移表；推移部；推移ニ伴；推移グラフ</t>
        </is>
      </c>
      <c r="E4314" t="inlineStr">
        <is>
          <t>変更；変化；移行；転換；変わり</t>
        </is>
      </c>
      <c r="F4314" t="inlineStr">
        <is>
          <t>まま推移；乗車人員推移；通り推移；ノ推移；乗降人員推移</t>
        </is>
      </c>
      <c r="G4314" t="inlineStr">
        <is>
          <t>推移閉包；推移性；推移関係；推移律；推移的集合</t>
        </is>
      </c>
      <c r="H4314" t="n">
        <v>29</v>
      </c>
      <c r="I4314" t="inlineStr">
        <is>
          <t>次に蓬萊米と在来種米の生産高のそれぞれの推移は以下のとおりである。；開業から現在までの歴史や沿線の発展の推移を画像と解説文で紹介していた。；局数の推移に見るように、その他国家行政用、放送用が多数を占める。；その後は、呼吸器疾患が比較的高い比率を維持する形で推移していった。；この頭数は、当初の計画が予定していたものを上回って推移している。；というのも彼女が死ぬ前に、流行の推移はすっかり一巡していたのである。；この数字の推移には意図的な誇張が紛れ込んでいるとの主張もある。；この母音推移についての詳細は中高ドイツ語の記事で見ることができる。；ただし、こうした戦略は販売計画が順調に推移した際にのみ有効なものである。；MAFテストのタイムを記録することで、練習の成果と推移を判定する。；JR東日本によると、1日平均乗車人員の推移は以下のとおりであった。；下の図は、ロシア国内におけるナナイ人口の推移を示したグラフである。；本シリーズから、2000年代までは主要なスタッフがほぼ変わらずに推移。；日々の株価の推移の中に生じた取引のなかった価格帯を指す。；これらの森は推移帯と呼ばれる場所で結合している。；前線の接近に伴って気圧は低下し、通過後も低下したまま推移する。；例えば、株式の過去の価格推移から将来の価格を予測することなどが挙げられる。；開業以降の一日平均乗降人員および乗車人員の推移は下表のとおりである。；しかし、同年に入ってからは視聴率が1桁台を推移するようになった。；なお、1987年度以降の各年度の平均通過人員の推移は以下のとおり。；各年4月1日現在の蛎殻町町域の世帯数と人口の推移は以下の通りである。；しかし生息数の推移に関する信頼できる観測例が無いため、詳細が不明な種もいる。；その後も1万トン前後で推移していたが、2003年度から増加に転じている。；ホームと車両基地がある近年の1日平均乗降人員の推移は以下の通り。；下記の表は、桃花台ニュータウンの人口と世帯数の推移を示したものである。；近年の一日平均乗降人員および乗車人員の推移は下表のとおりである。；近年の一日平均乗降人員および平均乗車人員推移は下表の通りである。；印欧祖語とゲルマン祖語の間の時期に起きた子音推移を説明したものである。；ICRPの勧告で示される防護理念は以下のように時代と共に推移した。</t>
        </is>
      </c>
      <c r="J4314">
        <f>HYPERLINK("https://www.weblio.jp/content/推移", "词义详情")</f>
        <v/>
      </c>
      <c r="K4314">
        <f>HYPERLINK("https://yourei.jp/推移", "查看例句")</f>
        <v/>
      </c>
    </row>
    <row r="4315">
      <c r="A4315" t="inlineStr">
        <is>
          <t>随一</t>
        </is>
      </c>
      <c r="B4315" t="inlineStr">
        <is>
          <t>成功</t>
        </is>
      </c>
      <c r="C4315" t="inlineStr">
        <is>
          <t>読み方：ずいいち
多くのものの中の第一位。第一番。「当代—の人気俳優」</t>
        </is>
      </c>
      <c r="D4315" t="inlineStr">
        <is>
          <t>随一の商業集積；随一の大き；随一の雄弁家</t>
        </is>
      </c>
      <c r="E4315" t="inlineStr">
        <is>
          <t>最初；初め；第一；トップ；一等</t>
        </is>
      </c>
      <c r="F4315" t="inlineStr">
        <is>
          <t>日本随一；ヨーロッパ随一；国内随一；県内随一；市内随一</t>
        </is>
      </c>
      <c r="H4315" t="n">
        <v>29</v>
      </c>
      <c r="I4315" t="inlineStr">
        <is>
          <t>地方的特色ある図書館としては、たしかに日本随一のものでありました。；かつては関東随一を自称したこともある比較的著名な花火大会である。；会場を味方につけた時の強さは、参加チームの中でも随一だろう。；近在で行われている同様の御船神事に比べてその荒々しさは随一である。；スタイルの良さは日本映画界随一とされ、洋装姿が抜群であったという。；その後同工場は移転したもののキャリアカーの数は市内随一である。；日本ラリー界随一の経験と実績をもとに、後進の育成に取り組んでいる。；これは伊達氏の実力を奥州随一として中央に認めさせることにもなった。；ワイフビーターの歴史のうえでの随一の名場面であったものと評されている。；また、その随一の日本語能力から文法家としても重要な著作を残している。；州内随一の利用者数を誇る大駅で路線バスのネットワークの中心でもある。；このアルスターの中でも随一の勇者とされるのがクー・フーリンである。；さすがに御三家の随一六十一万九千石の威勢は目を驚かすものがありました。；群馬県は古墳の多いこと、また大古墳の多いことでは東国随一なんです。；施設建設費は約50億円で、また県内随一の天下り先とも指摘されていた。；幼い頃より並外れた才能があり、特に文学の才能は当世随一であったという。；バーリイコーン一族はここで州内随一のスマイル霊園を経営していた。；チーム随一の代打者は試合後半に備えて温存しておくことが多い。；「かつての建物がここまでまとまって残っているのは県内随一」とされる。；世界六大植物区の中では最小だが、面積あたりの豊かさという点では随一である。；どんな悪評があろうとも彼は結局羽後で随一の高利貸し渡仙であった。；征五郎は神奈川県随一の勢力を誇る暴力団・橘組の組長の息子であった。；虫の中でも人間に評判のよくないものの随一はうじである。；インドは南アジア随一の面積と世界第2位の人口を持つ国である。；際立っていたのは扮装だけではなく、槍働きにおいても随一の活躍を示した。；書道を学問として成立させた日本唯一の人として当代随一の書家となった。；虫の中でも人間に評判のよくないものの随一は蛆である。；腕を上げた伊良子は道場随一の剣士となり、虎眼流の後継者と目されていた。；落語界随一の酒豪で「菊寿さんにかなうものはいない」と言われている。</t>
        </is>
      </c>
      <c r="J4315">
        <f>HYPERLINK("https://www.weblio.jp/content/随一", "词义详情")</f>
        <v/>
      </c>
      <c r="K4315">
        <f>HYPERLINK("https://yourei.jp/随一", "查看例句")</f>
        <v/>
      </c>
    </row>
    <row r="4316">
      <c r="A4316" t="inlineStr">
        <is>
          <t>水泳</t>
        </is>
      </c>
      <c r="B4316" t="inlineStr">
        <is>
          <t>成功</t>
        </is>
      </c>
      <c r="C4316" t="inlineStr">
        <is>
          <t>読み方：すいえい
［名］(スル)スポーツや娯楽として水中を泳ぐこと。スイミング。およぎ。みずおよぎ。「近くの川で—する」「—教室」</t>
        </is>
      </c>
      <c r="D4316" t="inlineStr">
        <is>
          <t>水泳教室；水泳部；水泳場；水泳用；水泳指導</t>
        </is>
      </c>
      <c r="E4316" t="inlineStr">
        <is>
          <t>泳ぐ；遊泳；水浴び；游泳</t>
        </is>
      </c>
      <c r="F4316" t="inlineStr">
        <is>
          <t>水泳施設；水泳着；水泳協会；水泳以外；水泳センター</t>
        </is>
      </c>
      <c r="G4316" t="inlineStr">
        <is>
          <t>水泳選手；水泳場；水泳競技；水泳プール；水泳大会</t>
        </is>
      </c>
      <c r="H4316" t="n">
        <v>29</v>
      </c>
      <c r="I4316" t="inlineStr">
        <is>
          <t>小中学生時代は水泳をやっており、県大会の代表に選ばれたこともある。；科学以外にも野球・水泳・サイクリングなど彼には様々な趣味がある。；その結果、有名な水泳シーンは10月の非常に寒い環境下で撮影された。；連合の会員とその家族は夏の釣りや水泳などで過ごすために島を使った。；一方で、学校対抗の陸上競技・柔道・水泳などの大会にも出場して活躍。；父は特に騎手になれと言うこともなく、体の弱い石橋に水泳をすすめた。；ハムではこの他にも水泳教育を行っているクラブが数多く存在する。；プールは小さい場合もあるが、水泳もできる大きなプールの場合もある。；小学生の時に水泳でジュニアオリンピックに出場し第8位の記録を持つ。；本当の水よりは幾分か浮力が上のため、水泳の練習に用いることができる。；水泳は後々まで趣味としており、営業には欠かさず水着を持参していた。；他にも水泳やフットボールをしていたが、それがのちに役に立ったという。；一般生徒を対象とした水泳の授業はない、という変わった面もある。；また高校の水泳授業においても、同じような方針が採られることもあった。；水泳の平泳ぎのようなイメージであり、繊毛虫の遊泳はこの運動による。；高校1年生の後半より所属していた水泳チームにて選手兼コーチを行うことになる。；小学生の時に水泳のジュニアオリンピック選手に選ばれたことがある。；彼にはルーカスという弟がいて、水泳をやっていて小人症を煩っている。；現在の近代オリンピックで上半身裸で競技されるのは水泳のみとなっている。；他にも水泳やスキーも好きだったが、相撲は祭りの時に出場する程度だった。；夏以外の季節にも体育の授業では月に一度水泳の授業がある。；絵の才能だけではなく水泳の才能も持ち、亜美と水泳対決したことがある。；幼稚園のときから水泳をやっていて、選手コースに所属していた。；大人が自分たちの水泳時間を拡大しているために、子供が泳げなくなっていたのだ。；自身が選手であった重量挙げの他にヨーガ・ジョギング・水泳などもする。；和洋国府台女子高等学校の地下プールを借りた水泳教室での指導を始めた。；水泳客のための駅だったことから、夏期のみ列車が停車する臨時駅であった。；古代ギリシア時代には水泳が盛んであったことも当時の絵画や彫刻からわかる。；両親からは水泳を続けるという条件で芸能界入りを許されたという。</t>
        </is>
      </c>
      <c r="J4316">
        <f>HYPERLINK("https://www.weblio.jp/content/水泳", "词义详情")</f>
        <v/>
      </c>
      <c r="K4316">
        <f>HYPERLINK("https://yourei.jp/水泳", "查看例句")</f>
        <v/>
      </c>
    </row>
    <row r="4317">
      <c r="A4317" t="inlineStr">
        <is>
          <t>水温</t>
        </is>
      </c>
      <c r="B4317" t="inlineStr">
        <is>
          <t>成功</t>
        </is>
      </c>
      <c r="C4317" t="inlineStr">
        <is>
          <t>読み方：すいおん
水の温度。「—計」</t>
        </is>
      </c>
      <c r="D4317" t="inlineStr">
        <is>
          <t>水温が低い(5%)；水温が高い(3%)；水温上昇(3%)；水温が高く(2%)；水温が低く</t>
        </is>
      </c>
      <c r="F4317" t="inlineStr">
        <is>
          <t>高水温；冷却水温；高い水温；平均水温；ポテンシャル水温</t>
        </is>
      </c>
      <c r="G4317" t="inlineStr">
        <is>
          <t>水温躍層</t>
        </is>
      </c>
      <c r="H4317" t="n">
        <v>29</v>
      </c>
      <c r="I4317" t="inlineStr">
        <is>
          <t>上野・田中はこの種の分布域から低水温性のものとの判断をしている。；低水温の海域に多く分布し、砂などに埋もれて生活していることが多い。；水温と釣りには、切っても切れない縁のあるのは誰でも経験している。；この他、表面水温の変動の影響を強く受けている との調査結果もある。；但し、表面水温以外の資料がないときはその部分を示す数字は省略する。；悪い気分でもなかったが、水温の冷たさが彼女の息を浅く、短くさせた。；また船が進水した時に気温と水温との差違のために意外な応力を生じる。；水温30度の水中では作業中は不快な程熱くなることが報告されている。；私は、水温と魚の質、殊に味との関係に深い興味を持っているからである。；なお、水温が高いほど時間当たりの吸水率が低下するとの報告がある。；だが幸い、かなり熱めのお風呂くらいのところで水温上昇は止まった。；水温がそれより低下する場合は、ヒーターで飼育水を暖める必要がある。；最上層は表水層と呼ばれ、日光によって温められた水温の高い層である。；また、水温も上昇して7月半ばには手を入れられないほどの湯になってしまった。；ところが、実際は日本海へ注ぐ川の方が平均高い水温を持っているらしい。；梅ヶ丘のバス通りに出たときには、ラジエーターの水温は上がっていた。；本種の生息可能限界水温は本州で生息しているイワナと同じと考えられる。；水温の低さは、季節が晩秋から冬に移ろうとしていることを明確に伝えていた。；水温がどのくらいあるのか、見当がつかなかったが、ひどく冷たいに違いない。；しかし、水温の高い夏の海といえど水中にいるだけで体力は削られていく。；水温は生息域の選択において重要な要素となっていないようである。；水温は二十度ぐらいのものだったのではあるまいか。；しかも、その大河のなかに、ほかのところより水温が高い流れがあるんです。；胚発生に要する期間は、水温に応じて2週間から2ヶ月以上の幅がある。；ただし温泉とは言っても、その湖面付近の水温は30度前後程度に過ぎない。；今日例外に釣れたのは水温が高いからであつて一向不思議でない。；谷から水を引くため、平地に比べて水温が低く、収穫量はやや少ない。；南洋であるため湾内の水温は高く、珊瑚礁が発生しやすいと言われている。；水温が低い日には主に昼間に活動するという観察例もある。</t>
        </is>
      </c>
      <c r="J4317">
        <f>HYPERLINK("https://www.weblio.jp/content/水温", "词义详情")</f>
        <v/>
      </c>
      <c r="K4317">
        <f>HYPERLINK("https://yourei.jp/水温", "查看例句")</f>
        <v/>
      </c>
    </row>
    <row r="4318">
      <c r="A4318" t="inlineStr">
        <is>
          <t>西瓜</t>
        </is>
      </c>
      <c r="B4318" t="inlineStr">
        <is>
          <t>成功</t>
        </is>
      </c>
      <c r="C4318" t="inlineStr">
        <is>
          <t>読み方：すいか
《「すい（西）」は唐音》ウリ科の蔓性(つるせい)の一年草。地をはい、夏、淡黄色の雄花と雌花とを開く。実は球形や楕円形で大きい。果肉は水を多く含んで甘く、赤・黄などの色のものがある。アフリカの原産で、品種が多い。日本へは江戸時代の初めごろ中国から渡来したといわれる。《季実＝秋 花＝夏》「畠から—くれたる庵主かな／太祇」</t>
        </is>
      </c>
      <c r="D4318" t="inlineStr">
        <is>
          <t>西瓜売り(3%)；西瓜畑；西瓜舟；西瓜子；西瓜みたい</t>
        </is>
      </c>
      <c r="F4318" t="inlineStr">
        <is>
          <t>大和西瓜；西瓜舟決死隊</t>
        </is>
      </c>
      <c r="G4318" t="inlineStr">
        <is>
          <t>西瓜割り；西瓜baby</t>
        </is>
      </c>
      <c r="H4318" t="n">
        <v>29</v>
      </c>
      <c r="I4318" t="inlineStr">
        <is>
          <t>ところがその西瓜が仙蔵も次郎作もまだ見たこともない程のものでした。；併し林檎ほどになつた一つの西瓜はそれから少しも大きくならなかつた。；こうして汚れた西瓜の無残な形骸が処々の草の中に発見されるのである。；たつた一つになつた西瓜をどうしても満足に成熟さしたいと願つて居た。；著書に自ら発行したスイカ界初の書籍「大和西瓜の栽培と実際」がある。；誰も、彼も、水でも飲むようなつもりで、西瓜を食べているのである。；白い部分まで歯の跡のついた西瓜の皮が番小屋の外へ投げられた。；お君は無理して西瓜二十個寄進し、薦められて踊りの仲間にはいった。；朝の間、蝶子は廓の中へはいって行き軒ごとに西瓜を売ってまわった。；彼等には西瓜の味よりも寧ろうまく盗んだことが愉快に思われるのである。；それぐらいにやらなければ、お前達の西瓜頭へは学問が入らない。；だが犬が西瓜を食わないってことを考えもしなかったのは大失敗だ。；西瓜を買ったが、割って見たら赤くなかったというのとは場合が違う。；悪戯な村の若い衆が四五人其頃の闇を幸に太十の西瓜を盗もうと謀った。；夜の灯に照らされた西瓜の色は、物の色の涼しげなる標本と云ってもよい。；慶良間の西瓜が市場で普通の西瓜の五倍の値をつけられるのも納得だ。；家族と海水浴に行くのが楽しみだった年頃の、西瓜と花火と貝殻の海だ。；ほかに大蒜、西瓜などが中国国内では有名で、国内外に出荷されている。；西瓜は奈良漬にした鶏卵くらいの大きさのものを味うばかりである。；夏の夕方で、私は大きな西瓜をかかえて小父さんのあとをついて歩いていた。；西瓜じゃあるまいし、だれが半分に切ってくやつがあるもんか。；西瓜ほどの大きさの白っぽい、ふわふわした形のものが浮かんでいた。；そして一番古い一八洞の内部に入って、そこで西瓜を食べさせて貰う。；乙五郎はへいきでみなを見まわしながら、手の紙でかるく西瓜をなでた。；それから、その西瓜の内側を眺めてみると、そこには城砦のある町があった。；首が切りはなされて居り、更にそれが西瓜でも割るように二つになっている。；次の年には父は誰のとも決めずに流を鮎の上る燈籠を西瓜で彫つてくれました。；西瓜をひときれ、皿に載せ、私は気を取り直して美夜の部屋に行った。；今は冬なので、さすがにすごく大きな西瓜を持って帰ることはないだろうけれど。</t>
        </is>
      </c>
      <c r="J4318">
        <f>HYPERLINK("https://www.weblio.jp/content/西瓜", "词义详情")</f>
        <v/>
      </c>
      <c r="K4318">
        <f>HYPERLINK("https://yourei.jp/西瓜", "查看例句")</f>
        <v/>
      </c>
    </row>
    <row r="4319">
      <c r="A4319" t="inlineStr">
        <is>
          <t>水源</t>
        </is>
      </c>
      <c r="B4319" t="inlineStr">
        <is>
          <t>成功</t>
        </is>
      </c>
      <c r="C4319" t="inlineStr">
        <is>
          <t>読み方：すいげん
１川などの水の流れ出るおおもと。みなもと。「利根川の—を探る」「—地」
２上水道として利用する水の供給源。</t>
        </is>
      </c>
      <c r="D4319" t="inlineStr">
        <is>
          <t>水源涵養；水源確保；水源近く；水源池；水源付近</t>
        </is>
      </c>
      <c r="E4319" t="inlineStr">
        <is>
          <t>源；源泉</t>
        </is>
      </c>
      <c r="F4319" t="inlineStr">
        <is>
          <t>重要な水源；水道水源；貴重な水源；主要な水源；新たな水源</t>
        </is>
      </c>
      <c r="G4319" t="inlineStr">
        <is>
          <t>水源の森百選；水源地域対策特別措置法；水源林；水源かん養保安林；水源池通</t>
        </is>
      </c>
      <c r="H4319" t="n">
        <v>29</v>
      </c>
      <c r="I4319" t="inlineStr">
        <is>
          <t>水源の近くには河川を堰き止めて形成された巨大な人造湖であるがある。；事業の成功に向けての足がかりとして、まず推進されたのが水源の確保。；大きな川が無く、水源を確保するための溜池・ダムが多く点在している。；旅を続け、国王の水源に到着した一行は、国王が建設したダムを目撃する。；このため農地を拡大するためには新たな水源の確保が不可欠であった。；これは水源近くの土壌中の水銀が移動しやすい形に変わるためである。；ノーンハーン湖が市の東にあり、市内および県の重要な水源となっている。；そのため、セノーテと呼ばれる泉がほとんど唯一の水源となっている。；水源になっている多賀山地は、茨城県では最も雨が強く降る地域である。；バーンパコン川の形成した平地にあり、郡内の主な水源も同河川である。；現在の水源施設は、1923年にヘプが主体となって設置したものである。；この堤川浄水場の水源は浄水場完成当時建設中であった下湯ダムである。；水源から東へと流れ、のち北上してエストニアとの国境近くへと至る。；流域は9割が市街化されており、雑排水を水源とする閉鎖性河川である。；ユカタン半島の北部低地では川も湖もないため、主要な水源であった。；ロッキー山脈を水源とする主な河川には次のようなものがある。；ソードシダなどの植物は、特に豊かな水源がある場所に多数存在する。；この湧水跡が当時の物かは不明だが、小さな水源は数多くあったと考えられている。；また、ニセコ等では水源も近いことから、水資源保全条例も制定された。；水源が破壊され給水が停止したことが抗戦を断念した理由であった。；山岳部からは複数の川が流れており郡内の主な水源となっている。；境内の端には碓氷川の水源があり、近隣の人々が飲料に用いてきた。；この水源の発見は、この地域の最初の大きな成長と発展を加速させる結果となった。；現在の名称については斜里川の水源に当たることからとされている。；また、いくつかの水源設備や治水ダムなどもSEQに建設されている。；というのも、テューリンゲンの二つの村が水源を主張しているからである。；また、水源は無さそうで漂流民やその他人が住んだ形跡は全くないと報告した。；すり鉢状の地形をなす長崎市中心部のうち、北東部の前岳を水源とする。；外部の石炭開発業者の開発で水源が破壊されており、係争中である。</t>
        </is>
      </c>
      <c r="J4319">
        <f>HYPERLINK("https://www.weblio.jp/content/水源", "词义详情")</f>
        <v/>
      </c>
      <c r="K4319">
        <f>HYPERLINK("https://yourei.jp/水源", "查看例句")</f>
        <v/>
      </c>
    </row>
    <row r="4320">
      <c r="A4320" t="inlineStr">
        <is>
          <t>水産</t>
        </is>
      </c>
      <c r="B4320" t="inlineStr">
        <is>
          <t>成功</t>
        </is>
      </c>
      <c r="C4320" t="inlineStr">
        <is>
          <t>読み方：すいさん
海・河川・湖沼などの、水の中からとれること。また、とれた魚介や海藻などの産物。</t>
        </is>
      </c>
      <c r="D4320" t="inlineStr">
        <is>
          <t>水産会社(5%)；水産研究所(3%)；水産課長(2%)；水産組合(2%)；水産技術</t>
        </is>
      </c>
      <c r="F4320" t="inlineStr">
        <is>
          <t>水産業；水産会長；帝国水産；水産上；水産動植物</t>
        </is>
      </c>
      <c r="G4320" t="inlineStr">
        <is>
          <t>水産業；水産庁；水産資源；水産加工；水産大</t>
        </is>
      </c>
      <c r="H4320" t="n">
        <v>29</v>
      </c>
      <c r="I4320" t="inlineStr">
        <is>
          <t>狭義の場合には、学校の名称に「水産」の語が含まれていることが多い。；その後、再びカナダで水産調査局や環境保護局での技官などを歴任した。；帰郷後は水産卸会社に勤務しながら少年相撲クラブで指導を行っている。；西側は漁業施設や水産会社施設、民宿、住民の生活の場が広がっている。；長男の純一は水産会社に勤めていて、一年のうち数ヵ月しか日本にいない。；漁業関係記事の一覧は、漁業および水産業に関係する記事の一覧である。；現在建替工事のため、水産棟・塩干棟及び市場事務所の建物は解体された。；近年のODAには以下のようなものがあり、水産関連のものが多い。；成生水産事務所の東側に隣接する連棟形式の舟屋はシチケンブンと呼ばれる。；建物は岐阜県水産研究所に隣接し、近くには自然共生研究センターかある。；ただし水産・海洋系高校の場合、卒業しなければ資格取得できない。；東洋水産は、だしの加工等も行う水産会社であり、自社製だしを使った。；水産相、咸鏡南道遠洋漁業連合企業所党委員会責任書記などを歴任した。；その後エチオピアを去って再来日、日本大学で日本語および水産学を学ぶ。；今日は佐野水産に今後も寺の支援を続けてもらえるかどうかという大切な日だ。；事、水産に関する限り、知らんという事は只の一つも無いのが職分だぞ。；彼は追放中に三海水産、山王建設など会社をやったが、見事に失敗している。；近畿大学水産研究所が完全養殖に成功した近大マグロの販売を行っている。；息子のアレクサンドル・カンが複数の水産会社の経営者となっている。；芸能界で仕事をしていなければ間違いなく水産関係の大学に進学し、学者になっていたとも。；山梨県水産技術センターでは継続的に生息調査を行っている。；愛媛の水産界に大きな影響を与えたとして、水産業界の父とも言われている。；水産養殖産業は養殖魚の需要が不透明であることに頭を悩ませている。；かつては、駅西口側に東京帝国大学農学部の水産実験研究施設があった。；翌二七日、小型バスで約一時間、海ぞいの道を走って、水産公司を訪れる。；カジキなどの重要種に傷をつけると考えられているほかは、水産上の重要性はない。；その他、日本赤十字社正社員、同地方委員、日本水産会員なども務めた。；監督の山崎徳次郎が長年構想を温めていたもので、水産会社との協力で制作された。；サケ類を捕食するので、水産上の重要害魚という形で扱われることもある。</t>
        </is>
      </c>
      <c r="J4320">
        <f>HYPERLINK("https://www.weblio.jp/content/水産", "词义详情")</f>
        <v/>
      </c>
      <c r="K4320">
        <f>HYPERLINK("https://yourei.jp/水産", "查看例句")</f>
        <v/>
      </c>
    </row>
    <row r="4321">
      <c r="A4321" t="inlineStr">
        <is>
          <t>炊事</t>
        </is>
      </c>
      <c r="B4321" t="inlineStr">
        <is>
          <t>成功</t>
        </is>
      </c>
      <c r="C4321" t="inlineStr">
        <is>
          <t>読み方：すいじ
［名］(スル)食物を煮たきして調理すること。「キャンプ場で—する」「—道具」</t>
        </is>
      </c>
      <c r="D4321" t="inlineStr">
        <is>
          <t>炊事室(4%)；炊事道具(4%)；炊事係(4%)；炊事用(3%)；炊事婦(3%)</t>
        </is>
      </c>
      <c r="E4321" t="inlineStr">
        <is>
          <t>料理；調理；割烹；煮炊き；クッキング</t>
        </is>
      </c>
      <c r="F4321" t="inlineStr">
        <is>
          <t>炊事卒；炊事小屋；炊事部；共同炊事；炊事遠足</t>
        </is>
      </c>
      <c r="G4321" t="inlineStr">
        <is>
          <t>炊事車</t>
        </is>
      </c>
      <c r="H4321" t="n">
        <v>29</v>
      </c>
      <c r="I4321" t="inlineStr">
        <is>
          <t>集団食事制がとられてから、炊事係はたいへん役得のある仕事になった。；あの女には、夫人も炊事を助けられると云うから適当なところと思う。；われわれの方だけじゃなく、近所の人たちの炊事もひきうけてるんです。；もしよければ、かれらに炊事の仕事を担当させるというのはどうかしら?；炊事係に聞いたところでは最近はろくに食事もとっていないらしい。；しかし、現在では炊事の部分に地元女性の手助けを受ける地区が多い。；訓練学校の同期である幕の内は軍に入ってから炊事科一筋、の男だった。；駅の業務の他、花輪線などでの蒸気機関車運転士や炊事当番も経験した。；簡単な炊事の器具のほかに、何ものをも必要とはしないからであった。；この事務所で、炊事だとか、つくろいものなぞをやってもらっていてね。；ことに炊事や給仕に関係するものにこれを役するのがもっともよろしい。；ここの炊事室ではどんな匂いがするかというと、人間の匂いがまったくしないのです。；野戦用炊事具、これはまだ状況のよかったころ運ばれてきたらしい。；私と弟の夕食は隣接した病院の炊事のおばさんが届けてくれるので心配はない。；競馬は僕と妻の健康のためにやっているが、妻を炊事から解放させる意味もある。；暖房と炊事用の四つの炉は、きれいに掃除さえすれば使うことができた。；しかし、その船のコック達は、いつもの通り炊事室で食事の用意をしていた。；ストーブをたく前には石炭を炊事から盗んできていなければならない。；入口のほうで炊事の仕度をしていた植村から、元気な声が返ってきた。；妹のような性質の女には、炊事はよほど無意味な気がするらしいです。；中には、各家族がその上で炊事をするための平たい石の台がある。；その奥に簡単な流しがついていて、ひとりもんの炊事くらいはできるようになっている。；ほんの形ばかりの輪飾が軒、炊事用の清水の出口の樋などにかけてある。；これといってなにをするでもなく、買い物をして炊事をして本を読んだりしている。；同年12月には北満州での試験に基づいて九六式炊事自動車を試作した。；軍隊で炊事をやっていたこともあり、料理を得意としている。；アフリカと南アメリカの森林は焼き畑と炊事用の薪のために全滅します。；この蒸気を利用した「スメ」と呼ばれる蒸し器が炊事に利用されている。；王が約束した通り、大勢の侍女や炊事の者達が続々と屋形にもどった。</t>
        </is>
      </c>
      <c r="J4321">
        <f>HYPERLINK("https://www.weblio.jp/content/炊事", "词义详情")</f>
        <v/>
      </c>
      <c r="K4321">
        <f>HYPERLINK("https://yourei.jp/炊事", "查看例句")</f>
        <v/>
      </c>
    </row>
    <row r="4322">
      <c r="A4322" t="inlineStr">
        <is>
          <t>水準</t>
        </is>
      </c>
      <c r="B4322" t="inlineStr">
        <is>
          <t>成功</t>
        </is>
      </c>
      <c r="C4322" t="inlineStr">
        <is>
          <t>読み方：すいじゅん
１事物の一定の標準。また、価値・能力などを定めるときの標準となる程度。レベル。「技術が—に達する」「—を上回る成績」「生活—が高い」
２土地・建物などの高低・水平の度合いを測ること。また、その道具。水盛(みずもり)。
３線路の曲線部における、左右のレールの高低差。→カント</t>
        </is>
      </c>
      <c r="D4322" t="inlineStr">
        <is>
          <t>水準以上；水準以下；水準向上；水準原点；水準基標</t>
        </is>
      </c>
      <c r="E4322" t="inlineStr">
        <is>
          <t>度；程度；段階；層；程</t>
        </is>
      </c>
      <c r="F4322" t="inlineStr">
        <is>
          <t>技術水準；最高水準；同水準；所得水準；文化水準</t>
        </is>
      </c>
      <c r="G4322" t="inlineStr">
        <is>
          <t>水準測量；水準点；水準儀</t>
        </is>
      </c>
      <c r="H4322" t="n">
        <v>29</v>
      </c>
      <c r="I4322" t="inlineStr">
        <is>
          <t>そのため、その運営機構の管理・技術・運営の水準が信頼性の差となる。；その知能水準が、最下位からどの程度の位置に存在するかを表したもの。；しかし、この間に外国との交流試合を開催し、世界水準にまで成長した。；その際、水準を基準にして収録するかしないかを決めることもある。；イギリス海軍での生活は今日の水準と比較して厳しかったと言われている。；曹参のように全ての能力値が水準以上である人物は使いやすくなっている。；それゆえ、古典派経済学では一国の生産水準は供給によって決定される。；しかも一部は便所付き車両を導入するなど旅客サービス水準は高かった。；その技術水準の高さは後年の名鉄社内においても高く評価されたという。；人口がこの水準に留まっていたのは間引きを行う風習があったためである。；自社制作率は開局当初の水準に一時逆戻りして3割を切ったこともある。；この事からもスロベニアの経済水準の高さを窺い知ることが出来るであろう。；近代的な組織は知識水準を保持するために図書館を持った。；協力の問題は最高水準で取り上げられなければならなかった。；東西関係や技術水準の変化に合わせて規制の対象となる貨物や技術も変化していった。；緻密で深い研究に基づく自説の発表は小説家の水準を超えると評される。；新SN比は、信号の水準数やデータ数に関係ないことが特徴である。；しかし一方で、選挙後は選挙前の水準まで下がるのが一般的であった。；この事実もソ連の戦車設計の標準化の水準の高さを示す一つの証拠となるものであった。；そのため、投薬を中止すると元の眠気水準に戻ってしまうことになる。；今でもKPMによって当時の風景画の芸術を当時の水準で再製作している。；これは当時の技術水準では必要な圧力を得るためにこれだけの分量が必要だったためである。；当時の水準では柔軟な記述を許容するなど、扱いやすく高機能なものだった。；誤解または混同されがちであるが、建物自体が水準原点であるわけではない。；卒業生は世界でも最高の専門的水準に達していると知られている。；こうして、セザンヌは、ルノワールと並ぶ最高水準価格の画家となった。；そのため中国側は、双方の事故補償とも同じ事故水準で解決しようとしていた。；ドイツを近代の水準に引き上げたうえ、人間解放を行うためにはどうすればいいのか。；指揮で私が高い水準に達することができたのは、ライナーの指導の賜物である。</t>
        </is>
      </c>
      <c r="J4322">
        <f>HYPERLINK("https://www.weblio.jp/content/水準", "词义详情")</f>
        <v/>
      </c>
      <c r="K4322">
        <f>HYPERLINK("https://yourei.jp/水準", "查看例句")</f>
        <v/>
      </c>
    </row>
    <row r="4323">
      <c r="A4323" t="inlineStr">
        <is>
          <t>水蒸気</t>
        </is>
      </c>
      <c r="B4323" t="inlineStr">
        <is>
          <t>成功</t>
        </is>
      </c>
      <c r="C4323" t="inlineStr">
        <is>
          <t>読み方：すいじょうき
水が蒸発してできた無色透明の気体。湯気が白く見えるのはこの一部が冷えて細かい水滴となるため。蒸気。</t>
        </is>
      </c>
      <c r="D4323" t="inlineStr">
        <is>
          <t>水蒸気量；水蒸気改質；水蒸気分圧；水蒸気分布；水蒸気がゆらゆら</t>
        </is>
      </c>
      <c r="E4323" t="inlineStr">
        <is>
          <t>蒸気；湯気；スチーム；湯煙；湯烟</t>
        </is>
      </c>
      <c r="F4323" t="inlineStr">
        <is>
          <t>含まれる水蒸気；発生する水蒸気；立ち昇る水蒸気；暖い水蒸気；蒸発する水蒸気</t>
        </is>
      </c>
      <c r="G4323" t="inlineStr">
        <is>
          <t>水蒸気蒸留；水蒸気噴火；水蒸気圧；水蒸気酸化</t>
        </is>
      </c>
      <c r="H4323" t="n">
        <v>29</v>
      </c>
      <c r="I4323" t="inlineStr">
        <is>
          <t>それは、非常に多くの穿孔から水蒸気が立っていることで明らかである。；空気が冷やされると、それ以上の水蒸気を保持することができなくなる。；ケプラー47cは明るい水蒸気の雲を持っている事が示唆されている。；まるでいままで誰かがシャワーを浴びていたみたいに水蒸気で濡れている。；この分類は水蒸気の輸送量と大気の川の継続時間双方を考慮したものである。；それも水蒸気のもやではなく、無数の微粒子から成り立っている感じだ。；だが、女の口から出た白いものは、そうした水蒸気とは異なっていた。；手がすいていれば、〈作曲家〉は水蒸気の柱から彼らを発見するだろう。；水蒸気があるから雲があって、今日だって大陸の形などよく見えやしない。；その雲は、輝いた水蒸気にぬれた空をはうようにして動いて行くのである。；地から発散する水蒸気が風なき空気に籠つて、少し蒸す様な午後の三時頃。；また、二酸化炭素や量は限られるものの水蒸気も存在するはずである。；水蒸気のようにそれは濡れていて壁や床がぬるぬると光っている。；これを水の場合にすれば氷、水、水蒸気と三つの状態の間を変化するのである。；島そのものは見えず、噴火の煙と水蒸気の山だけが、いくつも見えた。；あの水柱には圧縮された水蒸気のほうが多く含まれているように思えませんか?；空気中の水蒸気がこの冷たい海水に触れて濃縮され霧を発生させる。；対流圏中上層で水蒸気の多い領域は白く、少ない領域は黒く表現される。；のみならずその血は線路の上から薄うすと水蒸気さえ昇らせていた。；第一図は六角板の例であって、この種の雪は水蒸気が比較的少い時に出来る。；たとえば、大気と地表面の間の熱、水蒸気、物質の交換過程を研究する。；フッ素は空気中の酸素や水蒸気と反応してオゾンとフッ化水素を生じる。；かうして眼に見えなくなつて一種の気体のやうになつた水の事を、水蒸気と云ふ。；こうすることによって水蒸気が、この圧力になると逃げてゆくようにしたのです。；湿度とは大気中に、水蒸気の形で含まれる水の量を、比率で表した数値。；気化の際に雰囲気から熱を奪うために、水蒸気が凝縮して白い霧が生じる。；彗星から運ばれた氷によって強化された凝縮水蒸気は、海を作り出した。；その靄は、牛の横腹から立ちのぼる水蒸気のように緩やかに上っていた。；精油のほとんどが水蒸気で分離できることから広く利用された。</t>
        </is>
      </c>
      <c r="J4323">
        <f>HYPERLINK("https://www.weblio.jp/content/水蒸気", "词义详情")</f>
        <v/>
      </c>
      <c r="K4323">
        <f>HYPERLINK("https://yourei.jp/水蒸気", "查看例句")</f>
        <v/>
      </c>
    </row>
    <row r="4324">
      <c r="A4324" t="inlineStr">
        <is>
          <t>推進</t>
        </is>
      </c>
      <c r="B4324" t="inlineStr">
        <is>
          <t>成功</t>
        </is>
      </c>
      <c r="C4324" t="inlineStr">
        <is>
          <t>読み方：すいしん
［名］(スル)
１物を前へおし進めること。「スクリューで—する」
２事業や運動などを達成するように努めること。「合理化を—する」</t>
        </is>
      </c>
      <c r="D4324" t="inlineStr">
        <is>
          <t>推進するため(3%)；推進派(2%)；推進者；推進協議会；推進力</t>
        </is>
      </c>
      <c r="E4324" t="inlineStr">
        <is>
          <t>促進；進める；駆動；推力；原動力</t>
        </is>
      </c>
      <c r="F4324" t="inlineStr">
        <is>
          <t>推進部；推進用；推進会議；軸推進；事業推進</t>
        </is>
      </c>
      <c r="G4324" t="inlineStr">
        <is>
          <t>推進力；推進器；推進装置；推進事業；推進式</t>
        </is>
      </c>
      <c r="H4324" t="n">
        <v>29</v>
      </c>
      <c r="I4324" t="inlineStr">
        <is>
          <t>今後はより環境に配慮した河川開発が推進されるものと見られている。；市内の道路は広く整備が進んでおり、早くから国鉄との立体交差を推進。；この政治クラブはフランス全国に支部をもち、組織的に革命を推進した。；また、世俗主義はそれら三つの理念を推進する習慣と言うこともできる。；プロペラ推進では主に質量流量 を大きくすることで推力を発生させる。；推進ユニットは制御されず弾道軌道上を飛行して目標よりも低い地点に落ちる。；このため、同一地域内ではなく遠く離れた地域への移住が推進されるようになった。；これによって正式に精神運動は、内務省主導で推進されることになった。；一方では、船の推進の摩擦による熱が発生し、船の周りに温水ができる。；逆に特攻推進派からは対策次第では十分な威力があるとの分析が出されている。；スマートグリッド等の総合的な対策が各国で検討推進されている。；そのために設計速度域へ到達させるための推進系が別途必要となる。；近年はG8諸国を中心に先進国との外交活動を積極的に推進している。；彼らを中心とする人々が、その後新幹線計画を推進することになる。；イギリスはこれを母体にブロック経済政策を推進していくことになる。；実際にはロケットは真空中でも推進可能であり、明らかな誤解である。；この方程式のおかげでロケットの推進の理論的考察ができるようになった。；道教に関心を寄せ、神道を整備し、仏教を保護して国家仏教を推進した。；力学系などの数学諸分野との関わりについての研究も推進されている。；草創期に成功を収めた推進方式のひとつに圧縮空気を用いたものが挙げられる。；また、主に航空機やミサイルの推進機関または動力源として使用される。；これらにより、横浜市西部開発地区の交通網の整備を推進するという。；船の主機関からプロペラまでの船の推進軸に関わる装置類はまとめて軸系装置と呼ばれる。；これらには、推進回送運転用に整備された車両が優先的に充てられた。；機関車により推進して運転する時に用いるための運転台を備えている車両もある。；コロニーの移動・軌道変更には核パルスエンジンなどの推進手段が用いられる。；この別の推進系としてはロケットやターボジェットが使用されている。；彼らはサティーなど古い因習を廃止してインドの近代化を推進しようとした。；権力を掌握した登輝は、より一層の民主化を推進していくことになる。</t>
        </is>
      </c>
      <c r="J4324">
        <f>HYPERLINK("https://www.weblio.jp/content/推進", "词义详情")</f>
        <v/>
      </c>
      <c r="K4324">
        <f>HYPERLINK("https://yourei.jp/推進", "查看例句")</f>
        <v/>
      </c>
    </row>
    <row r="4325">
      <c r="A4325" t="inlineStr">
        <is>
          <t>すいすい</t>
        </is>
      </c>
      <c r="B4325" t="inlineStr">
        <is>
          <t>成功</t>
        </is>
      </c>
      <c r="C4325" t="inlineStr">
        <is>
          <t>［副］
１いかにも軽やかに、すばやく動くさま。「氷の上を—（と）滑って行く」
２物事が、滞りなく進行するさま。すらすら。「問題が意外なほど—（と）解けた」
３枝や茎などがのびのびと出ているさま。
「竹藪から—した若竹が」〈秋声・黴〉</t>
        </is>
      </c>
      <c r="D4325" t="inlineStr">
        <is>
          <t>すいすいと進ん(3%)；すいすい進ん(2%)；すいすいと飛ん；すいすいと伸び；すいすいと水</t>
        </is>
      </c>
      <c r="E4325" t="inlineStr">
        <is>
          <t>すんなり；するする；円滑に；するすると；ずんずん</t>
        </is>
      </c>
      <c r="H4325" t="n">
        <v>29</v>
      </c>
      <c r="I4325" t="inlineStr">
        <is>
          <t>そして三人は同時に右手を顔の前に持ち上げ、すいすいと左右に振った。；むしろ私よりもウマいぐらいに、伯父は私の前をすいすいと走って行く。；すぐにまた、すいすいと水を切る音やオールのきしる音が聞こえてきた。；へたにすいすいと世の中を渡ろうと考えたりすれば、大けがをするんだ。；一同は、すいすい通りぬけて行くわたしの顔を、穴があくほど見つめた。；一二尾の魚が彼の体の前をすいすいと通って行った。；すいすいとした歩き方はどこか見ていて気持ちがよい。；その人ごみをすり抜けるように、僕僕はすいすいと先に進んで行った。；脇見をせずに、しゃんと前を見て、姿勢を正しくすいすいと歩いてゆく。；あのとおり横をまっすぐにすいすいと走ってるんだもの。；しかしそのとき、すいすいと足早に近寄って遮切ったのは主水之介です。；そして青田の上をすいすいと蜻蛉の群が飛んでゆくのが目に沁みた。；そのあとを太い針が、すいすいとぬって、じょうぶな糸を通していきます。；でも、このくらいでは、とてもすいすいというわけにはいかなかった。；しかし獲物は長いひげを動かしながら、網の前をすいすいと後しざりした。；そこでは軽舟のあとをついてくる火蜥蜴たちがすいすいと飛びまわっている。；船はまるで宙を行くように軽やかにすいすいと海をすべり続けた。；ウエイトレスがテーブルのあいだをすいすいと分けて、コーヒーを運んできた。；各項目に付ける言い訳の原稿が、今日はすいすい書けそうな気がした。；水夫たちには水の中は勝手知ったところで、二頭のいるかのようにすいすい進んだ。；目の前を、澄んでいるとも濁っているともつかぬ水が、すいすいと流れていった。；そしてヨルダを黒いマントの下に隠すと、すいすいと歩き出したのだ。；すいすいと川を渡って行くではありませんか。；そして負傷した操縦兵が、すいすいと進んでいけるような地形もほとんどない。；小さい飛行機ですから、すいすい雲の中を飛んで行きます。；四つの葉になったと思うと、今度は幹がすいすいと延び始めました。；そんな町をアルはこともなげな顔ですいすいと歩いていった。；岩の角や灌木の根を手がかりにして、ディアマンテはすいすいと進んでいく。；見ているうちにすいすいと幾本もいっしょに通って行く。</t>
        </is>
      </c>
      <c r="J4325">
        <f>HYPERLINK("https://www.weblio.jp/content/すいすい", "词义详情")</f>
        <v/>
      </c>
      <c r="K4325">
        <f>HYPERLINK("https://yourei.jp/すいすい", "查看例句")</f>
        <v/>
      </c>
    </row>
    <row r="4326">
      <c r="A4326" t="inlineStr">
        <is>
          <t>水洗</t>
        </is>
      </c>
      <c r="B4326" t="inlineStr">
        <is>
          <t>成功</t>
        </is>
      </c>
      <c r="C4326" t="inlineStr">
        <is>
          <t>読み方：すいせん
［名］(スル)
１水で洗うこと。水で洗い流すこと。「野菜を—する」
２「水洗式」の略。「—便所」</t>
        </is>
      </c>
      <c r="D4326" t="inlineStr">
        <is>
          <t>水洗便器(8%)；水洗化(7%)；水洗性(3%)；水洗タンク(2%)；水洗作業</t>
        </is>
      </c>
      <c r="E4326" t="inlineStr">
        <is>
          <t>洗い；洗濯；洗う；洗；洗浄</t>
        </is>
      </c>
      <c r="F4326" t="inlineStr">
        <is>
          <t>簡易水洗；男女別水洗</t>
        </is>
      </c>
      <c r="G4326" t="inlineStr">
        <is>
          <t>水洗式；水洗トイレ；水洗便所；水洗式トイレ；水洗促進剤</t>
        </is>
      </c>
      <c r="H4326" t="n">
        <v>29</v>
      </c>
      <c r="I4326" t="inlineStr">
        <is>
          <t>水洗となったため匂いの問題も解消することまでも可能となった。；頭があるはずの場所に〝静かな水洗〟とラベルのある木枠が立っていた。；血抜きを十分に行うためには、ここでさらに清流などで肉を水洗する。；僕は水洗場の方向へ駈け出して行き、脇腹が痛みはじめても駈けやめなかった。；かつては非水洗が主流であったものの、現在は多くが水洗式である。；水洗のボタンを押しながら、一言も発しなかった根本の顔をジロッと見る。；部屋には水がきておらず、したがってトイレは水洗ではない。；水洗にするよりこのほうが安いからといっておかあさんが買います。；あそこだけはずっとトイレも水洗じゃなかったんですよ。；おそらく、水洗になれていない学生が多かったので、流すのを忘れたのだろう。；過剰な水洗は、実際にはフィルムの保存性を低下させることがある。；用を足した後の肛門の洗浄には便所紙を用いず水洗する習慣を持つ国もある。；中には洋式の水洗便器が隠すものもなくただそっけなく置かれてある。；クエン酸を使用する方法もあり、また1分ほどの流水水洗でも十分である。；かつては男女共用の汲み取り式であったが、男女別化・水洗化された。；死体が見つかったトイレの水洗が故障していることは、マスコミなどでは報道されていない。；数の点では西側を凌いでいるのだが、水洗化が遅れている。；駅舎内にはかつて汲取便所があったが、現在は水洗化されている。；それは綿が、縦にしか吸引性を持たず、水洗に流せないという点である。；この団地では生活雑排水等が水洗用水・植木散水用水に利用されている。；これはもちろんトイレが水洗になり、人糞肥料が使われなくなったからであろう。；トイレといっても水洗ではなく、炊事場といっても水の出る流し台があるだけだった。；水洗だとそれにザーッという水の音がダブって壮絶なる一大穴響楽となる。；水洗になればそうした無駄な出費もしなくてすむかも知れない。；その後第一次大戦が勃発し紙幣に用いる紙の質が低下し水洗に耐えられなくなったので中止に至る。；私が、水洗にたっぷり時間をかけて、念入りに仕上げた写真だからでした。；車内が停電した際も水洗使用可能なトイレを一部号車に設置する。；トイレは水洗の洋式便器で、男子用は駅前通り側、女子用はホーム側にある。；駿は腰をあげて手の甲で口を拭い、水洗レバーを上履きの爪先で押した。</t>
        </is>
      </c>
      <c r="J4326">
        <f>HYPERLINK("https://www.weblio.jp/content/水洗", "词义详情")</f>
        <v/>
      </c>
      <c r="K4326">
        <f>HYPERLINK("https://yourei.jp/水洗", "查看例句")</f>
        <v/>
      </c>
    </row>
    <row r="4327">
      <c r="A4327" t="inlineStr">
        <is>
          <t>推薦</t>
        </is>
      </c>
      <c r="B4327" t="inlineStr">
        <is>
          <t>成功</t>
        </is>
      </c>
      <c r="C4327" t="inlineStr">
        <is>
          <t>読み方：すいせん
［名］(スル)
１人をその地位・名誉に適している者として他人にすすめること。推挙。「委員長に—する」「—状」
２よいものとして人にすすめること。「—図書」</t>
        </is>
      </c>
      <c r="D4327" t="inlineStr">
        <is>
          <t>推薦する(7%)；推薦候補；推薦書；推薦枠；推薦される</t>
        </is>
      </c>
      <c r="E4327" t="inlineStr">
        <is>
          <t>指名；ノミネート；推奨；パスポート；推挙</t>
        </is>
      </c>
      <c r="F4327" t="inlineStr">
        <is>
          <t>主催者推薦；推薦選手；委員会推薦；共産党推薦；非推薦</t>
        </is>
      </c>
      <c r="G4327" t="inlineStr">
        <is>
          <t>推薦文；推薦人；推薦入試；推薦入学；推薦者</t>
        </is>
      </c>
      <c r="H4327" t="n">
        <v>29</v>
      </c>
      <c r="I4327" t="inlineStr">
        <is>
          <t>県令はその悠然とした賢人の態度に感心して孝廉に推薦したのだという。；推薦入学した者は2年次からの分野を志望時の分野から変更できない。；どのような観点で推薦者が決まるのか、原則学外には公示されていない。；審査によって代表に推薦されると上位大会である支部大会に出場できる。；候補外であったが選考委員の五木寛之の強い推薦があり受賞に至った。；しかし、蕭何が死ぬ間際に自分の後継に推薦したのは曹参だけであった。；麻枝は推薦理由に関して「彼女が当たり役だなと思った」と話している。；前述のように寿興と交流があったことから最澄が推薦されたと考えられる。；一方で、代表数の関係で、銀賞受賞でも上位大会へ推薦されることもある。；埴谷は、新人作家の発見や紹介推薦に優れた力を発揮したことで知られる。；入社には社員2名の推薦を必要とし、入社審査を通過する必要がある。；またアシスタントの好きな曲や推薦曲の枠も当初存在していた。；この郷品を元に官僚への推薦が行われ、最初は郷品の四段階下から始まる。；各機関内の会員から推薦を受けた場合のみ、入会を承認することになっている。；ただし、牧師の推薦が必要のない神学校またはコースも一部には存在する。；他大学を受験する場合は慶應義塾大学への推薦を辞退しなければならない。；代わりに別の後見人役を推薦してもらったが、それが塚本信夫だった。；また一定程度、推薦制度を利用して本校に第一志望で入学する者も存在する。；他に青森を中心に地方議員に推薦を出しており、推薦候補の複数が当選した。；選考年の前年に発行され、読者・選考委員から推薦された単行本が対象。；そのため、金賞を受賞しても上位大会へ推薦されないことがある。；朱熹は何度も辞退したが、何度も推薦を受け、結局翌年3月にに赴いた。；歩兵屯所付医師を選出するよう指示を受け、手塚良仙ら7名を推薦した。；推薦よりも試験の結果に重きを置かれ、官僚の採用が決定されることとなった。；実際に、学校推薦型選抜や総合型選抜での進学割合が多い特徴がある。；世界遺産への推薦にはまずこの暫定リストにその地点が登録されている必要がある。；教師からの推薦を受けたことはシーレにとって大きな後押しとなった。；現代音楽への進出は、原田力男の推薦にもかかわらず成功しなかった。；この年のオールスターゲームには監督推薦で自身初出場を果たした。</t>
        </is>
      </c>
      <c r="J4327">
        <f>HYPERLINK("https://www.weblio.jp/content/推薦", "词义详情")</f>
        <v/>
      </c>
      <c r="K4327">
        <f>HYPERLINK("https://yourei.jp/推薦", "查看例句")</f>
        <v/>
      </c>
    </row>
    <row r="4328">
      <c r="A4328" t="inlineStr">
        <is>
          <t>水素</t>
        </is>
      </c>
      <c r="B4328" t="inlineStr">
        <is>
          <t>成功</t>
        </is>
      </c>
      <c r="C4328" t="inlineStr">
        <is>
          <t>読み方：すいそ
非金属元素の一。最も軽い気体元素。無色・無臭・無味。燃焼させると淡青色の炎を上げ、酸素と化合して水を生じる。水を電解するか、亜鉛に希硫酸を作用させると得られ、工業的には石油を分解してつくる。アンモニアや塩酸などの合成、油脂の水素添加、酸水素炎などに利用。元素記号H原子番号1。原子量1.008。同位体としてジュウテリウム（重水素）・トリチウム（三重水素）がある。</t>
        </is>
      </c>
      <c r="D4328" t="inlineStr">
        <is>
          <t>水素化；水素核融合；水素殻；水素燃焼；水素タンク</t>
        </is>
      </c>
      <c r="F4328" t="inlineStr">
        <is>
          <t>炭化水素；水素塩；硫化水素；水素源；発生する水素</t>
        </is>
      </c>
      <c r="G4328" t="inlineStr">
        <is>
          <t>水素結合；水素ガス；水素イオン；水素化；水素分子</t>
        </is>
      </c>
      <c r="H4328" t="n">
        <v>29</v>
      </c>
      <c r="I4328" t="inlineStr">
        <is>
          <t>機体の大部分を占めるガス袋に水素もしくはヘリウムが充填されている。；この例では理論上水素が完全に消費されるので水素が限定反応物質である。；油中での使用においては水素フリーDLCを用いる事が多くなっている。；グリーン水素は、水を電気分解した際に、生成される水素のことである。；他のハロゲンと同じように水素との化合物を作ることが知られている。；発生した水素はその日の午後に生じた小規模爆発の原因となった考えられている。；この時発生する水素と塩素を利用してHClを生成することができる。；銀塩には正塩および三水素塩などが存在し、いずれも水に難溶性である。；電子1つの水素のリュードベリ定数を とすると、 は で与えられる。；希硫酸は水素よりイオン化傾向の大きな金属と反応し水素を発生させる。；この反応に必要な温度は水素核融合を起こすために必要な温度よりわずかに低い。；燃焼速度の速さが要求されるため、燃料には水素が用いられることが多い。；水素の酸化還元反応を触媒するこの酵素群は多くの研究者の関心を集めた。；元のブタンの構造と、取り除かれた水素の位置からいくつかの種類がある。；金属の中には、水素を取り込む性質のあるものが複数あることが知られている。；これを用いて、1895年に微量ながら水素を液化することに成功した。；化学的結合とは、実際に合金中の元素が水素と化合することを意味する。；ヘリウム中心核からの熱により核の周辺部では水素の核融合が継続する。；最近ではマグネシウムと水を反応させて水素を作り出す方法も開発されている。；元素の存在度は一般に、最も豊富な元素である水素との比較で表される。；円盤の成分はほとんどが水素やヘリウムのガスだが、塵も含まれている。；水素気球は熱気球に比べて効率的だったため、間もなく取って代わった。；これらの星は中心核での水素が枯渇して老年期に入った星である。；この反応ではベンゼン環に隣接する水素-炭素間の結合が攻撃される。；また、水素タンクを中心より低い位置に搭載することで低重心化に成功した。；水槽の中に金魚飼ってて水そのままにしてると金魚死んじゃうでしょう。；この他、風力発電で得られた電力から水素を製造する手法も研究されている。；ガスは未反応の水素と脱硫反応によって生じた硫化水素が主成分である。；そんなところでも水そのものの明澄美を汲みとることは困難だったほどである。</t>
        </is>
      </c>
      <c r="J4328">
        <f>HYPERLINK("https://www.weblio.jp/content/水素", "词义详情")</f>
        <v/>
      </c>
      <c r="K4328">
        <f>HYPERLINK("https://yourei.jp/水素", "查看例句")</f>
        <v/>
      </c>
    </row>
    <row r="4329">
      <c r="A4329" t="inlineStr">
        <is>
          <t>吹奏</t>
        </is>
      </c>
      <c r="B4329" t="inlineStr">
        <is>
          <t>成功</t>
        </is>
      </c>
      <c r="C4329" t="inlineStr">
        <is>
          <t>読み方：すいそう
［名］(スル)吹きかなでること。管楽器を吹いて音楽を演奏すること。「校歌を—する」</t>
        </is>
      </c>
      <c r="D4329" t="inlineStr">
        <is>
          <t>吹奏する(10%)；吹奏される(6%)；吹奏者(4%)；吹奏感(3%)；吹奏楽譜(2%)</t>
        </is>
      </c>
      <c r="F4329" t="inlineStr">
        <is>
          <t>狩猟ホルン吹奏；吹奏樂</t>
        </is>
      </c>
      <c r="G4329" t="inlineStr">
        <is>
          <t>吹奏楽；吹奏楽団；吹奏楽曲；吹奏楽コンクール；吹奏楽器</t>
        </is>
      </c>
      <c r="H4329" t="n">
        <v>29</v>
      </c>
      <c r="I4329" t="inlineStr">
        <is>
          <t>それから、その楽器の構造や操作法や吹奏の技術を詳細に説明した。；その他、運指や吹奏方法は三者共通であって、オーボエ奏者が演奏する。；数ヶ月以内に「タップス」は北軍でも南軍でも吹奏されるようになった。；建物が近づくにつれ、吹奏部の練習なのだろうか、楽器の音が聞こえてくる。；夕刻の七時には軍楽隊がやってきて、ホテルの前で音楽を吹奏した。；その声の後に、再度吹奏が開始される仕掛けになっている。；トランペットの吹奏が聞え、王が職杖を手にし、貴族達を引連れ登場。；きみもむろんなにか遠い感動的な想い出が、まずきみにある音を吹奏させるに違いない。；はじめに天皇が歓迎のスピーチをし、相手国の国歌を吹奏し、乾杯する。；尺八の吹奏人口についての本格的な調査はされておらず、正確な人口は不明である。；その他の競技でも、国歌吹奏等の際に特段の混乱は生じていない。；それからちょっと間をおいて、完全な吹奏がはじまったわけです。；そのうちに、行進曲を高らかに吹奏しながら近づいて来る音楽隊があつた。；吹奏はこれまで聞いたこともないくらい出来がわるかった。；地上車の透明なフードが、小さく低く弾けるような音を吹奏しつづけている。；それは笛が女の吹奏を待つものでないからである。；ベル部分を長く取ることで音色と吹奏感を飛躍的に改善させる。；これらの比較的新しい本曲と普化宗で吹奏された狭義の本曲を区別するため、後者を特に古典本曲と呼ぶことがある。；ポールは何も聞えないかのように吹奏しつづけた。；トランペットが三回目の吹奏を繰り返すなか、かれは広間のドアを開けた。；そして、試合前に国歌吹奏を神妙に聞くプロレスラーのような顔になった。；短くラッパが吹奏され、甲板にいる当直者だけが挙手の礼をする。；古典的な本曲の吹奏では、このひとつひとつの尺八のもつ個性もその魅力となっている。；タデメッカ軍の銃座は、死神のトランペットを高く低く吹奏しつづけた。；ただし、必要がある場合には号音を吹奏しないで非常呼集を行なうことができる。；オーボエがAの音を吹奏すると、すべての楽器がこれに合わせてチューニングを開始した。；なんだか女たちがひときわ強く吹奏して、最初の求職者を歓迎しているかのようでもあった。；寒い季節は窓を閉めているのでまだ被害はないが季候がよくなると窓を開いて近隣に吹奏を聞かせるので否でも応でも耳に入って来る。；どういうわけか、ひちりきが一つだけ、残っていたので、三位はそれを手にして、吹奏した。</t>
        </is>
      </c>
      <c r="J4329">
        <f>HYPERLINK("https://www.weblio.jp/content/吹奏", "词义详情")</f>
        <v/>
      </c>
      <c r="K4329">
        <f>HYPERLINK("https://yourei.jp/吹奏", "查看例句")</f>
        <v/>
      </c>
    </row>
    <row r="4330">
      <c r="A4330" t="inlineStr">
        <is>
          <t>推測</t>
        </is>
      </c>
      <c r="B4330" t="inlineStr">
        <is>
          <t>成功</t>
        </is>
      </c>
      <c r="C4330" t="inlineStr">
        <is>
          <t>読み方：すいそく
［名］(スル)ある事柄をもとにして推量すること。「犯行の動機を—する」
→推察［用法］</t>
        </is>
      </c>
      <c r="D4330" t="inlineStr">
        <is>
          <t>推測される(21%)；推測する(9%)；推測できる(3%)；推測航法；推測どおり</t>
        </is>
      </c>
      <c r="E4330" t="inlineStr">
        <is>
          <t>見る；思う；予定；考える；計算</t>
        </is>
      </c>
      <c r="F4330" t="inlineStr">
        <is>
          <t>単なる推測；勝手な推測；あれこれ推測；推測する論者；推測する説</t>
        </is>
      </c>
      <c r="H4330" t="n">
        <v>29</v>
      </c>
      <c r="I4330" t="inlineStr">
        <is>
          <t>このことは音声論者たちに影響を受けてのことだったと推測されている。；正確なことは不明であるが、1895年頃ではないかと推測されている。；その壁画に描かれた服の帯は革でなく織物ではないかと推測されている。；この理由は標準治療の拒否や、遅れが原因であると推測されるとしている。；日本国内では合わせて約3000羽程度が生息していると推測されている。；この大交響曲とは本作のことを指すものであろうと推測されている。；このことは天皇が赤を重視したことからも間接的に推測されている。；こうした組織は、都市行政にも関わっていたことが推測されている。；彼は実際に高句麗王族だとも推測もされるが、明確な出自は不詳である。；そうすることで天敵などから身を守る効果があると推測されている。；この時代には、日本列島に人類は住んでいなかったと推測されている。；しかしながら、現在では作品の解釈を通して、支持されない推測である。；写真は阪神の地下入口があるため昭和9年以降のものであると推測される。；そのため、人々は扇状地などの高い場所で暮らしていたと推測される。；予測とはコントロールされていない状況からの帰結を推測する方法である。；川村湊は、中島と関係のある女学生がいたのではないかと推測している。；計画は、およそ以下のようなものであったのではないか、と推測されている。；縄文期の村域の人口は20人から40人程度であったと推測されている。；昔の中国人は徐福が台湾か日本に辿り着いたのではないかと推測した。；仮説とは、推測ではあるが、観察した現象や事実を説明できるものである。；一方で、細胞膜はすべての細胞に必須の要素ではないとも推測されていた。；中には作品テーマから女性ではないかと推測する者もいた。；スッラの死後から自身の時代までを描いたものと推測されている。；定次には、彼らを完全に抑制するだけの力量はなかったとも推測される。；研究者によると、これは女性が社会の安定を重視しているからであると推測される。；編集方針の決定や原資料の選択は政治的に有力者が主導したものと推測されている。；上下線共に待避線を新設する計画があったと推測される痕跡が残っている。；戦史叢書では作戦の概要は以下のようなものだったと推測している。；北部バングラデシュに残る遺構からこうした影響を推測することができる。</t>
        </is>
      </c>
      <c r="J4330">
        <f>HYPERLINK("https://www.weblio.jp/content/推測", "词义详情")</f>
        <v/>
      </c>
      <c r="K4330">
        <f>HYPERLINK("https://yourei.jp/推測", "查看例句")</f>
        <v/>
      </c>
    </row>
    <row r="4331">
      <c r="A4331" t="inlineStr">
        <is>
          <t>垂直</t>
        </is>
      </c>
      <c r="B4331" t="inlineStr">
        <is>
          <t>成功</t>
        </is>
      </c>
      <c r="C4331" t="inlineStr">
        <is>
          <t>読み方：すいちょく
［名・形動］
１まっすぐに垂れ下がること。また、そのさま。「—な線を引く」
２水平面・地平面に対して直角の方向を示すこと。また、そのさま。「がけが—に切り立つ」
３数学で、直線と直線、直線と平面、平面と平面とが直角に交わること。</t>
        </is>
      </c>
      <c r="D4331" t="inlineStr">
        <is>
          <t>垂直方向(8%)；垂直に近い；垂直線；垂直安定板；垂直面</t>
        </is>
      </c>
      <c r="E4331" t="inlineStr">
        <is>
          <t>垂直方向；鉛直</t>
        </is>
      </c>
      <c r="F4331" t="inlineStr">
        <is>
          <t>垂直性；垂直離陸；垂直降下；垂直に近く；垂直落下</t>
        </is>
      </c>
      <c r="G4331" t="inlineStr">
        <is>
          <t>垂直離着陸；垂直統合；垂直感染；垂直跳び；垂直分布</t>
        </is>
      </c>
      <c r="H4331" t="n">
        <v>29</v>
      </c>
      <c r="I4331" t="inlineStr">
        <is>
          <t>演奏する際にはほぼ垂直に構え、左手の指で頻繁に音色の変化をつける。；中央下の画面には垂直安定板からみたカメラ画像が表示されている。；屋根が高くなり、側構が垂直になったことで車体断面積が拡大している。；象限儀は地面に対して正確に垂直になるように設置しなければならない。；垂直性はより一般の数学概念である直交性の特別の場合と考えられる。；縦は主に垂直や前後の方向を、横は主に水平や左右の方向を指す語である。；実際の赤道面は常に必ず地球の自転軸に垂直をなしているものである。；幼体は体が軽いため体を支えることができ、垂直壁を登ることができる。；左手は頬の前に垂直に立てて、手を左右に振って顔面の防御をする。；充分に成長した終齢幼虫は夜に上陸し、地面と垂直な場所で羽化を行う。；入口には装飾されたアルミの方立のある3つの垂直の窓が特徴である。；樹上棲種では指に襞状の鱗があり垂直面でも登ることのできる種もいる。；ベクトルの向きは電流に垂直で電流が右ねじの向きに流れるようにとる。；この記号の下に描かれている短い垂直の線は二進法で表した 1 である。；尾翼は通常式だが左右の水平尾翼端に垂直安定板が追加されている。；そのような国では、7 を書くときに垂直の線に水平の線を入れて区別する。；入射面に垂直な方向に偏光している光の場合には以下のようになる。；腹面が濡れていれば吸盤のように利用できるので、垂直な壁も登れる。；神戸本線の大阪方面行きホームの北側に、甲陽線ホームが垂直に延びる。；力は側面に垂直なので、90度回転した力の三角形の各辺は側面に平行。；多数の垂直方向の節理によって、浸食の起こる場所や起こり方は違った。；シュターデの紋章は青地に、垂直で歯が右向きに置かれた銀の鍵である。；エンジン部の左右両側には垂直安定板が追加されている。；そのため垂直軸風車などでは抗力の不均衡を生じるための工夫がされる。；発射に際して弾体を垂直に設置し、燃料を注入し、目標を入力設定する。；樹皮には幹から垂直に伸びる大小の鋭い棘が多くつくことが特徴である。；しかし、現実には原料と消費財の交換を主とする垂直的な貿易も重要である。；これらの力が地面に垂直である場合、これらは垂直力とも呼ばれる。；エナメル小柱は歯に沿って列を作り、象牙質に垂直に配置されている。</t>
        </is>
      </c>
      <c r="J4331">
        <f>HYPERLINK("https://www.weblio.jp/content/垂直", "词义详情")</f>
        <v/>
      </c>
      <c r="K4331">
        <f>HYPERLINK("https://yourei.jp/垂直", "查看例句")</f>
        <v/>
      </c>
    </row>
    <row r="4332">
      <c r="A4332" t="inlineStr">
        <is>
          <t>推定</t>
        </is>
      </c>
      <c r="B4332" t="inlineStr">
        <is>
          <t>成功</t>
        </is>
      </c>
      <c r="C4332" t="inlineStr">
        <is>
          <t>読み方：すいてい
［名］(スル)
１ある事実を手がかりにして、おしはかって決めること。「出火の原因を—する」「—人口」
２法律で、ある事実または法律関係が明瞭でない場合に、一応一定の状態にあるものとして判断を下すこと。
３統計調査で、ある集団の性質を調べる場合に、その集団から抽出した標本を分析することによって集団全体の性質を判断すること。</t>
        </is>
      </c>
      <c r="D4332" t="inlineStr">
        <is>
          <t>推定される(22%)；推定年俸(2%)；推定値；推定時刻；推定できる</t>
        </is>
      </c>
      <c r="E4332" t="inlineStr">
        <is>
          <t>見る；思う；考える；計算；予想</t>
        </is>
      </c>
      <c r="F4332" t="inlineStr">
        <is>
          <t>推定時間；推定法；年代推定；最尤推定；系統推定</t>
        </is>
      </c>
      <c r="G4332" t="inlineStr">
        <is>
          <t>推定量；推定的同意；推定無罪；推定少女；推定有罪</t>
        </is>
      </c>
      <c r="H4332" t="n">
        <v>29</v>
      </c>
      <c r="I4332" t="inlineStr">
        <is>
          <t>化石を含む骨の形態情報から推定された属の進化史は以下の通りである。；その内の3割程度しか事前に同意が得られなかったと推定されている。；出土品の三角縁神獣鏡は畿内で鋳造されたものと同一と推定されている。；その範囲は現在の狛江市、調布市を中心とする地域だと推定されている。；この手法を用いて推定された銀河系の銀河円盤の年齢は80億年である。；殻から年齢を推定する信頼できる方法が無いため、年間の成長速度は不明。；この空間までの現在の距離であるは、約450億光年と推定されている。；国府は数度変遷したと見られており、現在では次のように推定されている。；ここには砂漠を進む商隊の灯台として使われたと推定されているが残る。；各集団の人口変化や形成時期も推定でき、移住の歴史が反映されているという。；フランシウムの融点は計算上およそ27 付近になると推定されている。；同時期に古代教会内でも正典化の議論が本格化したと推定される。；よって、日本は遺伝子組換え作物を大量に輸入していると推定されている。；これは、オールトの雲の分布が球殻状であると推定する根拠になっている。；これら刀鍛冶集団は石山本願寺とも結びつきが強いと推定されている。；町内に存在する最も古い遺跡は最終氷期の終期頃のものと推定されている。；駅の東側には、多賀城以前の陸奥国府跡と推定される郡山遺跡があった。；その代わりに、これらの惑星は木星に近い位置で形成されたと推定されている。；つまりそうした文明の数を10個だと推定してみせたのである。；日本軍は情報分析の結果、アメリカ軍の空母戦力を以下のように推定した。；これを利用して、出土品や汚染物質の起源を推定することができる。；さらに観測精度が向上し、徐々に推定距離が長く算定されるようになった。；近年ではDNAの比較に基づく系統推定が盛んに行われている。；以下にその変遷を記述するが、いずれも推定であることに注意されたいところ。；中世頃までは現区域の大半が海辺に面していたと推定される。；周が殷を滅ぼしたのは具体的に何年の出来事かを推定する作業が進められている。；彼らの記録的な総販売枚数は、世界中で2億から3億枚と推定されている。；この時代は、両大陸の間ではある程度生物の交流が保たれていたと推定されている。；したがって共通基語から歴史の始まりに至る過程は、言語史的に推定するしか方法はない。</t>
        </is>
      </c>
      <c r="J4332">
        <f>HYPERLINK("https://www.weblio.jp/content/推定", "词义详情")</f>
        <v/>
      </c>
      <c r="K4332">
        <f>HYPERLINK("https://yourei.jp/推定", "查看例句")</f>
        <v/>
      </c>
    </row>
    <row r="4333">
      <c r="A4333" t="inlineStr">
        <is>
          <t>水滴</t>
        </is>
      </c>
      <c r="B4333" t="inlineStr">
        <is>
          <t>成功</t>
        </is>
      </c>
      <c r="C4333" t="inlineStr">
        <is>
          <t>読み方：すいてき
１しずく。水のしたたり。「—がしたたる」「—がつく」
２硯(すずり)に使う水を入れておく容器。水注。水差し。
[補説]書名別項。→水滴</t>
        </is>
      </c>
      <c r="D4333" t="inlineStr">
        <is>
          <t>水滴がつい；水滴型；水滴形；水滴状；水滴がぽたぽた</t>
        </is>
      </c>
      <c r="E4333" t="inlineStr">
        <is>
          <t>露；雫；滴り；一滴；したたり</t>
        </is>
      </c>
      <c r="F4333" t="inlineStr">
        <is>
          <t>細かい水滴；大きな水滴；微水滴；細かな水滴；微小な水滴</t>
        </is>
      </c>
      <c r="H4333" t="n">
        <v>29</v>
      </c>
      <c r="I4333" t="inlineStr">
        <is>
          <t>そういうところに水滴の雲の粒があるのは可怪しいと思われるであろう。；しかし水道の蛇口から水滴が落ちているだけでそこには誰もいなかった。；内地の雪では多分もっとしばしば小水滴付の結晶が見られることと思う。；汗マークとは、絵や文章中で用いられる水滴の形状をしたマークである。；音をたてないように気をつけて、窓についた水滴の曇りを左手で拭った。；もう一台のフライサイクルの周囲にレースのような水滴がつきはじめた。；天井から雨水でも染み出しているのか、遠くの方で小さな水滴音がする。；雨は降りつづき、室内の空気にも水滴が混ざっているようにさえ思えた。；冬には凝結して水滴になるのではなく、氷になるので、これを霜と呼ぶ。；水滴が肩にも顔にも光っていて雨に濡れてきたことが明らかだった。；すると、それらの粒を中心にして水滴ができはじめ、たちまち雨となる。；足音以外に聞こえるのは、壁を伝い落ちる水滴のかすかな音だけだった。；フードにかかる水滴を気にする風もなく、赤いコートの女が歩いている。；水浸しの森を歩いていくと、水滴があちこちからポタポタと落ちてきた。；雲から凝縮して大きめの水滴となって地上に落ちてくる水は雨と呼ぶ。；海水が染み込んだ壁や天井から、澱んだ色をした水滴が床に落ちてくる。；もちろんこの水滴に外から熱が出入りしないと仮定しての話である。；ユキがバスタオルをまいてまだ水滴のついた体のままステレオをとめた。；雲との一番大きな違いは水滴の大きさなどではなく、両者の定義の違いである。；しかし、よく見ると、「真女子」の身体に水滴などはついていなかった。；空中を漂っている水滴を飲み、なんとか頭をはっきりさせようとした。；細かな霧のようになった水滴が、たちまちイコの腕や脚を濡らし始めた。；部屋の壁はむき出しで水滴がしたたり、涙にぬれているかのようであった。；霧のせいなのか、石の表面についていた細かな水滴が、指先を湿らせる。；壁には水滴の滲み出ているようすもまるでなく、地面も完全に乾いていた。；車の屋根には、夜の大気の湿り気が小さな水滴となって無数についていた。；水滴、というか水入れほぼ一杯分の水塊は、わたしの胸に飛んできた。；即ちベントレーの蒐集では、小水滴付の結晶はむしろ稀な場合であった。；水滴のついたガラスの向こうでは、葉の枯れた木々が風に揺れていた。</t>
        </is>
      </c>
      <c r="J4333">
        <f>HYPERLINK("https://www.weblio.jp/content/水滴", "词义详情")</f>
        <v/>
      </c>
      <c r="K4333">
        <f>HYPERLINK("https://yourei.jp/水滴", "查看例句")</f>
        <v/>
      </c>
    </row>
    <row r="4334">
      <c r="A4334" t="inlineStr">
        <is>
          <t>水田</t>
        </is>
      </c>
      <c r="B4334" t="inlineStr">
        <is>
          <t>成功</t>
        </is>
      </c>
      <c r="C4334" t="inlineStr">
        <is>
          <t>読み方：すいでん
水を入れ、水稲・レンコンなどを作る田。みずた。たんぼ。⇔陸田。</t>
        </is>
      </c>
      <c r="D4334" t="inlineStr">
        <is>
          <t>水田地帯(8%)；水田順一；水田耕作；水田跡；水田化</t>
        </is>
      </c>
      <c r="E4334" t="inlineStr">
        <is>
          <t>代；田；野田；小田；田圃</t>
        </is>
      </c>
      <c r="F4334" t="inlineStr">
        <is>
          <t>広い水田；水田志摩子；水田面積；水田清；水田灌漑</t>
        </is>
      </c>
      <c r="G4334" t="inlineStr">
        <is>
          <t>水田雑草；水田三喜男；水田わさび；水田村；水田農業</t>
        </is>
      </c>
      <c r="H4334" t="n">
        <v>29</v>
      </c>
      <c r="I4334" t="inlineStr">
        <is>
          <t>少しでも低温の影響を緩和するために水田に引く水の管理が重要になる。；市内にはこの豊富な水を利用した大規模工場や水田地帯が多くある。；水田と畑で農業が営まれ、地区の中心の街道沿いに商店がいくつかある。；遺跡は竪穴住居や水田が復元された公園になっており、展示施設もある。；弥生時代後期末には、水田がかなり広大に行われていたと推定されている。；しかし河川工事や水田の減少等の原因で生息数は減少している。；ほかにも堰や多くの支線が建設され、現在も水田に水を供給している。；夜臼式土器期の水田構造が、その後も踏襲されていると考えられている。；かつて一帯は水田地帯であったため、損傷を受けることはほとんどなかった。；春から秋は島全域に広がる水田で米が栽培され、イチゴなどの生産が盛ん。；僅かではあるが、ビルやマンションの間に水田や畑が残っている。；初春の水田ではロゼット葉を広げて地面にはいつくばった姿で見られる。；水田の土壌から発見されたにもかかわらず生育には絶対嫌気が要求される。；河川の周囲に水田が作られ、南、あるいは東に開ける谷戸が数多くある。；新田では水が得られないために水田は開かれず、畑地として開墾された。；しかし水田と畑を合わせても村の全人口を養うには足りなくなった。；村域の全ては石狩平野の中にあり、村面積のほとんどは水田となっている。；日本では水田やその周辺で多くの種を見ることができる。；そのため二毛作の普及は水田の排水設備や土壌の改良を促すことになる。；中央部は熊本平野の一環を形成しており水田地帯が広がっている。；新たな水田造成技術の導入もみられ、新田開発が行われたと推定されている。；現在では、かつての境内であった水田に1本の銀杏の木を残すのみである。；イタリアにおける米生産の中心地であり、県南部には水田地帯が広がっている。；駅は道路から100mほど離れたところにあり、周りは水田である。；中世・近世においても焼畑は水田耕作の困難な山間部を中心に行われた。；本社社屋は、分譲開始前の分譲住宅地や水田の一部を買収して建設された。；なお、この日は12代将軍徳川家慶が死去したと水田に伝わった日でもある。；城の西から北にかけては水田が巡っており、堀であったと想定される。；水戸市側はまた、水田化する期間を5年としてしていることにも反発した。</t>
        </is>
      </c>
      <c r="J4334">
        <f>HYPERLINK("https://www.weblio.jp/content/水田", "词义详情")</f>
        <v/>
      </c>
      <c r="K4334">
        <f>HYPERLINK("https://yourei.jp/水田", "查看例句")</f>
        <v/>
      </c>
    </row>
    <row r="4335">
      <c r="A4335" t="inlineStr">
        <is>
          <t>水筒</t>
        </is>
      </c>
      <c r="B4335" t="inlineStr">
        <is>
          <t>成功</t>
        </is>
      </c>
      <c r="C4335" t="inlineStr">
        <is>
          <t>読み方：すいとう
飲料水などを入れて携帯する筒形の容器。</t>
        </is>
      </c>
      <c r="D4335" t="inlineStr">
        <is>
          <t>水筒型；水筒問題；水筒先</t>
        </is>
      </c>
      <c r="E4335" t="inlineStr">
        <is>
          <t>吸筒</t>
        </is>
      </c>
      <c r="H4335" t="n">
        <v>29</v>
      </c>
      <c r="I4335" t="inlineStr">
        <is>
          <t>水筒の準備をしてくるくらいだから、お弁当も持ってきたのかと思った。；弟が肩から水筒を下げ兄がバスケットを持って、もとの道の方へ戻った。；髪の長い方は憎々しげに少女を無視すると、水筒の蓋を開けようとする。；結果として、水筒よりもよほど長い時間彼らに水を与えることができる。；テントの外に出るのも面倒で、座ったまま溲瓶代わりの水筒に用をした。；あまりびっくりしたので、川に水筒の本体を落としてしまったほどだ。；日本では、江戸時代では竹筒やヒョウタンで作った水筒が使われていた。；各国の軍隊で様々なスタイルの水筒が採用されてきた歴史がある。；この空っぽの水筒を窓から入れてやって、また一杯にしてもらうのですよ。；水筒と鈴を持ってさ、どんどんぱちぱちやってる中へはいっていくんだ。；スキットルのことだが、日本では蒸留酒用小型水筒の総称になっている。；水筒がいっぱいになるのを見ながら、ビンクは別のことを考えていた。；水筒の水が残っていたので、頭からかけて火を消してあげたくなった。；水筒やランチボックスと一緒に置いてあった銀色のポーチが目に入った。；女子大生の話では、水筒には、名前も書いてあったっていうんでしょう?；水でちゃんと洗いたいが、持参した革水筒の水を使うわけにもいくまい。；彼らは水筒を腰に付けたり、リュックのポケットに入れたりしていた。；そのあいだに私は駅の近くにいる兵隊から水筒に一杯の湯をもらうことが出来た。；暑いと水筒の水がすぐになくなってしまうし、汗をかくので体が気持ち悪い。；どうやら、二人の少女は小さな赤い水筒を奪い合っているようだった。；彼等はこの運動を水筒中に住む限り連続させる習性をもつものだ。；この時になって阿部中尉の水筒に入れてある日本酒は有効であった。；山根は手を貸して唇を開かせ、その口に水筒の蓋一杯分の水を流し込んだ。；目の前にいる百姓風の女が、背負い荷物の中からパンと水筒を出して食べていた。；このサンドウィッチや水筒は、じぶんのためにおいていってくれたのかしら。；水筒とナイフだけ腰へつるし、武器は、自分のブローニングだけにした。；三人は命の泉で足をとめ、水筒に水をつめ直すと、半日、旅をつづけた。；それでも全く足らない様子で、ついには五本の水筒を一気に空にしてしまった。；わたしは結局、鞄や水筒を全部置いたまま、椅子だけを持って教室から出た。</t>
        </is>
      </c>
      <c r="J4335">
        <f>HYPERLINK("https://www.weblio.jp/content/水筒", "词义详情")</f>
        <v/>
      </c>
      <c r="K4335">
        <f>HYPERLINK("https://yourei.jp/水筒", "查看例句")</f>
        <v/>
      </c>
    </row>
    <row r="4336">
      <c r="A4336" t="inlineStr">
        <is>
          <t>水道</t>
        </is>
      </c>
      <c r="B4336" t="inlineStr">
        <is>
          <t>成功</t>
        </is>
      </c>
      <c r="C4336" t="inlineStr">
        <is>
          <t>読み方：すいどう
１川や湖の水を引いて、飲料水・使用水・消火用水とするための施設。水源や導水、浄水などの設備。上水道。
２上水道または下水道。ふつう上水道をいう。
３船が通るみち。船の航路。ふなじ。
４陸地に両側から挟まれて狭くなっている海または湖の部分。海峡。「豊後(ぶんご)—」</t>
        </is>
      </c>
      <c r="D4336" t="inlineStr">
        <is>
          <t>水道橋(7%)；水道施設(2%)；水道会社；水道用水；水道工事</t>
        </is>
      </c>
      <c r="E4336" t="inlineStr">
        <is>
          <t>運河；水路；海峡；瀬戸；澪</t>
        </is>
      </c>
      <c r="F4336" t="inlineStr">
        <is>
          <t>水道代；水道水源；近代水道；水道部；パラワン水道</t>
        </is>
      </c>
      <c r="G4336" t="inlineStr">
        <is>
          <t>水道管；水道事業；水道局；水道橋；水道道</t>
        </is>
      </c>
      <c r="H4336" t="n">
        <v>29</v>
      </c>
      <c r="I4336" t="inlineStr">
        <is>
          <t>この水道橋が2つの名前を持っているのも、この両者の名前に由来する。；同水準の水道が新たに建設されるのは19世紀後半になってからである。；彼女は、自分のよく知っている通りやすい道を通って僕を導いていった。；ただ呉鎮水道はあくまで海軍専用であり市民には供給されていなかった。；これら施設は市内の 5 分割された水道区域に上水道を供給している。；電気・水道は無く、暖をとるのには料理用の薪ストーブが使われていた。；建築用以外にも電気や水道など施工図を必要とする業界にも普及した。；家庭用水道や近代的下水道システムが多くの地域で初めて導入された。；彼はアショーカ王の命令によって水道を敷設したことが記録されている。；中脳蓋は中脳水道の背側部分で左右一対の上丘、下丘の四丘体からなる。；建設した街道や水道橋には今日でも使用されているものがある。；江戸期にも洪水による橋の流出や水道施設の破壊は頻繁に発生していた。；だが同じく北水道を通過しようとした第4215船団は逃れられなかった。；奉仕会が整備していた水道付き宿泊施設は防空隊員の居住に転用された。；生活の中でのわかりやすい例としては水道の蛇口から流れる水がある。；インディアナ州との州境では、水道用道路が唯一の陸の境となっている。；実際の改造過程ではロスチャイルドなどが水道や住宅意匠を手がけていた。；古代でも中世でも、人類のほとんどは水道無しで生活していたと考えて良い。；したがって、古くから水道を取り入れられる国、地域は限られていた。；上部はケーニヒスシュトゥールから城へ水を導く水道の役割をなしていた。；周囲に家屋等がほとんどなく、線形も綺麗で走りやすい道となっている。；電気や水道などのライフラインにはフェイルセーフ機構が採用されている。；フロンティヌス以降に建設された水道について知られている情報は少ない。；かつては電力も水道も供給が不安定で、停電や断水が頻繁に起きていた。；これらの水道の崩れることなく建っている石造の遺跡は特に印象的である。；町に水道が整備されると、タンクは撤去されて新たに居住空間が追加された。；韓国では東水道としての対馬海峡の表記が問題視されることもある。；第27駆逐隊は北水道を通過し、空襲で損傷しつつも脱出に成功した。；その中でもここではさらに細かく流れが変化する特異な狭水道である。</t>
        </is>
      </c>
      <c r="J4336">
        <f>HYPERLINK("https://www.weblio.jp/content/水道", "词义详情")</f>
        <v/>
      </c>
      <c r="K4336">
        <f>HYPERLINK("https://yourei.jp/水道", "查看例句")</f>
        <v/>
      </c>
    </row>
    <row r="4337">
      <c r="A4337" t="inlineStr">
        <is>
          <t>水道水</t>
        </is>
      </c>
      <c r="B4337" t="inlineStr">
        <is>
          <t>成功</t>
        </is>
      </c>
      <c r="C4337" t="inlineStr">
        <is>
          <t>読み方：すいどうすい
上水道を通じて供給される水。</t>
        </is>
      </c>
      <c r="D4337" t="inlineStr">
        <is>
          <t>水道水および真水；水道水レベル；水道水供給</t>
        </is>
      </c>
      <c r="F4337" t="inlineStr">
        <is>
          <t>供給される水道水</t>
        </is>
      </c>
      <c r="G4337" t="inlineStr">
        <is>
          <t>水道水フッ化物添加についての議論；水道水フッ素化</t>
        </is>
      </c>
      <c r="H4337" t="n">
        <v>29</v>
      </c>
      <c r="I4337" t="inlineStr">
        <is>
          <t>各地の温泉で調査が行われ、次々と水道水利用の温泉が公表されていった。；それで廊下には到るところに、冷やした水道水が出るようになっている。；水質の好みが激しく日本の多くの地域の水道水が栽培に適さない種もある。；配水池は浄水場でつくった水道水を一時的にためておく大きな池である。；このため、基本的に日本の水道水には塩素消毒副生成物も含まれている。；また、熊谷市の水道水は他の同規模の都市と比較して味が良いことで知られる。；古泉は論外で、俺は自分で茶を滝れるくらいなら水道水で我慢するね。；そして7年後、首都パリにも50年間の水道水を供給する契約を締結した。；政府による水道水価格の上限設定はすでにISDSの標的にされている。；仕方がないのでコップに水道水を入れて、それを巫女子ちゃんの前に置いた。；勿論中に入っているのは水道水ではなくおいしそうな麦茶である。；水道水に含まれる銅は微量であり、通常では考えられない例と考えられている。；この湖では水道水の原水になるため水泳、釣りなどが禁止されている。；スカリーはモルダーのアパートの水道水に何かが混入しているのを発見する。；だから、それを緩和するために中性の水道水を注入して取り替えてやる。；東京で暮らすようになって、まず最初に感じたのが、水道水の不味さだった。；ギリシャでは、一部の島を除くほとんどの場所で、水道水を飲むことができる。；水道水や電気の使用は制限され、郵便は配送されず、鉄道は運行されなかった。；コップを手にとるが、水道水がいかにもまずそうに思えてきた。；これは消費者が水道水の味を嫌うか自身の持つ味覚によるものだとしている。；別の一部の住民は水道水にガソリンが混じっていることに気付いた。；水道水などで目を洗う際にしみて痛くなるのは、この浸透圧の作用による。；なお、衛生状態は近隣諸国に比べて良く、水道水を飲むことも可能である。；多くの低所得家族は水道水を飲むことを避けているが、病気の原因になるのではないかと恐れているためである。；筑後川から取水した水道水を、大牟田市北部・東部地域へ供給している。；米国では何も添加していない水道水を用いるものが多いが、現在日本では製造されていない。；缶体を持たないので、水道水の圧力のまま用いることができる。；ただし、設備の故障に伴い一時期水道水の沸かし湯で営業していたこともあった。；水道水は20世紀に多くの地域で一般的になり、現在では主に貧困層で不足している。</t>
        </is>
      </c>
      <c r="J4337">
        <f>HYPERLINK("https://www.weblio.jp/content/水道水", "词义详情")</f>
        <v/>
      </c>
      <c r="K4337">
        <f>HYPERLINK("https://yourei.jp/水道水", "查看例句")</f>
        <v/>
      </c>
    </row>
    <row r="4338">
      <c r="A4338" t="inlineStr">
        <is>
          <t>炊飯器</t>
        </is>
      </c>
      <c r="B4338" t="inlineStr">
        <is>
          <t>成功</t>
        </is>
      </c>
      <c r="C4338" t="inlineStr">
        <is>
          <t>読み方：すいはんき
飯を炊くのに用いる、電気釜(がま)・ガス釜など。</t>
        </is>
      </c>
      <c r="F4338" t="inlineStr">
        <is>
          <t>ih炊飯器；用炊飯器</t>
        </is>
      </c>
      <c r="H4338" t="n">
        <v>29</v>
      </c>
      <c r="I4338" t="inlineStr">
        <is>
          <t>昨夜のうちに米をといで用意しておいた炊飯器のスイッチを入れる。；横に置かれた炊飯器からは白い湯気が立ち、保温のランプが光っている。；台所に入ると、炊飯器が仕事をしている以外は何の用意もしていないのが目に入る。；炊飯器の蓋も開いたままだから、食事の支度もしていないのだろう。；タイル張りの流しの隣の作業台には、炊飯器やガス台が並んでいる。；クク電子は主に小型の白物家電で、特に圧力炊飯器を開発製造している。；しかし使用する機種によっては内釜や炊飯器本体を傷める可能性もある。；石油王と呼ばれるキャラクターが人気で、炊飯器を使って料理をする事が多い。；空のどんぶりを手渡され、炊飯器のある棚へ向かおうとしたのだろう。；これは自動炊飯器時代の今日でも変わりありません。；炊飯器に洗った米を入れ、用意した調味料をすべて合わせ静かに注ぐ。；もう一度ホットミルクを作りながら、その間に米を洗って炊飯器にセット。；でも炊飯器のスイッチを入れただけでも上出来かもしれないと私は自分に言い聞かす。；炊飯器を開けた瞬間に私は飛び退いたが、幾分かは肺を直撃したに違いない。；まさかコンロは持ち込めないから、だったら炊飯器一つでやってやる、と。；彼は持参してきた炊飯器にといだ米をいれ、スイッチを押した。；だが実際は炊飯器や電子レンジなどの家電で、しかも本体は娘のところへ送っていた。；炊飯器に似た容器に入っており、棒状のもので任意の量を取り出す。；東京からもってきた電子炊飯器を使うと、沸点が低くて米が生煮えになる高地だ。；台所を覗いたが、炊飯器が湯気を吹き出しているだけで何の用意もされていなかった。；羽川家にあった炊飯器は、相当な年代ものだったので、これは密かに期待できる。；体調の維持管理のため、ツアー先に炊飯器を持って行きご飯を炊いている。；お米は炊飯器のスイッチを入れる三十分前に洗って水加減をする。；炊飯器のセットに気を良くした俺は、気を取り直して今度は味噌汁に挑むことにする。；のような形の炊飯器は1930年代にはすでに製品化されていたものの、価格があまりにも高いためにこれも一般に普及するまでには至らなかった。；だから、炊飯器の三合の目盛りでは水が多過ぎたのだ。；その後1955年に発売された電気炊飯器に対抗して、同年末にはガス自動炊飯器が発売されている。；練習から戻るとおかずがあって、炊飯器から米飯をよそって食べる生活を送る。；その後、三菱電機が1967年に保温機能を備えた炊飯器を発売する。</t>
        </is>
      </c>
      <c r="J4338">
        <f>HYPERLINK("https://www.weblio.jp/content/炊飯器", "词义详情")</f>
        <v/>
      </c>
      <c r="K4338">
        <f>HYPERLINK("https://yourei.jp/炊飯器", "查看例句")</f>
        <v/>
      </c>
    </row>
    <row r="4339">
      <c r="A4339" t="inlineStr">
        <is>
          <t>随筆</t>
        </is>
      </c>
      <c r="B4339" t="inlineStr">
        <is>
          <t>成功</t>
        </is>
      </c>
      <c r="C4339" t="inlineStr">
        <is>
          <t>読み方：ずいひつ
自己の見聞・体験・感想などを、筆に任せて自由な形式で書いた文章。随想。エッセー。</t>
        </is>
      </c>
      <c r="D4339" t="inlineStr">
        <is>
          <t>随筆春秋；随筆家；随筆風；随筆類；随筆等</t>
        </is>
      </c>
      <c r="E4339" t="inlineStr">
        <is>
          <t>エッセイ；エッセー；随想；随想録</t>
        </is>
      </c>
      <c r="F4339" t="inlineStr">
        <is>
          <t>安斎随筆；翁随筆；エリア随筆；昼夜随筆；同人誌随筆</t>
        </is>
      </c>
      <c r="G4339" t="inlineStr">
        <is>
          <t>随筆集；随筆百花苑</t>
        </is>
      </c>
      <c r="H4339" t="n">
        <v>29</v>
      </c>
      <c r="I4339" t="inlineStr">
        <is>
          <t>これは冒険物語ではなく宗教などをテーマにした随筆で構成されている。；巻末には収録された各随筆の作者プロフィール・出典が記録されている。；しかしこの説明では、実はまだ随筆であって論文にはなっていないのである。；江戸時代初期の随筆にも三方地域の名物としてウナギが紹介されている。；そうしたこともあって、内田百閒らの随筆で敬意を持って扱われている。；でこう考えて来ると今日の随筆は実にエッセイのことに他ならなかったのだ。；生涯に約30編の戯曲と10数編の小説のほか評論随筆などを執筆した。；この話はある犯罪随筆で読んだが、私はその植物の名前を知らない。；自己の戦争体験を元に手記・随筆・小説を描いた「兵隊作家」のひとり。；日々の出来事を綴る日記ではなく思いついたアイデアを書く随筆である。；流石、と読者に膝を打たせるほどの光った随筆を書きたい様子なのである。；石田の随筆の内容は、当時の酒税法に違反する内容であったためである。；また容貌が丸谷才一に酷似していることを丸谷から随筆の材料にされた。；メンケンは多くの随筆や記事でアメリカ人の嗜好と文化の狭さを批判した。；戦争中も筆を置くことはなかったが、この時期は童話よりも随筆を書いている。；風刺的な時代批判を含む詩・随筆などは、厭世観を示すともいわれる。；小説たるも随筆たるも旨とする処は男女の仲のいきさつを写すなり。；随筆春秋では、以前から、インターネットの活用にも力点を置いている。；随筆というものが、どんなものだか、わからなくなってしまったのである。；僕が時々書く詩だの随筆だのは、見当る限り読んでるとのことだった。；これはドレイク・ホカンソンが著した写真入り随筆と歴史の本だった。；随筆大成本などと重複するところが一部あるが、内容には相違がある。；また、吉田兼好が記した随筆「徒然草」第十八段にもその名が見られる。；心も体もひまな私は虫ぼしの本を机に並べて随筆みたいなものを初めて書いてみた。；随筆動画は、映画の構造と言語を利用して議論を発展させていく。；その後脚本家を辞してテレビから離れ小説・随筆などを発表している。；著書には、随筆と短編小説が一冊の著書の中に混在した作品がある。；江戸時代に入ると、化け猫の話は各種の随筆や怪談集に登場するようになる。；寺尾博士の随筆は、之まであまり認められていないが、良質なものである。</t>
        </is>
      </c>
      <c r="J4339">
        <f>HYPERLINK("https://www.weblio.jp/content/随筆", "词义详情")</f>
        <v/>
      </c>
      <c r="K4339">
        <f>HYPERLINK("https://yourei.jp/随筆", "查看例句")</f>
        <v/>
      </c>
    </row>
    <row r="4340">
      <c r="A4340" t="inlineStr">
        <is>
          <t>水分</t>
        </is>
      </c>
      <c r="B4340" t="inlineStr">
        <is>
          <t>成功</t>
        </is>
      </c>
      <c r="C4340" t="inlineStr">
        <is>
          <t>読み方：すいぶん
１成分として含まれている水の量。みずけ。
２経穴の一。へその真上約2センチのところ。夜尿症・膀胱炎(ぼうこうえん)などの治療点。</t>
        </is>
      </c>
      <c r="D4340" t="inlineStr">
        <is>
          <t>水分量(4%)；水分を多く；水分摂取；水分不足；水分含有量</t>
        </is>
      </c>
      <c r="E4340" t="inlineStr">
        <is>
          <t>湿気；湿度；水気；潤い；湿り気</t>
        </is>
      </c>
      <c r="F4340" t="inlineStr">
        <is>
          <t>余分な水分；必要な水分；十分な水分；水分含有量；水分貯留</t>
        </is>
      </c>
      <c r="G4340" t="inlineStr">
        <is>
          <t>水分補給；水分神；水分活性；水分神社；水分れ公園</t>
        </is>
      </c>
      <c r="H4340" t="n">
        <v>29</v>
      </c>
      <c r="I4340" t="inlineStr">
        <is>
          <t>保温する場合も水分と油の比率が変化しないように注意する必要がある。；具体的な指導方法は、尿の我慢のさせ方や、水分の取り方の調整がある。；これらの水分がエンジン内部の部品に錆や腐食を発生させる原因となる。；またチランジア属などには霧・露から水分を吸収しているものがある。；空気に生じられる存在であり、空気が液化することによって水分となる。；ただし、このような環境下の場合、同時に大量の水分を失ってしまう。；また試料や重溶媒に水分が含まれてしまうことは多くの場合避けられない。；いずれにしても、身体の水分を失わせる方向にカフェインは作用する。；この圃場容水量の状態から、植物が利用できる水の量を有効水分量という。；一方で好気性菌であるために、過剰な水分がある環境下でも繁殖しない。；目の水分と反応して塩化水素および有機酸を発生するため催涙性を持つ。；海上の高気圧は含んでいる水分が多いためさらに雲は生じやすくなる。；どの貝を使うかによって貝から染み出る水分の量が変わり味に影響する。；腎臓の機能が発達している為、老廃物の排出の際の水分の損失が少ない。；光合成や空気中の水分に依存するため大気汚染に弱いことも指摘されている。；組織のほとんどが水分からできている点はクラゲ類と同様である。；白ワインは、ゆっくりとした調理を行うときの水分としても使用される。；やがて一帯が飽和状態となり、空気中の水分が霧となって発生する。；このガスと周囲の空気との境界で空中の水分を凍らせ白い雲を作る。；越冬時の温度・水分条件はかなり微妙で、越冬中の枯死率は低くはない。；飼育で気をつけなければいけないことは高温と水分を保つことである。；実際には、水分の摂取が不足すると同時に喪失が進行することも多い。；水分が多い場合は液状になることもあり、その場合は下痢といわれる。；プロはこれに備えるため中古ピアノを購入する時は木材水分計を使用する。；ただし、水分が不足すると葉の先端から枯れてくるので見栄えは悪くなる。；大きな雲は狭い湖と同じくらいの量の水分を含んでいる。；これは嘔吐物に水分を補給して排出しやすくするための働きと考えられる。；これで水分が無くなっているが、量や器具、室温等で異なる場合がある。；新生姜で作る場合は水分が多いので薄切りにしてから脱水することもある。</t>
        </is>
      </c>
      <c r="J4340">
        <f>HYPERLINK("https://www.weblio.jp/content/水分", "词义详情")</f>
        <v/>
      </c>
      <c r="K4340">
        <f>HYPERLINK("https://yourei.jp/水分", "查看例句")</f>
        <v/>
      </c>
    </row>
    <row r="4341">
      <c r="A4341" t="inlineStr">
        <is>
          <t>随分</t>
        </is>
      </c>
      <c r="B4341" t="inlineStr">
        <is>
          <t>成功</t>
        </is>
      </c>
      <c r="C4341" t="inlineStr">
        <is>
          <t>読み方：ずいぶん
［形動］［文］［ナリ］
１ふさわしい程度を超えているさま。また、いちじるしいさま。並でないさま。過分。相当。「—な御見舞をいただきました」「貯金も—な額になった」
２人に対する態度や言動が度を過ぎているさま。非常識。「そんなことを言うなんて—な奴だ」
［副］
１いちじるしいさま。多く、予想外だとか不本意だとかいう気持ちをこめて用いる。非常に。だいぶ。かなり。「年の割には—（と）老(ふ)けて見える」「—（と）大げさなことをいう人だ」
２その人の能力・身分・立場などにふさわしいさま。また、事態がある状況にふさわしくなっていくさま。分相応に。それなりに。「しっかり勉強すれば、成績も—（と）よくなるものだ」
「将来立派な者にさえなれば、—照子の婿(むこ)にもしてやる」〈谷崎・悪魔〉
３その人の置かれている状況の中で最善を尽くすさま。できるだけ。なるべく。「—（と）養生してください」「—（と）努力してみましょう」
４（別れの挨拶などで用いる、古い言い方）せいぜい。
「もう御別れになるかもしれません。—御機嫌よう」〈漱石・坊っちゃん〉
［名］その人の能力・身分・立場などにふさわしいこと。
「我は此の宗に帰すれども、人はまた彼の宗に志す。共に—の益(やく)あるべし」〈神皇正統記・嵯峨〉</t>
        </is>
      </c>
      <c r="D4341" t="inlineStr">
        <is>
          <t>随分長い；随分ひどい；随分長く；随分多い；随分古い</t>
        </is>
      </c>
      <c r="E4341" t="inlineStr">
        <is>
          <t>よく；大；最も；非常；非常に</t>
        </is>
      </c>
      <c r="F4341" t="inlineStr">
        <is>
          <t>随分苦しい；随分色々；随分久しい；随分困；随分心細い</t>
        </is>
      </c>
      <c r="H4341" t="n">
        <v>29</v>
      </c>
      <c r="I4341" t="inlineStr">
        <is>
          <t>随分家族が多いから、それだけの物を受けなくてはならなかつたのです。；まあいろいろ申しましたが、これで分らない部分もずい分ありましてね。；事故の規模が明らかにされたのは事故から随分時間がたってからであった。；豊田泰光がこのしぶとさを随分勉強させてもらったと著書で述べている。；君は三千子さんをよく知っているのだろうが、随分だらしのない娘だね。；しかし文章では随分ひどいことを書いているのを見ることがあった。；親の前で「随分派手に身を持つて」と言ふ様な女でなくては、いけない。；だが、若い日本人には、科学知識の豊富なものが随分と沢山できてきた。；余程盛大なもので随分一日泊って見ただけの価値は充分にございました。；実は随分前にドリーを追って隔離棟へ行ったが戻ってこなかったという。；さあ大変だ、世の中には山の好きな奴が随分沢山あるものだと思いました。；彼はまたいま隊の厩にいる馬の蹄がずい分大きいことにびっくりしていた。；ただこの協奏曲の着想は、随分以前のものであることを伝えておきたい。；聞くところによれば、造船業者との関係が随分怪しいと伝えられておる。；と自分の心で決めてしまっていたものですから、随分たまらなかったのよ。；もちろん、私の家にも面白い時も賑やかな折も随分あるにはあります。；私は結局お遊びの相手だったのかしらと、ずい分疑心暗鬼に陥ったものよ。；ただ技巧のことばかりしかいわれないのみならず、随分無理がありました。；あなたは、炉の火のそばで、ずい分おそくまで話をしながら坐っていた。；私共もあちらこちらに知って居る人があるので随分金を取られました。；僕は随分迷ったのですが、でも僕の心は強く先生の方に惹かれました。；デヴィッドが出かけたきり、ずい分長い間戻ってこないのが気にかかる。；随分遠まわりをして、彼はやっと口笛のしていた場所へ出ることが出来た。；なかには今日でも見られないような、随分しっかりした人物もありました。；随分古くからそこにいるのだそうで、家内揃ってよく写しに行きました。；おや随分遅くなりましたね、今夜はお話をこのくらいにして寝ましょう。；私も今までずい分、人を裏切ったり、裏切られたりしながら生きてきた。；大の男でも、胸の方は筋彫りだけで止めてしまうのが随分あります。；それにさ随分いろいろの為になる言葉を聞いて来たじゃアないか。</t>
        </is>
      </c>
      <c r="J4341">
        <f>HYPERLINK("https://www.weblio.jp/content/随分", "词义详情")</f>
        <v/>
      </c>
      <c r="K4341">
        <f>HYPERLINK("https://yourei.jp/随分", "查看例句")</f>
        <v/>
      </c>
    </row>
    <row r="4342">
      <c r="A4342" t="inlineStr">
        <is>
          <t>水平</t>
        </is>
      </c>
      <c r="B4342" t="inlineStr">
        <is>
          <t>成功</t>
        </is>
      </c>
      <c r="C4342" t="inlineStr">
        <is>
          <t>読み方：すいへい
［名・形動］
１静かな水面のように平らなこと。また、そのさま。「—な地面」「—にならす」
２重力の方向と直角に交わった方向。「—に綱を張る」
３水準器。水盛(みずもり)。</t>
        </is>
      </c>
      <c r="D4342" t="inlineStr">
        <is>
          <t>水平方向(11%)；水平飛行(5%)；水平線(5%)；水平移動；水平距離</t>
        </is>
      </c>
      <c r="E4342" t="inlineStr">
        <is>
          <t>面；標準；水準；平面；平坦</t>
        </is>
      </c>
      <c r="F4342" t="inlineStr">
        <is>
          <t>水平位置；水平舵；水平状態；水平式；水平力</t>
        </is>
      </c>
      <c r="G4342" t="inlineStr">
        <is>
          <t>水平尾翼；水平社；水平面；水平爆撃；水平対向エンジン</t>
        </is>
      </c>
      <c r="H4342" t="n">
        <v>29</v>
      </c>
      <c r="I4342" t="inlineStr">
        <is>
          <t>航空機は離陸したのち、ある一定の高度に達してから水平飛行を始める。；人間の足で昇降可能な高さをもつ、いくつもの水平な段に分割されている。；水平飛行用のエンジンとは別に、垂直離着陸専用のエンジンを持つもの。；先に行くと水平になり、その先端がわずかに上を向くのを露受け葉という。；畑の畝のように、高低のある状態が水平に続く物を畝と呼ぶ場合もある。；縦は主に垂直や前後の方向を、横は主に水平や左右の方向を指す語である。；アテンダント側からは緊急停止の他、水平復帰や回転制御も可能である。；その設計は、ボイラーを格納した円筒が中心に水平に置かれた形である。；水中および空中を、イカのように水平に滑走して槍状の頭部で攻撃する。；葉のつく枝は往々にして水平に伸び、互生の葉は左右に広がる傾向がある。；結晶池で塩が堆積した後は収穫機等で水平に塩の層を削り取り採塩する。；これらの恒星はHR図の上部で主系列からほぼ水平な進化トラックを進む。；上記の区分は水平規模で区分したものであるが、継続時間とも相関性がある。；そのような国では、7 を書くときに垂直の線に水平の線を入れて区別する。；ドームは、アーチの頂部を中心として水平に回転させた形状をしている。；また、茎から水平に枝を伸ばし、その先端に芽が生じて新しい株を作る。；湖の面積の約5割が水深5m以上であり、湖底はほぼ水平となっている。；一定速度で水平飛行しているとき、飛行機に働く力はすべて釣り合っている。；水平線が見えるようにするには、水平鏡のシェードを裏返す必要がある。；この、棚網の持つ水平のシートがより発展するとサラグモ科の皿網となる。；上昇、下降だけでなく横方向への水平移動なども行うことができる。；簡単に言えば上部に渡されているレールや溝の付いた水平材のことである。；糸を重ねてできた膜を枝葉の先端に水平に張り、クモはその上に乗る。；翼は風向に対して水平によけるようにして広げ、揚力を得る機構である。；水平パリティとは異なり対角線パリティは専用のディスクに格納される。；彼らの社会構造はこのようにしてブリテン諸島全体に水平的に拡大していった。；前面には、前照灯・尾灯がケーシング中に水平に並べて配置されている。；実験は、まずリング面を水平にして回転軸を東西方向になるように設置する。；現在最も一般的な、水平に引かれた五本の線を用いる記譜法である。</t>
        </is>
      </c>
      <c r="J4342">
        <f>HYPERLINK("https://www.weblio.jp/content/水平", "词义详情")</f>
        <v/>
      </c>
      <c r="K4342">
        <f>HYPERLINK("https://yourei.jp/水平", "查看例句")</f>
        <v/>
      </c>
    </row>
    <row r="4343">
      <c r="A4343" t="inlineStr">
        <is>
          <t>水平線</t>
        </is>
      </c>
      <c r="B4343" t="inlineStr">
        <is>
          <t>成功</t>
        </is>
      </c>
      <c r="C4343" t="inlineStr">
        <is>
          <t>読み方：すいへいせん
１空と海面とが接して見える平らな線。
２重力の方向と直角に交わる線。</t>
        </is>
      </c>
      <c r="D4343" t="inlineStr">
        <is>
          <t>水平線上(11%)；水平線下；水平線近く；水平線以遠；水平線付近</t>
        </is>
      </c>
      <c r="E4343" t="inlineStr">
        <is>
          <t>地平線；地平；スカイライン；空際；視地平</t>
        </is>
      </c>
      <c r="F4343" t="inlineStr">
        <is>
          <t>遠い水平線；遠く水平線；はるか水平線；人工水平線；レーダー水平線</t>
        </is>
      </c>
      <c r="G4343" t="inlineStr">
        <is>
          <t>水平線効果；水平線の彼方に見えるもの</t>
        </is>
      </c>
      <c r="H4343" t="n">
        <v>29</v>
      </c>
      <c r="I4343" t="inlineStr">
        <is>
          <t>水平線よりも草の位置が高いので海岸の断崖上から撮影したと思われた。；新しい太陽が、水平線上に現われてきたような感じを与えたものらしい。；彼女はなおもっと遠くを見ようとするかのように、水平線に目をやった。；水平線上に次第に姿を大きくしていくモンテ・クリスト島が見えていた。；霧の向こうの水平線からどんな不思議なものでも出てきそうな気がしました。；水平線の方を見ると、低くさがった空が大西洋と見わけがつかなかった。；二人は岩の上で、空と海が同じ色になって一緒になった水平線を見つめていた。；広々として、たくさんのものを包みこんでいる水平線がひらけたわけだ。；これらの中間の部分は26本の水平線を引いて25段の層に分かれている。；三人ともそれぞれ双眼鏡を目に当てて南東から北東へと水平線を偵察する。；太陽は一月八日になってようやく水平線の上に顔を出したのである。；集合住宅も、建物は低層に抑え水平線を強調した美しいデザインが多い。；甲板の欄の線と交叉して、上になり下になりして見える遠い水平線がある。；撮影写真から見ても分かるように、水平線が判別出来ない状態である。；大海の真ん中に出て水平線に取り包まれたときとどこも変らぬ地平線だ。；はるか彼方で、腹に太陽を抱いた水平線が、わずかに白みはじめていた。；西村は水雷畑の提督であり敵を発見する水平線上の見張りが得意だった。；黒と黄土色の雲はまだ水平線寄りにあったが、どんどん近づいて来る。；水平線の近く、まるで天の果てはここであると人々に教えているかのように。；女性の身長を表す2本の水平線の間には二進法の 8 が記されている。；濃霧の流れる北西の水平線を、血のように赤い太陽がひくくはっていた。；晴れた日は水平線のあたりを通る汽船がはっきり見えることもあった。；どこか水平線の彼方まで進んで行けば、大きな滝があるのではないだろうか。；沈んでしまった太陽は、水平線の上にさびしげな赤い長いあとを残していた。；カシオペヤ座は北半球の大部分の地域では水平線下に没することがない。；太陽と水平線から太陽の高度角を計測するのが最も一般的である。；午前六時五十分、南方の水平線を望遠鏡で見てゐた者が、突然に叫んだ。；暗くはなっても、彼方の水平線は、空と水との境をはっきりと区分していた。；橋の進む先は、水平線とともに大地の向こう側へと落ちて消えていた。</t>
        </is>
      </c>
      <c r="J4343">
        <f>HYPERLINK("https://www.weblio.jp/content/水平線", "词义详情")</f>
        <v/>
      </c>
      <c r="K4343">
        <f>HYPERLINK("https://yourei.jp/水平線", "查看例句")</f>
        <v/>
      </c>
    </row>
    <row r="4344">
      <c r="A4344" t="inlineStr">
        <is>
          <t>睡眠</t>
        </is>
      </c>
      <c r="B4344" t="inlineStr">
        <is>
          <t>成功</t>
        </is>
      </c>
      <c r="C4344" t="inlineStr">
        <is>
          <t>読み方：すいみん
１ねむること。ねむり。周期的に繰り返す、意識を喪失する生理的な状態。「—をとる」「—が足りる」「—不足」
２活動を休止していること。「—状態」
[補説]書名別項→睡眠</t>
        </is>
      </c>
      <c r="D4344" t="inlineStr">
        <is>
          <t>睡眠中(10%)；睡眠時(3%)；睡眠状態(2%)；睡眠者；睡眠波</t>
        </is>
      </c>
      <c r="E4344" t="inlineStr">
        <is>
          <t>お休み；睡り；ねね；スリープ；御寝</t>
        </is>
      </c>
      <c r="F4344" t="inlineStr">
        <is>
          <t>深い睡眠；十分な睡眠；持続睡眠；短い睡眠；睡眠導入</t>
        </is>
      </c>
      <c r="G4344" t="inlineStr">
        <is>
          <t>睡眠不足；睡眠時間；睡眠剤；睡眠障害；睡眠導入剤</t>
        </is>
      </c>
      <c r="H4344" t="n">
        <v>29</v>
      </c>
      <c r="I4344" t="inlineStr">
        <is>
          <t>健康な人でも睡眠中に強引に覚醒されると同症状が発生する場合がある。；彼らは木の上で生活しまた木の上で睡眠を取りそして木を渡って遊戯した。；主人公は過去にも陥ったことのある現象で、睡眠中に意識を失ってしまう。；こうした子どもたちは、病気のために睡眠の問題をしばしば持っている。；自分の寝床は、睡眠とセックスのためにのみ用いることにすべきである。；重要なのは寝言や睡眠時の異常行動が本人の見ていた夢と一致することである。；睡眠を利用した共有バーチャルリアリティ世界と現実との混乱を描く。；以前よりは多くの時間を睡眠に与えねばならないことさえ今の僕には不幸の種になる。；彼は睡眠と読書を好み、性的不能者であったので子供が無かったという。；目覚めに向けて浅くなっていく睡眠のなかで、僕は父親の足音を聴いた。；特に宴会後の午後遅くになると睡眠が必要だと感じられるようになる。；睡眠改善薬として、睡眠への導入と睡眠の質を改善すると言われている。；睡眠時の緊張や不安を取り除き、寝つきをよくするなどの作用がある。；睡眠のことを話したり考えたりするだけで不安を覚える患者も多い。；なるほど、民衆が半睡眠状態にある間は或はそうであるかも知れない。；彼がこの世で行ったことと言えば、飲食し睡眠し、また起きることです。；この睡眠パターンの提唱者たちが薦める睡眠時間の長さは一様ではない。；ヒプナゴジア状態が睡眠の他の段階と共通している特徴は健忘である。；彼によると脳の働きは非常に効率的となり、睡眠の必要性も減少している。；折原は途中で計5時間ほど睡眠を取ったのが敗因ではないかと述べている。；カスター隊はその夜の残り時間に睡眠を取る前に戦場を整理する任務に向かった。；あくびが出やすいのは、覚醒と睡眠の境界から覚醒に向かうときである。；初期の物語では長い睡眠を誘発する魔法を使用する傾向があった。；また犬も身体を保護するものが無いと睡眠が浅くなりがちである。；睡眠時も高空で短時間の睡眠と滑空を繰り返していると考えられている。；あんなに執念く私の睡眠の邪魔をした 時計は この病院にはないのかつて?；睡眠も長く必要とせず、親の馬より学習能力が高く調教を行いやすい。；また、他にも普段から水分補給や質の良い睡眠などにも意識して生活している。；刺激制御法はベッドや睡眠一般に関連した患者の否定的な反応に対する治療である。</t>
        </is>
      </c>
      <c r="J4344">
        <f>HYPERLINK("https://www.weblio.jp/content/睡眠", "词义详情")</f>
        <v/>
      </c>
      <c r="K4344">
        <f>HYPERLINK("https://yourei.jp/睡眠", "查看例句")</f>
        <v/>
      </c>
    </row>
    <row r="4345">
      <c r="A4345" t="inlineStr">
        <is>
          <t>水面</t>
        </is>
      </c>
      <c r="B4345" t="inlineStr">
        <is>
          <t>成功</t>
        </is>
      </c>
      <c r="C4345" t="inlineStr">
        <is>
          <t>読み方：すいめん
水の表面。みなも。「—に浮かぶ」「—が盛り上がる」</t>
        </is>
      </c>
      <c r="D4345" t="inlineStr">
        <is>
          <t>水面近く；水面に浮かん；水面すれすれ；水面積；水面付近</t>
        </is>
      </c>
      <c r="E4345" t="inlineStr">
        <is>
          <t>海上；海面；水上；湖面；湖上</t>
        </is>
      </c>
      <c r="F4345" t="inlineStr">
        <is>
          <t>静かな水面；黒い水面；広い水面；青い水面；競走水面</t>
        </is>
      </c>
      <c r="G4345" t="inlineStr">
        <is>
          <t>水面波；水面効果；水面拡散面積</t>
        </is>
      </c>
      <c r="H4345" t="n">
        <v>29</v>
      </c>
      <c r="I4345" t="inlineStr">
        <is>
          <t>この絵はその競技に参加したモーターボートが水面を走る様子を描いた絵。；潜水ガモに分類されるが、採食は主に水面で行い潜水はあまり行わない。；人形や船の底部に樟脳を塗ることで水面を動くようにしたものもある。；競走水面の大きさが特徴のひとつで、周辺は木や草で囲まれている。；風や波の力によって、雄花は水面を走るようにして容易に流されてゆく。；また、葉や茎に浮袋を形成して水面に浮くようになっているものもある。；したがって波が起きる要素の少ない条件下では、水面は優れた鏡となる。；彼の提案は採用され、タイン川の船の水面降下用に試作機が設置された。；その際に短距離であれば浮力などを利用し水面を走り抜けることもある。；魚を容器で保護する場合、水の量より水に対する水面の広さに配慮する。；また、江戸中期には広い水面を利用した舟遊びを行う文化が生まれた。；その際に短距離であれば表面張力を利用し水面を走り抜けることもある。；水中で水面に接していればボタンを押す事で水上へ浮上する事ができる。；渇水期には、かつて街道の並木だった松の切り株が水面に現れるという。；空気呼吸は体の左上付近の外套膜が変化した呼吸孔を水面に開いて行う。；ここでは、第1連作の太鼓橋は見えず、池の水面が大きく描かれている。；実際には水面直下をただよっているものも多いので、区別は明確ではない。；関東のレースの中では水面が一番広く、選手間でも走りやすいレース場とされている。；自然界でも、特に風のない時の湖沼の水面は鏡となって景色を映し出す。；アメンボ程度以下の動物の場合、水面を漂うことはさほど困難ではない。；夏・冬ともに横風が吹くことが多く、スタートが難しい水面とされる。；水中ではなく、水面を利用しているものにアメンボやミズスマシがある。；無呼吸で水中を泳ぐもので、顔は水面に必ずつけて競技しなければならない。；海図に記される灯台や島の高さは、その地の平均水面からの高さで表示する。；自機が水面に顔を出している時は、機雷のかわりに上空に各種攻撃を行う。；そのため、水が噴き上がる最高点は、ほぼ霞が池の水面の高さに相当する。；底泥に根を張った地下茎から生じた葉が水面に浮かぶ浮葉植物である。；泳ぎの名手で、水面の上を足を濡らさずに走ることができたともいう。；艦尾水面付近には船体にナックルを付けて水流を抑え、抵抗を低くした。</t>
        </is>
      </c>
      <c r="J4345">
        <f>HYPERLINK("https://www.weblio.jp/content/水面", "词义详情")</f>
        <v/>
      </c>
      <c r="K4345">
        <f>HYPERLINK("https://yourei.jp/水面", "查看例句")</f>
        <v/>
      </c>
    </row>
    <row r="4346">
      <c r="A4346" t="inlineStr">
        <is>
          <t>水曜日</t>
        </is>
      </c>
      <c r="B4346" t="inlineStr">
        <is>
          <t>成功</t>
        </is>
      </c>
      <c r="C4346" t="inlineStr">
        <is>
          <t>読み方：すいようび
「水曜」に同じ。</t>
        </is>
      </c>
      <c r="D4346" t="inlineStr">
        <is>
          <t>水曜日発売；水曜日夜；水曜日以外；水曜日担当；水曜日更新</t>
        </is>
      </c>
      <c r="F4346" t="inlineStr">
        <is>
          <t>隔週水曜日；第三水曜日；毎水曜日；最終水曜日；きょうは水曜日</t>
        </is>
      </c>
      <c r="G4346" t="inlineStr">
        <is>
          <t>水曜日のシリウス；水曜日のカンパネラ；水曜日はまったりダッシュエックスコミック；水曜日のニュース・ロバートソン</t>
        </is>
      </c>
      <c r="H4346" t="n">
        <v>29</v>
      </c>
      <c r="I4346" t="inlineStr">
        <is>
          <t>基本的に新しいソフトは水曜日に配信が開始されるが、一部例外もある。；しかも自分たちが水曜日だと思っている日は島では木曜日だったのである。；店の定休日をセンターに合わせて水曜日にしている店もあるという。；それにこれは月曜日の晩のことで、犯罪の行なわれたのは水曜日です。；そして、水曜日ごとに手紙をよこしてもらいたい、いくら長くてもいい。；当初は水曜日夜の番組であったが、途中で日曜日の朝の番組に変更になった。；水曜日の三時に先方からここにおいでになって、子供を見るんですって。；水曜日に一度だけ放送され、予算の制約もあり、実行できないものもある。；基本的に生放送ではなく放送する週の水曜日に収録を行っていた。；そして水曜日には、いつも「屋敷」へお茶にゆくことにしているのだ。；本作は、多くのCDが発売される水曜日ではなく木曜日に発売された。；プロ野球のシーズン中を含めて、水曜日の放送に不定期で出演していた。；私はいつも水曜日木曜日などという日は特別な感情で朝テーブルの上を見る。；最終週は月・火曜は通常枠で、水曜日以後は2時間に拡大して放送した。；本戦の決勝を除いて、基本的にすべての試合は火、水曜日に行われる。；水曜日の午後からお寝みになったきりなんでございます。；ツアーの期間は2週間であり、各ツアーの始まりは水曜日の15時である。；水曜日には東京の本省から事務官の出張があり、事務官の室へも行った。；のシングルが祝日にあたる水曜日に発売されるのは本作が初となる。；それが水曜日のことで、その四十八時間後というから金曜日の夕方である。；また戦前と同様の毎水曜日に加え、毎土曜日にも衛兵交代式が催された。；同年8月にはマーキー・クラブに毎週水曜日の夜に出演する様になる。；定期的に月に一回、土曜日の夜か稀に水曜日の夜に放送されていた。；BS2での本放送は番組開始時から一貫して毎週水曜日に放送されていた。；然し、それからの水曜日に電話をかけると、今日は忙しいから、という。；この間の水曜日に私がメクリンと一緒に着た桃色のスリップの下にあるのよ。；また、水曜日と金曜日には他の種類も含めすべての油脂を口にしないとされる。；情勢に変化が起こったように感じられたのは、水曜日ごろだった。；すべては水曜日の夜を目標に、計画ができ上っていたのだ。</t>
        </is>
      </c>
      <c r="J4346">
        <f>HYPERLINK("https://www.weblio.jp/content/水曜日", "词义详情")</f>
        <v/>
      </c>
      <c r="K4346">
        <f>HYPERLINK("https://yourei.jp/水曜日", "查看例句")</f>
        <v/>
      </c>
    </row>
    <row r="4347">
      <c r="A4347" t="inlineStr">
        <is>
          <t>推理</t>
        </is>
      </c>
      <c r="B4347" t="inlineStr">
        <is>
          <t>成功</t>
        </is>
      </c>
      <c r="C4347" t="inlineStr">
        <is>
          <t>読み方：すいり
［名］(スル)
１ある事実をもとにして、まだ知られていない事柄をおしはかること。「いくつかの条件から問題を—する」
２論理学で、前提から結論を導き出す思考作用。前提が一つのものを直接推理、二つ以上のものを間接推理という。</t>
        </is>
      </c>
      <c r="D4347" t="inlineStr">
        <is>
          <t>推理する(7%)；推理力；推理ドラマ；推理物；推理ゲーム</t>
        </is>
      </c>
      <c r="E4347" t="inlineStr">
        <is>
          <t>推定；推測；予測；当てる；推察</t>
        </is>
      </c>
      <c r="F4347" t="inlineStr">
        <is>
          <t>名推理；推理世界；推理能力；推理合戦；推理作家</t>
        </is>
      </c>
      <c r="G4347" t="inlineStr">
        <is>
          <t>推理作家；推理力；推理小説家；推理もの；推理漫画</t>
        </is>
      </c>
      <c r="H4347" t="n">
        <v>29</v>
      </c>
      <c r="I4347" t="inlineStr">
        <is>
          <t>そこで私はあることから明智が犯人ではないかと疑い、推理を披露する。；当時雑誌の付録などで人気を上げた推理クイズを映像化した番組である。；人狼ゲームでは得意の推理力とパッションで多数の番組に出演している。；その推理法は鋭い直感力をもとにするものでブラウン神父の系統に近い。；だがその推理がどの方角を向いているのか、私には思いもよらなかった。；我々はまだ結論を掴んでいないが、それは推理のみが到達できるもの。；それを踏まえて改めて事件を「推理」することは、裁判批判を意味した。；私は、嘘を発見すると、この嘘が何のためであるか推理にかかった。；マープルは犯人を分かっていると思い、その推理を証明しようとする。；推理にはっきりしないところがありましたら、どうぞ口を出してください。；それについて、私は更らに、私の観察と推理とを申述べねばなりません。；彼が行ったさまざまな実験結果と、これらの推理は合致すると主張している。；殺人者の犯罪を捜査に来た探偵は誰か、推理させる内容になっている。；それと同じ事が、もう一つの推理にも起らないとどうして断言出来よう。；初期の作品は伝統的な推理小説だったが、近年はスリラーに転向している。；総合推理のできる者が五〇いれば、分析推理のできるものはひとりいるだけ。；国際推理作家協会は、1986年に設立された国際的な推理作家の団体。；つまりフォックスは各ハンターの推理をゲームの最後まで知ることはない。；血統と展開と騎手で推理し、しばしば長距離の逃げ馬を的中させていた。；私自身の失敗を恥じることを忘れて、彼のこの奇怪な推理に耳を傾けた。；推理が完了するまで、集められた登場人物たちはもとの世界に戻ることはできない。；「なるほど面白い推理ですね」と大江山警部は大きく頭をふって云った。；読みとは一般に、隠れて見えない情報を直接見える情報をもとに推理することをいう。；最も好きな推理作家として英国のアンドリュー・ガーヴの名を挙げている。；謎の行動や物体がVTRで紹介され、なぜこのようなものがあるのかを推理。；この能力こそ遡る推理、僕が分析推理と口にしたときに意図していることだ。；僕が君の書きたがるような理想の推理家だとすればね。；観客も役者と同じ目線で推理することで舞台に参加できるとされる。；ただし、何の役にも立たないカードや推理のミスリード目的のものもある。</t>
        </is>
      </c>
      <c r="J4347">
        <f>HYPERLINK("https://www.weblio.jp/content/推理", "词义详情")</f>
        <v/>
      </c>
      <c r="K4347">
        <f>HYPERLINK("https://yourei.jp/推理", "查看例句")</f>
        <v/>
      </c>
    </row>
    <row r="4348">
      <c r="A4348" t="inlineStr">
        <is>
          <t>吸う</t>
        </is>
      </c>
      <c r="B4348" t="inlineStr">
        <is>
          <t>成功</t>
        </is>
      </c>
      <c r="C4348" t="inlineStr">
        <is>
          <t>読み方：すう
［動ワ五（ハ四）］
１気体や液体を、口や鼻からからだの中に引き入れる。「大きく息を—・う」「タバコを—・う」「蚊が血を—・う」「蜜(みつ)を—・う」
２口に引き入れるようにして含む。また、接吻(せっぷん)する。「赤ん坊が指を—・う」「口を—・う」
３引き付けるようにして中に取り込む。吸引する。「この掃除機はよくごみを—・う」
４水分などをしみ込ませて取る。吸収する。「地面が水を—・う」
５引き寄せる。引き付ける。「磁石が鉄を—・う」
→飲む［用法］
[可能]すえる</t>
        </is>
      </c>
      <c r="D4348" t="inlineStr">
        <is>
          <t>吸うまい</t>
        </is>
      </c>
      <c r="E4348" t="inlineStr">
        <is>
          <t>吸収；喫煙；喫する；取り込む；吸引</t>
        </is>
      </c>
      <c r="F4348" t="inlineStr">
        <is>
          <t>煙草吸う；本吸う；一服吸う</t>
        </is>
      </c>
      <c r="H4348" t="n">
        <v>29</v>
      </c>
      <c r="I4348" t="inlineStr">
        <is>
          <t>あなたが御病気にもかかわらず酒をのみ煙草を吸っていると聞きました。；俺は俺のそうしたものを窓のなかへ吸いとられているのではなかろうか。；彼の吸っている煙草がホープであることにふと気づいたからでもあった。；また強念者ともいえど死亡しかねないほど魂を吸われる場合もあった。；動いたと見えたのは一瞬で、すぐに闇に吸われて見えなくなってしまった。；そのため、赤ん坊から毒を吸いだした妻が影響を受ける危険はなかった。；その間、俺は窓を開けて煙草を吸いながら、ケイとのことを考え続けた。；またこの種は大型動物の糞から汁を吸う習性があることが知られている。；どんなことから、ハチがミツを吸いにゆく花と話をするのがわかったか?；こういう危地に陥ちた場合、かれは必ず数度の息を静かに吸ってかかる。；食事のときは一々席を立つのも面倒だからむろんそのまま煙草を吸う。；僕は何も牢にはいったら煙草は吸えぬものと覚悟をきめていた訳ではない。；そういえばさっきからぼくは息を吐くばかりで、まったく吸っていない。；乗ったと思ったら、タバコを半分も吸わないうちに工場の正門についた。；本当に血を吸われてないかもしれないけど、血、吸われてる感じするの。；人間が、血を吸われずに貴族の仲間になるのは不可能だという点以外はな。；通常は磁場に吸いよせられた鉄粉のようなパターンを描くはずなのだが。；それを我慢して吸わないでいるのは健康に悪いということになるのだろうか。；吸われた奴に聞いたことがあるが、途中から、それはいい気持ちだそうだ。；新鮮な外の空気を吸ってくるほど、彼にとっていいことはないでしょう。；その、吸血鬼に血を吸われて殺された人間がそんなにいるっていうのか?；薄暗い中に私が口に吸った煙草の火の光りで、その眼付がちらと見えた。；わたしたちは、冷たい夜の空気を吸って、生きかえったような気がした。；山登りをしているとどこからともなくやってきて人の汗を吸う姿も見られる。；僕は気をつけて見ているが煙草を吸わない人間には温厚篤実の君子が多い。；その清々とした空気はお雪が吸ったことの無いようなものであった。；ただ家は田舎だからさ、女がタバコ吸うなんて考えられないことなんだよ。；女は自分の体液を吸われながら、それを喜びとしている部分もあるらしい。；君は官製品というとすぐまずくて吸えたものではないと決めてかかるんだ。</t>
        </is>
      </c>
      <c r="J4348">
        <f>HYPERLINK("https://www.weblio.jp/content/吸う", "词义详情")</f>
        <v/>
      </c>
      <c r="K4348">
        <f>HYPERLINK("https://yourei.jp/吸う", "查看例句")</f>
        <v/>
      </c>
    </row>
    <row r="4349">
      <c r="A4349" t="inlineStr">
        <is>
          <t>数～</t>
        </is>
      </c>
      <c r="B4349" t="inlineStr">
        <is>
          <t>成功</t>
        </is>
      </c>
      <c r="C4349" t="inlineStr">
        <is>
          <t>読み方：かず
［名］
１物の順序を示す語。また、その記号。数字。「二けたの—」
２個々の事物が、全体または一定の範囲で、いくつ（何回）あるかということを表すもの。数量。「参加者の—を数える」「—多い候補者から選ぶ」「—が合わない」「はしたの—」
３数量や回数が多いこと。多数。「—ある作品の中から選ばれる」「—をこなさないと間に合わない」「—で押し切る」「—を頼む」
４価値あるものとして取り立てて認められる範囲。また、その範囲に入るものとして価値を認められるもの。「こんな苦労は物の—に入らない」
５同類として数えたてられる範囲。仲間。「亡き—に入る」「正選手の—に加える」「子供は—に入らない」
６（多く「の」を伴って）種類などの多いこと。いろいろ。
「—の仏を見奉りつ」〈栄花・鳥の舞〉
［接頭］名詞に付いて、粗末な、ありふれた、安価な、などの意を表す。「—扇」「—雪駄」
[下接語]頭数・稲(いな)数・忌み数・色数・御(お)数・数々・句数・口数・鞍(くら)数・言葉数・字数・品数・手数・亡き数・場数・番数・日数・人数・間(ま)数・物数・物の数・矢数・家(や)数</t>
        </is>
      </c>
      <c r="D4349" t="inlineStr">
        <is>
          <t>数；高；量；額；値</t>
        </is>
      </c>
      <c r="H4349" t="n">
        <v>29</v>
      </c>
      <c r="I4349" t="inlineStr">
        <is>
          <t>グレゴリオ暦はその後数百年かけて各国で採用され、現在に至っている。；また、バクトリア地方から出土した数体の石製女性像が見つかっている。；地元の伝承ではラボックの一人当たりの教会の数では国内最大と言われる。；デザインが年数回更新され、古いデザインのカードは新たに入手できない。；後者はユーザー数などに制限のあるライセンス契約によって提供される。；各テーブルは、エンティティの属性を含む固定数の列を含むことになる。；内蔵するデバイスのスピンドル数で以下のように分類されることもある。；複数の敵をまとめて蹴り落とすと、敵の数に応じて得点に倍率がかかる。；日露両陣営には欧米と南米諸国から数多くの観戦武官が派遣されていた。；葉ではない各点に対しその点の子の数が常に であるような木を分木という。；現役引退後もニューヨークで週に数回英語のレッスンを受けているという。；彗星の発見数が増加してくると、この方法の運用に綻びが生じてきた。；そのほとんどは1年から長くて十数年の非常に短い期間しか持続しなかった。；また、内容語にはたくさんの語が属するが、機能語は数が限られている。；簡単な管理、無制限のユーザー数、無制限のデータサイズなどを特徴とする。；しかし、ケーブルテレビが発達して間もない時期は、局数が少なかった。；フォースの使い手は、平均的な人口に比べて数が非常に限られている。；数世紀前の実験で得られた基礎的なデータですら重要性を失わない。；つまりそうした文明の数を10個だと推定してみせたのである。；つまり、色を表す言葉の数によって、虹の色の区切り方が違うのである。；数名からなるチームで交代しながら走行するものも多い。；また友人の画家の作品を交換や購入によって相当数持っていた。；多くの国で携帯電話の契約数が固定電話の契約数を超えている。；現在世界に存在する言語の数は千数百とも数千とも言われる。；項目は時には数ページから数十ページにもわたる長大なものになる。；その数・収容率と強固な構造は、他国の防空壕と比べても群を抜いている。；しかしながら、これらの集団内での話し手の数は年々減少する傾向にある。；平方根とは、数に対して平方すると元の値に等しくなる数のことである。；CPU類は限られた数の明確で単純な命令しか持っていない。</t>
        </is>
      </c>
      <c r="J4349">
        <f>HYPERLINK("https://www.weblio.jp/content/数～", "词义详情")</f>
        <v/>
      </c>
      <c r="K4349">
        <f>HYPERLINK("https://yourei.jp/数～", "查看例句")</f>
        <v/>
      </c>
    </row>
    <row r="4350">
      <c r="A4350" t="inlineStr">
        <is>
          <t>数学</t>
        </is>
      </c>
      <c r="B4350" t="inlineStr">
        <is>
          <t>成功</t>
        </is>
      </c>
      <c r="C4350" t="inlineStr">
        <is>
          <t>読み方：すうがく
１数量および空間図形の性質について研究する学問。算術・代数学・幾何学・解析学・微分学・積分学などの総称。
２学校の教科の一。数学科。「—の教師」</t>
        </is>
      </c>
      <c r="D4350" t="inlineStr">
        <is>
          <t>数学者；数学教授；数学モデル；数学研究；数学理論</t>
        </is>
      </c>
      <c r="E4350" t="inlineStr">
        <is>
          <t>算術；算数</t>
        </is>
      </c>
      <c r="F4350" t="inlineStr">
        <is>
          <t>現代数学；西洋数学；高度な数学；数学用語；数学講師</t>
        </is>
      </c>
      <c r="G4350" t="inlineStr">
        <is>
          <t>数学的；数学科；数学教師；数学の問題；数学教育</t>
        </is>
      </c>
      <c r="H4350" t="n">
        <v>29</v>
      </c>
      <c r="I4350" t="inlineStr">
        <is>
          <t>ルベーグは を素数だと考えた最後の専門的な数学者だと言われている。；古代の哲学者たちはしばしば現代でいう論理学者や数学者を兼ねていた。；これは両者がともに数学の厳密主義の開始者であった事にも関係する。；これらは数学の知識が必要になるので通常の問題ほど多くは発表されていない。；また一般相対性理論を研究するには数学の訓練が足りないことがわかった。；日本国内および国際的に、数学の進歩・発展のために力をつくしている。；エラトステネス自身も数学および科学において重要な功績をあげている。；このため抽象代数学はそれ以外の数学の分野との間に数々の結びつきがある。；現代数学において基礎的な役割を果たし、幅広い分野に応用されている。；テキサス州の学生は数学で平均より上だが、読むことでは平均以下だった。；の構文は数学で用いられるものによく似せられていることに注意されたい。；この表現は日常生活や数学の中でことわざのように使用されることがある。；だが、社会現象の記述に数学を適用することを全く認めなかったのである。；彼の数学や輪廻転生についての思想はプラトンにも大きな影響を与えた。；垂直性はより一般の数学概念である直交性の特別の場合と考えられる。；エンジニアリングは、数学と科学の機能と利用を重視した設計に適用。；数学内の「形式体系」を研究し応用できる範囲は、数学や計算機である。；通常の数学においても多くの決定不可能問題の例が知られている。；数学上の問題が一段落したのち、新たな見解がいくつか提案された。；数学における群とは、最も基本的と見なされる代数的構造の一つである。；本来あるべき数学はこれを多次元化する試みであると考えられる。；また、数学の能力は特に優れ、それ以外の学業成績も軒並み優秀である。；数学に関わる分野でもいくつかの注目すべき仕事がある。；数学の成績が良くなり、スポーツにも関心を持つようになった。；和算には文化的相違より、西洋数学からみると変わった概念も多くあった。；歴史上有名な数学者の中でもリーマン予想を疑っている人物はいた。；いずれも最高レベルの研究者であるが、特に物理学と数学の研究が有名である。；方程式には様々な種類があり、数学のすべての分野において目にする。；算数・数学は文章題はほとんどと言っていいほどなく、計算が主体である。</t>
        </is>
      </c>
      <c r="J4350">
        <f>HYPERLINK("https://www.weblio.jp/content/数学", "词义详情")</f>
        <v/>
      </c>
      <c r="K4350">
        <f>HYPERLINK("https://yourei.jp/数学", "查看例句")</f>
        <v/>
      </c>
    </row>
    <row r="4351">
      <c r="A4351" t="inlineStr">
        <is>
          <t>数字</t>
        </is>
      </c>
      <c r="B4351" t="inlineStr">
        <is>
          <t>成功</t>
        </is>
      </c>
      <c r="C4351" t="inlineStr">
        <is>
          <t>読み方：すうじ
１数を表すのに用いる記号や文字。アラビア数字（「1、2」など）・ローマ数字（「Ⅰ、Ⅱ」など）・漢数字（「一、二」など）の類。
２統計・成績・計算など、数字によって表される事柄。「—に強い」「—がものを言う」
３数個の文字。
［アクセント］1・2はスージ、3はスージ。</t>
        </is>
      </c>
      <c r="D4351" t="inlineStr">
        <is>
          <t>数字部分；数字列；数字表記；数字キー；数字付き</t>
        </is>
      </c>
      <c r="E4351" t="inlineStr">
        <is>
          <t>数；値；ナンバー；数詞；ディジット</t>
        </is>
      </c>
      <c r="F4351" t="inlineStr">
        <is>
          <t>正確な数字；大きな数字；高い数字；具体的な数字；低い数字</t>
        </is>
      </c>
      <c r="G4351" t="inlineStr">
        <is>
          <t>数字選択式宝くじ；数字付き低音；数字選択式全国自治宝くじ；数字根；数字和</t>
        </is>
      </c>
      <c r="H4351" t="n">
        <v>29</v>
      </c>
      <c r="I4351" t="inlineStr">
        <is>
          <t>はこの文字が点と棒を使った数字を使用していることを最初に指摘した。；かつては、黄色の柱の側面に黒い文字で距離の数字を書いたものであった。；これらの民族に属する者は実際には数字よりもかなり多いと考えられている。；入る数字の表記法を制限して、表記の一部を表示するタイプの問題がある。；とは言え、数字的にはそれほど大きくヒットしたわけではなかった。；数字の100の位は画面の対角線長のインチ単位の1の位を示している。；登録番号の数字部分は山口ナンバー時代と同一の番号を取得している。；このとき、カードの数字を、プレイヤー全員に聞こえるように宣言する。；複数の異なる数字がある場合は、その順番が黒マスの順番を表している。；数字が意味を持つ場合、初期配置の数字の数をさらに少なくすることができる。；水力発電所がある関係で、他の山村よりも所得数字的には上位にあった。；しかし、現代の学者はこの数字は大幅に誇張されたものであると考えている。；いったん消滅した後に再点灯した場合も、消滅した時の数字より小さくなる。；南棟で死亡した民間人は計630人であり、北棟の半分以下の数字だった。；一般路線の系統番号は起点の地名と数字の組み合わせからなっている。；これは国内では低い数字であり、ニューハンプシャーと同程度である。；この数字には、他国の援軍や市民権を持たない兵士は含まれていない。；標準のルール以外の場合、初期配置の数字の数はさらに少なくすることができる。；またこの図はファイル・ランクの各数字の合計が、すべて260になる。；数字の銀行名で、唯一数字の部分の英称が英語読みの銀行であった。；対角線に沿って見た場合、次元面たちは数字通りのグループに分割される。；コーセンの80万という数字は、現在では非常に低い数字とされている。；B群ビタミンのひとつだが、12は発見された順番を表す数字ではない。；一の位と十の位を足して10になる数字を縁起が良いと言って好んでいる。；そして自分のカードの方が大きい数字だった場合に相手のカードを奪う事ができる。；これらの数字は、カスピ海など外洋と接続していない海は含まれない。；なお郊外路線では西・南・北・Mの文字が数字の前に付加される。；情報機関員数は、一般的にその秘密性から正確な数字は不明である。；鈴木家の人々の名前にはそれぞれ数字が含まれている。</t>
        </is>
      </c>
      <c r="J4351">
        <f>HYPERLINK("https://www.weblio.jp/content/数字", "词义详情")</f>
        <v/>
      </c>
      <c r="K4351">
        <f>HYPERLINK("https://yourei.jp/数字", "查看例句")</f>
        <v/>
      </c>
    </row>
    <row r="4352">
      <c r="A4352" t="inlineStr">
        <is>
          <t>図々しい</t>
        </is>
      </c>
      <c r="B4352" t="inlineStr">
        <is>
          <t>成功</t>
        </is>
      </c>
      <c r="C4352" t="inlineStr">
        <is>
          <t>読み方：ずうずうしい
［形］［文］づうづう・し［シク］恥を知らない。厚かましい。「—・く居候をきめこむ」
[補説] 「図図しい」は当て字。
[派生]ずうずうしげ［形動］ずうずうしさ［名］</t>
        </is>
      </c>
      <c r="D4352" t="inlineStr">
        <is>
          <t>図々しい男(5%)；図々しいにも(4%)；図々しいもの(3%)；図々しい女(3%)；図々しいところ</t>
        </is>
      </c>
      <c r="E4352" t="inlineStr">
        <is>
          <t>太い；大柄；傲慢；無礼；生意気</t>
        </is>
      </c>
      <c r="F4352" t="inlineStr">
        <is>
          <t>少し図々しい</t>
        </is>
      </c>
      <c r="H4352" t="n">
        <v>29</v>
      </c>
      <c r="I4352" t="inlineStr">
        <is>
          <t>どこかに人を喰った図々しさを匿し持っている人間のように感じられた。；きっと犯人は図々しく相手を押しまくって成績を上げているに違いない。；もしかすると、僕はもう相当に図々しくなっているんじゃないだろうか?；証拠呼ばわりをして言い抜けをしようなどとは、いよいよ以て図々しい。；それよりも図々しく自分の子供の写真を送りつけてくる神経を疑っていた。；鼠の方ではだんだん図々しくなって、人のいる室にまで進出してきた。；それで女は図々しく編集室へ入って由比さんの机を探していたらしいんです。；そのあまりの図々しさに声を発することができずに秋穂が沈黙していると。；だから君は今はむしろ少し図々しい位に杉子さんに逢うのがいいのだ。；兄のピートルは、天才といっていいほどの手腕と図々しさを備えていた。；図々しかったり、男の人の前に出ると、コロッと態度が変わったりする。；そのうちに黄天は、図々しくそばに寄って来て、手まで握るようになった。；そのため、彼の図々しい計画もさすがに手も足も出なかったのだ。；結婚したい、なんて思うことは、考えてみればかなり図々しいことだ。；僕は追いつめられると、口が軽くなって図々しくなるのかもしれない。；そして、おまけにたった今図々しくも彼女の手を握ろうとさえしたのだ!；助けてもらったのは感謝するが、やはり図々しい嫌な奴のようだ。；あんな図々しい虫どもに、思いどおりのことをさせちゃいけないと考えましてね。；そんな分野に関連して執筆活動をしていれば、図々しくもなるというものだ。；その度笑い転げてはいたが、今思うとなんて図々しい男なのだろう。；世間知らずと多少の図々しさをないまぜにした体で臆面もなく述べ立てた。；何となく、二人の心に図々しく踏み込んでしまうような気がしたのだ。；その態度にも今までの横着な、図々しい感じが全くなくなっていた。；図々しくも、彼らは、私を無視して、こっそり性行為を始めたのだった。；最初の驚きが去ると、相手の図々しさに、腹が立たずにはいなかった。；よくまあ図々しくこの官舎に顔を出せるものだと思っているのが態度でわかる。；誰も彼も、彼の図々しさにおそれをなして、彼を避けて通るようになりました。；ついに泥棒は図々しくも夫婦一緒にいる日曜日に押しかけて来たのである。；彼はどこにいても若干の居心地悪さと、どこか無垢な図々しさを醸し出す。</t>
        </is>
      </c>
      <c r="J4352">
        <f>HYPERLINK("https://www.weblio.jp/content/図々しい", "词义详情")</f>
        <v/>
      </c>
      <c r="K4352">
        <f>HYPERLINK("https://yourei.jp/図々しい", "查看例句")</f>
        <v/>
      </c>
    </row>
    <row r="4353">
      <c r="A4353" t="inlineStr">
        <is>
          <t>数値</t>
        </is>
      </c>
      <c r="B4353" t="inlineStr">
        <is>
          <t>成功</t>
        </is>
      </c>
      <c r="C4353" t="inlineStr">
        <is>
          <t>読み方：すうち
１計算や、計量・計測をして得られた数。
２文字式の中の文字に当てはまる具体的な数。</t>
        </is>
      </c>
      <c r="D4353" t="inlineStr">
        <is>
          <t>数値的(5%)；数値化する；数値データ；数値解；数値演算</t>
        </is>
      </c>
      <c r="E4353" t="inlineStr">
        <is>
          <t>値；絶対値</t>
        </is>
      </c>
      <c r="F4353" t="inlineStr">
        <is>
          <t>実数値；高い数値；具体的な数値；複素数値；低い数値</t>
        </is>
      </c>
      <c r="G4353" t="inlineStr">
        <is>
          <t>数値解析；数値目標；数値予報；数値積分；数値シミュレーション</t>
        </is>
      </c>
      <c r="H4353" t="n">
        <v>29</v>
      </c>
      <c r="I4353" t="inlineStr">
        <is>
          <t>とは、量を数値で表すための基準となる決められた一定量のことである。；また数値に偏りが無いように全体会議でも調整され能力値を決めている。；量の値とそれを表す数値とは異なる概念であり、両者の区別は重要である。；能力値は全13個になり、数値ではなく言葉で表現されるようになった。；このようにフラクタル次元は図形の複雑さを数値で表していると言える。；この実験によりいずれかの数値が1以上でないと消火器と認められない。；ユーザーはその数値を各種のツールを用いることで知ることが出来る。；計算できる範囲で具体的な数値に置き換えていくと、表は次のようになる。；以下ではこの2つの河川に限り理科年表 2006年版の数値を用いた。；彼らはこの数値がこれまででもっとも正確な標高であるとしている。；弾性は性質を表す語であって、それ自体は数値で表される指標ではない。；もし左に数値がない場合は、単に一つ上の列のカラム 1の数値を取る。；数値に符号を前置しない場合は、標準的な解釈としてその数は正である。；この数値は設計主務者の土井の観点から見ても全くの予想外と評された。；数値から意味を解釈する人間の論理は、しばしば嘘と呼ぶことがある。；これはいずれも日本人メジャーリーガーの中ではトップの数値である。；命令の一部の数値は命令コードと呼ばれ、実行すべき処理を指定する。；絞り上の全ての点源からの波の和が積分モデルや数値モデルで計算される。；は数値表現に 多倍長整数 を用いて任意のサイズと精度を実現している。；また正答と一致した数値を記述した場合には2倍の点数の獲得となる。；これら3つの値は公称であるが、他の球場と比較すると数値が合わない。；これは例えば数値が収束しているかどうかを見るのに使われた。；症例数の圧倒的な多さからみてこれがもっとも妥当な数値であろう。；DMCは理論的には数値厳密解を得ることが可能なアルゴリズムである。；医療分野では患者の意識の状態を「意識レベル」という数値で評価する。；数値の右のは、その値が通常の空気における最大値であることを示す。；ほとんどの文書では特に断らない限りは量は実数値を取るスカラー量である。；以来、数値で物事を判断するロボットを毛嫌いするようになったのだった。；試験片寸法や冷却時間などは規格化されて具体的数値が決まっている。</t>
        </is>
      </c>
      <c r="J4353">
        <f>HYPERLINK("https://www.weblio.jp/content/数値", "词义详情")</f>
        <v/>
      </c>
      <c r="K4353">
        <f>HYPERLINK("https://yourei.jp/数値", "查看例句")</f>
        <v/>
      </c>
    </row>
    <row r="4354">
      <c r="A4354" t="inlineStr">
        <is>
          <t>数年</t>
        </is>
      </c>
      <c r="B4354" t="inlineStr">
        <is>
          <t>成功</t>
        </is>
      </c>
      <c r="C4354" t="inlineStr">
        <is>
          <t>読み方：すうねん
2、3か5、6ぐらいの年数。</t>
        </is>
      </c>
      <c r="D4354" t="inlineStr">
        <is>
          <t>数年後(34%)；数年ぶり(2%)；数年ごと；数年以内；数年おき</t>
        </is>
      </c>
      <c r="F4354" t="inlineStr">
        <is>
          <t>数年まえ；数年単位；数年程度；四十数年；数年以前</t>
        </is>
      </c>
      <c r="H4354" t="n">
        <v>29</v>
      </c>
      <c r="I4354" t="inlineStr">
        <is>
          <t>途方もない努力の結果、完全に破壊された街はわずか数年で再建された。；数年の後、彼はイングランド軍の一部の指揮を実際に執るようになった。；おそらく数年後に主要な都市はほとんど破壊されるか放棄されたとみられる。；その数年後にオリエントエクスプレスがこのルートを走るようになった。；近代北海道初の陶磁器生産である箱館焼の生産を開始するが数年で失敗。；数年で周りには対等に相手ができるものがいなくなり、神童と呼ばれた。；数年を経て再びもとの場所から湧出し、この頃から赤梅の湯と呼ばれた。；父の仕事の関係で、家族でアメリカ合衆国およびイギリスに数年滞在した。；そのため海外での施工事例などを参考にし調査研究に数年費やしている。；だが、その後も数年は尊氏との対面は許されずに認知されていなかった。；数年後にはツールで解読されてしまうということを考慮する必要がある。；大量にプリントする場合は枚数にもよるが数年で元が取れる場合がある。；各団体ごとに選出母体となる団体があり、数年に一回程度追加認定がある。；藤巻は数年で引退したため、長く杉浦の元に残ったのは斉藤だけだった。；彼らのなかにはたった数年で驚くほどメジャーなスターになった者も多い。；デビューから数年の間、一度もライブ活動を行っていなかったという。；そして僅か数年のうちに当時世界最大級の二輪車メーカーに急成長した。；彼女はこの数年の作品中で、共作者の一人としてクレジットされている。；それから数年後、とある海岸で2人の少女が太鼓のような音を耳にする。；王の治世は、数年で終わる場合もあれば、数百年にも及ぶこともある。；第7章の出来事から数年後の話だが、具体的な時系列は現時点で不明。；この説は数年に渡ってほかの研究者たちに支持されていた。；第二次世界大戦前後の数年は中止されていたもののやがて復活。；それから数年たったある嵐の夜、立派に育ったメイが山小屋に避難した。；数年の間に位が上がっていることから、朝廷から崇敬されていたことが分かる。；スウィフトはこの数年でますます政治的な活動にのめり込むようになった。；数年後彼は演技指導者として評判になり、たちまちスタジオは有名になった。；普段はおとなしいが、数年ごとに噴出し小さな火山のようになっている。；サバン側は特撮作品に注目しており、数年かけて研究や準備を続けていた。</t>
        </is>
      </c>
      <c r="J4354">
        <f>HYPERLINK("https://www.weblio.jp/content/数年", "词义详情")</f>
        <v/>
      </c>
      <c r="K4354">
        <f>HYPERLINK("https://yourei.jp/数年", "查看例句")</f>
        <v/>
      </c>
    </row>
    <row r="4355">
      <c r="A4355" t="inlineStr">
        <is>
          <t>崇拝</t>
        </is>
      </c>
      <c r="B4355" t="inlineStr">
        <is>
          <t>成功</t>
        </is>
      </c>
      <c r="C4355" t="inlineStr">
        <is>
          <t>読み方：すうはい
［名］(スル)心から傾倒して、敬い尊ぶこと。「心から—する」「偶像—」</t>
        </is>
      </c>
      <c r="D4355" t="inlineStr">
        <is>
          <t>崇拝する(14%)；崇拝者(12%)；崇拝される(2%)；崇拝対象；崇拝してる</t>
        </is>
      </c>
      <c r="E4355" t="inlineStr">
        <is>
          <t>望む；尊敬；感心；敬意；礼拝</t>
        </is>
      </c>
      <c r="F4355" t="inlineStr">
        <is>
          <t>天皇崇拝；女性崇拝；神崇拝；熱烈な崇拝；処女崇拝</t>
        </is>
      </c>
      <c r="H4355" t="n">
        <v>29</v>
      </c>
      <c r="I4355" t="inlineStr">
        <is>
          <t>古くから崇拝されていた神ではないために伝えられる説話は様々である。；祭祀対象が岩であることから、古代の崇拝の形態が残っているといえる。；主にエジプト内に移住した西セム系民族アムル人が崇拝したと見られる。；父の死後、指導者になった金正日は自分自身の崇拝を持つようになった。；政治的、思想的な崇拝の対象であるものや象徴となる物の破壊が行われた。；ほとんど崇拝といってもいいその態度は文壇でも有名なものであった。；父親がギリシャ哲学の崇拝者であったためにソクラテスと名付けられた。；こうした神の多くは人もしくは動物の形をした偶像として崇拝されていた。；そういう資格で、彼女はアレクサンドリアの教会で崇拝されたのである。；国家は国家の崇拝の対象が全能の神に向けられていることを認める。；太陽崇拝が多くの民族で重視される一方で、月崇拝を重視する民族もある。；そして水路清掃の際には彼女に供物が献上されるなどして崇拝を受けた。；次に示すのは、最重要かつ最も広範に崇拝されている神々の概略である。；クリシュナムルティは崇拝者に囲まれたが、その状態を喜んでいなかった。；他の多くの文化と異なり、中国では太陽と月が神格化して崇拝されている。；したがって、その崇拝する神名が名前の一部として機能する場合がある。；イスラエルの民が金の子牛を崇拝した際には、極刑をもって処罰された。；緑と赤の色は、トルクメンの人々により歴史的に崇拝されていた色である。；神の像や仏の像、およびそれを崇拝する行為を指すために使われている言葉である。；表情豊かで生き生きした眼差しが人々に強い印象を与え多くの崇拝者がいた。；ローマ時代には、メリケルテースはこの地域で崇拝される存在となった。；ペトラルカの親友でもあり、ダンテの最も早い時期の崇拝者でもあった。；しかし初めは猫ではなく雌ライオンの頭部を持った姿で崇拝された。；ビルマ仏教の教えからみれば天皇崇拝や戦死者の慰霊祭は邪教であった。；バル=サゴスで崇拝されていた神々の中ではもっとも強大であるという。；バクティは、崇拝する神や師事するグルに自分自身を委ねることである。；その為、闇の者達からは不老不死を与える存在として崇拝されている。；思想的には戦後も天皇崇拝者であり続け、天皇に関する著書も多く出している。；神は、ぐうぞうなどをすうはいに使ってはいけない、と言っておられます。</t>
        </is>
      </c>
      <c r="J4355">
        <f>HYPERLINK("https://www.weblio.jp/content/崇拝", "词义详情")</f>
        <v/>
      </c>
      <c r="K4355">
        <f>HYPERLINK("https://yourei.jp/崇拝", "查看例句")</f>
        <v/>
      </c>
    </row>
    <row r="4356">
      <c r="A4356" t="inlineStr">
        <is>
          <t>末</t>
        </is>
      </c>
      <c r="B4356" t="inlineStr">
        <is>
          <t>成功</t>
        </is>
      </c>
      <c r="C4356" t="inlineStr">
        <is>
          <t>読み方：うら
１植物の葉や枝の先。こずえ。うれ。
「小里なる花橘(はなたちばな)を引き攀(よ)ぢて折らむとすれど—若みこそ」〈万・三五七四〉
２すえ。端。「—弭(はず)」
[補説]古くは「うれ」が単独で用いられたのに対し、「うら」は「うら葉」のような複合形に用いられることが多い。</t>
        </is>
      </c>
      <c r="D4356" t="inlineStr">
        <is>
          <t>末年；末時点；末ごろ；末以降；末息子</t>
        </is>
      </c>
      <c r="E4356" t="inlineStr">
        <is>
          <t>先；最後；結局；これから；端</t>
        </is>
      </c>
      <c r="F4356" t="inlineStr">
        <is>
          <t>明治末；同月末；年度末；後漢末；三月末</t>
        </is>
      </c>
      <c r="G4356" t="inlineStr">
        <is>
          <t>末端；末裔；末尾；末子；末寺</t>
        </is>
      </c>
      <c r="H4356" t="n">
        <v>29</v>
      </c>
      <c r="I4356" t="inlineStr">
        <is>
          <t>アルタイ諸語に属するとする説は、明治時代末から特に注目されてきた。；寺院以外で使用された最初の例は7世紀末に建設された藤原京とされている。；実習生のため妊娠が発覚したら帰国させられると思った末の犯行だった。；その後、優先席部は2005年末にオレンジ色のものに交換されている。；が、ウェールズ公国は、同じ世紀の末にイングランドの統治下に入った。；地上・空・海で繁栄していた爬虫類であったが、白亜紀の末には急減した。；しかしこの唐末の藩鎮とかつての反則藩鎮とは決定的に違う部分がある。；通用停止は慶応2年5月末であり、通用期間は比較的長いものであった。；その後、16世紀末に現在地に落ち着くまでの間、何度か移転している。；微粉末の吸入が問題なのであり、吸入しなければ問題は認められない。；所在は早く失われ、江戸時代末になって現在の大内山陵に治定された。；航空ミッションは従来通り継続されていたが、2016年末に運用を終了した。；同月末に復員し、時計店を開いて時計修理や写真現像の仕事を始める。；このためクランクインは従来より遅い1984年11月末からとなった。；それに伴い、各地で抵抗戦争が19世紀末から20世紀初頭まで頻発した。；こうした理解に変化が生じ始めたのは18世紀末である。；また工事の完了時期が現認可の平成34年度末から令和5年度末に変更された。；同年末にパリに戻ると、のバジールのアトリエで一緒に制作をするようになった。；最初にパンを焼いた日本人は江戸時代の末の江川英龍とされる。；この論は後の明治末年の南北朝正閏問題で重視された神器論に通じるものがある。；これらの武器は19世紀末に標準となったものである。；音節末のは、日本語と異なりと区別して発音しなければならない。；ただし、武光誠のように3世紀末から「大和」を使用する研究者もいる。；ただし2020年5月末までは谷上駅など一部施設を保有していた。；末の息子が、ジョディが死んだと勘違いするほど壮絶な暴力だったという。；また、幕閣と協議した末、信長に「室町殿御父」の称号を与えて報いた。；なお古代九州には7世紀末までヤマト政権とは独立した王権があったとする説もある。；二人の友情はシュンケが1834年末に肺結核で死去するまで続いた。；日本でも平安時代末ころには巡礼が行われるようになった。</t>
        </is>
      </c>
      <c r="J4356">
        <f>HYPERLINK("https://www.weblio.jp/content/末", "词义详情")</f>
        <v/>
      </c>
      <c r="K4356">
        <f>HYPERLINK("https://yourei.jp/末", "查看例句")</f>
        <v/>
      </c>
    </row>
    <row r="4357">
      <c r="A4357" t="inlineStr">
        <is>
          <t>据え付ける</t>
        </is>
      </c>
      <c r="B4357" t="inlineStr">
        <is>
          <t>成功</t>
        </is>
      </c>
      <c r="C4357" t="inlineStr">
        <is>
          <t>読み方：すえつける
［動カ下一］［文］すゑつ・く［カ下二］物をある場所に据えて固定する。「防犯カメラを—・ける」</t>
        </is>
      </c>
      <c r="D4357" t="inlineStr">
        <is>
          <t>設置；設定；装備；固定；設備</t>
        </is>
      </c>
      <c r="H4357" t="n">
        <v>29</v>
      </c>
      <c r="I4357" t="inlineStr">
        <is>
          <t>そこに合計百門の大砲を据え付ける工事をこの夏より行なっております。；観測前に極軸を北半球の場合天の極へ向けて据え付ける必要がある。；この杖を後頭部に据え付けると、杖が頭を骨ごと割り裂き脳を露出させる。；非常に大型で反動も強く、射撃のためには平底船に据え付ける必要があった。；君の必要な新しいものを据え付けるなら、場所はいくらでもある。；大型機械である印刷製本機械や食品製造機械等の生産設備を工場内に据え付ける工事は対象とはしていない。；台場とは、防禦の目的をもって大砲を据え付けるための構造物を指す。；軽量で艦体の甲板をくりぬくこと無く、甲板上に据え付けることで運用が可能なシステムである。；架設工事は塔下層柱を主塔基部に据え付けることから始まった。；黒鉛ブロックの上下には制御棒駆動装置などを据え付ける構造物が取り付けられている。；製作したブロックはクレーン船などで現地に据え付ける。；アイランド頂部並びに直後には各種電子装備を据え付けるためのマストが設けられている。；同じ機械類をオハイオの乗用車工場に据え付けることにしているので、そのリハーサルにもなる。；橋脚を据え付けることに成功したのは、イギリスから借り受けた潜水鐘のおかげだった。；花輪を作るための花を摘むため、近くの森に行き、また祭りの中心となるポールを据え付ける。；これらは、連合軍専用列車を駅に据え付ける際に空気を送ってトイレや洗面台を使用できるようにするため、空気圧縮機が設置された。；手で扱うものの他に、水車小屋内に据え付けるものや、加工機械の部品として取り付けられるものがある。；きみに必要な資材と装備は、外の倉庫と工場にもうほとんど揃っているし、きみに必要なものがあったら、なんでも新しく据え付けるだけの場所はたっぷりある。；そう云う場合には、心のうちに、当時の自分が一図に振舞った苦い記憶を、できるだけしばしば呼び起させるために、とくに天が小六を自分の眼の前に据え付けるのではなかろうかと思った。；観測器具の正確さによって、彼はすぐに風の影響と建物の動きに気付き、観測器具を地下の岩盤の上に直接据え付けるようにした。；三脚を兵と兵の間に置くと、 「とっとと据え付けろ」とせっぱ詰まった声で言った。；原紙を据え付ける謄写版の枠には、保護のために絹のスクリーンがはってありました。；安治川東発電所の増設計画の一部を変更し、同発電所へ据え付ける予定であった発電機を移して新設されたのが春日出第一発電所である。；この旋盤を据え付けると、パンタグラフのような装置によって機械的に生産されるようになった。；この砦には当時の最も強力な大砲で射程距離が1マイル以上ある32ポンド砲を印象的に組み合わせて据え付けることでこの役割を担った。；また76名分の座席を据え付けることもできた。；ソヴィエトの技術をもってすれば、シベリアに遠距離通信設備を据え付けるくらい造作もないことだろう。；これをなしおえた上で、私は、年五〇〇フランで土地を賃借し、その上に工場を建設し、機械、仕事台、旋盤等を据え付ける。；使っている最中にも切り替え可能なものにしようというプランもあったが、最終的にはテレビを据え付けるチルト台に機械式のスイッチを仕込み、セットアップの際に縦横を判別する簡単な機構にとどめることになった。</t>
        </is>
      </c>
      <c r="J4357">
        <f>HYPERLINK("https://www.weblio.jp/content/据え付ける", "词义详情")</f>
        <v/>
      </c>
      <c r="K4357">
        <f>HYPERLINK("https://yourei.jp/据え付ける", "查看例句")</f>
        <v/>
      </c>
    </row>
    <row r="4358">
      <c r="A4358" t="inlineStr">
        <is>
          <t>末っ子</t>
        </is>
      </c>
      <c r="B4358" t="inlineStr">
        <is>
          <t>成功</t>
        </is>
      </c>
      <c r="C4358" t="inlineStr">
        <is>
          <t>読み方：すえっこ
いちばんあとに生まれた子供。兄弟のうちで最年少の子。ばっし。すえこ。</t>
        </is>
      </c>
      <c r="H4358" t="n">
        <v>29</v>
      </c>
      <c r="I4358" t="inlineStr">
        <is>
          <t>父の弟の中では末っ子で、わたし達にとっては兄のような存在と言える。；鷹雄は男ばかり四人兄弟の末っ子で、ひとりだけやや年齢が離れていた。；兄と姉がいる末っ子の私は、いつまでも母の手から逃れられなかった。；家に帰って報告すると、母親と姉、二人の妹と末っ子の弟は喜んでくれた。；女ばかり三人の末っ子ともなると、親の方も甘くもなるしゆるくもなる。；両親には末っ子であるために可愛がられたが、上の兄弟たちと比較された。；その後、二人を捜し当てた末っ子も白いドレスを着て同じく身を投げた。；副隊長はテュバッシュの末っ子だが彼のはそれに輪をかけた代物だった。；こいつがヘイミッシュんとこの末っ子だなんて、信じられるわけがねえ。；それで、ぼくは末っ子でも男だから跡を継いで医者にならなきゃいけない。；末っ子のブリックは前向きな性格だが世間的には風変わりな子供である。；男四人兄弟の末っ子として生まれ、生まれて10日目に父が亡くなった。；三姉妹の末っ子として生まれたものの、両親はまだ幼いうちに離婚した。；さらに末っ子の娘が結婚してすぐに実家に戻って来てしまう。；ただ、末っ子のハンスだけは、ときどきつぶやいてしまうことがあった。；ドラゴンが現れるが王女は末っ子を起こすことができず泣きだしてしまう。；理解できない「末っ子」の死を前にして、お母さんはどうするだろう。；医学部の教授だったジョルジュ・リノシエの3人の娘の末っ子であった。；父と母とのあいだには三人の子供があり、ジュールは末っ子だった。；二人の兄がおり、末っ子の多嘉子は可愛がられて育ったとされている。；結果的に、末っ子の美樹が三姉妹の中でもっとも活躍する選手となった。；お前はこの家の末っ子だが、指を折ってみるともう三十三になる。；兄姉ではなく、末っ子の自分が異世界人の父と同じ力を持って生まれたのだ。；意外だったのは末っ子で、この女の子はまだ五歳になったばかりだ。；末っ子の文太郎は甘ったれで、母もまた彼のいうことならなんでも聞いた。；年の離れた末っ子だった邦昭は、その表情でいつも両親を丸めこんでいた。；小学生になっても、この末っ子はそんな釘なぞに興味を抱く性があった。；被害者の涼子は三人兄妹の末っ子だと、龍村は刑事から聞かされていた。；いつも末っ子あつかいされているから、たまにはお兄さんぶりたいのだ。</t>
        </is>
      </c>
      <c r="J4358">
        <f>HYPERLINK("https://www.weblio.jp/content/末っ子", "词义详情")</f>
        <v/>
      </c>
      <c r="K4358">
        <f>HYPERLINK("https://yourei.jp/末っ子", "查看例句")</f>
        <v/>
      </c>
    </row>
    <row r="4359">
      <c r="A4359" t="inlineStr">
        <is>
          <t>据える</t>
        </is>
      </c>
      <c r="B4359" t="inlineStr">
        <is>
          <t>成功</t>
        </is>
      </c>
      <c r="C4359" t="inlineStr">
        <is>
          <t>読み方：すえる
［動ア下一］［文］す・う［ワ下二］
１物を、ある場所に動かないように置く。「大砲を—・える」「三脚を—・える」
２建造物などを設ける。「本陣を—・える」「関所を—・える」
３位置を定めて人を座らせる。「上座に—・える」
４ある地位や任務に就かせる。「部長に—・える」「見張りに—・える」
５心をしっかりと居定まらせる。「度胸を—・える」「腹を—・える」
６厳しい視線を置きつづける。「目を—・える」
７灸(きゅう)をする。「灸を—・える」
８捺印(なついん)する。「印を—・える」
９鳥などを止まらせる。
「矢形尾の真白の鷹をやどに—・ゑ掻(か)き撫(な)で見つつ飼はくし良しも」〈万・四一五五〉
10植えつける。
「世の中の常の理(ことわり)かくさまになり来にけらし—・ゑし種から」〈万・三七六一〉
[補説]室町時代以降はヤ行にも活用した。→据(す)ゆ
[下接句] 肝(きも)を据える・灸(きゅう)を据える・腰を据える・尻(しり)を据える・腹を据える・御輿(みこし)を据える・目を据える</t>
        </is>
      </c>
      <c r="D4359" t="inlineStr">
        <is>
          <t>据えるべき；据えるべく</t>
        </is>
      </c>
      <c r="E4359" t="inlineStr">
        <is>
          <t>設置；設定；装備；固定；設備</t>
        </is>
      </c>
      <c r="F4359" t="inlineStr">
        <is>
          <t>引き据える；引据える</t>
        </is>
      </c>
      <c r="H4359" t="n">
        <v>29</v>
      </c>
      <c r="I4359" t="inlineStr">
        <is>
          <t>冗談で言っているのかと思ったが、本気でここに腰を据えるつもりらしい。；遺児の中何人をして、信長の跡に据えるかと云うことが大問題であった。；頭の悪い俺の名の一字を頭に据えるより、おまえの一字を頭においた方がいい。；太鼓役に求められるのは、第一に肚の据えよう、第二に判断力であった。；権力を対比させる対象に据えた場合、大衆は権力の影響を被る側である。；これは捕虜の据えもの斬りだったのではないかと推定しています。；新たな鞍上には当時障害で頭角を現し始めていた小島貞博が据えられた。；家族の間で使われる言葉で、子供や孫を中心に据えて家族の自分の立場を表現する。；チリはこれを拒否しているが、メサはこれを政策の中心に据えている。；正しさの基準を外の世界にではなく自分自身の中心に据えること。；王宮の東棟の階段を上っている際に不意に力を失い、近くの椅子に据えられる。；夕方まで沿岸のいろいろな地点に発射台を据える作業がおこなわれた。；父はこの四量半に閉じこもって、宗匠の机を据えることになりました。；立つにも立たれはしないから、しばらく腰を据える覚悟をしました。；舞台の中央には踏段二つある台を据える、その台の後方に伯爵の大椅子をおく。；甲乙ないとなると、古くからいる奴を上へ据える外仕方があるまい?；殺人事件の謎を中心に据えつつ、様々な物語が同時進行するのである。；テーマの紹介時には、動くラルフを中心に据えたCG画面を表示する。；底の部分の石のことを根石といい、最上部に据える石のことを天端石という。；翌1947年には教育基本法が公布・施行されて教育の基本に据えられた。；もちろんその床几に腰を据えるほど、金に余裕があるわけではない。；恐らくは据えるべき尻がないので落付をとる機械に窮しているだろう。；こうしてバンドはバレットの感性をグループの軸に据えるようになる。；瞬間だけど、大きな黒瞳をじっとこっちの顔に据えるのである。；これでようやくこの台一本で腰を据える覚悟が決まった。；攻撃目標を兵器中心に据える悪いくせが出たようである。；ピアノを外套掛けと並べて玄関口に据えるなぞはいかがなものでしょう。；ペップ がどのポジションに据えようと、彼はその位置で最高になるのさ。；その後、漫画執筆を創作活動のメインに据えるために独立し、現在に至る。</t>
        </is>
      </c>
      <c r="J4359">
        <f>HYPERLINK("https://www.weblio.jp/content/据える", "词义详情")</f>
        <v/>
      </c>
      <c r="K4359">
        <f>HYPERLINK("https://yourei.jp/据える", "查看例句")</f>
        <v/>
      </c>
    </row>
    <row r="4360">
      <c r="A4360" t="inlineStr">
        <is>
          <t>空かす</t>
        </is>
      </c>
      <c r="B4360" t="inlineStr">
        <is>
          <t>成功</t>
        </is>
      </c>
      <c r="C4360" t="inlineStr">
        <is>
          <t>読み方：すかす
［動サ五（四）］《「透かす」と同語源》（「腹を空かす」などの形で）空腹になる。「子供がおなかを—・して待つ」</t>
        </is>
      </c>
      <c r="H4360" t="n">
        <v>29</v>
      </c>
      <c r="I4360" t="inlineStr">
        <is>
          <t>それからはもう腹を空かした経験もなく、とくに不自由した覚えもない。；腹を空かして此怖ろしい事の終りを待つより外為方がなかつたのである。；腹を空かした旅人に食事を供するのは、彼らにとって当然のことなのだ。；こんなにいつも腹を空かしているのに、なぜ少しずつ体重は増えていくのか。；よほど腹を空かしていたとみえて、呶鳴り声を上げても逃げようとしない。；あまり顔色もよくなく腹を空かしていたらしいのですが、そんなことは何もいいませんでした。；食事をするのは胃袋だけでなく、脳ミソだって腹を空かして待っているのだ。；無論旅をして腹を空かしているので、不断より盛んに飲食したには違いない。；これは、もう我慢ができないほど腹を空かしているからだ。；そうだ、レナのやつ、隠れてるならお腹を空かしてるに違いないよな。；神谷が腹を空かしてゐるのだらうといふやうなことが、平気で心に浮かんだ。；腹を空かして主人の帰りを待ち侘びていた犬のような声。；コゴローみたいに腹を空かせたりしないし、寂しくなったりもしない。；その生き物がお腹を空かして、あなたからもらう餌を待ち望んでいるの。；無論旅をして腹を空かしてゐるので、不断より盛んに飲食したには違ひない。；一日どこへ行つても仕事がなくて、ぼんやり戻つてくると、犬達は腹を空かして待つてゐます。；寒くもあったし、腹も空かしていましたが、それでも愉快でしたね。；減食療法なんてことを発明してからに、腹を空かして病気をなおすんだとさ!；腹を空かしていれば、普段は目もくれない物でもおいしく食えるではないか。；同じ夜空の下で今、二人共おなかを空かしているんだからな。；皆お腹を空かしていると言うのでそのまま帰って来る。；どうして同じ太陽を浴びているのに、草の奴らは満腹で、俺はこうも腹を空かしているのか?；今に自分も犬と一緒に腹を空かすやうになるまでさ。；そしてもし川に魚がいて、彼らが腹を空かしていれば、上流から餌が流れてきたと思ってそれに食いつくはずなのだった。；ちょっと腹を空かした大型犬が、行儀よく好物をねだるような感じだった。；客の誰もが腹を空かしていた。；いつも腹を空かしていたのに違いない。；まるで腹を空かした家畜が、柵の隙間から餌の匂いを嗅ごうとするときのように。；せっせと運動しているのも、お腹を空かすためだったのである。</t>
        </is>
      </c>
      <c r="J4360">
        <f>HYPERLINK("https://www.weblio.jp/content/空かす", "词义详情")</f>
        <v/>
      </c>
      <c r="K4360">
        <f>HYPERLINK("https://yourei.jp/空かす", "查看例句")</f>
        <v/>
      </c>
    </row>
    <row r="4361">
      <c r="A4361" t="inlineStr">
        <is>
          <t>清々しい</t>
        </is>
      </c>
      <c r="B4361" t="inlineStr">
        <is>
          <t>成功</t>
        </is>
      </c>
      <c r="C4361" t="inlineStr">
        <is>
          <t>読み方：すがすがしい
［形］［文］すがすが・し［シク］
１さわやかで気持ちがいい。「—・い朝の大気」「—・い表情」「—・い行為」
２ためらいがなく思い切りがよい。
「猶つつましうて、—・しうも思ひ立たず」〈和泉式部日記〉
３滞らずに事が運んでいる。
「たゆたひつつ—・しくも出で立たぬほどに」〈源・玉鬘〉
[派生]すがすがしげ［形動］すがすがしさ［名］</t>
        </is>
      </c>
      <c r="D4361" t="inlineStr">
        <is>
          <t>清々しい朝(5%)；清々しい気分(5%)；清々しい気持ち(2%)；清々しい空気(2%)；清々しい心(2%)</t>
        </is>
      </c>
      <c r="E4361" t="inlineStr">
        <is>
          <t>爽やか；さわやか；爽やかな；さわやかな；すがすがしい</t>
        </is>
      </c>
      <c r="F4361" t="inlineStr">
        <is>
          <t>とても清々しい</t>
        </is>
      </c>
      <c r="H4361" t="n">
        <v>29</v>
      </c>
      <c r="I4361" t="inlineStr">
        <is>
          <t>電話の向うから伝わってくる彼女の声は、いつも爽やかで清々していた。；ぼく自身がそう見えるとわかっているのと同じように、清々しそうでした。；玄関の扉は大きく開かれ、朝の清々しい空気がそこら中を満たしている。；これを高校生らしい清々しい態度と言うんでしょうが、私はそうは見ない。；彼は陸の匂いを後にして、朝の海の清々しい匂いの中を漕いで行った。；それはまるで、ボクの気持ちを代弁するかのような、清々しい光だった。；それでもその暑さは不快なものではなくて、逆に清々しささえ感じさせた。；自分の役目はこれですべて終わったような清々しさを感じていた。；その眉と目が平行に前方を見据える顔の表情はきりっとしていて清々しい。；そうと心に決めた時、憑き物が落ちたように有馬は清々しさを覚えた。；過去にはそこそこの人が周りにいたのに、今は清々しいほどに孤独だ。；しかし五月の空はすっきりと晴れきって、空気も腹が立つほど清々しい。；それは普通の大学生や会社員には、なかなか見つけられない清々しさだった。；窓から入る朝の光が、こんなにも清々しかったことをようやく思い出す。；今頃、空になった新迎賓館は清々しい空気に包まれているに違いない。；ときどき顔を上げて、空を見るのだが、その顔には不思議と清々しさが現れていた。；竹というものは見るだけで清々しい気分になるから不思議だった。；表情はやや青ざめているが、何かを吹っ切ったような清々しさがある。；私は塵一つなく箒目の立った碑前に立って眼も心も清々しかった。；すっくと立ち上がった娘の微笑は、村の誰もがはじめて見る清々しさであった。；窓辺には清々しい水色の着物がカーテンのようにかけられて風に揺れていた。；まるで、頭の中に漂っていた濃い霧が、清々しい風で一掃されたかのようだ。；気のせいか彼の背中から、清々しい光が広がっているような。；すると恰もすでに救ひを受けたやうな安堵にみちた清々しさが流れてきた。；どうしてこんなに平和な気持なのか、自分でも分らないほど清々しい風が心の中を吹き渡った。；清新な清々しい新緑を翫味すべき希望を抱いて窓辺に立っているのである。；時間いっぱい使って答案を書き、試験場を出ると清々しい気分がした。；竹から生える短めの葉が風に揺れ、清々しい香りを周囲に振りまいていた。；そんなことを思いながら殴り合いをしている俺は、不思議と清々しい気分だった。</t>
        </is>
      </c>
      <c r="J4361">
        <f>HYPERLINK("https://www.weblio.jp/content/清々しい", "词义详情")</f>
        <v/>
      </c>
      <c r="K4361">
        <f>HYPERLINK("https://yourei.jp/清々しい", "查看例句")</f>
        <v/>
      </c>
    </row>
    <row r="4362">
      <c r="A4362" t="inlineStr">
        <is>
          <t>姿</t>
        </is>
      </c>
      <c r="B4362" t="inlineStr">
        <is>
          <t>成功</t>
        </is>
      </c>
      <c r="C4362" t="inlineStr">
        <is>
          <t>読み方：し
［音］シ（呉）（漢）　［訓］すがた
［学習漢字］6年
〈シ〉からだの形やようす。すがた。「姿勢・姿態／英姿・風姿・勇姿・雄姿・容姿・麗姿」
〈すがた〉「姿絵・姿見／旅姿・寝姿」
［名のり］かた・しな・たか</t>
        </is>
      </c>
      <c r="D4362" t="inlineStr">
        <is>
          <t>姿を現わし；姿形；姿を現わす；姿をかくし；姿かたち</t>
        </is>
      </c>
      <c r="E4362" t="inlineStr">
        <is>
          <t>顔；見え；形；体；様子</t>
        </is>
      </c>
      <c r="F4362" t="inlineStr">
        <is>
          <t>和服姿；下着姿；姿なき怪人；姿がよく観察；姿津花</t>
        </is>
      </c>
      <c r="G4362" t="inlineStr">
        <is>
          <t>姿態；姿勢制御；姿見；姿三四郎；姿勢制御システム</t>
        </is>
      </c>
      <c r="H4362" t="n">
        <v>29</v>
      </c>
      <c r="I4362" t="inlineStr">
        <is>
          <t>この姿が当時の国民に親しまれ、一番印象に残る姿となったといわれる。；その名は百の手を意味し、五十頭百手の巨人の姿をしているとされる。；この息子は人間の姿をしていたが、額の中央に一本の角が生えていた。；キリスト教美術においてはモーセは通常老人の姿に描かれることが多い。；その姿は今から1000年ほど前までは維持されていたと考えられる。；日本で人間化された姿で描写されることがあるのとはかなりイメージが異なる。；焚書坑儒も、この状態を本来の姿に戻そうとする側面があったと述べた。；当初は単純な切妻屋根だったが、1937年の改修で現在の姿になった。；これには神々も驚き、動物に姿を変えてエジプトの方へと逃げてしまった。；一方で、この時代以前の大貴族がほとんど姿を消したのも事実である。；ただし、死後300年を過ぎてから作られはじめたので実際の姿ではない。；雨と雷が去ったのち、兵たちが玉座を見ると、王の姿はどこにもなかった。；スカンジナビア半島の白人に似たような姿をしているといわれている。；この像は彼が祈りを捧げる姿を模ったもので紀元前25世紀に作られた。；場合によっては童子の顔と翼だけで身体を持たない姿に描かれることもある。；中世には悪魔でなく動物の姿で表しているものも見られる。；また過去の時代の庶民の姿を題材としたものを「時代世話」とも呼んでいた。；SFに登場する未来の乗り物のようなとても変わった姿をしている。；彼はそこにライネッケの保守主義に反発した自分の姿を重ねたのだ。；その像は天女のような姿をし、子供を1人抱き、右手には吉祥果を持つ。；よく似た条件で発生し、やや姿が似た毒キノコとしてツキヨタケがある。；潜水艦発射弾道ミサイルは偵察衛星からその姿を発見するのは困難になる。；現在の緑豊かな六甲山からは想像もできない全山はげ山の姿であった。；エゼキエル書1章にはケルビムの姿について以下のように書かれている。；名画などでは前者の設定が多く、生け贄としての姿は全裸のものが多い。；この曲は河島が19才の時、彼の叔父の姿を見て作ったものである。；この規格は制定の一歩手前の段階までは、現在の姿とはかなり異なる仕様だった。；馬の首から上が人間の上半身に置き換わったような姿をしている。；コラムはパリ・コミューン崩壊後に再建され、現在の姿で残っている。</t>
        </is>
      </c>
      <c r="J4362">
        <f>HYPERLINK("https://www.weblio.jp/content/姿", "词义详情")</f>
        <v/>
      </c>
      <c r="K4362">
        <f>HYPERLINK("https://yourei.jp/姿", "查看例句")</f>
        <v/>
      </c>
    </row>
    <row r="4363">
      <c r="A4363" t="inlineStr">
        <is>
          <t>図鑑</t>
        </is>
      </c>
      <c r="B4363" t="inlineStr">
        <is>
          <t>成功</t>
        </is>
      </c>
      <c r="C4363" t="inlineStr">
        <is>
          <t>読み方：ずかん
絵や写真を中心にしてその事物の実際の形などを示しながら解説した書物。「植物—」</t>
        </is>
      </c>
      <c r="D4363" t="inlineStr">
        <is>
          <t>図鑑等(2%)；図鑑所有者；図鑑所有者；図鑑類；図鑑ゴールデン</t>
        </is>
      </c>
      <c r="E4363" t="inlineStr">
        <is>
          <t>図録；図譜</t>
        </is>
      </c>
      <c r="F4363" t="inlineStr">
        <is>
          <t>妖怪図鑑；昆虫図鑑；キャラ図鑑；貝類図鑑；最強王図鑑</t>
        </is>
      </c>
      <c r="H4363" t="n">
        <v>29</v>
      </c>
      <c r="I4363" t="inlineStr">
        <is>
          <t>すぐなら、もう私は死んでいるかしら、図鑑なんか調べていたんだもの。；分類の専門書や専門性の高い目の図鑑ではこの形を取るものが多い。；あんな鳥、ほとんどの日本人は図鑑やテレビでしか見たことはないだろう。；それらの花は図鑑でのみ知っていたのをはじめて生きた姿で眺め得たのである。；いまごろは新幹線か飛行機に乗って犬の図鑑を眺めているはずだった。；エバがアダムに食べさせた果物であるとの説明がついている図鑑もある。；で、ぼくはこの図鑑を開くと、いつも必ず一度はスピカのページを見る。；ただし図鑑自体は最初からは所有していない者も中には存在する。；ゲーム中の図鑑ではブロックスに分類されているためここに記述する。；また、かつては図鑑などで「黒部第四ダム」と書かれていたこともある。；日本の古い文献や図鑑では「エジプトコブラ」の名称で記載されている。；僕はどうしてもこの図鑑をスーツケースに入れなくてはならないのだろうか。；もし動物図鑑を見る機会があったら、忘れずにチェックしてみてください。；また、自らが執筆した図鑑には、自身が撮影した生物の写真を掲載している。；この時、図鑑のロトムの画像もそれぞれのフォルムのものが記録される。；大槻玄沢や司馬江漢がオランダ渡りの図鑑をいくつか翻訳して公刊した。；出版市場における図鑑の主流はこのスタイルに移行したともいえる。；本作からマップや図鑑など、引き継ぐ項目をそれぞれ選択可能になった。；僕はこの図鑑を手にとった時に、異様なまでの不安に襲われた。；しかし一般的な昆虫図鑑などにはほとんど掲載されたことがない。；だから、図鑑の鳥は図鑑の中でしか生きることができないのである。；従ってこの頃までに出版された日本の図鑑や目録類には本科は収録されていない。；浴室の窓の下に咲いていて、宿のひとが図鑑をひらいて教えてくれた。；幼い頃両親に買ってもらった1冊の図鑑を通じて宇宙に関心を持つ。；僕は、この千年の間に作られた生物図鑑に、一通り目を通してみた。；母は生物図鑑を隅から隅まで読んだりしないからである。；テレビや図鑑で描かれる姿と異なるような点も、作者なりの思考を反映させたものである。；なお、古い図鑑ではこれ以外の種も日本から記録されているが、誤りらしい。；このため、ポンガシグサやその他の植物は図鑑には登録されなくなっている。</t>
        </is>
      </c>
      <c r="J4363">
        <f>HYPERLINK("https://www.weblio.jp/content/図鑑", "词义详情")</f>
        <v/>
      </c>
      <c r="K4363">
        <f>HYPERLINK("https://yourei.jp/図鑑", "查看例句")</f>
        <v/>
      </c>
    </row>
    <row r="4364">
      <c r="A4364" t="inlineStr">
        <is>
          <t>好き</t>
        </is>
      </c>
      <c r="B4364" t="inlineStr">
        <is>
          <t>成功</t>
        </is>
      </c>
      <c r="C4364" t="inlineStr">
        <is>
          <t>読み方：すき
［名・形動］
１心がひかれること。気に入ること。また、そのさま。「—な人」「—な道に進む」⇔嫌い。
２片寄ってそのことを好むさま。物好き。また、特に、好色。色好み。「幹事を買って出るなんて、君も—だねえ」「—者」
３自分の思うままに振る舞うこと。また、そのさま。「—なだけ遊ぶ」「どうとも—にしなさい」
４⇒すき（数寄）
[下接語] 大(だい)好き・不(ぶ)好き（ずき）遊び好き・男好き・女好き・客好き・綺麗(きれい)好き・子供好き・酒好き・好き好き・世話好き・出好き・派手好き・話好き・人好き・物好き・横好き・侘(わ)び好き</t>
        </is>
      </c>
      <c r="D4364" t="inlineStr">
        <is>
          <t>好き勝手；好きな食べ物；好きじゃない；好きな男；好きなんです</t>
        </is>
      </c>
      <c r="E4364" t="inlineStr">
        <is>
          <t>愛；愛情；好み；好意；慈</t>
        </is>
      </c>
      <c r="F4364" t="inlineStr">
        <is>
          <t>一番好き；音楽好き；酒好き；猫好き；映画好き</t>
        </is>
      </c>
      <c r="G4364" t="inlineStr">
        <is>
          <t>好きな人；好きになる；好き嫌い；好きだから；好きです</t>
        </is>
      </c>
      <c r="H4364" t="n">
        <v>29</v>
      </c>
      <c r="I4364" t="inlineStr">
        <is>
          <t>島内の至る所で猫が無防備な姿でいるため、猫好きの人間もよく訪れる。；食べ物では卵が好きで一度の食事で15個食べることもあったという。；都市は好きな開拓地を手元に戻しそこに都市を建設することができる。；料理好きな面もあり、元暗殺者とは思えない普通の家庭的な暮らしをしている。；宮崎駿が空飛ぶ映像が好きなことから本作には数多くの飛行機が登場する。；アンドレ・シトロエンの派手好きな性格が現れているエピソードである。；好きなものは鉄道と鳥で、後者の方は特に文鳥がお気に入り、とのこと。；三島由紀夫を非常に高く評価しており、一番好きな作家と述べている。；子供の頃は少年漫画が好きでイラストを学級新聞などに描いていたという。；ヴィクトリアは子供たちも皇帝が好きになったと日記に書いている。；なおアルファベットについては、単純に好きな文字だからと話している。；なお上記のように服好きであるため、ニューヨークに行っても服を買っている。；とりわけスケッチが好きであり、彼女は生涯にわたって絵を描き続けた。；若いころから夜遊び好きであり、毎晩のように夜の街に繰り出していた。；演じられているキャラクターを好きになった経験がある人には理解できると思います。；大の軍事ファンであり、その中でも特に戦車が好きなようである。；劇団に所属はしていないが芝居好きなため、舞台には積極的に立っている。；海外の街で好きな場所として、アメリカのニューヨークを挙げている。；笑いの要素が好きで演技にも感動させられると語っていた。；彼女は共演した相手の中でロビンソンが最も好きだったと語った。；ちなみに、アルベルトも音楽好きでヴァイオリンの演奏が趣味であった。；嫌いな音楽は数あり、特に好きではないのはフュージョンだといわれている。；この頃のアルは遊び好きで、洒落た服を着て外出してはしゃいだりした。；善良な女性であるなら、そのような仕事は好きにはなれないのです。；大の猫好きで、鎧の中で猫を飼おうとして兄に怒られることもしばしば。；歌が好きで、数千人に及ぶ観衆を集めコンサートを開くのが趣味であった。；ウルトラ怪獣も女性も、異形のものが全般的に好きだったと語っている。；置き場所を下手の好きな場所に決めて良い、自由置き碁と呼ぶ方式もある。；ディケンズは芝居好きであったが、このころ俳優になろうとしたこともあった。</t>
        </is>
      </c>
      <c r="J4364">
        <f>HYPERLINK("https://www.weblio.jp/content/好き", "词义详情")</f>
        <v/>
      </c>
      <c r="K4364">
        <f>HYPERLINK("https://yourei.jp/好き", "查看例句")</f>
        <v/>
      </c>
    </row>
    <row r="4365">
      <c r="A4365" t="inlineStr">
        <is>
          <t>隙</t>
        </is>
      </c>
      <c r="B4365" t="inlineStr">
        <is>
          <t>成功</t>
        </is>
      </c>
      <c r="C4365" t="inlineStr">
        <is>
          <t>読み方：すき
１物と物との間。間隙(かんげき)。すきま。「戸に—がある」「割り込む—もない」
２引き続いている物事の絶え間。合間。ひま。「仕事の—をみつける」「手—のとき」
３気のゆるみ。油断。また、つけいる機会。「相手の—につけこむ」「—をねらう」「—を見せる」</t>
        </is>
      </c>
      <c r="D4365" t="inlineStr">
        <is>
          <t>隙をつい(4%)；隙だらけ；隙見；隙あら；隙き間</t>
        </is>
      </c>
      <c r="E4365" t="inlineStr">
        <is>
          <t>間；距離；機会；空間；試み</t>
        </is>
      </c>
      <c r="F4365" t="inlineStr">
        <is>
          <t>わずかな隙；分の隙もなく；隙洩る；隙をのがさ；隙を狙つて</t>
        </is>
      </c>
      <c r="G4365" t="inlineStr">
        <is>
          <t>隙間風；隙間時間；隙々；隙間の神；隙間産業</t>
        </is>
      </c>
      <c r="H4365" t="n">
        <v>29</v>
      </c>
      <c r="I4365" t="inlineStr">
        <is>
          <t>また多くの敵陣地は有利な場所に配置されていて隙がないように見える。；大勢力であっても隙を衝かれて小勢力に滅ぼされるという事態も起こる。；CICが混乱に陥った隙をついて如月は脱走に成功し、二人は合流する。；スタッフが聞き取れずに困っている隙に、話をまとめてしまうという。；この隙にヴェイン達は町を襲撃し、地元の有能な船員たちを確保できた。；父と女性が二人で話している隙に彼は目的無しに一人で走った。；しかし、やはりその隙に本拠である皖城を孫策に攻め取られてしまった。；その後も政権は安定せず、その隙にRUFは勢力を拡大していった。；しかし幸盛はこれを受け入れず、その後に隙をついて脱出している。；なお、寝ている隙にそっと近づいて直接攻撃すると青コインを出す。；ナツメと対峙したときは自分では勝てないとみて、隙を見て逃亡している。；しかしその隙を突いて長宗我部元親が侵攻して来るとこれに降り、従った。；この隙をついてドイツ海軍は接収したフランス艦隊を率い攻勢に出る。；イスラエルは英国・ドイツのユダヤ人政策の隙を突く形で建国に成功。；その隙を付いてジェニファーは一人になったレイを襲い、復讐を果たす。；相手の一瞬の隙を突く切り返しや、タッグマッチでの奇襲も得意とした。；背後を襲われた上杉軍は混乱に陥り、最上勢はこの隙に上杉勢を攻める。；セクシーコマンドーの極意は、いかに相手の隙を誘うかにかかっている。；タイタスはそれを知ってショックを受けているタモラをその隙に殺害。；しかしその隙に日本艦隊主力は魚雷を放ち、米艦隊に大打撃を与えた。；当初は非常に冷酷かつ頑迷で隙がないシリアスな人物として描かれていた。；地上で使うと隙ができる武器は空中で使うと隙がなくなる。；その隙を菜々子や飯村真理にいいように押しきられてしまう事も多い。；静は、遅かった忠信殿といいながら、隙を見て刀で切りつけようとする。；更にその周囲には他の開発領主が隙あらばと狙っている。；どこで息を吸ってるのかなと思うくらい息を継ぐ隙もなくて。；義経が宋へ去った隙に、モンゴル軍は承暉に攻撃され窮地に陥っていた。；母親と実姉は喋り達者であり、喋る隙さえ与えられず無口な少年だった。；リグリア帝国がラーカス王国に侵攻した隙に帝国領土を奪おうとしたりもする。</t>
        </is>
      </c>
      <c r="J4365">
        <f>HYPERLINK("https://www.weblio.jp/content/隙", "词义详情")</f>
        <v/>
      </c>
      <c r="K4365">
        <f>HYPERLINK("https://yourei.jp/隙", "查看例句")</f>
        <v/>
      </c>
    </row>
    <row r="4366">
      <c r="A4366" t="inlineStr">
        <is>
          <t>杉</t>
        </is>
      </c>
      <c r="B4366" t="inlineStr">
        <is>
          <t>成功</t>
        </is>
      </c>
      <c r="C4366" t="inlineStr">
        <is>
          <t>読み方：さん
［常用漢字］　［音］サン（漢）　［訓］すぎ
〈サン〉木の名。スギ。「老杉」
〈すぎ〉「杉皮・杉板／糸杉」</t>
        </is>
      </c>
      <c r="D4366" t="inlineStr">
        <is>
          <t>杉木立(4%)；杉乃；杉板；杉材；杉皮</t>
        </is>
      </c>
      <c r="F4366" t="inlineStr">
        <is>
          <t>老杉；大きな杉；三杉；高い杉；高杉</t>
        </is>
      </c>
      <c r="G4366" t="inlineStr">
        <is>
          <t>杉本；杉田；杉浦；杉原；杉村</t>
        </is>
      </c>
      <c r="H4366" t="n">
        <v>29</v>
      </c>
      <c r="I4366" t="inlineStr">
        <is>
          <t>なお、本作品にはテレビ本編の主人公である炘南や東杉も登場している。；大阪商工会議所の会長になった杉の下で大阪経済の立て直しが始まった。；しかし秋田県代表として出場したわか杉国体では記録が伸びず予選落ち。；文献上「杉次郎左衛門」を名乗ったことが確認される最初の人物である。；不思議なことに一滴も血は出なかったがお杉はこの傷がもとで死んだ。；西側や南側には風や雪に備えて杉を中心に背の高く丈夫な木が植えられていた。；岩の中央には杉の枝、両側には松の枝という配置をすることが多い。；女性が驚いて外に出たところ、「目の前が杉の木で埋まっていた」という。；これは羨道部の天井石上にあった杉の木の、根の部分から出土したものである。；女中に五寸釘を買ってこさせ、神社の杉の木に藁人形を打ち付け始めた。；この杉は記録にあるだけでも樹齢1000年を超えることが分かっている。；防風林として杉を用いた家が多く所在したことに由来するとされる。；中に島があり、そこには小さな杉などの木やお宮が所在していた。；設立当初の学区は前述の通り、春日井郡杉村と名古屋市清水町であった。；またそれらとは別に老杉も存在していたが、明治元年に伐採されたと伝わる。；その夜光怪人は不気味な笑いと杉の木の上に浮遊し木の上で消えてしまう。；本社の西100メートルほどのところに八本杉と呼ばれる飛び地境内がある。；堂の手前には鎮守社の1つである興成社があり、その脇に良弁杉がある。；一般的には軽い杉板を台脚の上に立てた衝立てが、主流であった。；一方、杉豊後入道は将軍は当家を滅ぼそうとしていると抗戦を主張した。；速杉家では速杉ハヤトが北海道への家族旅行のために荷支度をしていた。；古書院が松の角柱を使用するのに対し、中書院の柱は杉の面皮柱である。；これが、後に天竜杉となり浜松市天竜区の林業発展のきっかけとなった。；杉やんは下から投げるんだが、手首が立って上から投げる軌道を描く。；その後の矢立峠や矢立杉の様子は以下の紀行文から知ることができる。；それぞれの層には杉の不燃材製の縦のルーバーが取り付けられている。；北側が町地、南側が侍士屋敷地とされ、その境目は杉の木小路であった。；お杉は悔し泣きをしながら、半七の部屋に戻るために部屋を出る。；そもそもは杉や竹を用いて作られていたが、檜やエゾ松なども多く利用される。</t>
        </is>
      </c>
      <c r="J4366">
        <f>HYPERLINK("https://www.weblio.jp/content/杉", "词义详情")</f>
        <v/>
      </c>
      <c r="K4366">
        <f>HYPERLINK("https://yourei.jp/杉", "查看例句")</f>
        <v/>
      </c>
    </row>
    <row r="4367">
      <c r="A4367" t="inlineStr">
        <is>
          <t>好き嫌い</t>
        </is>
      </c>
      <c r="B4367" t="inlineStr">
        <is>
          <t>成功</t>
        </is>
      </c>
      <c r="C4367" t="inlineStr">
        <is>
          <t>読み方：すききらい
好きなことと、嫌いなこと。また、えりごのみ。「何かと—の激しい性格」</t>
        </is>
      </c>
      <c r="D4367" t="inlineStr">
        <is>
          <t>好き嫌いがはっきり(3%)；好き嫌いが激しく(2%)；好き嫌いが激しい；好き嫌いが多い；好き嫌いが多く</t>
        </is>
      </c>
      <c r="E4367" t="inlineStr">
        <is>
          <t>相性；適合性；適合度；合う合わない</t>
        </is>
      </c>
      <c r="H4367" t="n">
        <v>29</v>
      </c>
      <c r="I4367" t="inlineStr">
        <is>
          <t>私は好き嫌いが激しいから、好きな作曲家の好きな曲にしか興味がない。；これさえなければ良い武器だと思うが、好き嫌いが言える状況でもない。；三人の中で私がいちばん好き嫌いがないほうだし、責任持って食べよう。；しかし、この世で信頼できるのは好き嫌いの感情だけだという気もする。；何にでも極度に好き嫌ひをつけるYは、自分の息子兄弟にもそれをした。；世の中と人生には、 好き嫌いを越えてままならないことが山ほどある。；それを避けるためには、俺個人の好き嫌いなんて言ってちゃいけない。；自分の感覚、感情、好き嫌いだけが絶対で、あとのことはどうでもいい。；好き嫌いはないはずなのに、いつも決まったものばかりを食べている。；しかし好き嫌いは非常に強く、それにはしっかりした理由があった。；監督に対する私的な好き嫌いの感情とプロの意識とはまったく別のものだ。；人の好き嫌いがはっきりしており誰でも好意を持つということはなかった。；好き嫌いはわからないけど、今の自分の方がだいぶ生きやすくなった。；しかし、アレナスの不安や好き嫌いとは関係なしに、噂は広まっていた。；自分の好き嫌いも分らずに、新らしそうな型でばっかり物を言ってやがる。；だが、ジョン・リードの好き嫌いは、わたしの判断の基準にはならない。；何に対してもそれほど好き嫌いの激しいたちではないと思っている。；でも、あんたたちの好き嫌いなんて、わたしの知ったことじゃないの。；部屋に置くものの好き嫌いが私は父親にそっくり似たらしい。；ただ単に、少年の好き嫌いを示しているとしか思えないのである。；でも常磐さんは、単なる好き嫌いでこんなことを言う子じゃなさそうだった。；私は音楽は嫌いだが、こういうものになると好き嫌いでかたをつけられない。；これは節足動物ではないし、足の数も五本だが、好き嫌いは論理ではない。；遠野くんは好き嫌いはないですけど、あんまりたくさん食べないでしょう?；好き嫌いには規則がなく、諺にも蓼喰う虫も何とやらと言いますからね。；人にはそれぞれ好き嫌いがあって、嫌いな人には何を見ても嫌悪を感じるものです。；誰にしても好き嫌ひはあるもので、ゲエテは無駄話家が嫌ひだつた。；赤ん坊以下には理由を書かなかったが、好き嫌いの分析はまことに困難である。；私のほうは男に限らず、人の好き嫌いが激しいから、嫌な奴とは絶対に会いたくない。</t>
        </is>
      </c>
      <c r="J4367">
        <f>HYPERLINK("https://www.weblio.jp/content/好き嫌い", "词义详情")</f>
        <v/>
      </c>
      <c r="K4367">
        <f>HYPERLINK("https://yourei.jp/好き嫌い", "查看例句")</f>
        <v/>
      </c>
    </row>
    <row r="4368">
      <c r="A4368" t="inlineStr">
        <is>
          <t>好き好き</t>
        </is>
      </c>
      <c r="B4368" t="inlineStr">
        <is>
          <t>成功</t>
        </is>
      </c>
      <c r="C4368" t="inlineStr">
        <is>
          <t>読み方：すきずき
人それぞれに好みが違うこと。「—のある味」「蓼(たで)食う虫も—」</t>
        </is>
      </c>
      <c r="H4368" t="n">
        <v>9</v>
      </c>
      <c r="I4368" t="inlineStr">
        <is>
          <t>入れる品物の分量は人の好き好きで多少変っても構いません。；また曲中のサビにおいてのダンスを「好き好きダンス」と称している。；好き好きはあるとしても、この二人に、二位三位をとられたんぢや、もうあぶない。；「あのとき」だってタマキにただ好き好きをくりかえすしかなかったものね。；俺が辰吉好き好きボーイズラブ野郎じゃなかったことがすごくうれしかったらしい。；四十年以上前に初めて会った日、「Gさんみたいな純情な人、好き好き、親友よ」と世根子はニッと笑った。；近頃フィルムに現われる諸俳優について、一々の批評をして見た所で、その俳優に対する好き好きがあろうから無駄な事だが、私は過日帝国館で上場された改題「空蝉」の女主人公に扮したクララ・キンベル・ヤング嬢などは、その技芸において頗る秀でたものであると信じている。；少なくとも、強い意志と、輝く知性を欠いた、単なる「好き好き」という感情だけでは、ごめんをこうむる。；その翻天倒地の幹法によって、さしもの艶芳も騒興大いに発して、口中ではたえず「好き好き」と叫びつづけ、戸中からは滂流横溢しつづけます。</t>
        </is>
      </c>
      <c r="J4368">
        <f>HYPERLINK("https://www.weblio.jp/content/好き好き", "词义详情")</f>
        <v/>
      </c>
      <c r="K4368">
        <f>HYPERLINK("https://yourei.jp/好き好き", "查看例句")</f>
        <v/>
      </c>
    </row>
    <row r="4369">
      <c r="A4369" t="inlineStr">
        <is>
          <t>透き通る</t>
        </is>
      </c>
      <c r="B4369" t="inlineStr">
        <is>
          <t>成功</t>
        </is>
      </c>
      <c r="C4369" t="inlineStr">
        <is>
          <t>読み方：すきとおる
［動ラ五（四）］
１物を通して、中や向こう側が見える。「湖の底まで—・っている」
２声や音が澄んでいてよく聞こえる。「美しく響く—・った声」</t>
        </is>
      </c>
      <c r="D4369" t="inlineStr">
        <is>
          <t>透き通るような白い(4%)；透き通るような肌(4%)；透き通るような歌声；透き通るような額；透き通るやうな青白い</t>
        </is>
      </c>
      <c r="E4369" t="inlineStr">
        <is>
          <t>透明な；透き通った；透ける；透けるような；スケスケの</t>
        </is>
      </c>
      <c r="F4369" t="inlineStr">
        <is>
          <t>透き通るほど白い</t>
        </is>
      </c>
      <c r="H4369" t="n">
        <v>29</v>
      </c>
      <c r="I4369" t="inlineStr">
        <is>
          <t>四人全員が肩まである茶色い髪に、透き通ったような白い肌をしていた。；問い返したかったのだが、その透き通った黒瞳に心を奪われてしまった。；それを見せるために、透き通った紫色のシャツを身につけているのです。；血の雨の真下にいたはずなのに、透き通るような肌には朱の一点もない。；生きている物の体が、これほど見事に透き通ってしまっていいものか。；透き通った視線は、まるで遼の心の揺れを見通しているかのようだった。；透き通った水の中には黄ノ尾の眩い輝きや白指の敏捷な動きが見られた。；水のように透き通った子が産れたのも、この病のためであったろう。；それに小柄な方の声が透き通る様に細いのは、女性である事を語っている。；同時に、これらの岩の混じりけのなさは川が透明に透き通るほどである。；元々色白ではあったが、それこそ透き通るほどに白くなっていたのだ。；眠れない夜は、今も蠢いているあの透き通ったガラスの箱のことを思う。；鏡ではなかったのか、それはその向うのものを透き通らせていたのであったか。；まるでそこに、完全に透き通った透明な人間が立っているかのようだ。；腕の中の小さな体が、少しずつ軽くなり、透き通っていくようだった。；お母さんの声はいつもより透き通っていて、僕にはとても綺麗に聞こえた。；明るい透き通ったような夜は、いつもよりはいっそう明るいように思われた。；なんていうか、胸の中まで透き通ってくるような歌声、って言うのかな。；あとは、透き通るような黒いタイツ以外、肌を覆っている物は何もない。；透き通るように白い肌とフランス人形のように整った顔を持っていた。；ガラスのように透き通った、 こんなに綺麗な人の顔をはじめてみる。；その橋は半分透き通って、ガラスか何かで出来ているようだった。；透き通るような瞳と輝くような笑顔の彼女は、心を癒し光を与えてくれる。；ただ、邪気のない晴れやかな、透き通った笑みをその顔に浮かべていた。；その透き通った瞳は、流香の頑なに閉じた心をも見透かしてしまいそう。；色はほとんどなく、透き通ってそのものの背後の壁が見えていた。；太郎の髪も、太郎の肌も透き通るようなどこかはかなげな印象に今はなっていた。；目の前にいる青年の瞳は、信じられないほどに透き通っていた。；それも光にかざせば奥が透き通って見えてしまいそうなくらい奇麗なものだ。</t>
        </is>
      </c>
      <c r="J4369">
        <f>HYPERLINK("https://www.weblio.jp/content/透き通る", "词义详情")</f>
        <v/>
      </c>
      <c r="K4369">
        <f>HYPERLINK("https://yourei.jp/透き通る", "查看例句")</f>
        <v/>
      </c>
    </row>
    <row r="4370">
      <c r="A4370" t="inlineStr">
        <is>
          <t>隙間</t>
        </is>
      </c>
      <c r="B4370" t="inlineStr">
        <is>
          <t>成功</t>
        </is>
      </c>
      <c r="C4370" t="inlineStr">
        <is>
          <t>読み方：すきま
１物と物との間の、わずかにあいている所。「—だらけの板塀」
２（比喩的に）普通には気づきにくいところ。盲点。「法の—を衝く」「—産業」
３あいている時間。ひま。「家事の—をみて勉強する」
４わずかな気のゆるみや油断。「心の—につけ込む」</t>
        </is>
      </c>
      <c r="D4370" t="inlineStr">
        <is>
          <t>隙間なく(4%)；隙間だらけ；隙間無く；隙間越し；隙間フラップ</t>
        </is>
      </c>
      <c r="E4370" t="inlineStr">
        <is>
          <t>間；口；開始；あいだ；一瞬</t>
        </is>
      </c>
      <c r="F4370" t="inlineStr">
        <is>
          <t>狭い隙間；細い隙間；小さな隙間；大きな隙間；僅かな隙間</t>
        </is>
      </c>
      <c r="G4370" t="inlineStr">
        <is>
          <t>隙間時間；隙間の神；隙間産業；隙間女；隙間市場</t>
        </is>
      </c>
      <c r="H4370" t="n">
        <v>29</v>
      </c>
      <c r="I4370" t="inlineStr">
        <is>
          <t>駅はカーブ区間に設置されているため、車両とホームの間に隙間が開く。；これらの種類の結合部は非常に隙間なくしっかりと組み合わせられる。；色や味が感じられるけれども、あるのは原子とその隙間のみだと述べた。；隙間が許容範囲を超えるとローラーを大きいものに交換する必要がある。；実は内部に空気を含む隙間があって水に浮き、流れに乗って散布される。；ホームの信濃町寄りは曲線区間にあり、電車との隙間が広く開いている。；また空間を隙間なく充填できることから隙間の効率的な利用にも役立つ。；ただし、この隙間をISVやストレージ企業が様々な手法で埋めてきた。；車両とホームとの隙間が大きい駅では可動式ステップを設置している。；元の生活に戻ったケリーだったが、心に空いた隙間が埋まることはない。；岩の隙間にはえるものを採取するために、岩を割ってしまう者さえいる。；南では、狭い隙間を挟んで、公園南縁に沿った低い石垣につながっている。；その他には、蛇紋岩などの超塩基性岩の隙間に脈状に産することがある。；ホームの一部はカーブ上に位置するため、電車との隙間が大きい箇所がある。；下唇と上歯が接近することで作られた隙間から生じる音。；部品を切断して使用したり、隙間をパテで埋めたりすることも少なくない。；EPSや構造の隙間を利用して物質のやり取りを行う、と考えられている。；両唇と硬口蓋の二カ所を接近することで作られた隙間から生じる音。；雲や隙間の形が、列をなして並んだように見えることも多い。；主に夜行性で、昼間は岩の下や土の中、何かの隙間にいることが多い。；ホームがカーブ途中に設置されているため、車両とホームの間には隙間ができる。；また歩脚の隙間に向かって溝が走ることも多く、これを放射溝という。；寄生虫学の研究の大部分は、複数のこのような単位の隙間に入り込む。；木同士の場合基本的に隙間は無く、瓦の場合隙間が大きすぎるからだと考えられる。；出入りが自在でどんな小さい隙間でも出入りが可能とされる。；接合部の隙間はその各々が僅かでもその合計が全体を大きく歪ませてしまう。；茎の維管束が葉へと入るため、葉の上側では茎の維管束に隙間が生じる。；また、下顎部に歯全体が隙間なく埋没しているケースも難易度が高いとされる。；危険を感じると岩の隙間等に逃げこんだり、素早く走って逃げる。</t>
        </is>
      </c>
      <c r="J4370">
        <f>HYPERLINK("https://www.weblio.jp/content/隙間", "词义详情")</f>
        <v/>
      </c>
      <c r="K4370">
        <f>HYPERLINK("https://yourei.jp/隙間", "查看例句")</f>
        <v/>
      </c>
    </row>
    <row r="4371">
      <c r="A4371" t="inlineStr">
        <is>
          <t>すきやき</t>
        </is>
      </c>
      <c r="B4371" t="inlineStr">
        <is>
          <t>成功</t>
        </is>
      </c>
      <c r="C4371" t="inlineStr">
        <is>
          <t>読み方：すきやき
牛肉を豆腐やネギなどと一緒にたれで煮焼きしながら食する鍋料理。関東では牛鍋(ぎゅうなべ)ともよばれた。名は、鋤を鍋の代用にしたからとも、肉をすき身にして焼くところからともいう。《季冬》「—の香が頭髪(かみのけ)の根に残る／誓子」</t>
        </is>
      </c>
      <c r="D4371" t="inlineStr">
        <is>
          <t>すきやき屋(6%)；すきやき鍋(2%)；すきやき用</t>
        </is>
      </c>
      <c r="H4371" t="n">
        <v>29</v>
      </c>
      <c r="I4371" t="inlineStr">
        <is>
          <t>ハネてすぐ宿へ帰る、今日はダンスチームのすきやき会を宿でやる。；四月には二人で渋谷の坂の上のすきやき屋へ食事に行っている。；ほんとに牛肉のすきやきだけしか食べられないところだと思って来たのでしょう。；そんな日が三日ほど続いた後で、工藤家の夕食にすきやきが出た。；そして俺たちをすきやき食べになんか連れてってくれるんだ。；そのときね、牛肉を五十目買ってすきやきをしてたのよ。；でも、あれは、すきやきや、しゃぶしゃぶのために作られたのではないだろうか。；都会では牛鍋、すきやきが珍しくなくなっても、田舎ではまだ薬喰だったのだ。；考えてみれば、ニッポンの家庭の一番のごちそうは、すきやきだったはずなのだ。；すきやきは、丸美屋食品工業が1963年から販売しているふりかけである。；が、すきやきの残りの生肉は、非常に用途が広くて、結構である。；浩介が自分で上等の肉を買って来て、すきやきの仕度をし、母を招待してくれた。；豆腐もあるし、明日はすきやきだと言って喜んでいる。；すっかりくらくなってからつき、持参の牛肉をすきやきにしてたべる。；すきやきとも牛鍋とも言わずに、ただ「今晩は牛だ」といっていたように憶えている。；しかし、ここでしゃべりたいのは、こういうデパートで売っているすきやき肉ではありませぬ。；日本では幕末になるまで、牛肉を食べることは一般には行われていなかったが、別に「すきやき」と称された料理は存在していた。；すきやきの後では、誰だって漬けものがほしくなり、茶漬けが食べたくなるものだ。；仕方がないから松たけでも入れて、すきやきを一同でたべましょう。；直ぐ目の前に、かなり大きいすきやき屋があつた。；それでも、すきやきを食べるのなど、一年ぶりである。；のみならず、夕方になって大島が家に帰ると、きれいに磨かれたすきやき鍋の上に一枚の紙きれがのっていたのだった。；花井淳子も人形を土産に遊びに来り、僕はウイを皆は酒を、牛肉のすきやき。；しゃぶしゃぶやすきやきなど肉料理では定評があり、味にうるさい人たちの間ではよく知られている。；ハネ十時十分頃、宿へ帰って、すきやきを食ふ。；ここですきやきを食ったり寿司を食ったりするのである。；藤山一郎と堀井の二人を連れて井上へすきやきを食ひに行く。；横山は今文という小川町にあるすきやき屋でよく食事をしたが、ここで酔いどれ相手の喧嘩をすることも多かった。；小幡はすきやきして遊んで待ってるわ。</t>
        </is>
      </c>
      <c r="J4371">
        <f>HYPERLINK("https://www.weblio.jp/content/すきやき", "词义详情")</f>
        <v/>
      </c>
      <c r="K4371">
        <f>HYPERLINK("https://yourei.jp/すきやき", "查看例句")</f>
        <v/>
      </c>
    </row>
    <row r="4372">
      <c r="A4372" t="inlineStr">
        <is>
          <t>過ぎる</t>
        </is>
      </c>
      <c r="B4372" t="inlineStr">
        <is>
          <t>成功</t>
        </is>
      </c>
      <c r="C4372" t="inlineStr">
        <is>
          <t>読み方：すぎる
［動ガ上一］［文］す・ぐ［ガ上二］
１ある場所を通り越す。通過する。通りすぎる。「列車は京都駅を—・ぎた」「優勝パレードが—・ぎて行った」「嵐が—・ぎる」
２時間が経過する。時がたつ。時が移り、その時間・時期が終わりになる。「予定の時間が—・ぎる」「—・ぎた昔を懐かしむ」「夏休みもあっけなく—・ぎた」「盛りを—・ぎる」
３一定の数量をこえる。「六十を—・ぎても髪は黒々している」「二十(はたち)を—・ぎる」
４普通の程度・水準をこえている。「いたずらが—・ぎる」「わがままが—・ぎる」
５（「…にすぎる」の形で）つりあわないほどすぐれている、勝(まさ)る。分以上である。「彼には—・ぎた女房だ」「これに—・ぎる名誉はない」
６（「…にすぎない」の形で）ただ…であるだけのことである。それ以上のものではない。…でしかない。「小学校時代はごく平凡な生徒に—・ぎなかった」「今日の事件は氷山の一角に—・ぎない」
７（動詞の連用形、形容詞・形容動詞の語幹などに付いて）行為・状態などが度をこえている。はなはだしく…する。または、はなはだしく…である。「めだち—・ぎる」「働き—・ぎる」「テレビの音が大き—・ぎる」「欲がなさ—・ぎる」「地味—・ぎる着物」
８生活する。生計を立てる。
「薪をとりて世を—・ぐるほどに」〈宇治拾遺・一〉
９一生が終わる。死ぬ。
「ま草刈る荒野にはあれど黄葉(もみぢば)の—・ぎにし君が形見とそ来(こ)し」〈万・四七〉
10やりすごす。
「そしり笑はるるにも恥ぢず、つれなく—・ぎてたしなむ人」〈徒然・一五〇〉
[下接句]口が過ぎる・言葉が過ぎる・度が過ぎる・身に過ぎる・偃鼠(えんそ)河に飲むも満腹に過ぎず・思い半ばに過ぐ・鷦鷯(しょうりょう)深林に巣くうも一枝(いっし)に過ぎず・白駒(はっく)の隙(げき)を過ぐるが如(ごと)し</t>
        </is>
      </c>
      <c r="D4372" t="inlineStr">
        <is>
          <t>過ぎると思う；過ぎると再び；過ぎると急；過ぎると間もなく；過ぎると徐々に</t>
        </is>
      </c>
      <c r="E4372" t="inlineStr">
        <is>
          <t>行く；与える；通過；流れる；通る</t>
        </is>
      </c>
      <c r="F4372" t="inlineStr">
        <is>
          <t>早過ぎる；大き過ぎる；強過ぎる；長過ぎる；高過ぎる</t>
        </is>
      </c>
      <c r="H4372" t="n">
        <v>29</v>
      </c>
      <c r="I4372" t="inlineStr">
        <is>
          <t>それは寛永九年の秋がようやく半ばを過ぎようとしているころであった。；こんな簡単な事が分からない打者が今の野球には多過ぎるんじゃないかな。；ひみつ道具を調子に乗って使い過ぎたり悪用してしばしば失敗している。；だがその時期を過ぎれば早くも世界はわれわれに嘘をつき始めるのだ。；そこを通過ぎようとすると、一人の童子が来て、時計はもう幾時でせう?；通行量が増え過ぎて悲鳴を上げる沿道の村々の記録が各地に残っている。；チャーチルは公爵の庶子の子供に過ぎないから称号を持っていなかった。；個人の葛藤や懊悩がどれほど深くとも、すべては小さな物語に過ぎない。；しかし、これは戦争の限定された本質を明らかにしているに過ぎない。；船乗りの第一陣が出発して以来、すでに百年近くが過ぎようとしていた。；そしてこれらの値は、人間の存在のために都合良く出来過ぎている。；ただし、死後300年を過ぎてから作られはじめたので実際の姿ではない。；ただしこの構造は外見上からの想像に過ぎず、はっきりと分かっていない。；一里塚を過ぎて少し行くと国道20号は中央本線を跨線橋で渡っている。；店の前を過ぎようとした時、店に戻っていた英子は中から彼を認めた。；工場群を過ぎると家が少なくなるが、御津町に入ると再び増えてくる。；忽ちすぐ近くの大廊下を非常な迅さで駈け過ぎようとした人影があった。；ただしその効果は1時間で、それを過ぎると普通に見えるようになる。；彼らの多くは昭和28年を過ぎる頃からヒットが出にくくなってきた。；一年か二年も過ぎれば、臍のことなど忘れてしまうに決まっているのに。；当初はあくまで上流階級の者による異国趣味の物に過ぎなかったようだ。；最終氷期の約2万年前の最盛期が過ぎると地球規模で温暖化に向かった。；大多数は未治療のまま経過し閉経期を過ぎると自然退縮することが多い。；神と呼ばれる存在が無条件に世界の中心であった時代は過ぎようとしている。；明子は黙って過ぎようとしたが、やはり言葉をかけずにはいられなかった。；この場合、いずれも食の最大を迎える前と食の最大を過ぎた後に分類される。；キリスト教徒を全部合わせても住民の5割以下に過ぎない現実がある。；走りだそうと後ろを振り返った拍子に、長い髪がおれの顔の前を過ぎった。；十月に入って、もうそろそろ盛りを過ぎようとしているところだろうか。</t>
        </is>
      </c>
      <c r="J4372">
        <f>HYPERLINK("https://www.weblio.jp/content/過ぎる", "词义详情")</f>
        <v/>
      </c>
      <c r="K4372">
        <f>HYPERLINK("https://yourei.jp/過ぎる", "查看例句")</f>
        <v/>
      </c>
    </row>
    <row r="4373">
      <c r="A4373" t="inlineStr">
        <is>
          <t>好く</t>
        </is>
      </c>
      <c r="B4373" t="inlineStr">
        <is>
          <t>成功</t>
        </is>
      </c>
      <c r="C4373" t="inlineStr">
        <is>
          <t>読み方：よく
［副］《形容詞「よい」の連用形から》
１念を入れてするさま。十分に。「歯を—磨く」「—勉強しなさい」
２程度がはなはだしいさま。非常に。たいそう。「あの親子は—似ている」
３その状態・条件にふさわしいさま。巧みに。うまく。「—書けました」「—設計された家」
４困難なことをしたり、考えられないような喜ばしい結果を得たりして感じ入るさま。本当にまあ。よくぞ。「—来てくれました」「月給だけで—やっていけるね」
５相手の非常識な言動などを非難するさま。4を反語的にいう語。よくもまあ。「—のこのこと来られたものだ」
６何度も同じことをするさま。しばしば。たびたび。「—物忘れする」「—行く店」</t>
        </is>
      </c>
      <c r="D4373" t="inlineStr">
        <is>
          <t>好くない(8%)；好くなり；好く出来；好く晴れ；好く見える</t>
        </is>
      </c>
      <c r="E4373" t="inlineStr">
        <is>
          <t>多く；よく；思う；最も；非常</t>
        </is>
      </c>
      <c r="F4373" t="inlineStr">
        <is>
          <t>首尾好く；都合好く；元気好く；機嫌好く；勢好く</t>
        </is>
      </c>
      <c r="H4373" t="n">
        <v>29</v>
      </c>
      <c r="I4373" t="inlineStr">
        <is>
          <t>柄の余り好くないのと一緒に歩いていて学校の友達に会うと気が引ける。；友人のうちには、もうそれほど好くなったかと喜んでくれたものもある。；口と腹とはまるでちがつてゐる人間ばかりだから心持好く話はできない。；これで夢の幽霊さえ出てくれねば、本当に好いのだがと思いつつ眠った。；そのうちに一方の高島の方は二階番のお吉と仲好くなり過ぎてしまった。；私は自分というものから脱れるためにはどうしたら好いかと考えてみた。；小さいうちは好く喧嘩をして、年の少ない私の方がいつでも泣かされた。；どうして、どこで己が楽んだって、 そうさせてくれて好いじゃないか。；彼女は家にいては能く働いたがその身状を誰も好く言うものはなかった。；その頃から、お竹さんはどうもからだの工合が好くないと言いはじめた。；実際この二つのものを考へてやらないと好い釣合は得られないのである。；口と腹とはまるでちがっている人間ばかりだから心持好く話はできない。；ところが大臣が機嫌好く話を聞いてくれたので、兄はひどく喜んでゐる。；残りの三人の落第生たちはクラスの孤島をつくって急速に仲好くなった。；どこにもそんな物はないんだからね、今夜はゆっくり寝た方が好いよ。；お前から好い返事が聞ければあの人だつて勉強するのにも張合ができる。；吉太は藁帽子を片手で少し上げて、眼の好く見えるようにして私を見た。；尾崎君のところは僕と黒須君の家の中間にあったから、都合が好かった。；でもわたしはかれがひじょうにリーズを好いてくれることを望んでいた。；それからけふはもうわたしの所へはお出なさらなくつても好くつてよ。；そして鼻頭かたれて歩くことも思ったより気持の好いものであると考えた。；しかし、秀吉は虫が好く好かないの感情だけで、動くような男ではない。；お父さんがあの男をあまり好いていなかったことは、まだおぼえています。；それでもさすがに浪花節だけは好い趣味じゃないと思っていたんでしょう。；そして他人から感謝をうけて好い気持ちになるなどと贅沢すぎる話です。；麻利耶観音、ではどうしてもあの方とは仲好く出来ないと云ふのですか?；こんな事を済ましたあとでは、あんな所へでも行くのが却って好いのだ。；あの顔は頬から耳のあたりをコオルド・ビフのように料理するが好い。；今はどうか知らないが、私の郷里には好く流行神様と云うものが出来た。</t>
        </is>
      </c>
      <c r="J4373">
        <f>HYPERLINK("https://www.weblio.jp/content/好く", "词义详情")</f>
        <v/>
      </c>
      <c r="K4373">
        <f>HYPERLINK("https://yourei.jp/好く", "查看例句")</f>
        <v/>
      </c>
    </row>
    <row r="4374">
      <c r="A4374" t="inlineStr">
        <is>
          <t>空く</t>
        </is>
      </c>
      <c r="B4374" t="inlineStr">
        <is>
          <t>成功</t>
        </is>
      </c>
      <c r="C4374" t="inlineStr">
        <is>
          <t>読み方：あく
［動カ五（四）］
１（開く）
㋐隔て・仕切り・覆いなどが、動かされて除かれる。閉じていたものがひらく。「窓が—・く」「鍵(かぎ)が—・かない」⇔閉まる。
㋑営業が始まる。営業が行われる。「店は何時まで—・いていますか」⇔閉まる。
㋒開票がはじまる。「票が—・く」
２（明く）
㋐衣服の襟などが、ひらかれている。「この服は襟ぐりが—・きすぎている」
㋑閉じていた目や口がひらいた状態になる。「小犬の目が—・く」
㋒物忌みや契約などの、一定の期間が終わる。「喪が—・く」「年季が—・く」
３（空く）今までそこを占めていたもの、ふさいでいたものが、除かれたり、なくなったりする。
㋐穴ができる。「胃壁に穴が—・く」
㋑そこにいた者やあった物がなくなり、からになる。「—・いている部屋はありますか」「席が—・く」
㋒空間・空白・余地ができる。間隔が広がる。「行間が—・いている」
㋓器の中のものが全部使われてからになる。「瓶が—・く」「—・いた銚子をかたづける」
㋔仕事が終わり、暇になってゆとりができる。「からだが—・く」「手が—・く」
㋕用が済んで、当面使わなくなる。「—・いたら貸してください」
㋖欠員になる。「課長のポストが—・く」
４（開く）あける。「口を—・く」
[補説]2㋑は「開く」、3は「明く」とも書く。
［動カ下二］「あける」の文語形。
[下接句]穴のあくほど・片目が明く・地獄の釜(かま)の蓋(ふた)も開く・手が空く・手が空けば口が開く・幕が開く・水が空く・埒(らち)が明く</t>
        </is>
      </c>
      <c r="D4374" t="inlineStr">
        <is>
          <t>空くんです</t>
        </is>
      </c>
      <c r="E4374" t="inlineStr">
        <is>
          <t>空；無人；空虚；うつろ；空っぽ</t>
        </is>
      </c>
      <c r="F4374" t="inlineStr">
        <is>
          <t>以上空く</t>
        </is>
      </c>
      <c r="H4374" t="n">
        <v>29</v>
      </c>
      <c r="I4374" t="inlineStr">
        <is>
          <t>また作品完結からヒットし映画化されるのにかなりの時間が空いている。；時間が空いたら石と木を用いて投げ槍などの道具類を作ることに従事する。；一人退院してベッドが空くとその日か、翌日には新しい患者が入院する。；台所の柱に節穴が空いているんだが、そいつを見つけたらこう言うんだ。；おなかの空くことは、昔は母親が心配して何とか食べさせて行けました。；その座が空く日は近いと思われながらもう数十年経っていると言われている。；この場合も列の先頭のボールの移動先が空いている場合に限られる。；元の生活に戻ったケリーだったが、心に空いた隙間が埋まることはない。；装身などに用いる穴の空いた玉自体はそれ以前から、世界各地にあった。；四国ステージ的には二冊目ですが空々空くんの冒険はまだ続くようです。；村内では道端などでも空いているスペースがあれば、植物の栽培に使う。；夏の渋滞路を走行中ラジエターに穴が空いた事例が多数報告されている。；路線別に区別はされていないので、空いているホームに到着することになる。；カイの留学先だったパリの服飾学校の枠が一つ空いたままであったからだ。；シャシーは最初から空いている穴のみで、新たにあけることはできない。；数ヶ月も時間が空くと、君たちの社会では復帰が難しいんじゃないか?；通路に屯営して卓子の空くのを狙っている伊太利人の家族伴れがあった。；そのため、空いていた武がダイタクヘリオスに起用されるに至っている。；ホーム全体がカーブに面しており、電車とホームの間がかなり空いている。；土地と店舗が空いたため、妻の藤森晶子は新たな商売を開こうと考える。；担当医師が不満なときは受け持ち数が空いている医師に無料で変更できる。；体には左右で対になるようにいくつかの黒い穴が空いている。；「どんな話をしましたか」 「そうですねえ」 考えるほどの間が空く。；指先が空いているため厚手であっても指先の感覚が鈍くなることはない。；大小の穴が空いた平たい棒を、レンズの前もしくは中で上下させる方式。；お腹が空くころになれば、ころりと忘れて帰ってくるのがふつうだった。；まだ1つ空いていた地位が遠征船エンデュアランスの船長の職だった。；その席が空いていなくても、空くまで待って、必ずその席に移動した。；なおその縁の一部分が穴の空いたざる状になっているものもある。</t>
        </is>
      </c>
      <c r="J4374">
        <f>HYPERLINK("https://www.weblio.jp/content/空く", "词义详情")</f>
        <v/>
      </c>
      <c r="K4374">
        <f>HYPERLINK("https://yourei.jp/空く", "查看例句")</f>
        <v/>
      </c>
    </row>
    <row r="4375">
      <c r="A4375" t="inlineStr">
        <is>
          <t>すぐ</t>
        </is>
      </c>
      <c r="B4375" t="inlineStr">
        <is>
          <t>成功</t>
        </is>
      </c>
      <c r="C4375" t="inlineStr">
        <is>
          <t>読み方：すぐ
［動ガ下二］「すげる」の文語形。</t>
        </is>
      </c>
      <c r="D4375" t="inlineStr">
        <is>
          <t>すぐにわかる；すぐわかる；すぐに消え；すぐ消え；すぐに返事</t>
        </is>
      </c>
      <c r="E4375" t="inlineStr">
        <is>
          <t>もう；近く；やがて；すぐに；早く</t>
        </is>
      </c>
      <c r="F4375" t="inlineStr">
        <is>
          <t>いますぐ；出るとすぐ；戦後すぐ；これからすぐ；入るとすぐ</t>
        </is>
      </c>
      <c r="G4375" t="inlineStr">
        <is>
          <t>すぐさま；すぐり；すぐる；すぐれる；すぐき</t>
        </is>
      </c>
      <c r="H4375" t="n">
        <v>29</v>
      </c>
      <c r="I4375" t="inlineStr">
        <is>
          <t>しかし、両者の長年の対立は深刻ですぐに和睦できるものではなかった。；父を殺して即位するが、即位後の暴政もあってすぐに廃されて殺された。；これらの症状が出たり消えたりしても、すぐに医師に連絡する必要がある。；これらは伝承や遺跡の解釈の問題でもあり、すぐには事実と認定できない。；ダーウィン主義はすぐに生物学と社会学で進化の概念を指す語となった。；母は対局が行われたNHKのスタジオから、すぐに二上に電話を入れた。；これは敵に襲われたときにすぐに逃げることができるためであると考えられる。；実務のほとんどは旧市庁舎のすぐ隣に位置する新市庁舎で行われている。；東西の幅が狭いのは、すぐ東にトンガ海溝が南北に伸びているためである。；憲法制定国民議会は軍事功労章を創設したが、これもすぐに廃止された。；元素99は、爆発の雲の中を漂っていたろ紙の中からすぐに発見された。；現在の駅はその先の上り勾配の途中にあり、駅のすぐ西側はトンネルである。；後に行われた発表では残骸も公表されて、事件はすぐに忘れ去られた。；ここを出るとすぐに国道309号と立体交差して再び地上区間となる。；托葉が存在しなかったり、存在していてもすぐに脱落することも多い。；大変忘れっぽく、嫌なことはもちろん重要なこともすぐ忘れてしまう。；絵具として商品化されたのは1936年に商品化されたすぐ後である。；線路は旧4番のりばのすぐ南に並行しており、難波方に車止めがあった。；トイレは改札を入ってすぐ右側にあり、多目的トイレも設置されている。；両選手とも合流後すぐ試合に出場し、求められた役割を果たし結果を残していった。；アルキメデスもすぐには答えられず、いったん家に帰って考えることにした。；しかしこのような生活を続けたため、すぐにまた借金が膨らんでしまった。；この日すぐ松之助はさんまを自身の仕事先であるラジオ局に連れて行った。；学校の先生になったものの日常生活でもすぐに死ぬことで好評を博した。；式が終わると二人はすぐに鉄道でロンドンへ向かった。；もっともこれは自然選択説がすぐに受け入れられたからではない。；だがステージの上で自分自身を表現すると吃音はすぐに消えた。；三塁寄りが球団ロゴとなっていたがこれもすぐに廃止されている。；表の値を決めるためは、すぐ左の値を見て、一つ上の列でその順番の値を取る。</t>
        </is>
      </c>
      <c r="J4375">
        <f>HYPERLINK("https://www.weblio.jp/content/すぐ", "词义详情")</f>
        <v/>
      </c>
      <c r="K4375">
        <f>HYPERLINK("https://yourei.jp/すぐ", "查看例句")</f>
        <v/>
      </c>
    </row>
    <row r="4376">
      <c r="A4376" t="inlineStr">
        <is>
          <t>救い</t>
        </is>
      </c>
      <c r="B4376" t="inlineStr">
        <is>
          <t>成功</t>
        </is>
      </c>
      <c r="C4376" t="inlineStr">
        <is>
          <t>読み方：すくい
１救うこと。救助。救済。「困窮者に—の手を差し伸べる」「—を求める」
２人の心に安堵(あんど)感を与えるもの。慰め。「—のない気持ち」「死傷者のないのがせめてもの—だ」
３「救済(きゅうさい)2」に同じ。</t>
        </is>
      </c>
      <c r="D4376" t="inlineStr">
        <is>
          <t>救いよう(5%)；救いたい(3%)；救いだし；救いがたい；救い上げ</t>
        </is>
      </c>
      <c r="E4376" t="inlineStr">
        <is>
          <t>支；助け；支え；世話；サポート</t>
        </is>
      </c>
      <c r="F4376" t="inlineStr">
        <is>
          <t>せめてもの救い；大きな救い；救い小屋；救いたまえ；救い米</t>
        </is>
      </c>
      <c r="G4376" t="inlineStr">
        <is>
          <t>救い出す；救い出さ；救い主；救い出そ；救い出せる</t>
        </is>
      </c>
      <c r="H4376" t="n">
        <v>29</v>
      </c>
      <c r="I4376" t="inlineStr">
        <is>
          <t>言い換えれば救いの計画を実現されていく神自身の具体的な活動である。；そういう時に救いの手を差し伸べてきたのが塩那電気株式会社であった。；誰にでも救いの手を差し伸べたが、彼は自分を救うことができなかった。；子供の半分が5歳以下で死亡したと言われ救いの無い悲惨な生活であった。；これによればキリストは万人の救いのために死んだと信じられる。；こうした少ない言葉に私たちの救いのすべての神秘が述べられているのです。；ただし、本当に困っている相手には救いの手を差し伸べる優しさもある。；神の救いの計画は、一件の聖約期に分割して理解されるべきであることを強調した。；そこで銀札発行により諸商売を盛んにして藩士や商人、農民を救いたい。；金は小妹を牢から救いだし共に逃避行の旅を続け、劉も2人の後を追う。；戦闘の停止は両者にとり多くの生命を救い、名誉を守る選択肢となった。；救いなのはインタビューする方で客観的に見ていられることだね。；投獄されたことは救いを求める人々と接する機会を与えてくれたものと感じていた。；一部の医師は、人々が問題の最終的な救いを求めているサインだと考えている。；危機にあったチームを救い、「10勝の価値がある」と古葉に言わせた。；当時聖霊は世の終わりに神から与えられると信じられていた救いの霊と考えられていた。；チームの危機を勝負強いシュート力でたびたび救い期待以上の活躍を見せた。；もしも私がお前を保護できさえすれば、死も私にとっては救いになるのだが。；幸太郎から救いを求められた和子は、とっさに赤星を殺害してしまった。；オマハからの部隊は危険にもかかわらず船を救い、プエルトリコに運んだ。；神を信じて救いの手を求め続けるも、徳川の軍隊による総攻撃を受けて死亡。；このため多くの人々はブルガリアから入ってきたボゴミル派に救いを求める。；音楽による救いを求める気持ちから、アルバムのテーマを救済としている。；最も救いがたい惨状と放棄の犠牲者で、最も残忍な仕打ちを受けたのだ。；応諾が無ければ、人類が救いに与る事も無かったとも解釈されている。；前述のように見知らぬ人々に救いの手を差し伸べることも多かった。；なお、救いのないエンディングはブルーレイDVD版に収録されている。；そして彼はボスとの戦いに勝ち弟を救い、自分が盗賊団のボスになる。；心を閉ざしがちになっていた斎藤の救いは家族の存在であった。</t>
        </is>
      </c>
      <c r="J4376">
        <f>HYPERLINK("https://www.weblio.jp/content/救い", "词义详情")</f>
        <v/>
      </c>
      <c r="K4376">
        <f>HYPERLINK("https://yourei.jp/救い", "查看例句")</f>
        <v/>
      </c>
    </row>
    <row r="4377">
      <c r="A4377" t="inlineStr">
        <is>
          <t>救う</t>
        </is>
      </c>
      <c r="B4377" t="inlineStr">
        <is>
          <t>成功</t>
        </is>
      </c>
      <c r="C4377" t="inlineStr">
        <is>
          <t>読み方：すくう
［動ワ五（ハ四）］《「掬う」と同語源》
１危機的な状況や苦しい境遇、悪い環境などにある人に力を貸したり金品を与えたりして、そこから抜け出させる。助ける。救助する。救済する。「人命を—・う」「地球環境を—・う」
２神・仏などの力によって平安な心的状態に導いたり、迷いや悩みを取り除いたりする。「信仰に—・われる」
３好ましくない状態からのがれ出させ、良いほうに進むように導く。「堕落の道から生徒を—・う」
４（多く「救われる」の形で）悪い条件を相殺する。不安・不満などが一応解消する。「重病だが本人が明るいので—・われる」「仕事がきつい上に給料が安いのでは—・われない」
[可能]すくえる［ア下一］</t>
        </is>
      </c>
      <c r="D4377" t="inlineStr">
        <is>
          <t>救うべく(5%)；救うべき；救うべから；救うべし；救うため単身</t>
        </is>
      </c>
      <c r="E4377" t="inlineStr">
        <is>
          <t>解放；救援；救出；助ける；救助</t>
        </is>
      </c>
      <c r="H4377" t="n">
        <v>29</v>
      </c>
      <c r="I4377" t="inlineStr">
        <is>
          <t>自分たちはキリストと違って、すべての人類を救おうとは思っていない。；チップをくれた人には、彼が王になったら救われるであろうと約束した。；太古の昔に奴隷達が、いつか自分達を救ってくれると信じた伝説の戦士。；僕は死んだ一人の友よりも、生きている二人の友を救おうと決心した。；実はハナは軍在籍時にフィーニーに命を救われた過去があったのである。；この危機を救ったのは病気静養中で東京にいなかった木戸孝允であった。；彼が自分の身を犠牲にして由香里を救おうとしていることはわかった。；ひとの命を救うべく救命医となったが救えぬ命を前に絶望の日々を送る。；彼女は自分を救おうとして、このたちに封じられていたのではないのか。；元は私が原因ですけど、将来の大きな苦しみを救おうとしたからです。；お前が自分の証人を救えば、あの子はお前の首を救ってくれるだろうよ!；それでもわが子を身替りにしてまで若宮を救おうとしたのはなぜなのか。；サクヤは世界を救うために密を殺しに来たのだが、殺すことができない。；という特徴のために島に定着し、人々を飢饉から救ってきた歴史がある。；君が命を張って救おうとしている女性がなにをやったか、教えてやろうか?；世の同病の男たちを救おうと早田は細井の研究に協力することを決めた。；過去に自分たちが死ぬことでエリアル・ベースが救われる未来を見ていた。；自然の恵みが救ってくれたこのときの経験により自然への関心を強めた。；夫に殺されたのかもしれないスロープ夫人は、王女なら救えただろうか。；敏夫が村を救おうとしているのは分かるが、何をもってそう思うのか。；人々はただ苦しみと苦しみを救おうとする心との他に何物をも持っていない。；判断したファラ・ハン自らが、翼をもってレイムを救おうと試みたのだ。；運転手は女を車へ乗せて女を追っている悪漢の手から救おうとした。；山伏は男女の霊を弔うと、女の霊が現れ仏法の力で救われたと感謝する。；この頃から王国の危機を救ったと自認し、ソテルと称するようになった。；第二次世界大戦時にはハンガリーに住む何千人ものユダヤ人を救った。；羊献容は以前の劉暾の行動に感謝しており、命を救われた事を上奏した。；ディオニュシオスが救えたのは、寺院に避難していた市民のみであった。；そんな欣也の命を救ったのは謎の小型戦闘機を操る二人の美少女だった。</t>
        </is>
      </c>
      <c r="J4377">
        <f>HYPERLINK("https://www.weblio.jp/content/救う", "词义详情")</f>
        <v/>
      </c>
      <c r="K4377">
        <f>HYPERLINK("https://yourei.jp/救う", "查看例句")</f>
        <v/>
      </c>
    </row>
    <row r="4378">
      <c r="A4378" t="inlineStr">
        <is>
          <t>掬う</t>
        </is>
      </c>
      <c r="B4378" t="inlineStr">
        <is>
          <t>成功</t>
        </is>
      </c>
      <c r="C4378" t="inlineStr">
        <is>
          <t>読み方：すくう
［動ワ五（ハ四）］
１手のひらやさじなど、くぼんだ形のものを使って、液状・粉末状のものの表面に近い部分を、えぐるようにして取り出す。また、手のひらやさじなどで、液体の表面に浮いているものやその中にあるものを、下から受けるようにして取り出す。「手で水を—・う」「さじで砂糖を—・う」「杓子であくを—・う」「メダカを—・う」
２下から上へすばやく持ち上げる。また、下から持ち上げるようにして横にはらう。「足を—・われる」「小股を—・う」
[可能]すくえる［ア下一］</t>
        </is>
      </c>
      <c r="D4378" t="inlineStr">
        <is>
          <t>汲む；汲み上げる；すくい上げる；汲み取る；汲みとる</t>
        </is>
      </c>
      <c r="H4378" t="n">
        <v>29</v>
      </c>
      <c r="I4378" t="inlineStr">
        <is>
          <t>溶けたとしたらその小さな骨を何かの網で掬い上げなくちゃなりません。；あとは机に向かって、掬い取ったものを文章のかたちにしていくだけだ。；表にない小事件になると、掬いきれない河砂ほどもなおあるのだった。；掌に掬ってみてもまだなにほどかの青の色が残っているのではあるまいか。；船上からの目撃で、たも網で掬おうとしたら沈んでしまったのだと云う。；自分の上手で相手の足の膝の内側を掬い上げ、体を捻って相手を倒す技。；彼は、私の眸差を反対に掬いあげ、指を一本立てて口の中に舌を鳴らした。；椰子の樹から海へ落ちたところを、すぐ網で掬い上げられたのでした。；それを網杓子で西洋皿へ掬い取ってもまだ半分ほど牛乳が残っています。；「何て奇麗な水でしょう」妻は舷側の水を両手に掬い上げて川を讃める。；次の年にはわたしは時々食膳にのぼせるためにひと掬いの魚を取った。；城壁に使われた粘土は、島の周囲の湖底から掬われたものかもしれない。；何故なら、掬った途端に洋杯の中の海はただの水になってしまうからです。；今、自分は何かとんでもない間違いに足下を掬われて倒されかけている。；一般には小さなボールとポイと呼ばれる金魚を掬う道具を用いて行う。；伸子は、客に行ったさきであんな風に掬い上げられたことは不愉快だった。；決勝では先行するも最終4角で内から石井寛子に掬われ2着に終わった。；小夜子のみならず彼女が出した小型の人間もともに掬いとって男は庇護する。；焼いたナン又は米とソースや固形物を一緒に手で掬って食べる事が多い。；店の中から網で掬ってきたように、若い男をひとり連れている。；ほか、背負い投げや手の甲で胸を押しのけ足背で内脚を掬うものがある。；現段階でなお綺礼の足を掬って優位を覆す存在がいるとするならば、奴だ。；あらゆる民族の女性や子供が男達の隣で金を掬う姿が見られた。；こいつのために私も、すんでの事に小股を掬われるところだったのだ。；夢中になって飯を掬う源次の傍らに、お蝶という名の若い娘が現われた。；しかしレース終盤に濡れた路面に足を掬われルイス・ハミルトンと接触。；相手が下から掬い上げた刃は、おれの右脇を掠めて岩に当たった。；前方にだけ注意していたから、いきなり背後から足下を掬われたような気がした。；尤も小説を書くなんてことは、池の底の月を笊で掬うようなことですけどね。</t>
        </is>
      </c>
      <c r="J4378">
        <f>HYPERLINK("https://www.weblio.jp/content/掬う", "词义详情")</f>
        <v/>
      </c>
      <c r="K4378">
        <f>HYPERLINK("https://yourei.jp/掬う", "查看例句")</f>
        <v/>
      </c>
    </row>
    <row r="4379">
      <c r="A4379" t="inlineStr">
        <is>
          <t>少ない</t>
        </is>
      </c>
      <c r="B4379" t="inlineStr">
        <is>
          <t>成功</t>
        </is>
      </c>
      <c r="C4379" t="inlineStr">
        <is>
          <t>読み方：すくない
［形］［文］すくな・し［ク］数量・程度などが小さい。わずかしかない。「観客が—・い」「—・いチャンスをものにする」⇔多い。
[派生]すくなげ［形動］すくなさ［名］</t>
        </is>
      </c>
      <c r="D4379" t="inlineStr">
        <is>
          <t>少ないため(5%)；少ない場合；少ない地域；少ない方；少ないほう</t>
        </is>
      </c>
      <c r="E4379" t="inlineStr">
        <is>
          <t>わずか；小さい；狭い；僅か；小柄</t>
        </is>
      </c>
      <c r="F4379" t="inlineStr">
        <is>
          <t>より少ない；極めて少ない；比較的少ない；最も少ない；極端に少ない</t>
        </is>
      </c>
      <c r="H4379" t="n">
        <v>29</v>
      </c>
      <c r="I4379" t="inlineStr">
        <is>
          <t>弾数の少なさを気にしたのではなく、人間の心理に期待したからだった。；しかしながら、発明の定義を法律の条文で明らかにしている国は少ない。；単独で降伏した者は少なく、大部隊が一度に降伏することが多かった。；僕は僕の恋愛問題がこのことに少なからざる責任のあることを感じていた。；それがその生涯に多かれ少なかれ影響を与えたことだけは言えると思う。；おぬしがここに尋ねてきたというのも、少なからぬ縁があったからじゃ。；フランスでは子供に付けられる名前が少なく、同じ名前の人物が多数いる。；また人形にはもともとの目的が人間の代用であったものも少なくない。；少ないながらも存在していた記事はウィキペディアの方へ吸収された。；圧倒的に経験が少ないブランドを起用したのはカザンの選択であった。；台風の通過・被害が多いが、九州のほかの県と比べると少ない方である。；難しいことではないし、新都の民や建物に被害が及ぶことも少なかろう。；基本的に二人のトークが主なので、ゲストが呼ばれる機会は少なかった。；この辺からは少なからぬ数の商人が、インドなどの外国にでかけて行く。；これらはその店が繁昌するか衰亡するかに少なからぬ関係を有している。；これだけの高ぶりを表す女性に、男性経験の少なさはもう感じられない。；人口と比べて蔵書数は少ないとされ、学習席の少なさも指摘されている。；スイートホームに入るにしては、荷物が少なすぎるなといった顔だった。；スターリンも中国の戦争貢献の少なさを指摘し、さらに激しく反対した。；ハイテクは現在でも重要な部門だが、大規模な技術主導の会社は少ない。；姿を隠してしまった猫の数にくらべれば問題にならない少なさである。；絶対的な生産数の少なさは、それ自体が装備の信頼性の低さに直結する。；しかし宇宙全体で見ると、実は液体の状態で存在している量は少ない。；大阪を代表するタレントであったが、全国ネットへの出演は少なかった。；彼が多かれ少なかれヴァンスと同じ意見を抱いているのは明らかだった。；かれの力はトラクの巨大なそれに対抗するにはあまりに経験が少なすぎた。；一方で湖沼の面積が大きくなると風浪の影響によって生物は少なくなる。；このような認識は少なからざる人々の間で語られるが、数的根拠はない。；一方のスターシュートもまた母父として少なからぬ影響力を持っていた。</t>
        </is>
      </c>
      <c r="J4379">
        <f>HYPERLINK("https://www.weblio.jp/content/少ない", "词义详情")</f>
        <v/>
      </c>
      <c r="K4379">
        <f>HYPERLINK("https://yourei.jp/少ない", "查看例句")</f>
        <v/>
      </c>
    </row>
    <row r="4380">
      <c r="A4380" t="inlineStr">
        <is>
          <t>少なくとも</t>
        </is>
      </c>
      <c r="B4380" t="inlineStr">
        <is>
          <t>成功</t>
        </is>
      </c>
      <c r="C4380" t="inlineStr">
        <is>
          <t>読み方：すくなくとも
［副］
１少なく見積もっても。内輪に見ても。少なくも。「—一年はかかる」
２せめて。ともかく。少なくも。「—一日二時間は勉強しろ」「—これだけは約束する」</t>
        </is>
      </c>
      <c r="D4380" t="inlineStr">
        <is>
          <t>少なくとも一人；少なくとも一度；少なくとも表面上；少なくとも五十；少なくとも数十</t>
        </is>
      </c>
      <c r="E4380" t="inlineStr">
        <is>
          <t>とにかく；最低；せめて；最悪；少くとも</t>
        </is>
      </c>
      <c r="F4380" t="inlineStr">
        <is>
          <t>含む少なくとも；少なくとも延喜年間；少なくとも一ダース；少なくとも数か月；少なくとも江戸時代中期</t>
        </is>
      </c>
      <c r="H4380" t="n">
        <v>29</v>
      </c>
      <c r="I4380" t="inlineStr">
        <is>
          <t>このような翻訳が可能だったのは、少なくとも二つの原因が考えられる。；いずれの場合も少なくとも3ヶ月以上前に市に届け出なければならない。；しかし少なくとも10世紀頃には既に成立していたと考えられている。；サウスダコタ州となった地域には少なくとも数千年前から人類が住んでいた。；少なくとも5万年前には現在のアフガニスタンには人間が住んでいた。；また生涯で少なくとも60回以上引越しを繰り返したことも知られている。；中国大陸の民族も少なくとも紀元前300年までに天気を予測していた。；また人間には少なくとも他の社会的動物以上の自制心の能力を持っている。；患者本人は少なくとも場の文脈に応じた行動を取ることが難しい。；囚人は一般的に少なくとも二つ、普通六つ以上のバッジを所有していた。；国内外で販売した車種に影響して対象は少なくとも数十万台となる。；論証が科学的であるためには、少なくとも論理的であることが求められる。；その他の国では、少なくとも表向きは大規模なケシ栽培は行われていない。；少なくともこれ以前には直義の養子になっていたと推測される。；日本時代には少なくとも食べ物がなくて死んだ人はいなかった。；多くの歴史作家は彼には少なくとも2人の男性の恋人がいたのだと断言している。；この大きな遺伝的分化は少なくとも数百万年前には発生していたといわれている。；シドニー湾沿岸には少なくとも4万年前からアボリジニが定住していた。；三井家は少なくともこの地方では、当時から相当の豪商だったと見られる。；写真は少なくともこの意味で確かに撮影者の創作物であり、表現の手段である。；少なくとも一文書中ではどちらか一方のみを使用する。；しかし一方で、両者の関係は少なくとも表面上は極めて良好であった。；少なくとも、アカイア人であったとする積極的な証拠は存在しない。；このほか記録にのみ残っている作品が少なくとも10点はある。；チューリングテストの初期バージョンには主に少なくとも3つがある。；これが事実なら、少なくとも400年以上の歴史があることになる。；ガザ地区には他にも類似の武装集団が少なくとも10前後はあるとされる。；少なくとも1つの科学的研究もこうした主張を支持している。；他の重要な高校にはがあり、少なくとも一方の親が居ない全国の子供に無料で教育を行っている。</t>
        </is>
      </c>
      <c r="J4380">
        <f>HYPERLINK("https://www.weblio.jp/content/少なくとも", "词义详情")</f>
        <v/>
      </c>
      <c r="K4380">
        <f>HYPERLINK("https://yourei.jp/少なくとも", "查看例句")</f>
        <v/>
      </c>
    </row>
    <row r="4381">
      <c r="A4381" t="inlineStr">
        <is>
          <t>優れる</t>
        </is>
      </c>
      <c r="B4381" t="inlineStr">
        <is>
          <t>成功</t>
        </is>
      </c>
      <c r="C4381" t="inlineStr">
        <is>
          <t>読み方：すぐれる
［動ラ下一］［文］すぐ・る［ラ下二］
１能力・容姿・価値などが他よりまさる。他よりぬきんでる。「語学に—・れる」「人並み—・れて足が速い」「—・れた作品」
２（多く打消しを伴って用いる）よい状態である。「健康が—・れない」「天候が—・れない」</t>
        </is>
      </c>
      <c r="D4381" t="inlineStr">
        <is>
          <t>超える；光る；越える；上回る；突出</t>
        </is>
      </c>
      <c r="H4381" t="n">
        <v>29</v>
      </c>
      <c r="I4381" t="inlineStr">
        <is>
          <t>このため科学技術分野などの高度な数学的計算を行うことに優れている。；その年に発表された推理小説の中で最も優れていたものに与えられる。；張は各種の版本を検討した結果、紹煕本は非常に優れていると提唱した。；競走後も日ごとに動きが良化し、厩舎内でも特に優れた馬と見られ始めた。；エロイーズは容貌もよく、学問に優れていたため国内でも有名であった。；地蔵菩薩を描いた絵画なども伝わっており、画才にも優れた人物だった。；他人より優れているように振舞いたがる人間は後々見劣りするであろう。；こうした状況では、優れた指揮能力を持つ者を執政官に選ぶ必要があった。；彼は誰も手にかけず、シュラクサエに多くの優れたものを残したのだ。；情報の有効利用という観点では、ベイズ統計分析がはるかに優れている。；彼は、多くの優れた数学者たちとの交流の中で、独自の理論を発展させた。；その中にはデビュー当初から優れた実績を挙げ才能を期待されていた人物も見られる。；このレンズの利点は、 といったものであり、特性は極めて優れている。；またこの作品は「シベリウスが作曲した最も優れた偉業」とも言われる。；通信できる範囲が光の到達する範囲内で限られている為、秘匿性に優れる。；戦争が暗い影を投げかけるこの時期にも、優れた創作活動は行われていた。；一般にカラーフィルムと比べて保存性や粒子の細かさに優れるとされる。；また、数学の能力は特に優れ、それ以外の学業成績も軒並み優秀である。；人々が前進したときよりも後退したときの方が短期記憶が優れている。；ほとんどの種では正面と両側面の視覚が優れていたことが明らかにされている。；お笑いの作り手としても、部分部分は優れてる人はいると思うんです。；哲学における「美」の概念の概説的な説明は、すでに優れた記述がある。；そのため敵の注意が攻撃力に優れる仲間に向いてしまうことがしばしばある。；一方でスピードには優れないが、それをカバーできる頭の良さを持っている。；芸術的に見て優れた絵も多く、画家にも少数だがファンが付いているほどである。；優れた嗅覚を持つが、毒草や血の匂いなどを嗅ぎ分けることはできない。；優れた予言の能力を持っているが決して口にすることはない。；以上のうち、最後の方法が他のものより若干精度的に優れている。；作業場での彼の初期の優れた作品は木版印刷で、特に宗教的なものであった。</t>
        </is>
      </c>
      <c r="J4381">
        <f>HYPERLINK("https://www.weblio.jp/content/優れる", "词义详情")</f>
        <v/>
      </c>
      <c r="K4381">
        <f>HYPERLINK("https://yourei.jp/優れる", "查看例句")</f>
        <v/>
      </c>
    </row>
    <row r="4382">
      <c r="A4382" t="inlineStr">
        <is>
          <t>図形</t>
        </is>
      </c>
      <c r="B4382" t="inlineStr">
        <is>
          <t>成功</t>
        </is>
      </c>
      <c r="C4382" t="inlineStr">
        <is>
          <t>読み方：ずけい
１物の形を図にかいたもの。
２数学で、面・線・点・立体、またはそれらの集まり。</t>
        </is>
      </c>
      <c r="D4382" t="inlineStr">
        <is>
          <t>図形的；図形情報；図形処理；図形認識；図形描画</t>
        </is>
      </c>
      <c r="E4382" t="inlineStr">
        <is>
          <t>絵；映像；図；画；画像</t>
        </is>
      </c>
      <c r="F4382" t="inlineStr">
        <is>
          <t>三角図形；幾何学図形；複雑な図形；幾何学的図形；平面図形</t>
        </is>
      </c>
      <c r="G4382" t="inlineStr">
        <is>
          <t>図形楽譜；図形数；図形譜；図形素結合子；図形商標</t>
        </is>
      </c>
      <c r="H4382" t="n">
        <v>29</v>
      </c>
      <c r="I4382" t="inlineStr">
        <is>
          <t>杖の先で人形の周囲の地面に、ガリガリと複雑な図形を描き込んでいく。；これは自然物のような複雑な過程を経て形成された図形に顕著である。；二人は奇妙な踊りを思わせる足捌さで地面に複雑な図形を描いていた。；これらは 図形であり、そのような図形が分類する現象は と呼ばれる。；古典図形 に付随する対象は代わりに伝統的な名前を持っているのである。；図形を記述するだけでなく、文字のアウトラインを記述する場合もある。；このようにフラクタル次元は図形の複雑さを数値で表していると言える。；文字と写真・イラストなどの図形により各種情報を提供する雑誌状の番組。；五以上の正多角形の各辺を左右に延ばした図形を芒星と呼ぶ場合がある。；公式や数・図形の性質を、CGやアニメーションを使って解説していた。；このように、形成された図形にプロットされる点は信号点と呼ばれる。；図形のイラストが豊富で、理論と結果に関する優れた解説を提供している。；単純幻視は、一般的に図形や光、格子状の模様が見えるのが特徴である。；コンパスで描いた以上、この図形は線の幅の範囲内では、完全な円である。；反対に一つの式で解き得べき幾つもの図形を作ったりなどして喜んだこともある。；地球と同じように多様体は好きなところに小さな地図が描ける図形である。；この図形では背景が覆われるかどうかは見る方向に依存する。；図形のいくつかの追加の写像は以下に詳述するように意味のある解釈を持つ。；この記法の図は線でつながれたいくつかの図形から構成されている。；図形による作曲も考案していたと伝えられるが、証拠は残っていない。；底や高さは一般的な用例として図形の面積や体積の計算に利用される。；また、ひし形や十字などの単純な図形や動物を描いた絵画作品も見られる。；フェラーズ図形では丸で表していたものを、ヤング図形では箱型を使う。；プラトンのいうイデアは幾何学的な図形の完全な姿がモデルともとれる。；図形の上での線一本の違いが、実際には十五フィートの誤差を生んだ。；無数の図形に分断された、穴だらけの惑星面が眼下でゆっくりと動いていた。；人口重心とは、ある地域に住む人々の居住地点からなる図形の重心である。；さらに式を図形に応用したところ、クラインの壺によく似た図形が現れた。；以下の物は基準となる図形に関わらず適用されるルールである。</t>
        </is>
      </c>
      <c r="J4382">
        <f>HYPERLINK("https://www.weblio.jp/content/図形", "词义详情")</f>
        <v/>
      </c>
      <c r="K4382">
        <f>HYPERLINK("https://yourei.jp/図形", "查看例句")</f>
        <v/>
      </c>
    </row>
    <row r="4383">
      <c r="A4383" t="inlineStr">
        <is>
          <t>すごい</t>
        </is>
      </c>
      <c r="B4383" t="inlineStr">
        <is>
          <t>成功</t>
        </is>
      </c>
      <c r="C4383" t="inlineStr">
        <is>
          <t>読み方：すごい
［形］［文］すご・し［ク］
１ぞっとするほど恐ろしい。非常に気味が悪い。「—・い目でにらむ」
２びっくりするほど程度がはなはだしい。並外れている。大層な。「—・い人気」「—・いプレー」「—・い秀才」「—・い散らかりよう」→凄く［補説］
[派生]すごさ［名］すごみ［名］
[用法]すごい・ひどい——「すごい（ひどい）嵐」「すごい（ひどい）寒さ」「すごく（ひどく）速い」など、はなはだしいの意では相通じて用いられる。◇「すごい」は俗語的な言い方で、「すごく険しい」「すごくおいしい」「すごく悪い点数」など副詞的に幅広く用いられる。また「すごい評判だ」「すごいあばら家」などプラス、マイナス両面の評価に使う。◇「ひどい」は「ひどい人」「ひどい仕打ち」「ひどいことを言う」のように、マイナス評価について用いられる。◇俗に連体形を副詞的に用いて「すごいおもしろい人だ」のような言い方もある。</t>
        </is>
      </c>
      <c r="D4383" t="inlineStr">
        <is>
          <t>すごい勢い(5%)；すごいです(2%)；すごい音；すごい力；すごいスピード</t>
        </is>
      </c>
      <c r="E4383" t="inlineStr">
        <is>
          <t>巨大；大きい；最高；妙；大変</t>
        </is>
      </c>
      <c r="F4383" t="inlineStr">
        <is>
          <t>本当にすごい；なんてすごい；そのものすごい；すごい速さ；すごい形相</t>
        </is>
      </c>
      <c r="G4383" t="inlineStr">
        <is>
          <t>すごいい；すごいー；すごいエリザベス</t>
        </is>
      </c>
      <c r="H4383" t="n">
        <v>29</v>
      </c>
      <c r="I4383" t="inlineStr">
        <is>
          <t>何も知らんほかの何百万もの人間と同じように、人生をすごしてたろう。；あたしはよく二階の実験室へ行っては、父と時間をすごしたものですわ。；私が自分の母親を立派だ、スゴイと思うのはこんなことがあったからだ。；その映画の中で使われた曲なんだけど、すごいいい曲だなって思ってて。；彼は二日めの夜を、ある村に近い畑の上のわらたばのあいだですごした。；いつものシングルに比べてすごく自分でも楽しみながら書けた一曲です。；その前の晩は目があいたまんまで一晩中すごしたほどはずんだ心で居た。；ところが、その数分後には、そのドアがすごい勢いで開かれたのである。；特に美少女ゲームの声優は動きを出す技術が必要でそれがすごく難しい。；母親はすごく良い子で手がかからずスムーズに育ってきたと思っていた。；これは星と地球の海水との間のすごい摩擦力でそうなったものであろう。；どんなすごいカントリー・レコードを作ることができるだろうと思った。；彼は息子の死を知った際にすごく激怒してこのように言ったとされている。；ふたりは静かな部屋でぼんやり時をすごし、ビールを飲むのが常だった。；営業成績で1番になり、社長賞ももらうほど成績がすごかったとのこと。；私はあの男がすごいお調子者で神を模倣していることを理解したんだ。；なにかすごく大きなものを口いっぱいにほおばっているみたいに見える。；僕は、あの人がすごい決闘の名手なのではないかとさえ思っているんだ。；そいつはたいしたものには見えないが、ここじゃすごい道具になるんだ。；そのあとわたくしたちは、二人して、たいへん楽しい夜をすごしました。；漫画に登場するすごい人物やすごい技を実際にできるかどうか検証する。；すぐ近くで何かすごいものが正常空間の構造をゆがめたのにちがいない。；それは、わたしの今までに見たことのないようなすごい都市なんです。；その後に身体を回復させて次の試合に合わせていくのが、すごく大変。；ジルはこれまでこれほどいやなひと時をすごしたことがありませんでした。；彼はその生活の大部分を薄暗がりの中ですごしているような気がした。；これまで対戦した中で一番すごいと思った投手には前田健太を挙げている。；ちょっとでも手をふれたら、前よりすごい爆発が起こるかもしれません。；その口調は彼が受けているすごいほどの緊張をまざまざと示していた。</t>
        </is>
      </c>
      <c r="J4383">
        <f>HYPERLINK("https://www.weblio.jp/content/すごい", "词义详情")</f>
        <v/>
      </c>
      <c r="K4383">
        <f>HYPERLINK("https://yourei.jp/すごい", "查看例句")</f>
        <v/>
      </c>
    </row>
    <row r="4384">
      <c r="A4384" t="inlineStr">
        <is>
          <t>少し</t>
        </is>
      </c>
      <c r="B4384" t="inlineStr">
        <is>
          <t>成功</t>
        </is>
      </c>
      <c r="C4384" t="inlineStr">
        <is>
          <t>読み方：すこし
［副］数量・程度などがわずかであるさま。ちょっと。「—休もう」「通常より—高い金額」「もう—で到着する」「—は改善された」
[用法]すこし・ちょっと——「この洋服は少し（ちょっと）大きすぎる」「少し（ちょっと）お待ちください」などでは相通じて用いられる。◇「少し」には、「少しの暇」「少しは理解できる」などのように名詞的な使い方もある。「ちょっと」は、ややくだけた言い方。◇「ちょっとした」の形で、ある水準・程度に達している意を表す使い方と、打消しを伴って「かんたんには…できない」の意を表す使い方は「少し」にはない。「ちょっとした財産」「ちょっと想像もつかない珍事」など。◇類似の語に「少々」がある。「少し」「ちょっと」に比べ文章語的であり、「少々のことでは驚かない」「牛肉を少々買い求めた」などとも使う。</t>
        </is>
      </c>
      <c r="D4384" t="inlineStr">
        <is>
          <t>少し離れ(3%)；少し違う；少し驚い；少し開い；少しも変ら</t>
        </is>
      </c>
      <c r="E4384" t="inlineStr">
        <is>
          <t>ちょっと；わずか；やや；多少；ある程度</t>
        </is>
      </c>
      <c r="F4384" t="inlineStr">
        <is>
          <t>まだ少し；あと少し；少しでも早く；少し大きい；少しでも多く</t>
        </is>
      </c>
      <c r="G4384" t="inlineStr">
        <is>
          <t>少しずつ少しずつ；少しも；少しづつ少しづつ</t>
        </is>
      </c>
      <c r="H4384" t="n">
        <v>29</v>
      </c>
      <c r="I4384" t="inlineStr">
        <is>
          <t>左遣いは差金と呼ばれる棒を用いて人形から少し離れた位置で操作する。；トイレは改札外の駅舎内と駅舎から東吾野側に少し離れたところにある。；いずれにせよ少しでも怪しいと感じたら絶対に借りないことが第一である。；曲調は曲の断片を少し聞いただけでも彼女のものと判るほど特徴がある。；この頃から新聞や雑誌の取材も少しではあるが受けるようになる。；消防車は10時少し前に到着したが火はすでにかなり燃え広がっていた。；以上を少し単純化して数学的に表すと、次のような方法が考えられる。；そこで駅建設には集落よりも南に少し離れたところにその地を求めることになった。；一里塚を過ぎて少し行くと国道20号は中央本線を跨線橋で渡っている。；ホームが地平より少しだけ高いのでホームから地上へは階段を通る。；下りは15分等間隔で運転されているが、上りは少しずれが生じている。；一方、ファン・ゴッホの絵画は少しずつ評価されるようになっていた。；杣川から北へ少し離れた所にあり、駅付近は細い路地が入り組んでいる。；川の北側には魚市場があり、そこから北へ少し進むと仁万海岸公園に至る。；これらは化石では確認しにくいが、近年では少しずつ研究が進められている。；これらの対策の結果、少し時間はかかったもののバター不足は収まった。；代わりに、葬祭の場は墓より少し離れた場所に場所の関係で移された。；近年は日本でも少しずつ取り入れられるようになってきた。；そのため、婦人標準服とは少し違う個性的なデザインの服も作る人もいた。；いずれも子供の成長のためであるが、やり方、他の目的など少しずつ違う。；サッシの角が角ばっているのは少しでも視界を広く取りたいためとされている。；そのため回を重ねるごとに地の声に近づくよう、少しずつ軌道修正していった。；駅北側を国道と並行し、そこから少し北へ進むと中国自動車道が通る。；そこで少しでも苦しんでいる人達のために自分達が力になれたらと思いました。；少しの燃料とタワーがあればすぐに焼けるチャパティの方が一般的である。；自分が少し解放されたのは大学に入ってからという。；ホームは高架化前より少し東へ移動し、東端は交差道路上となっている。；貴女の苦難を少しでも軽くするためなら私はどんなことを厭いません。；この短編の少し異なるバージョンが一年後にオムニ誌に掲載された。</t>
        </is>
      </c>
      <c r="J4384">
        <f>HYPERLINK("https://www.weblio.jp/content/少し", "词义详情")</f>
        <v/>
      </c>
      <c r="K4384">
        <f>HYPERLINK("https://yourei.jp/少し", "查看例句")</f>
        <v/>
      </c>
    </row>
    <row r="4385">
      <c r="A4385" t="inlineStr">
        <is>
          <t>少しも</t>
        </is>
      </c>
      <c r="B4385" t="inlineStr">
        <is>
          <t>成功</t>
        </is>
      </c>
      <c r="C4385" t="inlineStr">
        <is>
          <t>読み方：すこしも
［副］
１（下に打消しの語を伴って）全然。まったく。ちっとも。「—寒くない」
２少しでも。わずかながら。
「—益の増さらんことを営みて」〈徒然・一八八〉</t>
        </is>
      </c>
      <c r="D4385" t="inlineStr">
        <is>
          <t>少しも変ら；少しも知ら；少しも変わら；少しも不思議；少しもわから</t>
        </is>
      </c>
      <c r="E4385" t="inlineStr">
        <is>
          <t>さらに；更に；一切；露；さっぱり</t>
        </is>
      </c>
      <c r="F4385" t="inlineStr">
        <is>
          <t>少しも気がつか；少しも早く；少しも心配；少しも驚か；少しも違わ</t>
        </is>
      </c>
      <c r="H4385" t="n">
        <v>29</v>
      </c>
      <c r="I4385" t="inlineStr">
        <is>
          <t>さっきからの姿勢を少しもくずさないで、じっと一つ所を見つめていた。；針がすっかり沈んでしまって少しも浮かばないと運命は凶であるという。；音楽も好きではあったが、研究している間は少しも音を立てさせなかった。；彼の顔は覆面に隠れて、笑っているのか泣いているのか、少しも分らぬ。；諸戸道雄の実の親が何所の誰であるかは、残念ながら少しも分らなんだ。；きみは手がかりをまだ少しもつかんでいないといったばかりじゃないか。；あなたの私に対する反問は皆上走つてゐて少しも核に触れてはゐません。；なぜなら、前の場合も後の場合も、明白な結合は少しもないからである。；従者をして付近を捜索さしたが、どこへ行ったやら少しも知れなかった。；銀髪の婦人はいい気持ちに踊っていたので、少しもそれを知らなかった。；蜘蛛はどうして此の危険な生餌を少しもおそれないでゐられるのでせう?；しかしそれは少しもプレンダギャストとその仲間の心を動かさなかった。；まして私はS夫人がその謎の鍵を握っているとは少しも知らなかった。；この二つの大きな濃い彼の影を、私は最初少しも知りませんでした。；僕等の風俗や習慣の彼等に滑稽に見えるのもやはり少しも不思議ではない。；すなわち財産は全国共有であって、私有の財産というものは少しもない。；勿論家のものもあのあらしではと少しも気にかけてはゐませんでした。；屋根の上の警官たちにさえ、この気球は少しも気づかれませんでした。；その時に少しばかりの防禦工事や何かでは少しも役に立たぬのである。；フランス語の少しも分からぬ支那人が二人パリに来て、芝居を見物した。；だが、不思議なことに、私はそれを少しもおかしいとは感じなかった。；が、それ等の彼女の美点は、ワルトンに少しも関係の無い気がし出した。；しかもその「天才」と云ふ言葉は少しも皮肉な意味を持つてゐなかつた。；私には何処から云つても悪人らしい印象は少しも受ける事が出来ませんでした。；その服装はどの活花の傍に桂子が立つても少しも色調に抵触しなかつた。；人間の目には少しも見えない、空気のようなものになったのです。；何故なら、その混合は、運動の感覚に少しも変更を産まないからである。；第一あの晩には外部から人の入った形跡が少しもないのだからね。；寧ろさう云ふ場合には少しも我慢をしない事が必要だと思ひます。</t>
        </is>
      </c>
      <c r="J4385">
        <f>HYPERLINK("https://www.weblio.jp/content/少しも", "词义详情")</f>
        <v/>
      </c>
      <c r="K4385">
        <f>HYPERLINK("https://yourei.jp/少しも", "查看例句")</f>
        <v/>
      </c>
    </row>
    <row r="4386">
      <c r="A4386" t="inlineStr">
        <is>
          <t>過ごす</t>
        </is>
      </c>
      <c r="B4386" t="inlineStr">
        <is>
          <t>成功</t>
        </is>
      </c>
      <c r="C4386" t="inlineStr">
        <is>
          <t>読み方：すごす
［動サ五（四）］《「すぐす」の音変化》
１何かをして時間を費やす。「休日は子供と遊んで—・した」
２月日を送る。暮らす。「その後は、いかがお—・しですか」
３そのままの状態にしておく。
「お前はどうかして一寸それをぼかして—・そうと云うのだ」〈鴎外・半日〉
４物事の程度を越す。特に、酒を飲み過ぎる。または、酒を飲む。「冗談も度を—・すと不愉快だ」「友達にすすめられて、ついつい—・してしまった」「どうぞ一つ、お—・しください」
５生活の面倒を見る。養う。
「二十三にもなって親を—・す所か」〈二葉亭・浮雲〉
６物事を終わらせる。済ませる。すぐす。
「えさらず思ふべき産屋の事もあるを、これ—・すべしと思ひて」〈かげろふ・中〉
７年をとる。老いる。すぐす。
「久我の少将通宣、いたく—・したる程にて」〈増鏡・秋のみ山〉
８（動詞の連用形に付いて）
㋐適当な程度を越して事をする。「遊び—・す」「寝—・す」
㋑そのままにしておく。「見—・す」「やり—・す」
[補説]上代には「すぐす」が普通で「すごす」はほとんど見られない。平安時代には両者が併用され、中世末期ごろから「すごす」が普通になった。
[可能]すごせる</t>
        </is>
      </c>
      <c r="D4386" t="inlineStr">
        <is>
          <t>過ごすべく；過ごす楽しい；過ごすつもりらしい；過ごす陸封型</t>
        </is>
      </c>
      <c r="E4386" t="inlineStr">
        <is>
          <t>与える；通る；過ぎる；暮らす；通す</t>
        </is>
      </c>
      <c r="F4386" t="inlineStr">
        <is>
          <t>楽しく過ごす；晩過ごす；ともに過ごす；のんびり過ごす</t>
        </is>
      </c>
      <c r="H4386" t="n">
        <v>29</v>
      </c>
      <c r="I4386" t="inlineStr">
        <is>
          <t>それを見つけることが出来ないまま何ヶ月も過ごしてしまうことがある。；正月はやっぱり日本で過ごさないと年が新しくなった気がしないからね。；学校中の白い視線を浴びて、残り一年間を過ごさなければいけなくなる。；また毎日三食饅頭だけで過ごし健康を害しかかったこともよく知られる。；日本での最後の一日は淀橋の実家で過ごそうと、夫婦の意見は一致した。；ミロクが森の中に小屋があるから、そこで一晩を過ごそうと云ったのだ。；主に普通教室・職員室などがあり、生徒は多くの時間をこの棟で過ごす。；この博物館の建物は、かつてマンが過ごした別荘を利用したものである。；建物は数百年たっているものなのに、住民の一部が毎年夏中そこで過ごす。；二人は森へ隠れ、マルク王に発見されるまでの日々をそこで過ごした。；それからも彼女との関係は続き、幸せに満ちた日々を過ごすジャクソン。；わたしは少年の成熟期の数年を友人なしで過ごさなければならなかった。；何で大切な人生のひとときをそんな風にして過ごさなければならないの?；安定的な秩序が維持されており、各国は基本的に平和に過ごしている。；しかし、病状が悪化していた彼は、晩年を宮廷外で過ごすことを選んだ。；寒さのため洞窟で過ごさねばならない長い時間が勉強に当てられた。；これは10代を京都に住む父方の祖母のもとで過ごしたためだという。；ジョゼフはイギリスに渡り、戦争が始まると逮捕されマン島で過ごした。；任務以外の時間はうるさいことを言わず隊員の自由に過ごさせていた。；課業の時間がまったくドレミファの練習をする以外のことで過ごされた。；マストの工事場を視察してそこで夜を過ごそうとしたのだと人々は思った。；男と女がこれからの一生を共に過ごそうとする約束を私に迫っている。；主要都市は新しい経済分野を発展させ、人口の変化に対応する時代を過ごした。；それ以来ずっと家で過ごすうちにラジオの大相撲中継を聞くようになった。；当時しばしば過ごしたドーセットの田舎は、後の作品に影響を与えた。；そこで、この段階を母植物の上で過ごしてしまう方向へ進化が進んだのであろう。；ただ気がかりなのは、その数日をどうして過ごそうかという点であった。；若い頃にスイスとフランスで過ごしたため、流暢なフランス語を話す。；残された時間を家族と過ごすために退院してウンケルの自宅に隠棲した。</t>
        </is>
      </c>
      <c r="J4386">
        <f>HYPERLINK("https://www.weblio.jp/content/過ごす", "词义详情")</f>
        <v/>
      </c>
      <c r="K4386">
        <f>HYPERLINK("https://yourei.jp/過ごす", "查看例句")</f>
        <v/>
      </c>
    </row>
    <row r="4387">
      <c r="A4387" t="inlineStr">
        <is>
          <t>頗る</t>
        </is>
      </c>
      <c r="B4387" t="inlineStr">
        <is>
          <t>成功</t>
        </is>
      </c>
      <c r="C4387" t="inlineStr">
        <is>
          <t>読み方：すこぶる
［副］
１程度がはなはだしいさま。非常に。たいそう。「—愉快だ」「—迷惑な話」
２少し。いささか。
「泉の色—黄ばみたり」〈今昔・三一・一三〉</t>
        </is>
      </c>
      <c r="D4387" t="inlineStr">
        <is>
          <t>頗る多い(2%)；頗る面白い；頗る多し；頗るよく；頗る怪しい</t>
        </is>
      </c>
      <c r="E4387" t="inlineStr">
        <is>
          <t>よく；最も；非常；非常に；かなり</t>
        </is>
      </c>
      <c r="F4387" t="inlineStr">
        <is>
          <t>頗る高く</t>
        </is>
      </c>
      <c r="H4387" t="n">
        <v>29</v>
      </c>
      <c r="I4387" t="inlineStr">
        <is>
          <t>第一先生の使う言葉からが余自身の英語とは頗る縁の遠いものであった。；いずれも頗る古いもので、その時の正確な時間十時十五分を示している。；右の谷は頗る急な、岩の多い山ひらの窪と言った形で、谷らしくもない。；寧ろ頗る熱心に海彼岸の文学の表現法などを自家の薬籠中に収めてゐる。；所がまた、王に扮したあの男に、渡した花と云うのが、頗る妙なんだよ。；わたくしは早く此にその頗る杜撰のものであつたことをことわつて置く。；それだから自身の既往なんぞに對しては頗る灰色になつてゐるのである。；雪と山との合体から、雪の色が山の名になってしまった例は頗る多い。；夕暮が迫って来て、そうした観察をするには頗る好都合の時期となった。；誰かゞ自分の過去を知つて居て欠点を発きはしないかと頗る恐れて居た。；かくの如くして古代の名作は出来上っている事が頗る多いのである。；そしてその結婚が、幸福なものだったかどうか、頗る疑問な点である。；彼は頗る懐疑的であると同時に、その趣味も相当に広いのであります。；しかしながら、素描と一口にいっても、その範囲は頗る広いものである。；自分の言ふことが、この人の頭に入つたかどうか、頗る不安に感じたさうだ。；由来日本の学者は、多く順応型の人間であって頗る融通がきくのである。；従って頗るあてにならない人物をついでながらに養成してしまうことが多い。；いま思へば二人とも、頗る鷹揚に、抜けたやうなところのある子であつた。；心配した弟の体も却って旅馴れたせいか変った様子もなく頗る元気であった。；男女の関係に関して、仏教の方の人は、頗る卑怯のやうなところがある。；と云ふのは戦争中に一時に工場を拡張したので、今日は外観は頗る立派である。；然るに上条で幅を利かせている、僕の壁隣の男は頗る趣を殊にしていた。；私も父がそれを持って藩地へ帰って来た時には頗る嬉しかった。；墓地は昔と比べては頗る明るくなつてゐるのをかれは見た。；又大將は明治末期の時勢に就いて頗る慷慨の情を抱いてゐたとの事である。；米澤の山の中だといつたので言葉でどこのものでも分ると老人は頗る得意である。；此宿はまだ建築して間もないと見えて木柱から疊から頗る清潔で心持がよい。；氏は頗る出渋っていたけれども終に私の言うことを聞いて出かけた。；あの学問をして、 邪路に奔らないようにするのは、頗るむずかしいて。</t>
        </is>
      </c>
      <c r="J4387">
        <f>HYPERLINK("https://www.weblio.jp/content/頗る", "词义详情")</f>
        <v/>
      </c>
      <c r="K4387">
        <f>HYPERLINK("https://yourei.jp/頗る", "查看例句")</f>
        <v/>
      </c>
    </row>
    <row r="4388">
      <c r="A4388" t="inlineStr">
        <is>
          <t>健やか</t>
        </is>
      </c>
      <c r="B4388" t="inlineStr">
        <is>
          <t>成功</t>
        </is>
      </c>
      <c r="C4388" t="inlineStr">
        <is>
          <t>読み方：すくやか
［形動ナリ］「すくよか」に同じ。
「其家に—なるものありて、強盗とたたかひけるが」〈著聞集・一二〉</t>
        </is>
      </c>
      <c r="D4388" t="inlineStr">
        <is>
          <t>健やかな成長(9%)；健やかなるとき；健やかな寝息；健やかな生活；健やかな眠り</t>
        </is>
      </c>
      <c r="E4388" t="inlineStr">
        <is>
          <t>いい；よい；良い；健康；よろしい</t>
        </is>
      </c>
      <c r="F4388" t="inlineStr">
        <is>
          <t>お健やか；病めるときも健やか</t>
        </is>
      </c>
      <c r="H4388" t="n">
        <v>29</v>
      </c>
      <c r="I4388" t="inlineStr">
        <is>
          <t>生きるか死ぬかが、健やかか否かぐらいにまでもり返して来ていたのだ。；十時近くなると皆は五分ずつバック台をやってそして健やかな眠りについた。；ただ以前の健やかに暮らしていた頃のその頃の私に戻った訳では決してない。；君のように健やかな、だれからも愛されて育ってきたのだろう少年などには。；怪我もなく病気もせず健やかに成人するを無上の喜びとするものじゃ。；わたしは敷香魚や燕が自然に従ってきわめて健やかなのをよく承知している。；私にとってからだの状態が生涯で最も健やかであった時期にはいっていたのだろう。；寝室の照美はいつも健やかな性欲を憚ることなく表現することができた。；わたしはかますや燕が自然に従ってきわめて健やかなのをよく承知している。；二人の間の子供だけは、この世に生まれ出、健やかに育ってほしい。；彼女のような朗らかさんには、健やかに逞しく生きていって欲しかった。；クリスマスツリーにならずに、健やかな若木であれ、と私は提案したい。；店の二階の、劣悪な住宅事情の中で、子供らも健やかに育っていた。；つまり、やらないほうがよほど健やかな生活を送ることができる。；未来を担うこども達が緑豊かな環境の中で健やかに成長することを願い作られた。；静かな水面を渡り、ハリーの方に健やかに走りながら近づいてくる。；体は健やかに伸びて、身長はグレナヴァンのそれよりもわずかに高い。；竹下は、子どもの健やかな成長には3つの時間が大切と述べている。；吾郎が健やかな寝息を立てているのを確認し、こっそり部屋を抜けだした。；人類の健やかな生活は、この精神に導かれることを措いてほかにないであろう。；女たちは、板屋に戻つても長く、健やかな喜びを、皆して語つて居た。；そして、みんなの健やかな顔を見て、心から、喜んでくれるのでした。；白い水に日光がきらきら光りほんのり血がのぼつてくる健やかな美しさ。；疱瘡を患ったあとは、ほとんど病にもかからず、子の体は健やかであった。；いつかは、人類の健やかな精神が、この地球をまもると信じている。；セィミヤの頬には赤みがさし、以前よりもはるかに健やかに見えた。；健やかに成人できそうか否かが、この段階で決められてしまう。；核天は、もはや健康な人間が健やかに眠っているとしか思えないほどに、復元された。；男でも、女でもよい、無事に健やかに生まれてほしいだけだ。</t>
        </is>
      </c>
      <c r="J4388">
        <f>HYPERLINK("https://www.weblio.jp/content/健やか", "词义详情")</f>
        <v/>
      </c>
      <c r="K4388">
        <f>HYPERLINK("https://yourei.jp/健やか", "查看例句")</f>
        <v/>
      </c>
    </row>
    <row r="4389">
      <c r="A4389" t="inlineStr">
        <is>
          <t>凄まじい</t>
        </is>
      </c>
      <c r="B4389" t="inlineStr">
        <is>
          <t>成功</t>
        </is>
      </c>
      <c r="C4389" t="inlineStr">
        <is>
          <t>読み方：すさまじい
［形］［文］すさま・じ［シク］《動詞「すさ（荒）む」の形容詞化。古くは「すさまし」とも》
１程度がはなはだしいさま。
㋐恐ろしい。ものすごい。「—・い形相」「—・い台風のつめあと」
㋑驚くほど激しい。「—・い反対の声」
㋒あきれるほどひどい。「にせものを本物と同等の値段で売りつける—・い商売」
２興ざめである。つまらない。
「—・じきもの、昼ほゆる犬」〈枕・二五〉
３荒涼としているさま。
「山里の風—・じき夕暮れに木の葉乱れて物ぞかなしき」〈新古今・冬〉
[派生]すさまじがる［動ラ五］すさまじげ［形動］すさまじさ［名］</t>
        </is>
      </c>
      <c r="D4389" t="inlineStr">
        <is>
          <t>凄まじい勢い(5%)；凄まじいもの(5%)；凄まじい音(4%)；凄まじい力(2%)；凄まじい衝撃(2%)</t>
        </is>
      </c>
      <c r="E4389" t="inlineStr">
        <is>
          <t>巨大；大きい；大変；激しい；恐ろしい</t>
        </is>
      </c>
      <c r="F4389" t="inlineStr">
        <is>
          <t>凄まじい殺気；凄まじい恐怖；凄まじい轟音；凄まじい爆発；凄まじい風</t>
        </is>
      </c>
      <c r="H4389" t="n">
        <v>29</v>
      </c>
      <c r="I4389" t="inlineStr">
        <is>
          <t>まるで、彼だけが違う時間流のなかにいるかのような凄まじい反応だった。；黒い影が凄まじい勢いで、俺たちが辿ってきた通路から飛び込んできた。；まさに破裂しようとする巨大な風船に似たその姿は、凄まじい物だった。；地下深くの基底部から、塔の内部を凄まじい圧力の塊が駆け昇っていく。；怯えと驚きの表情 の中で、ティファの目が怒りに凄まじく光っている。；小さな頬の震えが、いま彼の戦っている精神戦の凄まじさを物語っていた。；その衝撃の凄まじさからか、それが今の作風に影響されているという。；この凄まじい大火の後のことを、今から予期せんとしているのが窺えた。；廊下を何匹か、あるいは何十匹かの猫が走っていく凄まじい音が聞こえてきた。；それを現実のものにするため、ドイツが注いだ力は凄まじいものだった。；かなりの距離をへだてていたものの、その衝撃音は凄まじいものがあった。；骨から肉が剥離しそうな凄まじさの中でも、Dの動きは止まらなかった。；海も陸地も地球と一緒に凄まじい速度で太陽のまわりを飛んでいる。；あるのは「覚悟」だけであり、これは凄まじい拷問に耐えて良く残った。；ドイツ軍の攻撃の凄まじさはフランスでの戦いにおける情報が流れていた。；カードは凄まじい唸りを立てて、彼らの掌をはなれて二階へ飛んで行く。；身体に無数の機械腕を装備し、両目から凄まじい力を秘めた光線を出す。；真田隊の攻撃のあまりの凄まじさに家康は自害を二度も覚悟したほどだった。；その光は凄まじく、一時とはいえ天者地者の結界の闇すらも凌駕した。；これは、同じキリスト教徒からも非難されるほどの凄まじいものであった。；剣術の腕がない者でもナタを簡単に斬れるほどの凄まじい斬れ味をもつ。；それで私は初めて自分が凄まじいイビキをかくことを知ったわけだ。；まるで、凄まじく手の込んだいたずらでも仕掛けられているような気分だ。；そのとき何の前触れもなく、目のまえの闇のなかで凄まじい騒ぎが起こった。；ヤマタノオロチはその名のとおり、八つの頭を持つ凄まじい怪物だった。；そのうちに突然部屋全体は凄まじい煙の中に爆発してしまう。；二人と同様に、凄まじい戦いや絶望的な危険を切り抜けてきた強者だった。；凄まじい調子で言い合っているが、ドイツ語なので鷲士にはサッパリだ。；取材の記者たちも口をポカンとあけてその凄まじさに口もきけない有様だ。</t>
        </is>
      </c>
      <c r="J4389">
        <f>HYPERLINK("https://www.weblio.jp/content/凄まじい", "词义详情")</f>
        <v/>
      </c>
      <c r="K4389">
        <f>HYPERLINK("https://yourei.jp/凄まじい", "查看例句")</f>
        <v/>
      </c>
    </row>
    <row r="4390">
      <c r="A4390" t="inlineStr">
        <is>
          <t>ずさん</t>
        </is>
      </c>
      <c r="B4390" t="inlineStr">
        <is>
          <t>成功</t>
        </is>
      </c>
      <c r="C4390" t="inlineStr">
        <is>
          <t>読み方：ずさん
［名・形動］《「杜」は宋の杜黙(ともく)のこと、「撰」は詩文を作ること。杜黙の詩が定形詩の規則にほとんど合っていなかったという「野客叢書」の故事から。「ずざん」とも》
１詩や文章に、典拠の確かでないことを書くこと。また、その詩文。
２物事がいいかげんで、誤りが多いこと。また、そのさま。「—な管理」「—な計画」
[派生]ずさんさ［名］</t>
        </is>
      </c>
      <c r="D4390" t="inlineStr">
        <is>
          <t>ずさんな管理(5%)；ずさんな捜査(4%)；ずさんな運営；ずさんな実態；ずさんな対応</t>
        </is>
      </c>
      <c r="E4390" t="inlineStr">
        <is>
          <t>いい加減；ぞんざい；穴だらけ；杜撰；手抜き</t>
        </is>
      </c>
      <c r="H4390" t="n">
        <v>29</v>
      </c>
      <c r="I4390" t="inlineStr">
        <is>
          <t>わたしはなにもずさんな裁判手続きだと言っているのではありません。；他にもずさんな実態の中央銀行があるものと世界銀行関係者が見ている。；一方で、楽譜の上での技術的なずさんさにも辟易させられたのである。；鉛筆でずさんに描かれた地図のために、すっかり迷ってしまっていた。；好きとか嫌いとかで殺すようなずさんなことはしねえよ。；そりゃ証文はずさんなものです、そんなことくらい自分でも承知してますよ。；このため日本語教育振興協会の認定と審査のずさんさが非難されることとなった。；考えが甘かった、計画がずさんだった、あらゆる失敗の原因は、そこにある。；拳銃弾をあまり多く置き過ぎると暴徒の攻撃目標になり、また警官個人の管理がずさんになる恐れがあるのだ。；いまどきファーストフードの店だってそんなにずさんじゃないと思うんです。；二十日鼠のような小さな声で彼女は「おずさん」と言うのである。；ずさんなものでも何でもいいから、とにかく沢山読みたかったしね、お金ないなりに。；あの会社、ずさんだから、事務室の棚に差してあるだけなんですよ。；ふたりを引きわたして、宿の警備のずさんさを責めるのもめんどうだ。；その背景には、ずさんな捜査を実施した警察とマスコミのなれ合いがあったとも言われる。；彼らは約350マイルを、ずさんな地図をもとに、予定していた距離の2倍を歩いた。；同社は複数回に渡ってずさんな品質管理等による衛生問題等を起こしている。；しかし、公表された論文からは実験そのものがずさんであり、パズタイの主張には無理があることが判明した。；そのため、ずさんな管理体制の他に、今後の教員の採用数に影響の懸念されると多く指摘された。；無罪の理由は というもので、捜査機関のずさんな捜査が糾弾された。；しかもここだけの話だが、あの病院の記録は相当ずさんだぜ。；ドイルは証拠の洗い直しを行い、警察のずさんな捜査の実態を次々と暴いた。；冬が来るまでに、計画のまずさと管理のずさんさによって物資が不足するようになっていた。；三億円事件の襲撃犯は、一部でずさんな犯行を指摘されているが、そうではない。；いかにその検挙がずさんなものであったかが推量される。；この実験結果は測定のずさんさや標本数の少なさなどから科学的な信憑性は認められていない。；橋口が、そこで知ったのは、死体の管理が、意外にずさんだったということだった。；内容などもかなりよく調べてあるとはいうものの、いっぽうずさんなところも少なくないということだ。；ずさんと言えばずさんだが、警察の捜査なんて、一般の人間が考えるほど緻密なものではない。</t>
        </is>
      </c>
      <c r="J4390">
        <f>HYPERLINK("https://www.weblio.jp/content/ずさん", "词义详情")</f>
        <v/>
      </c>
      <c r="K4390">
        <f>HYPERLINK("https://yourei.jp/ずさん", "查看例句")</f>
        <v/>
      </c>
    </row>
    <row r="4391">
      <c r="A4391" t="inlineStr">
        <is>
          <t>寿司</t>
        </is>
      </c>
      <c r="B4391" t="inlineStr">
        <is>
          <t>成功</t>
        </is>
      </c>
      <c r="C4391" t="inlineStr">
        <is>
          <t>読み方：すし
《形容詞「酸(す)し」の終止形から》
１塩をふった魚介類を飯とともに漬け、自然発酵によって酸味を生じさせたもの。熟(な)れずし。生熟れ。《季夏》
２酢で調味した飯に、生、または塩や酢をふりかけた魚などの具を配した料理。握りずし・散らしずし・蒸しずしなど。酢は暑さに耐えるので夏の食品とされた。《季夏》</t>
        </is>
      </c>
      <c r="D4391" t="inlineStr">
        <is>
          <t>寿司ネタ(3%)；寿司種(3%)；寿司屋(2%)；寿司さん；寿司レストラン</t>
        </is>
      </c>
      <c r="E4391" t="inlineStr">
        <is>
          <t>弥助；鮨；鮓</t>
        </is>
      </c>
      <c r="F4391" t="inlineStr">
        <is>
          <t>庄寿司；細巻き寿司；玉寿司；持ち帰り寿司；好きな寿司</t>
        </is>
      </c>
      <c r="G4391" t="inlineStr">
        <is>
          <t>寿司店；寿司職人；寿司飯；寿司桶；寿司酢</t>
        </is>
      </c>
      <c r="H4391" t="n">
        <v>29</v>
      </c>
      <c r="I4391" t="inlineStr">
        <is>
          <t>器からして違っていたけど、うちで取る寿司とは内容も全然違っていた。；特に料理の匂いはしなかったけれど、これから寿司でもとるのだろうと。；どうやら、ずっと以前に百円寿司と言われていた店のようであるらしい。；自身が寿司をゲストの家に持っていってゲストと対談する企画である。；汽車で寿司と交換したと言ったら、また要らぬ疑いを受けそうだからだ。；その鯖を利用して、いつからか各家庭にて棒寿司が作られるようになった。；荷物用の船倉に蓆を敷いた上に寿司を並べたように寝かされたのである。；一皿数百円の価格設定で寿司ネタの質が相対的に高い店は対面型が多い。；しかし、すぐに二人共、寿司のことなどどうでもよくなってしまった。；お酒を飲みながら寿司を食べるのが好きとラジオ等で発言している。；特に内陸部である甲斐国において寿司を食している点が注目されている。；提供される寿司はカリフォルニアロールのような裏巻きが多くを占めている。；田淵が焼肉や寿司に連れて行った時も、ブリーデンはずっと話していた。；父にお寿司を予約していたことを忘れたわけではなかったけど。；そのまま米飯にのせたり、ある種の寿司や弁当の材料として使用される。；わたしはほとんど寿司なんて食べたことがなかったので魚の名前をまったく知らなかった。；トイレ休憩から帰ってきた祐麒たちを交えて、お寿司でお夕飯となった。；自宅に戻った子供たちは寿司やケーキを飢えた動物のように食べた。；わたしが考えている間も目の前を寿司が流れていった。；それなのに残った金を全部使ってでも、いい寿司にしようと心にきめていた。；「寿司でも食べませんか」 言われてうなずき、私は彼の後についた。；私は、別の案内書に出ている、狐狸庵先生御愛用という寿司屋へ行った。；寿司もはじめ、二階には小座敷もしつらえて、小料理屋風になっている。；日本料理が好きで、アメリカでもラーメンや寿司を頻繁に食べていた。；この寿司は粕酢と塩のみで合わせ酢を作り砂糖を使用しないものであった。；だから、テンプラにウナギに寿司といった変な食事になることもあった。；テーブルの上にはビールや寿司がすでに並べられている。；韓国ではキムパプに使われるが、日本で寿司に使用されることはほとんど無い。；また再興した新富寿司本店も今までに見られないものを持って臨んでいる。</t>
        </is>
      </c>
      <c r="J4391">
        <f>HYPERLINK("https://www.weblio.jp/content/寿司", "词义详情")</f>
        <v/>
      </c>
      <c r="K4391">
        <f>HYPERLINK("https://yourei.jp/寿司", "查看例句")</f>
        <v/>
      </c>
    </row>
    <row r="4392">
      <c r="A4392" t="inlineStr">
        <is>
          <t>筋</t>
        </is>
      </c>
      <c r="B4392" t="inlineStr">
        <is>
          <t>成功</t>
        </is>
      </c>
      <c r="C4392" t="inlineStr">
        <is>
          <t>読み方：きん
［音］キン（漢）　［訓］すじ
［学習漢字］6年
〈キン〉
１細長い筋線維の束でできた肉。「筋骨・筋肉・筋力／心筋・腹筋」
２細長い線状のもの。「鉄筋」
〈すじ〉「筋道／青筋・粗筋(あらすじ)・大筋・川筋・首筋・毛筋・背筋・血筋・手筋・鼻筋・腹筋・本筋・道筋」
［難読］筋斗返(とんぼがえ)り・翻筋斗(もんどり)</t>
        </is>
      </c>
      <c r="D4392" t="inlineStr">
        <is>
          <t>筋模様；筋状；筋細胞；筋組織；筋弛緩</t>
        </is>
      </c>
      <c r="E4392" t="inlineStr">
        <is>
          <t>線；路線；行；列；才能</t>
        </is>
      </c>
      <c r="F4392" t="inlineStr">
        <is>
          <t>街道筋；ひと筋；二筋；尾根筋；親戚筋</t>
        </is>
      </c>
      <c r="G4392" t="inlineStr">
        <is>
          <t>筋力；筋書き；筋道；筋肉質；筋骨</t>
        </is>
      </c>
      <c r="H4392" t="n">
        <v>29</v>
      </c>
      <c r="I4392" t="inlineStr">
        <is>
          <t>顔はくちばしから目に向かって黒の筋が横切ったような模様をしている。；障害側の全体ではなく、傷害を受けた神経の支配筋だけが影響を受ける。；こうして大阪都心に現代まで続く筋と通を軸とする道路網が成立した。；本陣などは現存していないが、かつての街道筋には今も馬頭観音が残る。；外側核からの線維は顔面神経頬枝となって頬筋と頬唇筋を支配している。；筋生検をしても筋内神経にリンパ腫細胞が認められることは稀である。；これは委員会のスタッフからは全く筋が通らないという思いであった。；同戯曲は、凡庸な貴族が土地を失っていく様が筋の中心となっている。；構成はオペラの筋には沿っておらず、純シンフォニックに書かれている。；緑っぽい地色に赤っぽい筋が入るなど、筋の模様がはっきりと出るもの。；そのため通は東西方向に設定され、また南北方向の道は筋と呼ばれるようになった。；額から鼻鏡にかけて白い筋模様が入る個体が多いが、不明瞭な個体もいる。；さらに伊勢路に入ると二手に分かれて、沿岸と街道筋の測量を行った。；さらには、両者の性質を備えた中間筋の存在も認められている。；紙幣を光源の反対側に置くと、中央部分の黒く磁気を帯びた筋が見える。；このため街道筋には水戸徳川家専用の施設が多数もうけられていた。；筋組織と神経線維は両方とも、人体で電気的な組織と考えられている。；この他にも、筋肉は見た目の色から赤筋と白筋の2種にも分類される。；表面にはひび割れや筋状の構造が見られるが、クレーターは比較的少ない。；そのほかにも市内を南北に河川が幾筋か流れている。；茎の外側の筋の部分は固いため、筋を引くようにして取り除いて使われる。；古くは、街道筋の食堂、みやげ物店などが店舗ごとに駐車場を用意していた。；筋細胞と呼ばれる特殊な細胞からできた組織である。；その後、麻痺は一般的に新しい神経筋接続が形成されるにつれて改善する。；国道18号南側を東西に並行して走る狭い街道筋が旧安中宿である。；葉にはたくさんの筋が入っているのが普通である。；ウォリックは次第にフランスの外交筋に好意を持つようになっていた。；転じて、同種の筋を持つ他地域の演劇や現実の出来事を指しても用いられる。；多くは主人公となる人物の行為が破滅的結果に帰着する筋を持つ。</t>
        </is>
      </c>
      <c r="J4392">
        <f>HYPERLINK("https://www.weblio.jp/content/筋", "词义详情")</f>
        <v/>
      </c>
      <c r="K4392">
        <f>HYPERLINK("https://yourei.jp/筋", "查看例句")</f>
        <v/>
      </c>
    </row>
    <row r="4393">
      <c r="A4393" t="inlineStr">
        <is>
          <t>すし詰め</t>
        </is>
      </c>
      <c r="B4393" t="inlineStr">
        <is>
          <t>成功</t>
        </is>
      </c>
      <c r="C4393" t="inlineStr">
        <is>
          <t>読み方：すしづめ
すしを折箱などに詰めるように、多くの人や物がすきまなく入っていること。「—の電車」「—学級」</t>
        </is>
      </c>
      <c r="D4393" t="inlineStr">
        <is>
          <t>すし詰め状態(20%)</t>
        </is>
      </c>
      <c r="E4393" t="inlineStr">
        <is>
          <t>いっぱい；混雑；満員；ラッシュ；人混み</t>
        </is>
      </c>
      <c r="H4393" t="n">
        <v>29</v>
      </c>
      <c r="I4393" t="inlineStr">
        <is>
          <t>学校の教室の中には大勢の人たちがすし詰めの状態で不安に耐えていた。；そしてわたしたちはその中に自分たちの荷物と一しょにすし詰めになる。；成人した男などは、小さい家にすし詰めにされて寝るのが普通であった。；と申しましても、すし詰めになっていたのも五〇年以上前のことだそうですが。；ホームはラッシュの時間とあって、ほとんどすし詰めのような状態だった。；すし詰めの若い男女は話に夢中になっていて、だれが入ってきても見むきもしなかった。；だがここも空間が狭すぎて、ものの十分と経たぬうちにすし詰め状態となった。；黙契があるから非人間的なすし詰めにも耐えられるのである。；チャンポンになった激情が、今はまだすし詰めになって、何処へも行けず。；入り口近くのレジの前は、写真の購入表を持った女の子たちですし詰め状態だ。；他の四人で後部座席はすし詰めだったが李里も強引に乗り込んで、思う。；小さな島ですし詰め状態になっていては、息が詰まってしまう。；バスはすし詰めの満員で、おりてくるのは若い男ばかりだった。；蓋が外れた重箱に、無理やり雪をすし詰めにしたのと同じだった。；すし詰めで客をいじめ抜いておいてなにが乗客サービスか。；わたしの部屋は人間と品物とですし詰めになってしまう。；自分を含めて四人のクルーがすし詰め状態となっている。；バーネットは最も多くの物資を利用可能な船倉にすし詰めに積み込まれた。；列車内はすし詰めの状態で、窓から乗り降りする乗客もいた。；それと同時に、客席の、すし詰めの頭が激しく上下に揺れ始めた。；そこには四人がすし詰めになっていた。；ビジネスコースのクラスに出ていた男性たちも合流するので、エレベーターはいよいよすし詰めとなる。；土川春彦の頭脳の中には、いつも大きな事業計画がすし詰めになっていた。；人間三人がすし詰めでやっと身を隠せるほどしかない。；ひとつきりのこの部屋では、すし詰めのほかはない。；これだけの空間を踏査するのは大仕事だが、異星船の事情を考えれば乗客はすし詰めに近いだろう。；アイルランド警察は、劇場に設置されたバーが、すし詰めの会場でどうして開いていたか調査すると発表した。；千本以上の苗木を積むスペースをとったら乗組員はすし詰めにするしかないのだ。；施設内には数千人がすし詰めとなり、その他の人々は周辺の工場や畑にあふれ出した。</t>
        </is>
      </c>
      <c r="J4393">
        <f>HYPERLINK("https://www.weblio.jp/content/すし詰め", "词义详情")</f>
        <v/>
      </c>
      <c r="K4393">
        <f>HYPERLINK("https://yourei.jp/すし詰め", "查看例句")</f>
        <v/>
      </c>
    </row>
    <row r="4394">
      <c r="A4394" t="inlineStr">
        <is>
          <t>鈴</t>
        </is>
      </c>
      <c r="B4394" t="inlineStr">
        <is>
          <t>成功</t>
        </is>
      </c>
      <c r="C4394" t="inlineStr">
        <is>
          <t>読み方：すず
１金属・陶器などの、下部に裂け目のある空洞の球の中に小さい玉が入っていて、振り動かして音を立てるもの。神社にある大きなものや、合図用・装飾用・玩具用のほか、神楽・能楽・歌舞伎などの楽器としても用いられる。「拝殿で—を鳴らす」「猫の首に—をつける」
２（「鐸」とも書く）釣鐘型で、舌(ぜつ)をつるし、振り動かして音をたてるもの。風鈴の類。鐸(たく)。れい。
３西洋音楽の打楽器の一。1および2の形状のもの2種がある。ベル。
４駅鈴(えきれい)。
「—ばかり給はって」〈平家・五〉</t>
        </is>
      </c>
      <c r="D4394" t="inlineStr">
        <is>
          <t>鈴旋；鈴慕；鈴璃；鈴原；鈴乃</t>
        </is>
      </c>
      <c r="E4394" t="inlineStr">
        <is>
          <t>鐘；鐸；ベル；大鈴；撞鐘</t>
        </is>
      </c>
      <c r="F4394" t="inlineStr">
        <is>
          <t>銀鈴；警鈴；大きな鈴；首に鈴；銅鈴</t>
        </is>
      </c>
      <c r="G4394" t="inlineStr">
        <is>
          <t>鈴鹿；鈴の音；鈴子；鈴木商店；鈴音</t>
        </is>
      </c>
      <c r="H4394" t="n">
        <v>29</v>
      </c>
      <c r="I4394" t="inlineStr">
        <is>
          <t>羊か牛ででもあるように鈴を下げてるその男は、いったい何者であろう。；頭部に神楽鈴をのせた鈴のような顔をした女性の姿として描かれている。；脚にはたくさんの鈴がついたベルトをつけ、白いハンカチ大の布を持つ。；しかし彼は名前も名乗らず、亜依に小さな鈴を残して姿を消してしまう。；その戦闘中に新政府軍は鈴を鳴らし、包囲したと思わせる戦術をとった。；街はひどい霧でね、その中にけたたましい電車の鈴です自動車の頭灯です。；翌日、元気がない五十鈴を心配しつつ、旅の間の出来事を悩む仲間たち。；私と顔を合わすのが険呑だと見えましてね、鈴で知らしてやるんですよ。；長い棒や灰の袋を持って現れることもあり、服には鈴がついている。；ただ我々の耳には、馬車が鈴を鳴らしながら門の方へ出てゆく音が聞えただけぢや。；引き具には鈴がつけられていて、進むたびにチリンチリンと鳴ったのでした。；鈴の蒐集家でもあり、駅鈴の複製品など珍しいものを多く所有していた。；鈴は、他人の意識の中に入り込むことができる特異な力を持っていた。；ちょうど教会で香の煙が立ちこめ聖別式の鈴が鳴っているときと同じように。；風鈴とは、日本の夏に家の軒下などに吊り下げて用いられる小型の鐘鈴。；執念ぶかそうな蛇の眼と、無邪気らしい鈴のような眼とを比較して考えた。；泥酔した鈴をタクシーで送っていき、酔った勢いで行為に及んでしまう。；しかしそれ以来三度に一度は水を持って行かなければならぬお鈴を見ることは愉快だった。；鈴を触ると恋愛成就すると言われているがなかなか触らせてくれない。；鈴屋は、東京を拠点に、服飾品の企画・製造・販売を行っている企業である。；九代将軍徳川家重の時代に御鈴廊下が二本になったと考えられている。；一本の棒の先に種々な色どりの鈴のついた頭巾をかぶった人の首がついている。；その際に、仲皇子は手にしていた鈴を黒媛の家に置き忘れてしまった。；また鳴き声がとても美しく、「鈴を転がしたような声」と言われている。；夜牧場で家畜の首についてる鈴から起こるかすかな小音楽にも似寄っていた。；ホテルの私の部屋で、電話の鈴が私を驚かしたのは、その日の午後だった。；鈴の形をしていて、タンポンと同じように膣の中に入れて使用する。；ベイマックスの顔は、日本での取材旅行中にホール監督が神社の鈴を見て決めた。；祭礼の際に祭られる稲穂や神社の本坪鈴に由来した神官の姓氏とされる。</t>
        </is>
      </c>
      <c r="J4394">
        <f>HYPERLINK("https://www.weblio.jp/content/鈴", "词义详情")</f>
        <v/>
      </c>
      <c r="K4394">
        <f>HYPERLINK("https://yourei.jp/鈴", "查看例句")</f>
        <v/>
      </c>
    </row>
    <row r="4395">
      <c r="A4395" t="inlineStr">
        <is>
          <t>濯ぐ</t>
        </is>
      </c>
      <c r="B4395" t="inlineStr">
        <is>
          <t>成功</t>
        </is>
      </c>
      <c r="C4395" t="inlineStr">
        <is>
          <t>読み方：すすぐ
［動ガ五（四）］《上代は「すすく」》
１汚れを水で洗い落とす。水で清める。「洗濯物を—・ぐ」「手足を—・ぐ」
２（漱ぐ）水などで口中をきれいにする。うがいをする。ゆすぐ。「口を—・ぐ」
３（「雪ぐ」とも書く）身に受けた恥や不名誉を除き去る。「恥を—・ぐ」「汚名を—・ぐ」
→洗う［用法］
[可能]すすげる</t>
        </is>
      </c>
      <c r="D4395" t="inlineStr">
        <is>
          <t>洗濯；洗う；洗浄；水洗；研ぐ</t>
        </is>
      </c>
      <c r="H4395" t="n">
        <v>29</v>
      </c>
      <c r="I4395" t="inlineStr">
        <is>
          <t>しかし息子は自分の受けた恥辱を濯ぐのだといい、パリに向かう。；侍僕等は、ギーウのために、手を濯ぐものと、新たな酒肴とを運んだ。；過去二度の自らの悔悟を濯ぐためにも、今回だけは何としても退きたくはなかった。；濯がれた洗濯物が、杉の皮で編んだ籠の中に次々と入れられていく。；入っても、ただ茶碗を取るか、濯ぐか、十秒もここにいることがなかった。；定九郎はぼんやりと下足箱の掃除を終え、雑巾を濯ぐため広廊下に上がった。；そして、この汚名を濯ぐ爲めに、私は一體何をすることが出來るのか?；かうして置いてあとは充分絞つて石鹸水を切り、最後に桶の中に入れて水で濯ぐのである。；知識でこれを濯ぐのではいけない。；こういう時は、先輩とお話でもして心を濯ぐのだ。；水で顔をぶるんとするのであるが、二つあるトタンの洗面器は床にかける雑巾を濯ぐのと共同である。；水を濯がないままのモップで乱暴に床を拭いて廻れば、こんな汚れがつくかもしれない。；この屈辱の汚名を濯ごうとローマはサムニウムに徹底抗戦を掲げる事になる。；カランを捻った後の手は必ず掬った湯で濯ぐのである。；酒を飲んで石に及ぶと雖も、水をもって沙を濯ぐが如き者であったというのであるから、浴びるほど飲んでいたのであろう。；雑巾を濯ぐため、手桶片手に井戸に向かう途中、定九郎はふと三角石のことを思った。；シャワーで口を濯ぐのはナシで、細菌を全身に擦り付けるのはアリ。；ロアデルといえば、アカシュの踏み終わった洗濯物を濯ぐ仕事を、任じられた。；雑巾を濯ぐ手が凍った水に悲鳴をあげた。；濯ぐと、墨汁のような水が流れていった。；多くの場合、不純物は沈殿の微粒子の表面に付着するので、生成した沈殿物を濯ぐことである程度の純度の向上が期待される。；いったん生成した沈殿物を溶かすので単に沈殿物を濯ぐ場合よりも純度の向上が期待されるが、再結晶法ほどの純度は見込めない場合も多い。；食事の後で、口に含んだ茶で、義歯の人工の歯茎と土手の間にはさまった喰べ物の滓を濯ぐようにもなった。；流れる川のせせらぎに、どんな汚濁もやがては濯がれる時が来るのだと、その瞬間、素直に信じることができた。；髪から顔に伝う雨水が、流れるそばから涙を濯ぐ。；部族の言葉を喋ったり、白人教師の意思にそぐわない行動をすれば、石鹸で口の中を濯がされる体罰を受けた。；いかなる理由があろうとも、国民をテロの対象にしてしまった恥と、ひとりの男の怨念に引きずられるまま、計画を容認してしまった一部の利権者たちの愚劣を濯ぐために。；大原は香澄と言葉を交している間に、今迄の〝人買い〟の陰惨な仕事から身体に蓄積された沈澱のようなものが、静かに濯がれていくような気がした。；体を洗い流し、窪地に溜った水で衣類を濯ぐと、笙子はふたたびそれをまとった。</t>
        </is>
      </c>
      <c r="J4395">
        <f>HYPERLINK("https://www.weblio.jp/content/濯ぐ", "词义详情")</f>
        <v/>
      </c>
      <c r="K4395">
        <f>HYPERLINK("https://yourei.jp/濯ぐ", "查看例句")</f>
        <v/>
      </c>
    </row>
    <row r="4396">
      <c r="A4396" t="inlineStr">
        <is>
          <t>涼しい</t>
        </is>
      </c>
      <c r="B4396" t="inlineStr">
        <is>
          <t>成功</t>
        </is>
      </c>
      <c r="C4396" t="inlineStr">
        <is>
          <t>読み方：すずしい
［形］［文］すず・し［シク］
１温度や湿度が程よくて気持ちがいい。さわやかだ。「—・い木陰」《季夏》「此あたり目に見ゆる物はみな—・し／芭蕉」
２少し冷たくてひやりとする。「めっきり—・くなった」
３清らかで、すがすがしい。「目元が—・い」
４すがすがしく、きっぱりしている。「言葉—・く述べる」
５平然としている。→涼しい顔
６いさぎよい。
「実(まこと)に思ひ切ったる体(てい)かなと、まづ—・しくぞ見えたりける」〈太平記・二五〉
７潔白である。
「おそらく—・しいこの新七に、無い難つけて」〈浄・淀鯉〉
[派生]すずしがる［動ラ五］すずしげ［形動］すずしさ［名］</t>
        </is>
      </c>
      <c r="D4396" t="inlineStr">
        <is>
          <t>涼しい風(16%)；涼しい気候(2%)；涼しい眼；涼しいところ；涼しい場所</t>
        </is>
      </c>
      <c r="E4396" t="inlineStr">
        <is>
          <t>冷たい；穏やかな；冷；クール；冷やか</t>
        </is>
      </c>
      <c r="F4396" t="inlineStr">
        <is>
          <t>比較的涼しい；涼しい音；涼しい日；涼しいうち；涼しい木蔭</t>
        </is>
      </c>
      <c r="H4396" t="n">
        <v>29</v>
      </c>
      <c r="I4396" t="inlineStr">
        <is>
          <t>涼しい風が顔にあたるのに感謝しながら、二人は風上へと歩いていった。；高山地帯は島の他の地域よりも涼しく湿っている点が特徴となっている。；涼しくていい気持なので、まる裸のままで玄関から家の前の道路へ出た。；本人は一枚余分に身につけるのだから、それで涼しくなるわけではない。；夜となればそろそろ風も涼しさを増してきたこの季節にTシャツ姿である。；翌日、父に連れられて病院へ行ったときは、一転して涼しくなっていた。；あたりはもう暮れかけて涼しさが少し寒さを感じさせるほどになっていた。；時々暑い日があって、また、時々涼しすぎる夜があるような時であった。；夜になれば涼しくなるし、休息をとれば回復するだろうとソラがいった。；夏はモントレー湾で空気が冷やされるために涼しい夜になることが多い。；わたしたちをびっくりさせるような午後や、涼しい夜を考えてみて下さい。；かつてドイツは夏といえども涼しい日が多く、エアコンは必要なかった。；その時は太田君も一緒で、湖水から吹き入る風の涼しいところで話した。；大気は風のためにいくらか涼しかったが、この日はかなり暑さが増した。；雨が降ったせいか、陽がおちてからの涼しさは今までの比ではなかった。；外廊下もひんやりと涼しく、これだけの世帯があるのに人の気配がない。；朝夕がいくらか涼しく楽になったかと思うと共に大変日が短くなって来た。；何も見えなかったが、音と涼しさで、目の前に川が流れているのが分かった。；日中目が眩むほどだった暑さは、夜になる事で幾分涼しくなってくれた。；秋は急速に涼しくなり、最初に凍結する日は平均で10月15日である。；タイの最北部に位置することもあって、タイ国内で一番涼しい地域である。；夏になると、何うしても山の涼しいところへと、人々の足は向いて行つた。；窓から吹きこむ風も、涼しさより寒さを主張するものに変わっている。；庭のほうから涼しい風がたえず吹きこんで来て、思わずウトウトとなる。；針の筵の一日一日がすぎて、もう、こんなに涼しくなってまいりました。；お薬も飲んでるようだし、少し涼しくなったらよくなるんじゃない?；夏の終わりにしては涼しく、冷えた風が秋の趣を感じさせたからだろう。；九月八日 さすがに八十度を越しても二三度という涼しさになりました。；外もあんまり涼しくはなかつた、家の中よりか涼しいくらゐであつた。</t>
        </is>
      </c>
      <c r="J4396">
        <f>HYPERLINK("https://www.weblio.jp/content/涼しい", "词义详情")</f>
        <v/>
      </c>
      <c r="K4396">
        <f>HYPERLINK("https://yourei.jp/涼しい", "查看例句")</f>
        <v/>
      </c>
    </row>
    <row r="4397">
      <c r="A4397" t="inlineStr">
        <is>
          <t>進み</t>
        </is>
      </c>
      <c r="B4397" t="inlineStr">
        <is>
          <t>成功</t>
        </is>
      </c>
      <c r="C4397" t="inlineStr">
        <is>
          <t>読み方：すさみ
慰みごと。すさび。
「うなゐこが—に鳴らす麦笛の声におどろく夏の昼ぶし」〈聞書集〉</t>
        </is>
      </c>
      <c r="D4397" t="inlineStr">
        <is>
          <t>進むべき；進むべく；進む毎</t>
        </is>
      </c>
      <c r="E4397" t="inlineStr">
        <is>
          <t>行く；進行；前進；進行する；歩む</t>
        </is>
      </c>
      <c r="F4397" t="inlineStr">
        <is>
          <t>歩進む；読み進む；しばらく進む；向かって進む；沿って進む</t>
        </is>
      </c>
      <c r="H4397" t="n">
        <v>29</v>
      </c>
      <c r="I4397" t="inlineStr">
        <is>
          <t>普及が進んだのは蓄音機を製造する会社が増えた昭和初期のことである。；しかし物語が進むにつれて、次第に二人の精神から境界が失われていく。；北名古屋市に入りしばらく進むと道路上に市境があるという区間が続く。；前述のレ・ヴァン・ヴィエンもここから大親分への道を進むことになる。；最終層を造り終えたとき、東京に平和が訪れると信じて今は前に進もう。；つまり、時代が進めば進むほど証明の可能性が原理的に狭められてきた。；そちらの方に進もうと思うと、だんだんと炎が大きく強くなっていった。；携帯電話の多機能性を活用して通信以外の用途へ使用する研究が進みつつある。；彼女の自己認識がここまで進もうとは、まるで期待していなかったのだ。；地下10階に下り先へ進む彼らの前に村正を手にした侍が立ちはだかる。；頑張って前に進もうとしている人へ手を差し伸べることも多くみられる。；私はもっとも自然な結核患者の事を頭に置いて予防医学に進もうと思う。；それの存在の軸を何に求め、どのような方向に進もうとしているのか。；付近には大学や高校が多く、近年、宅地やマンション開発も進んでいる。；やつは、われわれがなぜ進もうとしないのか、見に、もどってきたのだ。；脚本も同様に、どこからストーリーを始めてどこに向かって進んでいくのか。；結局瀬田駅設置へと話が進むのは、それから半世紀近く後のこととなる。；心理状態が身体の状態に影響を与えるという実証的な研究が進んでいる。；この区分は時代が進む内に整備されていったと考えられている。；一歩進もうとすると突然体が金縛りになり、頭の中に金属音が鳴り響く。；南予は減少が急速に進んでおり、より効果的な対策が求められている。；しかし言い換えれば、ヤングはそこから先には進むことはできなかった。；その後も研究が進み、今日では非常に様々な種類のダイオードが存在する。；鉱物資源が発見されているものの交通路がないために開発が進んでいない。；そして、連合国に講和を提案したが拒否され、結局戦争へと進んでいく。；ここには砂漠を進む商隊の灯台として使われたと推定されているが残る。；帳尻を合わせるために前に進もうと思えば、何かが崩壊することもある。；その後本格的にプロの道に進み、1949年にレコーディングを初経験。；一つのコマンドを実行すると日が進み、3回日が進むと季節が変動する。</t>
        </is>
      </c>
      <c r="J4397">
        <f>HYPERLINK("https://www.weblio.jp/content/進み", "词义详情")</f>
        <v/>
      </c>
      <c r="K4397">
        <f>HYPERLINK("https://yourei.jp/進み", "查看例句")</f>
        <v/>
      </c>
    </row>
    <row r="4398">
      <c r="A4398" t="inlineStr">
        <is>
          <t>進む</t>
        </is>
      </c>
      <c r="B4398" t="inlineStr">
        <is>
          <t>成功</t>
        </is>
      </c>
      <c r="C4398" t="inlineStr">
        <is>
          <t>読み方：すさむ
［動マ五（四）］《動詞「すさぶ」の音変化》
１心の持ち方・行動などが乱れてきて、ゆとりやおおらかさがなくなる。とげとげした状態になる。「気持ちが—・む」「生活が—・む」
２物事の繊細さ・上品さが失われて粗雑になる。「最近の彼の芸は—・んでいる」
３雨や風などの勢いが激しくなる。「寒風が—・む」
４ふけりおぼれる。「酒色に—・む」
５勢いが尽きて衰える。
「御前にて物など参り給へども、あさましうはかなく—・みつつ」〈狭衣・二〉
６嫌って遠ざける。うとむ。
「人ヲ—・ム」〈日葡〉
７からだを苦しめ痛めつける。
「身ヲ—・ム」〈日葡〉
８（遊む）動詞の連用形について、興にのって事をすすめる意を表す。気の向くままに…する。
「筆さしぬらして書き—・み給ふほどに」〈源・初音〉
［動マ下二］
１心に留めて愛する。賞美する。
「大荒木の森の下草老いぬれば駒も—・めず刈る人もなし」〈古今・雑上〉
２勢いが衰えて、やむ。
「ひまもなく降りも—・めぬ五月雨につくまの沼の水草波よる」〈類従本堀河百首〉
３嫌って遠ざける。うとんじる。
「むべ我をば—・めたりと、気色どり怨じ給へりしこそ」〈源・紅梅〉</t>
        </is>
      </c>
      <c r="D4398" t="inlineStr">
        <is>
          <t>進むべき；進むべく；進む毎</t>
        </is>
      </c>
      <c r="E4398" t="inlineStr">
        <is>
          <t>行く；進行；前進；進行する；歩む</t>
        </is>
      </c>
      <c r="F4398" t="inlineStr">
        <is>
          <t>歩進む；読み進む；しばらく進む；向かって進む；沿って進む</t>
        </is>
      </c>
      <c r="H4398" t="n">
        <v>29</v>
      </c>
      <c r="I4398" t="inlineStr">
        <is>
          <t>普及が進んだのは蓄音機を製造する会社が増えた昭和初期のことである。；しかし物語が進むにつれて、次第に二人の精神から境界が失われていく。；北名古屋市に入りしばらく進むと道路上に市境があるという区間が続く。；前述のレ・ヴァン・ヴィエンもここから大親分への道を進むことになる。；最終層を造り終えたとき、東京に平和が訪れると信じて今は前に進もう。；つまり、時代が進めば進むほど証明の可能性が原理的に狭められてきた。；そちらの方に進もうと思うと、だんだんと炎が大きく強くなっていった。；携帯電話の多機能性を活用して通信以外の用途へ使用する研究が進みつつある。；彼女の自己認識がここまで進もうとは、まるで期待していなかったのだ。；地下10階に下り先へ進む彼らの前に村正を手にした侍が立ちはだかる。；頑張って前に進もうとしている人へ手を差し伸べることも多くみられる。；私はもっとも自然な結核患者の事を頭に置いて予防医学に進もうと思う。；それの存在の軸を何に求め、どのような方向に進もうとしているのか。；付近には大学や高校が多く、近年、宅地やマンション開発も進んでいる。；やつは、われわれがなぜ進もうとしないのか、見に、もどってきたのだ。；脚本も同様に、どこからストーリーを始めてどこに向かって進んでいくのか。；結局瀬田駅設置へと話が進むのは、それから半世紀近く後のこととなる。；心理状態が身体の状態に影響を与えるという実証的な研究が進んでいる。；この区分は時代が進む内に整備されていったと考えられている。；一歩進もうとすると突然体が金縛りになり、頭の中に金属音が鳴り響く。；南予は減少が急速に進んでおり、より効果的な対策が求められている。；しかし言い換えれば、ヤングはそこから先には進むことはできなかった。；その後も研究が進み、今日では非常に様々な種類のダイオードが存在する。；鉱物資源が発見されているものの交通路がないために開発が進んでいない。；そして、連合国に講和を提案したが拒否され、結局戦争へと進んでいく。；ここには砂漠を進む商隊の灯台として使われたと推定されているが残る。；帳尻を合わせるために前に進もうと思えば、何かが崩壊することもある。；その後本格的にプロの道に進み、1949年にレコーディングを初経験。；一つのコマンドを実行すると日が進み、3回日が進むと季節が変動する。</t>
        </is>
      </c>
      <c r="J4398">
        <f>HYPERLINK("https://www.weblio.jp/content/進む", "词义详情")</f>
        <v/>
      </c>
      <c r="K4398">
        <f>HYPERLINK("https://yourei.jp/進む", "查看例句")</f>
        <v/>
      </c>
    </row>
    <row r="4399">
      <c r="A4399" t="inlineStr">
        <is>
          <t>涼む</t>
        </is>
      </c>
      <c r="B4399" t="inlineStr">
        <is>
          <t>成功</t>
        </is>
      </c>
      <c r="C4399" t="inlineStr">
        <is>
          <t>読み方：すずむ
［動マ五（四）］風に当たったり、涼しい場所に行ったりして、暑さを避ける。「河原で—・む」《季夏》
[可能]すずめる</t>
        </is>
      </c>
      <c r="D4399" t="inlineStr">
        <is>
          <t>木陰に入る</t>
        </is>
      </c>
      <c r="H4399" t="n">
        <v>29</v>
      </c>
      <c r="I4399" t="inlineStr">
        <is>
          <t>素材は違うが、私の祖母もよく夏になると、腰巻きひとつで涼んでいた。；もっとも、今はベランダに出て、酒と踊りで火照った体を涼ませている。；むろん男は、ただ暗やみの中でそうして涼んでいるのではなかった。；お茶室の前で涼んでいたら女の人が芝生を走って来るでしょ。；路上に長床几を出して涼んでいた者たちは、物狂いだと思ったという。；店の表に出て涼んでいると、通りかかりの若者らはそれに見とれた。；庭の木陰で涼んでいたマリオルトは、ふと傍らの植え木に目をやった。；車の冷房で涼んでいるのは、何ひとつ問題はないはずだった。；途中たまりかねてコンビニで涼んでいたら、思ったより時間が経ってしまった。；夫の留守を一人縁に出て涼んでゐたが、ふと夜空を仰ぐと降るやうな一面の星だ。；夏のことであるから、同勤の面々は旅宿に寄って、酒などを飲んで涼んでいた。；暑くるしい夜をそこに涼んでいたらしい一人の苦力がびっくりしてとびおきた。；どうしても眠れないので蚊帳を出て、僕は窓の所で涼んでいた。；暑いときに涼んで帰るくらい、物を盗むのとはわけが違うんや。；三人が屋敷の前へ行って見ると、広い木橋の上でちょうど四五人の下男が涼んでいるところだった。；ところがハッちゃんは仲間が必死に働いているというのに、クーラーの前で涼んでいた。；裸電気の下で、母と私ははだかになって涼む。；一同が舟のうえでのんびりと涼んでいると、とつぜん一陣の怪風が吹いてきた。；大広間の休憩室にはエアコンがないが、夏は窓からの風で涼むのが心地よい。；俺もヤシロやエリオがいなければ、自室で涼んで猛暑を凌いでいただろう。；俺は倅を風に当てて涼ませてやっているのがわからんか。；彼の労働者は暑くるしい夜をそこに寝ころんで涼んでいたのだ。；つぎには、この茶屋に休んで、花をながめたり、涼んだりした村の人たちです。；ほっとして少し涼んでから、棚に並んだカセットテープのタイトルを一つずつ見て行った。；館内では翡翠に会ってしまうので、気分が落ち着くまで中庭で涼む事にした。；お糸が来るまで、歌麿は縁側に立って、外から吹き込んでくる風に涼んだ。；この時間多くの人々がパリの窓辺でパイプやシガレットを喫いながら涼んでいた。；二人は映画を見た後、パーラーで涼んでいる所だった。；どうやら翡翠の言っていた通り、本当に涼んでいたらしい。</t>
        </is>
      </c>
      <c r="J4399">
        <f>HYPERLINK("https://www.weblio.jp/content/涼む", "词义详情")</f>
        <v/>
      </c>
      <c r="K4399">
        <f>HYPERLINK("https://yourei.jp/涼む", "查看例句")</f>
        <v/>
      </c>
    </row>
    <row r="4400">
      <c r="A4400" t="inlineStr">
        <is>
          <t>勧め</t>
        </is>
      </c>
      <c r="B4400" t="inlineStr">
        <is>
          <t>成功</t>
        </is>
      </c>
      <c r="C4400" t="inlineStr">
        <is>
          <t>読み方：すすめ
１すすめること。勧奨。「友人の—に従い転職する」「医者の—で禁酒する」
２「勧進(かんじん)2」に同じ。
「近頃殊勝に候。—には参らうずるにて候」〈謡・安宅〉</t>
        </is>
      </c>
      <c r="D4400" t="inlineStr">
        <is>
          <t>指導；提案；推薦；促進；誘導</t>
        </is>
      </c>
      <c r="F4400" t="inlineStr">
        <is>
          <t>強く勧める；しきりに勧める；しつこく勧める；頻りに勧める</t>
        </is>
      </c>
      <c r="H4400" t="n">
        <v>29</v>
      </c>
      <c r="I4400" t="inlineStr">
        <is>
          <t>これには製作者側がプレイヤーに対戦を勧めるためという意図があった。；職員らは、公園内のヨセミテ渓谷以外の場所も訪れることを勧めている。；これは日本びいきになっていた夫人の勧めでもあったといわれている。；部屋に戻ると五郎が来ており、シュウが待つ北時計に行くように勧める。；彼から元の体に戻るために国家錬金術師資格を取ることを勧められる。；また、父が熱心に勧めた影響で兄の彬も生長の家の熱心な信者になった。；それゆえわれわれは常に用意をしているように勧められている。；私は青年学生に私の真似をせよと勧める勇気はもとより持っていない。；父の勧めで法学を学ぶが、自分の性質と合わない学問に非常に苦しんだ。；それを知った狸千代はきぬた姫に、城に帰って立派な女王になる様勧める。；卒業後、周囲がテネシー行きを勧めるのに反して父親の下で働いていた。；周囲からは入団を勧める声もあったが、結局ロッテ入りは破談となった。；なお同年には山本権兵衛から貴族院の勅選議員になることを勧められた。；俺は自分でも結婚するつもりだったし、お前にも結婚を勧めるつもりだった。；一成は、玲に大きな机の前の椅子を勧めると、自分も隣の椅子に座った。；市長さんに会ってみるがいいと勧める人もあったが、それもしかねた。；彼女は彼のピアノを聴いて、彼にもっと本格的な勉強をすることを勧める。；麗子たちに椅子を勧めると、さっそく死体発見時の状況を語りはじめた。；過去には祖先に倣い医師を目指すよう家族に勧められていたという。；本願寺派の場合は、女性も本連念珠を用いない事を勧められる場合が多い。；またある新聞も、医師が勧めることなど決してないだろう、と記している。；尊敬するピカードの勧めもあって、艦隊の特別訓練に参加し大尉に再昇進した。；小石川の伯母様が主人に妻帯を勧めるのは今日に始まったことではない。；片言の美しい声で、袖をとらえて母に乗ることを勧めるのが悲しかった。；母親が判事の鑑別所送りの勧めに応じたため、束縛された毎日を過ごす。；何か訳がありそうだったので、彼はそれ以上勧めることは止めた。；そこで私は、生活改善を目的とする会の人々に次のことを勧める。；下記は信者に要求されるか、勧められるバハオラの教えの数例である。；たとえ、彼らの勧めるコースが完全な誤りとしか思えない場合でもな。</t>
        </is>
      </c>
      <c r="J4400">
        <f>HYPERLINK("https://www.weblio.jp/content/勧め", "词义详情")</f>
        <v/>
      </c>
      <c r="K4400">
        <f>HYPERLINK("https://yourei.jp/勧め", "查看例句")</f>
        <v/>
      </c>
    </row>
    <row r="4401">
      <c r="A4401" t="inlineStr">
        <is>
          <t>雀</t>
        </is>
      </c>
      <c r="B4401" t="inlineStr">
        <is>
          <t>成功</t>
        </is>
      </c>
      <c r="C4401" t="inlineStr">
        <is>
          <t>読み方：じゃく
［人名用漢字］　［音］ジャク（慣）　［訓］すずめ
鳥の名。スズメ。「雀躍・雀羅／燕雀(えんじゃく)」
［難読］金糸雀(カナリア)・四十雀(しじゅうから)・雀斑(そばかす)・雲雀(ひばり)・麻雀(マージャン)・山雀(やまがら)・葦雀(よしきり)</t>
        </is>
      </c>
      <c r="D4401" t="inlineStr">
        <is>
          <t>雀たち；雀卓；雀王；雀躍り；雀風</t>
        </is>
      </c>
      <c r="E4401" t="inlineStr">
        <is>
          <t>スズメ；黄雀</t>
        </is>
      </c>
      <c r="F4401" t="inlineStr">
        <is>
          <t>蜂雀；子雀；銅雀；親雀；寒雀</t>
        </is>
      </c>
      <c r="G4401" t="inlineStr">
        <is>
          <t>雀荘；雀部；雀躍；雀頭；雀斑</t>
        </is>
      </c>
      <c r="H4401" t="n">
        <v>29</v>
      </c>
      <c r="I4401" t="inlineStr">
        <is>
          <t>かつては雀譜とも呼ばれていたが、現在では牌譜にほぼ統一されている。；悪魔の弟子はさっそく大きな雀の形になってぼろんと飛んで行きました。；雀のお母さんと雀のお父さんは高い屋根の上からそれを見てをります。；それから、また雀の声に目を覚しては、いろんなことをして遊びました。；百姓は恩に思って己の家の中へ宮を建てて雀大明神と云って雀を祭った。；しかし人を信用する経験も、山野の鳥よりは雀の方が多くもっている。；江戸中期ごろの褐色系の流行色を総称して「雀の羽色」と呼ぶ例もある。；雀の名の通り、鳥の姿だとされるが、その姿を見た者は誰もいない。；銅貨のあるところを雀におしえたのはこのふきのとうだったのでしょう。；が、雀の言葉を理解できることを実証してみせたために釈放されたとする。；兵士達はみんな大喜びに喜んで雀のやうに口を鳴らしてゐる。；私もかういつて妻と声を合せその雀の様子がおかしいといつて笑つた。；打点を重視した雀風で、所属団体では第38期の最高位を戴冠している。；丁度その時、直ぐ眼の前の小さな樫の木の枝に、雀が二三羽止つてゐた。；頌がまだ畢らぬうちに、どこからか雀が一羽飛んで来て地の上に下りた。；すると俺は、自分自身が雀になって、自由に空中を飛び廻ってる気がした。；その時、父さんが雀に、あの大きなお釜の方を御覽と言つて見せました。；つるなの箱で雀が砂浴びして、掘って種をとばしてしまったらしいのよ。；すると、雀の卵のやうな小ぶりな梅の実が、そこにもここにも数へられた。；葛飾から出京した時、私は弟の手に第一期の「雀の卵」の原稿を手渡した。；赤と黄とで橙黄を得たといふただそれしきのことさへが私を雀躍りさせた。；やがて紅真深は、雀が原にいたときには隠していた本性を見せ始める。；私は早く下宿へ行って、ゆっくり二羽の寒雀を食べたいとそればかり思っていた。；食がなくなつて軒に集つて来る雀にかれは米を撒いてやつた。；その丸太棒の一本に、ポッツリと雀のようにとまっている人の姿があった。；お庭の お庭の 木の上に 雀が遊んでをりました。；高いガラス天井の下やしゅろの鉢植のまわりを雀が二羽飛び廻っていた。；その親もまた道徳の縄で子雀の心を繋ごうとは思っていないらしい。；あるとき祥瑞である白い雀が現れた際に、儒者たちはみな詩を作っていた。</t>
        </is>
      </c>
      <c r="J4401">
        <f>HYPERLINK("https://www.weblio.jp/content/雀", "词义详情")</f>
        <v/>
      </c>
      <c r="K4401">
        <f>HYPERLINK("https://yourei.jp/雀", "查看例句")</f>
        <v/>
      </c>
    </row>
    <row r="4402">
      <c r="A4402" t="inlineStr">
        <is>
          <t>薦める</t>
        </is>
      </c>
      <c r="B4402" t="inlineStr">
        <is>
          <t>成功</t>
        </is>
      </c>
      <c r="C4402" t="inlineStr">
        <is>
          <t>読み方：すすめる
［動マ下一］［文］すす・む［マ下二］《「進める」と同語源》ある人や物をほめて、採用するように説く。推薦する。「有望株を—・める」</t>
        </is>
      </c>
      <c r="D4402" t="inlineStr">
        <is>
          <t>推薦；促進；応援；助言；ノミネート</t>
        </is>
      </c>
      <c r="H4402" t="n">
        <v>29</v>
      </c>
      <c r="I4402" t="inlineStr">
        <is>
          <t>また過去には福島県内の店のお薦め商品やイベントなどを紹介していた。；高校生のときに近所に住んでいた女性モデルから薦められ業界入りした。；彼の薦めるルールでは、誰かが100点以上を獲得した場合に終了する。；真壁は部屋を見回し、入ってきた父親に椅子を薦めて自分は床に座った。；此時に当つて蘭軒を薦めて幕府の医官たらしめようとしたものがあつた。；だからそのままにしたらと薦められたけどすっぱり抹消することにした。；それを近年になつて自分に薦めたのだが自分は機会を得ずにゐた。；現地の医師から留学を薦められ、アメリカに留学することを決意する。；父・好水が医師という職業を千畝に強く薦めたのにはこうした背景がある。；所属事務所社長の薦めで原作者である前田自らが監督と脚本を手掛けた。；母は今もそれを忘れず、時を見てはあたくしにその人を薦めてやみません。；これを聞きつけたメジャーリーグ関係者からアメリカ留学を薦められた。；そしてやななが薦めたものを販売するお店のファンになってくれる。；本人は断るつもりだったが周囲の薦めで襲名することになったという。；さっきから電話を薦めている俺だが、 電話を薦めるには理由がある。；さっきから電話を薦めている俺だが、 電話を薦めるには理由がある。；この睡眠パターンの提唱者たちが薦める睡眠時間の長さは一様ではない。；これらの団扇は使い工合が頃合で、どの家庭にも薦めたい品であります。；流行していた浪曲にあこがれ、弟子入りするも師匠に落語を薦められる。；さらにチームの監督にトレセンを受けないかと薦められ県選抜にまで合格。；お君は無理して西瓜二十個寄進し、薦められて踊りの仲間にはいった。；当時13歳のエルザはこの映画に出演し、監督の薦めで主題歌を歌った。；そしてチューターの薦めから大学内で祈り会を毎日開くようになった。；女性のナレーターが登場して大勢の子ども達に夢を見るように薦める。；特に、あらゆる方面に於ける指導的人物に、この書物の一読を薦めたい。；店によっては好みで黒蜜やシロップをかけるよう薦められることもある。；直家が秀吉の薦めで織田氏に味方すると、直家の命令で毛利氏と戦った。；十五冊って、気軽に人に薦められるシリーズでなくなっちゃってますよね。；だからカラオケバーなどでいくら人に薦められてもただの一度も歌ったことはない。</t>
        </is>
      </c>
      <c r="J4402">
        <f>HYPERLINK("https://www.weblio.jp/content/薦める", "词义详情")</f>
        <v/>
      </c>
      <c r="K4402">
        <f>HYPERLINK("https://yourei.jp/薦める", "查看例句")</f>
        <v/>
      </c>
    </row>
    <row r="4403">
      <c r="A4403" t="inlineStr">
        <is>
          <t>進める</t>
        </is>
      </c>
      <c r="B4403" t="inlineStr">
        <is>
          <t>成功</t>
        </is>
      </c>
      <c r="C4403" t="inlineStr">
        <is>
          <t>読み方：すすめる
［動マ下一］［文］すす・む［マ下二］
１前の方へ動かして位置を移す。前進させる。「馬を—・める」「歩(ほ)を—・める」「ひざを—・める」
２予定の手順に従って、物事を進行させる。はかどらせる。「工事を—・める」「話を—・める」
３物事の内容・程度をさらに高める。「一歩—・めて考える」「合理化を—・める」
４上の地位・段階に移す。位を高くする。「一階級—・める」
５（刺激して）盛んにする。うながす。「食欲を—・める酒」
６時計の針を正しい時刻より先の時刻を示すようにする。「念のため五分—・めておく」</t>
        </is>
      </c>
      <c r="D4403" t="inlineStr">
        <is>
          <t>進めるべき；進めるべく；進める上で重要</t>
        </is>
      </c>
      <c r="E4403" t="inlineStr">
        <is>
          <t>推進；上げる；促進；実行する；促す</t>
        </is>
      </c>
      <c r="F4403" t="inlineStr">
        <is>
          <t>掘り進める；書き進める；進めるストーリーパート；進める上で有利</t>
        </is>
      </c>
      <c r="H4403" t="n">
        <v>29</v>
      </c>
      <c r="I4403" t="inlineStr">
        <is>
          <t>導入までに数度社会実験を行いながら他路線も含めて検討が進められる。；嘘の公式発表をするのと並行してマッカーサーは脱出の準備を進めていた。；一方海軍はデータを取りながら慎重に開発を進める安全策を主張した。；つまり、時代が進めば進むほど証明の可能性が原理的に狭められてきた。；パワードスーツ自体は民間で開発が進められており販売もされている。；戦闘を有利に進めるには敵との相性を考えてペルソナを使うことが重要。；民俗学が独自の領域と主張を持つための下準備を着々と進めていった。；影の先端からスタートして、指定された方角へ指定された歩数を進める。；動物ごとの能力でステージを進めるが、他のステージには持ち越せない。；これを更に濃縮を進めて固体状になったものがメープルシュガーである。；ボールを相手ゴールへ進めることやボールをキープすることを目的とする。；プレイヤーはゲームを進める上で彼らのために働くことを選ぶことすら出来る。；これらは化石では確認しにくいが、近年では少しずつ研究が進められている。；宙に浮いていた教会土地財産の売却を一気に進めることもできるはずだった。；この点から都市計画が提案されており、計画は今も進められている。；やがて征討軍は別隊を進め、薩軍の中腹を攻撃しようと熊本隊に迫った。；資金も集めて準備も進められたが、この計画も実現しなかった。；整備を進めやすいために道路よりも鉄道を優先して建設された。；このため、それぞれ担当分野に分かれて研究を進める他なくなったのである。；しかし終始和やかな雰囲気で会談は進められていたのを確認している。；この2人の主人公の人格が何度も入れ替わって物語を進めることとなる。；出版は急速に進められ、窮乏によるストレスからしばらくは解放された。；双方のプレイヤーが各々の手番を交互に実行することでゲームを進める。；ユーゴスラビアでは戦後一貫して政治・経済の分権化が進められていた。；このような中で、ソ連は極秘のうちに大規模な反攻作戦の準備を進めていた。；乳牛はいかに多く搾り取るかを最大の課題とされ、改良が進められた。；このモーターは現在アクチュエータ等の用途に向けて開発が進められている。；より複雑な課題としては、生命の木を再構築する研究も進められている。；周が殷を滅ぼしたのは具体的に何年の出来事かを推定する作業が進められている。</t>
        </is>
      </c>
      <c r="J4403">
        <f>HYPERLINK("https://www.weblio.jp/content/進める", "词义详情")</f>
        <v/>
      </c>
      <c r="K4403">
        <f>HYPERLINK("https://yourei.jp/進める", "查看例句")</f>
        <v/>
      </c>
    </row>
    <row r="4404">
      <c r="A4404" t="inlineStr">
        <is>
          <t>勧める</t>
        </is>
      </c>
      <c r="B4404" t="inlineStr">
        <is>
          <t>成功</t>
        </is>
      </c>
      <c r="C4404" t="inlineStr">
        <is>
          <t>読み方：すすめる
［動マ下一］［文］すす・む［マ下二］《「進める」と同語源》
１人がその事を行うように誘いかける。勧誘する。「辞任を—・める」「加入を—・める」
２物を供して、飲食または使用してもらおうとする。「茶菓を—・める」「風呂を—・める」
３積極的に実行するようにたすけ励ます。奨励する。「資源の有効利用を—・める行政」</t>
        </is>
      </c>
      <c r="D4404" t="inlineStr">
        <is>
          <t>指導；提案；推薦；促進；誘導</t>
        </is>
      </c>
      <c r="F4404" t="inlineStr">
        <is>
          <t>強く勧める；しきりに勧める；しつこく勧める；頻りに勧める</t>
        </is>
      </c>
      <c r="H4404" t="n">
        <v>29</v>
      </c>
      <c r="I4404" t="inlineStr">
        <is>
          <t>これには製作者側がプレイヤーに対戦を勧めるためという意図があった。；職員らは、公園内のヨセミテ渓谷以外の場所も訪れることを勧めている。；これは日本びいきになっていた夫人の勧めでもあったといわれている。；部屋に戻ると五郎が来ており、シュウが待つ北時計に行くように勧める。；彼から元の体に戻るために国家錬金術師資格を取ることを勧められる。；また、父が熱心に勧めた影響で兄の彬も生長の家の熱心な信者になった。；それゆえわれわれは常に用意をしているように勧められている。；私は青年学生に私の真似をせよと勧める勇気はもとより持っていない。；父の勧めで法学を学ぶが、自分の性質と合わない学問に非常に苦しんだ。；それを知った狸千代はきぬた姫に、城に帰って立派な女王になる様勧める。；卒業後、周囲がテネシー行きを勧めるのに反して父親の下で働いていた。；周囲からは入団を勧める声もあったが、結局ロッテ入りは破談となった。；なお同年には山本権兵衛から貴族院の勅選議員になることを勧められた。；俺は自分でも結婚するつもりだったし、お前にも結婚を勧めるつもりだった。；一成は、玲に大きな机の前の椅子を勧めると、自分も隣の椅子に座った。；市長さんに会ってみるがいいと勧める人もあったが、それもしかねた。；彼女は彼のピアノを聴いて、彼にもっと本格的な勉強をすることを勧める。；麗子たちに椅子を勧めると、さっそく死体発見時の状況を語りはじめた。；過去には祖先に倣い医師を目指すよう家族に勧められていたという。；本願寺派の場合は、女性も本連念珠を用いない事を勧められる場合が多い。；またある新聞も、医師が勧めることなど決してないだろう、と記している。；尊敬するピカードの勧めもあって、艦隊の特別訓練に参加し大尉に再昇進した。；小石川の伯母様が主人に妻帯を勧めるのは今日に始まったことではない。；片言の美しい声で、袖をとらえて母に乗ることを勧めるのが悲しかった。；母親が判事の鑑別所送りの勧めに応じたため、束縛された毎日を過ごす。；何か訳がありそうだったので、彼はそれ以上勧めることは止めた。；そこで私は、生活改善を目的とする会の人々に次のことを勧める。；下記は信者に要求されるか、勧められるバハオラの教えの数例である。；たとえ、彼らの勧めるコースが完全な誤りとしか思えない場合でもな。</t>
        </is>
      </c>
      <c r="J4404">
        <f>HYPERLINK("https://www.weblio.jp/content/勧める", "词义详情")</f>
        <v/>
      </c>
      <c r="K4404">
        <f>HYPERLINK("https://yourei.jp/勧める", "查看例句")</f>
        <v/>
      </c>
    </row>
    <row r="4405">
      <c r="A4405" t="inlineStr">
        <is>
          <t>すする</t>
        </is>
      </c>
      <c r="B4405" t="inlineStr">
        <is>
          <t>成功</t>
        </is>
      </c>
      <c r="C4405" t="inlineStr">
        <is>
          <t>読み方：すする
［動ラ五（四）］
１液状のものを吸い込むようにして口の中に入れる。「かゆを—・る」「茶を—・る」
２垂れた涙や鼻汁を息とともに吸い込む。「洟(はな)を—・る」
[可能]すすれる</t>
        </is>
      </c>
      <c r="D4405" t="inlineStr">
        <is>
          <t>すするような音</t>
        </is>
      </c>
      <c r="E4405" t="inlineStr">
        <is>
          <t>吸う；吸い込む；啜る</t>
        </is>
      </c>
      <c r="H4405" t="n">
        <v>29</v>
      </c>
      <c r="I4405" t="inlineStr">
        <is>
          <t>ただ彼女は、彼の肉体の底知れぬ奥の奥まで突きすすんでくるのだった。；彼らはどんなに大きい巨人にも、すすんで打ちかかる気分になっていた。；二人の男はすすんで客の間を縫つて見て歩くといふことを、しなかつた。；もっともわたしの方からすすんで相手にしようとはしませんでしたが。；博はゆっくりとすすりながら、小百合の胸と尻ばかりに目がいっていた。；あたしたちは求愛されるもの、すすんで愛を求めるものではないのです。；音を立ててあたしをすすったり、小さな突起に軽く歯を立てたりしてる。；スープをすする時など皿の中に入って来るので仕方なしに食べてしまう。；だが、泥を鼻からすすってしまい、今は鼻の穴が泥で詰まってしまった。；私たちは、二人で向いの店に入ってコーヒーをすすりながら話しはじめた。；今はみんなでテーブルを囲んでお茶をすすりながら先輩の話を聞いている。；わたし自身もそれを一すすりするところまでいきそうになっていた。；最初彼は、ナポレオンと二人でたどったと思われる距離をすすんでみた。；足音の主はしずかに廊下をすすんで、ついに部屋の戸を力なくたたいた。；下士官がすすんで意見を出したときは、充分に耳を傾けることが大事だ。；茶をすすりながら、きみは教員免許を持っているかと教授は訊ねてきた。；昔の物語が教えてくれた注意ぶかい警戒の念をもって、一歩一歩すすんだ。；彼はそれからお茶を一口すすり、また一つ桜餅をとってベッドにのびた。；もう一人の学生は、一すすりしては、テーブルに広げた新聞を読んでいる。；署長が茶をすすってから、いいわよ、と言うのが、口の動きでわかった。；しかし、羊歯山は八百六十杯目の最後のひとすすりから進んでいなかった。；おれが中に入ると、崔虎は麺をすする手を止めておれをまっすぐに見た。；それも音が聞こえないばかりか、何かを噴射しているようすすらないのだ。；一口すすっただけだが、まだ今のところ、なんの反応も感じなかった。；すすんで犬どもの牙にかかりたくはなかったから、ぼくは動かないでいた。；あなた方は星間帝国を支配しており、すすんで放棄などはしないでしょう。；父は枝島の娘と縁談があったのを、自分からすすんでいまの母を娶った。；令さまのかすかに鼻をすすった音だって、涙とは無関係かもしれないのに。；手の腹で乱暴に涙をこそげ取るようにし、鼻をすすり、天井を見上げた。</t>
        </is>
      </c>
      <c r="J4405">
        <f>HYPERLINK("https://www.weblio.jp/content/すする", "词义详情")</f>
        <v/>
      </c>
      <c r="K4405">
        <f>HYPERLINK("https://yourei.jp/すする", "查看例句")</f>
        <v/>
      </c>
    </row>
    <row r="4406">
      <c r="A4406" t="inlineStr">
        <is>
          <t>進んで</t>
        </is>
      </c>
      <c r="B4406" t="inlineStr">
        <is>
          <t>成功</t>
        </is>
      </c>
      <c r="C4406" t="inlineStr">
        <is>
          <t>読み方：すすんで
［副］自分から積極的に。「エコ活動に—取り組む」</t>
        </is>
      </c>
      <c r="D4406" t="inlineStr">
        <is>
          <t>進んで行く(9%)；進んで来(6%)；進んでくる(2%)；進んで行きまし；進んでゐる</t>
        </is>
      </c>
      <c r="E4406" t="inlineStr">
        <is>
          <t>自ら；積極的に；積極的な；自発的に；率先して</t>
        </is>
      </c>
      <c r="F4406" t="inlineStr">
        <is>
          <t>向かって進んで；向って進んで；三歩進んで；沿って進んで；めざして進んで</t>
        </is>
      </c>
      <c r="H4406" t="n">
        <v>29</v>
      </c>
      <c r="I4406" t="inlineStr">
        <is>
          <t>それは自分から進んでその潔白を明らかにしなければならないと思った。；が彼はそれらのことにこだわらないで、なお進んでいって案内を求めた。；歴史はある法則に基づき一定の方向へ進んで行くものという考えがある。；この装置は1960年代から急速に小型化と低価格化が進んで普及した。；現在あるところの物理学は後者を選んで進んで来た一つの系統である。；右手でトンネルのかべにさわりながら、奥へ、奥へと進んで行きました。；誓って言いますが、私は自ら進んで彼らと家を出たのではありません。；汽船は樺太を差して進んでゐるのだが、島の岩の多い岸はまだ見えない。；それから大分道程が進んで来たと思ふ頃一人の壮夫が坂をのぼつて来た。；また田舍の土くれ男を夫に持つことについても餘り進んではゐなかつた。；けれど初めのうちは皆んな進んでその中を見やうとする気はありませんでした。；一般経理などは犯罪傾向の進んでない健康な男性受刑者におこなわせる。；最も自ら進んで得たいものは、自身の誤りを認める適切な機会である。；そして民衆は彼等よりも過去からの解放に進んでゐて彼等よりももつと遠くを見てゐた。；そのうちにも文化は進んで経験の結果を文字で記録することができるようになってきた。；自分は自ら進んで大兄の勘当を受ける心でこの手紙を認めると書いた。；かの朝鮮の如き千五百年前に於ては日本よりも何かがみな進んでおった。；この博士は同じことをくりかへして進んで行つてしまつたのです。；芸術の根本義である第一義的のところまで進んで行くことが出来ない。；復讐を果たした3人は屋敷を出て、それぞれの夢へと進んで行くのだった。；で上に昇ってだんだん進んで行こうとするけれどもどうも進めない。；これを自ら進んでの入院と言うことはできないかもしれない。；彼は既に一日ならず二日ならず、山また山を越えて進んでゐる。；もう一疋買うと友達が出来るからどうにか進んで行くことが出来るだろう。；いやいやながら働くのでなく、自分から進んで働くことを楽しんでいる。；人々の視線を浴びながら、天願氏は仏前まで頭を振りながら進んで行った。；そんな折にエルモが現場にやって来て、撮影が全く進んでないことに驚いた。；最終的には俳優のほとんどが進んで撮影に参加してくれた。；最初の申込みに上積みして進んで魅力的な約束を提案してきている。</t>
        </is>
      </c>
      <c r="J4406">
        <f>HYPERLINK("https://www.weblio.jp/content/進んで", "词义详情")</f>
        <v/>
      </c>
      <c r="K4406">
        <f>HYPERLINK("https://yourei.jp/進んで", "查看例句")</f>
        <v/>
      </c>
    </row>
    <row r="4407">
      <c r="A4407" t="inlineStr">
        <is>
          <t>裾</t>
        </is>
      </c>
      <c r="B4407" t="inlineStr">
        <is>
          <t>成功</t>
        </is>
      </c>
      <c r="C4407" t="inlineStr">
        <is>
          <t>読み方：きょ
［常用漢字］　［音］キョ（漢）　［訓］すそ
〈キョ〉
１着物のすそ。「軽裾」
２山のふもと。「裾礁(きょしょう)」
〈すそ〉「裾野／川裾・裳裾(もすそ)・山裾」</t>
        </is>
      </c>
      <c r="D4407" t="inlineStr">
        <is>
          <t>裾部(3%)；裾長；裾をつかん；裾絞り；裾をつまん</t>
        </is>
      </c>
      <c r="E4407" t="inlineStr">
        <is>
          <t>下；もと；底；尻；下部</t>
        </is>
      </c>
      <c r="F4407" t="inlineStr">
        <is>
          <t>長い裾；墳丘裾；墳裾；裾素懸；裾花幹線導水路</t>
        </is>
      </c>
      <c r="G4407" t="inlineStr">
        <is>
          <t>裾模様；裾花川；裾野市；裾さばき；裾礁</t>
        </is>
      </c>
      <c r="H4407" t="n">
        <v>29</v>
      </c>
      <c r="I4407" t="inlineStr">
        <is>
          <t>作品には元々異なる尖頭部分と裾絵があったが、現在では失われている。；元は曲裾が正式な礼服であり、直裾は公式の場では着てはいけなかった。；襞は、腰周囲のサイズ調整のために作る程度で、裾までは入れなかった。；ズボンの裾がめくれないようテープでとめたりと気を使ったそうである。；車体裾部分も直線になるなど、更新前と比較すると大幅に外観が変わった。；さらには時の帝も興味を持ち、この茶碗から滴った水は御裾を濡らした。；ただ、これでは風情が無いとここ数年では裾をつけた形へと変化している。；ペティコートの裾はギャザーを寄せたレースのフリルで縁取られていた。；裾に使用されているのは江戸時代中期に作られた西山勘七作の絵巻である。；裾は歩きやすいようにまくり上げてボタンで留められるようになっている。；台枠の構造上103系車両と比較すると車体裾が若干長くなっている。；両手で裾を持つがバットの様に握らない場合はブラボーチョークである。；その決勝では前半に正木が元谷の裾を握り続けたために指導が与えられた。；また、水が抜けるようにズボンの裾を靴に入れていないことが分かる。；また車体裾部に山々の緑をイメージした緑14号の帯を入れている。；国道42号・紀勢本線は共にこの峠を越えず丘陵の東側の裾を迂回する。；なお、妻面裾部には鋳鋼製のアンチクライマーを左右に取り付けている。；伝って庭へ出て、裏木戸の鍵をがらりと開けて出ると、有明月の山の裾。；写真で見る米国の自由の鐘のように下の方でなぞえに裾を拡げている。；ズボンのラインは黒・白・赤で腰から裾から腰にかけてライン幅が広がる形状。；裾花川を挟んだ近隣には裾花中学校があり交流が行われている。；墳丘は二段構造となっており各段の縁と墳丘の裾部に埴輪が配列されていた。；あるいはこれを、小川の裾の秋谷明神へ届けるのであったかも分らない。；若槻丘陵の南の裾に位置し、地区北部は緩やかな南向き斜面となっている。；古くから石室が開口し、墳丘周囲裾部は削平されて宅地化が進んでいる。；山の裾で取囲んだ浜田ありたけの溢れ水は、瀬になって落ちて来るんだ。；ズボンでは、裾にポケットが追加され、各ポケットの形状も違いが見られる。；裾は直線に作られたが、のちに前後が丸く裁断されるようになった。；足を入れても充分に余裕があり、布は裾にゆくほど大きくあまる構造になっている。</t>
        </is>
      </c>
      <c r="J4407">
        <f>HYPERLINK("https://www.weblio.jp/content/裾", "词义详情")</f>
        <v/>
      </c>
      <c r="K4407">
        <f>HYPERLINK("https://yourei.jp/裾", "查看例句")</f>
        <v/>
      </c>
    </row>
    <row r="4408">
      <c r="A4408" t="inlineStr">
        <is>
          <t>廃れる</t>
        </is>
      </c>
      <c r="B4408" t="inlineStr">
        <is>
          <t>成功</t>
        </is>
      </c>
      <c r="C4408" t="inlineStr">
        <is>
          <t>読み方：すたれる
［動ラ下一］［文］すた・る［ラ下二］
１使われなくなる。行われなくなる。通用しなくなる。すたる。「流行語は—・れるのも早い」「義理人情が—・れる」
２盛んだったものが衰える。すたる。「町が—・れる」「商売が—・れる」
[補説]中世から四段活用の「すたる」も並び用いられる。</t>
        </is>
      </c>
      <c r="D4408" t="inlineStr">
        <is>
          <t>廃れることなく(3%)</t>
        </is>
      </c>
      <c r="E4408" t="inlineStr">
        <is>
          <t>荒れる；荒む；寂れる</t>
        </is>
      </c>
      <c r="H4408" t="n">
        <v>29</v>
      </c>
      <c r="I4408" t="inlineStr">
        <is>
          <t>そんなわけで原始乱婚説は、今やすっかり廃れることになってしまった。；このまま廃れるのだと思っていたがそうではなかった。；誰にも自分の好きな土地に住む権利があれば、芸術が廃れることも無い筈だと感じていたからである。；幸いなことにドリルは、得意の領域とした描写的な詩の流行が廃れるより前に死去した。；これは、第一次世界大戦が始まったことで廃れることとなった。；一時期廃れるが、大正末期に復活し様々な姿・素材で作られ現在まで続いている。；途中、ナポレオンが禁止令を出したが廃れることはなかった。；トーナメントが廃れるのは直線的な過程ではなかった。；ドラマは1989年に終了したが流行はすぐに廃れることはなく1990年代中頃まで続いた。；藤井猛によると、藤井が奨励会で初段になった頃には廃れるようになったという。；近世以降この運搬法は廃れる傾向にあったが近代でも西日本の海沿いの地域に伝統が残った。；ミンネの習慣が廃れると、彼の運命は共感を得られにくくなった。；明治以降医学が発達しても、江戸時代に定着していた湯治文化はすぐに廃れることはなかった。；とはいえドイツ兵にとってもこの弾薬の使用は安全ではなく、すぐに廃れることとなった。；後にかつら着用の流行が廃れると紡績へと転換した。；しかしその後の用兵側の評判は良くなくカタパルトが実用化されると滑走台形式は廃れることとなった。；風穴は人工孵化法の発見や氷冷蔵の普及などによって次第に廃れるようになった。；もともとは山に入る拠点となった集落だが林業が廃れるに連れ住人も減って、現在、残っているのは老人ばかり三人に過ぎない。；この表示は日本ではすぐに廃れるか他の表記に変更されたが、輸入盤CDやクラシックやジャズなどの作品には未だにこのマークが印刷されているものがある。；それに外国との関係は打ち切られ、外国からの刺激もなくなる、従っていくばくならずしてまた廃れるのも故なきにあらずである。；だが、最終的にオランダの圧力をもってしてもトラジャの文化は廃れることは無く、改宗した者は少なかった。；しかし伝承の言葉としては廃れることはなかった。；それ以降は急に廃れる事もなく、女性ファッションのアイテムとして定着しつつある。；藩の御用窯も務めたが、藩が廃れると共に過去の歴史に流されて、今残るのは雑器の窯のみである。；デジカメや携帯が高校生の間にどれだけ普及しようとも、この慣行だけはこの先もしばらく廃れることはないだろう。；それは時の法則であって致し方ないことであるが、しかし廃れるままに放置しておくのは賢明な措置ではないであろう。；もし子に女性がいても、娘が産んだ孫に女性がいなければ、やはりその家系のミトコンドリアDNAは廃れる。；それらの詩は廃れることなく、キリスト教の主の祈りのように、標準的な祈祷の定型句となった。；ハイウェイの古い区間の幾つかは地方道路として今でも使われているが、残りは廃れるに任され、ある場所では耕作されている。</t>
        </is>
      </c>
      <c r="J4408">
        <f>HYPERLINK("https://www.weblio.jp/content/廃れる", "词义详情")</f>
        <v/>
      </c>
      <c r="K4408">
        <f>HYPERLINK("https://yourei.jp/廃れる", "查看例句")</f>
        <v/>
      </c>
    </row>
    <row r="4409">
      <c r="A4409" t="inlineStr">
        <is>
          <t>ずつ</t>
        </is>
      </c>
      <c r="B4409" t="inlineStr">
        <is>
          <t>成功</t>
        </is>
      </c>
      <c r="C4409" t="inlineStr">
        <is>
          <t>［副助］数量・割合を表す名詞・副詞、および一部の助詞に付く。
１ある数量を等分に割り当てる意を表す。「一人に二本—与える」「五〇人—のクラス編成」
２一定量に限って繰り返す意を表す。「一ページ—めくる」「少し—進む」
[補説] 「一つ」「二つ」の「つ」を重ねたものか。中古から用いられる。</t>
        </is>
      </c>
      <c r="D4409" t="inlineStr">
        <is>
          <t>ずつ計；ずつ設置；ずつ搭載；ずつ配置；ずつ変化</t>
        </is>
      </c>
      <c r="F4409" t="inlineStr">
        <is>
          <t>少しずつ大きく；少しずつ増え；少しずつ異なる；少しずつ近づい；少しずつ成長</t>
        </is>
      </c>
      <c r="G4409" t="inlineStr">
        <is>
          <t>ずつう</t>
        </is>
      </c>
      <c r="H4409" t="n">
        <v>29</v>
      </c>
      <c r="I4409" t="inlineStr">
        <is>
          <t>製作される映画は英語のものと現地語のものがほぼ半分ずつと言われている。；両チームは前後半それぞれ3回ずつのタイムアウトの権利を有している。；木道の表面には設置・更新年を示す焼印が木道一本ずつに押されている。；また、セブンイレブンが駅舎北隣と駅舎内に各一店舗ずつ設けられている。；母は父より7歳上で、二人の先夫との間にはそれぞれ一人ずつ子があった。；これらは化石では確認しにくいが、近年では少しずつ研究が進められている。；近年は日本でも少しずつ取り入れられるようになってきた。；両手で1本ずつあるいはそれ以上のジョイスティックを操作する事もある。；通路内には西側と東側に1カ所ずつエレベーターが設置されている。；そのため回を重ねるごとに地の声に近づくよう、少しずつ軌道修正していった。；空リストを初期状態とし、f を使って一語ずつ文字列を解釈していく。；乗降用ドアおよびサービスドアが客室最前方と最後方に1組ずつある。；乗降用ドアとして客室の最前方と最後方にタイプIドアが1組ずつある。；グラナドスと妻アンパロとの間には男女3人ずつ6人の子供が生まれた。；重要NPCは少しずつ年齢を重ねていき、世界情勢も更新されていく。；張琨夫妻は の12母音が6つずつ対をなして母音調和を起こすとする。；また、郡長はすべての郡に1人ずつ配置されたわけではなかった。；これらは人類が宇宙に進出してから少しずつではあるが、前者に比べて成果を挙げている。；これは各車両の左右の壁に2か所ずつと車椅子スペース部に設置されている。；本来は非常に弱い駒で斜めに一歩ずつ進むことしかできなかった。；両チームが分かれて、試合を通じて1つずつチームエリアを使用する。；二人の間には男女それぞれ二人ずつが生まれた。；キリスト教の教会にもその存在自体が少しずつ浸透してきている。；ゲームには時刻の概念があり、移動を繰り返すたびに少しずつ時間が経過していく。；なお、以前は通路が狭く、自動改札機が両端に1台ずつ設置されていた。；ファスナー状に1台ずつ合流する「ファスナー合流」の方式を導入した。；島によって少しずつ異なるが、漁業・農業・観光が中心になっている。；柵から1匹ずつヤギが出て行くたびに刻み目を1つずつ増やしていった。；プレイヤーは、画面上の駒を一つずつ選んで消していき、得点を競う。</t>
        </is>
      </c>
      <c r="J4409">
        <f>HYPERLINK("https://www.weblio.jp/content/ずつ", "词义详情")</f>
        <v/>
      </c>
      <c r="K4409">
        <f>HYPERLINK("https://yourei.jp/ずつ", "查看例句")</f>
        <v/>
      </c>
    </row>
    <row r="4410">
      <c r="A4410" t="inlineStr">
        <is>
          <t>頭痛</t>
        </is>
      </c>
      <c r="B4410" t="inlineStr">
        <is>
          <t>成功</t>
        </is>
      </c>
      <c r="C4410" t="inlineStr">
        <is>
          <t>読み方：ずつう
１頭が痛むこと。とうつう。「—持ち」→一次性頭痛→二次性頭痛
２気にかかること。心労。心配。「—の種」</t>
        </is>
      </c>
      <c r="D4410" t="inlineStr">
        <is>
          <t>頭痛膏；頭痛持ち；頭痛のたね；頭痛学会；頭痛もち</t>
        </is>
      </c>
      <c r="E4410" t="inlineStr">
        <is>
          <t>心配；不安；恐れ；懸念；苦悩</t>
        </is>
      </c>
      <c r="F4410" t="inlineStr">
        <is>
          <t>ひどい頭痛；軽い頭痛；性頭痛；猛烈な頭痛；ひどく頭痛</t>
        </is>
      </c>
      <c r="G4410" t="inlineStr">
        <is>
          <t>頭痛が痛い</t>
        </is>
      </c>
      <c r="H4410" t="n">
        <v>29</v>
      </c>
      <c r="I4410" t="inlineStr">
        <is>
          <t>そんな小面倒な事は、考えただけでも、頭痛がして来そうになるのです。；この仕事を終えて間もない頃、彼はある種の頭痛熱に悩まされていた。；後に曹操は自分の頭痛が悪化したとき華佗を殺したことを後悔している。；全てを知るために、常に襲い掛かる頭痛に苦しみつつも脱出を開始する。；睡眠障害や頭痛障害に分類されているが診断が確定しないこともよくある。；微笑を浮かべ、顔を赤らめ、頭痛のためにぼんやりしてるのだと詫びた。；主な症状である頭痛が終わってからも、片頭痛の症状は数日間持続する。；この種の頭痛に関係すると考えられる項目は次の通りである。；それから3日目以降も頭痛が続いたため、軽い練習のみ加わっていた。；全身から強い念力が溢れ出しているため、そばにいる者は頭痛に襲われる。；帰宅後、彼女は激しい頭痛を訴え、ニューヨーク市内の病院に入院した。；乳幼児は頭痛を訴えることが不可能なため、発見が遅れる可能性がある。；しかし一人は頭痛だけど船の荷物があるからといってもう一人の方に唐戸まで行かせた。；この事件で頭痛に悩まされることになり、3ヶ月でブラウン塾に戻った。；寂しい道を歩いている最中の突然の寒気や頭痛はミサキのためという。；タツノに恋人のなかつたことが、今となつては人々の頭痛の種になるのであつた。；だれでも、頭痛がするといわないものがないほどでありました。；そのほか、ビタミンB12の補給に頭痛軽減の効果のある可能性がある。；人畜共通の病気でもあり発熱・頭痛など全身症状を伴うこともある。；ほんとうによくふると、けさはおもつた、頭痛がしてぼんやりしてゐた。；露骨に云えば彼女の貞操その物よりも、ずっとこの方が頭痛の種でした。；この日宮内は頭痛がひどいので、小屋に引き籠って養生していたのである。；例えばある男性はキノコ使用後、頭痛が生じないまま3年が経過した。；片頭痛は群発頭痛などの他の頭痛の原因とは区別されるべきである。；原因はさまざまといわれるが、基本的には、すべての頭痛の原因は一つとされる。；その日私は頭痛がして臥つてゐますと、矢張りその記者が来ました。；竹は私が頭痛の薬、今も頭が破れさうなに、お医師者様で貰ふて来や。；幸い身を以て遁れ得たら太く驚いて何処かへ頭痛が散ってしまうのである。；ねえ君、徳子が頭痛がするということは前からきまつていたわけではない。</t>
        </is>
      </c>
      <c r="J4410">
        <f>HYPERLINK("https://www.weblio.jp/content/頭痛", "词义详情")</f>
        <v/>
      </c>
      <c r="K4410">
        <f>HYPERLINK("https://yourei.jp/頭痛", "查看例句")</f>
        <v/>
      </c>
    </row>
    <row r="4411">
      <c r="A4411" t="inlineStr">
        <is>
          <t>すっかり</t>
        </is>
      </c>
      <c r="B4411" t="inlineStr">
        <is>
          <t>成功</t>
        </is>
      </c>
      <c r="C4411" t="inlineStr">
        <is>
          <t>［副］
１残るもののないさま。ことごとく。「金庫の金が—なくなる」「仕事が—かたづく」
２完全にある状態になっているさま。まったく。「からだはもう—よい」「—春だ」
３すがすがしいさま。さっぱり。きっぱり。すっぱり。
「—として、よいお子でおます」〈洒・色深猍睡夢〉
４難がなく、見ばえのするさま。すっきり。
「かの後家といふは、—とした上しろもの」〈滑・膝栗毛・八〉</t>
        </is>
      </c>
      <c r="D4411" t="inlineStr">
        <is>
          <t>すっかり忘れ(5%)；すっかり暗く；すっかり消え；すっかり話し；すっかり慣れ</t>
        </is>
      </c>
      <c r="E4411" t="inlineStr">
        <is>
          <t>まるで；まったく；全く；何も；ずっと</t>
        </is>
      </c>
      <c r="F4411" t="inlineStr">
        <is>
          <t>すっかり動顛；すっかり意気銷沈；すっかり掃き清め；すっかり暮れなずん；すっかり尾羽打ち枯らし</t>
        </is>
      </c>
      <c r="H4411" t="n">
        <v>29</v>
      </c>
      <c r="I4411" t="inlineStr">
        <is>
          <t>世間からはすっかり悪役視されていたのでこの日の裁判は注目を集めた。；針がすっかり沈んでしまって少しも浮かばないと運命は凶であるという。；その後、事務所を閉鎖してすっかり探偵業から手を引いてしまっている。；水門を前にした船には白いものですっかり覆われて立つ人の姿がある。；その代わり倉地にも過去という過去をすっかり忘れさせずにおくものか。；一方、病院では精神的にすっかり憔悴したビルが自殺する事件が起こる。；そして人が変わったように精神的にもすっかり立ち直り、元気になった。；また、人をすっかり夢中にさせてしまうことを意味する熟語でもある。；それでも老人は、この三人の移民をすっかり忘れてしまっているだろう。；夜露がすっかり草の上に下りて、あたりの空気はひどくしめっぽかった。；佐和木の面倒をみていくうちに、三重子はすっかり心を許すようになる。；帰ってきたシャハリヤールは弟がすっかり明るくなったのを見て理由を尋ねた。；そうするうちに彼の元気はすっかりなくなってしまいました。；二時間後には、老人は汗でびしょ濡れになり、すっかり疲れ切っていた。；すっかりその気になって痛みも忘れた新郎と、いそいそとその場を去る。；何かのきっかけで個々の要素の状態がすっかり変わることがある。；近頃すっかり逆になってきちゃってね、曲の方が簡単になってきてるんですね。；意識を取り戻した富豪も男のことをすっかり忘れていて弁護してくれない。；以後繁栄と衰亡を繰り返したが、江戸時代初期にはすっかり寂れていた。；文句も話した時は覚えていたが、もうすっかり忘れてしまった。；一方、身分違いの新三郎との恋にすっかり心を奪われたお露は病の床に伏す。；おそらくかなり痛いところを突かれてすっかり意気消沈したのであろう。；すっかり映画に魅入られたふたりが石造りの立派な家に帰ってくる。；部屋の中の空気が昨夜とはすっかり変わってしまった。；しかし、第二次世界大戦が始まるとすっかり姿を消してしまった。；すっかり空になった弁当箱が流し台に置かれた場面で、漫画は終わる。；気がつくとそれまでの数時間の記憶をすっかりなくしていた。；赤山の神に提出した日に、手にできた腫れもすっかり癒えたと語っている。；すっかりその気になった泥棒は明日を楽しみにして家を出る。</t>
        </is>
      </c>
      <c r="J4411">
        <f>HYPERLINK("https://www.weblio.jp/content/すっかり", "词义详情")</f>
        <v/>
      </c>
      <c r="K4411">
        <f>HYPERLINK("https://yourei.jp/すっかり", "查看例句")</f>
        <v/>
      </c>
    </row>
    <row r="4412">
      <c r="A4412" t="inlineStr">
        <is>
          <t>すっと</t>
        </is>
      </c>
      <c r="B4412" t="inlineStr">
        <is>
          <t>成功</t>
        </is>
      </c>
      <c r="C4412" t="inlineStr">
        <is>
          <t>［副］(スル)
１すばやく、とどこおらずに動作をするさま。または、変化が起こるさま。「—手を出す」「人影が—消える」「からだが—軽くなる」
２まっすぐに伸びているさま。「—伸びた肢体」
３胸のつかえや心配などがなくなって、気持ちがよくなるさま。「胸が—した」「気分が—する」</t>
        </is>
      </c>
      <c r="D4412" t="inlineStr">
        <is>
          <t>すっと消え(3%)；すっと立ち上がり；すっと軽く；すっと開い；すっと細く</t>
        </is>
      </c>
      <c r="F4412" t="inlineStr">
        <is>
          <t>すっと息を吸い；すっと力が抜け；すっと身を起し；すっと立ちあがる；すっと身を引い</t>
        </is>
      </c>
      <c r="G4412" t="inlineStr">
        <is>
          <t>すっとんきょう；すっとば；すっとぼけ；すっとび；すっとぶ</t>
        </is>
      </c>
      <c r="H4412" t="n">
        <v>29</v>
      </c>
      <c r="I4412" t="inlineStr">
        <is>
          <t>愛していると思っていた私たちの間に、冷たいものがすっと入ってきた。；男は灰色の目をあげて尚の顔を見つめ、すっと音もなく足を踏み出した。；十六日 バスにてすっと帰る勇気なく、朝七時、四里の道を歩いて帰る。；こんな暮らしをしていちゃ病気はなかなかすっとはよくならないからね。；そこで彼女は紙をすっとまわして、ななめからしか見えないようにした。；子供は、すっと消えてしまった膝の痛みを不思議がるように泣きやんだ。；相手にはそれと感じさせないで、人の心の中にすっと入って来るのね。；体が消えて行くような気がしたと思うと、すっと眠りに入って行った。；その杉は、拓の視線が及ぶ範囲を越えてもまだすっと空へと伸びている。；どんな他愛ない事でも口へ出して云って見ると胸がすっとするものだった。；雷に打たれたような寝太郎の前に立った友美は、すっと手を差し出した。；こうなると私たちの腰をおろしている場所へ暗闇がすっと降りてきた。；一台の車のかげからすっと現われた姿を目に留めた男が何人かいたという。；本能的に手がすっと短剣に触れたのは、女王が姿を現されたときだった。；投げた後ですっと身を退き、こちらが立ち直る時間をくれただけである。；僧は私に触れぬよう、私のからだが動くたびにすっと一定の距離を空ける。；と見る間に、すっと穴のふちに出て、あとの仲間を引っぱり上げていた。；両手を前にして、ボールがきたら、受けながら両手をすっと引くのよ。；扇水は黒く大きな目をすっと細めたが、口に出しては何もいわなかった。；階段を降りきったところで、ハリーは開いていたドアをすっと通り抜けた。；三次は百合畑の脇から横庭へぬけて、すっと土間の中へ入って行った。；竹さんの結婚も、遠い昔の事のように思われて、すっとからだが軽くなった。；鮎美には野獣がすっと立ち上がった時のような不思議な魅力があった。；灰色の瞳がすっと細められた時、彼に気付いた女主人が声を掛けてきた。；薄笑いを浮かべたまま、ただその場ですっと両手を広げただけだった。；すっと近づいて、常務と呼ばれた男が拾い上げたが、すでに死んでいる。；電車はよくすいていたが、男は人のあまりいないあたりですっと立っていた。；エンマは、壁が彼女が近づくと自然と開いたかのようにすっと中にはいった。；すると黒い外套の男は、沼の右手にある裸岩の蔭へすっと隠れて了った。</t>
        </is>
      </c>
      <c r="J4412">
        <f>HYPERLINK("https://www.weblio.jp/content/すっと", "词义详情")</f>
        <v/>
      </c>
      <c r="K4412">
        <f>HYPERLINK("https://yourei.jp/すっと", "查看例句")</f>
        <v/>
      </c>
    </row>
    <row r="4413">
      <c r="A4413" t="inlineStr">
        <is>
          <t>ずっと</t>
        </is>
      </c>
      <c r="B4413" t="inlineStr">
        <is>
          <t>成功</t>
        </is>
      </c>
      <c r="C4413" t="inlineStr">
        <is>
          <t>［副］
１ほかのものと比べてかけ離れているさま。段違いに。はるかに。「このほうが—大きい」「それより—以前の話だ」「駅は学校の—先にある」
２同じ状況が長く続いているさま。その間じゅう。「友だちのことで—悩んでいる」「夏休みは—家にいた」
３ある範囲内に、残す所なく動作を及ぼすさま。くまなく。隅から隅まで。「広い校内を—探しまわる」「町じゅうを—見まわる」
４ためらわずに、また、とどこおらずに動作をするさま。ずいと。「さあ、—お通りください」</t>
        </is>
      </c>
      <c r="D4413" t="inlineStr">
        <is>
          <t>ずっといい；ずっと遠く；ずっと続い；ずっと離れ；ずっと早く</t>
        </is>
      </c>
      <c r="E4413" t="inlineStr">
        <is>
          <t>とても；続けて；すっかり；長く；いつまでも</t>
        </is>
      </c>
      <c r="F4413" t="inlineStr">
        <is>
          <t>方がずっと；もっとずっと；以来ずっと；もうずっと；これまでずっと</t>
        </is>
      </c>
      <c r="G4413" t="inlineStr">
        <is>
          <t>ずっとずっと；ずっと一緒；ずっといっしょ；ずっとそばに；ずっと好きだった</t>
        </is>
      </c>
      <c r="H4413" t="n">
        <v>29</v>
      </c>
      <c r="I4413" t="inlineStr">
        <is>
          <t>彼女はナポレオンの部屋に通されるのを朝から夜までずっと待っていた。；ここで紙から飛び出せばずっと短い距離で到達できるというわけである。；住所の別の利点は、それが実際の家よりもずっと扱いやすいことである。；律令制下に置かれた郡であるが、その領域は現在よりもずっと広かった。；だから僕は世代間の争いなんてするべきじゃないとずっと言い続けているんだ。；小学校で委員に選ばれたのが嫌でずっと泣いているような内気な性格だった。；私はずっと貴方がドイツのために戦って倒れたのだと思い続けます。；作品ごとにスタッフを変えるのではなく、ずっと同じスタッフと仕事をする。；やがて王は、ローマよりずっと強大だったエトルリアとの同盟を結んだ。；親と子がわかりあえないというのはとても残念なことだとずっと思ってる。；以降、人類はずっとこのプライヤを改善し続けているということである。；それ以来ずっと家で過ごすうちにラジオの大相撲中継を聞くようになった。；ビーチ・ボーイズで完成させた方がずっと良いものになったはずだ。；子供の頃から絵を描くのが好きだったこともあり、アニメ自体はずっと観ていた。；ずっと伝えられずにいた彼女への想いを口にして、物語は幕を閉じる。；何も学ぶものがない彼らの言葉を読むよりは、ずっとましだから。；描き始めた頃は、まさか、その後もずっと登場するとは思ってもいなかった。；バリオン数は、クォークモデルが確立されるよりずっと前に定義された。；それまではモントーバンを含むずっと南まで、ロット県の領域であった。；誰が何を言っているか知らないが、俺はずっと村田が好きだったね。；フェスティバルホールの存在がずっと大阪の音楽文化を表してきた。；ボクシングの練習はずっとやっているけど試合はしたことがない。；これはメモリからデータを取ってきながら計算するよりもずっと高速に動作した。；また、当初はずっと泣いており、洋服ダンスのなかでも泣いていたという。；ただし、中には現場に出ずにずっと編集業務のままの者もいる。；誠人は子供のころから腹部に病気を抱えていてずっと塗り薬を使っていた。；生まれてからずっと暮らし続けてきた地元ミランのファンである。；そこをずっと進んでいくとエレベーターがありダム最上部にあがることができる。；大地震のリスクはこれまで研究者が考えていたよりもずっと高まっている。</t>
        </is>
      </c>
      <c r="J4413">
        <f>HYPERLINK("https://www.weblio.jp/content/ずっと", "词义详情")</f>
        <v/>
      </c>
      <c r="K4413">
        <f>HYPERLINK("https://yourei.jp/ずっと", "查看例句")</f>
        <v/>
      </c>
    </row>
    <row r="4414">
      <c r="A4414" t="inlineStr">
        <is>
          <t>酸っぱい</t>
        </is>
      </c>
      <c r="B4414" t="inlineStr">
        <is>
          <t>成功</t>
        </is>
      </c>
      <c r="C4414" t="inlineStr">
        <is>
          <t>読み方：すっぱい
［形］酸味がある。口を窄(つぼ)めたくなるような味だ。すい。「—・い夏ミカン」「口を—・くして言う（＝くどいほど何度も言う）」
[派生]すっぱさ［名］すっぱがる［動ラ五］</t>
        </is>
      </c>
      <c r="D4414" t="inlineStr">
        <is>
          <t>酸っぱいもの(11%)；酸っぱいよう(8%)；酸っぱい匂い(8%)；酸っぱい味(4%)；酸っぱい顔(3%)</t>
        </is>
      </c>
      <c r="E4414" t="inlineStr">
        <is>
          <t>酸い</t>
        </is>
      </c>
      <c r="F4414" t="inlineStr">
        <is>
          <t>ちょっと酸っぱい；底から酸っぱい</t>
        </is>
      </c>
      <c r="H4414" t="n">
        <v>29</v>
      </c>
      <c r="I4414" t="inlineStr">
        <is>
          <t>ただしわたしには、どちらも似たような酸っぱい匂いがしただけだった。；こっちのは香りの奥にさらに甘いような酸っぱいような匂いが隠れている。；大人たちが絶対行っちゃダメと口を酸っぱくして言っても効果はなかった。；ひと握りの緑のさくらんぼは食べられたが、種のまわりが酸っぱかった。；孔明が部下に口を酸っぱくして説いたのは、例の「心の戦い」であった。；それを見ていると、私の舌の上にも酸っぱい汁がたまりそうであった。；歯磨きのしすぎで一日中キスよりも酸っぱいミントの香りが漂っていた。；酸っぱいものは鼻の奥を刺激し、涙と鼻汁が一緒になって出てきた。；このようなビールは酸っぱくならずに保存することはできない。；それまではカオルが口を酸っぱくして何度も注意していたものだ。；それは母親である加世子が口を酸っぱくして教えこんだ行為では、なかった。；どんなに口を酸っぱくしてそれは誤解だといっても、聞きません。；おれが口を酸っぱくしていっていたろう、笑いなど無用のものだと。；外は今日も雨で、酸っぱい匂いが部屋の中にこもっているみたいだ。；最後に夫が失敗すべきという考えは、中でも一番酸っぱい一口となろう。；旦那様が口を酸っぱく叱っても、ちっとも言うことを聞きませんでした。；中には酸っぱいやつもあり、シャンペンのように炭酸のきつい酒もある。；そして何か酸っぱいものを間違えて口に含んだような顔をした。；そういえば、うちの子たちも幼い頃、夫に口を酸っぱくして教えられたっけ。；窓が一つしかない部屋には、何やら酸っぱいような異臭すら籠もっている。；胃袋になにも入っていなかったため、出るのは酸っぱい胃液ばかりだった。；しぶい痛みも感じさせず、甘い酸っぱさも感じさせずに消えていった。；そんな酸っぱい思い出を胃液のように溢れさせながら、校舎の間に立つ。；あたしは口が酸っぱくなるほど、トリックに気をつけろと言ってあるだろ。；子供のころ庭の柘榴を食べて、それは酸っぱいだけでつまらなかった。；これはレモンより酸っぱいので抗壊血病性は強いはずと考えたからである。；そのあとで酸っぱくした馬の乳でクミッズと呼んでいるものを飲む。；蜜柑や杏のようなものは、初めのうちは酸っぱいが、終いには甘くなる。；さっきから口を酸っぱくしていっているように、本人がその気なら、の条件つきだ。</t>
        </is>
      </c>
      <c r="J4414">
        <f>HYPERLINK("https://www.weblio.jp/content/酸っぱい", "词义详情")</f>
        <v/>
      </c>
      <c r="K4414">
        <f>HYPERLINK("https://yourei.jp/酸っぱい", "查看例句")</f>
        <v/>
      </c>
    </row>
    <row r="4415">
      <c r="A4415" t="inlineStr">
        <is>
          <t>素敵</t>
        </is>
      </c>
      <c r="B4415" t="inlineStr">
        <is>
          <t>成功</t>
        </is>
      </c>
      <c r="C4415" t="inlineStr">
        <is>
          <t>読み方：すてき
［形動］［文］［ナリ］《「すばらしい」の「す」に、接尾語「てき」の付いたものという。「素敵」「素的」は当て字》
１自分の気持ちに合っていて、心を引かれるさま。非常にすぐれているさま。「—な服装」
２程度がはなはだしいさま。
「—に堅そうな首を、…濶(ひろ)い肩の上にしっかりすげ込んだようにして」〈露伴・観画談〉</t>
        </is>
      </c>
      <c r="D4415" t="inlineStr">
        <is>
          <t>素敵な女性；素敵な男性；素敵なイラスト；素敵じゃない；素敵な笑顔</t>
        </is>
      </c>
      <c r="E4415" t="inlineStr">
        <is>
          <t>美しい；最高；立派；見事；綺麗</t>
        </is>
      </c>
      <c r="F4415" t="inlineStr">
        <is>
          <t>そんな素敵；たら素敵；あんな素敵；素敵な彼氏；素敵な王子様</t>
        </is>
      </c>
      <c r="G4415" t="inlineStr">
        <is>
          <t>素敵じゃないか；素敵にドキュメント；素敵だね；素敵なあなた；素敵な宇宙船地球号</t>
        </is>
      </c>
      <c r="H4415" t="n">
        <v>29</v>
      </c>
      <c r="I4415" t="inlineStr">
        <is>
          <t>あなたの素敵な家族のことを聞いて話してしまったのよ、それだけなの。；でもそれが一般に想像されるほど素敵なものだとはあたし思わないわ。；ところが、この絵に描かれた君の不思議な若い友達と来ては滅法素敵だ。；青い青い水の宮殿はきっと茨の城なんかよりも、もっと素敵に強力だわ。；時とすると、実に素敵なものだと思えるような思想が彼にも浮かんできた。；今まで他ではそんなとても素敵な話の半分も聞いたこともなかった。；ううんとつても素敵なんだけど正体不明なところは気持ちが悪いかなぁ。；それにもかかわらずこの航海は素敵におもしろいように見えるのでした。；彼女は自分の家を素敵なものに作り上げている、教授連中には閉口だが。；頭をなでられ、きれいだったよ、素敵だったよと言ってもらいたかった。；あたしの知っている人のうちには一人もいないくらい、先生は素敵な方です。；それよりも今、目の前にいる彼の方がずっと素敵で、雰囲気も高級だった。；あんな素敵なお声のトー様がそう言うぐらいだから、よっぽどなのよね。；事前に言われた素敵な方たちね、とは全然合っていない気がするし。；空想の中では大活躍し素敵な女性と結ばれても、現実では失敗ばかり。；御殿には塔がひとつあって、その塔には素敵な飾りがついていました。；その子の道綱が大臣とかの女との間に挿つてゐる形なども素敵である。；だが、小さいけれど小屋なんて言い切っては失礼なほど、素敵な建物だ。；こんな生活のいったいどこが素敵で華やかなのか、伺いたいもんですね。；あなたの子供達に昔の遊び場を見せて上げるなんて、素敵だと思わない?；世界にもギャル文化が広がってるし、素敵な日本のカルチャーだと思う。；こんな物悲しい日々を送るうちに、彼女は素敵なことを思いついたのよ。；十四日は六日ぶりにいいお天気になって立山連峰の眺めは素敵でした。；これは素敵だ、これは素敵だで、とうとう私一人で食べ尽してしまった。；振袖、素敵だったし、相手に手も足も出させず追い詰めていく戦い振り。；それにお前は、小さいお嬢さんのたくさんいる素敵なお家へ行くのだよ。；私がいつも、愛をしているように、あなたも素敵に愛をして下さいますよう。；閑静な通りで、素敵な家が多く、二軒一棟式、複数の家に作業場がある。；私は、なんと素敵な友達を持っていることかと、その倖せを思ったのです。</t>
        </is>
      </c>
      <c r="J4415">
        <f>HYPERLINK("https://www.weblio.jp/content/素敵", "词义详情")</f>
        <v/>
      </c>
      <c r="K4415">
        <f>HYPERLINK("https://yourei.jp/素敵", "查看例句")</f>
        <v/>
      </c>
    </row>
    <row r="4416">
      <c r="A4416" t="inlineStr">
        <is>
          <t>既に</t>
        </is>
      </c>
      <c r="B4416" t="inlineStr">
        <is>
          <t>成功</t>
        </is>
      </c>
      <c r="C4416" t="inlineStr">
        <is>
          <t>読み方：すでに
［副］
１ある動作が過去に行われていたことを表す。以前に。前に。「—述べた事柄」
２その時点ではもうその状態になっていることを表す。もはや。とっくに。「彼は—おとなだ」「手術はしたものの—手後れだった」
３動かしがたい事実であることを表す。どう見ても。現に。「この事が—権威の失墜を物語っている」
４すっかり。まったく。
「天の下—覆ひて降る雪の光を見れば貴くもあるか」〈万・三九二三〉
５ある事態が近づいていることを表す。もう少しで。今にも。
「仏御前はすげなう言はれ奉って—出でんとしけるを」〈平家・一〉</t>
        </is>
      </c>
      <c r="D4416" t="inlineStr">
        <is>
          <t>既に述べ；既に死ん；既に遅く；既に失わ</t>
        </is>
      </c>
      <c r="E4416" t="inlineStr">
        <is>
          <t>もう；今や；早くも；最早；已に</t>
        </is>
      </c>
      <c r="F4416" t="inlineStr">
        <is>
          <t>当時既に；もう既に；段階で既に；頃から既に；既に終日日光</t>
        </is>
      </c>
      <c r="H4416" t="n">
        <v>29</v>
      </c>
      <c r="I4416" t="inlineStr">
        <is>
          <t>明確に子ども向けに作られた書物は17世紀までには既に存在していた。；ただし日本ではごく一部を除いて鉄道荷物輸送は既に廃止されている。；しかし少なくとも10世紀頃には既に成立していたと考えられている。；多くの場合、既にパズル誌を発行している会社が増刊の形で始めている。；一方で当時の機種で既に標準装備となっていた自動両面再生機能がない。；駅舎は既に撤去されその跡地にブロック造りの待合所が設けられている。；個人用のプリンターで印刷したものの場合、既にこの処理は行われている。；外注は1963年には既に存在したが、恒常的には行われていなかった。；報告の中には、西アフリカの約9割が既に破壊されたというものもある。；更に、フランス軍は既にブリュン方面への第二の退却路を新設していた。；この時、既に対蔣介石クーデターの構想などが練られていたと言われる。；イギリスのロンドンでは9世紀半ばに既に「空気の悪さ」が知られていた。；ニュートンの時代までには、微分積分学の基本定理は既に知られていた。；既に知られている事実がいかに多くとも、別の解釈の可能性がそこには残っている。；かつては2番ホーム南側に2線の側線があったが既に撤去されている。；富士通は1985年半ばにこの方針を転換したが、既に手遅れであった。；既に年長大であり、夫はいない、弟がいて彼女を助けていたとの伝承がある。；嫡母が既に亡くなった場合だけ皇帝の生母は皇太后の称号を授けられた。；室町幕府において既に公式の行事として採用されたことが知られている。；従来館が既に撤退していた海老名には大きすぎる映画館だと考えられていたからである。；このことは最終氷期の既に厳しく寒くなっている状態の悪化をもたらした。；既に多くの元兵士はこの世を去っており残された補償問題も解決に向かい始めている。；バッハが帰郷した時には、既に妻が7月7日に埋葬された後であった。；そのうち最初の3つは既に一般的に知られていたものである。；既に対応機器の発売は終了しており、AVCRECに移行している。；既に述べた具体的な概念の多くはこの方法を通して解釈しなおすことができる。；奈良・平安時代には既に現在の形で食されていたとされている。；その席で彼はニュートンが既にこの問題を証明しているがまだ発表していないことを知った。；翌年になって犯人は逮捕されたが、絵画は既に焼却されていた。</t>
        </is>
      </c>
      <c r="J4416">
        <f>HYPERLINK("https://www.weblio.jp/content/既に", "词义详情")</f>
        <v/>
      </c>
      <c r="K4416">
        <f>HYPERLINK("https://yourei.jp/既に", "查看例句")</f>
        <v/>
      </c>
    </row>
    <row r="4417">
      <c r="A4417" t="inlineStr">
        <is>
          <t>捨てる</t>
        </is>
      </c>
      <c r="B4417" t="inlineStr">
        <is>
          <t>成功</t>
        </is>
      </c>
      <c r="C4417" t="inlineStr">
        <is>
          <t>読み方：すてる
［動タ下一］［文］す・つ［タ下二］
１不用のものとして、手元から放す。ほうる。投棄する。「ごみを—・てる」「武器を—・てて投降する」⇔拾う。
２今までの関係を絶って、そのままかまわないでおく。見捨てる。「妻子を—・てる」
３かかわりのないものとして、ほうっておく。放置する。見過ごす。「—・てておけない緊急事態」「カーブを—・ててストレートに的を絞って打つ」
４持ち続けてきた思いなどをなくす。熱意や関心などがさめてしまう。あきらめて手を引く。「希望を—・てる」「最後まで勝負を—・てない」
５俗世間を離れる。「世を—・てて山にこもる」
６かけがえのないものを犠牲にしてもかまわないほどの意気込みで、何かを行う。「一命を—・てる覚悟で困難に当たる」
７乗り物を降りて、さらに先へ行く。「タクシーを—・てて歩く」
８（動詞の連用形、または、動詞の連用形に接続助詞「て」を添えた形に付いて）…してしまう、…してほうっておくの意を表す。「言い—・てる」「切って—・てる」
[下接句]命を捨てる・車を捨てる・掃いて捨てるほど・身を捨てる・世を捨てる・群臣を棄(す)つ・弊履(へいり)を棄つるが如(ごと)し</t>
        </is>
      </c>
      <c r="D4417" t="inlineStr">
        <is>
          <t>捨てるべき；捨てるくらいなら；捨てる神あれ；捨てるよう命じ；捨てるよう奨励</t>
        </is>
      </c>
      <c r="E4417" t="inlineStr">
        <is>
          <t>除く；放棄；去る；断念；振る</t>
        </is>
      </c>
      <c r="F4417" t="inlineStr">
        <is>
          <t>掃いて捨てる；斬り捨てる；破り捨てる；使い捨てる；斬って捨てる</t>
        </is>
      </c>
      <c r="H4417" t="n">
        <v>29</v>
      </c>
      <c r="I4417" t="inlineStr">
        <is>
          <t>数千枚の原稿を捨てながら作品の完成度を上げることに努力したという。；魔法少女が特別な力を捨てて普通の女の子に戻ることを望む場合がある。；宗教的な人とはこの調和の信仰を捨てることのできない人のことである。；曲の内容は、自分を捨てた恋人に電話するとても切ない物となっている。；だが訪れた教会で見たのは、かつて自分が捨てた息子の成長した姿だった。；条件次第で捨ててしまうような値を事前に準備することは非効率的である。；捨てられたブーツを利用して作られたメンドーザと呼ばれる楽器がある。；人は生きて居る間は向上進歩の望を捨てることは出来ぬものであります。；合わせられない場合はそのセクションを捨てて次へどんどん進んでしまう。；ただ、射程延長のための応用の可能性を研究者が捨てることはなかった。；かく申しましても、私は私自らのものを捨てる気は少しもありません。；そんな夜、お母さんは木こりに子供を森の中に捨ててくるように提案する。；しかしその間もラファイエットはアメリカ行きの計画を捨てなかった。；自然淘汰説を捨てると説明のできなくなる現象が生物界には無数にある。；これは、イベントの種類ごとに配信するか捨てるかを指定するものである。；どこか捨てがたい魅力ある競技の進歩発展を阻害してきたものと思う。；そうしてその人はカフスボタンを故意に犯罪の現場へ捨てる心であろう。；瞬間の感激のために人々が命を捨てるのを、彼は戦場で何度も眺めて来た。；木簡は最初に字が書かれたところから遠く離れた場所で捨てられることがある。；中途で筆を捨てるやうなことがあつたら、あとはお前が書き足してくれ。；少ないようですが捨てる方が多いのでこれでも甘く選んでいるのです。；どんなに絶望的な状況になっていってもアンネは最後まで希望を捨てなかった。；助はこの話を大いに不思議に思ったけれど、残っていた膾を湖に捨てさせた。；通常の物品だけでなく、ゴミとして捨てられた物でも同様の効果がある。；お種、お前を捨てるようなことは決して無いで、安心しておれやッて。；そればかりでなく各有力紙は自発的に批判的態度を捨てるようにさえなった。；また近年ではコース中でゴミを捨てて良い区間が一部に限定されている場合もある。；過去の伝統を捨てて、実験的な精神で美術に向かった状況を指していることが多い。；一方、かつては読み捨てられていたような本が高騰することもある。</t>
        </is>
      </c>
      <c r="J4417">
        <f>HYPERLINK("https://www.weblio.jp/content/捨てる", "词义详情")</f>
        <v/>
      </c>
      <c r="K4417">
        <f>HYPERLINK("https://yourei.jp/捨てる", "查看例句")</f>
        <v/>
      </c>
    </row>
    <row r="4418">
      <c r="A4418" t="inlineStr">
        <is>
          <t>ストロボ</t>
        </is>
      </c>
      <c r="B4418" t="inlineStr">
        <is>
          <t>成功</t>
        </is>
      </c>
      <c r="C4418" t="inlineStr">
        <is>
          <t>読み方：すとろぼ
１写真撮影用の閃光(せんこう)装置。キセノンガスを封入した放電管を光源とし、直流電流をコンデンサーに蓄電しておき、カメラ側のシャッターと連動して閃光を発生させるもの。繰り返して使用できる。スピードライト。フラッシュ。エレクトロニックフラッシュ。
２「ストロボスコープ」の略。</t>
        </is>
      </c>
      <c r="D4418" t="inlineStr">
        <is>
          <t>ストロボ鏡(3%)；ストロボ撮影(2%)；ストロボ装置；ストロボ信号灯；ストロボ写像</t>
        </is>
      </c>
      <c r="G4418" t="inlineStr">
        <is>
          <t>ストロボ効果；ストロボライト；ストロボグラマティック数；ストロボ・エッジ</t>
        </is>
      </c>
      <c r="H4418" t="n">
        <v>29</v>
      </c>
      <c r="I4418" t="inlineStr">
        <is>
          <t>両艦のストロボ信号が、四番艦のアクシズ接舷が近いことを示していた。；彼の目もストロボに負けないほどの光を放っているようだった。；ストロボ式よりも小型軽量化が容易で、個人用として広く使われている。；ベッカーは格納庫の開口部がストロボのように何度も光るのを目にした。；どこへ行くにも、何をするにも、ストロボを浴びねばならなかった。；そこにはもう煌りがなく、鑑識のストロボを皮相に反射するだけだった。；歌をうたいながら歩いていた酔っ払いが何か言ってストロボに振り向いた。；校長のデスクの上に置いたライトが、ストロボのように光っては消える。；来た道を振り返ると、ストロボの光はもう地平線の下に隠れていた。；動きを瞬間的にとらえるのにはストロボがもっとも効果的だという。；暗闇のなかで、二つのストロボ信号灯が、いまも点滅を繰り返していた。；ストロボが次々に光を発し、その奇妙な現場写真をとらえていた。；図はストロボ写像ではなく時間に連続的な と の解軌道を示す。；ストロボの閃きに床にグッタリと横になっていたモコが顔をあげた。；辺り一帯が、カメラ用ストロボを一〇万個ほど点滅させたような光で満たされた。；ストロボの楽曲は海外のアーティストにもカヴァーされている。；ストロボ光線を浴びてでもいるようなこま切れの意識に眩暈がしそうだった。；日本大学藝術学部講師のもと、ストロボなどを使用し本格的な撮影を行っている。；大型のストロボがついたカメラを手にしている。；日本国内の場合は、撮影の瞬間に、多くは赤色のストロボが発光する。；ドイツ・メッツのプロ用ストロボを輸入・販売していた。；五〇〇円玉は空中で回転し、陽光をストロボのように反射した。；デュシャンはストロボ写真のように連続したイメージを重ね合わせて動きを表現している。；まだ昼光線の残っている時間なので、ストロボは作動していない。；だが、それ以前に空が稲妻のストロボで光る現象は起きていない。；一人はストロボ付きのカメラを持っていた。；ストロボ撮影さながら、その動きは華麗なダンスのようだった。；電池本体が軽く、本数を多く使用するカメラ用ストロボなどの機器にも有用。；何百個ものストロボをたいたような稲光がしたと同時に、ドォォーンという音。</t>
        </is>
      </c>
      <c r="J4418">
        <f>HYPERLINK("https://www.weblio.jp/content/ストロボ", "词义详情")</f>
        <v/>
      </c>
      <c r="K4418">
        <f>HYPERLINK("https://yourei.jp/ストロボ", "查看例句")</f>
        <v/>
      </c>
    </row>
    <row r="4419">
      <c r="A4419" t="inlineStr">
        <is>
          <t>砂</t>
        </is>
      </c>
      <c r="B4419" t="inlineStr">
        <is>
          <t>成功</t>
        </is>
      </c>
      <c r="C4419" t="inlineStr">
        <is>
          <t>読み方：しゃ
〈叉〉⇒さ
〈沙〉⇒さ
〈砂〉⇒さ
〈紗〉⇒さ</t>
        </is>
      </c>
      <c r="D4419" t="inlineStr">
        <is>
          <t>砂泥(2%)；砂馬；砂底；砂色；砂姫</t>
        </is>
      </c>
      <c r="E4419" t="inlineStr">
        <is>
          <t>沙；サンド；真砂；砂子；沙子</t>
        </is>
      </c>
      <c r="F4419" t="inlineStr">
        <is>
          <t>堆砂；細かい砂；排砂；熱い砂；砂まじり</t>
        </is>
      </c>
      <c r="G4419" t="inlineStr">
        <is>
          <t>砂糖；砂浜；砂丘；砂利；砂地</t>
        </is>
      </c>
      <c r="H4419" t="n">
        <v>29</v>
      </c>
      <c r="I4419" t="inlineStr">
        <is>
          <t>天竜川の上流にダムが出来たため、上流から運ばれてくる砂の量が減少。；そのようなガラス質の砂を原料に製造されているのが新島ガラスである。；これが原因で砂押には頭が上がらなくなってしまい、国鉄入団となった。；砂の上から見れば、やや間を開けて砂の表面に葉を出した群落になる。；回転運動をする砂は発生地周辺のみに到達し、移動する砂丘を構成する。；ただし、海底の砂泥の色に合わせて体色をある程度変えることもできる。；斧足はヒトデなどの外敵から身を守るために砂の中に潜るのに使われる。；西なぎさには山砂が、東なぎさには浚渫砂泥がそれぞれ投入されている。；古い競走記録に砂コースの記録が残っており、存在していたことを伝えている。；同時に砂や泥の表面ではあまり安定しない移動方法でもある。；キュウセンなど一部の種は、夜には砂に潜って眠ることが知られている。；しかし生まれたのは男の子であったため、由比ヶ浜の砂に埋められる。；日本のダートコースは昔は砂馬場と呼ばれていたものを改良したものである。；その上で、最も現実的なのは砂や石の衝突現象として支持している。；マザラス星人の指示を受け、鏡の世界でゲンを砂の中に生き埋めにする。；多くのものが砂泥中に体を埋め、水管を泥の上に出して生活している。；それ以外の土壌の大部分は異地性のカンラン石玄武岩の砂でできている。；前を走る馬が跳ね上げる砂が眼にかかるのを嫌がる馬に用いられる。；河川の上流から流れてきた砂などが堆積することにより形成される。；砂が吹き飛ばされて何メートルも横に伸びた茎が露出する場合もある。；現在でも砂浜で永久磁石を砂中にいれれば十分に視認することが出来る。；泥や砂の上で暮らすものは、やや特殊な形の腹足を持つ例がある。；型の材料は古代から砂が用いられ、現代においても砂は最も主要な材料である。；その際に止まり切れず砂の中に転がり込む迫力のある映像が見られた。；枯山水に用いられる砂は、白ないしそれに近い色調を用いる事が多い。；この砂コースはアメリカ合衆国の施設を参考にして建設された。；このあたりの海岸には砂ではなく青い石があり近くにはその青い石を集めて作った小さな公園もある。；チャーチルはまた、浜の砂が爆撃の衝撃を吸収してくれたとも述べている。；計算によれば、タイタンの砂の密度は地球上の砂の3分の1とされている。</t>
        </is>
      </c>
      <c r="J4419">
        <f>HYPERLINK("https://www.weblio.jp/content/砂", "词义详情")</f>
        <v/>
      </c>
      <c r="K4419">
        <f>HYPERLINK("https://yourei.jp/砂", "查看例句")</f>
        <v/>
      </c>
    </row>
    <row r="4420">
      <c r="A4420" t="inlineStr">
        <is>
          <t>素直</t>
        </is>
      </c>
      <c r="B4420" t="inlineStr">
        <is>
          <t>成功</t>
        </is>
      </c>
      <c r="C4420" t="inlineStr">
        <is>
          <t>読み方：すなお
［形動］［文］［ナリ］
１ありのままで、飾り気のないさま。素朴。
「—なる山家(やまが)育ちのたのもしき所見えて」〈露伴・風流仏〉
２性質・態度などが、穏やかでひねくれていないさま。従順。「—な性格」「—に答える」
３物の形などが、まっすぐで、ねじ曲がっていないさま。「—な髪の毛」
４技芸などにくせのないさま。「—な字を書く」
５物事が支障なく、すんなり進行するさま。
「餌食を—に与へざれば、痩せおとろへてぞありける」〈仮・伊曽保・下〉
[派生]すなおさ［名］
[補説]インタビューでスポーツ選手などが用いる「素直に嬉しい」は、混じりけなしの嬉しさだと強調したのか、結果に不満はあるが、それはそれとして嬉しいとへりくだって見せたのか、はっきりしない言い方である。</t>
        </is>
      </c>
      <c r="D4420" t="inlineStr">
        <is>
          <t>素直な気持ち；素直な心；素直じゃない；素直な性格；素直な感想</t>
        </is>
      </c>
      <c r="E4420" t="inlineStr">
        <is>
          <t>明るい；正直；直；まとも；直ぐ</t>
        </is>
      </c>
      <c r="F4420" t="inlineStr">
        <is>
          <t>素直な気性；素直じゃねえ；素直な返事；素直な言い方</t>
        </is>
      </c>
      <c r="G4420" t="inlineStr">
        <is>
          <t>素直になれなくて；素直な悪女；素直に笑えない；素直に言えなくて；素直なままで</t>
        </is>
      </c>
      <c r="H4420" t="n">
        <v>29</v>
      </c>
      <c r="I4420" t="inlineStr">
        <is>
          <t>その後プロジェクトに戻りたいとも思っているが、素直になれずにいた。；あたし、これからは何でもお前さんのいうことを素直に聞きますからね。；しかし、其の時にも彼女は素直に事実を述べる勇気を持ちませんでした。；さらには、2人とも性格も素直で明るく勉強もできる生徒だったという。；勝ちは勝ち、負けは負けと水の流れるごとく素直でなくてはよくあるまい。；幼少期は素直な性格であり、思ったことを率直に発言する少年であった。；Oは嘘の云えない素直な男で彼の云うことはこちらも素直に信じられます。；先生たちはしかし純な、素直な私の方を愛していてくれたように思う。；双葉もまた、まっすぐで素直な音を出すことで先輩に目を付けられていた。；今まで彼の面上にこれ程素直な子供らしい影が現われたことがあろうか。；警察から、車から出てくるように命じられた際、彼女は素直に従った。；急にあなたを美しいと感じたもんですから素直にいっただけです。；そして汽車の切符を渡して行けと云ふので、渠は素直にその通りにした。；また、性格面では素直に感情を表に出す無邪気さや気の強さが語られている。；最後には尾崎も観念し、19回目には涙を流しながら素直に歌っていた。；上手に言えたかどうだか分らないが、ともかく、存外素直に持って来た。；しかし二人の表情は素直に幸せを感じているようではなかった。；わたくしは唯素直に藝術の自由を讚美して見たかつたまでのことである。；リオはある勘違いから省太のことが気になりだすも素直になれずにいた。；一連の出来事について20世紀まで支配的だったのは素直な解釈であった。；上の歌には万葉らしく、鎌足の二重の喜びが素直に表現されている。；当時のヨーロッパ各国は戦争が回避できたことを素直に喜んだ。；基本的に明るく素直な性格で、思っていることを隠さずはっきりと伝える。；私の監督時代に近鉄を去ったが、メジャーでの活躍は素直に嬉しかった。；と母親は観念すると、たちまちそこに宿命に素直になる歓びさへ覚えた。；男は流し眼にじろりと見上げたが、それでも素直に起き上って坐った。；大好きな姉が妊娠を機に結婚することになったものの、素直に喜べない。；それでもバッグスは自分の負けを素直に認めながら、満足して帰って行く。；しかし、このような流れが素直に受け入れられたわけではなかった。</t>
        </is>
      </c>
      <c r="J4420">
        <f>HYPERLINK("https://www.weblio.jp/content/素直", "词义详情")</f>
        <v/>
      </c>
      <c r="K4420">
        <f>HYPERLINK("https://yourei.jp/素直", "查看例句")</f>
        <v/>
      </c>
    </row>
    <row r="4421">
      <c r="A4421" t="inlineStr">
        <is>
          <t>すなわち</t>
        </is>
      </c>
      <c r="B4421" t="inlineStr">
        <is>
          <t>成功</t>
        </is>
      </c>
      <c r="C4421" t="inlineStr">
        <is>
          <t>読み方：すなわち
［接］
１前に述べた事を別の言葉で説明しなおすときに用いる。言いかえれば。つまり。「日本の首都—東京」
２前に述べた事と次に述べる事とが、まったく同じであることを表す。とりもなおさず。まさしく。「生きることは—戦いである」
３（「…ば」の形を受けて）前件の事実によって、後件の事実が自然に成り立つことを表す。その時は。そうすれば。「戦えば—勝つ」「信じれば—救われる」
［名］
１（連体修飾語に続けて）その時。
「綱絶ゆる—に八島の鼎(かなへ)の上に、のけざまに落ち給へり」〈竹取〉
２むかし。あのころ。当時。
「若宮は、—より寝殿に通る渡殿におはしまさせて」〈栄花・楚王の夢〉
［副］
１すぐに。たちまち。
「立て籠(こ)めたる所の戸、—ただ開きに開きぬ」〈竹取〉
２もう。すでに。
「頗る出精せしが、今は、—亡(な)し」〈蘭学事始〉
[補説] この語の語源は、いわゆる「時を表す名詞」の一種であり、平安時代以後、「即・則・乃・便」などの字の訓読から接続詞として用いられるようにもなったと考えられ、現在ではその用法に限られるといってよい。</t>
        </is>
      </c>
      <c r="D4421" t="inlineStr">
        <is>
          <t>すなわち神；すなわちいわゆる；すなわち昭和；すなわち我々；すなわち自己</t>
        </is>
      </c>
      <c r="E4421" t="inlineStr">
        <is>
          <t>つまり；即ち；詰まり；言ってみれば；詰り</t>
        </is>
      </c>
      <c r="F4421" t="inlineStr">
        <is>
          <t>然らばすなわち；屠者すなわち；天地会すなわち洪門；これぞすなわち；蝦夷すなわち</t>
        </is>
      </c>
      <c r="H4421" t="n">
        <v>29</v>
      </c>
      <c r="I4421" t="inlineStr">
        <is>
          <t>すなわち自発的に進行する方向に反応の速度を増加させる働きを持つ。；すなわち、イニシエータは1つのバス上に複数の機器が存在してもよい。；すなわち仏がその悟りの奥深広大なるを自ら楽しんで受けることをいう。；すなわち量子力学的には電子の分布も揺らぎが発生することが期待される。；被験者の全感覚、すなわち全体野への入力がどれも遮断されるのである。；すなわち、 は への制限が消えているような線型汎函数 全てからなる。；たとえば女性的な男性がすなわち性同一性が女性というものではない。；すなわち温度とはエネルギーが自然に移動していく方向を示す指標であるといえる。；すなわち、ゲームを終わらせることができるのは鬼の側だけである。；そこで両者が異なる鍵を用いる方法、すなわち公開鍵暗号が考案された。；太陽放射の量は各地点の太陽の高度、すなわち季節と緯度により変わる。；そのような解 、すなわち の複素対数函数 は と表すことができる。；すなわち、マシンが人間の感情の揺れ動きをほぼ完全に予測できることが示唆される。；本門ではすなわちここに至って仏とはもはや歴史上の釈迦一個人のことではない。；すなわちスロットル操作に対するエンジンの出力上昇に遅れが生じやすい。；光速度は であったので、これは すなわち、 である事を意味する。；すなわち接線同士の直交を以って二つの曲線の直交を定義するのである。；歴史的には地球の自転周期すなわち一日の長さは一定だと考えられていた。；すなわち、このキログラムの定義には循環定義が含まれていることになる。；すなわち解く状況に応じて都合のいいように取ればよいのである。；すなわち刑罰・損害賠償・非難に対応し、出来事の後に発生する責任である。；すなわち自己破壊しか残された道はないのです。；すなわち、古い番号のエピソードが新しい番号のエピソードより新しいことも時々ある。；ガラスと同じ構造、すなわちガラス化する物質は珍しくない。；すなわち、MとLはどちらもお互いにしか活性を示さないものとする。；すなわち形状が重要で、球体のようなコンパクトな形にしてはならないのである。；すなわち現代における戦争を行う原則は以下の通りとなる。；すなわち、標高の高い山上で長期間戦闘が行われる初例となったのであった。；すなわち絶対的な権力を持つが故に誤謬が許されない天皇の親政に反対し続けた。</t>
        </is>
      </c>
      <c r="J4421">
        <f>HYPERLINK("https://www.weblio.jp/content/すなわち", "词义详情")</f>
        <v/>
      </c>
      <c r="K4421">
        <f>HYPERLINK("https://yourei.jp/すなわち", "查看例句")</f>
        <v/>
      </c>
    </row>
    <row r="4422">
      <c r="A4422" t="inlineStr">
        <is>
          <t>頭脳</t>
        </is>
      </c>
      <c r="B4422" t="inlineStr">
        <is>
          <t>成功</t>
        </is>
      </c>
      <c r="C4422" t="inlineStr">
        <is>
          <t>読み方：ずのう
１脳。脳髄。あたま。
２あたまの働き。知力。「—のすぐれている人」「—明晰(めいせき)」「—集団」
３ある集団を代表する、すぐれた働きをする人。「我が社の—ともいうべき人物」
４特にすぐれた知能の持ち主。「海外への—の流出が続く」</t>
        </is>
      </c>
      <c r="D4422" t="inlineStr">
        <is>
          <t>頭脳的(2%)；頭脳明晰；頭脳集団；頭脳プレー；頭脳船</t>
        </is>
      </c>
      <c r="E4422" t="inlineStr">
        <is>
          <t>心；頭；精神；脳；知</t>
        </is>
      </c>
      <c r="F4422" t="inlineStr">
        <is>
          <t>優秀な頭脳；感応頭脳；鋭い頭脳；天才的な頭脳；鋭敏な頭脳</t>
        </is>
      </c>
      <c r="G4422" t="inlineStr">
        <is>
          <t>頭脳労働；頭脳派；頭脳戦；頭脳警察；頭脳流出</t>
        </is>
      </c>
      <c r="H4422" t="n">
        <v>29</v>
      </c>
      <c r="I4422" t="inlineStr">
        <is>
          <t>例の二階の方へ行く度に、時々岸本の頭脳の内はシーンとしてしまった。；わたくしはこの中から選んで頭脳的な仕事より手で働く仕事に就きました。；この時はMFでありゲームも作るが得点もするチームの頭脳であった。；彼は自分の頽廃しきった頭脳を何物かに向ってぶっつけたくなっていた。；「私より優れた頭脳を持つのは妻だけだ」と冗談交じりに発言している。；人間を遥かに凌駕する頭脳を持ち、地上のあらゆる知識を吸収している。；単純な僕の頭脳では、やはりその疑問を解決することは出来そうもなかった。；だからその判断は常に最も健全な頭脳から湧出する智脳の活躍の現れだ。；どうやらソロソロ彼の右手が機嫌を直したらしい、彼の頭脳よりも先に。；それで俺が火事に関与していると、きみの優秀な頭脳が考えたわけだ。；彼等もまたその凡俗な頭脳の中で、いろいろなことを考えているのである。；ただし頭脳部分のみは交換が効かないため、そこが弱点ともなっている。；科学的頭脳を持つて居る者が誰が馬鹿らしい創造論などを信ずるものか。；この同じやうな頭脳にも多少組み合せの相違や質の高下はもとよりある。；頭脳のいいX号のことだから、半日ばかり考えると、一つの案ができた。；食事をしている間も、昂奮した頭脳が、時々ぐらぐらするようであった。；ベニヴィエニのような人であり完全に現実的であり頭脳明晰な医師である。；問題は博士の思想、哲学にあるのであって、思想は頭脳と一つではないのだ。；Y学園の中でもトップクラスの頭脳を持つ生徒達で構成された研究チーム。；つまり、それがために、自分は頭脳の発達した人間だと感じられたのだろう。；どんなに三吉の方で頭脳の具合の悪い時でも、要るだけのものは要った。；かれらは人間の死にぎわにその頭脳から他へ運ばれたところの思想に過ぎない。；室との結婚の正体が、はっきり頭脳に考えられないようであった。；しかし私の年齢の頭脳で、はっきりした確信をつかむことは不可能であった。；クリストフは、彼女の顔貌の謎と頭脳生活の強烈さとに蠱惑されていた。；優れた頭脳をもち、カーレル帝国の侵略の兵器開発や作戦の立案を行う。；全く抽出がなくて、あらゆる事実がむきだしに散乱してる頭脳もあろう。；赤見沢博士のユニークな頭脳はそれを装置化することに成功したのではないか。；ですがあなたさまの頭脳をもってしても、おわかりにはならなかったのですね。</t>
        </is>
      </c>
      <c r="J4422">
        <f>HYPERLINK("https://www.weblio.jp/content/頭脳", "词义详情")</f>
        <v/>
      </c>
      <c r="K4422">
        <f>HYPERLINK("https://yourei.jp/頭脳", "查看例句")</f>
        <v/>
      </c>
    </row>
    <row r="4423">
      <c r="A4423" t="inlineStr">
        <is>
          <t>すばしこい</t>
        </is>
      </c>
      <c r="B4423" t="inlineStr">
        <is>
          <t>成功</t>
        </is>
      </c>
      <c r="C4423" t="inlineStr">
        <is>
          <t>［形］［文］すばしこ・し［ク］《「す」は強意の接頭語》動作がきびきびしている。すばしっこい。「—・く逃げ回る」
[派生]すばしこさ［名］</t>
        </is>
      </c>
      <c r="D4423" t="inlineStr">
        <is>
          <t>すばしこい男(4%)；すばしこい奴(3%)；すばしこい動作；すばしこい足；すばしこい手つき</t>
        </is>
      </c>
      <c r="E4423" t="inlineStr">
        <is>
          <t>速い；敏捷；素早い；機敏；すばしっこい</t>
        </is>
      </c>
      <c r="H4423" t="n">
        <v>29</v>
      </c>
      <c r="I4423" t="inlineStr">
        <is>
          <t>また彼らの言葉のはしばしから、すばしこくその心を読むことに努めた。；彼を見た者は、彼をべつにすばしこい男だとは思わなかったにちがいない。；肉体もすばしこくなったが、それにも増して頭が敏活にはたらき出した。；そして、すばしこく泳ぎ、大きくなったら戻ってくるような性質の魚だ。；が、こうした場合の彼のすばしこさは、まだ決して失われてはいなかった。；井伊君はすばしこいが、皆の集中攻撃を受けて何度でも鬼にあたる。；それを見ると少年の頬に唇をつけていた妹は、すばしこく少年から離れて元の処へ立っていた。；それを見ると少年の頬に唇をつけてゐた妹は、すばしこく少年から離れて元の所へ立つてゐた。；彼は一目で前後の事情を判断しうるようなすばしこい男だった。；それから三匹目の鼠が、例のすばしこい、小刻みな足で胸の方に進んできた。；次郎はすばしこく植込をぬけ、座敷の縁を上って、家の中に逃げこんだ。；しかもバックは以前と同じく猛烈にそして以前よりはすばしこく格闘した。；彼のほおは真っ赤になり、彼の動作はきびきびとすばしこく的確だった。；そいつ等は負け組で、小汚ねえすばしこそうなのが、勝ってるんだよ。；今、彼は這い進む姿の一つに背後から近づいて、すばしこく跨がった。；あいつはすばしこいのだから、君は断じて兄とぐるになっては困る。；彼らはいったいどこで夏頃の不逞さや憎々しいほどのすばしこさを失って来るのだろう。；それでなければ、あのすばしこい小たかにとらえられたのでないか?；しかしこの田辺は、あるいはほかの人々ほどにはすばしこくなかつたかも知れない。；そんな可愛らしい顔をして、あなたはすばしこい獣みたいな人だ。；すばしこい川村書記さんは、どうかしてその事を探り出されたのでしょう。；こぼしさまがすばしこいのは、手や足ばかりではなかったのだ。；ああ云う鬼共は愉快げにすばしこくお詞を聞いて、 仰ゃる通になります。；ときどき小さな魚がすばしこく走ったが、そのほかにこれと思わしい物はなにもなかった。；これも体の大きい順というわけでもないし、すばしこいのからというわけでもない。；三十一二で、躯の小柄な、すばしこい顔つきの、はきはきした男だった。；背丈も同じくらいですし、身軽ですばしこいところも同じでしてね。；袋を持ったすばしこそうな商人は、元気よく笑いながら。；彼はすばしこく眼を使つて、一種の型を持つた容貌の者をその中から見出さうとした。</t>
        </is>
      </c>
      <c r="J4423">
        <f>HYPERLINK("https://www.weblio.jp/content/すばしこい", "词义详情")</f>
        <v/>
      </c>
      <c r="K4423">
        <f>HYPERLINK("https://yourei.jp/すばしこい", "查看例句")</f>
        <v/>
      </c>
    </row>
    <row r="4424">
      <c r="A4424" t="inlineStr">
        <is>
          <t>素早い</t>
        </is>
      </c>
      <c r="B4424" t="inlineStr">
        <is>
          <t>成功</t>
        </is>
      </c>
      <c r="C4424" t="inlineStr">
        <is>
          <t>読み方：すばやい
［形］［文］すばや・し［ク］
１行動が非常に早い。敏速である。「動作が—・い」「—・く処理する」
２頭の回転が非常に早い。「状況を—・くさとる」「—・い判断」
[派生]すばやさ［名］</t>
        </is>
      </c>
      <c r="D4424" t="inlineStr">
        <is>
          <t>素早い動き(14%)；素早い動作(4%)；素早い身(3%)；素早い視線；素早い対応</t>
        </is>
      </c>
      <c r="E4424" t="inlineStr">
        <is>
          <t>速く；速い；速やか；迅速に；敏捷</t>
        </is>
      </c>
      <c r="F4424" t="inlineStr">
        <is>
          <t>素早い手つき；素早い変速；素早い奴；ぬ素早い；素早いフットワーク</t>
        </is>
      </c>
      <c r="H4424" t="n">
        <v>29</v>
      </c>
      <c r="I4424" t="inlineStr">
        <is>
          <t>これはメッセージをあちこちに素早く伝達するために重要な役割をする。；しかし、彼は流れのように移動する人々の顔に素早い視線を馳せていた。；動きが素早いが、技は直線的な物が多いため、回避行動で避けると良い。；その素早い箸の動きが侑子にはまるで外国人のもののように見えていた。；虫の飛ぶように素直に、虫のように安んじて動いた素早さの愛称である。；小型鯨類が湾内に入ると逃げられないように魚網を素早く閉じ確保する。；仕事はありましたが、それほど素早く成功したとは思っていませんでした。；たしかにあの手の力はあるが、音楽とは素早い指の動きがすべてではない。；暗い中で顔は見えないが、みずすましのような素早い歩き方でわかった。；そして肉体の方は〇・二秒の素早さでもって危機回避の行動を取った。；以下の手段を用いることで、現在地から離れた場所へ素早く移動できる。；木に登ったり、発達した前肢と爪を使って素早く穴を掘ることもできる。；上段に掲げられた刀は、なおもってそれ以上の素早さで振り下ろされた。；九百メートルという高度に全く恐怖を感じていないような素早さだった。；母親のきりかえの素早さと抜け目のなさは、いつの男のときもそうだった。；普段は確実に銃を保持し、使用時には素早く銃を抜けることが要求される。；なお、時間が立つと敵が素早くなることから難易度は高めとなっている。；グラントは素早く行動し、2月2日には川を使って部隊の移動を始めた。；いかに素早い行動をとっても、注射をする、これはできない相談である。；月夜の晩にしか行動しないうえ動きが素早いために捕まえるのが難しい。；その動きの素早さときたら、ガリオンは目で追うことすらできなかった。；の認証方式を私よりも素早くクラッキングし、その結果を送ってくれた。；素早い敵が相手なら、刀に戻って戦った方がやりやすいんじゃない?；テルは素早く岸に自分だけ降り立つと船を湖の中央へ押し返してしまう。；それまで眠っていたとは思えないほどの素早い反応ぶりだった。；主に動物や人体など動きのあるものを素早く捉える訓練として行われる。；データを素早く入手することは、多くの企業が重視するようになってきている。；これは素早く生長してギャップをふさぐ役割を果たしているとも言える。；高い素早さを活かして相手を翻弄しつつ攻め込むスタイルを得意とする。</t>
        </is>
      </c>
      <c r="J4424">
        <f>HYPERLINK("https://www.weblio.jp/content/素早い", "词义详情")</f>
        <v/>
      </c>
      <c r="K4424">
        <f>HYPERLINK("https://yourei.jp/素早い", "查看例句")</f>
        <v/>
      </c>
    </row>
    <row r="4425">
      <c r="A4425" t="inlineStr">
        <is>
          <t>すばらしい</t>
        </is>
      </c>
      <c r="B4425" t="inlineStr">
        <is>
          <t>成功</t>
        </is>
      </c>
      <c r="C4425" t="inlineStr">
        <is>
          <t>読み方：すばらしい
［形］［文］すばら・し［シク］
１群を抜いてすぐれている。大変みごとである。このうえなく好ましい。「山頂からの夜景は—・い」「—・い演奏」
２驚くほど程度がはなはだしい。ものすごい。「この柿は—・く甘い」「—・くおもしろい本」
「もう全く—・く痛いんですよ」〈椎名・深夜の酒宴〉
３ひどい。とんでもない。
「おぬしもこの女故にゃあ—・い苦労をして今の身の上」〈伎・浮名横櫛〉
[派生]すばらしげ［形動］すばらしさ［名］</t>
        </is>
      </c>
      <c r="D4425" t="inlineStr">
        <is>
          <t>すばらしいもの(5%)；すばらしい眺め；すばらしい美人；すばらしい女性；すばらしい思いつき</t>
        </is>
      </c>
      <c r="E4425" t="inlineStr">
        <is>
          <t>良い；最高；妙；大変；立派</t>
        </is>
      </c>
      <c r="F4425" t="inlineStr">
        <is>
          <t>実にすばらしい；どんなにすばらしい；とてもすばらしい；じつにすばらしい；もっとすばらしい</t>
        </is>
      </c>
      <c r="G4425" t="inlineStr">
        <is>
          <t>すばらしい世界旅行；すばらしい日本の戦争；すばらしい日々；すばらしい洞察；すばらしい蒸気機関車</t>
        </is>
      </c>
      <c r="H4425" t="n">
        <v>29</v>
      </c>
      <c r="I4425" t="inlineStr">
        <is>
          <t>かれがわたしのほんの少し先を飛んでいるのを見るのはすばらしかった。；きみの今はいっている部屋そのものが、一つのすばらしい機械なのだよ。；どの娘とも同じようにすばらしい未来の夢を見ていたことは見ていた。；魅惑的でしかも手に入れがたいものを見ながら飲むのはすばらしかった。；誰もみんなそれぞれよいところを、すばらしく発揮してくださいました。；この原子の内に神は天地創造以来こんなすばらしい力を隠していたのだ。；日本へ上陸するなり考えたことはすばらしい詩を書きたいと思ったことです。；我々がこのような人物を持っている事は実にすばらしいではないか。；ガリオンがこれまで見たこともないようなすばらしく贅沢な部屋だった。；経済全体への直接参加には、次のようなすばらしく単純な哲学がある。；木の太さの割合いには、すばらしくたくさんのみごとな実がなっていた。；大きな魚がどこから近づいても、すばらしい匂いと味を感じられるはずだ。；大人になった時を想像してすばらしい佳人の姿も源氏の君は目に描いてみた。；おれとおまえがヨーロッパで見た、どこの動物園よりもすばらしかった。；こんなすばらしい空中現象を、これまでたれもみたものはありません。；やがて価値の転換と概念の改造とがすばらしい勢いで行われる時がやって来た。；わたしには比較する経験なんてないけど、すばらしかったことはわかるわ。；これが蟻田博士が、この部屋に仕掛けておいたすばらしい秘密錠なのだ。；どんなにすばらしくたって、それだけじゃ相手がミートしてくるからね。；彼はこれを読んだとき、すばらしい発見でもしたかのように喜んだ。；たちまちすばらしく空気が通じて煙は暗い葉群のなかに消えて行った。；デスクの向うにいたすばらしくハンサムな男が立ち上って二人を迎えた。；此の変な花に、やがてすばらしく赤い豆ほどの大きさの実がなります。；十字章勲二等はすばらしい功績に章を普遍的に与えるために制定された。；宣長は見て分かることでも日本はすばらしい国であると例証を挙げた。；こうした地下にもぐった戦士たちは、すばらしく情勢をよく知っていた。；もうひとつ、ここの酒がすばらしかったことを言い落としてはならない。；最初は商人にさせようとしたがあまりにも技量がすばらしくこの世界に入れた。；かつて聞いたこともないようなすばらしく上等の香のにおいがするのです。</t>
        </is>
      </c>
      <c r="J4425">
        <f>HYPERLINK("https://www.weblio.jp/content/すばらしい", "词义详情")</f>
        <v/>
      </c>
      <c r="K4425">
        <f>HYPERLINK("https://yourei.jp/すばらしい", "查看例句")</f>
        <v/>
      </c>
    </row>
    <row r="4426">
      <c r="A4426" t="inlineStr">
        <is>
          <t>ずばり</t>
        </is>
      </c>
      <c r="B4426" t="inlineStr">
        <is>
          <t>成功</t>
        </is>
      </c>
      <c r="C4426" t="inlineStr">
        <is>
          <t>［副］
１刀などで勢いよく切るさま。「魚の頭を—（と）切り落とす」
２物事の核心を正確に、または単刀直入に指摘するさま。「相手の考えを—（と）言い当てる」</t>
        </is>
      </c>
      <c r="D4426" t="inlineStr">
        <is>
          <t>ずばりと言い当て；ずばりと指摘；ずばりといわ；ずばりずばり；ずばりと切り出し</t>
        </is>
      </c>
      <c r="E4426" t="inlineStr">
        <is>
          <t>ちょうど；正確；ちゃんと；まさに；はっきりと</t>
        </is>
      </c>
      <c r="F4426" t="inlineStr">
        <is>
          <t>いきなりずばり</t>
        </is>
      </c>
      <c r="H4426" t="n">
        <v>29</v>
      </c>
      <c r="I4426" t="inlineStr">
        <is>
          <t>自分の住んでいるアパートの風呂が、ずばりそのまま一体型なのを見た。；かれはよく部下に相手の考えていることをずばりといってやる。；中に一人、ずばりホテルへ行かないかと声をかけている男がいた。；しかし、さすがは先生、ずばりとわたしの性格を指摘なさいましたな。；しかし美冬もいったように、そのものずばりのシーンは映画にはない。；その隙をずばりと英策につかれてぎくりとしたのも当然のことだった。；見たこともなさそうな珍品の値段をずばりフリップに書いて当ててもらう。；こんな人に描いてもらえて、ずばりラッキーと思いましたね、わたしは。；具体的な地名が、ずばりと十津川の口をついて出たので、びっくりしたのだ。；女はおれを捕まえたいと思っていたその場所ずばりのところでおれを捕まえた。；博士がこんなにずばりと、金属人間のことを口にするとは予期していなかったのだ。；見ながめるや同時に、ずばりと小気味のいい右門流がもう始まりました。；ルーナは言いにくい真実をずばりと言う、いつもの才能を発揮した。；彼女は呼びだしに応じまい、とヴェルシーロフはずばりと言ってのけた。；わかっているのかいないのか、何気なくずばりと核心をついてくる。；そんなのは無視して、ずばりと要点をおさえるのがなぜ悪いんだよ?；荒波はじっと中尉を見つめると、皮肉な笑みを浮かべ、ずばりと言った。；種があると判っていても、自分の心の中をずばりと当てられたりするのはいい気持のものではない。；浦上はコーヒーを注文すると、キャスターに火をつけて、ずばりと言った。；しかし、ずばり申しあげれば、私は報酬を所望しているのでございます。；「ママなら、いないわよ」と亜矢が父親の背中に向かってずばりと言った。；だが、国学者の中では、ずばりと頭を抽き出して居ることも、事実である。；周平が黙ってるのを見て、保子は止めを刺すようにずばりと云ってのけた。；そんな考えが顔に出てしまったのだろうか、勝部先輩がぼくの思うところをずばり当ててきた。；貞造さんというその家の老人が、或る日そんな瑤子にずばりと言った。；ずばり議論の余地もない証拠のようなものがほしいんです!；アンブリッジと魔法省が恐れているそのものずばりをやって退けている。；武松はそれをおさえつけ、ずばりと一刀のもとにその首を掻き落とした。；「彼女、地が白いんだよ」と、賢一がそのままずばりを言ったからだ。</t>
        </is>
      </c>
      <c r="J4426">
        <f>HYPERLINK("https://www.weblio.jp/content/ずばり", "词义详情")</f>
        <v/>
      </c>
      <c r="K4426">
        <f>HYPERLINK("https://yourei.jp/ずばり", "查看例句")</f>
        <v/>
      </c>
    </row>
    <row r="4427">
      <c r="A4427" t="inlineStr">
        <is>
          <t>図表</t>
        </is>
      </c>
      <c r="B4427" t="inlineStr">
        <is>
          <t>成功</t>
        </is>
      </c>
      <c r="C4427" t="inlineStr">
        <is>
          <t>読み方：ずひょう
１図と表。また、図または表。
２数値を読み取ることができる図。
３数量的な関係・法則を直線や曲線で表したもの。グラフ。</t>
        </is>
      </c>
      <c r="D4427" t="inlineStr">
        <is>
          <t>図表化；図表タンク</t>
        </is>
      </c>
      <c r="E4427" t="inlineStr">
        <is>
          <t>図；チャート；大抵；大体；概ね</t>
        </is>
      </c>
      <c r="H4427" t="n">
        <v>29</v>
      </c>
      <c r="I4427" t="inlineStr">
        <is>
          <t>作成された運用計画は、箱ダイヤと呼ばれる形式の図表にまとめられる。；ドイツ国内で現在まで注文された電車の運用情報は次の図表に表示されている。；他人の文書やデータ・図表なら盗用でも、自分のなら盗用とは思えない。；登場人物がいつ何処にいたか、誰と会話していたかを記録する図表。；図表の作られるあいだ、彼はかなり緊張していたのではあるまいか。；ここでは、単位が明確に規定されていないことが図表の解釈の妨げとなった。；だが人間の関係は心理の関係だという図表をはずれることは決してない。；著作権上の問題から、全文を翻訳あるいは図表をそのままは提示しない。；数字を入れたり、図表を入れたりする場合が急に多くなってきた。；ちなみにこれら図表の複写精度であるが、各書に若干の誤差も見られる。；科学的・統計学的な図表表示にフォーカスを当てた研究をしている。；家族の何等親というのが図表で示されていることもこれまではなかったと思う。；私の生年月日と時刻を紙に書いて渡すと、机にむかって図表の作成にかかる。；遺伝子図表が、どのような危険も避けられると示さないかぎりはね。；比較的新しい書物では、グラフ、図表の多用を推奨している場合が多い。；一方、古い文献では、図表の多様を推奨しない記述がなされている。；この背景には、図表を組版する際の出版社側の負担の大きさが挙げられている。；その艦橋の中央に浮かびあがっている編成表の隣に図表が立ちあがる。；それはまた様々な魔術道具のいくつかの図表と原図を含んでいる。；夥しい図表が出現したが、その意味するところはまだいっさい不明であった。；この系列は図表的にいえば時代の知的風俗を背負っていなければならなかった。；あまり使われない子音は殆ど登場しないのが図表からわかる。；Methodの項目では、図表として、 等が、記載されることが多い。；図表のうち「事業者」欄に記された鉄道事業者名は導入時のものを記す。；ルリイ先生は壁にかけた黒板に、サラサラと次のような図表を書かれました。；また、展示品には図表、 グラフ、および地図形式のデータが含まれていた。；宇宙航行士は、一組の図表を持っていて、いささか落ち着かない様子だった。；随所に写真や図表を配置し、主要な記事には別刷の写真や地図を挿入している。；テリラと二人で図表を処理したときに編集したものだ。</t>
        </is>
      </c>
      <c r="J4427">
        <f>HYPERLINK("https://www.weblio.jp/content/図表", "词义详情")</f>
        <v/>
      </c>
      <c r="K4427">
        <f>HYPERLINK("https://yourei.jp/図表", "查看例句")</f>
        <v/>
      </c>
    </row>
    <row r="4428">
      <c r="A4428" t="inlineStr">
        <is>
          <t>ずぶぬれ</t>
        </is>
      </c>
      <c r="B4428" t="inlineStr">
        <is>
          <t>成功</t>
        </is>
      </c>
      <c r="C4428" t="inlineStr">
        <is>
          <t>読み方：ずぶぬれ
雨などが衣服にしみとおって、からだ全体がぬれること。びしょぬれ。ぐしょぬれ。「にわか雨で—になる」</t>
        </is>
      </c>
      <c r="D4428" t="inlineStr">
        <is>
          <t>びっしょり；ずぶ濡れ；ぐっしょり；びしょ濡れ；水びたし</t>
        </is>
      </c>
      <c r="H4428" t="n">
        <v>29</v>
      </c>
      <c r="I4428" t="inlineStr">
        <is>
          <t>ふたりが全身ずぶ濡れ状態であることが、さらにはっきりと見てとれた。；彼はそいつの血にちがいないぬめるような液体で全身ずぶぬれになった。；銀行の角でバスを降りると、彼はずぶ濡れの鋪道を電車駅の方へ歩いた。；ただしコートの中は土砂降りになり、着用者はずぶ濡れになってしまう。；わたしの夢に出てくる祖父はいつもずぶ濡れで、髪の乱れを嘆いていた。；川に落ちた男のうちのひとりが、ずぶ濡れになって岸に這いあがってきた。；頭からずぶ濡れだったが、仔犬を抱いた腹の辺りだけはほかほかだった。；ずっとこの環境にいたら、いくら山の中といってもずぶ濡れになってしまう。；彼ら自身もずぶ濡れで体が冷えきっていたから、これにはすっかり困った。；宿で借りた傘はとっくに何処かに捨てて全身はずぶ濡れになっていた。；ずぶ濡れになった石のかげから、蟹が一つひょっこりと顔を出していた。；「あ」 誰ともない言葉の後には、三人の女は茶でずぶ濡れになった。；このずぶぬれになることこそ、まさしく彼には必要なことだったのだ。；着ていたずぶ濡れの服はなく、今は体に合う白い下着をつけていた。；さっきまでずぶ濡れだったはずなのに、いつのまにか身体が乾いていた。；患者はずぶ濡れになり、ベッドの下の床はたちまち水びたしになった。；あの子はあとで熱をだすくせに、平気でずぶ濡れになるような子なの。；わたしの足はずぶ濡れとなり、いらだたしくふさいだ気分になりました。；そういう自分はずぶ濡れのままで、肩や腕のあたりはもう乾きはじめている。；氷のような河で魚並にずぶ濡れになっても、&lt;古老&gt;であれば害はない。；ずぶ濡れになった着物を脱がし、タオルで体をふいて寝床へ横にさせた。；荷物はホテルに置きっぱなしで、身につけているのはずぶ濡れの舞台衣装。；そこに、ずぶぬれになった小さな女の子が、角を曲がって歩いてきた。；ハリーは中を満たしていたいやな臭いのする薬液でずぶ濡れになった。；そこに、角を曲がってずぶぬれになった小さな女の子が歩いてきた。；男が一人、ずぶ濡れになって、廊下の西の端から、この二階へ辷り込んだ。；そこに、ずぶ濡れになった一人の男が立っていたからである。；ずぶぬれになっていたふたりのあわれな子供も、少し身体があたたまってきた。；たすくは下帯までずぶ濡れの体に、熱い汗が噴き出してくるのを感じた。</t>
        </is>
      </c>
      <c r="J4428">
        <f>HYPERLINK("https://www.weblio.jp/content/ずぶぬれ", "词义详情")</f>
        <v/>
      </c>
      <c r="K4428">
        <f>HYPERLINK("https://yourei.jp/ずぶぬれ", "查看例句")</f>
        <v/>
      </c>
    </row>
    <row r="4429">
      <c r="A4429" t="inlineStr">
        <is>
          <t>術</t>
        </is>
      </c>
      <c r="B4429" t="inlineStr">
        <is>
          <t>成功</t>
        </is>
      </c>
      <c r="C4429" t="inlineStr">
        <is>
          <t>読み方：じゅつ
［音］ジュツ（慣）　［訓］すべ　わざ
［学習漢字］5年
１方法。手段。すべ。「術策・術数／仁術・戦術・秘術」
２わざ。技芸。「学術・奇術・技術・芸術・剣術・算術・手術・忍術・馬術・美術・魔術・話術」
［名のり］てだて・みち・やす・やすし</t>
        </is>
      </c>
      <c r="D4429" t="inlineStr">
        <is>
          <t>術師；術家；術士；術技；術理</t>
        </is>
      </c>
      <c r="E4429" t="inlineStr">
        <is>
          <t>手；方法；法；方式；手段</t>
        </is>
      </c>
      <c r="F4429" t="inlineStr">
        <is>
          <t>錬金術；占星術；袁術；なす術；占術</t>
        </is>
      </c>
      <c r="G4429" t="inlineStr">
        <is>
          <t>術式；術後；術語；術中；術策</t>
        </is>
      </c>
      <c r="H4429" t="n">
        <v>29</v>
      </c>
      <c r="I4429" t="inlineStr">
        <is>
          <t>ここでは多数ある基礎的な術や皆が共通して使う自在法の一部を解説する。；後に錬金術においては実際に作成可能として研究の主目的物質であった。；連携の名称はそれぞれの技・術などの名前の一部を繋ぎ合わせたものになる。；最後は完現術が解け元に戻ったが、月島のことは一切覚えていなかった。；反面、手に入れた道具・覚えた技や術などは全キャラクターで共有される。；関東の諸侯らは袁紹派と袁術派に分かれて互いに争うようになっていた。；その治癒術が非常に評判がよく、戦士である必要がなかったのである。；投球術や駆け引きが無視されるほどの絶対的な武器であることも多い。；これは呪を唱え目、鼻、口から水では消えない火や煙を出す術である。；これが現在にも影響が続いている「占星術の心理学化」の始まりである。；以下では4尺前後の杖と呼ばれる棒を用いる日本武術について解説する。；孫策はこれを契機に袁術からの独立を決意し、完全な自立勢力となった。；そのため大月氏に侵攻されても抵抗する術がなく敗北し、分割占領された。；術の使用時には、画面右上に表示されている技値を消費する。；人間の心を扱う研究は古代の占星術が扱うテーマのひとつであったともいわれている。；また大日本武徳会柔道部門には空手や捕縛術も柔道傘下に置かれていた。；マイアベーアからは作品の中の演技に合唱を効果的に用いる術を得ている。；占星術の学者たちの職業上の道具であったとも言われている。；サガードは、この基準を占星術以外の分野にも適用することを考えた。；中世後期には、王侯貴族の中にも占星術を重用する者は少なくなかった。；中国の錬金術が伝えられ、インドでも発展したと考えられている。；興平元年、袁術の下にいた孫策は劉繇を攻略するため江東へ軍を挙げた。；彼の写真術への関心は非常に若い頃から始まった。；柔道の当身の中に武器術、対武器術の概念を含むことを述べている。；面倒見がよく、また人の才能を見抜く術を心得ていたといわれている。；この際、コペルニクスは当時医療に必須とされていた占星術も学んでいる。；一般的に古武術は後者を指すが、空手と武器術は互いに密接な関係にある。；呂布の娘の婚約相手として、袁術の子も外交交渉の場で言及されている。；また、召喚術の基礎となった送還術も術の一部として組み込まれている。</t>
        </is>
      </c>
      <c r="J4429">
        <f>HYPERLINK("https://www.weblio.jp/content/術", "词义详情")</f>
        <v/>
      </c>
      <c r="K4429">
        <f>HYPERLINK("https://yourei.jp/術", "查看例句")</f>
        <v/>
      </c>
    </row>
    <row r="4430">
      <c r="A4430" t="inlineStr">
        <is>
          <t>全て</t>
        </is>
      </c>
      <c r="B4430" t="inlineStr">
        <is>
          <t>成功</t>
        </is>
      </c>
      <c r="C4430" t="inlineStr">
        <is>
          <t>読み方：すべて
《動詞「す（統）ぶ」の連用形＋接続助詞「て」から》
［名］ある物や、ある事の全部。いっさい。「—を知る」「見るもの—が珍しい」「金が—の世の中」
［副］
１ことごとく。残らず。「財産を—投げ出す」「見たことを—話す」
２おおよそ。大体。総じて。
「—、きむぢ、いとくちをし」〈かげろふ・中〉
３（打消しの語を伴って用いる）全然。まるっきり。
「—音もせで五六日になりぬ」〈大和・一〇三〉
[用法]すべて・全部・みな——「植木がすべて（全部・みな）枯れた」「株で失敗して財産をすべて（全部・みな）失った」「島民はすべて（全部・みな）避難した」など、相通じて用いられる。◇「すべて」「全部」は、「在庫はすべて（全部）売り切れた」「会員すべて（全部）が反対だ」のように、物についても人についても使う。◇「みな」は「みな、出かけようか」という代名詞としての用法があるように、特に人について多く使われる。「みなで協力しよう」「みな帰ってしまった」などの文脈では「すべて」「全部」は不適当である。◇「すべて」は文章語的で、「みな」「全部」は口語的である。</t>
        </is>
      </c>
      <c r="D4430" t="inlineStr">
        <is>
          <t>全て撤去；全て廃止；全て破壊；全て失敗；全て英語</t>
        </is>
      </c>
      <c r="E4430" t="inlineStr">
        <is>
          <t>すべて；全体；全く；完全に；すっかり</t>
        </is>
      </c>
      <c r="F4430" t="inlineStr">
        <is>
          <t>それら全て；除いて全て；含めて全て；全て遠き理想郷；全て破却</t>
        </is>
      </c>
      <c r="G4430" t="inlineStr">
        <is>
          <t>全ての恵みの仲介者；全ての爆弾の父；全ての教皇に関する大司教聖マラキの預言；全てが僕の力になる</t>
        </is>
      </c>
      <c r="H4430" t="n">
        <v>29</v>
      </c>
      <c r="I4430" t="inlineStr">
        <is>
          <t>レストランでは、これらの全てを注文しなければならないわけではない。；多くのRPGには全ての攻撃技の基本となる通常攻撃が実装されている。；この後方に連接した副目標が全て真となった場合に限り副目標は真となる。；こちらの言っていることは全て理解しているし、会話するには十分だ。；デカルトは、人間も含めて全ての生物は神が制作した機械だと見なした。；これらの状態のエネルギーは全てバンドギャップ内にあることが示される。；単純な方法は導出過程の途中の文字列を全て書き出していく方法である。；その後、1892年までに全ての首長国がイギリスの保護下に置かれた。；これにより、国内3大タイトルを全て獲得した5つ目のクラブとなった。；そのため四国全体はもとより、県単位でも4県全てで減少となっている。；パイプラインだけでは同期式CPUの問題を全て解決することはできない。；それぞれの国内では全ての公用語で情報が行き渡るようになっている。；このうち、井山裕太は七大タイトル全てを同時に保持したことがある。；知られている限り、全ての藍藻は好気環境下で酸素発生型光合成を行う。；静的型付けでは、全ての式の型はそのプログラムを実行する前に決定される。；ここに挙げた新技術は全てポピュラー音楽を大衆に定着させるのに貢献した。；これは、全ての人に平等に手を差し出している様子であると言われる。；しかし、資源枯渇や生産コストの問題から現在は全て輸入となっている。；こちらに移ってからは全ての修正はこの開発ブランチで行われる。；企業向けシステムのメインフレーム用OSなどもほぼ全てこの方式である。；初等教育学校を含めてほぼ全ての学校が国立だが、私立学校も存在する。；動物の細胞は、全ての真核生物の細胞に共通した以下の構造を持つ。；全ての連続関数は本当に微分可能なのかが疑われることとなったのである。；全員が同じ手を出したときや、全ての手が出たときには「あいこ」になる。；ヴィシュヌは全ての物と生物に染みわたっていると描写されている。；人が互いを呼び合う際には、氏と名の全てを呼ぶことは多くない。；放送区域内だからといって必ずしも全ての局が安定して受信できる訳ではない。；ライブラリへの参照は全てこのシンボルテーブルを経由して行われる。；これらは相反する要素ではなく、二つもしくは全てを追求する作品もある。</t>
        </is>
      </c>
      <c r="J4430">
        <f>HYPERLINK("https://www.weblio.jp/content/全て", "词义详情")</f>
        <v/>
      </c>
      <c r="K4430">
        <f>HYPERLINK("https://yourei.jp/全て", "查看例句")</f>
        <v/>
      </c>
    </row>
    <row r="4431">
      <c r="A4431" t="inlineStr">
        <is>
          <t>滑る</t>
        </is>
      </c>
      <c r="B4431" t="inlineStr">
        <is>
          <t>成功</t>
        </is>
      </c>
      <c r="C4431" t="inlineStr">
        <is>
          <t>読み方：すべる
［動ラ五（四）］
１物の表面をなめらかに移動する。「スキーで急斜面を—・りおりる」「船が川面を—・るように下っていく」「戸がよく—・る」
２表面がなめらかで地面に接するものが安定を失って自然に動いてしまう。スリップする。「凍結して路面が—・る」「足が—・る」「—・って転ぶ」
３つかもうとした物が、支えられないで手をすり抜ける。「茶碗が—・って落ちる」
４ある地位を保てなくなる。「委員長の座を—・る」
５調子に乗ったまま、事が望ましくないところにまで至る。余計なことを言ったり書いたりしてしまう。「口が—・る」「筆が—・る」
６試験に失敗する。落第する。不合格になる。「大学を—・る」
７俗に、面白いことをしゃべろうとして失敗する。冗談・ギャグが受けない状態をいう。「話が—・る」
８そっと位置を移動する。ひそかに退席する。
「嫻雅(しとや)かに座を—・った」〈魯庵・社会百面相〉
９（天皇の）位を譲る。退位する。
「位を—・らせ給ひて、新院とぞ申しける」〈平家・一〉
[補説] 「辷」は国字。
[可能]すべれる</t>
        </is>
      </c>
      <c r="D4431" t="inlineStr">
        <is>
          <t>滑走；スケート；スリップ；横滑り；スライディング</t>
        </is>
      </c>
      <c r="F4431" t="inlineStr">
        <is>
          <t>つるつる滑る；ぬるぬると滑る；すうっと滑る；まるで滑る；ヌルヌル滑る</t>
        </is>
      </c>
      <c r="H4431" t="n">
        <v>29</v>
      </c>
      <c r="I4431" t="inlineStr">
        <is>
          <t>それゆえ足を滑らせ崖下に落ちても、助けを求めることもできなかった。；だが、その検温器は彼の手から滑って床の上で真二つに折れてしまった。；貴方は私が口を滑らせるの待って、それを罪とするつもりなのでしょう?；僕の指はどれが黒でどれが白かもわからないでも鍵盤の上を滑って行く。；クリスと同じように床から数十センチの空間を滑るように移動してきた。；ぼんやり見ていると、一台のベンツが滑るように近づいて来て止まった。；若い男は本から目を放さずに親指の腹を蓋の上に当てると横に滑らせた。；そのとたんに地についた手がずるりと滑って再びうつむけに崩れおれた。；それらがほとんど頭に入らない状態で、少しずつ指を上へと滑らせていく。；いずれにせよ波留は、自分は足を滑らせて崖から落ちたと錯誤していた。；スティックを傾けるのではなく滑らせて操作する方式の製品も存在する。；船が揺れるたび、味方の兵が左右の舷側の間を端から端まで滑っている。；いや、滑っているのか、浮かんでいるのか、じっと動かないでいるのか?；雪がなければ歩いていくところだが、彼女が滑って転んだりしては困る。；佐登子は膝をついて、バッグを畳に滑らせるように夫人のほうへ押した。；視線を滑らせた先には、ベッドのすぐ横の椅子に腰掛けた母の姿があった。；練習不足もあるにはあろうが、第一スキーがねっから雪の上を滑らない。；車を追うように斜面を滑って、その勢いで、道路に飛び出してしまった。；堤は制止する際に足を滑らせてステージから落ちたが、怪我はなかった。；信子の耳のことから、その耳を中心に筆が滑っていったもののようである。；山比古は歩くというより、空中を滑っているように早く移動していくのだ。；郁子は、足を滑らせるようにしてドアの前に行くと、鍵穴に目を当てた。；河底の石は沢庵石ほどの大きさがあり、苔をつけて靴の下によく滑った。；後ろで大きな音がして、見ると、こちらへ何かが滑るように向かってくる。；しかし手を滑らせて鏃が脚に当たり、ヒュドラーの毒で死んでしまった。；自らの血だまりで手が滑って、そのたびに彼女の体は赤くなっていく。；これは前部と後部の反った板で作り、雪の上でも氷の上でもよく滑れた。；ころが回転せずに滑った場合は摩擦がころとレースの間に摩擦が発生する。；滑ったり、ほとんど落ちそうになった時は、たびたび声をあげて笑った。</t>
        </is>
      </c>
      <c r="J4431">
        <f>HYPERLINK("https://www.weblio.jp/content/滑る", "词义详情")</f>
        <v/>
      </c>
      <c r="K4431">
        <f>HYPERLINK("https://yourei.jp/滑る", "查看例句")</f>
        <v/>
      </c>
    </row>
    <row r="4432">
      <c r="A4432" t="inlineStr">
        <is>
          <t>ズボン</t>
        </is>
      </c>
      <c r="B4432" t="inlineStr">
        <is>
          <t>成功</t>
        </is>
      </c>
      <c r="C4432" t="inlineStr">
        <is>
          <t>《(フランス)jupon（ペチコートの意）からというが未詳》股下で二つに分かれ、足を片方ずつ包むようになっている衣服。スラックス。パンツ。</t>
        </is>
      </c>
      <c r="D4432" t="inlineStr">
        <is>
          <t>ズボン姿；ズボンライン；ズボン番号；ズボン状；ズボン越し</t>
        </is>
      </c>
      <c r="E4432" t="inlineStr">
        <is>
          <t>パンツ；ボトムス；穿くもの</t>
        </is>
      </c>
      <c r="F4432" t="inlineStr">
        <is>
          <t>黒いズボン；乗馬ズボン；白いズボン；黒ズボン；短いズボン</t>
        </is>
      </c>
      <c r="G4432" t="inlineStr">
        <is>
          <t>ズボン吊り；ズボンつり；ズボン役；ズボンドズボン；ズボンズ</t>
        </is>
      </c>
      <c r="H4432" t="n">
        <v>29</v>
      </c>
      <c r="I4432" t="inlineStr">
        <is>
          <t>古い靴下で作られた小さな袋が捕虜のズボンの内側に取り付けられていた。；或者は黒いズボンのままで川へはひつて樺色の長い布を引摺出してくる。；第9回から、挑戦時に黒のタンクトップに黒のズボンの服装が定着した。；ズボンの裾がめくれないようテープでとめたりと気を使ったそうである。；襟とズボンのラインが消えベルトレスラインのみになった他は変更なし。；制服は、緑の上着、黒のズボンと白い羽根飾りのついた緑の帽子である。；男のズボンの膝が出ているが如く日本女の膝は飛び出している。；もちろん狐の洋服ですからずぼんには尻尾を入れる袋もついてあります。；このサイズは、開発者のズボンポケットに入る大きさとして企画された。；服装は、上半身は裸で拳法着のズボンと黄色い帯を身につけているのみ。；前者は胸ポケットに、後者はズボンのポケットにそれぞれ入るサイズである。；この年と1960年以降との相違点はズボン番号がこの年のみないことである。；イギリスでは乗馬用ズボン・ベスト・婦人用コートなどに利用された。；奥が暗いので、まるでシャツとズボンが攻めよせてきたように見える。；女子との違いはブレーという白い麻製のズボンを下にはくことであった。；また、水が抜けるようにズボンの裾を靴に入れていないことが分かる。；カナダ選手権では、SPの演技中にズボンを靴に固定するバンドが外れた。；ズボンは左足部分に大きなふた付きポケットが付いているのが特徴的である。；本庄も続いて下を向きながら、悄然と彼のズボンに従いて屋内に入った。；このズボンは重いので革とゴム製のサスペンダーが縫い付けられていた。；ズボンは上着と共布でツータック、尻ポケットは雨蓋つきとされている。；その手紙にはデイヴィスが客のために面白い方法でズボンを作ったことが書かれていた。；ズボンのラインは黒・白・赤で腰から裾から腰にかけてライン幅が広がる形状。；わたしがズボンのしまつをしているうち、ふとわたしは言った。；彼はただズボンのポケットの底に六十何銭しか金のないことを不愉快に思っていたのである。；なかでいちばん赤いズボンをはいたのが父親で、母親は赤い肩掛をしてゐました。；翌年リーグの方針にならいズボン番号を採用したためわずか1年で姿を消した。；幼稚園から4年生までは、男子は白シャツと緑のズボンが義務である。；山岳部隊のズボンは足を動かしやすいよう裁断がゆったりとしていた。</t>
        </is>
      </c>
      <c r="J4432">
        <f>HYPERLINK("https://www.weblio.jp/content/ズボン", "词义详情")</f>
        <v/>
      </c>
      <c r="K4432">
        <f>HYPERLINK("https://yourei.jp/ズボン", "查看例句")</f>
        <v/>
      </c>
    </row>
    <row r="4433">
      <c r="A4433" t="inlineStr">
        <is>
          <t>住まい</t>
        </is>
      </c>
      <c r="B4433" t="inlineStr">
        <is>
          <t>成功</t>
        </is>
      </c>
      <c r="C4433" t="inlineStr">
        <is>
          <t>読み方：すまい
《動詞「す（住）まう」の連用形から》
１住むこと。また、暮らし。生活。「ひとり—(ずまい)」「佗び—(ずまい)」
２（「住居」とも書く）住んでいる家や所。「閑静な—」</t>
        </is>
      </c>
      <c r="D4433" t="inlineStr">
        <is>
          <t>住まいづくり；住まいいたす；住まいなす</t>
        </is>
      </c>
      <c r="E4433" t="inlineStr">
        <is>
          <t>家；室；屋；館；居</t>
        </is>
      </c>
      <c r="F4433" t="inlineStr">
        <is>
          <t>一人住まい；ホテル住まい；アパート住まい；借家住まい；新しい住まい</t>
        </is>
      </c>
      <c r="G4433" t="inlineStr">
        <is>
          <t>住まい・まちづくり活動推進協議会；住まいのミュージアム</t>
        </is>
      </c>
      <c r="H4433" t="n">
        <v>29</v>
      </c>
      <c r="I4433" t="inlineStr">
        <is>
          <t>それでとうとう最後にそこへお住まいになることにおきめになりました。；エカチェリーナ1世はこの地を皇帝の住まいとするための開発を始めた。；東京で活動していたが、2005年に結婚を機に大阪へ住まいを移した。；で、ご家族がみえたのを機会に、住まいでもお変わりになるのですかな!；そこにある古い士族屋敷で草屋根の家がわたしの借りうけた住まいです。；しかし、長屋の住まいに隠居の家のような立派なものがあるわけもない。；全く二等大尉の住まいはなんのことはない、純然たる物置小屋であった。；彼らは京都鴨川河原に小屋住まいをし、都の民のために賤業に従事した。；人間の庄屋でも、この屋敷よりも大きい住まいを持つ者もいるだろう。；ヤトラカン・サミ博士は、屋根のある一定の住まいを拒絶していたのだ。；道路に面した表側は店であることが多く、裏の方に住まいや蔵などを設けた。；我々が毛皮を得ていたインディアンがその住まいから逃げ出したからだ。；そこから広間に入ったが、頭はここを自分の住まいにしているようであった。；最近のガラ人たちは、彼らの伝統ある住まいを守るために戦い続けている。；その部屋がモコかミーザの住まい場所の中にあることは確かだからね。；これは当時の住まいを考える上できわめて重要な発見であった。；バセットは、一軒の方を事務所に、一軒の方を住まいにしていました。；フヴァルィンスキイ将軍はあまり大きくない家に独り住まいをしている。；大きな貿易業者はほとんどニューオーリンズの周りに住まいを構えた。；お琴達の住まいも前作から今作への過程で花川戸から三島町に変更した。；ああいう広間は人が集まるためのものであって、竜たちの住まいではない。；江戸時代から昭和までの大阪の住まいと暮らしの歴史を体感できる。；それに今までの家より狭い住まいのことなんて、心配の種にもなりませんでしたわ。；父が亡くなったことに伴い、住まいを変えて、児童にピアノを教えている。；北京に住まいを移し、中国での仕事がメインになっていることを明かした。；居住とは、一定の住まいを定め、そこに住んで自分たちの生活を営むこと。；家具はまだ運び出されていないのに、もう別の住まいが好きになってくる。；門の構え、広い庭、むしろ邸宅といいたいような広大もない住まいでした。；住まいを転々としているのは自衛官である父親の仕事の影響である。</t>
        </is>
      </c>
      <c r="J4433">
        <f>HYPERLINK("https://www.weblio.jp/content/住まい", "词义详情")</f>
        <v/>
      </c>
      <c r="K4433">
        <f>HYPERLINK("https://yourei.jp/住まい", "查看例句")</f>
        <v/>
      </c>
    </row>
    <row r="4434">
      <c r="A4434" t="inlineStr">
        <is>
          <t>澄ます</t>
        </is>
      </c>
      <c r="B4434" t="inlineStr">
        <is>
          <t>成功</t>
        </is>
      </c>
      <c r="C4434" t="inlineStr">
        <is>
          <t>読み方：すます
［動サ五（四）］
１液体の、にごり・よごれなどの不純物を除いて透き通った状態にする。「汲み置いて井戸水を—・す」
２気持ちを落ち着かせて雑念のない状態にする。「座禅を組んで心を—・す」
３（「耳をすます」「目をすます」の形で）よけいなことを考えないで、その事一つに注意・意識を集中する。「耳を—・して聞く」
４
㋐そのようなことは自分に関係ないという顔をする。平然と構える。平気でいる。「—・した顔で人を笑わせる」
㋑まじめなようすをする。気どる。「おつに—・している」
５洗い清める。
「御髪—・し、ひきつくろうておはする」〈源・若菜上〉
６世の中を落ち着かせる。平定する。
「一天を鎮(しづ)め、四海を—・す」〈平家・一二〉
７（動詞の連用形について）
㋐一つのことに心を集中してその行為をする。「行い—・す」「聞き—・す」
㋑完全に…する。「研ぎ—・す」
[可能]すませる</t>
        </is>
      </c>
      <c r="D4434" t="inlineStr">
        <is>
          <t>精製；蒸留；純化；醇化</t>
        </is>
      </c>
      <c r="H4434" t="n">
        <v>29</v>
      </c>
      <c r="I4434" t="inlineStr">
        <is>
          <t>じっと耳を澄ますと、それぞれの音の源が何なのかわかるものもあった。；笛の音に似たものは、いまも耳を澄ませばどこかで鳴っていそうだった。；背後から、何か音が聞こえてこないかと耳を澄ますが、何も聞こえない。；テーブルで給仕しながら、彼女は二人の間の会話に熱心に耳を澄ました。；ちょっと耳を澄ますだけで、二人の会話は容易に聞き取ることができた。；わざとらしい冗談をいう気にはなれなかったので、自分は澄ましていた。；人々はその冴えかえった音がついに聞えなくなるまで耳を澄ましている。；しばらく耳を澄ましてゐるうちに筒鳥といふ鳥であることを思ひ出した。；私はそれだけいって澄まし込んでしまった圭子の顔を見てそう思った。；澄まし切っている歴史に、もし少しでも真実でないものを発見できるなら。；その頃塾にいて耳を澄ましていますとカランコロンと足駄の音がします。；そうして昨日はちょっと神戸まで行って来ましたなどと澄ましていた。；ざわざわとした喧噪に耳を澄ましてみると、こんな会話が聞こえてきた。；だから相手はいつもしっかり耳を澄ましていなければならなかった。；墓の台石に坐って耳を澄ましていると、すぐ近くで足音がするじゃあないか。；役人は古井戸の中へ入ってゆき、サロメはその近くで耳を澄ましている。；特に夜は、彼女は近寄つて來る人足ごとに耳を澄まして聽き入つてゐた。；彼は全身の注意を耳に集中して、だんだん近づいてくる足音に耳を澄ました。；それでも、耳を澄ますと、窓の下に人の気配が近づいてくるのがわかった。；自転車の音がしないか耳を澄ましたが、蜜蜂の羽の音しか聞こえなかった。；そして上体をのばし、なにごともないかのように澄ました表情となった。；その音に引き入れられて耳を澄ますと夜の沈黙の中にも声はあった。；その間に彼は耳を澄ましたが、奥からは何の声も音も耳に伝わってこなかった。；だから、月がみんなを見るように、きみも世界の声に耳を澄ますんだ。；ドアの前で耳を澄ましてみてから、鍵束のうちの一本でドアの鍵を解いた。；その隣で金のない家の子供がわざとひと匙残して、ちょっとおつに澄ます。；彼は口まで持つて行きかけた水を途中で止めて、耳を澄ましてゐるやうだつた。；源吉は人の足音がするのではないかと思つて又歩くことをやめて耳を澄ました。；だが、いくら耳を澄ましても、どこからも悲鳴の続きなど聞こえないのだ。</t>
        </is>
      </c>
      <c r="J4434">
        <f>HYPERLINK("https://www.weblio.jp/content/澄ます", "词义详情")</f>
        <v/>
      </c>
      <c r="K4434">
        <f>HYPERLINK("https://yourei.jp/澄ます", "查看例句")</f>
        <v/>
      </c>
    </row>
    <row r="4435">
      <c r="A4435" t="inlineStr">
        <is>
          <t>済ませる</t>
        </is>
      </c>
      <c r="B4435" t="inlineStr">
        <is>
          <t>成功</t>
        </is>
      </c>
      <c r="C4435" t="inlineStr">
        <is>
          <t>読み方：すませる
［動サ下一］「済ます」に同じ。「食事を急いで—・せる」</t>
        </is>
      </c>
      <c r="D4435" t="inlineStr">
        <is>
          <t>済ませるため(3%)；済ませるとすぐ；済ませるべき；済ませる為</t>
        </is>
      </c>
      <c r="E4435" t="inlineStr">
        <is>
          <t>解決；片づける；済ます；片付ける</t>
        </is>
      </c>
      <c r="F4435" t="inlineStr">
        <is>
          <t>安く済ませる；手早く済ませる</t>
        </is>
      </c>
      <c r="H4435" t="n">
        <v>29</v>
      </c>
      <c r="I4435" t="inlineStr">
        <is>
          <t>ただし英語の地名では国名を省略して済ませられない場合が一部にある。；脚本以外の専門分野で活躍する人への依頼は、全て入院前に済ませていた。；だから絹枝がいる時は妹が来てもたいてい玄関で立ち話で済ませるのだ。；ただ問題は、悪ふざけであっても冗談で済ませる気が無いところだった。；で、あれやこれやを済ませるみたいな昼下がりの過ごし方はどうだろう。；しかしながら、愛するものをも尊敬しないで済ませる連中の一人だった。；形ばかりの朝の食事を済ませて、何時ものように表役所へ出かけました。；そうなれば、走ってまわらなくても、電話一本で済ませることもできる。；かれはバスルームに入って背後のドアを閉め、やるべきことを済ませた。；街を歩き電車に乗って人と会い、必要な用事を済ませることができた。；それらは夏の来ないうちに夏を済ませてしまったようなものだ。；それを済ませてからでなければ、どこへも手を着けることは出来ない。；でも、これはわたしが済ませる問題だから志貴は気にしないでいいよ。；簡単な報告を済ませると、彼女はこちらをじっと見つめ、こう言ったのだ。；でもねえ、この研究だけはサルで済ませるわけにはいかないんだよね。；その日も小百合の部屋でセックスを済ませると、博はさっさと服を着た。；教室の前半分と後ろ半分別々に掃除を済ませると、元の位置に机を戻す。；日本と違って、こちらでは一日の最後の食事は軽く済ませることになっている。；朝食を済ませると、私は吉か凶かを考えあぐねながら街を歩いていった。；そのうちの二人は、スカルダと同じく当日登録を済ませたばかりであった。；むしろ事情を知った羽川を無事で済ませるつもりがあるとも思えないけれど。；恒子に女は男衆が食事を済ませてから頂く、この辺の習慣だと言われる。；まずその手続きを済ませた上で、半七は更に北千住の掃部宿へむかった。；僕は朝食を済ませると、モチイフを探すために街を散歩することにした。；放送スケジュールが決定しないまま全52話分の収録を済ませていた。；夕方の学校で、少年がトイレで用を済ませ、拭こうとすると紙が無かった。；きっと雄二のことだから、声をかけずに済ませるつもりだと思ったんだけど。；客はまず食べたいメニューを選んで各店舗で注文と支払いを済ませる。；ここまでの手順を済ませたので、おれは、また観光客の一員にもどった。</t>
        </is>
      </c>
      <c r="J4435">
        <f>HYPERLINK("https://www.weblio.jp/content/済ませる", "词义详情")</f>
        <v/>
      </c>
      <c r="K4435">
        <f>HYPERLINK("https://yourei.jp/済ませる", "查看例句")</f>
        <v/>
      </c>
    </row>
    <row r="4436">
      <c r="A4436" t="inlineStr">
        <is>
          <t>墨</t>
        </is>
      </c>
      <c r="B4436" t="inlineStr">
        <is>
          <t>成功</t>
        </is>
      </c>
      <c r="C4436" t="inlineStr">
        <is>
          <t>読み方：すみ
１油煙や松煙(しょうえん)を膠(にかわ)で練り固めたもの。また、それを水とともに硯(すずり)ですりおろしてつくった黒色の液。書画を書くのに用いる。
２顔料などを固めて作り、硯などですって絵などを描くのに用いるもの。青墨(あおずみ)・朱墨(しゅずみ)など。
３物を燃やしたときに出るすす。「鍋底(なべぞこ)の—」
４イカやタコの体内にある黒い液。「イカが—を吐く」
５「墨染め」の略。「—の衣(ころも)」
６「墨糸」「墨縄」の略。
[下接語]烏賊(いか)の墨・唐(から)墨・下げ墨・摺(する)墨（ずみ）藍(あい)墨・青墨・赤墨・油墨・入れ墨・薄墨・臙脂(えんじ)墨・切り墨・具(ぐ)墨・靴墨・濃(こ)墨・渋墨・朱墨・白墨・釣り鐘墨・中墨・鍋(なべ)墨・奈良墨・掃(はい)墨・眉(まゆ)墨・油煙墨</t>
        </is>
      </c>
      <c r="D4436" t="inlineStr">
        <is>
          <t>墨附；墨者；墨膜；墨竹；墨一色</t>
        </is>
      </c>
      <c r="F4436" t="inlineStr">
        <is>
          <t>淡墨；名墨；姑墨；製墨；墨文字</t>
        </is>
      </c>
      <c r="G4436" t="inlineStr">
        <is>
          <t>墨汁；墨絵；墨田区；墨子；墨色</t>
        </is>
      </c>
      <c r="H4436" t="n">
        <v>29</v>
      </c>
      <c r="I4436" t="inlineStr">
        <is>
          <t>発色の良さや墨下りのなめらかさから現代の書道家にも利用されている。；墨出しは工事に必要なさまざまな基準線を書き出すための作業である。；絵画の分野において士夫画の提唱者であり、自身も墨竹画をよくした。；筆・墨などの伝統地場産業が存続しているが、経済的な規模は大きくない。；墨材の選択・採取・製墨法などを20項目に分けて詳細に記述している。；制作材料として中国の清・明の時代の貴重な古墨を使用している。；一方山水画では、濃い墨の太い輪郭線を用いる独特の作風を示している。；イカの場合は墨の粘度が高くタコの墨のように拡散せず塊のようになる。；たった一つの光線が失せると、あとは墨を流した様な真の闇であった。；当時は墨を除く技術がなかったため、薄墨紙、水雲紙とも呼ばれていた。；董作賓は第1期・第4期の中に朱または墨で書かれた例を検出している。；そんな中、補強していた田単の一族は無事に即墨へ逃れることができた。；打ちそこなった場合には顔に墨を付ける罰が与えられることもある。；山水・墨竹・墨梅などを得意とし、また書いた字も不思議なものであった。；親墨は、建築物などに墨出しをする際の基準として最初に出す墨のこと。；城を守る即墨の大夫はこれを迎撃するが返り討ちにあい敗死してしまう。；この固形墨は石華墨と呼ばれるが、当初は中国から輸入されたと思われる。；以後、紙に墨をつけた筆でもって縦書きで文字を記した書簡通信が行われる。；春・夏・秋・冬に出版される季刊誌『墨花』の編集主幹も務めている。；顔に墨などぬって、ごまかしているが、おれには、ちゃんとわかるんだ。；女が男を雪の中までも追いかけ、逃げる男に墨をつけていくことを一日中行っていた。；そのくせ、頭のてっぺんから足の先まで、墨のようにまっ黒な人の姿です。；色が白いか何ぞのように、胡粉とはいいませんから、墨ででも、渋ででも。；これは墨付けをした部分に直接染料で色をつけてゆく技法である。；これらの絵は、スタンプあるいは吹き墨の技法を使って描かれている。；日本や中国で古くから使われている墨もインクの一種である。；消え去るあとからあとから、藍墨の掃毛目の空は剥離して雲を供給する。；幼いころ、幼馴染の一墨に告白したがその答えをなぜか覚えていない愛生。；新の王莽の時代に姑墨は西の温宿国の王を殺害し、この地を併合する。</t>
        </is>
      </c>
      <c r="J4436">
        <f>HYPERLINK("https://www.weblio.jp/content/墨", "词义详情")</f>
        <v/>
      </c>
      <c r="K4436">
        <f>HYPERLINK("https://yourei.jp/墨", "查看例句")</f>
        <v/>
      </c>
    </row>
    <row r="4437">
      <c r="A4437" t="inlineStr">
        <is>
          <t>炭</t>
        </is>
      </c>
      <c r="B4437" t="inlineStr">
        <is>
          <t>成功</t>
        </is>
      </c>
      <c r="C4437" t="inlineStr">
        <is>
          <t>読み方：すみ
１木材を蒸し焼きにして作った黒色の燃料。焼くときの温度や使用する木材の違いにより多くの種類がある。木炭。「—をおこす」《季冬》「—の香のなみださそふや二の替／万太郎」
２木などが燃えて黒く残ったもの。「燃えて—になる」</t>
        </is>
      </c>
      <c r="D4437" t="inlineStr">
        <is>
          <t>炭鉱夫(3%)；炭礦(3%)；炭地；炭屋；炭鉱業</t>
        </is>
      </c>
      <c r="E4437" t="inlineStr">
        <is>
          <t>木炭；チャコール；枝炭</t>
        </is>
      </c>
      <c r="F4437" t="inlineStr">
        <is>
          <t>給炭；北炭；運炭；製炭；脱炭</t>
        </is>
      </c>
      <c r="G4437" t="inlineStr">
        <is>
          <t>炭鉱；炭坑；炭化水素；炭火；炭水化物</t>
        </is>
      </c>
      <c r="H4437" t="n">
        <v>29</v>
      </c>
      <c r="I4437" t="inlineStr">
        <is>
          <t>現在では低品位炭が南極横断山脈の様々な場所にある事が知られている。；また当時の燃料としては最高級の英国炭を全艦船の燃料として採用した。；この炭の年代はセルカークの時代に該当していることが後の調査で判明した。；次に気がつくと朝になっており、わたしの腹の上には塩と炭がのせられていた。；そのため少量の炭で要領よく色や味を抜く炭掛けの技術が発達していた。；彼の炭と油とを含む賄料は、一ヶ月五ドル五十セントだとのことである。；幸い、交通条件が悪くない都市は産炭依存の都市構造脱却に成功している。；日置川の上流部では炭を産するなど林業のようなことも盛んであった。；煙台炭礦線によって日本への輸出や、満州地域での利用が行われていた。；焼結に使用可能な低燐のものは原料炭の一種として高価格で取引される。；炭台の下で、二人が折り重なるように撃たれ病院に運ばれたが戦死した。；当時は後の位置より860m程奥の幌内炭礦坑口近くを停車場としていた。；燃えても炎が出ない炭はそのために有効だったと考えられる。；リリィの呪いの被害者の胃の中には共通して微量の炭が検出されている。；沸り切っていた湯が冷めるから、炭を継いで、それから静に上って見た。；二重構造になっており、内部に満たされた水が炭の熱を受け湯になる。；林業と製炭業が盛んで、またそこから発展した海運業が中心であった。；事故は新炭鉱に会社再建の命運を託していた北炭に致命的な打撃を与えた。；また近代には産炭地として栄えたが、現在炭鉱は全て閉山となっている。；また地内の過半を山間部が占めることから、薪・炭も大量に生産された。；他にマツを切り出して炭にするための炭焼窯が駅の北側に存在したという。；炭になっても白い灰にならなければクリンカーが底に付くことは無い。；ミューレンバーグ郡は長年国内の主要石炭生産地域であり続けてきた。；これらでは炭の使用も含めて、森林保護に効果があると評されているという。；その上炭価が国内炭の倍以上と高額であり、海軍予算を圧迫していた。；その観点から日本で使用する炭はタイ製にシフトすることになった。；その後石油の普及によって炭の需要が減ると営林署での仕事も激減した。；どれだけ炭を焼いても追いつかなかった時代が嘘のように思えた。；茶道などでは、この炭の配置には多くの規則があり、綿密に規定されている。</t>
        </is>
      </c>
      <c r="J4437">
        <f>HYPERLINK("https://www.weblio.jp/content/炭", "词义详情")</f>
        <v/>
      </c>
      <c r="K4437">
        <f>HYPERLINK("https://yourei.jp/炭", "查看例句")</f>
        <v/>
      </c>
    </row>
    <row r="4438">
      <c r="A4438" t="inlineStr">
        <is>
          <t>隅</t>
        </is>
      </c>
      <c r="B4438" t="inlineStr">
        <is>
          <t>成功</t>
        </is>
      </c>
      <c r="C4438" t="inlineStr">
        <is>
          <t>読み方：ぐう
［常用漢字］　［音］グウ（慣）　［訓］すみ
〈グウ〉
１すみ。「一隅・海隅・四隅・片隅・辺隅」
２大隅(おおすみ)国。「隅州／薩隅(さつぐう)」
〈すみ（ずみ）〉「隅隅／片隅・四隅(よすみ)」
［名のり］ふさ</t>
        </is>
      </c>
      <c r="D4438" t="inlineStr">
        <is>
          <t>隅櫓；隅ずみ；隅に追いやら；隅ッ；隅柱</t>
        </is>
      </c>
      <c r="E4438" t="inlineStr">
        <is>
          <t>端；角；コーナー；一角；片隅</t>
        </is>
      </c>
      <c r="F4438" t="inlineStr">
        <is>
          <t>南東隅；南西隅；右隅；北東隅；暗い隅</t>
        </is>
      </c>
      <c r="G4438" t="inlineStr">
        <is>
          <t>隅田川；隅田；隅っこ；隅田公園；隅川</t>
        </is>
      </c>
      <c r="H4438" t="n">
        <v>29</v>
      </c>
      <c r="I4438" t="inlineStr">
        <is>
          <t>当時の校舎は、現在の下運動場の南東の隅に位置していたと伝えられる。；上図のように、隅以外にあり全体がつながっている場合、生き形となる。；右下の隅または左上の隅を空所とした配置を最終目標とするものが多い。；軍は南西の隅の海岸であるこの地までトマトに追い詰められたのだった。；なお、本丸北東隅に櫓が設けられていたのではないかと推定されている。；は公園北東隅の110丁目と5番街の交差点に位置する円形広場である。；四線と五線の交点であり、通常打たれる隅の着点としては最も位が高い。；しかし非常に映像は悪く隅にいる人形師が撮影されてしまうこともしばしばあった。；収録放送ではその時の状況を説明するテロップを画面の隅に表示した。；母の部屋の隅にはその頃のものが今なお捨てずに残してある。；新布石ブームが去った後も、星は隅を占める着点として完全に定着した。；家に戻った者もいたが、多くは州南西隅に撤退する知事に合流した。；谷間の隅には排水トンネルのようなものが存在し、森へと続いていた。；床の中は隅柱を隠した室床とし炉の上の壁も隅の柱を塗り込めて消している。；また、駅前広場のバス発着場の隅にはバスの方向転換用の転車台がある。；空気投と呼ばれる技は二つあり、一つは三船久蔵が開発した隅落である。；天守は上げられず、代わりに二ノ丸北東隅に御三階櫓が建てられていた。；近年のプロの対局では、第一手のほぼすべてが隅から始まっている。；この時期、他に自ら手がけた公園群の隅に野の花を移植し始めていた。；司祭らは反対の隅への設置を希望していたのだが、総督に却下された。；現在でもヨンケーレ製のバスのガラスの隅には馬車のマークが刻まれている。；ナッソー郡は、アメリカ合衆国フロリダ州の北東隅に位置する郡である。；黒は隅に堅く10目ほどの地を確保するが、勢力は白に奪われることになる。；ポイカは遠い昔、ある国のお屋敷の屋根裏部屋の隅で生まれた炎の妖精。；天守や隅櫓は計画のみで明治維新を迎えるまで建設されることは無かった。；これはその他の隅の占め方が、地に甘いとされているからである。；デイド郡は、アメリカ合衆国ジョージア州の北西隅に位置する郡である。；実際に、敬礼をする際には「会場の一番隅を見ている」と語っている。；図のように10の線に石を置き、隅に打ち込んで生きがあるかを競うもの。</t>
        </is>
      </c>
      <c r="J4438">
        <f>HYPERLINK("https://www.weblio.jp/content/隅", "词义详情")</f>
        <v/>
      </c>
      <c r="K4438">
        <f>HYPERLINK("https://yourei.jp/隅", "查看例句")</f>
        <v/>
      </c>
    </row>
    <row r="4439">
      <c r="A4439" t="inlineStr">
        <is>
          <t>住み着く</t>
        </is>
      </c>
      <c r="B4439" t="inlineStr">
        <is>
          <t>成功</t>
        </is>
      </c>
      <c r="C4439" t="inlineStr">
        <is>
          <t>読み方：すみつく
［動カ五（四）］
１住まいが定まって落ち着く。「ここに—・いて八年になる」「のら猫が—・く」
２夫婦関係が定まる。
「所につけたるよすがども出てきて—・きにたり」〈源・玉鬘〉</t>
        </is>
      </c>
      <c r="D4439" t="inlineStr">
        <is>
          <t>留まる；定住する；腰を落ち着ける；居つく</t>
        </is>
      </c>
      <c r="H4439" t="n">
        <v>29</v>
      </c>
      <c r="I4439" t="inlineStr">
        <is>
          <t>そのうちの何人かはマクルズフィールドに住み着いて自由身分となった。；ここで、初めて反乱者達がピトケアン島に住み着いた事を知る事となる。；この地には最終氷期には既に人類が住み着いていたと考えられている。；彼はヴァージニア州に住み着いて新たな著書を書く予定を立てていた。；ホームレスがかなり住み着いているらしいが、その気配は感じられない。；この場合、単に住民が都市部に住み着いたため村が放棄されたのであった。；また、その表面に穴を開けて住み着く穿孔性の動物も住み着く例がある。；インカ文明が到来する以前から、すでにこの地には人が住み着いていた。；友達の家に犬が住み着き出して、それを見に数人で遊びに行った日のことだ。；入植が始まった頃にこの地に住み着いていたのはオジブワ族であった。；なぜなら僕の家に、とっても奇妙なお客さんが住み着いたからなのです。；何らかの理由で人間がいなくなり、そこに猫たちが住み着いたのかもしれない。；でもとうとう私たちは或る年老いた知人の家に住み着くようになりました。；かくして男性はずるずると女性の家に住み着いてしまうこともありえた。；ムトゥは父が住み着いていた川辺に向かうが、父はすでに姿を消していた。；それに、家霊という者は古いお屋敷に住み着くものじゃないのかしら。；しかし切ろうとしていた木にはチップとデールが住み着いていたのであった。；たぶんぼくがここに住み着いてしまった最大の要因も、きっとこれなのだと思う。；しかし、この町の地域は森が深く、人は住み着かなかったと考えられている。；戦前には日本人も住み着き、今でも当時の古い看板などが見られるところもある。；当初は新潟から訪れた村上一族が住み着き、後に局村に移住している。；関東大震災が起こった際は東京に戻らずそのまま名古屋に住み着いた。；落ち武者だって山奥へ住み着くときに、下から登っていったんじゃねえ。；ピジョン島という名前はこの島に住み着いているカワラバトに由来する。；ズッグ島にいつから人間が住み着いたのか、歴史ははっきりしない。；彼は左右将軍と宮人を連れて、海を越えて韓に住み着き自ら韓王と称した。；亶州は秦の徐福が住み着いてその子孫が暮らしているという伝承がある。；私はこの町にどれくらいの人が住み着いているのか、数えたことがないのでわかりません。；今日のサウスダコタには少なくとも数千年前に人類が住み着いた。</t>
        </is>
      </c>
      <c r="J4439">
        <f>HYPERLINK("https://www.weblio.jp/content/住み着く", "词义详情")</f>
        <v/>
      </c>
      <c r="K4439">
        <f>HYPERLINK("https://yourei.jp/住み着く", "查看例句")</f>
        <v/>
      </c>
    </row>
    <row r="4440">
      <c r="A4440" t="inlineStr">
        <is>
          <t>速やか</t>
        </is>
      </c>
      <c r="B4440" t="inlineStr">
        <is>
          <t>成功</t>
        </is>
      </c>
      <c r="C4440" t="inlineStr">
        <is>
          <t>読み方：すみやか
［形動］［文］［ナリ］物事の進行がはやいさま。時間をおかずにすぐ行うさま。「—に決断する」
[派生]すみやかさ［名］</t>
        </is>
      </c>
      <c r="D4440" t="inlineStr">
        <is>
          <t>速やかな死；速やかな移動；速やかな回復</t>
        </is>
      </c>
      <c r="E4440" t="inlineStr">
        <is>
          <t>急；急速；急激；速い；早め</t>
        </is>
      </c>
      <c r="F4440" t="inlineStr">
        <is>
          <t>たら速やか；出来るだけ速やか；かぎり速やか</t>
        </is>
      </c>
      <c r="H4440" t="n">
        <v>29</v>
      </c>
      <c r="I4440" t="inlineStr">
        <is>
          <t>それを実現する手段の一つが戦車の製造を速やかに再開することだった。；戦争機械の完成を阻止するには全工場を速やかに破壊せねばならない。；そして速やかに大統領職を辞任させ、ウエルタが昇格し大統領となった。；飛行場の確保はより多くの増援部隊を速やかに空輸させるためであった。；いずれにせよ、速やかな反応に持統天皇の叡慮を見る点は共通している。；それで速やかな失神と心停止を与えるに十分だろうと予想されたのである。；追越しが終わった車両は速やかに左側の車線に移動しなければならない。；このため、死後できるだけ速やかに火葬をするのがよいと考えられている。；・・・・・・皇帝に速やかに外務に通じ著名な重臣を選抜するよう請う。；廃止後は、それまでに収集した個人情報は速やかに消去するとしている。；彼は国内の「ユダヤ人問題」を可能な限り速やかに解決したいと考えていた。；事件は速やかに報告され、大院君はすぐに高宗がいる乾清宮に参内した。；第二次世界大戦で破壊されず、このために速やかに生産を再開することができた。；速やかに台湾に移って作戦の自由を得る方が適当であった。；日本野球機構の公式サイトではそれを受けて速やかに発表されている。；鉄道によって商品の流通は改善され、市場へ速やかな出荷が可能となった。；さらにナポレオンの増援はオーストリアの左翼に速やかに打撃を与えた。；その点も注意し可能なかぎり速やかに検収作業を行うことが重要。；急襲された警察本部は速やかに武装解除され、主要な建物は制圧された。；また速やかに機能を発揮させるために、シーディングを行う事が必要である。；この場合、一部の植物を除き一般には速やかに花芽を切り取る処理をする。；また死んだ人間の魂を速やかに冥界へと運ぶために足がとても速いとされる。；それでもなお、京都府は前回と同様の理由で速やかな対応を拒否した。；したがって指揮官は敵と遭遇すれば速やかに決心を下すことが重要である。；しかし旱魃によってどこも乾ききっていたため速やかに船を進められない。；その一方でキタン人の反乱を速やかに収めて国内を安定させた。；心肺停止の状態になると、大量の酸素を必要とする脳が速やかに破壊される。；隣接する都市であるアヒムやフェルデンには速やかに到達することができる。；確実かつ速やかに死を与えるかのような方法であるが、まれに失敗することもある。</t>
        </is>
      </c>
      <c r="J4440">
        <f>HYPERLINK("https://www.weblio.jp/content/速やか", "词义详情")</f>
        <v/>
      </c>
      <c r="K4440">
        <f>HYPERLINK("https://yourei.jp/速やか", "查看例句")</f>
        <v/>
      </c>
    </row>
    <row r="4441">
      <c r="A4441" t="inlineStr">
        <is>
          <t>澄む</t>
        </is>
      </c>
      <c r="B4441" t="inlineStr">
        <is>
          <t>成功</t>
        </is>
      </c>
      <c r="C4441" t="inlineStr">
        <is>
          <t>読み方：すむ
［動マ五（四）］
１水や空気などに濁りがなくなり、透きとおった状態になる。「池の底まで—・んで見える」「—・んだ高原の空気」⇔濁る。
２光や色などに曇りがなく、はっきり見える。「明るく—・んだ月」「—・んだ目」「—・んだ水色」
３音がさえてよく響く。「—・んだ声」⇔濁る。
４心配や邪念がなく、心がすっきりしている。「—・んだ心で人とつきあう」
５清音に発音する。「『輝く』は、古くは『かかやく』と—・んで発音した」⇔濁る。
６雑音がおさまって静かになる。
「家も—・みて人も無かりければ」〈今昔・三〇・四〉
７すましこむ。気取る。
「舟の楫(かぢ)取りたる男(をのこ)ども…うそぶいて見回し、いといみじう—・みたるさまなり」〈更級〉
８上品で落ち着いている。地味な感じがする。
「薄鈍色の綾、中には萱草(くわんざう)など—・みたる色を着て」〈源・手習〉
９物事の筋道がはっきりする。道理が明らかになる。
「理が—・マヌコトヂャ」〈日葡〉
［動マ下二］
１濁りをなくしてきれいにする。
「心ヲ—・メテ世ノ塵(ちり)ニ汚サレザル人」〈ロドリゲス日本大文典〉
２道理を明らかにする。
「理ヲ—・ムル」〈日葡〉</t>
        </is>
      </c>
      <c r="D4441" t="inlineStr">
        <is>
          <t>冴える；さえる；澄み渡る；冴えわたる；澄みわたる</t>
        </is>
      </c>
      <c r="H4441" t="n">
        <v>29</v>
      </c>
      <c r="I4441" t="inlineStr">
        <is>
          <t>運転手もとくに熱心にその音楽に耳を澄ませているようには見えなかった。；その声は深く澄み、まるで森の梢が風に鳴っているような印象を受けた。；誰もが動きを止め、カウンターの中から聞こえてくる声に耳を澄ませた。；半時間ばかり耳を澄ませて横たわっていたが、なんの音も聞えなかった。；耳を澄ませてみるけれど、小佐内さんの電話の声は聞こえてこなかった。；どの方向から聞こえてくるのか耳を澄ませても、さっぱり特定できない。；こんなに空気の悪い都会でも、秋になれば少しは空気が澄むものらしい。；其美しさは、過去の役者の上には見ることの出来ぬ澄んだものであつた。；そんなときでも、よい育ちをした恩樹の眼は静かに澄んでいたのである。；どこまでも澄んでゐて、しかも底の知れないものが、眞に深いのである。；そして何か小さな音に耳を澄ませるときのようにそっと目を閉じた。；そのとき、悲鳴と衝撃音が聞こえ、ハリーは足を止めて、耳を澄ませた。；今夜にも、冬がやってきそうに、空の色は澄んで海の色はさえていました。；立ち止まって耳を澄ませてみたが、何を言っているのかは聞き取れない。；このように大気が澄まないのは、都に竜が住みついていないせいだった。；けれどもその長い眉と黒く澄んだ眼の気品に打たれて又伏し眼になった。；その眸は深淵を思わせるように澄み、犬の眼と視線を合わせて動かない。；その夫の顔は、自分とはなんの交渉もなささうに、澄んで引緊つてゐた。；ふと手をやすめて耳を澄ませると、豆腐屋の音が遠くから聞こえてきた。；もう爺さんも起きた頃だと勝手元の方に耳を澄ませても何の音もせぬ。；ヴァンはじっと、近づいて来る男らを見つめ、その言葉に耳を澄ませた。；二人は夕食後、窓を大きく開けて、じっと耳を澄ませていたのだった。；全身が黒澄んで緑色になっている、リクガメのような姿をしたポケモン。；芝村の由縁とその目的を彼女の言葉の中に探ろうと、耳を澄ませていた。；耳を澄ませると、音源は外部ではなく自分の内側にあるように思えてくる。；耳を澄ませて聞いていると、しあわせなら何とかという日本の歌である。；耳を澄ませて聞くうちに、その声が聞こえてくる方角がわかってきた。；悪趣味だとは思いつつも、私はつい彼らの会話に耳を澄ませてしまう。；窓から首を出すと、空氣が澄んでゐて、遠方の山の肌迄はつきり見えた。</t>
        </is>
      </c>
      <c r="J4441">
        <f>HYPERLINK("https://www.weblio.jp/content/澄む", "词义详情")</f>
        <v/>
      </c>
      <c r="K4441">
        <f>HYPERLINK("https://yourei.jp/澄む", "查看例句")</f>
        <v/>
      </c>
    </row>
    <row r="4442">
      <c r="A4442" t="inlineStr">
        <is>
          <t>済む</t>
        </is>
      </c>
      <c r="B4442" t="inlineStr">
        <is>
          <t>成功</t>
        </is>
      </c>
      <c r="C4442" t="inlineStr">
        <is>
          <t>読み方：すむ
《「澄む」と同語源》
［動マ五（四）］
１物事がすっかり終わる。「契約が—・む」「株主総会が無事に—・んだ」
２借りを全部返す。「借金が—・む」
３予想していた程度以下や範囲内で収まる。解決される。また、その場はそれで用が足りる。間に合う。「幸い、軽傷で—・んだ」「電話一本で—・むことだ」「罰金だけで—・んだ」
４気持ちのうえで満足する。気持ちが安らぐ。「君の気が—・むまでなぐってくれ」
５他人に対して言い訳が立つ。多く、打消し・反語の意を表す語を伴って、他人に謝罪する際に用いる。「ほんとに—・まなかったね」「あやまって—・む問題ではない」→済まない→済みません
［動マ下二］得心がゆく。納得する。
「—・めぬ事若後家五つ指を折り」〈柳多留・一三〉</t>
        </is>
      </c>
      <c r="D4442" t="inlineStr">
        <is>
          <t>済むまい；済むだろ；済むと思う；済むとすぐ；済むことなら</t>
        </is>
      </c>
      <c r="E4442" t="inlineStr">
        <is>
          <t>完成；終わる；完了；切る；終結</t>
        </is>
      </c>
      <c r="F4442" t="inlineStr">
        <is>
          <t>とも済む；少なく済む；済むかもしれ；済むかも知れ；済む話だろ</t>
        </is>
      </c>
      <c r="H4442" t="n">
        <v>29</v>
      </c>
      <c r="I4442" t="inlineStr">
        <is>
          <t>君が許してくれるかどうか分らぬ程、僕は済まぬことをしているんです。；じぶんの後援者の家へはきちんとご挨拶しに行かんば気が済まんとです。；最近この用語は、メンバーが同じ場所にいなくて済むようにも使われる。；犬養氏はそれを見ると、何か書いてやらなければ済まぬやうな気がした。；これでも仕事が済めばこれを着て帝劇の三階ぐらいへ納まるんだからね。；それにしても、彼女はもう死んでしまって、用は済んでいるはずである。；ある時点で生徒の母親に遭遇しているが、彼女は撃たれずに済んでいる。；何の意味もなかったが、ただそうしなければ気が済まぬように思った。；しかし裁判も済んだ今日判事にはもう用のないものでなければならぬ。；内、手術したのは172頭であり、それ以外はすでに手術済みであった。；基礎訓練が済んだ指導者は制服に指導者章を着用することができる。；機関部は高度に自動化されており、機関員はわずか29名で済んでいる。；銃撃戦では誰も負傷せずに済んだものの、誰も警察には何も言わなかった。；もはや用済みとなった後藤新平像は、長年神社の境内に放置され続けた。；これでは試験も受けられぬというので試験の済まぬ内に余は帰国する事に定めた。；あの時に何とかしてくれたらこんなことにならないで済んだのだ。；俺の父親がこの光景を目にしたら、『済まん』と謝ってくれるだろうか。；単なるデータ破壊で済むかもしれないし、クラッシュするかもしれない。；叔父さんの話しが済んだところへ、郵便配達夫が手紙を持つて来ました。；無症状であったため、ホテルで数日隔離しているだけで済んだという。；最う別に思出しもしないで、つい先刻までそれ切りで済んでいました。；夕食の支度中や夕食が済んだ後でも、夕食に何を食べるかを紹介する。；このお正月のこともみんな八橋さんのお庇で無事に済んだのでございます。；当初足を切断する必要があると診断されたものの、切断はせずに済んだ。；これらのケースでは虐殺などの罪でも比較的軽い罪で済むケースが多かった。；きちんと手をついて謝らねば具足さん一家の気は済まぬのではないか。；言わずに済めばそれに越したことはないと思っていたひと言だった。；これがフーリエ解析より計算量が少なくて済むことの大きな原因である。；葬式が済んで寺の門を出ると、この頃の春の日はもう暮れかかっていた。</t>
        </is>
      </c>
      <c r="J4442">
        <f>HYPERLINK("https://www.weblio.jp/content/済む", "词义详情")</f>
        <v/>
      </c>
      <c r="K4442">
        <f>HYPERLINK("https://yourei.jp/済む", "查看例句")</f>
        <v/>
      </c>
    </row>
    <row r="4443">
      <c r="A4443" t="inlineStr">
        <is>
          <t>清む</t>
        </is>
      </c>
      <c r="B4443" t="inlineStr">
        <is>
          <t>成功</t>
        </is>
      </c>
      <c r="C4443" t="inlineStr">
        <is>
          <t>読み方：きよむ
［動マ下二］「きよめる」の文語形。</t>
        </is>
      </c>
      <c r="H4443" t="n">
        <v>5</v>
      </c>
      <c r="I4443" t="inlineStr">
        <is>
          <t>日本はなるほど自らの家庭は茶室的にこまめに磨き清む。；これでも「あだ」でなくして「あた」と清むということが解ります。；權現坂を下りて元箱根に至り、一同湖水に手を洗ひ、面を洗ひ、口を漱ぎて身を清む。；即ち二人の若者は勢よく着物を脱いで女達に渡し、それから海を清む可く、藻屑を浚ふ可く冷い海水の中に飛び込んだ。；屈原は楚の人、正道を踏んで容れられず、讒に会って朝を去り、世を挙げて濁り、我独り清む云々の辞を遺して投水した故事によるもの。</t>
        </is>
      </c>
      <c r="J4443">
        <f>HYPERLINK("https://www.weblio.jp/content/清む", "词义详情")</f>
        <v/>
      </c>
      <c r="K4443">
        <f>HYPERLINK("https://yourei.jp/清む", "查看例句")</f>
        <v/>
      </c>
    </row>
    <row r="4444">
      <c r="A4444" t="inlineStr">
        <is>
          <t>住む</t>
        </is>
      </c>
      <c r="B4444" t="inlineStr">
        <is>
          <t>成功</t>
        </is>
      </c>
      <c r="C4444" t="inlineStr">
        <is>
          <t>読み方：すむ
［動マ五（四）］
１家や場所をきめて、常にそこで生活する。居住する。「空気のよい所に—・みたい」「—・む家もない」
２ある領域に身を置く。生きている。「我々とは別世界に—・んでいる人」
３（棲む）動物が巣を作って、その中で生活する。生息する。「水辺に—・む鳥」
４（妻問婚(つまどいこん)が行われていた時代に）男が夫として女の家に通う。
「越前守の思ひて時々—・みける」〈落窪・三〉
[可能]すめる</t>
        </is>
      </c>
      <c r="D4444" t="inlineStr">
        <is>
          <t>住むべき；住む者たち</t>
        </is>
      </c>
      <c r="E4444" t="inlineStr">
        <is>
          <t>生息；居住；棲息；棲む；住まう</t>
        </is>
      </c>
      <c r="F4444" t="inlineStr">
        <is>
          <t>隠れ住む；住む遊牧民；住む組屋敷；住む知的生命体；住むひとびと</t>
        </is>
      </c>
      <c r="H4444" t="n">
        <v>29</v>
      </c>
      <c r="I4444" t="inlineStr">
        <is>
          <t>しかもかれらがそこに住まなければならないことは少しもないのである。；それは郊外のロベルティの農家に両親や弟が住んでいたからでもあった。；履歴書と写真を番組に送ることが条件であり、住む場所はどこでも可能。；今から約2万年前に館林に最初に人々が住み始めた事が確認されている。；また俳優や映画関係者が付近に住んだことから人気が出て開発が進められた。；北部中央部および北西部の郡はイギリス系祖先の住民が多く住んでいる。；この地にヒトが住み始めたのはおよそ6万年前のことと考えられている。；かつて南部から脱出に成功した両親が1859年頃に住んだ家である。；ユダヤ人は主に現在のユーデン通りの聖ヤコービ教会付近に住んでいた。；その髭を剃るか伸ばすかは個人の選択やその人が住む地域の文化による。；左之助が江戸に出た時期も、どこに住んでいたのかも詳しいことは不明。；国民または国家の主権とは、一人の人または、住んでいる人たちである。；転じて、生物が住みやすいように環境を改変することを指すこともある。；子は親権者の定めるところに住まなければならないと定められています。；ただ、現在は家を売却してしまっており、違う家に住んでいるという。；個人は住みたい国をすでに自ら選んだことが前提となっていたからである。；まだ下界にいた頃、玉葉は伝説の中にしか住まないものだと思っていた。；この時期に、かつて両親が住んでいたモンパルナスの一角も訪ねている。；その小説の多くはヨーロッパに住んでいるか旅しているアメリカ人を描いている。；島には小さな町が1つだけあり、ほとんどの住民はここに住んでいる。；この時代には、日本列島に人類は住んでいなかったと推測されている。；比較的古くから人が住んでいた各地区から伝統的な奉納が行われる。；サウスダコタ州となった地域には少なくとも数千年前から人類が住んでいた。；広辞苑によると、旅とは、住む土地を離れて、一時他の土地に行くこと。；それが一家の事情から今では其夫の村に近く住まねばならなくなつた。；アーカイブには、ケージが住んでいたニューヨークの部屋の演奏もある。；これは10代を京都に住む父方の祖母のもとで過ごしたためだという。；少なくとも5万年前には現在のアフガニスタンには人間が住んでいた。；つまり現在住んでいる土地や過去に住んでいた土地などによる縁のことである。</t>
        </is>
      </c>
      <c r="J4444">
        <f>HYPERLINK("https://www.weblio.jp/content/住む", "词义详情")</f>
        <v/>
      </c>
      <c r="K4444">
        <f>HYPERLINK("https://yourei.jp/住む", "查看例句")</f>
        <v/>
      </c>
    </row>
    <row r="4445">
      <c r="A4445" t="inlineStr">
        <is>
          <t>相撲</t>
        </is>
      </c>
      <c r="B4445" t="inlineStr">
        <is>
          <t>成功</t>
        </is>
      </c>
      <c r="C4445" t="inlineStr">
        <is>
          <t>読み方：すまい
《動詞「すま（争）う」の連用形から》
１すもう。また、すもうをとること。《季秋》
「当麻蹶速(たいまのけはや)と野見宿禰(のみのすくね)とに—とらしむ」〈垂仁紀〉
２「相撲(すまい)の節(せち)」の略。
「—のをり、内、春宮のおはしませば」〈大鏡・兼家〉
３「相撲取(すまいと)り」「相撲人(すまいびと)」の略。
「—の負けてゐる後ろ手」〈枕・一二五〉</t>
        </is>
      </c>
      <c r="D4445" t="inlineStr">
        <is>
          <t>相撲大会(2%)；相撲好き；相撲料理店；相撲選手権；相撲興行</t>
        </is>
      </c>
      <c r="E4445" t="inlineStr">
        <is>
          <t>力士；大相撲；関取；角力；相撲取り</t>
        </is>
      </c>
      <c r="F4445" t="inlineStr">
        <is>
          <t>学生相撲；お相撲；速攻相撲；高校相撲；相撲教室</t>
        </is>
      </c>
      <c r="G4445" t="inlineStr">
        <is>
          <t>相撲力士；相撲部；相撲部屋；相撲取り；相撲界</t>
        </is>
      </c>
      <c r="H4445" t="n">
        <v>29</v>
      </c>
      <c r="I4445" t="inlineStr">
        <is>
          <t>また、元々かなりの相撲好きであったがそれを止めたことが記されている。；相撲の技を言葉で表現しようとする試みは、戦国時代に始まるといわれる。；江戸の相撲では、現在宝暦年間以来の印刷された番付が確認されている。；中学校3年生になって初めて相撲を取り始め、大阪市の大会に出場した。；相撲は下手だったが突っ張るだけで相手は立っていられなかったとされる。；なお四角い土俵は各地の神社や南部相撲などに現存し使用されている。；また、体の芯が異常に強く、常に軸がぶれずに堂々とした相撲を取った。；目立った成績を挙げることはなかったが、押し相撲を武器に十両に定着した。；農家の二男に生まれ、父の影響で2・3歳位の時から宮相撲に出場した。；左四つの相撲で右上手を取ると力を発揮し、突き押しでも相撲が取れた。；内容は時代とともに変化しているが、昔は相撲などが奉納されていた。；江戸の他にも、この時期には京都や大坂に相撲の集団ができた。；元々相撲は武士の間で、戦闘訓練の一つとして盛んに行われていた。；また、サッカーや相撲など、他のスポーツの話題も積極的に取り上げていた。；その後も地域のイベントなどに出演し、相撲の普及に努めている。；相撲も元々好きだったことから周囲から「田舎大関」と呼ばれていた。；中学時代はバレーボール部に所属していたため相撲の経験は無かった。；また、現役時代の好敵手や息子を相手にして実際に相撲を取ることもある。；しかし横綱を破った相撲等が評価されて、初めての殊勲賞を受賞した。；なお、これ自体はあくまで相撲の戦法の一つで、決まり手とはならない。；日本の相撲とはその表記も含めて関連が指摘されている。；現在も地元の福井で子供を対象にした相撲教室を行うなど精力的に活動している。；かつては相撲は最もプロとアマチュアの力量差の大きいスポーツと言われた。；後述するように建御名方神と並んで相撲の元祖ともされる神である。；そんなこと言われても、相撲を愛している人はみんな聞きたい。；相撲は飛鳥時代かそれ以前から行われていたと考えられている。；その後も、長く幕内で相撲を取ったものの、三役には定着できずに終わった。；幕内入りしてからの大乃国は全てガチンコ相撲を通したとされている。；小学生の時には柔道を習っていたが、中学に入学すると相撲を始めた。</t>
        </is>
      </c>
      <c r="J4445">
        <f>HYPERLINK("https://www.weblio.jp/content/相撲", "词义详情")</f>
        <v/>
      </c>
      <c r="K4445">
        <f>HYPERLINK("https://yourei.jp/相撲", "查看例句")</f>
        <v/>
      </c>
    </row>
    <row r="4446">
      <c r="A4446" t="inlineStr">
        <is>
          <t>すやすや</t>
        </is>
      </c>
      <c r="B4446" t="inlineStr">
        <is>
          <t>成功</t>
        </is>
      </c>
      <c r="C4446" t="inlineStr">
        <is>
          <t>［副］静かによく眠っているさま。また、そのときの寝息の音を表す語。「子供が—（と）眠る」</t>
        </is>
      </c>
      <c r="D4446" t="inlineStr">
        <is>
          <t>すやすやと寝息(8%)；すやすやと眠り(3%)；すやすやと眠る(2%)；すやすや寝(2%)；すやすや眠る</t>
        </is>
      </c>
      <c r="E4446" t="inlineStr">
        <is>
          <t>ぐっすり；昏々</t>
        </is>
      </c>
      <c r="F4446" t="inlineStr">
        <is>
          <t>もうすやすや；やがてすやすや；そのまますやすや；すやすやと寐；すぐすやすや</t>
        </is>
      </c>
      <c r="H4446" t="n">
        <v>29</v>
      </c>
      <c r="I4446" t="inlineStr">
        <is>
          <t>あたしは何も知らずに子どものようにすやすやとベッドで眠ってましたわ。；わたしは自分の小屋で、木の葉と藁に囲まれてすやすや眠っていました。；女は頭を肩の上にかしげ、帽子を床に落したまま、すやすや眠っていた。；上条は畳の上で丸くなってすやすや眠っているインデックスの顔を見た。；そこでは青髪の少女が、両手を胸の前で組んですやすやと眠っている。；見られはしなかったかと気になったが、間もなく夫はすやすやと眠りはじめた。；ほかの連中は、みんないい気持ちですやすや眠っているのだろうか。；藍は急に疲れが出たのか、野呂田の横で、すやすやと寝息を立てている。；肩ごしに様子をみてみると、ベッドの上の彼女はまだすやすやと眠っている。；次の瞬間には啓太の胸にもたれ、すやすや可愛らしい寝息を立てている。；出かけるときは何んの異状もなく、先生はすやすやと眠っておられました。；しかし、部屋に戻るとベビーは1人でベッドの中ですやすやと眠っていた。；少女は口の端を少しあけ、首を傾けてすやすやと寝息さえ立てている。；疲れていたせいか、気持よい酸素音についすやすや寝入ってしまったのだ。；志ん生は入れ歯をはずして、すやすやと気持よく眠っているようだった。；当然、その影の中で忍がすやすや眠っていることを知った上での所業だろう。；ミーチャは何事もなく、濡れもしないで、すやすやとよく眠っていた。；部屋の住人はこのサッシ窓の向こうで、すやすやと眠っているに違いない。；そして何か考えてでもいるような風であったが間もなくすやすや寝入ってしまった。；その姿はまるで薔薇に囲まれながらすやすやと寝息を立てているかのよう。；坊やは周囲の人々が皆眠ってるかのようにすやすやと寝入りました。；それを取ってやると、すぐに泣き止んで、手に握ったまますやすやと眠った。；夫人を待つ間、御者は御者台の上で、すやすやと眠っていたのである。；密と膝から下すと、お雪はやはりそのままに、すやすやと寐入っている。；たっぷり遊んで、帰りはもうわしの腕に抱かれてすやすや眠っている。；朝早く、すやすやと眠っている姫のそばを離れて、辨はそっと庭の方へ出てみた。；すやすやと眠りつづける母を呼びさましたい気もちだ、子供のときのように。；私がコーヒーを淹れている間も、寝返りひとつ打たずにすやすや眠っている。；こんなに優しい光と風と波の音に囲まれ、そして横では君がすやすやと眠っている。</t>
        </is>
      </c>
      <c r="J4446">
        <f>HYPERLINK("https://www.weblio.jp/content/すやすや", "词义详情")</f>
        <v/>
      </c>
      <c r="K4446">
        <f>HYPERLINK("https://yourei.jp/すやすや", "查看例句")</f>
        <v/>
      </c>
    </row>
    <row r="4447">
      <c r="A4447" t="inlineStr">
        <is>
          <t>ずらす</t>
        </is>
      </c>
      <c r="B4447" t="inlineStr">
        <is>
          <t>成功</t>
        </is>
      </c>
      <c r="C4447" t="inlineStr">
        <is>
          <t>［動サ五（四）］
１滑らせるようにして、少し動かす。位置をちょっと横に動かす。「いすを—・す」
２位置や日時などを重ならないように動かす。「予定を一週間—・そう」
３するべきことをあとに回す。
「いいつけられたことはハイ一寸も—・さねえだ」〈鏡花・琵琶伝〉
[可能]ずらせる</t>
        </is>
      </c>
      <c r="D4447" t="inlineStr">
        <is>
          <t>移転；動かす；移す；転移；転置</t>
        </is>
      </c>
      <c r="H4447" t="n">
        <v>29</v>
      </c>
      <c r="I4447" t="inlineStr">
        <is>
          <t>彼は逃げるようにからだをずらそうとしたが、娘は彼の腕に手をかけた。；頭をずらして時計を見ると、さきほどからまったく時間がたっていない。；長い板を使って、岸側の端を奥にずらしてはいるが、それでも急角度だ。；結野は露骨に嫌な顔をすると、椅子をずらして俺から少し距離をとった。；身体をずらしてのぞくと、列の後ろから二番目の席に誰も座っていない。；俺は左手で眼鏡を少しずらし、右手でポケットからナイフを取り出した。；ピエールは邪魔をしないように少しずつ位置をずらして見あげてみた。；同一エリアの複数のラジオ局が時期をずらして放送したケースがある。；赤ノ星の軌道がずらされたからといって竜は繁殖をやめはしないだろうと。；それから彼は、上にあがっている天窓を、両手で少しずつ下へずらした。；薄曇りで日射しは強くないが、帽子を前にずらして顔を隠してしまった。；それから、肩にまわしたロープを少し下にずらし、左手でそれを握った。；それらを見下ろしながら、梓が顔の向きをわずかに僕のほうにずらした。；わたしは、コタツの縁と壁の間で体をずらし、頭をコタツの中に入れた。；次いで身体のむきを変えて腹を下にし、徐々に身体を下へずらしはじめた。；驚いてレンズから目をずらして、庭を眺めると、そこには誰もいません。；みんなで、マスクをかぶっていたずらしたら、こんなことができそうだ。；ニーチェの答え方はある意味ではマルクスの問題のずらし方に似ている。；これを実行すると呼び出し時に渡された引数を一つずらすことができる。；駅に背中を向けてその場から立ち去り、一本だけ電車をずらそうと考えた。；巻煙草を探すためあいつのそばを通ったとき、あいつは椅子をずらした。；と顔に似合わぬ掛け声をあげて、指をかけ、それをずらそうとし始めた。；その後、以下のような変遷を経て、流路を北にずらして今の流れになった。；背中が汗ばんできて、肩のバッグの位置をずらしてから、ぼくが訊いた。；彼女たちは、午後の授業がないので時間をずらして食事にやってきたのだ。；バックミラーで運転手に顔を見られないように、身体を横にずらした。；エリンは慎重に身体をずらしてすこし前に進むと、小さな声で呼びかけた。；雅子はカーテンをすこしずらして、もっとよく子供が見えるようにした。；低い太陽をさえぎるようにかぶせていた帽子を、右手でちょっとずらす。</t>
        </is>
      </c>
      <c r="J4447">
        <f>HYPERLINK("https://www.weblio.jp/content/ずらす", "词义详情")</f>
        <v/>
      </c>
      <c r="K4447">
        <f>HYPERLINK("https://yourei.jp/ずらす", "查看例句")</f>
        <v/>
      </c>
    </row>
    <row r="4448">
      <c r="A4448" t="inlineStr">
        <is>
          <t>すらすら</t>
        </is>
      </c>
      <c r="B4448" t="inlineStr">
        <is>
          <t>成功</t>
        </is>
      </c>
      <c r="C4448" t="inlineStr">
        <is>
          <t>［副］物事が滞りなくなめらかに進行するさま。「そらで—（と）言う」「話が—（と）まとまる」</t>
        </is>
      </c>
      <c r="D4448" t="inlineStr">
        <is>
          <t>すらすらと答え(4%)；すらすらと出(2%)；すらすらと運ん；すらすらと口；すらすら読める</t>
        </is>
      </c>
      <c r="E4448" t="inlineStr">
        <is>
          <t>すんなり；するする；円滑に；するすると；ずんずん</t>
        </is>
      </c>
      <c r="F4448" t="inlineStr">
        <is>
          <t>すらすらと述べ；すらすらと説明；すらすらと暗誦；わりにすらすら；すらすら書い</t>
        </is>
      </c>
      <c r="H4448" t="n">
        <v>29</v>
      </c>
      <c r="I4448" t="inlineStr">
        <is>
          <t>話すことができなかった子供がすらすらと話していることに皆驚いた。；ぞっとしながら彼を見つめていると、彼はすらすらとあとを続けてきた。；女の子の口から、あんな言葉がすらすら出てくるなんて、考えられるか?；君がいなかったら、ものごとはここまですらすらと運ばなかったはずだ。；もっと魂の口を開いてすらすらと受け取ることはできないものであろうか。；すぐ紙に書くようにすらすらと頭に浮かんでくる初めのことを書いているのだ。；これだけのことを、こういう場所ですらすら云えるのは並の女ではない。；何でもよく出来る人間で、四桁の暗算をすらすらできるとも言っていた。；相手の言うことはよくわかるのだけれど、私のほうはすらすらと出てこない。；こんな時出てくる答えは、もう何度も言っているから、すらすら出てくる。；しかし、娘は貞盛の手を取って、すらすらと自分の寝床につれて行った。；最初の概念さえ理解しておけば、あとは自動的にすらすらと出てくる。；草薙のところで一度話した内容だったから、すらすらと再現できたと思う。；さっきはすらすら言葉が出たのに、この一言だけは声が裏返ってしまった。；それだけでもペンを持ってみると、めったにすらすら行ったことはない。；軽くすらすらとことばが出てくるのが、われながら不思議であった。；言葉が湿っていると、すらすら出てくるというのが彼の言い分であった。；私の胸の思いをすらすらと受けいれてくださるような気がするのです。；山本に傷の消毒をしてもらいながら、すらすらと謝罪の言葉を口にする。；私はほんの少しの言葉でも申し分なくすらすらと話すことが出来んのです。；いちど言葉が口をついてしまうと、気が楽になり、あとはすらすらと出た。；ビラを貼る糊を作る用意をしろと云ひつけるが、それもすらすら運ばぬ。；どういう理由でか話がすらすら運ばなかったんでございますよ。；なぜ自分の口からすらすらとこのような言葉が出てくるのか。；すらすらと読むのを私は聞いていて、意味をはっきり聴き取ることが出来た。；彼がただ一人で考え込んでるうちに、外部からすらすらと事は運んでいった。；これがすらすら通るほど今の世の中は簡単には出来ていない。；すらすらと読みこなすためには、すくなくとも二千字を知る必要がある。；すらすらと読むのを私は聞いていて、意味をはっきり聞き取ることが出来た。</t>
        </is>
      </c>
      <c r="J4448">
        <f>HYPERLINK("https://www.weblio.jp/content/すらすら", "词义详情")</f>
        <v/>
      </c>
      <c r="K4448">
        <f>HYPERLINK("https://yourei.jp/すらすら", "查看例句")</f>
        <v/>
      </c>
    </row>
    <row r="4449">
      <c r="A4449" t="inlineStr">
        <is>
          <t>ずらっと</t>
        </is>
      </c>
      <c r="B4449" t="inlineStr">
        <is>
          <t>成功</t>
        </is>
      </c>
      <c r="C4449" t="inlineStr">
        <is>
          <t>［副］人や物がたくさん並び連なっているさま。ずらり。「著名人が—名を連ねる」</t>
        </is>
      </c>
      <c r="D4449" t="inlineStr">
        <is>
          <t>ずらっと並ん(39%)；ずらっとならん(7%)；ずらっと並べ(6%)；ずらっと並び(2%)；ずらっとならび</t>
        </is>
      </c>
      <c r="E4449" t="inlineStr">
        <is>
          <t>ズラリ；ゾロゾロ；ゾロゾロと；ずらずら</t>
        </is>
      </c>
      <c r="F4449" t="inlineStr">
        <is>
          <t>ずらっと並んでる</t>
        </is>
      </c>
      <c r="H4449" t="n">
        <v>29</v>
      </c>
      <c r="I4449" t="inlineStr">
        <is>
          <t>そんな配置でずらっと席が並べられ、城内の大ホールは人で充満していた。；道路の一方には、夜になると飲み屋の店を開く屋台がずらっと並んでいる。；トランプをずらっと何枚も並べて、客にその中の一枚を選ばせるってやつ。；中に入るとまっすぐに廊下が続いており、その左側にずらっと扉が並んでいる。；その部屋で二人を出迎えたのは、ずらっと居並んだ将軍たちであった。；一部の碑文では長期暦の5つの数の上にずらっと13を並べたものがある。；庭の隅から隅までずらっとならんだ黒色人戦士の戦列が揺れ動いている。；一年半ほど前に、写真週刊誌にお棺がずらっと並んでいる写真が出た。；部屋はずらっと並んでいて、全部ドアでつながっているのよ。；一方の岩壁には配電盤がとりつけられ、ずらっとスイッチが並んでいる。；堀端町から江名子川を渡ると、その東岸は寺ばかりずらっと並んでいる。；ビル1階の入口には昔懐かしい手書き看板がずらっと掲げられている。；ずらっと並んでいるハンガーの、半分にしかアロハがかかっていない。；このようなことをずらっと並べたら、さすがに両親兄夫婦ともに唖然としたようだった。；濠の向うの塀の上には、ずらっと遠くまで無数の首が鈴なりになっていた。；北側は空き家になった元の都営住宅がずらっと並んでるだけだし、南側は墓地。；学名の異名であるシノニムも数多く、ずらっと10個以上並ぶ種もある。；竜骨がずらっと横たえられていて、肋材にとりかかっているところだった。；僕がウリをしている女の子だけをずらっと並べて紹介することを狙ったとすれば、そうすることは簡単だ。；「窓がずらっと並んでますよ、司令官」 興奮した声で彼はいった。；屋根のふちにも彫像が並び、その下にはずらっと窓がついています。；食堂へ行くと、テーブルの上の大皿に、栗の形の菓子がずらっと並んでいた。；六年生の功から一年生の鉄三まで、ずらっと一列にならばされている。；そこにはもう、ずらっと自転車が置いてあるんですねえ。；若者や小僧たちは担ぎ込んだ物を上り端や土間へずらっと並べた。；が、次の建物は電子装置がずらっと並んでいて、二人が一目でわかるものがほとんどだった。；暖炉の前にずらっと並べられた素焼きの器には、黒々とした土が盛られていた。；僕は彼女が化粧をするのを見るのが好きだったが、鏡の前にずらっと並んでいる化粧品の数を見てびっくりした。；その西側にずらっと教室が並んでいる構造だ。</t>
        </is>
      </c>
      <c r="J4449">
        <f>HYPERLINK("https://www.weblio.jp/content/ずらっと", "词义详情")</f>
        <v/>
      </c>
      <c r="K4449">
        <f>HYPERLINK("https://yourei.jp/ずらっと", "查看例句")</f>
        <v/>
      </c>
    </row>
    <row r="4450">
      <c r="A4450" t="inlineStr">
        <is>
          <t>ずらりと</t>
        </is>
      </c>
      <c r="B4450" t="inlineStr">
        <is>
          <t>成功</t>
        </is>
      </c>
      <c r="D4450" t="inlineStr">
        <is>
          <t>ずらりと並ん(38%)；ずらりと並べ(6%)；ずらりと並ぶ(5%)；ずらりとならん(5%)；ずらりとならぶ</t>
        </is>
      </c>
      <c r="F4450" t="inlineStr">
        <is>
          <t>壁にずらりと；沿ってずらりと；ずらりとならべられ；両脇にずらりと；一列にずらりと</t>
        </is>
      </c>
      <c r="H4450" t="n">
        <v>29</v>
      </c>
      <c r="I4450" t="inlineStr">
        <is>
          <t>ガラス窓の向こうには様々な機器に囲まれた病床がずらりと並んでいる。；わたしは端で窓の下、それからずらりと五人の床が並んでゐるのである。；中央に置かれた長いテーブルには、物騒な物がずらりと並べられていた。；そのあとに続いて、男友達や両親のない娘たちの名前がずらりとあがる。；二十畳ほどのスペースに、将棋盤が三十以上もずらりと並べられている。；塀の向こうにずらりと並ぶパトランプがどれだけの数か想像もつかない。；早く来た者から順にずらりと列を作つて、自分の番の来るのを待つてゐる。；謁見室のドアが開くと、左右にずらりと並んだ背の高い椅子の列が見えた。；その廊下のもう一方の側にもずらりと同じような室が並んでいる。；そのほかにも、記念撮影風に男たちがずらりと並んだ写真が何枚かあった。；まず、扉の右手には十数台にのぼる各種戦闘車輛がずらりと並んでいる。；金文字の入った厚い本が、あたしをおどかすようにずらりと並んでいる。；さきほどの車両と変わりのない、臙脂色の座席がずらりと並んだ車内だ。；例によつて濱邊には見送りの島の者がずらりと竝んで別を惜しんでゐる。；次に一つの盃がばらばらと分殖してそこに十個の皿がずらりと並列する。；女は壁を背に座るから、ずらりと相手の男たちが横一文字に並ぶことになる。；二人の背後には、軽機関銃で武装した警官達が、ずらりと並んでいたのだ。；今は表面に出た事件をずらりとラインアップするだけで充分なのだ。；階段を降りていくと、細長い空間にずらりと洋酒の瓶が並べられていた。；こちらの質問はこうした心臓式のものがずらりとならんでいるのよ。；ずらりと並んだドアの向こうで、どんなドラマが展開されているのだろう?；こんなものがずらりと何十も並んだら、野戦病院の眺めになりそうだ。；彼の目にまざまざと、大砲がずらりと山頂に並んでいる光景が浮かんだ。；テーブルを前にして、それ相当の晴衣を着た子供達がずらりと並んでいる。；例によって浜辺には見送りの島の者がずらりと並んで別を惜しんでいる。；船頭のような男と二人歩いて行くと、向うにずらりと並んだ長屋が見える。；うしろへ手をまわすと、ずらりと酒瓶が並んでいるんだから始末が悪い。；右手にずらりと自転車の並べられた一画があり、そこに同僚が二人立っていた。；というのは、役人どもがずらりと並んで彼の出国を拒否したのである。</t>
        </is>
      </c>
      <c r="J4450">
        <f>HYPERLINK("https://www.weblio.jp/content/ずらりと", "词义详情")</f>
        <v/>
      </c>
      <c r="K4450">
        <f>HYPERLINK("https://yourei.jp/ずらりと", "查看例句")</f>
        <v/>
      </c>
    </row>
    <row r="4451">
      <c r="A4451" t="inlineStr">
        <is>
          <t>すり</t>
        </is>
      </c>
      <c r="B4451" t="inlineStr">
        <is>
          <t>成功</t>
        </is>
      </c>
      <c r="C4451" t="inlineStr">
        <is>
          <t>読み方：すり
《「す」は「しゅ」の直音表記》「しゅり（修理）」に同じ。
「我も、もとの所など—しはてつれば、わたる」〈かげろふ・中〉</t>
        </is>
      </c>
      <c r="D4451" t="inlineStr">
        <is>
          <t>すり切れ(13%)；すり寄せ(6%)；すりよせ(6%)；すりおろし(5%)；すり傷(4%)</t>
        </is>
      </c>
      <c r="F4451" t="inlineStr">
        <is>
          <t>すり下ろし；すりおろす；すりゃいいんだい；すりよせる；すり寄せて</t>
        </is>
      </c>
      <c r="G4451" t="inlineStr">
        <is>
          <t>すり抜け；すり替え；すりぬけ；すりつけ；すり鉢</t>
        </is>
      </c>
      <c r="H4451" t="n">
        <v>29</v>
      </c>
      <c r="I4451" t="inlineStr">
        <is>
          <t>こんなものをいつも使つているとすりや、一応の金持の娘かなんかだよ。；丸太は表面がすりへって、てすりのかわりに小枝がさしわたしてあった。；人間は何でも星を調べて見さへすりやア分らないことはないんです。；手を上げて、男の頬にすがり、抱き寄せる男の頬に頬をすり寄せました。；時としては靴を持ってることもあるが、それも底のすり切れたものである。；池に渡した石橋のてすりには多勢の人々がもたれて水面をながめている。；袖すりあうも他生の縁、この人とならば膝をつき合わしていても安心だ。；彼の腕は彼女のしなやかな腰をかたく抱きしめ、彼女は身をすり寄せた。；彼女は手を伸ばして彼の首に回し、抱かれたまま頬をすり寄せました。；それで小さい女の子は、母親のそばにぐっとからだをすり寄せました。；自動車ではガードレールなどにすり寄せて緊急に停止させる方法もある。；でもすり取りはいたしましたものの、お返ししたはずでございますよ。；さうすりや芸術は人生の底へ一面深い根を張つてゐるんだ。；男を燃やしてすり替わり、自分が死んだことにして暮らすことに決める。；そして彼の白い上着の縁のすり切れたのを見て、ますます安心した。；馬はガリオンに近よって、ものめずらしげにかれの服に鼻をすりよせた。；無論、あの仏像や仏画を偽物とすり変えたのも君の知ったことではない。；床におろしてやると、私の足へ身をすりよせるようにして、ついてくるのだ。；床におろしてやると、私の足へ身をすりよせるやうにして、ついてくるのだ。；といっても暁に薄っすりと陽の光りがさしこんでくる位の明るさだった。；長い節の部分には栄養が詰まっているため、すりおろして食べる人も多い。；彼の上衣の袖は、その習慣のためほとんどすり切れてしまっていた。；三人は建物の前をまわって、脇のポーチのてすりに馬をゆわえつけた。；女は自分が膝をすり寄せているのに気づかぬほど無関心なのだ。；さうすりやあしまひには親父だつてお母だつて許さずには居られなくなるさ。；が、何歩か離れたかと思ったらすぐに戻ってきてまたガリオンに鼻をすり寄せた。；誤差の数値はいくつかの研究プロジェクトの結果をすりあわせて得られた。；もう幾十年かの間幾千の人に使いふるされて、岩が都合よくすり減されている。；その中に、この若い男がかくれていて、老人とすりかわったのでしょうか。</t>
        </is>
      </c>
      <c r="J4451">
        <f>HYPERLINK("https://www.weblio.jp/content/すり", "词义详情")</f>
        <v/>
      </c>
      <c r="K4451">
        <f>HYPERLINK("https://yourei.jp/すり", "查看例句")</f>
        <v/>
      </c>
    </row>
    <row r="4452">
      <c r="A4452" t="inlineStr">
        <is>
          <t>擦り切れる</t>
        </is>
      </c>
      <c r="B4452" t="inlineStr">
        <is>
          <t>成功</t>
        </is>
      </c>
      <c r="C4452" t="inlineStr">
        <is>
          <t>読み方：すりきれる
［動ラ下一］［文］すりき・る［ラ下二］物と物とがこすれて切れる。「ズボンの裾が—・れる」</t>
        </is>
      </c>
      <c r="D4452" t="inlineStr">
        <is>
          <t>摩耗；磨耗；擦れる；すり減らす；すり減る</t>
        </is>
      </c>
      <c r="H4452" t="n">
        <v>29</v>
      </c>
      <c r="I4452" t="inlineStr">
        <is>
          <t>ビデオを研究し、靴下のカカトが擦り切れるほど毎日真似をして踊っていた。；ロープの表面で皮膚が擦り切れるかと思ったその時、ようやく片手がロープの輪からすっぽ抜けた。；ここを勢いよく滑れば、皮膚はみじめに擦り切れるはずだった。；レコードの最後の一枚が擦り切れるまで。；毎日お風呂に入っている、体が擦り切れるくらいに磨いてる。；炎の前で擦り切れる符を見つめながら、殷雷の意識は遠のいた。；婆やんに苛められ、父っつぁんに蔑ろにされ、擦り切れるように若死にしたお母。；・流行りのファッションにはあまり興味がなく、本当に気に入った服を擦り切れるまで着続ける。；我々のシナプスは、ほとんど擦り切れる寸前と言ってもいい。；バラケのピアノソナタのLPを擦り切れるほど聴いたことが彼の道を決定付ける。；少年院ではお喋りどころか独り言すら規制されていたために、その呟きは脳髄のどこかが擦り切れるほどに口の中で繰り返していた。；その私を客観的に見れば己の才能や資質をまったく考慮できていないその高い志こそが愚か極まりないのだが、 その分を差し引いても彼にひざと額が擦り切れるほど土下座したところで許してはもらえないであろう今の自分の愚かさ。；もしもあれがそういうビデオだったなら、智子は、頭のなかから消えてなくなってしまっている両親の面影を追って、テープが擦り切れるまで何度も何度も再生し、それこそ目に涙をいっぱいにためて画面に見入ることだろう。；次の月給日か表彰日が来るまで、〝お手柄だよ〟と言った課長の言葉を、耳の中の再生装置でテープが擦り切れるまでプレイバックし続けることになるだろう。；子供の頃から機械仕掛けに興味があり、2歳の時点で自動車の取扱説明書を擦り切れるほどに読み、北海道深川西高等学校卒業後には陸上自衛隊に入隊して武器の解体・再組立の技術に興味を持ち小銃の修理を担当していた。；普段の稽古には参加できないため、岡本宗師の手に触れられるのは年1、2回の東京セミナーでのみであったが、必死で習った感覚を残しつつ、上記VHSも擦り切れるまで何度も見たという。；さて的廬一騎駆けで逃げ走っている劉備、昨日から内腿が擦り切れるような馬乗りを繰り返している。；太股の皮が擦り切れるほど、股の上でロープを撚ったものだ。；「こいつは擦り切れるまで何巡年も市に着ていくことができるんだ」 彼は布地の見本を指のあいだでこすり、それから見本の両端をもってその丈夫さを見せた。；一度仕立てられた服は穴があいて擦り切れるまで着られ、ぼろぼろになってもそれは古着として売られ、その都度修理されて蘇る。；茶の湯は、繰り返し新しい工夫を加え、更新し続けて擦り切れることのない、強靭な枠組みをもっている、とあります。；僕はほとんど恐慌状態で、取るものも取りあえず、家の前に停めていたマウンテンバイクのところまで四つん這いで走り、チェーンが擦り切れるんじゃないかというような速度で、その場を離れた。；この女性は「方おばあちゃんは李香蘭のレコードが擦り切れるほど聞いていた」と証言し、「このレコードをいつか李香蘭に届けてほしい」と遺言されていたとコメントした。；服が擦り切れると、これは兎の皮で代りを作りました。；また垂直に開いている穴を降りる場合においても、穴の上空にロープの端を固定できるので、ロープが擦り切れる危険性が低くなる。；「筏のロープが波で擦り切れる」とか「バルサが水を吸って沈没するはず」など、航海前に出された否定的な意見を覆したことで評判を呼んだ。；また、着ている服が擦り切れて使い物にならなくなると、衣服を探す時間を惜しみ、洞窟内にあったツァンパの布袋を体にまとって修行を続け、それさえも擦り切れると、最後には全裸のまま修行を続けたという。；三流短大とはいえ英文科を出、アメリカに行くと決めた時から、仕事の合間に『NHK英会話』のテープを擦り切れるほど聞いてきた。；中学校に入り、母親に買ってもらった石森章太郎の『マンガ家入門』を擦り切れるまで読み、ペンの種類や描き方などを知る。</t>
        </is>
      </c>
      <c r="J4452">
        <f>HYPERLINK("https://www.weblio.jp/content/擦り切れる", "词义详情")</f>
        <v/>
      </c>
      <c r="K4452">
        <f>HYPERLINK("https://yourei.jp/擦り切れる", "查看例句")</f>
        <v/>
      </c>
    </row>
    <row r="4453">
      <c r="A4453" t="inlineStr">
        <is>
          <t>擂り潰す</t>
        </is>
      </c>
      <c r="B4453" t="inlineStr">
        <is>
          <t>成功</t>
        </is>
      </c>
      <c r="C4453" t="inlineStr">
        <is>
          <t>読み方：すりつぶす
［動サ五（四）］
１すって細かく砕く。すって原形をなくする。「大豆を—・す」
２財産をなくす。財産を使い果たす。「道楽して身代を—・す」</t>
        </is>
      </c>
      <c r="D4453" t="inlineStr">
        <is>
          <t>壊滅；こなす；粉砕；大破；潰す</t>
        </is>
      </c>
      <c r="H4453" t="n">
        <v>15</v>
      </c>
      <c r="I4453" t="inlineStr">
        <is>
          <t>しかも、一回の勝利のため、古巣の独立戦車第一一連隊は、擂り潰される。；まともに敵が進入すれば擂り鉢で擂り潰すような容易さで殲滅することができるのである。；草食性であり、よく発達した門歯と臼歯で食べ物を噛み切り、擂り潰す。；先ずハムの湯煮たのと鶏肉の湯煮たのとを四分六分位の割で細かく割んで擂り潰して裏漉しにします。；擂り潰した枝豆を入れた味噌汁は青呉汁あるいは枝豆呉汁という。；大豆を水に浸し、擂り潰したペーストを呉といい、呉を味噌汁に入れたものが呉汁である。；擂り潰した大豆と野菜類が豊富に入った呉汁は栄養価が高く体が温まり、冬場の郷土料理として日本各地で昔から親しまれている。；生産能力が高く、粒子も擂り潰されることなく均一で、断面は鋭角に仕上がる。；呉汁の「呉」は擂り潰した大豆を意味し、音からの当て字であり、中国の呉王朝や広島県呉市とは無関係である。；ごまだしは、焼いたエソ類などの魚の身、胡麻を擂り潰して、醤油等を混ぜて作られる大分県佐伯市の調味料である。；ミャンマーでは、ひよこ豆の粉、あるいは水を吸わせて擂り潰したものから葛餅や胡麻豆腐に類する製法で一種の豆腐を作り、ビルマ風豆腐と呼称される。；焼いたエソ類などの魚の身、ごま、醤油などを混ぜ、擂り潰して作られる「ごまだし」と呼ぶ物を湯に溶き、つゆとして用いる。；木原はこのOPマグネットを擂り潰し、粉々にして、それに接着剤をまぜ、ありあわせの紙テープに塗ってみた。；また、剥く、切る、指先でひねり潰す、すり鉢で擂り潰すなどして、料理の材料や薬味として用いられる。；thumb|枝豆の擂り流し 擂り流しは日本料理で、魚介類や、枝豆や銀杏、栗や豆腐などを、よく擂り潰し、だしでのばして汁物にしたもの。</t>
        </is>
      </c>
      <c r="J4453">
        <f>HYPERLINK("https://www.weblio.jp/content/擂り潰す", "词义详情")</f>
        <v/>
      </c>
      <c r="K4453">
        <f>HYPERLINK("https://yourei.jp/擂り潰す", "查看例句")</f>
        <v/>
      </c>
    </row>
    <row r="4454">
      <c r="A4454" t="inlineStr">
        <is>
          <t>する</t>
        </is>
      </c>
      <c r="B4454" t="inlineStr">
        <is>
          <t>成功</t>
        </is>
      </c>
      <c r="C4454" t="inlineStr">
        <is>
          <t>読み方：する
［動ラ五（四）］
１活版・版木などの面にインク・絵の具などをつけて、紙を当てて文字や絵を写し取る。印刷する。「紙幣を—・る」
２布に木型を押し当てて、彩色したり、模様を染め出したりする。
「月草に衣は—・らむ朝露に濡れてののちは移ろひぬとも」〈古今・秋上〉
[可能]すれる</t>
        </is>
      </c>
      <c r="D4454" t="inlineStr">
        <is>
          <t>する説；する可能性；するべく</t>
        </is>
      </c>
      <c r="E4454" t="inlineStr">
        <is>
          <t>行う；やる；与える；作る；実行</t>
        </is>
      </c>
      <c r="F4454" t="inlineStr">
        <is>
          <t>位置する；登場する；使用する；意味する；由来する</t>
        </is>
      </c>
      <c r="G4454" t="inlineStr">
        <is>
          <t>するする；するどい；するりと；するどく；するめ</t>
        </is>
      </c>
      <c r="H4454" t="n">
        <v>29</v>
      </c>
      <c r="I4454" t="inlineStr">
        <is>
          <t>ぼくたちは時といっしょに地球のまわりを飛んでいさえすりゃいいんだ。；表面にマグネタイトを形成する方法が一般的だがまったく充分ではない。；この病気に襲われた人々の中で、お前ほど楽にすんだ者はあんまりない。；当時、ドイツには新体制を構築しようとする帝国改造が求められていた。；機械学習では、機械がデータを利用してその性能を向上させようとする。；多くの場合、彼は現在の協力者に次にどこを訪問すればよいか尋ねていた。；一人はむかい岸にすんでいる商人で、一人はこの村の百姓の娘であった。；そうすりゃ噂をまいた本人がきっと赤面してしまうにちがいありません。；いずれにしろ幕府が特例を認めなければ現在の八代城は存在しなかった。；あなたがゆっくり横になりながら答えを見出して下すったらと思います。；ぼくは少し先で車をとめ、煙草を一本すってから、急いで船へもどった。；しかし、いつどのように活動が変化するかを予測することは非常に難しい。；そういうところが、異常があったら報告しろと言って頂けるでしょうか?；が、まず猫ほどではないにしろ、勝手の違う気だけは起ったはずである。；この段階になればもはや事態を収拾しようとすることは極めて困難となる。；そうすりゃ手で働くより頭を使った方がどんなに得だかわかるだろう。；演奏がすんで廊下に出ると、一人の貴族がヘンデルの肩を叩いて言った。；いずれにせよ日韓双方の記録が秀吉軍の入城を前に消失したとしている。；そうすりゃ当日はこの男を牡牛のように大奮闘させてお目にかけますよ。；しかしどちらにしろ人生は結局さううまく行くものではないらしい。；いずれにせよ少しでも怪しいと感じたら絶対に借りないことが第一である。；用語「ヨーロッパ」は、歴史が展開する中で使われ方が様々に発展した。；用語「ヨーロッパ」は、歴史が展開する中で使われ方が様々に発展した。；いわゆる電子ガジェット類に機能の一つとして付属している場合もある。；休刊と称していても、実際には復活せずそのまま廃刊となることも多い。；実は、分割の大きさを極限で とすれば積分を定義するのに十分である。；各地でフィッシャーを支持する人々がこの状況を何とかしようとした。；初期は少年誌で活動していたが、後に青年誌でも執筆するようになった。；初期は少年誌で活動していたが、後に青年誌でも執筆するようになった。</t>
        </is>
      </c>
      <c r="J4454">
        <f>HYPERLINK("https://www.weblio.jp/content/する", "词义详情")</f>
        <v/>
      </c>
      <c r="K4454">
        <f>HYPERLINK("https://yourei.jp/する", "查看例句")</f>
        <v/>
      </c>
    </row>
    <row r="4455">
      <c r="A4455" t="inlineStr">
        <is>
          <t>擦る</t>
        </is>
      </c>
      <c r="B4455" t="inlineStr">
        <is>
          <t>成功</t>
        </is>
      </c>
      <c r="C4455" t="inlineStr">
        <is>
          <t>読み方：かする
［動ラ五（四）］
１軽く触れて通り過ぎる。かすめる。「弾丸が耳を—・った」
２上前をはねる。「賃金を—・る」
３かすり書きにする。
４他人のものをちょっと利用する。
「その提灯の明りを—・り、妾(わし)も隣の念仏講へ」〈伎・四谷怪談〉
５容器の底にわずかに残っているものをこそげ取る。
「夕に米唐櫃(こめがらと)を—・り」〈浮・禁短気・四〉
６ほのめかす。におわす。
「その人の名は言ひかねて、思ふあたりを—・らする」〈浄・万年草〉
［動ラ下二］「かすれる」の文語形。</t>
        </is>
      </c>
      <c r="D4455" t="inlineStr">
        <is>
          <t>擦るような音(3%)；擦るような歩き</t>
        </is>
      </c>
      <c r="E4455" t="inlineStr">
        <is>
          <t>摩擦；マッサージ；撫でる；磨く；按摩</t>
        </is>
      </c>
      <c r="F4455" t="inlineStr">
        <is>
          <t>強く擦る；引擦る</t>
        </is>
      </c>
      <c r="H4455" t="n">
        <v>29</v>
      </c>
      <c r="I4455" t="inlineStr">
        <is>
          <t>そっと肩を撫でてくれたり、足に身体を擦りつけるようにしたりします。；例にもれずとりあえず目を擦ってみるが目の前の光景は変わらなかった。；もし近くでこの光景を見ていた者があれば、擦ったと誤解しただろう。；九野のすぐ脇を擦り抜けたが、こちらにはまったく気づいていなかった。；もし蛇がそのように高音をたてたら、おそらくこんな擦音になるだろう。；かれは、軸の先端や擦り薬の面に指を触れないよう細心の注意を払った。；みな彼の傍へ擦りよる風にして、鼻さきに顔を近づけ物いう癖があった。；自分はそこにあった巻莨入から煙草を一本取り出して燐寸の火を擦った。；特に男たちに触れられたと思われる部分は皮が剥けそうになるほど擦った。；彼女は錠に手をかけず、左右の人さし指の爪を擦り合わせたのであった。；その猫は毎日わたしが帰ると門のところに居てからだを擦り寄せてくるんです。；そして村上の膝のかわりに男の股間を両足の中心に擦りつけさせていた。；でも、その場合には志保を殺して麻理に罪を擦りつけるんじゃないかな。；そしてその一方はすこし色がついて擦れているが、一方はまだ新しい。；またもや擦るような音が、こんどはトンネルのはるか前方から聞こえた。；そして、気がついた時には、刀を差した男が後へ廻って背を擦っていた。；けれども彼女がやったのは手袋で窓の染みを執拗に擦ることだけだった。；二十歳も近いのに、未だに初なところが抜けなく、擦れたところが無い。；細い脚を擦っている私の掌にぬるぬるとしたものが感じられていたからだ。；男はがっくりと首を床の上から畳に擦れ落ちたような音を耳にした。；ここにも抵抗を笑いに擦りかえる精神がしたたかに宿っているのをみた。；向うから、西洋の女が二人ペチヤクチヤ喋りながら擦れちがつて行つた。；絶叫したつもりだが、それは喉でひっかかる擦れ声にしかならなかった。；ではもう、浴場との境の擦ガラスの戸を開けて見るまでもありません。；座席の背擦りにも握り手が設けられ、立客を配慮したものとなっている。；しかし、眼をしばたたいても、擦っても塵は眼の中に入ったままだった。；遠くに、墜落したソリが完全に停止するまでに擦った跡が二ヵ所見えた。；雪を擦る橇の刃のたてる静かな音のほかは、何の物音も聞こえなかった。；父親の言うことに激しく首を振りながら、奥の壁に自分の体を擦りつけている。</t>
        </is>
      </c>
      <c r="J4455">
        <f>HYPERLINK("https://www.weblio.jp/content/擦る", "词义详情")</f>
        <v/>
      </c>
      <c r="K4455">
        <f>HYPERLINK("https://yourei.jp/擦る", "查看例句")</f>
        <v/>
      </c>
    </row>
    <row r="4456">
      <c r="A4456" t="inlineStr">
        <is>
          <t>刷る</t>
        </is>
      </c>
      <c r="B4456" t="inlineStr">
        <is>
          <t>成功</t>
        </is>
      </c>
      <c r="C4456" t="inlineStr">
        <is>
          <t>読み方：する
［動ラ五（四）］
１活版・版木などの面にインク・絵の具などをつけて、紙を当てて文字や絵を写し取る。印刷する。「紙幣を—・る」
２布に木型を押し当てて、彩色したり、模様を染め出したりする。
「月草に衣は—・らむ朝露に濡れてののちは移ろひぬとも」〈古今・秋上〉
[可能]すれる</t>
        </is>
      </c>
      <c r="D4456" t="inlineStr">
        <is>
          <t>印刷；プリント；摺る；印す；謄写</t>
        </is>
      </c>
      <c r="H4456" t="n">
        <v>29</v>
      </c>
      <c r="I4456" t="inlineStr">
        <is>
          <t>紙に刷った何かを一枚づゝ、五六人の子にわけて低い声で話をしてゐた。；知友に頒つのは二百部でも十分なのを思い切って三百五十刷らせて見た。；金を刷る誰かさんのところには、ろくでもない人間だって集まってくる。；あなたのところへも御自分の名で刷られたものがやがて届きましょう。；大抵の場合、本の印刷というのは一ページずつ刷るわけではありません。；私は近くの小さな印刷屋に行って、待っている間に名刺を刷らせた。；どれだけ刷っても、刷っただけ、金になって入ってくる感じであった。；いうまでもないことだが、用紙の不足で本がたくさん刷れなかったのである。；二号目は予定の十カ月後になってやっと全部が集まり、刷ることが出来た。；故郷の町で出版した私の処女詩集でさえ三百部刷らせたのである。；彼は特別に用意した紙を使って、印刷機で偽札を大量に刷っていたのです。；報道の文字がなんでも可能になる魔法の呪文のようにでかでかと刷られている。；私は印刷屋に行って、二十部刷ってくれ、と言う勇気がなかった。；するとあの手紙に、名を刷ってある原稿用紙を使ったのはまずかった。；封筒はみんな事務用のもので、角に事務所の名が刷ってありました。；それは一つの厚い紙へ刷ってみんなで手に持って歌えるようにした楽譜でした。；通称であるペンネームと郵便番号・住所・電話番号が刷ってあるだけだ。；なんでこんなにたくさん本を刷る必要があるんだ、どうせ誰も読みはしないのに。；それにまた、彼が版画でひそかに何を刷っているか、百も承知の上での相談なのだ。；一か月前に一万部刷ったんですが、もう売り切れてしまいましてね。；まるで外の世界の物の様な新聞を大量に刷る技術は、天狗以外の何者も手にしていないのだから。；君が欧文活字を使って刷ったものが、どういう人の手に渡るのかを教えているのだ。；その上に三峰山と刷られていたのは、狼を三峰の神のお使いとでもしたのだろうか。；「晩年」は初版が五百部くらいで、それからまた千部くらい刷った筈である。；この版木を刷ったものが、テンプレート上部に紹介されている図版である。；これが自分ながら精巧にできたために、小森はさらに五十枚刷らせました。；そのため蔵高院の住職はお札を1枚刷るにしても気を配ったと云う。；その紙に犯人にとって都合の悪いことが書かれていたか、刷られてあったのだろう。；あのかすれ具合は少なくとも七、八百枚は刷らないとできないものだ。</t>
        </is>
      </c>
      <c r="J4456">
        <f>HYPERLINK("https://www.weblio.jp/content/刷る", "词义详情")</f>
        <v/>
      </c>
      <c r="K4456">
        <f>HYPERLINK("https://yourei.jp/刷る", "查看例句")</f>
        <v/>
      </c>
    </row>
    <row r="4457">
      <c r="A4457" t="inlineStr">
        <is>
          <t>ずるい</t>
        </is>
      </c>
      <c r="B4457" t="inlineStr">
        <is>
          <t>成功</t>
        </is>
      </c>
      <c r="C4457" t="inlineStr">
        <is>
          <t>読み方：ずるい
［形］［文］ずる・し［ク］自分の利益を得たりするために、要領よく振る舞うさま。また、そういう性質であるさま。悪賢い。こすい。「—・いやり方」「—・く立ち回る」
[派生]ずるさ［名］</t>
        </is>
      </c>
      <c r="D4457" t="inlineStr">
        <is>
          <t>ずるい男(4%)；ずるいやつ；ずるいやり方；ずるい奴；ずるいところ</t>
        </is>
      </c>
      <c r="E4457" t="inlineStr">
        <is>
          <t>曲がった；卑しい；卑劣な；狡猾；狡猾な</t>
        </is>
      </c>
      <c r="F4457" t="inlineStr">
        <is>
          <t>なんてずるい；ずるい気；ずるいじゃない；こずるい；ずるい連中</t>
        </is>
      </c>
      <c r="H4457" t="n">
        <v>29</v>
      </c>
      <c r="I4457" t="inlineStr">
        <is>
          <t>だがこういう女でも少しずるいのになるとそうでないような顔をしている。；ずるい男だったら、承知したといって、そのとおりに実行するであろう。；僕はそうしているうちにうそをついたりしてずるい人間になってしまった。；政府が新聞に差止めしてゐるズルイ方法のためがあつたかも知れない。；そして或るユダヤ人の店にゆきましたが、これは悪魔よりもずるい男でした。；「そんなのずるいよ」いまにも泣き出しそうな声で姉に向かって抗議する。；無能でこずるい兄と結託して、私の人生を目茶苦茶にしようとしている。；これはいままでに発明された電子武器のなかでも一番ずるい物。；眠っている間にずるい死霊がそれを盗んでしまうかもしれないからである。；そのうちに彼女はずるくなって、彼に腹を立てないようになった。；その証拠に、話をする時の恵美子の顔には、あるずるい感じがあった。；どちらを向いても、奴のずるい、にやにやした顔がすぐそばに見えました。；ズルーにギルドを案内され、仲間を雇おうとするも金がかかるため断念。；それも世間にはずるい悪企みをする人間が大勢おりますことゆえ。；中には、それをいいことにして、ずるくかまえるものもないではなかった。；こんなときだけあんな顔をして、なにも言わないなんてずるいよ。；冷たくヌルヌルした巨大なナメクジがずるっと僕の耳の奥に触れたような。；その意味では、あの二人の探偵は、ずるいことをやって有利な立場に立った。；ギトンは少しまえにこの犬に非常にずるい方法で身代金を出していたのだった。；技をけしかけ、相手の力をださせて、その力を利用してずるく攻めていく。；それに向き合うことをせずに自分だけ何かするのは、なんかずるい気がするから。；あいつがどれくらいずるいやつだかとても想像もつくまい。；勝手口から背中を丸めて出ていく、ずるい目をした男たちが見えた。；そんな結論を得るように、ずるいお芝居を見せられているのではなかろうか?；併し私は他の多くの人たちのやうな、悧巧なずるいことは出来なかつたのです。；虫のいい極悪人のずるい心がつくり出したような安心ですからね。；ただ、なによりもずるいのはホロがそれを自覚しきっているということだ。；地球連合のやつ、まったくずるくて、ここから手を引きましたからな。；だから、ずるい手を考えて、つまらんいたずらをするのはよしたがいいぜ。</t>
        </is>
      </c>
      <c r="J4457">
        <f>HYPERLINK("https://www.weblio.jp/content/ずるい", "词义详情")</f>
        <v/>
      </c>
      <c r="K4457">
        <f>HYPERLINK("https://yourei.jp/ずるい", "查看例句")</f>
        <v/>
      </c>
    </row>
    <row r="4458">
      <c r="A4458" t="inlineStr">
        <is>
          <t>ずるずる</t>
        </is>
      </c>
      <c r="B4458" t="inlineStr">
        <is>
          <t>成功</t>
        </is>
      </c>
      <c r="C4458" t="inlineStr">
        <is>
          <t>《「づるづる」とも表記》
［副］
１重い物や長い物をゆっくり引きずるさま。「大きな荷物を—（と）引きずる」
２少しずつ滑り落ちたり、後退したりするさま。「雪の斜面を—（と）滑り落ちる」
３物事の決まりをつけないさま。「—（と）返事を延ばす」
４音を立てて汁を飲んだり、鼻汁をすすったりするさま。また、その音を表す語。「スープを—（と）飲む」「洟(はな)を—（と）すすりあげる」
［形動］しまりのないさま。物事にだらしのないさま。「痩せてズボンが—になる」
「その児が生れた時分から今日まで—に改めずに」〈谷崎・蓼喰ふ虫〉
［アクセント］はズルズル、はズルズル。</t>
        </is>
      </c>
      <c r="D4458" t="inlineStr">
        <is>
          <t>ずるずると床(2%)；ずるずると後退；ずるずると引きずら；ずるずるとすべり；ずるずると滑り落ち</t>
        </is>
      </c>
      <c r="E4458" t="inlineStr">
        <is>
          <t>のんびりと；ズルズル；ズルズルと；ダラダラ；ダラダラと</t>
        </is>
      </c>
      <c r="F4458" t="inlineStr">
        <is>
          <t>ついずるずる；ずるずると崩れ；ずるずるべつたり；ずるずるすべり；ずるずると這い</t>
        </is>
      </c>
      <c r="G4458" t="inlineStr">
        <is>
          <t>ずるずるっと；ずるずるずる；ずるずるずるずる；ずるずるッと；ずるずるずるずるー</t>
        </is>
      </c>
      <c r="H4458" t="n">
        <v>29</v>
      </c>
      <c r="I4458" t="inlineStr">
        <is>
          <t>晋吉はずるずる夕方の五時まで当てにできないものを当てにして待った。；軍人も政治家も国民も、負けると分かっている戦いをずるずると続けた。；それがずるずると巻き取られ、どんどん短くなってやがて船の中に消えた。；ずるずるにくさりかけたのを食べたせいか躯中に虫がわいたようになる。；壁から離れた身体は支えを失い、そのままずるずると崩れて膝をつく。；ずるずる引き延ばされて十年も経ってしまったなんてことのないように。；私はとにかく吐いて楽になろうと、トイレのドアまでずるずると這った。；婚儀のことは親父の病気を幸いにずるずるとのばしているようなわけで。；そうでないとずるずる引きずり込まれてしまう恐れがあるんだからね。；そして制空権が失われ、地上部隊はずるずると後退せざるをえなくなる。；そのため、戦闘が長期化し、一〇年もずるずると続いてしまったのだ。；そして何かを求めるように、手足を使ってずるずるとはいまわっていた。；試合が近づくと練習は毎日となり、そのうちずるずるとそれが日常となった。；でも、別れたくない気持ちが強くってずるずると引きのばしてきたのだ。；急に、上になっていた男がぐったりとして、床へずるずると滑り落ちる。；ずるずる滑って、どこにも自分の体量を持ち答える事は出来なくなる。；それでずるずるにやっぱり居馴れた喜久井町の家に腐れ着いていたのだ。；緑色の巨大な虫が、体の中をずるずると動いてはいないだろうか。；ずるずると音を立てながら、ゆっくりと雷太の体が持ち上がっていった。；のぞきこんで手をさし入れると、ずるずると人間の腕があがってきた。；そのままずるずると膝から床に落ちていき、死んだ振りをしてみせる。；五メートルのザイールをずるずる伸ばしていると、その長さにビビった。；気持ちの悪い懊悩を抱えたまま、ずるずると数日を過ごしてしまった。；私と夫は私が回復してからもずるずると一緒に暮らし続けた。；私は自分がどこかへずるずると引きこまれていくのを感じました。；夕方になってずるずると時間を取られないように気をつけた。；今のように機械でずるずる出て来るのと違って風味がありました。；かくして男性はずるずると女性の家に住み着いてしまうこともありえた。；異星人は壁にもたれかかり、そのままずるずると床に崩れそうになった。</t>
        </is>
      </c>
      <c r="J4458">
        <f>HYPERLINK("https://www.weblio.jp/content/ずるずる", "词义详情")</f>
        <v/>
      </c>
      <c r="K4458">
        <f>HYPERLINK("https://yourei.jp/ずるずる", "查看例句")</f>
        <v/>
      </c>
    </row>
    <row r="4459">
      <c r="A4459" t="inlineStr">
        <is>
          <t>すると</t>
        </is>
      </c>
      <c r="B4459" t="inlineStr">
        <is>
          <t>成功</t>
        </is>
      </c>
      <c r="C4459" t="inlineStr">
        <is>
          <t>［接］《動詞「する」の終止形＋接続助詞「と」から》
１続いて起こる事柄を表すのに用いる。そうすると。「—突然まっ暗になった」
２前の事柄から判断した結果を導く。それでは。「—君は知っていたのか」</t>
        </is>
      </c>
      <c r="D4459" t="inlineStr">
        <is>
          <t>すると彼；するとそこ；すると突然；すると今度；するとすぐ</t>
        </is>
      </c>
      <c r="E4459" t="inlineStr">
        <is>
          <t>だから；そうすると；そしたら；されば；したらば</t>
        </is>
      </c>
      <c r="F4459" t="inlineStr">
        <is>
          <t>すると桐乃；すると野々宮；すると帆村；すると俊夫君；するとギンポ君</t>
        </is>
      </c>
      <c r="H4459" t="n">
        <v>29</v>
      </c>
      <c r="I4459" t="inlineStr">
        <is>
          <t>すると守備兵たちは高所を抑えられた恐怖から砦から逃げ去っていった。；すると、突然パーカーの部屋のドアが爆発を起こしたように破壊された。；すると、その壁からすすり泣きか悲鳴のような奇妙な声が聞こえてきた。；すると悪魔は持っているだけの金を出すが靴一杯にはならなかった。；すると磐余彦からも同じものが示され天孫であることが明らかになった。；すると、空から紫の雲が降りてきて、その雲の中より一羽の鶴が現れた。；すると悪魔は像の方へ移ると考えられており、儀式の後に像が破壊された。；すると、激しい光を放った彼の携帯電話が小さな女の子に変化してしまった。；すると聞きなれた大統領の声が響きわたり、その姿が壇上にあらわれた。；すると、プログラムは要求を行った時点から処理を再開させることができる。；するとこの航空機は気圧が一定である面を飛行していることになる。；すると、ロボットは進化し革命を起こすとの新たなメッセージが告げられる。；すると、北から鳥の群れが飛んできて、蝗を食べ尽くしてしまいました。；するとどこからともなく銃声が聞こえ、英理が地面に倒れこんでしまう。；するとその鳥はまた群れに戻って旅を続けていったのである。；するとこの場合、パターンごとに配置数Wに変化が現れる事がわかる。；するとドアを開けて入ってきたのは本物のバンドのメンバー。；すると、いきなり列の先頭にいる見知らぬ男の子に大声で呼ばれてしまう。；すると、2つの方向からこの気流が流れてきてぶつかる地域が出現する。；するともう一方の部屋にいる人には出入口の所で音が鳴ったように聞こえる。；するとハレー彗星は1000万年近く存在していることが見積もられた。；すると他のみんなも自分の名前をつけるべきだといい始め、争いになってしまう。；するとデジアップと呼ばれる光ったデジタマのようなアイテムが出てくる。；するとその教授は "B-" の評価をつけてレポートを返したという。；するとすぐに日光が降り注ぎ、再び昼と夜が分かれたということである。；すると演奏中の画面が再びいっぱいに戻るが、完奏扱いにはならなかった。；すると自ら徒歩で彼らのもとへ趣き、両者と語り合って大いに満足した。；すると、侍女を連れた二十歳ばかりの女がやはり雨宿りに入ってきた。；すると今度は捜査妨害の為にCTUに神経ガスを散布される事件が発生。</t>
        </is>
      </c>
      <c r="J4459">
        <f>HYPERLINK("https://www.weblio.jp/content/すると", "词义详情")</f>
        <v/>
      </c>
      <c r="K4459">
        <f>HYPERLINK("https://yourei.jp/すると", "查看例句")</f>
        <v/>
      </c>
    </row>
    <row r="4460">
      <c r="A4460" t="inlineStr">
        <is>
          <t>鋭い</t>
        </is>
      </c>
      <c r="B4460" t="inlineStr">
        <is>
          <t>成功</t>
        </is>
      </c>
      <c r="C4460" t="inlineStr">
        <is>
          <t>読み方：すすどい
［形］［文］すすど・し［ク］
１動作が機敏である。すばしこい。
「—・い馬かは知れませぬが優美な毛色ではありません」〈露伴・暴風裏花〉
２機をみるに敏である。するどく賢い。また転じて、言動に抜け目がない。わるがしこい。
「そう云やどこか眼の中に、—・い所があるようだ」〈芥川・鼠小僧次郎吉〉
「若年の時より—・く、無用の欲心なり」〈浮・胸算用・五〉</t>
        </is>
      </c>
      <c r="D4460" t="inlineStr">
        <is>
          <t>鋭い目(4%)；鋭い声(3%)；鋭い眼(3%)；鋭い音(3%)；鋭い視線(3%)</t>
        </is>
      </c>
      <c r="E4460" t="inlineStr">
        <is>
          <t>黄色い；敏感；神経質；険しい；尖った</t>
        </is>
      </c>
      <c r="F4460" t="inlineStr">
        <is>
          <t>鋭い観察；鋭い棘；鋭い男；鋭い感覚；鋭い悲鳴</t>
        </is>
      </c>
      <c r="H4460" t="n">
        <v>29</v>
      </c>
      <c r="I4460" t="inlineStr">
        <is>
          <t>声はそこでようやく鋭さを押し殺し、流れるような口調で語りはじめた。；社会的にも議論が起こり、それぞれの立場が鋭く対立することになった。；しかし、標準的な透かしよりもより鋭い縁取りで区別することができる。；人工張りは環境の変化に強い反面、高く鋭い音になりやすい特徴がある。；それでも我慢出来ていましたし、初めての左回りでも鋭く伸びています。；形状は一見すると裁縫用の針に似ているが、先端は鋭く尖ってはいない。；しかし、その瞳からは相手の肺腑をえぐるようなあの鋭さは消えていた。；そのうちで有名なのは彼の医学的観察が鋭かったことに関連している。；ダンの初期の詩はイングランドの社交界に鋭い批評を向けたものだった。；その推理法は鋭い直感力をもとにするものでブラウン神父の系統に近い。；彼の才能は豊かで思考は鋭く、その文体は独自性と美しさで特筆される。；下顎の内側は微細で鋭い歯に覆われており、しかし、上顎の歯は少ない。；鋭い鎌でどんな物も真っ二つにしてしまうがこんにゃくだけは切れない。；それははじめかすかではあったが鋭くとぎ澄された彼女の聴覚に触れた。；大変視力が鋭い人が25個もの星を肉眼で見たとする記録が残されている。；味覚が通常よりも格段に鋭い人のことをスーパーテイスターと呼ばれる。；この作品では、テキストを聴き取るには並外れて鋭い耳が必要になろう。；足に鋭い爪があり、それを引っ掛けて木の幹や枝の上を走ることができる。；彼の歯は儀式を兼ねた装飾として幼い頃に先が鋭く磨がれていたのである。；「いったい何のためにこんなことをするんだ」ガリオンの声は鋭かった。；「君は誰が犯人であるか、知っているのかね」 土居の言葉は鋭かった。；無視できない鋭さを持っており、正鵠を得ていて、一種の風格があった。；どの魚にも見ることのできないほどの鋭さ、いや頑丈さを持っている。；彼の詩には自然への愛と鋭い視点、ヒューマニズムへの深い思いがあった。；父はそれには別に何も言わなかったが、黙ったまま鋭く眼を光らした。；身は細長い銀色をしており、頭は比較的鋭く、口はやや上を向いている。；背中に巨大な一対の角や鋭い爪があるが特に目立った武器ではない。；その形はすすきの葉をきったように両側がカミソリの刃のように鋭かった。；彼は腰に下げた鋭剣を鞠から抜き放ち、天へ突き刺すようにして掲げた。</t>
        </is>
      </c>
      <c r="J4460">
        <f>HYPERLINK("https://www.weblio.jp/content/鋭い", "词义详情")</f>
        <v/>
      </c>
      <c r="K4460">
        <f>HYPERLINK("https://yourei.jp/鋭い", "查看例句")</f>
        <v/>
      </c>
    </row>
    <row r="4461">
      <c r="A4461" t="inlineStr">
        <is>
          <t>ずれ</t>
        </is>
      </c>
      <c r="B4461" t="inlineStr">
        <is>
          <t>成功</t>
        </is>
      </c>
      <c r="C4461" t="inlineStr">
        <is>
          <t>１位置・時期などが基準・標準から、少しはずれた状態にあること。「帯の—を直す」「印刷の—」
２考え方や感じ方などに少し隔たりがあること。食い違い。「意見の—を調整する」「感覚の—を生じる」
３物理学で、上面と下面が互いに逆方向の力を受けて、小さな傾きをもつようになる変形。</t>
        </is>
      </c>
      <c r="D4461" t="inlineStr">
        <is>
          <t>ずれてしまう；ずれていく；ずれてる；ずれていれ；ずれ落ち</t>
        </is>
      </c>
      <c r="E4461" t="inlineStr">
        <is>
          <t>違い；差；相違；開き；違</t>
        </is>
      </c>
      <c r="F4461" t="inlineStr">
        <is>
          <t>少しずれ；手ずれ；世間ずれ；訪ずれ；大きくずれ</t>
        </is>
      </c>
      <c r="G4461" t="inlineStr">
        <is>
          <t>ずれ込ん；ずれ込む；ずれ込み；ずれこん；ずれこみ</t>
        </is>
      </c>
      <c r="H4461" t="n">
        <v>29</v>
      </c>
      <c r="I4461" t="inlineStr">
        <is>
          <t>このため車内の大部分で通路は車体中心線からずれた配置となっている。；車端部やドア間の一部の座席は窓との位置がずれている箇所もある。；一般には、実際に建設された距離である建設キロとは若干のずれが生じる。；これは地面の揺れと建物の揺れに若干のずれがある事が原因である。；破壊が始まった一点が震源であり、破壊されてずれた部分が断層となる。；下りは15分等間隔で運転されているが、上りは少しずれが生じている。；そのため、理論値と実験値とのずれは解消されたとはいえなかった。；古いものほど地震を多数回経験しているため、大きくずれているためである。；次は北に末無横丁、南では少し西にずれたところから南光院横丁が出た。；その一部も毎回少しずつ場所がずれていき、やがて食を起こさなくなる。；そこでは東西方向の断層の右ずれに伴って南北方向の圧縮応力が発生する。；伊那谷を少し東にずれた伊那山地と赤石山脈の間を南西に向かって走る。；その際に時間がずれ、最初に送られた時間の直後に送り込まれる事になった。；あと数センチ破裂箇所がずれていたら、命が危うかった可能性もあった。；西側が1番線、東側が2番線となっており、2番線が北側にずれている。；その後内部が固化し、現在の静水圧平衡からはややずれた形状になった。；何らかの面と面が接触しているのに両者の位置関係にいくらかずれが生じること。；そのため、慶流橋以北の神宮道は南北軸から西にずれて建設されている。；この付近より、上下線の位置が反対方向と比較して多少左側にずれてくる。；これによりコードの実装が表明とずれてしまった場合を早期に検出する。；見かけ上の時刻のずれは、実用性によって動機づけられたものでもある。；これにより金堂の位置は東西両塔の中心線より東にずれていることが分かった。；空き地前から中興部側へ少しずれた位置に不明瞭ながらホームが見える。；後に物理学科から彼女の並はずれた業績を讃えた同窓会賞が授与された。；また、イギリスでの意味・用法からずれ、発展していった言葉もある。；文字になった民族語は現実の言語とのずれがあったものの、言語の定着へとつながった。；彼は周囲が見えなくなるほどの人並みはずれた妄想力を持っていた。；量論比からのずれが大きすぎると分子量は小さすぎるものとなってしまう。；また、車体側面の車両番号の表記位置がやや上の位置にずれている。</t>
        </is>
      </c>
      <c r="J4461">
        <f>HYPERLINK("https://www.weblio.jp/content/ずれ", "词义详情")</f>
        <v/>
      </c>
      <c r="K4461">
        <f>HYPERLINK("https://yourei.jp/ずれ", "查看例句")</f>
        <v/>
      </c>
    </row>
    <row r="4462">
      <c r="A4462" t="inlineStr">
        <is>
          <t>擦れ擦れ</t>
        </is>
      </c>
      <c r="B4462" t="inlineStr">
        <is>
          <t>成功</t>
        </is>
      </c>
      <c r="C4462" t="inlineStr">
        <is>
          <t>読み方：すれすれ
［名・形動］
１触れそうになるくらい近づいていること。また、そのさま。「床—の高さまで、水がきた」「水面—に飛ぶ鳥」
２限界をもう少しで越えそうなこと。また、そのさま。「発車時間に—で間に合う」「合格点—だ」
３人がいがみ合うさま。
「二人の間柄が—になると、細君の心は段々生家(さと)の方へ傾いて行った」〈漱石・道草〉</t>
        </is>
      </c>
      <c r="H4462" t="n">
        <v>21</v>
      </c>
      <c r="I4462" t="inlineStr">
        <is>
          <t>すると足が土と擦れ擦れになるまで車が濘海に沈んで来た。；仮橋は低くて水と擦れ擦れでしたから、子供心にはその方を渡るのが面白かつたのでした。；とうとう濠端の道を十五米突も行かないうちに、二人は擦れ擦れになり出した。；胴中の縄が弛んで、天窓が地へ擦れ擦れに、倒になっておりますそうな。；影の頭と女の踵とは見る見るうちに擦れ擦れになる。；三つ鱗の周囲に擦れ擦れの大きさに円を描く。；それでもしばらくの間はぴしゃりぴしゃりが自分の袖と擦れ擦れくらいになって、登って来たが、今じゃもう自分の近所には影さえなくなった。；その匂は、ほとんど彼を窒息させんばかりにAの身辺に迫って来て、女は彼とさし向いに、顔を擦れ擦れにして立っているのである。；そのかかりの前へ出掛けて行って、そうしてかかりと擦れ擦れに鉤を打込む、それがかかり前の釣といいます。；婿に定められようとしたその男の、両親たちなどとの間の、擦れ擦れになった感情が衝突して、お今の上京後一人で東京へ逃げ出して来たという事実が、じきにお今にあててよこした、その男の手紙で知れた。；いつもは岸に擦れ擦れになって湖水の水が湛えているのに、今は一丈余の断崖となって森林を背負って立っている。；広くもあらぬ部屋ではあるし、麻の帳で仕切られているので、二つの蓐が殆ど擦れ擦れに敷いてある。；和土の廊下が地面と擦れ擦れに五六間続いている突き当りに、診察室と云う札が懸って、手前の右手に控所と書いてある。；いつもは西から東へ行く三田と、東から西へ來る娘とが、双方左側の端を通るのであつたが、片側通行止の御蔭で、擦れ擦れに擦れ違ふ事になつた。；「何を買ってるの」後から覗き込むようにして訊いたお延の顔と、驚ろいてふり返った継子の顔とが、ほとんど擦れ擦れになって、微笑み合った。；淡の輪がよいの船であろう、「紀淡丸」と記した汽船が桟橋を離れて行くのだが、四五百噸にも足らないほどの船体がぐるりと船首を向き変えるとき、入り江の岸が船尾と擦れ擦れになるくらいにもそこの港は小さいのである。；が、自分の髪を入髪なしに解ほぐして、その緋の袴と擦れ擦れに丈に余るってのは、あの婦ばかりだと云ったもんです。；また、もしトゥーンの水を渡るならば、外輪の船が、ゆるやかなカナールの水を切って、まっすぐに東へ、ある時は、岸の若葉と船べりが擦れ擦れになるくらいになるあたりで、水に近く植えたポプラの並木の枝ごしに、赤瓦の屋根が、時々左のはずれに見えたのを覚えているだろう。；そのすぐ後方から、一梃の駕が 「頼ん」 と、声をかけて、崖っぷちを、擦れ擦れに追い抜こうとした。；米屋の縄暖簾を擦れ擦れに消える蒼い女房、矢絣の膝ばかりで掻巻の上から圧す、顔の見えない番町のお嬢さん。；欄干下の廂と擦れ擦れな戸外に、蒼白い瓦斯が一基、大門口から仲の町にずらりと並んだ中の、一番末の街燈がある。</t>
        </is>
      </c>
      <c r="J4462">
        <f>HYPERLINK("https://www.weblio.jp/content/擦れ擦れ", "词义详情")</f>
        <v/>
      </c>
      <c r="K4462">
        <f>HYPERLINK("https://yourei.jp/擦れ擦れ", "查看例句")</f>
        <v/>
      </c>
    </row>
    <row r="4463">
      <c r="A4463" t="inlineStr">
        <is>
          <t>擦れ違い</t>
        </is>
      </c>
      <c r="B4463" t="inlineStr">
        <is>
          <t>成功</t>
        </is>
      </c>
      <c r="C4463" t="inlineStr">
        <is>
          <t>読み方：すれちがい
１触れ合うほど近くを反対方向に通りすぎること。「—に呼びとめられる」
２時間や位置などがずれて、会えるはずが会えないこと。「共働きで—の夫婦」
３議論などで、論点がかみあわないこと。「会談は—に終始した」</t>
        </is>
      </c>
      <c r="H4463" t="n">
        <v>29</v>
      </c>
      <c r="I4463" t="inlineStr">
        <is>
          <t>注目を集めている、擦れ違う男たちを一瞬で勃起させるような女の子と。；ぼくとかれらはお互いに道の端に寄って、離れて擦れ違ったのである。；通りなどで彼女と擦れ違ったり歩いているのを見かけたりはしたであろう。；そして何気なく擦れ違おうとすると、何か自分の手に触れる物を感じた。；それで、擦れ違うひとが不思議そうな顔をして俺をながめてたのか。；まっすぐに前を見つめて、地下鉄の駅へと向かう会社員たちと擦れ違う。；もはや擦れ違うのがやっとという道幅になったところで前方に橋があった。；然しとにかく一人きりの所に人と会うのは擦れ違いにしろ嬉しかった。；ここまで誰とも擦れ違うことなく自転車を転がしてきた僕の正面に、不意に。；時おり思い出したように人が擦れ違ったが、知らない顔ばかりだった。；今そこでピザ屋のバイクと擦れ違ったから、もしかしたらと思ったんだ。；しかし僧は最初に擦れ違った時と同じような歩幅の同じような歩き方で近づいて来た。；すると擦れ違ったその人も、どうやらこっちを見たようであった。；社に戻るのが遅れたがために玉置と完全に擦れ違ってしまった。；ええ、もしかすると既に何処かで擦れ違っているやもしれませんね。；静香にしても、道で擦れ違えば男性が振り返るような魅力的な女性だ。；途中、散歩の老人集団と擦れ違ったので何食わぬ顔をして林に逃げ込んだ。；そこに居る人たちは空気みたいで、擦れ違っても気にならない。；何度となく、こっちへ来る人々と擦れ違いながら、ぼくは足を動かしつづけた。；エルベの流れの上で二隻の大型船が擦れ違いつつ汽笛を鳴らし合った。；彼は擦れ違うために、少しでも速力を加減することを、肯んじなかった。；私の頭脳の中には柏の下宿の入口で擦れ違った仏蘭西人の顔が浮んでいた。；目礼して擦れ違おうとしたとき、女が檜山さまと呼んで頭巾をとった。；としたならその相手と廊下で擦れ違わなくちゃならねえ。；彼等と擦れ違いに、時計屋が洞穴のように糜れた眼玉を窪ませて帰って来た。；その翌日だったか翌々日だったか、学校の帰りに偶然錦子さんと擦れ違った。；それと擦れ違いに、お茶を盆に載せた家政婦が慌てふためいて入ってきた。；擦れ違った小さな女の子が、不思議そうな顔でハルユキを見上げた。；だけど、いつからか、なにかが少しずつ擦れ違って、狂ってしまったのだ。</t>
        </is>
      </c>
      <c r="J4463">
        <f>HYPERLINK("https://www.weblio.jp/content/擦れ違い", "词义详情")</f>
        <v/>
      </c>
      <c r="K4463">
        <f>HYPERLINK("https://yourei.jp/擦れ違い", "查看例句")</f>
        <v/>
      </c>
    </row>
    <row r="4464">
      <c r="A4464" t="inlineStr">
        <is>
          <t>擦れ違う</t>
        </is>
      </c>
      <c r="B4464" t="inlineStr">
        <is>
          <t>成功</t>
        </is>
      </c>
      <c r="C4464" t="inlineStr">
        <is>
          <t>読み方：すれちがう
［動ワ五（ハ四）］
１触れ合うほど近くを反対方向に通りすぎる。「列車が—・う」
２時間や位置などがずれて、会えるはずが会えないままになる。「彼とは—・ってばかりいる」
３議論などで、論点がかみあわない状態になる。「話が—・って結論が出ない」</t>
        </is>
      </c>
      <c r="H4464" t="n">
        <v>29</v>
      </c>
      <c r="I4464" t="inlineStr">
        <is>
          <t>注目を集めている、擦れ違う男たちを一瞬で勃起させるような女の子と。；ぼくとかれらはお互いに道の端に寄って、離れて擦れ違ったのである。；通りなどで彼女と擦れ違ったり歩いているのを見かけたりはしたであろう。；そして何気なく擦れ違おうとすると、何か自分の手に触れる物を感じた。；それで、擦れ違うひとが不思議そうな顔をして俺をながめてたのか。；まっすぐに前を見つめて、地下鉄の駅へと向かう会社員たちと擦れ違う。；もはや擦れ違うのがやっとという道幅になったところで前方に橋があった。；然しとにかく一人きりの所に人と会うのは擦れ違いにしろ嬉しかった。；ここまで誰とも擦れ違うことなく自転車を転がしてきた僕の正面に、不意に。；時おり思い出したように人が擦れ違ったが、知らない顔ばかりだった。；今そこでピザ屋のバイクと擦れ違ったから、もしかしたらと思ったんだ。；しかし僧は最初に擦れ違った時と同じような歩幅の同じような歩き方で近づいて来た。；すると擦れ違ったその人も、どうやらこっちを見たようであった。；社に戻るのが遅れたがために玉置と完全に擦れ違ってしまった。；ええ、もしかすると既に何処かで擦れ違っているやもしれませんね。；静香にしても、道で擦れ違えば男性が振り返るような魅力的な女性だ。；途中、散歩の老人集団と擦れ違ったので何食わぬ顔をして林に逃げ込んだ。；そこに居る人たちは空気みたいで、擦れ違っても気にならない。；何度となく、こっちへ来る人々と擦れ違いながら、ぼくは足を動かしつづけた。；エルベの流れの上で二隻の大型船が擦れ違いつつ汽笛を鳴らし合った。；彼は擦れ違うために、少しでも速力を加減することを、肯んじなかった。；私の頭脳の中には柏の下宿の入口で擦れ違った仏蘭西人の顔が浮んでいた。；目礼して擦れ違おうとしたとき、女が檜山さまと呼んで頭巾をとった。；としたならその相手と廊下で擦れ違わなくちゃならねえ。；彼等と擦れ違いに、時計屋が洞穴のように糜れた眼玉を窪ませて帰って来た。；その翌日だったか翌々日だったか、学校の帰りに偶然錦子さんと擦れ違った。；それと擦れ違いに、お茶を盆に載せた家政婦が慌てふためいて入ってきた。；擦れ違った小さな女の子が、不思議そうな顔でハルユキを見上げた。；だけど、いつからか、なにかが少しずつ擦れ違って、狂ってしまったのだ。</t>
        </is>
      </c>
      <c r="J4464">
        <f>HYPERLINK("https://www.weblio.jp/content/擦れ違う", "词义详情")</f>
        <v/>
      </c>
      <c r="K4464">
        <f>HYPERLINK("https://yourei.jp/擦れ違う", "查看例句")</f>
        <v/>
      </c>
    </row>
    <row r="4465">
      <c r="A4465" t="inlineStr">
        <is>
          <t>擦れる</t>
        </is>
      </c>
      <c r="B4465" t="inlineStr">
        <is>
          <t>成功</t>
        </is>
      </c>
      <c r="C4465" t="inlineStr">
        <is>
          <t>読み方：かすれる
［動ラ下一］［文］かす・る［ラ下二］
１墨・インクなどが十分に付かないで、文字の線や描いた一部分が消え消えになったり切れたりする。「字が—・れる」
２声がよく出ないでしわがれる。「声が—・れる」
３軽く触れてさっと通り過ぎる。「レコード針の—・れる音」</t>
        </is>
      </c>
      <c r="D4465" t="inlineStr">
        <is>
          <t>擦れるような音(3%)</t>
        </is>
      </c>
      <c r="E4465" t="inlineStr">
        <is>
          <t>摩擦；摩耗；擦る；磨耗；摺る</t>
        </is>
      </c>
      <c r="H4465" t="n">
        <v>29</v>
      </c>
      <c r="I4465" t="inlineStr">
        <is>
          <t>喉は空気の擦れる乾いた音を立てるばかりで、 言葉になってくれない。；金属の擦れる音が室内に響き、光の中に一人の男の顔が浮び上った。；焔が燃えあがるまえの擦れる音が、意味のある言葉のように聞こえた。；自分の靴が土と擦れる音ははっきりと聞こえているのだ。；そのうち彼女の坐っている見当で女帯の擦れる音がした。；わたしはすでに、屋根の反対側のスレートの上にだれかの靴の擦れる音を聞いていた。；ナイフの金属部分が革と擦れる、キュッという感触が手に伝わって来た。；棍と左手の皮が擦れる乾いた音に、分厚い肉を勢いよく叩く音が被さる。；その音は最初サワサワと着物が擦れるような音だったが、その内に人の歩くような音になってきた。；そんな顔をさせてしまう自分が情けなくて、胸の奥が擦れるようにひりひりした。；私が顔を近づけると、わずかに壁に影が動き、藁の擦れる音がする。；油の切れた車輪とレールが金属の擦れる音をたてて、戸は横に滑る。；パタパタ、ってスリッパが床と擦れる音が廊下をあたしたちと共有し出す。；廊下の板にごくかすかに物の擦れる音だった。；道が下っているのか、足の先が靴底で擦れる感覚があった。；胸の奥が擦れるような気持ちで、ぼくは口を開いた。；しばらくすると、こんどは広廊のほうで、床に靴底の擦れる特徴のある音がした。；腹が地面に擦れると、そのまま軽やかにバウンドするかもと一瞬期待してしまった。；幾つもの扉が擦れるようにして開く音が狭い通路に狂おしく響く。；竹林に入ると、さらさらと葉の擦れる音が不安を掻き立てるように響いた。；けれどぼくは、胸の奥が擦れるような後ろめたさを感じ、ぽつりとつぶやいた。；ならば殷雷は使用する者の髪も、自由に擦れるのではないか?；その熱さと擦れるようなむず痒さが合わさって、真は読書に集中できないでいる。；会話が弾み、お皿の擦れる音に続き、シャンパンの栓がぽんとはじけた。；石の卓に布が擦れる音がしたあと、三人が聖所に入ってきたのとは反対方向になる、柱と石碑のあいだに移動するのが見えた。；夜具の裾のあたりに由紀は背を向けて立ち、絹の擦れる音をたてて帯を解く。；すると今度は周辺の茂みからガサリという葉の擦れる微かな音が聞こえてきた。；と何かが擦れるような音が聞こえた。；部屋の中から炎の揺らめきに似た赤い光が漏れ出し、鎖の擦れる力強い音が聞こえてきた。</t>
        </is>
      </c>
      <c r="J4465">
        <f>HYPERLINK("https://www.weblio.jp/content/擦れる", "词义详情")</f>
        <v/>
      </c>
      <c r="K4465">
        <f>HYPERLINK("https://yourei.jp/擦れる", "查看例句")</f>
        <v/>
      </c>
    </row>
    <row r="4466">
      <c r="A4466" t="inlineStr">
        <is>
          <t>ずれる</t>
        </is>
      </c>
      <c r="B4466" t="inlineStr">
        <is>
          <t>成功</t>
        </is>
      </c>
      <c r="C4466" t="inlineStr">
        <is>
          <t>［動ラ下一］［文］ず・る［ラ下二］
１元あったところから、少しすべり動いて移る。あるべき位置から少し動いたり、基準の位置に合わない状態になる。「背骨が—・れる」「印刷が—・れる」
２標準や基準から少しはずれる。また、考え方などに隔たりができて食い違う。「雨で開始の時間が—・れる」「ピントの—・れた発言」「時代感覚が—・れている」</t>
        </is>
      </c>
      <c r="D4466" t="inlineStr">
        <is>
          <t>ずれる形で選挙</t>
        </is>
      </c>
      <c r="E4466" t="inlineStr">
        <is>
          <t>逸脱；身じろぎ；食い違う；逸れる；身動ぎ</t>
        </is>
      </c>
      <c r="F4466" t="inlineStr">
        <is>
          <t>少しずれる；大きくずれる；多少ずれる；半年ずれる；程度ずれる</t>
        </is>
      </c>
      <c r="H4466" t="n">
        <v>29</v>
      </c>
      <c r="I4466" t="inlineStr">
        <is>
          <t>肛門が左にずれる原因や機能については、ほとんど何もわかっていない。；嘴が左右にずれると、いままで閉じていた口が現われ、男を呑み込んだ。；列車の運行開始や終了などは改正日から数日ずれることもある。；一旦巻かれた後で剥がされると書かれたものもずれるのですぐに発覚する。；上の石はゆっくりと下の石からずれると一瞬ゆれて下に落ちた。；正直なところ、ここまで、反応の角度がずれるとは思わなかったのだ。；極運動は地球上の任意の場所の地理学的位置が数メートルずれる原因となる。；だがドニはひょいと何気なく横にずれるだけで、この剣に空を突かせた。；ジェヴェックスは背景の星がずれることを知らなかったはずだよ。；森岡のように帰国子女生徒の学年が2学年ずれるのは非常に稀であった。；時間流のなかで少し横へずれると、別の可能性があらわれた。；少しでも理想からずれれば、裏切られたと感じてしまうものだから。；鋼鉄を身につけたビビアンの胴体を、女一人の力で引きずれるものか。；そのため地盤が傾斜したり右にずれる断層帯として地表に変化を表した。；このほか、季節現象の時期が大きくずれることも異常気象の1つである。；それと、アニメが固定的に表現するイメージがずれる可能性が怖いと。；振動が機体に伝わって、照準がずれるのではないかと心配になった。；もし、落ちた時の衝撃でシートがずれたとすれば、逆に前のほうへずれるよ。；このように、通常は在学期間が修業年限と大幅にずれることは少ない。；左手で使うにはいいが、右だとちょっとずれるんだそうだ。；グラコンポと同じく長年の使用でもブランクスの中心軸がずれることがない。；標準的な前提が適用できないようなレベルであれば、実際の軌道は計算したものからずれることになる。；南の空のある一線を越えると、星の軌道が計算上の軌道と必ずずれるようになる。；戸棚の奥の羽目板の壁自体が横にずれるようになっているのだ。；その一点から少しでも左右にずれると、右の音が強くなり歌手は左右どちらかのステージへ寄ってしまう。；地下で暮らすと美的感覚はこうも一般とずれるものなのだろうか。；この方法は、計算値と実際のロボットの挙動が徐々にずれるためにうまくいかない。；戸がすこしでもずれれば、内鍵の桟はうまく穴に落ちないのだ。；自分が身につけているものが、布一枚であることを斟酌せずに動くので、布がずれる。</t>
        </is>
      </c>
      <c r="J4466">
        <f>HYPERLINK("https://www.weblio.jp/content/ずれる", "词义详情")</f>
        <v/>
      </c>
      <c r="K4466">
        <f>HYPERLINK("https://yourei.jp/ずれる", "查看例句")</f>
        <v/>
      </c>
    </row>
    <row r="4467">
      <c r="A4467" t="inlineStr">
        <is>
          <t>座る</t>
        </is>
      </c>
      <c r="B4467" t="inlineStr">
        <is>
          <t>成功</t>
        </is>
      </c>
      <c r="C4467" t="inlineStr">
        <is>
          <t>読み方：すわる
［動ラ五（四）］《「据わる」と同語源》
１ひざを折り曲げて、物の上に腰を下ろす。「畳に—・る」「上座に—・る」
２ある地位・役に就く。「学長の椅子に—・る」「後釜(あとがま)に—・る」
[可能]すわれる</t>
        </is>
      </c>
      <c r="D4467" t="inlineStr">
        <is>
          <t>座るべき；座るよう促し；座るよう勧め；座るよう指示；座る男たち</t>
        </is>
      </c>
      <c r="E4467" t="inlineStr">
        <is>
          <t>掛ける；坐る；着席；腰を下ろす；着座</t>
        </is>
      </c>
      <c r="F4467" t="inlineStr">
        <is>
          <t>向かい合って座る</t>
        </is>
      </c>
      <c r="H4467" t="n">
        <v>29</v>
      </c>
      <c r="I4467" t="inlineStr">
        <is>
          <t>そこで彼女は子供たちを周りに座らせて自分が誰かを説明しようとした。；とにかくだな、誰の隣に座って も角が立つから俺は誰の隣にも座らん。；彼女は話すことも座ることも、体の動きを調整することもできなかった。；まるで負ける姿が見たくてそこに婦人を座らせているとでもいうように。；場所が狭いとはいえ、こんな近くに座られるとますます緊張してしまう。；演奏する際には、立って行う場合と椅子などに座って行う場合がある。；僕は体を起こすと、明乃をベッドの壁側にもたれさせるように座らせた。；私たちは、王妃が座るべき場所に 夫人が座っているのを見たのである。；私たちは、王妃が座るべき場所に 夫人が座っているのを見たのである。；床に座らされた数人の男女は明らかに異獣の支配を受けているとわかる。；長椅子よりは鏡の前の椅子の方がいいと判断して私を座らせただけなのだ。；二人に並んで座らなくていいのかと確認したが、これでいいのだそうだ。；ちょうどいいので彼女をそこに座らせ、近くにあった自販機の前に立つ。；彼女はピアノの前に座ると、リストの霊が現れてくるのを待っていた。；そして、鏡の前に座らせ、長い時間をかけてわたしの顔にお化粧をした。；最初の頃は身体を起こして座ることもできたし、しっかりと会話もできた。；椅子に座るモデルの膝から上の部分が、画面の中心に大きく描かれている。；お前に罪をなすりつければ、私たちはここに座る事も無かっただろうな。；男は桜田を助け起こし、指揮台の前の椅子に座らせると車を出ていった。；座っているシーンやソファーで横になっているシーンを増やして対応した。；カフェの中の同時刻にそれぞれのテーブルに座る客のエピソードを綴る。；僕はベッドの端に座らせてもらい、そこでようやく全身の力を抜いた。；また、本サービスは名称どおり助手席に座っている同乗者が対象である。；舞台は観客のいる場所までのびており、観客は舞台を囲んで三面に座る。；後から登場したゲストの場合若干チープな椅子に座らすこともあった。；客は中央の焚き火と他の客の間を通らずに、座っている人の後ろ側を通る。；そのとき少女が店に入り、新聞を見ていた五人とは別の客の向かいに座った。；床に座って食事をする場合、片膝立座で座るのが朝鮮の正式座法である。；床に座って食事をする場合、片膝立座で座るのが朝鮮の正式座法である。</t>
        </is>
      </c>
      <c r="J4467">
        <f>HYPERLINK("https://www.weblio.jp/content/座る", "词义详情")</f>
        <v/>
      </c>
      <c r="K4467">
        <f>HYPERLINK("https://yourei.jp/座る", "查看例句")</f>
        <v/>
      </c>
    </row>
    <row r="4468">
      <c r="A4468" t="inlineStr">
        <is>
          <t>すんなり</t>
        </is>
      </c>
      <c r="B4468" t="inlineStr">
        <is>
          <t>成功</t>
        </is>
      </c>
      <c r="C4468" t="inlineStr">
        <is>
          <t>［副］(スル)
１しなやかでほっそりしているさま。「—（と）した手足」
２物事が滞ることなく、なめらかに進むさま。「交渉は—（と）妥結した」</t>
        </is>
      </c>
      <c r="D4468" t="inlineStr">
        <is>
          <t>すんなりと伸び(2%)；すんなりと受け入れ；すんなり受け入れられ；すんなりと納得；すんなりと開い</t>
        </is>
      </c>
      <c r="E4468" t="inlineStr">
        <is>
          <t>簡単に；容易に；あっさり；難なく；するする</t>
        </is>
      </c>
      <c r="F4468" t="inlineStr">
        <is>
          <t>比較的すんなり；意外とすんなり；そのまますんなり；案外すんなり；すんなり通る</t>
        </is>
      </c>
      <c r="H4468" t="n">
        <v>29</v>
      </c>
      <c r="I4468" t="inlineStr">
        <is>
          <t>僕らはお互いのすべてを無言のうちにすんなりと受け入れたことだろう。；そこに入学すれば上智大学まですんなりと進学できることになっていた。；見えるのは膝から下だけだが、すんなりとしたかっこうのよい脚である。；思いがけず薬がすんなりと手に入ったことで、少し気分が高揚していた。；こうして会話がすんなりと出てこないのも、仕方のないところだった。；泉さまの脇を抜けてほうに近寄り、そのすんなりとした手を肩に乗せた。；しかし、この合併は他の多くの自治体同様すんなりと行われたわけではない。；だが、すんなりと決まったのは、このどうでもいいような一点だけだった。；あまりすんなりと手にはいるような女は、すぐにあきられてしまうからな。；一言にいえば、だんだんおだやかな、すんなりした気分になれたようだ。；そもそも僕には、キリスト教ってもんがすんなり心に入ってこないんだね。；私も君がこれをすんなり受け取ってくれるとは思っていないよ。；すると、ちゃんと伝わっていたらしく、すんなりと中に入れてもらえた。；けれども、この木戸は、すんなりとあけられない理由も充分にあります。；Macを使用した事のある人なら、言葉の壁なくすんなり使いこなせる。；そのことを改めて思い出してみれば、すんなりと問題を解くことができた。；いきなり読んで誰の胸にもすんなり入ってくるという歌ではないかもしれない。；彼がすんなりと家族の元へ戻ってくれなければ、それこそ困ることになったのだ。；強化はすんなりと成功し、ついでだから、ともう一本椅子の足を頂戴した。；背の高い、すんなりしたブルネットで、ぴちぴちしたからだをしていた。；自分でも驚くほど、私は河見との生活にすんなりと入っていくことができた。；彼等の歌の間に他の客が入れた曲もあるので、そうすんなりとは順番が来ない。；電話一本で呼びつけたところで、すんなりと出頭せんのではにやぁがね?；宝塚にすんなりと入った千花と自分とをあまり比べたことはなかった。；すんなりと這入って来る者もあれば、不器用に這入って来る者もあった。；日にやけた細い首の上に、きゃしゃな頭がすんなりと上品にのっていた。；しかし殺人遂行後の犯人が現場の近くで車をすんなり拾うとは考えられない。；自分が生まれる前に見た景色だということはすんなり受け入れられた。；しかし、すんなり信じてしまうには、あまりに問題の多い発言である。</t>
        </is>
      </c>
      <c r="J4468">
        <f>HYPERLINK("https://www.weblio.jp/content/すんなり", "词义详情")</f>
        <v/>
      </c>
      <c r="K4468">
        <f>HYPERLINK("https://yourei.jp/すんなり", "查看例句")</f>
        <v/>
      </c>
    </row>
    <row r="4469">
      <c r="A4469" t="inlineStr">
        <is>
          <t>寸法</t>
        </is>
      </c>
      <c r="B4469" t="inlineStr">
        <is>
          <t>成功</t>
        </is>
      </c>
      <c r="C4469" t="inlineStr">
        <is>
          <t>読み方：すんぽう
１基準となる長さ。また、物の長さ。「—をはかる」「—を取る」
２判断などの基準となるもの。尺度。
「（嫁ニ）可(ゆこう)か否(ゆくまい)かは風邪気の時に浴(ゆ)の分別をするとは大きに—が違えば」〈紅葉・二人女房〉
３段取り。もくろみ。計画。「費用は向こうもちという—だ」「万事—どおりに運んだ」</t>
        </is>
      </c>
      <c r="D4469" t="inlineStr">
        <is>
          <t>寸法精度；寸法等；寸法通り；寸法規格；寸法拡大</t>
        </is>
      </c>
      <c r="E4469" t="inlineStr">
        <is>
          <t>量；大きさ；数量；量目；ディメンション</t>
        </is>
      </c>
      <c r="F4469" t="inlineStr">
        <is>
          <t>同じ寸法；天地寸法；上下寸法；各部寸法；基本寸法</t>
        </is>
      </c>
      <c r="H4469" t="n">
        <v>29</v>
      </c>
      <c r="I4469" t="inlineStr">
        <is>
          <t>車体を新製したにもかかわらず窓の上下寸法が電車のものに準拠している。；たとえば、日本で建築用に使われているものには以下のような寸法がある。；その他、本系列では運転室の前後寸法が拡大され、居住性が改善された。；日本語用TeXでも級や歯で文字の寸法などを指定することができる。；船の基本寸法が若干拡大されており、総トン数は1割強拡大されている。；クロハ882形は中央に客用扉が設置されているため縦長の寸法である。；この機械による生産の結果、締め具の寸法が標準化されることになった。；おまえがつくるべき舟は、その寸法をきめられたとおりにせねばならぬ。；基本性能や機器類・車体寸法に大きな変更はないが、以下の点で変更がある。；この場合、方三間の間が寸法の間と間違われやすいので注意が必要である。；このため両車は同一形式でありながら寸法が大きく異なっていた。；サイズ表記が同じでも、銘柄が違えば寸法データは多少違う場合がある。；この畳の寸法にはいろいろなものがあり、差が生じる原因は2つある。；メーカーの異なるテキ20を含め、ほぼ同様の形状・寸法となっている。；代表的な浴室関連の設備ユニットの寸法は次表に示すとおり多岐にわたる。；エンジン寸法は大きく変化し、また新型シャシーの開発も必要になった。；第5部の射撃シーンでは実物に近い形の物が登場するが、寸法は大きい。；客用ドアが1000形と同じものに変更され、窓の天地寸法が拡大された。；窓寸法も300形にあわせて拡大されたが、客用扉は片開きとされた。；これは発注時に、日常的な単位で寸法を指示したからだと思われる。；また畳の普及も商品流通の必要から、必然的に規格寸法化されていた。；なお本人たちはこの行動のため事前に寸法を綿密に計算している。；寸法は実物大だが、製作されたのはガウォーク形態の上半身に限られる。；窓配置は1700形と同様であるものの、側面・扉の窓寸法は拡大されている。；どちらも寸法に変化はなくダービーが運用できる機体なら問題なく使用できる。；号数の多くは身長に応じた体格から平均的に算出した寸法で生産されている。；側窓は製造当初1段下降式を採用し、開口寸法は200mとなっている。；各項目の末尾の括弧書きはそれぞれのJISが定める最大の寸法である。；シャフトの寸法は、メーカーごとにその規格が統一されていることが多い。</t>
        </is>
      </c>
      <c r="J4469">
        <f>HYPERLINK("https://www.weblio.jp/content/寸法", "词义详情")</f>
        <v/>
      </c>
      <c r="K4469">
        <f>HYPERLINK("https://yourei.jp/寸法", "查看例句")</f>
        <v/>
      </c>
    </row>
    <row r="4470">
      <c r="A4470" t="inlineStr">
        <is>
          <t>背</t>
        </is>
      </c>
      <c r="B4470" t="inlineStr">
        <is>
          <t>成功</t>
        </is>
      </c>
      <c r="C4470" t="inlineStr">
        <is>
          <t>読み方：せ
１女が男を親しんでいう語。主として夫・恋人をさす。⇔妹(いも)。
「信濃道(しなぬぢ)は今の墾(は)り道刈りばねに足踏ましむな沓(くつ)はけ我が—」〈万・三三九九〉
２女の側から兄または弟をよぶ語。⇔妹。
「人ならば母が愛子(まなご)そあさもよし紀の川の辺の妹と—の山」〈万・一二〇九〉</t>
        </is>
      </c>
      <c r="D4470" t="inlineStr">
        <is>
          <t>背甲(2%)；背側；背box；背腹；背恰好</t>
        </is>
      </c>
      <c r="E4470" t="inlineStr">
        <is>
          <t>後；直後；裏；背中；後ろ</t>
        </is>
      </c>
      <c r="F4470" t="inlineStr">
        <is>
          <t>三方背；胸背；すらりと背；一番背；痩せて背</t>
        </is>
      </c>
      <c r="G4470" t="inlineStr">
        <is>
          <t>背後；背景；背筋；背面；背広</t>
        </is>
      </c>
      <c r="H4470" t="n">
        <v>29</v>
      </c>
      <c r="I4470" t="inlineStr">
        <is>
          <t>以前は背バンドが入っていたが、現在は入っていないのが主流である。；例えば、背が高い人は、彼よりも背が低い人がいなければ想定しえない。；昔から伝わる妖精は人間と同じかもしくは人間より背が高いとされている。；蕎麦屋の主人は何か作業をしてこちらに背を向けており、顔はわからない。；小松の地名は付近に背の低い松が群生していたことに由来するという。；ドアが便器の前後方向にある場合、ドアを背にする向きで設置される。；これら5つのうち2つ以上の該当があれば心因性腰背痛の可能性が高い。；秋刀魚を開きは背から開くもの、腹から開くものと地方によって異なる。；腹側は白いが、個体によっては縁の部分や腹部が背側と同じ色をしている。；この背を構造的に強化して防御する方向に進化した例は多い。；日本の武士道とは異なり、背を攻撃することが別段 卑劣とはされない。；また、背の低い子どもでも安心して使えるように高さを低くしたものもある。；若い年齢で肩部、臀部と下背の上にしばしば出現するが健康上に問題はない。；ショートノーズで背の高いデザインは、動物のサイをイメージしている。；中脳蓋は中脳水道の背側部分で左右一対の上丘、下丘の四丘体からなる。；これを内側毛帯の腹側と背側とに分け、それぞれを底部と被害の前後径とした。；よく似た姿のものがオオクグで、より背が高くなり、70cmにもなる。；形態的にも多様であるが、多くの場合軽く湾曲して明確な背腹性を示している。；当時の日本人としては、そして俳優としても、かなり背が高い方だった。；背腹軸の形成へのWntの関与はの形成時に観察され、背側を決定に関与する。；初期の撮影で背落ちの撮影をした際に後頭部を岩で打ち、病院に搬送された。；よく、汚れた雪男と誤称され、背の高い白い毛皮の動物とされてしまう。；体には背腹の区別は認められるが、左右の区別は認められない。；メスは尾をまっすぐに伸ばしても総排泄口の一部が背甲よりも内側にある。；交叉性の赤核延髄路からの投射は背内側核と中間核にのみ投射している。；逆に、背が低い人も、彼より背が高い人がいなければ想定しえない。；したがって、背が高いものは背が低いものより絶対的に有利である。；次の場面では神殿に背を向け、東を向いて拝む男達の姿が描写される。；それぞれ専用の通路に出た後、ホロ酵素の背で二重らせんを再構成する。</t>
        </is>
      </c>
      <c r="J4470">
        <f>HYPERLINK("https://www.weblio.jp/content/背", "词义详情")</f>
        <v/>
      </c>
      <c r="K4470">
        <f>HYPERLINK("https://yourei.jp/背", "查看例句")</f>
        <v/>
      </c>
    </row>
    <row r="4471">
      <c r="A4471" t="inlineStr">
        <is>
          <t>せい</t>
        </is>
      </c>
      <c r="B4471" t="inlineStr">
        <is>
          <t>成功</t>
        </is>
      </c>
      <c r="C4471" t="inlineStr">
        <is>
          <t>読み方：せい
口に出して言うこと。発言。意見。</t>
        </is>
      </c>
      <c r="D4471" t="inlineStr">
        <is>
          <t>せいであろ；せいじゃない；せい様；せいだったろ；せい一ぱい</t>
        </is>
      </c>
      <c r="E4471" t="inlineStr">
        <is>
          <t>聖；神聖；聖人；聖なる；高僧</t>
        </is>
      </c>
      <c r="F4471" t="inlineStr">
        <is>
          <t>悪いせい；近いせい；早いせい；少ないせい；せいせき観光まちづくり</t>
        </is>
      </c>
      <c r="G4471" t="inlineStr">
        <is>
          <t>せいいっぱい；せいせい；せいよ；せいは；せい一杯</t>
        </is>
      </c>
      <c r="H4471" t="n">
        <v>29</v>
      </c>
      <c r="I4471" t="inlineStr">
        <is>
          <t>でもそれを歌うと全然別の話で、僕はそのせいで周りの目が気になった。；枕が変わると寝られなくなってしまうと言っているが、気のせいだった。；天におられるわたしたちの父よ、 み名が聖〔せい〕とされますように。；審判の方も僕のせいでジャッジに迷いが出るようになったかもしれない。；長く砂漠地帯で作戦を続けていたせいで汗をかかない体質になっている。；そして、民族の弱さはその民族の罪であって他の民族のせいではなかった。；後に石坂家が江戸の大火にあったせいか幼少の頃はほとんど記録がない。；兄弟が多いせいもあってか、母の実家に預けられることが多かったという。；しかし、出された料理は痛みのせいで何も口にできなかったという。；この道具のせいで息子が死んだため祖母が隠していたのだった。；そのせいで隠れて避けようとしていたそのパトカーに見つかってしまった。；他流派の影響も受けたせいか、横蹴りも多々見られるようになっている。；ベスは自分の祈りのせいで彼に災いが降りかかったのだと自分を責める。；がしかし完全オートロック制の扉は停電のせいで開かなくなっていた。；しかし、遠征の疲労と雨のせいで、イングランド軍は窮地に陥っていた。；しかしその近眼のせいで全く関係の無い人物や物に話しかけてしまう。；恋愛結婚であったせいか夫婦仲は良く、二人の間には三男一女が生まれた。；そのせいで、広義リーマン積分は応用上の利用が難しいものとなっている。；しかし、井口は趣味が合わないせいか、なぜか演奏することはなかった。；喘息持ちで外で遊べなかったせいで子供の頃から映画に親しんでいた。；競技人口が少ないせいもあって受注生産となる場合がほとんどである。；こうして大陸が東と西に分けられたせいで、戦争は終結せざるをえなくなった。；また、作中であたるのせいで女性に変えられてしまったこともある。；年齢によって内容を変え何があっても客のせいにしないことをモットーとした。；その死体は川を堰き止めるほど大きく、そのせいで湖ができたという。；アメリカW杯・アジア予選では怪我のせいで思うような出場はできなかった。；キャパはそれを否定し、暗室のせいでネガが台無しになったと主張した。；しかしこれはマイナーメーカーであったせいか、あまり話題にならなかった。；同年にM3Rが発売されたせいか、Tシリーズにはモジュール版はない。</t>
        </is>
      </c>
      <c r="J4471">
        <f>HYPERLINK("https://www.weblio.jp/content/せい", "词义详情")</f>
        <v/>
      </c>
      <c r="K4471">
        <f>HYPERLINK("https://yourei.jp/せい", "查看例句")</f>
        <v/>
      </c>
    </row>
    <row r="4472">
      <c r="A4472" t="inlineStr">
        <is>
          <t>姓</t>
        </is>
      </c>
      <c r="B4472" t="inlineStr">
        <is>
          <t>成功</t>
        </is>
      </c>
      <c r="C4472" t="inlineStr">
        <is>
          <t>読み方：しょう
〈井〉⇒せい
〈正〉⇒せい
〈生〉⇒せい
〈声〉⇒せい
〈姓〉⇒せい
〈性〉⇒せい
〈青〉⇒せい
〈政〉⇒せい
〈星〉⇒せい
〈省〉⇒せい
〈清〉⇒せい
〈聖〉⇒せい
〈精〉⇒せい
〈請〉⇒せい</t>
        </is>
      </c>
      <c r="D4472" t="inlineStr">
        <is>
          <t>姓・名；姓塩谷氏；姓畠山氏；姓にちなん；姓毛利氏</t>
        </is>
      </c>
      <c r="E4472" t="inlineStr">
        <is>
          <t>氏；苗字；名字</t>
        </is>
      </c>
      <c r="F4472" t="inlineStr">
        <is>
          <t>画姓；朝臣姓；源姓；豊臣姓；平姓</t>
        </is>
      </c>
      <c r="G4472" t="inlineStr">
        <is>
          <t>姓氏；姓名判断；姓氏録；姓村；姓田</t>
        </is>
      </c>
      <c r="H4472" t="n">
        <v>29</v>
      </c>
      <c r="I4472" t="inlineStr">
        <is>
          <t>これは歴史的に氏や姓が身分が上の者から与えられるものだったためである。；以後は家康支持の立場を明確なものとし、本姓である森姓を再び名乗った。；姓が同じことは親類関係を意味せず、姓は家族間で異なるのが一般的。；このためタイでは同じ姓を持つ他の家系は非常に珍しいと言われる。；近年では、姓または名のどちらかをローマ字表記とする選手も増えている。；また姓を持たず氏のみを持つ非族長層も社会の表舞台に立つようになっていった。；なぜ上位の4姓以外が運用されなかったのかについて記録は残されていない。；その次に位置する主に連の姓を持つ氏族には宿禰の姓を与えていた。；スペイン語圏では、複数部分からなる姓の一部が省略されることがある。；室韋はまたの名を三十姓タタルと呼ばれ、多数の部族で構成されていた。；八色の姓の導入や律令制度が導入された後も姓自体は存続していた。；日本人や欧米人には姓と思われているが、正確には姓とは異なる。；まあだからね、民がさ、夫婦が姓が一緒だ別だなんて言うこともないんだよ。；婚姻時に、婚姻前の姓を保持するか、共通の姓かを選択することができる。；政治的意義を失った真人姓の氏族は、次第に政界から姿を消していった。；このうちの三十姓タタルは中国史書に記されている室韋に比定されている。；養子の場合にはもとの姓を家族名の後ろにつけた。；また、複合名や複合姓を表すダブルハイフンの代わりに使うこともある。；ただし、注意すべきは、名字は異なろうとも姓は同じということである。；また島津氏が藤原氏から源氏になったように「姓」を変えることもあった。；漢字文化圏に属したベトナムを除いて、伝統的にこの地域では姓はない。；大江姓に改めたのは晩年の建保4年に陸奥守に任官した以後のことである。；天正13年には摂津守に任ぜられ、また豊臣姓を名乗ることを許される。；またストラヴィンスキーなどの姓は女性の場合ストラヴィンスカヤとなる。；平沢の家族は平沢姓を捨て、素性を隠して生きることを余儀なくされた。；県主は、律令制が導入される以前のヤマト王権の職種・姓の一つである。；蘆名姓を名乗るのは、義連の息子盛連の四男光盛の代になってからである。；家が松の大樹の下にあったところから松下の姓を用いたとする。；名はヨーハンとも、姓はバイアーともバイヤーとも表記することがある。</t>
        </is>
      </c>
      <c r="J4472">
        <f>HYPERLINK("https://www.weblio.jp/content/姓", "词义详情")</f>
        <v/>
      </c>
      <c r="K4472">
        <f>HYPERLINK("https://yourei.jp/姓", "查看例句")</f>
        <v/>
      </c>
    </row>
    <row r="4473">
      <c r="A4473" t="inlineStr">
        <is>
          <t>正</t>
        </is>
      </c>
      <c r="B4473" t="inlineStr">
        <is>
          <t>成功</t>
        </is>
      </c>
      <c r="C4473" t="inlineStr">
        <is>
          <t>読み方：しょう
〈井〉⇒せい
〈正〉⇒せい
〈生〉⇒せい
〈声〉⇒せい
〈姓〉⇒せい
〈性〉⇒せい
〈青〉⇒せい
〈政〉⇒せい
〈星〉⇒せい
〈省〉⇒せい
〈清〉⇒せい
〈聖〉⇒せい
〈精〉⇒せい
〈請〉⇒せい</t>
        </is>
      </c>
      <c r="D4473" t="inlineStr">
        <is>
          <t>正捕手(5%)；正gk(4%)；正反対(2%)；正介；正中線</t>
        </is>
      </c>
      <c r="E4473" t="inlineStr">
        <is>
          <t>まとも；正しさ；正方</t>
        </is>
      </c>
      <c r="F4473" t="inlineStr">
        <is>
          <t>正保元年；正法寺；正帝；正哉；矯正</t>
        </is>
      </c>
      <c r="G4473" t="inlineStr">
        <is>
          <t>正確；正面；正しい；正直；正体</t>
        </is>
      </c>
      <c r="H4473" t="n">
        <v>29</v>
      </c>
      <c r="I4473" t="inlineStr">
        <is>
          <t>通常、この西方正帝の消滅をもって古代の終わり・中世の始まりとする。；しばしば正のスカラー倍のみを許すように定義を制限することもある。；この正の値は、テネシン原子が負電荷を持っていることを意味している。；現在日本で主流となっている正位型は独自に作成された。；このためこの種の原子炉ではかなり大きな正のボイド係数を持ちうる。；真奈美との別れから6年が過ぎたある日、その本人が正樹の目の前に現れる。；はじめは員外教授の地位であったが、1892年には正教授となった。；数値に符号を前置しない場合は、標準的な解釈としてその数は正である。；史実では討死したか不明な大塚惟正も戦死したことにされてしまっている。；このようにしてメタンの正四面体構造を説明することも可能である。；現在の道教の教派は全真教と正一教の二つに大別されて考えられている。；総合閉会式で大会会長から優勝旗を受けるのは優勝校の正評議委員である。；見習い期間が終了し、内部審査を経て、認められた者だけが正所属となる。；正八品から従七品までを朝官といい、一緒にして京朝官という。；移動はボタン配置のタイプによって、上下移動の正逆を選択できる。；正逆転回転が必要でない用途では、単相または二相での駆動が可能である。；また、教団が正一教と呼ばれるようになったのも、この頃からである。；の西武には正捕手だった伊東勤がいたため、主に代打として起用された。；正食の後はその日は食事をとってはならない。；ただし運動方向を 軸と 軸の正方向とし、 軸と 軸および 軸と 軸の方向も一致させる。；しかしながら、 は必要な正性条件が満たされないことを示した。；の実部が正である場合には で与えられる。；qの値が正にも負にもなるとき、q は不定値 二次形式であるという。；山口瞳の息子・正介は、父親は川端家の養子になりたかったようだと語っている。；ベネズエラは正加盟国であったが、2016年から加盟資格を停止されている。；一つの結び目には正逆二つの向きを入れることができる。；全く正反対の二人は一年後に結婚した。；そして、正選手には主催者側が用意したナンバーカードが配布される。；ローマ市は西方正帝が廃止された後も名目上は帝国の首都として君臨した。</t>
        </is>
      </c>
      <c r="J4473">
        <f>HYPERLINK("https://www.weblio.jp/content/正", "词义详情")</f>
        <v/>
      </c>
      <c r="K4473">
        <f>HYPERLINK("https://yourei.jp/正", "查看例句")</f>
        <v/>
      </c>
    </row>
    <row r="4474">
      <c r="A4474" t="inlineStr">
        <is>
          <t>税</t>
        </is>
      </c>
      <c r="B4474" t="inlineStr">
        <is>
          <t>成功</t>
        </is>
      </c>
      <c r="C4474" t="inlineStr">
        <is>
          <t>読み方：ぜい
［音］ゼイ（慣）
［学習漢字］5年
国家・支配者などが人民から徴収する金品。「税金・税収／悪税・課税・関税・血税・減税・国税・重税・租税・増税・脱税・徴税・納税・免税」
［名のり］おさむ・ちから・みつぎ
［難読］税稲(ちからしね)</t>
        </is>
      </c>
      <c r="D4474" t="inlineStr">
        <is>
          <t>税法上(3%)；税収入；税制度；税徴収；税控除</t>
        </is>
      </c>
      <c r="E4474" t="inlineStr">
        <is>
          <t>寄与；税金；課税；租税；徴税</t>
        </is>
      </c>
      <c r="F4474" t="inlineStr">
        <is>
          <t>正税；資産税；貢税；特別税；地税</t>
        </is>
      </c>
      <c r="G4474" t="inlineStr">
        <is>
          <t>税関；税制；税収；税務；税務署</t>
        </is>
      </c>
      <c r="H4474" t="n">
        <v>29</v>
      </c>
      <c r="I4474" t="inlineStr">
        <is>
          <t>そして、税を徴収するために人口調査のような改革策をいくつか実施した。；イギリスは近代的な地税制度を導入してインドの民衆を困窮させた。；税は、再配分や市場の失敗などに対応するための有効な政策手段となる。；最初は3世紀後半のエジプト属州で農業や地税の記録で使われていた。；海峡税の引き上げはオランダとスウェーデンの接近を許すこととなった。；課税にも毎年度の予算での議会承認を必要とする方式を一年税主義という。；軍事植民地では、税を払うという条件の下で兵士に土地が与えられた。；藩鎮・地方官が勝手な名目で税を取り立てることを防ぐ意味もあった。；一方で民間が生産した塩に税をかける形で私塩も容認された。；は、商品の販売やサービスの提供などの取引に対して課税される税である。；また、税を納めた後の残りは市場で自由に処分することを認めた。；両税を納める戸を主戸といい、納税する能力のない戸を客戸と呼ぶ。；藩主所縁の地であることから、以降の吉江一帯は各種税を免除された。；そして、国家の増加する補助金、税と規制が増加することに反対する。；クーリッジは税を低減させるだけでなく国の債務の縮小にも有能だった。；両国王はと呼ばれる新たな種類の税を制定し、聖地への遠征費をそれで賄った。；平安期にはいると、正税と並んで公出挙が主要な地方財源となっていった。；オスマン帝国はこれを2村にまで減らしたものの、一部の税を免税した。；そして一定の期間が過ぎると、公の国庫に対して年毎の税を課せられた。；予算と法律を区別したうえで法律によって課税する方式を永久税方式という。；そして新しく導入された税のほとんどは撤廃されたが、茶への課税は継続された。；政府の税による収入と政府の支出の額は、常に均等になる保証はない。；祖国の神殿に像が作られた競技者もいるし、税が免除されることもあった。；税徴収目的での過払金の返還を命じる判決はこの判決が初のケースとなる。；かつての日本の経済学では一般売上税とも呼ばれていた税方式がモデルとなっている。；実際に流通した補助通貨ではなく、税の計算などで端数を表すときなどに使う。；他州で購入され州内で使用される物品には使用税が課される。；また税の徴収は王領と荘園とで別々に行われたが、詳細はよくわかっていない。；アメリカとの交渉でも内地雑居や日本の輸出税撤廃を求められた。</t>
        </is>
      </c>
      <c r="J4474">
        <f>HYPERLINK("https://www.weblio.jp/content/税", "词义详情")</f>
        <v/>
      </c>
      <c r="K4474">
        <f>HYPERLINK("https://yourei.jp/税", "查看例句")</f>
        <v/>
      </c>
    </row>
    <row r="4475">
      <c r="A4475" t="inlineStr">
        <is>
          <t>誠意</t>
        </is>
      </c>
      <c r="B4475" t="inlineStr">
        <is>
          <t>成功</t>
        </is>
      </c>
      <c r="C4475" t="inlineStr">
        <is>
          <t>読み方：せいい
私利・私欲を離れて、正直に熱心に事にあたる心。まごころ。「—のこもった贈り物」「—を示す」「誠心—」</t>
        </is>
      </c>
      <c r="D4475" t="inlineStr">
        <is>
          <t>誠意尽くし；誠意仕えること；誠意を籠めて；誠意を示さなけれ；誠意尽くす</t>
        </is>
      </c>
      <c r="E4475" t="inlineStr">
        <is>
          <t>真；実；熱心；正直；本気</t>
        </is>
      </c>
      <c r="F4475" t="inlineStr">
        <is>
          <t>不誠意；せめてもの誠意；御誠意</t>
        </is>
      </c>
      <c r="G4475" t="inlineStr">
        <is>
          <t>誠意を見せろ；誠意大将軍</t>
        </is>
      </c>
      <c r="H4475" t="n">
        <v>29</v>
      </c>
      <c r="I4475" t="inlineStr">
        <is>
          <t>私共は、彼等の正直な誠意ある同情者であらねばならなかったのである。；私に誠意がないからほかへ行ってしまう気にあの人がなったとは思われない。；誠意をもって将来までも力になろうと言っていることなども尼君は伝えた。；鋭い男だけに、家康に契約履行の誠意がないことを見ぬいたのであろう。；彼女は詐欺漢と結婚したいと思っていろいろと彼のために誠意をつくす。；私はその時、川野の私と妻それぞれへの誠意を信じていたと思います。；今度は、一人ずつではなく、二人して熱意と誠意をもってぶつかるのだ。；会ってそして自分の誠意をもって兄の心を打たなければならない。；ムーアに直接そうだと伝えるのが、誠意ある行為というものだと思うが。；仕事は休めるし、車の主は誠意のある人で、見舞いの金をくれるはずだ。；僕はまだこの時の五十銭位誠意のあるティップをやつたことはない。；われわれの計画全体はそのまま誠意をもって保護育成されている。；しかし双方に誠意がなかったため、最終的には協議は履行されなかった。；良い方に取るなら、こちらの誠意を汲み取ってくれたということだろう。；務めに出ている人間の家族は、誠心誠意面倒を見させてもらうつもりです。；四書五経やその外賢伝の書は、いずれも誠意治国の事を述べたのである。；良識と誠意のある人たちなら、そのことを今もおぼえているにちがいない。；そんなところで、誠意などという言葉を使ってほしくなかったのである。；その始まりから彼らの関係は、少なくとも表面上誠心誠意のものだった。；オーストリアではイギリスが誠意をもって同盟しなかったとの疑いが常に残っていた。；自分のいちばん好きなものを断って、その誠意を天に見せるわけです。；あまりに多くの人間から同じことを言われると、その誠意を疑いたくなるのだ。；誠意の見せかたもこの男がすると妙に相手の心をぬんめりと捉えて離さない。；彼は一種の熱烈な誠意を持っていて、すべてを一塊にしてのみ込んだ。；これは長い間の私の誠意がようやく認められてまいったのでしょうか。；創作するとほとんど同様の誠意と熱心とをこれに傾けたのもこのゆえである。；それでも彼の誠意に強く打たれ、絶対の信頼をうけたことで熱狂的になった。；そして怒り立つ海底超人たちを、誠意をもってなだめているのであると。；私のなし得るところは、ただ誠心誠意、事に当ることだけでございます。</t>
        </is>
      </c>
      <c r="J4475">
        <f>HYPERLINK("https://www.weblio.jp/content/誠意", "词义详情")</f>
        <v/>
      </c>
      <c r="K4475">
        <f>HYPERLINK("https://yourei.jp/誠意", "查看例句")</f>
        <v/>
      </c>
    </row>
    <row r="4476">
      <c r="A4476" t="inlineStr">
        <is>
          <t>生育</t>
        </is>
      </c>
      <c r="B4476" t="inlineStr">
        <is>
          <t>成功</t>
        </is>
      </c>
      <c r="C4476" t="inlineStr">
        <is>
          <t>読み方：せいいく
［名］(スル)
１うまれ育つこと。また、植物が生長すること。「作物が—する」
２うみ育てること。
「—の恩は深くっても」〈露伴・露団々〉</t>
        </is>
      </c>
      <c r="D4476" t="inlineStr">
        <is>
          <t>生育する(37%)；生育環境(5%)；生育地(4%)；生育できる；生育条件</t>
        </is>
      </c>
      <c r="E4476" t="inlineStr">
        <is>
          <t>なる；開発；発生；展開；発展</t>
        </is>
      </c>
      <c r="F4476" t="inlineStr">
        <is>
          <t>生育域；生育歴；広く生育；生育温度；生育範囲</t>
        </is>
      </c>
      <c r="H4476" t="n">
        <v>29</v>
      </c>
      <c r="I4476" t="inlineStr">
        <is>
          <t>この地域には多種多様な植物が生育しており、多くの鳥が集まっている。；ただし、特定の地点で目立った植物の生育不良などは報告されていない。；当時の関係者や生育した人物を取材し、家族の形を問う内容となっている。；高山に生育する種では上に伸びず匍匐状に横に広がるものも知られる。；または、ある特定の地域もしくは時代に生育する各種植物の全種類の意。；もっとも面積と、そこに生育・生息可能な個体数には明らかに関係がある。；日本では水辺に生育する種が多いが、山地に生育するものも少なくない。；そのためある種の微生物では空気中の酸素分圧では生育不可能となる。；近代まで、チョウジはモルッカ群島のいくつかの島でのみ生育していた。；ホッキョクグマの初産の子供の自然生育に成功したのは国内初である。；また、停電時にも、ある一定の期間であれば植物の生育が可能である。；水田の土壌から発見されたにもかかわらず生育には絶対嫌気が要求される。；北海道から九州まで分布があるが、ブナ帯以上の地域に生育するものである。；湿地や水辺に生育することもあるが、水のわき出る斜面などにも生じる。；モウソウチクを除く種の多くは、限られた地域でしか生育しないことが多い。；多様な種がさまざまな環境に生育することから、環境評価への利用例もある。；そのまま放流すると特にイネへの生育が阻害される等農業への影響が及ぶ。；一般家庭では防犯や雑草の生育を阻害する目的で用いられることがある。；カカオの木は陰樹であり、大きくなるまでは他の木の陰で生育させる必要がある。；基本的には陸上生活をするが、少ないながら淡水中に生育するものもいる。；区域に生育する多数の植物が、国立公園特別地域内指定植物に指定されている。；流れが平らな箇所では、川いっぱいにカヤツリグサの仲間が生育している。；日本全土に生育し、日当たりのよい道端や庭、畑などにごく普通にある。；旺盛に生育することから、栽培難度はキャベツよりもさらに容易である。；固有種とは、特定の国や地域にしか生息・生育・繁殖しない生物学上の種。；このように、大型植物が生育しないので、底質の単調さに拍車がかかる。；他の植物が生育できないような厳しい環境に進出できる。；現地での生育環境が厳しいためか、縄張り意識が非常に強力な種類。；薬用型は、葉の先の色が違い一見して分かるが、それが生育していたことはない。</t>
        </is>
      </c>
      <c r="J4476">
        <f>HYPERLINK("https://www.weblio.jp/content/生育", "词义详情")</f>
        <v/>
      </c>
      <c r="K4476">
        <f>HYPERLINK("https://yourei.jp/生育", "查看例句")</f>
        <v/>
      </c>
    </row>
    <row r="4477">
      <c r="A4477" t="inlineStr">
        <is>
          <t>精いっぱい</t>
        </is>
      </c>
      <c r="B4477" t="inlineStr">
        <is>
          <t>成功</t>
        </is>
      </c>
      <c r="C4477" t="inlineStr">
        <is>
          <t>読み方：せいいっぱい
持っている力のすべてを出すこと。力のかぎり。できるかぎり。副詞的にも用いる。「—のおしゃれをして出掛ける」「食べていくだけで—だ」「—努力する」</t>
        </is>
      </c>
      <c r="D4477" t="inlineStr">
        <is>
          <t>精いっぱいでし；精いっぱい生き；精いっぱい早く</t>
        </is>
      </c>
      <c r="H4477" t="n">
        <v>29</v>
      </c>
      <c r="I4477" t="inlineStr">
        <is>
          <t>どうせ本当の精いっぱいはないんだから、これでいいんだと考えている。；あとは俳優がそれぞれの人物を精いっぱいに表現することが残るだけです。；一人の一日の食費百七十円前後とあってはこれで精いっぱいであろう。；藤野たちは何が起こったか理解できず、それを避けるのに精いっぱいだ。；もうこの世には、精いっぱい努力してみたいと思うようなものは何もない。；自分にはなにもできないけれど、精いっぱい準備をして待つことにしよう。；わたしはこれでも精いっぱい頑張ってみたつもりよ、それだけは信じて。；目まぐるしい変化に自分をあわせていくことで、精いっぱいだったのだ。；われわれは精いっぱいガードしますが、とても抑えきれないと思います。；私は、花束をエルザに持たせないように注意するのが精いっぱいだった。；熱心に見守る目を意識して、手の震えをおさえるのが精いっぱいだった。；しかし、竜太にしてみれば、それも精いっぱいの気障のあらわれだった。；一本の缶ウーロン茶が春逢の精いっぱいの感謝の気持ちだったのである。；俺は確かにあの山を越えることは越えたが、それだけで精いっぱいだった。；この目的を果たすためには、彼女の精いっぱいの協力が必要なのだ。；落ちないようにするだけで精いっぱいで、どこに向かうも何もない。；秋山社長は協産ファイナンスのために精いっぱいおやりになってますよ。；これがいままでかかって、ぼくらにできる精いっぱいのところだったんだ。；しかし微小なるがゆえに、むしろその生を精いっぱい生きるべきなのか。；連中は決められた時間内にスロットを直すだけで精いっぱいなんだぞ。；なお進みよいようにと思い、精いっぱい道はひろげることにいたしました。；この地点を突破しないで、フェンスに沿って精いっぱいの早さで走った。；もっとも、今回借りた船では一度に二頭の馬を運ぶのが精いっぱいだろう。；五反ばかりの畑では食べることに精いっぱいで学費は出るはずはなかった。；もしかしたら、これでこの男は精いっぱい笑ったつもりなのかもしれない。；が手もとにはなかったので、できる範囲で精いっぱいやるほかはない。；男の人は無愛想だから「これを食べてください」が精いっぱいなのだろう。；君が精いっぱいに生きているように、僕だって精いっぱいで生きているのだ。；そのときそのときを精いっぱいに生きているのなら、それはそれでいいじゃないか。</t>
        </is>
      </c>
      <c r="J4477">
        <f>HYPERLINK("https://www.weblio.jp/content/精いっぱい", "词义详情")</f>
        <v/>
      </c>
      <c r="K4477">
        <f>HYPERLINK("https://yourei.jp/精いっぱい", "查看例句")</f>
        <v/>
      </c>
    </row>
    <row r="4478">
      <c r="A4478" t="inlineStr">
        <is>
          <t>晴雨</t>
        </is>
      </c>
      <c r="B4478" t="inlineStr">
        <is>
          <t>成功</t>
        </is>
      </c>
      <c r="C4478" t="inlineStr">
        <is>
          <t>読み方：せいう
晴天と雨天。晴れと雨。「—にかかわらず実施する」</t>
        </is>
      </c>
      <c r="D4478" t="inlineStr">
        <is>
          <t>晴雨兼用(9%)；晴雨不定(4%)</t>
        </is>
      </c>
      <c r="H4478" t="n">
        <v>29</v>
      </c>
      <c r="I4478" t="inlineStr">
        <is>
          <t>これがきっかけとなり、島田は晴雨関係なく強い選手へと進化を遂げたのだ。；この湯は晴雨によって温度を異にし、雨となると少し過ぎる位いの熱さとなる。；晴雨兼帯とも言いたい馬丁の冠った高帽子まで彼にはめずらしい物であった。；晴雨が49歳の頃に三人目の妻が精神を病み闘病、借金に追われるようになる。；晴雨にかかわらず丸ばかり書くのでは、私のような怠け者にはとても根気が続くまいと、考えただけで気が遠くなった。；この女性は晴雨の責め絵のモデルにもなっており、妊娠中に吊り責めを受けるなどしていた。；無料で公開されており、朝10時から夕方5時まで、晴雨に拘わらず開催される。；そこには例の婦人の晴雨兼用の傘が置いてあった。；だが、13歳若いこの女性は後に浮気をして晴雨のもとを去る。；そして晴雨を問わず冬中建築を進めるのだ。；早く眼が覚める、雨が降つている、だが、私は晴雨にかゝはらないで歩くのである。；明日の晴雨、風雪は浅間山が最もよく承知しているのだ。；そのために、晴雨にかかわらず劇場は満員だった。；用心深い男だと謡仲間に笑われながら、晴雨にかかわらず傘を持って歩いていたのは、まさにこういうときの用意である。；同じ一つの峠路でも、時代及び人の生活、季節晴雨のかわるごとに、日ごとに色々の絵巻を我々に示して尽きないのである。；彼は定期的に姿を見せ、晴雨にかかわりなく、いつも洋傘を持ち歩いていました。；晴雨寒暑というようなものがこれほど気分に影響するものとは思いもよらなかった葉子は、寝起きの天気を何よりも気にするようになった。；晴雨寒暑というようなものがこれほど気分に影響するものとは思いも寄らなかった葉子は、寝起きの天気を何よりも気にするようになった。；あとは読書と習字で、よけいなことを考える暇のないよう、晴雨にかかわらずきちんと日課を守っていたのです。；晴雨相半して特に激烈な表情のない東京大阪あたりの気候に比べて、雪国の暗澹たる気候が人に及ぼす影響は激しく深いのである。；名称は糊を付けず水をつけて張った簡素な生地を用いるからとも、晴雨両用に便利なためともいうが、いずれにせよ簡素な服飾であることからの命名のようである。；根本順吉の『江戸晴雨攷』がいうように、元禄年間は異常気候の時代であった。；晴雨にかかわらずあすは岐阜へ下向と、今し方、信長の側近から達しがあった。；そこは、いうまでもなく甲州街道すじの往還であるし、晴雨にかかわらず人通りが多い。；殊に転室した当初の私の窓を得たよろこびは晴雨につけ視野にはいる、樹の梢の一つ一つにも及んだ。；晴雨にかかわらず、日曜日には三回教会へ行くし、ふだんの日でも祈祷式のあるたびに出かけるのであった。；五日後に挙行される遠泳会の晴雨が気遣われた。；彼女にとっては、一日の晴雨は、単に彼女の髪の持ちのよしあしに大関係のある、空気の乾湿の度合としてさえ感じられないのであった。；晴雨にかかわらずどころの話じゃない。</t>
        </is>
      </c>
      <c r="J4478">
        <f>HYPERLINK("https://www.weblio.jp/content/晴雨", "词义详情")</f>
        <v/>
      </c>
      <c r="K4478">
        <f>HYPERLINK("https://yourei.jp/晴雨", "查看例句")</f>
        <v/>
      </c>
    </row>
    <row r="4479">
      <c r="A4479" t="inlineStr">
        <is>
          <t>成果</t>
        </is>
      </c>
      <c r="B4479" t="inlineStr">
        <is>
          <t>成功</t>
        </is>
      </c>
      <c r="C4479" t="inlineStr">
        <is>
          <t>読み方：せいか
あることをして得られたよい結果。「研究の—」「—をあげる」</t>
        </is>
      </c>
      <c r="D4479" t="inlineStr">
        <is>
          <t>成果発表；成果を広く；成果なし</t>
        </is>
      </c>
      <c r="E4479" t="inlineStr">
        <is>
          <t>結果；影響；効果；作用；始末</t>
        </is>
      </c>
      <c r="F4479" t="inlineStr">
        <is>
          <t>大きな成果；重要な成果；十分な成果；科学的成果；学習成果</t>
        </is>
      </c>
      <c r="G4479" t="inlineStr">
        <is>
          <t>成果主義；成果報酬；成果報酬型；成果報酬型広告；成果保証契約</t>
        </is>
      </c>
      <c r="H4479" t="n">
        <v>29</v>
      </c>
      <c r="I4479" t="inlineStr">
        <is>
          <t>苦労した練習の成果で本番では誰一人失敗したレギュラーはいなかった。；しかし、これらの試験の成果の一部はNSE車の設計に反映されている。；また住民の協力も得られないため攻撃を強行しても成果が出なかった。；経済学部・教育学部共同での特徴ある学際的研究でも成果を収めてきた。；その結果、教育の無料化と非識字率の大幅な低下といった成果を上げた。；その後、実際に運用もされたがめぼしい成果を挙げることはできなかった。；音速を突破する成果を挙げたものの複数のパイロットを事故で失っている。；今日、技術革新の成果を取り入れた蒸気自動車が再び開発されつつある。；そこにはロバート・ゴダード博士の初期の研究の成果も取り入れられている。；その成果にはその時点での最高速のメッセージパッシングの報告もあった。；小樽商科大学は研究成果を発表する為に以下の刊行物を発行している。；しかし1986年、各研究プロジェクトの成果が製品となっていった。；前年に執筆した『オランダ独立戦争史』の成果を買われてのことである。；しかし1919年頃まで続いた活動の成果は芳しくなかったとされる。；パウリは自分の研究成果が彼の名前で紹介されないことになっても気にしなかった。；この成果はハイゼンベルクの理論の信頼性を保証した点で重要な結果だった。；連続体仮説に興味を持ち研究を続けたが、存命中に成果は得られなかった。；MIRVの実現も、一つにはそうした小型軽量化の成果であると言える。；翌年には更に大規模な調査が行われ大きな成果を上げた。；途中で巨人の長が変わったため、はっきりとした良い成果が出たわけではないという。；これらの最終成果は、査読にかけられ、これに合格すれば出版される。；成果を得たのはニュートンが先だが、出版はライプニッツが先だった。；さらに、外部出版社を通した成果普及も行われるようになった。；この一連の政策がどれだけの成果を収めたかは評価が分かれる。；成果を上げているシステムでは、「字句」統計をとっていることが多い。；ほとんどの場合、これらの学問成果をあげるには、現地調査が要求される。；これらもほとんどの場合、学問成果をあげるには、現地調査が要求される。；航空作戦では相手の防空能力を低下させることが作戦の成果に大きく影響する。；研究成果および歴博の紹介が各メディアにて取り上げられている。</t>
        </is>
      </c>
      <c r="J4479">
        <f>HYPERLINK("https://www.weblio.jp/content/成果", "词义详情")</f>
        <v/>
      </c>
      <c r="K4479">
        <f>HYPERLINK("https://yourei.jp/成果", "查看例句")</f>
        <v/>
      </c>
    </row>
    <row r="4480">
      <c r="A4480" t="inlineStr">
        <is>
          <t>製菓</t>
        </is>
      </c>
      <c r="B4480" t="inlineStr">
        <is>
          <t>成功</t>
        </is>
      </c>
      <c r="C4480" t="inlineStr">
        <is>
          <t>読み方：せいか
菓子を作ること。「—業」</t>
        </is>
      </c>
      <c r="D4480" t="inlineStr">
        <is>
          <t>製菓メーカー(8%)；製菓工場(6%)；製菓業者(5%)；製菓材料(4%)；製菓用(3%)</t>
        </is>
      </c>
      <c r="F4480" t="inlineStr">
        <is>
          <t>製菓技術；製菓企業；製菓店；神戸モロゾフ製菓；スネーク製菓</t>
        </is>
      </c>
      <c r="G4480" t="inlineStr">
        <is>
          <t>製菓業；製菓衛生師；製菓学校；製菓衛生師養成施設；製菓衛生師法</t>
        </is>
      </c>
      <c r="H4480" t="n">
        <v>29</v>
      </c>
      <c r="I4480" t="inlineStr">
        <is>
          <t>京都にある上田製菓を拠点とし、東京・大阪をはじめ日本各地で活動する。；コンロを用意したのに、製菓研は最初からそれを使うつもりはなかった。；俺はあのテンションが高い二人を見れば製菓研究会だとすぐわかる。；ところが当日そのテーブルに来た製菓研はコンロを必要としていなかった。；ある時、大手製菓メーカーが新製品のキャンペーンをしたことがあった。；春日井製菓相生株式会社は、かつて存在した日本の製菓メーカーである。；しかし天野いちごに製菓の経験はほとんどなく、その腕も未熟であった。；登場人物の名前は製菓メーカーと菓子名から借用しているものが多い。；またカード付き製菓のイケメンチップスのモデルにも選ばれ人気を獲得していた。；製菓屋さんのは、これにくらべるといささか劣ったが、女子寮であった。；千佳と昇治は、年齢は一つ違いだが、製菓工場への入社が同期だった。；スナック菓子などの製菓用途でも特徴ある商品を開発している。；泉屋東京店は、神奈川県川崎市高津区久地に本社をおく製菓業者である。；この製菓材料がその名称で呼ばれることになった理由については、次のような説がある。；山梨県の金精軒製菓は、週末にこれを販売した最初の店の一つだった。；かにぱんは、日本の菓子製造業である三立製菓で製造されているパン。；ただ、製菓研はわたしたちが使っているのと同じテーブルでもやっていけそうです。；また、身延山北部の下山地区ではさくら製菓が製造販売を行っている。；また、料理・製菓関連書を中心とした出版も行っている。；株式会社文明堂日本橋店は、かつて存在した日本の製菓業者である。；敬一はグリコ製菓宣伝部に在籍時、次のような企画書を作成した。；六角凧サブレーは、日本の製菓業者・ヤマトヤが製造しているサブレー。；高校卒業後はフランスの製菓専門学校に進学するため、フランス語も勉強している。；対して女性向けに宣伝を行っているのは一部の製菓店と本屋、そして食材店だ。；株式会社柳月は、北海道河東郡音更町に本社のある製菓メーカー・企業。；さらに三立製菓はその技術を応用して、菓子パンの製造に乗り出した。；株式会社文明堂新宿店は、かつて存在した日本の製菓業者である。；製菓用には日本のドーバー酒造が着色料使用・不使用の両タイプを製造・販売している。；長寿の秘酒として誕生したが、現在では主に製菓用に使用される。</t>
        </is>
      </c>
      <c r="J4480">
        <f>HYPERLINK("https://www.weblio.jp/content/製菓", "词义详情")</f>
        <v/>
      </c>
      <c r="K4480">
        <f>HYPERLINK("https://yourei.jp/製菓", "查看例句")</f>
        <v/>
      </c>
    </row>
    <row r="4481">
      <c r="A4481" t="inlineStr">
        <is>
          <t>正解</t>
        </is>
      </c>
      <c r="B4481" t="inlineStr">
        <is>
          <t>成功</t>
        </is>
      </c>
      <c r="C4481" t="inlineStr">
        <is>
          <t>読み方：せいかい
［名］(スル)
１正しく解答すること。正しく解釈すること。また、その解答や解釈。「—を出す」「クイズに—する」
２結果的によかったと思われること。「傘を持って出たのは—だった」</t>
        </is>
      </c>
      <c r="D4481" t="inlineStr">
        <is>
          <t>正解する(9%)；正解すれ(4%)；正解数(3%)；正解率(3%)；正解でき</t>
        </is>
      </c>
      <c r="E4481" t="inlineStr">
        <is>
          <t>確かに；そうです；然り；しかり；ピンポン</t>
        </is>
      </c>
      <c r="F4481" t="inlineStr">
        <is>
          <t>全員正解；全て正解；連続正解；不正解；全国正解</t>
        </is>
      </c>
      <c r="G4481" t="inlineStr">
        <is>
          <t>正解るんです；正解のない問題</t>
        </is>
      </c>
      <c r="H4481" t="n">
        <v>29</v>
      </c>
      <c r="I4481" t="inlineStr">
        <is>
          <t>問題に沿って平仮名のブロックを並べて正解することで扉を開けていく。；なお、書き問題で正解者がいた場合にも同様のファンファーレが鳴った。；中には、外部からの指摘で正解が誤りであることが発覚する問題もある。；一度正解すると、次の挑戦は3ヶ月後にしてくださいとお願いしている。；決められた区域内の文字のマークが正解と全て一致しないと得点にはならない。；正解すると、既に置かれている相手のパネルを1枚自分のものにできる。；正解なら中央のテーブルに置いてあるトンガリ君をすべて獲得できた。；それに正解であれば、そのペアの優勝となってゲームが終了となった。；レポートにはクイズがあり、番組最後に正解発表するコーナーがあった。；しかし、ここでも川合一人だけが正解した為に再び美川組に得点が加算。；クイズの大会や番組等で優勝者が決定した時の問題の正解のこと。；正解するとそのジャンルに対応するジャンルポイントを獲得する。；さらに全問正解した場合には、象の金バッジとアフリカ旅行獲得となる。；最も多く正解したチームは100万ドルの賞金を共有することになる。；ただし、問題によっては「なし」を見なければ正解が困難なものもある。；失敗すると次に正解数の多いチームに挑戦権が移り、当たるまで続けられた。；ただし正解のブラインドを取った後はフルーツを取ることはできなくなる。；規程の回数だけ連続正解することで1つ順位が上がるようになっている。；たとえ正解が出なくても、一定時間を過ぎたら正解を発表していた。；一方、不正解した解答者は脱落となり、次の問題に進むことはできない。；ただし誤答しても時間内に他の答えを言って正解すれば正解扱いになっていた。；正解で勝ち抜けとなり、VTRで紹介された料理を試食する事が出来る。；使うとその問題に正解した場合に得られるポイントが2倍になる。；問題は全て早押し形式で、正解すればその表示得点が加算されていく。；タイトルが示す通り、普通では決して正解できない難問が出題されていた。；DS版の全国正解率はアーケード版で集計されたものを使用している。；挑戦前後の解答者が座っており、解答者の名前と正解数が表示された。；ムーブ時代は、冒頭で視聴者にも正解の主旋律を流していた時期がある。；正解肢の公表による試験制度の改善効果としては次のような例がある。</t>
        </is>
      </c>
      <c r="J4481">
        <f>HYPERLINK("https://www.weblio.jp/content/正解", "词义详情")</f>
        <v/>
      </c>
      <c r="K4481">
        <f>HYPERLINK("https://yourei.jp/正解", "查看例句")</f>
        <v/>
      </c>
    </row>
    <row r="4482">
      <c r="A4482" t="inlineStr">
        <is>
          <t>性格</t>
        </is>
      </c>
      <c r="B4482" t="inlineStr">
        <is>
          <t>成功</t>
        </is>
      </c>
      <c r="C4482" t="inlineStr">
        <is>
          <t>読み方：せいかく
１行動のしかたに現れる、その人に固有の感情・意志の傾向。「ほがらかな—」「夫婦の—が合わない」
２特定の事物にきわだってみられる傾向。「二つの問題は—が異なる」「趣味的—の濃い団体」
→性質［用法］</t>
        </is>
      </c>
      <c r="D4482" t="inlineStr">
        <is>
          <t>性格的；性格描写；性格付け；性格特性；性格ゆえ</t>
        </is>
      </c>
      <c r="E4482" t="inlineStr">
        <is>
          <t>人；たち；気；地；性</t>
        </is>
      </c>
      <c r="F4482" t="inlineStr">
        <is>
          <t>強い性格；優しい性格；やすい性格；温厚な性格；真面目な性格</t>
        </is>
      </c>
      <c r="G4482" t="inlineStr">
        <is>
          <t>性格の不一致；性格検査；性格分析；性格的小品；性格学</t>
        </is>
      </c>
      <c r="H4482" t="n">
        <v>29</v>
      </c>
      <c r="I4482" t="inlineStr">
        <is>
          <t>近年は千葉市のベッドタウンの性格が強くなり人口は増加を続けている。；性格の違いから、特定の人生経験が生じることを予測することができる。；ただし、これは上記の性格と気質の概念のが混同している可能性がある。；また仲間会話システムの導入によりキャラクターの性格が鮮明になった。；そのため、外来諸教と融合しやすい性格を有することになったともいう。；一方、マーラーはその一徹な性格から周囲の反発を買うことも多かった。；この行為は秀吉の派手好みの性格を知っての行いと伝えられている。；これは単に呼び方の問題だけではなく、その主題の性格も表している。；ただし二つの性格は不可分に一体となっているというのがその主張である。；現代では主に自身の性格やそれに基づいた相性を知るために利用する人がいる。；産業はそれほど存在せず、政治の中心としての性格が強い都市である。；列村は村落で行われる産業などの性格により、以下のように細分される。；この性格は彼自身の研究だけでなく、同僚の仕事に対しても発揮された。；必ずしもクラブミュージックとしての性格を強調するものではなかった。；冷笑的でサディスティックな性格設定にはカー自身が満足できなかった。；多感な時期に放置された少年王はわがままで頑固な性格となってしまう。；そのデータは、宮島口に向かう復路の数と同数になる性格の物では無い。；しかしこの手法は一過性の物で、製品に反映される性格の仕様ではなかった。；また、設定やキャラクターの性格にも一部変更が加えられている。；インタビューなどでの明るいトークと親しみやすい性格などで人気がある。；一方、類型地域は世界に同様の性格を有する空間がいくつか存在する。；集団防衛は防衛的な性格のみを持つために集団安全保障の側面も持つ。；戦争・天皇・宗教・日本の封建的性格などについての作品も多く残している。；この「世界観」には以下のような特徴的な性格をあげることが出来る。；ただしこれは路線の廃止ではなく、これまでに挙げたものとは性格を異にする。；このような父の性格はヴェルヌ作品の登場人物にも受け継がれることになる。；リカの性格や行動を筆頭に、ドラマ版は原作とは大きく違う点が多い。；どんなに干からびた不幸な性格の男でも、十六歳にもなれば恋愛を始める。；人物の好悪が激しい兄と異なり、誰とでも打ち解ける性格をしている。</t>
        </is>
      </c>
      <c r="J4482">
        <f>HYPERLINK("https://www.weblio.jp/content/性格", "词义详情")</f>
        <v/>
      </c>
      <c r="K4482">
        <f>HYPERLINK("https://yourei.jp/性格", "查看例句")</f>
        <v/>
      </c>
    </row>
    <row r="4483">
      <c r="A4483" t="inlineStr">
        <is>
          <t>正確</t>
        </is>
      </c>
      <c r="B4483" t="inlineStr">
        <is>
          <t>成功</t>
        </is>
      </c>
      <c r="C4483" t="inlineStr">
        <is>
          <t>読み方：せいかく
［名・形動］正しく確かなこと。事実と合っていて少しもまちがいのないこと。また、そのさま。「—を期する」「—な時刻を報ずる」「事実を—に記録する」
[派生]せいかくさ［名］</t>
        </is>
      </c>
      <c r="D4483" t="inlineStr">
        <is>
          <t>正確性(2%)；正確な位置；正確な情報；正確な時期；正確な場所</t>
        </is>
      </c>
      <c r="E4483" t="inlineStr">
        <is>
          <t>いい；よい；もっとも；良い；ちょうど</t>
        </is>
      </c>
      <c r="F4483" t="inlineStr">
        <is>
          <t>正確かつ迅速；正確なロングフィード；正確な没年月日；正確な築城年代；正確なロングパス</t>
        </is>
      </c>
      <c r="G4483" t="inlineStr">
        <is>
          <t>正確度と精度；正確確率検定</t>
        </is>
      </c>
      <c r="H4483" t="n">
        <v>29</v>
      </c>
      <c r="I4483" t="inlineStr">
        <is>
          <t>正確なことは不明であるが、1895年頃ではないかと推測されている。；回帰も類似した手法だが、既存のデータが不正確であることを考慮する。；参照時点で原典が存在せず転記となっているなど正確性も不明であった。；また乗用車と比較しても環境負荷や移動時間の正確性などで有利である。；佐渡国が建てられた時期は大化の改新以降とされるが正確な時期は不明。；この画像に示されている図は正確ではなく、上の表とは完全には一致しない。；広い範囲で生産的な活動をしたが、その論文には多くの不正確な部分がある。；その場合、単に文字を数えるだけで正確な音節数がわかるとは限らない。；のちに意味する対象は広がり、語の定義もより正確なものになっていった。；現在カタリ派がどのような思想をもっていたのかを正確に知ることは難しい。；ある日、弟が病死するとそれまで正確に動いていた時計が遅れ出した。；タンネンベルクの戦いに参加した兵数を正確に立証するのは困難である。；現在の小浜市にあったと考えられているが、正確な位置は不明である。；午後12時、原は各隊にアメリカ軍機動部隊の正確な位置情報を求めた。；象限儀は地面に対して正確に垂直になるように設置しなければならない。；これは最初のリリースの翌日からほぼ正確に40年後のことである。；ただしこの点から初期測量の不正確さのためにやや南に枝分かれする。；結合の正確な位置はさまざまで、結合する官能基の向きも重要である。；正確な同期化は、往路と復路の通信時間がほぼ等しい場合に達成される。；これらは正確には付属ではないが、付属と同じ扱いを受けている。；ガロアの遺体は別の共同墓地に葬られ、現在は正確な位置が不明である。；また中南米と呼称される場合もあるが、これは図に合う正確な表現ではない。；ティコはより精密な観測がより正確な予測を行うための鍵であると認識した。；音価と文字が正確に対応しており、実用的な文字だったと考えられている。；フィギュアスケートを正確に描く競技から発展したことに由来する。；上記のようにゴシック体が正確にいつ出現したかは明らかでない。；特にカンタブリ族が占領した領土の正確な位置の問題においてである。；この協定は内容が不正確であったため、後に新たな条約に置き換えられた。；しかしこの名称がいつ生まれたか正確な時代は不明である。</t>
        </is>
      </c>
      <c r="J4483">
        <f>HYPERLINK("https://www.weblio.jp/content/正確", "词义详情")</f>
        <v/>
      </c>
      <c r="K4483">
        <f>HYPERLINK("https://yourei.jp/正確", "查看例句")</f>
        <v/>
      </c>
    </row>
    <row r="4484">
      <c r="A4484" t="inlineStr">
        <is>
          <t>生活</t>
        </is>
      </c>
      <c r="B4484" t="inlineStr">
        <is>
          <t>成功</t>
        </is>
      </c>
      <c r="C4484" t="inlineStr">
        <is>
          <t>読み方：しょうかつ
［名］(スル)「せいかつ（生活）」に同じ。
「—、人事(にんじ)、伎能、学問等」〈徒然・七五〉</t>
        </is>
      </c>
      <c r="D4484" t="inlineStr">
        <is>
          <t>生活ぶり；生活感情；生活物資；生活情報；生活費</t>
        </is>
      </c>
      <c r="E4484" t="inlineStr">
        <is>
          <t>人生；暮らし；食べる；生きる；暮し</t>
        </is>
      </c>
      <c r="F4484" t="inlineStr">
        <is>
          <t>新しい生活；学生生活；国民生活；人間生活；高校生活</t>
        </is>
      </c>
      <c r="G4484" t="inlineStr">
        <is>
          <t>生活様式；生活環境；生活水準；生活保護；生活習慣</t>
        </is>
      </c>
      <c r="H4484" t="n">
        <v>29</v>
      </c>
      <c r="I4484" t="inlineStr">
        <is>
          <t>家屋内には、人以外にも多くの生物が出現し、様々な生活を行っている。；父は何も仕事をせず、常に自宅におり、家族は軍人恩給で生活していた。；労働者は自らの労働力を商品化し、資本家にそれを売って生活している。；現代でも食料・飲み水・農業・輸送などあらゆる面で国民生活を支えている。；工芸は貴族の生活道具や、仏教儀式に使われる道具などを中心に発展した。；このような地形は人々の生活や歴史に大きな影響を与えてきた。；父は湯浅屋支配人の仕事があるため、東京と松阪を往復する生活をした。；運ばれた物資は都の中にある大きな2つの市に送り、人々の生活を支えた。；単独で生活する種や、群れで生活する種など種間・種内でも変異が大きい。；その内容は宮中での生活や狩猟の様子などを韻文にして書かれている。；制服を好み、学生時代は常に詰襟学生服か剣道着で生活していたという。；この年は永い作家生活の中で、初めて小説の発表が一編もなかった。；主として長期にわたる軌道上の生活に特化して設計されているものを指す。；定住型は主に魚を餌とし、大抵は十数頭の家族群を形成して生活する。；しかし一人あたりの生活支出は未だにイラン・イラク戦争前よりも低い。；これは、より変化の激しい気候の地域に生活するための適応と考えられる。；しかしこのような生活を続けたため、すぐにまた借金が膨らんでしまった。；しかし金銭面での待遇は大幅に下がったため、生活に苦慮したともいう。；このため、国民生活は実質的な収入金額以上に安定しているといえる。；縄文時代に入ると生活の跡である貝塚も市内に散見されるようになる。；しかし父は1847年に亡くなり、残された家族は苦しい生活を送った。；分と言う時間の単位が市民の生活に現れたのは、鉄道の開通以降のことである。；基礎心理学の知見を活かして現実生活上の問題の解決や改善に寄与する。；生活拠点地区は駅前に拠点性を持つ大型商業施設や動線整備がされている。；アーミッシュでは独自の農業を行いほぼ完全な自給自足の生活を送っている。；生活のためにサンクトペテルブルク・ワルシャワ鉄道で勤務したこともあった。；都市生活者の生活習慣に合わせ、深夜まで営業している店舗も多い。；大学生活と同時に、三段リーグでの初の戦いが始まることとなった。；オスは単独で生活するか、優位のオスは群れの周囲に縄張りを形成する。</t>
        </is>
      </c>
      <c r="J4484">
        <f>HYPERLINK("https://www.weblio.jp/content/生活", "词义详情")</f>
        <v/>
      </c>
      <c r="K4484">
        <f>HYPERLINK("https://yourei.jp/生活", "查看例句")</f>
        <v/>
      </c>
    </row>
    <row r="4485">
      <c r="A4485" t="inlineStr">
        <is>
          <t>税関</t>
        </is>
      </c>
      <c r="B4485" t="inlineStr">
        <is>
          <t>成功</t>
        </is>
      </c>
      <c r="C4485" t="inlineStr">
        <is>
          <t>読み方：ぜいかん
開港場・空港・国境などで、貨物の輸出入の許否、関税・トン税などの賦課・徴収、船舶・航空機および旅客の携帯品の取り締まりなどの事務を取り扱う官庁。財務省の地方支分部局。</t>
        </is>
      </c>
      <c r="D4485" t="inlineStr">
        <is>
          <t>税関吏(10%)；税関検査(2%)；税関監視；税関支；税関当局</t>
        </is>
      </c>
      <c r="F4485" t="inlineStr">
        <is>
          <t>新潟税関；税関研修；税関官署；税関庁舎；税関局</t>
        </is>
      </c>
      <c r="G4485" t="inlineStr">
        <is>
          <t>税関職員；税関・国境警備局；税関線；税関国境警備局</t>
        </is>
      </c>
      <c r="H4485" t="n">
        <v>29</v>
      </c>
      <c r="I4485" t="inlineStr">
        <is>
          <t>港の税関近くに位置していた古い駅は、港ののターミナルとなっている。；葉子はそこから避けるように足を返してまた税関のほうに歩み近づいた。；このような噂のために、いくつかの税関でユダヤ人が殺害されている。；僕が知る限り、兵士達と税関吏を上陸させるのが唯一の目的らしかった。；そして、このニューヨークの税関はアメリカで最も重要な税関であった。；税関の職員は、トランクをあけさせ、中を調べたが、何もいわなかった。；葉子はそこから避けるように足を返してまた税関の方に歩み近づいた。；警察と税関は、犯人をつきとめようと積極的に捜査を進めております。；彼とジョージの両方がエリス島で税関を通過するとすぐに家に帰った。；税関ではソ連人と日本人のアクチブが名簿を持って名前を呼ぶんです。；税関の職員をした後、パリに出て自由な生活を送ることになった。；自由界の税関にしてみれば、与信額を証明してもらいさえすればいい。；後には得意の税関吏ワイトマンと、傷だらけになった丸卓子とが残った。；税関の役人たちが我々の荷物を調べるために、落着き払ってやって来た。；貧乏は以前からで結婚もそのために延び、ボストンの税関にも勤務した。；われわれがいない時に、税関がファラオン号の立入り検査をやったんだ。；そのような地上施設で最初のものはベルファスト税関の建物だった。；行ってみると、これから横浜の税関まで行ってくれということだった。；また、この税関のスケッチに、ある妥当性のあることもわかるであろう。；税関で扱う荷物のすべてを正式にこう呼んでいるだけのこと。；外国から輸入しようとした品が、港の税関でストップさせられてしまったのだ。；この事件が起こったのは、まさにチチコフが税関に勤めているときであった。；彼女もまた夫の死亡原因を、税関吏との戦闘によるものと告げられた。；おかしいと気づいて税関員の一人を問い詰めた結果がこれだった。；ぼくは税関にも行きたかったし、ほかにも寄りたい所があった。；だから船の連中や税関吏はすぐあの写真の姿を認めたのである。；これが縁で親しくなった税関の職員がわざわざ寄席に聞きに来てくれたという。；税関を通過すると、駅には取り立てて何もなく、何かを買うことはできない。；この婦人にも次駅で降りて、税関へ同行すると、申し渡してあるではないか。</t>
        </is>
      </c>
      <c r="J4485">
        <f>HYPERLINK("https://www.weblio.jp/content/税関", "词义详情")</f>
        <v/>
      </c>
      <c r="K4485">
        <f>HYPERLINK("https://yourei.jp/税関", "查看例句")</f>
        <v/>
      </c>
    </row>
    <row r="4486">
      <c r="A4486" t="inlineStr">
        <is>
          <t>世紀</t>
        </is>
      </c>
      <c r="B4486" t="inlineStr">
        <is>
          <t>成功</t>
        </is>
      </c>
      <c r="C4486" t="inlineStr">
        <is>
          <t>読み方：せいき
１《century》西暦で、100年を単位とする年代の数え方。キリスト生誕の年を基点として数える。21世紀は2001年から2100年まで。
２ある、ひと続きの年月。時代。「科学の—」
３（「世紀の」の形で）1世紀に一度しかないほどまれなこと。「—の大事件」「—のロマンス」</t>
        </is>
      </c>
      <c r="D4486" t="inlineStr">
        <is>
          <t>世紀前；世紀後半；世紀末；世紀間；世紀初頭</t>
        </is>
      </c>
      <c r="E4486" t="inlineStr">
        <is>
          <t>時代；代；世；年代；センチュリー</t>
        </is>
      </c>
      <c r="F4486" t="inlineStr">
        <is>
          <t>数世紀；前世紀；一九世紀；一世紀；中世紀</t>
        </is>
      </c>
      <c r="G4486" t="inlineStr">
        <is>
          <t>世紀末芸術；世紀末ウィーン；世紀末の魔術師；世紀の大発見；世紀の落球</t>
        </is>
      </c>
      <c r="H4486" t="n">
        <v>29</v>
      </c>
      <c r="I4486" t="inlineStr">
        <is>
          <t>これは過去数世紀の間に国境の形が変わっていったことと関係している。；何世紀以上も他の多くの産業は重要であったし、今も重要なものがある。；以降数世紀におよび同誌上で科学上の重要な発見がいくつも発表された。；これらは、何世紀にもわたってこの市場町の最も重要な産業分野である。；地区の低い位置は、数世紀の間に左岸への川のカーブが変化していった。；軌道高度が比較的高いため、数世紀は軌道上に存在すると予想される。；幾世紀前の建築家らしいその彼は3人の魔女のために家を建てたという。；続く数世紀の間、この都市は繰り返し他国の軍隊の駐屯地にされてきた。；その他数々の方法が数学者達により何世紀にもわたって考案されてきた。；その後合併の影響などもあり、世紀が替わった直後には人口は倍増した。；この世紀の芸術家たちの最大の起点は政治的な衝突に関係したものであった。；それまで数世紀に渡り存在していた定住地の名は、カストゥロであった。；山脈とその周辺地方では、数世紀に渡って独自の伝説が語られてきた。；その後、甘いメロンが作られるまで数世紀に及ぶ改良の努力が行われた。；また、ここ数世紀の間に何度も何度も、破壊と再建を繰り返してきた。；フルダには、何世紀にも及ぶ長いユダヤ人の生活の伝統が確立されている。；なお、生涯が2世紀に渡っている場合はあとの世紀に区分するものとする。；ここでは、この地域の学校の前世紀からの発展も知ることができる。；何世紀にもわたって無数の作品のモデルとして子供が活躍してきた。；前世紀にこの地域は林業が盛んになり、多くのトウヒや松が植林された。；数世紀前の実験で得られた基礎的なデータですら重要性を失わない。；この工場のクリスタルガラス製品は何世紀もの間ロシア中で使用されている。；何世紀にもわたる開発の後、 チベット暦は成熟したシステムになった。；生き残ったわずかな人類は、数世紀に渡って、細々と子孫を残していた。；数世紀に亘って作成・変更され続けてきたものであり、いくつかの版がある。；舞台は未来の地球で、具体的に何世紀なのかは記述されていない。；市内には3つの有名な市場が出来、その後の数世紀にわたり街は発展した。；が、ウェールズ公国は、同じ世紀の末にイングランドの統治下に入った。；次の世紀には、バイユーのレースそのものが流行のスタイルとなった。</t>
        </is>
      </c>
      <c r="J4486">
        <f>HYPERLINK("https://www.weblio.jp/content/世紀", "词义详情")</f>
        <v/>
      </c>
      <c r="K4486">
        <f>HYPERLINK("https://yourei.jp/世紀", "查看例句")</f>
        <v/>
      </c>
    </row>
    <row r="4487">
      <c r="A4487" t="inlineStr">
        <is>
          <t>正規</t>
        </is>
      </c>
      <c r="B4487" t="inlineStr">
        <is>
          <t>成功</t>
        </is>
      </c>
      <c r="C4487" t="inlineStr">
        <is>
          <t>読み方：せいき
正式の規則。また、それに基づいていること。「—の資格」</t>
        </is>
      </c>
      <c r="D4487" t="inlineStr">
        <is>
          <t>正規兵(6%)；正規輸入(5%)；正規化(3%)；正規部分群(2%)；正規品</t>
        </is>
      </c>
      <c r="E4487" t="inlineStr">
        <is>
          <t>法；決め；定め；約束；規定</t>
        </is>
      </c>
      <c r="F4487" t="inlineStr">
        <is>
          <t>正規性；正規代理店；正規戦；正規隊員；イギリス軍正規</t>
        </is>
      </c>
      <c r="G4487" t="inlineStr">
        <is>
          <t>正規分布；正規化；正規空母；正規メンバー；正規表現</t>
        </is>
      </c>
      <c r="H4487" t="n">
        <v>29</v>
      </c>
      <c r="I4487" t="inlineStr">
        <is>
          <t>正規の女優は週に6公演を担当し、もう一人は残りの2公演を担当する。；国内には、日本にあわせて仕様を変更したものが正規輸入されている。；日本でも、2002年版と1963年正規版をセットにして発売された。；特定の正規の有名な学校で学んだわけではないという意味で独学であった。；それまで全く美術経験はなく、正規の教育を受けずに独学で絵画を学んだ。；日本への正規輸入は行われていないが、並行輸入車が入手可能である。；発車時間はほぼ正規便の発車時間に沿っている場合が多いようである。；武藤は新日本正規軍とnWoジャパン両軍に属した唯一の選手となった。；また正規の施設まで行かずとも賭けをすることが出来る手軽さもある。；これに伴い、ナビゲーター・MKXの正規販売は終了することとなった。；日本には正規輸入されなかったが、並行輸入で上陸した個体が少数存在する。；日本でもホンダが型式認定を取得して正規に輸入し同年発売された。；日本にもターボ・ディーゼルエンジンを搭載したモデルが正規輸入された。；従って、距離データは顔を真正面から見たときの値に正規化される。；ただし、現在でもドイツでは国歌に関する正規な法律は制定されていない。；フォン・ノイマン環の間の *-準同型には正規でないものも存在する。；日本に正規輸入されたモデルは以下のようになっている。；日本ではシェブロンブランドのモーターオイルは正規輸入はされていない。；正規化された加重を得るには、平均パケットサイズを知る必要がある。；正規化の方法はさまざまなものがあるが、 の2つが基本的な正規化である。；条件付は正規に決められた仲介手数料以上の利益を得る為の方策になっている。；ツーリングとディーゼルエンジン搭載モデルは一切正規輸入がなかった。；世代間の衝突だけでなく正規軍とゲリラ戦争との衝突となった。；東京メディア芸術学部および大学院が設置されている正規のキャンパス。；輸出専用車であり日本国内では正規販売されていない。；なお、太平洋戦争末期には改正され、正規・予備員のそれらは統一された。；正規の教育を受けた音楽家ではない私だがこれだけはいえる。；応仁の乱の戦いで特徴的とされるものは正規の武士身分ではない足軽の活躍である。；実際に正規の国歌とする提案も数度にわたって行われたともいう。</t>
        </is>
      </c>
      <c r="J4487">
        <f>HYPERLINK("https://www.weblio.jp/content/正規", "词义详情")</f>
        <v/>
      </c>
      <c r="K4487">
        <f>HYPERLINK("https://yourei.jp/正規", "查看例句")</f>
        <v/>
      </c>
    </row>
    <row r="4488">
      <c r="A4488" t="inlineStr">
        <is>
          <t>正義</t>
        </is>
      </c>
      <c r="B4488" t="inlineStr">
        <is>
          <t>成功</t>
        </is>
      </c>
      <c r="C4488" t="inlineStr">
        <is>
          <t>読み方：せいぎ
１人の道にかなっていて正しいこと。「—を貫く」「—の味方」
２正しい意義。また、正しい解釈。「四書—」
「其実はあたの語の—に非るなり」〈西村茂樹・明六雑誌三三〉
３人間の社会行動の評価基準で、その違反に対し厳格な制裁を伴う規範。</t>
        </is>
      </c>
      <c r="D4488" t="inlineStr">
        <is>
          <t>正義感(2%)；正義観；正義心；正義人道；正義隊</t>
        </is>
      </c>
      <c r="E4488" t="inlineStr">
        <is>
          <t>正道；中正；ジャスティス</t>
        </is>
      </c>
      <c r="F4488" t="inlineStr">
        <is>
          <t>国際正義；川口正義；田村正義；大日本正義；移行期正義</t>
        </is>
      </c>
      <c r="G4488" t="inlineStr">
        <is>
          <t>正義の味方；正義超人；正義派；正義のために；正義党</t>
        </is>
      </c>
      <c r="H4488" t="n">
        <v>29</v>
      </c>
      <c r="I4488" t="inlineStr">
        <is>
          <t>争う者は正義も悪も関係無く、全てを無にするまで破壊の限りを尽くす。；こうして正義が確定される一方、中唐になると注疏批判の動きが生じた。；しかし、近くに悪の組織がいなくなったために先代が正義の活動を中止。；これは、エイプゴンが正義と悪魔の両方の力を備えていることを意味する。；中央には国の地図が描かれ、その上には、正義の天秤が描かれている。；正義の神々との戦いに敗れて封印されていたが、数千年の時を経て復活した。；そのような状況にあっては、ある特定の善を正義と構想することはできない。；しかし自由と正義、そして道徳の力が究極的には勝利をおさめるだろう。；かつて議論がなされた修復正義も、この観点から説明することが可能である。；兄である正義に子が無かったため、兄より家督を譲られ当主となる。；神の正義も災いも、無償の愛に起因して、無償の愛の中に成立している。；しかし、方法は違えど常に正義の側に立って活動しているところは変わらない。；ラチェットは、正義の名の下に殺されてもやむをえないような人物だった。；ほぼ互角の戦いを演じていたその時、正義超人に味方した正義の剣が飛来。；幼少期は両親の離婚の為、弟の正義とともに母方の親戚のもとで育った。；これは善や正義の象徴である白と、悪の象徴である黒の中間的な色であるためであろう。；そこに、正義の魔術師が現れ、闇の者たちを封印することに成功した。；サルゴン2世自身は主として彼の名前と正義を結び付けていたと思われる。；必ずしも正義のためとは限らず、一攫千金を目的とした者も多い。；この高校では、正義の心を持つ番長たちによって一般生徒が守られている。；そして超電寺学園では昼休みになると正義と悪との戦いが繰り広げられている。；父正義が家督を継ぐことなく死去したため、代わって世継となった。；違法な手段で正義を全うしようとする彼らに怒りを爆発させるマー。；そこに転校してきた緋本ソラは女の子を守る正義の騎士になることを決意する。；少年院を出所後の19歳ごろに大日本正義団組員になったと思われる。；当財団は、特に際立った平和と正義への貢献者へ金メダルの授与もしている。；これは国際的な移動の問題について正義の観点から国家が何をすべきかを考察したものである。；歴史的に見れば比較的新しい種類の正義概念である。；正義の立場にありながら、悪へと引きずられるバンパイア・スレイヤー。</t>
        </is>
      </c>
      <c r="J4488">
        <f>HYPERLINK("https://www.weblio.jp/content/正義", "词义详情")</f>
        <v/>
      </c>
      <c r="K4488">
        <f>HYPERLINK("https://yourei.jp/正義", "查看例句")</f>
        <v/>
      </c>
    </row>
    <row r="4489">
      <c r="A4489" t="inlineStr">
        <is>
          <t>請求</t>
        </is>
      </c>
      <c r="B4489" t="inlineStr">
        <is>
          <t>成功</t>
        </is>
      </c>
      <c r="C4489" t="inlineStr">
        <is>
          <t>読み方：せいきゅう
［名］(スル)
１ある行為をするように相手方に求めること。また特に、金銭の支払い、物品の受け渡しなどを求めること。「情報開示の—」「代金を—する」
２民事訴訟法上、原告が訴えによってその趣旨および事実関係の当否について裁判所の審理・判決を求めること。</t>
        </is>
      </c>
      <c r="D4489" t="inlineStr">
        <is>
          <t>請求すること(6%)；請求される(3%)；請求できる(2%)；請求権(2%)；請求書</t>
        </is>
      </c>
      <c r="E4489" t="inlineStr">
        <is>
          <t>主張；求め；要求；求める；依頼</t>
        </is>
      </c>
      <c r="F4489" t="inlineStr">
        <is>
          <t>差止請求；不正請求；情報公開請求；補償請求；請求事件</t>
        </is>
      </c>
      <c r="G4489" t="inlineStr">
        <is>
          <t>請求権；請求項；請求の範囲；請求原因；請求の原因</t>
        </is>
      </c>
      <c r="H4489" t="n">
        <v>29</v>
      </c>
      <c r="I4489" t="inlineStr">
        <is>
          <t>なお、学校側は、以下のような理由で返還請求できないと主張していた。；請求権とは、他人に対し行為を請求することができる権利のことである。；しかしこの請求は被害者側の遺族が受諾しなかったために成立しなかった。；また、最高裁判所はそのような場合は必ず請求しなければならない。；料金は利用人数と時間帯、利用時間に応じて請求されるのが一般的である。；したがって、添付が生じた場合の旧所有者からの復旧請求は封じられる。；NOCの請求額は事故車両を店舗まで自走して返却できたか否かで異なる。；特許出願されたが、審査の請求をしなかったために権利化はされていない。；裁判所は請求に基づき審査を開始したが、まだ裁判所の判断は示されていない。；悪質な場合や請求された罰金を不払いの場合、警察への通報も行われる。；なお脱退一時金は未支給であっても死亡後に親族が請求することはできない。；同様の理由で、修正版への差し替えを要求する権利が修正増減請求権である。；タイムアウトの請求はコーチだけでなく、攻撃中のチームの選手も可能である。；最高裁判所は憲法院に当該請求をするか否かを3か月以内に決定する。；また、婚姻関係が完全に破綻している場合には同居の請求は認められない。；また、「無料資料請求」などの案内サービスを用意しているのが特徴的である。；告訴人等から請求がある場合には、その理由を通知する必要がある。；依頼の際には、閲覧申込書に資料名や資料の請求番号を記入することが多い。；なお共済組合の被保険者期間のみを有する者はこの請求はできない。；このときにはすでにミラノ公国の請求を考えていたという。；チャールズ2世もまた「ノルマンディー公」を請求していたからである。；したがって、請求を特定するのに必要な請求の原因を記載することが必要となる。；近年、医療保険適用の訪問マッサージでの不正請求が問題になっている。；これは、新株予約権付社債発行差止請求が棄却された、初の事例である。；タイムアウトの請求ができるのはコーチまたはアシスタントコーチである。；請求は他人に何らかの行為を要求することである。；約20億9千万円を請求するよう佐原に命じた二審判決が確定した。；契約では「請求あり次第15000リーヴルを返却する」はずであった。；乗車券を持っていても刻印がないと検札時に高額の罰金を請求される。</t>
        </is>
      </c>
      <c r="J4489">
        <f>HYPERLINK("https://www.weblio.jp/content/請求", "词义详情")</f>
        <v/>
      </c>
      <c r="K4489">
        <f>HYPERLINK("https://yourei.jp/請求", "查看例句")</f>
        <v/>
      </c>
    </row>
    <row r="4490">
      <c r="A4490" t="inlineStr">
        <is>
          <t>性急</t>
        </is>
      </c>
      <c r="B4490" t="inlineStr">
        <is>
          <t>成功</t>
        </is>
      </c>
      <c r="C4490" t="inlineStr">
        <is>
          <t>読み方：せいきゅう
［名・形動］
１気が短くせっかちなこと。また、そのさま。「—な結論を避ける」
２物事の進みかたが急であること。また、そのさま。「—な解決を要する問題」</t>
        </is>
      </c>
      <c r="D4490" t="inlineStr">
        <is>
          <t>性急すぎる；性急な改革；性急な行動；性急な判断；性急過ぎ</t>
        </is>
      </c>
      <c r="E4490" t="inlineStr">
        <is>
          <t>大急ぎ；早急；慌ただしい；慌しい；拙速</t>
        </is>
      </c>
      <c r="F4490" t="inlineStr">
        <is>
          <t>御性急</t>
        </is>
      </c>
      <c r="H4490" t="n">
        <v>29</v>
      </c>
      <c r="I4490" t="inlineStr">
        <is>
          <t>関係者の皆様には事実を確認せずに性急な判断をしないように求めます。；その後すぐこの男が自分の性急さを後悔していたことは、明らかだった。；それは恋愛としかしてそれに続く性慾の性急にも似ているといっていい。；分別臭いことを言うようだが、性急に結論を出すべきではないと思うな。；長い目で見たとき、やはり性急であったのではないかと思わざるを得ない。；わかったようなわからないような説明で、性急な抽象論の域を出ていない。；性急に生きて収容所で命を終えたジャックは、ひとつの思想でしかない。；彼の耳にはマチルドが性急に部屋のなかを歩いているのが聞こえた。；このたびは帝も性急に手を出されるようなふるまいはなさいませんでしょう。；わたしのような年齢の者が、つい性急なことを言ってしまいました。；二人は尊大かつ性急に、禁断の冒涜行為の完了を求めているようだった。；それにも拘らず性急に共通通貨を導入すると、経済を悪化させる事になる。；それが火の出るやうな性急で鞭撻されるので、大抵の生徒は悲鳴をあげた。；とはいっても、決心の興奮にかられるままに性急に実行したのではなかった。；時計に至ってはあまりにも性急に導入されたために一部を除いて普及することはなかった。；しかし、それをいきなり金だときめつけるのは少し性急じゃないかな。；性急にわたしがあのかたの意中の人などとは思いこんだりいたしませんわ。；わたしはただ性急に一日を晩まで暮らそうとあせっていたのである。；南へ行く連中がぶらぶらと歩いているのに彼女は早足で、性急そうだった。；しかし、あなたの性急な答にはちゃんとした根拠があるでしょうか?；そこでついに、あまり性急にやるから謎が解けないのだと判断した。；それはあまりに性急であまりに無分別で、あまりに突然すぎるからでした。；急にじっとしていられない気持で、行動も性急になっていた。；彼は先生夫妻をびっくりさせるほどの性急さでたずねた。；しかし性急過ぎた方針に政府内でも反発が起き、政祭一致の方針は転換されていく。；何が味方で何が敵か、性急にきめてしまうのは危険な気がした。；ウルバヌス6世は選出後、性急に教会の改革を宣言して高圧的な態度に出た。；展開がスムーズになったのはいいが、今度は性急過ぎはしないか。；この『そうだわ』をいった性急な調子は、わたしを驚かしたくらいである。</t>
        </is>
      </c>
      <c r="J4490">
        <f>HYPERLINK("https://www.weblio.jp/content/性急", "词义详情")</f>
        <v/>
      </c>
      <c r="K4490">
        <f>HYPERLINK("https://yourei.jp/性急", "查看例句")</f>
        <v/>
      </c>
    </row>
    <row r="4491">
      <c r="A4491" t="inlineStr">
        <is>
          <t>請求書</t>
        </is>
      </c>
      <c r="B4491" t="inlineStr">
        <is>
          <t>成功</t>
        </is>
      </c>
      <c r="C4491" t="inlineStr">
        <is>
          <t>読み方：せいきゅうしょ
物品や代金の支払いなどを請求するために出す文書。</t>
        </is>
      </c>
      <c r="D4491" t="inlineStr">
        <is>
          <t>請求書発行事業者(3%)；請求書関係変数；請求書払い；請求書等；請求書送付先</t>
        </is>
      </c>
      <c r="E4491" t="inlineStr">
        <is>
          <t>請求；勘定；愛想；書き出し；書き付け</t>
        </is>
      </c>
      <c r="F4491" t="inlineStr">
        <is>
          <t>適格請求書；適格簡易請求書</t>
        </is>
      </c>
      <c r="H4491" t="n">
        <v>29</v>
      </c>
      <c r="I4491" t="inlineStr">
        <is>
          <t>これは各々の注文はそれぞれ対応する一つの請求書をもつことを意味する。；ぼくのところへきた請求書、これなんすけどね、こんな筈ないでしょ!；ようやくにして戦後の荒廃した生活の請求書が廻ってきたのではないかと思う。；叔父は、請求書と叔母の顔をちらちらと交互に見つつ、そう言っていた。；しかし現実には、一つの請求書は複数の注文に対して発行することができる。；それぞれが好きなお店で仕立てて、請求書だけをWWWAにまわしたのだ。；それから二三日すると、肉屋の店に、件の判事からの仕払請求書が来た。；彼はその帳簿になにかの請求書のようなものからしきりに数字を書きこんでいた。；このことは各々の請求書にはそれぞれ必ず一つの注文があるということである。；そのとき私の眼は、壁に画鋲でとめてあった書店の請求書をとらえた。；結構な金額に上る請求書を握りしめ、ロレンスは力の限りに走っていた。；その内容として「車両検査請求書」には次のような施行指示が記載されていた。；この言葉と請求書をつきあわせてみると、薫の考えていることが見えて来る。；そしてさっそく六品料理二人前と酒八本分の請求書をさし出した。；ところが共同経営であったにもかかわらず、彼らは常に別々に請求書を発行していた。；いつまでも手書きの請求書を渡していたのでは、いかにも遅れた会社の印象があった。；請求書とは、何らかの行為を求めていることを相手に通知するために発行する文書。；手紙を全部読み、請求書や振込書類の束をいらついて脇に押しやった。；口座振替のお知らせ・ご利用料金のご案内など紙の請求書は有料化された。；まるで、請求書を持って来る鉛管工の親方そっくりの顔つきではないか。；陸軍から来た請求書を一瞥した取締役は、きっぱりと要求を撥ねつけた。；計算ミスかと思って、請求書にある番号へ電話してみた。；請求書を見て、顔色を変える男たちの姿が目に浮かんだ。；請求書には林檎百二十個とあったから、それでも今日の分と合わせて三十九個食べたことになる。；これらの書類は正規の文具または請求書綴りを使用して作成された。；今日もまた請求書を取りに使いがきていたわ。；これは注文と請求書の間に「多対多」の関連があるということである。；「手紙の中に一つか二つ請求書も入っていたにちがいありませんわ」ベティはいった。；請求書がくるとサラリーの三倍ほどにもなっている月があった。</t>
        </is>
      </c>
      <c r="J4491">
        <f>HYPERLINK("https://www.weblio.jp/content/請求書", "词义详情")</f>
        <v/>
      </c>
      <c r="K4491">
        <f>HYPERLINK("https://yourei.jp/請求書", "查看例句")</f>
        <v/>
      </c>
    </row>
    <row r="4492">
      <c r="A4492" t="inlineStr">
        <is>
          <t>制御</t>
        </is>
      </c>
      <c r="B4492" t="inlineStr">
        <is>
          <t>成功</t>
        </is>
      </c>
      <c r="C4492" t="inlineStr">
        <is>
          <t>読み方：せいぎょ
［名］(スル)
１相手を押さえて自分の思うように動かすこと。「欲望を—しきれない」
２機械・化学反応・電子回路などを目的の状態にするために適当な操作・調整をすること。「運転を自動的に—するシステム」</t>
        </is>
      </c>
      <c r="D4492" t="inlineStr">
        <is>
          <t>制御する(16%)；制御器(4%)；制御方式(2%)；制御できる(2%)；制御室</t>
        </is>
      </c>
      <c r="E4492" t="inlineStr">
        <is>
          <t>管理；制限；操作；管轄；規制</t>
        </is>
      </c>
      <c r="F4492" t="inlineStr">
        <is>
          <t>自動制御；直接制御；制御回路；制御車；コンピュータ制御</t>
        </is>
      </c>
      <c r="G4492" t="inlineStr">
        <is>
          <t>制御車；制御システム；制御電動車；制御盤；制御棒</t>
        </is>
      </c>
      <c r="H4492" t="n">
        <v>29</v>
      </c>
      <c r="I4492" t="inlineStr">
        <is>
          <t>ほかの言語でもよくみられるような制御構造を用いることができる。；電源や制御は外部に依存しており、本体は主に駆動部で構成されている。；入力がLOのときの電流の制御の考え方がこの構成でも適用されている。；制御用コンピュータと本体は光ファイバーのケーブルで接続されている。；電気的に中性であるため、観測だけでなく中性子を制御するのも難しい。；南大阪線の現存する全車両の制御器は日立製作所製で統一されている。；設備の制御は携帯電話などのモバイル機器からも可能であるという。；推進ユニットは制御されず弾道軌道上を飛行して目標よりも低い地点に落ちる。；その後、東横線用では2007年より間接制御式への変更が実施された。；これらは制御方法が異なるため、それぞれ別のドライバが必要である。；日本では、この頃から小規模な水力発電の集中制御化・無人化が進んだ。；制御用も同じシステムからなる、二重冗長化データバスシステムで構成。；戦争の危機が高まり、急速に事態が緊張化して制御不能となっていく。；OZ製の一般的なモビルスーツではレバーやペダルを用いて制御を行う。；飛行方向の制御から武器選択と発射まではスティック部でおこなえる。；同一の線路上の複数の車両を個別に制御する方式の総称である。；小脳の筋紡錘への制御に異常が生じて筋トーヌスが下がるとされている。；その操作を制御するための専用言語が開発されてきた。；軌道制御には東西方向の制御と南北方向の制御がある。；彼女は、身体的苦痛を制御するためにオピオイドを実験的に使用した。；家庭用、産業用問わず電子制御を必要とする製品において広く用いられている。；つまり、強大な権力をもってしても制御できないものと例えられたのである。；上記のコードは値と式を制御するために名前呼びを用いている。；さらに機械分野でも制御機能の高度化に伴い自動車や各種産業機器にも組込まれている。；本系列においても03系以来となる車両制御情報管理装置を搭載している。；それを補正するために静止衛星は定期的に軌道制御をする必要がある。；なお、半導体制御化が進んでいるが、重要な箇所にはリレーが残っている。；PMSMの制御方式は数多くあり、電動機の構造や範囲に応じて選択する。；各制御ユニットには対応するアドレスの範囲が割り当てられている。</t>
        </is>
      </c>
      <c r="J4492">
        <f>HYPERLINK("https://www.weblio.jp/content/制御", "词义详情")</f>
        <v/>
      </c>
      <c r="K4492">
        <f>HYPERLINK("https://yourei.jp/制御", "查看例句")</f>
        <v/>
      </c>
    </row>
    <row r="4493">
      <c r="A4493" t="inlineStr">
        <is>
          <t>税金</t>
        </is>
      </c>
      <c r="B4493" t="inlineStr">
        <is>
          <t>成功</t>
        </is>
      </c>
      <c r="C4493" t="inlineStr">
        <is>
          <t>読み方：ぜいきん
国または地方公共団体に租税として納付する金銭。「—がかかる」「—を納める」</t>
        </is>
      </c>
      <c r="D4493" t="inlineStr">
        <is>
          <t>税金逃れ；税金投入；税金滞納；税金泥棒；税金問題</t>
        </is>
      </c>
      <c r="E4493" t="inlineStr">
        <is>
          <t>寄与；税；課税；租税；徴税</t>
        </is>
      </c>
      <c r="F4493" t="inlineStr">
        <is>
          <t>課される税金；かかる税金；重い税金；税金不払い；税金徴集</t>
        </is>
      </c>
      <c r="G4493" t="inlineStr">
        <is>
          <t>税金の無駄遣い；税金鳥；税金党</t>
        </is>
      </c>
      <c r="H4493" t="n">
        <v>29</v>
      </c>
      <c r="I4493" t="inlineStr">
        <is>
          <t>だからと言うわけなのか、比較的収入が高く、土地も高く、税金も高い。；ジズヤは単なる税金であるだけでなく、従属の象徴的な表現でもあった。；次のようなケースでは確定申告をすると算出された税金が戻る場合がある。；商人が市を出入りすることから、橋は市に使用料と税金をもたらした。；なぜなら学校への寄付の合計の方が彼の払う税金よりも大きいからである。；この税金当たりで消費される率では最下位に近い42位になっている。；税金の一部を撤廃することは危機に対する明白な解決策の1つであった。；アダムズはこの税金がアメリカ植民地人の自由を直接攻撃していると示唆した。；海外リーグ所属の選手はその国の税法に基づき税金をその国に納める。；このことには直ぐに抵抗があり、多くの商人が税金を払うことを拒否した。；そこで旅には慣れているだろうと税金を納めに行くことになった。；そのため、ホテルの運営にはニューヨーク市の市民の税金が使われた。；新政府が国民にかけた税金はオスマン帝国時代以上に重たいものだった。；税金で支えられる公立学校体系を作った最初の町として知られている。；大部分が税金を原資としており、どの分野も公的・民間の両方が存在する。；一つの州で集められた税金や関税が国内の他の州の改良に使われることにも反対した。；この反乱に参加したのは戦争の負債と税金に憤った小農が大半だった。；多く立ち上げられた事業に資金と税金が注ぎ込まれたからである。；しかし、反対者は税金納入者にとって重大なリスクがあると感じている。；これは市の税金で運営されているこのマンションが市の職員以外に利用されることを防ぐためである。；また、民間所有の里山であっても国家に税金を支払うことが多かった。；日本で消費される石油には多段階にわたってさまざまな税金がかかっている。；日本人はこれは税金であって、外交施設は課税されるべきでないと主張した。；税金関連の書類や外国金融機関の取引記録を探していたという。；裁判所の建設ともに定期的に市場の開放が行われ、税金の免除がなされた。；都市の中産階級である商人と職人は税金を課され、移動を禁止されていた。；これは資産家達による税金逃れの手段と判断され大きな論争となった。；寄附額以上の税金が控除されるものではないので、節税には繋がらない。；何故ならば同地域はデンマーク国王に税金を払ってきたからである。</t>
        </is>
      </c>
      <c r="J4493">
        <f>HYPERLINK("https://www.weblio.jp/content/税金", "词义详情")</f>
        <v/>
      </c>
      <c r="K4493">
        <f>HYPERLINK("https://yourei.jp/税金", "查看例句")</f>
        <v/>
      </c>
    </row>
    <row r="4494">
      <c r="A4494" t="inlineStr">
        <is>
          <t>生計</t>
        </is>
      </c>
      <c r="B4494" t="inlineStr">
        <is>
          <t>成功</t>
        </is>
      </c>
      <c r="C4494" t="inlineStr">
        <is>
          <t>読み方：せいけい
生活のための手段・方法。活計。「一家の—を立てる」</t>
        </is>
      </c>
      <c r="D4494" t="inlineStr">
        <is>
          <t>生計を立てよ；生計費；生計を同じく；生計維持；生計手段</t>
        </is>
      </c>
      <c r="F4494" t="inlineStr">
        <is>
          <t>細々と生計；働いて生計；教えて生計；描いて生計；自ら生計</t>
        </is>
      </c>
      <c r="H4494" t="n">
        <v>29</v>
      </c>
      <c r="I4494" t="inlineStr">
        <is>
          <t>この頃のダーウィン家は父や叔父の残した財産の運用で生計を立てていた。；一般的には死亡時に死者によって生計を維持していた者とすることが多い。；これらの仕事でフックは科学で生計を立てることができるようになった。；このために、マカオの人々は伝統的に海に目を向けて生計を立ててきた。；父の惲日初は清を嫌い僧になって身を隠し、講師などで生計を立てた。；生家は横浜駅の目の前、一家は父親の宮大工の仕事で生計を立てていた。；三条西家も、他の公家と同様に荘園からの収入などで生計を立てていた。；亜樹は上京後、年齢を偽りながらも雀荘で働くことで生計を立てていた。；高校生になると家庭環境が複雑となり自分で生計を立てることになる。；彼は故郷から近い晋陽で、農耕や狩猟で生計を立てながら生活を送った。；皇子の生計を支えるために設定された一種の封戸を管理する役職である。；彼は自分が獲得したメダルの多くを、家族の生計を支えるために売却した。；このため、いつしか時計の仕事だけで生計が立てられるようになった。；追加金がなかったら、漫画で生計を立てることができなかったとされている。；その後は新聞取次店を営みながら生計を立て、清貧と信仰の生活を送る。；戦後は故郷に戻り、一時は炭焼きをして生計を立てた時期もあった。；身分型の商人に属し、生計は身分にもとづく収入で保証されていた。；しかし半年余りで銀行を辞め、音楽関係の仕事で生計を立てる決心をした。；で学び技師となった後は、アニメーションの脚本を手掛け生計を立てた。；しかし仕事に満足できず、芸術的な活動で生計を立てようと考えた。；晩年は不遇で、アマチュアにボクシングを教え生計を立てていたという。；そんな気風の中で、唐寅は自作の絵や書を売りながら生計を立てていく。；ファッションモデル、CMモデルの仕事をしながら生計を立ててていた。；父親は農業を営む傍ら地元の森林組合に勤務して生計を立てていた。；二人とも自宅で椅子の藁を詰め替える仕事を引き受けて生計を立てていた。；独立の生計を立てていない成年の子はただ懲戒権のみに服するだけである。；アマチュア選手だったため他にも仕事をして生計をたてていた。；高校卒業後は定職に就かず百科事典の訪問販売などで生計を立てていた。；青年の頃は、ダンスホールでピアノを弾いたりして生計を立てていた。</t>
        </is>
      </c>
      <c r="J4494">
        <f>HYPERLINK("https://www.weblio.jp/content/生計", "词义详情")</f>
        <v/>
      </c>
      <c r="K4494">
        <f>HYPERLINK("https://yourei.jp/生計", "查看例句")</f>
        <v/>
      </c>
    </row>
    <row r="4495">
      <c r="A4495" t="inlineStr">
        <is>
          <t>清潔</t>
        </is>
      </c>
      <c r="B4495" t="inlineStr">
        <is>
          <t>成功</t>
        </is>
      </c>
      <c r="C4495" t="inlineStr">
        <is>
          <t>読み方：せいけつ
［名・形動］
１汚れがないこと。衛生的であること。また、そのさま。「からだを—に保つ」「—な下着」⇔不潔。
２人柄や行いが清らかで、うそやごまかしなどがないこと。また、そのさま。「—な選挙」
[派生]せいけつさ［名］</t>
        </is>
      </c>
      <c r="D4495" t="inlineStr">
        <is>
          <t>清潔な感じ(2%)；清潔そう(2%)；清潔好き；清潔な部屋；清潔な水</t>
        </is>
      </c>
      <c r="E4495" t="inlineStr">
        <is>
          <t>いい；よい；良い；正しい；正直</t>
        </is>
      </c>
      <c r="F4495" t="inlineStr">
        <is>
          <t>白い清潔；清潔な匂い；清潔なベッド；清潔法；清潔な服</t>
        </is>
      </c>
      <c r="H4495" t="n">
        <v>29</v>
      </c>
      <c r="I4495" t="inlineStr">
        <is>
          <t>廊下にも部屋の中にも二人の眼を驚かすほどの清潔さは見られなかった。；すべてが適切に運用されており、文句のつけようがないほど清潔だった。；完全に清潔にしていない入院患者で医師に非常に不愉快なことがあった。；食品を製造する機械であるため徹底的に清潔にしなければならなかった。；けれども実際にその水を使う者にはまず水を清潔に保つことがさきだ。；併しそれをとがめるよりも、先に立ち先に立ちしてこちらで清潔にする。；その清潔と孤独さが、女の脚や腕や腰を一さう美しく見せるのだつた。；それよりも安価で清潔に消毒もできる瀬戸物類の方がよいと思われます。；住民に十分な量の清潔な水を供給することは、かつて大きな問題点であった。；その清潔と孤独さが、女の脚や腕や腰を一そう美しく見せるのだった。；人間の心もこのように清潔になれば戦争をするより希望はなくなるのかもしれぬ。；あの映画には、いままでの日本の映画に無かった清潔な新しさがあった。；南部の水は豊富だが深刻な水質汚濁のため清潔な水は不足している。；清潔にしておきさえすれば、そんなものなくたって、ちゃんと治るはず。；南方へ来て、清潔に女を愛する感情が、呆けてしまつたやうな気がした。；この娘の顔は原画は非常に清潔な美しさを持っているのですがよく見えませんね。；道はレンガ風に舗装されており、明るく清潔なイメージを醸成している。；目の前に広がるのは真っ白なリノリウム・・・とても清潔そうな空間。；清潔なベッドで、ぱりっとしたシーツにくるまれて眠っている夢を見た。；そして村や住居が清潔で衛生的に改善されていてなかなか立派だ。；木材がまことに白くて清潔なので、この作品は完全そのものであった。；外のネパールとかあるいはブータンとかの種族はこれほどに清潔でない。；言語・習俗は高車と同じであり、周辺民族の中でも清潔であったという。；しかし、ここには清潔な部屋と、おいしくて豊富な食事が用意されていた。；この劇場はお世辞にも清潔ではないが、照明が落ちると本当に暗くなった。；いいあんばいに燐をのんでたおれたのだったから、清潔だったけれども。；かれらの清潔な輝いた顔には、希望と熱烈なおもいが映しだされている。；清潔な下着と制服と勲章を二〜三お召しになれば、まだ現役の国王です。；このようにして得た灰は清潔な場所に保存し必要なときに使う。</t>
        </is>
      </c>
      <c r="J4495">
        <f>HYPERLINK("https://www.weblio.jp/content/清潔", "词义详情")</f>
        <v/>
      </c>
      <c r="K4495">
        <f>HYPERLINK("https://yourei.jp/清潔", "查看例句")</f>
        <v/>
      </c>
    </row>
    <row r="4496">
      <c r="A4496" t="inlineStr">
        <is>
          <t>政権</t>
        </is>
      </c>
      <c r="B4496" t="inlineStr">
        <is>
          <t>成功</t>
        </is>
      </c>
      <c r="C4496" t="inlineStr">
        <is>
          <t>読み方：せいけん
政策を実行し、統治機構を動かす権力。「—を握る」「—政党」</t>
        </is>
      </c>
      <c r="D4496" t="inlineStr">
        <is>
          <t>政権下(7%)；政権時代；政権獲得；政権内；政権側</t>
        </is>
      </c>
      <c r="F4496" t="inlineStr">
        <is>
          <t>地方政権；前政権；平氏政権；保守党政権；ソビエト政権</t>
        </is>
      </c>
      <c r="G4496" t="inlineStr">
        <is>
          <t>政権運営；政権与党；政権崩壊；政権打倒；政権党</t>
        </is>
      </c>
      <c r="H4496" t="n">
        <v>29</v>
      </c>
      <c r="I4496" t="inlineStr">
        <is>
          <t>ニヤゾフ政権時代は極端な報道規制により海外から多くの批判を受けた。；ドイツではドイツ社会民主党がワイマール共和国で長く政権を担当する。；ウガンダではムセベニ政権の成立以後、県の増設が盛んに行われてきた。；は、日本の歴史のうち、江戸幕府が政権を握っていた時代の末期を指す。；政権連立がよく発生し、一党政権は1989年を最後に存在していない。；日本では一般的には政権を担っている政党を指して用いられている。；ナジャフに入り、アメリカ主導の暫定統治政権に協力的な姿勢を見せた。；このような状況から、黒人の新政権への不満が高まることになってしまった。；これは、主にトゥーレ政権時の農業政策の失敗に主因があるとされている。；事態を危険視した社民党政権のノスケ国防相は軍や義勇軍の動員を決定。；中華人民共和国は中華民国政権を承認していないので、臺軍と呼ばれている。；王位に就いたエドワード4世であったが、成立した政権は不安定であった。；新たに政権を握った海軍中将は保守化し、外資導入が再び進められた。；これは、日本は同島を含む千島列島の施政権を停止させるものだった。；しかし、関東地方の諸政権には近いため、政権への従属的傾向が強くなる。；チャウシェスク政権の時代に、教会や修道院の建物の取り壊しが実施された。；しかし、2021年現在の時点においても日本の施政権は及んでいない。；後に全ての宗教を非合法化とした社会主義政権となり消滅した。；三国時代の政権にはそれぞれの国家に戦闘力として利用された。；それに比べて橋本らの行動は単なる欧米風の政権奪取にすぎないと考えたのである。；その結果、各共和国にはいずれも民族色の強い政権が樹立された。；政治家としての最高位はジョージ・W・ブッシュ政権での国務長官である。；朝鮮では戦争終結後、政権の腐敗改善などがあったものの政争は続いていた。；その後、米ドナルド・トランプ政権下では関係が再び冷え込んでいる。；これが、重臣の裏切りや政権破綻の原因になったと指摘されている。；その後、自民政権下の2015年1月14日に前倒しが正式に決定した。；特に会津藩は一会桑政権を構成し、長州藩、後に薩摩藩と対立していた。；フセイン政権それ自体の打倒は1か月もたたないうちに成功裏に終わる。；スハルト政権の崩壊後、世界で最も地方分権化が進んだ国の一つに数えられている。</t>
        </is>
      </c>
      <c r="J4496">
        <f>HYPERLINK("https://www.weblio.jp/content/政権", "词义详情")</f>
        <v/>
      </c>
      <c r="K4496">
        <f>HYPERLINK("https://yourei.jp/政権", "查看例句")</f>
        <v/>
      </c>
    </row>
    <row r="4497">
      <c r="A4497" t="inlineStr">
        <is>
          <t>制限</t>
        </is>
      </c>
      <c r="B4497" t="inlineStr">
        <is>
          <t>成功</t>
        </is>
      </c>
      <c r="C4497" t="inlineStr">
        <is>
          <t>読み方：せいげん
［名］(スル)物事にある限界を設けること。また、その限界。「入会資格に—を加える」「医者に飲酒を—される」
[用法]制限・制約——「制限（制約）を無視して勝手にふるまう」「年齢に制限（制約）がある」など、限度を設ける意では相通じて用いられる。◇「制限」はある枠の中におさえる意。「酒の量は一合に制限する」「速度制限」「制限時間」◇「制約」は条件をつけて行動をおさえる意。「時間の制約があって、十分に話せなかった」「制約をはねのける」◇類似の語に「規制」がある。「規制」は規則に従って、一定の限度におさえたり、禁止したりすること。「輸入量を規制する」「夜間の飛行を規制する」</t>
        </is>
      </c>
      <c r="D4497" t="inlineStr">
        <is>
          <t>制限する(8%)；制限される(6%)；制限時間内；制限付き；制限中立フィールド</t>
        </is>
      </c>
      <c r="E4497" t="inlineStr">
        <is>
          <t>指定；条件；制御；限定；規制</t>
        </is>
      </c>
      <c r="F4497" t="inlineStr">
        <is>
          <t>無制限；厳しく制限；厳しい制限；重量制限；高さ制限</t>
        </is>
      </c>
      <c r="G4497" t="inlineStr">
        <is>
          <t>制限酵素；制限区域；制限選挙；制限事項；制限行為能力者</t>
        </is>
      </c>
      <c r="H4497" t="n">
        <v>29</v>
      </c>
      <c r="I4497" t="inlineStr">
        <is>
          <t>これらの理由によって運転本数増加や速度向上は大きく制限されている。；このような販売はバーの業務と考えられ、バーにはより厳しい制限がある。；これは主に政府の制限を回避した中国での違法な産出が原因となっている。；このような駅の場合、JRの乗車券類の発売に制限が生じる場合がある。；また、アメリカが加盟を拒否したことで、連盟の力は制限されていた。；上記の通り、「鎖国」は外国との交流を制限するものと解釈されてきた。；その権力は市民革命を経て徐々に制限され、立憲君主に移行していった。；しかし、それらは強力すぎるため、変換の適用は制限される必要がある。；スイッチバックの短所は、以下の様な多くの制限を受け得ることである。；そのようなことで自分の行動を制限されることを孟子は良しとしない。；実際は多くの生物でコドンの利用の偏りがこのことに制限を与えるが。；しかし、20世紀に入ると国家の行動の自由を制限するようになった。；このため一部車両はこの区間を通過することができず、車両の運行制限がある。；より高い次元ではフーリエ変換の制限問題の研究が興味深いものになる。；パーティー用クラッカーなど一部の品目を除き購入や消費に制限がある。；しばしば正のスカラー倍のみを許すように定義を制限することもある。；また使用にも制限があり、場合によっては刑に処されることさえあった。；ボールが無い場所で、相手選手の移動を制限する位置に立つこと。；すなわち、 は への制限が消えているような線型汎函数 全てからなる。；逆に、行動可能な部隊数などが自動またはランダムで制限される場合もある。；簡単な管理、無制限のユーザー数、無制限のデータサイズなどを特徴とする。；紛失・盗難時の取り扱いにも制限があったり取り扱いのない場合もある。；入線可能な列車は基本的に20 m級車では6両編成までに制限される。；現在では、生物の持込には厳しい制限を敷く保護政策がとられている。；このような道路の制度は日本独自のもので通行権の制限がある。；調理室があり、簡単な食事なども寮の中で作れるが、使用は制限される。；これはAIMDがより小さな系あるいはより短い時間に制限されることを意味する。；これは性別によって国家資格の取得が制限される稀な例となっている。；これは の制限として得られる対応 が写像となることといっても同じである。</t>
        </is>
      </c>
      <c r="J4497">
        <f>HYPERLINK("https://www.weblio.jp/content/制限", "词义详情")</f>
        <v/>
      </c>
      <c r="K4497">
        <f>HYPERLINK("https://yourei.jp/制限", "查看例句")</f>
        <v/>
      </c>
    </row>
    <row r="4498">
      <c r="A4498" t="inlineStr">
        <is>
          <t>成功</t>
        </is>
      </c>
      <c r="B4498" t="inlineStr">
        <is>
          <t>成功</t>
        </is>
      </c>
      <c r="C4498" t="inlineStr">
        <is>
          <t>読み方：じょうごう
《公事(くじ)をつとめて、功を成す意》平安中期以降に盛んになった売官制度。私財を朝廷に寄付して造宮・造寺などを行った者が、その功によって官位を授けられるもの。</t>
        </is>
      </c>
      <c r="D4498" t="inlineStr">
        <is>
          <t>成功する(9%)；成功すれ；成功例；成功作；成功裡</t>
        </is>
      </c>
      <c r="E4498" t="inlineStr">
        <is>
          <t>完成；発展；達成；繁栄；成る</t>
        </is>
      </c>
      <c r="F4498" t="inlineStr">
        <is>
          <t>不成功；商業的成功；商業的な成功；作戦成功；無事成功</t>
        </is>
      </c>
      <c r="G4498" t="inlineStr">
        <is>
          <t>成功者；成功裏；成功報酬；成功事例；成功体験</t>
        </is>
      </c>
      <c r="H4498" t="n">
        <v>29</v>
      </c>
      <c r="I4498" t="inlineStr">
        <is>
          <t>今後、受け入れた人々の社会統合をより成功させるためにも重要なこと。；しかしながら費用の理由から、どちらの提案も成功することはなかった。；この広場で行った演説は彼の政治活動のなかで最も成功したものだった。；歴史的に跨座式より古く、商業的に成功したのも懸垂式の方が先である。；三反五反運動が体制を浄化することに成功したことも忘れてはならない。；この後は中期と呼ばれ、コーダの拡張など古典派形式の拡大に成功した。；技の名前に、それを最初に成功させた選手の名前が付くことも特徴である。；彼は、IBMの新しいシステムは重要な商業的な成功でないと思っていた。；しかしいずれも確実な成功を収めたものとまではいえなかった。；また、歴史上において最も成功した軍事指揮官であると広く考えられている。；敵から逃げることに成功した場合も戦闘終了となるが、この場合は何も得られない。；すでに医師が多くいる地域だったためこれ以上の成功は望めない状況だったという。；アルバムリリースを重ねるごとに熱心なファンを作り出すことに成功。；しかしこれを開始してもノベルの望みほどには成功しなかった。；トムスキイやリザヴェータのモデルを求める試みは成功をみていない。；そのため、小中学生を中心に一定のシェアを獲得することに成功した。；この重要で難解な作業を成功させるために、生物は遺伝子を活用する。；もちろん、根気強く分解を試みればいつかは復号に成功するわけである。；ドイツが守備に成功することはもはや不可能であった。；おそらくシェイクスピア自身が経済的に大きな成功を収めていたためである。；テーマパークの成功のためには、コンテンツの魅力と充実が求められる。；連邦崩壊後も何度か再統合が試みられたが成功していない。；この企画は女性には人気が高いといわれ、新規顧客獲得に成功した。；ナインティナインはこれを機に、東京での知名度上昇に成功している。；デラニーは脱出には成功したもののパラシュートが開かず戦死した。；アルバムは大規模な商業的かつ重要な成功を収めた。；祖父・茂丸が台湾で関与した蓬萊米をインドに移植することに成功している。；成功した実業家の子孫は親ほど有能ではないと信じていた。；攻撃を成功させるとポイントとなり、規定のポイントを先取した選手が勝利する。</t>
        </is>
      </c>
      <c r="J4498">
        <f>HYPERLINK("https://www.weblio.jp/content/成功", "词义详情")</f>
        <v/>
      </c>
      <c r="K4498">
        <f>HYPERLINK("https://yourei.jp/成功", "查看例句")</f>
        <v/>
      </c>
    </row>
    <row r="4499">
      <c r="A4499" t="inlineStr">
        <is>
          <t>精巧</t>
        </is>
      </c>
      <c r="B4499" t="inlineStr">
        <is>
          <t>成功</t>
        </is>
      </c>
      <c r="C4499" t="inlineStr">
        <is>
          <t>読み方：せいこう
［名・形動］仕組みが細かくよくできていること。また、そのさま。「—なからくり」</t>
        </is>
      </c>
      <c r="D4499" t="inlineStr">
        <is>
          <t>精巧な彫刻；精巧な人形；精巧な細工；精巧な機械；精巧な作り</t>
        </is>
      </c>
      <c r="E4499" t="inlineStr">
        <is>
          <t>細かく；繊細；緻密；凝った；精緻</t>
        </is>
      </c>
      <c r="F4499" t="inlineStr">
        <is>
          <t>精巧無比；精巧仕様；精巧な偽造券；精巧な模造品；精巧な義手</t>
        </is>
      </c>
      <c r="H4499" t="n">
        <v>29</v>
      </c>
      <c r="I4499" t="inlineStr">
        <is>
          <t>長さ二十何間とかあって顔は無論鱗や腹の具合が精巧を極めたものだよ。；中には本物そっくりに精巧に作られたガラスの眼球が一個入っていた。；前者は精巧で更に国際的な料理や肉などの大量の高価な食材で彩られた。；枠と文字自体は、精巧な動物型の螺旋と結び目でさらに装飾されている。；それぞれ相手の顔を模した精巧なマスクをかぶって、相手の生活を体験。；ザウルス号以降の企画では精巧な人形を使っての人物の描写を予定していた。；よく見たことのある、実に精巧に描かれているページがふっと目に入った。；角柱の四辺には円柱状の装飾があり、上部は精巧な浮彫が行われている。；二面の壁が精巧な枠にはまった透明なガラスになっている部屋である。；考古学的には多数の精巧な金製品をはじめとする遺物・遺跡を残している。；粗削りな泥人形の下からは少しばかり精巧な泥人形が現れているのだ。；貧困を極めて精巧に描き出す李の筆は南北を通じて高く評価されている。；魚を薄く精巧に切った「平作り」などについて次のように記述している。；我々が分析するシステムはしばしば我々と同じぐらい精巧である。；背景の粗雑に引かえて、押絵の細工の精巧なことは驚くばかりであった。；それは今まで彼の見た事のない、精巧な織模様のある着物であった。；とても精巧な奇妙なデザインが刺繍されて、長さは男の腰まであるかないか。；だがそのようなものは他の誰も見ておらず、精巧な合成写真かと疑われる。；外壁は赤・黄・黒の三色で彩色された精巧な木彫り装飾で飾られている。；これは当時は精巧な時計が無く、経度の測定が困難だったためと考えられる。；かかる時代に於て直接必要を感ぜらるるものは、第一に精巧な武器である。；農夫同盟はその開始時点から精巧な経済プログラムを持った政治的組織だった。；もっともただ一つの場所だけで動くわけで、また働きがずっと精巧ではあります。；彼の眼にはそれらの精巧なる機械も極めて簡単なるものとしか映じなかった。；そのイメージは車両グレードに見合った高級かつ精巧なものになった。；ベッドの上にあるのは、人の形をした金属の精巧な塊だった。；かれは精巧な茶色のガラス細工をしげしげとながめているところだった。；岩脈の精巧な渦巻き模様が天然の物としては複雑過ぎるように思われる。；とても精巧にできていて、こちらの最先端技術よりもずっと進歩してます。</t>
        </is>
      </c>
      <c r="J4499">
        <f>HYPERLINK("https://www.weblio.jp/content/精巧", "词义详情")</f>
        <v/>
      </c>
      <c r="K4499">
        <f>HYPERLINK("https://yourei.jp/精巧", "查看例句")</f>
        <v/>
      </c>
    </row>
    <row r="4500">
      <c r="A4500" t="inlineStr">
        <is>
          <t>星座</t>
        </is>
      </c>
      <c r="B4500" t="inlineStr">
        <is>
          <t>成功</t>
        </is>
      </c>
      <c r="C4500" t="inlineStr">
        <is>
          <t>読み方：せいざ
恒星をギリシャ神話中の人物や動物・器具などに見立てて適当に結び付け、天球を区分したもの。古代ギリシャでは48星座であったが、後に南天の星座が追加され、現在は全天を黄道12、北天28、南天48の88星座に区分している。→黄道十二星座
[補説]88星座は、アンドロメダ座・いっかくじゅう座・いて座・いるか座・インディアン座・うお座・うさぎ座・うしかい座・うみへび座・エリダヌス座・おうし座・おおいぬ座・おおかみ座・おおぐま座・おとめ座・おひつじ座・オリオン座・がか座・カシオペヤ座・かじき座・かに座・かみのけ座・カメレオン座・からす座・かんむり座・きょしちょう座・ぎょしゃ座・きりん座・くじゃく座・くじら座・ケフェウス座・ケンタウルス座・けんびきょう座・こいぬ座・こうま座・こぎつね座・こぐま座・こじし座・コップ座・こと座・コンパス座・さいだん座・さそり座・さんかく座・しし座・じょうぎ座・たて座・ちょうこくぐ座・ちょうこくしつ座・つる座・テーブルさん座・てんびん座・とかげ座・とけい座・とびうお座・とも座・はえ座・はくちょう座・はちぶんぎ座・はと座・ふうちょう座・ふたご座・ペガスス座・へび座・へびつかい座・ヘルクレス座・ペルセウス座・ほ座・ぼうえんきょう座・ほうおう座・ポンプ座・みずがめ座・みずへび座・みなみじゅうじ座・みなみのうお座・みなみのかんむり座・みなみのさんかく座・や座・やぎ座・やまねこ座・らしんばん座・りゅう座・りゅうこつ座・りょうけん座・レチクル座・ろ座・ろくぶんぎ座・わし座。</t>
        </is>
      </c>
      <c r="D4500" t="inlineStr">
        <is>
          <t>星座名(2%)；星座図；星座表；星座絵；星座以外</t>
        </is>
      </c>
      <c r="E4500" t="inlineStr">
        <is>
          <t>星辰</t>
        </is>
      </c>
      <c r="F4500" t="inlineStr">
        <is>
          <t>オリオン星座；各星座；天馬星座；バイエル星座；大熊星座</t>
        </is>
      </c>
      <c r="G4500" t="inlineStr">
        <is>
          <t>星座早見；星座の書；星座盤；星座早見表；星座物語</t>
        </is>
      </c>
      <c r="H4500" t="n">
        <v>29</v>
      </c>
      <c r="I4500" t="inlineStr">
        <is>
          <t>もっとずっとゆっくりとではあるが、星座そのものも変化しつつあった。；それは星座の名前ではなく、さして大きくはないたった一つの星だった。；彼らの知っているあらゆる星、見慣れたあらゆる星座は姿を消していた。；西の方に、彼等が自分達二人の星座にしていたオリオンが、時々現れた。；僕には天界に彼のためにとてもいい星座が設けられているような気がする。；何故なら、この文字が書かれていた所は星座の名前が書かれていた所である。；きわめて古い星座であることが分かっているもののうちの1つである。；夜であれば季節を問わずに必ず見える星座をお前は選ばなければならなかった。；知っている星座に近いものはあったが、まったく同じものはなかった。；もしもあの人の目が星座にあって、星があの人の顔にあったらどうだろう?；と言うよりも、彼はこの星座の美しさと魅力を寄せつけずにいたのだった。；したがって、星が見馴れない星座に再編成されてからすでに久しいのだ。；たとえば一九〇一年にペルセウス星座に突然出現したようなのがそれである。；こうすると天体の星を線で結び星座を描いたようなものが出来あがる。；あらゆる星座のなかでぼくのいちばん好きな大熊座の北斗七星が見える。；その背後は紫の夜明けを迎え、見知らぬ星座の星が暗い空に光っていた。；この一年かけて太陽がゆっくりと星座間を移動する道を黄道という。；尚、ソートで記載順が変わる都合上、星座などは全員をリンクしている。；古代人が星座観測や祭礼を行なっていたのではないかと考えられている場所。；それぞれの文化は、通常神話に基づいたそれぞれの星座を持っている。；プレイヤーは名前・性別・星座そして16種類の職業から1種類を選ぶ。；そんな遠い天の星を望むよりも間近にオリオン星座があるではありませぬか。；カラカロックとは、この星座に与えられたこの地方の名前なのである。；地球から見て惑星は星座の中をゆっくりと動くように見える。；他の星座はルナリアンがまだ古代人だった時代に名前が決まっている。；線を追って目を走らせるうちに見馴れた星座がどこかへ行ってしまうのだ。；宇宙の天井にある巨大な穴のまわりを星座群がぐるぐるまわっているのが見える。；このほかに13番目の星座に相当する機体としてサーペントが存在する。；これは、元々星座全体を表していた言葉がこの星の固有名とされたものである。</t>
        </is>
      </c>
      <c r="J4500">
        <f>HYPERLINK("https://www.weblio.jp/content/星座", "词义详情")</f>
        <v/>
      </c>
      <c r="K4500">
        <f>HYPERLINK("https://yourei.jp/星座", "查看例句")</f>
        <v/>
      </c>
    </row>
    <row r="4501">
      <c r="A4501" t="inlineStr">
        <is>
          <t>精細</t>
        </is>
      </c>
      <c r="B4501" t="inlineStr">
        <is>
          <t>成功</t>
        </is>
      </c>
      <c r="C4501" t="inlineStr">
        <is>
          <t>読み方：せいさい
［名・形動］細部にまで注意が行き届いていること。きわめてくわしいこと。また、そのさま。「—な調査」</t>
        </is>
      </c>
      <c r="D4501" t="inlineStr">
        <is>
          <t>精細化(5%)；精細なる(3%)；精細度(3%)；精細映像；精細な画像</t>
        </is>
      </c>
      <c r="E4501" t="inlineStr">
        <is>
          <t>正確；正しい；細かい；厳密；精度</t>
        </is>
      </c>
      <c r="F4501" t="inlineStr">
        <is>
          <t>精細かつ；精細解像度；精細液晶</t>
        </is>
      </c>
      <c r="G4501" t="inlineStr">
        <is>
          <t>精細管</t>
        </is>
      </c>
      <c r="H4501" t="n">
        <v>29</v>
      </c>
      <c r="I4501" t="inlineStr">
        <is>
          <t>背景の描写を精細にするには季節と天候とにも注意しなければならない。；こうして精細に形態上の観察を行いかつそれを記録するようにするがよい。；しかし、彼は個人的な観察から、より精細な区別が必要だと信じている。；低いシステムコストで高精細なデータを送信することを目的としている。；テレビは超高精細化が進んだが、31世紀でも娯楽の主流となっている。；自分の日常の動静に至っては、彼の報告は驚くほど精細を極めてすらいる。；従来のテレビだけではなく、高精細テレビ記録も一般化しつつある。；そこで精細に調べ上げた人数を見ると、四百何十人約五百名という数である。；自分の日常の動静に至っては、彼の報告は驚くほど精細をきわめてすらいる。；しかし今回はその笑顔にも精細がかけているように見える。；とは言え、これほど精細な仮想空間をハルユキは見たことがなかった。；構造の特徴上ドットピッチを小さくできるため、高精細表示が可能である。；理論的にいかに精細に思惟されようとも、それはこの真理の把捉でない。；特に奇術の種を精細に解説される講義では、報道陣たりとも出入禁止だ。；現在は高精細のビデオ出力とオーディオ出力にも対応している。；外に広きものこれを複雑と謂い、内に詳らかなるものこれを精細と謂う。；音声とちがい、精細な映像データを地上に送るのも容易ではない。；陣中は暇な時は非常に暇なので出來るだけ精細に書いてやつた。；製図・イラストなど精細な再現性が必要な作業に使用される。；この再研究は、太陽の活動周期をより精細に理解することを目的に行われたものであった。；それは朝鮮の精細な地図で、彼は対馬の某士を介して入手したものだといった。；精細にこれを区別して見ればこれらの観念は別々の意識であるとも考えることができる。；「土」には極めて僅のことが精細に書かれているにすぎないことを感じるのである。；人間が手書きした物とは明らかに異なった、精細な地図である。；分類は精細にすればするほど多岐になって、結局分類しないと同様になるべきはずのものである。；時刻表を精細に調べると、つばめ七号に限って岩国を通過するのである。；単に精細を粧うためならば、このようにまでするには及ばなかった。；見れば、過去の中では幾つかの字が今よりも精細だ。；このような現象でも精細な記録を作って研究すれば気象学上に有益な貢献をする事も可能であろう。</t>
        </is>
      </c>
      <c r="J4501">
        <f>HYPERLINK("https://www.weblio.jp/content/精細", "词义详情")</f>
        <v/>
      </c>
      <c r="K4501">
        <f>HYPERLINK("https://yourei.jp/精細", "查看例句")</f>
        <v/>
      </c>
    </row>
    <row r="4502">
      <c r="A4502" t="inlineStr">
        <is>
          <t>制裁</t>
        </is>
      </c>
      <c r="B4502" t="inlineStr">
        <is>
          <t>成功</t>
        </is>
      </c>
      <c r="C4502" t="inlineStr">
        <is>
          <t>読み方：せいさい
［名］(スル)法律や規則、また慣習・伝統などの社会的規範に背いた者に対して加えられるこらしめや罰。また、そうした懲罰を加えること。「—を受ける」「法に基づいて—する」「鉄拳—」</t>
        </is>
      </c>
      <c r="D4502" t="inlineStr">
        <is>
          <t>制裁措置(6%)；制裁解除；制裁下；制裁リスト；制裁処置</t>
        </is>
      </c>
      <c r="E4502" t="inlineStr">
        <is>
          <t>懲罰；懲戒；懲らしめ；制裁措置；誅罰</t>
        </is>
      </c>
      <c r="F4502" t="inlineStr">
        <is>
          <t>厳しい制裁；国際的な制裁；社会的な制裁；武力制裁；ロシア制裁</t>
        </is>
      </c>
      <c r="G4502" t="inlineStr">
        <is>
          <t>制裁対象；制裁決議；制裁棒；制裁戦争；制裁手段</t>
        </is>
      </c>
      <c r="H4502" t="n">
        <v>29</v>
      </c>
      <c r="I4502" t="inlineStr">
        <is>
          <t>それにも拘わらず、このような制裁は社会を制御する強力な道具だった。；制裁的な一面もあり、反広島連合に参加したメンバーも参加させられた。；また自分が属する地方の長官の領内で犯罪があれば摘発と制裁を行った。；北に隣接するセルビアは紛争当事国となって国際的な制裁下に置かれた。；重大な違反とされたにもかかわらず、罰金その他の制裁は一切なかった。；一方が16歳未満であった場合にはより厳格な制裁が適用されている。。；この制裁の影響から、アジアサッカー連盟への移籍の可能性が示唆されている。；同時に残念ながらそれまで最大限の制裁と圧力は何があっても保ち続ける!；神さまのように人々にお告げを下したり制裁を与えたりする道具のセット。；この下記の措置のなかでも過料の制裁がある命令が可能なものは一部である。；民衆にとっては恐怖の対象であり、残忍な制裁や処刑も公然と行われる。；ウクライナ侵攻を理由とした対露制裁への参加が理由とみられる。；これはこの期限に達しない場合は制裁を考慮すべきという意図を示している。；ハーンとマーテンは降伏したことで会社から制裁を受けることはなかった。；また慣行は風習よりもより厳格な制裁を伴う強力な約束を指すものである。；ポクロンスカヤはアメリカが作成した制裁リストに記載された唯一の女性だった。；馬場入場の際に動かなくなってしまい「調教注意」の制裁を受けている。；海軍では陸軍と異なり「しごき」や肉体的制裁が公然と認められていた。；これらの規定に違反すれば行政上の制裁を科されることは当然である。；他には休戦に先立ち行われるいかなる活動にも制裁を加えないことを定めていた。；しかしその友人は仲間の制裁を恐れその伝言をヤスに伝えなかった。；実はこの小説は、和也が実際に執行した制裁を基にしたものである。；香港やウイグル自治区の人権侵害が制裁の対象になるか注目されているという。；制裁の関係で一切海外に出て行けなくなったのです。；その前に宋江は自分を陥れた悪徳官吏・黄文炳に制裁したいと言い出した。；制裁を受けたキャラクターの名前とキャラクターレベルは公式サイト上で発表される。；教会は時には許容されることもあったが、厳しい制裁下に置かれた。；制裁をとめることを目的としていたデイトン合意が結ばれた後もこれは維持され続けた。；組に所属しない流しのスリは十指全てをへし折られる凄惨な制裁を受けた。</t>
        </is>
      </c>
      <c r="J4502">
        <f>HYPERLINK("https://www.weblio.jp/content/制裁", "词义详情")</f>
        <v/>
      </c>
      <c r="K4502">
        <f>HYPERLINK("https://yourei.jp/制裁", "查看例句")</f>
        <v/>
      </c>
    </row>
    <row r="4503">
      <c r="A4503" t="inlineStr">
        <is>
          <t>政策</t>
        </is>
      </c>
      <c r="B4503" t="inlineStr">
        <is>
          <t>成功</t>
        </is>
      </c>
      <c r="C4503" t="inlineStr">
        <is>
          <t>読み方：せいさく
１政府・政党などの施政上の方針や方策。「—を立てる」「外交—」
２目的を遂行するための方針・手段。「営業—」</t>
        </is>
      </c>
      <c r="D4503" t="inlineStr">
        <is>
          <t>政策立案；政策提言；政策研究；政策転換；政策課題</t>
        </is>
      </c>
      <c r="E4503" t="inlineStr">
        <is>
          <t>手段；方針；方策；建前；ポリシー</t>
        </is>
      </c>
      <c r="F4503" t="inlineStr">
        <is>
          <t>保護政策；化政策；中立政策；大政策；諸政策</t>
        </is>
      </c>
      <c r="G4503" t="inlineStr">
        <is>
          <t>政策審議会；政策委員会；政策医療；政策審議会長；政策科学</t>
        </is>
      </c>
      <c r="H4503" t="n">
        <v>29</v>
      </c>
      <c r="I4503" t="inlineStr">
        <is>
          <t>現在でも、フランスでは標準フランス語を優越させる政策が続いている。；その中で中国国民党批判と共に日本の統治政策の再評価を訴えている。；ただしこれらの原則や政策は現状から考えて実施することは大きな困難である。；そのような場合には、大統領が望む政策を円滑に実行することは困難となる。；その研究領域の広さから政策研究や政策分析とも呼ばれる。；この反乱を受けて、ドイツは統治政策の見直しを行うこととなった。；池田はテレビを利用して政策をアピールした最初の首相でもあった。；最近では法治を重視する政策の下、一定の役割を果すようになってきている。；これは、海禁政策で貿易が自由にできなくなっていたためである。；その一方で、労働者保護のための社会保障政策の拡充も成し遂げられる。；このような測定が行われたきっかけは将軍徳川吉宗の蘭書解禁の政策。；次のパーヴェル1世は母帝を否定する政策をとったが、によって殺害された。；それはソ連の過去の行動パターンにも予測する政策にも合致しないことであった。；またこうした献上行為は信長の政策が全国の大名・領主に受け入れられた結果でもあった。；近年は政府による積極的なアイルランド語復興政策が実行されている。；基本的には、大統領が政策を選ぶことができるからである。；独立後、政府は主要産業を国有化し、保護政策の下で工業を発展させてきた。；こうした兵農分離政策は江戸時代に強化され、職業は世襲制となった。；政策科学とは、政府などの公的機関が行う政策を改善するための学問である。；最高で18位の高位まで得ることができ、この政策は効果を上げた。；輸出産業と国内産業との区分は政策や社会環境によっても変わってくる。；フランスはを優遇し、最大民族のハウサ人などを支配させる政策を採った。；また、それに合わせて数多くの下部会議や政策検討も行われる。；宣帝の政治は基本的に霍光時代の政策を継承した恤民政策であった。；チャウシェスクはルーマニアの人口を大幅に増やす政策を実施しようとした。；具体的には、入力は人々の要求と支持であり、出力は政策である。；政策レベルでの主な農業の目標として次のものがある。；この焚書は、旧書体を廃止し篆書体へ統一する政策の促進にも役立った。；政治過程とは政策の決定を巡る各集団の利益の対立や合意の形成などの政治的な過程を言う。</t>
        </is>
      </c>
      <c r="J4503">
        <f>HYPERLINK("https://www.weblio.jp/content/政策", "词义详情")</f>
        <v/>
      </c>
      <c r="K4503">
        <f>HYPERLINK("https://yourei.jp/政策", "查看例句")</f>
        <v/>
      </c>
    </row>
    <row r="4504">
      <c r="A4504" t="inlineStr">
        <is>
          <t>制作</t>
        </is>
      </c>
      <c r="B4504" t="inlineStr">
        <is>
          <t>成功</t>
        </is>
      </c>
      <c r="C4504" t="inlineStr">
        <is>
          <t>読み方：せいさく
［名］(スル)芸術作品などを作ること。「肖像画を—する」「番組の—スタッフ」</t>
        </is>
      </c>
      <c r="D4504" t="inlineStr">
        <is>
          <t>制作費；制作部；制作スタッフ；制作協力；制作活動</t>
        </is>
      </c>
      <c r="E4504" t="inlineStr">
        <is>
          <t>作品；本；設置；建設；構成</t>
        </is>
      </c>
      <c r="F4504" t="inlineStr">
        <is>
          <t>アルバム制作；映像制作；作品制作；企画制作；アニメ制作</t>
        </is>
      </c>
      <c r="G4504" t="inlineStr">
        <is>
          <t>制作者；制作局；制作プロダクション；制作中；制作陣</t>
        </is>
      </c>
      <c r="H4504" t="n">
        <v>29</v>
      </c>
      <c r="I4504" t="inlineStr">
        <is>
          <t>また総務、制作などの部門とは採用枠が別に設けられていることも多い。；全国に公演回数が増加していることから、漫画制作がさらに遅れている。；アメリカでは映画のジャンルとして野球映画が継続して制作されている。；デカルトは、人間も含めて全ての生物は神が制作した機械だと見なした。；このような手法にこだわったため、制作には翌1867年までかかった。；時期的には『スター・ウォーズ』のほうが制作開始・公開いずれも早い。；スケジュールが切迫した制作現場では手塚治虫と対立することもあった。；全ホームで東洋メディアリンクス制作の発車メロディが使用されている。；彼はまた旺盛な制作活動に戻ったが批判も聞かれるようになった。；作品の新たな制作法を開発するという形で芸術を再発明することも行われてきた。；原作小説がまだ連載中であった頃に制作されたため、結末が大幅に異なる。；宇宙刑事シリーズ終了を受けて本作品では宇宙指向で制作されている。；両絵画共に制作年は明確ではないが、1482年頃であろうと想定されている。；アルバム制作終了後、私はコントロール室内に入って全テイクを聴いた。；記念表彰は計画終了後に起業家たちが収集家を満足させるために制作した。；漫画とアニメとの違いを肌で感じ、この経験をきっかけにアニメ制作に興味を持つ。；詩劇を制作し始めたころは作品を真似するほどに尊敬していた。；またアフォリズムの制作も得意としており、漢文などにも通じていた。；そして「ピカソを超える」ことを目標に絵画制作に打ち込むようになる。；なお、結局このゲームは制作中止となり、世に出ることはなかった。；様々なサイズのカメラを使って作品制作を行っている。；クラウドサービスを活用した、より手軽な制作環境の提供に移行している。；手紙は、作品の制作時期、制作意図などを知るための重要な資料ともなっている。；ピカソのような芸術家は作品を制作する過程で発明家となる。；古い作品から学び取った事を自分の作品に投影して古典に基づく制作をしていた。；しかしながらこの栄誉ある壁画制作には、レオナルドは関与していない。；この頃、余暇に制作した画や工芸などの作品が今に伝えられている。；テレビ番組の制作に関連する項目には次のようなものがある。；音楽作りに対する拘りと独自の制作姿勢から「音の職人」とも称される。</t>
        </is>
      </c>
      <c r="J4504">
        <f>HYPERLINK("https://www.weblio.jp/content/制作", "词义详情")</f>
        <v/>
      </c>
      <c r="K4504">
        <f>HYPERLINK("https://yourei.jp/制作", "查看例句")</f>
        <v/>
      </c>
    </row>
    <row r="4505">
      <c r="A4505" t="inlineStr">
        <is>
          <t>製作</t>
        </is>
      </c>
      <c r="B4505" t="inlineStr">
        <is>
          <t>成功</t>
        </is>
      </c>
      <c r="C4505" t="inlineStr">
        <is>
          <t>読み方：せいさく
［名］(スル)
１道具や機械などを使って品物を作ること。「家具を—する」
２映画・演劇・テレビ番組などを作ること。プロデュース。制作。「記録映画を—する」
３詩文・美術作品などを作ること。制作。
「物象観が明瞭に筆端に迸しって居らねば、画(え)を—したとは云わぬ」〈漱石・草枕〉</t>
        </is>
      </c>
      <c r="D4505" t="inlineStr">
        <is>
          <t>製作者(4%)；製作スタッフ；製作側；製作チーム；製作技術</t>
        </is>
      </c>
      <c r="E4505" t="inlineStr">
        <is>
          <t>建設；製造；制作；作；生産</t>
        </is>
      </c>
      <c r="F4505" t="inlineStr">
        <is>
          <t>自主製作；楽曲製作；多数製作；映像製作；設計製作</t>
        </is>
      </c>
      <c r="G4505" t="inlineStr">
        <is>
          <t>製作費；製作会社；製作総指揮；製作委員；製作局</t>
        </is>
      </c>
      <c r="H4505" t="n">
        <v>29</v>
      </c>
      <c r="I4505" t="inlineStr">
        <is>
          <t>そしてそれは、自然物を対象にした生産や製作などの行為と対比される。；楽器の音階を決める穴配りと穴開けには高度の製作技術が必要とされる。；時代劇で数多く製作されているのは、江戸時代を舞台にした作品である。；製作される映画は英語のものと現地語のものがほぼ半分ずつと言われている。；その後も何度か製作再開が発表されたが、まだ実現には至っていない。；また、ゲームの製作方法を解説した各種の公式書籍も出版されている。；これは他の技術を使うことなく実現可能なイメージの製作が可能だからである。；デンスロウの挿絵は許可を得て製作された多くのグッズで多くみられた。；これらの殆どは、既存の戦車の車体や走行装置を流用して製作された。；特に低車高化については力を入れ、実寸大模型を製作し研究が行われた。；映画などの映像作品の小道具のレプリカも製作・販売されることも多い。；新聞の製作は、まず記者が取材を行い記事を書くところから始まる。；また、稀にではあるが、他系列キー局製作作品をネットする場合もある。；また、通常木型は形状のみでなく、分割方法も製品に準じて製作される。；これは剣などの武器類やさまざまな品物の製作監督や製造技術確立を任務とした。；ハードウェアの製作やメンテナンスに特別な部品や技術を使う必要はない。；当初は既存の器を利用していたが、後に専用の花器が製作されるようになった。；車両の製作をJR東日本新津車両製作所に委託したものが一部含まれる。；列車は電気機関車による牽引でのみ運行され、電車は製作されなかった。；この様な特徴を持つチェンバロは北ヨーロッパの広い地域で製作されていた。；中国での製造は最初の段階である金型製作から問題が発生した。；それまで誰も製作していなかったため、これらはレプリカではない。；企画と脚本段階で英語に翻訳し、CIEで許可されたもののみ製作がなされた。；イギリスとソ連も特徴ある機体を多数製作し、ドイツを東西から締め付けた。；設立目的は「世界を改善する社会的価値」を含む映画を製作することであった。；また、キー局製作の中でもキー局だけの関東ローカル番組も増えている。；なお、気象庁の単独予算により気象衛星が製作されるのは初めてとなる。；当初、動物の飼育は、食肉および衣服製作のために行われたと思われる。；そのとき製作した一部の部品は今もオックスフォード科学史博物館にある。</t>
        </is>
      </c>
      <c r="J4505">
        <f>HYPERLINK("https://www.weblio.jp/content/製作", "词义详情")</f>
        <v/>
      </c>
      <c r="K4505">
        <f>HYPERLINK("https://yourei.jp/製作", "查看例句")</f>
        <v/>
      </c>
    </row>
    <row r="4506">
      <c r="A4506" t="inlineStr">
        <is>
          <t>精算</t>
        </is>
      </c>
      <c r="B4506" t="inlineStr">
        <is>
          <t>成功</t>
        </is>
      </c>
      <c r="C4506" t="inlineStr">
        <is>
          <t>読み方：せいさん
［名］(スル)金額などをこまかく計算すること。特に、料金などの過不足を計算しなおすこと。「乗り越し運賃を—する」「—所」</t>
        </is>
      </c>
      <c r="D4506" t="inlineStr">
        <is>
          <t>精算する(16%)；精算所(3%)；精算時；精算窓口；精算券</t>
        </is>
      </c>
      <c r="E4506" t="inlineStr">
        <is>
          <t>勘定；愛想；会計；支出；決済</t>
        </is>
      </c>
      <c r="F4506" t="inlineStr">
        <is>
          <t>車内精算；自動精算；料金精算；精算書；プール精算</t>
        </is>
      </c>
      <c r="G4506" t="inlineStr">
        <is>
          <t>精算表</t>
        </is>
      </c>
      <c r="H4506" t="n">
        <v>29</v>
      </c>
      <c r="I4506" t="inlineStr">
        <is>
          <t>私は私の半生の生活を回顧してその精算書を作ることを要求されている。；出場時には自動精算機で現金または他のカードで精算することもできた。；運がよくて二度目に買った株も上っていて、精算することになっていた。；この場合、不足分の精算が完了するまで本サービスの利用は停止される。；遊びのはてにするこの精算は私の心に美しいもの純潔なものをもたらした。；玉は三十分ほどで一ぱいになり、太郎はそれを持って、精算所へ行った。；私は、料金の精算書は、二、三日中に送るとだけ言って受話器を置いた。；彼女が精算して出てくるのを、わたしは店の前で手持ちぶさたに待っていた。；夕方近くになって、わたしは長谷川探偵調査所へ精算しに行くことにした。；改札口で精算を要求され、私ははじめてそこが中野駅であるのに気づいた。；その時、精算所の裏の積み重ねられた本の隙間から呻き声が聞こえました。；すべてを一度に精算しようとするから無理が生じて、苦しい思いになるのでは?；この変更を区間変更といい、不足している運賃を支払うことを精算という。；その全ての精算を望みながらもそれを自力で果たす事が出来ない。；よって、途中までの乗車券を購入してあとは降車駅で精算する必要がある。；ETCによる精算が出来るようになった後も回数券販売が継続されていた。；そして、すっかり精算するまでやつの前では如才なく笑っているべきだった。；だからさとるは、なるべくいつも二番のレジで精算するようにしている。；今も同じ気持ちならばランドセルを担いでまっすぐ精算所に行けばいいのだ。；彼女は精算所になっている机の向こうに座っていました。；そして私の精算書はつぎのようなふしぎな形式をとるであろう。；いつもは、遊びの終わるまでこっちが待ってて、彼女と会って精算するわけね。；花のお金は月末に精算して戻ってくると、加藤さんは、みのりに説明した。；この精算書で見ると、毎年収入がいちじるしくふえていたことがわかった。；精算については、各社ごとに指定された発行会社を通じて行っている。；俺が精算をしてドアから出ていったら、真壁たちに向かって手を振って出てきてくれ。；当駅を境にしてこれより以南ではワンマン列車の精算方式が変わる。；加盟店との精算は従来と同様に元々の日本円での金額で実施するからである。；一旦犬山駅までの乗車券を購入した上で着駅にて精算することになる。</t>
        </is>
      </c>
      <c r="J4506">
        <f>HYPERLINK("https://www.weblio.jp/content/精算", "词义详情")</f>
        <v/>
      </c>
      <c r="K4506">
        <f>HYPERLINK("https://yourei.jp/精算", "查看例句")</f>
        <v/>
      </c>
    </row>
    <row r="4507">
      <c r="A4507" t="inlineStr">
        <is>
          <t>生産</t>
        </is>
      </c>
      <c r="B4507" t="inlineStr">
        <is>
          <t>成功</t>
        </is>
      </c>
      <c r="C4507" t="inlineStr">
        <is>
          <t>読み方：しょうさん
《「しょうざん」とも》
１子を生むこと。また、子が生まれること。出産。
「—より成人に至るまで終に物言ふ事なし」〈盛衰記・二四〉
２暮らしのために働くこと。
「明くれば公事に逼(せめ)られ暮るれば—に哀しむ」〈地蔵菩薩霊験記・一〇〉</t>
        </is>
      </c>
      <c r="D4507" t="inlineStr">
        <is>
          <t>生産される(4%)；生産物(2%)；生産数；生産地；生産高</t>
        </is>
      </c>
      <c r="E4507" t="inlineStr">
        <is>
          <t>製造；制作；作；製作；作る</t>
        </is>
      </c>
      <c r="F4507" t="inlineStr">
        <is>
          <t>大量生産；工業生産；ワイン生産；限定生産；生産工場</t>
        </is>
      </c>
      <c r="G4507" t="inlineStr">
        <is>
          <t>生産性；生産者；生産力；生産終了；生産地</t>
        </is>
      </c>
      <c r="H4507" t="n">
        <v>29</v>
      </c>
      <c r="I4507" t="inlineStr">
        <is>
          <t>製造機械が使われるようになり安価に大量生産することも可能になった。；ある場所で生産された物が別の場所で生産された物と交換される。；広い範囲で生産的な活動をしたが、その論文には多くの不正確な部分がある。；ビールはパンと並んで主要な食物とされており、大量に生産・消費された。；ベンツは最初の自動車販売店を作り、生産した自動車を数百台販売した。；そして、最も生産的で安定したクローンが将来の使用のために選択される。；低いから労働者は生産物と同じ価値の物を手に入れられない。；これは大量に生産および販売された最初の機械式紙綴器であった。；これらの多くは、精子・卵子の生産時に減数分裂に失敗したことによる。；この時期、ガオの東に位置するタケッダは銅生産の中心地となっていた。；現在、基礎的な科学研究以外での用途はなく、少量しか生産されていない。；世界でもっとも鉄道車両生産額が大きい企業は、中国の中国中車である。；生産とは工場において材料から部品、製品などの商材を作る行為である。；大量生産されたため、動態車両6両を含む多くの車両が現存している。；しかし、資源枯渇や生産コストの問題から現在は全て輸入となっている。；ヨーロッパでは14世紀になっても鉄の生産は鍛造で行われていた。；この内9割程が北海道で生産され、その中でも日高地方は特に重要である。；これは今日でも生産するのに使われる方法と同じである。；このことがこの生産数の大きな要因であったといわれる。；また、東仙台付近の丘陵地に須恵器を生産した窯跡群が発見されている。；しかし、これ以降もポリ塩化ビニル生産のために製造自体は継続されている。；ライン生産方式を、生産する製品の種類によって分類することができる。；ウズベキスタンには現代的な自動車を生産する自動車工場がある。；そこで、これらの酵素をトウモロコシで生産させようというものである。；目的は、消費を気にせずに生産を最大化することであった。；当時CMOS版のMC68000を生産していたのは日立だけだった。；寺院内でも盛んに生産したことから、これらは寺納豆とも呼ばれるようになった。；また明清両代ともに商品経済が盛んになり、農業生産も向上した。；品質が高いため、同国で産出する鉄と組み合わせて鉄鋼を生産している。</t>
        </is>
      </c>
      <c r="J4507">
        <f>HYPERLINK("https://www.weblio.jp/content/生産", "词义详情")</f>
        <v/>
      </c>
      <c r="K4507">
        <f>HYPERLINK("https://yourei.jp/生産", "查看例句")</f>
        <v/>
      </c>
    </row>
    <row r="4508">
      <c r="A4508" t="inlineStr">
        <is>
          <t>精算機</t>
        </is>
      </c>
      <c r="B4508" t="inlineStr">
        <is>
          <t>成功</t>
        </is>
      </c>
      <c r="D4508" t="inlineStr">
        <is>
          <t>精算機設置駅；精算機が備えられ；精算機付近；精算機等</t>
        </is>
      </c>
      <c r="F4508" t="inlineStr">
        <is>
          <t>精算機設置；事前精算機；乗り継ぎ精算機</t>
        </is>
      </c>
      <c r="H4508" t="n">
        <v>29</v>
      </c>
      <c r="I4508" t="inlineStr">
        <is>
          <t>出場時には自動精算機で現金または他のカードで精算することもできた。；自動精算機はスペースは確保されているものの設置されていない。；駅舎内には自動券売機4台・自動改札機・自動精算機が設置されている。；料金も室内に設置された自動精算機で支払えるようになっているのだろう。；このエレベーター専用改札には窓口や自動精算機が設置されていない。；多くの国の路線バスの運賃箱には精算機能も両替機能もないことが多い。；京王とJR東日本、それぞれの改札内には自動精算機が設置されている。；自動券売機・指定席券売機・自動改札機・自動精算機が設置されている。；湘南町屋駅及び西鎌倉駅には自動改札機と自動精算機が設置されている。；また改札内には自動精算機が正面口・南口に各1台設置されている。；代わりに、精算機の使用方法など、顧客の問題の解決にあたることとした。；ETCが導入される以前には自動精算機が設置されていた。；なお、この連絡改札口には自動券売機・自動精算機などが設置されていない。；またホーム上には無人駅から乗車した旅客用の為に自動精算機が設置されている。；医療費自動精算機と称し、大規模な病院で近年導入が増えている。；国道357号側に自動券売機・自動改札機・自動精算機が設置されている。；自動券売機は1台ずつで、上りホーム側の駅舎には自動精算機が設置されていない。；そこを作ったときに、自動精算機をはじめて導入したの。；自動精算機は当駅設置の阪神専用自動精算機ではICカードが使用できない。；自動精算機は中央口にのみ設置されていた。；そのため前述のとおり自動精算機の増設にも力をいれているが、そのほかにも下記のような対策が取られている。；事前精算機で精算した場合は、精算後20分以内に駐車場を出る必要がある。；橋上駅舎化と同時に、自動改札機と精算機が新型のものに更新された。；自動券売機や自動精算機などでも使用できるが、対応する機器が設置されていない駅があるので一部の駅での使用に限られる。；下りホーム側 このうち東口には自動券売機・自動精算機がない。；残高不足の場合には鉄道の場合精算機でチャージしてもIC運賃の適用を受ける。；駅舎内には自動券売機や自動改札機、自動精算機が1台ずつ設置されている。；イベント開催時などの繁忙期に備えて臨時の自動券売機と自動精算機が設置されている。；駐車場は地下1階・地下2階にあり、両階とも事前精算機がある。</t>
        </is>
      </c>
      <c r="J4508">
        <f>HYPERLINK("https://www.weblio.jp/content/精算機", "词义详情")</f>
        <v/>
      </c>
      <c r="K4508">
        <f>HYPERLINK("https://yourei.jp/精算機", "查看例句")</f>
        <v/>
      </c>
    </row>
    <row r="4509">
      <c r="A4509" t="inlineStr">
        <is>
          <t>静止</t>
        </is>
      </c>
      <c r="B4509" t="inlineStr">
        <is>
          <t>成功</t>
        </is>
      </c>
      <c r="C4509" t="inlineStr">
        <is>
          <t>読み方：せいし
［名］(スル)
１じっとして動かないこと。「—画面」
２物体の位置が時間的に変わらないこと。運動の速度が零である状態。⇔運動。</t>
        </is>
      </c>
      <c r="D4509" t="inlineStr">
        <is>
          <t>静止する(9%)；静止状態(5%)；静止画像(3%)；静止時；静止気象衛星</t>
        </is>
      </c>
      <c r="E4509" t="inlineStr">
        <is>
          <t>だれ；固定；静；静寂；平静</t>
        </is>
      </c>
      <c r="F4509" t="inlineStr">
        <is>
          <t>ピタリと静止；まま静止；静止系；絶対静止；空中静止</t>
        </is>
      </c>
      <c r="G4509" t="inlineStr">
        <is>
          <t>静止軌道；静止形インバータ；静止衛星；静止トランスファ軌道；静止質量</t>
        </is>
      </c>
      <c r="H4509" t="n">
        <v>29</v>
      </c>
      <c r="I4509" t="inlineStr">
        <is>
          <t>スタートの姿勢を取ったあとは、出発合図まで静止しなければならない。；ベストな位置を見つけたら前後の動きを止めて静止することも可能である。；アルカイック時代はいかに静止像に動きを与えるかが造形課題であった。；通常の組み立てラインでは、労働者が静止し、製品がラインを移動する。；湖沼は、周囲を陸に囲まれ海と直接連絡していない静止した水の塊である。；タイムマシンはトラックの荷台に乗せて移動させる静止した物体だった。；大地はその体を陰から得ているので、平面状で静止しているのである。；静止推力が最も必要とされているため、性能要求には速力が入っていない。；残りのトリップラインは静止面に近いため邪魔される可能性がある。；そのため水底ではなく水の中層に頭を少し斜め下にして静止している。；翼は長く先がとがっており、静止時の初列風切羽は尾羽よりも長くなる。；車両は常に浮いており、停車中は機械式ブレーキにより静止させている。；私達はこの静止エーテルの理論を相対性原理の立場から観察しましょう。；DSAでは患者を静止させる必要があるため、心臓の撮影には適用できない。；宇宙船の固有時間と静止した状態との時間との関係は次の式で与えられる。；このプロトタイプでは静止部品と回転部品の両方に電磁石が使用されていた。；しかし、それに眼を止めた瞬間、法水のあらゆる表情が静止してしまった。；一連の動作の中で一度静止して瞬間的に筋肉を収縮させ、音に合わせる。；設計局は静止/疲労試験用の機体と4機の飛行試験用試作機を製造した。；新しい検査は「静止細胞検査」といい、上記のような刺激を与えない。；静止エーテルが存在すると云うことは物理学的に何を意味しているでしょうか。；また、全加盟国に少なくとも1つの静止通信衛星軌道位置を保証している。；まず自然物を「運動や静止の原理をそれ自体のうちにもつもの」と定義する。；自身と対象以外の周囲の時間を一時的に静止させる能力を持つ。；これは静止目標以外にこの兵装を投入できないことを意味した。；動き技には空中での運動が含まれ、バランス技にはポーズや静止が含まれる。；周囲の土地が隆起し、静止していた部分が結果的に盆地となる場合もある。；家のなかは妙にひんやりしていて、すべてのものがぴたっと静止してました。；水星と金星は太陽を小さな円で周回し、太陽は静止する地球を周回する。</t>
        </is>
      </c>
      <c r="J4509">
        <f>HYPERLINK("https://www.weblio.jp/content/静止", "词义详情")</f>
        <v/>
      </c>
      <c r="K4509">
        <f>HYPERLINK("https://yourei.jp/静止", "查看例句")</f>
        <v/>
      </c>
    </row>
    <row r="4510">
      <c r="A4510" t="inlineStr">
        <is>
          <t>生死</t>
        </is>
      </c>
      <c r="B4510" t="inlineStr">
        <is>
          <t>成功</t>
        </is>
      </c>
      <c r="C4510" t="inlineStr">
        <is>
          <t>読み方：しょうじ
《「しょうし」とも》
１生きることと死ぬこと。生と死。「—を共にする」
２仏語。衆生(しゅじょう)が生まれては死に、死んでは生まれる苦しみ・迷いの世界。輪廻(りんね)。
３死ぬこと。死。
「—の到来ただ今にもやあらん」〈徒然・四一〉</t>
        </is>
      </c>
      <c r="D4510" t="inlineStr">
        <is>
          <t>生死不明(6%)；生死を共に(2%)；生死をともに；生死観；生死を問うもの</t>
        </is>
      </c>
      <c r="E4510" t="inlineStr">
        <is>
          <t>死活；生き死に</t>
        </is>
      </c>
      <c r="G4510" t="inlineStr">
        <is>
          <t>生死一如；生死事大；生死不定；生死存亡；生死流転</t>
        </is>
      </c>
      <c r="H4510" t="n">
        <v>29</v>
      </c>
      <c r="I4510" t="inlineStr">
        <is>
          <t>以上申述べましたのは、私の肉体上の生死を述べたのではございません。；しかしそれがさらに明らかに現われているのは生死の問題についてである。；つまりわたしは、あなた方の生死を、わたしの手に握っているわけです。；土地の権利は、19世紀初頭のアイルランドでの生死の差となっていた。；生死不明を伝えられた陳独秀はモスコーにいたがそれからどうなったか?；生死の境をさまよった体験から抜け出せないでいるのかもしれなかった。；それから六日間、世間ではホームズは生死の境にあるものと思っていた。；そうだ貞世が生死の境にさまよっているのはまちがいようのない事実だ。；生死には影響を及ぼさないまでも人体への影響がないといってはならない。；生死、何れかを選ぶ境に立ったら死ぬのが正しいと教えられてきた日本人。；さうして、人間の秘密のすべてがあるのだが、小さな生死だけがない。；伯爵が寝室へ行く様に勧めても、娘の生死が分るまではと肯じなかった。；実際に放送されたテレビ版では前述の通り生死に関する描写はまったくない。；動物はただ訳もなくその法律に順って画一的に生死しているのである。；初代さんが生死の問題に悩んで仏教を研究し始めたのはその頃であったらしい。；教会にたてついた者は消え、その生死も何が起こったのかすらわからない。；そうすればその日に、生死をかけて、あの子の幸福のために身を献げます。；筆者には木村の母親は息子と生死を共有しているように見えてならなかった。；そこで生死の二つあるものでないと合點の心が疑はぬと云ふものなり。；人の生死を真っ向から描いたら子供向けじゃないってことはないはず。；このような生死に対する無頓着が先生のはいって行こうとした世界であった。；原作と比べ、登場人物やその生死、犠牲者の死因などが変更されている。；現地でチームは人類の未来を揺るがしかねない生死の狭間に置かれる。；「観測者が箱を開けるまでは、猫の生死は決定していない」とされている。；生死の境なんてものも、この一瞬、問題ではなくなるのではないか。；彼はハボックが世界を去る時も生死の境目を行ったり来たりしていた。；この年、広瀬は落車事故で生死を彷徨うほどの大怪我を負ってしまった。；これ以外の記述はないので、以降の韓玄の動向は生死を含めて不明である。；心臓が停止して生死の境を彷徨ったが、仲間たちの思いを受けて復活。</t>
        </is>
      </c>
      <c r="J4510">
        <f>HYPERLINK("https://www.weblio.jp/content/生死", "词义详情")</f>
        <v/>
      </c>
      <c r="K4510">
        <f>HYPERLINK("https://yourei.jp/生死", "查看例句")</f>
        <v/>
      </c>
    </row>
    <row r="4511">
      <c r="A4511" t="inlineStr">
        <is>
          <t>制止</t>
        </is>
      </c>
      <c r="B4511" t="inlineStr">
        <is>
          <t>成功</t>
        </is>
      </c>
      <c r="C4511" t="inlineStr">
        <is>
          <t>読み方：せいし
［名］(スル)他人の言動を押さえとどめること。「—を振りきる」「群衆を—する」</t>
        </is>
      </c>
      <c r="D4511" t="inlineStr">
        <is>
          <t>制止する(17%)；制止しよ(6%)；制止される(2%)；制止でき；制止しなかったら</t>
        </is>
      </c>
      <c r="E4511" t="inlineStr">
        <is>
          <t>管理；止め；制限；操作；停止</t>
        </is>
      </c>
      <c r="F4511" t="inlineStr">
        <is>
          <t>強く制止；上げて制止；滑走制止；慌てて制止；制止する暇</t>
        </is>
      </c>
      <c r="H4511" t="n">
        <v>29</v>
      </c>
      <c r="I4511" t="inlineStr">
        <is>
          <t>いつオスカルを制止した時と同じ言葉を聞いたのか、詳細は不明である。；また4人目の警官は周囲の人々が止めに入ろうとするのを制止していた。；スキピオとその将校たちは部隊の行動を制止することができず激怒した。；それをちょっと見ただけでも眼をやられ、あわてて手で制止しようとした。；ようやく話をやめたのは、プロセルピナに制止されたからではなかった。；正午ごろになると、憲兵がこの橋に立ち、市内に入る者を制止していた。；佐藤啓二のジリアンは自害しようとする主人を自ら出てきて制止させる。；金応南は泥濘を這いずり回ってこれらを制止しようとしたが無駄だった。；最早、医師の誰もが、ラ氏のこんな行為を制止しようとは試みなかった。；少しでも列の前にもぐりこもうとする預金者を制止する役もつとめていた。；そして岸は、その痛みよりも、大門の制止する声に体を痺れさせていた。；嫌な予感が頭をよぎった俺は、慌てて目の前の俺に声をかけ制止した。；また、一度行動を起こすと猪突猛進になり、周りの制止を聞かなくなる。；司馬遐はこれを制止することが出来なかったので、当時非難の的となった。；警官はその群衆の方へ行ってはまたマントを振りたて制止につとめた。；身体愁訴などの症状は少なく、精神運動制止が強いなどの特徴がある。；行く所まで行かなければ、人の制止など絶對に聞くものでは無いのである。；中盤でエイデンと口論になったキャスパーを制止していたのは彼である。；狂奔する感情を制止する落付きをどうしても見出すことは出来なかつた。；かといって執拗に制止しすぎて、かえって怪しまれたりしても大変である。；七五三兵衛は制止など耳に入らぬかのように、全身に力を込め始めた。；制止しようとした警備兵は、男を間近に見ると思わず引き下がるのだった。；さらに、ロビー近くで犯行を制止しようとした男性Bにも数発発砲した。；そこを受け身でとらえて殴ろうとしたところに先生が来て制止された。；うまくいっているうちは、何とか出たものだが、こうなっては制止も何もない。；あのときぼくははっきりと、奴らがこのぼくを制止したと悟ったのだ。；制止の声をかけると、我に返ったような顔で、夜木は秋山を解放した。；警備の警官が左右から制止しようとするほどの勢いだった。；バーンは、このとんでもない動きをする小隊の制止にはいったのである。</t>
        </is>
      </c>
      <c r="J4511">
        <f>HYPERLINK("https://www.weblio.jp/content/制止", "词义详情")</f>
        <v/>
      </c>
      <c r="K4511">
        <f>HYPERLINK("https://yourei.jp/制止", "查看例句")</f>
        <v/>
      </c>
    </row>
    <row r="4512">
      <c r="A4512" t="inlineStr">
        <is>
          <t>政治</t>
        </is>
      </c>
      <c r="B4512" t="inlineStr">
        <is>
          <t>成功</t>
        </is>
      </c>
      <c r="C4512" t="inlineStr">
        <is>
          <t>読み方：せいじ
１主権者が、領土・人民を治めること。まつりごと。
２ある社会の対立や利害を調整して社会全体を統合するとともに、社会の意思決定を行い、これを実現する作用。</t>
        </is>
      </c>
      <c r="D4512" t="inlineStr">
        <is>
          <t>政治家(41%)；政治的(9%)；政治情勢；政治状況；政治姿勢</t>
        </is>
      </c>
      <c r="F4512" t="inlineStr">
        <is>
          <t>元政治；有力政治；三頭政治；政治機構；政治手腕</t>
        </is>
      </c>
      <c r="G4512" t="inlineStr">
        <is>
          <t>政治活動；政治学；政治団体；政治学科；政治体制</t>
        </is>
      </c>
      <c r="H4512" t="n">
        <v>29</v>
      </c>
      <c r="I4512" t="inlineStr">
        <is>
          <t>これは国家や階級などの一定の社会集団が保有する政治的な観念である。；また、社会内部の様々な利益を集約し、政治へと反映させる機能がある。；その目的と権限は英米の確執で政治的に妥協して定められたものである。；再び病気が悪化したという理由もあるが、政治家を目指したからでもある。；政治が成立する社会の基礎にはさまざまな関係が存在している。；主要な城は、為政者や指揮官の住居であり、政治や情報の拠点であった。；産業はそれほど存在せず、政治の中心としての性格が強い都市である。；当時、南部と北部との経済・社会・政治的な相違が拡大していた。；複数の政治政党が政府の承認を経て設立されたものとなっている。；この世紀の芸術家たちの最大の起点は政治的な衝突に関係したものであった。；このような場で彼はイタリアを取り巻く政治的な雰囲気を感じ取った。；州域の大半は田園であり、この落差が州の政治や経済に影響している。；この時点では緩やかな政治連合を形成していたと考えられている。；貨幣博物館蔵 その後これら寺院群は政治に口を出すようになった。；すなわち、官職が政治動向や個人の個性から完全に独立したものとなる。；このため、ホメイニーの孫で現在も政治に関わっているのはただ一人である。；以来、再打上げの噂があるが現在の政治情勢ではその可能性は極めて低い。；しかし、政治的な理由で輸出ができなくなるなど不安定な要素も含んでいる。；時代は必然的に変遷するのであり、それに合わせて政治も変わるのである。；ハインラインはまた、宗教の政治への関与にも一貫して反対の立場だった。；国家国民のためにならない政治家が生まれるのは問題だ。；しかし宣王も後半期には政治に倦むようになったために再び衰退する。；これらの対立にはの政治的な側面からの影響もあった。；政治的な事情により、事実上の首都と形式上の首都が異なる国もある。；選挙はおおむね公正なものとされるが、政党や政治風土には問題が多い。；いずれもバックに政治家や資本家がいて、裁定もしかねる状態であった。；州内からはアダムズ家やケネディ家など多くの著名政治家を輩出してきた。；このような力は必ずしも政治だけのものではなかった。；事実的な意味で経済が政治とどのように関わっているのかには4つの主要な考え方がある。</t>
        </is>
      </c>
      <c r="J4512">
        <f>HYPERLINK("https://www.weblio.jp/content/政治", "词义详情")</f>
        <v/>
      </c>
      <c r="K4512">
        <f>HYPERLINK("https://yourei.jp/政治", "查看例句")</f>
        <v/>
      </c>
    </row>
    <row r="4513">
      <c r="A4513" t="inlineStr">
        <is>
          <t>正式</t>
        </is>
      </c>
      <c r="B4513" t="inlineStr">
        <is>
          <t>成功</t>
        </is>
      </c>
      <c r="C4513" t="inlineStr">
        <is>
          <t>読み方：せいしき
［名・形動］定められた正しい方式や、簡略化しない本来の形式に従っていること。また、そのさま。「—な（の）要請」「—な（の）名称」</t>
        </is>
      </c>
      <c r="D4513" t="inlineStr">
        <is>
          <t>正式採用；正式種目；正式な名称；正式決定；正式発表</t>
        </is>
      </c>
      <c r="E4513" t="inlineStr">
        <is>
          <t>本格的；まとも；オフィシャル；本式；プロパー</t>
        </is>
      </c>
      <c r="F4513" t="inlineStr">
        <is>
          <t>正式な洗礼名；正式な宣戦布告；正式に大総統；正式な戴冠；正式に戴冠し</t>
        </is>
      </c>
      <c r="G4513" t="inlineStr">
        <is>
          <t>正式名；正式メンバー；正式発表；正式契約；正式加入</t>
        </is>
      </c>
      <c r="H4513" t="n">
        <v>29</v>
      </c>
      <c r="I4513" t="inlineStr">
        <is>
          <t>まだ正式公開されていない上記以外の環境やカーネル版もいくつかある。；志願期を終えた後でようやく養成の正式な第一段階である修練期に入る。；同年中に三国芦原線と勝山永平寺線の残る区間も正式に営業を再開した。；元は曲裾が正式な礼服であり、直裾は公式の場では着てはいけなかった。；ほぼ完成していたとされるが、それを発売中止にしての正式発売となった。；駅舎は正式な駅へと格上げされた1938年に建設されたものである。；南御門から入ると正式な入口である式台があり、奥に玄関が建っていた。；彼の時代から正式に皇帝の称号を使用し、西欧諸国からも認められた。；ここに政治体制の改革の開始が台湾内外に正式に表明されることになった。；床に座って食事をする場合、片膝立座で座るのが朝鮮の正式座法である。；独学だったシベリウスにはじめて正式に作曲を教えたのは彼であった。；一般的に年下が行う傾向にあるが、上位者が行うのが正式な作法である。；この構想は、まだ正式な概念研究を行う段階には到達していない。；小霊通サービスが信息産業部に正式に認められたのは2003年である。；その後最初に決まった対戦カードからの正式な試合順を決める抽選を行う。；この後、基本的に宋と日本とは正式な国交は開かれないままであった。；広義では滋賀県を含めた2府4県を指す場合もあるが正式な規定は無い。；これによって正式に精神運動は、内務省主導で推進されることになった。；これらの実績により、水戸はJリーグから加盟継続が正式に承認された。；正式な記法は のように、繰り返す部分の始めと終わりにドットを書く。；監督代行の田辺が翌年から正式に監督として指揮を執ることを発表した。；警察は事件性はないと述べたが、自殺であったという正式な発表はしなかった。；彼はこの言語の正式な名称になるとは夢にも思っていなかった。；正式に定められたものではないが、大きく分けて以下のように分類することができる。；正式な表現では無いが若者やメディアで使われている。；は 標準化グループの最初の会議で1968年2月に正式に標準化された。；現在の州名の正式な呼称はガリシアであるが、ガリサなる呼称も存在する。；またその存在は確認されているが正式に発表されていない学名と和名も記載する。；ただし、正式なものではないが、短縮された形などが用いられることもある。</t>
        </is>
      </c>
      <c r="J4513">
        <f>HYPERLINK("https://www.weblio.jp/content/正式", "词义详情")</f>
        <v/>
      </c>
      <c r="K4513">
        <f>HYPERLINK("https://yourei.jp/正式", "查看例句")</f>
        <v/>
      </c>
    </row>
    <row r="4514">
      <c r="A4514" t="inlineStr">
        <is>
          <t>性質</t>
        </is>
      </c>
      <c r="B4514" t="inlineStr">
        <is>
          <t>成功</t>
        </is>
      </c>
      <c r="C4514" t="inlineStr">
        <is>
          <t>読み方：せいしつ
１もって生まれた気質。ひととなり。たち。「温厚な—」
２その事物に本来そなわっている特徴。「燃えやすい—」「すぐに解決がつくという—の問題ではない」
[用法]性質・性格——「熱しやすく冷めやすい性質（性格）」のように、人についていう場合には相通じて用いられる。◇「性質」は、人以外の場合でも、「水にとけやすい性質」のように、その物事がもともと持っている特性の意で使われる。◇「性格」を物事について使う場合は、その物事と他との違いをきわだたせるような特徴をいう。「議題と性格が異なる提案は却下する」</t>
        </is>
      </c>
      <c r="D4514" t="inlineStr">
        <is>
          <t>性質上(5%)；性質を異に；性質そのもの；性質ゆえ</t>
        </is>
      </c>
      <c r="E4514" t="inlineStr">
        <is>
          <t>人；気；地；性；人物</t>
        </is>
      </c>
      <c r="F4514" t="inlineStr">
        <is>
          <t>やすい性質；そういう性質；近い性質；特殊な性質；諸性質</t>
        </is>
      </c>
      <c r="H4514" t="n">
        <v>29</v>
      </c>
      <c r="I4514" t="inlineStr">
        <is>
          <t>これは、雑種がその両親の中間的な性質を示すことが多いことに基づく。；アレルギーを起こしにくい性質はこの点でも好ましいものとなっている。；この性質を応用した液晶ディスプレイなどの製品が広く普及している。；コロイドが持つ特徴的な性質を理解する分野はコロイド化学と呼ばれる。；とは、位相空間上の性質がZFCと独立かどうかを主題する分野である。；彼はこの根拠を求めるために、美を定義するのに必要な性質は何かを探る。；物理的性質の似たアミノ酸はよく似たコドンに対応している傾向がある。；この奇妙な性質の原因が解明されるのは量子力学が導入されてからである。；写真の性質はフィルムとデジタルで異なるが、共通した観点が存在する。；このために気体の状態では物質の種類を問わずに共通の性質が表れやすい。；その他にも特有の性質により自動車一般とは異なる危険性を持っている。；チタンの性質である、 が評価されるようになったことが要因である。；この性質を利用して、トランジスタなどの半導体素子に利用されている。；圧力をかけたり変化させたりすることで、以下のような性質を示す物質がある。；もちろん、そのような族はある種の性質を満足するようにしなければならない。；これは量子トンネル確率が位置に依存する性質を利用したものである。；説明的妥当性を持つ理論は初期状態である普遍文法の性質を記述する。；これにより炭素は星のなかで無尽蔵に作られる性質があることが判った。；塩化水素などの他のハロゲン化水素の場合に比べて性質が異なる点がある。；対極的な性質を持つ無限アーベル群の重要な二つのクラスに、とがある。；中国語には助字を添加してもしなくても文章が成立するという性質がある。；グルコノデルタラクトンの徐々に酸へと変化する性質が利用されている。；このような性質は周波数選択性の光学フィルターなどに使われている。；この意味で、電荷は素粒子が持つ最も基本的な性質の一つであると言える。；ではUGの性質を知るにはどのようにしたらよいのであろうか。；そのため、勝敗には純粋な実力のみでなく、運の要素が絡む性質がある。；弾性は性質を表す語であって、それ自体は数値で表される指標ではない。；郵便番号はその性質上、全国的に統一されたコード体系が用いられている。；この性質を利用して高次元の球の体積と表面積を求めることができる。</t>
        </is>
      </c>
      <c r="J4514">
        <f>HYPERLINK("https://www.weblio.jp/content/性質", "词义详情")</f>
        <v/>
      </c>
      <c r="K4514">
        <f>HYPERLINK("https://yourei.jp/性質", "查看例句")</f>
        <v/>
      </c>
    </row>
    <row r="4515">
      <c r="A4515" t="inlineStr">
        <is>
          <t>誠実</t>
        </is>
      </c>
      <c r="B4515" t="inlineStr">
        <is>
          <t>成功</t>
        </is>
      </c>
      <c r="C4515" t="inlineStr">
        <is>
          <t>読み方：せいじつ
［名・形動］私利私欲をまじえず、真心をもって人や物事に対すること。また、そのさま。「—な人柄」
[派生]せいじつさ［名］</t>
        </is>
      </c>
      <c r="D4515" t="inlineStr">
        <is>
          <t>誠実な人柄(2%)；誠実な人間；誠実な男；誠実そう；誠実な人物</t>
        </is>
      </c>
      <c r="E4515" t="inlineStr">
        <is>
          <t>真；実；本当；正しい；熱心</t>
        </is>
      </c>
      <c r="F4515" t="inlineStr">
        <is>
          <t>優しく誠実；誠実無比；誠実なお方；誠実な友情；誠実な口調</t>
        </is>
      </c>
      <c r="G4515" t="inlineStr">
        <is>
          <t>誠実章</t>
        </is>
      </c>
      <c r="H4515" t="n">
        <v>29</v>
      </c>
      <c r="I4515" t="inlineStr">
        <is>
          <t>また、個人の正直さや誠実さが今日の名誉の主要な意味に含まれている。；プライベートでは写真撮影が趣味の家庭人で誠実な人物であったという。；経営トップが率先して行った誠実な謝罪をした記者会見が話題となった。；ネパール大王が私を信じなければまた他に誠実の方法を求むる外はない。；つまり、それが常になごやかで・誠実で・愉快で・あるかどうかによる。；ファンに夢を与えること、チームに貢献することに誠実で妥協をしない。；まだいくらか誠実が残っていたのはお前に取って何たる幸だったろう。；犬は誠実でフレンドリーですが、猫はクールで信頼するのは難しいです。；平均的な誠実さのレベルは若年成人で上昇し、その後高齢者で低下する。；なぜなら独立への衝動と決然たる誠実さをともに証明しているからである。；上巻は海人の成長の物語であり、彼は最後まで愚直で誠実な人間である。；基本めんどくさがり屋だが、一度決めた事はやり通す誠実な一面もある。；性格は穏やかで誠実であり文章に優れていて、家を保つ主となるでしょう。；そして其れ等の何れの芸術に於ても此を一貫するものは誠実であると思う。；誠実が持続するで無くては、百千回の盟約もなんらの効は無いんである。；言葉は誠実で明確であり、き真面目な表情からいきなり笑顔になった。；誠実な魂をもった彼が時代のうごきに無関心でいられなかったのはいうまでもない。；だが一目彼の顔を見るとすぐ、彼の完全な誠実を信ずるようになった。；自分にも他人にも誠実な森君は自然に対しても又誠実で感謝を知っている。；全ての閣僚は誠実で能力があるフィンランド国民でなければならない。；人として良い報告に向かう事を望み、努力する事に対して誠実だった。；そして自らの口を、まず静かにして、ただ誠実で汚れのない言葉へと開くこと。；その不平均の撞着の間から僅かばかりなりともお前の誠実を拾い出すだろう。；ある将軍が正しい判断をする場合、他の誠実な将軍たちは必ずその判断に合意する。；後に1人は脱走したが、残り43人は戦争が終わるまで誠実に従軍した。；即位した後はその誠実な性格から「国民の王」として庶民から愛された。；スザンヌは彼の誠実な態度に安堵し、一緒にスケートに行く約束をする。；俺もとにかく俺の誠実をやりねくほかに仕方がないのだ。；先生の平生は、ただ人が純粋誠実で人情に篤いことを願われるのである。</t>
        </is>
      </c>
      <c r="J4515">
        <f>HYPERLINK("https://www.weblio.jp/content/誠実", "词义详情")</f>
        <v/>
      </c>
      <c r="K4515">
        <f>HYPERLINK("https://yourei.jp/誠実", "查看例句")</f>
        <v/>
      </c>
    </row>
    <row r="4516">
      <c r="A4516" t="inlineStr">
        <is>
          <t>成熟</t>
        </is>
      </c>
      <c r="B4516" t="inlineStr">
        <is>
          <t>成功</t>
        </is>
      </c>
      <c r="C4516" t="inlineStr">
        <is>
          <t>読み方：せいじゅく
［名］(スル)
１果物や穀物が十分に熟すること。「稲が—する」
２人の心や身体などが十分に成長すること。「—した肉体」
３その事をするのに最も適した時期に達すること。「機運が—するのを待つ」</t>
        </is>
      </c>
      <c r="D4516" t="inlineStr">
        <is>
          <t>成熟する(15%)；成熟期(5%)；成熟度(3%)；成熟個体；成熟すれ</t>
        </is>
      </c>
      <c r="E4516" t="inlineStr">
        <is>
          <t>なる；発生；発展；成長；発達</t>
        </is>
      </c>
      <c r="F4516" t="inlineStr">
        <is>
          <t>性成熟；性的成熟；成熟卵；十分成熟；分化成熟</t>
        </is>
      </c>
      <c r="H4516" t="n">
        <v>29</v>
      </c>
      <c r="I4516" t="inlineStr">
        <is>
          <t>子供など肉体的に劣り未成熟な者ならば圧力で全身の骨が折れかねない。；ただし成長中の個体にあっては雄の機能が先に成熟することが多い。；段階表現の場合にはプロセス領域は成熟度レベルに応じて分類されている。；小学校で教育を受けるのに適切な発達段階になることを学齢成熟と呼ぶ。；産業の未成熟で限定的な輸送力しか必要としない地域に建設される事例が多い。；成熟期には高速に波形を更新することで時間的な音色変化を実現している。；しかしキャリアの晩年では落ち着きのある成熟したプレーに変わった。；成熟期を迎えた後も母親と共に行動するオスもいることが確認されている。；日本の外食産業は成熟期に入り、価格から質へと方向が変化している。；しかし、経済の成熟とともに、次第に需要側が重視されるようになった。；何世紀にもわたる開発の後、 チベット暦は成熟したシステムになった。；公募の意見で最も多かったのは人生の成熟を意味する「熟年」であった。；病理組織学的に上皮系とは成熟個体の上皮を形成する組織のことである。；そのためリンパ球の成熟過程を知っておくことが理解の助けとなる。；大胞子のう内には八個の大胞子細胞が形成されるが、一個だけが成熟する。；こうして形成された成熟したウイルスは細胞表面から細胞外へと分泌される。；そのため他のアジア各国やアフリカ諸国と比べて文化が十分成熟の域に達していると言える。；同時期にデビューした成熟期の中では唯一亜種や進化した形態などが作られていない。；太平洋北東部の個体の方が、北西部の個体よりも早く成熟する傾向がある。；この部分は果実が成熟してもそのまま残り、その上の部分で花柱が落ちる。；これらの卵胞はどれも同じ様な未成熟の一次卵母細胞が入っている。；その後、市は成熟期に入っていくものの、人口は増加し続けている。；成長と発達は似た言葉だが発達は神経学的な成熟を示している。；女性の卵巣には誕生時から多数の未成熟な原始卵胞が含まれている。；成熟期が終わり、歯が口腔内に萌出する前にエナメル芽細胞はなくなる。；胞子は複数の核を含むことがあるが、成熟した状態では単核である。；D1は、機能的には成熟したとされ、メンテナンスモードに移行している。；学齢成熟の考え方があることから、小学校の就学時期には幅を持たせている。；成熟の過程で蜜が生成されるもので、蜜そのものが特に甘いわけではない。</t>
        </is>
      </c>
      <c r="J4516">
        <f>HYPERLINK("https://www.weblio.jp/content/成熟", "词义详情")</f>
        <v/>
      </c>
      <c r="K4516">
        <f>HYPERLINK("https://yourei.jp/成熟", "查看例句")</f>
        <v/>
      </c>
    </row>
    <row r="4517">
      <c r="A4517" t="inlineStr">
        <is>
          <t>青春</t>
        </is>
      </c>
      <c r="B4517" t="inlineStr">
        <is>
          <t>成功</t>
        </is>
      </c>
      <c r="C4517" t="inlineStr">
        <is>
          <t>読み方：せいしゅん
《五行説で青は春の色であるところから》
１夢や希望に満ち活力のみなぎる若い時代を、人生の春にたとえたもの。青年時代。「—を謳歌(おうか)する」「—時代」
２春。陽春。
「—二三月」〈漱石・草枕〉
[補説]作品名別項→青春
[補説]2014年6月に実施した「あなたの言葉を辞書に載せよう。2014」キャンペーンでの「青春」への投稿から選ばれた優秀作品。◆お金や化粧、車などに頼ることのできない、男が男として女が女として試される時期。hiroさん◆前から見ると無色透明だが、振り返って後ろから見ると青くまぶしいもの。トモタロウさん◆人生に於ける夏の思い出。眩しすぎる日射しと、濃ゆい日影。海の青さと、灼熱のけだるさ。スイカの瑞々(みずみず)しさや、線香花火の儚(はかな)さ。それらに例えられるような人生の経験や、その時期のこと。キシモトチエさん◆実はそんな大したことはなかったのに、「あの時は良かった」と美化される思い出。まここしゃんさん◆いきなり始まり、あっという間に終わるが、死ぬまで思い出して楽しめる時代。たまこさん◆ふと思い出すと急に恥ずかしくなり、枕に顔を伏せて大声をあげたくなるような言動をしていた時期。ジンハヤさん◆熱中できる物事に取り組んでいるとき、仲間と喜怒哀楽を感じられる時間を共に過ごしているとき、年齢は関係ない。つまじさん◆成人が後悔し、中年が懐かしみ、老人が忘れるもの。TEN-ATさん◆大人じゃないのに子供でもない自分に葛藤する年頃。チラミンさん◆後から振り返るとなんでもないようなことに対して悩んだり苦しんだりする中で、自分のあり方を見つめていく期間。萩原啓規さん◆大人が無駄と判断しお金をかけて回避できる物事を、時間をかけてやり遂げようとする時期。あかねさん</t>
        </is>
      </c>
      <c r="D4517" t="inlineStr">
        <is>
          <t>青春ドラマ(3%)；青春ポイント；青春物語；青春スター；青春シリーズ</t>
        </is>
      </c>
      <c r="E4517" t="inlineStr">
        <is>
          <t>青年時代</t>
        </is>
      </c>
      <c r="F4517" t="inlineStr">
        <is>
          <t>青春ラブコメディ；学園青春；青春編；青春ミステリー；熱血青春</t>
        </is>
      </c>
      <c r="G4517" t="inlineStr">
        <is>
          <t>青春映画；青春期；青春群像；青春小説；青春の日々</t>
        </is>
      </c>
      <c r="H4517" t="n">
        <v>29</v>
      </c>
      <c r="I4517" t="inlineStr">
        <is>
          <t>また、独特の守りの手が印象的であり「受ける青春」とも呼ばれている。；彼を中心とした少年少女達が織りなす、恋と青春の学園生活が描かれる。；一人の少女が原因で崩壊する漫画研究会の部員達の青春を描いている。；若い頃からのバイク乗りで「2サイクル車は私の青春」との発言がある。；超能力を持つ少年の成長を描く青春ドラマで、主演は濱田龍臣が務める。；映画やドラマは恋愛や青春系のストーリーが好みでよく見る。；物語の時期が夏となったのもその一環で、さわやかな青春を描くためとされる。；非日常的な要素はなく、基本は主人公とヒロインを中心に大学での青春を描く。；この作品は後に多数発表される青春推理小説のスタートとなった。；ファンを大切にし、いつも「一緒に青春しようね」と呼びかけていた。；過去のキャラクターは登場せず、シリーズ初の青春ホラー路線を取っている。；僕が東映の映画に傾倒していったのは、自分の青春が不遇だったから。；剣道に青春をかける対照的な少女の成長をユーモラスかつ爽やかに描く。；あるピアノコンテストの決勝に臨む若者らの愛と青春を描いている。；この〇〇イズムには青春感や色気のほか、謎の番組という意味も含まれる。；他に2人は『青春一座』を含む数々のヒット・ミュージカルで共演した。；松本市の松本北高校卒業間近の3年生を中心とした男女7人の青春物語。；また、歌詞は甘酸っぱい青春の1ページを思わせる内容になっている。；楽曲は、さわやかな曲調で男子の恋心を歌った青春ソングとなっている。；他に、作曲家の宮川彬良とコーラス隊の青春メジャー7が出演していた。；農業高校を舞台に、農業に青春をかける農業高校生たちの日常を描く。；そんな爽子を中心とした登場人物それぞれの高校生活3年間の青春模様を描く。；同1971年3月、最初の著書である『青春を山に賭けて』を出版した。；吉田玲子脚本で感情の色が見える少女の青春物語として制作される。；ラブコメである原作やゲームと違い本作は、中学生の青春物語となっている。；私の青春がこの地で始まり人生のすべてとなった。；以降も青春ドラマを中心に多数の作品に出演した。；その一方で、ドラマ版では青春ドラマらしく明るく爽やかな最後を迎える。；また劇場版に青春ドラマの要素を盛り込もうとしたためでもある。</t>
        </is>
      </c>
      <c r="J4517">
        <f>HYPERLINK("https://www.weblio.jp/content/青春", "词义详情")</f>
        <v/>
      </c>
      <c r="K4517">
        <f>HYPERLINK("https://yourei.jp/青春", "查看例句")</f>
        <v/>
      </c>
    </row>
    <row r="4518">
      <c r="A4518" t="inlineStr">
        <is>
          <t>清純</t>
        </is>
      </c>
      <c r="B4518" t="inlineStr">
        <is>
          <t>成功</t>
        </is>
      </c>
      <c r="C4518" t="inlineStr">
        <is>
          <t>読み方：せいじゅん
［名・形動］清らかで素直なこと。世の中のけがれにそまっていないこと。また、そのさま。「—な乙女」
[派生]せいじゅんさ［名］</t>
        </is>
      </c>
      <c r="D4518" t="inlineStr">
        <is>
          <t>清純なイメージ(2%)；清純そう(2%)；清純無垢；清純な娘；清純な乙女</t>
        </is>
      </c>
      <c r="E4518" t="inlineStr">
        <is>
          <t>純；清潔；可憐；純白；清らか</t>
        </is>
      </c>
      <c r="F4518" t="inlineStr">
        <is>
          <t>清純派；ミッドナイト清純；清純な娘役；清純な恋；清純な魂</t>
        </is>
      </c>
      <c r="G4518" t="inlineStr">
        <is>
          <t>清純いもうと倶楽部；清純フィロソフィー</t>
        </is>
      </c>
      <c r="H4518" t="n">
        <v>29</v>
      </c>
      <c r="I4518" t="inlineStr">
        <is>
          <t>彼女の愛らしい顔に新たに加わった清純さに感動したマッコイがいった。；これには人間的な乙女の清純さはあっても、神秘性は全く失われている。；また彼くらい恋愛において敬虔かつ清純であったものも少ないであろう。；あの頃は、自分の気持も、自分という人間も清純できれいだったと思う。；彼女が、生来まだかつて知らぬ、清純な恋そのものでなくてはならない。；英国の山川詩人が、故郷の自然を愛したのは、清純な魂によってである。；かつて学生のころ初めてこの寺を訪れたときは、伊織は清純であった。；とにかく清純な人間像が現代小説の中に、あまりにも少ないのではないか。；またそうであってこそ、彼には頼りになり得られる清純なものも感じられた。；清純な香の妙なる薫りが、この聖殿の入口から渦をまいて流れてくる。；ジェナンのことは、ジュリエットの恋にも匹敵する清純さで愛したのよ。；おれはともかく、佳鈴は一応、清純な役どころで売っているのだからね。；清純なものを描くかと思えば、血のにおいを感じさせるものも描く。；あの清純な娘を捨てるなんていう憎むべき行為は、とてもできなかった。；ディードリットの少女の面影を残したような清純な美しさとも違う。；自由に呼吸される清純な生きた楽しい健全な空気は、あたりにあふれていた。；十七歳の少女の清純な体を横たえる寝台は、そこに置かれてあるのである。；そのとき、清純という言葉をつかったのは、稔の感動とつながっている。；同性の目から見ても、三年前の彼女は清純そうな愛らしい顔立ちだった。；こんなに清純な女の子が、僚の恋人になってくれたなんてうれしいわ。；彼女はまったく清純な娘で、その年齢の娘に起こり得る危険がどういうものかを知らなかった。；男を一度も寄せ付けたことのない清純な肌の輝きに桔梗はたじろいだ。；この清純な天女のような娘に出逢うために、俺はあのストーリーを書いたのか。；清純さの罪、若さの罪、この世できれいな心が負はなければならん罪だよ。；真柄はひとりの子を生んだ女とは思われぬほど清純で、ういういしかった。；氏の作品が常に自分に、清純な快さを与えるのは、実にこの温味のためである。；あるいは清純な乙女をほうふつとさせるものまで、由来はさまざまだ。；そんな最悪な状況の中で次男の哀だけは清純だが、幼く生活を支えられない。；かような智謀は、あなたのような清純なお人には、分らぬままがむしろよい。</t>
        </is>
      </c>
      <c r="J4518">
        <f>HYPERLINK("https://www.weblio.jp/content/清純", "词义详情")</f>
        <v/>
      </c>
      <c r="K4518">
        <f>HYPERLINK("https://yourei.jp/清純", "查看例句")</f>
        <v/>
      </c>
    </row>
    <row r="4519">
      <c r="A4519" t="inlineStr">
        <is>
          <t>清書</t>
        </is>
      </c>
      <c r="B4519" t="inlineStr">
        <is>
          <t>成功</t>
        </is>
      </c>
      <c r="C4519" t="inlineStr">
        <is>
          <t>読み方：せいしょ
［名］(スル)《古くは「せいじょ」とも》
１原稿などを、きれいに書き直すこと。また、そのもの。浄書。きよめがき。きよがき。「レポートを—する」
２習字で、先生の指導を受けるためにきちんと書くこと。また、その書いたもの。</t>
        </is>
      </c>
      <c r="D4519" t="inlineStr">
        <is>
          <t>清書する(7%)；清書本；清書原稿；清書役；清書譜</t>
        </is>
      </c>
      <c r="H4519" t="n">
        <v>29</v>
      </c>
      <c r="I4519" t="inlineStr">
        <is>
          <t>さらにそこへ筆を入れ、もう一度清書しなければ原稿の体をなさなかった。；これらは日記原本ではなく、後年になって整理し清書した可能性が高い。；急いで家に帰って、心葉先輩に書いていただいたお手紙を清書します。；郁子は少しも疑いを持たずにホテルのデスクの上で清書をしてくれた。；そのため、そのような文章にするための清書を行う専門の業態も発達する。；かれは、文芸雑誌で不採用になった作品を推敲し直し、清書して送った。；清書をするには二日で済んだが、下た書きをするには四日かかった。；天皇の御璽は大きく、用紙で七行分をあまして清書せねばならなかった。；清書を頼まれた会議資料のことなど、秋穂はまるっきり忘れていたのだ。；また、日記の著者が後日になって改めて文書を整理して清書した例もある。；王の晩年が病気がちになると、代わって日記を清書するなどした。；なお後に兼実が摂政を辞任した際の上表文の清書は伊経が担当している。；彼はこれまでの調査の次第を整理して、報告書をつくって、清書した。；すぐそのあとからストキ藤原が、清書された要求書を持って続いて行った。；あなた、あたしに清書をさせる前に自分でも下訳を書いたわね。；わたし、買物から帰ってきたら、あんたの論文を清書する予定なんだから。；特に、深夜書いた手紙は必ず朝もう一度読み直してから清書すること。；清書が終わる頃になると、刑事部屋は朝の挨拶で騒がしくなっていた。；だって、あれはあなたがあたしに清書をさせたものですものね。；そのため、吉田はその稿を何人かの人に清書してもらって保存した。；その冬のあいだ、口ではいえぬうれしさでこれをかき、清書したのだ。；むしろ気掛かりなのは、清書の方が思い通り進んでいないことだった。；二ヶ月間で、仕事といえば、くだらない手紙を四通清書することだけだった。；清書が終わったのは五日の夜もだいぶおそくなってからであった。；その代り、外の生徒のように、寄宿舎に帰ってから清書をすることはない。；下書きや清書の時の、勢いというか楽しさというか、その問題である。；だから、清書の途中でインキが切れ、字がかすれたりすると不快になる。；筆跡をわからなくするため、犯人の手紙を活字で清書していたのだ。；朝おきると、さらにそれにみがきをかけ、清書して、ポケットへ入れた。</t>
        </is>
      </c>
      <c r="J4519">
        <f>HYPERLINK("https://www.weblio.jp/content/清書", "词义详情")</f>
        <v/>
      </c>
      <c r="K4519">
        <f>HYPERLINK("https://yourei.jp/清書", "查看例句")</f>
        <v/>
      </c>
    </row>
    <row r="4520">
      <c r="A4520" t="inlineStr">
        <is>
          <t>正常</t>
        </is>
      </c>
      <c r="B4520" t="inlineStr">
        <is>
          <t>成功</t>
        </is>
      </c>
      <c r="C4520" t="inlineStr">
        <is>
          <t>読み方：せいじょう
［名・形動］正しいとされる状態にあること。また、特に変わったところがなく、普通であること。また、そのさま。「—な心理状態」「列車ダイヤが—に戻る」⇔異常。</t>
        </is>
      </c>
      <c r="D4520" t="inlineStr">
        <is>
          <t>正常化(3%)；正常な状態(2%)；正常値；正常細胞；正常な人間</t>
        </is>
      </c>
      <c r="E4520" t="inlineStr">
        <is>
          <t>一方；尋常；規則的；ノーマル；規則正しい</t>
        </is>
      </c>
      <c r="F4520" t="inlineStr">
        <is>
          <t>正常空間；すべて正常；正常進化；正常状態；正常型</t>
        </is>
      </c>
      <c r="G4520" t="inlineStr">
        <is>
          <t>正常位；正常圧水頭症；正常価格；正常性バイアス；正常営業循環基準</t>
        </is>
      </c>
      <c r="H4520" t="n">
        <v>29</v>
      </c>
      <c r="I4520" t="inlineStr">
        <is>
          <t>正常でももともと左右のどちらか一方だけが発達しているのが普通である。；また、がんなどの異常な細胞と正常細胞を区別することにも利用される。；暖かすぎたり寒すぎたりし、極端な傾向があるが、決して正常ではない。；最後に、集積回路が製品として正常に機能するかを確認する検査を行う。；しかし白血球数が5以下ならば1個の多核球はあっても正常として良い。；また彼はすでに一日に数時間程度しか正常な活動ができないほど老衰していた。；それが実行ファイルであった場合、正常に起動できなくなる場合もある。；胴体の発育は正常だったが、脚の大きさだけは子供のままの状態であった。；解剖学とは、広い意味で生物体の正常な形態と構造とを研究する分野である。；また、J2リーグ戦の全試合の見逃し配信も、正常に配信されなかった。；打ち上げ約1か月で全ての機器の起動を正常に終え、観測体制に入った。；遺伝子の正常な塩基配列を変えると本来起こりえない異常な現象が現れる。；病を治すことよりも正常な個人の可能性を広げることに重きを置いている。；ホモ接合型優性個体は正常な表現型を持ち、異常な子孫のリスクはない。；伝導されているPR時間は一定であり通常は正常範囲の長さである。；多くの腫瘍細胞は正常組織細胞と比較して異型性が認められている。；そして45歳くらいでCEOになるのが、正常な姿だと思っています。；この回数の違いは正常分娩児の入院日数に関係していると考えられる。；異形成とは、細胞が正常では見られない形態になる、形態変化の一種である。；また運転士以外の運転業務に就く際にも色覚が正常である必要がある。；逆にハイリスク児であっても異常がみられなければ正常新生児室で十分である。；高血圧とは、血圧が正常範囲を超えて高く維持されている状態のことを指す。；同じく動物の一部種の正常な体細胞では一定回数以上分裂できない現象がある。；正常終了とは、例外スロー終了やエラー発生終了ではないことを指す。；これらはいずれも健康な人でも現れる正常なものである。；しかし、不慮の場合もあり防止策は必ずしも正常に機能するとはいえない。；正常な身体機能や形態が内因または外力によって損なわれた状態である。；また精子の形態異常も一部確認されたが6週間後に正常に戻った。；正常な状態に復旧するには、故障した構成要素の交換・修繕が必要である。</t>
        </is>
      </c>
      <c r="J4520">
        <f>HYPERLINK("https://www.weblio.jp/content/正常", "词义详情")</f>
        <v/>
      </c>
      <c r="K4520">
        <f>HYPERLINK("https://yourei.jp/正常", "查看例句")</f>
        <v/>
      </c>
    </row>
    <row r="4521">
      <c r="A4521" t="inlineStr">
        <is>
          <t>正常化</t>
        </is>
      </c>
      <c r="B4521" t="inlineStr">
        <is>
          <t>成功</t>
        </is>
      </c>
      <c r="C4521" t="inlineStr">
        <is>
          <t>読み方：せいじょうか
［名］(スル)ふつうの状態に戻すこと。また、戻ること。「事態が—する」</t>
        </is>
      </c>
      <c r="D4521" t="inlineStr">
        <is>
          <t>正常化交渉(7%)；正常化連(2%)；正常化後(2%)；正常化全国連絡会議；正常化以降</t>
        </is>
      </c>
      <c r="F4521" t="inlineStr">
        <is>
          <t>関係正常化；学園正常化；部落解放同盟正常化全国；同盟正常化全国連絡；系外惑星探査および正常化</t>
        </is>
      </c>
      <c r="H4521" t="n">
        <v>29</v>
      </c>
      <c r="I4521" t="inlineStr">
        <is>
          <t>正常化が始まったのはようやく1978年になってからのことであった。；同時に進行されていた日本と韓国との国交正常化を牽制する目的もあった。；また、国交正常化の交渉を7月31日までに開始することでも合意した。；最初から国会審議の正常化を無視するやり方で強引に通そうとしていた。；こうして、1970年には部落解放同盟正常化全国連絡会議が発足した。；この動きは中国との友好と国交正常化を阻害しようとする動きでもあります。；ただしこの任命の時点では、国交の公式な正常化は重要視されていなかった。；この条約は、ポーランドとドイツの関係正常化に効果があった。；これを受け、佐藤首相は中国との国交正常化を目指す意向を表明した。；これ以上中国と関係が悪くなったら、40年前の国交正常化前に戻ってしまう。；同学では幹部らが経営正常化を求め、理事長の退任を要求していた。；その中で米中両国は国交正常化へ向けて連携を一層強化していくことを誓った。；日韓国交正常化交渉が始まると、11月22日に夫婦ともに韓国へ渡った。；対米関係正常化に努めたが軍事政権と足並が揃わず外務部長官を退いた。；正常化とは、より正常な状態にして行くあらゆる過程のこと。；高麗人参は「総合的な正常化効果」を示すアダプトゲンの一例である。；首相としての主な課題には、リニの首相在任中に発生した反乱からの正常化などがあった。；国交正常化交渉を支持すると表明したが、今でもアメリカの政策は「信用していない」としている。；これに対し、労働組合側は強く反発し、会社運営の正常化を求めた。；コソボとの関係正常化はセルビアの欧州連合加盟交渉開始の条件とされていた。；しかし、その後、徐々にセルビアとコソボとの関係正常化に向かい始める。；ほぼ同じ頃、バチカンは中華人民共和国と国交正常化を模索し始めた。；六全協の方針を受け継ぎ、党体制の正常化と新たな前進を目指した。；他の社員がいた時は、団結して業務の正常化につとめたものだが、自分一人になってからは、勝率が落ちた。；男女間の仲が良くない事を問題視した学園側によって男女交際正常化委員会が創設され、主人公をはじめ、複数の生徒が選ばれた。；その後、学校の正常化のため威圧的な管理教育や部活動を奨励する学校運営が長年続けられてきた。；しかしその後は新首相や正常化に向けた道筋を示すことができず、8月23日に議会機能の停止を無期限に延長した。；政治的基盤を強化したブラントはそして東ドイツとの関係正常化に取り組んだ。；無条件の平和を政策とし、ソビエト連邦とフィンランドの関係の正常化を求めた。</t>
        </is>
      </c>
      <c r="J4521">
        <f>HYPERLINK("https://www.weblio.jp/content/正常化", "词义详情")</f>
        <v/>
      </c>
      <c r="K4521">
        <f>HYPERLINK("https://yourei.jp/正常化", "查看例句")</f>
        <v/>
      </c>
    </row>
    <row r="4522">
      <c r="A4522" t="inlineStr">
        <is>
          <t>青少年</t>
        </is>
      </c>
      <c r="B4522" t="inlineStr">
        <is>
          <t>成功</t>
        </is>
      </c>
      <c r="C4522" t="inlineStr">
        <is>
          <t>読み方：せいしょうねん
青年と少年。ふつう、12歳から25歳くらいまでの男女のこと。青少年保護育成条例などでは18歳未満の未婚の男女をさす。</t>
        </is>
      </c>
      <c r="D4522" t="inlineStr">
        <is>
          <t>青少年育成(4%)；青少年向け(4%)；青少年センター(2%)；青少年問題(2%)；青少年たち(2%)</t>
        </is>
      </c>
      <c r="E4522" t="inlineStr">
        <is>
          <t>少年；青年；若者；ユース；十代</t>
        </is>
      </c>
      <c r="F4522" t="inlineStr">
        <is>
          <t>青少年団体；全国青少年；青少年活動；青少年読書感想文；国際青少年</t>
        </is>
      </c>
      <c r="G4522" t="inlineStr">
        <is>
          <t>青少年健全育成条例；青少年会館；青少年旅行村；青少年自然の家；青少年教育施設</t>
        </is>
      </c>
      <c r="H4522" t="n">
        <v>29</v>
      </c>
      <c r="I4522" t="inlineStr">
        <is>
          <t>学究活動の傍ら、一般や青少年向けの本を執筆して知識の向上に努めた。；さらに貴族だけでなく身分は低くても才能がある青少年をも受け入れていた。；青少年活動の大きな部分を占めるのがスポーツ、特にサッカーである。；この点はナチスが設立した青少年組織と決定的にちがうところであった。；ハイデハウスは戦後に家をなくした青少年を収容するために設けられた。；これらの2つの組織は、国家の支援の元で青少年に軍隊式の生活を課した。；自転車の通行もできるが青少年運動広場側は階段とスロープになっている。；日本からはかつて民社党全国青年部と日本社会党青少年局が加盟していた。；これまでの民間青少年団体は解散させられ、ナチ党の団体のみに統一された。；反対に、健康な青少年の死亡は包括的適応度を増加させない可能性が高い。；寺の子として育った青少年の「性」の目覚めと葛藤を描いた作品である。；また、研究の傍ら一般や青少年向けの本を執筆し普及に努めた。；多くの青少年は過酷な環境に適応できなかったために死んでいった。；青少年の絵画制作能力の開発に独自の指導方法によって著しい効果をあげた。；はアジア青少年大会に出場し、チャイニーズタイペイ戦で勝利投手となる。；彼女の作品のほとんどは子供や青少年を題材としている。；後進育成の教育施設を持ち、また青少年のための催しを毎シーズン開く。；その規模は次第に拡大し、やがては青少年も安楽死の対象となった。；また青少年に勤労奉仕を行わせていたこともあり、社会的な批判も高まった。；少なくとも二人のスウェーデン王が青少年期をラドガで過ごしている。；キリスト教の青少年向け作品集も当地を中心に繰り広げられた物語である。；イタリアを活動拠点とし、青少年のヌード写真を撮影したことで知られる。；ベンスハイムには子供から14歳までの青少年のためのイベントが多くある。；青少年向け科学実験番組であり、科学番組として初のカラー番組である。；これらが、日本の青少年指導者の支持を得てドイツと日本の青少年の交流が実現された。；他に、当時の青少年向け科学雑誌の定番である科学小説も連載されていた。；今日では世界的な青少年組織の一つとなっている。；これによりヒトラー・ユーゲントに属する青少年からの徴募も開始した。；韓国では青少年観覧不可でありながら、観客動員468万人を記録した。</t>
        </is>
      </c>
      <c r="J4522">
        <f>HYPERLINK("https://www.weblio.jp/content/青少年", "词义详情")</f>
        <v/>
      </c>
      <c r="K4522">
        <f>HYPERLINK("https://yourei.jp/青少年", "查看例句")</f>
        <v/>
      </c>
    </row>
    <row r="4523">
      <c r="A4523" t="inlineStr">
        <is>
          <t>精神</t>
        </is>
      </c>
      <c r="B4523" t="inlineStr">
        <is>
          <t>成功</t>
        </is>
      </c>
      <c r="C4523" t="inlineStr">
        <is>
          <t>読み方：せいしん
１人間のこころ。また、その知的な働き。「健全な—」
２物質に対し、人間を含む生命一般の原理とみなされた霊魂。たましい。
３物事をなしとげようとする心の働き。気力。「—を鍛える」「—統一」
４物事の基本的な意義・理念。「憲法の—」
５ある歴史的過程や共同体などを特徴づける意識形態。「時代—」「民族—」</t>
        </is>
      </c>
      <c r="D4523" t="inlineStr">
        <is>
          <t>精神的(10%)；精神性；精神上；精神波；精神構造</t>
        </is>
      </c>
      <c r="E4523" t="inlineStr">
        <is>
          <t>心；頭；神；魂；主義</t>
        </is>
      </c>
      <c r="F4523" t="inlineStr">
        <is>
          <t>精神修養；国民精神；精神症状；反骨精神；軍人精神</t>
        </is>
      </c>
      <c r="G4523" t="inlineStr">
        <is>
          <t>精神科医；精神状態；精神病院；精神力；精神病</t>
        </is>
      </c>
      <c r="H4523" t="n">
        <v>29</v>
      </c>
      <c r="I4523" t="inlineStr">
        <is>
          <t>人々はアマチュアリズムの精神で大会に参加することを喜びとしていた。；神と人間が逆さまになっていたように精神と人間が逆さまになっている。；しかし物語が進むにつれて、次第に二人の精神から境界が失われていく。；このようにその重要性と目的は基本的に精神的な特性を持っている。；建学の精神にもあるように、国際的な人間を育てることを目指している。；ヘーゲルは、精神の統一性がそれ自身を感じているのが愛であるとする。；そのような長い歴史の流れからも、その精神構造を採ることがで きる。；その他、本人が健全でも周囲の証言で精神病患者とされるケースもある。；また、力を加減すれば記憶や精神の一部だけを破壊することも可能である。；特に司教の団体制という考え方がこの公会議の精神の特徴になっている。；ただし双方に共通する大きな特徴もあり、それは愛馬精神の尊重である。；カトリックでありながら反英でもある新たな国民性の精神が芽生えた。；しかし、その本質は人間の生態改造にあるのではなく、精神強化にある。；彼の詩や散文が示すように、デービーの精神は非常に想像力豊かだった。；これは家庭収入が低下したためではなく、精神的な理由によるものとされる。；その後も続々と多くの国がこの精神に賛同して救護団体を設立していった。；父フリードリヒは、対立していた古カトリック派に寛容の精神で接した。；中世の君侯に憧れ次第に精神を病んでいった王の夢の城とされている。；人間は、知識だけでなく、自らの精神や心にも注意を向けることができる。；身体に先だって精神があるのでもなく精神に先だって身体があるのでもない。；これによって正式に精神運動は、内務省主導で推進されることになった。；また同様な例がフェネチルアミンから合成される精神刺激薬にも見られる。；ゴシック・アンド・ロリータは精神性も大事にするといわれている。；意識のない存在は技能の習得や精神的な性質を持つことはできない。；「意」とは書の上で作者の個人としての性・精神性が表現されることを言う。；ルネ・デカルトは実体を延長と精神に分け、後者のみに能動性を認めた。；神経内科は物質的な神経を扱う科であり、精神的な病気は扱わない。；ここでの生活は時として精神的な試練であったとルターは言っている。；所有することで精神的に安心をもたらす場合、これらは形代とも呼ばれる。</t>
        </is>
      </c>
      <c r="J4523">
        <f>HYPERLINK("https://www.weblio.jp/content/精神", "词义详情")</f>
        <v/>
      </c>
      <c r="K4523">
        <f>HYPERLINK("https://yourei.jp/精神", "查看例句")</f>
        <v/>
      </c>
    </row>
    <row r="4524">
      <c r="A4524" t="inlineStr">
        <is>
          <t>成人</t>
        </is>
      </c>
      <c r="B4524" t="inlineStr">
        <is>
          <t>成功</t>
        </is>
      </c>
      <c r="C4524" t="inlineStr">
        <is>
          <t>読み方：せいじん
［名］(スル)
１心身が発達して一人前になった人。成年に達した人間。おとな。現代日本では、一般的に満18歳以上の者をいう。→成年
２子供が成長して大人になること。「娘はもう—して働きに出ている」
[補説]1は、令和4年（2022）4月の民法改正以前は、満20歳とされていた。</t>
        </is>
      </c>
      <c r="D4524" t="inlineStr">
        <is>
          <t>成人する(7%)；成人後(5%)；成人男子(3%)；成人期(2%)；成人指定</t>
        </is>
      </c>
      <c r="E4524" t="inlineStr">
        <is>
          <t>大人；おとな；アダルト；成年者；成獣</t>
        </is>
      </c>
      <c r="F4524" t="inlineStr">
        <is>
          <t>若い成人；成人誌；成人儀礼；成人男性；成人発症</t>
        </is>
      </c>
      <c r="G4524" t="inlineStr">
        <is>
          <t>成人式；成人男性；成人映画；成人女性；成人教育</t>
        </is>
      </c>
      <c r="H4524" t="n">
        <v>29</v>
      </c>
      <c r="I4524" t="inlineStr">
        <is>
          <t>患者が十分な理解力を備えた成人である場合でも問題が無いわけではない。；家族の存続を重視する朝鮮の伝統社会では、結婚が成人の指標とされた。；これは瞑想を何年も行っている成人でも同様であることが確認されている。；彼はロシア革命前に成人していなかった共産党員の最初の世代であった。；国王は既に成人していたので、彼女の宮廷内での役割は明確ではなかった。；つまり、年齢ではなく集団に貢献出来る能力を成人の基準にしたのである。；多くの伝承では赤ん坊は成人して高徳の僧侶になったとするものが多い。；吸入薬の量は小児であろうが成人であろうが変化がないのが一般的である。；子供は多少色のあるものを着るが、成人は決められた色のものしか着ない。；巫蠱の獄を生き延びた孫の劉病己は、民間の家庭にて育てられ成人した。；小児で先に報告されたが、成人に起こることは現在ではわかっている。；天皇の成人を機に摂政が関白に転じた確実な事例はこれが最初である。；成人になる前にはまだ、陰茎包皮と亀頭が分かれていないかもしれない。；現在は成人の治療にも使用されるが、もともとは遊戯療法から派生した。；成人後も読解力が低く、複雑な書類などは人に読んでもらう必要があった。；成人用の甕棺を割れないように作るには有る程度の技術が必要であった。；秀吉の晩年、秀次は豊臣家の二世世代では唯一の成人した親族であった。；嫡男氏輝がまだ成人していないため、家臣の争いを抑える目的であった。；成人すると張承から、何時しか自分と同じ職に就くだろうと評価された。；成人の場合は意味は全く異なるが美形もしくは美男が一般的に呼称される。；興綱が成人して独自の行動を取るようになると綱房は高経と共に対立。；主に成人男女の恋愛をテーマとした社会派的作品を製作している。；すると、中からすでに成人し、甲冑で完全に武装した女神が飛び出した。；また、子供は好奇心から他の子供の体や成人の体を探究しようとする。；神戸市出生との説もあり、成人するまで母親に一度も会うことなく育った。；フランセスとの間には四人の息子と三人の娘がおり、五人が成人した。；アフメト3世には多くの息子がいたが、成人したのは6人だけだった。；本作からは基本的にどのシナリオで始めても決まった年代に成人するようになった。；新生児期や学童期に多くみられるが、外傷性の場合、成人にもみられる。</t>
        </is>
      </c>
      <c r="J4524">
        <f>HYPERLINK("https://www.weblio.jp/content/成人", "词义详情")</f>
        <v/>
      </c>
      <c r="K4524">
        <f>HYPERLINK("https://yourei.jp/成人", "查看例句")</f>
        <v/>
      </c>
    </row>
    <row r="4525">
      <c r="A4525" t="inlineStr">
        <is>
          <t>精神的</t>
        </is>
      </c>
      <c r="B4525" t="inlineStr">
        <is>
          <t>成功</t>
        </is>
      </c>
      <c r="C4525" t="inlineStr">
        <is>
          <t>読み方：せいしんてき
［形動］精神に関するさま。また、精神に関する面を重んずるさま。「—な苦痛」「—な愛」</t>
        </is>
      </c>
      <c r="D4525" t="inlineStr">
        <is>
          <t>精神的に追い詰められ；精神的指導；精神的ストレス；精神的疲労；精神的影響</t>
        </is>
      </c>
      <c r="E4525" t="inlineStr">
        <is>
          <t>宗教的；内的；心理的；心的；メンタル</t>
        </is>
      </c>
      <c r="F4525" t="inlineStr">
        <is>
          <t>精神的危機；精神的重圧；精神的動揺；精神的問題；精神的不安定</t>
        </is>
      </c>
      <c r="G4525" t="inlineStr">
        <is>
          <t>精神的支柱；精神的ショック；精神的負担；精神的健康；精神的打撃</t>
        </is>
      </c>
      <c r="H4525" t="n">
        <v>29</v>
      </c>
      <c r="I4525" t="inlineStr">
        <is>
          <t>大人という年齢に達しているが精神的に大人になれない男女を指す言葉。；私の妻は私を精神的にも霊的にも経済的にも私を支えてくれた人である。；またそれに伴って精神的にも周期的に変動すると指摘されることもある。；この統制のもとで、ロシア教会は精神的に荒廃したとしばしばいわれる。；こうした背景から、バリ人は非常に精神的に満足した者が多いといわれる。；執筆中に何度も精神的不安に襲われ、飲酒量が増加する原因になったという。；彼は今回の敗北では精神的にも大きく打撃を受け自信を喪失した。；けど、それ以上に馬の頑張ってる姿が、ぼく自身の精神的支えになってた。；ユタを求める人の多くは精神的に弱っていたり、問題を抱えて困っている。；ステージに登る決心をしたこととその精神的強さは高く賞賛された。；また、精神的・肉体的・社会的問題が起こっても、対象に執着し続ける。；結婚している男性は、より健康で、精神的に安定し、より長生きする。。；これらを読んで父と精神的に再会し、岡田屋再建の決意を新たにしたという。；以降広く知識人と交わり始め、ヨーロッパの精神的独立のために尽力した。；交友関係も狭くなっていき、精神的状況はさらに悪い方向へ向かっていた。；そのためフリッツは肉体的にも精神的にも疲れ切った状態にあった。；ただし、パイロットは死を覚悟するほどの精神的・肉体的負担を強いられる。；ブルガリアの著名な知識人や政治家、精神的指導者らがこの学校を卒業している。；精神的に虐待し、結婚生活の破綻を息子に投影していた母を憎んでいた。；だがショックは大きく、以後精神的に不安定な様子が見られたという。；教会は初期にはシカゴの聖ジョンの精神的指導の下にあった。；さらには精神的に参ってしまった妻が自宅に放火をするという事件も起きた。；既にシンプソンが精神的に追い詰められていたということは明白である。；田山花袋は、眉山には精神的に不健全に陥るような傾向があったとする。；以前から抑うつ状態であり精神的問題を抱えていたことが犯行動機であるとしている。；ユダヤ教徒の社会的・精神的向上のために努力をし、宗教習慣の改善にもつとめた。；男女とも、精神的・身体的なコンディションにも大きく左右される。；自殺の原因としては先の天草領没収による精神的動揺が考えられている。；ミルクを飲ませた自責の念で、長く精神的に苦しんだ被害者の親も多い。</t>
        </is>
      </c>
      <c r="J4525">
        <f>HYPERLINK("https://www.weblio.jp/content/精神的", "词义详情")</f>
        <v/>
      </c>
      <c r="K4525">
        <f>HYPERLINK("https://yourei.jp/精神的", "查看例句")</f>
        <v/>
      </c>
    </row>
    <row r="4526">
      <c r="A4526" t="inlineStr">
        <is>
          <t>整数</t>
        </is>
      </c>
      <c r="B4526" t="inlineStr">
        <is>
          <t>成功</t>
        </is>
      </c>
      <c r="C4526" t="inlineStr">
        <is>
          <t>読み方：せいすう
零から順に一ずつ増すか減らすかすることによってできる数。零、自然数、および自然数に対応する負数の総称。</t>
        </is>
      </c>
      <c r="D4526" t="inlineStr">
        <is>
          <t>整数倍(7%)；整数値(5%)；整数演算(4%)；整数全体(3%)；整数係数(2%)</t>
        </is>
      </c>
      <c r="F4526" t="inlineStr">
        <is>
          <t>代数的整数；進整数；適当な整数；符号なし整数；整数比</t>
        </is>
      </c>
      <c r="G4526" t="inlineStr">
        <is>
          <t>整数型；整数論；整数列；整数部分；整数比</t>
        </is>
      </c>
      <c r="H4526" t="n">
        <v>29</v>
      </c>
      <c r="I4526" t="inlineStr">
        <is>
          <t>小数点より左を整数部と呼んで、右から一の位、十の位の数を記述する。；この番号は常に整数で、正の値でも負の値でも良くねじれの向きによる。；そのような既約表現はどれも整数全体の集合上で実現することができる。；ビットを使うと、 から までのすべての整数を表現することができる。；単に符号あり整数を使っていないか、負値を回避したい場合に行われる。；この方法では、0 と 1 を用いてすべての整数を表すことが出来る。；これは素数が整数の基本的な構成部品となっていることに似ている。；体上の多項式環 は多くの面で整数全体のなす環 と非常によく似ている。；重要なことは、整数の素因数への分解の様子を明確に知ることである。；代数的整数をこのように定義する背景には次のような考え方がある。；楕円曲線上の点と点を掛けるのではなく、点に整数を掛けることに注意。；しかし、この穴を通る磁束は の整数倍の値しか取ることが出来ない。；例えば、与えられた整数が完全数であるかどうかは決定することができる。；一方、なぜ整数に近いのか、合理的な理由が与えられていないものもある。；一般に、任意に選んだ 個の整数が互いに素である確率は で表される。；クラス Bignum は任意の巨大な整数を表現できるものとする。；その後、各 に対して整数 の最小値 を与える公式が発見されている。；固定ビット幅の整数フォーマットは明確に不正データを示す方法がない。；これはヒルベルト行列と同じように、逆行列の全ての要素が整数となる。；したがって は整数 を用いて以下のように表すことができる。；を整数とし、 を正方形 の周に反時計回りに向きを付けた閉路とする。；あるレベルに置かれた整数の中で最大のものは、常にほぼ下から3番目にある。；オブジェクトは可変と不変があり、整数などの基本型は後者に含まれる。；この結果は幾何数列上整数値をとる整函数に対するものに一般化できる。；これにより、整数演算ではFORTRANと同程度の性能が実現された。；符号は必要ないため、符号なしの整数が使われるようになっていった。；多くのプロセッサは整数のゼロ除算を実行しようとすると例外を発生させる。；整数記事 N に対応する英語版の記事は であることに注意してください。；様々なSIMD的な命令と基本的な64ビット整数演算機能を持っていた。</t>
        </is>
      </c>
      <c r="J4526">
        <f>HYPERLINK("https://www.weblio.jp/content/整数", "词义详情")</f>
        <v/>
      </c>
      <c r="K4526">
        <f>HYPERLINK("https://yourei.jp/整数", "查看例句")</f>
        <v/>
      </c>
    </row>
    <row r="4527">
      <c r="A4527" t="inlineStr">
        <is>
          <t>制する</t>
        </is>
      </c>
      <c r="B4527" t="inlineStr">
        <is>
          <t>成功</t>
        </is>
      </c>
      <c r="C4527" t="inlineStr">
        <is>
          <t>読み方：せいする
［動サ変］［文］せい・す［サ変］
１人の行動などを押さえとどめる。また、気持ちなどを押しとどめる。「殺到する群衆を—・する」「はやる心を—・する」
２自分のものにする。支配する。「機先を—・する」「過半数を—・する」「一発攻勢で接戦を—・する」→先んずれば人を制す
３規則などをきめる。制定する。「法を—・する」</t>
        </is>
      </c>
      <c r="D4527" t="inlineStr">
        <is>
          <t>制するなど活躍；制すること能わ；制するべく</t>
        </is>
      </c>
      <c r="E4527" t="inlineStr">
        <is>
          <t>制御；統治；我慢；抑制；コントロール</t>
        </is>
      </c>
      <c r="F4527" t="inlineStr">
        <is>
          <t>初めて制する；能く剛を制する</t>
        </is>
      </c>
      <c r="H4527" t="n">
        <v>29</v>
      </c>
      <c r="I4527" t="inlineStr">
        <is>
          <t>特に一人ではなにもできない民主主義は、多数を制する者が政権を取る。；海自身以外のどんな愛情もどんな力も、海を制することはできないのだ。；頭と胴体と、強い方が相手を制するのではないかと思われるふしがある。；なんとかきっかけをつくろうと絳攸が声を上げかけるのを視線で制する。；自分でもよく知っているが食物に向うとどうしても制する事が出来ん。；内戦を制するためにはヘンリー4世は重要な同盟相手と見做されていた。；身体拘束は望ましくないと思われる行動や動作を制するために使われる。；そして、大きいタマこそは、世界を制するための条件の一つなのである。；だがゴルゴタはソロを制するように片手をあげて一歩前に出て来た。；西部の人口が多いために民主党が州全体の結果を制する傾向にある。；当綱はじろりと二人を見てから制するように軽く両手のひらを上げた。；ズインダーナフ砦を制する者が、この大陸の交易を支配する者なのです。；彼は自分の憎悪を復讐せずに制することのできるようなやつではありません。；これまでは、力で関東を制するつもりでいたが、今後はその必要はあるまい。；しかし自分を制することが出来るのは自分一人なのだと思う。；いよいよの時には、それらの感情や感覚が他の全てを制するのだ。；普通の猫だったら、二、三匹でかかったとしても制することはできません。；この地を制する者は、黄河を、そして中国を制することができるという。；さらに年末には青木真也との対戦を制するなど名を馳せるようになった。；この三つを結べば、インド洋を制することが出来る、と考えたのである。；トリマルキオはもはや涙を制することができず、つぎのように叫んだ。；この毒を制するため、強い作用をもつ峻剤を用いる攻撃的な治療を行った。；隣のジムが顔を真っ赤にして何か言おうとしたが、エドワードが制する。；その声は右京亮を制するよりも、さらにその無謀さを煽る結果になった。；政治は人の肉体を制するものにして、教育はその心を養うものなり。；それを制するようにアイダは手で夫の袖をつかんで一気に続けた。；能く水を知る者は水を制することを会して水に制せらるることを為さぬ。；だが、課長はそれを制するように軽く手を上げると「いや」と言った。；だが、起動鍵語を唱えるよりも早く、その場を制する声が廊下に響いた。</t>
        </is>
      </c>
      <c r="J4527">
        <f>HYPERLINK("https://www.weblio.jp/content/制する", "词义详情")</f>
        <v/>
      </c>
      <c r="K4527">
        <f>HYPERLINK("https://yourei.jp/制する", "查看例句")</f>
        <v/>
      </c>
    </row>
    <row r="4528">
      <c r="A4528" t="inlineStr">
        <is>
          <t>せいぜい</t>
        </is>
      </c>
      <c r="B4528" t="inlineStr">
        <is>
          <t>成功</t>
        </is>
      </c>
      <c r="C4528" t="inlineStr">
        <is>
          <t>読み方：せいぜい
⇒しょうぜい（正税）</t>
        </is>
      </c>
      <c r="D4528" t="inlineStr">
        <is>
          <t>せいぜい三十；せいぜいそんな；せいぜい五十；せいぜい五分；せいぜい十二</t>
        </is>
      </c>
      <c r="E4528" t="inlineStr">
        <is>
          <t>単なる；過ぎない；単純な；どうせ；恐らく</t>
        </is>
      </c>
      <c r="F4528" t="inlineStr">
        <is>
          <t>せいぜい数mm；せいぜい五尺；せいぜい千五百；せいぜい一尺；せいぜい八十</t>
        </is>
      </c>
      <c r="H4528" t="n">
        <v>29</v>
      </c>
      <c r="I4528" t="inlineStr">
        <is>
          <t>せいぜいできることは目を狙ったり混乱させる以外になかったのである。；しかしこの方法で遡り得るのは、せいぜい一八五〇年くらいまでである。；せいぜい代表的なものに対して、属の単位で与えられているだけである。；あんたは芝居なんか見ないで、せいぜい自分を眺めたほうがよくってよ。；学問の中でわたしが婦人たちにお勧めするものは、せいぜいこれ位である。；おぬしの魔法はせいぜい一にぎりの戦士をびっくりさせたにすぎぬ。；ところが世間一般が常に口にするものは、せいぜい五十種か百種であろう。；せいぜい五十歳台から六十までには届いていない人のように思われる。；元々は本艦級以前の潜水艦同様潜行時間はせいぜい数日程度であった。；私の懐中にあった金は、藤沢行の片道切符を買うのがせいぜいであった。；持っていけそうなものといえば、せいぜいマッチぐらいのものでした。；刀屋に渡してせいぜい研がせておけと、半七は彼に注意して別れた。；ソロモン自身も根拠がせいぜい状況証拠にとどまることを認識していた。；五日に一度とか、一週間に一度とか、せいぜいその程度にしか飲めません。；レシートの目的地は名古屋か、せいぜい関西かに限られていたのだった。；十八からせいぜい二十歳くらいまでの年齢の、美しい体をした女性の像だ。；そのため、イギリス艦からはせいぜい数回の砲撃が行われたに過ぎなかった。；いま一つは双方とも契約の期間をせいぜい短くするように心がけるべきである。；部下はひとりかせいぜいふたりだと思っていたら、なんと四十人もいたのだ。；それでせいぜい科学の準備くらいのところまでこの考えを持って行くのは見当違いである。；それがなかったら、重役候補はおろか、下っ葉の走り使いがせいぜいよ。；声という風のようなものの中にこれを吹き込むのが、せいぜいである。；かなりの長老階級か、せいぜい一人か二人の師範に限られていると推測した。；高さはせいぜい五メートルぐらいだが、登攀はまったく不可能だった。；それとこの地域のすでに遅い法システムは、せいぜい犯罪の解決を困難にした。；ブリーにはあとせいぜい五分しか神経をもちこたえられないとわかっていた。；電話の声を夫の耳に入れぬやう、彼女はせいぜい気をつけた。；その時期夜は非常に短く、せいぜい2、3時間で再び太陽が昇ってきた。；おそらく家族を一年か、せいぜいのところ二年ぐらい支えていくのに十分なだけだろう。</t>
        </is>
      </c>
      <c r="J4528">
        <f>HYPERLINK("https://www.weblio.jp/content/せいぜい", "词义详情")</f>
        <v/>
      </c>
      <c r="K4528">
        <f>HYPERLINK("https://yourei.jp/せいぜい", "查看例句")</f>
        <v/>
      </c>
    </row>
    <row r="4529">
      <c r="A4529" t="inlineStr">
        <is>
          <t>成績</t>
        </is>
      </c>
      <c r="B4529" t="inlineStr">
        <is>
          <t>成功</t>
        </is>
      </c>
      <c r="C4529" t="inlineStr">
        <is>
          <t>読み方：せいせき
１成し遂げた仕事などの結果。また、その結果の評価。「営業—」
２学業の評価や試験の結果。「国語の—があがる」</t>
        </is>
      </c>
      <c r="D4529" t="inlineStr">
        <is>
          <t>成績優秀；成績上位；成績表；成績不良；成績順</t>
        </is>
      </c>
      <c r="E4529" t="inlineStr">
        <is>
          <t>記録；レコード</t>
        </is>
      </c>
      <c r="F4529" t="inlineStr">
        <is>
          <t>優秀な成績；最高成績；競走成績；営業成績；総合成績</t>
        </is>
      </c>
      <c r="G4529" t="inlineStr">
        <is>
          <t>成績優秀；成績評価；成績係数；成績審査；成績評定</t>
        </is>
      </c>
      <c r="H4529" t="n">
        <v>29</v>
      </c>
      <c r="I4529" t="inlineStr">
        <is>
          <t>決定戦での記録・成績はリーグ戦のチーム・個人の成績には含まれない。；成績優秀であるからといっても必ず良い産駒が生まれるとは限らない。；恥ずかしがり屋でありながら初参加にしてなかなかの好成績を収めた。；このマッカーサー以上の成績で卒業した者はこれまで2名しかいない。；二段以上は、昇段戦に参加し所定の成績をあげることにより認定される。；番組終了後にはゲーム中の成績を暗号化したパスワードが画面に表示された。；最終的には122試合に出場して前年同様安定した成績を残した。；シーズン成績では最下位独走のチームの中チーム2位の7勝を記録した。；逆に全く競走成績の伴わなかった馬が種牡馬として大成することもある。；パリ音楽院の対位法科は、自由コラールが成績の最終評価になっていた。；バッハは、そこで優秀な成績は残したものの、採用されることはなかった。；小林新社長が経営安定化とチーム成績向上を迫られた一年となった。；オランダのライデン大学で学んで優秀な成績を収め医学博士号を取得。；しかし順調な調整と鍛錬が妨げられ、結果的には競走成績に反映された。；生徒の成績が学習集団全体のどのあたりの位置にあるかで評価しようとするものである。；成績による場所ごとの収入の計算式を示すと次のようになる。；小錦の場合も当時5大関がおり、昇進に高レベルの成績が求められていた。；この方針は、阪神の成績が低迷していた年であっても変わりはない。；この成績を見ても分かる通り、この頃のマルクスは文学への関心が強かった。；すべてのタイトルの可能性が消滅、1月を1勝4分4敗の成績で終えた。；加盟協会に所属するクラブチームの成績を元にしたランキング。；開幕より成績が伸びず8月に水口が辞任し、ヴィタヤが監督に就任した。；クラブごとの成績も算出されるが、ACL等のシード枠には適用されない。；基準となる成績は具体的に、2連率・勝率・事故率・出走回数である。；これは日本の代表3選手の中では最も上位の成績であった。；これは恐らくクリックのラテン語の成績があまり良くなかったためである。；最終的には合計6得点という前シーズンを下回る成績でシーズンを終えた。；しかしその後も成績は振るわず、16位で2007年シーズンを終えた。；もちろん、勝敗表や個人成績が一昨日現在のものが掲載されるのがほとんど。</t>
        </is>
      </c>
      <c r="J4529">
        <f>HYPERLINK("https://www.weblio.jp/content/成績", "词义详情")</f>
        <v/>
      </c>
      <c r="K4529">
        <f>HYPERLINK("https://yourei.jp/成績", "查看例句")</f>
        <v/>
      </c>
    </row>
    <row r="4530">
      <c r="A4530" t="inlineStr">
        <is>
          <t>整然と</t>
        </is>
      </c>
      <c r="B4530" t="inlineStr">
        <is>
          <t>成功</t>
        </is>
      </c>
      <c r="D4530" t="inlineStr">
        <is>
          <t>整然と並ん(14%)；整然と並べ(5%)；整然と並ぶ(4%)；整然とならん；整然と列</t>
        </is>
      </c>
      <c r="E4530" t="inlineStr">
        <is>
          <t>きちんと；きりっと；順序立てて；きちんきちん</t>
        </is>
      </c>
      <c r="F4530" t="inlineStr">
        <is>
          <t>ピロール環が整然と；整然と立ち並ん；整然と列をなし；整然と植えられ；整然と撤退する</t>
        </is>
      </c>
      <c r="H4530" t="n">
        <v>29</v>
      </c>
      <c r="I4530" t="inlineStr">
        <is>
          <t>博物館とその他の展示館を整然と分類することは事実上不可能である。；誰が命じたわけでもないのに影たちは整然と動き、おれの退路を断った。；整然と計画された地球にはない生気に満ちて、アフラには刺激になった。；町の建物は、モスクを除いて、北西から南東の方向に整然と並んでいる。；加世子の立っている位置からは、整然と並んだ机と椅子だけが見えていた。；象の顎の骨だけが何百何千と、整然と並べられた写真があったりする。；しかし今はまだ料理番が来ていないので、整然と片付けてあるだけだ。；けれども整然と賢く巧みにいうことは、ごく僅かな人々にしかできない。；こんなときには整然と筋道だてては決して考えられるものではない。；慎重に扉を開けると、そこにはモップやバケツ等が整然と置かれている。；空から見るロマリアの街は、整然と区画整理された碁盤のように見えた。；道の左右は倉庫みたいな建物で、整然と並んだ並木の奥にその店があった。；そしてその一方の切りたった金属の壁に背を向けて、一列に整然と停止した。；そこにも同じくだれもいない教室が整然と眠りについている。；この曲を選曲したことで、団員は整然とステージを退場できたわけです。；それどころか、息がつまりそうなほど整然と計画された人工都市である。；指揮官の命令のもとに整然と列をなして海、海辺、丘と超低空で飛んだ。；中にはさまざまなものが幾つかの列に分たれて整然とならんでいた。；蜂ノ巣城に籠もるオルグ団七百余名は整然と守備配置を完了していた。；地区内には小学校・公園・スーパーなどが整然と配置されている。；ちょうど大学の学生食堂のように、長いテーブルが整然と並べられている。；それはやがて整然とまとまり、一人の人物の姿と顔になっていった。；伝統的な旧市街とは対照的に、新しい高層ビルが整然とたてられている。；そのようにして、各艦艇からも整然とモビル・スーツ隊が発進してゆく。；広々とした十畳間に整然とゲームや電化製品の類が並べられている。；山本課長が大和の長官私室を訪れたとき、室内は整然と整理されていた。；そう判断したのは、同じ植物ばかりが整然と並んでいたからだ。；その部屋は壁一面の棚に、衣類が種類やサイズごとに整然と収納されている。；死体が整然と並んでたおれているところを見ても、それがわかった。</t>
        </is>
      </c>
      <c r="J4530">
        <f>HYPERLINK("https://www.weblio.jp/content/整然と", "词义详情")</f>
        <v/>
      </c>
      <c r="K4530">
        <f>HYPERLINK("https://yourei.jp/整然と", "查看例句")</f>
        <v/>
      </c>
    </row>
    <row r="4531">
      <c r="A4531" t="inlineStr">
        <is>
          <t>清掃</t>
        </is>
      </c>
      <c r="B4531" t="inlineStr">
        <is>
          <t>成功</t>
        </is>
      </c>
      <c r="C4531" t="inlineStr">
        <is>
          <t>読み方：せいそう
［名］(スル)きれいに掃除すること。「室内を—する」「—当番」</t>
        </is>
      </c>
      <c r="D4531" t="inlineStr">
        <is>
          <t>清掃活動(7%)；清掃員(6%)；清掃作業(4%)；清掃業務；清掃ロボット</t>
        </is>
      </c>
      <c r="E4531" t="inlineStr">
        <is>
          <t>整理；掃除；片づけ；洗濯；洗う</t>
        </is>
      </c>
      <c r="F4531" t="inlineStr">
        <is>
          <t>清掃奉仕；清掃事業；清掃等；地域清掃；機内清掃</t>
        </is>
      </c>
      <c r="G4531" t="inlineStr">
        <is>
          <t>清掃車；清掃用具；清掃業；清掃業者；清掃センター</t>
        </is>
      </c>
      <c r="H4531" t="n">
        <v>29</v>
      </c>
      <c r="I4531" t="inlineStr">
        <is>
          <t>その後、ビルの警備及び清掃を業務とする会社を設立して運営している。；これは煙室ではなく、中に入って清掃するための煙室扉もついていなかった。；夜になると再び街へ出たものの、そこで街路清掃員らに呼び止められた。；建物の管理・清掃・警備や家事代行などのサービスを行う企業である。；これ以降、新川桜保存会を中心に草むしりや清掃などが続けられている。；清掃会社に勤める岡田進は何もない毎日に漠然とした不安を感じていた。；そして水路清掃の際には彼女に供物が献上されるなどして崇拝を受けた。；ロンドンの交差点を清掃する孤児ジョーはその一部始終を目撃していた。；そのため清掃のために開けられる構造になっていることが多い。；残りのグレーター・ボストンとその近郊の清掃にはさらに時間を要した。；ハイアットは攻撃後すぐに清掃を始め、11月19日に営業を再開した。；それ以来管理者不在であったが、地元の利用者が清掃などを行っていた。；また同校は海の近くに位置するため、毎年7月に海岸清掃を実施している。；そのため年に数回程度、近隣の住民や大学生により堀川清掃が行われる。；都市公園の職員たちで、普段は園内の清掃や売店業務などを行っている。；旭川市内にある彫刻への清掃活動と鑑賞会開催などを無償で行っている。；歯間清掃ツールには様々な物が存在し、個人の好みで選択されている。；また、デビュー当初はカラオケ店で深夜の清掃の仕事をしていたこともある。；現在は特急列車の折り返しのための清掃および整備作業を行っている。；また列車の増解結や、検査、清掃といった作業が必要となる場合もある。；エクソンは州と国の機関と連携しながら清掃作業を90年代前半まで続けた。；ストライドは縫い物や家の清掃の仕事でいくらかの収入を得ていた。；呉県に入ると、朱買臣は元の妻とその夫が道を清掃しているのを発見した。；山城には事前に徹底的な清掃と修理、天皇滞在の為の改造が施されていた。；火山灰で滑りやすくなるため屋根の清掃中に転落する事故も発生している。；かごは週に一回は穏やかな殺菌性の洗剤で完全に清掃しなくてはならない。；学校の西側には境川が流れていて、清掃時に堤防の草取り作業をしている。；一般的にはボランティアで街の清掃や大学案内などの活動を行っていると主張している。；対局は一時中断されたが、部屋を清掃した後10時半ごろ再開された。</t>
        </is>
      </c>
      <c r="J4531">
        <f>HYPERLINK("https://www.weblio.jp/content/清掃", "词义详情")</f>
        <v/>
      </c>
      <c r="K4531">
        <f>HYPERLINK("https://yourei.jp/清掃", "查看例句")</f>
        <v/>
      </c>
    </row>
    <row r="4532">
      <c r="A4532" t="inlineStr">
        <is>
          <t>盛装</t>
        </is>
      </c>
      <c r="B4532" t="inlineStr">
        <is>
          <t>成功</t>
        </is>
      </c>
      <c r="C4532" t="inlineStr">
        <is>
          <t>読み方：せいそう
［名］(スル)華やかに着飾ること。また、その装い。「—して出かける」</t>
        </is>
      </c>
      <c r="H4532" t="n">
        <v>29</v>
      </c>
      <c r="I4532" t="inlineStr">
        <is>
          <t>どのテーブルもこの日のために盛装した若いカップルでいっぱいだった。；彼が皇帝の盛装をした姿を見たことがあるが、スペインふうなのに驚いた。；いずれも制服や仕事着のままで、盛装している者など、ひとりも居ない。；他にも式があったとみえて、盛装したグループがそこここに見える。；出席してくれた盛装の母は、申し分なく美しく、全出席者の注目を集めた。；いかにも田舎田舎した婚礼馬の盛装が目に見えるようではないか。；この盛装した無数の日本の紳士や大臣や提督やどこかの官公吏たちは。；その場にいただれもが、この異国風の盛装をした上品な少年に注目していた。；アパートの隣家の娘が盛装をして、どっかへ出かけていくのが見えた。；夜の七時を過ぎるころから、王宮に盛装した貴族たちが集いはじめる。；この間の盛装に比べて今日はまたひどいなりをしている。；つまり、そこへ今ごろ現われたのは、盛装した一個の西洋婦人でありました。；幌の中には盛装の女性が明るい得意な気分をのせて走らせている。；おかみさんのまわりには、盛装をしたたくさんの僧侶たちがいました。；彼はいつものようにキチンと盛装していたが、帽子はかぶっていなかった。；そこで葬儀の用意をして、それが終ったので盛装して死んで往った。；彼女は盛装をしており、最上流に属する二十人ばかりの崇拝者が列をなしてついて来る。；多勢の盛装した下町風の娘達が互に手を引きつれて往ったり来たりしている。；だいたいお化粧したり盛装したりした婦人などは一日以来一人も見かけたことがない。；徒歩でホテルを出て来るカップルの中には盛装した人間もいた。；じっさい、日曜日の盛装を着こんだ彼の姿を見ると、へどが出そうだった。；まるで一点のすきもなく盛装しているときみたいな言い方だった。；ガラティンスキー家なんか、あなた、朝もお昼も盛装してお食事なのよ。；それから、最後の食事を済ませ、最後の盛装をして、最後の教会行き。；日本服の晴着でも、いくらか度はずれの大盛装が少くなかったようです。；するとまた、立派な自動車に、盛装したたけ子と富子が乗り込んでゐる。；盛装した男女が、一様に蒼い顔をし、わけもなく右往左往しているのです。；しかもそれに盛装環帯して、傲岸世に人なきが如き大風貌をしている。；それは盛装した嫂のお高が血の色のない顔をして、一人の婢に送られて出て来たところであった。</t>
        </is>
      </c>
      <c r="J4532">
        <f>HYPERLINK("https://www.weblio.jp/content/盛装", "词义详情")</f>
        <v/>
      </c>
      <c r="K4532">
        <f>HYPERLINK("https://yourei.jp/盛装", "查看例句")</f>
        <v/>
      </c>
    </row>
    <row r="4533">
      <c r="A4533" t="inlineStr">
        <is>
          <t>正装</t>
        </is>
      </c>
      <c r="B4533" t="inlineStr">
        <is>
          <t>成功</t>
        </is>
      </c>
      <c r="C4533" t="inlineStr">
        <is>
          <t>読み方：せいそう
［名］(スル)儀式などに出るための正式の装い。また、その装いをすること。</t>
        </is>
      </c>
      <c r="D4533" t="inlineStr">
        <is>
          <t>正装用(3%)；正装姿；正装時；正装安置</t>
        </is>
      </c>
      <c r="E4533" t="inlineStr">
        <is>
          <t>燕尾服；ホワイトタイ</t>
        </is>
      </c>
      <c r="H4533" t="n">
        <v>29</v>
      </c>
      <c r="I4533" t="inlineStr">
        <is>
          <t>式の時はそれは正装でしたが、普段は勿論そんなことはありませんわ。；近年では正装であるたすきをかけずに祭りに参加する女性が増加している。；市庁の役人に敬意を表して、その日はあなたは正装して出てもらいたい。；やはり正装してはいたが、せいぜいデパートで買った程度の服装だった。；その意味なら、それでこの士官たちが正装していた理由はよくわかつた。；ちょっと近所の友人の家を訪れる時にも、かならず第一の正装をするのだ。；だって、ここではまだ正装した閲兵式の準備はできていないんですものね。；正装した源氏の形を見て、後ろのほうを手で引いて直したりなど大臣はしていた。；特に指定のない場合の公式正装では下衣はスカート着用とされている。；また江戸吉原や京島原など特定の遊廓の上級の女性達の正装でもあった。；その隣で緊張した顔をしている正装の男は、あのウィル・ゲイムに似ていた。；ホテルには正装の紳士や婦人たちが出たり入ったりしていた。；一ヶ月に一度の特別な日だけは、正装をして由美子をエスコートするのだ。；ヅラと鼻眼鏡をとった正装姿で何やら同人誌のようなものを広げていた。；忠兵衛は、あとは裃をつければいいように正装して、一人で坐っていた。；それは王にだけ許された正装だったが、若者には不似合いに見えた。；これはいつもヴェローニカが正装をする時にだけしか着けないものだった。；男性用と女性用の和服のそれぞれに、正装・普段着・その間の服がある。；上の項で説明したとおり、準正装の上着として誕生したのが小袿である。；コートを渡したところへ、五十ぐらいのがっしりとした正装の男が顔を出した。；ドラム手と肩の部分が異なり、かつての一般歩兵の正装とほぼ同じである。；コタンの人々は、|酋長をはじめ正装して、村の入口でこれを迎えた。；だったら女だけの集まりに、ぎんぎらぎんに正装して行くな、というの。；あの像が正装をしているのは、こういうわけがあったのである。；赤い絨毯の敷かれた廊下の両側に扉があり、正装した男女が出入りしていた。；式典時、前期生は制服、後期生は制服に準じた正装の着用が求められる。；ただし、来客時には客に対して正装して懇切に応接していたようである。；緊張して刃を向けるが、正装をしていることから賊ではないことが分かった。；午前十時ころになって、正装した三人が、揃って玄関先に出てきたのです。</t>
        </is>
      </c>
      <c r="J4533">
        <f>HYPERLINK("https://www.weblio.jp/content/正装", "词义详情")</f>
        <v/>
      </c>
      <c r="K4533">
        <f>HYPERLINK("https://yourei.jp/正装", "查看例句")</f>
        <v/>
      </c>
    </row>
    <row r="4534">
      <c r="A4534" t="inlineStr">
        <is>
          <t>製造</t>
        </is>
      </c>
      <c r="B4534" t="inlineStr">
        <is>
          <t>成功</t>
        </is>
      </c>
      <c r="C4534" t="inlineStr">
        <is>
          <t>読み方：せいぞう
［名］(スル)原料に手を加えて製品にすること。「菓子を—する」「—販売」</t>
        </is>
      </c>
      <c r="D4534" t="inlineStr">
        <is>
          <t>製造販売(5%)；製造される(2%)；製造業；製造技術；製造コスト</t>
        </is>
      </c>
      <c r="E4534" t="inlineStr">
        <is>
          <t>建設；制作；作；生産；製作</t>
        </is>
      </c>
      <c r="F4534" t="inlineStr">
        <is>
          <t>製造拠点；日本車輌製造；製造機；製造設備；製造および</t>
        </is>
      </c>
      <c r="G4534" t="inlineStr">
        <is>
          <t>製造会社；製造業者；製造工場；製造メーカー；製造所</t>
        </is>
      </c>
      <c r="H4534" t="n">
        <v>29</v>
      </c>
      <c r="I4534" t="inlineStr">
        <is>
          <t>製造機械が使われるようになり安価に大量生産することも可能になった。；普及が進んだのは蓄音機を製造する会社が増えた昭和初期のことである。；高度な製造技術を利用した武器は多く、財産的価値を持つものも多い。；兵器の開発や製造は、兵器企業や軍需企業などと呼ばれる企業が行う。；クックが製造したレコードは、鉄道の音から嵐の音まで様々なものがあった。；複数の蔵元が製造した酒を混ぜたブレンド日本酒が販売されることもある。；メーカーの製造ミスで早期出力低下などトラブルが起こることもある。；食品製造時に用いられているポリ手袋も同様の理由から問題視された。；製造された各同位体は、用途に合わせて目的化合物に取り入れて利用する。；日本では調理が簡単なソフトスパゲッティ式めんも製造・販売されている。；そこで1935年に開発を始め1936年から製造されたのが本形式である。；中国での製造は最初の段階である金型製作から問題が発生した。；この系統の電車群は1937年までに合計48両が製造されている。；同一のデザインが世界中に現れ、バス製造は次第にグローバル化されている。；特に小型化した万延一分判は製造効率も低いためと思われ発行高は少ない。；しかし、これ以降もポリ塩化ビニル生産のために製造自体は継続されている。；ただし、製造・輸入・使用・販売には、経済産業大臣の許可が必要である。；天和年間に大和国三輪から伝えられた素麺製造技術が基になっている。；また、融点が低いことを利用してフロートガラスの製造にも使われている。；製造が長期にわたったため、途中大きな設計変更が何回か行われている。；その他には、テレビ局向け放送機器や人工衛星の開発・製造を行っている。；金めっきを含む金製品の製造は大蔵大臣の許可を要するものとなった。；また、日本で製造されたレールは海外にも輸出され、高い評価を得ている。；メーカーによってはSのないタイプをまだ製造している場合がある。；急速な成長を見せているのは欧州諸国の被服製造の下請け産業である。；ここでは製造時のバリエーションについて述べ、後年の改造は後述する。；なお、2015年秋デビューの8300系は近畿車輛での製造となった。；東洋車・日立車の最終的な製造数および内容は下記の通りである。；ヨーロッパでの主な生産地はイタリアで、火薬と花火製造が盛んに行われた。</t>
        </is>
      </c>
      <c r="J4534">
        <f>HYPERLINK("https://www.weblio.jp/content/製造", "词义详情")</f>
        <v/>
      </c>
      <c r="K4534">
        <f>HYPERLINK("https://yourei.jp/製造", "查看例句")</f>
        <v/>
      </c>
    </row>
    <row r="4535">
      <c r="A4535" t="inlineStr">
        <is>
          <t>生存</t>
        </is>
      </c>
      <c r="B4535" t="inlineStr">
        <is>
          <t>成功</t>
        </is>
      </c>
      <c r="C4535" t="inlineStr">
        <is>
          <t>読み方：せいぞん
［名］(スル)《「せいそん」とも》生きてこの世にいること。生命を存続すること。「—していくための闘い」「—者」</t>
        </is>
      </c>
      <c r="D4535" t="inlineStr">
        <is>
          <t>生存する(7%)；生存者(4%)；生存中(3%)；生存性(2%)；生存できる</t>
        </is>
      </c>
      <c r="E4535" t="inlineStr">
        <is>
          <t>いる；ある；持つ；居る；生息</t>
        </is>
      </c>
      <c r="F4535" t="inlineStr">
        <is>
          <t>長く生存；生存力；生存確率；生存条件；長期生存</t>
        </is>
      </c>
      <c r="G4535" t="inlineStr">
        <is>
          <t>生存競争；生存率；生存期間；生存権；生存者たち</t>
        </is>
      </c>
      <c r="H4535" t="n">
        <v>29</v>
      </c>
      <c r="I4535" t="inlineStr">
        <is>
          <t>これは病院に到着したときすでに生存の可能性がなかったことを意味する。；また、生存中は彼の著作は広くは知られておらず、読者も限られていた。；わずかに生存していたインド国民軍の兵士も久保を信頼して後に続いた。；これは本体も鉄製となっていて、生存空間がほとんどないタイプである。；また原作で死亡する登場人物が最後まで生存している例やその逆の例もある。；しかし、男女合わせたら治療の有無と生存との関連がなくなってしまう。；完全装甲下に置かれた機体構造は生存性も高く、兵士たちの人気も高い。；再創造の際、恐竜を含む管理なく生存できない生物は復活させなかった。；また、事故直後には乗員が生存していた可能性があることも判明した。；動植物の長く継続的な観察から至る所で続く生存のための努力を理解できた。；どの仮説が正しいかは、証言できる者が生存しておらず不明のままである。；文明の発達により、人間が本来生存できない領域に進出している例は多い。；まだ生存している作家がこれまでの作品をまとめた全集を編むこともある。；生存戦略の上でこういった群れが必ずしも生存に有利な選択だとは限らない。；ジェノサイド終了後に生存が確認されたツチは15万人であったという。；もちろん、黙ったまま生存者に何かを伝えようとすることもできない。；従って一旦海に流されれば、生存できる可能性はほとんどないといえる。；その時の移住可能な場所は、到達が可能で、かつ生存が可能な場所であった。；また生息地の環境変化もノコギリエイの生存に大きな影響を与えている。；乗客のうち乳児一人は生存した選手であるハリー・グレッグが救出した。；しかし空気も食料も幾ばくかは余裕があり、当分は生存が可能ではある。；また、大気圏外にあって生存してはいても地球由来の生物はこれを含まない。；水は人類にとって身近であって、地球上の生物の生存に必要な物質である。；また一説によるとホムンクルスはフラスコ内でしか生存できないという。；空気呼吸ができるため溶存酸素量が少ない劣悪な水環境でも生存できる。；パイロットはシートごと搭乗・脱出が可能であり、生存性を高めている。；最末期の生存メンバーが2人となって以降も一貫して名前は変更されなかった。；グーテンベルクの生存中のもので彼の名前に言及した資料はまだ見つかっていない。；生存と利益のため、地元のヤクザと対抗して利益と勢力を奪い取った。</t>
        </is>
      </c>
      <c r="J4535">
        <f>HYPERLINK("https://www.weblio.jp/content/生存", "词义详情")</f>
        <v/>
      </c>
      <c r="K4535">
        <f>HYPERLINK("https://yourei.jp/生存", "查看例句")</f>
        <v/>
      </c>
    </row>
    <row r="4536">
      <c r="A4536" t="inlineStr">
        <is>
          <t>生態</t>
        </is>
      </c>
      <c r="B4536" t="inlineStr">
        <is>
          <t>成功</t>
        </is>
      </c>
      <c r="C4536" t="inlineStr">
        <is>
          <t>読み方：せいたい
１生物が自然界に生活しているありさま。「アリの—」
２人間の、社会生活におけるありのままの姿。「サラリーマンの—」</t>
        </is>
      </c>
      <c r="D4536" t="inlineStr">
        <is>
          <t>生態学(21%)；生態系(10%)；生態的(5%)；生態調査；生態研究</t>
        </is>
      </c>
      <c r="E4536" t="inlineStr">
        <is>
          <t>環境；生態学；環境学</t>
        </is>
      </c>
      <c r="F4536" t="inlineStr">
        <is>
          <t>豊かな生態；多様な生態；自然生態；特殊な生態；貴重な生態</t>
        </is>
      </c>
      <c r="G4536" t="inlineStr">
        <is>
          <t>生態学者；生態的地位；生態系サービス；生態系被害防止外来種；生態ピラミッド</t>
        </is>
      </c>
      <c r="H4536" t="n">
        <v>29</v>
      </c>
      <c r="I4536" t="inlineStr">
        <is>
          <t>そのため生態の項の多くは可能性の範疇であることを忘れてはならない。；各国で保護活動が進められているものの、生態の不理解から問題もある。；この当時、彼は多数の本を執筆して生態学や哲学的な考えを盛り込んだ。；大局的には地球全体の気候や生態系に大きく影響すると予測されている。；生態は十分には研究されていないが、マグソクワガタ類に近いとされる。；似た生態で新大陸に住むコンドル科 とは科レベルで離れた系統にある。；しかし、その本質は人間の生態改造にあるのではなく、精神強化にある。；道徳的規範は、それぞれの地域の生態的状況や歴史の影響を受けている。；この毒が生態学的にどのような意味をもつのかは、ほとんどわかっていない。；この地域の生物群系や生態地域は周りの地域とはっきり異なっている。；生息数の少なさが起因し、分布など殆どの生態情報が解明されていない。；そのためこれらは生態学上で互いに競合しあう関係にあると言われている。；野生動物の生態や人間との交流を題材にした作品を多く書いている。；追加の根拠であるハザードの種類はLASなどと同様に生態毒性である。；モグラやネズミなど小動物の生態・行動を中心に研究活動を展開した。；何を食べているかといった、生態的な性質はほとんどわかっていない。；生態は不明であるが、おそらくイカを食べるだろうと考えられている。；これは前述のとおり、生態調査があまり進んでいないことに所以する。；また、彼の目から見た地上での恐竜の生態、植物などを紹介していく。；生態の詳細については、代表的な種であるミズハタネズミを参照のこと。；北半分は半木の森と呼ばれる自然に近い森を利用した生態植物園などがある。；形態や生態・分子系統学的解析から亜種を独立種とする説が有力となった。；彼は文化の一部分と生態学との相互によく似た機能を見出している。；これまでに世界各地で多くの種類が報告されているが、生態にはまだ謎が多い。；彼らは一部ラッコにも通じる生態を持っていたのではないかと考えられている。；複数の生物が絡み合ったような外見が特徴で、特徴や生態が異なっている。；この種は幼体しか発見されておらず、詳しい形態・生態は不明である。；そのため、多様な生態系が構築されているが、一方で水の汚染が進んでいる。；この公園は自然生態の林、韓国伝統の林などで構成されている。</t>
        </is>
      </c>
      <c r="J4536">
        <f>HYPERLINK("https://www.weblio.jp/content/生態", "词义详情")</f>
        <v/>
      </c>
      <c r="K4536">
        <f>HYPERLINK("https://yourei.jp/生態", "查看例句")</f>
        <v/>
      </c>
    </row>
    <row r="4537">
      <c r="A4537" t="inlineStr">
        <is>
          <t>盛大</t>
        </is>
      </c>
      <c r="B4537" t="inlineStr">
        <is>
          <t>成功</t>
        </is>
      </c>
      <c r="C4537" t="inlineStr">
        <is>
          <t>読み方：せいだい
［名・形動］事業・集会などが、きわめて盛んなこと。りっぱで大規模なこと。また、そのさま。「—な式典」
[派生]せいだいさ［名］</t>
        </is>
      </c>
      <c r="D4537" t="inlineStr">
        <is>
          <t>盛大な拍手(2%)；盛大な葬儀(2%)；盛大な宴；盛大な歓迎；盛大な結婚式</t>
        </is>
      </c>
      <c r="E4537" t="inlineStr">
        <is>
          <t>巨大な；莫大な；膨大な；壮大；雄大</t>
        </is>
      </c>
      <c r="F4537" t="inlineStr">
        <is>
          <t>盛大な記念式典；盛大な歓声；盛大な送別；盛大な国葬；盛大な夜会</t>
        </is>
      </c>
      <c r="H4537" t="n">
        <v>29</v>
      </c>
      <c r="I4537" t="inlineStr">
        <is>
          <t>これらの大名はこの後二三年の間、キリスト教を非常に盛大なものにした。；数多くのレスリング選手と柔道選手の参加のあった盛大な大会であった。；産養が盛大に行われるが、彼の誕生は決して喜ばれたものではなかった。；余程盛大なもので随分一日泊って見ただけの価値は充分にございました。；その後、参拝者が多く訪れ年二回の祭りは盛大に催されるようになった。；非アメリカ活動調査委員会は、一九五八年まで、盛大な活躍をつづけた。；盛大なりし葬式は、彼女と予とを永しえに結ばん為めの結婚の式なりき。；しかし夢にでてきたのは、あの探検ではなくて、盛大なごちそうだった。；老いてますます盛大な人もありますが、これはやはり嫌味を伴いやすい。；その式の盛大なこと酒もりの立派なこととても書くのも大へんです。；それが今のハロウィンであり、今なお盛大に行われる祭の一つである。；誰の時だったか、築地の本願寺で盛大な追悼会があってね、私も行った。；それはさて置き、当日の葬儀は、極めて盛大に滞りなく行われて行った。；松吉を手に入れた市子は女優引退を表明し、盛大な引退パーティを開く。；彼女がこれまで見たことのないような盛大な踊りが繰りひろげられるだろう。；文成帝のとき、五部高車は盛大に天を祭り、集まった衆は数万に及んだ。；土地は1831年の独立記念日に行われた盛大なオークションで販売された。；彼はなお必要に応じては他郡の工業も助けて盛大にしてやった。；そして後半は、チェコの国民的舞踊でもあるポルカが盛大に続けられる。；その喜びをも加えて、新会堂最初のクリスマスは非常に盛大であった。；一年のうち1月の初天神祭など、ある月に盛大に行われることがある。；ところが何と、それはまさに乱交の上を行く盛大なやつだったのだ。；この水はオーストラリアを横断してシドニーで太平洋に盛大に注がれた。；特にニシン漁が栄えた地区に大規模の神社が多く、祭礼も盛大であった。；そして今その街では盛大な祭りが開かれているという。；母は家が残っている間に兄を結婚させようと、屋敷で盛大な婚礼を執り行った。；これが周辺の村にも伝わり、盛大に行われるようになったという。；この年のカーニヴァルには、デュマの家で盛大な仮装舞踏会が開かれた。；また、出雲から帰ってきた神々を迎える「神迎え」も盛大に挙行された。</t>
        </is>
      </c>
      <c r="J4537">
        <f>HYPERLINK("https://www.weblio.jp/content/盛大", "词义详情")</f>
        <v/>
      </c>
      <c r="K4537">
        <f>HYPERLINK("https://yourei.jp/盛大", "查看例句")</f>
        <v/>
      </c>
    </row>
    <row r="4538">
      <c r="A4538" t="inlineStr">
        <is>
          <t>清濁</t>
        </is>
      </c>
      <c r="B4538" t="inlineStr">
        <is>
          <t>成功</t>
        </is>
      </c>
      <c r="C4538" t="inlineStr">
        <is>
          <t>読み方：せいだく
１澄んでいることと濁っていること。
２善と悪。善人と悪人。また、賢者と愚者。
３清音と濁音。
４清酒と濁酒。
「—をわけてもてなすひなの酒」〈柳多留・一三〉</t>
        </is>
      </c>
      <c r="D4538" t="inlineStr">
        <is>
          <t>清濁あわせ(6%)；清濁併せ(2%)；清濁混淆(2%)；清濁考</t>
        </is>
      </c>
      <c r="H4538" t="n">
        <v>29</v>
      </c>
      <c r="I4538" t="inlineStr">
        <is>
          <t>私は一本調子ですが、彼は清濁合わせ飲むことだって出来るでしょう。；奈良時代の国語の音韻の問題の一つは、清濁を区別していたかである。；驚くべきことは、それが清濁を分つ宗教の教え以前の泉にまで溯ることです。；清濁合わせのむなどという概は、よそ国のことと考えているらしいのだ。；伊吹の方は濁音になるが、掛詞では清濁を問わないことになっている。；それゆえに自ら清濁織り交ぜた立場に立たなければならなかったこと。；清濁の区別なく、世の中のあらゆることを見てやろうと目がぎらついていた。；清音・濁音の区別は中国の伝統的な言語学である音韻学の清濁に由来している。；一方の『古言清濁考』はその後の学界に大分反対が出ているのであります。；一は『古事記』には仮名で清濁を区別して書いてあるというのであります。；桓帝の時代には後漢の滅亡の要因となる清濁の争いの原因が形成された時代である。；そして清濁の別を廃止し、昇進には功績のみが参考にされた。；モンテヴェルディは、それら清濁あわせ呑んだ大人物だと思うんです。；各列には声母の七音と清濁の種類が記されている。；地方官は一応清濁の別の外に置かれた。；清濁というと純粋に音に関することのようであります。；その清濁の区別は、平安、室町、現代の区別とほとんど対応している。；すべての清音について用いられたわけではなく、特に清濁の区別が必要な場合に用いられた。；本来「清濁」とは音楽用語で、清が高い音、濁が低い音を指した。；漢音は、当時の長安で清濁の対立がなくなりはじめていたことを反映していると言われる。；隣接する音節同士が入れ替わったり、清濁が交代したりして発音されることがある。；つまり、一見清濁混淆の例のように見えるが、実は呉音と漢音の違いなのである。；MVは「清濁あわせていただくにゃー」のMVも配信していることを示す。；そういう訳であらゆる場合にすっかり決まっているとは言いにくいようでありますけれども、大体において清濁を区別して書いたということは言えるのであります。；また同韻内の声母が七音と清濁の順に並べられるといった韻図の方法が採られていた。；伝統的な三十六字母のそれぞれは五音のいずれかに属し、清濁によって区別される。；その作品に共通するのは、清濁を問わず人間の心理・感情を冷徹に見つめる眼差しである。；池波正太郎は、さまざまな矛盾を背負い、善と悪と清濁あわせもつのが人間だと考えた。；清濁併せのむといえば聞こえはいいが、彼女は相手の人となりにはあまり拘泥しない。</t>
        </is>
      </c>
      <c r="J4538">
        <f>HYPERLINK("https://www.weblio.jp/content/清濁", "词义详情")</f>
        <v/>
      </c>
      <c r="K4538">
        <f>HYPERLINK("https://yourei.jp/清濁", "查看例句")</f>
        <v/>
      </c>
    </row>
    <row r="4539">
      <c r="A4539" t="inlineStr">
        <is>
          <t>贅沢</t>
        </is>
      </c>
      <c r="B4539" t="inlineStr">
        <is>
          <t>成功</t>
        </is>
      </c>
      <c r="C4539" t="inlineStr">
        <is>
          <t>読み方：ぜいたく
［名・形動］(スル)
１必要な程度をこえて、物事に金銭や物などを使うこと。金銭や物などを惜しまないこと。また、そのさま。「—を尽くす」「—な暮らし」「布地を—に使った服」「たまには—したい」
２限度や、ふさわしい程度をこえること。また、そのさま。「—を言えばきりがない」「—な望み」
[派生]ぜいたくさ［名］</t>
        </is>
      </c>
      <c r="D4539" t="inlineStr">
        <is>
          <t>贅沢品(6%)；贅沢な生活(2%)；贅沢な暮らし；贅沢すぎる；贅沢な食事</t>
        </is>
      </c>
      <c r="E4539" t="inlineStr">
        <is>
          <t>豪華；華奢；富裕；豪奢；リッチ</t>
        </is>
      </c>
      <c r="F4539" t="inlineStr">
        <is>
          <t>こんな贅沢；贅沢貧乏；贅沢物；贅沢税；贅沢ざんまい</t>
        </is>
      </c>
      <c r="G4539" t="inlineStr">
        <is>
          <t>贅沢は敵だ；贅沢病；贅沢禁止令；贅沢な骨</t>
        </is>
      </c>
      <c r="H4539" t="n">
        <v>29</v>
      </c>
      <c r="I4539" t="inlineStr">
        <is>
          <t>書付けの内容からして女が、贅沢好きの女が関わっているとわかります。；今の人々の下顎前は贅沢に胸に面して、うなじは背を覆う事が出来ない。；さらに彼は贅沢品市場が国家経済の強化に繋がる可能性を認めていた。；そのため自然と揚屋遊びは非常に贅沢な遊びを意味するようになった。；そして他人から感謝をうけて好い気持ちになるなどと贅沢すぎる話です。；ウルトラマリンを使った肖像画を描いてもらうことは大変な贅沢だった。；自分が稼いだ金で二重焼きを2つ買って食べることが最高の贅沢だった。；現実の生活のなかでは私のそんな考えなどは、病人の贅沢にすぎなかった。；それに贅沢を抜きにして考えて見れば、自分の為めになることだった。；それにも関わらず何度も家に電話したことは初期にはできなかった贅沢だ。；彼等の驚くべき贅沢さや質素さは皆この範囲から出て来るのである。；科学は贅沢品でなくて、すべての人の生活の基礎にならなければならないのだ。；また、ブラジルの店では牛肉の提供が充実しており、非常に贅沢である。；晩年に十分な財産を築いた後も、決して贅沢をすることはなかった。；これらはゲッティンゲンでは贅沢品税の対象となっていたのであった。；カーニーは何もしなくても一生贅沢に生きていけたが、軍隊を職業に選んだ。；贅沢な場合でも、その上に僅かのアスファルトを流しこめばいいのだ。；あまりに贅沢だということで天保年間には奢侈禁止令の対象にもなった。；第一にこの若い男女の生活は田舎の人々の目には贅沢すぎた。；こうした贅沢は、特にヴォー地方の領主層や農民たちの反発を買った。；東翼に、この修道院のかつての住民たちの日用品や贅沢品が展示されている。；彼女は数筆の土地を所有し、うち1筆は贅沢な大邸宅が特徴であった。；むかしは鰻を食うのと駕籠に乗るのとを平民の贅沢と称していたという。；骨器製造者の間では、贅沢品である熊脂の利用が浸透するようになった。；大勢で走るような贅沢なバイクの走行シーンを撮るのは今では無理でしょう。；そしてパンを父に頼って、贅沢な生活をしていることを叱られました。；唯一の贅沢といえは、実に書物だけで、これはパリでたやすく手に入った。；崖下の家はあまり嬉しくないなどと贅沢をいっている場合でない。；崖下の家はあまり嬉しくないなどと贅沢を云っている場合でない。</t>
        </is>
      </c>
      <c r="J4539">
        <f>HYPERLINK("https://www.weblio.jp/content/贅沢", "词义详情")</f>
        <v/>
      </c>
      <c r="K4539">
        <f>HYPERLINK("https://yourei.jp/贅沢", "查看例句")</f>
        <v/>
      </c>
    </row>
    <row r="4540">
      <c r="A4540" t="inlineStr">
        <is>
          <t>成長</t>
        </is>
      </c>
      <c r="B4540" t="inlineStr">
        <is>
          <t>成功</t>
        </is>
      </c>
      <c r="C4540" t="inlineStr">
        <is>
          <t>読み方：せいちょう
［名］(スル)
１人や動植物が育って大きくなること。おとなになること。「子供が—する」「ひなが—する」「経験が人を—させる」
２物事の規模が大きくなること。拡大。「事業が—する」「経済の高度—」</t>
        </is>
      </c>
      <c r="D4540" t="inlineStr">
        <is>
          <t>成長する(14%)；成長過程；成長速度；成長段階；成長ぶり</t>
        </is>
      </c>
      <c r="E4540" t="inlineStr">
        <is>
          <t>なる；開発；発生；展開；発展</t>
        </is>
      </c>
      <c r="F4540" t="inlineStr">
        <is>
          <t>大きく成長；急速な成長；美しく成長；食べて成長；低成長</t>
        </is>
      </c>
      <c r="G4540" t="inlineStr">
        <is>
          <t>成長率；成長ホルモン；成長因子；成長戦略；成長物語</t>
        </is>
      </c>
      <c r="H4540" t="n">
        <v>29</v>
      </c>
      <c r="I4540" t="inlineStr">
        <is>
          <t>街はアーレ川によって形成された半島の西の境の方向に成長していった。；コミュニティ・カレッジは経済の発展と共に成長し入学者が増えている。；多くは小説の進行に伴って、主人公およびその周辺の人物の成長が描かれる。；ただし成長中の個体にあっては雄の機能が先に成熟することが多い。；この時期は会社が成長する一方で家族や親類への責任も増していた。；その結果、多くの人間は成長後にラクトースを適切に消化できなくなる。；その後1941年までポートモレスビーの街はゆっくり成長していった。；また、動物の成長速度や寿命、NGの多さで撮影は大変といわれている。；街の成長は主に港の施設や他の設備が徐々に改善されていった半島部で起きた。；殻から年齢を推定する信頼できる方法が無いため、年間の成長速度は不明。；重水の中では魚類も生きることができず、植物の発芽や成長も停止する。；さらに、成長に伴い使われる子供向けの楽器類なども玩具に相当する。；作者の本作以前の代表作品は、食に関しての勝負や成長ドラマが多い。；しかし、成長してから、どのようにして礼学を学んだのかは分かっていない。；この早熟雄は河川での成長速度の速い個体から出現すると考えられる。；つまり、成長する事でよりダメージを受けなくなると考えることができる。；サトウはその後の帝国陸軍・海軍の成長を目の当たりにすることになる。；しかし、この間に外国との交流試合を開催し、世界水準にまで成長した。；日本では成長にかなり時間がかかるために鍾乳石類の採取は禁止されている。；本作における進化とは生物のそれと同一ではなく成長や強化に当たるものである。；初期成長が早いことが注目され、人工林の樹種として利用されてきた。；ヘーゲルの歴史意識は晩年に至るまで成長を続けて年と共に完成されていく。；しかしファイルを中心として成長した伝説は失われることはなかった。；いくつかの自動車メーカーは自転車メーカーから成長してきたものである。；またこどもの日と男の子の成長を祝う端午の節句は同日だが別物である。；一方でサービス業が成長し、イングランドの経済の重要な位置を占めている。；古典派経済学の成長モデルの研究とソローモデルでよく知られている。；ただし、彼らの子孫すべてが軍事貴族・武士へ成長した訳ではない。；明治後期には日本製の洋傘は重要な輸出産品のひとつにまで成長した。</t>
        </is>
      </c>
      <c r="J4540">
        <f>HYPERLINK("https://www.weblio.jp/content/成長", "词义详情")</f>
        <v/>
      </c>
      <c r="K4540">
        <f>HYPERLINK("https://yourei.jp/成長", "查看例句")</f>
        <v/>
      </c>
    </row>
    <row r="4541">
      <c r="A4541" t="inlineStr">
        <is>
          <t>清聴</t>
        </is>
      </c>
      <c r="B4541" t="inlineStr">
        <is>
          <t>成功</t>
        </is>
      </c>
      <c r="C4541" t="inlineStr">
        <is>
          <t>読み方：せいちょう
［名］(スル)
１清らかに聞こえること。
「歌に三要あり。—、清声、清心、是れなり」〈織田訳・花柳春話〉
２他人が自分の話を聞いてくれることを敬っていう語。「御—ありがとうございました」</t>
        </is>
      </c>
      <c r="H4541" t="n">
        <v>20</v>
      </c>
      <c r="I4541" t="inlineStr">
        <is>
          <t>祇園精舎の鐘の声も真っ青、五十六億年の彼方で弥勒菩薩も御清聴あれ。；とだらだらと書きましたがご清聴ありがとうございました。；これから、みなさんにグッドニュースをお伝えいたしますから、御清聴を願います。；しかるに、それにもかかわらず長い間御清聴を頂きましたことに対しまして、深く感謝をいたしまして、この壇を下ることにいたします。；誠に差出がましく恐入りますが、しばらく御清聴を煩わしまする。；迷亭は何を思い出したか急に立ち上って「吾輩は年来美学上の見地からこの鼻について研究した事がございますから、その一斑を披瀝して、御両君の清聴を煩わしたいと思います」と演舌の真似をやる。；今日ここに浅学韮才をもかえりみず学界のそれぞれの権威者大家の方々の前に立ちまして『世界崩壊接近論』と題しましてご清聴を願うにいたりましたことは、わたくしのもっとも光栄とするところでございます。；長い間のご清聴感謝します。；おおよその翻訳でVajrapaniを執金剛神と訳する為その翻訳に従えばアレキサンダー執金剛神像もしくは、アレクサンドロス金剛力士像となるが、これは本来は仏陀を守護する姿勢で描かれるものであり、静かに佇み説法を清聴する者に名付けるものでは本来ではない。；ご清聴ありがとうございました。；私自身、ここにおられるみなさまよりも、これについて深い利害関係があるというのではありませんが、私はとくに殿様のお引き立てをこうむっている者でありますから、しばらくのあいだ、ご清聴を煩わしまして、私どものお願いを申し上げるとともに、殿様からも思召しのほどを承わりとうございます。；その後、木村匡也のナレーションで「ご清聴ありがとうございました」の声と「製作著作 日本テレビ」とテロップが流れ、放送終了となった。；往昔の素樸な愚昧に満ち満ちた古臭いこの裁判事件を、現実的に蘇らすほど、滑稽なことはあるまいと信ずるゆえ、なにとぞ御清聴を煩わしたい。；余はつつしんで著者が勤勉この大業を成したると西村君の董督そのよろしきを得たるを謝し、会衆諸君とともに一大光明を我文学に得たるを賀するために、いささかここに蕪辞を述べて諸君の清聴を煩すことしかり。；長い間御清聴を煩わして有難う存じました。；本日の講演の題は、惠果阿闍梨の師の師、即ち、宗祖大師から遡りて、四代目の傳法大阿闍梨でありました「金剛智三藏と將軍米准那」とにつきて諸君の清聴を汚す次第でありますが、先づ金剛智三藏の生れ又は活動せられた南天竺摩頼耶國とは、如何なる國であつたか、また今現にあるかを申上げたいと思ひます。；諸君、余はもとより浅学寡聞、あへて諸君の清聴を汚すの当らざるを知るといへども、高崎君等の懇切要望せらるると余が衷心に大槻君の言海の大成を欽喜するとの余り、みだりに朝野文学の大家に対し、ここに一言せんとするに至れり。；ご清聴ください。；皆さん、ご清聴ですわよ〜〜!!；ご清聴ありがとう、扇ちゃん。</t>
        </is>
      </c>
      <c r="J4541">
        <f>HYPERLINK("https://www.weblio.jp/content/清聴", "词义详情")</f>
        <v/>
      </c>
      <c r="K4541">
        <f>HYPERLINK("https://yourei.jp/清聴", "查看例句")</f>
        <v/>
      </c>
    </row>
    <row r="4542">
      <c r="A4542" t="inlineStr">
        <is>
          <t>生長</t>
        </is>
      </c>
      <c r="B4542" t="inlineStr">
        <is>
          <t>成功</t>
        </is>
      </c>
      <c r="C4542" t="inlineStr">
        <is>
          <t>読み方：せいちょう
［名］(スル)《古くは「せいぢょう」とも》
１草木が生い育つこと。「苗木が—する」
２人や動物が生まれ育つこと。
「お芳はいつしか—して、はや十歳となりにけり」〈逍遥・当世書生気質〉
３物事が生まれ広がること。大きくなること。
「生を保つの天性次第に—し、生を楽しむの心となり」〈田口・日本開化小史〉</t>
        </is>
      </c>
      <c r="D4542" t="inlineStr">
        <is>
          <t>生長する(17%)；生長速度；生長期；生長過程；生長促進</t>
        </is>
      </c>
      <c r="E4542" t="inlineStr">
        <is>
          <t>なる；発生；発展；成長；発達</t>
        </is>
      </c>
      <c r="F4542" t="inlineStr">
        <is>
          <t>栄養生長；学生長；自然生長；生殖生長；植物生長</t>
        </is>
      </c>
      <c r="G4542" t="inlineStr">
        <is>
          <t>生長の家政治連合；生長点；生長の家青年会；生長の家学生会全国総連合；生長の家本流運動</t>
        </is>
      </c>
      <c r="H4542" t="n">
        <v>29</v>
      </c>
      <c r="I4542" t="inlineStr">
        <is>
          <t>トーニオは市民と芸術家の間に分裂しない人物に生長していくであろう。；もう他人の手をからないでも、自分一人で生長してゆけるようになった。；二人はほとんどいっしょに生長したと同じような自分達の過去を振り返った。；発生初期は線形の葉をつけるが、生長が進むと矢尻形をした葉をつける。；鱗葉は生長の早い段階によく潅水した場合に顕著であるとする説もある。；お前が私の全要求に応じた時に於てのみ私は生長を遂げるであろう。；勿論その部分はあっても質の悪い犢ではその肉が生長していません。；生長しきったその力は、もはや大きくはならず、減少していくのみである。；生きている植物が実際に生長し繁殖している場所だもの当然だよね。；作家の生活の生長が全般に問題にならぬような状態におかれている。；これはその木の生長年數を數へるときは除いて數へなければなりません。；外見は竹にも似ているが、内部の構造や生長の仕方はまったく異なる。；そういたしますとこれはこの世界の生命の存在および生長の法則であります。；生長したウージだと黄色になりますが、若いウージなら緑色のままです。；これは素早く生長してギャップをふさぐ役割を果たしているとも言える。；長日種は、多くは北半球で栽培されて、夏の間に生長して秋に収穫する。；旅人の草鞋の間に挾つた小石が生長して來て一の障碍となつた形である。；庭に作られた小さな畑にいつのまにか芽が出ていて、大きく生長していた。；この生命の生長および存在の鍵は愛と正義ではなく最後のものは犠牲であります。；わたしは自分の隅としてそこを愛し、謂わばその隅で生長したのであった。；しかし幼時に吹きこまれた呪いは、根強く彼の頭の中で生長して行つた。；もちろんそれはこの作家の生長過程で書ききる必然があったでしょう。；彼は私をつとめて外に出して私が自分の生長の糧を得る機会を多くしてくれたのです。；半月位で、かなり大きく生長して、普通に見られる芽生えの状態になる。；とにかくこの若木が生長しているのを見て驚いたが、至極満足でもあった。；そういう発見が子供の魂を永久に毀損したのだ、もしくは生長さしたのだ。；あの子は美しい女性の生長に大切な宗教と音楽との教養が足りないと私は思います。；例の鼠の裸児がそのまま生長して大きくなったような顔の皮膚の薄紅であった。；ところが彼が奪った血が、彼の胎外へ流れでて変な生長をとげていたのだ。</t>
        </is>
      </c>
      <c r="J4542">
        <f>HYPERLINK("https://www.weblio.jp/content/生長", "词义详情")</f>
        <v/>
      </c>
      <c r="K4542">
        <f>HYPERLINK("https://yourei.jp/生長", "查看例句")</f>
        <v/>
      </c>
    </row>
    <row r="4543">
      <c r="A4543" t="inlineStr">
        <is>
          <t>制定</t>
        </is>
      </c>
      <c r="B4543" t="inlineStr">
        <is>
          <t>成功</t>
        </is>
      </c>
      <c r="C4543" t="inlineStr">
        <is>
          <t>読み方：せいてい
［名］(スル)法律・規則などを定めること。特に、立法機関が一定の手続きによって法令を定めること。「憲法を—する」</t>
        </is>
      </c>
      <c r="D4543" t="inlineStr">
        <is>
          <t>制定会議；制定時；制定当時；制定当初；制定以前</t>
        </is>
      </c>
      <c r="E4543" t="inlineStr">
        <is>
          <t>設置；建設；設立；組織；制作</t>
        </is>
      </c>
      <c r="F4543" t="inlineStr">
        <is>
          <t>制式制定；法律制定；条例制定；制定過程；令制定</t>
        </is>
      </c>
      <c r="G4543" t="inlineStr">
        <is>
          <t>制定拳；制定法主義；制定文；制定居合</t>
        </is>
      </c>
      <c r="H4543" t="n">
        <v>29</v>
      </c>
      <c r="I4543" t="inlineStr">
        <is>
          <t>制定過程に外国人が関与した点については、議論が今もなお続いている。；三部会は国王の同意の下に新たな基本法を制定することさえもできた。；またそれぞれの部隊が独自に部隊歌を作曲、制定している場合もある。；以下は一部であり、これ以外の多数の市町村に於いても制定されている。；記念日を制定するのにこれらの団体の認定を受ける必要も義務もない。；それ以外は、制定された年によって次のような通称で呼ばれることもある。；しかし、英米法では裁判所自身に規則制定権を認める制度が発達してきた。；対して地方議会議員は、その地方での条令を制定する権能を有している。；現行のは1984年5月16日制定され、その後数回の改正を経たもの。；憲法が制定されたのは1875年で、日本の大日本帝国憲法よりも早い。；これは現在、何千も存在する2国間航空協定を制定するきっかけとなった。；それを受けて、1951年にはドイツ連邦共和国功労勲章が制定された。；情報技術分類では、対象となる情報そのものの標準を制定している。；あへん法が1954年に制定され、翌1955年から栽培が再開された。；大勲位菊花大綬章は栄典制度改正後も、制定以来の意匠を保持している。；この規格は制定の一歩手前の段階までは、現在の姿とはかなり異なる仕様だった。；ここで彼らは憲法を制定するまで解散しないことに同意した。；当初のアナウンスでは制定されたばかりのASCIIが採用されるはずだった。；本格的な表記が始まったのは1443年の訓民正音制定以降である。；日本では江戸時代に五街道が制定され、江戸を中心とした各地への交通網が出来た。；この法律の制定に続いて、複数のウェールズ語学校が建設された。；この時に制定されたルールの内、現存するのは、 などである。；だがこれには制定書体があるわけではなく、特段の字形の規定がない。；略称の「FCT」のロゴマークのカラーは赤・緑・青に制定されていた。；ただし、現在でもドイツでは国歌に関する正規な法律は制定されていない。；国家の法や制度は、「礼」の中にある精神に基づいて制定される。；前者は太初暦の制定であり、後者は『史記』執筆に着手したことである。；オランダ憲法は憲章で言及されている王国の制度を制定、制限する。；明治15年1月に軍人の政治関与禁止を改めて記した軍人勅諭を制定。</t>
        </is>
      </c>
      <c r="J4543">
        <f>HYPERLINK("https://www.weblio.jp/content/制定", "词义详情")</f>
        <v/>
      </c>
      <c r="K4543">
        <f>HYPERLINK("https://yourei.jp/制定", "查看例句")</f>
        <v/>
      </c>
    </row>
    <row r="4544">
      <c r="A4544" t="inlineStr">
        <is>
          <t>静的</t>
        </is>
      </c>
      <c r="B4544" t="inlineStr">
        <is>
          <t>成功</t>
        </is>
      </c>
      <c r="C4544" t="inlineStr">
        <is>
          <t>読み方：せいてき
［形動］静かで動かないさま。静かなさま。「—な性格」⇔動的。</t>
        </is>
      </c>
      <c r="D4544" t="inlineStr">
        <is>
          <t>静的なもの(4%)；静的解析(2%)；静的な型；静的抵抗；静的リンク</t>
        </is>
      </c>
      <c r="F4544" t="inlineStr">
        <is>
          <t>非静的；静的試験；静的安定性；静的予測；静的配列</t>
        </is>
      </c>
      <c r="G4544" t="inlineStr">
        <is>
          <t>静的コード解析；静的リンク；静的スコープ；静的メソッド；静的変数</t>
        </is>
      </c>
      <c r="H4544" t="n">
        <v>29</v>
      </c>
      <c r="I4544" t="inlineStr">
        <is>
          <t>静的な圧力を用いたもの、さらに動的な圧力を用いるものに大別される。；次に作られた曲は静的で不気味なものであり、スタッフを満足させた。；これまでに述べた論証は、書籍や論文にあるような静的なものである。；潜伏結核処置には静的感染をして症状が出てくる事を防ぐことができる。；この博物館は元国防省の建物に収容され、多数の静的展示物を保持していた。；これは参照と参照先の生存期間等を比較することで静的に検出できる。；ただし前述したように、多くの場合テーブルは静的に定義しておくことができる。；この映画でいちばん自分の注意を引いたのはいろいろのシーンの静的画面の美しさである。；それは確かに静的状態を指しているのであって、動的状態じゃない。；nginxは静的コンテンツを高速に配信するように設計されている。；公開鍵は静的なものであっても、一時的なものであってもかまわない。；内部測定法とは、ソフトウェアの実行に依存しない静的な品質尺度である。；欠点としては、時空が静的なものであるため完全には相対論的ではない。；ほぼ静的で、穏やかな重力場の効果はの特殊例であると考えることができる。；それはなお静的な枠の内部で、相対的運動性を実現しようと努めている思考である。；内部の重ね合わせと外部の波の対は静的な場を作り出すのである。；静的な表明を用いてコンセプトの各要件を確認できることもできる。；集団の振動子の位相分布が一様であれば、集団は静的に安定な状態である。；そんなテーマのもと非常に静的な統一感のあるアルバム。；それで思えらく、その人は人の印象の構成を静的にとらえようとしているのね。；エクスポート機能を使うことにより実際に静的なサイトを作ることもできる。；静的フィールド初期化子と静的初期化子は宣言された順番に実行される。；TGAは、このような実用のため、材料の静的酸化の研究に使用できる。；これで得られるデータは、手書き文字の静的な表現とみなすことができる。；静的解析の目標は、いくつかの点で計算可能な意味解釈を抽出することである。；この絵の特徴は、戦闘を描写した絵ながら、静的で感傷的な点にある。；これらはネットワークの静的解析に関する最初の論文とされている。；静的ではあるが、人生を何か内部的な緊張をもった光でつらぬこうとする姿が描かれている。；あなたが効果的に果たしたことは、静的な質量を完全に解体することなんです。</t>
        </is>
      </c>
      <c r="J4544">
        <f>HYPERLINK("https://www.weblio.jp/content/静的", "词义详情")</f>
        <v/>
      </c>
      <c r="K4544">
        <f>HYPERLINK("https://yourei.jp/静的", "查看例句")</f>
        <v/>
      </c>
    </row>
    <row r="4545">
      <c r="A4545" t="inlineStr">
        <is>
          <t>製鉄</t>
        </is>
      </c>
      <c r="B4545" t="inlineStr">
        <is>
          <t>成功</t>
        </is>
      </c>
      <c r="C4545" t="inlineStr">
        <is>
          <t>読み方：せいてつ
鉄鉱石を製錬して銑鉄をつくること。</t>
        </is>
      </c>
      <c r="D4545" t="inlineStr">
        <is>
          <t>製鉄所(13%)；製鉄技術(6%)；製鉄会社(6%)；製鉄事業(4%)；製鉄工場(4%)</t>
        </is>
      </c>
      <c r="F4545" t="inlineStr">
        <is>
          <t>赤朽葉製鉄；電気製鉄；帝国製鉄；大規模な製鉄；近代製鉄</t>
        </is>
      </c>
      <c r="G4545" t="inlineStr">
        <is>
          <t>製鉄業；製鉄産業；製鉄天使；製鉄記念広畑病院；製鉄所奉行</t>
        </is>
      </c>
      <c r="H4545" t="n">
        <v>29</v>
      </c>
      <c r="I4545" t="inlineStr">
        <is>
          <t>製鉄事業で大きな成功を収め、オーストリア近代産業の父とも称される。；この背景には当時の東国における製鉄技術の発展を指摘する見解がある。；これらの経緯を経て、現在も旧住金側の主力製鉄所として機能している。；これは、中世の時代には、この町が製鉄の中心地であったためである。；兵器工場が製鉄工場と同じ敷地にあったため原材料の確保に困難はなかった。；ジェニーは、きみにも話した例の原子力製鉄所に就職が決まったそうだ。；赤朽葉製鉄がここまでもったのは、親父の死を俺が知っとったからだ。；製鉄炉の燃料の木炭を製造した窯の跡は、全部で31基確認されている。；同村に巨大な製鉄所も予定されたが、最終的には建設されなかった。；彼の父親は小さな製鉄工場の下級役員だったが、1751年に死去した。；ただ、かの地での製鉄は江戸時代まで続いていたと推測されている。；街は製鉄が盛んで、アルゴマ製鋼が市内では単独での最大雇用主である。；同じく製鉄都市である鞍山市と名前が似ているが、別の都市である。；背景にはその時期に製鉄と燃料の需要が急速に高まったことを上げることができる。；彼の父親は製鉄会社のグレートレイクス・スチール社で働いていた。；しかし、産業は鉄道関係が中心であり、製鉄や機械の製作は進んでいなかった。；かれが使っていた製鉄の技術用語は、おそらく新羅語かなんかであっただろう。；つまり、日野川は古代からの製鉄とひじょうに密接な川だったのである。；この段階では電力供給事業と「電気製鉄」事業が会社の目的であった。；大規模な製鉄所やその他の新しい産業の勃興によって、水需要は拡大した。；これらのルートは製鉄技術の伝播や職人の移動と関係があると考えられている。；設計・製作する設備は、転炉設備や圧延設備などの製鉄プラントである。；そのため製鉄の生産効率から見ると圧倒的に間接製鉄法が有利とされている。；製鉄用としての用途だけでなく、化学分野で触媒用としても販売された。；この方法によって20トンの製鉄を30分以下で行うことが可能となった。；その結果、新しい製鉄技術を使い輸送機関を使って大市場に製品を供給できた。；これは先ほども言いましたように、製鉄とひじょうに関係の深い神社です。；この製鉄所が稼働したのは16世紀の初めから後半までの短い期間だけであった。；陸奥国の行方郡と宇多郡では、7世紀後半頃から製鉄が盛んに行われた。</t>
        </is>
      </c>
      <c r="J4545">
        <f>HYPERLINK("https://www.weblio.jp/content/製鉄", "词义详情")</f>
        <v/>
      </c>
      <c r="K4545">
        <f>HYPERLINK("https://yourei.jp/製鉄", "查看例句")</f>
        <v/>
      </c>
    </row>
    <row r="4546">
      <c r="A4546" t="inlineStr">
        <is>
          <t>晴天</t>
        </is>
      </c>
      <c r="B4546" t="inlineStr">
        <is>
          <t>成功</t>
        </is>
      </c>
      <c r="C4546" t="inlineStr">
        <is>
          <t>読み方：せいてん
《古くは「せいでん」とも》晴れた空。よい天気。青天。「—に恵まれる」</t>
        </is>
      </c>
      <c r="D4546" t="inlineStr">
        <is>
          <t>晴天時(7%)；晴天続き(2%)；晴天率(2%)；晴天日(2%)；晴天下</t>
        </is>
      </c>
      <c r="E4546" t="inlineStr">
        <is>
          <t>晴れ；天気；快晴；いい天気；好天</t>
        </is>
      </c>
      <c r="F4546" t="inlineStr">
        <is>
          <t>雲一つない晴天；晴天日数</t>
        </is>
      </c>
      <c r="G4546" t="inlineStr">
        <is>
          <t>晴天乱気流；晴天を誉めるなら夕暮れを待て</t>
        </is>
      </c>
      <c r="H4546" t="n">
        <v>29</v>
      </c>
      <c r="I4546" t="inlineStr">
        <is>
          <t>多くは晴天後のことなので全く雪崩から解放されているといってよい。；三日間つづいた見事な晴天は、その日の朝目を覚ますともう終っていた。；六月になってもしばらく晴天が続いていたが、今日は今にもふりそうだ。；もし晴天であれば、その壮観な隊列をここから見ることができただろう。；晴天時には町のどこからでもシホテアリニ山脈の山脚を見ることができる。；秋の始めの晴天は、文句のつけようがない程心地よい風を運んできていた。；春から夏にかけて海霧が発生しやすく、秋から冬にかけては晴天が続く。；冬季には晴天時に冠雪した日光連山の風景を湖越しに見ることも出来る。；ところが事実はそうでなく晴天の日に登った経験はなんら用をなさなかった。；晴天であればいいと言うこともなく、温度と湿度も重要な要素となる。；どこなのかも分からないが、晴天の下で、周囲には裸足の友人たちがいた。；天候は最も明確な例であり、晴天時と雨天時の混雑具合の開きは大きい。；野外劇はその名の示すが如く晴天白日の下に公開せられたる演劇である。；一九四八年一月七日は午前中は晴天だったが、昼頃から雲が多くなった。；現にこれまで彼がヴェニスを訪れた時はいつも晴天だったからである。；今日の様に晴天でなければ証拠はお目にかけられないのです。；昨日の晴天は一日きりで、今日の空には灰色の雲が重くたれこめている。；それは危険というよりも晴天の日に比較して不愉快だからである。；その日は、なにも悪いことなんて起きそうにないぐらいの晴天だった。；しかし、この晴天の風は、陸に帰るために無くてはならない風だった。；きょうのように晴天でなければ証拠はお目にかけられないのです。；本来であれば、一日中晴天の日が、何日も何日も続く時期である。；空梅雨の今年は、窓ガラスのせいで一層青さを増した晴天が広がっていた。；が広がる、晴天続きで乾燥した気候を指してこのように言われている。；やっと一日、二日の晴天を見せたかと思ったら、秋のような風が吹き出した。；年間300日以上晴天日があり、夏同様冬も観光が盛んな県である。；泉正雄の殺された夜は雨だったが、杉本こずえの殺された夜は晴天だった。；晴天の日の休みの時間中、決して生徒を教室の中に置くようなことはなかった。；晴天の暗夜なら、一万四〇〇〇から一万六〇〇〇メートルの駆逐艦が見えた。</t>
        </is>
      </c>
      <c r="J4546">
        <f>HYPERLINK("https://www.weblio.jp/content/晴天", "词义详情")</f>
        <v/>
      </c>
      <c r="K4546">
        <f>HYPERLINK("https://yourei.jp/晴天", "查看例句")</f>
        <v/>
      </c>
    </row>
    <row r="4547">
      <c r="A4547" t="inlineStr">
        <is>
          <t>生徒</t>
        </is>
      </c>
      <c r="B4547" t="inlineStr">
        <is>
          <t>成功</t>
        </is>
      </c>
      <c r="C4547" t="inlineStr">
        <is>
          <t>読み方：せいと
１学校などで教えを受ける者。
２特に、中学校・高等学校で教育を受ける者。小学校の「児童」、大学の「学生」に対していう。</t>
        </is>
      </c>
      <c r="D4547" t="inlineStr">
        <is>
          <t>生徒たち(15%)；生徒数(4%)；生徒達(2%)；生徒全員；生徒募集</t>
        </is>
      </c>
      <c r="E4547" t="inlineStr">
        <is>
          <t>学生；児童；教え子；学徒；学童</t>
        </is>
      </c>
      <c r="F4547" t="inlineStr">
        <is>
          <t>優秀な生徒；一般生徒；学校生徒；通学する生徒；進学する生徒</t>
        </is>
      </c>
      <c r="G4547" t="inlineStr">
        <is>
          <t>生徒会長；生徒指導；生徒手帳；生徒総会；生徒会活動</t>
        </is>
      </c>
      <c r="H4547" t="n">
        <v>29</v>
      </c>
      <c r="I4547" t="inlineStr">
        <is>
          <t>事務所や店などで子どもや生徒が大人や教師に話しかけるときにも使う。；廊下では生徒作品のギャラリーとなっており、展示なども行われている。；近年では学校生徒だけでなく一般市民も利用可能な学校内プールもある。；生徒の互選・選挙もしくは教師の指名で数名ずつか一名ずつ選ばれた。；全国から高校中退者や不登校者などを含む多様な生徒を受け入れている。；黒人生徒の点は標本数が少ないために信頼できる統計とはなっていない。；多くの実戦経験を持つロンメルの講義は生徒たちに人気があったという。；静岡県立沼津東高等学校の生徒専用駐輪場が駅のそばに設置されている。；それぞれに違った環境でそれぞれの悩みを抱えつつ夜間に通う生徒たち。；生徒の批判的意識を高揚させるための理論や実践と言うこともできる。；なお、日本語DPを受ける生徒の場合は11月に日本語で試験を受ける。；甲陽学院高等学校が現在地に移転してからは当校の生徒も対象となった。；児童・生徒向けのものが主であったが、近年は大人向けのものも増えている。；しかし将校の一人が生徒を利用することに反対したため、襲撃計画は中止された。；復活以降は各授業の優秀生徒になると、豪華商品が与えられるようになった。；しかし、それらの生徒の多くは当初昼間の時間帯での通学を希望していた。；実際に合格した生徒は開成とは別の高校に進学していたという。；この印刷機で、彼は生徒のために自由な読み物とクラスの新聞を印刷した。；小学校でも運動を止められていて体育の授業は座って見ているだけの生徒であった。；また、生徒の修学旅行先の不祥事から修学旅行を中止とした学校もある。；当時は千葉県立八千代高等学校の生徒の利用が主体だったとされる。；また彼は、数え切れないほどの生徒を指導した熱心な教師であった。；適切な規模と内容がなければならず、教員と学生・生徒が所属する。；工業系資格取得は一部を除き任意受験であり、普通科の生徒でも行える。；ただし、戦後まもない頃は私服の生徒はほとんどいなかったという。；近年は国公立大学合格者も排出するなど学業面で活躍する生徒も増えた。；また周辺に大学や高校も多く、その学校へのバスも出ていることから学生・生徒も多い。；生徒の成績が学習集団全体のどのあたりの位置にあるかで評価しようとするものである。；これまで、支援教育が必要な生徒は夜間定時制高等学校に入学していた。</t>
        </is>
      </c>
      <c r="J4547">
        <f>HYPERLINK("https://www.weblio.jp/content/生徒", "词义详情")</f>
        <v/>
      </c>
      <c r="K4547">
        <f>HYPERLINK("https://yourei.jp/生徒", "查看例句")</f>
        <v/>
      </c>
    </row>
    <row r="4548">
      <c r="A4548" t="inlineStr">
        <is>
          <t>制度</t>
        </is>
      </c>
      <c r="B4548" t="inlineStr">
        <is>
          <t>成功</t>
        </is>
      </c>
      <c r="C4548" t="inlineStr">
        <is>
          <t>読み方：せいど
社会における人間の行動や関係を規制するために確立されているきまり。また、国家・団体などを統治・運営するために定められたきまり。「封建—」「貨幣—」</t>
        </is>
      </c>
      <c r="D4548" t="inlineStr">
        <is>
          <t>制度化(2%)；制度的；制度上；制度改革；制度導入</t>
        </is>
      </c>
      <c r="E4548" t="inlineStr">
        <is>
          <t>システム；仕組み</t>
        </is>
      </c>
      <c r="F4548" t="inlineStr">
        <is>
          <t>登録制度；指定管理者制度；地方制度；資格制度；同制度</t>
        </is>
      </c>
      <c r="G4548" t="inlineStr">
        <is>
          <t>制度的保障；制度信用取引；制度派経済学；制度経済学；制度による精神療法</t>
        </is>
      </c>
      <c r="H4548" t="n">
        <v>29</v>
      </c>
      <c r="I4548" t="inlineStr">
        <is>
          <t>近代的な欧米の図書館制度を日本に最初に紹介したのは福沢諭吉である。；直接プロになる制度ではないが、奨励会の上位に編入できる制度がある。；これと同じ制度を採用しているのはフランスやアメリカなどである。；制度的保障として捉えられることがある制度には次のようなものがある。；資格制度においてもイギリスの制度設計が導入されていることが多い。；この制度設計の欠陥は、国家のガバナンスの観点からすれば深刻である。；その他にも、人間行動の心理的要素や制度的側面も重要な研究対象である。；柔軟な制度にすることで利害関係者の利益を実現するのが目的である。；そこで人心を新たにするために、内閣に参与制度を作ることにしました。；武田家臣団を制度的に分類する事は研究者の間でも意外と難しいとされる。；国民が国家に対し、行為や給付、制度の整備などを要求する権利である。；これもまた制度研究を困難にさせている要因の一つである。；イギリスは近代的な地税制度を導入してインドの民衆を困窮させた。；他のWTO加盟国・地域は今後、いつでも同制度に加わることができる。；このような道路の制度は日本独自のもので通行権の制限がある。；この間の段階的な制度変化の結果である可能性も高い。；なお、この制度に対しては、一部の競馬評論家の間で、批判されていた。；何度かの法令改正で、兵員の将来と権利を保障する制度が導入された。；第二次世界大戦後に成立した東欧社会主義諸国でもこの制度は導入された。；古義真言宗系宗派は、古義八派となり、古義八派連合制度を組織した。；この制度は使用機材の変更などによって年ごとに条件を変更しつつ継続している。；現在の都市計画制度はこの時期にできた住宅供給関連の法律や概念に由来するともいえる。；忠烈王の時、朴楡は王に貴族の蓄妾を法律で制度化することを建議した。；これは、戸籍が読みではなく字を基準にした制度であるためである。；本位貨幣制度においては額面相当の金や銀を含有した硬貨が用いられた。；スイスとの関税同盟があり、郵便や電話の制度はスイスと共通となっている。；かくして不平等が制度化され、現在の社会状態へと移行したのだと結論付けた。；国際補助言語の選択と制度化の原則は、バハイ教の重要な教義の中にある。；地域比較では国や州の制度の違いによって比較が行われる。</t>
        </is>
      </c>
      <c r="J4548">
        <f>HYPERLINK("https://www.weblio.jp/content/制度", "词义详情")</f>
        <v/>
      </c>
      <c r="K4548">
        <f>HYPERLINK("https://yourei.jp/制度", "查看例句")</f>
        <v/>
      </c>
    </row>
    <row r="4549">
      <c r="A4549" t="inlineStr">
        <is>
          <t>正当</t>
        </is>
      </c>
      <c r="B4549" t="inlineStr">
        <is>
          <t>成功</t>
        </is>
      </c>
      <c r="C4549" t="inlineStr">
        <is>
          <t>読み方：しょうとう
［名・形動］
１道理にかなっていること。また、そのさま。せいとう。
「—にも—にも百まんだら頼みによこして貰って行った嫁の親」〈一葉・十三夜〉
２正直でまじめなこと。実直。信実。
「お前はちいさい時から—な人で」〈円朝・怪談牡丹灯籠〉
３ちょうど忌日にあたること。
「—の日誦経の後、牌前に備へ」〈続明烏・冬〉</t>
        </is>
      </c>
      <c r="D4549" t="inlineStr">
        <is>
          <t>正当化する(14%)；正当な理由(7%)；正当な権利；正当な評価；正当な後継</t>
        </is>
      </c>
      <c r="E4549" t="inlineStr">
        <is>
          <t>良い；正しい；適切；まとも；科学的</t>
        </is>
      </c>
      <c r="F4549" t="inlineStr">
        <is>
          <t>正当づける；正当化；正当な王位継承者；正当な医療行為；正当な権利者</t>
        </is>
      </c>
      <c r="G4549" t="inlineStr">
        <is>
          <t>正当防衛；正当化；正当事由；正当行為；正当業務行為</t>
        </is>
      </c>
      <c r="H4549" t="n">
        <v>29</v>
      </c>
      <c r="I4549" t="inlineStr">
        <is>
          <t>そのため彼の考えを正当とされるよりも、批判がなされることもあった。；とても価値のある作品なのに、観客が正当に評価しているように見えない。；なお誠臣塾は現在もこの行為が正当なものであるとの見解を示している。；主の無垢な僕に反するような非正当な法を撤回することを求めています。；選ばれた場合は、正当な理由があると認められない限り拒否できない。；陸空でも指定時間までに正当の理由がなく遅滞した場合は処分対象となる。；彼女とあなたの将来が、私たちの今夜の判断を正当化するように、と話す。；これら認定された事実を前提に、「正当な理由」の有無を判断している。；常に自分の行動を正当化する節があり、兄弟を非難する傾向が強い。；これは、エリート階層が自らの利益を正当化するための論理なのである。；従ってライプニッツの理論を正当に理解・評価できる人はあまりいなかった。；逆に現代から見れば正当な主張をして批判に晒された人物も多い。；しかし、この辞令が正当な手続きによって発行されたかは不明であった。；パパンは、王立協会は彼を正当に評価しなかったと強い不満を持っていた。；そのため二重構造となっている戦争理論が正当な評価を受けたわけではなかった。；運搬時はすぐに使用出来ない状態で、正当な目的である必要がある。；彼らは、必ず「目的は手段を正当化する」という哲学に染められていた。；これは1830年代に収容所や自由放任経済が正当化されるのに用いられた。；この役務賠償の考え方は、捕虜の強制労働を正当化する理由ともなった。；正当な理由なく証言を拒否したり、嘘をついた場合には、訴追の対象となる。；フランスがスウェーデンの船舶を拿捕した事を理由にこの提案は正当化された。；そして、その感覚を正当化するために歴史観が構築されるのである。；逆に妻が離婚を望んで夫が拒否した場合は、妻が裁判所で正当な理由を証明する必要がある。；一方、後者を採用した場合、将軍の行為は正当で違法性は無いものとなる。；真光教団指導者の正当なる後継を主張して争っていたため分派の意識はない。；回答した500人の内3割ほどしか自分の判断を正当化できなかった。；明確な関与が判明していない以上、攻撃を行うのは正当かという点も問題となった。；銃火器免許を所持するには、銃を所持する正当な理由を示す必要がある。；それでは王莽は即位を正当化する如何なる論理を用意したのだろうか。</t>
        </is>
      </c>
      <c r="J4549">
        <f>HYPERLINK("https://www.weblio.jp/content/正当", "词义详情")</f>
        <v/>
      </c>
      <c r="K4549">
        <f>HYPERLINK("https://yourei.jp/正当", "查看例句")</f>
        <v/>
      </c>
    </row>
    <row r="4550">
      <c r="A4550" t="inlineStr">
        <is>
          <t>政党</t>
        </is>
      </c>
      <c r="B4550" t="inlineStr">
        <is>
          <t>成功</t>
        </is>
      </c>
      <c r="C4550" t="inlineStr">
        <is>
          <t>読み方：せいとう
共通の政治的主義・主張をもつ者によって組織され、一定の政治的利益や政策の実現のために活動し、政権獲得をめざす集団。
[補説]公職選挙法などでは特に、国会議員を5名以上所属するか、直近の国政選挙で全国で2％以上の得票（選挙区か比例代表かいずれか）を得たものを政党と呼び、この条件を満たさないものを政治団体として区別している。→政党要件</t>
        </is>
      </c>
      <c r="D4550" t="inlineStr">
        <is>
          <t>政党間；政党解消；政党名；政党別；政党登録</t>
        </is>
      </c>
      <c r="E4550" t="inlineStr">
        <is>
          <t>党；パーティー；パーティ；党派；パーチー</t>
        </is>
      </c>
      <c r="F4550" t="inlineStr">
        <is>
          <t>主要政党；左派政党；諸政党；小政党；大政党</t>
        </is>
      </c>
      <c r="G4550" t="inlineStr">
        <is>
          <t>政党内閣；政党連合；政党要件；政党制；政党交付金</t>
        </is>
      </c>
      <c r="H4550" t="n">
        <v>29</v>
      </c>
      <c r="I4550" t="inlineStr">
        <is>
          <t>どこの政党を支持し投票をするかについては会員の自由となっている。；この時多くの場合第1党が他の政党と連立を形成し、政権を成立させる。；多くは、政党単位でのプロモーションビデオのような内容となっている。；複数の政治政党が政府の承認を経て設立されたものとなっている。；またこれに基づいて、全政党が参加する北アイルランド議会が復活した。；議員である有力者が議会運営のために作った名望家政党が初期の政党である。；多くの聖職者たちは最後の決定、つまり政党への所属禁止に抗議した。；ソブーザ2世の政党結成に対する発令や宣言は現在も廃止されていない。；政党は社会に発生する紛争を政治問題として提示することが必要となる。；官庁街や政党本部向けには民間のCATV網を利用しての配信となる。；一方、複数政党は維持されているため、ヘゲモニー政党制に分類される。；選挙はおおむね公正なものとされるが、政党や政治風土には問題が多い。；ネパールの政治状況の特徴は有力な三党の他にも小政党が多数存在することである。；社会保障は高福祉高負担の立場を欧州の社会民主主義政党が掲げてきた。；戦前日本では、無産政党を名乗る政党が社会民主的な政策を掲げていた。；主張の傾向別に政党を区分すると、主要な政党は以下のようになる。；すなわち政党は特定の政策を掲げ、それを実現することで利益や効用を得る。；また、政党の目的とその実現の道筋を定めた文書は一般に綱領と呼ぶ。；これに対して、日本では自民党は学歴問わず最も支持される政党である。；また主要政党の中では唯一チェチェンとの戦争に反対してきた。；一連の法廷闘争と交渉の結果、二つの政党は、シャクマン法に合意した。；指導者達は限定的な軍事力を所持しつつも、各政党で政治活動を行っている。；各国・各地域の主なファシズム政党や運動の一覧は以下である。；他の小政党も存在するが、二大政党の勢力を覆すほどの勢力は持っていない。；日本の労働運動は政党との密接なつながりがあることが特徴であった。；政党とは、共通の政治的目的を持つ者によって組織される政治団体である。；総選挙の結果を受け、多数派政党の指導者を大統領が首相に任命する。；以来、イギリスでは総選挙ごとに主要政党はマニフェストを発表してきた。；複数政党制であり、独立後から多くの政党の存在が認められている。</t>
        </is>
      </c>
      <c r="J4550">
        <f>HYPERLINK("https://www.weblio.jp/content/政党", "词义详情")</f>
        <v/>
      </c>
      <c r="K4550">
        <f>HYPERLINK("https://yourei.jp/政党", "查看例句")</f>
        <v/>
      </c>
    </row>
    <row r="4551">
      <c r="A4551" t="inlineStr">
        <is>
          <t>整頓</t>
        </is>
      </c>
      <c r="B4551" t="inlineStr">
        <is>
          <t>成功</t>
        </is>
      </c>
      <c r="C4551" t="inlineStr">
        <is>
          <t>読み方：せいとん
［名］(スル)きちんとかたづけること。また、きちんとかたづくこと。整うこと。「部屋を—する」
「新政府の組織が次第に—して」〈福沢・福翁自伝〉
→整理［用法］</t>
        </is>
      </c>
      <c r="D4551" t="inlineStr">
        <is>
          <t>整頓せら；整頓ぶり；整頓棚；整頓しよ；整頓好き</t>
        </is>
      </c>
      <c r="E4551" t="inlineStr">
        <is>
          <t>目；予定；命；命令；分類</t>
        </is>
      </c>
      <c r="F4551" t="inlineStr">
        <is>
          <t>不整頓；清潔整頓；兵力整頓</t>
        </is>
      </c>
      <c r="H4551" t="n">
        <v>29</v>
      </c>
      <c r="I4551" t="inlineStr">
        <is>
          <t>男の一人暮らしとはとても思えぬほど、部屋はきれいに整頓されていた。；ところが僕は整頓風呂敷を洗濯しておくのをすっかり忘れてしまってね。；家の中はきちんと整理整頓されていないと気がすまないタイプである。；昔、家にあったやつは引っ越しの整頓ついでに売っちゃったんだよなぁ。；ワケが分からない世の中を、誰かにすっきりと整理整頓して欲しいんだ。；ゴンクウルの言を借り来れば線と形式とを更に整頓せしめたるものなり。；整頓されすぎていて、ドラマのセットのように作りものに見えるのだ。；過去を整頓して置くためには一軒の家を持つ事が必要である。；余分なものは何もない整頓された男の部屋を見ているようだった。；そこではいっさいのものがまったく申し分ないほどに整頓されていた。；この船はもはや甲板をきれいに整頓するような機会もあるまい。；それに兄には、物を整頓しようなどと言う気はまるでないのです。；なるほどその部屋はさっきの日本座敷から比べるとずっと整頓されている。；だから人が彼女のお葬いにやって来ても、何もかも整頓されているだろう。；室内は小綺麗に整頓されているが、生活をつづけていた痕跡が認められる。；彼のきちょうめんな性格も手伝って、部屋はそれなりに整頓されていた。；初めの条件を適当にとれば、乱雑から整頓の方向にももっていけるからだ。；内部は2DKの広さで、若い女性の部屋らしく小ぎれいに整頓されている。；いま敷かれたばかりのように、きちんと整頓されていましたからね。；ライヴで欠かせなかったあの曲この曲が整頓され、目の前に提出されている。；だから普通の社会常識を多少整頓しても批評のシステムは一応出来る。；と言っても、所持品はいつもきちんと整頓してあるので、至って簡単だ。；いまは留守らしいが、整頓ぶりを見れば、その存在は疑いようもない。；整頓された左半分と、混沌とした右半分、対比でそれぞれが強調されてる。；この家では清潔と整頓、気持のいい立派な生活のにおいがするんです。；家に帰ると、彼は一人で自分の机のまわりを整頓しはじめた。；部屋に入ると、若い女のそれらしく全体が小ぎれいに整頓されていた。；我々の動揺をとめて、それをきちんと整頓することができるものなのだろうか。；厨房内は決してきれいとは言えないまでもよく整頓されている。</t>
        </is>
      </c>
      <c r="J4551">
        <f>HYPERLINK("https://www.weblio.jp/content/整頓", "词义详情")</f>
        <v/>
      </c>
      <c r="K4551">
        <f>HYPERLINK("https://yourei.jp/整頓", "查看例句")</f>
        <v/>
      </c>
    </row>
    <row r="4552">
      <c r="A4552" t="inlineStr">
        <is>
          <t>成年</t>
        </is>
      </c>
      <c r="B4552" t="inlineStr">
        <is>
          <t>成功</t>
        </is>
      </c>
      <c r="C4552" t="inlineStr">
        <is>
          <t>読み方：せいねん
人が完全な行為能力を有し、父母の親権に服さなくなるとみなされる年齢。日本の現行制度では、満18歳。成人年齢。
[補説]明治29年（1896）の民法制定以来、成年は満20歳だったが、令和4年（2022）4月、改正民法施行により満18歳に引き下げられた。飲酒・喫煙・公営競技をしてよい年齢、国民年金への加入義務年齢などは、民法改正後も満20歳のまま。なお、天皇・皇太子・皇太孫は皇室典範により、以前から満18歳を成年としていた（他の皇族は満20歳だったが民法改正に伴い満18歳となった）。</t>
        </is>
      </c>
      <c r="D4552" t="inlineStr">
        <is>
          <t>成年男子(17%)；成年女子(5%)；成年期(3%)；成年戒(3%)；成年男性(2%)</t>
        </is>
      </c>
      <c r="E4552" t="inlineStr">
        <is>
          <t>丁年</t>
        </is>
      </c>
      <c r="F4552" t="inlineStr">
        <is>
          <t>成年女性；成年指定；専門成年；競技成年；成年前期</t>
        </is>
      </c>
      <c r="G4552" t="inlineStr">
        <is>
          <t>成年向け；成年向け漫画；成年コミック；成年後見制度；成年被後見人</t>
        </is>
      </c>
      <c r="H4552" t="n">
        <v>29</v>
      </c>
      <c r="I4552" t="inlineStr">
        <is>
          <t>成年、少年とも各ブロック大会を通過した都府県が本大会に出場できる。；その一週間後には国体成年男子の部に東京都代表で出場して優勝を果たした。；シーホッパー級SRは成年女子・少年男子・少年女子で行われるクラス。；成年後見監督人がついている場合の監督人の報酬についても同様である。；大学在学中には国民体育大会の成年男子Aで準優勝などの実績を残した。；こいつはまだ十一歳かそこらで、成年にも達していないはずなのに。；宗助の頼んだ産婆も可成年を取つてゐる丈に、此位のことは心得てゐた。；すなわち二十一歳の成年をもって、子供は親から独立することになっている。；墳丘形状から推定される築成年代は古墳時代中期の5世紀中期とされる。；彼女との間には4人の子をもうけたが、成年に達したのは2人だった。；独立の生計を立てていない成年の子はただ懲戒権のみに服するだけである。；成年男子の部・少年男子の部・女子の部に分かれて実施。；また或男は年齢が若いのと成年の教育を受けていないのとで社会の習慣が結婚を許さない。；一方で地階の劇場を高松大映として成年映画の上映をメインとしていた。；この過程はまた、生産労働力としての成年男子の価値化をともなった。；のちに成年コミックスや同人誌にも手を広げ、自らも執筆するようになる。；全て非成年指定の雑誌に掲載もしくは掲載されていたソフトエッチに属する作品である。；ともかく、男でも女でも、花が成年戒を受けた徴になつてゐたと思はれる。；ウィンダミア卿夫人は成年を迎える自分の誕生日の舞踏会を準備していた。；成年部の場合の帯と段級位の関係は以下のようになっている。；第12回大会より成年・少年の区分は廃止され、「男子の部」に統合された。；彼はその少年時代に癲狂院を建て、成年の後、自らその中に收容された。；もし反対なら、成年に達するのを待ちます、あと一年半ですから。；成年してからは積極的に領土拡張を進め、新羅の国力を飛躍的に拡張させた。；エーリク5世は成年の後、教会と貴族に対して権力を行使しようとした。；テレサは、アフォンソが成年に達しても伯領支配権を取り戻そうとした。；こうして連れて来られた男児の一人が成年後、彼を性的虐待で訴えた。；皇族成年式は天皇および皇族が成年に達したときに行われる儀式であった。；国体成年女子の部では妹尾とともに東京都の一員で出場して3位に入った。</t>
        </is>
      </c>
      <c r="J4552">
        <f>HYPERLINK("https://www.weblio.jp/content/成年", "词义详情")</f>
        <v/>
      </c>
      <c r="K4552">
        <f>HYPERLINK("https://yourei.jp/成年", "查看例句")</f>
        <v/>
      </c>
    </row>
    <row r="4553">
      <c r="A4553" t="inlineStr">
        <is>
          <t>青年</t>
        </is>
      </c>
      <c r="B4553" t="inlineStr">
        <is>
          <t>成功</t>
        </is>
      </c>
      <c r="C4553" t="inlineStr">
        <is>
          <t>読み方：せいねん
青春期の男女。10代後半から20代の、特に男子をいうことが多い。若さを強調する場合には30代にもいう。わかもの。わこうど。「—実業家」
[補説]書名別項。→青年</t>
        </is>
      </c>
      <c r="D4553" t="inlineStr">
        <is>
          <t>青年たち(4%)；青年時代(3%)；青年会；青年達；青年男女</t>
        </is>
      </c>
      <c r="E4553" t="inlineStr">
        <is>
          <t>少年；若者；バック；マン；ユース</t>
        </is>
      </c>
      <c r="F4553" t="inlineStr">
        <is>
          <t>美しい青年；不良青年；青年運動；青年向け；立派な青年</t>
        </is>
      </c>
      <c r="G4553" t="inlineStr">
        <is>
          <t>青年団；青年将校；青年会議所；青年部；青年誌</t>
        </is>
      </c>
      <c r="H4553" t="n">
        <v>29</v>
      </c>
      <c r="I4553" t="inlineStr">
        <is>
          <t>友人のテプケンは青年時代のシューマンの様子を次のように語っている。；この作品は破壊工作員の疑いをかけられた青年が主人公の物語である。；そこに現れたのが友人に紹介された青年、アルマン・デュヴァルだった。；青年アイルランドの指導者らの最後の主要な会議は7月28日に行われた。；以降、多くの出版社で青年向けの漫画雑誌を中心に執筆活動をしている。；青年男女は自由恋愛を認められるが、結婚には父母の承認が必要である。；そこで見た一面の焼け野原・終戦体験が昭一青年に大きな影響を与えた。；本の判型は青年・女性コミックなどで一般的なB6サイズとなっている。；バンド活動をしている青年で、所属するバンドではギターを担当している。；その夜、一人の痩せた弱々しい青年が小屋の鍵をこじ開けて入ってきた。；学生組織が青年のエネルギーと怒りを政治的な抵抗に向けた。；青年時代には医者志望で、そのための資金稼ぎのためボクサーになった。；青年向け・少年向け・少女向けと幅広いジャンルで活躍している。；しかし青年局の事業は第二次世界大戦が始まると閉鎖した。；日本では1990年代後半から深夜帯の青年向けアニメが広まり始めた。；その翌年の1月のある夜、自分の「拾った」青年とベッドをともにする。；小松作品では純粋で正義感の強い青年が主人公を務めることが多い。；それを見ていた一人の青年が自分のものと取り替えて上げる。；顔の前に垂らした長い前髪が特徴の、インテリな雰囲気を漂わせた青年。；児童向け漫画を中心に執筆しているが、青年向け漫画も何本か執筆している。；この運動以降、中国の青年達に共産主義思想への共感が拡大していく。；青年組織や大学組織も個人の資格で構成されている。；ますの教育の方法もあり、後に人に反論できない論戦の苦手な青年となる。；私は青年諸君はこの大会の決定を生かすために断じて銃を持ってはならない。；なお、ダンスをしていた男女の青年は画面の四隅に移り、ダンスを続ける。；そのLeMUに時同じくして足を運んだ、1人の青年と1人の少年がいた。；前作と同様、幼年時代編のマップを青年時代前半・後半にて再使用している。；白いコートを纏う青年が鬼のような姿の男に銃口を向けていた。；役柄としては主に青年役を担当しているが、時に中年・老人役も演じる。</t>
        </is>
      </c>
      <c r="J4553">
        <f>HYPERLINK("https://www.weblio.jp/content/青年", "词义详情")</f>
        <v/>
      </c>
      <c r="K4553">
        <f>HYPERLINK("https://yourei.jp/青年", "查看例句")</f>
        <v/>
      </c>
    </row>
    <row r="4554">
      <c r="A4554" t="inlineStr">
        <is>
          <t>生年月日</t>
        </is>
      </c>
      <c r="B4554" t="inlineStr">
        <is>
          <t>成功</t>
        </is>
      </c>
      <c r="C4554" t="inlineStr">
        <is>
          <t>読み方：せいねんがっぴ
生まれた年と月と日。</t>
        </is>
      </c>
      <c r="D4554" t="inlineStr">
        <is>
          <t>生年月日等；生年月日や出生地；生年月日その他</t>
        </is>
      </c>
      <c r="F4554" t="inlineStr">
        <is>
          <t>同じ生年月日</t>
        </is>
      </c>
      <c r="H4554" t="n">
        <v>29</v>
      </c>
      <c r="I4554" t="inlineStr">
        <is>
          <t>処刑の際に出生記録は抹消されたため、生年月日はよくわかっていない。；前二冊の専門書のそれは大学の専攻と出身と生年月日程度であった。；ステーファン・フメレーツィクィイの生年月日は明らかになっていない。；その生年月日を書いて渡し、解説はあとで書いてもらうことにした。；もちろん親である本人と子女の各々生年月日を比較することが第一である。；生年月日は公式には11月1日とされているが、生まれともいわれる。；小学校では加藤幹典と同じクラスであり、2人は同じ生年月日でもある。；君の生年月日を実際的に証明するのは、きわめてわけもないことです。；珍しい名だからそれだけは忘れないでいたが、次の生年月日でもう困ってしまった。；生年月日の詳細は不明だが、1979年に24歳であったとの記述がある。；なお、個人情報は一切公表していないために本名、生年月日は不明である。；出生届を出すのに数年かかったので、正確な生年月日は不明という。；私の生年月日と時刻を紙に書いて渡すと、机にむかって図表の作成にかかる。；ちなみに生年月日は、長嶋茂雄が現役を引退したのと同年同月同日である。；生年月日がわからなくてもできる方法となれば、そうだ、姓名判断がいい。；記載された生年月日から、年齢もたしかに二十三歳であることが確認できた。；例えば、生年月日や生まれた場所は必ずしも一致した情報が与えられているわけではない。；その他には本籍、生年月日と今の住所、おまけに顔写真まで付いている。；三日ほどかけて浦野は主だった部長たちの生年月日を調べ、一覧表を作った。；天中殺に当たる地支が生年月日時にある時、以下の流年・大運で解消する。；また旧法の規定や生年月日により、新法下でも旧法との調整が行われる。；また、人が生年月日を言えばそれが何曜日であるか即座に答えることができた。；なお生年月日は、生年を1歳上にしただけで他は作者と同一である。；生年月日の記録は残っていないが、1325年生まれという説がある。；なお、クォヴレーに設定されている生年月日等は、泰のものと同じである。；芥川舟之の生年月日には異説あり、正確には生年不詳とされる場合が多い。；彼には親にもらった名前がなく、生年月日も知らなかった。；また、兄の生年月日が1985年11月7日とされていることとも矛盾する。；生年月日によると、先月二十八歳になったばかりのはずだった。</t>
        </is>
      </c>
      <c r="J4554">
        <f>HYPERLINK("https://www.weblio.jp/content/生年月日", "词义详情")</f>
        <v/>
      </c>
      <c r="K4554">
        <f>HYPERLINK("https://yourei.jp/生年月日", "查看例句")</f>
        <v/>
      </c>
    </row>
    <row r="4555">
      <c r="A4555" t="inlineStr">
        <is>
          <t>性能</t>
        </is>
      </c>
      <c r="B4555" t="inlineStr">
        <is>
          <t>成功</t>
        </is>
      </c>
      <c r="C4555" t="inlineStr">
        <is>
          <t>読み方：せいのう
１機械や道具の性質と能力。また、機械などが仕事をなしうる能力。「—のよい自動車」「—を高める」
２生まれつきの能力。
「—の命令通りに一生を渡って」〈花袋・重右衛門の最後〉</t>
        </is>
      </c>
      <c r="D4555" t="inlineStr">
        <is>
          <t>性能向上(5%)；性能差；性能試験；性能低下；性能不足</t>
        </is>
      </c>
      <c r="E4555" t="inlineStr">
        <is>
          <t>動作；パフォーマンス；パーフォーマンス</t>
        </is>
      </c>
      <c r="F4555" t="inlineStr">
        <is>
          <t>基本性能；高速性能；高い性能；加速性能；速度性能</t>
        </is>
      </c>
      <c r="G4555" t="inlineStr">
        <is>
          <t>性能解析；性能指数；性能管理；性能分析；性能監視</t>
        </is>
      </c>
      <c r="H4555" t="n">
        <v>29</v>
      </c>
      <c r="I4555" t="inlineStr">
        <is>
          <t>機械学習では、機械がデータを利用してその性能を向上させようとする。；ただしこの場合は空気制動のみとなり、本来の性能は発揮できなくなる。；これはサイリスタ位相制御の採用で高い粘着性能が得られたことによる。；機関車では、牽引性能を発揮するためにある程度の軸重を必要としている。；発光色の差異が上記の兵器性能の違いを表現する演出とみることもできる。；しかし、現在のところ、性能規定や指針値を超えた場合の罰則等はない。；ネットワーク経由でバグの修正や性能・機能の向上がメーカーより提供される。；装置完成当初は装置の性能や原子レベルの観測結果に懐疑的な意見もあった。；また、最近ではこれらの言語の処理系でも性能が向上してきている。；戦略爆撃機にはその任務と攻撃目標の性質上、次のような性能が求められる。；これは、完全なLRUではないが、多くの場合非常に近い性能を発揮する。；しかし、クロック周波数の高いマシンが必ずしも性能が高いとは言えない。；ネットワークの状態を追跡し維持する集中監視機能や性能測定機能は存在しない。；中世末期には歯車や脱進機の性能が向上し各地に大規模な時計が作られた。；また、高速なデバイスを高優先度に設定するのが性能的に有利である。；顧客は用途に合ったタイプのベンチマークで性能を比較するようになってきた。；OpenBSDは性能やユーザビリティの面で批判されることがある。；即ち、プレイヤーの有利不利をかなりの高確率で判断する性能がある。；その為、大幅な性能低下は覚悟の上で4ストロークへの移行が行われたのである。；性能を向上させるために、インデックス作成などの手法を使用することもある。；L4はマイクロカーネルの性能が悪くないことを実証するために作られた。；また自国で開発・生産できる場合でも、それで得られる兵器の性能も考慮される。；同期化の性能を向上させるため、スレッド化された割り込みが実装された。；なお、価格や性能などの問題で日本製ではなく、米国の社製のものを採用した。；レジスタ・ウィンドウは、その性能低下を補うために導入されたのである。；マッチロック式は命中精度と射程の向上など銃の性能を大きく向上させた。；なお、マシンは名称・デザイン・性能も初代と異なっている。；新たに発明され急激に性能の向上したトランジスタの利用である。；まず床に要求されるのは構造的な性能である。</t>
        </is>
      </c>
      <c r="J4555">
        <f>HYPERLINK("https://www.weblio.jp/content/性能", "词义详情")</f>
        <v/>
      </c>
      <c r="K4555">
        <f>HYPERLINK("https://yourei.jp/性能", "查看例句")</f>
        <v/>
      </c>
    </row>
    <row r="4556">
      <c r="A4556" t="inlineStr">
        <is>
          <t>成否</t>
        </is>
      </c>
      <c r="B4556" t="inlineStr">
        <is>
          <t>成功</t>
        </is>
      </c>
      <c r="C4556" t="inlineStr">
        <is>
          <t>読み方：せいひ
事が成ることと成らないこと。成功するか失敗するか。「結果の—は問わない」</t>
        </is>
      </c>
      <c r="D4556" t="inlineStr">
        <is>
          <t>成否判定；成否いずれ</t>
        </is>
      </c>
      <c r="E4556" t="inlineStr">
        <is>
          <t>正誤；出来不出来</t>
        </is>
      </c>
      <c r="H4556" t="n">
        <v>29</v>
      </c>
      <c r="I4556" t="inlineStr">
        <is>
          <t>政治指導部と個人に近いことが、しばしば栄達の成否の決め手となった。；事の成否は、あとは己の知力と機転、そして何よりも運にかかっている。；この観測の全計画を緻密に組み立て、事業の成否の全責任を負っていた。；俺はなんとしてでも、作戦の成否を自分の眼でたしかめたかったのだ。；遠征の成否にかかわるようなことでの利益提供は、リスクが大きすぎる。；彼は絶対といっていいくらいに、結果の成否を問わないのである。；不可能説が多かったのだが、とにかく成否は僕の腕次第ということになった。；彼の出発後、最初のうちは彼の計画の成否に対して大きな賭が行なわれた。；同時にこれから先指定された停留所へ行ってからの成否がまた気にかかり出した。；だがそれこそが事の成否を決定づける最大にして最重要の問題だ。；霧が道まで来ないうちに、彼が出てくるかどうかが、われわれの成否の鍵なんだ。；主人公のパラメータにより技の種類・成否やその効果が変わっていく。；それらは、皆、この演習の成否に責任をとるべき立場の人々であった。；ハサンから伝えられた艦の奪還計画の成否は、ここから先にかかっている。；わたしの計画の成否は、ひそかに宮殿に侵入できるかどうかにかかっているからだ。；十三日の朝になっても、川口支隊の攻撃の有無成否はわからなかった。；攻撃の成否をキャッシュヒットミスの測定することで確認している。；だがダイアンの生命がわたしの冒険の成否にかかっているかもしれないのだ。；それをどの程度「やむをえない」と思うか、それが改正の成否を決める。；このような戻り値による処理の成否判定には下記のような問題点がある。；ただしウッドワードらの全合成の成否については後述の通り議論がある。；この事業の成否は、労働者が努力するか否かに依存するとする。；この試験の成否に、来る2月21日の発射が成功するかどうかがかかっていた。；ダイエットは、夕食をどこまで軽くするかが成否の鍵を握っている。；注意力は、言語処理の成否を決定する重要な要素の一つと考えられている。；サラリーマンも同じだが、ことの成否を決めるのは実力だけではない。；作戦の成否と兵力の比率てやつは、たいていそんなもんらしいんだな。；成否はとにかくとしてやるだけのことをやってみよう、と心に誓った。；そのためには成否を越えて在野アカデミーは存在しなければならぬ。</t>
        </is>
      </c>
      <c r="J4556">
        <f>HYPERLINK("https://www.weblio.jp/content/成否", "词义详情")</f>
        <v/>
      </c>
      <c r="K4556">
        <f>HYPERLINK("https://yourei.jp/成否", "查看例句")</f>
        <v/>
      </c>
    </row>
    <row r="4557">
      <c r="A4557" t="inlineStr">
        <is>
          <t>整備</t>
        </is>
      </c>
      <c r="B4557" t="inlineStr">
        <is>
          <t>成功</t>
        </is>
      </c>
      <c r="C4557" t="inlineStr">
        <is>
          <t>読み方：せいび
［名］(スル)すぐ役立つように準備したり整えたりすること。「車両の—」「書類を—する」</t>
        </is>
      </c>
      <c r="D4557" t="inlineStr">
        <is>
          <t>整備計画；整備員；整備性；整備工場；整備等</t>
        </is>
      </c>
      <c r="E4557" t="inlineStr">
        <is>
          <t>管理；維持；保持；保有；保守</t>
        </is>
      </c>
      <c r="F4557" t="inlineStr">
        <is>
          <t>インフラ整備；未整備；環境整備；都市整備；施設整備</t>
        </is>
      </c>
      <c r="G4557" t="inlineStr">
        <is>
          <t>整備士；整備兵；整備新幹線；整備場；整備法</t>
        </is>
      </c>
      <c r="H4557" t="n">
        <v>29</v>
      </c>
      <c r="I4557" t="inlineStr">
        <is>
          <t>工業では高速道路の整備以降は高速周辺での工場誘致が各地で起こった。；フランス・パリではこのタイプのシステムがすでに大規模に整備されている。；小型大出力、起動時間の短さ、整備性の良さ等が評価された結果である。；貨物輸送量減少の原因は道路網の整備によるトラック輸送への転換である。；現在は工場跡地を活用した大規模な再開発や公園整備が行われている。；これら司法制度の整備により裁判は非常に多く行われるようになった。；バブル景気の時代に入ると道路の開発ラッシュで整備がさらに進んだ。；整備を進めやすいために道路よりも鉄道を優先して建設された。；規模を縮小の上改めて入曽駅周辺の再整備計画が立案されることになった。；同時に城下町も碁盤目状に整備され、家臣や商人・職人などが定住した。；生活拠点地区は駅前に拠点性を持つ大型商業施設や動線整備がされている。；また、バリアフリー用エレベーター・エスカレーターが整備されている。；しかし、当時は現代的な意味での考古学は未整備な状況であった。；また、このような大きな損傷を受けても修理を経て再出撃できる整備性があった。；これらにより、横浜市西部開発地区の交通網の整備を推進するという。；他にも、かつての宿場町ではそれぞれ歴史資料館などを整備している。；家臣団組織が整備され、戦国大名として武田氏の地位が確立されていた。；これを契機に日本の政府与党は有事法制の整備に向けた検討を開始していく。；交通の手段・方法として整備された体系を交通機関または交通システムと呼ぶ。；市街地が広がる市南部を中心に、鉄道網・バス網が整備されている。；しかし実際に映画がステレオ音声で公開されるには、映画館側の整備が必要である。；これに合わせて鉄道および道路の整備が行われ、交通アクセスの利便性が向上した。；初期型に比べ後期型は交換作業が楽に行えるようになり、整備上有利となった。；これらの法制の柱を第1分類から第3分類に分け、整備されることとなった。；有事法制の整備に際しては、あくまで憲法の枠内法制整備が実施された。；大規模な都市には複数の環状道路が整備されることがある。；家康はこの接待のために莫大な私財を投じて街道を整備し宿館を造営した。；現駅ビルは存続され、新駅舎の高架下部分にも商業施設が整備される。；代わりに峠道が発達し、五街道をはじめ各地で整備が行われた。</t>
        </is>
      </c>
      <c r="J4557">
        <f>HYPERLINK("https://www.weblio.jp/content/整備", "词义详情")</f>
        <v/>
      </c>
      <c r="K4557">
        <f>HYPERLINK("https://yourei.jp/整備", "查看例句")</f>
        <v/>
      </c>
    </row>
    <row r="4558">
      <c r="A4558" t="inlineStr">
        <is>
          <t>製品</t>
        </is>
      </c>
      <c r="B4558" t="inlineStr">
        <is>
          <t>成功</t>
        </is>
      </c>
      <c r="C4558" t="inlineStr">
        <is>
          <t>読み方：せいひん
販売するためにつくった品物。ある原料からつくった品物。「プラスチック—」</t>
        </is>
      </c>
      <c r="D4558" t="inlineStr">
        <is>
          <t>製品化(3%)；製品群；製品ライン；製品メーカー；製品製造</t>
        </is>
      </c>
      <c r="E4558" t="inlineStr">
        <is>
          <t>産物；生産物；産品；プロダクト；生産品</t>
        </is>
      </c>
      <c r="F4558" t="inlineStr">
        <is>
          <t>関連製品；他社製品；鉄製品；金属製品；繊維製品</t>
        </is>
      </c>
      <c r="G4558" t="inlineStr">
        <is>
          <t>製品化；製品版；製品名；製品ライフサイクル；製品デザイン</t>
        </is>
      </c>
      <c r="H4558" t="n">
        <v>29</v>
      </c>
      <c r="I4558" t="inlineStr">
        <is>
          <t>初期の鉄道模型はこのタイプの製品が多く、特にアメリカで盛んである。；当初は日本メーカーのブランド名や商品名が使われる製品が発売された。；そのため、同じアーキテクチャの製品が複数のメーカーから発売された。；鰹節は節類の代表的なもので加工の工程や製品の形状の名称が共通する。；ただしスティックと一体化していないボタンも持つ製品が大半である。；スティックを傾けるのではなく滑らせて操作する方式の製品も存在する。；実用化したのは対応する製品が出始めた1999年以降のことである。；これらの用具を用いることで、燃焼を伴う製品ながら安全に使用できる。；製品としては各メーカーが独自の名称、ランク付けを用いて表記される。；また、通常木型は形状のみでなく、分割方法も製品に準じて製作される。；生産とは工場において材料から部品、製品などの商材を作る行為である。；しかしこの手法は一過性の物で、製品に反映される性格の仕様ではなかった。；最後に、集積回路が製品として正常に機能するかを確認する検査を行う。；また、一度契約が切れてしまうと新規での製品購入が必要であった。；製品タイトルと同一の内容のものはそれぞれの項にて記載。；適合性の認証を受けた製品には、JISマークを表示することができる。；同プロジェクトは一般に販売されている全製品の一覧をオンラインで公開している。；OEMは、他社ブランドの製品を製造すること、またはその企業である。；ライン生産方式を、生産する製品の種類によって分類することができる。；メガドライブ最初期のソフト不足をカバーするための製品である。；家庭用、産業用問わず電子制御を必要とする製品において広く用いられている。；金めっきを含む金製品の製造は大蔵大臣の許可を要するものとなった。；製品は薄板状のため、厚みのあるもの、面積の大きいものには向かない。；少ない指定物件の中では曜変天目茶碗など、中国製品の多いのが目立つ。；プロセッサは64ビットが主流だが、32ビット製品も採用されている。；こちらの商品は金属製品の切断を禁止されているものが多い。；これらは単独の製品の組み合わせで構成されていた。；ゲーム向けの高級機種として、より多くのボタンを備えた製品もある。；初期の製品は変復調部を内蔵し、通信用インターフェースを備えている。</t>
        </is>
      </c>
      <c r="J4558">
        <f>HYPERLINK("https://www.weblio.jp/content/製品", "词义详情")</f>
        <v/>
      </c>
      <c r="K4558">
        <f>HYPERLINK("https://yourei.jp/製品", "查看例句")</f>
        <v/>
      </c>
    </row>
    <row r="4559">
      <c r="A4559" t="inlineStr">
        <is>
          <t>政府</t>
        </is>
      </c>
      <c r="B4559" t="inlineStr">
        <is>
          <t>成功</t>
        </is>
      </c>
      <c r="C4559" t="inlineStr">
        <is>
          <t>読み方：せいふ
政治を行う所。立法・司法・行政のすべての作用を包含する、国家の統治機構の総称。日本では、内閣および内閣の統轄する行政機構をさす。</t>
        </is>
      </c>
      <c r="D4559" t="inlineStr">
        <is>
          <t>政府側；政府内；政府当局；政府要人；政府系</t>
        </is>
      </c>
      <c r="E4559" t="inlineStr">
        <is>
          <t>上；体制；当局；官庁；お上</t>
        </is>
      </c>
      <c r="F4559" t="inlineStr">
        <is>
          <t>市政府；人民政府；ソ連政府；各国政府；郡政府</t>
        </is>
      </c>
      <c r="G4559" t="inlineStr">
        <is>
          <t>政府機関；政府高官；政府の長；政府関係者；政府主席</t>
        </is>
      </c>
      <c r="H4559" t="n">
        <v>29</v>
      </c>
      <c r="I4559" t="inlineStr">
        <is>
          <t>これは主に政府の制限を回避した中国での違法な産出が原因となっている。；なお、1968年以降、特に分割政府の出現する期間が長くなっている。；しかし政府の統制下にある事には変わりなくメディアの規制も強化されている。；複数の政治政党が政府の承認を経て設立されたものとなっている。；殆どのユダヤ人は高学歴であったが、政府官僚の地位からは除外された。；そのため、政府もその報道された内容が政府案と異なるとする声明を発表した。；こうした後進産業国では政府の強力なリードのもとで産業育成がなされた。；教育制度の大部分は、教育・技能大臣を通じた政府の指導の下にある。；結局政府は土地の私有を認めざるを得なくなり、律令制度は崩壊した。；政府は国家において安定的な支配を維持するための体制である。；この頃には唐政府の権威は更に衰えており、実質的には独立勢力である。；だがそこに寄せられる政府批判は予想外に厳しいものであった。；この会議に出席した諸政府は赤十字団体の活動を認める条約に署名したのである。；会社は政府の許可を得た翌日の3月14日に営業を開始する。；裁判所の決定を実行するためには行政府の権力が必要となる。；これを契機に日本の政府与党は有事法制の整備に向けた検討を開始していく。；よって、政府与党は慎重に法制を実施することに念頭がおかれたのである。；父のジュリオは会計士だったが後に政府から3つの戦争へ招聘された。；香港返還の前後に、政府は銀行の基本的なルールや規制を作った。；これは共産政府に対する抗議の自殺であったことが判明している。；ギリシア政府はこれら彫刻の返却を求めているが、実現には至っていない。；近年は政府による積極的なアイルランド語復興政策が実行されている。；独立後、政府は主要産業を国有化し、保護政策の下で工業を発展させてきた。；しかし政府は支援を停止することはしなかった。；日本は設立時から参加しており国際会議には政府・使用者・労働者のそれぞれ代表を送っている。；政策科学とは、政府などの公的機関が行う政策を改善するための学問である。；テヘランの労働者のほぼ半分は政府関係の職に就いている。；実際に英国やオランダの政府が契約している。；政府の名称変更に合わせ産経新聞や日本放送協会ほかメディアも呼称を変更した。</t>
        </is>
      </c>
      <c r="J4559">
        <f>HYPERLINK("https://www.weblio.jp/content/政府", "词义详情")</f>
        <v/>
      </c>
      <c r="K4559">
        <f>HYPERLINK("https://yourei.jp/政府", "查看例句")</f>
        <v/>
      </c>
    </row>
    <row r="4560">
      <c r="A4560" t="inlineStr">
        <is>
          <t>征服</t>
        </is>
      </c>
      <c r="B4560" t="inlineStr">
        <is>
          <t>成功</t>
        </is>
      </c>
      <c r="C4560" t="inlineStr">
        <is>
          <t>読み方：せいふく
［名］(スル)
１武力で敵を負かし、支配下におくこと。「敵国に—される」
２困難を克服して目的を達成すること。「難病を—する」</t>
        </is>
      </c>
      <c r="D4560" t="inlineStr">
        <is>
          <t>征服する(9%)；征服される(2%)；征服地(2%)；征服後(2%)；征服しよ</t>
        </is>
      </c>
      <c r="E4560" t="inlineStr">
        <is>
          <t>勝利；占領；攻略；討伐；制圧</t>
        </is>
      </c>
      <c r="F4560" t="inlineStr">
        <is>
          <t>被征服；征服以前；宇宙征服；エジプト征服；メキシコ征服</t>
        </is>
      </c>
      <c r="G4560" t="inlineStr">
        <is>
          <t>征服王；征服活動；征服王朝；征服者ロビュール；征服者カーン</t>
        </is>
      </c>
      <c r="H4560" t="n">
        <v>29</v>
      </c>
      <c r="I4560" t="inlineStr">
        <is>
          <t>彼らは戦闘用に改造したロボット軍団で世界を征服するつもりである。；この征服戦でまだ小村であったモスクワも攻略されたと見られている。；激戦の末カリンガを征服したが、この時の戦争で多数の人命が失われた。；島をローマが征服した時期についての記載は何も見つかっていない。；彼はアラブの間に厭戦機運が蔓延していることから征服戦争を中止した。；ルッジェーロの征服戦争は兄ロベルトの多大なる支援のおかげであった。；撤退の際も当時の現地の住民であるマッロイ人の征服が行われた。；レガスピの部下たちは更に兵士を率い、マニラを襲ってこれを征服した。；ローマが積極的な対外征服に繰り出したのは奴隷を確保するためでもあった。；さらにこのような状況で重税を課したために征服地は完全に疲弊した。；高昌を征服した唐はこの地に安西都護府を置いて西域経営の拠点とした。；征服した土地に対して貢ぎ物を要求したが統治はせず、自治を許していた。；その後、清軍の中国人征服に従軍し、中国各地に駐屯するようになった。；失われた大魔玉を見つけ、その力で、地球を征服しようと企んでいる。；しかし、セム語系のアッカド人が彼らを征服しメソポタミアを統一した。；このようにして、征服されたゾルシーネスはなにも剥奪されなかった。；たとえばダバオ付近がスペインに征服されたのは19世紀も半ばのことである。；天皇は征服・干渉のための軍を起こさず、即位後は内外に戦争がなかった。；しかし、間もなく清は欽差大臣の左宗棠を派遣して再征服に成功した。；彼の業績は征服戦争に成功したことだけにあるのではない。；その精神はインドの征服地や敗戦国フランスに対しても発揮された。；前漢武帝の時にこれらの諸国は征服され郡県に編入された。；イギリス人および彼らに征服されたアカディア人との関係もまた困難であった。；古代には高句麗の領域であり、唐の高句麗征服後は安東都護府に属した。；その際征服された地域では、顕著ではないものの混血が認められる。；秀吉は明を征服後、秀家を日本か朝鮮の関白にしようとしていた。；敵の侵入を許しながら征服されずに戦いぬく戦略であった。；その後、高句麗が征服した中国地域には朝鮮民族の子孫が広がることになる。；日本の江戸幕府を倒幕し、徳川家康に代わって日本を征服しようと企む。</t>
        </is>
      </c>
      <c r="J4560">
        <f>HYPERLINK("https://www.weblio.jp/content/征服", "词义详情")</f>
        <v/>
      </c>
      <c r="K4560">
        <f>HYPERLINK("https://yourei.jp/征服", "查看例句")</f>
        <v/>
      </c>
    </row>
    <row r="4561">
      <c r="A4561" t="inlineStr">
        <is>
          <t>制服</t>
        </is>
      </c>
      <c r="B4561" t="inlineStr">
        <is>
          <t>成功</t>
        </is>
      </c>
      <c r="C4561" t="inlineStr">
        <is>
          <t>読み方：せいふく
［名］(スル)
１学校・会社など、一定の集団や団体に属する人が着るように定められている服装。ユニホーム。
２文民統制（シビリアン‐コントロール）が採られている国の国防（防衛）行政機関において、文民官僚に対する職業軍人（自衛官）の称。制服組。
３相手の勢いを押さえ、従わせること。
「其内実は未だ能く之を—するの力あるにあらざるなり」〈田口・日本開化小史〉</t>
        </is>
      </c>
      <c r="D4561" t="inlineStr">
        <is>
          <t>制服警官(3%)；制服着用；制服制帽；制服巡査；制服警察官</t>
        </is>
      </c>
      <c r="E4561" t="inlineStr">
        <is>
          <t>ユニフォーム；ユニホーム</t>
        </is>
      </c>
      <c r="F4561" t="inlineStr">
        <is>
          <t>黒い制服；青い制服；新しい制服；新制服；用制服</t>
        </is>
      </c>
      <c r="G4561" t="inlineStr">
        <is>
          <t>制服組；制服のマネキン；制服向上委員会；制服の処女；制服コレクション</t>
        </is>
      </c>
      <c r="H4561" t="n">
        <v>29</v>
      </c>
      <c r="I4561" t="inlineStr">
        <is>
          <t>原作では生徒の制服が他話と異なっているような描写も1話だけあった。；男子制服は学ランで中学の頃の制服のボタンを変えるだけの生徒もいる。；制服の場合、所属組織のエンブレムが付けられている例が多く見られる。；制服を着て、警察のマスコットであることが一目で分かるようになった。；卒業し制服を着なくなると痴漢に遭わなくなったとの女性の声も多い。；官給の制服を着用したうえでの凶行であったため、当局に衝撃を与えた。；親衛隊の制服で有名なのは1932年に採用された黒い勤務服である。；そのため、スウェーデン軍の服装はこの当時の代表的な制服とされている。；本作以外で向陽高校の制服が使用された作品には、以下のものがある。；制服は、特別な地位にない官人が朝廷の公事を行うときに着る服である。；私立を中心とする一部の中学・高校の男子制服にもこのようなものが見られる。；技術系制服も更新され、青ベースの制服から灰色ベースの制服に変更となった。；ただし、学校の制服と同じく世界共通で定められているものではない。；かつての中華人民共和国では、制服や標準服とも言うべき物であった。；ただしこれは男性海士に限り、女性海士は海曹とほぼ同様の制服である。；しかし本人や家族の希望があれば第一制服を着用して通学することも可能である。；司令官用の金色の制服ではなく、科学・医療部門用の青の制服を着用する。；なお近隣にあった樟蔭東学園は、中学校・高校の制服が類似している。；その他、軍人の物とは異なる独自の制服・制帽・階級章が制定されていた。；この地区のすべての学校は制服または何らかの服装規定を持つ事を要求される。；そのことを聞いた警察官たちは彼のために新品の制服装備一式を用意した。；制服を好み、学生時代は常に詰襟学生服か剣道着で生活していたという。；制服も一定の指定はあるものの生徒の自主性に委ねられている部分が大きい。；経営側も利用客も制服は店の雰囲気をつくるものとして重要視している。；これらの職種では、白衣は事実上の制服扱いをされている場合が多い。；個々の学校の仕様や、制服のデザインなどは全て共通となっていた。；また、千秋たちが着るスチュワーデスの制服も実際の物が使われている。；制服は前・後期共通で、前期課程には他の中学校と同様に給食がある。；生活の安定とともにこの服装の着用者が多くなり定着して、これが制服化した。</t>
        </is>
      </c>
      <c r="J4561">
        <f>HYPERLINK("https://www.weblio.jp/content/制服", "词义详情")</f>
        <v/>
      </c>
      <c r="K4561">
        <f>HYPERLINK("https://yourei.jp/制服", "查看例句")</f>
        <v/>
      </c>
    </row>
    <row r="4562">
      <c r="A4562" t="inlineStr">
        <is>
          <t>生物</t>
        </is>
      </c>
      <c r="B4562" t="inlineStr">
        <is>
          <t>成功</t>
        </is>
      </c>
      <c r="C4562" t="inlineStr">
        <is>
          <t>読み方：せいぶつ
動物・植物・微生物など生命をもつものの総称。細胞という単位からなり、自己増殖・刺激反応・成長・物質交代などの生命活動を行うもの。いきもの。</t>
        </is>
      </c>
      <c r="D4562" t="inlineStr">
        <is>
          <t>生物的；生物たち；生物群；生物学；生物医学</t>
        </is>
      </c>
      <c r="E4562" t="inlineStr">
        <is>
          <t>動物；生命；獣；生き物；生体</t>
        </is>
      </c>
      <c r="F4562" t="inlineStr">
        <is>
          <t>無生物；巨大生物；知的生物；あらゆる生物；型生物</t>
        </is>
      </c>
      <c r="G4562" t="inlineStr">
        <is>
          <t>生物学者；生物多様性；生物種；生物兵器；生物相</t>
        </is>
      </c>
      <c r="H4562" t="n">
        <v>29</v>
      </c>
      <c r="I4562" t="inlineStr">
        <is>
          <t>実際には、すべての生物で細胞がこの様な構造が見られるわけではない。；道具を作り利用する能力が他の生物よりも長けていることも挙げられる。；寄生虫はもともとは自由生活をする生物から進化したと考えられている。；生物が電気的にコミュニケーションを行うことを指すために使っている。；これは一つにはそのような環境にも耐えられる生物が残ることで成立する。；そのような文化もあり、生物の和名には肉の色が採用されることが多い。；洞窟の中は外よりも気温が低く、生物環境なども周囲とは大きく異なる。；特に代表的な生物が含まれる群の場合、それらの生物も記入しましょう。；これらの生物は遡上能力が高くないため、環境変化の影響を受けやすい。；家屋内には、人以外にも多くの生物が出現し、様々な生活を行っている。；生物が行動の基準とする賞味の利益の方法は例えば次のようなものである。；ダーウィン主義はすぐに生物学と社会学で進化の概念を指す語となった。；ちなみに、光を利用する生物がすべて独立栄養生物であるわけではない。；デカルトは、人間も含めて全ての生物は神が制作した機械だと見なした。；また、マツの形態的特徴は樹木以外の生物の名前に使われることもある。；これは生物の性質のどのような側面に注目するかの違いでもある。；また多くの宗教で霊と呼ばれる形態の生物の存在を想定している。；基本的な機構は他の生物でも同じであるが、細部には違いが見られる。；かつては代表的な生物には和名をつける方向で努力がなされていた。；しかも島にすむ生物は、ほとんどの場合最も近い大陸の生物と近縁である。；世界としての世界は世界の他の生物のためとしてではなく人のために存在する。；一つの細胞のみで体が構成されている生物は単細胞生物と呼ばれる。；「健康な生物」がそれを生み出したから尿が健康だと言われるのである。；第一段階は、追加したい有用な遺伝子を別の生物で同定することである。；実際は多くの生物でコドンの利用の偏りがこのことに制限を与えるが。；一方で湖沼の面積が大きくなると風浪の影響によって生物は少なくなる。；寄生性の獲得はさまざまな生物の系統上で独立して何度も起こったようである。；このようなことから、地衣類を単独の生物のように見ることも出来る。；飼育する動物が水棲生物である場合は、養殖と呼ぶことが一般的である。</t>
        </is>
      </c>
      <c r="J4562">
        <f>HYPERLINK("https://www.weblio.jp/content/生物", "词义详情")</f>
        <v/>
      </c>
      <c r="K4562">
        <f>HYPERLINK("https://yourei.jp/生物", "查看例句")</f>
        <v/>
      </c>
    </row>
    <row r="4563">
      <c r="A4563" t="inlineStr">
        <is>
          <t>成分</t>
        </is>
      </c>
      <c r="B4563" t="inlineStr">
        <is>
          <t>成功</t>
        </is>
      </c>
      <c r="C4563" t="inlineStr">
        <is>
          <t>読み方：せいぶん
１化合物や混合物などを構成している元素や純物質。
２文法で、一つの文を構成している部分。主語・述語・修飾語などの総称。
３数学で、一つのベクトルを各方向のベクトルに分解したときの各ベクトル。</t>
        </is>
      </c>
      <c r="D4563" t="inlineStr">
        <is>
          <t>成分分析；成分表；成分系；成分量；成分本質</t>
        </is>
      </c>
      <c r="E4563" t="inlineStr">
        <is>
          <t>一部；部分；要素；材料；要因</t>
        </is>
      </c>
      <c r="F4563" t="inlineStr">
        <is>
          <t>各成分；栄養成分；化学成分；主要成分；毒成分</t>
        </is>
      </c>
      <c r="G4563" t="inlineStr">
        <is>
          <t>成分表示；成分献血；成分ごとの演算；成分栄養剤；成分輸血</t>
        </is>
      </c>
      <c r="H4563" t="n">
        <v>29</v>
      </c>
      <c r="I4563" t="inlineStr">
        <is>
          <t>太陽の近くではこのような揮発成分は容易に蒸発してしまうためである。；さらにフックは呼吸が空気の特定の成分に関係していると結論付けていた。；地球上の生命の化学成分を分析すると、炭素を中心にしたものであった。；植物や動物から絞り出す成分そのものを指してエキスと言う場合もある。；これは表示される成分がきちんと含まれているかを保証しているとのことである。；このため、空気中で使用する爆薬とは成分が異なるものが使用されている。；同じ鉱物であっても微量成分の違いによって異なる色を示すことがある。；集められたスクラップは使用前に成分検査や放射能探知検査が行われる。；一個の岩石内の成分についてでもよいし地殻全体の成分についてでもよい。；例えばメイラード反応で糖と反応させると肉の香りを持つ成分が生成する。；また成分的にはマグマ中のケイ酸成分の量が多いほど粘性は大きくなる。；この観察から、卵白の成分がビオチンを捕捉していると結論付けられた。；いずれも鉄の酸化物であり、水酸化鉄と並んで錆を構成する成分である。；ピーク面積とは、各成分ピークとベースラインとの間の面積のことである。；圧搾時に種の成分を抽出するほどの圧力がかけられるわけでもない。；原則として用いられている全成分が表示なされなければならない。；アイソスピンの第3成分を考慮に入れると、全部で12種類が存在する。；更に、それらの香料はまた何百という香りを構成する成分からなっている。；の元 を基底 で表す場合、 の各成分の添え字を のように上つきに書く。；またガス成分が多い場合は比重が小さいため海面上を滑走することもある。；この成分はポリフェノールの一種が関係していることが研究の結果明らかになった。；酸化されにくい成分を含むため、発煙する温度が大豆油などよりも高い。；ろうそくは、燃えると蝋に含まれた成分の香りが室内に漂うことになる。；燃費や排気ガス成分の改善など、燃焼性能を制御するために用いられる。；生物の成分の大部分は水であるから、湿度はその体や活動に大きな影響を与える。；一般に油胞には果肉よりも豊富な香り成分が含まれるが、苦味がある。；次のような優れた成分を含んでいて、近年は健康食品としても注目されている。；物質の成分が同一であっても化学構造の違いにより異なる化学物質となる。；この場合、2 個の状態変数に加え、各成分の割合で状態を記述できる。</t>
        </is>
      </c>
      <c r="J4563">
        <f>HYPERLINK("https://www.weblio.jp/content/成分", "词义详情")</f>
        <v/>
      </c>
      <c r="K4563">
        <f>HYPERLINK("https://yourei.jp/成分", "查看例句")</f>
        <v/>
      </c>
    </row>
    <row r="4564">
      <c r="A4564" t="inlineStr">
        <is>
          <t>性別</t>
        </is>
      </c>
      <c r="B4564" t="inlineStr">
        <is>
          <t>成功</t>
        </is>
      </c>
      <c r="C4564" t="inlineStr">
        <is>
          <t>読み方：せいべつ
男女または雌雄の区別。「—を記入する」</t>
        </is>
      </c>
      <c r="D4564" t="inlineStr">
        <is>
          <t>性別移行；性別問わ；性別ごと；性別判定；性別役割</t>
        </is>
      </c>
      <c r="E4564" t="inlineStr">
        <is>
          <t>性；セックス；雌雄；セクシュアリティ；セクシュアリティー</t>
        </is>
      </c>
      <c r="F4564" t="inlineStr">
        <is>
          <t>生物学的性別；身体的性別；無性別；性別鑑定；法的な性別</t>
        </is>
      </c>
      <c r="G4564" t="inlineStr">
        <is>
          <t>性別不明；性別変更；性別違和；性別役割分業；性別披露パーティー</t>
        </is>
      </c>
      <c r="H4564" t="n">
        <v>29</v>
      </c>
      <c r="I4564" t="inlineStr">
        <is>
          <t>はっきりとした姿がわからないために、性別が不明な場合もあるという。；脚本上でもキャラクターの性別や名前が変更されるなど改変が多かった。；この二人は双子だが、性格・性別の異なるそれぞれを一人で演じ分けた。；その中でさらに学校教育課程と性別に応じて、以下のように区分される。；鎮火後、本店に残された多くの遺体は性別も判断できない状態であった。；全てのキャラクターにデザインのほか、名前と性別が設定されている。；以前は、以下のように体の性別移行の一過程のみを説明する言葉であった。；性別の先天的な区別以外に、身体の様々な特徴が先天的な影響を受ける。；スポーツ界で性別の変更が認められるのは極めて珍しいことであった。；性別では男性の方がやや多く、年齢では10歳代に最も多く見られる。；性別は女性だが、自らが性同一性障害であるということを公表している。；ポストには監視装置などはなく利用者の性別や事情などは一切不明である。；年齢・性別・国籍などを問わず誰でも指定会場にて受験することができる。；性転換とは、ある生物個体の性別が生涯のうちに変化することをいう。；性別によった地位が逆転したことで宗教上の変化がもたらされたと想定した。；ヒヨコの性別鑑定はほとんどが大規模な商業目的の孵化場で行なわれる。；元恋人の名前は主人公の選択しなかった性別のデフォルト名になる。；これは性別によって国家資格の取得が制限される稀な例となっている。；CMやバラエティにも出演し、年齢と性別を超越した活動を行っている。；つまり、年齢、性別、片頭痛のタイプの間には大きな関係性があるのだ。；年齢・性別を問わず行われる入団セレクションの合格者で選手を編成した。；特に性別を示すようなところはないが、普通は女性とされている。；初登場時は性別が不明であったが、後に女性であることが判明した。；性別の制約はないが、女子選手は女子リーグに参加するため出場していない。；また、男性作家は性別を明かさない編集方針が存在したことが知られている。；開催される国・地域、年齢や性別によってローカルルールが適用される。；日本のブレイクダンスシーンには年齢性別問わず、幅広い層が存在する。；ただし、このゲームでは「困っている人」の対象に年齢性別は問われない。；応募者の年齢・性別・居住地域などにより当選内容が異なるものもある。</t>
        </is>
      </c>
      <c r="J4564">
        <f>HYPERLINK("https://www.weblio.jp/content/性別", "词义详情")</f>
        <v/>
      </c>
      <c r="K4564">
        <f>HYPERLINK("https://yourei.jp/性別", "查看例句")</f>
        <v/>
      </c>
    </row>
    <row r="4565">
      <c r="A4565" t="inlineStr">
        <is>
          <t>製法</t>
        </is>
      </c>
      <c r="B4565" t="inlineStr">
        <is>
          <t>成功</t>
        </is>
      </c>
      <c r="C4565" t="inlineStr">
        <is>
          <t>読み方：せいほう
物のつくり方。製造法。「新薬の—」</t>
        </is>
      </c>
      <c r="D4565" t="inlineStr">
        <is>
          <t>製法特許；製法書；製法品質表示基準；製法記号として；製法そのもの</t>
        </is>
      </c>
      <c r="E4565" t="inlineStr">
        <is>
          <t>方式；手法；レシピ；処方；作り方</t>
        </is>
      </c>
      <c r="F4565" t="inlineStr">
        <is>
          <t>伝統製法；伝統的製法；昔ながらの製法；新しい製法；工業的製法</t>
        </is>
      </c>
      <c r="H4565" t="n">
        <v>29</v>
      </c>
      <c r="I4565" t="inlineStr">
        <is>
          <t>日本にはピック社が伝統的な製法で作られたサラミなどを輸出している。；一般的な製法に比べてイノシン酸が4倍ほど増加することが確認された。；彼が確立した鋳鉄ホーローの製法は現在でもほぼ同様に用いられている。；回転靴製法は現代でもダンス用など一部の特殊な靴に使われている。；このような伝統的な製法の麺は、今日では特に木灰そばと呼ばれている。；屋外に並べた壺の中で発酵・熟成させる独特な製法が特徴となっている。；現在に伝わっている製法の葛布は平安時代ごろから作られていたとされる。；スニーカーの基本的な製法であるが、紳士靴にも使われることがある。；この時代から中世までは、パンの製法等には大きな変化はなかった。；以下のものは製法が似ているが、素材が異なるためプロシュットではない。；チーズ自体は製法や完成時の状態により以下の各タイプに分類される。；生物由来の顔料は抽出が難しいことが多く、その製法は秘密にされていた。；ここでは製法の紹介のために2日間開催時の様子を保存しておく。；手揉み製法は機械翻訳され、現在の日本国の製茶産業の基本となっている。；ナノ粒子の製法は、目的や材料に合わせていくつもの方法が開発されている。；ただし、製法は完全には公開されていないため、詳細は不明である。；伝統的な製法のクリークはグーズのように辛口で酸味を持つものとなる。；酒醸と違い飲み物なので濃度が薄いが製法的には共通の要素が大きい。；その飲み口の良さや簡便な製法がうけ、国分町の飲食店の間に広まった。；ただし、リーペリン・ソースはその製法が現在でも社外秘とされている。；日本でも北海道や淡路島などで同種の製法のチーズが生産されている。；この製法は各地で進化し、独自の製法を著書にまとめた生産者もいる。；島では銀を産せず、製法はフィリピンのバタネスから伝わったとされる。；炭鉱が盛んであった戦前から、現在まで変わらない製法で作り続けられている。；日本にイクラの製法を伝えたとされるロシアでも、日本ほど日常食にはしていない。；パピルスの製法は、生産がエジプトその他で廃れて以来失われていた。；この製法はフロートガラスが開発された後も長年使われていた。；米・酢もオリジナルのものを使い、販売開始当時の製法を守っている。；靴の内側に縫い目が存在しないため、しばしば雨靴などにこの製法が採用される。</t>
        </is>
      </c>
      <c r="J4565">
        <f>HYPERLINK("https://www.weblio.jp/content/製法", "词义详情")</f>
        <v/>
      </c>
      <c r="K4565">
        <f>HYPERLINK("https://yourei.jp/製法", "查看例句")</f>
        <v/>
      </c>
    </row>
    <row r="4566">
      <c r="A4566" t="inlineStr">
        <is>
          <t>正方形</t>
        </is>
      </c>
      <c r="B4566" t="inlineStr">
        <is>
          <t>成功</t>
        </is>
      </c>
      <c r="C4566" t="inlineStr">
        <is>
          <t>読み方：せいほうけい
内角がすべて直角で、辺の長さがすべて等しい四角形。正四角形。</t>
        </is>
      </c>
      <c r="D4566" t="inlineStr">
        <is>
          <t>正方形状；正方形平面；正方形氏；正方形化；正方形または長方形</t>
        </is>
      </c>
      <c r="E4566" t="inlineStr">
        <is>
          <t>真四角；正方；四角四面；まっ四角</t>
        </is>
      </c>
      <c r="F4566" t="inlineStr">
        <is>
          <t>大きな正方形；赤い正方形；白い正方形；小さい正方形</t>
        </is>
      </c>
      <c r="H4566" t="n">
        <v>29</v>
      </c>
      <c r="I4566" t="inlineStr">
        <is>
          <t>本堂の建築はと呼ばれる正方形の3層の屋根に覆われた形をなしている。；ところがだ、実際に部屋の中をはかってみると、ほぼ正方形なんだよな。；キャロルが発明したのは格子状に正方形の穴が配列されたカードだった。；その正方形に四分円を内接させるようにして、うずまき模様が描かれた。；そして、正方形氏は君主に殺害されそうになったところで目を覚ました。；西側近くには一辺約 20歩のやはり正方形の建物の基礎壁が遺っている。；円と同じ面積の正方形を作るのに、アルキメデスは以下の作図を行った。；むしろ、最初の命題は2つの正方形が並んで構成された盤面を設定する。；区画整理が完了したエリアとなっており、ほぼ正方形の区域となっている。；このパズルは正方形を14片に分割した物で課題の絵や図を作るものである。；残りの三方は巨大なコンクリート建築の一端で正方形に囲まれている。；ただし、そのような点がもとの正方形の辺上に存在しないことは既知である。；男から目を離さずに、正方形のちょうど反対側に位置するように体を移した。；部屋はほぼ正方形の小さなものでベッドは入り口と反対側の壁に設置されていた。；いずれも形は円形で中央に正方形の穴が開いている円形方孔の形式である。；八角形の塔は、正方形の基礎から伸び、の複製品が頭部におかれている。；中央の正方形は単に描かれたカンバスの枠が折り返されたものである。；条里制においては、一辺の長さが1町の正方形の面積を1町としていた。；本体は形がほぼ正方形となり、従来のモデルよりコンパクト化された。；正方形の部屋で、上のほうだけがカーブしてドーム形の天井を作っている。；帰って来て見ると、部屋は正方形ではなく角のところが少しく欠けている。；複数の細胞が4から8列程度縦横につながって正方形の平面を形成する。；これらの場所を羊皮紙文書の通りに訪ねると、正方形を横切る形になる。；広場は一辺が約110mの正方形で中央にボリバルの銅像が建っている。；算木計算とは、連続した正方形格子に小さな竹棒が配置されるものである。；を整数とし、 を正方形 の周に反時計回りに向きを付けた閉路とする。；現在でもディスプレイ表示は、正方形表示を基本に作られる事が多い。；その南西にはかつて市壁に囲まれていた正方形の平面の旧市街が接続している。；これを応用して、正方形に近い形の穴を開けるドリルを作ることができる。</t>
        </is>
      </c>
      <c r="J4566">
        <f>HYPERLINK("https://www.weblio.jp/content/正方形", "词义详情")</f>
        <v/>
      </c>
      <c r="K4566">
        <f>HYPERLINK("https://yourei.jp/正方形", "查看例句")</f>
        <v/>
      </c>
    </row>
    <row r="4567">
      <c r="A4567" t="inlineStr">
        <is>
          <t>精密</t>
        </is>
      </c>
      <c r="B4567" t="inlineStr">
        <is>
          <t>成功</t>
        </is>
      </c>
      <c r="C4567" t="inlineStr">
        <is>
          <t>読み方：せいみつ
［名・形動］
１極めて細かい点にまで注意が行き届いていること。また、そのさま。「—な測定」「—検査」
２細部にいたるまで正確な寸法で作られていること。また、そのさま。「—な機器」
[派生]せいみつさ［名］</t>
        </is>
      </c>
      <c r="D4567" t="inlineStr">
        <is>
          <t>精密射撃(2%)；精密化；精密加工；精密な測定；精密測定</t>
        </is>
      </c>
      <c r="E4567" t="inlineStr">
        <is>
          <t>正確；正しい；細かい；厳密；密</t>
        </is>
      </c>
      <c r="F4567" t="inlineStr">
        <is>
          <t>精密攻撃；精密作業；精密性；精密度；精密時計</t>
        </is>
      </c>
      <c r="G4567" t="inlineStr">
        <is>
          <t>精密機械；精密機器；精密爆撃；精密科学；精密工学</t>
        </is>
      </c>
      <c r="H4567" t="n">
        <v>29</v>
      </c>
      <c r="I4567" t="inlineStr">
        <is>
          <t>このような場合には精密なモデル化に基づいた詳細な検討が必要となる。；製作には精密なものだと余暇を利用して作った場合数年かかる例もある。；この方法で集めた気体はあまり純粋でないので精密な実験には使わない。；それほど精密さを要求されない用途では普通のメジャーもよく使われる。；それは組織理論のモデルと組織理論の公式化された精密な概念である。；巡航ミサイルは主に通常弾頭で固定施設への精密攻撃に使用されている。；また精密な操艦が要求される場合に備えてバウスラスターも備えている。；また精密な操艦が要求される状況に備えてバウスラスターを備えている。；作られてから100年以上のものもあり、精密さが傑出したものである。；機体製造は以前にも増して精密さが要求されるようになっている。；ティコはより精密な観測がより正確な予測を行うための鍵であると認識した。；現代の窯はコンピュータ制御が可能で、焼成の精密な制御が可能である。；この装置の原理は精密な計測を必要とするその後の研究者に広く使われた。；詳細な敵潜水艦位置の測定や精密な誘導を必要としないという特徴を持つ。；特に背景では精密度の高い電柱の作画で業界とファンたちの注目を集めた。；最近の研究では、相変化の精密なコンピュータモデルが着目されている。；精密な石器・骨器などの道具を製作し、優れた洞窟壁画や彫刻を残した。；この原理は電子天秤など精密に物体の重さを測る装置にも使われている。；しかし、コストダウンのため海外で精密部品を生産することが主流である。；工作機械が登場する以前は相対的に精密な小型部品を作るのに使われていた。；歳差および章動は木下宙によって1977年に精密な理論が構築された。；精密な成型物を求められる場合には、しばしば真空注型法が用いられる。；火山の周辺では周期別にいくつかの種類の精密な地震計を設置して観測を行う。；得られた構造モデルのRという値が十分低下するまで精密化する必要がある。；あまり精密な結果を出さない方が良い場合などに用いられる。；従ってそのエネルギーも測定時間に関係なく精密測定ができる。；実験の精密さを求めないのであれば、割り箸などでも代用可能である。；精密な変光星観測を行った最初の観測者であり、変光星命名法をきめた。；また、衝突点を精密にするための誘導コイルなどの高磁場化が必要である。</t>
        </is>
      </c>
      <c r="J4567">
        <f>HYPERLINK("https://www.weblio.jp/content/精密", "词义详情")</f>
        <v/>
      </c>
      <c r="K4567">
        <f>HYPERLINK("https://yourei.jp/精密", "查看例句")</f>
        <v/>
      </c>
    </row>
    <row r="4568">
      <c r="A4568" t="inlineStr">
        <is>
          <t>税務署</t>
        </is>
      </c>
      <c r="B4568" t="inlineStr">
        <is>
          <t>成功</t>
        </is>
      </c>
      <c r="C4568" t="inlineStr">
        <is>
          <t>読み方：ぜいむしょ
国税庁の地方支分部局である国税局の出先機関。内国税の賦課・徴収に関する事務を行う。</t>
        </is>
      </c>
      <c r="D4568" t="inlineStr">
        <is>
          <t>税務署員(8%)；税務署職員；税務署等；税務署管内；税務署属</t>
        </is>
      </c>
      <c r="F4568" t="inlineStr">
        <is>
          <t>各税務署；北税務署；麻布税務署；元税務署</t>
        </is>
      </c>
      <c r="G4568" t="inlineStr">
        <is>
          <t>税務署通り</t>
        </is>
      </c>
      <c r="H4568" t="n">
        <v>29</v>
      </c>
      <c r="I4568" t="inlineStr">
        <is>
          <t>あたしのところへ税務署の役人が来たときに、あたしはよくいうんですよ。；その収入の源は、税務署がどんなに調査して見ても発見出来なかった。；彼の自慢は、税務署では評価しにくい財産を、所有していることだった。；あの人がわれわれの疑いを、犠牲になった税務署員の遺族へと誘導した。；億単位の金を桜建物に出資しているとわかったら、税務署が眼をつける。；もし税務署がみつけたら、これは何だろうと首をひねることになります。；ただし税務署とのトラブルを避けるためにも帳簿はつけるべきである。；いったい税務署は議員たちの申告をなんだと思っているんだろう。；だが、これの納付には日本の税務署のように温情があるわけではない。；税務署の人との雑談で話題にしたが、はっきりした説明はなかった。；プロジェクトチームの調査は、税務署の調査並みに厳しいものがあった。；さらに、どんな木をどんな値段で売ったか、税務署にもわかるはずがない。；税務署は、海岸から稚内公園に向って進み、右に折れた方向のはずだった。；税務署から脱税の容疑で捜査への協力依頼があれば、警察も動きはじめる。；目標とする稚内税務署が、街のどのあたりにあるかだけは、知っているのだ。；資産評価官、税務署、都市圏計画委員会は市と郡の合同で行われている。；関係する機関は多方面にわたり、真珠に至っては税務署などが関与する。；手狭であったため、地方合同庁舎内にも税務署庁舎が間借りをしていた。；税務署では、弁護士や医師と文筆家を並べて一つカテゴリーに入れている。；男は、仕方がないので、考えながら、税務署の方向に向って、歩き出した。；あの晩、税務署から三人行ったのは事実の調査に行ったので詫びに行ったんじゃない。；気をつけなければならないのは税務署くらいのものだ。；その晩、四谷税務署から課長さんとも一人の方が本人を連れて詫びに来ました。；税務署職員であった父が勤務していた愛媛県松山市に生まれる。；裏の金なら税務署に足がつく銀行の口座になどいれるはずがない。；以前、税務署の人間が来た時、トミさんがそんなふうにしていたのだ。；それらの破片は各地の税務署となり、彼女の性器の部分は国税庁となった。；税務署もゴッホ辺りだと高くても当然だろうと簡単に認める。；そこでそれを払わない限りは、税務署はあの家を差押える権利がある。</t>
        </is>
      </c>
      <c r="J4568">
        <f>HYPERLINK("https://www.weblio.jp/content/税務署", "词义详情")</f>
        <v/>
      </c>
      <c r="K4568">
        <f>HYPERLINK("https://yourei.jp/税務署", "查看例句")</f>
        <v/>
      </c>
    </row>
    <row r="4569">
      <c r="A4569" t="inlineStr">
        <is>
          <t>生命</t>
        </is>
      </c>
      <c r="B4569" t="inlineStr">
        <is>
          <t>成功</t>
        </is>
      </c>
      <c r="C4569" t="inlineStr">
        <is>
          <t>読み方：せいめい
１生物が生物でありつづける根源。いのち。「—の危険を冒す」「尊い—を犠牲にする」
２ある方面で活躍しつづけることができる根源。「政治—」
３人や物事がよりどころとするもの、また、それなしには価値がなくなるもの。いのち。「車の—はエンジンにある」</t>
        </is>
      </c>
      <c r="D4569" t="inlineStr">
        <is>
          <t>生命現象；生命そのもの；生命エネルギー；生命感；生命形態</t>
        </is>
      </c>
      <c r="E4569" t="inlineStr">
        <is>
          <t>命；生；生物；生き物；ライフ</t>
        </is>
      </c>
      <c r="F4569" t="inlineStr">
        <is>
          <t>知的生命；若い生命；あらゆる生命；新たな生命；わが生命</t>
        </is>
      </c>
      <c r="G4569" t="inlineStr">
        <is>
          <t>生命力；生命保険；生命科学；生命保険会社；生命維持</t>
        </is>
      </c>
      <c r="H4569" t="n">
        <v>29</v>
      </c>
      <c r="I4569" t="inlineStr">
        <is>
          <t>ただし、不特定または多数人の生命・身体・財産であるとする説もある。；特に、実際なら生命に関わるような失敗をしても許される点は重要である。；地球上の生命は、およそ37億年前には存在していたという証拠がある。；彼は生命あるものすべてには、生きようとする意志が見出されるとする。；火星の過去の居住性や現存する生命の可能性を評価する調査が行われている。；当然ながら標的の生命反応の有無を確認するセンサーも搭載されている。；地球上の生命の化学成分を分析すると、炭素を中心にしたものであった。；それでも、この新生気論は20世紀前半の各国の生命論に影響を与えた。；しかし、生命の定義で常にこれらの特徴が必須とされるわけではない。；直接人間の生命を脅かしたりしない場合でも、事故と呼ばれる場合がある。；死食が起こった時、その年に生まれた全ての生命が死に絶えてしまう。；このことは環境さえ適切ならば生命の発生は比較的容易であることを示唆している。；自身が監督したゴジラシリーズでは、人間の生命をテーマとしている。；これはエウロパにおける生命の居住可能性を決める上で重要な要素である。；衆生と生命でない物質との境は、ある存在が識を持つか否かで区別される。；太陽系内においても、火星には生命が存在する可能性が指摘されている。；つまり基本的な生命現象は進化的に保存されていると言える。；このような熱水活動は、生命の存在可能性と関係していることが期待される。；光が生命の躍動に満ちた生であり存在なら、闇は死であり無である。；我々地球上生命の形態は、地球の環境に適応して進化を遂げた結果である。；生命を定義することが難しいのと同様に、死を定義することも困難な問題である。；術後には合併症も生じ一時は足の切断や生命の危機の可能性もあった。；自分自身すらわからない自分が、生命のことがわかるわけないやんけ!；ガニメデの海での生命の居住可能性については、いくつかの推論がある。；彼らは自身の宗教を保持することが許され、生命権や財産権も保障される。；春に行われる理由は、「新しい生命の誕生」をも意味するからである。；居住性、特に高度な生命が生息可能な環境には低い軌道離心率が必要である。；その後一時は意識が回復し生命の危機を脱したという報道もあった。；被拐取者の身体の自由と安全、すなわち生命も保護法益とする説もある。</t>
        </is>
      </c>
      <c r="J4569">
        <f>HYPERLINK("https://www.weblio.jp/content/生命", "词义详情")</f>
        <v/>
      </c>
      <c r="K4569">
        <f>HYPERLINK("https://yourei.jp/生命", "查看例句")</f>
        <v/>
      </c>
    </row>
    <row r="4570">
      <c r="A4570" t="inlineStr">
        <is>
          <t>声明</t>
        </is>
      </c>
      <c r="B4570" t="inlineStr">
        <is>
          <t>成功</t>
        </is>
      </c>
      <c r="C4570" t="inlineStr">
        <is>
          <t>読み方：しょうみょう
《(梵)śabda-vidyāの訳》
１古代インドの五明(ごみょう)の一。文字・音韻・語法などを研究する学問。
２仏教の経文を朗唱する声楽の総称。インドに起こり、中国を経て日本に伝来した。法要儀式に応じて種々の別を生じ、また宗派によってその歌唱法が相違するが、天台声明と真言声明とがその母体となっている。声明の曲節は平曲・謡曲・浄瑠璃・浪花節(なにわぶし)・民謡などに大きな影響を与えた。梵唄(ぼんばい)。</t>
        </is>
      </c>
      <c r="D4570" t="inlineStr">
        <is>
          <t>声明書(2%)；声明発表；声明文；声明を出さ</t>
        </is>
      </c>
      <c r="E4570" t="inlineStr">
        <is>
          <t>話；言葉；発表；話し；言</t>
        </is>
      </c>
      <c r="F4570" t="inlineStr">
        <is>
          <t>非難声明；反対声明；謝罪声明；議長声明；会長声明</t>
        </is>
      </c>
      <c r="H4570" t="n">
        <v>29</v>
      </c>
      <c r="I4570" t="inlineStr">
        <is>
          <t>またこの声明の中で、戦犯裁判は被害国が行うという原則が確認された。；日本の声明は陰陽五行説に基づいた中国の音楽理論が基礎となっている。；メンバーたちは次のような声明文をオフィシャル・サイト上に掲げている。；合意後にも声明を発表し、分析後に路線の調整を行う旨を明らかにしている。；書簡では式典当日に劉暁波を支持する声明を発表しないようにも求めた。；そのため、政府もその報道された内容が政府案と異なるとする声明を発表した。；更にヒエタラは声明の中で、公の場からも引退することをも表明した。；シャネル社は声明を発表し、その一部は複数のメディアで公表された。；しかしチャーノが帰国すると、ムッソリーニは次のような声明を出した。；大統領声明後の日本での混乱した動きは以下の通りである。；ビデオ声明によるとスペイン政府と和平交渉再開の用意があると述べた。；抑圧されていた人々はラージンの声明に飛びついて反乱に加わっていった。；実刑判決は避けたものの、本人は政治的な弾圧であると声明している。；第一次世界大戦勃発直前の1914年7月、戦争に反対する声明を発表。；声明によると、バンドは新しいことを始める時期がきたということ。；は、マイクロソフトとのすべての買収協議が終了したと声明を出した。；劇場の理事会は運営を早急に統一する必要があるという声明を出した。；前の声明とは異なり、選挙に勝ったのは自分だという主張をすることはなかった。；仕事の面での付き合いは継続してゆくとの声明を発している。；ドメネクが解任された場合は代表復帰するという声明も発表している。；残されたメンバーはドゥギー・ホワイトを後任に迎える声明を出した。；報道機関ではオトゥンバエヴァの声明を独自に確認することはできなかった。；アメリカのブッシュ大統領が爆破テロ事件に関する声明を発表している。；実際に改名反対の声明を出した団体もあるという。；なお反ターリバーン組織は「まだ戦いは続いている」との声明を発表している。；町中がお祭りとなり、アダムズはイギリス商人達の努力に感謝の声明を発した。；声明によれば新たな指導者に、アブー・ムハンマド・アワドを指名したとされる。；また、石田もその事実を認めた声明を出したため大きく報じられた。；内閣官房長官は、即日、下山が他殺されたのではないかとの声明を出した。</t>
        </is>
      </c>
      <c r="J4570">
        <f>HYPERLINK("https://www.weblio.jp/content/声明", "词义详情")</f>
        <v/>
      </c>
      <c r="K4570">
        <f>HYPERLINK("https://yourei.jp/声明", "查看例句")</f>
        <v/>
      </c>
    </row>
    <row r="4571">
      <c r="A4571" t="inlineStr">
        <is>
          <t>姓名</t>
        </is>
      </c>
      <c r="B4571" t="inlineStr">
        <is>
          <t>成功</t>
        </is>
      </c>
      <c r="C4571" t="inlineStr">
        <is>
          <t>読み方：せいめい
名字と名前。氏名。</t>
        </is>
      </c>
      <c r="D4571" t="inlineStr">
        <is>
          <t>姓名不詳；姓名学；姓名録；姓名申告；姓名表記</t>
        </is>
      </c>
      <c r="E4571" t="inlineStr">
        <is>
          <t>名；名前；名称；呼称；称号</t>
        </is>
      </c>
      <c r="F4571" t="inlineStr">
        <is>
          <t>住所姓名；正式な姓名；御姓名；身分姓名；百姓名</t>
        </is>
      </c>
      <c r="H4571" t="n">
        <v>29</v>
      </c>
      <c r="I4571" t="inlineStr">
        <is>
          <t>この女性たちの中で姓名などを記されている人物は、以下の通りである。；短い姓、短い名が主流であり、人の名前を呼ぶときは姓名を一緒に呼ぶ。；門札には叔父の名はなくなって、知らない他人の姓名が掲げられていた。；その立札に記されている名は、後の門の表札に記されている姓名である。；某の女と結婚したとあるだけで、ここではその父親の姓名が書かれている。；また、黒人やE式の姓名を持つ人物などが混在しているのも特徴である。；弥次右衛門はその生国や姓名を訊いたが、彼は頭を振って答えなかった。；思いもよらぬその木箱に、川手氏自身の姓名が記されていたからである。；被害者の住所姓名のわかったのも、この手紙のおかげなんですからね。；メンバーの姓名には、宝塚歌劇団の組の名がそれぞれ組み込まれている。；さらに十二月には村田蔵六も姓名を変更するようにとの藩命を受けた。；姓名学などにこって考えていったら、きっと最後はごちゃごちゃになる。；代診らしいのがペンを手にして型の如く姓名宿所から容態を尋ね始めた。；生まれた土地・姓名・年齢そろってわかっている者はひとりもない。；あなたは私の姓名をご承知ですが、私はあなたのご姓名を承知いたしません。；清太の父は姓名が設定されていないため、生きているのではないかとも言える。；姓名は作中でルビや読みが書かれている者のみ、読みがなを記している。；結婚前の姓名はカロリーナ・エルジュビェタ・イヴァノフスカといった。；はじめから、この姓名を捜していたのだというような気さえして来た。；同時に殺された張胤は、ひと月ほど前から自分の姓名を呼ぶ者があります。；右六の者は充分心を尽して其住所姓名年齢行跡等、詳に記載し置く可し。；住所と姓名だけ、その他は一切、聞かないでくれ、と、彼は言っていた。；また、歴史的には、ハンガリー語の姓名とドイツ語の姓名を有していた。；送られてきた万年筆の軸には、孫娘の姓名が金色で刻みつけられていた。；将校の墓石は姓名の前に所属と最終階級が掘られていることもある。；それはヨメさんに昔の身分姓名を絶対に打ちあけるな、という一条です。；この九人の中姓名の判明している人で最高齢であったのは竹渓である。；結婚した男性と女性は通常結婚前の姓名を維持し、子供は父親の姓を受け継ぐ。；姓名や階級を聞いて書き込む第一の机には、英語の出来る日本人が坐っていた。</t>
        </is>
      </c>
      <c r="J4571">
        <f>HYPERLINK("https://www.weblio.jp/content/姓名", "词义详情")</f>
        <v/>
      </c>
      <c r="K4571">
        <f>HYPERLINK("https://yourei.jp/姓名", "查看例句")</f>
        <v/>
      </c>
    </row>
    <row r="4572">
      <c r="A4572" t="inlineStr">
        <is>
          <t>正門</t>
        </is>
      </c>
      <c r="B4572" t="inlineStr">
        <is>
          <t>成功</t>
        </is>
      </c>
      <c r="C4572" t="inlineStr">
        <is>
          <t>読み方：せいもん
正面の門。表門。</t>
        </is>
      </c>
      <c r="D4572" t="inlineStr">
        <is>
          <t>正門前(12%)；正門付近；正門近く；正門脇；正門側</t>
        </is>
      </c>
      <c r="F4572" t="inlineStr">
        <is>
          <t>工場正門；学校正門；キャンパス正門；旧正門；正門まえ</t>
        </is>
      </c>
      <c r="G4572" t="inlineStr">
        <is>
          <t>正門駅</t>
        </is>
      </c>
      <c r="H4572" t="n">
        <v>29</v>
      </c>
      <c r="I4572" t="inlineStr">
        <is>
          <t>ほかよりも出入りする人間が大勢いるので正門を当たってみることにした。；駅の敷地とは隣接していてとても近いが、駅の入口は正門からはやや遠い。；正門は藩校の明倫館だった頃に使用されていた門を移築したものである。；移転先の校舎内には移転前の城下に存在した本校の正門が展示してある。；指導教師は正門から帰って来るのだから見えると思っておりました。；二人の友達は正門から外へ出ると、守衛所までぶらぶら歩いてもどった。；正門の所で三四郎は具合が悪いから今日は学校を休むと云ひ出した。；美術館正門は当時の山門がそのまま残っているとされるが、実際は違う。；小机の住宅地の中にある丘に立地し、正門までの道は急坂になっている。；正門を入って並木道を抜けた所にある中央ロータリーの木に点火される。；男子はいつも正門から出入りすべきものぞとは私の小さい時から守ってきた言葉。；正門まえにとまった馬車は、四頭立てで、屋根の席に乗客がのっている。；その場合はその面の南側が正門であり、それを南門と呼ぶことがある。；正門のわきにカワサキをとめ、サビが出ている部分をぼくは調べていた。；スピードを落とす気配もない車の向こうで正門のゲートがサッと開いた。；正門の所で三四郎はぐあいが悪いからきょうは学校を休むと言い出した。；また正門を少し入ったところに戦闘で亡くなった兵士たちの慰霊碑がある。；また正門の正面にはクスノキが植えられており、シンボル視されている。；広島大学では、職員を増やして正門の外にも配置するなど警備を強化した。；なお、工事は現在終了しており、新しくできた正門も普段通りに使用できる。；この間、正門は工事関係の車が出入りするため生徒の出入りは不可となった。；宮殿の正門にむかってつづいている高い階段の上に、皇帝の一門がたっていた。；すなわち、CとAが正門で最初に顔を合わせたのは13時3分頃である。；「もう一度眠るつもりらしいや」 トムは正門のほうへ運転して行った。；正門の鉄のとびらの前まで来たとき、ラルサンが私たちを引きとめた。；兄さんは、いま住んでいるところと大通りに面した正門をおとりになる。；室町通に面して正門が設けられたことから室町殿、室町第とも呼ばれた。；保福寺の正門前に説明板、裏手に沼城址の碑と説明板が建てられている。；無数の男たちの叫び声と共に、正門がゆっくりと崩壊していったのだ。</t>
        </is>
      </c>
      <c r="J4572">
        <f>HYPERLINK("https://www.weblio.jp/content/正門", "词义详情")</f>
        <v/>
      </c>
      <c r="K4572">
        <f>HYPERLINK("https://yourei.jp/正門", "查看例句")</f>
        <v/>
      </c>
    </row>
    <row r="4573">
      <c r="A4573" t="inlineStr">
        <is>
          <t>成約</t>
        </is>
      </c>
      <c r="B4573" t="inlineStr">
        <is>
          <t>成功</t>
        </is>
      </c>
      <c r="C4573" t="inlineStr">
        <is>
          <t>読み方：せいやく
［名］(スル)契約が成り立つこと。また、成り立った契約。「ようやく一件—する」</t>
        </is>
      </c>
      <c r="D4573" t="inlineStr">
        <is>
          <t>成約率(16%)</t>
        </is>
      </c>
      <c r="H4573" t="n">
        <v>29</v>
      </c>
      <c r="I4573" t="inlineStr">
        <is>
          <t>この宣言の前が「新約の時代」、以降が「成約の時代」であるとされる。；掲載から成約するまでは一切費用がかからず、成約したのちに初めて費用が発生する。；各石油会社から同じような石油買い付けの成約または有望な話がいくつか報告された。；マーケティング施策が最終的な営業成約率を向上させる影響を計数化し計測しなければならない。；最後の成約交渉に入ると合意可能な諸条件を文章としてまとめ、その文言について相互に検討する。；電子商取引で重要になるのはアクセス数と成約率である。；海外へのセールスも試みられたが、成約はなかった。；成約ビルの概要および主な入居団体は下記のとおり。；考えてもみろよ、屋根だ壁だってやるとなったら数十万の金が必要な買い物だぜ、飛び込みでいったいどれだけ成約が取れると思う?；なお、試合後の控室で先日提示した条件の内容は不明のままであるが、条件は成約したことがKENTAの口から告げられた。；また、成約率が高いのも特徴の一つ。；一月後半以後、日本の輸出はほとんどゼロとなり、二月中の輸出成約高はわずか一億三千万ドルだった。；この付近の城主は趙に服すことをすでに成約している。；一般的には成約額の一定割合を手数料とするが、事前に一定額を定めておいて成約後に受け取る方法もある。；しかしこの人数は最終成約人数ではないため、渡したリストの中で何名が最終契約まで至ったかなど、最終成約・最終成果に至るまでの「質」もまた、何らかの指標をもって計測することが望ましい。；同年、ATASシステムは、台湾に対して初の成約を獲得した。；これは清朝が原則として漢人による台湾原住民からの土地購入を認めていないためその保護が受けられないために、「洗」契約は一般的な事例となり多くの成約が確認されている。；しかし2010年現在成約はなく、より小型だが先進的なゲパルト型フリゲートやステレグシュチイ級コルベットが市場に提示されていることから、輸出が実現する見込みは小さいものとみられている。；先進ヨーロッパジェット操縦士訓練計画の候補に位置づけられたものの、機体構造の問題を指摘され脱落し、成約が得られない状況が続いた。；成約プロジェクト数は 250 件を超え、累計成約額は 80 億円に到達。；街の電器屋さんでは年に数回、地区ごとに展示会を開催して旬の電化製品を通常期より大幅に安い価格で提供しているほか、来場記念品や成約記念品も用意している。；音素配列論上の成約によって、*r は語腹にしか出現できない。；入力フォームを最適化することにより、途中離脱者が減り成約率向上に直結する。；また、映画界全体での興行成績の低下により予算的な成約が多くなり、円谷からも「合成はあまりやるな」と言われていた。；今後中小企業でも広くM&amp;Aを普及させることを目的とし、事業を継承してもらいたい方と、事業を受継ぎ、継続・発展させたい方の双方が友好的に成約する環境を整備することを活動の使命としている。；営業成約率の向上に力点を置くソフトウェアとしては、CRMから同様に派生した営業支援システムの管理を行うことで営業効率を極大化することを目的としている。；また、現在の規定で成約状態である場合は、原則月1回の更新が会員各社に義務付けられたため、ここから得られる信用情報は、精度が高いとされる。；各項において双方間で了承が得られた場合、成約となる。；商談機会創出とは顧客と営業を結びつける設定を作り出す役割であり、提案や成約は外勤営業担当が行う。</t>
        </is>
      </c>
      <c r="J4573">
        <f>HYPERLINK("https://www.weblio.jp/content/成約", "词义详情")</f>
        <v/>
      </c>
      <c r="K4573">
        <f>HYPERLINK("https://yourei.jp/成約", "查看例句")</f>
        <v/>
      </c>
    </row>
    <row r="4574">
      <c r="A4574" t="inlineStr">
        <is>
          <t>制約</t>
        </is>
      </c>
      <c r="B4574" t="inlineStr">
        <is>
          <t>成功</t>
        </is>
      </c>
      <c r="C4574" t="inlineStr">
        <is>
          <t>読み方：せいやく
［名］(スル)ある条件や枠をもうけて、自由な活動や物事の成立をおさえつけること。また、その条件や枠。「法律上の—を受ける」「時間に—される」
→制限［用法］</t>
        </is>
      </c>
      <c r="D4574" t="inlineStr">
        <is>
          <t>制約される(3%)；制約条件(2%)；制約上；制約事項；制約付き</t>
        </is>
      </c>
      <c r="E4574" t="inlineStr">
        <is>
          <t>制限；制御；限定；規制；限界</t>
        </is>
      </c>
      <c r="F4574" t="inlineStr">
        <is>
          <t>大きな制約；厳しい制約；さまざまな制約；無制約；大きく制約</t>
        </is>
      </c>
      <c r="G4574" t="inlineStr">
        <is>
          <t>制約論理プログラミング；制約充足問題；制約条件の理論；制約理論；制約論理プログラミング言語</t>
        </is>
      </c>
      <c r="H4574" t="n">
        <v>29</v>
      </c>
      <c r="I4574" t="inlineStr">
        <is>
          <t>また大統領は何の制約も受けない大統領令を自由に出すことができた。；従ってこの実身数制約を拡張するためには、再設計と実装が必要である。；この制約はすでに確かめられているが、取り得る値は決定できていない。；この制約の有効性はプログラム著作者の著作権によって保証されている。；また試合中継時間に制約がないことから徐々に契約者を増やしていった。；国家保護と制約から解放されるにつれ、伎楽は様々に形を変えていった。；これは番組構成上、収録や編集や番組進行に時間制約があったためであった。；ところがすぐに機能面でもパフォーマンスでも制約の多さが目につき始めた。；また、車端部には移動制約者対応として車椅子スペースを整備している。；地形上の制約のため待避設備がなく、可動式ホーム柵が設置されている。；多くの念系統を十二分に発揮できるが、念以上の制約や誓約が必要とされる。；この制約がどの程度実際の進化に影響するかについては議論がある。；なおインタークーラーはスペースやレイアウトの制約から非搭載である。；しかしそれらは当時のハードウェアの制約上内容が貧弱なことが多かった。；これは画家の方が制作に対して制約が少なく、格が上であるとの思想から。；これは地形上の制約のほかに、浜名湖の眺望性を考慮した結果である。；ステータス異常に冒されると行動が制限されてしまうなどの制約を受ける。；そのために収録の時は、二人以上の声が同時に重なってはいけない制約がある。；その他のゲームでは、使用の際に何らかの制約がある場合が多い。；また、日本に多い山間の集落は地形の制約から小ゾーンとなることが多い。；なおこの時点では場所の制約もあり資料展示だけで車両の展示までは行なっていない。；など、その国の地理性や隣接する国によって国家の行動は制約される。；利用する物理現象の制約を超えた通信を行うことは不可能である。；この条文は日米英のみで締結されており、他の国は制約を受けることはなかった。；予算の制約から着ぐるみは過去のシリーズに登場した怪獣を改造した物が多い。；立直を宣言した後、そのプレイヤーには次のような制約が課せられる。；不良設定問題は、何らかの制約条件を設けなければ解くことができない。；球団会長は功績を評価しながらも「年齢面の制約を感じた」とその理由を挙げた。；一方で制約のない巡回セールスマン問題の直接の応用事例は無いと言ってもよい。</t>
        </is>
      </c>
      <c r="J4574">
        <f>HYPERLINK("https://www.weblio.jp/content/制約", "词义详情")</f>
        <v/>
      </c>
      <c r="K4574">
        <f>HYPERLINK("https://yourei.jp/制約", "查看例句")</f>
        <v/>
      </c>
    </row>
    <row r="4575">
      <c r="A4575" t="inlineStr">
        <is>
          <t>声優</t>
        </is>
      </c>
      <c r="B4575" t="inlineStr">
        <is>
          <t>成功</t>
        </is>
      </c>
      <c r="C4575" t="inlineStr">
        <is>
          <t>読み方：せいゆう
声だけで出演する俳優。アニメーションやテレビゲームなどのキャラクターの声を担当したり、外国映画の吹き替えなどを行う。</t>
        </is>
      </c>
      <c r="D4575" t="inlineStr">
        <is>
          <t>声優デビュー；声優養成所；声優活動；声優名；声優科</t>
        </is>
      </c>
      <c r="F4575" t="inlineStr">
        <is>
          <t>ゲスト声優；同じ声優；元声優；所属声優；担当する声優</t>
        </is>
      </c>
      <c r="G4575" t="inlineStr">
        <is>
          <t>声優業；声優ユニット；声優事務所；声優アワード；声優さん</t>
        </is>
      </c>
      <c r="H4575" t="n">
        <v>29</v>
      </c>
      <c r="I4575" t="inlineStr">
        <is>
          <t>この経験から声優は声よりも演技が重要だと考えるようになったという。；アニメや洋画の吹き替えなどに声だけで出演する俳優は声優と称される。；そのことが声の仕事をするきっかけになり、28歳で声優デビューする。；特に美少女ゲームの声優は動きを出す技術が必要でそれがすごく難しい。；しかし生活が苦しく、父から声優の仕事を紹介され、現在に至っている。；以後、舞台にも出演しながら、声優として様々なアニメに出演している。；また本作は声優がキャラクター名義で多数の楽曲をリリースした。；谷山紀章が声優になる影響を与えた人物の一人に古川の名前を挙げている。；声優として活動するきっかけになった吹き替えには、多くの作品に出演。；出演した声優はマニアの間で「がっちゅ系声優」と呼ばれることがある。；春川芽生もニコモになって所属した事務所内で後に声優部へ移動している。；キャステングの多くは本業の声優ではなく俳優が担当していることが多い。；また、インターネット放送などで声優関連企画の講師を務めたこともある。；この時点ではまだ声優個人としての日本俳優連合への加盟はできない。；メタルギアの声優候補には小山茉美の他にTARAKOが上がっていた。；主人公健太役の堀川亮は本作で主演での声優デビューを果たしている。；ただし、声優の総入れ替えを理由に降板した作品については記載しない。；小学校高学年くらいに漠然と将来はアナウンサーか声優と考えていた。；各キャラクターの声優には、本業の声優ではない俳優が起用された。；デビュー年は不明だが、声優としての経歴は1990年以降からである。；これら個性的な声優陣によって作品の雰囲気に統一感が与えられた。；これを機に、以後多くのアニメ・吹き替えなどで声優として活躍した。；他分野中心の芸能プロダクションが声優部門に力を入れるようになる例も見られる。；制作陣はテレビアニメ版と一部同じだが、火の鳥の声優は代わっている。；続投したキャラクターは一部を除き声優の大幅な刷新が施されている。；みらい役の吉田理保子は声優を引退しているため、声は付いていない。；また、アニメ『こどものおもちゃ』の声優を担当したことでも知られる。；さらにこれに基づくアニメシリーズでは声優を務める予定である。；従ってこの作品が、声優としての出演ではあるが、地井の遺作となった。</t>
        </is>
      </c>
      <c r="J4575">
        <f>HYPERLINK("https://www.weblio.jp/content/声優", "词义详情")</f>
        <v/>
      </c>
      <c r="K4575">
        <f>HYPERLINK("https://yourei.jp/声優", "查看例句")</f>
        <v/>
      </c>
    </row>
    <row r="4576">
      <c r="A4576" t="inlineStr">
        <is>
          <t>西洋</t>
        </is>
      </c>
      <c r="B4576" t="inlineStr">
        <is>
          <t>成功</t>
        </is>
      </c>
      <c r="C4576" t="inlineStr">
        <is>
          <t>読み方：せいよう
日本や中国などから欧米の諸国をさしていう語。欧米。泰西。</t>
        </is>
      </c>
      <c r="D4576" t="inlineStr">
        <is>
          <t>西洋風(4%)；西洋的(2%)；西洋建築；西洋流；西洋菓子</t>
        </is>
      </c>
      <c r="F4576" t="inlineStr">
        <is>
          <t>西洋砲術；西洋語；西洋料理屋；西洋史学科；西洋種</t>
        </is>
      </c>
      <c r="G4576" t="inlineStr">
        <is>
          <t>西洋音楽；西洋料理；西洋医学；西洋館；西洋文化</t>
        </is>
      </c>
      <c r="H4576" t="n">
        <v>29</v>
      </c>
      <c r="I4576" t="inlineStr">
        <is>
          <t>以前には英語などの西洋言語では Quelpartとも呼ばれていた。；つまり費用に関して日本と西洋とは異なった会計概念が採用されていた。；西洋楽器以外の楽器ではむしろ積極的に利用されていることが多い。；また、スタインベックの多くの作品は西洋文学の古典と考えられている。；本項では、後者の日本で独自に発展した西洋風の料理について記述する。；西洋の文学では、男性が男性に恋する気持ちも表現されてきた歴史がある。；日本に西洋からベッドが導入されるようになったのは明治時代のことである。；あるいは彼ら日本人を経由して、西洋の文明観の影響も受けていた。；西洋中世に何度も大流行したペストの際にも、ペスト除けに利用された。；西洋ではワインに相当する言葉が総称として用いられることがある。；より古い楽器や西洋以外の擦弦楽器の弓はC字形をしているものが多い。；西洋での産業革命期には、締結用のねじが大量に生産されるようになった。；日本におけるインテリアの概念は西洋のそれとは大きく異なっていた。；全く同じ家紋を別の家系が用いることがないのは西洋の紋章と同様である。；私は西洋の言葉でこれを表現するのは適さないということを認めるものです。；ゆえに、西洋でむやみにこれを使うと人間関係が破壊されることもある。；思考を促すような西洋の小説が続々とロシア語に翻訳されるようになった。；西洋の方法での予測が的中し見える位置、時刻ともに正確であった。；こうした西洋の言語と漢語・日本語の用法の違い等は、プリンスを参照。；当時の人々が西洋的な旋律になじめなかったこともあって普及せず。；彼らはこのような非西洋の音楽スタイルを取り入れて自作を発表したりもしている。；和算には文化的相違より、西洋数学からみると変わった概念も多くあった。；最初にチャイナドレスを着用した者は西洋の教育を受けた上海の女学生達。；それよりも多いのが、西洋の言語を経由して借用された語である。；この時代の西洋にはオーケストラは存在しないと言われている。；その後西洋列強からも不平等条約の締結を迫られ開国を余儀なくされた。；割れてしまうので、西洋打楽器のように鋭い打撃は用いることが出来ない。；西洋の博物学の歴史のなかでは、どのような分類が正しいのかが検討され続けた。；なお、しゃがみこみ式は日本独自のものではなく西洋を含めた各国に存在する。</t>
        </is>
      </c>
      <c r="J4576">
        <f>HYPERLINK("https://www.weblio.jp/content/西洋", "词义详情")</f>
        <v/>
      </c>
      <c r="K4576">
        <f>HYPERLINK("https://yourei.jp/西洋", "查看例句")</f>
        <v/>
      </c>
    </row>
    <row r="4577">
      <c r="A4577" t="inlineStr">
        <is>
          <t>生理</t>
        </is>
      </c>
      <c r="B4577" t="inlineStr">
        <is>
          <t>成功</t>
        </is>
      </c>
      <c r="C4577" t="inlineStr">
        <is>
          <t>読み方：せいり
１生物体が生きているために起こるさまざまなからだの現象や、生きていくためのからだの機能。呼吸・消化・排泄(はいせつ)・血液循環・体温調節・代謝などの働き。または、その仕組み。
２月経。
３くらし。世すぎ。生活。
「専ら嬉遊を好み、—を務めず礼譲甚だ薄く」〈航米日録・一〉</t>
        </is>
      </c>
      <c r="D4577" t="inlineStr">
        <is>
          <t>生理的(23%)；生理機能(5%)；生理作用(5%)；生理中(2%)；生理上</t>
        </is>
      </c>
      <c r="E4577" t="inlineStr">
        <is>
          <t>あれ；月経；メンス；下り物；月の物</t>
        </is>
      </c>
      <c r="F4577" t="inlineStr">
        <is>
          <t>生理化学；生理ナプキン；神経生理；生理用；植物生理</t>
        </is>
      </c>
      <c r="G4577" t="inlineStr">
        <is>
          <t>生理的；生理学者；生理活性；生理用品；生理食塩水</t>
        </is>
      </c>
      <c r="H4577" t="n">
        <v>29</v>
      </c>
      <c r="I4577" t="inlineStr">
        <is>
          <t>さういふ生理が心理のほかのひとつの心を持つてゐるとは思はないかね。；同時にこれが彼の生理状態を観察する一つの方法でもあるはずだった。；その生理のお時間がすんでから、私はお友達と議論をしてしまいました。；今日娯楽といわれるものの持っている唯一の意義は生理的なものである。；生理的なレベルのものから、社会的・愛他的な高次なものまで含まれる。；呼吸もしなくなり、すべての生理から解放されて俺たちと同じ存在になる。；前の2人の被害者と同様に、ヘレンも殺害されたときには生理中だった。；人が摂取すると興奮が連続して伝えられ続け神経生理機能に障害を与える。；次の生理がいつ来るはずだったのかすでにわからなくなっていた。；他のものすなわちアミノ基は他の生理的な物質から得ることができる。；今日娯樂といはれるものの持つてゐる唯一の意義は生理的なものである。；医学は人間の生理を健康な状態にしようと努力する学問であるともいえます。；生理があったのはその前だったと、ふたりの意見が一致したからだ。；生理の時は膣内の粘膜が非常に敏感となるため使用は推奨されていない。；小林の言葉で云へば、私の「生理の秘密」が、詩に向いてゐたのである。；生理状態は殆んど苦にする暇のない位、一つ事をぐるぐる回って考えた。；しかしそれは強い秋の光線を直下に受ける生理作用の結果とも解釈された。；彼女の場合、生理とアレルギーがかさなったら一日ベッドを出られない。；あまりに異質な匂いだったので、人間の生理も反応できなかったのだ。；これはいわゆる「美声」とは違うので、生理的な条件とそう関係はない。；症状は生理的なものと神経的なものが現れ、最終的には死に至る。；人生全体の生理を私たちはもっと知らなければならないと思う。；ところがその次の月の生理がなかなか来ないのであたしはあせった。；それは、妻の生理の偶然ではなく、私たち共同の意志によるものであった。；生理中のときでも、ひどい痛みが伴った性病にかかったときも強制された。；cis型イソプレノイドにも重要な生理機能を有するものが含まれている。；味覚や言語などの生理機能は、心の機能が基礎となっていると考えられている。；このまま、また次の生理まで不安な気持で暮らすのは、なんだか嫌だった。；だが、頭でいくらそう考えても、生理的な拒絶反応が出てしまうのだ。</t>
        </is>
      </c>
      <c r="J4577">
        <f>HYPERLINK("https://www.weblio.jp/content/生理", "词义详情")</f>
        <v/>
      </c>
      <c r="K4577">
        <f>HYPERLINK("https://yourei.jp/生理", "查看例句")</f>
        <v/>
      </c>
    </row>
    <row r="4578">
      <c r="A4578" t="inlineStr">
        <is>
          <t>整理</t>
        </is>
      </c>
      <c r="B4578" t="inlineStr">
        <is>
          <t>成功</t>
        </is>
      </c>
      <c r="C4578" t="inlineStr">
        <is>
          <t>読み方：せいり
［名］(スル)
１乱れた状態にあるものを整えて、きちんとすること。「資料を—する」「気持ちの—がつく」「交通—」
２無駄なもの、不要なものを処分すること。また、あとあと煩わしい問題が起こらないように処理すること。「人員を—する」「身辺を—する」
３株式会社が支払不能・債務超過に陥るおそれまたはその疑いがあるとき、再建を目的として裁判所の監督の下に行われる手続き。商法に規定があったが、平成18年（2006）5月、会社法の施行に伴い、この制度は廃止された。
４新聞編集において、原稿や写真などを取捨選択し、見出しを付け、紙面を構成すること。またその業務を行う部署。「編集局—部」
[用法]整理・整頓——「部屋の中を整理（整頓）しなさい」「書棚をきちんと整理（整頓）する」など、整えるの意では相通じて用いられる。◇「整理」は、「交通整理」「感情の整理がつく」のように、混乱しているものをきちんとした状態にする意。また、無駄なもの、余分なものを除く意もある。「人員整理」「蔵書を整理する」など。◇「整頓」は乱れているものの位置を元にもどし、整えること。「教室の机を整頓する」「乱れた資料の順序を整頓する」</t>
        </is>
      </c>
      <c r="D4578" t="inlineStr">
        <is>
          <t>整理する(9%)；整理統合；整理しよ；整理部；整理券</t>
        </is>
      </c>
      <c r="E4578" t="inlineStr">
        <is>
          <t>分類；配置；区別；まとめ；調整</t>
        </is>
      </c>
      <c r="F4578" t="inlineStr">
        <is>
          <t>残務整理；未整理；地番整理；再整理；町名整理</t>
        </is>
      </c>
      <c r="G4578" t="inlineStr">
        <is>
          <t>整理番号；整理整頓；整理回収機構；整理棚；整理解雇</t>
        </is>
      </c>
      <c r="H4578" t="n">
        <v>29</v>
      </c>
      <c r="I4578" t="inlineStr">
        <is>
          <t>手で物を触った刺激を整理統合して立体を形成するのも脳の働きである。；彼の貢献には、整理されたチームフットボールの最も初期の証拠がある。；それらとキュレーションの最大の違いは体系化された情報整理である。；情報処理の過程では大別して情報整理・分析・総合・結論の過程を経る。；この時期に青年はそれまでに獲得してきた様々な自己の部分を整理しなおす。；整理された線の達人であり洗練されたデザインセンスの持ち主であった。；同時に自分がこれまで書いた評論などの原稿や詩作を整理しはじめる。；さらに、通常はの段階でテーマの分割、整理統合が行われる場合がよくある。；これはClascalの言語仕様を整理・発展させたものである。；記憶を助けるための整理が必要であり、私は一つの分類法を発明した。；これらの内容を整理して、逐一違いを述べていくのはきわめて煩雑となる。；現在伝わる経書はこの時に整理されたものに基づくものが多い。；以下に記述した「Kナンバー」は2006年に再整理された番号である。；現在広く用いられている解説を整理すると、主に次の2つになる。；近年は発売されている種類が大幅に整理されている。；また、日記の著者が後日になって改めて文書を整理して清書した例もある。；羅山がそれまでに読んだ書物を整理して目録を作ると四百四十余部に上った。；これらの試合の後、整理されたフットボールの試合は急速に人気を広げていった。；これらの経過は以下のように整理することができる。；夫の書類を整理し、彼の音楽の普及に努め、自身の回顧録を記した。；なかにしの没後、遺稿を整理し出版された『血の歌』が刊行されている。；翻訳文学的でもある論理的に整理された簡潔・平明な筆致に特徴がある。；これは、整理するには便利ではあるが、極めて機械的な分類である。；なお、多数あった競合誌もこの頃までにはほぼ整理されている。；これを展開して、各項の係数を取り出し整理すると、上記の式となる。；シリーズを重ねるごとに、属性体系はより整理、洗練される傾向にある。；システム内のロジックを整理する設計構造を作成することで、これを回避できる。；から、きちんと条文が整理されてルールブックにも記載されるようになった。；睡眠中には脳が、過去に見聞きした情報をジャンルごとに整理する。</t>
        </is>
      </c>
      <c r="J4578">
        <f>HYPERLINK("https://www.weblio.jp/content/整理", "词义详情")</f>
        <v/>
      </c>
      <c r="K4578">
        <f>HYPERLINK("https://yourei.jp/整理", "查看例句")</f>
        <v/>
      </c>
    </row>
    <row r="4579">
      <c r="A4579" t="inlineStr">
        <is>
          <t>成立</t>
        </is>
      </c>
      <c r="B4579" t="inlineStr">
        <is>
          <t>成功</t>
        </is>
      </c>
      <c r="C4579" t="inlineStr">
        <is>
          <t>読み方：せいりつ
［名］(スル)物事が成り立つこと。できあがること。また、まとまること。「予算案が—する」「交渉を—させる」</t>
        </is>
      </c>
      <c r="D4579" t="inlineStr">
        <is>
          <t>成立する(15%)；成立後(4%)；成立以前；成立時期；成立年代</t>
        </is>
      </c>
      <c r="E4579" t="inlineStr">
        <is>
          <t>構成；形成；結成；達成；組成</t>
        </is>
      </c>
      <c r="F4579" t="inlineStr">
        <is>
          <t>中華民国成立；法案成立；成立直後；成立要件；成立以後</t>
        </is>
      </c>
      <c r="G4579" t="inlineStr">
        <is>
          <t>成立た；成立ち；成立学舎；成立学園；成立学園高等学校</t>
        </is>
      </c>
      <c r="H4579" t="n">
        <v>29</v>
      </c>
      <c r="I4579" t="inlineStr">
        <is>
          <t>この統一的な状態を破壊したものが、近代的な国民国家の成立と言える。；一般に俳優ひとりが欠けるだけでも舞台や撮影が成立しなくなってしまう。；しかし少なくとも10世紀頃には既に成立していたと考えられている。；舞台背景も重視されず、謎を成立させるために非現実的な設定の作品もある。；理想気体に成立する法則として代表的なものには次のものがあげられる。；ウガンダではムセベニ政権の成立以後、県の増設が盛んに行われてきた。；現代で主流となっているのは65年〜70年ごろの成立という説である。；こうした家族愛の成立は、かなり新しいものであると考えられている。；中国語には助字を添加してもしなくても文章が成立するという性質がある。；後の時代、繰り返し生成・消滅している宇宙という考え方が成立したという。；インドでは、やがて大乗仏教が成立し、その初期には多仏思想が成立する。；体重制を取らなくても勝負が成立する理由の一つもここにある。；多くの発明がそうであるように、ピアノもそれまでにあった技術の上に成立している。；日本では琉球列島の海岸線で、石灰岩の上で天然の芝生が成立している。；しかし、大乗仏教が成立しても、部派の教団は存続し教理の展開がある。；その為、婚姻は親側の承認が先に出ないと成立させることが不可能となっている。；プロモーターとの契約が成立した時点でプロ活動が可能になる。；その中でも10数点の古い時代に成立したものを特に古ウパニシャッドと呼ぶ。；したがって、成立する法律のほとんどは内閣が提出したものである。；近年では北西部や西部の都市開発も進み、新興住宅街が成立している。；古来の伝承によれば、易の成立は以下のようなものであったという。；この襲撃は、2017年に両勢力間で和平合意が成立するまで続いた。；常陸国から分離される形で成立し、以後、平安時代まで陸奥と呼ばれた。；そのようにして成立した法律が、議員立法と呼ばれることもある。；翌年、州議会は結婚を認める最少年齢を15歳に設定する法を成立させた。；その後、市民革命を経て、王の軍隊が国民の軍隊となり近代的軍人が成立した。；このことはペアノ算術のような算術の古典理論においては成立しない。；感情はその後からついてくるのであって、芸術は感情がなくてもすっかりうまく成立させられる。；墨田区が成立するまでは、区の北部と南部では、歴史に大きな違いが見られる。</t>
        </is>
      </c>
      <c r="J4579">
        <f>HYPERLINK("https://www.weblio.jp/content/成立", "词义详情")</f>
        <v/>
      </c>
      <c r="K4579">
        <f>HYPERLINK("https://yourei.jp/成立", "查看例句")</f>
        <v/>
      </c>
    </row>
    <row r="4580">
      <c r="A4580" t="inlineStr">
        <is>
          <t>精力</t>
        </is>
      </c>
      <c r="B4580" t="inlineStr">
        <is>
          <t>成功</t>
        </is>
      </c>
      <c r="C4580" t="inlineStr">
        <is>
          <t>読み方：せいりき
１「せいりょく（精力）」に同じ。〈日葡〉
２物事に力を尽くすこと。尽力。骨折り。
「和蘭人(おらんだじん)これを見て、その—に感じ」〈蘭学事始〉</t>
        </is>
      </c>
      <c r="D4580" t="inlineStr">
        <is>
          <t>精力的な活動(6%)；精力善用；精力家；精力的なライブ活動；精力絶倫</t>
        </is>
      </c>
      <c r="E4580" t="inlineStr">
        <is>
          <t>力；エネルギー；元気；根；精</t>
        </is>
      </c>
      <c r="F4580" t="inlineStr">
        <is>
          <t>異常な精力；たくましい精力；見るからに精力的；精力善用国民体育</t>
        </is>
      </c>
      <c r="G4580" t="inlineStr">
        <is>
          <t>精力剤；精力絶倫；精力増強；精力旺盛</t>
        </is>
      </c>
      <c r="H4580" t="n">
        <v>29</v>
      </c>
      <c r="I4580" t="inlineStr">
        <is>
          <t>今後は競技普及のために精力的に活動していくことをアピールしている。；家庭の建立に費す労力と精力とを自分は他に用うべきではなかったのか。；現在も小児AIDSのための基礎団体作りに精力的に活動を続けている。；肝臓がんが明らかになっても、治療を行いながら精力的に活動を続けた。；その後も他のマスターズの大会で優勝を果たすなど精力的に活動していた。；以後、各種のイベントやコンサートなどに精力的に出演し人気を博する。；その後も精力的にライブツアーを続けながら作品を立て続けに発表した。；特にフロントマンの吉井は大規模なツアーを行うなど精力的に活動する。；精力的な講演活動や出版でスピリチュアリズムの普及に大きく貢献した。；近年でも様々なバンドに参加し、60歳を越えてもなお精力的に活動中。；外向性の人は、他の人々の周囲にいることで精力的に活動し、繁栄する。；以降精力的な活動を行い、結成から3年半で計9種類のCDを発売した。；しかしそれらは本来的には「精力善用」に内包された概念となっている。；彼女は生命の力と健康の力と精力とが充満しているように見えた。；その間にも、イタリアやメキシコの団体に参戦するなど精力的に活動していた。；近年はアルバム発表に合わせた精力的なライヴ活動を行ってもいる。；以降、精力的な活動を続け、年間4本のペースで作品を作り続けている。；しかし彼は当時バージニア大学の創設のために精力的に動いていた。；マッカートニーはソロ、バンド両方ともに精力的な活動を行っていた。；新約聖書学とグノーシス主義研究において精力的な研究を発表してきた。；加入後から現在に至るまで、バンドの一員として精力的な活動を続けている。；詩のみならず、オペラ、新作能などの分野で精力的に芸術活動を続ける。；晩年も山本は精力的に社会人野球や国際大会の会場に姿を見せていた。；また、映画館でも英語字幕付きのタイ映画を上映したりと精力的である。；さらにデンマーク初の音楽ソサエティーを創設するなど精力的に活動した。；またこの年は「日本郷土童謡名曲集」をはじめ精力的に著書も出版した。；ベトナムでも蛇酒は健康と精力の増強に効果があると広く信じられている。；小説やエッセーなどの書籍をフランス語で精力的に発表している。；しかし精力的に活動を続けるふみ子に癌の再発が発見されるのである。</t>
        </is>
      </c>
      <c r="J4580">
        <f>HYPERLINK("https://www.weblio.jp/content/精力", "词义详情")</f>
        <v/>
      </c>
      <c r="K4580">
        <f>HYPERLINK("https://yourei.jp/精力", "查看例句")</f>
        <v/>
      </c>
    </row>
    <row r="4581">
      <c r="A4581" t="inlineStr">
        <is>
          <t>勢力</t>
        </is>
      </c>
      <c r="B4581" t="inlineStr">
        <is>
          <t>成功</t>
        </is>
      </c>
      <c r="C4581" t="inlineStr">
        <is>
          <t>読み方：せいりょく
１他をおさえ、支配下におくいきおいと力。特に、国家や政党などの社会的な集団がもつ、他の集団をおさえる力。「—を伸ばす」「—が衰える」
２エネルギーの旧称。</t>
        </is>
      </c>
      <c r="D4581" t="inlineStr">
        <is>
          <t>勢力下(2%)；勢力争い；勢力基盤；勢力圏；勢力伸長</t>
        </is>
      </c>
      <c r="E4581" t="inlineStr">
        <is>
          <t>力；勢い；権力；権威；強さ</t>
        </is>
      </c>
      <c r="F4581" t="inlineStr">
        <is>
          <t>大勢力；反対勢力；大きな勢力；強い勢力；両勢力</t>
        </is>
      </c>
      <c r="G4581" t="inlineStr">
        <is>
          <t>勢力拡大；勢力範囲；勢力均衡；勢力図；勢力線</t>
        </is>
      </c>
      <c r="H4581" t="n">
        <v>29</v>
      </c>
      <c r="I4581" t="inlineStr">
        <is>
          <t>グルジアはクーデター勢力がロシアの支援を受けていたと非難している。；アンティオコス3世は即位するとすぐ国内の反乱勢力の多くを鎮圧した。；この王国は中王国時代のエジプトの影響を受けながら勢力を拡大していった。；この時代に有力勢力として現れる王国のほとんどはアムル系の王国である。；その後も勲旧勢力と士林勢力は繰り返し衝突し、政局は混乱を続けていた。；この時期に北のモンゴル高原にはモンゴル帝国が急速に勢力を拡大していた。；吉備国は畿内勢力と同盟関係を築いて日本列島の統一期に影響を与えた。；秀吉も中世的支配体系・支配勢力の排除・抑制に努め、中世をおわらせた。；その後は三好氏の勢力下を経て、四国攻めの過程で羽柴氏に制圧された。；トラコパンはこの三都市中では最も勢力が弱く格下扱いとなっていた。；そのような中で党外勢力が台湾自決の旗を掲げ勢力を急速に増してきたのである。；これは様々な勢力がいるインターナショナルが一致させることができる問題だった。；古代の北陸地方は越国や陸道と呼ばれており地方勢力の一つであった。；さらに別の作戦でアフリカ・キリマンジャロも勢力下に置いた。；呉の軍は戦争が強く、一時は北の後梁と互角に争い合う程の勢力を誇った。；このほか、フランス語の母語話者が大勢力を持つ国としてはカナダがある。；温帯低気圧にならずにそのまま勢力を弱め、消えた場合も消滅という。；この襲撃は、2017年に両勢力間で和平合意が成立するまで続いた。；しかしターリバーンは国内の他勢力の拠点を次々に攻略し、勢力を拡大し続けた。；しかし前漢・後漢を通じた中で徐々に勢力を伸ばしていき、国教化された。；秀吉の懸念材料は、京都への進路上に勢力を張る摂津衆の動向であった。；勢力が強い台風の場合は、雨と風の両方で甚大な被害が出ることも少なくない。；この国家は20世紀前半のヨーロッパ各国による侵攻まで勢力を維持し続けた。；これに伴い、インド洋交易は完全に西洋勢力の手に握られることとなった。；蔣経国自身も最近まで共産党の勢力が浸透していた困難な地への派遣を望んだ。；リチャード3世の即位に反対する勢力によって国内は再び混乱した。；その後の1683年には鄭氏政権が降伏し、国内の反清勢力は一掃された。；無司祭派は狂信の度を深めて無数に分裂を繰り返し、勢力を弱めている。；この宗教平和を境にプロテスタントは勢力を一気に拡大した。</t>
        </is>
      </c>
      <c r="J4581">
        <f>HYPERLINK("https://www.weblio.jp/content/勢力", "词义详情")</f>
        <v/>
      </c>
      <c r="K4581">
        <f>HYPERLINK("https://yourei.jp/勢力", "查看例句")</f>
        <v/>
      </c>
    </row>
    <row r="4582">
      <c r="A4582" t="inlineStr">
        <is>
          <t>西暦</t>
        </is>
      </c>
      <c r="B4582" t="inlineStr">
        <is>
          <t>成功</t>
        </is>
      </c>
      <c r="C4582" t="inlineStr">
        <is>
          <t>読み方：せいれき
キリストが誕生したとされる年を元年とする年代の数え方。西紀。「—2000年」</t>
        </is>
      </c>
      <c r="D4582" t="inlineStr">
        <is>
          <t>西暦年(5%)；西暦一(3%)；西暦六；西暦紀元前；西暦表記</t>
        </is>
      </c>
      <c r="F4582" t="inlineStr">
        <is>
          <t>西暦七；西暦奇数；西暦換算；西暦四；西暦九世紀</t>
        </is>
      </c>
      <c r="G4582" t="inlineStr">
        <is>
          <t>西暦元年</t>
        </is>
      </c>
      <c r="H4582" t="n">
        <v>29</v>
      </c>
      <c r="I4582" t="inlineStr">
        <is>
          <t>この美術の特異な状態は、西暦1世紀の間に確立されたように思われる。；日本で発行されている切手には元号および西暦で発行年が記載されている。；以下で、前の数字は初公開の、後の数字は日本公開の、西暦年次である。；チューク環礁に人類が辿り着いたのは西暦の紀元前だと考えられている。；YYYY年の部分は大会が開催された/開催される年の西暦にします。；西暦2100年、宇宙時代に対応するために「地球大学」が設立された。；しかし彼も国内の支持を得ることに失敗し、西暦6年に暗殺された。；毎年夏に開催されるため、タイトルには開催される年の西暦の下二桁をつける。；グラヌムには西暦10年から25年に建造された印象的な凱旋門がある。；さらに製造年表記も和暦から西暦に変更され、以後の形式でも採用されている。；西暦2019年、様々な法律の改正や技術の発展が行われた近未来の日本。；一般には西暦663年とされるが、足助八幡宮では673年としている。；時は西暦2014年、謎の巨大生物が人間を襲撃する事件が次々と発生していた。；グレゴリオ暦との間では差があるため、現在の西暦と日付は対応していない。；現在の日本で単に「紀元前」と言った場合、通常は西暦の紀元前を指す。；この神殿の火は西暦470年から連綿として燃え続けているものである。；機体番号の左端の1桁は機体が完成した年の西暦の下1桁を示している。；遅くとも西暦431年には、主教が町に住んでいたことが記録されている。；この地域では西暦700年からブドウ栽培が行われていたことが証明されている。；西暦500年頃には既に最初の核となる入植地が現在のリートに造られた。；英字記号の次の数字は年式を表し、製造年の西暦の下1桁が用いられる。；同じく、現代設定の作品に登場する西暦などが数十年以上昔となった場合も現代作品のままである。；なお、この西暦表記は、半年放送時代は放送終了時点での年が表記されていた。；紀年法は西暦も併用されているが、現在もタイ仏暦が主に使用されている。；これは西暦に限らず通常の紀年法では、0年を設けないからである。；この世界の出来事は現実の時間軸に沿って展開する設定になっており、以下の年代表記は西暦である。；国において、例外的に西暦が使用されている具体例には以下のものがある。；また、設立時期については一部の資料では西暦2009年と記載されている。；西暦2120年頃、そうした荒事を専門に請負う者たちが出現を始める。</t>
        </is>
      </c>
      <c r="J4582">
        <f>HYPERLINK("https://www.weblio.jp/content/西暦", "词义详情")</f>
        <v/>
      </c>
      <c r="K4582">
        <f>HYPERLINK("https://yourei.jp/西暦", "查看例句")</f>
        <v/>
      </c>
    </row>
    <row r="4583">
      <c r="A4583" t="inlineStr">
        <is>
          <t>整列</t>
        </is>
      </c>
      <c r="B4583" t="inlineStr">
        <is>
          <t>成功</t>
        </is>
      </c>
      <c r="C4583" t="inlineStr">
        <is>
          <t>読み方：せいれつ
［名］(スル)きちんと列をつくって並ぶこと。「—して順番を待つ」</t>
        </is>
      </c>
      <c r="D4583" t="inlineStr">
        <is>
          <t>整列する(10%)；整列させる(2%)；整列可能；整列済み；整列しよ</t>
        </is>
      </c>
      <c r="F4583" t="inlineStr">
        <is>
          <t>沿って整列；搭乗員整列；向いて整列；全員整列；不整列</t>
        </is>
      </c>
      <c r="G4583" t="inlineStr">
        <is>
          <t>整列順序；整列乗車；整列可能定理</t>
        </is>
      </c>
      <c r="H4583" t="n">
        <v>29</v>
      </c>
      <c r="I4583" t="inlineStr">
        <is>
          <t>二分隊の二号以下は表桟橋の近くに整列して新候補生の来るのを待った。；そして急いでいつも整列して先生を待っている所に走って行きました。；百数十名の隊員が、一切の装備を終えて整列したのは十時三十分であった。；そういうばあいには、若い生徒はみな制服で、軍隊式に整列させられる。；皇帝のまえに軍隊が整列する間、ふたりはなにか熱心に話し合っていた。；きちんと整列させられたものたちは私を興奮させ、同時に安心させる。；歩兵部隊には、数千ほどの兵士がおり、きちんと整列されていなかった。；彼はちょっとよろけたばかりで、丸太を整列した門が彼の後ろを閉じた。；地震が気になって出てきたものか、玄関には十名近い男女が整列していた。；即座にその両側に、小型の剣たちが籠を作るように十本以上も整列する。；二人は約二百人ほどのモルロウビア人を整列させようと躍気になっている。；海の上にはいくつかの島がまるで床の間に並んだ置物のように整列していた。；それから柱ごとに、何人かの兵士で隊を組んで前に整列しました。；これは全ての粒子が完全に磁場の方向へと整列していることを意味している。；燃料は限界に来ており、機を整列させる間にエンジンは停止した。；家の前には、生徒たちが全員整列して、わたしの方を見つめていた。；社壇の前数十歩の所には、京都から来た砲兵隊と歩兵隊とが整列している。；ふたたび楽師たちの演奏がはじまって、演武をした男たちが整列をした。；夜の自習時間に、四号たちは整列と修正があるものと期待していた。；両側に整列していた家臣たちは、ふたりが入っていくと波が引くように道をあけた。；整列した選手数からみて五〇人ほどが参加したようである。；それが終わると崖のふちから戻ってふたたび整列し、つぎの犠牲を待つのだ。；雨が降りそうになって来ると、アベルは早速彼らを外に出して整列させる。；大学年鑑用のフットボールの写真のように整列し、健康そうで愉しげだ。；といっても、デスクの上のものを少し整列させるだけの儀式である。；甲板役割や古参兵の顔には甲板整列のときの表情は消えていた。；整列した部隊の正面にむかって二人の将校が立っていた。；甲板に整列している乗組員は、いずれも見覚えのある同志ばかりだった。；少女が動かしてくれたあの像が、前後に二体ずつ整列している。</t>
        </is>
      </c>
      <c r="J4583">
        <f>HYPERLINK("https://www.weblio.jp/content/整列", "词义详情")</f>
        <v/>
      </c>
      <c r="K4583">
        <f>HYPERLINK("https://yourei.jp/整列", "查看例句")</f>
        <v/>
      </c>
    </row>
    <row r="4584">
      <c r="A4584" t="inlineStr">
        <is>
          <t>背負う</t>
        </is>
      </c>
      <c r="B4584" t="inlineStr">
        <is>
          <t>成功</t>
        </is>
      </c>
      <c r="C4584" t="inlineStr">
        <is>
          <t>読み方：しょう
［動ワ五（ハ四）］《「せおう」の音変化》
１背中に担ぐ。せおう。「荷物を—・って歩く」
２厄介なこと、迷惑なことなどを引き受ける。「重大な責任を—・わされた」
３（「しょってる」の形で用いて）思い上がる。うぬぼれる。「ハンサムだと思うなんて、—・ってるね」
[可能]しょえる</t>
        </is>
      </c>
      <c r="D4584" t="inlineStr">
        <is>
          <t>背負うべき；背負う苦しい</t>
        </is>
      </c>
      <c r="E4584" t="inlineStr">
        <is>
          <t>担当する；担う；負う；抱える；責任を負う</t>
        </is>
      </c>
      <c r="F4584" t="inlineStr">
        <is>
          <t>入れて背負う</t>
        </is>
      </c>
      <c r="H4584" t="n">
        <v>29</v>
      </c>
      <c r="I4584" t="inlineStr">
        <is>
          <t>最終的にどんな結果が出ようとお前が一人で背負う問題でもないだろう。；そこで彼女は自分よりも悲惨な不幸を背負った人々を見つけたのである。；そして家庭というものは背負うには重い荷物だと思うようになっていた。；だがもどって行け、俺の心はもうこれ以上お前の血を 背負い切れない。；血だらけの老婆がその男の一人に背負われて杉の横を通りすぎていった。；そうであるならどうして重い銃や背嚢を背負い続ける必要があるだろう。；彼が岩を登ることが出来ないと言うと、女は私に背負われなさいと言う。；母はとうとうすべてに対する責任を一人で背負わなければならなかった。；困難な時期に期待を背負って就任したのがマレク・ヤノフスキであった。；ファン曰く、背中に背負って歩いている姿を目撃したことがあるという。；軽やかなほどに慣れた動作でケースを背負うと、彼女は装置を展開した。；背負った背番号56を現代の選手として使用したのは彼が最初となった。；どうしたことか、背中には、三歳あまりの幼児を背負うていたのである。；それでも罪を背負いたいのならば、これからの自身の行いに問うがいい。；あなたが重荷を背負わなくてはならないと決まっているわけではないんだ。；将来の日本はあなたのような優秀な人材が背負うことになるんでしょうな。；君が俺ではなく、この血まみれの生を背負わないことに、俺は感謝する。；決して人間を背負うのが嫌だったから逃げたというわけではあるまい。；役にも立たぬものばかり背負って来たと、町の人々は思ったことであろう。；頭部に白い繃帯をまいた男を、細君らしいのが背負って駈けだしてゆく。；二人は鞄をきちんと背負い、川を渡って丘をぐんぐん登って行きました。；一生分の呵責を背負う覚悟で、その命を自分に預けているように見える。；里に出て宿を取るときには、逃亡を怖れて老夫婦に磨り臼を背負わせた。；こんな小さい体で大きな悲しみを背負っていたんだなと・・・・。；その背中には、流れた血がつかないよう、慎重にわたしが背負われていた。；このかさばる荷物を背負わされているのは、当然のように埜々香だった。；彼女や宝条との間に起こったある事件がきっかけで罪の意識を背負っている。；しかしそれと引き換えに20歳前後までしか生きられない運命を背負う。；そこへ風呂敷を背負った旅なりの若い男がやってきてこれも茶店で休む。</t>
        </is>
      </c>
      <c r="J4584">
        <f>HYPERLINK("https://www.weblio.jp/content/背負う", "词义详情")</f>
        <v/>
      </c>
      <c r="K4584">
        <f>HYPERLINK("https://yourei.jp/背負う", "查看例句")</f>
        <v/>
      </c>
    </row>
    <row r="4585">
      <c r="A4585" t="inlineStr">
        <is>
          <t>世界</t>
        </is>
      </c>
      <c r="B4585" t="inlineStr">
        <is>
          <t>成功</t>
        </is>
      </c>
      <c r="C4585" t="inlineStr">
        <is>
          <t>読み方：せかい
《7が原義》
１地球上のすべての地域・国家。「—はひとつ」「—をまたにかける」
２自分が認識している人間社会の全体。人の生活する環境。世間。世の中。「新しい—を開く」「住む—が違う」
３職業・専門分野、また、世代などの、同類の集まり。「医者の—」「子供の—」
４ある特定の活動範囲・領域。「学問の—」「芸能の—」「勝負の—」
５歌舞伎・浄瑠璃で、戯曲の背景となる特定の時代・人物群の類型。義経記・太平記など、民衆に親しみのある歴史的事件が世界とされた。
６自分が自由にできる、ある特定の範囲。「自分の—に閉じこもる」
７《(梵)lokadhātuの訳。「世」は過去・現在・未来の3世、「界」は東西南北上下をさす》仏語。
㋐須弥山(しゅみせん)を中心とした4州の称。これを単位に三千大千世界を数える。
㋑一人の仏陀の治める国土。
㋒宇宙のこと。
８このあたり。あたり一帯。
「—暗がりて」〈竹取〉
９地方。他郷。
「—にものし給ふとも、忘れで消息し給へ」〈大和・六四〉
10遊里などの遊興の場。
「京町に何かお—が、おできなすったさうでござりますね」〈洒・通言総籬〉</t>
        </is>
      </c>
      <c r="D4585" t="inlineStr">
        <is>
          <t>世界的(3%)；世界観；世界第；世界有数；世界王座</t>
        </is>
      </c>
      <c r="E4585" t="inlineStr">
        <is>
          <t>国；社会；地球；分野；現実</t>
        </is>
      </c>
      <c r="F4585" t="inlineStr">
        <is>
          <t>wbc世界；wba世界；ufc世界；加速世界；広い世界</t>
        </is>
      </c>
      <c r="G4585" t="inlineStr">
        <is>
          <t>世界的；世界選手権；世界観；世界各地；世界遺産</t>
        </is>
      </c>
      <c r="H4585" t="n">
        <v>29</v>
      </c>
      <c r="I4585" t="inlineStr">
        <is>
          <t>世界はどのようにも解釈される可能性があり、世界は無数の意味を持つ。；世界で食用に栽培されている植物はおよそ2300種ほどとされている。；現役世界年長となったこのゴールは、海外のメディアも取り上げている。；これは世界や宇宙の始まりと終わりを考えることと同じことになる。；他に誰も入れない兄弟2人だけの世界は、この後東京に行ってからも続く。；アルゼンチン経済の崩壊後、アルゼンチンの世界的な評価は地に落ちた。；山頂部は仏の世界と考えられるようになり、特別な意味を持つようになった。；また同じ作品世界を共有していてもパラレルワールドとなっている場合もある。；「柱」は自分で死ぬこともこの世界の民に討たれることも許されないこと。；世界でもっとも鉄道車両生産額が大きい企業は、中国の中国中車である。；この秘密主義の方針は、しばしば世界的な批判の的となっている。；第二次世界大戦以降は、主に第一次世界戦争と呼ばれるようになった。；日本は周りを海に囲まれていることもあり、世界有数の魚大国である。；だんだんになったせかいを、人々は我先にとのぼり続けていたのだった。；それは、せかいはだんだんでできとる、と思っていたころのことであった。；以後マクドナルドコーポレーションは、世界の至るところに店を開いた。；また世界的に関心の高い分野への受賞など社会的なメッセージともとれる例がある。；彼の死が世界に伝わると、世界中のファンから多くの弔電を受けた。；彼を支持する人たちは自分達を自由な世界に属すと考えている。；船や車も用いられず、甲冑を着て戦う事もないと、戦乱の無い世界を描く。；また、特定の小説や映画などの世界を再現するものも登場する。；「せかいがどうなってるのか、わからないよ」海人は困った顔を向けた。；一神教の最も一般的な主張の一つは世界の統一性から導かれるものである。；これは世界で最も短い手紙として『ギネス世界記録』に掲載されている。；この世界に存在すると思われるもののオーソドックスな科学では説明不可能なこと。；同時に犯罪率が低く治安の良さは世界トップクラスを維持している。；このとき中国は大きな不正会計事件で世界の注目を浴びていた。；こうして、リズム・アンド・ブルースは米国から世界へと広がっていった。；後に円がデザインに加わるが、これは世界と人々を象徴している。</t>
        </is>
      </c>
      <c r="J4585">
        <f>HYPERLINK("https://www.weblio.jp/content/世界", "词义详情")</f>
        <v/>
      </c>
      <c r="K4585">
        <f>HYPERLINK("https://yourei.jp/世界", "查看例句")</f>
        <v/>
      </c>
    </row>
    <row r="4586">
      <c r="A4586" t="inlineStr">
        <is>
          <t>急かす</t>
        </is>
      </c>
      <c r="B4586" t="inlineStr">
        <is>
          <t>成功</t>
        </is>
      </c>
      <c r="C4586" t="inlineStr">
        <is>
          <t>読み方：せかす
［動サ五（四）］「急(せ)かせる」に同じ。「そろそろ—・さないと遅れる」
［動サ下二］「せかせる」の文語形。</t>
        </is>
      </c>
      <c r="D4586" t="inlineStr">
        <is>
          <t>煽る；挑発する；仕向ける；けしかける；速める</t>
        </is>
      </c>
      <c r="H4586" t="n">
        <v>29</v>
      </c>
      <c r="I4586" t="inlineStr">
        <is>
          <t>どうやら急かしているようだ、その気持ちが距離感に出ているのだろう。；浅見はわけもなく背後から急かされるものを感じながら名古屋を発った。；どうやら同伴の少女が急かしたらしく、ずいぶん早い到着になるようで。；言葉では急かさなかったが、裕生の話を待っているのは明らかだった。；皆きびきびと動いているのだが、バルロはそんな彼らをさらに急かした。；目の前に迫る死の気配に急かされ、走っているだけのモノにすぎない。；友達に急かされてドアを出るとき、チョウは振り返ってハリーに手を振った。；クレフマンは馭者台に上がって手綱を取り、舌を鳴らして馬を急かした。；白大将軍もそう思ったのか、たいして急かさずうしろをくっついてきた。；自分の中に在る衝動が未だか未だかと彼を急かしているのである。；追われたというより、絶えず何かに急かされているような思いで暮してきた。；美希と母も、晃や満文に急かされて、火の海となった斜面に背を向けた。；驚いたように目を白黒させている大江を急かして懐中電灯と合羽を借りた。；時間に余裕ができたせいか、相手を急かす動作が消えている。；二人は、将兵に急かされるまま、必死の思いで中甲板にまで上った。；トラックに急かされて次の辻を折れると、MGはイタリー通りへ抜けた。；なぜ前の車が止まったか分からず、クラクションを鳴らして急かす者も多かった。；自転車にまたがり、夜の町を、祥子は何かに急かされるように走った。；玄関へ走り、靴を鷲づかみにした時、急かすように再びチャイムが鳴った。；タクシー呼びましょうかなどといって、むしろ急かしたりする。；もし時間に急かされて駆け出していたら、まずこの下敷きになっていただろう。；停止線で止まった車の前を、少し急かされているような速さで歩く。；良い作品の構想は全くなく、エージェントからは急かされている近況だった。；何かに急かされるような気がしたからだった。；もっとよく見ようとしたが、クラクションに急かされてそれ以上は無理だった。；閲覧中に席を外すわけにもいかず、かといって閲覧を急かすわけにもいかない。；ウォルは見送りの邪魔をするようなことも、先を急かすようなこともしなかった。；メイベルが負傷しているのに、移動を急かすヴァルターが意外だったからだ。；「何んだ、引っ掛かることがあるのか」 緑川は伊三次の話を急かした。</t>
        </is>
      </c>
      <c r="J4586">
        <f>HYPERLINK("https://www.weblio.jp/content/急かす", "词义详情")</f>
        <v/>
      </c>
      <c r="K4586">
        <f>HYPERLINK("https://yourei.jp/急かす", "查看例句")</f>
        <v/>
      </c>
    </row>
    <row r="4587">
      <c r="A4587" t="inlineStr">
        <is>
          <t>急かせる</t>
        </is>
      </c>
      <c r="B4587" t="inlineStr">
        <is>
          <t>成功</t>
        </is>
      </c>
      <c r="C4587" t="inlineStr">
        <is>
          <t>読み方：せかせる
［動サ下一］［文］せか・す［サ下二］
１催促して急がせる。せきたてる。せかす。「仕事を—・せる」
２じらせてあせらせる。
「これまた米八(よねはち)に心を—・する手くだなり」〈人・辰巳園・三〉</t>
        </is>
      </c>
      <c r="D4587" t="inlineStr">
        <is>
          <t>速める；急がせる；急かす；急く；せかす</t>
        </is>
      </c>
      <c r="H4587" t="n">
        <v>29</v>
      </c>
      <c r="I4587" t="inlineStr">
        <is>
          <t>後になって、この結婚を切望し急かせていたのは自分の母親だったことに気づいた。；けれど、これまで一度も離婚を急かせたことはありません。；電車に乗ろうとホームの階段を駆け昇りながら、大学の先生が私を急かせて言う。；お目付もその心情を酌んで急かせなかったが、燭台は出さない規則だった。；二人が行動を共にするときは、常に父が母を急かせる、という当然の構図となる。；帰って来た翌る日直ぐ行くはずであったが、暴風雨のため一日延びたのも、彼の心を急かせていた。；と言ったって、別にお急かせ申すわけではありません。；子分たちが入ってきて、何かを注文して急かせる。；「いかにも都合が良すぎる話だぜ」 「全部を聞いてからにしよう」 塔馬はその先を急かせた。；この少女を急かせるような言葉は慎むべきだ。；さきの家老の屋敷を出たときから、七兵衛は、心の中にしきりに気持を急かせるものが棲みついたのを感じている。；着いたばかりやさかい、急かせるつもりはないけど、だいたいの予定は最初に聞かせてもらうきまりになっとるんや。；本当は二時なので時間にたっぷり余裕はあるが、礼子を急かせておいて、ここでのんびりするのも妙なものだ。；エドマンド、弟の処へ戻って、 兵隊の召集を急かせ、弟の軍隊を指揮してください。；さすがに本気で腹を立て、門を放り出して追いかけようとしたが、とたんに少年は慌てて娘を急かせて走り去って行く。；熱意のほどを示す意味でも電話で催促することもならず、それぞれ食事にさそい、さり気なく急かせたりした。；心の中で急かせている。；「露麻夫も後から来る」 廊下を確かめながら神楽は急かせた。；彼らは先頭の馬車のわきにピタリとついていて、車のガラガラという音にもかかわらず、御者を急かせているジングルの声がはっきりと聞こえてきた。；由希を急かせるようにして裏口から外に出る。；耳に入る波と砂の擦れる音に加えて、海水浴の客がごった返している夏の海とは違う、寂しさと解放感の入り交じった景色が、真の足を急かせる。；蛍の光が終わると、まだしつこく本を読んだり選んだりしている利用者を急かせるように窓にはシャッターが降りる。；特に後半の部分では、ぽつり、ぽつりと話す被疑者の話を、あまり急かせないで聞いてやったし、調書の記述も比較的長いので時間がかかって、五時の夕食時刻を少し過ぎて、やっと読み聞けまで終った。；「だったら、少しでも早いほうがいい」 精一が急かせた。；人を急かせる甲高い音が、澄んだ青空に響き渡っている。；しかし真冬のしんと張り詰めた寒さと違い、この時期に訪れる寒波というのは、奇妙に心を急かせる。；「オコノギさん、早く」 おれがNPO代表を急かせていると、先ほどの男とは逆の公園側から低いうめき声がきこえた。；店員も水取り替えるなり、お皿片づけるなり、態度でそれとなく急かせばいいのに。；「来てくれましたね、ありがとう」 雪子を急かせて大通りに出ると、彼はそのまま虎ノ門のほうへ手を引っぱっていった。</t>
        </is>
      </c>
      <c r="J4587">
        <f>HYPERLINK("https://www.weblio.jp/content/急かせる", "词义详情")</f>
        <v/>
      </c>
      <c r="K4587">
        <f>HYPERLINK("https://yourei.jp/急かせる", "查看例句")</f>
        <v/>
      </c>
    </row>
    <row r="4588">
      <c r="A4588" t="inlineStr">
        <is>
          <t>せがれ</t>
        </is>
      </c>
      <c r="B4588" t="inlineStr">
        <is>
          <t>成功</t>
        </is>
      </c>
      <c r="C4588" t="inlineStr">
        <is>
          <t>読み方：せがれ
１自分の息子をへりくだっていう語。「—をよろしく願います」
２他人の息子をくだけていう語。また、子供や若輩の者をさしていう語。「高校生の—がいるそうだ」
３陰茎の俗称。
[補説]1・2は、古くは女子にも用いた。</t>
        </is>
      </c>
      <c r="D4588" t="inlineStr">
        <is>
          <t>せがれども；せがれ大弥太；せがれ八</t>
        </is>
      </c>
      <c r="H4588" t="n">
        <v>29</v>
      </c>
      <c r="I4588" t="inlineStr">
        <is>
          <t>茶のみ友だちと、お前さんのせがれとの間は、うまくいっているのかえ?；元々おれがせがれは可哀そうに何処までも運悪く生れついている奴だ。；せがれは道へ出ていて、向いの塀の上にいる子猫に石をぶっつけていた。；あたしが笑うのはチャンポロのせがれと呼ばれていた別の男のことなのよ。；それに、いいか、せがれ、そのあともここはお前のおるべき所じゃない。；晩方、家に帰ってきたせがれが、その財布を見つけて大喜びをしました。；三十六の年に宿六に死なれ、ひとりのせがれを大きくしたのも仲人商売。；二日たっても、三日たっても、せがれの乗った船はもどってきませんでした。；おれは老い先短いし、せがれのいないこの世になんの未練もねえからな。；いいか、一、二年して監獄から出てきた時に、せがれに言ってくれよな。；彼女に体を触れられると、ぼくのせがれはゆっくりと高揚しはじめた。；せがれが役人か弁護士になる夢で、父も我慢してくれたのである。；せがれに罪がなければないほど仇討ちのしがいがあるともいえるではないか。；ことに自分のせがれなり弟なりに疑いがかかるような方法で。；わしが戦争できないとしても、今度は、せがれは政府から金をとるからな。；ここのおじいさんは耳が遠くせがれに先立たれたと淋しそうに語っていた。；ただただ、このせがれの奴だけが、新しい父親を生むことができるのだ。；パン屋のせがれが部屋に入り、ベッドへ横になるのもわかりました。；そこへ角右衛門の妻お清が、八つになるせがれ多助の手を引いて現われた。；岩松が百姓のせがれと名乗ったとおり、彼は百姓出身らしい骨格をしていた。；金坊は、おれにとっちゃあ、天にも地にもかけげえのねえ大事なせがれだぞ。；毒で自殺をするんだ、せがれのサミュエルよ、毒で自殺をするんだ。；日も暮れようとするころ、兵衛のせがれ大弥太が都から帰ってきた。；親をかくしていた孝行なせがれがその話を親にすると、そんな事はなんでもない。；ふたりの話によれば、この祭の司祭は大司教のせがれだということだった。；だがおれは一つこのせがれを育ててみようかという気がする。；酒場からもどったばかりの上のほうのせがれがドアを開けた。；せがれの頭のなかは、それこそもう、お店のことでいっぱいなんでございますからね。；そして出るとまもなく途中で毛家のせがれ毛仲義にばったり会った。</t>
        </is>
      </c>
      <c r="J4588">
        <f>HYPERLINK("https://www.weblio.jp/content/せがれ", "词义详情")</f>
        <v/>
      </c>
      <c r="K4588">
        <f>HYPERLINK("https://yourei.jp/せがれ", "查看例句")</f>
        <v/>
      </c>
    </row>
    <row r="4589">
      <c r="A4589" t="inlineStr">
        <is>
          <t>咳</t>
        </is>
      </c>
      <c r="B4589" t="inlineStr">
        <is>
          <t>成功</t>
        </is>
      </c>
      <c r="C4589" t="inlineStr">
        <is>
          <t>読み方：がい
［音］ガイ（呉）　［訓］せき　せくしわぶき
〈ガイ〉せき。せきをする。「咳嗽(がいそう)／謦咳(けいがい)・鎮咳・労咳」
〈せき（ぜき）〉「空咳(からぜき)・百日咳」</t>
        </is>
      </c>
      <c r="D4589" t="inlineStr">
        <is>
          <t>咳止め(3%)；咳一つ；咳こみ；咳ひとつ；咳作用</t>
        </is>
      </c>
      <c r="F4589" t="inlineStr">
        <is>
          <t>鎮咳；軽い咳；激しい咳；ひどい咳；軽く咳</t>
        </is>
      </c>
      <c r="G4589" t="inlineStr">
        <is>
          <t>咳ばらい；咳き込ん；咳き込み；咳きこん；咳き込む</t>
        </is>
      </c>
      <c r="H4589" t="n">
        <v>29</v>
      </c>
      <c r="I4589" t="inlineStr">
        <is>
          <t>名古屋の人々は、氏の声咳に接することを名誉としていたようであった。；悪いことに、僕はその頃から、ときどき変な咳をするやうになつてゐた。；それは咳とも何んともつかない物の音であったが、どうも人の気配であった。；二三日早寝をすると、どうやら咳も止まったので気にもとめずに働いた。；胸の病いが大分進んでいるらしいのを私の耳に不気味に伝える咳であった。；関羽は俺が咳をしたり唾を飲んだりするのを聞けば川を渡らないだろう。；私の咳はかなり有名で、近所の子供はコンコンのおじさんと呼んでいる。；検査中に患者が咳などをして姿勢が変わると、圧が変わることがある。；僕は嚏をしたり咳をしたりして霜に焦げた庭を見て歩いたのであつた。；一九三八年 この頃から喀血が始まり、咳と痰に悩まされるようになる。；咳のおば様の石は東京だけでなく、元は他の県にもそちこちにありました。；気合を知らしても悪いと思つて咳一つも堪へてゐたのだなどと云ひました。；咳を一つしたが聞えましたかといふと、それはつい聞き落しましたと云つた。；この相談には、持病の咳でこもりがちな金兵衛までが引っぱり出された。；胸の臓器を全部押し上げて出してしまおうとしているかのような咳をする。；それにこの年の暮には、妙な咳の病が大流行して、死ぬ者が多かった。；風邪がこじれて喉に傷が出来、それが咳のためにやぶれて出血したのだ。；私の家では私の許しを得ないで咳をすることはなりません。；だから、病院や療養所などでは、決して咳をしないように患者に教える。；困ったのは呼吸をする鼻から灰が入り、頻りに咳が出ることであった。；泊ると咳をするためによく子供が目をさますので泊つて貰はなかつた。；咳もあまりしない程楽さうな日もあれば、又非常に苦しむ日もあつた。；そしてそれと同時に、幸子は輕い百日咳になつてしまつたのであつた。；はっと思って私が手を出そうとしたとたんに、激しい咳の発作が起った。；とは、咳をした時などに喉の奥から飛び出してくることのある小さな球状の塊。；風邪は抜けたらしく、熱はなくなったが鼻声なのと時々咳が出るので困る。；けれど彼女がそばを離れようとすると、彼はすぐにまた咳を始めた。；昼間の知識から、私はそれが露路に住む魚屋の咳であることを聞きわける。；同時に又襖一重向うに咳一つしずにいる母のお鳥に何か漠然とした不安も感じた。</t>
        </is>
      </c>
      <c r="J4589">
        <f>HYPERLINK("https://www.weblio.jp/content/咳", "词义详情")</f>
        <v/>
      </c>
      <c r="K4589">
        <f>HYPERLINK("https://yourei.jp/咳", "查看例句")</f>
        <v/>
      </c>
    </row>
    <row r="4590">
      <c r="A4590" t="inlineStr">
        <is>
          <t>席</t>
        </is>
      </c>
      <c r="B4590" t="inlineStr">
        <is>
          <t>成功</t>
        </is>
      </c>
      <c r="C4590" t="inlineStr">
        <is>
          <t>読み方：せき
［音］セキ（漢）　［訓］むしろ
［学習漢字］4年
１むしろなどの敷物。「席巻(せっけん)／枕席」
２すわる場所。「議席・客席・空席・座席・上席・着席・末席・隣席」
３会合などの場。会場。「席上／宴席・会席・酒席・出席・即席・茶席・同席・陪席・臨席・列席」
４地位。序列。順位。「席次／次席・主席・首席」
５寄席(よせ)。「席亭／昼席(ひるせき)」
［名のり］すけ・のぶ・やす・より
［難読］寄席(よせ)</t>
        </is>
      </c>
      <c r="D4590" t="inlineStr">
        <is>
          <t>席連続；席スペース；席クラス；席級；席取り</t>
        </is>
      </c>
      <c r="E4590" t="inlineStr">
        <is>
          <t>ところ；位；立場；機会；椅子</t>
        </is>
      </c>
      <c r="F4590" t="inlineStr">
        <is>
          <t>見物席；被告席；椅子席；立席；放送席</t>
        </is>
      </c>
      <c r="G4590" t="inlineStr">
        <is>
          <t>席巻；席次；席捲；席順；席亭</t>
        </is>
      </c>
      <c r="H4590" t="n">
        <v>29</v>
      </c>
      <c r="I4590" t="inlineStr">
        <is>
          <t>この叔父たちは怒って席を立ってフランスへ帰国してしまったほどだった。；その前にはボックス席が置かれていて非常時に使える状態ではなかった。；座席はボックスシートであるが、乗務員席の周辺には設置されていない。；出場者席の上にはロート製薬の当時の主力製品の看板が掲げられていた。；ウェブは読んだことはないと答え、証人席にいる部下たちに次を譲った。；海側車端部にはグループ客の利用を想定した4人がけボックス席がある。；便所は撤去され立席スペースとなったほか、一部の座席が撤去されている。；また、階下席では壁に横長の鏡を設置して部屋の圧迫感を和らげている。；いずれも2階部分をグリーン席、1階部分を指定制の普通席としている。；沖縄では泡盛は日常だけでなく旧暦行事や祝いの席の酒にもなっている。；席は原則固定で、向かって左側の席から1枠・2枠・3枠・4枠である。；ヨーロッパの鉄道では車両ではなく席ごとに予約が設定されるシステムとなっている。；なお、番組開始当初は、通常問題と同じく1番席から順に解答していた。；急な雨には対応できず、その場合は一部の座席が濡れる席となる。；それ以外の局が中継する場合は内野2階席に仮設の放送席を設けて対応する。；現在、3つの広間を納めた前廊と聖歌隊席を含めた一部が現存している。；席を増やさなくても、値段を上げる手もあるし、やり方はいろいろある。；その席で彼はニュートンが既にこの問題を証明しているがまだ発表していないことを知った。；駅構内には待合席・乗車駅証明書発行機・化粧室などが設置されている。；従来、号車と列のみの指定であったものが、席番まで指定されるようになった。；さらに需要の少ない路線には座席数数十席程度のコミューター機が使用される。；ある席で「初めて日本人を許す気になった」と語ったという話がある。；座席数は48席で、Q200とは違う機体デザインが採用されている。；スタジオ内には約30席の雛壇が設置され無料で公開していた。；そして使者が項羽の使者であると聞くと、すぐさま粗末な席に変えさせた。；また普通列車の普通車指定席を利用する場合も指定席券が必要となる。；したがって編成あたりでは階下席を除いた回転不可の座席は36席存在する。；このため従来車と比較し、L尺、N尺ともに座席が各3席減少している。；混雑率が低い路線のみで使用されることからドア脇への立ち席スペースの確保はなされていない。</t>
        </is>
      </c>
      <c r="J4590">
        <f>HYPERLINK("https://www.weblio.jp/content/席", "词义详情")</f>
        <v/>
      </c>
      <c r="K4590">
        <f>HYPERLINK("https://yourei.jp/席", "查看例句")</f>
        <v/>
      </c>
    </row>
    <row r="4591">
      <c r="A4591" t="inlineStr">
        <is>
          <t>石炭</t>
        </is>
      </c>
      <c r="B4591" t="inlineStr">
        <is>
          <t>成功</t>
        </is>
      </c>
      <c r="C4591" t="inlineStr">
        <is>
          <t>読み方：いしずみ
石炭(せきたん)のこと。</t>
        </is>
      </c>
      <c r="D4591" t="inlineStr">
        <is>
          <t>石炭産業(3%)；石炭輸送(3%)；石炭採掘；石炭庫；石炭価格</t>
        </is>
      </c>
      <c r="E4591" t="inlineStr">
        <is>
          <t>黒ダイヤ</t>
        </is>
      </c>
      <c r="F4591" t="inlineStr">
        <is>
          <t>石炭ストーブ；石炭商；石炭運搬；石炭資源；石炭列車</t>
        </is>
      </c>
      <c r="G4591" t="inlineStr">
        <is>
          <t>石炭火力発電；石炭酸；石炭層；石炭ガス；石炭車</t>
        </is>
      </c>
      <c r="H4591" t="n">
        <v>29</v>
      </c>
      <c r="I4591" t="inlineStr">
        <is>
          <t>石炭貨物列車に使用されていたことから北海道・九州での保存が多い。；ほぼ同年代の中国戦国時代でも石炭を使用した遺跡が見つかっている。；・小学校に馬車一台分の石炭が運ばれてきた際、皆で群がり石炭を食べた。；その後数百万トンの石炭を残したまま1974年1月15日に閉山した。；条約ではトンガの石炭貯蔵設備をドイツが利用する権利を認めている。；山脈の西部では石油・石炭が盛んに採掘されているなど地下資源が豊富。；そのため戦後石炭価格が低下すると、多くの企業が負債を作ることになった。；地下資源は主に石炭であり、吉林省の石炭生産基地の一つとなっている。；ウェストバージニア州の石炭は五大湖の港から大きな需要が来ていた。；石炭輸送のために建設された美祢線が市西部を南北に縦断している。；ただし石炭生産地域ではその能力一杯に鉄道を使っている。；熱量の低い石炭を使用する常磐線用のD51形の一部にも搭載された。；これには、石炭の輸送は無賃であったというのが大きく影響している。；加盟国間では、石炭の貿易量は10倍となるなど通商関係が促進された。；石炭紀は名前の通り石炭特に無煙炭が大量に採掘される地層に該当する。；一部の炭鉱鉄道では蒸気機関車が牽引する石炭輸送列車が運行されている。；上記のように前期三畳紀の地層からは今のところ石炭が見つかっていない。；石炭の液化には触媒が必要であるので触媒化学が重要な要素としてある。；そして積み上げられた薪や石炭の下から36本もの火薬樽が発見された。；当初は石油を主燃料としていたが、石油ショックを契機に石炭へ変更した。；この衝突の力は熱に換算すると、同じ重さの石炭の数千倍に達すると計算した。；専用線上には、石炭を貨車に積み込むためのホッパーが設置されていた。；ところが石炭と鉄鋼以外の政策分野では理事会の同意が求められた。；あまりの寒さにロンドン市民は通常より多くの石炭を暖房に使った。；州内の発電量と消費量は国内でも高い方であり、石炭が主要燃料になっている。；また、石炭や石油のような化石燃料の人為的利用も問題を複雑にしている。；石炭は元となった植物が繁茂していた時代に相当する地層から産出される。；植物が石炭化する速度は地中での圧力や温度の影響を受ける。；泥炭は石炭の成長過程の最初の段階にあると考えられている。</t>
        </is>
      </c>
      <c r="J4591">
        <f>HYPERLINK("https://www.weblio.jp/content/石炭", "词义详情")</f>
        <v/>
      </c>
      <c r="K4591">
        <f>HYPERLINK("https://yourei.jp/石炭", "查看例句")</f>
        <v/>
      </c>
    </row>
    <row r="4592">
      <c r="A4592" t="inlineStr">
        <is>
          <t>赤道</t>
        </is>
      </c>
      <c r="B4592" t="inlineStr">
        <is>
          <t>成功</t>
        </is>
      </c>
      <c r="C4592" t="inlineStr">
        <is>
          <t>読み方：せきどう
１地球の中心を通り、地軸に直角な平面と地表との交線。緯度を測る基準となり、緯度は零度。
２地球の中心を通り、地軸に直角な平面と天球とが交わってつくる線。赤緯の基準となる。天の赤道。</t>
        </is>
      </c>
      <c r="D4592" t="inlineStr">
        <is>
          <t>赤道斎(14%)；赤道付近(12%)；赤道上(6%)；赤道近く(2%)；赤道域</t>
        </is>
      </c>
      <c r="F4592" t="inlineStr">
        <is>
          <t>赤道地域；赤道周辺；赤道ギニア代表；太平洋赤道；赤道帯</t>
        </is>
      </c>
      <c r="G4592" t="inlineStr">
        <is>
          <t>赤道儀；赤道傾斜角；赤道州；赤道儀式架台；赤道ギニア共和国</t>
        </is>
      </c>
      <c r="H4592" t="n">
        <v>29</v>
      </c>
      <c r="I4592" t="inlineStr">
        <is>
          <t>また、赤道上の地上から見ると一日のうちでも厳密には距離が変化する。；赤道へ行っても実際は地球儀にかいてあるような線はどこにも存在しない。；その外につばのようなものが、球の赤道にあたるところにはまっている。；赤道を越えて南へ行った船の名と、持って帰った船の名が入っているだろうが?；この小世界の赤道部分は、時速一千キロ以上で回転しているにちがいない。；眼下の植物の変化によって、急速に赤道に近づいていることがわかった。；これより赤道に至る八千六百ベスターというような標もあちこちにある。；赤道付近の南北に位置することから、赤道アフリカと呼ばれることもある。；雨は雪に変わり、その雪が南北両極から赤道へ向かって広がってゆく。；ランダーは月の赤道付近にある虹の入江地域に着陸するよう計画された。；一方、分点近くでは、暗い赤道分点が主に見え、惑星全体が暗く見える。；これは、恒星から地球の視線に沿った自転速度の赤道方向の成分である。；横線の下に描かれている白い星は、赤道の少し南に位置するナウルを表す。；赤道にほぼ完全に沿って存在しているのが、形成を説明するのが困難な原因である。；タイタンの最も標高が高い領域は、赤道付近にベルト状に集中している。；あのじいさんのまんまん中にも赤道みてえなもんが通ってるんじゃねえかな。；翼の強い海鳥も赤道の熱さには敵わないと見えて信天翁一羽見えないのである。；東太平洋の赤道付近の海水温が平年より5以上上昇しているのがわかる。；は地球の赤道から離れた静止軌道に最も近い衛星から以内の距離で接近した。；単位球面の赤道は、次の式で与えられる媒介変数表示された曲線である。；赤道に近いことが良い発射場の条件であり、この点はどの場所も共通していた。；北緯45度線が郡を横切っており、北極と赤道の中間にあることになる。；赤道に近い熱帯雨林気候であるが、海に面しているため過ごしやすい。；また、赤道地方から極地方へのエネルギーの季節移動の観測にも用いられた。；マーシャル諸島は赤道の近く、国際日付変更線のすぐ西に位置している。；同じ緯度の地点を結んだ線は緯線と呼ばれ、赤道に平行な同心円になる。；イアペトゥスは赤道に沿って特徴的な尾根が走っていることが確認されている。；これは付近にアラスカ海流が赤道方向からの熱を輸送してきていることの効果である。；赤道付近の太平洋上に位置するフェニックス諸島を構成する島である。</t>
        </is>
      </c>
      <c r="J4592">
        <f>HYPERLINK("https://www.weblio.jp/content/赤道", "词义详情")</f>
        <v/>
      </c>
      <c r="K4592">
        <f>HYPERLINK("https://yourei.jp/赤道", "查看例句")</f>
        <v/>
      </c>
    </row>
    <row r="4593">
      <c r="A4593" t="inlineStr">
        <is>
          <t>咳止め</t>
        </is>
      </c>
      <c r="B4593" t="inlineStr">
        <is>
          <t>成功</t>
        </is>
      </c>
      <c r="C4593" t="inlineStr">
        <is>
          <t>読み方：せきどめ
咳をとめること。また、そのための薬剤。</t>
        </is>
      </c>
      <c r="D4593" t="inlineStr">
        <is>
          <t>咳止めシロップ(13%)；咳止め薬(9%)；咳止めドロップ(2%)</t>
        </is>
      </c>
      <c r="H4593" t="n">
        <v>29</v>
      </c>
      <c r="I4593" t="inlineStr">
        <is>
          <t>コデインは咳止めシロップにはいっていて日本でも問題になった麻薬だ。；ライヴリーは運転手に有毒物質入りのシロップを咳止めだと言って渡した。；悪いけど、もう一度あの咳止めシロップについて説明してくれないか?；風邪を引いた際に飲む咳止めに含まれるので、多数の国民が服用経験があると考えられる。；このときは咳止めの薬が出されている。；あたしが調べたんでは、どこでも手に入る咳止めのエフェドリンと分子構造がよく似ている。；ミス・ハーパーが咳止めのびんをわざと私の目につく場所に置いたということを、証明することはできない。；あの咳止めシロップのびんは、捜査を混乱させるために、わざとあそこに置いたのかもしれない。；薬自体はサルファ剤を主成分とした咳止めシロップであった。；ライヴリーは風邪をひいたマースデン家の運転手に咳止めを買ってくると申し出た。；精油には、淡きり、咳止めの効果があると言われている。；店はちょうど通りの角にあって、このあたりにはボロをまとった元気な子供たちが群れをなして遊んでいるのであるが、やがてはこの子供たちも、中で待っている咳止めドロップや鎮静シロップを必要とする候補者となるわけなのである。；現代の薬では、たとえば咳止め薬が と呼ばれるが、もっぱら、神話・伝説上の薬についてそう呼ぶ。；また、大根や蓮根を粟飴に漬け込んだものは咳止めとして重宝されたという。；いずれも、皮の内側を剥ぎ、乾燥させた上で、咳止めなどの喉の薬、食欲不振の改善などに用いられる。；ブルーが咳止め薬を大量に飲んで死のうとしたときは、由起がすぐさまトイレで薬を吐いて、そのあと救急車も呼んだそうです。；止めに入るかと、若だんなはちらりと兄やを見たが、仁吉は若だんなの咳止めの薬を用意するのに忙しい。；モルヒネが高い濃度で含まれているため、アヘンチンキは歴史的に様々な病気の治療に使われたが、主な用法は鎮痛と咳止めだった。；ヨーロッパでは咳止めや消炎剤、目薬として利用されている。；これは市販の咳止めに入っている鎮咳薬よ。；例えばシルバー・メープルの木の南側から取られた樹皮の浸出液は咳止め薬としてモヒガン族に使われていた。；歯磨き粉や咳止めシロップ、軟膏や他の薬剤に用いられたこともあったが、アメリカ合衆国では1976年に利用が中止された。；煎じたものは咳止めや利尿薬としても用いられた。；大きな果実は塩漬けにして冬場の食用になり、また焼酎に漬けこめば咳止めの薬になるのです。；また、本草学的な薬用目的の使用法もいろいろあり、熱冷ましや咳止めとしても用いられる。；樹皮は強壮剤や覚せい剤になると考えられ、樹皮の煎じ汁は咳止めに用いられた。；「杏仁」が咳止め薬として珍重され、松代藩が栽培を奨励したため、今日に至るまで生産が盛んになったと言われている。；初めは、或る種の咳止め剤などに混入されている、微量の麻薬を抽出する作業だったが、しだいに規模が大きくなった。；ブラジルの薬局ではクレソンから作られた咳止めシロップが大衆薬として認知されている。</t>
        </is>
      </c>
      <c r="J4593">
        <f>HYPERLINK("https://www.weblio.jp/content/咳止め", "词义详情")</f>
        <v/>
      </c>
      <c r="K4593">
        <f>HYPERLINK("https://yourei.jp/咳止め", "查看例句")</f>
        <v/>
      </c>
    </row>
    <row r="4594">
      <c r="A4594" t="inlineStr">
        <is>
          <t>責任</t>
        </is>
      </c>
      <c r="B4594" t="inlineStr">
        <is>
          <t>成功</t>
        </is>
      </c>
      <c r="C4594" t="inlineStr">
        <is>
          <t>読み方：せきにん
１立場上当然負わなければならない任務や義務。「引率者としての—がある」「—を果たす」
２自分のした事の結果について責めを負うこと。特に、失敗や損失による責めを負うこと。「事故の—をとる」「—転嫁」
３法律上の不利益または制裁を負わされること。特に、違法な行為をした者が法律上の制裁を受ける負担。主要なものに民事責任と刑事責任とがある。</t>
        </is>
      </c>
      <c r="D4594" t="inlineStr">
        <is>
          <t>責任者；責任を取る形；責任追及；責任感；責任書記</t>
        </is>
      </c>
      <c r="E4594" t="inlineStr">
        <is>
          <t>務め；役；任務；勤め；義務</t>
        </is>
      </c>
      <c r="F4594" t="inlineStr">
        <is>
          <t>大きな責任；責任制限手続；責任限度額；責任を厳しく追及；責任転嫁</t>
        </is>
      </c>
      <c r="G4594" t="inlineStr">
        <is>
          <t>責任感；責任能力；責任問題；責任転嫁；責任論</t>
        </is>
      </c>
      <c r="H4594" t="n">
        <v>29</v>
      </c>
      <c r="I4594" t="inlineStr">
        <is>
          <t>新しい世代の日本人はもう戦争に責任をもつ必要はないかもしれない。；そんなこと、私は知ったことではありません、私の責任ではありません。；これらも当社の責任・スタッフで運営するため直営化の一環としている。；全体として一つのプロセスを実施する際の各組織の責任を明確化できる。；台本を用意しないことで、メディアは大きな責任を回避する事が出来る。；本人は「社員だけに責任を転嫁したわけではない」と語っていたという。；責任とは、社会的に見て自由があることに伴って発生する概念である。；この法では両親とその居住する教育学区の任務と責任を規定している。；それ故に良い政府はその現実に責任を取らなければならないと考えた。；古い時代の刑法では結果的責任及び団体的責任の観念が支配的であった。；議会は大統領の責任を追及できない反面、大統領は議会を解散できない。；二人目の子供を死なせた責任が自分にある竜三に断ることは出来なかった。；また、それは当時の紋章官の責任であるという意見も共通して見られる。；このため、配信記事の責任の所在を巡ってトラブルが起こることもある。；この時期は会社が成長する一方で家族や親類への責任も増していた。；自由な行為・選択があることに伴い、それに応じた責任が発生する。；党大会決定の実行に責任をおい、対外的に党を代表し、全党を指導する。；一方、フランスでは契約責任の帰責の根拠は契約の拘束力とされている。；この世界は現存在が責任を負えず、選んだ訳でもない事物に満ちている。；責任の所在は認められたが、患者の苦しみは今もなお続いている。；ペットが人に被害を与えた場合、刑事・民事の責任を問われることがある。；これらの団体は受託責任を必要とする広大な土地の所有権を与えられている。；また、都市の発展とビジョンの仕事に対して全体的な責任を負っている。；本人はこの変化を国王としての責任の重圧が原因だと主張している。；そのかわりにクロックが販売拡張の全責任を負うことになっていた。；この誤報に関わった空軍のスタッフは責任を問われて解雇されている。；責任無能力者が責任を負わない場合には監督義務者の責任が問題となる。；すべてのパートナーについて、その責任が限定されているのが特徴である。；通州事件の原因や日本軍の責任や事件の評価としては以下の説が存在している。</t>
        </is>
      </c>
      <c r="J4594">
        <f>HYPERLINK("https://www.weblio.jp/content/責任", "词义详情")</f>
        <v/>
      </c>
      <c r="K4594">
        <f>HYPERLINK("https://yourei.jp/責任", "查看例句")</f>
        <v/>
      </c>
    </row>
    <row r="4595">
      <c r="A4595" t="inlineStr">
        <is>
          <t>責務</t>
        </is>
      </c>
      <c r="B4595" t="inlineStr">
        <is>
          <t>成功</t>
        </is>
      </c>
      <c r="C4595" t="inlineStr">
        <is>
          <t>読み方：せきむ
責任と義務。また、果たさなければならない務め。「—を負う」</t>
        </is>
      </c>
      <c r="D4595" t="inlineStr">
        <is>
          <t>責務を果たすべく；責務を果たせなく；責務責任</t>
        </is>
      </c>
      <c r="E4595" t="inlineStr">
        <is>
          <t>務め；役；役割；責任；任務</t>
        </is>
      </c>
      <c r="F4595" t="inlineStr">
        <is>
          <t>重大な責務；重い責務；主な責務；社会的責務</t>
        </is>
      </c>
      <c r="H4595" t="n">
        <v>29</v>
      </c>
      <c r="I4595" t="inlineStr">
        <is>
          <t>我々の責務は子供たちが実際に生きている現実を描写することです。；彼は朝廷内での主戦派であり、フランスと戦う責務を最後まで全うした。；晋室の復興を自らの責務としていたが、不幸にも谷底に落ちてしまった。；将軍の最も重要な責務として充分に考えなければならないことである。；少なくとも死の責務を感じなければいけないほどの関係はなかった。；その主な責務には、最高裁判所の運営と管理に対する監督が含まれている。；まるで人間としての責務全部から絶縁された自分を見ているような気分だ。；十字線に映る敵影に全神経を集中し、己の責務を果たす声を張り上げた。；それは大統領である私に与えられた歴史的な責務でもあります。；国家に関わるどんな事態が発生しようと、それに応えるのが首相の責務だ。；彼らは帝国末期に命令を受けて防衛の責務を負っていたからである。；それを知った上でなお自殺せず、生きて政治の責務を果たすよう激励される。；このように澄み切った心で国家の興隆を念ずるのが、現代青年の責務だ。；こんな生きる責務の重い世の中へ親あればこそ生れ来たった子。；責務をはたす間に、情報は濁流となって彼のもとへそそぎこまれてくる。；以前はブリストル警察署が行っていた責務を引き受けるよう考えられた。；「そうならないようにするのが、われわれの責務だ」 グルーは言った。；彼は、彼で今現在、重い責務を背負ってスイスに飛んでいるところである。；結婚六年目の受胎は、夫妻ともに重い責務を果たしたという安堵が強い。；それが宇宙にまで進出した人類の責務だとあなたは言った。；隠棲は義務のない人のためのものだが、自分にはあまりにも多くの責務がある。；わたしたちの責務は、今までにくらべてすこしも楽になってはいませんよ。；私は我が人民を戦争から連れ出すことを自らの責務であると考えています。；スクラムチームはプロダクトゴール達成に必要な全ての活動を責務とする。；また地方公共団体、住民、関係事業者等の責務や役割が規定されている。；これらの官庁の一つがどのように責務を果たしているかをこれから示すことにする。；オランダにおいては、安全衛生管理者に求められる責務には以下がある。；いま彼に課せられている最も重要な責務は、後継者を選ぶことである。；今や、かれの主張の正しかったことを証明するのがわれわれの責務だった。</t>
        </is>
      </c>
      <c r="J4595">
        <f>HYPERLINK("https://www.weblio.jp/content/責務", "词义详情")</f>
        <v/>
      </c>
      <c r="K4595">
        <f>HYPERLINK("https://yourei.jp/責務", "查看例句")</f>
        <v/>
      </c>
    </row>
    <row r="4596">
      <c r="A4596" t="inlineStr">
        <is>
          <t>石油</t>
        </is>
      </c>
      <c r="B4596" t="inlineStr">
        <is>
          <t>成功</t>
        </is>
      </c>
      <c r="C4596" t="inlineStr">
        <is>
          <t>読み方：せきゆ
１種々の炭化水素の混合物を主成分とする液状の物質。海底に堆積(たいせき)した生物遺体がバクテリアの作用や熱・圧力で分解してできたとされる。天然のままのものを原油とよび、蒸留・精製してガソリン・灯油・軽油・ピッチなどを得る。燃料・化学工業用原料として重要。
２特に、灯油の俗称。</t>
        </is>
      </c>
      <c r="D4596" t="inlineStr">
        <is>
          <t>石油会社(6%)；石油資源；石油輸送；石油タンク；石油生産</t>
        </is>
      </c>
      <c r="E4596" t="inlineStr">
        <is>
          <t>原油；重油</t>
        </is>
      </c>
      <c r="F4596" t="inlineStr">
        <is>
          <t>石油収入；石油企業；石油関連；石油利権；石油ブーム</t>
        </is>
      </c>
      <c r="G4596" t="inlineStr">
        <is>
          <t>石油製品；石油ストーブ；石油化学；石油ランプ；石油産業</t>
        </is>
      </c>
      <c r="H4596" t="n">
        <v>29</v>
      </c>
      <c r="I4596" t="inlineStr">
        <is>
          <t>石油が発見されて以来、州経済は石油産業の状況に大きく依存してきた。；先進国の経済が中東の石油に極端に依存していることが明らかとなった。；当初は石炭ガスを燃料としたが、後には灯油等の石油系燃料を使用した。；石油資源がこの地域に集中して形成された原因は現在明らかではない。；この作品では石油の消費と生産における世界的な衝突を予測している。；地上での石油掘削の基本的なロータリー方式での構成について記述する。；石油会社の中では積極的に環境保護に対して取り組む姿勢を見せている。；輸送品目は北線がセメント、南線がセメントに加え石油が中心であった。；山脈の西部では石油・石炭が盛んに採掘されているなど地下資源が豊富。；なお、家庭用では、冷房にガスや石油の力はあまり使用されていない。；CMは常に、石油バージョンと金取引バージョンの2種類が製作される。；これは試掘井が石油の無い深さに穴をあけていたりするためでもある。；煙の元としては、羊の糞や地上に染み出した石油などが使われたらしい。；石油輸出国によって結成され、輸出国の利益を守ることを主な目的とする。；輸出の大部分が石油で、貿易黒字を維持するために輸出量は調節している。；政情が安定しつつあるティモール海の石油・ガス生産も成長産業である。；アメリカから輸入した綱掘り式掘削機械で相良油田から石油を採集した。；そのため、本輪西駅と当駅の間に石油輸送貨物列車が運行されていた。；当初は石油を主燃料としていたが、石油ショックを契機に石炭へ変更した。；石油収入150億ドルのうち100億ドルが使途不明のまま消えていく。；石油を輸送する貨物列車は1日2往復、根岸駅との間に設定されている。；皮膚から吸収された石油系合成物が人体にどのように影響するのか全く研究がなされていない。；理由は石油などのエネルギー源をほとんど海外に依存している事への危険感からである。；清涼飲料水で使用する炭酸ガスも石油由来のものを回収して使用している。；オーストラリアの海底油田に隣接する領域からの石油の抽出を管理している。；農業が州内最大の産業であるが、石油と食品加工も主要産業に成長している。；また、石炭や石油のような化石燃料の人為的利用も問題を複雑にしている。；工業は石油などの資源はないが様々な工業が発展しており今後も成長が見込まれる。；高校のころから小説家を希望し、石油会社OLをしながら書き続ける。</t>
        </is>
      </c>
      <c r="J4596">
        <f>HYPERLINK("https://www.weblio.jp/content/石油", "词义详情")</f>
        <v/>
      </c>
      <c r="K4596">
        <f>HYPERLINK("https://yourei.jp/石油", "查看例句")</f>
        <v/>
      </c>
    </row>
    <row r="4597">
      <c r="A4597" t="inlineStr">
        <is>
          <t>セクハラ</t>
        </is>
      </c>
      <c r="B4597" t="inlineStr">
        <is>
          <t>成功</t>
        </is>
      </c>
      <c r="C4597" t="inlineStr">
        <is>
          <t>「セクシュアルハラスメント」の略。</t>
        </is>
      </c>
      <c r="D4597" t="inlineStr">
        <is>
          <t>セクハラ行為(7%)；セクハラ問題(3%)；セクハラ音楽教師(3%)；セクハラまがい；セクハラ被害</t>
        </is>
      </c>
      <c r="E4597" t="inlineStr">
        <is>
          <t>セクシャルハラスメント</t>
        </is>
      </c>
      <c r="F4597" t="inlineStr">
        <is>
          <t>どこぞのセクハラ音楽</t>
        </is>
      </c>
      <c r="G4597" t="inlineStr">
        <is>
          <t>セクハラ発言；セクハラやじ；セクハラレズ</t>
        </is>
      </c>
      <c r="H4597" t="n">
        <v>29</v>
      </c>
      <c r="I4597" t="inlineStr">
        <is>
          <t>男五人に女は彼女一人の職場で、彼女は今でいうセクハラを受けていた。；今後はもう少しセクハラに手心を加えてあげることにしよう、と思った。；確かにヘンタイでひどいセクハラ男だが、犬扱いの腕は相当立つらしい。；また、以前からこの理事に何度かセクハラに近い行為を受けていたともいう。；嫌がらせでよくメディアなどで取り上げられるセクハラは有名である。；今回の調査で、ほかにも複数の女性隊員がセクハラ被害を受けたことが判明。；レベル1 セクハラ台所で料理を進めているなごみの 後ろに近づく。；セクハラ男をやってしまえと声高に叫んでいた者ほど変わり身が早かった。；アルコールとセクハラが全ての中心になって世界が回ってやがる。；作家としての立場を利用したパワハラでもセクハラでも、かまうもんか。；絶対こいつ、隙あらば俺がセクハラしたことにしようとしてんだろ!；ああいうセクハラ行為をわざとやっているとも思えないが。；本当にこのセクハラ音楽教師が落ち込んでいると信じている顔だ。；セクハラって男の人がするもんだと思ってたけど、そうじゃないのね。；バレンタインデーにセクハラ・パワハラに近い感情を持つ人も出てきている。；養女という相手の弱い立場を利用してセクハラした上の、とどめの脅迫。；医療界はセクハラ天国だが、いまのを聞かれると、私の立場上困る。；一体君はいかなる理由をもって僕をセクハラ呼ばわりするのか。；痴呆症のお爺ちゃんをセクハラだって追及するわけにはいかないしね。；しかし、支局関係者の男性からセクハラを受けたと報告したことで解雇された。；これに対してケインは、セクハラ行為も不倫もしていないと全面否定し。；それにしてもなんだよ、同性相手にセクハラでもないだろうにな。；セクハラとまではいかないが、尻をさわられることぐらい、珍しくなかった。；対価型セクハラはパワハラの一種であり、ひとつの典型例とする説もある。；また、セクハラ被害は事件の被害少女だけではなく他の女子生徒にも及んでいた。；中村よりは話の分かりそうなオヤジだと思っていたのに、最後はセクハラか。；ビーデルや人造人間18号などの女性と戦わせるとセクハラしようとする。；ほとんど満杯の席からは、注文ともセクハラともつかない声が飛ぶ。；こんなセクハラな質問に答えなくても大丈夫なんですよ!?</t>
        </is>
      </c>
      <c r="J4597">
        <f>HYPERLINK("https://www.weblio.jp/content/セクハラ", "词义详情")</f>
        <v/>
      </c>
      <c r="K4597">
        <f>HYPERLINK("https://yourei.jp/セクハラ", "查看例句")</f>
        <v/>
      </c>
    </row>
    <row r="4598">
      <c r="A4598" t="inlineStr">
        <is>
          <t>世間</t>
        </is>
      </c>
      <c r="B4598" t="inlineStr">
        <is>
          <t>成功</t>
        </is>
      </c>
      <c r="C4598" t="inlineStr">
        <is>
          <t>読み方：せけん
《3が原義》
１人が集まり、生活している場。自分がそこで日常生活を送っている社会。世の中。また、そこにいる人々。「—を騒がした事件」「—がうるさい」「—を渡る」
２人々との交わり。また、その交わりの範囲。「—を広げる」
３仏語。生きもの（衆生(しゅじょう)世間）と、それを住まわせる山河大地（器(き)世間）、および、生きものと山河大地を構成する要素（五陰(ごおん)世間）の総称。
４人の住む空間の広がり。天地の間。あたり一面。
「俄(にはか)に霧立ち、—もかいくらがりて」〈大鏡・道長下〉
５僧に対する一般の人。俗人。
「ある律僧、—になりて子息あまたありけるうち」〈沙石集・三〉
６社会に対する体面やそれに要する経費。
「—うちばに構へ、又ある時は、ならぬ事をもするなり」〈浮・永代蔵・四〉
７この世の生活。財産。暮らし。境涯。
「武州に—ゆたかなる、所の地頭あり」〈沙石集・九〉</t>
        </is>
      </c>
      <c r="D4598" t="inlineStr">
        <is>
          <t>世間一般(3%)；世間的(3%)；世間知らず(3%)；世間並み；世間普通</t>
        </is>
      </c>
      <c r="E4598" t="inlineStr">
        <is>
          <t>市民；民；世の中；民衆；大衆</t>
        </is>
      </c>
      <c r="F4598" t="inlineStr">
        <is>
          <t>広く世間；一般世間；実世間；対世間；ひろく世間</t>
        </is>
      </c>
      <c r="G4598" t="inlineStr">
        <is>
          <t>世間体；世間並；世間なみ；世間様；世間周知</t>
        </is>
      </c>
      <c r="H4598" t="n">
        <v>29</v>
      </c>
      <c r="I4598" t="inlineStr">
        <is>
          <t>別に秘密に計画したわけではなく、世間の人が気づかなかつたのである。；作品が世間にどのように受け入れられたのかを出典を基に記述します。；旧皇族は世間の注目を避けて静かに生活してきた者がほとんどだった。；やがてジョンの存在がマスコミによって広く世間に知られることとなる。；当時の代表的なCMに など、その不気味な内容が世間で話題になった。；幸い命に別状はなかったものの、世間に与えた衝撃は非常に大きかった。；それだけに晩年の豹変と教会関係者への土地寄進は世間に衝撃を与えた。；当時は世間で名の知れたタレントや文化人の出場もマスコミの話題となった。；女性であることが世間に知られるようになったのは1977年のことである。；この時、西洋近代絵画の至宝の地位として世間に認められるようになる。；世界中の数々の映画賞を受賞し、広くその名を世間に知られることになる。；この事は茂吉の遺族をはじめ世間にも非常な驚きを持って迎えられた。；世間のニュースにならなかった最大のニュースがこれであった。；世間では二人の仲は既に公然のものとなっており、その状況に宮は戸惑う。；そのためプロレスを題材としたこの作品も世間に受け入れられやすかった。；アデーレは、世間に知られたくない夫の側面を隠し通そうとしたのである。；マスコミ宛に世間一般への公開を前提とした初めての挑戦状だった。；世間ではふたりの仲は良くないって言われてますけど、そうではないんですよ。；彼もそうしたポストモダンの建築家の一人と、世間的には認識された。；この頃からすでに彼は世間からも映画界からも忘れ去られた存在となっていた。；世間は、彼を無視し彼の作品の多くがコレクションされていない。；プールの方は世間一般的に夏休みと呼ばれる期間にのみ利用できる。；また選挙に世間の関心を集めるために多くの策が講じられてきた。；宇陀松山藩のこの事件は世間に広く知れ渡り、幕府も知るところとなった。；幼い頃から明敏で学問を好み、その才能と名望で世間の評判であったという。；つまり小中学校という環境であったり、親・世間からの期待も大きくなる。；明治になり、海外からの情報が入ってくると、まず翻訳と言う形で世間に伝わった。；世間を騒がせるのが目的で、脅迫に関する殺意等は無かったと主張した。；彼女は世間から隔絶して育てられたため感情を表に出すことのない冷たい印象の女性だった。</t>
        </is>
      </c>
      <c r="J4598">
        <f>HYPERLINK("https://www.weblio.jp/content/世間", "词义详情")</f>
        <v/>
      </c>
      <c r="K4598">
        <f>HYPERLINK("https://yourei.jp/世間", "查看例句")</f>
        <v/>
      </c>
    </row>
    <row r="4599">
      <c r="A4599" t="inlineStr">
        <is>
          <t>是正</t>
        </is>
      </c>
      <c r="B4599" t="inlineStr">
        <is>
          <t>成功</t>
        </is>
      </c>
      <c r="C4599" t="inlineStr">
        <is>
          <t>読み方：ぜせい
［名］(スル)悪い点や不都合な点を改め正すこと。「不均衡を—する」</t>
        </is>
      </c>
      <c r="D4599" t="inlineStr">
        <is>
          <t>是正するため(9%)；是正しよ(3%)；是正される(2%)；是正指導；是正通達</t>
        </is>
      </c>
      <c r="E4599" t="inlineStr">
        <is>
          <t>変更；改善；改正；修正；直し</t>
        </is>
      </c>
      <c r="F4599" t="inlineStr">
        <is>
          <t>一票の格差是正；情報格差是正；是正指示；是正処置</t>
        </is>
      </c>
      <c r="G4599" t="inlineStr">
        <is>
          <t>是正措置；是正命令；是正要求</t>
        </is>
      </c>
      <c r="H4599" t="n">
        <v>29</v>
      </c>
      <c r="I4599" t="inlineStr">
        <is>
          <t>間違いを是正する手段があることと、その力を俺が持っていることを。；いちばんの問題は、やはり人間中心の考え方を是正すべきだと思うんです。；製造工程以外の派遣で自動車大手が是正指導を受けるのは初めてであった。；できる限り今後それらを是正してゆく努力をしたいと思っている。；私が思考を誤っているところがあるなら識者の高教を得てさらに是正したい。；これを不服とした英国は清国に貿易不均衡を是正するように圧力をかける。；貿易不均衡是正のために協力した後の僕としては、複雑な気持ちです。；その理想は、米が経済の要であることから生じる不均衡の是正である。；また大橋、鬼丸判事は是正される可能性があり無効とはいえないとした。；この法律はこれらを是正することを目的としている、まちづくり3法の一つ。；一方でアレクサンドラ地区は失業者が多く地域格差の是正が課題である。；五大湖合意によって浄化手段を開始するために是正行動計画が創設された。；市では旧市町間の料金格差の是正と併せて統一に向けた準備を進めている。；是正されていない場合でも刑事事件に切り替えられることは実際には少ない。；彼らは、彼らが提案する地域主義政策で状況を是正すると主張した。。；中には心から世の革命を願い、悪を是正しようと頑張っていた人もいただろう。；政財界からは各国間の法律の調整と政策のずれを是正を求める声が上がっていた。；特に日本では、晦渋な翻訳の問題の是正に貢献している面もある。；それが是正されるには、あと三十年くらいかかるのではないかということであった。；この辺で是正しておかなければ取り返しがつかないことになる。；これがどうしても是正できないところに、日本の現代演劇の病根の一つがある。；間違いだらけのこの世界を是正して、あったことをなかったことにしてくれる力を持っている。；それを是正したく思われるならわが軍を攻撃されよ。；しかし警察庁は一一年前に「階級是正」を実施し、大量昇進が制度化された。；利得が低ければ、誤差を検出したときに行われる是正動作は小さくなる。；お前たちがEOSと呼ぶエネルギー漏洩状態を是正せねばならない。；そのとき、再発防止のための是正処置を取るようにと勧告されていた。；これを是正されるという事は如何に芸術の力とはいえ医学上あり得べき事でない。；この方針は、という綱領が出されたときに是正されるべきであった。</t>
        </is>
      </c>
      <c r="J4599">
        <f>HYPERLINK("https://www.weblio.jp/content/是正", "词义详情")</f>
        <v/>
      </c>
      <c r="K4599">
        <f>HYPERLINK("https://yourei.jp/是正", "查看例句")</f>
        <v/>
      </c>
    </row>
    <row r="4600">
      <c r="A4600" t="inlineStr">
        <is>
          <t>世相</t>
        </is>
      </c>
      <c r="B4600" t="inlineStr">
        <is>
          <t>成功</t>
        </is>
      </c>
      <c r="C4600" t="inlineStr">
        <is>
          <t>読み方：せそう
世の中のありさま。社会のようす。「現代の—を反映する事件」
[補説]書名別項。→世相</t>
        </is>
      </c>
      <c r="D4600" t="inlineStr">
        <is>
          <t>世相風俗；世相史；世相風刺；世相派；世相を色濃く</t>
        </is>
      </c>
      <c r="E4600" t="inlineStr">
        <is>
          <t>世の中；世論；風潮；潮流；時勢</t>
        </is>
      </c>
      <c r="F4600" t="inlineStr">
        <is>
          <t>こうした世相；現代世相；そうした世相；社会世相；近代世相</t>
        </is>
      </c>
      <c r="H4600" t="n">
        <v>29</v>
      </c>
      <c r="I4600" t="inlineStr">
        <is>
          <t>この時代には世相を反映してセカイ系と呼ばれる暗鬱な作品が流行した。；しかしだれがこの不条理な世相に非難の石をなげうつ事ができるだろう。；欧州戦争のあと、急速に不景気になっていく世相を彼はよく知っていた。；また80年代後半の世相や流行を感じさせる描写が多く登場している。；タレントや話題の人物を現代の世相に合致させた作風が特徴とされる。；これは執筆当時に米軍占領下にあった東京の世相を反映しているとも言われる。；戦後の荒廃した世相を背景とした推理小説を中心に、多数の短編を発表。；しかし、この笑い話を笑ってばかりもいられないような世相になっている。；それはもう世相とか、暗いとか、絶望とかいうようなものではなかった。；まるで肉も魚も油も酒も煮えくりかえっているような世相であった。；世相を揶揄する一人のギャグ漫画家とその担当編集者を軸にした物語。；そんな世相を受けて制作された、国際金融をテーマにした社会派ドラマ。；この一年有半の歳月に、そなたはいまの世相をよくながめ得たであろう。；あの終戦前後の混乱した世相からして、そんなことも考えられないではない。；キャラクターの名前の一部は実在の人物や世相をもじったものも多い。；そこになると、外国の作家には、世相風俗を描いた作者は非常に多い。；その傾向のどちらが優勢になるかは、その時々の院長や世相次第だった。；個人よりもむしろ時代の世相全体がそれらの作を産ませたのです。；当然のことで、日記はそもそも世相よりも自分のことを書くのが目的だからである。；作中のテーマがそれぞれ当時の世相を反映した内容となっている。；こういった事実はこの時代の世相をよく物語るものとなっている。；ただ今自分の頭の中にごたごたしている世相とは、とても比較にならない。；当時の落ち着きのない騒々しい世相を見事に映し取っていたといえよう。；今の世相を見ると、誰も彼もが、金に、権力に、地位に毒されて生きている。；放送当時の社会や流行、世相などからテーマが設定されていた。；人間は元来そういうものであり、変ったのは世相の上皮だけのことだ。；この円い玉をどこまで追って行っても、世相を捉えることは出来ない。；これは幕末という不穏当な時代世相を背景に制作されたともいわれる。；帝銀事件に幕をあけたこの年の世相も悪すぎたのかも知れない。</t>
        </is>
      </c>
      <c r="J4600">
        <f>HYPERLINK("https://www.weblio.jp/content/世相", "词义详情")</f>
        <v/>
      </c>
      <c r="K4600">
        <f>HYPERLINK("https://yourei.jp/世相", "查看例句")</f>
        <v/>
      </c>
    </row>
    <row r="4601">
      <c r="A4601" t="inlineStr">
        <is>
          <t>世帯</t>
        </is>
      </c>
      <c r="B4601" t="inlineStr">
        <is>
          <t>成功</t>
        </is>
      </c>
      <c r="C4601" t="inlineStr">
        <is>
          <t>読み方：せたい
１住居および生計を同じくする者の集まり。所帯。「一—当たりの収入」
２一戸を構えて独立の生計を立てること。また、その生計。「—を持つ」「—道具」
３生活に必要な家屋と家具。財産。身代。
「人の—ほど様々に替はる物は御座なく候」〈浮・文反古・二〉</t>
        </is>
      </c>
      <c r="D4601" t="inlineStr">
        <is>
          <t>世帯数(9%)；世帯道具(2%)；世帯じみ；世帯持ち；世帯当たり</t>
        </is>
      </c>
      <c r="E4601" t="inlineStr">
        <is>
          <t>家；家族；門；家庭；一家</t>
        </is>
      </c>
      <c r="F4601" t="inlineStr">
        <is>
          <t>全世帯；一世帯；新世帯；各世帯；男世帯</t>
        </is>
      </c>
      <c r="G4601" t="inlineStr">
        <is>
          <t>世帯視聴率；世帯やつれ；世帯持；世帯年収；世帯染み</t>
        </is>
      </c>
      <c r="H4601" t="n">
        <v>29</v>
      </c>
      <c r="I4601" t="inlineStr">
        <is>
          <t>この両市街地・集落に酪農従事者世帯以外の住民の大半が居住している。；町内会等に加入・参加する世帯が減少していることが指摘されている。；自然災害により、住宅がいずれかの被害となった世帯を対象としている。；住居には竈が複数ある場合もあり、多世帯が同居していたと思われる。；その後は衰退し、現在はわずか10ほどの世帯が居住しているに過ぎない。；以下は平成27年度の国勢調査による人口・及び世帯数のデータである。；申請者を含む世帯について要件を満たすかどうかを調査することも多い。；多くの世帯が、郊外のや戸建の家に移り住むことになったからである。；このころの人口は7000世帯人口35000人に達したと推定されている。；数人の労働者は一日未満で一世帯の藁パネルの家を建てることができる。；そのため当地区では多くの世帯が障害物のない海を超えた岡山局を受信する。；化政期の世帯数は32軒で、村の規模は東西8町、南北10町であった。；開発する分譲マンションの世帯あたりの平均面積が業界最大である事を特徴としていた。；再開時点でも一部世帯が引き続き学校敷地内に住み続けている状況となっていた。；ここでは、受信可能世帯数が最も多い笠岡中継局のチャンネルを記した。；成人になった者は家を出て自身の世帯を造ることが期待された。；村には農民の数世帯が暮らし、クルミの林がとりわけ特徴だった。；また、日本国外でも受信している世帯は他の海外放送局に比べても少ない。；被害があった全ての世帯から同意を得た上で作業を始める方針であったが、一部同意しない住民もあった。；各年4月1日現在の蛎殻町町域の世帯数と人口の推移は以下の通りである。；また多くの世帯でテレビアンテナが倒れ、屋根が飛ぶなど大きな被害が出た。；独立世帯での暮らしとなり、人参や薬草を採取して細々と生計を立てた。；ニューヨーク市は世帯の半数以外が車を所有しない例外的存在である。；下記の表は、桃花台ニュータウンの人口と世帯数の推移を示したものである。；カップルひと組だけしかおらず子供のいない世帯も増加した。；ラーマ5世王の時代の記録によると300世帯が島で生計を立てていたとされる。；近年、単身か二人程度の世帯が暮らす住宅地区が都市圏に増えている。；丁目毎の面積 、人口と世帯数、および人口密度は以下の通りである。；これは村内の人口及び世帯数が少なく個人の名前だけで郵便物を届けられるためである。</t>
        </is>
      </c>
      <c r="J4601">
        <f>HYPERLINK("https://www.weblio.jp/content/世帯", "词义详情")</f>
        <v/>
      </c>
      <c r="K4601">
        <f>HYPERLINK("https://yourei.jp/世帯", "查看例句")</f>
        <v/>
      </c>
    </row>
    <row r="4602">
      <c r="A4602" t="inlineStr">
        <is>
          <t>世代</t>
        </is>
      </c>
      <c r="B4602" t="inlineStr">
        <is>
          <t>成功</t>
        </is>
      </c>
      <c r="C4602" t="inlineStr">
        <is>
          <t>読み方：せいだい
⇒せだい（世代）</t>
        </is>
      </c>
      <c r="D4602" t="inlineStr">
        <is>
          <t>世代別(3%)；世代間；世代機；世代ごと；世代超人</t>
        </is>
      </c>
      <c r="E4602" t="inlineStr">
        <is>
          <t>ジェネレーション；時人；ゼネレーション</t>
        </is>
      </c>
      <c r="F4602" t="inlineStr">
        <is>
          <t>何世代；数世代；新しい世代；前世代；旧世代</t>
        </is>
      </c>
      <c r="G4602" t="inlineStr">
        <is>
          <t>世代交替；世代間交流；世代間格差；世代会計；世代別ガベージコレクション</t>
        </is>
      </c>
      <c r="H4602" t="n">
        <v>29</v>
      </c>
      <c r="I4602" t="inlineStr">
        <is>
          <t>以前の世代よりも早い時期に性行為を始めることを示唆する研究もある。；女子小学生のみならずその親世代も含めた大人のファンも獲得している。；独立後は世代間で使用できる言語が異なっていることが問題となっている。；新しい世代の日本人はもう戦争に責任をもつ必要はないかもしれない。；この時代に大量に採用された社員を指してバブル就職世代とも言われる。；若い世代から老人まで、さまざまな世代の人物を登場させることが多い。；完全世代が近縁なものは、分生子の形成型が似ているという判断である。；彼はロシア革命前に成人していなかった共産党員の最初の世代であった。；この場合は遺伝子は操作されていないため次の世代には影響を及ぼさない。；近年ではアニメなどの流行により、その対象は広い世代に拡大しつつある。；このことについて、世代関係や活動地域から疑問が大きいとする説もある。；これにより一族の中での世代間の長幼の序を確認し合うことができる。；歴代韓国大統領で初の日本統治時代を経験していない世代の大統領である。；メジロブライトは、そのような改革実行後に育成される最初の世代だった。；この世代をもって初めてオンド・マルトノが発明されたことになる。；彼らの世代になると、もう日本との歴史をよく知らないんですよ。；進化は、生物の形質が世代を経る中で変化していく現象のことである。；なお、この期間に生まれた世代は団塊ジュニアと呼ばれることが多い。；秀吉の晩年、秀次は豊臣家の二世世代では唯一の成人した親族であった。；後述するように、各製品シリーズには旧世代の製品のリネーム品も含まれる。；だが、彼らの孫の世代は英語のみしか知らないのが普通である。；ただし米英日各国が建造した新世代戦艦との比較では、ひとまわり小型である。；この世代のうち、最も商業的に成功を収めたのはハンナ・クレンティである。；明治世代の人の苦労を伝えるのは、自分達の世代の義務だと感じた。；同作品の公開と同時に新世代の映画監督としても注目を集めるようになる。；第五世代コンピュータに続く、第六世代コンピュータとされる場合がある。；現役世代を圧迫するとして廃止や廃止の検討をしている組合が出てきている。；これが親植物から離れた地点で発芽して新世代の植物となる。；日本では重松清らがヤングアダルト世代向けの作品を手がけている。</t>
        </is>
      </c>
      <c r="J4602">
        <f>HYPERLINK("https://www.weblio.jp/content/世代", "词义详情")</f>
        <v/>
      </c>
      <c r="K4602">
        <f>HYPERLINK("https://yourei.jp/世代", "查看例句")</f>
        <v/>
      </c>
    </row>
    <row r="4603">
      <c r="A4603" t="inlineStr">
        <is>
          <t>節</t>
        </is>
      </c>
      <c r="B4603" t="inlineStr">
        <is>
          <t>成功</t>
        </is>
      </c>
      <c r="C4603" t="inlineStr">
        <is>
          <t>読み方：せち
⇒せつ</t>
        </is>
      </c>
      <c r="D4603" t="inlineStr">
        <is>
          <t>節ごと；節間；節くれ；節終了；節ちゃん</t>
        </is>
      </c>
      <c r="E4603" t="inlineStr">
        <is>
          <t>時；場合；頃；部分；曲</t>
        </is>
      </c>
      <c r="F4603" t="inlineStr">
        <is>
          <t>肢節；各節；仮節；胴節；脛節</t>
        </is>
      </c>
      <c r="G4603" t="inlineStr">
        <is>
          <t>節約；節足動物；節目；節度使；節度</t>
        </is>
      </c>
      <c r="H4603" t="n">
        <v>29</v>
      </c>
      <c r="I4603" t="inlineStr">
        <is>
          <t>あらすじ節のみで作品設定を扱いきれない場合は、この節を設置します。；営業路線の詳細は「路線」の節を、その他の詳細は以下の各記事を参照。；鰹節は節類の代表的なもので加工の工程や製品の形状の名称が共通する。；以下はこの節では特に断りが無い限り、地方自治法は条数のみ記載する。；関連事業についてはグループ会社の節も、車両の歴史は車両の節を参照。；後に動物だけでなく動物以外の単音節の単語も使われるようになった。；ただし、後節のとおり当路線は区間によって輸送密度に大きな差がある。；以下は節の例であり、必ずしも全てが必要なわけではありません。；その節中に、好調子の選手と不調子の選手とをわざと同じカードに組むこと。；関連した事件・現象、関連商品などがあればそれに応じた節を作成してください。；この節では、主に時代ごとのファラオが保持した王権について解説する。；使用方法は、アナログ式とほぼ同じであるので、その節を参照されたい。；戦いをゲームと捉えている節があり、チェスのようなもので作戦を指揮する。；販売時の事象にも特記することがあれば節を分けるなどして記述する。；地下茎はいくつかの節に分かれており、節の長さは品種によって異なる。；上記の節のように日本は大量に遺伝子組換え作物を輸入している。；しかし、前半が毎節違う歌詞で、後半は全節同じ歌詞となっているものも多い。；設けた節が短くなる場合、「設定」の節とまとめることが推奨されます。；このとき作った節を、作曲家になった後で気に入って自ら出版したこともある。；この節ではだいたい戦後使われるようになった新しめの技術について述べる。；先に向かって細くなり、先端以外の肢節にそれぞれ1対の内突起をもつ。；一組の矢では節の位置をそろえてあり、一本の矢には節は四つある。；古舘は当初簡単にレギュラー番組は決まると思っていた節もあったという。；この節では各放送地域ごとの放送局や放送時間などに関連した情報を扱います。；肩と股間節末端が大きなピニオンギアのような形をしているのが特徴。；後半戦に入ると、第26節終了時には6位と勝点で並ぶ7位にまで浮上。；節足動物の触角は頭部に備え、先節より後の体節に由来の付属肢である。；各胴節の両腹側からは1対の丸みを帯びた三角形の鰭が張り出している。；この節では特記なき限り共通事項及び登場時の形態について記述する。</t>
        </is>
      </c>
      <c r="J4603">
        <f>HYPERLINK("https://www.weblio.jp/content/節", "词义详情")</f>
        <v/>
      </c>
      <c r="K4603">
        <f>HYPERLINK("https://yourei.jp/節", "查看例句")</f>
        <v/>
      </c>
    </row>
    <row r="4604">
      <c r="A4604" t="inlineStr">
        <is>
          <t>説</t>
        </is>
      </c>
      <c r="B4604" t="inlineStr">
        <is>
          <t>成功</t>
        </is>
      </c>
      <c r="C4604" t="inlineStr">
        <is>
          <t>読み方：ぜい
⇒せつ</t>
        </is>
      </c>
      <c r="D4604" t="inlineStr">
        <is>
          <t>説が唱えられ；説が有力視；説が挙げられ；説が正しい；説が出さ</t>
        </is>
      </c>
      <c r="E4604" t="inlineStr">
        <is>
          <t>理論；体系；原理；定理；学説</t>
        </is>
      </c>
      <c r="F4604" t="inlineStr">
        <is>
          <t>教説；様々な説；傳説；有力な説；自殺説</t>
        </is>
      </c>
      <c r="G4604" t="inlineStr">
        <is>
          <t>説得；説い；説教；説く；説き</t>
        </is>
      </c>
      <c r="H4604" t="n">
        <v>29</v>
      </c>
      <c r="I4604" t="inlineStr">
        <is>
          <t>初めてこれらの説に理由付けを与えたのがモリス・ドゥラフォスである。；本説は下記に述べる生化学分野からのアプローチからも支持されている。；奴国は2回記されているが同一の国とする説と別の国とする説がある。；あるいは、母に事故だと思わせるようにして自殺したという説もある。；アルタイ諸語に属するとする説は、明治時代末から特に注目されてきた。；ただし、伊能家の状況は必ずしも順風満帆ではなかったとする説もある。；釈迦は自分の教説のなかで輪廻を超越する唯一神の存在を認めなかった。；現代で主流となっているのは65年〜70年ごろの成立という説である。；このうち「倫」字の意味とする場合、更に以下の四つの説があるという。；この説によれば、中国語へも日本語から輸出されたこととなる。；衛生仮説ともいわれるこの説は現在もっとも有力な説となっている。；主人公のおばあさんは、「長谷川の性格をモデルにした」との説もある。；また、宇宙には、物質の宇宙と意識の宇宙があるとする説がある。；地球の月は、地球形成末期に起きた巨大衝突の産物であるとする説が有力である。；この説はポセイドーンは古くは大地を司る神であったことに由来する。；しかしカーブル川沿岸の別の集落や、カーピシーなどへの比定説もある。；ドラヴィダ語族との関係を主張する説もあるが、これを認める研究者は少ない。；生物の化学組成と海水の組成が似ていることもその説の根拠の1つである。；イリオモテヤマネコも発見当時はこの例であるとの説があった。；この説は現代の学者たちに広く受け入れられている。；このため、想像上の動物をわざわざ作ってセトに充てたとする説も存在する。；この説は多くの人々に支持され最大の影響力を持っていた。；テティスが英雄ペーレウスと結婚した経緯についてはいくつかの説がある。；語源は、古アラビア語で「滞在地」の意味や人名が地名化した説がある。；呪術などに用いられたものではないかとする説などもある。；市内西部から市内中心部を通り、東部に流れる東川を指しているとする説もある。；ファーレンハイトがこの温度目盛を作った時の話には、いくつかの説がある。；人性論としても伝統的な性三品説から性善説が主張されるようになっていく。；「宇宙」という言葉の確定した起源や意味は不明だが、次のような説がある。</t>
        </is>
      </c>
      <c r="J4604">
        <f>HYPERLINK("https://www.weblio.jp/content/説", "词义详情")</f>
        <v/>
      </c>
      <c r="K4604">
        <f>HYPERLINK("https://yourei.jp/説", "查看例句")</f>
        <v/>
      </c>
    </row>
    <row r="4605">
      <c r="A4605" t="inlineStr">
        <is>
          <t>切開</t>
        </is>
      </c>
      <c r="B4605" t="inlineStr">
        <is>
          <t>成功</t>
        </is>
      </c>
      <c r="C4605" t="inlineStr">
        <is>
          <t>読み方：せっかい
［名］(スル)切り開くこと。特に、治療のために医者が患部をメス、はさみなどで切り開くこと。「患部を—する」</t>
        </is>
      </c>
      <c r="D4605" t="inlineStr">
        <is>
          <t>切開する(9%)；切開手術(7%)；切開部(3%)；切開術；切開箇所</t>
        </is>
      </c>
      <c r="F4605" t="inlineStr">
        <is>
          <t>皮膚切開；生体切開；背面切開；角膜切開；気管切開</t>
        </is>
      </c>
      <c r="G4605" t="inlineStr">
        <is>
          <t>切開き；切開く；切開か</t>
        </is>
      </c>
      <c r="H4605" t="n">
        <v>29</v>
      </c>
      <c r="I4605" t="inlineStr">
        <is>
          <t>さっききみに話したようにラムゼイはあまりにも高く切開を加えていた。；前者は生体切開を制限しようとしたし、後者はそれを廃止しようとした。；頭蓋の切開手術をしていた石山氏は突然私にこう質問したことがあった。；二、三日のうちに、ぼくはある有力な人間の胃を切開しなくちゃならん。；医者である叔父が、焚火でナイフを焼いてその場で切開してくれました。；なぜなら切開しなくても、より直接的に身体を治療していく手法があった。；包嚢をかぶった苦痛を、彼は外科医のように彼女の前で切開していった。；表面的な膿瘍は切開で治療するが、成熟の起こるのを待って時間がかかる。；そして吉住は電気メスを用いて膀胱を中央寄りのところで縦に切開した。；革命は文明を深く切開し、その傷口から人類の健康がとびだしてくるのだ。；切開が必要でない、自身の組織の移植であることなどの特徴がある。；すると、左の腕のつけねに、ちかごろ切開したようなあとがあるではないか。；先生は切開なさらなくてはならなかったんですと、申し上げておきました。；そこで切開手術をしたのですが、そのおできの中からなにが出てきたと思います。；二十歳前に胸部切開手術を受け、療養を継続中のときの犯罪である。；彼らが切開するところなど見ていられなかったと思う。；実際に北オランダで発見されたは、一部の内臓が切開部から引き抜かれていた。；この治療の特徴は、必要な切開部を小さくすることができ、所要時間も短い。；しかも、だれも自ら立ってその切開に当たろうとする者がいない。；解剖は、生体に切開などを加えて解体し、構造や組織を観察すること。；胸部を切開し心臓に直接動作を加える方法で最も確実な心臓マッサージ法。；また稀に肛門括約筋を僅かに切開するという手術を行う場合もある。；又、骨を切開しないため胸肋挙上術変法のような骨からくる痛みを伴わない。；私のイメージでは帝王切開とは、臍の下あたりを縦に切開することだ。；目の前に散らばる残骸を見て、切開してしまいそうなほど、胸がいたかった。；盲腸を病むと医師はよく切開手術をほどこすが、それは危険なことである。；咽頭切開後三十分間人工呼吸をやつてみたが駄目であつたとのことである。；又は、われ等及その家族の胃の腑と腸とを切開除去した後にするがいい。；心臓の機能は回復せず、足の血管を切開して強心剤を注入することになった。</t>
        </is>
      </c>
      <c r="J4605">
        <f>HYPERLINK("https://www.weblio.jp/content/切開", "词义详情")</f>
        <v/>
      </c>
      <c r="K4605">
        <f>HYPERLINK("https://yourei.jp/切開", "查看例句")</f>
        <v/>
      </c>
    </row>
    <row r="4606">
      <c r="A4606" t="inlineStr">
        <is>
          <t>せっかく</t>
        </is>
      </c>
      <c r="B4606" t="inlineStr">
        <is>
          <t>成功</t>
        </is>
      </c>
      <c r="C4606" t="inlineStr">
        <is>
          <t>読み方：せっかく
⇒しかく（刺客）</t>
        </is>
      </c>
      <c r="D4606" t="inlineStr">
        <is>
          <t>せっかく来；せっかくいい；せっかくこうして；せっかく見つけ；せっかく会え</t>
        </is>
      </c>
      <c r="E4606" t="inlineStr">
        <is>
          <t>やっと；何とか；どうにか；漸く；かろうじて</t>
        </is>
      </c>
      <c r="F4606" t="inlineStr">
        <is>
          <t>せっかくいい気分；せっかく馴染ん；せっかく仲よく；せっかく仲良く；せっかくこしらえ</t>
        </is>
      </c>
      <c r="H4606" t="n">
        <v>29</v>
      </c>
      <c r="I4606" t="inlineStr">
        <is>
          <t>せっかくの子供を殺してしまったりしては、もとも子もないからである。；といってまたその相手に面会するとせっかく立った腹がまた寝てしまう。；せっかくのところで名前を忘れたもんだから進行する事が出来なくなった。；せっかくの強力な厚みの周囲に数目の地を作るだけであり、効果が薄い。；そうしてせっかく出来ている物をそんなことをしないでもいいじゃないか。；せっかくの獲物を取られた猫はしばらくは畳の上をかいで歩いていた。；そしてせっかく風呂に入って軽くなった心を腐らしてしまうのであった。；しかし、せっかくの楽しい夢がそれでもう覚めてしまうかもしれないぞ。；そうしないとせっかくのクライマックスが少し弱すぎるような気がする。；せっかく君のために計ってやるつもりだったが、わしもこれで手をひく。；せっかく進学したのにトップが考えるのは売ったお守りのことだった。；せっかく気持よくなりかけていたものをと思うと妙に腹が立った。；掘れば出ない事はないでしょうけど、せっかくいい水が湧いてるのにね。；そうしてせっかく新たに入れたものにはどうも蛇足が多いようである。；ここにおいてかせっかく降りようと企てた者が変化して落ちる事になる。；でないと、せっかくそこに心の平和を求めてきたことが無駄になるだろう。；もし稽古をつけていたらせっかくの江戸らしさが失われていただろう。；しかしせっかく郡上に戻ってきた駕籠訴人らは庄屋の納屋に幽閉された。；せっかくの努力はこれ以上何物をも彼女に与える事ができなかった。；そしてせっかく結んだ髪を、また釈いたりなどして、氷で冷やしていた。；せっかく与える魚肉でも少し古ければ香をかいだままで口をつけない。；せっかくのかたきうちは、すっかりあべこべになってしまったのでした。；せっかく人が静かにしているのを、なんだって邪魔するんだろう?；どうかこのせっかくの企てを出来るだけ有効に遂行したいものである。；少女は、せっかく白い鳥がくわえてきてくれた花に根のないのを悲しみました。；そうでないと、せっかくの指導がほんとうに身につかないように思いますが。；でも、せっかくここまで苦労してきて、今ここでそんなことをしてしまっては。；これにより、信長はせっかく得た越前を一向宗に奪われることになった。；せっかく同性愛が市民権を得てきたのに、歴史が逆戻りすることになる。</t>
        </is>
      </c>
      <c r="J4606">
        <f>HYPERLINK("https://www.weblio.jp/content/せっかく", "词义详情")</f>
        <v/>
      </c>
      <c r="K4606">
        <f>HYPERLINK("https://yourei.jp/せっかく", "查看例句")</f>
        <v/>
      </c>
    </row>
    <row r="4607">
      <c r="A4607" t="inlineStr">
        <is>
          <t>説教</t>
        </is>
      </c>
      <c r="B4607" t="inlineStr">
        <is>
          <t>成功</t>
        </is>
      </c>
      <c r="C4607" t="inlineStr">
        <is>
          <t>読み方：せっきょう
［名］(スル)
１宗教の教義・教典を、信者などに、口頭で説き明かすこと。また、その話。「牧師が礼拝で—する」
２教え導くために言い聞かせること。また、堅苦しい教訓をいう語。「親に—される」</t>
        </is>
      </c>
      <c r="D4607" t="inlineStr">
        <is>
          <t>説教師；説教所；説教集；説教じみ；説教部屋</t>
        </is>
      </c>
      <c r="E4607" t="inlineStr">
        <is>
          <t>予言；教化；預言；説法；談義</t>
        </is>
      </c>
      <c r="F4607" t="inlineStr">
        <is>
          <t>路傍説教；御説教；有名な説教；長い説教；説教臭く</t>
        </is>
      </c>
      <c r="G4607" t="inlineStr">
        <is>
          <t>説教壇；説教者；説教家；説教台；説教節</t>
        </is>
      </c>
      <c r="H4607" t="n">
        <v>29</v>
      </c>
      <c r="I4607" t="inlineStr">
        <is>
          <t>母親は説教をするのだが、それが無駄なことであることはわかっていた。；その説教と書物はアメリカで進化論が受け入れられることに貢献した。；伝えられている彼の説教の中には本当に彼のものか論争のあるものもある。；法会の時の説教の際に用いられた諷誦文の原稿の断片と推定されている。；リンカーンの死の二日後の復活祭には全国の教会で追悼説教が行われた。；トレントで説教をして千人以上の信徒を獲得したために市から追放された。；なのに毎日畳の上に正座させて説教するんだけど急に変わるわけないよね。；聖書を元に信仰をしており、罪の赦しについての説教を主に行っている。；この間多くの人々、とりわけ女性が彼女の元を訪れ、説教に聞き入った。；だがある時に放浪説教者として森を出て、各地を転々とするようになる。；その後のリバイバルの集会などで説教などをして中心的な役割を果たした。；回心した後の数ヶ月で数多くの集会で説教をして、著作を書き始めた。；ウィリアム・ペンが行った説教にボルチモア卿が同席したとされている。；ロレンツォは説教を禁止することはなく、ひそかに関心を寄せていた。；説教師とは、日本仏教での説教を専門とする役職を総称したものである。；この説教の中の特筆すべきメッセージには次のようなものがある。；彼女は、この宗教横断の就任行事で説教を行った最初の女性となった。；マイアミのシナゴーグではスペイン語の説教もちゃんと容易されている。；どちらの教会も奴隷や白人開拓者に説教を行い、会員として受け入れた。；そしてたちまち、深く心を揺さぶる説教と宗教詩でダンは高名になった。；この説教は当初1668年の選挙の時に行われ、1670年に出版された。；ウェスレーの思想を表す書物としては、その説教集と日誌が有名である。；一つの説教を完成するのに少なくても12時間はかけたそうだ。；彼は自らが志向する説教の次のような方向性を明らかにした。；父はこの頃までに「アメリカの最も有名な説教師」になっていた。；しばしば数時間を超える一人の説教が終わると、別の者が立ち上がって前の者に代わった。；この館は1790年に未亡人で女性説教師のコヒウスが所有していた。；このヨヤキム王の第1年に語られたとされる説教が26章に収録されている。；ジョーンズはしばしばこれらの考えを混合させ、次のように説教をしていた。</t>
        </is>
      </c>
      <c r="J4607">
        <f>HYPERLINK("https://www.weblio.jp/content/説教", "词义详情")</f>
        <v/>
      </c>
      <c r="K4607">
        <f>HYPERLINK("https://yourei.jp/説教", "查看例句")</f>
        <v/>
      </c>
    </row>
    <row r="4608">
      <c r="A4608" t="inlineStr">
        <is>
          <t>積極的</t>
        </is>
      </c>
      <c r="B4608" t="inlineStr">
        <is>
          <t>成功</t>
        </is>
      </c>
      <c r="C4608" t="inlineStr">
        <is>
          <t>読み方：せっきょくてき
［形動］物事を進んでするさま。「—に仕事に取り組む」⇔消極的。</t>
        </is>
      </c>
      <c r="D4608" t="inlineStr">
        <is>
          <t>積極的かつ；積極的行動；積極的意義；積極的に用いられる；積極的妨げ</t>
        </is>
      </c>
      <c r="E4608" t="inlineStr">
        <is>
          <t>盛ん；元気；活発；熱烈；快活</t>
        </is>
      </c>
      <c r="F4608" t="inlineStr">
        <is>
          <t>積極的勧奨；積極的に売り込ん；積極的介入</t>
        </is>
      </c>
      <c r="G4608" t="inlineStr">
        <is>
          <t>積極的平和；積極的安楽死；積極的平和主義；積極的差別是正措置；積極的役割</t>
        </is>
      </c>
      <c r="H4608" t="n">
        <v>29</v>
      </c>
      <c r="I4608" t="inlineStr">
        <is>
          <t>全線開通前からCMやドラマ・映画等の撮影を積極的に受け入れている。；しっかり者だが、原作とは逆にテレビや漫画が好きで恋愛にも積極的。；有力な軍需産業を有していて各種兵器の開発と輸出を積極的に行っている。；これをきっかけに当番組はワイドショーの手法が積極的に持ち込まれた。；劇団に所属はしていないが芝居好きなため、舞台には積極的に立っている。；これらの交通の便を活かし、工業団地の開発などを積極的に行っている。；つまり情報の更新という視点をベイズは積極的に使っていることになる。；行財政改革に積極的に取り組んでおり、近年では以下の実績がみられる。；作品を執筆をするにあたり、世界各国への取材を積極的に行っている。；そして両国はそれに積極的に取り組み新たな信頼を築いてきたのです。；子供達を愛し、積極的に遊んだ良寛の行動は、人々の記憶に残っている。；まだ現在のように再評価が進んでいなかった時期から彼の作品を積極的に取り上げていた。；しかし彼らの行動は、積極的に体制を破壊しようとする方向には向かわない。；彼は党で地位につかなかったが、積極的に党の活動に参加した。；当店は商業開発本部が運営しており、専門店の導入を積極的に行っている。；いわき市も、土地転用を積極的に進めているが解決には至っていない。；移入は偶発的なものもあるが、積極的に人の手で行われた例も多い。；しかし古代には美が独自の領域であるという主張は積極的にはなされなかった。；文化の面では地域の言語の保護や伝統文化の保存などが積極的におこなわれる。；日本と積極的に戦わず退いたこと自体は国民政府の方針通りであった。；また、振興策に魅力を感じて積極的に誘致する自治体もしばしば見られる。；現地調達される場合は板金部品から積極的に適用されることが多い。；特にエリオは技術に秀でていたことから積極的に他流試合に出続けた。；またアルバムのリリースやテレビ出演も以前同様に積極的にこなした。；この中でより積極的に高句麗を中国史に位置付ける見解が発達していった。；岩倉が帰国後日本鉄道会社の設立に積極的に携わったのもそのためである。；また淳于髠を稷下の学士の長的存在とし、積極的に援助をして隆盛させた。；超重量打線と呼ばれる巨人の打撃陣にも、積極的にバントをさせると宣言。；開局以後、前述の方針を遵守して積極的に自社番組の制作に取り組んだ。</t>
        </is>
      </c>
      <c r="J4608">
        <f>HYPERLINK("https://www.weblio.jp/content/積極的", "词义详情")</f>
        <v/>
      </c>
      <c r="K4608">
        <f>HYPERLINK("https://yourei.jp/積極的", "查看例句")</f>
        <v/>
      </c>
    </row>
    <row r="4609">
      <c r="A4609" t="inlineStr">
        <is>
          <t>接近</t>
        </is>
      </c>
      <c r="B4609" t="inlineStr">
        <is>
          <t>成功</t>
        </is>
      </c>
      <c r="C4609" t="inlineStr">
        <is>
          <t>読み方：せっきん
［名］(スル)
１近くに寄ること。近づくこと。「低気圧が—している」
２両者の程度や内容の違いが少なくなること。「実力が—する」
３親しくつきあうこと。親しくなること。「二人の仲が—する」
「代助と—していた時分の平岡は」〈漱石・それから〉</t>
        </is>
      </c>
      <c r="D4609" t="inlineStr">
        <is>
          <t>接近する(17%)；接近しよ；接近期；接近しすぎ；接近すれ</t>
        </is>
      </c>
      <c r="E4609" t="inlineStr">
        <is>
          <t>近所；近づく；進歩；迫る；アプローチ</t>
        </is>
      </c>
      <c r="F4609" t="inlineStr">
        <is>
          <t>急接近；台風接近；列車接近；かなり接近；再接近</t>
        </is>
      </c>
      <c r="G4609" t="inlineStr">
        <is>
          <t>接近メロディ；接近音；接近遭遇；接近禁止命令；接近メロディー</t>
        </is>
      </c>
      <c r="H4609" t="n">
        <v>29</v>
      </c>
      <c r="I4609" t="inlineStr">
        <is>
          <t>さらに接近して話し始める際も、特定の動作や言葉で互いに話し始める。；結論は出なかったが明日はこれまでにない接近行動があるだろうと予測。；接近表示機が設置され、列車の接近時に駅舎内で音が鳴るようになった。；安永自身も食事中のミホノブルボンに接近することは恐怖だったという。；これに反発したロシア・オーストリア・フランスが接近を開始した。；しかし26日になって日本本土に接近する頃になると急速に衰え始めた。；そのため熱帯低気圧を接近前に観測して対策をとることは極めて重要である。；線内では珍しくアニメーション式の列車接近案内が使用されている。；イギリスはロシアとの接近を開始し、1907年に英露協商が成立した。；しかしこの文学者からの接近は哲学者からは必ずしも歓迎されなかった。；そのため安全に接近するための配偶行動がいろいろと知られている。；しかしこの時点でもヒトラーは積極的に対ソ接近に動くつもりはなかった。；なおこの小惑星は、1972年に木星に大接近して軌道が変化している。；劇中でもデス・スターが惑星オルデランに接近する様子が描かれている。；カーブ上にあるため、列車接近時にはホーム下の黄色回転灯が点灯する。；国王が南へと急いだとき、モンターギュ侯の軍が北から接近したのである。；試験プログラムが終了に近づいた頃、地球では接近する小天体が話題となる。；なお、導入と同時に通過列車接近時の警告音の音程が変更されている。；負傷者の発生した原因が明確でない状態で接近してはならない。；秘書官によれば双方の顔が見える距離まで接近していたという。；湾では減速しながら海岸に接近した先行波に後続波が重なりやすいため。；ボイジャー2号はもともと冥王星に接近するような軌道ではなかった。；基本的に日本は島国であるために陸路の接近経路を求めることはできない。；列車が接近すると、到着・通過を知らせる接近表示が点滅するものもある。；このため、大半の電停に行き先を案内する接近表示装置が設けられている。；上り下りとも同一ホームに発着するため、電車接近表示案内と接近放送が行われる。；速水の機転によって無事帰還し、これを期に二人の仲は急接近していった。；接近したのは攻撃力発揮と攻撃隊を収容をするためであった。；後のモデルでは2つの接眼部がより接近するよう改良されている。</t>
        </is>
      </c>
      <c r="J4609">
        <f>HYPERLINK("https://www.weblio.jp/content/接近", "词义详情")</f>
        <v/>
      </c>
      <c r="K4609">
        <f>HYPERLINK("https://yourei.jp/接近", "查看例句")</f>
        <v/>
      </c>
    </row>
    <row r="4610">
      <c r="A4610" t="inlineStr">
        <is>
          <t>節句</t>
        </is>
      </c>
      <c r="B4610" t="inlineStr">
        <is>
          <t>成功</t>
        </is>
      </c>
      <c r="C4610" t="inlineStr">
        <is>
          <t>読み方：せっく
《節日(せちにち)に食物を供する意》年間の節目となる年中行事およびその日。1月7日の人日(じんじつ)、3月3日の上巳(じょうし)、5月5日の端午、7月7日の七夕、9月9日の重陽(ちょうよう)など。「桃の—」</t>
        </is>
      </c>
      <c r="D4610" t="inlineStr">
        <is>
          <t>節句前；節句祭り</t>
        </is>
      </c>
      <c r="F4610" t="inlineStr">
        <is>
          <t>宵節句；五月節句</t>
        </is>
      </c>
      <c r="G4610" t="inlineStr">
        <is>
          <t>節句料理；節句働き</t>
        </is>
      </c>
      <c r="H4610" t="n">
        <v>29</v>
      </c>
      <c r="I4610" t="inlineStr">
        <is>
          <t>これが五月節句に薄餠を作って食べるようになった始めであったという。；それは、寧子が万俵家へ嫁いで初めて迎えた女節句の時のことであった。；男の節句を明日にして、みんな手が揃って、お信は安らかに子をうんだ。；その年の女の節句の朝、突然、兄は、家の庭の木に首をつって死んだ。；事件は今から七日前、娘のお春が三つの節句の雛を片附けた晩のことであつた。；「そうだ今夜は宵節句だった」 これは声に出して云ったのである。；牡丹餅の重要な材料でもあり、節句などの行事でも使用されている。；三月の節句も近づいたころに、また私は次郎を連れて一軒別の借家を見に行って来た。；気がついてみると、宵節句、橋の上を吹く風も、どことなく春であった。；そうして六月に入るとポツポツ八月のお節句の人形に取りかかられます。；してみると、私の二回目の家出は三月の節句の頃であったと見える。；日本では大漁旗や出産・節句の祝い旗等の日常生活の場面で使われる。；現在では、他の節句と比べてあまり実施されていない。；北の国の三月は、まだ雪が消えないから、節句は四月にしたらしい。；旧暦の節句の頃は、海の風も暖かく、そんな行事が始まったのだろう。；そう云えば今年のお節句には雛人形を飾ったものかどうであろう。；秋祭礼には渡御行列があり、5月5日の節句には舞楽が奉納されていた。；私は節句になると、小さな雛などを買ってもらって立てた。；何のことはない、お節句の七五三の逆読みだから覚えやすかっただけのことだが、それだけではなかった。；けれど母の方では、五月五日のお節句のことに、前々から気を配っていました。；丁度九月の節句の事でございましてお繼は例の通り修行に出て家に居りません。；節句というようなおかしな当て字が、普通になって来たのはそう古いことではない。；節句の日や祝賀の儀式のときは、拱手しながらお祝いの言葉を述べるのが一般的である。；現在では節句の日に、単に人形を飾る風習だけが残っている。；国頭村辺土では女の節句とも呼ばれ、シヌグと交互に1年ごと催される。；あたしははじめてあったあの宵節句の晩の感想を、こんなふうに書きつけてある。；「こどもの日」と呼ばれているが、男の子の節句としても祝っている。；五月の節句に鯉が捕れたのなら目出たいが、三月の節句ではどうにもならない。；イキーウガミとも呼ばれ男の節句だともされる。</t>
        </is>
      </c>
      <c r="J4610">
        <f>HYPERLINK("https://www.weblio.jp/content/節句", "词义详情")</f>
        <v/>
      </c>
      <c r="K4610">
        <f>HYPERLINK("https://yourei.jp/節句", "查看例句")</f>
        <v/>
      </c>
    </row>
    <row r="4611">
      <c r="A4611" t="inlineStr">
        <is>
          <t>設計</t>
        </is>
      </c>
      <c r="B4611" t="inlineStr">
        <is>
          <t>成功</t>
        </is>
      </c>
      <c r="C4611" t="inlineStr">
        <is>
          <t>読み方：せっけい
［名］(スル)
１建造物の工事、機械の製造などに際し、対象物の構造・材料・製作法などの計画を図面に表すこと。「ビルを—する」
２一般に、計画を立てること。また、その計画。「老後の生活を—する」</t>
        </is>
      </c>
      <c r="D4611" t="inlineStr">
        <is>
          <t>設計上；設計案；設計段階；設計変更；設計図</t>
        </is>
      </c>
      <c r="E4611" t="inlineStr">
        <is>
          <t>計画；予定；考える；デザイン；企画</t>
        </is>
      </c>
      <c r="F4611" t="inlineStr">
        <is>
          <t>再設計；新設計；改設計；専用設計；コース設計</t>
        </is>
      </c>
      <c r="G4611" t="inlineStr">
        <is>
          <t>設計図；設計変更；設計思想；設計事務所；設計局</t>
        </is>
      </c>
      <c r="H4611" t="n">
        <v>29</v>
      </c>
      <c r="I4611" t="inlineStr">
        <is>
          <t>インターネット対戦を前提とした設計だがシングルプレイも可能である。；このような言語は1つのアプリケーションのためだけに設計されている。；初期のシステムは同期式コード設計だったが、機械の同期が難しかった。；委員会から任命された建築家たちは市の本来の設計には手を加えなかった。；資格制度においてもイギリスの制度設計が導入されていることが多い。；特にドーム球場は当初よりコンサート開催を考慮して設計されている。；どのような車両を新製するかの方針が決まると、具体的な設計が行われる。；XSLT の仕様はジェームズ・クラークを中心とした人々が設計した。；そのような中で依頼が来たのが日本の帝国ホテル新館設計の仕事であった。；その構造は、首都としての機能を果たすべく設計された計画都市である。；この制度設計の欠陥は、国家のガバナンスの観点からすれば深刻である。；実際の設計では、これらの仮定を超える範囲で使用することも必要となる。；このため生涯設計のため生殖可能年齢を早期に理解することも重要である。；そこでは金属バットが使われるのでそれに合わせて設計されている。；またそのモジュールは、非常に修理しやすくなるよう設計されていた。；ENIACの設計は一種独特であり、決して他では採用されなかった。；これは視界の確保と他のエアバス機との互換性のことも考えての設計である。；これらの車両は後に本来の設計通り、冷房装置を搭載する改造がされている。；天文撮影や科学機器では冷却機構が最初から設計に含まれているものもある。；地上に採光窓があり、地下のホームまで自然光が届く設計となっている。；ばねの設計上でまず重要となるのは、何の用途に使うかを明確にする点である。；この箇所は改設計がくり返されたが、最後まで完全にはならなかった。；主として長期にわたる軌道上の生活に特化して設計されているものを指す。；このため、後述のように各種設備はそれに対応して設計された。；また、設計のルール化はそれ以前と比較して設計を容易にした。；Pythonはインタプリタ上で実行することを前提に設計している。；これらを、小型の衛星に搭載するための研究、設計や開発業務を行う。；帯域外データの概念は現在のインターネット向けの設計ではない。；レイアウトとは、背景や人物などを含めた大まかな画面設計図である。</t>
        </is>
      </c>
      <c r="J4611">
        <f>HYPERLINK("https://www.weblio.jp/content/設計", "词义详情")</f>
        <v/>
      </c>
      <c r="K4611">
        <f>HYPERLINK("https://yourei.jp/設計", "查看例句")</f>
        <v/>
      </c>
    </row>
    <row r="4612">
      <c r="A4612" t="inlineStr">
        <is>
          <t>せっけん</t>
        </is>
      </c>
      <c r="B4612" t="inlineStr">
        <is>
          <t>成功</t>
        </is>
      </c>
      <c r="C4612" t="inlineStr">
        <is>
          <t>読み方：せっけん
1尺ほどの絹地。わずかばかりの絹。転じて、ほんの小さな画作。</t>
        </is>
      </c>
      <c r="H4612" t="n">
        <v>29</v>
      </c>
      <c r="I4612" t="inlineStr">
        <is>
          <t>この安価な粉せっけんを、州はトラック何台分という単位で購入するのだ。；川の中でせっけんを使ってはいけないのだ、わかったかい?；配給のせっけんを水でふくらませてソ連人の食糧と交換したこともありました。；近所の雑貨屋で売っているふつうのせっけんにはホウ砂は入ってないはずよ。；そんなふうにせっけんなんぞを作る必要がどこにあるのか、教えてもらえんか?；何と云う事もなく、せっけんの匂いをかいでいたら、フランスと云う国へ行ってみたいなと思う。；これは、せっけんの泡が合体してより大きな泡になるのに似ている。；ミーチャはあわてていたので、手にせっけんもろくにつけなかった。；かれは父親を手つだってせっけん製造をしているという。；ちょっと匂いの強い中国の海藻入りせっけんで、からだにいっぱい泡をつける。；私はその顔から目を逸らし、もう一度タオルにせっけんをつけた。；せっけんと水をたっぷり使ってかわいく美しくなっていたが、長くは保てまい。；シャワーを熱めにして、あそこだけを、せっけんで何度も洗った。；もし日に二十回もホウ砂のせっけんを使っているとしたら、それは自宅の洗面所にあるものではないと思う。；せっけん箱の蓋はシャワーの水に流されて、バスルームのすみに浮かんでいる。；熱い湯とせっけんの泡で気分がよくなるにちがいない。；松が四五本あって、その横に花王せっけんの広告。；そのせっけんがそうだってことはない?；箱に「美肌」とは書いてあったけど、だれが痩せるせっけんだなんて言い始めたんだろう。；慎重に買物をするときのように、私たちはこの粉せっけんの箱を見つけて、成分を見る必要があった。；それがなんという名まえのせっけんかは、知るよしもないが、しかし彼の想像によれば、国境にはかならずあるはずであった。；せっけんの香りがほのかに漂ってくるあそこはほとんど無毛だ。；解剖室の中にあるその流しには金属性の容器が備えてあり、その中にはざらざらした灰色の、粉せっけんが入っている。；私はタオルにせっけんをこすりつけて少女の背中を洗った。；メリーはトムに水を入れた金だらいとせっけんをわたした。；ペルホーチンはすぐに、もっとせっけんをつけて、もっとよくこすんなさいと命じた。；モルグの中にあるすべてのせっけん入れに粉せっけんを入れるのが、ウィンゴーの仕事の一つなのだ。；おっかあはせっけんのあわがついたままの手で、追ってきた。；だがその物質は、町のいたる所にある公共のトイレに備えてある、安い粉せっけんかもしれないのだ。</t>
        </is>
      </c>
      <c r="J4612">
        <f>HYPERLINK("https://www.weblio.jp/content/せっけん", "词义详情")</f>
        <v/>
      </c>
      <c r="K4612">
        <f>HYPERLINK("https://yourei.jp/せっけん", "查看例句")</f>
        <v/>
      </c>
    </row>
    <row r="4613">
      <c r="A4613" t="inlineStr">
        <is>
          <t>切実</t>
        </is>
      </c>
      <c r="B4613" t="inlineStr">
        <is>
          <t>成功</t>
        </is>
      </c>
      <c r="C4613" t="inlineStr">
        <is>
          <t>読み方：せつじつ
［形動］［文］［ナリ］
１心に強く感じるさま。「—な願い」
２身近に深くかかわっているさま。「—な住宅問題」
３よくあてはまるさま。適切なさま。「—に書き記す」
[派生]せつじつさ［名］</t>
        </is>
      </c>
      <c r="D4613" t="inlineStr">
        <is>
          <t>切実な問題(7%)；切実な願い；切実な思い；切実にそう；切実な要求</t>
        </is>
      </c>
      <c r="E4613" t="inlineStr">
        <is>
          <t>敬虔</t>
        </is>
      </c>
      <c r="F4613" t="inlineStr">
        <is>
          <t>たいという切実；切実な関心；切実な事情；切実な欲求；切実な欲望</t>
        </is>
      </c>
      <c r="H4613" t="n">
        <v>29</v>
      </c>
      <c r="I4613" t="inlineStr">
        <is>
          <t>それが彼の希望のなかで、現在もっとも切実なもののはずだったからだ。；しかし考えてみると、このほうが革命の直接原因としての切実感がある。；人々は、自分の歯が美しくあってほしいという切実な願いを持っている。；どうかして自分の心を相手に通わせたいと思う切実な願いといってもよい。；この絵の少年と同様、なにかを希求する切実な光がその瞳に宿っていた。；小学生の女の子が描いた一枚の油絵は、何か奇妙な切実さに満ちていた。；併しその危険が自分の身の上だといふことは、八は余り切実に感じない。；また、自身がたちあげた演劇ユニット「切実」では演出も担当している。；彼等は愛の刑と愛の賚とを同時に享けて、同時に双方を切実に味はつた。；何かの時に、子どもを理由にしたくない、私は切実に思っていました。；そんなことよりも、友だちがいないことの方が、もっと切実で重要です。；求める思いは切実であっても得るところにどれ程のものがあろう。；文化への真に切実な関心は社会に実在する文化への関心であった筈だ。；だがそれらの事件のたいていには同情すべき切実な事情があった。；つまりそういう生活そのものの中では、女は言語を切実には要求しなかった。；だが之は今日の理論家の最も切実な課題の代表的なものなのである。；現実の人生や自然に接したような切実な感じの得られんのは当然だ。；彼は荒い鼻息と切実な瞳で、通りすがりの全ての女性に声をかけていた。；今の今まで、ぼくは将来のことをそれほど切実に考えていなかった。；もうひとつは、本願寺が朝廷との接近を切実に望んでいたことである。；彼らがまことに切実に必要としていた食事の用意ができたのだ。；だから道に志すものは第一にこの要求を切実にしなくてはならない。；だが実際上から云って、基本的な問題だけが切実な問題だと思ってはならない。；もう、どんな自分の言葉も、切実な強さを持ち得ないのを彼は明かに知った。；結婚してこのかた、祥子がこれほど切実に夫を求めたことはなかった。；婦人こそ、最も切実に生活の安定と平和のために働く必然があります。；そこには、人生でもっとも切実で甘美な偶有性の束が立ち現れています。；切実にそんなふうに思えるのに、それを口に出すのがひどく億劫だった。；この問題は産業の発達に伴って19世紀にはますます切実になった。</t>
        </is>
      </c>
      <c r="J4613">
        <f>HYPERLINK("https://www.weblio.jp/content/切実", "词义详情")</f>
        <v/>
      </c>
      <c r="K4613">
        <f>HYPERLINK("https://yourei.jp/切実", "查看例句")</f>
        <v/>
      </c>
    </row>
    <row r="4614">
      <c r="A4614" t="inlineStr">
        <is>
          <t>摂取</t>
        </is>
      </c>
      <c r="B4614" t="inlineStr">
        <is>
          <t>成功</t>
        </is>
      </c>
      <c r="C4614" t="inlineStr">
        <is>
          <t>読み方：しょうしゅ
「摂取(せっしゅ)」に同じ。
「念仏の人を—して浄土に帰せしむるなり」〈三帖和讃〉</t>
        </is>
      </c>
      <c r="D4614" t="inlineStr">
        <is>
          <t>摂取すること(6%)；摂取量(2%)；摂取できる；摂取後；摂取する必要</t>
        </is>
      </c>
      <c r="E4614" t="inlineStr">
        <is>
          <t>併合；服用；同化；取り入れる；取り込み</t>
        </is>
      </c>
      <c r="F4614" t="inlineStr">
        <is>
          <t>栄養摂取；大量摂取；多く摂取；アルコール摂取；食物摂取</t>
        </is>
      </c>
      <c r="G4614" t="inlineStr">
        <is>
          <t>摂取制限；摂取許容量；摂取不捨；摂取寺；摂取院</t>
        </is>
      </c>
      <c r="H4614" t="n">
        <v>29</v>
      </c>
      <c r="I4614" t="inlineStr">
        <is>
          <t>農薬の種類や摂取方法によりさまざまであるが下記のようなことが多い。；そのため自己製造量では十分ではなく、食事からの摂取が必要である。；動物性脂肪の摂取のし過ぎは生活習慣病との関連から問題視されている。；夜食は通常、夕食とは別に摂取されるものであり、夕食とは区別される。；江戸後期の大野藩は、特に西洋の先進技術の研究・摂取に熱心であった。；通常の物質であっても過剰かつ大量の摂取で中毒に至る可能性がある。；またほかの多くの種も同じように果汁が得られるようになればこれを摂取する。；核酸摂取と核酸合成との関係は未解明な点が多く今後の研究が待たれる。；そのため、以前と同じ量の物質を摂取しても快の感覚が小さくなる。；海中には、このデトリタスを摂取して生活する動物が広範囲に存在する。；筋肉が減りがちな高齢者にプロテイン摂取が勧められている場合もある。；農薬の種類や摂取方法によりさまざまであるが、下記のようなことが多い。；ビタミンBの高用量摂取は肺癌リスク上昇と関連している可能性がある。；酸素の摂取は水中からより空気中からのほうがはるかに有利となる。；ビタミンAを大量に含むことから、度を超えて摂取すると健康を害しうる。；植物は自ら生合成するが人は生合成することができず経口摂取する。；摂取後4 - 5時間経っても症状が出ない場合は、治療は不要である。；空気に露出している水の表面積は、水槽内の溶存酸素の摂取を制限する。；砂糖や塩とて、大量摂取すれば危険だが、これらは毒とは言わない。；DHAの摂取は血中の中性脂肪量を減少させ、心臓病の危険を低減する。；摂取する食品の量や種類が徐々に増え、献立や調理の形態も変化していく。；治療に反応しなかった場合は経口摂取不可能であることが多く入院の適応となる。；こういった場合は、高吸収率のビタミンB1誘導体を摂取すると良い。；このため食べ過ぎなければ、気にする程の塩分摂取の問題はない。；カフェインの大量摂取をした場合には、この不整脈も死亡の原因になり得る。；それらは経口で摂取するか、燃やしてその煙を吸い込むことで利用された。；通常の食品として適切に摂取する場合は安全だと考えられている。；ときに、妊娠及び授乳中の摂取にも慎重さが求められることもある。；キノコの種類によっては、摂取から発症までに数日を要するものもある。</t>
        </is>
      </c>
      <c r="J4614">
        <f>HYPERLINK("https://www.weblio.jp/content/摂取", "词义详情")</f>
        <v/>
      </c>
      <c r="K4614">
        <f>HYPERLINK("https://yourei.jp/摂取", "查看例句")</f>
        <v/>
      </c>
    </row>
    <row r="4615">
      <c r="A4615" t="inlineStr">
        <is>
          <t>接触</t>
        </is>
      </c>
      <c r="B4615" t="inlineStr">
        <is>
          <t>成功</t>
        </is>
      </c>
      <c r="C4615" t="inlineStr">
        <is>
          <t>読み方：せっしょく
［名］(スル)
１近づいて触れること。触れ合うこと。「手と手が—する」「—事故」
２他の人と交渉をもつこと。「外部との—を断つ」「内密のうちに—する」</t>
        </is>
      </c>
      <c r="D4615" t="inlineStr">
        <is>
          <t>接触する(14%)；接触面；接触点；接触しよ；接触部</t>
        </is>
      </c>
      <c r="E4615" t="inlineStr">
        <is>
          <t>連絡；接する；往来；触れる；交際</t>
        </is>
      </c>
      <c r="F4615" t="inlineStr">
        <is>
          <t>とも接触；身体的接触；物理的接触；接触器；直接的な接触</t>
        </is>
      </c>
      <c r="G4615" t="inlineStr">
        <is>
          <t>接触感染；接触性皮膚炎；接触器；接触角；接触皮膚炎</t>
        </is>
      </c>
      <c r="H4615" t="n">
        <v>29</v>
      </c>
      <c r="I4615" t="inlineStr">
        <is>
          <t>その場で教授が初めてソーンヒルに接触して、すべての事情を説明する。；コース内に建ててあるパイロンに接触せず通過することが求められる。；異なる言語同士が接触し、双方の特徴を保ったまま複雑に混合した言語。；そうした環境変化に伴う民族の大移動は民族間の衝突や接触の原因となった。；日本とチベットの本格的な接触・交流が始まるのは近代以降である。；ゲームでの競技者の人数やボールに接触可能な回数も競技別に異なる。；また治療しても他の部位への接触転移が多く再発を繰り返すことが多い。；アメリカの幾つかのプロテスタント教会とは既に接触を持っていた。；多くの場合は互いの石が接触して戦闘が始まるまでの段階を指す。；各チームは互いに接触できない離れた場所で生活を開始する。；ゲーム中、特定の人物に接触することでストーリーモードに突入する。；刃の接触点に剪断する力を集中するように、刃はわずかにひねられている。；基本的に棒のどちらか一端のみが食べ物に接触することが前提となっている。；地面に接触していた部分は損傷していなかったのである。；また肛門性交では腸粘膜に精液が接触しそこから感染するとされている。；ただし水面のような液体の表面は、表と裏の両方から接触可能である。；その一方、レースではスピンや接触など粗さが顔を出すこともあった。；工場などで働く場合、英語との接触がかなり増えることになるケースがある。；同性・異性を問わず性的な接触をした証拠は見つかっていないという。；また、ジャワ統治時代に鎖国中の日本と接触を図るが失敗に終わっている。；水と岩石の接触は、生命の起源にとって重要な要素である可能性がある。；アレルゲンとの接触を続けていれば抗体値も上がり、症状もひどくなる。；しかし、ヨーロッパ人と接触したころにはすでに人々の分散が進んでいた。；ところがヒトラーは6月29日にふたたびソ連との接触停止を命じた。；したがって、接触部の後方では抵抗力が、前方では摩擦熱が発生する。；また開港五港の各英国領事は道に置かれた道台と接触することが可能となった。；そして3人は組織の人間と接触するティンバーへと列車で向かうことになる。；同時に彼は独自に点接触型ではなく接合型のトランジスタを作る作業を続けた。；このシステムを導入ののち、シカとの接触はほぼなくなったという。</t>
        </is>
      </c>
      <c r="J4615">
        <f>HYPERLINK("https://www.weblio.jp/content/接触", "词义详情")</f>
        <v/>
      </c>
      <c r="K4615">
        <f>HYPERLINK("https://yourei.jp/接触", "查看例句")</f>
        <v/>
      </c>
    </row>
    <row r="4616">
      <c r="A4616" t="inlineStr">
        <is>
          <t>接する</t>
        </is>
      </c>
      <c r="B4616" t="inlineStr">
        <is>
          <t>成功</t>
        </is>
      </c>
      <c r="C4616" t="inlineStr">
        <is>
          <t>読み方：せっする
［動サ変］［文］せっ・す［サ変］
１ひと続きにつながる。また、つないでひと続きにする。「川に—・する住宅地」「上下を—・する」
２さわる。触れる。「肩が—・する」
３応対する。「笑顔で人に—・する」
４出会う。出くわす。「名作に—・する」「朗報に—・する」
５数学で、曲線や直線が他の曲線や直線などと一点だけで出合う。
６近くに寄せる。近づける。「ひざを—・する」「軒を—・する」</t>
        </is>
      </c>
      <c r="D4616" t="inlineStr">
        <is>
          <t>接する荷役線；接する毎</t>
        </is>
      </c>
      <c r="F4616" t="inlineStr">
        <is>
          <t>南接する；相接する；優しく接する；互いに接する；直接接する</t>
        </is>
      </c>
      <c r="H4616" t="n">
        <v>29</v>
      </c>
      <c r="I4616" t="inlineStr">
        <is>
          <t>東西方向に広がるJRの駅舎に南から直角に接する形で設置されている。；こう山の中へ来て自然の景物に接すれば、見るものも聞くものも面白い。；接するメディアの数によって知る事実が変わってくる一つの例である。；なお、山の地面に接する霧または雲のことをガスと呼ぶことがある。；それらが相接する とは、それらが一点のみを共有するときに言う。；建物の玄関または主要な出入り口が接する位置の基礎番号を住居番号とする。；ホームに接する線路が本線で、その両側にホームのない副本線がある。；国境を接する全ての国が内陸国である内陸国のことを二重内陸国という。；エンツォがドライバーに親しく接するのは珍しいことだったと言われる。；また、この街の北部に接するように八王子南バイパスが計画されている。；かつてはこの駅舎に接するホームに田口線の列車が発着していた。；琵琶湖に接する搦手口にも城下町があり、湖には百間橋が架かっていた。；この潟湖に接する地点に港が置かれ、その周辺には旧市街が広がっている。；レパートリーの多くは現在でも録音によって接することが可能である。；接する物体どうしが直線相対運動を行う場合は転がり案内が有効である。；アン県に接するこの2つの都市は県の中心にまで人口集塊が広がる傾向にある。；西宮市側は武庫川線ホームに接する形で堤内の地上部分に駅舎がある。；白人と接することを非常に嫌い、このため写真に写ることもなかった。；簡便なものは中心機構のみが可動で、それぞれの穂は紙に斜めに接する。；固相・気相・液相の3相が接する場所では、濡れと呼ばれる現象が生じる。；東西に長いリグーリア州で最も西に位置し、フランスと国境を接する県である。；チェロは他の指と同様に第1関節でさおに上から接するように当てる。；ここへきて彼はより際立った立場を得て、広く一般に接することが求められ始めた。；ふたりきりのとき、恋人どうしならどういう態度で接すればいいのだろう。；カルビンの他にホッブスを生きた存在として接する稀な人物でもある。；また吸気ポートも排気ポートに接する形となる事から吸気も高温となる。；北から東にかけてオーストリアと、西にスイスと、それぞれ境界を接する。；そんな中で日本人はアメリカの食文化に接することになった。；人の生活の中で接する機会は多いことから、最も危険な毒蛇の一つに数えられている。</t>
        </is>
      </c>
      <c r="J4616">
        <f>HYPERLINK("https://www.weblio.jp/content/接する", "词义详情")</f>
        <v/>
      </c>
      <c r="K4616">
        <f>HYPERLINK("https://yourei.jp/接する", "查看例句")</f>
        <v/>
      </c>
    </row>
    <row r="4617">
      <c r="A4617" t="inlineStr">
        <is>
          <t>せっせと</t>
        </is>
      </c>
      <c r="B4617" t="inlineStr">
        <is>
          <t>成功</t>
        </is>
      </c>
      <c r="D4617" t="inlineStr">
        <is>
          <t>せっせと働い(4%)；せっせと働き；せっせと歩い；せっせと書い；せっせと働く</t>
        </is>
      </c>
      <c r="E4617" t="inlineStr">
        <is>
          <t>ずっと；懸命に；つとめて；努めて；うんと</t>
        </is>
      </c>
      <c r="F4617" t="inlineStr">
        <is>
          <t>仕事をせっせと；せっせとはたらい；せっせと貯め；せっせと磨い；せっせと働か</t>
        </is>
      </c>
      <c r="H4617" t="n">
        <v>29</v>
      </c>
      <c r="I4617" t="inlineStr">
        <is>
          <t>それから傍の畑に入りこちらを見返りもせずにせっせと草を取り始めた。；僕らがここのこの坂をせっせとこうして登っているのは、何んのためだ。；せっせと何か摘んでは口に運んでいるその子供たちは振り返りもしない。；いつ見てもわたしは、メロン畑でせっせと仕事に精を出していたわけだ。；せっせと雪を下ろしてくれた虔吉には持てない念を、抱いてしまうのだ。；その久慈が今もパリから千鶴子にせっせと手紙を出している姿を思った。；黒いインドの子が、赤い旗をせっせと仲間の手から手へ渡していた。；考えるとせっせと一生かかって殿堂を築きそれを荘厳しているのである。；たしかに昨日も一昨日も人の居ない処をせっせと歩いていたんだが。；囲炉裏端では二人の男が何か話しながらせっせと手を動かしている。；たしかに昨日も一昨日も人の居ない処をせっせと歩いてゐたんだが。；彼は自分のためにせっせと夕食の支度をしているせわしい妻の姿を見た。；父親と母親は机の前にこしをかけて、せっせと品物をしまいこんでいた。；つまり二人は一緒になってせっせと無駄遣いを続けていたのである。；お通が、せっせと花を刈っている仕事には手伝おうともしないのである。；それなのに私から金を取るためなら、せっせと血液型を調べに行く訳か。；そして穴の奥の地獄の暗黒の中へせっせとボートを乗り入れて行った。；ベッドのまわりではクモたちがせっせと新しい巣を作っている最中でした。；これはソローのことばで、いまこの人の作品をせっせと読んでいます。；廊下つづきの入口の方を見ると、おひろがせっせと雑巾がけをしていた。；ちょっとでも余分なものが入れば彼等はせっせと何か買ってしまう。；そうした夫たちにかわり、妻たちのほうがせっせと働くようになる。。；息子と二人でしゃがんでせっせと紅葉を拾っていると、妻がやってきた。；彼らがせっせとはげむさまを見ていると、つい、微笑を禁じ得なかった。；チラと紀文を見たようだったが、黙ってせっせと植えつづけて答えない。；三人の友人たちは、前に置かれたキーボードをせっせと打っているのだった。；半三郎はやはりその午後にも東単牌楼の社の机にせっせと書類を調べていた。；野らの間の細道を通りますと、もうみんながせっせと働いています。；そう思い、少しでも日がさしたら、せっせとベランダに干すことにした。</t>
        </is>
      </c>
      <c r="J4617">
        <f>HYPERLINK("https://www.weblio.jp/content/せっせと", "词义详情")</f>
        <v/>
      </c>
      <c r="K4617">
        <f>HYPERLINK("https://yourei.jp/せっせと", "查看例句")</f>
        <v/>
      </c>
    </row>
    <row r="4618">
      <c r="A4618" t="inlineStr">
        <is>
          <t>接続</t>
        </is>
      </c>
      <c r="B4618" t="inlineStr">
        <is>
          <t>成功</t>
        </is>
      </c>
      <c r="C4618" t="inlineStr">
        <is>
          <t>読み方：せつぞく
［名］(スル)
１二つ以上のものがつながること。また、つなぐこと。「スイッチの—が悪い」「電気のコードを—する」「文と文を—する」
２二つ以上の交通機関が連絡していること。「支線との—がいい」「次の停車駅で急行と—する」</t>
        </is>
      </c>
      <c r="D4618" t="inlineStr">
        <is>
          <t>接続する(28%)；接続される(2%)；接続できる；接続部；接続点</t>
        </is>
      </c>
      <c r="E4618" t="inlineStr">
        <is>
          <t>関係；縁；連絡；共同；合併</t>
        </is>
      </c>
      <c r="F4618" t="inlineStr">
        <is>
          <t>usb接続；ネットワーク接続；介して接続；とも接続；接続用</t>
        </is>
      </c>
      <c r="G4618" t="inlineStr">
        <is>
          <t>接続詞；接続法；接続水域；接続助詞；接続形式</t>
        </is>
      </c>
      <c r="H4618" t="n">
        <v>29</v>
      </c>
      <c r="I4618" t="inlineStr">
        <is>
          <t>これらの路線は鉱山を近くの輸送ポイントに接続する工業用であった。；前述の岩手軽便鉄道はこれとの接続を目指して計画されたものである。；システム間でメッセージをやりとりするには接続を確立させる必要がある。；制御用コンピュータと本体は光ファイバーのケーブルで接続されている。；終電同士以外では駅や指令から特別な指示がない限り接続を取らない。；テイラーはそれぞれ異なるマシンに接続したいくつかの端末を持っていた。；パッシブターミネータは単に抵抗をバスラインに接続するだけである。；他にも、駅到着時の接続列車の案内などは従来通り肉声放送で行われている。；また敦賀発着の列車は敦賀で北陸本線の福井方面の列車に接続している。；アナログネットワークには交換機があり、ユーザー間の接続を確立する。；また新木場駅の蘇我方ではJR東日本の京葉線と線路が接続されている。；三社線共に発着列車本数は少ないが、特に接続は考慮されていない。；中書島駅では京阪本線の特急や快速急行などとの接続が考慮されている。；なお、大半の列車が東村山駅で国分寺線や新宿線の列車に接続している。；その後、交流と直流の電化区間を接続する標準的な方法として普及する。；貨物列車の発着は無く、荷役設備や当駅に接続する専用線も存在しない。；サーバには、TLSを使用しない接続の許可・拒否のオプションがある。；ホームは2階にあり、階段・エスカレーター・エレベーターで接続する。；なお常磐緩行線の他路線への接続のない駅では利用者数一位である。；これらの数字は、カスピ海など外洋と接続していない海は含まれない。；家庭用テレビへの接続に特化し小型化されたFM TOWNSである。；解体後は現駅舎に階段が直接接続される構造になった。；測定したい値が不明な場合は一番大きな値の端子から接続する。；それぞれのピックアップは別々のアンプとスピーカーに接続されていた。；モデム・MIDIカードは汎用スロットに接続するタイプが用意された。；他の高速自動車国道との直接接続が一切ない珍しい路線である。；接続、伝送、提供それぞれに複数の方式があり、主要なものは以下の通り。；規格上は、最大127台までの機器を一つのバスに接続することができる。；共同使用解消後に改札外通路となり、西口歩道橋と接続するようになった。</t>
        </is>
      </c>
      <c r="J4618">
        <f>HYPERLINK("https://www.weblio.jp/content/接続", "词义详情")</f>
        <v/>
      </c>
      <c r="K4618">
        <f>HYPERLINK("https://yourei.jp/接続", "查看例句")</f>
        <v/>
      </c>
    </row>
    <row r="4619">
      <c r="A4619" t="inlineStr">
        <is>
          <t>接続詞</t>
        </is>
      </c>
      <c r="B4619" t="inlineStr">
        <is>
          <t>成功</t>
        </is>
      </c>
      <c r="C4619" t="inlineStr">
        <is>
          <t>読み方：せつぞくし
品詞の一。自立語で活用がなく、先行する語や文節・文を受けて後続する語や文節・文に言いつづけ、それらのものの関係を示すはたらきをもつ語。順接（だから、したがって）・逆接（しかし、けれども）・累加（また、および）・選択（あるいは、もしくは）などの種類がある。</t>
        </is>
      </c>
      <c r="D4619" t="inlineStr">
        <is>
          <t>接続詞cu</t>
        </is>
      </c>
      <c r="F4619" t="inlineStr">
        <is>
          <t>従属接続詞；従位接続詞</t>
        </is>
      </c>
      <c r="G4619" t="inlineStr">
        <is>
          <t>接続詞畳用</t>
        </is>
      </c>
      <c r="H4619" t="n">
        <v>29</v>
      </c>
      <c r="I4619" t="inlineStr">
        <is>
          <t>のような接続詞の後では、アオリストは英語の過去完了と同じ意味になる。；冠詞や接続詞が足りないが、重要なのは文法通りの配置とその意味になる。；同じ語が疑問詞でなく関係詞または接続詞として用いられることもある。；イタリア語のジェルンディオを翻訳する際は接続詞を使うとよい場合がある。；次のような接続詞とともに用いて現在や未来を表す従属節を作る。；少し声が高かったが、緊張されていたのか、文中の接続詞に一字抜けたところがでた。；これは、接続詞などの従属節には通常、アオリストが使われるためである。；等位接続詞で接続された複数の対等な節からなる文を、重文という。；これらは英語などヨーロッパの言語における従属接続詞とは機能が違うことに注意すべきである。；形容詞とは何か、接続詞とは何か、また奪格とは何か、今もって知ってはいないのだが。；接続詞 と同じように使えるが、 と異なり、否定される句の全ての前に を置く。；否定接続詞 は、列挙する句のどれもが否定される時に用いる。；これに由来する「けれど」は独立して現代口語の接続助詞・接続詞となっている。；接続詞、助詞を主な研究テーマとし、数々の論文を発表した。；日本語において英語の従属接続詞に相当する機能を持つのはむしろ接続助詞である。；それは接続詞 cu の後に直説法現在が続くというものである。；また、文中の接続詞の「迄」は読み易さを考えて「まで」に変えています。；これがオチなんだなとか、文章と文章のあいだは接続詞なしでつなげてもいいんだなとか、初めて文章の世界を覗いたようなものなんですよ。；「と」が一つでも、接続詞が一つでも欠けちゃいけないんだ。；「と」という単語ひとつ、接続詞ひとつ抜けていてもいけないのだ。；僕にはもう接続詞の用はない。；これとおなじ理由から、ひとによって、やたらにおなじ接続詞を連発します。；これは、文を繋げる単純な場合について定義したもので、他の接続詞は同様の観点から再帰的に定義することができる。；英語の接続詞は以下に挙げる等位接続詞と従属接続詞に分けられる。；諫早方言で仮定の接続詞に「あいば・ないば」がよく用いられる。；文中では接続詞のように働き、節の中では代名詞として働く。；なるものは副詞と連体詞で、ならないものは接続詞と感動詞です。；この返答は、逆接の接続詞から先が重要であったのだ。；文中で接続詞のように働き、節の中では形容詞として働き、名詞を修飾する。</t>
        </is>
      </c>
      <c r="J4619">
        <f>HYPERLINK("https://www.weblio.jp/content/接続詞", "词义详情")</f>
        <v/>
      </c>
      <c r="K4619">
        <f>HYPERLINK("https://yourei.jp/接続詞", "查看例句")</f>
        <v/>
      </c>
    </row>
    <row r="4620">
      <c r="A4620" t="inlineStr">
        <is>
          <t>接待</t>
        </is>
      </c>
      <c r="B4620" t="inlineStr">
        <is>
          <t>成功</t>
        </is>
      </c>
      <c r="C4620" t="inlineStr">
        <is>
          <t>読み方：せったい
［名］(スル)
１客をもてなすこと。もてなし。「得意先を—する」「—係」
２人の集まるところなどで、一般の人に湯茶などを振る舞うこと。
３寺の門前や往来に清水または湯茶を出しておき、通りがかりの修行僧に振る舞うこと。接待茶。《季秋》「—の寺賑(にぎは)しや松の奥／虚子」</t>
        </is>
      </c>
      <c r="D4620" t="inlineStr">
        <is>
          <t>接待役(9%)；接待する(7%)；接待係；接待用；接待員</t>
        </is>
      </c>
      <c r="E4620" t="inlineStr">
        <is>
          <t>迎え；扱い；受け入れ；待遇；出迎え</t>
        </is>
      </c>
      <c r="F4620" t="inlineStr">
        <is>
          <t>過剰接待；社用接待；御接待；ご接待；接待法</t>
        </is>
      </c>
      <c r="G4620" t="inlineStr">
        <is>
          <t>接待ゴルフ；接待飲食等営業；接待を伴う飲食店；接待交際費；接待館遺跡</t>
        </is>
      </c>
      <c r="H4620" t="n">
        <v>29</v>
      </c>
      <c r="I4620" t="inlineStr">
        <is>
          <t>帰りのハイヤーも、接待してくれた取引会社が呼んでくれたものだった。；あの店は、会社のお得意さんのアメリカ人の接待で行って知った店なの。；ホテルの者ばかりでなく、智秋グループの社員も彼等の接待に当たった。；勤め先の問屋の客の接待にもそこを使い、初枝や初枝の朋友を指名した。；その夜も接待があり、成城に来たのは、かなり夜がふけてからであった。；利休は、秀吉が、諸将の接待の道具に自分を利用しているとは思わない。；加藤はそもそも酒が飲めず、もとから接待等は受け付けなかったという。；その夜は彼は社用で客を接待する立場とは逆に、接待される側にいた。；また、マンションはアメリカ占領下のこの期間に人気の売春宿を接待した。；後にリオはミントの接待係となり、ミントと行動を共にするようになる。；この頃は常に参拝する人もいて、祭りには接待もあって特に賑やかだった。；赤坂にある高級レストランで企業が接待に使うので有名なところだ。；風林会館のすぐ西側のビルに中国クラブがあるが、夫はそこで接待された。；幹部接待等で満足に腰も下ろしていなかったから、これは有り難いと思った。；可也君のお父さんが、接待の準備に心を砕いていたとは、気の毒だった。；会社の客を接待したあとで、二人の部下と一緒に別の店に移ってさらに少し飲んだのだ。；ソファに掛けた客の横で女性従業員が酒類を中心に提供し接待する店。；長男が死んだ際、相馬は台湾で役人の接待のため日本に戻れなかった。；仲居は、現代では旅館や料亭などで給仕や接待をする女性の職業を指す。；カウンターの向こうには中年の女性が一人いて、接待に当たっている。；ホストを指名していない場合、接待役のホストは一定時間で交代する。；家康はこの接待のために莫大な私財を投じて街道を整備し宿館を造営した。；帳場の横は板敷になっていて客の接待もできるようになっていた。；一番テーブルの前で跪き、接待側のリーダーと思しき男に声をかけた。；浅野長矩は幕府よりこの両名の接待係を命じられていたわけである。；ところが叔父の接待がそれをまったくだめにしてしまった。；その時接待に出たジェーンの控えめでもの静かな態度が、王の関心を引いた。；座席は全体的に余裕があり、比較的静かで企業などの接待などにも利用されることがある。；尻の毛まで抜いてくれそうな気がするくらい、水野の接待は行き届いていた。</t>
        </is>
      </c>
      <c r="J4620">
        <f>HYPERLINK("https://www.weblio.jp/content/接待", "词义详情")</f>
        <v/>
      </c>
      <c r="K4620">
        <f>HYPERLINK("https://yourei.jp/接待", "查看例句")</f>
        <v/>
      </c>
    </row>
    <row r="4621">
      <c r="A4621" t="inlineStr">
        <is>
          <t>絶対</t>
        </is>
      </c>
      <c r="B4621" t="inlineStr">
        <is>
          <t>成功</t>
        </is>
      </c>
      <c r="C4621" t="inlineStr">
        <is>
          <t>読み方：ぜったい
［名・形動］
１他に比較するものや対立するものがないこと。また、そのさま。「—の真理」「—な（の）存在」「—君主」
２他の何ものにも制約・制限されないこと。また、そのさま。「—な（の）権力」
３⇒絶対者
４（副詞的に用いる）
㋐どうしても。何がどうあっても。「—に行く」「—合格する」
㋑（あとに打消しの語を伴って）決して。「—に負けない」「—許さない」「—反対」</t>
        </is>
      </c>
      <c r="D4621" t="inlineStr">
        <is>
          <t>絶対的(9%)；絶対性；絶対反対；絶対必要；絶対視</t>
        </is>
      </c>
      <c r="E4621" t="inlineStr">
        <is>
          <t>決して；極めて；絶対に；二度と；真に</t>
        </is>
      </c>
      <c r="F4621" t="inlineStr">
        <is>
          <t>唯一絶対；絶対矛盾；なんか絶対；絶対相対時制；絶対禁酒主義者</t>
        </is>
      </c>
      <c r="G4621" t="inlineStr">
        <is>
          <t>絶対値；絶対主義；絶対王政；絶対数；絶対服従</t>
        </is>
      </c>
      <c r="H4621" t="n">
        <v>29</v>
      </c>
      <c r="I4621" t="inlineStr">
        <is>
          <t>ちなみにこの企画を先に耳にしていたら絶対反対したとも告白している。；現在ではスパゲティプログラムは絶対に書いてはいけないとされている。；南北が絶対的な位置関係にあるのに対して東西は相対な位置関係にある。；そして絶対に作家になるという目標だけを掲げてホームレス生活に入る。；いずれにせよ少しでも怪しいと感じたら絶対に借りないことが第一である。；軍隊内での作戦命令は絶対であり、それに従っただけであることを主張した。；また稲作と同様に気候変動の影響を受けるため、絶対的な基準ではない。；名詞には所有接頭辞を加えた所有形と、そうでない絶対形の区別がある。；東西が相対的な位置関係にあるのに対して南北は絶対的な位置関係にある。；南北が絶対的な位置関係にあるのに対して東西は相対的な位置関係にある。；絶対的な生産数の少なさは、それ自体が装備の信頼性の低さに直結する。；絶対に打たれるはずのないひざ元へのスライダーを門田さんに打たれた。；投球術や駆け引きが無視されるほどの絶対的な武器であることも多い。；携帯ラジオ用のスピーカーは絶対に大きくて重いものであってはならない。；ガブリ左四つになればともかく、その他の格好だったら絶対に負けない。；突起板を基準として磁束の変化を観測して絶対位置の検知を行っている。；アクションシーンの撮影ではリハーサルは絶対に行わないようにしていた。；絶対的な重さを持つ元素で、自然な状態では全元素の中心に位置する。；それは親衛隊が国防軍に対して絶対的な優位を確立したことを意味した。；そのような時でも手は絶対使わず、主に足で相手を蹴飛ばしていた。；絶対的な権限を公安委員会に集めて強力な革命機関が整備された。；このため、ここに挙げた分類法も絶対のものではないことを付記しておく。；ただしそれは絶対ではなく、適切な理由があれば複数同時提案も認められる。；ラーマ6世に至っては父王の作った絶対王権によりやりたい放題だった。；特攻の成功を絶対に日本軍に知らせまいとするニミッツからの指示であった。；したがって、一酸化炭素を吸い込むことは絶対に避けなければならない。；また、子供のクラスの関係で斧と男親の槍だけは絶対に引き継げない。；倒したときの経験値は、倒した相手の職業による絶対制のままである。；したがって、デモや冗談ならともかく、実用には絶対使ってはいけない。</t>
        </is>
      </c>
      <c r="J4621">
        <f>HYPERLINK("https://www.weblio.jp/content/絶対", "词义详情")</f>
        <v/>
      </c>
      <c r="K4621">
        <f>HYPERLINK("https://yourei.jp/絶対", "查看例句")</f>
        <v/>
      </c>
    </row>
    <row r="4622">
      <c r="A4622" t="inlineStr">
        <is>
          <t>絶対に</t>
        </is>
      </c>
      <c r="B4622" t="inlineStr">
        <is>
          <t>成功</t>
        </is>
      </c>
      <c r="D4622" t="inlineStr">
        <is>
          <t>絶対的(9%)；絶対性；絶対反対；絶対必要；絶対視</t>
        </is>
      </c>
      <c r="E4622" t="inlineStr">
        <is>
          <t>決して；極めて；絶対に；二度と；真に</t>
        </is>
      </c>
      <c r="F4622" t="inlineStr">
        <is>
          <t>唯一絶対；絶対矛盾；なんか絶対；絶対相対時制；絶対禁酒主義者</t>
        </is>
      </c>
      <c r="G4622" t="inlineStr">
        <is>
          <t>絶対値；絶対主義；絶対王政；絶対数；絶対服従</t>
        </is>
      </c>
      <c r="H4622" t="n">
        <v>29</v>
      </c>
      <c r="I4622" t="inlineStr">
        <is>
          <t>ちなみにこの企画を先に耳にしていたら絶対反対したとも告白している。；現在ではスパゲティプログラムは絶対に書いてはいけないとされている。；南北が絶対的な位置関係にあるのに対して東西は相対な位置関係にある。；そして絶対に作家になるという目標だけを掲げてホームレス生活に入る。；いずれにせよ少しでも怪しいと感じたら絶対に借りないことが第一である。；軍隊内での作戦命令は絶対であり、それに従っただけであることを主張した。；また稲作と同様に気候変動の影響を受けるため、絶対的な基準ではない。；名詞には所有接頭辞を加えた所有形と、そうでない絶対形の区別がある。；東西が相対的な位置関係にあるのに対して南北は絶対的な位置関係にある。；南北が絶対的な位置関係にあるのに対して東西は相対的な位置関係にある。；絶対的な生産数の少なさは、それ自体が装備の信頼性の低さに直結する。；絶対に打たれるはずのないひざ元へのスライダーを門田さんに打たれた。；投球術や駆け引きが無視されるほどの絶対的な武器であることも多い。；携帯ラジオ用のスピーカーは絶対に大きくて重いものであってはならない。；ガブリ左四つになればともかく、その他の格好だったら絶対に負けない。；突起板を基準として磁束の変化を観測して絶対位置の検知を行っている。；アクションシーンの撮影ではリハーサルは絶対に行わないようにしていた。；絶対的な重さを持つ元素で、自然な状態では全元素の中心に位置する。；それは親衛隊が国防軍に対して絶対的な優位を確立したことを意味した。；そのような時でも手は絶対使わず、主に足で相手を蹴飛ばしていた。；絶対的な権限を公安委員会に集めて強力な革命機関が整備された。；このため、ここに挙げた分類法も絶対のものではないことを付記しておく。；ただしそれは絶対ではなく、適切な理由があれば複数同時提案も認められる。；ラーマ6世に至っては父王の作った絶対王権によりやりたい放題だった。；特攻の成功を絶対に日本軍に知らせまいとするニミッツからの指示であった。；したがって、一酸化炭素を吸い込むことは絶対に避けなければならない。；また、子供のクラスの関係で斧と男親の槍だけは絶対に引き継げない。；倒したときの経験値は、倒した相手の職業による絶対制のままである。；したがって、デモや冗談ならともかく、実用には絶対使ってはいけない。</t>
        </is>
      </c>
      <c r="J4622">
        <f>HYPERLINK("https://www.weblio.jp/content/絶対に", "词义详情")</f>
        <v/>
      </c>
      <c r="K4622">
        <f>HYPERLINK("https://yourei.jp/絶対に", "查看例句")</f>
        <v/>
      </c>
    </row>
    <row r="4623">
      <c r="A4623" t="inlineStr">
        <is>
          <t>設置</t>
        </is>
      </c>
      <c r="B4623" t="inlineStr">
        <is>
          <t>成功</t>
        </is>
      </c>
      <c r="C4623" t="inlineStr">
        <is>
          <t>読み方：せっち
［名］(スル)
１施設や機関などを設けること。「災害対策本部を—する」
２機械などを備えつけること。「消火器を—する」</t>
        </is>
      </c>
      <c r="D4623" t="inlineStr">
        <is>
          <t>設置すること；設置する病院；設置工事；設置駅；設置する場合</t>
        </is>
      </c>
      <c r="E4623" t="inlineStr">
        <is>
          <t>建設；設立；制作；設定；装備</t>
        </is>
      </c>
      <c r="F4623" t="inlineStr">
        <is>
          <t>台設置；それぞれ設置；未設置；箇所設置；多数設置</t>
        </is>
      </c>
      <c r="G4623" t="inlineStr">
        <is>
          <t>設置費用；設置運動；設置構想；設置例；設置選挙</t>
        </is>
      </c>
      <c r="H4623" t="n">
        <v>29</v>
      </c>
      <c r="I4623" t="inlineStr">
        <is>
          <t>構内は東西改札それぞれにトイレおよびエレベーターが設置されている。；県の北側から東側にかけては海に面しており、多くの港が設置されている。；自動券売機はJR線用のものとTWR線用のものが別に設置されている。；かつては地方振興局が設置されていたが統合・再編されて現在に至る。；ホームには2台以上の大型総合案内板が1987年より設置されている。；象限儀は地面に対して正確に垂直になるように設置しなければならない。；特に南部のサラーラには経済特区や大きなコンテナ港が設置されている。；ここでは、1955年の航空技術研究所の設置のころまでを前史とする。；これを実現するために御茶ノ水駅の前後に立体交差が設置されている。；ルールは至って簡単で、まず棒が競技場内に描かれた円の中に設置される。；エレベーター・エスカレーターはすべてのホームに設置されている。；また重点区域とされている150か国には国事務所が設置されている。；また、研究所も設置されるようになり、彼らの働く場所が出現した。；神奈川県横浜市金沢区の海洋研究開発機構横浜研究所に設置されている。；その他、駅舎とホームを連絡するエレベーターも設置されている。；きた通路が地下1階にあるため、階段とエスカレーターが設置されている。；家電屋の店頭に設置したテレビも事実上の街頭テレビと看做されている。；外野スタンドの最前列にはそれに使用するための扉が設置されている。；みどりの窓口は存在しないが、みどりの券売機プラスが設置されている。；太陽発電モジュールが設置された可能性はあるが発表されていない。；英国は行政システムと法制度を設置した上で伝統的な首長制を通じたを行った。；これらは阪神の駅だけではなく、阪神甲子園球場にも設置されている。；日大側は設備の設置を検討したが、老朽化により屋根がもたないと判断。；自然通風式ではベンチレーターを屋根の上などに設置して通風を行う。；それぞれ役割があり、案内・警戒・規制・指示の各種類ごとに設置者が決められている。；車内には0系風の転換座席を2脚設置したほか鉄道模型も展示されている。；事務所では事務連絡に使用するため事務所に設置されていた。；同学園の生徒は当駅が設置される前までは主に田端駅か日暮里駅を利用していた。；また、札幌農学校の前身である開拓使仮学校は、東京に設置されている。</t>
        </is>
      </c>
      <c r="J4623">
        <f>HYPERLINK("https://www.weblio.jp/content/設置", "词义详情")</f>
        <v/>
      </c>
      <c r="K4623">
        <f>HYPERLINK("https://yourei.jp/設置", "查看例句")</f>
        <v/>
      </c>
    </row>
    <row r="4624">
      <c r="A4624" t="inlineStr">
        <is>
          <t>折衷</t>
        </is>
      </c>
      <c r="B4624" t="inlineStr">
        <is>
          <t>成功</t>
        </is>
      </c>
      <c r="C4624" t="inlineStr">
        <is>
          <t>読み方：せっちゅう
［名］(スル)いくつかの異なった考え方のよいところをとり合わせて、一つにまとめ上げること。「両者の意見を—する」「和洋—」「—案」</t>
        </is>
      </c>
      <c r="D4624" t="inlineStr">
        <is>
          <t>折衷的(17%)；折衷案(16%)；折衷型(4%)；折衷派(3%)；折衷説(2%)</t>
        </is>
      </c>
      <c r="E4624" t="inlineStr">
        <is>
          <t>譲歩；折り合い；妥協；歩み寄り；折合い</t>
        </is>
      </c>
      <c r="F4624" t="inlineStr">
        <is>
          <t>折衷尺；洋折衷；折衷料理；折衷主義；折衷的立場</t>
        </is>
      </c>
      <c r="G4624" t="inlineStr">
        <is>
          <t>折衷学派；折衷様；折衷学</t>
        </is>
      </c>
      <c r="H4624" t="n">
        <v>29</v>
      </c>
      <c r="I4624" t="inlineStr">
        <is>
          <t>引き分けに終わった戦闘を反映して、条約の内容も折衷的なものだった。；この訳では、広く知られているロシア・ドイツ語折衷読みにしておきます。；彼は折衷家となって宇宙の因襲を静かに信じてこんなものだと悟っている。；とはいえ完全な民間企業とも言えず、両者を折衷した性格を持っている。；否総合というよりも、この際は寧ろ折衷と云った方がいいかも知れぬ。；下記の分類は、幾つかの異なる分類体系を可能な限り折衷したものである。；こうした折衷的立場をとることによって党の分裂を回避しようと苦心した。；最終的にこの2つを折衷したものをコンペに提出し、採用されるに至った。；この頃にこれまでに学んだ各流派を折衷して新たに天辰一刀流を興した。；実は、そこの囚人の半分以上が、この折衷人で成り立っているのである。；これらの主要な説のほかにも、さまざまな中間説や折衷説がひろがっていた。；当初は新古典主義様式が用いられたが、次第に他の様式が折衷されていった。；彼は2つの宗教を折衷したのではなく、諸宗教の本質を追求したのである。；その内容は神道や仏教、キリスト教を折衷したシンクレティズムである。；駅のデザインは西洋風のものと現地風のものの折衷である。；この意見が反映して閣議が利害をそのままに分裂し、折衷案をとった。；イタリア絵画のスタイルとフランドルの絵画の折衷的なスタイルの画家である。；そこへ〈クラウン広告〉から、両者の意見を折衷した一案が提示された。；この形式は直列4気筒と直列6気筒エンジンの折衷案的なものである。；これからは西洋医学と漢方の折衷時代だといっているような輩たちでした。；それを見習った敬節も初期は後世派や折衷派などの他派を鋭く批判した。；生気学派の教えはガレノスで有名な折衷学派の教えに急速に道を譲った。；また低空飛行する機体には上部を前者に、下部を後者にする折衷も見られる。；彼はより折衷的なスタイルであると考えられていた。；キューバにおける建築は折衷的かつ多様な建築で有名となっている。；古画の模写と写生を基礎にし、諸派を折衷し南北合体の画風を目指した。；折衷派は西洋医学を取り入れた治療を行い、現代の機器を用いた診断も行う。；いずれも師匠の作風を受け継ぎつつもより折衷的な方向に向っている。；凡て折衷説が両極端の説と同じ条件に立つことは云うまでもない。</t>
        </is>
      </c>
      <c r="J4624">
        <f>HYPERLINK("https://www.weblio.jp/content/折衷", "词义详情")</f>
        <v/>
      </c>
      <c r="K4624">
        <f>HYPERLINK("https://yourei.jp/折衷", "查看例句")</f>
        <v/>
      </c>
    </row>
    <row r="4625">
      <c r="A4625" t="inlineStr">
        <is>
          <t>設定</t>
        </is>
      </c>
      <c r="B4625" t="inlineStr">
        <is>
          <t>成功</t>
        </is>
      </c>
      <c r="C4625" t="inlineStr">
        <is>
          <t>読み方：せってい
［名］(スル)
１ある物事や条件をつくり定めること。「討論の場を—する」「舞台を江戸時代に—する」
２法律で、新たに権利を発生させること。「抵当権を—する」</t>
        </is>
      </c>
      <c r="D4625" t="inlineStr">
        <is>
          <t>設定される(3%)；設定できる；設定上；設定画；設定変更</t>
        </is>
      </c>
      <c r="E4625" t="inlineStr">
        <is>
          <t>設置；建設；設立；制作；施設</t>
        </is>
      </c>
      <c r="F4625" t="inlineStr">
        <is>
          <t>オプション設定；高く設定；基本設定；低く設定；公式設定</t>
        </is>
      </c>
      <c r="G4625" t="inlineStr">
        <is>
          <t>設定ファイル；設定資料集；設定判別；設定より規約；設定保育</t>
        </is>
      </c>
      <c r="H4625" t="n">
        <v>29</v>
      </c>
      <c r="I4625" t="inlineStr">
        <is>
          <t>また列車の運転する区間や異なる路線への直通列車の設定を検討する。；ロボットの重量設定はシリーズ他作品よりも小さいものとなっている。；非常に多作な作家でありながら、作品ごとに独特な設定が為されている。；舞台背景も重視されず、謎を成立させるために非現実的な設定の作品もある。；また、独立にまつわる建物を設定して国民の啓発を行っている国もある。；かつて当駅折り返しの列車が設定されていた頃にも使用されていた。；また、港は複数の島に囲まれており、一部は定期航路が設定されている。；小説では原作ゲームとは異なる、独自の展開・設定がなされている。；エジプト人はその当時に設定された物語さえも不変の真実であると考えた。；さまざまありうるが、次のような場所はしばしば目的地に設定されている。；通常は下りの速度が上りの速度よりも高速に設定されている。；なお、一部のカードでは目的別に複数の限度額が設定されている場合がある。；キャラクターには必要に応じて外見的特徴や内面的特徴が設定される。；原作とは設定や話の展開が異なる部分が多く、特に第二章は大きく異なっている。；このときの交換比率は欧州通貨単位に基づいて設定されたものである。；毎年必ず選出されるわけではなく、該当者が存在する場合に設定されている。；ゲームにSFアニメ的なエッセンスを加えるために行った設定といえる。；キャラクターや設定の各所にギリシア神話由来の名前が使われている。；競走得点は着順が良いほど、また格の高いレースほど高く設定されている。；学年誌での設定に基づくが、すべてが現在も活かされているとは限らない。；設定せず相手のルールに合わせて合流することもできる。；また、高速なデバイスを高優先度に設定するのが性能的に有利である。；このほか槻木駅を介して阿武隈急行線と直通する列車も設定されている。；この作品は映画に関する裏話だけでなくキャラクターの新たな設定を作った。；かつては州毎に三冠体系を設定していたが、こちらは現存しない。；ほとんどの自社発行カードの利用限度額には一律に制限を設定していない。；そこからも分かるように、この列車はどちらかと言えば大衆向けの設定であった。；時代区分の開始年・終了年を設定するのには常に困難が伴う。；待ち受けアプリに設定すれば、眺めているだけで街が発展していく。</t>
        </is>
      </c>
      <c r="J4625">
        <f>HYPERLINK("https://www.weblio.jp/content/設定", "词义详情")</f>
        <v/>
      </c>
      <c r="K4625">
        <f>HYPERLINK("https://yourei.jp/設定", "查看例句")</f>
        <v/>
      </c>
    </row>
    <row r="4626">
      <c r="A4626" t="inlineStr">
        <is>
          <t>窃盗</t>
        </is>
      </c>
      <c r="B4626" t="inlineStr">
        <is>
          <t>成功</t>
        </is>
      </c>
      <c r="C4626" t="inlineStr">
        <is>
          <t>読み方：せっとう
［名］(スル)他人の財物をひそかに盗み取ること。また、盗みをする人。「—犯」</t>
        </is>
      </c>
      <c r="D4626" t="inlineStr">
        <is>
          <t>窃盗行為(2%)；窃盗犯；窃盗団；窃盗罪；窃盗未遂</t>
        </is>
      </c>
      <c r="E4626" t="inlineStr">
        <is>
          <t>略奪；泥棒；盗み；盗む；横領</t>
        </is>
      </c>
      <c r="F4626" t="inlineStr">
        <is>
          <t>重窃盗；介抱窃盗；軽微な窃盗；窃盗狂；窃盗品</t>
        </is>
      </c>
      <c r="G4626" t="inlineStr">
        <is>
          <t>窃盗事件；窃盗犯；窃盗団；窃盗容疑；窃盗癖</t>
        </is>
      </c>
      <c r="H4626" t="n">
        <v>29</v>
      </c>
      <c r="I4626" t="inlineStr">
        <is>
          <t>一部のハイテクな自動車の鍵は、窃盗防止効果があると宣伝されている。；この運動資金獲得のため八木らは窃盗行為を行っていたが警視庁に検挙。；強盗や窃盗の前科があるものは、やっぱり使うわけにはいきませんから。；偶然、ウェイドはグレイスの兄が窃盗をしている現場を目撃してしまう。；建物に放火し、窃盗を行うことは大なり小なり世界中で行われてきた。；共有感覚が強いので窃盗が多発するがマタイに訴えれば戻る場合が多い。；しかし、浜田はその後も窃盗を繰り返しては逮捕されることを繰り返した。；窃盗を証明できるまで待ち、ペイン氏を訪ねる途中で、君に会ったのさ。；警察の発表によるとハモンド夫人の死体の窃盗も罪状に含むとのことである。；窃盗を目的にした人間たちが徘徊していたとしても不思議ではない。；殺人は、一見、単なる窃盗よりは幾層倍も危険な仕事の様に見える。；それだけのことをする彼の様子には、何か窃盗でもやってるらしい趣があった。；姦通が十誡の中で窃盗と殺人との間に配置されているのは非常に当を得ています。；この事件で警察は、少年ら二人を強盗致傷、窃盗、詐欺の罪で逮捕した。；心において一度も窃盗をしたことのない者、姦淫をしたことのない者がない。；一方、このような人口増加は窃盗など犯罪件数の増加にも繋がっている。；実際ジプシーらが去ってのち、かれらは殺人でも窃盗でもないことが分かった。；人手が足りず、昔の窃盗仲間をガリアーノに紹介して暗殺チームに入れた。；貴金属が豊富に使われた装飾物は、盗掘・窃盗の標的とされたためである。；中にも今日の郵便窃盗の如く、最初から隙を覘つて居たものは論外である。；しかしそのときまでに彼は窃盗の技を身につけていた。；まとまった数が利用されるため窃盗の目標にされることも多い。；失職したジェシカは短い間だが窃盗を考えたが、最終的にその考えを捨てた。；こうした窃盗被害を防ぐため、以下のような対策が講じられている。；もちろん単に窃盗目的なら、少なくとも何かを探そうとしただろう。；野々村は窃盗が専門で、過去に暴力事件を起こした記録はありません。；阿片の闇市が毎日立ち、殺人窃盗などは日常の大魔窟と言われていました。；殺人と窃盗ばかりがあって、殺人者、窃盗者は影も形もないのである。；窃盗等の犯罪を助長し誘発するおそれのある行為であればたりるからである。</t>
        </is>
      </c>
      <c r="J4626">
        <f>HYPERLINK("https://www.weblio.jp/content/窃盗", "词义详情")</f>
        <v/>
      </c>
      <c r="K4626">
        <f>HYPERLINK("https://yourei.jp/窃盗", "查看例句")</f>
        <v/>
      </c>
    </row>
    <row r="4627">
      <c r="A4627" t="inlineStr">
        <is>
          <t>説得</t>
        </is>
      </c>
      <c r="B4627" t="inlineStr">
        <is>
          <t>成功</t>
        </is>
      </c>
      <c r="C4627" t="inlineStr">
        <is>
          <t>読み方：せっとく
［名］(スル)よく話して、相手に納得させること。「強行派を—する」「—力」</t>
        </is>
      </c>
      <c r="D4627" t="inlineStr">
        <is>
          <t>説得する(12%)；説得しよ(3%)；説得力(3%)；説得でき；説得させる</t>
        </is>
      </c>
      <c r="E4627" t="inlineStr">
        <is>
          <t>動かす；勧誘；鼓舞；戒；納得させる</t>
        </is>
      </c>
      <c r="F4627" t="inlineStr">
        <is>
          <t>説得できる；熱心な説得；強く説得；強い説得；いくら説得</t>
        </is>
      </c>
      <c r="G4627" t="inlineStr">
        <is>
          <t>説得工作；説得術；説得的定義；説得推論</t>
        </is>
      </c>
      <c r="H4627" t="n">
        <v>29</v>
      </c>
      <c r="I4627" t="inlineStr">
        <is>
          <t>しかしバーティはその結婚式への出席を希望し、女王の説得にあたった。；蛍が一人で子供を産もうとしている、黒板家はお前の家族だと説得する。；一説では、秀隆を説得して家康に従属させるのが目的であったともいう。；原潜は対潜能力の一環でもあるので米国を説得しやすいのではないか。；彼女はドイツの講和条約を受け入れないようロシア国民を説得しようとした。；そんな折、説得に応じて前線に戻ってきた尊氏が指揮を取るようになった。；辻はグループを説得し、倒すべき敵は社会党と日本共産党であるとした。；当初、ルイ13世はこれを拒否していたものの、結局は説得されて同意した。；これに気を良くした父親は家族を説得し、今度こそ正式に門下生にしたのだという。；彼はこの新聞で社会主義者などを説得して戦争を支持させた。；それゆえ、理性的な仕方でその存在と根拠とが説得的に説明されうるものではない。；母が看護師で大学も看護系の大学に入る予定だったが、親を説得し高校卒業後上京。；今、辻維岳に命じて後藤を説得させ、卿の論に従わせようと図っている。；同時に現地軍幹部に接触し、クーデター側に着かないように説得に成功した。；以前から自殺願望を持っていた五社のことを気にしていた丹波哲郎は五社を説得した。；そのグループのいくつかには、教会の支援と説得もあった。；改装されたABCが出てくるするところだったことを局所有者を説得し始めた。；一度は引退を決意したものの妻の説得を受け、12球団合同トライアウトに参加。；本は読まれたが、ほとんどの読者は説得されず、支持者はほぼいなかった。；これに際しては、反対する母親を姉の助力で説得する曲折を経ている。；しかし上記のテレサの説得により島を含めて3人がヤマトで帰還している。；後に星野らの説得を受けて、2リーグ制維持を球団の方針とした。；これをチーム側は上記のキャッチコピーで説得したという。；しかし、「北海道の成功例を作って欲しい」と再説得したところ納得したという。；当時の広島バスは帝産の傘下で、広島バスの社長の説得で実現した。；その説得の過程では、龍太郎の苦労と母の涙があったという。；その少女の祖母・幸子は少女に学校に行くよう必死に説得するも、彼女は必死に拒否する。；彼は資産家であった親を説得し、この染料を作る工場を設立した。；教師はガウスの父親に、ガウスに数学を勉強させるように何度も説得したという。</t>
        </is>
      </c>
      <c r="J4627">
        <f>HYPERLINK("https://www.weblio.jp/content/説得", "词义详情")</f>
        <v/>
      </c>
      <c r="K4627">
        <f>HYPERLINK("https://yourei.jp/説得", "查看例句")</f>
        <v/>
      </c>
    </row>
    <row r="4628">
      <c r="A4628" t="inlineStr">
        <is>
          <t>説得力</t>
        </is>
      </c>
      <c r="B4628" t="inlineStr">
        <is>
          <t>成功</t>
        </is>
      </c>
      <c r="C4628" t="inlineStr">
        <is>
          <t>読み方：せっとくりょく
会話や文章などで、相手を納得させたり受け入れさせたりする力。「—のある話し方」</t>
        </is>
      </c>
      <c r="D4628" t="inlineStr">
        <is>
          <t>説得力が無い；説得力皆無</t>
        </is>
      </c>
      <c r="E4628" t="inlineStr">
        <is>
          <t>訴求力</t>
        </is>
      </c>
      <c r="F4628" t="inlineStr">
        <is>
          <t>被説得力</t>
        </is>
      </c>
      <c r="H4628" t="n">
        <v>29</v>
      </c>
      <c r="I4628" t="inlineStr">
        <is>
          <t>言いかたにもよるが、これは説得力として最大のものになり得たはずだ。；彼が実際に映画の中で歌っているのですごく映像に説得力があります。；それは逆の場合よりも説得力に富み、合理的な説明であるように思えた。；桑谷夫妻からあたえられた心証が彼の言葉を説得力あるものにしていた。；いつもながら、雨の言い分にはそれなりに説得力があるような気がした。；この役もまた業の深い演技ができる役者でなければ、説得力がなくなる。；説得力をもったか否かは別にして、たしかに瞬間的なことばの美しさはあった。；同じと云うなら兎も角、似てると云うだけではそれこそ説得力に欠ける。；実際に芝居がうまくて説得力があるのですから、仕方がありません。；どのテーマも具体的な方針と豊富なデータを示し、説得力があった。；教育ディベートでは、その多くが説得力を競い合う競技の形で行われる。；飛びたったときにぐらついては今のお説教も説得力がなくなってしまう。；しかし多くの宇宙論研究者はこの説明には説得力がないと受け止めている。；未来を見たから・・・では どのようにも言えてしまうので、説得力がないのだ。；何億円も宣伝費をかけるよりも、よほど説得力があるというものである。；説得力は薄いかもしれないが、それも魅伽という人物を知るまでの話だ。；こうした解釈は、ドラマの進行に伴いより説得力を持つはずである。；妖魔を間近にして、それでも生き残った少女の言葉には説得力があった。；茜が悲しみの末に自殺をしたというなら、この仮説は大いに説得力がある。；聞いた限りでは、十分に説得力を感じたし、論拠となる事例もあるらしい。；手をつけられた仕事は、動機よりもはるかに説得力を持つものだ。；しかし、西丸さん以上のものをふまえてでないと、なんの説得力もない。；私が言うと説得力がないので、三割がたは確実によくなると断言出来る。；けれどプーカの説はかなりの説得力をもって妖精たちの間に浸透していた。；しかし彼は自分でも、その声になんの説得力もないのを感じないではいられなかった。；その前提を忘れたかのようなことを言われても、説得力のある理由とは思えなかった。；採用にならなかったら、意見に欠点があるか、自己の説得力の不足である。；京重は必死に事情を説明するが、唯恋にとってはなんの説得力もない。；だが、現在では殺害の動機に説得力を持たせることがいちばん大変だと感じている。</t>
        </is>
      </c>
      <c r="J4628">
        <f>HYPERLINK("https://www.weblio.jp/content/説得力", "词义详情")</f>
        <v/>
      </c>
      <c r="K4628">
        <f>HYPERLINK("https://yourei.jp/説得力", "查看例句")</f>
        <v/>
      </c>
    </row>
    <row r="4629">
      <c r="A4629" t="inlineStr">
        <is>
          <t>切ない</t>
        </is>
      </c>
      <c r="B4629" t="inlineStr">
        <is>
          <t>成功</t>
        </is>
      </c>
      <c r="C4629" t="inlineStr">
        <is>
          <t>読み方：せつない
［形］［文］せつな・し［ク］《「ない」は接尾語》
１悲しさや恋しさで、胸がしめつけられるようである。やりきれない。やるせない。「—・い思い」
２からだが苦しい。
「ああー・い、厭(いや)だと云うのに本田さんが無理にお酒を飲まして」〈二葉亭・浮雲〉
３身動きがとれない。どうしようもない。
「詮議つめられ—・く川中に飛び込み」〈浮・武家義理・三〉
[派生]せつながる［動ラ五］せつなげ［形動］せつなさ［名］</t>
        </is>
      </c>
      <c r="D4629" t="inlineStr">
        <is>
          <t>切ない思い(5%)；切ないもの(4%)；切ないよう(4%)；切ない気持ち(3%)；切ない恋</t>
        </is>
      </c>
      <c r="E4629" t="inlineStr">
        <is>
          <t>苦しい；悲しい；痛い；辛い；つらい</t>
        </is>
      </c>
      <c r="F4629" t="inlineStr">
        <is>
          <t>切ない眼差し；切ない物語；どこか切ない；切ない感情；切ない願い</t>
        </is>
      </c>
      <c r="H4629" t="n">
        <v>29</v>
      </c>
      <c r="I4629" t="inlineStr">
        <is>
          <t>曲の内容は、自分を捨てた恋人に電話するとても切ない物となっている。；どうせ故郷もない私、だが一人の母のことを考えると切なくなって来る。；黄良は真実悲しげなその表情を、二重に切ない思いで見つめたのだった。；誰のどういう切ない要求に応えているのかを推察するのは簡単であろう。；どうせ故郷もない私だ、だが一人のお母さんの事を思うと、切なくなる。；その訴えるような切ない瞳は、口ではとても言えないことを伝えている。；それ以上に、雅子が自分と同じ気持ちにならなかったことが切なかった。；嬉しいような、切ないような気分が振り子のように彼の中で揺れている。；これまでこれほどまでに悲しく切ない女の声を聞いたことがなかった。；そうすれば生き延びてこんな切ない思いをすることもなかったはずだ。；が、私の心の上には、切ない程はつきりと、この光景が焼きつけられた。；一通りの天測を一人で終えてのち、急に切ないような思いに襲われた。；そのような唄がどんなに終戦後の村々の心を切なくしたことだったろう。；切ないような息使いや、空咳の音が一瞬の静かさをいっそう際立たせる。；女性同士の恋愛をテーマにした、切なくて純度の高い作品が多いのが特徴。；道を、叫んで行く人の声を聞いていると、私もお父さんも切なかった。；勝手にさせてよ、縛りつけるのは止めてくれと切ない声で歌っていた。；切ない歌声と日記のような歌詞が若い女性の支持を得たと見られる。；女神さまのこのような切ない言葉に感動しないような人間があるでしょうか。；切ない気持になって私は、ゆっくりとレインの前に、肢を開いていった。；が、私の心の上には、切ない程はっきりと、この光景が焼きつけられた。；そういう事になる前にこそ、死よりも切ない懊悩があったはずである。；不幸な子犬でもあるまいに、そんな切ない目で見るのはおやめなさい!；グラスのなかで氷の崩れる澄んだ音が、奇妙に切なく胸にひびいてきた。；最後に牛乳を飲んだのはいつだっただろうと、雀の胸は少し切なくなった。；そのぐらついた体を目にしたとたん、切ない思いが再び胸に戻ってきたのだ。；が、私の心の上には、切ない程はつきりと、この光景が燒きつけられた。；家を出たときと変わっていないのは、この時計だけだなあと考えて切なくなった。；泣き出しさうに切ない声であつたのを、私は今も忘れることが出来ない。</t>
        </is>
      </c>
      <c r="J4629">
        <f>HYPERLINK("https://www.weblio.jp/content/切ない", "词义详情")</f>
        <v/>
      </c>
      <c r="K4629">
        <f>HYPERLINK("https://yourei.jp/切ない", "查看例句")</f>
        <v/>
      </c>
    </row>
    <row r="4630">
      <c r="A4630" t="inlineStr">
        <is>
          <t>切迫</t>
        </is>
      </c>
      <c r="B4630" t="inlineStr">
        <is>
          <t>成功</t>
        </is>
      </c>
      <c r="C4630" t="inlineStr">
        <is>
          <t>読み方：せっぱく
［名］(スル)
１期日などが間近に迫ること。「返済期限が—する」
２緊張した状態になること。逃げ場のない追いつめられた状態になること。「経済情勢が—する」
３呼吸や脈が、小刻みに速くなること。「脈が—する」</t>
        </is>
      </c>
      <c r="D4630" t="inlineStr">
        <is>
          <t>切迫感(7%)；切迫性；切迫せる；切迫破裂；切迫した目</t>
        </is>
      </c>
      <c r="E4630" t="inlineStr">
        <is>
          <t>急；間近；促す；聡明；鋭敏</t>
        </is>
      </c>
      <c r="F4630" t="inlineStr">
        <is>
          <t>ないほど切迫；尿意切迫；かなり切迫</t>
        </is>
      </c>
      <c r="G4630" t="inlineStr">
        <is>
          <t>切迫早産；切迫性尿失禁</t>
        </is>
      </c>
      <c r="H4630" t="n">
        <v>29</v>
      </c>
      <c r="I4630" t="inlineStr">
        <is>
          <t>そんなことよりまず今の切迫した事態をなんとかしないといけないのに。；その拍子に切迫するものを感じたのか七十郎は声にならぬ悲鳴をあげた。；切迫した問題がある場合、何からまずやるべきかということも含めてだ。；その様子からはメールの文面を想像させるような切迫さは感じられない。；自分はその苦しみを共に分かたずにいられない切迫した心持ちになった。；この一二年というもの、僕は自分の死期の切迫を常に感じて生きてきた。；彼女は清美の体験を切迫した事実と認定し、同情したり、怒ったりした。；事態が切迫しているから、たいていのことはやっても許されると思う。；スケジュールが切迫した制作現場では手塚治虫と対立することもあった。；するとその静寂を破って、切迫した脅迫的な声がまた低く聞こえてきた。；これほど切迫した事情でなかったら、きっと楽しい旅だったに違いない。；事態が切迫していれば、そのまま戦闘に入ることになるかもしれない。；ベティさんは思わず切迫した気分になって無言のままちょっと頭を下げた。；だからこんどの場合が、事情きわめて切迫しているのがわかるだろう?；危険ではあるが事は切迫している、それが必要ならそうしなければなるまい。；しかしどう見ても、男の様子にはそんな切迫した雰囲気は感じられなかった。；いずれにしても縁談は滑るように進行して、結婚の吉日が切迫して来た。；今日は、その声にも態度にも、それほど切迫したものが感じられなかった。；小文が客を取っている、そう考えるだけで切迫した感情に突き動かされる。；ブラッグ将軍は事態の切迫してきたことを理解し、市の放棄を命じた。；そして享楽したくても不可能な切迫した内容ばかりで生きているからである。；切り棄てなければならない程、世間が切迫してゐるのだから仕方がない。；だが、事態がこうも切迫して来たとなれば、加藤清正も、ことになった。；学校のことなんて気にしていられないくらい、切迫した状況なのかもしれない。；このような切迫した訣別はこれまでの戦いにはなかったものである。；長州藩が無防備のまま、切迫した事態に追いこまれていたからでもある。；実際、口に出しては言へないやうな切迫した心持をかれ等は感じたのである。；生の最初の瞬間から死が働き始め、次第にその切迫性を増し始める。；ワシントンの任命は戦争が切迫していたフランスに対する警告であった。</t>
        </is>
      </c>
      <c r="J4630">
        <f>HYPERLINK("https://www.weblio.jp/content/切迫", "词义详情")</f>
        <v/>
      </c>
      <c r="K4630">
        <f>HYPERLINK("https://yourei.jp/切迫", "查看例句")</f>
        <v/>
      </c>
    </row>
    <row r="4631">
      <c r="A4631" t="inlineStr">
        <is>
          <t>絶版</t>
        </is>
      </c>
      <c r="B4631" t="inlineStr">
        <is>
          <t>成功</t>
        </is>
      </c>
      <c r="C4631" t="inlineStr">
        <is>
          <t>読み方：ぜっぱん
一度出版した本の版を廃棄して再び発行しないこと。また、その本。</t>
        </is>
      </c>
      <c r="D4631" t="inlineStr">
        <is>
          <t>絶版状態(3%)；絶版文庫；絶版処分；絶版作品；絶版キット</t>
        </is>
      </c>
      <c r="E4631" t="inlineStr">
        <is>
          <t>廃止；廃盤；廃番</t>
        </is>
      </c>
      <c r="F4631" t="inlineStr">
        <is>
          <t>現在絶版；すべて絶版；その後絶版；長く絶版；とも絶版</t>
        </is>
      </c>
      <c r="G4631" t="inlineStr">
        <is>
          <t>絶版車</t>
        </is>
      </c>
      <c r="H4631" t="n">
        <v>29</v>
      </c>
      <c r="I4631" t="inlineStr">
        <is>
          <t>そういうわけでこの書は今までにもう七八年ぐらいも絶版となっていた。；その時には絶版にしてからすでに五六年の年月がたっていたのである。；現在は絶版となっているが、コンビニコミックで一部が販売されている。；絶版の理由はこれまで明確にされたことがなく、さまざまな説がある。；ブルーバックスで刊行されていた新書が絶版後に文庫化された例もある。；出版当初の売れ行きは悪く、アメリカの出版社はこの作品を絶版にした。；絶版になった漫画は中古で売買されているが、漫画家の利益にならない。；その後数年は市場流通していたが、現在は再び絶版となっている。；ラスト・イグジットのアルバムのほとんどは何年も絶版になっている。；一度絶版になっており、装丁や内容を一部変更した新版が出版された。；日本でのサポートはなく、ミニチュアもほとんどが絶版になっている。；過去の号の中にはこの観点から絶版にされたものもある。；以下の版が発売されたが、2006年時点で全て絶版となっている。；その単行本自体も絶版となっているため、現在の入手は困難である。；いずれも、販売元はポニーキャニオンで現在はすでに絶版となっている。；いずれも絶版となっているが、ワイド版以外は現在でも比較的入手しやすい。；ながらく絶版になっていたが、多数の要望が寄せられ、再版されている。；原稿書きを仕事にしている私は、絶版になった本を探すことが少なくありません。；なお、それ自体は絶版となったが、後にオンデマンド版が刊行された。；ロンドンで出たんですが、絶版になってるから、注文してもないんですって。；著作数は100冊近いが翻訳されたものは少なく、その大半が絶版になっている。；死後、作品は米国で絶版になったが、フランスでは人気作家の地位を保った。；一方日本では未訳や絶版、雑誌掲載のみで単行本になっていない作品も多い。；ところが絶版書をコピーする際は、その人たちに印税分がいきません。；元の出版元で絶版になった本の再出版で有名である。；現在では邦訳も絶版状態だが、存命中は広く知られた作家であった。；文庫で出版され、絶版になるまでの期間が通常の小説よりも短い。；現在大半の作品が絶版となっており入手が困難である。；近年ではどの作品も絶版になり入手困難になっている。</t>
        </is>
      </c>
      <c r="J4631">
        <f>HYPERLINK("https://www.weblio.jp/content/絶版", "词义详情")</f>
        <v/>
      </c>
      <c r="K4631">
        <f>HYPERLINK("https://yourei.jp/絶版", "查看例句")</f>
        <v/>
      </c>
    </row>
    <row r="4632">
      <c r="A4632" t="inlineStr">
        <is>
          <t>設備</t>
        </is>
      </c>
      <c r="B4632" t="inlineStr">
        <is>
          <t>成功</t>
        </is>
      </c>
      <c r="C4632" t="inlineStr">
        <is>
          <t>読み方：せつび
［名］(スル)必要な建物・機器などを備えつけること。また、備えつけたもの。「下水の—が整う」「情報機器を—する」</t>
        </is>
      </c>
      <c r="D4632" t="inlineStr">
        <is>
          <t>設備等；設備面；設備機器；設備更新；設備投資</t>
        </is>
      </c>
      <c r="E4632" t="inlineStr">
        <is>
          <t>設置；設定；施設；装備；道具</t>
        </is>
      </c>
      <c r="F4632" t="inlineStr">
        <is>
          <t>通信設備；製造設備；車内設備；地上設備；接客設備</t>
        </is>
      </c>
      <c r="G4632" t="inlineStr">
        <is>
          <t>設備工事；設備管理；設備費；設備設計；設備機械</t>
        </is>
      </c>
      <c r="H4632" t="n">
        <v>29</v>
      </c>
      <c r="I4632" t="inlineStr">
        <is>
          <t>従来は構内の信号設備の関係上回送も含めすべての列車が停車していた。；これは、民生用設備に高度な技術を用いたものが多くなったためである。；シートベルトが保安基準で設備されている場合には装着する必要がある。；また同じ車両であっても設備と価格に格差をつけている場合がある。；街の成長は主に港の施設や他の設備が徐々に改善されていった半島部で起きた。；ロケットの発射台と同じく、地上に設備を作ってそこから発射するもの。；収容局設備から各ユーザ宅の間に光ケーブルの分岐ポイントがあるもの。；その接客設備の良さから次第に特急列車にも使用されるようになった。；同一の区間で設備と運賃に格差をつけた複数の便が運行されている例がある。；貨物用の設備は設置されていないほか、専用線も当駅には接続していない。；設備の制御は携帯電話などのモバイル機器からも可能であるという。；しかしフランスにはそれを実施する設備が非常に少ないことをマリは知っていた。；このため、後述のように各種設備はそれに対応して設計された。；また、当研究所内の設備を利用した数々の研究が行われている。；貨物列車の発着は無く、荷役設備や当駅に接続する専用線も存在しない。；地形上の制約のため待避設備がなく、可動式ホーム柵が設置されている。；設備改良の主な内容の始まった駅とその年は次の通り。；汚水の排泄が十分ではなく、また台所の下水設備も刷新が必要であった。；日大側は設備の設置を検討したが、老朽化により屋根がもたないと判断。；大多数が昭和40年代に設計されたときと基本的に同一の設備で運行されていた。；これらのうちのいくつかは、歴史的あるいは管理上の理由から複数の設備を持っている。；また2000年頃以降は下記のような停留所設備の一新を行っている。；どちらの車両でも、接客のための設備はおおむね共通した構造を有している。；ただし、先述の臨時改札側についてはこれらの設備は設置されていない。；直流専用車または交流専用車を使用することができるが、地上設備が複雑になる。；一方で電車と同じように膨大な地上設備を必要としている。；落成当初トイレは地上設備の関係で利用出来なかったが後に利用できる様になった。；走路内や走路脇には競馬を行うために必要な設備や装置が存在する。；部屋以外の設備は共同使用の場合が多く、基本的に相部屋である。</t>
        </is>
      </c>
      <c r="J4632">
        <f>HYPERLINK("https://www.weblio.jp/content/設備", "词义详情")</f>
        <v/>
      </c>
      <c r="K4632">
        <f>HYPERLINK("https://yourei.jp/設備", "查看例句")</f>
        <v/>
      </c>
    </row>
    <row r="4633">
      <c r="A4633" t="inlineStr">
        <is>
          <t>切望</t>
        </is>
      </c>
      <c r="B4633" t="inlineStr">
        <is>
          <t>成功</t>
        </is>
      </c>
      <c r="C4633" t="inlineStr">
        <is>
          <t>読み方：せつぼう
［名］(スル)心から強く望むこと。「世界の平和を—する」</t>
        </is>
      </c>
      <c r="D4633" t="inlineStr">
        <is>
          <t>切望する(20%)；切望いたし</t>
        </is>
      </c>
      <c r="E4633" t="inlineStr">
        <is>
          <t>思い；願い；望み；想い；憧れ</t>
        </is>
      </c>
      <c r="F4633" t="inlineStr">
        <is>
          <t>たいという切望</t>
        </is>
      </c>
      <c r="H4633" t="n">
        <v>29</v>
      </c>
      <c r="I4633" t="inlineStr">
        <is>
          <t>チャールズ2世は科学の進歩についてゆくことを切望していたのである。；今二人のいる場所に時々来られる特権をわたしは切望することでしょう。；私は自分の家族のもとへ、自分の家庭へ戻ることを切望しております。；だが彼女が切望する表情を浮かべている者は誰一人として居なかった。；そして余り切望するでもないことでも引つ張り出すより他仕方なかつた。；私は多くの自然科学者達が、本書の態度に学ぶ処あらんことを切望する。；その質問の裏にある切望する気持ちが、あまりにもよく分かったからだった。；自分は当局者がこの辺の事情を十二分に研究せられんことを切望する。；あなたこそがわたしの魂の望みで、 あなたを礼拝することを切望します。；自分と同じ芸術家の血と魂と素質が、子供に伝授することを切望したのだ。；どんなにいい価値でそれを発揮させたいと切望しているだろう。；それにもかかわらず、私の関心は切迫し、彼女の顔を見ることを切望した。；そうして今の改革派を追放してもらいたいと切望しているというのだ。；その解明を科学者は切望したが、一般大衆は明らかに不安を感じていた。；私はあなたがたが自由にあらん事を切望するものであります。；彼らの切望していたことはただ一つ、一刻も早くこの屋敷を出ることだった。；皆に愛されることを切望しながら、姉は周囲に心を開くことはできなかった。；モレルはこの諸島の話を既に聞いており、そこに行くことを切望していた。；わたしたちの悲願、奇跡に至ろうとする切望は何処からきたものなのか。；それこそ、常々わたくしの心より切望していることでございますもの。；大陸会議の初期では、イギリスとの和解を最も切望する者達の一人だった。；どうしてこの見知らぬ土地へ来たとき、母親になりたいと切望したのだろう。；イングランドへの隠居を切望するその心は、何かもしくは誰かを恐れている。；私は、私たちが一九八四年にともに仕事をすることができることを切望しております。；美しくない少女は、しかしだれよりも人に愛されたいと切望して育っていった。；体が逃げることを切望していて、思わずそれに従ってしまった。；彼の手を何人かに触れ、また何人かの手によって触れられんことを切望する。；しかし、事業のためにあまり多くの時間と精力とを消費しないことを切望する。；過去作品の預言性を認知した読者から復帰を切望される人材の一人である。</t>
        </is>
      </c>
      <c r="J4633">
        <f>HYPERLINK("https://www.weblio.jp/content/切望", "词义详情")</f>
        <v/>
      </c>
      <c r="K4633">
        <f>HYPERLINK("https://yourei.jp/切望", "查看例句")</f>
        <v/>
      </c>
    </row>
    <row r="4634">
      <c r="A4634" t="inlineStr">
        <is>
          <t>絶望</t>
        </is>
      </c>
      <c r="B4634" t="inlineStr">
        <is>
          <t>成功</t>
        </is>
      </c>
      <c r="C4634" t="inlineStr">
        <is>
          <t>読み方：ぜつぼう
［名］(スル)希望を失うこと。全く期待できなくなること。「深い—におそわれる」「将来に—する」</t>
        </is>
      </c>
      <c r="D4634" t="inlineStr">
        <is>
          <t>絶望的な状況；絶望視；絶望的な気分；絶望感；絶望的な気持ち</t>
        </is>
      </c>
      <c r="E4634" t="inlineStr">
        <is>
          <t>失意；悲観；自暴自棄；自棄；やけくそ</t>
        </is>
      </c>
      <c r="F4634" t="inlineStr">
        <is>
          <t>シーズン絶望；暗い絶望；深く絶望；半ば絶望；激しい絶望</t>
        </is>
      </c>
      <c r="G4634" t="inlineStr">
        <is>
          <t>絶望感；絶望の世界；絶望と希望；絶望の丘；絶望先生</t>
        </is>
      </c>
      <c r="H4634" t="n">
        <v>29</v>
      </c>
      <c r="I4634" t="inlineStr">
        <is>
          <t>そうとは知らないトマスは絶望のために自殺しようとするのだが・・・。；その状況は、将来の工場再建を絶望させるような壊滅的な状況であった。；最前線にいた将校はロンメルにいかに状況が絶望的であるかを報告した。；この年ひざの負傷で11試合に出場したところでシーズン絶望となった。；エレミヤが絶望的な状況の中で告げていた預言は未来への希望であった。；ビルは、誰も目が見えず絶望に覆われたロンドンの街を歩き始める。；しかし、あくまで母親への忠誠心を崩さない夫の態度に彼女は絶望する。；恋愛もうまくいかず、絶望に打ちひしがれたドリューは自殺を決意する。；そのためここで扱われる絶望の意味は日常的に使われるものと大きく異なる。；あえて希望を語りはしなかったが、しかし絶望を語ったわけでもない。；そして向かいの窓のあざけりの笑いを聞き、絶望して窓から身を投げた。；そのときから彼らの結婚生活の絶望的な運命は決定づけられていたという。；これにはイアンの書く絶望や孤独を歌った歌詞も大きく貢献している。；皮肉にも最後まで食い下がったのは最早優勝が絶望的なツェーレだった。；この負傷はシーズン絶望となる大怪我で彼は故障者リスト入りした。；どんなに絶望的な状況になっていってもアンネは最後まで希望を捨てなかった。；さらに塞がれていた窓は次々に破られ、状況は絶望的に悪化していく。；既にドン河の枢軸軍全体が包囲網に包まれており脱出は絶望視されていた。；絶望のあまり自ら高圧電流が流れる鉄条網に触れて自殺する者もいたという。；またその詩をより暗くしているのは、繰り返される絶望と死の描写である。；グスタフはポーランドに移り、困窮と絶望の中で成長することになった。；絶望的な状況の中で、スー族のゴースト・ダンス流行はさらに高まった。；だが自分の信じていたものすべてが嘘だったことを知ったまゆは絶望に陥っていた。；ヒューストンの軍列の間の絶望は大きくなり、敵意は彼に向けられた。；この事態は、セルビアに悲観と絶望をもたらしただろうと考えられている。；父フランソワは絶望で打ちひしがれたのか妻の葬儀に出席しなかった。；身を引くしかない百合は絶望して田倉家を出、希望の窯元にやってくる。；大吾は落合を発見するも、周囲は炎に囲まれ絶望的な事態となってしまった。；その目的は、ジオン残党に完全なる絶望を与えるためであるとされる。</t>
        </is>
      </c>
      <c r="J4634">
        <f>HYPERLINK("https://www.weblio.jp/content/絶望", "词义详情")</f>
        <v/>
      </c>
      <c r="K4634">
        <f>HYPERLINK("https://yourei.jp/絶望", "查看例句")</f>
        <v/>
      </c>
    </row>
    <row r="4635">
      <c r="A4635" t="inlineStr">
        <is>
          <t>説明</t>
        </is>
      </c>
      <c r="B4635" t="inlineStr">
        <is>
          <t>成功</t>
        </is>
      </c>
      <c r="C4635" t="inlineStr">
        <is>
          <t>読み方：せつめい
［名］(スル)ある事柄が、よくわかるように述べること。「—を求める」「科学では—のつかない現象」「事情を—する」
[用法]説明・解説——「この件について説明（解説）してください」など、わかりやすく述べるの意では相通じて用いられる。◇「説明」は、「医者が病状を説明する」「相手に説明を求める」「事件のあらましを説明する」「電気器具は説明をよく読んで使用したほうがいい」のように、使われる範囲が広く、客観的な感じがある。◇「解説」は、「事件の背景を解説する」「作品の解説」「ニュース解説」のように、ある事柄について分析し、その生じた理由や背景、他に与える影響などにまで言及することが多い。</t>
        </is>
      </c>
      <c r="D4635" t="inlineStr">
        <is>
          <t>説明する(18%)；説明できる(2%)；説明しよ；説明文；説明すれ</t>
        </is>
      </c>
      <c r="E4635" t="inlineStr">
        <is>
          <t>代表；記述；解釈；表す；解説</t>
        </is>
      </c>
      <c r="F4635" t="inlineStr">
        <is>
          <t>うまく説明；ご説明；詳しい説明；詳細な説明；簡単な説明</t>
        </is>
      </c>
      <c r="G4635" t="inlineStr">
        <is>
          <t>説明会；説明責任；説明義務；説明と同意；説明のギャップ</t>
        </is>
      </c>
      <c r="H4635" t="n">
        <v>29</v>
      </c>
      <c r="I4635" t="inlineStr">
        <is>
          <t>たいていの場合にうまくいっていると考えられる構成を以下に説明します。；ヴォルフェンビュッテルの原稿は特に以下のような説明を提供している。；当記事の最初で説明したように、ゲーム機には以下のような種類がある。；理論的に明解であり扱いも容易であるため、形式的な説明を先に述べる。；しかし、シューマン自身がこのように説明している記述はどこにもない。；この高い金属存在量を説明するために、主に3つの理論が提唱されている。；この理論はまた、気体系が変化に対してどう反応するかを説明している。；説明なしに行われたこの改造に対して、疑念の声が上がることになった。；この事態をゼノンは次のように説明している、とアリストテレスは言う。；日本以外にも存在するが、この記事では日本の缶けりについて説明する。；ヘロンの説明によると、弓の材料は「角と木の一種」が用いられていた。；この項目では同行の前身である安田財閥の安田銀行についても説明する。；説明的妥当性を持つ理論は初期状態である普遍文法の性質を記述する。；以下の説明の規定については国際卓球連盟の規則に従って記述している。；微分係数 とは何であるか直観的に説明するには、いくつかの方法がある。；マルクスは人類の歴史の中で最も影響力のある人物の一人であると説明されている。；しかし、彼女の息子のジャンポールは彼の母親を狂ったと説明しています。；また、ラヴェルは自身の創作姿勢については以下のように説明している。；これらの法則は、天体の運行などの観測結果をよく説明することができた。；いずれにしても以上の説明は、大学の学科紹介などからの抜粋である。；古代以来の哲学者たちがそれをどのように理解し説明してきたか、次に挙げる。；英和辞典でも童謡の総称としてよりもこちらの説明を載せている例がある。；ここで博士の説明を聞く男性たちの中に医者はおらず、全員が街の名士であった。；この世界に存在すると思われるもののオーソドックスな科学では説明不可能なこと。；後の展開を受け、偶然の一致と説明を変更するようになった。；論文でシュレーディンガーは自分でこの方程式を以下のように説明している。；これまでに説明した方式を使い、次のような同期プリミティブが構築できる。；太陽と惑星の黄経の差と説明されることもあるが正しくない。；次に卦辞が続き卦の名前と卦全体の内容を様々な象徴的な言葉で説明する。</t>
        </is>
      </c>
      <c r="J4635">
        <f>HYPERLINK("https://www.weblio.jp/content/説明", "词义详情")</f>
        <v/>
      </c>
      <c r="K4635">
        <f>HYPERLINK("https://yourei.jp/説明", "查看例句")</f>
        <v/>
      </c>
    </row>
    <row r="4636">
      <c r="A4636" t="inlineStr">
        <is>
          <t>絶滅</t>
        </is>
      </c>
      <c r="B4636" t="inlineStr">
        <is>
          <t>成功</t>
        </is>
      </c>
      <c r="C4636" t="inlineStr">
        <is>
          <t>読み方：ぜつめつ
［名］(スル)
１生物の種などが滅びて絶えること。「乱獲により—する」
２残らず絶やすこと。なくすること。「交通事故を—する」
３レッドリストやレッドデータブックで、生物の種を絶滅の危険性の高さによって分類したカテゴリー項目の一つ。すでに絶滅したと考えられる種。以前は「絶滅種」として分類されていた。EX（Extinct）。</t>
        </is>
      </c>
      <c r="D4636" t="inlineStr">
        <is>
          <t>絶滅政策；絶滅群；絶滅事変；絶滅部族；絶滅動物</t>
        </is>
      </c>
      <c r="E4636" t="inlineStr">
        <is>
          <t>除く；滅亡；壊滅；除去；消す</t>
        </is>
      </c>
      <c r="F4636" t="inlineStr">
        <is>
          <t>人類絶滅；絶滅作戦；絶滅計画；恐竜絶滅；全て絶滅</t>
        </is>
      </c>
      <c r="G4636" t="inlineStr">
        <is>
          <t>絶滅危惧；絶滅寸前；絶滅収容所；絶滅種；絶滅した動物</t>
        </is>
      </c>
      <c r="H4636" t="n">
        <v>29</v>
      </c>
      <c r="I4636" t="inlineStr">
        <is>
          <t>静岡県でも定着が一時報告されたが、その後絶滅したと考えられている。；肩の作りが特殊なため、恐竜のような絶滅動物と比較されることも多い。；分布が非常に広いため、種として絶滅のおそれは低いと考えられている。；これらの種の多くは絶滅の危機にあり、いくつかはすでに絶滅している。；いくつかの歴史的要因のために、現在では絶滅の危機にさらされている。；またこれらの他にも、すでに絶滅したヒト属の種が幾つか確認されている。；かつては現在より多様で、多くの絶滅科や絶滅したラクダ科の種がいる。；生息数ははっきりしないが、現時点では絶滅のおそれはないとされている。；全生息数は数十万頭と考えられており、さしあたっては絶滅の心配はない。；純粋な遺伝子をもつ集団は絶滅したため、詳しいことは分かっていない。；イギリスで絶滅など、ロシア以外の多くの国では個体数が激減している。；絶滅の危機に瀕している野生生物の状況は短期間で悪化することもある。；この地点で他の大きさのヴィオラ・ダ・ガンバ属はほとんど絶滅していた。；絶滅科が5科知られ、うち2科はハコフグ上科に含められたことがある。；この系統にはさらに絶滅したカンザシバト が含まれる可能性がある。；ユタ湖には固有種の絶滅危惧種やすでに絶滅した種の魚が存在していた。；生息数は安定していると考えられており、絶滅のおそれは低いと考えられている。；インド洋西部のモーリシャス島だけに生息していたが、すでに絶滅した。；惑星自体が寒冷化し、生物が絶滅の危機に瀕したワイルド星から訪れる。；通り魔の目的は劇中では語られないが、人類を絶滅させることだとされる。；彼等は狩猟採集民であり、更新世末には絶滅した大型動物を狩っていた。；もっとも有名な強化人間の一人である緋室灯もこの絶滅社に属する。；不明な点もあるが、おそらく絶滅の惧れはあまりないものと考えられている。；ネパールでは絶滅していたとされていたが2014年に再発見された。；戦後はほとんどの機体が破壊または絶滅したと言われている。；それから2000年が経ち地球は厚い氷に覆われ、人類は絶滅していた。；熱帯雨林の開発の進行で生息環境を失って絶滅したものも少なくないと思われる。；これは言い換えれば、さまざまな生物が過去に絶滅してきたことを意味する。；だが、彼らの関心は絶滅する前にカカポを蒐集することに向けられていた。</t>
        </is>
      </c>
      <c r="J4636">
        <f>HYPERLINK("https://www.weblio.jp/content/絶滅", "词义详情")</f>
        <v/>
      </c>
      <c r="K4636">
        <f>HYPERLINK("https://yourei.jp/絶滅", "查看例句")</f>
        <v/>
      </c>
    </row>
    <row r="4637">
      <c r="A4637" t="inlineStr">
        <is>
          <t>節約</t>
        </is>
      </c>
      <c r="B4637" t="inlineStr">
        <is>
          <t>成功</t>
        </is>
      </c>
      <c r="C4637" t="inlineStr">
        <is>
          <t>読み方：せつやく
［名］(スル)むだ遣いをやめて切りつめること。「電気の—」「交際費を—する」</t>
        </is>
      </c>
      <c r="D4637" t="inlineStr">
        <is>
          <t>節約するため(10%)；節約できる(7%)；節約しよ；節約する必要；節約すれ</t>
        </is>
      </c>
      <c r="E4637" t="inlineStr">
        <is>
          <t>経済；減少；縮小；削減；短縮</t>
        </is>
      </c>
      <c r="F4637" t="inlineStr">
        <is>
          <t>燃料節約；費用節約；時間節約；エネルギー節約；電力節約</t>
        </is>
      </c>
      <c r="G4637" t="inlineStr">
        <is>
          <t>節約志向；節約料理；節約レシピ</t>
        </is>
      </c>
      <c r="H4637" t="n">
        <v>29</v>
      </c>
      <c r="I4637" t="inlineStr">
        <is>
          <t>問題の調査中は停止させられ、乗組員は電力を節約するように言われた。；エネルギー危機では個人や事業もエネルギーを節約する呼びかけを行わせた。；再び市場は金融的な需要と節約と高価な船の時間を節約する目的で動く。；ガードナーはこの手続きで州は10万ドルを節約できたと報告していた。；利益を得ることは節約することであり、節約することは蓄財することだ。；これは初期に、命令空間やチップ面積を節約する必要があったためである。；これは圧縮前に比べてどれだけ格納領域を節約できるかを示すものである。；他の駅からだと無料なので節約したい場合は歩くこともできる。；こんなことになるのだったら、節約して洋服を買っておくべきでした。；これは最後の最後、しかも節約しつつ食べる必要があるためである。；また外部記憶スペースを節約するための同様の技法も存在している。；水を節約する単純な方法としては、閘門の数を増やすことが挙げられる。；それでその決心を果たすために、お金と著物とを節約しようと力めました。；この方法は、統合テストプロセスの時間を節約するのに非常に効果的である。；これは砲弾が戦場に無いというよりは弾薬を節約するよう心がけたためだ。；そのため、何ワードかをいかに節約するかに頭を悩ませることが多かった。；そのためには海軍の要請する203高地攻略は弾薬節約の点から反対だった。；製作に必要な資材と労力を節約するため、以下のような工夫が施された。；ほぼ同じ時期に設立されたため校舎の設計費を節約するため規格品校舎となったため。；多くの動物はまた、エネルギーを節約するために動作が非常にゆっくりとしている。；それに伴って人々の運動量は増加し、エネルギーの節約にも繋がっていく。；予算を節約するために、弁護士は業務上の習慣などを厳密に検討した。；この移転は年間1億ドルを節約する一連の沿岸警備隊基地閉鎖の一部だった。；これは、事務で使用するインクを節約するためであったと考えられる。；旅行にかかる時間と金を節約して会議を開くことが可能である。；しかし、移住後もなお、フランシスは特に節約しようともしなかった。；車両は、停車する必要がないときに停車地を通過することで燃料を節約することもできる。；顧客の電気代は3300万ドルの節約となり、その分は他の消費に回った。；プレゼンス情報が時間節約になる例は、GPSを備えた運転手である。</t>
        </is>
      </c>
      <c r="J4637">
        <f>HYPERLINK("https://www.weblio.jp/content/節約", "词义详情")</f>
        <v/>
      </c>
      <c r="K4637">
        <f>HYPERLINK("https://yourei.jp/節約", "查看例句")</f>
        <v/>
      </c>
    </row>
    <row r="4638">
      <c r="A4638" t="inlineStr">
        <is>
          <t>設立</t>
        </is>
      </c>
      <c r="B4638" t="inlineStr">
        <is>
          <t>成功</t>
        </is>
      </c>
      <c r="C4638" t="inlineStr">
        <is>
          <t>読み方：せつりつ
［名］(スル)組織・施設・制度などを新しくつくること。「財団を—する」「—者」</t>
        </is>
      </c>
      <c r="D4638" t="inlineStr">
        <is>
          <t>設立当初(2%)；設立時；設立以来；設立準備；設立メンバー</t>
        </is>
      </c>
      <c r="E4638" t="inlineStr">
        <is>
          <t>設置；建設；組織；制作；設定</t>
        </is>
      </c>
      <c r="F4638" t="inlineStr">
        <is>
          <t>合わせて設立；学校設立；新しく設立；基づいて設立；協会設立</t>
        </is>
      </c>
      <c r="G4638" t="inlineStr">
        <is>
          <t>設立記念日</t>
        </is>
      </c>
      <c r="H4638" t="n">
        <v>29</v>
      </c>
      <c r="I4638" t="inlineStr">
        <is>
          <t>当初は西日本新聞社と共同で球団を設立しようとしたが、これには頓挫。；設立時には満州で捕虜となった日本軍人や整備士が中国兵を訓練している。；そのことは多くの学校が19世紀に設立されたという事実からもわかる。；教育施設の中でももっぱら教育のために設立される施設を学校と呼ぶ。；複数の政治政党が政府の承認を経て設立されたものとなっている。；ロッキー山脈の西部で設立された初めての公立図書館がある場所でもある。；ヨーロッパ各国が共同で設立した欧州宇宙機関で中心的な役割を果たしている。；カジミェシュ宮殿には新たに設立されたワルシャワ大学も入居していた。；この会議では、のちに婦人国際平和自由連盟となる組織が設立された。；現在の会社は1942年4月10日に広島瓦斯電軌より分離設立された。；彼は伯爵と共にド・ディオン・ブートン社を共同設立した人物でもあった。；この称号は、設立以来、現役のイギリスの君主によって保持されてきた。；こうした詐欺的商法を行う会社の一方で、他の事業を行う会社も設立された。；このことからもWRPSの設立が比較的最近であることがわかる。；しかし、急遽設立したため事務所もなければスタッフもいなかった。；日本では1873年に、欧米の機械を導入した初の洋紙工場が設立された。；シューハートは翌年設立されるベル研究所で引退するまで研究に従事した。；表で設立年とあるが、これは会社の設立年ではなく、テレビ局の設立年である。；このグループは1662年に国王による勅許を得て王立学会を設立した。；のちにKANUを飛び出したオギンガ・オディンガがKPUを設立した。；ドゥブナのチームは、発見の基準を明確にするための国際委員会の設立を提案した。；日本は設立時から参加しており国際会議には政府・使用者・労働者のそれぞれ代表を送っている。；一方で周囲は再開発が進み、新たな商業施設が続々と設立されている。；どちらもテキサス州憲法で設立され、恒久的大学基金の枠を持っている。；ガポンは教会司祭であり、独自の労働者組織を設立した人物である。；日本全体では少数であるため、近隣でのモスク設立に不安・反発を表明する日本人も多い。；そこで、1985年に株式会社コミケットを設立してそれを行うこととした。；それを受けて、連盟、アメリカ、リベリアの三者が共同で委員会を設立した。；典型的な例は、16世紀に設立されたポーランドのザモシチ市である。</t>
        </is>
      </c>
      <c r="J4638">
        <f>HYPERLINK("https://www.weblio.jp/content/設立", "词义详情")</f>
        <v/>
      </c>
      <c r="K4638">
        <f>HYPERLINK("https://yourei.jp/設立", "查看例句")</f>
        <v/>
      </c>
    </row>
    <row r="4639">
      <c r="A4639" t="inlineStr">
        <is>
          <t>瀬戸際</t>
        </is>
      </c>
      <c r="B4639" t="inlineStr">
        <is>
          <t>成功</t>
        </is>
      </c>
      <c r="C4639" t="inlineStr">
        <is>
          <t>読み方：せとぎわ
１狭い海峡と外海の境。
２勝負・成否などの分かれ目。「生きるか死ぬかの—」</t>
        </is>
      </c>
      <c r="D4639" t="inlineStr">
        <is>
          <t>制限；限界；危ない；危うく；ギリギリ</t>
        </is>
      </c>
      <c r="F4639" t="inlineStr">
        <is>
          <t>大事な瀬戸際；危険な瀬戸際；あぶない瀬戸際</t>
        </is>
      </c>
      <c r="G4639" t="inlineStr">
        <is>
          <t>瀬戸際政策</t>
        </is>
      </c>
      <c r="H4639" t="n">
        <v>29</v>
      </c>
      <c r="I4639" t="inlineStr">
        <is>
          <t>受けとるまではふたりの娘が結婚の瀬戸際にあるとは知らなかったのだよ。；仕事が第一だし特に今のように生きるか死ぬかの瀬戸ぎわならなおさらだ。；これまで子供の命が瀬戸際を歩いてきた家族は、強い緊張を強いられていた。；お前に、こんなことをさせたくはないけれど、二人の命の瀬戸際だからね。；何の罪もない少女が、今も生きるか死ぬかの瀬戸際に立たされている。；本を読んで待っているなどと言ってはいたが、妻が癌か否かの瀬戸際である。；結婚の瀬戸際まで進んだ男女の愛をきりはなす力は神にだってありはしない。；あと一番の勝ち負けで、幕下に落ちるか十両へ残れるかの瀬戸際にいる。；五十嵐氏は今まさに摘発されようとする涜職事件の瀬戸際に立っていた。；瑠璃子にしては、命の瀬戸際に恥も外聞も構ってはいられなかったのだ。；この瀬戸ぎわで卑屈になれば、ただの乞食とかわらなくなるのであろう。；記念のための瀬戸際の盃、 私は君を手にして、 喜びと悲しみの二つ味ふ。；一郎君は今、死の瀬戸ぎわに立って、三人の命を救おうとしているのです。；ふたりの娘はまさに結婚の瀬戸際までいったにかかわらずだめになってしまったのでありました。；危ない命のせとぎわに、星子はなんだってそんな悪戯をするのだろうか。；日本という国家自体が亡びるか否かの瀬戸際に立っているのだから。；その試練とは私が実際に死の瀬戸際にまで自らを運ぶことだったのかもしれない。；あの事件は人類の文明が終焉を迎えるかどうかの瀬戸際だった。；教会のなかで、しかもあの運命的な瀬戸ぎわにあなたを初めてお見かけ申したのです。；彼女にも本職の舞台で脚光が得られるかどうかの瀬戸際だからね。；何があっても間に合わせるということで『瀬戸際の魔術師』でしたよね?；わが一族の浮沈の瀬戸際に黙って見ているわけにも行かない。；やぶれたならばそれで自分の一切は無になり虚にならねばならぬ瀬戸ぎわであった。；この信用麻痺によって世界の金融システムは崩壊の瀬戸際に立たされた。；ジャン・ヴァルジャンは最も危険な瀬戸ぎわをも幾度か通ってきたのである。；いまやわたしはこの二者のうちのいずれかを選ばなければならぬ瀬戸ぎわにいることを感じた。；世界の運命がどうなるかの瀬戸ぎわのことだから、お手柔らかにやってはいられない。；死体は瀬戸際で聖堂教会により確保され、警察の手に渡ることなく済んだ。；だけどな、瀬戸際に立ってるのはおれたちも一緒なんだよ。</t>
        </is>
      </c>
      <c r="J4639">
        <f>HYPERLINK("https://www.weblio.jp/content/瀬戸際", "词义详情")</f>
        <v/>
      </c>
      <c r="K4639">
        <f>HYPERLINK("https://yourei.jp/瀬戸際", "查看例句")</f>
        <v/>
      </c>
    </row>
    <row r="4640">
      <c r="A4640" t="inlineStr">
        <is>
          <t>瀬戸物</t>
        </is>
      </c>
      <c r="B4640" t="inlineStr">
        <is>
          <t>成功</t>
        </is>
      </c>
      <c r="C4640" t="inlineStr">
        <is>
          <t>読み方：せともの
１⇒瀬戸焼
２陶磁器の通称。主に畿内以東の地域で用いられる。→唐津物</t>
        </is>
      </c>
      <c r="D4640" t="inlineStr">
        <is>
          <t>瀬戸物屋(18%)；瀬戸物類；瀬戸物店</t>
        </is>
      </c>
      <c r="E4640" t="inlineStr">
        <is>
          <t>陶器；陶磁器；磁器；チャイナ；陶製</t>
        </is>
      </c>
      <c r="F4640" t="inlineStr">
        <is>
          <t>大きな瀬戸物</t>
        </is>
      </c>
      <c r="H4640" t="n">
        <v>29</v>
      </c>
      <c r="I4640" t="inlineStr">
        <is>
          <t>瀬戸物の火鉢を捜していると言って来た中学生の女の子が居たそうです。；それよりも安価で清潔に消毒もできる瀬戸物類の方がよいと思われます。；というのはその手で例の古い瀬戸物の煙草入れを握っていたからだ。；主人は六畳の居間に、例の通り大きな瀬戸物の丸火鉢を抱え込んでいた。；茫然と血の気を失ったまま、素焼の瀬戸物みたいな表情で私の顔を見た。；瀬戸物屋の子はその手を取って、もういちど恥かしそうにテレ笑いした。；特にそれが貴重な瀬戸物であれば、ケースは全く同じではないか。；不景気と人種差別のため瀬戸物の包装などの仕事をしていたこともあった。；さまざまな瀬戸物の寄せ集めの甲冑を身に着けたような姿で描かれている。；彼女が、さう決心して、扉の白い瀬戸物の取手に、手を触れたときだつた。；中学生の制服が木綿からスフになり、ボタンが金属から瀬戸物になった。；しかし彼女は、もう瀬戸物屋の男に対して、悪い感情は持っていなかった。；彼女が、そう決心して、扉の白い瀬戸物の取手に、手を触れたときだった。；瀬戸物屋にしちゃあおかしな屋号だけど、車坂の下に店があるんですよ。；そしてお金はその傍に、住宅の台所からもって来た瀬戸物の皿にきちんと重ねられてあった。；すると自分も同じように自分の足もとにある白い瀬戸物を踏み砕いた。；室の中には瀬戸物の火鉢があって、それを中に二枚の蒲団が敷いてあった。；たとえていえば、そこは、ちょうど白い瀬戸物のコップのような形なのです。；室の中には瀬戸物の火鉢があつて、それを中に二枚の蒲団が敷いてあつた。；うろたえそうな気持を、必死に瀬戸物屋の十銭均一の品に集中させようとする。；ウェルズの生まれたころは小さなはやらない瀬戸物屋をやっていた。；「やっぱり東が好かろう」 彼は早足に瀬戸物屋の前まで帰って来た。；お綱の白い手が、舟べりから水へ伸びて、二つ三つの瀬戸物を洗っていた。；前の穴は空つぽだつたが、後ろの穴には瀬戸物の破片が一パイ詰つて居たよ。；そのお面は瀬戸物のようにつるつるとして、鼻もなければ口もない。；顔が馬のように長くて、皮膚の色は瀬戸物のように生白かった。；幸い人間だったから宜かったが、若し瀬戸物だったら壊れて了ったろう。；深傷の原因は、大部分は箱からとびだした壊れた瀬戸物にあるらしい。；丸くすりへった刃の先が、瀬戸物の割れ目のような白い光をはなっていた。</t>
        </is>
      </c>
      <c r="J4640">
        <f>HYPERLINK("https://www.weblio.jp/content/瀬戸物", "词义详情")</f>
        <v/>
      </c>
      <c r="K4640">
        <f>HYPERLINK("https://yourei.jp/瀬戸物", "查看例句")</f>
        <v/>
      </c>
    </row>
    <row r="4641">
      <c r="A4641" t="inlineStr">
        <is>
          <t>背中</t>
        </is>
      </c>
      <c r="B4641" t="inlineStr">
        <is>
          <t>成功</t>
        </is>
      </c>
      <c r="C4641" t="inlineStr">
        <is>
          <t>読み方：せな
せ。せなか。「—当て」</t>
        </is>
      </c>
      <c r="D4641" t="inlineStr">
        <is>
          <t>背中側；背中越し；背中を軽く；背中を丸く；背中をまるく</t>
        </is>
      </c>
      <c r="E4641" t="inlineStr">
        <is>
          <t>後；背；裏；後ろ；背後</t>
        </is>
      </c>
      <c r="F4641" t="inlineStr">
        <is>
          <t>小さな背中；白い背中；くるりと背中；背中ごしに；背中炙り峠</t>
        </is>
      </c>
      <c r="G4641" t="inlineStr">
        <is>
          <t>背中合せ；背中あわせ；背中の張り；背中の曲がった男；背中合</t>
        </is>
      </c>
      <c r="H4641" t="n">
        <v>29</v>
      </c>
      <c r="I4641" t="inlineStr">
        <is>
          <t>背中には尾錠が付いていてサイズの調整が少し出来るようになっている。；ひじ・ひざ・頭・背中・お尻いずれかが先に地面に着いたら負けとなる。；上から背中の横の部分を持つか、胸の小さい方の角を持つと負担が少ない。；もはやアメリカが片手を背中に縛られたまま競争する必要はないのです。；明けに今まで背中の痛みを抱えながらプレイしていたことを公表した。；飛行時には背中のロケットが体から離れて支柱でつながった状態で飛ぶ。；背中を頭部を下にしてみると、人の顔のように見えることからその名がある。；つまり、背中で歩くわけで、実際に見てみるとユーモラスな動きである。；その際必ず腹部から食べられ、背中の皮膚と頭部と尾部は食べ残される。；以来、僕の背中に指先だけでも触れられるよう大きな目標になっています。；二人で背中を流しあったり、旅行に行ったりするなど基本的に仲はとても良い。；メスの背中から飛び出してくる頃には小さなカエルの姿になっている。；主人公に加勢する場合でも完全に背中を預けるような信用はされない。；この時、曽根は神永の背中が痛くなるほど叩いて喜びを表現したという。；背中は弱点であるので、武芸者は通常、敵に背中を見せないようにする。；具体的には、背中側が濃く、腹側が薄い色をしているのがこれである。；ジャケットでタイトル通りの背中を大胆に見せたセミヌードを披露した。；宇宙では背中のマント状の皮膜を展開して飛行し、ワープ移動もできる。；背中側はモフモフとしたグレー又は薄い群青色をしており、腹側は白い。；吸盤を自分の背中につければ、自分の体を空中に浮かべることもできる。；背中のマントは、敵の攻撃を避ける時や飛行する際に自動的に装備される。；寒中マラソンなどでかいた汗を吸収させ、終了後に背中側から引き抜く。；さらには自身の背中の内側や、骨盤に針を打ち込んであるとも述べている。；その住民である空の者は、背中に羽のようなものをつけている。；背中に巨大な一対の角や鋭い爪があるが特に目立った武器ではない。；また、投げられて背中を着かないようにブリッジをすると一本負けとなる。；おとなしい温厚な性格で、短時間ではあるが背中の小さな羽で飛行する。；また、ほとんどのヨッシーは背中に鞍をつけていないのも特徴である。；その瞬間から、彼の目には彼女の背中に羽が生えているように見えてしまうようになる。</t>
        </is>
      </c>
      <c r="J4641">
        <f>HYPERLINK("https://www.weblio.jp/content/背中", "词义详情")</f>
        <v/>
      </c>
      <c r="K4641">
        <f>HYPERLINK("https://yourei.jp/背中", "查看例句")</f>
        <v/>
      </c>
    </row>
    <row r="4642">
      <c r="A4642" t="inlineStr">
        <is>
          <t>狭める</t>
        </is>
      </c>
      <c r="B4642" t="inlineStr">
        <is>
          <t>成功</t>
        </is>
      </c>
      <c r="C4642" t="inlineStr">
        <is>
          <t>読み方：せばめる
［動マ下一］［文］せば・む［マ下二］
１間隔を詰める。せまくする。「前車との間隔を—・める」「範囲を—・める」
２苦しめる。また、肩身のせまい思いをさせる。
「世に—・められて苦しむ人は」〈読・雨月・貧福論〉</t>
        </is>
      </c>
      <c r="D4642" t="inlineStr">
        <is>
          <t>低下；抑える；減らす；収縮；削る</t>
        </is>
      </c>
      <c r="H4642" t="n">
        <v>29</v>
      </c>
      <c r="I4642" t="inlineStr">
        <is>
          <t>事勿れ主義的な対応で表現の可能性や自由の幅を自ら狭めないでほしい。；つまり、時代が進めば進むほど証明の可能性が原理的に狭められてきた。；奇異な視線に晒されていることに気づかないよう、極端に視界を狭めて。；自分の中にあったはずの選択肢が、次々と狭められていくような気がする。；ただでさえ見通しの悪い場所に無数の闇が凝って更に視界を狭めている。；段々と環を狭めて行って、更に考えの一つの核が発見されるようになった。；大人達が拡げたと思った世界は、実際には逆に狭められているのだ。；埃のように見えていた雪が綿のように大きくなり、視界を狭めていく。；手段がそれしかないまでに狭められていった結果なのである。；魔力を帯びた気配がこちらを巧みに囲ってその包囲の網を狭めてきている。；開放部の大きさを狭めることで、生物は真の画像情報を手に入れた。；北から南へ流れていた川の部分を東側に掘り直し流路を狭めた。；いつもの馬の目隠しのやうなものが、又自分の限界を狭めてくれた。；草地というより棚地で、樹林の両側を苔むした安山岩の壁が狭めている。；外の小川にはところどころ隈取りを作って芹生が水の流れを狭めている。；いつもの馬の目隠しのようなものが、また自分の眼界を狭めてくれた。；方程式の未知数はホテル名と犯人の姓の二つに狭められたのである。；居心地悪そうに肩を狭めるタイコは、携帯電話で時間を確認するといった。；ずっとクラスたちのことを見つめていた鹿の群れが、わずかに包囲を狭めてきた。；その理由のひとつは「活躍する範囲やジャンルを狭めたくない」からだという。；その代わりにヨーロッパの西端と東洋の東端がかなり狭めて書かれている。；その後のいすゞ車はタクシー需要の面でも販路を狭めることになってしまった。；走行時間の影響は管の間隔を狭めることで少なくすることができる。；以降、本枠を含む平日夕方でのアニメの放送は次第に幅を狭める形となっていった。；ここで天空が山と山とに狭められているのはそのせいだよ。；その形状は横幅が顕著に狭くされ主砲塔の射界を狭めない工夫であった。；魔物の急激な増殖により、人々の生活領域は圧倒的に狭められていった。；視界が極端に狭められていたため、どの方向に進んでいるのやらまったく見当がつかなかった。；作品の内容は、創意に満ちているにもかかわらず、感情の幅はやや狭めである。</t>
        </is>
      </c>
      <c r="J4642">
        <f>HYPERLINK("https://www.weblio.jp/content/狭める", "词义详情")</f>
        <v/>
      </c>
      <c r="K4642">
        <f>HYPERLINK("https://yourei.jp/狭める", "查看例句")</f>
        <v/>
      </c>
    </row>
    <row r="4643">
      <c r="A4643" t="inlineStr">
        <is>
          <t>是非</t>
        </is>
      </c>
      <c r="B4643" t="inlineStr">
        <is>
          <t>成功</t>
        </is>
      </c>
      <c r="C4643" t="inlineStr">
        <is>
          <t>読み方：ぜひ
［名］(スル)
１是と非。正しいことと正しくないこと。また、正しいかどうかということ。「—を論じる」「—を問う」
２物事のよしあしを議論し判断すること。批評すること。
「新聞が全紙面を埋めて是れを—する位じゃないか」〈荷風・ふらんす物語〉
［副］
１どんな困難も乗り越えて実行しようとするさま。どうあっても。きっと。「計画を—やり遂げたい」
２心をこめて、強く願うさま。なにとぞ。「—おいでください」
３ある条件のもとでは必ずそうなると判断できるさま。必ず。きまって。
「尾端の所から喰ふ様にすると、—跡へよい所が残る」〈松翁道話・一〉</t>
        </is>
      </c>
      <c r="D4643" t="inlineStr">
        <is>
          <t>是非一度；是非必要；是非御；是非お願い；是非読ん</t>
        </is>
      </c>
      <c r="E4643" t="inlineStr">
        <is>
          <t>どうか；きっと；必ず；どうしても；確かに</t>
        </is>
      </c>
      <c r="F4643" t="inlineStr">
        <is>
          <t>たら是非；是非論；是非行；是非来い；是非もう一度</t>
        </is>
      </c>
      <c r="G4643" t="inlineStr">
        <is>
          <t>是非共；是非なく；是非に；是非善悪；是非ない</t>
        </is>
      </c>
      <c r="H4643" t="n">
        <v>29</v>
      </c>
      <c r="I4643" t="inlineStr">
        <is>
          <t>症状のないこれらのキャリアを治療する事の是非は議論が分かれている。；日本でもマナー違反利用問題・無料化継続の是非が議論され出している。；われ等がここで是非指摘したいのは、現世人に通有の一つの謬想である。；これからフレスコボールを始めてみたいという方は是非ご購入ください!；関係者の一部からはシリーズ存続の是非を問う声も上がったという。；「朋党」を組むことの是非も合わせて問われたことからその名称がある。；また、機会があったらお二人と是非またやりたいと思いましたね。；私はたゞしようと思ふことは是非しなくちやならないと思つてるばかりです。；解散総選挙の直接のきっかけである欧州連合離脱の是非が争点となった。；声優に興味を持っているなど、関心のある方は是非ご参加下さい。；いずれにしろ公式に使用する表記になるため、是非を問わず定着することになる。；この勝利でアメリカ側が是非とも必要としていた士気が高揚された。；これは是非とも覚醒した自分達から実行し始めなければならない。；言葉の浸透と前後し、こうした行為の是非を問う声が上がるようになった。；辞退をしましたが、いや、是非ひとつ、で、私は恐縮をしたんですがね。；ゴルフに興味を持っているなど、関心のある方は是非ご参加下さい。；考古遺跡の上に博物館を建設することの是非については議論が巻き起こった。；この小品が雑誌に載るのだったら、是非とも末段だけは削って貰います。；選挙の争点となったのは東京都が進めている都市計画道路事業の是非であった。；今度是非東京へ出て一二年奉公して見たいといふので、一緒に出て来た次第だがね。；今度是非東京へ出て一二年奉公して見たいといふので、一緒に出て來た次第だがね。；その是非については現在も議論があるが、有名なものは以下の2箇所である。；けれど、弟を是非こらしめることを忘れないやうにしよう、と思つた。；河辺は、この状況を佐藤教授より知り是非とも出場したいとの希望を持った。；これらの差止請求権の是非が争われた事件として以下のようなものがある。；しかしスタッフ達は初期にも良いエピソードがあるので、是非見てほしいと語っている。；兄夫婦とお増と外に男一人とは中稲の刈残りを是非刈って終わねばならぬ。；今日はあなたを訪れた紀念に、是非こちらの竜神さまにお目通りをしたい。；当時はまだ定年退職制の是非が議論されている最中であった。</t>
        </is>
      </c>
      <c r="J4643">
        <f>HYPERLINK("https://www.weblio.jp/content/是非", "词义详情")</f>
        <v/>
      </c>
      <c r="K4643">
        <f>HYPERLINK("https://yourei.jp/是非", "查看例句")</f>
        <v/>
      </c>
    </row>
    <row r="4644">
      <c r="A4644" t="inlineStr">
        <is>
          <t>ぜひとも</t>
        </is>
      </c>
      <c r="B4644" t="inlineStr">
        <is>
          <t>成功</t>
        </is>
      </c>
      <c r="C4644" t="inlineStr">
        <is>
          <t>読み方：ぜひとも
［副］「ぜひ」を強めていう語。ぜひぜひ。「—お出かけください」</t>
        </is>
      </c>
      <c r="D4644" t="inlineStr">
        <is>
          <t>ぜひとも知り；ぜひともそう；ぜひとも御；ぜひとも聞か；ぜひとも話し</t>
        </is>
      </c>
      <c r="E4644" t="inlineStr">
        <is>
          <t>どうしても；何でも；なんでも；どうぞ；どうでも</t>
        </is>
      </c>
      <c r="F4644" t="inlineStr">
        <is>
          <t>ぜひとも見せ；ぜひとも知りたい</t>
        </is>
      </c>
      <c r="H4644" t="n">
        <v>29</v>
      </c>
      <c r="I4644" t="inlineStr">
        <is>
          <t>ぜひともその才能の百分の一でも分けていただきたいものだと思います。；そして自分はぜひともそれを退治せねばならぬと心ひそかに誓っていた。；ここにいる、わしの動物たちは、ぜひとも芝居をやりたいといっておる。；伴侶にはぜひとも骨が丈夫でしっかりした女を選んでもらいたいものだ。；ぜひとも避けるべきことが、何と現実に起ってしまっていたからである。；ぼくが王に送った手紙がぜひとも王の手に渡るようにしてくれたまえ。；だが、この論文を書くためにはぜひともパンダでなければならないのだ。；しかし弟は彼女の考えを知ると、ぜひとも同様にせずにはいなかった。；出版社のほうがぜひともそれを書いて欲しいと言ってきていたのです。；中将はぜひとも自分でなく思わせなければならないと知って物を言わない。；きりりん氏には、ぜひともそういうのはやめて欲しいと思っております。；みんなには大きな苦労をかけることになるが、ぜひとも頑張ってほしい。；私は、この驚くべき超人の一族をぜひともこの目で見たいものだと思った。；いつか僕が彼の伴奏をするようになるためには、ぜひともそれが必要です。；それは目前に迫っていることのために、ぜひとも必要なものであった。；とても勝負度胸がいい子で、ぜひともこの勝負を見せてやりたいんですが。；これはぜひともしかるべき人々の慎重な考究にまつべきではないかと思う。；ぜひともエイロヌイに話したいことが、心の中にたくさんたまっていた。；それをあの女と結婚することによってぜひとも俺は実現したいのだ。；ぜひとも弘法大師でなくてはならぬというわけでもなかったのであります。；ぜひとも先生は旅行に出る必要がある、と私は思っていたのです。；そしてそれにはぜひともお前の手を借りねばならないのだよ。；すなわち西洋の名画のある程度の輸入がぜひとも必要であったと思うのである。；あの女性に、ぜひともたずねておきたい重大な質問が、いくつもある。；そのためには、ぜひとも回復した彼と一対一で話をしなければならなかった。；二九九 七月七日にはぜひとも筋太の素麺を食べるものとされている。；そうならぬためには、ギスカールをぜひとも救い出さなくてはならない。；自分の地位を決定するためには、ぜひともそれを話す必要があったのだけれども。；王虎さんと第一夫人は、ぜひとも、うちへお泊めしなければいけません。</t>
        </is>
      </c>
      <c r="J4644">
        <f>HYPERLINK("https://www.weblio.jp/content/ぜひとも", "词义详情")</f>
        <v/>
      </c>
      <c r="K4644">
        <f>HYPERLINK("https://yourei.jp/ぜひとも", "查看例句")</f>
        <v/>
      </c>
    </row>
    <row r="4645">
      <c r="A4645" t="inlineStr">
        <is>
          <t>背広</t>
        </is>
      </c>
      <c r="B4645" t="inlineStr">
        <is>
          <t>成功</t>
        </is>
      </c>
      <c r="C4645" t="inlineStr">
        <is>
          <t>読み方：せびろ
折り襟になっている、男性の平常着。本来は、上着・チョッキ・ズボンの三つぞろいからなる。シングルとダブルとがある。サックコート。スーツ。
[補説]語源未詳で、「背広」は当て字。フロックコートなどと違って、背幅が広いことからとも、civilclothes（市民服の意）またはSavile Row（ロンドンの洋服屋街の名）からなどともいわれている。</t>
        </is>
      </c>
      <c r="D4645" t="inlineStr">
        <is>
          <t>背広姿(12%)；背広上下；背広型；背広をきちんと；背広着</t>
        </is>
      </c>
      <c r="E4645" t="inlineStr">
        <is>
          <t>平服；ツーピース；スーツ</t>
        </is>
      </c>
      <c r="F4645" t="inlineStr">
        <is>
          <t>黒っぽい背広；白い背広；地味な背広；新しい背広；派手な背広</t>
        </is>
      </c>
      <c r="G4645" t="inlineStr">
        <is>
          <t>背広組</t>
        </is>
      </c>
      <c r="H4645" t="n">
        <v>29</v>
      </c>
      <c r="I4645" t="inlineStr">
        <is>
          <t>セビロはいつの間にか少し虫が食つてゐたので余り切れを入れておいた。；いちばん主になる背広にしても、高級品でもなければ新品でもなかった。；茶色の背広を着た二人の男が砂地を横切ってかれらの方に近づいていた。；少しずつ、多分孔ちゃんが背広に慣れていった様に、私も慣れていった。；髪を七三にぴっちりと分けて、高級そうな生地の背広を身につけている。；彼はいつでも、古い黒の背広に、同じく古い黒の中折と云う形であった。；長いあいだ軍服を着ていたので、背広を着たときの気分を忘れていたのだ。；シングルの背広は2つ掛け以上の場合は最下部のボタンを外すのが正式。；前を少し開いていたかもしれないが、誰も背広の色には気がつかなかった。；その男は今謙造の心に映ったあの背広の男と同一人物にちがいなかった。；黒い着物はどうでもよかったが、私には待ち伏せしている背広だった。；玄関の扉が開き、黒い背広を着た男がこちらにやってくるのが見えた。；その息子は機業場の事務員となって、新調の背広を着て毎日通っていた。；他は皆、生活に疲れた顔をした背広姿の三十前後の人たちである。；しかし彼がいつも着ていた黒い背広の上下とスリッパはありません。；いまでも私は、父が真夏に着ていた黒と白の格子縞の背広をおぼえている。；まるで、寝ているときも着ているのではないかと思うほど背広と一体化している。；私は其の時、背広をきた人が相手に云った言葉をはっきりとおぼえています。；背広を着た若い男が、床にうつ伏せになって、倒れていたのであった。；と、背広の内ポケットから、財布を出してみせたいような気にもなった。；ちょっと家に立ちよった男は、わざわざ別の背広に着がえたりしない。；派手な色のシャツを着たり、ネクタイ抜きで背広を着た青年たちだった。；男は背広を着ているが、ズボンのチャックだけが開いたままになっていた。；千秋さんは背広が顔を出すと、横柄な口調で命令し、寮まで案内させた。；ガラス扉の脇に背広姿の一人の男が立っていて、暇そうに煙草をふかしている。；その背後に、白い開襟シャツの上に背広を重ねた私服姿の男が立っていた。；黒っぽい背広を着ていたのでぼくは最初どういう種類の人間かわからなかった。；一人の男がよごれた背広で馬の横、コンクリートの上を歩いて行った。；また、転じて現在主流となっている背広型軍服の上着もそう呼ばれている。</t>
        </is>
      </c>
      <c r="J4645">
        <f>HYPERLINK("https://www.weblio.jp/content/背広", "词义详情")</f>
        <v/>
      </c>
      <c r="K4645">
        <f>HYPERLINK("https://yourei.jp/背広", "查看例句")</f>
        <v/>
      </c>
    </row>
    <row r="4646">
      <c r="A4646" t="inlineStr">
        <is>
          <t>狭い</t>
        </is>
      </c>
      <c r="B4646" t="inlineStr">
        <is>
          <t>成功</t>
        </is>
      </c>
      <c r="C4646" t="inlineStr">
        <is>
          <t>読み方：せばい
［形］［文］せば・し［ク］《「せまい」の古形》「せまい」に同じ。
「此辺は道幅が—・いので」〈二葉亭・浮雲〉
「抜きみだる人こそあるらし白玉の間なくも散るか袖の—・きに」〈古今・雑上〉</t>
        </is>
      </c>
      <c r="D4646" t="inlineStr">
        <is>
          <t>狭い部屋(3%)；狭い道(3%)；狭い範囲(2%)；狭い路地(2%)；狭い空間</t>
        </is>
      </c>
      <c r="E4646" t="inlineStr">
        <is>
          <t>少ない；小さい；細い；小柄；ささやか</t>
        </is>
      </c>
      <c r="F4646" t="inlineStr">
        <is>
          <t>狭い地域；より狭い；狭い廊下；肩身の狭い；非常に狭い</t>
        </is>
      </c>
      <c r="G4646" t="inlineStr">
        <is>
          <t>狭いい</t>
        </is>
      </c>
      <c r="H4646" t="n">
        <v>29</v>
      </c>
      <c r="I4646" t="inlineStr">
        <is>
          <t>このような構造になっている理由は、地上の道路の幅が狭いためである。；道幅が狭い通りを単純に路地と呼ぶのではないことに注意が必要である。；また面積が狭いので、単位面積当たりの代表数はいずれも第1位である。；駅舎とホームを結ぶエレベーターも設置されているが、ホームの幅は狭い。；上から見ると、艦体の形状に沿っているため艦首部分は狭くなっている。；南接するのはヴァッレ・ディトリアと呼ばれる幅が狭く開いた谷である。；どこかの家の二階の階段を上った狭くるしい場所で長くなって死んでいた。；柱に手を掴まなければそこから落ちてしまうくらい壁の幅は狭かったのだ。；これは広鼻・狭鼻というそれぞれのグループの名称の由来ともなっている。；次に、艦隊司令官の裁量は一般に考えられているより狭い面があった。；地下と各ホームを結ぶ階段から京都側は、各ホーム共に幅員がかなり狭い。；コンサートや格闘技など狭い面積しか使わないイベントで設けられる。；東西の幅が狭いのは、すぐ東にトンガ海溝が南北に伸びているためである。；それが広いものもあれば、狭いものもあるのはある意味で当然である。；古くからの住宅密集地帯が多く、細く狭い道や急な山坂が多いのが特徴。；西部は南北に広く東部は狭くなっているため、町はL字型の形をしている。；さりながら、競技運動の目的は単純で狭いが、柔道の目的は複雑で広い。；かつては自転車に看板を積み、狭い路地に分け入って貼って回っていた。；またサッカーに比べピッチが狭いため直接ゴールを狙うことも可能である。；気づかないうちに冠状動脈が徐々に狭くなっていたことが原因である。；その一方でコースの幅が狭いため、全速旋回には不向きなコースである。；前作に比べるとステージはやや狭くなったが、アクトが一つ追加された。；県内で最も面積の狭い市で、全国でも10番目に面積が狭い市である。；近隣の川口駅や蕨駅よりも後から設置された駅であり、ホームの幅は狭い。；面積は日本の四国よりやや狭い程度、人口は奈良県とほぼ同じ程度である。；元々狭い場所に建設された経緯があり、バリアフリー化は困難な状況だった。；自分の価値観の振り幅が狭ければ、自分と波長が合うものも少なくなる。；といっても、部室は狭かったので、離れてもたかが知れていたのだけど。；従来の経済学では後者が重視されているが、それは狭い定義であると指摘した。</t>
        </is>
      </c>
      <c r="J4646">
        <f>HYPERLINK("https://www.weblio.jp/content/狭い", "词义详情")</f>
        <v/>
      </c>
      <c r="K4646">
        <f>HYPERLINK("https://yourei.jp/狭い", "查看例句")</f>
        <v/>
      </c>
    </row>
    <row r="4647">
      <c r="A4647" t="inlineStr">
        <is>
          <t>迫る</t>
        </is>
      </c>
      <c r="B4647" t="inlineStr">
        <is>
          <t>成功</t>
        </is>
      </c>
      <c r="C4647" t="inlineStr">
        <is>
          <t>読み方：せまる
［動ラ五（四）］
１圧倒するような勢いで近づいてくる。押し寄せる。また、せり出している。「噴出した溶岩が人家に—・る」「激しく敵陣に—・る」「鬼気が身に—・る」「山が背後に—・っている地勢」
２空間的、時間的に隔たりが小さくなる。接近する。
㋐間がせばまり、もう少しで届きそうである。「両岸が—・っている渓谷」
㋑時期や期限が近づく。「死期が—・る」「締切が—・る」
㋒ある状態に近づく。「核心に—・る」
３詰まって苦しむ。特に、呼吸が激しくなって息苦しくなる。感情が高ぶってきて胸がしめつけられる感じになる。「息が—・る」「思いが胸に—・る」
４行き詰まってゆとりがなくなる。せっぱつまる。困窮する。「悠揚—・らぬ態度」「貧に—・る」
５相手にこちらの考えを聞き入れるように積極的に求める。強い態度で要求する。強いる。「返答を—・る」「復縁を—・る」「必要に—・られる」</t>
        </is>
      </c>
      <c r="D4647" t="inlineStr">
        <is>
          <t>迫るなか；迫る売上げを記録；迫る好タイム；迫るべし；迫る速</t>
        </is>
      </c>
      <c r="E4647" t="inlineStr">
        <is>
          <t>近い；要求；求める；要請；接近</t>
        </is>
      </c>
      <c r="F4647" t="inlineStr">
        <is>
          <t>真に迫る；夕闇迫る；追い迫る；胸迫る</t>
        </is>
      </c>
      <c r="H4647" t="n">
        <v>29</v>
      </c>
      <c r="I4647" t="inlineStr">
        <is>
          <t>それが物の圧倒的な存在感をもって見る者に迫ってくる要素となっている。；三方から山が迫り、その間に開けた土地であったことから名付けられた。；野心を実現させたアンドロニコス3世にはいくつかの問題が迫っていた。；泉邸に火の手が迫ったときには他の元気な人たちとともに防火に努めた。；このタイトルの由来は、曲の締め切りが朝に迫っていたからだという。；その間に幹部たちは隠密活動を行い、次第に敵の正体に迫りつつあった。；けれども丁度彼等のさうした生活も、迫りに迫つて来てゐたのであつた。；けれども丁度彼等のさうした生活も、迫りに迫つて來てゐたのであつた。；馬は羽生の玉に迫っている駒で、金は谷川の玉を守っている駒であった。；北には丘が迫り、停留場はその際にはりつくようにして設けられている。；この時コンスタンティヌス1世は深刻な決断を迫られていたと見られる。；旅人は自分の目の前に崖が迫っていることにまだ気づいていない。；当駅構内は、その線路際まで山林や竹林が迫っている格好となっている。；小南門駅は被害がなかったが100メートル手前まで水が迫っていた。；とてもじゃないが、重大な秘密に迫ろうとしている人間の行動とは思えない。；上陸地点がジャングルが海岸近くまで迫る地形であることが読み取れる。；そこから役人の手を借りて、武士の正体に迫ろうと試みたのである。；公演回数は1600回に迫り総観客数は32万人に達しようとしている。；部屋の電気がショートし、巨大な赤ん坊の顔がスペンサーに迫ってくる。；完成から50年以上経過したダムは様々な部分で改修の必要性に迫られた。；やがて征討軍は別隊を進め、薩軍の中腹を攻撃しようと熊本隊に迫った。；そのため、キャパシティを大きくした新球場を建設する必要に迫られた。；その所有がおおやけに認められる日が、いよいよ明日に迫ろうとしていた。；妻の臨月が迫っているため、再就職先を探しているがはかばかしくない。；舞台にはまた「迫り」と呼ばれる昇降装置が何か所かに設けられている。；この両王国に危機が迫った時代にはトゥオルを使者に選んで導いた。；敗北を繰り返しながらも少しずつ差を詰めて行き、爆牌の謎に迫っていく。；朱元璋の軍は、即位するや大規模な北伐を開始して元の都・大都に迫った。；これは家康の死後、貯えてあった黄金九十四万両にほぼ迫ろうとしている。</t>
        </is>
      </c>
      <c r="J4647">
        <f>HYPERLINK("https://www.weblio.jp/content/迫る", "词义详情")</f>
        <v/>
      </c>
      <c r="K4647">
        <f>HYPERLINK("https://yourei.jp/迫る", "查看例句")</f>
        <v/>
      </c>
    </row>
    <row r="4648">
      <c r="A4648" t="inlineStr">
        <is>
          <t>蝉</t>
        </is>
      </c>
      <c r="B4648" t="inlineStr">
        <is>
          <t>成功</t>
        </is>
      </c>
      <c r="C4648" t="inlineStr">
        <is>
          <t>読み方：せび
「せみ」に同じ。〈新撰字鏡〉</t>
        </is>
      </c>
      <c r="D4648" t="inlineStr">
        <is>
          <t>蝉葉(2%)；蝉取り；蝉たち；蝉ぬけ；蝉のぬけがら</t>
        </is>
      </c>
      <c r="E4648" t="inlineStr">
        <is>
          <t>セミ；空蝉；虚蝉</t>
        </is>
      </c>
      <c r="F4648" t="inlineStr">
        <is>
          <t>初蝉；幼蝉；唖蝉；秋蝉；南洋蝉</t>
        </is>
      </c>
      <c r="G4648" t="inlineStr">
        <is>
          <t>蝉時雨；蝉しぐれ；蝉脱；蝉吟；蝉丸神社</t>
        </is>
      </c>
      <c r="H4648" t="n">
        <v>29</v>
      </c>
      <c r="I4648" t="inlineStr">
        <is>
          <t>東京の家に帰ったのは梅雨も過ぎて庭の樹に蝉の声を聞くころであった。；樹上で鳴きつづけていた蝉が、ふと枝の先から別の枝の先へ飛び移った。；かなり暑い日で近辺の森からは蝉の声が降るように聞こえていたと思う。；ごく微かに海の気配がする風に、遠くから蝉の声が運ばれてきていた。；僕は親父さんにこの蝉について何か知っていないか質問してみたんだ。；蝉は何百マイルもの樹木をなくしても良いが人間にそれは許されない。；海ほおずきを鳴らしてみたけど、蝉に負けて、音は全然聞こえなかった。；その中を脈打つような蝉の声が向こうの山王神社の大楠から流れてくる。；先も言ったように、蝉は地獄から送られてくる魂の容れ物だと言われている。；その両袖の張りたるありさまは、蝉または蝶の羽を開きたる形に似たり。；蝉の姿が見えるはずもないが、良輔はカーテンを開いて窓の外を見た。；殻から出たばかりの青い蝉のように、そこいらの畳の上をはい回っている。；田んぼがないことと学園都市の恩恵で緑が残っているので蝉が多いのだろう。；耳を澄ませるタミエには、再び降り始めた蝉の鳴声しか聞こえてこない。；避暑地の空にも夏の太陽が昇って、雑木林には蝉の声が立ち込めていた。；その時、わたしは虫籠の中にいるのが蝉でないことに気づきました。；また同じ月の十三日には関東ではあまり聞かぬ蝉がないた。；そのころのことを思い出そうとすると、かならず蝉の声がひびいてくる。；幼い蝉使いは尊敬する二人の女性に挟まれて、生き生きと働いていた。；小松崎にとって刑務所が蝉の土の中の楽園と同じだったのかもしれない。；窓からは外の熱気が流れ込み、「哲学の森」から蝉の声が聞こえてくる。；蝉を食べた時は『土の味がする』と不味さに渋い顔となっていたけど。；橄欖の木の上で鳴く蝉の声のほかには、何一つ聞こえてはまいりません。；すると口の中に蝉でも入れていたかのように泣いていた赤子が次々と泣きやんだ。；また周囲は、のんびりとした蝉の声と強い日差しの世界に戻っている。；蝉の声は疲れの上にさらに疲れを倍加させるから僕らはつい眠ってしまうんだ。；地面に落ちた蝉の抜け殻のように、いつの間にか周囲から姿を消していた。；そのとき、自分は昼間の蝉の声や夜のこおろぎの声を思いだすだろう。；毎年の夏に聞いたしんしんとしみるような蝉の声が今も耳の底で遠く聞えていた。</t>
        </is>
      </c>
      <c r="J4648">
        <f>HYPERLINK("https://www.weblio.jp/content/蝉", "词义详情")</f>
        <v/>
      </c>
      <c r="K4648">
        <f>HYPERLINK("https://yourei.jp/蝉", "查看例句")</f>
        <v/>
      </c>
    </row>
    <row r="4649">
      <c r="A4649" t="inlineStr">
        <is>
          <t>ゼミ</t>
        </is>
      </c>
      <c r="B4649" t="inlineStr">
        <is>
          <t>成功</t>
        </is>
      </c>
      <c r="C4649" t="inlineStr">
        <is>
          <t>「ゼミナール」の略。</t>
        </is>
      </c>
      <c r="D4649" t="inlineStr">
        <is>
          <t>ゼミ出身(10%)；ゼミ生(5%)；ゼミ室；ゼミ用；ゼミ仲間</t>
        </is>
      </c>
      <c r="E4649" t="inlineStr">
        <is>
          <t>授業；講義；レッスン；講習；セミナー</t>
        </is>
      </c>
      <c r="F4649" t="inlineStr">
        <is>
          <t>読書ゼミ；同ゼミ；創作ゼミ；bゼミ；自主ゼミ</t>
        </is>
      </c>
      <c r="G4649" t="inlineStr">
        <is>
          <t>ゼミガル；ゼミ合宿；ゼミナールキッチン；ゼミーロート；ゼミナリヨ</t>
        </is>
      </c>
      <c r="H4649" t="n">
        <v>29</v>
      </c>
      <c r="I4649" t="inlineStr">
        <is>
          <t>一年時から重村ゼミに出入りすることを許される程度の頭はあったから?；自分の足を使って得た情報こそが、評価に値する厳しいゼミだったのだ。；手前の院生室には、大きなゼミ用テーブルの隅にテレビが置かれている。；彼は2人が来年、自分のゼミに入る事を命令し、二人の前を去って行く。；ゼミには三十名近くいたが、津田はこのとき初めて当てられたと思う。；原勉のゼミに所属し、ゼミの一環でレストランなどでの実習も経験した。；貨幣委員会の作業報告会にはフリードマンも参加しゼミ生の指導を行った。；そのため、放送サークルのほかゼミや研究室単位で参加する学生もいる。；かつてのゼミの先輩であり、何より、昔の和歌子の恋人でもあった人だ。；テーブルを挟んで、二人でゼミをするときと同じフォーメーションである。；教員を目指す学生のために「教職ゼミ」を講師になってすぐ立ち上げる。；ゼミの発表者が、自分の発表を否定されたかのような憮然とした顔になっている。；やがてゼミの一学生からそうでない関係になる日が訪れた。；僕の両親も当然実家から駆け付けていたし、教授もゼミ講の仲間も来ていた。；大沢は僕と由里子が通っていた大学のゼミの先生で、二人の仲人でもある。；また大学ではインドの権威だった教授のゼミに参加した。；島田修三のゼミ生であった当時から歌の魅力に目覚め、卒業後も彼に師事。；大学ではアーティスティックスイミング選手の青木愛と同じゼミだった。；学生の興味・関心に応じ4つのゼミに分かれて実施している。；前はゼミ室に置いてあったのだが、なぜかここに移されている。；恐る恐る覗き窓に目を当てるとそこには大学のゼミの同級生が立っていた。；ゼミの先生にあの事件を調査してもらうなんてこと、反対ですって言ったでしょ。；楓を含め元ゼミ仲間の6人は仲が良く、新年会を始めよく食事を共にする。；今から『創明ゼミ』に向かっても、もう沙菜は帰っているかもしれない。；実際に、大学院時代の鹿取ゼミで多くの関連書籍を読んだという。；ゼミ用のテーブルはとても大きく、周囲に椅子は八脚あった。；猪木に勧められ、当時助教授であった高坂正堯の自主ゼミにも参加した。；この人には大学の同じゼミの後輩ということで孝也はずいぶん世話になった。；社会学のゼミをとっていた彼女は、そのオタクを卒業論文のテーマとした。</t>
        </is>
      </c>
      <c r="J4649">
        <f>HYPERLINK("https://www.weblio.jp/content/ゼミ", "词义详情")</f>
        <v/>
      </c>
      <c r="K4649">
        <f>HYPERLINK("https://yourei.jp/ゼミ", "查看例句")</f>
        <v/>
      </c>
    </row>
    <row r="4650">
      <c r="A4650" t="inlineStr">
        <is>
          <t>攻め</t>
        </is>
      </c>
      <c r="B4650" t="inlineStr">
        <is>
          <t>成功</t>
        </is>
      </c>
      <c r="C4650" t="inlineStr">
        <is>
          <t>読み方：せめ
戦い・スポーツ・ゲームなどで相手を攻めること。攻撃。「—が遅い」「—の相撲」</t>
        </is>
      </c>
      <c r="D4650" t="inlineStr">
        <is>
          <t>攻められ(10%)；攻め入り；攻め入る；攻め滅ぼし；攻めこん</t>
        </is>
      </c>
      <c r="E4650" t="inlineStr">
        <is>
          <t>攻撃；襲撃；襲来；アタック；進攻</t>
        </is>
      </c>
      <c r="F4650" t="inlineStr">
        <is>
          <t>力攻め；攻めこむ；攻め入ら；攻めこま；攻め入ろう</t>
        </is>
      </c>
      <c r="G4650" t="inlineStr">
        <is>
          <t>攻め込ん；攻め落とし；攻め寄せ；攻め込む；攻めよ</t>
        </is>
      </c>
      <c r="H4650" t="n">
        <v>29</v>
      </c>
      <c r="I4650" t="inlineStr">
        <is>
          <t>日本でも、鎌倉時代に元が攻めて来たとき元軍により使用されたという。；この間、城攻めや野戦に多く参加したため、体のあちこちに傷を負った。；その騒ぎが元で旅館の関係者、宿泊客からのサイン攻めにあったとの事。；孔子と孟子が日本に攻めてきたとしたら、孔孟を学ぶ者はどうすべきか。；攻め方の不成とは逆に、玉方が不成で打ち歩詰めに誘致する問題もある。；しかし、やはりその隙に本拠である皖城を孫策に攻め取られてしまった。；その後は外国人観光客の増加への対応など攻めの経営へと転じた。；そしてこの時秀吉が選択したのは、備中高松城攻めと同じ水攻めであった。；必ず1体ずつでしか攻めて来ないが、情報の受け継ぎや共有があるとされる。；どちらが攻め方か不明のときは、仕掛けた側から手を変える。；その後、西から異民族が攻めてきたので、一部のアーリア人が南下した。；その後、妲己は周によって攻められた際に武王により殺されたとされる。；敵が飛行機で攻めに来るのに竹をもっては戦ひ得ないのだ。；翌永禄12年、光高は織田軍の一員として北畠攻めに参加して戦死した。；義弘の死後に義頼に反乱を起こしたため、義頼に城を攻められて敗北。；正成のこれらの一連の攻撃により、幕府軍の城攻めは手詰まりに陥った。；式敷の蓮華寺に留まり、ここで尼子攻めに参加するための準備を行った。；その年の7月以降に孫権は合肥を攻めたが、8月には撤退を決定する。；敵は必ずこちらへも攻めてくるでしょう。；その情報を信用し攻めてきた劉岱軍を攻撃し、劉岱を捕らえている。；一方、756号を打たれた鈴木は当時、報道陣から取材攻めに遭っていた。；さらに955年の冬から、柴栄は十国のうちで最強国である南唐を攻めた。；天正8年に勝頼を攻めて重須の合戦が起きたが、勝負はつかなかった。；なお、玉形の良し悪しは相手の攻めの形に大きく影響される。；結果下辺を凝り形にさせ、さらに左辺白の攻めも残すことに成功した。；だが鄧艾は真っ向から反論し、姜維が再び攻めてくる理由を五つ挙げた。；以降の大道寺氏の軍は秀吉方の道案内を務め、各城攻めにも加わっている。；天正元年小谷城が織田信長に攻められて落城した時に討ち死にしたとされる。；彼女は潁川に攻めてきた李傕に拘束され、妻になる事を強要された。</t>
        </is>
      </c>
      <c r="J4650">
        <f>HYPERLINK("https://www.weblio.jp/content/攻め", "词义详情")</f>
        <v/>
      </c>
      <c r="K4650">
        <f>HYPERLINK("https://yourei.jp/攻め", "查看例句")</f>
        <v/>
      </c>
    </row>
    <row r="4651">
      <c r="A4651" t="inlineStr">
        <is>
          <t>せめて</t>
        </is>
      </c>
      <c r="B4651" t="inlineStr">
        <is>
          <t>成功</t>
        </is>
      </c>
      <c r="C4651" t="inlineStr">
        <is>
          <t>［副］《動詞「責(せ)める」の連用形に助詞「て」の付いたもの》
１不満足ながら、これだけは実現させたいという最低限の願望を表す。少なくとも。十分ではないが、これだけでも。「—声だけでも聞きたい」「—10歳若ければなあ」
２しいて。無理に。
「霧ひとへ隔たれるやうに透きて見え給ふを、—絶え間に見奉れば」〈更級〉
３痛切に。切実に。
「このことの—あはれに悲しう侍りしかば」〈大鏡・時平〉
４非常に。きわめて。
「高麗の紙の薄様だちたるが、—なまめかしきを」〈源・梅枝〉</t>
        </is>
      </c>
      <c r="D4651" t="inlineStr">
        <is>
          <t>せめてもう；せめて一人；せめて一度；せめて一日；せめて死ぬ</t>
        </is>
      </c>
      <c r="E4651" t="inlineStr">
        <is>
          <t>少なくとも；最低；最悪；不満足ながら</t>
        </is>
      </c>
      <c r="F4651" t="inlineStr">
        <is>
          <t>だったらせめて；いとせめて；せめてもの心づくし；せめて一晩；せめて一歩</t>
        </is>
      </c>
      <c r="G4651" t="inlineStr">
        <is>
          <t>せめては；せめて今夜だけは</t>
        </is>
      </c>
      <c r="H4651" t="n">
        <v>29</v>
      </c>
      <c r="I4651" t="inlineStr">
        <is>
          <t>俺はこうして働いても、せめて弟だけは、勉強をさせてやりたいものだ。；僕は、せめて死ぬまでの僅かの間でも、あんなものを忘れてしまいたい。；せめて死ぬときだけでも風景の美しいところに身を置きたいものです。；せめてこの木でもながめて、あこがれた山へいったつもりでいましょう。；せめてお別れの挨拶でもしねえ、振り返って小屋ぐらい見たがよかろう。；せめて名ごりをおしむあいだ、外の警官を呼ぶのを待ってくれたまえね。；せめて先に江戸に送った建議書が幕府に届くことを期待したのである。；酒の勢を借りてせめて不安の念を軽くしようとしたのであつた。；せめてあなたの名を覚えて置きたいといったが、女は教えなかった。；そして由子を一皿の珍味のやうに味ふことがせめて許るされた心であつた。；彼女はせめて、この一家の為めに出来る限りの助けにならうと思つた。；せめて青年のその後の様子だけでも見たいと思ったからである。；二人がせめて微笑をもって答えずにいられぬような冗談でも。；暗くて見えはせぬけれど、せめて母の顔のそばにいたかったのだ。；せめて、ここにある酒でもみんなして飲んで、唄い明かそうじゃないか。；Kはせめてその休暇をかの女のゐるところで静かに送らうとしたのである。；せめてもっと長く持ってくれたら、 己は目を瞑って楽んでも好いのだが。；せめて自分等の口に合ふ山家料理になりと有りつくことが出来たらばと思ふ。；戦後、彼らの希望は失われたので、せめてその姿だけでも見たかったのです。；クリストフはなお我を張って、せめて河を見ないうちは出発しないと言った。；せめて店が四坪ぐらいの広さをもっていたら、どんなに便利だかしれない。；せめて二、三人でもと思ったが、おどり出して抵抗して来る者もなかった。；そこでまあ出来るだけ割引して、せめて酒に茶をまぜたいと念じている。；それでも、福田は成岡の願いをせめて叶えたいと思って協力を決意した。；しかしお部屋は汚れないやうにせめてうすべりでも敷くやうにします。；せめて無礼な若者どもの横ッ面をはるぐらゐの気概があつて欲しいのだ。；老の寝覚めに思出の種一つにても多からんこそせめての慰めなるべけれ。；せめて、桃太郎の物語一つだけは、このままの単純な形で残して置きたい。；日本人がせめて入國を許し天賦の富の調査を許してくれたらよいのだ。</t>
        </is>
      </c>
      <c r="J4651">
        <f>HYPERLINK("https://www.weblio.jp/content/せめて", "词义详情")</f>
        <v/>
      </c>
      <c r="K4651">
        <f>HYPERLINK("https://yourei.jp/せめて", "查看例句")</f>
        <v/>
      </c>
    </row>
    <row r="4652">
      <c r="A4652" t="inlineStr">
        <is>
          <t>攻める</t>
        </is>
      </c>
      <c r="B4652" t="inlineStr">
        <is>
          <t>成功</t>
        </is>
      </c>
      <c r="C4652" t="inlineStr">
        <is>
          <t>読み方：せめる
［動マ下一］［文］せ・む［マ下二］《「責める」と同語源》
１戦争・試合などで、こちらから進んで戦いをしかける。攻撃する。「城を—・める」「立ち合いから一気に—・める」
２俗に、物事を無難にすませず、積極的な態度をとる。「—・めてるファッション」</t>
        </is>
      </c>
      <c r="D4652" t="inlineStr">
        <is>
          <t>攻めるべき；攻めるべく；攻めるべし；攻める短期決戦を提案</t>
        </is>
      </c>
      <c r="E4652" t="inlineStr">
        <is>
          <t>攻撃；襲撃；叩く；襲う；掛かる</t>
        </is>
      </c>
      <c r="F4652" t="inlineStr">
        <is>
          <t>攻めれば攻める</t>
        </is>
      </c>
      <c r="H4652" t="n">
        <v>29</v>
      </c>
      <c r="I4652" t="inlineStr">
        <is>
          <t>しかし友人が峠で大きな事故を起こしたのを機に公道を攻めるのは卒業。；守るより攻める方が早いと考えるのは、こういう連中の共通した特徴だ。；肘で喉を攻める様が鉈を振るうさまによく似ていることから命名された。；彼から来るなら仕方がありませんが、我から攻めるべきではありません。；どこにいるかわからないけれど、取りあえず近い方から攻める事にする。；四 枚 夜、敵を攻めるとき、声を立てぬように口にふくむ箸状のもの。；米長はこの形について、無理でもなんでも攻めることにしているという。；この一と月の間、守る君も苦しかったろうが、攻めるおれも辛かったぞ。；攻めるという行為は、絶対に勝利できる自信があって初めて行えるのだ。；相手チームの動きを見ながら、どう攻めるのか、あるいはどう守るのか。；三方が断崖絶壁になっていて、いかに攻めるのにむずかしいかが分かる。；趙染は単独で北地を攻めたが、城を攻める最中、矢に当たって戦死した。；あとはふたりがいかに手を結んで鎌倉を攻めるかを相談して貰えばいいのだ。；まだ裏門は破られていず、攻める者も守る者も、門を中にして戦っていた。；「水の城を攻めるにはやはり水だな」 と義貞はひとりごとを言った。；背後を襲われた上杉軍は混乱に陥り、最上勢はこの隙に上杉勢を攻める。；庄九郎のいない美濃ならば攻めるにしても無人の野をゆくようなものだ。；俺たちを片づけた後なら、城市が抵抗しても攻める時間は十分にある。；彼らの不満を解消するためにも、タルシュ帝国は、攻める国がほしいのさ。；バンテン王国はイギリスと連合してこれを攻めるが成功しなかった。；銀将を棒のようにまっすぐ進めて攻めることからこの名が付いた。；けれども、城が強い弱いの判定は攻める方の兵力と比較してなされる。；その瞬間に守備側と攻撃側が交代し、元の守備側が攻める事ができる。；守る方はそれでよいが攻める方はすぐ刀がだめになってしまうからかなり苦しかった。；攻める立場にせよ守る立場にせよ、われわれの手は血塗られてきた。；砦に籠った敵を攻めるには、味方はその十倍の兵力が必要とされる。；で、きみはすでに、どの角度から攻めるかもわかってるんだと思うが?；攻めるものも守るものも、受けるものも与えるものも、もっている。；今こそ攻める時かと殷雷は考えたが、程穫の構えにやはり隙はない。</t>
        </is>
      </c>
      <c r="J4652">
        <f>HYPERLINK("https://www.weblio.jp/content/攻める", "词义详情")</f>
        <v/>
      </c>
      <c r="K4652">
        <f>HYPERLINK("https://yourei.jp/攻める", "查看例句")</f>
        <v/>
      </c>
    </row>
    <row r="4653">
      <c r="A4653" t="inlineStr">
        <is>
          <t>責める</t>
        </is>
      </c>
      <c r="B4653" t="inlineStr">
        <is>
          <t>成功</t>
        </is>
      </c>
      <c r="C4653" t="inlineStr">
        <is>
          <t>読み方：せめる
［動マ下一］［文］せ・む［マ下二］《「攻める」と同語源》
１過失・怠慢・違約などを取り上げて非難する。とがめる。なじる。「失敗を—・める」「無責任な行為を—・める」
２厳しく催促する。せきたてる。また、しつこく求める。せがむ。「早く返答しろと—・める」「子供に—・められて買い与える」
３
㋐苦しめる。悩ませる。「みずからを—・める」
㋑苦痛を与えていじめ苦しめる。いためつける。「むちで—・めて白状を強いる」
４目的を果たすために、積極的な働きかけをする。「泣き落とし戦術で—・める」
５一心に努力する。真剣に追い求める。「侘びの精神を—・める」
「—・むる者は、その地に足を据ゑがたく」〈三冊子・赤双紙〉
６馬を乗りならす。調教をする。「早朝から馬場で—・める」
「生食(いけずき)・摺墨(するすみ)という名馬を—・めさせられしに」〈続狂言記・膏薬煉〉</t>
        </is>
      </c>
      <c r="D4653" t="inlineStr">
        <is>
          <t>責めるべき；責めるような口調；責めるだろ；責めるような目つき；責めるような視線</t>
        </is>
      </c>
      <c r="E4653" t="inlineStr">
        <is>
          <t>攻撃；非難；問う；拷問；告発</t>
        </is>
      </c>
      <c r="F4653" t="inlineStr">
        <is>
          <t>責めれば責める；激しく責める；強く責める</t>
        </is>
      </c>
      <c r="H4653" t="n">
        <v>29</v>
      </c>
      <c r="I4653" t="inlineStr">
        <is>
          <t>何が起こったのか、誰を責めればいいのかを知ることさえできなかった。；しかしいま考えると、わたしは彼を責める資格はひとつもなかったのだ。；自分のその主義に忠実だからと言って彼女を責めるのはおよそ不合理だ。；そんな事実を気にしたからといって、俺は彼女を責めることはしなかった。；其青年共に世界の大勢に通じてゐなかつたのを責めるのは無理である。；あの人ったらそんなことを言ってこのあたしを責めるんだものねえ!；たとえおまえが何をしたって、おまえを責める気なんてまるでないのに。；浮気をしている夫でさえ、それを責める妻のほうが悪いという者もある。；ベスは自分の祈りのせいで彼に災いが降りかかったのだと自分を責める。；トミーを責めるなら、最初のひと口をたべる前にしたらよかったんだわ。；しかし彼女は夫の虚偽を責めるよりもむしろ夫の淡泊でないのを恨んだ。；自分の今までの生活を顧みて何よりも多く自らを責めるのはこのことである。；いいですか、あなたを単なる悪趣味な詐欺師だと責めることはしません。；さうしてかうなるのもあなたが悪いのだと私を責めることもあつた。；青喜は自分ができもしないことを、他人ができないからといって責めるの?；かりに危険がふりかかったとしても、自分を責める必要はどこにもない。；俊のお母さんの口調は責めるような、残念なような空気を出していた。；死者を責めるようなニュース内容に嫌気がさして、僕はテレビをきった。；この場合、彼は藻にむかって正面からその違約を責める権利はなかった。；わたし自身にしても自分に責めるべきことが何もないだろうか?；それは他に向って言うことではない、自己に対して責めることなのだ。；彼らが周囲の警戒を欠いてしまったことを、責めるのは難しいだろう。；ロミオ さうしてくれ、それとこの身を責める用意を忘れぬやうにと。；いわば、だれを責めることもできない歯痛のようなものに変わるのである。；親にさからって何の音信もなかった娘に対して責める言葉も表情もない。；元凶を倒す事も責める事もせず、この城で待ち続けていてくれたのだ。；なんのために娘を責める役を代わってやったと思ってるんだ?；家をはなれて一人つきりになりたい欲望は、これは責めるわけにいかんよ。；前日は一睡もしないで飲みだしたのだから、彼を責めるわけにはいかない。</t>
        </is>
      </c>
      <c r="J4653">
        <f>HYPERLINK("https://www.weblio.jp/content/責める", "词义详情")</f>
        <v/>
      </c>
      <c r="K4653">
        <f>HYPERLINK("https://yourei.jp/責める", "查看例句")</f>
        <v/>
      </c>
    </row>
    <row r="4654">
      <c r="A4654" t="inlineStr">
        <is>
          <t>台詞</t>
        </is>
      </c>
      <c r="B4654" t="inlineStr">
        <is>
          <t>成功</t>
        </is>
      </c>
      <c r="C4654" t="inlineStr">
        <is>
          <t>読み方：せりふ
１俳優が劇中で話す言葉。「—をとちる」
２人に対する言葉。言いぐさ。「気のきいた—を吐く」「そんな—は聞きたくもない」
３きまり文句。「頼み事をするときのお得意の—だ」
４理屈や言い分を並べること。談判すること。
「これ半七、お花はこちの奉公人、親仁との—なら、どこぞ外でしたがよい」〈浄・女腹切〉
５支払いをすること。
「今夜中に—して下さんせにゃなりませぬ」〈伎・五大力〉</t>
        </is>
      </c>
      <c r="D4654" t="inlineStr">
        <is>
          <t>台詞なし；台詞部分；台詞じゃない；台詞無し；台詞付き</t>
        </is>
      </c>
      <c r="E4654" t="inlineStr">
        <is>
          <t>言葉；口上；科白；言辞；口説</t>
        </is>
      </c>
      <c r="F4654" t="inlineStr">
        <is>
          <t>そんな台詞；こんな台詞；長台詞；捨台詞；有名な台詞</t>
        </is>
      </c>
      <c r="G4654" t="inlineStr">
        <is>
          <t>台詞まわし</t>
        </is>
      </c>
      <c r="H4654" t="n">
        <v>29</v>
      </c>
      <c r="I4654" t="inlineStr">
        <is>
          <t>その為、連載誌と単行本では大幅に台詞や展開が異なる場合も存在する。；それ以前の場面でも誤字のために意味不明な台詞を喋ってしまっている。；台詞がほとんど無い役やモブは地元のエキストラを中心に起用している。；台詞も録音したが、出来が悪かったため、その部分は公開されなかった。；台詞が存在しないため、その人物像は不明な点が多いが、性格は好戦的。；子供の役であっても台詞がある場合には大人の俳優がそれを演じる。；なお、この経緯から実際のドラマで台詞を披露したことはあまりないという。；台詞が時々、第二次世界大戦前を思わせるものになるのも特徴の一つである。；アニメでは珍しく全く声が入っておらず、字幕で台詞を表現している。；予告編でも街頭で数々の人に映画の台詞を言わせる作りとなっている。；無声映画のスタイルに則った構成になっており、台詞は一切存在しない。；その各自の台詞書を集めて、一つの芝居を仕組むのが緯の役であります。；そのため隊員以外の台詞には「敵の罠」という言葉がよく使われている。；現在でも失読症のため台詞を覚えるのが困難であることも明かしている。；なお、シェイクスピアは同作以外にも似た場面と台詞を使用している。；しかし、日本人側の台詞やセットなどの考証が不正確な点が見られる。；このドラマ上での森田の剣道着姿や台詞、口調を物真似される事もある。；以下では、サブタイトルとなる台詞を口にしたキャラクターも併記する。；講談社版では修正されていた台詞が連載時のまま収録されている。；ページ数の関係から細かい台詞や演出はカットされてしまう所もある。；また作品中で、第二作に登場したコバヤシマルに言及する台詞がある。；こうした台詞の数々からは、サドの思想の近代性を見ることができる。；台詞が上手く頭に入らないと、父はよく家具に八つ当たりしていました。；クアトーも台詞こそあるものの、姿は影に包まれたものとなっている。；スタジオに観客はなく、台本で決められた進行・台詞で収録が行われていた。；基本は音楽であるが、歌と台詞が付いて演じられることから演劇の要素をも持つ。；また、番組中にはキャラクターの台詞の一部がふきだしで表示される。；ただし劇中での役割や出番はそれほど重要ではなく、台詞のない者もいた。；但し、ここで言うところの俳優とは台詞のある役を演ずる者のことである。</t>
        </is>
      </c>
      <c r="J4654">
        <f>HYPERLINK("https://www.weblio.jp/content/台詞", "词义详情")</f>
        <v/>
      </c>
      <c r="K4654">
        <f>HYPERLINK("https://yourei.jp/台詞", "查看例句")</f>
        <v/>
      </c>
    </row>
    <row r="4655">
      <c r="A4655" t="inlineStr">
        <is>
          <t>世論</t>
        </is>
      </c>
      <c r="B4655" t="inlineStr">
        <is>
          <t>成功</t>
        </is>
      </c>
      <c r="C4655" t="inlineStr">
        <is>
          <t>読み方：せいろん
⇒せろん（世論）</t>
        </is>
      </c>
      <c r="D4655" t="inlineStr">
        <is>
          <t>世論工作；世論対策；世論動向；世論研究所</t>
        </is>
      </c>
      <c r="E4655" t="inlineStr">
        <is>
          <t>民心；民意；公論；国論；オピニオン</t>
        </is>
      </c>
      <c r="F4655" t="inlineStr">
        <is>
          <t>国民世論；イギリス世論；一般世論；フランス世論；反日世論</t>
        </is>
      </c>
      <c r="G4655" t="inlineStr">
        <is>
          <t>世論操作；世論形成；世論誘導；世論調査結果；世論喚起</t>
        </is>
      </c>
      <c r="H4655" t="n">
        <v>29</v>
      </c>
      <c r="I4655" t="inlineStr">
        <is>
          <t>ベイリーズの支援には大勢の学生が参加し、彼に有利な世論を形成した。；これを立証するのは難しいが、当時世論はこの視点を主に反映していた。；しかし、これが公表されるや否やフランスの世論も政府も強い反発を示す。；当時のフランス世論ではここでいよいよ対独戦争の可能性が強くなる。；このときも賛否両論を招きながらも世論の中では時期尚早の感があった。；これは、大統領がメディアを通じて世論を把握する最初の試みであった。；この事件は次第に誇張して語られるようになり、世論に影響を与えた。；したがって、これがポーランドの対独世論を変えたというわけではない。；事情を知った一般世論からも張学良は強い批判を浴びることとなった。；自費でのキャンプ参加となり、否定的な報道や一部世論の反発に遭った。；これらの多くの理由にもかかわらず、世論は彼の就任を要求した。；しかしメイン号の爆発は、戦争への世論を非常に強力に形成した。；フランス世論は外国人に向ける目は厳しく、差別の対象にもなっていた。；実際には、このような統一された世論が日韓両国にあるわけではない。；しかし、世論の声は強くベネディクトゥスの聖化が受け入れられていった。；また世論の3分の2は、アハーンは辞任するべきではないと考えていた。；当時の日米双方の世論において、以下の様な誤った認識が広がっていた。；ベトナム戦争継続に反対を表明し、アメリカの世論に大きな影響を与える。；首長が権力を持とうとするのを妨げる集団世論が働いているのである。；この状況については、世論の理解が追いついていないためとの指摘もある。；北伐の最後には、蔣介石は広西の軍隊を除くために世論を喚起し始める。；これに激怒した国民の世論に対応して議会は大統領解任決議を提出。；この事も世論が彼に批判的となった理由の一つである。；チェコの政治家や世論の大半はベネシュ布告の一切の改訂を拒否している。；イスタンブールの世論はすでに政治家たちが無視できない要素となっていたのである。；そこに危険はあるが、世論と確立した伝統だけが危険を防ぐ。；統計学的な手法を用いて世論を明らかにする調査が世論調査である。；世論がどのように治安状況を認識していたかについては次のような調査報告がある。；日本の世論は緊張し、反ロシア大集会が日本各地で開かれるに至った。</t>
        </is>
      </c>
      <c r="J4655">
        <f>HYPERLINK("https://www.weblio.jp/content/世論", "词义详情")</f>
        <v/>
      </c>
      <c r="K4655">
        <f>HYPERLINK("https://yourei.jp/世論", "查看例句")</f>
        <v/>
      </c>
    </row>
    <row r="4656">
      <c r="A4656" t="inlineStr">
        <is>
          <t>世話</t>
        </is>
      </c>
      <c r="B4656" t="inlineStr">
        <is>
          <t>成功</t>
        </is>
      </c>
      <c r="C4656" t="inlineStr">
        <is>
          <t>読み方：せわ
［名］(スル)
１面倒をみること。尽力すること。「病人の—」「大きなお—」「親身になって—する」
２間に立って斡旋(あっせん)すること。取り持つこと。「就職先を—する」
３手数がかかってやっかいであること。面倒であること。「—が掛かる」→御世話様(おせわさま)
４世間の人がする話。世間の言いぐさや慣用の言葉。また、日常語や俗語。「—に砕いて言う」
５通俗的、また庶民的であること。
「—らしい打解けた風は頓(とみ)に失せて」〈鏡花・高野聖〉
６「世話物」の略。
[補説]1〜3は「せわ（忙）しい」の「せわ」からか。
［形動］《近世語》手数がかかるさま。面倒だ。
「あた—な家持ちよりは、金持ちが遥かましでもあらうかと」〈浄・河原達引〉</t>
        </is>
      </c>
      <c r="D4656" t="inlineStr">
        <is>
          <t>世話係(2%)；世話女房；世話好き；世話を焼か；世話をやか</t>
        </is>
      </c>
      <c r="E4656" t="inlineStr">
        <is>
          <t>見る；助け；援助；用途；面倒</t>
        </is>
      </c>
      <c r="F4656" t="inlineStr">
        <is>
          <t>余計な世話；世話あねえや；世話のやき；世話女房タイプ；世話を焼き過ぎる</t>
        </is>
      </c>
      <c r="G4656" t="inlineStr">
        <is>
          <t>世話役；世話物；世話好き；世話焼き；世話焼</t>
        </is>
      </c>
      <c r="H4656" t="n">
        <v>29</v>
      </c>
      <c r="I4656" t="inlineStr">
        <is>
          <t>その時期には赤ん坊の世話をする充分な時間を確保できたためである。；世話好きで人の面倒を見たがるが、自分が人に世話になるのは好まない。；父は幼い子供達を友人の家族に預けて、世話をしてもらう計画を立てた。；彼は全く無能であり、たびたび教会や修道院の収入の世話になっている。；これは、収容者に捨てられた犬の世話と訓練をする機会を与えるものである。；スグルに引き続きその息子・キン肉万太郎の世話係を務めることになる。；しかし師匠からの紹介があるとはいっても簡単に世話になることは出来なかった。；彼は四人兄弟の三人目で、幼いガガーリンの世話は姉が行うこともあった。；これらも含め、そういった面でもサトシたちは大いに世話になっている。；現在はロンドンに戻り、母親の世話をしながら息子とともに生活している。；日高は身延山に隠棲した日蓮の世話係をしながらその教説を直接学んだ。；李垠の世話係であったは、伊藤本人から聞いた次のような話を残している。；大家族の長男として、共働きの両親の代わりに弟たちの世話をしていた。；だがそんな父親の身の回りの世話をよくする気立てのいい娘でもある。；世話をかけた鋭次のもとに向かうつもりで家に戻ると清吉の母が訪ねてくる。；佐官級の兵士が東京丸の内警察署に来て「女を世話しろ」などと求めた。；祖父はこの世話で少し無理して倒れただけで、そう大ごとでは無かったのだ。；建立当時の地元の有力者であった鷲尾綱貞の世話を得て建てられた。；これらの猫には住民が名前を付けて餌やり等の世話をしている。；後にババールの世話をした老婦人は国賓として象の国に受け入れられる。；キングは、自分に食べ物をくれるアボリジニらの世話になることにした。；場合によっては、寝台車などで乗客の世話をする係員を指す場合もある。；少年時代は、地元ではかなりのワルで何度も警察の世話になっていた。；またその世話係の弟子であった人間が後に馬賢達の武術学校に留学している。；また過去の時代の庶民の姿を題材としたものを「時代世話」とも呼んでいた。；この時に一年間程、茶々の世話をしたのが、信長の妹のお犬の方である。；ハマーンは姉の跡を継いでミネバの世話をするようになったという。；チャーリーに母と兄弟の世話をするよう求める遺書が残されていた。；彼の身の回りの世話をしているうちに愛し合うようになり、結婚した。</t>
        </is>
      </c>
      <c r="J4656">
        <f>HYPERLINK("https://www.weblio.jp/content/世話", "词义详情")</f>
        <v/>
      </c>
      <c r="K4656">
        <f>HYPERLINK("https://yourei.jp/世話", "查看例句")</f>
        <v/>
      </c>
    </row>
    <row r="4657">
      <c r="A4657" t="inlineStr">
        <is>
          <t>せわしい</t>
        </is>
      </c>
      <c r="B4657" t="inlineStr">
        <is>
          <t>成功</t>
        </is>
      </c>
      <c r="C4657" t="inlineStr">
        <is>
          <t>読み方：せわしい
［形］［文］せは・し［シク］
１用事が多くてひまがない。いそがしくて休む間もない。せわしない。「—・い日々を送る」
２気がせいて落ち着かない。せかせかしている。せわしない。「—・く立ち去る」
３速い調子で続くさま。絶え間がない。せわしない。「—・く息をつく」
４経済的にゆとりがない。
「よくよく—・しければこそ芝居並みの利銀にて何程でも借らるるなり」〈浮・胸算用・二〉
→忙(いそが)しい［用法］
[派生]せわしがる［動ラ五］せわしげ［形動］せわしさ［名］</t>
        </is>
      </c>
      <c r="D4657" t="inlineStr">
        <is>
          <t>せわしい息づかい(5%)；せわしい中(3%)；せわしい日(3%)；せわしい思い(2%)；せわしい事</t>
        </is>
      </c>
      <c r="E4657" t="inlineStr">
        <is>
          <t>忙しい；多忙；繁忙；慌ただしい；忙しげ</t>
        </is>
      </c>
      <c r="H4657" t="n">
        <v>29</v>
      </c>
      <c r="I4657" t="inlineStr">
        <is>
          <t>しかもお前は決してせわしそうにも、仕事が多すぎるようにも見えない。；別の企てをそこに加えないでも、それは相当にわれわれをせわしくする。；それから向こうを向くと、とてもせわしげに部屋を行ったり来たりした。；一方、小さな脚のほうはただそれだけせわしげにばたばたするのだった。；花子の陣痛がややせわしくなったのは、八時を過ぎたころからであった。；舟が、流れの中央に出て、船頭の棹の操作がせわしくなった時であった。；一度ならず足をそわそわさせたり、せわしげに指で壁を叩いたりした。；彼らはせわしい息をして、彼らの小さな頭を前方へさし伸べているんです。；にらみ合うだけでだんだん呼吸がせわしくなって肩息になるのだという。；私はせわしく物を書きつづけながら、一方しだいに空想的になってきた。；彼は自分のためにせっせと夕食の支度をしているせわしい妻の姿を見た。；宵に落ちる月の風情などはせわしい心のときは気をとられないものね。；蟻のような人間、昆虫のような自動車が生命の営みにせわしそうである。；わたしは戸口に立ってかれらのせわしい羽ばたきを聞くことができた。；瞳をせわしく動かしていた耕太だったが、近づく顔に、覚悟を決めた。；人々がせわしく動きまわるうちに、銀の棒は星形の骨組になりました。；新年に伺おうと思ったんだが、急に変にせわしくなって穴に籠ったきりだ。；宰相中将はいでたちのせわしい場所へ使いを出して典侍へ手紙を送った。；別の企てをそこに加えないでも、それは相当に我々をせわしくする。；女は呼吸せわしく長いこと掻きまわしていたが、べたっと尻餅をついた。；せわしい出発をしたので、充分な朝食をとらなかったため腹に力がなくなった。；そのうちに、彼もそろそろ喘ぎはじめ、息づかいがせわしくなって来た。；宵の口の街は華やいでおり、これから始まる夜の化粧のためにせわしい。；やがて二人の運動はいっそう激しくなり、いちだんとせわしくなった。；じっと待つしかなくて辛い時は、何かせわしく仕事をしているほうが楽だと分かる。；道子は三脚の上から身体を乗り出すようにして、せわしげに足を動かした。；老年の教授達はズボンに手を突っ込んだまま、せわしく足踏みしていた。；せわしい呼吸にあえぎながらも、口をきくことができるようになった。；胸ポケットで光っている不思議な緑色のチューブーそれらの間を視線がせわしげに往復した。</t>
        </is>
      </c>
      <c r="J4657">
        <f>HYPERLINK("https://www.weblio.jp/content/せわしい", "词义详情")</f>
        <v/>
      </c>
      <c r="K4657">
        <f>HYPERLINK("https://yourei.jp/せわしい", "查看例句")</f>
        <v/>
      </c>
    </row>
    <row r="4658">
      <c r="A4658" t="inlineStr">
        <is>
          <t>千</t>
        </is>
      </c>
      <c r="B4658" t="inlineStr">
        <is>
          <t>成功</t>
        </is>
      </c>
      <c r="C4658" t="inlineStr">
        <is>
          <t>読み方：せん
［音］セン（呉）（漢）　［訓］ち
［学習漢字］1年
〈セン〉
１数の名。百の十倍。「千人・千両箱／数千・一騎当千・海千山千(うみせんやません)」
２数の多いこと。「千言・千秋・千客万来・千差万別・千里眼」
〈ち〉「千草・千鳥／八千代」
［名のり］かず・ゆき
［難読］千歳(ちとせ)・千万(ちよろず)</t>
        </is>
      </c>
      <c r="D4658" t="inlineStr">
        <is>
          <t>千人(9%)；千万(9%)；千年(9%)；千円(4%)；千石(3%)</t>
        </is>
      </c>
      <c r="E4658" t="inlineStr">
        <is>
          <t>一千；阡</t>
        </is>
      </c>
      <c r="F4658" t="inlineStr">
        <is>
          <t>二千；五千；何千；一千；三千</t>
        </is>
      </c>
      <c r="G4658" t="inlineStr">
        <is>
          <t>千葉；千代；千鶴；千秋；千代子</t>
        </is>
      </c>
      <c r="H4658" t="n">
        <v>29</v>
      </c>
      <c r="I4658" t="inlineStr">
        <is>
          <t>この場所には毎年何千人もの人が訪れ、そのほぼ全てがイラク人である。；これを聞いた南部住民数千人がアラブ系住民を襲撃するなどの事件が発生。；文化大革命による犠牲者の合計数は数百万から数千万とも言われている。；ここには、中国で行われたとみられる数千件の執行は含まれていない。；降着過程は衛星が完全に形成されるまで数千年の間継続したと考えられる。；ナイジェリアの地には過去数千年間に多数の王国や部族国家が存在してきた。；歴史上最も古いものは、およそ3千年前のエジプトの出土品の中に見られる。；千年ほど前には黄河以北にも生息していたことが中国の文献に記載されている。；価格はA2サイズでも数千円程度、小さいものだと数百円程度の物も存在する。；これは現在、何千も存在する2国間航空協定を制定するきっかけとなった。；これら千歳線からの列車は併設された千歳線列車用の複線を走行する。；そしてイオン温度は室温に近く、電子温度は数千度であることが多い。；このうち千歳線を当駅の所属線としており、石勝線は当駅を起点としている。；万の位で車両のサイズ、千・百の位で製造会社、十・一の位で用途を示す。；現在世界に存在する言語の数は千数百とも数千とも言われる。；幸福の科学の発表では数千人数万人の規模だと報告している。；複数の文献が、この神殿に雇われていた千人の聖娼について伝えている。；玉の板数千枚を金の糸で縫い上げ、これをもって遺体を蓋っている。；そのため、ロボットだと隠す理由は、千兵衛が恥をかくからとなっている。；日本は水田稲作を基本とした社会を2千余年に亘ってつづけてきた。；何千人もの人々がバビロンで、古代の外側の城壁周辺に住んでいる。；鉄道施設を維持管理する甲賀市によると被害額は約3億5千万円という。；湖が生まれたのは今から約千年前と言われる。；州内の病院では雇用数でも最大であり、従業員数は1万8千人である。；八戸藩では領知高2万石のうち1万1千石が損毛となる大凶作となった。；州の人口は1千万人以上となり、国内第10位の人口で影響力を持つ州となった。；世界中では数千から1万以上の品種が存在するとみられている。；またこの際にも法華大乗経二千部を写して宝塔に安置したと記されている。；千数百年の間、使い続けられた文字であるにもかかわらず、民間への普及には限りがある。</t>
        </is>
      </c>
      <c r="J4658">
        <f>HYPERLINK("https://www.weblio.jp/content/千", "词义详情")</f>
        <v/>
      </c>
      <c r="K4658">
        <f>HYPERLINK("https://yourei.jp/千", "查看例句")</f>
        <v/>
      </c>
    </row>
    <row r="4659">
      <c r="A4659" t="inlineStr">
        <is>
          <t>栓</t>
        </is>
      </c>
      <c r="B4659" t="inlineStr">
        <is>
          <t>成功</t>
        </is>
      </c>
      <c r="C4659" t="inlineStr">
        <is>
          <t>読み方：せん
［常用漢字］　［音］セン（呉）（漢）
１管や穴の口をふさぐもの。「栓塞(せんそく)／血栓・密栓」
２管の先などに取り付けた開閉装置。「音栓・給水栓・消火栓」</t>
        </is>
      </c>
      <c r="D4659" t="inlineStr">
        <is>
          <t>栓ぬき；栓状；栓をしっかり；栓子；栓をいっぱい</t>
        </is>
      </c>
      <c r="E4659" t="inlineStr">
        <is>
          <t>コック；蛇口；タップ；カラン；飲み口</t>
        </is>
      </c>
      <c r="F4659" t="inlineStr">
        <is>
          <t>水道栓；鎖栓；ゴム栓；老栓；音栓</t>
        </is>
      </c>
      <c r="G4659" t="inlineStr">
        <is>
          <t>栓塞；栓状耳飾り；栓クラブ</t>
        </is>
      </c>
      <c r="H4659" t="n">
        <v>29</v>
      </c>
      <c r="I4659" t="inlineStr">
        <is>
          <t>で、よく聞いてお置き、お前達は栓をした瓶で水を温めてはいけないよ。；彼はそれをうけとって、栓もあけずに、そのままテーブルの上においた。；その外にうす暗い廊下があって水道栓とちょっとした流しがついていた。；そうすると柴は穴の栓にはならずに、するすると穴の中に入っていった。；缶ビールの栓を開け、のみながら再び暗闇の中、家の方へ歩いていった。；砲尾ブロック上部のレバーを引くと鎖栓が開かれ装填可能状態となる。；ぼくの家の近所の人たちは、おかげで一時間ぐらいは耳に栓をしてたでしょうね。；それからあなたは下におりて船の栓を抜いて漂流させ、あとから箱を流した。；彼は手で栓を抑えようかと思ったが、それでは男に悟られる恐れがあった。；ジャックは石の栓をすると再び光が輝き始め、ジャックは光に包まれる。；夜の間にチャレンジャーが四本目のボンベの栓をゆるめていたのである。；誰かがそっと近寄ってきて、彼の身体の栓を抜いてしまったかのようだった。；目につかぬほどの微細な傷がその栓の頸の処にあるものと見覚がある。；一人が思い出したように立って、室の隅の水道栓のところで含漱を始めた。；それは犬を刺した時も、水道栓から水を飲んだ時も、常に私の鼻にあった。；栓を抜いたまま漂流しているのを怪しまれたら、どんなことになるだろう?；だから外で栓をあけさえすれば、金庫室の中にはガスが充満するわけです。；なるほど左の壁には、いくつも並んで水道栓と流しがついていた跡がある。；両方のビンに栓をすると、かれはそれをズボンの尻ポケットに入れた。；この栓一箇のために書記を殺した、これのために二人して争奪をした。；私は飲んだくれだが、杯も徳利も持たず、ビールの栓ぬきも持っていない。；私は飲んだくれだが、杯も徳利も持たず、ビールの栓ぬきも持つてゐない。；どの壁もまっ暗で、ビールの栓の上のところについていた電燈は消えていた。；でもあんたの大事な栓が見つけられなかったらどうなるわけ?；しかし、彼は、彼女が白葡萄酒の栓を抜こうというのは承知しなかった。；その管の片側に栓を付けて、栓の左右の位置を調整できるようにしておく。；この体外で外傷に付着した形で止血栓を形成したものがかさぶたである。；栓を押して出ないのは、袋の中に水が無くなっているからである。；お前たちがもし抵抗の気配を示せば、我々はこの綱を解いて舟の栓を抜く。</t>
        </is>
      </c>
      <c r="J4659">
        <f>HYPERLINK("https://www.weblio.jp/content/栓", "词义详情")</f>
        <v/>
      </c>
      <c r="K4659">
        <f>HYPERLINK("https://yourei.jp/栓", "查看例句")</f>
        <v/>
      </c>
    </row>
    <row r="4660">
      <c r="A4660" t="inlineStr">
        <is>
          <t>線</t>
        </is>
      </c>
      <c r="B4660" t="inlineStr">
        <is>
          <t>成功</t>
        </is>
      </c>
      <c r="C4660" t="inlineStr">
        <is>
          <t>読み方：せん
［音］セン（呉）（漢）
［学習漢字］2年
１糸のように細長いもの。棒状・ひも状のもの。「線香・線虫／琴線・光線・混線・視線・鉄線・電線・銅線・配線・無線」
２描かれたすじ。「線条・線分／曲線・実線・直線・点線・波線・白線・傍線・放物線」
３すじのように見える境目。「死線・雪線・戦線・前線・海岸線」
４交通機関の筋道。「線路／沿線・幹線・支線・社線・脱線・単線・複線・本線・路線」
５つながり。手づる。「伏線」</t>
        </is>
      </c>
      <c r="D4660" t="inlineStr">
        <is>
          <t>線内；線ホーム；線状；線用；線および</t>
        </is>
      </c>
      <c r="E4660" t="inlineStr">
        <is>
          <t>路線；行；列；筋；線路</t>
        </is>
      </c>
      <c r="F4660" t="inlineStr">
        <is>
          <t>支線；一直線；中央線；山手線；鉄道線</t>
        </is>
      </c>
      <c r="G4660" t="inlineStr">
        <is>
          <t>線形；線香；線区；線維；線上</t>
        </is>
      </c>
      <c r="H4660" t="n">
        <v>29</v>
      </c>
      <c r="I4660" t="inlineStr">
        <is>
          <t>一般旅客でも地上の川越線を走行する列車に乗車することが可能である。；この線と実際の絵を比較すると、窓やテーブルの角のラインが一致している。；一方で、第二区線の敷設経路についてもいくつかの案が提示されていた。；これは東西線の西端駅でJR東日本と共同使用する中野駅も同様である。；なお1963年頃には丸に2本の線入りの「急」表示のものも存在した。；ホーム上の乗り場番号は南側から6番線・7番線の順で付番されている。；競馬場線が開業する前は、当駅が東京競馬場への最寄り駅となっていた。；作用線 とは作用点を通り、力の向きに対して平行な直線のことである。；ただし、どの段階で実用でなくなったのか明確な境界線を引くのは困難である。；フランスで1919年頃試験線が建設されたが、詳細な記録は残されていない。；これら千歳線からの列車は併設された千歳線列車用の複線を走行する。；日本では琉球列島の海岸線で、石灰岩の上で天然の芝生が成立している。；このホームは現行の銀座線電車の床面より15センチ程高くなっている。；このほか槻木駅を介して阿武隈急行線と直通する列車も設定されている。；また紙に偽造硬貨で線を引くと、鉛筆で書いたような跡が残ることがある。；それがつながって細い線状になったものが川である。；JR線との連絡改札はなく、乗り換えの際は一旦改札を出る必要がある。；さらに近年の線内利用者の増加に対応するため、以下の変化がもたらされた。；これにより奈良線の車体色であるウグイス色をまとった車両は消滅した。；そのうち、実際に通常の旅客列車が使用しているのは1面2線である。；この線の数と幅で紙幣の金種がわかるようになっている。；中央本線は当駅を含む区間は、運行系統上は「中央線」と案内される。；整理された画面構成を好み、不必要な線が入りすぎることを嫌った。；基本的に駅の設置と同時に開業した路線が所属線となるため、隣の駅でも所属線が異なる場合がある。；駅周辺の再開発に伴い、現在の駅ビル方式階上2面1線の構造になった。；なお、東京地下鉄で荒川を横断する路線は東西線と千代田線だけである。；京都への通勤・通学路線であると同時に京都と奈良へ向かう観光路線でもある。；なお、長崎県内には海岸線からの距離が15 km以上の地点はない。；本国ドイツより先に中国の上海で実用線が建設され営業運転している。</t>
        </is>
      </c>
      <c r="J4660">
        <f>HYPERLINK("https://www.weblio.jp/content/線", "词义详情")</f>
        <v/>
      </c>
      <c r="K4660">
        <f>HYPERLINK("https://yourei.jp/線", "查看例句")</f>
        <v/>
      </c>
    </row>
    <row r="4661">
      <c r="A4661" t="inlineStr">
        <is>
          <t>善</t>
        </is>
      </c>
      <c r="B4661" t="inlineStr">
        <is>
          <t>成功</t>
        </is>
      </c>
      <c r="C4661" t="inlineStr">
        <is>
          <t>読み方：ぜん
［音］ゼン（呉）　［訓］よいよく　よくする
［学習漢字］6年
１行いや性質などが好ましい。よい。よいこと。「善意・善行・善政・善人・善良／改善・勧善・偽善・最善・慈善・次善・十善・追善・独善・不善・性善説」
２物事にうまく対処する。よく。「善処・善戦・善後策」
３仲良くする。「善隣／親善」
［名のり］ただし・たる・よし
［難読］善知鳥(うとう)</t>
        </is>
      </c>
      <c r="D4661" t="inlineStr">
        <is>
          <t>善右衛門(4%)；善なる(3%)；善神；善妙；善さん</t>
        </is>
      </c>
      <c r="E4661" t="inlineStr">
        <is>
          <t>良；道徳；操；徳；良さ</t>
        </is>
      </c>
      <c r="F4661" t="inlineStr">
        <is>
          <t>優善；善寺；善兵衛；愛善；了善</t>
        </is>
      </c>
      <c r="G4661" t="inlineStr">
        <is>
          <t>善意；善行；善い；善悪；善人</t>
        </is>
      </c>
      <c r="H4661" t="n">
        <v>29</v>
      </c>
      <c r="I4661" t="inlineStr">
        <is>
          <t>善も悪も神次第なら、そのような神が実在するはずだとは私は信じない。；ただし当時の他の哲学と同様に敵に対して勇猛に戦うことは善とされた。；アニメでは善の人格の時の髪の色は青、悪の人格の時は灰色で描かれる。；悪であるこの世と善である永遠の世界を対立させて考える二元論である。；善星はこれを聞いて苦得にこの件を告げ食事に注意するように促した。；張善琨は戦後もアジアの大プロデューサーであったが、東京で客死する。；善と悪の性格の冒険者が協力した後にリルガミンに持ち帰ることとなる。；純弥達の学年は寿の影響でおよそ半数が善楽中出身者で占められている。；仏弟子となってからは悪来の名を転じて善来と呼ばれるようになった。；世界の終末的な善と悪の戦争や世界の破滅そのものを指す言葉である。；共通の形状の制服を着用するが、善は赤、愛は緑のスーツを着ている。；自然の善は正しい観点から見たときに本性上完全なものであると理解されている。；そのような状況にあっては、ある特定の善を正義と構想することはできない。；善や真理の根拠を、神でなく理性的な人間の中にみいだそうとした、と。；善はそれ自体を目的とするものであって何かの手段として行うものではないという。；そして人生と愛、善と悪は、すべて人が創りあげるものであることを学ぶ。；幕末には法導寺善が反転で円を直線に写して簡略化する手法を導入した。；善七や松右衛門が町奉行から囚人を預かる施設を建設したことに始まる。；民はすぐに善を行った利益をあったことを見たいと願っている。；代わりに、悪の出現は善の概念を誤解した結果であるとされる。；彼は美を真や善と結びつけることによって、この問題を解決しようとする。；光と闇は自然的な何かを意味しているのではなく、善と悪とに結び付けられている。；善または悪のいずれかの属性を獲得したキャラクターであること。；その建物こそ、善の支配者であるゾードンが作った秘密基地なのである。；マルティン・ルターは小さな悪が否定しがたい善となる場合があることを認めた。；これは、世界的に存在する『右を善、左を悪』とする観念と関係がある。；その名の通り、人間は生まれながらにして善であるという思想である。；百済の第28代国王である恵王の後裔で、余時善の子とする系図がある。；エミール・デュルケームによれば、道徳の要素には、義務と善とがある。</t>
        </is>
      </c>
      <c r="J4661">
        <f>HYPERLINK("https://www.weblio.jp/content/善", "词义详情")</f>
        <v/>
      </c>
      <c r="K4661">
        <f>HYPERLINK("https://yourei.jp/善", "查看例句")</f>
        <v/>
      </c>
    </row>
    <row r="4662">
      <c r="A4662" t="inlineStr">
        <is>
          <t>全～</t>
        </is>
      </c>
      <c r="B4662" t="inlineStr">
        <is>
          <t>成功</t>
        </is>
      </c>
      <c r="C4662" t="inlineStr">
        <is>
          <t>読み方：うつ
［接頭］
１（全）名詞に付いて、すっかり、全く、全部の意を表す。
「皮を—はぎに剝(は)ぎて」〈記・上〉
２（空・虚）名詞に付いて、うつろな、空虚な、の意を表す。
「—蝉(せみ)はからを見つつもなぐさめつ深草の山煙だにたて」〈古今・哀傷〉</t>
        </is>
      </c>
      <c r="H4662" t="n">
        <v>0</v>
      </c>
      <c r="J4662">
        <f>HYPERLINK("https://www.weblio.jp/content/全～", "词义详情")</f>
        <v/>
      </c>
      <c r="K4662">
        <f>HYPERLINK("https://yourei.jp/全～", "查看例句")</f>
        <v/>
      </c>
    </row>
    <row r="4663">
      <c r="A4663" t="inlineStr">
        <is>
          <t>繊維</t>
        </is>
      </c>
      <c r="B4663" t="inlineStr">
        <is>
          <t>成功</t>
        </is>
      </c>
      <c r="C4663" t="inlineStr">
        <is>
          <t>読み方：せんい
細い糸状の物質。動物の筋線維・神経線維、植物の篩部(しぶ)繊維・木部繊維など。植物繊維や動物の毛は織物・紙などの原料とされ、また、人工的にも作られる。
[補説]医学では、動物の体内に存在するものについては「線維」と書くことが多い。</t>
        </is>
      </c>
      <c r="D4663" t="inlineStr">
        <is>
          <t>繊維製品(5%)；繊維質(4%)；繊維工場(3%)；繊維会社；繊維メーカー</t>
        </is>
      </c>
      <c r="E4663" t="inlineStr">
        <is>
          <t>フィラメント；ファイバー；細糸；ファイバ；衣料繊維</t>
        </is>
      </c>
      <c r="F4663" t="inlineStr">
        <is>
          <t>短繊維；繊維方向；ケブラー繊維；繊維組織；繊維関連</t>
        </is>
      </c>
      <c r="G4663" t="inlineStr">
        <is>
          <t>繊維業；繊維状；繊維工業；繊維強化プラスチック；繊維素</t>
        </is>
      </c>
      <c r="H4663" t="n">
        <v>29</v>
      </c>
      <c r="I4663" t="inlineStr">
        <is>
          <t>あらゆる種類の繊維を用いて、日常的な用途に使用されるものが多い。；それら天然樹脂と繊維の多くが、ポリマーだと認識され始めた頃だった。；材料は羊毛や麻の繊維を編んだものや皮革や布でできたものなどがある。；ハンノキタイプのものとは若干異なるが、繊維上の構造物も観察される。；また熱帯では果実のみならず、葉から繊維を採って利用することがある。；卒業後は両親を安心させるために繊維会社に就職するも並行して劇団に入る。；紙や繊維質が土に触れて湿った場所では、野外でも見ることができる。；スラグを特殊な装置で石綿状の繊維に加工した物をロックウールと呼ぶ。；羊毛やアマなどの繊維を巻きつけておく糸巻き棒が使われるようになった。；しかし近年では狭窄のない場合に限っては繊維質の制限を行わないこともある。；繊維を中心に化成・バイオ・医薬など高機能製品の開発・製造を行う企業。；繊維の方向がはっきりしており、それに沿った方向には細かく割りやすい。；切断面が腐食しないように鋸ではなく木繊維の破壊が少ない斧を使用した。；分析に使われた繊維組織はこの生物の筋繊維の一部と見られた。；その地域はアメリカでも繊維貿易の中心であり、イギリスが主要な輸出市場にしていた。；そのため、これらの繊維工場は次々と閉鎖されることになった。；土壌や糞などから広く発見されるが、穀類や繊維を汚染することがある。；茎は分枝することなく、その表面は古い葉鞘とその繊維で硬く包まれる。；毛や繊維のように細いすじ状で、すじの先端が曲がっていないことが特徴。；同様に繊維をとるために栽培される、さらに大きいラミーもこの種に含まれる。；繊維加工されたものはカーテンなどの難燃性が求められる用途に使われる。；ライトと被害者たちとの関係を示すDNAと繊維の証拠が法廷に提出された。；しなやかで強く美しい光沢があるため、繊維の中でも最も珍重されてきた。；貿易を中心とした経済となっており、電子、繊維、観光が主要産業である。；樹皮は繊維に富むため、これを加工してロープや魚網などの原料とした。；また、繊維産業も古くから盛んであり、セーレンなどの繊維会社もある。；幼虫はたくさんの細毛に覆われており繊維質のものを食害する害虫である。；セルロースの構成する細胞壁繊維は以下の構造的段階を示している。；繊維・被服・履物工業が盛んであったが輸入の影響による縮小が著しい。</t>
        </is>
      </c>
      <c r="J4663">
        <f>HYPERLINK("https://www.weblio.jp/content/繊維", "词义详情")</f>
        <v/>
      </c>
      <c r="K4663">
        <f>HYPERLINK("https://yourei.jp/繊維", "查看例句")</f>
        <v/>
      </c>
    </row>
    <row r="4664">
      <c r="A4664" t="inlineStr">
        <is>
          <t>全域</t>
        </is>
      </c>
      <c r="B4664" t="inlineStr">
        <is>
          <t>成功</t>
        </is>
      </c>
      <c r="C4664" t="inlineStr">
        <is>
          <t>読み方：ぜんいき
地域・区域の全体。また、分野・領域の全体。「関東—」「生活—」</t>
        </is>
      </c>
      <c r="D4664" t="inlineStr">
        <is>
          <t>全域関数；全域再帰関数；全域路線図；全域写像；全域並びに香西地区</t>
        </is>
      </c>
      <c r="E4664" t="inlineStr">
        <is>
          <t>全体；一帯；一面；広範；一円</t>
        </is>
      </c>
      <c r="F4664" t="inlineStr">
        <is>
          <t>ヨーロッパ全域；県内全域；北海道全域；町内全域；地区全域</t>
        </is>
      </c>
      <c r="H4664" t="n">
        <v>29</v>
      </c>
      <c r="I4664" t="inlineStr">
        <is>
          <t>州内全域に小型の空港が鏤められており、一般用途飛行に使われている。；奈良県に所在する奈良県全域を放送対象とする唯一のラジオ局でもある。；企業の活動する全域に対してその中のひとつの地域を「地方」と考える。；市内バスはスコピエ市内全域をカバーし、郊外の町へも同様に伸びている。；長洲地区のいくつかの町を除き全域が明治以来の大字を継承している。；福井平野に位置しているため全域が平地であり、山岳は存在しなかった。；この A も B も の全域で定義されてはいないことに注意すべきである。；この法制度は、大陸ヨーロッパの全域に共通のものであり、と呼ばれた。；彼は会員たちを欧州全域に派遣して、一般学校と神学校を各地に創設させた。；この沿岸河川系水は降水量が増加する夏季には湾の表層全域に広がる。；その為、国内全域に渡って渡航の中止を求める呼び掛けが続いている。；日本有数の豪雪地帯であり、市内全域が特別豪雪地帯に指定されている。；この時までに、紋章はヨーロッパの全域で大郷士の子に受け継がれていた。；明るい星が多いものの、日本の多くの地域からは星座の全域を見ることはできない。；近年では五島全域で人口が減少に転じ住民の高齢化も進んでいる。；例えば、直観主義的算術のいかなる証明可能全域関数も計算可能である。；江戸時代以前は全域が日比谷入江に含まれたと考えられている。；全域が阿寒摩周国立公園に含まれ、道東を代表する観光地となっている。；山口県で唯一の県下全域を取材・発行エリアとする地方紙である。；そしてチチェン・イッツアと同盟を結んで北部ユカタン全域を支配していた。；現在、国内には山口県全域を始め、広島県南部にも多くの店舗を展開。；最も重要な作戦はドニエプル以西のウクライナ全域を解放する作戦だった。；島全域が天然記念物に指定されているため、東京都より許可を得た者のみが上陸できる。；これ以外はほぼ全域が農村地域であり、県下最大の穀倉地帯となっている。；市内の一部を除くほぼ全域が特別豪雪地帯に指定されている。；地方にも続々と反乱政府が樹立されていき、北インド全域に反乱が拡大した。；町内全域において電気通信事業者より以下の各サービスが提供されている。；現在までに、日本列島全域で4000カ所を超える遺跡が確認されている。；州内16郡のうち4郡のみがその全域に法人化された町がある。</t>
        </is>
      </c>
      <c r="J4664">
        <f>HYPERLINK("https://www.weblio.jp/content/全域", "词义详情")</f>
        <v/>
      </c>
      <c r="K4664">
        <f>HYPERLINK("https://yourei.jp/全域", "查看例句")</f>
        <v/>
      </c>
    </row>
    <row r="4665">
      <c r="A4665" t="inlineStr">
        <is>
          <t>全員</t>
        </is>
      </c>
      <c r="B4665" t="inlineStr">
        <is>
          <t>成功</t>
        </is>
      </c>
      <c r="C4665" t="inlineStr">
        <is>
          <t>読み方：ぜんいん
その団体などに属するすべての人員。総員。</t>
        </is>
      </c>
      <c r="D4665" t="inlineStr">
        <is>
          <t>全員一致；全員死亡；全員無事；全員参加；全員戦死</t>
        </is>
      </c>
      <c r="E4665" t="inlineStr">
        <is>
          <t>みんな；全員が；一様に；どいつもこいつも；ひとり残らず</t>
        </is>
      </c>
      <c r="F4665" t="inlineStr">
        <is>
          <t>名全員；参加者全員；生徒全員；出演者全員；クラス全員</t>
        </is>
      </c>
      <c r="G4665" t="inlineStr">
        <is>
          <t>全員プレゼント；全員死刑；全員野球</t>
        </is>
      </c>
      <c r="H4665" t="n">
        <v>29</v>
      </c>
      <c r="I4665" t="inlineStr">
        <is>
          <t>しかし、それぞれの要素に例外が多く、全員の共通項を示すのは難しい。；隊員たちが全員首に赤いマフラーを巻いていることからこの名がついた。；こうした状況は彼ら全員が1955年にヨーロッパに戻るまで続いた。；彼らは軍人ではなく、ただの職人であったが、全員が剣で斬り殺された。；一定時間毎にチームの全員が出走し、チームごとのゴールタイムを競う。；今日の英国王位継承権を保持する人物は、全員がゾフィーの子孫である。；戦闘メンバーとして配置したキャラクターが全員で敵と戦う従来の戦闘形態。；全員がゲームから抜けるか脱落するかした段階でゲームは終了である。；このとき、カードの数字を、プレイヤー全員に聞こえるように宣言する。；番組のコメンテーターの総称で、名の通り全員が現役の弁護士である。；一方で誰か一人でもゴールできればプレイヤー全員の勝利になる。；普段は人間として働いている為、戦闘の際に全員出撃出来ないこともある。；ベルリン学派の主要な4人は全員米国へ渡り、その地で亡くなっている。；松野以下オリジナル版の主要スタッフ全員が製作に参加している。；全員が同じ手を出したときや、全ての手が出たときには「あいこ」になる。；鬼はよほど足が速くない限り、全員を凍った状態にすることは難しい。；全員の好意値を総合して一番好意値を稼いだプレイヤーが勝利となる。；プレイヤーが全員スタンドするとディーラーは自分のホールカードを開く。；ここで博士の説明を聞く男性たちの中に医者はおらず、全員が街の名士であった。；徽章は所属部隊を表すもので、ジオン公国軍将兵のほぼ全員が着用する。；メンバーのチームワークは良く、スタッフ全員とも馬があったと述べている。；彼が出発すると、追いかけて使者がきて、家族全員の死を順に知らせる。；このような場所では商品を売る際にその場にいる労働者が全員で働くことはあまりない。；実況アナウンサーも全員、スポーツ担当のアナウンサーとなっている。；一方、チームの投球回は、投手全員の投球回の合計値をそのまま用いる。；毎年のトップチーム始動日には全員で被災地訪問をするのが恒例である。；パリ市民が全員押しかけてきたのではないかと思うほどの大成功であったという。；なお、彼らは全員本作のスタッフで、厳密にはキャラクターではない。；次番組では所を除くこの時点でのレギュラーは全員降板した。</t>
        </is>
      </c>
      <c r="J4665">
        <f>HYPERLINK("https://www.weblio.jp/content/全員", "词义详情")</f>
        <v/>
      </c>
      <c r="K4665">
        <f>HYPERLINK("https://yourei.jp/全員", "查看例句")</f>
        <v/>
      </c>
    </row>
    <row r="4666">
      <c r="A4666" t="inlineStr">
        <is>
          <t>前回</t>
        </is>
      </c>
      <c r="B4666" t="inlineStr">
        <is>
          <t>成功</t>
        </is>
      </c>
      <c r="C4666" t="inlineStr">
        <is>
          <t>読み方：ぜんかい
一つ前の回。先回。</t>
        </is>
      </c>
      <c r="D4666" t="inlineStr">
        <is>
          <t>前回同様(4%)；前回優勝(3%)；前回選挙(2%)；前回出場；前回総選挙</t>
        </is>
      </c>
      <c r="F4666" t="inlineStr">
        <is>
          <t>前回落選；前回調査；前回チャンピオン；前回知事選；前回リタイア</t>
        </is>
      </c>
      <c r="G4666" t="inlineStr">
        <is>
          <t>前回王者；前回女王</t>
        </is>
      </c>
      <c r="H4666" t="n">
        <v>29</v>
      </c>
      <c r="I4666" t="inlineStr">
        <is>
          <t>ゲームスタート時は前回のプレイヤーが終了した位置からスタートする。；ただし前回と違って職場の理解を得られた為、会場には足を運んでいる。；このチームのメンバーは前回優勝したメンバーとほとんど変わらなかった。；前回の改造から10年以上経過したこともあり、以下の変更点がある。；ブラジルは前回優勝して予選免除であるので9チームが予選参加する。；前回製造車から時間が開いたため、細かな設計変更が行われている。；前回は改札まで25年が経過していたが、今回は12年での改札となる。；前回の調査で発見されていないメトロイドが存在しているかも知れないからである。；前回選挙の自身と同様、選挙敗北の責任をとって辞任するよう求めたのである。；前回と異なり場外に出て行き観客の前から消えた所で第2試合以降が行われた。；前回の2006年大会に続いて、北米を中心とした共同開催となった。；この機能を使用することで、再プレイ時に前回のステージの続きからプレイできる。；前回の試合で奴は俺をKOしたがその時、上からツバを吐きやがった。；前回は自由なお題だったが、タイトルが固定され「ぜつぼう」となった。；それに伴い、前回優勝国のブラジルも予選からの参加となった。；前回の敗戦後、明軍では本国からの増援を得て兵力は約10万となった。；前回製造車から半年足らずで製造されたが、何点かの設計変更が施された。；それでもなお、京都府は前回と同様の理由で速やかな対応を拒否した。；出演は前回の時と同じBoAで、タイトルは「日差し」編となっている。；また、前回は四国が舞台であったが、本作は九州に変更されている。；前回同様、JR線を走破していく関口の様子や途中の駅の様子などを送る。；他の個体が前回の越冬に使用した穴を使用することもある。；なお、予選免除されたのは開催国のフランスと前回優勝国のブラジルである。；一方北海道は当時対外試合が禁止されていたため、前回同様不参加となった。；結婚して臨んだ第33回は、前回同様に安定した競技で1stをクリア。；今回は前回の1位の記録であった215回以上の記録をなんと6人がマーク。；また前回と同様、同公演の模様は3日間ともにTBSで放送された。；前回優勝国であるアルゼンチンが2大会連続6回目の優勝を果たした。；第47回では前回と同様に三ッ林が選挙区で当選し、鈴木が比例復活をした。</t>
        </is>
      </c>
      <c r="J4666">
        <f>HYPERLINK("https://www.weblio.jp/content/前回", "词义详情")</f>
        <v/>
      </c>
      <c r="K4666">
        <f>HYPERLINK("https://yourei.jp/前回", "查看例句")</f>
        <v/>
      </c>
    </row>
    <row r="4667">
      <c r="A4667" t="inlineStr">
        <is>
          <t>全快</t>
        </is>
      </c>
      <c r="B4667" t="inlineStr">
        <is>
          <t>成功</t>
        </is>
      </c>
      <c r="C4667" t="inlineStr">
        <is>
          <t>読み方：ぜんかい
［名］(スル)病気や傷が完全に治ること。「一日も早く—してほしい」「—祝い」</t>
        </is>
      </c>
      <c r="D4667" t="inlineStr">
        <is>
          <t>全快する(14%)；全快祝い(3%)；全快届；全快なさる；全快写真</t>
        </is>
      </c>
      <c r="F4667" t="inlineStr">
        <is>
          <t>御全快；早く全快；ご全快；fg全快</t>
        </is>
      </c>
      <c r="H4667" t="n">
        <v>29</v>
      </c>
      <c r="I4667" t="inlineStr">
        <is>
          <t>痛みに耐えながらも、友の全快を喜んでくれる君枝に真樹子は感動した。；実際あれほど看護されては、全快なさるだろうと私は思ったことでした。；オンゴラは全快したわけではないので、わがことのように心配していた。；先生のお嬢さんも病気が全快して一緒に学校へ出て行ったとの事であった。；全快とではなく、するべき治療はすべて終ったからというのでは不安になる。；以下のアイテムは特定のキャラクターが取ると精神力ゲージが全快する。；彼は負傷した後も16年間生きたが、傷が全快することはなかったという。；あれほどのダメージを受けていながら、この短時間でほぼ全快している。；貧乏な医者は、患者があまり早く全快することを決して喜ばないものだ。；違う人間ならば、重い熱病が全快したように見えるのは当然であろう。；ところが数ヶ月後には、僕は全快を認めなければなりませんでした。；そして全快したときやせていてはけたら私の新しいスリッパも上げます。；自身も疱瘡に罹り、全快までに一年半余も費やしたのだから当然である。；かなり元気になったようだが、まだまだ全快とは言い切れないと思う。；が全快したのを不思議がって僕の顔を眺めるのは、彼女一人きりだ。；病気はごく軽い卒中で、冬までには必ず全快すると、三人の医者が云った。；ある日私が夕食に家に戻っていると、圭子が全快の挨拶に現われた。；承知の上で、病気が全快するまではと、じっと押さえていたにちがいない。；一人は病気で休職をしていた社員で、全快した挨拶に同僚とやってきたのだ。；これで本当に寝ていたなら、冴子は数日中に全快なんてこともありそうだった。；病気が快方にむかったといっても、全快したわけではないらしいと半十郎は見た。；家に帰った甚之丞は心あらずの状態であったが、薬を飲んで今は全快している。；もっとも四十二の暮から自分で病気に罹って今でもまだ全快しない。；しかし一応全快後で、病後には私のところから東京の女学校へ通っていた。；皆が全快したのを確認したユウキがぱちんと両手を叩き、元気な声で言った。；河上のただ一つの望みは早く全快して漢口へ攻め入ることであった。；コルベールが全快したあと、キュルケはすぐに返して寄越したのだった。；また、それは全くの嘘でも なく、すでに三桁の数の病人が全快している。；修法などもさせて尚侍の病の全快したことで家族は皆喜んでいた。</t>
        </is>
      </c>
      <c r="J4667">
        <f>HYPERLINK("https://www.weblio.jp/content/全快", "词义详情")</f>
        <v/>
      </c>
      <c r="K4667">
        <f>HYPERLINK("https://yourei.jp/全快", "查看例句")</f>
        <v/>
      </c>
    </row>
    <row r="4668">
      <c r="A4668" t="inlineStr">
        <is>
          <t>全額</t>
        </is>
      </c>
      <c r="B4668" t="inlineStr">
        <is>
          <t>成功</t>
        </is>
      </c>
      <c r="C4668" t="inlineStr">
        <is>
          <t>読み方：ぜんがく
全部の金額。総額。</t>
        </is>
      </c>
      <c r="D4668" t="inlineStr">
        <is>
          <t>全額出資(8%)；全額負担(6%)；全額寄付(3%)；全額免除(3%)；全額返済</t>
        </is>
      </c>
      <c r="F4668" t="inlineStr">
        <is>
          <t>全額保護；全額補助；全額支払い；費用全額；全額奨学金</t>
        </is>
      </c>
      <c r="H4668" t="n">
        <v>29</v>
      </c>
      <c r="I4668" t="inlineStr">
        <is>
          <t>若干名は全額自己負担で企業に入社せずに修学することも可能としている。；よって本件のダム設置交付金はその全額が市の純収入となる訳ではない。；しかしこの賞金は父に全額持って行かれ、研究費に使われてしまった。；ただし、松方正義が日本銀行をつくった時点では全額民間出資であった。；建設費3億7000万円全額を地元が負担して建設された請願駅である。；総工費は約12億円で、補助金を受けず全額市の費用で工事が行われた。；使用後、自習室内の設備に何の問題もない場合は敷金は全額返金される。；経度委員会もこれを認め懸賞金の残り全額が授与されることになった。；糸魚川市が建設費1300万円を全額負担して建設された請願駅である。；その後新規事業の挑戦に向け、ライオンの全額出資のもとに設立された。；その後、傷をつけた者から電話があり、車の修理代を全額払うと言う。；当時、全額貯金をしていたはずなのだが、あのお金はどこにいったのだろう?；先進医療に分類されるため、検査費用は基本的に全額自己負担である。；全額交換の基準が3/4以上である点が日本円の紙幣と異なる点である。；総工費2億6500万円全額を地元が負担して建設された請願駅である。；先に拾われた方が負けとなり、勝者はその後に拾われても全額番組が保証。；この3次車の製造費用は全額地元自治体の滋賀県と福井県が負担している。；輸送は全額を国庫負担して行われ、海軍艦艇を含む各種船舶が投入された。；総事業費は全額広島マツダ側の負担であり公的補助金は一切入っていない。；なお、支給対象者が死亡した場合にはその年の分は全額支給された。；未経過分の全額保全にあたるため、授業の進行により、保全額が変わる。；この額以上にならない限り全額を受けることができる。；全額負担とはいかずとも一部負担すべく大学や研究機関で助成を行うケースもある。；負けたチームは勝ったチームが使ったお金を全額負担するという罰ゲームがある。；バーナムは全額ではなかったが、資金のかなりの部分を提供した。；なお、入学者にはもれなく、学費を全額カバーする奨学金が与えられる。；姉妹はある条件で治療費を全額無料にするという。；そして、奪われた300万ドルが慈善団体に全額寄付された事も判明する。；当駅は請願駅ではなく、JR西日本が建設費を全額負担して建設された駅である。</t>
        </is>
      </c>
      <c r="J4668">
        <f>HYPERLINK("https://www.weblio.jp/content/全額", "词义详情")</f>
        <v/>
      </c>
      <c r="K4668">
        <f>HYPERLINK("https://yourei.jp/全額", "查看例句")</f>
        <v/>
      </c>
    </row>
    <row r="4669">
      <c r="A4669" t="inlineStr">
        <is>
          <t>前期</t>
        </is>
      </c>
      <c r="B4669" t="inlineStr">
        <is>
          <t>成功</t>
        </is>
      </c>
      <c r="C4669" t="inlineStr">
        <is>
          <t>読み方：ぜんき
１一つ前の時期・期間。「—の委員から事務を引き継ぐ」
２ある期間を二つまたは三つに分けたうちの、前の方の期間。「—の試験」⇔後期。</t>
        </is>
      </c>
      <c r="D4669" t="inlineStr">
        <is>
          <t>前期型(3%)；前期古墳；前期優勝；前期白亜紀；前期後半</t>
        </is>
      </c>
      <c r="F4669" t="inlineStr">
        <is>
          <t>平安時代前期；古墳時代前期；鎌倉時代前期；白亜紀前期；昭和前期</t>
        </is>
      </c>
      <c r="G4669" t="inlineStr">
        <is>
          <t>前期中等教育；前期旧石器時代；前期チャールキヤ朝；前期量子論；前期難波宮</t>
        </is>
      </c>
      <c r="H4669" t="n">
        <v>29</v>
      </c>
      <c r="I4669" t="inlineStr">
        <is>
          <t>中期も多くが前期旧石器を捏造をした人物が関与していて否定的である。；ウィトゲンシュタインの哲学は極めて単純には前期と後期に分けられる。；一方、中学校・高校では、前期・後期ごとを任期としている学校が多い。；後期幕領期には箱館通宝の発行が行われ、前期同様道路開削も行われた。；同時にそれは彼の治世が前期帝政の中で最も平穏を維持した証でもある。；この傾向は前期でも多少見られたが、後期では特に盛んになった。；また、前期型車体と後期型車体の形状は別物に近く異なった物になっている。；は前期は3位、後期は終盤まで優勝の可能性がありながら2位に終わる。；ラッサールの著作は1862年を境に前期と後期に分類することができる。；前期の文芸は京都大阪といった上方が中心で、後期は江戸が中心となる。；前期エーゲ文明では基本的に戦争もなく比較的平和な時代だったと推測される。；前期白亜紀に出現した正鰐類は新鰐類の中でも派生的なグループである。；前期太平天国は、洪秀全と楊秀清の二人に運営されていたといってよい。；期間は五年、前期二年が大学予科に相当、後期三年が医学部に相当した。；縄文時代前期だと推定される貝塚が発見されており、その歴史は古い。；無文土器は紀元前300年頃を境にして大きく前期と後期に分けられている。；車体断面は前期と後期で異なっており、併結時にはその差が明らかであった。；また昭和前期にも日本人は短気というイメージがあったことが指摘されている。；江戸時代前期には、直訴や逃散など武力を用いない一揆が主に行われた。；が全部信ぜず、半分とし、とにかく四日に立つと、前きめた通りにする。；前部フロートには一体式の前期型と左右分割式の後期型があった。；以下のほか、番組前期にはたかね以外の子役タレントも出演していた。；彼の代の昭和前期に三条西伯爵家の邸宅は東京市豊島区高田本町にあった。；前期では、当時の朝日放送のアナウンサーがナレーションを担当していた。；それを1回ずつに区切って前期と後期に分けてステージ順位を決める。；前期型と後期型があり、後者は様々な小改良を受けている。；明治以降から昭和前期までは皇族の埋葬方法は基本的に土葬であった。；前期には3組の中から総合得点が高かった家族が、後期には勝利した家族が挑戦。；創設から第65期までは年に前期後期の2期制で行われていた。</t>
        </is>
      </c>
      <c r="J4669">
        <f>HYPERLINK("https://www.weblio.jp/content/前期", "词义详情")</f>
        <v/>
      </c>
      <c r="K4669">
        <f>HYPERLINK("https://yourei.jp/前期", "查看例句")</f>
        <v/>
      </c>
    </row>
    <row r="4670">
      <c r="A4670" t="inlineStr">
        <is>
          <t>選挙</t>
        </is>
      </c>
      <c r="B4670" t="inlineStr">
        <is>
          <t>成功</t>
        </is>
      </c>
      <c r="C4670" t="inlineStr">
        <is>
          <t>読み方：せんきょ
［名］(スル)
１組織や集団において、その代表者や役員を投票などによって選出すること。「議長を—する」
２選挙権を有する者が、全国または一定区域において、一定数の議員・都道府県知事・市町村長など公職に就く者を投票によって選出すること。「衆議院議員を—する」</t>
        </is>
      </c>
      <c r="D4670" t="inlineStr">
        <is>
          <t>選挙区(5%)；選挙で選ばれる；選挙前；選挙戦；選挙民</t>
        </is>
      </c>
      <c r="E4670" t="inlineStr">
        <is>
          <t>選出</t>
        </is>
      </c>
      <c r="F4670" t="inlineStr">
        <is>
          <t>大統領選挙；本選挙；知事選挙；同選挙；連邦議会選挙</t>
        </is>
      </c>
      <c r="G4670" t="inlineStr">
        <is>
          <t>選挙戦；選挙権；選挙運動；選挙において；選挙後</t>
        </is>
      </c>
      <c r="H4670" t="n">
        <v>29</v>
      </c>
      <c r="I4670" t="inlineStr">
        <is>
          <t>こうして長年にわたり何度も頓挫してきた新たな選挙制度を実現させた。；しかし、軍人は国民に選挙で選ばれたわけではない、ただの官吏である。；その選挙では当初ウィリアム・S・テイラーが当選したと見られていた。；ただし、曹洞宗の規則では選挙時の買収の禁止という項目は存在しない。；しかしながら、反対派の活動が徹底的に排除される中での選挙であった。；この選挙で、自身も「黒・白・赤」から出馬して国会議員に初当選した。；イギリスは選挙実施後に独立の承認を決定することとした。；しかし、西側の政府の大半が選挙にあからさまな不正があったと非難した。；今回の選挙は独立後のグルジアで最も自由な選挙のうちの一つだったと考えられる。；ケンタッキー州は奇数年に州役人の選挙を行う、国内5州の1つである。；ニュージャージー州は州役人の選挙を奇数年に行う国内5州の一つである。；この選挙では、公明支持者の8割以上が翁長に投票したと見られている。；同じ民選でも日本のような別日に民選選挙が行われる両院制と異なる。；選挙はおおむね公正なものとされるが、政党や政治風土には問題が多い。；各郡は通常郡政委員会と呼ばれる立法府があり、委員は選挙で選ばれている。；大統領選挙の行われる年の前年に行われており、最近の場合は2011年だった。；シンシナティの市政選挙が現在の形になるまでには紆余曲折があった。；特に選挙が行われる直前にはその被害者の数が増えると言う。；国防・安全保障政策の基本的な判断と決定は選挙で選出された国民の代表が行う。；農業地帯の政治と経済の権力を維持するために、古い選挙区割りに固執した。；同日に行われた下院選挙と上院選挙でも共和党は過半数を取れなかった。；同日に行われた下院選挙と上院選挙でも民主党は両方で過半数を獲得した。；オランダは選挙によって選ばれた議会を持った初めての主権国家の一つである。；参議院と同じく全国民を代表する、選挙により選出された議員で組織される。；他州と同様に知事の内閣を構成する州役人の多くも州民の選挙で選ばれている。；大統領制は独自に選挙を経て大統領を選出する。；これが選挙の最も重要な側面にさえなっていた。；このようにファーストネームで選挙戦を戦うというのは極めて異例である。；彼は2004年選挙での党の指名を獲得することを試みた。</t>
        </is>
      </c>
      <c r="J4670">
        <f>HYPERLINK("https://www.weblio.jp/content/選挙", "词义详情")</f>
        <v/>
      </c>
      <c r="K4670">
        <f>HYPERLINK("https://yourei.jp/選挙", "查看例句")</f>
        <v/>
      </c>
    </row>
    <row r="4671">
      <c r="A4671" t="inlineStr">
        <is>
          <t>専業主婦</t>
        </is>
      </c>
      <c r="B4671" t="inlineStr">
        <is>
          <t>成功</t>
        </is>
      </c>
      <c r="C4671" t="inlineStr">
        <is>
          <t>読み方：せんぎょうしゅふ
職に就かないで、家事に専念する主婦。</t>
        </is>
      </c>
      <c r="D4671" t="inlineStr">
        <is>
          <t>専業主婦世帯；専業主婦志向</t>
        </is>
      </c>
      <c r="E4671" t="inlineStr">
        <is>
          <t>主婦；大奥様；家刀自</t>
        </is>
      </c>
      <c r="F4671" t="inlineStr">
        <is>
          <t>引退し専業主婦</t>
        </is>
      </c>
      <c r="H4671" t="n">
        <v>29</v>
      </c>
      <c r="I4671" t="inlineStr">
        <is>
          <t>それは母が専業主婦であって父の食事を用意するのが母の仕事だからだ。；その時いつのまにか専業主婦にされていた二十歳の私はどうしたか。；また、専業主婦のクリスティーナは夫と二人の幼い娘と幸せな生活を送る。；普通、この時刻に五分も立っていれば子連れの専業主婦が通るものだ。；だから「専業主婦だって立派な仕事です」なんて口が裂けても言わない。；父は仕立て屋、母は専業主婦であり、兄弟のは俳優として活動している。；彼女は結婚したとたんに、待ってましたとばかりに会社をやめて専業主婦になった。；外国で会社を経営している父と専業主婦の母、そして1人息子という家庭。；というわけで、今の私はちょっと裕福なだけのただの専業主婦である。；結婚をして専業主婦になり、私は毎日何時間でも眠ってもいい生活を手に入れた。；多くは女性であり、とりわけ専業主婦の割合が高いと言われている。；父親は会社員で母親は専業主婦、ごくありきたりの家庭に育ったようです。；専業主婦で一度も働いたことのない人だけれど、外へ出たり人と関わったりすることが好きなのだ。；確かこの人も専業主婦だったはずだが、結婚前はどこかの研究所にでもいたのだろうか?；主人公は会社勤めのサラリーマン、妻は専業主婦で固定されている。；たった二年で専業主婦になる女もいれば、放火殺人の被害者になる女もいる。；しかしそれでも、色ぼけの専業主婦と思われているよりかははるかにましである。；詳細なプロフィールは不明だが、デビュー時は46歳の専業主婦としていた。；そんな母にコンプレックスを抱き続け専業主婦の道を選んだ娘。；そして現実の私は、自分でも感心するほど何も持っていない、ただの専業主婦だ。；それにしてもハルヒの手際のよさは、解ってはいたが専業主婦顔負けだ。；たとえ結婚しても、きみを専業主婦として家庭に縛りつける気はない。；ここでの夫婦というのは会社員の夫と専業主婦の妻という形である。；母から解放され、専業主婦に納まる夢も叶い、毎日を自由に過ごした。；お気楽な専業主婦、と軽蔑していた女の学歴の高さに恐れ入った顔だった。；その証拠に、私は別に引退したわけではなく、単に仕事がなかったから専業主婦になったのだ。；大学卒業後は政治家の秘書になることを考えていたが、父は専業主婦になることを望んでいたという。；ただし従順な専業主婦を推進しているとフェミニストから批判されることもあった。；と彼女に訊ねられたら、専業主婦と胸を張って答えられるかどうか怪しかった。</t>
        </is>
      </c>
      <c r="J4671">
        <f>HYPERLINK("https://www.weblio.jp/content/専業主婦", "词义详情")</f>
        <v/>
      </c>
      <c r="K4671">
        <f>HYPERLINK("https://yourei.jp/専業主婦", "查看例句")</f>
        <v/>
      </c>
    </row>
    <row r="4672">
      <c r="A4672" t="inlineStr">
        <is>
          <t>先決</t>
        </is>
      </c>
      <c r="B4672" t="inlineStr">
        <is>
          <t>成功</t>
        </is>
      </c>
      <c r="C4672" t="inlineStr">
        <is>
          <t>読み方：せんけつ
［名］(スル)先に決めること。他に先立って解決すべきこと。「—すべき課題」</t>
        </is>
      </c>
      <c r="D4672" t="inlineStr">
        <is>
          <t>先決問題(5%)；先決条件；先決関係</t>
        </is>
      </c>
      <c r="H4672" t="n">
        <v>29</v>
      </c>
      <c r="I4672" t="inlineStr">
        <is>
          <t>しかし、それはまだ先の話で、当面の課題を解決することが先決だった。；自殺であろうと他殺であろうと、身元をはっきりさせるのが先決である。；かなたのことも心配だが、今は自分の身の安全を確保する方が先決だ。；第一何によって自分を新にしたものであろうかという事が先決である。；仕返しをするにしても、まずここを無事に脱出することが先決である。；すぐにあの三人をどこかに呼び集めて、事をはっきりさせるのが先決でしょう。；とにかく今は人気の感じられない場所へと移動するのが先決だ。；いいわ、それより今のところは下まで生きて着くのが先決だわよ。；だがその疑問を解消する前に、目の前の事態をどうにかするのが先決だった。；相手の正確な位置と動きをつかんでおくことが、何よりも先決だ。；いまは、そんなことよりも、この桎梏の状況をどう抜け出すかが先決だ。；ほかの部屋の女性たちのことは気にかかったが、今は自分が逃げることが先決だった。；早く裕生たちのもとへ行きたかったが、この男を倒すのが先決だった。；いまは、そんなことより深雪に向けられた疑いの眼を晴らすことが先決だ。；第一何によつて自己を新にしたもので有らうか、といふ事が先決せられねばならぬ。；大学に入るのが先決だっていうのも、まんざら間違ってないんだからね!!；新たな気迫をもって、インパール攻略を意図するのが先決ではないか。；ケーラたちは、もう前に出ているし、アクシズの足を止める方が先決だ!；よけいなことは言わず、相手の持っているネタを確かめるのが、先決だ。；それより、この際、むしろ君の潔白を証明することの方が先決じゃないかな。；とにかく今はあれこれ考えるよりカディルを見つけることが先決だった。；いまのところ、われわれの側面を守るため灰色の男たちを無力にするのが先決だ。；とにかく我々の邪魔にならないようにすることが先決だ。；今はフェリへの心配に先を急ぐよりも、この障害を倒すことが先決だ。；今はただ、何とかこの男の隙を窺う事が先決だと判断したのだ。；それより、あんたは警察で様子を聞いてくることが先決だな。；それ以上先に進むのはためらわれたし、なにより雪を避けるのが先決の問題であった。；「訊きてえことだらけだが、傷の治療が先決だな」 俺はザザに言った。；そいつを見きわめて置く方が先決問題だと思ってるんだがな。</t>
        </is>
      </c>
      <c r="J4672">
        <f>HYPERLINK("https://www.weblio.jp/content/先決", "词义详情")</f>
        <v/>
      </c>
      <c r="K4672">
        <f>HYPERLINK("https://yourei.jp/先決", "查看例句")</f>
        <v/>
      </c>
    </row>
    <row r="4673">
      <c r="A4673" t="inlineStr">
        <is>
          <t>先月</t>
        </is>
      </c>
      <c r="B4673" t="inlineStr">
        <is>
          <t>成功</t>
        </is>
      </c>
      <c r="C4673" t="inlineStr">
        <is>
          <t>読み方：せんげつ
今月のすぐ前の月。前月。</t>
        </is>
      </c>
      <c r="D4673" t="inlineStr">
        <is>
          <t>先月末(4%)；先月号；先月分；先月以来；先月頃</t>
        </is>
      </c>
      <c r="G4673" t="inlineStr">
        <is>
          <t>先月二十五日；先月三十日；先月十五日；先月二十三日；先月二十二日</t>
        </is>
      </c>
      <c r="H4673" t="n">
        <v>29</v>
      </c>
      <c r="I4673" t="inlineStr">
        <is>
          <t>先月はここから五十メートルも離れていないところで発砲事件があった。；先月の半ば頃、探索者の救助にすこし協力した際にその場にいたからだ。；先月行われたF2レースに集まった美人ギャルたちを追った写真である。；先月の十日まで、やつらがやっていたこと、それだけが手がかりなんだ。；先月末から夫人は北海道へ、田居君父子は京都へと旅行していたという。；先月、店に電話してきた彼女の父親も、似たような笑い方をしていた。；先月は二晩も続けて呼ばれたから、こんどもそうだときめてかかっていた。；先月末、何事もなかったかのように腹痛だけがきた夜に思ったことを。；先月の末に来てすぐ注文したのだが、すっかり忘れてしまっていた。；先月まではまだ灰色だった母親の髪がいまでは真っ白になっていた。；先月の十八日以来初めて外出したので田舎から帰って来た時の様な気持がした。；山下さんのところなんか、お嫁さんの荷物の入るのが先月だったでしょ?；今月の卵子にジャストの男がいて、それは先月の男とはきっと違うのだ。；召集は先月末から極端に多くなり、三十六七歳の第二国民兵も多く出て行く。；おかげ様ですっかりよくなって、先月から日本に戻ってきています。；先月ちゃんと筋を立てて、一日から円朝の連続ものをききにいっていたのさ。；ついでに使用料金を見ると先月は十四万二五〇〇円も使っていた。；今月の情報を確保するためには先月の情報を忘却しなければいけない。；しかも先月ごろから妻の愛し方は異常なほど激しくなっていた。；先月の末であったか、湯にはいっていると「面会」と言って呼びに来た。；先月こっちへでてきたんだが、どうだ、おまえ、すぐにもらう気はないか?；先月末の頃の特別警戒は、この攻撃の折に出されたものであった。；鉄風 先月から給料を上げる約束だったのに、上げてやらなかったろう。；俺は先月の事件で触れた『あの感覚』を、このサイトからも感じ取った。；彼女は渋谷にある女子大の一年生で、先月事務所に入ってきたばかりだ。；娘を片付けて安心したのか、磁武は病を発し先月からまた床についている。；彼女によると、先月もNTTからの通知書が来なくて変だと思ったらしい。；私共は、先月の三十日に、自分等の結婚をアナウンスした許りであった。；先月は読む方ばかりであったが、こんどは、それと書く方とを半々にやる。</t>
        </is>
      </c>
      <c r="J4673">
        <f>HYPERLINK("https://www.weblio.jp/content/先月", "词义详情")</f>
        <v/>
      </c>
      <c r="K4673">
        <f>HYPERLINK("https://yourei.jp/先月", "查看例句")</f>
        <v/>
      </c>
    </row>
    <row r="4674">
      <c r="A4674" t="inlineStr">
        <is>
          <t>宣言</t>
        </is>
      </c>
      <c r="B4674" t="inlineStr">
        <is>
          <t>成功</t>
        </is>
      </c>
      <c r="C4674" t="inlineStr">
        <is>
          <t>読み方：せんげん
［名］(スル)個人・団体・国家などが、意見・方針などを外部に表明すること。また、その内容。「国家の独立を—する」「人権—」「—書」</t>
        </is>
      </c>
      <c r="D4674" t="inlineStr">
        <is>
          <t>宣言する(11%)；宣言される；宣言書；宣言文；宣言通り</t>
        </is>
      </c>
      <c r="E4674" t="inlineStr">
        <is>
          <t>発表；主張；触れ；広告；公表</t>
        </is>
      </c>
      <c r="F4674" t="inlineStr">
        <is>
          <t>開会宣言；引退宣言；解散宣言；敗北宣言；都市宣言</t>
        </is>
      </c>
      <c r="G4674" t="inlineStr">
        <is>
          <t>宣言的記憶；宣言的知識；宣言型プログラミング；宣言型言語；宣言若しくは信条</t>
        </is>
      </c>
      <c r="H4674" t="n">
        <v>29</v>
      </c>
      <c r="I4674" t="inlineStr">
        <is>
          <t>王の公式な宣言はなかったものの、宮廷の位置が事実上の首都となった。；このため一部のユーザーはXEmacsの死を宣言するようになった。；もし条件を一つでも満たしていない場合は宣言した者の負けとなる。；is式の構文が拡張され、型の後ろに変数名を宣言できるようになった。；マルクスは1864年に設立された国際労働者協会の創立宣言を書いた。；リトアニアの一方的な独立回復宣言を受け、ソ連政府は経済封鎖を実施。；このとき、カードの数字を、プレイヤー全員に聞こえるように宣言する。；関数のオーバーロードは名称が同じ複数の関数を宣言できる機能である。；「入玉宣言法」のルール導入から8年あまり経過しての初適用であった。；ここで class は型クラスの宣言であることを示す予約語である。；親の配牌時にしか宣言できない役であるため、親にのみ認められる役である。；ローマ教皇インノケンティウス13世はこの宣言の受け入れを拒否した。；従来の使徒信条を唱えることもできるが、略式の信仰宣言は廃止された。；引退では以前から興味のあった教育の分野に進むと宣言。；独立宣言とは、独立の際に発せられる、自国が独立した旨の宣言である。；ソブーザ2世の政党結成に対する発令や宣言は現在も廃止されていない。；威厳に満ちたディアナは相互に理解を深めるためパーティの開催を宣言。；このXML宣言は、XMLのどのバージョンが使われているかなどを示す。；これを受けて2006年6月3日にモンテネグロ議会が独立を宣言した。；場に出せるカードを持っていない場合、プレイヤーはパスを宣言する。；第一次世界大戦の勃発後にはカピチュレーションの一方的な廃止が宣言されている。；この攻撃用プログラムhでは、変数xを宣言が宣言されているものとする。；またリベリア内戦などの介入なども関わることにしないと宣言した。；XMLには、事前宣言された実体として次の表に示す5つの実体がある。；この宣言は、やがて日本にも入ってきて、日本も口話法が主流になっていった。；イギリスから最初に独立した13州の中でも、最初に独立を宣言した植民地だった。；条件を満たしている場合でも、本人の意思により宣言しなければ成立しない。；アレクシオスは後に自らを皇帝と宣言し、トレビゾンドにて即位した。；しかし乱歩は小説の出来に満足できず休筆宣言をし、各地を放浪したという。</t>
        </is>
      </c>
      <c r="J4674">
        <f>HYPERLINK("https://www.weblio.jp/content/宣言", "词义详情")</f>
        <v/>
      </c>
      <c r="K4674">
        <f>HYPERLINK("https://yourei.jp/宣言", "查看例句")</f>
        <v/>
      </c>
    </row>
    <row r="4675">
      <c r="A4675" t="inlineStr">
        <is>
          <t>前後</t>
        </is>
      </c>
      <c r="B4675" t="inlineStr">
        <is>
          <t>成功</t>
        </is>
      </c>
      <c r="C4675" t="inlineStr">
        <is>
          <t>読み方：ぜんご
［名］(スル)
１ある位置を境にした、まえとうしろ。「—の車輪」「—を見回す」
２時間的にみた、まえとあと。「大会開幕—の慌ただしさ」
３物事の順序や相互の関連。また、筋道。「話に—のつながりがない」「—の見境もなく買いまくる」
４
㋐順序が逆になること。あとさきになること。「話が—する」「紹介が—する」
㋑ほとんど間隔をおかずに続くこと。「両者が—してゴールする」
５出来事の、おおよその時期。ころ。「結婚した—は生活が苦しかった」
６（接尾語的に）数量・年齢・時間などを示す語に付いて、その数値に近い意を表す。ぐらい。内外。「十人—」「三五歳—」「九時—」</t>
        </is>
      </c>
      <c r="D4675" t="inlineStr">
        <is>
          <t>前後編；前後不覚；前後方向；前後期；前後半</t>
        </is>
      </c>
      <c r="E4675" t="inlineStr">
        <is>
          <t>後先；前後ろ；ビフォーアフター</t>
        </is>
      </c>
      <c r="F4675" t="inlineStr">
        <is>
          <t>歳前後；メートル前後；四十前後；年前後；名前後</t>
        </is>
      </c>
      <c r="G4675" t="inlineStr">
        <is>
          <t>前後関係；前後期制；前後駅；前後矛盾；前後ろ</t>
        </is>
      </c>
      <c r="H4675" t="n">
        <v>29</v>
      </c>
      <c r="I4675" t="inlineStr">
        <is>
          <t>両チームは前後半それぞれ3回ずつのタイムアウトの権利を有している。；これは、梅雨時のために、前後の日も同様に雨や曇りが多いからである。；以上のバスを合計すると1日100本前後の高速バスが運行されている。；お前ごときに可能な技を、このぼくが使いこなせないわけがないだろう。；その一方で、メーカー側などでは80年前後保存が可能とする指摘もある。；以後毎年10校前後が開校し、数年のうちにほぼ現在の学校数となった。；これは状況証拠すなわち前後の事情からして、ありそうなことである。；これを実現するために御茶ノ水駅の前後に立体交差が設置されている。；この劇場公開版は、後にテレビ東京系で前後編に分けて全国放映された。；東部の主要都市サンタクルスが開発されたのも第二次世界大戦前後からである。；この年のリーグ戦は、前後半の区分がない1シーズン制で開催された。；やがてぜんごうと呼び方がかわり、江戸時代末には前後と記された。；現代の日本では、午後あるいは夕方から深夜12時前後までの営業が一般的。；トンネル抜け前後で粒子のエネルギーは変わらないが確率振幅は減少する。；この時の体験はその前後で日蓮の布教を大きく区分する意味を持つ。；前後編読切を経て長期連載となったが、『死神くん』より先に終了した。；右から左につづけて書かれ、前後とつなげるための結合形が発達している。；夫婦が銃殺される前後の映像もテレビ中継を通じて世界中に放映された。；日本国内の外国人畜産労働者数は、およそ1万人前後と推計されている。；なお、集落の前後が狭隘となっているため、バスの運行は設定されていない。；これは車輪がついた篭を前後の人間の力で移動させるものである。；またこの前後で挙げた小説を原作として作られたアニメ作品も多い。；大本は小本の前後に序と結びの部分を加筆したものともいわれている。；区間列車の影響などにより、それを含まない区間での間隔は多少前後がある。；日本の七夕祭りは、新暦7月7日や、その前後の時期に開催されている。；八類の分類は成立前後からすでに通行していたと思われる。；香港返還の前後に、政府は銀行の基本的なルールや規制を作った。；この前後から、岳の親離れの兆候は様々な場面で表れるようになった。；また六国史の中では前後の史書に比べ和歌を多く収録していたことが知られる。</t>
        </is>
      </c>
      <c r="J4675">
        <f>HYPERLINK("https://www.weblio.jp/content/前後", "词义详情")</f>
        <v/>
      </c>
      <c r="K4675">
        <f>HYPERLINK("https://yourei.jp/前後", "查看例句")</f>
        <v/>
      </c>
    </row>
    <row r="4676">
      <c r="A4676" t="inlineStr">
        <is>
          <t>先行</t>
        </is>
      </c>
      <c r="B4676" t="inlineStr">
        <is>
          <t>成功</t>
        </is>
      </c>
      <c r="C4676" t="inlineStr">
        <is>
          <t>読み方：せんこう
［名］(スル)
１
㋐他の人に先だって行くこと。前行。「—したグループと合流する」「—部隊」
㋑他の事柄よりも先に進むこと。「実力より人気が—する」「時代に—する意見」
２先にたって手引きをすること。先導すること。「地元の友人が—してドライブに出かける」
３スポーツの試合などで、相手よりも先に得点すること。始めにリードすること。「母校のチームが二点—する」「—馬」
４他に先だって行われること。「シンポジウムに—して講演会を開く」「—投資」
５それ以前に行われていること。「実存主義に—する思想」「—法規」</t>
        </is>
      </c>
      <c r="D4676" t="inlineStr">
        <is>
          <t>先行する(18%)；先行発売(2%)；先行配信(2%)；先行上映；先行策</t>
        </is>
      </c>
      <c r="E4676" t="inlineStr">
        <is>
          <t>後；先；以後；将来；率いる</t>
        </is>
      </c>
      <c r="F4676" t="inlineStr">
        <is>
          <t>先行作品；先行リリース；先行選手；先行導入；先行販売</t>
        </is>
      </c>
      <c r="G4676" t="inlineStr">
        <is>
          <t>先行き；先行配信；先行放送；先行研究；先行予約</t>
        </is>
      </c>
      <c r="H4676" t="n">
        <v>29</v>
      </c>
      <c r="I4676" t="inlineStr">
        <is>
          <t>改称が移転に先行していたり、移転予定が実現しなかったりした例もある。；よって、存在に先行する存在はありえず、存在の後にくる存在もない。；また、磁気テープの利用増加は日本国外の方が日本よりも先行している。；実際の改造は同時期の多くの私鉄同様、認可に先行していたと推定される。；これは戦前の交通統合が関東・関西地区と比べて先行したことが影響している。；オープニングの映像には後半に登場する怪獣も先行して登場している。；また、詩が小説に先行していることも、その文章に大きな影響を与えている。；スタートで折り合いを欠いたが、先行馬の背後に収まる好位に位置した。；尚、八王子市単独の判断で実施可能な工事は先行して段階的な整備中である。；この勉強室は常に人気があり先行体験を紹介した書籍がある。；ただし、直線が比較的短いため、先行タイプの選手がやや有利とされている。；日本の音楽業界ではシングルの発売が先行するケースが多く欧米と異なる。；は先行実験器である大型電子陽電子加速器 に接続する形で建造されている。；発売当時、市場で先行していた任天堂のゲームボーイに対抗して発売した。；これは、坂本城などの先行する天守よりも豪華かつ大規模なものだった。；言い換えると理論が先行するのではなく、臨床での観察が中心となる。；タマモクロスは、後方からではなく2番手で先行して好位に位置した。；スタートから後方に構え、先行するスペシャルウィークをマークしていた。；この先行試作車両は他車と比べて乗務員扉の高さが少し低いのが特徴とされている。；物語やタイトルなどは先行作品を踏襲することが多いが、そうではない例もある。；また、10日にニューヨークで開催されるコミコンでも先行上映された。；これによると多くのものが存在すると仮定しつつ、世界全体が他の全てに先行する。；XMLに関係する多くの先行技術がSGMLを含めて存在している。；基本的な走行機器は先行して登場した3220系に準拠している。；先行製造車落成後に一部設計変更が実施されたため以下のような差異がある。；なお、これに先行して6月24日には「」のウェブサイトが公開された。；ウルク古拙文字に先行して商取引や交易の記録用に盛んに用いられた。；映画本編に先行して登場したシリーズ初のキャラクターである。；双葉山は立合いに相手を良く見るが、攻撃はほとんど相手に先行する。</t>
        </is>
      </c>
      <c r="J4676">
        <f>HYPERLINK("https://www.weblio.jp/content/先行", "词义详情")</f>
        <v/>
      </c>
      <c r="K4676">
        <f>HYPERLINK("https://yourei.jp/先行", "查看例句")</f>
        <v/>
      </c>
    </row>
    <row r="4677">
      <c r="A4677" t="inlineStr">
        <is>
          <t>線香</t>
        </is>
      </c>
      <c r="B4677" t="inlineStr">
        <is>
          <t>成功</t>
        </is>
      </c>
      <c r="C4677" t="inlineStr">
        <is>
          <t>読み方：せんこう
１白檀(びゃくだん)・丁字(ちょうじ)・沈香(じんこう)などの香料の粉を松やになどで練り固めて線状にしたもの。火をつけて仏前に供える。
２「線香代2」の略。
「その代り—は自腹を切りますよ」〈佐藤春夫・侘しすぎる〉</t>
        </is>
      </c>
      <c r="D4677" t="inlineStr">
        <is>
          <t>線香立て；線香皿；線香をあげさせ；線香を上げさせ；線香くさい</t>
        </is>
      </c>
      <c r="F4677" t="inlineStr">
        <is>
          <t>蚊やり線香；つて線香；御線香；香水線香；長い線香</t>
        </is>
      </c>
      <c r="G4677" t="inlineStr">
        <is>
          <t>線香代；線香姉妹</t>
        </is>
      </c>
      <c r="H4677" t="n">
        <v>29</v>
      </c>
      <c r="I4677" t="inlineStr">
        <is>
          <t>お線香でもあげさせてもらいに行こうかと思って、連絡先を聞くために。；この線香時計に使われた線香は線香時計専用に調整されたものであった。；スギの葉から作られる線香は匂いよりも煙の量を重視したものである。；顔にはすでに白い布がかけられ、頭の先には蝋燭と線香がたかれている。；一本一本線香で焼いているので、毛も目立たないようになっております。；線香を上げにくるどころか、彼の死を知っているのかどうかも不明だった。；この二つの神の前には、いまはもう線香の煙はあがっていなかった。；ぼくは何度も何度も線香の煙を手ですくいあげ鼻の頭にもってきた。；キリスト教でも線香をあげるのだろうか、と妙なことを考えながら祈った。；それなればこそ、われわれは線香の火を消してはならないのである。；机の上には女の写真が飾られ、少し幅が広い中国風の線香がたてられている。；自分の歌は線香の燃え切らない内に出來て仕舞つたが寧ろ意外であつた。；どちらの家にも事前に連絡を入れ、線香を上げさせてもらう許可は取ってある。；私は父の遺体にも焼香する気持を併せて残りの線香に火をつけて合掌した。；線香は周辺で栽培が盛んであった除虫菊と結びついて生まれた産業である。；市太老が供えたらしい線香と正月用の餅が、木の台の上に置かれている。；女がこの線香をふたりのものと感じているように思えたのだ。；だが実際に線香をあげて玄関を出ていった人は一人もいなかった。；なに、きょうは古い仏の命日で、思い出して線香をあげてみましたのさ。；お守りしていれば線香も上げねばならぬし、花も供えなけりゃならない。；勿論線香を献じたり、紙銭を焚いたりするものも、想像以上に大勢ある。；そして四本の線香によく火がついたのを見て、安心して家路についた。；既に仏山の線香街で詠春拳の武館を開いていたため面倒を見る形となった。；宇津木は仏壇の前に持ってきた花を置き、線香をあげて手を合わせた。；男も女も、線香に火を附けたのを持って来て、それを砂に立てて置いて帰る。；この家の内部にも、古い線香のような匂いが漂っているみたいに感じられる。；線香は短くなったまま、薄い煙をあげていたが、匂いはしなかった。；それで気がつくと、隣りの部屋からかすかに線香の匂いが漂って来ている。；お三輪は思い出したように、仮の仏壇のところへ線香をあげに行った。</t>
        </is>
      </c>
      <c r="J4677">
        <f>HYPERLINK("https://www.weblio.jp/content/線香", "词义详情")</f>
        <v/>
      </c>
      <c r="K4677">
        <f>HYPERLINK("https://yourei.jp/線香", "查看例句")</f>
        <v/>
      </c>
    </row>
    <row r="4678">
      <c r="A4678" t="inlineStr">
        <is>
          <t>選考</t>
        </is>
      </c>
      <c r="B4678" t="inlineStr">
        <is>
          <t>成功</t>
        </is>
      </c>
      <c r="C4678" t="inlineStr">
        <is>
          <t>読み方：せんこう
［名］(スル)能力・人柄などをよく調べて適格者を選び出すこと。「受賞者を—する」「書類—」</t>
        </is>
      </c>
      <c r="D4678" t="inlineStr">
        <is>
          <t>選考委員(18%)；選考会(13%)；選考基準(3%)；選考対象(2%)；選考レース</t>
        </is>
      </c>
      <c r="E4678" t="inlineStr">
        <is>
          <t>選択；選ぶ；選定；選抜；分ける</t>
        </is>
      </c>
      <c r="F4678" t="inlineStr">
        <is>
          <t>代表選考；次選考；国内選考；強化選手選考；代表選手選考</t>
        </is>
      </c>
      <c r="G4678" t="inlineStr">
        <is>
          <t>選考過程；選考採用</t>
        </is>
      </c>
      <c r="H4678" t="n">
        <v>29</v>
      </c>
      <c r="I4678" t="inlineStr">
        <is>
          <t>どちらの賞も、テレビ業界で経験豊富な技術者が選考委員となっている。；選考は毎年1月に新聞・放送の競馬担当記者の投票を元に行われている。；出場する場合は国内の選考会を兼ねた大会等で代表を決めなくてはならない。；外国作品の場合、フランスにて翻訳出版された時に選考の対象となった。；最終選考まで残り、本人も合格を確信していたというが、結局落選した。；各国または各地域での参加派遣は選考会の参加枠によって決められる。；様々な演劇賞の選考委員を務めるほか、学校演劇に使われる脚本なども執筆。；また選考合格後も、事例などを扱いながら具体的に学ぶ研修が課される。；ブッカー賞が高い評価を得ている原因の一つに、その選考の仕方がある。；しかし、選考や授賞式などの諸行事は他の部門と合同で実施されている。；学部を卒業した者などが入学者選考試験を経て、合格したものが入学できる。；かつては選考委員の作品も受賞対象とされ、受賞作が数作あった。；ただスカラシップの選考基準や具体的な内容はメーカーごとに異なっている。；選考年の前年に発行され、読者・選考委員から推薦された単行本が対象。；選考委員全員が一致して推したのは、最近では珍しいのではないか。；選考の対象となる作品は、その年に新聞・雑誌等で発表されたすべての作品である。；受賞発表・選考内容等は毎年3月発行のアサヒカメラ誌に掲載される。；年齢以外に選考会成績などの条件はなく、誰でも参加できるオープン大会である。；選考にはおよそ1年の期間が費やされ、その過程は秘密とされている。；WBC選考メンバーに入るも、日本代表のメンバー入りはできなかった。；第40回大会・第42回大会 で選考要領の一部見直しが行われている。；この賞は選考委員が各自ノミネートを行うため、個人の応募ができない。；また、最終選考中でデビューした作家については本表より割愛している。；地域の利便性を考慮して選考したため、周辺他区に関係の深い名称のものもある。；リ・ガズィの制式採用モデルを選考する過程で生まれた機体のひとつ。；音楽、美術などの特技に優れた実績を上げた学生のための特技者選考がある。；しかしこの一件は選考委のやり方が強引だと思っている人々の反発を買った。；オリンピック・世界柔道選手権の開催年にはそれぞれの代表選考会となる。；最終選考では高橋長英が隣の番号で、合格していれば花の15期生だった。</t>
        </is>
      </c>
      <c r="J4678">
        <f>HYPERLINK("https://www.weblio.jp/content/選考", "词义详情")</f>
        <v/>
      </c>
      <c r="K4678">
        <f>HYPERLINK("https://yourei.jp/選考", "查看例句")</f>
        <v/>
      </c>
    </row>
    <row r="4679">
      <c r="A4679" t="inlineStr">
        <is>
          <t>専攻</t>
        </is>
      </c>
      <c r="B4679" t="inlineStr">
        <is>
          <t>成功</t>
        </is>
      </c>
      <c r="C4679" t="inlineStr">
        <is>
          <t>読み方：せんこう
［名］(スル)ある一つのことを専門に研究すること。「社会学を—する」</t>
        </is>
      </c>
      <c r="D4679" t="inlineStr">
        <is>
          <t>専攻卒業(5%)；専攻修士課程(3%)；専攻修了(2%)；専攻博士課程(2%)；専攻教授</t>
        </is>
      </c>
      <c r="F4679" t="inlineStr">
        <is>
          <t>副専攻；演劇専攻；声楽専攻；ピアノ専攻；作曲専攻</t>
        </is>
      </c>
      <c r="G4679" t="inlineStr">
        <is>
          <t>専攻長；専攻課程；専攻建築士</t>
        </is>
      </c>
      <c r="H4679" t="n">
        <v>29</v>
      </c>
      <c r="I4679" t="inlineStr">
        <is>
          <t>試験内容は、専攻する学問に関連する領域における論文を作成するもの。；専攻選択は何回でも変えられるが三年目には決定しなければならない。；法政大学でアメリカ演劇を専攻したことがきっかけで俳優の道に進む。；オープニングやエンディングの音楽は専攻など用途別に決められている。；なお、韓国の大学は大学内の専攻組織の構成が日本と異なっている。；大気海洋研究所が受け持っている大学院の専攻の一覧は次の通りである。；各研究科は独立しており、それぞれは複数の専攻で構成されている。；アメリカ文学を専攻し、トニ・モリソンの論文で優秀な成績で卒業した。；大学時代の専攻は数学であり、作品内に数学が登場することもある。；専攻分野によっては職歴や仕事・社会での経験も大きく重視される場合がある。；幼少期から女優を目指しており、大学では国際関係と演劇を専攻した。；学科の中で、さらに楽器や分野別に専攻、専門クラスが区分けされている。；アメリカ合衆国の大学と同じシステムで、専攻と副専攻を組み合わせている。；同学は8つの学部を有し、100以上の専攻プログラムを提供している。；デビュー時には声楽専攻であったものの、まもなく作曲へ興味を移す。；もともとは物理学専攻であったが、後に西田幾多郎の下で哲学を学ぶ。；但し、同じ専攻分野であっても専攻区分が異なる場合は申請が可能である。；副専攻の制度を設けており、希望者は2年次から各コースの履修を始める。；大学では建築を専攻していたが、そこでCGの魅力に取り付かれる。；よって、学生に副専攻をとり、多専攻を避ける事を勧める教授が多い。；特に自然科学については専攻として一切設けられていないことが多い。；専攻分野の名称は大学により定められるとされているため、現在では様々な名称が用いられている。；大学では法学を専攻していたことから、弁護士や会計士の登場する作品も多数ある。；修士課程薬科学専攻は学部4年制卒業者に対して広く門戸を開いている。；イリノイ大学で環境を専攻していたが、演劇に変更し、卒業した。；かつての生活文化学科食物栄養専攻では栄養士資格が設置されていた。；彼女はカリフォルニア大学ロサンゼルス校で数学を専攻していた。；そのため、尾高は日本の最初の本格的な法哲学専攻者と称される。；専攻はスクール別になっているが、他のスクールの授業を受けることも可能である。</t>
        </is>
      </c>
      <c r="J4679">
        <f>HYPERLINK("https://www.weblio.jp/content/専攻", "词义详情")</f>
        <v/>
      </c>
      <c r="K4679">
        <f>HYPERLINK("https://yourei.jp/専攻", "查看例句")</f>
        <v/>
      </c>
    </row>
    <row r="4680">
      <c r="A4680" t="inlineStr">
        <is>
          <t>宣告</t>
        </is>
      </c>
      <c r="B4680" t="inlineStr">
        <is>
          <t>成功</t>
        </is>
      </c>
      <c r="C4680" t="inlineStr">
        <is>
          <t>読み方：せんこく
［名］(スル)
１告げ知らせること。「破産を—される」「審判がアウトを—する」
２刑事事件の公判廷で、裁判長が判決を言い渡すこと。「無罪を—する」
[補説]書名別項。→宣告</t>
        </is>
      </c>
      <c r="D4680" t="inlineStr">
        <is>
          <t>宣告される(7%)；宣告する(7%)；宣告文；宣告せら；宣告書</t>
        </is>
      </c>
      <c r="E4680" t="inlineStr">
        <is>
          <t>宣言；言い渡し；申し渡し；言い渡す；言渡し</t>
        </is>
      </c>
      <c r="F4680" t="inlineStr">
        <is>
          <t>有罪宣告；異端宣告；無罪宣告；判決宣告；破門宣告</t>
        </is>
      </c>
      <c r="H4680" t="n">
        <v>29</v>
      </c>
      <c r="I4680" t="inlineStr">
        <is>
          <t>球審がどちらを宣告するかは公認野球規則または大会の規定等に基づく。；これは球団から背番号の変更を宣告された際に自ら申し出たと述べている。；ただし、便宜上、役のように扱われて牌局終了時に宣告することが多い。；彼への判決の宣告文は残っており、そこにはその処刑方法が具体的に残っている。；信じて洗礼を受ける者は救われるが、信じない者は滅びの宣告を受ける。；唐突に参加していたパーティの解散を宣告された大剣使いの少年ライガ。；死刑宣告を受けながら顔を変えてシン・シティに戻ってきた男ドワイト。；激昂しやすい性格と、一度は死を宣告された経歴が原因ともいわれる。；作戦準備が何もできていないフィリピンに行くことは死の宣告であると思ったという。；傷は長さ1cm弱で浅かったが、対応した医師は傷痕は残ると宣告する。；癌を宣告されてからも、テレビドラマ『』に出演するなど仕事を続けた。；これはアフリカ大陸で他の国の元指導者が有罪を宣告された初のケースであった。；なお、ハートは軍法会議で死刑を宣告された後にアメリカに送還された。；刑の宣告猶予には、保護観察を伴うものとこれを伴わないものとがある。；必要な書類が全て揃っている以上、球審はプレーを宣告せざるを得なかった。；医師に死亡を宣告された後、生き返ったとされる事例が存在する。；一方のチームが以下のことを行った場合にフォーフィッテッドゲームが宣告される。；数時間後に更迭は無効と最高裁判所からの宣告がなされ、対立が高まった。；人々は彼に死を宣告するが、彼もまた自分の苦しみを終わらせるためそれを望んでいた。；この宣告は不可解なものであり、同年の珍プレー番組でも取り上げられた。；終身刑が宣告されて、ピショッタはなにもかもに見放されたと感じていた。；詩の中で突如息子の死を宣告しているのと緊密に符合させている。；第35回放送にてゲストの岩田光央から次回で打ち切りの宣告を受けた。；これが公判では事故死ではなく殺人であると判定され、死刑が宣告された。；彼女は自由と叫んだだけで死刑を宣告された息子の減刑を願い出る。；ブレアは連続殺人の罪で死刑宣告されており、執行を待つばかりである。；しかし、ここで政府に逮捕され、革命裁判所によって斬首を宣告された。；法改正を求めた立法府の動きも失敗し、死刑宣告は行われなくなった。；逃走した修道院長の訴えにより皇帝は市と伯に帝国アハト刑を宣告した。</t>
        </is>
      </c>
      <c r="J4680">
        <f>HYPERLINK("https://www.weblio.jp/content/宣告", "词义详情")</f>
        <v/>
      </c>
      <c r="K4680">
        <f>HYPERLINK("https://yourei.jp/宣告", "查看例句")</f>
        <v/>
      </c>
    </row>
    <row r="4681">
      <c r="A4681" t="inlineStr">
        <is>
          <t>全国</t>
        </is>
      </c>
      <c r="B4681" t="inlineStr">
        <is>
          <t>成功</t>
        </is>
      </c>
      <c r="C4681" t="inlineStr">
        <is>
          <t>読み方：ぜんこく
１その国全体。
２すべての国々。</t>
        </is>
      </c>
      <c r="D4681" t="inlineStr">
        <is>
          <t>全国的(6%)；全国規模；全国優勝；全国組織；全国高校選手権</t>
        </is>
      </c>
      <c r="E4681" t="inlineStr">
        <is>
          <t>全土；国全体；国中；国家全体</t>
        </is>
      </c>
      <c r="F4681" t="inlineStr">
        <is>
          <t>全国屈指；全国中継；全国放送；全国共通；全国代表</t>
        </is>
      </c>
      <c r="G4681" t="inlineStr">
        <is>
          <t>全国的；全国各地；全国ネット；全国紙；全国区</t>
        </is>
      </c>
      <c r="H4681" t="n">
        <v>29</v>
      </c>
      <c r="I4681" t="inlineStr">
        <is>
          <t>全国に公演回数が増加していることから、漫画制作がさらに遅れている。；上記のエリアでは、いずれも全国相互対応カード等の片利用が可能である。；九州では全ての県に空港があるなど全国に空港の建設が行われた。；この辺り一帯が沼地で、全国の白鳥伝説との関連が取り上げられている。；この政治クラブはフランス全国に支部をもち、組織的に革命を推進した。；蜂起と並行して第二回全国労働者・兵士代表ソヴィエト大会が開かれた。；このような処分は全国でも2例だけで、他は旧武蔵国や旧摂津国である。；「です」は明治時代に東京でよく使われるようになり、全国に普及した。；江戸時代より現在まで続く歴史のある銭湯が全国に複数存在している。；全国共通ルールでは試合は7回制だが、5回制としているルールもある。；明治初期に行われた分割や新設に伴い、全国の令制国の数は84となった。；この劇場公開版は、後にテレビ東京系で前後編に分けて全国放映された。；その後フグ食の文化は山口県を中心に全国でも復活し、今日に至っている。；江戸に限らず全国でもウナギは収穫されたため、どこでも食べられた。；粕取り焼酎は九州北部を中心に発達し、全国の清酒蔵で製造されている。；その結果、軽便鉄道が北海道を除く全国に爆発的に普及していった。；教育制度として、全国すべての子供に9年間の義務教育を適用している。；全国で同内容の教科書が配布され、各地域それぞれの言語で教育が行われた。；この全国紙と地方紙の区分は日本以外にも存在する。；このとき、中央から派遣した役人が全国の各地方を支配する郡県制が施行された。；同時にPiTaPaも並行導入し、全国相互利用にも対応している。；この巡回展は2018年夏頃まで、全国を巡回して行われる予定である。；昭和40年代から大阪を中心に普及し、後に全国的に広く使われるようになった。；目を見張るような高額賞金のレースは全国のホースマンに衝撃を与えた。；同時に新会社の営業エリアに合わせて全国14路線で管理局界の変更が行われた。；さらにバドミントンも盛んであり全国選手権大会が開催されている。；基地関係については全国約30箇所の飛行場周辺を対象に継続されていった。；それ以来、時宗・一向宗の僧が遊行に用いるようになり全国に広まった。；この対策はマスコミで取り上げられたこともあって、全国から意見が寄せられた。</t>
        </is>
      </c>
      <c r="J4681">
        <f>HYPERLINK("https://www.weblio.jp/content/全国", "词义详情")</f>
        <v/>
      </c>
      <c r="K4681">
        <f>HYPERLINK("https://yourei.jp/全国", "查看例句")</f>
        <v/>
      </c>
    </row>
    <row r="4682">
      <c r="A4682" t="inlineStr">
        <is>
          <t>繊細</t>
        </is>
      </c>
      <c r="B4682" t="inlineStr">
        <is>
          <t>成功</t>
        </is>
      </c>
      <c r="C4682" t="inlineStr">
        <is>
          <t>読み方：せんさい
［名・形動］
１ほそく小さいこと。ほっそりとして優美なこと。また、そのさま。「—な指」
２感情などがこまやかなこと。また、そのさま。デリケート。「—な感覚」「—な神経」
[派生]せんさいさ［名］</t>
        </is>
      </c>
      <c r="D4682" t="inlineStr">
        <is>
          <t>繊細な神経；繊細な感覚；繊細なタッチ；繊細な感情；繊細な心</t>
        </is>
      </c>
      <c r="E4682" t="inlineStr">
        <is>
          <t>細い；細かい；柔らかい；細か；華奢</t>
        </is>
      </c>
      <c r="F4682" t="inlineStr">
        <is>
          <t>繊細なボールタッチ；繊細な描線；繊細な心理描写；繊細な筆致；繊細優美</t>
        </is>
      </c>
      <c r="H4682" t="n">
        <v>29</v>
      </c>
      <c r="I4682" t="inlineStr">
        <is>
          <t>彼らがまた美と繊細さを重視する文化を創造してきたことにも注目した。；その一方で繊細な感覚も持っており最先進技術にもかなり精通している。；繊細なのでしつけはしかるよりもほめながら行うことで行う必要がある。；ゾウの足の裏は非常に繊細であり、そこからの刺激が耳まで伝達される。；初期の製品はハンドメイドで絵付けの美しさ、細工の繊細さで知られる。；詩風を一言で表現すると繊細であり、女性の様な弱々しさとの評がある。；胸節および腹節の全節において各節の後半部に細く繊細な縦筋が多数ある。；以降繊細な二枚目役を中心にテレビドラマでの活躍が目立つようになる。；特にシルクサテンやレースの生地で作られた、繊細な靴を指す事が多い。；日本では一般的な沿岸性魚種であり、その繊細な風味のために人気がある。；頭部は繊細に描かれ、顔の肌の色と溶け合うように表現されている。；美しい音と繊細な表現力に加えて端正な容貌でアイドル的な人気を呼んだ。；ポイントの繊細なタッセル装飾も合わせて多くの女性に愛されている。；この繊細な初期状態依存性はバタフライ効果と後に呼ばれるようになった。；その時間は暗い時間ではあるがしかしそれもこの世界の隅にあるとても繊細な一面なのである。；李は繊細で平易な言葉で現代の精神的危機を詠う詩人だと評価されている。；ツボを押さえたストーリーと繊細な絵で人気作となり、長期連載となった。；合唱などでは、特に繊細な指示を出すにも効果的と考えられている。；好きな女の子と良い雰囲気になると緊張と興奮から吐いてしまう繊細な体質。；白身魚の中では特に淡白で繊細な味わいで、非常に美味であるとされる。；その経験から繊細でテクニカルなボールタッチを会得したと考えられる。；画面で見せる役柄と実際の彼女は正反対で知的で繊細でよく読書をしていた。；天井や柱などの装飾は石造とは思えない繊細な彫りをほどこしている。；水源近くは繊細な生態系や多くの希少種がいるために入域が制限されている。；砂糖細工やペーストリーの装飾技術を駆使した繊細な作りのものもある。；は繊細なバルブを利用して、小さな力で空気の流れを制御することで実現される。；過飽和空気中では透かし模様が入った繊細華麗な結晶となる傾向がある。；繊細で脆く容易に崩壊するため、生体の捕獲にはいまだ成功していない。；また室内楽の演奏にも卓越した演奏と繊細鋭敏な感覚を発揮して評価が高い。</t>
        </is>
      </c>
      <c r="J4682">
        <f>HYPERLINK("https://www.weblio.jp/content/繊細", "词义详情")</f>
        <v/>
      </c>
      <c r="K4682">
        <f>HYPERLINK("https://yourei.jp/繊細", "查看例句")</f>
        <v/>
      </c>
    </row>
    <row r="4683">
      <c r="A4683" t="inlineStr">
        <is>
          <t>戦災</t>
        </is>
      </c>
      <c r="B4683" t="inlineStr">
        <is>
          <t>成功</t>
        </is>
      </c>
      <c r="C4683" t="inlineStr">
        <is>
          <t>読み方：せんさい
戦争による災害。「—を免れる」</t>
        </is>
      </c>
      <c r="D4683" t="inlineStr">
        <is>
          <t>戦災復旧(4%)；戦災者(4%)；戦災被害；戦災都市；戦災後</t>
        </is>
      </c>
      <c r="F4683" t="inlineStr">
        <is>
          <t>戦災車；戦災住宅；戦災被災；大きな戦災；非戦災</t>
        </is>
      </c>
      <c r="G4683" t="inlineStr">
        <is>
          <t>戦災孤児；戦災復興事業；戦災復興土地区画整理事業；戦災復興計画；戦災母子家庭</t>
        </is>
      </c>
      <c r="H4683" t="n">
        <v>29</v>
      </c>
      <c r="I4683" t="inlineStr">
        <is>
          <t>その後に他銀行も同様であるが、戦災等により廃止となった店舗もある。；墓庭の外には石碑の台座が残されているが、碑身は戦災で失われている。；このことは広島原爆戦災誌など市の公式資料には一切記されていない。；この決起は主に戦災とフランス労働者の間の不満が鬱積した結果であった。；だが、戦災都市の人々の多くは決してそう考えてはいないのである。；その後、1950年には戦災車の欠番を整理する形で改番を実施された。；その後この区間は戦災から復旧されること無く、そのまま廃止された。；第2次世界大戦中は日本軍に接収されたこともあったが、戦災は免れた。；これはかつては145を数えたが、戦災により数個が残るのみとなった。；学校敷地は、戦災で廃校となった旧殿馬場小学校の敷地を転用している。；一馬の東京の邸宅は戦災でやられたから、彼は上京のたびツボ平へ泊る。；これらの車両も全て他形式からの改造または戦災復旧車であった。；実際には戦災で被害を受けた貨車を名古屋造船で車体更新した貨車である。；台枠よりも上の部分を必要としないため、戦災車を活用して改造されたものも多い。；しかし大規模な戦災は免れたため、貴重な文化財が今日も残っている。；勤労動員の生徒の中には、動員中に戦災や災害で犠牲になる者もいた。；戦災を受けた都市は非常に多く、その全てを復興の対象とすることは困難であった。；戦後、日本の都市計画は戦災都市を復興することに最大の関心を寄せていた。；これ以外の非戦災車9両について同改造が実施されたものはない。；戦災を被ったものの、戦後再建され、三重塔や本堂を見ることができる。；第二次世界大戦の戦災で人口が減った東京は、戦後復興の中で再び成長した。；戦災で損傷した長柄橋は、補修工事などの上、戦後も引き続き使用された。；父親を戦死や戦災で亡くし、母子家庭での生活を強いられた者も少なくない。；戦災を受けた高松経済専門学校が仮校舎としていた跡に入居したものである。；大阪に第一次戦災のある日までは、夢にも思はなんだ彼の最期である。；戦争中は同じ会社の事務員だったのだが、戦災で一挙に肉親を失った。；戦災後十日ばかりもたってからのことであったろう。；東側には戦災を免れた古くから残る住宅が寄り集まっている。；戦災以来弾力を失った脚はまだ十分に恢復していないのである。</t>
        </is>
      </c>
      <c r="J4683">
        <f>HYPERLINK("https://www.weblio.jp/content/戦災", "词义详情")</f>
        <v/>
      </c>
      <c r="K4683">
        <f>HYPERLINK("https://yourei.jp/戦災", "查看例句")</f>
        <v/>
      </c>
    </row>
    <row r="4684">
      <c r="A4684" t="inlineStr">
        <is>
          <t>洗剤</t>
        </is>
      </c>
      <c r="B4684" t="inlineStr">
        <is>
          <t>成功</t>
        </is>
      </c>
      <c r="C4684" t="inlineStr">
        <is>
          <t>読み方：せんざい
洗浄作用をもつ、石鹸(せっけん)や合成洗剤などの表面活性剤の総称。洗浄剤。</t>
        </is>
      </c>
      <c r="D4684" t="inlineStr">
        <is>
          <t>洗剤メーカー(2%)；洗剤液；洗剤等；洗剤類；洗剤入り</t>
        </is>
      </c>
      <c r="E4684" t="inlineStr">
        <is>
          <t>クリーナー；クレンザー；洗浄剤；中性洗剤；洗料</t>
        </is>
      </c>
      <c r="F4684" t="inlineStr">
        <is>
          <t>液体洗剤；粉末洗剤；コンパクト洗剤；大型洗剤；系洗剤</t>
        </is>
      </c>
      <c r="H4684" t="n">
        <v>29</v>
      </c>
      <c r="I4684" t="inlineStr">
        <is>
          <t>それ以外の国では洗剤関連においては基本的に積極的な姿勢をとっている。；ホテルに着くと、洗剤の匂いが気になるからとシーツの張り替えを指示。；ついでに切れそうになっていたトイレットペーパーと洗剤も手にする。；石鹸や洗剤を使うとコーヒーに嫌な後味が出るので使うべきではない。；使用後の洗浄に家庭用洗剤の使用することについても特に制限は無い。；水と洗剤を使うから、手はいつもあちこちが切れて血が滲んでいた。；一次刺激性接触皮膚炎は、油・洗剤・石鹸など刺激の強い物質で起こる。；洗剤の影響で重大でない様々な影響を無視してはならない。；彼女らの籠のなかには、サービス品の洗剤が入っているだけだった。；合衆国で水道汚染を専門に研究している人たちには、洗剤が悩みの種だ。；僕は男になぜ公園の池に洗剤を入れたのかきいてみた。；かごは週に一回は穏やかな殺菌性の洗剤で完全に清掃しなくてはならない。；液体タイプの物は、お湯を使う必要はないが、洗剤を加える必要がある。；専用の洗剤には、消臭機能、抗菌機能が付いているものも販売されている。；そこは手洗い場で、ステンレスの流しと、タワシと洗剤が置かれていた。；石鹸水が洗剤として機能することは、何世紀も前から認識されていた。；無駄になったヤシの実洗剤が、水に溶けてゆるい泡になり、消えていく。；クイックルは、花王が発売している住宅用洗剤などの総合ブランドである。；元地獄軍事局参謀で洗剤兵器と健康食品による侵略活動に力を入れていた。；わずかに残っていた洗剤を洗い流そうとしたら乳房がぷるっと震えた。；その中でも野球のユニフォームの泥汚れを落とす強力洗剤の開発に力を入れている。；ピンクのショーツを出して鼻にあてたが、洗剤の匂いがするだけだ。；電源の入ったテレビで清潔感の漂う洗剤のコマーシャルが流れていました。；奥の棚にある洗剤やらスナック菓子の消費、賞味期限は保証できない。；自分の手は指が短く形が悪いので洗剤の宣伝など手が映る仕事は絶対に出来ない手だと思う、などと話した。；チャプンと音がして、ときおり洗剤のアワがかなりの高さに飛びあがる。；洗剤に用いられる界面活性剤の水生生物への影響はこれまで数多く報告されている。；一方で、石油をつかわない洗剤は非常に高価であるため、普及していない。；コーヒーカップが一つ、洗剤をつけた手から滑り落ちて、流しに砕けた。</t>
        </is>
      </c>
      <c r="J4684">
        <f>HYPERLINK("https://www.weblio.jp/content/洗剤", "词义详情")</f>
        <v/>
      </c>
      <c r="K4684">
        <f>HYPERLINK("https://yourei.jp/洗剤", "查看例句")</f>
        <v/>
      </c>
    </row>
    <row r="4685">
      <c r="A4685" t="inlineStr">
        <is>
          <t>先日</t>
        </is>
      </c>
      <c r="B4685" t="inlineStr">
        <is>
          <t>成功</t>
        </is>
      </c>
      <c r="C4685" t="inlineStr">
        <is>
          <t>読み方：せんじつ
近い過去のある日。このあいだ。過日。「—お会いしましたね」</t>
        </is>
      </c>
      <c r="D4685" t="inlineStr">
        <is>
          <t>先日来(2%)；先日あなた；先日話し；先日以来；先日わたくし</t>
        </is>
      </c>
      <c r="E4685" t="inlineStr">
        <is>
          <t>前；かつて；以前；昔；過去</t>
        </is>
      </c>
      <c r="F4685" t="inlineStr">
        <is>
          <t>先日届い；先日貞子；先日某</t>
        </is>
      </c>
      <c r="H4685" t="n">
        <v>29</v>
      </c>
      <c r="I4685" t="inlineStr">
        <is>
          <t>それであなたの先日のお手紙にあった次の文面の意味を説明して下さい。；つい先日までかつて大名であった九十余歳の老侯が住んでおられました。；彼が二度目にそこの病院を訪れると、医者は先日の結果を教へてくれた。；私はなお注意して窺うと、兄も妹もその顔色が先日よりも更によくない。；先日、竜之助はお雪の案内で、そこまで散歩を試みたことがあるのです。；先日二人の子供に版画を見せたが、その時の彼等の行為には興味を持った。；それを報告してきたのは、先日の襲撃に加わった猟師の一人であった。；先日聞いた話では、未来の自動車は水素を燃料にして走るんやそうですね。；先日の晩餐会の席で、あなたのおっしゃったことを覚えていたからです。；先日とおなじポリネシア系の女性が、デスクに向かって仕事をしていた。；何だろうな、その調子ではもう先日のものは飲んでしまったろうな。；先日、友人と電話で話してたら、話の途中で彼女が唐突に、こう尋ねた。；殺人者は、先日も私が申したように、犯罪に自分の名前を署名しました。；まさにあなたが先日持ってこられたものと同じものでございます。；先日大阪のある会社が、大勢の東京商人を堺卯で御馳走した事があつた。；先日も三千円ばかり送ったんだけど、それは受取ってないようですよ。；先日来の君の手紙には、さうした女性らしい心の動きが読みとられる。；先日かれは人力車に乘つて、三鷹村の私の家へ議論しにやつて來ました。；先日、わたしの小説の愛読者で、親しい友人でもある人から手紙が来た。；つい先日までの自分なら足を踏み入れることすら想像できなかった場所にだ。；先日、私は或る画家と会つて次のやうな話を聞いたのであります。；先日も寺で皆様があなたの事を悪く言われましたから、私は腹が立ちました。；だから先日はいきなりアンリエッタを叩いたりできたのかもしれない。；先日鼻と喧嘩をしたのは鼻が気に食わぬからで鼻の娘には何の罪もない話しである。；イクソープ教授が先日あるプランをもってわたしのところに見えられた。；そして座敷に飾りつけてあつた先日の屏風を不思議さうに擬と見てゐた。；そうして先日来の議論はみな彼女が傍から教えてくれたのであることを白状した。；先日河に沿って歩いていたら、迫持の二つある美事な石の橋があった。；ただ、先日君をたずねたあとで、直観的にそう判断したまでのことだ。</t>
        </is>
      </c>
      <c r="J4685">
        <f>HYPERLINK("https://www.weblio.jp/content/先日", "词义详情")</f>
        <v/>
      </c>
      <c r="K4685">
        <f>HYPERLINK("https://yourei.jp/先日", "查看例句")</f>
        <v/>
      </c>
    </row>
    <row r="4686">
      <c r="A4686" t="inlineStr">
        <is>
          <t>前者</t>
        </is>
      </c>
      <c r="B4686" t="inlineStr">
        <is>
          <t>成功</t>
        </is>
      </c>
      <c r="C4686" t="inlineStr">
        <is>
          <t>読み方：ぜんしゃ
二つ示したもののうち、前のもの。⇔後者。</t>
        </is>
      </c>
      <c r="D4686" t="inlineStr">
        <is>
          <t>前者二つ；前者後者</t>
        </is>
      </c>
      <c r="H4686" t="n">
        <v>29</v>
      </c>
      <c r="I4686" t="inlineStr">
        <is>
          <t>前者は単位の選択により変化しないが、後者は単位に依存して変化する。；準法律行為には表現行為と非表現行為とがあり狭義には前者のみを指す。；前者は動作の進行・継続を表し、後者は動作の行われた結果や完了を表す。；前者はポーランドに近い西部に多く、後者はロシアに近い東部に多かった。；前者は事業者や報道関係でも広く知られ広まり、後者は定着しなかった。；前者の代表が植物であり、多くの生物種は後者の方式を利用している。；前者ならば録音時間は60分、後者ならば74分録音できることになる。；前者は中継用基地局の設置者以外の端末から利用される場合もあった。；貿易論が前者であり、前者のみを指して国際経済学と区分する場合もある。；だが哲学やコンピュータ研究においては、前者の定義がより一般的である。；前者としては有用であったが、後者としては能力不足であったと言える。；前者はケレスの古い表面が宇宙風化の影響を受けて生成されたとされている。；前者は太陽であり、後者はその熱と光を受ける月に例えられている。；前者と後者を区別し、前者のみを近似アルゴリズムと呼ぶ場合もある。；前者は行動科学上の異常を意味し、後者は病理学上の異常を意味している。；このため前者はC86、後者はC89からジャンルコードに指定された。；それぞれ関連する2つの法則があるが、通常は後述の前者の方を指す。；前者は主として固定標本の場合に、後者は生体を扱う場合に用いられる。；後者ではその集団を認識しやすいが、前者では直感的に把握しにくい。；ノルウェーの中等教育は前期と後期に区分され、前者は義務教育である。；前者は意識を失っていたマリアで、後者はアナスタシアだと見られている。；前者は、デビューが決定していたところに入った仕事だという。；前者は分かりやすいものの、実際の演技では実施が難しいとされる。；これに伴い前者は、日比谷線直通電車だけで運用されるようになった。；前者は小達家菩提寺から、後者は夫の西山家の菩提寺からのものである。；前者はクラブ会の管轄下にあるが、後者はその限りではない。；名画などでは前者の設定が多く、生け贄としての姿は全裸のものが多い。；前者は行為が利益をもたらすかを基準にし、後者は「規則」を基準にする。；これらは人類が宇宙に進出してから少しずつではあるが、前者に比べて成果を挙げている。</t>
        </is>
      </c>
      <c r="J4686">
        <f>HYPERLINK("https://www.weblio.jp/content/前者", "词义详情")</f>
        <v/>
      </c>
      <c r="K4686">
        <f>HYPERLINK("https://yourei.jp/前者", "查看例句")</f>
        <v/>
      </c>
    </row>
    <row r="4687">
      <c r="A4687" t="inlineStr">
        <is>
          <t>選手</t>
        </is>
      </c>
      <c r="B4687" t="inlineStr">
        <is>
          <t>成功</t>
        </is>
      </c>
      <c r="C4687" t="inlineStr">
        <is>
          <t>読み方：せんしゅ
１競技会・試合などに選ばれて出場する人。「オリンピック—」
２スポーツを職業にする人。「有名な野球—」
３（比喩的に）年数の後に付けて、その年数だけ経験を重ねている人。また、長く使い続けている物品にいうこともある。「社会人としてはもう10年—だ」「15年—のフライパン」</t>
        </is>
      </c>
      <c r="D4687" t="inlineStr">
        <is>
          <t>選手たち(3%)；選手達；選手賞；選手兼任；選手育成</t>
        </is>
      </c>
      <c r="E4687" t="inlineStr">
        <is>
          <t>プレーヤー；アスリート；スポーツマン；運動選手；プレーヤ</t>
        </is>
      </c>
      <c r="F4687" t="inlineStr">
        <is>
          <t>プロバスケットボール選手；優秀選手；女子選手；名選手；新人選手</t>
        </is>
      </c>
      <c r="G4687" t="inlineStr">
        <is>
          <t>選手団；選手時代；選手登録；選手会；選手生活</t>
        </is>
      </c>
      <c r="H4687" t="n">
        <v>29</v>
      </c>
      <c r="I4687" t="inlineStr">
        <is>
          <t>この範囲の中で選手にお金をかけるのはJリーグクラブと共通である。；技の名前に、それを最初に成功させた選手の名前が付くことも特徴である。；またリアル志向の結果1球団に30名もの選手が登録される事となった。；男子ほどではないものの、非黒人選手が上位入賞するケースは稀である。；両選手はピスト中央に4mの距離をおいて構えの姿勢から試合を開始する。；この場合、同じ選手がシングルスとダブルスの両方に出ることができる。；同時期にクラブの選手が各国代表に選出されるようになった。；ドラフト会議では夏の甲子園で活躍した将来性のある選手を次々と指名。；その節中に、好調子の選手と不調子の選手とをわざと同じカードに組むこと。；ボールが無い場所で、相手選手の移動を制限する位置に立つこと。；他球団の選手では、初期の作品では近鉄の選手がしばしば登場した。；従来、役員は地域協会の職員や元選手などサッカー関係者で占められてきた。；両選手とも合流後すぐ試合に出場し、求められた役割を果たし結果を残していった。；札幌移転後、大半の選手別応援歌を除いて応援スタイルがやや変わった。；レース直前に多くの選手が清めの塩を、自身の体や自転車にかける。；小学校入学前からの熱烈な野球少年で、将来の夢はプロ野球選手だった。；その間は傘下マイナーリーグなどから代替選手を補充することができる。；国内団体の選手には日本のプロレス団体に所属している外国籍の選手を含む。；先行選手は残り1周半程度から後ろの選手を引き連れてダッシュをする。；選手ごとに1対1で自分が担当する選手をマークするディフェンスのこと。；プレミアリーグの選手は、平均で年間約100万ドルもの収入を得ている。；ボールを保持していない選手については、ステップに関する規制はない。；箱根駅伝では選手の通過時にこの踏切の手前で電車を停車させる。；三浦の引退により、横浜大洋ホエールズに所属した選手が全員引退した。；出場が決まった選手は開催前日の指定時間までに競輪場へ入らなければならない。；攻撃を成功させるとポイントとなり、規定のポイントを先取した選手が勝利する。；格闘技は異なる複数の競技をおこなう選手が他のスポーツより多い。；世界記憶力選手権の世界トップ選手は数百個程度のイメージを競技中に記憶している。；これらの表記は他のスポーツのユニフォームの選手名表記にも用いられている場合がある。</t>
        </is>
      </c>
      <c r="J4687">
        <f>HYPERLINK("https://www.weblio.jp/content/選手", "词义详情")</f>
        <v/>
      </c>
      <c r="K4687">
        <f>HYPERLINK("https://yourei.jp/選手", "查看例句")</f>
        <v/>
      </c>
    </row>
    <row r="4688">
      <c r="A4688" t="inlineStr">
        <is>
          <t>先週</t>
        </is>
      </c>
      <c r="B4688" t="inlineStr">
        <is>
          <t>成功</t>
        </is>
      </c>
      <c r="C4688" t="inlineStr">
        <is>
          <t>読み方：せんしゅう
今週の前の週。前週。</t>
        </is>
      </c>
      <c r="D4688" t="inlineStr">
        <is>
          <t>先週金曜日；先週号；先週土曜日；先週聞い；先週木曜日</t>
        </is>
      </c>
      <c r="G4688" t="inlineStr">
        <is>
          <t>先週の結果分析</t>
        </is>
      </c>
      <c r="H4688" t="n">
        <v>29</v>
      </c>
      <c r="I4688" t="inlineStr">
        <is>
          <t>つい先週にも同じことをしようとしたのであっちも警戒してるはずです。；ハーフタイムの光景は、先週の光景をビデオ再生しているみたいだった。；カバーをかけた石膏像は、先週の木曜日も今と同じ場所にあったという。；先週と違って、現場の警察官は記念碑を守ろうとすることなく撤退した。；ああでも先週、取材みたいなものをあの女子から受けた覚えがあるな。；自宅に着いたのは十七日ですが、先週の後半はずっと家を空けていたので。；先週もそうやって、だれかと、どこかの町のどこかの部屋へ一緒に帰った。；道頼に案内してもらって、ここに足を踏み入れたのは先週のことだった。；男性は80人が、女性は25人が先週ビールを飲んだと答えるとしよう。；客に出すやつじゃなくて、僕が先週まで自分用に使っていたやつだ。；先週の今日と同じだと、今の俺にははっきり断言することも出来ない。；そういえば先週、小金井先生からの電話を受け取ったのは彼女だったわね。；何故なら先週中は殆ど一晩も赤ン坊の夢を見ないで眠つた夜はなかつたのだ。；先週からずっと炭素市場にタルシャンが現れないか探っていたところだ。；先週からここへ仮事務所をおくことにきめたばかりだものですからね。；先週、田舎でおこった殺人事件のことで、噂でも立っていやしないかね?；誘拐があったのは先週の水曜から木曜にかけてとおっしゃいましたわね。；例えば、男女それぞれ100人に先週ビールを飲んだかどうか聞いてみる。；先週の土曜日に君とバッタリ会ったのも、シナリオの一部だったんだろ?；それ以上どこにあるか知らないのなら、きみは先週どうやって見つけられたんだ?；その気みたいなこと先週いったとき、おれは絶対やめとけって忠告したよ。；先週の晩庭で聞いたと思ったあの足音のようなものだろう。；先週の金曜日、辺りの犬が一斉に遠吠えを始めたことがあったでしょう?；先週の小説入門教室の後、生徒と講師が会の流れからお茶を飲むのに参加した。；運転手だけでなくすべての使用人には、先週から暇が出されていた。；先週のあの悲惨な出来事は、わたくしには、なによりもいやな印象でした。；そいつのせいで先週は丸々、自分の仕事がまともに出来なかったんだから。；そんなわけで、わたくし、ちょうど先週の今夜、先方へ行ってみました。；要するに、先週の時点で、真九郎は重大な失敗を犯していたということ。</t>
        </is>
      </c>
      <c r="J4688">
        <f>HYPERLINK("https://www.weblio.jp/content/先週", "词义详情")</f>
        <v/>
      </c>
      <c r="K4688">
        <f>HYPERLINK("https://yourei.jp/先週", "查看例句")</f>
        <v/>
      </c>
    </row>
    <row r="4689">
      <c r="A4689" t="inlineStr">
        <is>
          <t>専修</t>
        </is>
      </c>
      <c r="B4689" t="inlineStr">
        <is>
          <t>成功</t>
        </is>
      </c>
      <c r="C4689" t="inlineStr">
        <is>
          <t>読み方：せんじゅ
仏語。他の行を修めることなく、ひたすら特定の行を修すること。⇔雑修(ざっしゅ)。</t>
        </is>
      </c>
      <c r="D4689" t="inlineStr">
        <is>
          <t>専修大学教授(10%)；専修課程(7%)；専修科(5%)；専修学校(3%)；専修学生(3%)</t>
        </is>
      </c>
      <c r="F4689" t="inlineStr">
        <is>
          <t>専修予備；戦闘機専修；元専修；私立専修；専修教授</t>
        </is>
      </c>
      <c r="G4689" t="inlineStr">
        <is>
          <t>専修大学；専修念仏；専修卒；専修寺；専修科</t>
        </is>
      </c>
      <c r="H4689" t="n">
        <v>29</v>
      </c>
      <c r="I4689" t="inlineStr">
        <is>
          <t>専修学生は、太平洋戦争中の1943年を最後に採用中止となっている。；入学してまもなくのメーデーに、露文専修一年も組単位で参加した。；現在専修大学図書館に所蔵されているためにこの名称で呼ばれる。；中華人民共和国成立後は北京大学語言専修科の主任の職についた。；環境生命科学・公共健康科学・看護科学の3つの専修に分けられている。；科学者の中にはその専修学科の発達の歴史に特別の興味を有っている人が多数にある。；生命機能学科には、国内大学では珍しい植物医科学専修が存在する。；陸大卒の将校の多くが、一度は専修語学の国を主とした外国出張の機会を与えられる。；本人の希望と1年次の成績に基づいて、2年次進級時に専修・コースを決定する。；もうひとつ運がよかったのは、専修特科に音響を選んだことだ。；地理学を教育・研究する学部・学科・専攻・専修・コース等を記載。；天主教の尊者アントニウスは教内最初の隠蟄者で専修僧の王と称せらる。；早稲田大学第一文学部に進学し、文学科のロシア文学専修にて学んだ。；律令撰定に携わった19名のうち、首名は唯一律令を専修していたとされる。；前漢の経学は今文学が盛んで、一経を専修し、師説を継承するのを良しとした。；他に海曹士専修科として以下の副特技の取得することができる。；設置者は山梨県であり、日本で唯一の装身具を取扱う公立系専修学校である。；電気工事士などの資格・技能を修得するための特別専修コースも開講されている。；戦闘機専修搭乗員の教育を推進するため、実用機練習を推進した。；栄養士を養成することを目的とした2年制の専修学校だった。；事実、砲術専修が本望であったかのように、彼は勉強に精進した。；関西学院大学英米学専修に進学後は英語を専門的に学んでいた。；佐伯基地は降旗が戦闘機操縦専修の延長教育を受けた〝母校〟でもある。；小阪病院看護専門学校とは、大阪府東大阪市にある私立専修学校である。；東京大学文学部に進み、英吉利文学専修に入り、1950年に卒業する。；大学院への進学も視野に入れた場合、専修免許も取得できる。；過去には以下の専修課程だったことがある。；菅は独逸語までも修めようとしていたが、捨吉はむしろ英語の専修に心を傾けた。；小説版では専修館高校戦後にベスト8で墨谷高校と対戦した。</t>
        </is>
      </c>
      <c r="J4689">
        <f>HYPERLINK("https://www.weblio.jp/content/専修", "词义详情")</f>
        <v/>
      </c>
      <c r="K4689">
        <f>HYPERLINK("https://yourei.jp/専修", "查看例句")</f>
        <v/>
      </c>
    </row>
    <row r="4690">
      <c r="A4690" t="inlineStr">
        <is>
          <t>全集</t>
        </is>
      </c>
      <c r="B4690" t="inlineStr">
        <is>
          <t>成功</t>
        </is>
      </c>
      <c r="C4690" t="inlineStr">
        <is>
          <t>読み方：ぜんしゅう
１ある人物の著作をすべて集めて編集した書物。
２同種類・同時代などの基準で、作品を広く集めて編集した書物。</t>
        </is>
      </c>
      <c r="D4690" t="inlineStr">
        <is>
          <t>全集第一；全集第二十；全集第三巻；全集版；全集第二巻</t>
        </is>
      </c>
      <c r="E4690" t="inlineStr">
        <is>
          <t>全編；全文；全巻；前後編</t>
        </is>
      </c>
      <c r="F4690" t="inlineStr">
        <is>
          <t>小川未明童話全集；坂口安吾全集；交響曲全集；文学全集；錢形平次捕物全集</t>
        </is>
      </c>
      <c r="H4690" t="n">
        <v>29</v>
      </c>
      <c r="I4690" t="inlineStr">
        <is>
          <t>これ以後は、第0番やヘ短調も全集に収録されることが増えてきている。；このため、本作のタイトルは全集編集者によって付けられたものである。；書簡の多くは全集に収録されていたものの、現物がはじめて公開された。；しかし、このソナタはその後は注目されず、全集にも収録されなかった。；まだ生存している作家がこれまでの作品をまとめた全集を編むこともある。；ショスタコーヴィチの死後刊行され、作品全集の第10巻に収められた。；戦後、1948年に筑摩書房第一次全集の第一巻に収録され刊行された。；これは全集ではなく、作者が吟味し基準に適うもののみが収録された。；交響曲全集を録音している指揮者が同時にこの曲も録音している場合が多い。；さらに、今後もシューマンの交響曲全集の録画・録音が計画されている。；ヘルマンは、数多く全集や論文集の編者として多くの仕事を重ねている。；結局彼は脳梗塞のために引退を余儀なくされ、全集は未完に終わった。；複数台のピアノのための作品全集もリリースされている。；本全集の最大の特徴として、版問題への特別なこだわりが挙げられる。；実際、近年になって複数のレーベルから全集がリリースされている。；昭和26年全集刊行当時の光文社の巻末広告は次のようなものだった。；宋・元時代の『居家必用事類全集』には14種類の麺料理の記述がある。；著名な作家の場合、校友会誌上で発表された作品が全集に収められることがある。；近年は再評価される機会が増え、作品全集の新版が刊行中である。；全集録音のあるヴラディーミル・アシュケナージなどで聞くことができる。；こうして第二次大戦が勃発した1939年には、全集は65巻に達した。；エヴァリスト・ガロアの功績を発見し、全集を公表したことでも知られている。；この全集には多少の瑕疵はあるが、モリエールの評伝が容れられている。；第1次全集の他の交響曲とまとめて「ハース版」と扱われることもある。；他に個人の全集、特定の国の全集、特定のジャンルの全集などがある。；全集発行前後に発表された作品は含まれていない。；また全集で潤った新潮社の佐藤義亮はこの建立に多額の寄付をしている。；津波後、村では震災義援金で危険地帯にある全集落を移動することにした。；晩年には自作の演目を全集としてまとめた『狂言百種』を発行している。</t>
        </is>
      </c>
      <c r="J4690">
        <f>HYPERLINK("https://www.weblio.jp/content/全集", "词义详情")</f>
        <v/>
      </c>
      <c r="K4690">
        <f>HYPERLINK("https://yourei.jp/全集", "查看例句")</f>
        <v/>
      </c>
    </row>
    <row r="4691">
      <c r="A4691" t="inlineStr">
        <is>
          <t>戦術</t>
        </is>
      </c>
      <c r="B4691" t="inlineStr">
        <is>
          <t>成功</t>
        </is>
      </c>
      <c r="C4691" t="inlineStr">
        <is>
          <t>読み方：せんじゅつ
１戦いに勝つための個々の具体的な方法。→戦略
２ある目的を達成するための具体的な方法・手段。「賃金闘争の—を練る」「人海—」</t>
        </is>
      </c>
      <c r="D4691" t="inlineStr">
        <is>
          <t>戦術的(4%)；戦術家(2%)；戦術上；戦術レベル；戦術面</t>
        </is>
      </c>
      <c r="E4691" t="inlineStr">
        <is>
          <t>作戦；戦略；戦法；兵法；駆け引き</t>
        </is>
      </c>
      <c r="F4691" t="inlineStr">
        <is>
          <t>戦略戦術；基本戦術；新しい戦術；チーム戦術；戦術指揮</t>
        </is>
      </c>
      <c r="G4691" t="inlineStr">
        <is>
          <t>戦術情報処理装置；戦術データ・リンク；戦術核兵器；戦術核；戦術輸送機</t>
        </is>
      </c>
      <c r="H4691" t="n">
        <v>29</v>
      </c>
      <c r="I4691" t="inlineStr">
        <is>
          <t>どれほど優れた戦略であっても、その実行には優れた戦術をも必要とする。；機体開発と並行して、鹵獲した複数のザクを用いた戦術研究も行われた。；その戦闘中に新政府軍は鈴を鳴らし、包囲したと思わせる戦術をとった。；攻撃の起点となるため戦術の理解や戦術眼を持ち合わせている方がよい。；戦略を終了するか戦術をクリアすれば内政に入り、様々な行動ができる。；戦術・技術規則において、本級の任務は下記のように規定されていた。；前作から操作方法や戦術、ルールなどシステム面で変更されている点がある。；作戦行動中に迫撃砲が果たす戦術上の役割は、以下の3つに大別される。；しかし、この戦術は奏功しないことが1984年夏には明らかになった。；戦略や戦術が日々変化しても、中核的な価値観は維持されていたのである。；これに対応して戦術は戦闘において勝利を得るために部隊を運用する術である。；これは、第二次世界大戦における連合軍の最初の戦術的な勝利であった。；プレイヤーは監督となり、戦術ボタンを使用しチームに指示を出す。；こうした戦術から条約巡洋艦を切実に必要としていたのは日本だけであった。；警察の狙撃手は軍隊の狙撃手とはその任務や戦術を含めて多くの点で異なる。；奇襲や夜襲など少ない兵力を有効に活用するゲリラ的戦術を得意とした。；一方、従来の機体ではジュリー戦術にも対応していたが、これは廃止された。；その他の新要素としては、各大名家に固有の戦術が3つずつ設定された。；カウンターは基本的な戦術の一つであり得意とするチームは多い。；陸軍も海軍同様に天号作戦では特攻戦術に重点を置く決定をしていた。；理論的・学問的な側面を強調する場合は戦術学とも言う。；この大会は既存のサッカー戦術に変革をもたらした大会であった。；戦闘機を中心とする積極的な作戦で戦術思想としても画期的であった。；その後、8六の歩を8四まで配置し、8筋逆襲をする戦術となっている。；この攻撃は、新採用の機動部隊戦術の実際の運用と試験、訓練を兼ねていた。；参謀本部の戦略や戦術に関する話を彼から聞くのは、いつも楽しかった。；戦術では「先を読む」ことが重要で、コンピュータが得意とする分野である。；ステルス機は従来の戦術思想を覆す革命的なシステムと期待された。；また作戦的な性格と戦闘的な性格から戦術を作戦術と戦術に区分する場合もある。</t>
        </is>
      </c>
      <c r="J4691">
        <f>HYPERLINK("https://www.weblio.jp/content/戦術", "词义详情")</f>
        <v/>
      </c>
      <c r="K4691">
        <f>HYPERLINK("https://yourei.jp/戦術", "查看例句")</f>
        <v/>
      </c>
    </row>
    <row r="4692">
      <c r="A4692" t="inlineStr">
        <is>
          <t>前進</t>
        </is>
      </c>
      <c r="B4692" t="inlineStr">
        <is>
          <t>成功</t>
        </is>
      </c>
      <c r="C4692" t="inlineStr">
        <is>
          <t>読み方：ぜんしん
［名］(スル)
１前へ進むこと。「—してフライを捕る」⇔後進／後退。
２物事がよいほうへ動くこと。「学力に—が見られる」「解決に向かって一歩—する」</t>
        </is>
      </c>
      <c r="D4692" t="inlineStr">
        <is>
          <t>前進する(12%)；前進基地(3%)；前進部隊；前進でき；前進しよ</t>
        </is>
      </c>
      <c r="E4692" t="inlineStr">
        <is>
          <t>発展；増加；成長；進出；向上</t>
        </is>
      </c>
      <c r="F4692" t="inlineStr">
        <is>
          <t>大きく前進；向かって前進；攻撃前進；向けて前進；大きな前進</t>
        </is>
      </c>
      <c r="G4692" t="inlineStr">
        <is>
          <t>前進翼；前進守備；前進的；前進差分；前進社</t>
        </is>
      </c>
      <c r="H4692" t="n">
        <v>29</v>
      </c>
      <c r="I4692" t="inlineStr">
        <is>
          <t>エラトステネスは地理学を科学分野へと前進させた最初の人物であった。；走者は自身が望む場合、自らの塁を離れて前進することが許されている。；この植民地は小さな前進基地以上のものにはならず、成長しなかった。；小荷駄を前進させることを目的としたため、小荷駄押などとも呼ばれた。；同師団は前進してきた第30軍団を発見しその朝に合流することが出来た。；人々が前進したときよりも後退したときの方が短期記憶が優れている。；自由な状態のガスピストンがさらに前進すると尾栓が銃身に固定される。；一般的なカニのような横歩きはできず前後に歩くが、前進もほとんどしない。；これほどの前進を果たしたのは1914年以来これが初めてだった。；第79師団はで激しい抵抗に会って、前進することが不可能であった。；しかし中国軍の抵抗が激しく、一日100mほどしか前進できなかった。；この運動は可逆であるので、前進と全く同じようにして後進が可能である。；大河津分水の開通により海岸線が大きく前進したことで知られている。；前進陣地とは警戒陣地の前方に建設され、敵の行動を制限し、牽制する。；比較的短い距離を確実に前進するために行われることが多い。；また別な証言ではナポレオンが前進したのは橋の55歩手前までだったという。；舞台は、カリブ海近辺に建設された帝国の前進基地であるとしている。；しかし、この分割は連合国の前進により、書類上だけのものに終わった。；さらに場所を変え攻撃したが、結果はわずかに前進できた程度で完全に失敗であった。；楽しいと思えなくなる日まで何とか前進しようとやってきた。；それにも拘わらずドイツ兵は前進し、捕獲されていた大砲を取り戻した。；社会前進の分量として彼は所定の社会の分量エネルギー消費を提案した。；ボールを前進させる方法は、主にランプレーとパスプレーに大別される。；この時にフランス軍正規兵が道を前進しイギリス軍に圧力を掛けていった。；後退する部隊とそれを知らずに前進する後続部隊とで畷は混乱に陥っていた。；ただし一部の前進を阻止遅滞させるための玉砕的な戦闘も予想しうる。；時には頭上への飛び道具による攻撃を避けるために屋根伝いに前進した。；これが同盟内聖職者の激しい反発を招き、しばらく交渉は前進しなかった。；捕球した選手は、ボールを持ったままさらに前進することができる。</t>
        </is>
      </c>
      <c r="J4692">
        <f>HYPERLINK("https://www.weblio.jp/content/前進", "词义详情")</f>
        <v/>
      </c>
      <c r="K4692">
        <f>HYPERLINK("https://yourei.jp/前進", "查看例句")</f>
        <v/>
      </c>
    </row>
    <row r="4693">
      <c r="A4693" t="inlineStr">
        <is>
          <t>全身</t>
        </is>
      </c>
      <c r="B4693" t="inlineStr">
        <is>
          <t>成功</t>
        </is>
      </c>
      <c r="C4693" t="inlineStr">
        <is>
          <t>読み方：ぜんしん
からだ全体。からだ中。総身(そうみ)。「—泥まみれ」「—の力をこめる」</t>
        </is>
      </c>
      <c r="D4693" t="inlineStr">
        <is>
          <t>全身性；全身像；全身汗；全身黒；全身状態</t>
        </is>
      </c>
      <c r="E4693" t="inlineStr">
        <is>
          <t>身体；体制；五体</t>
        </is>
      </c>
      <c r="F4693" t="inlineStr">
        <is>
          <t>全身血まみれ；全身不随；全身火傷；全身真っ黒；全身運動</t>
        </is>
      </c>
      <c r="G4693" t="inlineStr">
        <is>
          <t>全身麻酔；全身性エリテマトーデス；全身骨格；全身タイツ；全身打撲</t>
        </is>
      </c>
      <c r="H4693" t="n">
        <v>29</v>
      </c>
      <c r="I4693" t="inlineStr">
        <is>
          <t>全身が毛深く、油っ気の強い足の裏毛を用いて水上を歩くことが出来る。；全身の体型を表現するためには、これ以外にも多くの指標が必要である。；子供など肉体的に劣り未成熟な者ならば圧力で全身の骨が折れかねない。；そこで彼は全身を浸したが、一箇所だけ浸らない部分が残ってしまった。；初代作では顔だけの登場だったが、後の作品ではほぼ全身で登場する。；日常語ではこれらの全身が黒いカラスを通常は区別することはない。；ただし変身には全身の細胞を作り変えるため、ある程度の時間を要する。；またショックの症状が認められ全身状態の改善が急務の場合も考えられる。；全身を剥製とする場合もあるが、頭部のみなど、部分だけの剥製もある。；黄疸例や全身状態が不良な例では一時的な胆嚢ドレナージも考慮される。；体の内側を除く全身は、皮膚が変化した骨状の板で形成された甲皮で覆われる。；体内に業火を宿し、全身に煙と影を纏う大きな人のような姿をしている。；しかし誕生直後は全身が黒く、白くなったのは2歳の春だったという。；成長するにしたがって黒い帯が消え、全身が赤や褐色に変化してゆく。；この段階から髪の毛に限らず全身のあちこちに出来ることもある。；このような全身的な被害を受けた者は大半が死亡した。；全身が白い体毛に覆われているように見えるため、シロクマとも呼ばれる。；徹底的に体を使って力みを取り去り、また、逆に全身の力を抜いて動く。；コレステロールは体内の肝臓および皮膚で合成され、全身に輸送される。；全身が毛に覆われているため、体表に汗をかいても熱が逃げにくいためとされる。；さらに進行すると呼吸器症状が現れ、全身状態が悪化して死に至ることもある。；心臓の働きは全身のエネルギー消費や生活リズム等とともに変化する。；全身を強く打ち、豊岡市内の病院へ運ばれたが1時間半後に死去した。；ロボットダンスに、全身の筋肉を弾くような動きを加えたダンスである。；その一方で感情は豊かであり、全身を使って感情を表現する。；循環器病学とは、心臓及び全身の血管系を扱う学問を指す場合が多い。；全身が明るい色であるが、背側よりも腹側の方がより白い。；騎士が全身を甲冑で護っていた時代の、頭部から首まで覆うヘルメット。；影はすい臓ガンであり、年齢や全身状態から手術は不可能であった。</t>
        </is>
      </c>
      <c r="J4693">
        <f>HYPERLINK("https://www.weblio.jp/content/全身", "词义详情")</f>
        <v/>
      </c>
      <c r="K4693">
        <f>HYPERLINK("https://yourei.jp/全身", "查看例句")</f>
        <v/>
      </c>
    </row>
    <row r="4694">
      <c r="A4694" t="inlineStr">
        <is>
          <t>扇子</t>
        </is>
      </c>
      <c r="B4694" t="inlineStr">
        <is>
          <t>成功</t>
        </is>
      </c>
      <c r="C4694" t="inlineStr">
        <is>
          <t>読み方：せんす
おうぎ。《季夏》</t>
        </is>
      </c>
      <c r="D4694" t="inlineStr">
        <is>
          <t>扇子型；扇子屋；扇子をぱたぱた；扇子をパチパチ；扇子をバタバタ</t>
        </is>
      </c>
      <c r="E4694" t="inlineStr">
        <is>
          <t>ファン；扇；団扇；扇面</t>
        </is>
      </c>
      <c r="F4694" t="inlineStr">
        <is>
          <t>白い扇子；扇子をパチ；大きな扇子</t>
        </is>
      </c>
      <c r="H4694" t="n">
        <v>29</v>
      </c>
      <c r="I4694" t="inlineStr">
        <is>
          <t>それでも何か残しておかなければならないと思い、扇子に文字を書いた。；扇子に描かれた絵や文字は、他の紙に描かれたものや壁画とは違います。；正面に生徒が並んで、立ったり坐ったり扇子をかざしたり歩いたりする。；慶喜はもっていた扇子を畳の上に落としたまま、しばらく動かなかった。；扇子がないと、将棋を指していても酒を飲んでいても手持無沙汰になる。；窓を見上げてみると、扇子で顔を隠した年配の客が踊っているのが見える。；そうやっているうちに、私は、やっと扇子の効用を理解するようになった。；扇子を使うのと、実際箸を使うのとでは、やっぱり感覚が違うからね。；そうかと思うと、何を考えたか扇子なんてのを持ったのもいる。；二十間ばかりいった夏草の上に、半ばひらいたその扇子が落ちていた。；流行に動かされるような浮薄な人間ではありませんよ、と扇子を見る。；扇子の文字も、そこに何かあるとみつめすぎると何も見えなくなる。；梅若大夫は驚いて、手にしていた扇子を舞台の上に落としてしまった。；閉じていた扇子が広がったように、左右斜め下方に、両目が離れていく。；華奢な指先に小さな炎が宿り、それはすぐに純白の扇子へと姿を変える。；鳥の羽根の扇子を持ち、髪を頭の上に一フィートも結い上げた貴婦人だ。；その前で扇子を拡げて、田舎の村会議員風にわざとパタパタやってみる。；孔明はいつもの服装で机に腕して体を斜めにし、扇子を眺めていた。；そもそも扇子とは儀礼用のもので、武士がそれで涼をとるべきではないのだ。；他の一つは閉じた扇子のような品で、これは薄い木片に紙をまきつけたもの。；開かれていた扇子の面が、徐々に張りを失って面積が狭まっていくような感じだ。；五十本ほどの扇子のほとんど半数に、同じその絵その文字が見えました。；彼が十字屋に何度か来て、自分が絵を書いた扇子などを見せたりしたのもそのためだ。；袖口から飛び出して来た扇子形のCADを慣れた手つきでキャッチする。；名こそ書いてはねえが、この扇子もおまえさんの品のはずだ。；毀れた扇子は煖炉棚の上の置時計の後ろにまだそのまゝになっていた。；毘沙門の前を通る時、爺さんは扇子の手を停めてちょっと頭をこごめた。；彼の腰には、宿を出る時にさして来た一本の新しい扇子がある。；甲斐は沈んだ眼つきで、しかし殆んど無感動に、黙って扇子を使っていた。</t>
        </is>
      </c>
      <c r="J4694">
        <f>HYPERLINK("https://www.weblio.jp/content/扇子", "词义详情")</f>
        <v/>
      </c>
      <c r="K4694">
        <f>HYPERLINK("https://yourei.jp/扇子", "查看例句")</f>
        <v/>
      </c>
    </row>
    <row r="4695">
      <c r="A4695" t="inlineStr">
        <is>
          <t>潜水</t>
        </is>
      </c>
      <c r="B4695" t="inlineStr">
        <is>
          <t>成功</t>
        </is>
      </c>
      <c r="C4695" t="inlineStr">
        <is>
          <t>読み方：せんすい
［名］(スル)水中にもぐること。「—して船底を修理する」</t>
        </is>
      </c>
      <c r="D4695" t="inlineStr">
        <is>
          <t>潜水艦(80%)；潜水戦隊(2%)；潜水隊(2%)；潜水艇；潜水学校</t>
        </is>
      </c>
      <c r="E4695" t="inlineStr">
        <is>
          <t>水没；冠水；潜く</t>
        </is>
      </c>
      <c r="F4695" t="inlineStr">
        <is>
          <t>対潜水艦；敵潜水艦；アメリカ海軍の潜水艦；米潜水艦；型潜水艦</t>
        </is>
      </c>
      <c r="G4695" t="inlineStr">
        <is>
          <t>潜水艇；潜水夫；潜水艦部隊；潜水艦隊；潜水母艦</t>
        </is>
      </c>
      <c r="H4695" t="n">
        <v>29</v>
      </c>
      <c r="I4695" t="inlineStr">
        <is>
          <t>第二次世界大戦中はフランスを占領したドイツが潜水艦基地を建造した。；またこの潜水艦を破壊する目的の攻撃型潜水艦も多数建造されている。；そのため、この海域に展開していた日本軍潜水艦の格好の目標となった。；このアメリカの態度に業を煮やし、独自の潜水艦を作ることを発表した。；ドイツの潜水艦は、以前はイギリス諸島の近くの米国船を攻撃していた。；現代の潜水艦は水中での高速性や静粛性を重視し、砲を装備していない。；結局地球に戻って潜水艦で大洋の中を進み、出発点に戻って歓迎される。；また、潜水は処分士が総括しており、処分士は掃海科に配置されている。；ダイブコンピュータを使用する場合でも事前の潜水計画は不可欠である。；チャージャーで訓練を終えた兵は大西洋での対潜水艦任務に従事した。；航空機や潜水艦の索敵により、南下してくる日本艦隊を捉えたのである。；潜水艦搭載用に特に設計された航空機としてはおそらく世界初である。；また、潜水中の潜水艦より回天に乗艇できる技術的な改善も加えられた。；これらは現代の攻撃型潜水艦のように前部に集中配置されている。；隠密性の高い潜水艦を探知し攻撃するのはやはり潜水艦が有利だからである。；ところが日本軍潜水艦が第64任務部隊を発見し、追跡を開始していた。；しかし、潜水艦の一回の航海につき一組は離婚する乗組員が出るという。；潜水艦発射型は専用のカプセルに入れられ魚雷発射管から発射される。；軍用では特に小型のものを潜水艇と呼び、大型のものは潜水艦と呼ばれる。；また、沿岸基地からの対潜水艦攻撃や哨戒任務にも多数使用された。；潜水艦への小型水偵搭載は、潜水艦の偵察能力強化につながっていた。；なお、以下の通常型潜水艦にはAIP動力潜水艦は含まれないものとする。；一方のアメリカ軍は、空襲と、潜水艦の投入によって日本軍に対抗した。；当時この深度の潜水艦を探知・攻撃する能力はどの国にも無かった。；攻撃型潜水艦は敵水上艦船だけでなく敵潜水艦も攻撃目標とするようになった。；魚雷が利用しにくい沿海域では潜水艦だけでなく水上目標にも有効である。；特に第二次世界大戦以降の潜水艦は水中航行を主な目的としている。；潜水艦の例では、確率が高いとして選んだ領域から捜索している点で違う。；水辺の生活に適応しており、泳ぎが得意で5分以上潜水することもある。</t>
        </is>
      </c>
      <c r="J4695">
        <f>HYPERLINK("https://www.weblio.jp/content/潜水", "词义详情")</f>
        <v/>
      </c>
      <c r="K4695">
        <f>HYPERLINK("https://yourei.jp/潜水", "查看例句")</f>
        <v/>
      </c>
    </row>
    <row r="4696">
      <c r="A4696" t="inlineStr">
        <is>
          <t>先生</t>
        </is>
      </c>
      <c r="B4696" t="inlineStr">
        <is>
          <t>成功</t>
        </is>
      </c>
      <c r="C4696" t="inlineStr">
        <is>
          <t>読み方：しーさん
《(中国語)》中国で、一般に男子を呼ぶときの敬称。上海方言の発音による。</t>
        </is>
      </c>
      <c r="D4696" t="inlineStr">
        <is>
          <t>先生たち；先生方；先生達；先生がた；先生夫妻</t>
        </is>
      </c>
      <c r="E4696" t="inlineStr">
        <is>
          <t>主；主人；師；教師；部長</t>
        </is>
      </c>
      <c r="F4696" t="inlineStr">
        <is>
          <t>由利先生；庵先生；若先生；新田先生；金田一先生</t>
        </is>
      </c>
      <c r="G4696" t="inlineStr">
        <is>
          <t>先生の秘密；先生のお気に入り；先生さん；先生病；先生を流産させる会</t>
        </is>
      </c>
      <c r="H4696" t="n">
        <v>29</v>
      </c>
      <c r="I4696" t="inlineStr">
        <is>
          <t>生徒はよく書けたつもりでいたが、先生の発言は次のようなものだった。；中学の時、音楽の成績は低かったが、先生と友人の影響で成績が上がる。；作者によれば九段先生は勝手に出てきたキャラクターだという。；戦争が始まり、男の子の半数は戦死し、大石先生の夫も戦死してしまう。；桜中学シリーズで金八以外の先生が3年B組を担当した唯一の作品である。；ところが漫画に描いた先生たちのことがばれて問題化してしまう。；堀辺先生には私が紹介して佐川先生の三元直伝まで受けてもらいました。；当時は主に先輩や先生のモノマネなどで、共に校内の人気者だったという。；駆け付けた涼子先生は五郎に結は離婚しているのと同じだと説明する。；日本語のキャラ弁の本を使って先生が母親に教えている例もある。；先生たちに反乱を起こすつもりなので助けにきてください!；その頃にGKを教えてくれるような先生もおらず、監督もいない状態であった。；日本における一般的なフラ教室の先生をクム・フラと指すことは少ない。；そこで先生に愛を告白するが、すでに彼には婚約者が居ることを知る。；次に手を胸の前面に突き出すところも両先生のやり方が異なっていた。；その場所には『深田久弥先生終焉の地』と表記された石碑が立っている。；学者たちは羅従彦を豫章先生と称し、さらに淳祐年間に文質と諡された。；しかしいつでも子供たちはおなご先生の味方であり、支えであった。；戦前多くの作品で活躍した由利先生の殆ど最後の登場である。；のちに「先生」と呼ばれるようになったが、それも気に入らぬようだった。；先生が私の所へ来てから3年になるが、評判を聞いていません。；どうしても死ぬ前に先生に会いたがっているんです。；小学校高学年のときの担任が絵の先生で、絵を描く楽しさを教えてもらう。；真新しい自転車を贈られ、大石先生は胸が一杯になり、涙が溢れてきた。；さらに、出木杉の頭には角が生えており、先生に至っては怪物に変身。；しかし東郷先生が出発前に事故で遅れてしまい、部員だけで行くことになる。；子役や若手俳優らの養成をしており、芦田愛菜の演技指導の先生である。；末川先生の指導のもとで、優秀な若い研究者が懸命に勉強している。；試合の間には、先生方によるエキシビションマッチが行われることもある。</t>
        </is>
      </c>
      <c r="J4696">
        <f>HYPERLINK("https://www.weblio.jp/content/先生", "词义详情")</f>
        <v/>
      </c>
      <c r="K4696">
        <f>HYPERLINK("https://yourei.jp/先生", "查看例句")</f>
        <v/>
      </c>
    </row>
    <row r="4697">
      <c r="A4697" t="inlineStr">
        <is>
          <t>専制</t>
        </is>
      </c>
      <c r="B4697" t="inlineStr">
        <is>
          <t>成功</t>
        </is>
      </c>
      <c r="C4697" t="inlineStr">
        <is>
          <t>読み方：せんせい
１上に立つ人が独断で思うままに事を処理すること。
「国是を討論して以て政府の—を防止す」〈津田真道・明六雑誌一二〉
２「専制政治」「専制政体」の略。</t>
        </is>
      </c>
      <c r="D4697" t="inlineStr">
        <is>
          <t>専制的(29%)；専制体制(5%)；専制支配(4%)；専制者(4%)；専制権力(2%)</t>
        </is>
      </c>
      <c r="E4697" t="inlineStr">
        <is>
          <t>専制政治；アウタルキー</t>
        </is>
      </c>
      <c r="F4697" t="inlineStr">
        <is>
          <t>君主専制；専制的権力；独裁専制；将軍専制；専制王権</t>
        </is>
      </c>
      <c r="G4697" t="inlineStr">
        <is>
          <t>専制政治；専制主義；専制公；専制国家；専制君主制</t>
        </is>
      </c>
      <c r="H4697" t="n">
        <v>29</v>
      </c>
      <c r="I4697" t="inlineStr">
        <is>
          <t>天皇家はこの敗戦前のような専制権をお持ちになってはいけないのです。；カイ・クムの専制的意志はどこまでこの捕虜を連れて行くのだろうか?；彼は経済基盤を健全化し、それを実現するために専制的な支配を強めた。；十七歳と七十歳とはまず人生もっとも専制的な年齢なのを忘れていた。；こうした実績から、次第に専制的となり権力を一手に占めるようになっていた。；どちらか一方だけだと、小独裁者の専制になってかえって結果は良いのだが。；ユナイテッド航空は、該当する全ての航空機を運用から専制的に外した。；しかし、リッチャヴィ王家の専制支配はいつまでも続いたわけではない。；これらの専制の多くでは、真の自由主義の存在は非常に疑問である。；もしできることなら、かれらはあの公爵夫人よりも専制的になっていただろう。；皇位に就いた天武天皇は専制的な統治体制を備えた新たな国家の建設に努めた。；子供たちは専制者を倒した革命党のように得意であった。；そのとき、暴君の専制に対抗する理念は、地球教の信仰でなくてはならぬ。；そしていま、最良の部類に属する専制者をえようとしているのではないか。；こういうところに権力的な専制が存在する余地はないのである。；バウアーはもちろんこのロシア的専制のなかに自分たちの未来を求めたわけではない。；第四は秀吉の専制的な性格にその理由を求める説だ。；野党からはその専制者的な行動を非難されることが多かった。；何だって暗黒の専制勢力に対して、正義がひざをつかねばならないのか。；彼は本能的な専制者であって、友に自分と異なった考えがあろうとは想像だもしなかった。；つまり義慈王が父の正妃を殺してまで掴み取ったのは専制王権だったのだ。；彼の専制的な政治は、一部の貴族達の不満を買っていた。；逆説的だが民衆はいつだって専制者を求めていたのではないか。；彼らは貴族のように専制的な支配を行っていた。；こうして皇帝専制体制は消滅し、自由主義者たちが悲願の政権の座についた。；アマリアの専制的な心は、人が自分と異った考えをもつことを許せなかった。；吾党は自由の公敵なる専制政府を顛覆して公議政体を建立するを以て任となす。；テオドロス2世は皇帝による専制を強化し、貴族の力を除こうと図った。；金で傭われて来る兵士に対しては、どうしても専制的にやって行かねばならぬ。</t>
        </is>
      </c>
      <c r="J4697">
        <f>HYPERLINK("https://www.weblio.jp/content/専制", "词义详情")</f>
        <v/>
      </c>
      <c r="K4697">
        <f>HYPERLINK("https://yourei.jp/専制", "查看例句")</f>
        <v/>
      </c>
    </row>
    <row r="4698">
      <c r="A4698" t="inlineStr">
        <is>
          <t>全盛期</t>
        </is>
      </c>
      <c r="B4698" t="inlineStr">
        <is>
          <t>成功</t>
        </is>
      </c>
      <c r="C4698" t="inlineStr">
        <is>
          <t>読み方：ぜんせいき
人気・勢力・実力などが、もっとも盛んな状態にある時期。「武士の—」「—を過ぎた選手」</t>
        </is>
      </c>
      <c r="D4698" t="inlineStr">
        <is>
          <t>全盛期時代</t>
        </is>
      </c>
      <c r="E4698" t="inlineStr">
        <is>
          <t>花；頂点；盛り；ピーク；絶頂</t>
        </is>
      </c>
      <c r="F4698" t="inlineStr">
        <is>
          <t>バブル全盛期；映画全盛期；アイドル全盛期；ラジオ全盛期；ファミコン全盛期</t>
        </is>
      </c>
      <c r="H4698" t="n">
        <v>29</v>
      </c>
      <c r="I4698" t="inlineStr">
        <is>
          <t>人気の高さから、全盛期を中心に他局でも類似企画が制作・放送された。；この都市はであり、その全盛期にはエジプトで最も富裕な都市であった。；一部には、全盛期のザ・ドリフターズをイメージさせるとの声もあった。；特に全盛期は、徳間書店では唯一の子供向けキャラクター雑誌であった。；作品の全盛期では「人の心理」をテーマに使ったエピソードが多かった。；この時が松岡外交の全盛期であり、首相の座も狙っていたと言われている。；全盛期のハンザ同盟は約200の都市から構成されたと言われている。；全盛期の頃は中国にとってワルドナー以上に脅威と見られたこともある。；韓非は百家争鳴と呼ばれる中国思想史の全盛期に生まれた政治家である。；全盛期には休日に一日で昼と夜の二回興行が行われることも多かった。；全盛期には鉱山技師として尊敬され有名になったが、晩年は不遇だった。；しかし、このときまでには、全盛期に比べるとの市場は小さくなっていた。；年代的にはオーストラリアテニス界の全盛期と同時代に位置している。；経済学賞は、当該受賞者が全盛期を過ぎてから授与されるケースが多い。；しかし、勝利したもののルイスが全盛期を過ぎ衰えたことが明確になった。；変身すれば、実際の年齢とは無関係に全盛期の肉体を得ることが可能。；またこの時代には文化も発展し、朝倉家は孝景の時代に全盛期を迎えていた。；ヒットは出たものの、評論家やファンにはすでに全盛期を過ぎた印象を与えた。；全盛期の写真週刊誌は日本のマスコミの記事作成手法に大きな影響を与えた。；根岸興行部の3代目経営者であり、浅草六区の全盛期を作った人である。；全盛期は芸能界の王様と評されたこともあり、その影響は広範囲に及ぶ。；全盛期のプレイはYouTube等でも拝見でき再評価されている。；全盛期の飯塚はスタートの切り方非常にうまく、得意としていた。；全盛期は月に数日程度しか眠らないこともしばしばであった。；孝宗の治世に入り、ある程度の安定を得た南宋で再び詩が全盛期を迎える。；しかし昇進後は全盛期を過ぎており、一度も優勝相当成績を残すことが出来なかった。；当時は貸本全盛期で、漫画単行本は基本的に貸本屋向けに発行された。；酷使のためか全盛期が短く、活躍したのは僅かな期間であった。；全盛期のアテナイはこのデロス島に金庫を置いてデロス同盟を支配した。</t>
        </is>
      </c>
      <c r="J4698">
        <f>HYPERLINK("https://www.weblio.jp/content/全盛期", "词义详情")</f>
        <v/>
      </c>
      <c r="K4698">
        <f>HYPERLINK("https://yourei.jp/全盛期", "查看例句")</f>
        <v/>
      </c>
    </row>
    <row r="4699">
      <c r="A4699" t="inlineStr">
        <is>
          <t>前線</t>
        </is>
      </c>
      <c r="B4699" t="inlineStr">
        <is>
          <t>成功</t>
        </is>
      </c>
      <c r="C4699" t="inlineStr">
        <is>
          <t>読み方：ぜんせん
１戦場で敵に直接向かい合っている所。戦闘の第一線。「—で戦う」「—に送られる」「最—」
２仕事や運動などの第一線。「セールスの—に立つ」
３異なった気団の境界面と地表との交線。これを境にして気温・気圧・風向・風速などが急に変わり、悪天候を伴うことが多い。その運動によって温暖前線・寒冷前線・停滞前線などに分ける。不連続線。「梅雨—」
４《3に似るところから》地図上で、ある現象の起きる日、時刻などを結んだ線。桜の開花日を結んだ桜前線、紅葉日を結んだ紅葉(もみじ)前線など。
５異なった二つの海流または水塊が接触する場所。
６サッカーで、ピッチの中盤よりも相手のゴールに近い部分。</t>
        </is>
      </c>
      <c r="D4699" t="inlineStr">
        <is>
          <t>前線基地(6%)；前線部隊(2%)；前線指揮；前線視察；前線司令</t>
        </is>
      </c>
      <c r="E4699" t="inlineStr">
        <is>
          <t>戦場；最前線；戦地；戦域；戦陣</t>
        </is>
      </c>
      <c r="F4699" t="inlineStr">
        <is>
          <t>北軍前線；桜前線；南軍前線；自ら前線；前線拠点</t>
        </is>
      </c>
      <c r="G4699" t="inlineStr">
        <is>
          <t>前線航空管制；前線面；前線及び軍事輸送航空隊指揮所；前線偵察機</t>
        </is>
      </c>
      <c r="H4699" t="n">
        <v>29</v>
      </c>
      <c r="I4699" t="inlineStr">
        <is>
          <t>これは前線で戦闘中に死亡した兵士の数が除外されたためとされている。；ほとんどは国際式と同じであるが、前線はいずれも点や十字が入らない。；司令部へ向かう途中にアレクセイは初めて前線部隊の閲兵の模様を見た。；そんな折、説得に応じて前線に戻ってきた尊氏が指揮を取るようになった。；そのため、臨機応変にしなければならない前線へ金を出すのは躊躇する。；砂漠戦仕様の本機は、ごく少数が生産され、前線に投入されたとされる。；前線の通過に伴い、南東寄りの風から南西・北西寄りの風に急変する。；ファルケンハインは攻撃を行う前線の幅を3キロから4キロに制限した。；前線の通過にともない、南よりの風から北または西よりの風に変わる。；またボスコ・ジュロヴスキー監督時代には前線で起用される試合もあった。；次兄は事件があった時は徴兵されて前線に出ており、ドイツにいなかった。；熱帯低気圧が北上して前線が生じた上で温帯低気圧に変わることがある。；前線方面軍は極東方面の海軍を含めた全軍を統括する巨大な軍となった。；日本軍は一部前線部隊を除けば、完全に不意打ちを食らった形となった。；艦容に変化はなく、内地と前線を往復して航空機輸送任務に従事した。；一旦前線に穴が開くと、戦車が侵入し前線の数百マイル後方にまで侵入できた。；また、女性は後方支援だけでなく、兵士として前線に立つ場合もあった。；彼は西部戦線と東部戦線のどちらでも前線で戦い、中尉にまで昇進した。；このことは連合艦隊と前線部隊、特に第二艦隊との間にしこりを残した。；こうした批判にもかかわらず、チャップリンは前線の兵士にも人気があった。；担当領域のアプティック門は前線を遠く離れ、予備艦隊が駐留していた。；前線の接近する数時間前から雲が観測できることが多い。；重要な港湾都市であるトリエステは、戦後の東西対立の前線となった。；この混乱によりは対ロシアと対セルビアの両前線で軍を分割せざるを得なかった。；近接航空支援は、前線の地上部隊に協力して、航空攻撃を提供すること。；また、前線は直線的な場合が多いが、波打ったような形をしていることもある。；若い将軍ナポレオンはイタリアの前線に数日後に出立しなければならなかった。；高句麗の高恵真らは衆を率いて安市城を援け、靺鞨は常に前線で戦った。；これは前線を覆う幅の広い層状の雲の先端部で起こることが多い。</t>
        </is>
      </c>
      <c r="J4699">
        <f>HYPERLINK("https://www.weblio.jp/content/前線", "词义详情")</f>
        <v/>
      </c>
      <c r="K4699">
        <f>HYPERLINK("https://yourei.jp/前線", "查看例句")</f>
        <v/>
      </c>
    </row>
    <row r="4700">
      <c r="A4700" t="inlineStr">
        <is>
          <t>全然</t>
        </is>
      </c>
      <c r="B4700" t="inlineStr">
        <is>
          <t>成功</t>
        </is>
      </c>
      <c r="C4700" t="inlineStr">
        <is>
          <t>読み方：ぜんぜん
［ト・タル］［文］［形動タリ］余すところのないさま。まったくそうであるさま。
「—たるスパルタ国の属邦にあらずと雖も」〈竜渓・経国美談〉
［副］
１（あとに打消しの語や否定的な表現を伴って）まるで。少しも。「—食欲がない」「その話は—知らない」「スポーツは—だめです」
２残りなく。すっかり。
「結婚の問題は—僕に任せるという愛子の言葉を」〈志賀・暗夜行路〉
３（俗な言い方）非常に。とても。「—愉快だ」</t>
        </is>
      </c>
      <c r="D4700" t="inlineStr">
        <is>
          <t>全然違う(4%)；全然わから；全然知ら；全然ちがう；全然そんな</t>
        </is>
      </c>
      <c r="E4700" t="inlineStr">
        <is>
          <t>まるで；まったく；全く；何も；すっかり</t>
        </is>
      </c>
      <c r="F4700" t="inlineStr">
        <is>
          <t>もう全然；まだ全然；全然無；全然趣を異に；全然分ん</t>
        </is>
      </c>
      <c r="H4700" t="n">
        <v>29</v>
      </c>
      <c r="I4700" t="inlineStr">
        <is>
          <t>でもそれを歌うと全然別の話で、僕はそのせいで周りの目が気になった。；街を歩いているうちに、頭の中で全然関係のない風景や出来事が繋がる。；見学コースで案内役が説明していたことと実態は全然異なっているのだ。；でも、なぜ弟は以前にも全然抵抗というものをしなかったのでしょうか。；中国語と日本語では全く同じ漢字を使っても意味が全然違う単語がある。；あなたが服のことなんか全然わからない、ってことはそのとおりですよ。；二人が全然相互に理解するというようなことはまあまあないことだと思う。；貝になると言ったし、全然説明してくれなかった、俺を捨てたわけもだ。；あんまり静かなので、全然長いこと我慢していられないくらいなのだ。；こうした転地の費用のことはお父さんは全然心配する必要はないはずだね。；チャブ台の上などで原稿をかく人がありますが、私には全然できません。；チャブ台の上などで原稿をかく人がありますが、私には全然出来ません。；具体案ができ上がったら、私は全然この農場から手を引くことにします。；彼はそれを下へ下ろし、開いても見たが全然見覚えのないものだった。；従って進歩の所縁となるべき関係以外は、全然その存在を認められない。；口では否定しても全然反抗ができていないなど体は正直というタイプ。；その二度目のものの内容は開けてみてはゐなかつたので、全然わからない。；それに、わたしたちはそれまでにあの人に全然会ったことがなかったんです。；でも、そんなことを知らせてやることも全然必要じゃなかったことでしょう。；われわれは君たちがこんなところに住んでいることを全然知らなかったのだ。；女が男に対する魅力とは、全然こういう資格や能力とは関係ないのか。；僕は室生に別れた後、全然さういふ風流と縁のない暮しをつづけてゐる。；が、二人とも云ひ合せたやうに、全然暮し向きの問題には触れなかつた。；まさか妾の全然知らない人物が入りこんで殺していったとは考えられない。；あの晩の捜査の結果では、全然犯人の出て行った形跡がない様に見えました。；向うでは、彼が近づいてくるのに全然気がつかないようであった。；のみならず、この人の生活に近い生活を書いた小説には全然興味を持つてゐない。；ヘーゲルの意味と俺の意味と全然相蓋うてゐぬことは云ふ迄もない。；しかもわたくしのいることについて、全然気がつかないようであった。</t>
        </is>
      </c>
      <c r="J4700">
        <f>HYPERLINK("https://www.weblio.jp/content/全然", "词义详情")</f>
        <v/>
      </c>
      <c r="K4700">
        <f>HYPERLINK("https://yourei.jp/全然", "查看例句")</f>
        <v/>
      </c>
    </row>
    <row r="4701">
      <c r="A4701" t="inlineStr">
        <is>
          <t>先々月</t>
        </is>
      </c>
      <c r="B4701" t="inlineStr">
        <is>
          <t>成功</t>
        </is>
      </c>
      <c r="C4701" t="inlineStr">
        <is>
          <t>読み方：せんせんげつ
先月の前の月。</t>
        </is>
      </c>
      <c r="H4701" t="n">
        <v>29</v>
      </c>
      <c r="I4701" t="inlineStr">
        <is>
          <t>先々月から父の実家に出現した赤ん坊は、父の弟夫婦の子である。；つまり先々月は三十一名で、それまで各月とも多少の出入りはあったが平均して三十名ぐらいだった。；全米住宅価格指数は、3ヵ月ごとに先々月までの四半期分が公表される。；先々月ですか、越後の方に行きましたらね、史跡踏査に行ったのです。；先々月、江戸より彦根に藩主となって初の入部を果たされたそうだ。；まあそれはともかく、何を言いたいのかと言うと、既に先々月の段階で下準備は終えていたのだから、今日の作業はそんなに大仕事にはならないだろうと、僕はたかをくくっていたのだ。；先月だか先々月だかたまたま、「ういろう」の箱を下げてやって来たのである。；先々月の末までは、そなた様はまだ春日山へいらせられたのでござる。；先月のも先々月のも未だ御勘定は頂きませんが、御客さんには違ひおまへん。；「母ちゃんは、帰らんとよ」 先々月末その手紙が来た時、祖父は言った。；覚えていますか、もう先々月になりますね。；先々月頃から伊勢丹の石川君など、近いうちと言っていた。；この秘話をしてくれたN博士も、先々月この世を去った。；先々月以降は、その方針は、ぼくに照準を定めたものへと変更されたものの、基本理念までが完全に変わった、完全になくなったとは思えない。；先々月からは赤ん坊が父の実家にはいる。；たしか先々月であったか、東京三越に現代高僧墨蹟展覧会なるものがあった。；出夢くんは、先々月のときも先月のときも、零崎のことを知っているような口ぶりをしたことがあった。；ところが、先月か先々月かの「火は飛ぶ」という作品は、あれはいい。；しかし、バレンタインを気にするならクリスマスだって気にしなければ嘘というものだが、先々月の二十四日には別にこれといって何を考えた覚えもない。；あまり先月や先々月のものを批評するのもおかしなものだ。；私はつい先々月、二度目に書いた「小説のようなもの」の中で、幾らか明るい部分を書こうとしてみたが、やっぱり私の小説は暗い影に包まれてしまった。；先々月に死亡したといっても、元国務大臣だし、彼の弟は、今でも、政界で、力を持っている。；つい先々月頃のこととか。；いま彼女のいる貸別荘には、先々月はヘンリーさんというアメリカ生れの老人が二人の孫娘をつれてやって来た。；アノ折角ですが鈴代は少し身体がよくないんで、先々月木更津の家へかえりました。；また、先々月そうだったように、最初は圧倒されるばかりだったその部屋の有様に、単純に僕の片付け欲が刺激されたというのもある。；それからそれへと新しい噂に追われて、物忘れの早い江戸の人たちは、先々月の末に汗を拭きながら牡丹餅をこしらえたり、買い歩いたりした事を、遠い昔のように思いなして、もうその噂をする者もなかった。；先々月ベルギーの首府で開かれた万国の気球研究者の会で高価な盃を懸賞にして気球の競走をやらせた。；達也は一瞬、先々月の事件の際に絡んできた国防軍情報部の一部局が所有するステルス飛行船かと思ったのだが、船体の形状からすぐに自分の勘違いだと分かった。</t>
        </is>
      </c>
      <c r="J4701">
        <f>HYPERLINK("https://www.weblio.jp/content/先々月", "词义详情")</f>
        <v/>
      </c>
      <c r="K4701">
        <f>HYPERLINK("https://yourei.jp/先々月", "查看例句")</f>
        <v/>
      </c>
    </row>
    <row r="4702">
      <c r="A4702" t="inlineStr">
        <is>
          <t>先々週</t>
        </is>
      </c>
      <c r="B4702" t="inlineStr">
        <is>
          <t>成功</t>
        </is>
      </c>
      <c r="H4702" t="n">
        <v>29</v>
      </c>
      <c r="I4702" t="inlineStr">
        <is>
          <t>そして、恭介の高校の先輩である河村雅人が殺されたのが先々週のことだ。；最後に会ったのはあまり覚えてないですけど、先々週くらいだったかもしれません。；たとえば先々週、山口電気の佐々木さんたちが来たときもそうだった。；最後に彼に会ったのは先々週のことだから、かれこれ二週間になる。；たとえ自分が覚えていないにせよ、実際にここを先々週に歩いたはずなのだから、当然と言えば当然なのだけれど。；土曜日には必ず顔を見せる京子が、先々週から姿を現さなくなった。；信じないかもしれないけどね、実を言うと僕は先々週、あのリンクでひどく転んだんだ。；先々週の十六日から一週間は、ぼくも向こうへ視察に行って、彼と一緒に最後のつめをやりましたよ。；先週の帰宅が三時二十分ごろ、先々週は買い物をして帰ったので四時少し前。；とにかくあのジャケットが誤算だった、と友彦は先々週のことを思い出す。；先々週ようすを見にいったときには、もういなかった。；先々週久しぶりに会ったんだけれど、そのときにね、ひょんなことから今日の試合のことを話したのさ。；「俺は先々週に潜ってます」治療術師の武智健司が手を上げた。；先々週あたりから鳴き始めた虫の声が鼓膜に触れ、そして。；するとやはり先々週、先週と同じにいるんですのよ。；それから先週の木曜日にここへ来たときにも見えたはずだし、先々週だってそうだし、その前もそうじゃないのか!；先々週の日曜日、十代の女の子たち三人と一緒に、渋谷と自由が丘を探検してきました。；ついこの間まではベスト5に入るのも稀だったのに、先々週あたりから指名数をぐんぐん伸ばしてきて、ついにトップの座を勝ち取ってしまった。；「先々週の、定休日の翌日でした」 と、店主は迷わずに証言した。；先々週、ある女性週刊誌に千鶴さんのインタビューが掲載されていて、俺は近所のコンビニでその雑誌を購入した。；本来のスケジュールでは、先々週にメンバーの選定を終わっているはずだったのだから、少なからぬ遅れが出ている。；先々週は入院で潰れ、先週は観劇の予定が入っていたので、考えてみれば彼女と会うのは三週間ぶりだった。；先々週、このページに登場した日航女子社員の制服に関する文章も、お読みになってらっしゃったのでしょうか?；上田によると、先々週山下の監禁モノに出演したので臨時収入が入ったはずだと言う。；確か、先々週にうちの人が話を聞いた時にも、もう治療の目処は立ったというようなお話をされていたはずですわよね?!；警察が桐原を疑っていることは、先々週の金曜日に館岡から聞いていたが、疑いの程度がはっきりしなかった。；先週も先々週もその前の週も、デザートはおあずけだった。；最初の事件は先々週だ。；先々週の日曜には、そこで試合があり、例によって村をあげての応援があったが、地元チームは大敗した。</t>
        </is>
      </c>
      <c r="J4702">
        <f>HYPERLINK("https://www.weblio.jp/content/先々週", "词义详情")</f>
        <v/>
      </c>
      <c r="K4702">
        <f>HYPERLINK("https://yourei.jp/先々週", "查看例句")</f>
        <v/>
      </c>
    </row>
    <row r="4703">
      <c r="A4703" t="inlineStr">
        <is>
          <t>先祖</t>
        </is>
      </c>
      <c r="B4703" t="inlineStr">
        <is>
          <t>成功</t>
        </is>
      </c>
      <c r="C4703" t="inlineStr">
        <is>
          <t>読み方：せんぞ
１家系の初代。祖先。
２その家系に属した過去の人々。祖先。「—代々の墓」</t>
        </is>
      </c>
      <c r="D4703" t="inlineStr">
        <is>
          <t>先祖たち(3%)；先祖様(2%)；先祖以来；先祖書；先祖さま</t>
        </is>
      </c>
      <c r="E4703" t="inlineStr">
        <is>
          <t>祖；祖先；ルーツ；始祖；高祖</t>
        </is>
      </c>
      <c r="F4703" t="inlineStr">
        <is>
          <t>ご先祖；御先祖；遠い先祖；わが先祖；古い先祖</t>
        </is>
      </c>
      <c r="G4703" t="inlineStr">
        <is>
          <t>先祖返り；先祖供養；先祖崇拝；先祖がえり；先祖帰り</t>
        </is>
      </c>
      <c r="H4703" t="n">
        <v>29</v>
      </c>
      <c r="I4703" t="inlineStr">
        <is>
          <t>多くの別荘は規模が大きく先祖代々受け継がれているものも少なくない。；ドモヴォーイは、古い時代の先祖の精霊がその起源だと考えられている。；関係者は「ご先祖様が同じ墓に入ることになって良かった」と話している。；母方の先祖の中で悪名高い人物の一人にガブリエル・ブリュールがいる。；そのため、これが脊椎動物のもっとも古い先祖と言われたこともある。；この柱は墓の隣に安置され、死後や先祖の世界と関連付けられている。；この時代のアメリカへの移民の中には、ケネディ家の先祖も含まれていた。；稀に先祖の家の名を用いる人々がいるが、その場合は故地名と同様に置かれる。；一茶の先祖はこのような北信濃の柏原に移住してきた一農民であった。；一般に、仏壇の中で、ご先祖様より子孫が大きくならないようにする。；破壊を避けるために先祖代々の墓も退避せざるをえない悲劇であった。；藤原氏説には先祖を藤原道長とする説と藤原基忠とする説の2つがある。；テレマン家もバッハ家ほどではないが先祖に何人かの音楽家を出している。；彼らは豆や日や風など、サイシャット族のそれぞれの苗字の先祖である。；ただ、彼の先祖はブリューゲルという名前の村出身であった可能性がある。；しかしこのゲームが本当にポーカーの先祖であるのかどうかはよくわかっていない。；同家は、牛窪記にその先祖と推定される渡邊氏の活躍が著述されている。；先祖は大井氏と称したが家紋や通字からは大江氏との関係が指摘されている。；先祖の異なる者が婚姻により家族となっても、各個人の姓は同一にならない。；観光客や取材に「自分の先祖は宣教師を食べた」と公言する住民もいる。；レナペ族の社会は共通の母系先祖を元にする母系集団に分かれていた。；また先祖は近江源氏高島氏の一族で田中城の城主であったともいわれる。；同じ類の華族は宗族会を作り、先祖の祭祀などで交流を持つようになった。；一方で彼は母の先祖に黒人が存在するかもしれないと恐れた。；また、仲麻呂の子である満月丸が後の安倍晴明の先祖にあたるとされる。；伝説によれば、他の先祖が第6回十字軍でを手に入れたとされる。；この文化に所属していた人々はナチェズ族やタエンザ族の先祖と考えられている。；この蛮族が、フォーセリアの今の時代に生きる人間たちの先祖である。；父方・小鷹狩家の先祖は広島藩主・浅野家の家老職を勤めたこともあった。</t>
        </is>
      </c>
      <c r="J4703">
        <f>HYPERLINK("https://www.weblio.jp/content/先祖", "词义详情")</f>
        <v/>
      </c>
      <c r="K4703">
        <f>HYPERLINK("https://yourei.jp/先祖", "查看例句")</f>
        <v/>
      </c>
    </row>
    <row r="4704">
      <c r="A4704" t="inlineStr">
        <is>
          <t>戦争</t>
        </is>
      </c>
      <c r="B4704" t="inlineStr">
        <is>
          <t>成功</t>
        </is>
      </c>
      <c r="C4704" t="inlineStr">
        <is>
          <t>読み方：せんそう
［名］(スル)
１軍隊と軍隊とが兵器を用いて争うこと。特に、国家が他国に対し、自己の目的を達するために武力を行使する闘争状態。国際法上は、宣戦布告により発生し、当事国間に戦時国際法が適用される。いくさ。「—が勃発する」「隣国と—する」
２激しい争いや競争。「受験—」「交通—」
[補説]書名別項。→戦争
[補説]2014年6月に実施した「あなたの言葉を辞書に載せよう。2014」キャンペーンでの「戦争」への投稿から選ばれた優秀作品。◆平和の尊さを感じさせる最も愚かな手段。chgnatsuさん◆正しい者が勝つわけでもなければ、勝つ者が正しいわけでもない。ころんさん◆たくさんの人から明日を奪い取っていくもの。ちょコぱふぇさん◆人間をコマとした、権力者の将棋。ひっちょさん◆あらゆる技術の産みの親。多数の犠牲から新たな世界が創造されるという、皮肉ではあるが現実の存在。J.P.Gさん◆それによる損失は計り知れないのにも関わらず、周期的に繰り返さずにはいられない、人類特有の愚行。VAMさん◆死語になるのを待っている言葉。ありとあらゆる辞書からの消滅を待っている言葉。未来の子供たちに「戦争?　それ、なに?」と言われるのを待っている言葉。花見咲蔵さん◆歴史に於ける酷い二日酔い。起きた直後は二度と繰り返さないと誓うが、いつか必ず繰り返す。飲兵衛さん◆ハンバーグや唐揚げが晩御飯に並んだとき、大人数の兄弟がいる場合の食卓。Jのおまめさん</t>
        </is>
      </c>
      <c r="D4704" t="inlineStr">
        <is>
          <t>戦争中(5%)；戦争末期；戦争遂行；戦争協力；戦争指導</t>
        </is>
      </c>
      <c r="E4704" t="inlineStr">
        <is>
          <t>軍；戦；役；戦い；戦闘</t>
        </is>
      </c>
      <c r="F4704" t="inlineStr">
        <is>
          <t>聖杯戦争；七年戦争；百年戦争；三十年戦争；帝位継承戦争</t>
        </is>
      </c>
      <c r="G4704" t="inlineStr">
        <is>
          <t>戦争犯罪；戦争状態；戦争責任；戦争映画；戦争捕虜</t>
        </is>
      </c>
      <c r="H4704" t="n">
        <v>29</v>
      </c>
      <c r="I4704" t="inlineStr">
        <is>
          <t>これは、日本およびその同盟国との戦争を想定してなされたものである。；戦争能力は軍事力だけでなく経済的要素は国力の重要な構成要素である。；この王は戦争に勝利しても、土地の住民をローマに移住させなかった。；日本の近代以前の歴史上の戦争を題材とした場合は通常時代劇と呼ばれる。；ヨーロッパを越えて新大陸やインドにも植民地をめぐる戦争は拡大した。；この遺跡は農耕社会出現前の食料採集民の戦争の確実な例とされている。；しかし同時にこのような形態の戦争は現実の戦争で出現しているわけではない。；藩主の座から追われた松平定敬は国許には帰らず箱館まで戦争を続けた。；恐怖と恐れと共に人の影にいた彼らが人間との戦争を始め、今に至る。；の中で、両陣営は長期的な戦争目的を明確にしなければならなかった。；しかし、これは戦争の限定された本質を明らかにしているに過ぎない。；戦争機械の完成を阻止するには全工場を速やかに破壊せねばならない。；イタリアの社会主義者は戦争を支持すべきか反対すべきかで意見が分かれた。；ジョゼフはイギリスに渡り、戦争が始まると逮捕されマン島で過ごした。；この戦争では史上初めて近代的な機械技術が主戦力として投入された。；そして、連合国に講和を提案したが拒否され、結局戦争へと進んでいく。；しかし、このような絶対的戦争は現実の戦史には見られない戦争である。；北部の国債には海外からの投資があり、戦争勃発時はドイツが投資した。；国民に向けて最も多くの戦争報道をしたのが新聞であった。；第二次世界大戦以降は、主に第一次世界戦争と呼ばれるようになった。；というのもイギリスはヨーロッパでの戦争に捉われていたからである。；戦争によって勝ち得た権利を放棄することをアメリカは決して同意しない。；今また、彼は悪と戦争から手を引くことはないと証明している。；戦争の危機が高まり、急速に事態が緊張化して制御不能となっていく。；また、『リグ・ヴェーダ』などの戦争記事がその根拠のひとつとされた。；アメリカに防衛を委ねることで、戦争を国家の想定外としてきたのだ。；戦争を回避するためにあらゆる戦争行為は禁じられなければならない。；つまり戦争の本来の目標とは敵の戦闘力を破壊することに他ならないと考えられる。；機動力が重視される現代の戦争においては歩兵も機械化されることが多い。</t>
        </is>
      </c>
      <c r="J4704">
        <f>HYPERLINK("https://www.weblio.jp/content/戦争", "词义详情")</f>
        <v/>
      </c>
      <c r="K4704">
        <f>HYPERLINK("https://yourei.jp/戦争", "查看例句")</f>
        <v/>
      </c>
    </row>
    <row r="4705">
      <c r="A4705" t="inlineStr">
        <is>
          <t>専属</t>
        </is>
      </c>
      <c r="B4705" t="inlineStr">
        <is>
          <t>成功</t>
        </is>
      </c>
      <c r="C4705" t="inlineStr">
        <is>
          <t>読み方：せんぞく
［名］(スル)特定のものだけに属していること。特に、芸能人などがある一つの会社・団体だけと契約していること。「レコード会社に—する作詞家」「—契約」</t>
        </is>
      </c>
      <c r="D4705" t="inlineStr">
        <is>
          <t>専属女優(5%)；専属俳優(3%)；専属歌手(3%)；専属契約；専属コーチ</t>
        </is>
      </c>
      <c r="E4705" t="inlineStr">
        <is>
          <t>所属；配属；帰属；直属</t>
        </is>
      </c>
      <c r="F4705" t="inlineStr">
        <is>
          <t>専属アナウンサー；東宝専属；専属捕手；専属オーケストラ；専属モデルオーディション</t>
        </is>
      </c>
      <c r="G4705" t="inlineStr">
        <is>
          <t>専属モデル；専属管轄；専属運転手；専属騎手；専属マネジメント契約</t>
        </is>
      </c>
      <c r="H4705" t="n">
        <v>29</v>
      </c>
      <c r="I4705" t="inlineStr">
        <is>
          <t>非常に狭い道を走るため、新設当初から専属の中型車が使用されている。；一戸営業所の高速車2台が専属で使用され、検査時のみ車両交換を行う。；正式な加入発表は無いものの、専属女優がイベントに参加している事がある。；権利又は義務が特定人に専属し他の者に移転しない性質をいう。；ソフト・オン・デマンド専属を離れて以降は様々なメーカーの作品に出演。；これをきっかけにロドリゲスを襲撃して専属リングアナから解雇とした。；また、それに伴い所属事務所は橋爪を翌日付で専属契約解除処分とした。；デビュー後に日活で数作に出演した後、松竹へ移籍し同社の専属俳優となる。；なお毎日放送の専属であった時期もあり多くの番組に出演した。；また組み立て工程も専属の作業員4人がグループを組んで担当している。；番組専属指揮者としての活動は2年間ほど続いたが、その後自然消滅する。；専属の声優はいなかったものの、安原義人が最も多く担当している。；この頃にザ・ドリフターズの専属歌手として唄っていたこともあるという。；専属車であった名残りで他車と共通運用化された時点でも専用の塗装のまま運用されていた。；持ち役であるジェット・リーは、現在までほぼ専属で担当している。；青森放送の元アナウンサーで、テレビ埼玉と専属契約していた時期もある。；作家陣は専属ではなく、両誌で執筆していた作家もある。；超狭隘路を走行するため、小型バスの日野・ポンチョが専属で使用される。；枠前半のスポーツニュースコーナーの製作は日本テレビが専属で担当。；ただし専属の縛りは無く、タレント側は他社からも作品をリリースしている。；また日本ハム時代の専属トレーナーは自身運営の鍼灸院スタッフが務めた。；ラッピングしていた関係でE1339号車が専属的に使用されている。；ラジオセンター専属のアナウンサーを設けて、番組の進行役を務めさせている。；俳優の専属制度も大手では最も長く維持された。；にジェイミー・モイヤーと共にフィリーズの球団専属解説者に就任した。；同商店街専属のデザイナーが描いた風景イラストによる独自券面である。；破産財団に属する財産の管理及び処分する権利は、破産管財人に専属する。；その後、専属を離れ多数のメーカーの作品に出演している。；番組に出演するAV女優は決まったAVメーカーの専属女優であることが多かった。</t>
        </is>
      </c>
      <c r="J4705">
        <f>HYPERLINK("https://www.weblio.jp/content/専属", "词义详情")</f>
        <v/>
      </c>
      <c r="K4705">
        <f>HYPERLINK("https://yourei.jp/専属", "查看例句")</f>
        <v/>
      </c>
    </row>
    <row r="4706">
      <c r="A4706" t="inlineStr">
        <is>
          <t>先代</t>
        </is>
      </c>
      <c r="B4706" t="inlineStr">
        <is>
          <t>成功</t>
        </is>
      </c>
      <c r="C4706" t="inlineStr">
        <is>
          <t>読み方：せんだい
１当主・当代の前の代。「—の会長」
２現在同じ芸名を受け継いでいる人の、1代前の人。「—の団十郎」
３現代より前の時代。前代。</t>
        </is>
      </c>
      <c r="D4706" t="inlineStr">
        <is>
          <t>先代藩主(5%)；先代モデル(2%)；先代同様；先代当主；先代社長</t>
        </is>
      </c>
      <c r="E4706" t="inlineStr">
        <is>
          <t>前身；前任；前任者；先任；前代</t>
        </is>
      </c>
      <c r="F4706" t="inlineStr">
        <is>
          <t>ご先代；先代比；先代皇帝；先代住職；先代王</t>
        </is>
      </c>
      <c r="G4706" t="inlineStr">
        <is>
          <t>先代萩；先代旧事本紀大成経；先代未聞</t>
        </is>
      </c>
      <c r="H4706" t="n">
        <v>29</v>
      </c>
      <c r="I4706" t="inlineStr">
        <is>
          <t>この代から、先代まで設定されていたハッチバックモデルが廃止された。；先代までの王は、王位の承認を得るために各地を巡行する必要があった。；ボディサイズは先代よりわずかに大きくなっており、室内も広くなった。；なお、球団経営は先代の会長が道楽でやっていただけと記されている。；先代と同じ5ナンバーサイズを維持しつつ、室内幅を40mm拡大した。；先代ほど人気は伸びなかったことで、マツダオリジナルの開発は終了した。；先代に引き続き北米輸出が図られたほか、新たに欧州へ輸出されている。；ところが、部屋経営や指導方針の意見の違いから先代と対立するようになった。；この時の大月氏王はかつて匈奴に殺された先代王の夫人で、女王であった。；先代の木造駅舎は閉鎖されているが、そのままの形で残されている。；ちなみに先代の台湾版は前記の通り日本の初代と全く同一だった。；先代は北小学校前の個人展示館で今もなお、美しく保存されている。；デザインは先代よりもさらに直線的で角張ったものとなっている。；その流れから先代・後代の皇帝に限らなければ、甥と叔父も多かった。；欧州やオセアニア市場向けには、先代同様MT仕様車も設定されている。；ユパンキの父ウィラコチャの先代までの王は伝説上の人物と考えられている。；先代にあたるオースター同様主にイギリスと日本の工場で生産・販売された。；複数の力士が同時に昇進した場合、先に引退した者が先代になることになっている。；宗辰自身も先代藩主である父吉徳の政策には、批判的な立場だったと伝わる。；先代駅舎の当初の設計者は渡辺節で、当時の京都駅を模した形状だった。；これは特に先代のアバカの即位の例を意識したものであった。；サスペンション形式は前後共に先代モデルと同じ形式を採用した。；また、先代に存在していたリベスタはカスタムに吸収される形で廃止された。；フルモデルチェンジ後も先代車両の製造が継続される場合がある。；初期仕様は先代同様にフロントドアウィンドウに固定式の三角窓があった。；これにより両車のデザイン差異は、先代と比較してかなり少なくなっている。；フロント部分のデザインは、先代モデルから大きく変更された部分の一つである。；寛政8年に兄で先代藩主の信古が死去したため、その養子として跡を継いだ。；先代まで存在したオープンモデルは廃止され、全車クーペのみの設定となる。</t>
        </is>
      </c>
      <c r="J4706">
        <f>HYPERLINK("https://www.weblio.jp/content/先代", "词义详情")</f>
        <v/>
      </c>
      <c r="K4706">
        <f>HYPERLINK("https://yourei.jp/先代", "查看例句")</f>
        <v/>
      </c>
    </row>
    <row r="4707">
      <c r="A4707" t="inlineStr">
        <is>
          <t>全体</t>
        </is>
      </c>
      <c r="B4707" t="inlineStr">
        <is>
          <t>成功</t>
        </is>
      </c>
      <c r="C4707" t="inlineStr">
        <is>
          <t>読み方：ぜんたい
［名］
１からだのすべての部分。全身。
２あるひとまとまりの物事のすべての部分。「組織の—にかかわる問題」「—の構造を把握する」「画用紙の—を使って描く」「—像」
［副］
１もともと。もとより。「—自分が悪いのだ」
２（あとに疑問を表す語を伴って）いったい。いったいぜんたい。「—これはどういうことか」</t>
        </is>
      </c>
      <c r="D4707" t="inlineStr">
        <is>
          <t>全体的(3%)；全体会議；全体図；全体像；全体防御</t>
        </is>
      </c>
      <c r="E4707" t="inlineStr">
        <is>
          <t>全て；全；皆；全部；一切</t>
        </is>
      </c>
      <c r="F4707" t="inlineStr">
        <is>
          <t>社会全体；世界全体；顔全体；システム全体；地域全体</t>
        </is>
      </c>
      <c r="G4707" t="inlineStr">
        <is>
          <t>全体像；全体主義；全体性；全体主義国家；全体主義体制</t>
        </is>
      </c>
      <c r="H4707" t="n">
        <v>29</v>
      </c>
      <c r="I4707" t="inlineStr">
        <is>
          <t>州内には31の国が保護する原生地の全体あるいは一部が含まれている。；州全体が島だけで構成されているアメリカ合衆国で唯一の州である。；淡路島全体で一つの市となる構想や動きもあったが、実現しなかった。；しかし宇宙全体で見ると、実は液体の状態で存在している量は少ない。；文全体でこのスコアの合計がもっとも高くなるような品詞列を答えとする。；被験者の全感覚、すなわち全体野への入力がどれも遮断されるのである。；州道の建設と保守、および州全体の交通計画は州交通局が担当している。；この全体性を持ったまとまりのある構造をドイツ語でゲシュタルトと呼ぶ。；リスト全体を指すポインタは、アクセスポインタと呼ばれることがある。；日本全体を総称する際には、「日本六十余州」などと表現することもあった。；西部の人口が多いために民主党が州全体の結果を制する傾向にある。；しかし、北朝鮮はまた復帰しており全体として参加国は増加傾向である。；複素数平面上では、虚数全体は複素数平面から実軸を除いた部分である。；ある体上の同じサイズの正則行列の全体は一般線型群と呼ばれる群を成す。；次に卦辞が続き卦の名前と卦全体の内容を様々な象徴的な言葉で説明する。；知事は州全体で選出される唯一の役人であり、ほかの役人は知事が指名する。；同じ片を使用している以上全体の面積は同じである。；各期間と間期全体にかかる時間は細胞の種類や生物の種類によって様々である。；係り結びをどう用いるかによって、文全体の意味に明確な違いが出た。；このモデル全体、もしくは一部分が他の計算の基として用いられることがある。；州内には林野局の管理する9つの国有林の全体あるいは一部が含まれている。；一般の群 の中心 は の任意の元と交換する の元全体の成す部分群であった。；これは脊椎動物全体に見られる特徴で、ウィリストンの法則と呼ばれる。；北中部州全体の中では北西側、アヌラーダプラ県の中では中央付近にある。；観客は見下ろすような位置から舞台全体を見ることができた。；そのため、県全体では2000年頃から人口は減少に転じている。；またこうした技術を利用して車体全体に広告などを実施したラッピング車両が実現された。；県全体の面積は日本一面積の大きい市町村である岐阜県高山市よりも狭い。；これらは全体としては朝廷守護説や源平交代説などに通じるものである。</t>
        </is>
      </c>
      <c r="J4707">
        <f>HYPERLINK("https://www.weblio.jp/content/全体", "词义详情")</f>
        <v/>
      </c>
      <c r="K4707">
        <f>HYPERLINK("https://yourei.jp/全体", "查看例句")</f>
        <v/>
      </c>
    </row>
    <row r="4708">
      <c r="A4708" t="inlineStr">
        <is>
          <t>洗濯</t>
        </is>
      </c>
      <c r="B4708" t="inlineStr">
        <is>
          <t>成功</t>
        </is>
      </c>
      <c r="C4708" t="inlineStr">
        <is>
          <t>読み方：せんたく
［名］(スル)《「せんだく」とも》
１衣服などを洗って汚れを落とすこと。
２日常の仕事などから離れて気分を一新したり、からだの疲れをいやしたりすること。「命の—」</t>
        </is>
      </c>
      <c r="D4708" t="inlineStr">
        <is>
          <t>洗濯屋(7%)；洗濯もの(3%)；洗濯場(3%)；洗濯用；洗濯槽</t>
        </is>
      </c>
      <c r="E4708" t="inlineStr">
        <is>
          <t>掃除；落とす；清掃；洗う；浄化</t>
        </is>
      </c>
      <c r="F4708" t="inlineStr">
        <is>
          <t>炊事洗濯；掃除洗濯；西洋洗濯；洗濯盥；洗濯工場</t>
        </is>
      </c>
      <c r="G4708" t="inlineStr">
        <is>
          <t>洗濯機；洗濯女；洗濯板；洗濯室；洗濯乾燥機</t>
        </is>
      </c>
      <c r="H4708" t="n">
        <v>29</v>
      </c>
      <c r="I4708" t="inlineStr">
        <is>
          <t>どこで洗濯ものをするのだろうかということはいつも話題になっていたが。；で、銀さんの着物の洗濯でも出來た時には私の方から持つて行きました。；当時のラ・マルティルには35箇所の洗濯場があったと特定されている。；そのひとたちから洗濯や子供を取りあげたらどんなものが残るのだろう。；母が彼の上京のために洗濯してくれた新しい蒲団を敷いてもぐりこんだ。；もともとはシャツの洗濯などが手軽にできなかった時代の発明である。；馬鈴薯やソラ豆をつくっているのもあれば、洗濯をやっているのもある。；また、各国の洗濯事情や用途に応じてラインナップが細分化されている。；いつか洗濯してあげるわねと言つたが、洗濯などはしてくれなかつた。；洗濯機が無かった時代において、主に洗濯の用途などで多く用いられた。；放蕩の酒で臓腑を洗濯されたような彼の趣もようやく解する事ができた。；乗員の健康維持のために停泊時の洗濯は必要であることを示した写真。；濡れた洗濯ものからはあのときまだ床にしかれた砂の上へ水がたれていたのに。；小物などはハンガーを使わずにそのまま洗濯槽の底に置くことができる。；帰って来るとはすぐにまた、洗濯や食事の仕度やお掃除などに没頭する。；この間、一日のうちに大体毛のものの洗濯終ったら本当に疲れました。；そして選択してる内には自分で自分の胃の腑を洗濯してしまうことになるんだ。；そのほか理髪所や洗濯部、車馬部などのサービス部門が併設されていた。；洗濯工場博物館には、オリジナルの状態で保存された洗濯工場がある。；これらの布製品を洗濯したあと保管するための部屋はリネン室という。；今ではその写真は、部屋の隅にある棚の、洗濯したシャツの下にしまってある。；お庄は洗濯ものに押しをしておいて、それから近所の氷屋へ走った。；洗濯屋の前にある一本の柳の枝が白い干物といっしょになって軽く揺れていた。；母さまのお洗濯する方へ行つて見ますと、そこにも竹の子が出て來てゐました。；インクは異なるため製品やサイトに記載されている洗濯方法を参照する事が重要。；胴部分が晒やフランネルでできているため、洗濯がしやすくなっている。；毎日洗濯をしたり、子供と散歩したりして、幸福らしいと云うのだ。；酸性白土と同様の性質を示すものもあり、これは古くから洗濯用に使われた。；その背後の間では義理の祖母が、洗濯の済んだ幾枚もの着物を畳んでゐた。</t>
        </is>
      </c>
      <c r="J4708">
        <f>HYPERLINK("https://www.weblio.jp/content/洗濯", "词义详情")</f>
        <v/>
      </c>
      <c r="K4708">
        <f>HYPERLINK("https://yourei.jp/洗濯", "查看例句")</f>
        <v/>
      </c>
    </row>
    <row r="4709">
      <c r="A4709" t="inlineStr">
        <is>
          <t>選択</t>
        </is>
      </c>
      <c r="B4709" t="inlineStr">
        <is>
          <t>成功</t>
        </is>
      </c>
      <c r="C4709" t="inlineStr">
        <is>
          <t>読み方：せんじゃく
⇒せんちゃく（選択）</t>
        </is>
      </c>
      <c r="D4709" t="inlineStr">
        <is>
          <t>選択する(16%)；選択できる(6%)；選択的(5%)；選択可能(3%)；選択性</t>
        </is>
      </c>
      <c r="E4709" t="inlineStr">
        <is>
          <t>代わり；選ぶ；代替；選定；選抜</t>
        </is>
      </c>
      <c r="F4709" t="inlineStr">
        <is>
          <t>コマンド選択；正しい選択；非選択；選択すれ；選択出来る</t>
        </is>
      </c>
      <c r="G4709" t="inlineStr">
        <is>
          <t>選択科目；選択権；選択的スプライシング；選択公理；選択的夫婦別姓</t>
        </is>
      </c>
      <c r="H4709" t="n">
        <v>29</v>
      </c>
      <c r="I4709" t="inlineStr">
        <is>
          <t>画面で必要な文型と単語を選択することで文章を構成することができる。；多様なエンプラの開発により様々な場面にあった物の選択が可能になる。；対戦プレイの際にはゲーム開始前に好みのキャラクターを選択する。；圧倒的に経験が少ないブランドを起用したのはカザンの選択であった。；その髭を剃るか伸ばすかは個人の選択やその人が住む地域の文化による。；この発見は職業として彼が天文学を選択する上で決定的なものであった。；自由な行為・選択があることに伴い、それに応じた責任が発生する。；そして、最も生産的で安定したクローンが将来の使用のために選択される。；非ステロイド性抗炎症薬には選択性のものと非選択性のものがある。；このように東名のルート選択は、経済比較を綿密に行ったうえで決定した。；口金の形状には多数の種類があり、電球の用途に応じ選択されている。；このような性質は周波数選択性の光学フィルターなどに使われている。；編集方針の決定や原資料の選択は政治的に有力者が主導したものと推測されている。；これまで通りの選択も可能であるが、その場合婚前に手続きが必要となる。；選択・操作の対象には以下のものなどがあると思われる。；高校の高学年生は州のランニングスタート・プログラム利用を選択できる。；飛行方向の制御から武器選択と発射まではスティック部でおこなえる。；その意味で、当時はこの表記にはフレームを選択する上で重要な意味があった。；その地域の気候に最も適した品種を選択し栽培することが大切である。；その新たな生命への過程として、従来の人類の排除計画を選択する。；メニュー項目選択時に番号ボタンを押すことで直感的な操作も可能である。；銀はさらに伝導率が高いが、高価であるため多くの場合選択されない。；しかし、一度どちらかを選択すれば、その後の変更は認められない。；以上を踏まえ、それぞれの実験に応じた装置を選択する必要がある。；婚姻時に、婚姻前の姓を保持するか、共通の姓かを選択することができる。；いずれにせよ、得点がより高くなるほうを選択することになる。；しかし戦争末期には資源不足から安易な代用品を選択することも多い。；神の命令の範囲内で、人は自らの進路を選択する自由意志が与えられている。；以上の解析から、T数を計算し、それを選択・補正してT数を決定する。</t>
        </is>
      </c>
      <c r="J4709">
        <f>HYPERLINK("https://www.weblio.jp/content/選択", "词义详情")</f>
        <v/>
      </c>
      <c r="K4709">
        <f>HYPERLINK("https://yourei.jp/選択", "查看例句")</f>
        <v/>
      </c>
    </row>
    <row r="4710">
      <c r="A4710" t="inlineStr">
        <is>
          <t>洗濯物</t>
        </is>
      </c>
      <c r="B4710" t="inlineStr">
        <is>
          <t>成功</t>
        </is>
      </c>
      <c r="C4710" t="inlineStr">
        <is>
          <t>読み方：せんたくもの
洗濯を必要とするもの。汚れもの。また、洗濯したもの。</t>
        </is>
      </c>
      <c r="D4710" t="inlineStr">
        <is>
          <t>洗濯物入れ；洗濯物干し；洗濯物みたい；洗濯物をたたん；洗濯物だらけ</t>
        </is>
      </c>
      <c r="F4710" t="inlineStr">
        <is>
          <t>汚い洗濯物</t>
        </is>
      </c>
      <c r="H4710" t="n">
        <v>29</v>
      </c>
      <c r="I4710" t="inlineStr">
        <is>
          <t>窓の下にはまたしても、洗濯物でいっぱいの袋がふたつ置いてあります。；干してある洗濯物が強い風にあおられる音を聞いて少し気になったのだ。；家の窓の一部にはガラスがなく、庭に原色の洗濯物が風になびいていた。；私は洗濯物の入った籠をかかえたまま、カーテンの陰に身を隠していた。；川の向こう側には木造のアパートが洗濯物をへばりつかせて並んでいる。；女中は洗濯物をしたり居眠りをしたりして、なかなか家を空けなかった。；旅行中にためて来た洗濯物を一度にしてテラスに乾したものと見える。；それに長期不在にするのであれば、洗濯物を取り込んでいくはずである。；ときどき母は、わけもなく洗濯物などを抱えて、あの川へ出かけて行った。；フリルのついた下着がなかったら、男の子の洗濯物に見えたことだろう。；しかも近所からは、沙都子が洗濯物を干しているところ等の目撃がある。；だが「汚い」といっても、洗濯物の汚れを指しているのではないらしい。；小さな青い女もいて、ほとんどが洗濯物入れの袋の上に座っているようでした。；玄関が南向きで、その手前に狭いながら洗濯物が干せる程度の庭があった。；生乾きの洗濯物の匂いもするけれど、不思議と嫌な匂いとは思わなかった。；そこへ、一人の娘のような女が出てきて洗濯物を取り入れました。；小さな浴槽の蓋の上に、汚れた洗濯物でいっぱいになった籠が置かれていた。；彼の頭の上では、街の人間が干したままの洗濯物がパタパタと揺れている。；正確にいうなら、それらの洗濯物を取り込むことを忘れていたのです。；回転する洗濯物をぼんやり眺めながら、僕は安男さんの心の内を思った。；真っ暗な中で洗濯物がひらひらと揺れているのがガラス越しに見えた。；洗濯物入れのビニール袋にはその四倍も水が入るのだから問題はない。；ノボルはいまも野球に熱中しているが洗濯物が大変だ、というのである。；中でも強烈な記憶は、母親の晴代が庭で洗濯物を干していた時のことだ。；ひとつは、洗濯物にはどうしても下着関係が含まれるという事実である。；確かに一時間ほど前にリビングルームの前のベランダに洗濯物を干した。；洗濯物を取り入れたり、掃除をしたりする忙しそうな主婦の姿が見えた。；洗濯物は少し前まで売っていた青いゴミ袋にまとめて放り込んである。；洗濯物をすべて干してしまっても、部屋の中に戻るのには気が引けた。</t>
        </is>
      </c>
      <c r="J4710">
        <f>HYPERLINK("https://www.weblio.jp/content/洗濯物", "词义详情")</f>
        <v/>
      </c>
      <c r="K4710">
        <f>HYPERLINK("https://yourei.jp/洗濯物", "查看例句")</f>
        <v/>
      </c>
    </row>
    <row r="4711">
      <c r="A4711" t="inlineStr">
        <is>
          <t>先だって</t>
        </is>
      </c>
      <c r="B4711" t="inlineStr">
        <is>
          <t>成功</t>
        </is>
      </c>
      <c r="D4711" t="inlineStr">
        <is>
          <t>先だって死去(2%)；先だって行われる</t>
        </is>
      </c>
      <c r="E4711" t="inlineStr">
        <is>
          <t>前もって；先駆けて；先んじて</t>
        </is>
      </c>
      <c r="H4711" t="n">
        <v>29</v>
      </c>
      <c r="I4711" t="inlineStr">
        <is>
          <t>つい先だっても夫の取っている雑誌の中に一枚の絵を見たばかりだった。；先だってある人が母が人の養う猫鬼に殺されたと訴えたことがあった。；身体に先だって精神があるのでもなく精神に先だって身体があるのでもない。；妻との間に1女をもうけたが、その娘はティエールに先だって死去した。；あなたたちは先だってから日本の権力集団と対立を強いられているはずでしょう。；それは聖体拝領に先だって不可欠とされた告解のシステムのせいである。；しかも権六は一行に先だって、自ら江戸に出発しようというのだった。；つい先だって社会不満にかけては老舗の暴走族たちと会う機会があった。；先だっての夕食会に出た者といえば、医者と私のほかは心理学者だけであった。；先だって髭と髪を焼いて覚悟を示しておいたため、武帝も出家を許した。；一番先だってかまやしないし、この人たちが見てたってかまやしない。；これは10月20日のレイテ島上陸に先だって行われたものであった。；その友人の犬はつい先だってもここの近くには来たくない素振りを見せていた。；そういえば、先だって何か式があって、たくさんの貴族の子弟が入ってきた。；カバーを外されたその本は、つい先だって津原自身が手がけたものだった。；またシーズンに先だって開催されるプレシーズンマッチも合わせて記載する。；なお、撤退に先だって、戸川牧場など関係者の牧場へ移転した馬もいる。；そして、あの細い棒の先だって、やがては水の中に引きこまれてしまうのだ。；先だっても蛙の肉をやって試してみたが駄目だったと子供等は残念そうだった。；第一に維乗法すなわち西洋の行列式関係のものが西洋に先だって発達した。；私の隣の家で先だって一人の男がその姉妹を殺した。；私はそんなことを本気にしたくもなければ、この先だって本気になんかしたかありません!；先だってもそのことを、われわれの権威者のひとりと話しあったが。；つい先だっての夜、二、三人の友人と賑やかなところで食事をした。；この先だって、あの時以上の悲しみを思うことはないだろう。；先だって豊臣秀吉の朝鮮侵攻が起こり、朝鮮の救援のために明軍が派遣された。；つい先だってわたしが長野に訪ねた看護師さんもすごいコスプレだった。；それに先だって惑星上で襲撃されると思っていなかったことは、たしかに油断である。；先だっても議論をして、高見さんから大学の教師に生活なんかあるものかとやられました。</t>
        </is>
      </c>
      <c r="J4711">
        <f>HYPERLINK("https://www.weblio.jp/content/先だって", "词义详情")</f>
        <v/>
      </c>
      <c r="K4711">
        <f>HYPERLINK("https://yourei.jp/先だって", "查看例句")</f>
        <v/>
      </c>
    </row>
    <row r="4712">
      <c r="A4712" t="inlineStr">
        <is>
          <t>先端</t>
        </is>
      </c>
      <c r="B4712" t="inlineStr">
        <is>
          <t>成功</t>
        </is>
      </c>
      <c r="C4712" t="inlineStr">
        <is>
          <t>読み方：せんたん
１長い物のいちばんはしの部分。とがった物のさきの部分。「棒の—」「錐(きり)の—」「岬の—」
２時代・流行などの先頭。先駆。「流行の—を行く」</t>
        </is>
      </c>
      <c r="D4712" t="inlineStr">
        <is>
          <t>先端部分；先端近く；先端側；先端付近；先端医療</t>
        </is>
      </c>
      <c r="E4712" t="inlineStr">
        <is>
          <t>頭；先；最後；末；端</t>
        </is>
      </c>
      <c r="F4712" t="inlineStr">
        <is>
          <t>半島先端；丘陵先端；鋭い先端；機首先端；銃身先端</t>
        </is>
      </c>
      <c r="G4712" t="inlineStr">
        <is>
          <t>先端成長；先端巨大症；先端恐怖症；先端芸術表現科；先端研</t>
        </is>
      </c>
      <c r="H4712" t="n">
        <v>29</v>
      </c>
      <c r="I4712" t="inlineStr">
        <is>
          <t>先端形状・太さ・長さなどは扱うねじに合わせてさまざまな種類がある。；そして帆柱の先端に青い炎が踊り出した、と伝えられているからである。；下は顎の先端から上は頭髪の生え際まで、左右は耳までがほぼ顔である。；使用するには先端に着火し、最初に出る炎を吹き消して燠の状態にする。；細かく形の特徴を表す時には、葉身の葉柄の側を脚、先端側を頭という。；先端は剣状になっており、両刃で片側は鋸刃状になっていることが多い。；針や棒の影の先端の一点の位置で時刻を読み取る精密なタイプもある。；筆とは、毛の束を軸の先端に付けた、字や絵を書くための道具である。；影の先端からスタートして、指定された方角へ指定された歩数を進める。；半島内にはいくつか村や漁港があり、先端まで鉄道と道路が通っている。；隠岐の島町の中心地から南に約3km離れた岬半島の先端部に位置する。；雄性胞子葉は軸のみに退縮していて先端に2つの雄性胞子嚢を形成する。；特有の黒い線が前足にあり、名前の由来となる先端が黒い短い尾を持つ。；東京方先端部は下り線側のホームが一部欠け、上り線側よりもやや短い。；北に進み階段を下れば、海が広がる砲台跡の長崎ノ鼻の先端に到着する。；先端が少しくぼんでおり、葉先が二つに分かれたようになっている。；尾羽根は青灰色で扇状に開いた際に中央の2枚が最も長く先端が白い。；先に向かって細くなり、先端以外の肢節にそれぞれ1対の内突起をもつ。；それぞれの棒の先端には大きな質量があり、軸を中心に全体が高速に回転する。；多数の花が並んでいる場合、基本的には先端から遠いものから順に花が咲く。；戦車のように体を覆う装甲と、先端に大きな骨塊のついた尾をもつ。；槍は主に、長い棒とその先端に付く硬質な部品の二つで構成される。；このために先端が欠けて現在の姿となったといわれている。；翼の先端はとがっているが根元は幅広く、尾はハヤブサよりも少し長い。；髷の先端が大きなイチョウの葉に似ていることからこの名がある。；柄よりも刃の部分が短くないと刃先端が収納できないため、比較的小型の物が多い。；ビリヤードではキューを振って先端のティップでボールに触れて転がす。；その先端は手や枝のように大きく広がっている。；下面の蓋は、実包の先端などを利用してロックを解除することで開く。</t>
        </is>
      </c>
      <c r="J4712">
        <f>HYPERLINK("https://www.weblio.jp/content/先端", "词义详情")</f>
        <v/>
      </c>
      <c r="K4712">
        <f>HYPERLINK("https://yourei.jp/先端", "查看例句")</f>
        <v/>
      </c>
    </row>
    <row r="4713">
      <c r="A4713" t="inlineStr">
        <is>
          <t>先着</t>
        </is>
      </c>
      <c r="B4713" t="inlineStr">
        <is>
          <t>成功</t>
        </is>
      </c>
      <c r="C4713" t="inlineStr">
        <is>
          <t>読み方：せんちゃく
［名］(スル)
１先に到着すること。「荷物が—する」「—順」
２囲碁で、手順として先に打つこと。また、互いの要点に先に打つこと。「—して優位に立つ」</t>
        </is>
      </c>
      <c r="D4713" t="inlineStr">
        <is>
          <t>先着する(10%)；先着列車；先着者；先着購入者特典；先着予約特典</t>
        </is>
      </c>
      <c r="F4713" t="inlineStr">
        <is>
          <t>先着購入特典；先着特典；ハナ差先着；クビ差先着；半馬身先着</t>
        </is>
      </c>
      <c r="H4713" t="n">
        <v>29</v>
      </c>
      <c r="I4713" t="inlineStr">
        <is>
          <t>エルプスとは最後の対戦になったが、一度も先着できないままであった。；女のほうが先着していることも、彼女の積極的姿勢を示すもので嬉しい。；現場に一番近い消火栓は、先着した西が丘が使っている可能性が大きい。；矢田と沙織は、先着の堂本たち三人に迎えられるようにして車を降りた。；普通は守口市駅まで先着し、普通との連絡は守口市駅にて行われていた。；彼の家臣が先着していて、ここでは何かと用意もととのっていたのである。；左辺の黒は封鎖されても生きが残っているので4に先着すべきだった。；男性と女性で受付電話番号が違い、どちらも先着1名が電話で参加する。；この後黒aにオサエるのが部分的に好形だが、右辺に先着する手もある。；もう先着が十何名もいて、部屋の中は水を打ったように静かだった。；こちらも一度も先着することができなかった馬の1頭であった。；先着のものから数えて、私は二十五六人目位の位置を占めた。；実は私の方が先着して時計とにらめっこしながら待っていましたから。；逆に白が1の点に先着すると、白模様が大きく拡大して黒模様の規模が小さくなる。；もっとも、端にいたホクトベガにクビ差先着しただけの決勝線通過だった。；日中は、当駅を出たほとんどの普通車は上り列車が岸和田駅まで先着する。；続く名古屋グランプリは地方所属馬では最先着ながら5着に終わった。；先着分と抽選分に分かれていたが、先着分は応募開始直後に終了した。；てっきり一番乗りかと思っていたから先着の人間がいたことは意外だった。；この集落のどこかの家で、先着の連中が食事の用意をしているということであった。；会場に当てられた広間にはすでに数組のカップルが先着していた。；当然まだ来ていないだろうと思っていたが、なんと明美はすでに先着して待っていた。；加えて歴代名エピソードのフィルム風シールも先着で配布されている。；そこへあんたに先着されるのが恐くて、救助に行くんじゃないのか?；先着していた可能性があるというだけでは、降着とはならない。；また日中以外でも大幅に増え、さらにほとんどの列車が終着駅まで先着している。；続く5月5日のかしわ記念では5着だったが地方勢最先着を果たした。；逃げ切りを許し、さらにタイキブリザードにも先着を許す3着に敗れた。；特に先着して松尾を待ちうけた中橋とさゆりは、明らかに何かを含んでいた。</t>
        </is>
      </c>
      <c r="J4713">
        <f>HYPERLINK("https://www.weblio.jp/content/先着", "词义详情")</f>
        <v/>
      </c>
      <c r="K4713">
        <f>HYPERLINK("https://yourei.jp/先着", "查看例句")</f>
        <v/>
      </c>
    </row>
    <row r="4714">
      <c r="A4714" t="inlineStr">
        <is>
          <t>選定</t>
        </is>
      </c>
      <c r="B4714" t="inlineStr">
        <is>
          <t>成功</t>
        </is>
      </c>
      <c r="C4714" t="inlineStr">
        <is>
          <t>読み方：せんてい
［名］(スル)多くの中から目的・条件などに合うものを選び定めること。「委員を—する」</t>
        </is>
      </c>
      <c r="D4714" t="inlineStr">
        <is>
          <t>選定委員会；選定基準；選定理由；選定作業；選定日本におけるモダン・ムーブメントの建築</t>
        </is>
      </c>
      <c r="E4714" t="inlineStr">
        <is>
          <t>選択；選ぶ；選抜；選考；採択</t>
        </is>
      </c>
      <c r="F4714" t="inlineStr">
        <is>
          <t>地選定；候補者選定；japan選定日本におけるモダン・ムーブメントの建築；docomomojapan選定；読売新聞社選定</t>
        </is>
      </c>
      <c r="G4714" t="inlineStr">
        <is>
          <t>選定療養；選定侯</t>
        </is>
      </c>
      <c r="H4714" t="n">
        <v>29</v>
      </c>
      <c r="I4714" t="inlineStr">
        <is>
          <t>この方式は加藤高明首相の病死後の選定時にも継続されることになった。；首都は、国政の中心として交通の便が良い場所が選定されることが多い。；選定基準が同一の場合には抽選が行われ、抽選で当選した馬が出走できる。；これは民間の企画であるが、日本の秘境100選にも選定されている。；しかし特別委員を倍数の候補者の中から選定することを近衛に返答した。；本賞はハリウッド外国人映画研究協会の会員の投票により選定される。；改造種車には状態の良い車両が選定されたため、製造の新しいユニットが中心である。；大規模災害時の救援活動の拠点となる「防災道の駅」に選定されている。；この人にはだれも賞を贈らないだろう、ということを中心に選定されている。；加えて学生代表決定委員会のメンバー、ならび大学の選定基準が不明である。；州知事は特別委員会が選んだ候補者の中から各裁判所の判事を選定する。；このことから路線選定のコンセプトを都心と市街地周辺との連絡に置いた。；湖沼水質保全特別措置法に指定されており、疏水百選に選定されている。；ここに至って、輝元は築城地の選定に幕府の意見を求めることとした。；また、院議会に常議員会が置かれ、院議会で院議員の互選で選定される。；立地の選定から建物の設計までウォルマートと共同で行った第1号店である。；報告書は援助対象候補国の選定を世界的規模で行い、以下のリストを作成した。；その後は首相選定に参画するようになり、大正5年に正式な元老となった。；そのため、真に医療が必要な者を選定することが必要になった。；溶接上の対策は、できるだけ入熱が小さい溶接条件を選定することである。；選定後、廃止になった駅があるため、現存する駅は98駅である。；中でも多くの票数を占めかつ陸軍省選定の結果「疾風」の名が選ばれた。；玉の大きさによって発射薬の量と導火線の長さが調整・選定される。；以下は、図様の選定など何らかの形で制作に携わったと考えられる作品である。；付近には景観的に優れたところはないものの、地形的に設置が容易であることが選定の理由である。；そして当時は入札制度がなく、施工業者の選定にも問題があったことも指摘された。；このとき楽曲の取捨選択が行われ、明治選定譜と呼ばれる楽譜が作成された。；なお、令和の初めに俳句結社により、自身が夏の季語に選定された模様。；日本100名城に選定されており、国の特別史跡に指定されている。</t>
        </is>
      </c>
      <c r="J4714">
        <f>HYPERLINK("https://www.weblio.jp/content/選定", "词义详情")</f>
        <v/>
      </c>
      <c r="K4714">
        <f>HYPERLINK("https://yourei.jp/選定", "查看例句")</f>
        <v/>
      </c>
    </row>
    <row r="4715">
      <c r="A4715" t="inlineStr">
        <is>
          <t>前提</t>
        </is>
      </c>
      <c r="B4715" t="inlineStr">
        <is>
          <t>成功</t>
        </is>
      </c>
      <c r="C4715" t="inlineStr">
        <is>
          <t>読み方：ぜんてい
１ある物事が成り立つための、前置きとなる条件。「匿名を—に情報を提供する」「結婚を—につきあう」
２論理学で、推論において結論が導き出される根拠となる判断。⇔結論。</t>
        </is>
      </c>
      <c r="D4715" t="inlineStr">
        <is>
          <t>前提そのもの；前提知識；前提要件；前提となる暫定；前提となる米海兵隊</t>
        </is>
      </c>
      <c r="E4715" t="inlineStr">
        <is>
          <t>想定；仮説；仮定；仮設；常識</t>
        </is>
      </c>
      <c r="F4715" t="inlineStr">
        <is>
          <t>基本的前提；無前提；みを前提；論理的前提；理論的前提</t>
        </is>
      </c>
      <c r="G4715" t="inlineStr">
        <is>
          <t>前提主義；前提主義弁証論</t>
        </is>
      </c>
      <c r="H4715" t="n">
        <v>29</v>
      </c>
      <c r="I4715" t="inlineStr">
        <is>
          <t>インターネット対戦を前提とした設計だがシングルプレイも可能である。；これは元々CSでの放送を前提としてシナリオを書いていたためらしい。；しかし少数ではあるが大量生産を前提に製造されているものもある。；ルーターなどに接続されることを前提としたモデムで採用されている。；この法則は、気体の構成粒子の存在を前提としなければ意味を持たない。；基本的に棒のどちらか一端のみが食べ物に接触することが前提となっている。；基本戦略は、デッキが全て残っていることを前提としたものである。；対戦車ミサイルへの対策として、被弾を前提とした改修が行われている。；マスコミ宛に世間一般への公開を前提とした初めての挑戦状だった。；Pythonはインタプリタ上で実行することを前提に設計している。；元々、この作品は三橋の歌唱を前提に古賀政男が作曲したものだった。；貨物列車への使用を前提とするため列車暖房用設備は非装備である。；この場合、最終目的地まで事前に予約・購入することが前提となっている。；もし神が第二の前提から理解されるなら、神がただ一人であることを示すことはできない。；ただしこれは、全ての星が放つ真の明るさは一定という前提に立っていた。；企業の過失責任を前提とする損害賠償を認めた画期的な判決となった。；JR九州が長期使用を前提にした更新では以下の工事を施工した。；図では示されていないが、前提には明示されるものと、そうでないものがある。；それは、現実世界の在り方として、当然そうであると言う前提であった。；BTRONは、16ビットで文字を表現することを前提に設計された。；主に家庭で使用されることを前提に開発されたエディション。；この例のように二つの前提から結論を導き出す演繹を三段論法という。；この場合のプロットは、製作者が読むことを前提としたビジネス文書である。；新政府は天皇の官制大権を前提として近代的な官僚制の構築を目指した。；他の生命体が水や酸素を必要とすることを前提にした探査すらある。；地球寒冷化作戦を前提にテストされていたサザビーの仕様のひとつ。；戦場ではなく日常での戦いが前提とされた剣術が主流になったのは、この頃からである。；ところで、多くの人は、道徳的責任は自由意志を前提とすると信じている。；裁判ではこの命令が実際にあったという前提で進められた。</t>
        </is>
      </c>
      <c r="J4715">
        <f>HYPERLINK("https://www.weblio.jp/content/前提", "词义详情")</f>
        <v/>
      </c>
      <c r="K4715">
        <f>HYPERLINK("https://yourei.jp/前提", "查看例句")</f>
        <v/>
      </c>
    </row>
    <row r="4716">
      <c r="A4716" t="inlineStr">
        <is>
          <t>宣伝</t>
        </is>
      </c>
      <c r="B4716" t="inlineStr">
        <is>
          <t>成功</t>
        </is>
      </c>
      <c r="C4716" t="inlineStr">
        <is>
          <t>読み方：せんでん
［名］(スル)
１商品の効能や主義・主張などに対する理解・賛同を求めて、広く伝え知らせること。「新聞を使って—する」
２事実以上に、また、事実を曲げて言いふらすこと。「自分の手柄のように—してまわる」</t>
        </is>
      </c>
      <c r="D4716" t="inlineStr">
        <is>
          <t>宣伝部(4%)；宣伝活動(4%)；宣伝用(2%)；宣伝使(2%)；宣伝効果</t>
        </is>
      </c>
      <c r="E4716" t="inlineStr">
        <is>
          <t>放送；プロ；伝える；広告；触れる</t>
        </is>
      </c>
      <c r="F4716" t="inlineStr">
        <is>
          <t>自己宣伝；宣伝相；宣伝歌；宣伝文；宣伝工作</t>
        </is>
      </c>
      <c r="G4716" t="inlineStr">
        <is>
          <t>宣伝広告；宣伝省；宣伝放送；宣伝大臣；宣伝会議</t>
        </is>
      </c>
      <c r="H4716" t="n">
        <v>29</v>
      </c>
      <c r="I4716" t="inlineStr">
        <is>
          <t>彼女は自分の悲しみを王室の宣伝に利用されるのが嫌であったという。；近年ではソフトの宣伝や開発費をハードメーカーが負担するケースも多い。；欧米で出版された作品をアフリカで再販するという宣伝を掲載している。；これはドラッグストアのの宣伝のために47州を巡回したものであった。；新たな参加者の獲得は、主に既存参加者が紹介・宣伝する方法が取られる。；番組スタート当初は宣伝部長だったが、その後宣伝本部長に昇格した。；番組中にもPanasonic製品の宣伝をするコーナーがあった。；ほとんど宣伝らしい活動をせず日本語公式Webサイトすら作られなかった。；くじの配布は手を変え品を変え、現在でも何らかの宣伝で使用されている。；トリャピーツィンは、日本軍との友好関係を、次のように宣伝していた。；広告写真は、商品・サービス・企業等の宣伝・広告の目的で撮影された写真。；父の遺領を継承したことを内外に宣伝する意味を持つと考えられる。；赤い煉瓦が特徴的であり、ドラマや宣伝のロケなどに使われることが多い。；移動式屋台は、独特の掛け声や鍋・椀・竹を叩いて販売料理を宣伝する。；広い意味では、宣伝・配給など監督の権限が及ばない分野の関係者も指す。；長女の平泉季里子はテレビ朝日でドラマ等の宣伝・編成を担当している。；創刊当初より、本誌はホビーメーカーの宣伝的な要素を強く含んでいる。；同年、日本宣伝美術協会九州地区委員となり、自宅を小倉事務所とした。；瑞祥にも宣伝にも当てはまらず、笑いをとるために付けられた地名もある。；インストール中は用意された画像の表示やほかの製品の宣伝が行われることもある。；もちろん、宣伝されたほど静かではなかったという方が正しいかもしれない。；宣伝スタッフがいないというので休日になると手伝いに行っていた。；これは、Wikipediaが宣伝の道具に利用されるのを防ぐためである。；日本でのプロモーションには約2億円の宣伝費をかけたといわれる。；旅客輸送を行わない宣伝カーは、車体形状がバスでも白ナンバーである。；コマーシャルフォトとも呼ばれるが、一般に「宣伝写真」とはいわない。；彼は演奏会を開きもしないし、自分の音楽を宣伝することはない。；この宣伝短編フィルムがガルボの女優としての最初のキャリアとなった。；この行事は、この日は主要通りの店が閉店するため、ほとんど宣伝されず。</t>
        </is>
      </c>
      <c r="J4716">
        <f>HYPERLINK("https://www.weblio.jp/content/宣伝", "词义详情")</f>
        <v/>
      </c>
      <c r="K4716">
        <f>HYPERLINK("https://yourei.jp/宣伝", "查看例句")</f>
        <v/>
      </c>
    </row>
    <row r="4717">
      <c r="A4717" t="inlineStr">
        <is>
          <t>先天的</t>
        </is>
      </c>
      <c r="B4717" t="inlineStr">
        <is>
          <t>成功</t>
        </is>
      </c>
      <c r="C4717" t="inlineStr">
        <is>
          <t>読み方：せんてんてき
［形動］
１生まれつきであるさま。「—な体質」⇔後天的。
２⇒アプリオリ</t>
        </is>
      </c>
      <c r="D4717" t="inlineStr">
        <is>
          <t>先天的なもの(6%)；先天的な要因；先天的な異常；先天的欠損；先天的な疾患</t>
        </is>
      </c>
      <c r="F4717" t="inlineStr">
        <is>
          <t>先天的欠陥；先天的形式；先天的な才能；先天的障害；先天的要因</t>
        </is>
      </c>
      <c r="H4717" t="n">
        <v>29</v>
      </c>
      <c r="I4717" t="inlineStr">
        <is>
          <t>先天的なもので、小学校を出るまでもつかどうか、と言われたのである。；勿論彼の先天的に持って生まれた智力と、勇気は別問題にしての話である。；性別の先天的な区別以外に、身体の様々な特徴が先天的な影響を受ける。；この男には、他人の痛みを理解する能力が先天的に欠如しているのだ。；われわれの分析によれば、おまえ達の暴力癖は先天的な物だとなっている。；まるで之では国家の利益と人民の利益とは先天的に相容れないかのようだ。；か弱ぶってるんじゃなくて、なんか先天的に背中のね、骨が悪いんです。；それとも今まで気がつかなかったが俺は先天的な悪魔なのだろうか。；そもそも才能というか、先天的な脳の作りからして無理な点があるのではないか?；あの魔法は一花家の先天的な素質に大きく依存するものだったはずだ。；奇形とは、主に生物が先天的に肉眼形態上の異常を持っていることを指す。；水無脳症は先天的だが、症状が出るのは出生後しばらくしてからである。；また一面、先天的素質にもの言うものがないため、という理由もあろう。；子供は先天的に、胃腸の弱い父親の素質を受け継いでいるように思えた。；彼らに秘められた力は先天的なもので、常に一時代に一つしか存在しない。；また、最近の研究は、先天的な要因も重要であることを示している。；多くの例からしてこれが先天的であることを疑う余地の無いことは特徴である。；ところが、クモ嫌いとヘビ嫌い、こちらは先天的であるような気がする。；この内容を解剖するとき、内容には先天的に成る優れたるものが存在する。；信子は先天的に無貞操な女だと何か定説のやうなものが流布してゐた。；いわゆる先天的犯罪面でその残忍酷薄さは一見しただけで想像される。；先天的に骨が弱い個体が多く、特に下肢に畸形が見られる場合がある。；即ち先天的標準なるものは吾人の美術と何らの関係を有せざるなり。；大半が先天的なものだが、外傷やほかの目の病気が原因の場合もある。；何となればカントは一般に定理を先天的な部分に入れているのであるからである。；長いこと水商売を続けてきたため、というよりも、先天的な性格なのだろう。；神の概念は矛盾を含まないため、その存在の不可能性は先天的には証明されない。；いや彼だけでなく、先天的みたいに武将は朝廷人の前へ出ると妙にみな弱くなる。；支配される側に先天的にいるのだと認めてしまえば、気分は楽だ。</t>
        </is>
      </c>
      <c r="J4717">
        <f>HYPERLINK("https://www.weblio.jp/content/先天的", "词义详情")</f>
        <v/>
      </c>
      <c r="K4717">
        <f>HYPERLINK("https://yourei.jp/先天的", "查看例句")</f>
        <v/>
      </c>
    </row>
    <row r="4718">
      <c r="A4718" t="inlineStr">
        <is>
          <t>前途</t>
        </is>
      </c>
      <c r="B4718" t="inlineStr">
        <is>
          <t>成功</t>
        </is>
      </c>
      <c r="C4718" t="inlineStr">
        <is>
          <t>読み方：ぜんと
１行く先。また、そこから目的地までの道のり。「—はほど遠い」「途中下車の—は無効になる乗車券」
２将来。「会社の—を占う」「—を誤る」「—ある若者」「—有望」</t>
        </is>
      </c>
      <c r="D4718" t="inlineStr">
        <is>
          <t>前途多難(4%)；前途有望(3%)；前途洋々(2%)；前途有為；前途無効</t>
        </is>
      </c>
      <c r="E4718" t="inlineStr">
        <is>
          <t>先；将来；見通し；行く末；先行き</t>
        </is>
      </c>
      <c r="F4718" t="inlineStr">
        <is>
          <t>輝かしい前途；暗い前途；有望な前途；多難な前途；前途百年</t>
        </is>
      </c>
      <c r="G4718" t="inlineStr">
        <is>
          <t>前途遼遠；前途洋洋</t>
        </is>
      </c>
      <c r="H4718" t="n">
        <v>29</v>
      </c>
      <c r="I4718" t="inlineStr">
        <is>
          <t>世の中が他人にどんな前途を提供することになるか誰が語れるだろうか?；いまつづけている生活以上に、前途に期待できるものはなにもなかった。；こんなにまであなたが恋しいことから前途が不安に思われてなりませんよ。；まだまだ僕の前途にどんな試煉が必要だったか、それが今わかって来た。；そして、渇望のあらわれた数千万の目で、前途を見守っていたのである。；宗助はただ洋々の二字が彼の前途に棚引いている気がしただけであった。；近衛は若い頃から西園寺の側におり、西園寺も前途に期待をかけていた。；光太夫はまた自分の前途に暗いものが立ちはだかって来るのを感じた。；何か、私の生涯の前途から一つ見えて居たものが落ちてしまった。；彼らは旅をつづけたが、前途の見とおしは決して明るいものではなかった。；カメラは旅行者ぜんとしてしまうから、これも避けた方がいいだろう。；思いがけず厄介な問題が次から次へと、前途に顔を出して来る感じだった。；前途になにが横たわっているやら、まるで見当がつかなかったからだ。；前途ある篤学者で、残留組唯一の学者ですが、何か魔がさしたのでせう。；いかにも、このあとのほうの手段は僕の前途を傷つけるかもしれない。；岸本は確かに彼女の前途に進路が開けかかって来たことを想って見た。；しかし、その中で共産主義の前途に憂うべき兆候があるのを感じ始めた。；それは何か私にはあの方の前途の多難なことを予感させるようでならなかった。；いずれも働きは人より優だが人ほど前途成道の望みないだけが劣るという。；前途に大なる希望を抱くものは過去を顧みて恋々たる必要がないのである。；前途の不安がないだけの生活の保証をつけてあげなくては。；彼女は、たぶん、つぎのような希望のない課題を前途に認めているのであろう。；頭の悪い人は前途に霧がかかっているためにかえって楽観的である。；前途に待ちうけている任務の難しさを思うと心が重いのだろう。；その当時は彼は、自分を不幸だとは思っていたが、とにかく幸福が前途にあった。；前途に、同じ運命が待ち受けているかどうかは、神のみぞ知るであるが。；前額の左のところに、その気味のわるい前途を持った傷口があったのか。；尋常の人は遺言をしても、内々は前途にある死を恐れながら書いている。；何よりも、前途に待ち受けているものに対する深い不安を覚え出していた。</t>
        </is>
      </c>
      <c r="J4718">
        <f>HYPERLINK("https://www.weblio.jp/content/前途", "词义详情")</f>
        <v/>
      </c>
      <c r="K4718">
        <f>HYPERLINK("https://yourei.jp/前途", "查看例句")</f>
        <v/>
      </c>
    </row>
    <row r="4719">
      <c r="A4719" t="inlineStr">
        <is>
          <t>銭湯</t>
        </is>
      </c>
      <c r="B4719" t="inlineStr">
        <is>
          <t>成功</t>
        </is>
      </c>
      <c r="C4719" t="inlineStr">
        <is>
          <t>読み方：せんとう
入浴料を取って一般の人を入浴させる浴場。ふろや。ゆや。公衆浴場。</t>
        </is>
      </c>
      <c r="D4719" t="inlineStr">
        <is>
          <t>銭湯帰り；銭湯屋；銭湯文化；銭湯代；銭湯めぐり</t>
        </is>
      </c>
      <c r="F4719" t="inlineStr">
        <is>
          <t>一緒に銭湯；古い銭湯；連れ立って銭湯；当銭湯</t>
        </is>
      </c>
      <c r="G4719" t="inlineStr">
        <is>
          <t>銭湯絵師</t>
        </is>
      </c>
      <c r="H4719" t="n">
        <v>29</v>
      </c>
      <c r="I4719" t="inlineStr">
        <is>
          <t>芸者衆の間でも肌がきれいになるには銭湯に行くべきであるといわれる。；ところがその倉持も七時五分ごろそこを出て、近所の銭湯へいっている。；どうせ今回こっちに来たのだって、銭湯で流されたのが原因じゃないか。；夕方になると店の女の子たちが銭湯帰りに立ち寄ってよく見学していた。；ある日、城富が銭湯へ行くと、偶然にも他の客の会話が耳に入ってくる。；主人公の処理作業員は無事任務を終え、それから銭湯へと行くのである。；その一方で幕府が低廉な価格維持の代わりに銭湯業者の保護も行っていた。；銭湯へ行ったのは本当ですが、私達より一と足先に家へ帰ったはずです。；日本では主に銭湯に設置されており、関西において盛んに普及している。；その中で銭湯の匂いなどがすると、急に人間臭い気がして不愉快になる。；銭湯帰りだろう、風呂桶を持った毛糸の帽子をかぶった男が歩いていた。；まだ夕子からの経費も残っているし、今夜あたりは銭湯へ行ってみるか。；仕事などで地方へ行った際には、時間があればその土地の銭湯を訪れている。；江戸時代より現在まで続く歴史のある銭湯が全国に複数存在している。；私は銭湯へ通っていた時代にも、かつてこの流しをつけた事がない。；まるで銭湯のような感じで、紅葉の胸飾りをしたお上りさんたちもいる。；黄昏の銭湯の、流し場の隅でひとりこそこそやっている老人があった。；以前、銭湯に通っていたときに、長い髪の若い女性が隣にきたことがあった。；これは銭湯と、町内の稽古所を調べさえすれば判ると思ったのでしょう。；このサウナのせいで、銭湯内には微妙な階級分けの雰囲気が漂っていた。；やがて、近所の日本人経営の銭湯が再開されるほどに治安が回復した。；この部屋に風呂はあるのだが、節子は銭湯へいくための道具を持っていた。；現代のごく一般的な銭湯の構造の例は次のようになっている。；ちょっと辺りを散歩すると、すぐに三軒や四軒の銭湯の前を通過することになる。；男女問わず銭湯やトイレ、階段などで盗撮される被害も起こっている。；藤兵衛は、毎日行水ばかりもしていられないので、近くの銭湯に行った。；彼が考えている家庭とは、夫婦が連れ立って銭湯へ行くようなことであった。；行ったことはないが、多分、銭湯の壁にも貼り出されているのだろう。；混乱していると、店の戸が開いて銭湯帰りの香川さんが顔を出した。</t>
        </is>
      </c>
      <c r="J4719">
        <f>HYPERLINK("https://www.weblio.jp/content/銭湯", "词义详情")</f>
        <v/>
      </c>
      <c r="K4719">
        <f>HYPERLINK("https://yourei.jp/銭湯", "查看例句")</f>
        <v/>
      </c>
    </row>
    <row r="4720">
      <c r="A4720" t="inlineStr">
        <is>
          <t>先頭</t>
        </is>
      </c>
      <c r="B4720" t="inlineStr">
        <is>
          <t>成功</t>
        </is>
      </c>
      <c r="C4720" t="inlineStr">
        <is>
          <t>読み方：せんとう
いちばん先。「列の—に立つ」</t>
        </is>
      </c>
      <c r="D4720" t="inlineStr">
        <is>
          <t>先頭集団(2%)；先頭部(2%)；先頭争い；先頭形状；先頭車体</t>
        </is>
      </c>
      <c r="E4720" t="inlineStr">
        <is>
          <t>先；端；トップ；先端；岬</t>
        </is>
      </c>
      <c r="F4720" t="inlineStr">
        <is>
          <t>自ら先頭；先頭車；かわして先頭；一番先頭；交わして先頭</t>
        </is>
      </c>
      <c r="G4720" t="inlineStr">
        <is>
          <t>先頭打者；先頭車両；先頭打者本塁打</t>
        </is>
      </c>
      <c r="H4720" t="n">
        <v>29</v>
      </c>
      <c r="I4720" t="inlineStr">
        <is>
          <t>それでもトゥーリンは先頭に立って進み、ついにこの流れを渡りきった。；これに伴い、同編成の先頭部にはスカートの取り付けも行われている。；つまり、先頭が複数あって、末尾が1つになっている構造が可能である。；先頭部分と側面窓上中央部には幕式の種別・行先表示器が設けられた。；以上をまとめて命名の先頭に立体配置命名を付けると次のようになる。；コドンの割り当ては翻訳が開始される先頭のヌクレオチドから行われる。；先頭はよりエネルギーを消費するため交代制となっている。；命令列は、先頭から最後尾に向かって逐次的に実行されるよう記述される。；設置位置は記事の先頭の文章が開始するより前とします。；模型の先頭には小型カメラが搭載され、映像を見ながらの運転が可能であった。；先頭部のジャンパ栓は撤去されたが、連結器は自動連結器で変更はない。；先頭化改造では103系0番台と同形態の非貫通の運転台が設置された。；絶対格と斜格はどちらが先頭に来ても語の強調といった意味の変化はない。；他の馬に競りかけられないまま先頭で直線に向いたが、持ったままの状態だった。；吹田方面の出口側も吹田IC付近を先頭にほぼ毎日渋滞が発生している。；レースでは4コーナーで早くも先頭に立つと、そのまま突き抜けて優勝。；スタートから先頭に立ち、独走するとそのまま後方に3馬身離して勝利。；また先頭部分は黄色いラインが2本入れられ、空調装置まで続いている。；最終コーナーまでに好位に上がり、直線に入ってまもなく先頭を奪取。；ただし妻面の窓は縮小し、編成先頭以外の貫通扉の窓は拡大された。；軽く促されただけで鋭い伸びを見せ、直線に入ってまもなく先頭を奪取した。；一般に、高速車両の先頭部の形状の決定には空気力学に基づく要素が重要となる。；内容はいずれもスタートで先頭に立ってからの逃げ切り勝ちというものだった。；これにより先頭の機関車と次位のタンク車が下り本線上に飛び出した。；空のリストを含むリストの先頭に新たなノードを挿入する関数が必要となる。；もし詩行の先頭まで行ったら、2つの詩行の響きは同じになる。；体の先頭の体節は先節といい、節足動物の眼と口はここに由来する。；地下鉄用車両であるため、先頭部右側には非常用扉が設置されている。；ヒトラーが乗った車を先頭に、車列が坂道を下って広場に入ってくる。</t>
        </is>
      </c>
      <c r="J4720">
        <f>HYPERLINK("https://www.weblio.jp/content/先頭", "词义详情")</f>
        <v/>
      </c>
      <c r="K4720">
        <f>HYPERLINK("https://yourei.jp/先頭", "查看例句")</f>
        <v/>
      </c>
    </row>
    <row r="4721">
      <c r="A4721" t="inlineStr">
        <is>
          <t>戦闘</t>
        </is>
      </c>
      <c r="B4721" t="inlineStr">
        <is>
          <t>成功</t>
        </is>
      </c>
      <c r="C4721" t="inlineStr">
        <is>
          <t>読み方：せんとう
［名］(スル)たたかうこと。特に、兵力を用いて敵に対し、攻撃・防御などの行動をとること。「—を交える」「前線で激しく—する」</t>
        </is>
      </c>
      <c r="D4721" t="inlineStr">
        <is>
          <t>戦闘機(4%)；戦闘能力(3%)；戦闘時；戦闘用；戦闘不能</t>
        </is>
      </c>
      <c r="E4721" t="inlineStr">
        <is>
          <t>軍；戦；役；戦争；試合</t>
        </is>
      </c>
      <c r="F4721" t="inlineStr">
        <is>
          <t>対空戦闘；戦闘室；戦闘状態；戦闘経験；戦闘終了</t>
        </is>
      </c>
      <c r="G4721" t="inlineStr">
        <is>
          <t>戦闘力；戦闘中；戦闘員；戦闘艦；戦闘部隊</t>
        </is>
      </c>
      <c r="H4721" t="n">
        <v>29</v>
      </c>
      <c r="I4721" t="inlineStr">
        <is>
          <t>作戦・戦闘が終結した後に地雷原は記録を活用して遅滞なく撤去される。；基本的には怪事件調査のための組織で、怪獣との戦闘は特別任務である。；しかし日本政府はすでに戦闘が開始しているためこれを丁重に辞退した。；この機能は戦闘に参加せず馬車で待機しているキャラクターにも適用される。；主目標は装甲された車両であるが、榴弾を用いて対人戦闘も可能である。；また軍用機のうち武装を持つものを戦闘用航空機と呼んで区別する。；ほとんどの連合軍諸国は、自らの作戦及び戦闘を様々な名称で呼んだ。；今日、ライプツィヒ市での戦闘のコースはモニュメントで示されている。；多くの場合は互いの石が接触して戦闘が始まるまでの段階を指す。；キラは無事脱出していた友人達と再会するが、戦闘はまだ続いていた。；彼らの中には、特殊な戦闘技術を発達させ、忍者集団となったものもいる。；敵から逃げることに成功した場合も戦闘終了となるが、この場合は何も得られない。；各キャラクターは戦闘で経験を積むことでレベルアップが可能である。；この時、ハイデルベルクでも自由主義義勇兵と軍の間で戦闘が行われた。；この戦いを境に応仁の乱より断続的に続いていた大規模な戦闘が終焉した。；また航空機が戦闘に使用され、航空母艦が整備されるようになった。；だが、近代的な戦闘理論が成立したのはナポレオンの時代に入ってからである。；戦闘で得た経験値は、戦闘に参加したキャラクターのみが獲得する。；陸戦兵器のうち戦闘力が最も強いのは1門数十トンの重さを有する列車砲である。；問題は共産党軍との激しい戦闘、そして敗退を繰り返していた陸軍である。；戦闘後に敵の一部が孤立化して残存していれば、戦果拡張が行われる。；日本軍に残されていた戦車は全て後方に留め置かれ、戦闘には使用されなかった。；戦車から砲塔を撤去し、代わりに固定式戦闘室に変更されている。；この戦闘の原因は津軽側の実績作りといわれるが不明である。；また大西洋では再度潜水艦と対潜部隊の大規模な戦闘が行われた。；日本軍は戦闘拡大を望まず、事態悪化を防ぐためにできる限り全てのことをした。；中断セーブに加えて新たに戦闘速度を5段階で調整できる機能が追加された。；一方、合計35回のUボートとの戦闘が発生し、多くの犠牲者も出した。；紛争が激化すると、戦闘の拡大を防ぐため停戦命令を発することがある。</t>
        </is>
      </c>
      <c r="J4721">
        <f>HYPERLINK("https://www.weblio.jp/content/戦闘", "词义详情")</f>
        <v/>
      </c>
      <c r="K4721">
        <f>HYPERLINK("https://yourei.jp/戦闘", "查看例句")</f>
        <v/>
      </c>
    </row>
    <row r="4722">
      <c r="A4722" t="inlineStr">
        <is>
          <t>潜入</t>
        </is>
      </c>
      <c r="B4722" t="inlineStr">
        <is>
          <t>成功</t>
        </is>
      </c>
      <c r="C4722" t="inlineStr">
        <is>
          <t>読み方：せんにゅう
［名］(スル)
１こっそりと入り込むこと。忍び込むこと。「敵地に—する」
２天文学で、月の後ろに恒星や惑星が隠れる現象。
３（「仙入」とも書く）センニュウ科センニュウ属の鳥の総称。ウグイスに似る。アジア・アフリカに24種が分布。日本では夏鳥としてエゾセンニュウ・マキノセンニュウ・シマセンニュウが草原にすむ。</t>
        </is>
      </c>
      <c r="D4722" t="inlineStr">
        <is>
          <t>潜入する(17%)；潜入取材；潜入しよ；潜入任務；潜入工作</t>
        </is>
      </c>
      <c r="F4722" t="inlineStr">
        <is>
          <t>単身潜入；深く潜入；再潜入；潜入スパイ；化けて潜入</t>
        </is>
      </c>
      <c r="G4722" t="inlineStr">
        <is>
          <t>潜入捜査官；潜入者；潜入調査；潜入工作員；潜入捜査員</t>
        </is>
      </c>
      <c r="H4722" t="n">
        <v>29</v>
      </c>
      <c r="I4722" t="inlineStr">
        <is>
          <t>兵器の正体を知らされないまま3人は兵器を持つ組織の基地に潜入する。；モニカはブライアンの確保のために潜入していたFBI捜査官であった。；忍者になるための練習を受け、城への潜入、そして鬼との決戦を迎える。；この男はオーストリア軍内に潜入していたプロイセンのスパイであった。；不二子がルパンと関係があるという情報を掴んだ銭形も現場に潜入する。；江戸時代中期の日本へ潜入して捕らえられ、その死まで江戸で幽閉された。；悟空がベビーに敗れた後は新たにパンも体の中に隠しツフル星に潜入。；世阿弥の仲間の中に真実を知るために阿波潜入を試みる者たちがいた。；任務は敵要塞内に仲間と共に潜入、メタルギアを破壊することであった。；最後は基地に潜入したTACの北斗と山中に射殺され、肉体は消滅する。；皇帝の住む屋敷への潜入は難なく成功、暗殺決行の時は近づいてゆく。；さらに敗残兵は後方地域に潜入してゲリラ化して日本軍を襲撃した。；潜入から8ヵ月もしないうちに人質たちの監禁されている場所が判明した。；試験運用と運用データ収集のためにアスラン王国内へ密かに潜入していた。；本来の潜入工作をするには状況に合った服装、すなわち変装を用いる。；だが、この船にはジュドーに興味を抱いていたハマーンが自ら潜入していた。；主に問題のある学校に潜入し問題を捜査、解決するのが目的。；新しいエリアに行く際は、エリアとエリアを結ぶ地下洞窟を通って潜入する必要がある。；これは男では潜入しにくい場合、代わりに女を潜入させるというものである。；よく登場する団員は、曲芸団出身で潜入任務を得意とするポケット小僧。；ビクトリアは先に潜入し捕まっていたが、目を覚まし基地を破壊していく。；数ヶ月後、その潜入作戦は具体的な成果を挙げられなかった。；彼女はヴォウルトに潜入し、投獄された彼女の父親を脱獄させようとした。；潜入モード中は怪人に出会った時点で、何らかの当たりが確定する。；また、昭徳城攻略の際は場内に潜入して外の味方と呼応し敵を混乱させた。；彼は、警視に能力を見込まれマフィアへの潜入を命じられたのだった。；例えばドミニコ会の宣教師は、この後も日本への潜入や潜伏を試みていた。；親戚の依頼で学園に教師として潜入した主人公が、怪事件を解決していく。；ブライは会社の指示で、患者を装って病院に潜入することとなった。</t>
        </is>
      </c>
      <c r="J4722">
        <f>HYPERLINK("https://www.weblio.jp/content/潜入", "词义详情")</f>
        <v/>
      </c>
      <c r="K4722">
        <f>HYPERLINK("https://yourei.jp/潜入", "查看例句")</f>
        <v/>
      </c>
    </row>
    <row r="4723">
      <c r="A4723" t="inlineStr">
        <is>
          <t>先入観</t>
        </is>
      </c>
      <c r="B4723" t="inlineStr">
        <is>
          <t>成功</t>
        </is>
      </c>
      <c r="C4723" t="inlineStr">
        <is>
          <t>読み方：せんにゅうかん
前もっていだいている固定的な観念。それによって自由な思考が妨げられる場合にいう。先入見。先入主。「—にとらわれる」</t>
        </is>
      </c>
      <c r="D4723" t="inlineStr">
        <is>
          <t>先入観なし(2%)</t>
        </is>
      </c>
      <c r="E4723" t="inlineStr">
        <is>
          <t>傾向；傾き；偏見；思い込み；不公平</t>
        </is>
      </c>
      <c r="F4723" t="inlineStr">
        <is>
          <t>妙な先入観；よけいな先入観；そんな先入観</t>
        </is>
      </c>
      <c r="H4723" t="n">
        <v>29</v>
      </c>
      <c r="I4723" t="inlineStr">
        <is>
          <t>間いてしまうと、どうしても先入観でその人を見てしまいますでしょう。；彼は当時はその体験を疑っていたが、先入観は持たないでいたと述べた。；形と色から硬いもので出来ているに違いないと、先入観 を抱いていた。；前もって情報を得ていなかったから、先入観のもちようがなかったのだ。；われわれにはどちらが勝つだろうなどという妙な先入観は一切なかった。；また、無知であることは先入観や偏見から自由であることをも意味する。；私は早くこの世界を理解しようと、一生懸命自分の先入観を追い払った。；もっとも、カフカについての変な先入観を捨てて見た場合のことである。；相手が急速に有名になった人物であるほど、こちらは偏見的先入観を持つ。；先入観に囚われた作戦の結果であるように見えたと彼は記している。；国宝と知ったのは、鑑賞の途中からで、初めはなんの先入観もなかった。；ただ人間が先入観を持ちすぎているために発見できないだけだ。；その点、新しい声はなんの先入観もなく、新たにスタートできるのだ。；歴史家たちは独自の先入観に基づいて原因をいろいろと解析してきた。；島の秘密を探りにきたという先入観は、多少は払拭できたかもしれない。；純江のような女が、自分を映画へ誘うはずがないという先入観があった。；とてもかなわないという恐怖に近いような先入観があなたを支配している。；これまで私が持っていた先入観みたいなものが、ひっくりかえされた。；先入観がなければ管理人が見たようにもっと若く見えるかもしれない。；先入観としてあった伝右衛門像は、証言のなかで次々にこわれていく。；私の方にそういう先入観があるのが良くないのかもしれぬ。；一次資料をもとにしているため、偏見や先入観を含んでいる可能性がある。；規則規則の学校かとも思っていたが、依藤の先入観はすこし改まった。；手塚の写真だけでは、先入観の下に、相手に妙な思い込みをされても困る。；案外この本、先入観なしで読んだほうがより面白いんじゃないのか?；先入観なしに戻ってきたいって気がないわけじゃないが。；公共性の高い場所には秘密もなにもないと先入観を抱いている。；断っておくが、僕は久保が犯人だと云う先入観の下にこれを読んだのではない。；それはそれだけ新開の先入観が強く、約束に執着している証拠である。</t>
        </is>
      </c>
      <c r="J4723">
        <f>HYPERLINK("https://www.weblio.jp/content/先入観", "词义详情")</f>
        <v/>
      </c>
      <c r="K4723">
        <f>HYPERLINK("https://yourei.jp/先入観", "查看例句")</f>
        <v/>
      </c>
    </row>
    <row r="4724">
      <c r="A4724" t="inlineStr">
        <is>
          <t>専念</t>
        </is>
      </c>
      <c r="B4724" t="inlineStr">
        <is>
          <t>成功</t>
        </is>
      </c>
      <c r="C4724" t="inlineStr">
        <is>
          <t>読み方：せんねん
［名］(スル)
１一つのことに心を集中すること。そのことだけに熱心になること。専心。「研究に—する」「療養に—する」
「その頭を撫でつつ、—に書見したりしが」〈鏡花・義血侠血〉
２浄土門において、もっぱら阿弥陀仏の名号を唱えること。</t>
        </is>
      </c>
      <c r="D4724" t="inlineStr">
        <is>
          <t>専念するため(9%)；専念すること(9%)；専念できる(3%)；専念しよ；専念する為</t>
        </is>
      </c>
      <c r="E4724" t="inlineStr">
        <is>
          <t>集中；夢中；信心；献身；一心</t>
        </is>
      </c>
      <c r="F4724" t="inlineStr">
        <is>
          <t>専念する決意；専念する傍ら；国内専念；社業専念；専念できる環境</t>
        </is>
      </c>
      <c r="H4724" t="n">
        <v>29</v>
      </c>
      <c r="I4724" t="inlineStr">
        <is>
          <t>父の死から3年後の1957年には雑誌の制作に専念するようになった。；リハビリに専念するため、どのチームにも所属していない状態が続いた。；初代社長に就任し、これ以降は漫画執筆から徐々に離れ、アニメに専念。；翌日からは治療に専念するために一週間程度の予定で出演を休止する。；かつては楽曲提供もしていたが、現在はプロデュース業に専念している。；ここでヴァラドンは自宅にアトリエを構え、絵画に専念するようになる。；クラブでのプレーに専念するため大会後にスペイン代表を引退した。；禅の思想的研究を進め、特に禅僧の問答集である語録の研究に専念した。；教師をしながら劇団に所属し、その後俳優活動に専念するために退職した。；この頃からCM等のキャラクターの多くを降板し、歌手業に専念している。；当初エディンバラで医者を開業したが、後に著述に専念するようになった。；シーズン開始当初はリハビリに専念していたため何処の球団にも属していなかった。；これにより軍人は軍事に専念できるようになり、軍事行動が迅速化した。；その後哲学に専念することを決め、フランスとドイツに留学した。；現在は家族とモナコに移り住み、飛行機の販売を行う事業に専念している。；初期の飛行機は空を飛ぶことに専念し、戦闘に使われることは想定されなかった。；漫画家に専念するために道都大学を2年次に中退して埼玉県に移住した。；同潤会では以前から手掛けていた分譲住宅の供給に専念することになった。；また、この時病臥した経験が、後に音楽に専念するきっかけとなったという。；藤井は大臣辞職後、しばらくは休養に専念した後に政治活動を再開した。；その後はライブに専念し、サポートメンバーを集いながら活動を続ける。；これ以後、イングランドはインドと北米大陸への進出に専念するようになる。；亜久里はそのキャリアで初めて参戦資金を気にしないでレースに専念できることになった。；しかし15歳の時に高校を中退しボクシングに専念するようになった。；その後の7年間はマリーとともに軍事学の研究に専念することになった。；この直後から、音楽にいっそう専念するようになり、作曲を始めるようになった。；はリーグ連続優勝を達成したが、監督業に専念するため、この年限りで現役を引退した。；この頃に集中して絵を描くが西川寧の指摘もあり篆刻に専念する。；旗揚げ当初は役者も兼ねていたが、1995年からは演出に専念している。</t>
        </is>
      </c>
      <c r="J4724">
        <f>HYPERLINK("https://www.weblio.jp/content/専念", "词义详情")</f>
        <v/>
      </c>
      <c r="K4724">
        <f>HYPERLINK("https://yourei.jp/専念", "查看例句")</f>
        <v/>
      </c>
    </row>
    <row r="4725">
      <c r="A4725" t="inlineStr">
        <is>
          <t>先輩</t>
        </is>
      </c>
      <c r="B4725" t="inlineStr">
        <is>
          <t>成功</t>
        </is>
      </c>
      <c r="C4725" t="inlineStr">
        <is>
          <t>読み方：せんぱい
《先に生まれた人の意》
１年齢・地位・経験や学問・技芸などで、自分より上の人。⇔後輩。
２同じ学校や勤務先などに先に入った人。⇔後輩。</t>
        </is>
      </c>
      <c r="D4725" t="inlineStr">
        <is>
          <t>先輩たち(3%)；先輩後輩；先輩達；先輩格；先輩社員</t>
        </is>
      </c>
      <c r="E4725" t="inlineStr">
        <is>
          <t>上；年上；経験者；シニア；年長</t>
        </is>
      </c>
      <c r="F4725" t="inlineStr">
        <is>
          <t>心葉先輩；大先輩；麻貴先輩；シエル先輩；学年先輩</t>
        </is>
      </c>
      <c r="G4725" t="inlineStr">
        <is>
          <t>先輩とぼく；先輩がうざい後輩の話；先輩と私</t>
        </is>
      </c>
      <c r="H4725" t="n">
        <v>29</v>
      </c>
      <c r="I4725" t="inlineStr">
        <is>
          <t>一年先輩である浜崎忠治と仲間になったことがきっかけで野球を始める。；先輩と後輩の関係だったが仲がよく、2人でユニットなどを組んでいた。；事務所の先輩であるダチョウ倶楽部に頼まれてネタを作ったことがある。；そのなかで高校の先輩たちが中心の社会主義研究会に参加するようになる。；先輩の敷いてくれたレールの上を、自分の研究と力で真っすぐ走ること。；彼らが知り合ったのはテアトル・エコーの先輩・渡辺正行の紹介である。；何歳になっても誰よりも長くグラウンドにいるのが秋山先輩だった。；なお、長谷川初範が先輩であったことをラジオ等でネタにした事もあった。；そのとき香盤を抜かれた2名のうち一人が同門の先輩である馬風だった。；元同事務所の先輩であった石田彰からは「はまちゃん」と呼ばれている。；これは先輩たちが指しているのを、若い三段らが真似をしたもの。；高校の先輩である秋本治の仕事場を訪問したこともあったという。；よろしくメカドックを担当していた頃の先輩が小島正幸と馬場健だった。；同郷の力士である海鵬は小学校から高校の5年先輩で憧れの存在だった。；両親を亡くしたり、憧れていた先輩や友達が離れて孤独を感じている。；宮本は有馬と同年齢で高卒のため先に入社した先輩という設定である。；失恋の理由は想いを寄せていた先輩に彼女が出来たことによるもの。；だいたい君たちの先輩ばかり三社にいるから通産省の腰が弱くてダメだ。；ゲストは第1回の放送に同時間帯の大先輩である局OBの吉田照美が出演。；事務所の先輩である笑い飯の哲夫に非常によくしてもらっている。；タケカワユキヒデは東京外国語大学の先輩で、指導教官が同じであった。；だが、野沢いわく大先輩の俳優もやっていた行為で単に真似していただけという。；壇上に上がったベニーニは、大先輩の祝福のキスを受け大感激していた。；浜村淳の妻は、訓練を受けにいってタレントとして所属していた事務所の先輩。；また、インスペクター編のみ戦闘で先輩ランサーを操作することができる。；断らずに作品を書いて持っていくと、先輩たちにはボツ扱いされるばかりだった。；そしてついに先輩や先生からも見放され、野球部は解散を迫られることに。；毒蝮三太夫は大学の先輩、同日のゲストの春風亭一之輔は後輩にあたる。；尊敬する声優には、かつての所属事務所の大先輩であった富山敬を挙げている。</t>
        </is>
      </c>
      <c r="J4725">
        <f>HYPERLINK("https://www.weblio.jp/content/先輩", "词义详情")</f>
        <v/>
      </c>
      <c r="K4725">
        <f>HYPERLINK("https://yourei.jp/先輩", "查看例句")</f>
        <v/>
      </c>
    </row>
    <row r="4726">
      <c r="A4726" t="inlineStr">
        <is>
          <t>船舶</t>
        </is>
      </c>
      <c r="B4726" t="inlineStr">
        <is>
          <t>成功</t>
        </is>
      </c>
      <c r="C4726" t="inlineStr">
        <is>
          <t>読み方：せんぱく
１人や荷物を載せて水上を走る交通機関。ふね。
２海商法上、商行為を目的として水上を航行する、櫓櫂船(ろかいせん)以外の船。</t>
        </is>
      </c>
      <c r="D4726" t="inlineStr">
        <is>
          <t>船舶用(3%)；船舶輸送；船舶会社；船舶航行；船舶部隊</t>
        </is>
      </c>
      <c r="E4726" t="inlineStr">
        <is>
          <t>船；舟；船腹；舟艇；シップ</t>
        </is>
      </c>
      <c r="F4726" t="inlineStr">
        <is>
          <t>民間船舶；用船舶；陸軍船舶；船舶等；船舶修繕</t>
        </is>
      </c>
      <c r="G4726" t="inlineStr">
        <is>
          <t>船舶局；船舶運営会；船舶安全法；船舶改善助成施設；船舶工学</t>
        </is>
      </c>
      <c r="H4726" t="n">
        <v>29</v>
      </c>
      <c r="I4726" t="inlineStr">
        <is>
          <t>実際に通過が許可されている船舶の大きさの制限値は以下の通りである。；人類が大きな国家を作るようになると船舶による輸送が不可欠となった。；船舶に用いられているディーゼルエンジンもいくつかの種類に分けられる。；アイヒェル水門付近の全船舶はその日のうちに退去するよう命令された。；このため、しばしば海の事故を誘発したり船舶に影響を与えたりする。；事前に登録された沿岸船舶向けに、24時間受付・伝送が行われている。；これは初期には船舶の主題へ興味があったことを示している。；こうした感覚は日本で言えば船舶に対する命名に似ているといえる。；耐食性が高いステンレス鋼だが、船舶分野では使用はそれほど多くない。；それも国の財政難と架橋反対を唱える船舶関係者への対応が原因であった。；館内には鉄道・船舶・自動車・航空機がフロア別に展示されていた。；このほか鉄道に関連する船舶事業、自動車事業などを行っていた。；研究所から逃げ出したのちに巨大化し、付近の海で船舶を襲っていた。；加えて、船舶の所有者は甲板員らに仕事中に歌を歌うことを奨励していた。；フランスがスウェーデンの船舶を拿捕した事を理由にこの提案は正当化された。；現在の鉄道・船舶の安全対策には、これら事故の影響で設けられたものが多い。；航空関係の法律、用語、習慣などには、船舶が由来となっているものも多い。；航空機を使うまでもない近接離島間の移動には、船舶が広く利用されている。；船舶の場合、具体的には船搭載のエンジンやモーター類などがその原因となる。；セマフォール通信は、船舶、海運の世界では今日でも使われ続けている。；なお、本土からの距離が遠く船舶でのアクセスは多少時間がかかる。；その後は家庭・住宅用だけでなく列車や船舶などの業務用にも幅広く利用された。；売主が船舶の手配はどうしても自分の方でやりたいと主張した場合の契約である。；これらの内陸水路は比較的大きな船舶が通ることができるよう設計されている。；この船舶練習部以外にも市内各所に計11か所の救護所が開設された。；これらの素子は船舶や航空機の熱紋の捕捉と音声通話のために使用された。；これは、住民にエルベ川下流での無関税船舶運航を保証するものだった。；奄美の伝統的な船舶には板付き舟と呼ばれる構造船がある。；領土は太平洋へ到達したとは言え、東西交通は馬車か船舶での移動に頼っていた。</t>
        </is>
      </c>
      <c r="J4726">
        <f>HYPERLINK("https://www.weblio.jp/content/船舶", "词义详情")</f>
        <v/>
      </c>
      <c r="K4726">
        <f>HYPERLINK("https://yourei.jp/船舶", "查看例句")</f>
        <v/>
      </c>
    </row>
    <row r="4727">
      <c r="A4727" t="inlineStr">
        <is>
          <t>前半</t>
        </is>
      </c>
      <c r="B4727" t="inlineStr">
        <is>
          <t>成功</t>
        </is>
      </c>
      <c r="C4727" t="inlineStr">
        <is>
          <t>読み方：ぜんはん
《「ぜんぱん」とも》前後二つに分けた前のほうの半分。「試合の—が終わる」⇔後半。</t>
        </is>
      </c>
      <c r="D4727" t="inlineStr">
        <is>
          <t>前半戦(10%)；前半部(3%)；前半頃；前半期；前半終了間際</t>
        </is>
      </c>
      <c r="F4727" t="inlineStr">
        <is>
          <t>台前半；番組前半；前半終了；年代前半；朝前半</t>
        </is>
      </c>
      <c r="G4727" t="inlineStr">
        <is>
          <t>前半三十分</t>
        </is>
      </c>
      <c r="H4727" t="n">
        <v>29</v>
      </c>
      <c r="I4727" t="inlineStr">
        <is>
          <t>文の前半部分はそのような名詞になることが多かったからである。；前半に多い雨の場面も、登場人物たちの孤独感を強烈に浮き彫りにした。；前半終了間際で交代をしたときは目に涙を浮かべながらベンチに下がった。；その年前半の僅かな時間でアルバムを作成し、ツアーのリハーサルを行った。；しかし、前半が毎節違う歌詞で、後半は全節同じ歌詞となっているものも多い。；文久3年前半は長州藩を中心とした尊王攘夷派公卿が朝廷の主流だった。；北部では一年の前半で、南部では後半で発生することが多い。；大学名がイェーナ大学からこの名前に変更されたのは20世紀前半である。；これらの物語は千年紀前半の民族移動時代の事件を題材としている。；アニメの前半と後半でサブタイトルの雰囲気が全く異なっているのはこのためである。；戦国時代前半には上総国西部から中部一帯を領有する大勢力となった。；バンド内で意見の対立が表面化したのは、1969年の前半からだと言われている。；チームは前半戦をAクラスで終えていたが、後半戦は4位に終始した。；それ以外の地域でも紀元前4世紀前半にはイオニア式を採用するようになった。；この国家は20世紀前半のヨーロッパ各国による侵攻まで勢力を維持し続けた。；番組は放送時間の前半をアニメ、後半は出演者のトークで構成されていた。；この関係から、日曜日のスポーツニュースは番組の前半に集中して伝える。；やや改変気味ではあるが、前半は原作に忠実にしようとしていた作品である。；ダーツ中央の金属製の部分であり、矢で言うところの箆の前半部にあたる。；前半は各曜日の決まったテーマで、リスナーからお便りを募集している。；各ステージは前半と後半のエリアに分かれており、両者の間には大陸の無い空間が広がっている。；原作小説の前半部分を映画化しているが、結末の描写は原作とは異なっている。；コーヒー文化の大きな時代は、19世紀終わりから20世紀前半であった。；また20世紀前半における宗教衰退の予測は誤っていたことが証明された。；前半戦2戦を欠場していることを考慮すると立派な成績である。；前半の14通の書簡は初版の時点から詩集に含まれていたと考えられている。；これが20世紀前半の主要な研究領域となることが分かる。；決勝ではまたもやベンフィカと対戦し、延長前半に得点して初優勝に貢献した。；大阪と京都の遊廓は17世紀前半に、それぞれ新町と朱雀野に移転した。</t>
        </is>
      </c>
      <c r="J4727">
        <f>HYPERLINK("https://www.weblio.jp/content/前半", "词义详情")</f>
        <v/>
      </c>
      <c r="K4727">
        <f>HYPERLINK("https://yourei.jp/前半", "查看例句")</f>
        <v/>
      </c>
    </row>
    <row r="4728">
      <c r="A4728" t="inlineStr">
        <is>
          <t>全般</t>
        </is>
      </c>
      <c r="B4728" t="inlineStr">
        <is>
          <t>成功</t>
        </is>
      </c>
      <c r="C4728" t="inlineStr">
        <is>
          <t>読み方：ぜんぱん
物事の全体。総体。「—にみられる傾向」「—的な知識」</t>
        </is>
      </c>
      <c r="D4728" t="inlineStr">
        <is>
          <t>全般的(7%)；全般性；全般支援；全般発作；全般作戦</t>
        </is>
      </c>
      <c r="E4728" t="inlineStr">
        <is>
          <t>全体；総体；一統</t>
        </is>
      </c>
      <c r="F4728" t="inlineStr">
        <is>
          <t>業務全般；生活全般；家事全般；社会全般；文化全般</t>
        </is>
      </c>
      <c r="G4728" t="inlineStr">
        <is>
          <t>全般検査；全般性不安障害；全般に</t>
        </is>
      </c>
      <c r="H4728" t="n">
        <v>29</v>
      </c>
      <c r="I4728" t="inlineStr">
        <is>
          <t>部分発作が発展して二次的に全般化して強直間代発作を示すこともある。；そのような可愛らしいキャラクターのイラスト全般を指す場合もある。；日本テレビの全般番組では技術を制作に基づいてスタッフ派遣を担当している。；ルー・ガルーは、現代フランスでは人狼全般を指す一般的な言葉である。；小説家や作品に限らず文学とその周辺全般が扱われ、学際的な性格を持つ。；このパズルは道具を使うパズル全般の中でも、最も古いパズルとされる。；転じて、子供向け番組で歌を担当する女性全般をこのように呼ぶことがある。；州牧には兵権を含めた州内全般の統治権が付与されていたと思われる。；これらには名数だけでなく、数値の付いた語全般が収録されている事も多い。；この成功により、彼はタンパク質全般を徹底的に研究することを決めた。；山全般を対象にする団体や、富士山など特定の山や地域を対象にする団体がある。；食に限らず生活全般に同様な質の思想を持つ者は「LOHAS」に移行する。；これらは後の乗用車全般のインテリアデザインに大きな影響を与えた。；広義には、インターネットに限定せず情報を検索するシステム全般を含む。；寮などで寮生の食事や生活全般の世話を任された女性を「寮母」と呼ぶ。；また、こうした全般的な交流の理由のほかに、訪日には独自の目的が存在した。；この場合撮影スタジオに置かれる機器だけを指すのではなく局舎内の放送関連機器全般を指す。；それだけでなく電気を使ったテクノロジー全般が彼の業績から発展したものである。；相同な構造は四肢動物全般に見られ、四肢の形成の初期から存在する物である。；市長は市の全般的な管理業務、および法律・条令の施行に責任を負う。；欧州各国の規制速度値は日本より全般的に高く、実際の交通の流れも速い。；この失敗には様々な理由があったが、その多くは組織の全般的な弱点に関連するものである。；特定のものではなく穀物全般、あるいは食物全般のことを指すこともある。；ただし、全般に重ねが薄い点が他の時代との大きな差異である。；複数の粉末香辛料を混合させて作ったソースを用いた料理全般を指す。；現在では物質が光を発する現象、またはその発する光の全般を指す。；なぜなら、この時までに彼は全般的な状況をみて「敗北した」と考えていたためである。；広義には、1つの文に複数の述語が含まれる構造全般を節連結という。；したがって全般的な心不全の分類とは若干その趣意を異にするところがある。</t>
        </is>
      </c>
      <c r="J4728">
        <f>HYPERLINK("https://www.weblio.jp/content/全般", "词义详情")</f>
        <v/>
      </c>
      <c r="K4728">
        <f>HYPERLINK("https://yourei.jp/全般", "查看例句")</f>
        <v/>
      </c>
    </row>
    <row r="4729">
      <c r="A4729" t="inlineStr">
        <is>
          <t>全部</t>
        </is>
      </c>
      <c r="B4729" t="inlineStr">
        <is>
          <t>成功</t>
        </is>
      </c>
      <c r="C4729" t="inlineStr">
        <is>
          <t>読み方：ぜんぶ
１ある物事のすべて。みな。全体。「—の人がそろう」「—が—よいとは限らない」「仕事が—終わる」⇔一部。
２一そろいになる書物の、すべて。全冊。「叢書の—を復刻する」
→すべて［用法］</t>
        </is>
      </c>
      <c r="D4729" t="inlineStr">
        <is>
          <t>全部または一部；全部食べ；全部又は一部；全部話し；全部読ん</t>
        </is>
      </c>
      <c r="E4729" t="inlineStr">
        <is>
          <t>全て；みんな；全体；完全に；すっかり</t>
        </is>
      </c>
      <c r="F4729" t="inlineStr">
        <is>
          <t>殆んど全部；全部改正；全部覚え；全部消え；全部合わせ</t>
        </is>
      </c>
      <c r="G4729" t="inlineStr">
        <is>
          <t>全部入り；全部いい；全部取得条項付種類株式；全部床義歯；全部族インディアン連合財団</t>
        </is>
      </c>
      <c r="H4729" t="n">
        <v>29</v>
      </c>
      <c r="I4729" t="inlineStr">
        <is>
          <t>父の死後、母が父の写真を全部処分したため、父の顔は知らないという。；何人が事件の端を開いたかは極めて明瞭であり、責任は全部南軍にある。；全部で9曲が作曲されたと考えられるが、現存するのは3曲のみである。；花の顔ぶれは定期的に変えられていき、全部で千種類近くが栽培される。；改廃があるため、ある一時点にこれらが全部そろっていたわけではない。；鹿児島市編入時に従来の大字の区域の全部より町の区域が設定された。；二時ごろまで寝てて、奥さんが全部ちゃんとやってくれるんだから。；荷物がまだ全部彼の家にあるので、それを取りに来たのだという。；ステージは全部で4つあり、1つのステージに3つのエリアが存在する。；当時早慶戦は中止されていた時代、野球部は全部で15人だったという。；キリスト教徒を全部合わせても住民の5割以下に過ぎない現実がある。；で、全部で15曲入ってますけど、9曲はどこかしら変わってるからね。；議論になっている全ての影響は全部は調整されていない。；曲はオリジナルとなっており、全部で3種類の曲が用意されている。；そうすれば、君は星全部が笑っているように見えるはずだから。；全部で80曲近くあるうち、とりわけよく知られているのは、以下のもの。；その場合、その分類群に所属する種ほとんど全部の名前が変わることもある。；ハイジャックされた飛行機を追跡していた航空機は全部で5機あった。；保健所の業務を例示すると次のような多様な業務の全部又は一部を行っている。；もし魚雷全部が有効だったら、僕は生きてこれを書いてなんかいられなかった。；森の仲間は全部で四人だが残りの二人は名前が無い。；ファミリートレーナー用に発売されたタイトルは全部で10タイトルある。；古くは首席卒業者を官報に於いて告示していたが、全部は明かではない。；最初の法律は、1890年5月17日に公布され、後に全部改正された。；韓国海軍でも軍艦で出る生活ごみを全部海に捨てていることが判明している。；ドラマのセリフは全部で4つあるうちの、1つ目と2つ目が抜けている。；戦前はすべて宮島島内のみの製造販売で、製造元は全部で12軒だった。；映画は全部で5つの賞にノミネートし、主演女優賞と撮影賞を受賞した。；複雑な輪を作っても全部の部品を消してもボーナスはない。</t>
        </is>
      </c>
      <c r="J4729">
        <f>HYPERLINK("https://www.weblio.jp/content/全部", "词义详情")</f>
        <v/>
      </c>
      <c r="K4729">
        <f>HYPERLINK("https://yourei.jp/全部", "查看例句")</f>
        <v/>
      </c>
    </row>
    <row r="4730">
      <c r="A4730" t="inlineStr">
        <is>
          <t>扇風機</t>
        </is>
      </c>
      <c r="B4730" t="inlineStr">
        <is>
          <t>成功</t>
        </is>
      </c>
      <c r="C4730" t="inlineStr">
        <is>
          <t>読み方：せんぷうき
小型のモーターで羽根車を回転させて風を起こす機械。《季夏》「—吹き瓶の花撩乱(りゃうらん)す／虚子」</t>
        </is>
      </c>
      <c r="D4730" t="inlineStr">
        <is>
          <t>扇風機みたい；扇風機化；扇風機等</t>
        </is>
      </c>
      <c r="F4730" t="inlineStr">
        <is>
          <t>大きな扇風機；首振り扇風機；式扇風機；巨大な扇風機；車内扇風機</t>
        </is>
      </c>
      <c r="H4730" t="n">
        <v>29</v>
      </c>
      <c r="I4730" t="inlineStr">
        <is>
          <t>そして扇風機を持ってきて、耳のうしろから風がくるようにセットした。；製造当初は天井に扇風機が設置され、冷房装置は搭載されていなかった。；のバス用のサブエンジン式で効果を高めるために扇風機を設置している。；ただし扇風機は車両ごとの一括制御で、乗客が操作することはできない。；夏、私が部屋で扇風機にあたっていると、ふと、あることを思い出した。；あの人が、扇風機みたいに首を振って、私の方だけを向いてくれない。；この他、扇風機などの天井付属部品などでも本色が採用されている。；電話の声が急に遠くなり、代わりに扇風機の音が奇妙に大きく響いた。；天井から大型扇風機が吊り下がり、その下に褐色の肌の男が坐っていた。；車の流れと扇風機の組曲に包まれ、八重子はじっと頭の中で息をしていた。；薄暗いドアの中から扇風機の風が吹き、ターバンを巻いた女が顔を出す。；六時になると風呂へ入って、そうして扇風機をかけてお酒を飲んじゃう。；通常の扇風機と同じく、首振りや上下の角度変更もできるようになっている。；頭上に大きな扇風機がまわり、傍の葉蘭が風の来る度に揺れていた。；客車の中央部に便所が一つ、天井に古風な扇風機がたくさんついている。；扇風機の向こうにキーを投げこむことですら、人々には驚かれてしまう。；なお扇風機は大型の50cmタイプから40cmタイプに変更された。；明かりもつけずに薄暗いなか、天井の扇風機だけが静かに回っていた。；客の話を耳にしながら、扇風機の下で多くのビールを飲んだ。；カウンターの上の扇風機は、娘の方を向いて、ゆっくり、頭を振っていた。；室にはほんの小さな蝋燭が一本点いて、その下に扇風機が置いてありました。；そのかわり天井の電灯にスイッチを入れると、ついでに扇風機を首振りにした。；まず何百台もの天井扇風機を一度に回したような音がした。；でも扇風機の台に腰を掛けて、憂欝そうに身の上話をしたが、正直な人だ。；通風器はお椀型のものを搭載しており、扇風機は設置されていない。；四メートルほどもある高い天井から大きな扇風機が下がっている。；車内はそれまで準備工事であった扇風機、客室暖房機が新たに設置された。；そのため、高い柱上に温度センサー付き大型扇風機が設置されていることが多い。；扇風機の羽根が回っている時に向う側が透けて見える、あの理屈である。</t>
        </is>
      </c>
      <c r="J4730">
        <f>HYPERLINK("https://www.weblio.jp/content/扇風機", "词义详情")</f>
        <v/>
      </c>
      <c r="K4730">
        <f>HYPERLINK("https://yourei.jp/扇風機", "查看例句")</f>
        <v/>
      </c>
    </row>
    <row r="4731">
      <c r="A4731" t="inlineStr">
        <is>
          <t>先方</t>
        </is>
      </c>
      <c r="B4731" t="inlineStr">
        <is>
          <t>成功</t>
        </is>
      </c>
      <c r="C4731" t="inlineStr">
        <is>
          <t>読み方：さきかた
相手の人。相手方。せんぽう。</t>
        </is>
      </c>
      <c r="D4731" t="inlineStr">
        <is>
          <t>先方さん；先方様；先方ニ</t>
        </is>
      </c>
      <c r="E4731" t="inlineStr">
        <is>
          <t>住所；行方；途方；旅先；行き先</t>
        </is>
      </c>
      <c r="H4731" t="n">
        <v>29</v>
      </c>
      <c r="I4731" t="inlineStr">
        <is>
          <t>先方でも僕の言葉が通じなかったと見えて、変な顔をしておられるのさ。；もっと先へよって来ると、来たいと先方からいう人も出来るでしょうし。；けれども私は小供だからただじっとして先方の云う事だけを聞いていた。；こうなると先方もこの気分を感じて、気のせいか一そう虐待しはじめる。；先方でも何か言われたようだが、僕には何と言われたのかよく分らないんだ。；それに先方の娘は年が二つ上だから、僕の母は無論問題にしていない。；何事かとたまげて、躊躇している間に、先方の車は矢の様に走りだした。；何といつても、先方は此方の存在を認めてゐないのが物足りなかつた。；けれど決して、先方のことばどおりなものとも受け取っていなかった。；先方の話も聞かず一方的に、訪れた関係者達を次々と追い返してしまう。；また、本人が先方へ連れて行かれてから、いろんな事をいったらしいんだ。；なんだか気違いじみた感じで、先方の人もちょっと挨拶に困るんですね。；それで時々偸むようにまた先方の気のつかないように兄の様子を見た。；富ちゃんのお嫁は大体この二十二日とかに先方からの返事がある由です。；どんな女かまだ見もしないし、先方でもまだ誰も見に来ないというのである。；先方も種々な点から信用して内輪話もするのであることを、理解していた。；ただ先方はどこまでも下手に出る手段を主眼としているらしく見えた。；先方が僕の再度の押しかけ訪問を望んでいないことは明らかである。；藩というのが普通だが先方の事だから尊敬して御藩と云って見た。；これらが知らないで先方だけに知られてゐることは嫌なものだ。；すっかり先方の話がまとまるまでは大事の上にも大事を取るに越した事はない。；彼は先方の一かたまりの人間が堀大主典に率いられているのを認めたのだ。；ただ、先方に何人の息子がいるか、それは調べておかなければいけませんね。；集中する影の中に敵がいると、殷雷が気付いているのも先方は承知だ。；しかし、それでは自分を犠牲にすることが先方に分からぬと思った。；どうやらそれは何かの信号を先方へ伝えるものらしく思われた。；するとそれが先方には、いかにも殊勝げに見えたのでございましょう。；これでも仕方がない不足の分は先方の様子を見てからの事と直ぐ下に降りた。；赤手拭は宿へ忘れて来たのが残念だが今日は先方で借りるとしよう。</t>
        </is>
      </c>
      <c r="J4731">
        <f>HYPERLINK("https://www.weblio.jp/content/先方", "词义详情")</f>
        <v/>
      </c>
      <c r="K4731">
        <f>HYPERLINK("https://yourei.jp/先方", "查看例句")</f>
        <v/>
      </c>
    </row>
    <row r="4732">
      <c r="A4732" t="inlineStr">
        <is>
          <t>前方</t>
        </is>
      </c>
      <c r="B4732" t="inlineStr">
        <is>
          <t>成功</t>
        </is>
      </c>
      <c r="C4732" t="inlineStr">
        <is>
          <t>読み方：ぜんぽう
１まえの方。前面。⇔後方。
２前部が四角いこと。「—後円墳」</t>
        </is>
      </c>
      <c r="D4732" t="inlineStr">
        <is>
          <t>前方部(5%)；前方視界；前方監視；前方中央；前方機銃</t>
        </is>
      </c>
      <c r="E4732" t="inlineStr">
        <is>
          <t>前に</t>
        </is>
      </c>
      <c r="F4732" t="inlineStr">
        <is>
          <t>斜め前方；車体前方；お前方；機体前方；左舷前方</t>
        </is>
      </c>
      <c r="G4732" t="inlineStr">
        <is>
          <t>前方後方墳；前方後円；前方のヴェント；前方誤り訂正；前方舌根性</t>
        </is>
      </c>
      <c r="H4732" t="n">
        <v>29</v>
      </c>
      <c r="I4732" t="inlineStr">
        <is>
          <t>正面にはそれぞれ木の階段があり、さらにその前方に石階が設置されている。；このキャラクターのモニュメントはスロープ前方付近に設置されている。；火薬が後方から起爆されると、爆発は後方から前方に向かって進行する。；スリットは後方と前方の物が特に大きく、視界を意識して設計されている。；ドアは前方のヒンジを軸にして上方に開くシザーズドアを採用している。；おまえ方のどちらにも運命が決めてくれた道をすすむようにさせよう。；ボールがスナップされる以前に、ボールの位置より前方に侵入する反則。；口を閉じた状態のときに前方からオトガイ部に衝撃を受け発生する。；一般に船尾は前方に比べて甲板が1層多くなっていて、後甲板と称された。；前方の結合は、より強い線やくさびで強調してもよいし、しなくてもよい。；この場合、カメラがピントを結ぶ物面は一定距離前方の平行平面となる。；通常、道路用は黄色、車両用は前方が黄色で後方は赤と黄色である。；そうすることを、おまえ方の命にかけても守るよう、わしは命令するぞ。；ゆかでは、前方系と後方系の両方の宙返りを実施しなければならない。；爆発は機体前方の貨物室にあった航空貨物コンテナの下部で発生していた。；したがって、接触部の後方では抵抗力が、前方では摩擦熱が発生する。；前方に見える高塚山や額取山が次第に近づいてくると磐梯熱海駅である。；変更後は、上下線それぞれ進行方向側前方へ停止位置が変更されている。；乗降用ドアおよびサービスドアが客室最前方と最後方に1組ずつある。；おまえ方は顔の色が違っているところから、毎日のように喧嘩をしておるのだが。；乗降用ドアとして客室の最前方と最後方にタイプIドアが1組ずつある。；ミニバンの中では床面が高いが、視点も高いため前方視界は良好となる。；前方部正面の二段目の斜面からも竪穴式石室が見つかっている。；ただし時代が下ると前方部にも埋葬がなされるようになった。；助士側前面の窓が大きくなっており、前方の景色が見やすくなっていた。；防御状態では、一部の攻撃を除き、前方からの攻撃をガードする事ができる。；選手は、足であろうと手であろうと前方にボールをパスすることは許されなかった。；化粧室は客席配置により客室前方および後方いずれにも配置可能である。；特に前方から行う場合をこのように呼ぶことが多い。</t>
        </is>
      </c>
      <c r="J4732">
        <f>HYPERLINK("https://www.weblio.jp/content/前方", "词义详情")</f>
        <v/>
      </c>
      <c r="K4732">
        <f>HYPERLINK("https://yourei.jp/前方", "查看例句")</f>
        <v/>
      </c>
    </row>
    <row r="4733">
      <c r="A4733" t="inlineStr">
        <is>
          <t>全滅</t>
        </is>
      </c>
      <c r="B4733" t="inlineStr">
        <is>
          <t>成功</t>
        </is>
      </c>
      <c r="C4733" t="inlineStr">
        <is>
          <t>読み方：ぜんめつ
［名］(スル)残らず滅びること。また、残らず滅ぼすこと。「味方が—する」「害虫を—する」</t>
        </is>
      </c>
      <c r="D4733" t="inlineStr">
        <is>
          <t>全滅する(10%)；全滅させる(7%)；全滅状態；全滅させれ；全滅させよ</t>
        </is>
      </c>
      <c r="E4733" t="inlineStr">
        <is>
          <t>崩壊；壊滅；絶滅；駆逐；退治</t>
        </is>
      </c>
      <c r="F4733" t="inlineStr">
        <is>
          <t>一家全滅；除いて全滅；受けて全滅；敵全滅；殆ど全滅</t>
        </is>
      </c>
      <c r="H4733" t="n">
        <v>29</v>
      </c>
      <c r="I4733" t="inlineStr">
        <is>
          <t>敵を全滅させた部屋も戻ると稀に敵が再び配置されることもある。；ステージの敵を全滅させるとアイテムが隠れているソフトブロックが光る。；しかし中隊はソ連軍の集中攻撃を受け、最後は穴の中で包囲され全滅した。；イングランドやイタリアでは人口の8割が死亡し、全滅した街や村もあった。；また、湾口は封鎖されていたため逃亡することなく全滅することとなった。；スヴォルドの海戦と呼ばれるこの戦いはノルウェー軍の全滅に終わった。；また雷銅も詳細な過程は不明だが、軍を全滅させられ戦死している。；一方、村でもギャオスのために家畜が全滅し、深刻な被害が地元を襲う。；各エリアの敵を全滅させるとそのエリアを制圧したことになる。；従来の第三水雷戦隊司令部はサイパン島の戦いで全滅していたのである。；バグ襲撃後の消息は不明だが、報告によればバルド隊は全滅したとされる。；また、全滅してしまった場合も自国の部隊と違って再配属されることはない。；護衛していた者は全滅させたが、馬車の御者だけは見逃してやった。；志村城では670もの首級をあげ、ほぼ全滅に近かったと思われている。；コンティニューすると全滅したステージの最初からやり直すことができる。；この他の操作は緊急回避用にボムを投下し敵を全滅させるボタンがあるのみ。；そこへ現れた女が飛び道具や倭刀を武器にひとりで賊を全滅させる。；この機会に全滅を目論む国連は戦場へ向けて核ミサイルを発射させる。；ミッションは基本的に敵を全滅させるのが目的となっている。；アミュレットは、特定の小部屋の敵モンスターを全滅させると出現する。；以上の流れを繰り返し、敵を全滅させた時点で勝利となる。；この結果、戦闘前に敵が全滅し、自動的に戦闘終了することもある。；これに対し神々は、神々を敬う一部の人々を除いて、人々を全滅させた。；主人公は強制出撃ではなく、全滅させるか撤退すると敵は消滅する。；第1部隊を全滅させて勝利した場合、残った敵側の兵士は自国のものになる。；高い戦闘力を誇っていたが、大たちとの激闘の末に敗れ、ついに全滅した。；戦闘の結果、敵を全滅させると一定の経験値とお金が手に入る。；一部のアイテムは、画面内の敵を全滅させるなど特定の条件を満たさないと出現しない。；敵艦隊を全滅させると情報が得られる場合もある。</t>
        </is>
      </c>
      <c r="J4733">
        <f>HYPERLINK("https://www.weblio.jp/content/全滅", "词义详情")</f>
        <v/>
      </c>
      <c r="K4733">
        <f>HYPERLINK("https://yourei.jp/全滅", "查看例句")</f>
        <v/>
      </c>
    </row>
    <row r="4734">
      <c r="A4734" t="inlineStr">
        <is>
          <t>洗面</t>
        </is>
      </c>
      <c r="B4734" t="inlineStr">
        <is>
          <t>成功</t>
        </is>
      </c>
      <c r="C4734" t="inlineStr">
        <is>
          <t>読み方：せんめん
［名］(スル)顔を洗うこと。洗顔。</t>
        </is>
      </c>
      <c r="D4734" t="inlineStr">
        <is>
          <t>洗面所(77%)；洗面道具(3%)；洗面器(2%)；洗面用具；洗面具</t>
        </is>
      </c>
      <c r="F4734" t="inlineStr">
        <is>
          <t>洗面室；起きて洗面；毎朝洗面；小さな洗面；狭い洗面</t>
        </is>
      </c>
      <c r="G4734" t="inlineStr">
        <is>
          <t>洗面器；洗面室；洗面所</t>
        </is>
      </c>
      <c r="H4734" t="n">
        <v>29</v>
      </c>
      <c r="I4734" t="inlineStr">
        <is>
          <t>一般室と特別室の境界部に一体化した便所及び洗面所が設置されている。；その舌の根も乾かないうちに、彼女が洗面所で仲間に言っていた言葉だ。；けれど私は返事もせずに、そのまま裏階段の下の方にある洗面所に行った。；いくつかの区域での天井の低さ、洗面所の不足などを主とするものである。；ほかにもあるかと探してみると、洗面所の床にもうひとつ残っている。；しかしそれだけではこの洗面鉢の問題はまだなかなか解決されそうもない。；ダイニングから廊下へ出て、広田は目の前の洗面所のドアに目をとめた。；だが黒瀬の姿は、洗面所は勿論、庁内のどこの隅にも発見されなかった。；領主の中には洗面や手洗いのための器を命じて作るものも出てきた。；カメラの前で裸になったぼくは、脱ぎ捨てた服を抱えて洗面所へと向かう。；突き当たりに洗面所らしいものが見えていて、右側はドアが並んでいる。；洗面所に入ると、蛇口の下に頭をもっていって、冷たい水をぶちまけた。；勝手の壁に凭れていた男は、洗面所の扉を開けて一歩だけ浴室に入った。；その水も洗面用の給水を晝の間に節約しておかねばならないのであつた。；彼は洗面所のドアに貼られた鏡の前で全裸になってから、制服を着た。；暗い回廊の迷路を抜けていくと、奥の方に洗面所の並ぶ小さな院子に出た。；洗面用具はいつでも旅行に出かけられるよう用意されてあるはずだ。；洗面所で顔を洗おうとして、首のところに赤い筋があるのに気づいたのだ。；翌朝八時に、やっと朝の洗面をすませたばかりの私の部屋に入ってきた。；玄関左の高校生の部屋でコートを脱ぎ、洗面所で時間をかけて手を洗う。；ただ一応鏡が取りつけてあるから、手洗いではなく洗面所なのだと解る。；なお、開校当時は洗面所が不足していたため、新たに窓側に増設された。；二階の廊下の洗面所には二人ほど日本人の客がおりました。；そしてそこで私は、その洗面所に近い部屋に昨夜紹介された玄のいるのを見た。；祐巳は洗面所の鏡に向かって、イーッと口を横に開いて笑顔を作った。；フレッドは気をきかして、わざと洗面所のドアを開けたままにしておいた。；四方の壁にはそれぞれドアがあって、入口である森のドアの横に洗面所がある。；洗面所の壁に掛けた時計は、午前四時二十分を回ったところを指していた。；はじめ見たときには、洗面所のドアはまだ保っているように見えた。</t>
        </is>
      </c>
      <c r="J4734">
        <f>HYPERLINK("https://www.weblio.jp/content/洗面", "词义详情")</f>
        <v/>
      </c>
      <c r="K4734">
        <f>HYPERLINK("https://yourei.jp/洗面", "查看例句")</f>
        <v/>
      </c>
    </row>
    <row r="4735">
      <c r="A4735" t="inlineStr">
        <is>
          <t>専門</t>
        </is>
      </c>
      <c r="B4735" t="inlineStr">
        <is>
          <t>成功</t>
        </is>
      </c>
      <c r="C4735" t="inlineStr">
        <is>
          <t>読み方：せんもん
１限られた分野の学問や職業にもっぱら従事すること。また、その学問や職業。「彼の—は法律だ」「—外の仕事」
２もっぱら関心を向けている事柄。「趣味は釣り—です」</t>
        </is>
      </c>
      <c r="D4735" t="inlineStr">
        <is>
          <t>専門的(5%)；専門分野(5%)；専門家(2%)；専門書(2%)；専門化</t>
        </is>
      </c>
      <c r="E4735" t="inlineStr">
        <is>
          <t>商売；専業；專門；専門職</t>
        </is>
      </c>
      <c r="F4735" t="inlineStr">
        <is>
          <t>専門会社；専門部隊；専門館；専門科目；専門店</t>
        </is>
      </c>
      <c r="G4735" t="inlineStr">
        <is>
          <t>専門学校；専門店；専門的；専門誌；専門職</t>
        </is>
      </c>
      <c r="H4735" t="n">
        <v>29</v>
      </c>
      <c r="I4735" t="inlineStr">
        <is>
          <t>教育関係の雑誌などでも知られ、スポーツ関連の専門書も刊行している。；ルベーグは を素数だと考えた最後の専門的な数学者だと言われている。；第3次レベルは最も高度な医療を提供する総合・専門病院が該当する。；この大学では、12 の専門分野で 2 万人以上の学生が学んでいる。；専門的な分野の雑誌は、契約制で企業や個人宅に直接配送するものがある。；今もケーブルテレビ専門のチャンネルがあり、毎日一日中放送している。；またメインの歌手の他にコーラス専門で女性が3人程登場することもある。；金属及び関連材料に関する専門書や学生向けの教科書類を刊行している。；評価術語学は専門領域ではないのだが、エーコはこのように論じている。；また、これらの下に雇や嘱託の身分で図書館専門の仕事を行う職員がいた。；専門分野ごとに計39の分科会を持ち、それぞれに会誌を発行している。；やがて競馬が専門化すると競走用の馬種が模索されることとなった。；まずは同行に集中されていた各種金融機能が専門銀行に分割された。；その時になればアメリカは専門的な訓練を積んだ士官が必要となる。；同大学では専門の植物学だけでなく、自然科学一般を英語で教えた。；専門料理は技術であり、また特に高度なものは芸術の一種と捉えられることもある。；そのため、学術論文や専門的な書籍などでは通常こちらの区別が用いられる。；プロジェクトのメンバーで、メンバーの中では唯一の演歌専門歌手であった。；今日に至っては、こうした専門分野は体育や技術など多岐にわたっている。；イギリスなどでは博物館専門職員のことをと呼んでいる。；この種類のゲームは文房具以外の専門的な機器をほとんどまたは全く必要としない。；以下に挙げるのはそのなかでも特に広く用いられている分類、専門分野の名称である。；第二東映は失敗したが、そのとき増えた専門館のシステムは残った。；技術図面を作成する専門の作製者は、製図技術者と呼ばれることもある。；スモーブローを専門に提供する店としては、西日本で最初の店舗となる。；特に列車を専門にしている場合は列車撮影とも呼ぶ。；江戸時代になり、戦がなくなると、花火を専門に扱う火薬屋が登場した。；専門書を読む前か読み始めの時に読むと良いレベル。；このように専門化した大きな機会を持つ職業である。</t>
        </is>
      </c>
      <c r="J4735">
        <f>HYPERLINK("https://www.weblio.jp/content/専門", "词义详情")</f>
        <v/>
      </c>
      <c r="K4735">
        <f>HYPERLINK("https://yourei.jp/専門", "查看例句")</f>
        <v/>
      </c>
    </row>
    <row r="4736">
      <c r="A4736" t="inlineStr">
        <is>
          <t>専門家</t>
        </is>
      </c>
      <c r="B4736" t="inlineStr">
        <is>
          <t>成功</t>
        </is>
      </c>
      <c r="C4736" t="inlineStr">
        <is>
          <t>読み方：せんもんか
ある特定の学問・事柄を専門に研究・担当して、それに精通している人。エキスパート。「経済の—」</t>
        </is>
      </c>
      <c r="D4736" t="inlineStr">
        <is>
          <t>専門家たち(3%)；専門家集団；専門家以外；専門家達；専門家向け</t>
        </is>
      </c>
      <c r="E4736" t="inlineStr">
        <is>
          <t>プロ；学者；研究者；名人；技師</t>
        </is>
      </c>
      <c r="F4736" t="inlineStr">
        <is>
          <t>医療専門家；軍事専門家；非専門家；法律専門家；詳しい専門家</t>
        </is>
      </c>
      <c r="G4736" t="inlineStr">
        <is>
          <t>専門家委員会</t>
        </is>
      </c>
      <c r="H4736" t="n">
        <v>29</v>
      </c>
      <c r="I4736" t="inlineStr">
        <is>
          <t>そのためアメリカは巨費を投じてアジアやアフリカの専門家を育成した。；操作も簡単で特別に訓練を積んだ専門家でなくても扱うことができた。；現地の専門家の指導を受け、提供されたファー素材による制作を行った。；集められた少女たちは、それぞれの分野の専門家のもとで特訓を重ねた。；ただしいずれにせよ、上科は分類の専門家以外はあまり使わない傾向にある。；しかし、専門家以外が検索表を用いるのは、現実には難しいことが多い。；彼は外国人の専門家に兵士を訓練させ、西欧式の新型火器を装備させた。；これに関して専門家は大きな爆発があったのではないかと見ている。；第7版では戦士・盗賊・魔術師・専門家・達人・市民が用意されている。；ただし強い恐怖心などを伴う際は独断ではなく専門家の指導が必要である。；この会議に集まった専門家たちは最終的に以下の結論に達した。；今後も保健所・専門家の指導のもとに力士たちを管理していくという。；職業専門家として社会からの信頼を得るための道義上の行為規範である。；放送されない相談にも、それぞれの専門家がアドバイスを行っている。；しかし、合理的によく信頼できるような情報を提示する専門家もいる。；専門家の間で完全に同意を得られるような種の定義はない。；以上の三つが当初から登録が認められていた専門家である。；また「実際の感染規模は政府公表の数百倍を超える」とする専門家もいる。；「ラッセルはブロックを芸術の域まで高めた」と評価する専門家もいる。；専門家は強い禁止が研究を壊滅的にしてしまうことを警告している。；変更を支持する憲法専門家の主張では、違憲性はないと判断している。；それを味の専門家3人が誰が作ったか分からない状態で食べて審査。；専門家の調査では百年以上前に建てられた建築物だと言われている。；海外の多くの専門家は日本が「事実上の」核保有国であると認識している。；後に学生・サラリーマン・その他専門家なども含むようになった。；長らく彼の死亡の原因は専門家の間でも様々な説が唱えられた。；この苦痛を伴う方法は、参政権論者や医療専門家から非難を浴びた。；このことで彼は故障の少ないキャリアを過ごすことができたと考える専門家も多い。；チャーチルは自分が常に海軍の専門家から同意を得て作戦を実行したことを強調した。</t>
        </is>
      </c>
      <c r="J4736">
        <f>HYPERLINK("https://www.weblio.jp/content/専門家", "词义详情")</f>
        <v/>
      </c>
      <c r="K4736">
        <f>HYPERLINK("https://yourei.jp/専門家", "查看例句")</f>
        <v/>
      </c>
    </row>
    <row r="4737">
      <c r="A4737" t="inlineStr">
        <is>
          <t>専用</t>
        </is>
      </c>
      <c r="B4737" t="inlineStr">
        <is>
          <t>成功</t>
        </is>
      </c>
      <c r="C4737" t="inlineStr">
        <is>
          <t>読み方：せんよう
［名］(スル)
１特定の人だけが使うこと。「会員が—するプール」
２ある特定の目的・対象だけに使うこと。「洗顔—のクリーム」
３それだけをもっぱら使うこと。
「一種の器械を—するは、四種の器械を兼用するの利に若かざるは」〈竜渓・経国美談〉</t>
        </is>
      </c>
      <c r="D4737" t="inlineStr">
        <is>
          <t>専用車両(2%)；専用機；専用ソフト；専用種別；専用設計</t>
        </is>
      </c>
      <c r="E4737" t="inlineStr">
        <is>
          <t>独占；独り占め</t>
        </is>
      </c>
      <c r="F4737" t="inlineStr">
        <is>
          <t>貨物専用；降車専用；専用ダム；専用ホーム；専用塗装</t>
        </is>
      </c>
      <c r="G4737" t="inlineStr">
        <is>
          <t>専用機；専用軌道；専用鉄道；専用アプリ；専用道路</t>
        </is>
      </c>
      <c r="H4737" t="n">
        <v>29</v>
      </c>
      <c r="I4737" t="inlineStr">
        <is>
          <t>これらの電車はすべて中央・総武緩行線専用の車両を用いて運行される。；初期にはアーケードゲームにて専用の電子回路を組んで実現されていた。；日本語にない音を表記するために、いくつかの専用の文字を使用する。；入れたままでサイコロを振ることができる、専用の箱も市販されている。；午門には複数の入口があり、中央の入口は皇帝専用の通り道になっていた。；一部の駅の出札窓口でも専用の処理機を使う事で利用することができた時期もある。；競技はドラッグストリップと呼ばれる直線の専用レース場で行われる。；競技に使用されるトラックは、多くの場合競技専用に開発された車両が使用される。；高価格帯の輸出を後押しするため輸出専用の免許が設定されている。；保存用のキャップを兼ねた短いものと、延長専用の長いものがある。；その操作を制御するための専用言語が開発されてきた。；当駅ホームの亀戸寄りには、ホーム間乗り換え専用通路が設置されている。；プレスリーは自宅であるグレイスランドの敷地内に専用コートを建てた。；このアクションはmacOS専用であり、他のOS上では実行できない。；フジテックは自社生産だが小荷物専用昇降機のみの設置は認めていない。；以下のバスの発着以外にも路線バスの降車専用停留所にもなっている。；当時は専用のブラシで叩いた上で圧搾することで型をとっていた。；貨物駅からは工場専用線の線路を残す計画もあったが、復元されていない。；それぞれ専用の通路に出た後、ホロ酵素の背で二重らせんを再構成する。；特に反響があった話題については、それ専用の特別コーナーが設けられる。；マルチとはリアクションが異なり、また専用のCGも見ることが出来る。；サービスを利用するためには専用端末機器の購入が必要である。；直流専用車または交流専用車を使用することができるが、地上設備が複雑になる。；また、京成のアクセス特急のように専用の編成を使用する列車もある。；通常は880ビットだが、一部の専用コンピュータではさらに大きくなる。；レストランの客は多数存在し、その多くが専用ソングと共に登場する。；専用筐体の一つであるが、ゲームの過程でカードを使用するもの。；また、同じく駅前通りの北側歩道上には降車専用の看板が設けられていた。；この爆撃の発明を受けて各国は急降下爆撃の研究と専用機種の開発を始めた。</t>
        </is>
      </c>
      <c r="J4737">
        <f>HYPERLINK("https://www.weblio.jp/content/専用", "词义详情")</f>
        <v/>
      </c>
      <c r="K4737">
        <f>HYPERLINK("https://yourei.jp/専用", "查看例句")</f>
        <v/>
      </c>
    </row>
    <row r="4738">
      <c r="A4738" t="inlineStr">
        <is>
          <t>戦略</t>
        </is>
      </c>
      <c r="B4738" t="inlineStr">
        <is>
          <t>成功</t>
        </is>
      </c>
      <c r="C4738" t="inlineStr">
        <is>
          <t>読み方：せんりゃく
１戦争に勝つための総合的・長期的な計略。スポーツの試合においても用いる。→戦術
２組織などを運営していくについて、将来を見通しての方策。「経営—の欠陥」「—的人生論」「販売—を立てる」
[補説]具体的・実際的な「戦術」に対して、より大局的・長期的なものをいう。</t>
        </is>
      </c>
      <c r="D4738" t="inlineStr">
        <is>
          <t>戦略的(6%)；戦略家；戦略性；戦略専門家；戦略目標</t>
        </is>
      </c>
      <c r="E4738" t="inlineStr">
        <is>
          <t>計画；作戦；構想；策；戦術</t>
        </is>
      </c>
      <c r="F4738" t="inlineStr">
        <is>
          <t>世界戦略；基本戦略；ブランド戦略；広告戦略；国際戦略</t>
        </is>
      </c>
      <c r="G4738" t="inlineStr">
        <is>
          <t>戦略上；戦略爆撃機；戦略爆撃；戦略物資；戦略的価値</t>
        </is>
      </c>
      <c r="H4738" t="n">
        <v>29</v>
      </c>
      <c r="I4738" t="inlineStr">
        <is>
          <t>これは、皆と同じ戦略で相手を探せば負けてしまう人もいるからである。；プレイヤーは様々な戦略、プレイスタイルでゲームに挑むことができる。；どれほど優れた戦略であっても、その実行には優れた戦術をも必要とする。；これはどちらが敗れても家名を存続させるための嘉隆の戦略だったという。；つまりプレイヤーはトリガー戦略から逸脱すると長い目でみて損をする。；したがってあらゆる戦略的な行動は戦闘と密接な関係を持っている。；小学館と共同のメディアミックス戦略が人気に拍車をかけることになる。；だがこれは薩摩勢が相手の全員をして渡河させるためにとった戦略であった。；したがってタカ戦略を取る個体だけからなる種もやはり安定しない。；このような流れを反映してか、メーカーの戦略にも変化が生じる。；彼は「ブリタニカ」の名前を持つ製品にパウエルの戦略を導入している。；基本戦略は、デッキが全て残っていることを前提としたものである。；狡猾な戦略で知られ、地球侵入以前にもいくつかの星を侵略している。；既にGAによって洗練された創発計算戦略が生じる規則を発見している。；その結果、基本戦略を変更せずに事業の拡大を進めていくということになった。；ここでも容量単価の低さを重視するアップルの基本戦略が発揮された。；より短い廃止措置戦略では、ロボットによるコア解体技術が必要になる。；遠田はさらに、これらを番組戦略と捉え、捨て企画の放送について言及。；この時ロマンスの広告戦略で他のホストクラブも広告を出していた。；日本ルールでは、ランクだけでなくスートまで考慮した戦略が求められる。；これは相手が協力するときは常に協力するが相手が裏切っても時々協力する戦略である。；トルコアジア戦略研究センターコンヤ戦略をベースとしたシンクタンク。；戦略空輸とは、大量の物資をある地域から別の活動地域に運ぶ任務である。；絶対的なスピードや瞬発力などよりも持久力、戦略などが要求される。；連合国軍は小さいながら戦略的に脅威であるへの攻撃も試みたが失敗に終わった。；を用いて行われた場合、この対称化は戦略-立場独立であるという。；これらはいずれも偶然ゲームの研究であり、他者の戦略は問題とされていなかった。；また、基礎戦略とは異なるプレーが最適となるケースが出てくる。；従来の安全技術などと比べ高機能ながら割安で、戦略的な価格設定であった。</t>
        </is>
      </c>
      <c r="J4738">
        <f>HYPERLINK("https://www.weblio.jp/content/戦略", "词义详情")</f>
        <v/>
      </c>
      <c r="K4738">
        <f>HYPERLINK("https://yourei.jp/戦略", "查看例句")</f>
        <v/>
      </c>
    </row>
    <row r="4739">
      <c r="A4739" t="inlineStr">
        <is>
          <t>占領</t>
        </is>
      </c>
      <c r="B4739" t="inlineStr">
        <is>
          <t>成功</t>
        </is>
      </c>
      <c r="C4739" t="inlineStr">
        <is>
          <t>読み方：せんりょう
［名］(スル)
１一定の場所を独り占めすること。「四人分の座席を一人で—する」
２他国の領土を武力によって自国の支配下に置くこと。「敵国の首都を—する」「—軍」</t>
        </is>
      </c>
      <c r="D4739" t="inlineStr">
        <is>
          <t>占領下(8%)；占領する(8%)；占領後；占領される；占領軍</t>
        </is>
      </c>
      <c r="E4739" t="inlineStr">
        <is>
          <t>仕事；心配；逮捕；侵攻；侵入</t>
        </is>
      </c>
      <c r="F4739" t="inlineStr">
        <is>
          <t>ドイツ占領；アメリカ占領；ソ連占領；無血占領；ナチス占領</t>
        </is>
      </c>
      <c r="G4739" t="inlineStr">
        <is>
          <t>占領軍；占領期；占領政策；占領統治；占領下の日本</t>
        </is>
      </c>
      <c r="H4739" t="n">
        <v>29</v>
      </c>
      <c r="I4739" t="inlineStr">
        <is>
          <t>これは、占領後の軍施設に使用することを想定していたと言われている。；さらにイギリス軍はドイツとイタリアとオーストリアを分割占領していた。；イングランド軍はパリの再占領かノルマンディー攻略を目指していた。；ニュースは敗戦・占領下で自信を失っていた日本国民に大きな力を与えた。；この後イタリアはドイツ軍によって占領されたため、結局戦場になった。；アメリカ占領下での民主主義教育は、彼の思想形成に大きな影響を与えた。；自分を神と主張したことのない昭和天皇は、占領当局の意向に同意した。；そのため占領後もしばらくの間は、アンネの生活に大きな変化はなかった。；リトアニアは独ソ戦末期までドイツ軍の占領下に置かれることとなった。；彼らは日本軍による占領は独立への機会になったと考えています。；特にカンタブリ族が占領した領土の正確な位置の問題においてである。；さらにフランス王権にとって中心地のひとつだったブルッヘを占領した。；また占領後多くの老人や子供もいたが20万人が虐殺されたという。；日本統治下の私鉄路線は、韓国ではアメリカ占領時期に国有化された。；しかしそのコルベルクはこの頃すでにソ連の占領下に落ちていた。；占領下で発生した帝銀事件の捜査にはGHQが大きく関与していた。；その後、軍隊を分割して、斉軍を完全に排除し、斉国の占領を拡大した。；スウェーデン軍が占領した時代にプロテスタントは再び足掛かりを得た。；鄭成功は勢力を立て直すために台湾を占領し拠点にしようと試みた。；スイスを経由してフランス軍の占領下にあったベルリンに帰還した。；第二次世界大戦末期の1944年にはソ連に再占領され、併合された。；金軍の侵入で王宮が占領された際に発見され、初めてその存在が明るみに出た。；一大勢力に成長したターリバーンは1995年にはヘラートを占領した。；しかし後半の主要防衛線への攻撃は第9師団がP堡塁を占領した以外は失敗。；ところが、日本軍が占領してみると降伏兵は全くいなかった。；そのため、当時アメリカ占領下に置かれていた沖縄県那覇市が名称由来となった。；二本松領を占領した新政府軍では、次の攻撃目標に関して意見が分かれた。；第二次世界大戦時にアッツ島とキスカ島の2島が日本軍に占領された。；第二次世界大戦後、ドイツは米英仏占領下の西側とソ連占領下の東側に分割された。</t>
        </is>
      </c>
      <c r="J4739">
        <f>HYPERLINK("https://www.weblio.jp/content/占領", "词义详情")</f>
        <v/>
      </c>
      <c r="K4739">
        <f>HYPERLINK("https://yourei.jp/占領", "查看例句")</f>
        <v/>
      </c>
    </row>
    <row r="4740">
      <c r="A4740" t="inlineStr">
        <is>
          <t>善良</t>
        </is>
      </c>
      <c r="B4740" t="inlineStr">
        <is>
          <t>成功</t>
        </is>
      </c>
      <c r="C4740" t="inlineStr">
        <is>
          <t>読み方：ぜんりょう
［名・形動］性質のよいこと。性質がおだやかですなおなこと。また、そのさま。「—な市民」
[派生]ぜんりょうさ［名］</t>
        </is>
      </c>
      <c r="D4740" t="inlineStr">
        <is>
          <t>善良なる(6%)；善良公(4%)；善良そう(3%)；善良な人間(3%)；善良な人々(2%)</t>
        </is>
      </c>
      <c r="E4740" t="inlineStr">
        <is>
          <t>トータル；総量；総重量；全量；総質量</t>
        </is>
      </c>
      <c r="F4740" t="inlineStr">
        <is>
          <t>善良な人物；善良な夫；善良な性質；善良な青年；善良王</t>
        </is>
      </c>
      <c r="G4740" t="inlineStr">
        <is>
          <t>善良議会；善良な医者；善良の湖</t>
        </is>
      </c>
      <c r="H4740" t="n">
        <v>29</v>
      </c>
      <c r="I4740" t="inlineStr">
        <is>
          <t>彼らはいずれも、歴史が普通に善良なる国王と呼ぶところのものである。；なんでもかでも自分たちは善良で、人をだますことはないと信じている。；なんでもかでも自分たちは善良で、人をだますことはないと信じてゐる。；公は彼のことを常に近侍させており、同じように善良王ルネにも仕えた。；勿論女子が男子の奴隷であつた間は善良にも純潔にもなり得なかつた。；光が善良な子であると云ふことにはあなたも異論がおありにならないでせう。；善良な心と強健な肉体とに救われている凡庸な民衆はいくらもあります。；御前様は実に善良で愛情深い女性で、現在不当な扱いを受けております。；こういう善良な罪のない不満に対しては同情しないわけにはいかない。；彼女の善良さは何ものにも増して私をたけり狂わせはじめて来たのです。；馬鹿な私に優しくしてくれる善良な男性なら、出自がどうだって言うの。；彼女は善良な性質の娘で近くこの市の某青年と結婚する筈であった。；彼は打たれるのを恐れてる善良な犬のような眼つきをしていた。；善良な女で、私と双方でよく理解し合っていますから朗らかなものです。；さうして村の善良な人々は、私のことを、お前の兄だと間違へてゐた。；しかしこの善良な可憐な女は、日々の務めの時間を忘れはしなかった。；善良な女性であるなら、そのような仕事は好きにはなれないのです。；これは完全に善良なる市民の資格を放棄したと見るべきである。；彼はラテン語はあまりよくできないが、正直な善良な心の生徒である。；つまり、善良な人間であり、良き父・良き母でもある人たちなのだろう。；たぶん私は、自分をあなたの犠牲にするほど善良な女ではないかもしれません。；ぼくはぜんりょうな少年なので、先生には外出先を教えておくことにした。；だからお前はもう善良なものでは生きる力を得られなくなった。；甚だしくミス大阪らしからぬ仕事に従事している善良なお嬢さんである。；生活のために生活を理解する必要を持たない謙虚な善良な婦人として。；彼の祖母が四度目の投身をしなかったのは善良の女でないと阿Qは思った。；この善良な紳士の真の性格は君にはもうわかっているからね。；こゝに書いた以外の点ではどんなに私がFの善良な友達であつたか?；そうして村の善良な人々は、私のことを、お前の兄だと間違えていた。</t>
        </is>
      </c>
      <c r="J4740">
        <f>HYPERLINK("https://www.weblio.jp/content/善良", "词义详情")</f>
        <v/>
      </c>
      <c r="K4740">
        <f>HYPERLINK("https://yourei.jp/善良", "查看例句")</f>
        <v/>
      </c>
    </row>
    <row r="4741">
      <c r="A4741" t="inlineStr">
        <is>
          <t>戦力</t>
        </is>
      </c>
      <c r="B4741" t="inlineStr">
        <is>
          <t>成功</t>
        </is>
      </c>
      <c r="C4741" t="inlineStr">
        <is>
          <t>読み方：せんりょく
１戦争を遂行するための力。兵力だけでなく、兵器など軍需品の生産力や物資輸送力を含めて、総合的な戦争遂行能力をいう。
２スポーツや政治・労働運動などで、戦う力。また、事を行ううえでの重要な働き手。「あの選手は—になる」</t>
        </is>
      </c>
      <c r="D4741" t="inlineStr">
        <is>
          <t>戦力差(2%)；戦力化；戦力不足；戦力増強；戦力構想</t>
        </is>
      </c>
      <c r="E4741" t="inlineStr">
        <is>
          <t>兵力；軍事力；軍事能力</t>
        </is>
      </c>
      <c r="F4741" t="inlineStr">
        <is>
          <t>圧倒的な戦力；敵戦力；海上戦力；貴重な戦力；残存戦力</t>
        </is>
      </c>
      <c r="G4741" t="inlineStr">
        <is>
          <t>戦力外；戦力比；戦力基盤軍；戦力投射；戦力バランス</t>
        </is>
      </c>
      <c r="H4741" t="n">
        <v>29</v>
      </c>
      <c r="I4741" t="inlineStr">
        <is>
          <t>この頃から補助戦力であった航空機を主力にする主張が各国で現れる。；また各支援部隊も自動車化される比率が低下し、大幅に戦力は低下した。；日本軍は情報分析の結果、アメリカ軍の空母戦力を以下のように推定した。；この作戦能力が備わっている戦力として特殊部隊が高く評価されている。；ロンメルに散々戦力を壊滅させられた英国からも高い評価を寄せていた。；またモルトケは包囲することで敵戦力を撤退させずに撃滅することを重視した。；前項の目的を達するため、陸海空軍その他の戦力は、これを保持しない。；現代の戦車はほとんどが主力戦車に分類され、戦力の要となっている。；ヘテ時代末期の弱体化された戦力を強化して昔の栄光を取り戻そうとした。；また海軍の任務が増えたにも関わらず、北東方面の戦力は特に強化されなかった。；もっとも戦力的に活用されていない扶桑型と伊勢型が候補に残った。；以降も平均50試合を投げ、チームの戦力的・精神的支柱な存在になった。；連続した戦いによって戦力は減少し、補給上の困難はより深刻になり始めた。；戦闘はその目的や環境、参加戦力の規模や種類によってさまざまな形態がある。；とはいえ、圧倒的な力をかけるにはアメリカ軍の戦力は十分とは言えなかった。；その性能からデビラーも戦力にしようとしていたが、結局は敵対関係となる。；確保ただし空軍はその戦力の特徴上から作戦によって分類している。；タイ軍は、王国の王制・独立・国土を保全するために戦力を準備する。；戦力の少ない白い谷側で、同型機が複数存在する唯一の機種である。；相手の数倍の戦力をもって、城を包囲し外界との接触を遮断する。；ただしこの事は迎撃戦力の意義を否定したものではないことに留意すべきである。；そのとき、「この人はもう俺を戦力として見ていないな」と直感した。；また、身分の別なく、自らを戦力として大名に押し売りする者もいた。；彼等は非常に有用な戦力であり、数々の勝利に大いに貢献した。；世界に存在する、ありとあらゆる組織を凌駕する圧倒的な戦力を擁する。；続投するペトロヴィッチを含め、戦力の大半を維持して開幕を迎える。；この結果、第4航空軍の保有する130機の戦力は40機へ低下した。；開戦時期が早いほど戦力的に連合軍が有利となるはずであった。；圧倒的な戦力を持つ文明の前に自衛隊も一方的な敗北を喫する。</t>
        </is>
      </c>
      <c r="J4741">
        <f>HYPERLINK("https://www.weblio.jp/content/戦力", "词义详情")</f>
        <v/>
      </c>
      <c r="K4741">
        <f>HYPERLINK("https://yourei.jp/戦力", "查看例句")</f>
        <v/>
      </c>
    </row>
    <row r="4742">
      <c r="A4742" t="inlineStr">
        <is>
          <t>全力</t>
        </is>
      </c>
      <c r="B4742" t="inlineStr">
        <is>
          <t>成功</t>
        </is>
      </c>
      <c r="C4742" t="inlineStr">
        <is>
          <t>読み方：ぜんりょく
もっている限りの力。ありったけの力。「—を尽くす」「—を傾ける」</t>
        </is>
      </c>
      <c r="D4742" t="inlineStr">
        <is>
          <t>全力疾走(3%)；全力投球；全力運転；全力攻撃；全力ダッシュ</t>
        </is>
      </c>
      <c r="E4742" t="inlineStr">
        <is>
          <t>本気；ベスト；力いっぱい；ありったけ；渾身の力</t>
        </is>
      </c>
      <c r="F4742" t="inlineStr">
        <is>
          <t>全力公試；全力学園野球部；全力全開；全力噴射</t>
        </is>
      </c>
      <c r="G4742" t="inlineStr">
        <is>
          <t>全力投球；全力プレー；全力応援；全力少女r；全力バタンキュー</t>
        </is>
      </c>
      <c r="H4742" t="n">
        <v>29</v>
      </c>
      <c r="I4742" t="inlineStr">
        <is>
          <t>頭の良い息子スンチョンの夢を実現するために全力でサポートしている。；それどころか、小銃の取得に全力を挙げるように依頼されたのであった。；颯大の分まで長く現役を続けたいし、野球と全力で向き合っていきたい。；やっと口を開いたとき、全力で遠くから走って来たかのようだった。；これは競技者が常に全力で競技を行うことを目的に考えられたルールである。；彼は全力を挙げて、この正体の知れぬ殺人魔と闘う決心をしたのであった。；人生の荒波に出会った時は、全力で僕が西島くんの側について守るから。；どんな状況でも全力で前を向いてトライしていかないといけない。；このチームで最高の思いができるよう最後まで私らしく全力で頑張ります。；自分の座を奪われてはなるものかと全力を挙げて嫌がらせを決行する。；そのような人達の勇気と希望のために全力を尽くしたいと思います。；本来の科学的新聞記者は全力を挙げてその技術を行わねばならない。；学校内での授業は他の生徒の模範となるように全力で受ける。；全力でぶつかっていけば、自分の体にも強くなる力が入ってくる。；チームへの詫びの気持ちをこめて全力でゲームメイクをし、勝利に貢献した。；このような神風の抵抗を受けつつも第38任務部隊は台湾攻撃に全力を挙げた。；この制約を解いて全力を出した場合、本人によれば銀河が消滅するという。；警察が私に代わり、兄の行方を全力で捜してくださるようお願いします。；愛は個性の飽満と自由とを成就することにのみ全力を尽しているのだ。；小池君、外の事件は放って置いて、今日からこの事件に全力を尽そう。；奴はまだ全力のスピードを出していないんだからな。；またフランスに対する全力を出しての商業的な戦争でもあった。；だから僕など民間にいながら率先して全力を尽し助けているんだ。；眞子は全力を尽くして見事優勝を果たし、一方の坂田は5位に終わった。；右手に全力を込めてロープを止めようとしたが、勢いは抑えられない。；民主党議員は共和党急進派の再建政策に全力で反対したが、無駄であった。；私は現存するものの維持のために全力を費しているのです。；勝利を目指して全力をあげ、一切の苦しみに耐へることではないか。；俺が今の奴の立場なら、当たって砕ける覚悟で全力を尽くすだろう。</t>
        </is>
      </c>
      <c r="J4742">
        <f>HYPERLINK("https://www.weblio.jp/content/全力", "词义详情")</f>
        <v/>
      </c>
      <c r="K4742">
        <f>HYPERLINK("https://yourei.jp/全力", "查看例句")</f>
        <v/>
      </c>
    </row>
    <row r="4743">
      <c r="A4743" t="inlineStr">
        <is>
          <t>前例</t>
        </is>
      </c>
      <c r="B4743" t="inlineStr">
        <is>
          <t>成功</t>
        </is>
      </c>
      <c r="C4743" t="inlineStr">
        <is>
          <t>読み方：ぜんれい
１「先例」に同じ。「この種の事件は—を見ない」
２前にあげた例。</t>
        </is>
      </c>
      <c r="D4743" t="inlineStr">
        <is>
          <t>前例がない(9%)；前例がなく(4%)；前例が無い；前例が無く；前例主義</t>
        </is>
      </c>
      <c r="E4743" t="inlineStr">
        <is>
          <t>ケース；事例；実例；先例；適例</t>
        </is>
      </c>
      <c r="F4743" t="inlineStr">
        <is>
          <t>悪しき前例；そういう前例；そんな前例；悪い前例；歴史的前例</t>
        </is>
      </c>
      <c r="H4743" t="n">
        <v>29</v>
      </c>
      <c r="I4743" t="inlineStr">
        <is>
          <t>前例ではそこで全中裏から抜けられるはずだったのだが許されなかった。；またわれわれはどれかの前例によってそれの能力を判断すべきではない。；これはメキシコやスペインの他の設計においても前例のないものである。；このことは、他の教区が領主から同様の権利を手に入れる前例となった。；このような一般国道は過去に前例がなく、現在も特殊なケースに属する。；のみならずこんなのは今から四千年前のエジプトに同じような前例があるのだ。；それによって生まれた彼らの音楽は他に前例のない独特なものである。；このような提携は前例の無いものだったが、当時活動は大成功を収めた。；固定台枠の動輪6軸も世界的に見ると前例はあるがフランスでは珍しい。；サントリオは自分の研究が「新しく前例が無い」ことをよく知っていた。；彼が録音した音源をお蔵入りさせることは1999年にも前例があった。；完全に自動的に働いている発動機の出力が前例のないほど低下したからだ。；王室の上級メンバーがこのように話すことは前例のないことであるという。；こうした状況は、宇宙と海の記録に前例のないものだろうか、と彼は思った。；この時期の戦争はローマにとって前例の無い成功したものとなった。；将軍自ら墓参したが、これは臣下の墓へ前例のないことだと記されている。；root権限を制限することは、macOSでは前例のないことである。；全ての過程が初体験でかつ、日本国内に殆ど前例がないものであった。；その後の10年間、モンテッサは前例がないほどの急速な成長を見せた。；そこにはによる、前例のない1809の木版のイラストが含まれていた。；さらに、第一次世界大戦中の公共情報委員会が失敗した前例もあった。；力士だけでも6部屋に分割される形で移籍したというのは前例がない。；セクがこれほど大移動した前例があるかどうかを、チェックするのだ。；その代わり、通常の処理が終わると、前例のない再飛行を指示した。；日本では前例がない車両構造のため、監督官庁も扱いに困ったといわれている。；これが悪しき前例となって、将来我らに牙を剥かないと誰が言えるのか。；しかし、前例のないこうした訴えを受け入れてもらうことは難しいものであった。；報道によると、タイでこのような訴訟は前例がほとんどないという。；このような国のあり方や文化にまで範囲を広げる交渉は前例の無いことだった。</t>
        </is>
      </c>
      <c r="J4743">
        <f>HYPERLINK("https://www.weblio.jp/content/前例", "词义详情")</f>
        <v/>
      </c>
      <c r="K4743">
        <f>HYPERLINK("https://yourei.jp/前例", "查看例句")</f>
        <v/>
      </c>
    </row>
    <row r="4744">
      <c r="A4744" t="inlineStr">
        <is>
          <t>線路</t>
        </is>
      </c>
      <c r="B4744" t="inlineStr">
        <is>
          <t>成功</t>
        </is>
      </c>
      <c r="C4744" t="inlineStr">
        <is>
          <t>読み方：せんろ
１車両を運行させるために路盤上に道床を設け、枕木をのせてレールを取り付けた軌道。また、それを含む鉄道通路の全体。
２送電線・電信線などの導線とその支持施設。</t>
        </is>
      </c>
      <c r="D4744" t="inlineStr">
        <is>
          <t>線路跡(3%)；線路上(3%)；線路沿い(2%)；線路脇；線路側</t>
        </is>
      </c>
      <c r="E4744" t="inlineStr">
        <is>
          <t>線；路線；鉄道；行；列</t>
        </is>
      </c>
      <c r="F4744" t="inlineStr">
        <is>
          <t>電車線路；線路西側；線路東側；線路わき；線路別</t>
        </is>
      </c>
      <c r="G4744" t="inlineStr">
        <is>
          <t>線路容量；線路使用料；線路閉鎖；線路等級；線路幅</t>
        </is>
      </c>
      <c r="H4744" t="n">
        <v>29</v>
      </c>
      <c r="I4744" t="inlineStr">
        <is>
          <t>そして現在に至るまで南北の線路は分断されたままの状態が続いている。；線路はほぼ北西から南東に走り、駅舎は線路の南西側に設けられている。；近隣住民が線路脇の土手を階段状にして上り下りしているケースもある。；小さな駅舎が線路東側にあり、そこから跨線橋がホームへと続いている。；かつては島式1面2線だったが、現在は駅舎側の線路が撤去されている。；京浜東北線に並行して東側には東海道線の線路があるが、ホームはない。；停車場の線路網状の位置や、その機能によって以下のように分類される。；駅舎は線路西側にあり、ホームへは府中寄りの構内踏切で連絡している。；駅舎は線路西側の可部寄りにあり、ホームへは構内踏切で連絡している。；駅舎は線路東側にあり、ホームへは可部寄りの構内踏切で連絡している。；三崎口駅南の国道134号を潜る形で僅かな距離だが線路は続いている。；特に当駅前後の被害が最も激しく土砂は線路を超えて県道付近まで達した。；現在は西側の線路のみに、伊賀神戸行きと上野市行きの双方が発着する。；かつては島式ホーム1面2線の構造を有したが片側の線路が撤去された。；この付近で仙石線と東北本線は、並行するように線路が敷設されている。；駅舎は線路東側広島寄りにあり、ホームへは構内踏切で連絡している。；その当時の地図では広島駅通過後、京橋川の近くまで線路が延びていた。；その後の駅改良工事に伴い、上下ホーム間の線路予定地に線路が敷設された。；ただし、前述の経緯から徳島線の列車が走る線路も高徳線に所属している。；また新木場駅の蘇我方ではJR東日本の京葉線と線路が接続されている。；線路は旧4番のりばのすぐ南に並行しており、難波方に車止めがあった。；駅東西および南には線路と平行に走る道があり、商店街となっている。；線路北側にあるその駅舎からホームへは構内踏切で連絡している。；線路とホームは駅の東側で南向きにカーブしていて、その辺りには屋根はない。；廃止されたホームの方には錆びた線路が本線から分断された状態で残っている。；中線が撤去されたため、ホームと線路が交互に並ぶ構造となっている。；びわ湖浜大津駅では接続する石山坂本線とホーム・線路を共用している。；線路関係では、前述の可部線延伸計画のほかにも以下の計画がされている。；昼間のみ線路建設が可能なA列車を用いて線路を建設していく。</t>
        </is>
      </c>
      <c r="J4744">
        <f>HYPERLINK("https://www.weblio.jp/content/線路", "词义详情")</f>
        <v/>
      </c>
      <c r="K4744">
        <f>HYPERLINK("https://yourei.jp/線路", "查看例句")</f>
        <v/>
      </c>
    </row>
    <row r="4745">
      <c r="A4745" t="inlineStr">
        <is>
          <t>そう</t>
        </is>
      </c>
      <c r="B4745" t="inlineStr">
        <is>
          <t>成功</t>
        </is>
      </c>
      <c r="C4745" t="inlineStr">
        <is>
          <t>１様態の助動詞「そうだ」の語幹。「この本はおもしろ—ね」「雨が降り—」→そうだ1
２伝聞の助動詞「そうだ」の語幹。「彼も行く—よ」「今日の試合は中止だ—」→そうだ2</t>
        </is>
      </c>
      <c r="D4745" t="inlineStr">
        <is>
          <t>そうです(4%)；そういえ；そうすれ；そう思う；そう言う</t>
        </is>
      </c>
      <c r="E4745" t="inlineStr">
        <is>
          <t>こうして；ひどく；大変；ずいぶん；合う</t>
        </is>
      </c>
      <c r="F4745" t="inlineStr">
        <is>
          <t>楽しそう；心配そう；もしそう；うれしそう；不思議そう</t>
        </is>
      </c>
      <c r="G4745" t="inlineStr">
        <is>
          <t>そうして；そうした；そういった；そうすると；そうしたら</t>
        </is>
      </c>
      <c r="H4745" t="n">
        <v>29</v>
      </c>
      <c r="I4745" t="inlineStr">
        <is>
          <t>物事にはうまく行く場合とそうでない場合があるのを心得ていたからだ。；お前のこの身体に彼の身体が寄りそい、お前のこの身体は彼に開かれる。；酪農は主に大消費地に近い地域、放牧はそうでない地域で行われている。；文章題には、割合を強く意識して考える問題とそうでない問題とがある。；また、語彙的な意味を持つものとそうでないものに分けることができる。；そのような急激な変化は今も続いているが、常にそうだったわけではない。；そいだのに読んだものの話なんか何故一度もなすった事がないんでしょう。；名詞には所有接頭辞を加えた所有形と、そうでない絶対形の区別がある。；実験式と分子式が同じであることがよくあるが、常にそうとは限らない。；また、そうして出会ったファンの名を作品に登場させることもある。；そうなった原因はわからないが、おそらく不在期間が長すぎたのであろう。；それに特別の技術を使用することもあれば、そうでないこともある。；なんでもブリュッセルや、そいからロンドンにも居たことがあるそうだ。；この頃、戒律の解釈問題で教団内に対立が起こり、分裂しそうになった。；だが舟魚はぴたりと彼の横に寄りそい、その鼻で体を押し上げてくれる。；そお、この世にあるすべての洋服は私のもの、あとは私が選ぶだけなの。；試合中アキレス腱が切れたが気にする事はなくそのまま試合を続けたそう。；これらは写真を基にしたものもあれば、そうでないものもあった。；そいでね、あたしにもね、あいさつしてくれてね、よさそうな人なんよ。；そしてそのまま、そいじゃまたとかなんとか言って帰っちゃったんです。；見た目は皆ソックリの外見だが、本人たちはそう思っていないとのこと。；勝利を喜んだのはアメリカだけではなく、フランス王国もそうだった。；これは状況証拠すなわち前後の事情からして、ありそうなことである。；二人の車はマンションの塀にそい、朋浩の家に背を向けて止めてあった。；そのためバーティは息がつまりそうな生活を送ったという。；次の条件は、採用しているライセンスと、そうでないライセンスがある。；そいでもほかのもんがそれにきつう反対しとるかといえばそうでもなか。；彼女はおそらく夫の期待にそわなかったか、うまくやれなかったかであろう。；例えば、単純に観測できそうな快感の度合いすら他者には観測できない。</t>
        </is>
      </c>
      <c r="J4745">
        <f>HYPERLINK("https://www.weblio.jp/content/そう", "词义详情")</f>
        <v/>
      </c>
      <c r="K4745">
        <f>HYPERLINK("https://yourei.jp/そう", "查看例句")</f>
        <v/>
      </c>
    </row>
    <row r="4746">
      <c r="A4746" t="inlineStr">
        <is>
          <t>そう</t>
        </is>
      </c>
      <c r="B4746" t="inlineStr">
        <is>
          <t>成功</t>
        </is>
      </c>
      <c r="C4746" t="inlineStr">
        <is>
          <t>１様態の助動詞「そうだ」の語幹。「この本はおもしろ—ね」「雨が降り—」→そうだ1
２伝聞の助動詞「そうだ」の語幹。「彼も行く—よ」「今日の試合は中止だ—」→そうだ2</t>
        </is>
      </c>
      <c r="D4746" t="inlineStr">
        <is>
          <t>そうです(4%)；そういえ；そうすれ；そう思う；そう言う</t>
        </is>
      </c>
      <c r="E4746" t="inlineStr">
        <is>
          <t>こうして；ひどく；大変；ずいぶん；合う</t>
        </is>
      </c>
      <c r="F4746" t="inlineStr">
        <is>
          <t>楽しそう；心配そう；もしそう；うれしそう；不思議そう</t>
        </is>
      </c>
      <c r="G4746" t="inlineStr">
        <is>
          <t>そうして；そうした；そういった；そうすると；そうしたら</t>
        </is>
      </c>
      <c r="H4746" t="n">
        <v>29</v>
      </c>
      <c r="I4746" t="inlineStr">
        <is>
          <t>物事にはうまく行く場合とそうでない場合があるのを心得ていたからだ。；お前のこの身体に彼の身体が寄りそい、お前のこの身体は彼に開かれる。；酪農は主に大消費地に近い地域、放牧はそうでない地域で行われている。；文章題には、割合を強く意識して考える問題とそうでない問題とがある。；また、語彙的な意味を持つものとそうでないものに分けることができる。；そのような急激な変化は今も続いているが、常にそうだったわけではない。；そいだのに読んだものの話なんか何故一度もなすった事がないんでしょう。；名詞には所有接頭辞を加えた所有形と、そうでない絶対形の区別がある。；実験式と分子式が同じであることがよくあるが、常にそうとは限らない。；また、そうして出会ったファンの名を作品に登場させることもある。；そうなった原因はわからないが、おそらく不在期間が長すぎたのであろう。；それに特別の技術を使用することもあれば、そうでないこともある。；なんでもブリュッセルや、そいからロンドンにも居たことがあるそうだ。；この頃、戒律の解釈問題で教団内に対立が起こり、分裂しそうになった。；だが舟魚はぴたりと彼の横に寄りそい、その鼻で体を押し上げてくれる。；そお、この世にあるすべての洋服は私のもの、あとは私が選ぶだけなの。；試合中アキレス腱が切れたが気にする事はなくそのまま試合を続けたそう。；これらは写真を基にしたものもあれば、そうでないものもあった。；そいでね、あたしにもね、あいさつしてくれてね、よさそうな人なんよ。；そしてそのまま、そいじゃまたとかなんとか言って帰っちゃったんです。；見た目は皆ソックリの外見だが、本人たちはそう思っていないとのこと。；勝利を喜んだのはアメリカだけではなく、フランス王国もそうだった。；これは状況証拠すなわち前後の事情からして、ありそうなことである。；二人の車はマンションの塀にそい、朋浩の家に背を向けて止めてあった。；そのためバーティは息がつまりそうな生活を送ったという。；次の条件は、採用しているライセンスと、そうでないライセンスがある。；そいでもほかのもんがそれにきつう反対しとるかといえばそうでもなか。；彼女はおそらく夫の期待にそわなかったか、うまくやれなかったかであろう。；例えば、単純に観測できそうな快感の度合いすら他者には観測できない。</t>
        </is>
      </c>
      <c r="J4746">
        <f>HYPERLINK("https://www.weblio.jp/content/そう", "词义详情")</f>
        <v/>
      </c>
      <c r="K4746">
        <f>HYPERLINK("https://yourei.jp/そう", "查看例句")</f>
        <v/>
      </c>
    </row>
    <row r="4747">
      <c r="A4747" t="inlineStr">
        <is>
          <t>添う</t>
        </is>
      </c>
      <c r="B4747" t="inlineStr">
        <is>
          <t>成功</t>
        </is>
      </c>
      <c r="C4747" t="inlineStr">
        <is>
          <t>読み方：そう
［動ワ五（ハ四）］
１長く続いているものに、離れないように付き従う。何かに並行した形で続いている。「流れに—・ってくだる」「道路に—・ってケヤキが植えてある」
２（「添う」「副う」とも書く）方針や基準となるものに従い、それから離れないようにして何かを行う。「要求に—・った回答」</t>
        </is>
      </c>
      <c r="D4747" t="inlineStr">
        <is>
          <t>伴う；同行；従う；付く；付随</t>
        </is>
      </c>
      <c r="H4747" t="n">
        <v>29</v>
      </c>
      <c r="I4747" t="inlineStr">
        <is>
          <t>「もう少し歩いて行きましょう」と女は濠端に添う道の方へ彼を誘った。；中洲になったシテイの島に添うて別れて来る河の水は彼の眼にあった。；彼女はただわずかに、川に添うて歩いてきたことを思い出しました。；すべては神の御心に添う形で在り、在らねばならないと規定されている。；われわれの目的に添うものが発見できそうな記録はすべて、調べてください。；伝統の流れは、習慣の流れに添うて流れるものではないとも考えられるからだ。；伊三次は五兵衛の気持ちを察して、できるだけ意に添うようにして来た。；宇宙軍の仕事が、あなたがたのご希望に添うかどうか、わかると思うわ。；深く陥没んだ地勢に添うて折れ曲って行っている一筋の細い道が見える。；どちらの調達した娘が国王の意に添うかを密かに競っているのである。；今迄の線に添うて行く道が鎖された時に、それ以外には道はないのだらうか?；お前は二十年以上も添うて置いて、まだ私の心が分らぬのぢやなあ。；馬流というところまで岸に添うて遡ると河の勢も確かに一変して見える。；位置も東に添うて立っている岩の上にあるので、頂上よりは一段低い。；その傍に、小さい懐中電灯を持った人物がつき添うように並んで歩いている。；むしろ、現実こそドラマに添うべきだ、と思ってたんじゃないかな?；私はできるだけあなたの意に添う用意があるものとご承知下さい。；谷に添うてゆくより他に仕方がない、町から町へ道をとってゆくに限るのだ。；河口近くで源緑輪中に添うように流れを西に変えて再び木曽川に合流する。；ようやくご要望に添うことができましたのは、何と都落ちの列車の中。；同じように、信長のそばに、影の形に添うように従いている美童があった。；いつもなら分隊監事付の何人かが影の形に添うようについて来るところであった。；それを兄さんが私の宅が階級が低いものだから長く添うて居る事を親から許されなかった。；この時まで父親に添うて岸に立っていたシャルルは、もう我慢ができなくなった。；その穴の真下に黒ずんだ土の見えるのは、岸に添う街道に紛れもなかった。；たかの育児の方針は、亡き川村純義伯爵がたてたものに添うようにした。；平兵衛の乗った舟と平三郎の乗った舟は、堤に添うて上流の方へ漕いでいた。；傍には門前仲町の増蔵と松の湯の留蔵がつき添うように座っていた。；いわゆる影の形に添うごとく、どこまでも後をつけまわして行った。</t>
        </is>
      </c>
      <c r="J4747">
        <f>HYPERLINK("https://www.weblio.jp/content/添う", "词义详情")</f>
        <v/>
      </c>
      <c r="K4747">
        <f>HYPERLINK("https://yourei.jp/添う", "查看例句")</f>
        <v/>
      </c>
    </row>
    <row r="4748">
      <c r="A4748" t="inlineStr">
        <is>
          <t>象</t>
        </is>
      </c>
      <c r="B4748" t="inlineStr">
        <is>
          <t>成功</t>
        </is>
      </c>
      <c r="C4748" t="inlineStr">
        <is>
          <t>山口長男による油絵。
（作品）抽象画。昭和29年（1954）、第1回現代日本美術展に出品し優秀賞を受賞した。
（象）黒地に黄土色の矩形を配置した抽象画。昭和36年（1961）、第6回日本国際美術展に出品。東京国立近代美術館蔵。</t>
        </is>
      </c>
      <c r="D4748" t="inlineStr">
        <is>
          <t>象使い；象台；象狩り；象頭；象兵</t>
        </is>
      </c>
      <c r="E4748" t="inlineStr">
        <is>
          <t>姿；形；形態；像；形状</t>
        </is>
      </c>
      <c r="F4748" t="inlineStr">
        <is>
          <t>写象；子象；白い象；観象；玄象</t>
        </is>
      </c>
      <c r="G4748" t="inlineStr">
        <is>
          <t>象牙；象徴的；象山；象徴主義；象形文字</t>
        </is>
      </c>
      <c r="H4748" t="n">
        <v>29</v>
      </c>
      <c r="I4748" t="inlineStr">
        <is>
          <t>下の向かって左には、ラオ族を象徴する白い象が赤い地に描かれている。；姿は現生または古代の象に似ているとされ、赤い目を持つともされる。；なおこのCMは会議室となる部屋に実際に7頭の象を集めて撮影された。；蛇を体に巻きつけ、三つの目を持つ象頭の人の姿をしているという。；海上から見ると伏せた体勢の象の鼻に見えることからそう呼ばれている。；後にババールの世話をした老婦人は国賓として象の国に受け入れられる。；彼はインドの喩え話「盲人たちと象」を語り直したことで知られている。；毒は有していないが、巨象をも絞め殺してしまう強力な尾を具えている。；しかし正直なところ目が見えないで象をなでるの感を禁じ得なかった。；象の通る橋には、新しく造られた三条大橋以外の橋に土砂がかけられた。；人間だけではなく、戦馬や象などの動物を保護するために使われることもあった。；これは昔この大学の付近で象のレースが行われたことによる。；さらに全問正解した場合には、象の金バッジとアフリカ旅行獲得となる。；なお、叙用は鎮守府将軍を務めず、兄弟の有頼・有象が任ぜられている。；小さな象ほどもある石柱が、その小さな先端と微妙にバランスしていた。；その直後、インドラが乗る象が花輪に興味を示したため何気なく与えた。；ヤムナー川の下流域は、象の移動にとって理想的な通路を提供している。；カリムは後ろの象に顔を向けつつ、カメラに向かって他愛もない話をする。；象が生息する地域では馬の代わりに象を使用した事例もあった。；競技場の長さも象の走力を考慮して一般的なポロの4分の3程度である。；オットー・イェスペルセンは音象説を弁護して、このように書いている。；象の京都での宿泊場所は京都御所に近い浄土宗寺院の清浄華院であった。；ほかに大きな草履の形をした仙女遺履、象の形をした石象頭などがある。；象を載せた船の船体は大きく、その分時間がかかったことをうかがわせる。；よく馴れた象であったとされ、司僕寺で世話を任されることになった。；他に象の彫刻やスワーミーナーラーヤンの巨大な絵が掲げられている。；また合体後も状況に応じて象怪獣と翼竜怪獣に分離することも可能である。；新聞によれば、人々が象のいないことに気づいたのは5月18日とのことだった。；地元の新聞は、男たちに「象を見に来る」ことを勧める広告を出した。</t>
        </is>
      </c>
      <c r="J4748">
        <f>HYPERLINK("https://www.weblio.jp/content/象", "词义详情")</f>
        <v/>
      </c>
      <c r="K4748">
        <f>HYPERLINK("https://yourei.jp/象", "查看例句")</f>
        <v/>
      </c>
    </row>
    <row r="4749">
      <c r="A4749" t="inlineStr">
        <is>
          <t>像</t>
        </is>
      </c>
      <c r="B4749" t="inlineStr">
        <is>
          <t>成功</t>
        </is>
      </c>
      <c r="C4749" t="inlineStr">
        <is>
          <t>読み方：ぞう
［音］ゾウ（ザウ）（呉）
［学習漢字］5年
１目に映るものの姿・形。「映像・画像・虚像・現像・残像・実像・受像」
２思い描くイメージ。「心像・想像・理想像」
３実物をかたどってつくったもの。「胸像・偶像・座像・肖像・聖像・石像・彫像・銅像・仏像」
［名のり］かた・すえ・のり・み</t>
        </is>
      </c>
      <c r="D4749" t="inlineStr">
        <is>
          <t>像容；像高；像矛；像塔；像表面</t>
        </is>
      </c>
      <c r="E4749" t="inlineStr">
        <is>
          <t>姿；形；写真；形態；映像</t>
        </is>
      </c>
      <c r="F4749" t="inlineStr">
        <is>
          <t>観音像；自画像；女性像；石膏像；犯人像</t>
        </is>
      </c>
      <c r="G4749" t="inlineStr">
        <is>
          <t>像面湾曲</t>
        </is>
      </c>
      <c r="H4749" t="n">
        <v>29</v>
      </c>
      <c r="I4749" t="inlineStr">
        <is>
          <t>また、バクトリア地方から出土した数体の石製女性像が見つかっている。；ネロを含む幾人かの皇帝の像は死後に破壊されたが、後に作り直された。；移転前の駅は現行の駅よりも南側の像がある広場付近に南北に建っていた。；ズッコケ三人組の像は駅改良工事に伴い、現在は北口に設置されている。；ウェブスターの悲劇作品は人間の恐ろしいまでの像を読者に示している。；が開であるとは、 の任意の開集合の像が の開集合となるときに言う。；著名な絵画や人物像、ゲームや漫画の登場人物などが題材にされることが多い。；そして互いに鏡像である配座異性体同士は互いにエナンチオマーとなる。；この像は彼が祈りを捧げる姿を模ったもので紀元前25世紀に作られた。；古代的な牧歌的天皇像を当てはめることで近代天皇像への批判となる。；もはや用済みとなった後藤新平像は、長年神社の境内に放置され続けた。；後に、この彗星の発見前の像が1月1日に撮影された写真上で見つかった。；天使の像は矢を彼女の心臓に射込もうとはしておらず、引き下げている。；カエサルの像は地元の研究者やロータリークラブが立てたものである。；アルルでの耳切り事件の後に描かれた自画像は、左耳に包帯をしている。；なぜこのような人物像が作られたかというと、その方がわかりやすいからだという。；そのため、それぞれの像の光が対象物からでたのは異なる時である。；しかし彼がすべての年代のための作者であるという自己像には一致していなかった。；眼球が通常より前後に短いため、網膜よりも後方に像を結んでしまうもの。；立体的な像を原則避ける習慣には、偶像崇拝を避ける意図があるとされる。；母親の違う於菟は、他の子供たちとはまた違った父親像を綴っている。；巨石像も各地に存在し、イースター島のモアイなどは広く知られている。；これら他の生物像は狭義のモケーレ・ムベンベとはそれぞれ異なっている。；その像は天女のような姿をし、子供を1人抱き、右手には吉祥果を持つ。；この洞窟には馬の頭を持つデーメーテール像が祀られていたと伝えられている。；歌詞の中で桑田自身とは異なる歌手像やペルソナが設定されていることも多い。；このことを記念してデルフゼイルにはメグレの像が建てられている。；あるいは A の表現する線型写像の像の次元と言っても同じである。；世界で4番目に高い像であり、また世界で最も高い観音像でもある。</t>
        </is>
      </c>
      <c r="J4749">
        <f>HYPERLINK("https://www.weblio.jp/content/像", "词义详情")</f>
        <v/>
      </c>
      <c r="K4749">
        <f>HYPERLINK("https://yourei.jp/像", "查看例句")</f>
        <v/>
      </c>
    </row>
    <row r="4750">
      <c r="A4750" t="inlineStr">
        <is>
          <t>相違</t>
        </is>
      </c>
      <c r="B4750" t="inlineStr">
        <is>
          <t>成功</t>
        </is>
      </c>
      <c r="C4750" t="inlineStr">
        <is>
          <t>読み方：そうい
［名］(スル)二つのものの間にちがいがあること。「事実と—がある」「案に—する」</t>
        </is>
      </c>
      <c r="D4750" t="inlineStr">
        <is>
          <t>相違ない(38%)；相違点(10%)；相違なかった(4%)；相違ありません；相違ござい</t>
        </is>
      </c>
      <c r="E4750" t="inlineStr">
        <is>
          <t>違い；異なる；距離；違う；差</t>
        </is>
      </c>
      <c r="F4750" t="inlineStr">
        <is>
          <t>主な相違；著しい相違；大した相違；相違ござり；相違ございますまい</t>
        </is>
      </c>
      <c r="H4750" t="n">
        <v>29</v>
      </c>
      <c r="I4750" t="inlineStr">
        <is>
          <t>主に原作と大きな違いのあるキャラクターを相違点を中心に紹介する。；現在では言語的相違の観点から、歴史的に以下の3つに分けられている。；オウエンと労働組合指導者との間で見解の相違が存在していたのである。；このため、1編成の中でサービスレベルの相違が見られる編成となった。；両者は基本的に同一の内容を記しているが、一部に相違点がみられる。；戦車と突撃砲の決定的な相違は機動戦闘の任務に用いるか否かであった。；前作との最も大きな相違点は、2人同時プレイが可能になった点である。；このように下記の訓令などとは、かなりの相違があることに注意されたい。；このような相違は胞子分散の様式に関係しているとも考えられている。；設定やあらすじは基本的にアニメと同じであるが、相違点もいくつかある。；当時、南部と北部との経済・社会・政治的な相違が拡大していた。；首都圏新都市鉄道つくばエクスプレスと比較して、下記の相違点がある。；この許認可においてはタクシー事業とハイヤー事業の間での相違はない。；最近の経営学者・経済学者には、この点を両者の相違としている者も多い。；したがって485系とは基本設計は共通としながらも以下の相違点が存在する。；また王安石との相違点としては、軍事方面に注力したことが挙げられる。；車両の仕様設計は東京地下鉄で相違する項目を提示して、設計に反映させた。；その各制度の概要と、幹部候補生制度との主な相違点は次のとおりである。；基本的に1・2次車と車体形状は変わらないが、以下の相違点がある。；時間と空間の捉え方も2人の見解が大幅に相違しており、互いに衝突していた。；アシカとは外見がよく似ているが、いくつか明確な相違点が見られる。；カトリーヌは信仰上の相違を解決するべく、双方の教会指導者を招集した。；当時、アメリカ合衆国は南部と北部との経済・社会・政治的な相違が拡大していた。；その他にも原作とアニメとの相違点は大小含めて枚挙にいとまがない。；自分のいた世界とプリンプタウンの相違点を日記にまとめていた。；しかし、注意して観察すると下記の特徴、相違点を見出す事ができる。；民間製造品とも呼べるもので、デザイン・構造に一部相違点がある。；小説版ではアニメ版より詳細な説明が増えている一方、相違点も見られる。；基本的なパーツはほぼモンキーと共通であるが、以下の相違点がある。</t>
        </is>
      </c>
      <c r="J4750">
        <f>HYPERLINK("https://www.weblio.jp/content/相違", "词义详情")</f>
        <v/>
      </c>
      <c r="K4750">
        <f>HYPERLINK("https://yourei.jp/相違", "查看例句")</f>
        <v/>
      </c>
    </row>
    <row r="4751">
      <c r="A4751" t="inlineStr">
        <is>
          <t>そういえば</t>
        </is>
      </c>
      <c r="B4751" t="inlineStr">
        <is>
          <t>成功</t>
        </is>
      </c>
      <c r="D4751" t="inlineStr">
        <is>
          <t>そういえばこないだ；そういえば思いあたる；そういえば蔦子</t>
        </is>
      </c>
      <c r="E4751" t="inlineStr">
        <is>
          <t>そう言えば；そういや</t>
        </is>
      </c>
      <c r="H4751" t="n">
        <v>29</v>
      </c>
      <c r="I4751" t="inlineStr">
        <is>
          <t>そういえば地面を離れてから、彼は虫らしいものをまったく見ていない。；そういえばひょっとするとこの商人にもなにか意見があるのではないか。；そういえば、来るときに駅の側でなにやら作業していたような気もする。；そういえば、こういうことになるのでは、とあなたは言っていましたね。；そういえば、芝居ばかりして、仕事などしていないのだから無理はない。；そういえば帰宅時にも留守電にはメッセージが一件も入っていなかった。；そういえば、その呼び名はもう使わないと彼女に約束したばかりだった。；そういえばシャアラがそういっていたのに、自分はすっかり忘れていた。；そういえば、ピアズ・ダイクンには親も兄弟もないと聞いたことがある。；そういえば、私は最初から相手の婦人にある疑いを持っていたのです。；そういえばぶつかった時に何かが水の中に落ちるような音が聞こえた。；そういえばあの事件以来、俺の周囲で変化したことがもう一つあった。；そういえば、彼が今どこに住んでいるかも本人から聞いた記憶がない。；そういえば、祖母がこの伯母と口論したところを一度も見た記憶がない。；そういえば、彼は以前、好きになった女子学生に歌を送ったことがある。；そういえば、お前にも柳沢のすることが大抵判断がつくだろうと思って。；そういえば、どこがとは一言で言えないが、妙に人間臭い印象も受けた。；そういえば三人とも、その男をどこかで見たような気がしていたが。；そういえば、あの女に電話したときに、ちょっと変だとは思いましたがね。；そういえば今朝、鹿もそんなことを言っていたなとぼんやり思い出した。；そういえばこんな雨とも霧ともつかない日じゃなかっただろうか。；そういえば、ハリーは、クラムが話すのを実際に聞いたことはなかった。；そういえば、アデレードはおまえを第一相続人に指定していたそうだな?；そういえば、自分はここへ来てから、昼間伯爵の姿を見たことがない。；そういえば台風で電車が遅れて、学校に行くのに苦労した日があった。；そういえば合宿に入ってからはテレビも見なければ新聞も読んでいなかった。；そういえばこの言葉を英語に翻訳したらどうなるか一度きいて見たいものである。；そういえば、彼は、出征以来、実に稀れにしか家へ手紙を出していない。；そういえば、これとよく似た配景を、いつか一度見たような記憶がある。</t>
        </is>
      </c>
      <c r="J4751">
        <f>HYPERLINK("https://www.weblio.jp/content/そういえば", "词义详情")</f>
        <v/>
      </c>
      <c r="K4751">
        <f>HYPERLINK("https://yourei.jp/そういえば", "查看例句")</f>
        <v/>
      </c>
    </row>
    <row r="4752">
      <c r="A4752" t="inlineStr">
        <is>
          <t>増益</t>
        </is>
      </c>
      <c r="B4752" t="inlineStr">
        <is>
          <t>成功</t>
        </is>
      </c>
      <c r="C4752" t="inlineStr">
        <is>
          <t>読み方：ぞうえき
［名］(スル)
１利益がふえること。「増収—」⇔減益。
２数をふやすこと。また、ふえること。
「新聞局を創立するの易きより、其数非常に—し」〈小幡篤次郎訳・上木自由論〉</t>
        </is>
      </c>
      <c r="D4752" t="inlineStr">
        <is>
          <t>増益電気(9%)</t>
        </is>
      </c>
      <c r="E4752" t="inlineStr">
        <is>
          <t>増加；上がる；増大；加える；伸びる</t>
        </is>
      </c>
      <c r="H4752" t="n">
        <v>29</v>
      </c>
      <c r="I4752" t="inlineStr">
        <is>
          <t>私はわずか二三日で自分の体力の増益しているのを感じ、あの男の眼光にむき合える気がして来た。；これが大赤字の日産と増益となったホンダの違いである。；そこで彼は一計を案じ、なんと増益電器の警備員として会社に潜入する。；この油を注ぐ参拝法は元々、真言密教の増益法の一つ浴油法に由来するものだと考えられている。；即ち大體に於て爾雅の各篇は十九篇の中に既に製作の時代の相違がある上に、其の各篇の中にも又時代の違つた増益のあることを知り得るのである。；その後もノルマ強化で化粧品事業を増収増益させ、成果を引っ提げての社長就任だった。；事実、20世紀後半にはオールドエコミーと呼ばれた企業群の増益が顕著となった。；増益は皮肉にも一時“お荷物”扱いされ、分離も検討されたオートバイ部門と汎用機部門が健闘したことにある。；所で此の増益は郝氏の言ふが如く單に異聞を廣むといふ無造作な意味のものであらうか。；ひたすらヨイショし社長が気を良くしたところで「社員になりたい」と直訴し、晴れて等はようやく増益電気の一員となる。；一方、以前より行われていた優等列車の増発とは異なり、通勤ラッシュへの対策は投資額の割には増収・増益には結びつきにくいと言われてきた。；「ホラにしてホラにあらず」この言葉に感銘を受けた等は気持ちを新たにし、大企業の増益電気に就職して出世の三段跳びをすると宣言する。；しかし、この増益はブームにのって経済全体で多額のIT投資が行なわれた結果であり、ニューエコノミー化の結果とは必ずしも言えなかった。；これは創業以来の増収であり、増益であった。；恐らくこの映畫を見た一さいの人びとが尊敬と同感と、人間はその運命の數奇によつて肉體の美しさを増益されるものであることを痛感したことであらう。；息災・増益などの祈願の本尊にもなっている。；数カ月後、冷暖電球の効果もあり増益電気の売上は倍増するが、等は社長に突然辞意を表明する。；祈祷を行う儀式である修法には大きく分けて息災・増益・敬愛・調伏の4つの体系があり、これにより除災招福などの現世利益を期待した。；更に此の死也の一節から生ずる疑問は徂落といふ尚書堯典の中の文字が釋詁の増益せられた部分に存在してゐることである。；この商人たちは租税の代徴を行う徴税請負人として人々から税を徴収したが、増益分は自らの懐に入るため、過剰な租税の取り立てが行われた。；日本産業パートナーズにスカウトされる形で、赤字が続いていたVAIO代表取締役社長を2015年から務め、設計エンジニアにも技術営業を行わせるなどした営業の強化や、海外販売やEMSを開始するなどし、大幅な増収増益により2期連続の黒字化を達成した。；その静寂の奥深さは分っているようで、さて心理の上で解説して見ようとしても、徒にその複雑を増益するのみで、かえって切実な言葉が著けられない。；薄利多売がモットーと思われがちだが、利益を追求するためには一つ一つの商品の販売における粗利益の増加が必要不可欠ではあるが、販売価格を上昇させるよりも仕入値の低減によって増益を求めている。；考課令には国司・郡司の評価対象として戸口増益があり、隠首・括出された浮浪・逃亡を貫付した成果も含まれていた。；面接試験では呼出し担当だったミス増益電気・南部可那子に愛嬌を振りまき、面接官達には堂々と「入社の暁には売上を倍にする」と宣言して驚き呆れさせる。；アタルヴァン族は主に、吉祥増益の呪文を伝え、呪詛調伏の呪文はアーンギラサ族のものとされている。；その内容は大體に於て、孔子や曾子の所説に基づき、其間に格別後人の増益がないかと想ふ。；教育と医療福祉を中核とする事業改革を牽引し、12期連続増収、7期連続増益のV字回復を果たす。；内部では壇所として身舎に2壇、東・西・北の各廂に聖天壇・息災壇・増益壇の3壇が配される。</t>
        </is>
      </c>
      <c r="J4752">
        <f>HYPERLINK("https://www.weblio.jp/content/増益", "词义详情")</f>
        <v/>
      </c>
      <c r="K4752">
        <f>HYPERLINK("https://yourei.jp/増益", "查看例句")</f>
        <v/>
      </c>
    </row>
    <row r="4753">
      <c r="A4753" t="inlineStr">
        <is>
          <t>相応</t>
        </is>
      </c>
      <c r="B4753" t="inlineStr">
        <is>
          <t>成功</t>
        </is>
      </c>
      <c r="C4753" t="inlineStr">
        <is>
          <t>読み方：そうおう
［名・形動］(スル)
１つりあいがとれていること。ふさわしいこと。また、そのさま。「収入—な（の）暮らし」「能力に—した働き」
２仏語。心と、心の働きとが互いに結びついていること。また、心と対象世界との結合、因と果との結合、身・口・意の三業(さんごう)の結合などにもいう。</t>
        </is>
      </c>
      <c r="D4753" t="inlineStr">
        <is>
          <t>相応部；相応わし；相応和尚；相応しから；相応ずる</t>
        </is>
      </c>
      <c r="E4753" t="inlineStr">
        <is>
          <t>充分；正しい；合う；適当；適切</t>
        </is>
      </c>
      <c r="F4753" t="inlineStr">
        <is>
          <t>年相応；年齢相応；身分相応；歳相応；経蔵相応部</t>
        </is>
      </c>
      <c r="G4753" t="inlineStr">
        <is>
          <t>相応しく；相応院；相応し；相応寺；相応部</t>
        </is>
      </c>
      <c r="H4753" t="n">
        <v>29</v>
      </c>
      <c r="I4753" t="inlineStr">
        <is>
          <t>それからまた花聟の側の人たちも酒を辞退するにそれ相応の文句がある。；それでも、なかなか交通が頻繁だと思われて、相応に人が往来している。；農業を精出せば、この土地では相応に楽に暮されるやうになるのである。；しかし、スコットランドからはこれらに相応する追放は行われなかった。；たとひ之を町人の感情に飜して見ても、相応な衝動であつたに違ひない。；いずれも山岳路を経由する形となるためアクセスには相応の時間を要する。；さうしてこの蒐集には東洋芸術の遺品も又相応にまじつてゐるのである。；このコートジボワール料理は高く評価され、相応な価格で取引されている。；彼らの持って生れた力はちょうどその位に相応していたのである。；戦争の神がこの秘密を旅人に教えたのは、相応の理由があるからだ。；これには普通それ相応の才能と技術が要ると考えられております。；正直者はこんな具合で矢張り相応のところをやっているのである。；それぞれそういうものを認めざるを得ない相応の理由がある。；裁判所は、相応の理由がある場合には、この期間を延長する機会を与えられた。；この他にも年相応の役を増やすなど、役の幅を拡大させていった。；その使用時にはパイロット側に相応の負担が発生し、連続使用の際は疲労する。；前述の無償修理を受ける場合には当然ながらそれ相応の期間を要する。；世間体を怖れない男には、それに相応する女がいて、女房になるものです。；結婚にはそれ相応の覚悟が必要なので交際から結婚まで8年もかかったという。；舞台は、人間が生活圏を宇宙にまで拡大し相応の時が過ぎた未来世界。；価格がここまで下がったことで、氷は相応に大規模な取引がされるようになった。；この方法は高速フーリエ変換を活用できるため、計算速度が相応に上がる。；我々が動物よりも優れていると考える相応の理由はない。；観測された月軌道の変化から、相応する1日の変化は以下の様に計算される。；基本的な方法は人間と同様だが、ツボの位置や数は相応に異なる。；加齢は人間のそれとは異なり、実年齢の約半分が人間と相応の年齢である。；しかし、これらのインフラの拡充には相応の費用と時間が必要である。；第2話の全支社長会議の描写ではそれ相応の相当な数の支社長が出席していた。；表だったことのない場合はそれ相応の工夫をして手ぎわよく苦しめる。</t>
        </is>
      </c>
      <c r="J4753">
        <f>HYPERLINK("https://www.weblio.jp/content/相応", "词义详情")</f>
        <v/>
      </c>
      <c r="K4753">
        <f>HYPERLINK("https://yourei.jp/相応", "查看例句")</f>
        <v/>
      </c>
    </row>
    <row r="4754">
      <c r="A4754" t="inlineStr">
        <is>
          <t>騒音</t>
        </is>
      </c>
      <c r="B4754" t="inlineStr">
        <is>
          <t>成功</t>
        </is>
      </c>
      <c r="C4754" t="inlineStr">
        <is>
          <t>読み方：そうおん
騒がしく、不快感を起こさせる音。また、ある目的に対して障害になる音。計量的には80デシベル以上の大きな音。「—防止」</t>
        </is>
      </c>
      <c r="D4754" t="inlineStr">
        <is>
          <t>騒音対策(3%)；騒音低減；騒音規制；騒音レベル；騒音防止</t>
        </is>
      </c>
      <c r="E4754" t="inlineStr">
        <is>
          <t>騒ぎ；騒動；大騒ぎ；ノイズ；雑音</t>
        </is>
      </c>
      <c r="F4754" t="inlineStr">
        <is>
          <t>大きな騒音；騒音発生；発生する騒音；エンジン騒音；騒音基準</t>
        </is>
      </c>
      <c r="G4754" t="inlineStr">
        <is>
          <t>騒音公害；騒音計；騒音規制法；騒音おばさん；騒音性難聴</t>
        </is>
      </c>
      <c r="H4754" t="n">
        <v>29</v>
      </c>
      <c r="I4754" t="inlineStr">
        <is>
          <t>騒音を出している住人の多くは意識せずその音を出していることが多い。；ただし、震災で具体的にどの程度の騒音被害があったのかは明確でない。；また、近隣への騒音防止のため内部の音を外に漏らさない設計でもある。；住民からは騒音で眠れず、悪臭で嘔吐したなどの報告が寄せられていた。；急曲線が多く騒音が大きくなりがちな地下鉄車両を中心に使用されている。；住宅地に設置される場合などには騒音対策が必要になることがある。；これはW1編成でテストを行って騒音値について調べてから装着された。；併設施設として、騒音コース等があり、車両開発の拠点を形成している。；前世代までに比べ燃費の向上、排出ガスおよび騒音の削減がされている。；騒音対策にマフラーが大型化され、日本での輸入販売が再開された。；周囲への騒音等を考慮し、コンサートは土曜と休日に限定されている。；運転時の騒音値が、外接歯車ポンプを含めた他のポンプ方式よりも低い。；一方、消防庁側は新たに騒音対策を検討する予定はないとしている。；またバイオマス発電所でエネルギーを取り出す際にも騒音や悪臭を伴う。；また旅客機では空港周辺への騒音被害を軽減するため静粛性も考慮される。；このときは地域の下で爆発のような騒音があり、ポーツマスでは窓が割れた。；爆発時の騒音が問題となったがこれが世界最古のガス機関として認められている。；朝稽古が毎日の恒例となっており、その際の騒音が近所迷惑になっていた。；また671RTM型では、その他にも各種の騒音低減策が施されている。；苦手なものは騒音で、周囲がやかましいと勉強も頭に入らないと言っている。；騒音を巨大な耳で探知して空中を飛行し、騒音地帯に移動して音を捕食する。；また周りの騒音をほとんど集音しない咽喉式マイクを使うこともある。；これは、騒音が不運や悪霊を退散させると信じられているためである。；なおエンジンを主翼上面に配置する事は、地上への騒音低減効果もあった。；走行時に周囲へ発する騒音が抑えられ、特に野外での静粛性に優れている。；さらに1999年には平成10年騒音規制に対応させるために一部改良を実施。；これは高架区間が多いため騒音を減らすことを狙ったものである。；最新携帯電話の一部に なる通話時騒音軽減システムを搭載している。；ガスタービンは燃料を多く消費して騒音が大きいという欠点があった。</t>
        </is>
      </c>
      <c r="J4754">
        <f>HYPERLINK("https://www.weblio.jp/content/騒音", "词义详情")</f>
        <v/>
      </c>
      <c r="K4754">
        <f>HYPERLINK("https://yourei.jp/騒音", "查看例句")</f>
        <v/>
      </c>
    </row>
    <row r="4755">
      <c r="A4755" t="inlineStr">
        <is>
          <t>増加</t>
        </is>
      </c>
      <c r="B4755" t="inlineStr">
        <is>
          <t>成功</t>
        </is>
      </c>
      <c r="C4755" t="inlineStr">
        <is>
          <t>読み方：ぞうか
［名］(スル)物の数量がふえること。また、ふやすこと。「人口が—する」⇔減少。</t>
        </is>
      </c>
      <c r="D4755" t="inlineStr">
        <is>
          <t>増加する(13%)；増加させる(4%)；増加装甲；増加し続け；増加分</t>
        </is>
      </c>
      <c r="E4755" t="inlineStr">
        <is>
          <t>発展；追加；伸び；上昇；増し</t>
        </is>
      </c>
      <c r="F4755" t="inlineStr">
        <is>
          <t>数増加；重量増加；需要増加；大きく増加；体重増加</t>
        </is>
      </c>
      <c r="G4755" t="inlineStr">
        <is>
          <t>増加率；増加燃料タンク</t>
        </is>
      </c>
      <c r="H4755" t="n">
        <v>29</v>
      </c>
      <c r="I4755" t="inlineStr">
        <is>
          <t>このような元素の増加に伴い、特性に応じた分類や系統立てが行われた。；全国に公演回数が増加していることから、漫画制作がさらに遅れている。；ただし英語新聞も割合こそ減少しているものの部数自体は増加している。；近年は千葉市のベッドタウンの性格が強くなり人口は増加を続けている。；すなわち自発的に進行する方向に反応の速度を増加させる働きを持つ。；温度の増加に伴う種種の性質の変化は螺旋構造の崩壊の進行に比例する。；収入総合計額については増加した時期もあったが、最近では減少している。；武士と公認される家もこのようにして増加していったと考えられる。；彗星の発見数が増加してくると、この方法の運用に綻びが生じてきた。；その一方、予備知識を持たない興味本心だけの参加者の増加もしている。；但し、現在では移民の増加に伴って現在はそのスタイルも多様化している。；ただし、の件数が年々増加している為に引き続き注意が必要とされている。；この電子の流れは、低い を増加させ、同様に高い を低下させる。；その影響もあるのであろうか、この時期日本人の訪問者が増加した。；近年では、格安航空会社や航空便の増加がさらなる増大に貢献している。；会員が減少したにもかかわらず関連施設は増加し、協力者会の会員数も増えた。；合併後は作品数の増加などにより、連載作品の休載が多くなっている。；人口は明治時代中期以降しばらく、毎年1万の増加を見せるようになった。；高位の役が期待されるため、賭けの総額も必然的に増加する傾向にある。；そのため次第に高速バス路線が増加の傾向を見せる様になった。；一方でこれらの地域を離れ、欧米などへの移民となるケースも増加している。；文字・マーク式のものもあるが、近年は液晶ディスプレイ方式が増加している。；イギリスの委任統治領となった後も、ユダヤ人の移民は増加し続けた。；これは飛躍的な増加を見せた1960年代後半以前のレベルである。；これは経済成長や産業の発展による化石燃料の増加と軌を一にしている。；エタノールとガソリンの混合燃料に対応した車の販売も増加している。；さらに近年の線内利用者の増加に対応するため、以下の変化がもたらされた。；これらの郡は、その後、人口の増加などにより、さらに再分割されている。；一方ダムや遊水池建設に伴う住民移転などの犠牲も河川事業の拡大に伴い増加した。</t>
        </is>
      </c>
      <c r="J4755">
        <f>HYPERLINK("https://www.weblio.jp/content/増加", "词义详情")</f>
        <v/>
      </c>
      <c r="K4755">
        <f>HYPERLINK("https://yourei.jp/増加", "查看例句")</f>
        <v/>
      </c>
    </row>
    <row r="4756">
      <c r="A4756" t="inlineStr">
        <is>
          <t>総会</t>
        </is>
      </c>
      <c r="B4756" t="inlineStr">
        <is>
          <t>成功</t>
        </is>
      </c>
      <c r="C4756" t="inlineStr">
        <is>
          <t>読み方：そうかい
その団体に所属する全員によって組織される会合。「株主—」「両院議員—」</t>
        </is>
      </c>
      <c r="D4756" t="inlineStr">
        <is>
          <t>総会議長(3%)；総会決議；総会長；総会屋；総会開催</t>
        </is>
      </c>
      <c r="F4756" t="inlineStr">
        <is>
          <t>教会総会；設立総会；中央委員会総会；特別総会；社員総会</t>
        </is>
      </c>
      <c r="G4756" t="inlineStr">
        <is>
          <t>総会議</t>
        </is>
      </c>
      <c r="H4756" t="n">
        <v>29</v>
      </c>
      <c r="I4756" t="inlineStr">
        <is>
          <t>また、ほとんどの企業が総会屋への利益供与を行っていたことが判明した。；楽曲の演奏メンバーは夜総会BANDのメンバーが中心となっている。；成立は困難であると見られたため、総会での提案は行われなかった。；年に一度、会員総会が開かれ、幹事会のメンバーである幹事を選出する。；総会とは、特定の組織・団体に所属する者が集まって行う会合のことである。；総会は年に何回もあるわけではなく、基本的に総会屋の仕事は朝が早い。；日本では2006年から2010年まで大阪大学に総会が置かれていた。；この総会では空席となっていた議長を選出するということで注目を集めた。；総会にて決定された会長のもと、協力してサポートを行っている。；国連憲章の規定にカバーされないNGOの協力に総会関連機関がある。；総会を頂点とし、その下に理事会をはさみ、各委員会が設置されている。；このうち4日に開催された世界平和頂上連合総会に出席しスピーチした。；審議会の第4回総会では、東京電力の営業課長が画標制度の説明をした。；総会と理事会は、特定の問題や任務をもう一方に委ねることもできた。；したがって、社員総会で合議することは現実的でないとされている。；陳情書を提出したり国際連合総会に参加して意見を述べることを許されている。；総会は、全加盟国で構成され、国連の関与するすべての問題を討議する。；同年12月5日には鳥取県立図書館協会の設立総会が開催されている。；このほか、総会の補助機関として、いくつかの調査訓練機関などがある。；IAAF創設はベルリンで行なわれた第2回総会によるとする文献もある。；日本物理学会には、総会・理事会・各委員会・支部からなる組織がある。；なお、総会時には各基礎専門分野の会合がとり行われるのが恒例となっている。；翌6日から結成総会が開催された反資本主義新党に完全に移行した。；同年11月に開催された第2回日本基督教団総会にて部制廃止が決定。；総会での377 Aに関する議論では、以下のような重要な発言があった。；共同総会の議員は各国議会内で互選された議員か、市民が直接選んだ人物であるとされた。；ダボスで行なわれる年次総会の周辺ではデモ活動が繰り返し発生している。；これ以上の同じ形での運動は市民の理解が得られないと判断し同年6月18日に行われた総会にて解散した。；総会の開会式にはアルペも参加し、自らの書いた祈りが読み上げられた。</t>
        </is>
      </c>
      <c r="J4756">
        <f>HYPERLINK("https://www.weblio.jp/content/総会", "词义详情")</f>
        <v/>
      </c>
      <c r="K4756">
        <f>HYPERLINK("https://yourei.jp/総会", "查看例句")</f>
        <v/>
      </c>
    </row>
    <row r="4757">
      <c r="A4757" t="inlineStr">
        <is>
          <t>創刊</t>
        </is>
      </c>
      <c r="B4757" t="inlineStr">
        <is>
          <t>成功</t>
        </is>
      </c>
      <c r="C4757" t="inlineStr">
        <is>
          <t>読み方：そうかん
［名］(スル)新聞・雑誌などの定期刊行物を新たに発行すること。「情報誌を—する」</t>
        </is>
      </c>
      <c r="D4757" t="inlineStr">
        <is>
          <t>創刊当初(4%)；創刊時(4%)；創刊当時(2%)；創刊以来；創刊者</t>
        </is>
      </c>
      <c r="E4757" t="inlineStr">
        <is>
          <t>設置；設立；設定；作る；創設</t>
        </is>
      </c>
      <c r="F4757" t="inlineStr">
        <is>
          <t>独立創刊；雑誌創刊；創刊初期；創刊直後；創刊ラインナップ</t>
        </is>
      </c>
      <c r="H4757" t="n">
        <v>29</v>
      </c>
      <c r="I4757" t="inlineStr">
        <is>
          <t>各地の大学に新しいプログラムが開設され、新たな学術誌が創刊された。；劇画の人気を見てとった他の出版社からも次々と劇画雑誌が創刊される。；戦後に創刊され、これらに準じる配布域を持つに至った新聞も含まれる。；特に創刊時にはアメリカ合衆国商務省観光局からの支援もあったとされる。；創刊当初より、本誌はホビーメーカーの宣伝的な要素を強く含んでいる。；買収した時点でユニオン紙は創刊から約6か月しか経っていなかった。；デイリーニューズのロゴには、創刊当時からカメラの絵が使われている。；の創設メンバーであり、ラングーンの新聞『』の創刊にも協力していた。；インディペンデント紙はイギリスの報道業界の重大な緊迫期に創刊された。；この辺りは創刊編集長である鳥嶋和彦の人脈をフルに活用したものである。；童謡運動で1919年創刊された『金の船』でも作品を発表して活躍。；戦後にいくつかの新聞が新たに創刊されたものの、基本的にこの体制は以後も存在し続けている。；創刊に伴い、コロコロオンラインの旧漫画コーナーは公開を終了している。；創刊当初の1995年には月平均約3万7000部ほどの売上を記録した。；また創刊当初の表紙の色を赤一色にしたのは岩波茂雄の指示による。；また創刊時より電算写植を採用しているが、韓国日刊紙では初めてであった。；この競走の情報を伝えるため、戦後初の競馬新聞『馬』が創刊された。；創刊当初は、『別冊マーガレット』を中心に執筆していた作家が活動した。；この創刊号には、フレデリック・ダネイと松本清張の対談が掲載された。；一部の作品は2015年初頭に創刊予定の新雑誌にて連載を再開されると告知されている。；創刊時の価格は380円であり、当時の雑誌としては高い部類だった。；本格的な創刊号となった2017年第1号は約8万5000部を完売した。；岡山県では県紙で1889年創刊の山陽新聞を中心に購読されている。；自社雑誌『バラエティ』を1977年に創刊して情報の発信をしていた。；紙面構成は創刊時からライバルとされた『夕刊フジ』の紙面とほぼ同じ。；フランシスは兄が2つの雑誌を創刊する際にそれを手伝っている。；ムッソリーニは新聞の『』を創刊して、連合国側で参戦することを求めた。；ギャグ王の創刊から休刊まで休まず連載し続けた唯一の作品である。；創刊時には皇太子の結婚ということもあり就任からしばらくは皇室記事を掲載した。</t>
        </is>
      </c>
      <c r="J4757">
        <f>HYPERLINK("https://www.weblio.jp/content/創刊", "词义详情")</f>
        <v/>
      </c>
      <c r="K4757">
        <f>HYPERLINK("https://yourei.jp/創刊", "查看例句")</f>
        <v/>
      </c>
    </row>
    <row r="4758">
      <c r="A4758" t="inlineStr">
        <is>
          <t>雑木</t>
        </is>
      </c>
      <c r="B4758" t="inlineStr">
        <is>
          <t>成功</t>
        </is>
      </c>
      <c r="C4758" t="inlineStr">
        <is>
          <t>読み方：ざつぼく
「ぞうき（雑木）」に同じ。</t>
        </is>
      </c>
      <c r="D4758" t="inlineStr">
        <is>
          <t>雑木山(8%)；雑木原；雑木こそうれしけれ；雑木紅葉</t>
        </is>
      </c>
      <c r="F4758" t="inlineStr">
        <is>
          <t>小さな雑木</t>
        </is>
      </c>
      <c r="H4758" t="n">
        <v>29</v>
      </c>
      <c r="I4758" t="inlineStr">
        <is>
          <t>岩の上部には、加工当時にはなかったとみられる多くの雑木が生えている。；下草だの雑木だのと云つても一握りの小さな枝幹を想像してはいけない。；しかし山は雑木ばかりではなく、常緑樹に覆われている場所も見えた。；無用で邪魔な雑木を排除して経済価値のある有用な針葉樹を植えてきた。；現在は雑木などが生い茂っているが、土塁と空堀は現在も存在している。；そう云う場所へ来ると、馬車の上から低い雑木を一目に二丁も眺められる。；特に木の種類は限定しないが、結果として多くはツツジ科の雑木・灌木。；雑木の茂った所や笹の深い所もあるが、大して困難を感ずる程ではない。；駅ホームの山側の雑木の中に赤坂山トンネルの坑口跡を望むことができる。；淵は沢の両側から枝を伸ばしている雑木に遮られてそこからでは見えません。；道の両側には高さ三メートルばかりの雑木が一面に茂っている。；雑木の多い林の中の空気は清冷でさわやかな若葉の香りにみたされていた。；多くは針葉樹の林であるが、中に雑木も混り、とりどりに紅葉してゐた。；しかもその両岸の崖にはとりどりの雑木が鮮かに紅葉しているのであった。；尾根は雑木が茂っているので、雪の多い東側を搦みながら行くことにした。；雑木帯の丘の窪を出ると、裸石の層が崖をなしてつづいている。；丘の上には、さびれた小さな石の堂があって、七八本の雑木が立並んでいた。；鍔の広い麦藁帽は、雑木の葉先に当つて落ちさうになる所があつた。；暫く行くと、その向うの左手に、四五本の雑木が、こんもり蹲っていた。；敷地は立派な生垣に囲まれ、椎や松やその他の雑木が生い茂っていた。；その寺を出た処に、小さい川があつて、其向ふに雑木の繁つた藪があつた。；滑かな窪地をとおして帯のように雑木が繁ってるのは清水の流があるのだ。；「そこだすが」 杉木立を越えると、雑木山が谷の方へ崖崩れしていた。；門のそばに立ち、垂れかかる雑木の枝に全身を隠し、聞き耳を立てた。；山崎付近の丘には竹叢が多く、雑木の中でそこだけが濡れたように輝いて見えた。；車は海を右にしながら、雑木の枝の下を走って行った。；いま自分の登って来た様な雑木山が海岸沿に幾つとなく起伏しながら連っている。；少年の姿はすぐ雑木の陰に隠れてしまったが、お種はうっとりとなってそのまま立っていた。；残っている雑木の具合いからみて、これが以前のままであることはたしかなのだ。</t>
        </is>
      </c>
      <c r="J4758">
        <f>HYPERLINK("https://www.weblio.jp/content/雑木", "词义详情")</f>
        <v/>
      </c>
      <c r="K4758">
        <f>HYPERLINK("https://yourei.jp/雑木", "查看例句")</f>
        <v/>
      </c>
    </row>
    <row r="4759">
      <c r="A4759" t="inlineStr">
        <is>
          <t>早急</t>
        </is>
      </c>
      <c r="B4759" t="inlineStr">
        <is>
          <t>成功</t>
        </is>
      </c>
      <c r="C4759" t="inlineStr">
        <is>
          <t>読み方：さっきゅう
［名・形動］非常に急ぐこと。また、そのさま。至急。そうきゅう。「—な処置が望まれる」「—に対策を講じる」</t>
        </is>
      </c>
      <c r="D4759" t="inlineStr">
        <is>
          <t>早急な対策；早急な対応；早急な戦力；早急な改善；早急な調査</t>
        </is>
      </c>
      <c r="E4759" t="inlineStr">
        <is>
          <t>大急ぎ；性急；慌ただしい；火急；慌しい</t>
        </is>
      </c>
      <c r="F4759" t="inlineStr">
        <is>
          <t>いま早急</t>
        </is>
      </c>
      <c r="H4759" t="n">
        <v>29</v>
      </c>
      <c r="I4759" t="inlineStr">
        <is>
          <t>いったいなんの理由で、彼女はこう早急に出て行く決心をしたのだろう?；これには早急に兵士の頂上に立つ精神的な象徴を作らなければならない。；早急に法制度の整備と完全な実施を行うべしとしたのは次の5点である。；そこの書翰入れからこの十本の巻書を探して早急に机案脇に並べておけ。；もっとも、これは非常な大事業であって、そう急にはどうにもならない。；やる事はまだ残っているぞ、早急に手を打たなくてはいけないだろう!；早急な処理を必要とする案件の場合には持ち回り閣議の形式がとられる。；そのためにあえて、事件を早急に片づけようとしなかったのではないか?；信長が早急に体制固めをしておかなければいけないのは、この点であった。；なんとしても早急に影どもを捕捉し、その戦闘力を奪わねばならなかった。；主人がほうぼうに頼んでいますが、早急に間に合いそうにありませんわ。；あとは裏づけ証拠を必要とするだけですが、それも早急に手に入れました。；なるほど、そう聞けば夫人の方はそう急に入所することもないであろう。；それで、自分の方ではそう急にといってはとても金の策はつかない。；しかしわたしは常に 慎重に用心して、早急に信用することを避けてきた。；どうしてそう急に悲しくなるのかとききますと、彼女はこう答えました。；彼の言ったことがすべて真実なら、早急に行動を起こす必要がある。；二課へ電話してきて、私と早急に会いたい旨の連絡をしてきたそうだ。；しかしGHQはこうした政府の対応に不満であり、早急な再編成を求めた。；それに外地に残された多数軍人の復員を早急に実現しなければならぬ。；事情を知らないから、二人でならんではいった位置から早急に判断したのです。；早急に違うことを考えて気を散らさないと、変な気分になってしまいそうだ。；ここで早急に味方を集めて、足利氏に対抗するのは容易ならぬことであった。；早急に準備を整えて、近いうちに英雄プロジェクトを開始するとしよう。；さきに名前をあげた者たちを含む多数の人間が、早急に逮捕されるでしょう。；三人の小町が生きているかも死んでいるかもわからねえ早急の場合じゃねえかッ。；唐突の御訪問でしたが何か御連絡や早急な予定でもお入りになられたのですか?；若い子で、非常に早急な結論を出すと、とんでもないことになるんですね。；ここで発見したあるものが、早急に調べるべき次の目的地を告げたからだ。</t>
        </is>
      </c>
      <c r="J4759">
        <f>HYPERLINK("https://www.weblio.jp/content/早急", "词义详情")</f>
        <v/>
      </c>
      <c r="K4759">
        <f>HYPERLINK("https://yourei.jp/早急", "查看例句")</f>
        <v/>
      </c>
    </row>
    <row r="4760">
      <c r="A4760" t="inlineStr">
        <is>
          <t>増強</t>
        </is>
      </c>
      <c r="B4760" t="inlineStr">
        <is>
          <t>成功</t>
        </is>
      </c>
      <c r="C4760" t="inlineStr">
        <is>
          <t>読み方：ぞうきょう
［名］(スル)人員・設備などを増やして機能を強化すること。「輸送力を—する」</t>
        </is>
      </c>
      <c r="D4760" t="inlineStr">
        <is>
          <t>増強する(10%)；増強される(3%)；増強させる；増強計画；増強用</t>
        </is>
      </c>
      <c r="E4760" t="inlineStr">
        <is>
          <t>増加；強化；増大；加える；高める</t>
        </is>
      </c>
      <c r="F4760" t="inlineStr">
        <is>
          <t>軍備増強；戦力増強；出力増強；兵力増強；海軍増強</t>
        </is>
      </c>
      <c r="H4760" t="n">
        <v>29</v>
      </c>
      <c r="I4760" t="inlineStr">
        <is>
          <t>ただこの選挙によって国民が海軍増強を求めていることも明白となった。；燃料タンクは運行距離が長くなることを考慮して400Lに増強された。；ベース機の各種武装が2倍に増強され、驚異的な砲撃力を獲得している。；その後も観測設備の増強が行われ、ロシア天文学の中心的な施設となった。；ハード・ポイントも増強されており、さまざまなオプションを装備可能。；直轄軍である奉公衆を増強するなどして着実に将軍の権力を強化した。；ファミリー機の胴体長に応じて、推力増強型と抑制型が用意されている。；逆方向増強には対称なネットワークが必要で、2つの方向を結合する。；この陽動作戦はさらに自動車化部隊が増強され、攻撃地点へ向け北に移動した。；後に出力を増強したエンジンに転換して実験を行った。；電光超特急ヒカリアンでは前者の要素を増強している部分が見受けられる。；また本級の建造にあわせて、乾ドックの増強もおこなう予定であった。；第二次艦隊法では現在27隻の戦艦を38隻に増強することが定められた。；出力の増強が難しかったため、重量増加に伴い武装類は一部撤去されている。；それにもかかわらず軍備の増強は行わず、兵士への報酬を惜しみすらした。；手段も限定的であるが、自然吸気の特性を保存あるいは増強することができる。；阪和線時代に出力増強されているが、形式の変更はされなかった。；また正則は、ここより西の大名からの攻撃を想定し、特に西側を増強している。；なお付随車化で発生した主電動機は1700形の出力増強用に転用された。；このように輸送力増強に追われる中、要員不足が顕在化することとなった。；第一次世界大戦を目前にして、カナダ政府は港と付属施設の増強を開始した。；烈しい交渉の結果、自衛力増強の努力を続けることで日米間の合意が成立した。；これらの改良により、輸送力は年間22万トンの増強が見込まれている。；戦後、稼動車両を早期に増強しないと収入が見込めない状態であった。；北朝鮮は韓国とは対照的にソ連の支援を受けて、軍事力の増強を行っていた。；この結果、ソ連赤軍の防衛体制は更に増強され、作戦の失敗につながった。；装甲厚自体は向上したため、それを生かした強襲戦能力も増強されている。；また、戦略的な味を増強する上でフェアウェイを分断するように配置されている。；前作『ぼくのなつやすみ』に比べ、以下のような要素が追加・増強された。</t>
        </is>
      </c>
      <c r="J4760">
        <f>HYPERLINK("https://www.weblio.jp/content/増強", "词义详情")</f>
        <v/>
      </c>
      <c r="K4760">
        <f>HYPERLINK("https://yourei.jp/増強", "查看例句")</f>
        <v/>
      </c>
    </row>
    <row r="4761">
      <c r="A4761" t="inlineStr">
        <is>
          <t>送金</t>
        </is>
      </c>
      <c r="B4761" t="inlineStr">
        <is>
          <t>成功</t>
        </is>
      </c>
      <c r="C4761" t="inlineStr">
        <is>
          <t>読み方：そうきん
［名］(スル)金銭を送ること。また、その金銭。「代金を—する」</t>
        </is>
      </c>
      <c r="D4761" t="inlineStr">
        <is>
          <t>送金する(9%)；送金額；送金先；送金サービス；送金手数料</t>
        </is>
      </c>
      <c r="E4761" t="inlineStr">
        <is>
          <t>送る</t>
        </is>
      </c>
      <c r="F4761" t="inlineStr">
        <is>
          <t>直接送金；外国送金；送金方法；送金為替；送金機能</t>
        </is>
      </c>
      <c r="H4761" t="n">
        <v>29</v>
      </c>
      <c r="I4761" t="inlineStr">
        <is>
          <t>対北送金について自ら直接明らかにしようと決意した理由を明らかにした。；送金が遅れたわびと、キクが送ってくれた鼻の薬がとてもよかったこと。；彼にとって不幸なことに郷里の生家から送金が来たばかりのときだった。；CGTは彼らが食堂で食事がとれるようにといくらかの金を送金していた。；彼もついさっき銀行に行き、父からの送金を引きだしてきたところだった。；両親に送金を始めたのは十七八歳の頃からであったでしょう。；世界各国に送金より10分程度で受取が可能なサービスを展開している。；彼女がテナルディエヘ送金をおくらしはじめたのはこのときからだった。；それよりも家に送金するため、どうしても稼がなくてはと必死だった。；また、国際送金処理前であれば送金をキャンセルすることも可能である。；なお、国内送金では従来の口座番号をそのまま使用している国もある。；あの人は送金してくれなかったけど、わたし黙っていましたのよ。；故郷へ人をやって送金して貰えと言っても、故郷は捨てて来たそうだ。；海外で働いている労働者からの送金は、毎年500万ドル以上である。；また会社が社員に送金するといった、法人向けサービスも展開している。；警視庁はどうでもいいが、家からの送金が途絶えてはどうしようもない。；それ以外でジョージアの主な送金元となっている国は次のとおり。；勧誘文には3人の銀行口座または住所が記載された送金先リストがある。；送金による為替の場合は、為替の動く方向と資金の動く方向が一致する。；購入の際は、外国為替相場のうち外国送金にも適用されるレートになる。；アメリカ合衆国は1983年以来、毎年世界の主要な送金元となっている。；多くの国の経済において、送金はますます大きな役割を果たしている。；多くの北朝鮮市民は、日本の親戚から送金されたお金に依存している。；日本では送金や銀行振り込みなどの為替取引は銀行にのみ認められている。；ただいつもの通りの送金受取りの簡単な礼と、次のようなことが記してあった。；母親からの送金が途絶えた兄弟の財布にはもう五フランしか残っていない。；リング署名は送金者の情報を他の取引の中にまぎれさせて分からなくする。；他に重要な収入としては、イタリアからの援助と移民からの送金がある。；それも度の過ぎたデタラメやって、せっせと北朝鮮へ送金してるんです。</t>
        </is>
      </c>
      <c r="J4761">
        <f>HYPERLINK("https://www.weblio.jp/content/送金", "词义详情")</f>
        <v/>
      </c>
      <c r="K4761">
        <f>HYPERLINK("https://yourei.jp/送金", "查看例句")</f>
        <v/>
      </c>
    </row>
    <row r="4762">
      <c r="A4762" t="inlineStr">
        <is>
          <t>雑巾</t>
        </is>
      </c>
      <c r="B4762" t="inlineStr">
        <is>
          <t>成功</t>
        </is>
      </c>
      <c r="C4762" t="inlineStr">
        <is>
          <t>読み方：ぞうきん
汚れをふき取るための布。</t>
        </is>
      </c>
      <c r="D4762" t="inlineStr">
        <is>
          <t>雑巾みたい(4%)；雑巾バケツ；雑巾掛；雑巾ぼう；雑巾絞り</t>
        </is>
      </c>
      <c r="F4762" t="inlineStr">
        <is>
          <t>ボロ雑巾；ぼろ雑巾；古雑巾；化学雑巾；破れ雑巾</t>
        </is>
      </c>
      <c r="G4762" t="inlineStr">
        <is>
          <t>雑巾掛け；雑巾摺り</t>
        </is>
      </c>
      <c r="H4762" t="n">
        <v>29</v>
      </c>
      <c r="I4762" t="inlineStr">
        <is>
          <t>我々の子供の頃のように家の中で雑巾が凍るなんてことはないですし。；奥さんから雑巾をとり出しても、その口はあんぐりと開いたままだった。；ある日、社長の座っている机を拭こうと、雑巾を持って近づいていった。；しかし雑巾ほど差別され、軽蔑されている布切れがほかにあるだろうか。；それから扉の前一尺のところにひろげてある雑巾を取って床をこすった。；亭主は朝から晩まで働いて、使い古した雑巾みたいになって帰って来る。；その後で机を前に集め、今度はスペースの空いた後ろをぞうきんで拭く。；何十ぺんツギをあてたか分らぬような、雑巾のような靴下をはいている。；佳菜子は雑巾片手に掃除をしていたが、私が顔を出すとすぐに飛んできた。；横には汚れた雑巾をそのまま干からびさせたような岩田が座っていた。；手に持っていた掃除用のバケツとぞうきんとを、なかへとしまいこんだ。；そうしていつもさだめの場所に、一つずつの座敷用雑巾を置くことです。；力の限りを使い果たしたからだは、びしょぬれになった雑巾みたいです。；彼女は、僕の住居に、台所や雑巾のにおいをさせようと思ってるんだ。；刷毛と雑巾とを持った奴が、今は我々の卓の下や脚の背後を掃除している。；ばしっと濡れ雑巾を叩きつけたような音がして、夜の中に血の匂いがする。；大きさだけは女性用の小さなハンカチーフほどだが、むしろ雑巾に近い。；当時は日本中が貧乏だったが、先生たちもゾウキンのような服を着ていた。；雑巾みたいな汚いものを下腹のあたりから取り出して、額の汗を拭った。；身体の組成が、雑巾みたいに絞り上げられていく感触がそこにはあった。；巨人が、両手で女の身体を雑巾のようにねじっているようであった。；そして房枝に雑巾を持たせて掃除を仮想させ、自分は火鉢の前に坐った。；普通の手拭ぐらいの大きさのきれがあれば、ちょうど一つの雑巾になります。；それから彼は自分の部屋を掃除し、廊下に乾雑巾をあてねばならない。；おそらく今の姿は、使い古されたボロ雑巾のようになっていることだろう。；何年も苦労してきたけど、あの子はぞうきんとブラシをくれたんだよ。；「まだ、雑巾にしていなかったわよ」 私は命拾いしたと、ホッとした。；諸道具一式女房にやったので、灰や、雑巾からして買わなくてはならぬ。；少女もまた、こちらは母親に寄り添うようにして、雑巾と針を手にしている。</t>
        </is>
      </c>
      <c r="J4762">
        <f>HYPERLINK("https://www.weblio.jp/content/雑巾", "词义详情")</f>
        <v/>
      </c>
      <c r="K4762">
        <f>HYPERLINK("https://yourei.jp/雑巾", "查看例句")</f>
        <v/>
      </c>
    </row>
    <row r="4763">
      <c r="A4763" t="inlineStr">
        <is>
          <t>壮健</t>
        </is>
      </c>
      <c r="B4763" t="inlineStr">
        <is>
          <t>成功</t>
        </is>
      </c>
      <c r="C4763" t="inlineStr">
        <is>
          <t>読み方：そうけん
［名・形動］健康で元気なこと。また、そのさま。「父上は御—ですか」「—な人」</t>
        </is>
      </c>
      <c r="D4763" t="inlineStr">
        <is>
          <t>壮健そう(4%)；壮健な者(3%)；壮健そのもの；壮健な肉体</t>
        </is>
      </c>
      <c r="E4763" t="inlineStr">
        <is>
          <t>いい；よい；良い；健康；元気</t>
        </is>
      </c>
      <c r="F4763" t="inlineStr">
        <is>
          <t>ご壮健；身体壮健</t>
        </is>
      </c>
      <c r="H4763" t="n">
        <v>29</v>
      </c>
      <c r="I4763" t="inlineStr">
        <is>
          <t>その神経過敏は農業でもやって身体を壮健にすれば自から解消するものだ。；それにもかかわらず雪ちゃんは壮健で至って元気のよい子であった。；病気をしたことのない者には、壮健で無事でいることの有難味がわからない。；壮健なる者は容易に死なないが、これももう、身体は悪くなっている。；長いこと家に居なかった実叔父は壮健で帰って来ている。；例に依て母牛に視せずして犢を遠く移した 母牛は壮健である。；読んだ人物は壮健なご老人であったのだが、その紙がためにうちひしがれてしまった。；これが此世のお暇乞ひ、先生様、随分御壮健で御神業に奉仕なさいませ。；而も私は一ヵ月間実践躬行の結果、壮健にも富裕にも賢明にもならない。；巌は壮健で、六十を過ぎるこの歳まで病気ひとつしたことがないのが自慢だった。；無らい県運動が始まってから多く、一部の療養所では壮健さんといわれる。；幸い祖母のヨミさんは壮健で、未歩ちゃんの面倒をみているという。；初期のミステリー小説は壮健なヒーローが登場することが多かった。；なるたけ身体を壮健にしておかねば学問が出来るものではない、それには金が入る。；それはなかなか壮健な馬であるので、趙はそれに乗って出た。；ところがだ、己が十五の秋、その壮健なとても死にそうでなかった主人が死んだのだ。；当時、カリフォルニアにいた軍隊と壮健な男子は米墨戦争に動員されていた。；だが平先もまた超人的な壮健さを誇り、空を飛ぶような勇捷さを有していた。；そこで、村の壮健な人達が集まって、二三十人一かたまりになって出かけました。；かうして旧い先生方が壮健にして居られるのを見ることが何よりの楽しみである。；故に壮健な散文家となる希望も、その苦悩そのものの火にしかないわけである。；全く或る故障より起った早産で母牛も壮健であるのだから食うても少しも差支はない。；やっぱり六十を過ごしていたが殺された老人とは似も似つかず脂肪ぎっていかにも壮健そうだ。；静かな壮健さを長身にたたえ、手元も見ずにシャッフルし続けている。；性生活も、スパルタでは、壮健な肉体をもつ戦士の育成を目的とする手段の一つにすぎなかったのである。；しかし大食家と言はれる位に、彼の頃は壮健でしたよ。；彼はこの地下都市に入ってから、以前より壮健そうに見える。；そのお婆さんは六十五、六ですけれどもなかなか壮健で山を駈け歩くことが出来ます。；次もまた戦うか否かは知らぬが、壮健であれ。</t>
        </is>
      </c>
      <c r="J4763">
        <f>HYPERLINK("https://www.weblio.jp/content/壮健", "词义详情")</f>
        <v/>
      </c>
      <c r="K4763">
        <f>HYPERLINK("https://yourei.jp/壮健", "查看例句")</f>
        <v/>
      </c>
    </row>
    <row r="4764">
      <c r="A4764" t="inlineStr">
        <is>
          <t>増減</t>
        </is>
      </c>
      <c r="B4764" t="inlineStr">
        <is>
          <t>成功</t>
        </is>
      </c>
      <c r="C4764" t="inlineStr">
        <is>
          <t>読み方：ぞうげん
［名］(スル)数量がふえたりへったりすること。また、ふやしたりへらしたりすること。「定期的に水かさが—する」</t>
        </is>
      </c>
      <c r="D4764" t="inlineStr">
        <is>
          <t>増減する(22%)；増減率；増減なし；増減額；増減値</t>
        </is>
      </c>
      <c r="E4764" t="inlineStr">
        <is>
          <t>変化；変わり；変動；差異；変り</t>
        </is>
      </c>
      <c r="F4764" t="inlineStr">
        <is>
          <t>人口増減；適宜増減；自然増減；大きく増減；社会増減</t>
        </is>
      </c>
      <c r="H4764" t="n">
        <v>29</v>
      </c>
      <c r="I4764" t="inlineStr">
        <is>
          <t>これは格式の一つであるから、勝手にその数を増減することは出来ない。；しかし実際には陸奥国の郡数は時代によって増減しており一定ではない。；カードに書かれた数字に応じて、任意の色のコインを増減させてゆく。；出場チームの決定方式は球団数の増減に伴って、比較的頻繁に変更されている。；即ち物質量は全体として増減することなくして不変でなければならない。；それを制御する事は、単に能力のレベルを増減するだけに留まらない。；メンバーの数は不定であり、卒業と加入を繰り返し常に増減している。；一方、締約国会議では条約の基準年を用いた増減率が提示されることが多い。；利息をなしとすればその人の財産には一銭の増減もありません。；全電動車方式を採用し、2両単位で編成を増減することが可能である。；自然増減と比較するためにこれらの検査は一日のうちに複数回行われる必要がある。；そしてその増減がいつもまた同じ比率をもつてゐるのは、面白い現象である。；この表を基に若干の増減を加え自社独自の基準を定めることもある。；本人以外にどんなものが出て来たって、愛情の増減や方向を命令する訳には行かない。；これらは以後も廃止されたり統合されたりして増減した。；主人公の行なえる主な操作は以下の通りで、この操作次第で愛情値が増減する。；そのように使われる場合は領土の増減や経済と政治的権利の変更がないことを指す。；これらは時代によって多少の増減はあるが、当時の興隆ぶりを伝えている。；また、流量の増減や火山性の爆発などの予測できない条件があること。；集めたアイテムの数は通常表示されず、増減した時などに数秒間表示されるのみ。；また、処理すべきデータ個数が増減したときにも対応しやすくなる。；もっとも、顔にあるから、増減が目立つということもあるかもしれない。；あれ以来、彼の利害を左右する事情に、あまり多くの増減があったのである!；また、入手したアイテムを使って各政党の影響度を増減させることも可能である。；これまでの戦績表に加えて、より高度な戦術表とポイント数の増減が現れた。；そのために七人ミサキの人数は常に7人組で、増減することはないという。；ルールは全国対戦と同一だが、ランクポイントの増減は発生しない。；太陽黒点が約11年の周期で増減することを発見したことで知られる。；土壌での二酸化炭素の発生速度は生物的・非生物的要因により増減する。</t>
        </is>
      </c>
      <c r="J4764">
        <f>HYPERLINK("https://www.weblio.jp/content/増減", "词义详情")</f>
        <v/>
      </c>
      <c r="K4764">
        <f>HYPERLINK("https://yourei.jp/増減", "查看例句")</f>
        <v/>
      </c>
    </row>
    <row r="4765">
      <c r="A4765" t="inlineStr">
        <is>
          <t>倉庫</t>
        </is>
      </c>
      <c r="B4765" t="inlineStr">
        <is>
          <t>成功</t>
        </is>
      </c>
      <c r="C4765" t="inlineStr">
        <is>
          <t>読み方：そうこ
１貨物・物品などの貯蔵・保管をするための建物。くら。
２法律で、倉庫営業者が他人の物品を保管するために設けた建物その他の設備。</t>
        </is>
      </c>
      <c r="D4765" t="inlineStr">
        <is>
          <t>倉庫街；倉庫会社；倉庫係；倉庫等；倉庫みたい</t>
        </is>
      </c>
      <c r="E4765" t="inlineStr">
        <is>
          <t>店舗；蔵；商店；庫；百貨店</t>
        </is>
      </c>
      <c r="F4765" t="inlineStr">
        <is>
          <t>体育倉庫；穀物倉庫；物流倉庫；大きな倉庫；教科書倉庫</t>
        </is>
      </c>
      <c r="G4765" t="inlineStr">
        <is>
          <t>倉庫業；倉庫番；倉庫証券；倉庫業務；倉庫業法</t>
        </is>
      </c>
      <c r="H4765" t="n">
        <v>29</v>
      </c>
      <c r="I4765" t="inlineStr">
        <is>
          <t>基本的に無料でプレイできるが、倉庫の利用料など幾つかの制限がある。；建設は進行したので建物の一部が食料倉庫と病院に使用することができた。；一部は住宅地に転用されており、鉄道時代からの農業倉庫が残っている。；また、全ての商品の数の合計は、倉庫の最大値を超えることは出来ない。；切り妻屋根が特徴で、内部には待合所と業務用の倉庫が設けられている。；この倉庫は以前は特撮の第一人者レズ・ボウイが借りていたものだった。；中富良野町の中心駅であり、周辺には集合住宅や倉庫などが並んでいる。；また、駅に隣接する公営団地敷地には昭和末期まで農業倉庫があった。；駅前には、かつて貨物営業を行っていたため企業の倉庫や工場も見られる。；大半は解体処分されたが、一部の車両は倉庫などへの活用を想定して売却が実施された。；その後、丸紅の手に戻り京都丸紅の事務所兼倉庫として使用されていた。；各種ビルから一般住宅・倉庫まで、あらゆる解体を手掛けることが多い。；委員会は教科書倉庫の6階で3つの薬莢が発見されたことに注目していた。；赤煉瓦のままの建物は古風なものか、工場、倉庫など簡素なものである。；建物自体に大きな変更はなく、現在も倉庫という設定は引き継がれている。；また、現在も実用的な冷蔵倉庫として利用されている風穴が各地にある。；この病院ができる以前は倉庫を改築したものを使用していた。；ここには地下倉庫があって、入口はそこの階段だと示すレジナルド。；港には数千の船が出入りし、海辺には商人たちの倉庫が立ち並んだ。；中央ブロックからは礎石立ちの倉庫と考えられる建物が2棟検出されている。；駅南東側には工業団地があり、流通倉庫や印刷機の製造工場などが建つ。；彼女と僕は港の近くにあるレストランで食事をし、夕暮れの中を倉庫街に沿って歩いた。；周辺は工場地域や倉庫街であり、住宅はほとんど見られない。；また1987年頃までは電車の解体も当所及び北側の杉戸倉庫で行っていた。；補給物資は作戦開始前に建設しておいた前進基地や倉庫に蓄えられた。；南海電気鉄道時代の貴志駅は有人駅で、駅舎の隣には倉庫が建っていた。；基本的に貨物倉庫がタンク使用になっているものを「タンカー」と呼ぶ。；この他倉庫などもあったがすべて撤去されている。；貨物上屋の北条町駅側には倉庫があったのだが、これは改装らしかった。</t>
        </is>
      </c>
      <c r="J4765">
        <f>HYPERLINK("https://www.weblio.jp/content/倉庫", "词义详情")</f>
        <v/>
      </c>
      <c r="K4765">
        <f>HYPERLINK("https://yourei.jp/倉庫", "查看例句")</f>
        <v/>
      </c>
    </row>
    <row r="4766">
      <c r="A4766" t="inlineStr">
        <is>
          <t>相互</t>
        </is>
      </c>
      <c r="B4766" t="inlineStr">
        <is>
          <t>成功</t>
        </is>
      </c>
      <c r="C4766" t="inlineStr">
        <is>
          <t>読み方：そうご
一つの物事に関係する両方の立場。また、その両方が同じことをしあうこと。「—の親睦を深める」「—に依存する」</t>
        </is>
      </c>
      <c r="D4766" t="inlineStr">
        <is>
          <t>相互利用(6%)；相互間(5%)；相互的；相互作用；相互協力</t>
        </is>
      </c>
      <c r="E4766" t="inlineStr">
        <is>
          <t>お互いに；共通</t>
        </is>
      </c>
      <c r="F4766" t="inlineStr">
        <is>
          <t>全国相互；相互連絡；相互ネット；人間相互；相互依存関係</t>
        </is>
      </c>
      <c r="G4766" t="inlineStr">
        <is>
          <t>相互直通；相互関係；相互接続；相互運用；相互理解</t>
        </is>
      </c>
      <c r="H4766" t="n">
        <v>29</v>
      </c>
      <c r="I4766" t="inlineStr">
        <is>
          <t>これらが相互に連携して新たなビジネスモデルを構築している例も多い。；これらの要素は、単独で存在するのではなく、相互に関係し合っている。；FNSは、主に番組の相互供給を目的に組織されたネットワークである。；知識の各分野と神・人間・自然の相互の結びつきが表現されている。；上記のエリアでは、いずれも全国相互対応カード等の片利用が可能である。；NNSは主に番組の相互供給を目的に組織されたネットワークである。；ラジオでは同一系列のため問題なく相互放送を行うことができる。；むしろ相互におこない、された側が喜びを露にするのが一般的である。；また、それぞれに関連する制作・技術会社は相互協力をしばしば行っていた。；都市同士の結びつきが、相互に、幅広い分野で、文化交流を行っている。；美術をはじめとする芸術一般にも興味を持ち相互に影響した。；それらは2010年頃には相互に連携されるようになるとされた。；しかしその後の登場人物相互の関係への理解は変わってくる。；この皇帝の時代に東西教会分裂につながる相互破門事件が発生している。；同時に、株を売却し、相互に持ち合う関係を解消する動きも出てきた。；これは、相互の距離の測定に大きく依拠していたためだと思われる。；この訪問は、日本とインドの首相が相互訪問を行うきっかけとなった。；そのため店舗を相互に開発し合っているコジマとの関係が深いことが窺える。；両者は通貨としての価値は同一であるが、相互には用いられていない。；ICOCA利用可能で、ICOCAの相互利用対象カードも利用できる。；またコミュニオンは教会組織相互の関係を定義する概念でもある。；威厳に満ちたディアナは相互に理解を深めるためパーティの開催を宣言。；また、第二東海自動車道が並行し相互に補完し合うようにされている。；コンピュータ同士の相互のやり取りを組織して系統立てることが重要である。；これらの作品には登場人物や時代や場所に相互の繋がりがある。；各大学の図書館の相互利用制度なども実現している。；同時にPiTaPaも並行導入し、全国相互利用にも対応している。；以上のように、相互に利益を享受することで、両者は結ばれていた。；各体系の単位には以下のような相互の関係がある。</t>
        </is>
      </c>
      <c r="J4766">
        <f>HYPERLINK("https://www.weblio.jp/content/相互", "词义详情")</f>
        <v/>
      </c>
      <c r="K4766">
        <f>HYPERLINK("https://yourei.jp/相互", "查看例句")</f>
        <v/>
      </c>
    </row>
    <row r="4767">
      <c r="A4767" t="inlineStr">
        <is>
          <t>走行</t>
        </is>
      </c>
      <c r="B4767" t="inlineStr">
        <is>
          <t>成功</t>
        </is>
      </c>
      <c r="C4767" t="inlineStr">
        <is>
          <t>読み方：そうこう
１［名］(スル)自動車などが走ること。「時速三〇〇キロで—する」「—距離」
２線状の生体組織の連なり。またその向き。筋肉（筋線維）、血管、神経線維などについていう。「筋肉の—に沿う」</t>
        </is>
      </c>
      <c r="D4767" t="inlineStr">
        <is>
          <t>走行する(24%)；走行時(4%)；走行中(3%)；走行可能(3%)；走行できる(2%)</t>
        </is>
      </c>
      <c r="F4767" t="inlineStr">
        <is>
          <t>テスト走行；公道走行；サーキット走行；スポーツ走行；地上走行</t>
        </is>
      </c>
      <c r="G4767" t="inlineStr">
        <is>
          <t>走行距離；走行性能；走行試験；走行音；走行区間</t>
        </is>
      </c>
      <c r="H4767" t="n">
        <v>29</v>
      </c>
      <c r="I4767" t="inlineStr">
        <is>
          <t>任意の時点の走行可能状態のプロセスは非常に多数になる可能性がある。；中古車市場では、極端な多走行車であっても取引が行われる事例がある。；一般旅客でも地上の川越線を走行する列車に乗車することが可能である。；また、道路も敷設出来ず、バスやトラックを走行させることも出来ない。；距離のコース種別は、最後の直線コースを走行する際の馬場で記述する。；これらの殆どは、既存の戦車の車体や走行装置を流用して製作された。；この後も急カーブが連続するために列車はスピードを落として走行する。；スイッチバックを走行する運転行為をスイッチバックと呼ぶことがある。；この試験では高速走行を行うための改造は特に行われなかった。；元国鉄キハ20系気動車の走行装置を流用し、車体新製した車両である。；走行機器類は、基本的にAE形の機器を更新修繕の上、再利用している。；スイスメトロのような一部の構想では減圧されたトンネル内を走行する。；たびたび霧が発生し、その際には視界が悪く、走行には注意が必要になる。；ほかにも、床材などが交換されたが走行機器関係には手を加えられてはいない。；また、高速でも安定した走行が出来るように、重心を低くとった物も多い。；大宮駅を出ると、しばらく地下を走行し、鉄道博物館の横で地上に出る。；これら千歳線からの列車は併設された千歳線列車用の複線を走行する。；数名からなるチームで交代しながら走行するものも多い。；またトンネル部はスピード感覚が希薄になるため走行速度には注意を要する。；この場合には軌道を大型の鉄道車両が走行していることになる。；ATC 装置本体は未設置のため、単独では海峡線の走行はできない。；この列車は尼崎駅 - 大阪駅間で外側線を走行し、塚本駅は通過する。；左右の静脈は走行が異なり、右副腎静脈は下大静脈へとつながっている。；なお、当路線を走行する普通列車用の自社車両はすべて抵抗制御である。；ただし本線上を走行するため、列車の運転は当社の運転士が担当する。；京急線としては高架区間の比率が高いが、一部では地上を走行している。；線形が良いため多くの車両が規制速度よりも速い速度で走行している。；在来線区間も走行することから車体は通常の新幹線より幅が小さい。；営業外列車や臨時列車によってはこれ以外の区間・路線を走行する場合がある。</t>
        </is>
      </c>
      <c r="J4767">
        <f>HYPERLINK("https://www.weblio.jp/content/走行", "词义详情")</f>
        <v/>
      </c>
      <c r="K4767">
        <f>HYPERLINK("https://yourei.jp/走行", "查看例句")</f>
        <v/>
      </c>
    </row>
    <row r="4768">
      <c r="A4768" t="inlineStr">
        <is>
          <t>総合</t>
        </is>
      </c>
      <c r="B4768" t="inlineStr">
        <is>
          <t>成功</t>
        </is>
      </c>
      <c r="C4768" t="inlineStr">
        <is>
          <t>読み方：そうごう
［名］(スル)
１個々別々のものを一つに合わせてまとめること。「全員の意見を—する」「各種目の得点を—する」
２
㋐《synthesis》分析的思考によってとらえられたいくつかの部分・要素を結び合わせて統一的に構成すること。⇔分析。
㋑《(ドイツ)Synthese》ヘーゲル弁証法で、相互に矛盾する定立と反定立とを止揚すること。合(ごう)。ジンテーゼ。</t>
        </is>
      </c>
      <c r="D4768" t="inlineStr">
        <is>
          <t>総合的(11%)；総合開発(3%)；総合順位；総合プロデューサー；総合体育館</t>
        </is>
      </c>
      <c r="E4768" t="inlineStr">
        <is>
          <t>全体；含む；合併；統合；統一</t>
        </is>
      </c>
      <c r="F4768" t="inlineStr">
        <is>
          <t>総合チャート；総合センター；総合演出；総合企画；総合評価</t>
        </is>
      </c>
      <c r="G4768" t="inlineStr">
        <is>
          <t>総合格闘技；総合優勝；総合的；総合病院；総合研究所</t>
        </is>
      </c>
      <c r="H4768" t="n">
        <v>29</v>
      </c>
      <c r="I4768" t="inlineStr">
        <is>
          <t>これらの問題を総合的に解決するために導入されたのが本形式である。；最後に総合得点を発表し、ゲストが中央に移動して、歌コーナーとなる。；なお、総合テレビとBS1で同じ試合を同時に全国中継することはない。；第3次レベルは最も高度な医療を提供する総合・専門病院が該当する。；プロジェクトの総合プロデューサーを退いていたことを明らかにした。；言葉や能力の定義を厳密に定めた総合ルールと呼ばれるものがある。；河川総合開発と並行して強力に実施されていたのが農地開拓である。；調達価格は整備用工具や予備消耗部品が含まれた総合価格となっている。；開始当初から1990年度までの本放送は総合テレビにて放送された。；農業版河川総合開発ともいえるこの事業は北上川流域でも強力に実施された。；市場とは特に関連の無い総合食品スーパーマーケットなども立地している。；スマートグリッド等の総合的な対策が各国で検討推進されている。；全員の好意値を総合して一番好意値を稼いだプレイヤーが勝利となる。；この職掌は予算折衝で各省の主張と国策との総合的な調整を担っている。；指揮隊は、上記のような災害現場での総合指揮・統括の任務を担当している。；その事を考えるに総合的な火力はむしろ向上したとも言える。；その理由としては、教育テレビは総合テレビを補完することがあるため。；つまり艦隊としての総合訓練も、水雷戦隊としての訓練もできなかった。；産業形態は複合化しており、総合組立産業としての側面も有している。；これらが総合して区の中心を形成している。；NHKは総合・教育共に基本的には深夜放送と無縁だった時代が長かった。；ユンドゥン・ボンは古代から続くとされるチベット人独特の総合宗教である。；本番組の制作は当初、報道局が担当していたが、現在は総合編成局が担当している。；また、日野総合事務所は西部総合事務所日野振興センターに再編された。；翌1954年に総合調査を実施した際に納入品が発見された。；彼の提案した利根川総合開発案には後年実現した事業も多い。；そこで総合的な人口政策として、家族計画の導入が図られるようになった。；各科目の加重平均をとることにより、最終的な総合平均点が得られる。；ファシズムに対する批判者の立場を総合して反ファシズムと呼ばれる。</t>
        </is>
      </c>
      <c r="J4768">
        <f>HYPERLINK("https://www.weblio.jp/content/総合", "词义详情")</f>
        <v/>
      </c>
      <c r="K4768">
        <f>HYPERLINK("https://yourei.jp/総合", "查看例句")</f>
        <v/>
      </c>
    </row>
    <row r="4769">
      <c r="A4769" t="inlineStr">
        <is>
          <t>操作</t>
        </is>
      </c>
      <c r="B4769" t="inlineStr">
        <is>
          <t>成功</t>
        </is>
      </c>
      <c r="C4769" t="inlineStr">
        <is>
          <t>読み方：そうさ
［名］(スル)
１機械などをあやつって動かすこと。「ハンドルを—する」「遠隔—」
２自分の都合のよいように手を加えること。「株価を—する」「帳簿を—する」</t>
        </is>
      </c>
      <c r="D4769" t="inlineStr">
        <is>
          <t>操作する(15%)；操作できる(3%)；操作方法(2%)；操作可能；操作キャラクター</t>
        </is>
      </c>
      <c r="E4769" t="inlineStr">
        <is>
          <t>運営；管理；運転；作業；扱い</t>
        </is>
      </c>
      <c r="F4769" t="inlineStr">
        <is>
          <t>遠隔操作；直接操作；手動操作；ハンドル操作；基本操作</t>
        </is>
      </c>
      <c r="G4769" t="inlineStr">
        <is>
          <t>操作盤；操作系；操作ミス；操作変数；操作的意味論</t>
        </is>
      </c>
      <c r="H4769" t="n">
        <v>29</v>
      </c>
      <c r="I4769" t="inlineStr">
        <is>
          <t>ナノスケールの部品の操作や配置が必要な用途はまだ研究段階である。；スティックを傾けるのではなく滑らせて操作する方式の製品も存在する。；本条文は無線局の無線従事者の操作及び監督の範囲に関わるものである。；コンソールはコンピュータを操作するのに使われるテキスト端末である。；データの内容に依存しないデータ構造とリスト操作コードを形成可能である。；着陸進入中の操縦士が適切な制動操作を行わなかったのが原因とされる。；本装置を操作するためには、パイロットに高いNT能力が求められる。；頻繁に操作しているデータも同様の方法でそこに格納されている。；これら全てを効果的に作動させるには、共同してある操作が必要とされた。；スタックに強く依存している環境では、追加の操作を備えている場合がある。；さらに各方法には変爻の有無や位置を選ぶ操作があり状況変化を表現する。；スライムを操作して仲間を助けていくアクションアドベンチャーゲーム。；こちらはホーム係員がホーム柱に設置されたスイッチで操作する。；両手で1本ずつあるいはそれ以上のジョイスティックを操作する事もある。；選択・操作の対象には以下のものなどがあると思われる。；現場では開始時に機械を操作するだけで後は自動的に行われる。；tarコマンドはその名の通り磁気テープの操作が念頭に置かれていた。；こうなると、もはや通常の操作ではその作業結果を残す方法がない。；操作するキャラクターの残り人数が0になるとゲームオーバーとなる。；メニュー項目選択時に番号ボタンを押すことで直感的な操作も可能である。；ブレーキを操作するのはブレーキハンドルであり、これも手で操作する。；操作されていない時に開いているキイもあれば閉じているキイもある。；電動機付の踏切遮断機が登場した後もその操作は踏切係員が行っていた。；その操作を制御するための専用言語が開発されてきた。；問題のある悪魔を操作して自己の利益のために力を行使することができるとされていた。；このような操作は、単一分子エレクトロニクスに応用することができる。；しかし、この操作は、元が有限個である場合と違って有限回で終了しない。；これらが寝たまま操作できるよう、機能的に配置されている。；すなわちスロットル操作に対するエンジンの出力上昇に遅れが生じやすい。</t>
        </is>
      </c>
      <c r="J4769">
        <f>HYPERLINK("https://www.weblio.jp/content/操作", "词义详情")</f>
        <v/>
      </c>
      <c r="K4769">
        <f>HYPERLINK("https://yourei.jp/操作", "查看例句")</f>
        <v/>
      </c>
    </row>
    <row r="4770">
      <c r="A4770" t="inlineStr">
        <is>
          <t>捜査</t>
        </is>
      </c>
      <c r="B4770" t="inlineStr">
        <is>
          <t>成功</t>
        </is>
      </c>
      <c r="C4770" t="inlineStr">
        <is>
          <t>読み方：そうさ
［名］(スル)捜して調べること。特に、捜査機関が犯人を発見・確保し、証拠を収集すること。また、その活動。「殺人事件を—する」「容疑者が—線上に浮かぶ」「科学—」「強制—」</t>
        </is>
      </c>
      <c r="D4770" t="inlineStr">
        <is>
          <t>捜査官(10%)；捜査会議；捜査陣；捜査主任；捜査課長</t>
        </is>
      </c>
      <c r="E4770" t="inlineStr">
        <is>
          <t>見る；調査；調べ；検討；改め</t>
        </is>
      </c>
      <c r="F4770" t="inlineStr">
        <is>
          <t>捜査資料；捜査段階；再捜査；捜査権；捜査方法</t>
        </is>
      </c>
      <c r="G4770" t="inlineStr">
        <is>
          <t>捜査員；捜査一課；捜査当局；捜査機関；捜査班</t>
        </is>
      </c>
      <c r="H4770" t="n">
        <v>29</v>
      </c>
      <c r="I4770" t="inlineStr">
        <is>
          <t>警察は深い交際があったのではないかと捜査を進めていると報道された。；ただし、捜査情報の一部を公開して広く国民の協力を求める場合もある。；これは明日の地球に愛と優しさを求めた、特別救急捜査隊の物語である!；彼女の父親は中国でも十指に入ると言われた腕利きの麻薬捜査官だった。；警察等が犯罪を捜査した場合、事件を検察官に送致しなければならない。；そして捜査を進めていたラスティだったが、突然自らが逮捕されてしまう。；捜査行為はすべて法律の規定の範囲内で行わなければならない。；戦前、検察官は捜査を主宰するとされ、強い指揮権限が認められていた。；イギリスでは原則として犯罪の捜査と訴追の権限は警察が有している。；捜査チームの主任捜査官だったエリオット・ネスの自伝を基にしている。；多様化する未来型犯罪に敢然と挑戦する特別救急捜査隊の誕生である!；従って、具体的事件の捜査についての指示や命令行うことはできない。；その後の警察の捜査では動機も犯人の見当も付かないままである。；ジャックと別れた後は、部下であるアルメイダ捜査官と親密な仲となる。；そのため捜査官を規律するための原則がいくつも定められている。；さらに捜査はアマチュアチームでプレーしている元プロ選手にも及んだ。；ただし、捜査員である刑事が捜査を離れて事件関係者を保護することもある。；さらにリムゲイルは負傷して捜査からの一時離脱を余儀なくされる。；FBI捜査官の間でも好評を博し、後に同社のM13が正式採用された。；こうしてラスティは、捜査する側から一転して被疑者となってしまった。；占領下で発生した帝銀事件の捜査にはGHQが大きく関与していた。；すると今度は捜査妨害の為にCTUに神経ガスを散布される事件が発生。；学校側の依頼により警察の捜査が入り、婦人警官が問題のトイレに入った。；捜査方針の決定はその時々の社会・組織・責任者の偏りを反映する。；そのため、捜査の際には警察や軍との連携を図る場合もある。；彼は薬物捜査のベテランだが、捜査のためならば強引な手法も厭わない。；博士はトリゲニス一家とは親戚にあたり、捜査の状況を聞きたいという。；現存する記録ではヴィクトリア朝時代に行われた捜査方法を詳細に知ることができる。；元捜査幹部は「癖の強い異能の刑事を使うのがうまかった」と語っている。</t>
        </is>
      </c>
      <c r="J4770">
        <f>HYPERLINK("https://www.weblio.jp/content/捜査", "词义详情")</f>
        <v/>
      </c>
      <c r="K4770">
        <f>HYPERLINK("https://yourei.jp/捜査", "查看例句")</f>
        <v/>
      </c>
    </row>
    <row r="4771">
      <c r="A4771" t="inlineStr">
        <is>
          <t>相殺</t>
        </is>
      </c>
      <c r="B4771" t="inlineStr">
        <is>
          <t>成功</t>
        </is>
      </c>
      <c r="C4771" t="inlineStr">
        <is>
          <t>読み方：そうさい
［名］(スル)
１差し引いて、互いに損得がないようにすること。帳消しにすること。また、長所・利点などが差し引かれてなくなること。「貸し借りを—する」「それまでの実績が一度の失敗で—される」「それぞれの魅力を—し合う」
２二人が互いに相手方に対して同種の債権を有する場合、双方の債権を対当額だけ差し引いて消滅させること。</t>
        </is>
      </c>
      <c r="D4771" t="inlineStr">
        <is>
          <t>相殺する(25%)；相殺される(11%)；相殺できる(3%)；相殺させる；相殺消去</t>
        </is>
      </c>
      <c r="E4771" t="inlineStr">
        <is>
          <t>カバー；手当；代償；補償；手当て</t>
        </is>
      </c>
      <c r="G4771" t="inlineStr">
        <is>
          <t>相殺の抗弁</t>
        </is>
      </c>
      <c r="H4771" t="n">
        <v>29</v>
      </c>
      <c r="I4771" t="inlineStr">
        <is>
          <t>今回のミスを相殺して余りある利益を局にもたらしてきたはずです。；この場合には、これらの発散する項を相殺させることで跡公式が得られる。；美鎖の周囲に光の球が発生し、ギバルテスのコードと相殺して消えた。；塩以外に何もつけないから相殺されることがないからだ、といえる。；相殺は双方の債務の履行地が異なるときであってもすることができる。；そのまま後方に飛んで勢いを相殺すると、距離を取って動きを止める。；この結婚は彼らの両親のギャンブルの掛け金の相殺で決まったものだった。；楽しい気分が完全になくなってしまうわけではないが、かなり相殺されてしまう。；同小法廷は同じグループの第三者との相殺は認めないとする初判断を示した。；運動慣性の分だけ衝撃が相殺されず、背後の壁の窓硝子に二人ともに激突。；交換および相関部分による誤差はある程度互いに相殺し合う傾向がある。；此の現象は自然とQとSの二城を相殺さすことは明かなことであつた。；相殺適状を満たしていても、以下の場合には相殺をすることが許されない。；しかし、出演者たちの見事な演技のお陰で、その欠点は相殺されている。；音と音の振幅が相殺されるように重なって小百合の耳を塞いでいく。；八咫鏡の力と相殺しあって、蛇鏡も鎮まるだろうと考えたのである。；系の ee が減少すると左旋性と右旋性が相殺して旋光性が減少する。；しかしこの成功はハドソン川に向かった遠征隊の失敗で相殺された。；これは同地域の植民地化に興味を持っていたイタリアの同様な放送を相殺することを目的としていた。；単純な合計では、エラーを相殺してしまう傾向があるからである。；利益は発生しないことはないが、それは不利益と相殺され失われるものであるからだ。；己が魔術を純粋な魔力で相殺されながらも、キャスターの微笑は崩れない。；当たるを幸いとばかり、猫たちの影と白骨がぶつかり、相殺していく。；証券会社内で取引を相殺させたりはしなく、常に条件の良い取引所を探す。；たとえば二人の人物が対立し、争い合うときは、その両者の関係は相殺の進行中である。；科学をいくら動員したって、このことと相殺になると、お考えにはならんか?；アノマリーの相殺のためにクォークとレプトンは同じ世代数が必要である。；凍気そのものは相殺しても、その衝撃までは吸収できずに後退する。；が、それは彼が今感じているものを相殺してはくれず、かえって熱いものに育てた。</t>
        </is>
      </c>
      <c r="J4771">
        <f>HYPERLINK("https://www.weblio.jp/content/相殺", "词义详情")</f>
        <v/>
      </c>
      <c r="K4771">
        <f>HYPERLINK("https://yourei.jp/相殺", "查看例句")</f>
        <v/>
      </c>
    </row>
    <row r="4772">
      <c r="A4772" t="inlineStr">
        <is>
          <t>惣菜</t>
        </is>
      </c>
      <c r="B4772" t="inlineStr">
        <is>
          <t>成功</t>
        </is>
      </c>
      <c r="C4772" t="inlineStr">
        <is>
          <t>読み方：そうざい
日常のおかず。副食物。</t>
        </is>
      </c>
      <c r="D4772" t="inlineStr">
        <is>
          <t>惣菜料理(3%)；惣菜類；惣菜売り場；惣菜用；惣菜売場</t>
        </is>
      </c>
      <c r="E4772" t="inlineStr">
        <is>
          <t>菜；お菜；おかず；副食；副食物</t>
        </is>
      </c>
      <c r="F4772" t="inlineStr">
        <is>
          <t>系惣菜；惣菜としてよく</t>
        </is>
      </c>
      <c r="G4772" t="inlineStr">
        <is>
          <t>惣菜パン；惣菜店；惣菜コーナー；惣菜管理士</t>
        </is>
      </c>
      <c r="H4772" t="n">
        <v>29</v>
      </c>
      <c r="I4772" t="inlineStr">
        <is>
          <t>でも誤解のないよう説明すると、ホントは惣菜を追加しようとしたんだ。；近年は欧米に似た惣菜の販売や店内飲食を主な業とする店舗も見られる。；そろそろ夜がうすら寒くなってくると家でよくするお惣菜の一つです。；わたしはこれまでデパートのお惣菜売り場で働いていたが、もうやめた。；これは店内でパン・弁当・惣菜を店員が作って販売するシステムである。；惣菜付の丼一つの価は楽屋の様子から考へて二十銭より以上の筈はない。；惣菜にはあまり箸をつけず、さっきから酒ばかりをガブガブ飲んでいる。；八時前に、英子は途中で買った冷えた飲み物と惣菜を持ってやってきた。；あの子の今日の弁当のお惣菜には、何がはいっていたのであろうか。；ただしいずれも直子がデパートの地下食料品店で買ってきた惣菜だった。；すでに校内で荷卸しを終えた惣菜会社のトラックが、校門から出てきた。；ピロークには甘いものと肉や野菜を詰めた惣菜になっているものがある。；その成功からコンビニに調理場を設けて惣菜品を販売することを決意。；料理ともいえない、お惣菜であるが、これが、案外、結構なものである。；精肉・惣菜・レストラン・食品・和菓子の5事業を主要事業としている。；ビールを飲みながら惣菜をつつき、ビデオを見る、それが私の月曜日だ。；販売している惣菜などの一部はここで加工・製造され、各店舗へ輸送されている。；家のお惣菜に煮ておいた葡萄豆でも何でもある物を皆んな出しましょう。；七時十二分に彼は買ってきた惣菜を皿に移しはじめる。；没後に娘の米子の編集で『一年間のお惣菜』を改題して出版されたもの。；十三世紀には、パリにもこのような惣菜屋が出現していたようだ。；また、肉に関連した惣菜やハム・ソーセージを製造販売していることもある。；つまり、俺と林太郎のための惣菜を買いに行くことはできるんだ。；チャンプルーなどの惣菜にはこのランチョンミートが使われることが多い。；日常のお惣菜料理にも、食養のこころや茶懐石の手法を生かしましょう。；その明かりを正面に受けて精米店があり、その隣が惣菜の店だった。；家々の家族は毎日のように、東京でいわゆる御惣菜ばかりで御飯を食べている。；勝手元の小物だの惣菜だのを買う時にはその縫い賃を足し前にしている。；この惣菜買いは、それから後中学へ行っても続いていた。</t>
        </is>
      </c>
      <c r="J4772">
        <f>HYPERLINK("https://www.weblio.jp/content/惣菜", "词义详情")</f>
        <v/>
      </c>
      <c r="K4772">
        <f>HYPERLINK("https://yourei.jp/惣菜", "查看例句")</f>
        <v/>
      </c>
    </row>
    <row r="4773">
      <c r="A4773" t="inlineStr">
        <is>
          <t>創作</t>
        </is>
      </c>
      <c r="B4773" t="inlineStr">
        <is>
          <t>成功</t>
        </is>
      </c>
      <c r="C4773" t="inlineStr">
        <is>
          <t>読み方：そうさく
［名］(スル)
１新しいものをつくり出すこと。「新式の工具を—する」
２文学・絵画などの芸術を独創的につくり出すこと。また、その作品。「物語を—する」「—舞踊」
３つくりごと。うそ。「そんな言い訳は彼の—だ」
[補説]書名別項。→創作</t>
        </is>
      </c>
      <c r="D4773" t="inlineStr">
        <is>
          <t>創作意欲(2%)；創作者；創作力；創作方法；創作家</t>
        </is>
      </c>
      <c r="E4773" t="inlineStr">
        <is>
          <t>作品；本；設置；建設；設立</t>
        </is>
      </c>
      <c r="F4773" t="inlineStr">
        <is>
          <t>創作物；創作劇；旺盛な創作；創作舞踊；創作欲</t>
        </is>
      </c>
      <c r="G4773" t="inlineStr">
        <is>
          <t>創作物；創作上；創作的；創作性；創作料理</t>
        </is>
      </c>
      <c r="H4773" t="n">
        <v>29</v>
      </c>
      <c r="I4773" t="inlineStr">
        <is>
          <t>とはいえ映画のために創作されたこの銘はもっともらしいものではある。；この場合には創作に関与した全員が著作者となり、著作権を準共有する。；江戸時代に創作材料として盛んに利用されたことで、高い知名度を得た。；は、他国出身ではあったが、ロシア語で創作した最初の小説家であった。；また、ラヴェルは自身の創作姿勢については以下のように説明している。；しかし森鴎外は、この作品を創作ではなく翻訳に過ぎないと指摘している。；創作ペースは、多くの委嘱者に囲まれた現在ですら、非常に慎重である。；しかし、李巌も今日では清初の小説で創作された架空の人物とされている。；その題材上の魅力から小説やゲームなどの創作世界において度々登場する。；複数の者が共同して著作物を創作した時、これを共同著作物と呼ぶ。；以降、大阪を題材とした創作劇を中心として公演活動に取り組んでいる。；一方で、この序文自体が編者もしくは後世の創作であるとする説もある。；これは源頼朝が源氏の嫡流であると印象づけるための創作といわれている。；ブルックナーの創作形態をすべて出版することを目指したとされる。；ファン・ゴッホは、後の時代に盛んに研究や新たなる創作の源となっている。；その様子に感動した人達の中にいた地元の人形創作グループから指導を依頼される。；これらの表記方法は同人創作者によって異なる意味を表すことがある。；逐語訳はせず、原書を読んで筋を理解したうえで一から文章を創作していた。；彼の創作した部分も違和感なく全体に収まっているとの評価である。；各地で聞き覚えた唄をもとに新たな祭文松坂を創作することもあった。；人名表記において英語・表記発音などを模した創作表記もよくなされる。；実証と実験を重視したパレらしい逸話だが、後世の創作とみられている。；横溝正史が創作した名探偵・金田一耕助のモデルとなった一人でもある。；一方、創作の可能性も指摘されている出典不詳の妖怪も何体か描いている。；これは重修の過程で後世の創作が挿入される可能性を指摘したものと言える。；ただしこれらの話は創作である可能性が指摘されている。；本作品は番組事情に左右されず安定して活用できるヒーローとして創作された。；あまりに有名な為、後世の創作ではないかと疑われる事もあるが真実は不明。；このためか各種の創作において主人公としてよく取り上げられている。</t>
        </is>
      </c>
      <c r="J4773">
        <f>HYPERLINK("https://www.weblio.jp/content/創作", "词义详情")</f>
        <v/>
      </c>
      <c r="K4773">
        <f>HYPERLINK("https://yourei.jp/創作", "查看例句")</f>
        <v/>
      </c>
    </row>
    <row r="4774">
      <c r="A4774" t="inlineStr">
        <is>
          <t>捜索</t>
        </is>
      </c>
      <c r="B4774" t="inlineStr">
        <is>
          <t>成功</t>
        </is>
      </c>
      <c r="C4774" t="inlineStr">
        <is>
          <t>読み方：そうさく
［名］(スル)
１行方不明の人や物をさがし求めること。「遭難者を—する」「—願」
２刑事訴訟法に基づき、裁判所・検察官・司法警察職員などが、証拠物件や犯人を発見するために、人の身体・物件・住居などを強制的に調べること。「家宅—」</t>
        </is>
      </c>
      <c r="D4774" t="inlineStr">
        <is>
          <t>捜索隊(7%)；捜索願(2%)；捜索レーダー；捜索活動；捜索用</t>
        </is>
      </c>
      <c r="E4774" t="inlineStr">
        <is>
          <t>見る；調査；調べ；検討；捜査</t>
        </is>
      </c>
      <c r="F4774" t="inlineStr">
        <is>
          <t>水上捜索；対空捜索；大捜索；東捜索；大規模な捜索</t>
        </is>
      </c>
      <c r="G4774" t="inlineStr">
        <is>
          <t>捜索救助；捜索者；捜索機；捜索中追尾；捜索連隊</t>
        </is>
      </c>
      <c r="H4774" t="n">
        <v>29</v>
      </c>
      <c r="I4774" t="inlineStr">
        <is>
          <t>武器を取り上げられていたスタンは武器を探すため飛行竜内を捜索する。；この時点で、堀江は海上保安庁が捜索を展開しているのを知らなかった。；そこで彼女の鍵を捜索したところ、階段に隠されているのを発見した。；Uボートの大きな課題は広大な海上で輸送船団を捜索することであった。；やがて親衛隊が修道院に到着し、車を入口において修道院内を捜索する。；潜水艦の例では、確率が高いとして選んだ領域から捜索している点で違う。；文化庁は所在不明文化財の一覧サイトを開設するなどして捜索している。；大韓航空機の捜索には、ビルマとタイの両政府当局が当たる事となった。；同時に3つの異なる目標の捜索、内2つの目標への攻撃が可能である。；この時捜索と並行して用いられた手法は次のものであった。；これからは捜索標定に無人航空機などを活用すべきであると主張した。；また犯人のアジト捜索中には腰越付近を走行する107号が映っている。；主に幹部移送・偵察・捜査・警戒・広域捜索の各任務で運用している。；後に東晋の時代になって、山陽公の末裔を捜索する詔勅が出されている。；双方とも捜索に集中するあまり気付くのが遅れたと見られている。；その社長である元刑事・草壁が捜索活動の中で起こる事件や人間模様を描く。；こうして空になった飛水湖に捜索隊約1000名が入って捜索を開始した。；これらの美術品はローゼンベルク特捜隊の捜索で発見されて没収された。；番組後半以降は長谷川警部補が捜索差押の指揮官に指名されるようになる。；その人物が捜索対象発見への鍵を握っている場合がある。；捜索活動には巡視艇まで加わったが、何の手がかりも得られなかった。；どうやってもデスベルトは外れなかったため、十代達はコブラを捜索する。；諸外国船も捜索に協力したが手がかりは得られず、謎の失踪となった。；現在は、引き続き未発見の原本の捜索が行われている状況である。；差押えは頻繁に執行する一方で、捜索まで実施するケースは限定されている。；捜索隊は洞窟の前まで来たにも関わらず中をのぞかずに去った。；前作同様、薬草を使った治療や魔術による敵の捜索が主な役割である。；以降、様々な手法を用いた多数の探索によって褐色矮星が捜索されてきた。；海上での一週間の捜索の後、報告が誤りであると判明し大晦日に港に戻った。</t>
        </is>
      </c>
      <c r="J4774">
        <f>HYPERLINK("https://www.weblio.jp/content/捜索", "词义详情")</f>
        <v/>
      </c>
      <c r="K4774">
        <f>HYPERLINK("https://yourei.jp/捜索", "查看例句")</f>
        <v/>
      </c>
    </row>
    <row r="4775">
      <c r="A4775" t="inlineStr">
        <is>
          <t>増産</t>
        </is>
      </c>
      <c r="B4775" t="inlineStr">
        <is>
          <t>成功</t>
        </is>
      </c>
      <c r="C4775" t="inlineStr">
        <is>
          <t>読み方：ぞうさん
［名］(スル)生産量をふやすこと。「製品を—する」「—体制」⇔減産。</t>
        </is>
      </c>
      <c r="D4775" t="inlineStr">
        <is>
          <t>増産体制(3%)；増産計画；増産政策；増産運動；増産態勢</t>
        </is>
      </c>
      <c r="F4775" t="inlineStr">
        <is>
          <t>食料増産；大増産；石炭増産；航空機増産；無理な増産</t>
        </is>
      </c>
      <c r="H4775" t="n">
        <v>29</v>
      </c>
      <c r="I4775" t="inlineStr">
        <is>
          <t>つまり一〇〇年足らずのあいだに一〇〇〇万石の増産をしているのです。；それでけっきょく今までにない大増産の道を考えるより外に方法がない。；海軍時代から関心があった鉄鋼増産の現場にようやく立つことができた。；そのために作りだめしなければならないとして大幅な増産体制を敷いた。；飛行機増産のためにはあらゆる点で優先的措置が講ぜられたではないか。；このような質的な労働力の低下と無理な増産も部品の劣質化につながった。；戦時体制の中、特に海軍からは航空機の大増産が要請されることになった。；また各地金山からの産出はすっかり衰退しており増産は望み薄であった。；食糧増産を目的として盛んに干拓工事が行われ、巨大事業も行なわれた。；河井とてもそれらの増産計画の内容を上杉二郎に一応訊ねてはみている。；米の増産を目的としたこれらの事業は、逆に藩財政を圧迫する結果となった。；彼らに日本一の座を奪われないよう無理に無理を重ねて増産に励む。；このためタイの中央平原部に運河が多く建設され、米の増産がはかられた。；鉄太郎も仕事を終えて帰ってくると、はだしになって食料増産に励んだ。；後に海龍や回天の増産も行われたことから蛟龍の生産数が抑制された。；天然痘ワクチンの増産の目的でアメリカよりホルスタインを大量に輸入。；生産は安定し、西三河地方のみならず各地で飛躍的な米の増産をもたらした。；背景には東京周辺での食糧増産の目的と西欧の近代的な育馬技術の導入もある。；上映用プリントフィルムの増産に応じているのはスーパー8のみである。；これをきっかけに野間馬保存会が結成され、以後は増産が進められた。；これほどの差があるならば、増産の見込みは充分あるはずである。；生産予定数より増産することなく、本機の生産は正式に終了した。；翌1939年には海軍と協議を行い具体的な増産計画を定義した。；猫に餌をやることと、小説を増産することとは別の問題だろう。；そういうことも食糧の増産が絶対に必要なものならば、当然試みてよいことである。；特装車を増産する必要があって、オート三輪をやめた、という形である。；ナポレオン戦争後砂糖の供給が元に戻ってもテンサイの増産は続いた。；これにより日本国内では多数の金鉱山が開発・操業され増産体制がとられた。；軍事目的での鉄への依存が強まるにつれ、必要に迫られて鉄の増産が進んだ。</t>
        </is>
      </c>
      <c r="J4775">
        <f>HYPERLINK("https://www.weblio.jp/content/増産", "词义详情")</f>
        <v/>
      </c>
      <c r="K4775">
        <f>HYPERLINK("https://yourei.jp/増産", "查看例句")</f>
        <v/>
      </c>
    </row>
    <row r="4776">
      <c r="A4776" t="inlineStr">
        <is>
          <t>掃除</t>
        </is>
      </c>
      <c r="B4776" t="inlineStr">
        <is>
          <t>成功</t>
        </is>
      </c>
      <c r="C4776" t="inlineStr">
        <is>
          <t>読み方：そうじ
［名］(スル)
１はいたりふいたりして、ごみやほこり、汚れなどを取り去ること。「庭を—する」「ふき—」
２社会の害悪などを取り除くこと。「政界を—する」</t>
        </is>
      </c>
      <c r="D4776" t="inlineStr">
        <is>
          <t>掃除婦；掃除当番；掃除夫；掃除機；掃除用具</t>
        </is>
      </c>
      <c r="E4776" t="inlineStr">
        <is>
          <t>整理；落とす；流す；片づけ；洗濯</t>
        </is>
      </c>
      <c r="F4776" t="inlineStr">
        <is>
          <t>煙突掃除；庭掃除；便所掃除；機関掃除；真空掃除</t>
        </is>
      </c>
      <c r="G4776" t="inlineStr">
        <is>
          <t>掃除屋；掃除之者；掃除魚；掃除ロボット；掃除山遺跡</t>
        </is>
      </c>
      <c r="H4776" t="n">
        <v>29</v>
      </c>
      <c r="I4776" t="inlineStr">
        <is>
          <t>ブラジルやオーストラリアでも掃除は専門業者が行うのが一般的である。；どうやら壊れた食器を掃除しているうちに、眠って夢を見ていたらしい。；彼女の父親リチャードは酒販売店に勤務し、母親は学校の掃除婦だった。；十のつく日、即ち十日、二十日、三十日には便所の掃除をしてはならぬ。；煙突はペチカの特性上ほとんど煤がつかないので掃除はほぼ必要がない。；寺での修行もあり、掃除が得意だったことが鶏郎に気に入られたという。；この期間、祭りに参加するほか家族の墓参りや掃除を行う習慣が多くある。；室内の掃除は一週間一回であるが、南京虫のおらざりしは幸いであった。；城の中では、召使いたちが食事を用意し、部屋と廊下を掃除していた。；インドには日本式の教育を取り入れて掃除の時間がある学校もある。；歯と歯の間を掃除する糸が無いと1日すら生きていけないらしい。；また魚ではないが、エビ類にも同様の掃除行動をとる種が多くいる。；彼等はみんな、地面の汚物をきれいにする立派な役目の発達した掃除夫だ。；鏡の表面だとか抽斗の金具も調べたけれど、掃除してしまったあとだった。；黒人の掃除人は差別を受け、非効率的で火事を起こすと非難されていた。；毎年五月の七日か八日ごろが私のところの衛生掃除に当たっている。；一部の地域ではうるう年に男性がドアノブを掃除する伝統が存在する。；さらに調査すると、ランプ複数は掃除され補充されていることがわかった。；以下は、ある掃除人が一人の少年の運命について語ったものである。；これはリードを掃除する時に使うもので、演奏中は普通使われない。；異説もいくつかあり、荏原ではなく寺の掃除をしていた時とするものもある。；空港から乗って来た車の運転手が、車体をぼろ布で掃除していた。；この米の粉は、また脂肪のついた皿や、洋燈を掃除するのにも使用する。；特に春と秋には毛の生え変わる時期であるため、こまめに掃除する必要がある。；この一件で運転免許証を球団預かりにされ、寮の掃除当番をさせられた。；窓掃除用のスクイージーに似ているが、馬用はブレードが湾曲している。；世界的には少数であるが、学校の教室等の掃除を児童や生徒が行う国がある。；特に、銃・大砲・管楽器などの掃除に使われるものを指すことが多い。；女子が嫁に行くとき持参する第一の要具は、墓掃除の手桶であるそうだ。</t>
        </is>
      </c>
      <c r="J4776">
        <f>HYPERLINK("https://www.weblio.jp/content/掃除", "词义详情")</f>
        <v/>
      </c>
      <c r="K4776">
        <f>HYPERLINK("https://yourei.jp/掃除", "查看例句")</f>
        <v/>
      </c>
    </row>
    <row r="4777">
      <c r="A4777" t="inlineStr">
        <is>
          <t>葬式</t>
        </is>
      </c>
      <c r="B4777" t="inlineStr">
        <is>
          <t>成功</t>
        </is>
      </c>
      <c r="C4777" t="inlineStr">
        <is>
          <t>読み方：そうしき
死者をほうむる儀式。葬儀。葬礼。とむらい。「—を出す」</t>
        </is>
      </c>
      <c r="D4777" t="inlineStr">
        <is>
          <t>葬式代；葬式用；葬式彦兵衛；葬式万端；葬式ごっこ</t>
        </is>
      </c>
      <c r="E4777" t="inlineStr">
        <is>
          <t>送り；葬儀；葬；葬り；弔い</t>
        </is>
      </c>
      <c r="F4777" t="inlineStr">
        <is>
          <t>御葬式；盛大な葬式；寂しい葬式；葬式馬車；葬式籠</t>
        </is>
      </c>
      <c r="G4777" t="inlineStr">
        <is>
          <t>葬式饅頭；葬式会場；葬式花；葬式の名人</t>
        </is>
      </c>
      <c r="H4777" t="n">
        <v>29</v>
      </c>
      <c r="I4777" t="inlineStr">
        <is>
          <t>葬式にも出たらいかんて、そんな話があるもんかと頭の中を火が走った。；また、群れの仲間が死んだ場合に葬式ともとれる行動をとることがある。；明日葬式を出して埋葬してしまうとかで、もうお棺に入れてありました。；ある日は窕子はその家の築地の傍をさびしい葬式の通つて行くのを見た。；そして間もなく十一娘が自殺して葬式をしたということが聞えて来た。；僕はその葬式の帰りに確か父に「御維新」前の本所の話をしてもらった。；葬式を終え、遺言状を開けてみると相続人はジョン一人でだけであった。；そのうちに深川の寺へゆき着いたが、葬式は極めて簡単なものであった。；かれはまたとても詳細に、彼らの族長の一人の葬式について述べている。；そうしてその夜死去したので、それから葬式万端の事を営んだのである。；盛大なりし葬式は、彼女と予とを永しえに結ばん為めの結婚の式なりき。；さすがに見ぬ顔もできないので、葬式には近所の人が五、六人見送った。；葬式が済んで寺の門を出ると、この頃の春の日はもう暮れかかっていた。；珍らしく一人の旅人がこの村へきて、散歩にでたら葬式にでつくはした。；寺ばかりといつてもいゝやうな町に住んでゐたので、葬式は実に沢山見た。；珍らしく一人の旅人がこの村へ来て、散歩にでたら葬式にでっくわした。；葬式の日には、アルレッキーノは舞台に出なくてもいいことになりました。；それもいつもの葬式の時などに読むやうな小さな声ぢやねえだ。；今すれ違った葬式の馬車だって、この車よりは早く走っていたからね。；それは大人と子供の二重葬式を描いた等身大のタブローが特徴である。；ダヴィッドの主要な作品の多くが、この葬式のデッサンに基づいている。；幸一の葬式の時に「司法解剖をした方がいい」と謎の電話が正子に入る。；葬式のシーンには多くのオリジナル・キャスト・メンバーが参加した。；弟の葬式ではあるが、なにかの世話を焼くために徳蔵も一緒に出て行った。；彼女は、近所や親戚に葬式があっても気が向かなければ顔を出さなかった。；祝夫婦はひどく悲しんで葬式をしたが、他の客には姿を見せなかった。；葬式の日に、栄一は出来るだけ、無関心であることに、心をきめて居た。；葬式の準備やら、弔辞を言いに来る人が有るやらで、家の内は混雑した。；葬式の日からこのかた、彼は一度も墓地を訪れたことはなかった。</t>
        </is>
      </c>
      <c r="J4777">
        <f>HYPERLINK("https://www.weblio.jp/content/葬式", "词义详情")</f>
        <v/>
      </c>
      <c r="K4777">
        <f>HYPERLINK("https://yourei.jp/葬式", "查看例句")</f>
        <v/>
      </c>
    </row>
    <row r="4778">
      <c r="A4778" t="inlineStr">
        <is>
          <t>喪失</t>
        </is>
      </c>
      <c r="B4778" t="inlineStr">
        <is>
          <t>成功</t>
        </is>
      </c>
      <c r="C4778" t="inlineStr">
        <is>
          <t>読み方：そうしつ
［名］(スル)うしなうこと。多く抽象的な事柄についていう。「資格を—する」「権威—」「記憶—」
[補説]書名別項。→喪失</t>
        </is>
      </c>
      <c r="D4778" t="inlineStr">
        <is>
          <t>喪失する(8%)；喪失感；喪失艦；喪失状態；喪失変異</t>
        </is>
      </c>
      <c r="E4778" t="inlineStr">
        <is>
          <t>死；負け；解放；失う；落とす</t>
        </is>
      </c>
      <c r="F4778" t="inlineStr">
        <is>
          <t>自信喪失；機能喪失；機喪失；資格喪失；自己喪失</t>
        </is>
      </c>
      <c r="H4778" t="n">
        <v>29</v>
      </c>
      <c r="I4778" t="inlineStr">
        <is>
          <t>自分の名前以外の記憶を喪失していたデュウをエイハブは仲間に加えた。；奴隷供給源の喪失はブラジル植民地にとって大打撃だったからである。；また広島城周辺に展開していた陸軍第五師団の部隊も機能を喪失した。；彼は今回の敗北では精神的にも大きく打撃を受け自信を喪失した。；もちろんこれを喪失する種も存在し中には腰帯が完全に消失した種も存在する。；その多くは、川の流れの変化や政治的拠点の喪失などにより衰退した。；のみならず、その巨大さに恐怖を抱き、戦意喪失する者も少なくない。；プロ球団と関わりを持つため、回復していた学生野球資格は喪失した。；一度喪失した視野は回復させることが出来ないため、失明の原因になりうる。；喪失した視神経の回復は出来ないが、視神経を再生する研究も行われている。；だが、逆に交易相手を喪失した大陸諸国の方が疲弊するという結果になる。；もスーパースターズと契約して試合には出たが、すでに意欲を喪失していた。；羽毛が喪失した前例は鳥盤類などの他の恐竜のグループにも見られている。；このような障害においては、本人が喪失した記憶を有する別人格が登場する。；蛆は脚がないが、これは原始的な特徴ではなく、二次的に喪失した結果である。；休刊で喪失感を味わい、当時の何でもありの空気が好きだったことなどが由来。；この香港映画界を揺るがす悲報に香港全体が大きな喪失感に包まれた。；選手の獲得先球団が喪失する指名権は以下のとおり。；転換- 抑圧された衝動や葛藤が、麻痺や感覚喪失となって表現される。；老朽化した状態で最後の戦闘に挑んだことは、フッド喪失の原因となった。；破滅招来体に利用されていたことを知り、自らの過ちに気付き戦意喪失。；効用の喪失は一時的なものであっても差し支えないと解されている。；先天的に歯が存在しない場合と、後天的に歯を喪失する場合がある。；特に第110号艦の原型となった大鳳喪失は関係者に衝撃を与えた。；ギーセンからのアメリカ軍の撤退は、多くの職場の喪失をもたらした。；これは400万年で太陽一個分の質量を喪失するペースに相当する。；没収喪失した中には占領軍を恐れてやみくもに出された名刀も多く含まれた。；イギリス国民の大部分は、ダンケルク撤退直後のように意気喪失したという。；また、一度戦意を喪失してしまうとそれがすぐには回復しないなど臆病な面もある。</t>
        </is>
      </c>
      <c r="J4778">
        <f>HYPERLINK("https://www.weblio.jp/content/喪失", "词义详情")</f>
        <v/>
      </c>
      <c r="K4778">
        <f>HYPERLINK("https://yourei.jp/喪失", "查看例句")</f>
        <v/>
      </c>
    </row>
    <row r="4779">
      <c r="A4779" t="inlineStr">
        <is>
          <t>そうして</t>
        </is>
      </c>
      <c r="B4779" t="inlineStr">
        <is>
          <t>成功</t>
        </is>
      </c>
      <c r="C4779" t="inlineStr">
        <is>
          <t>読み方：そうして
［副］前に述べた方法・手段によるさま。「—切るとうまくいく」「—食べるとおいしい魚だ」
［接］
１前述の事柄を受け、それに継続して、あるいはその結果生じる事柄を導く。そして。「朝、六時に起きた。—散歩に出かけた」「父が事業に失敗した。—わが家は没落した」
２前述の内容を受けて、さらに付け加えることを表す。そして。「富士山は高く、—美しい」</t>
        </is>
      </c>
      <c r="D4779" t="inlineStr">
        <is>
          <t>そうして私；そうして今；そうしておけ；そうして最後；そうしてしばらく</t>
        </is>
      </c>
      <c r="E4779" t="inlineStr">
        <is>
          <t>また；そして；そうやって</t>
        </is>
      </c>
      <c r="F4779" t="inlineStr">
        <is>
          <t>おおそうして；そうしてとうとうしまいに；そうして頂けれ；そうしてイヨイヨ；そうしていただけれ</t>
        </is>
      </c>
      <c r="H4779" t="n">
        <v>29</v>
      </c>
      <c r="I4779" t="inlineStr">
        <is>
          <t>そうして自分の意識が再生産され続けるよう嘘を張り巡らせたのだった。；そうして先に分子構造を決定した上で合成法が研究され、実用化された。；そうして、自分だけのオリジナルの能力を持つ武具を作ることができる。；そうして制作されたアルバムにはバッキンガムの影響力が強く出ている。；そうして本部から釈放されると、妻の燁子とその友人が迎えに来ていた。；そうして少女は竜を退治したと勘違いした人々から推戴され女王となる。；そうしてそれがすべての方面に実行を伴っていたことを多とする。；そうして部屋に戻ったところ、瀕死の女はいずこへか消えてしまっていた。；そうして、お料理されて、銀のお皿にのせてもらいたいと思いますよ。；ともかくそうして当初より少し時間を押して収録は終わりました。；そうして物語を止めていた時計の針は再び動き始めたのだった。；そうして右の手を平にして、それを臼でも挽く時のように動かしている。；そうして の微分はそうやって得られた直線の傾きを言うのであった。；そうして相手が気のつかないように、そっとポケットへ手巾をおさめた。；そうして、より深く研究するための新たな方向がいくつか開かれた。；そうして仏教を信仰する国の人々を守護する、守護尊となったとされる。；そうしてすぐに、開けた土地には、死体と怪我をした敵が散らばっていた。；そうして「恩」が世の中をぐるぐる回ってゆくことを指しているとした。；そうして部員たちが思い思いの場所を取材する中、歩はまだ迷っていた。；そうしてその女が毎日俺たちの画室に来てモデルになってくれた。；そうして運動のエネルギーではちょうどこれと反対の関係になると信じていたのである。；そうしてじぶんがまえよりもいい、別の人間になったようにおもわれました。；そうして新宿駅は西側に住む人々のターミナル駅として発展していった。；そうしてスイスは特権的地位を守ることに成功してきたのだった。；そうして多少型が崩れていても技をかける一連の流れを重視した。；そうして集められた音源から数多くのトラックが収録されている。；そうして帝国は各地方ごとにまとまるようになり、分裂状態になっていった。；そうして海の中でその数を増やしていき、惑星Ziの生命は誕生した。；そうして又この町はずれの陰惨たる風物と同じような色の着物を着ていた。</t>
        </is>
      </c>
      <c r="J4779">
        <f>HYPERLINK("https://www.weblio.jp/content/そうして", "词义详情")</f>
        <v/>
      </c>
      <c r="K4779">
        <f>HYPERLINK("https://yourei.jp/そうして", "查看例句")</f>
        <v/>
      </c>
    </row>
    <row r="4780">
      <c r="A4780" t="inlineStr">
        <is>
          <t>総じて</t>
        </is>
      </c>
      <c r="B4780" t="inlineStr">
        <is>
          <t>成功</t>
        </is>
      </c>
      <c r="C4780" t="inlineStr">
        <is>
          <t>読み方：そうじて
［副］
１全部で。「—いくらの出費が」
２全般の傾向として。一般に。概して。「今年の夏は—雨が多かった」</t>
        </is>
      </c>
      <c r="D4780" t="inlineStr">
        <is>
          <t>総じて高い；総じて言え；総じて低い；総じていえ；総じて高く</t>
        </is>
      </c>
      <c r="E4780" t="inlineStr">
        <is>
          <t>多く；ほとんど；約；一般；いつも</t>
        </is>
      </c>
      <c r="H4780" t="n">
        <v>29</v>
      </c>
      <c r="I4780" t="inlineStr">
        <is>
          <t>総じて攻撃時には相手ゴールに近いポジションを取ることが要求される。；参加は基本自由であるが、得られる機会は多いので総じて人気は高い。；総じて消化の悪いものが多く、食用種であっても食べ過ぎない方がよい。；総じて強い刺激であって、しばしば耐えがたいと感じさせることもある。；総じて規模の大きな研究論文でこのような記載が行われることが多い。；最近の学生は総じて教授や大学当局に対して、以前ほど批判的ではない。；花の先は糸状になり、長さは多様であるがカラスウリよりも総じて太い。；総じて教授たちからは絵画よりも建築の分野で才能を発揮すべきであると判断された。；家族連れや子どもよりも、大人の映画ファンに期待感が総じて高かった。；しかしながら各種法令の遵守体制ができている企業の倫理は総じて高い。；色は赤・紫から黄色など様々だが、総じて派手な色合いのものは少ない。；性格は総じて頑なであり、戦いを通じて得た体験を何よりも重んじている。；だいぶむずかしい質問ですが、わたくしは総じてそうは考えていません。；総じて、同時期の他の光メディアと比べても優秀なものであった。；状況において様々なものが存在するが、総じて怪物然とした姿をしている。；また、この地域の物価は隣接している他地区と比べ、総じて低いのが特徴。；盗塁数を前年から倍増させたものの、打撃成績は総じて前年を下回った。；総じて、味方の危機は、味方のすべてが、勝ったと思うときに生じやすい。；わざと隠しているような様子もないが、総じて選挙の話をしたがらないようだ。；一方、夏の日照時間はアメリカ合衆国本土の他地域に比べて総じて長い。；同属のシロダモとは形態的によく似ているが、総じてこちらが小型である。；総じて本誌の前半では科学的な報告記事を扱われ、後半では趣味的な記事を扱う。；そのため曲によって音質が異なり、また、総じて録音の状態は良くない。；総じてネズミ嫌いの人・ネコ以外の動物に対しては好かれる傾向にある。；時刻はそろそろ夕方で、総じて状況は、あまり感心したものではない。；穀倉地帯と言われるように穀類の生産が総じて多いのが特徴である。；第6回毎日芸術賞の文学部門賞も受賞し、総じて高い評価となっている。；偽足の大きさは減少し、形態学的にも総じて粗雑化・単純化していた。；各話ごとにタイトルが異なり、それらを総じて片道切符シリーズと呼ぶ。</t>
        </is>
      </c>
      <c r="J4780">
        <f>HYPERLINK("https://www.weblio.jp/content/総じて", "词义详情")</f>
        <v/>
      </c>
      <c r="K4780">
        <f>HYPERLINK("https://yourei.jp/総じて", "查看例句")</f>
        <v/>
      </c>
    </row>
    <row r="4781">
      <c r="A4781" t="inlineStr">
        <is>
          <t>操縦</t>
        </is>
      </c>
      <c r="B4781" t="inlineStr">
        <is>
          <t>成功</t>
        </is>
      </c>
      <c r="C4781" t="inlineStr">
        <is>
          <t>読み方：そうじゅう
［名］(スル)
１人を思いどおりにあやつること。「部下の—法」
２航空機や大型機械を動かすこと。「旅客機を—する」</t>
        </is>
      </c>
      <c r="D4781" t="inlineStr">
        <is>
          <t>操縦する(11%)；操縦性(6%)；操縦装置(4%)；操縦士(3%)；操縦技術(2%)</t>
        </is>
      </c>
      <c r="E4781" t="inlineStr">
        <is>
          <t>管理；左右；扱い；操作；制御</t>
        </is>
      </c>
      <c r="F4781" t="inlineStr">
        <is>
          <t>操縦安定性；操縦システム；操縦室；操縦資格；操縦法</t>
        </is>
      </c>
      <c r="G4781" t="inlineStr">
        <is>
          <t>操縦士；操縦桿；操縦室；操縦者；操縦手</t>
        </is>
      </c>
      <c r="H4781" t="n">
        <v>29</v>
      </c>
      <c r="I4781" t="inlineStr">
        <is>
          <t>物を何でもラジコンにして操縦機で操ることができることができる道具。；二二型の一部の機体は、後部席に操縦装置を付けた練習機に改造された。；練習飛行を始めるには航空身体検査のみで操縦練習許可証が発行される。；この事故もパイロットたちが自身の操縦技術を過信したことが原因とされた。；地図を操縦機にセットすれば、自動操縦で目的地へ送り込むことも可能。；車両の操縦性や安定性が大きく損なわれることに大きな注意が必要である。；胴体の延長に合わせ、操縦系統のソフトウェアに若干の修正が加えられた。；操縦は、機械を操り、自分の意図した方向や場所に移動させることを言う。；なお自衛隊の操縦士だけでなく海上保安庁も同じ基準を使用している。；使用時は、前もって行き先のルートを示す地図を操縦機に入れる必要がある。；装着者は自分が戦闘機を実際に操縦しているようにほぼ感じている。；操縦する機構はなく、数回の飛行を行なったあと、実験はとりやめられた。；操縦装置は4重のアナログ式フライ・バイ・ワイヤ方式を採用している。；完全な密封型で、内部の操縦席からスクリーンで視界を得つつ操縦する。；パイロットは常にこれを念頭に置いて機体を操縦する必要がある。；飛行記録からするとオーヴィルの方が操縦に長けていたようである。；各種操縦・管制機器もほとんどがコア・ファイターに搭載されている。；だが問題は、その操縦ができるパイロットがもはや軍に残っていなかったことだった。；但し、自衛隊では運転とは表現せず寧ろ車両操縦又は操縦と表現される。；操縦系統は油圧式だが、被弾を考慮し電気式操縦系統も設けられている。；しかし動翼が大型化したことで予備系の操縦索は非常に重くなったという。；上に乗って遊んだり、ハンドルで飛行機のように操縦したりできる。；熱気球を操縦する人は他種の航空機同様に「パイロット」と呼ばれる。；自動車及び自転車などについては通常はと言い、基本的に操縦とは表現しない。；人が乗れるほどのサイズで、実際に乗って操縦し、空を飛ぶことができる。；人体と精神の不安定さを解決するために導入された操縦インターフェイス。；ボイラーの両側面には前部の操縦室と後部の機関室をつなぐ通路がある。；それでもめげずに年齢的に最後となる操縦練習生を受験して合格。；また操縦手を前方寄りに配置できるため、操縦性の向上にも一役買っている。</t>
        </is>
      </c>
      <c r="J4781">
        <f>HYPERLINK("https://www.weblio.jp/content/操縦", "词义详情")</f>
        <v/>
      </c>
      <c r="K4781">
        <f>HYPERLINK("https://yourei.jp/操縦", "查看例句")</f>
        <v/>
      </c>
    </row>
    <row r="4782">
      <c r="A4782" t="inlineStr">
        <is>
          <t>装飾</t>
        </is>
      </c>
      <c r="B4782" t="inlineStr">
        <is>
          <t>成功</t>
        </is>
      </c>
      <c r="C4782" t="inlineStr">
        <is>
          <t>読み方：そうしょく
［名］(スル)飾ること。美しく装うこと。また、その装い・飾り。「店内を—する」</t>
        </is>
      </c>
      <c r="D4782" t="inlineStr">
        <is>
          <t>装飾的(5%)；装飾性(3%)；装飾用(2%)；装飾画(2%)；装飾物</t>
        </is>
      </c>
      <c r="E4782" t="inlineStr">
        <is>
          <t>デザイン；模様；パターン；飾り；化粧</t>
        </is>
      </c>
      <c r="F4782" t="inlineStr">
        <is>
          <t>豪華な装飾；内部装飾；華美な装飾；美しい装飾；派手な装飾</t>
        </is>
      </c>
      <c r="G4782" t="inlineStr">
        <is>
          <t>装飾的；装飾写本；装飾音；装飾古墳；装飾美術</t>
        </is>
      </c>
      <c r="H4782" t="n">
        <v>29</v>
      </c>
      <c r="I4782" t="inlineStr">
        <is>
          <t>最も知られているのは中世の装飾本の挿絵の彩色に使われたものである。；その後両編成は下記の通り装飾が変遷し、イベントなどにも使用された。；中には装飾に耳たぶを伸ばして大きくする目的を持たせた文化圏もある。；多くの施設は装飾され、また多くの場合教会内に個人の墓が作られた。；また装飾とは別に武器が持つ一種の機能美に美術的価値が見出される。；朝香宮邸の装飾を担当したアーティストとその作品は以下のとおりである。；複雑な装飾はこの中心部に集中し、他はすっきりした線で構成されている。；角はナイフの柄などに使用され、実用性・装飾性の両方に優れている。；レースが装飾的なものに変化したのは、16世紀に入ってからである。；このような装飾用のガラス球は風見鶏にも使われていたものである。；しかし、このような子供文化的な装飾を取り去った子供用学習机もある。；これらは女性と様式化された装飾の組み合わせが特徴的である。；駅舎入口の駅名標やホームでは竹をイメージした装飾が施されている。；モリス商会を設立し、装飾された書籍やインテリア製品などを製作した。；この町の建築物や装飾物の多くははっきりと分かるスウェーデン様式である。；大装飾画のために建てた高さ15メートルの巨大なアトリエであった。；屏上は表の場合と裏の場合があるが、表の場合は装飾が施されている。；車両代替により、屋根上の装飾を廃止した簡易改造の車両が増えている。；柄は長さ120センチメートルで、装飾された樺の樹皮で包まれていた。；装飾が質素なことは、上古の日本建築の様式を固定化したためといえる。；さらに狩った首の数が多ければ、特別な衣服や装飾をつける権利を得る。；人類の歴史上、身体の装飾行為がいつ始まったのかは定かではない。；また、文字の中に物語の一場面を取り込んだ装飾文字も現れるようになった。；トイレは敷き詰められたタイルで装飾され、中央には泉が湧き出ている。；なお、類似の装飾は中世後期のものがトスカーナには多く現存している。；屋根瓦の固定に使われている漆喰は、建物の装飾にも使用されている。；このような響板装飾はイタリアの楽器には見られない特徴である。；この時にジュスター広場に面した破風はネオゴシック様式に装飾された。；装飾の内容や装飾の続く期間はバージョンや年度ごとに若干違う。</t>
        </is>
      </c>
      <c r="J4782">
        <f>HYPERLINK("https://www.weblio.jp/content/装飾", "词义详情")</f>
        <v/>
      </c>
      <c r="K4782">
        <f>HYPERLINK("https://yourei.jp/装飾", "查看例句")</f>
        <v/>
      </c>
    </row>
    <row r="4783">
      <c r="A4783" t="inlineStr">
        <is>
          <t>送信</t>
        </is>
      </c>
      <c r="B4783" t="inlineStr">
        <is>
          <t>成功</t>
        </is>
      </c>
      <c r="C4783" t="inlineStr">
        <is>
          <t>読み方：そうしん
［名］(スル)信号を送ること。特に、電気信号を遠方に送ること。「緊急信号を—する」「メールを—する」⇔受信。</t>
        </is>
      </c>
      <c r="D4783" t="inlineStr">
        <is>
          <t>送信する(19%)；送信される(6%)；送信機(3%)；送信者(3%)；送信側(3%)</t>
        </is>
      </c>
      <c r="E4783" t="inlineStr">
        <is>
          <t>伝承；伝達；発信；伝播；トランスミッション</t>
        </is>
      </c>
      <c r="F4783" t="inlineStr">
        <is>
          <t>送信設備；送信塔；送信用；送信器；データ送信</t>
        </is>
      </c>
      <c r="G4783" t="inlineStr">
        <is>
          <t>送信機；送信先；送信出力；送信局；送信可能化権</t>
        </is>
      </c>
      <c r="H4783" t="n">
        <v>29</v>
      </c>
      <c r="I4783" t="inlineStr">
        <is>
          <t>このため、通信や放送などの長距離の情報送信に使用されることが多い。；受信側ではなく送信側への対策として、以下のようなものが考えられる。；一部のオプションは SYN がセットされているときだけ送信される。；年に数回、送信施設の大規模なメンテナンスがある週は放送休止になる。；その内容は「成功した」と三回連続したものであり、反復送信していた。；スパム送信者も同様に、有効なアドレスを識別するために利用している。；電波の放送では送信局は一回送信しているだけで、それと同様である。；設備規則第14条に、送信設備の種別毎に上限と下限が設定されている。；あくまで取材拠点であり、フジテレビの放送を送信する施設等はない。；接続された複数の端末がほぼ同時に送信を行った場合、データが損失する。；また、送信した符号を記憶・再生するメモリ機能を備えていることが多い。；したがって、特別記念局からの送信は希少価値が非常に高いと言える。；直接相手に送信するのではなく、別のMTAに送られる場合もある。；クラスはバイトの送信元または廃棄先を表現するファイル記述子である。；また陸上からの単方向通信であり、潜水艦からの送信は不可能である。；標準電波は原子時計を使い、正確な周波数と時刻の情報を送信している。；この報告は全艦隊に送信され日本軍にとっての貴重な情報になった。；通信方向を切り替えて使用するもので、送信・受信を同時にできないもの。；この他、国内線の一部の航空機内でもラジオ第1放送が再送信される。；ただし両者は電波の送信場所が異なるため、受信可能な区域も当然異なる。；送信を行っていた当時の浜松中継局の設備概要は次のとおりである。；別々の信号線で送信されたデータ信号と同期信号を利用し同期を行うものである。；男は関東総合通信局から二度も警告されていたがこれを無視して送信を続けていた。；送信者をブロックするか今後のメッセージを切り捨てるか判断をしなければならない。；これは例えばファイル転送のような一定の送信が要求される場合に問題となることがある。；したがって都道府県単位あたり複数の送信アンテナを立てる必要がある。；県外では以下のケーブルテレビでテレビが再送信されている。；このシステムでは登下校情報を保護者宛てに電子Eメールが送信される。；送信側がネットワーク内でデータが失われたと判断した場合、データの再送を行う。</t>
        </is>
      </c>
      <c r="J4783">
        <f>HYPERLINK("https://www.weblio.jp/content/送信", "词义详情")</f>
        <v/>
      </c>
      <c r="K4783">
        <f>HYPERLINK("https://yourei.jp/送信", "查看例句")</f>
        <v/>
      </c>
    </row>
    <row r="4784">
      <c r="A4784" t="inlineStr">
        <is>
          <t>増進</t>
        </is>
      </c>
      <c r="B4784" t="inlineStr">
        <is>
          <t>成功</t>
        </is>
      </c>
      <c r="C4784" t="inlineStr">
        <is>
          <t>読み方：ぞうしん
［名］(スル)物事の勢いなどがいっそう激しくなること。また、激しくすること。「食欲が—する」「学力を—する」⇔減退。</t>
        </is>
      </c>
      <c r="D4784" t="inlineStr">
        <is>
          <t>増進する(15%)；増進させる(4%)；増進事業；増進剤；増進作用</t>
        </is>
      </c>
      <c r="E4784" t="inlineStr">
        <is>
          <t>発展；増加；向上；発達；伸び</t>
        </is>
      </c>
      <c r="F4784" t="inlineStr">
        <is>
          <t>福祉増進；維持増進；能率増進；保持増進；利便増進</t>
        </is>
      </c>
      <c r="G4784" t="inlineStr">
        <is>
          <t>増進会；増進堂；増進堂・受験研究社</t>
        </is>
      </c>
      <c r="H4784" t="n">
        <v>29</v>
      </c>
      <c r="I4784" t="inlineStr">
        <is>
          <t>道路等の公共施設の能力に対応した機能の維持と増進を図る狙いがある。；健康の維持や増進はもともとは東洋医学が得意としている分野である。；国際親善の増進と会員相互の親睦、知識の交換を図ることを目的とする。；ところで相手がそうした態度に出ると、私のいやけは急に増進するのです。；コンスタンティノープルへの旅行は彼の宗教的知識の増進につながった。；かくの如くして始めて各自の仕事はその人の幸福を増進するものとなるであらう。；この政策は運輸量と収入を大幅に増進させたが、長くは続かなかった。；ドイツ語から日本語への翻訳を増進する目的で設立された。；この機構は、期待の神経経路を増進することによるものと考えられている。；会は、子どもの福祉を増進するための継続的な事業を展開することはなかった。；五 農業専用物品の生産、流通及び消費の増進、改善及び調整を図ること。；素顔を晒したら食欲が増進しただけに思えるが、それがお前の超能力か?；健康に関する信頼できる情報の提供と、健康の増進が主目的である。；従ってここからは、民衆の物質的福利を増進する一切の努力は生まれない。；相手国の国益を増進させるほど魅力的な国ではないということだ。；その維持増進が国民生活の安定になるというのは、少し変である。；首都大学東京の協定校の増進等、大学の国際展開に向けて活動を行っている。；今日の時局は生産の面のみでなく、消費の面に於ても能率の増進を要求してゐます。；この増進は、農業及び産業の発達と種痘の実施とに、帰せられている。；献辞には「我が作品の評価と増進への深き感謝と共に」と書かれている。；鉄道管理局の組織は、働く人の責任感と働く喜びを増進する目的を持っていた。；自由主義は個人の自由を過度に侵害せずに健康を増進するように努力した。；ヤマトはハイドロコスモジェン砲で太陽の核融合異常増進を停止させる。；合併後の外国租界は、管轄地域がかなり拡大し、その行政能力も大きく増進した。；これは加盟国相互の関係を増進させる目的で創設された。；二 茶の生産、流通及び消費の増進、改善及び調整を図ること。；またチャウシェスクは労働力の確保のため人口大増進政策をすすめた。；われわれは、この両者を増進することを目的としている。；米国では集中力増進を目的としたビデオゲームを用いた療法もある。</t>
        </is>
      </c>
      <c r="J4784">
        <f>HYPERLINK("https://www.weblio.jp/content/増進", "词义详情")</f>
        <v/>
      </c>
      <c r="K4784">
        <f>HYPERLINK("https://yourei.jp/増進", "查看例句")</f>
        <v/>
      </c>
    </row>
    <row r="4785">
      <c r="A4785" t="inlineStr">
        <is>
          <t>増税</t>
        </is>
      </c>
      <c r="B4785" t="inlineStr">
        <is>
          <t>成功</t>
        </is>
      </c>
      <c r="C4785" t="inlineStr">
        <is>
          <t>読み方：ぞうぜい
［名］(スル)税率を上げるなどして税額をますこと。「物品税を—する」⇔減税。</t>
        </is>
      </c>
      <c r="D4785" t="inlineStr">
        <is>
          <t>増税案；増税反対；増税法案；増税路線；増税分</t>
        </is>
      </c>
      <c r="E4785" t="inlineStr">
        <is>
          <t>増徴</t>
        </is>
      </c>
      <c r="F4785" t="inlineStr">
        <is>
          <t>たばこ税増税；大増税；再増税；臨時増税</t>
        </is>
      </c>
      <c r="G4785" t="inlineStr">
        <is>
          <t>増税派；増税問題</t>
        </is>
      </c>
      <c r="H4785" t="n">
        <v>29</v>
      </c>
      <c r="I4785" t="inlineStr">
        <is>
          <t>然らばこの次に来るところのものは増税かはた国債かの二つに出でない。；増税という条件付きでなければ、何としてもこれを実行する訳に行かぬ。；公債を発行すればその時点での税負担は無いが将来に増税が待っている。；まず一般的に考えられる農民への増税は、一関藩の場合は不可能だった。；境界付近には、増税を避けるために大ロンドンに入らない地域もあった。；もしそうでないというなら、これはただの増税反対説にしか過ぎないだろう。；景気が悪い時に増税して、財政再建が成功した例は世界的に見てもない。；しかし財政難の解決方法として主に採用した対策はやはり増税であった。；その増税の影響についてはエコノミストらの間で議論が継続している。；増税しないと言ったが経済成長したので、どの政権よりも財政再建ができた。；この消費税増税は、消費をより低迷させる一要因となるものと推測された。；一九八八年、ブッシュ候補は決して増税をしないと公約して当選した。；国防の充実で待っていたのは増税による国民の苦しみだったのである。；人々は将来の増税を見越して現在の消費を少なくするであろう。；煙草の増税で二千万円ばかり収入があったそうだが、七割はバットだってね。；というのも、いずれもスペインの増税と貿易制限の影響を受けたためであった。；大幅な増税が必要な財政状況になり、民衆は多くの不満を抱いた。；「ここまでをやって増税をお願いするのが政治の筋道だ」と強調した。；して見ればインフレ政策にも増税策にも終局的には反対し得ない計算になるのである。；景気悪化状況での経済対策には財源が必要であり、増税が不可避であった。；その集会で自分の提案する教育計画と可能性ある増税との問題を分けるようにした。；日銀・政府が実行してきたことは、消費税増税を除いてはすべて歓迎する。；増税はむしろ税収の減少を通じて財政状況を悪化させる可能性がある。；それによって増税しなくても新たに5億ドルの歳入を州が得られると主張した。；今度の予算がこのままで確定されたならば、少なくとも一億五千万円の増税がなければならぬ。；ベッシャーもブラウンも、相手が当選した場合には増税するだろうと主張した。；続いて年貢増備政策は限界に達していたために年貢以外からの増税政策を試みた。；例えば徴税は主に銀で行われ、銭貨で見ると実質的な増税となった。；税金は30年間有効であり、郡政委員会によって増税できる規定もある。</t>
        </is>
      </c>
      <c r="J4785">
        <f>HYPERLINK("https://www.weblio.jp/content/増税", "词义详情")</f>
        <v/>
      </c>
      <c r="K4785">
        <f>HYPERLINK("https://yourei.jp/増税", "查看例句")</f>
        <v/>
      </c>
    </row>
    <row r="4786">
      <c r="A4786" t="inlineStr">
        <is>
          <t>造船</t>
        </is>
      </c>
      <c r="B4786" t="inlineStr">
        <is>
          <t>成功</t>
        </is>
      </c>
      <c r="C4786" t="inlineStr">
        <is>
          <t>読み方：ぞうせん
［名］(スル)船を建造すること。「タンカーを—する」</t>
        </is>
      </c>
      <c r="D4786" t="inlineStr">
        <is>
          <t>造船所(15%)；造船技術(5%)；造船工場(2%)；造船技師(2%)；造船事業</t>
        </is>
      </c>
      <c r="F4786" t="inlineStr">
        <is>
          <t>海軍造船；造船メーカー；林兼造船；造船ドック；造船術</t>
        </is>
      </c>
      <c r="G4786" t="inlineStr">
        <is>
          <t>造船業；造船会社；造船疑獄；造船学；造船科</t>
        </is>
      </c>
      <c r="H4786" t="n">
        <v>29</v>
      </c>
      <c r="I4786" t="inlineStr">
        <is>
          <t>この州の紋章を制定したときの主要産業であった造船産業を表している。；従って政治判断が働けば不利であることは造船業界でも認識されていた。；また海軍以外には銀行と造船・海運・漁業などの会社がいくつか存在する。；かつては自動車や航空機のエンジンの製造、造船なども活発に行っていた。；古代の森林破壊は、開墾の他に建築や造船のための伐採も原因となった。；造船者は製造前に船の絵を描き、地面の上で1から造り上げていった。；これは数世紀前から造船のために木が切り出されてきた結果である。；現在の主力事業は環境・プラント事業であり、造船事業からは撤退している。；本型は、セヴェロドヴィンスク市の第402造船所で6隻が建造された。；旧海軍の造船官の中にも堀元美のように海人社と袂を分かった者がいた。；主要な産業は炭鉱で、造船も行われるが、かつてのような勢いはない。；それより先、経営難になる以前から造船以外の製品も製造していた。；この工法が造船の主力工法となったのは、第二次世界大戦を契機とする。；クライド湾はクライド川のように歴史的に重要な造船の中心地である。；造船所には珍しく施設内に史跡があるのもこの造船所の特徴でもある。；シアトルはアラスカとの主要貿易港であり、一時は大きな造船業を有した。；高麗は侵攻計画が中止となったことを受けると、造船、徴兵を停止させた。；羅津造船所で建造されたことから、東海艦隊所属であると推定される。；前身の新潟鐵工所造船工場時代から、おもに漁船を中心に建造している。；そこには海産物の加工場や、造船および修理場もあったことがわかっている。；長年にわたって西部造船所のために多くのウォーターフロントが開発された。；強みを持つフェリーなどを強化して苦戦する造船事業の再建を目指す。；物資も豊かになり、次第に風光明媚な造船都市・観光都市へと復活した。；祖父のジョン・ヘンズロー卿はナポレオン戦争時代の造船技師であった。；旅客の増加により、輸送力の増加のために大型の新造船が建造された。；古くはタバコ貿易、20世紀前半までは造船を主とした製造業で発展した。；造船に関連し造船用の鉄板加工や機械などの工場も多く立地している。；また、日本の造船がリードしたことでイギリスの造船業は困難に直面した。；以前は捕鯨の基地が置かれていたが、現在は海岸の町は漁業や造船に従事している。</t>
        </is>
      </c>
      <c r="J4786">
        <f>HYPERLINK("https://www.weblio.jp/content/造船", "词义详情")</f>
        <v/>
      </c>
      <c r="K4786">
        <f>HYPERLINK("https://yourei.jp/造船", "查看例句")</f>
        <v/>
      </c>
    </row>
    <row r="4787">
      <c r="A4787" t="inlineStr">
        <is>
          <t>創造</t>
        </is>
      </c>
      <c r="B4787" t="inlineStr">
        <is>
          <t>成功</t>
        </is>
      </c>
      <c r="C4787" t="inlineStr">
        <is>
          <t>読み方：そうぞう
［名］(スル)
１新しいものを初めてつくり出すこと。「文化を—する」「—的な仕事」「—力」
２神が宇宙・万物をつくること。「天地—」</t>
        </is>
      </c>
      <c r="D4787" t="inlineStr">
        <is>
          <t>創造する(10%)；創造的(8%)；創造性；創造される；創造しよ</t>
        </is>
      </c>
      <c r="E4787" t="inlineStr">
        <is>
          <t>設置；建設；設立；製造；制作</t>
        </is>
      </c>
      <c r="F4787" t="inlineStr">
        <is>
          <t>文化創造；知識創造；価値創造；芸術創造；未来創造</t>
        </is>
      </c>
      <c r="G4787" t="inlineStr">
        <is>
          <t>創造的；創造力；創造主；創造者；創造神</t>
        </is>
      </c>
      <c r="H4787" t="n">
        <v>29</v>
      </c>
      <c r="I4787" t="inlineStr">
        <is>
          <t>科学が理解される以前は、神が宇宙を創造したと考えるのが自然であった。；新しいものを創造することは、革命と無政府共産主義の両方を提唱した。；芸術パトロネージュは、特に宗教芸術の創造には重要な役割を果たした。；再創造の際、恐竜を含む管理なく生存できない生物は復活させなかった。；この手法は更に管理的で不変の破片の創造を認めることで効率を上げた。；かつて人間に科学の力で創造されたが、事故で見捨てられた旨を語る。；神の創造の第四の創造は植物、第五は動物、そして最後が人間であった。；文芸や芸術創造活動と人の精神的な問題とのかかわりに関心を持った。；そして技術教育のみに偏らない表現教育をも重視する自由な創造空間である。；プレトンは宇宙の創造は完全であり、時間の外にあると説明している。；彼らの惑星では事故により生命創造に関する実験が禁止されたからである。；文字は思考・創造の武器として民族に多大な影響を与えたものはなかった。；機能的でフレンドリーな方法で都市を創造する努力がなされてきた。；主に創造者であるブロックの作品に登場し、加えて他作家の作品でも使用される。；この愛とは、神がそのように創造した世界を受け入れることと言ってもよい。；その中で中国とヨーロッパの知識を創造することの疑問について議論している。；そして新たに生まれる世界では創造の神として生まれ変わるとされている。；肉体の発達の初期段階に、神が直接創造した霊魂が肉体に注入される。；クリストファはその後も中つ国創造の背景資料の刊行を意欲的に続けた。；そして、神が世界を創造することを望んだときに子が生まれた、と書いている。；それまで重視されていた創造された自然の価値とこの世の自立性を彼は低く評価した。；つまり世界を創造したのは神だとはせず、なにかの知的な存在だとするのである。；多くの人物がインディアナ・ジョーンズの創造に影響を与えたと言われている。；優れた伝統の継承と個性の創造を強調して、その作品で実証してみせている。；彼らは世界を創造したと言われる神話上の家族エネアドを形成した。；多くの場合、天空神は宇宙の創造以外には積極的な役割を果たさない。；マーケティングは、高度なデータ駆動型の過程を創造的に発展させてきた。；彼らは暴力と戦争を、国家の再生や精神や活力を創造する行動であるとみる。；いわゆる伝統的な祭りではなく、市民創造型の新タイプの祭りとして始まった。</t>
        </is>
      </c>
      <c r="J4787">
        <f>HYPERLINK("https://www.weblio.jp/content/創造", "词义详情")</f>
        <v/>
      </c>
      <c r="K4787">
        <f>HYPERLINK("https://yourei.jp/創造", "查看例句")</f>
        <v/>
      </c>
    </row>
    <row r="4788">
      <c r="A4788" t="inlineStr">
        <is>
          <t>想像</t>
        </is>
      </c>
      <c r="B4788" t="inlineStr">
        <is>
          <t>成功</t>
        </is>
      </c>
      <c r="C4788" t="inlineStr">
        <is>
          <t>読み方：そうぞう
［名］(スル)実際には経験していない事柄などを推し量ること。また、現実には存在しない事柄を心の中に思い描くこと。「—をたくましくする」「—上の動物」「縄文人の生活を—する」「—したとおりの結果になる」</t>
        </is>
      </c>
      <c r="D4788" t="inlineStr">
        <is>
          <t>想像する(12%)；想像できる(3%)；想像以上(2%)；想像力；想像上</t>
        </is>
      </c>
      <c r="E4788" t="inlineStr">
        <is>
          <t>思う；考える；イメージ；予想；推定</t>
        </is>
      </c>
      <c r="F4788" t="inlineStr">
        <is>
          <t>御想像；勝手な想像；想像いただけよ；想像しうるかぎり；想像できよ</t>
        </is>
      </c>
      <c r="G4788" t="inlineStr">
        <is>
          <t>想像妊娠；想像界；想像の共同体；想像上の友人；想像上の友達</t>
        </is>
      </c>
      <c r="H4788" t="n">
        <v>29</v>
      </c>
      <c r="I4788" t="inlineStr">
        <is>
          <t>想像のなかでパパ・ペンギンが訪問する様々な土地を次々に歌って行く。；白亜紀に行ったが、我々が想像しているような恐竜の世界ではなかった。；アリエルは自分が想像していた悪魔とあまりにも違う姿形であることに驚く。；落雷に驚いて木から落ちたモモンガなどから想像されたともいわれている。；想像するに脚本の意図は少し違っていたんじゃないでしょうか。；ただしこの構造は外見上からの想像に過ぎず、はっきりと分かっていない。；想像されたような激しい競り合いもなく淡々とレースは流れ直線を迎えた。；しっかり者の外見からは想像もつかない天然ぶりをしばしば発揮している。；僕からすれば、ブルーハーツに出会わない人生は想像できないんですよ。；コップを叩き落した男は、保護服を着て惑星の表面に立つことを想像した。；それは、彼を想像する時、経済と恋愛を考えなかったのが原因だと思います。；こんなタイプの主人公を想像することは、もうだれにもできやしない。；想像した物が食べ物であれば本物と同じ味や匂いもし、食べることもできる。；ただし、丁は降伏せずに自殺しており、この絵は想像で描かれたもの。；これは実際のシマリスが兄弟で暮らす習性ゆえであり血縁を想像させた。；トンプソンはこの人物を「長い間、鏡を見ていない人」と想像していた。；エンジニアはアメリカでどんな素晴らしい生活が待っているのか想像する。；そこで、これと沈降説を重ね合わせると、次のような経過が想像される。；高熱を出したりすると死ぬのではなどと想像するのも不安に思っている状態である。；ギリシア人は彼らより昔の人々はオークの木の実を食べていたと想像した。；人はコンピュータなしで今日複雑なシステムの研究を想像することができなかったのである。；長い尾を持ち、全体的に見てイヌの遠い親戚のような外観を想像される。；まして壁の建設は想像してもまず不可能という判断で思いも寄らなかった。；その暗い死の国を想像しながら作曲されたと思われる。；肖像画が描かれたのは1567年が最初で、ほぼ想像に基づいている。；現在の緑豊かな六甲山からは想像もできない全山はげ山の姿であった。；鼻行類は、同名の書籍に掲載された、想像上の生物である小獣の一群。；金星人は、かつて金星に住んでいると想像されていた知的生命体である。；当然この地域の羊飼いたちもトリパノソーマ症にかかっていたと想像される。</t>
        </is>
      </c>
      <c r="J4788">
        <f>HYPERLINK("https://www.weblio.jp/content/想像", "词义详情")</f>
        <v/>
      </c>
      <c r="K4788">
        <f>HYPERLINK("https://yourei.jp/想像", "查看例句")</f>
        <v/>
      </c>
    </row>
    <row r="4789">
      <c r="A4789" t="inlineStr">
        <is>
          <t>騒々しい</t>
        </is>
      </c>
      <c r="B4789" t="inlineStr">
        <is>
          <t>成功</t>
        </is>
      </c>
      <c r="C4789" t="inlineStr">
        <is>
          <t>読み方：そうぞうしい
［形］［文］さうざう・し［シク］
１物音や人声が多くてうるさい。さわがしい。「室内が—・い」
２大きな事件が続いて起こるなどして落ち着かない。不穏である。「世間が—・くなる」
[派生]そうぞうしげ［形動］そうぞうしさ［名］</t>
        </is>
      </c>
      <c r="D4789" t="inlineStr">
        <is>
          <t>騒々しい音(10%)；騒々しい物音(3%)；騒々しい声(2%)；騒々しい足音；騒々しい話し声</t>
        </is>
      </c>
      <c r="E4789" t="inlineStr">
        <is>
          <t>うるさい；不穏な；けたたましい；喧騒；やかましい</t>
        </is>
      </c>
      <c r="F4789" t="inlineStr">
        <is>
          <t>いつも騒々しい；騒々しい群集；騒々しい笑い声；騒々しい日々；騒々しい人声</t>
        </is>
      </c>
      <c r="H4789" t="n">
        <v>29</v>
      </c>
      <c r="I4789" t="inlineStr">
        <is>
          <t>ミリアムは二人の方をちょっと見て、その騒々しさを避けることにした。；それがあまりに滑稽なので、わたしの涙は急に騒々しい笑いに変わった。；しかしわたしのいわゆる騒々しさは、彼のいわゆる淋しさかもしれない。；こうして横山葵は、騒々しくも大変な毎日を送ることとなったのである。；当時の証言ではその作戦本部は騒々しい酒場や売春宿に喩えられていた。；そうして私は、東京の騒々しい日々の中で折に触れそれらの存在を確認する。；そうかと云ってあまり騒々しいぷろれたがり屋の酒呑み客も来なかった。；「この部屋に寿君がいるんです」 もっと騒々しい状態を想像していた。；通路をあがっていくと、騎馬の一団が北側の道路を騒々しくやってきた。；教室ではクラスメイトたちの騒々しさの陰にかくれて静かに生活していた。；このささやきが大声になり、ついにはあらしのような騒々しさに変った。；二階のカズエの部屋にいても家族たちの騒々しい声が聞こえてくる。；こっちでは田んぼが少ない影響か、別の虫の鳴き声が窓の外で騒々しい。；だが、それ等の運動は、いくら騒々しくても、たゞ海の表面だけの事だ。；ジャズの音はゆくての左のほうから、騒々しく聞こえてくるのである。；その騒々しい声が消えないうちに、アーノルドがドアをあけて入ってきた。；あの騒々しさは、人間の耳ではがまんできたものじゃございませんが。；パリはわくわく感で騒々しかったが、明らかにいつもと違う何かがあった。；「死んだ人でも起こしてしまうくらい騒々しいのね」 彼女が訴えた。；その騒々しさからそっとのがれて 心おきなく語ろうではありませんか。；ヨーロッパから帰るたびに私が痛感するのは、日本の騒々しさである。；そこいらが騒々しくなればなるほど葉子はたとえようのない平和を感じた。；そのため、ヘビを起こすために特別に騒々しい儀式を行う必要がある。；家族の半数以上が家にいる時は、なぜかいつも同じくらいの騒々しさだった。；彼女はいやらしくなるような騒々しい音を立てながら茸を食べてしまった。；しかし室内はもう騒々しく、どなるようにまくしたてる声が聞えていた。；普段はこんな風に扉が開いてから3秒以内には騒々しくなるのだ。；社長室を出て、騒々しい編集局の中を歩きながら、幸徳秋水は頭をかいた。；静かなのと騒々しいのと、私は、どちらであるのか判断がつかない。</t>
        </is>
      </c>
      <c r="J4789">
        <f>HYPERLINK("https://www.weblio.jp/content/騒々しい", "词义详情")</f>
        <v/>
      </c>
      <c r="K4789">
        <f>HYPERLINK("https://yourei.jp/騒々しい", "查看例句")</f>
        <v/>
      </c>
    </row>
    <row r="4790">
      <c r="A4790" t="inlineStr">
        <is>
          <t>相続</t>
        </is>
      </c>
      <c r="B4790" t="inlineStr">
        <is>
          <t>成功</t>
        </is>
      </c>
      <c r="C4790" t="inlineStr">
        <is>
          <t>読み方：そうぞく
［名］(スル)
１家督・地位などを受け継ぐこと。跡目を継ぐこと。「宗家を—する」
２法律で、人が死亡した場合に、その者と一定の親族関係にある者が財産上の権利・義務を承継すること。現行民法では財産相続だけを認め、共同相続を原則とする。</t>
        </is>
      </c>
      <c r="D4790" t="inlineStr">
        <is>
          <t>相続する(16%)；相続人(3%)；相続者(2%)；相続争い；相続問題</t>
        </is>
      </c>
      <c r="E4790" t="inlineStr">
        <is>
          <t>継承；家督；後継；遺産；継ぐ</t>
        </is>
      </c>
      <c r="F4790" t="inlineStr">
        <is>
          <t>跡目相続；女子相続；財産相続；単独相続；男子相続</t>
        </is>
      </c>
      <c r="G4790" t="inlineStr">
        <is>
          <t>相続権；相続税；相続財産；相続法；相続制</t>
        </is>
      </c>
      <c r="H4790" t="n">
        <v>29</v>
      </c>
      <c r="I4790" t="inlineStr">
        <is>
          <t>民間所有のものを私奴婢と言い、子孫に相続させることが可能であった。；また、受遺者には相続の場合と同様に欠格事由がないことも必要である。；山岳派への支援を得ながらが相続の制限を提案した立法委員会も形成した。；最初の問題は、彼自身が父から権力を相続することに関する問題だった。；父は義門が生まれる5日前に死去していたため、1歳で家督を相続した。；父王から相続した豊かな富は、宮廷での奢侈と豪奢な建築に費やされた。；これは内藤家歴代藩主の中で、家督が父子相続された唯一の例である。；これらの荘園はいくつかのグループに分けられ、別々に相続されていった。；国王といえども否定できない、国民が古来より相続してきた諸権利を確認した。；建設者の死後、息子のナタナエル・シュトゥーニケンがこの館を相続した。；生涯のパートナーであったダニエル・デフェールが彼の遺産を相続した。；受遺者は被相続人の相続開始時に生存している者でなければならない。；このため、母方の叔父である甘露寺親長の後見を受けて家督を相続する。；長男フランシスコは父の第3回航海に同行し、後に称号と財産を相続した。；なお後に母親からもスコットランド貴族爵位ネアーン卿を相続している。；歴代の国王は地理的な統合を求めて相続・侵略を繰り返していくことになる。；負債を相続したくないときに使われるが、現在あまり利用されていないとも言われる。；ただしスペイン人を父とする者の場合父親が認知すれば財産の相続も可能であった。；奴隷は自由身分に解放されることもあったが個人の所有物として相続の対象とされた。；死去に際して実子がなく、異母兄の斉荘が養子となって家督を相続した。；同年に父が死去し、越前国・若狭国・加賀国2郡123万石を相続した。；スコータイ王朝では商売の自由が認められ、故人の財産は全て子に相続された。；相続の承認・放棄をすべき期間には制限がある。；氏西が家督を相続した頃には、大垣藩の財政はかなり逼迫していた。；嫡男・光宗が正保2年に早世していたため、家督は六男の綱宗が相続した。；失踪宣告の重要な効果は死亡の擬制による婚姻の解消と相続の開始である。；このため、弟である頼職が跡を継ぐこととなり、6月に相続が認められた。；母の死で莫大な財産を相続したルイ・ナポレオンはロンドンの豪邸へ移住した。；惣長吏は僧名に「澄」の通字を用いて真弟相続の結縁的な世襲制であった。</t>
        </is>
      </c>
      <c r="J4790">
        <f>HYPERLINK("https://www.weblio.jp/content/相続", "词义详情")</f>
        <v/>
      </c>
      <c r="K4790">
        <f>HYPERLINK("https://yourei.jp/相続", "查看例句")</f>
        <v/>
      </c>
    </row>
    <row r="4791">
      <c r="A4791" t="inlineStr">
        <is>
          <t>そうだ</t>
        </is>
      </c>
      <c r="B4791" t="inlineStr">
        <is>
          <t>成功</t>
        </is>
      </c>
      <c r="C4791" t="inlineStr">
        <is>
          <t>［助動］［そうだろ｜そうだっ・そうで・そうに｜そうだ（そうな）｜そうな｜そうなら｜○］
１
㋐動詞・助動詞などの連用形、形容詞・形容動詞などの語幹に付き、語幹が1音節の形容詞には「さそうだ」、また助動詞「たい」「ない」に付くときは「たそうだ」「なそうだ」の形をとる。様態の意を表す。…というようすだ。今にも…するようなようすだ。「雨が降りそうだ」「彼はいかにもじょうぶそうだ」「自信がなさそうだ」
「後ニ難ノ起リサウナ事ヲバスルナ」〈天草本伊曽保・鳶と鳩〉
㋑体言、または活用語の連体形に付く。1㋐に同じ。
「最前から見ますれば旅のお人様さうなが、どちらからござんした」〈伎・吉祥天女安産玉〉
「おせきはどこにゐる。おれは死ぬるさうな」〈伎・夕霧七年忌〉
２活用語の終止形に付く。伝聞の意を表す。…ということだ。…という話だ。「手術後の経過がよいそうで安心した」「今日の試合は中止するそうだ」
「女郎も好(い)い男をすてて、醜夫(ぶをとこ)を見えにするさうだから」〈滑・浮世風呂・二〉
[補説]語源は、「さま（様）」の音変化、あるいは「相」の字音ともいう「そう」に断定の助動詞「だ」の付いたもの。1㋐の「そうだ」は室町末期から用いられ、古くは㋑のように体言や活用語の連体形にも付いて用いられた。一方、2の「そうだ」は江戸時代からみられるが、活用は連用（そうで・そうに）、終止（そうだ・そうな）、連体（そうな）の三形だけである。1・2とも会話文などでは、語幹に助詞「よ」「ね」「さ」を付けて「降りそうよ」「降るそうよ」などと用いることが多い。なお、1の終止形「そうな」は、室町・江戸時代に用いられたが、現代語でも古風な表現に用いられる。「そな」となる場合もある。</t>
        </is>
      </c>
      <c r="D4791" t="inlineStr">
        <is>
          <t>そうだそうですね</t>
        </is>
      </c>
      <c r="H4791" t="n">
        <v>29</v>
      </c>
      <c r="I4791" t="inlineStr">
        <is>
          <t>母も嬉しそうだったし祖母もいろいろ向うのことを聞いたことを云った。；出演者はみんなこれは面白い作品になりそうだと大変撮影に入れ込んだ。；あの人の前に出るとはじめから自由な気持で何んでもいえそうだけれども。；尚、六鬼衆達はかつて眠っていたそうだが、その詳細は語られていない。；おそらく僕が君に親切じゃなかったか、君が僕にはそうだったからだよ。；このままでは有力紙の中で日経だけがテレビを持てなくなりそうだった。；このジャンルには一家言ある人で原案にいいものがあると思ったそうだ。；すでにトウビョウの正体と唱えられているものは、蛇の卵であるそうだ。；子供の家の者もやはりそうだったが、それはもちろん当然のことでしょう。；雪に接している白い小さい唇が、彼等に何事かを叫びかけそうだった。；生前に「なるほどそうだったのかと思えるのが死の瞬間」と語っていた。；当選がきまったら「これでお二人とも安心だね」と言って帰ったそうだ。；医者もそうだし、警官も消防士もそうなのだから、作家もそうですよね?；まだそのころの日本の婦人はたいていは皆、そうだったらしいですよ。；一説によると、この頃2人は一度だけ喧嘩になりそうだったことがある。；僕に対しても君はそうだったし、約束を違えたことは一度もないらしい。；その本は一部のページを除いて真っ白だが、ノートではなさそうだった。；DVDの解説によると、カナダ訛りなども使ってみたことがあるそうだ。；よく見覚えておきなさいと、御自分でなさりながら、嬉しそうだったわ。；そのとき山上より望むと、無数の火光が谷間より上りくるを見るそうだ。；距離もぴったりだし、いい感じで逃げた時は馬自身も気持ちよさそうだ。；ロシアの人たちはすべての所有を賭し、生命を賭して働いたのだそうだ。；この旗を掲げた船は村上水軍に他の海賊などから守ってもらえたそうだ。；今までも常にそうだったし、これからもそうなのではないかと恐れています。；いくら多く作っても、知人たちに分配するにはまだ足りないそうだった。；その連れになっていた同志にもいつもそんな意味のことを言っていたそうだ。；そのような急激な変化は今も続いているが、常にそうだったわけではない。；最初の曲は単純な動作を繰り返すだけのもので、ぼくにもできそうだった。；コマのひとり相撲のように思えたあのころのぼくこそそうだったようだ。</t>
        </is>
      </c>
      <c r="J4791">
        <f>HYPERLINK("https://www.weblio.jp/content/そうだ", "词义详情")</f>
        <v/>
      </c>
      <c r="K4791">
        <f>HYPERLINK("https://yourei.jp/そうだ", "查看例句")</f>
        <v/>
      </c>
    </row>
    <row r="4792">
      <c r="A4792" t="inlineStr">
        <is>
          <t>相対</t>
        </is>
      </c>
      <c r="B4792" t="inlineStr">
        <is>
          <t>成功</t>
        </is>
      </c>
      <c r="C4792" t="inlineStr">
        <is>
          <t>読み方：あいたい
１当事者どうしがさし向かいで事をなすこと。「—で話をつける」
２対等であること。対等で事を行うこと。
「—よりも少し自分を卑下したお辞儀をした」〈有島・星座〉
３合意すること。互いに納得した上であること。
「男と—にて乳母に出でける」〈浮・織留・六〉
４連歌・俳諧で、前句に相対して同じ趣向で句をつけること。春に秋、山に野でつける類。相対付け。</t>
        </is>
      </c>
      <c r="D4792" t="inlineStr">
        <is>
          <t>相対的(31%)；相対する(13%)；相対化(5%)；相対位置(2%)；相対運動</t>
        </is>
      </c>
      <c r="E4792" t="inlineStr">
        <is>
          <t>対立；対抗；敵対；反目；対当</t>
        </is>
      </c>
      <c r="F4792" t="inlineStr">
        <is>
          <t>相対座標；挟んで相対；相対変位；相対モル質量；隔てて相対</t>
        </is>
      </c>
      <c r="G4792" t="inlineStr">
        <is>
          <t>相対式ホーム；相対式；相対性理論；相対論；相対速度</t>
        </is>
      </c>
      <c r="H4792" t="n">
        <v>29</v>
      </c>
      <c r="I4792" t="inlineStr">
        <is>
          <t>このように真理概念は特定の言語に相対的に定義されなければならない。；南北が絶対的な位置関係にあるのに対して東西は相対な位置関係にある。；絶対的な基準を定める場合もあれば、相対的な基準を用いる場合もある。；南北が絶対的な位置関係にあるのに対して東西は相対的な位置関係にある。；東西が相対的な位置関係にあるのに対して南北は絶対的な位置関係にある。；しかしながらこれらの相対的な重要性と正確な定義もまた変化する。；相対モードや相対間接モードのみを使ったプログラムは位置独立となる。；標準学力テストは個人の集団内での相対位置を評価することができる。；山の定義には、一定の周囲からの相対的な高さを用いることがある。；それらは、組になっているノード間での相対的な重要度を表している。；もっとも、両者の差異は相対的なものであることに注意が必要である。；この線は太陽から銀河系の中心までの相対距離と方向を表している。；結果として、観測者に対して相対運動する時計は進み方が遅れて見える。；接する物体どうしが直線相対運動を行う場合は転がり案内が有効である。；取引はeワラント・インターナショナルが提示した価格で行う相対取引。；こうした場合、感じている時間の速さに相対的な違いがあると言える。；しかし、この定義は競馬場の施設に依存する相対的な距離区分である。；しかし惑星間の相対的な質量の比率は を比較すればよく、精度は高い。；立体化学は、分子内の原子の相対的な空間配置を示すために使用される。；このうち享年は死亡時の年齢を表す漢語で相対的に新しい表現とされている。；同時に、何が複雑で何が単純なのかは相対的であり、その場その場で変化する。；彼の時代にも、彼と相対するようなマクタブや諸党派が存在していた。；もちろん「小さい」は相対的な言葉であり、その定義は文脈に依存する。；現代の真理概念は様々な形で修正を受け、相対的な傾向を強めている。；車内信号方式では、他の列車との相対的な距離の情報を常に受け取っている。；僕のここにいう意志とは天性というにあい対して用いたのである。；このような証明手法の特徴として「相対化」と呼ばれる性質の保存がある。；また相対した時に、双方同じ構えの時を相半身、異なる時を逆半身と言う。；線路が南北方向に走り、周辺の地域はほぼ東西に相対している。</t>
        </is>
      </c>
      <c r="J4792">
        <f>HYPERLINK("https://www.weblio.jp/content/相対", "词义详情")</f>
        <v/>
      </c>
      <c r="K4792">
        <f>HYPERLINK("https://yourei.jp/相対", "查看例句")</f>
        <v/>
      </c>
    </row>
    <row r="4793">
      <c r="A4793" t="inlineStr">
        <is>
          <t>早退</t>
        </is>
      </c>
      <c r="B4793" t="inlineStr">
        <is>
          <t>成功</t>
        </is>
      </c>
      <c r="C4793" t="inlineStr">
        <is>
          <t>読み方：そうたい
［名］(スル)会社や学校を定刻より早く退出すること。はやびけ。「病気で—する」</t>
        </is>
      </c>
      <c r="D4793" t="inlineStr">
        <is>
          <t>早退する(10%)；早退届(3%)；早退しよ</t>
        </is>
      </c>
      <c r="F4793" t="inlineStr">
        <is>
          <t>無断早退</t>
        </is>
      </c>
      <c r="H4793" t="n">
        <v>29</v>
      </c>
      <c r="I4793" t="inlineStr">
        <is>
          <t>なのに、井上くんてば、いきなり理由も言わずに早退しちゃったんだよ!；もともと頑健な彼が身体の故障で欠んだり、早退したようなことはない。；当初から予定されていた早退の理由は、銀行へ行く約束があったからだった。；中庭で意識を失って頭を打ったので、念のため早退して病院へ行くと言う。；遅刻するし早退するし、気に入らない授業には出ないみたいな奴だった。；わざと会社を早退して家に帰り、彼女の勤め先に電話を入れるのもいいわね。；今日は出てきたと思ったらすぐに例の放送に呼び出されてそのまま早退してしまう。；國子はこの事態をとっくに予想していたので、この日学校を早退した。；いつもより一時間早い十時に氷見子は頭痛がすると云って早退した。；学校を早退し、家へ戻ると、母が心配そうな顔で私を迎えました。；しばらくすると、レイヴンがやって来て、リディアは早退したと告げた。；早退したと言っていたが、どこへ行ってしまったのだろう。；約束をとり治夫は教授に届けて早退し、九段にある事務所を訪ねた。；病院へ行くための早退ならば、芝居のチケットを渡しても無駄だ。；急に早退したと聞いた大輔の様子を見に行くためである。；二回目は、背筋を痛めて練習を早退し、酒を飲んで帰った夜のことだ。；その男が突然、会社を早退して木を見に行くようになる。；私が伝言を頼んだ子は、もうとっくに知恵先生に早退を伝えているだろう。；仮病で早退するだろうかと思っていたが、そんなそぶりも見せない。；学園が違うのをいいことに、 示し合わせて早退してしまった不良の僕たちだ。；やはり昨夜のことで体がつらくて早退したのかもしれない、と。；親を交えずに話を聞く必要があると言われて、子供たちは学校を早退しなければいけなかった。；学校を早退したって、心配して先生からお電話があったわよ!；仕事にならないので、その日は早退させてもらいました。；また企業によっては選挙の日は投票のための遅刻や早退を認めている所もある。；しかし、出席人数を計算する際には、遅刻者と早退者を含んで考えるのが普通である。；梢が周囲に気兼ねする様子もなく早退するのは、彼女に友人が一人もいないこともある。；いずれは知られることだろうが、授業中に倒れて早退したことを家族にはしばらく内緒にしておきたかった。；あいにく私の早退をカバーするための代りの教師がいなかった。</t>
        </is>
      </c>
      <c r="J4793">
        <f>HYPERLINK("https://www.weblio.jp/content/早退", "词义详情")</f>
        <v/>
      </c>
      <c r="K4793">
        <f>HYPERLINK("https://yourei.jp/早退", "查看例句")</f>
        <v/>
      </c>
    </row>
    <row r="4794">
      <c r="A4794" t="inlineStr">
        <is>
          <t>壮大</t>
        </is>
      </c>
      <c r="B4794" t="inlineStr">
        <is>
          <t>成功</t>
        </is>
      </c>
      <c r="C4794" t="inlineStr">
        <is>
          <t>読み方：そうだい
［名・形動］規模が大きくてりっぱなこと。また、そのさま。「—な構想」「気宇—」
[派生]そうだいさ［名］</t>
        </is>
      </c>
      <c r="D4794" t="inlineStr">
        <is>
          <t>壮大なスケール(3%)；壮大な計画(2%)；壮大なる(2%)；壮大な構想；壮大な夢</t>
        </is>
      </c>
      <c r="E4794" t="inlineStr">
        <is>
          <t>大きい；立派；厳しい；見事；素晴らしい</t>
        </is>
      </c>
      <c r="F4794" t="inlineStr">
        <is>
          <t>壮大な伽藍；壮大な光景；壮大な風景；壮大な景観；壮大な建築</t>
        </is>
      </c>
      <c r="H4794" t="n">
        <v>29</v>
      </c>
      <c r="I4794" t="inlineStr">
        <is>
          <t>流路の最後の部分に近づくと南に向きを変え、壮大な峡谷の中を流れる。；またインド神話にインスパイアされた壮大な物語設定が用意されている。；この公園は小さいが3つの地域それぞれに壮大な風景が広がっている。；強い垂直線で埋められた画像は、高さと壮大さの印象を与える傾向がある。；クノッソスの新宮殿は、古宮殿よりもより壮大で巨大な建造物になった。；宮殿の建物はその後次々と拡張され壮大な宮殿となっていった。；通過していったそれの壮大な大門にはいくつも死体が横たわっている。；この壮大な上昇過程が最終的にどうなるかは述べられていない。；ピアノは地面に直接置かれており、壮大な自然環境と音楽を共鳴させている。；前作までとは異なり二作を跨ぐ壮大な物語が展開されるのが特徴。；プロデューサーの也によれば本作は壮大なRPGごっこのゲームである。；いずれも、ジャケットには壮大なネギ畑で撮影された写真が使われている。；防波堤は現在、かつての壮大なサーフ地点の中心を通って右に切れていく。；独力では果たせなかったものの学問の壮大な体系化を構想していた。；北欧よりの壮大な音楽を監督が望んだため打楽器の音が多い音楽となっている。；初恋の女性を51年9ヶ月と4日待ち続けた男の壮大な愛の顛末を描く。；と記載されており、「仏の国」と言わしめる程の壮大なものであった。；州都にはより空間があり、より壮大なものにするものを追加する案を描いていた。；残った物と言えばイオニア式円柱や古式ゆかしい壮大な教会位であった。；父のような立派な騎士になることを夢見る少年ルイが織りなす壮大な物語。；北を向けば、国立公園である月出山の壮大雄偉な山容が目の前に広がる。；主な作業は1508年に始まり、1515年までに壮大な建物が完成した。；ラファエロの葬儀は多くの弔問客が押し寄せる非常に壮大なものだった。；その水が広い範囲の湿地を作り、壮大なオークの森が作られていた。；フランス革命を題材にしており、壮大なスケールの作品となっている。；ジャッロ映画では、壮大な方法で殺人を行う正体不明の殺人者が登場する。；ここでは、ローマ市内で最もシックで壮大なホテルが未だに見られる。；短い在位期間に、カリグラは壮大な建設事業と領土の拡大に力を注いだ。；スピンオフ映画などは彼が作った壮大な世界の中に存在する。</t>
        </is>
      </c>
      <c r="J4794">
        <f>HYPERLINK("https://www.weblio.jp/content/壮大", "词义详情")</f>
        <v/>
      </c>
      <c r="K4794">
        <f>HYPERLINK("https://yourei.jp/壮大", "查看例句")</f>
        <v/>
      </c>
    </row>
    <row r="4795">
      <c r="A4795" t="inlineStr">
        <is>
          <t>増大</t>
        </is>
      </c>
      <c r="B4795" t="inlineStr">
        <is>
          <t>成功</t>
        </is>
      </c>
      <c r="C4795" t="inlineStr">
        <is>
          <t>読み方：ぞうだい
［名］(スル)ふえて大きくなること。また、ふやして大きくすること。「不満が—する」「予算を—する」</t>
        </is>
      </c>
      <c r="D4795" t="inlineStr">
        <is>
          <t>増大する(18%)；増大させる(6%)；増大し続け；増大すれ；増大傾向</t>
        </is>
      </c>
      <c r="E4795" t="inlineStr">
        <is>
          <t>発展；増加；追加；伸び；進行</t>
        </is>
      </c>
      <c r="F4795" t="inlineStr">
        <is>
          <t>需要増大；交通量増大；人口増大；年々増大；大きく増大</t>
        </is>
      </c>
      <c r="H4795" t="n">
        <v>29</v>
      </c>
      <c r="I4795" t="inlineStr">
        <is>
          <t>あるのならどのくらいの増大速度かといったところが非常に重要となる。；この差は版を重ねるごとに増大して行くので、次第に目立つようになる。；国民生活の改善や国力増大の基準として実質成長への関心のほうが高い。；近年では、格安航空会社や航空便の増加がさらなる増大に貢献している。；あくまで1次的な原因は迎角の増大であり、速度は2次的な原因である。；交通ネットワークが整備され、ロシア帝国中央からの観光客が増大した。；さらに近代以降には西洋由来の語を中心とする外来語が増大している。；恒温動物では、全身の各細胞では呼吸量、エネルギー産生量が増大する。；利益が増大できない場合、市場から経営者の交代を求められる可能性もある。；握り込んで使用することで手拳を保護し、また殴打の威力を増大させる。；生産の回復は中央の勢力を増大させたが、同時に諸侯王の勢力も増大させた。；写真を中心とした視覚芸術に関する研究の増大を目的に開設された。；客用ドアは相鉄では初の両開き扉を採用し輸送力の増大に備えた。；また、一部の事業主は軽トレーラーを接続し積載量の増大を図っている。；その結果、輸入が急増し輸出は不振となり、貿易赤字が増大していった。；この時期軍の影響力は極端に増大し、それに伴って林彪が急速に台頭した。；これらの協定は戦後の中東地域の混乱を増大させる要因ともなった。；農業生産や手工業生産の増大により、市場となる草市や鎮市が発生した。；治世の最後の数年間の批判の増大は民衆の彼女への好意の衰えを反映している。；人気競技であれば数万人規模の集客があり、増大した輸送需要に対応するためである。；このため社会主義的な思想を持つ古参党員や党内左派の不満が増大した。；このような州侯の権力増大に対し、王権の側より対抗措置が試みられた。；経済と消費の刺激が可能だったのは、西側からの対外債務を増大させたことも大きい。；特に経済相が失業率の大幅引き下げと鉱工業生産増大に功績をあげた。；一つ目は、速度の増大とともに破壊エネルギーが増大するグループである。；期待インフレ率が高まり実質金利が低下した場合には、消費が増大する。；文化の面では、電気通信によって音楽や映画へのアクセス能力が増大してきた。；第二次世界大戦で政府の活動は更に増大し、首都における政府職員の数も増加した。；出力増大効果が大きいということは、出力調整可能範囲が大きいことをも意味する。</t>
        </is>
      </c>
      <c r="J4795">
        <f>HYPERLINK("https://www.weblio.jp/content/増大", "词义详情")</f>
        <v/>
      </c>
      <c r="K4795">
        <f>HYPERLINK("https://yourei.jp/増大", "查看例句")</f>
        <v/>
      </c>
    </row>
    <row r="4796">
      <c r="A4796" t="inlineStr">
        <is>
          <t>相談</t>
        </is>
      </c>
      <c r="B4796" t="inlineStr">
        <is>
          <t>成功</t>
        </is>
      </c>
      <c r="C4796" t="inlineStr">
        <is>
          <t>読み方：そうだん
［名］(スル)
１問題の解決のために話し合ったり、他人の意見を聞いたりすること。また、その話し合い。「—がまとまる」「—に乗る」「友人に—する」「身の上—」
２どう行動するかを決めるのに、何かと考え合わせること。「財布と—」「身体と—しながら頑張る」</t>
        </is>
      </c>
      <c r="D4796" t="inlineStr">
        <is>
          <t>相談する(8%)；相談相手(3%)；相談所；相談しよ；相談者</t>
        </is>
      </c>
      <c r="E4796" t="inlineStr">
        <is>
          <t>議論；協議；審議；話し合い；論議</t>
        </is>
      </c>
      <c r="F4796" t="inlineStr">
        <is>
          <t>御相談；とも相談；身の上相談；無理な相談；健康相談</t>
        </is>
      </c>
      <c r="G4796" t="inlineStr">
        <is>
          <t>相談窓口；相談員；相談話；相談援助実習指導者；相談は踊る</t>
        </is>
      </c>
      <c r="H4796" t="n">
        <v>29</v>
      </c>
      <c r="I4796" t="inlineStr">
        <is>
          <t>このコーナーが放送されるときは、通常の相談は1組のみとなっていた。；わが公に大政に参与するよう命じておきながら大事の決定にも相談せず。；県の公共サービス機関が、改称が可能かどうか自治体の代表と相談した。；犯則調査の際は黙秘権が存在する企業統合の際の事前相談制度等がある。；戦争に強いだけでなく、政策の相談を受けることもあったようである。；次の朝、あまりにも夫が落胆しているので、ホームズを訪れて相談した。；その回のテーマとなる相談に生協の白石さんのように答えるコーナー。；ハヴァは頭であるアダムに相談せずに、自分で判断したために堕落した。；放送されない相談にも、それぞれの専門家がアドバイスを行っている。；題材の相談、資料集めはもちろん外国の学者も紹介してもらった。；ただし、症状がひどい場合は、その部位の専門医に相談するほうがよい。；これはリーディングと呼ばれ、相談内容の多くは速記により記載された。；分からないことがあれば、まず記事やこのページのノートで相談しましょう。；球団に相談すると広島復帰を認めてくれたため、金銭トレードで広島に復帰。；資産管理とその運用についての相談が大きな比重を占めていたと思われる。；ジョンは弁護士である妻リサに相談し、政府を相手に裁判を起こす。；蘇峰によれば晩年の八重は蘇峰を頼りとし、何度となく相談をしたという。；ローンを行う必要がある場合は保護の実施機関への事前の相談の必要性がある。；私は政治上の重要問題について相談を受けたことは全くありません。；タモリにはたまに相談事をしてはアドバイスをもらっているとのこと。；発見者にとって、各都道府県警察が行う少年相談の利用が実際的である。；これは、海軍部内の誰にも相談せず、井上一人が独断で決めたことであった。；声優を志した時に、最初に相談したのは兄だったと語っている。；現実世界とは逆に、どうすればいいかわからないときには熱斗に相談できる。；有本の母も驚いて、家族や今まで恵子の件で相談してきた人びとに連絡した。；ポートランドは早くも1903年に都市計画家との相談を交わしている。；ドイツの義務教育課程は課程主義で留年は親と学校が相談した上で決定する。；最初あいつに相談を受けたとき、また大ボラが始まったとしか思わなかったからね。；実際に馬を見て判断して、調教師とも相談して決めたことです。</t>
        </is>
      </c>
      <c r="J4796">
        <f>HYPERLINK("https://www.weblio.jp/content/相談", "词义详情")</f>
        <v/>
      </c>
      <c r="K4796">
        <f>HYPERLINK("https://yourei.jp/相談", "查看例句")</f>
        <v/>
      </c>
    </row>
    <row r="4797">
      <c r="A4797" t="inlineStr">
        <is>
          <t>装置</t>
        </is>
      </c>
      <c r="B4797" t="inlineStr">
        <is>
          <t>成功</t>
        </is>
      </c>
      <c r="C4797" t="inlineStr">
        <is>
          <t>読み方：そうち
［名］(スル)
１ある目的のために、機械・器具などをそなえつけること。また、その設備。「濾過(ろか)器を—する」「安全—」
２舞台装置のこと。</t>
        </is>
      </c>
      <c r="D4797" t="inlineStr">
        <is>
          <t>装置類；装置付き；装置全体；装置自体；装置デザイン</t>
        </is>
      </c>
      <c r="E4797" t="inlineStr">
        <is>
          <t>設置；設定；装備；設備；道具</t>
        </is>
      </c>
      <c r="F4797" t="inlineStr">
        <is>
          <t>発生装置；駆動装置；操縦装置；機械装置；警報装置</t>
        </is>
      </c>
      <c r="G4797" t="inlineStr">
        <is>
          <t>装置産業；装置保全；装置メガネ；装置芸術</t>
        </is>
      </c>
      <c r="H4797" t="n">
        <v>29</v>
      </c>
      <c r="I4797" t="inlineStr">
        <is>
          <t>また、どのくらい広く用いられていた装置なのかもよくわかっていない。；これら二つの問題を解決する装置として導入されたのが変換規則である。；装置が比較的小さいため、ある程度の水量さえあれば設置が可能である。；現代ではバーチャルリアリティを利用した訓練装置も開発されている。；様々な偶然の発見により、ダイナモから様々な装置が発明されていった。；これ以降、多様な装置が作られたがいずれもモノクロのものであった。；無誘導の兵器であったが、自動的に高度を維持する装置は必須であった。；本装置を操作するためには、パイロットに高いNT能力が求められる。；どんなに複雑な機械装置でも、単純な機械要素を組み合わせて構成される。；自動放送装置が搭載されているが、装置自体は浅草線内しか対応していない。；寒冷地などでは水道管等の装置が凍結しないよう対策を施す必要がある。；現在では水銀の回収装置のない状況でのこの作業は禁止されている。；南北戦争ではガス気球が使用され、ガス発生装置を備えた艦が建造された。；また、自動放送装置を搭載しており、日本語と英語に対応している。；脱出装置を予定して開発が始まったが、結局実現はしなかった。；その他の台車に装備される装置類としては、以下のようなものがある。；これは200kmの高度に装置類を投入することを目的とした。；以上を踏まえ、それぞれの実験に応じた装置を選択する必要がある。；さらにそれらに加えて搭載機の用途に応じた特殊な装置・機構が付随することもある。；日本は2009年7月16日に国家標準を光周波数コム装置へ変更した。；特に他のコンピュータ企業が自社製システムの試験装置を構築するのによく使った。；最後に、冷媒液化装置で処理するとほぼ純粋な四酸化二窒素が得られる。；この考えを用いて以下のような力を増幅する装置が得られる。；これにより、目には見えないが光のようなものが装置から出ていることを発見した。；本系列においても03系以来となる車両制御情報管理装置を搭載している。；行先表示もユーザーが方向幕装置などを希望しなければ差し込み式となる。；しかし現在でも原因ははっきりしておらず、装置で記録された明確な証拠も得られていない。；また、多くの客室の側面窓にはカーテンなどの遮光装置が設置されている。；保安装置は、システムを安全に運用するために装置を組み合わせたものである。</t>
        </is>
      </c>
      <c r="J4797">
        <f>HYPERLINK("https://www.weblio.jp/content/装置", "词义详情")</f>
        <v/>
      </c>
      <c r="K4797">
        <f>HYPERLINK("https://yourei.jp/装置", "查看例句")</f>
        <v/>
      </c>
    </row>
    <row r="4798">
      <c r="A4798" t="inlineStr">
        <is>
          <t>総長</t>
        </is>
      </c>
      <c r="B4798" t="inlineStr">
        <is>
          <t>成功</t>
        </is>
      </c>
      <c r="C4798" t="inlineStr">
        <is>
          <t>読み方：そうちょう
１全体を統轄・管理する職。「検事—」「事務—」
２総合大学の学長。旧制帝国大学と一部の私立大学での、学長の通称。現行制度では学長が正式の名称。帝国大学令（明治19年）に定められていたもの。</t>
        </is>
      </c>
      <c r="D4798" t="inlineStr">
        <is>
          <t>総長室；総長就任；総長兼；総長賭博；総長職</t>
        </is>
      </c>
      <c r="F4798" t="inlineStr">
        <is>
          <t>大学総長；初代総長；両総長；統帥本部総長；永野総長</t>
        </is>
      </c>
      <c r="G4798" t="inlineStr">
        <is>
          <t>総長カレー</t>
        </is>
      </c>
      <c r="H4798" t="n">
        <v>29</v>
      </c>
      <c r="I4798" t="inlineStr">
        <is>
          <t>この動物たちがこの速度でそう長時間走りつづけられるとは思えなかった。；そこで教育総長に任命される予定であったが、実際には就任できなかった。；総長、及び生徒会長は教導院の中で最も能力の低い者と定められている。；総長には地元の名士や大学へ貢献した人物が起用されることが多い。；批判はとりわけ騎士団の総長であるジャック・ド・モレーに向けられた。；いくら真夏の夜といっても、冷たい水の中にそう長くいられるはずはない。；最終的には5名を除いて異端的立場を捨て、教皇と総長に恭順を誓った。；そのため、国会での承認の必要な参謀総長への就任は叶うことがなかった。；この若者の才能は彼女をあまりに感激させ、彼に教会の音楽総長になるよう依頼したほどだった。；後に、彼は、オックスフォード大学の最初の常勤の副総長に就任した。；またニューカッスル大学とオックスフォード大学の総長にも選出されている。；帰国後ソルボンヌ大学総長に推されたが、ナチスの反対で実現しなかった。；総長も次長もみんな出席するのが嫌だと断るので富岡が首席随員となった。；京都大学の歴代総長・名誉教授・現役教員・元教員・学外者など計数十名。；総長室や学園本部などが入る学園管理棟として機能した。；明知大は、首相2人を含め、最高位職の人々が総長を多く歴任した大学でもある。；また1987年にはオックスフォード大学の総長に選出されている。；これによって総長は自分よりも上位の諸侯たちと同等に交渉できるようになった。；翌1912年には、総長推薦によって同大学から博士号を授与された。；壁の聖牌は、21代と28代のイエズス会総長を記念したものである。；なお私立大学の場合、総長が学長とは異なる職を指す場合もある。；男塾愕怨祭において男塾に攻め入った際は伊達臣人が総長を務めている。；翌・明治22年に東京・京都・奈良に帝国博物館が設立されると初代総長となった。；北京政府で教育総長などの要職をつとめ、後に国民政府でも活動した。；その翌年10月に黄郛内閣の司法総長となったが、1月余りで辞任した。；学園総長は工事の開始の式典で「図書館棟は区のシンボル的建物」と述べている。；イギリスや他の国では、全国連盟は最高位の制服ポジションとして総長を任命している。；十代目総長青田富太郎は、住吉会の前身組織である港会会長に襲名した。；帰国後は金日成総合大学で教鞭を執り、1965年に同大学総長に就任。</t>
        </is>
      </c>
      <c r="J4798">
        <f>HYPERLINK("https://www.weblio.jp/content/総長", "词义详情")</f>
        <v/>
      </c>
      <c r="K4798">
        <f>HYPERLINK("https://yourei.jp/総長", "查看例句")</f>
        <v/>
      </c>
    </row>
    <row r="4799">
      <c r="A4799" t="inlineStr">
        <is>
          <t>想定</t>
        </is>
      </c>
      <c r="B4799" t="inlineStr">
        <is>
          <t>成功</t>
        </is>
      </c>
      <c r="C4799" t="inlineStr">
        <is>
          <t>読み方：そうてい
［名］(スル)ある条件や状況を仮に設定すること。「火災を—して避難訓練をする」</t>
        </is>
      </c>
      <c r="D4799" t="inlineStr">
        <is>
          <t>想定される(10%)；想定以上；想定できる；想定通り；想定すれ</t>
        </is>
      </c>
      <c r="E4799" t="inlineStr">
        <is>
          <t>見る；思う；考える；推定；推測</t>
        </is>
      </c>
      <c r="F4799" t="inlineStr">
        <is>
          <t>浸水想定；本来想定；みを想定；想定シナリオ；想定問答</t>
        </is>
      </c>
      <c r="G4799" t="inlineStr">
        <is>
          <t>想定内；想定問答集；想定読者；想定の範囲内；想定範囲</t>
        </is>
      </c>
      <c r="H4799" t="n">
        <v>29</v>
      </c>
      <c r="I4799" t="inlineStr">
        <is>
          <t>近年はライブなどで演奏することを想定して制作することが多くなった。；これは、占領後の軍施設に使用することを想定していたと言われている。；これは、日本およびその同盟国との戦争を想定してなされたものである。；また、主にスペースコロニー内部での戦闘を想定した設計となっている。；なお、この防御姿勢が設計段階から想定されていたかは不明とされる。；また多くの宗教で霊と呼ばれる形態の生物の存在を想定している。；ほかには、地球外での使用を想定したものの中にもVTOL機が存在する。；また、これはMITのプロジェクトが本来想定していた方向性でもある。；カラオケの歌詞表示や楽譜上の歌詞表記などの用途を想定されている。；海側車端部にはグループ客の利用を想定した4人がけボックス席がある。；また、実際の記事ではこれらの適用が困難な場合も想定されます。；この他にも届け出をしていない滞在者も数多くいると想定される。；第二期作戦は、第一期作戦の進行、つまり制海権で三つが想定された。；後者は引数として配列を渡すことを想定していることがより明確になる。；当初、桑田は前作以上に大ヒットすることは一切想定していなかったという。；また連盟の1つの議席を複数の代表が争う事態を想定していなかった。；当初想定されていた戦車の運用法では大量の戦車による集団戦を行う予定であった。；両絵画共に制作年は明確ではないが、1482年頃であろうと想定されている。；欠陥とは、理想状態を想定できる物事における理想状態との違いである。；従来型のマイクの使用が困難な環境下、状況下での使用が想定される。；戦後は大深度駅を中心に核兵器の使用下を想定した駅も見られるようになった。；当初は街にいる間に剣を持ち込むことが想定されたものだった。；鉄道省では幹線の都市間連絡列車に用いることを想定していたといわれる。；被害の全容を想定する手法は定性的にも定量的にも確立されていない。；アリストテレス自身が多数の人に見せることを想定して公開した著作が多数あった。；準備は2時間で済むはずのところ、3時間半と想定よりも長くかかった。；他にも、底面が直線と曲線で構成される半円や扇形のものも想定される。；ここまでは相手の行動を完全に観測できると想定した。；そのため、報復もしくは第二撃核攻撃に用いることが想定されている。</t>
        </is>
      </c>
      <c r="J4799">
        <f>HYPERLINK("https://www.weblio.jp/content/想定", "词义详情")</f>
        <v/>
      </c>
      <c r="K4799">
        <f>HYPERLINK("https://yourei.jp/想定", "查看例句")</f>
        <v/>
      </c>
    </row>
    <row r="4800">
      <c r="A4800" t="inlineStr">
        <is>
          <t>相当</t>
        </is>
      </c>
      <c r="B4800" t="inlineStr">
        <is>
          <t>成功</t>
        </is>
      </c>
      <c r="C4800" t="inlineStr">
        <is>
          <t>読み方：そうとう
［名・形動］(スル)
１価値や働きなどが、その物事とほぼ等しいこと。それに対応すること。「五〇〇円—の贈り物」「ハイスクールは日本の高校に—する」
２程度がその物事にふさわしいこと。また、そのさま。「能力—の地位」「それ—な（の）覚悟がいる」「収入に—した生活」
３かなりの程度であること。また、そのさま。「—な（の）成果をおさめる」
［副］物事の程度が普通よりはなはだしいさま。かなり。「—勉強したらしい」</t>
        </is>
      </c>
      <c r="D4800" t="inlineStr">
        <is>
          <t>相当する(37%)；相当数(2%)；相当なもの；相当額；相当程度</t>
        </is>
      </c>
      <c r="E4800" t="inlineStr">
        <is>
          <t>最も；非常に；かなり；ちょっと；なかなか</t>
        </is>
      </c>
      <c r="F4800" t="inlineStr">
        <is>
          <t>相当強い；相当古い；優勝相当；相当する科目区分；相当する閣僚評議会</t>
        </is>
      </c>
      <c r="G4800" t="inlineStr">
        <is>
          <t>相当温位；相当算；相当温度</t>
        </is>
      </c>
      <c r="H4800" t="n">
        <v>29</v>
      </c>
      <c r="I4800" t="inlineStr">
        <is>
          <t>基本的に、かつての郡が新しい市に、かつての市が新しい区に相当する。；車両は現在の近郊形電車や通勤形電車に相当するものが使用されていた。；トルコの南東にある今日のディヤルバクルの東側および南側に相当する。；また当時存在しなかった字は、相当する別字で代用するのが普通である。；なお側頭窓はヒトでは顎の筋肉と側頭部とを結ぶための穴に相当する。；明治維新直前の領域は、現在の和歌山県に下記を加えた区域に相当する。；明治維新直前の領域は、現在の大分県から下記を除いた区域に相当する。；株式会社の株式に相当する投資口を時価で市場で購入することができる。；人間以外の動物でも利き手やそれに相当する概念が研究されている。；中世期に成立していた門流の多くと、思想的潮流の相当部分を包含する。；さらに、成長に伴い使われる子供向けの楽器類なども玩具に相当する。；西洋ではワインに相当する言葉が総称として用いられることがある。；しかし、そのルートの相当部分が後の東海道新幹線建設で役立てられた。；名古屋鉄道が過去にホームライナーに相当する列車を運行していた。；一部の用語の起源はそれよりも相当古くからあるものである。；これらのクラスはすべてFilterクラスに相当するものを継承している。；現代の青に相当する色として、日本では伝統的には藍や縹を用いてきた。；上記の伊奈町以外では、現在の行政区画では概ね以下の区域に相当する。；その中には三角関数の積和の公式に相当する計算を行っている記載がある。；微小部分は通常、単位体・単位面積・単位長さ当たりに相当する場合が多い。；市の中央部西寄りに位置し、区域は旧与野市の範囲にほぼ相当する。；但し発売から相当年数経過の作品では対応していないため注意が必要であった。；また友人の画家の作品を交換や購入によって相当数持っていた。；これは、今日で言うところの「運動エネルギー」に相当することになる。；現在のレバノンに相当する地域は、古代はフェニキア人の故地であった。；一般的には本堂に相当する部分の名称であるジョカンと呼ばれることが多い。；従って、この見解によっても意思の内容は相当抽象的にならざるを得ない。；上記の宮代町以外に、現在の行政区画のおおむね以下の区域に相当する。；ヨーロッパ諸語で金星をウェヌスに相当する名で呼ぶのはこのためである。</t>
        </is>
      </c>
      <c r="J4800">
        <f>HYPERLINK("https://www.weblio.jp/content/相当", "词义详情")</f>
        <v/>
      </c>
      <c r="K4800">
        <f>HYPERLINK("https://yourei.jp/相当", "查看例句")</f>
        <v/>
      </c>
    </row>
    <row r="4801">
      <c r="A4801" t="inlineStr">
        <is>
          <t>騒動</t>
        </is>
      </c>
      <c r="B4801" t="inlineStr">
        <is>
          <t>成功</t>
        </is>
      </c>
      <c r="C4801" t="inlineStr">
        <is>
          <t>読み方：そうどう
１多人数が騒ぎたてて秩序が乱れること。また、そのような事件や事態。「—を起こす」
２もめごと。争い。「お家—」</t>
        </is>
      </c>
      <c r="D4801" t="inlineStr">
        <is>
          <t>騒動以降；騒動以来；騒動記；騒動起こし；騒動解決</t>
        </is>
      </c>
      <c r="E4801" t="inlineStr">
        <is>
          <t>事件；イベント；混乱；出来事；興奮</t>
        </is>
      </c>
      <c r="F4801" t="inlineStr">
        <is>
          <t>一騒動；ひと騒動；分裂騒動；様々な騒動；珍騒動</t>
        </is>
      </c>
      <c r="H4801" t="n">
        <v>29</v>
      </c>
      <c r="I4801" t="inlineStr">
        <is>
          <t>この騒動以降は自身から警官と挨拶などをするようになったと述べている。；この騒動は本人出演のパロディーCMが制作されるほどの話題になった。；この一連の藩内騒動が幕府の耳にも入り、幕府の裁定が入ることとなった。；後にこれが愛人宅における腹上死だったことが公になり大騒動になった。；この事件はニュース番組や新聞で取り上げられて大きな騒動となった。；素六もその騒動の中で指揮に当たっていたが、江戸に戻るよう命令が下った。；金沢では同行していた双葉山を帰すために警察が乗り込む騒動もあった。；この騒動はワシントンの支持者がその後ろ盾に集まって失敗に終わった。；この行為がアメリカの各種メディアで取り上げられ、騒動となった。；永易は結婚していたが、この騒動の最中である12月に離婚している。；この騒動は戦国大名への体制転換の最中での事件であると定義できる。；その中で今回の移籍騒動については「自分に責任がある」としている。；之長は土一揆の騒動で一躍京都で名を知られるようになっていった。；本騒動は後のパソコン遠隔操作事件の遠因となったと指摘されている。；地下世界に再び騒動が起きたことを予感させつつ物語は幕を閉じる。；騒動の原因となった左門は獄死したとも斬殺されたともいわれる。；この試合は2020年のDV騒動の禊のつもりで行ったものであるという。；子供たちは彼に色々な頼み事をするのだが、決まって大騒動が起きてしまう。；この出奔騒動の際、息子3人と一族二十余人が主君・義重に殺害された。；ある一家が騒動や困難を乗り越えて成長していくところを描いたホームドラマ。；以後はその騒動で民進党から分裂した立憲民主党などと共闘関係を継続した。；ただし、騒動後もこの女性の事務所に在籍し、一方で交際も続いた。；彼女の出現により、主人公は騒動続きの日々を送ることになった。；実は無のカードの一連の騒動は今まで一人ぼっちにされていた寂しさからきたものであった。；ひょんなことからスーパーヒーローとなった平凡な男の活躍と騒動を描く。；こうした一連の騒動の中で宗勝への家中の反感はますます高まっていった。；おかげで家臣は婿派と孫派に分裂し、白河騒動と呼ばれる対立関係にまで悪化した。；ねねねは自ら読子の裏の顔とそれにまつわる騒動に巻き込まれていく。；長救はこの訴えを聞き入れる代わりに、騒動の指導者4人を処刑している。</t>
        </is>
      </c>
      <c r="J4801">
        <f>HYPERLINK("https://www.weblio.jp/content/騒動", "词义详情")</f>
        <v/>
      </c>
      <c r="K4801">
        <f>HYPERLINK("https://yourei.jp/騒動", "查看例句")</f>
        <v/>
      </c>
    </row>
    <row r="4802">
      <c r="A4802" t="inlineStr">
        <is>
          <t>贈答</t>
        </is>
      </c>
      <c r="B4802" t="inlineStr">
        <is>
          <t>成功</t>
        </is>
      </c>
      <c r="C4802" t="inlineStr">
        <is>
          <t>読み方：ぞうとう
［名］(スル)品物・詩歌などをおくったり、おくり返したりすること。「書状を—する」「—品」</t>
        </is>
      </c>
      <c r="D4802" t="inlineStr">
        <is>
          <t>贈答用(25%)；贈答歌(11%)；贈答物</t>
        </is>
      </c>
      <c r="E4802" t="inlineStr">
        <is>
          <t>与え；くれる；与える；上げる；授与</t>
        </is>
      </c>
      <c r="H4802" t="n">
        <v>29</v>
      </c>
      <c r="I4802" t="inlineStr">
        <is>
          <t>中元歳暮の贈答を廃止するとかしないとかいふことが問題になつてゐる。；歌らしくもないこんな歌をよみ、親子はそうした贈答を心の慰めにした。；また単品での注文や、贈答用に便利なセット商品も数多く用意されている。；包封せず裸のまま献上・贈答用として使用できたのは大判のみであった。；今日、一般の青果店に並ぶことは少ないが、贈答用としての人気がある。；カタルーニャと同様、アラゴンでも個人間での花や書籍の贈答が行われる。；高価格帯だったことから嫁入り道具としての贈答用に購入されるようになった。；また、手曲げのものだけでなく、曲げていないものも贈答用に用意されている。；処が、其贈答の話は、実は他人の上にあつた、事実めいた話其儘である。；贈答用に多用されたことは、現在にも通ずるものがあるとしている。；今日菓物類の贈答に用ゐる籠の、竹の長く編み余したものが本である。；あの時は、単に贈答用というだけで、君が買ったとは言わなかったような気がするんだがね。；アパートでは一階に礼子の事務所を構え、贈答コンサルタントを始めた。；しかしそれだけでなく、親兄弟の贈答の場合も相聞といわれます。；やがてそれは、歌の贈答あるいは歌の記憶のためにつかわれるようになったらしい。；この歌にも広い意味の贈答歌の味いがあり、姉妹のあいだの情味がこもっている。；相聞はわれと他との贈答をさしていますが、その中心になるのは男女の恋愛です。；州内で多くの外来植物が栽培されており、観賞用や贈答用もある。；ちぐはぐな点が、此歌の当事者の贈答でない事を露して居るのだ。；趣味の栽培にも贈答用にも販売されている。；それから一年ばかり、手紙だけは始終贈答していながら、顔を見なかったのである。；販売されるものは切り花、栽培用の鉢物の他に贈答用の豪華な鉢物がある。；当初、贈答用を想定して開発されたといわれている。；唐代には具体的な題材にとられ、妓女の贈答詩も物語詩も作られた。；ただこれらは、都会人との贈答の歌ですから、純粋の地方歌といえない点があります。；音物札はあらゆる贈答の機会に使用することが義務付けられていた。；石山寺参詣の途次、その行列に行合わせた源氏は思わず歌の贈答を行う。；家庭で栽培するのは比較的難しいが、贈答用・切り花用として多く栽培されている。；男たちとの贈答に、柔軟な而も折れ合はぬねばり気を、調子の上に見せて居る。</t>
        </is>
      </c>
      <c r="J4802">
        <f>HYPERLINK("https://www.weblio.jp/content/贈答", "词义详情")</f>
        <v/>
      </c>
      <c r="K4802">
        <f>HYPERLINK("https://yourei.jp/贈答", "查看例句")</f>
        <v/>
      </c>
    </row>
    <row r="4803">
      <c r="A4803" t="inlineStr">
        <is>
          <t>遭難</t>
        </is>
      </c>
      <c r="B4803" t="inlineStr">
        <is>
          <t>成功</t>
        </is>
      </c>
      <c r="C4803" t="inlineStr">
        <is>
          <t>読み方：そうなん
［名］(スル)災難に出あうこと。特に、登山や航海などで命を失うような危険にあうこと。「冬山で—する」</t>
        </is>
      </c>
      <c r="D4803" t="inlineStr">
        <is>
          <t>遭難死(3%)；遭難現場(3%)；遭難船(2%)；遭難地点；遭難時</t>
        </is>
      </c>
      <c r="E4803" t="inlineStr">
        <is>
          <t>災害；異変；事変；凶；惨事</t>
        </is>
      </c>
      <c r="F4803" t="inlineStr">
        <is>
          <t>二重遭難；遭難談；遭難機；遭難以来；二次遭難</t>
        </is>
      </c>
      <c r="G4803" t="inlineStr">
        <is>
          <t>遭難信号；遭難事故；遭難事件；遭難通信；遭難自動通報局</t>
        </is>
      </c>
      <c r="H4803" t="n">
        <v>29</v>
      </c>
      <c r="I4803" t="inlineStr">
        <is>
          <t>その老人が遭難した場所と私のゐた地点とは二丁と離れてはゐなかつた。；江戸時代初期に遭難して日本に漂着した際の見聞をまとめたものである。；そんなときに霧くらいと思って馬鹿にして、道を失い遭難することがある。；その遭難地点は、地球より約四千万キロメートルのところと思われます。；遭難時刻は、八時五分頃と推定されるので、丁度合っていることになる。；なお、天候が悪ければ飛行中の航空機が遭難し被害を受ける場合もある。；遭難した船には多くの男と1人の女、そして1頭の雄犬が乗っていた。；なお現在では、漂着した遭難遺体は大陸へ送られることになっている。；だが、ふたりの乗る船は嵐に巻き込まれてしまい船は遭難してしまう。；この班はDを中心とする4名で、5日に遭難した学生は参加していない。；ところが遭難したとたんに、通常の水補給ができなくなることになる。；現代では遭難に限らず助けを求める合図として使用されることがある。；この行軍では青森隊の遭難地を通過する際に遭難者を見たとする説がある。；また、遭難時の風の状態から新羅の海岸へ漂着していると想定された。；これらの大砲の多くは、スペインへの帰路で多数の船が遭難して失われた。；遭難の責任を取り、神田は舌を噛み切って雪中で自決していたのだった。；普段は簡単にできるのに遭難時にはそれができないので人々は苦しむことになる。；そのため1番機は、予定していた航路下の海域で遭難した物と判断された。；前作の「遭難地点」と「最後の試練」を合わせたような地形をしている。；信号を設置するために森に入った撮影クルーが遭難するという事故が起きた。；そして台風の被害として深刻だったのが船の遭難が相次いだことであった。；発見当時には苦しんで死亡した様子は見られず、雪道での遭難とも思われた。；しかしある日父が遭難してしまうと、黙娘は海にでて父を探した。；このことから、第五海洋丸の遭難をモデルとしていた可能性が高いと考えられた。；江戸時代の記録では1673年に松前藩主所有の船が島の沖で遭難したという。；山菜採りを行っていた者が山岳遭難する事例が毎年報告されている。；しかし悪天候のために2人は遭難し、基地へ帰りつくことはできなかった。；チェチェン紛争の攻防戦の中、ロシア軍の護衛隊が山で遭難してしまう。；この事故はクライミングロープが切れて起きた遭難の中で最も有名なものである。</t>
        </is>
      </c>
      <c r="J4803">
        <f>HYPERLINK("https://www.weblio.jp/content/遭難", "词义详情")</f>
        <v/>
      </c>
      <c r="K4803">
        <f>HYPERLINK("https://yourei.jp/遭難", "查看例句")</f>
        <v/>
      </c>
    </row>
    <row r="4804">
      <c r="A4804" t="inlineStr">
        <is>
          <t>挿入</t>
        </is>
      </c>
      <c r="B4804" t="inlineStr">
        <is>
          <t>成功</t>
        </is>
      </c>
      <c r="C4804" t="inlineStr">
        <is>
          <t>読み方：そうにゅう
［名］(スル)中にさし入れること。中にはさみこむこと。「イラストを—する」</t>
        </is>
      </c>
      <c r="D4804" t="inlineStr">
        <is>
          <t>挿入する(16%)；挿入される(14%)；挿入口；挿入できる；挿入句</t>
        </is>
      </c>
      <c r="E4804" t="inlineStr">
        <is>
          <t>導入；掲載；入れる；合併；編入</t>
        </is>
      </c>
      <c r="F4804" t="inlineStr">
        <is>
          <t>随時挿入；直接挿入；未挿入；深く挿入；挿入感</t>
        </is>
      </c>
      <c r="G4804" t="inlineStr">
        <is>
          <t>挿入曲；挿入ソート；挿入配列；挿入損失；挿入キー</t>
        </is>
      </c>
      <c r="H4804" t="n">
        <v>29</v>
      </c>
      <c r="I4804" t="inlineStr">
        <is>
          <t>また本来のストーリーの流れとは若干異なる物語が随所に挿入されている。；各山の文章中に、山周辺の地図と山の白黒写真が挿入された版もある。；ビームライン番号の後の略号は以下のように挿入光源や光の種類を表す。；本作の作中では以下の映画作品の映像がオマージュ的に挿入されている。；編集でも、過去の映像素材を効果的に挿入することも得意としている。；途中で総集編4話が挿入され、ストーリーが完結せずに放送が終了した。；そのような重複するデータを挿入しようとした場合はこれを処理する必要がある。；空のリストを含むリストの先頭に新たなノードを挿入する関数が必要となる。；この本を読むシーンがしばしばメインストーリーに挿入される。；他に挿入曲として、服部克久のアルバム『音楽畑』の曲も使用していた。；これは重修の過程で後世の創作が挿入される可能性を指摘したものと言える。；アイドルを含めて歌手の曲が、小説に挿入されているのは極めて異例である。；セクエンツィアはその後ミサのあちこちに挿入されるようにもなった。；また、黄色ステージをクリアするごとにボーナスステージが挿入される。；軸に挿入されるカラーのうち幅の狭いものも形状が似ているため同様に呼ばれることがある。；このタングを座席または床に取り付けられた受け側金具へ挿入して固定させる。；バスでは運賃箱の磁気カードリーダーに直接挿入して支払可能であった。；次のコードは片方向リスト上のあるノードの次に新たにノードを挿入する。；これがメスの体内に挿入され精莢が受け渡されることで受精が成立する。；特に挿入の際にインデックスのキーを追加する必要がある点で性能差が生じていた。；番組中にCATV業者が地震速報テロップなどを挿入することも可能である。；検索の処理を行うことで、挿入しようとする値が木のどこに位置するべきかがわかる。；日本とアメリカの方式の場合、音声信号内にサブキャリアを挿入する。；この目的で回路に挿入される抵抗器を「電流制限抵抗」などと呼称する。；楽曲のプロパティからは、楽曲ごとに歌詞を挿入することもできる。；いくつかのエピソードには製作当時存命だった隊員たちのインタビューが挿入されている。；挿入時に、同値の値を右の子に登録しておけば、安定ソート となる。；前作同様に各話終了後にはアニメ番組のような次回予告が挿入される。；プレイヤーの選択の他、挿入されたゲームの結果によっても物語の展開が変化する。</t>
        </is>
      </c>
      <c r="J4804">
        <f>HYPERLINK("https://www.weblio.jp/content/挿入", "词义详情")</f>
        <v/>
      </c>
      <c r="K4804">
        <f>HYPERLINK("https://yourei.jp/挿入", "查看例句")</f>
        <v/>
      </c>
    </row>
    <row r="4805">
      <c r="A4805" t="inlineStr">
        <is>
          <t>相場</t>
        </is>
      </c>
      <c r="B4805" t="inlineStr">
        <is>
          <t>成功</t>
        </is>
      </c>
      <c r="C4805" t="inlineStr">
        <is>
          <t>読み方：そうば
１市場で取引されるその時々の商品・株式・債券・外国為替などの値段。時価。市価。「—が上向きになる」
２実物・現物・直物取引ではなく、市場における価格変動によって生じる差額で利益を得ようとする投機的取引。「—を張る」「—に手を出す」「—で当てる」
３ある物事についての世間一般の考え方や評価。また、世間並みと認められる程度。「親は口うるさいものと—が決まっている」「初任給は—並みだ」</t>
        </is>
      </c>
      <c r="D4805" t="inlineStr">
        <is>
          <t>相場師；相場みのり；相場価格；相場変動；相場観</t>
        </is>
      </c>
      <c r="E4805" t="inlineStr">
        <is>
          <t>入り；代；値；費用；価格</t>
        </is>
      </c>
      <c r="F4805" t="inlineStr">
        <is>
          <t>外国為替相場；商品相場；国際相場；変動相場；生糸相場</t>
        </is>
      </c>
      <c r="G4805" t="inlineStr">
        <is>
          <t>相場操縦；相場川；相場氏；相場詩織；相場均</t>
        </is>
      </c>
      <c r="H4805" t="n">
        <v>29</v>
      </c>
      <c r="I4805" t="inlineStr">
        <is>
          <t>この憂鬱な相場師とくらべると次の室にいる老人は非常に元気であった。；それは決して世間の相場と言つたやうなものから来るものではない。；相場で云えば売買両方の玉を出して置く両建と云ったようなものである。；木米は申すまでもなく、その絵画が十万金などいう相場をしております。；いかな明君でもこの道ばかりは別な物と昔から相場は極っているのだから。；服装と月給とで人間の価値を定めたがるのは、普通一般の人の相場だ。；正太が相場の失敗を語り出す前に、その意味は叔父の方へ通じていた。；また室町時代の標準相場は一人当たり銭二貫文だったといわれている。；すると二人のゐる所へ、給仕の谷がやつて来て、相場の話をし始めた。；ところが、重要なのは当てはまらないような事実と相場がきまっている。；彼女は市場の相場の変動によって料理の価を変えないことを自慢にした。；田舎の出米の相場を直接に聞くようになったために電話の忙がしさは数倍に達した。；そして麦と粟と大豆とをかなり高い相場で買って帰らねばならなかった。；まさか三厘や五厘でもあるまいが、二銭か三銭で相場が立ったらしい。；相場表の送り先も今まで五百軒内外だったのを二千軒に改めさせた。；相場書の古典とされており、現在まで定期的な再出版が続いている。；そういう画家たちの市場価値は、金そのものと全く同じに国際相場だった。；銭貨は時の銭相場に応じて両替商に売却されることにより発行された。；購入の際は、外国為替相場のうち外国送金にも適用されるレートになる。；また、商人ゲーム、統一ゲームの時は相場が通常の2倍相当になっている。；結局相場通りの補償額に落とさざるを得なかったが住民は再び態度を硬化。；あなたはその金で相場に手を出して使ってしまったのだ。；だからここで印刷されるのは、相場の気配新聞や商事関係が殆どといってよい。；二百万石は今日の相場で、一箇の大学でありまたは一艘の戦艦である。；また、バブル期には会員権相場額が1億円以上にもなったこともある。；そこで大体において古い物は間違いのない相場がついているようであります。；しかし僕も青年じゃないと相場が定った以上は斯うしちゃいられない。；娼婦を一回買う相場が身欠きニシン7連だったことが名の由来である。；ところが、ヨーロッパでの生糸相場の暴落にあって大きな損失を出した。</t>
        </is>
      </c>
      <c r="J4805">
        <f>HYPERLINK("https://www.weblio.jp/content/相場", "词义详情")</f>
        <v/>
      </c>
      <c r="K4805">
        <f>HYPERLINK("https://yourei.jp/相場", "查看例句")</f>
        <v/>
      </c>
    </row>
    <row r="4806">
      <c r="A4806" t="inlineStr">
        <is>
          <t>装備</t>
        </is>
      </c>
      <c r="B4806" t="inlineStr">
        <is>
          <t>成功</t>
        </is>
      </c>
      <c r="C4806" t="inlineStr">
        <is>
          <t>読み方：そうび
［名］(スル)必要な機器などを取り付けること。戦闘・登山など特定の目的に応じた用具をそろえたり身につけたりすること。また、その機器や用具。「魚探機を—する」「冬山用の—」</t>
        </is>
      </c>
      <c r="D4806" t="inlineStr">
        <is>
          <t>装備する(9%)；装備品(3%)；装備される(2%)；装備できる；装備可能</t>
        </is>
      </c>
      <c r="E4806" t="inlineStr">
        <is>
          <t>設置；設定；設備；道具；機器</t>
        </is>
      </c>
      <c r="F4806" t="inlineStr">
        <is>
          <t>重装備；追加装備；安全装備；用装備；オプション装備</t>
        </is>
      </c>
      <c r="G4806" t="inlineStr">
        <is>
          <t>装備施設本部；装備本部；装備技術部；装備開発実験隊</t>
        </is>
      </c>
      <c r="H4806" t="n">
        <v>29</v>
      </c>
      <c r="I4806" t="inlineStr">
        <is>
          <t>これらの重装備に対して有効なメイスは戦場での重要度を増していった。；装備の開発は主に科学センター所属の岩本博士とイデ隊員が行っている。；保有装備運用は、特にドイツや日本等の限られた国のみとなっている。；現代の潜水艦は水中での高速性や静粛性を重視し、砲を装備していない。；軍隊において兵站が体系化された背景には作戦や装備の複雑化がある。；ただし各国によって装備方法は異なるので、米海軍式を中心に解説する。；また、海軍では輸入して装備したMP18などを自動拳銃と呼んでいる。；キャラクターの耐性は防具の装備や魔法などの手段で変えることもできる。；これはフロントバッグやサドルバッグなどを装備するためのものである。；特に生産数の少ない国産装備品は、価格面で輸入品に太刀打ちできない。；その他の台車に装備される装置類としては、以下のようなものがある。；最近では非実体弾を射出する各種の武装・装備を銃と呼称する事も増えている。；なお、後にユーザーの要望を受けて、内蔵式タラップも装備されている。；他のエヴァンゲリオンにはない翼が装備されており、自律飛行が可能。；車輌・航空機等の装備は旧ソ連製のものを多く保有している。；いずれも内蔵されている装備と武器は戦闘力と捜査力を上げるものとなっている。；VVVFインバータ制御車には登場時から増圧ブレーキを装備していた。；それらは光学系などをフィンランドや西側の装備によって改良されていた。；ここでは主要な航空機など一部の装備のみ記載する。；このような機関砲装備の対空戦車の存在意義を疑問視する意見もある。；この座席は2000年度購入車から都営バスに標準装備されている。；船に取り付けられた機械類・装備類は「艤装品」や「艤装」と呼ばれる。；それでも、任意でシェルターを装備している企業や個人が多いことで有名である。；この他、作中に登場したアメリカ支部の装備は日本支部のそれとは異なる。；歴史的には歩兵もさまざまな装備・編成で用いられてきた。；科学特捜隊は数々の特殊装備を持ち、状況に応じて運用している。；軍用機は装備しない国が多いが、自衛隊機にはほぼ搭載されている。；前面窓の上部には向かって左に種別・右に行き先を表示する方向幕が装備された。；装備は全てメンバー共通であり、個人別の専用武器はない。</t>
        </is>
      </c>
      <c r="J4806">
        <f>HYPERLINK("https://www.weblio.jp/content/装備", "词义详情")</f>
        <v/>
      </c>
      <c r="K4806">
        <f>HYPERLINK("https://yourei.jp/装備", "查看例句")</f>
        <v/>
      </c>
    </row>
    <row r="4807">
      <c r="A4807" t="inlineStr">
        <is>
          <t>送付</t>
        </is>
      </c>
      <c r="B4807" t="inlineStr">
        <is>
          <t>成功</t>
        </is>
      </c>
      <c r="C4807" t="inlineStr">
        <is>
          <t>読み方：そうふ
［名］(スル)送り届けること。送りわたすこと。「願書を事務局に—する」</t>
        </is>
      </c>
      <c r="D4807" t="inlineStr">
        <is>
          <t>送付する(16%)；送付される(9%)；送付先；送付案</t>
        </is>
      </c>
      <c r="E4807" t="inlineStr">
        <is>
          <t>出す；送る；発する；発信；寄せる</t>
        </is>
      </c>
      <c r="F4807" t="inlineStr">
        <is>
          <t>ご送付；毎月送付；ダイレクトメール送付；送付する必要；送付する際</t>
        </is>
      </c>
      <c r="H4807" t="n">
        <v>29</v>
      </c>
      <c r="I4807" t="inlineStr">
        <is>
          <t>被害者の女性は送付された青酸カリを服用して自殺を試み、死に至った。；中央公論社ではこれをもとに、ゲラを複数部作成して関係者に送付した。；またその文書の返答に使われる言語も送付した文書と同じ言語で作成される。；なお、同期入社組だけには、これとはまた別内容のメールを送付していた。；B5らはこれが送付されてきたことを強く問題視する姿勢を示した。；活動の記念につくったCDをあるメンバーがレコード会社に密かに送付。；あくまで日本国内限定のサービスであり、海外への送付はできない。；そして、引き続き本の中で問題があるとされる部分を挙げたコピーを送付した。；両上院議員に送付された封筒の差出人の住所表示は次の様に書かれていた。；最終号は街頭配布せず、ラック設置分および送付のみでの配布となった。；この研究者は自身の発見を2018年半ばにFBIに送付している。；試験から約2週間後にフクトから送付される、いわば試験の成績表である。；通知は映画の配給権を持っているラジニカーントにも送付されている。；受賞者がすでに死亡していた場合には、この勲章は遺族に送付された。；いずれも競走馬理化学研究所に当該馬の尿を送付して判明したものである。；請願書は政府に送付され、宮内大臣との協議を経たが閣議で否決された。；ただし区に複数の配達局がある場合、指定された局に送付した。；横浜時代の患者の写真を撮影しハンナ・リデルに送付している。；ネブラスカ海軍による辞令書は所在を問わず常に著名な市民に送付される。；数年分で数十万円になる高額な教材を一度に送付することが特徴。；けれども重兵器の送付、更にはそれをカザン付近に設置することは重大な問題であった。；そこで決まった提案を指揮者とウィーン・フィルに送付し、この両者で検討される。；アルミ製のプレファブ小屋を何百棟も製造し、アフリカに送付した。；新切手の郵頼では、事前に公表されている郵頼指定局に次のものを送付する。；また、同様の内容を記した文書をファンクラブ会員に送付していたことが明らかになった。；明帝は官に命じて到撝の罪を誣告させ、廷尉に送付して殺させようとした。；雑誌自体も指定の住所に送付される形になっており、送付されたらそのままである。；受験票が送付された際は、これらの内容が正確に記載されているかどうかを確認することが求められる。；また、叙位者を召すための下名を作成して式部省・兵部省に送付される。</t>
        </is>
      </c>
      <c r="J4807">
        <f>HYPERLINK("https://www.weblio.jp/content/送付", "词义详情")</f>
        <v/>
      </c>
      <c r="K4807">
        <f>HYPERLINK("https://yourei.jp/送付", "查看例句")</f>
        <v/>
      </c>
    </row>
    <row r="4808">
      <c r="A4808" t="inlineStr">
        <is>
          <t>送別</t>
        </is>
      </c>
      <c r="B4808" t="inlineStr">
        <is>
          <t>成功</t>
        </is>
      </c>
      <c r="C4808" t="inlineStr">
        <is>
          <t>読み方：そうべつ
［名］(スル)別れて行く人を送ること。「—の辞」「転勤する同僚を—する」「—会」</t>
        </is>
      </c>
      <c r="D4808" t="inlineStr">
        <is>
          <t>送別会(20%)；送別式(4%)；送別宴；送別會；送別パーティ</t>
        </is>
      </c>
      <c r="G4808" t="inlineStr">
        <is>
          <t>送別試合</t>
        </is>
      </c>
      <c r="H4808" t="n">
        <v>29</v>
      </c>
      <c r="I4808" t="inlineStr">
        <is>
          <t>当時東京へ行くことは外国へ行くようなものだったので盛んな送別を受けた。；とにかく送別式は私の出発の日にやってもらいたいと思っている。；が、同時に、彼の頭に浮かんで来たのは学校の送別式のことだった。；最後に、小肥りの温和な風貌の男が立って自作の送別文を読みはじめた。；一通りは歌も詠んで、彼が松前に立つ前などは送別の吟を寄せている。；駅では、葉剣英と200人以上の中国の将官が彼の送別のために集まった。；部で送別会をやったときは、みんなの目が気になって他の誰かに送る役を任せた。；送別の会にふさはしく客を組み、心おきなく朝を過さうといふのである。；で、今日のうちに先生送別の方法について考えておこうではないか。；数日前に、前野君の家で送別会をやってもらったばかりなのに。；級長であるということで、私はこの送別会の中心にならなければならなかった。；マダムは彼の送別のために特に私たちだけには午前二時まで酒を飲ませてくれた。；それが結果から見ると、大半は重苦しい話を繰返す送別会になった。；サアサアこれからマリヤさまに来て貰つて、私と三人送別会を開きませう。；いくつかの送別の手紙の中に、見知らぬ女名前の手紙があった。；なお、上記5名は帰国前、もしくは海外派遣前に送別の意味を込めて行われた。；その夜のつぐみ亭での会食はドイツへ帰る大井三郎の送別の宴でもあった。；今日では賛美歌の枠を超えて、世界的な送別の歌になった。；そしてH屋の表門まで私と一緒に主人を送って出てまた叮嚀な送別の辞を述べた。；夫人が帰国する時、ある奥さんと私と、送別のために小さいお茶料理に夫人を招待した。；送別式の時には言うつもりではいるがね。；みんなが心からの送別をしないわけがないではないか?；嶺は深く烟霧の裏に隱れて、われに送別の意を表せんともせざる如し。；日本政府は盛大な送別会を開き、日本への功労に対する感謝の意を示した。；送別にこれほどの将校が並んだ写真はない。；たいていの家で、昨日送別会が開かれて、ご馳走を食べ、酒を飲んだからである。；私のために送別会をしてくれないやうに、着て出る着物がないから今からお頼みして置くのだと私は云つた。；フランスから来日していた駐在員が帰国するとき、スタッフで送別会を開いたことがある。；その夜、光太夫はブーシュ家で開いてくれた心づくしの送別の宴に臨んだ。</t>
        </is>
      </c>
      <c r="J4808">
        <f>HYPERLINK("https://www.weblio.jp/content/送別", "词义详情")</f>
        <v/>
      </c>
      <c r="K4808">
        <f>HYPERLINK("https://yourei.jp/送別", "查看例句")</f>
        <v/>
      </c>
    </row>
    <row r="4809">
      <c r="A4809" t="inlineStr">
        <is>
          <t>草履</t>
        </is>
      </c>
      <c r="B4809" t="inlineStr">
        <is>
          <t>成功</t>
        </is>
      </c>
      <c r="C4809" t="inlineStr">
        <is>
          <t>読み方：じょうり
「ぞうり（草履）」に同じ。〈日葡〉</t>
        </is>
      </c>
      <c r="D4809" t="inlineStr">
        <is>
          <t>草履をはい(6%)；草履袋；草履屋；草履作り；草履履き</t>
        </is>
      </c>
      <c r="F4809" t="inlineStr">
        <is>
          <t>上草履；麻裏草履；古草履；フェルト草履；福草履</t>
        </is>
      </c>
      <c r="G4809" t="inlineStr">
        <is>
          <t>草履取；草履とり</t>
        </is>
      </c>
      <c r="H4809" t="n">
        <v>29</v>
      </c>
      <c r="I4809" t="inlineStr">
        <is>
          <t>雨の中を板裏の草履で歩いて来たので、背中まで跳泥が一杯上っていた。；半七が神前に奉納した箱のなかには、泥だらけの古草履が入れてあった。；子供はこの草履の音を聞きながら母の背中で寝てしまう事もあった。；どこかで廊下を歩く草履の音がし、もっと遠くで犬の吠えるのが聞える。；お廊下のことをおめんどうといい、草履のことをおこんごうといってる。；その当時を知る人からは「草履を履いてきたんだよね」と言われるという。；達者な者は早朝から江戸を出て草履か草鞋ばきで日帰りの短い旅をする。；どこで手に入れたのか、徳次は白い紙緒の藁草履をちやんとはいてゐた。；兄はよく草履ばきでその石の上に跼んで、そこらを見ていられました。；母の草履は孫の靴を追うようにして、ひっそりと三和土からなくなった。；そして今度こそは、もう自分の草履の話は聞かずにすむだろうと思いました。；やうやくその跫音は自分の草履の音だとわかつたとき彼は草履を捨てた。；名刺やノートブックも用意して、炊事場の草履をはいて町へ出て行った。；数十日して太郎が戻ってくると、船の中の草履はぼろぼろのものになっていた。；丁度その時、一人の人影が草履の音を忍ばせて、此家に入らうとしたので。；恰度その時、一人の人影が草履の音を忍ばせて、此家に入らうとしたので。；やや湿りを帯びた彼の草履が、闇の中でぴたぴたと異様な音を立てた。；私はこの下駄屋では新聞代の代りに下駄や草履をもらったこともある。；こう思って、父はそっと雨戸を一枚あけて、草履をはいて庭に降りた。；私には鞄がお古であることよりも、草履袋の色が赤いことの方が気になった。；百姓は草履を脱がなければそこの家の前を通れなかったような問屋もある。；かやは作りかけの草履を置き、目を細めて八重の指す地図の上に顔を向けた。；ほかに大きな草履の形をした仙女遺履、象の形をした石象頭などがある。；何だろうと思って手をやってみると、古草履が一つにょきりと出た。；源は藁草履と言われる程の醜男子ですから、一通りの焼手ではないのです。；一人は髪の二三寸伸びた頭を剥き出して、足には草履をはいている。；「皆何してるだか」 云って、また二人男の子が草履の音をさせて入って来た。；実際、日本人が草履をはいていた時代には、足白癬の報告はほとんどない。；そこへ、草履の音がぴたぴたと近づいて来て、表障子がしずかに開いた。</t>
        </is>
      </c>
      <c r="J4809">
        <f>HYPERLINK("https://www.weblio.jp/content/草履", "词义详情")</f>
        <v/>
      </c>
      <c r="K4809">
        <f>HYPERLINK("https://yourei.jp/草履", "查看例句")</f>
        <v/>
      </c>
    </row>
    <row r="4810">
      <c r="A4810" t="inlineStr">
        <is>
          <t>総理大臣</t>
        </is>
      </c>
      <c r="B4810" t="inlineStr">
        <is>
          <t>成功</t>
        </is>
      </c>
      <c r="C4810" t="inlineStr">
        <is>
          <t>読み方：そうりだいじん
⇒内閣総理大臣</t>
        </is>
      </c>
      <c r="D4810" t="inlineStr">
        <is>
          <t>総理大臣経験者；総理大臣ダンダーン；総理大臣兼；総理大臣候補；総理大臣就任</t>
        </is>
      </c>
      <c r="E4810" t="inlineStr">
        <is>
          <t>王；大統領；首相；国王；女王</t>
        </is>
      </c>
      <c r="F4810" t="inlineStr">
        <is>
          <t>当時総理大臣；菅直人内閣総理大臣；小泉純一郎内閣総理大臣；鳩山由紀夫内閣総理大臣；大阪国総理大臣</t>
        </is>
      </c>
      <c r="G4810" t="inlineStr">
        <is>
          <t>総理大臣秘書官；総理大臣杯；総理大臣賞；総理大臣杯全日本大学サッカートーナメント；総理大臣指名選挙</t>
        </is>
      </c>
      <c r="H4810" t="n">
        <v>29</v>
      </c>
      <c r="I4810" t="inlineStr">
        <is>
          <t>かつて総理大臣をした人に、おじさんと同じ名前の人がいたように思う。；総理大臣もそれを希望したが、さすがに警備上の理由で認められなかった。；彼の立場に立てば、どこの国の総理大臣だってびっくりしたでしょう。；学校設立は日本の田中角栄総理大臣がメキシコを訪問した後のことだった。；どこかの国の総理大臣で肉を絶対に食べない信念の人がいたそうだ。；あなたは総理大臣の秘密をお聞きになる権利を持って居るですか。；この訪問者の中に安倍晋三総理大臣の妻である安倍昭恵が含まれている。；新しい議会は教授を総理大臣に指名し、十数名の大臣が任命された。；著名な政治家の夫人で、今年の秋には総理大臣夫人にもなるひとであった。；元老である西園寺公望に次の総理大臣候補として期待されていたという。；あなたは総理大臣の秘密を、お聞きになる権利を持っているですか。；総理大臣さえこれに反対したが、ついに艦隊操作方式が完成された。；デ総理大臣が腰をかけられたその側に、また一人腰をかけられた人があった。；そうかと思うと現代の教祖総理大臣よりも抜け目のないようなところもあるね。；その先には濃いグレーのスーツを纏った、大阪国総理大臣の姿があった。；また総理大臣経験者として、死因が自殺である人物も近衞が唯一である。；彼はこの国の総理大臣とも云うべき六十を過ごした老人であった。；大阪国総理大臣のどこか緊張を帯びた眼差しが、正面で松平を捉えていた。；自分と総理大臣にクリームコーヒーを運んできてもらうためである。；「そうではない松平さん」 大阪国総理大臣はゆっくりと首を横に振った。；なかなかしたたかな人で、だからこそ総理大臣にまでなれたのでしょう。；総理大臣はあなたをネパールの内地へ入れることを許さない考えである。；がしかし、総理大臣にとつて詩よりももつと大事なのは散文である。；この国の運転手や給仕には、一国の総理大臣同様な恰幅容貌の男が多い。；もちろん田中青年は総理大臣になれると信じていたわけではない。；その頃私は矢張り総理大臣になる野心に燃えていたのかも知れない。；それがどうなの、どうでもいいわよ、総理大臣の一人ぐらい多くても少なくても!；のちにこの盟約には、明治34年に総理大臣となった桂太郎も加わった。；彼の人気なら、日本最年少の総理大臣になることも夢ではなかったはずである。</t>
        </is>
      </c>
      <c r="J4810">
        <f>HYPERLINK("https://www.weblio.jp/content/総理大臣", "词义详情")</f>
        <v/>
      </c>
      <c r="K4810">
        <f>HYPERLINK("https://yourei.jp/総理大臣", "查看例句")</f>
        <v/>
      </c>
    </row>
    <row r="4811">
      <c r="A4811" t="inlineStr">
        <is>
          <t>創立</t>
        </is>
      </c>
      <c r="B4811" t="inlineStr">
        <is>
          <t>成功</t>
        </is>
      </c>
      <c r="C4811" t="inlineStr">
        <is>
          <t>読み方：そうりつ
［名］(スル)組織や機関を初めてつくること。創設。「会社を—する」「—記念日」</t>
        </is>
      </c>
      <c r="D4811" t="inlineStr">
        <is>
          <t>創立メンバー(4%)；創立以来(4%)；創立時(3%)；創立当初(3%)；創立者</t>
        </is>
      </c>
      <c r="E4811" t="inlineStr">
        <is>
          <t>設置；建設；設立；組織；設定</t>
        </is>
      </c>
      <c r="F4811" t="inlineStr">
        <is>
          <t>創立大会；会社創立；共同創立；球団創立；大学創立</t>
        </is>
      </c>
      <c r="G4811" t="inlineStr">
        <is>
          <t>創立記念日；創立総会；創立費；創立者メダル</t>
        </is>
      </c>
      <c r="H4811" t="n">
        <v>29</v>
      </c>
      <c r="I4811" t="inlineStr">
        <is>
          <t>マルクスは1864年に設立された国際労働者協会の創立宣言を書いた。；これが現在の日本将棋連盟の前身で、連盟はこの年を創立の年としている。；第一次世界大戦後の大正9年には国際連盟協会を創立して会長に就任。；明治23年に境内に移した浄土宗の学校をもとに淑徳女学校を創立した。；東京俳優生活協同組合に所属し、同組合の創立メンバーの一人であった。；キリスト教関係書籍の出版・社会的コミュニケーションのために創立される。；創立は1897年で、日本の大手私鉄の中では最も古い老舗企業である。；北部同盟の政治目標は創立当初、それほど明確に決定された物ではなかった。；創立以来続けられてきた商業教育は現在行われていない。；アントノフでは、創立以来輸送機を中心に旅客機などの設計を行っている。；拓殖大学が創立されて以来のキャンパスで、大学の本部もここにある。；そしてこの地に大学を創立し、芸術を通した平和を追求している。；初代校長にグロピウスが就任し、同年にバウハウス創立宣言が出された。；コルカタには1857年創立のコルカタ大学をはじめ多くの大学がある。；帝塚山学院は、帝塚山学園の創立に関わった経緯があるが別法人である。；自主自律の精神育成のために、創立以来ノーチャイム制を実施している。；創立は1877年に教育博物館が設置されたときとしている。；大正15年には日本太平洋問題調査会を創立して評議員会会長となった。；創立以来変わらずに日常生産されているものもある。；歴史ある大学の一つであり、2013年に創立150年を迎えている。；更に特別カラー仕様モデルや創立60周年記念モデルも設定された。；同年、世界で2番目に古い経営学の学会である日本経営学会が創立された。；主要株主で創立時からの中心メンバーだった野田もフジテレビ出身である。；創立大会宣言では、イタリアの領土の拡大を主張している。；近年新校舎が竣工したが、創立時より所在する本館も大切に使い続けられている。；創立から約3年の短命に終わるも、治安警察法第5条の一部改正に成功。；一般的にはサッカー部となった1972年が創立年とされている。；また支部を甲種中学校に格上げ創立するなど全国的な教育改革に邁進した。；マギル大学はいくつかの主要な大学とカレッジの創立に貢献した。</t>
        </is>
      </c>
      <c r="J4811">
        <f>HYPERLINK("https://www.weblio.jp/content/創立", "词义详情")</f>
        <v/>
      </c>
      <c r="K4811">
        <f>HYPERLINK("https://yourei.jp/創立", "查看例句")</f>
        <v/>
      </c>
    </row>
    <row r="4812">
      <c r="A4812" t="inlineStr">
        <is>
          <t>送料</t>
        </is>
      </c>
      <c r="B4812" t="inlineStr">
        <is>
          <t>成功</t>
        </is>
      </c>
      <c r="C4812" t="inlineStr">
        <is>
          <t>読み方：そうりょう
品物を送るのにかかる料金。送り賃。「—込み」</t>
        </is>
      </c>
      <c r="D4812" t="inlineStr">
        <is>
          <t>送料無料(10%)；送料負担(2%)；送料着払い</t>
        </is>
      </c>
      <c r="E4812" t="inlineStr">
        <is>
          <t>貨物輸送</t>
        </is>
      </c>
      <c r="H4812" t="n">
        <v>29</v>
      </c>
      <c r="I4812" t="inlineStr">
        <is>
          <t>送料や箱代は売り手がもってくれるから、犬の値だけでよろしいそうだ。；もしそうだとしたら、送料なんぞ払ってやるもんか、と思っていたんだ。；キャンペーンで購入金額にかかわらず、全ての送料が無料になっている。；無料権利用後、次の無料権を取得するまでの注文は本体価格+送料となる。；また、輸送コストなどの理由により、価格や送料が高くなる商品もある。；しかも宛先が国内であれば出版社の側で送料を負担することになっておりましてね。；数多くの書籍を160以上の国へ送料無料で販売している。；なお、通信販売で購入した場合、修理の際の送料は自己負担になる。；他の普及誌と合わせて5冊以上申し込むと、送料の割引が受けられる。；書籍通販の際に送料を無料にするために端数調整するための本として刊行された。；通常の通販と同じく送料が必要であり、返品や修理の場合にも負担となりやすい。；送料共で六百円ぐらいだったと思う。；また、トレード機能も搭載されており、アイテムの送料を負担すればユーザー間でのアイテム交換も可能。；送料と手数料とを払ったあげく、今度は返送料を払わなければならない。；amazonの物販送料を回避するために30円という値段で提供された。；大会不参加の方で希望者については、送料本人負担にて記念Tシャツ。；また、特別な日本語吹き替え版を作成し、制作費や送料はすべてシホヨスが負担した。；また送料も完全無料ではなく、1回に1500円以上購入することが条件となった。；その他、即日出荷対応、全品送料無料などのサービスを展開している。；販売者は、様々な国向けや運送業者に応じた送料のレートを自分で設定することが出来る。；送料は商品の注文価格が税抜1500円以上であれば無料。；PayPayの残高で商品の購入ができるほか、全ての商品の送料は出品者が負担するとしている。；また遠方のファンには在庫がある限り、送料実費のみ負担で無料発送も行っていた。；また同一都道府県内のものを1冊は無料で、他の地域のものも送料・料金を支払うことで入手可能である。；ぼくは代金と送料をおくり、なおお礼のため最近の著書をおくった。；この制度の登場により、送料の複雑化を招く事となり、複雑化した制度を利用者が理解しなければならない状態となっている。；発売から半年以上経過後、フルボイス化DISCが送料自己負担の上で無料配付されることとなった。；宅配の場合は送料は無料となるが、早めの予約が必要となる。；有体に言ってしまうと、実は俺も一杯担がれてるんじゃないかと思っていたので、もしそうだったら、むろん送料なども送ってやるものかと思っていた。</t>
        </is>
      </c>
      <c r="J4812">
        <f>HYPERLINK("https://www.weblio.jp/content/送料", "词义详情")</f>
        <v/>
      </c>
      <c r="K4812">
        <f>HYPERLINK("https://yourei.jp/送料", "查看例句")</f>
        <v/>
      </c>
    </row>
    <row r="4813">
      <c r="A4813" t="inlineStr">
        <is>
          <t>添える</t>
        </is>
      </c>
      <c r="B4813" t="inlineStr">
        <is>
          <t>成功</t>
        </is>
      </c>
      <c r="C4813" t="inlineStr">
        <is>
          <t>読み方：そえる
［動ア下一］［文］そ・ふ［ハ下二］
１主となるもののそばにつける。補助として付け加える。「贈り物に手紙を—・える」「薬味を—・える」「介護の手を—・える」
２引き立たせるために付け加える。「興を—・える」「錦上花を—・える」
３付き添わせる。付き従わせる。「旅行に案内役を—・える」
４なぞらえる。
「たな霧(ぎ)らひ雪も降らぬか梅の花咲かぬが代(しろ)に—・へてだに見む」〈万・一六四二〉
→加える［用法］</t>
        </is>
      </c>
      <c r="D4813" t="inlineStr">
        <is>
          <t>添えるべき</t>
        </is>
      </c>
      <c r="E4813" t="inlineStr">
        <is>
          <t>伴う；同行；従う；沿う；同道</t>
        </is>
      </c>
      <c r="F4813" t="inlineStr">
        <is>
          <t>申し添える；軽く添える</t>
        </is>
      </c>
      <c r="H4813" t="n">
        <v>29</v>
      </c>
      <c r="I4813" t="inlineStr">
        <is>
          <t>そして彼以外にももう一人、この物語に色を添える人物が登場してくる。；もっとも、わたしには何人かの証人があることも言い添えるつもりです。；ただ言い添えるならば長年に渡る文学的伝統はクフの人気を証明しない。；このパノラマ風の眺めは何に限らず一種の美しさを添えるものである。；その紙を囲んで座った三人が指を延ばして五百円玉の上にそっと添える。；その中を風に目覚めた鳥の叫びや獣の叫びが走り、高音の彩りを添える。；でも、殿下と兄に頼んで、ぜひお気持に添えるようにしたいと思います。；反射的に俺も右腰の光剣に手を添えるが、黒マントはそこで動きを止めた。；僕が手を伸ばして桜井のうなじに添えると、桜井の口の動きが止まった。；彼女には田舎の陽気な思い出話に味を添える独特な言葉使いがあった。；書くときは、行の中央ではなく前の字の右下に添えるように書く。；実際にダンスの際に男性がパートナーの臀部に手を添えることもある。；だがこんなとき、手作りの幾品かを富喜枝は必ず添えることにしていた。；玉子に力を添えるが如く、初之助の笛の音は塀を越えて静かに流れてくる。；後を継いだ場合、お前の研究に必ずや何らかの力を添えるものと信じている。；この企画書に添えるロボットをデザインしたのは大河原邦男である。；その視線を軽やかに無視したエリカは、どこか悪魔的な笑顔で言い添える。；点火して後に親族間で束を分け、それぞれが焼香台に添える場合もある。；自分の撮った写真に自分で文章を添えることもありますから、文章も書きます。；父は乾いた会話に色彩を添えるため、やがて好きな方面の問題に触れてみた。；充分中の光彩を添えるだけのものでなくてはならないでしょう。；それは、この簡単な言葉に恐ろしい不吉な意味を添える微笑だった。；鮎は蓼酢で食べるのが一般的だが、ほかにも蓼味噌を添える場合もある。；そうであれば、彼も広告部長として、口を添える心積りではいたのである。；覚悟していたものの、お龍は髪を切って仏前に添えると、大泣きしたという。；スウェーデンではオーストリアとは異なり、グレイビーソースを添える。；それゆえ、われわれはただ、次のように言い添えるだけにとどめよう。；もう一人の手が昌代の背中に添えるようにして当てられた。；蒿岳は、この妾宅へ稀にみえても、もうお墨の意慾に添える年ではない。</t>
        </is>
      </c>
      <c r="J4813">
        <f>HYPERLINK("https://www.weblio.jp/content/添える", "词义详情")</f>
        <v/>
      </c>
      <c r="K4813">
        <f>HYPERLINK("https://yourei.jp/添える", "查看例句")</f>
        <v/>
      </c>
    </row>
    <row r="4814">
      <c r="A4814" t="inlineStr">
        <is>
          <t>即座に</t>
        </is>
      </c>
      <c r="B4814" t="inlineStr">
        <is>
          <t>成功</t>
        </is>
      </c>
      <c r="D4814" t="inlineStr">
        <is>
          <t>即座に対応できる</t>
        </is>
      </c>
      <c r="E4814" t="inlineStr">
        <is>
          <t>即時；覿面；即時性</t>
        </is>
      </c>
      <c r="H4814" t="n">
        <v>29</v>
      </c>
      <c r="I4814" t="inlineStr">
        <is>
          <t>武器を1つ取ると即座に敵の出現テーブルが大きく変化することがある。；われわれの剣は銃を捨てて即座に対応するための有効な武器ではないのだ。；論争や批判があったにもかかわらず、センターは即座に成功をおさめた。；また、あまりにもくだらない答えを言った場合は即座に雷が落とされる。；その計画をきいた松木夫人がそくざにこの街とこのホテルを口にしたのだ。；ペインは即座に次の遠征を計画したが、それを率いることは無かった。；即座に砦の状態が調査され、モービル市との通信手段が全て遮断された。；立ち入り禁止区域にうかつに入った人間は即座に射殺されたと言われる。；と即座に歌で答え、その教養に驚いて白けてしまったという記述がある。；監査結果を受けた自民党は疑わしいと指摘された部分を即座に返還した。；地形もしくは敵に接触した場合はウェポンの装備に関係なく即座にミスとなる。；ワシントンはブロードウェイに作戦本部を置き、即座に行動を開始した。；日本では明治中期に即座に使えるような墨汁の製造が行われるようになった。；M60の機関部は複雑で、砂埃で即座に動作が停止してしまう傾向がある。；それに対し1940年に彼を支えた組織や人々は即座に強い支持を表明した。；この機能は車両の前方の信号が赤の場合に車両を即座に停止する事に使用される。；即座に浴びた批判から、ツェルメロは自身の結果の第2の解説を出版した。；この小説は即座に一種の古典となり、いくつかのSF映画に着想を与えた。；かねてよりパレスチナに融和的だった労働党は、即座にこの計画を支持。；わたしは、そくざにきわめてすばやく思考をめぐらさねばならなかった。；指揮官はポタワトミ族に捕まり15名の守備兵の大半は即座に殺された。；どの質問希望者を指名するかは議長がその場で即座に判断する。；これを聞いた呉用は即座に詫びると、ここに来た本当の理由を三人に話した。；ミルロイが後にハーパーズ・フェリーに現れたとき、即座に逮捕された。；ドイツ・オーストリアとの不平等条約は即座に撤廃することが出来た。；それを見たバベルの塔が即座に治療装置にかけたために一命は取り留めた。；第2指揮官が指揮を替わったがまた即座に戦死しただけであった。；魔法はレベル制が排除され、店で買えば即座に呪文が使えるようになった。；EDSACが開発されると即座に大学の研究用に使われ始めた。</t>
        </is>
      </c>
      <c r="J4814">
        <f>HYPERLINK("https://www.weblio.jp/content/即座に", "词义详情")</f>
        <v/>
      </c>
      <c r="K4814">
        <f>HYPERLINK("https://yourei.jp/即座に", "查看例句")</f>
        <v/>
      </c>
    </row>
    <row r="4815">
      <c r="A4815" t="inlineStr">
        <is>
          <t>続出</t>
        </is>
      </c>
      <c r="B4815" t="inlineStr">
        <is>
          <t>成功</t>
        </is>
      </c>
      <c r="C4815" t="inlineStr">
        <is>
          <t>読み方：ぞくしゅつ
［名］(スル)同じようなことが次々と続いて出たり起こったりすること。「反論が—する」「事故が—する」</t>
        </is>
      </c>
      <c r="D4815" t="inlineStr">
        <is>
          <t>続出する中；続出する事態；続出する状況</t>
        </is>
      </c>
      <c r="E4815" t="inlineStr">
        <is>
          <t>相次いで発生；続々と出現</t>
        </is>
      </c>
      <c r="F4815" t="inlineStr">
        <is>
          <t>故障者続出；死傷続出；怪我人続出；損害続出；負傷者続出</t>
        </is>
      </c>
      <c r="H4815" t="n">
        <v>29</v>
      </c>
      <c r="I4815" t="inlineStr">
        <is>
          <t>病院の前に勝手に駐車する人が続出したため看板を出したからではないか。；実験は気分が悪くなる乗客が続出したため、翌3月24日に中断された。；また、コンサートに行くこと自体を禁止する中学校・高校が続出した。；解任された理事達は各地で公演を行い、組織から離れる者達が続出する。；その後、その経験が番組制作に大いに生かされヒット番組を続出させた。；ユダの軍は脱走兵が続出し、残ったのはわずか800人に過ぎなかった。；しかしタイトルのための露骨なプレーにファンなどから不満が続出。；水と野菜の不足が深刻になり壊血病患者が続出していたためである。；その後は怪我人が続出したこともあり、ボランチとして試合に出場した。；鉄道界と沿線の注目のうちに運転を開始したが、故障が続出した。；しかし、故障機続出で戦力維持も困難でありB29などへの戦果はなし。；その後、朱元璋側に寝返る者が続出し、長江沿岸の拠点を次々に失った。；この戦いには多くの死傷者が続出し、将軍の中にも戦死したり捕虜になった者が多い。；このため実験対象とされた人々には不満が続出した。；事件の起こった学校では、事件後に報道があるたびに気分が悪くなる生徒が続出した。；しかし違反者が続出したので、満奮は逮捕して河南尹の楽広に送致した。；しかしながら運用開始後ほどなくして次々に各種不具合が続出した。；だが、神鷹は試験運転の際から機関系統のトラブルが続出していた。；日曜日の決勝は全てのクラスがウェットレースとなり、転倒者が続出した。；この試合は雪深い国立競技場で行われ、試合中に転倒する選手が続出した。；また、警保局や地方局を中心に公職追放の対象となる官僚が続出した。；また回避馬が続出し、当時の戦後最少頭数となる21頭でのレースとなった。；冬の寒さと飢えとにより倒れる者が続出し、落城は時間の問題となる。；将校には捕虜になった際の用心として階級章をもぎ取る者が続出した。；ハンガリーGPの決勝は難しいウェットな路面で接触するマシンが続出。；さらに負傷離脱選手の続出や3バックへのシステム変更なども伴ってチームは混迷。；一方、新名称に批判が続出するなどして、名称を再検討した例としては以下の例がある。；あまりの強さに対戦を避ける馬が続出して出走を予定していた競走が不成立になったこともあった。；ただ、意見の対立に伴う議論の停滞や先送りといった問題も続出した。</t>
        </is>
      </c>
      <c r="J4815">
        <f>HYPERLINK("https://www.weblio.jp/content/続出", "词义详情")</f>
        <v/>
      </c>
      <c r="K4815">
        <f>HYPERLINK("https://yourei.jp/続出", "查看例句")</f>
        <v/>
      </c>
    </row>
    <row r="4816">
      <c r="A4816" t="inlineStr">
        <is>
          <t>促進</t>
        </is>
      </c>
      <c r="B4816" t="inlineStr">
        <is>
          <t>成功</t>
        </is>
      </c>
      <c r="C4816" t="inlineStr">
        <is>
          <t>読み方：そくしん
［名］(スル)物事がはやくはかどるようにうながすこと。「販売を—する」</t>
        </is>
      </c>
      <c r="D4816" t="inlineStr">
        <is>
          <t>促進するため(6%)；促進される(4%)；促進させる(3%)；促進法；促進剤</t>
        </is>
      </c>
      <c r="E4816" t="inlineStr">
        <is>
          <t>起用；推進；育成；昇進；進める</t>
        </is>
      </c>
      <c r="F4816" t="inlineStr">
        <is>
          <t>建設促進；成長促進；整備促進；交流促進；開発促進</t>
        </is>
      </c>
      <c r="G4816" t="inlineStr">
        <is>
          <t>促進ルール</t>
        </is>
      </c>
      <c r="H4816" t="n">
        <v>29</v>
      </c>
      <c r="I4816" t="inlineStr">
        <is>
          <t>例えば、一般大衆のを促進するような対策が効果的である可能性が高い。；その理由は、この結合が本来の仕事を1000倍に促進するためである。；彼の名がもっとも知られているのは、女性の高等教育の促進への貢献である。；この場合は飲料の水分も入っていたため反応が促進されたと考えられている。；現在でも多くの著名人が湖畔に滞在し、観光客の流れを促進しています。；以上のように、この発言は促進派の感情を刺激し、強い反発を招いた。；そして通貨の価値と信頼性を回復させ、商品交換を促進させねばならない。；井上の適切な指揮で、兵学校の拡張工事は大幅に促進される結果となった。；これを抑えるため、新しいサービスを積極的に導入して利用を促進している。；同条例で整備促進路線を定め、路線に接した敷地を対象としている。；FIFAは積極的に得点を狙うプレーを促進するようなルール改正を行った。；アメリカの開拓を促進することになった宗教紛争も初期著作の話題になった。；ゴアの政策のおかげでインターネットの発展は大いに促進された。；また、国家は相互通信のための国語の発展を促進しなければならないとされている。；彼はこの戦略を実現するため、兵器と補給システムの革新と拡張を促進した。；この焚書は、旧書体を廃止し篆書体へ統一する政策の促進にも役立った。；新しい飼い主探しを促進するための施設整備などを行うという。；内部はゴム製で発汗が促進されてしまうことを懸念したためである。；発根を促進させる薬剤としては下に挙げるようなものが知られる。；そしてこの高密度な状態が星形成を促進するため、腕は輝いて見える。；次の機運は町村合併促進法に基づいた昭和の大合併によるものであった。；特に、主要顧客の逓信省との良好な関係維持を促進するものであった。；世界の他の主だった国々では、地元法人が組織の業を促進するために設立されている。；彼らはアイルランド自治獲得促進の意志をもって参戦したのにそれまではイギリスへの協力者と非難されてきた。；こうした合理的な機能の地理的分散を促進するうえで東名は力を発揮する。；その際、FDAへの財政支援や利用促進策について支援を検討するとした。；この社会的促進の発見が、社会心理学における最初の実証実験とされる。；彼は鉄道の発展は流通を促進し、そのほかの分野の経済発展ももたらすと見ていた。；下関条約で工業企業権が諸外国に与えられ、工場建設が促進された。</t>
        </is>
      </c>
      <c r="J4816">
        <f>HYPERLINK("https://www.weblio.jp/content/促進", "词义详情")</f>
        <v/>
      </c>
      <c r="K4816">
        <f>HYPERLINK("https://yourei.jp/促進", "查看例句")</f>
        <v/>
      </c>
    </row>
    <row r="4817">
      <c r="A4817" t="inlineStr">
        <is>
          <t>即する</t>
        </is>
      </c>
      <c r="B4817" t="inlineStr">
        <is>
          <t>成功</t>
        </is>
      </c>
      <c r="C4817" t="inlineStr">
        <is>
          <t>読み方：そくする
［動サ変］［文］そく・す［サ変］ぴったり適合する。「実情に—・した対策を練る」</t>
        </is>
      </c>
      <c r="D4817" t="inlineStr">
        <is>
          <t>従う；適応；同調；適合；順応</t>
        </is>
      </c>
      <c r="H4817" t="n">
        <v>29</v>
      </c>
      <c r="I4817" t="inlineStr">
        <is>
          <t>これなど自然主義的描寫に即する一面の歸結と見て然るべきものである。；但それは作られたものからというに即するが故に、環境的といわねばならない。；主観の内面に即するかぎりでは、そういう納得の仕方でいいのかもしれない。；その方が一般的イメージに即すると思うからである。；見る眼が見られる物に即するといってもよい。；これに即することを、本来的実存への意志が肯定するはずである。；しかも生活に即するそれらのものこそ、むしろ工藝の本流であることを感じたのである。；分厚なもの、頑丈なもの、健全なもの、それが日常の生活に即する器である。；現実に即するものに、現実を越えた美が最も鮮かに示されるとは、如何に微妙な備えであろう。；歴史的事例に即するかぎり、モスコヴィシの解釈は的を射ている。；吾等が地に着き、地を耕すのは、是れ天地の輪廻に即する所以である。；ここまで来てイデオロギーの論理学は初めて現実的情勢に即するまでに具体化されるのである。；この意味では、「物のあはれ」は世間の人情に即するものと解せられなくてはならぬ。；事実に即するよりも大いなる文章の道はない。；といって、我に即すればわれそのものがじゃまになる。；当たり前のことで、立地条件に即するといっても、何もむつかしく考える必要はない。；用に即することと美に即することとは、工藝においては同時である。；首相は、一木氏は日本帝国の天皇の御位置のことに就いては、云々していないと聞いていると云うが、それは如何なる根拠に即するか。；用に即するとは、用品たることという義であるから、その美は用たることから発するのである。；現実に即するものに、現実を越えた美が最も鮮かに示されるとは、如何に微妙な備へであらう。；答 用に即する美を云うのである。；それは、文学はもとより理論ばかりの上に開花するものではないけれども、わたしたちが今日から明日へと生活の真実と文学の良心とを発展させてゆくためには、どんなに世界歴史の進行に即する正しい認識がなければならないかということである。；物自体に即することが散文の本質で、語に焦点をおくことを本質的に嫌わねばならないのである。；公民館とは、現代の日本において住民のために、実際生活に即する教育・学術・文化に関する各種の事業を行う教育機関のことである。；こうやって得られた情報は、面接を行った側が印象として脳裏に留めるに終わるか、第三者の便に即するように所定の書式で書類化されるかは面接の目的にもよって様々ではあるが、その多くではより多くの者を面接するうえで質問事項や様式が定型化されており、面接を受ける側が示した様々な反応は、何らかの形で記録される。；これも亦、芸術本来の精神に即するもので、たとえ同性に扮するにもトコトンまで扮しなければならぬ。；けれども、彼の見るところ、接近方法はその都度ちがい、それぞれ異様にあらわれるその場その場の状況に即するごく自然の反応、計算やこまかな配慮をまったく欠いた反応以上のものではなかった。；立地条件に即するというのは、どこの鉱山にあるどの鉱石が現在は棄てられているから、それを何とかしようというのではない。；そこで実態に即するために律令にて定められていない官の使職が置かれ、律令の官は形骸のみを残し、実権は使職に移った。</t>
        </is>
      </c>
      <c r="J4817">
        <f>HYPERLINK("https://www.weblio.jp/content/即する", "词义详情")</f>
        <v/>
      </c>
      <c r="K4817">
        <f>HYPERLINK("https://yourei.jp/即する", "查看例句")</f>
        <v/>
      </c>
    </row>
    <row r="4818">
      <c r="A4818" t="inlineStr">
        <is>
          <t>属する</t>
        </is>
      </c>
      <c r="B4818" t="inlineStr">
        <is>
          <t>成功</t>
        </is>
      </c>
      <c r="C4818" t="inlineStr">
        <is>
          <t>読み方：しょくする
［動サ変］［文］しょく・す［サ変］
１ある勢力に従う。所属する。ぞくする。「政党に—・する」
２望みを託す。嘱する。「最後の望みを—・する」
３ずっと同じような状態が続く。
「程無く静謐に—・して、一天下又泰平に帰せしかば」〈太平記・一五〉</t>
        </is>
      </c>
      <c r="D4818" t="inlineStr">
        <is>
          <t>属する市町村で制定</t>
        </is>
      </c>
      <c r="E4818" t="inlineStr">
        <is>
          <t>参加；所属；加入；付属；附属</t>
        </is>
      </c>
      <c r="F4818" t="inlineStr">
        <is>
          <t>属する一括受託；属する島部選挙区；属するサブゾーン；属する中規模警察署；属する電空カム</t>
        </is>
      </c>
      <c r="H4818" t="n">
        <v>29</v>
      </c>
      <c r="I4818" t="inlineStr">
        <is>
          <t>そして電子の属する軌道の種類に応じて、電子も分類されて呼称される。；そんな症状を抱えていると、なかなか社会的な組織には属せないからね。；以下の画像の楽器は18世紀フランス様式のものであり、後者に属する。；この時代に属する遺跡は、日本列島全体で1万箇所以上発見されている。；上の例ではのチー、下の例ではのポンがBグループに属する副露である。；ただし高地地中海性気候に属する地域は非常に小さな範囲に限られている。；アルタイ諸語に属するとする説は、明治時代末から特に注目されてきた。；且つ、内部は境界がそれに属せざる領域なるが故に開かれているという。；その他の会社は、下記の会社を中心とするグループのいずれかに属する形となる。；また、内容語にはたくさんの語が属するが、機能語は数が限られている。；ただし、それらは当然ながら個人、あるいは家族に属するものである。；まず、形容詞に属する語の数については、多い言語と少ない言語がある。；まず県に属する県尉と路・州に属する巡検とが犯罪者の逮捕に当たる。；尚、以下の項目では九州本島ではなく、九州地方に属するものを挙げる。；しかし派遣した医師の交代など人事は医局側に属するのが通例である。；日本、カナダ等も、このタイプの総選挙を行う国のカテゴリーに属する。；そのため、これに研究従事する人々の属する分野は様々である。；その他で、リアリズムに分類されない作家はビーダーマイヤーに属する。；アングリカン・コミュニオンに属する各教会では祈祷書が使用されている。；しかし、それらは今も植物に属するものとして語られることもある。；なお、保線用機械に属するモーターカーの一部でも機械式が使われている。；の異なる元 に対して、 または のうちの何れか一方のみが に属する。；本グループに属する車両としては以下の各形式が製造された。；だが、作品の各分野やジャンルが文学に属するか否かの分類にはとくに慎重であるべきである。；この語派に属する言語はすべて死語となっていて歴史的な資料にのみ残されている。；これとは異なり、ある問題がNP困難であってもNPに属するとは限らない。；動物の分類のひとつで、後口動物の脊索動物門に属する単系統群である。；路の役割はあくまで監督であり、州は路に属するわけではなく中央直属の機関である。；このグループに属する車両の書類上の前歴と竣工日、メーカーは以下の通り。</t>
        </is>
      </c>
      <c r="J4818">
        <f>HYPERLINK("https://www.weblio.jp/content/属する", "词义详情")</f>
        <v/>
      </c>
      <c r="K4818">
        <f>HYPERLINK("https://yourei.jp/属する", "查看例句")</f>
        <v/>
      </c>
    </row>
    <row r="4819">
      <c r="A4819" t="inlineStr">
        <is>
          <t>ぞくぞく</t>
        </is>
      </c>
      <c r="B4819" t="inlineStr">
        <is>
          <t>成功</t>
        </is>
      </c>
      <c r="C4819" t="inlineStr">
        <is>
          <t>［副］(スル)
１寒けがするさま。「風邪で—（と）する」
２感情の高ぶりや緊張、また、恐怖などのために身震いするさま。「試合を前に—（と）する」</t>
        </is>
      </c>
      <c r="D4819" t="inlineStr">
        <is>
          <t>ぞくぞくするよう(8%)；ぞくぞくとつめかけ；ぞくぞくと寒く；ぞくぞくする感覚；ぞくぞくと詰めかけ</t>
        </is>
      </c>
      <c r="E4819" t="inlineStr">
        <is>
          <t>震える；戦慄；身震い；身ぶるい；顫える</t>
        </is>
      </c>
      <c r="F4819" t="inlineStr">
        <is>
          <t>背筋をぞくぞく；嬉しくてぞくぞく</t>
        </is>
      </c>
      <c r="G4819" t="inlineStr">
        <is>
          <t>ぞくぞくッと</t>
        </is>
      </c>
      <c r="H4819" t="n">
        <v>29</v>
      </c>
      <c r="I4819" t="inlineStr">
        <is>
          <t>意味のないことに意味があるような気がして、身体中がぞくぞくするの。；当然のことではあろうが、奥に会うことを考えると身内がぞくぞくした。；それにいまのチームには見ていて体がぞくぞくするような選手もいなかった。；体がぞくぞくするような寒さで、近くの山々で獣の夜泣き声が聞えたね。；やがて、定めの時刻の八時ともなれば、客がぞくぞくとつめかけてきた。；木の腰掛に坐っていると、足の先からぞくぞくと寒さが全身に上ってきた。；道路の真ん中を大手を振って歩けるな、と思うだけで胸がぞくぞくした。；その想像は、生まれて初めてのぞくぞくするような興奮をもたらした。；まだ普及していない国や地域にむけて、ぞくぞくと送り出されつつある。；竜騎士たちがぞくぞくと竜の背から滑りおり、決められた位置についた。；どうやらこの会話は彼女にぞくぞくするような幸福感をあたえたらしい。；つぎの一日、新吉はからだ中がぞくぞくするほど幸福な気持ちでいました。；奇妙なゾンビーみたいな女の子たちがぞくぞくと生まれてくるわけである。；そう思った瞬間、ぞくぞくするような快感が込み上げてくるのを感じた。；正面に白い帯がかかり、書かれた文字が見物人の心をぞくぞくさせた。；トミーはこう考えて、冷たいものがぞくぞくと背すじを走るのを感じた。；その眼が一層輝いたので、私は何となく身体がぞくぞくして来ました。；これらのフランス士官が訓練した幕兵がぞくぞくと戦場に到着した。；たまたま近くせ通りかかったあたしは、足を止めて、ぞくぞくと震えた。；炬燵に当っていても背のあたりがぞくぞくと刺すように寒さが迫って来た。；ぶるぶるしているのではなく、むしろ強くぞくぞくしているのでした。；日本人がぞくぞくと渡っていっただろうが、どんな国を作り上げたか。；ちょっと眼にはいっただけでも、背中の骨の髄からぞくぞくして来る。；ごく普通の笑顔なはずなのに、耕太の背筋にはぞくぞくと寒気が走った。；彼に触れている部分がぞくぞくし、彼の鼓動を感じるたびに脈が速まる。；その声はかれの血にぞくぞくするような奇妙な興奮を伝えた。；僕は部屋の闇を背中に感じながら背筋をぞくぞくさせ震えていた。；持っているセーターを全部着たが、それでもぞくぞくするほど寒かった。；彼女が下品なことを言ったりしたりすると、僕はぞくぞくするほど興奮した。</t>
        </is>
      </c>
      <c r="J4819">
        <f>HYPERLINK("https://www.weblio.jp/content/ぞくぞく", "词义详情")</f>
        <v/>
      </c>
      <c r="K4819">
        <f>HYPERLINK("https://yourei.jp/ぞくぞく", "查看例句")</f>
        <v/>
      </c>
    </row>
    <row r="4820">
      <c r="A4820" t="inlineStr">
        <is>
          <t>続々</t>
        </is>
      </c>
      <c r="B4820" t="inlineStr">
        <is>
          <t>成功</t>
        </is>
      </c>
      <c r="C4820" t="inlineStr">
        <is>
          <t>読み方：ぞくぞく
［副］絶え間なく続くさま。「見物人が—（と）入場する」「投書が—（と）寄せられる」</t>
        </is>
      </c>
      <c r="D4820" t="inlineStr">
        <is>
          <t>続々と登場；続々と到着；続々と誕生；続々と現れ；続々と集結</t>
        </is>
      </c>
      <c r="F4820" t="inlineStr">
        <is>
          <t>続々とつめかけ；続々と出版；皮切りに続々；続々とやってくる；続々とやってき</t>
        </is>
      </c>
      <c r="H4820" t="n">
        <v>29</v>
      </c>
      <c r="I4820" t="inlineStr">
        <is>
          <t>その他の収録曲もメンバーが出演する各ラジオ番組で続々と公開された。；特に北から南に向かう本通り沿いに続々と新しい建物が建てられていった。；その後も続々と多くの国がこの精神に賛同して救護団体を設立していった。；加えてリガ以外のラトビア在住のユダヤ人も続々とここへ送られてきた。；思考を促すような西洋の小説が続々とロシア語に翻訳されるようになった。；その噂を聞いた古いお得意が続々と都内から毎日商品を買いに来るようになる。；実際、マイクロアーマー等、その後類似の商品が続々と発売されている。；つまり、これから新規事業者が続々と生まれる可能性があったのである。；以来、梨田の近鉄所属当時同僚であった人物が続々所属するようになる。；この間には、アメリカのGM本社で開発された新技術が続々と移入された。；この間に続々とソ連船がUターンしているとの情報が入ってきた。；更に恋愛相手がスタジオに続々登場し、驚きの新事実が明らかになる。；このようにして米軍基地は沖縄戦のさなかから続々と敷設されていった。；更に大なる完全に彼を導くべく、大災禍は続々として彼を襲ったのである。；家を物色すると、偽造免許や拳銃など山崎の仕事道具が続々と出てくる。；ジャンルや枠にとらわれない様々な企画作品を続々発売している。；続々と登場する新世代戦艦を前に、アメリカも対応に迫られていたのである。；一方で周囲は再開発が進み、新たな商業施設が続々と設立されている。；彼女が死んだ時には、彼女の初期のアール・デコ絵画が続々と展示・販売された。；現在続々と発売され、以前と違う自然な演奏スタイルは高い評価を受けている。；このビデオは、その後続々と発売されることになる少女ビデオの先鞭をつけた。；落橋どころか損傷もなく、避難民が観音から西へと続々と渡って行った。；さらに、蜀漢正統論に基づいて再構成された歴史書も続々と執筆された。；そのためこの頃迫害を逃れたいユダヤ人が続々とプラハに移住した。；同時に、境内では郷土芸能を継承する各団体が続々と集まってくる。；オランダ人警官たちが続々と隠れ家に入ってきて家宅捜索を開始した。；その他のクラブや大学、高校の練習場でも続々と採用されている。；この時期にはほかにもインド産のコミックブックシリーズが続々と生まれた。；上記の他にも1945年夏以降に小規模の部隊が続々と北朝鮮へ移動していた。</t>
        </is>
      </c>
      <c r="J4820">
        <f>HYPERLINK("https://www.weblio.jp/content/続々", "词义详情")</f>
        <v/>
      </c>
      <c r="K4820">
        <f>HYPERLINK("https://yourei.jp/続々", "查看例句")</f>
        <v/>
      </c>
    </row>
    <row r="4821">
      <c r="A4821" t="inlineStr">
        <is>
          <t>速達</t>
        </is>
      </c>
      <c r="B4821" t="inlineStr">
        <is>
          <t>成功</t>
        </is>
      </c>
      <c r="C4821" t="inlineStr">
        <is>
          <t>読み方：そくたつ
［名］(スル)
１すみやかに届けること。また、届くこと。「急行列車を導入し—性を図る」
「其馬は専ら遠所に—するの、足脚に代わるの用を、為さしめんとす」〈竜渓・経国美談〉
２郵便物の特殊取扱の一つ。同種の他の郵便物よりも優先して、速やかに遅滞なく配達される。速達郵便。→特殊取扱郵便</t>
        </is>
      </c>
      <c r="D4821" t="inlineStr">
        <is>
          <t>速達性(14%)；速達便(5%)；速達タイプ(5%)；速達化(4%)；速達種別(2%)</t>
        </is>
      </c>
      <c r="F4821" t="inlineStr">
        <is>
          <t>速達用；速達専用；速達扱い；速達出し；長距離速達</t>
        </is>
      </c>
      <c r="G4821" t="inlineStr">
        <is>
          <t>速達郵便；速達郵便で；速達取扱地域外；速達切手</t>
        </is>
      </c>
      <c r="H4821" t="n">
        <v>29</v>
      </c>
      <c r="I4821" t="inlineStr">
        <is>
          <t>東京へ送る原稿が少し遅れて、速達でないと心配になってきたからである。；その翌る朝まだ床にいるうちに私の所へはカ氏署名の速達が配達された。；淡路島の常隆寺に電話して、速達で送った写真が着いたかどうか訊いた。；なぜここにくる気になったのか、あの速達のせいだとしか思えない。；家ができ上ると、家主から速達で通知が来ることになっていたのである。；私は速達を出して、とにかく一度、私の家を訪ねてくれないかとたのんだ。；速達を出して、今日の十時迄に、明日会うことへの返事が来るのです。；そして問題のコピイが速達で届いたのは、同じ日の夜に入ってからだった。；それでぼくのところへ速達で送ってきたんですが、ここに夫人の手紙があります。；さもなければ又折角これを速達にする意味がなくなるといけませんから。；山陽新幹線は開業時から速達タイプの「ひかり」の一部が停車していた。；「明日より出社すべし」という速達がきて、僕はそこに一年半いました。；この老女は速達料金がいったい、いくらしていると思っているのだろうか。；その一つの証拠として彼女が最後に送った速達便をあげましょう。；でも、この前、私が速達であげた手紙の約束は守って下さるでしょう?；クリスマスにはまだ一か月以上もあるのに、一冊だけ速達で送られてきた。；速達を出したものの、別に話し合はなければならない理由も、いまはない。；今日ベルサンから受取った速達には、帰国の理由は何も書いてはなかった。；さっそくお君が飛んでくると思っていたのに、速達で返事が来た。；速達以外の特殊取扱とする場合は郵便窓口で差し出さなければならない。；運行ダイヤは、下記の通り速達性よりも観光面をより重視したものとなっていた。；九州新幹線開業後は、その速達効果が大きい 事から利用者が急増した。；速達で呼ばれてリュウ・カシニイ街へ行く途中、アンドレは変な気がした。；いずれも一部の駅以外は通過し速達運転を行っている。；いつでも速達を上げると直ぐに飛んで来て下すったんですからね。；その日は、速達をもらった時から、私は決意していたのである。；速達を読み上げてから、いま感じているじぶんの気持を、率直に説明した。；わたしが速達を見たことさえ、あのひとに知られたくないわ。；選りに選って速達という危険な方法で手紙を送って来たTが悪いのだ。</t>
        </is>
      </c>
      <c r="J4821">
        <f>HYPERLINK("https://www.weblio.jp/content/速達", "词义详情")</f>
        <v/>
      </c>
      <c r="K4821">
        <f>HYPERLINK("https://yourei.jp/速達", "查看例句")</f>
        <v/>
      </c>
    </row>
    <row r="4822">
      <c r="A4822" t="inlineStr">
        <is>
          <t>測定</t>
        </is>
      </c>
      <c r="B4822" t="inlineStr">
        <is>
          <t>成功</t>
        </is>
      </c>
      <c r="C4822" t="inlineStr">
        <is>
          <t>読み方：そくてい
［名］(スル)ある量の大きさを、計器や装置を用いて測ること。「気温の変化を—する」</t>
        </is>
      </c>
      <c r="D4822" t="inlineStr">
        <is>
          <t>測定すること(6%)；測定値(4%)；測定される(3%)；測定できる(3%)；測定法(2%)</t>
        </is>
      </c>
      <c r="E4822" t="inlineStr">
        <is>
          <t>評価；位置づけ；位置付け；踏む；計測</t>
        </is>
      </c>
      <c r="F4822" t="inlineStr">
        <is>
          <t>測定器；測定用；正確な測定；測定対象；測定データ</t>
        </is>
      </c>
      <c r="G4822" t="inlineStr">
        <is>
          <t>測定装置；測定機器；測定精度；測定機；測定誤差</t>
        </is>
      </c>
      <c r="H4822" t="n">
        <v>29</v>
      </c>
      <c r="I4822" t="inlineStr">
        <is>
          <t>証拠となる事実の取得の段階では、適切な測定方法の存在が重要となる。；当時の干渉法技術はまだ初期の段階であったが、この測定には成功した。；従来、生体分子の測定には多数の分子を対象とした実験系を用いていた。；このときエネルギーの測定は摂動が加わってない状態で行われている。；時刻の指示だけでなく時間の測定もできる時計にクロノグラフがある。；この効果が熱電対の物理学的基礎であり、温度測定によく使われている。；直接測定とは対象と基準量となるものを直接比較させて測定量を得ることである。；最終的に、この測定は観測された粒子の状態を以前とは変えてしまう。；測定結果は、定量的であるほうがより価値が高いとされることが多い。；また、活動性とは関連しないから経時的に測定することに意味はない。；多数回の測定を行い測定値の平均を求めると、期待値に近い値になる。；細胞膜タンパク質の検出や細胞の粘弾性力の測定などに用いられている。；この光や色を測定することで、組換え遺伝子の発現を見ることができる。；このモードでは一般的に表面形状などの分布は測定されない。；またカイロマイクロンは非常に壊れやすく測定が難しいと言われている。；始めの測定結果は、量子論に基づく計算値との間で非常に良い一致を示した。；理論上の問題がある伝統的な測定値に代わり、新しい測定値の導入が試みられた。；ただし正確な診断を行うためには入院して3夜連続で測定を行う必要がある。；このほか、ADLよりやや高度な能力を測定するものにIADLがある。；複数回の測定結果の平均を取る場合などもそのうちの一つである。；あくまで、検査値で肝機能障害がわかりにくい場合に測定する項目である。；また測定の繰り返し自体によって物差しの磨耗が進行するかもしれない。；これは、相互の距離の測定に大きく依拠していたためだと思われる。；このような長大な距離を直接測定することは事実上不可能である。；また、家庭で測定を行う場合は高い側の腕で測定を行うことが推奨されている。；六分儀は、視認できるものの角度を非常に正確に測定することができる。；ネットワークの状態を追跡し維持する集中監視機能や性能測定機能は存在しない。；また、様々な要因によって異常値を含む測定はしばしば得られるものである。；プラズマ周波数の測定値は、多くの材料で理論値とよく一致している。</t>
        </is>
      </c>
      <c r="J4822">
        <f>HYPERLINK("https://www.weblio.jp/content/測定", "词义详情")</f>
        <v/>
      </c>
      <c r="K4822">
        <f>HYPERLINK("https://yourei.jp/測定", "查看例句")</f>
        <v/>
      </c>
    </row>
    <row r="4823">
      <c r="A4823" t="inlineStr">
        <is>
          <t>速度</t>
        </is>
      </c>
      <c r="B4823" t="inlineStr">
        <is>
          <t>成功</t>
        </is>
      </c>
      <c r="C4823" t="inlineStr">
        <is>
          <t>読み方：そくど
１物事の進む速さ。スピード。「一定の—で歩く」「制限—」
２単位時間に進んだ距離に方向を合わせたベクトル量。運動する物体の単位時間当たりの位置の変化を表す。単位にはメートル毎秒のほか、ノットが用いられる。
[用法]速度・速力・速さ——「速度（速力・速さ）を一定に保つ」など、進む程度を表す語としては相通じて用いられる。◇「速度」は自動車など物体が単位時間内に移動する距離の大小についていうほかに、機械などが単位時間内にする仕事の量の大小についても用いる。「高速道路を一〇〇キロの速度で走る」「この機械は一分間に百部の速度で製本する」◇「速力」は一般に、移動する距離の大小について表す。「この列車は現在時速二二〇キロの速力で走っております」◇「速さ」は最も普通に使われ、移動の距離についても仕事の量についても用いる。「飛ぶような速さで通り過ぎた」</t>
        </is>
      </c>
      <c r="D4823" t="inlineStr">
        <is>
          <t>速度向上；速度記録；速度性能；速度制御；速度域</t>
        </is>
      </c>
      <c r="E4823" t="inlineStr">
        <is>
          <t>歩；スピード；歩み；ペース；速力</t>
        </is>
      </c>
      <c r="F4823" t="inlineStr">
        <is>
          <t>発射速度；処理速度；最大速度；同じ速度；成長速度</t>
        </is>
      </c>
      <c r="G4823" t="inlineStr">
        <is>
          <t>速度制限；速度照査；速度論；速度超過；速度ベクトル</t>
        </is>
      </c>
      <c r="H4823" t="n">
        <v>29</v>
      </c>
      <c r="I4823" t="inlineStr">
        <is>
          <t>驚くべき速度で進化を続けるがそれにはある重大な秘密が隠されている。；その中で、日常で使っている速度を越えた時の感情が表現されている。；これらの理由によって運転本数増加や速度向上は大きく制限されている。；すなわち自発的に進行する方向に反応の速度を増加させる働きを持つ。；標準的な速度は毎分30mであるが、速度は調整することが可能である。；X編成では当初速度表示もなされていたが後に取りやめとなっている。；それらを原因とした速度低下や切断も少なく、安定した通信が可能である。；また、動物の成長速度や寿命、NGの多さで撮影は大変といわれている。；このような道路では速度規制も一般道路と同じ基準で行われている。；殻から年齢を推定する信頼できる方法が無いため、年間の成長速度は不明。；この早熟雄は河川での成長速度の速い個体から出現すると考えられる。；通常は下りの速度が上りの速度よりも高速に設定されている。；今日でも、速度を必要としない機器はこのモードのみをサポートする。；同時に軍用機の速度は高速化し、その点でも命中率の低下は問題であった。；動作速度がより向上し、細かい部分の使い勝手に多くの改良が施された。；当時の鉄道省では最大速度150キロと認識されていたようである。；また、下段は線路をイメージしており、速度に応じて動きが変化する。；流入車そのものも遅い速度のまま本線に合流すれば渋滞の原因となりうる。；速度に応じて徐々に電圧を上げれば実感的な運転ができるわけである。；SDSLは東京めたりっく通信などが提供していた上下速度対称の方式。；しかし速度の遅さなどから2021年10月1日に定期運行を終了した。；同様に、中心核に照らされたガス雲も場所ごとに異なる速度を持つと考えられる。；中断セーブに加えて新たに戦闘速度を5段階で調整できる機能が追加された。；ペダルが直結されている前輪の直径が小さいため、速度はあまり出ない。；しかし、処理速度・通信速度・安定性の低下の原因となることもある。；その粒子の距離と速度は屈折率で表される気体の光学特性にも影響する。；この発明はすぐに自転車に使用され、乗り心地と速度の大幅な向上をもたらした。；処理プログラムの大きさや速度の制限を改善あるいは回避するテクニックを紹介する。；「光」と「木霊」の組み合わせで、列車の速度差を表したとも言われる。</t>
        </is>
      </c>
      <c r="J4823">
        <f>HYPERLINK("https://www.weblio.jp/content/速度", "词义详情")</f>
        <v/>
      </c>
      <c r="K4823">
        <f>HYPERLINK("https://yourei.jp/速度", "查看例句")</f>
        <v/>
      </c>
    </row>
    <row r="4824">
      <c r="A4824" t="inlineStr">
        <is>
          <t>束縛</t>
        </is>
      </c>
      <c r="B4824" t="inlineStr">
        <is>
          <t>成功</t>
        </is>
      </c>
      <c r="C4824" t="inlineStr">
        <is>
          <t>読み方：そくばく
［名］(スル)
１まとめてしばること。しばり捕らえること。
「一たび癖習を成せば、鉄鎖を以て—するよりも強し」〈中村訳・西国立志編〉
２制限を加えて行動の自由を奪うこと。「自由を—する」</t>
        </is>
      </c>
      <c r="D4824" t="inlineStr">
        <is>
          <t>束縛する(9%)；束縛される(6%)；束縛せら；束縛しよ；束縛感</t>
        </is>
      </c>
      <c r="E4824" t="inlineStr">
        <is>
          <t>制限；制御；限定；規制；収容</t>
        </is>
      </c>
      <c r="F4824" t="inlineStr">
        <is>
          <t>強く束縛；変数束縛；強い束縛；にも束縛；自ら束縛</t>
        </is>
      </c>
      <c r="G4824" t="inlineStr">
        <is>
          <t>束縛エネルギー；束縛変数；束縛電子；束縛変項</t>
        </is>
      </c>
      <c r="H4824" t="n">
        <v>29</v>
      </c>
      <c r="I4824" t="inlineStr">
        <is>
          <t>束縛はあったが兵士より自由だったのではないかと当時を振り返っている。；それは知性が身体に束縛されないで自律的であるところに由来している。；従来までの伝統に束縛されない新しい浮世絵の魅力を発信し続けている。；多分家庭の束縛さえ我慢出来ないんだからと考えていたことだろう。；遠い昔に溯って見れば見る程、人間は共同生活の束縛を受けていたのだ。；彼らは尼寺の束縛を破ったにしても、仏の前には涙を流したのである。；しかし、原子に束縛された電子の状態を理解する上で重要なモデルである。；わたしは惑星上にいる仲間達の協力で、機械の束縛から解放されたのです。；有限論理と同じように、全ての変数が束縛されている式は文と呼ばれる。；欲や煩悩は無いが、物質や肉体の束縛からは脱却していない世界である。；束縛するものがあるとすれば、それは永久に続くであろう時間だけだ。；それで私は言葉に束縛されることなしに、気楽に作曲することができます。；ずっときみは束縛に甘んじているようだったし、僕の努力を拒否した。；束縛のない所に自由はないといった意味であなたの束縛は僕の自由です。；束縛されていない変数記号は暗黙的に全称量化されているものと考える。；それには、田舎の山の中の寺、廃寺、何の束縛もないのが好いと思つた。；お父さんだってお前の自由を束縛しようなんて思っちゃいないよ。；あの人たちはもう長いあいだ、あなたのよいほうの性質を束縛してきたのです!；束縛によらずして、己れ一個の意志で自由に営む生活でなければならない。；そしてそれは卓一を逃げるのでなく、ひとつの束縛を逃げるのだらう。；それによって教会の不当な束縛から解放される人々も少なくないであろう。；そして自分の一生だけはこの不自然な束縛に苦しませないつもりであつた。；つまり、束縛から解き放された小僧っ子のように動きはじめたのである。；無意味に束縛されていた人々が、今度は無意味に解放されるようになった。；彼女は、ロープの束縛のようなものが原因の可能性のある腕の傷跡を持つ。；母親が判事の鑑別所送りの勧めに応じたため、束縛された毎日を過ごす。；身を終るまでこれを束縛して、政治経済等の書を見ることなからしめんか。；ぼくを無教育な田舎ものの妻に結びつけ、永久に束縛しようとしました。；一方母は、娘を束縛しない方針であったようだと斉藤は語っている。</t>
        </is>
      </c>
      <c r="J4824">
        <f>HYPERLINK("https://www.weblio.jp/content/束縛", "词义详情")</f>
        <v/>
      </c>
      <c r="K4824">
        <f>HYPERLINK("https://yourei.jp/束縛", "查看例句")</f>
        <v/>
      </c>
    </row>
    <row r="4825">
      <c r="A4825" t="inlineStr">
        <is>
          <t>側面</t>
        </is>
      </c>
      <c r="B4825" t="inlineStr">
        <is>
          <t>成功</t>
        </is>
      </c>
      <c r="C4825" t="inlineStr">
        <is>
          <t>読み方：そくめん
１正面に対して、横の面。物の上下・前後でない面。「箱の—」
２中心的でないわきの方面。「独立運動を—から支えた人物」
３いろいろの性質・特色などがあるうちの一つ。ある一面。「友人の意外な—を知る」
４数学で、角柱・角錐の、底面以外の面。</t>
        </is>
      </c>
      <c r="D4825" t="inlineStr">
        <is>
          <t>側面窓(3%)；側面攻撃；側面方向幕；側面部；側面行先表示器</t>
        </is>
      </c>
      <c r="E4825" t="inlineStr">
        <is>
          <t>側；面；翼；傍；片方</t>
        </is>
      </c>
      <c r="F4825" t="inlineStr">
        <is>
          <t>あらゆる側面；重要な側面；様々な側面；胴体側面；左右側面</t>
        </is>
      </c>
      <c r="G4825" t="inlineStr">
        <is>
          <t>側面接近音；側面摩擦音；側面開放；側面はじき音；側面吸着音</t>
        </is>
      </c>
      <c r="H4825" t="n">
        <v>29</v>
      </c>
      <c r="I4825" t="inlineStr">
        <is>
          <t>かつては、黄色の柱の側面に黒い文字で距離の数字を書いたものであった。；側面窓は従来車に比べて天地方向に大幅に拡大され、高さ1mとなった。；卒業後クリニックに勤めたのも資金を得るためである側面もあるとされる。；焚書坑儒も、この状態を本来の姿に戻そうとする側面があったと述べた。；これは生物の性質のどのような側面に注目するかの違いでもある。；このため体を側面から見ると、両眼のある側と眼がない側に分かれている。；側面の行先表示機の設置も行われたが、その対象は一部に留まっている。；側面の設置位置はワイドドア車のみ車体中央部の側窓の上に設置されている。；なお、この年の12月ごろから側面の座席指定表示は使用されなくなった。；その他にも、人間行動の心理的要素や制度的側面も重要な研究対象である。；両者の秩序は、同じ実体の二つの側面を示すから、一致するとしている。；ただ、ある程度は、時間の周期的な側面が神話の過去にも存在していた。；その目的はWWFの管理と資金調達の側面をカバーすることになっている。；登場後にすべての側面窓をポリカーボネート板で覆う改造工事がなされた。；また都市政策的な側面から都心部は無料となっているものが見られる。；この点でもウイルスは生物というよりは物質と言える側面があることがわかった。；乗務員室背後の座席は廃止され、この場所側面にあった小窓も廃止された。；ただし側面の窓を開けられるようになっているものもある。；側面の窓は大きな1枚ガラスを用いており、開放的な雰囲気となっている。；日本では、健康に悪影響を与える側面もあるという調査結果が出ている。；このような現象は、退化と言われ、進化の一側面をなすと考えられる。；集団防衛は防衛的な性格のみを持つために集団安全保障の側面も持つ。；その発端は部派仏教への批判的見地から起こった側面があるとされている。；しかし、現在では京都・大阪の衛星都市の側面を持つようになった。；これらの対立にはの政治的な側面からの影響もあった。；なお側面の表示器は6105Fから位置が若干右側に変更されている。；元亀元年の姉川の戦いでは朝倉軍の側面攻撃で多大な武功を立てている。；なお、N800形まで伝統的に車外側面の車番の前に社章をつけていた。；東名が切り立った山の側面に取り付いているのはこうした理由からである。</t>
        </is>
      </c>
      <c r="J4825">
        <f>HYPERLINK("https://www.weblio.jp/content/側面", "词义详情")</f>
        <v/>
      </c>
      <c r="K4825">
        <f>HYPERLINK("https://yourei.jp/側面", "查看例句")</f>
        <v/>
      </c>
    </row>
    <row r="4826">
      <c r="A4826" t="inlineStr">
        <is>
          <t>測量</t>
        </is>
      </c>
      <c r="B4826" t="inlineStr">
        <is>
          <t>成功</t>
        </is>
      </c>
      <c r="C4826" t="inlineStr">
        <is>
          <t>読み方：そくりょう
［名］(スル)
１おしはかって考える。
「母親の様子を—しては見たものの」〈紅葉・二人女房〉
２器具を用いて地表上の各点相互の位置関係や形状・面積などを測定し、図示すること。また、その理論および技術。「土地を—する」</t>
        </is>
      </c>
      <c r="D4826" t="inlineStr">
        <is>
          <t>測量調査(3%)；測量師(3%)；測量局；測量隊；測量図</t>
        </is>
      </c>
      <c r="E4826" t="inlineStr">
        <is>
          <t>評価；測定；位置づけ；位置付け；踏む</t>
        </is>
      </c>
      <c r="F4826" t="inlineStr">
        <is>
          <t>水路測量；地形測量；測量用；測量作業；測量器具</t>
        </is>
      </c>
      <c r="G4826" t="inlineStr">
        <is>
          <t>測量技師；測量船；測量術；測量法；測量学</t>
        </is>
      </c>
      <c r="H4826" t="n">
        <v>29</v>
      </c>
      <c r="I4826" t="inlineStr">
        <is>
          <t>第一次世界大戦では青島攻略戦に参加した他、主に測量任務に従事した。；近代測量が始められた明治初期に河川ごとに定められたものの名残である。；ただしこの点から初期測量の不正確さのためにやや南に枝分かれする。；測量は、地球表面上の点の位置・関係を決定するための技術・作業の総称。；ペンシルベニアでの仕事は、植民地を所有するペン家の測量師であった。；さらに伊勢路に入ると二手に分かれて、沿岸と街道筋の測量を行った。；御油から先はまたほとんど測量を行わず、2月24日に大坂に着いた。；大規模リニューアルが予定されており、2013年には測量が行われた。；日本では、江戸時代以前には暦の計算や測量などの基準を京都に置いていた。；そうして忠敬の第五次測量の直前にようやく実用化できるようになった。；英語圏の国ではほとんどが建築調査測量を明確な職業と見なしている。；測量への興味から曲面論を創始し、後のリーマン幾何学に影響を与えた。；現在は測量が終わり住民への説明が行われている段階である。；元来ベンチマークと言う場合は測量などで使用される基準の物を指す。；さらに後に新しく作られたカンバーランド郡の測量師に指名された。；測量者はこの位置に器具を設置して、近くの物体を測定が可能となる。；計画を立て工事を監督した者は、測量でも土木工事でも素人であった。；一定の期間毎に三角点同士の再測量が行われ、精度が維持されている。；現在、あらゆる測量の現場で最もよく使用されているものである。；この古墳は1988年に測量調査が行われるまで円墳だと考えられていた。；これらの測量結果を活用するためには、測定した位置を正確に知ることも重要である。；これは、箱根登山鉄道の建設時の測量の際の水準点が異なるためであった。；江戸において林蔵は伊能忠敬の邸に出入りして測量技能の向上に努めた。；イザナギプロジェクトによる測量活動及び観察会は現在も続けられている。；そのような場合に一貫性を向上させるために測量ソフトウェアが広く利用されている。；これに最も熱心に取り組んだのは、既に地球測量の実績を持つフランスだった。；忠敬は、この区間は測量器具による誤差の影響があったためだと考えた。；土地の測量は一辺が6マイルの正方形の郡区を素に体系的に行われた。；伊能忠敬は至時の死後も測量を続け、日本全国の測量事業を完了させた。</t>
        </is>
      </c>
      <c r="J4826">
        <f>HYPERLINK("https://www.weblio.jp/content/測量", "词义详情")</f>
        <v/>
      </c>
      <c r="K4826">
        <f>HYPERLINK("https://yourei.jp/測量", "查看例句")</f>
        <v/>
      </c>
    </row>
    <row r="4827">
      <c r="A4827" t="inlineStr">
        <is>
          <t>速力</t>
        </is>
      </c>
      <c r="B4827" t="inlineStr">
        <is>
          <t>成功</t>
        </is>
      </c>
      <c r="C4827" t="inlineStr">
        <is>
          <t>読み方：そくりょく
運動する物体の進む速さ。スピード。「—を出す」
→速度［用法］</t>
        </is>
      </c>
      <c r="D4827" t="inlineStr">
        <is>
          <t>速力低下；速力向上；速力不足；速力発揮；速力性能</t>
        </is>
      </c>
      <c r="E4827" t="inlineStr">
        <is>
          <t>速度；スピード；速さ；流速</t>
        </is>
      </c>
      <c r="F4827" t="inlineStr">
        <is>
          <t>最高速力；水中速力；航海速力；最大発揮速力；水上速力</t>
        </is>
      </c>
      <c r="H4827" t="n">
        <v>29</v>
      </c>
      <c r="I4827" t="inlineStr">
        <is>
          <t>この速力と回転力を用いて艦隊を運動させる一定の方法を運動法と言う。；装甲の薄さはそのままに、エンジン出力と速力を向上させたとも言える。；このように最高速度・加速力共に優秀ではあったが、最高ではなかった。；小型の船型であったが速力は大きい計画の反面、航洋性は不足していた。；また速力向上が求められたことから、バルバス・バウも大型化されている。；静止推力が最も必要とされているため、性能要求には速力が入っていない。；その結果、56号計画型の速力は39 kn近くに達するようになった。；先頭に来たのは機関車で暫く停車するために速力を弛めて居りました。；機体が軽量だったため速力・運動性・上昇力に優れた軽快な機体となった。；速力改善のために水線部のバルジを廃止したために防御力が低下した。；古鷹型も7500トンの予定が1000トン超過して速力低下している。；坂を登りきったところですから、まだ、そんなに速力は出ていません。；砲塔が破壊され、機関部も破壊されて乗組員多数が戦死、速力が低下した。；速力は16ノットが可能で、当時の汽船としては非常に高速の船だった。；その速力は光の速力に近いもので人間には迚も出せそうもないものであった。；この他、戦闘時の時間計測や船の速力測定の用途にも用いられた。；船型は抵抗上不利な肥えたものが採用され、速力はやや犠牲とされた。；本車は当時のどのドイツ戦車よりも速力に優れていた。；速力も現在ではアラブ種と比較にならないほど高速化している。；だが艦載機の大型化が進むと、発艦時に必要となる速力が足らなくなった。；一時間十五哩の速力であるから上野、浅草間は五分位で連絡が出来る。；しかしながらイタリアは速力を維持し、その後、ローマが直撃弾を受けた。；従来のフランス重巡洋艦と比較して、速力を抑えて防御力を向上させている。；まず海龍の速力は低く、雷装時には非雷装時と比べて速度が半減した。；バルチック艦隊は速力の速い艦と遅い艦が混在した艦隊編成をとっていた。；事実に逢着すると、着弾の距離と自動車の速力と大差のない事になる。；速力が落ちていた事もあって同方面で輸送任務に従事した。；搭載された動力機関は計画出力を発揮せず、結果、艦は計画速力に達しなかった。；また後の性能改善工事で速力が34ノット程度に落ちてしまった。</t>
        </is>
      </c>
      <c r="J4827">
        <f>HYPERLINK("https://www.weblio.jp/content/速力", "词义详情")</f>
        <v/>
      </c>
      <c r="K4827">
        <f>HYPERLINK("https://yourei.jp/速力", "查看例句")</f>
        <v/>
      </c>
    </row>
    <row r="4828">
      <c r="A4828" t="inlineStr">
        <is>
          <t>そこ</t>
        </is>
      </c>
      <c r="B4828" t="inlineStr">
        <is>
          <t>成功</t>
        </is>
      </c>
      <c r="C4828" t="inlineStr">
        <is>
          <t>読み方：そこ
［代］
１中称の指示代名詞。聞き手に近い場所、また、聞き手と話し手の双方が承知している場所・事柄をさす。
㋐その場所。「—にある袋」
㋑その点。その事。「—がむずかしいところだ」
㋒その局面。「—でベルが鳴った」
㋓その程度。それほど。「—まで言うなら仕方がない」
㋔あなたのところ。
「—にこそ多くつどへ給ふらめ」〈源・帚木〉
２二人称の人代名詞。おまえ。そなた。
「—は今年何歳になりおる」〈魯庵・社会百面相〉
３不定称の指示代名詞。漠然とある場所をさす語。どこ。どこそこ。
「思ふどち春の山辺にうちむれて—ともいはぬ旅寝してしか」〈古今・春下〉</t>
        </is>
      </c>
      <c r="D4828" t="inlineStr">
        <is>
          <t>そこかしこ；そこここに；そこへ突然；そこに住む人々</t>
        </is>
      </c>
      <c r="E4828" t="inlineStr">
        <is>
          <t>それ</t>
        </is>
      </c>
      <c r="F4828" t="inlineStr">
        <is>
          <t>そこから更に；そこへ辿り着く；そこここに点在；そこから這い上がる；そこまで辿り着く</t>
        </is>
      </c>
      <c r="G4828" t="inlineStr">
        <is>
          <t>そこら；そこそこ；そこい；そこね；そこなわ</t>
        </is>
      </c>
      <c r="H4828" t="n">
        <v>29</v>
      </c>
      <c r="I4828" t="inlineStr">
        <is>
          <t>そこから南西方向と南東方向の二方向に分かれて遠くまで移動を続けた。；そこから、後にこれらの施設がピースセンターと呼ばれることにもなる。；そこで行われる競技の中に棒倒しがあり、第一回開校祭から続いている。；そこではまた、それまでの自身の歌詞を次のように3期に分けている。；都市は好きな開拓地を手元に戻しそこに都市を建設することができる。；そこでは金属バットが使われるのでそれに合わせて設計されている。；そこには白人優勢のメディアが大きな影響を与えていたと考えられる。；最後は下関駅の先で海の下に潜って、再び地上に出るとそこは九州である。；インガーソルはそこで弁護士に弟子入りし、一人で住むようになった。；またそこへ走る都市計画道路構想も工事に着手できない状態が続いている。；頻繁に操作しているデータも同様の方法でそこに格納されている。；そこにはロバート・ゴダード博士の初期の研究の成果も取り入れられている。；そこに法的申立てを成功させるために必要な条件が示されていたからである。；そこには時間的な要素はもはや消失し、活力的なものだけが残されている。；川の北側には魚市場があり、そこから北へ少し進むと仁万海岸公園に至る。；既に知られている事実がいかに多くとも、別の解釈の可能性がそこには残っている。；また肛門性交では腸粘膜に精液が接触しそこから感染するとされている。；また、どのような基準をとっても国内外にそこから外れる人がでてくる。；プロセッサはそこに格納されている命令を常に読み取り、実行している。；そこに到達するためには、強力なロケットを使用する以外に手段はなかった。；劉歆によれば周は木徳であり、そこから生まれた漢は火徳であるとする。；シーズン終了後には彼らはそこには違いがあったことをぼくに白状したんだよ。；キリスト教と悟りとの関連が見られる箇所の一つがそこにあると見ることができる。；そこではV2ロケットの発展型であるA8の開発と量産が予定された。；海岸部近くにはが走り、そこから海岸まではわずかな平野が広がっている。；外壁にはいくつかの穴があけられており、そこからハトは出入りする。；駅北側を国道と並行し、そこから少し北へ進むと中国自動車道が通る。；彼はカメラの前にずっとそこにいるかのように立った。；ただし、多くの場合そこまで大きなハッシュテーブルは必要としない。</t>
        </is>
      </c>
      <c r="J4828">
        <f>HYPERLINK("https://www.weblio.jp/content/そこ", "词义详情")</f>
        <v/>
      </c>
      <c r="K4828">
        <f>HYPERLINK("https://yourei.jp/そこ", "查看例句")</f>
        <v/>
      </c>
    </row>
    <row r="4829">
      <c r="A4829" t="inlineStr">
        <is>
          <t>底</t>
        </is>
      </c>
      <c r="B4829" t="inlineStr">
        <is>
          <t>成功</t>
        </is>
      </c>
      <c r="C4829" t="inlineStr">
        <is>
          <t>読み方：そこ
１物のいちばん下。
㋐容器その他くぼみのある物の、いちばん下の平らな部分。「コップの—」「箱の—が抜ける」
㋑地面・水面から離れたいちばん下の所。「地の—」「海の—」
㋒重なりのいちばん下。「積荷の—」
２物事の極まるところ。はて。極限。際限。「—の知れない実力」
３奥深い所。「腹の—から笑う」
４相場が下落して、いちばん安くなったところ。⇔天井。
５そのものがもつ真の力量。実力。
「義経が乗たる大鹿毛(おほかげ)は…薄墨にも—はまさりてこそあるらめ」〈盛衰記・三六〉
[下接語]奥底・心の底・心(しん)底・手(たな)底・谷底・奈落の底・水(みな)底・胸(むな)底（ぞこ）上げ底・石底・糸底・大底・織底・川底・靴底・どん底・鍋(なべ)底・二重底・平(ひら)底・船(ふな)底</t>
        </is>
      </c>
      <c r="D4829" t="inlineStr">
        <is>
          <t>底部(4%)；底知れ(3%)；底生性；底野；底へ沈ん</t>
        </is>
      </c>
      <c r="E4829" t="inlineStr">
        <is>
          <t>下；もと；尻；裾；下部</t>
        </is>
      </c>
      <c r="F4829" t="inlineStr">
        <is>
          <t>艦底；底生；着底；泥底；砂底</t>
        </is>
      </c>
      <c r="G4829" t="inlineStr">
        <is>
          <t>底面；底辺；底なし；底力；底冷え</t>
        </is>
      </c>
      <c r="H4829" t="n">
        <v>29</v>
      </c>
      <c r="I4829" t="inlineStr">
        <is>
          <t>そのため、当時の日本では航空機用燃料の貯蔵量が底をつきかけていた。；また、カードに使用するキャラクターが底を突くことを防ぐ作用もある。；全てもしくは底部など主要な部分が木材で作られているものをいう。；駅の周辺は帷子川の流れる谷の底で南北ともに丘陵地帯となっている。；底ができることによって無底が無底となり、目が目となり、鏡が鏡となる。；ワニガメのように、湖沼や河川の底をただ歩くことを好む種も存在する。；映画俳優やテレビ・タレントには示せない、性格描写が、底にあるのだ。；意志は底に立つことで外に向かうことができるようになる。；現在、長門の艦体は上下逆さまで着底しており、艦橋部分は折れている。；現在も公開されており、実際に底まで降りていくことができる。；空洞の中に溜まる水の量を一定に保つため、底には排水管が設けられる。；最も外側の外壁の高さは、中心部の底からおよそ7キロメートルである。；その他に前部艦底には浮力確保のため空のドラム缶400個を収納した。；そのため上流の流入水路の原因調査や底質の浄化対策などが実施されている。；基本は底生性だが、蓋板を羽ばたいて逆さまに遊泳することも可能である。；川は断崖絶壁の深い谷の底を流れるため、絶壁上から川へのアクセスは無い。；底がどうなっているかはまだはっきりしていない。；また、同じ大きさの底角を持つ二等辺三角形は全て互いに相似である。；滴音の反響を大きくするには底部に水を溜める工夫をする必要がある。；この突然変異で、オレンジは茎と逆側の底部に第2の果実を生じさせた。；既に無底の内で働いていたこの原理は自然の第一の原理である。；そのため月山富田城内の兵糧は底をつき、徐々に逃亡兵が出るようになった。；また前扉室と閘室の間の底にdで示す段差があり、この部分を階壁と呼ぶ。；砲弾は戦艦の艦底を貫けなかったが、多くの艦艇は自沈処理がなされた。；紫織と結婚するつもりでいても、心の底ではマヤをあきらめきれない。；なお、全体の工業生産高は一時の底を脱し近年は微増に転じている。；平山勝蔵によると、水琴窟の音は底部に溜まった水の深さに影響される。；こうしたプロセスを経て雲の底を抜け、地上に達して雪となる。；底を とした対数は常用対数と呼ばれ、実験などの測定値に用いることが多い。</t>
        </is>
      </c>
      <c r="J4829">
        <f>HYPERLINK("https://www.weblio.jp/content/底", "词义详情")</f>
        <v/>
      </c>
      <c r="K4829">
        <f>HYPERLINK("https://yourei.jp/底", "查看例句")</f>
        <v/>
      </c>
    </row>
    <row r="4830">
      <c r="A4830" t="inlineStr">
        <is>
          <t>そこで</t>
        </is>
      </c>
      <c r="B4830" t="inlineStr">
        <is>
          <t>成功</t>
        </is>
      </c>
      <c r="C4830" t="inlineStr">
        <is>
          <t>読み方：そこで
［接］
１前述の事柄を受けて、次の事柄を導く。それで。そんなわけで。「いろいろ意見された。—考えた」
２話題をかえたり、話題をもとにもどしたりすることを示す。さて。「—一つお願いがあります」</t>
        </is>
      </c>
      <c r="D4830" t="inlineStr">
        <is>
          <t>そこで彼(3%)；そこで私(2%)；そこでわたし；そこで僕；そこで初めて</t>
        </is>
      </c>
      <c r="E4830" t="inlineStr">
        <is>
          <t>だから；それで；なので；これにより；これによって</t>
        </is>
      </c>
      <c r="F4830" t="inlineStr">
        <is>
          <t>そこで王冠太子；そこでディー判事；そこで桐乃；そこでグレゴール；そこで竜之助</t>
        </is>
      </c>
      <c r="H4830" t="n">
        <v>29</v>
      </c>
      <c r="I4830" t="inlineStr">
        <is>
          <t>そこで鳥の声のレコードを買ってきて、自宅で一日中流し続けていた。；そこで声の方を尋ねると、老夫婦がきれいな少女を間にして泣いていた。；そこでエルヴィスはテレビを見ながらベースを練習してくつろいでいた。；そこで1999年より日本中央競馬会は以下のような番組改革を行った。；そこでモータリゼーションで発生した問題への対応の動きが起こっている。；そこで定められた異端審問は各地域の司教の管轄において行われていた。；そこで駅建設には集落よりも南に少し離れたところにその地を求めることになった。；そこで門下が協議し、冬を迎える前に温泉での療養を行うことになった。；そこで、これらの言語では例外の発生チェックをほぼ自動化している。；そこでこれらの競技では20世紀初頭から選手のプロ化が始まった。；そこで人心を新たにするために、内閣に参与制度を作ることにしました。；そこで、この段階を母植物の上で過ごしてしまう方向へ進化が進んだのであろう。；ユダヤ人たちはそこで日本が降伏する1945年まで過ごすことになった。；そこで、ある方向を定め、そちらを向いた時の左右で指定する方法がある。；その翌日にダビング作業を再開するが、そこで2度目の火災が発生した。；そこで蒸発したエタノールの方を集めて濃縮する蒸留を行う必要がある。；そこで、電流の測定精度をあげるために、次のような機器が用いられる。；そこで1935年に開発を始め1936年から製造されたのが本形式である。；そこで彼女はそれを飼い馴らし、王たちの宮殿へ連れて行くのである。；そこで少しでも苦しんでいる人達のために自分達が力になれたらと思いました。；そこで両者が異なる鍵を用いる方法、すなわち公開鍵暗号が考案された。；バッハは、そこで優秀な成績は残したものの、採用されることはなかった。；そこで、多数の協力者が執筆した脚本を元に作品が創られている。；そこで勃発したのが第一次世界大戦であるとしている。；そこで、これらの酵素をトウモロコシで生産させようというものである。；そこで旅には慣れているだろうと税金を納めに行くことになった。；そこで当時参考資料として検討されたのがイギリス空母アーガスである。；そこで市民たちは、何の利害関係もない市外の人物から王を選ぶことにした。；そこでこれを避けるために地球も太陽のまわりを回るとした。</t>
        </is>
      </c>
      <c r="J4830">
        <f>HYPERLINK("https://www.weblio.jp/content/そこで", "词义详情")</f>
        <v/>
      </c>
      <c r="K4830">
        <f>HYPERLINK("https://yourei.jp/そこで", "查看例句")</f>
        <v/>
      </c>
    </row>
    <row r="4831">
      <c r="A4831" t="inlineStr">
        <is>
          <t>損なう</t>
        </is>
      </c>
      <c r="B4831" t="inlineStr">
        <is>
          <t>成功</t>
        </is>
      </c>
      <c r="C4831" t="inlineStr">
        <is>
          <t>読み方：そこなう
［動ワ五（ハ四）］
１物をこわして、だめにする。傷つける。「器物を—・う」
２人の気持ちやからだの調子を悪くする。「感情を—・う」「健康を—・う」
３殺傷する。「一兵も—・うことなく」
４（動詞の連用形に付いて）
㋐…するのに失敗する。「書き—・う」
㋑…する機会を逸する。「乗り—・う」「見舞状を出し—・う」</t>
        </is>
      </c>
      <c r="D4831" t="inlineStr">
        <is>
          <t>損なうことなく(9%)；損なう可能性(4%)；損なうおそれ；損なうかもしれ；損なうこと無く</t>
        </is>
      </c>
      <c r="E4831" t="inlineStr">
        <is>
          <t>損傷；損害；破損；苦しむ；痛む</t>
        </is>
      </c>
      <c r="F4831" t="inlineStr">
        <is>
          <t>著しく損なう；受け損なう</t>
        </is>
      </c>
      <c r="H4831" t="n">
        <v>29</v>
      </c>
      <c r="I4831" t="inlineStr">
        <is>
          <t>摩耗は全体的な魅力を損なわない程度に抑えられていなければならない。；湯の香りのする女の身体では、レイプする気分が損なわれるのであろう。；だがその程度の傷では損なわれないほど、彼女の美しさは本物だった。；我々の最高の武器の一つたるラゴーフの精神が損なわれたことがわかった。；強引に起こすと機嫌を損なう恐れがあるのでそれだけはしたくなかった。；けれど祖母の美しさは、そんなことで損なわれる種類のものではなかった。；シリーズの従来の魅力を損なわずに新しい軸を打ち立てることに成功した。；が、それは彼の浸っている愉快な気持を少しも損なうものではなかった。；システムの応用の複雑さは実用発電機への設計の有用性を損なっている。；これによって、計算で定めたはずの空間上の一点の信頼性が損なわれる。；このようなゲームが殆ど損なわれない状態で発見されたのはこれが初めてだった。；そのため占領地域の住民の感情を損なうような行動を彼はよしとしなかった。；よく見ると軽い傷が散見される場合があるが、魅力を損なうものではない。；そいつが出来損なったのを僕が貰うてあるから見せようとて見せてくれた。；たぶん、私たちが乗り損なった一本前のバスに乗っていたのだろう。；雲の濃いのが糸になり損なって、なっただけが、細く地へ落ちる気色だ。；景観を損なわないように、ビルの一部を利用した看板を使用している。；何年にもわたる激しい仕事の後、1717年に彼の健康は損なわれ始めた。；しかしもちろん、何かの加減で読み損なったという可能性はなくはない。；一つにはこの種は畑を大いに荒らし、人類の利益を直接損なうからでして。；問題の生物の、どこも損なわれたところのない完全な死体を発見したのである。；それでも何か言ったら女王の尊厳が損なわれると思ったのだろうか。；初さんの姿が見えるうちに下りてしまわないと、下り損なうかも知れない。；体が変わってもはじめ君の可愛らしさは少しも損なわれる事はない。；彼は自分の研究にあまりに根を詰めたため、健康を損ないがちだった。；つづいて当て損ない、プレイに加わっている男の数が次第に減っていった。；これは武士の閉門に似て、名望と店の信用を著しく損なう処分であった。；場合によっては報酬をもらい損なったり、ただ働きすることも稀にある。；これは政府の約束に対して住民の信頼を損なうと考えたからだった。</t>
        </is>
      </c>
      <c r="J4831">
        <f>HYPERLINK("https://www.weblio.jp/content/損なう", "词义详情")</f>
        <v/>
      </c>
      <c r="K4831">
        <f>HYPERLINK("https://yourei.jp/損なう", "查看例句")</f>
        <v/>
      </c>
    </row>
    <row r="4832">
      <c r="A4832" t="inlineStr">
        <is>
          <t>そこら</t>
        </is>
      </c>
      <c r="B4832" t="inlineStr">
        <is>
          <t>成功</t>
        </is>
      </c>
      <c r="C4832" t="inlineStr">
        <is>
          <t>［副］
１数多く。たくさん。
「—の年ごろ、—のこがね賜ひて」〈竹取〉
２たいへん。非常に。
「御送りの人ども、寺々の念仏の僧など、—広き野に所もなし」〈源・葵〉</t>
        </is>
      </c>
      <c r="D4832" t="inlineStr">
        <is>
          <t>そこらじゅう(9%)；そこら中(7%)；そこらあたり(3%)；そこら辺(2%)；そこらいっぱい</t>
        </is>
      </c>
      <c r="F4832" t="inlineStr">
        <is>
          <t>しばらくそこら；ちょっとそこら；やたらにそこら；あわててそこら；一緒にそこら</t>
        </is>
      </c>
      <c r="H4832" t="n">
        <v>29</v>
      </c>
      <c r="I4832" t="inlineStr">
        <is>
          <t>毛が、尾っぽの毛がそこらについているような気がしてならねえですよ。；半七はそこらを隈なく見まわしたが、別に眼につくような物もなかった。；私はそれとはなしにそこらで懐胎した女の思ひ切つた身の処分法を聞いた。；そこらあたりから中山は急に饒舌になって、いろんな質問をしたりした。；そこらにあった重いものを掴んだ手を私は老爺さんの手に触れさせた。；大きな家にだれもおりませんでしたから、そこらはしんとしています。；今もそこらにさうした恋に悩んでゐる人達はいくらもあるに相違ない。；そこらに彼は倒れているらしいと思われるのに、どうしたものか姿が見えない。；却って注文通りの電光が、そこら一面ひる間のようにしてくれたのです。；そこらの草もアカシヤの木も一日のなかでいちばん青く見えるときでした。；兄はよく草履ばきでその石の上に跼んで、そこらを見ていられました。；そこらあたりをよく云うて帰つて行かうと、きまり悪く叔母の家を出た。；私のような悪いものでも助かりますなら耳の二つやそこらなんでもございませぬ。；妻は近所あるきでもしているらしく、そこらに姿を見せなかった。；あそこらの駅から乗りこんだ女の人たちの物の云ひ方も面白いと思ひました。；御鶏は羽の色が純白で、そこらに見られない高価な珍らしいものだった。；何人かは一ヶ月か二ヶ月居たし、何人かはほんの一週間かそこらしか居なかった。；二人はそこらを見まわしたが、どこにも梯子らしい物は見付からなかった。；彼のからだを縛っていた縄が、そこらに落ちているだろうと思ったのである。；しかし注意をしてそこらあたりを見るが、何にも見えないことは同じだった。；そこらの子供と遊び暮した板面者がまた一人門から駈け込んだ。；本堂は本堂で、庇は落ち、屋根は崩れ、草が一杯にそこらに生えてゐた。；土神はまるでそこら中の草がまっ白な火になって燃えているように思いました。；親父はそこらが交際のごく親密なところでよいではないかというから。；それが、この一時間かそこらのうちに、すべてがガラガラ崩れてしまった。；土神はまるでそこら中の草がまっ白な火になって燃えてゐるやうに思ひました。；三つ二つ、三つ二つと鬼のような者がそこらじゅうにうろついていた。；二人は何べんも行ったり来たりして、そこらを泣いて回りました。；実もそこらにあるかも知れぬが、作者はただ葉の青さに眼を注いでいるのみである。</t>
        </is>
      </c>
      <c r="J4832">
        <f>HYPERLINK("https://www.weblio.jp/content/そこら", "词义详情")</f>
        <v/>
      </c>
      <c r="K4832">
        <f>HYPERLINK("https://yourei.jp/そこら", "查看例句")</f>
        <v/>
      </c>
    </row>
    <row r="4833">
      <c r="A4833" t="inlineStr">
        <is>
          <t>素材</t>
        </is>
      </c>
      <c r="B4833" t="inlineStr">
        <is>
          <t>成功</t>
        </is>
      </c>
      <c r="C4833" t="inlineStr">
        <is>
          <t>読み方：そざい
１もとになる材料。原料。「—を生かした料理」
２まだ製材されてない材木。丸太の類。
３芸術作品の物的材料。絵画や彫刻における絵の具・石材や、文学や音楽における言語・楽音など。
４芸術作品の題材。「—を民話に求めた小説」</t>
        </is>
      </c>
      <c r="D4833" t="inlineStr">
        <is>
          <t>素材感；素材そのもの；素材メーカー；素材自体；素材アイテム</t>
        </is>
      </c>
      <c r="E4833" t="inlineStr">
        <is>
          <t>元；もと；種；スタッフ；材料</t>
        </is>
      </c>
      <c r="F4833" t="inlineStr">
        <is>
          <t>映像素材；同じ素材；新しい素材；用素材；柔らかい素材</t>
        </is>
      </c>
      <c r="G4833" t="inlineStr">
        <is>
          <t>素材屋；素材送り</t>
        </is>
      </c>
      <c r="H4833" t="n">
        <v>29</v>
      </c>
      <c r="I4833" t="inlineStr">
        <is>
          <t>発売直後から、その素材やデザインの特異性に惹かれ使用を続けていた。；どんな素材をどのように加工するかで、さらに幾つかの種類に分類される。；攻殻シリーズの時代では主に機械的な素材を使用した補完が描かれている。；撮影する対象としてさまざまな素材が使用され、それにより分類される。；その素材も、自然のドラマ性からオランダの静かな風景へとなった。；ティル・オイレンシュピーゲルを素材とした作品を書いたことがある。；世界から珍しい素材や質の高い皮を集めて製品を作っていた。；当然の事ながら、リサイクル素材の再利用にはエネルギーが必要である。；後者の装置・技術および素材自体のことを「ロールテロップ」と呼んだ。；韓国のは日本の500円硬貨とほぼ同じ素材と大きさでやや重かった。；ただし、いくつかのボールは集めた素材でクラフトをする必要がある。；ブルージーンズの素材であるデニムの名前はこの都市が由来となっている。；またそれが残っている場合でも、今生きている素材のように扱うことは出来ない。；多くの彫刻家は、芸術を生み出す新たな手法および素材を模索している。；編集でも、過去の映像素材を効果的に挿入することも得意としている。；椅子やテーブルは素材の中で特徴的なしなやかさに形作られていた。；花崗岩はクフ王時代に知られていた素材の中で最も固いものであった。；これらの素材を複数組み合わせて製作されるボタンもある。；フリー配布の写真素材や音楽素材を使用して製作された、フリーゲーム。；準決勝までの試合では、場内の通路で放送・報道素材向けにのみ実施。；航空機や宇宙機の外装には熱衝撃に強い高機能素材が使われている。；原型の素材はさまざまであり、作成には高度な知識・技術・経験が要求される。；その発達の歴史では常に最新の素材を利用する傾向も見られる。；素材に関しては、後述するようにその地域で得られる様々なものが利用された。；一方で先史時代以来使われた素材の多くも、現在も変わらず使われ続けている。；基本的な構造は通常の足袋と変わらないが、汚れが付きにくい素材を使用する。；他にも部品や素材の製造で多くの企業が関わっている。；以下のものは製法が似ているが、素材が異なるためプロシュットではない。；日本の素材を取り込んだ服作りに挑んだイノベイターといえば三宅である。</t>
        </is>
      </c>
      <c r="J4833">
        <f>HYPERLINK("https://www.weblio.jp/content/素材", "词义详情")</f>
        <v/>
      </c>
      <c r="K4833">
        <f>HYPERLINK("https://yourei.jp/素材", "查看例句")</f>
        <v/>
      </c>
    </row>
    <row r="4834">
      <c r="A4834" t="inlineStr">
        <is>
          <t>阻止</t>
        </is>
      </c>
      <c r="B4834" t="inlineStr">
        <is>
          <t>成功</t>
        </is>
      </c>
      <c r="C4834" t="inlineStr">
        <is>
          <t>読み方：そし
［名］(スル)妨げること。くいとめること。はばむこと。「反対派の入場を—する」</t>
        </is>
      </c>
      <c r="D4834" t="inlineStr">
        <is>
          <t>阻止するため(12%)；阻止しよ(9%)；阻止でき(3%)；阻止される(2%)；阻止線</t>
        </is>
      </c>
      <c r="E4834" t="inlineStr">
        <is>
          <t>止め；禁止；停止；中止；防ぐ</t>
        </is>
      </c>
      <c r="F4834" t="inlineStr">
        <is>
          <t>阻止行動；阻止する任務；阻止限界点；阻止する手立て；阻止因子</t>
        </is>
      </c>
      <c r="G4834" t="inlineStr">
        <is>
          <t>阻止条項；阻止攻撃；阻止円</t>
        </is>
      </c>
      <c r="H4834" t="n">
        <v>29</v>
      </c>
      <c r="I4834" t="inlineStr">
        <is>
          <t>また故宮を紅衛兵が破壊しようとした際にも、軍隊を派遣して阻止した。；戦争機械の完成を阻止するには全工場を速やかに破壊せねばならない。；彼女は王国内を広く旅し、国王の権威を守らせ戦争を阻止しようと努めた。；彼らは建物に火を付けようとしたが、これは軍の部隊に阻止された。；これによりジオン艦隊が狙っていたコロニーへの核攻撃を阻止している。；店の前で抗議し、大型トラックが置かれ客入りを阻止したりする動きが中国各地で起きた。；政府は、これが民間の助けを求める試みを阻止するのに役立つことを望んでいた。；陰謀は寸前で阻止されたが、大貴族の勢力は侮り難いものになっていた。；多くの物語では、これを阻止しようとする悪役・敵役が共演することになる。；リチャードは武器取引の阻止だけでなく、その人物の排除も行わねばならない。；いろいろ異なる種類があるが、主に2つの方法で細胞分裂を阻止する。；次に可決阻止少数の要件が難化したことにより意思決定が容易になった。；上陸を阻止しようとするドイツ軍との間で激しい交戦が行われた。；安国殿は増上寺の中で有力な支院で寺は反対したが、独立を阻止できなかった。；さらに、それを阻止しようとした母の韋提希夫人までをも幽閉した。；しかし、それを阻止するべく立ち上がった5人の戦士たちがいた。；勢いにのって突撃してきた磯野員昌隊の進撃を阻止するなど活躍する。；締まり機構とは閂の横棒のように扉などの開閉を阻止するための機構をいう。；その信仰心を利用して、ハーディンはアナクレオンの第二の挑戦をも阻止する。；つまり結婚相手の財産を奪ってしまうような結婚・離婚は阻止できるようになっている。；もし十分な数の日本軍機が同時に攻撃したなら、突入を完全に阻止することは不可能であっただろう。；インフレの阻止や解消のため様々な対策が行われている。；繁殖を阻止する対象や程度を含まない概念であり、対象を真菌のみとしている点が異なる。；この時点で戦争勃発を阻止しようとするのは遅すぎる。；ディクレアラーの目標は宣言を達成することで、残りの人の共通目標はそれを阻止することである。；賢公はこれを阻止しようとチューリッヒに軍を差し向けるが大敗した。；こうして戦闘は4時間ほどで終わり、毛利方の補給作戦は阻止されたのである。；またこの勝利は、ミホノブルボンの三冠を阻止する結果ともなった。；最終局面で人類が放った核爆弾はジーン・グレイによって阻止されていた。</t>
        </is>
      </c>
      <c r="J4834">
        <f>HYPERLINK("https://www.weblio.jp/content/阻止", "词义详情")</f>
        <v/>
      </c>
      <c r="K4834">
        <f>HYPERLINK("https://yourei.jp/阻止", "查看例句")</f>
        <v/>
      </c>
    </row>
    <row r="4835">
      <c r="A4835" t="inlineStr">
        <is>
          <t>組織</t>
        </is>
      </c>
      <c r="B4835" t="inlineStr">
        <is>
          <t>成功</t>
        </is>
      </c>
      <c r="C4835" t="inlineStr">
        <is>
          <t>読み方：そしき
［名］(スル)
１組み立てること。組み立てられたもの。
「奥座敷は一種の宿屋見た様な—に出来ている」〈漱石・満韓ところどころ〉
２一定の共通目標を達成するために、成員間の役割や機能が分化・統合されている集団。また、それを組み立てること。「組合を—する」「全国—」
３生物体を構成する単位の一で、同一の形態・機能をもつ細胞の集まり。さらに集まって器官を構成する。動物では上皮組織・結合組織・筋肉組織・神経組織、植物では分裂組織・永久組織などに分けられる。
４岩石を構成する鉱物の結晶度・大きさ・形・配列などのようす。石理。
５織物で、縦糸と横糸とを組み合わせること。織り方。「ラシャは—が密だ」</t>
        </is>
      </c>
      <c r="D4835" t="inlineStr">
        <is>
          <t>組織的(2%)；組織化(2%)；組織改編；組織運営；組織改革</t>
        </is>
      </c>
      <c r="E4835" t="inlineStr">
        <is>
          <t>建設；構成；設立；会社；系</t>
        </is>
      </c>
      <c r="F4835" t="inlineStr">
        <is>
          <t>全国組織；党組織；地方組織；会社組織；別組織</t>
        </is>
      </c>
      <c r="G4835" t="inlineStr">
        <is>
          <t>組織化；組織内；組織委員会；組織学；組織犯罪</t>
        </is>
      </c>
      <c r="H4835" t="n">
        <v>29</v>
      </c>
      <c r="I4835" t="inlineStr">
        <is>
          <t>明治に入ると、近代的な会社・企業組織などの考えが日本にも伝わった。；現在では、学部組織と大学院の研究教育組織は必ずしも一致していない。；教育研究上の基本となる組織の一つで、学生が所属する教育組織である。；それは組織理論のモデルと組織理論の公式化された精密な概念である。；基本的には怪事件調査のための組織で、怪獣との戦闘は特別任務である。；議員とは、議会などの合議制の機関を組織し、議決権を有する者を指す。；マルクスは組織運営の問題や思想上の対立でしばしば論敵をつくった。；さらに、地方でも中央組織に加わっていない組織が作られている。；江戸時代には家元四家を中心としたプロ組織もでき、興隆の時期を迎えた。；また、オーケストラや合唱を組織して詩や音楽の発表会などを主催した。；海綿動物などの例外はあるが、動物は特化した組織で構成される体を持つ。；トランスジェニック技術を採用して市場に出している組織は次のとおりである。；講師は教育を行う党組織の級に対応して4段階に分かれている。；抵抗した農民たちも最終的には工業労働者となったり集団農場に組織されたりした。；諮問組織メンバーの出身で最も多くを占めるのはユーロクリアである。；この会議では、のちに婦人国際平和自由連盟となる組織が設立された。；敵ゲリラ組織だけでなく、一般市民までをも攻撃の対象とする場合もある。；そのようなグループは次第に組織化されて学会となっていった。；政治制度的に複数の評議会的組織があって複雑な関係をなしている。；企業や団体などの組織を象徴する色をコーポレートカラーと言う。；コンピュータ同士の相互のやり取りを組織して系統立てることが重要である。；後述のように、ステンレス鋼は金属組織別に大きく5つに分類される。；都道府県委員会など地方組織の指導機関が編集・発行する地方機関紙もある。；ベルリオーズはこの組織の会長と指揮者に就任して演奏活動を活発に行う。；実際のプロジェクト実施は、多くの組織や団体、機関などとの連携で行われる。；歯科とは、歯または歯に関連した組織に関する疾患を扱う診療科である。；このため、在宅勤務を導入しようとする組織では、重大な障害となっている。；古義真言宗系宗派は、古義八派となり、古義八派連合制度を組織した。；家臣団組織が整備され、戦国大名として武田氏の地位が確立されていた。</t>
        </is>
      </c>
      <c r="J4835">
        <f>HYPERLINK("https://www.weblio.jp/content/組織", "词义详情")</f>
        <v/>
      </c>
      <c r="K4835">
        <f>HYPERLINK("https://yourei.jp/組織", "查看例句")</f>
        <v/>
      </c>
    </row>
    <row r="4836">
      <c r="A4836" t="inlineStr">
        <is>
          <t>素質</t>
        </is>
      </c>
      <c r="B4836" t="inlineStr">
        <is>
          <t>成功</t>
        </is>
      </c>
      <c r="C4836" t="inlineStr">
        <is>
          <t>読み方：そしつ
１生まれつきもっている性質。
「其品行の—は決して悪性なるに非ず」〈福沢・文明論之概略〉
２将来すぐれた能力が発揮されるもととなる性質や能力。「音楽家としての—に恵まれる」</t>
        </is>
      </c>
      <c r="D4836" t="inlineStr">
        <is>
          <t>素質を認められ；素質馬；素質を持つ者；素質を高く評価；素質をもた</t>
        </is>
      </c>
      <c r="E4836" t="inlineStr">
        <is>
          <t>気；地；性；能力；キャラクター</t>
        </is>
      </c>
      <c r="F4836" t="inlineStr">
        <is>
          <t>素質を高く；優秀な素質；高い素質；よい素質</t>
        </is>
      </c>
      <c r="H4836" t="n">
        <v>29</v>
      </c>
      <c r="I4836" t="inlineStr">
        <is>
          <t>なぜなら、作者の素質傾向は短い時間の間に変化するものではないから。；しかし遺伝的といい得る程強い素質がそこに流れていると信じられない。；しかし遺伝的といひ得る程強い素質がそこに流れてゐると信じられない。；生來の素質を、最もよく利用し、僕の性質を矯正したり訓練したりして。；大体に於て素質が専門を択ばせる、少なくとも成功した選択ではそうだ。；北野家に遺伝される善い素質が彼を彼の父が残した事業へ向かわしめた。；あなたはりっぱな芸術家としての素質と運命を持っていられると信じます。；そしてね、人間としての素質の見事さを全面的に発育させたいと思うの。；人は季節の黙示に対して詩人であるところの素質と権利を持つてゐる。；延若においては、さうした若干の文学素質さへあるものとも思はれない。；素質を感じた堤から、冠名と父名を組み合わせた競走馬名が与えられた。；相手の姫君のすぐれた芸術的な素質と、頭のよさは源氏を多く喜ばせた。；美優と雄二は素質を認められた一方、真悠人は入学を認められなかった。；今にして考えるに、私は確かに常規で測られぬ詩人的素質なのらしい。；自身は学校等で正式な美術を学んだ事はなく、美術に天性の素質を持っていた。；また一面、先天的素質にもの言うものがないため、という理由もあろう。；転じて、人間のもって生まれた素質や能力を理想的な姿にまで形成することをいう。；子供は先天的に、胃腸の弱い父親の素質を受け継いでいるように思えた。；誰でも一応その人間の限界までは悧口になる素質があるのだから。；彼は一つ間違うと気違いになり兼ねぬ様な素質を多分に持っていた。；少し色けを殺すとこの人の美しい素質が輝いて来ると思う。；兵の素質の劣悪もまた当然であると云うことを、私はつくづく感じた。；かくの如く物を直下に見る事において、日本人は特に優れた素質があろう。；学校の教師は彼女の声の素質に気づき、大学で声楽を学ぶよう勧めた。；恰も測定される方の人間に精神異常の素質があるように誤解されていたのです。；私は誰にも会わないが、素質ある人を見出すことを忘れてはいないのだから。；その上、他人と一緒に仕事をする等と云ふ事も出来ないやうな多くの素質を持つてゐた。；その意味で彼の「素質」を高く吾々は買わねばならぬと思うのである。；ここまで勝ち味が遅かったものの、素質自体は早くから評価されていた。</t>
        </is>
      </c>
      <c r="J4836">
        <f>HYPERLINK("https://www.weblio.jp/content/素質", "词义详情")</f>
        <v/>
      </c>
      <c r="K4836">
        <f>HYPERLINK("https://yourei.jp/素質", "查看例句")</f>
        <v/>
      </c>
    </row>
    <row r="4837">
      <c r="A4837" t="inlineStr">
        <is>
          <t>そして</t>
        </is>
      </c>
      <c r="B4837" t="inlineStr">
        <is>
          <t>成功</t>
        </is>
      </c>
      <c r="C4837" t="inlineStr">
        <is>
          <t>［接］「そうして」に同じ。「冬が去り、—春が来る」</t>
        </is>
      </c>
      <c r="D4837" t="inlineStr">
        <is>
          <t>そして最後；そしてついに；そしてそれら；そして今度；そして又</t>
        </is>
      </c>
      <c r="E4837" t="inlineStr">
        <is>
          <t>また；そうして</t>
        </is>
      </c>
      <c r="F4837" t="inlineStr">
        <is>
          <t>そしてベンデン大巌；そして榎木津；そしてたうとう；そして見る見るうちに；そしてスタンジェルソン嬢</t>
        </is>
      </c>
      <c r="G4837" t="inlineStr">
        <is>
          <t>そして今は；そして今も；そして誰もいなくなった；そして神戸；そして僕は途方に暮れる</t>
        </is>
      </c>
      <c r="H4837" t="n">
        <v>29</v>
      </c>
      <c r="I4837" t="inlineStr">
        <is>
          <t>そして彼らは自分たちが持っている自動車で競走をすることを考えた。；そして後にライフル銃を持つとこれほど似合う俳優はいないと言われた。；そして、人々の笑顔を守るために蘇った怪人たちと戦うことを決意する。；そして、双方の合計点を数え、この合計点の高低で勝利チームを決める。；そして、最も生産的で安定したクローンが将来の使用のために選択される。；そして息子の漂白された骨の形から、最初のウードの着想を得たという。；そして理論はフォノンの振動数だけが関係しているため比較的簡単である。；そして共産主義を激しく批判して、最後にまたドイツ語で締めくくった。；そして一般の方向に進む波はその知識を基礎にして考える。；当時の日本人としては、そして俳優としても、かなり背が高い方だった。；そして電気は一種類だとし、強さや量の違いが様々な現象を引き起こすとした。；一方で、やはり文明崩壊、そして人肉食は起きたと主張する学者もいる。；そして要素内にある属性は、互いに属性名が異なっていなければならない。；そしてこれは、地上から見た太陽の高さと日照時間の変化でもたらされる。；そして再び次の反応のために基質を取り込み、目的の物質を生成し続ける。；そして彼女は一輪の花になり、いつも愛しい人の方を向いているのである。；そして「ピカソを超える」ことを目標に絵画制作に打ち込むようになる。；そして、我々が見ることができるよりもさらに向こう側がある。；そして権力は集団において意思決定することで行使されると考えた。；そして、役割を果たし生活するために人間は社会に対し様々な形態で参加する。；そしてパーソナルコンピュータの時代はすぐそこまで迫っていた。；そしてもし俺がそうしたければ俺は戻ってくることができる。；そして、極限や連続性などの概念も距離とは無関係に一般化されていった。；そしてその場所に巨大な家を建てさせたのである。；そして腰紐を締めてあげる振りをして彼女を締め上げ、息を絶えさせる。；そして、秋葉原駅で実行犯のうち最も多くの穴を開けサリンを散布した。；そして意識の問題を扱った数多くの書籍が出版されていく。；そして俺はアンドリューにとっても最悪な瞬間だったろうと思ったよ。；そしてこの演奏会の直後にトスカニーニの引退が発表された。</t>
        </is>
      </c>
      <c r="J4837">
        <f>HYPERLINK("https://www.weblio.jp/content/そして", "词义详情")</f>
        <v/>
      </c>
      <c r="K4837">
        <f>HYPERLINK("https://yourei.jp/そして", "查看例句")</f>
        <v/>
      </c>
    </row>
    <row r="4838">
      <c r="A4838" t="inlineStr">
        <is>
          <t>訴訟</t>
        </is>
      </c>
      <c r="B4838" t="inlineStr">
        <is>
          <t>成功</t>
        </is>
      </c>
      <c r="C4838" t="inlineStr">
        <is>
          <t>読み方：そしょう
１うったえ出ること。裁判を申し立てること。特に、紛争・利害の対立を法律的に解決・調整するために、公権力（裁判権）により、利害関係人を訴訟当事者として関与させて審判する手続き。民事訴訟・刑事訴訟などの別がある。「—を起こす」
２嘆願すること。哀訴すること。
「思ひ切て亭主に—し」〈浮・娘気質・一〉</t>
        </is>
      </c>
      <c r="D4838" t="inlineStr">
        <is>
          <t>訴訟問題；訴訟手続；訴訟沙汰；訴訟当事者；訴訟制度</t>
        </is>
      </c>
      <c r="E4838" t="inlineStr">
        <is>
          <t>訴え；裁判；起訴；控訴；告訴</t>
        </is>
      </c>
      <c r="F4838" t="inlineStr">
        <is>
          <t>損害賠償請求訴訟；損害賠償訴訟；名誉毀損訴訟；請求する訴訟；相手取って訴訟</t>
        </is>
      </c>
      <c r="G4838" t="inlineStr">
        <is>
          <t>訴訟事件；訴訟手続き；訴訟物；訴訟法；訴訟代理人</t>
        </is>
      </c>
      <c r="H4838" t="n">
        <v>29</v>
      </c>
      <c r="I4838" t="inlineStr">
        <is>
          <t>しかし、そのカナダのウィニペグを拠点とするバンドは訴訟を継続した。；同様の訴訟はエジプトやアルゼンチンでも起きているとのことである。；法律事務所といっても、アレンは一般の訴訟を手がけたのではなかった。；訴訟は、対象となる紛争の内容に応じて主に以下のように区別される。；このため、信長が上京するたびに多くの訴訟が持ち込まれる事態となった。；これは州人口が少ないことに起因し、それに比例して訴訟案件も少ない。；当事者が訴訟上の効果を取得するためにおこなう行為を訴訟行為という。；ロッドマンはいくつかの問題を起こし、訴訟に発展している例もある。；幸い四郎兵衛は回復し、大詰めを迎えていた訴訟の陣頭指揮に復帰した。；図書館で訴訟に向けて検討を加えているベケットをミラーが目撃する。；懲戒委員会によって下された決定は、完全訴訟が行われる可能性がある。；提示額に不満がある場合患者には訴訟を提起する権利が残される。；前出のサムスンとの訴訟では、不衡平行為を行ったと認定され敗訴した。；仕事のほとんどは訴訟事務の取り扱いであり、味気のない日々が続いた。；城下に訴訟箱を設置して広く民間の意見を求める政策も行った。；このことで旧メンバーと対立し訴訟問題に発展していた。；ゴア陣営は実施命令を求める訴訟を起こしたが、州最高裁に却下された。；時計工場の女性労働者は訴訟を起こし、ラジウム・ガールズと呼ばれた。；実際に訴訟にまで発展するのは年間10例程度であるという。；崩壊をめぐる訴訟は法廷外で解決されたため、崩壊の原因は公表されなかった。；訴訟法上、上訴等に基づいて裁判の効力を失わせることを取消しという。；訴訟では解決できない状況と見るや、電話会社は平衡回路に転換した。；Appleとソニーはこの件で損害賠償を求める訴訟を起こされている。；訴訟上の期間の計算は、かかる送達が終わらなければ進行しない場合も多い。；その日の訴訟記録は残っていないが、16人中14人が有罪となった。；この政治解決を受け入れずに、訴訟を継続したのが水俣病関西訴訟である。；その間に、裁判や訴訟に関連した小説を書き始め、その多くが映画化されてヒットする。；ドイツにおける訴訟形態が日本では認められないため、責任説は通説でない。；光害の原因の一つでもあり、ボールの飛来とあわせて訴訟になった事例もある。</t>
        </is>
      </c>
      <c r="J4838">
        <f>HYPERLINK("https://www.weblio.jp/content/訴訟", "词义详情")</f>
        <v/>
      </c>
      <c r="K4838">
        <f>HYPERLINK("https://yourei.jp/訴訟", "查看例句")</f>
        <v/>
      </c>
    </row>
    <row r="4839">
      <c r="A4839" t="inlineStr">
        <is>
          <t>祖先</t>
        </is>
      </c>
      <c r="B4839" t="inlineStr">
        <is>
          <t>成功</t>
        </is>
      </c>
      <c r="C4839" t="inlineStr">
        <is>
          <t>読み方：そせん
１家系の初代。
２家系の先代以前の人々。
３一族のもと。「人類の—」</t>
        </is>
      </c>
      <c r="D4839" t="inlineStr">
        <is>
          <t>祖先たち(3%)；祖先的；祖先以来；祖先種；祖先型</t>
        </is>
      </c>
      <c r="E4839" t="inlineStr">
        <is>
          <t>祖；先祖；ルーツ；始祖；高祖</t>
        </is>
      </c>
      <c r="F4839" t="inlineStr">
        <is>
          <t>わが祖先；古い祖先；偉大な祖先；男系祖先；直系祖先</t>
        </is>
      </c>
      <c r="G4839" t="inlineStr">
        <is>
          <t>祖先形質；祖先伝来；祖先神；祖先信仰；祖先と子孫</t>
        </is>
      </c>
      <c r="H4839" t="n">
        <v>29</v>
      </c>
      <c r="I4839" t="inlineStr">
        <is>
          <t>北部中央部および北西部の郡はイギリス系祖先の住民が多く住んでいる。；彼の祖先はフレンチ・インディアン戦争の間に陸軍及び海軍に勤務した。；考えられるのは彼らには同じDNAを持つ共通の祖先がいるということ。；時間移動の際に祖先の影響を受け、旧シリーズと一部性格が変わっている。；はGMLの開発に影響を与え、またHTMLやの直接の祖先ともなった。；農園経営が不可能になったため、家族で祖先の国であるフランスに渡った。；祖先を篤く敬う中国では、古代から家中で最も重要な場所とされていた。；過去には祖先に倣い医師を目指すよう家族に勧められていたという。；特に北西部の郡の多くではドイツ人を祖先とする住民が最も多いと報告された。；ヒンドゥー教徒であれば祖先の学問的功績から来る家族名を持つ場合がある。；プロトケラトプスと同様に、以前は殆どの角竜の祖先と考えられていた。；したがってこの祖先は生活環の中で両方の形態を取ることができた。；伝説によれば、祖先の時代に人口増加に伴い、村を分けることになった。；祖先からずっと伝わってきている生命を後世に伝えるために自分はここにいる。；この準備期間の間に鄭和は故郷の昆陽に戻って祖先の祭祀を行っている。；ヴィオラ・ダ・ガンバの誕生およびその祖先については不明な点が多い。；ボンで、祖先がポーランド出であるユダヤ人家族の一員として生まれた。；ドイツ系を祖先に持つ人々の多くは、この州の北東部の郡に居住している。；父方の祖先は、18世紀にはロシアに移住していたと考えられている。；人類の祖先は約20万年前にアフリカ中部に発生したものと考えられている。；外見や機能は似ているが共通の祖先に由来しない相似の対義語である。；このチューレ文化の民族は現在のイヌイットの祖先と考えられている。；我々の祖先に眼があったことはほぼ確実で、その眼は外部の情報を取得するのに使われた。；狆の祖先犬は、当初から日本で唯一の愛玩犬種として改良・繁殖された。；一方直接の祖先と言えるのは中世より日本史上に姿をあらわす水軍である。；数万年前の頃から、チワン族の祖先たちはすでに中国の南方で生活していた。；各々の一族は共通の祖先の子孫で、近所に住む者同士のグループから始まった。；彼らの話していたアクイタニア語はバスク語の祖先かその近縁の言語である。；トラヤヌス自身も後にウルピウス氏族が誇りとする祖先の一人となった。</t>
        </is>
      </c>
      <c r="J4839">
        <f>HYPERLINK("https://www.weblio.jp/content/祖先", "词义详情")</f>
        <v/>
      </c>
      <c r="K4839">
        <f>HYPERLINK("https://yourei.jp/祖先", "查看例句")</f>
        <v/>
      </c>
    </row>
    <row r="4840">
      <c r="A4840" t="inlineStr">
        <is>
          <t>注ぐ</t>
        </is>
      </c>
      <c r="B4840" t="inlineStr">
        <is>
          <t>成功</t>
        </is>
      </c>
      <c r="C4840" t="inlineStr">
        <is>
          <t>読み方：そそぐ
［動ガ五（四）］《室町時代ごろまで「そそく」》
１
㋐流れ入る。流れ込む。「淀川は大阪湾に—・ぐ」
㋑雨や雪などがとぎれなく降りかかる。「雨が—・ぐ」「降り—・ぐ」
２
㋐流し入れる。また、容器に水などをつぐ。「田に水を—・ぐ」「茶碗に酒を—・ぐ」
㋑涙を流す。「熱い涙を—・ぐ」
㋒水などを上からかける。ふりかける。「盆栽に水を—・ぐ」
㋓もっぱら、その方へ向ける。一つことに集中する。「心血を—・ぐ」「視線を—・ぐ」「全力を—・ぐ」
[可能]そそげる
[下接句]油を注ぐ・意を注ぐ・心血を注ぐ・火に油を注ぐ・満面朱を濺(そそ)ぐ・目を注ぐ</t>
        </is>
      </c>
      <c r="D4840" t="inlineStr">
        <is>
          <t>注ぐべき；注ぐ小さな；注ぐ河口部；注ぐ河口付近；注ぐ長江右岸</t>
        </is>
      </c>
      <c r="E4840" t="inlineStr">
        <is>
          <t>打つ；満たす；払う；流す；収める</t>
        </is>
      </c>
      <c r="H4840" t="n">
        <v>29</v>
      </c>
      <c r="I4840" t="inlineStr">
        <is>
          <t>淡水は比較的に豊富で東湾に注ぐ川の他、いくつかの小河川が見られる。；一方で国内の整備にも力を注ぎ、カルタゴ・ノウァを建設し首都とした。；夫婦ら研究の紹介に大きな力を注ぎ、数々の貴重な証言を残している。；かつて義和団事件に関わったことから服部は特にこの活動に力を注いだ。；当初は南側の標高が低かったため川は南へと流れ志布志湾に注いでいた。；北海道を代表する企業であったこともあり、各種スポーツに力を注いでいた。；しかし、小村はさまざまな手を打って日英同盟関係の維持に意を注いだ。；交通の便の良さを生かして以前より企業・大学誘致に力を注いでいる。；構造エンジニア、構造設計者らの育成と地位の向上にも力を注いでいた。；そこでわが君に屈辱の飲料を注ごうとお思いになったのでありました。；それを現実のものにするため、ドイツが注いだ力は凄まじいものだった。；あなたはその人に油を注いで、わたしの民イスラエルの君としなさい。；クラブ存続の危機に瀕したが、若手選手育成に力を注いで危機を脱した。；それは油注ぎの男が、油買いに出たまま帰って来ないということであります。；ところが、不幸なことにこの友人は大規模な投機に財産を注ぎこんだ。；アマゾン川は他の河川の支川ではなく、最終的に大西洋へと注いでいる。；彼女は額を下げて、刺繍にじっと目を注ぎながらテーブルの前に坐っていた。；自分は一盻の微笑を彼等に注ぎかけて、静かに歩みを地獄の門に向けた。；使用の際にはその袋にレトルトとヒーターを共に入れ、少量の水を注ぐ。；元々はアラル海に注いでいたが、現在は河口部ではほぼ干上がっている。；大学の仕事、一般向けの著作活動以外にも技術の普及、広報に力を注いだ。；木の髄を桶に入れて大量の水を注ぎしばらく置くと、底に粉が沈殿する。；富士見池の南側に沿って石神井川が流れていて、一部は池にも注いでいる。；家族は娘二人と、いつも茶の注ぎ役になっているその伯母であった。；それからは不眠不休すべてをこの絵に注ぎこんでそれと格闘したのであった。；帰国後は地域振興に意を注ぎ、アメリカ通として講演活動等で活躍した。；水を容器に注いで電子レンジで煮込んで調理することを可能にしたもの。；現在のマドリード市政府は地下鉄網の拡張に多くの努力を注いでいる。；鳥谷川は内潟を経て十三湖に注ぎ、薄市川は単独で十三湖に注いでいた。</t>
        </is>
      </c>
      <c r="J4840">
        <f>HYPERLINK("https://www.weblio.jp/content/注ぐ", "词义详情")</f>
        <v/>
      </c>
      <c r="K4840">
        <f>HYPERLINK("https://yourei.jp/注ぐ", "查看例句")</f>
        <v/>
      </c>
    </row>
    <row r="4841">
      <c r="A4841" t="inlineStr">
        <is>
          <t>そそっかしい</t>
        </is>
      </c>
      <c r="B4841" t="inlineStr">
        <is>
          <t>成功</t>
        </is>
      </c>
      <c r="C4841" t="inlineStr">
        <is>
          <t>［形］［文］そそっか・し［シク］《「そそかしい」の促音添加》態度や行動に落ち着きがない、あわて者である。不注意で、とかく失敗をしがちである。軽はずみである。「—・くて始終忘れ物をしている」
[派生]そそっかしさ［名］</t>
        </is>
      </c>
      <c r="D4841" t="inlineStr">
        <is>
          <t>そそっかしいところ(6%)；そそっかしい人(3%)；そそっかしい性格；そそっかしい女；そそっかしい奴</t>
        </is>
      </c>
      <c r="E4841" t="inlineStr">
        <is>
          <t>軽い；やたら；無謀；むやみ；軽率</t>
        </is>
      </c>
      <c r="H4841" t="n">
        <v>29</v>
      </c>
      <c r="I4841" t="inlineStr">
        <is>
          <t>どんなにそそっかしいといって、自分の親を忘れてくる人がありますか?；あの子のそそっかしいやり方はとても直らないかと気にしたもんですよ。；軍の判事はそそっかしくて気まぐれだと、すでに大勢の人が感じている。；もっとも電話で話した限りでは、そそっかしい人のいいオヤジだったが。；あなたは、まあ、そんなにそそっかしくて、よく暮らしていけますなあ。；あなたはそそっかしいもんだからまちがえたにちがいありません。；それでそのまま忘れていくなんて意外にそそっかしいのね。；いくらそそっかしい男でもこれには気がつきます。；これはそそっかしい熊蔵一人にまかせては置かれないと思った。；まるで落語を地でいったそそっかしさじゃありませんか。；そそっかしいのは昔からだけど、このあいだ自分でいっていた矛盾のひとつひとつを少しは検討してみたの?；見かけによらず気が早いのかそそっかしいのか、誤解しているが鈍感な女ではなかった。；そうだよな、あの人はそういうそそっかしいところがあったよな。；無精で急いだことのない可楽だったが、あれで意外とそそっかしいところもあった。；用心深い性格だが、同時にどこかそそっかしい部分も持っている。；欲が深いくせに、むやみとこのとおり、やることがそそっかしいんだからな。；だが、そそっかしいにも程がある、あぶなく手紙を取落すところだった。；なにしろ無器用な人ですし、それに名うてのそそっかし屋さんですからね。；慌て者でそそっかしいが、すべての失敗を舌を出して頭を掻くことで許してもらえる性格。；取りあえずそそっかしい追突者に文句の一つも言ってやろうと、僕は下を見た。；まぎらわしい字を書いた外人がいけないのか、そそっかしい日本人がいけないのか。；お吉がそそっかしくて、よく自分の飯茶碗を割るのを知っていたからである。；あたしが、そそっかしい女王の役割で走り廻っていたのは確かですけれど、これだけはいえそうだわ。；ああいうそそっかしい男が銀行に勤めて、大丈夫なのかな?；津村さんてなんてそそっかしいかただろう、もうだいぶん風が強くなっておりました。；そそっかしいおまえのことだから、聞けば、じっとしとられなくなるだろう。；安うけあいしてるけど、なにしろそそっかしいんだから、やってみろよ。；ポワロはそそっかしい人ではないのを知っている私は、その事実から、彼の心がひどく乱れている証拠だと推定した。；「あっ、ひかれる」 何とそそっかしい男であるか、と私は思った。</t>
        </is>
      </c>
      <c r="J4841">
        <f>HYPERLINK("https://www.weblio.jp/content/そそっかしい", "词义详情")</f>
        <v/>
      </c>
      <c r="K4841">
        <f>HYPERLINK("https://yourei.jp/そそっかしい", "查看例句")</f>
        <v/>
      </c>
    </row>
    <row r="4842">
      <c r="A4842" t="inlineStr">
        <is>
          <t>そそる</t>
        </is>
      </c>
      <c r="B4842" t="inlineStr">
        <is>
          <t>成功</t>
        </is>
      </c>
      <c r="C4842" t="inlineStr">
        <is>
          <t>［動ラ五（四）］
１ある感情・行動を起こさせる。さそう。「冒険心を—・る」「涙を—・る」「食欲を—・る」
２そびえたつ。
「天—・り高き立山」〈万・四〇〇三〉
３ゆする。ゆり動かす。また、ゆすって選り分ける。〈日葡〉
４浮かれる。浮かれ騒ぐ。そわそわする。
「まだ肌寒き川風を酒に凌(しの)ぎて—・り行く」〈浄・油地獄〉
５遊里などを冷やかして歩く。
「廊下ばかり—・りゃあがる」〈洒・辰巳之園〉</t>
        </is>
      </c>
      <c r="D4842" t="inlineStr">
        <is>
          <t>そそるらしい</t>
        </is>
      </c>
      <c r="E4842" t="inlineStr">
        <is>
          <t>刺激；誘惑；アピール；誘う；捉える</t>
        </is>
      </c>
      <c r="H4842" t="n">
        <v>29</v>
      </c>
      <c r="I4842" t="inlineStr">
        <is>
          <t>自分のことを話していたと聞いて彼はやや興味をそそられ、そう答えた。；暴力の味が彼を興奮させ、これから起こることに興味をそそらせていた。；魅せられたように強い関心をそそられた彼女の顔は生き生きとしてきた。；いま聞いた話に、すっかり好奇心と同情とをそそられていたからである。；この二つのうち、いずれが勝って秋のあわれをそそったものであろうか。；事件はある遺言状に関係したもので、多少興味をそそるところがあった。；われわれはそんな考えをちょっとからかってみたい気持ちにそそられる。；それがつづいているあいだに、新しい計画で、ふたりの興味をそそった。；われわれはよく、自分たちの不幸を誇張して彼らの涙をそそろうとする。；彼はもう一度、オルニー・コートの家を訪ねてみたい気持をそそられた。；侮蔑によつてそそられながら、彼の欲望はかなり強いものになつてゐた。；好色といっては強すぎるが、大いに好奇心をそそられているのであった。；そして赤い布に痛く心をそそらるるものであるから、注意せねばならぬ。；男たちはこうしたタイプの女におおいに興味をそそられるものなんだ。；テエブルの上には手のひらと腕とが彼の触覚をそそるように伸びている。；由美がどんな用であなたを訪ねて来たのか、我々は興味をそそられました。；聞くともなしに聞いているうちに友人はひどく興味をそそられた。；最初のうちは、そんな彼にかえって興味をそそられた女性もいた様子である。；高校の授業に興味をそそられることはなかったが、本を読むのは好きだった。；確かに、それは通りの人々の興味をそそるにたる珍らしい見ものだった。；どこから、何故今になって現れたのか、私は大いに興味をそそられた。；そうすれば人の心のそこここをそそって、 誰の胸にも応えるのです。；いや君たちの同情をそそるに足る・三人の涙にくれた・子供も持っている。；女の、この醜さにこそ自分はそそられてきたのだと今更ながらに気付く。；興味をそそられる話ではあったが、全体を見れば試みが成功したとは言えない。；ところがここにひとつひどく僕の興味をそそった光景があるんだ。；でも今一番興味をそそられるのが、泉跡に集まっている前述の一団だ。；あなたの興味をそそった物語は、勿論私達の身の上話ではありません。；実験室で夕食をとった事情は、もっとも彼の関心をそそったらしかった。</t>
        </is>
      </c>
      <c r="J4842">
        <f>HYPERLINK("https://www.weblio.jp/content/そそる", "词义详情")</f>
        <v/>
      </c>
      <c r="K4842">
        <f>HYPERLINK("https://yourei.jp/そそる", "查看例句")</f>
        <v/>
      </c>
    </row>
    <row r="4843">
      <c r="A4843" t="inlineStr">
        <is>
          <t>育ち</t>
        </is>
      </c>
      <c r="B4843" t="inlineStr">
        <is>
          <t>成功</t>
        </is>
      </c>
      <c r="C4843" t="inlineStr">
        <is>
          <t>読み方：そだち
１成長すること。また、成育の状態。「稲の—が早い」
２成長するときの環境やしつけ・教育など。育てられ方。「—のいい人」「氏より—」
３他の語の下に付いて、その場所に生まれて育つこと、また、育てられることの意を表す。「温室—」「山—」</t>
        </is>
      </c>
      <c r="D4843" t="inlineStr">
        <is>
          <t>育ちまし；育ち盛り；育ちつつある；育ちにくい；育ちすぎ</t>
        </is>
      </c>
      <c r="E4843" t="inlineStr">
        <is>
          <t>発生；発展；教育；成長；発達</t>
        </is>
      </c>
      <c r="F4843" t="inlineStr">
        <is>
          <t>田舎育ち；都会育ち；東京都育ち；下町育ち；お嬢さん育ち</t>
        </is>
      </c>
      <c r="H4843" t="n">
        <v>29</v>
      </c>
      <c r="I4843" t="inlineStr">
        <is>
          <t>国籍は台湾であったが、両親も日本育ちであり、中国語はできなかった。；誰が何といってもこの土地は我々が生まれ育ち埋められる巣であり墓なのだ。；音楽好きの一家に育ち、彼と5人の兄弟は父親から音楽のてほどきを受けた。；育ちがよく淑女の振る舞いを身につけているが、世間知らずな面もある。；リーヴァイはファニーの育ち盛りの家族と一緒に生活することとなった。；ニュージャージーで育ち、高校卒業後にテレビに出演するようになる。；主人公・弘美は母親から虐待を受けて育ち、耐え切れなくなって家を出る。；アメリカ育ちであり言語習得の必要がなかったことも理由のひとつだと語っている。；教育熱心な家庭で育ち、当時はあまり漫画を読ませてもらえなかった。；映画育ちであるにもかかわらず、名をなしてのち映画の仕事にはほとんど関わっていない。；小学校から大学まで女子校で育ち、女性への鋭い視線は評価が高い。；乾燥地帯でも育ち、アフリカ、インドやその他の地域に広く分布している。；生まれも育ちも異なる2匹であったが、やがて互いに惹かれ合うようになる。；音楽一家に育ち、その歌唱力と美声は子供の頃から知る人ぞ知るものであった。；保守的な価値観の家庭で育ち自身の思想にも影響を与えた。；フランスに育ち英国のカレッジに学んだ後、ニューヨークで演技の勉強をする。；若い緑は育ち、夏の暑さに喘ぎ、やがて女性は若い神の死を悼むであろう。；両親から十分な愛情を注がれずに育ち、反抗的な少年時代を過ごした。；家族の仕事柄上普段から魚を食べて育ち、太い骨格と丈夫な内臓を養った。；近年は当施設の共同セミナー育ちでもある作家の篠田節子も運営委員に参加している。；私はニューヨークで、ひとりで地下鉄やバスに乗りながら育ちました。；パリで育ち、英語やラテン語の先生、またタイピストとして働いていた。；彼女は8歳年下で赤毛を持ち、知的で育ちの良い感じの女性だったという。；生まれも育ちも東京で、母方の祖父の影響で相撲に興味を持った。；ウリムはアメリカ育ちのため、着ているものから性格までみんなとはまったく違う。；冬期は雪に埋もれながら育ち、樹形は積雪の関係で地を這う形になる。；現在は現代音楽への拒絶も一切なく注目すべき若手が育ちつつある。；これは外側が先に育ち、内側はその後から出葉して次第に混んでくるためである。；健一郎は1921年に福岡県で生まれ、台湾で育ち基隆中学を卒業した。</t>
        </is>
      </c>
      <c r="J4843">
        <f>HYPERLINK("https://www.weblio.jp/content/育ち", "词义详情")</f>
        <v/>
      </c>
      <c r="K4843">
        <f>HYPERLINK("https://yourei.jp/育ち", "查看例句")</f>
        <v/>
      </c>
    </row>
    <row r="4844">
      <c r="A4844" t="inlineStr">
        <is>
          <t>育つ</t>
        </is>
      </c>
      <c r="B4844" t="inlineStr">
        <is>
          <t>成功</t>
        </is>
      </c>
      <c r="C4844" t="inlineStr">
        <is>
          <t>読み方：そだつ
［動タ五（四）］
１生まれた生物が時間がたつにつれてしだいに大きくなり、成熟に向かう。成長する。生長する。「母乳で—・つ」「麦が—・つ」
２鍛えられ、力を身につけて一人前になる。「若手の投手が—・つ」「研究者が—・つ」
３
㋐小さな規模で始めた物事が順調に発展する。「民主政治が—・つ」「会社が—・つ」
㋑ある考え方・気持ちなどが着実に伸びる。「自立心が—・つ」「愛情が—・つ」
［動タ下二］「そだてる」の文語形。</t>
        </is>
      </c>
      <c r="D4844" t="inlineStr">
        <is>
          <t>育つべき；育つまい；育つべく；育つイエルバサンタから抽出</t>
        </is>
      </c>
      <c r="E4844" t="inlineStr">
        <is>
          <t>なる；発生；展開；発展；成長</t>
        </is>
      </c>
      <c r="F4844" t="inlineStr">
        <is>
          <t>よく育つ；受けて育つ；食べて育つ；大きく育つ；聴いて育つ</t>
        </is>
      </c>
      <c r="H4844" t="n">
        <v>29</v>
      </c>
      <c r="I4844" t="inlineStr">
        <is>
          <t>経済的に力をつけてもなお自身の育ってきた環境を忘れてはいなかった。；ロサンゼルスで生まれるとすぐに養子に出され、母親を知らずに育った。；それは家庭でのカルテット演奏会から育って大きくなった社交場だった。；母親は大の映画好きで、幼少から映画が身近にあった家庭環境で育った。；ここで失敗すると、あなたと彼との関係は決していい恋に育たないのだ。；父親が戦死したため父親を知らずに育ってきたので余計に嬉しかったのだ。；牛たちは良く育ったが、彼が同じ山にばかりいるので仕事を外された。；また、こういう環境で育った子供は、脳の発達具合にまで違いがみられる。；そもそもこの家は、子どもが育たない家だって話だったんじゃないのかな。；使っているうちにこの箸を壊すことは元気に育っている証拠とされる。；父親がアメリカ軍の兵士だったため、韓国やドイツなどの駐屯地で育つ。；船舶会社に勤務するアメリカ人の父と日本人の母の間に東京で生まれ育つ。；自然豊かな環境で育ったことが、その後の人生に影響を与えたと言われている。；シハヌークの息子たちの中では最も父親の愛情を受けて育ったといわれる。；長男と次男は財津が生まれる前に他界していたため、3人兄弟で育った。；フランスとアメリカを行き来して育ったため、フランス語を流暢に話す。；この講習会からは、作品のこれからの演奏を担う演奏家が何名も育った。；それかといって一度育たなかった種は永久に育たぬときめることもない。；幼い頃から教会を出入りして育ったジャシーは、両親も歌手であった。；早生まれで大きく育った仔は牧場で評判が高く、病気せず健康であった。；もう十一にもなりながら、その子は何の言葉も知らないし、体も育たない。；彼の両親はそこで海上貿易に携わっており、彼も常に海の上で育った。；そのような家庭環境に育ったため、劉知幾も古典・史書の研究に励んだ。；数え年四歳で父を失い、以降は叔父の欧陽曄が住んでいた随州で育った。；彼はおそらく貧しい家庭で育ったようであるが、学校には行くことが出来た。；彼は両親の判断で、複数の住み込みの女性家庭教師に委ねられて育った。；胞子体の地上部には茎しかなく、よく育ったものは30cmほどになる。；それを伸び育たせる努力と計画が不足してゐることは、われわれの罪である。；ただし父とは会ったことがなく、演劇関係者であった義父の元で育つ。</t>
        </is>
      </c>
      <c r="J4844">
        <f>HYPERLINK("https://www.weblio.jp/content/育つ", "词义详情")</f>
        <v/>
      </c>
      <c r="K4844">
        <f>HYPERLINK("https://yourei.jp/育つ", "查看例句")</f>
        <v/>
      </c>
    </row>
    <row r="4845">
      <c r="A4845" t="inlineStr">
        <is>
          <t>育てる</t>
        </is>
      </c>
      <c r="B4845" t="inlineStr">
        <is>
          <t>成功</t>
        </is>
      </c>
      <c r="C4845" t="inlineStr">
        <is>
          <t>読み方：そだてる
［動タ下一］［文］そだ・つ［タ下二］
１手間をかけて養い成長させる。養育する。「実の子同様に—・てる」「苗を—・てる」
２能力などが伸びるように教え導く。手を掛けてやったり、教え鍛えたりして、一人前として通用するまでにする。「後継者を—・てる」「選手を—・てる」
３
㋐小さな規模で出発した組織・団体などを発展させる。「地場産業を—・てる」
㋑ある考え方・気持ちなどが伸びていくように力を尽くす。「独立心を—・てる」「夢を—・てる」
４手なずける。おだてる。そそのかす。
「人に—・てられ、けしかけられ」〈浄・油地獄〉
→養う［用法］</t>
        </is>
      </c>
      <c r="D4845" t="inlineStr">
        <is>
          <t>育てるべく；育てるべき</t>
        </is>
      </c>
      <c r="E4845" t="inlineStr">
        <is>
          <t>生産；教育；作る；栽培；育成</t>
        </is>
      </c>
      <c r="F4845" t="inlineStr">
        <is>
          <t>産み育てる；生み育てる；大きく育てる；引き取って育てる；産んで育てる</t>
        </is>
      </c>
      <c r="H4845" t="n">
        <v>29</v>
      </c>
      <c r="I4845" t="inlineStr">
        <is>
          <t>そこではまず、親は自分の子供を自由に育てる権利を持っていなかった。；地形・大気・生物・文明などを操作し惑星を育てる事を目的としている。；両親には、最初の子供だったことからとても大事に育てられたという。；建学の精神にもあるように、国際的な人間を育てることを目指している。；その際、祖母を母親と、実の母親を姉と言い聞かされながら育てられた。；そこで狼に育てられた少年の住む、インドの森について書いたのだった。；子供の頃は各地を転々とし、母親と母親のガールフレンドに育てられた。；幸せはもらうものではなく、自分の中で育てるものではないかと思います。；その間にも弟子を多数育て、戦争が子ども達に与えた影響なども調査した。；幼い頃に父が死亡して母も他家に嫁いだため、祖母の劉氏に育てられる。；この時は劉邦の父の劉太公の農業を助け、懸命に子供たちを育てていた。；家庭でも作りやすく、深いコンテナなどを使って鉢植えでも育てられる。；巡視船等の機関運転・整備を担当する海上保安官を育てるコースである。；戦後の高度成長期、それでも女が単身で子供を育てるのは困難であった。；そのため、母方の叔父であるが父の死後、コペルニクスと兄弟を育てた。；巫蠱の獄を生き延びた孫の劉病己は、民間の家庭にて育てられ成人した。；幼少期・少年期は母と父の厳格な教育方針のもと家庭教育で育てられた。；リーダー育成により日本の社会に影響ある若者を育てることを目指す。；幼少期は不明であるが、酒井家江戸屋敷で育てられたと考えられている。；山中で子供を育てるために、どんなことでもしなくてはならなかった。；親の投資とは一匹の親が現在の子を育てるのに用いるあらゆる資源を指す。；ロビーが3歳の時に両親は離婚しており母親に姉とともに育てられた。；また多くの優れた弟子を育てたことでも知られている。；マヌはその金色の魚を瓶の中に入れて育てたが、魚はすぐに大きくなった。；台湾は産んでくれたお母さんであり、日本は育ててくれたお父さん。；ダイアナはなるべく二人の王子を普通の子供のように育てたかった。；幼い妹弟達を育てる為に野球にかけるハングリーな精神が強さの秘訣。；自然環境が人をどのように育てるのかという実験も行なったのである。；母の手ひとつで育てられながら、高校卒業までを甲府市で過ごした。</t>
        </is>
      </c>
      <c r="J4845">
        <f>HYPERLINK("https://www.weblio.jp/content/育てる", "词义详情")</f>
        <v/>
      </c>
      <c r="K4845">
        <f>HYPERLINK("https://yourei.jp/育てる", "查看例句")</f>
        <v/>
      </c>
    </row>
    <row r="4846">
      <c r="A4846" t="inlineStr">
        <is>
          <t>措置</t>
        </is>
      </c>
      <c r="B4846" t="inlineStr">
        <is>
          <t>成功</t>
        </is>
      </c>
      <c r="C4846" t="inlineStr">
        <is>
          <t>読み方：そち
［名］(スル)
１事態に応じて必要な手続きをとること。取り計らって始末をつけること。処置。「万全の—をとる」「適当に—する」
２安んじていること。また、物事をそのままに打ち捨てておくこと。
「夷艦渡来の後…幕吏これを—するが故に天下騒然として」〈染崎延房・近世紀聞〉</t>
        </is>
      </c>
      <c r="D4846" t="inlineStr">
        <is>
          <t>措置等；措置を講じなけれ；措置をとるべき；措置を講ずべき；措置法</t>
        </is>
      </c>
      <c r="E4846" t="inlineStr">
        <is>
          <t>対策；術；策；方策；打つ手</t>
        </is>
      </c>
      <c r="F4846" t="inlineStr">
        <is>
          <t>経過措置；制裁措置；防止等重点措置；代替措置；防止措置</t>
        </is>
      </c>
      <c r="G4846" t="inlineStr">
        <is>
          <t>措置入院；措置命令；措置要求；措置制度</t>
        </is>
      </c>
      <c r="H4846" t="n">
        <v>29</v>
      </c>
      <c r="I4846" t="inlineStr">
        <is>
          <t>このため参宿の距星を別の星に置くなどの措置が取られるようになった。；ただし、これらの措置の詳細については今後検討することとされている。；またこの措置は金属の価格が上昇したことなども要因となっている。；修復等の措置はなされず、現在もホームは半壊状態のままとなっている。；ボーマルシェがこの措置に不満を抱くのも、当然といえば当然であろう。；彼はソ連の突然の措置にも西側同盟国の対応姿勢にもひどくショックを受けた。；これは子供のいない家庭が同様の措置を受けているからである。；より短い廃止措置戦略では、ロボットによるコア解体技術が必要になる。；このような運転寿命の延長のための措置が実施されたのは初めてのことであった。；この措置は上記の棋譜読み上げと同じく女流王将戦でも実施されている。；これは国家と党の両方からの介入を受けないための措置であった。；患者の隔離に関する措置が十分に行われていれば、感染することはない。；これらの組織は戦後は、経過措置団体を経て日本経済団体連合会となった。；これは、勾配区間での軸重移動を考慮し均等にするための措置である。；また、広田弘毅など非軍人を合祀したことでも例外的な措置であった。；韓国の独自支援措置の流れから、同年8月に日本から河野談話が出された。；またこれらの措置は、大阪府公安委員会からの指導に基づいて取られていた。；このとき、政府は時刻についての立法措置や決定を特に行わなかった。；この措置は、基通が成長して関白氏長者になるまでの時間稼ぎと見られる。；これはフランスなどの妨害で巡礼者が難儀することを考えての措置であった。；宮内庁は以後かなり取材などに対しては事前に厳しい措置をとるようになった。；これは長年の友好国である北朝鮮との関係も考慮した措置である。；この措置のことを「旅程管理」といい、具体的には以下の通りである。；それ以外のケースでは、「プレイが継続しなかった場合」と同様の措置とする。；当時は団体客のためとはいえ特急を臨時停車させることは異例の措置であった。；これは首都圏に在住した殆どの外国籍者に与えられた措置であった。；モバイルタイプは利用停止措置とそれ以降の残高の再発行が可能になった。；この後も各種法改正によって不法移民に対しては厳しい措置をとっている。；そのため上海などの経済都市に対して政府はロックダウンの措置をとった。</t>
        </is>
      </c>
      <c r="J4846">
        <f>HYPERLINK("https://www.weblio.jp/content/措置", "词义详情")</f>
        <v/>
      </c>
      <c r="K4846">
        <f>HYPERLINK("https://yourei.jp/措置", "查看例句")</f>
        <v/>
      </c>
    </row>
    <row r="4847">
      <c r="A4847" t="inlineStr">
        <is>
          <t>そちら</t>
        </is>
      </c>
      <c r="B4847" t="inlineStr">
        <is>
          <t>成功</t>
        </is>
      </c>
      <c r="C4847" t="inlineStr">
        <is>
          <t>読み方：そちら
［代］
１中称の指示代名詞。
㋐聞き手に近い方向をさす。「—は遠回りですよ」
㋑聞き手のいる、またはその方向にある場所をさす。「私のほうから—に伺います」「—はもう暖かくなりましたか」
㋒聞き手の近くにある物をさす。「—はお買い得ですよ」
２二人称の人代名詞。聞き手自身、また聞き手の側をさす。「—の意見を聞かせてください」
３三人称の人代名詞。聞き手のすぐそばにいる人をさす。同等以上の人に用いる。その人。「—を私に紹介してください」
[補説] 「そっち」よりも丁寧な言い方。</t>
        </is>
      </c>
      <c r="D4847" t="inlineStr">
        <is>
          <t>そちら側；そちらさま；そちら様；そちら方面；そちらへ行きます</t>
        </is>
      </c>
      <c r="E4847" t="inlineStr">
        <is>
          <t>そっち；そっち側</t>
        </is>
      </c>
      <c r="F4847" t="inlineStr">
        <is>
          <t>何気なくそちら；そちらへ歩きだし；そちらへ参ります</t>
        </is>
      </c>
      <c r="H4847" t="n">
        <v>29</v>
      </c>
      <c r="I4847" t="inlineStr">
        <is>
          <t>元々はそちらの料理であったとされ日本へは伝来したものと見られている。；前作にも登場したキャラクターについては、そちらの項目を参照のこと。；所在地は神戸市だが西宮市との市境も近くそちらの住民も多数利用する。；しかし現在ではこの怪物の名前が鵺だと思われ、そちらの方が有名である。；また人力車よりも運賃が高く、そちらに乗客を取られるおそれがあった。；この間も総合格闘技への参戦も並行して行いそちらでも活躍を見せる。；そのため、すぐ近くに第2の工場を建設して装置類はそちらに移した。；そこで、ある方向を定め、そちらを向いた時の左右で指定する方法がある。；そしてチベット兵がそちらに集まったところで、南側から主攻をかけた。；クレジットされていないが、そちらのカメラは木村大作が担当している。；会場到着後はそちらの進行役を務めたり募金の受け渡しを行っていた。；基本仕様、共通機能は前年11月発売モデルと同様なのでそちらを参考。；もう一社の論社には高野神社があり、そちらは美作国二宮となっている。；日中は〔昭和巡回〕と路線を共有しているのでそちらでの運転となる。；球場近くには同社の工場や博物館もあり、そちらは一般客の見学も可能。；さらにバスの性能が向上すると、しばしばそちらの方が便利となっていった。；キャンベラ市内に鉄道を建設する計画もあるが、そちらも達成されていない。；後に奈良電車区が開設されると、関西本線の電車はそちらに移管された。；ペールという表記が用いられる場合もあるのでそちらも参照されたい。；時刻については別記事「時刻」が立てられているのでそちらで詳説する。；彼らが攻撃を準備していた際、敵の75mm砲を発見し、そちらへ向かった。；より事実に近い映画も作られたが、そちらは人気が出なかった。；ただ築城年に関しては別説があり、近年ではそちらの方が有力視されている。；以下のマスについては前作から変更が無いため、そちらの項を参照のこと。；Twitterでは別の名前での作品もあるというが、そちらは未公表である。；踊りの内容はオルロのカーニバルとほぼ同じであるのでそちらも参照されたい。；そちらを基準にすると、本校の歴史は1912年まで遡ることができる。；単独項目として作成されている船に関しては、そちらも参照されたい。；廃止・撤退路線のうち、鹿沼市民バスに転換された路線は、そちらも参照。</t>
        </is>
      </c>
      <c r="J4847">
        <f>HYPERLINK("https://www.weblio.jp/content/そちら", "词义详情")</f>
        <v/>
      </c>
      <c r="K4847">
        <f>HYPERLINK("https://yourei.jp/そちら", "查看例句")</f>
        <v/>
      </c>
    </row>
    <row r="4848">
      <c r="A4848" t="inlineStr">
        <is>
          <t>卒業</t>
        </is>
      </c>
      <c r="B4848" t="inlineStr">
        <is>
          <t>成功</t>
        </is>
      </c>
      <c r="C4848" t="inlineStr">
        <is>
          <t>読み方：そつぎょう
［名］(スル)
１学校の全課程を学び終えること。「大学を—する」「—式」《季春》「校塔に鳩多き日や—す／草田男」
２ある段階や時期を通り過ぎること。「ボウリング通いはもう—した」</t>
        </is>
      </c>
      <c r="D4848" t="inlineStr">
        <is>
          <t>卒業後(22%)；卒業試験；卒業記念；卒業資格；卒業直前</t>
        </is>
      </c>
      <c r="E4848" t="inlineStr">
        <is>
          <t>卒</t>
        </is>
      </c>
      <c r="F4848" t="inlineStr">
        <is>
          <t>高校卒業；科卒業；中学卒業；高等学校卒業；専攻卒業</t>
        </is>
      </c>
      <c r="G4848" t="inlineStr">
        <is>
          <t>卒業生；卒業式；卒業論文；卒業証書；卒業制作</t>
        </is>
      </c>
      <c r="H4848" t="n">
        <v>29</v>
      </c>
      <c r="I4848" t="inlineStr">
        <is>
          <t>から卒業することに伴い、第7代リーダーに就任することが発表された。；卒業式の日は仕事だったため別の日に校長室で1人で卒業式が行われた。；からの卒業自体を同時に行ったのはこの2人が初めてのケースである。；いまだ歴史を行っている世界と、歴史を卒業した世界という意味である。；卒業し制服を着なくなると痴漢に遭わなくなったとの女性の声も多い。；このマッカーサー以上の成績で卒業した者はこれまで2名しかいない。；大学卒業後に一旦就職し、しばらくたってから大学院に入学する人も多い。；小山力也などは別の大学を卒業してからこれらの大学に進学した。；大学卒業後からの半年間は、慶應義塾大学病院の中央検査部に勤務していた。；高校卒業後、大学入試には合格したが家庭の事情で進学しなかった。；卒業時にはピアノを演奏したと伝えられるが曲目は不明である。；投稿を続けるうちにプロを意識するようになり、高校卒業後に上京。；日本以外の法制化国に留学し、職業大学を卒業した者は別に存在する。；学部を卒業した者などが入学者選考試験を経て、合格したものが入学できる。；母親は同志社大学卒業で、吉屋信子の英語の家庭教師をしたこともある。；中学を卒業して入門した力士で、そんな人はおそらくいないんじゃないかな?；なかには全課程を修了していなくても卒業を授与する大学も一部ある。；ただし、形式的であってもすでに中学校を卒業している場合は入学できない場合もある。；障害に合わせた支援があれば十分に習熟・卒業が可能である。；各会員は1期から始まり、現在は各大学卒業ごとに開かれている。；外国の検査技師学校を卒業し厚労大臣の認定を受け国家試験を受験する。；ここで数学者のトップとなったが、卒業することはできなかった。；人気を得るに従って授業に出席できなくなり、卒業はしていない。；両親が不仲になったこともあり、高校卒業を機に家を出て独立。；中学校卒業後、学生は職業専門学校もしくは通常の高校へと進学することが多い。；従来の方式では、医師は卒業と同時にいずれかの医局に「入局」していた。；大学卒業後の1988年に、アナウンサーとしてテレビ朝日へ入社した。；またこの頃の一時、30歳になったらアニメソングは卒業と考えていたという。；代わりに医学部・歯学部では口頭試問などの卒業試験が行われることが多い。</t>
        </is>
      </c>
      <c r="J4848">
        <f>HYPERLINK("https://www.weblio.jp/content/卒業", "词义详情")</f>
        <v/>
      </c>
      <c r="K4848">
        <f>HYPERLINK("https://yourei.jp/卒業", "查看例句")</f>
        <v/>
      </c>
    </row>
    <row r="4849">
      <c r="A4849" t="inlineStr">
        <is>
          <t>そっくり</t>
        </is>
      </c>
      <c r="B4849" t="inlineStr">
        <is>
          <t>成功</t>
        </is>
      </c>
      <c r="C4849" t="inlineStr">
        <is>
          <t>［形動］非常によく似ているさま。「父親に—な顔」
［副］欠けることのないさま。そのまま。残らず。全部。「昔の建物が—残る」</t>
        </is>
      </c>
      <c r="D4849" t="inlineStr">
        <is>
          <t>そっくりそのまま(6%)；そっくり同じ(4%)；そっくりです；そっくりでし；そっくりじゃない</t>
        </is>
      </c>
      <c r="E4849" t="inlineStr">
        <is>
          <t>全て；完全に；すっかり；皆；全部</t>
        </is>
      </c>
      <c r="F4849" t="inlineStr">
        <is>
          <t>そっくりじゃ；そのままそっくり；父親そっくり；ほとんどそっくり；母親そっくり</t>
        </is>
      </c>
      <c r="G4849" t="inlineStr">
        <is>
          <t>そっくり館キサラ；そっくりショー；そっくりかえる；そっくり大賞；そっくり返る</t>
        </is>
      </c>
      <c r="H4849" t="n">
        <v>29</v>
      </c>
      <c r="I4849" t="inlineStr">
        <is>
          <t>命令を実現するには、第5軍がそっくりもう一個必要だったからである。；尻尾は魚のものとそっくりで、耳は魚のヒレのような形状へと変化する。；作品中の登場人物そっくりの文体を使った文章を書く事でも知られる。；それはアメリカの紙幣で千二百ドルがそっくりそこに残っていたことである。；不思議なことに、その3人の顔はまるで3つ子のようにそっくりだった。；このロボットに誰かの姿を見せて命令すると、その人そっくりに変身する。；その子は何から何までお父さんそっくりだと誰もが言っていた。；彼女は久しぶりに会った姉があまりに母親そっくりで驚いたという。；そこへもうひとり、そっくり同じ松波博士が階段をおりてきたのです。；娘から来た十何円の金は、そっくりそのまま枕頭の財布の中に入っていた。；僧から姫君の所在を聞いて会いに行くと姫君は唐后にそっくりであった。；建物は、そっくりそのまま総合・普通系の校舎として活用されている。；するとそこで自分の姿にそっくりな子を見かけ不思議に思う。；自分がかつて殺したマリオン・クレインにそっくりだったからである。；なるほど云われて見れば、写真で見るニューヨーク市街そっくりである。；このコーナーで鈴木がキン肉マンの声に、そっくりなことが分かった。；ハリーの相棒エミールは、本物そっくりに再現した複製を用意していた。；これはギムナジウムを舞台にした萩尾望都にそっくりの作品であった。；この事件が自分の書いた小説にそっくりだったためである。；稲穂の数から横線の数まで本物の五円玉とそっくりな形状で作られている。；出力された絵は「人間カメラ」と呼ばれるほどそっくりな絵になる。；しかも、その怪物はジェフが描いた作品にそっくりな姿をしていた。；葬儀には康次郎そっくりの子どもの手を引いた女性が行列を作ったという。；しばらくして訪ねて来たジョージの姿形はトムにそっくりであった。；そしてその犯人が風間新太郎にそっくりだったことに衝撃を覚える桐生。；このため同協会のシステムはそっくり宏池会を真似たものである。；これでは、まるで昔のお伽噺に出てくるような大海蛇そっくりである。；このため同協会のシステムはそっくり宏池会のシステムを真似た。；しかし、靖国神社の銅像を見た夫人はそっくりであると証言している。</t>
        </is>
      </c>
      <c r="J4849">
        <f>HYPERLINK("https://www.weblio.jp/content/そっくり", "词义详情")</f>
        <v/>
      </c>
      <c r="K4849">
        <f>HYPERLINK("https://yourei.jp/そっくり", "查看例句")</f>
        <v/>
      </c>
    </row>
    <row r="4850">
      <c r="A4850" t="inlineStr">
        <is>
          <t>そっけない</t>
        </is>
      </c>
      <c r="B4850" t="inlineStr">
        <is>
          <t>成功</t>
        </is>
      </c>
      <c r="C4850" t="inlineStr">
        <is>
          <t>読み方：そっけない
［形］［文］そっけな・し［ク］他人に対する思いやりや温かさが感じられない。すげない。「—・く答える」「—・い態度」
[派生]そっけなさ［名］</t>
        </is>
      </c>
      <c r="D4850" t="inlineStr">
        <is>
          <t>そっけない態度(9%)；そっけない口調(7%)；そっけない返事(7%)；そっけない声(6%)；そっけない調子(4%)</t>
        </is>
      </c>
      <c r="E4850" t="inlineStr">
        <is>
          <t>冷たい；乱暴；ぶっきらぼう；冷淡な；冷ややかな</t>
        </is>
      </c>
      <c r="F4850" t="inlineStr">
        <is>
          <t>ひどくそっけない；いつもそっけない</t>
        </is>
      </c>
      <c r="H4850" t="n">
        <v>29</v>
      </c>
      <c r="I4850" t="inlineStr">
        <is>
          <t>だからその後の敵状の提供にそっけなくなってしまったにちがいない。；小さい女の子などには優しく、他の人にはそっけない態度をとっている。；あまりにもそっけない応対をしたことに少し気が引けたのかもしれない。；「祖母は卵を届けにいくから行かれないよ」 母親はそっけなく言った。；でも、電話に出たミツコの母親の態度は、腹が立つほどそっけなかった。；そしてオピスの戦いの記述が続くが、その描写はそっけないものである。；「その点、きわめてうまくいってるのじゃないかな」そっけなくいった。；出張で和歌山に来ています、と書かれただけのそっけない絵葉書もある。；みんなはあんたが、なんとそっけない顔をしてる、と思っているでしょう。；いままではそっけなかったのに、女のほうから青年に近づいてきた。；おきめくださいというのはそっけない言葉であるはずはありません。；アレッサンのそっけない返事を聞いて、モレタは心のなかでつぶやいた。；男の態度はあまりにもそっけなくて、あえて質問をする勇気が出ない。；助けてくれた日菜子に感謝する百合だが日菜子はそっけない返事をするのみ。；「祖父にお金があるのは、私の責任じゃないわ」彼女はそっけなくいった。；「行けない山のことなんか興味はありません」 加藤はそっけなく答えた。；「別に、井上に用なんかないよ」 そっけない口調でそんなことを言う。；その声は今まで聞いたこともないほどそっけないものだった。；「生者は知る必要のないことだ」 そっけなく答えるまで、間があった。；文面は、今までと様子が違って、全体にそっけない調子が流れていた。；それをおしのけるようにして、 「一人で行けば」 そっけなく云った。；久邇が何を言おうかと考えているうちに、道子がそっけない口を利いた。；そう思ったら、このそっけない鉄の一本棒が妙に愛しく見えてきた。；言葉が少ないのは常のことだが、こういう状況だと妙にそっけない感じがした。；「ぼくの馬には運動が必要だったんだ」ガリオンはそっけなく言った。；きものはそっけないくらいに簡単な構造で、だれもが同じ形のものを着る。；「あなたと議論するつもりはありません」 心葉先輩がそっけなく言う。；「まだ逮捕したわけではありません」と、マーカムはそっけなくいった。；原田のそっけない放心状態を、このときほど淋しいと思ったことはない。</t>
        </is>
      </c>
      <c r="J4850">
        <f>HYPERLINK("https://www.weblio.jp/content/そっけない", "词义详情")</f>
        <v/>
      </c>
      <c r="K4850">
        <f>HYPERLINK("https://yourei.jp/そっけない", "查看例句")</f>
        <v/>
      </c>
    </row>
    <row r="4851">
      <c r="A4851" t="inlineStr">
        <is>
          <t>即刻</t>
        </is>
      </c>
      <c r="B4851" t="inlineStr">
        <is>
          <t>成功</t>
        </is>
      </c>
      <c r="C4851" t="inlineStr">
        <is>
          <t>読み方：そっこく
すぐその時。すぐさま。即時。多く副詞的に用いる。「—判断を下す」「—退去せよ」</t>
        </is>
      </c>
      <c r="D4851" t="inlineStr">
        <is>
          <t>即刻処刑(2%)；即刻即座；即刻中止；即刻解雇；即刻逮捕</t>
        </is>
      </c>
      <c r="E4851" t="inlineStr">
        <is>
          <t>すぐに；早く；一瞬；たちまち；急速に</t>
        </is>
      </c>
      <c r="F4851" t="inlineStr">
        <is>
          <t>即刻退場；あれば即刻；即刻廃止；即刻射殺；即刻出発</t>
        </is>
      </c>
      <c r="H4851" t="n">
        <v>29</v>
      </c>
      <c r="I4851" t="inlineStr">
        <is>
          <t>或る者は敵の上陸地点を想定して、即刻防備策を講じるべきだと叫んだ。；楽屋内で冗談でも云う者があると即刻に破門しかねまじき勢いであった。；かれは即刻衛兵たちを呼びよせようとしたが、すぐにその考えを捨てた。；エィディレグ王に即刻この事態をお知らせしなくてはならないのでして。；といって彼は即刻東京に出かけてゆく手段を持ってはいないのだ。；この言葉を聞いた僧の中には、即刻財産を処分して逃げたものもあったという。；伯爵はこの男に、その愛人のチェキーナを即刻連れて来るように命じた。；即刻、六波羅に早打ちが飛んでいるものと考えておかなければならない。；元春以下の主戦派は強く、即刻、秀吉勢に攻めかかるべきだと主張した。；こうなっては、即刻別れを告げて立ち去るのが、最善の策かもしれない。；とにかく君は即時即刻あのような人物との関係を清算せにゃならんのだ。；大学へ進んで勉強をつづけ、理想の即刻の実行をもう四年先へのばすか。；キリスト教は之に反して即刻に最高に到る最短の道を示すことができます。；きさまたちが海軍の伝統をけがすような行動に出たら、即刻射殺するぞ!；お望みとあらばこの目障りな人間の息の根、即刻お止め致しましょうぞ!；すぐ私は、どうして即刻知らせてくれなかったのかと尋ねました。；松鶴はのちに、即刻入門を許可した弟子は初めてだったと述べている。；長年こやつの死刑を望んでおりましたが、即刻実行に移しましょう。；それによって、私達は即刻にも対策をたてなければならぬではないか。；それらには即刻の敵意のある意図が感じられるような、凶暴さはなかった。；二日午前三時までに帰りませんでしたら即刻捜査を始めて下さい。；使者は即刻、自分の馬車に同乗してある高貴な邸へゆくように、といった。；それで娘があんなことになると即刻家を出て行きました。；本来ならば即刻基地へと戻らなくてはならないところであろう。；即刻、二人のスタッフに両脇から抱えられるようにして救護室へと運ばれた。；とくに、ご気分が悪くなったときとか、急病の際は即刻にご連絡を願います。；人数が分散するときさえきたら、即刻、戦闘を開始するつもりだった。；またそのほかにも眼に立つことがあらば、即刻にわが許まで注進を怠るな。；だが、いまは深刻な状況なので、フランクに即刻戻って来るよう言ってきた。</t>
        </is>
      </c>
      <c r="J4851">
        <f>HYPERLINK("https://www.weblio.jp/content/即刻", "词义详情")</f>
        <v/>
      </c>
      <c r="K4851">
        <f>HYPERLINK("https://yourei.jp/即刻", "查看例句")</f>
        <v/>
      </c>
    </row>
    <row r="4852">
      <c r="A4852" t="inlineStr">
        <is>
          <t>率先</t>
        </is>
      </c>
      <c r="B4852" t="inlineStr">
        <is>
          <t>成功</t>
        </is>
      </c>
      <c r="C4852" t="inlineStr">
        <is>
          <t>読み方：そっせん
［名］(スル)ひとの先に立って事を行うこと。進んで事をすること。「—して手伝う」</t>
        </is>
      </c>
      <c r="D4852" t="inlineStr">
        <is>
          <t>率先的；率先者；率先垂範；率先して取り組ん；率先して引き受け</t>
        </is>
      </c>
      <c r="E4852" t="inlineStr">
        <is>
          <t>案内；誘導；ガイド；導き；先導</t>
        </is>
      </c>
      <c r="F4852" t="inlineStr">
        <is>
          <t>みずから率先；指揮官率先</t>
        </is>
      </c>
      <c r="G4852" t="inlineStr">
        <is>
          <t>率先躬行</t>
        </is>
      </c>
      <c r="H4852" t="n">
        <v>29</v>
      </c>
      <c r="I4852" t="inlineStr">
        <is>
          <t>まさか自分のような者にそれほどの事業を率先して行わせるはずがない。；同情心を持ってはいたが、率先して話をしようとは少しも思わなかった。；だいたいこいつが率先してクラスのだらけた雰囲気をつくっていたんだ。；まさかお前、率先して責任を取ろうとか考えているんじゃねえだろうな。；外国人投手が投げている試合では率先して声を掛けて励ます姿も見られる。；今の時代、口だけの人が多いが、松田は率先して自分から行動を起こす。；率先して小屋作りに励む大川の姿を見た勇吾は彼を社長にすると決める。；経営トップが率先して行った誠実な謝罪をした記者会見が話題となった。；エラリイかルルウが犯人で、率先して旅行の計画を立てたのかもしれん。；これからの一ヵ月毎朝率先して粥を食べる気なんかおれにはないからな。；あんな明るい声を出し、千鶴の家に率先して電話までかけてくれた彼女が。；率先して口を開く役回りになった橘京子が、またしても沈黙を打破した。；ヨーロッパで目にし、体験したことを率先して店づくりに取り入れた。；両者の考え方で相違点を挙げるとすれば、率先して逃げる行為の捉え方がある。；とりわけ一人、そういうことの得意なガキ大将が率先していたように思う。；舌の回りの悪くなった人が、わたしくらいの年齢から率先してやっています。；今では率先してネコミミを付けたキャラクターを描く傾向にもあるようである。；全員の前で大見得をきってしまった手前、自ら率先しないと格好がつかない。；師団長が率先陣頭を指揮せぬかぎり、このような籠城は不可能であろう。；ギィ・グッガの前で、率先してジョクにどうしようとする者はいなかった。；園児たちの世話を率先して焼きたがるが、空回ってしまうこともある。；だからこそ、率先して問題を解決しようとする者がいなかったのだ。；美化委員の血が疼いて、後片づけは率先して僕が行ったんだけど嘘だけど。；きっと、有事には率先して大政翼賛会の中堅活動家となることでしょう。；中露仏独加が反対するなか、ブレアは2003年のを率先して提唱した。；政府が率先していると言っても、保守党にも幾つかの派閥がありますからね。；戦闘では率先して前に出ることが多く突破口となることもある。；葬式とはそういうものかもしれないが、姉は母よりも率先してそれをやっていた。；自分率先していくらなり実行して、子弟にこれを及ぼす事を努めたい。</t>
        </is>
      </c>
      <c r="J4852">
        <f>HYPERLINK("https://www.weblio.jp/content/率先", "词义详情")</f>
        <v/>
      </c>
      <c r="K4852">
        <f>HYPERLINK("https://yourei.jp/率先", "查看例句")</f>
        <v/>
      </c>
    </row>
    <row r="4853">
      <c r="A4853" t="inlineStr">
        <is>
          <t>そっち</t>
        </is>
      </c>
      <c r="B4853" t="inlineStr">
        <is>
          <t>成功</t>
        </is>
      </c>
      <c r="C4853" t="inlineStr">
        <is>
          <t>読み方：そっち
［代］《「そち」の促音添加》中称の指示代名詞。「そちら」よりもややくだけた感じの語。「いま—へ行くから待っててくれ」「悪いのは—だ」→そちら</t>
        </is>
      </c>
      <c r="D4853" t="inlineStr">
        <is>
          <t>そっちじゃない；そっち側；そっちこっち；そっち方面；そっちじゃねえ</t>
        </is>
      </c>
      <c r="E4853" t="inlineStr">
        <is>
          <t>そちら</t>
        </is>
      </c>
      <c r="F4853" t="inlineStr">
        <is>
          <t>急いでそっち</t>
        </is>
      </c>
      <c r="G4853" t="inlineStr">
        <is>
          <t>そっち系；そっちこそどうなんだ主義</t>
        </is>
      </c>
      <c r="H4853" t="n">
        <v>29</v>
      </c>
      <c r="I4853" t="inlineStr">
        <is>
          <t>だがそっちがやりたいと言うなら、きみらがどうなるか、やってみるさ。；余り何だから、私は廊下へ出て、二三間、そっちの方へ行って見ました。；若造の頃だって、そっちのほうのことをそんなに考えたおぼえがないよ。；しかし、そっちの端では何かきわめて奇妙な事態が生じているらしい。；ジョバンニは思わず窓からからだを半分出して、そっちを見あげました。；ジョバンニは思はず窓からからだを半分出してそっちを見あげました。；そいつが何を見ているのか確かめようと、もう一方の頭もそっちを向いた。；そっちはどうでもいいことで、本当の会話は目と目で行なわれていたのだ。；まずほっとして左右を見まわしたが、そっちにも怪しいものは見えない。；彼はもう一つの人影が立ちあがるのを見て、そっちのほうへ駆けだした。；ジョバンニは思わず窓からからだを半分出してそっちを見あげました。；あたしの黒い瞳はともすればそっちのほうへばかり出かけて行きたがる。；前を通りすぎるとき、三人の顔が調子を合わせたように、そっちを向いた。；妹は早くもそれを見付けてそっちに行こうとしているのだとわかりました。；今は吉田先輩にしか目は行ってないので、そっちのほうに集中したい。；窓へ顔をくっつけて左手を見ると、そっちに停車場らしいものが見える。；津川の云うことには返辞もせず、そっちへ眼を向けようともしなかった。；さりとておれたちのほうからそっちに話を持って行くだけの勇気もなかった。；そっちのほうでは一本の腕が、木槌のように頭の側面を連打していた。；人びとはそっちをキース・ウィントン二号とでも呼ばなくてはなるまい。；かれらのリーダーをここへ連れてくるためにスザンナをそっちへ迎えにやる。；おせい様も、何か話しかけていたことばを切って、そっちをふり返った。；そうして時々うしろの方を見ては、そっちへ指さしをするばかりであった。；有翼人の女たちは、翼をばたばたさせながら、そっちへ這いよっていく。；しかし彼らはそっちに主点をおいて吹聴するから誤解をまねくのである。；しかしてそこには水があると見こみをつけてそっちに行ってみました。；線路に寝ていた位置も、そっちのがわの線路になっていますから。；金がそっちの手にはいったらすぐわたしを釈放すると証明するものは何もない。；あと九日のうちに、わしは、棚のそっち側のおまえといっしょになるだろう。</t>
        </is>
      </c>
      <c r="J4853">
        <f>HYPERLINK("https://www.weblio.jp/content/そっち", "词义详情")</f>
        <v/>
      </c>
      <c r="K4853">
        <f>HYPERLINK("https://yourei.jp/そっち", "查看例句")</f>
        <v/>
      </c>
    </row>
    <row r="4854">
      <c r="A4854" t="inlineStr">
        <is>
          <t>率直</t>
        </is>
      </c>
      <c r="B4854" t="inlineStr">
        <is>
          <t>成功</t>
        </is>
      </c>
      <c r="C4854" t="inlineStr">
        <is>
          <t>読み方：そっちょく
［名・形動］ありのままで隠すところがないこと。また、そのさま。「—に言えば」「—な意見を求める」
[補説] 「卒直」と書くこともある。
[派生]そっちょくさ［名］</t>
        </is>
      </c>
      <c r="D4854" t="inlineStr">
        <is>
          <t>率直な感想；率直な意見；率直な態度；率直なところ；率直な言葉</t>
        </is>
      </c>
      <c r="E4854" t="inlineStr">
        <is>
          <t>明るい；正直；まっすぐ；直；オープン</t>
        </is>
      </c>
      <c r="F4854" t="inlineStr">
        <is>
          <t>大胆率直；率直な人柄；率直な告白；率直な心情；率直に打ち明け</t>
        </is>
      </c>
      <c r="H4854" t="n">
        <v>29</v>
      </c>
      <c r="I4854" t="inlineStr">
        <is>
          <t>彼は自分の状態と、それが人生に与えた影響について率直に語っている。；彼と同じく彼らもまた率直であって、自分だけの考えで物を判断していた。；私が感じたままをいふと、S君は率直にその言葉を受けて喜ぶのだつた。；家のことや何か率直に友達同士話しあっていて、面白いところがあります。；幼少期は素直な性格であり、思ったことを率直に発言する少年であった。；こうなると直義以外には一族の気もちを率直に口に出せる者はなかった。；「いやあまり面白い事件でもありませんからな」と司令官は率直に云った。；なるほど政治家達は、政治の必要から往々にして率直にものを言いません。；率直に神的な存在など全く存在しないと考える思想は有神論と同じだけ古い。；その時に感じた思いを率直な言葉で表現した楽曲となっている。；こうした都心部と郊外の関係を率直に反映した作品作りも行われた。；最後に彼が率直に、そう認めるまでには数週間かかったにちがいない。；率直な物言いを身上としているが、そのために失言とされることも多い。；率直にいって、わしはきみにこの基地をかきまわしてもらいたくないのだ。；これは非常に率直に書かれた一人の女の発展史の一部である。；帆村は勢い率直な質問をこの男に向ってする勇気を得たのだった。；もし時間があったら、ゴーシ夫人はもっと率直に話してくれただろう。；両親への感謝の気持ちを率直に伝える歌詞の曲となっている。；長い目で見れば、あなたの率直さのおかげで立場が救われるかもしれません。；自分が直接知っている貧しい人々の生活を率直に描いたのである。；また被差別民はハンセン病患者の子孫ではないかと、率直に述べている。；これは、わたしが感じたままの世界の現状を率直にのべたものである。；私の考えを率直にいえば、生活の改善にはまず頭から改めてかからねばならぬ。；ただ正面から率直にいったところが、取得といえば取得であろう。；今彼が見たところのものは、子供の率直単純な目ではなかった。；こうした率直な行動もあって本省人の信頼を得ることに成功した。；僕の前回の手紙について、君の率直な疑問をたいへん面白く思いました。；感情の率直な表現はこの女性の魅力のひとつだ、と日比谷は思った。；生活の歌はほとんどすべて率直であって、その瞬間の真実に立って独自です。</t>
        </is>
      </c>
      <c r="J4854">
        <f>HYPERLINK("https://www.weblio.jp/content/率直", "词义详情")</f>
        <v/>
      </c>
      <c r="K4854">
        <f>HYPERLINK("https://yourei.jp/率直", "查看例句")</f>
        <v/>
      </c>
    </row>
    <row r="4855">
      <c r="A4855" t="inlineStr">
        <is>
          <t>そっと</t>
        </is>
      </c>
      <c r="B4855" t="inlineStr">
        <is>
          <t>成功</t>
        </is>
      </c>
      <c r="C4855" t="inlineStr">
        <is>
          <t>［副］(スル)
１音を立てないように物事をするさま。静かに。「障子を—閉める」
２他人に気づかれないように物事をするさま。こっそり。ひそかに。「秘密を—打ち明ける」
３干渉しないで、静かにしておくさま。「しばらく—しておこう」
４少し。ちょっと。
「沢山にあらば、皆々を申し入れうが、—した樽を下された程に」〈虎明狂・口真似〉</t>
        </is>
      </c>
      <c r="D4855" t="inlineStr">
        <is>
          <t>そっと撫で；そっと開け；そっと触れ；そっと置い；そっと押し</t>
        </is>
      </c>
      <c r="E4855" t="inlineStr">
        <is>
          <t>じっと；静かに；軽く；そろそろ；穏やか</t>
        </is>
      </c>
      <c r="F4855" t="inlineStr">
        <is>
          <t>ちっとやそっと；肩をそっと；そっとあけ；そっと近よって；そっと足音をしのば</t>
        </is>
      </c>
      <c r="G4855" t="inlineStr">
        <is>
          <t>そっとさよなら</t>
        </is>
      </c>
      <c r="H4855" t="n">
        <v>29</v>
      </c>
      <c r="I4855" t="inlineStr">
        <is>
          <t>雲は、だれにも気づかれないように、そっと空から下へ降りてきました。；家へはいって、わたくしは母にそっと話しますと、母は考えていました。；そうして置いて彼はそっと診察所の窓を開くようにして置いたのです。；しばらくしてから戸がまた開いたと思うとファニーがそっとはいってきた。；もし彼が自分で目覚めず朝寝している時には粂がそっと起こしてくれた。；私は強いて笑いを作りながら彼の肩を後からそっと抱いてやった。；然しお前の心の隅の人知れぬ苦痛をそっと眺めてやる人はないのか。；そっとみんなの顔を見ますと、警官でさえ、青い顔になっていました。；青年と母とが、向い合っているときなどは、彼女は、そっと席を外した。；かれはそっと草の上を音のしないように歩いて、わたしの所へやって来たのだ。；そうして相手が気のつかないように、そっとポケットへ手巾をおさめた。；が、時々は大寺院の内部へそっと目をやるのを忘れずにいました。；そして戸口を出るとき、そっと外から鍵をかけることを忘れなかった。；歩行時に尾を上げて忍び足のようにそっと歩くなど、特異な動作をする。；半七は更にその筆の穂を自分の鼻の先へあてて、そっとかいでみた。；私が行列に並んでいると、その男がそばに寄ってきてそっと耳うちをした。；それを懐の中にそっと入れて、私は自分の部屋の中に持って帰った。；そして入口の戸の上の方についている「のぞき穴」からそっと廊下を見た。；それでも足音を忍ばせてそっと表戸へ近寄ると潜戸の閂へ両手を掛けた。；頬と頬とを寄せ合って、そっとまた急いでレールの上に二人は横たわった。；私もそっと出て来て、母の後からその座の様子を見ていました。；他の者に見られないようにそっと、私はそれを火の中に投げこんだ。；舟子の一人は、それを気にするように、そっと舷から外をのぞいてみた。；こういうときに家にいるとろくなことがないと思ったのでかれはそっと外へでた。；それから幻燈の後ろの戸をあけ、そっとそのランプを器械の中へ移した。；誰か僕の眠っているうちにそっと絞め殺してくれるものはないか?；男は父が横たわっているのを見て、誰にも通報せず、そっと抜け出した。；廊下の角に、身をかくして、音のしたほうを、そっとのぞいてみました。；途方にくれる彼等を前に、未散はその鍵をそっとポケットにしのばせた。</t>
        </is>
      </c>
      <c r="J4855">
        <f>HYPERLINK("https://www.weblio.jp/content/そっと", "词义详情")</f>
        <v/>
      </c>
      <c r="K4855">
        <f>HYPERLINK("https://yourei.jp/そっと", "查看例句")</f>
        <v/>
      </c>
    </row>
    <row r="4856">
      <c r="A4856" t="inlineStr">
        <is>
          <t>ぞっと</t>
        </is>
      </c>
      <c r="B4856" t="inlineStr">
        <is>
          <t>成功</t>
        </is>
      </c>
      <c r="C4856" t="inlineStr">
        <is>
          <t>［副］(スル)寒さや恐怖などのために、また、強い感動を受けて、からだが震え上がるさま。「—寒気をおぼえる」「今地震が来たらと思うと—する」「—するほど美しい顔立ち」</t>
        </is>
      </c>
      <c r="D4856" t="inlineStr">
        <is>
          <t>ぞっとするよう(20%)；ぞっとしまし；ぞっとします；ぞっとする程；ぞっといたし</t>
        </is>
      </c>
      <c r="F4856" t="inlineStr">
        <is>
          <t>あまりぞっと；ぞっとするほど冷たい；まったくぞっと；考えるとぞっと；少しぞっと</t>
        </is>
      </c>
      <c r="H4856" t="n">
        <v>29</v>
      </c>
      <c r="I4856" t="inlineStr">
        <is>
          <t>あなたの姿を見たら、この人はそれこそぞっとするにちがいありません。；五分ばかりたったとき、みんなをぞっとさせるような音がきこえました。；ところが、そういううちにも、ぞっとするようなものが見えてきました。；かれはわたしのほうを向いて、ぞっとするような気味悪い笑いを見せた。；すると突然に、全く突然に、私はぞっと水を浴びたような戦慄を感じた。；ジュリアンは、相手がまたこれを歌おうとするのかと思ってぞっとした。；あたりは、ぞっとするような夜の闇で、気がめいってしまいそうである。；彼女も父の声を寝室に聞いた瞬間それを思い、ぞっとしたのであった。；その数は今では膨大なものになっており、見ればぞっとするほどであった。；そして、その目には、なにかぞっとするような光がかがやいていました。；いったいなぜこの相手から、ぞっとするような感じを受けるのだろう。；いまにも狩人たちが帰ってくるかもしれないと考えると、ぞっとしました。；彼らはそこにキャンプしている非常に多くの人々を見てぞっとした。；修道女はそれらのことのうちに何か異様なものを感じてぞっとした。；どんなことだって、爆発だろうとぞっとする事件だろうと、まだ増しだわ。；アジア軍の将兵はどうなったのだろうと考えてローダンはぞっとした。；ぞっとするような恐ろしい声で、それに似た声はかつて聞いたこともなかった。；廊下に出てみたが、急にぞっと身震いがして、また室の中にはいった。；その声を聞くと、馬吉は、襟元から水をかけられたようにぞっとしました。；どんな苦悶の叫びもこの彼女の沈黙ほどわたしをぞっとはさせまい。；ぞっとするひまもなく、すぐわたしたちは子供が無事だったと知りました。；いずれに似るにせよ、そのときのことを思うと、彼はぞっと身震いした。；五人の少年は、その機械人間の姿を見たとき、思わずぞっとしたのだった。；これを見た、みんなのからだは、急にぞっとして身の毛がよだちました。；悶え苦しむ眼つきで、この妹が僕に同情してくれると僕はぞっとした。；あの恐ろしい街路へまた出て行くことは、考えただけでもぞっとした。；それはモレタが笑っていいやらぞっとしていいやらわからなくなるほどだった。；わたしは、わたしのものが感情のない肉塊にすぎないと思うと、ぞっとする。；私はこの虫が大嫌いでね、虫を見るとぞっとして手も付けられない。</t>
        </is>
      </c>
      <c r="J4856">
        <f>HYPERLINK("https://www.weblio.jp/content/ぞっと", "词义详情")</f>
        <v/>
      </c>
      <c r="K4856">
        <f>HYPERLINK("https://yourei.jp/ぞっと", "查看例句")</f>
        <v/>
      </c>
    </row>
    <row r="4857">
      <c r="A4857" t="inlineStr">
        <is>
          <t>そっぽ</t>
        </is>
      </c>
      <c r="B4857" t="inlineStr">
        <is>
          <t>成功</t>
        </is>
      </c>
      <c r="C4857" t="inlineStr">
        <is>
          <t>読み方：そっぽ
《「そっぽう」の音変化》よその方向。別の方。</t>
        </is>
      </c>
      <c r="D4857" t="inlineStr">
        <is>
          <t>そっぽを向か(4%)；そっぽ向い(2%)；そっぽ向か；そっぽむい；そっぽ向く</t>
        </is>
      </c>
      <c r="F4857" t="inlineStr">
        <is>
          <t>しかめてそっぽ；あわててそっぽ；黙ってそっぽ</t>
        </is>
      </c>
      <c r="H4857" t="n">
        <v>29</v>
      </c>
      <c r="I4857" t="inlineStr">
        <is>
          <t>それもわざとそっぽを向いているのではなく、まるで意識にないようだ。；話せば多分面白い人なのだろうと思いつつ、僕はそっぽを向いたままだ。；俺がそっぽを向いてるのをいいことにして、俺の方をじっと見ているのだ。；そっぽを向きながらではあったがどこか居心地が悪そうにそう言う秋葉。；矢部が日本人同士の笑顔を見せると照れたようにそっぽを向いてしまう。；それからその男に狙いをつけたので、女は顔をしかめてそっぽを向いた。；かれは片方の手を彼女に差し伸べたが、彼女はそっぽを向いてしまった。；口をへの字にしてそっぽを向いていると視線を感じ、ふと前を見た。；そっぽを向いたのは、見て見ぬフリをすると心に決めたからのようだ。；案山子と言われたのが不足らしく、そっぽを向いて顎を撫でております。；わしが物をいっても返事をするのもいやそうにして、そっぽを向いてしまう。；そして仮面をかぶった自分の顔を見られまいと、顔をそっぽに向けていた。；「どうせ、嫌でもまた会うことになる」 そっぽを向いたままの白い顔。；悠さんはやって来た女中さんに注文をしていてそっぽを向いていた。；八木はそっぽを向き、彼の妻は返事をせずに、奥に引っ込んでしまった。；私がこんな話をすると、妙に怖がってそっぽを向いてしまう者が多い。；途中からそっぽを向いた母親は、娘と目を合わせようともしなかった。；しかし私としても、いつまでもこの方面の科学にそっぽを向いている気はない。；だがふたりはたがいにそっぽを向いており、どちらも口を閉じていた。；およそ見当はついていたので、彼はふきげんにそっぽを向いて云った。；彼は父のしていることが見えないようにそっぽを向いていた。；納得できそうでできないのか、ホロは低く唸ってから、そっぽを向いた。；泉州侍の全部がそっぽを向こうとも、この大男だけは自分を知っている。；男は煙草を吹かし、女はそっぽを向き、それから二人は黙って出て行った。；そっぽを向いた顔の向きが上でなく下になるのが光稀流だ。；彼は勉強家ではあるが、勉強はいつもソッポの方へいってしまう。；そっぽをむいたまま座面のしたに手をやり、すぐに立ちあがり去っていく。；それからなぜかハッとした顔つきになり、そっぽを向いて唇を尖らせる。；もっとも、みんなのほうも間もなく彼からそっぽを向いてしまった。</t>
        </is>
      </c>
      <c r="J4857">
        <f>HYPERLINK("https://www.weblio.jp/content/そっぽ", "词义详情")</f>
        <v/>
      </c>
      <c r="K4857">
        <f>HYPERLINK("https://yourei.jp/そっぽ", "查看例句")</f>
        <v/>
      </c>
    </row>
    <row r="4858">
      <c r="A4858" t="inlineStr">
        <is>
          <t>袖</t>
        </is>
      </c>
      <c r="B4858" t="inlineStr">
        <is>
          <t>成功</t>
        </is>
      </c>
      <c r="C4858" t="inlineStr">
        <is>
          <t>読み方：しゅう
［常用漢字］　［音］シュウ（シウ）（漢）　［訓］そで
〈シュウ〉そで。「袖珍／鎧袖(がいしゅう)・長袖・領袖」
〈そで〉「袖裏・袖口／角袖(かくそで)・片袖・小袖・筒袖・長袖・半袖」</t>
        </is>
      </c>
      <c r="D4858" t="inlineStr">
        <is>
          <t>袖なし(2%)；袖付き；袖無し；袖仕切；袖をつかん</t>
        </is>
      </c>
      <c r="E4858" t="inlineStr">
        <is>
          <t>袂；ウイング；舞台裏；ウィング；スリーブ</t>
        </is>
      </c>
      <c r="F4858" t="inlineStr">
        <is>
          <t>舞台袖；左袖；右袖；長い袖；誰袖</t>
        </is>
      </c>
      <c r="G4858" t="inlineStr">
        <is>
          <t>袖の下；袖章；袖ケ浦市；袖釣込腰；袖志</t>
        </is>
      </c>
      <c r="H4858" t="n">
        <v>29</v>
      </c>
      <c r="I4858" t="inlineStr">
        <is>
          <t>袖番号を3年間使用してこの年から胸番号に変更したというわけである。；現在留袖や振袖は袖の形態から転じて着物そのものの名称になっている。；舞台の左の袖から女性が、右の袖から男性が登場し、中央の椅子に座る。；ほとんどの将校は、このコートを袖を通さずに羽織る形で着用している。；季節の変わり目に本人たちが袖の長さを気にすると変更され現在は4代目。；その後側壁や袖隠しを建設し、周辺法面の緑化工等を行って完成となる。；セ・リーグの指導員が袖番号を所有するのはこの先例があるためである。；袖網の両端を錨で固定しているため、操業中は移動することができない。；普通は袖が無いものだが、分割された状態の袖が付属しているものも存在する。；右上の縁から黒い十字架を握った黒い袖の服を着た腕が出ている。；これに伴い同チームのユニフォーム右袖にシソンヌのロゴが入っている。；女子の大袖は、鎌倉時代になると位階にかかわらず蘇芳色が使用された。；勝負服の柄は青、白星散だが、以前は緑、緑袖白一本輪を使用していた。；さらに袖仕切上部の保護棒には座席モケットと同じ布地が巻かれている。；戦国時代にはいると、直垂の袖すら邪魔となり肩衣という物が生まれた。；死人の魂を袖に入れると、その人は生き返ると伝えられている地方もある。；このほか、古典的なシャツでは襟のほか袖も分離するものであった。；袖仕切りは01系に準じた仕切りと荷棚の端が一体になったものである。；コンサートの舞台の袖をいっぱいを使って動いて歌うことが多い。；水通しの左右はやや高くなっており、これをダムの袖部という。；追伸が終了した事を表す言葉で、右端の袖に書くのが決まりになっていた。；袖仕切は形状を変更して床に接しない形状化、蹴込み板形状を斜めにした。；フリーの前座をした時に、ステージ袖で彼のプレイを見て、衝撃を受けた。；槍兵には密集隊形を組ませ、周囲と両翼に袖のように投射兵を配置した。；瓢吉は、お袖に将来のことを迫られているが、態度を決めかねている。；前作とメンバーは変わらず、服の袖のデザインが変わっている。；会場はしばらく静まり返っていたが、舞台袖から歌声が聞こえてきた。；前面窓は固定式の大きな一枚窓で、側面に袖窓が設けられている。；同様に、引き枠も大きな移動がある場合は袖に深さが必要である。</t>
        </is>
      </c>
      <c r="J4858">
        <f>HYPERLINK("https://www.weblio.jp/content/袖", "词义详情")</f>
        <v/>
      </c>
      <c r="K4858">
        <f>HYPERLINK("https://yourei.jp/袖", "查看例句")</f>
        <v/>
      </c>
    </row>
    <row r="4859">
      <c r="A4859" t="inlineStr">
        <is>
          <t>外</t>
        </is>
      </c>
      <c r="B4859" t="inlineStr">
        <is>
          <t>成功</t>
        </is>
      </c>
      <c r="C4859" t="inlineStr">
        <is>
          <t>読み方：よそ
１ほかの所。別の場所。また、関係のない離れた所。他所(たしょ)。「—から来た人」「—を向く」「どこか—の店にいこう」
２自分の家以外の所。また、自分の所属している団体以外の所。「—の会社の人」「今夜は—に泊まる」⇔内(うち)。
３自分には直接関係のないこと。関心のないこと。また、そのもの。「騒ぎを—にけろりとしている」</t>
        </is>
      </c>
      <c r="D4859" t="inlineStr">
        <is>
          <t>外國；外南洋；外向き；外場；外階段</t>
        </is>
      </c>
      <c r="E4859" t="inlineStr">
        <is>
          <t>面；表；表面；外部；外側</t>
        </is>
      </c>
      <c r="F4859" t="inlineStr">
        <is>
          <t>改札外；細胞外；大外；範囲外；地球外</t>
        </is>
      </c>
      <c r="G4859" t="inlineStr">
        <is>
          <t>外部；外国人；外側；外れ；外観</t>
        </is>
      </c>
      <c r="H4859" t="n">
        <v>29</v>
      </c>
      <c r="I4859" t="inlineStr">
        <is>
          <t>洞窟の中は外よりも気温が低く、生物環境なども周囲とは大きく異なる。；このような細胞外構造の形成には、分泌システムが大きく関係している。；これはほとんどの場合は、水がある時期に外から侵入してくるためである。；あらかじめ指定したキャラクターが画面外から登場し攻撃などを行う。；侯外廬は戦国時代に疲弊する農業共同体の農民思想の代弁だと主張した。；東西線は、帝都高速度交通営団では初めての東京都外への路線となった。；他の区間と跨いで乗車する際は特急料金は特例区間外のみで計算される。；運動も得意であり、学校の外では「広場の王様」とあだ名されたという。；このようにして出来た mRNA は核外に輸送され翻訳される。；日本の外食産業は成熟期に入り、価格から質へと方向が変化している。；喘息持ちで外で遊べなかったせいで子供の頃から映画に親しんでいた。；赤外分光の分野では、単に赤外と言うとこの領域を指すことが多い。；ツアーは大きな収益を上げたが、ステージ外の問題に悩まされていた。；そして平日の作業時間外や休日はスタジオの事を考えない時間としている。；南改札口の外はLoop金山の地下2階となっており、店舗が数軒ある。；一方で地理的地域外の国家グループとは特徴点となるものがあまり共有されていない。；日本では中世まで書物は寺院や朝廷が所蔵するもので外にはなかなか出ないものだった。；空港の敷地内に短期用の駐車場がある他、敷地外には長期用の駐車場がある。；そのため次第に外藩部では清朝の支配を受け入れていた要因自体が薄れていった。；これは各子音の調音位置を口の内から外の順に並べたものである。；営業外列車や臨時列車によってはこれ以外の区間・路線を走行する場合がある。；その結果、中国の内はもとより、外までも朝貢を求めてくるようになった。；改札外連絡通路には、大門の歴史を記載したパネルが設置されている。；そのため近年では県外の工業団地に移転する企業が相次いでいる。；両線の駅の乗り換えには一旦駅の敷地外に出る必要がある。；駅舎外にエレベーターがあるなど、バリアフリー化がなされている。；彼らはしばしば、ヴェーゲナーを専門外の学者として感情的に批判した。；コンサートホールの中と外とを問わず、われわれを取り巻く音である。；共同使用解消後に改札外通路となり、西口歩道橋と接続するようになった。</t>
        </is>
      </c>
      <c r="J4859">
        <f>HYPERLINK("https://www.weblio.jp/content/外", "词义详情")</f>
        <v/>
      </c>
      <c r="K4859">
        <f>HYPERLINK("https://yourei.jp/外", "查看例句")</f>
        <v/>
      </c>
    </row>
    <row r="4860">
      <c r="A4860" t="inlineStr">
        <is>
          <t>外側</t>
        </is>
      </c>
      <c r="B4860" t="inlineStr">
        <is>
          <t>成功</t>
        </is>
      </c>
      <c r="C4860" t="inlineStr">
        <is>
          <t>読み方：がいそく
そとがわ。⇔内側(ないそく)。</t>
        </is>
      </c>
      <c r="D4860" t="inlineStr">
        <is>
          <t>外側線；外側面；外側部分；外側半月板損傷；外側核</t>
        </is>
      </c>
      <c r="E4860" t="inlineStr">
        <is>
          <t>外；面；表；表面；外部</t>
        </is>
      </c>
      <c r="F4860" t="inlineStr">
        <is>
          <t>両外側；ホーム外側；背外側；最外側；車体外側</t>
        </is>
      </c>
      <c r="G4860" t="inlineStr">
        <is>
          <t>外側溝；外側翼突筋；外側側副靱帯；外側広筋；外側側副靭帯</t>
        </is>
      </c>
      <c r="H4860" t="n">
        <v>29</v>
      </c>
      <c r="I4860" t="inlineStr">
        <is>
          <t>また完全に無色透明で中の機構を外側から見ることのできるものもある。；非常口の扉は内側からは開き、外側からは開けられない構造にしてある。；工事終了後は改札の内側・外側にそれぞれ独立した地下道となっている。；顎の歯は少なくとも一部は分割され、ほとんどの種では外側を向いている。；体の外側から皮膚に力が加わっても皮膚でそれを跳ね返したりできる。；第二次世界大戦後、市の中核部より外側の郊外地域に住宅が開発された。；初列風切の内側半分が生え変わると、最も外側の三列風切が抜け始める。；メインの輪郭は円に近いが、西側と北東側の周壁が外側へ膨らんでいる。；実際に5月19日にはハレー彗星の尾の外側の部分を地球が通過した。；母音が形成される領域内で最も外側に位置する18の母音が設定された。；脂質二重層は、外側の小葉と内側の小葉の2つの層で構成されている。；ピアリーは円に近い形状をしており、北東の周壁は外側へ膨らんでいる。；このように、外側から内側へ向けて徐々に床高を高くする特異な構造である。；この時代、環状道路の外側に市壁が設けられ、宮殿付属教会が建設された。；ハドルの中は絶えず移動しており、外側にいる個体が内側へ移動していく。；既存のコンテナの外側を包むことで長寿命化するタイプも研究されている。；南の公園入り口から入ると左手の外周壁の外側に長方形の建物がある。；ホームのある本線の他に、その外側に1本ずつホームの無い副本線がある。；この列車は尼崎駅 - 大阪駅間で外側線を走行し、塚本駅は通過する。；最も外側の外壁の高さは、中心部の底からおよそ7キロメートルである。；頭部にはよく発達した1対の触角があり、その根元付近の外側に目がある。；最初のスタート位置が外側へなればなるほど不利な競技である。；メインスタンドの外側に売店があるが営業していることは稀である。；平均ペースのなか、好位の外側5番手を追走し、直線では外側から進出。；マントルとは、惑星や衛星などの内部構造で、核の外側にある層である。；茎の外側の筋の部分は固いため、筋を引くようにして取り除いて使われる。；外側は通過列車のみのため、ホームには安全柵が設置されている。；葉は結球の外側は緑色をしているが、結球の内部へいくほど黄白色になる。；巨大惑星は、現在の火星軌道と木星軌道にある雪線の外側で形成された。</t>
        </is>
      </c>
      <c r="J4860">
        <f>HYPERLINK("https://www.weblio.jp/content/外側", "词义详情")</f>
        <v/>
      </c>
      <c r="K4860">
        <f>HYPERLINK("https://yourei.jp/外側", "查看例句")</f>
        <v/>
      </c>
    </row>
    <row r="4861">
      <c r="A4861" t="inlineStr">
        <is>
          <t>外回り</t>
        </is>
      </c>
      <c r="B4861" t="inlineStr">
        <is>
          <t>成功</t>
        </is>
      </c>
      <c r="C4861" t="inlineStr">
        <is>
          <t>読み方：そとまわり
１家・屋敷・城などの外側の周囲。「家の—を掃除する」
２会社などで、外に出て取引先などを回って歩くこと。また、その人。外勤。
３外側を回ること。特に、電車・バスなどの環状線で外側を走る路線。⇔内回り。
[補説]書名別項。→外回り</t>
        </is>
      </c>
      <c r="D4861" t="inlineStr">
        <is>
          <t>外回りコース(5%)；外回りホーム；外回り線；外回り列車；外回り側</t>
        </is>
      </c>
      <c r="F4861" t="inlineStr">
        <is>
          <t>芝外回り；都心環状線外回り；大外回り；中央環状線外回り；環状外回り</t>
        </is>
      </c>
      <c r="H4861" t="n">
        <v>29</v>
      </c>
      <c r="I4861" t="inlineStr">
        <is>
          <t>しかし、彼が車を初めて売ることができたのは、外回りの最中ではない。；外回りをして身体を動かし、機械をいじっている方が、よほど気が楽だ。；外交員は翌日になって前日の外回りの報告を出すことになっているからだ。；金田一耕助はひととおり外回りを見て歩くと、境内の北の端れへ出てみた。；外回りという仕事は、結局のところ、本人の意志の強さが全てである。；内回りは時計回りに移動しており、外回りは反時計回りに移動している。；入れ違いにホームへ入って来た外回りに飛びのって、新宿へ向かった。；ぼくも営業で外回りに出ますから、三時にいたしましょうか。；かつては、内回りと外回りが存在したが、晩年は外回りのみとなっていた。；外回りから戻ってきた男性社員が気持ち良く仕事できるように気を配るのは得意だ。；実際、外回りの最中に昼寝をしていたのだから、今日もその仕事が彼の義務となった。；栄太郎は外回りで、悟郎とおふみは広弐屋に出ており、おきみは流しだ。；内・外回り双方の出口・入口とも設置されているフルインターチェンジである。；障害コースはダートコースの内側から芝・外回りコースの内側に設けられている。；いくら外回りをしたところで、よい返事は得られなかった。；雪が積もっているからといって、外回りをさぼるわけにもいかない。；多くの自動車メーカーでは、営業車需要向けに外回り仕様車を用意している。；俺は外回りの営業をさぼって、ここで景色を眺めることが日課になってた。；今日はあまり忙しくもないし、黒板には外回りと書いて、外へ出た。；では、品川から外回りの山手線に乗って、東京の自然を見てみよう。；山手線外回りの二人の前に中学生らしい男の子が坐っていた。；黒は相手を団子石にし、自分は外回りに石が来る流れとなる。；ホームの構造上乙支路循環線の外回りと聖水支線は対面乗り換えが可能。；午後から外回りの仕事に出たついでに、北岡は銀行に寄った。；どうやら提供者は先輩の男性で、外回りをしているときに、彼に教えてくれたのだそうである。；得意先を増やす外回りはまだ続くだろうし、仕込みの手伝いもやめられない。；だからせめて外回りをやらせてくれと言っているのだ。；しかし反応はなく、むしろ他の小使が外回りの警官を呼ぶために走り去るのが見られた。；馬車の外回りには、上から布が垂らしてあるため、外からは中の様子を見ることができないようになっていた。</t>
        </is>
      </c>
      <c r="J4861">
        <f>HYPERLINK("https://www.weblio.jp/content/外回り", "词义详情")</f>
        <v/>
      </c>
      <c r="K4861">
        <f>HYPERLINK("https://yourei.jp/外回り", "查看例句")</f>
        <v/>
      </c>
    </row>
    <row r="4862">
      <c r="A4862" t="inlineStr">
        <is>
          <t>備え付ける</t>
        </is>
      </c>
      <c r="B4862" t="inlineStr">
        <is>
          <t>成功</t>
        </is>
      </c>
      <c r="C4862" t="inlineStr">
        <is>
          <t>読み方：そなえつける
［動カ下一］［文］そなへつ・く［カ下二］一定の場所に設備して、使えるようにしておく。「防犯ベルを—・ける」</t>
        </is>
      </c>
      <c r="D4862" t="inlineStr">
        <is>
          <t>設置；設定；装備；設備；装着</t>
        </is>
      </c>
      <c r="H4862" t="n">
        <v>29</v>
      </c>
      <c r="I4862" t="inlineStr">
        <is>
          <t>しかしこの装置は大型で天文台に備え付けるような大型望遠鏡にしか装備できなかった。；ディアスはエレベーターを備え付けるなど城を近代化した。；一定規模以上の船舶には、備え付けることが義務づけられている。；第七十二条では、刑事施設の長に、刑事施設に書籍等を備え付ける義務を課している。；副操縦士を置く機体では、正副両操縦士席に操縦桿を備え付けることが一般的である。；一方ディスクジャケットは森の妖精をイメージしているが、撮影は山や森ではなくハウウスタジオにキノコをモチーフとした家具や木を備え付けることで山的な空間を演出したという。；このような、備え付ける図書の方向性を示した規則は、監獄法改正以降に初めて示された。；図書館資料とは、図書館に備え付ける資料のことである。；別途排水設備を備え付ける場合には排水層を設けず、直接瓶を逆さにして入れてもよい。；車両後部には、各種機関銃を備え付けるための銃座を取り付けることができる。；その代わりに、ワイアットは使用人たちのための寝室を備え付けるために塔状構造物を加えた。；その仕事とは銀行家ブルーメンタール夫妻の邸宅にプールを備え付ける仕事であった。；一般的に図書館が備え付ける資料は、図書が基本であるが、図書館資料には、図書以外のものも含まれる。；この判決により、南オーストラリア警察はスピードカメラを備え付けることができ、スピード違反者を発見することが出来ている。；また、離陸に補助が必要な場合は3車輪式の台車にロケットを備え付けることもできた。；次の手として、地下室に備え付ける大型の熱風ストーブを買った。；十二時のニュース 名古屋郵便局に機動隊を使って郵便自動読取機を備え付ける。；宇宙ステーションに備え付ける予定だった軌道間輸送機は延期され、居住モジュールは8名の乗員が利用するものを1つだけ設置することになった。；また1990年代末からは特に、高齢者や車椅子使用者への利便などバリアフリーの観点から、エレベーターを備え付ける場合も多くなっている。；筐体にボクシングの練習用グローブを備え付けることで、拳や手首の怪我を防止することで安全性を向上させた。；大衆車を含む一般向けの自動車が標準的に灰皿を備え付けるようになって久しいが、マツダ・ペルソナは例外的にオプション装備とすることで話題を集めた。；小説にはたくさんのコアリングがあって、それぞれ特徴エレメントや鬼のアビリティー・技能が備え付ける。；彼らは、ヤクシッチ邸の存在価値を守り、その外観を損ねることなく現代的な設備を備え付けることを目指した。；工作機械の使用によってダストが発生するためクリーンルーム内に工作機械を備え付けるのは異例なことであるが、宇宙探査機のカプセルを分解・解体するのにどうしても工作機械が必要とされた。；寒冷地での運転を考慮して暖房を強化し、ドアエンジンは半自動対応とされ、115系同様扉に取っ手を備え付ける。；事業者は、この法律及びこれに基づく命令の要旨を粉じん作業を行う作業場の見やすい場所に常時掲示し、又は備え付ける等の方法により、労働者に周知させなければならない。；電波法施行規則第38条第1項により無線局免許状は無線局に備え付けるものとされ、同条第2項により主たる送信装置のある場所の見やすい箇所に掲げておかなければならない。；旗を使用する場合において、葬送式を行なうときその他旗を備え付ける部局又は機関の長が弔意を表わす必要があると認めるときには、旗のかん頭を黒布でおおい、その下に幅10センチメートルで旗の横の長さに等しい長さの2条の黒布を結び付けるものとする。；ペッピーキッズクラブ支部は、正式に会社に結成通告を行い、従業員全員が見やすい場所に就業規則を備え付けること、従業員全員を雇用保険に加入させるために会社がどのような方策をとるのか説明すること、講師が出張の際に宿泊費を立て替え、後日払い戻しを受けるより、会社が直接支払うようにすること、を要求している。</t>
        </is>
      </c>
      <c r="J4862">
        <f>HYPERLINK("https://www.weblio.jp/content/備え付ける", "词义详情")</f>
        <v/>
      </c>
      <c r="K4862">
        <f>HYPERLINK("https://yourei.jp/備え付ける", "查看例句")</f>
        <v/>
      </c>
    </row>
    <row r="4863">
      <c r="A4863" t="inlineStr">
        <is>
          <t>備える</t>
        </is>
      </c>
      <c r="B4863" t="inlineStr">
        <is>
          <t>成功</t>
        </is>
      </c>
      <c r="C4863" t="inlineStr">
        <is>
          <t>読み方：そなえる
［動ア下一］［文］そな・ふ［ハ下二］
１ある事態が起こったときにうろたえないように、また、これから先に起こる事態に対応できるように準備しておく。心構えをしておく。「万一に—・える」「地震に—・える」「試験に—・えて夜遅くまで勉強する」
２必要なときにいつでも使えるように、前もって整えておく。設備や装置を用意しておく。「各室に空調設備が—・えてある」「応接セットを—・える」
３必要なものを、どこも足りないところがないように持っている。具備する。「資格を—・える」「あらゆる条件を—・えている」
４生まれたときから自分のものとしてもっている。身につけている。「人徳を—・えている」</t>
        </is>
      </c>
      <c r="D4863" t="inlineStr">
        <is>
          <t>備えるべき；備えるべく；備える両運転台；備えるよう命令；備える片運転台</t>
        </is>
      </c>
      <c r="E4863" t="inlineStr">
        <is>
          <t>持つ；設置；設定；用意；装備</t>
        </is>
      </c>
      <c r="H4863" t="n">
        <v>29</v>
      </c>
      <c r="I4863" t="inlineStr">
        <is>
          <t>そのため、変化を受け入れ、また次の変化に備えるための余裕があった。；このテーマも音程的に1楽章で出てきた統一動機の音程的特徴を備える。；浄瑠璃が本格的な芸術性を備えるようになるのは江戸時代に入ってからである。；頭部に多数の突起やトゲをもち、複雑な形状の皮弁を備えるものも多い。；大半の電気指令式空気ブレーキの使用を想定する電気接続端子を備える。；今日的な製品ではこれらの機能以外にも後述の各種計算機能を備える製品が流通している。；兵士達は全ての弾薬と携行品をまとめ、夜の攻撃に備えるよう告げられた。；日米連携を強化することで北朝鮮や中国の脅威に備える狙いがあるという。；豪雪に備えるため総延長のうち18kmはトンネルとするものである。；他のカスモサウルス亜科と同様に1本の鼻角と2本の上眼窩角を備える。；プロはこれに備えるため中古ピアノを購入する時は木材水分計を使用する。；このセンターは約25万人が滞在可能な宿泊所を備える大規模な施設である。；頭部にはギガゼールとの契約の証である2本の角ガゼルホーンを備える。；王に藩鎮を任せたのは、正に今日のような日に備えるためではないか。；地上をダルマによって統治し、王に求められる全ての条件を備えるという。；ループの脱出と継続の制御に利用できる分岐文を備える言語もある。；また、車両を留置する際の手ブレーキ装置を備えるのが一般的である。；また、屋外で使用されることが多いため防滴機能を備えるものもある。；開催当日は午前中に再度自転車の検査を受けた後で練習を行い、レースに備える。；両方を備える機体の場合は、組み合わせて使用することが多い。；または、計画・設計の段階から再利用に備える事が望ましいとされる。；大物車は以下のような、他の鉄道車両とは大きく異なる特徴を備える。；日本の劇場では国立劇場などの大劇場であっても4面舞台を備える劇場はなかった。；これにより最も広いトランクを備えることがセールスポイントであった。；政府軍より高性能の兵器を備えることで急速に勢力を拡大させた。；小型の機体に出力の大きなエンジンを備え、高速での格闘戦闘でも有利な性能を備える。；定義には議論があるが、おおむね以下の要件を備えるものとされる。；義昭は情勢の悪化を見て、信長の出陣に備えるよう、吉川広家に命じた。；しかし、その事実上の限界を超える性能を備える光ディスクが登場する可能性が出てきた。</t>
        </is>
      </c>
      <c r="J4863">
        <f>HYPERLINK("https://www.weblio.jp/content/備える", "词义详情")</f>
        <v/>
      </c>
      <c r="K4863">
        <f>HYPERLINK("https://yourei.jp/備える", "查看例句")</f>
        <v/>
      </c>
    </row>
    <row r="4864">
      <c r="A4864" t="inlineStr">
        <is>
          <t>備わる</t>
        </is>
      </c>
      <c r="B4864" t="inlineStr">
        <is>
          <t>成功</t>
        </is>
      </c>
      <c r="C4864" t="inlineStr">
        <is>
          <t>読み方：そなわる
［動ラ五（四）］
１必要なものが不足なくそろい、整っている。また、設備・装置などが用意してある。「公共施設の—・った都市」「全室にスプリンクラーが—・っている」
２生まれながらに自分のものとしてもっている。ある才能や性質が身についている。「気品が—・る」「生まれついて—・った才能」
３（「…にそなわる」の形で）その地位に就く。
「十六にて后妃の位に—・り」〈平家・灌頂〉
［動ラ下二］1に同じ。
「—・れし玉の小櫛をさしながら」〈後拾遺・哀傷〉</t>
        </is>
      </c>
      <c r="D4864" t="inlineStr">
        <is>
          <t>持つ；所有；有する；保有；占める</t>
        </is>
      </c>
      <c r="H4864" t="n">
        <v>29</v>
      </c>
      <c r="I4864" t="inlineStr">
        <is>
          <t>なお、このシステムが本来備わっていた機能なのかどうかは不明である。；これらの地域では水を川に戻すためのポンプ設備が備わっていなかった。；このような腐食が起こると、その金属に備わった機能が失われてしまう。；属性とは一般にある物に共通して備わっているとされる性質や特徴のこと。；また、冷凍ユニットの運転状況を監視する装置が備わっている船もある。；標準のAndroid機能に加え、以下の特徴的な機能が備わっている。；理性とは、人間に本来的に備わっているとされる知的能力の一つである。；人間には外形である肉体と、内性である精神が備わっているとされる。；一方で、一部のプロトケトゥス類には尾鰭が備わっていた可能性がある。；最初の蓋板の中央には、先端に1対の爪状の棘を備わった生殖肢がある。；テレパシー能力が備わることで、地球上の生物は霊化すると考えている。；この作戦能力が備わっている戦力として特殊部隊が高く評価されている。；世界を相手に戦うという点においては安定感が兼ね備わっていなかった。；これは生まれて間もない個体が無事に生育するために備わっているものである。；筆には筆者の無意識の心の動きを引き出す力が備わっているように思える。；ただし最も前方に設置された乗降扉には車椅子用のリフトが備わっている。；彼は自分には本当にスーパーパワーが備わっていると思いこんでいた。；屋上には15メートルの鉄塔が備わっており、これは現在も変わらない。；又、幼い頃から実戦に参加していた為、豊かな戦術眼も備わっていた。；この時期に古代から備わっていた特徴の多くは失われ、現在の日本語に近い形となった。；しかしそれだけの人口を支えるだけのインフラが備わっていなかった。；これには、現在のパーソナルコンピュータの基本要素が全て備わっている。；塔の屋根に備わっている4つの小塔は、裁判の自治権を象徴するものである。；この時、レイボーの連隊には無線機も地図も十分に備わっていなかった。；聖書の言い伝えでは、ダビデには多彩な才能が備わっていたようである。；召喚獣にはそれぞれ「召喚獣効果」と呼ばれる支援効果が備わっている。；大家の生れでさすがに品位も備わり、濶達で古いことをよく記憶していた。；のちに彼女の独特の魅力となる愛らしさは、このころはまだ備わっていなかった。；属性は、一般にあるものに共通して備わっているとされる性質や特徴のことである。</t>
        </is>
      </c>
      <c r="J4864">
        <f>HYPERLINK("https://www.weblio.jp/content/備わる", "词义详情")</f>
        <v/>
      </c>
      <c r="K4864">
        <f>HYPERLINK("https://yourei.jp/備わる", "查看例句")</f>
        <v/>
      </c>
    </row>
    <row r="4865">
      <c r="A4865" t="inlineStr">
        <is>
          <t>その</t>
        </is>
      </c>
      <c r="B4865" t="inlineStr">
        <is>
          <t>成功</t>
        </is>
      </c>
      <c r="C4865" t="inlineStr">
        <is>
          <t>読み方：その
［連体］《代名詞「そ」＋格助詞「の」から》
１空間的、心理的に聞き手に近い人や物をさす。「—男は何者だ」「—服はどこで買いましたか」
２聞き手が当面している事柄や場面をさす。今の。「—仕事が終わったら、次を頼むよ」「—調子で進めてください」
３現在、話に出ている、または、話に出たばかりの事柄をさす。「—日はとても暑かった」「—話はもうやめよう」
４全体をいくつかに分けた中の、ある部分をさす。「—一、—二」
［感］すらすら言えないときなどに、つなぎに発する語。「まあ、—、何て言うか」「ほら、—、例の件ですが」</t>
        </is>
      </c>
      <c r="D4865" t="inlineStr">
        <is>
          <t>公園；庭園；園；パーク；園地</t>
        </is>
      </c>
      <c r="G4865" t="inlineStr">
        <is>
          <t>そのまま；その他；そのもの；その間；そのうち</t>
        </is>
      </c>
      <c r="H4865" t="n">
        <v>29</v>
      </c>
      <c r="I4865" t="inlineStr">
        <is>
          <t>しかし、比較的新しい学問なのでその定義ははっきりと確定していない。；その叙述に現在時制を用いたことでは最初の小説の一つとされてもいる。；機械学習では、機械がデータを利用してその性能を向上させようとする。；その姿は今から1000年ほど前までは維持されていたと考えられる。；またタイに渡った山田長政のように、その国で重用される例も見られた。；そのため、より多くの機材や医師を病院に配置することが求められている。；中国やその周辺の東アジア諸国で信仰・研究されていた宗教、または学問。；その一方で、メーカー側などでは80年前後保存が可能とする指摘もある。；その際に同国のクラブが同じグループに入らないように考慮される。；予測器の性能が上昇した2010年代以降のCPUではその影響は小さい。；その結果、知的創作物を誰でも自由に利用できると説かれることが多い。；そのため、二人は手塚が使っていた机と同じ机で漫画を描いていた。；したがって月が出てさえいれば、その日が何日であるか暦がなくてもわかる。；その飲んでいる写真が新聞の記事になり牛乳会社の目に止まった。；例えば、Androidで使用されているカーネルもそのひとつである。；静的型付けでは、全ての式の型はそのプログラムを実行する前に決定される。；その腕前はプロ級と言われており、演奏はほとんどが暗譜であったという。；その一方で、ある種の事態を表現する動詞や形容詞の文字も存在した。；これまで通りの選択も可能であるが、その場合婚前に手続きが必要となる。；そのイベントで最もポイントを多く獲得した1名がポイント対象。；そのころまだ自炊をしていたので、自分で作った料理を食べてもらったんです。；こうなると、もはや通常の操作ではその作業結果を残す方法がない。；その分野の歴史や他の学問への影響、方法論などはさまざまである。；その頃から映画に興味を持ち始め、一時漫画から離れて映画漬けの日々を送る。；そのため、小中学生を中心に一定のシェアを獲得することに成功した。；彗星にはその彗星を独立発見した人の名前が先着順で3名までつけられる。；NECのパッケージソフトは、そのほとんどが企業システム向けである。；その反対に値を大きい方から小さい方へ順に並べることを降順という。；この点古代ギリシア人及びその哲学には二つの傾向が見られた。</t>
        </is>
      </c>
      <c r="J4865">
        <f>HYPERLINK("https://www.weblio.jp/content/その", "词义详情")</f>
        <v/>
      </c>
      <c r="K4865">
        <f>HYPERLINK("https://yourei.jp/その", "查看例句")</f>
        <v/>
      </c>
    </row>
    <row r="4866">
      <c r="A4866" t="inlineStr">
        <is>
          <t>その後</t>
        </is>
      </c>
      <c r="B4866" t="inlineStr">
        <is>
          <t>成功</t>
        </is>
      </c>
      <c r="C4866" t="inlineStr">
        <is>
          <t>読み方：そのご
ある事があったあと。それ以来。以後。副詞的にも用いる。「事件の—は知らない」「—いかがお過ごしですか」</t>
        </is>
      </c>
      <c r="D4866" t="inlineStr">
        <is>
          <t>その後しばらく；その後まもなく；その後階級；その後上京；その後再建</t>
        </is>
      </c>
      <c r="E4866" t="inlineStr">
        <is>
          <t>しかる後；然る後</t>
        </is>
      </c>
      <c r="F4866" t="inlineStr">
        <is>
          <t>その後直ぐ；その後長い間；その後暫く；その後休養；その後順調</t>
        </is>
      </c>
      <c r="H4866" t="n">
        <v>29</v>
      </c>
      <c r="I4866" t="inlineStr">
        <is>
          <t>グレゴリオ暦はその後数百年かけて各国で採用され、現在に至っている。；このことはその後のエクアドルとの関係に強い緊張を生むことになった。；その後、新製品は一切発表されることなく、事実上の完全撤退となった。；その後の APL では、いくつかの命令型的な機能が追加されている。；その後、S波が到達した後は主要動と呼ばれる比較的大きい揺れとなる。；その後最初に決まった対戦カードからの正式な試合順を決める抽選を行う。；その後、馬車にはなかった分類用語が追加されてきた歴史がある。；その後1997年にはドライブを搭載したデジタルカメラも発売された。；その後、映画化された際に、この10話を含めた修正を行ったという。；その後フリーホイール機構が普及し、自転車の基本がほぼ完成された。；その後も秋葉原などでユーザー主催のイベントが何回か開かれた。；その後、試作品のマリオの動きに合わせて作り直したものが採用された。；移動式電話は、かつての自動車電話やその後に登場した携帯電話などである。；その申し出を断わられた初代はその後二度と訪れることはなかった。；その後プロテスタントの教会は分裂・分離を重ねて多くの様々な教派が現れた。；これらは改良を加えられ現在でも使われており、その後の言語開発に重大な影響を与えた。；その後、一時復帰するが、数点のデザインを残して番組を去った。；その後、ほとんどの議題は分野別に次の6つの主要委員会で審議される。；その後さらに校閲が行われ、校了するとデータが印刷工場に送られる。；その後大人の書物をよみ出す時に文字に対する抵抗は全くなかった。；その後この斑はさらに強大になり、その色も白から赤へと変化した。；その後は恋愛に夢中になり、漫画を描くことを止めていた。；これらの郡は、その後、人口の増加などにより、さらに再分割されている。；そして、その値を使用してその後の処理の流れを決定する。；その後ボタン数を変えたものが発売されている。；その後は軍需産業を探しに来たアフリカ系アメリカ人が居住するようになった。；その後も監督が抜擢するなどして俳優が選ばれる例がある。；しかしその後、もっと深い水域にも多くの生物が棲んでいることがわかった。；声優になる前銀行員であった服巻浩司はその後保育士と声優を兼業している。</t>
        </is>
      </c>
      <c r="J4866">
        <f>HYPERLINK("https://www.weblio.jp/content/その後", "词义详情")</f>
        <v/>
      </c>
      <c r="K4866">
        <f>HYPERLINK("https://yourei.jp/その後", "查看例句")</f>
        <v/>
      </c>
    </row>
    <row r="4867">
      <c r="A4867" t="inlineStr">
        <is>
          <t>その上</t>
        </is>
      </c>
      <c r="B4867" t="inlineStr">
        <is>
          <t>成功</t>
        </is>
      </c>
      <c r="C4867" t="inlineStr">
        <is>
          <t>読み方：そのうえ
［接］前の事柄を受けて、それにさらにある事が付け加わることを表すときに用いる。それに加えて。さらに。「守備はいいし、—足も速い」</t>
        </is>
      </c>
      <c r="D4867" t="inlineStr">
        <is>
          <t>また；しかも；それに；かつ；更に</t>
        </is>
      </c>
      <c r="H4867" t="n">
        <v>29</v>
      </c>
      <c r="I4867" t="inlineStr">
        <is>
          <t>その上で準備期間を含めて年間の製作スケジュールが決められていった。；ホームは線路の西側に設置され、その上に簡素な待合所が置かれている。；その上、仕事で幸せな人はより早く昇進し、失業する可能性が低くなる。；その上健康も害しており、当地の医者に心臓病だとの診断を受けていた。；その上、僕の詩の鍵を握った連中は、概して僕を外界から守ってくれた。；その上に人が乗ろうものなら、たちまち穴の中に落ちてしまうだろう。；反対側には2つの石があり、その上に彼女が剣を置いていたと言われている。；そして、その上で中華民国の政治体制を変革することを目標としている。；なお、コロで移動させるときも、その上にそりを載せて使うことがある。；その上で、緑は土地の肥沃さ、白は無垢な生活、黒は戦争を表している。；その上、登場人物の名前が同じ草稿の中で変更されることもあったのである。；その上で、最も現実的なのは砂や石の衝突現象として支持している。；その為、古宮殿を取り壊し、その上に新しい宮殿を作る計画が生まれた。；メイキングでは、その上でも有名になったのはエイリアンだと語っている。；翅の色は白や黄色がベースで、その上に黒や赤の模様が見られる。；その上、鍵吉は亡き母に代わって家の雑務や兄弟の面倒を見る必要があった。；発声映画の3つの問題を完全に解決したわけではなく、その上高価だった。；その上、正面に障害物があると避けきれず事故を起こしてしまう可能性がある。；その上で報告書は科学的知見に基づいて戦後に訪れるであろう世界予測を行う。；すなわち旧洪水吐きを埋め立ててその上に桟道を建設し工事用道路とした。；すると、伊弉冉尊の身体は膨れあがっていて、その上に八色雷公がいた。；その上、MAHO堂の売り上げも第3期以上に上がっている描写がある。；その上で現在、アナウンサーとして在籍しているのは女性のみで男性はいない。；誰にでも優しく歌が上手くその上美人で成績も優秀な学園のアイドル。；その上に歴代藩主のほとんどは江戸に定府していたため出費がかさんでいた。；その上で、自身の戊戌変法運動の理論上の根拠を求めようとしたものである。；さらに、地上のあらゆる事がその上で行われることから、誓言の神でもある。；その上でその候補者が本当の化身かどうかを前世の記憶を試して調査する。；その上急流でもあることから古くから水力発電には絶好の開発地点であった。</t>
        </is>
      </c>
      <c r="J4867">
        <f>HYPERLINK("https://www.weblio.jp/content/その上", "词义详情")</f>
        <v/>
      </c>
      <c r="K4867">
        <f>HYPERLINK("https://yourei.jp/その上", "查看例句")</f>
        <v/>
      </c>
    </row>
    <row r="4868">
      <c r="A4868" t="inlineStr">
        <is>
          <t>そのうち</t>
        </is>
      </c>
      <c r="B4868" t="inlineStr">
        <is>
          <t>成功</t>
        </is>
      </c>
      <c r="C4868" t="inlineStr">
        <is>
          <t>読み方：そのうち
［副］それが実現するまでに、それほど時日を要しないことを表す語。近いうち。「また—お伺いします」「—雨が降るだろう」</t>
        </is>
      </c>
      <c r="D4868" t="inlineStr">
        <is>
          <t>いつか；行く行く；何時か</t>
        </is>
      </c>
      <c r="H4868" t="n">
        <v>29</v>
      </c>
      <c r="I4868" t="inlineStr">
        <is>
          <t>このグループは35名からなり、そのうちのほとんどが芸術家であった。；そのうちのプロッタで使われていたGコードが特に広く普及していった。；そのうち人間の数が増えすぎたので最初の人間の息子が父に尋ねた。；そのうちの一人を確保するが言葉が通じず意思疎通は出来ずに終わる。；そのうちの銀の鍵は現世的な権威を、金の鍵は宗教的な権威を示している。；そのうち14個がバージニア側に置かれ、その多くが現在も残っている。；そのうちでも、最もローマ法に忠実なのはドイツであるといわれている。；そのうち周囲に説得されて結婚するが、すぐに離婚して実家へ戻る。；そのうち46機はエチオピアに売却され1968年まで使用されている。；恐らくそのうちのある程度の数が将来は別属に移される可能性がある。；そのうちにやる気を認めてくれて徐々に教えてくれるようになったけど・・・。；そのうちでもっとも普通に見られるのは本種以外ではネズミモチであろう。；他の女と一緒に住むと、そのうちに怒りだし、毒を吐いてしまうでしょう。；そのうち最後の1隻は更に計画が変更され試作巡洋艦として建造された。；そのうち機体側の2基のナセルにスラスト・リバーサが装備されている。；そのうちのどの戦士がハロルド2世であるかは確認されていない。；そのうち最も内側の下り4番線と上り3番線が着発荷役線となっている。；そして燃焼の際には、そのうちの一方の気体が金属と結合するとした。；複数回の測定結果の平均を取る場合などもそのうちの一つである。；当時似たような若者は多く、そのうちの一人としか思っていなかったが大成功した。；そこでは羊も飼っていたが、そのうち3頭ばかりが脚を引きずっていた。；そのうち戦後まで生き延びていたのはわずか6000人だったという。；手には4本の指を持つがそのうち1本は小さく機能していなかった。；そのうちのいくつかは、北陸本線開通当時のものがそのまま使用されている。；総事業費は6千5百万円で、そのうち2千5百万円を富山市が負担した。；そのうちのいくつかの遠征は早くも1188年ごろから行われていたかもしれない。；多い場合は十数人付けられたらしいが、通常はそのうちの筆頭家老を指す。；そのうちの2つの門アウグスタ門とフランス門は、今日も残っている。；重要文化財の駅舎は全国に3件あるが、そのうち唯一の和風建築である。</t>
        </is>
      </c>
      <c r="J4868">
        <f>HYPERLINK("https://www.weblio.jp/content/そのうち", "词义详情")</f>
        <v/>
      </c>
      <c r="K4868">
        <f>HYPERLINK("https://yourei.jp/そのうち", "查看例句")</f>
        <v/>
      </c>
    </row>
    <row r="4869">
      <c r="A4869" t="inlineStr">
        <is>
          <t>そのころ</t>
        </is>
      </c>
      <c r="B4869" t="inlineStr">
        <is>
          <t>成功</t>
        </is>
      </c>
      <c r="D4869" t="inlineStr">
        <is>
          <t>当時；その時；その頃；あの時；あの頃</t>
        </is>
      </c>
      <c r="F4869" t="inlineStr">
        <is>
          <t>丁度そのころ；ちようどそのころ</t>
        </is>
      </c>
      <c r="H4869" t="n">
        <v>29</v>
      </c>
      <c r="I4869" t="inlineStr">
        <is>
          <t>そのころは、まだ地球には生命は存在していなかったと考えられている。；そのころに彼はドイツやパリに旅行し、1810年にはパリに移住した。；僕はそのころよく父に保育園で描いたり作ったりした物を見せていたんだよ。；まず第一に、そのころ十四歳のわたしは千歳座のありかを知らなかった。；また、そのころの和紙の生産額は、中田全村の米の生産額を超えていた。；それに、そのころにはそれはほとんどだれにももう興味はありませんからね。；そのころには物好きな人たちはわざわざこの研究室をみにきたものだった。；そのころ公式化されつつあったソナタ形式が最も有名な形式である。；葉子はそのころからどこか外国に生まれていればよかったと思うようになった。；ただし、そのころ成立したのが現在伝わる形のものとは限らない。；そのころ家臣となっていた伊尹もこの行いを批判し湯王のもとへ帰っている。；そのころから葉子はしばしば自殺という事を深く考えるようになった。；そのころ三吉と大辻とは、理科大学の新築場に立って首をひねっていた。；そのころのお金で、二十何万円、今にすれば一億円ぐらいになるがね。；ガイドブックにあった遺跡の一部は、そのころすでに完全に破壊されていた。；そのころから、バンドを結成したりしていたが、長くは続かなかった。；そのころあたりはもうすっかり暗くなっていたんでしょう。；しかも、その寄附画を、そのころはなかなか楽しんで描いたものでした。；そのころの二輪の開発予算の3分の1を使うほどの投資をしている。；そのころには既にロシア帝国海軍でもそのシステムを採用済みだった。；パリの青年からそのころイギリスにいた私に手紙が来た。；そのころまだ自炊をしていたので、自分で作った料理を食べてもらったんです。；「時間がなくなりつつある」と彼はそのころの別のインタビューで認めた。；そのころ全国の新聞は一県一紙に統合され、掲載記事への検閲も強化されていた。；彼はそのころ慣習的であったスタイルよりも忍耐的なアプローチを取った。；そのころの尾崎は異常なほどに精神状態が不安定な日々を送っていた。；そのころブラックウッドとカワードは計画が失敗したことに気づいた。；そのころ馮勝の本軍は女直の苦屯で納哈出の部下観童を降伏させていた。；そのころ、小さな研究チームが複写機を借りて、それを改造していた。</t>
        </is>
      </c>
      <c r="J4869">
        <f>HYPERLINK("https://www.weblio.jp/content/そのころ", "词义详情")</f>
        <v/>
      </c>
      <c r="K4869">
        <f>HYPERLINK("https://yourei.jp/そのころ", "查看例句")</f>
        <v/>
      </c>
    </row>
    <row r="4870">
      <c r="A4870" t="inlineStr">
        <is>
          <t>そのため</t>
        </is>
      </c>
      <c r="B4870" t="inlineStr">
        <is>
          <t>成功</t>
        </is>
      </c>
      <c r="D4870" t="inlineStr">
        <is>
          <t>さらに；その結果；それゆえ；ひいては</t>
        </is>
      </c>
      <c r="H4870" t="n">
        <v>29</v>
      </c>
      <c r="I4870" t="inlineStr">
        <is>
          <t>自分の残りの人生はそのためだけに与えられていると思っていたという。；そのため、同じアーキテクチャの製品が複数のメーカーから発売された。；そのため、通常の管理をしていれば、日本の夏でも耐えることができる。；そのため、外来諸教と融合しやすい性格を有することになったともいう。；そのためほとんどの地域はプロパンガスによってガスが供給されている。；そのため、街灯などの影響を受けにくい夜間に暗くなる場所で栽培する。；そのため彼は、基本的に絵の研究をするためにこれら自画像を描いていた。；そのため、他種別の列車と同じく通勤形車両を用いるのが一般的である。；そのため、より多くの機材や医師を病院に配置することが求められている。；そのため、長引く場合は48時間程度も苦しみ続けて死んだと言われる。；そのため毎日食べつづけることは栄養学的に好ましくないとされている。；そのため非ユダヤ人の間ではなかなか読まれるようにならなかった。；そのため四国全体はもとより、県単位でも4県全てで減少となっている。；そのため、こうした国々ではデビットカードの普及や利用が進んでいる。；そのため、二人は手塚が使っていた机と同じ机で漫画を描いていた。；そのため、車両導入の予算区分には独特の用語が使用されている。；そのため、現在でもポーランド人は強い反露感情を抱いているとされる。；そのためC言語では全く同じプログラムを以下のように書くこともできる。；そのため、母方の叔父であるが父の死後、コペルニクスと兄弟を育てた。；そのため捜査官を規律するための原則がいくつも定められている。；そのため、独立した複数の色を合成する事で人間に別の色を感じさせる事ができる。；そのため新理論の提唱者はしばしば古めかしい概念を引きずっている。；そのため、テレビやラジオの受信環境は必ずしも安定しているとは言えない。；そのため脳波図を調べたが、まったく異常が無いことが確認された。；そのため、異なる天文台で同時刻に求めた UT0 は異なる値になる。；そのため、政府もその報道された内容が政府案と異なるとする声明を発表した。；そのため、生きている状態と死んでいる状態をはっきりと区別することはできない。；そのため、勝敗には純粋な実力のみでなく、運の要素が絡む性質がある。；そのためインドにあるヒンドゥー寺院でブラフマーを奉るものは少ない。</t>
        </is>
      </c>
      <c r="J4870">
        <f>HYPERLINK("https://www.weblio.jp/content/そのため", "词义详情")</f>
        <v/>
      </c>
      <c r="K4870">
        <f>HYPERLINK("https://yourei.jp/そのため", "查看例句")</f>
        <v/>
      </c>
    </row>
    <row r="4871">
      <c r="A4871" t="inlineStr">
        <is>
          <t>その場</t>
        </is>
      </c>
      <c r="B4871" t="inlineStr">
        <is>
          <t>成功</t>
        </is>
      </c>
      <c r="C4871" t="inlineStr">
        <is>
          <t>読み方：そのば
１その事が行われた場所。「偶然—に居合わせた」
２すぐその場所。すぐその席。即座。「難問を—でたちまち解いた」</t>
        </is>
      </c>
      <c r="D4871" t="inlineStr">
        <is>
          <t>現場；現地；スポット；実地</t>
        </is>
      </c>
      <c r="H4871" t="n">
        <v>29</v>
      </c>
      <c r="I4871" t="inlineStr">
        <is>
          <t>一人の女性が教会の前で大きな卵と小さな石を置き、その場を去って行く。；ドア扱いは運転士もしくは車掌のどちらかがその場の状況に応じて行う。；その場で教授が初めてソーンヒルに接触して、すべての事情を説明する。；これを聞いたイオカステーは真実を知り、自殺するためその場を離れた。；すぐに戦場の同志たる連合国のために、と言い直しその場を乗り切った。；そのように曖昧なリクエストでもその場に適した料理を出す事が出来る。；クレマンはその場で殺され、何者かの指示があったか否かは語らなかった。；すぐにその場を去ったため、事件として露見することはなかったという。；その場に行くと兄を紹介されるが、実はその兄は晶の義兄の健作だった。；その中に自分の息子の名を見つけた母親は、その場で自ら命を絶ったという。；両手を封じられてポーズがとれないときは、その場で回転して変身する。；使っている人がタイプした文字をその場で見ることができる点が目新しかった。；王子はその場に残り、「ぼく」は飛行機の修理をするために戻っていった。；伝えられるところではキャンベルは叩いた後にその場から立ち去った。；すっかりその気になって痛みも忘れた新郎と、いそいそとその場を去る。；移動可能なコンロを用いて煮炊きした物を、その場で提供することも多い。；敵の攻撃に倒れたキャラクターはその場で捕虜状態となる。；裁判は現地部隊で行われる略式裁判も含まれ、しばしばその場で処刑される。；これ以外にもその場限りのキャラクターが大量に存在する。；未来の時刻を設定して使用すると、未来にその場で発生する音声が再生される。；その場に居た者は皆顔を上げられなかったといわれる。；常の形とは町人や農民などその時その場では一般的な人々である。；関西所属の調教師も目をつけていた事実もあり、堤はその場で購入を決意。；このような場所では商品を売る際にその場にいる労働者が全員で働くことはあまりない。；高木彦右衛門および事件の当事者や他家来など9名がその場で殺される。；日本人の場合、ビザはその場で発給され、事前に取得しておく必要はない。；打ち合わせ中に、関係者から話を聞きながらその場で作ってしまうことが多い。；撮ったその場で写真を見ることができるという最大のメリットがある。；各ヒーローたちはそのエリアから出ることができず、その場で別れる。</t>
        </is>
      </c>
      <c r="J4871">
        <f>HYPERLINK("https://www.weblio.jp/content/その場", "词义详情")</f>
        <v/>
      </c>
      <c r="K4871">
        <f>HYPERLINK("https://yourei.jp/その場", "查看例句")</f>
        <v/>
      </c>
    </row>
    <row r="4872">
      <c r="A4872" t="inlineStr">
        <is>
          <t>そのほか</t>
        </is>
      </c>
      <c r="B4872" t="inlineStr">
        <is>
          <t>成功</t>
        </is>
      </c>
      <c r="H4872" t="n">
        <v>29</v>
      </c>
      <c r="I4872" t="inlineStr">
        <is>
          <t>そのほか金属のものも中にはあったが、ほとんど木に彫ったものである。；そのほか手作業のはんだづけでは次のような道具が使われることもある。；そのほか、過去にはGT300の数チームへも供給していたことがある。；そのほかNHKワールドTVでも開始から終了まで全編放送されていた。；そのほか、地球以外の惑星でも類似の動力による飛行が検討されている。；そのほかの学校もだいたいこれと同様の趣旨とねらいが掲げられている。；司教・主教も首からかけているがそのほかの服装で判断することができる。；また、そのほかのレンダリング支援として次のような機能を備えている。；腕部はプロトタイプザクを基本としているが、そのほかの外観は異なる。；そのほかダニなどがいることがあり、人間も被害を受けることがある。；朝ラッシュ時は5編成が、そのほかの時間は4編成が運用に入っている。；そのほか、竈専用にしつらえられた様々な形の特に名の無い五徳もある。；そのほか、防火区画など後付けで改善することが難しいものも少なくない。；そのほかのメディアにおいて登場する使徒についてはここでは扱わない。；そのほか妻面は貫通扉の戸袋となっている個所へ妻面窓が設置された。；そのほかにも、文学研究所や地下鉄の駅などに彼の名が冠されている。；そのほかにも音声言語との差異が明瞭である点がいくつか観察されている。；そのほかには寺域区画線と見られる溝が寺域東辺・南辺で見つかっている。；そのほかにも以下のようなルールが設定されることがある。；そのほか、いくつかの国には、国内機関が定めたローカルなコードがある。；そのほか、小売店は鉄道各駅や幾つかのバス停留所付近に集中している。；そのほかの構造やシステムは、可能な限りA320と共通化された。；そのほか、後述するように様々な社会的な事情が背景に絡んでいることもある。；そのほか夫妻には夫人の娘と、ボリビアから養子に迎えた男児がいる。；そのほか椀蓋で半月型に整形したことから名がついたなどの多くの説がある。；そのほか、利き手の関係や発毛の程度など、あらゆる側面を検討した。；そのほかトルコ語やハンガリー語など多くの言語で後置詞が用いられる。；そのほかの部分も見学できるツアーもあるが、別に申し込みが必要となる。；そのほかにも市内を南北に河川が幾筋か流れている。</t>
        </is>
      </c>
      <c r="J4872">
        <f>HYPERLINK("https://www.weblio.jp/content/そのほか", "词义详情")</f>
        <v/>
      </c>
      <c r="K4872">
        <f>HYPERLINK("https://yourei.jp/そのほか", "查看例句")</f>
        <v/>
      </c>
    </row>
    <row r="4873">
      <c r="A4873" t="inlineStr">
        <is>
          <t>そのまま</t>
        </is>
      </c>
      <c r="B4873" t="inlineStr">
        <is>
          <t>成功</t>
        </is>
      </c>
      <c r="C4873" t="inlineStr">
        <is>
          <t>読み方：そのまま
［名］
１その状態のとおりで変化のないこと。もとのまま。今のまま。あるがまま。「—の姿勢でいる」「見てきた—を話す」
２そのものに完全に似ていること。そっくり。「実戦—の演習」
［副］前の動作から、すぐ次の動作に移るさま。すぐに。「横になるなり、—寝てしまった」</t>
        </is>
      </c>
      <c r="D4873" t="inlineStr">
        <is>
          <t>そのまま残さ；そのまま使わ；そのまま用い；そのまま残し；そのままじっと</t>
        </is>
      </c>
      <c r="E4873" t="inlineStr">
        <is>
          <t>自然；すなわち；このまま；即ち；天然</t>
        </is>
      </c>
      <c r="F4873" t="inlineStr">
        <is>
          <t>ほぼそのまま；しばらくそのまま；そのまま食べる；そのまま寝；そのままカウントアウト</t>
        </is>
      </c>
      <c r="G4873" t="inlineStr">
        <is>
          <t>そのままの君でいて</t>
        </is>
      </c>
      <c r="H4873" t="n">
        <v>29</v>
      </c>
      <c r="I4873" t="inlineStr">
        <is>
          <t>これは中国の唐令の規定をそのまま日本に導入したものと考えられる。；最後にはそのままゆっくりと暗くなっていき、黒色矮星へと移っていく。；石鹸の入ったお湯は貴重だったため、そのまま何度も再利用されていた。；休刊と称していても、実際には復活せずそのまま廃刊となることも多い。；国内で生産されているものは、缶詰やそのまま食用にされるものがある。；この際に用地を取得したが計画中止となってそのままとなっていた。；このような状態で見える水の色を、日本語ではそのまま水色と呼んでいる。；結婚時に妻は結婚前の姓をそのまま用いることも、夫の姓に変えることも可能。；しかし当初はルーズベルトは関心を示さず、そのまま委員会は中断した。；英語をはじめとした多くの言語で、をそのまま翻字した語が採用されている。；一部を除き、基本的には国鉄バスの車両称号をそのまま使用している。；前年に生まれ18日後に死亡した兄「正八」の名をそのままつけられた。；このメンバーの中にはそのままオールナイターズと結婚したメンバーもいる。；一般的には米国の株価暴落がそのまま世界恐慌につながったとされている。；このためひまわり5号はそのまま寿命を超えて使われることになった。；日本へ逆輸入する際に名前をそのまま残したようである。；国内版からそのまま移植されているのではなく、様々な変更が加えられている。；そのまま大阪に住み、アルバイトをしながら漫画の執筆・投稿を続けた。；暗号論的擬似乱数生成器ではなく、そのまま暗号に使用してはならない。；エレノアはそのまま1952年までアメリカの国連代表をつとめている。；主人公名がそのままタイトルになっている作品が多い。；そのまま高度経済成長の波に乗り、ミカン栽培は飛躍的な伸びを見せる。；枕は、そのまま用いずに薄い布でできた枕カバーで包んで使うことが多い。；ちなみに長男の万作は父の筆名から名前をそのまま取って命名された。；先代の木造駅舎は閉鎖されているが、そのままの形で残されている。；この本は単に主題をそのまま説明するのではなく、数学の発展過程を示すことに努めている。；そして意識が戻ることがないまま、翌4月20日にそのまま薨去した。；これらの豪族はほぼそのまま藩政以前までその地を治めることとなる。；その後カラー対応は珍しいことではなくなったが、そのまま名称は定着している。</t>
        </is>
      </c>
      <c r="J4873">
        <f>HYPERLINK("https://www.weblio.jp/content/そのまま", "词义详情")</f>
        <v/>
      </c>
      <c r="K4873">
        <f>HYPERLINK("https://yourei.jp/そのまま", "查看例句")</f>
        <v/>
      </c>
    </row>
    <row r="4874">
      <c r="A4874" t="inlineStr">
        <is>
          <t>そのもの</t>
        </is>
      </c>
      <c r="B4874" t="inlineStr">
        <is>
          <t>成功</t>
        </is>
      </c>
      <c r="C4874" t="inlineStr">
        <is>
          <t>読み方：そのもの
１いま問題になっている事物。当のもの。「—ずばりの形容」
２名詞または形容動詞の語幹の下に付けて、上の語の意味を強調する気持ちを表す語。まぎれもなくそのようであること。それ自身。「善人—」「元気—」
３取り立てて言うようなもの。
「—ともなけれど、宿り木といふ名、いとあはれなり」〈能因本枕・四七〉</t>
        </is>
      </c>
      <c r="D4874" t="inlineStr">
        <is>
          <t>そのものずばり；そのものズバリ；そのものすごい；そのものじゃなくて；そのものごし</t>
        </is>
      </c>
      <c r="E4874" t="inlineStr">
        <is>
          <t>本質；それ自体；ズバリ；そのものずばり；そのように</t>
        </is>
      </c>
      <c r="F4874" t="inlineStr">
        <is>
          <t>事件そのもの；人間そのもの；世界そのもの；行為そのもの；真剣そのもの</t>
        </is>
      </c>
      <c r="H4874" t="n">
        <v>29</v>
      </c>
      <c r="I4874" t="inlineStr">
        <is>
          <t>差し違いそのものよりも慣例を破ったことが問題視されたことが分かる。；このことは壁そのものに対して西側からは何も出来ないことを意味していた。；これは雑誌に発表された作品でも同様で、変化そのものが一つの作品と言える。；カールの宮廷そのものが、1箇所に留まらずに常に国内を移動していた。；植物や動物から絞り出す成分そのものを指してエキスと言う場合もある。；なお日本の電車そのものの発展の概略は、日本の電車史を参照されたい。；死はただ彼から彼そのものではないものを奪い取ったにすぎない。；このマークは形そのものが手鏡を示しており女性を象徴するものと扱われている。；「芸術にあっては知覚のプロセスそのものが目的 」であるからである。；世界の終末的な善と悪の戦争や世界の破滅そのものを指す言葉である。；もっとも時間をかけて考えたのが学校そのものと、その雰囲気だ。；音符そのものをこの名で呼び、楽譜から音楽にまで対応させることがある。；流入車そのものも遅い速度のまま本線に合流すれば渋滞の原因となりうる。；しかし海軍関係者の間で巨大戦艦建造の事実そのものは公然の事実だった。；アロイシウス・リリウスの提出した原稿そのものは残されていない。；このままではおんぷの人生そのものにも影響をもたらしかねない。；情報技術分類では、対象となる情報そのものの標準を制定している。；やがて芝居そのものが楽しくなってしまい、大学をやめて演劇の道を志す。；これらの論者があげる裁判そのものへの批判としては以下のような主張がある。；ホームは6両編成分が確保され、待避線そのものは8両編成に対応する。；だがこのアプローチは、分光学そのものの発展を待たねばならなかった。；生物相そのものは、それが海水に起源を持つかどうかで大きく異なる。；ホームズ映画は映画そのものとほぼ同じ歴史を持つとも言える。；また、過去には季節により運行ダイヤそのものを変更させる場合もあった。；吉田光由は密度そのものの物理的な関心が無かったことを示している。；これは、時間そのものが現実として存在しないことを意味しているかもしれない。；そのため、車両や施設そのものの改良がなされることがある。；仏教そのものが存在を説明するものとなっている。；そのため現在まで城から最も近い駅と呼ばれているが、正確には城内そのものである。</t>
        </is>
      </c>
      <c r="J4874">
        <f>HYPERLINK("https://www.weblio.jp/content/そのもの", "词义详情")</f>
        <v/>
      </c>
      <c r="K4874">
        <f>HYPERLINK("https://yourei.jp/そのもの", "查看例句")</f>
        <v/>
      </c>
    </row>
    <row r="4875">
      <c r="A4875" t="inlineStr">
        <is>
          <t>傍/側</t>
        </is>
      </c>
      <c r="B4875" t="inlineStr">
        <is>
          <t>无结果</t>
        </is>
      </c>
      <c r="H4875" t="n">
        <v>0</v>
      </c>
      <c r="J4875">
        <f>HYPERLINK("https://www.weblio.jp/content/傍/側", "词义详情")</f>
        <v/>
      </c>
      <c r="K4875">
        <f>HYPERLINK("https://yourei.jp/傍/側", "查看例句")</f>
        <v/>
      </c>
    </row>
    <row r="4876">
      <c r="A4876" t="inlineStr">
        <is>
          <t>蕎麦</t>
        </is>
      </c>
      <c r="B4876" t="inlineStr">
        <is>
          <t>成功</t>
        </is>
      </c>
      <c r="C4876" t="inlineStr">
        <is>
          <t>読み方：そば
１タデ科の一年草。高さ40〜70センチ。茎は赤みを帯び、葉は心臓形で先がとがる。夏または秋、白色や淡紅色の花びら状の萼(がく)をもつ小花を総状につける。実は三角卵形で緑白色、乾くと黒褐色になり、ひいてそば粉を作る。中央アジアの原産で、古く渡来し栽培される。そばむぎ。くろむぎ。《季花＝秋》「山畠や—の白さもぞっとする／一茶」
２《「蕎麦切り」の略》蕎麦粉につなぎを加え、水でこねて薄く延ばし、細く切ったもの。ゆでてつけ汁につけたり、汁をかけたりして食べる。
３2に似た細長い麺。「中華—」「沖縄—」</t>
        </is>
      </c>
      <c r="D4876" t="inlineStr">
        <is>
          <t>蕎麦屋(3%)；蕎麦店；蕎麦畑；蕎麦好き；蕎麦売り</t>
        </is>
      </c>
      <c r="E4876" t="inlineStr">
        <is>
          <t>ソバ</t>
        </is>
      </c>
      <c r="F4876" t="inlineStr">
        <is>
          <t>天ぷら蕎麦；夜鷹蕎麦；手打ち蕎麦；白菊蕎麦；末広蕎麦</t>
        </is>
      </c>
      <c r="G4876" t="inlineStr">
        <is>
          <t>蕎麦粉；蕎麦湯；蕎麦打ち；蕎麦切り；蕎麦がき</t>
        </is>
      </c>
      <c r="H4876" t="n">
        <v>29</v>
      </c>
      <c r="I4876" t="inlineStr">
        <is>
          <t>考えてみれば彼も、そう何度も三郎の蕎麦を食べたことはなかったのだ。；待合室で白い服を着た車掌みたいな人が蕎麦も売っているのはおかしい。；杯をふくんだり蕎麦を食べている各〻の眼が、黙ってそれを読んでいた。；ターウと言って蕎麦のような物でありますけれども蕎麦よりはまだ悪い。；女房も後には其見えない女の前に蕎麦の膳を運んでやるようになった。；私も蕎麦好きの方で、一週間のうちに蕎麦を食べない日は二日位です。；お蕎麦ばかりは宅で打ちましたのを食べますとどうしても外のは食べられません。；太平洋戦争以前の蕎麦屋には、蕎麦を食べる以外の様々な用途があった。；緋佐子もまた蕎麦好きで、昼にはきまって日の本寺を訪れていたという。；ただ麗々と蕎麦の名前をかいて張り付けたねだん付けだけは全く新しい。；芝居の前でお神さんに別れて帰りに阿久と二人で蕎麦屋へ入った。；しばらくすると大黒さんがこの前のときと同じように蕎麦を持ってあらわれた。；梅雨時だったせいか、客はほとんどおらず、貸切り状態で蕎麦を食べた。；こう致したのは翌日まで置いても売物屋のお蕎麦のように柔く伸びません。；近ごろ学校の先生が昼の弁当に蕎麦を食う者が多くなったと話している。；池森がセレクトした蕎麦やつゆなどのレビューを中心とした内容である。；同店は当時東京式の蕎麦屋であり、戦前までは蕎麦のすき焼きがあった。；そしてわたしたちは森のすぐそばにある蕎麦の畑にはいりました。；それから、小兵衛は酒をたのみ、ゆっくりとのみ終えてから蕎麦を食べた。；お新と辰三が二人の子供をつれて、長寿庵へ蕎麦を食いに来たという。；こうなると、蕎麦のうまいまずいなどはいよいよ論じていられなくなる。；蕎麦店「高島そば」が構内で営業していたが、廃駅に伴い営業終了した。；その昔、赤穂の藩士も討ち入り前には蕎麦を食べたと聞いたことがある。；東京辺で生粋の「蕎麦の味」を売り出したらどうかとも思う位であります。；情け無くなって蕎麦を喰べないでお金だけ払って帰り度くなる時が有る。；二階には何人かが車座になって蕎麦を食ったあとが残っていた。；小麦に次いで使われるのは蕎麦で、蕎麦のカーシャは広く愛されていた。；以来、自刃を悼んだ村の人々は蕎麦を作ることをしないのだという。；いくらゴハンが偉いからといっても、この点では明らかに蕎麦に負けている。</t>
        </is>
      </c>
      <c r="J4876">
        <f>HYPERLINK("https://www.weblio.jp/content/蕎麦", "词义详情")</f>
        <v/>
      </c>
      <c r="K4876">
        <f>HYPERLINK("https://yourei.jp/蕎麦", "查看例句")</f>
        <v/>
      </c>
    </row>
    <row r="4877">
      <c r="A4877" t="inlineStr">
        <is>
          <t>聳える</t>
        </is>
      </c>
      <c r="B4877" t="inlineStr">
        <is>
          <t>成功</t>
        </is>
      </c>
      <c r="C4877" t="inlineStr">
        <is>
          <t>読み方：そびえる
［動ア下一］［文］そび・ゆ［ヤ下二］
１山などが非常に高く立つ。そそりたつ。「雲に—・える霊峰」「高層住宅が—・える団地」
２ほっそりしている。すらりとしている。
「人ざまいとあてに—・えて、心恥づかしきけはひぞしたる」〈源・明石〉</t>
        </is>
      </c>
      <c r="D4877" t="inlineStr">
        <is>
          <t>聳立；崛起；聳り立つ</t>
        </is>
      </c>
      <c r="H4877" t="n">
        <v>29</v>
      </c>
      <c r="I4877" t="inlineStr">
        <is>
          <t>遺体のあった場所から、一キロ近く北に行った海岸に聳える崖の上である。；そこは馬蹄形の急な階段式机が何重にも高く聳えている教室であった。；緑の山を背景に、松林のなかに聳え立つその眺めは、美しい絵であった。；それらの家々には古典的な玄関があり、中央に大きな煙突が聳えていた。；迫っていた山が離れて、黒い巨大な影が雪の中に屏風のように聳えている。；神話では、かつて島の中央には湖でなく大きな山が聳え立っていたという。；それが空中へ二百フィートあるいはそれ以上聳えたっているのである。；例の山々は裸岩の尖峯をなして植物帯の上にくっきりと聳え立っていた。；多くの輝いた点が開いてゐる大きな黒い物が、急に眼の前に聳えた。；香久山の向こうのあの丘の間に多くの堂塔の聳えていた時代もあった。；冷たい眼は、もやの底から星空へ聳える本館の三階の空を見上げていた。；四川盆地の北西の縁に沿って聳え立ち、北東から南西の方向に伸びている。；それはそこだけが街から外れたところに独立して聳え立つ途方もない館だった。；すぐ目の前には巨大な土の塊のような塔のような物体が聳え立つ。；教会の塔は痛ましいまでに破壊された姿をさらして闇の中に聳え立っていた。；島の北にひときわ高く聳えているのが島の名の由来になった夜叉岳だろう。；公園の東の隅には、元の見附跡らしい背の高い古い石垣が聳えていた。；そしてその平野の中央には、非常に高い花崗岩の柱が一本聳えていました。；川名女が道案内人に川の向こうに聳える山を見て、しきりに訴えている。；そこに、私は空中高く聳えた広大な宮殿を見たので、そちらへ向いました。；高く聳え一見誇らしげに枝葉を膨ませていても木々は腰の低いやつです。；丸太を満載した橇が、次々と村の東に聳える山の斜面を滑りおりてくる。；私は、川の左手に、昨夜の硝子張りの高い建物が聳えてゐるのを見た。；この山の一帯は、500メートルを超える高さの崖が聳え立っている。；そして私は、その時位父の額が広く高く聳えているのを見たことがなかった。；暗い屋根の並んだ上に不思議な形をした建物が聳えてゐた。；そして更に、私の前には、約束の時日が鉄の扉のように聳えていたのである。；むしろ限りなく高いところ、神の知識の中に聳えているのである。；陰影のある人間の顔のような秩序をもって、ここに聳え立っているもの。</t>
        </is>
      </c>
      <c r="J4877">
        <f>HYPERLINK("https://www.weblio.jp/content/聳える", "词义详情")</f>
        <v/>
      </c>
      <c r="K4877">
        <f>HYPERLINK("https://yourei.jp/聳える", "查看例句")</f>
        <v/>
      </c>
    </row>
    <row r="4878">
      <c r="A4878" t="inlineStr">
        <is>
          <t>祖父</t>
        </is>
      </c>
      <c r="B4878" t="inlineStr">
        <is>
          <t>成功</t>
        </is>
      </c>
      <c r="C4878" t="inlineStr">
        <is>
          <t>読み方：おおじ
《「おおちち（大父）」の音変化》
１父母の父。そふ。⇔祖母(おおば)。
「春宮の御—」〈源・桐壺〉
２年をとった男。じじい。
「難波(なには)の里に、—とうばと侍り」〈伽・一寸法師〉</t>
        </is>
      </c>
      <c r="D4878" t="inlineStr">
        <is>
          <t>祖父さま；祖父さん；祖父ちゃん；祖父様；祖父譲り</t>
        </is>
      </c>
      <c r="E4878" t="inlineStr">
        <is>
          <t>祖；お爺さん；お祖父さん；祖父さま；祖父さん</t>
        </is>
      </c>
      <c r="F4878" t="inlineStr">
        <is>
          <t>お祖父；亡き祖父；母方祖父；父方祖父；玄祖父</t>
        </is>
      </c>
      <c r="G4878" t="inlineStr">
        <is>
          <t>祖父江；祖父江町；祖父江慎；祖父谷；祖父元</t>
        </is>
      </c>
      <c r="H4878" t="n">
        <v>29</v>
      </c>
      <c r="I4878" t="inlineStr">
        <is>
          <t>これは孤児であった彼の祖父が市の職員から名付けられたものである。；日本人の父親と台湾人の母親との間に生まれ、沖縄県出身の祖父を持つ。；本人によれば、そこまで到達できたのは祖父の残した型があったからだという。；エル・フェロルは海軍基地のある町で、父も祖父も海軍の軍人であった。；自身は、政治的な思想は祖父ウジェーヌの影響が大きいと述べている。；尚、子の経兼から以後は、祖父以前からの姓である「諏訪氏」を称した。；祖父・信長と同じく派手好みであり、平素より洒落者であったと伝わる。；祖父・義達の猶子または養子となって家督を継いだとする説もある。；彼は祖父アンドロニコス2世同様に高い知性を備えていたと考えられている。；祖父は若い時、一旗上げようとアメリカ合衆国に渡り貿易商をしていた。；父のイリヤは祖父の代以来の地元の金属工場の労働者であった。；政治ばかりで家庭に無関心な父親を嫌い、祖父の神社に家出している。；叔父はフィリップスの創業者の祖父でマルクスの財政援助者でもあった。；ハイネマンは祖父の影響で子供の頃から革命歌を歌っていたという。；晩年にも孫たちの訪問をなによりも喜び、孫たちの方からも愛される祖父だった。；なお、本籍地は生まれて今日までずっと祖父が住んでいた東京都となっている。；得意とする早口言葉は9歳のころに祖父に教わったものと語っている。；祖父は基本的に祖母のことを大事にしない人だった。；家族は祖父の代から麻布で自動車修理工場を経営する父と母、弟。；また順天堂大学の基礎を作った医師・佐藤泰然は忠雄の曾祖父にあたる。；岡部は、騎手になったことについて祖父の影響が強かったと述べている。；父方の祖父は二輪馬車職人の家に生まれた四輪馬車の御者であった。；上様はお前らの祖父や父の武功や忠義の事を決してお忘れではない。；幼い頃から聡明で、祖父・泰時にもその才能を高く評価されていた。；しかし父の反対に遭い、父や祖父と同じく建築家の道を歩むことになった。；祖父・茂丸が台湾で関与した蓬萊米をインドに移植することに成功している。；彼は幼少期の祖父の教育や、父の思想から多大な影響を受けている。；若い頃には、父親や母方の祖父と同様に聖職者となる予定であった。；幼い頃から祖父の陳寔に、将来において一族を盛んにする人物と期待された。</t>
        </is>
      </c>
      <c r="J4878">
        <f>HYPERLINK("https://www.weblio.jp/content/祖父", "词义详情")</f>
        <v/>
      </c>
      <c r="K4878">
        <f>HYPERLINK("https://yourei.jp/祖父", "查看例句")</f>
        <v/>
      </c>
    </row>
    <row r="4879">
      <c r="A4879" t="inlineStr">
        <is>
          <t>素振り</t>
        </is>
      </c>
      <c r="B4879" t="inlineStr">
        <is>
          <t>成功</t>
        </is>
      </c>
      <c r="C4879" t="inlineStr">
        <is>
          <t>読み方：すぶり
刀・バット・ラケットなどを、練習のために相手なしで振ること。</t>
        </is>
      </c>
      <c r="D4879" t="inlineStr">
        <is>
          <t>素振りを見せれ</t>
        </is>
      </c>
      <c r="E4879" t="inlineStr">
        <is>
          <t>動き；態度；姿勢；動作；振る舞い</t>
        </is>
      </c>
      <c r="F4879" t="inlineStr">
        <is>
          <t>妙な素振り；そういう素振り；怪しい素振り；やうな素振り；何気ない素振り</t>
        </is>
      </c>
      <c r="H4879" t="n">
        <v>29</v>
      </c>
      <c r="I4879" t="inlineStr">
        <is>
          <t>その素振りには、まるでひどく気を悪くでもしたようなところが見えた。；しかしこの次に私と会う時、その素振りを変えないようにして下さいよ。；しかし、彼らはいかにもわれわれに興味をもっていそうなそぶりをする。；昨日は公園で気落ちしていた素振りも見せたが、一晩で回復したらしい。；気のある素振りを見せつつ、女の方からは決して積極的に出ていかない。；気のせいかその後露子は以前よりも一層余を愛するような素振に見えた。；わたしが喋っているのを、聞いているような素振りはしないでください。；が、そちらの問題にあまり関心をもっている素振りをみせてはいけない。；右手を左手と同じように膂力をつけるために、常に素振りは右手でした。；そういう時は、田舎から出てきて道がわからないといった素振りをする。；彼にルイの写真を見せたところ、どうやら知っているらしい素振りでね。；ジョナサンのそぶりにも、なにか大事な話があるらしいようすが見えた。；マルタン夫人もそのことを理解したらしいが、そぶりにも見せなかった。；私は、ティーが別れの素振りでも見せて、そして国に戻るのかと思った。；どこから見ても普通の猫で、普段も奇妙な素振りなんて全く見せなかった。；けれどもなおよく考えると、彼の素振りの意味が分らなくなるのであった。；委員会に出席して退屈しても、その素振りを隠す才能を持っていました。；二人のそぶりからみて、西欧人の老女は何かの代表団のメンバーらしい。；ペインはハリーを見たことがあるという素振りをまったく見せなかった。；しばらく素振りを続けた後、男は木人形に向き直り、精神を集中させた。；言うこともすることも奇妙だが、女の顔にもそぶりにも邪気はみえない。；この期待した量の半分の素振りでは黒人も共和党員も満足させなかった。；彼女は嫌がるそぶりもみせず、むしろ積極的に股間に手を伸ばしてきた。；パンディオン騎士だと気づいているようなそぶりはおくびにも出さない。；なお彼はこの試合では負傷したような素振は特に見られなかった。；しかし、わかったにしても、彼女はそれらしい、そぶりは示さなかった。；あまりしばしばなのですっかり慣れきってしまったそぶりでもある。；そして、チョークをおくと、立って行こうとするようなそぶりを見せた。；男の見ている前で身仕舞いをすることに何の抵抗もない自然なそぶりだった。</t>
        </is>
      </c>
      <c r="J4879">
        <f>HYPERLINK("https://www.weblio.jp/content/素振り", "词义详情")</f>
        <v/>
      </c>
      <c r="K4879">
        <f>HYPERLINK("https://yourei.jp/素振り", "查看例句")</f>
        <v/>
      </c>
    </row>
    <row r="4880">
      <c r="A4880" t="inlineStr">
        <is>
          <t>祖母</t>
        </is>
      </c>
      <c r="B4880" t="inlineStr">
        <is>
          <t>成功</t>
        </is>
      </c>
      <c r="C4880" t="inlineStr">
        <is>
          <t>読み方：うば
１年とった女。おうな。老女。老婆。
２能面の一。老女の顔を表したもの。脇能の尉(じょう)のツレ面としての用法が古く、檜垣(ひがき)・卒都婆(そとば)小町などのシテ、高砂・淡路などのツレに用いる。⇔尉(じょう)。
３（祖母）そぼ。おばあさん。おおば。
「故—にて候(さぶら)ひし者の為に」〈沙石集・七〉</t>
        </is>
      </c>
      <c r="D4880" t="inlineStr">
        <is>
          <t>祖母さん(2%)；祖母さま；祖母ちゃん；祖母宅；祖母b</t>
        </is>
      </c>
      <c r="E4880" t="inlineStr">
        <is>
          <t>おばあちゃん；お祖母さん；祖母さん；お祖母；お祖母ちゃん</t>
        </is>
      </c>
      <c r="F4880" t="inlineStr">
        <is>
          <t>お祖母；老祖母；亡き祖母；祖父祖母；母方祖母</t>
        </is>
      </c>
      <c r="G4880" t="inlineStr">
        <is>
          <t>祖母谷；祖母井；祖母懐；祖母谷温泉；祖母傾</t>
        </is>
      </c>
      <c r="H4880" t="n">
        <v>29</v>
      </c>
      <c r="I4880" t="inlineStr">
        <is>
          <t>理由は祖母がなりたかった職業だということを聞いていたからだという。；それを邪魔立てするつもりなら祖母の国との対決も辞さない覚悟だった。；その際、祖母を母親と、実の母親を姉と言い聞かされながら育てられた。；この道具のせいで息子が死んだため祖母が隠していたのだった。；父は朝鮮にいってしまい、祖母と一番末の叔母との三人暮らしだった。；これは10代を京都に住む父方の祖母のもとで過ごしたためだという。；祖母は武士の家出身で、その二人の間に生まれた娘が、彦六の母親である。；戸籍上、清久は片山家当主であったこの祖母の養子となっていたらしい。；母親に感化されていた娘達も祖母には一通も手紙を送らなかったと言われている。；それでも柄が立派なのでちっとも見そぼらしいとは思えませんでした。；日本でのキャリアを構築することは祖母の強い勧めだった。；ミス・マープルのモデルとなったのは作者の祖母と見られている。；後に父方の祖母が韓国人であることを執筆のための取材の途上で知る。；祖母と叔父が経営していたライブ喫茶店舗兼住居に住んでいた。；祖母が板倉重矩の娘であった縁で、福島藩主・板倉重泰の養子となった。；この馬がアローエクスプレスの母であり、ファンタストの祖母でもある。；物語には娘たちの祖母と祖父との恋愛も描かれている。；欧州選手権では初優勝を果たし、賞金で母と祖母と住むアパートを建てた。；だから祖母は生まれて2週間の僕の母親を連れて、南アフリカから逃げた。；祖母は、彼の行為が自分の利益のためではなかったと答えた。；両親はいずれも仕事で忙しかったので、菱川は祖母ために育てられた。；祖父は基本的に祖母のことを大事にしない人だった。；祖母との2人暮らしは極貧そのもので、洗面器で米を炊いていたという。；まだ幼い頃、婿養子だった父が離婚して家を出たため、母と祖母に育てられた。；その後、アユは祖母の病気のため新潟の親戚の家に引っ越してしまった。；竜児が祐作の祖母の弁当をみて対抗心を燃やしエスカレートしていく話。；森の向こうに住んでいる祖母の家へ向かう途中、カーバンクルと遭遇。；祖母は宮城県仙台市でイタコをしており、母や自身も霊感体質だという。；この鉢巻は、「外国でも大和魂を忘れないように」と祖母が贈ったもの。</t>
        </is>
      </c>
      <c r="J4880">
        <f>HYPERLINK("https://www.weblio.jp/content/祖母", "词义详情")</f>
        <v/>
      </c>
      <c r="K4880">
        <f>HYPERLINK("https://yourei.jp/祖母", "查看例句")</f>
        <v/>
      </c>
    </row>
    <row r="4881">
      <c r="A4881" t="inlineStr">
        <is>
          <t>素朴</t>
        </is>
      </c>
      <c r="B4881" t="inlineStr">
        <is>
          <t>成功</t>
        </is>
      </c>
      <c r="C4881" t="inlineStr">
        <is>
          <t>読み方：そぼく
［名・形動］
１自然のままに近く、あまり手の加えられていないこと。単純で発達していないこと。また、そのさま。「—な遊び」「—な漁法」「—な疑問」
２人の性質・言動などが、素直で飾り気がないこと。また、そのさま。「—な人柄」
[派生]そぼくさ［名］</t>
        </is>
      </c>
      <c r="D4881" t="inlineStr">
        <is>
          <t>素朴な疑問(4%)；素朴な生活；素朴な味わい；素朴な信仰；素朴な人柄</t>
        </is>
      </c>
      <c r="E4881" t="inlineStr">
        <is>
          <t>明らか；単純；素直；明白；明瞭</t>
        </is>
      </c>
      <c r="F4881" t="inlineStr">
        <is>
          <t>素朴な性格；素朴心理学；素朴な攘夷；素朴な原形；素朴な民謡</t>
        </is>
      </c>
      <c r="G4881" t="inlineStr">
        <is>
          <t>素朴集合論；素朴実在論</t>
        </is>
      </c>
      <c r="H4881" t="n">
        <v>29</v>
      </c>
      <c r="I4881" t="inlineStr">
        <is>
          <t>よほど気に入ったものとみえてこの素ぼくな帯止めをよくしていたなあ。；今に至る千年間の文化の最も素朴な原形へたった数年で戻ったのである。；私は、この番組があえて素朴にふるまっていることに衝撃を受けました。；これほど純粋で素朴なホームランバッターは過去にいませんでしたね。；髪を切ったクレアも参加し、貧しいが素朴な人々が集まるようになった。；庭園は豊かな水を利用し、池を配置した素朴な美しさを特徴とする。；最も素朴なものでも、次のようなことが可能でなければならない。；草庵風茶室は、当時の民家に使われていた素朴な材料を使って造られた。；このやうな素朴さに生きるのほか、今の自分には生きやうはない。；その素朴でいながら独特の雰囲気に絵本愛好家の間では知られる作家である。；トゥーラウでは19世紀の間、地方的な素朴な町並みが保存されていた。；残された作品の数は少ないが、素朴で美しく慎ましい感情が表現されている。；タルー族の民家や生活ぶりはきわめて素朴なもので一見の価値がある。；彼の作品は素朴画と呼ばれるもので、日本の美しい風景を描いているのが特徴である。；工事は順調に進み、昭和35年に素朴ながら寺としての機能が回復した。；しかし自動車が通ずるようになっては、この素朴もいつか失われるであろう。；この歌も民謡的だが、素朴でいかにも当時の風俗が分かっておもしろい。；今に至る千年間の文化の最も素朴な原形へたつた数年で戻つたのである。；地元の越後方言の多い素朴な詩の中に、強烈なメッセージを含む曲が多い。；それぞれが秘密を持つ父と娘2人の家庭の日常を素朴に描いた。；下町や商店街など素朴なものをテーマとした温かい作品を描くことが多い。；私が知っていたベアトリスの断固とした素朴さや素直さを彼は知らないのだ。；然し、たつた一言云はしてくれ、君の言葉はまことに素朴で自然ではある。；一応の理知の否定をもつてしても、素朴な恐怖をどうすることもできないらしい。；田舎の素朴な人々の政治への無関心ぶりも含め、自戒することが多い作品だった。；けれど この新参者の 素朴な歌が あなたの 愛を打ちました。；私のすきな話し方は、単純素朴な・紙の上でも口の先でも同じ・話し振りです。；現代人の言葉などにはこういう素朴で味のあるいい方はもう跡を絶ってしまった。；しかも彼らの歌がただに素朴な農民の歌謡だぐらいのものでなかろう。</t>
        </is>
      </c>
      <c r="J4881">
        <f>HYPERLINK("https://www.weblio.jp/content/素朴", "词义详情")</f>
        <v/>
      </c>
      <c r="K4881">
        <f>HYPERLINK("https://yourei.jp/素朴", "查看例句")</f>
        <v/>
      </c>
    </row>
    <row r="4882">
      <c r="A4882" t="inlineStr">
        <is>
          <t>粗末</t>
        </is>
      </c>
      <c r="B4882" t="inlineStr">
        <is>
          <t>成功</t>
        </is>
      </c>
      <c r="C4882" t="inlineStr">
        <is>
          <t>読み方：そまつ
［名・形動］
１作り方などが、大ざっぱなこと。品質などが上等でないこと。また、そのさま。「—な家」「—な食事」→御粗末(おそまつ)
２いいかげんに扱うこと。ないがしろにすること。また、そのさま。「食べ物を—にするな」「—な扱いを受ける」</t>
        </is>
      </c>
      <c r="D4882" t="inlineStr">
        <is>
          <t>粗末なもの(7%)；粗末な小屋(2%)；粗末な食事；粗末な木；粗末なベッド</t>
        </is>
      </c>
      <c r="E4882" t="inlineStr">
        <is>
          <t>悪い；低い；小さい；薄い；不良</t>
        </is>
      </c>
      <c r="F4882" t="inlineStr">
        <is>
          <t>ひどく粗末；粗末なチュニック；粗末な身なり；粗末なバラック；粗末な板屋根</t>
        </is>
      </c>
      <c r="H4882" t="n">
        <v>29</v>
      </c>
      <c r="I4882" t="inlineStr">
        <is>
          <t>昼から何も食べておられず、粗末なサンドイッチとワイン一杯だけとか。；さうしてその神さんを粗末にしてゐるといふことがありはしないか。；もっとも、この仕事での彼の働きぶりはお粗末であったとされている。；彼は巡礼の着る粗末な服を身につけると、スイスの方に向かっていった。；門松がお粗末なのだが並んでゐる以外は、何処にも大晦日の気分は無い。；やはり湯宿に来たら小さな粗末な宿にしなければ感じが出ないのかもしれない。；その粗末な柩も彼が病院で安く手に入れたものを運んできたのだった。；そまつなござが一枚と、水がすこしはいっている木の椀があるだけです。；なおこの時代の野蛮人は、一般にごくお粗末な霊魂不滅観を抱いていた。；もっとも、食事は、今から考えてみれば、ずいぶん粗末なものであった。；親戚や知人を集めて、この娘の為には粗末ながら儀式めいたことをした。；着ているものは見るからに粗末だったが、きれいでさっぱりしていた。；彼はすべてのことに通じて居るのみならず、絶対に物を粗末にしない。；こんな粗末な道具ばかりを揃えるのにさえ彼は少からぬ時間を費やした。；しかもこの程度の金でかけた橋というのは、極めて粗末なものである。；期待と喜びとおそれとがごつちやになつた興奮に彼の頬はそまつてゐた。；奴隷のための粗末な衣服もしばしばこの地域から海外に輸出された。；風説は、収容所の監視がお粗末であることを暗に示していたからである。；たいていそれは、イギリスの小説の翻訳である赤表紙の粗末な書物だった。；みなりの粗末な二十歳ぐらいの女で、ぬかるみを踏み踏み近よって来た。；果して然らば一票の投票権といえども決して粗末には出来ぬ訳でないか。；こんなふうに、この人は、どんなものでもそまつにはしませんでした。；仕事のものをどうしてこう荒く粗末にするかと、私もその点では腹が立つ位。；一軒の家には窓が二つあり、外側に粗末な板の鎧戸がかけてあった。；殊に僕の入つた頃は粗末な平屋で、教室の數も四五しか無かつたのです。；そこで私たちは遠慮して脇道に入り、粗末な木のベンチに腰をおろした。；しかしことさらに尊敬することも粗末にすることもしなかった。；さうした粗末な船が、エミリアンにはかへつてのんきでよかつたのです。；第一こちらは、この通り粗末な室だし、向うは立派な八畳の座敷でしょう。</t>
        </is>
      </c>
      <c r="J4882">
        <f>HYPERLINK("https://www.weblio.jp/content/粗末", "词义详情")</f>
        <v/>
      </c>
      <c r="K4882">
        <f>HYPERLINK("https://yourei.jp/粗末", "查看例句")</f>
        <v/>
      </c>
    </row>
    <row r="4883">
      <c r="A4883" t="inlineStr">
        <is>
          <t>染まる</t>
        </is>
      </c>
      <c r="B4883" t="inlineStr">
        <is>
          <t>成功</t>
        </is>
      </c>
      <c r="C4883" t="inlineStr">
        <is>
          <t>読み方：そまる
［動ラ五（四）］
１染料や絵の具・墨などがついたりしみ込んだりして、その色になる。「みごとな藍に—・った布地」「全身朱(あけ)に—・る」
２光のぐあいなどであたりの色が変わる。「夕日に—・る」「山が若葉の緑に—・る」
３ある考えや思想などの影響を受ける。また、よくない習慣がすっかり身につく。「土地の風習に—・る」「悪に—・る」</t>
        </is>
      </c>
      <c r="D4883" t="inlineStr">
        <is>
          <t>色づく；彩られる；染色される；かぶれる；吹き込まれる</t>
        </is>
      </c>
      <c r="F4883" t="inlineStr">
        <is>
          <t>青く染まる；白く染まる；黒く染まる；よく染まる；黄色く染まる</t>
        </is>
      </c>
      <c r="H4883" t="n">
        <v>29</v>
      </c>
      <c r="I4883" t="inlineStr">
        <is>
          <t>窓の外に広がる西の空が赤く染まる頃になると、私の不安は増していく。；娘は父の夢に知らず知らずのうちに染まり、父の野望に支配されてきた。；人間は悪に染まらず神に帰還するように選択するべきだと信じられている。；猫に似た顔は目を挙げたかと思うと見る見る羞かしそうに染まり出した。；ところが、祖父をついだ彼の父は、この商売が気に染まなかったらしい。；スケエの城の灰色の石は殺された捕虜の古い血で朽葉色に染まっていた。；雌雄双方とも、怒り状態になると身体の毛がやや赤く染まる性質がある。；この辺の景物が低い草から高い木まで皆黒く染まっているように見える。；目の縁が赤く染まっているところを見ると、今日もかなり飲んだのだろう。；クラスメイトたちには染まらず、他人のどのような言葉も気にかけない。；出てきたときは、みんなの手は手首のところまでまっ赤に染まっていた。；その顔が苦渋に染まっているのを見るのは非常に不思議な気分になる。；左手に見える海は群青に染まり、潮流が幾条もの帯を作って走っている。；津田とのセックスではこんなに美しく肌が赤く染まることはないはずだ。；ぼくは鼻の下が濡れていることに気づいて、それで拭うと黒く染まった。；洞窟の外は、すでに陽が傾きはじめ、西の空は赤く染まりはじめていた。；灰色の雲は、そこだけ、生命の始まりのような複雑な色に染まっていた。；両方に何度もやって居る間に色が段々濃くなって、こういう風に染まる。；彼女の頬は薔薇色に染まり、うっとりと匂い立つような顔色をしていた。；お姫のお気に染まぬことは、誰の仰せであろうとも、祖父が承知はせぬ。；二人は肩を並べてあたりのビルの壁面がバラ色に染まって行くのを眺めた。；彼女はとしはもゆかぬうちに意に染まぬドゥドト伯爵と結婚させられた。；血を縁に残したガラスの破片は夜明けの空気に染まりながら透明に近い。；竹の葉が白く染まり、家は静かに雪に埋もれて、仄白い影の中にあった。；わたしはそれを浴びてはいるが、それに染まってはいないのである。；焼き打ちにされたバンガローの火で、夜ごとに空は明るく染まりました。；陽が出ている空は朱色に染まり、反対側の空はすでに暗く沈んでいる。；意識的に、その色に染まらないようにしようとしている私にはよく分かる。；カイロは血に染まった手を額から離して、警部補の目の前にさし出した。</t>
        </is>
      </c>
      <c r="J4883">
        <f>HYPERLINK("https://www.weblio.jp/content/染まる", "词义详情")</f>
        <v/>
      </c>
      <c r="K4883">
        <f>HYPERLINK("https://yourei.jp/染まる", "查看例句")</f>
        <v/>
      </c>
    </row>
    <row r="4884">
      <c r="A4884" t="inlineStr">
        <is>
          <t>背く</t>
        </is>
      </c>
      <c r="B4884" t="inlineStr">
        <is>
          <t>成功</t>
        </is>
      </c>
      <c r="C4884" t="inlineStr">
        <is>
          <t>読み方：そむく
《「背(そ)向く」の意》
［動カ五（四）］
１
㋐取り決めたことや目上の人の考え・命令などに従わずに反抗したり反対したりする。さからう。「約束に—・く」「親の言いつけに—・く」
㋑謀反する。はむかう。「主君に—・く」
２世間や、ある人のもとから離れて行く。去る。離反する。「世を—・く（＝出家する）」「妻にまで—・かれる」
３予想されることと反対の結果になる。「四番打者の名に—・かぬ大活躍」「ファンの期待に—・く」
４その方向に背中を向ける。
「結び灯台のうす暗い灯(ひ)に—・いて」〈芥川・偸盗〉
[可能]そむける
［動カ下二］「そむける」の文語形。
[用法]そむく・さからう——「親に背く（逆らう）」「主人の意に逆らう（背く）」などの場合、目上の人の言うことを聞かないの意では相通じて用いられる。◇「そむく」は、反抗の意思を言葉よりも行動で表す方に重点がある。「期待にそむく」「約束にそむく」「…の名にそむく」などの使い方は、「さからう」にはない。◇「さからう」は、反抗の意思を言葉や行動で表すことで、「上司にさからって左遷される」は、従わないことから口答えまでを背景に含んでいる。◇「川の流れにさからって泳ぐ」の使い方は「そむく」にはない。◇類似の語「たてつく」は、よりはっきりと反対の意思を言葉と行動に表すことで、特定の対象にしぼられる。「権力（教師）にたてつく」</t>
        </is>
      </c>
      <c r="D4884" t="inlineStr">
        <is>
          <t>背くわけ；背くまい；背くべき</t>
        </is>
      </c>
      <c r="E4884" t="inlineStr">
        <is>
          <t>違反；反抗；売る；振り返る；破る</t>
        </is>
      </c>
      <c r="H4884" t="n">
        <v>29</v>
      </c>
      <c r="I4884" t="inlineStr">
        <is>
          <t>また、内部でも神の教えに背く者がいないか審問官が目を光らせている。；詩人をなくしたらよい等と言うことは勿論我々の意に背くものであります。；しかし、それはそれらの文献の当時および現在の実際にも背いている。；わけは分からないが、ぐずぐずしていては、いいつけに背くことになる。；村の外で死ぬのは、お姫さまの命令に背くことになるのじゃなくって!?；なぜというに、小説を書くことは自分の宿志に背くと思ったからである。；やつらは、自分たちの利益に背いてまで約束を破って私に害を加えた。；彼女の兄が背いたからといって、気持ちを変えるような人ではない。；信長の命令に背き、信貴山城に立て籠もり再び対決姿勢を明確に表した。；たまさかの休暇を私は春の錦という都に背いて思わぬところで花を見た。；信念に基づく行動をとるために、しばしば上官の命令に背くことがある。；その彼女の言葉に背いて自分はいま海軍軍人としての道をひた走っている。；祖国に背き、若干の美しい詩を書き、そして私を馬鹿扱ひにした詩人だ。；とくに、きみが自分の性質をよく考えて決めたことに背く場合はね。；弓枝の諌止に背いて、彼女が行くなと言った方角へ進んで来てしまった。；それが士道に背くことならおめえ、あいつは百回も腹を切らされてらあ。；だが彼らに勝利をもたらした十師族の魔法師に背くつもりも無いようだった。；学園都市という巨大な組織に背いてでも味わうべき価値があるのかどうか。；事態がこうなってみると、玄竜はその命令に背く訳には行かなくなったのだ。；してみればわれわれは彼らの期待に背いていいものでしょうか?；わたしはあの人が必要としたときに、あの人に背くことをしたのではないかしら?；彼らは、何があろうと法や規則に背くことのできない存在なんだ。；我一人して御行衛を、探りてもみるそれだけは、よしお詞に背いてもと。；この規則には例外がなく、この習慣に背くということはございません。；一般的にはルールに背いたドライバーやチームを処罰する為に使用される。；私が正しいと主張しているのに、口をもって背いたことにされる。；痩せて虚弱な少年だったが学問を好む彼は、期待に背くことはなかった。；それだけでは悔い改めることのできないほど、人々は神に背いている。；雄しべの花糸は互いに離れており、約はそれぞれ背き合うようにつく。</t>
        </is>
      </c>
      <c r="J4884">
        <f>HYPERLINK("https://www.weblio.jp/content/背く", "词义详情")</f>
        <v/>
      </c>
      <c r="K4884">
        <f>HYPERLINK("https://yourei.jp/背く", "查看例句")</f>
        <v/>
      </c>
    </row>
    <row r="4885">
      <c r="A4885" t="inlineStr">
        <is>
          <t>染める</t>
        </is>
      </c>
      <c r="B4885" t="inlineStr">
        <is>
          <t>成功</t>
        </is>
      </c>
      <c r="C4885" t="inlineStr">
        <is>
          <t>読み方：しめる
［動マ下一］［文］し・む［マ下二］
１色にそまるようにする。また、においなどを深く入り込ませる。「煮—・める」「たき—・める」
「香の紙のいみじう—・めたる」〈枕・三六〉
２深く感じ入れさせる。強く心を引かれる。
「花の枝にいとど心を—・むるかな人のとがめむ香をばつつめど」〈源・梅枝〉</t>
        </is>
      </c>
      <c r="D4885" t="inlineStr">
        <is>
          <t>彩色；染色；着色；紅潮；赤面</t>
        </is>
      </c>
      <c r="F4885" t="inlineStr">
        <is>
          <t>黒く染める；青く染める；白く染める；紅く染める；黄色く染める</t>
        </is>
      </c>
      <c r="H4885" t="n">
        <v>29</v>
      </c>
      <c r="I4885" t="inlineStr">
        <is>
          <t>髪を染めている人の場合は、髪の色に合わせて眉毛を染めることもある。；これがすべて記録されれば、海戦史を血で染めることになったであろう。；それともう二人は、後にこの病院を真っ赤に染める、彼の妹さんである。；黒染めとは髪を黒くあるいは自然な髪色に染めることのここでの言い方。；よく素人が更紗に手を染めるのは仕事がやさしいからともいえるのです。；それは新橋一帯を血の海に染めることになるから避けたいと言っているんだよ。；だのに伝九郎の一党が、一指をさえも染める事が出来ないから奇態です。；枝も動かず額を染めるような明るさの下だったが、矢代の気持ちは沈んだ。；同じ色に染めることはできなくても、色の違いは人の目に歴然とわかるんだ。；恋人や赤ん坊のために犯罪に手を染める警察学校の学生の物語である。；障子を染める朝の光は、清左衛門の長い思案の間に日の色に変っている。；そういったこともあって、彼がオペレッタに手を染めることはなかった。；和服において、仕立てた時に模様が続くように染めるものを絵羽という。；黒い自動車の運転手は、バック・ミラーを染める炎を満足そうに見ていた。；髪結いにも行かず自分で刈った髪をまっ赤に染めるとはなんということだ。；自ら何んの色なきに種々に木の葉を染めるとは実に奇妙な力である。；だが染めることだけはできないので、いつも灰色をしているのだ。；宇宙軍の制服に黒が選ばれたのは黒く染めれば元の色が隠れるからだ。；お袋が髪を染めるようになったのは、二台目の鏡台が入ったころからだった。；お金のために身を滅ぼしたり、悪いことに手を染める結果になったりする。；指先を染める血が、アスファルトの上に奇妙な模様を描くのが見えた。；手を染める血はふたりの身体を共通に流れるものなのだ。；やくみつるのように4コマ漫画家が一コマ漫画にも手を染める例もある。；その後も流れ星が何度か夜の闇を白く染めるまで、二人星を見上げていたのだった。；時としては彼女の顔に上って来る血潮が深くかすかに彼女の頬を染めるのを見た。；常にかぶっている帽子を人間の血で赤く染めるのが趣味。；それともまた、私の毛を別な色に染めるとか、なんとかしてください。；嫌なことには背を向けて関心のあることだけに手を染めるだけでなんとか生きられると思っている少年だった。；いまのところ、それはぼんやりと空を染める程度で、私の煙草ほどにも赤くない。</t>
        </is>
      </c>
      <c r="J4885">
        <f>HYPERLINK("https://www.weblio.jp/content/染める", "词义详情")</f>
        <v/>
      </c>
      <c r="K4885">
        <f>HYPERLINK("https://yourei.jp/染める", "查看例句")</f>
        <v/>
      </c>
    </row>
    <row r="4886">
      <c r="A4886" t="inlineStr">
        <is>
          <t>そもそも</t>
        </is>
      </c>
      <c r="B4886" t="inlineStr">
        <is>
          <t>成功</t>
        </is>
      </c>
      <c r="C4886" t="inlineStr">
        <is>
          <t>読み方：そもそも
フィジー諸島、タベウニ島北西岸の村。同島の中心地であり、この村の首長がフィジー系住民のなかで宗教的・伝統的にもっとも地位が高い。</t>
        </is>
      </c>
      <c r="D4886" t="inlineStr">
        <is>
          <t>そもそも何；そもそも人間；そもそも最初；そもそもなぜ；そもそもこんな</t>
        </is>
      </c>
      <c r="E4886" t="inlineStr">
        <is>
          <t>当初；自体；本来；もともと；いったい</t>
        </is>
      </c>
      <c r="F4886" t="inlineStr">
        <is>
          <t>そもそも神曲楽士；そもそも何で；そもそもフレイムヘイズ；そもそも無理な話；そもそも空々</t>
        </is>
      </c>
      <c r="H4886" t="n">
        <v>29</v>
      </c>
      <c r="I4886" t="inlineStr">
        <is>
          <t>もっとも軍事的な効果は余りなく、そもそも期待されてもいなかった。；このピラミッドはそもそも四角錐を目指していなかったとする説もある。；ただしもっとも古例である上記の丸〆猫はそもそも小判は持っていない。；未発見の時代にはそもそも知られておらず、七曜・九曜にも含まれない。；そもそも直接打撃制ルール自体は寸止めルールよりもはるかに歴史は古い。；そもそもヒロの一部は19世紀後半からの溶岩流の上に構築されている。；そもそもローマ人には法を法典化しようという一般的な傾向はなかった。；そもそもバブル景気の崩壊以降若者が自動車に興味を示さなくなっていった。；そもそも、元は地面に描いた丸と自然の石で遊ばれていたと考えられている。；もっとも、ほとんどの国では、そもそも悪戯は何らかの犯罪に該当する。；そもそも合議制で編纂されたため、個人の著作物とするのは無理がある。；そもそも直保は関ヶ原の戦いに参戦していなかったとする指摘もある。；そもそも君主国の統治を行う場合、より容易なのは世襲の君主国である。；そもそも播磨と会話を交わすようになったのは夏休みの途中のことである。；そもそも飛鳥地域の古墳群で被葬者が特定されているものが稀である。；そもそも長篠の戦いの主目的は、長篠から武田を撤退させることである。；そもそもノビレスも他の元老院議員と違う特権を持っていたわけではない。；アルマンドは、そもそも誰が両親なのかよくわからない女性である。；頼長はそもそもそんな像があるとは知らなかったからできるはずがないと記述している。；そもそも表土を流出させるような開発を続けていては生活できなくなってしまう。；それにそもそもヴィクトリアは皇太子の能力をまったく信用していなかった。；そもそも彼らは主上を忘れて、自己の利益を追求したのであろうか。；そもそもモールス符号も、よく使われる文字を短い表現にしている。；そもそも根拠が示されていないものも多く、論証することは余り考慮されていない。；本作は、そもそもカードゲームの企画をメインとして出発したものである。；そもそも、関西と関東でだしに使われている素材が異なっている。；また、そもそも理解しようとする気も無いような人も多い。；そもそもは第3代尚真王が父、尚円王を葬るために建築したものである。；しかし、そもそも金が目当ての犯行でないならこの説にも疑問符が付く。</t>
        </is>
      </c>
      <c r="J4886">
        <f>HYPERLINK("https://www.weblio.jp/content/そもそも", "词义详情")</f>
        <v/>
      </c>
      <c r="K4886">
        <f>HYPERLINK("https://yourei.jp/そもそも", "查看例句")</f>
        <v/>
      </c>
    </row>
    <row r="4887">
      <c r="A4887" t="inlineStr">
        <is>
          <t>空</t>
        </is>
      </c>
      <c r="B4887" t="inlineStr">
        <is>
          <t>成功</t>
        </is>
      </c>
      <c r="C4887" t="inlineStr">
        <is>
          <t>読み方：うつ
［接頭］
１（全）名詞に付いて、すっかり、全く、全部の意を表す。
「皮を—はぎに剝(は)ぎて」〈記・上〉
２（空・虚）名詞に付いて、うつろな、空虚な、の意を表す。
「—蝉(せみ)はからを見つつもなぐさめつ深草の山煙だにたて」〈古今・哀傷〉</t>
        </is>
      </c>
      <c r="D4887" t="inlineStr">
        <is>
          <t>空飛ぶ；空氣；空薬莢；空高く；空対空</t>
        </is>
      </c>
      <c r="E4887" t="inlineStr">
        <is>
          <t>穴；天；空中；宙；上空</t>
        </is>
      </c>
      <c r="F4887" t="inlineStr">
        <is>
          <t>高い空；空々空；電空；西空；南空</t>
        </is>
      </c>
      <c r="G4887" t="inlineStr">
        <is>
          <t>空間；空港；空中；空襲；空想</t>
        </is>
      </c>
      <c r="H4887" t="n">
        <v>29</v>
      </c>
      <c r="I4887" t="inlineStr">
        <is>
          <t>皆既日食が起こると空がかなり暗くなり星の観測も可能な状態になる。；逆に思考をしないためには心を空にする特別な修練を積む必要がある。；空と直は幼馴染みではあるが、空は直のことを全く覚えていなかった。；宮崎駿が空飛ぶ映像が好きなことから本作には数多くの飛行機が登場する。；変幻自在の体はその大きさや姿を自在に変えられ、空も飛ぶ事ができる。；離陸した宇宙船が見えなくなった後、空に美しい虹がかかるのであった。；屋根の下にある天井部分は「天」と呼ばれ、雲や空が描かれていた。；XMLでは、空要素を表現するために特別な構文を使うことができる。；太陽神が空に舞い戻った後、人間が互いに戦い始めたときに戦争が始まる。；なお、監督が一番気に入っているのは自転車で空を飛ぶシーンである。；その他に前部艦底には浮力確保のため空のドラム缶400個を収納した。；筆記具がない場合には空間に向かって人差し指で文字を示す空書が用いられる。；以降はケース内が空であることがわかるようになる。；また移動においても陸上を進むだけではなく、空を行くことも可能になった。；someNode は空でないリストにある何らかのノードであるとする。；世界はオレルスという名前で、どこまでも空が続く広大な空間である。；設定上は空を飛ぶことが可能だが、戦闘終了後は徒歩で去っていく描写が多い。；と、実験において空のベクターを用いていなかったことを明確に認めている。；第七〇五空の一式陸攻も零戦隊を誘導しているが、その後の戦果は不明。；空のリストを含むリストの先頭に新たなノードを挿入する関数が必要となる。；地上・空・海で繁栄していた爬虫類であったが、白亜紀の末には急減した。；これらの改善と数的優勢によって、空の戦いの様相は変化していった。；現代の鳥類ほどは上手く空を飛ぶことも、地上を歩くこともできなかった。；それ以前は、ドイツで話されていた古ザクセン語で空を意味する であった。；佐江戸城などは城が空になったため、豊臣方に無抵抗で接収されている。；明るい場所で、白いものや空を見た場合などによく見える。；基本的に空を飛行することが主目的の乗り物だからである。；これら3人の見上げる先に空を飛ぶ仙人がいるという設定になっている。；古関は、当時発行される山田の楽譜はほとんど空で覚えていたという。</t>
        </is>
      </c>
      <c r="J4887">
        <f>HYPERLINK("https://www.weblio.jp/content/空", "词义详情")</f>
        <v/>
      </c>
      <c r="K4887">
        <f>HYPERLINK("https://yourei.jp/空", "查看例句")</f>
        <v/>
      </c>
    </row>
    <row r="4888">
      <c r="A4888" t="inlineStr">
        <is>
          <t>反らす</t>
        </is>
      </c>
      <c r="B4888" t="inlineStr">
        <is>
          <t>成功</t>
        </is>
      </c>
      <c r="C4888" t="inlineStr">
        <is>
          <t>読み方：そらす
［動サ五（四）］
１まっすぐな物、平らな物を弓なりに曲げる。「ベニヤ板を—・す」
２からだを後ろの方へ弓なりに曲げる。そりかえらせる。「身を—・す」「得意気に胸を—・す」</t>
        </is>
      </c>
      <c r="D4888" t="inlineStr">
        <is>
          <t>カーブ；湾曲；曲げる；彎曲；歪める</t>
        </is>
      </c>
      <c r="H4888" t="n">
        <v>29</v>
      </c>
      <c r="I4888" t="inlineStr">
        <is>
          <t>崩れそうになりながらも頭を反らし利明たちのほうに顔を向けてきた。；少しからだを反らし、軽べつしたような関心を示して庭園内を見ていた。；彼女の背後の大きな地図を、背筋を反らして、まっすぐに見つめていた。；身体を後ろに反らしていて、膝は絨毯からわずかに持ち上げられている。；懸命に反らした体が背後に倒れてしまうのではないかと心配になる。；泉は呻き、かれの口に乳房を押しつけるために背中を反らしたのである。；甲谷は思わずも彼女の身体を反らさないようにとしっかりと抱きかかえた。；私は額をあげ、眼深くした帽子の庇を反らし、樹立にぐつと肩を寄せた。；この場合どちらか一人、先に目を反らしたものが敗けだという感じだった。；ウルフは顔をやけどしないように頭を上げ、両手も上に反らしていた。；また、後頭部は頭部をより上方へと反らすことができる形状となっていた。；日記帳を取り上げようと手を伸ばすが、彼は身を反らしベッドに逃れた。；宇佐見は身を反らしてそれをかわし、空を切った原の腕を逆手に固めた。；初枝が近づくと少女は母の裾の後ろに隠れるように身体を反らした。；そこでちょっと考えて見て、口から煙を吹いて、項を反らして云った。；由美は腰を反らし、すぐにわれを忘れたような高い声を放ちはじめた。；身体を反らし気味にすれば、背後の棚に並ぶ書籍のタイトルが逆に読める。；不自然なほど頭を後ろに反らしているせいで、白い喉が異様に長く見えている。；しかし、その猫はものすごい力で身を反らして逃げてしまいました。；慌てて身を反らすと、そいつは流れるような動作で今度はスプリングを狙った。；ミス・フェザーズは魚みたいに身体を反らしたが、すぐ静かに横たわった。；甘つたれて、彼女は後方に頭を反らし、 『いいわよ』と云はんばかり!；私は両手を首の後ろで組み合わせ、椅子の上で少し身を反らしながら頭上を仰いだ。；勝った方は黒く陽焼のした上半身を反らすようにして相手を見下した。；背中が弓のように反らされた事で膨らんでいる部分が強調される。；直立したままの姿勢で、背中を反らし、両腕をじたばたと動かしている。；だが、うしろへ背を反らすと、もう一つ、前のようなのが現われた。；そして、まるで将軍の護衛でもしているように胸を反らして、両親の方へ歩いて行った。；ただ、若干首を後ろに反らしているため、人を見下した態度に見えなくもない。</t>
        </is>
      </c>
      <c r="J4888">
        <f>HYPERLINK("https://www.weblio.jp/content/反らす", "词义详情")</f>
        <v/>
      </c>
      <c r="K4888">
        <f>HYPERLINK("https://yourei.jp/反らす", "查看例句")</f>
        <v/>
      </c>
    </row>
    <row r="4889">
      <c r="A4889" t="inlineStr">
        <is>
          <t>逸らす</t>
        </is>
      </c>
      <c r="B4889" t="inlineStr">
        <is>
          <t>成功</t>
        </is>
      </c>
      <c r="C4889" t="inlineStr">
        <is>
          <t>読み方：そらす
［動サ五（四）］《「反らす」と同語源。それるようにする意》
１向かうべき方向・目標からわきの方へ向ける。他へ転じる。「話を—・す」「視線を—・す」
２とらえそこなう。逃がす。のがす。「ボールを—・す」
３（多く、打消しの形で）人の機嫌をそこなう。「人を—・さない応対ぶり」</t>
        </is>
      </c>
      <c r="D4889" t="inlineStr">
        <is>
          <t>逸らすべき；逸らすべく</t>
        </is>
      </c>
      <c r="E4889" t="inlineStr">
        <is>
          <t>逸する；背ける；逸れる；進路を変える</t>
        </is>
      </c>
      <c r="H4889" t="n">
        <v>29</v>
      </c>
      <c r="I4889" t="inlineStr">
        <is>
          <t>それから気を逸らしているためにも、ふたりは熱心に表を監視していた。；その姿に感じるのは恐怖なのに、なぜか目を逸らすことができなかった。；一人の侍がこちらを見たが、他の一人はいなみから眼を逸らさなかった。；しかしそれは、無理に傷口から目を逸らそうとしているようにも見えた。；私は何年も批判から気を逸らそうとしましたが、脚本を書いたのは私です。；見たくない、聞きたくないと思うのに、目を逸らすことができなかった。；なお中央の機は敵の視線を僚機から逸らすためにあえて高く飛んでいる。；周りにいる他の客たちも同意見のようで、みんな視線を逸らしていた。；後ろの騒ぎを聞かないためには、会話して気を逸らすのが一番だった。；けれど今回は話を逸らされたような気になり、僕はさらに声をあげた。；見たくもないもの、思い出したくないものに目を逸らしている訳ではない。；私はそういう時、ひそかに二人から眼を逸らさずにはいられなかった。；そしてようよう戻ると、目を逸らしがたい事実が浮かんで来てしまった。；牙があると言ったのは、オリヴィエの注意を逸らすための嘘だったのだ。；どんなに目を逸らしても無視できない闇が、すぐそこまで追ってくる。；まばたきを止めて向き直った私の顔から、男はあわてて視線を逸らした。；二人は視線を合わせていたが先に逸らしたのは父王の方だった。；健一は意味がわからず蛍子の顔を見るが、蛍子は顔を海の方へ逸らした。；雪は胸の刺青に注意を逸らさせて円記の術を破り、ついにこれを倒した。；だが、目を逸らすこともなければ、部屋を出て行こうともしなかった。；やがて男は目を逸らし、女はそれに乗じるように男へしなだれかかった。；ここで話題を逸らすことができなければ、もう部屋を出るしかないと思った。；作業に没頭する事で、一番恐れている事から意識を逸らそうとするように。；声が小さい上に、目が合ったら不自然に視線を逸らされてしまった。；内藤は彼女から目を逸らすように私と中禅寺敦子の方を向いて話を続けた。；しゞまを守り遂げることの外には神の語の威力を逸らす方法がなかつた。；床を這い、奪われないようにと身を丸くする姿にソーホは目を逸らした。；みんなを睥睨していた眼からも力が消えて、 ふと、惠は視線を逸らす。；わずかにカードを逸らすか、爪で跡をつけるか、そのていどでしょう。</t>
        </is>
      </c>
      <c r="J4889">
        <f>HYPERLINK("https://www.weblio.jp/content/逸らす", "词义详情")</f>
        <v/>
      </c>
      <c r="K4889">
        <f>HYPERLINK("https://yourei.jp/逸らす", "查看例句")</f>
        <v/>
      </c>
    </row>
    <row r="4890">
      <c r="A4890" t="inlineStr">
        <is>
          <t>橇</t>
        </is>
      </c>
      <c r="B4890" t="inlineStr">
        <is>
          <t>成功</t>
        </is>
      </c>
      <c r="C4890" t="inlineStr">
        <is>
          <t>読み方：かんじき
雪の上などを歩くとき、深く踏み込んだり滑ったりしないように、靴などの下につけるもの。木の枝やつるなどを輪にして滑り止めの爪をつけたものや、堅雪のときに使う鉄製のものがある。《季冬》「父と子や—の跡混へつつ／波郷」</t>
        </is>
      </c>
      <c r="D4890" t="inlineStr">
        <is>
          <t>橇道(2%)；橇犬；橇曳き；橇式；橇に乗</t>
        </is>
      </c>
      <c r="F4890" t="inlineStr">
        <is>
          <t>尾橇；雪橇；山橇；手橇；駆動橇</t>
        </is>
      </c>
      <c r="H4890" t="n">
        <v>29</v>
      </c>
      <c r="I4890" t="inlineStr">
        <is>
          <t>このリレーで最後の隊の橇を御していたのはガンナー・カーセンだった。；Kは、もうそれ以上はなにも言わずに、背後の橇のうえに腰をおろした。；ある場所では橇の滑走部のような平行線らしき跡を見たような気がした。；クリーンは隊の中では最も着実な橇曳きの一人であることが証明された。；この連中が食後に橇に乗って近郊へ遊びに行こうと云うことになった。；その橇のあとに附いてゆきながら、途中で何度も私は滑りそうになった。；彼等はその冬の初め以来、橇を曳いて千八百マイルの距離を旅行していた。；その橇が以前友達だったクリストフのものであることはすぐわかった。；端から数えて五番目の構えから、兄のアレクセイが橇に乗って出て来る。；しかし、その後の南行きと帰りの旅は人が曳く橇に頼るしかなくなった。；荷を満載した屋根なしの大橇が二台、それぞれ四頭の馬に曳かせている。；やがて橇が行き過ぎるとそれもだんだん後の方へ小さく小さく消えて行く。；ルート偵察に時間がかかり、結局、犬橇を走らせ始めたのは七日だった。；雪を擦る橇の刃のたてる静かな音のほかは、何の物音も聞こえなかった。；ボーッとした頭の中で、俺はトナカイの橇に乗ったサンタになっていた。；橇は私の見ている窓の真下あたりの木造のプラットフォームに止まった。；橇は雪の上に二筋の平行した滑桁のあとを残しつつ風のように進んだ。；もう一つ、カーボンファイバーで作った三〇キロの軽量の橇も用意した。；船長は橇を曳くのに必要な犬をグリーンランドで買うことも予定した。；橇の馭者は、一台に二人ずつ乗っていたが、これはまったくの農民らしい。；交替の命令があって十二分ほど歩いたところで、玉村は橇に停止を命じた。；途中の集落で、犬と橇とを、そこに住む住民の長老にやってしまった。；村に降りた山橇は、蟻の行列のように阿部屋敷に向かって行進している。；丸太を満載した橇が、次々と村の東に聳える山の斜面を滑りおりてくる。；先を行く山橇が糸に手繰られるように、次々と門の中に消えていく。；どうやら向うから下りてくる雪橇があって、道をゆずりあっているらしい。；ロシア北部に住んでいた数年間でスキーと橇の技能を獲得していた。；此連中が食後に橇に乗つて近郊へ遊びに行かうと云ふことになつた。；黒々とした樅の森の間に、橇道は一本の細い帯のように伸びていた。</t>
        </is>
      </c>
      <c r="J4890">
        <f>HYPERLINK("https://www.weblio.jp/content/橇", "词义详情")</f>
        <v/>
      </c>
      <c r="K4890">
        <f>HYPERLINK("https://yourei.jp/橇", "查看例句")</f>
        <v/>
      </c>
    </row>
    <row r="4891">
      <c r="A4891" t="inlineStr">
        <is>
          <t>反る</t>
        </is>
      </c>
      <c r="B4891" t="inlineStr">
        <is>
          <t>成功</t>
        </is>
      </c>
      <c r="C4891" t="inlineStr">
        <is>
          <t>読み方：のる
［動ラ四］
１後ろに曲がる。そりかえる。
「太刀の少し—・ったるを」〈太平記・八〉
２からだがのけぞる。
「急所をひとつ真の当て、うんと—・るを引っかづき」〈浄・布引滝〉</t>
        </is>
      </c>
      <c r="D4891" t="inlineStr">
        <is>
          <t>カーブ；反転；返る；湾曲；覆す</t>
        </is>
      </c>
      <c r="F4891" t="inlineStr">
        <is>
          <t>大きく反る</t>
        </is>
      </c>
      <c r="H4891" t="n">
        <v>29</v>
      </c>
      <c r="I4891" t="inlineStr">
        <is>
          <t>彼女だけは彼等よりもませているだけに反って僕には女生徒らしかった。；これは前部と後部の反った板で作り、雪の上でも氷の上でもよく滑れた。；尾は本物のタツノオトシゴよりも外側に反ったデザインとなっている。；乗るか反るかの大事へかかるという程の緊張し切った気持などではなかった。；ドアを締めて、くるみ材の飾りだなから反った形のグラスを一つとった。；いかに鋼の精神を持っていても、これでは曲がったり反ったりするはずだ。；店と同じように母屋の建物も古く、歩くたびに板の反った廊下が軋む。；相手の腋に頭を入れ、切り返しのように足を掛け、後ろに反って倒す技。；双方の橋とも橋面は縦に弓なりに反った緩やかな縦断曲線を描いている。；反った軒廂と、朱い柱とを見ながら店の中に這入ると、広い土間がある。；二人は男の眼の行く方を見護ったが、男は次第に復「にッたり」に反った。；美術家同志というものはあんまり内幕を知り過ぎていて反っていけない。；大きく足を広げ、中腰で後ろに反るようにしながらぐいっと持ち上げた。；その古い枝は町にポンプで送り込まれる空気の流れで弛み反っている。；が、彼の身体は曲った真油の背の上で舟のように反っていた。；特にメスのプテラノドン属のように口吻が強く反らない点を指摘した。；私のことをちっとも知らないという率直な言葉に反って私の心は動きました。；海老反った二対の金色が、陽の光を浴びて朝の輝きを放ち始めていた。；いまは反っているがもとはたいらだったろう木製のテーブルがひとつ。；またその前の縁は直線上で縁が上に反っている。；というのは、彼の伸るか反るかの運命がそこから始まったからである。；それが彼の任務続行を妨げ、その結果彼は当初の目的から反れてしまいました。；由希の全身は、材木のように硬直したかと思うとつぎには弓なりに反った。；中国風に甍の反った大門には次のような禁制の札がかかげられていた。；日本の一般的なマツ同様に鱗片を持ち、個々の鱗片は先端が微妙に反る。；あまりに強く抱きしめられたので、私の身体は大きく弓なりに反った。；ネックの反った粗大ゴミのようなギターは演奏するのに苦労した。；英 次 死んでくれたら、それも反っていいと思いますよ。；この道へ宮様の反れられたことも、往来の者に聞いて知った。</t>
        </is>
      </c>
      <c r="J4891">
        <f>HYPERLINK("https://www.weblio.jp/content/反る", "词义详情")</f>
        <v/>
      </c>
      <c r="K4891">
        <f>HYPERLINK("https://yourei.jp/反る", "查看例句")</f>
        <v/>
      </c>
    </row>
    <row r="4892">
      <c r="A4892" t="inlineStr">
        <is>
          <t>剃る</t>
        </is>
      </c>
      <c r="B4892" t="inlineStr">
        <is>
          <t>成功</t>
        </is>
      </c>
      <c r="C4892" t="inlineStr">
        <is>
          <t>読み方：する
［動ラ五（四）］「そ（剃）る」に同じ。
「髯を—・って来るよ」〈漱石・永日小品〉
[可能]すれる</t>
        </is>
      </c>
      <c r="D4892" t="inlineStr">
        <is>
          <t>剃るということ</t>
        </is>
      </c>
      <c r="E4892" t="inlineStr">
        <is>
          <t>削る；刈る；摘む；刈り込む；梳る</t>
        </is>
      </c>
      <c r="H4892" t="n">
        <v>29</v>
      </c>
      <c r="I4892" t="inlineStr">
        <is>
          <t>そして右の方の手だけを使って、彼女の口の周りから剃って行きました。；彼はたつた今さつき剃つたばかりのやうな青いつるつるな頭をしてゐた。；髭は初めのうちは剃っていたが、だんだん面倒になってやめてしまった。；いつだったかいっしょに芝居へ行こうと思ったら、髭も剃っていないの。；その髭を剃るか伸ばすかは個人の選択やその人が住む地域の文化による。；当日の朝になるとわたしはさっぱりと剃りおとして二人の前に現われた。；取引先に信用されないと言われ、ついこの間剃ってしまったのだという。；だが見事に剃り上げた頭をした住職は、紗季の顔を見ると驚いて叫んだ。；つまり、今まさに頭を剃ろうとしているときだったように思えるんだ。；江戸後期以降は眉を剃る、または抜いたあと眉を描かない場合が多い。；カウンターの奥では、頭を剃り上げた少年がうつろに宙を見つめていた。；きみの頭髪の生え方からすると、一ヵ月に一度は剃らなければならない。；崖の下の家に入った最初の午後以来、髭を剃っていなかったのである。；実験所に行って見ると、小使が自分の子供の頭を剃っている最中であった。；こうして、三重臣は髪を剃された上、藩で決定した囲い場に入れられた。；五十前後の頭を剃りたての住職は、顔色を変えて走りだしてきました。；頭を刈って顔を剃ったばかりなのに年が二つ位老けたような気がする。；濃い髭が、剃ってから時間がたつためか、頬の半分を黒い影にしている。；ところで、女性にとって髪を剃るのは、覚悟のいることなのでしょうか。；顔はきれいに剃られて、香りのよいクリームが皮膚にすりこまれていた。；日野は、ひげを剃らなかったが、その言葉の影響か、風が少し出て来た。；これではいつ何時、髪剃がどう間違って、どこへ飛んで行くか解らない。；顎はいつもきれいに剃ってあるし、髪にはキチンと櫛目がはいっている。；額には剃りが入っているし、革ジャンパーの着方も、どこか崩れている。；首を絞めるような襟のついた服の着用や髭剃り、首振り動作などがある。；いつ剃りを当てたのか解らない髯面の中に、目だけを白く光らしている。；剃らない頭部を見て、彼の髪はたいへん薄いのだということを知った。；この年は、トレードマークである口ヒゲを剃ったことでも話題となった。；乞食とも少し違うのは頭を青くなるほどに剃りあげていることである。</t>
        </is>
      </c>
      <c r="J4892">
        <f>HYPERLINK("https://www.weblio.jp/content/剃る", "词义详情")</f>
        <v/>
      </c>
      <c r="K4892">
        <f>HYPERLINK("https://yourei.jp/剃る", "查看例句")</f>
        <v/>
      </c>
    </row>
    <row r="4893">
      <c r="A4893" t="inlineStr">
        <is>
          <t>それ</t>
        </is>
      </c>
      <c r="B4893" t="inlineStr">
        <is>
          <t>成功</t>
        </is>
      </c>
      <c r="C4893" t="inlineStr">
        <is>
          <t>読み方：それ
［代］
１中称の指示代名詞。
㋐聞き手が持っている物、または、聞き手のそばにある物をさす。そのもの。「ちょっと—を見せてください」
㋑聞き手がいま話題にしたばかりの事物などをさす。そのこと。そのもの。「—はいつの話ですか」「ああ、—ならお隣です」
㋒聞き手が当面している事柄をさす。そのこと。「—が済んだら、早く寝なさいよ」
㋓親しい関係にある聞き手のそばにいる人をさす。その人。「へえ、—がおまえの兄貴か」
㋔聞き手が現にいる場所をさす。そこ。
「そなたは—にお待ちやれ」〈虎明狂・今参〉
２二人称の人代名詞。聞き手に対する敬意をこめて用いる。あなた。
「—はさこそおぼすらめども、己は…とは思ひ侍らず」〈徒然・一四一〉
［感］人に注意を促すときなどに発する語。そら。ほら。「—見なさい」「—行け」
［接］（「夫れ」とも書く）《漢文の「夫」の訓読から》文頭に用いて語調を整える語。そもそも。いったい。
「—山伏と言っぱ、役(えん)の行者のあとを継ぎ」〈虎清狂・蟹山伏〉
［アクセント］はソレ、はソレ。</t>
        </is>
      </c>
      <c r="D4893" t="inlineStr">
        <is>
          <t>それ以外；それ以上；それだけ；それ以前；それゆえ</t>
        </is>
      </c>
      <c r="E4893" t="inlineStr">
        <is>
          <t>そこ</t>
        </is>
      </c>
      <c r="F4893" t="inlineStr">
        <is>
          <t>それ相応；それよりもっと；それより早く；それぎり；それよりももっと</t>
        </is>
      </c>
      <c r="G4893" t="inlineStr">
        <is>
          <t>それから；それでも；それら；それに；それで</t>
        </is>
      </c>
      <c r="H4893" t="n">
        <v>29</v>
      </c>
      <c r="I4893" t="inlineStr">
        <is>
          <t>それが原因で喧嘩になることもあったが、負けたことがなかったという。；北米やオーストラリアなど多くの国でそれに準じた処分が行われている。；プログラムが正しいことを確認するには、それを証明しなければならない。；ただし、それは毎月作品を採用かつ量産された場合の契約条件であった。；ほぼ完成していたとされるが、それを発売中止にしての正式発売となった。；そこではまた、それまでの自身の歌詞を次のように3期に分けている。；それまでに発表してきた短編小説が加筆・修正のうえ収録されている。；そこでは金属バットが使われるのでそれに合わせて設計されている。；ピカソの最晩年の作風は、彼がそれまで経てきたスタイルの混合である。；それ以外は陝西省のように13年義務教育を実行している地域もある。；それが非常に多くのカーネル内のキャッシュミスの原因になっている。；ただし尊重すべき理由があるときはそれ以下の年齢でも認められる場合がある。；それはレーザービームのように一致し、みんな同じ方向を向いていた。；それにより教徒たちはグル・ナーナクの弟子であることを表明している。；それは、あるオブジェクトが依存しているオブジェクトのリストである。；またそれが残っている場合でも、今生きている素材のように扱うことは出来ない。；それを受けてまずジェームズ・ゴスリンがC++の拡張言語を提出した。；それ自体はインタプリタの手法とも言えるしコンパイラの手法とも言える。；それに伴いMSXによる音楽活動も比較的少数ではあるが再活発化した。；それ以前のシステムは、磁気テープへのデータの順次保存に依っていた。；それは深刻な人種問題を抱えていた当時のアメリカでは画期的なことであった。；多くの発明がそうであるように、ピアノもそれまでにあった技術の上に成立している。；警報は、重大な災害の起こるおそれのある旨を警告して行う予報である。；ビットは、それがいくつか集まった単位でまとまって扱われることも多い。；ただ、それは歌から始まったのではないかと考えられている。；それが終わったらプロジェクト期間を半分にするという。；それがつながって細い線状になったものが川である。；それをコンピュータで再現した物がコンピュータRPGとなった。；運動の変化 を運動量の変化と解釈するなら、それは力積に相当する。</t>
        </is>
      </c>
      <c r="J4893">
        <f>HYPERLINK("https://www.weblio.jp/content/それ", "词义详情")</f>
        <v/>
      </c>
      <c r="K4893">
        <f>HYPERLINK("https://yourei.jp/それ", "查看例句")</f>
        <v/>
      </c>
    </row>
    <row r="4894">
      <c r="A4894" t="inlineStr">
        <is>
          <t>それから</t>
        </is>
      </c>
      <c r="B4894" t="inlineStr">
        <is>
          <t>成功</t>
        </is>
      </c>
      <c r="C4894" t="inlineStr">
        <is>
          <t>［接］
１前述の事柄に続いて、あとの事柄が起こることを表す。その次に。そして。「家を出て、—駅へ向かった」
２前述の事柄に加えて、あとの事柄を示す。「鉛筆—下敷きを買った」</t>
        </is>
      </c>
      <c r="D4894" t="inlineStr">
        <is>
          <t>それからまた(3%)；それからしばらく；それから数；それから先；それから間もなく</t>
        </is>
      </c>
      <c r="E4894" t="inlineStr">
        <is>
          <t>続いて；こうして；かくて；かくして；しかして</t>
        </is>
      </c>
      <c r="F4894" t="inlineStr">
        <is>
          <t>それからふかえり；それから四半刻；それから小半刻；それから幾日も経た；それから半刻</t>
        </is>
      </c>
      <c r="G4894" t="inlineStr">
        <is>
          <t>それから先のことは；それからの武蔵；それからおじさん</t>
        </is>
      </c>
      <c r="H4894" t="n">
        <v>29</v>
      </c>
      <c r="I4894" t="inlineStr">
        <is>
          <t>それから彼は自分の状態がどのあたりにあるのかを知る必要があった。；節部では維管束が輪になり、それから枝へ入る維管束や葉跡が分出する。；運用中、それから手や足が離れ開放状態に戻ると、装置本体が動作する。；それからヒロシは美輪の大ファンとなり、彼の舞台を何度も見に行った。；それから発見場所の図書館にどのように伝承されたのかは、わかっていない。；最初に着陸地点の周辺の観測が行われ、それから他の場所へ移動した。；それから何回かその鳥が彼女の元にきては彼女の欲しがるものを彼女に与える。；それから4世紀の間に、地上からの観測でさらに衛星9個が発見された。；ロシア語で書かれたものを英語にし、それから日本語に翻訳していたという。；それから更に転じて物事の段階を表現する語としても多く用いられる。；それからしばらくしてキャロリンが自宅で他殺体となって発見される。；それから、彼は名をパイケアと変えたが、生き残ったのは彼一人だった。；それから芽が出て何かになっていくかどうかはまだまだ疑問がある。；それからしばらくして、映画の公開にあわせて二葉のコンサートが催された。；どのような特定の思考についても、それから独立のものを考えることできる。；それから40年後、ベーリング海沖を漂流している謎の船が発見される。；それから、バラモン兄弟の試合では生きた虫攻撃は欠かせぬものとなった。；それから数年後、とある海岸で2人の少女が太鼓のような音を耳にする。；それから7ヶ月の時を経て生放送番組として配信されることとなった。；頭の幅より広く左右後方に突き出し、それから胸の方に曲がっている。；それから国王軍はロンドン進軍を続け、小規模な戦いで勝ち続けていった。；それから僕には多くの腹の立つ出来事が起こり始めた。；それから4年以上経った2018年3月に同年末での解体が決定した。；同年春の改編で番組の放送時間が拡大したが、それから半年後に番組は終了。；それから2000年が経ち地球は厚い氷に覆われ、人類は絶滅していた。；それから数年たったある嵐の夜、立派に育ったメイが山小屋に避難した。；それから3年、ルウはクレアを生き返らせる方法を探して旅をしていた。；それから数年間はヨーロッパでの映画制作に戻った。；それから人間はいつか必ず死が訪れる運命になった。</t>
        </is>
      </c>
      <c r="J4894">
        <f>HYPERLINK("https://www.weblio.jp/content/それから", "词义详情")</f>
        <v/>
      </c>
      <c r="K4894">
        <f>HYPERLINK("https://yourei.jp/それから", "查看例句")</f>
        <v/>
      </c>
    </row>
    <row r="4895">
      <c r="A4895" t="inlineStr">
        <is>
          <t>それきり</t>
        </is>
      </c>
      <c r="B4895" t="inlineStr">
        <is>
          <t>成功</t>
        </is>
      </c>
      <c r="C4895" t="inlineStr">
        <is>
          <t>読み方：それきり
《「それぎり」とも。副詞的にも用いる》
１それが最後であること。それっきり。「話が—になってしまう」「先月遊びに来たが—顔を見せない」
２それが全部であること。それっきり。「—持ち合わせがないのか」</t>
        </is>
      </c>
      <c r="D4895" t="inlineStr">
        <is>
          <t>それきり何(4%)；それきり動かなく；それきり忘れ；それきり消息；それきり黙りこん</t>
        </is>
      </c>
      <c r="F4895" t="inlineStr">
        <is>
          <t>それきり音沙汰；それきり帰ら；それきりゆくえ；それきりふっつり；それきり默</t>
        </is>
      </c>
      <c r="H4895" t="n">
        <v>29</v>
      </c>
      <c r="I4895" t="inlineStr">
        <is>
          <t>自分など一二度試みてあきれてしまってそれきり断念したことであった。；そして、それきり女の正体はいまにいたるまでわかっていないのである。；そうして、それきり私の左の眼は見えなくなってつぶれてしまいました。；警部の乗った自動車のそばまでくると、それきりまえへ動けなくなった。；最初の数日は、警戒して過ごしていたが、佐伯はそれきり現れなかった。；しかしそれきり言葉をかわさずぼくらはようやく友人のところへ着いた。；それきり眼を閉じて、高座へはすこしの注意も払っていない様子だった。；それきり、その若い長身の退屈している男のことは忘れたつもりだった。；それきり会話はなくなって、自分の部屋に戻ろうと階段を昇っていった。；パリの人たちはそれきり僕の噂を聞かなくなったかもしれないぜ。；それきり戻ってこないまま陽が落ち、夜になり、深夜を過ぎて朝になった。；ことわられたからそれきりになっているが、やる気はあるのだそうです。；それきり、エルゼのすがたを見かけたものはひとりもありませんでした。；明器やからお墓の中に入れられたら、それきり人間の眼には触れんもんや。；本の間に挟んだ封書を私がそれきり忘れてしまったのを責めないで下さい。；そして、その学生は、もうそれきり素子のところへ出入りしなくなった。；それきり電話がかかることはなく、彼女は深夜になっても帰宅しなかった。；悲鳴はそれきりで、今はただ死のような静けさが、塔全体を包んでいる。；そこで二人はじっと息を呑みこんでいたが、それきりあとのことばがない。；試験の用意などは思いもつかぬので、その晩はそれきり寐てしまった。；それきり言葉をかけられないのを幸いに、玉日も川向うを見なかった。；ひときわ大きな衝突音が扉を揺らし、それきりなにも聞こえなくなった。；思い出したように高く鳴いて、それきり静かになってしまったヒヨドリ。；それきりあいつ、丁重に構えて表には出さないが、ぼくを憎んでるんだ。；そこへ待つてゐた最後の一人が來たので、話はそれきりになつた。；一人で移動できるはずもないのだけれど、それきり行方が分からない。；暗くなった部屋、一瞬聞こえてそれきり消えてしまったエアコンの動作音。；それきり姿を見たことも声を聞いたこともないし、消息を聞いたこともない。；それきり同人はコリコリしたと見え沓島へは再び参らないと云つて居た。</t>
        </is>
      </c>
      <c r="J4895">
        <f>HYPERLINK("https://www.weblio.jp/content/それきり", "词义详情")</f>
        <v/>
      </c>
      <c r="K4895">
        <f>HYPERLINK("https://yourei.jp/それきり", "查看例句")</f>
        <v/>
      </c>
    </row>
    <row r="4896">
      <c r="A4896" t="inlineStr">
        <is>
          <t>それぞれ</t>
        </is>
      </c>
      <c r="B4896" t="inlineStr">
        <is>
          <t>成功</t>
        </is>
      </c>
      <c r="C4896" t="inlineStr">
        <is>
          <t>読み方：それぞれ
複数の物・人の、ひとつひとつ・ひとりひとり。おのおの。めいめい。副詞的にも用いる。「—が自分の道を選ぶ」「地方によって—習慣が違う」
[用法]それぞれ・おのおの——「持っていく荷物のそれぞれ（おのおの）に名札をつける」「切符はそれぞれ（おのおの）自分で持ちなさい」のようにひとつひとつの意では相通じて用いられる。◇「それぞれ」は、「人それぞれに好みが違う」「映画も芝居もそれぞれ魅力がある」のように、複数の人や物の個々を異なるものとしてとらえる傾向がある。この場合に「おのおの」を使うのは適当でない。また、「それぞれ」は人や物だけでなく事柄についても用いて、「料理、洋裁それぞれに才能を発揮する」などという。◇「おのおの」は、「会員のおのおのが意見を言った」「出品されたどの作品もおのおの力作である」のように、ひとりひとり、ひとつひとつを同列に扱って、個を含んだ全体という意味合いがある。◇類似の語に「めいめい」がある。「めいめい」は、人についてのみ使う。全体を問題とせず、ひとりひとりという意味で使う。「切符はめいめいお持ち願います」</t>
        </is>
      </c>
      <c r="D4896" t="inlineStr">
        <is>
          <t>それぞれ異なる；それぞれ別；それぞれ独立；それぞれ独自；それぞれ接する</t>
        </is>
      </c>
      <c r="E4896" t="inlineStr">
        <is>
          <t>各；個々；個別；各々；一つ一つ</t>
        </is>
      </c>
      <c r="F4896" t="inlineStr">
        <is>
          <t>それぞれ隣接；皆それぞれ；みんなそれぞれ；それぞれ固有；それぞれ受賞</t>
        </is>
      </c>
      <c r="G4896" t="inlineStr">
        <is>
          <t>それぞれの夜；それぞれの秋；それぞれ歩き出そう；それぞれの街角で</t>
        </is>
      </c>
      <c r="H4896" t="n">
        <v>29</v>
      </c>
      <c r="I4896" t="inlineStr">
        <is>
          <t>これらの定義は核について、 それぞれに扱いやすい特性を示している。；本作に登場する神怪的なモチーフの多くはそれぞれ元となる説話がある。；この衝突は技術的なものであると同時にそれぞれの時代背景にも原因がある。；各バンドに対応してそれぞれ異なるバンド端エネルギー と異なる が存在する。；独立記事がある作品の書誌情報の詳細はそれぞれの作品記事を参照。；日本国憲法の解釈は、それぞれの機関が権限の範囲内で行なっている。；これらは制御方法が異なるため、それぞれ別のドライバが必要である。；以下の機能のそれぞれを持つものもあれば、持たないものもある。；専門分野ごとに計39の分科会を持ち、それぞれに会誌を発行している。；本編はぬいぐるみのリカちゃんがそれぞれの物語の主人公を演じている。；それぞれの職業の特徴は一般的なRPGのものに準ずるが下記の通りである。；製品タイトルと同一の内容のものはそれぞれの項にて記載。；円滑に社会を営むために人間にはそれぞれ役割が与えられなければならない。；それぞれ2つの版があり、いずれもハローキティが白雪姫となっている。；各国は、それぞれ多様な国際法の国内法秩序への編入方式を採用している。；各系列の詳細・使用線区・運用などについてはそれぞれの記事を参照のこと。；個別の方式の構成や動作についてはそれぞれの見出し項目を参照されたい。；州はさらにいくつかの県に分割され、それぞれに県知事が置かれる。；そのそれぞれについて、右投げ用・左投げ用・両投げ用が存在する。；それぞれの違いはコミュニケーションの手段に何を使うかである。；それぞれの下位ジャンルについての詳細は、個別の記事を参照されたい。；これらは独立したものではなく、それぞれが関連し合って一連の研究を形作る。；歌手の声は歌手それぞれの主要な声種および声域により分類される。；これらの物語のバージョンでは、誕生はそれぞれ息子3人組である。；それぞれ役割があり、案内・警戒・規制・指示の各種類ごとに設置者が決められている。；それぞれ専用の通路に出た後、ホロ酵素の背で二重らせんを再構成する。；なぜならそれぞれのセクションの撮影の間には1時間の間があったからなんだ。；こうした使い分けが行われる背景には、それぞれの方式の特徴が関連している。；それぞれのピックアップは別々のアンプとスピーカーに接続されていた。</t>
        </is>
      </c>
      <c r="J4896">
        <f>HYPERLINK("https://www.weblio.jp/content/それぞれ", "词义详情")</f>
        <v/>
      </c>
      <c r="K4896">
        <f>HYPERLINK("https://yourei.jp/それぞれ", "查看例句")</f>
        <v/>
      </c>
    </row>
    <row r="4897">
      <c r="A4897" t="inlineStr">
        <is>
          <t>それで</t>
        </is>
      </c>
      <c r="B4897" t="inlineStr">
        <is>
          <t>成功</t>
        </is>
      </c>
      <c r="C4897" t="inlineStr">
        <is>
          <t>［接］
１前述の事柄を受けて、それを理由としてあとの事柄を導く場合に用いる。それだから。それゆえ。そういうわけで。「納得できなくて、—また質問したのです」
２前の事柄を受けて、話題を他に転じたり、相手に話を促したりするときに用いる。そして。「—、これからどうしようか」「—、どうなったの」</t>
        </is>
      </c>
      <c r="D4897" t="inlineStr">
        <is>
          <t>それでいい(3%)；それで私(2%)；それで充分；それでよい；それでわたし</t>
        </is>
      </c>
      <c r="F4897" t="inlineStr">
        <is>
          <t>くれればそれで；できればそれで；しまえばそれで；られればそれで；おけばそれで</t>
        </is>
      </c>
      <c r="G4897" t="inlineStr">
        <is>
          <t>それでは；それでいて；それでも夜は明ける；それでも好きだよ；それでも地球は動く</t>
        </is>
      </c>
      <c r="H4897" t="n">
        <v>29</v>
      </c>
      <c r="I4897" t="inlineStr">
        <is>
          <t>この場合の分類は人間の生活上の都合がよければそれでよいものである。；それでオーストリア国内にはもう一つの東西連結線の建設が計画された。；それで、我々は空間が無限であると主張することはできないはずである。；これを若い奴にやらせろという話が出て、それで俺のところに話がきた。；それで決議機関である市会と市長側とうまく行かない点もあったと思う。；それで十分であり、私たちはそれの意味とそれが何であるかを知る。；それで、私が報告書を完成させて、私の名前が載ることになったのです。；それで幼王はベッドに、死んだ子供を置かせ、自分は物陰に隠れていた。；それでこの第一の理由がいけないとすればもう一つの仮定による外はない。；それで 、自分のやりたいことをやりたいと思うようになりました。；それで僕はホテルやカフェのジャズ・バンドでピアノを弾いていたんだ。；それで彼の教えはピタゴラス派と同様イタリアで世に知られるようになった。；それで以前から構想としていたギャング映画を路線化する決断をした。；それでジョーは12枚の伝説のカードを集めなければならないことだった。；恰も私一人の上には、それで十分であると見きはめをつけたかの如く。；その勢いのままクランクインして、それであんなもん作っちゃったんだよ。；それで、そのようなことを防ぐ方法を進化させているものもある。；それでスタッフに任せたら、スタッフの人達も決められなかったらしく。；それで後には彼に会うことも聞くこともないようになった。；それで本格的にスタジオに入って録り始めたのは、今年に入ってからかな?；それで云つて置きたいことの一つを今此處に公表する氣になつたのである。；それで彼の系統を事実に相当させるためには著しい変更を加えなければならない。；それで空間の際限が考えられないと同様にまた時の限界も考えることはできない。；実際に料理を作らせてみなくても、それで腕前のほどが分かるのだ。；それでこの揺れをなんとかしようと様々な試みがなされた。；それで物事が解決するなら私もまたよくそれをすることができる。；それでうまくいったら世の中の会社も考えるのではないか?；それで謀略・宣伝を担当する別の課に配属されることになったという。；それでこの点に関する彼の意見はついに一般の承認を得るには至らなかった。</t>
        </is>
      </c>
      <c r="J4897">
        <f>HYPERLINK("https://www.weblio.jp/content/それで", "词义详情")</f>
        <v/>
      </c>
      <c r="K4897">
        <f>HYPERLINK("https://yourei.jp/それで", "查看例句")</f>
        <v/>
      </c>
    </row>
    <row r="4898">
      <c r="A4898" t="inlineStr">
        <is>
          <t>それでいて</t>
        </is>
      </c>
      <c r="B4898" t="inlineStr">
        <is>
          <t>成功</t>
        </is>
      </c>
      <c r="C4898" t="inlineStr">
        <is>
          <t>［接］前に述べた事柄とは、似つかわしくない事柄を次に述べる意を表す。それでいながら。それなのに。「腕は半人前、—料金は一人前にとるんだから」</t>
        </is>
      </c>
      <c r="D4898" t="inlineStr">
        <is>
          <t>それでいてどこ；それでいて妙；それでいて心；それでいてひどく；それでいて不思議</t>
        </is>
      </c>
      <c r="F4898" t="inlineStr">
        <is>
          <t>それでいてどことなく；それでいて優雅；それでいて何となく；それでいてちっとも；それでいて優しい</t>
        </is>
      </c>
      <c r="H4898" t="n">
        <v>29</v>
      </c>
      <c r="I4898" t="inlineStr">
        <is>
          <t>それでいて彼女の住んでいる家までわずか百メートルしかないのである。；それでいて彼女は坐っているのに、相手は明かに起上っているのだった。；それでいて、ちゃんと生物棲息の条件を備えた二個の惑星を持っている。；それでいて心の中では、すべてがなんと悩ましくさわだっていることか。；それでいて同時に、デネヴァへ向かう幸せそうな二人の姿も見えるのだ。；が、それでいてやっぱり彼はスヴィドリガイロフのもとへと急いでいた。；それでいて、自分のしているのがいいことだと思っていたんですよ。；それでいて商売をしている店は、町内にほとんど一軒も見当らなかった。；ノートもなにもとらずに、それでいて私のいったことはみんな書いている。；それでいて、当のそのものを欲求するような人はまずありえないだろう。；それでいて下々の者たちとは違う、近寄りがたい雰囲気を失わないのだ。；それでいて腹の中では何だかその事が気にかかるような人間だったのです。；それでいてなお私が銃を手放さないのは、いったいどういうわけなのだと。；それでいて今まで、こと新しくそんなことを考えてみたこともない。；それでいて太陽はもう高く上っていて、すっかり昼間の光景である。；ああ、あれはなんという恐ろしい、それでいて魅力のある人だったろう?；それでいて私はこっちから進んで襖を開ける事ができなかったのです。；が、それでいて、父は考え、意志を持ち、行動することができるのです。；それでいてこの不幸な女は息子よりもおれを愛しているのだ。；それでいてお互いに面と向うと、常に取りつくろった物言いをしている。；それでいて、自分がそうだとはちょっとも気がつかないんですからね!；それでいて三人とも、もちろん一言もそのことについては言わないのです。；それでいて、彼はこの始めての経験を、私に楽しんでもいるのだった。；それでいて顔色が悪く、実際にどこか病気のような様子に見えた。；それでいて、熱がさめてしまったら、そいつはよくないって言うんだぜ。；それでいて六畳の間の中では、天下を睥睨するような事をいっていたのです。；が、それでいて、彼女はある種の問題になると実によく理解しているんですよ。；それでいてほとんど俗世の何事も知らないような飄逸なふうがあった。；それでいて、神そのものは不死の存在なので、死ぬこともできなかった。</t>
        </is>
      </c>
      <c r="J4898">
        <f>HYPERLINK("https://www.weblio.jp/content/それでいて", "词义详情")</f>
        <v/>
      </c>
      <c r="K4898">
        <f>HYPERLINK("https://yourei.jp/それでいて", "查看例句")</f>
        <v/>
      </c>
    </row>
    <row r="4899">
      <c r="A4899" t="inlineStr">
        <is>
          <t>それでは</t>
        </is>
      </c>
      <c r="B4899" t="inlineStr">
        <is>
          <t>成功</t>
        </is>
      </c>
      <c r="C4899" t="inlineStr">
        <is>
          <t>［接］
１前に示された事柄を受けて、それに対する判断・意見などを導く。そういうことなら。それなら。では。それじゃ。「—いずれ手にはいるね」「—こうしたらどうか」
２物事をその時点で始めたり終えたりすることを示す。では。それじゃ。「—私から発言しよう」「—これで打ち切りとします」
［感］別れのあいさつに用いる語。では。それじゃ。「また会えるといいね。—」
［連語］そういうことでは。そういう状態では。それじゃ。「—まるで解決にならない」「—私の顔が立たない」</t>
        </is>
      </c>
      <c r="D4899" t="inlineStr">
        <is>
          <t>それではなかった；それでは何；それではあまりに；それではまるで；それではあなた</t>
        </is>
      </c>
      <c r="E4899" t="inlineStr">
        <is>
          <t>では；じゃあ；それなら；それじゃ；そうしたら</t>
        </is>
      </c>
      <c r="F4899" t="inlineStr">
        <is>
          <t>さあそれでは；それでは遅すぎる；それではまた明日；それではどうすれ；それではみなさま</t>
        </is>
      </c>
      <c r="H4899" t="n">
        <v>29</v>
      </c>
      <c r="I4899" t="inlineStr">
        <is>
          <t>それでは一体どんなことを感じていたのか、それを一つ観察してみよう。；それではあの白痴の子も思ったほど大きくなっているわけではあるまい。；それではかようにして別離した者は再び相合うことはないのであろうか。；それでは、その法規範はどのようにして存在するようになるのだろうか。；ある人はそれでは子孫ができない、人類は絶滅するというかもしれない。；それでは、襲撃して来た怪物の方でびっくりするのも無理ではない。；それでは学者や侍は芝居を一切見物しないかと云うと、そうではない。；それでは、人びとはもう彼が何をいっているのかわからなかったのだ。；しかしそれではなお苦しいので、またからだを前とは反対に横にした。；それでは、あのロボットのなかに、この老人がはいっていたのでしょうか。；それではとにかく今夜お前たちは帰って、明日の朝上野へ出てくれないか。；好きでない以上、嫌いだと答えるべきだが、それでは余り打ちこわしだ。；入口から内部がみえていて、それではいれないとは、どういうわけだ。；それでは心的状態はどのようにして自然的過程であり得るのだろうか?；それではいよいよスイスまで行かないうちに追い着くかもしれないと思った。；「それでは、こっちからでましょう」 博士は先へ立って、戸を開いた。；それでは、人民は非暴力の訓練を受けたと云ふことが出來ないであらう。；けれどもそれでは草平氏も芝居をやる気にはなれなかつたかもしれません。；それではその書き足らなかった理由でもちょっと歌っておけばよいではないか。；それでは何故役人達の不正が一揆の原因とされるようになったのであろうか。；それでは予審判事さんの云っているような一方的の証明にはならない。；それでは、説経節以前が、伝説の世界に入るものと見て宜しいだらうか。；それでは俺たち四人は戸部とともちゃんとに最後の告別をしようじゃないか。；それではあの諜者連は彼の持っている短波通信機に用があったのか。；それではと江戸へ連れてきたお君を、雑踏の中へ置き去りにする三人。；それでは言いたいだけは本文に書いてあるかといえば、必ずしもそうでない。；村の一員たるものの場合は、それでは不幸だから、村の墓に入れる。；それでは渡世に困るから、もっと悪人にならねばならぬと思ったのでした。；それでは朝までもうだれもグレゴールの部屋へは入ってこないというわけだ。</t>
        </is>
      </c>
      <c r="J4899">
        <f>HYPERLINK("https://www.weblio.jp/content/それでは", "词义详情")</f>
        <v/>
      </c>
      <c r="K4899">
        <f>HYPERLINK("https://yourei.jp/それでは", "查看例句")</f>
        <v/>
      </c>
    </row>
    <row r="4900">
      <c r="A4900" t="inlineStr">
        <is>
          <t>それでも</t>
        </is>
      </c>
      <c r="B4900" t="inlineStr">
        <is>
          <t>成功</t>
        </is>
      </c>
      <c r="C4900" t="inlineStr">
        <is>
          <t>［接］そうであっても。「失敗の可能性は大きい。—やめるわけにはいかない」</t>
        </is>
      </c>
      <c r="D4900" t="inlineStr">
        <is>
          <t>それでもなお(3%)；それでもまだ(2%)；それでも彼；それでもいい；それでもやはり</t>
        </is>
      </c>
      <c r="E4900" t="inlineStr">
        <is>
          <t>しかし；だが；けれど；ところが；けれども</t>
        </is>
      </c>
      <c r="F4900" t="inlineStr">
        <is>
          <t>それでも比呂緒；それでも峻護；それでも木野塚；それでも鬼王丸；それでも飽き足らず</t>
        </is>
      </c>
      <c r="G4900" t="inlineStr">
        <is>
          <t>それでも好きだよ；それでも地球は動く；それでもボクはやってない；それでも地球は回っている；それでも世界が続くなら</t>
        </is>
      </c>
      <c r="H4900" t="n">
        <v>29</v>
      </c>
      <c r="I4900" t="inlineStr">
        <is>
          <t>それでもゲーリングは自分が直接英国へ行けば状況は変わると信じていた。；それでもトゥーリンは先頭に立って進み、ついにこの流れを渡りきった。；それでも南部住民の間には首都が北に偏りすぎているという批判があった。；それでも、様々な社会の間に共通した特性を発見することができる。；しかし、それでも収録しなければならず、居残りをしたこともあった。；本当にそれでもその僧は浄土に往生できるのかを確認しようとしたのである。；しかし、それでもポルノは人々の風俗の間で表現され続けてきたであろう。；それでも従来どおり開催されている地は多く、日本各地で伝統を保っている。；保護すべきとの声もあったが、それでもまだ莫大な数がおり検討されなかった。；それでも、ゆずゆの最大の心の支えは母親に他ならないのであった。；しかし、それでも賄いきれなくなった領主は特権収入に頼るようになる。；しかし、それでも私たちは彼らを『改造』し良くしなくてはいけない。；それでも正十一角形など無数に作図不可能なものが存在するのである。；それでもなんとか6階まで行ってみたが、それ以上の進入は不可能だった。；しかしそれでもなお、シヴァの役割には曖昧さが残るとも語っている。；それでも前が開くと鋭い脚を使って見事に差し切ってくれた。；それでも地名に由来する名称はそのまま使われている。；それでも視聴者からは正直なランキングの発表に評価があった。；それでも死去時にビスマルクは莫大な財産を子供たちに残している。；それでも正確な測定のためのいろんな問題があった。；しかし、それでもなお昭和初期の姿を取り戻すまでには至っていない。；それでも、任意でシェルターを装備している企業や個人が多いことで有名である。；しかし、それでも、接近する敵航空機を追尾できないことも多かった。；しかしそれでも長いと言われたのでさらに削って17万語にした。；それでも鉄道の維持を選択する場合は、公的資金の投入が必要となることがある。；それでもNFL選手の年俸は特にトップクラスの選手を中心に非常に高い。；しかし、それでも教会はサラザールの最も忠実な支持層であり続けた。；それでも両語は使用され続けたが、単に地方ごとの慣用が残ったものと見られている。；それでも伝統的な、一部はとても古くから続くリンゴ酒酒場が残った。</t>
        </is>
      </c>
      <c r="J4900">
        <f>HYPERLINK("https://www.weblio.jp/content/それでも", "词义详情")</f>
        <v/>
      </c>
      <c r="K4900">
        <f>HYPERLINK("https://yourei.jp/それでも", "查看例句")</f>
        <v/>
      </c>
    </row>
    <row r="4901">
      <c r="A4901" t="inlineStr">
        <is>
          <t>それとなく</t>
        </is>
      </c>
      <c r="B4901" t="inlineStr">
        <is>
          <t>成功</t>
        </is>
      </c>
      <c r="C4901" t="inlineStr">
        <is>
          <t>読み方：それとなく
［副］遠回しに。それとなしに。「—断る」「妙なうわさが—耳に入る」</t>
        </is>
      </c>
      <c r="D4901" t="inlineStr">
        <is>
          <t>それとなく聞い；それとなく尋ね；それとなく訊い；それとなくほのめかし；それとなく訊ね</t>
        </is>
      </c>
      <c r="E4901" t="inlineStr">
        <is>
          <t>そっと；何気なく；暗に；間接的に；緩やかに</t>
        </is>
      </c>
      <c r="F4901" t="inlineStr">
        <is>
          <t>それとなくほのめかす；それとなくようす；それとなくさぐり；それとなく聞き出し；それとなく探ってみる</t>
        </is>
      </c>
      <c r="H4901" t="n">
        <v>29</v>
      </c>
      <c r="I4901" t="inlineStr">
        <is>
          <t>二人の少女たちはそれとなく彼をアノーと対抗させようとしていたのだ。；そこに誰が住んでいるのか承知の上で母がそれとなくぼくを見ていたのだ。；それとなく聞いてみると、新幹線を使うケースが多くなってきたらしい。；それとなくあたってみると手に入れた時より有利に手放せそうだった。；黙っているのもへんなので、彼はそれとなく、警部は帰ったのかと訊いた。；襲撃に備えて、出入りの鳶の者などがそれとなく店の周囲を固めていた。；そして、それとなく姉さんの挙動を注意するように言われていたんです。；携帯電話で話をする男の子に、彼女はそれとなく迷惑そうな顔をむけた。；気のせいか彼らも、それとなくこちらの様子を窺っているような気がする。；そんなことを、綾子との会話の中でそれとなく判断されたようである。；でも、葬儀屋の主人に会ったら、それとなく聞いてみるつもりであった。；だから、それとなくこんな皮肉を云ったのではないかと記者は思う。；彼女はそれとなく暇乞いのつもりで、しばらく座敷牢の外に時を送った。；伸子は、出入口に向って席を占め、それとなく人の出入りに気をつけた。；千春はそれとなく姿を消し、ふたたび客の前へは現われて来なかった。；私はそれ等の家々の様子を、それとなく見ておいて夜分盗みにはいった。；彼女の方でもきっと、皆に、それとなく自分の様子を尋かれるのだろう。；くら橋さんの事情もききたかし、それとなく合掌だけでもしてきたかと。；彼は子路だけにものをいう代りに、二人に向ってそれとなく話しかけた。；名前を変えたことがそれとなくわかるようにしておいたのだ。；それはやはり彼がそれとなく恐れてゐたやうなものであつた。；家に帰ると、両親もそれとなくいい相手はいないのか訊いてくる。；近所でそれとなく訊いたところ、作次という男といっしょだとわかった。；杉野はお前の話を始める前に、それとなく荘田の事を賞めているのだ。；そして、それとなく主人夫妻にランプの使用法を教授するのであつた。；前方から来る人の群れが、それとなく彼を避けながら通り過ぎてゆく。；私も、その村の人々をそれとなく観察し、できるだけ理解しようとはした。；博士に、それとなく聞いてはみたが、当分ここから出してくれそうもない。；何も言わなくても緑川は、それとなく自分達夫婦のことを心配していたようだ。</t>
        </is>
      </c>
      <c r="J4901">
        <f>HYPERLINK("https://www.weblio.jp/content/それとなく", "词义详情")</f>
        <v/>
      </c>
      <c r="K4901">
        <f>HYPERLINK("https://yourei.jp/それとなく", "查看例句")</f>
        <v/>
      </c>
    </row>
    <row r="4902">
      <c r="A4902" t="inlineStr">
        <is>
          <t>それとも</t>
        </is>
      </c>
      <c r="B4902" t="inlineStr">
        <is>
          <t>成功</t>
        </is>
      </c>
      <c r="C4902" t="inlineStr">
        <is>
          <t>［接］あるいは。または。もしくは。「コーヒーか、—紅茶か」</t>
        </is>
      </c>
      <c r="D4902" t="inlineStr">
        <is>
          <t>それとも何；それともただ；それとも単に；それともまだ；それとも別</t>
        </is>
      </c>
      <c r="F4902" t="inlineStr">
        <is>
          <t>それとももっと別；それともたんなる；それともお前さん；それともたんに；それともなにかほか</t>
        </is>
      </c>
      <c r="H4902" t="n">
        <v>29</v>
      </c>
      <c r="I4902" t="inlineStr">
        <is>
          <t>それとも中に何もつかないようなものが缶の中に入っていたのであるか。；彼は最初から存在しなかったのか、それとも煙の様に消えて了ったのか。；この結婚で子供がいなかったのか、それとも早世したのかは不明である。；夢を見ているのではないかしら、それともさっきのが幻覚であったのか。；警察に本当のことを話すか、それとも、このことはなかった事にするか。；何か考えがあるのだろうか、それとも、俺と同じでただ必死なだけなのか。；それとも、二人で一人になったと感じていた私自身がおかしいのだろうか。；それとも、犯人は新聞記者の中にまじっているとでもいうのでしょうか。；それとももっと大きな人間的なものが女の身の中に動かされるのでしょうか。；それとも、老人の笑うには、なにかしっかりした根拠があるのであろうか。；犯人は息子の復讐を狙う父親なのか、それとも他の証人の中にいるのか?；それともあっちこっち山の中を何かの御使に歩いているのかも知れません。；それとも眼が覚めてゐて眠つてゐると同じやうな気持ちなのかも知れない。；仕様通りに完成されたのか、それとも仕様自体が変更されたのかは不明である。；それとも、ある季節のみ通学する形式の学校も現存しているのでしょうか?；怒りに燃えあがったのか、それとも恐怖にたえ切れなくなったためか。；ペニイかそれともシリング一つでも、家にこんなにお金があるんだろう。；スミスが立ったままでいたのか、それとも彼もまた倒れたのかは不明である。；それとも、探偵の来たことをまったく気づかないでいるのでしょうか。；それともお前さんの店では暖簾の上に、嘘を書いて置いたつもりなのですか?；それとも、中学生はそもそもテレビを見なくなっているのでしょうか。；それとも、その経済が貧しい人々の要求に合わせ改革されていたのだろうか?；利用の仕方を知らなかったか、それとも情報を利用するのが嫌いだったのだろう。；本心からか、それとも議論の場で優位に立つ目的だったかは不明とされる。；さて、彼は本当のことを言っているか、それとも嘘をついているか?；それとも、森の中におりて、なにかたくらんでいるのではないでしょうか。；生きているのか、死んでいるのか、それとも木乃伊になっているのか。；それともかれはもう死んでいて、その魂だけが帰って来たのか。；それとも、このとっぴな行動には、何か深いわけでもあったのでしょうか。</t>
        </is>
      </c>
      <c r="J4902">
        <f>HYPERLINK("https://www.weblio.jp/content/それとも", "词义详情")</f>
        <v/>
      </c>
      <c r="K4902">
        <f>HYPERLINK("https://yourei.jp/それとも", "查看例句")</f>
        <v/>
      </c>
    </row>
    <row r="4903">
      <c r="A4903" t="inlineStr">
        <is>
          <t>それなのに</t>
        </is>
      </c>
      <c r="B4903" t="inlineStr">
        <is>
          <t>成功</t>
        </is>
      </c>
      <c r="C4903" t="inlineStr">
        <is>
          <t>［接］そうであるのに。それだのに。「努力はしている。—報われない」</t>
        </is>
      </c>
      <c r="D4903" t="inlineStr">
        <is>
          <t>それなのになぜ；それなのにどうして；それなのにあなた；それなのに今；それなのに僕</t>
        </is>
      </c>
      <c r="F4903" t="inlineStr">
        <is>
          <t>ああそれなのに；それなのに何故か；それなのになんで；それなのにあえて；それなのにあいつ</t>
        </is>
      </c>
      <c r="H4903" t="n">
        <v>29</v>
      </c>
      <c r="I4903" t="inlineStr">
        <is>
          <t>それなのにいったいどうやってこの人に渡すことができたと言うんだね?；それなのに、何故彼らの集結地が他にも存在し得ると判断出来るのかな?；それなのに、僕はそのためにどんなに苦しい思いをしたか分らないのだ。；それなのに、ぼくは世界じゅうのどこよりもここが安全だと思っていた。；それなのに、何故今のわれわれは野蛮人のような反応を示しているのか?；それなのに今、おまえはおれ達にこのようなことをしようとするのか?；それなのに、兵士はあいかわらず猫に食べさせるものの心配をしました。；それなのにこの世であり得ざる幻を描いて喜んだり悲しんだりしてゐる。；それなのに私はなぜまだ生きているのだろうかとヘレネは自問自答する。；それなのにどうしてこんなことをしたのか、どう考えてみてもわからない。；それなのに男は、彼女が隠れた場所を見つけずに通りすぎてしまった。；それなのに先生は私の手をとって、ゆるやかな坂道をおりてゆきました。；それなのに許される乗員がずっと少ないというのはどういうわけなのか。；それなのに、こぎ手たちはただ速度を増すような格好をしただけである。；それなのに人間たちはかれらを毛皮を取るための動物としか見ていないのよ。；それなのになにもこんな寒いところで顔あわせをすることもないだろう?；それなのにここでは男女を問わず世話をしなければならなかった。；それなのに、どういうわけか、彼はひどい吐き気を感じていたのである。；それなのにヴォルダイはかれに実現不可能な要求をつきつけたのである。；それなのに人を傷つけて喜んでいるのは、あのひとが不幸だからなのです。；それなのに彼は、本気で警察へ出頭しようと考えたこともあったのだ!；それなのにわかっていることといったら、最初から少しも増えていないのだ。；それなのに未だに正しい認識がそれに向って加えられてはいないのです。；それなのにこっちの肺腑へ忍びこむような圧力が彼の姿から押してくる。；それなのに、いまはみすかすことができるくらいになってしまっている。；それなのにぼくたちはそのはじめの三つまでやりそこなったんだ。；それなのに、手の形島ではどうして同じことをしなかったんだろう。；それなのにどうしてそういう人が僕たちとけんかをせねばならないのですか?；それなのにその上その人は自分のほうから私の住まいを訪ねてきてくれたのだ。</t>
        </is>
      </c>
      <c r="J4903">
        <f>HYPERLINK("https://www.weblio.jp/content/それなのに", "词义详情")</f>
        <v/>
      </c>
      <c r="K4903">
        <f>HYPERLINK("https://yourei.jp/それなのに", "查看例句")</f>
        <v/>
      </c>
    </row>
    <row r="4904">
      <c r="A4904" t="inlineStr">
        <is>
          <t>それなら</t>
        </is>
      </c>
      <c r="B4904" t="inlineStr">
        <is>
          <t>成功</t>
        </is>
      </c>
      <c r="C4904" t="inlineStr">
        <is>
          <t>［接］そういうことなら。それでは。「面会できないのですね。—帰ります」</t>
        </is>
      </c>
      <c r="D4904" t="inlineStr">
        <is>
          <t>それならそれ(5%)；それならいい；それならなぜ；それなら私；それならいっそ</t>
        </is>
      </c>
      <c r="E4904" t="inlineStr">
        <is>
          <t>では；それでは；そんなら；しからば</t>
        </is>
      </c>
      <c r="F4904" t="inlineStr">
        <is>
          <t>西島それなら；英次それなら；ジュリエットそれなら；広次それなら；千代子それなら</t>
        </is>
      </c>
      <c r="H4904" t="n">
        <v>29</v>
      </c>
      <c r="I4904" t="inlineStr">
        <is>
          <t>それなら一人が二人と三人になろうとお互いに抵触するものであるまい。；それなら小さな病院かというと、アパートよりも大きいぐらいの建物だ。；それなら、君のこの僕を信用するといふ根拠はいつたいどこにあるんだ!；わたしのために、それなら言わないと約束し、それを守ってくれました。；それなら何が好きなのかというと別にこれといって好きなものもないらしい。；つまりそれなら馬車会社の馬丁になるのがこの人の理想にかなっている。；それなら自分には声も立てずに我慢が出来るように思われたからだ。；それなら、ほかの方法で私たちの結婚のことを知ってもらえないかしら?；それならそれとして、やっぱりあれは私たちを考えさせる一ことであった。；それならそれがどんな作用をするものであるか、いまにおわかりでしょう。；それならどうして、小女王にあたしの考えていることがわかったのだろう?；それなら、その言葉つきが極めて自然で、厭味がないからだと云ふのか。；それならどうして私に、時と処とを超越した美の存在などが信じられやう。；それなら、僕のような人間のある事も、すぐに理解出来そうなもんだ。；それなら、彼等に代る社会施設なり、専門の指導者なりを作つたらよい。；それなら月給はどうするかというと、それは満遍なく取っているそうだ。；それならばこうしたことを常に感ずるような人間は不具なのかも知れぬ。；それなら、その声に応じてすぐ出て行くのかと思うと、そうでもなかった。；それなら約束して置いてくれるだろうと思って、申込の手紙を書いた。；それならちょうどからだにいい軽い運動になり、害にはならないからだ。；それならまたそれで、持ってくる荷物も変ってくるでしょうからね。；それなら見物はそれで満足してゐるかといふと、必ずしもさうでない。；それならそれがこの夢を呼出した一つの種だろうということになった。；しかし、それならそれで佐古は一層腹を立てたところだったかも知れない。；それならそう云いたまえ、僕の方にもまた手加減があるんだ、どうだね。；早田 なんだ、それならそれと早く言え、尻の方からなんぞ登って来て!；それなら月給は何うするかといふと、それは滿遍なく取つて居るさうだ。；それなら非決定的の自由とは思考ではなく、その放棄であろうか。；ちよつと何か話しかけて見たいやうな氣もするが、それなら今のうちだ。</t>
        </is>
      </c>
      <c r="J4904">
        <f>HYPERLINK("https://www.weblio.jp/content/それなら", "词义详情")</f>
        <v/>
      </c>
      <c r="K4904">
        <f>HYPERLINK("https://yourei.jp/それなら", "查看例句")</f>
        <v/>
      </c>
    </row>
    <row r="4905">
      <c r="A4905" t="inlineStr">
        <is>
          <t>それなり</t>
        </is>
      </c>
      <c r="B4905" t="inlineStr">
        <is>
          <t>成功</t>
        </is>
      </c>
      <c r="C4905" t="inlineStr">
        <is>
          <t>読み方：それなり
１その状態のままで変わらないこと。そのまま。それきり。副詞的にも用いる。「交渉は—で進展がない」「交信は—とだえている」
２いちおうそれはそれとして認められること。それ相応。「話し合えば—の成果はある」</t>
        </is>
      </c>
      <c r="D4905" t="inlineStr">
        <is>
          <t>それなりに楽しい；それなりにうまく；それなりに美しい；それなりに良い；それなりに面白い</t>
        </is>
      </c>
      <c r="E4905" t="inlineStr">
        <is>
          <t>かなり；相当；なかなか；ずいぶん；結構</t>
        </is>
      </c>
      <c r="F4905" t="inlineStr">
        <is>
          <t>それなりに仲良く；それなりの秩序；それなりの広；それなりに忙しい</t>
        </is>
      </c>
      <c r="H4905" t="n">
        <v>29</v>
      </c>
      <c r="I4905" t="inlineStr">
        <is>
          <t>各学校毎や複数校が連携する形でそれなりにクラブが設けられている。；表家業は腕が良いとそれなりに評判のようで、よく治療客が訪れている。；そういう人たちがそれなりに生きていくことを僕は決して否定しない。；しかし、以下のようにそれなりに高い利用価値をもっている種もある。；俳優といっても、分野ごとにオーディションもそれなりに異なっている。；要所を任されていることからも、それなりの地位にあったと考えられる。；中世には各地に経塚が作られ、それなりの勢力を持つ土豪が現れ始める。；前からの攻めにはそれなりに強いが、横からの攻めには非常に弱い。；口に出すことは少ないが、身長が低いことをそれなりに気にしている。；貧打のチームではそれなりの成績を残したが、この年限りで引退した。；県代表選手も出していることからそれなりのレベルを持っているようである。；批評家からはやや否定的な評価をされたがそれなりの興行収入を得た。；その分使いこなせれば全シリーズ通してそれなりに強力な性能である。；当時周作人はそれなりに名を知られていたが、魯迅はまだ無名であった。；ルールが日本のものにかなり近い国と、それなりに異なる国がある。；また万が一の時のための保証金などそれなりの金銭的費用を必要とする。；家族はみな勝手気ままだったがそれなりに幸せな生活を手に入れる。；シーズンにはそれなりに人が訪れるがやはり渋滞が起きることは稀である。；ただし、強力な鎧を身に着けるにはそれなりの能力や技能が必要となる。；また、公園などの形で残された緑地にはそれなりに様々な生物が住んでいる。；方策については専門家ごと、立場ごとに見解がそれなりに分かれている。；それなりに幸せな生活を送っていたが、子供が出来ずに悩んでいた。；将来のこともそれなりに考えており、臨床心理学に興味を持っている。；飼いやすい犬種だが比較的活発な気質で、それなりの運動が必要となる。；もう一つの環礁にはとカノベ島などのそれなりに大きな島が存在する。；この隙間は身を隠すのに適当でないし、それなりに疑われるかもしれない。；花は小さいが、密生して多数が咲いている様子はそれなりに目を引く。；とはいえ、NPを中心に置いた上でそれなりに体系があるのも事実である。；船舶においては、それなりの衝撃を感じ、船が破壊されるケースもある。</t>
        </is>
      </c>
      <c r="J4905">
        <f>HYPERLINK("https://www.weblio.jp/content/それなり", "词义详情")</f>
        <v/>
      </c>
      <c r="K4905">
        <f>HYPERLINK("https://yourei.jp/それなり", "查看例句")</f>
        <v/>
      </c>
    </row>
    <row r="4906">
      <c r="A4906" t="inlineStr">
        <is>
          <t>それに</t>
        </is>
      </c>
      <c r="B4906" t="inlineStr">
        <is>
          <t>成功</t>
        </is>
      </c>
      <c r="C4906" t="inlineStr">
        <is>
          <t>［接］
１そのうえ。それに加えて。「晴れたし、—風もない」
２そうであるのに。それなのに。
「殿上の台盤には人もつかず。—、豆一盛りやをらとりて」〈枕・一〇八〉
３それにより。その結果。
「右大臣(みぎのおとど)にまかせ申すとだに言ひやり給はざりければ、—こそ菅原の大臣御心のままにまつりごち給ひけれ」〈大鏡・時平〉</t>
        </is>
      </c>
      <c r="D4906" t="inlineStr">
        <is>
          <t>それにまた(2%)；それにもう；それにわたし；それにあなた；それに僕</t>
        </is>
      </c>
      <c r="E4906" t="inlineStr">
        <is>
          <t>そこへ</t>
        </is>
      </c>
      <c r="F4906" t="inlineStr">
        <is>
          <t>それに加うる；それになんといって；それに向つて；それに追い打ちをかける；それにもか</t>
        </is>
      </c>
      <c r="G4906" t="inlineStr">
        <is>
          <t>それにしてもこの</t>
        </is>
      </c>
      <c r="H4906" t="n">
        <v>29</v>
      </c>
      <c r="I4906" t="inlineStr">
        <is>
          <t>それにハイデッガーが何に典拠を求めていたかを知ればやや納得もいく。；それに反発した彼は総合芸術として映像分野に興味を示すようになった。；それに人と比べて自分がどうだとかすぐ気にする人間になってほしくない。；それに関連してアメリカ合衆国で行われた一連の裁判についても説明する。；それに比例して党に寄せられた寄付金もこれまでになく渋い額となった。；それにルパンが触れてしまったことで大爆発を起こし、東京が壊滅する。；それに特別の技術を使用することもあれば、そうでないこともある。；それに自身よりも上の人が誰も主人公をやっていなかったら寂しい。；それに付随する形で自然と出版文化も起こることとなったのである。；それにあおいがまだ順正のことを好きでいるはずはないと思っていた。；それに刺激されたのか、ジョエルはますますSEXしたくなってしまう。；それに、標準FATもを補修または再使用するのに用いることができる。；それに白秋の生活を金銭的に支えて来た弟らが反発し、章子を非難する。；それにロクセットの音楽を愛してくれている人が世界中に何百万人もいる。；それに気をよくし、しばらくの間はイギリスを本拠地として活動する。；それに対応するために楽器の構造や仕様に手が加えられた。；それに感動した中村はその場で友人に電話を掛け、一台のワゴン車を購入。；それに抵抗して戦ったマルタ騎士団がこの地の名前を有名にした。；それに彼女は道徳的にも問題あり、でも誰も何も言わないんだよね。；それに初めての芝を気にしたのか、直線で追ってもあんまり延びない。；それに関連して、入退場に対する警備強化をする方針であると報道された。；それに竹を細く割ることも削ることも比較的簡単なために量産ができる。；それにともない10月9日、田中がグループを脱退したことが発表された。；それに色んな男に言い寄られた上に山崎にまで言い寄られたら嫌だろう。；それに正解であれば、そのペアの優勝となってゲームが終了となった。；それに限界が生じたため、交通の需要側からの対応という発想が生まれた。；それに付随して、多くの思想がアジア諸国の人々に知られるようになった。；それに、太師こそが造反を考えているのでないとも限らないでしょう!；それに当初任命されたのは帝国ミニステリアーレ出身者であった。</t>
        </is>
      </c>
      <c r="J4906">
        <f>HYPERLINK("https://www.weblio.jp/content/それに", "词义详情")</f>
        <v/>
      </c>
      <c r="K4906">
        <f>HYPERLINK("https://yourei.jp/それに", "查看例句")</f>
        <v/>
      </c>
    </row>
    <row r="4907">
      <c r="A4907" t="inlineStr">
        <is>
          <t>それにしては</t>
        </is>
      </c>
      <c r="B4907" t="inlineStr">
        <is>
          <t>成功</t>
        </is>
      </c>
      <c r="C4907" t="inlineStr">
        <is>
          <t>［接］前に述べた事柄から当然予想されるような結果になっていないことを次に述べる意を表す。「今日は日曜日なんだが、—人出が少ない」</t>
        </is>
      </c>
      <c r="D4907" t="inlineStr">
        <is>
          <t>そこ</t>
        </is>
      </c>
      <c r="H4907" t="n">
        <v>29</v>
      </c>
      <c r="I4907" t="inlineStr">
        <is>
          <t>それが原因で喧嘩になることもあったが、負けたことがなかったという。；ぼくたちは時といっしょに地球のまわりを飛んでいさえすりゃいいんだ。；表面にマグネタイトを形成する方法が一般的だがまったく充分ではない。；この病気に襲われた人々の中で、お前ほど楽にすんだ者はあんまりない。；当時、ドイツには新体制を構築しようとする帝国改造が求められていた。；この子供向け漫画を中心とした第 2期の活動は1966年まで続いた。；多くの場合、彼は現在の協力者に次にどこを訪問すればよいか尋ねていた。；北米やオーストラリアなど多くの国でそれに準じた処分が行われている。；一人はむかい岸にすんでいる商人で、一人はこの村の百姓の娘であった。；そうすりゃ噂をまいた本人がきっと赤面してしまうにちがいありません。；いずれにしろ幕府が特例を認めなければ現在の八代城は存在しなかった。；あなたがゆっくり横になりながら答えを見出して下すったらと思います。；ぼくは少し先で車をとめ、煙草を一本すってから、急いで船へもどった。；しかし、いつどのように活動が変化するかを予測することは非常に難しい。；そういうところが、異常があったら報告しろと言って頂けるでしょうか?；が、まず猫ほどではないにしろ、勝手の違う気だけは起ったはずである。；この段階になればもはや事態を収拾しようとすることは極めて困難となる。；そうすりゃ手で働くより頭を使った方がどんなに得だかわかるだろう。；演奏がすんで廊下に出ると、一人の貴族がヘンデルの肩を叩いて言った。；いずれにせよ日韓双方の記録が秀吉軍の入城を前に消失したとしている。；そうすりゃ当日はこの男を牡牛のように大奮闘させてお目にかけますよ。；プログラムが正しいことを確認するには、それを証明しなければならない。；しかしどちらにしろ人生は結局さううまく行くものではないらしい。；いずれにせよ少しでも怪しいと感じたら絶対に借りないことが第一である。；用語「ヨーロッパ」は、歴史が展開する中で使われ方が様々に発展した。；用語「ヨーロッパ」は、歴史が展開する中で使われ方が様々に発展した。；いわゆる電子ガジェット類に機能の一つとして付属している場合もある。；休刊と称していても、実際には復活せずそのまま廃刊となることも多い。；実は、分割の大きさを極限で とすれば積分を定義するのに十分である。</t>
        </is>
      </c>
      <c r="J4907">
        <f>HYPERLINK("https://www.weblio.jp/content/それにしては", "词义详情")</f>
        <v/>
      </c>
      <c r="K4907">
        <f>HYPERLINK("https://yourei.jp/それにしては", "查看例句")</f>
        <v/>
      </c>
    </row>
    <row r="4908">
      <c r="A4908" t="inlineStr">
        <is>
          <t>それにしても</t>
        </is>
      </c>
      <c r="B4908" t="inlineStr">
        <is>
          <t>成功</t>
        </is>
      </c>
      <c r="C4908" t="inlineStr">
        <is>
          <t>［接］それはそれとして認めるとしても。それはそうだとしても。「—困ったことになったね」</t>
        </is>
      </c>
      <c r="D4908" t="inlineStr">
        <is>
          <t>それにしてもなぜ；それにしてもどうして；それにしても不思議；それにしても今日；それにしてもなんと</t>
        </is>
      </c>
      <c r="F4908" t="inlineStr">
        <is>
          <t>それにしても金田一耕助；それにしてもなんという；それにしても解せ；それにしてもいつの間に；それにしても凄い</t>
        </is>
      </c>
      <c r="H4908" t="n">
        <v>29</v>
      </c>
      <c r="I4908" t="inlineStr">
        <is>
          <t>だがそれにしても自分たちの性に合った方向だけは取っていたであろう。；だがそれにしてもその部屋へは、どうしてどこから入って行くのだろう?；それにしてもどうして俺がここへはいったことを知っていたのだろう。；それにしても自分の趣味から見るとやはりいったいに芝居をし過ぎる。；それにしても青木等の早い結婚は、どんな風にして結ばれたのであろう。；それにしても早瀬へ遊びに行くと云う君に、よく故障を入れなかったね。；それにしてもその身は何んなに辛い生また死の心の境を通過して来たらう?；それにしてもどうして人猿達が遙拝の仕方などを知っているのであろう?；一時的なものだろうと思ったが、それにしても暗い影がおれの心にさした。；それにしても、人間にわかるような言葉を使っているのはなぜであろうか?；それにしてもそれだけの事を家の人に気づかれないでよくやったものねぇ。；それにしても、こんなところに本当に来て住んでゐられたのですかね?；それにしても源女殿はどこでどうしてその後の歌を覚えたかとな。；それにしても日々に増して行く書籍の将来はどうなるであろうか。；それにしてもかの女は一度だつてそのやうなことを想像したことがあるだらうか。；それにしても、彼女はもう死んでしまって、用は済んでいるはずである。；それにしても、なぜ彼等は外へ逃げないで、奥の方へ走って来たのか。；それでやや安心したが、それにしても彼はどこへ行ったのであろう。；それにしても、わたしたちの弱点は歴史精神に欠けていたことであった。；それにしても村の人の生活をこんなに惨めにするものは何であろう。；それにしても、現在の宗教になんの力もないといふのではありません。；それにしても、この男は、なんというへんな顔をしているのでしょう。；それにしても、死んだ筈の機関大尉が、どうして生きていたのだろう。；それにしてもお石は、あの三俵の米をどこへ持つて行くのであらうか?；それにしても僕の大好きなあのいい先生はどこに行かれたでしょう。；それにしても、明智は、どうしてふたりになることができたのでしょう。；それにしても気になるのは、これが大作主義的に作られていることだ。；それにしても名も素性も判らない男の死骸の始末には困ったのであった。；それにしても、高島がお吉に預けて置いた疑問のふた品はなんであろう。</t>
        </is>
      </c>
      <c r="J4908">
        <f>HYPERLINK("https://www.weblio.jp/content/それにしても", "词义详情")</f>
        <v/>
      </c>
      <c r="K4908">
        <f>HYPERLINK("https://yourei.jp/それにしても", "查看例句")</f>
        <v/>
      </c>
    </row>
    <row r="4909">
      <c r="A4909" t="inlineStr">
        <is>
          <t>それは</t>
        </is>
      </c>
      <c r="B4909" t="inlineStr">
        <is>
          <t>成功</t>
        </is>
      </c>
      <c r="C4909" t="inlineStr">
        <is>
          <t>読み方：それは
［連語］その物事に対する感動などが、形容のしようもないほどであったときに用いる語。なんとも言えず。「旅行中は—楽しい毎日でした」</t>
        </is>
      </c>
      <c r="D4909" t="inlineStr">
        <is>
          <t>それ以外；それ以上；それだけ；それ以前；それゆえ</t>
        </is>
      </c>
      <c r="E4909" t="inlineStr">
        <is>
          <t>そこ</t>
        </is>
      </c>
      <c r="F4909" t="inlineStr">
        <is>
          <t>それ相応；それよりもっと；それより早く；それぎり；それよりももっと</t>
        </is>
      </c>
      <c r="G4909" t="inlineStr">
        <is>
          <t>それから；それでも；それら；それに；それで</t>
        </is>
      </c>
      <c r="H4909" t="n">
        <v>29</v>
      </c>
      <c r="I4909" t="inlineStr">
        <is>
          <t>それが原因で喧嘩になることもあったが、負けたことがなかったという。；北米やオーストラリアなど多くの国でそれに準じた処分が行われている。；プログラムが正しいことを確認するには、それを証明しなければならない。；ただし、それは毎月作品を採用かつ量産された場合の契約条件であった。；ほぼ完成していたとされるが、それを発売中止にしての正式発売となった。；そこではまた、それまでの自身の歌詞を次のように3期に分けている。；それまでに発表してきた短編小説が加筆・修正のうえ収録されている。；そこでは金属バットが使われるのでそれに合わせて設計されている。；ピカソの最晩年の作風は、彼がそれまで経てきたスタイルの混合である。；それ以外は陝西省のように13年義務教育を実行している地域もある。；それが非常に多くのカーネル内のキャッシュミスの原因になっている。；ただし尊重すべき理由があるときはそれ以下の年齢でも認められる場合がある。；それはレーザービームのように一致し、みんな同じ方向を向いていた。；それにより教徒たちはグル・ナーナクの弟子であることを表明している。；それは、あるオブジェクトが依存しているオブジェクトのリストである。；またそれが残っている場合でも、今生きている素材のように扱うことは出来ない。；それを受けてまずジェームズ・ゴスリンがC++の拡張言語を提出した。；それ自体はインタプリタの手法とも言えるしコンパイラの手法とも言える。；それに伴いMSXによる音楽活動も比較的少数ではあるが再活発化した。；それ以前のシステムは、磁気テープへのデータの順次保存に依っていた。；それは深刻な人種問題を抱えていた当時のアメリカでは画期的なことであった。；多くの発明がそうであるように、ピアノもそれまでにあった技術の上に成立している。；警報は、重大な災害の起こるおそれのある旨を警告して行う予報である。；ビットは、それがいくつか集まった単位でまとまって扱われることも多い。；ただ、それは歌から始まったのではないかと考えられている。；それが終わったらプロジェクト期間を半分にするという。；それがつながって細い線状になったものが川である。；それをコンピュータで再現した物がコンピュータRPGとなった。；運動の変化 を運動量の変化と解釈するなら、それは力積に相当する。</t>
        </is>
      </c>
      <c r="J4909">
        <f>HYPERLINK("https://www.weblio.jp/content/それは", "词义详情")</f>
        <v/>
      </c>
      <c r="K4909">
        <f>HYPERLINK("https://yourei.jp/それは", "查看例句")</f>
        <v/>
      </c>
    </row>
    <row r="4910">
      <c r="A4910" t="inlineStr">
        <is>
          <t>それはさておき</t>
        </is>
      </c>
      <c r="B4910" t="inlineStr">
        <is>
          <t>成功</t>
        </is>
      </c>
      <c r="C4910" t="inlineStr">
        <is>
          <t>読み方：それはさておき
話題を他に転じるときに用いる。ところで。それはそれとして。閑話休題。「—個別の問題の検討に移ろう」</t>
        </is>
      </c>
      <c r="D4910" t="inlineStr">
        <is>
          <t>そこ</t>
        </is>
      </c>
      <c r="H4910" t="n">
        <v>29</v>
      </c>
      <c r="I4910" t="inlineStr">
        <is>
          <t>それが原因で喧嘩になることもあったが、負けたことがなかったという。；北米やオーストラリアなど多くの国でそれに準じた処分が行われている。；プログラムが正しいことを確認するには、それを証明しなければならない。；できるかどうかはさておき、自分が正気なのかどうかも自信がないんだ。；ただし、それは毎月作品を採用かつ量産された場合の契約条件であった。；当初は漫画の主人公の名前だったが、後にペンネームもそれへと改める。；冗談はさておき、先生に教えられて得たものは量り知ることが出来ない。；そこではまた、それまでの自身の歌詞を次のように3期に分けている。；それまでに発表してきた短編小説が加筆・修正のうえ収録されている。；異性としての感情かどうかはさておき、俺はこの人が好きなんだと思う。；そこでは金属バットが使われるのでそれに合わせて設計されている。；ピカソの最晩年の作風は、彼がそれまで経てきたスタイルの混合である。；それ以外は陝西省のように13年義務教育を実行している地域もある。；それはさておき地震の前に観察された鼠の異常行動には次のような例がある。；それが非常に多くのカーネル内のキャッシュミスの原因になっている。；ただし尊重すべき理由があるときはそれ以下の年齢でも認められる場合がある。；それはレーザービームのように一致し、みんな同じ方向を向いていた。；それにより教徒たちはグル・ナーナクの弟子であることを表明している。；それは、あるオブジェクトが依存しているオブジェクトのリストである。；またそれが残っている場合でも、今生きている素材のように扱うことは出来ない。；それを受けてまずジェームズ・ゴスリンがC++の拡張言語を提出した。；それ自体はインタプリタの手法とも言えるしコンパイラの手法とも言える。；それはさておき、いまの私は十二月の旅のことで頭がいっぱいなのである。；それはさておき、藩の経済状態は実際には決して好転していなかったのだ。；そうでなくてもどういう理由かはさておき金策に困っているらしい王なのだ。；それはさておき、この竜神館には、日奈児のほかにもう三人住んでいる。；それはさておき、私のイメージの乱れたベッドというのは常に朝である。；それに伴いMSXによる音楽活動も比較的少数ではあるが再活発化した。；それ以前のシステムは、磁気テープへのデータの順次保存に依っていた。</t>
        </is>
      </c>
      <c r="J4910">
        <f>HYPERLINK("https://www.weblio.jp/content/それはさておき", "词义详情")</f>
        <v/>
      </c>
      <c r="K4910">
        <f>HYPERLINK("https://yourei.jp/それはさておき", "查看例句")</f>
        <v/>
      </c>
    </row>
    <row r="4911">
      <c r="A4911" t="inlineStr">
        <is>
          <t>それはそうと</t>
        </is>
      </c>
      <c r="B4911" t="inlineStr">
        <is>
          <t>成功</t>
        </is>
      </c>
      <c r="C4911" t="inlineStr">
        <is>
          <t>読み方：それはそうと
話題を転じる意を表す。それはそれとして。「—、前回の旅行はどうでしたか」</t>
        </is>
      </c>
      <c r="D4911" t="inlineStr">
        <is>
          <t>そこ</t>
        </is>
      </c>
      <c r="H4911" t="n">
        <v>29</v>
      </c>
      <c r="I4911" t="inlineStr">
        <is>
          <t>それが原因で喧嘩になることもあったが、負けたことがなかったという。；北米やオーストラリアなど多くの国でそれに準じた処分が行われている。；プログラムが正しいことを確認するには、それを証明しなければならない。；ただし、それは毎月作品を採用かつ量産された場合の契約条件であった。；ほぼ完成していたとされるが、それを発売中止にしての正式発売となった。；そこではまた、それまでの自身の歌詞を次のように3期に分けている。；それまでに発表してきた短編小説が加筆・修正のうえ収録されている。；そこでは金属バットが使われるのでそれに合わせて設計されている。；ピカソの最晩年の作風は、彼がそれまで経てきたスタイルの混合である。；それ以外は陝西省のように13年義務教育を実行している地域もある。；それが非常に多くのカーネル内のキャッシュミスの原因になっている。；ただし尊重すべき理由があるときはそれ以下の年齢でも認められる場合がある。；それはレーザービームのように一致し、みんな同じ方向を向いていた。；それにより教徒たちはグル・ナーナクの弟子であることを表明している。；それは、あるオブジェクトが依存しているオブジェクトのリストである。；またそれが残っている場合でも、今生きている素材のように扱うことは出来ない。；それを受けてまずジェームズ・ゴスリンがC++の拡張言語を提出した。；それ自体はインタプリタの手法とも言えるしコンパイラの手法とも言える。；それに伴いMSXによる音楽活動も比較的少数ではあるが再活発化した。；それ以前のシステムは、磁気テープへのデータの順次保存に依っていた。；それは深刻な人種問題を抱えていた当時のアメリカでは画期的なことであった。；多くの発明がそうであるように、ピアノもそれまでにあった技術の上に成立している。；警報は、重大な災害の起こるおそれのある旨を警告して行う予報である。；ビットは、それがいくつか集まった単位でまとまって扱われることも多い。；ただ、それは歌から始まったのではないかと考えられている。；それが終わったらプロジェクト期間を半分にするという。；それがつながって細い線状になったものが川である。；それをコンピュータで再現した物がコンピュータRPGとなった。；運動の変化 を運動量の変化と解釈するなら、それは力積に相当する。</t>
        </is>
      </c>
      <c r="J4911">
        <f>HYPERLINK("https://www.weblio.jp/content/それはそうと", "词义详情")</f>
        <v/>
      </c>
      <c r="K4911">
        <f>HYPERLINK("https://yourei.jp/それはそうと", "查看例句")</f>
        <v/>
      </c>
    </row>
    <row r="4912">
      <c r="A4912" t="inlineStr">
        <is>
          <t>それはそれは</t>
        </is>
      </c>
      <c r="B4912" t="inlineStr">
        <is>
          <t>成功</t>
        </is>
      </c>
      <c r="C4912" t="inlineStr">
        <is>
          <t>読み方：それはそれは
［連語］「それは」を強めていう語。「—美しい人でした」</t>
        </is>
      </c>
      <c r="D4912" t="inlineStr">
        <is>
          <t>そこ</t>
        </is>
      </c>
      <c r="H4912" t="n">
        <v>29</v>
      </c>
      <c r="I4912" t="inlineStr">
        <is>
          <t>それが原因で喧嘩になることもあったが、負けたことがなかったという。；北米やオーストラリアなど多くの国でそれに準じた処分が行われている。；プログラムが正しいことを確認するには、それを証明しなければならない。；ただし、それは毎月作品を採用かつ量産された場合の契約条件であった。；ほぼ完成していたとされるが、それを発売中止にしての正式発売となった。；そこではまた、それまでの自身の歌詞を次のように3期に分けている。；それまでに発表してきた短編小説が加筆・修正のうえ収録されている。；そこでは金属バットが使われるのでそれに合わせて設計されている。；ピカソの最晩年の作風は、彼がそれまで経てきたスタイルの混合である。；それ以外は陝西省のように13年義務教育を実行している地域もある。；それが非常に多くのカーネル内のキャッシュミスの原因になっている。；ただし尊重すべき理由があるときはそれ以下の年齢でも認められる場合がある。；それはレーザービームのように一致し、みんな同じ方向を向いていた。；それにより教徒たちはグル・ナーナクの弟子であることを表明している。；それは、あるオブジェクトが依存しているオブジェクトのリストである。；またそれが残っている場合でも、今生きている素材のように扱うことは出来ない。；それを受けてまずジェームズ・ゴスリンがC++の拡張言語を提出した。；それ自体はインタプリタの手法とも言えるしコンパイラの手法とも言える。；それに伴いMSXによる音楽活動も比較的少数ではあるが再活発化した。；それ以前のシステムは、磁気テープへのデータの順次保存に依っていた。；それは深刻な人種問題を抱えていた当時のアメリカでは画期的なことであった。；多くの発明がそうであるように、ピアノもそれまでにあった技術の上に成立している。；警報は、重大な災害の起こるおそれのある旨を警告して行う予報である。；ビットは、それがいくつか集まった単位でまとまって扱われることも多い。；ただ、それは歌から始まったのではないかと考えられている。；それが終わったらプロジェクト期間を半分にするという。；それがつながって細い線状になったものが川である。；それをコンピュータで再現した物がコンピュータRPGとなった。；運動の変化 を運動量の変化と解釈するなら、それは力積に相当する。</t>
        </is>
      </c>
      <c r="J4912">
        <f>HYPERLINK("https://www.weblio.jp/content/それはそれは", "词义详情")</f>
        <v/>
      </c>
      <c r="K4912">
        <f>HYPERLINK("https://yourei.jp/それはそれは", "查看例句")</f>
        <v/>
      </c>
    </row>
    <row r="4913">
      <c r="A4913" t="inlineStr">
        <is>
          <t>それほど</t>
        </is>
      </c>
      <c r="B4913" t="inlineStr">
        <is>
          <t>成功</t>
        </is>
      </c>
      <c r="C4913" t="inlineStr">
        <is>
          <t>読み方：それほど
（副詞的にも用いる）
１そこに示されている程度。特に、その程度がはなはだしい場合に用いる。そのくらいまで。「—の気持ちがあればやれるだろう」「—好きなら結婚すればいい」
２（あとに打消しの語を伴って用いる）特にそれと問題になるほど。とりたてていうほど。「世間は騒いでいるが、—の事件ではない」「—気にしていない」</t>
        </is>
      </c>
      <c r="D4913" t="inlineStr">
        <is>
          <t>それほど多く(3%)；それほど高く；それほど大きく；それほど大きな；それほど遠く</t>
        </is>
      </c>
      <c r="E4913" t="inlineStr">
        <is>
          <t>そんなに；さほど</t>
        </is>
      </c>
      <c r="F4913" t="inlineStr">
        <is>
          <t>それほどでもない；それほどでもなかった；それほど離れ；それほど強い；それほど高い</t>
        </is>
      </c>
      <c r="H4913" t="n">
        <v>29</v>
      </c>
      <c r="I4913" t="inlineStr">
        <is>
          <t>ここまでの処理は便数が今ほど多くないのでそれほど問題にはならない。；シーズンも20試合の登板で前年のシーズンとそれほど変わらなかった。；このため最後のエピソードまで演じられることはそれほど多くはない。；日本ではヒットしたが、世界的にはそれほどのヒットにはならなかった。；実際、マルクスの作った詩はそれほど出来のいい物ではなかったという。；当時は俳優という仕事にそれほどの熱意を持っているわけではなかった。；海の近くに位置するが、湾の内側にあるため風の影響はそれほどない。；石から鉄になっても中実の砲弾ではそれほど使用法に変化はなかった。；なかには、彼はそれほど重要な人物ではなかったと推測する人もいる。；ほぼ全国的に存在するが温度範囲が狭い為その数はそれほど多くない。；ロマ語の音声システムはヨーロッパの言語の間ではそれほど珍しくない。；ただ、私は今でも、それほど偉かったのかどうかわからないと思います。；また詩的表現のため事実とフィクションの区別をそれほど行わなかった。；とは言え、数字的にはそれほど大きくヒットしたわけではなかった。；それほどにローバー年代の若者たちは海を越えて戦いにおもむいていた。；産業はそれほど存在せず、政治の中心としての性格が強い都市である。；熱心さはそれほど高くなかったが、ポーランドの志願兵は再度編成された。；それほど大事な業務であればソフトをもう1本買うことをなぜ惜しむのか。；そこはジェファーソンのモンティチェロからそれほど離れていなかった。；飛騨地方では南部にあたるため、積雪はあるもののそれほど多くはない。；しかしながら同作戦へのコリンズの貢献はそれほど知られていない。；ただし章炳麟の作った字をそのまま使ったものはそれほど多くない。；体つきや存在感という点では、それほど才能があったわけではないんだ。；この移行期間はそれほど長くはないが、この間の人口増加はとても激しい。；ダンロップは自らの発明からそれほどの利益を得ることはなかった。；一般的には、これらの用語は、それほど厳密に区別されずに使われている。；主要な島々には定期便があり、他の島への便はそれほど頻繁ではない。；日本ではよく見かけるが、今日の欧米ではそれほど一般的なものではない。；クレッグは、それほど間を置かず彼女が自分を愛し始めることを信じていた。</t>
        </is>
      </c>
      <c r="J4913">
        <f>HYPERLINK("https://www.weblio.jp/content/それほど", "词义详情")</f>
        <v/>
      </c>
      <c r="K4913">
        <f>HYPERLINK("https://yourei.jp/それほど", "查看例句")</f>
        <v/>
      </c>
    </row>
    <row r="4914">
      <c r="A4914" t="inlineStr">
        <is>
          <t>それゆえ</t>
        </is>
      </c>
      <c r="B4914" t="inlineStr">
        <is>
          <t>成功</t>
        </is>
      </c>
      <c r="C4914" t="inlineStr">
        <is>
          <t>読み方：それゆえ
［接］前の事柄を理由としてあとの事柄を導く。だから。「—申請を却下する」</t>
        </is>
      </c>
      <c r="D4914" t="inlineStr">
        <is>
          <t>それゆえグレナヴァン；それゆえジャイナ教；それゆえフィリアス・フォッグ；それゆえジュリアン；それゆえ吉之助</t>
        </is>
      </c>
      <c r="E4914" t="inlineStr">
        <is>
          <t>さらに；そこで；そのため；その結果；それ故</t>
        </is>
      </c>
      <c r="H4914" t="n">
        <v>29</v>
      </c>
      <c r="I4914" t="inlineStr">
        <is>
          <t>それゆえに二つの物語を一つにしたものではないか、とする声もある。；それゆえ当初はグラビア撮影などの歌に関係の無い仕事を軽視している。；それゆえに選手達の緊張の糸が切れてしまわないかが心配だったのだ。；それゆえアダルトビデオやポルノ映画などでもよく見られる描写である。；それゆえソフトウェア実装はこれらの符号位置を自由に内部使用できる。；それゆえ大規模な反応に用いる際には十分な注意が必要である。；それゆえわれわれは常に用意をしているように勧められている。；それゆえ今まで以上にインストラクターが不足しがちになってしまっている。；それゆえペナント・ナンバーは文字と数字の組み合わせになっている。；それゆえ当時惚れていた京ノ介には現在の状況は複雑な感覚とのこと。；それゆえ、ドイツの議論と英米法の法の支配との断絶が強調されている。；加えて、それゆえに実際の党組織と労働者組織は峻別されるべきだと考えた。；それゆえ、アプリケーションは伝統的な意味ではインストールされない。；それゆえにエゼルウルフは、即位や結婚でキリスト教式の方法をとった。；それゆえ増備はされず、連接車の本格導入へと計画自体が変更された。；それゆえにチームとしては復帰は決して歓迎できるものではなかった。；それゆえ、障害をもつ人が自分の好みに合わせてプログラムを選ぶことができる。；だがそれゆえに困っている人間や妖怪を放っておけないお人よしな所がある。；それゆえ池田を内心では尊敬していなかったのが大きな理由だといわれていた。；それゆえ、しばしば批判に晒される事となり、透明性が求められている。；それゆえ発言力も強く、政策や軍の作戦行動に口を挟むことも少なくない。；それゆえ、ハプニング発生前のコミュニケーションが重要な要素となる。；それゆえ、彼らの功績を記述するとき、しばしばタイトルの数に加えられる。；しかしそれゆえに子孫は地方に下り在地の豪族になったともいえる。；それゆえ各種サービスはそれらを対象としたものが多い。；それゆえこの江戸初期に集中して、新家の設立が多く行われたものと思われる。；逆に言えばそれゆえに研究が遅れている分野でもある。；それゆえこれ以上先に進みたくないと思ったのだろう。；それゆえ、古典派経済学では一国の生産水準は供給によって決定される。</t>
        </is>
      </c>
      <c r="J4914">
        <f>HYPERLINK("https://www.weblio.jp/content/それゆえ", "词义详情")</f>
        <v/>
      </c>
      <c r="K4914">
        <f>HYPERLINK("https://yourei.jp/それゆえ", "查看例句")</f>
        <v/>
      </c>
    </row>
    <row r="4915">
      <c r="A4915" t="inlineStr">
        <is>
          <t>それる</t>
        </is>
      </c>
      <c r="B4915" t="inlineStr">
        <is>
          <t>成功</t>
        </is>
      </c>
      <c r="C4915" t="inlineStr">
        <is>
          <t>読み方：それる
［1847〜1922］フランスの社会思想家。サンジカリスムの理論的指導者で、議会主義の偽善に対して、暴力の倫理性を説いた。著「暴力論」など。</t>
        </is>
      </c>
      <c r="F4915" t="inlineStr">
        <is>
          <t>見それる；大きくそれる</t>
        </is>
      </c>
      <c r="H4915" t="n">
        <v>29</v>
      </c>
      <c r="I4915" t="inlineStr">
        <is>
          <t>二人は、凍りついたように動きを止めて、蛇の注意がそれるのを待った。；少し横道にそれるが、国民性の差を科学と産業の面で見ることができる。；数分の間は、たぶんどこかほかの道にそれるものと考えておりました。；このままだと少し西にそれるが、まったく逆の方向に向かっているわけではない。；今これを読んでやったら、女の注意がそれるだろう、と彼は思った。；このままだと、タラナックへの直通ルートからそれる一方だったからだ。；次の話は少しわき道にそれるけれど、ここにお話するだけの値打がある。；話はそれるが、昭和三十年代はテレビの普及の時代でもあった。；話はいささかそれるのだが、その経緯が面白いので、それを紹介しておきたい。；少年がすぐそばまでやってきたところで、ふと、少女の視線が少年からそれる。；話はそれるけれども、教会の信徒たち数人が私の事務所を訪れたときのこと。；宗教の差か、文化の差か、これを調べはじめると、また横にそれる。；途中で誰かに会って何か尋ねたら風が吹いている方向から横にそれるまで答えてはならない。；少し行くと渓流は右へ鋭く屈曲して崖下へ向かい、道のほうは左手にそれる。；畔上も射ち返してくるが、動揺しているので弾は私をはるかにそれる。；なぜなら一人の矢が先に石に当れば、石は横にそれるから、後の矢は当らない。；脇へとそれる道を見つけると、ついふらふらと入っていきたくなるんですよね。；やがて話がほかにそれると、侍座に佇っていた楊曁はどこかへ立ち去った。；人は、才能が大きければ大きいほど、わき道へそれる可能性も大きいのだ。；話はそれるが人類は火の利用法を身につけることで、はじめて文化的な向上をたどりはじめた。；ここでちょっと話が脇道へそれることを許していただきたい。；話は少しそれるが、私の母方の祖父は越後長岡藩の百五十石の武家の子であった。；また話が少しそれるが、日本の教育における暗記の強制は困ったものだ。；それを回避し、ついでに人の住むこぼれ山からわずかにそれるよう誘導してやる。；日記の書き方を変えようと思うが、結局関心事からそれることは出来ない。；ですから、その発散の方向がちょっとでもそれると喧嘩になってしまいます。；軌道後方からISSに向かって加速すれば、速度が上がったぶん船は上にそれる。；スピードを出していたせいで、車体が大きく右にそれる。；それれはなにかの文字を組み合わせたように見えた。</t>
        </is>
      </c>
      <c r="J4915">
        <f>HYPERLINK("https://www.weblio.jp/content/それる", "词义详情")</f>
        <v/>
      </c>
      <c r="K4915">
        <f>HYPERLINK("https://yourei.jp/それる", "查看例句")</f>
        <v/>
      </c>
    </row>
    <row r="4916">
      <c r="A4916" t="inlineStr">
        <is>
          <t>揃う</t>
        </is>
      </c>
      <c r="B4916" t="inlineStr">
        <is>
          <t>成功</t>
        </is>
      </c>
      <c r="C4916" t="inlineStr">
        <is>
          <t>読み方：そろう
［動ワ五（ハ四）］
１二つ以上のものの、形・大きさなどが同じになる。「粒が—・う」「高さの—・った家並み」
２整然と並ぶ。「机が一列に—・う」
３全体が一つにまとまる。調和する。「足並みが—・う」「合唱の声が—・う」
４必要なもの、あるべきものが集まる。欠けたところなく備わる。「条件が—・う」「資料が—・う」「走、攻、守の三拍子が—・った選手」</t>
        </is>
      </c>
      <c r="D4916" t="inlineStr">
        <is>
          <t>揃う確率；揃うと大当たり；揃うとスペシャルボーナス</t>
        </is>
      </c>
      <c r="E4916" t="inlineStr">
        <is>
          <t>組；セット；組み；一組；揃い</t>
        </is>
      </c>
      <c r="F4916" t="inlineStr">
        <is>
          <t>生え揃う；全て揃う；全員揃う；打揃う；全部揃う</t>
        </is>
      </c>
      <c r="H4916" t="n">
        <v>29</v>
      </c>
      <c r="I4916" t="inlineStr">
        <is>
          <t>一面の色と同時に、その側面の色も揃った状態のことを完全一面と呼ぶ。；さらにはまた、その両方の条件が揃わなければならないのかもしれない。；どのような役を揃えていてもこれ以外の項目が表示されることはない。；エトは全員が揃うのを待って、仲間に自分の聞いたことをすべて話した。；明日中には、気取られることもないまま十分な数の仕掛けが揃うだろう。；その情報から重大事故と判断された場合には以下の物品を揃えて出場する。；製品の品揃えは、電話と軍事エレクトロニクスを中心に拡大していった。；彼ら全員がいつも揃うわけではなく、会場によってメンバーは変化した。；魔法を使用する場合には対応する試薬を全て揃えておかなければならない。；いくら理想的な計画も材料が揃わなければどうすることもできない。；一本の矢に使う羽は裏表を同じに揃えられるため、矢には二種類できる。；今作からソフトを一つ買うだけですべてのカードが揃うようになっている。；会社が多かっただけではなくそれぞれが同じような品揃えであったからである。；そのためメンバー全員が揃うのは本拠地開幕戦や最終戦などに限られる。；大きさや形が揃っていると、プロのように見た目のよい出来栄えとなる。；会が始まる前に五人全員揃う機会は、今を逃すともうないかもしれない。；以後の作品はソフトを一つ買うだけですべてのカードが揃うようになっている。；解散後、5人全員が揃ってファンの前に立ったのはこれが初となった。；奴隷の船輸送をする商人はその港で各地からの奴隷の頭数が揃うまで待った。；このような条件が揃った区域にそれぞれが巣穴を掘り、集団で生活する。；だってやっぱ、俺ら四人が揃わないと、バンド始める意味がないからな。；これらの建物は、前述の建築指示により軒高が揃うように建設されている。；妹たちとは、テレビやイベントで揃って共演したことが何度かある。；記事が揃わないから次号の発行を遅らせようかと云う話も実際に出てます。；現代の製図ペンは多様な線幅のペン先が揃えられているのが一般的である。；これらは、戦前、井上が海軍将官であった時に買い揃えたものであった。；参加部隊には入れ替わりがあり、同時期に全部が揃ったわけではない。；全ての材料を揃えたら商店街に設置してあるキッチンで料理を開始し。；構造そのものは非常に簡単で、材料が揃えば半日から一日で製作可能。</t>
        </is>
      </c>
      <c r="J4916">
        <f>HYPERLINK("https://www.weblio.jp/content/揃う", "词义详情")</f>
        <v/>
      </c>
      <c r="K4916">
        <f>HYPERLINK("https://yourei.jp/揃う", "查看例句")</f>
        <v/>
      </c>
    </row>
    <row r="4917">
      <c r="A4917" t="inlineStr">
        <is>
          <t>揃える</t>
        </is>
      </c>
      <c r="B4917" t="inlineStr">
        <is>
          <t>成功</t>
        </is>
      </c>
      <c r="C4917" t="inlineStr">
        <is>
          <t>読み方：そろえる
［動ア下一］［文］そろ・ふ［ハ下二］
１二つ以上のものの、形・大きさなどを同じにする。「ひもの長さを—・える」「彼とセーターの柄を—・える」
２（二つ一組みのものなどを）きちっと整った状態にする。整然と並べる。「脱いだ履物を—・える」「両手をひざの上に—・える」
３全体を一つにまとめる。調和させる。「口を—・えて反対する」「色調を—・える」
４必要なもの、あるべきものを集める。欠けたところがないようにする。「スタッフを—・える」「機材を—・える」「耳を—・えて借金を返す」</t>
        </is>
      </c>
      <c r="D4917" t="inlineStr">
        <is>
          <t>揃えるサブステップ；揃えるべき</t>
        </is>
      </c>
      <c r="E4917" t="inlineStr">
        <is>
          <t>配置；整理；集合；集める；アレンジ</t>
        </is>
      </c>
      <c r="F4917" t="inlineStr">
        <is>
          <t>切り揃える；全て揃える；つ揃える；すべて揃える；きちんと揃える</t>
        </is>
      </c>
      <c r="H4917" t="n">
        <v>29</v>
      </c>
      <c r="I4917" t="inlineStr">
        <is>
          <t>第2次車製造時に各編成の番号を揃えるため以下の改番が行われている。；時間がなくて手榴弾などの爆発物はほとんど揃えることができなかった。；その味は口にした誰もが「おいしい」と声を揃えるほどの美味とのこと。；これらの条項を遺憾なく揃えるためには過去の文学を材料とせねばならぬ。；こんな粗末な道具ばかりを揃えるのにさえ彼は少からぬ時間を費やした。；犯罪集団が襲撃や摘発に備え拠点の防衛を行う人員を揃えることがある。；三割打者をズラッと揃えるなんてことは勝負の面では危険だと知るべし。；これだけの物を揃えるのに弟子の頃から金を溜め続けて十年かかった。；気にはなったが、先に着替えのスーツとワイシャツを揃えることにした。；三十六種を完全に揃えることは容易でないが、四百種くらいはあるらしい。；このとき司令官から可能な限りタータンを揃えるよう命令が下されている。；居住国の生活など日本で聞かれそうな質問を予想して調べたり資料を揃える家庭もある。；あのヤヨイの夫の事件以来、四人が顔を揃えることはなくなっている。；準備をしたり、必要な人を揃えるのに一時間ぐらいかかるでしょう。；内容は変更が無いが、それぞれを単品で揃えるよりも価格が抑えられている。；彼がしたのは、彼女にいわれるまま、いくつかの書類を揃えることだけだった。；その時になって騒いでも、すぐそれだけの刀を揃えることはできぬ。；複数の環境を比較する場合はバージョンを揃える必要がある。；人影はふたたび空中で停止して両手を前に揃えると丁寧にお辞儀をしてみせた。；また体力系のゲームで不利にならないよう男女を同数に揃える場合もある。；表面に銀片を貼り付けてあるものが多く、重さを揃えるためだったとされる。；それでこの両者を同次元に揃えるために個体維持的という立場をとってみよう。；通常のRPGでは、特定の状況を揃えることでイベントが発生する。；したがって最新鋭の機械を揃えるには、欧米から購入しなければならない。；再度買い揃えるのもばからしく、結局図書館に足を運ぶしかなかったのだ。；製造設備を揃えるための資金は政府側から提供された。；日本の庭園術が入ってくるまでは、木を切り揃えることなどありませんでしたから。；やがて彼女は両手を膝の上に揃えると暫くの間凝っと項垂れていた。；このように一つのエネルギー準位に揃えることを光ポンピングという。</t>
        </is>
      </c>
      <c r="J4917">
        <f>HYPERLINK("https://www.weblio.jp/content/揃える", "词义详情")</f>
        <v/>
      </c>
      <c r="K4917">
        <f>HYPERLINK("https://yourei.jp/揃える", "查看例句")</f>
        <v/>
      </c>
    </row>
    <row r="4918">
      <c r="A4918" t="inlineStr">
        <is>
          <t>そろそろ</t>
        </is>
      </c>
      <c r="B4918" t="inlineStr">
        <is>
          <t>成功</t>
        </is>
      </c>
      <c r="C4918" t="inlineStr">
        <is>
          <t>［副］
１動作が静かにゆっくりと行われるさま。そろり。「—（と）歩く」「幕が—（と）上がる」
２ある時期・状態になりつつあるさま。ぼつぼつ。「話が—佳境にはいってきた」「—出かけよう」</t>
        </is>
      </c>
      <c r="D4918" t="inlineStr">
        <is>
          <t>そろそろ帰ろ；そろそろ終わり；そろそろ帰る；そろそろ行か；そろそろ行く</t>
        </is>
      </c>
      <c r="E4918" t="inlineStr">
        <is>
          <t>もう；近く；やがて；ゆっくり；じっと</t>
        </is>
      </c>
      <c r="F4918" t="inlineStr">
        <is>
          <t>そろそろ帰り；そろそろ暗く；そろそろ来る；そろそろお嫁さん；そろそろ戻りましょ</t>
        </is>
      </c>
      <c r="H4918" t="n">
        <v>29</v>
      </c>
      <c r="I4918" t="inlineStr">
        <is>
          <t>が言訳はこのくらいでたくさんでしょうからそろそろ先へ進みましょう。；ところがそのうちにそろそろ北海道の早い木枯が吹き始める頃になった。；もっとも最近では、高校にもそろそろ錬成の風が吹きこんできたようだ。；そろそろ料理人部屋へ帰って行って荷造りの真似でもやることにしよう。；私もそろそろ本気に仕事したいから家が見つかってくれるといいと思います。；車がそろそろ動き出すとついて来る人のいろいろの足音が聞え出した。；川を渡ったりしてそろそろのぼりになりかけると、細い雨が降って来た。；帰り途にはそろそろもう収穫をせんならん程作物が大きくなつとるだよ。；私の小説は、やっときょうあたりからそろそろあらわれ始める様子です。；この経験がそろそろ我々から無くなろうとするのはむしろ当然である。；棟上げの式も一段落ついて、出入りの者もそろそろ帰りかけた頃である。；明るいところで見ればそろそろ血がにじんできているのが観察できただろう。；だが、しかし我々は、もうそろそろ本篇の登場人物の方へ戻るとしよう。；風があっちへ行くな行くなと思いながらそろそろと小十郎は後退りした。；人の話をきいたり、新聞のふりがなをそろそろよみはじめていたらしい。；僕もそろそろ長篇を手がけたいと思ひますがまだプランは建ててゐません。；長年勤めてゐる年寄りの女中に、そろそろ暇を出さうかと思つてゐる。；川を渡つたりしてそろそろのぼりになりかけると、細い雨が降つて来た。；と、そろそろと動いていた女の姿は、急に走るように前の方へ動きだした。；傍にいた女の一人が傍へ寄って創を捲いている布をそろそろと解いた。；足の倍もあるのをはいて、丸太を段にした狭い坂をそろそろ下りて行きます。；その時甚太郎の眼の前で仄かに見えていた部屋の戸がそろそろと口を開けた。；実を言へば、そろそろ村でも、わしのことを哂笑ひだしをつたのぢや。；船に弱い私も幾分馴れてきたので、そろそろ食堂に出てみようかと思った。；もうそろそろ熱が出るのかと思っていると熱が出ないのだ。；そろそろ夜がうすら寒くなってくると家でよくするお惣菜の一つです。；そしてもうそろそろあの人の側へ帰って遣らなくてはならない時だろうかと思う。；もうだいぶ前に出ていったのだから、そろそろ帰って来ていい時分である。；そのうちに、そろそろ大じゃの出て来る時間が近づいて来ました。</t>
        </is>
      </c>
      <c r="J4918">
        <f>HYPERLINK("https://www.weblio.jp/content/そろそろ", "词义详情")</f>
        <v/>
      </c>
      <c r="K4918">
        <f>HYPERLINK("https://yourei.jp/そろそろ", "查看例句")</f>
        <v/>
      </c>
    </row>
    <row r="4919">
      <c r="A4919" t="inlineStr">
        <is>
          <t>ぞろぞろ</t>
        </is>
      </c>
      <c r="B4919" t="inlineStr">
        <is>
          <t>成功</t>
        </is>
      </c>
      <c r="C4919" t="inlineStr">
        <is>
          <t>［副］
１多くの人や動物などが引き続いて動くさま。「取り巻きが—（と）ついて歩く」「幼虫が—（と）はい出る」
２長いものを引きずるさま。「着物のすそを—（と）引きずる」</t>
        </is>
      </c>
      <c r="D4919" t="inlineStr">
        <is>
          <t>ぞろぞろと出(3%)；ぞろぞろ歩い(3%)；ぞろぞろと歩い(3%)；ぞろぞろつい(2%)；ぞろぞろとつい</t>
        </is>
      </c>
      <c r="E4919" t="inlineStr">
        <is>
          <t>大挙して；わらわら；ドヤドヤ；ドヤドヤと；ゾロゾロ</t>
        </is>
      </c>
      <c r="F4919" t="inlineStr">
        <is>
          <t>ぞろぞろ降り；ぞろぞろぞろぞろ；ぞろぞろ連れ；ぞろぞろと玄関；ぞろぞろ通る</t>
        </is>
      </c>
      <c r="H4919" t="n">
        <v>29</v>
      </c>
      <c r="I4919" t="inlineStr">
        <is>
          <t>彼は月の下をぞろぞろと歩いている人の中を注意して、池の傍へ往った。；学生たちが招き猫の傍らを抜けてぞろぞろと上っていくのが見えました。；ぞろぞろとした一団がいると思うと、それは日本からの団体さんなのだ。；それがきっかけのように、この部屋へぞろぞろと記者たちが集ってきた。；北校舎の長い廊下をぞろぞろと歩いて行くと食堂の外に人集りがしていた。；それまで盗み聞きしていたらしい整備班員がぞろぞろと森の前に現れた。；こう二十何人も、ぞろぞろとつながって歩いていちゃ目立っていけねえ。；皆は槍や鉄砲を手にして、雪掻きをした境内からぞろぞろと出ていった。；スタッフは、それぞれの荷物を持って、ぞろぞろとこっちに歩いてくる。；ところが不思議なことには、後からぞろぞろ大勢の人がついて来ます。；そして、一同はぞろぞろと廊下に出て、一階への階段をあがっていった。；男子生徒も、今や大勢の生徒が走るのを放棄してぞろぞろと歩いていた。；女たちが午後の買物でもするのだらうか、ぞろぞろ町なかを歩いてゐた。；棺の後ろからは、ぞろぞろと例の役人連が帽子をとったままついて行く。；同じく外衣を着けた人たちが、続いてぞろぞろと降りてくるのであった。；そうこうしている間にも、てるてる坊主の集団は、ぞろぞろと南に進む。；柩のうしろから、役人一同が帽子を手に持ったままぞろぞろと歩いていた。；太十は後には瞽女の群をぞろぞろと自分の家へ連れ込むようになった。；散らばっていた家の者はまたぞろぞろ出てきて一ところに集まった。；駅に着くと、ちょうど電車が到着して乗客がぞろぞろと降りてきた。；どうにもならぬ人間の群はぞろぞろぞろぞろ駅の方で押合つてゐる。；一行がスカイラーク号に乗ると、十四人の奴隷がぞろぞろと入ってきた。；仲間は、一列に並べた黒い真珠のように、同じ道をぞろぞろ歩いていた。；北側からも同様にぞろぞろと人がやってきて、並べられた席に着く。；この町の小供等は、二人の西洋人の後方についてぞろぞろと歩いていた。；本郷の通りには夜店が出ていて、男や女が明るい顔してぞろぞろと通った。；しかしあとからまたぞろぞろとはいだしてきて、兄さんにかかってきた。；その男のあとを町の子供らがぞろぞろ尾いて歩いていました。；観光客は列をなしてぞろぞろと歩いているが、ほとんど若い者である。</t>
        </is>
      </c>
      <c r="J4919">
        <f>HYPERLINK("https://www.weblio.jp/content/ぞろぞろ", "词义详情")</f>
        <v/>
      </c>
      <c r="K4919">
        <f>HYPERLINK("https://yourei.jp/ぞろぞろ", "查看例句")</f>
        <v/>
      </c>
    </row>
    <row r="4920">
      <c r="A4920" t="inlineStr">
        <is>
          <t>算盤</t>
        </is>
      </c>
      <c r="B4920" t="inlineStr">
        <is>
          <t>成功</t>
        </is>
      </c>
      <c r="C4920" t="inlineStr">
        <is>
          <t>読み方：さんばん
１そろばん。
２和算で、高次方程式を解くのに用いた盤。木または厚紙などで作り、盤面に縦横の線を引いてできた多数の方形区画内に算木を置いて計算をする。</t>
        </is>
      </c>
      <c r="D4920" t="inlineStr">
        <is>
          <t>算盤玉(3%)；算盤勘定(2%)；算盤式ドック；算盤珠；算盤塾</t>
        </is>
      </c>
      <c r="G4920" t="inlineStr">
        <is>
          <t>算盤ずく；算盤坊主；算盤が恋を語る話；算盤高い</t>
        </is>
      </c>
      <c r="H4920" t="n">
        <v>29</v>
      </c>
      <c r="I4920" t="inlineStr">
        <is>
          <t>俺だって半日も算盤を使わないでいれば妙にこの手が退屈するものなあ。；けれども士族階級のものは算盤を手にすることさえ卑しんだものである。；その算盤には彼のとおなじ暗号で「ゆきます」とおかれてあったのです。；算盤は支那にもあって支那から伝わったものであることは明らかである。；ご存じの通り、こういう人は頭の中に実際に算盤を浮かべて暗算をする。；算盤の布できちんと算木を包みながら、春海はちょっと言い方を変えた。；彼が毎朝やる通りに、あの算盤がチャンとおいてあるではありませんか。；その算盤には彼のと同じ暗号で「ゆきます」とおかれてあったのです。；言うことを聞かねは、並べた算盤ごと、枯れ葉の山まで運ばれそうだった。；わたしの父が算盤で叔父の眉間をなぐりつけたのを見たことがある。；彼が毎朝やる通りにあの算盤がチャンとおいてあるではありませんか。；算盤珠のはぢけぬ奴は仲間に入れぬといはぬばかりの口調である。；傘を返しにくるときにきっとまた買物をして行くだろうと算盤を弾いている。；一方、私は算盤は上手ではないので、普通に頭の中で計算をしていく。；学習塾や算盤塾とちがって書道塾では特別に説明することはありません。；もうみんなも、次郎を算盤の破壊者と決めてしまっているらしかった。；百五十両といえば算盤の弾き方を知っている清吉には莫大な金に違いなかった。；人間は算盤をはじく時、血も涙もなくなるのではないかと拓一は思う。；この頃のように泰平が続いては自然お納戸の算盤が立ち兼ねて参りまする。；どこかでそんな算盤を弾き、状況の一部になることを容認していた自分がいる。；一般的な中国の算盤は5珠と2珠で十六進法でも使えるようにしている。；支那と日本の算盤の形状はただちに両国民の気風を表現するものといいたい。；もっともこれは全く算盤から割り出した方法だそうではあるが。；向うは学科がいくつもあり、算盤はどっちかというと軽蔑されている。；あなたの方に於て、算盤が合はないから負ないと仰有れば仕方がありませぬ。；日本では算盤と呼ばれる格子を書いた布の上で算木を使用した。；それが彼の顔を見ると、算盤を竪に構えたまま、にこりともせずに返事をした。；自分の算盤玉でやって行く商人の自由な境涯を羨ましがっている。；算盤はひょろ長い箱になっていて、中には埃がたくさんたまっていた。</t>
        </is>
      </c>
      <c r="J4920">
        <f>HYPERLINK("https://www.weblio.jp/content/算盤", "词义详情")</f>
        <v/>
      </c>
      <c r="K4920">
        <f>HYPERLINK("https://yourei.jp/算盤", "查看例句")</f>
        <v/>
      </c>
    </row>
    <row r="4921">
      <c r="A4921" t="inlineStr">
        <is>
          <t>そわそわ</t>
        </is>
      </c>
      <c r="B4921" t="inlineStr">
        <is>
          <t>成功</t>
        </is>
      </c>
      <c r="C4921" t="inlineStr">
        <is>
          <t>［副］(スル)気持ちや態度が落ち着かないさま。「発表待ちで朝から—する」</t>
        </is>
      </c>
      <c r="D4921" t="inlineStr">
        <is>
          <t>そわそわしはじめ(2%)；そわそわしだし；そわそわし始め；そわそわしてる；そわそわし出し</t>
        </is>
      </c>
      <c r="E4921" t="inlineStr">
        <is>
          <t>忙しく；落ち着かない；キョロキョロ；せかせかと；慌しく</t>
        </is>
      </c>
      <c r="F4921" t="inlineStr">
        <is>
          <t>急にそわそわ；ひどくそわそわ；なんとなくそわそわ；なんだかそわそわ；何となくそわそわ</t>
        </is>
      </c>
      <c r="G4921" t="inlineStr">
        <is>
          <t>そわそわし</t>
        </is>
      </c>
      <c r="H4921" t="n">
        <v>29</v>
      </c>
      <c r="I4921" t="inlineStr">
        <is>
          <t>さっきからそわそわしているからなにかあるとは思っていたら、これか。；そわそわしているが、それは精神の活発さを反映しているようでもある。；そわそわと体のあちこちを動かして、こちらの注意を引こうとしている。；給仕もかれの前ではすっかりおじけづいてそわそわしているのであった。；その頃には腕の怪我に気づいた彼女がそわそわと辺りを見回していた。；ミックはラジオのまわりをそわそわ歩きまわり、客たちを見つめている。；それでも彼は何かそわそわした様子で〈マクォリー〉の様子を見ていた。；適当と思われる募集が出ていると、もうそわそわして寝つかれなかった。；そわそわ落ち着かない態度をとっていると連中に気づかれてしまうぞ。；他の客の案内をしている間も、彼女から電話が来るのではとそわそわしていた。；一度ならず足をそわそわさせたり、せわしげに指で壁を叩いたりした。；彼はいつもそわそわしていて態度に落ち着きがないのは知っていた。；バーニーは自分の体を抱き締めながら、待ちきれずにそわそわしていた。；しかし人と会う前にこれほどそわそわした経験はかつてなかった。；彼は何だかひどくそわそわとして、そのまま黙って二階に上ってしまった。；ある晩、お勤めのあいだに彼はひどくそわそわして聖堂にやって来ました。；最適の時刻はいつかとそわそわしていたのは普通の娘にだってわかったはずだ。；二日のあいだソロはアンクル本部の廊下をそわそわ歩きまわってばかりいた。；土門はわざと腕組みなどしていたがなにかそわそわと落ちつかなかった。；そわそわとヒデオが時計を見ると、勝負開始まで後十五分しかなかった。；その悪事がいつ露見するのかと、そわそわしている殺人者の気分だった。；気になったのは、佐貫よりも裕生の方がそわそわしていたことだった。；珍娘は眺めておりますうちに、いつしか心がそわそわしてまいりました。；その日が来ると学校の中は妙にそわそわとしておりました。；そわそわとした、おちつきのなさと興奮とが、はっきり私にも感じられた。；女房もそわそわとして思い出そうとあせっていたが、突然低い声で言った。；彼は妙にそわそわした様子で、しかもそれを隠そうともしなかった。；そわそわと立ったり居たりして、少しの間もじっとしていることが出来ないらしい。；すると今度はそういう自分の気持に何かそわそわしてきて、立ったり坐ったりした。</t>
        </is>
      </c>
      <c r="J4921">
        <f>HYPERLINK("https://www.weblio.jp/content/そわそわ", "词义详情")</f>
        <v/>
      </c>
      <c r="K4921">
        <f>HYPERLINK("https://yourei.jp/そわそわ", "查看例句")</f>
        <v/>
      </c>
    </row>
    <row r="4922">
      <c r="A4922" t="inlineStr">
        <is>
          <t>損</t>
        </is>
      </c>
      <c r="B4922" t="inlineStr">
        <is>
          <t>成功</t>
        </is>
      </c>
      <c r="C4922" t="inlineStr">
        <is>
          <t>読み方：そん
［音］ソン（呉）（漢）　［訓］そこなうそこねる
［学習漢字］5年
１減らしたり傷つけたりする。そこなう。「損壊・損傷・損耗・損料／汚損・毀損(きそん)・減損・破損・磨損」
２利益を減らすこと。不利益。「損失・損得／欠損」
［名のり］ちか</t>
        </is>
      </c>
      <c r="D4922" t="inlineStr">
        <is>
          <t>損われ(2%)；損うこと；損つて；損わない；損うもの</t>
        </is>
      </c>
      <c r="E4922" t="inlineStr">
        <is>
          <t>損失；赤字；マイナス；欠損；ロス</t>
        </is>
      </c>
      <c r="F4922" t="inlineStr">
        <is>
          <t>おいて損；たら損；曲損；御損；大きな損</t>
        </is>
      </c>
      <c r="G4922" t="inlineStr">
        <is>
          <t>損害；損失；損なわ；損害賠償；損ね</t>
        </is>
      </c>
      <c r="H4922" t="n">
        <v>29</v>
      </c>
      <c r="I4922" t="inlineStr">
        <is>
          <t>選択性を損うことなく反応濃度を増加させるための努力が行われている。；多分氏は女であることで、自分で少し損をしているかも知れぬと思う。；喧嘩の仲直りをした後で損をしたやうな気のした事はまだ一度もありませぬ。；つまりプレイヤーはトリガー戦略から逸脱すると長い目でみて損をする。；生涯の損をしてこの先生のように老朽した時の心持は定めて淋しかろう。；オレみたいに、人生の大半を三方損の三人目で暮してきた奴はいないよ。；尚お医者は患家が定っているから、損をしても逃げる心配がないと来た。；あとで会費をとられるんじゃないか、と心配しながら飲んで損をした。；最後に損をしたのは政治の理想を看板にした商人たちだとする。；これもやはり大きな人は損をする訳で我々ごとき者が買いに行くと損です。；この中最も危険なのは、飯場へ向かう一隊で、やり損うと捕虜にされる。；貿易で最も損をする人々は、輸入部門と競争する人々であるとされる。；このうち、システムの性能を最も損うものは次のように計算される。；一両の手付けを差し引いても、かれは十四両の損をさせられたのであった。；これらには上下に似た形の虫損があり、もと一部の巻物だったと推定される。；息子は殺され損ではないかと感じた周三は、役所の無料法律相談に行く。；われわれも秋口の猫の子を貰って、何度かやり損った経験を持っている。；しかし、その損は非常に大きなプラスになるものを同時に持つて来た。；しかし、彼はいくら腹を立てた時でも、決して自分の損になることはしない。；度胸の悪いのは大変な損で、試験の時なぞにはどの位困るか知れない。；それが今日まで、あたしが知らずにゐて、結局、朔郎が殴られ損をした。；経験はいろいろなことをやってみて、決して損のないものである。；これは女が得をして男が損をしている場合であると思ふ。；事務所からは最後の手段として多少の損はしても退場さすと迫って来た。；でも、その為めに、これまでどんなに損をしたか知れないんですよ。；相手からの確実な利きが多い石は弱く、その利きを利用されて損を招く。；従つて向うの気づかずにゐる時には「損をした」と思ふこともないではない。；この対局は坂田が途中で角損をしており、「角損の一局」とも呼ばれる。；先へ笑つたものが損をするとでも云ひたいやうな気配であつた。</t>
        </is>
      </c>
      <c r="J4922">
        <f>HYPERLINK("https://www.weblio.jp/content/損", "词义详情")</f>
        <v/>
      </c>
      <c r="K4922">
        <f>HYPERLINK("https://yourei.jp/損", "查看例句")</f>
        <v/>
      </c>
    </row>
    <row r="4923">
      <c r="A4923" t="inlineStr">
        <is>
          <t>損害</t>
        </is>
      </c>
      <c r="B4923" t="inlineStr">
        <is>
          <t>成功</t>
        </is>
      </c>
      <c r="C4923" t="inlineStr">
        <is>
          <t>読み方：そんがい
［名］(スル)そこない、傷つけること。利益を失わせることや、失うこと。また、事故などで受けた不利益。損失。「取引で—をこうむる」
「吾人の安全幸福を—するは必然なり」〈植木枝盛・天賦人権辨〉</t>
        </is>
      </c>
      <c r="D4923" t="inlineStr">
        <is>
          <t>損害額；損害金；損害を出さ；損害なし；損害補償</t>
        </is>
      </c>
      <c r="E4923" t="inlineStr">
        <is>
          <t>痛み；打撃；損傷；ダメージ；破損</t>
        </is>
      </c>
      <c r="F4923" t="inlineStr">
        <is>
          <t>大きな損害；多大な損害；甚大な損害；人的損害；重大な損害</t>
        </is>
      </c>
      <c r="G4923" t="inlineStr">
        <is>
          <t>損害賠償請求；損害保険；損害保険会社；損害賠償責任；損害賠償金</t>
        </is>
      </c>
      <c r="H4923" t="n">
        <v>29</v>
      </c>
      <c r="I4923" t="inlineStr">
        <is>
          <t>これらの部隊はいずれもカトル・ブラの戦いで大きな損害を出していた。；モンゴル軍地上部隊は撤退したが、日本軍航空機の攻撃で損害を受けた。；国に利益をもたらすイベントもあるが、中には損害となる場合もある。；この攻撃は武蔵に集中したが他の艦艇にも一部攻撃が行われ損害が出ている。；妙高は大型軍艦としては、太平洋戦争で最初に損害を受けた艦となった。；しかし、第二次世界大戦ではドイツ軍に占領され、大きな損害を受けた。；危険は、未来において、損害や損失が発生する可能性があることである。；湾岸戦争時の十数両の損害の半数は同士討ちによるものといわれている。；アメリカ軍の損害は軽微なものであったが、日本軍は大戦果と誤認した。；ヘンダーソン飛行場基地に損害を与える事を企図していたと見られる。；本海戦は、戦闘機の掩護のない攻撃隊が大損害を受けることを立証した。；損害額の合計は約634億ドルで、調査開始時の2倍以上に増加している。；日本軍歩兵は損害を出すばかりで総攻撃はわずかに前進しただけで頓挫した。；しかしパルチザンに対する数度の作戦は全て失敗し損害を拡大させて終わった。；個人情報漏洩を原因とした損害が発生した場合は、民事上の責任を問われる。；それでも第六水雷戦隊が護衛する日本軍諸艦船に大きな損害を与えた。；攻撃直後、各空母の攻撃隊は敵艦船に与えた損害を下記のとおり報告している。；ロシア軍の損害もまた大きく、回復には秋頃までかかる状況であった。；係争中に生じている損害から債権者を保護するためになされる仮処分。；アメリカの資料によると、終戦まで連合国の艦船の損害は4隻だった。；両師団の攻撃は成功に終わり、米第92歩兵師団は損害を受けて敗北した。；敵飛行場施設に損害を与え、一晩中、上空を飛行し修復作業を妨害する。；これらヨーロッパの大損害は太平洋戦争にも影響を与えている。；当時の経営陣によれば、これらの行為による損害は大きなものであるという。；日本軍は事件直後には、ソ連軍の損害を比較的正確に把握していた。；しかしフィンランドの抵抗で思わぬ損害を招き、国際連盟からも追放された。；この戦闘では双方とも同じ数程度の損害を出した。；ロンメルはこの停止期間中、師団の受けた損害の回復や補給にあたった。；その直後、アメリカ軍機に発見されて爆撃されたが、損害は無かった。</t>
        </is>
      </c>
      <c r="J4923">
        <f>HYPERLINK("https://www.weblio.jp/content/損害", "词义详情")</f>
        <v/>
      </c>
      <c r="K4923">
        <f>HYPERLINK("https://yourei.jp/損害", "查看例句")</f>
        <v/>
      </c>
    </row>
    <row r="4924">
      <c r="A4924" t="inlineStr">
        <is>
          <t>尊敬</t>
        </is>
      </c>
      <c r="B4924" t="inlineStr">
        <is>
          <t>成功</t>
        </is>
      </c>
      <c r="C4924" t="inlineStr">
        <is>
          <t>読み方：そんきょう
［名］(スル)「そんけい（尊敬）」に同じ。
「人望を得て諸人の—を受くるのみならず」〈鉄腸・花間鶯〉</t>
        </is>
      </c>
      <c r="D4924" t="inlineStr">
        <is>
          <t>尊敬する(17%)；尊敬される(4%)；尊敬できる；尊敬してる；尊敬せら</t>
        </is>
      </c>
      <c r="E4924" t="inlineStr">
        <is>
          <t>望む；名誉；感心；尊重；敬意</t>
        </is>
      </c>
      <c r="F4924" t="inlineStr">
        <is>
          <t>深い尊敬；高い尊敬；広く尊敬；愛し尊敬；尊敬する棋士</t>
        </is>
      </c>
      <c r="G4924" t="inlineStr">
        <is>
          <t>尊敬語</t>
        </is>
      </c>
      <c r="H4924" t="n">
        <v>29</v>
      </c>
      <c r="I4924" t="inlineStr">
        <is>
          <t>韓国では子供から老人まで幅広い層に尊敬されている国民的英雄である。；彼は、優れた才能の持主であり、それがために万人の尊敬を集めていた。；晩年のブルックナーは多くの尊敬を得ていたが、死の病に冒されていた。；ジャクソンは生徒たちからたいへん尊敬を受けていたと言われている。；鉱夫たちは彼の父を尊敬していたため、トレビシックも人気者となった。；父がいなければ僕もいないんだし、父のことは尊敬していますしね。；妻との間に5人の子供がいて、それぞれ尊敬する作家の名前をつけている。；彼は現在では世界で最も尊敬される数学者の一人に数えられている。；ボートレーサーを目指すきっかけにもなった山川美由紀を尊敬している。；存命中は当時の人々から最も高く尊敬されたイギリス人作曲家である。；この努力により、カトリーヌはフランスの人々から新たな尊敬を集めた。；彼の父親は極めて立派な人物であり、私も非常に尊敬しています。；幼いころから弁護士の父を尊敬し、自身も弁護士を目指していた。；また、映画自体も別格としており、最も尊敬する映画監督であるという。；尊敬している人物の一人は、命の恩人でもあるダグラス・マッカーサー。；彼らは互いに尊敬しあい、その人の良いところを学ぼうとしていた。；それゆえ池田を内心では尊敬していなかったのが大きな理由だといわれていた。；詩劇を制作し始めたころは作品を真似するほどに尊敬していた。；日本ハム在籍時の監督だったトレイ・ヒルマンを尊敬しているという。；彼が尊敬するザ・フーの名前から影響されたとも発言している。；他人を愛し尊敬し、他人に愛され尊敬される性格ということであろう。；尊敬するピカードの勧めもあって、艦隊の特別訓練に参加し大尉に再昇進した。；オアシスからも高く評価されており、彼らもオアシスを尊敬している。；彼は優秀な政治家で、他の支配者からも大きな尊敬を集めていた。；名前は、作者の水島新司が尊敬する漫画家の一人である里中満智子から。；現在も歌手を目指すきっかけとなったYUKIを尊敬している。；ウィーンやプラハのユダヤ人からは最上流階級として尊敬を受けていた。；記憶に残る演技とカリスマ的な存在感で批評家からも尊敬された。；パスツールがいかに尊敬されていたかを示すエピソードがある。</t>
        </is>
      </c>
      <c r="J4924">
        <f>HYPERLINK("https://www.weblio.jp/content/尊敬", "词义详情")</f>
        <v/>
      </c>
      <c r="K4924">
        <f>HYPERLINK("https://yourei.jp/尊敬", "查看例句")</f>
        <v/>
      </c>
    </row>
    <row r="4925">
      <c r="A4925" t="inlineStr">
        <is>
          <t>尊厳</t>
        </is>
      </c>
      <c r="B4925" t="inlineStr">
        <is>
          <t>成功</t>
        </is>
      </c>
      <c r="C4925" t="inlineStr">
        <is>
          <t>読み方：そんげん
［名・形動］とうとくおごそかなこと。気高く犯しがたいこと。また、そのさま。「人間の—を守る」
「其—なる爵位にふさわしい世継ぎが出来たのを」〈若松訳・小公子〉
[派生]そんげんさ［名］</t>
        </is>
      </c>
      <c r="D4925" t="inlineStr">
        <is>
          <t>尊厳を守るため；尊厳王；尊厳性；尊厳公；尊厳作戦</t>
        </is>
      </c>
      <c r="E4925" t="inlineStr">
        <is>
          <t>品；堂々；重み；威厳；面目</t>
        </is>
      </c>
      <c r="F4925" t="inlineStr">
        <is>
          <t>フィリップ尊厳</t>
        </is>
      </c>
      <c r="G4925" t="inlineStr">
        <is>
          <t>尊厳党；尊厳の複数；尊厳の革命</t>
        </is>
      </c>
      <c r="H4925" t="n">
        <v>29</v>
      </c>
      <c r="I4925" t="inlineStr">
        <is>
          <t>近代イギリス紳士はそれとおなじような尊厳な態度でコウモリ傘を持つ。；この毒に冒されたら、多くの場合は尊厳ある死を迎えることはできない。；これではかえって、天皇の尊厳性を侵すことになりはしないでしょうか。；すべての人間は尊厳と権利において生れながらに自由にして平等である。；これから何か尊厳なる問題に関与するのだと言わんばかりの顔つきで。；最初は人類の尊厳さをかなり傷つけるような結果しか得られなかった。；自らの地位を守るため患者の尊厳を考えない隠蔽工作は決して許さない。；天皇がいかに尊厳であるかは、彼らの前にそれを直接見せなければならない。；戯作者であることが、文学の尊厳を冒涜するものであるが如くに考える。；その女性にもその女性の人生と人格と尊厳と幸福があっただろうに。；かつての父親の尊厳を守りたいから、アディリシアは日本まで来たのだ。；現世的なものおよび超自然的なもの両方の尊厳を破壊する力も持つ。；「父」とは他の何人にもその地位を譲られぬ尊厳な一つの権威である。；王座はその尊厳を増すかのように地面よりかなり高く置かれることもある。；それでも何か言ったら女王の尊厳が損なわれると思ったのだろうか。；そんげんことでもいうたらたった今、あたしの手は後ろに廻ってしまう。；名前も、自由も、人間としての尊厳も、そして未来さえも奪われた日々。；これは女性の尊厳と価値、特に黒人女性のそれに捧げられたものであった。；実際、主の叡智と尊厳は皆が理解するよりも遥かに大きなものだからです。；自分自らを神と称し絶対の尊厳を人民に要求することは不可能だ。；戯作者であることが、文学の尊厳を冒涜するものであるが如くに考へる。；日本は東洋の尊厳をロシアに勝利したことで高めた唯一の国である。；新聞などで天皇の尊厳をいくら書いても、それはまだ微々たるものであった。；そして全ての人々の尊重と尊厳を呼びかけのスローガンが掲げられた。；ただしこの伝承は、彼以前の王の尊厳さを限定するために設けられたのかもしれない。；宣言の対象は条約のための尊厳の基礎の上の平和の保全である。；ミス・ハーパーは非難されることなく、尊厳のある死に方をしようと決心した。；人間としての尊厳さえ無視され、裁判にもかけられずに投獄された者もいる。；それは年たけた人で姿形には威厳があり、きわめて尊厳な様子をしていた。</t>
        </is>
      </c>
      <c r="J4925">
        <f>HYPERLINK("https://www.weblio.jp/content/尊厳", "词义详情")</f>
        <v/>
      </c>
      <c r="K4925">
        <f>HYPERLINK("https://yourei.jp/尊厳", "查看例句")</f>
        <v/>
      </c>
    </row>
    <row r="4926">
      <c r="A4926" t="inlineStr">
        <is>
          <t>存在</t>
        </is>
      </c>
      <c r="B4926" t="inlineStr">
        <is>
          <t>成功</t>
        </is>
      </c>
      <c r="C4926" t="inlineStr">
        <is>
          <t>読み方：そんざい
［名］(スル)
１人間や事物が、あること。また、その人間や事物。「神の—を信じる」「歴史上に—する人物」「クラスの中でも目立つ—」
２《being／(ドイツ)Sein》哲学で、あること。あるもの。有。
㋐実体・基体など他のものに依存することなく、それ自体としてあるもの。
㋑ものの本質としてあるもの。
㋒現実存在としてあることやあるもの。特に、人間の実存。
㋓現象として主観に現れているものや経験に与えられているもの。
㋔判断において、主語と述語とを結合する繋辞(けいじ)。「sはpである」の「ある」。</t>
        </is>
      </c>
      <c r="D4926" t="inlineStr">
        <is>
          <t>存在する(31%)；存在感；存在そのもの；存在した町；存在量</t>
        </is>
      </c>
      <c r="E4926" t="inlineStr">
        <is>
          <t>いる；ある；影；居る；ございます</t>
        </is>
      </c>
      <c r="F4926" t="inlineStr">
        <is>
          <t>多く存在；複数存在；中心的存在；古くから存在；近い存在</t>
        </is>
      </c>
      <c r="G4926" t="inlineStr">
        <is>
          <t>存在意義；存在論；存在自体；存在価値；存在理由</t>
        </is>
      </c>
      <c r="H4926" t="n">
        <v>29</v>
      </c>
      <c r="I4926" t="inlineStr">
        <is>
          <t>一応回避手段は存在するが、初心者には理解が難しいものとなっている。；エンジンは近年では珍しい存在となりつつあるOHVを使用している。；また多くの宗教で霊と呼ばれる形態の生物の存在を想定している。；これに関連してサービスを終了するアーケードゲーム作品も存在した。；このように、自動車は単に人や物資を輸送するだけの存在に留まらない。；しかし、各分野間には関連領域が存在するため明確に区別することは難しい。；この他にもヨーグルトのような食感のビールも存在していたとされる。；政治が成立する社会の基礎にはさまざまな関係が存在している。；一部にはノート型でありながらバッテリーを搭載しない機種も存在する。；他にも、異なる路線の鉄道車両の乗り入れが困難である場合が存在する。；しかし宇宙全体で見ると、実は液体の状態で存在している量は少ない。；コワルスキの活動と の存在によって、英国は 研究の中心地となった。；様々なローカルルールが存在するが、以下は基本的なルールの紹介である。；当時、ワープロ専用機でもテレビ出力へ対応したものはわずかに存在した。；太陽系内においても、火星には生命が存在する可能性が指摘されている。；手法には経験的なものから非経験的なものまで多数存在する。；これは上に挙げたさまざまな集団の存在に気づかないために起こる誤認による。；言語がいつどのように生まれたのか分かっておらず、複数の仮説が存在する。；水島新司とは、ほとんど同じ時期にデビューした同期みたいな存在だった。；この他、一般向けモデルをベースにした、教育市場向けのモデルが存在した。；登場当初は確定したジャンルが存在しなかったものも多い。；たとえばイギリスや日本は首都の地位を明示する法が存在しない。；その一方で、ある種の事態を表現する動詞や形容詞の文字も存在した。；初等教育学校を含めてほぼ全ての学校が国立だが、私立学校も存在する。；また、日本IBMの下には更に複数の子会社と関連会社が存在している。；ネットワークの状態を追跡し維持する集中監視機能や性能測定機能は存在しない。；過去独立して存在していたジャスダックも株式会社形態であった。；自然界に存在するものを収集・分類する試みは太古から行われてきた。；そのそれぞれについて、右投げ用・左投げ用・両投げ用が存在する。</t>
        </is>
      </c>
      <c r="J4926">
        <f>HYPERLINK("https://www.weblio.jp/content/存在", "词义详情")</f>
        <v/>
      </c>
      <c r="K4926">
        <f>HYPERLINK("https://yourei.jp/存在", "查看例句")</f>
        <v/>
      </c>
    </row>
    <row r="4927">
      <c r="A4927" t="inlineStr">
        <is>
          <t>ぞんざい</t>
        </is>
      </c>
      <c r="B4927" t="inlineStr">
        <is>
          <t>成功</t>
        </is>
      </c>
      <c r="C4927" t="inlineStr">
        <is>
          <t>［形動］［文］［ナリ］
１いいかげんに物事をするさま。投げやり。粗略。「仕事を—にする」
２言動が乱暴で礼を失しているさま。不作法。「—な口のきき方」「—に積荷を扱う」</t>
        </is>
      </c>
      <c r="D4927" t="inlineStr">
        <is>
          <t>ぞんざいな口調(4%)；ぞんざいな言葉(3%)；ぞんざいな扱い(3%)；ぞんざいな態度；ぞんざいな調子</t>
        </is>
      </c>
      <c r="E4927" t="inlineStr">
        <is>
          <t>適当；粗末；無関心；雑；大まか</t>
        </is>
      </c>
      <c r="F4927" t="inlineStr">
        <is>
          <t>ひどくぞんざい</t>
        </is>
      </c>
      <c r="H4927" t="n">
        <v>29</v>
      </c>
      <c r="I4927" t="inlineStr">
        <is>
          <t>ぞんざいな断り方に腹が立ちましたが、そのままうちに帰ってきました。；河村は思い、準備室の棚のあいたところにぞんざいに小さな鎖を置いた。；ぞんざいな言葉は使いながらも、心の中では尊敬せずにいられぬ仲間。；よく知らない人に、そんなぞんざいな言葉遣いを女はしないはずである。；しかもその口調は徐々に無愛想になり、やがてぞんざいになっていった。；どうも洗ひ方がぞんざいだね、ちつとも垢が落ちてやしないぢやないの。；適切に練られておらず、非常にぞんざいにあつらえられたかのようです。；子供だからと言って、ぞんざい語を使ってもいいということにはならない。；これを後世一緒にしたのは、後人がぞんざいな爲めであると云つてゐる。；互いにぞんざいな言葉を使い、君と呼びあう革命時代にいた奴である。；この人の仕事ぶりは決してぞんざいではあるまいと、そのとき直感した。；たぶんそのためだろう、彼女はぞんざいに言わずにいられなかった。；おてるのほうは何もいわず、嘉助にぞんざいなお辞儀をして外へ出て行く。；まず自分の着物の着方のぞんざいになって居るのを直します。；こんなぞんざいなやり方で他人同士を引きあわせる趣味があったとは。；と思うと、そう言えば忘れていた、とでも言うようなぞんざいさで石を置いた。；まず自分の着物の着方のゾンザイになっているのを直します。；ただ僕が言いたいのは、生命をぞんざいに扱う者が多すぎるということです。；と言っても三人顔を合わせれば巳一は彼等とぞんざいな会話をした。；どんなにぞんざいな扱いを受けても、相手にぺこぺこしなければならない。；医者はあまりにも遅れて来て、ベートーヴェンをぞんざいに取り扱った。；二本以上渡したりしたら、ぞんざいになって、すぐになくしますからな。；いきなりぞんざいに近寄っていったり、遠くからこわごわ眺めたりした。；しかし何とぞんざいに、如何にも商売むきに、本が作られて行くことか。；そのくせ彼らを甘やかすわけではなく、むしろぞんざいに扱うのであったが。；そういうゾンザイな注文をする奴に出すものは、この店にはない。；そのぞんざいな口調が耳に残り、なんだかふいに嫌な気分になった。；などと云ひながら母親は、赤児をぞんざいに世話をしてゐた。；女と口をきくときには、特別と、変な工合にぞんざいですれてゐるよ。</t>
        </is>
      </c>
      <c r="J4927">
        <f>HYPERLINK("https://www.weblio.jp/content/ぞんざい", "词义详情")</f>
        <v/>
      </c>
      <c r="K4927">
        <f>HYPERLINK("https://yourei.jp/ぞんざい", "查看例句")</f>
        <v/>
      </c>
    </row>
    <row r="4928">
      <c r="A4928" t="inlineStr">
        <is>
          <t>損失</t>
        </is>
      </c>
      <c r="B4928" t="inlineStr">
        <is>
          <t>成功</t>
        </is>
      </c>
      <c r="C4928" t="inlineStr">
        <is>
          <t>読み方：そんしつ
１そこない失うこと。特に、財産や利益などを失うこと。「多大の—をこうむる」⇔利益。
２電力・動力などのエネルギーが有効に利用されず、不要な熱などの形で失われること。</t>
        </is>
      </c>
      <c r="D4928" t="inlineStr">
        <is>
          <t>損失を出さ；損失率；損失関数；損失分；損失を出して撃退</t>
        </is>
      </c>
      <c r="E4928" t="inlineStr">
        <is>
          <t>喪失；損；赤字；マイナス；欠損</t>
        </is>
      </c>
      <c r="F4928" t="inlineStr">
        <is>
          <t>経済的損失；エネルギー損失；人的損失；多大な損失；経済損失</t>
        </is>
      </c>
      <c r="G4928" t="inlineStr">
        <is>
          <t>損失補填；損失額；損失補てん；損失隠し；損失水頭</t>
        </is>
      </c>
      <c r="H4928" t="n">
        <v>29</v>
      </c>
      <c r="I4928" t="inlineStr">
        <is>
          <t>あなたの偉大な夫が亡くなったことが世界の損失であることを表明する。；ある者は損失だと言い、ある者は利益だと言うように、解釈は分かれる。；あまりの損失におののいた英仏両政府は、戦争を忌避するようになった。；珊瑚海海戦での航空機の大量損失も搭乗員の練度の低さが原因とされた。；これは生産上の問題ではなく、母機の損失があまりにも多かったからである。；この調子で損失が続けば、その数は極めて大きなものとなるだろう。；これはアメリカにおけるラファイエットのイメージに損失を生じさせた。；損失は戦車42両が破壊され、戦車数百両が故障で使用不能となった。；危険は、未来において、損害や損失が発生する可能性があることである。；無損失とは、分解してできた関係を結合して元の関係に復元できることを指す。；しかし、水が引いたところ、橋には少しの損失もなく無事であった。；腎臓の機能が発達している為、老廃物の排出の際の水分の損失が少ない。；接続された複数の端末がほぼ同時に送信を行った場合、データが損失する。；この街は損失ばかりが大きい市街地戦のような望みのない戦いを回避できた。；政府も震災手形を使った鈴木商店の損失処理を黙認する態度をとっていた。；ところが、ヨーロッパでの生糸相場の暴落にあって大きな損失を出した。；確定申告義務がない場合であっても確定損失申告をする必要がある。；母には責められたが、小さな損失が大きな利益につながるのだと弁明した。；袁術はこの大敗と、後の曹操戦での敗北によって勢力を大きく損失した。；損失理由は、その大半が日本軍戦車との交戦以外の要因によるものであった。；長らく赤字経営となっている路線バス部門の損失を緩和する部門である。；いくらかの損失があったものの、船団はマルタ補給と戦闘維持に成功した。；この制度で著しく損失を被るのは、子どもを産む立場にある女性であった。；ソジェンも同ファンドに賄賂で損失を与えた事件で罰金を課されている。；レントシーキングは保護貿易の費用よりも高い損失になる場合がある。；銀行業界の予測モデルは全体の個人客に対し確実に損失を抑えるよう開発されている。；侵攻の主力である機甲部隊も車両の損失や故障が相次ぎ稼働率は大幅に低下。；損失には の3つがあり、それに対応して効率も3つに分類される。；結果的に、このロサンゼルスの一件で数千万円の損失を発生させることとなった。</t>
        </is>
      </c>
      <c r="J4928">
        <f>HYPERLINK("https://www.weblio.jp/content/損失", "词义详情")</f>
        <v/>
      </c>
      <c r="K4928">
        <f>HYPERLINK("https://yourei.jp/損失", "查看例句")</f>
        <v/>
      </c>
    </row>
    <row r="4929">
      <c r="A4929" t="inlineStr">
        <is>
          <t>存じる</t>
        </is>
      </c>
      <c r="B4929" t="inlineStr">
        <is>
          <t>成功</t>
        </is>
      </c>
      <c r="C4929" t="inlineStr">
        <is>
          <t>読み方：ぞんじる
［動ザ上一］「ぞんずる」（サ変）の上一段化。「私の—・じるところを申し上げます」</t>
        </is>
      </c>
      <c r="D4929" t="inlineStr">
        <is>
          <t>思う；考える；知っている；知る；承知</t>
        </is>
      </c>
      <c r="H4929" t="n">
        <v>7</v>
      </c>
      <c r="I4929" t="inlineStr">
        <is>
          <t>何卒、御用お命じ下さいますなら、私ども幸いと存じるものでございます。；当行のおかれている厳しい状況をご賢察の上、 ご理解賜りたいと存じる次第です。；ついてはこの秘密を、女王陛下に奏上したく存じるゆえ、イギリス領土内の安全通行券をもらいたいというのである。；「すでにお見知りおきかと存じるが、私はライス領主、ロト・ライスだ」 胸をぐっとはり堂々たる声をあげるロト・ライスの背後では、四人の男たちが領主とはまったく対照的に、身を縮めるようにして俯いていた。；「諸事障りなく相済み、祝着の至りに存じる」 治憲は新藩主をねぎらう口調でそう言ったが、すぐに本題に入った。；ジュヌビエーブよ、おんみはいまこそ予の本性を知り、またおんみ幼少のおり、再度おんみを両腕に抱えてはこび去りしものの名をば、予がなにゆえおんみに告げざりしかも了解せられしことと存じる。；その「存じる」が、「謙譲の敬語」です。</t>
        </is>
      </c>
      <c r="J4929">
        <f>HYPERLINK("https://www.weblio.jp/content/存じる", "词义详情")</f>
        <v/>
      </c>
      <c r="K4929">
        <f>HYPERLINK("https://yourei.jp/存じる", "查看例句")</f>
        <v/>
      </c>
    </row>
    <row r="4930">
      <c r="A4930" t="inlineStr">
        <is>
          <t>存続</t>
        </is>
      </c>
      <c r="B4930" t="inlineStr">
        <is>
          <t>成功</t>
        </is>
      </c>
      <c r="C4930" t="inlineStr">
        <is>
          <t>読み方：そんぞく
［名］(スル)引き続き存在すること。また、引き続き残しておくこと。「会の—が危ぶまれる」「鉄道路線を—させる」</t>
        </is>
      </c>
      <c r="D4930" t="inlineStr">
        <is>
          <t>存続する(10%)；存続させる(4%)；存続期間；存続でき；存続運動</t>
        </is>
      </c>
      <c r="E4930" t="inlineStr">
        <is>
          <t>続く；連続；維持；続ける；継続</t>
        </is>
      </c>
      <c r="F4930" t="inlineStr">
        <is>
          <t>長く存続；会社存続；チーム存続；至るまで存続；存続期間中</t>
        </is>
      </c>
      <c r="G4930" t="inlineStr">
        <is>
          <t>存続危機；存続論；存続協定；存続時</t>
        </is>
      </c>
      <c r="H4930" t="n">
        <v>29</v>
      </c>
      <c r="I4930" t="inlineStr">
        <is>
          <t>特に医師の少ない地方では、病院存続に関わる問題となってきている。；家族の存続を重視する朝鮮の伝統社会では、結婚が成人の指標とされた。；単位生協での存続は厳しいため、多くの生協は事業連合に加盟している。；こうした経営努力の結果、同年8月6日に鉄道の当面の存続が決定した。；これはどちらが敗れても家名を存続させるための嘉隆の戦略だったという。；この説を取るならば武蔵戦・猿楽興行事件以降も吉岡家は存続している。；旅客船も廃止する計画となっていたが、市民の強い要望により存続した。；こうして主人公は第三部隊存続のため、行動を開始するのだった。；ブライスによれば、硬性憲法は、既にある国では存続すると予想される。；八色の姓の導入や律令制度が導入された後も姓自体は存続していた。；この結果、旧関急系の路線のみが近鉄として存続し、現在に至っている。；しかし、大乗仏教が成立しても、部派の教団は存続し教理の展開がある。；彼らの治政の存続期間は契約の固有の課題ではなく人民の意志次第である。；また、義宗の庶子とする新田宗親の子孫も存続しているとする説がある。；また、観光路線などでは季節運行により存続しているケースもある。；こうした政治的な変化は国家の存続に危機感を抱いた民意の反映に他ならない。；またこの会で愛知県側から出された存続のための提案は、次のようなものだった。；ウェールズではケルト系の分裂した小国家が13世紀まで存続していた。；教会は「反革命活動」をしないことを条件に存続が許されている状況にある。；つまり文化要素は全て、それ自身を永久に存続させる方向へと進化するのである。；北小金駅〜西新田間は五香北線の北端部で最終的に存続した区間である。；著作権は、著作者が死亡してから70年を経過するまでの間、存続する。；この六部は清代末期に廃止されるまで存続することになる。；この形態の映画館はテレビが普及する50年代まで存続した。；これは現在に至るまで英王室次期王位継承者の称号として存続している。；そのころすでに会社は存続の危機を迎えていた。；現代まで存続している騎士の家系の多くはこの系統である。；ただ天皇は内閣の存続等に関する問題を全て元老に下問したわけではない。；野生個体群の存続についてはますます楽観できない状況になりつつある。</t>
        </is>
      </c>
      <c r="J4930">
        <f>HYPERLINK("https://www.weblio.jp/content/存続", "词义详情")</f>
        <v/>
      </c>
      <c r="K4930">
        <f>HYPERLINK("https://yourei.jp/存続", "查看例句")</f>
        <v/>
      </c>
    </row>
    <row r="4931">
      <c r="A4931" t="inlineStr">
        <is>
          <t>尊重</t>
        </is>
      </c>
      <c r="B4931" t="inlineStr">
        <is>
          <t>成功</t>
        </is>
      </c>
      <c r="C4931" t="inlineStr">
        <is>
          <t>読み方：そんちょう
［名］(スル)価値あるもの、尊いものとして大切に扱うこと。「人権を—する」</t>
        </is>
      </c>
      <c r="D4931" t="inlineStr">
        <is>
          <t>尊重する(24%)；尊重される(4%)；尊重しよ；尊重せら；尊重せよ</t>
        </is>
      </c>
      <c r="E4931" t="inlineStr">
        <is>
          <t>評価；尊敬；感心；敬意；賞賛</t>
        </is>
      </c>
      <c r="F4931" t="inlineStr">
        <is>
          <t>個性尊重；最大限尊重；人命尊重；尊重する気風；尊重する所以</t>
        </is>
      </c>
      <c r="H4931" t="n">
        <v>29</v>
      </c>
      <c r="I4931" t="inlineStr">
        <is>
          <t>各メンバーの今後の活動を尊重しあっての前向きな結論であるとのこと。；このたびは私たちのプライバシーを尊重していただき感謝しております。；ファンの人たちが僕の決断を理解し、尊重してくれることを望んでいる。；わが国及び外国の文化や伝統を深く理解し、尊重できる生徒を育成する。；ただし双方に共通する大きな特徴もあり、それは愛馬精神の尊重である。；これはその頃の少年の多感なイメージを強く尊重しているためである。；ただし尊重すべき理由があるときはそれ以下の年齢でも認められる場合がある。；人権、基本的自由を尊重する考え方は国連主要目的の柱の一つになった。；いずれにしろ主審が得点を認めた判断が尊重され、記録に残ることになる。；校風は自由が特徴であり、基本的に教師は生徒の意見を尊重している。；そうした経緯をふまえ、この基準を尊重するように編集をお願いします。；パパンドレウは人権の尊重に対する功績から様々な賞を授与されている。；複雑に配置されたふきだしも、元の意図を尊重した翻訳をすることができる。；藤子の意志を最も尊重した道具名を知りたいときにはこの書籍が有用である。；法律婚の尊重と、婚外子の保護のバランスをどこで取るかの問題である。；歴史的な経緯から、ポトミア州においてはその自治権が尊重されている。；しかし当時はほとんど尊重されず、第一次世界大戦後に国際連盟が改めて定めた。；事務所の幹部は本人の意思を尊重し、4月30日付での退所となった。；平和を求める大衆の意見を尊重すべきとのトロツキーの意見が反映されている。；残りのメンバーも彼女の決断を尊重し、1998年、バンド解散を発表。；一般的には、他の来場者のプライバシーを尊重することが求められている。；そして若きウェーバーの指導者であり、その作品を尊重して普及に努めた。；同じ区域のヨルダン川東岸も古代よりキリスト教徒たちに尊重されてきた。；元老会議の結果を尊重して明治天皇は日英同盟締結の裁可を下している。；だが、残されたスタッフは久世の遺志を尊重する形での制作続行を決めた。；様々な行事の企画・運営を行い、生徒の自主性を尊重した活動が行われている。；学校側は10月に政治活動の自由を尊重するとした見解を出した。；生徒の自主・自律を尊重し、生徒会活動や部活動も盛んに行われている。；派閥の影響力が低下した2000年代にあっても、その意思は尊重された。</t>
        </is>
      </c>
      <c r="J4931">
        <f>HYPERLINK("https://www.weblio.jp/content/尊重", "词义详情")</f>
        <v/>
      </c>
      <c r="K4931">
        <f>HYPERLINK("https://yourei.jp/尊重", "查看例句")</f>
        <v/>
      </c>
    </row>
    <row r="4932">
      <c r="A4932" t="inlineStr">
        <is>
          <t>損得</t>
        </is>
      </c>
      <c r="B4932" t="inlineStr">
        <is>
          <t>成功</t>
        </is>
      </c>
      <c r="C4932" t="inlineStr">
        <is>
          <t>読み方：そんとく
損することと得すること。損失と利得。損益。「—を離れた仕事」「—抜きの商売」</t>
        </is>
      </c>
      <c r="D4932" t="inlineStr">
        <is>
          <t>損得抜き(6%)；損得ぬき；損得なし；損得利害；損得問題</t>
        </is>
      </c>
      <c r="H4932" t="n">
        <v>29</v>
      </c>
      <c r="I4932" t="inlineStr">
        <is>
          <t>なぜ一時の損得などを大事に考えたのであろうと自身を責めていた。；それも意地は意地でも、自分の損得とは関係ない意地がお好みのようで。；駒の損得を中心に、玉形や駒の働きなどを評価対象としているものが多い。；ただぼくに話した場合の損得を計算して、口をきけずにいるだけなのだろう。；誰もが自分の損得だけを基準に生きている、とヘルベルト木山は言った。；しかし損得はこの世界に存在しているのではなく、ぼくの中に存在しているのだ。；しかし損傷にばかりとらわれて、損得のほうがおろそかになっても困る。；父は常に自分を正当化するし、自分の損得に関わる判断を尊重します。；一度も損得の関係が生じたことのない、懐かしいだけの相手だったからだろう。；そうして君ほどまた損得利害をよく心得ている男は世間にたんとないんだ。；店主の頭の中ではめまぐるしく損得計算が行われているに違いない。；こちらとしても、そこまで喜んでもらえるなら損得抜きでも嬉しくなる。；損得じゃなくて、奴らがここまで必死になって守るほど大切なものだから。；誰もかもが自分の損得だけを基準にして生きている。；攻防に必要な駒さえあれば全体的な駒の損得はほとんど形勢に影響しない。；人が上と下とに分かれておこなうのは、利害の調整や損得のやりとりだ。；行動の基準は金の損得、スキャンダルが病院経営に不利なことは知っている。；日本の子供には損得の問題を云つても、中々頭に這入るもので無い。；損をしたって、人間はあなたのように損得だけで生きてやしないんだから。；損得をかんがえて、そろばんをはじきながら喧嘩するやつがあるもんか。；別に損得を計算しての上ではないが、やつてみると、母はそれがうれしそうである。；日本の子供には損得の問題をいっても、中々頭に這入るものでない。；打っても叩いても進まばこそ、五十銭損得の境だから御者少年も汗みずくだ。；何の損得もなく自分を慕う女の価値を知っている人よ。；そうかと言って、そもそも損得がなければ、商売にはならない。；善悪がどうしたものか損得に姿を変え、また宗教も一種の商業的な取引きになっていた。；むろん損得だけで着るものを選ぶわけではないが、私は父のきものを今でも着ている。；さらに利己的を持ちだすまでのことはなく、問題はそれ以前の損得の先にあるのだ。；その時は損得で助けたんじゃないんでしょう?</t>
        </is>
      </c>
      <c r="J4932">
        <f>HYPERLINK("https://www.weblio.jp/content/損得", "词义详情")</f>
        <v/>
      </c>
      <c r="K4932">
        <f>HYPERLINK("https://yourei.jp/損得", "查看例句")</f>
        <v/>
      </c>
    </row>
    <row r="4933">
      <c r="A4933" t="inlineStr">
        <is>
          <t>そんな</t>
        </is>
      </c>
      <c r="B4933" t="inlineStr">
        <is>
          <t>成功</t>
        </is>
      </c>
      <c r="C4933" t="inlineStr">
        <is>
          <t>［形動］
１聞き手、または、そのそばにいる人が当面している事態や、現に置かれている状況がそのようであるさま。それほどの。そのような。「—話は聞いたことがない」「—に嫌ならやめなさい」
２聞き手のそばにある、または、聞き手がもっているものがそのようであるさま。それほど。そのような。「僕も—服が着てみたい」「—に高い時計、よく買えたね」
[補説]連体形に「そんな」「そんなな」の二形がある。連体形として一般には「そんな」の形が用いられるが、接続助詞「ので」「のに」などに続くときは「そんなな」の形が用いられる。「状況がそんななのに、よく無事でいられたものだ」</t>
        </is>
      </c>
      <c r="D4933" t="inlineStr">
        <is>
          <t>そんなこと(25%)；そんなもの(4%)；そんな中(2%)；そんな事(2%)；そんな風</t>
        </is>
      </c>
      <c r="E4933" t="inlineStr">
        <is>
          <t>そういう；そうした；そういった；そのような；かような</t>
        </is>
      </c>
      <c r="F4933" t="inlineStr">
        <is>
          <t>そんな気；どうしてそんな；そんな感じ；そんな言葉；なぜそんな</t>
        </is>
      </c>
      <c r="G4933" t="inlineStr">
        <is>
          <t>そんなふうに；そんなもんだろう；そんなヒロシに騙されて；そんなんじゃねえよ；そんなぼくがすき</t>
        </is>
      </c>
      <c r="H4933" t="n">
        <v>29</v>
      </c>
      <c r="I4933" t="inlineStr">
        <is>
          <t>そんなこと、私は知ったことではありません、私の責任ではありません。；今みたいに30球団で、そんな昔よりもレベルは落ちてはいるとは思う。；それを聞いたハイゼンベルクは、そんなことは不可能だと驚いたという。；しかしセヴマシュはそんな話は聞いていないとしてこの情報を否定した。；そんな二人を五郎は夜景の見える場所に連れ出し、感謝の言葉を述べる。；そんな折、主人公の下に日本から知らせがとどき、帰国することになる。；なかなかその機会がなくても、もうお前そんなこと言ってる歳じゃないぞと。；そんな夜、お母さんは木こりに子供を森の中に捨ててくるように提案する。；だが帝国主義者チャーチルにはもちろんそんなことは認められなかった。；そんな憧れの人が主題歌を担当したり、憧れの人から曲を提供をされる。；そんな折、説得に応じて前線に戻ってきた尊氏が指揮を取るようになった。；そんな生活を送りつつも、ララァは発作的に脱走を試みたこともあった。；彼が作品に書いていることには全く同意できないが、そんなことは問題ではない。；そんなある日、大雨で純の友人・チンタの家の畑が大きな被害を受ける。；そんな中で最終的に選ばれたのがハインケル社の提出した戦闘機案であった。；もしそんなことを受け入れたら、それはもはやブラックメタルではないよ。；でも実際に一年間見た人は誰もそんなことは思っていないはず。；そんなチーム状態の流れを払拭するべく立ち上がった選手がいた。；党首としてそんな簡単に党の看板を下ろすわけにはいかなかったのである。；そんなある日、頭部を銃で撃たれた重傷の少年ヨハンが搬送されてくる。；そんな私の前に現れた吉田拓郎は、この人、何をしようとしているんだろう?；そんな人たちの番組を配信という形でやろう、ということで始めました。；そんな中、長年アメリカへ留学していた長女・富貴子が突然帰国した。；そんな13歳の時に母親が経済的に大変なのにもかかわらず日本に来てくれた。；そんなある日のこと、発明家のフリックがまたトラブルを起こしていた。；しかしそんな中でも研究する研究者はおり、研究は緩やかに進んだ。；そんなことに見て見ぬふりをする文化国家なんてない。；しかし、そんな学園の状況に真っ向から歯向かう一人の男子生徒がいた。；中学を卒業して入門した力士で、そんな人はおそらくいないんじゃないかな?</t>
        </is>
      </c>
      <c r="J4933">
        <f>HYPERLINK("https://www.weblio.jp/content/そんな", "词义详情")</f>
        <v/>
      </c>
      <c r="K4933">
        <f>HYPERLINK("https://yourei.jp/そんな", "查看例句")</f>
        <v/>
      </c>
    </row>
    <row r="4934">
      <c r="A4934" t="inlineStr">
        <is>
          <t>そんなに</t>
        </is>
      </c>
      <c r="B4934" t="inlineStr">
        <is>
          <t>成功</t>
        </is>
      </c>
      <c r="D4934" t="inlineStr">
        <is>
          <t>そんなに早く；そんなに遠く；そんなに長く；そんなに悪い；そんなに多く</t>
        </is>
      </c>
      <c r="E4934" t="inlineStr">
        <is>
          <t>それだけ；それ程；然程；其程；其れ程</t>
        </is>
      </c>
      <c r="F4934" t="inlineStr">
        <is>
          <t>なぜそんなに；まだそんなに；もうそんなに；そんなにひどく；そんなに高く</t>
        </is>
      </c>
      <c r="H4934" t="n">
        <v>29</v>
      </c>
      <c r="I4934" t="inlineStr">
        <is>
          <t>なんだってそんなに遠くまで去っていかなければならなかったのだろう!；けれども実際来て見ますとそんなに形容してあるようなものはないです。；でも、そんなに重要でない使者の勤めなんてどんなものなんでしょうね?；私はそんなに深く知らぬものですからちょっとした事しか答えは出来ぬ。；そんなに すぐ でたり きえたりは いやだって いってやったんだ。；がそんなに単純に、歌舞妓芝居が一度だつて歩いて通つて来てはゐない。；信也氏が作者に話したのを直接に聞いた時は、そんなにも思わなかった。；すると郡長は、君はそんなに郡視学になりたいのかと言つたさうである。；そんな風に思ったが、いやそんなに深く考えることはいらなかったのだ。；そんなにいろんなものを脱いだところで別段役にも立つまいではないか。；そんなに海のそばまでいったら海に落ちるから嫌だ、と僕は言ったそうだ。；僕は友達から自分の長所を認められる事をそんなに大切な事とは思はない。；脚本と舞台との距離は、先づないといつていい例がそんなに稀ではない。；その男は、まだそんなに年をとったというほどではありませんでした。；何故この結婚をそんなにまで不愉快に思うかというには理由があるのです。；しかしそんなに思っていても僕達は一度も島へ行ったことがなかった。；けれども世間にはさう云ふことを考へてゐる人はそんなにありません。；何が俺をそんなに不安にしてゐたかがお前には納得が行くだらう。；彼は、高原を一人で通るのもそんなにさびしいとは思わなかったのです。；まるで子供のように見えますけれど、もうそんなになるんですかねえ。；そんなに学問は深い人じゃないけれども普通よく物の解る教師である。；そんなにして、とうとう二人は山と山との間の深い谷まで来てしまいました。；そして、何もそんなにしてまで行かなくても可いのだと思つてゐた。；彼女は、相手が何うして自分の結婚をそんなに気にするのか分らなかった。；彼女は、相手が何うして自分の結婚をそんなに気にするのか分らなかつた。；眼鏡 僕はどうしても自分の命が、そんなに大事なものだとは思へない。；木村が思うようにわたしは他人の誤解なんぞそんなに気にしてはいないの。；日本で生活していれば、食べるのにも住むのにもそんなには困らない。；この穏健な抗議者は何故自分が他人であることをそんなに光栄に思うのだ。</t>
        </is>
      </c>
      <c r="J4934">
        <f>HYPERLINK("https://www.weblio.jp/content/そんなに", "词义详情")</f>
        <v/>
      </c>
      <c r="K4934">
        <f>HYPERLINK("https://yourei.jp/そんなに", "查看例句")</f>
        <v/>
      </c>
    </row>
    <row r="4935">
      <c r="A4935" t="inlineStr">
        <is>
          <t>田</t>
        </is>
      </c>
      <c r="B4935" t="inlineStr">
        <is>
          <t>成功</t>
        </is>
      </c>
      <c r="C4935" t="inlineStr">
        <is>
          <t>読み方：た
耕して稲などを栽培する土地。ふつうは水を引き水稲を栽培する水田をさす。畑に対していう。たんぼ。「—を打つ」
[下接語]青田・荒(あら)田・新(あら)田・荒れ田・植え田・門(かど)田・刈り田・黒田・塩田・代(しろ)田・白田・泥田・沼田・冬田・古田・水田（だ）浅田・稲(いな)田・陸(おか)田・小(お)田・牡蠣(かき)田・隠し田・草田・棚田・築(つき)田・苗代(なわしろ)田・野田・蓮(はす)田・穭(ひつじ)田・深田・外持(ほまち)田・谷(やち)田・病(やまい)田・山田・早稲(わせ)田</t>
        </is>
      </c>
      <c r="D4935" t="inlineStr">
        <is>
          <t>田舍(4%)；田さん；田氏；田豫；田儋</t>
        </is>
      </c>
      <c r="E4935" t="inlineStr">
        <is>
          <t>代；水田；野田；小田；田圃</t>
        </is>
      </c>
      <c r="F4935" t="inlineStr">
        <is>
          <t>添田；牟礼田；班田；豪田；職田</t>
        </is>
      </c>
      <c r="G4935" t="inlineStr">
        <is>
          <t>田中；田村；田畑；田園；田島</t>
        </is>
      </c>
      <c r="H4935" t="n">
        <v>29</v>
      </c>
      <c r="I4935" t="inlineStr">
        <is>
          <t>地図によっては国の郡の数や田の面積などを記しているものもある。；あくまで田のある土地においてそれぞれ独立して方格線が引かれている。；ハス田や干潟などが減少したことから、日本への渡来数は減少している。；かつては添田線との接続駅であり、同線のホームは旧駅舎の前にあった。；当交差点は、京都市中心部のいわゆる田の字地区の北東角に位置している。；その時早苗が戻って来たが、一言言っただけで添田は立ち去ってしまう。；身を引くしかない百合は絶望して田倉家を出、希望の窯元にやってくる。；開墾田を国税の中に取り込んでいくシステムの確立が図られたのである。；お祭りや稲の植え付けの際に田のあぜに旗を立てていたからと言う説。；屋内に土間があり、田の字型の間取りとしたものが典型的なものである。；かつては田に長い糸を張り、糸に沿って手で稲の苗を一本ずつ植えていた。；主に弘法山古墳や中山遺跡、同市内田のエリ穴遺跡の出土品を展示する。；この文書への署名は実名のみで田三郎などの通称は記されていない。；田乃内家の生活に馴染めずこの家を出て自分らしく生きたいと望むせき。；椿の槌をつくった所を海石榴市といい、血が大量に流れた所を血田という。；貧しい者は城壁の外に家を構え、より遠くにある田まで行く生活をしていた。；このカバーを出して以降、種が國府田に多くの楽曲を提供し始める。；市の北部は、田や山が広がっており豊かな田園地帯が広がっている。；もし占田が一般民を対象とするのならば田租が無いことは有り得ない。；新田とは、新たに田や畑などとするため開墾して出来た農地のことである。；郡名は出土木簡によると、古代では各田・農多とも表記されている。；踏切跡付近には干河バス停があり、田之野経由のなんてつ号が停車する。；自宅で食べる米は自分の田からとれたもので賄えるほどという。；また、田のあぜによくは生えているので、タゼリとよばれる場合もある。；営業区間は現在の日田彦山線中間部、廃止された添田線の全区間に相当する。；孫臏が斉の田忌に仕えたとき、威王が主催する競馬大会が開かれていた。；火遠理命は海神に言われた通りに釣針を返し、言われた通りに田を作った。；このことから占田と課田とでは対象を異とするのではないかとも考えられる。；何らかの理由で一時的に稲以外の作物を育てている田を転作田と呼ぶ。</t>
        </is>
      </c>
      <c r="J4935">
        <f>HYPERLINK("https://www.weblio.jp/content/田", "词义详情")</f>
        <v/>
      </c>
      <c r="K4935">
        <f>HYPERLINK("https://yourei.jp/田", "查看例句")</f>
        <v/>
      </c>
    </row>
    <row r="4936">
      <c r="A4936" t="inlineStr">
        <is>
          <t>ダース</t>
        </is>
      </c>
      <c r="B4936" t="inlineStr">
        <is>
          <t>成功</t>
        </is>
      </c>
      <c r="C4936" t="inlineStr">
        <is>
          <t>読み方：だーす
《desktop as a service》インターネットを経由して、デスクトップの利用環境を提供するクラウドコンピューティングのサービスの一つ。会社、外出先、在宅勤務においても、端末を問わず、仮想的に同じ作業環境を共有できる。サービスとしてのデスクトップ。デスクトップ‐アズ‐ア‐サービス。</t>
        </is>
      </c>
      <c r="D4936" t="inlineStr">
        <is>
          <t>ダース以上(4%)；ダース単位(2%)；ダース分；ダースあまり；ダース程度</t>
        </is>
      </c>
      <c r="E4936" t="inlineStr">
        <is>
          <t>十二</t>
        </is>
      </c>
      <c r="F4936" t="inlineStr">
        <is>
          <t>半ダース；二ダース；何ダース；三ダース；数ダース</t>
        </is>
      </c>
      <c r="G4936" t="inlineStr">
        <is>
          <t>ダース・シディアス；ダース・モール；ダーストン；ダース・ヴェイダー；ダースト</t>
        </is>
      </c>
      <c r="H4936" t="n">
        <v>29</v>
      </c>
      <c r="I4936" t="inlineStr">
        <is>
          <t>一ダースあまりの灰色の男たちが兵士のようにいびきをかいて寝ていた。；島にはみんなで一ダース足らずしかないのだからと書いてあつたさうだ。；やりたいことは一ダースもあるが、エネルギーがないからできないんだ。；この時間でも、中央口の近くで半ダースのタクシーが客待ちをしている。；たいして知りたくもない近所の人たちの日常を半ダースも聞かされたが。；テーブルが一つと半ダースほどの椅子が、その大部分を占領している。；一人の年配の大人を教師として、一ダースかそれ以上の子供たちがいた。；総計で一ダースほどおり、すでにひとりを除いて拳銃を抜き持っていた。；数多くの砲撃がなされたものの、命中したのは1ダース分のみであった。；味方のなかの一人の敵のほうが一ダースの阿呆な敵よりずっとこわい。；それは一つの急進的グループになる代わりに、一ダースにも分裂した。；すぐ後ろから剣を抜いた一ダースほどの戦士たちが追ってくる。；かれの腕にはそれぞれ一ダースずつもの手がからみついているように思われた。；さらに、他にも2ダース以上の艦船に重大な欠陥があることも判明した。；コメとそれに従う一ダースほどの人間が、全員銃をたずさえて出てきた。；二流の情報を得るために一ダースもの刑事が日夜働くことだってある。；いろいろな用事にかこつけて、付近の事務所を一ダースばかり訪問する。；赤シャツが何ダース寄ったって、これほど立派な旦那様が出来るもんか。；私のほうも二ダース入りのコーラの箱をかついで応援に行くことがあった。；ブッシュの英語誤用は、その内容を記録した数ダースの本を生み出した。；二隻の船はいまや半ダースもの文明が放つ探査機にとりかこまれている。；薄明るい照明の下に、一ダースほど、ガラスのケースが配置されている。；彼が飲みほした血の量は、ビール瓶二ダースは下らないと言われている。；刑を恐れた販売業者は、1ダース購入した客に1個追加することにした。；表面が穴だらけになっていて、それが少なくとも一ダースはある。；おれが来てからでも、一ダース半の人間が殺されたじゃないか。；鉛筆は1本単位で売られているほか、1ダース単位でも販売されている。；二人はロボットを半ダースものドームに派遣したが、結果はいつも同じだった。；客の人数が多いと、倉沢は一ダースのビールを木箱のままで畳の上においた。</t>
        </is>
      </c>
      <c r="J4936">
        <f>HYPERLINK("https://www.weblio.jp/content/ダース", "词义详情")</f>
        <v/>
      </c>
      <c r="K4936">
        <f>HYPERLINK("https://yourei.jp/ダース", "查看例句")</f>
        <v/>
      </c>
    </row>
    <row r="4937">
      <c r="A4937" t="inlineStr">
        <is>
          <t>対</t>
        </is>
      </c>
      <c r="B4937" t="inlineStr">
        <is>
          <t>成功</t>
        </is>
      </c>
      <c r="C4937" t="inlineStr">
        <is>
          <t>読み方：たい
［音］タイ（呉）（漢）ツイ（唐）　［訓］むかう　こたえる
［学習漢字］3年
〈タイ〉
１向かい合う。二つが向き合う。「対岸・対決・対抗・対座・対策・対象・対比・対面・対立／絶対・相対・敵対・反対」
２相手になって受け答えする。「応対・接対」
３二つで一組のもの。「対偶」
４対島(つしま)国。「対州」
〈ツイ〉の3に同じ。「対句／一対」</t>
        </is>
      </c>
      <c r="D4937" t="inlineStr">
        <is>
          <t>対潜(4%)；対手(4%)；対日(3%)；対米(3%)；対独</t>
        </is>
      </c>
      <c r="E4937" t="inlineStr">
        <is>
          <t>反対；対立；抵抗；対抗；反抗</t>
        </is>
      </c>
      <c r="F4937" t="inlineStr">
        <is>
          <t>三対；対英；対阪神戦；対ヤクルト；対ロッテ</t>
        </is>
      </c>
      <c r="G4937" t="inlineStr">
        <is>
          <t>対象；対立；対策；対戦；対抗</t>
        </is>
      </c>
      <c r="H4937" t="n">
        <v>29</v>
      </c>
      <c r="I4937" t="inlineStr">
        <is>
          <t>これらは国語辞典と対になっており、セット販売を行っているものがある。；スペインは対オランダ戦争に向けての重要なルートを確保した。；こうして対清輸出拡大を望むイギリスの試みは失敗に終わった。；妻の早川殿と対になった肖像画があり、現在米国の個人が所蔵している。；この時、既に対蔣介石クーデターの構想などが練られていたと言われる。；また6月にアメリカは国民党政府に向けて対中軍事援助法案を採択した。；夏の陣図は1枚で、冬の陣の中心図と対になる構成になっている。；多くの場合、これは羽状複葉の側小葉が一対のみになったものと見られる。；先に向かって細くなり、先端以外の肢節にそれぞれ1対の内突起をもつ。；対巨人戦以外の試合は視聴率と聴取率が取れないことにも起因していた。；選手ごとに1対1で自分が担当する選手をマークするディフェンスのこと。；対になっていない電子では磁気モーメントの向きは自由である。；それはN極またはS極がもう一方と対ではなく単独で存在するものを指す。；張琨夫妻は の12母音が6つずつ対をなして母音調和を起こすとする。；メルケル政権は発足当初から積極的な対露・対米外交を展開して高支持率を記録。；各胴節の両腹側からは1対の丸みを帯びた三角形の鰭が張り出している。；また大西洋では再度潜水艦と対潜部隊の大規模な戦闘が行われた。；行列を構成する行の数と列の数の対を型 あるいはサイズという。；そのような対ふたつの和および実数倍は および で定義される。；左右一対もつ種もあるが、日本産のものは全部左側にだけ鰓穴がある。；このため外見はほぼ「カニ」であるが、脚が3対しかないように見える。；また、日本企業は中国に工場を置くことで対中輸入を減らしていた。；作者は何事もなかったかのようにダイエー対中日の日本シリーズを掲載した。；この発想は、チベット仏教が対中国的に自らの権威を強調するのに利用された。；前者を採った場合のロシアにとっての東部戦線とは、対日戦争を意味する。；しかしながら、少なくとも1対のティンパニは含められていることが多い。；獣類の長とされ、鳥類の長たる鳳凰と比せられ、しばしば対に扱われる。；空間で粒子と反粒子が対消滅すると、少なくとも二つの光子が生成される。；上式で右辺第二項が非断熱項の非対角部分、第三項が非断熱項の対角部分である。</t>
        </is>
      </c>
      <c r="J4937">
        <f>HYPERLINK("https://www.weblio.jp/content/対", "词义详情")</f>
        <v/>
      </c>
      <c r="K4937">
        <f>HYPERLINK("https://yourei.jp/対", "查看例句")</f>
        <v/>
      </c>
    </row>
    <row r="4938">
      <c r="A4938" t="inlineStr">
        <is>
          <t>隊</t>
        </is>
      </c>
      <c r="B4938" t="inlineStr">
        <is>
          <t>成功</t>
        </is>
      </c>
      <c r="C4938" t="inlineStr">
        <is>
          <t>読み方：たい
［音］タイ（漢）
［学習漢字］4年
１組織され一団となった集まり。「隊員・隊商・隊長・隊列／横隊・楽隊・縦隊・編隊」
２特に、兵の集団。「軍隊・除隊・大隊・部隊・兵隊・連隊」</t>
        </is>
      </c>
      <c r="D4938" t="inlineStr">
        <is>
          <t>隊司令；隊内；隊隊長；隊本部；隊所属</t>
        </is>
      </c>
      <c r="E4938" t="inlineStr">
        <is>
          <t>部隊；団；班</t>
        </is>
      </c>
      <c r="F4938" t="inlineStr">
        <is>
          <t>攻撃隊；警備隊；支隊；飛行隊；捜索隊</t>
        </is>
      </c>
      <c r="G4938" t="inlineStr">
        <is>
          <t>隊長；隊列；隊士；隊商；隊形</t>
        </is>
      </c>
      <c r="H4938" t="n">
        <v>29</v>
      </c>
      <c r="I4938" t="inlineStr">
        <is>
          <t>この時に決められた諸隊編成および指揮長は以下の通りである。；午後12時、原は各隊にアメリカ軍機動部隊の正確な位置情報を求めた。；ここには砂漠を進む商隊の灯台として使われたと推定されているが残る。；ここにはヴィクトル・スタンクレスクが約束した予備隊が待機していた。；やがて征討軍は別隊を進め、薩軍の中腹を攻撃しようと熊本隊に迫った。；結果、両者の間の高熊山に籠もっていた熊本隊は完全に包囲された。；ポーランド隊の結論には問題があると早くから言われていた。；第一特別基地隊司令部では、兵器として採用するか否かの審議が行われた。；歌は極めて巧みであるが、それはイギリス人が優れた合唱隊であるからだ。；第二波攻撃隊は、別の米空母が健在である可能性も報告している。；金剛隊以降、硫黄島や沖縄支援のために出撃した回天部隊は下記となる。；但し、一部隊に与えられた移動力のうちいくつを消費するかはプレイヤーの任意である。；この位置報告はずれており、実際の米艦隊の位置は160kmも南であった。；これは雷撃隊が同時攻撃をかけたため、戦果を誤認したものと考えられる。；すると各隊から次々に敵情報が入った。；右翼隊はこの攻撃より目標に加えられた203高地攻撃を任される。；衛生科はもはや訓練された隊として活動する事はできなかった。；馬公には4月18日に到着、正式に第27駆逐隊が五航戦の指揮下に入る。；ラバウル空襲後、五航戦は主隊と分離してパプアニューギニアへ向かう。；攻撃直後、各空母の攻撃隊は敵艦船に与えた損害を下記のとおり報告している。；予備役飛行隊に配備された機体も翌年には姿を消している。；捜索隊は洞窟の前まで来たにも関わらず中をのぞかずに去った。；また軍隊を洋式化し、銃隊をイギリス式、砲隊をオランダ式にした。；ルーマニア兵は対戦車兵器がなく、戦車隊の攻撃を受け混乱状態に陥る。；その隊旗が現れたとき、敵は恐怖で凍りついたと言われる。；進言時点で第二次攻撃隊は出撃の準備態勢に入っており、発進は可能だった。；急遽、第1次越冬隊で犬係だった北村が次の機で基地に向かうことになった。；三軍の他にも内務省指揮下の国家警備隊と沿岸警備隊が存在する。；車長用の偵察装置にはカニ目型の砲隊鏡のほか、ペリスコープが用意された。</t>
        </is>
      </c>
      <c r="J4938">
        <f>HYPERLINK("https://www.weblio.jp/content/隊", "词义详情")</f>
        <v/>
      </c>
      <c r="K4938">
        <f>HYPERLINK("https://yourei.jp/隊", "查看例句")</f>
        <v/>
      </c>
    </row>
    <row r="4939">
      <c r="A4939" t="inlineStr">
        <is>
          <t>大</t>
        </is>
      </c>
      <c r="B4939" t="inlineStr">
        <is>
          <t>成功</t>
        </is>
      </c>
      <c r="C4939" t="inlineStr">
        <is>
          <t>読み方：おお
［形動ナリ］大きいさま。たっぷりしたさま。
「夏影のつま屋の下に衣裁(きぬた)つ我妹(わぎも)裏設(うらま)けてあがため裁たばやや—に裁て」〈万・一二七八〉
［接頭］名詞に付く。
１大きい、広い、数量が多い、などの意を表す。「—男」「—海原」「—人数」
２物事の程度がはなはだしい意を表す。「—急ぎ」「—地震」
３極限・根本などの意を表す。「—みそか」「—もと」
４序列が上位・年長であることを表す。「—先生」「—番頭」「—旦那」「—女将(おかみ)」
５おおよそ・大体の意を表す。「—ざっぱ」「—づかみ」
６尊敬・賛美の意を表す。「—御所」「—江戸」</t>
        </is>
      </c>
      <c r="D4939" t="inlineStr">
        <is>
          <t>大統領(13%)；大ヒット(2%)；大輔；大喜び；大坂</t>
        </is>
      </c>
      <c r="E4939" t="inlineStr">
        <is>
          <t>大きな；非常；大学；大きい；広い</t>
        </is>
      </c>
      <c r="F4939" t="inlineStr">
        <is>
          <t>三大；大流行；大介；大日本帝国；大大会</t>
        </is>
      </c>
      <c r="G4939" t="inlineStr">
        <is>
          <t>大きく；大学；大会；大きい；大阪</t>
        </is>
      </c>
      <c r="H4939" t="n">
        <v>29</v>
      </c>
      <c r="I4939" t="inlineStr">
        <is>
          <t>単独で降伏した者は少なく、大部隊が一度に降伏することが多かった。；小型大出力、起動時間の短さ、整備性の良さ等が評価された結果である。；アフリカから多くの黒人が大西洋を越えて新大陸へ奴隷として運ばれた。；西洋中世に何度も大流行したペストの際にも、ペスト除けに利用された。；行政府の長である首相は議会によって選出され大統領により任命される。；これにより、国内3大タイトルを全て獲得した5つ目のクラブとなった。；これは、メドベージェフ大統領が死刑の廃止を支持していた背景がある。；大の軍事ファンであり、その中でも特に戦車が好きなようである。；首相は連邦議会議員であることを要するが、大統領はこの限りではない。；ユーゴスラビア時代に存在した首相は存在せず、大統領が閣議を主催した。；既に年長大であり、夫はいない、弟がいて彼女を助けていたとの伝承がある。；大統領および8人の副大統領と21人の閣僚で閣僚評議会が形成される。；地方行政は中央集権体制がとられており、各県知事は大統領が任命する。；ラリー・ウォールによれば、プログラマの三大美徳とは次の通りである。；このほか、フランス語の母語話者が大勢力を持つ国としてはカナダがある。；一般に大統領は議会の法案への拒否権を持つが、法案の提出権はない。；以下の明治3年の例では小・大・大・小・大・小・大・小・大・小・小・大・小の順となっている。；現代も残る大戦車競技場が建設されたのもこの頃と言われる。；インドの民衆に伝わると国民的反発を各地で呼び、大暴動が勃発。；これによりSU理論は否定され、大統一理論に修正を迫ることになった。；大統領制は独自に選挙を経て大統領を選出する。；商用周波数での起動の困難のために無用に大出力の電動機を採用していた。；ただし、通常は大伸ばししなければピントが外れているように見えることは無い。；大統領は議会とは独立した地位にあり、議会の勢力と関係なく一定の任期が保証される。；現在「大統領」という言葉を使用しているのは日本と大韓民国である。；ゲドは先の旅で全ての力を失い、大賢人の地位を自ら降りて故郷の島へ帰ってきた。；元首である大統領は議会で選出され、大統領の任期も連動して4年である。；それと同時に大統領による独裁体制も集団指導体制へと移行した。；観測の結果から年を追うごとに拡大傾向にあることが分かった。</t>
        </is>
      </c>
      <c r="J4939">
        <f>HYPERLINK("https://www.weblio.jp/content/大", "词义详情")</f>
        <v/>
      </c>
      <c r="K4939">
        <f>HYPERLINK("https://yourei.jp/大", "查看例句")</f>
        <v/>
      </c>
    </row>
    <row r="4940">
      <c r="A4940" t="inlineStr">
        <is>
          <t>台</t>
        </is>
      </c>
      <c r="B4940" t="inlineStr">
        <is>
          <t>成功</t>
        </is>
      </c>
      <c r="C4940" t="inlineStr">
        <is>
          <t>読み方：うてな
１四方を眺めるために建てられた高い建物。高殿(たかどの)。
２極楽に往生した者の座る蓮(はす)の花の形をした台。蓮台(れんだい)。
３（「萼」とも書く）花の萼(がく)。
４眺望をよくするために、土を積んで高くした所。〈和名抄〉</t>
        </is>
      </c>
      <c r="D4940" t="inlineStr">
        <is>
          <t>台分；台以上；台目；台後半；台設置</t>
        </is>
      </c>
      <c r="E4940" t="inlineStr">
        <is>
          <t>座；塔；基礎；スタンド；卓</t>
        </is>
      </c>
      <c r="F4940" t="inlineStr">
        <is>
          <t>二台；万台；数台；何台；十台</t>
        </is>
      </c>
      <c r="G4940" t="inlineStr">
        <is>
          <t>台所；台車；台詞；台風；台頭</t>
        </is>
      </c>
      <c r="H4940" t="n">
        <v>29</v>
      </c>
      <c r="I4940" t="inlineStr">
        <is>
          <t>原作の登場人物の大半は登場せず、レギュラーとなるマシンは5台のみ。；座席配置は100番台と同じであるが、経済性を重視した設計とされた。；運転出来ない若年層を考慮すると平均ではほぼ1人に1台の状態である。；ベンツは最初の自動車販売店を作り、生産した自動車を数百台販売した。；そのため、最初から3台のピアノを用意して演奏をしたこともあった。；ホームには2台以上の大型総合案内板が1987年より設置されている。；これらは基本的に日本で開発された台を利用したものである。；一般のブランコの紐を長くし台を極限まで小さくしたものと解してよい。；しかしいずれの建造物も高さは140mから160m台にすぎなかった。；また朝7時台には土休日運休の養老発大垣行きの列車も設定されていた。；相乗りとは、一台の乗り物に複数人数が一緒に乗り合わせることをいう。；街中には約40万台と言われるリキシャが毎日行き交う事でも知られる。；また、東仙台付近の丘陵地に須恵器を生産した窯跡群が発見されている。；路線用車は、2022年3月31日時点で12台のバス車両を保有する。；このうちの1台は男爵いもで有名な川田龍吉男爵が購入し自ら運転した。；その先には、雪に埋もれるように、見慣れた一台の車が止まっていた。；世界では2006年現在で約1145万台がLPガスを利用している。；各学校の通学区域が広いため21台のスクールバスが運行されている。；舗装されたクローズドコースにて同時に複数台がスタートし順位を競う。；円筒埴輪の一種で、基台の上に朝顔のような器がついた形状からその名がある。；規格上は、最大127台までの機器を一つのバスに接続することができる。；この工場は年間15万台のマシンを製造する能力があった。；BRICsの一員である南アフリカ共和国では約50万台の生産があった。；なお、以前は通路が狭く、自動改札機が両端に1台ずつ設置されていた。；点火して後に親族間で束を分け、それぞれが焼香台に添える場合もある。；近代的なモノコック構造の車両では、台枠と一体となって強度を負担している。；これは聖伝において十字架に足台が設けられていたと伝えられている事による。；長期にわたって製造されていることから、8番台・13次車に分けられる。；このパチスロ機は史上最高の60万台を超える出荷台数を記録している。</t>
        </is>
      </c>
      <c r="J4940">
        <f>HYPERLINK("https://www.weblio.jp/content/台", "词义详情")</f>
        <v/>
      </c>
      <c r="K4940">
        <f>HYPERLINK("https://yourei.jp/台", "查看例句")</f>
        <v/>
      </c>
    </row>
    <row r="4941">
      <c r="A4941" t="inlineStr">
        <is>
          <t>題</t>
        </is>
      </c>
      <c r="B4941" t="inlineStr">
        <is>
          <t>成功</t>
        </is>
      </c>
      <c r="C4941" t="inlineStr">
        <is>
          <t>読み方：だい
［音］ダイ（呉）
［学習漢字］3年
１書物や作品の内容を表す名。巻頭につけた見出し。タイトル。「題字・題名／改題・外題(げだい)・内題・表題・副題・傍題・無題」
２解答を求める問い。テーマ。「課題・歌題・解題・季題・議題・主題・宿題・出題・難題・本題・命題・問題・例題・論題・話題」
３最初に書き記す文。「題辞・題跋(だいばつ)」
４詩文などを書き記す。「題画・題額」
［名のり］みつ</t>
        </is>
      </c>
      <c r="D4941" t="inlineStr">
        <is>
          <t>題額；題箋；題百；題記；題師</t>
        </is>
      </c>
      <c r="E4941" t="inlineStr">
        <is>
          <t>目；名；問題；名前；名称</t>
        </is>
      </c>
      <c r="F4941" t="inlineStr">
        <is>
          <t>この間題；同題；日本語題；訳題；ふ問題</t>
        </is>
      </c>
      <c r="G4941" t="inlineStr">
        <is>
          <t>題名；題し；題する；題目；題さ</t>
        </is>
      </c>
      <c r="H4941" t="n">
        <v>29</v>
      </c>
      <c r="I4941" t="inlineStr">
        <is>
          <t>の英語題で呼ばれることもあり、同タイトルの小説も発行されている。；下記のうち日本語題の付されていない作品はすべて日本未公開である。；日本語題にも掲げられた本作の舞台・は、パリ・8区にある街路である。；日本では、劇団四季がこの題での子供向けミュージカルを上演している。；その記録は「からだ 演劇 教育」の題で岩波新書から出版されている。；後にこの経験を『死の陰の谷を脱出す』という題で聖潔の友で発表する。；内容は六帖すなわち6冊で、およそ4千数百首の和歌を題別に収録する。；珠型五珠題数提示選択打ちは日本の山口釉水九段が提唱したルールである。；前回は自由なお題だったが、タイトルが固定され「ぜつぼう」となった。；但し、ジャケットや歌詞カードに書かれたタイトルは旧題のままである。；そのように描かれた龍田川の様子を題にして詠んだ和歌ということである。；旅ごとに題が付けられ、冒頭では執筆の背景が簡潔に述べられている。；アニマルズという題だけあって動物の鳴き声が効果的に使用されている。；章題として取り上げられている作品はすべて江戸川乱歩の作品・著書である。；彼は元々24題の問題を用意していたが、その内の1題は割愛された。；上で紹介したあらすじでも見られるとおり、これらの題がちゃんと入っている。；各楽章にはそれぞれの特徴を端的に表した章題がつけられている。；古代メキシコ神話やメキシコの市井の市民の姿を題にして、壁画を描いた。；参考のため訳題を掲げるが、1つを除いて日本語訳は公刊されていない。；明治末期に東京に移されたとし、以降『へっつい幽霊』の題で知られる。；またNSAは国外の通信を傍受する組織のはずだった為に大問題になった。；トールキンがもともと6部構成につけようとしていた題は次のとおりである。；またチリ海軍ではナバルの題で公式行進曲の1つとして使用されている。；各葉または半葉ごとに小題一行が掲げられている。；日本政府が全く関与しないうちに、それは大陸での大問題であった。；同題の小説を原作に、スタジオジブリが初のテレビ向け作品として制作した。；本作の題は長いため、『博士の異常な愛情』と略して呼ばれる事が多い。；以下が7編のリストであるが、発表順で、日本語題、原題の順に示す。；邦題がイタリア語題の直訳と一致した場合でも両方を掲載しました。</t>
        </is>
      </c>
      <c r="J4941">
        <f>HYPERLINK("https://www.weblio.jp/content/題", "词义详情")</f>
        <v/>
      </c>
      <c r="K4941">
        <f>HYPERLINK("https://yourei.jp/題", "查看例句")</f>
        <v/>
      </c>
    </row>
    <row r="4942">
      <c r="A4942" t="inlineStr">
        <is>
          <t>体当たり</t>
        </is>
      </c>
      <c r="B4942" t="inlineStr">
        <is>
          <t>成功</t>
        </is>
      </c>
      <c r="C4942" t="inlineStr">
        <is>
          <t>読み方：たいあたり
［名］(スル)
１からだ全体を激しく相手にぶつけること。「—をくわせる」「—してドアのロックを破る」
２捨て身になって事に当たること。「—の演技」</t>
        </is>
      </c>
      <c r="D4942" t="inlineStr">
        <is>
          <t>体当たり機；体当たり男性論；体当たりで破壊できる</t>
        </is>
      </c>
      <c r="F4942" t="inlineStr">
        <is>
          <t>一個体当たり</t>
        </is>
      </c>
      <c r="H4942" t="n">
        <v>29</v>
      </c>
      <c r="I4942" t="inlineStr">
        <is>
          <t>何故かは分からないが、人ではなく犬が体当たりで店のドアを開けたのだ。；その名の通りパンツ一丁で街に出没し、様々な企画を体当たりで行った。；武装類は特に装備されていないため、戦闘時は体当たりが主な攻撃手段となる。；男がふたり、空気に体当たりをくわせるように勢いよく飛び出してきた。；体当たりも、一本一本の打ちも、極めて厳しい渾身の一撃の連続だった。；そのような場合、体当たりはある程度の範囲で認められる例がある。；空中戦での体当たりは、すべての作戦が失敗した際の土壇場の作戦である。；ヒロイン役の北村優衣がヌードとなって体当たりのシーンを演じている。；二番機は戦場上空にて解散後不明ですが、体当たりをやったものと思われます。；薬師丸も体当たりで演技したシーンだったため、このシーンの復活を喜んだ。；さらに茶の葉を噛んで自身を奮い立たせ、大木に体当たりを繰り返した。；キャプチャーした敵の攻撃・体当たりで敵を破壊すると得点に倍率がかかる。；体当たりを食わせる前に、常套的だけど儀式というものが一応あるんだ。；攻撃も、これまでの体当たりから、武器を振って行うものになった。；その隙に突進した少女は、飛び込んできた勢いのまま女に体当たりをかけた。；戦闘時にはキューブモードになることで敵の攻撃を防御することや体当たりもできる。；ただ自分の体当たりの戦果を知ることができないのが心残りであるに違いない。；従って体当たりも辞さない覚悟がないと正確な投弾を行うことができなかった。；浅田真由も高校生に交じって様々なスポーツを体当たりでプレーし体験。；体当たりのような勢いで俺の背中を削りながら、リュウシさんが掠める。；それに答える余裕を与えずに、新三郎は黒い影に体当たりをした。；四人目は体当たりをするように、両手で短剣を構えて走ってきた。；体当たり可や敵味方で反対周りにしたりすることで幅が広がる。；裏のドアは開かないらしく、男は体当たりを始めたのである。；矢を自分の体の前に保持しながら体当たりをする要領で突き刺すことはできます。；向こう側にいた利光は、その体当たりをまともにくらって床に転がった。；体当たりは、自身の体をぶつける事により相手を突き飛ばす行為である。；すると横手から突然現れた聖機人が、青い聖機人に体当たりをぶちかました。；扉は内側から鍵が掛かっていたんで、二人で体当たりをしてぶち破りました。</t>
        </is>
      </c>
      <c r="J4942">
        <f>HYPERLINK("https://www.weblio.jp/content/体当たり", "词义详情")</f>
        <v/>
      </c>
      <c r="K4942">
        <f>HYPERLINK("https://yourei.jp/体当たり", "查看例句")</f>
        <v/>
      </c>
    </row>
    <row r="4943">
      <c r="A4943" t="inlineStr">
        <is>
          <t>体育</t>
        </is>
      </c>
      <c r="B4943" t="inlineStr">
        <is>
          <t>成功</t>
        </is>
      </c>
      <c r="C4943" t="inlineStr">
        <is>
          <t>読み方：たいいく
知育・徳育に対して、適切な運動の実践を通して身体の健全な発達を促し、運動能力や健康な生活を営む態度などを養うことを目的とする教育。また、その教科。</t>
        </is>
      </c>
      <c r="D4943" t="inlineStr">
        <is>
          <t>体育施設(4%)；体育系(4%)；体育連盟(3%)；体育倉庫(2%)；体育学校(2%)</t>
        </is>
      </c>
      <c r="F4943" t="inlineStr">
        <is>
          <t>女子体育；体育専門；筑波大学体育；体育指導；総合体育</t>
        </is>
      </c>
      <c r="G4943" t="inlineStr">
        <is>
          <t>体育祭；体育会；体育会系；体育教師；体育協会</t>
        </is>
      </c>
      <c r="H4943" t="n">
        <v>29</v>
      </c>
      <c r="I4943" t="inlineStr">
        <is>
          <t>以下の専門競技部があり、各種体育競技の主催及び支援を行っている。；海鳴祭とは体育祭と文化祭の総称であり以前は6月に両方行われていた。；また旧校舎には校庭がなく、体育の際には本校舎や市の施設を使っていた。；これには学校においてスポーツ体育が実施されるようになった影響もある。；体育の授業の一環で行うため特別な事情がある場合を除いては全員参加である。；現在でも希望が多い場合でない限りは体育の授業でも水泳は行われていない。；中央の線路は機場北機場北 - 体育西路間の系統が折返し運転を行う。；このような学校では運動場での体育などのときも裸足で生活する例が多い。；小学校でも運動を止められていて体育の授業は座って見ているだけの生徒であった。；当時の名門家では文武両道を旨とし知的教育と並んで体育も奨励された。；今日に至っては、こうした専門分野は体育や技術など多岐にわたっている。；彼らは社会体育勢が中心の全柔連のやり方に不満を持つようになった。；武道・体育・スポーツに関する教育・研究を中心とする私立大学である。；クチンスカヤはまだ幼稚園に通っていた時に体育競技クラスに選出された。；さらに、運動も苦手としており、体育の成績は芳しいものではなかった。；正式には秋輝祭体育の部だが、一般には体育祭と呼ばれることが多い。；当校の年間最大の行事であり、文化の部と体育の部とからなっている。；行われる競技は、主に体育の授業で実施される球技種目が中心となる。；また体育学校第二教育課長の高長信吉からは教官になるように勧められていた。；科の垣根を越えて交流を深めるため体育大会や体育交流も実施されている。；続く全国体育系学生女子体重別団体大会では山梨学院大学の優勝に貢献した。；アシスタントは体育系学生が殆どだが、体育系以外の一般学生も若干いる。；主に小学校の体育の授業の一環や、子供会の活動として行われている。；体育を重視しており、年に一回体育祭で比較的大規模なマスゲームを行う。；夏以外の季節にも体育の授業では月に一度水泳の授業がある。；彼自身も大学を卒業できたら体育教師になって実家に仕送りしようと考えていた。；学生の体育の授業で用いられる体操着にも、同様の長さを持つタイプが存在する。；長良公園の西隣にあり、体育の一部授業などがそちらで行われている。；体育系 過去には、中国大会出場記録もあるがここ近年では区大会で負けている。</t>
        </is>
      </c>
      <c r="J4943">
        <f>HYPERLINK("https://www.weblio.jp/content/体育", "词义详情")</f>
        <v/>
      </c>
      <c r="K4943">
        <f>HYPERLINK("https://yourei.jp/体育", "查看例句")</f>
        <v/>
      </c>
    </row>
    <row r="4944">
      <c r="A4944" t="inlineStr">
        <is>
          <t>第一</t>
        </is>
      </c>
      <c r="B4944" t="inlineStr">
        <is>
          <t>成功</t>
        </is>
      </c>
      <c r="C4944" t="inlineStr">
        <is>
          <t>読み方：だいいち
［名］
１順序のいちばんはじめ。最初。「本日—の試合」「朝—に新聞を読む」
２最もすぐれていること。「その方面では—の技術者」
３最も重要であること。「健康を—に考える」「安全が—だ」
［副］ほかのことはともかくとして。何よりもまず。「—その言いぐさがおかしい」「—聞こうにもだれもいない」</t>
        </is>
      </c>
      <c r="D4944" t="inlineStr">
        <is>
          <t>第一号(4%)；第一高等学校(2%)；第一発見者；第一船；第一発電所</t>
        </is>
      </c>
      <c r="E4944" t="inlineStr">
        <is>
          <t>必要；最初；主；初；重要</t>
        </is>
      </c>
      <c r="F4944" t="inlineStr">
        <is>
          <t>巻第一；東京第一；別表第一；毎月第一；福島第一</t>
        </is>
      </c>
      <c r="G4944" t="inlineStr">
        <is>
          <t>第一次；第一人者；第一線；第一部；第一歩</t>
        </is>
      </c>
      <c r="H4944" t="n">
        <v>29</v>
      </c>
      <c r="I4944" t="inlineStr">
        <is>
          <t>シェクターはこの事故以来、安全を第一と考える姿勢に変わったという。；いずれにせよ少しでも怪しいと感じたら絶対に借りないことが第一である。；それまで歌だけのステージに芝居を加える舞台公演の第一号であった。；これは第一には墓地が個人崇拝の対象となることを避けるためである。；その後、若干の差違を含むものの、ほぼ同じ形の第一の歌が掲載された。；アメリカで発行された新聞に掲載されることが第一の条件となる。；この雑誌の運命は実際は、第一号からすでにあやしいものだったのである。；彰考館では、第一の目的である修史の他にも、多くの書籍が編纂された。；ニーバーは多くの人たちに、戦争の第一の擁護者であったとみなされた。；第一に日本の国鉄は、第二次世界大戦で潰滅的打撃を受けた事実が無い。；自分の調子が悪くても暗くならずにチームのことを第一に考えて振る舞っていた。；文学もまた彼ら「抗日パルチザン」を形象化していくことを第一とした。；本来第一に殺すべきであるこの3柱を生かしたのには理由があった。；再びシチリア第一の都市となり、19世紀に産業・経済の発展を極めた。；蓮池は第一駐車場のすぐそばにある池で、中央に橋が架けられている。；第一にこの二つの立場の違いは不信の罪に当たるほど広大なものではないと主張した。；したがって、パリではヨーロッパ中からの教師にとって第一の場所になった。；第一、そのような大事を決行するに堪えられる人がございましょうか。；なお、第一野球場の南にバレーコートがあったが駐車場になっている。；天皇の決定をうけて吉田善吾海軍大臣は「第一号艦」を大和と命名した。；第一には、生き残りの可能性がない場合にはパニックは起こりにくい。；則宗は鎌倉時代に後鳥羽上皇の御番鍛冶中の第一に位したと伝えられる。；高速化よりはむしろ再現性の向上を第一の目標として開発されている。；第一駐車場の下り停留所への上り口近くにはロータリーが設けられている。；これらの権利のうち、第一に重要なものとは何であろうか。；第一にはそれらの出力機器の原理が異なっているためである。；第一特別基地隊司令部では、兵器として採用するか否かの審議が行われた。；既に無底の内で働いていたこの原理は自然の第一の原理である。；第一の一書によれば、天地に生成されたものの形は不明である。</t>
        </is>
      </c>
      <c r="J4944">
        <f>HYPERLINK("https://www.weblio.jp/content/第一", "词义详情")</f>
        <v/>
      </c>
      <c r="K4944">
        <f>HYPERLINK("https://yourei.jp/第一", "查看例句")</f>
        <v/>
      </c>
    </row>
    <row r="4945">
      <c r="A4945" t="inlineStr">
        <is>
          <t>退院</t>
        </is>
      </c>
      <c r="B4945" t="inlineStr">
        <is>
          <t>成功</t>
        </is>
      </c>
      <c r="C4945" t="inlineStr">
        <is>
          <t>読み方：たいいん
［名］(スル)
１入院していた患者が、病状が回復して病院から出ること。「先月—したばかりです」⇔入院。
２議員が議院から退出すること。⇔登院。
３住職がその地位を退いて隠居すること。
４江戸時代、僧に科した刑罰。その職を解いて寺から退去させること。刑の宣告を受けてから一度寺に立ち帰ることができる。→追院</t>
        </is>
      </c>
      <c r="D4945" t="inlineStr">
        <is>
          <t>退院する(11%)；退院できる(2%)；退院祝い；退院直後；退院以来</t>
        </is>
      </c>
      <c r="F4945" t="inlineStr">
        <is>
          <t>早く退院；一時退院；御退院；治って退院；回復し退院</t>
        </is>
      </c>
      <c r="G4945" t="inlineStr">
        <is>
          <t>退院前；退院制限；退院請求</t>
        </is>
      </c>
      <c r="H4945" t="n">
        <v>29</v>
      </c>
      <c r="I4945" t="inlineStr">
        <is>
          <t>同年5月18日、入院していた病院から退院したことが公表されている。；彼は私が退院した時に、家の隣の空地に、大きな建物を建て始めて居た。；手術によって退院できた人たちや、より管理しやすくなった患者もいた。；退院してきて、保健婦からの連絡を読み、急いで電話してきたのだった。；一時期は退院間近まで回復していた中、再度悪化した後のことであった。；まもなく彼女は退院したが、またすぐに感染のため個人診療所へ戻った。；退院したジェフリーは実家に戻り、父親主催のパーティに出席していた。；この手紙の内容は御退院を祝すというだけなんだから一行で用が足りている。；残された時間を家族と過ごすために退院してウンケルの自宅に隠棲した。；退院してからも、横浜の自宅から東京の病院に一日置きに通いました。；幸い初期段階であったため、手術は無事に成功し、翌年には退院した。；健康であることを感じたのは、退院してから初めてのことであった。；退院の際には交際していることが判明した浅野ゆう子も付き添っている。；退院する前、彼が店を一度やめてしまった時から胸にあった気持ち。；半年後に退院し、高座にも復帰したが釈台で足を隠しての板つきであった。；イングランドの病院から退院した彼は、同年8月に西部戦線に復帰した。；それについてのことより先に十日の退院の日からのことを書きます。；裕生は手術を受けて退院し、学校で普通に授業を受け始めたのである。；退院したディクソンがバーで酒を飲んでいると後ろの席で男たちが話していた。；男性が入院していた病院は、男性は病状が改善したので退院したと発表した。；頭に傷を負い、M10と呼ばれる病院に連れて行かれ、その後退院した。；病院から退院したのは覚えているが、家まで帰ったことはまったく記憶にない。；医者に予定より早く退院させるよう説得し、再び自分の連隊に戻った。；彼は軽いけがをしたが、その日のうちに現地の病院を退院することができた。；そこで彼は患者の病歴と退院時の状況を書き込んだカードを用意した。；退院が決まったとは聞いていたが、こんなに回復しているとは思っていなかった。；身体の楽になった彼は、寝転ろんでただ退院の日を待つだけであった。；これを気にした彼女は、退院して同盟に戻るとすぐ職捜しを始めた。；「そうしましょう」 山代は退院以来一度も病院へ顔を出していなかった。</t>
        </is>
      </c>
      <c r="J4945">
        <f>HYPERLINK("https://www.weblio.jp/content/退院", "词义详情")</f>
        <v/>
      </c>
      <c r="K4945">
        <f>HYPERLINK("https://yourei.jp/退院", "查看例句")</f>
        <v/>
      </c>
    </row>
    <row r="4946">
      <c r="A4946" t="inlineStr">
        <is>
          <t>対応</t>
        </is>
      </c>
      <c r="B4946" t="inlineStr">
        <is>
          <t>成功</t>
        </is>
      </c>
      <c r="C4946" t="inlineStr">
        <is>
          <t>読み方：たいおう
［名］(スル)
１同種の二つのものが向かい合い、対(つい)になっていること。「四辺形の互いに—する角」
２ある物事が、他の範疇(はんちゅう)に属する物事と、対立・相当する関係にあること。「ギリシャ文字のα(アルファ)は、ローマ字のaに—する」
３互いにつりあいがとれていること。「文章の書き出しと結びを—させる」
４周囲の状況などに合わせて事をすること。「現実に—した処置」「—策」
５二つの集合A、Bがあって、Aのどの要素にも、Bの要素が少なくとも一つ定まる規則があること。ふつう、AからBへの対応という。</t>
        </is>
      </c>
      <c r="D4946" t="inlineStr">
        <is>
          <t>対応するため(5%)；対応できる(3%)；対応策；対応可能；対応関係</t>
        </is>
      </c>
      <c r="E4946" t="inlineStr">
        <is>
          <t>サービス；扱い；一致；合う；マッチ</t>
        </is>
      </c>
      <c r="F4946" t="inlineStr">
        <is>
          <t>車椅子対応；未対応；ワンマン運転対応；対応端末；両対応</t>
        </is>
      </c>
      <c r="G4946" t="inlineStr">
        <is>
          <t>対応力；対応付け；対応付ける；対応原理；対応手話</t>
        </is>
      </c>
      <c r="H4946" t="n">
        <v>29</v>
      </c>
      <c r="I4946" t="inlineStr">
        <is>
          <t>米国では光線銃と対応ソフトが本体と同梱されたセット等も発売された。；日本の株式会社に対応する英語での呼称には、以下のようなものがある。；ただし2007年には両メディアに対応する再生機種も発表されている。；上記のエリアでは、いずれも全国相互対応カード等の片利用が可能である。；しかしこれらの規格に対応したソフトはわずかしか発売されなかった。；物理的性質の似たアミノ酸はよく似たコドンに対応している傾向がある。；また、セキュリティホールの多さと対応の遅さもこの時期に表面化した。；逆に32ビット版PowerPCがサポートされる対応環境から外れた。；各バンドに対応してそれぞれ異なるバンド端エネルギー と異なる が存在する。；初期のウェブブラウザが対応していたHTMLは非常に単純なものだった。；当時、ワープロ専用機でもテレビ出力へ対応したものはわずかに存在した。；ただし、一部のATMは紙幣のみで硬貨には対応していないものもある。；当初は紀勢直通用以外は4両対応だったが、後に6両対応に拡張された。；elseに対応するifがどちらかはっきりしないことからその名がある。；ただしすべてのグリフを扱うにはアプリケーション側の対応が必要となる。；既存の命令が32ビット演算に対応したほか、多くの新命令が追加された。；複素係数の場合にはその群は放物型メビウス変換からなる群に対応する。；もはや中国人民銀行だけでは資金需給の変化に対応しきれなくなった。；和平か敗戦か色々な可能性があり、状況を注視して対応したいと述べた。；但し発売から相当年数経過の作品では対応していないため注意が必要であった。；直線上の点に実数を対応させることで数直線を考えることができる。；当時は日本語の崩した文字に対応するために、木版印刷が広く用いられた。；キリスト教の各教派によって使う用語には以下のような対応がある。；複素数は、行列を のブロックに分けたときの区分対角行列に対応する。；このような事態に対応するため、プログラムを保守していく作業が必要になる。；対応ゲームが存在しないことについては各メディアでも良い見解は持っていなかった。；ソフトウェアによっては、複数の異なるスクリプト言語に対応している。；これはベクトルに単位行列を作用させても不変であることに対応する。；また、全機種でデジタルオーディオプレーヤー機能が正式対応になった。</t>
        </is>
      </c>
      <c r="J4946">
        <f>HYPERLINK("https://www.weblio.jp/content/対応", "词义详情")</f>
        <v/>
      </c>
      <c r="K4946">
        <f>HYPERLINK("https://yourei.jp/対応", "查看例句")</f>
        <v/>
      </c>
    </row>
    <row r="4947">
      <c r="A4947" t="inlineStr">
        <is>
          <t>体温</t>
        </is>
      </c>
      <c r="B4947" t="inlineStr">
        <is>
          <t>成功</t>
        </is>
      </c>
      <c r="C4947" t="inlineStr">
        <is>
          <t>読み方：たいおん
動物体の温度。体内の物質代謝の反応によって生じ、定温動物ではほぼ一定、変温動物では外界の温度とともに変化する。人間ではセ氏36.5〜37.0度が普通。</t>
        </is>
      </c>
      <c r="D4947" t="inlineStr">
        <is>
          <t>体温上昇；体温低下；体温表；体温調整；体温維持</t>
        </is>
      </c>
      <c r="E4947" t="inlineStr">
        <is>
          <t>温度；気温；熱度</t>
        </is>
      </c>
      <c r="F4947" t="inlineStr">
        <is>
          <t>高い体温；高体温；直腸体温；体温が低く；温かい体温</t>
        </is>
      </c>
      <c r="G4947" t="inlineStr">
        <is>
          <t>体温調節；体温測定</t>
        </is>
      </c>
      <c r="H4947" t="n">
        <v>29</v>
      </c>
      <c r="I4947" t="inlineStr">
        <is>
          <t>それは少し長い病気の時には、体温表が必要であるのと同じことである。；骨の内部に存在する大量の油も体温の保持に関係しているといわれる。；彼は自分の額の体温が女の手の中にどんどん吸い込まれていくのを感じた。；網目からは中は見えないが、小さな生物が動く気配と体温が感じられる。；体温や脈拍はそれらを推測するための手がかりに古くから使われてきた。；墨絵の中でだれの体温も感じることなく住んでいるべき紙人間なんだ。；イヌなどが走るときに舌を出すのは、体温を逃がすためと言われている。；おれの体温が伝わっているのか、先程から魔石が奇妙な熱を持っている。；そのために二人の膝は密着して、二人の体温が泌みるやうにふれてきた。；たぶん体温が軽度に上昇するためだろうか精神能力はかえって刺激される。；警察より救急車を呼んだのは、男の肌に体温が残っていたからである。；が、彼女の体温はその皮膚の外には全然発散されないものの様だつた。；体温と外気温の差が小になれば暑さを感じ、大になれば寒さを実感する。；なにかの拍子にふと体温をかんじるだけで、私の全身は彼女を拒否する。；背中には男の胸と腹の体温があるが、前には吹きつける雪風しかない。；彼のノーマルな体温では、液体の水もガス体の酸素も存在しえないのだ。；ずっと持っていたせいか、彼女の体温でぬいぐるみが温かくなっていた。；これは甲高が高く体温を上昇させるのに時間がかかるためと考えられている。；これはプレイヤーの体温が低下して凍傷になりかけていることを示している。；体温はまだ残っているようだが、脈が完全に停止し、瞳孔は反応しない。；これを利用して電子回路により体温を測定し、測定値を表示するタイプ。；監視装置の表示は、体温も僅かずつ上昇中であることを告げている。；もう一つは体温維持を図る褐色脂肪細胞を多く持っている場合である。；彼は女の体温を背中に感じているだけで、もう心は満足していた。；体温上昇も確認されますが、今日中にもっと高まるものと思われます。；こんな高度で、動くのをやめた肉体は、たちまち体温を奪われてゆく。；一方で爬虫類のウミガメ類は体温維持能力が高い事が確認されている。；自分がいま抱かれている男がひどく高い体温をもっていることだけはわかった。；かび臭いとも思えたが、又体温にとかされた肌のにおいのようでもある。</t>
        </is>
      </c>
      <c r="J4947">
        <f>HYPERLINK("https://www.weblio.jp/content/体温", "词义详情")</f>
        <v/>
      </c>
      <c r="K4947">
        <f>HYPERLINK("https://yourei.jp/体温", "查看例句")</f>
        <v/>
      </c>
    </row>
    <row r="4948">
      <c r="A4948" t="inlineStr">
        <is>
          <t>大家</t>
        </is>
      </c>
      <c r="B4948" t="inlineStr">
        <is>
          <t>成功</t>
        </is>
      </c>
      <c r="C4948" t="inlineStr">
        <is>
          <t>読み方：おおや
１貸家の持ち主。家主。⇔店子(たなこ)。
２母屋(おもや)。
３本家(ほんけ)。</t>
        </is>
      </c>
      <c r="D4948" t="inlineStr">
        <is>
          <t>大家たち；大家連；大家内；大家先生；大家彦左衛門</t>
        </is>
      </c>
      <c r="E4948" t="inlineStr">
        <is>
          <t>権限；権威；チャンピオン；王者；名人</t>
        </is>
      </c>
      <c r="F4948" t="inlineStr">
        <is>
          <t>三大家；諸大家；ご大家；御大家；某大家</t>
        </is>
      </c>
      <c r="G4948" t="inlineStr">
        <is>
          <t>大家さん；大家友和；大家令；大家志津香；大家健</t>
        </is>
      </c>
      <c r="H4948" t="n">
        <v>29</v>
      </c>
      <c r="I4948" t="inlineStr">
        <is>
          <t>以て天下の芸術の代表の大家たることを知るべしと言わなければならぬ。；大家さんと彼女が話をしているところを私は一度も見たことがない。；ああいう連中の中には、立派な人種誌学者や東洋語の大家がいるからね。；大家さんはまだ住んでるらしいから、ちょっと様子を見てきてくれる?；その他、科学から出でて哲学や宗教に入った大家は少くないのであります。；三大家は単に書法に優れていただけでなく、学者であり、官僚であった。；彼一人で十八世紀のクラシックの大家全体以上のページを取っていた。；されど君もまだ歳若ければ、此の如き大家を非難すべきにあらざるべし。；隣りの大家に見つからぬようにしなくてはならぬようになってきた。；なんと、大家が言うには奈緒子の家賃3か月分を既に受け取ったとの事。；現地に着くと、その従姉妹の娘であるという蒼葉梢が大家を務めていた。；一階に住んでいる大家さんはご家族みんなが風邪で倒れていると聞きました。；しかしその大家の論文をよく読んでみなければうっかりその人の非難はできない。；だから本人が目の前にいるうちに大家さんに電話したのだ。；そして驚くべきことに、批評された相手は当代第一の歌の大家なのである。；たまたま結婚していて、大家さんもそれを知っているから隠れて会うしかないのだ。；文壇の大家小家はことごとく雨をついてその葬式について行ったという。；いやな噂が聞えているために、大家の井戸屋にも嫁に来るものがない。；アパートとはいっても、大家さんの家の離れみたいなもんだもの。；朝基が諸大家に師事できたのには、こうした当時の時代背景があった。；ただ、大家さんと彼女は、どちらかというと、仲が悪いみたいだった。；その点では一二の大家先生の方が、遙に雑俗の屎臭を放つてゐると思ふ。；信長だの秀吉てえ人々はかういふ智恵の闇商人を善用した大家なんだな。；これら四大家の山水画は、後の明・清時代にも正統派絵画の規範とされた。；いやこういう大家になると、いろいろの秘密があるものと見える。；研究の大家たちは自分の研究が正しく取り扱われていないと思うかも知れない。；テレビの横にはいつも、韓国にいた時から好きだったいけ花をしつらえている。；フランドルの大家の作品がルブランを刺激し、新しい技法を試みさせた。；さういふ大家さんも、たまにはゐて下さらないと、困る人は困りますわ。</t>
        </is>
      </c>
      <c r="J4948">
        <f>HYPERLINK("https://www.weblio.jp/content/大家", "词义详情")</f>
        <v/>
      </c>
      <c r="K4948">
        <f>HYPERLINK("https://yourei.jp/大家", "查看例句")</f>
        <v/>
      </c>
    </row>
    <row r="4949">
      <c r="A4949" t="inlineStr">
        <is>
          <t>退化</t>
        </is>
      </c>
      <c r="B4949" t="inlineStr">
        <is>
          <t>成功</t>
        </is>
      </c>
      <c r="C4949" t="inlineStr">
        <is>
          <t>読み方：たいか
［名］(スル)
１進歩が止まって以前の状態に逆戻りすること。また、衰えたり規模が小さくなったりすること。「記憶力が—する」⇔進化。
２生物の個体発生または系統発生の過程において、器官・組織などが縮小・衰退、あるいは消失すること。人間の虫垂・尾骨などはその例。退行。</t>
        </is>
      </c>
      <c r="D4949" t="inlineStr">
        <is>
          <t>退化的(8%)；退化する(7%)；退化傾向(2%)；退化消失(2%)；退化次数</t>
        </is>
      </c>
      <c r="E4949" t="inlineStr">
        <is>
          <t>変質；頽廃；退廃</t>
        </is>
      </c>
      <c r="F4949" t="inlineStr">
        <is>
          <t>著しく退化；短く退化；旧退化；残して退化；ないほど退化</t>
        </is>
      </c>
      <c r="G4949" t="inlineStr">
        <is>
          <t>退化形式</t>
        </is>
      </c>
      <c r="H4949" t="n">
        <v>29</v>
      </c>
      <c r="I4949" t="inlineStr">
        <is>
          <t>この目の他のグループではほとんど退化している涙骨がまだ存在している。；足が発達した代わりに羽が退化して空を飛べなくなったことが悩みの種。；この不思議な退化をなしつつある少女は一つの稀な才能を示すやうに見えた。；これらの構造は種類により多様な機能に合わせ変形したり退化している。；しかし、ベンゾジアゼピンの使用を継続した人にはその退化がみられた。；一部の種では植物体本体の葉が退化し、一生を原糸体に頼って生活する。；一部の秋に出現する種ではメスの羽が退化、オスと形態が大きく異なる。；ただし無柄小穂は小穂本体が完全に退化し、柄のみの存在となっている。；光の全くない洞窟で生活しているため目が退化しており、視力は全くない。；これは、最下の小花のみを残してそれから先が退化したものと考えられる。；又内面的な生活に囚われた奴は人間の心から動物に退化した奴である。；ただし、二直線は退化していると考え、円錐曲線に含まない場合も多い。；ぼくにはそれは退化だとしか考えられんが、でも他にどういう解答がある?；瞼は消失し、眼は退化していることがほとんどで、皮膚に覆われている。；マツバラン目は根を持たず地下茎を持つが、根が退化した可能性がある。；このような現象は、退化と言われ、進化の一側面をなすと考えられる。；本来はこの姿であったが、十二神将を抜けたためロップモンに退化した。；そしてなんでも機械でやるだろうから、手足は退化していると考えられる。；例えば鳥類の前肢は翼になり、この過程で親指以外の指は退化している。；葉は葉片が退化しており、細長い偽葉があるだけで葉身は全く発達しない。；二つ目は胸骨の竜骨突起が無いかもしくは大幅に退化している点である。；葉は対生するが小さな突起状に退化しており、輪になって節を取り囲む。；目的は日常生活の中で退化してしまった身体感覚を意識化することにある。；おまえがわれわれのことを、一種の退化人だと思っていることはわかっている。；成虫は口が退化していることもあり、物を食べたり飲んだりすることはない。；鳥類の場合、前足が翼になっており、それに連動して指が退化している。；ただし第1脚の爪間盤と爪は退化的で、種類により消失した場合もある。；例外は、ある特別な性質を持つ二次形式に対応する退化二次曲面である。；また、恐怖を感じたりした際は元の虫の姿や蛹に退化することがある。</t>
        </is>
      </c>
      <c r="J4949">
        <f>HYPERLINK("https://www.weblio.jp/content/退化", "词义详情")</f>
        <v/>
      </c>
      <c r="K4949">
        <f>HYPERLINK("https://yourei.jp/退化", "查看例句")</f>
        <v/>
      </c>
    </row>
    <row r="4950">
      <c r="A4950" t="inlineStr">
        <is>
          <t>大会</t>
        </is>
      </c>
      <c r="B4950" t="inlineStr">
        <is>
          <t>成功</t>
        </is>
      </c>
      <c r="C4950" t="inlineStr">
        <is>
          <t>読み方：だいえ
規模の大きい法会。大法会。</t>
        </is>
      </c>
      <c r="D4950" t="inlineStr">
        <is>
          <t>大会連続(3%)；大会ぶり；大会終了；大会優勝；大会以来</t>
        </is>
      </c>
      <c r="E4950" t="inlineStr">
        <is>
          <t>試合；ゲーム；対戦；議会；争い</t>
        </is>
      </c>
      <c r="F4950" t="inlineStr">
        <is>
          <t>同大会；今大会；選手権大会；県大会；大大会</t>
        </is>
      </c>
      <c r="G4950" t="inlineStr">
        <is>
          <t>大会社；大会直前；大会記録；大会組織委員会；大会初日</t>
        </is>
      </c>
      <c r="H4950" t="n">
        <v>29</v>
      </c>
      <c r="I4950" t="inlineStr">
        <is>
          <t>全競技がオーストラリアで開催されたのは、この大会が初めてとなった。；人々はアマチュアリズムの精神で大会に参加することを喜びとしていた。；なお競技時間は区分以外にも、大会運営に応じてに変更されることがある。；大会などに参加する場合はルール説明時などに確認しておくとよい。；この大会の優勝はユーゴスラビアに代わって出場したデンマークだった。；基本的には同大会の開催日に運行されるため中止時は運行されない。；しかしながら、彼らは定期的な大会を開催していなかったようである。；この大会以外では各地域ごとにリーグ戦やトーナメント戦が行われている。；これらは、県の中央部に位置していることから大会等での活用も図られます。；ただし、これは大会の主催者によって変更されることもしばしばある。；本大会では、ドーピング問題に本格的に注目の集まった初の大会ともいえる。；同じ職場で働いている人たちで結成したチームが参加できる大会。；なお、大会ルールにより9回裏の攻撃を行わず試合は引き分けとなった。；大会後には同一都市では初となるパラリンピックも開催された。；ゼムノヴィッチ体制初の大会となった天皇杯は2大会ぶりに決勝に進出した。；現在でも、特にアメリカとの関係で国際大会への参加に支障が出る場合がある。；基本的には各都道府県一代表の大会がほとんどで、毎年開催される。；これら公式大会の大会運営には日本の統括団体であるJHFが当たっている。；各地区優勝したチームは市民球場で大会なども行われたりする。；オリンピックでは1920年のアントワープ大会まで正式競技であった。；閉会式は1月3日の大会終了後によみうり大手町ホールで行われている。；大会を支えているのは関東学連に加盟している加盟校である。；メジャーを含む多くの大会を一つにまとめツアーと呼び、賞金王を決める。；さらにアジア冬季競技大会にも参加しており、では3位に輝いている。；さらにバドミントンも盛んであり全国選手権大会が開催されている。；また、FIFAワールドカップの予選には2010年大会予選から参加。；これはあくまでも基本ルールで、日本での公式大会ではこのルールで行っている。；しかし、その代わりに続く2021年大会がカメルーンで開催されている。；他球技と異なり、1つの大会の公式球に複数のメーカーが選ばれる例もあった。</t>
        </is>
      </c>
      <c r="J4950">
        <f>HYPERLINK("https://www.weblio.jp/content/大会", "词义详情")</f>
        <v/>
      </c>
      <c r="K4950">
        <f>HYPERLINK("https://yourei.jp/大会", "查看例句")</f>
        <v/>
      </c>
    </row>
    <row r="4951">
      <c r="A4951" t="inlineStr">
        <is>
          <t>退会</t>
        </is>
      </c>
      <c r="B4951" t="inlineStr">
        <is>
          <t>成功</t>
        </is>
      </c>
      <c r="C4951" t="inlineStr">
        <is>
          <t>読み方：たいかい
［名］(スル)会から退き、会員でなくなること。「学会から—する」⇔入会。</t>
        </is>
      </c>
      <c r="D4951" t="inlineStr">
        <is>
          <t>退会する(7%)；退会届(5%)；退会後(3%)；退会者(3%)；退会処分</t>
        </is>
      </c>
      <c r="F4951" t="inlineStr">
        <is>
          <t>奨励会退会</t>
        </is>
      </c>
      <c r="H4951" t="n">
        <v>29</v>
      </c>
      <c r="I4951" t="inlineStr">
        <is>
          <t>この際の報道により関西独立リーグが退会していたことが明らかになる。；それ以て正式な会員となり、以降、退会するまで毎年年会費が発生する。；日本芸術協会退会時、既に二つ目になっていた弟子は芸術協会に残した。；また今までのカードは自動退会とはならないので自分で退会しなければならない。；引退と同時に、あるいは引退の後に所属団体を退会する者もいる。；とぼくは恐怖をおぼえて、東京に戻ってきた日に、スガノに退会を申しでた。；加盟していたコンピュータエンターテインメント協会からも退会した。；今度の歴訪事件によっても、その結果四十名に上る退会者を出すに至った。；この時に自身が学会員を辞め、創価学会を退会したことを明かしている。；退会した奨励会員は一定期間アマチュア棋戦に参戦することはできない。；その後愛Bリーグを退会し、現在は地元神奈川を中心に活動している。；ただしこのときは三ヶ月で退会し、しばらく俳句から離れていた。；ブラックの立川流退会に伴い、当時の弟子は下記それぞれの師匠に移籍した。；同年にそれまで所属していた平成研究会を退会し無派閥となった。；JOCは混乱がこれ以上長引けば、退会処分を下す可能性も示唆した。；田中が話したとおり、「そのユーザーは退会しています」と表示されるだけだった。；このため協会活動から遠ざかるが、福田豊と異なり退会はしなかった。；初代型は退会時に本体を返却する必要があったが、後期のモデルは本体買取となった。；同年、それまで所属していた旧渡辺派を退会し、山崎派の結成に参加。；また、退会処分にしたり、発言を削除する権限などを持っていた。；さらに内部抗争が続いて退会者が相次ぎ、再び松村は代表に復帰した。；提携カードへの切替手続を行わなかった会員は自動的に退会扱いとなった。；血盟をかわした十人のうち七人が退会してひとりが就職し、残ったのは二人だった。；同時に奈良新聞社と営業など一部の業務を統合し、日本新聞協会も退会した。；なお、一度退会すると同じIDでは再度入会することが出来ない仕様となっている。；年齢制限で退会させられるはずだが、関西本部の誰も森に退会を命じなかった。；ボイストレーニング教室に通っていたことがあったが授業料が払えず数回で退会。；そして退会する場合にも高額な退会費を支払うこととなっていた。；かつては三菱金曜会及び三菱広報委員会に加盟していたが、今は退会している。</t>
        </is>
      </c>
      <c r="J4951">
        <f>HYPERLINK("https://www.weblio.jp/content/退会", "词义详情")</f>
        <v/>
      </c>
      <c r="K4951">
        <f>HYPERLINK("https://yourei.jp/退会", "查看例句")</f>
        <v/>
      </c>
    </row>
    <row r="4952">
      <c r="A4952" t="inlineStr">
        <is>
          <t>大概</t>
        </is>
      </c>
      <c r="B4952" t="inlineStr">
        <is>
          <t>成功</t>
        </is>
      </c>
      <c r="C4952" t="inlineStr">
        <is>
          <t>読み方：たいがい
［名・形動］
１物事の全部ではないが、その大部分。ほとんど。だいたい。たいてい。副詞的にも用いる。「—の人は知らない」「漱石の作品は—読んだ」「朝食は—パンだ」
２物事のおおよその内容。あらまし。概略。大要。「計画の—を説明する」
３物事の程度などがありふれていること。また、そのさま。たいてい。「—な（の）ことには驚かない」
４物事の程度があまり極端にならないこと。ある程度でやめておくこと。また、そのさま。ほどほど。「—な（の）ところで切り上げなさい」「いたずらも—にしろ」
［副］
１かなりの程度に達するさま。いいかげん。「—嫌になる」
２推測がかなり確かなさま。たぶん。おそらく。「これだけ言っておけば—大丈夫だろう」</t>
        </is>
      </c>
      <c r="D4952" t="inlineStr">
        <is>
          <t>大概帳(3%)；大概記；大概そんな；大概忘れ；大概似</t>
        </is>
      </c>
      <c r="E4952" t="inlineStr">
        <is>
          <t>多数；大半；大部分；図；殆ど</t>
        </is>
      </c>
      <c r="F4952" t="inlineStr">
        <is>
          <t>中山道宿村大概；日光道中宿村大概；詠歌大概；ならば大概；青ヶ島大概</t>
        </is>
      </c>
      <c r="H4952" t="n">
        <v>29</v>
      </c>
      <c r="I4952" t="inlineStr">
        <is>
          <t>こう云う風な事件の時、大概はそう云った順序をとるものらしいですね。；かすかに僕のなかには宇宙に存在するものなら大概ありそうな気がしてくる。；君に言ふ必要もあるまいが、結核と言ふのは大概の人が実は持つてゐる。；中でいいものがあれば大概は昔の伝統をそのまま継いだものばかりである。；ある時は向ってくるが、大概の場合には首だけぬっと立てて立っている。；例えば学生たちと旅行して夜更けまで話しこむと大概そういう話になる。；それは助手が奥へ向って石を投じて見たその反響でも大概は判っている。；学者作家はもっとも多く頭を使うものであって大概は貧乏に極っている。；而も大概の人は此事を自身には少しも感ぜず、全く無意識に行うて居る。；大概一年か二年は早いのが普通だが、それが餘り早過ぎると失敗になる。；何を作っても伝統的なものの外は大概は醜くなってしまうのである。；大概のことは忘れてしまつてゐるが、忘れそびれてゐることがらもある。；もりかけが一銭二厘から一銭六厘になった頃で大概三つぐらいは食った。；私以外のものは大概ものを云ふのに、私はものが云へないからもどかしい。；はなしが十余りも出た頃には大概のものはなんだか薄気味悪くなっていた。；それは大概何処でもさうであるが彼の場合は特にさうであつた。；河の源は大概複雑なものだが、その神田川も多くの諸流を合せていた。；ようよう口を利かせますまでには、大概骨が折れた事じゃアありません。；小学校の生徒も習字のある日などは、大概顔や手足を汚して帰って来る。；大概看護婦がお供をしたが、稀には颯子が手を曳いていることもあった。；十時過ぎれば大概の家は寝て了ひ、灯火の外にもれて居る家は余りない。；大概今日あたりは来るだろうと、昨夜からかけて待ち構えていたのさ。；これが日本の昔であってみると、大概似たもののように見えます。；花柳界で行われるお座敷の芸というものは大概たかが知れたものである。；古来の人間は大概自己を充分に発揮する機会がなくて死んだろうと思われ候。；人は大概、自分が乗りたい電車が入ってくる方向を向いて待っているものである。；大概の見当をつけて崖を這ひ上つてみると果して小さな路があつた。；皆大概はじっとしているが、午頃には時々活動しているのを見受ける。；そしてその仕掛の特殊の構造も図示されたので、大概は承知していた。</t>
        </is>
      </c>
      <c r="J4952">
        <f>HYPERLINK("https://www.weblio.jp/content/大概", "词义详情")</f>
        <v/>
      </c>
      <c r="K4952">
        <f>HYPERLINK("https://yourei.jp/大概", "查看例句")</f>
        <v/>
      </c>
    </row>
    <row r="4953">
      <c r="A4953" t="inlineStr">
        <is>
          <t>体格</t>
        </is>
      </c>
      <c r="B4953" t="inlineStr">
        <is>
          <t>成功</t>
        </is>
      </c>
      <c r="C4953" t="inlineStr">
        <is>
          <t>読み方：たいかく
骨組み・肉づき・太りぐあいなどから見た身体の形。からだつき。「—がいい」</t>
        </is>
      </c>
      <c r="D4953" t="inlineStr">
        <is>
          <t>体格差(3%)；体格検査；体格面；体格ゆえ；体格向上</t>
        </is>
      </c>
      <c r="E4953" t="inlineStr">
        <is>
          <t>スタイル；柄；造り；身なり；体つき</t>
        </is>
      </c>
      <c r="F4953" t="inlineStr">
        <is>
          <t>大柄な体格；立派な体格；堂々たる体格；大きな体格；華奢な体格</t>
        </is>
      </c>
      <c r="H4953" t="n">
        <v>29</v>
      </c>
      <c r="I4953" t="inlineStr">
        <is>
          <t>体格の差が極端に大きく、もはや同種とは思えないほどになる例もある。；小柄な体格から、当初はさしたる期待を受けていなかったのだとされる。；その名の通り、それぞれ脚と手の長さが体格に比較して非常に長いとされる。；年齢や体格を問わずに入門者を広く受け入れており、兼業も認めている。；その証拠に河上はその老人が元力士らしき体格もきちんと記録していた。；日本人が購入を検討する場合には欧米人との体格の差に注意する必要がある。；幼少時は普通の体格であったが、小学生の頃から急に身長が伸び始めた。；また、体格が変わったのに合わせ、技の構成にやや変更が加えられた。；このような場合、児の体格からだけでは在胎週数を知ることは困難である。；座席は少年の体格に合わせて作られているため、大人は搭乗できない。；ただし、角の大きさには個体差があり、体格に比例して連続変化を示す。；彼らの体格は極めて小さく、これは島嶼化によるものと考えられている。；また大柄であり、父が太子であった頃から既に大人の体格をしていた。；哺乳類では、大きさに差がある場合、雄の体格がより大きい例が多い。；立派な体格と若い頃の訓練のおかげで彼は軍の訓練に適応した。；手や足も大きく長くなり、体格も以前より少し大きくなっている。；多くの杖作りは杖の長さを単に魔法使いの体格に合わせて見立てようとする。；非常に体格が良く一時期ボディビルダーを目指していた時期もあった。；号数の多くは身長に応じた体格から平均的に算出した寸法で生産されている。；体格の表す通り食が細く、唯一よく食べていたのがざるそばであった。；しかしこの夫妻は水汲み、料理のできる体格の良い人物を探していたのである。；エゾシカの体格が大型であるために、人の死亡事故が起きることがある。；均等のとれた筋肉質な体格をしているため、大きさに反して体重は重い。；体格差を物ともしない戦いを展開したが最後は変形のエリミネーターで敗れた。；それでは、一体かくのごとき解釈上の意見の違いはどこから生れてくるのか。；美しい若い女性や、ふくよかな体格の母を思わせる姿のものが多い。；直接体が接触するので、体格の良い選手が有利なプレーである。；体格や体全体の構造が異なる場合もあれば、どちらかに特殊な構造が出現する場合もある。；恵まれた体格から来るパワーと足元の技術を併せ持っている選手である。</t>
        </is>
      </c>
      <c r="J4953">
        <f>HYPERLINK("https://www.weblio.jp/content/体格", "词义详情")</f>
        <v/>
      </c>
      <c r="K4953">
        <f>HYPERLINK("https://yourei.jp/体格", "查看例句")</f>
        <v/>
      </c>
    </row>
    <row r="4954">
      <c r="A4954" t="inlineStr">
        <is>
          <t>退学</t>
        </is>
      </c>
      <c r="B4954" t="inlineStr">
        <is>
          <t>成功</t>
        </is>
      </c>
      <c r="C4954" t="inlineStr">
        <is>
          <t>読み方：たいがく
［名］(スル)
１学生・生徒が在学中に、特別の理由で、自発的に学校をやめること。また、学校側から強制的にやめさせられること。退校。「中途—」「—処分」
２規定の課程を修得して、学校をやめること。
「在学三年を期とし、期満つれば則—し」〈大槻修二・日本教育史略〉</t>
        </is>
      </c>
      <c r="D4954" t="inlineStr">
        <is>
          <t>退学処分(10%)；退学後(3%)；退学届；退学者；退学勧告</t>
        </is>
      </c>
      <c r="E4954" t="inlineStr">
        <is>
          <t>除籍；退校；放校；放校処分；放学</t>
        </is>
      </c>
      <c r="F4954" t="inlineStr">
        <is>
          <t>中途退学；自主退学；博士課程退学；すぐに退学；単位修得退学</t>
        </is>
      </c>
      <c r="H4954" t="n">
        <v>29</v>
      </c>
      <c r="I4954" t="inlineStr">
        <is>
          <t>そのため退学者は極端に少なく、ほとんどの生徒が予定通り卒業できる。；彼は聖アンナ校へ入学するが、1851年に成績が悪いせいで退学した。；ブランドは次の年に復学するように認められたが、自ら退学の道を選んだ。；その後、女優業のために高校は退学したが、高校卒業試験に合格した。；そこへ偶然、退学してトラックの運転手になっていた市野が通りかかる。；ほどなくして弁護士になるために通学していたロースクールを退学する。；これは退学させられた学生にちなんで名づけられた唯一の建物である。；中途退学してリーグに加入した選手については指名制限の対象となる。；大学の推薦も取り消されたため、女性は自主退学して別の高校に編入した。；優秀館高校を退学になった後、東京大学を探して東京までやって来た東大通。；研究生指導科では、思想上の理由で退学した学生生徒の指導矯正を図る。；また前後期のテストで成績が不振だと退学させられることもある。；彼女は学校の研修で起きた出来事によって学校を退学しようと悩んでいた。；この事件は新聞沙汰になり、彼女に暴行した少女は全員退学となった。；吾郎退学の際に野球部所属の生徒は体育科扱いであることが判明している。；そこで高校に退学届を提出しプロテニスプレイヤーとなることを決意する。；ゴードンはジョージア大学で傑出した学生だったが、卒業前に退学した。；彼は中学校の教育課程を修了することができず、途中で退学している。；ヌルミは学問の才能があったが退学してパン屋の使い走りとして働いた。；私学校に入学したが軍事教練一辺倒とその閉鎖性に嫌気がさし退学する。；そして最後にいづみの目に映りこんだのは、退学したその生徒の姿であった。；一方、警察学校で優秀な成績を収めていた青年ヤンは突然退学となる。；時は経ち、千昭は表向きの理由として留学のために学校を退学していた。；高里は退学することを決め、報告を兼ねて荷物を取りに自宅に戻り両親の死体を発見する。；しかし服飾デザイナーになるため退学したいとの手紙を家に送る。；再受験が許されることも多いものの、この試験に落ちても退学になってしまう。；通っていた高校は芸能活動を禁止していたため自主退学し、転校した。；このため退学を申し出たが、土性調査は9月まで続け報告書を提出した。；学部生、大学院生が大幅な盗用をすれば、米国ではほぼ退学処分になる。</t>
        </is>
      </c>
      <c r="J4954">
        <f>HYPERLINK("https://www.weblio.jp/content/退学", "词义详情")</f>
        <v/>
      </c>
      <c r="K4954">
        <f>HYPERLINK("https://yourei.jp/退学", "查看例句")</f>
        <v/>
      </c>
    </row>
    <row r="4955">
      <c r="A4955" t="inlineStr">
        <is>
          <t>大学</t>
        </is>
      </c>
      <c r="B4955" t="inlineStr">
        <is>
          <t>成功</t>
        </is>
      </c>
      <c r="C4955" t="inlineStr">
        <is>
          <t>読み方：だいがく
１高等教育の中核をなす教育機関。学術の中心として、広く知識を授けるとともに、深く専門の学芸を教授研究することなどを目的とする。修業年限は4年を原則とするが、2年ないし3年の短期大学もある。大学は、学部のほかに大学院、研究所・付属病院などを設置することができる。日本では、明治以後設立。明治19年（1886）の帝国大学令、大正7年（1918）の大学令などにより規定され、第二次大戦後は、学校教育法に基づいて設置され、今日に至っている。
２「大学寮」の略。
３俗に、社会人を対象にした教養講座のこと。「市民—」</t>
        </is>
      </c>
      <c r="D4955" t="inlineStr">
        <is>
          <t>大学卒業後(4%)；大学卒業後(3%)；大学在学中(2%)；大学大学院；大学入学</t>
        </is>
      </c>
      <c r="E4955" t="inlineStr">
        <is>
          <t>大；カレッジ；大学校；単科大学；ユニバーシティ</t>
        </is>
      </c>
      <c r="F4955" t="inlineStr">
        <is>
          <t>同大学；日本大学；各大学；龍谷大学；東京大学</t>
        </is>
      </c>
      <c r="G4955" t="inlineStr">
        <is>
          <t>大学教授；大学生；大学時代；大学助；大学進学</t>
        </is>
      </c>
      <c r="H4955" t="n">
        <v>29</v>
      </c>
      <c r="I4955" t="inlineStr">
        <is>
          <t>登録を希望する者は最初に認定大学レベルの建築学校で勉強する必要がある。；アメリカ合衆国の大学には学部に独立して学ぶ地球物理学部が存在する。；大学や高校の山岳部が、より困難なルートの制覇を目指して山を登った。；サッカーに関しては高校大学ともにレギュラーで試合に出場している。；付近には大学や高校が多く、近年、宅地やマンション開発も進んでいる。；それ以外の大学でも共通教育などの名前に代わって教養教育は行われている。；上記の分類以外に、大学の文学部で行っている学問を指す解釈もある。；他大学間協定 卒業単位の一部を他の教育機関で取得することができる。；小山力也などは別の大学を卒業してからこれらの大学に進学した。；また、大学入学後にはもう一つの趣味であった剣道にも力を入れた。；これが後500年間にわたってヨーロッパの大学で教えられたという。；大学への通学路に古本屋街があったため、古本もよく読むようになった。；この時期、カロリンスカ研究所など多くの研究機関・大学が創設された。；大学は町の中心部にあり、この町の住民にとって最大の職場となっている。；いずれにしても以上の説明は、大学の学科紹介などからの抜粋である。；大学卒業後からの半年間は、慶應義塾大学病院の中央検査部に勤務していた。；大学の授業にはあまり出席せず、新太陽社で編集のアルバイトをしていた。；同大学では専門の植物学だけでなく、自然科学一般を英語で教えた。；これは主要な心理学者が集っていた二つの大学の名前を指している。；二人とも同大学の絵画科を志していたが落ちてしまい、版画科へと進学した。；産学共同の状況では56件中14件が大学と企業との共同研究であった。；日本においては、大学に所属する研究者のみを指すのが通常である。；学校スポーツは高校や大学の体育会系で行われているスポーツである。；海外の大学はブドウ栽培と醸造学の両コースを持つのが普通である。；また、旧・帝大をはじめとする大学では学生YMCAが活動している。；大学の漫画研究会出身で、初の連載でヒットという極めて稀な例であった。；また、大学のボート部に参加しようと決意したことも状況を変える効果をもたらした。；多くの大学の経済学部を中心に卒業論文が課されない学部も少なくない。；また、大学院は教育だけでなく、大学における研究活動を行う機関である。</t>
        </is>
      </c>
      <c r="J4955">
        <f>HYPERLINK("https://www.weblio.jp/content/大学", "词义详情")</f>
        <v/>
      </c>
      <c r="K4955">
        <f>HYPERLINK("https://yourei.jp/大学", "查看例句")</f>
        <v/>
      </c>
    </row>
    <row r="4956">
      <c r="A4956" t="inlineStr">
        <is>
          <t>大学院</t>
        </is>
      </c>
      <c r="B4956" t="inlineStr">
        <is>
          <t>成功</t>
        </is>
      </c>
      <c r="C4956" t="inlineStr">
        <is>
          <t>読み方：だいがくいん
大学の学部の上または独立に設置される機関。学術の理論および応用を教授・研究し、その深奥を究めて文化の進展に寄与することを目的とする。修士課程と博士課程とがある。</t>
        </is>
      </c>
      <c r="D4956" t="inlineStr">
        <is>
          <t>大学院修了(5%)；大学院修士課程(5%)；大学院博士課程(4%)；大学院文学研究科(3%)；大学院教授</t>
        </is>
      </c>
      <c r="E4956" t="inlineStr">
        <is>
          <t>大学院大学</t>
        </is>
      </c>
      <c r="F4956" t="inlineStr">
        <is>
          <t>大学大学院；大学院在学；京都大学大学院；大学院時代；大学院教育学研究科</t>
        </is>
      </c>
      <c r="G4956" t="inlineStr">
        <is>
          <t>大学院大学；大学院重点化；大学院総合文化研究科；大学院入試；大学院設置基準</t>
        </is>
      </c>
      <c r="H4956" t="n">
        <v>29</v>
      </c>
      <c r="I4956" t="inlineStr">
        <is>
          <t>メディア教育開発センターは大学と連携して大学院教育も担当していた。；現在では、学部組織と大学院の研究教育組織は必ずしも一致していない。；その後の工学部設置や各種大学院設置をもって完全な総合大学となった。；大学の学部や、大学院の研究科の多くに研究生の制度が設けられている。；著者が、大学院博士課程に在籍する研究者だったことでも話題になった。；アナウンサーの傍ら中央大学および山梨学院大学の大学院にて学んだ。；工学部の以下の大学院部門はそれぞれのランキングにリストされた。；イギリス・アメリカでは大学院教育が重視されるようになる。；学士の学位を授与された後は、大学院修士課程に進学することができる。；大学院は法第102条に基づき、下記のいずれかに該当する者が対象となる。；自身は大学院進学も希望していたが、両親の意向もあり家庭に入る。；しかし大学院をやめても、彼は研究をやめたわけではなかった。；また、大学院は教育だけでなく、大学における研究活動を行う機関である。；大気海洋研究所が受け持っている大学院の専攻の一覧は次の通りである。；大学院改組に合わせて2016年度入学者からの学生募集は停止している。；実際に開設された首都大学東京の学部構成・大学院構成とは異なる。；大学卒業後は大学院に進学せずソニーの入社試験を受けるも不合格。；大学院がない場合、書いていないのか未設置なのかの区別をつけるためにその旨も記述する。；また、1956年には大学院を設置して医学研究科博士課程を開設した。；大学院修了を控えて松下電器産業の採用試験を受けるが、不採用となる。；さらなる学びのニーズには大学院への進学の道も用意されている。；最近ではその後大学院に進学しているものもいる。；その弁舌をもって、1943年には大学院学生の特別研究制度を実現させた。；大学院への入学の際に必要とされることがある。；このほかに大学院棟も国の登録有形文化財に登録されている。；会社勤務を経て同大学院政治学研究科修士課程に入学し吉村健蔵に師事。；次の各大学大学院と電気通信大学大学院との間で、単位互換を実施している。；ただし日常会話では大学院卒業と言うことも多い。；東京帝国大学大学院に在学中、外務省の試験を受けたが、不合格となる。</t>
        </is>
      </c>
      <c r="J4956">
        <f>HYPERLINK("https://www.weblio.jp/content/大学院", "词义详情")</f>
        <v/>
      </c>
      <c r="K4956">
        <f>HYPERLINK("https://yourei.jp/大学院", "查看例句")</f>
        <v/>
      </c>
    </row>
    <row r="4957">
      <c r="A4957" t="inlineStr">
        <is>
          <t>大学生</t>
        </is>
      </c>
      <c r="B4957" t="inlineStr">
        <is>
          <t>成功</t>
        </is>
      </c>
      <c r="C4957" t="inlineStr">
        <is>
          <t>読み方：だいがくせい
大学の学生。</t>
        </is>
      </c>
      <c r="D4957" t="inlineStr">
        <is>
          <t>大学生時代(5%)；大学生たち(2%)；大学生向け；大学生風；大学生達</t>
        </is>
      </c>
      <c r="E4957" t="inlineStr">
        <is>
          <t>学生；角帽</t>
        </is>
      </c>
      <c r="F4957" t="inlineStr">
        <is>
          <t>当時大学生；若い大学生；文科大学生；平凡な大学生；腐れ大学生</t>
        </is>
      </c>
      <c r="G4957" t="inlineStr">
        <is>
          <t>大学生・社会人ドラフト；大学生活協同組合；大学生活板；大学生ダメ論；大学生協連</t>
        </is>
      </c>
      <c r="H4957" t="n">
        <v>29</v>
      </c>
      <c r="I4957" t="inlineStr">
        <is>
          <t>主な対象は高校生・大学生等の学生であるが、一般の参加も可能である。；ドームの上から湖へ飛び込んだ現地の大学生のことがよく話題になった。；もっとも心配なのは、子供への影響より大学生への影響かもしれない。；大学生の就職人気企業ランキングの文系部門では第1位を長年得ていた。；戦前の大学生が学業の傍らで従事する労働を呼んだ用法が広まったもの。；大学生時代のホイットマンはふざけるのが好きな人物と見なされていた。；大学生の頃はほとんど勉強をせず、テストではカンニングをしていたという。；フラナガンは大学生以外で唯一メダルを獲得したアメリカの選手であった。；そのため年に数回程度、近隣の住民や大学生により堀川清掃が行われる。；また、大学生がよく作る料理としても上位に位置することが報告されている。；主人公・工月秋成は大学生であり、卒業論文に必要な資料を探していた。；何人かの大学生が仮名を使って私と同じようにプロ野球でプレーしていたから。；これ以降も空手の約束組手は本土の大学生達を中心に改良が重ねられていった。；大学生時代のレポートにおいて原子爆弾の設計を行ったことで知られる。；紙面内容は、プロの記者が、大学生の行う取り組みなどをメインで紹介。；ロゴの制定は1958年で、美術系の大学生に呼びかけて候補を募った。；決闘が流行した時代の大学生はエリート階級であり、紳士予備軍だった。；実際に授業を行うのは大学生を基本とするアルバイト講師である。；ある日、早稲田の大学生・権田が自分で掘ったと思しき穴で死んでいた。；大学生の時には少人数制のサッカーであるフットサルのチームに所属していた。；元々は普通の大学生で、メタトロンの思想に賛同して運動に参加した。；大学生は「大学」ではなく「カレッジ」に通っていると言うことが多い。；大学生の頃に劇団四季の芝居に感動し、研究生として1955年に入団。；全国大会への出場を経験したほか、大学生時代にはオーボエも演奏していた。；兄の誕生日に健が訪問して大学生になったことを報告するが、父も兄も冷たい。；公募された大学生は、主に編集部と広告部の2つに分かれて活動する。；米国の大学生は一般に、120〜130単位を習得して大学を卒業する。；大学生コーチは多くのシーンでラボ活動の企画・進行を事務局に代わって行う。；小学生の鑑賞教育等や大学生の見学、実習等も積極的に受け入れている。</t>
        </is>
      </c>
      <c r="J4957">
        <f>HYPERLINK("https://www.weblio.jp/content/大学生", "词义详情")</f>
        <v/>
      </c>
      <c r="K4957">
        <f>HYPERLINK("https://yourei.jp/大学生", "查看例句")</f>
        <v/>
      </c>
    </row>
    <row r="4958">
      <c r="A4958" t="inlineStr">
        <is>
          <t>大気</t>
        </is>
      </c>
      <c r="B4958" t="inlineStr">
        <is>
          <t>成功</t>
        </is>
      </c>
      <c r="C4958" t="inlineStr">
        <is>
          <t>読み方：たいき
［名］天体の表面を取り巻いている気体の層。普通は地球の空気をさし、地上1000キロまで存在して太陽の強烈な紫外線やX線を遮るとともに保温の役割などを果たす。その95パーセントは地上20キロ以下にあって、上層ほど希薄。
［形動］［文］［ナリ］心が広く、こせこせしないさま。
「—な人で…札(さつ)を撒いて歩いたという話を」〈秋声・黴〉
[補説]作品名別項。→大気</t>
        </is>
      </c>
      <c r="D4958" t="inlineStr">
        <is>
          <t>大気組成；大気上層；大気成分；大気環境；大気現象</t>
        </is>
      </c>
      <c r="E4958" t="inlineStr">
        <is>
          <t>エア；大気圏；エアー；アトモスフィア；気圏</t>
        </is>
      </c>
      <c r="F4958" t="inlineStr">
        <is>
          <t>希薄な大気；薄い大気；冷たい大気；厚い大気；海洋大気</t>
        </is>
      </c>
      <c r="G4958" t="inlineStr">
        <is>
          <t>大気圏；大気汚染；大気圧；大気圏再突入；大気圏突入</t>
        </is>
      </c>
      <c r="H4958" t="n">
        <v>29</v>
      </c>
      <c r="I4958" t="inlineStr">
        <is>
          <t>地形・大気・生物・文明などを操作し惑星を育てる事を目的としている。；酸素は地球誕生時の大気には今より少ない濃度しか存在していなかった。；この辺りの大気はおそらく、いくらかの硫酸を含む濃い雲の領域だろう。；斜めだと大気の薄い高度の高い所で光っている時間が長くなるからである。；これは厚い大気の層に阻まれた地球上の岩石には見られないものである。；これは高温によって惑星の大気が膨張しているためだと考えられている。；また、この衝突は木星大気の成分分析に関わる重要なデータを提供した。；大気は、温度変化を基準にして、鉛直方向に4つの層に区分されている。；この論文の中で彼は、太陽熱が大気運動の原因であることを指摘した。；自分の肉体を周囲の大気やエネルギーに変化・同化させることが可能である。；大気を持つ太陽系の惑星のほとんどでは、地球と同じように雲が発生する。；最後まで残った冥王星の特徴的な点は、巨大な衛星カロンと大気である。；軌道上には小天体で形成されたリングを持ち、表面には水や大気を有する。；大気海洋研究所が受け持っている大学院の専攻の一覧は次の通りである。；大気中では、大気を構成する分子がお互いに衝突しながら散乱している。；熱帯低気圧は、地球表面の大気の循環の中でも一定の役割を担っている。；過剰の窒素が大気から凝縮するには数十年がかかると考えられている。；火星と同様に、初期の頃はより濃い大気の存在が想定されていた。；ボイジャーのデータでは、大気は存在しないことが明らかにされた。；何人かの研究者が大気の電気現象に関する知識体系が大きくなるのに貢献した。；さらに地球規模で大気電気の描くことを目標にして、世界中の他の施設へ機器を供給した。；このような特性を持つため、水や大気よりも土壌や堆積物で主に発見される。；この低圧の影響で、夜側では大気の影響は表面付近に限定される。；環境中の濃度は屋外の大気を代表したいくつかの観測地点における値である。；ウィルソン山の非常に安定した大気は干渉法観測に非常に適している。；ある地点の上空における大気の安定度を評価するために用いられる。；これは大気表面に残った黒い点で、大きさはオーバルBAにほぼ匹敵した。；その名称通り、大気が存在する場合に使用可能となる制動方法である。；可燃性・引火性に富み、特に霧状で大気中に存在すると爆発の危険がある。</t>
        </is>
      </c>
      <c r="J4958">
        <f>HYPERLINK("https://www.weblio.jp/content/大気", "词义详情")</f>
        <v/>
      </c>
      <c r="K4958">
        <f>HYPERLINK("https://yourei.jp/大気", "查看例句")</f>
        <v/>
      </c>
    </row>
    <row r="4959">
      <c r="A4959" t="inlineStr">
        <is>
          <t>耐久力</t>
        </is>
      </c>
      <c r="B4959" t="inlineStr">
        <is>
          <t>成功</t>
        </is>
      </c>
      <c r="C4959" t="inlineStr">
        <is>
          <t>読み方：たいきゅうりょく
長くもちこたえられる力。長く持続させる力。</t>
        </is>
      </c>
      <c r="D4959" t="inlineStr">
        <is>
          <t>耐久力ゲージ；耐久力回復</t>
        </is>
      </c>
      <c r="E4959" t="inlineStr">
        <is>
          <t>強壮；忍耐力；持久力；堪え性</t>
        </is>
      </c>
      <c r="F4959" t="inlineStr">
        <is>
          <t>ごとに耐久力</t>
        </is>
      </c>
      <c r="H4959" t="n">
        <v>29</v>
      </c>
      <c r="I4959" t="inlineStr">
        <is>
          <t>表示された耐久力の続く限り敵をキャプチャーし続けることができる。；戦闘終了時の自機の耐久力に応じて、参戦した艦隊の艦数が減少する。；外見から判断する限り、大気の巨人の耐久力は極めて高いと考えられた。；本体の耐久力自体は低く、通常攻撃1発で倒せるものがほとんどである。；だれもが、耐久力のぎりぎりの場に身を置いて、物をいっているのである。；これ等の人々の耐久力は、外国人にとっては常に興味ある問題である。；それぞれ緑・青・赤・白の4種類がいて、その順番に耐久力が増していく。；出来得る限り自然の力を利用して、京都の政府と耐久力の一点で戦ったのであった。；肉体的な耐久力と満足という点ではマツや岩石のように安定していた。；いずれも頭がよく温厚であり耐久力に優れているのが特徴である。；画面上に表示されているボスの耐久力を0にすることでクリアとなる。；敵には耐久力が定められており、ショット一発では倒せない敵もいる。；こうすれば、耐久力をすべて、付近の大地とわかちもつことになります。；泳いでいるあいだは不必要な動きをするとそれだけ耐久力と速度が落ちるからだ。；泳いでいる際の不必要な動きは、それだけ耐久力と速度を鈍らせるからだ。；敵がゴールした場合はゴールしていないライダーのバイクの耐久力が減る。；有人艦に比べて耐久力が2000ほど増加し、12000となっている。；敵によっては色が緑色と赤色の2種類存在し、赤色の方が耐久力が高い。；周回を重ねていると空中敵の耐久力がどんどん上がっていく点にも注意が必要である。；速さか耐久力か、頑丈さか優美さか、どちらかをとらなければならない。；人間の基準を超越して伸縮自在な筋肉で非常な怪力と耐久力を発揮する。；おどろくべき速度と耐久力であったが、生物である以上、限界がある。；別の実験では、彼らは一般的なヒューズの耐久力に影響を与えるよう依頼された。；スタミナ切れを起こす瞬発的な筋力よりは持久力や耐久力がより重要だ。；この際腹拵えをしておかなくては耐久力もつかないに違いない。；食糧事情が悪くなっていたことも、労働に対する耐久力を減退させていた。；彼は他のアスガルドの超人たちと同じく、超人的な力や耐久力を持っている。；第2次ハフマン紛争時において最も耐久力の高い機体と言われている。；また、支援機と合体することで一時的に耐久力減少を肩代わりできる。</t>
        </is>
      </c>
      <c r="J4959">
        <f>HYPERLINK("https://www.weblio.jp/content/耐久力", "词义详情")</f>
        <v/>
      </c>
      <c r="K4959">
        <f>HYPERLINK("https://yourei.jp/耐久力", "查看例句")</f>
        <v/>
      </c>
    </row>
    <row r="4960">
      <c r="A4960" t="inlineStr">
        <is>
          <t>大嫌い</t>
        </is>
      </c>
      <c r="B4960" t="inlineStr">
        <is>
          <t>成功</t>
        </is>
      </c>
      <c r="C4960" t="inlineStr">
        <is>
          <t>読み方：だいきらい
［形動］非常に嫌いなさま。「—な食べ物」「うそつきは—だ」</t>
        </is>
      </c>
      <c r="D4960" t="inlineStr">
        <is>
          <t>大嫌いな兄貴；大嫌いな性格；大嫌いな妹；大嫌いだー；大嫌いなやつ</t>
        </is>
      </c>
      <c r="E4960" t="inlineStr">
        <is>
          <t>憎い；いまいましい；忌まわしい；忌わしい；憎らしい</t>
        </is>
      </c>
      <c r="H4960" t="n">
        <v>29</v>
      </c>
      <c r="I4960" t="inlineStr">
        <is>
          <t>私は脚が自分の体の一部でないことを意識させられるのが大嫌いなのだ。；あの男はきちんとした奴だから予定を変えたりするのは大嫌いなんだがね。；君にとっては好みかも知れないが、ぼくはあの手の人間が大嫌いなんだ。；それでなくても自分のことにしか関心のないその子が、私は大嫌いだった。；十代のころは家から出るのがとてもおっくうで、旅なんて大嫌いだった。；こういうことがわたしは、特にこのようなときは、大きらいなのである。；あれにかけてるところを人に見られるのが大嫌いだって聞いてたが。；子供なんて大嫌いだと看護婦さんのママは決して言ったことはなかった。；祖父は私共の知っておりました時分でも、猫は大嫌いなんで御座います。；俺は血は大嫌いだ、人を殺さんのが俺の主義だって事を知っとるじゃないか。；また、自分の生命を危険にさらさざるを得ないような任務は、大嫌いだ。；僕は薬を飲むのが大嫌ひですから、滅多に病気なんかする気になりません。；これを建設した国際的な機関は、カミサマもアクマも大嫌いなのだろう。；あいは叔父の萬次郎を好いていなかった、というよりも大嫌いであった。；かれは自分自身を大嫌いになる瞬間が時々あったが、今がまさにそれだった。；小学校に入学したとたん、私は自分の顔が大嫌いになってしまった。；あなたのようなどちらにもいい子になろうとするお人は、あたしゃ大嫌い!；第二は用の無い時に仕事があるような顔をして机に坐っているのは私は大きらいです。；だからあたしは最後のほうで誰かが死んで終わりになるヤツが大嫌いなのよ。；彼女は相手がだれにしろ弱身を見せるのが大きらいな性分なのである。；而して先生は政治が大嫌で、随つて政治家などを毛虫の様に嫌つてゐた。；ポオルは、彼女がそういうことをしているのを見るのが大嫌いだった。；僕は一体子供好きでない方でもあったが殊にこのお嬢さんは大嫌いだった。；おれは文章がまずい上に字を知らないから手紙を書くのが大嫌いだ。；あんたのそういう奥歯にもののはさまったような言い方が大嫌いなんだ!；こちらのほうもお食べなさいといえば、『私、それは大きらい』という。；本当に欲しいものを欲しいと言えない人間など、私は大嫌いだった。；私は以前から、夜のニュースで自分の姿を見るのが大嫌いだった。；チームが自分たちの力を十分発揮しないまま負けることも大嫌いだ。</t>
        </is>
      </c>
      <c r="J4960">
        <f>HYPERLINK("https://www.weblio.jp/content/大嫌い", "词义详情")</f>
        <v/>
      </c>
      <c r="K4960">
        <f>HYPERLINK("https://yourei.jp/大嫌い", "查看例句")</f>
        <v/>
      </c>
    </row>
    <row r="4961">
      <c r="A4961" t="inlineStr">
        <is>
          <t>大金</t>
        </is>
      </c>
      <c r="B4961" t="inlineStr">
        <is>
          <t>成功</t>
        </is>
      </c>
      <c r="C4961" t="inlineStr">
        <is>
          <t>読み方：おおがね
多額の金銭。たいきん。「相場で—をもうける」</t>
        </is>
      </c>
      <c r="D4961" t="inlineStr">
        <is>
          <t>大金剛；大金玉；大金をつかん</t>
        </is>
      </c>
      <c r="E4961" t="inlineStr">
        <is>
          <t>千金</t>
        </is>
      </c>
      <c r="F4961" t="inlineStr">
        <is>
          <t>こんな大金；あんな大金；それだけの大金；いえば大金；大金満家</t>
        </is>
      </c>
      <c r="G4961" t="inlineStr">
        <is>
          <t>大金持；大金星；大金塊；大金寺；大金町</t>
        </is>
      </c>
      <c r="H4961" t="n">
        <v>29</v>
      </c>
      <c r="I4961" t="inlineStr">
        <is>
          <t>子供たちにあんな大金を持たせるのは、いい事じゃないと思いますがね。；大金を手にするような労働は長期休暇にまとめてやるしかなかったのだ。；おそらく一月の一家の費用の半分にも相当した大金だったろうと思います。；それほどの大金をもらうだけのもてなしをしていないという理由だった。；劉備が資金に困っていることを知ると、惜しむことなく大金を援助した。；ところが3人で手に入れた大金はピクシーが独り占めしていたのである。；あのおいぼれが、そんな大金を持っているということに何の価値がある。；落ちてきたのはパラシュートを着けた男と大金の入ったケースだった。；現代のロンドンで思わぬことから大金を手に入れた出版社の老編集長。；彼はジョルジュにどうしてこの城をあんな大金で購入したのかと問う。；双方合わせると五十両のおろそかでない大金が、がぜん出てきたのです。；勧告を回避するには大金が必要なことを知った二人は途方に暮れてしまう。；街をあるいていても、鼻につくのは何千何万という大金の匂いばかり。；みんな、そのような大金をみたことがないので、気が遠くなるかもしれない。；ジョージ卿は自分の馬に大金を賭けているけど、損失額は小さいだろう。；これは糸竹が実は身売りをして大金を作った事を隠すための嘘である。；だが、こんな家に大金が仕舞ってあろうとは思いも付かないことだな。；ぼくはそんな大金が要ることを父ちゃんに話すことすらできなかった。；大金はパールが肌身離さず持ち歩いていた人形に隠されていたのだった。；大金を預金している顧客・青柳様の15億円を使い込んでいたのである。；実は私の内ポケットには百円紙幣で一万円と云う大金が這入っているのだ。；その途中、彼らは銀行強盗をして大金を手にし、メキシコへと向かう。；最近ブリッジで大金をすったけれど、そのゲームは夫が認めていない。；みんなグルになって俺一人にかかり、大金を捲き上げようとしたんだろう!；どうして私のような一介の学生がこんな大金を持っているのか、これには訳がある。；俺の最善策は家を抵当に入れて、出来るだけ大金を手にすることだ。；さらに彼女は大金を持っている客をも殺害していた。；ある日、二人組の強盗に襲われた二人はマフィアの大金を奪われてしまう。；アニメ3期でも目の前の大金よりもヒナギクを助ける事を優先させている。</t>
        </is>
      </c>
      <c r="J4961">
        <f>HYPERLINK("https://www.weblio.jp/content/大金", "词义详情")</f>
        <v/>
      </c>
      <c r="K4961">
        <f>HYPERLINK("https://yourei.jp/大金", "查看例句")</f>
        <v/>
      </c>
    </row>
    <row r="4962">
      <c r="A4962" t="inlineStr">
        <is>
          <t>退勤</t>
        </is>
      </c>
      <c r="B4962" t="inlineStr">
        <is>
          <t>成功</t>
        </is>
      </c>
      <c r="C4962" t="inlineStr">
        <is>
          <t>読み方：たいきん
［名］(スル)勤務が終わって、勤め先から退出すること。「六時に—する」⇔出勤。</t>
        </is>
      </c>
      <c r="D4962" t="inlineStr">
        <is>
          <t>退勤する(7%)；退勤時刻(7%)</t>
        </is>
      </c>
      <c r="E4962" t="inlineStr">
        <is>
          <t>終業</t>
        </is>
      </c>
      <c r="H4962" t="n">
        <v>29</v>
      </c>
      <c r="I4962" t="inlineStr">
        <is>
          <t>そこへ、本来なら五時で退勤となる台員たち三、四人が入って来た。；アルバイトの大学生の出勤と退勤の時間には、かなりの幅を持たせていた。；会社にはもうひとり竹内という女事務員もいるが彼女はすでに退勤していた筈だ。；やがて周二たちは、退勤時間を待つことなく工場を抜けでる法を案出した。；これは退勤時にエレベーターが混雑するからとB階段を使用するように推奨されていたことが影響していると考えられた。；また周辺の工場勤務者の退勤時刻ごろに合わせて短時間営業する売店がラッチ外に設けられていたが、1990年頃に廃止されている。；退勤後、自宅で乳房喪失を読み始めた若月は夢中になってしまい、結局徹夜をする。；どうしたつて退勤後といふことになる。；玄関の警備に当っていた巡査が、もう退勤時刻をはるかにすぎた夜半になっての高級幹部の帰庁を迎えて、緊張して敬礼した。；保叉と初めて会ったあの喫茶店での編集会議の時が一度めで、退勤途上で会って近くの喫茶店に入り一時間ほど喋ったのが二度めである。；通りがかりのタクシィでもあればと考えたのだが、そんな裏町を退勤時刻過ぎて通り合わせる車は滅多になかった。；なおシンガポールでは、従業員が仕事が終わった後でも、上司の退勤までオフィスに滞在する習慣を指す場合もある。；教員もそれぞれ、出勤・退勤に2時間ずつ時差が設けられている。；その後は支店に退勤の連絡の上、給与支払いに必要なコードを記入して、直帰となる。；また泊行路・日勤行路ともに、出勤と退勤の場所はその乗務員の所属区所でなければならない。；これに関して出勤時刻・退勤時刻・実労働時間・拘束時間・休憩時間等を考慮する必要がある。；スインたちは労働組合員が規則どおり8時間労働を厳守して所定の時間に退勤するようにする。；夜の女王とともに働くのが、午前零時に退勤する若いシンデレラたちである。；五時すぎてやっと退勤の人波がうごき出す。；松山駅方面への退勤列車は機廠を出発すると地下線経由で縦貫線順行側と合流し、松山へ向かっていた。；事件発生日はクリスマス休暇の直前で職員の多くが早めに退勤し、居残った職員は非常事態対応用のショットガンや園内を移動するための車の鍵の場所を知らされていなかった。；「もう少しだから、全部やってしまおうか」 そう言われたときが、早出早帰りの日の退勤時刻だっだらどうするか。；「治兵衛さんは、この月で白木屋を退勤なさるそうですよ」 無事に勤め上げて、お暇を頂くことになったという。；タイムカードによる出退勤管理をしている企業では、定時に退勤処理を行わせたあとで働かせる場合もある。；よくある平凡な小會社での退勤後のガランとした感じで、ただ後になつて氣がついたのだが不相應に上等の厚いジウタンが敷きつめてあるため、歩いてもまるで足音がしない。；タイムレコーダーは主に企業で使用され、労働者が出勤した日付、出勤時刻、退勤時刻を記録する用途に用いられる。；B階段は、普段からプレイタウン専用階段になっており、おもにプレイタウン従業員の退勤時に利用されていた。；無限の本社社屋と本田技術研究所が近隣にあることや、ホンダの労務管理上深夜残業が原則禁止されている関係から、ホンダのエンジニアが研究所を退勤後に無限のオフィスに移動して開発作業を継続するといったことも多く行われていたという。；とりわけ23時過ぎの退勤時に専用エレベーターが混雑する理由から店側は客にエレベーターを優先して使ってもらうために、従業員に対してはB階段を使って帰宅するように推奨していた。</t>
        </is>
      </c>
      <c r="J4962">
        <f>HYPERLINK("https://www.weblio.jp/content/退勤", "词义详情")</f>
        <v/>
      </c>
      <c r="K4962">
        <f>HYPERLINK("https://yourei.jp/退勤", "查看例句")</f>
        <v/>
      </c>
    </row>
    <row r="4963">
      <c r="A4963" t="inlineStr">
        <is>
          <t>代金</t>
        </is>
      </c>
      <c r="B4963" t="inlineStr">
        <is>
          <t>成功</t>
        </is>
      </c>
      <c r="C4963" t="inlineStr">
        <is>
          <t>読み方：だいきん
品物の買い手が売り手に支払う金。代価。</t>
        </is>
      </c>
      <c r="D4963" t="inlineStr">
        <is>
          <t>代金支払い；代金回収；代金債権；代金未払い；代金約</t>
        </is>
      </c>
      <c r="E4963" t="inlineStr">
        <is>
          <t>用；入り；代；値；費用</t>
        </is>
      </c>
      <c r="F4963" t="inlineStr">
        <is>
          <t>売却代金；土地代金；利用代金；商品代金；旅行代金</t>
        </is>
      </c>
      <c r="G4963" t="inlineStr">
        <is>
          <t>代金納；代金引換郵便詐欺；代金引き換え</t>
        </is>
      </c>
      <c r="H4963" t="n">
        <v>29</v>
      </c>
      <c r="I4963" t="inlineStr">
        <is>
          <t>だが、実際にはこれは刀狩を意図したもので代金支払の意図はなかった。；彼はまたチェサムズ図書館にも本の購入代金を含めたお金を残した。；客から代金を得るごとに画面上部の「ノルマメーター」が上昇していく。；だがフランス帝国政府が実際に支払った代金はその一部だけであった。；画材代金のために舞台に出演したのがきっかけで俳優を始めた。；糧秣廠から買入代金が下ってもそれは一応事務所にまとまって下るのだ。；そして汚染された食品の代替品を買うと見せかけて、代金を盗んでいた。；両艦は完成し、代金も支払われ、回航にあたる乗員の訓練も開始された。；しかし盗まれた作品には代金が支払われたため、数ヵ月後には返却された。；考えても考えても、たよるのは産組へ出荷した大麦の代金だけしかなかった。；ここでは代金を支払うことでフォーミュラカーの走行を体験することができる。；高いコストの一部は高い土地代金、対地震対策、労働組合運動に帰する。；そこまではよかったけれども、その夕方彼はツマミ菜の代金を請求してきた。；この場合自動車の購入に当てた代金は貸方に計上することになる。；最初の依頼時はあまりの汚さに100万円の清掃代金を要したという。；購入したポイントの代金は携帯電話の利用料金に加算され、一緒に支払う。；また、逆に商品を送ったのに代金が指定口座に振り込まれない場合も含まれる。；天然ガスをはじめとした輸出入品の代金決済が困難となる見通しとなった。；イギリスの会社は茶の購入の代金とするため、アヘンをインドから中国に輸出し始めた。；そして最終的には、納品させた商品の代金を支払わないまま姿をくらます。；代金を要求したジミーを殺し、代わりに通りで麻薬を販売し始める。；最上級のクラスではコース料理の夕食と朝食の代金も運賃に含まれている。；クルーズ代金には、基本的な食事代やエンターテイメント費が含まれている。；見学者の一部は、絵に描いてもらう代金を支払った医者たちである。；チョコレートを渡す前に代金の支払いを要求する機械は次のように記述される。；分割払いの場合は現実に支払った代金と総代金を両方記載しなければならない。；店頭で代金と引き換えに商品を受け取る場合は一般的に納品とは呼ばない。；頻繁に変わる看板の代金が、塾の経営を圧迫しているようである。；ロシアは代金の支払を拒否したため、ノルデンフェルトIVは解体された。</t>
        </is>
      </c>
      <c r="J4963">
        <f>HYPERLINK("https://www.weblio.jp/content/代金", "词义详情")</f>
        <v/>
      </c>
      <c r="K4963">
        <f>HYPERLINK("https://yourei.jp/代金", "查看例句")</f>
        <v/>
      </c>
    </row>
    <row r="4964">
      <c r="A4964" t="inlineStr">
        <is>
          <t>大工</t>
        </is>
      </c>
      <c r="B4964" t="inlineStr">
        <is>
          <t>成功</t>
        </is>
      </c>
      <c r="C4964" t="inlineStr">
        <is>
          <t>読み方：だいく
１主として木造の家屋などを建てたり、修理したりする職人。また、その仕事。「船—」「日曜—」
２律令制で、木工寮(もくりょう)・修理職(しゅりしき)・大宰府などに属し、諸種の造営に従った職。おおたくみ。おおきたくみ。
３中世、木工職人の長。</t>
        </is>
      </c>
      <c r="D4964" t="inlineStr">
        <is>
          <t>大工さん(4%)；大工仕事(3%)；大工たち(2%)；大工棟梁(2%)；大工職人</t>
        </is>
      </c>
      <c r="E4964" t="inlineStr">
        <is>
          <t>匠；カーペンター；宮大工；飛騨匠；匠人</t>
        </is>
      </c>
      <c r="F4964" t="inlineStr">
        <is>
          <t>若い大工；新大工；町大工；寺大工；清大工</t>
        </is>
      </c>
      <c r="G4964" t="inlineStr">
        <is>
          <t>大工町；大工原；大工大高；大工調べ；大工工事</t>
        </is>
      </c>
      <c r="H4964" t="n">
        <v>29</v>
      </c>
      <c r="I4964" t="inlineStr">
        <is>
          <t>また後述のように大工の父の影響もあり、建築に深い興味を寄せていた。；セット建て込みには美術スタッフだけではなく大工の手も借りたという。；父親は大工でしたが、そのほかの商売をも同時に行っていたとのことです。；ピアノは、大工である父親が客の家の建築と交換して手に入れたものである。；日本中世大工の生産・組織生活を明らかにし、民家の形式美を研究した。；彼女は大工仕事もでき、父親の私と同じくらいハンマーをうまく使える。；当時スウェーデン領であったグライフスヴァルトの大工の息子に生まれた。；お米の親類か何かに大工のような商売の者はねえか、気をつけてくれ。；群内の大工は他領大工の進出を阻止し、強力な排他的職域を有していた。；おまけに大工だというから、なにか切れ物でも持っているかも知れねえ。；彼らは他領大工の進出を阻止していたため、下山大工の進出は見られない。；道具を家で研ぎすましておいて仕事場に来る大工があってたまるものか。；国中と郡内との間に大工の営業上の交流は殆ど無かったという結果が出ている。；その男は確かにあの村田平造であると長屋の大工のおかみさんが言った。；やがて工事が始まるも、大工たちはいきなり仕事を投げ出して逃げ出す。；メイヒューはプロのミュージシャンであるだけでなく、大工でもあった。；主任大工や主任石工に昇進しそこから建築分野における高地位についた。；子供の頃、父と大工仕事をしている時に事故で左手の人差し指の先を失っている。；学校を卒業した後は大工やフライス工などの技術職を転々としていたという。；「おまえさんは大工の長さんだね」と、半七は近よって声をかけた。；フランキーが仲間になってからも船の修理やその他の大工仕事で彼をサポートしている。；監獄船員たちは操船術と大工職など船の運行に関わる基礎的な訓練を受けた。；様々な大工仕事に用いることができるように、鋸板の両側に鋸刃がある鋸。；戦乱の終結した江戸時代になると大工ら町人にも広く普及するようになった。；ハウィットの兄弟ジョンも父親と同様に大工で、近くに住んでいた。；ジーンの家族はイタリア・ローマからアメリカに移住し、父親は大工であった。；正体は狸の仕業ともいわれ、石屋や大工には憑かないという特徴がある。；江戸の大工職林忠蔵の子として生まれたが、自らは鹿島の姓を称した。；真実を追い続けるデイナは近所の大工に庭の墓を掘り返させることにした。</t>
        </is>
      </c>
      <c r="J4964">
        <f>HYPERLINK("https://www.weblio.jp/content/大工", "词义详情")</f>
        <v/>
      </c>
      <c r="K4964">
        <f>HYPERLINK("https://yourei.jp/大工", "查看例句")</f>
        <v/>
      </c>
    </row>
    <row r="4965">
      <c r="A4965" t="inlineStr">
        <is>
          <t>待遇</t>
        </is>
      </c>
      <c r="B4965" t="inlineStr">
        <is>
          <t>成功</t>
        </is>
      </c>
      <c r="C4965" t="inlineStr">
        <is>
          <t>読み方：たいぐう
［名］(スル)
１人をもてなすこと。あしらい。「—の良いホテル」「大切な客として—する」
２給与・勤務時間など、雇用者の勤労者に対する取り扱い。処遇。「—を改善する」「高給で—する」
３ある地位に準じた取り扱いを受けること。役職などを表す語に付けて用いる。「課長—」
[用法]待遇・処遇——「相当の待遇（処遇）を考えている」のように、その人の取り扱い方の意では相通じて用いられる。◇「待遇」は、その時のもてなし方や、働く者の地位・給与の条件などについて用いる。「待遇の良い旅館」「待遇の改善を掲げて会社と交渉する」など。また、「部長待遇」のように、ある地位に準じた扱いの意は「処遇」にはない。◇「処遇」は、組織の中での地位・職務などについての扱いをいう。「名誉会長として処遇する」</t>
        </is>
      </c>
      <c r="D4965" t="inlineStr">
        <is>
          <t>待遇面；待遇差；待遇法；待遇委員；待遇せら</t>
        </is>
      </c>
      <c r="E4965" t="inlineStr">
        <is>
          <t>対応；迎え；サービス；扱い；勤務</t>
        </is>
      </c>
      <c r="F4965" t="inlineStr">
        <is>
          <t>同じ待遇；好待遇；特別な待遇；差別的待遇；高待遇</t>
        </is>
      </c>
      <c r="G4965" t="inlineStr">
        <is>
          <t>待遇表現；待遇官吏</t>
        </is>
      </c>
      <c r="H4965" t="n">
        <v>29</v>
      </c>
      <c r="I4965" t="inlineStr">
        <is>
          <t>寛永期には後の表高家衆と同様の待遇を受けていたことを確認できる。；そうした中で実家は一門の長老としての待遇を与えられたと考えられる。；藩はこれらの商人などに借金を重ね、深澤家には藩士待遇を与えていた。；また、敵の権力内に陥った場合は捕虜としての待遇を受ける権利を有する。；つまり母衣を身に付けているのといないのでは、首の扱いに待遇差があった。；これは天智・天武両天皇の子孫である諸王及び諸氏と同じ待遇であった。；その際に自身への待遇の悪さを理由にミランに不満をぶつけている。；史館の好待遇にあずかろうと、史才のない者までが殺到したためである。；主人の待遇がひどい時は、土地の判事のところに行くこともできた。；また朝鮮人労働者は日本人労働者より待遇面で不利であることが多かった。；楽天での最終年と変わらぬ待遇の下でプロ野球への復帰を目指した。；また、今まで契約社員扱の職員を正行員とし、待遇面で改善がみられる。；原居民には、伝統的な習慣や生活を守るため、特殊な権利や待遇が認められている。；他方、政府支援を受けた企業が高待遇を続けたために批判を受ける場合もあった。；特に現役である限り、日本代表の選手は待遇がかなり良かったようである。；過去の職歴から当初は「常備」と呼ばれる常勤に近い待遇を与えられた。；廃位後もオットーには国王としての待遇を保持することが認められた。；アタリでの低待遇に不満を抱いたゲーム開発者らによって設立された。；刑務所での待遇は丁寧に扱われているとバディーウ弁護士に述べたという。；このため自然と冷や飯食いの待遇となり、多くの歌手が引退を余儀なくされた。；戦時中にこのような変更がされたため、恩給などの待遇に隔たりが生じた。；雷悪地が降伏を請うと、姚萇はこれを受け入れてこれまで通り待遇した。；一門の長老としての待遇を受けた結果の従一位昇叙であると考えられる。；大陸会議は愕然としイギリス軍に陳情したので、その待遇は改善された。；准士官とは、下士官出身者で士官に準じる待遇を受ける者の分類をいう。；長上と比較して待遇や昇進は低く、五位以上に昇ることは極めて困難であった。；江戸時代、武士の身分のまま農業に従事した者や、武士の待遇を受けていた農民を指す。；奥右筆が表右筆より重視されていたのは待遇面でも明らかである。；生徒たちの待遇の改善を求め、時に軍側責任者との対立も起こしたと言われる。</t>
        </is>
      </c>
      <c r="J4965">
        <f>HYPERLINK("https://www.weblio.jp/content/待遇", "词义详情")</f>
        <v/>
      </c>
      <c r="K4965">
        <f>HYPERLINK("https://yourei.jp/待遇", "查看例句")</f>
        <v/>
      </c>
    </row>
    <row r="4966">
      <c r="A4966" t="inlineStr">
        <is>
          <t>退屈</t>
        </is>
      </c>
      <c r="B4966" t="inlineStr">
        <is>
          <t>成功</t>
        </is>
      </c>
      <c r="C4966" t="inlineStr">
        <is>
          <t>読み方：たいくつ
［名・形動］(スル)
１することがなくて、時間をもてあますこと。また、そのさま。「散歩をして—をまぎらす」「読む本がなくて—する」
２飽き飽きして嫌けがさすこと。また、そのさま。「—な話」「—な人」
３疲れて嫌になること。
「呪咀(じゅそ)することの及ばぬとて、かの后たち—し給ふ」〈伽・熊野の御本地〉
４困難にぶつかってしりごみすること。
「聞きしにもなほ過ぎたれば、官軍御方(みかた)を顧りみて、—してぞ覚えける」〈太平記・一六〉
５仏語。修行の苦難に負け、精進の気をなくすこと。
[派生]たいくつさ［名］</t>
        </is>
      </c>
      <c r="D4966" t="inlineStr">
        <is>
          <t>退屈そう(5%)；退屈しのぎ(4%)；退屈なもの(2%)；退屈な時間；退屈まぎれ</t>
        </is>
      </c>
      <c r="E4966" t="inlineStr">
        <is>
          <t>倦怠；飽きる；うんざりする；無聊；倦む</t>
        </is>
      </c>
      <c r="F4966" t="inlineStr">
        <is>
          <t>御退屈；退屈してる；死ぬほど退屈；退屈きわまり；長い退屈</t>
        </is>
      </c>
      <c r="G4966" t="inlineStr">
        <is>
          <t>退屈な部屋；退屈な日曜日</t>
        </is>
      </c>
      <c r="H4966" t="n">
        <v>29</v>
      </c>
      <c r="I4966" t="inlineStr">
        <is>
          <t>フロオベルのわたしに教へたものは美しい退屈もあると言ふことである。；フロオベルのわたしに教えたものは美しい退屈もあると言うことである。；最初は退屈に思えたものの、投げを決めているうちにすぐに魅了された。；一時間とたいくつしたこともなければ、つかれたと思うこともなかった。；もし何か退屈になって歌が唄いたくなったらいつでも準備はできてる。；併し他人にとつて興味ある對話は自分にとつて死ぬ程退屈なことである。；お前もよくよく退屈なればこそ、今、我々の仲間へ入って来たのであろう。；兵士達は何ヶ月にもわたる退屈な守備兵任務の後で戦える準備ができていた。；商いがなくていつも退屈している私は自然とお爺さんの話の相手となった。；どんなに、死が迫ってきている時でも、人間は退屈をするものである。；退屈はとうとう私に絵というものは思ったより憂鬱なものだと感じさせた。；そいつときたら、この退屈な婦人のやうな生優しい生き物ではなかつた。；どうせなんにもすることはなく、退屈しきつてゐるところだと云つてみた。；彼は、少女が退屈して、立ち上りはしないかと思うといらいらしてくる。；が、こんな事を一々御話しするのは、御退屈を増すだけかも知れません。；ああやって番をしてるのは退屈で、つまらないだろうといつも思った。；或時には諄々として盡きざる話を耳にしながら、腹の底で退屈を感じた。；新しい刺激的なものを渇望しており、日常は退屈と感じる傾向もある。；しかし退屈なピングーは店の中にあるものでいたずらをし始めてしまった。；あのひどい帽子を持ち、僕が君を退屈させたまさに張本人たる人物だ。；さすがの帆村も、二時間目には退屈して下の池まで下りて散歩をした。；作品そのものは見始めて10分後には眠りこんでしまうほど退屈な映画ね。；二人は、ほかに話をする相手もなく退屈であったからであります。；いつまでも平の続く地平線を撫で移って行く感覚は退屈なものである。；魔法が生きている世界、日々の退屈な生活から抜け出す少年達の物語。；すなわち退屈が内に秘めている教育学的可能性に目を向けていないのである。；彼が用いる文脈は退屈になりがちのものですが、彼は退屈ではないのです。；たかしはさやかに電話をかけるが繋がらず、退屈そうにしていたある日。；長い船旅で退屈をしていた乗客達は、ほら話を披露し合うことになる。</t>
        </is>
      </c>
      <c r="J4966">
        <f>HYPERLINK("https://www.weblio.jp/content/退屈", "词义详情")</f>
        <v/>
      </c>
      <c r="K4966">
        <f>HYPERLINK("https://yourei.jp/退屈", "查看例句")</f>
        <v/>
      </c>
    </row>
    <row r="4967">
      <c r="A4967" t="inlineStr">
        <is>
          <t>体系</t>
        </is>
      </c>
      <c r="B4967" t="inlineStr">
        <is>
          <t>成功</t>
        </is>
      </c>
      <c r="C4967" t="inlineStr">
        <is>
          <t>読み方：たいけい
１個々別々の認識を一定の原理に従って論理的に組織した知識の全体。
２個々の部分が相互に連関して全体としてまとまった機能を果たす組織体。</t>
        </is>
      </c>
      <c r="D4967" t="inlineStr">
        <is>
          <t>体系的(13%)；体系化(11%)；体系づけ；体系性；体系付け</t>
        </is>
      </c>
      <c r="E4967" t="inlineStr">
        <is>
          <t>構成；組織；系；システム；構造</t>
        </is>
      </c>
      <c r="F4967" t="inlineStr">
        <is>
          <t>理論体系；哲学体系；教育体系；運賃体系；技術体系</t>
        </is>
      </c>
      <c r="G4967" t="inlineStr">
        <is>
          <t>体系数学</t>
        </is>
      </c>
      <c r="H4967" t="n">
        <v>29</v>
      </c>
      <c r="I4967" t="inlineStr">
        <is>
          <t>社会は広範かつ多様な領域を持っているために複雑な体系となっている。；それらとキュレーションの最大の違いは体系化された情報整理である。；この本は厳密な体系学の調査研究であるが実用的でもある珍しい本である。；軍隊において兵站が体系化された背景には作戦や装備の複雑化がある。；またその古流柔術にもどの時代に発達した柔術かにより技術体系が違う。；無声音だけでなく有声音にも有気音の体系を持つ言語も少数ながらある。；ニュートンはユークリッド幾何学を用いて、自らの理論体系を構築した。；特に動物に関する体系的な研究は古代世界では東西に類を見ない。；こうして説一切有部を中心とする部派仏教には法の体系が確立された。；広義には、一つの体系を構成する個々の要素またはその挙動も意味する。；そして独自の視点を加えて新しい体系へと発展させることになる。；日本に帰化や亡命した人、およびその子孫のことをタイ系日本人と言う。；段級位制や色帯制が導入されると同時に、練習体系の合理化も進んだ。；これは特に教育段階が上がるにつれて教育内容が学問の体系に近づく。；そのため取得原価主義と呼ばれている会計基準の体系がなりたっている。；体系的な馬産が開始されるのは明治中期のことである。；アシュターディヤーイーは非常に体系的であり、技術的なものである。；郵便番号はその性質上、全国的に統一されたコード体系が用いられている。；秀吉も中世的支配体系・支配勢力の排除・抑制に努め、中世をおわらせた。；基本的には他州に規定される教育体系に類似している。；そのため、Wikipediaはそれぞれの群で特定の体系を採用している。；命題論理の体系に変項と量化子を加えて拡張したものが述語論理である。；本シリーズでは主に、以下に示す魔法体系が使用されている。；かつては州毎に三冠体系を設定していたが、こちらは現存しない。；またヴァザーリは、体系的な図像分析のための基本的技術を確立した。；兵器体系はかつて中国から購入した哨戒艇などを除いて殆ど西側に準じている。；これらを更に別の観点から拡張した体系が存在する。；各体系の単位には以下のような相互の関係がある。；こういった議論は、コペルニクスが新たな体系を志向するきっかけになる。</t>
        </is>
      </c>
      <c r="J4967">
        <f>HYPERLINK("https://www.weblio.jp/content/体系", "词义详情")</f>
        <v/>
      </c>
      <c r="K4967">
        <f>HYPERLINK("https://yourei.jp/体系", "查看例句")</f>
        <v/>
      </c>
    </row>
    <row r="4968">
      <c r="A4968" t="inlineStr">
        <is>
          <t>対決</t>
        </is>
      </c>
      <c r="B4968" t="inlineStr">
        <is>
          <t>成功</t>
        </is>
      </c>
      <c r="C4968" t="inlineStr">
        <is>
          <t>読み方：たいけつ
［名］(スル)両者が、面と向かい合って事の決着をつけること。また、困難に正面から立ち向かうこと。「東西両横綱の—」「悪と—する」</t>
        </is>
      </c>
      <c r="D4968" t="inlineStr">
        <is>
          <t>対決する(16%)；対決企画；対決しよ；対決シーン；対決路線</t>
        </is>
      </c>
      <c r="E4968" t="inlineStr">
        <is>
          <t>対立；対抗；対峙</t>
        </is>
      </c>
      <c r="F4968" t="inlineStr">
        <is>
          <t>初対決；兄弟対決；直接対決；ゲーム対決；決勝対決</t>
        </is>
      </c>
      <c r="G4968" t="inlineStr">
        <is>
          <t>対決列島</t>
        </is>
      </c>
      <c r="H4968" t="n">
        <v>29</v>
      </c>
      <c r="I4968" t="inlineStr">
        <is>
          <t>それを邪魔立てするつもりなら祖母の国との対決も辞さない覚悟だった。；このほかベジータは悟空との初対決の際、地球を破壊しようとしていた。；対決は全て審査形式で行われ、総得点の多いチームが勝者に認定された。；海外チームと対決して勝利した日本のチームがそのまま優勝することもあった。；勝利すると対決したOB選手のデータが登録され各モードで使用可能となる。；息子マルコも参戦し2位となっており、レースでは親子対決も見られた。；さらにはトムクルーズとのたいけつのときにはたちあってくれることに!；タイトル通り、今年は対決をテーマに歌合戦形式でライブが行われた。；もはや三木と挙党協との対決はのっぴきならない段階にまで陥っていた。；そして2人は数万人の大観衆が集まった東京ドームで対決のときを迎えた。；大隈は新聞を利用し、元老との対決色を全面に押し出して人気を集めた。；番組開始当初は、メンバー5人が交代で自ら発案した対決企画などを放送。；陶氏との対決に備えて、厳島・広島湾周辺の諸城や水軍の守りを固めた。；彼との戦闘後、闘技場を出るとクラウドとの対決イベントが見られる。；はベネトンもルノーエンジンを獲得し、同エンジンでの対決が注目された。；横浜在籍時、ガンバとの対戦は兄弟対決として注目されることも多かった。；絵の才能だけではなく水泳の才能も持ち、亜美と水泳対決したことがある。；また、様々な番組オリジナル競技でアスリートが対決するなどの企画もある。；その翌週、今度は不眠対決で勝負、ここでも結局有野に敗北してしまう。；この大会では予選は1対1の対決ではなく4人対戦形式で行われた。；トリプルHが敗北したらCOO辞任を条件にパンクと対決する事となる。；前者はパトリック・ラフターとのオーストラリア対決の決勝戦であった。；「成功したら初ライブ・失敗したら即解散」という条件で対決が行われた。；プレイヤーとコンピュータは必ず合計4人となり、特定のルールで対決する。；ファイナルでは3年ぶり2度目となるレイカーズとの対決が待っていた。；ハリーとマルフォイの対決は、回廊に囲まれた四角い中庭で撮影された。；柔術が対決で負けて消滅したというより、柔術が柔道化していったのである。；このモードでは予選から決勝までの対決まで特定のジャンルまたは形式のみが出題される。；主人公はこの基地で初めてロケット団のボス・サカキと対決する事になる。</t>
        </is>
      </c>
      <c r="J4968">
        <f>HYPERLINK("https://www.weblio.jp/content/対決", "词义详情")</f>
        <v/>
      </c>
      <c r="K4968">
        <f>HYPERLINK("https://yourei.jp/対決", "查看例句")</f>
        <v/>
      </c>
    </row>
    <row r="4969">
      <c r="A4969" t="inlineStr">
        <is>
          <t>体験</t>
        </is>
      </c>
      <c r="B4969" t="inlineStr">
        <is>
          <t>成功</t>
        </is>
      </c>
      <c r="C4969" t="inlineStr">
        <is>
          <t>読み方：たいけん
［名］(スル)
１自分で実際に経験すること。また、その経験。「貴重な—」「戦争を—する」
２《(ドイツ)Erlebnis》哲学で、個々の主観のうちに直接的または直観的に見いだされる生き生きとした意識過程や内容。特に、生の哲学ではその中心概念をなす。
→経験［用法］</t>
        </is>
      </c>
      <c r="D4969" t="inlineStr">
        <is>
          <t>体験できる(3%)；体験談；体験教室；体験施設；体験コーナー</t>
        </is>
      </c>
      <c r="E4969" t="inlineStr">
        <is>
          <t>経験；受ける；得る；知る；感じる</t>
        </is>
      </c>
      <c r="F4969" t="inlineStr">
        <is>
          <t>実際に体験；不思議な体験；英雄体験；性体験；生活体験</t>
        </is>
      </c>
      <c r="G4969" t="inlineStr">
        <is>
          <t>体験版；体験型；体験者；体験学習；体験記</t>
        </is>
      </c>
      <c r="H4969" t="n">
        <v>29</v>
      </c>
      <c r="I4969" t="inlineStr">
        <is>
          <t>日々なにげないことで幸せを感じる瞬間・体験を送ってもらうコーナー。；過去に起きたサバイバル体験の中には、記録が残されているものもある。；毎年、教育コースの生徒をオーストラリア体験旅行に参加させている。；上記で紹介した工房以外にも大島紬に関連する体験が可能な工房はある。；そこで見た一面の焼け野原・終戦体験が昭一青年に大きな影響を与えた。；この体験や以降の継続的な服用が、本作に強く影響することとなった。；その島の付近をパラグライダー体験を行う1隻のボートの姿があった。；代表的な加賀友禅会館は、加賀友禅を体験してもらうために設置された。；一年次から教育現場体験をさせることでモチベーションを向上させている。；旅先で見聞きした物事や体験などを語って聞かせることを土産話という。；全ヒロインの物語を体験すると、トゥルーエンドを迎えることができる。；また趣味であった園芸においても自らの体験を交えた作品を発表している。；シュミットはその後、自らの体験を自費出版した後に行方不明となった。；該当日に実際に災害が発生した場合には、体験利用ができなくなることがある。；玄奘三蔵の師である光明三蔵が若い頃に体験したエピソードが描かれている。；作者自身の自主避難体験を描くことを決意していたことも連載の中で描かれている。；この時の体験はその前後で日蓮の布教を大きく区分する意味を持つ。；これは、読者より寄せられた告白体験をまとめたと称する書籍である。；この体験がポランスキーの作品に深く影響を与えることとなった。；自らの体験などをベースに、主に若い男女の恋愛模様を描いている。；つまりクライアントにとって体験しやすいものを選ぶということである。；第三土・日曜日に、本軌道上での2人乗りトロッコ乗車体験が行われる。；ベルクソンは『時間と自由』で、科学的知識と人間の体験性とを区別した。；戦時中に自身が体験した人間が持つ潜在的な能力にも触れている。；この勉強室は常に人気があり先行体験を紹介した書籍がある。；また、取材にあたっていたスタッフにも心霊体験などが起こっていたこともある。；同じ昭和一ケタで、混乱した時代をくぐりぬけてきた戦後体験を持っている。；この感動というのは、ここで体験した者でなければわかりません。；ベルリオーズ自身の失恋体験を告白することを意図した標題音楽である。</t>
        </is>
      </c>
      <c r="J4969">
        <f>HYPERLINK("https://www.weblio.jp/content/体験", "词义详情")</f>
        <v/>
      </c>
      <c r="K4969">
        <f>HYPERLINK("https://yourei.jp/体験", "查看例句")</f>
        <v/>
      </c>
    </row>
    <row r="4970">
      <c r="A4970" t="inlineStr">
        <is>
          <t>太鼓</t>
        </is>
      </c>
      <c r="B4970" t="inlineStr">
        <is>
          <t>成功</t>
        </is>
      </c>
      <c r="C4970" t="inlineStr">
        <is>
          <t>読み方：たいこ
１打楽器の一。木製・金属製などの胴の両面または片面に皮などを張ったもの。桴(ばち)や手で打ち鳴らす。
２「太鼓持ち」の略。
３「御太鼓結び」の略。</t>
        </is>
      </c>
      <c r="D4970" t="inlineStr">
        <is>
          <t>太鼓打ち；太鼓師；太鼓演奏；太鼓叩き；太鼓奏者</t>
        </is>
      </c>
      <c r="E4970" t="inlineStr">
        <is>
          <t>ドラム；タンバリン；膜鳴楽器</t>
        </is>
      </c>
      <c r="F4970" t="inlineStr">
        <is>
          <t>大きな太鼓；浮太鼓；小さな太鼓；鉦太鼓；押太鼓</t>
        </is>
      </c>
      <c r="G4970" t="inlineStr">
        <is>
          <t>太鼓腹；太鼓橋；太鼓台；太鼓の達人；太鼓持ち</t>
        </is>
      </c>
      <c r="H4970" t="n">
        <v>29</v>
      </c>
      <c r="I4970" t="inlineStr">
        <is>
          <t>商人がその商品への注意を引くために太鼓を使うことが禁じられている。；元来は太鼓のみの伴奏であったので、今は古い形に戻っているといえる。；スマートフォンアプリ版では画面の太鼓を直接指でタッチして操作する。；王立太鼓隊は動物の皮で覆われた中空の木の幹から作られた太鼓を使う。；各踊り手が歌をうたいつつ腹に下げた太鼓を打ち鳴らして踊るのが特徴。；鐘を鳴らす基準となる時間は、江戸城からの太鼓の音を基準にしていた。；この太鼓を雷獣の骨で叩くと、その音は五百里にまで響き渡ったという。；その「膜」を叩いて音を出すので、構造が普通の太鼓と全く変わらない。；その際、右手には単純な構造の笛を持ち、これを吹きながら太鼓を叩く。；笛は太鼓と並んで古代から基本的構造がほとんど変わらなかった楽器である。；それから数年後、とある海岸で2人の少女が太鼓のような音を耳にする。；その様子にあわせて、笛吹きと太鼓打ちがそれぞれの楽器を演奏する。；また上段にある太鼓御櫓の古写真は、この場所から撮影されたものである。；強打することの多い太鼓には、より太い桴を使うことが理想的とされる。；太鼓台の内部では書いて字の通り、太鼓や笛を演奏するようになっている。；お祭りの騒がしさの中、太鼓と笛の音が響き、神秘的な世界に包まれる。；この太鼓をめがけて各台組の付け太鼓と呼ばれる小さな太鼓が突入する。；やがて争ううちに、表からけたたましく太鼓や竹法螺の音が聞えてきた。；毎年秋には祭りが開かれ、舞台では太鼓、歌芸など様々な催し物がある。；交通が不便なので、くり抜き型の太鼓を鳴らして連絡を取り合っていた。；太鼓は拍子を取るのに用いられるが、太鼓がない場合は笏拍子を用いる。；ある日、2人は屋根裏部屋で不思議な太鼓のような音がする箱を発見する。；この際、御諏訪太鼓の指導のもとに結成されたのが岡谷太鼓保存会である。；ちなみに、太鼓のバチは初めて太鼓台に参加した際に買う事になっている。；またこの日に屋形を組み立て出す地区もあるため夜遅くまで太鼓が鳴る。；メキシコでは袋、パプアニューギニアでは太鼓の皮に利用されることもある。；戦国時代の小田原城では太鼓で城中に時刻を知らせていたことが知られている。；この女神は大洪水の中、一組の男女を巨大な太鼓の中に入れて救った。；祇園太鼓の時期は夜は太鼓が演じられ、音も響き、夏の風物詩でもある。</t>
        </is>
      </c>
      <c r="J4970">
        <f>HYPERLINK("https://www.weblio.jp/content/太鼓", "词义详情")</f>
        <v/>
      </c>
      <c r="K4970">
        <f>HYPERLINK("https://yourei.jp/太鼓", "查看例句")</f>
        <v/>
      </c>
    </row>
    <row r="4971">
      <c r="A4971" t="inlineStr">
        <is>
          <t>対抗</t>
        </is>
      </c>
      <c r="B4971" t="inlineStr">
        <is>
          <t>成功</t>
        </is>
      </c>
      <c r="C4971" t="inlineStr">
        <is>
          <t>読み方：たいこう
［名］(スル)
１互いに勝利を争うこと。互いに張り合うこと。「他店に—して安く売る」「—策を練る」「都市—野球」
２私法上、当事者間で効力の生じた法的関係を第三者に主張すること。
３競馬・競輪などで、本命と優勝を争うと予想される馬や選手。</t>
        </is>
      </c>
      <c r="D4971" t="inlineStr">
        <is>
          <t>対抗するため(13%)；対抗できる(5%)；対抗策(3%)；対抗しよ(2%)；対抗意識(2%)</t>
        </is>
      </c>
      <c r="E4971" t="inlineStr">
        <is>
          <t>戦；反対；試合；ゲーム；戦い</t>
        </is>
      </c>
      <c r="F4971" t="inlineStr">
        <is>
          <t>対抗しうる；対抗する手段；クラス対抗；対抗し得る；国別対抗</t>
        </is>
      </c>
      <c r="G4971" t="inlineStr">
        <is>
          <t>対抗馬；対抗手段；対抗措置；対抗宗教改革；対抗要件</t>
        </is>
      </c>
      <c r="H4971" t="n">
        <v>29</v>
      </c>
      <c r="I4971" t="inlineStr">
        <is>
          <t>これに対抗して、大日本帝国陸軍は白米を規則とする日本食を採用した。；この歌は農民を中心とする民衆が権力者に対抗した収穫人戦争に由来する。；人口で5倍、経済力で38倍の相手に対抗できたのはここまでであった。；初期は4チーム対抗戦だったが、現在は5チーム対抗戦で行われている。；新しい仏教をもって、奈良の旧仏教に対抗させようとしたのである。；昭和初期の『詩と詩論』運動はこの状況に対抗して発生したものである。；これに対抗する思想がロードス島戦記に登場するカーラに代表される。；伊勢派の果たしたことはそれに対抗する神道側の努力だったと考えるべきだろう。；フレイルはフス派のような農民軍が騎士に対抗する際重要な役目を果たした。；また、政敵畠山持国に対抗する意味からも持豊と手を組む必要があった。；日興と改宗した住僧らは住職たちの不当な迫害を幕府に訴えて対抗した。；発売当時、市場で先行していた任天堂のゲームボーイに対抗して発売した。；わずかに室内などの数m以内の近接戦闘で対抗しうる程度である。；また、代表権に加えられた制限は、善意の第三者に対抗することができない。；馬を用いた馬上戦闘や一鋳式の青銅剣をとりいれ、邪馬台国に対抗する。；競合する江若鉄道に対抗するため複線で直進的なルートで建設されている。；侵攻してくるゲルマン人に対抗するために二重の壁を巡らしていたことが分かっている。；したがって戦闘における敵とは我に対抗する相手の戦闘力である。；新大陸の中南米を押さえたカール5世に対抗し北米を狙ったためである。；このため、カジノはカードカウンターを排除すべく様々な対抗策を取ってきた。；航空宇宙技術では、アメリカとの対抗上、国の威信をかけた開発が行われた。；黒の三連星に対して白も三連星で対抗してきたときに発生する形。；目的は、大都市で産業と人々の集中に対抗することであった。；ティルトはこの操作に対抗するために付け加えられた要素である。；これは、成型炸薬弾防御のための爆発反応装甲に対抗するためである。；イタリア戦争でこの大砲に対抗するための要塞建築法が一応の完成をみた。；このことで十国は東と西に分離され、団結して宋に対抗することが難しくなった。；これは強大化し過ぎた近衛長官へ対抗させるための処置でもあった。；元々は戦争の絶えない時代に他国の侵攻に対抗するための古式ムエタイだった。</t>
        </is>
      </c>
      <c r="J4971">
        <f>HYPERLINK("https://www.weblio.jp/content/対抗", "词义详情")</f>
        <v/>
      </c>
      <c r="K4971">
        <f>HYPERLINK("https://yourei.jp/対抗", "查看例句")</f>
        <v/>
      </c>
    </row>
    <row r="4972">
      <c r="A4972" t="inlineStr">
        <is>
          <t>代行</t>
        </is>
      </c>
      <c r="B4972" t="inlineStr">
        <is>
          <t>成功</t>
        </is>
      </c>
      <c r="C4972" t="inlineStr">
        <is>
          <t>読み方：だいこう
［名］(スル)当事者に支障があるときなどに、代わってその職務を行うこと。また、その人。「事務手続きを—する」「学長—」</t>
        </is>
      </c>
      <c r="D4972" t="inlineStr">
        <is>
          <t>代行する(13%)；代行者(5%)；代行的；代行サービス；代行業者</t>
        </is>
      </c>
      <c r="E4972" t="inlineStr">
        <is>
          <t>代わり；控え；代り；代理；仲介</t>
        </is>
      </c>
      <c r="F4972" t="inlineStr">
        <is>
          <t>首相代行；権限代行；知事代行；職務代行；オーナー代行</t>
        </is>
      </c>
      <c r="G4972" t="inlineStr">
        <is>
          <t>代行輸送；代行運転</t>
        </is>
      </c>
      <c r="H4972" t="n">
        <v>29</v>
      </c>
      <c r="I4972" t="inlineStr">
        <is>
          <t>翌14日も代行を務める予定だったが地震発生のため試合が中止となった。；大統領および副大統領が国内にいない場合は首相が大統領の代行を務める。；市政の日々の業務は議会に任命された市政代行官により監視されている。；前シーズン途中からHC代行を務めていた桶谷が正式にHCに就任した。；同社のシステムを活用する形で、他社の出版物の流通代行も行っている。；大統領が欠員した場合は、首相と下院議長が共同で大統領職を代行する。；PR会社の配信代行サービスを使い、広報資料を送ることも可能である。；つまり、ジャンク屋は破壊された兵器再生の代行業となったのである。；そのような代行的行動は行動の適切さの判断や時期の判断の権限を暗示している。；首都ではモスクのメクデブで代行されていた初等教育の義務化を試みた。；また、これら一連のテストは監督の指示のもとに助手が代行する場合もある。；明治の太政官では天皇の役割を代行する政府首脳としての官職であった。；現在では報復行為を国が代行するかわりに国民から報復権を取り上げている。；またバス会社の中には、金券式の回数乗車券を代行で用いる場合もある。；かつて日本では有限会社イースト・ウィンドが予約の代行を行っていた。；当該区間は直轄権限代行によって国の直轄事業で整備される模様である。；企業・自治体・組織の新人教育や各種研修を代行する会社にも講師登録している。；冨永が産休の際には元秋田放送アナウンサーの村野日南が代行を務めた。；建国以来、韓国では大統領の権限代行が下記の通りに起きている。；理由の一つは、私が直接には手の下せない首切りを代行してくれたからである。；副組長は組長を補佐し、組長に事故があった際は、その任務を代行する。；電子出版は比較的自分一人でも可能だが、出版代行業者も既に数多く存在する。；家事を行うロボットは誰もが避けることのできない日常の仕事を代行するロボットである。；配信代行業者のサービスを利用することで個人でのメールマガジン配信が可能となる。；これを代行船長というが、代行船長は厳密な意味での船長ではない。；後に格変化の統合・消失にともない格の機能を代行するようになる。；また、裏の社会と通じている為か、裏家業の代行を請け負う事もある。；その番組では会長の鈴々木保香は出演せず、会長代行森隆彦が取材を受けた。；ポンピドゥー大統領が病気がちであったため、大統領権限も代行することがあった。</t>
        </is>
      </c>
      <c r="J4972">
        <f>HYPERLINK("https://www.weblio.jp/content/代行", "词义详情")</f>
        <v/>
      </c>
      <c r="K4972">
        <f>HYPERLINK("https://yourei.jp/代行", "查看例句")</f>
        <v/>
      </c>
    </row>
    <row r="4973">
      <c r="A4973" t="inlineStr">
        <is>
          <t>大根</t>
        </is>
      </c>
      <c r="B4973" t="inlineStr">
        <is>
          <t>成功</t>
        </is>
      </c>
      <c r="C4973" t="inlineStr">
        <is>
          <t>読み方：おおね
１物事の大もと。根本(こんぽん)。
「私はもともと事の—を攫んでいなかった」〈漱石・こゝろ〉
２太い矢の根。
３ダイコンの古名。《季冬》
「つぎねふ山代女(やましろめ)の、木鍬(こくは)持ち打ちし—」〈記・下・歌謡〉</t>
        </is>
      </c>
      <c r="D4973" t="inlineStr">
        <is>
          <t>大根王(2%)；大根河岸；大根足；大根飯；大根畠</t>
        </is>
      </c>
      <c r="E4973" t="inlineStr">
        <is>
          <t>ダイコン；大根役者；ラディッシュ；清白；蘿蔔</t>
        </is>
      </c>
      <c r="F4973" t="inlineStr">
        <is>
          <t>神大根；甜菜大根；地大根；生大根；二股大根</t>
        </is>
      </c>
      <c r="G4973" t="inlineStr">
        <is>
          <t>大根役者；大根畑；大根の葉；大根島；大根仁</t>
        </is>
      </c>
      <c r="H4973" t="n">
        <v>29</v>
      </c>
      <c r="I4973" t="inlineStr">
        <is>
          <t>大根池からの灌漑の様子を玉が流れるようであると表現したことによる。；何か大根のようなものにいっぱい花がついてしまって、白く咲いている。；彼らほどの連中が大根のように斬られた傷を見ても、それは明らかだ。；彼の文章は格に入らぬが、彼の作る大根は往々芸術の三昧に入って居る。；私はもう本ばかり読むのはやめてしばらく大根でも作ってみようかと考えている。；奴の金と来た日にゃ犬ころに大根をやった程の役にも立たないんだ。；人に頼んで兼次へ衣物をやつたり汁の身の葱や大根をやる位に過ぎぬ。；たなの上には、大根や、芋などがざるの中にいれて、のせてありました。；我ながら大根だ、と彼は思ったが、強盗たちは大いに満足したようだった。；大根なんか、どうしてあんな太いのがあるかと思われるほどですよ。；大根と牛肉ばかり食していたため、やがて国中に牛がいなくなった。；大根の相手を毎日変えることで、続けて使わないと、大根もまずくなる。；もしや大根が傍にあったらそれを噛らせて汁を喉へ入れさせるのです。；お品は切干を刻む音を聞いた時先刻のは大根を洗つて居たのだなと思つた。；練馬の百姓が大根を馬につけて江戸中を売り歩いたが、一本も売れない。；武器には通常の剣に加えてアスパラガスの槍や投擲用辛子大根が使われた。；板葺の低い屋根で、その軒下には女房が大根を刻み、子供が遊んでいた。；板葺の低い屋根で、その軒下には女房が大根を刻み、子供が遊んでゐた。；人々は何をするのかと思つてその赤い腕とその上に載せられた白い大根とを見比べた。；大根さんもお父さんも大変悲しみましたが仕方がありません。；だって大根料理と日本人、和食は切っても切れない縁じゃありません?；「それでもさっきのあの川っ縁で大根を洗っていたぜ」と、半七は云った。；私は、大根足というOの言葉に、女の子への関心を感じ取ったのである。；おっ母は四十過ぎとったし、家には鼠が引いてく大根の髭もありゃせん。；その一つに、土地の人たちが地大根と呼んでいるのがあります。；だがそれでも、周りのヤツらは俺の大根芝居を信じたみたいだった。；まさか大根のように斬られるために現われたのではあるまいが。；刃は大根を切るように綺麗に通ったというのに、魔術師の手は傷一つない。；ええもう人参の微塵切りだろうが大根の桂剥きだろうが何でもやりますよ。</t>
        </is>
      </c>
      <c r="J4973">
        <f>HYPERLINK("https://www.weblio.jp/content/大根", "词义详情")</f>
        <v/>
      </c>
      <c r="K4973">
        <f>HYPERLINK("https://yourei.jp/大根", "查看例句")</f>
        <v/>
      </c>
    </row>
    <row r="4974">
      <c r="A4974" t="inlineStr">
        <is>
          <t>滞在</t>
        </is>
      </c>
      <c r="B4974" t="inlineStr">
        <is>
          <t>成功</t>
        </is>
      </c>
      <c r="C4974" t="inlineStr">
        <is>
          <t>読み方：たいざい
［名］(スル)よそに行って、ある期間そこにとどまること。逗留(とうりゅう)。「ホテルに—する」</t>
        </is>
      </c>
      <c r="D4974" t="inlineStr">
        <is>
          <t>滞在中(17%)；滞在すること(2%)；滞在先；滞在時；滞在費</t>
        </is>
      </c>
      <c r="E4974" t="inlineStr">
        <is>
          <t>いる；居る；残る；居住；在住</t>
        </is>
      </c>
      <c r="F4974" t="inlineStr">
        <is>
          <t>長期滞在；日滞在；ここに滞在；長く滞在；パリ滞在</t>
        </is>
      </c>
      <c r="G4974" t="inlineStr">
        <is>
          <t>滞在時間；滞在日数；滞在国；滞在型市民農園；滞在理由</t>
        </is>
      </c>
      <c r="H4974" t="n">
        <v>29</v>
      </c>
      <c r="I4974" t="inlineStr">
        <is>
          <t>日本に滞在していた際のカッブの様子は、たいへん紳士的であったという。；また6月頃にメンバーが海外にPV撮影や曲作りの為に滞在していた。；上述のようにこの曲は、ドヴォルザークのアメリカ滞在中に作曲された。；短期滞在者を含めると10万人以上の日本人が滞在しているといわれる。；女優になる前はヴァッサー大学で絵画を学び、パリに滞在したこともある。；滞在許可はほとんどの国でいくつかの種類に区分されている。；父の仕事の関係で、家族でアメリカ合衆国およびイギリスに数年滞在した。；この他にも届け出をしていない滞在者も数多くいると想定される。；公園へのアクセスや、ヨセミテ渓谷内での滞在環境はかなり改善した。；通年滞在許可を発行する際は労働市場テストを行なうことになっている。；ここで当初は草刈藤太の邸に滞在し、間もなく井上聞多の実家に移った。；これらの参照番号はケンペルが日本に滞在していた時の備忘録でも見られる。；父親は2年間日本に滞在後、帰国してほどなくアメリカで死亡した。；以後3年間パリに滞在し、フランスのシュルレアリストたちと交流する。；彼女は、カストルプが魔法の山に長期滞在した主な理由の1つである。；姉・ナナ子の夫の親類宅に2度目の滞在をさせてもらうことになった。；このホテル滞在中にダイアナはウィリアム王子から電話を受けている。；これは同様にモンゴルに長期滞在している日本人の約7倍にあたる。；後者に至ってはレコーディング目的で滞在中の外国での客死である。；現在でも多くの著名人が湖畔に滞在し、観光客の流れを促進しています。；シャーリー・テンプルが滞在していたハワイのホテルで誕生したと言われる。；当時加山はコンサートのため沖縄県に滞在しており船は無人であった。；かつて軽井沢に好んで滞在していた人物たちは、以下のように述べている。；日付のうち月名は、制作当日に河原が滞在している国の言語で表記される。；父が来るときは、常に大きな黒い鞄を持ってやってきて滞在した。；語源は、古アラビア語で「滞在地」の意味や人名が地名化した説がある。；主な滞在先はロンドンで、最初の2か月半は語学学校に通っていた。；霊廟の計画はブルハーンプル滞在時には着手され始めたと考えられる。；ハインリヒ・ハイネが滞在したことのある家が市庁舎の近くにある。</t>
        </is>
      </c>
      <c r="J4974">
        <f>HYPERLINK("https://www.weblio.jp/content/滞在", "词义详情")</f>
        <v/>
      </c>
      <c r="K4974">
        <f>HYPERLINK("https://yourei.jp/滞在", "查看例句")</f>
        <v/>
      </c>
    </row>
    <row r="4975">
      <c r="A4975" t="inlineStr">
        <is>
          <t>対策</t>
        </is>
      </c>
      <c r="B4975" t="inlineStr">
        <is>
          <t>成功</t>
        </is>
      </c>
      <c r="C4975" t="inlineStr">
        <is>
          <t>読み方：たいさく
［名］(スル)
１相手の態度や事件の状況に対応するための方法・手段。「人手不足の—を立てる」「—を練る」「税金—」
２律令制で、官吏登用試験の一。文章(もんじょう)博士が問題を出して文章得業生(とくごうしょう)に答えさせるもの。また、その答案。</t>
        </is>
      </c>
      <c r="D4975" t="inlineStr">
        <is>
          <t>対策事業；対策室；対策協議会；対策会議；対策用</t>
        </is>
      </c>
      <c r="E4975" t="inlineStr">
        <is>
          <t>術；策；措置；方策；打つ手</t>
        </is>
      </c>
      <c r="F4975" t="inlineStr">
        <is>
          <t>防止対策；騒音対策；感染症対策；洪水対策；バリアフリー対策</t>
        </is>
      </c>
      <c r="G4975" t="inlineStr">
        <is>
          <t>対策委員会</t>
        </is>
      </c>
      <c r="H4975" t="n">
        <v>29</v>
      </c>
      <c r="I4975" t="inlineStr">
        <is>
          <t>宇宙開発に伴ってその数は年々増え続け、対策が必要となってきている。；カルタゴはローマに解決を求めたが、ローマは何の対策も講じなかった。；この対策はうまくいき、女真の間での抗争は極めて激しいものとなった。；しかし、神戸本線で行われているような競合対策は一切行われていない。；そのため熱帯低気圧を接近前に観測して対策をとることは極めて重要である。；この報告を受けた連合艦隊は計画が崩れたことに何ら対策を取らなかった。；これを防ぐためにICカード化や生体認証の導入などの対策が図られる。；この計画に基づき2010年度から本格的な調査や対策が行われた。；より危険なバイオハザード物質を扱う部屋ほど、多くの対策が必要となる。；その対策としては、飲酒禁止年齢を用いた対策が効果的といわれている。；この治水対策はヨーロッパが現在行っている治水対策に限りなく近い。；これらの対策の結果、少し時間はかかったもののバター不足は収まった。；寒冷地などでは水道管等の装置が凍結しないよう対策を施す必要がある。；手を触れずに何かができるという機能は、感染症対策上も有効である。；逆に特攻推進派からは対策次第では十分な威力があるとの分析が出されている。；対戦車ミサイルへの対策として、被弾を前提とした改修が行われている。；この運用線区広域化の過程では、さまざまな改造・対策が実施された。；スマートグリッド等の総合的な対策が各国で検討推進されている。；住宅地に設置される場合などには騒音対策が必要になることがある。；これらの対策は翌年以降も継続して取り入れられている。；現在、地すべりを起こした斜面の崩落を防ぐために対策事業を行っている。；ここでは国際民間航空機関で定められている対策を中心に述べる。；その会議で様々な特攻対策が検討され、一部は実現されていった。；近年は麻薬密輸や凶悪犯罪対策のために警察支援活動を実施している。；このため次のような対策がとられるのが普通である。；防御策 電子メールクライアント側で対策されていることも多い。；そういった対策がなければ、兵士の士気はたちまち低下してしまうからだ。；対策としては今のところ太陽が低位置にある場合は風車を停止する以外にはない。；だがリスク管理やテロ対策の面からも十分な対策が求められている。</t>
        </is>
      </c>
      <c r="J4975">
        <f>HYPERLINK("https://www.weblio.jp/content/対策", "词义详情")</f>
        <v/>
      </c>
      <c r="K4975">
        <f>HYPERLINK("https://yourei.jp/対策", "查看例句")</f>
        <v/>
      </c>
    </row>
    <row r="4976">
      <c r="A4976" t="inlineStr">
        <is>
          <t>大使</t>
        </is>
      </c>
      <c r="B4976" t="inlineStr">
        <is>
          <t>成功</t>
        </is>
      </c>
      <c r="C4976" t="inlineStr">
        <is>
          <t>読み方：たいし
１外交使節の最上位のもの。臨時的な特派大使と常駐の特命全権大使とがあるが、ふつう後者をさす。
２1から転じて、自治体・機関・企業などから任命され、広報活動を行う人。「県の観光—」
３朝廷・幕府などの中央政府機関の命を受けて公式に派遣される使者。
４遣唐使の正使。</t>
        </is>
      </c>
      <c r="D4976" t="inlineStr">
        <is>
          <t>大使公邸；大使夫人；大使時代；大使閣下；大使在任</t>
        </is>
      </c>
      <c r="E4976" t="inlineStr">
        <is>
          <t>使節；アンバサダー</t>
        </is>
      </c>
      <c r="F4976" t="inlineStr">
        <is>
          <t>ドイツ大使；アメリカ大使；イギリス大使；日本大使；スペイン大使</t>
        </is>
      </c>
      <c r="G4976" t="inlineStr">
        <is>
          <t>大使館付武官；大使たち；大使館附武官；大使会議；大使召還</t>
        </is>
      </c>
      <c r="H4976" t="n">
        <v>29</v>
      </c>
      <c r="I4976" t="inlineStr">
        <is>
          <t>自動車での送迎も可能であるが、馬車を希望する大使が多いと言われる。；男性でも応募可能であるが、現在まで梅大使に男性がなったことはない。；このときにはスウェーデン大使はフィンランドで最も重要視されていた。；更に天上人移住交渉のため植物星から派遣されていた大使が現れる。；アンドラーシュは帝国の宮廷へ大使を派遣し、皇帝への臣従を表明した。；また、OAS諸国には現地のアメリカ大使から政府に事態を知らせた。；彼は王へ手紙を送り、新任の大使が彼に薬を盛ろうとしたと訴えた。；また、空鶴の家で療養している時は、わかめ大使を制作していたらしい。；日本語の曲を歌う事から日本大使の前や小泉純一郎首相の前で歌ったこともある。；フランス大使時代にはフランスでの柔道普及に協力したという。；この間シャーリーの教えを受けた大使とその配偶者は146名に及ぶ。；駐日スウェーデン大使の公式Twitterは以下のコメントを記した。；取り上げた国の大使をはじめとする外交官や留学生が案内人として登場した。；これ以後に事務次官経験者が大使職に就いた例は2例のみに留まる。；フランス大使公邸にて叙勲式が行われ、憲仁親王妃久子などが出席した。；王はこれを喜び、兵士を差し出さない国の大使にはあからさまに不満を示した。；人質となったフランス大使であるは、仏自動車大手・ルノーの会長の父である。；その後、同艦長を経て、連邦艦隊退役後は父サレクと同じ大使の道に進む。；大使は「こんな時こそ日本との結束を示すために、私は送られてきた」と述べた。；イタリア大使もドイツ側からの接近には否定的であり、ヒトラーは同盟交渉を一時中止した。；常設委員会は大使の資格を持つ各国1名の代表から構成される。；以後、メキシコ、スウェーデン大使や国際連盟代表部部員を歴任する。；大使になったキャサリンは、今や苦境にあるスペインの立場を自覚する。；イギリス大使などは「皇帝は今晩は大変長く話をされたね」と言ってきた程であったという。；このとき彼は政治をあきらめていたが、説得させられスウェーデン大使を受けることになった。；さまざまな都市に重要な大使として派遣されるほどだった。；ジョー自身も宮廷や貴族たちと付き合う優雅な大使生活に満足した。；またホーメルは初のカミングアウトした同性愛者のアメリカ大使となった。；ソ連と中国の介入を求めたソ連大使の李相朝は直ちに現地でソ連に亡命した。</t>
        </is>
      </c>
      <c r="J4976">
        <f>HYPERLINK("https://www.weblio.jp/content/大使", "词义详情")</f>
        <v/>
      </c>
      <c r="K4976">
        <f>HYPERLINK("https://yourei.jp/大使", "查看例句")</f>
        <v/>
      </c>
    </row>
    <row r="4977">
      <c r="A4977" t="inlineStr">
        <is>
          <t>退治</t>
        </is>
      </c>
      <c r="B4977" t="inlineStr">
        <is>
          <t>成功</t>
        </is>
      </c>
      <c r="C4977" t="inlineStr">
        <is>
          <t>読み方：たいじ
［名］(スル)
１悪いものや害を及ぼすものをうち滅ぼすこと。「ネズミを—する」「鬼—」
２仏語。煩悩(ぼんのう)や怠惰な心を断つこと。</t>
        </is>
      </c>
      <c r="D4977" t="inlineStr">
        <is>
          <t>退治するため(2%)；退治しよ；退治できる；退治する方法；退治伝説</t>
        </is>
      </c>
      <c r="E4977" t="inlineStr">
        <is>
          <t>駆逐；全滅；抹殺；殲滅；駆除</t>
        </is>
      </c>
      <c r="F4977" t="inlineStr">
        <is>
          <t>妖怪退治；怪物退治；虎退治；海賊退治；魔物退治</t>
        </is>
      </c>
      <c r="H4977" t="n">
        <v>29</v>
      </c>
      <c r="I4977" t="inlineStr">
        <is>
          <t>そうして少女は竜を退治したと勘違いした人々から推戴され女王となる。；退治されたはずの大蛇がその後も生きていたと思わせる伝承が残されている。；博士は、ロンドン中の電気を集めて、高圧電流で怪物を退治しようとする。；退治したトゥナを焼いたところから、ココナツの木が生えてきたという。；これは妖怪退治の要素が加えられたテレビドラマ版を意識した展開とされる。；事態の収拾ができず、帰国を認める代わりに親兵衛に虎退治をさせる。；カコはそれら怨霊と呼ばれる存在を浄化して退治する力を持っていた。；将軍が退治した大蛇の骨は百駄あり、この骨を埋めて長泉寺が建立された。；酒顛二の砦に案内された荘助は、かれらが賊であることを知って退治する。；物理的な攻撃で退治できるようになった点が大きな変化である。；怪獣退治には昔ながらの展開があり、特に大まかなものは以下のとおり。；本来海賊退治のために派遣されたキッドはこの地で海賊を助けてしまった。；萃香は鬼なので、現在の幻想郷では誰にも退治ができない存在となっている。；逃げ回る悟の元へ姿を変えた弓子が現れ黒装束の男を射抜いて退治する。；しかし、それは旅の侍と僧によって退治されたと伝えられている。；この動作で敵を退治しながら7チャプター全20ページを進んでいく。；トロルはどうにか退治したが、洞窟にはまだ無数のオークが潜んでいる。；悪竜を退治する英雄譚はバルカン半島のスラヴ地域の各地に存在する。；三郎の案内で鬼の棲み家へ着くと女の鬼が酒を飲んでおり、霊酒を飲ませて退治した。；後にガルダの噂を聞きつけ、自分がガルダを退治しようと息巻いている。；そして、宿主の根が存在しないので、ストライガは枯死して退治される。；アニメの終わりに貝社員が退治される形で料理されることを調理オチという。；この存在はリントヴルムが脅威であったため退治に懸賞がかけられた。；退治された女は人間ではなく、実は大きな年老いたキツネであった。；飛鳥部常則が康保元年に鬼を退治する白沢王像を描いたとされている。；道中ナタデ村に立ち寄った際には、村を困らせる怪物退治を買って出る。；ゲームやその他作品の題材にはなっていないが、人間の里にも妖怪退治を仕事とする者がいる。；この八本杉は素盞嗚尊が八岐大蛇を退治した場所と伝承されている。；この行動についてはまだ謎が多いが体についた寄生虫を退治するためと考えられている。</t>
        </is>
      </c>
      <c r="J4977">
        <f>HYPERLINK("https://www.weblio.jp/content/退治", "词义详情")</f>
        <v/>
      </c>
      <c r="K4977">
        <f>HYPERLINK("https://yourei.jp/退治", "查看例句")</f>
        <v/>
      </c>
    </row>
    <row r="4978">
      <c r="A4978" t="inlineStr">
        <is>
          <t>大事</t>
        </is>
      </c>
      <c r="B4978" t="inlineStr">
        <is>
          <t>成功</t>
        </is>
      </c>
      <c r="C4978" t="inlineStr">
        <is>
          <t>読み方：おおごと
重大な出来事。大きな影響を与える事件。「—にならずに済む」「そりゃ—だ」</t>
        </is>
      </c>
      <c r="D4978" t="inlineStr">
        <is>
          <t>大事なもの(4%)；大事そう(3%)；大事な話；大事な仕事；大事な試合</t>
        </is>
      </c>
      <c r="E4978" t="inlineStr">
        <is>
          <t>重要；主要；大きい；大変；重い</t>
        </is>
      </c>
      <c r="F4978" t="inlineStr">
        <is>
          <t>一番大事；重大事；いちばん大事；こんな大事；何よりも大事</t>
        </is>
      </c>
      <c r="G4978" t="inlineStr">
        <is>
          <t>大事な部分；大事な時間；大事の前の小事；大事manブラザーズバンド；大事manブラザーズオーケストラ</t>
        </is>
      </c>
      <c r="H4978" t="n">
        <v>29</v>
      </c>
      <c r="I4978" t="inlineStr">
        <is>
          <t>弟のだいじにしていたものはみんなまとめて箱にしまってありますのよ。；このことは死ぬまでだいじに胸の中にしまっておくつもりでございます。；ああしているとやがておお事になると彼は思わずにはいられなくなった。；口が悪いため客をもう少し大事に扱うよう、サキに言われたこともある。；わが公に大政に参与するよう命じておきながら大事の決定にも相談せず。；両親には、最初の子供だったことからとても大事に育てられたという。；親が子供を大事にするのは自然選択的に当然と考えられるからである。；クラークは、家事の責任を持つことは作曲よりも大事なことだと考えた。；あの剣は、わたしの命、いやわれわれのだれの命よりもだいじなものだ。；この後も再び君の御大事あらん時は、一番に先駆けをしなければならない。；戦と海と酒は、彼にそんな状況を忘れさせる大事なものなのだろう。；穀物の保存や輸送に大事な役割を果たしたため信仰の対象とされた。；母のモニカに反対されながらも階級の異なる女性を大事にし続けた。；上記のように一般に鳥はより大きな卵を大事にする傾向がある。；こういう取引に一番だいじなことは、きちんと時間をきめることなのよ。；基本技術を大事にする指導で関東大学リーグ復帰に向けた体制作りを続けた。；それほど大事な業務であればソフトをもう1本買うことをなぜ惜しむのか。；この物語は、そのはかない夢を大事に育てた少女の、愛のロマンである。；あそこまでしてもチャンピオンを獲りたいと思う気持ちは大事なこと。；その同じ日に宅の女中が電車の中へだいじの包みを置き忘れて来たのである。；オスマンは近代都市に最も大事なことは交通システムと理解していた。；表情も大事であるが、顔の下半分がほとんど覆われていると表情も読めない。；もし一度でも賈謐との間に何かあれば、大事は去ってしまうでしょう。；祖父はこの世話で少し無理して倒れただけで、そう大ごとでは無かったのだ。；君がねていると言ったら、だいじにしてくれるように言っていたよ。；うとうとするとこのだいじな品物のうちどれかをなくした夢をみました。；角は麒麟にとって、特別だいじな場所だから大切にしないといけません。；「女の命」と大事にされた黒髪も火急の際には単なる邪魔者でしかない。；マンデラの解放は当時まだ国際的な重大事とはなっていなかった。</t>
        </is>
      </c>
      <c r="J4978">
        <f>HYPERLINK("https://www.weblio.jp/content/大事", "词义详情")</f>
        <v/>
      </c>
      <c r="K4978">
        <f>HYPERLINK("https://yourei.jp/大事", "查看例句")</f>
        <v/>
      </c>
    </row>
    <row r="4979">
      <c r="A4979" t="inlineStr">
        <is>
          <t>大使館</t>
        </is>
      </c>
      <c r="B4979" t="inlineStr">
        <is>
          <t>成功</t>
        </is>
      </c>
      <c r="C4979" t="inlineStr">
        <is>
          <t>読み方：たいしかん
特命全権大使が駐在国において公務を執行する公館。国際法上、本国の領地と同一に見なされ、不可侵権が認められる。</t>
        </is>
      </c>
      <c r="D4979" t="inlineStr">
        <is>
          <t>大使館員(6%)；大使館参事官；大使館内；大使館職員；大使館付</t>
        </is>
      </c>
      <c r="E4979" t="inlineStr">
        <is>
          <t>公館；エンバシー</t>
        </is>
      </c>
      <c r="F4979" t="inlineStr">
        <is>
          <t>米国大使館；英国大使館；日本大使館；北朝鮮大使館；各国大使館</t>
        </is>
      </c>
      <c r="G4979" t="inlineStr">
        <is>
          <t>大使館附武官</t>
        </is>
      </c>
      <c r="H4979" t="n">
        <v>29</v>
      </c>
      <c r="I4979" t="inlineStr">
        <is>
          <t>アラビア語版の映画はアラブ世界での一連の米大使館攻撃につながった。；彼女は夫がアメリカへ帰国した際に大使館を解雇されていたという。；全ての諸国に、大使館建設のための許可と必要な治外法権を要請する。；都市の占領を宣言するため大きな鉤十字を広げ、大使館の上に掲げた。；大使館の地下には畳がしかれ、大使用の柔術着も置かれていたという。；タイには北朝鮮大使館があるが、タイは北朝鮮に大使館を置いていない。；逆にマリネラに大使館を設置している国は1カ国だけという描写がある。；人質とその一行は現在での大使館にも似た外交使節とも言えるかもしれない。；大使館の警備室の窓ガラスをいくつか割り、正面から敷地内に侵入した。；日本はこれに続く形でイギリスから大使館とするに値する国と認められたのであった。；日本はマラウイを独立と同時に承認し、現在では相互に大使館を開設している。；抗議のうえ大使館を閉鎖したが、各地の領事館はそのまま維持した。；大使館は兼轄公館も多く、大使級外交関係国数と実館数とは一致しない。；しかし、ポル・ポト時代の1975年以降、両大使館は閉鎖されていた。；越境して亡命する以外に大使館などの在外公館に保護を求める場合もある。；国連本部に近いことから、多くの国の大使館や領事館が置かれている。；これを受けて、以降も北朝鮮に大使館を置いている国は24ヵ国になった。；ロンドンのポーランド人はポーランド大使館から撤退しなければならなかった。；基本的に大使館の紹介等がないと試験を受けることすらできず日本人ではまだ2名しかいない。；大使館の移転はが拡大化する中での出来事であった。；公園の東側の大通り周辺には、大使館等がいくつか位置している。；周辺にはフランス様式の建築物、大使館、主要ホテルや政府機関がある。；大使館に勤める父親の仕事の関係で少女時代の大半を日本国外で過ごす。；コロール市内には日本の大使館と中華民国の大使館が設置されている。；ラオスは東京に大使館を、日本はヴィエンチャンに大使館を置いている。；駐日フランス大使館は、フランスが日本に設置している大使館である。；現在は日本でも異星人の大使館を建設する要請が進んでいる。；中国やドイツなど多くの国の大使館が置かれている。；その他数多くの国の大使館もラマト・ガン市内に置かれている。</t>
        </is>
      </c>
      <c r="J4979">
        <f>HYPERLINK("https://www.weblio.jp/content/大使館", "词义详情")</f>
        <v/>
      </c>
      <c r="K4979">
        <f>HYPERLINK("https://yourei.jp/大使館", "查看例句")</f>
        <v/>
      </c>
    </row>
    <row r="4980">
      <c r="A4980" t="inlineStr">
        <is>
          <t>たいした</t>
        </is>
      </c>
      <c r="B4980" t="inlineStr">
        <is>
          <t>成功</t>
        </is>
      </c>
      <c r="C4980" t="inlineStr">
        <is>
          <t>読み方：たいした
［連体］
１程度がはなはだしいさまをいう語。非常な。たいへんな。度はずれた。「—ものだ」「—数にのぼる」
２あとに打消しの語を伴って、特に取り立てて言うほどのことではないという気持ちを表す。それほどの。「—ことはない」「—用事ではない」</t>
        </is>
      </c>
      <c r="D4980" t="inlineStr">
        <is>
          <t>たいしたこと(29%)；たいしたもの(13%)；たいしたもん(4%)；たいした問題(2%)；たいした違い</t>
        </is>
      </c>
      <c r="E4980" t="inlineStr">
        <is>
          <t>立派な；大した；素晴らしい；偉大な；見事な</t>
        </is>
      </c>
      <c r="F4980" t="inlineStr">
        <is>
          <t>あまりたいした；たいしたちがい；たいした時間；たいした傷；それほどたいした</t>
        </is>
      </c>
      <c r="H4980" t="n">
        <v>29</v>
      </c>
      <c r="I4980" t="inlineStr">
        <is>
          <t>もし呼吸が不可能であれば、もはやそこでたいしたことはできんわけだ。；そいつはたいしたものには見えないが、ここじゃすごい道具になるんだ。；たぶん事件はたいしたことがないし、複雑に入り組んでもいないだろう。；時間にはまだ一五分ありましたが、たいしたことはないと思ったので。；御病気のようにお見えになるが、それほどたいしたことではないのである。；なんだか、このできごとがたいしたことのように思われなくなってきた。；お金なしで旅行はできないが、きみにはたいした持ち合わせもあるまい。；これはきわめて印象的な証言であったが、たいした内容のものでなかった。；いかにも、それらのものは彼をたいした最後にまで連れて来たものだ!；トムはこれまでになく自分をなかなかたいしたものだと見直しはじめた。；いや、今の今、この瞬間にもどって来たって、たいした役には立つまい。；王であることは実にたいしたことであるから、彼はただ王であるだけである。；さう云へば、子供が病気をしないつてことは、たいしたことでせうね。；前播磨守入道が大事な娘を住ませてある家はたいしたものでございます。；実際には、幸福であったり不幸であったりする理由はたいしたことではない。；自由な身分の労働者の運命はそれより少しはましだが、たいしたことはない。；腕に受けた傷はたいしたこともないのですが、ほかに胸をやられていましてな。；「たいしたことじゃないんだけど」とアリスはひとりごとを言いました。；けれども三等へ乗っているくらいだからたいしたものでないことは明らかである。；が、その結果はたいした新しい手掛りが見付かつたわけではありません。；たいしたことはないだろうと思われる場所でこそ真剣に試合をした。；外を論じずに内より論じれば、朋の来る・来ないはたいした事ではない。；おれはあの連中のことで心がすこし重かったが、たいしたこともなかった。；顔も勉強もスポーツも身長もたいしたことはないけど、体は健康みたいね。；今回起こった反乱には、たいした動機などなさそうに思えるのだが。；でも、こんなものをみんな集めると、とてもたいした重さになりました。；じゅうたんが敷いてあるんだもの、別にたいしたことになるはずがない。；それはやっかいなことになりそうだったが、結局たいしたこともなかった。；わたしはそのときでさえ、たいした不安をいだいていたとは思わない。</t>
        </is>
      </c>
      <c r="J4980">
        <f>HYPERLINK("https://www.weblio.jp/content/たいした", "词义详情")</f>
        <v/>
      </c>
      <c r="K4980">
        <f>HYPERLINK("https://yourei.jp/たいした", "查看例句")</f>
        <v/>
      </c>
    </row>
    <row r="4981">
      <c r="A4981" t="inlineStr">
        <is>
          <t>体質</t>
        </is>
      </c>
      <c r="B4981" t="inlineStr">
        <is>
          <t>成功</t>
        </is>
      </c>
      <c r="C4981" t="inlineStr">
        <is>
          <t>読み方：たいしつ
１からだの性質。遺伝的素因と環境要因との相互作用によって形成される、個々人の総合的な性質。「風邪をひきやすい—」「特異—」
２団体・組織などがもつ、性質や特徴。「日本人の—に合わない思想」</t>
        </is>
      </c>
      <c r="D4981" t="inlineStr">
        <is>
          <t>体質的(4%)；体質強化；体質性；体質そのもの；体質変化</t>
        </is>
      </c>
      <c r="F4981" t="inlineStr">
        <is>
          <t>財務体質；赤字体質；経営体質；ドm体質；企業体質</t>
        </is>
      </c>
      <c r="G4981" t="inlineStr">
        <is>
          <t>体質顔料；体質性黄疸</t>
        </is>
      </c>
      <c r="H4981" t="n">
        <v>29</v>
      </c>
      <c r="I4981" t="inlineStr">
        <is>
          <t>長く砂漠地帯で作戦を続けていたせいで汗をかかない体質になっている。；この様な生産部門の切り離しにより企業体質は大きく改善されていった。；体質は個性であると同時に、その人の病気へのかかりやすさも意味する。；科学的に検証されていない点もあり、体質も関係するだろうと予測される。；一時は会員数が1000人を突破したが、この体質は改善できなかった。；自然と人間の生活とはわれわれの体質が異なっているとおり相異なっている。；またザ・ソローの息子であるが故の霊媒体質も影響しているとされている。；しかし、彼女は800体の霊が憑いている特殊な体質の持ち主であった。；これをきっかけに自分が歌手体質、舞台体質であることを知ることとなる。；当時は体質が弱く、身が入ってきたのは2歳の夏になってからだった。；体質は長い歴史の中で現地の人々が環境に適応し、耐性を得たものである。；最も一般的な原因は体質性の遅発であり、一時的な遅発はに見られる。；旧地球連邦時代末期、軍の異常体質は兵器開発から健全さを奪っていた。；従って彼はそこで述べたことは彼の特殊な体質によるものとした。；これは古い前世代からの慣例の体質が継承されているためである。；イタカの影響で、男3人は体質が変わり、寒さへの免疫を獲得していた。；大企業病とは、主に大企業で見られる非効率的な企業体質のことである。；体質的に抵抗力が弱い者は、治療には抗生物質の錠剤が有効とされる。；祖母は宮城県仙台市でイタコをしており、母や自身も霊感体質だという。；ごくまれに光が原因で体に異常を感じる体質の方がおられます。；好きな女の子と良い雰囲気になると緊張と興奮から吐いてしまう繊細な体質。；池田路線は戦前的な体質を持った佐藤内閣でも実質的には継承された。；そうした体質が、戦後、何度か波をつくりながら批判されることになった。；我々には、日本罵倒体質の韓国や中国と違って歴史とプライドがある。；いつまでも緊張したままいることは、敏感な体質には耐えられないことだった。；田沼は、それまでの農業依存体質を改め、重商主義政策を実行に移した。；長年ラグナロクオンラインに依存していた収益体質が大きく変化した。；委員会はこのような体質についても改善を行うことを強く勧告した。；その後、日本各地の工業地帯に彼らと同じ体質の人間が次々と出現。</t>
        </is>
      </c>
      <c r="J4981">
        <f>HYPERLINK("https://www.weblio.jp/content/体質", "词义详情")</f>
        <v/>
      </c>
      <c r="K4981">
        <f>HYPERLINK("https://yourei.jp/体質", "查看例句")</f>
        <v/>
      </c>
    </row>
    <row r="4982">
      <c r="A4982" t="inlineStr">
        <is>
          <t>たいして</t>
        </is>
      </c>
      <c r="B4982" t="inlineStr">
        <is>
          <t>成功</t>
        </is>
      </c>
      <c r="C4982" t="inlineStr">
        <is>
          <t>読み方：たいして
［副］
１（あとに打消しの語を伴って）特に問題にする程度ではないさま。さほど。それほど。「—気にかけてはいない」
２程度のはなはだしいさま。大いに。
「角力になりましてからは—惣次郎も贔屓(ひいき)にして」〈円朝・真景累ヶ淵〉</t>
        </is>
      </c>
      <c r="D4982" t="inlineStr">
        <is>
          <t>たいして変わらない(2%)；たいして変わり；たいして大きく；たいして広く；たいして役に立た</t>
        </is>
      </c>
      <c r="E4982" t="inlineStr">
        <is>
          <t>逆に；却って；それに対して；対して；それに対し</t>
        </is>
      </c>
      <c r="F4982" t="inlineStr">
        <is>
          <t>たいして違わ；もうたいして；たいして高く；たいして面白く；たいして長い</t>
        </is>
      </c>
      <c r="H4982" t="n">
        <v>29</v>
      </c>
      <c r="I4982" t="inlineStr">
        <is>
          <t>たいして意味のないことだと思ったけど、彼がそうしてくれというから。；たいして重要とは思えなかったが、いくつかの事実を知ることができた。；たいして時間は奪われないでしょうし、相当お金になると思うのですよ。；おまえたちからみると、たいして重要な惑星ではなかったのではないか?；たいして意味があるようにも思えない二つの言葉を唯一の手がかりにね。；あなたは私どもの所へ来ても、たいしていやな気はなさらないでしょう。；会社には、単なる雪玉ではたいして客を集められないのがわかっていた。；そこに私の見たものは、湖の表面からたいして高くは出ていませんでした。；現在の衰弱しきった彼にさえ、それはたいして困難な仕事ではなかった。；連中は、事件を発見した警官とはたいして話をしていなかったんだな。；「たいして重要なことじゃないのに」と彼女はひとりごとをいいました。；たいして知りたくもない近所の人たちの日常を半ダースも聞かされたが。；やってみてかれは、それがたいして難しいことではないことを知った。；だから軍隊の移動するのなんて見ても、彼らはたいして驚きはしない。；このほかにもまだ、二十組ばかりのたいして重要でない群れがあった。；それが、経験した体験で、そうたいして役には立たなかったからだった。；あなたはたいしておどろかなかったし、ちょっと質問をしただけでした。；なぜこんなことになったかは、たいして疑う余地もないような気がした。；そのどれも彼女は信じていないが、いてもいなくてもたいして問題ではない。；彼は自分の義務と思っていることを、たいして苦労もせずにやってのけた。；自由な庶民のうまれにちがいないが、たいして名も知られていなかった。；だからたいして気もむいていないが、道誉には妙な魅力にひかれていた。；あなた自身はきっと弟の興奮に、たいして気づかなかったでしょうけれど。；そしてわたしの決心が動かぬと見ると、たいして涙も見せずに別れて行った。；将軍か、しかし彼は私のことなんか、たいして気にもしてないふうだった。；たいして勉強もしなかったのだが、事前にかけた山が当たったのだ。；いまとなっては、土星の他の衛星を探査してみてもたいして意味はない。；ぼくの体にしてもたいして違いはないけれども、草の色がずっと黒かった。；わたしはかれがたいしてはしっこそうでないのを見て、まずよしと思った。</t>
        </is>
      </c>
      <c r="J4982">
        <f>HYPERLINK("https://www.weblio.jp/content/たいして", "词义详情")</f>
        <v/>
      </c>
      <c r="K4982">
        <f>HYPERLINK("https://yourei.jp/たいして", "查看例句")</f>
        <v/>
      </c>
    </row>
    <row r="4983">
      <c r="A4983" t="inlineStr">
        <is>
          <t>大衆</t>
        </is>
      </c>
      <c r="B4983" t="inlineStr">
        <is>
          <t>成功</t>
        </is>
      </c>
      <c r="C4983" t="inlineStr">
        <is>
          <t>読み方：だいしゅ
多くの僧の集まり。また、その僧たち。衆徒。だいす。
「山門の—に仰せて、平家を追討せらるべし」〈平家・一〉</t>
        </is>
      </c>
      <c r="D4983" t="inlineStr">
        <is>
          <t>大衆的(8%)；大衆向け(2%)；大衆化(2%)；大衆文芸；大衆作家</t>
        </is>
      </c>
      <c r="E4983" t="inlineStr">
        <is>
          <t>国民；市民；世間；民；民衆</t>
        </is>
      </c>
      <c r="F4983" t="inlineStr">
        <is>
          <t>国民大衆；広く大衆；人民大衆；婦人大衆；大衆芸術</t>
        </is>
      </c>
      <c r="G4983" t="inlineStr">
        <is>
          <t>大衆車；大衆化；大衆小説；大衆文学；大衆食堂</t>
        </is>
      </c>
      <c r="H4983" t="n">
        <v>29</v>
      </c>
      <c r="I4983" t="inlineStr">
        <is>
          <t>最も深刻だったのは一貫して大衆の支持を得られなかったことだった。；新聞には小説が連載され、大衆の娯楽しての文学が発達する場となる。；主に、オール讀物誌やキング誌などの大衆雑誌に発表する事が多かった。；ここに挙げた新技術は全てポピュラー音楽を大衆に定着させるのに貢献した。；大衆娯楽にて扱われる場合、有名なものがモチーフとされることが多い。；欧州では19世紀ごろまでは、労働者等の大衆の喫煙方法とされていた。；ソ連時代は、各種文化、大衆、スポーツ行事の際の警備に従事していた。；権力を対比させる対象に据えた場合、大衆は権力の影響を被る側である。；もっとも、一般視聴者へ向けて大衆的な番組が放送される場合もある。；ゴシック小説もまた一面では当時の大衆の好みを反映したものである。；大衆の記憶に残り、以来、アイルランドの民族主義運動でも言及される。；大衆の動員において用いられるところの社会的神話はそれで問題である。；そこからも分かるように、この列車はどちらかと言えば大衆向けの設定であった。；彼の作品は当時の大衆やショパンなど同時代の音楽家に非常に人気があった。；多くの労働者大衆を引きつけるため、作品の娯楽性にも注意が払われた。；これは王が食事の様子を大衆の目に晒してはならないという習慣と同様である。；この二人の真摯な態度にメディアも感銘を受け大衆も彼らを祝福した。；ヴァイオリン協奏曲はエルガーが大衆的な成功を収めた最後の作品となる。；その西にはルーカスがあり、カンザス州では大衆芸術の首都とされている。；それは常に大衆に支持されるものであるとは限らなかった。；しかし、戦争が大衆の音楽への嗜好に影響を与えた可能性は容易に指摘できる。；また大衆クロスカントリーの年間シリーズ戦も毎年実施されている。；美術界や大衆はそれらに激しく反発しつつ、次第にその流れを支持するようになった。；平和を求める大衆の意見を尊重すべきとのトロツキーの意見が反映されている。；護憲運動を経て大衆の政治参加が進み、政党政治が確立した時期である。；現代の先進国では様々なメディアが大衆に情報を提供している。；その結果として、詩壇はさらに大衆詩と芸術詩の間の亀裂を深めている。；しかし三月行動は大衆的支持を得られないままあっさりと粉砕された。；どちらかといえば大衆向けの列車であったようである。</t>
        </is>
      </c>
      <c r="J4983">
        <f>HYPERLINK("https://www.weblio.jp/content/大衆", "词义详情")</f>
        <v/>
      </c>
      <c r="K4983">
        <f>HYPERLINK("https://yourei.jp/大衆", "查看例句")</f>
        <v/>
      </c>
    </row>
    <row r="4984">
      <c r="A4984" t="inlineStr">
        <is>
          <t>体重</t>
        </is>
      </c>
      <c r="B4984" t="inlineStr">
        <is>
          <t>成功</t>
        </is>
      </c>
      <c r="C4984" t="inlineStr">
        <is>
          <t>読み方：たいじゅう
からだの重さ。からだの目方。「片足に—をかける」</t>
        </is>
      </c>
      <c r="D4984" t="inlineStr">
        <is>
          <t>体重別選手権；体重増加；体重差；体重別団体；体重六</t>
        </is>
      </c>
      <c r="E4984" t="inlineStr">
        <is>
          <t>全身；体中；五体；渾身；肢体</t>
        </is>
      </c>
      <c r="F4984" t="inlineStr">
        <is>
          <t>全体重；学生体重；選抜体重；新人体重；全国女子体重</t>
        </is>
      </c>
      <c r="G4984" t="inlineStr">
        <is>
          <t>体重計；体重超過；体重移動；体重別階級；体重別皇居マラソン大会</t>
        </is>
      </c>
      <c r="H4984" t="n">
        <v>29</v>
      </c>
      <c r="I4984" t="inlineStr">
        <is>
          <t>同記録・同体重の場合は先にトータル記録を成立させた者が上位となる。；足裏は人間の歩行時に地面に接触し、そこに全体重がかかる部分である。；うすものの服の下で、彼女の体じゅうがうち震えているのが感じられた。；日吉は体じゅうを眼にして、樹の上の人間の奇怪な行動を見つめていた。；そうしているあいだ、体じゅうが石鹸だらけになるような気分だったわ。；稽古熱心だったが、体重の増加に伴い怪我が増え三役には届かなかった。；涙の粒みたいな姿をしていて、体じゅうきらきら光っているんじゃない?；大型化した種では体重を支えるため、二次的に四足歩行も併用していた。；今43歳で当時の自分の体重を下回れるか挑戦する意味でこの目標にした。；どの生物になるかは、生物のその時の体重やに左右されるよう設定されている。；それぞれの食事に割り当てられた被験者の体重は以下のように変動した。；一人が眼を使っているとすれば、その生物個体には体じゅうに眼がついている。；彼女はパンを口へ入れるのにも体じゅうの神経の震えるのを感じた。；体重制を取らなくても勝負が成立する理由の一つもここにある。；歩きだすと汗が流れはじめ、体じゅう水をかぶったようになって来た。；この時点でアーチャーの体重は60ポンド後半程度であったといわれる。；この頃には既に身長にしては体重があり、それをからかう記者などもいた。；遊びに行くと云うよりはぴしぴし体じゅうを鞭打たれに行く感じであった。；体じゅうに汗をかいた黒人兵が日本人の女の腰をだいて歩いていた。；形状や感触は実物に近いが、身長は比較的小さく体重も軽いものが多い。；血中のインスリンの濃度が高い状態が続くと、体重が一方的に増加する。；体重に対する脳の大きさが増加し、現生群の半分ほどに達している。；また騎手は自分の体重を含め指定された重量で騎乗することが求められる。；彼は、もう命がないものと思い、体じゅうの血が凍ってしまいました。；ぼくの血が、体じゅうの血管を駆けめぐるのがわかるような気がした。；かれもまた体じゅうの力が絞り取られてしまったような虚脱感に襲われていた。；入団当時の体重は70kgで、現役晩年よりも30kg以上痩せていた。；髪をこうさんばらにした若い男で、体じゅう水びたしになっておりました。；体じゅうに眼をつけて、刀を待っているような気構えが戦慄している。</t>
        </is>
      </c>
      <c r="J4984">
        <f>HYPERLINK("https://www.weblio.jp/content/体重", "词义详情")</f>
        <v/>
      </c>
      <c r="K4984">
        <f>HYPERLINK("https://yourei.jp/体重", "查看例句")</f>
        <v/>
      </c>
    </row>
    <row r="4985">
      <c r="A4985" t="inlineStr">
        <is>
          <t>対処</t>
        </is>
      </c>
      <c r="B4985" t="inlineStr">
        <is>
          <t>成功</t>
        </is>
      </c>
      <c r="C4985" t="inlineStr">
        <is>
          <t>読み方：たいしょ
［名］(スル)ある事柄・状況に合わせて適当な処置をとること。「緊急事態に—する」</t>
        </is>
      </c>
      <c r="D4985" t="inlineStr">
        <is>
          <t>対処するため(13%)；対処できる(4%)；対処しよ；対処方法；対処能力</t>
        </is>
      </c>
      <c r="E4985" t="inlineStr">
        <is>
          <t>扱い；処理；扱う；処置；取り扱い</t>
        </is>
      </c>
      <c r="F4985" t="inlineStr">
        <is>
          <t>うまく対処；対処方針分科会；対処行動水上部隊；対処不能；対処すればよい</t>
        </is>
      </c>
      <c r="G4985" t="inlineStr">
        <is>
          <t>対処療法</t>
        </is>
      </c>
      <c r="H4985" t="n">
        <v>29</v>
      </c>
      <c r="I4985" t="inlineStr">
        <is>
          <t>これは倫理的に問題のある行為であり、対処していかなければならない。；この出走は前述のように気性面の問題に対処するためのものであった。；靳準がこれの対処にあたったが、その最中二人の子が突然死亡したという。；寄親が対処できない場合のみ信玄の下に持ち込まれることになっていた。；そのためチェックを受けた側は、キングが逃げる以外に対処方法はない。；開発の進んだ地域では火災に対処するため消防サービスが提供されている。；安全システムはこのような破壊活動に対処できるようにはなっていなかった。；この食作用の主な役割は病原体への対処と、細胞死の残骸の処理である。；これらのモンスターに対処するために怪物危険対策パークが作られている。；これらの新しい攻撃方法に対処したICカードの開発が課題となっている。；そこで、そのような場合に対処するために考案された概念が外部性である。；旧特殊教育諸学校の免許状に領域追加を行う場合も同様に対処される。；しかし、必ずしも問題に対処するのに知恵がいつも有効であるとは限らない。；このため、既存のBD機器で特別な対処をすることなく再生できるとしている。；この火災は、緊急の要件としては対処されなかった可能性があるという。；ハインリヒ5世はこの事態に対処しようとしたが、1125年に死去した。；従来問題点とされてきた点の多くは技術的に対処が可能とされる。；そのため、指揮官不在の各部隊は有効に対処することができなかった。；この問題へのもっとも原始的な対処法は、薬草を天日に晒すことである。；どうしても周囲に誰もいなければ、自身が対処することとなる。；後に組織が時代に合わなくなると、令に規定の無い官を設けることで対処した。；UEFIはBIOSの技術的問題に対処することを目的とした後継である。；軍事的な攻撃に対処するためには防御が必要である。；これを腫瘍崩壊症候群と言い、適切な対処をしないと死に至ることもある。；従って異常警報受信時、担当警備員が他の対処等している可能性が高い。；銀が4三に来ることで3五歩を取らずに対処することができる。；「入院の必要がなく外来で対処しうる帰宅可能な患者」への対応機関。；その時ダーウィンの家族は猩紅熱で倒れており問題に対処する余裕はなかった。；ダウンさせられた側は、起き上がり時の相手の出方に対処する必要がある。</t>
        </is>
      </c>
      <c r="J4985">
        <f>HYPERLINK("https://www.weblio.jp/content/対処", "词义详情")</f>
        <v/>
      </c>
      <c r="K4985">
        <f>HYPERLINK("https://yourei.jp/対処", "查看例句")</f>
        <v/>
      </c>
    </row>
    <row r="4986">
      <c r="A4986" t="inlineStr">
        <is>
          <t>対象</t>
        </is>
      </c>
      <c r="B4986" t="inlineStr">
        <is>
          <t>成功</t>
        </is>
      </c>
      <c r="C4986" t="inlineStr">
        <is>
          <t>読み方：たいしょう
１行為の目標となるもの。めあて。「幼児を—とする絵本」「調査の—」
２哲学で、主観・意識に対してあり、その認識や意志などの作用が向けられるもの。</t>
        </is>
      </c>
      <c r="D4986" t="inlineStr">
        <is>
          <t>対象範囲；対象となりうる；対象魚；対象区域；対象路線</t>
        </is>
      </c>
      <c r="E4986" t="inlineStr">
        <is>
          <t>目的；意識；目標；当て；ゴール</t>
        </is>
      </c>
      <c r="F4986" t="inlineStr">
        <is>
          <t>主な対象；比較対象；研究対象；取材対象；投資対象</t>
        </is>
      </c>
      <c r="G4986" t="inlineStr">
        <is>
          <t>対象者；対象物；対象地域；対象年齢；対象国</t>
        </is>
      </c>
      <c r="H4986" t="n">
        <v>29</v>
      </c>
      <c r="I4986" t="inlineStr">
        <is>
          <t>物質はそうした現象や出来事が起こる場や対象のような位置を占めている。；他のノーベル賞と異なり、団体も授与対象となっているのが特徴である。；実行環境を指定しない場合は、ホスト環境を対象にしていることがある。；現在知られている大陸とは別に、別な観点に立った大陸と呼ぶ対象もある。；PASMOなど相互利用カードのデータは集計・分析の対象にならない。；近年ではアニメなどの流行により、その対象は広い世代に拡大しつつある。；コンピュータ用語では、通信や解析や表示の対象となる文字データを指す。；譲渡は譲渡先がアカデミック対象ユーザーに該当している場合のみ可能。；大学院は法第102条に基づき、下記のいずれかに該当する者が対象となる。；とは、物や人物に与えられた言葉のことで、対象を呼んだりする際に使われる。；選択・操作の対象には以下のものなどがあると思われる。；シャッター速度の変化は対象とカメラの動きの反映の度合いを変える。；課税の対象になる財貨・サービスは特定的で税率も統一されていない。；そのイベントで最もポイントを多く獲得した1名がポイント対象。；この対象言語について何らかの話をするための言語をメタ言語という。；敵ゲリラ組織だけでなく、一般市民までをも攻撃の対象とする場合もある。；売買対象は主に漫画や文庫本など大量出版され希少価値の低い書籍である。；情報技術分類では、対象となる情報そのものの標準を制定している。；山を対象にした画・写真などの作家団体が存在する。；ヒッチコックの女性の描写は、さまざまな学術的議論の対象となってきた。；対象協会との協力関係を強化するため、世界中に開発事務所が設置されている。；新しい版は古いジャーゴンファイルよりも広い範囲を対象とした。；北陸3県を対象とする番組および番組内の企画として以下のようなものがある。；電気は17世紀初めごろには科学の興味の対象となっていた。；不登校経験者を対象にした学校でも、寮を設置している場合が多い。；バスカード導入で補助対象になったのはこれらが日本初の事例である。；また、何らかの対象を絶対のものと信じて、疑わないことを指すこともある。；化学には、研究手法や対象とする物質の違いによって多くの分野が存在する。；またその作品や作家を対象とする学問領域も指す。</t>
        </is>
      </c>
      <c r="J4986">
        <f>HYPERLINK("https://www.weblio.jp/content/対象", "词义详情")</f>
        <v/>
      </c>
      <c r="K4986">
        <f>HYPERLINK("https://yourei.jp/対象", "查看例句")</f>
        <v/>
      </c>
    </row>
    <row r="4987">
      <c r="A4987" t="inlineStr">
        <is>
          <t>対照</t>
        </is>
      </c>
      <c r="B4987" t="inlineStr">
        <is>
          <t>成功</t>
        </is>
      </c>
      <c r="C4987" t="inlineStr">
        <is>
          <t>読み方：たいしょう
［名］(スル)
１二つの事物を照らし合わせて比べること。「訳文を原文と—する」「—表」
２全く性質の違う物どうしを並べ比べたとき、その違いがきわだつこと。また、その取り合わせ。コントラスト。「明と暗がおもしろい—をなす」「—の妙」
[用法]対照・対比——「筆者が違う同一人物の伝記を対照（対比）して読む」「色の対照（対比）が鮮やかだ」など、比べ合わせるの意では相通じて用いられる。◇違いがきわだつの意では「対照」の方が多く使われる。「二人の性格は剛と柔のいい対照だ」「対照の妙」などでは「対比」は用いない。◇「対比」は、二つ以上のものを比べて、その違いをはっきりさせる意で多く使われる。「目標数と達成数を対比したグラフ」◇類似の語「比較」は、比べ合わせて違いを考える意では最も広く使われる。「昨年同期の物価と比較する」「比較にならない実力の差」などでは、普通「対照」「対比」は使わない。</t>
        </is>
      </c>
      <c r="D4987" t="inlineStr">
        <is>
          <t>対照的(58%)；対照表；対照試験；対照性；対照作業</t>
        </is>
      </c>
      <c r="E4987" t="inlineStr">
        <is>
          <t>差；比較；参照；比べる；比較する</t>
        </is>
      </c>
      <c r="F4987" t="inlineStr">
        <is>
          <t>新旧対照；奇妙な対照；著しい対照；プラセボ対照；番号対照</t>
        </is>
      </c>
      <c r="G4987" t="inlineStr">
        <is>
          <t>対照群；対照実験；対照言語学；対照法；対照色</t>
        </is>
      </c>
      <c r="H4987" t="n">
        <v>29</v>
      </c>
      <c r="I4987" t="inlineStr">
        <is>
          <t>モデルの使用は従来のコードをベースとした開発技法とは対照的である。；刊行された版の中には、新国際訳や新ジェームズ王訳との対照版もある。；これは、値と参照を明確に区別するPascalなどとは対照的である。；ガンビア政府の推薦書の中では、登録基準との対照が明示されていない。；ヒトラーの自動車を運転する姿の記録が一切ないのとは対照的である。；これは貴族の家系に生まれた前任者のピウス12世とは対照的であった。；また、怪人たちとは対照的にヒーローたちは問題人物であることが多い。；預金債権の譲渡が原則禁止される今日の銀行システムとは対照的である。；古文字は両扉の形に象っており、片扉の形に象る「戸」字と対照される。；スイスとそれに隣接する南西ドイツでは、きわだった対照性を示していた。；また命令の「よ」も対照的な禁止の「な」などは助詞に分類されている。；投資家同士が市場内で直接売買するオークション方式とは対照的である。；これは本土が馬を軍事品・武備と認知していたのとは対照的といえる。；科・白・曲によって構成され、科白のない散曲と対照される言葉である。；京とは対照的に機械が苦手という設定があったが、そのような描写が無い。；なお、アルファベットと現在設置されている駅の対照は以下のとおり。；以下の対照表では、ごく一部の属のみが関係する科を省略している。；この点は後進ができないヘビの腹板を使った移動とは対照的である。；この2人の指導者の対照的な違いの1つは教育への取り組みであった。；敷地のほぼ中央に政庁たる正殿を置き、左右対照に脇殿や楼が配された。；直接攻撃を行った前任者とは対照的にシェフはより注意深い態度を選んだ。；カラーリングも改修前の緑色とは対照的な赤茶色に変更されている。；近代古典主義は19世紀の古典的な彫刻と多くの点で対照的であった。；映画とは対照的にサウンドトラックは非常に好意的に受け入れられた。；番号の対照は以下の通りで、元の形態順に新番号が振られている。；ベルナドットの高い評判は他の同僚たちと対照をなすものであった。；これはフランス、ドイツが反対に回ったこととは対照をなした。；この点は、毒薬と劇薬とで保管の規制に差があることと対照的である。；これはスペイン政府が艦隊の生き残りに援助を与えたこととは対照的であった。</t>
        </is>
      </c>
      <c r="J4987">
        <f>HYPERLINK("https://www.weblio.jp/content/対照", "词义详情")</f>
        <v/>
      </c>
      <c r="K4987">
        <f>HYPERLINK("https://yourei.jp/対照", "查看例句")</f>
        <v/>
      </c>
    </row>
    <row r="4988">
      <c r="A4988" t="inlineStr">
        <is>
          <t>大小</t>
        </is>
      </c>
      <c r="B4988" t="inlineStr">
        <is>
          <t>成功</t>
        </is>
      </c>
      <c r="C4988" t="inlineStr">
        <is>
          <t>読み方：だいしょう
１大きいことと小さいこと。大きいものと小さいもの。「事の—かかわらず報告する」
２大刀(だいとう)と小刀。「—を腰に帯びる」
３大鼓(おおつづみ)と小鼓。
４大の月と小の月。</t>
        </is>
      </c>
      <c r="D4988" t="inlineStr">
        <is>
          <t>大小さまざま(9%)；大小無数(2%)；大小二つ；大小関係；大小合わせ</t>
        </is>
      </c>
      <c r="F4988" t="inlineStr">
        <is>
          <t>大小神祇；大小不同；大小約；大小比較；大小ふたつ</t>
        </is>
      </c>
      <c r="G4988" t="inlineStr">
        <is>
          <t>大小路町；大小切税法；大小切騒動；大小路；大小一揆</t>
        </is>
      </c>
      <c r="H4988" t="n">
        <v>29</v>
      </c>
      <c r="I4988" t="inlineStr">
        <is>
          <t>異なる物質同士の値の大小で単純に害の大小を比較することはできない。；そのため一部のルールでは今も四喜和の大小を区別していないこともある。；全身が灰白色の地に大小の黒褐色斑紋で覆われた独特の模様をしている。；本番組からパロディ化されたものは大小合わせて数えきれないほどある。；不意のことであったため小楠は床の間に置いた大小を手に取れなかった。；その他にも原作とアニメとの相違点は大小含めて枚挙にいとまがない。；この分野は現在さらに進展しつつあるため、今後も大小の変更があり得る。；現金にこだわらない大小さまざまな業者とは株式交換で事業を買収した。；日本の店舗では、サイズの大小やチップの有無に関係なく歌が歌われる。；大小の穴が空いた平たい棒を、レンズの前もしくは中で上下させる方式。；バシリ教授はQIPの構成を大小の2つの環からなる図で説明している。；ただし大小岩石の道が続くので落石させないように注意して歩く必要はある。；エンジン排気量の大小、改造の有無、改造範囲でクラス分けされている。；主要な滝は本滝も含めこの9滝であるが、他にも大小様々な滝がある。；大小の展示ホールが完備されており、各種展示会などに使用されている。；やはり、大小関係は が十分大きな部分でのみ成り立っていればよい。；形成する細胞の大小に合わせるように、雄株の方が小型になっている。；彼国の中にも仏教文学の感化があり、大小強弱の理を知っているはずだ。；事の大小にかかわらず、すべて孫秀の許可を得てから実行に移された。；ゲーム画面内では、大小異なる数十種類のマップが用意されている。；このサービスに限らず、各劇場では大小様々なサービスを設けているところも多い。；メッセルの湖底はおそらく流入してくる大小の川の中心点にあたっていた。；このような表現にしているのは浮動小数点数同士の大小比較を容易にするためである。；急峻な九州山地に覆われ、そこを源とする大小さまざまな河川がある。；それゆえ、実際の鎮静度とは大小なりの乖離が認められることもある。；胞巣内に大小の腔がみられる篩状の胞巣も特徴的な像として観察される。；ここから先は四日市の工場地帯となり、大小の工場や事業所などが広がる。；規模は大小さまざまであるが、多くは多種類・大型の水槽を売りにしている。；なお、現実に村正を大小一揃いで所有していたのは家康の方である。</t>
        </is>
      </c>
      <c r="J4988">
        <f>HYPERLINK("https://www.weblio.jp/content/大小", "词义详情")</f>
        <v/>
      </c>
      <c r="K4988">
        <f>HYPERLINK("https://yourei.jp/大小", "查看例句")</f>
        <v/>
      </c>
    </row>
    <row r="4989">
      <c r="A4989" t="inlineStr">
        <is>
          <t>大丈夫</t>
        </is>
      </c>
      <c r="B4989" t="inlineStr">
        <is>
          <t>成功</t>
        </is>
      </c>
      <c r="C4989" t="inlineStr">
        <is>
          <t>読み方：だいじょうふ
《「だいじょうぶ」とも》りっぱな男子。ますらお。偉丈夫。「豪放な—」</t>
        </is>
      </c>
      <c r="D4989" t="inlineStr">
        <is>
          <t>大丈夫だろ(7%)；大丈夫そう；大丈夫なんです；大丈夫なんだろ；大丈夫大丈夫</t>
        </is>
      </c>
      <c r="E4989" t="inlineStr">
        <is>
          <t>いい；可；強い；よい；良い</t>
        </is>
      </c>
      <c r="F4989" t="inlineStr">
        <is>
          <t>いれば大丈夫；大丈夫たる者；大丈夫みたいです；大丈夫だら；大丈夫そうです</t>
        </is>
      </c>
      <c r="G4989" t="inlineStr">
        <is>
          <t>大丈夫だよ；大丈夫だあ</t>
        </is>
      </c>
      <c r="H4989" t="n">
        <v>29</v>
      </c>
      <c r="I4989" t="inlineStr">
        <is>
          <t>これで私が酒をのんだことは大丈夫人の印象に残ったと見ていいでしょう。；お師匠さんの奥さんだけれど、お師匠さんじゃないから大丈夫と考えた。；もう今晩は大丈夫だろうと云って母は兄のところへ泊まりに行きました。；四五日考えさして欲しいと云っていましたが、大丈夫承知しますでしょう。；ダービシャイア教授の心臓は大丈夫だったが、回復には時間がかかった。；でも、あんたには何をいったって、命をあずかっているんだから大丈夫。；心配する相手に「心配しなくても大丈夫ですよ」と伝える際に使用される。；しかし、ロン先生は外の環境では彼らは生きていけないから大丈夫と話す。；追っ手のあとをあとをと行くことになるから、大丈夫東京へ這入られる。；一と通り通したが役者の活気が出たし、大丈夫のものになったやうである。；いままでは、まだ大丈夫と思っていた火の手が、急に追ってきたのである。；それで彼にはいつ死と云ふ颱風が襲ひ来るとも大丈夫であると考へて居た。；以前の妊娠で飲酒しても大丈夫だったから、次からもそうだとは限らない。；しかし医者は大丈夫恢復するというてくれますから安心して下さい。；敵と接触するとミスになるが、気絶状態の敵には接触しても大丈夫。；今度こそは大丈夫とは思つたが、それでも十分ばかりは様子を窺つてゐたね。；老婦人 うるさい娘だね、大丈夫、時間はあるつて云つてるぢやないか。；これらの橋も雪溶期は流されることがあるようだが新雪期は大丈夫だろう。；岩が大へん柔らかでしたから大丈夫それで削れる見当がついてゐたのでした。；「お父さんはもう学校をおやめになっても大丈夫ですよ」 と私は得意だった。；あたしなら大丈夫、どこから見ても日本人つて云ふ日本人が描けると思ふわ。；僕がはじめから、ここは絶対に大丈夫だって言ってるじゃないか。；大奥様が使いを送り、メアリは大丈夫かと聞いてきたので、ぴんときた。；大丈夫と仰ったので安心してゐますが、一日も早く解決がつく様に祈ります。；そうすれば、お勢さえ心変りがしなければまず大丈夫と云うものだ。；大丈夫らしい様子をしながら女のように泣いているのが、理事の心をひいた。；この間が五分位に感じられるようになれば大丈夫である。；大異はここにおれば大丈夫だろうと思って、やや安心しながら穴の口へ注意していた。；これだけあれば當分大丈夫ですわヘルマー どうかさうして貰ひたいね。</t>
        </is>
      </c>
      <c r="J4989">
        <f>HYPERLINK("https://www.weblio.jp/content/大丈夫", "词义详情")</f>
        <v/>
      </c>
      <c r="K4989">
        <f>HYPERLINK("https://yourei.jp/大丈夫", "查看例句")</f>
        <v/>
      </c>
    </row>
    <row r="4990">
      <c r="A4990" t="inlineStr">
        <is>
          <t>退職</t>
        </is>
      </c>
      <c r="B4990" t="inlineStr">
        <is>
          <t>成功</t>
        </is>
      </c>
      <c r="C4990" t="inlineStr">
        <is>
          <t>読み方：たいしょく
［名］(スル)勤めている職をやめること。現職をしりぞくこと。「定年で—する」
→辞職［用法］</t>
        </is>
      </c>
      <c r="D4990" t="inlineStr">
        <is>
          <t>退職後(17%)；退職金；退職官吏；退職勧告；退職する際</t>
        </is>
      </c>
      <c r="E4990" t="inlineStr">
        <is>
          <t>引退；辞任；隠居；退任；辞職</t>
        </is>
      </c>
      <c r="F4990" t="inlineStr">
        <is>
          <t>定年退職；依願退職；停年退職；結婚退職；早期退職</t>
        </is>
      </c>
      <c r="G4990" t="inlineStr">
        <is>
          <t>退職者；退職手当；退職願；退職届；退職所得</t>
        </is>
      </c>
      <c r="H4990" t="n">
        <v>29</v>
      </c>
      <c r="I4990" t="inlineStr">
        <is>
          <t>もともと歩荷の仕事をしていた人も歳をとり退職し、数が減っていった。；しかし俳優になる夢を捨てきれず、退職してテレビに出るようになる。；大学を退職後の現在も、新作発表に忙しい毎日を世界中で過ごしている。；百貨店に電話すると仁は十日前に退職しており、消息不明になっていた。；ところが、ある日出勤したところ、なぜか全員退職したことになっていた。；町職員同士が結婚した場合、夫婦どちらかに退職を促す慣習が残っている。；その後も忙しく、本が読めないのが主な不満で、入社後4年で退職した。；退職した刑事が迷宮入りした過去の事件を再検討する作品は警察ものに分類される。；山口大学退職後も古巣を含む県内の美術館と協力して研究を進めている。；教師をしながら劇団に所属し、その後俳優活動に専念するために退職した。；大助の長兄は勤めていた鉱業会社を退職し、家族以下蟄居生活を続けた。；日本人は少し地位を得て退職すれば遊んで恩給で食うことを考える。；つまり退職を伴う転職そのものがマイナス評価対象となってしまうのである。；その後引越しの際に発生した従業員の大規模な退職が最後の脱出劇となった。；日本語センター所属の、NHKを一度退職したアナウンサーも含まれる。；この事件に関わった従業員は当時のジャケから全員が退職している。；さらに退職後の収入や他州で得た収入にも課税していない。；景気が悪化した状態では、退職後の再就職先確保が難しくなる場合もある。；退職後アメリカへ留学し、帰国後、1989年にフジテレビに入社する。；またこのほかにも、退職を機にさまざまな賞が授与された。；評議員が途中退職すると後継者は残りの評議員の投票によって選ばれる。；また、双方が合意すれば、退職日を2週間後以外に設定することも可能である。；同じ頃ネーターの父は退職し彼女の兄弟の1人はに入り第一次世界大戦に仕えた。；しかし、既に退職した議員への支払いは減額措置を設けて続けられている。；かつての自分の上司を退職に追い込んだ旬太郎は、自分も会社を辞めた。；社員の人員削減が行われる際には退職条件に再就職支援が加えられることがある。；この間に標準化協会を退職し、文筆業で生活していくことになった。；雇用の終了にあたっては、事前に書面にて退職日を通知する必要がある。；その後本格的に漫画を続けることを決意し退職する。</t>
        </is>
      </c>
      <c r="J4990">
        <f>HYPERLINK("https://www.weblio.jp/content/退職", "词义详情")</f>
        <v/>
      </c>
      <c r="K4990">
        <f>HYPERLINK("https://yourei.jp/退職", "查看例句")</f>
        <v/>
      </c>
    </row>
    <row r="4991">
      <c r="A4991" t="inlineStr">
        <is>
          <t>大臣</t>
        </is>
      </c>
      <c r="B4991" t="inlineStr">
        <is>
          <t>成功</t>
        </is>
      </c>
      <c r="C4991" t="inlineStr">
        <is>
          <t>読み方：だいじん
１財産を多く持っている人。財産家。大金持ち。
２遊里で多くの金を使って豪遊する客。</t>
        </is>
      </c>
      <c r="D4991" t="inlineStr">
        <is>
          <t>大臣たち(3%)；大臣室；大臣職；大臣蝦夷；大臣ダンダーン</t>
        </is>
      </c>
      <c r="E4991" t="inlineStr">
        <is>
          <t>相；長官；牧師；公卿；閣僚</t>
        </is>
      </c>
      <c r="F4991" t="inlineStr">
        <is>
          <t>文化大臣；木戸内大臣；軍務大臣；両大臣；軍部大臣</t>
        </is>
      </c>
      <c r="G4991" t="inlineStr">
        <is>
          <t>大臣秘書官；大臣政務官；大臣家；大臣補佐官；大臣殿</t>
        </is>
      </c>
      <c r="H4991" t="n">
        <v>29</v>
      </c>
      <c r="I4991" t="inlineStr">
        <is>
          <t>そして先手は王を左に大臣を右に置き、後手は王を右に大臣を左に置く。；殿試は皇帝自らが行う建前だが、実際には朝廷の大臣が試験官を務めた。；日本では大臣はすぐに代わるから特定の大臣と仲良くなっても無駄である。；まず自衛隊を認めていたし、運用する大臣は自民党で固めていたからだ。；元老や大臣たちは死んだあとにいくらでも立派な後継ぎが控えている。；閣議は各大臣の隔意のない意見交換のために非公開が原則とされている。；新しい議会は教授を総理大臣に指名し、十数名の大臣が任命された。；名称は提案者のマウリツィオ・ガスパッリ通信大臣から名付けられた。；各省には大臣が置かれ、連絡・調整機関として大臣委員会が組織された。；左右大臣は当初設置されず、大納言として岩倉具視がその任にあたった。；教育制度の大部分は、教育・技能大臣を通じた政府の指導の下にある。；大臣の形式で葬儀を行う事とされたが、房前の家族は固辞したという。；屋敷の主が大臣の場合には先に出てきた正月大饗などの最初に庭での再拝がある。；これは、大臣が非常に高い権威を有していたことを意味する。；大臣が左大臣・右大臣・内大臣の3人に増員されたのもこの時期である。；以降1945年の敗戦により軍部大臣が消滅するまで続くことになった。；大臣旗は、軍政部大臣が公式に艦船又は短艇に乗艦した際に掲揚された。；外国の検査技師学校を卒業し厚労大臣の認定を受け国家試験を受験する。；そのため、大臣は編纂を急がせようとしているがそれは無理である。；中央棟の御休所の警備は参議院衛視、大臣室は衆議院衛視が担当している。；大臣や将軍をはじめ、地方国人にも古典を講じて人望があったという。；物奉行は今日の大臣・長官に相当し、その下に次官級の吟味役が置かれた。；大統領は首相を任命し、その補佐を受けて17名の大臣も任命する。；大臣が事実上一人しかいないという異常な事態は、このあと丸2年以上続く。；王妃は大臣に身を任せると、大臣は歓喜の心を生じて王妃を抱いたという。；任命された首相は内閣を組閣し、様々な政府組織の長となる大臣を選任する。；ラサのガンデンポタンへの帰属をへて、ラサの駐蔵大臣の属下に入った。；そして大臣たちと密謀を重ね反乱の準備に着手したのであった。；これらを閣内大臣と呼び、閣議に出席しない下級大臣を閣外大臣と呼ぶ。</t>
        </is>
      </c>
      <c r="J4991">
        <f>HYPERLINK("https://www.weblio.jp/content/大臣", "词义详情")</f>
        <v/>
      </c>
      <c r="K4991">
        <f>HYPERLINK("https://yourei.jp/大臣", "查看例句")</f>
        <v/>
      </c>
    </row>
    <row r="4992">
      <c r="A4992" t="inlineStr">
        <is>
          <t>大豆</t>
        </is>
      </c>
      <c r="B4992" t="inlineStr">
        <is>
          <t>成功</t>
        </is>
      </c>
      <c r="C4992" t="inlineStr">
        <is>
          <t>読み方：おおまめ
ダイズの別名。</t>
        </is>
      </c>
      <c r="D4992" t="inlineStr">
        <is>
          <t>大豆畑；大豆製品；大豆等；大豆食品；大豆由来</t>
        </is>
      </c>
      <c r="F4992" t="inlineStr">
        <is>
          <t>丸大豆；大豆生産；大豆以外；発酵大豆；遺伝子組み換え大豆</t>
        </is>
      </c>
      <c r="G4992" t="inlineStr">
        <is>
          <t>大豆島；大豆粕；大豆イソフラボン；大豆生田；大豆粉</t>
        </is>
      </c>
      <c r="H4992" t="n">
        <v>29</v>
      </c>
      <c r="I4992" t="inlineStr">
        <is>
          <t>現在日本でよく知られている大豆加工食品には以下のようなものがある。；大豆を使用した物は八丁味噌を代表とする豆味噌に用いられる事が多い。；大豆の煎り豆で茶を飲んだ後、母はやはり黙ったまま繕いものを始めた。；日本の場合、小麦や大豆などは、これですっかりやられてしまいました。；ある晩、ビルの持ちこんだ大豆ワインを何杯かあけたあとのことである。；マンションを襲った水や、黒い大蜘妹や、空から降ってきた大豆の袋は?；大豆をよく食べる女性グループで脳梗塞・心筋梗塞のリスクが低下した。；発酵性大豆食品の摂取量が多いほど総死亡リスクが低いとの指摘がある。；豆粕とは大豆から油を絞ったかすで、馬の飼料とされていたものであった。；それからまた、米に大豆を入れたのを配給されることがありました。；そればかりか、輸入大豆の九八パーセントをアメリカから買っていた。；どこで手に入れたのか、大豆ほどの大きさの氷砂糖を、自分の掌にのせた。；大豆は、牛乳や卵と同等の良質なタンパク質であるとの評価を得ている。；私も気になっていたが、大豆の絞りかすが配給になっている世の中である。；商業的には牛や豚、もしくは大豆やキャノーラなどの野菜から作られる。；昼には学生たちは持参した大豆入りの弁当を仲間にかくすようにして食べる。；集めた材料のうち、大豆は村内の豆腐屋に持っていき、豆腐の製造を依頼。；其頃は土用に入つて間もないのであつたが畑の大豆は莢が急に膨れる。；これは大豆の最上等品だが、江戸で使うのは両国辺りの料亭に限られていた。；それ以外にも鶏肉や素食のために大豆製品から作られた素肉鬆などがある。；どうせ冬までもたない牛に、大豆の最後の貯えを喰わせる手はないものな。；土間には明日の仕込みに用意した大豆がぶちまけられて足のふみ場もない。；これらの作用から、大豆製品の中には特定保健用食品に指定されている物もある。；したがって、日本人の間では大豆由来のソイプロテインを選ぶ人も相当に多い。；日本はいまでも飼料穀物や大豆など大量の米国農産物を輸入してくれている。；豊年製油は大豆を買い付けることができ、同社の事業は一歩を進めた。；中国への輸出の大部分はブラジル最大の輸出農産物である大豆などの原料である。；この地域が世界でも有数の穀物、大豆の産地であることからこう呼ばれる。；大豆を「畑の肉」と命名したのは、ドイツの学者だといわれます。</t>
        </is>
      </c>
      <c r="J4992">
        <f>HYPERLINK("https://www.weblio.jp/content/大豆", "词义详情")</f>
        <v/>
      </c>
      <c r="K4992">
        <f>HYPERLINK("https://yourei.jp/大豆", "查看例句")</f>
        <v/>
      </c>
    </row>
    <row r="4993">
      <c r="A4993" t="inlineStr">
        <is>
          <t>対する</t>
        </is>
      </c>
      <c r="B4993" t="inlineStr">
        <is>
          <t>成功</t>
        </is>
      </c>
      <c r="C4993" t="inlineStr">
        <is>
          <t>読み方：たいする
［動サ変］［文］たい・す［サ変］
１二つのものが向かい合う。また、あるものに向き合う。「机を挟んで二人が—・する」「海に—・して建つ家」
２ある対象に向かう。「家族に—・する思いやり」「将来に—・する期待」
３人に接する。応対する。「客に愛想よく—・する」
４立ち向かう。相手にして争う。「最強チームに—・する」
５対応する。応じる。「質問に—・する答え」「記事に—・して反響があった」
６比較する。比べる。「プロに—・しても見劣りしない」
７対(つい)になる。「善に—・する悪」</t>
        </is>
      </c>
      <c r="D4993" t="inlineStr">
        <is>
          <t>対する尼子軍；対する全パ；対する飛場</t>
        </is>
      </c>
      <c r="E4993" t="inlineStr">
        <is>
          <t>反対；向かう；抵抗；対戦；対抗</t>
        </is>
      </c>
      <c r="F4993" t="inlineStr">
        <is>
          <t>もって対する</t>
        </is>
      </c>
      <c r="H4993" t="n">
        <v>29</v>
      </c>
      <c r="I4993" t="inlineStr">
        <is>
          <t>対するインディアンの社会のルールでは、土地は誰のものでもなかった。；対するLabelflashは現在も対応メディアの入手は容易である。；あの男は、対する相手に応じていくつもの顔を使い分けることができる。；イギリス軍は彼等を追って来て植民地軍の主力と対することになった。；対する京は、これは相当に言語が通じない国の連中だと内心で苦笑する。；対する仁も、犠牲を出さず勝利する方法はこれしか無かったと反論する。；対する西荻は単に引くのではなく、横の動きも使いながら間合いを作る。；前にお話したような妻へ対する不満なんかは、忘れてしまったのです。；対する革命防衛第31師団はイラク軍から捕獲した戦車を装備していた。；彼女はチャタレイ夫人と対するときのほうが、くつろいだ気持になった。；しかし、対するファナティオのほうには相手に付き合う理由はないのだ。；強張った表情で対するだけで、まるで生きた反応を示していない。；新しい感覚をもち新しい問題をもって対するのでなければ古典も生きてこないであろう。；対する新庄は視線をまず四号に返してから、自分の方に向けてくる。；対するテレビは、床屋を始めた女性が店の中を目まぐるしく移動していた。；つまり、外人と対すると、かけひきをやめてしまうことが多かったのだ。；対する日本軍は誤認戦果もあって、珊瑚海海戦の大勝利を宣言している。；また、岡本弥助へ対する奇妙な友情のようなものも、あったやも知れぬ。；してみると、岡本の八郎へ対する好意と敬慕は本物のようにおもわれる。；対する各種族はそれぞれ抵抗を行うも、次第に劣勢に追い込まれていく。；対するブラジルはカルリーニョスのみの失敗でブラジルが優勝した。；何の天分もなかったから、先生は警戒心なくわしと対することができただけだ。；ここでイギリスが仲に入れば、将来の日本へ対する発言力も大きなものとなる。；対する中道派はそれに反対ないし慎重な立場をとる勢力である。；対するハルユキは、ただ拳を構えながら、両の羽の全推進力を解放させた。；対する一人は白い作務衣姿の短躯で、こちらがずっと叫び続けている。；父パパスにおそわった、強い相手と対するときの有効な手段のそのひとつ。；だが刑事と正対するのを避けるように身体を斜めにしている。；わたしたちが対するべきは、あの神とも崇められるクアーティ、その人。</t>
        </is>
      </c>
      <c r="J4993">
        <f>HYPERLINK("https://www.weblio.jp/content/対する", "词义详情")</f>
        <v/>
      </c>
      <c r="K4993">
        <f>HYPERLINK("https://yourei.jp/対する", "查看例句")</f>
        <v/>
      </c>
    </row>
    <row r="4994">
      <c r="A4994" t="inlineStr">
        <is>
          <t>題する</t>
        </is>
      </c>
      <c r="B4994" t="inlineStr">
        <is>
          <t>成功</t>
        </is>
      </c>
      <c r="C4994" t="inlineStr">
        <is>
          <t>読み方：だいする
［動サ変］［文］だい・す［サ変］
１題をつける。表題・題名とする。「『自画像』と—・した絵」
２題字・題辞を書く。
「彼らが—・せる一字一画は」〈漱石・倫敦塔〉</t>
        </is>
      </c>
      <c r="D4994" t="inlineStr">
        <is>
          <t>題する小冊子；題する一篇；題する一書；題する一論文</t>
        </is>
      </c>
      <c r="H4994" t="n">
        <v>29</v>
      </c>
      <c r="I4994" t="inlineStr">
        <is>
          <t>彼女は将来「寒暖計と私」と題する長い小説を書きたいと望んでいます。；これは宿楓橋と題する陸放翁の詩だが、私は之を次のやうに訳して見た。；牧野の机の上には「桜の花びら」と題する書きかけの原稿が残っていた。；例へば「友人の京に之くを送る」と題する五絶に、次のやうなのがある。；ひとりじゃないまたは一人じゃないと題する作品には以下のものがある。；一つは『女精たちの驚き』と題するもので、これは手もとに残してある。；すると、写真裏面に印刷された『妹』と題する詩がいちばん上に出てくる。；ムハンマドはこれに怒り「大木の下での密会」と題する詩を作っている。；一六一四年、ドイツで『世界の改革』と題する書物が出版された。；おりから映し出された映画は「三万両五十三次」とか題する時代劇であった。；小円は『乃木将軍』と題する長編を十面のレコードに吹きこんでいる。；序奏とアレグロと題する楽曲は、様々な作曲家が多様なジャンルに作曲している。；この時期に萬世書房より『電気運転の話』と題する書籍を出している。；矢田挿雲氏の著された書物に『江戸から東京へ』と題するものがある。；三代は一就と改名して戦後「MI作戦論争」と題する手記を残している。；早くいえば、読み物を研究と題するのは、傲慢にすぎると考えたからである。；そして最近、「労働組合と労働者」と題する英語の書物を手に入れた。；最後の記事は1914年の「日本の子どもら」と題するものだった。；カーネギー・ホール・コンサートと題するアルバムには以下のものが存在する。；コナー・オバーストのアルバムには『モアブ』と題する曲が入っている。；この他に、『南極日本の秘密』と題する海賊版の存在が知られている。；ここで再び、私の眼に、クレーの「雪の前」と題する絵が浮んでくる。；「露を詠む」と題する九首のうちの一首で、作者未詳の作品である。；わたくしは壽阿彌の手紙と題する此文を草して將に稿を畢らむとした。；この名前を題する作品は以下のものがある。；家鉉翁の寄江南故人と題する次の詩も、やはり同字の重畳に面白味がある。；パウナルはイングランドに戻ったときに『植民地の管理』と題する論文を準備していた。；これはその実「ペンギン鳥の住みかを訪ねて」と題する南極での実写だ。；少佐時代に『動的発射論』と題する論文を発表し海軍水雷術の発展に貢献した。</t>
        </is>
      </c>
      <c r="J4994">
        <f>HYPERLINK("https://www.weblio.jp/content/題する", "词义详情")</f>
        <v/>
      </c>
      <c r="K4994">
        <f>HYPERLINK("https://yourei.jp/題する", "查看例句")</f>
        <v/>
      </c>
    </row>
    <row r="4995">
      <c r="A4995" t="inlineStr">
        <is>
          <t>態勢</t>
        </is>
      </c>
      <c r="B4995" t="inlineStr">
        <is>
          <t>成功</t>
        </is>
      </c>
      <c r="C4995" t="inlineStr">
        <is>
          <t>読み方：たいせい
ある物事や情勢に対してとる構え。「受け入れの—を整える」「24時間—を取る」
[補説] 「態勢」はそのことに対する構え・準備の意に、「体制」は整った状態・秩序立った仕組みの意に重点がある。</t>
        </is>
      </c>
      <c r="D4995" t="inlineStr">
        <is>
          <t>態勢をたて直し；態勢を立てなおし；態勢を整えよ；態勢強化；態勢をしい</t>
        </is>
      </c>
      <c r="E4995" t="inlineStr">
        <is>
          <t>態度；姿勢；素振り；出方；出様</t>
        </is>
      </c>
      <c r="F4995" t="inlineStr">
        <is>
          <t>攻撃態勢；着陸態勢；迎撃態勢；独走態勢；防御態勢</t>
        </is>
      </c>
      <c r="H4995" t="n">
        <v>29</v>
      </c>
      <c r="I4995" t="inlineStr">
        <is>
          <t>これは敵に態勢を整える時間を与えぬことの必要性を説いたものである。；着陸態勢にはいるとエンジンの一つが停止し、機体は送電線に衝突した。；各大隊は勝利のため部隊をさまざまなパートに分けて態勢を整えている。；敵は、その場で壁に隠れながら、防御態勢に移ろうとしている様に見えた。；S921は車の性能を問う以前にチームの参戦態勢が整っていなかった。；彼の家をナチスの襲撃から守るために警察は二十四時間態勢で警備していた。；これは当時では考えうる限り最高の防御態勢とされていた。；初動態勢とは、軍や警察などが事件・事故・災害に即応する態勢を指す。；そのため多少無理な態勢からでも担ぎ技などを仕掛けることができる。；そして馬の自然な運動態勢を最も尊重し、それに合わせる乗り方を始めた。；だから、投げを仕掛けても次の瞬間に失敗したときのことを恐れて逃げの態勢に入る。；俺に尻を向けて、いつでも逃げ出せる態勢で、首だけこっちに向けている。；その後フラッシャーは徐々に護衛の薄い方向に回りこんで攻撃態勢に入る。；事態を憂慮したしたナポレオンは、第三軍団を中心に防御態勢を敷いた。；戦闘陣とは戦闘部隊は組織的な連携を維持しながら作戦するための部隊の態勢である。；しかし朝廷の討伐軍が態勢を整えると、黄巾軍は敗北し広宗に籠城した。；さらに遅れてモンゴル高原へと逃れてきた軍と合流し、態勢を立て直した。；足利尊氏は京都で北畠顕家に敗北し、態勢建て直しのために九州へ逃れた。；神代軍は金敷城山を背にして隊を以下の4つに分けて迎撃態勢を敷いた。；主に日本や中国、ベトナム、ソ連の放送を24時間態勢で傍受していた。；発射装置は、5 分で移動態勢から戦闘態勢に移行することができた。；偵察機でないのは、戦闘機が一番早く飛び出せる態勢になっているため。；ウルフパックは一晩かけて輸送船団を発見すると、攻撃態勢に入った。；仙石は「この曲から私たちの攻撃態勢が始まったんじゃないかな」としている。；敵の隙を見落とした瞬間、逆にわが態勢は崩れ去るのが普通だった。；当時は地図上にない閉鎖都市であり、厳重な警備態勢が敷かれていた。；進言時点で第二次攻撃隊は出撃の準備態勢に入っており、発進は可能だった。；救急・救助・消防活動を任務としており、通年で出動態勢をとっている。；グレイは続いて防御態勢の無かったマーサズ・ヴィニヤードに渡った。</t>
        </is>
      </c>
      <c r="J4995">
        <f>HYPERLINK("https://www.weblio.jp/content/態勢", "词义详情")</f>
        <v/>
      </c>
      <c r="K4995">
        <f>HYPERLINK("https://yourei.jp/態勢", "查看例句")</f>
        <v/>
      </c>
    </row>
    <row r="4996">
      <c r="A4996" t="inlineStr">
        <is>
          <t>体制</t>
        </is>
      </c>
      <c r="B4996" t="inlineStr">
        <is>
          <t>成功</t>
        </is>
      </c>
      <c r="C4996" t="inlineStr">
        <is>
          <t>読み方：たいせい
１各部分が統一的に組織されて一つの全体を形づくっている状態。「経営の—を立て直す」
２社会が一定の原理によって組織だてられている状態。政治支配の形式。社会の仕組み。「資本主義—」「幕藩—」
３その時代の社会を支配する権力。「—側」「反—運動」
４詩文の形式・体裁。
「字法句法の軽捷なる、—音調の流麗なる」〈鴎外訳・即興詩人〉
５生物体の諸器官の配置や分化の状態などの、構造上の基本形式。ボディープラン。</t>
        </is>
      </c>
      <c r="D4996" t="inlineStr">
        <is>
          <t>体制下(2%)；体制側；体制強化；体制整備；体制作り</t>
        </is>
      </c>
      <c r="E4996" t="inlineStr">
        <is>
          <t>上；目；構成；組織；系</t>
        </is>
      </c>
      <c r="F4996" t="inlineStr">
        <is>
          <t>台体制；生産体制；指導体制；統治体制；社会主義体制</t>
        </is>
      </c>
      <c r="G4996" t="inlineStr">
        <is>
          <t>体制批判；体制派；体制転換；体制転覆；体制迎合</t>
        </is>
      </c>
      <c r="H4996" t="n">
        <v>29</v>
      </c>
      <c r="I4996" t="inlineStr">
        <is>
          <t>三反五反運動が体制を浄化することに成功したことも忘れてはならない。；その後南アフリカ社会は体制移行期の危機的な混乱を何度も経験した。；その後も体制維持および財政再建の努力は行なわれるが成功はしなかった。；日本では第二次世界大戦前に、電力の供給を独占する体制が形成された。；かつての国鉄は解体され、官民協力体制の下で委託経営が行われている。；クロアチアは帝国内の他地域と比較しても体制側に協力的だった。；日本では承認審査体制の整備前より使用されており、先発品は存在しない。；後述するように、2018年春より種別数は10種別体制になっている。；徹底的行動主義は、彼が行った研究を基に体制化された哲学である。；和銅元年に、北に領域を伸ばして出羽郡を新しく設置し七郡体制となった。；ゼムノヴィッチ体制初の大会となった天皇杯は2大会ぶりに決勝に進出した。；以後、清の終わりに至るまでこの胥吏体制は続いていくことになる。；政府は国家において安定的な支配を維持するための体制である。；これらの現象は伝統的な身分体制の崩壊も表している。；すべての記事はソビエト体制下では公式見解として発表されたものである。；ロシアとイギリスは現在のヨーロッパの体制の二大支柱である。；天皇の行政大権の行使に国務大臣の輔弼を必要とする体制を定めたこと。；ディー・エヌ・エーによる球団とスタジアムの一体運営体制へ移行した。；別の要因として、開発体制や社風の違いで生じた企業間の壁も指摘された。；生物は進化の過程において複数回にわたって多細胞体制を獲得してきた。；これをもって臥蛇島などが日琉両属体制にあったとする説がある。；ほぼ全ての体制はこの三つのいずれかに分類できる。；JR発足後もJR東日本とJR西日本ではこの体制は続けられている。；この体制を支えたのがアメリカの存在であった。；特に統治二論は名誉革命後のイギリスの体制の理論的な支柱となった。；この反動的な体制は国際的には1848年革命まで維持されたと理解される。；第一次大戦後のイギリスの国際政治は戦後協調体制の確立から始まった。；皇位に就いた天武天皇は専制的な統治体制を備えた新たな国家の建設に努めた。；各国の文化遺産は国内でそれぞれ保護される他、国際的な保護体制も構築されている。</t>
        </is>
      </c>
      <c r="J4996">
        <f>HYPERLINK("https://www.weblio.jp/content/体制", "词义详情")</f>
        <v/>
      </c>
      <c r="K4996">
        <f>HYPERLINK("https://yourei.jp/体制", "查看例句")</f>
        <v/>
      </c>
    </row>
    <row r="4997">
      <c r="A4997" t="inlineStr">
        <is>
          <t>体積</t>
        </is>
      </c>
      <c r="B4997" t="inlineStr">
        <is>
          <t>成功</t>
        </is>
      </c>
      <c r="C4997" t="inlineStr">
        <is>
          <t>読み方：たいせき
立体が空間で占める大きさ。</t>
        </is>
      </c>
      <c r="D4997" t="inlineStr">
        <is>
          <t>体積変化(4%)；体積あたり(3%)；体積当たり；体積v；体積比</t>
        </is>
      </c>
      <c r="E4997" t="inlineStr">
        <is>
          <t>機能；能力；量；大きさ；才能</t>
        </is>
      </c>
      <c r="F4997" t="inlineStr">
        <is>
          <t>同じ体積；総体積；大きな体積；同体積；排除体積</t>
        </is>
      </c>
      <c r="G4997" t="inlineStr">
        <is>
          <t>体積形式；体積要素；体積流量；体積弾性率；体積効率</t>
        </is>
      </c>
      <c r="H4997" t="n">
        <v>29</v>
      </c>
      <c r="I4997" t="inlineStr">
        <is>
          <t>これらの特徴は顎の筋肉の体積や長さの増大にも関連した可能性がある。；体積は通常は固体状態よりも大きいが、この著名な例外として水がある。；これは圧力が低いために内部の気体の体積が大きくなるためである。；この性質を利用して高次元の球の体積と表面積を求めることができる。；古代の数学で完全な多角錐や円錐の体積を求める例は知られていない。；物質の重量を、その物質が内包する空間を含めた体積で割って得られる。；これは転移が起きたときに鉄の体積が減少することの説明になる。；さらにその粒子の大きさ、質量共に気体の体積に比べてはるかに小さい。；このため、小体積への吸収線量の上限という形式がとられることが多い。；上の節と同じように、一般的には単位体積あたりの濃度を示すのが普通である。；底や高さは一般的な用例として図形の面積や体積の計算に利用される。；原油が流出した面積が分かれば、流出した原油の総合的な体積が分かる。；温度が一定のいくつかの条件下での圧力 p と体積 V の関係を示す。；これは各相の密度が大きく異なるため、体積変化が問題になるからである。；しかし、三角部の体積的な非対称性は存在しないとする研究者も存在する。；以上により面積 が有限ならば、体積 もまた有限でなければならない。；パッキング問題を最大面積・最大体積で詰め込むことを、研究するもの。；任意の表面形状と体積電荷を持つ二体間の電荷移動問題を一般的な方法で解決した。；体積が小さいため7つ以上のジャグリングでは最も簡単だとされる。；内部の体積が極めて小さくなるまでピストンを押し込むことを考えてみよう。；物質 X の密度を とすると、体積 と質量 の間には次の関係がある。；同じ質量で気体・液体の体積比率差が大きいこともネオンの特徴である。；このように体積モル濃度は物質量を全体量の体積で除したものである。；すなわち、各断片は明確な境界や通常の意味での体積を持たない。；体積一定で加熱するのだから、温度も上昇するが圧力も上昇する。；体積公式はガウス積分を用いることにより直接証明することができる。；この一覧では、世界中の建築物を土地専有面積の体積が大きい順に記載する。；また、体積変化を伴わない横波の S波の伝播速度は以下のようになる。；気体の体積と温度の関係を示すシャルルの法則の発見者の一人である。</t>
        </is>
      </c>
      <c r="J4997">
        <f>HYPERLINK("https://www.weblio.jp/content/体積", "词义详情")</f>
        <v/>
      </c>
      <c r="K4997">
        <f>HYPERLINK("https://yourei.jp/体積", "查看例句")</f>
        <v/>
      </c>
    </row>
    <row r="4998">
      <c r="A4998" t="inlineStr">
        <is>
          <t>大切</t>
        </is>
      </c>
      <c r="B4998" t="inlineStr">
        <is>
          <t>成功</t>
        </is>
      </c>
      <c r="C4998" t="inlineStr">
        <is>
          <t>読み方：おおぎり
１大きく切り分けること。また、その切り身。
２（縁起をかついで「大喜利」とも書く）
㋐芝居で、その日の最終の幕。
㋑江戸時代の歌舞伎で、二番目狂言（世話物）の最終幕。幕末以後の歌舞伎では、二番目狂言のあとにつける一幕物。切(きり)狂言。
㋒寄席で、とりの終わったあとにする演芸。大ぜいで珍芸・謎(なぞ)掛け・言葉遊びなどをするものが多い。追い出し。
３物事の終わり。結末。
「誰の恋でもこれが—だよ」〈独歩・牛肉と馬鈴薯〉</t>
        </is>
      </c>
      <c r="D4998" t="inlineStr">
        <is>
          <t>大切そう；大切な存在；大切な仕事；大切に育てられ；大切な時期</t>
        </is>
      </c>
      <c r="E4998" t="inlineStr">
        <is>
          <t>最後；重要；末；結局；主要</t>
        </is>
      </c>
      <c r="F4998" t="inlineStr">
        <is>
          <t>何よりも大切；お大切；いちばん大切；大切な商売道具；大切な宝物</t>
        </is>
      </c>
      <c r="G4998" t="inlineStr">
        <is>
          <t>大切なこと；大切さ；大切な人；大切り；大切な約束</t>
        </is>
      </c>
      <c r="H4998" t="n">
        <v>29</v>
      </c>
      <c r="I4998" t="inlineStr">
        <is>
          <t>ピローニはそれを自分の持ち物で最も大切なものだととても大切にした。；引退する理由としては子供たちや妻との時間をより大切にしたいと述べた。；あわただしい生活だが、そんな日常が何よりも大切で楽しい一瞬だった。；したがって相手を殺傷するよりも自分の身を守ることが大切とされる。；冬芽の大きさ、色や毛の生え具合は種を区別する上で大切な情報である。；だから他人に依存せず自分を大切にすることが出発点になる、と考えている。；ファンとの交流を大切にしており、サイン会・講演会なども頻繁に行う。；阪神百貨店で発売された優勝限定ビールを飲まずに大切に保管している。；また、現在も松本伊代をはじめ同期アイドルとの交流を大切にしている。；グレッグはすぐにこれを理解し、将来に渡ってこの教えを大切にした。；学校という社会の中で他人の自由を大切にし、共に生きることである。；その後もナギを大切に思う気持ちに関してこのような解釈をし続けている。；その囲炉裏を囲んで子供たちと会話する時間を大切にしているという。；伝統を大切にし、過去から未来に向かう弥栄高校の意思を表す歌詞である。；引退の理由の一つに、家族との時間を大切にしたいということを挙げている。；その一方で、当時から現在に至るまで常に母を大切に思っている。；ナナのことは非常に大切に思っており、ピンチにはすぐ駆けつけてくる。；大切な記憶を失っていく不安に駆られながらもソラ達は先へと進む。；その他にも、「効果が最も大切で、手段はその次」などの名言を残した。；また年間の様々な行事を行うための場所としても大切な役割を担っている。；つまり健康のためには、ほどよい量の栄養素を摂取することが大切になる。；患者がよく休養を取った後に治療を開始することが大切なのである。；この時の録音テープは、家宝としてその後も大切に保存しているという。；これで、共に過ごす、残りの一瞬一瞬を大切にすることができるんだ。；その地域の気候に最も適した品種を選択し栽培することが大切である。；だからあなたの持っている一瞬一瞬を大切にしましょう。；この経験から彼はメディアがいかに大切であるかを理解。；デビュー以降は一貫して自然体・自由でいることを大切にしている。；形状にはこだわらないが、合掌礼拝の際に用いる法具として大切にする。</t>
        </is>
      </c>
      <c r="J4998">
        <f>HYPERLINK("https://www.weblio.jp/content/大切", "词义详情")</f>
        <v/>
      </c>
      <c r="K4998">
        <f>HYPERLINK("https://yourei.jp/大切", "查看例句")</f>
        <v/>
      </c>
    </row>
    <row r="4999">
      <c r="A4999" t="inlineStr">
        <is>
          <t>大戦</t>
        </is>
      </c>
      <c r="B4999" t="inlineStr">
        <is>
          <t>成功</t>
        </is>
      </c>
      <c r="C4999" t="inlineStr">
        <is>
          <t>読み方：たいせん
参加兵員の多い激しい戦争。また、広範囲にわたって行われる大規模な戦争。特に、第一次大戦または第二次大戦をいう。</t>
        </is>
      </c>
      <c r="D4999" t="inlineStr">
        <is>
          <t>大戦中(15%)；大戦末期(11%)；大戦終結後(3%)；大戦初期；大戦終了</t>
        </is>
      </c>
      <c r="E4999" t="inlineStr">
        <is>
          <t>戦争；戦火；戦役；軍役；戦争状態</t>
        </is>
      </c>
      <c r="F4999" t="inlineStr">
        <is>
          <t>前大戦；次大戦；幻魔大戦；ヨーロッパ大戦；欧洲大戦</t>
        </is>
      </c>
      <c r="G4999" t="inlineStr">
        <is>
          <t>大戦争；大戦果；大戦艦；大戦景気；大戦略</t>
        </is>
      </c>
      <c r="H4999" t="n">
        <v>29</v>
      </c>
      <c r="I4999" t="inlineStr">
        <is>
          <t>この大戦が終われば商売の方針を一変しなければならないと考えていた。；大戦中に艦隊の偵察任務は空母搭載の艦上機へと次第に移行していった。；大戦の影響によって米の輸入量が減少したことも米価上昇の原因となった。；大戦中には本格的な修理が行われることはなく、着底状態のまま放置される。；大戦に敗北したとはいえ、ドイツはなお潜在的な力を有しているとされていた。；南北二つの文化圏同士で起こったこの大戦を「第二次南北戦争」と呼ぶ。；空軍は次の大戦が始まるまでの間は比較的平和で、簡単な警備任務に従事した。；大戦末期におけるヴィスワ川での戦闘やワルシャワ解放などに参加した。；戦争はこの大戦で終わるものとはならず、深く人間の魂に根ざしたものとなる。；大戦中に合成法が開発されたレーヨンも下着に使われるようになる。；この兵器は同大戦末期、主にイギリスとベルギーの目標に対し発射された。；これは大戦中に戦争遂行のために作られた頑丈なジープベースのもの。；後に聖魔大戦といわれることになるその戦いは長期間に渡り続いた。；光学電話通信は大戦終結時に試験されたが兵隊たちには配備されなかった。；大戦期は陸軍の無線機を一手に引き受け、電波警戒機の開発も行っていた。；そうして作曲されたこの組曲の各曲は、大戦で散った友人達に捧げられた。；加えて、大戦末期に萌芽が現れたミサイルが大砲の領分に進出してくる。；前作のレプリフォース大戦から数ヶ月後、地球は平穏な時間が続いていた。；前大戦にネフューリアを倒したとされる心に興味を持っていた。；二次大戦が始まる頃には、約80種類の国産機が配備されていたといわれる。；大戦に敗れた悪魔達は何処かへと去ったが、時々姿を現してはヒトを殺している。；大戦中に作成されたものであるため、不正確な部分がある。；大戦末期の1945年春、ヒムラーはドイツ勝利の確信を失っていた。；両大戦の間に建造され、イギリス海軍とオーストラリア海軍で運用された。；大戦間にはこれらに続いてサルファ薬などの選択的殺菌薬が初めて開発された。；スペンサーはその後大戦中に日本軍と対戦する経験もしている。；この機体は大戦初期にルーマニアへの攻撃に用いられ、ある程度の成果を上げた。；大戦末期には航空隊を指揮するようになり、軍で弾道計算なども行なっていた。；大戦末期には、強固な構造を利用し進軍してきた連合軍に最後まで抵抗した。</t>
        </is>
      </c>
      <c r="J4999">
        <f>HYPERLINK("https://www.weblio.jp/content/大戦", "词义详情")</f>
        <v/>
      </c>
      <c r="K4999">
        <f>HYPERLINK("https://yourei.jp/大戦", "查看例句")</f>
        <v/>
      </c>
    </row>
    <row r="5000">
      <c r="A5000" t="inlineStr">
        <is>
          <t>対戦</t>
        </is>
      </c>
      <c r="B5000" t="inlineStr">
        <is>
          <t>成功</t>
        </is>
      </c>
      <c r="C5000" t="inlineStr">
        <is>
          <t>読み方：たいせん
［名］(スル)相対して戦うこと。競技などで相手となって戦うこと。「横綱と—する」「—成績を五分にする」</t>
        </is>
      </c>
      <c r="D5000" t="inlineStr">
        <is>
          <t>対戦する(13%)；対戦モード；対戦車；対戦予定；対戦型</t>
        </is>
      </c>
      <c r="E5000" t="inlineStr">
        <is>
          <t>戦；大会；試合；ゲーム；戦い</t>
        </is>
      </c>
      <c r="F5000" t="inlineStr">
        <is>
          <t>ネットワーク対戦；フリー対戦；全国対戦；直接対戦；対戦方式</t>
        </is>
      </c>
      <c r="G5000" t="inlineStr">
        <is>
          <t>対戦車砲；対戦型格闘；対戦成績；対戦車ミサイル；対戦カード</t>
        </is>
      </c>
      <c r="H5000" t="n">
        <v>29</v>
      </c>
      <c r="I5000" t="inlineStr">
        <is>
          <t>インターネット対戦を前提とした設計だがシングルプレイも可能である。；対戦プレイの際にはゲーム開始前に好みのキャラクターを選択する。；その最大の要因はウィンブルドン決勝で3年連続で対戦したことである。；ストライカーにしたキャラクターは対戦で戦わせることができなくなる。；この対戦はアメリカ合衆国史上初となる大学間のスポーツの試合であった。；決勝では同じく人気を集めていたミシガン州立大学スパルタンズと対戦。；FPSにはネットワークを介した対戦モードが搭載されていることが多い。；対戦時にそれぞれのキャラクターの種族名が表示されるのが特徴となっている。；内容はものまね四天王の過去の全対戦VTRが収録されているものである。；グルーヴとは、異なるゲーム同士の対戦を実現するためのシステムである。；これにより、全チームが互いに少なくとも3試合は対戦することとなる。；好きなチームを選んでコンピュータや他のプレーヤーと対戦できる。；また敵を無視して味方同士を対戦させることも可能である。；開幕から5試合は、ここ2年間のJ1在籍経験チームとの対戦となった。；プレイヤー同士で対戦をする場合にはカートリッジが2本必要となる。；決勝はJ1リーグ戦でこれまで1度も勝利をした事がない川崎と対戦。；ポケモンのカードには、以下のような対戦では用いない情報も記載されている。；なお、両者のグランドスラムでの対戦はこの3度以外では1度しかない。；主にスポーツでの対戦における伝統の一戦としてメディア等で扱われる。；この場合は対戦する相手同士が同じ乗馬を使用することになる。；大会はトーナメント形式で行われ、競技は2チームずつの対戦形式である。；しかし、その対戦車能力は低く、敵戦車との戦闘では常に苦戦を強いられた。；同部屋の力士は疑似的な「家族」であることから、本割では対戦しない。；なお、関東・関西の同地区同士が対戦しないなどの考慮は特に行なわれていない。；この時対戦したマラドーナのプレーに深い印象を受けてという。；再び曙と対戦、敗れて優勝はならなかったが、初の殊勲賞を受賞した。；たまたま隆の里は体調不良で、病院から直接国技館に場所入りして対戦。；準決勝で猫田と対戦したスマイルはこれまた圧倒的な結果で勝利して見せた。；礼をした後に戦闘状態にせず、再度礼を行い続けると永遠に対戦が始まらない。</t>
        </is>
      </c>
      <c r="J5000">
        <f>HYPERLINK("https://www.weblio.jp/content/対戦", "词义详情")</f>
        <v/>
      </c>
      <c r="K5000">
        <f>HYPERLINK("https://yourei.jp/対戦", "查看例句")</f>
        <v/>
      </c>
    </row>
    <row r="5001">
      <c r="A5001" t="inlineStr">
        <is>
          <t>大層</t>
        </is>
      </c>
      <c r="B5001" t="inlineStr">
        <is>
          <t>成功</t>
        </is>
      </c>
      <c r="C5001" t="inlineStr">
        <is>
          <t>読み方：たいそう
［形動］［文］［ナリ］
１程度や分量がはなはだしいさま。たいへん。ひどい。「—な暑さ」「—な剣幕で怒りだす」
２おおげさなさま。ぎょうさん。「つまらないことを—に言う」
３大規模なさま。りっぱであるさま。「—な学者」「—な披露宴」
［副］非常に。たいへん。「—役に立つ」
[用法]大層・大変——「大層（大変）面白い映画だった」「私は大層（大変）驚いた」など、はなはだしさをいう場合には相通じて用いられる。◇「大層」は「大変」に比べ、やや改まった場面で使う。「大層困惑致しおります」◇おおげさなさまを表す「大層」に「御(ご)」が付いて、あまりにもおおげさである、おおげさなわりに中身がないの意で使われることがある。「御大層なあいさつにはあきれた」「御大層な結婚式でうんざりした」◇「大変」には容易でない、重大だ、の意の形容動詞用法がある。「あの山に登るのは大変だ」「大変なことになった」など。なお、「大層だ」の形は普通は使われない。</t>
        </is>
      </c>
      <c r="D5001" t="inlineStr">
        <is>
          <t>大層喜ん；大層よく；大層驚い；大層御；大層むずかしい</t>
        </is>
      </c>
      <c r="E5001" t="inlineStr">
        <is>
          <t>よく；最も；非常；非常に；かなり</t>
        </is>
      </c>
      <c r="F5001" t="inlineStr">
        <is>
          <t>大層結構；大層面白い；大層な人出；大層美味しく；大層気に入り</t>
        </is>
      </c>
      <c r="H5001" t="n">
        <v>29</v>
      </c>
      <c r="I5001" t="inlineStr">
        <is>
          <t>パンのパリパリするのと肉と一緒に食べますから大層味が良くなります。；一度も自分では云ひ出さないが、妻は大層客の気に入つてゐるに相違ない。；この人は評判の偏人でございましたが、腕は大層確かであったそうです。；それに三味線の腕がいいと土地では大層な評判を取っている芸者だった。；同じロースを買っても若牛の肉と老牛の肉とは大層な違いがあります。；さういふお湯に入るのは温泉に入るやうなもので大層薬になるものである。；乃公は自分が家に居た頃の話をして聞かせたら、大層同情してくれた。；人間は大層困っていろいろやってみましたが、どうしても開きません。；別にパンを切ってその中へ十分間ほど漬けておくとパンが大層膨れます。；ただ、私は無頭児のことがありますから大層複雑な心境ではございました。；父親が巨人の山倉のファンだったため試合に出た時は大層喜んだそうである。；その山荘は一族中の大層物好きな人の建てた物で大変な山の中にある。；おみつに子が生まれたら、抱かせて貰うのを大層楽しみにしていたのだ。；自分としては、そんな大層なもんとは思っていなかったんですけどね。；食パンばかりは同じ原料を使っても上手と下手とで大層な味が違います。；どう見てもそんな大層な物には見えなかったが、僕の眼はそう教えてくれたのだ。；決して美人ではないのに、自分は大層な美人なのだと信じ込んでいる。；何の根拠もないのに、自分は大層な者であると信じていましたね。；そう思うと、その簡単な一本の手紙が私には大層な喜びになった。；高さは六十七メートルと、現代の感覚からすればそれほど大層なものではない。；御婦人のお客で、お二階じゃ大層お話が持てますそうでございますから。；不親切な料理人はよくそうして拵えますが味に大層な違いがあります。；僕にそんな、兄妹を重視するような大層な人間性が残っているとは思えない。；夜にしては大層明るい道を、灯りも持たずに歩いてくる姿があった。；食医とは毎日の食物を研究する医者で大層に尊敬せられたものと見えます。；彼らは趣味や職業が共通していたので、皆お互に大層仲よくしていた。；十日ばかり過ぎて七斤は城内から帰って来ると彼の女房は大層嬉しそうだ。；モウ私共は死んで後のことよりほかに何も望みがないと、大層喜んだです。；そんなに大層なことを言ってしまったとは思っていなかった。</t>
        </is>
      </c>
      <c r="J5001">
        <f>HYPERLINK("https://www.weblio.jp/content/大層", "词义详情")</f>
        <v/>
      </c>
      <c r="K5001">
        <f>HYPERLINK("https://yourei.jp/大層", "查看例句")</f>
        <v/>
      </c>
    </row>
    <row r="5002">
      <c r="A5002" t="inlineStr">
        <is>
          <t>体操</t>
        </is>
      </c>
      <c r="B5002" t="inlineStr">
        <is>
          <t>成功</t>
        </is>
      </c>
      <c r="C5002" t="inlineStr">
        <is>
          <t>読み方：たいそう
１健康や体力の保持・増進などを目的とする規則的、合理的な身体運動。目的や対象により種々あり、幅広い内容が含まれる。「美容—」「ラジオ—」
２「体操競技」の略。
３学校教科の「体育」の旧称。</t>
        </is>
      </c>
      <c r="D5002" t="inlineStr">
        <is>
          <t>体操部(4%)；体操場(4%)；体操クラブ(2%)；体操教師；体操教室</t>
        </is>
      </c>
      <c r="E5002" t="inlineStr">
        <is>
          <t>柔軟体操</t>
        </is>
      </c>
      <c r="F5002" t="inlineStr">
        <is>
          <t>雨天体操；女子体操；機械体操；学校体操；男子体操</t>
        </is>
      </c>
      <c r="G5002" t="inlineStr">
        <is>
          <t>体操競技；体操服；体操着；体操競技選手；体操の時間</t>
        </is>
      </c>
      <c r="H5002" t="n">
        <v>29</v>
      </c>
      <c r="I5002" t="inlineStr">
        <is>
          <t>体操の先駆となる運動はすでに原始時代には存在したと考えられている。；小さい頃は体操やチアリーダーをやっており、学校の成績も優秀だった。；そこで先輩教師に才能を認められ、体操教師となることを勧められた。；体を動かす楽しさを知ってもらうという目的で開催されている体操教室。；彼はある目標を達成するために体を柔らかくしようと柔軟体操をしている。；なお、白鳥洋介が入居してからは、彼の体操中の映像が追加されている。；体操でインターハイに出場した経験があり、アクロバットを得意とする。；過去に行われた体操の映像を繋ぎ合わせた「とくべつへん」も存在する。；優れた運動神経を持った子供であり、体操やその他のスポーツを得意とした。；中学入学後、医師から運動の許可が降りたことを機に体操部に入部。；スポーツ一家に生まれ、幼い頃から両親の体操クラブにて体操を学ぶ。；この同じ年に市民軍が組織され、現在も存続している体操クラブが設立された。；サンディエゴ高校に通っていた15歳の時に体操のタイトルを獲得している。；今後も体操に関わりながら、様々なことにチャレンジしていくとしている。；幼稚園の体操教室では古沼貞雄にも教えを受けた若林可夫の指導を受けた。；入寮している一年生は全員朝にラジオ体操することが義務付けられている。；井口阿くりがボストンで経験した体操もこれに酷似していたと考えられる。；そのほかにも運動会ではリズム体操という準備運動のようなものもする。；といって体操は興味に乏しいのと、学校を出るとやるものがない。；創設期には体操と陸上競技だけであったが、現在では7つの部門を有している。；また、中学・高校を中心に体操服として採用していた学校がある。；ネタの合間には『パンツ丸見え体操』が元となっている歌を歌っていた。；彼らには体操の指導者がいる訳でもなく、ただ自然の中で生活しているだけなのだ。；柔道部もあったが現在は休止中 市内の中学で体操部があるのもこの二中だけである。；その他にも、フットサルや体操なども人気のスポーツとなっている。；終了後の体操の説明をするインストラクターは左から2番目の女性。；職場によっては体操や社員の代表によるスピーチなどを行う場合もある。；また偶然ながら、その塚原光男本人は当時河合楽器体操部に所属していた。；同時に日本女子体操のエースであった小菅麻里の大会5連覇を阻止した。</t>
        </is>
      </c>
      <c r="J5002">
        <f>HYPERLINK("https://www.weblio.jp/content/体操", "词义详情")</f>
        <v/>
      </c>
      <c r="K5002">
        <f>HYPERLINK("https://yourei.jp/体操", "查看例句")</f>
        <v/>
      </c>
    </row>
    <row r="5003">
      <c r="A5003" t="inlineStr">
        <is>
          <t>大体</t>
        </is>
      </c>
      <c r="B5003" t="inlineStr">
        <is>
          <t>成功</t>
        </is>
      </c>
      <c r="C5003" t="inlineStr">
        <is>
          <t>読み方：だいたい
［名］細かい点を除いた主要な部分。また、全体を大づかみにしたところ。あらまし。おおよそ。「事件の—を語る」「—の人が出席する」
［副］
１物事の要点、また数量などを、大づかみにとらえるさま。あらかた。おおよそ。「話は—わかった」「駅まで—五分だ」
２もとはと言えば。そもそも。「—言い出したのは君だよ」
[用法]大体・おおよそ——「大体（おおよそ）の見当はついている」「事情は大体（おおよそ）わかった」「大体（おおよそ）一〇〇万円かかる」など、大部分・あらましの意では、相通じて用いられる。◇「大体」は、細部を除いた主な部分、また漏れているものもあるが、あらかたの意で、「漱石の小説は大体は読んだ」では、まだ読んでない作品も少しあることを言外に含んでいる。◇「夜は大体家に居る」の「大体」は「おおよそ」に置き換えることはできない。◇「おおよそ」は細部を問題にしないで全体を大まかにとらえていう語であるから、「おおよその説明」では、細部についての説明は省かれていることになる。</t>
        </is>
      </c>
      <c r="D5003" t="inlineStr">
        <is>
          <t>大体同じ；大体こんな；大体次；大体三；大体見当</t>
        </is>
      </c>
      <c r="E5003" t="inlineStr">
        <is>
          <t>主；約；主に；由来；基本的に</t>
        </is>
      </c>
      <c r="F5003" t="inlineStr">
        <is>
          <t>大体四；大体わかる；大体右；大体一致；大体お前</t>
        </is>
      </c>
      <c r="G5003" t="inlineStr">
        <is>
          <t>大体大浪商</t>
        </is>
      </c>
      <c r="H5003" t="n">
        <v>29</v>
      </c>
      <c r="I5003" t="inlineStr">
        <is>
          <t>しかし大体はこの確信のもとに自由に彼のジヤアナリズムを公けにした。；大体右の通りであるが、第二年度に於て多少変更されてゐる部分もある。；しかし、今日では、大体以下に示すように二通りの意味で使われている。；そこを見分ける必要がありますが、大体は地図を見れば見当がつきます。；年代によって多少の違いはあるが大体このようなロゴが付けられている。；大体同じであって、どことなしに少しのちがいがあるだけなのである。；方向は大体同じに出ましたが、前に測ったときほど明瞭ではありません。；食事は時間になると大体は外にある大きなテーブルを囲んで皆で食事を取る。；妾がはらからについて記憶していることは大体右のような事だけである。；が、その中で彼が見るであろう光景は大体想像することができます。；私が採集した氷を兇器に使用する着想は、大体以上のようなものである。；ルイスはピエールに彼女が貴方に話したことは大体分かっていると言う。；うすぼんやりとした大体の塊まりからだんだんと形を強めて行くべき事。；おとよが家の大体をいうと、北を表に県道を前にした屋敷構えである。；即席バンドが大体を占めるのだが、稀に漫才や手品等をする生徒もいる。；大体君達は、この屍体を見た瞬間に何か触れたものがあった筈だよ。；イギリスと大体同じ大きさのエリアで、ほとんど山に覆われている。；当時まだ生れて居なかつた今の我当君なども、大体は聞き知つて居るだらう。；バスは路線が充実しており、乗り継ぎをすれば大体はどこへでも行ける。；敵は散兵の如く大体我に向き合ったものが我に対抗するのではない。；第一、日本人の声は大体に於て、西洋人が風邪を引いた時の声に似てゐる。；調査の結果、大体その庭下駄の跡は、四本の線をなしている事が判った。；店の重立った人の意見は大体こうなったのだと嘉六は報告しました。；鼻の低いのをきずにして、大体の目鼻立ちはお六よりも余ほどすぐれていた。；今日まで私の眼に触れたものは、大体二種の問題に係つてゐる。；それ故以上に記した数字の如きも極めて大体を示すに過ぎないことを注意して置く。；ブロック指導者は一人につき、大体2個か3個のブロックを担当した。；夫婦の間では全ての会話に英語が用いられ、家庭生活は大体洋式に改められた。；しかし被害地域の藩が作成した報告書により、大体の進路が推測できる。</t>
        </is>
      </c>
      <c r="J5003">
        <f>HYPERLINK("https://www.weblio.jp/content/大体", "词义详情")</f>
        <v/>
      </c>
      <c r="K5003">
        <f>HYPERLINK("https://yourei.jp/大体", "查看例句")</f>
        <v/>
      </c>
    </row>
    <row r="5004">
      <c r="A5004" t="inlineStr">
        <is>
          <t>対談</t>
        </is>
      </c>
      <c r="B5004" t="inlineStr">
        <is>
          <t>成功</t>
        </is>
      </c>
      <c r="C5004" t="inlineStr">
        <is>
          <t>読み方：たいだん
［名］(スル)向かい合って話し合うこと。また、ある事柄について二人で話し合うこと。対話。「政治改革をテーマに—する」→鼎談(ていだん)</t>
        </is>
      </c>
      <c r="D5004" t="inlineStr">
        <is>
          <t>対談集；対談記事；対談番組；対談形式；対談企画</t>
        </is>
      </c>
      <c r="E5004" t="inlineStr">
        <is>
          <t>会話；話す；対話；おしゃべり；談話</t>
        </is>
      </c>
      <c r="F5004" t="inlineStr">
        <is>
          <t>招いて対談；雑誌対談；対談インタビュー；スペシャル対談；公開対談</t>
        </is>
      </c>
      <c r="H5004" t="n">
        <v>29</v>
      </c>
      <c r="I5004" t="inlineStr">
        <is>
          <t>後に対談で彼のことを認めており、応援もしている旨の発言をしている。；連載時に掲載された対談者で単行本には収録されていない人物もいる。；また、同時期に出版されたムック本では福本との対談が掲載されている。；シリーズのファンである二人と藤田の雑誌対談が出演のきっかけとなった。；その後行われた梅原猛との対談のなかでも、歴史の話がなされている。；作者との対談もしたことがあるが、その時まで自分では気づいていなかった。；インタビューや対談で構成されている記事が多く、内容はやや専門的。；対立の段階では、対談者たちは自分たちに意見の相違があることを確証する。；また、毎回ではないが、時々ゲストが来て対談を繰り広げることがある。；この名称は、富野が自分で造ったと高千穂遥との雑誌対談で述べている。；ただし過去に王貞治のファンを公言しており、雑誌で何度か対談している。；番組では、スタジオで司会のタモリとの対談を行い、本楽曲を歌唱した。；石原家との関係もあり、石原慎太郎との新聞での対談記事などもある。；ただし、実際対談や論争したことはなく、のちに吹聴されたもののようだ。；月に一度は番組にゲストが招かれ、対談形式で番組が進行される。；この頃になると日本のアーティストが海外アーティストと対談する企画が頻繁に行われるようになった。；また日本人選手との対談コーナーでは自身もバスケの腕を披露した。；スタージョンの法則は1972年の編集者との対談で初めて言及された。；彼ら3人の対談なども平凡、明星などの雑誌でよく見られるようになった。；対談方の中には1人で50 - 200両もの給金を受け取る者もいた。；毎回番組の途中で女性アナウンサーが対談者に茶菓子を供す場面がある。；作家インタビューや対談等の活字記事が多いのも特徴である。；この創刊号には、フレデリック・ダネイと松本清張の対談が掲載された。；しかし両者は次第に和解していき、対談を交わすほどに互いを認めあった。；また、同書の特別対談で綾辻は、3部作構成であることを明言している。；収録は対談相手の事務所や店舗などが使われた。；対談形式で行われた様子は、動画配信サイトで公開されている。；また、編集を担当した本や映画関係者へのインタビュー・聞き書き・対談の仕事も多数ある。；大瀧詠一との対談の中で、次のようなエピソードを話している。</t>
        </is>
      </c>
      <c r="J5004">
        <f>HYPERLINK("https://www.weblio.jp/content/対談", "词义详情")</f>
        <v/>
      </c>
      <c r="K5004">
        <f>HYPERLINK("https://yourei.jp/対談", "查看例句")</f>
        <v/>
      </c>
    </row>
    <row r="5005">
      <c r="A5005" t="inlineStr">
        <is>
          <t>大胆</t>
        </is>
      </c>
      <c r="B5005" t="inlineStr">
        <is>
          <t>成功</t>
        </is>
      </c>
      <c r="C5005" t="inlineStr">
        <is>
          <t>読み方：だいたん
［名・形動］
１度胸がすわっていること。思い切りよくやってのけること。また、そのさま。「—に自説を述べる」「—なデザイン」⇔小胆。
２図太いこと。ずうずうしいこと。また、そのさま。
「おめえのやうにひとの亭主を盗む—はしねえよ」〈人・辰巳園・四〉
[派生]だいたんさ［名］</t>
        </is>
      </c>
      <c r="D5005" t="inlineStr">
        <is>
          <t>大胆不敵(3%)；大胆な行動；大胆すぎる；大胆な計画；大胆な仮説</t>
        </is>
      </c>
      <c r="E5005" t="inlineStr">
        <is>
          <t>向かい；勇気；勇敢；チャレンジ；度胸</t>
        </is>
      </c>
      <c r="F5005" t="inlineStr">
        <is>
          <t>こんな大胆；そんな大胆；大胆きわまる；大胆不敵なタルタラン；大胆不敵なふるまい</t>
        </is>
      </c>
      <c r="G5005" t="inlineStr">
        <is>
          <t>大胆map；大胆巧妙；大胆ふてき</t>
        </is>
      </c>
      <c r="H5005" t="n">
        <v>29</v>
      </c>
      <c r="I5005" t="inlineStr">
        <is>
          <t>非常に激しい試合の展開で、その腕力と大胆さで知られるようになった。；大胆な発想に一同驚いていたところに偶然にも近藤本人が通りかかった。；恐らく彼は当時最も大胆不敵な戦士でもあっただろうと考えられている。；舞台や小道具はゴシック建築や大胆で直線的なデザインが特徴とされる。；ジャケットでタイトル通りの背中を大胆に見せたセミヌードを披露した。；そのためには大胆な設計変更が要求され、プロジェクトには時間がかかった。；これらの田沼時代の大胆な政策はエポック的だと後世に評価されている。；曲のいくつかは各地の伝統的な曲を大胆にアレンジしたものである。；また命中しない銃撃は敵がより大胆に攻撃してくるという結果を招いた。；このことは、後にイギリス海軍の大胆な作戦行動に結びつくようになる。；鮮やかな色の大胆なプリント柄をデザインした商品ラインナップが特徴。；それは西からの嵐が募っている状況下で極めて危険かつ大胆なものであった。；これは地方の経済モデルを大きく変えた大胆な手段であった。；当選したばかりのケネディは、この作戦計画の重要さと大胆さに仰天した。；作品は共通して大胆で直截的な景色作りが行われていることが指摘されている。；本級は、非常に大胆な設計を採用していることで知られている。；この動きは当時特に裕福でもなかった市で大胆なものと見られた。；いずれも鉄骨の構造を大胆に剥き出しにした巨大建築物を施行した。；アーノルドに叱咤されたルメイは大胆な作戦方針の変更を行うこととした。；ハドソン湾会社は自社領地で行われたこの大胆な行動に警戒心を高めた。；武士の中で大胆なものが先頭に立って、中の様子を見ると、一人の美しい女がいた。；作品の多くは大胆な筆の線で描かれ、会話の少ない独特の話運びがなされている。；舞台を青森県に移し、今までのシリーズを大胆にリメイクしたものである。；鋳鉄と木材でできたこの橋はとても大胆な物だったがために批判に晒された。；さらに左右の翼面形状を非対称に変え、大胆な挙動を取ることも可能。；マッテゾンは「かなり荒削りで大胆な性質を有している」と述べている。；特に三宅は既成概念を覆す大胆な服作りで大きな衝撃と影響を与えた。；少女姿の小林君は、だいたんに、その広い部屋へはいっていきました。；本作の内容は、主人公の大胆さと周囲との友情関係に焦点が当てられている。</t>
        </is>
      </c>
      <c r="J5005">
        <f>HYPERLINK("https://www.weblio.jp/content/大胆", "词义详情")</f>
        <v/>
      </c>
      <c r="K5005">
        <f>HYPERLINK("https://yourei.jp/大胆", "查看例句")</f>
        <v/>
      </c>
    </row>
    <row r="5006">
      <c r="A5006" t="inlineStr">
        <is>
          <t>体調</t>
        </is>
      </c>
      <c r="B5006" t="inlineStr">
        <is>
          <t>成功</t>
        </is>
      </c>
      <c r="C5006" t="inlineStr">
        <is>
          <t>読み方：たいちょう
からだの調子。からだの状態。「—を整える」「—が良い」</t>
        </is>
      </c>
      <c r="D5006" t="inlineStr">
        <is>
          <t>体調が悪い(3%)；体調が悪く(2%)；体調面；体調悪化；体調がよく</t>
        </is>
      </c>
      <c r="E5006" t="inlineStr">
        <is>
          <t>調子；具合；加減；健康状態；コンディション</t>
        </is>
      </c>
      <c r="F5006" t="inlineStr">
        <is>
          <t>体調が思わしくない；体調が芳しく；体調万全；体調不調；体調崩し</t>
        </is>
      </c>
      <c r="G5006" t="inlineStr">
        <is>
          <t>体調管理</t>
        </is>
      </c>
      <c r="H5006" t="n">
        <v>29</v>
      </c>
      <c r="I5006" t="inlineStr">
        <is>
          <t>思えば、その頃から少し体調を悪くされていたのではないでしょうか。；患者自身が生活パターン、体調をよく見直す事で改善される場合もある。；特に毎年の主演女優は必ずと言ってよいほど途中で体調を崩していた。；病気で倒れて約10年間は女優業をほぼ休業し、体調回復に努めていた。；科学界と政府の間の関係に気疲れし、体調を悪化させたとも言われている。；また体調が回復し再度トレーニングを行えば、競走能力への影響もない。；相手の技とか体調の問題じゃない、今まで何をやってきたんだろう。；体調や皮膚の状態によっては感染症等の危険があるため注意が必要である。；耕一はすぐに入会したが、体調がすぐれず結成式には出席できなかった。；ただこれらは個体の体調や置かれた環境により不明瞭な場合も少なくない。；あまりの体調の悪さに元々予定されていた楽曲を一部カットした。；特に体調が優れないということはなく、心臓の病気もなかったという。；正一が体調を崩した春以来、信子はこんな大声を聞いたことがなかった。；パートナーの張丹は大会中体調が思わしくなく大会後検査入院を受けた。；体調面も含め、80歳を超えてからは仕事を控えるようになっていた。；また、厩舎関係者以外からも体調の悪さを指摘する声が挙がっていた。；倒れた翌日もしきりと体のだるさを訴え、体調が回復する様子もない。；その後体調は順調に回復してゆき、それと同時に翌年には音楽活動を再開。；この頃から体調が悪化し、メディアへの露出が困難となってしまう。；その後も菊の体調は本調子にはならず、病気がちな日々が続いた。；これは選手や観客の体調面などを考慮したものである。；手術後は体調を回復し、その後も多数のテレビドラマや映画に出演。；あまりにも劣悪な環境から体調にも悪影響が出ることもあるという。；体調を回復した後は、運動を取り入れた健康的なダイエットをするようになった。；これ以降は、体調を考慮して月曜日と金曜日の放送に出演するようになった。；上原によれば、このときのダイワメジャーは体調の問題を抱えていた。；なお3週間前に妻と一緒にメキシコに旅行に行っていたが体調を崩し帰国していた。；その後、議場へ戻り演説を再開したが体調面での不安が報道された。；御厩にいることもあるが、天候や神馬の体調によりいない場合もある。</t>
        </is>
      </c>
      <c r="J5006">
        <f>HYPERLINK("https://www.weblio.jp/content/体調", "词义详情")</f>
        <v/>
      </c>
      <c r="K5006">
        <f>HYPERLINK("https://yourei.jp/体調", "查看例句")</f>
        <v/>
      </c>
    </row>
    <row r="5007">
      <c r="A5007" t="inlineStr">
        <is>
          <t>たいてい</t>
        </is>
      </c>
      <c r="B5007" t="inlineStr">
        <is>
          <t>成功</t>
        </is>
      </c>
      <c r="C5007" t="inlineStr">
        <is>
          <t>読み方：たいてい
主要な三大臣。三人の政治上の最高責任者。転じて、高官。</t>
        </is>
      </c>
      <c r="D5007" t="inlineStr">
        <is>
          <t>たいていいつも；たいていそういうもの；たいてい見当がつく；たいてい著しい</t>
        </is>
      </c>
      <c r="E5007" t="inlineStr">
        <is>
          <t>多く；ほとんど；一般；いつも；主に</t>
        </is>
      </c>
      <c r="F5007" t="inlineStr">
        <is>
          <t>まずたいてい；たいていそういう；まあたいてい</t>
        </is>
      </c>
      <c r="H5007" t="n">
        <v>29</v>
      </c>
      <c r="I5007" t="inlineStr">
        <is>
          <t>たいていは仲間にするのに条件がいるが、一部はイベントで入って来る。；たいていの場合にうまくいっていると考えられる構成を以下に説明します。；たいていはそうなる前に部品交換で新しいブレーキパッドに交換される。；黒色の毛に覆われており、たいていは胸・腰のあたりに白い模様がある。；たいていの点は非特異であるということは次のような意味で常に正しい。；たいていの患者は医師からの助言や中止のための支援はわずかである。；靴を見ることは稀であるが、見る靴はたいてい踵のところが曲っている。；また実際この島の住民はたいていバッブラッブベエダを信仰していますよ。；主導権はたいてい夫にあったが、妻はそれに従わなければならなかった。；たいていの場合、何もすることが無く様子を見ているようなときに使われる。；ジャンヌをはじめ様々な女性に声をかけるが、たいてい敬遠されている。；たいていの場合は以下の4つの選択肢からどれかを選ぶように依頼される。；そのような結合でもたいていはラジカル置換反応ぐらいしか関与できない。；大きなアドレス空間はアドレスがたいてい利用できることを確実にする。；写真はたいてい若い頃のものや友人の写真、修整された写真であった。；英語を母語としない国民でもたいていは英語を日常的に使用している。；たいていのSCRは適切な性能を発揮するために調整が必要である。；実際、たいていの商品価格は、何年ものあいだほとんど変わらなかった。；家庭で作って飲むだけでなく、たいていどこのバールでも注文できる。；長さは個体ごとに違うが、たいていは肩につくほどの長さである。；肩肉のチョップはたいていロインよりも質が落ちると考えられている。；たいていの動物で、体の表面を構成する組織は次第に更新されて行くものである。；紙ベースで判例が公表される場合、たいてい次のような情報が含まれている。；たいていの場合、メーターの横またはそばにリセットボタンが存在する。；ERモデルの基本はたいていのデータベースの教科書で触れられている。；たいていの場合、周囲の地面より数十センチメートルほどくぼんでいる。；各主要都市の間にはたいてい峠があり、交通の難所としても知られている。；水中で魚の死体などに綿毛のように生えているのは、たいていこれである。；金属のような高い熱伝導率を有する物質は、たいてい電気伝導性を持つ。</t>
        </is>
      </c>
      <c r="J5007">
        <f>HYPERLINK("https://www.weblio.jp/content/たいてい", "词义详情")</f>
        <v/>
      </c>
      <c r="K5007">
        <f>HYPERLINK("https://yourei.jp/たいてい", "查看例句")</f>
        <v/>
      </c>
    </row>
    <row r="5008">
      <c r="A5008" t="inlineStr">
        <is>
          <t>態度</t>
        </is>
      </c>
      <c r="B5008" t="inlineStr">
        <is>
          <t>成功</t>
        </is>
      </c>
      <c r="C5008" t="inlineStr">
        <is>
          <t>読み方：たいど
１物事に対したときに感じたり考えたりしたことが、言葉・表情・動作などに現れたもの。「落ち着いた—を見せる」「—がこわばる」
２事に臨むときの構え方。その立場などに基づく心構えや身構え。「慎重な—を示す」「反対の—を貫く」「人生に対する—」
３心理学で、ある特定の対象または状況に対する行動の準備状態。また、ある対象に対する感情的傾向。</t>
        </is>
      </c>
      <c r="D5008" t="inlineStr">
        <is>
          <t>態度を取り続け；態度をとり続け；態度物腰；態度表明</t>
        </is>
      </c>
      <c r="E5008" t="inlineStr">
        <is>
          <t>側；様子；主張；行動；動き</t>
        </is>
      </c>
      <c r="F5008" t="inlineStr">
        <is>
          <t>そんな態度；横柄な態度；傲慢な態度；強硬な態度；冷たい態度</t>
        </is>
      </c>
      <c r="H5008" t="n">
        <v>29</v>
      </c>
      <c r="I5008" t="inlineStr">
        <is>
          <t>このアメリカの態度に業を煮やし、独自の潜水艦を作ることを発表した。；権力を握ったヌルハチの自分への態度が尊大になることに不満を覚えた。；党は分裂を回避するために奴隷制問題への態度表明を避けるようになった。；県令はその悠然とした賢人の態度に感心して孝廉に推薦したのだという。；しかし、あくまで母親への忠誠心を崩さない夫の態度に彼女は絶望する。；瞑想は経験豊富な優れた指導者の元で、正しい態度で行われる必要がある。；しかしこの頃、ヌルハチに兄への態度が尊大になったと叱責されている。；これらにおいてはそれを行う人々の態度や気分が鋳造されるのである。；このような現象に対する人々の態度は、国や文化ごとに大きく異なる。；ほとんど崇拝といってもいいその態度は文壇でも有名なものであった。；宮中某重大事件の解決後も久邇宮の態度に反発し、結婚を逡巡していた。；現在、科学の様々な分野において現象学的な態度が取りざたされている。；何かに固執する事は、頑なな態度とセットになって、初めて成立しうる。；ただしその態度が監督としての手腕に生かされたことは評価していた。；黄は事態打開のために「戦闘的な態度」を取るべきだと浅沼らに主張した。；人気絶頂でそれだけわがままで、生意気な態度に見えたんやと思います。；同時にスタッフに対しての態度が悪いのも同様に仕事を失う一因にもなる。；瓢吉は、お袖に将来のことを迫られているが、態度を決めかねている。；条約改正反対の急先鋒だったイギリスの態度変更は各国の追随を招いた。；日本を世界の一国家として客観的にみる態度を養うことを目的とする。；また田中社長本人はこの日を境にレスラーへの態度を一変させてしまったという。；かれの堂々としていて親切な態度のことを、ピピンは初めから好きだった。；当初はジェームズ2世の即位にはっきりと反対の態度をとる者はほとんどいなかった。；これは家達の30年にわたる議長としての態度を回顧したものでもある。；生産の場との関係、消費の場との関係に対する彼らの態度、である。；バッジ以外の就業態度にも問題があるとした会社側の主張は事実と認められること。；ファインマン自身はこれらの理論に対して懐疑的な態度をとっていた。；相手に対して失礼な態度を意味し、発言の場合は口下手ともいわれている。；そこではカナダ人修道士たちが児童に対して献身的な態度で接していた。</t>
        </is>
      </c>
      <c r="J5008">
        <f>HYPERLINK("https://www.weblio.jp/content/態度", "词义详情")</f>
        <v/>
      </c>
      <c r="K5008">
        <f>HYPERLINK("https://yourei.jp/態度", "查看例句")</f>
        <v/>
      </c>
    </row>
    <row r="5009">
      <c r="A5009" t="inlineStr">
        <is>
          <t>対等</t>
        </is>
      </c>
      <c r="B5009" t="inlineStr">
        <is>
          <t>成功</t>
        </is>
      </c>
      <c r="C5009" t="inlineStr">
        <is>
          <t>読み方：たいとう
［名・形動］相対する双方の間に優劣・高下などの差のないこと。また、そのさま。同等。「—な（の）口をきく」「—な（の）立場」</t>
        </is>
      </c>
      <c r="D5009" t="inlineStr">
        <is>
          <t>対等な関係(4%)；対等な立場(4%)；対等合併；対等性；対等以上</t>
        </is>
      </c>
      <c r="E5009" t="inlineStr">
        <is>
          <t>同等；匹敵；引き分け；互角；拮抗</t>
        </is>
      </c>
      <c r="F5009" t="inlineStr">
        <is>
          <t>対等外交；対等な権利；対等結婚；対等同盟；対等な外交</t>
        </is>
      </c>
      <c r="H5009" t="n">
        <v>29</v>
      </c>
      <c r="I5009" t="inlineStr">
        <is>
          <t>両都市の完全で対等な統合がなされたのは20世紀に達してからである。；農民のような民衆は皇帝と対等ではないので、抵抗すれば反乱である。；は集住型の自治体と対等の関係にあるが、内部にを設けることができる。；カルタゴと同様に対等の同盟を宣言していたが、事実上は従属であった。；数年で周りには対等に相手ができるものがいなくなり、神童と呼ばれた。；どれもがみな対等に独立しているかわりに、相互の連関が見えて来ません。；だからナポレオンの戦争の勝利は対等のことをやっていたのではありません。；農民などの民衆は皇帝と対等ではないので、抵抗すれば反乱となる。；人数は対等でも、玉藻の供は相手ほどに精り抜いた侍どもではなかった。；しかし私はあなたに我々が対等な関係を模索して行くことを約束する。；男性の帽子・タイ等の小物も、徐々に現代に近いスタイルが完成していく。；これに勝利したプラント側は完全な自治権獲得と対等貿易を要求する。；多くは宗教上の活動と見ていて、逆に対等に扱われることを好んだ。；十年まえはそれでよかったのだが、いまのぼくたちは、ほぼ完全に対等だ。；連携した操作も可能になり、他社製品とも対等な競争が可能となってきた。；私はいかなる個人同士の力関係も対等な状態には置かれていないと主張している。；三十一の三乗ではケランと対等に張り合う程の腕を持つパイロットである。；戦後まもない1946年に入ってバルタリとコッピの立場は対等となる。；その代わりドイツの両国家が責任と対等な代表権を持つ委員会を設置すべきだとしたのである。；両国の出会いは友好的なものであり、そこには対等の関係が生まれた。；従業員の採用も、双方の理事が対等の権利を有するものとなっていた。；なお通常相対立させて用いている言葉の中には、実際対等でないものがいくらもある。；今の世界には人間を相手として対等の競争をなしうる動物は一種類もない。；民法と商法の施行延期も実現させ、政府や衆議院と対等な地位に立った。；ペルシア人とメディア人を対等に描くのはヘロドトスの記述と矛盾している。；その代わりに、信教の自由が認められ、全ての宗教団体は対等となった。；「早月葉でございます」 葉子は対等の態度で悪びれもせずこう受けた。；争いを避けるためには皆が互いに対等かつ平等に愛し合わなければいけない。；このときに英・米・原加盟国の間に対等な協定が結ばれた。</t>
        </is>
      </c>
      <c r="J5009">
        <f>HYPERLINK("https://www.weblio.jp/content/対等", "词义详情")</f>
        <v/>
      </c>
      <c r="K5009">
        <f>HYPERLINK("https://yourei.jp/対等", "查看例句")</f>
        <v/>
      </c>
    </row>
    <row r="5010">
      <c r="A5010" t="inlineStr">
        <is>
          <t>大統領</t>
        </is>
      </c>
      <c r="B5010" t="inlineStr">
        <is>
          <t>成功</t>
        </is>
      </c>
      <c r="C5010" t="inlineStr">
        <is>
          <t>読み方：だいとうりょう
１共和制国家の元首。国民の直接選挙または議会での選挙などによって選出される。米国などのように行政府の首長として強い権限をもつ国もあれば、形式的存在の国もある。
２芝居に出演している役者などに対して、親しみを込めて呼び掛けるときに用いる語。「待ってました、—」</t>
        </is>
      </c>
      <c r="D5010" t="inlineStr">
        <is>
          <t>大統領選(3%)；大統領候補；大統領就任；大統領令；大統領職</t>
        </is>
      </c>
      <c r="E5010" t="inlineStr">
        <is>
          <t>社長；会長；議長；総裁；院長</t>
        </is>
      </c>
      <c r="F5010" t="inlineStr">
        <is>
          <t>フランクリン・ルーズベルト大統領；バラク・オバマ大統領；ニクソン大統領；エイブラハム・リンカーン大統領；ジョージ・w・ブッシュ大統領</t>
        </is>
      </c>
      <c r="H5010" t="n">
        <v>29</v>
      </c>
      <c r="I5010" t="inlineStr">
        <is>
          <t>アメリカでは議会の多数党と大統領の所属政党が一致するとは限らない。；議会は大統領の責任を追及できない反面、大統領は議会を解散できない。；実質的な権限を持つ大統領が、議会から選出される政治体制も存在する。；大統領および副大統領が国内にいない場合は首相が大統領の代行を務める。；行政府の長である首相は議会によって選出され大統領により任命される。；歴代韓国大統領で初の日本統治時代を経験していない世代の大統領である。；これは、メドベージェフ大統領が死刑の廃止を支持していた背景がある。；大統領は首相その他の大臣の任命・指名に関して議会の同意を得る必要がある。；そのような場合には、大統領が望む政策を円滑に実行することは困難となる。；これに対して、大統領制の下では大統領の法律発案権は認められていない。；首相は連邦議会議員であることを要するが、大統領はこの限りではない。；よってその権力はきわめて小さく、大統領の補佐機関であるといえる。；次の大統領を選ぶにあたっては三たびその候補者となることさえも固辞した。；行政を行うために、大統領は閣僚を米国の内諾を得たうえで指名する。；ユーゴスラビア時代に存在した首相は存在せず、大統領が閣議を主催した。；大統領および8人の副大統領と21人の閣僚で閣僚評議会が形成される。；投票の結果第二次投票で過半数を制したラウが第8代大統領に選出された。；地方行政は中央集権体制がとられており、各県知事は大統領が任命する。；よってその権力は極めて小さく、大統領の補佐機関であるといえる。；カラヤン死後、ヴァイツゼッカー大統領の要請で最晩年に指揮をしている。；一般に大統領は議会の法案への拒否権を持つが、法案の提出権はない。；大統領とファーストレディが名誉賞の授賞式に出席するのが通例である。；大統領制は独自に選挙を経て大統領を選出する。；このとき、連合大統領は3島から輪番制で任命されることとなった。；基本的には、大統領が政策を選ぶことができるからである。；大統領時代の功績としてあげられるのは、イラク戦争に反対したことである。；大統領は議会の選挙とは別に国民から直接的に選出される。；大統領は首相を任命し、その補佐を受けて17名の大臣も任命する。；大統領は議会とは独立した地位にあり、議会の勢力と関係なく一定の任期が保証される。</t>
        </is>
      </c>
      <c r="J5010">
        <f>HYPERLINK("https://www.weblio.jp/content/大統領", "词义详情")</f>
        <v/>
      </c>
      <c r="K5010">
        <f>HYPERLINK("https://yourei.jp/大統領", "查看例句")</f>
        <v/>
      </c>
    </row>
    <row r="5011">
      <c r="A5011" t="inlineStr">
        <is>
          <t>大都会</t>
        </is>
      </c>
      <c r="B5011" t="inlineStr">
        <is>
          <t>成功</t>
        </is>
      </c>
      <c r="C5011" t="inlineStr">
        <is>
          <t>読み方：だいとかい
規模が大きく、にぎやかな都会。大都市。</t>
        </is>
      </c>
      <c r="D5011" t="inlineStr">
        <is>
          <t>大都会partii；大都会ニューヨーク；大都会闘い</t>
        </is>
      </c>
      <c r="H5011" t="n">
        <v>29</v>
      </c>
      <c r="I5011" t="inlineStr">
        <is>
          <t>爺やは若い時代に一度だけ湖畔の大都会に出たことがあるだけだという。；国にいたとき夢みていた大都会の渦巻は今自分を漂わせているのである。；その五人の兄弟のなかの一人であった彼は再びその大都会へ出て来た。；もう私はこれ以上この大都会のなかに住みつづける気持になれなかった。；横浜よりはるかに小さいじぶんの街だって、ここにくらべれば大都会だ。；これこそ本当のさい果てで、根室は大都会であったような気がしてきた。；この大都会の生活と自分達の生存とはいざとなると何と無関係なことか。；こゝは大都会だけに一同共通の友達が柴さんの外にもまだあるそうだ。；女の子の去った後は、大都会の谷間とは思えぬ静寂が辺りを包んでいた。；確実な知識は、東京が世界的な大都会であるということぐらいであろうか。；そんなものは、大都会の外に立っている人間の勝手な妄想にすぎなかった。；大都会にある古い大きな大学の一つの例に過ぎないかも知れない。；ここは世界大都会の一つである東京の境界地なので、興味があった。；東北あたりなら雪とも呼ばないほどの積雪で、たちまち混乱する大都会。；大都会でなければ、シチュー屋をやっても食っていけそうだ、と思った。；大都会の中の救いようもない孤独が、乗客たちをわしづかみにしていた。；けれども、廃墟になったような大都会の光景が、強く彼女の心を撲った。；豊かな緑に囲まれた中にも近代的な大都会があるなど自然と人とが共存する地方。；むしろ人口が多いだけに、大都会では素人芸も通用しやすいものである。；やっとお金をため、親を説得できた青年は列車に乗って大都会を目指した。；外国の大都会の名前がでるだけでも、これだけの効果があるのだ。；メキシコ・シティは人口五百万と四百万のあいだというから大都会である。；生まれて初めて見るカラーテレビや近代的な大都会・東京に感激した。；ゴキブリを殺すための道具が、大都会に一般に広がるのは、なぜだろうか。；多分、東京なる大都会のイメージを、私なりに持っていたのだろう。；買手はY市から程遠からぬ、大都会に住んでいた或る官吏でありました。；不案内な大都会を一日歩き回ったことで、二人とも相当に疲れている。；前述のようなオープンな人々は進歩的な大都会に限られていた。；高松で生まれ育った二人にとって、大都会の朝はさわやかではなかった。</t>
        </is>
      </c>
      <c r="J5011">
        <f>HYPERLINK("https://www.weblio.jp/content/大都会", "词义详情")</f>
        <v/>
      </c>
      <c r="K5011">
        <f>HYPERLINK("https://yourei.jp/大都会", "查看例句")</f>
        <v/>
      </c>
    </row>
    <row r="5012">
      <c r="A5012" t="inlineStr">
        <is>
          <t>台所</t>
        </is>
      </c>
      <c r="B5012" t="inlineStr">
        <is>
          <t>成功</t>
        </is>
      </c>
      <c r="C5012" t="inlineStr">
        <is>
          <t>読み方：だいどこ
「だいどころ」の音変化。</t>
        </is>
      </c>
      <c r="D5012" t="inlineStr">
        <is>
          <t>台所口；台所用；台所仕事；台所道具；台所事情</t>
        </is>
      </c>
      <c r="E5012" t="inlineStr">
        <is>
          <t>勝手；キッチン；厨房；調理場；厨</t>
        </is>
      </c>
      <c r="F5012" t="inlineStr">
        <is>
          <t>小さな台所；狭い台所；広い台所；暗い台所；急いで台所</t>
        </is>
      </c>
      <c r="G5012" t="inlineStr">
        <is>
          <t>台所町；台所洗剤；台所論争；台所戦争；台所太平記</t>
        </is>
      </c>
      <c r="H5012" t="n">
        <v>29</v>
      </c>
      <c r="I5012" t="inlineStr">
        <is>
          <t>台所のテーブルの前に座って一週間分の日記をつけていると電話が鳴った。；だが、階下には外に狭い台所がある切りでどこにも人影は見えなかった。；玄関を入って正面の最奥部に台所が設けられもっとも私的な空間となる。；ローマの家で浴室は台所の近くにあり、湯を供給するのに便利であった。；台所の柱に節穴が空いているんだが、そいつを見つけたらこう言うんだ。；母親は台所で酒の爛をしていたし、弟と妹は部屋の隅に身をすくめていた。；作る場である台所は、食べる場である食堂との関係が非常に重要になってくる。；アイルランド伝統音楽は野外でも台所やパブなどの室内でも演奏される。；そして女中に連れられ台所の方へ足を引きずりながら歩いていった。；やがて赤ソーセージは料理の出来が気になると台所へ引っ込んでしまった。；台所に行くと野呂はもう起きていて、がばがばと顔を洗っておりました。；妻からは「あなたは邪魔だから台所に来ないで」と何度も怒られたという。；いわゆる腕白少年ではなく、よく母の台所仕事を手伝い、畑仕事もした。；最初の職務は台所であったが過酷な労働で体調を悪化し臨死体験をする。；いつもの通りに奥山の店から帰って来て、かれは台所で行水を使っていた。；患者は自身の母親で、実家の台所のテーブルで7つの胆石を取り除いた。；平和通りを挟んだ西側には「北九州の台所」と呼ばれる旦過市場がある。；徳島県もの中で自県のことを「関西の台所」と表現しているほどである。；ある日、台所で洗い物をしていた彼女は背後に何かの気配を感じる。；マッチ箱はしばしば銀行で配布され、家庭の台所で女性に使用されていた。；広い台所で私は、出入りの商人達と何かひそひそと話しあっていた。；台所に立ちながら、いち子は5年前に突然家を出ていった母のことを思う。；台所から首を出している母らしいひとの眼を彼は避けた。；そのほかには台所のそばにつやの四畳半の部屋が西向きについていた。；ところがそのとき、船の台所から手が伸びてきて、ソーサーを差し出す。；誰かと喧嘩して、台所からでも飛び出して来たのかも知れない。；千僧供養に出仕する千人もの僧の食事を準備した台所が、妙法院に残る。；台所では物を燃やした形跡はなく、妻の身体検査をしても何も出てこない。；ただし、居室部南側の玄関や台所の部分も大正期に改造を受けている。</t>
        </is>
      </c>
      <c r="J5012">
        <f>HYPERLINK("https://www.weblio.jp/content/台所", "词义详情")</f>
        <v/>
      </c>
      <c r="K5012">
        <f>HYPERLINK("https://yourei.jp/台所", "查看例句")</f>
        <v/>
      </c>
    </row>
    <row r="5013">
      <c r="A5013" t="inlineStr">
        <is>
          <t>台無し</t>
        </is>
      </c>
      <c r="B5013" t="inlineStr">
        <is>
          <t>成功</t>
        </is>
      </c>
      <c r="C5013" t="inlineStr">
        <is>
          <t>読み方：だいなし
［名・形動］ひどく汚れたり傷んだりして、役に立たなくなること。物事がすっかりだめになること。また、そのさま。「雨で着物が—だ」「計画が—になる」「一生を—にする」
［副］（多く否定的な表現に用いて）全然。まるで。
「お客へ上げる茶が—水になりました」〈伎・名歌徳〉</t>
        </is>
      </c>
      <c r="D5013" t="inlineStr">
        <is>
          <t>台無しにしよ；台無しじゃない</t>
        </is>
      </c>
      <c r="E5013" t="inlineStr">
        <is>
          <t>形無し；面目丸つぶれ</t>
        </is>
      </c>
      <c r="F5013" t="inlineStr">
        <is>
          <t>全部台無し</t>
        </is>
      </c>
      <c r="H5013" t="n">
        <v>29</v>
      </c>
      <c r="I5013" t="inlineStr">
        <is>
          <t>あの人の帽子を台なしにしてしまったのはあたしが悪うございましたわ。；そのなによりも大切な格好を仲間の見ている前で台なしにされてしまった。；その意図をバッテリーが台なしにするようなことにならなければよいが。；また自分より下級の男と結ばれ、将来を台無しにする可能性も出てくる。；人生を台無しにしておいて、笑顔で話してもらえるわけがないのだから。；せっかく二人きりでいい雰囲気だったのが、彼女のせいで台無しだった。；その苦労を台無しにしてまで、どうして私に白状してしまったのかしら。；きちんと育てた娘の将来を台無しにされて黙っているわけにはいかないのだ。；美しい歌詞だったし、良すぎて台無しにしないようにしなければと思った。；そんな格好をすればせっかくの女の美しさが台なしになるとお思いなのよ。；そのためにそれからの生涯を台無しにする人を守る法律はないのか。；わたしが言ったなんて知った ら、わたしたちの友情が台無しだからね。；つまり、途方もなく気を使って、自分のいいところを台なしにしていた。；せっかくの出会いを、どうしてこんなふうにだいなしにしてしまうのか?；しかし歯車の軋む音も同時に聞こえてきて、雰囲気を台なしにしていた。；それでは、僕のこれまでの計画がすべて台無しになってしまいますよ。；このおかげで、彼の夜はすっかり台なしになってしまったらしいです。；問題なのは、もめごとになって沖田との時間が台無しになることだった。；自分の生涯を台なしにする女がそこに居るのを感じたからである。；宝を手に入れることさえようしませずに人格を台なしにしたばかりです。；だがそれらを台無しにしているのが、薄い唇に張り付くゆがんだ微笑だ。；ことに、あんなことをして、おまえがこの仕事を台なしにしたんだからな。；あなたがへマをしたおかげで、この計画は台なしになるところだったのよ。；ロイロット博士が帰ってきて、僕らがここにいると知れては台無しです。；あの馬鹿のイワンの奴がすっかりおれの仕事をだいなしにしてしまったのだ。；どうして自分の将来を台なしにすることを恐れなかったのだろう?；その女のために自殺までしようとして、一生を台なしにしてしまったのに。；「お前さんたちの楽しみを台無しにしたくはねえ」ハグリッドが言った。；おまえがだしぬけに飛びつくものだから、薬を台なしにしたじゃないか。</t>
        </is>
      </c>
      <c r="J5013">
        <f>HYPERLINK("https://www.weblio.jp/content/台無し", "词义详情")</f>
        <v/>
      </c>
      <c r="K5013">
        <f>HYPERLINK("https://yourei.jp/台無し", "查看例句")</f>
        <v/>
      </c>
    </row>
    <row r="5014">
      <c r="A5014" t="inlineStr">
        <is>
          <t>滞納</t>
        </is>
      </c>
      <c r="B5014" t="inlineStr">
        <is>
          <t>成功</t>
        </is>
      </c>
      <c r="C5014" t="inlineStr">
        <is>
          <t>読み方：たいのう
［名］(スル)納付する義務のある者が、定められた期間内に金銭や物品を納めないこと。「会費を—する」</t>
        </is>
      </c>
      <c r="D5014" t="inlineStr">
        <is>
          <t>滞納者(13%)；滞納する(7%)；滞納分(3%)；滞納額(2%)；滞納金</t>
        </is>
      </c>
      <c r="E5014" t="inlineStr">
        <is>
          <t>デフォルト；未払い；不払い；不払；不納</t>
        </is>
      </c>
      <c r="F5014" t="inlineStr">
        <is>
          <t>学費滞納；保険料滞納；年貢滞納；滞納整理機構；滞納する者</t>
        </is>
      </c>
      <c r="G5014" t="inlineStr">
        <is>
          <t>滞納家賃</t>
        </is>
      </c>
      <c r="H5014" t="n">
        <v>29</v>
      </c>
      <c r="I5014" t="inlineStr">
        <is>
          <t>その間に電気料金滞納のため送電が停止され運転は休止となってしまう。；どこか一国ぐらいは、いちじるしく滞納してくるだろうと考えていた。；滞納していた支払いもダラーラ側へ支払われ、マシン製造は再開された。；このままだと、来月のあなたの給食代も滞納することになりかねないわよ。；しかし公共料金を滞納しなければならないほど少なくはないはずだ。；これは増大する滞納対策で、納税義務を有する者全てに加入が求められた。；レティシアは家賃の滞納のため住んでいた家を強制的に立ち退かされる。；なお、地方税滞納整理機構、地方税機構などの名称を用いる機関もある。；この経営手法を当時のマスコミが揶揄して物品税の滞納王などと報道された。；そのため怠慢な滞納者への対応は厳しく、容赦なく放校処分にしている。；保険料滞納のため、女王様には新しい保険証が交付されなかったのである。；また、生活保護を受けている世帯では滞納せざるを得ないケースが多いという。；町の財政建て直しと滞納税を一掃するために、有志が無尽講を設立した。；そこであんたが滞納分の全額さえ支払えば、家はあんたのものになってしまう。；滞納者数は10万人近くで、約100人に1人が滞納していた計算となる。；ついに享保19年には地代の滞納がかさんで地主から訴えられてしまう。；滞納すると退去命令の懲戒処分を受けて弁護士資格を失うこともある。；鈴木が帰ったあとで滞納者の名前を調べてみると、鈴木自身も四カ月ぐらい滞納していた。；家賃の滞納が発生すると物件所持者は直ちに支払を催促することになる。；滞納分は支援者である旧吉良町の人材派遣会社社長のMが肩代わりした。；北条家は裕福な家庭ではないから、町会費を長いこと滞納していた。；しかし、有田の大学入学後に会社が倒産、授業料を滞納する事態となった。；金策のため帰郷し、滞納の授業料を納めて学生証を貰つて来たのである。；彼は実際に10代の頃にイギリスから渡米し、ビザを滞納している。；家賃を一年近く滞納してたから、無理もないんですけどね。；ただ1年分の家賃を滞納して、手すりや床板を薪にしていたからです。；そろそろ逃げよう、二年も滞納してるのは、やばい、犯罪かもしれない。；僕は二ヵ月滞納したこともあるのに、たった十日でこの大家は北里さんを追いだしたのだ。；が、不埒千万、人生五十年過ぎてもまだ滞納とは怪しからぬものだ。</t>
        </is>
      </c>
      <c r="J5014">
        <f>HYPERLINK("https://www.weblio.jp/content/滞納", "词义详情")</f>
        <v/>
      </c>
      <c r="K5014">
        <f>HYPERLINK("https://yourei.jp/滞納", "查看例句")</f>
        <v/>
      </c>
    </row>
    <row r="5015">
      <c r="A5015" t="inlineStr">
        <is>
          <t>大半</t>
        </is>
      </c>
      <c r="B5015" t="inlineStr">
        <is>
          <t>成功</t>
        </is>
      </c>
      <c r="C5015" t="inlineStr">
        <is>
          <t>読み方：たいはん
全体の半数を超えていること。半分以上。過半。大部分。副詞的にも用いる。「出席者の—は初心者だ」「構想は—でき上がっている」</t>
        </is>
      </c>
      <c r="D5015" t="inlineStr">
        <is>
          <t>大半は元；大半焼け</t>
        </is>
      </c>
      <c r="E5015" t="inlineStr">
        <is>
          <t>ほぼ；多数；大部分；殆ど；主流</t>
        </is>
      </c>
      <c r="H5015" t="n">
        <v>29</v>
      </c>
      <c r="I5015" t="inlineStr">
        <is>
          <t>現在は普通の大半が藤井寺までの運転となったこともあり停車している。；上位20位の中で大半を占めるのは東京都と埼玉県に所在する駅である。；しかし、ソフト化の際に劇場公開版のみが収録される作品が大半である。；原作の登場人物の大半は登場せず、レギュラーとなるマシンは5台のみ。；また発売された作品もゲーム性の低いマルチメディア作品が大半である。；大半のウィキでは、更新のログから二つの機能を利用することができる。；また後期に放映された大半がアニメオリジナルエピソードとなっている。；特急列車や一部普通列車を除く大半の列車が当駅で系統が分離されている。；大半の作品が毎週更新だが、一部月1更新・隔週更新の作品も存在する。；州内の郡の大半は主に北西ヨーロッパの出身者が住んでいる。；ダーツは様々なゲームが存在するが大半のゲームでは基本動作は共通している。；かつて新大阪駅では、大半の列車が南端にある20番線に発着していた。；日本で流通しているパイナップルの大半はフィリピンからの輸入物である。；州域の大半は田園であり、この落差が州の政治や経済に影響している。；アメリカの空港から来るメキシコ行き航空路の大半が利用している。；路線の大半が国道156号線・国道248号線に沿って敷設されている。；フィジーには300以上の島があり、その大半は小島で占められている。；これらの女性への性暴力の犯罪の大半がラッシュアワーに起きている。；しかしながら、この当時は人口の大半がヨーロッパロシアに居住していた。；ほとんど地下区間での運用となることから、大半の編成が冷房準備車だった。；は多数の互換機も出現したが、大半は知的財産権的に問題があり消滅した。；特に快速・通勤快速の全列車と大半の区間快速には本系列が充当される。；なお、大半の列車が東村山駅で国分寺線や新宿線の列車に接続している。；犯人らの大半は、もともと故国にいた時は宗教的だったわけではない。；ただし買い取ってもらえるのは稀なケースで大半の作品は返却されていた。；同様にイギリスやソ連の大半の戦車にも圧倒的な優位を誇っていた。；札幌移転後、大半の選手別応援歌を除いて応援スタイルがやや変わった。；そのため作品の大半は舞台が同じ都市に限定されている。；玉音放送を聴く周囲の人々の雰囲気などで事情を把握した人が大半だった。</t>
        </is>
      </c>
      <c r="J5015">
        <f>HYPERLINK("https://www.weblio.jp/content/大半", "词义详情")</f>
        <v/>
      </c>
      <c r="K5015">
        <f>HYPERLINK("https://yourei.jp/大半", "查看例句")</f>
        <v/>
      </c>
    </row>
    <row r="5016">
      <c r="A5016" t="inlineStr">
        <is>
          <t>対比</t>
        </is>
      </c>
      <c r="B5016" t="inlineStr">
        <is>
          <t>成功</t>
        </is>
      </c>
      <c r="C5016" t="inlineStr">
        <is>
          <t>読み方：たいひ
［名］(スル)
１二つのものを並べ合わせて、違いやそれぞれの特性を比べること。「両者を—する」
２二つの性質あるいは量の違ったものを並べると、その違いが著しくなる現象。コントラスト。「明暗の—」
３離れた地域にある地層が、互いに同時代のものかどうかを決めること。鍵(かぎ)層や示準化石を用いて行う。
→対照［用法］</t>
        </is>
      </c>
      <c r="D5016" t="inlineStr">
        <is>
          <t>対比される(13%)；対比させる(3%)；対比語；対比表；対比すれ</t>
        </is>
      </c>
      <c r="E5016" t="inlineStr">
        <is>
          <t>比較；参照；比べる；対照；較べ</t>
        </is>
      </c>
      <c r="F5016" t="inlineStr">
        <is>
          <t>同時対比；鋭い対比；著しい対比；同位対比；前年対比</t>
        </is>
      </c>
      <c r="G5016" t="inlineStr">
        <is>
          <t>対比列伝；対比染色</t>
        </is>
      </c>
      <c r="H5016" t="n">
        <v>29</v>
      </c>
      <c r="I5016" t="inlineStr">
        <is>
          <t>そしてそれは、自然物を対象にした生産や製作などの行為と対比される。；その看板はこちらの岸の大学眼薬のお爺さんと対ひ合つてゐるのだつた。；同じものをまとめて生産するロット生産と対比して考えることができる。；そこは外科の三等室で、白いベッドが五台二列に対ひ合つて並んでゐた。；この対比はこれらの層で報告された膨大な数の貝虫に支持されている。；その意味では、立体交差と対比されている概念・用語ということになる。；対比されている概念は、交流つまり周期的に方向が変化する電流である。；中間部では消滅する肉体と、天上で輝く魂の対比が旋律にも反映される。；これにより探知時の静と発見後の動の対比が恐怖を大きく演出している。；権力を対比させる対象に据えた場合、大衆は権力の影響を被る側である。；彼は最後の壁を、階段部分の他の絵と対比させることを意図した。；哲学、法学などの分野ではフランスやドイツの大陸諸国と対比される。；対し、一般的に言われている文官登用試験は対比して文科挙といわれる。；その孫はペルセウスであるが、 他にもこの対比を追求した論がみられる。；多量に用いられた石の白との色の対比を計算したものとされる。；しばしば分裂した北王国と対比して南王国と呼ばれることもある。；この理論により順応・対比・補色残像などを説明することが可能である。；初年兵たちは三脚並んでる大机を挟んで、両側に対ひ合つて腰をおろした。；サルトホルムが「塩の島」という意味なのでそれに対比して命名された。；奇しくもこれは懲罰委員会の発した懲罰理由とも対比をなす発言である。；この語と対比させて用いられる語に erdaraというものがある。；これは綿密かつ巨大な計画で将来を事前に見通そうとする態度と対比される。；当人同士は、そうした周囲の対比をさほど気にもかけていない様子である。；原子力動力との対比のために通常動力での潜水艦の特徴を以下に示す。；胃がんの場合は、TNM分類との対比で以下のように定義されている。；またそれと対比して、エマは何も感じていない様子が明確に描き分けられている。；この言葉は常に他の国からの影響と対比して用いられる。；その体制をトロコフォアと対比させる説が唱えられたこともある。；神罰との対比でよく誤解されているが、仏が罰を与えるのではない。</t>
        </is>
      </c>
      <c r="J5016">
        <f>HYPERLINK("https://www.weblio.jp/content/対比", "词义详情")</f>
        <v/>
      </c>
      <c r="K5016">
        <f>HYPERLINK("https://yourei.jp/対比", "查看例句")</f>
        <v/>
      </c>
    </row>
    <row r="5017">
      <c r="A5017" t="inlineStr">
        <is>
          <t>代表</t>
        </is>
      </c>
      <c r="B5017" t="inlineStr">
        <is>
          <t>成功</t>
        </is>
      </c>
      <c r="C5017" t="inlineStr">
        <is>
          <t>読み方：だいひょう
［名］(スル)
１その中の一部であるものが全体をよく表していること。また、そのもの。「日本を—する風景」「若者を—する意見」
２法人・団体や多数の人に代わって、その意思を他に表示すること。また、その人。「卒業生を—して答辞を述べる」「世界会議の日本—」
３その技術や能力が特にすぐれているということで、ある集団の中から選ばれた人。「—選手」</t>
        </is>
      </c>
      <c r="D5017" t="inlineStr">
        <is>
          <t>代表する(15%)；代表的(14%)；代表取締役社長(6%)；代表例；代表サッカー選手</t>
        </is>
      </c>
      <c r="E5017" t="inlineStr">
        <is>
          <t>例；説明；長；表現；表す</t>
        </is>
      </c>
      <c r="F5017" t="inlineStr">
        <is>
          <t>本代表；共同代表；別代表；アメリカ合衆国代表；代表作</t>
        </is>
      </c>
      <c r="G5017" t="inlineStr">
        <is>
          <t>代表取締役；代表者；代表的；代表チーム；代表曲</t>
        </is>
      </c>
      <c r="H5017" t="n">
        <v>29</v>
      </c>
      <c r="I5017" t="inlineStr">
        <is>
          <t>たとえばイチョウから精子が発見されたのはその代表的なものであろう。；用語は数多く存在するが、その中でも代表的なもののみ以下に挙げる。；この時代を代表する動きはドイツではじまった薔薇十字団の活動である。；理想気体に成立する法則として代表的なものには次のものがあげられる。；能力の証明を用いたで代表的なものは、電子署名を用いた方法である。；同時期にクラブの選手が各国代表に選出されるようになった。；その最も代表的なものとして挙げられるのが保守主義と進歩主義である。；代表的な実時間処理による動画生成の用途はコンピュータゲームである。；前年の2014年にはタリバーンの代表団が訪中したと報じられていた。；現在ではインターネットに代表される電子メディア上で表現されるものもある。；それらの多くは現代でもロシアの文化を代表するものとして親しまれている。；他にも様々な相転移があり、その代表的な例として以下のものがある。；エコール・デ・ボザールの講堂壁画はその代表的な作品のひとつである。；メッセージ認証の代表的な方式はメッセージ認証符号を用いたものである。；音が存在しないか一般的でない漢字については、訓が代表音訓とされた。；並行して学校での試合にも参加し、ベッカムは地区と州の代表に選出されている。；またバロックを代表する画家ヨハネス・フェルメールを高く評価していた。；いずれも国民から直接選挙され、全国民を代表する国会議員で構成される。；劇場公開された代表的な作品としては次のようなものがある。；また、7月27日に海部は自由改革連合を結成して代表に就任している。；巨視的な条件は統計集団と呼ばれ、代表的なものとして が挙げられる。；こうして、ボーマルシェを代表とした劇作家協会が誕生したのである。；レースの種類として代表的なものは以下のようなものである。；ここでは特に学術的な議論の的になる代表的な点を挙げる。；本節では、そうしたプラスアルファの性質のうち代表的なものを紹介する。；ここでは代表的なものを挙げるが、違っているものもある。；参議院と同じく全国民を代表する、選挙により選出された議員で組織される。；代表元は同値なものでありさえすれば、他のものに取り替えることができる。；途中出場ながら2得点を挙げ、この試合をきっかけに代表に定着した。</t>
        </is>
      </c>
      <c r="J5017">
        <f>HYPERLINK("https://www.weblio.jp/content/代表", "词义详情")</f>
        <v/>
      </c>
      <c r="K5017">
        <f>HYPERLINK("https://yourei.jp/代表", "查看例句")</f>
        <v/>
      </c>
    </row>
    <row r="5018">
      <c r="A5018" t="inlineStr">
        <is>
          <t>大部</t>
        </is>
      </c>
      <c r="B5018" t="inlineStr">
        <is>
          <t>成功</t>
        </is>
      </c>
      <c r="C5018" t="inlineStr">
        <is>
          <t>読み方：たいぶ
《「だいぶ」とも》
１一つの書物などの冊数や巻数の多いこと。また、そのページ数・紙数の多いこと。大冊。「—の著作」「—の書類」
２大部分。ほとんど全部。「火災により古記録の—を失う」</t>
        </is>
      </c>
      <c r="D5018" t="inlineStr">
        <is>
          <t>大部なもの(4%)；大部旗(3%)；大部荘；大部な書物；大部な著作</t>
        </is>
      </c>
      <c r="E5018" t="inlineStr">
        <is>
          <t>多数；大半；大部分；殆ど；主流</t>
        </is>
      </c>
      <c r="F5018" t="inlineStr">
        <is>
          <t>五大部；播磨国大部</t>
        </is>
      </c>
      <c r="G5018" t="inlineStr">
        <is>
          <t>大部屋；大部屋俳優；大部屋女優；大部由美；大部不破麻呂</t>
        </is>
      </c>
      <c r="H5018" t="n">
        <v>29</v>
      </c>
      <c r="I5018" t="inlineStr">
        <is>
          <t>彼の大部な著作はみんな一定の生活条件のもとであり、これもそうでした。；今日の東京の劇場の大部は西洋の新らしい近世の劇場の形を採入れました。；大部旗の方は広げると十帖近い大きさで、確かに補助がいるはずだった。；敵の大部は既にフイ高地を超越して、深く背後に進入していたのである。；さきほどから、大部、さういふ患者さんが見えるからどうも不思議ですよ。；要するに三味線の音の大部は胴に張った猫の皮から出ているのである。；そこへ毎日四五人の若い作家連が寄って、分担して大部の翻訳物に従事していた。；そのため大部旗はポールに巻きつけられ一年生が全員でしずしずと運んだ。；茶色い大部の本は開かれないまま古びてしまったかのように見える。；非常に大部のものの場合、索引が独立した一巻となっているものも存在する。；彼は大部長いこと病気していたので、私は度々病院へ見舞に行った。；しかし開かれているのは例の大部の小説ではない。；原生生物や原核生物の進化と分類に関する大部の論文を多数著している。；いつの間にこの大部の経巻等を夫人が仕度したかと参列者は皆驚いた。；靺鞨は7大部に分かれており、黒水靺鞨はもっとも強健と言われていた。；中村清太郎氏が、ここで写した画の複写をもってきたので、大部わかる。；更に一つの壁は書棚で、大部の和洋の全集叢書事典類が収められている。；翌日、大部意識もはっきりして自分の存在が、ひどくあわれっぽく感じた。；彼はまた、農業の哲学的・文化的な重要性についての大部の論文を発表している。；そして自分の理論の大部は既に久しい以前に其存在を失つて仕舞つてゐる。；どちらも半紙百数十枚もありそうな大部なものであった。；かうでもしなければ、私には到底この大部の小説を讀む氣になんかなれぬ。；三年以下の部員は、大部旗のもと整列して幹部とOBの到着を待っている。；何となく人を馬鹿にしたような、キチガイジミた感じのする大部の原稿である。；最も敏感で自負に富む青年層の大部が常にその中心を形づくつてゐる。；このように、大部の表では、縦の区切りが数段階に渡ることがある。；夜明けにはまだ大部間のある時、何かに驚いた舟夫がドクタア・マレーを呼んだ。；なお、報恩抄は日蓮の著述の中でも五大部の1つされる重要な書物である。；こうしなければ全部で六百巻からなる大部の教典を誦みきることはできないのだ。</t>
        </is>
      </c>
      <c r="J5018">
        <f>HYPERLINK("https://www.weblio.jp/content/大部", "词义详情")</f>
        <v/>
      </c>
      <c r="K5018">
        <f>HYPERLINK("https://yourei.jp/大部", "查看例句")</f>
        <v/>
      </c>
    </row>
    <row r="5019">
      <c r="A5019" t="inlineStr">
        <is>
          <t>だいぶ</t>
        </is>
      </c>
      <c r="B5019" t="inlineStr">
        <is>
          <t>成功</t>
        </is>
      </c>
      <c r="C5019" t="inlineStr">
        <is>
          <t>読み方：だいぶ
［名］(スル)
１水中に飛び込むこと。また、水中にもぐること。
２宙に身を躍らせること。
３飛行機が急降下すること。
[補説]書名別項。→DIVE!!</t>
        </is>
      </c>
      <c r="D5019" t="inlineStr">
        <is>
          <t>だいぶ離れ；だいぶ違う；だいぶよく；だいぶ長い；だいぶ遅く</t>
        </is>
      </c>
      <c r="E5019" t="inlineStr">
        <is>
          <t>最も；非常；非常に；大変；実に</t>
        </is>
      </c>
      <c r="F5019" t="inlineStr">
        <is>
          <t>まだだいぶ；だいぶまえ；だいぶ落ち着い；だいぶ遠く；だいぶ暗く</t>
        </is>
      </c>
      <c r="H5019" t="n">
        <v>29</v>
      </c>
      <c r="I5019" t="inlineStr">
        <is>
          <t>窓の障子はだいぶ高くなった日の光で前よりもさらに黄色く輝いていた。；また、前作に比べて性描写がだいぶソフトな上に回数が抑えられている。；アメリカ側は国際海運と保険の面でイギリスにだいぶ遅れをとっていた。；K君は何でも築港の調査に来ているとか云って、だいぶ金を持っていた。；しばらくきてみなかった間に、町のようすもだいぶ変わっていました。；靴自身も全体にだいぶひどくなっているから一つ新調することにした。；ランドマークとなる塔は教会全体が完成するだいぶ前に完成していた。；ここは温泉もあり、最近だいぶ発展したが、以前はひどい山奥であった。；日本のマルキシストなどとはだいぶちがった感じのする人たちであった。；もうだいぶ前に出ていったのだから、そろそろ帰って来ていい時分である。；しかしその時その砌りの長蔵観と比較して見るとだいぶ違ってるようだ。；頭のなかで考えた友達と眼の前へ出て来た友達とはだいぶ違う。；だいぶ手が入っているようですが、私にはなんとなく見覚えがあります。；しかし姫君がお生まれになったことで私もだいぶ自信ができてきた。；あれは始めは一乗止観院と云って、延暦寺となったのはだいぶ後の事だ。；榊や御幣のやうなものが、既にだいぶ前からそこの縁側に置いてあつた。；太郎はもうだいぶ中国の言葉もわかるようになっていたのです。；この取り壊し改築のおかげで屋敷維持費をだいぶ抑えることに成功した。；さすがお顔がひろいだけあって、だいぶさまざまなのをお集めですな。；勉強にもだいぶ力を入れながらバレーボール部の活動をする学生生活だった。；そこまで持って行くにはだいぶ苦心惨憺たるものがあったのだろう。；その後猫にもだいぶ逢ったがこんな片輪には一度も出会わした事がない。；日はもうよほど高く三本の青い日光の棒もだいぶ急になりました。；この僕の昔の中には僕の今もだいぶはいっているようだね。；初めは何でもないことだったが、いつもとはだいぶ調子が異っていた。；二人が水蜜桃を食べているうちにだいぶ親密になっていろいろな話を始めた。；そのほかにも年貢収納の関係で大地主たちと不正の事実がだいぶあった。；その寺へ行く路の方にもだいぶ家の建つてゐるのが目についた。；どうかこうか掃除がひととおり済んだ時は二人ともだいぶ親しくなった。</t>
        </is>
      </c>
      <c r="J5019">
        <f>HYPERLINK("https://www.weblio.jp/content/だいぶ", "词义详情")</f>
        <v/>
      </c>
      <c r="K5019">
        <f>HYPERLINK("https://yourei.jp/だいぶ", "查看例句")</f>
        <v/>
      </c>
    </row>
    <row r="5020">
      <c r="A5020" t="inlineStr">
        <is>
          <t>台風</t>
        </is>
      </c>
      <c r="B5020" t="inlineStr">
        <is>
          <t>成功</t>
        </is>
      </c>
      <c r="C5020" t="inlineStr">
        <is>
          <t>読み方：たいふう
北太平洋西部の熱帯海上、北緯5〜20度付近で発生し、最大風速が毎秒17.2メートル以上の熱帯低気圧。8月、9月に多い。《季秋》「—の心支ふべき灯を点ず／楸邨」
[補説]気象庁による台風の強さと大きさの階級区分は次の通り。台風の強さ階級最大風速強い33m/s（64ノット）以上 44m/s（85ノット）未満非常に強い44m/s（85ノット）以上 54m/s（105ノット）未満猛烈な54m/s（105ノット）以上台風の大きさ階級風速15m/s以上の半径大型（大きい）500km以上 800km未満超大型（非常に大きい）800km以上</t>
        </is>
      </c>
      <c r="D5020" t="inlineStr">
        <is>
          <t>台風接近；台風被害；台風限りで使用；台風通過；台風等</t>
        </is>
      </c>
      <c r="E5020" t="inlineStr">
        <is>
          <t>颱風；颶風</t>
        </is>
      </c>
      <c r="F5020" t="inlineStr">
        <is>
          <t>カスリーン台風；上陸台風；台風常襲；台風発生数；台風通過後</t>
        </is>
      </c>
      <c r="G5020" t="inlineStr">
        <is>
          <t>台風委員会；台風の目；台風情報；台風一過；台風銀座</t>
        </is>
      </c>
      <c r="H5020" t="n">
        <v>29</v>
      </c>
      <c r="I5020" t="inlineStr">
        <is>
          <t>台風の多い日もしくは風の強い日といわれるが、必ずしも事実ではない。；台風の通過・被害が多いが、九州のほかの県と比べると少ない方である。；しかし、その時だけはそこから入ってくる冷たい風のことを忘れていた。；同便が香港に到着したころ台風は空港の北東50kmに位置していた。；テレビやラジオなどでこの情報をもとに報道される台風の情報を指すことも多い。；台風の右側は台風自身の風に台風の移動速度が加えられ、風が強くなる。；この時の台風の模様は撮影され、ストーリー上急遽役割が与えられた。；逆に台風が東進してハリケーンと呼ばれるようになることも稀にある。；しかし建築中の同年7月9日に台風のため倒壊したと伝えられている。；その台風はアジア各国に甚大な被害をもたらし、様々な影響を与えた。；この台風は中国を中心に各地に大きな被害をもたらして多数の死傷者を出した。；夏から秋にかけては台風の通り道になることが多く影響を受けやすい。；ただし前作ほどの広さはなく、台風や吹雪などで倒れてしまう可能性がある。；このためか、PK版は初期設定で台風の発生を無しにすることも出来る。；台風は9月1日に台湾に上陸後、台湾海峡を経て中国福建省へと再上陸。；台風の命名やフェーン現象に風炎の字を当てたことでも知られる。；勢力が強い台風の場合は、雨と風の両方で甚大な被害が出ることも少なくない。；台風接近など列車の運行に影響が予想される場合に運転を取りやめることである。；雲が発達する割には台風本体接近時には雷を伴うことは少ない。；台風は18日18時に大型で強い勢力となって沖縄の南海上を北上した。；この雲の目の外壁は同時に目を囲む台風そのものの広大な雲の内壁でもある。；台風で犠牲になった児童らを偲び、1981年に玄関横に碑が建立された。；台風シーズンになると、毎年のように数週間以上船が動かせなくなることもある。；台風シーズンはフェーン現象によって異常な高温を観測することがある。；一方で台風の発生数や日本への接近数、日本への上陸数は平年並みであった。；転向とは西寄りに進んでいた台風が東寄りまたは北寄りに進路を変えることである。；地震や台風での損傷を修理するため、幾度と修理が行われている。；地震・台風等の天災や、事故・事件等の人災にあった人が含まれる。；突然どッという冷めたい風が花の下の四方の涯から吹きよせていました。</t>
        </is>
      </c>
      <c r="J5020">
        <f>HYPERLINK("https://www.weblio.jp/content/台風", "词义详情")</f>
        <v/>
      </c>
      <c r="K5020">
        <f>HYPERLINK("https://yourei.jp/台風", "查看例句")</f>
        <v/>
      </c>
    </row>
    <row r="5021">
      <c r="A5021" t="inlineStr">
        <is>
          <t>大部分</t>
        </is>
      </c>
      <c r="B5021" t="inlineStr">
        <is>
          <t>成功</t>
        </is>
      </c>
      <c r="C5021" t="inlineStr">
        <is>
          <t>読み方：だいぶぶん
ほとんどの部分。副詞的にも用いる。大半。おおかた。「出席者の—が賛成する」「仕事は—終わった」</t>
        </is>
      </c>
      <c r="D5021" t="inlineStr">
        <is>
          <t>ほぼ；多数；大半；殆ど；大勢</t>
        </is>
      </c>
      <c r="F5021" t="inlineStr">
        <is>
          <t>一部または大部分；近畿大部分</t>
        </is>
      </c>
      <c r="H5021" t="n">
        <v>29</v>
      </c>
      <c r="I5021" t="inlineStr">
        <is>
          <t>内容の大部分は後半に放送するいくつかの小さなコーナーで占められる。；数十年後も、通信や情報の改革が地元経済の大部分を活性化させている。；バルカンの大部分は北西から南東に向けて走る山岳地帯に覆われている。；レバノンに存在する劇場の大部分は首都ベイルートに拠点を構えている。；中世にはこの辺りから国分氏が興って今の仙台市域の大部分を支配した。；しかし竜が泉を守っていた為派遣された家来たちの大部分がこの竜に殺された。；この論に立つ場合、スペイン人は諸民族の大部分を統合する概念となる。；機体の大部分を占めるガス袋に水素もしくはヘリウムが充填されている。；今日の人口の大部分はあの当時子どもだったか、まだ生まれてもいませんでした。；コロラド州の大部分の住民はこの都市化の進んだ一帯に暮らしている。；当身技の大部分は、腕や脚でもって掛けられるが、頭部もときに使われる。；これらは以前だと大部分が小型の作品で発見されていた。；現存するマヤの写本は、大部分が破損したものを含めて4冊のみである。；東南極は大陸の大部分を占める広大かつ標高が高く、寒冷な領域である。；日付は宗教ごとに決まった暦を使用するため、大部分は移動祝日になる。；現生カメ類の種の大部分を含む潜頸類が発展したのは、ジュラ紀である。；教育制度の大部分は、教育・技能大臣を通じた政府の指導の下にある。；次の長編はイングランドにいたころに構想ができ、ローマで大部分を執筆した。；しかしながら、それ以外の大部分の動物では口とは別に肛門がある。；北部の沿岸低地地方は文化的であり、人口の大部分はこの地域に居住している。；彼の有名な作品の大部分はこの時代に作られている。；この過程の大部分は、クラックが巨視的に成長していない段階で進む。；その塔からは、ゾンネンベルクの大部分が現存する市壁を見ることができる。；教養部が解体されたのちも全学教育科目の大部分はこの地区で行われていた。；人類の歴史の大部分は石器時代であり、およそ200万年にわたっている。；この文法的な複雑さの大部分は現代アイスランド語にも受け継がれている。；現在の西洋大部分の言語では貴婦人を意味する語で呼ばれる。；徒弟の大部分は大工場で雇用されており、いくらか良い条件で働いていた。；大部分の区域は中世末まで愛甲郡の一部とされ、奥三保と呼ばれた。</t>
        </is>
      </c>
      <c r="J5021">
        <f>HYPERLINK("https://www.weblio.jp/content/大部分", "词义详情")</f>
        <v/>
      </c>
      <c r="K5021">
        <f>HYPERLINK("https://yourei.jp/大部分", "查看例句")</f>
        <v/>
      </c>
    </row>
    <row r="5022">
      <c r="A5022" t="inlineStr">
        <is>
          <t>大変</t>
        </is>
      </c>
      <c r="B5022" t="inlineStr">
        <is>
          <t>成功</t>
        </is>
      </c>
      <c r="C5022" t="inlineStr">
        <is>
          <t>読み方：たいへん
［名・形動］
１重大な事件。大変事。一大事。「国家の—」
２物事が重大であること。また、そのさま。「—な失敗をする」「大型台風の通過で—な被害を受ける」
「弥次さんおめえ何のまねをしたのだ—をやらかしたぜ」〈魯文・西洋道中膝栗毛〉
３苦労などが並々でないこと。また、そのさま。「—な目にあう」「毎日の暮らしが—だ」
[派生]たいへんさ［名］
［副］程度のはなはだしいさま。非常に。たいそう。「—おもしろい」「—失礼しました」
→大層(たいそう)［用法］</t>
        </is>
      </c>
      <c r="D5022" t="inlineStr">
        <is>
          <t>大変な騒ぎ；大変な人気；大変な仕事；大変重要；大変な苦労</t>
        </is>
      </c>
      <c r="E5022" t="inlineStr">
        <is>
          <t>よく；特に；最も；非常；強い</t>
        </is>
      </c>
      <c r="F5022" t="inlineStr">
        <is>
          <t>大変貴重；大変面白い；大変珍しい；さあ大変；大変ご迷惑</t>
        </is>
      </c>
      <c r="G5022" t="inlineStr">
        <is>
          <t>大変身；大変形二十・十二面体；大変な結婚；大変だァ</t>
        </is>
      </c>
      <c r="H5022" t="n">
        <v>29</v>
      </c>
      <c r="I5022" t="inlineStr">
        <is>
          <t>日本国内で現役のバスが外国まで足を伸ばした大変珍しい事例である。；日本としては対米関係などを考えると大変なことで、出来るわけはない。；河川名称に個人の名が付けられるのは、日本では大変珍しいとされる。；彼女は夫と共に詩や音楽などの芸術にも大変な関心を持っていたようである。；コーチも監督が巨人の話ばかりするから大変だったと思いますよ。；歌の実演や地方興行などと撮影のスケジュール調整が大変だったという。；日本の総合商社はマーチャントバンクに大変類似しているとも言われる。；また、動物の成長速度や寿命、NGの多さで撮影は大変といわれている。；優秀なマリはたびたびこの役を指名されたが、それは大変な屈辱だった。；大変視力が鋭い人が25個もの星を肉眼で見たとする記録が残されている。；漢語は大変音節上の制約が多い言語であるため、多数の例外が存在する。；いろいろうまくいかないことだらけで晋也さんも大変だったと思う。；ウルトラマリンを使った肖像画を描いてもらうことは大変な贅沢だった。；好男子であったので女性には大変もてたというが終生妻は娶らなかった。；当時の学者としては大変に謙虚で、自らの功績を語ることは少なかった。；特に80年代以降は大変な人気となりチケットの入手が困難出会った。；上の1件に限らず、週刊新潮は、訴えられることの大変多い雑誌である。；乾燥すると辛みは薄くなるが、そのまま口に入れるのは大変危険である。；非常に大変だったが、いろいろな反応を見られて良かった、と語っている。；鉄道にも囲まれており、近距離・遠距離の移動ともに交通の便は大変良い。；大変忘れっぽく、嫌なことはもちろん重要なこともすぐ忘れてしまう。；まとまった集落からは外れており、列車が出た後は大変静かである。；十六世名人でかつ日本将棋連盟会長であったこともあり、著書は大変多い。；マクダ夫人はこれに感謝し、ヒトラーに大変な信頼を寄せることとなる。；シリーズを通して、大変な高難易度で知られている作品でも知られている。；サルスエラやフラメンコなど古いスペインの伝統は現在も大変人気がある。；各個体は小さいが、集団で活動するため、攻撃を受けると大変にうるさい。；このたび立派に結婚することができ、自分も良子も大変喜んでいる。；上り下りの品川寄りはホームの幅が大変狭く電車が通過する際には注意が必要。</t>
        </is>
      </c>
      <c r="J5022">
        <f>HYPERLINK("https://www.weblio.jp/content/大変", "词义详情")</f>
        <v/>
      </c>
      <c r="K5022">
        <f>HYPERLINK("https://yourei.jp/大変", "查看例句")</f>
        <v/>
      </c>
    </row>
    <row r="5023">
      <c r="A5023" t="inlineStr">
        <is>
          <t>大便</t>
        </is>
      </c>
      <c r="B5023" t="inlineStr">
        <is>
          <t>成功</t>
        </is>
      </c>
      <c r="C5023" t="inlineStr">
        <is>
          <t>読み方：だいべん
肛門から排出される、食物のかすや腸粘膜からの分泌物などのかたまり。便。糞(くそ)。</t>
        </is>
      </c>
      <c r="D5023" t="inlineStr">
        <is>
          <t>大便所(5%)；大便中(3%)；大便用(3%)</t>
        </is>
      </c>
      <c r="E5023" t="inlineStr">
        <is>
          <t>糞；くそ；ばば；糞便；うんこ</t>
        </is>
      </c>
      <c r="G5023" t="inlineStr">
        <is>
          <t>大便の色</t>
        </is>
      </c>
      <c r="H5023" t="n">
        <v>29</v>
      </c>
      <c r="I5023" t="inlineStr">
        <is>
          <t>私の知っている患者には、白い壁に、毎日、大便で名前を書く人もいた。；この他トイレがあり、手前に男子用、奥に大便用の便器が置かれていた。；大便中には確かに存在せず私は汗の中に見つけることができなかった。；部屋の便所で大便をした時、ふと自分の出した排泄物をじっと見てみた。；どうやら大便本体を出すまではわたしの仕事は済まじ、と思っているらしい。；そのため閉塞性黄疸では大便は灰色になる代わりに尿は暗黄色になる。；大便からの連想は確実に二十一世紀にも受け継がれていくようである。；院長先生は、大便にまざって出てくるのを待つ以外にないと言った。；しかも、何という不幸なことか、その頃になって大便を催して来たのである。；高橋警視が四つ並んでいる大便用のボックスの扉を片っぱしからあけた。；小便のあと、その気はなかったが便器に腰を掛けて、大便も少しだけ出した。；大便や小便は、事実吾々に一つの美感を抱かせるものではないでしょうか?；それまでは、くみ取り式だから、排泄した大便は堆積した便の上に落ちる。；植村がみんなの前で、堂々と大便をすることができるまでには半月かかった。；これに加え、汗、大便およびこれらの分解産物により悪化することがある。；いつ、小便が出るのか、大便が出るのか、自分でもわからなくなっていたらしい。；なぜ学校の便所で大便をしてはいけなかったのだろう。；休み時間は限られているからその時でも吟子は一つだけある大便用に入らなければならない。；小用ができるように、仕度はしてあるが、大便のための用意はない。；見ると、ちょうどその前の大便所だけ扉が開いている。；大便でもするかのごとく腰を落とし膝を広げている。；大便や尿に対する感覚が失われて、失禁が続くようになってから三日経っていた。；白いご飯を食べても黄色い大便が出るのは、この胆汁が黄色いからである。；このため排水口の穴や穴の近くに大便を落下させないと、水で流すことが困難になる。；ラブコメ親善大便を名乗った一日は女々さん尽くしで終わろうとしている。；客が入る前のトイレに人影は少なく、大便の場合、北嶋は常にこちらのほうを使っていたのである。；伊蔵が、部屋の隅に座ったまま、ズボンの中に大便を垂れ流していたのである。；だから実際に室外に出るのは、ほとんどが大便のためだった。；彼国の大便所は、家の内にあるものも船中にあるものも、其模様少しも替らず。</t>
        </is>
      </c>
      <c r="J5023">
        <f>HYPERLINK("https://www.weblio.jp/content/大便", "词义详情")</f>
        <v/>
      </c>
      <c r="K5023">
        <f>HYPERLINK("https://yourei.jp/大便", "查看例句")</f>
        <v/>
      </c>
    </row>
    <row r="5024">
      <c r="A5024" t="inlineStr">
        <is>
          <t>代弁</t>
        </is>
      </c>
      <c r="B5024" t="inlineStr">
        <is>
          <t>成功</t>
        </is>
      </c>
      <c r="C5024" t="inlineStr">
        <is>
          <t>読み方：だいべん
［名］(スル)
１本人に代わって他の人が債務を弁償すること。「修理費用を—する」
２事務の代理をすること。「—業」</t>
        </is>
      </c>
      <c r="D5024" t="inlineStr">
        <is>
          <t>代弁する(31%)；代弁者(9%)；代弁人(3%)</t>
        </is>
      </c>
      <c r="F5024" t="inlineStr">
        <is>
          <t>代弁する形；代弁するよう；代弁するもの</t>
        </is>
      </c>
      <c r="H5024" t="n">
        <v>29</v>
      </c>
      <c r="I5024" t="inlineStr">
        <is>
          <t>猫の気持ちになり、猫の言葉を人間の言葉に直して代弁してみたまえ。；同時に彼の住む地域の特別な利益を代弁することにも熱心に務めた。；侯外廬は戦国時代に疲弊する農業共同体の農民思想の代弁だと主張した。；俺の代わりに怒りで代弁する二人、それはおかしい、間違っているんだ。；キースの怒りと悲しみは、多くのロック・ファンの心情を代弁していた。；一疋の白い犬の死は、たまたま彼の別離の情を代弁していたに過ぎない。；それを脇から見ていた六太は、くつくつと笑いながら主の心境を代弁した。；湯浅の奉答は、当時のごく一般的な日本側の感覚を代弁するものだった。；「あんな神経をもちたいものだ」 とマノリ博士は、一同の代弁をした。；また自然主義作家であるアマリー・スクラムも女性の声の代弁に務めた。；その言葉は、お千絵の秘している心を代弁してくれるようであった。；「コーヒーはいい」 と及川は、ぼくの気持ちを代弁するように言った。；それはまるで、ボクの気持ちを代弁するかのような、清々しい光だった。；その声は正に庶務課全員の声を代弁していると言ってよかっただろう。；男臭さやそこにあるキャラクターの思い熱さを代弁して伝えていく役割とのこと。；つまり作者は登場人物をして作者自身の思想なるものを、代弁させているようです。；その言葉は残りの隊員たちの気持ちを代弁しているようだ。；インスキップが話しはじめたが、そいつは全員の気持を代弁したものだった。；軍隊の立場を代弁・代表していたのはトマス・ハリソンであった。；ペンキ屋は、アメリカ水兵の空想力を背一杯代弁して腕をふるっていた。；おれはすっかり自惚れて、ウルの代弁をしているつもりになっていた。；どうかしたのかと思って聞いてみると、もうひとりの彼氏がこう代弁してくれた。；その赤が言いたかったことを代弁するように、逸勢が口を開いた。；サウスカロライナの仲間代議員と同様に、活発に南部の利益を代弁した。；吾朗のその切迫したようなことばは、和子のいまの気持ちを代弁していた。；嘗て無いほどに怒気を孕ませた言葉は、そのまま志貴の代弁でもあった。；お袖の言葉が、杉江と細野の二人を代弁するかのように思いだされた。；それはそのままみんなの評価を代弁するかのようだった。；彼女の台詞は全員の言葉を代弁しているのかもしれなかった。</t>
        </is>
      </c>
      <c r="J5024">
        <f>HYPERLINK("https://www.weblio.jp/content/代弁", "词义详情")</f>
        <v/>
      </c>
      <c r="K5024">
        <f>HYPERLINK("https://yourei.jp/代弁", "查看例句")</f>
        <v/>
      </c>
    </row>
    <row r="5025">
      <c r="A5025" t="inlineStr">
        <is>
          <t>逮捕</t>
        </is>
      </c>
      <c r="B5025" t="inlineStr">
        <is>
          <t>成功</t>
        </is>
      </c>
      <c r="C5025" t="inlineStr">
        <is>
          <t>読み方：たいほ
［名］(スル)
１人の身体に直接力を加えて身柄を拘束すること。
２検察官などの捜査機関が裁判官の発する令状（逮捕状）で被疑者を引致し、一定期間抑留するための強制手段。現行犯は、だれでも逮捕状なしに逮捕できる。「真犯人を—する」</t>
        </is>
      </c>
      <c r="D5025" t="inlineStr">
        <is>
          <t>逮捕される(8%)；逮捕後；逮捕しよ；逮捕状；逮捕直後</t>
        </is>
      </c>
      <c r="E5025" t="inlineStr">
        <is>
          <t>占領；攻略；捕獲；拿捕；拿</t>
        </is>
      </c>
      <c r="F5025" t="inlineStr">
        <is>
          <t>全員逮捕；次々と逮捕；緊急逮捕；逮捕令；ムッソリーニ逮捕</t>
        </is>
      </c>
      <c r="G5025" t="inlineStr">
        <is>
          <t>逮捕者；逮捕令状；逮捕歴；逮捕術；逮捕容疑</t>
        </is>
      </c>
      <c r="H5025" t="n">
        <v>29</v>
      </c>
      <c r="I5025" t="inlineStr">
        <is>
          <t>これも同じ汚職事件に関与した疑いで逮捕される直前の出来事であった。；所持していると逮捕される可能性もある場合があり注意が必要である。；アドルフ・ヒトラーが私の逮捕を命じたなんて話が信用できると思うかね?；新たに逮捕された共犯者の裁判員裁判の判決でも、同様の認定となった。；これらの抗日運動で戦死又は逮捕殺害された者は1万人余りとの説もある。；その後、奥田は友人宅へ泊まり、翌日自宅に帰ったところを逮捕された。；以後、儀式の話をしただけで、彼らは白人に逮捕される状況となった。；そしてとりわけ田中逮捕に憤りを見せたのが主を逮捕された田中派であった。；しかし四人組が逮捕されると一転して彼らを批判する詩を発表した。；まず県に属する県尉と路・州に属する巡検とが犯罪者の逮捕に当たる。；しかし主な活動家は逮捕され、都市部では黒人居住区が潰されていった。；オズワルドが逮捕されたという報道が流れてわずか2分後のことであった。；しかし前述のように彼もまた芋蔓式にロシア官憲に逮捕されている。；そうしなかった場合、不敬罪に問われ警察官に逮捕される場合がある。；その後、殺人をくり返し数回逮捕されたが、その度に無罪を勝ち取った。；イギリスでは、批判的な活動家がロンドンにある店舗を爆破し、逮捕された。；共産主義青年団にも加入し、1934年には逮捕・入獄を経験している。；この事件の際に7日から翌日8日にかけて現地警察がデモ参加者を逮捕。；それらは全員逮捕されたのだが、うち1人が仲間を裏切って自白した。；ただし、自民党や民主党の支援者も同様の行為を行い、逮捕されている。；当局はこれを問題視し、5月11日に不審者の逮捕と拷問が認められた。；翌年になって犯人は逮捕されたが、絵画は既に焼却されていた。；国政誹謗の罪を着せられて逮捕され、厳しい取り調べを受ける事になる。；この事故で4月14日には船長と一等航海士が連邦警察に逮捕されている。；マザランは一旦は譲歩の姿勢を示すが、8月に入ると首謀者を逮捕する。；大統領経験者が逮捕されるのはジョセフ・エストラーダ元大統領以来である。；コックスはその混乱の渦中で、事件を起こし逮捕されるような事態に陥った。；私は容疑者タイホの公表があったから、たぶん真犯人だろう、と思った。；反対投票をした者はその場で逮捕、強制収容所への送致処分となることがある。</t>
        </is>
      </c>
      <c r="J5025">
        <f>HYPERLINK("https://www.weblio.jp/content/逮捕", "词义详情")</f>
        <v/>
      </c>
      <c r="K5025">
        <f>HYPERLINK("https://yourei.jp/逮捕", "查看例句")</f>
        <v/>
      </c>
    </row>
    <row r="5026">
      <c r="A5026" t="inlineStr">
        <is>
          <t>待望</t>
        </is>
      </c>
      <c r="B5026" t="inlineStr">
        <is>
          <t>成功</t>
        </is>
      </c>
      <c r="C5026" t="inlineStr">
        <is>
          <t>読み方：たいぼう
［名］(スル)物事の実現や出現を待ち望むこと。待ちこがれること。「—の新人」「福祉施設の充実を—する」</t>
        </is>
      </c>
      <c r="D5026" t="inlineStr">
        <is>
          <t>待望論(6%)；待望久しい；待望組；待望の重賞タイトル；待望思想</t>
        </is>
      </c>
      <c r="E5026" t="inlineStr">
        <is>
          <t>期待；楽しみ；望む；思惑；待ち受ける</t>
        </is>
      </c>
      <c r="F5026" t="inlineStr">
        <is>
          <t>メシア待望；救世主待望；英雄待望；戦争待望</t>
        </is>
      </c>
      <c r="H5026" t="n">
        <v>29</v>
      </c>
      <c r="I5026" t="inlineStr">
        <is>
          <t>また我々はさうした極点の美を示されることを待望してゐるのである。；いかなる計画にせよ、それは自由となる日を待望するものであったからだ。；待望されていたアポカリプスの帰還の物語はシーズンの最終話になった。；待望の末っ子の孫が生まれることを楽しみにしていたヴェルヌイユ夫妻。；全て口パクであったがそれでもファンは待望のステージ復帰に喜んだ。；待望の平和そのものがかえってわれわれから遠のいて行ったのである。；いま、そういうものの書き手が逆に少なくなっているから、待望される。；当時のユダヤ教思想の中に救世主待望論が持たれ続けていたのである。；ジム・クレイグのプレイは良くなり味方のゴールを待望するようになった。；今度も姫では、と半ばあきらめていた奥御殿に、待望の男子誕生である。；我々はそういう時が一刻も早く訪れることを待望しようじゃないか。；さて三六年の思想界に就いて、私はどういう問題が提出されることを待望するか。；そうした一大破局がおこることを、彼ははるか前から待望していたのだ。；その声は御園マユちゃんじゃありませんね、待望の『みーさん』ですか?；それはすべての学生たちが待望する、一年でもっとも長い休暇である。；その後しばらくは平穏な時間が過ぎ、ロビンは待望の子供を妊娠をした。；もしこれが立証されるなら、待望のブレークスルーとなるかもしれない。；だから自分から高まろうとするのではなく、待望こそ必要とされるのである。；だが云うまでもなく、人民戦線は単なる待望の対象ではなくて実行の対象だ。；どんな激しい恐怖の場面を自分が待望していたか、今となっては言うことができない。；ジブラルタル橋の建設以来、彼女はこの工学者の次の行動を待望していた。；事実は人々の待望し、信じているものとは全く反するものであった。；佐藤宅に電話をかけてみようか、と思った矢先の待望の電話だったのである。；こいつが待望している瞬間だから、天体と関係しているのは間違いないだろう。；バルスームにもどってきてから初めて待望の安眠の夜がやってきたと思った。；川村体制になってから4シーズン目にして待望の初タイトルだった。；待望の外に出た二人は異議を顔一杯に広げて、玄関の前で立ち竦む。；待望と同時に不安の対象となっているその陸はどれほどの距離にあるのだろうと彼は考えた。；失われた部分が多かったため、発見の待望から近世期には偽書まで作られた。</t>
        </is>
      </c>
      <c r="J5026">
        <f>HYPERLINK("https://www.weblio.jp/content/待望", "词义详情")</f>
        <v/>
      </c>
      <c r="K5026">
        <f>HYPERLINK("https://yourei.jp/待望", "查看例句")</f>
        <v/>
      </c>
    </row>
    <row r="5027">
      <c r="A5027" t="inlineStr">
        <is>
          <t>大木</t>
        </is>
      </c>
      <c r="B5027" t="inlineStr">
        <is>
          <t>成功</t>
        </is>
      </c>
      <c r="C5027" t="inlineStr">
        <is>
          <t>読み方：たいぼく
大きな木。大樹。巨木。</t>
        </is>
      </c>
      <c r="D5027" t="inlineStr">
        <is>
          <t>大木さん；大木真彦；大木君；大木一郎；大木冴子</t>
        </is>
      </c>
      <c r="F5027" t="inlineStr">
        <is>
          <t>大木淳一郎；見事な大木；たる大木；大木城；大木兄弟</t>
        </is>
      </c>
      <c r="G5027" t="inlineStr">
        <is>
          <t>大木金太郎；大木喬任；大木家；大木町；大木武</t>
        </is>
      </c>
      <c r="H5027" t="n">
        <v>29</v>
      </c>
      <c r="I5027" t="inlineStr">
        <is>
          <t>これはまだ大木に白状しない胸中の秘密で、いうまでもなくそれは恋だ。；本車は巨大な衝角が特徴であるが、これで大木をなぎ倒すわけではない。；それでも町から三町あまりも引っ込んだところで、桐の大木の多い寺だ。；夫は百人の人がかかっても抱えきれないほどの大木の夢を見た。；そこには根こぎになって倒れている柳の大木のあることを二人は知っていた。；また、一般の桜と違って多数の小花をつけるウワミズザクラの大木がある。；そしてその嵐の晩、庭の大木が2階の窓ガラスを突き破って部屋へ侵入。；不宣大木は手紙を前において、よほどのん気になってきたなと微笑した。；斜に生へたる大木を利用し、その木の半ば頃より丸太を彼岸に掛け渡す。；仏像は、岩間木集落に生えていた銀杏の大木一本から造ったといわれる。；大木と別れて以来、音子の乳房に触れたのは、同性のけい子だけだった。；私の家は坂を上ったすぐ右手にあって、門の内に幾百年も経たらしい松の大木がありました。；さらに茶の葉を噛んで自身を奮い立たせ、大木に体当たりを繰り返した。；ある夜に山伏が夜道を歩いていると、狐が大木に化けて道を塞いでいた。；そのため庭の大木は、今は全部切ってしまっている状態である。；大木は、けい子がなぜか左の乳を触られるのを拒んだことを思い出した。；両親へ手紙をやり、友人に手紙をやり、むろん大木にも手紙をやって相談をした。；地域内にある大円寺の大椋の樹が大木であったことから「大木」とした。；円盤がおちたために、たおれた大木なども、そのまま残っていたのです。；ムハンマドはこれに怒り「大木の下での密会」と題する詩を作っている。；大木老人はそれでもいいが、彼に手をとられた二人の兄妹こそ大めいわくだ。；江戸時代にはこの地に榎の大木と祠があり、道しるべになっていたという。；中島のある池の回りには大木が生い茂り、静かな雰囲気を漂わせている。；企画途中では大木が怪我のため入院したこともあった。；茎は真っ直ぐに伸び、枝先は上を向くが、大木になると枝先は下垂する。；大木は待ち受けた人を迎えて、座につかぬうちから立ちながら話しかける。；その夜、ビルにあるスイートルームの一室で大木が何者かに刺殺される。；加賀藩主前田氏の鳥構山で木の伐採が禁止されてきたので大木が多く残る。；椈の大木が繁った枝を指し交わしている行手の方が少し明るくなって来た。</t>
        </is>
      </c>
      <c r="J5027">
        <f>HYPERLINK("https://www.weblio.jp/content/大木", "词义详情")</f>
        <v/>
      </c>
      <c r="K5027">
        <f>HYPERLINK("https://yourei.jp/大木", "查看例句")</f>
        <v/>
      </c>
    </row>
    <row r="5028">
      <c r="A5028" t="inlineStr">
        <is>
          <t>台本</t>
        </is>
      </c>
      <c r="B5028" t="inlineStr">
        <is>
          <t>成功</t>
        </is>
      </c>
      <c r="C5028" t="inlineStr">
        <is>
          <t>読み方：だいほん
演劇・映画・放送などで、演出のもととなる、せりふやト書きなどを書いた本。脚本。</t>
        </is>
      </c>
      <c r="D5028" t="inlineStr">
        <is>
          <t>台本作家(4%)；台本通り；台本作成；台本どおり；台本執筆</t>
        </is>
      </c>
      <c r="F5028" t="inlineStr">
        <is>
          <t>上演台本；検閲台本；漫才台本；構成台本；放送台本</t>
        </is>
      </c>
      <c r="H5028" t="n">
        <v>29</v>
      </c>
      <c r="I5028" t="inlineStr">
        <is>
          <t>ただし批判は主に、台本そのものに向けられていたことが判明している。；台本を用意しないことで、メディアは大きな責任を回避する事が出来る。；両作で基本的な台本は同じだが、楽曲や演出はそれぞれ異なっている。；裁判以外でも個人が日本の団体における台本の存在を明かすことはある。；獏もその一人で、それぞれ皆がタイトル書きや台本の写しを行っていた。；極端にいえば、上演ごとに異なった台本や演出となるので内容が一定しない。；プロとしての初ステージではMC用の台本を用意していたほどである。；しかし、印刷された台本にある歌詞と楽譜の歌詞が異なる場合もありうる。；スタジオに観客はなく、台本で決められた進行・台詞で収録が行われていた。；しかし「戦士たち」の方は台本が完成せずにバレエ公演は実現しなかった。；番組台本は無く、収録現場で即興のトークを収録したものを放送している。；スクリーブの仕事はオペラ作曲家に台本を渡して一件落着ではなかった。；宝巻は、中国の明清時代に流行した宗教芸能の台本を指す用語である。；発言の自由度の幅はある程度利くがほぼ台本に沿った構成で収録されている。；後には、イタリアのオペラの台本作家もオッターヴァ・リーマを使った。；番組側からオファーがあり、台本を見ながら歌詞を書いたとのこと。；その頃ディレクターに台本作成を命じられたことが放送作家の始まり。；父親が台本を勉強しているのをよく見ていたそうで、それが業界のことを少しだけ教えてくれた。；日本の場合はプロレス団体自らが台本の存在を公言したことは無い。；展示には映画出演者の衣裳や映画台本なども紹介されている。；台本に書いたアドリブなどは盗まれないように消しゴムで全部消していく。；台本を作る過程での他の問題は、舞台や映画の台詞劇と同じである。；このころから新派の台本を書くようになったのが川口松太郎である。；台本を覚えるスピードも速く、数回読んだだけで頭に入ってしまうとのこと。；この台本が幾つかの奇異な率直さを含んでいることは確かである。；また、この番組の構成台本を基にした4冊の関連書籍が双葉社から出版された。；しかし台本での創意性に欠如していたため民間で広まるには至らなかった。；台本・歌詞は常に音楽の前に書かれるわけではない。；果たしてジェニーは台本を取り戻し、無事公演を迎えられるのだろうか。</t>
        </is>
      </c>
      <c r="J5028">
        <f>HYPERLINK("https://www.weblio.jp/content/台本", "词义详情")</f>
        <v/>
      </c>
      <c r="K5028">
        <f>HYPERLINK("https://yourei.jp/台本", "查看例句")</f>
        <v/>
      </c>
    </row>
    <row r="5029">
      <c r="A5029" t="inlineStr">
        <is>
          <t>怠慢</t>
        </is>
      </c>
      <c r="B5029" t="inlineStr">
        <is>
          <t>成功</t>
        </is>
      </c>
      <c r="C5029" t="inlineStr">
        <is>
          <t>読み方：たいまん
［名・形動］当然しなければならないことをしないこと。なまけて、おろそかにすること。また、そのさま。「—な行政」「職務—」</t>
        </is>
      </c>
      <c r="D5029" t="inlineStr">
        <is>
          <t>怠慢プレー；怠慢ぶり；怠慢な姿勢；怠慢なプレー；怠慢行為</t>
        </is>
      </c>
      <c r="E5029" t="inlineStr">
        <is>
          <t>無視；油断；軽視；不覚；怠惰</t>
        </is>
      </c>
      <c r="F5029" t="inlineStr">
        <is>
          <t>勤務怠慢；捜査怠慢</t>
        </is>
      </c>
      <c r="H5029" t="n">
        <v>29</v>
      </c>
      <c r="I5029" t="inlineStr">
        <is>
          <t>橋が開かれていたのは怠慢からではなく、わざとしたことなのですよ。；この「怠慢」から貧困や破壊が精神の上にも物質の上にも生じてきます。；それが怠慢や放埓の結果ではなく、勤勉な労働の結果であるからだろう。；軍におんぶにだっこで産業を育成しない怠慢ぶりだったではないか。；それで努力することをやめるとか、怠慢になるわけじゃないんだけど。；彼は、二度ばかり勤めに出たこともあつたが、失敗の原因は怠慢ではなかつた。；その期待にこたえようとしないのは、師団長として怠慢だと考えるのだ。；かかる虫をさえも駆除しないという、その怠慢さが気になるのである。；しかし、守備中にバントシフトをとらないなど怠慢な姿勢も見られた。；よくぞ、今まで怠慢にも、電話の音質を向上させないでおいてくれた、と。；冗談のように云ってはいたが、坂部は半七の怠慢を責めたのである。；それを回避しようとする真九郎の姿勢は、ただの怠慢なのか。；こんな重要なデータを忘れていたのは、やはり心の底に、怠慢があった証拠だろう。；これは怠慢に他ならないものであり、これが更なる対立・死者の増加に至っている。；花嫁にお祝いを言いに行かないとは、ずいぶんと怠慢なことをしてしまった。；政治の面から処理して行くことを考えないでは、職務怠慢である。；これは、飛行部隊が怠慢なのでも、戦闘技術が未熟なのでもなかった。；その中で、事故の原因は制御棒の欠陥と当局の怠慢であると指摘した。；それというのも怠慢な暮らし方をしているために、人が遠慮しないのでしょう。；それがいっそう義務の怠慢をきびしく責められているように思えた。；彼らは何の困難もなく入口を通ったが、このことはひどい怠慢かよほどの安全のいずれかを示していた。；そのため怠慢な滞納者への対応は厳しく、容赦なく放校処分にしている。；同年12月10日に忠能も在国中の逼塞と勤務怠慢を理由に改易された。；揃いも揃って主人の持ち物の管理を怠っていたとはなんという怠慢だ!；ぼくがこれを写したときまず考えたのは、警察のひどい怠慢さをきみに見せることでね。；商会の怠慢のせいであるから、損害額を補償してくれ、というのである。；自殺だとしたら、職務怠慢を理由にみずからを責めた結果とみていいのかな?；日常に於て、あまりにも多くが、怠慢せられるだけではありませぬ。；これは成瀬の怠慢であるが、同時に自信の強さをもあらわしている。</t>
        </is>
      </c>
      <c r="J5029">
        <f>HYPERLINK("https://www.weblio.jp/content/怠慢", "词义详情")</f>
        <v/>
      </c>
      <c r="K5029">
        <f>HYPERLINK("https://yourei.jp/怠慢", "查看例句")</f>
        <v/>
      </c>
    </row>
    <row r="5030">
      <c r="A5030" t="inlineStr">
        <is>
          <t>タイムサービス</t>
        </is>
      </c>
      <c r="B5030" t="inlineStr">
        <is>
          <t>成功</t>
        </is>
      </c>
      <c r="C5030" t="inlineStr">
        <is>
          <t>《(和)time＋service》スーパーマーケットなどさまざまな商店で、時間を区切って行う安売りや特売のこと。タイムセール。
[補説]オンラインショップでも行われている。</t>
        </is>
      </c>
      <c r="D5030" t="inlineStr">
        <is>
          <t>売り出し；セール；バーゲン；値引き；安売り</t>
        </is>
      </c>
      <c r="H5030" t="n">
        <v>17</v>
      </c>
      <c r="I5030" t="inlineStr">
        <is>
          <t>豚肉なんか、ちゃんとタイムサービスを利用して半額で買ったんだぜ!；その種のネットワークではリアルタイムサービスは期待できない。；スーパーというものにはタイムサービスというものがあるんですのよ!；タイムサービスと類似したサービスだが、こちらはさらに早く翌朝9時までの配達となっている。；せめてランチタイムサービスとかいって、昼と三時だけはメシもの用意して良かったんじゃない?；また午前10時までに駐車するとそれぞれ500円安くなるタイムサービスを実施している。；タイムサービスまたはタイムセールとは、時間指定のあるバーゲンセールの一種であるが、特に特売では数日など一定期間をかけて商品を安価に販売するところを、よりタイトに時間指定で区切っている点で異なる。；これは例えばスーパーマーケットでタイムサービスの特売を知らせたり、火災発生時に施設内の集団を避難誘導したりする用途である。；タイムサービスのセールス・トークのようなひとことであったが、知加子は思わず引き込まれた。；タイムサービスと同様、集荷と営業所のみの取り扱いで、取扱店では受け付けていない。；いともあっさりと全軍そろってなぶり殺しアワーをタイムサービスするのは確定的だろう。；焼鳥屋がランチタイムサービスをしていた。；たとえば、スーパーマーケットのタイムサービスで、お一人様一パック限りの卵が七十八円で出ていたら、五回も六回も並んで買い込み、使いきる前に腐らせてしまう。；タイムサービスとは、商品在庫の一掃や、店頭レイアウトのネックになる陳列商品の売り切りを目的に、予め指定された商品を、時間を区切って安価に販売する手法である。；タイムサービス、タイムサービスなのでーす!；・2022年9月8日ー神鍋温泉ゆとろぎの入浴料割引タイムサービス、月・木曜日13〜15時のみ。；フレームワークには、遠隔手続き呼出し機構 DCE/RPC、ネーミングサービス、タイムサービス、認証サービス、認可サービス、分散ファイルシステム DCE/DFS が含まれる。</t>
        </is>
      </c>
      <c r="J5030">
        <f>HYPERLINK("https://www.weblio.jp/content/タイムサービス", "词义详情")</f>
        <v/>
      </c>
      <c r="K5030">
        <f>HYPERLINK("https://yourei.jp/タイムサービス", "查看例句")</f>
        <v/>
      </c>
    </row>
    <row r="5031">
      <c r="A5031" t="inlineStr">
        <is>
          <t>題名</t>
        </is>
      </c>
      <c r="B5031" t="inlineStr">
        <is>
          <t>成功</t>
        </is>
      </c>
      <c r="C5031" t="inlineStr">
        <is>
          <t>読み方：だいめい
書物や作品の標題。</t>
        </is>
      </c>
      <c r="D5031" t="inlineStr">
        <is>
          <t>題名通り；題名役；題名どおり；題名表記；題名順</t>
        </is>
      </c>
      <c r="E5031" t="inlineStr">
        <is>
          <t>目；名；名前；名称；タイトル</t>
        </is>
      </c>
      <c r="F5031" t="inlineStr">
        <is>
          <t>正式な題名；同題名；日本語題名；奇妙な題名；底本題名下</t>
        </is>
      </c>
      <c r="H5031" t="n">
        <v>29</v>
      </c>
      <c r="I5031" t="inlineStr">
        <is>
          <t>各作品はそれぞれ独立した企画であり、題名にも設定にも共通点はない。；題名こそ変わっているものの、歌詞の内容はほぼ忠実に翻訳されている。；テレビなどの子供向け番組にも同名の題名が使用されていることがある。；この日のために、デビューを意識した題名の新曲が作られ、演奏された。；原作と舞台では日本語の題名・登場人物の呼称が一部異なっている。；題名は当初は考えておらず、掲載するに当たって急遽思いついたという。；最初は題名を考えてたんですが、あるときから無駄だと思い付きました。；その名称は本番組の企画時の題名の一つ『宇宙戦士ガムジャード』より。；本作の題名は当初は仮題だったが、最終的にこの題名が決定稿になった。；題名については、名古屋城事務所で使用しているものと一部相違がある。；またすぐに内容を察することのできる平明な題名も特徴の一つである。；著書の題名どおり週末は普通に競馬場に通っているところが見かけられる。；この著作の正確な題名は、初版と第二版以降で以下のように異なる。；全106曲といくつかの予備練習で構成されており、題名などはない。；題名・出典とも記載がなく、特定できない点も第27章と同じである。；そして、今ではこの映画の題名のみならず、日常でも使われている。；第1品から第5品までの題名を見れば応知が基本であることがわかる。；題名にもある通り、あかほりさとるが作品の企画に深く関わっている。；題名の通り、作者が科挙に合格した際の喜びを読んだ七言絶句である。；題名の下には脚本・絵コンテ・演出を担当したスタッフがクレジットされる。；また、題名の前の漢数字は、賢治が原稿に記載していた作品番号である。；また、前述の通り放送時の題名に合わせて曲の題名も連動して変わっている。；松竹宣伝部で『 』との英語題名がつけられ、海外セールスが行われた。；この表記は、扉絵に書かれているラテン語題名に由来するとみられる。；今作から題名の数字部分を日本語読みするようになり副題が付いた。；論説についても同一の文章が題名を変えただけで複数紙に掲載されることがある。；題名が英語表記なのは、エマ夫人の英国趣味に影響されたものと言われている。；映画を広く愛好し、自身の楽曲に映画の題名をつけることもある。；登場人物の人名が題名になっている作品では、その人物が主人公となることもある。</t>
        </is>
      </c>
      <c r="J5031">
        <f>HYPERLINK("https://www.weblio.jp/content/題名", "词义详情")</f>
        <v/>
      </c>
      <c r="K5031">
        <f>HYPERLINK("https://yourei.jp/題名", "查看例句")</f>
        <v/>
      </c>
    </row>
    <row r="5032">
      <c r="A5032" t="inlineStr">
        <is>
          <t>対面</t>
        </is>
      </c>
      <c r="B5032" t="inlineStr">
        <is>
          <t>成功</t>
        </is>
      </c>
      <c r="C5032" t="inlineStr">
        <is>
          <t>読み方：たいめ
「たいめん」の撥音の無表記。
「なかずみの君おはしければ、—して」〈宇津保・俊蔭〉</t>
        </is>
      </c>
      <c r="D5032" t="inlineStr">
        <is>
          <t>対面する(14%)；対面式；対面朗読；対面型；対面しよ</t>
        </is>
      </c>
      <c r="E5032" t="inlineStr">
        <is>
          <t>会う；面会；掛かる；逢う；一対一</t>
        </is>
      </c>
      <c r="F5032" t="inlineStr">
        <is>
          <t>直接対面；御対面；初対面；非対面；親子対面</t>
        </is>
      </c>
      <c r="G5032" t="inlineStr">
        <is>
          <t>対面乗り換え；対面販売；対面所；対面交通；対面式ホーム</t>
        </is>
      </c>
      <c r="H5032" t="n">
        <v>29</v>
      </c>
      <c r="I5032" t="inlineStr">
        <is>
          <t>この春良の働きに元春は深く感謝し、直接対面で感謝の意を述べている。；その一方で、上り同士・下り同士の普通の対面接続が終日行われている。；父はヤグディンが4歳のころに家を出ていき、それ以来対面していない。；しかし沖山女史との話は進み、赤ちゃんと対面することになるのだった。；だが、その後も数年は尊氏との対面は許されずに認知されていなかった。；このことから、オス同士を対面させても同様の行動を起こすことが分かる。；一皿数百円の価格設定で寿司ネタの質が相対的に高い店は対面型が多い。；実際に医薬品を販売する際は原則店舗で対面によらなければならない。；商品や道具を置く台の奥に立ち、客を相手に対面しながら販売を行うことが多い。；ラリーは実の母の名も知らず育ったが、48歳の時に初めて対面した。；ハリーは店で爪の部下と格闘し爪と対面するが、爪は逃げて行った。；さらに、主人公は謎の男こと自分の息子と対面した後、ハデスの元へ行く。；穴の開いた紙はフックの列に対面する穴の開いたシリンダーにセットされる。；屋敷まで来て人に呼びにやらせると輔子は駆けつけて重衡と対面した。；シーズンが来ると、ホームの対面の傾斜面にたくさんの水仙の花が咲く。；掲示板では、対面しての論争とは違い、相手の話を遮ることができない。；奇跡的に母の妹に対面し、父に連れ戻されないように親戚を転々とした。；複数の人間で操作するために、対面などからも手を入れられる構造を持つ例もある。；MJ3カードは設置店舗で自動販売機または店員との対面で購入できる。；終点となる豊田市駅では三河線知立方面との対面接続が考慮されている。；この時、孫と対面し、桂軍の台頭への対策を巡って協議したことがある。；結局A子と対面したのは彼女が証人として呼ばれた一審の法廷であった。；そして彼女の実娘であるヘザーとの対面から深まったジェーンとの親愛。；そのため高官であってもカリフと直接に対面することはまれであった。；また乗車用ドアの対面の天井付近にもカメラが設置されている。；その遺体は娘たちと対面することもなく、阿闍梨の指示で葬送される。；双方の列車を同一ホームの対面に停車させる場合が多い。；その彼が毛の遺体と対面して生まれて初めて中国と向き合った。；文は日本の菅に続きバイデンと対面会談した2人目の外国首脳となった。</t>
        </is>
      </c>
      <c r="J5032">
        <f>HYPERLINK("https://www.weblio.jp/content/対面", "词义详情")</f>
        <v/>
      </c>
      <c r="K5032">
        <f>HYPERLINK("https://yourei.jp/対面", "查看例句")</f>
        <v/>
      </c>
    </row>
    <row r="5033">
      <c r="A5033" t="inlineStr">
        <is>
          <t>ダイヤ</t>
        </is>
      </c>
      <c r="B5033" t="inlineStr">
        <is>
          <t>成功</t>
        </is>
      </c>
      <c r="C5033" t="inlineStr">
        <is>
          <t>《「ダイヤモンド」の略》
１金剛石。
２トランプで赤い♦の模様。また、その模様のついた札。</t>
        </is>
      </c>
      <c r="D5033" t="inlineStr">
        <is>
          <t>ダイヤ乱れ；ダイヤ上；ダイヤ設定；ダイヤ編成；ダイヤ修正</t>
        </is>
      </c>
      <c r="E5033" t="inlineStr">
        <is>
          <t>ダイヤモンド；ダイアモンド；金剛；金剛石；タイムテーブル</t>
        </is>
      </c>
      <c r="F5033" t="inlineStr">
        <is>
          <t>現行ダイヤ；列車ダイヤ；通常ダイヤ；臨時ダイヤ；特別ダイヤ</t>
        </is>
      </c>
      <c r="G5033" t="inlineStr">
        <is>
          <t>ダイヤ改正；ダイヤル；ダイヤ変更；ダイヤモンドバックス；ダイヤモンドステークス</t>
        </is>
      </c>
      <c r="H5033" t="n">
        <v>29</v>
      </c>
      <c r="I5033" t="inlineStr">
        <is>
          <t>路線によっては現在も土曜日を独立したダイヤにしているところもある。；この時期に発表されるのは、ダイヤが確定する時期に合わせたものである。；特に土休日ダイヤの夕方は日中とほぼ同じダイヤを組んでいることが多い。；そのため、現在のダイヤでは当駅始発や当駅止まりの列車は存在しない。；通常のダイヤでは、東京方面の列車は島式本線側の12番線から発着する。；日中は当駅で上りと下りの電車が交換するダイヤになっている。；ホーバーフェリーの出発・到着便に合わせたダイヤで運行されている。；そのため大幅にダイヤが乱れた際は当駅で折り返しを行う場合がある。；大幅なダイヤ乱れ時には次の列車が到着するまでの時間が表示されることもある。；予定列車の運転日以外には同じダイヤで団体列車などが運行される場合もある。；平日は通勤客を重視し、土休日は日中を重視したダイヤが組まれている。；ダイヤ乱れによる運用変更などにより上り列車が運転される場合もある。；季節ダイヤは、ダイヤ改正時にあらかじめ考慮に入れてあることが多い。；運行開始以来、直方駅発が朝、博多駅発が夜に運行されるダイヤである。；しかし最盛期の乗客に対応しきれず2007年から特別ダイヤが復活した。；非冷房であるため、運用は基本的に秋冬の平日ダイヤのみとなっている。；このため後に急行列車を中心に余裕を持たせるダイヤへと変更が加えられている。；その後2021年のダイヤ見直しでこの系統は廃止・統合されている。；線の形がダイヤに見えるからダイヤと呼ばれているという説は誤りである。；さらに両営業所でほぼ全線を共同運行するダイヤに変更している。；また大師線にも競馬観客輸送に対応した増発ダイヤが用意されている。；改めたダイヤが利用者全てに正しいダイヤとは限らない等の理由からである。；一部の上り列車は久保田駅にて時間調整のため数分停車するダイヤとなっている。；ただし、ダイヤが乱れた際は女性専用車の設定が解除される場合がある。；交換可能駅で、日中時間帯は当駅で列車交換するダイヤが組まれている。；普通列車を中心としたダイヤ編成で、千葉駅を発着する系統が主体である。；また折尾駅ではJRとの接続は考慮されないダイヤ編成をおこなっている。；平日ダイヤのみ、朝と夕方以降の一部列車に志木駅発着の列車が存在する。；なお、号数は廃止時のもので、ダイヤにより号数が異なっている。</t>
        </is>
      </c>
      <c r="J5033">
        <f>HYPERLINK("https://www.weblio.jp/content/ダイヤ", "词义详情")</f>
        <v/>
      </c>
      <c r="K5033">
        <f>HYPERLINK("https://yourei.jp/ダイヤ", "查看例句")</f>
        <v/>
      </c>
    </row>
    <row r="5034">
      <c r="A5034" t="inlineStr">
        <is>
          <t>ダイヤ</t>
        </is>
      </c>
      <c r="B5034" t="inlineStr">
        <is>
          <t>成功</t>
        </is>
      </c>
      <c r="C5034" t="inlineStr">
        <is>
          <t>《「ダイヤモンド」の略》
１金剛石。
２トランプで赤い♦の模様。また、その模様のついた札。</t>
        </is>
      </c>
      <c r="D5034" t="inlineStr">
        <is>
          <t>ダイヤ乱れ；ダイヤ上；ダイヤ設定；ダイヤ編成；ダイヤ修正</t>
        </is>
      </c>
      <c r="E5034" t="inlineStr">
        <is>
          <t>ダイヤモンド；ダイアモンド；金剛；金剛石；タイムテーブル</t>
        </is>
      </c>
      <c r="F5034" t="inlineStr">
        <is>
          <t>現行ダイヤ；列車ダイヤ；通常ダイヤ；臨時ダイヤ；特別ダイヤ</t>
        </is>
      </c>
      <c r="G5034" t="inlineStr">
        <is>
          <t>ダイヤ改正；ダイヤル；ダイヤ変更；ダイヤモンドバックス；ダイヤモンドステークス</t>
        </is>
      </c>
      <c r="H5034" t="n">
        <v>29</v>
      </c>
      <c r="I5034" t="inlineStr">
        <is>
          <t>路線によっては現在も土曜日を独立したダイヤにしているところもある。；この時期に発表されるのは、ダイヤが確定する時期に合わせたものである。；特に土休日ダイヤの夕方は日中とほぼ同じダイヤを組んでいることが多い。；そのため、現在のダイヤでは当駅始発や当駅止まりの列車は存在しない。；通常のダイヤでは、東京方面の列車は島式本線側の12番線から発着する。；日中は当駅で上りと下りの電車が交換するダイヤになっている。；ホーバーフェリーの出発・到着便に合わせたダイヤで運行されている。；そのため大幅にダイヤが乱れた際は当駅で折り返しを行う場合がある。；大幅なダイヤ乱れ時には次の列車が到着するまでの時間が表示されることもある。；予定列車の運転日以外には同じダイヤで団体列車などが運行される場合もある。；平日は通勤客を重視し、土休日は日中を重視したダイヤが組まれている。；ダイヤ乱れによる運用変更などにより上り列車が運転される場合もある。；季節ダイヤは、ダイヤ改正時にあらかじめ考慮に入れてあることが多い。；運行開始以来、直方駅発が朝、博多駅発が夜に運行されるダイヤである。；しかし最盛期の乗客に対応しきれず2007年から特別ダイヤが復活した。；非冷房であるため、運用は基本的に秋冬の平日ダイヤのみとなっている。；このため後に急行列車を中心に余裕を持たせるダイヤへと変更が加えられている。；その後2021年のダイヤ見直しでこの系統は廃止・統合されている。；線の形がダイヤに見えるからダイヤと呼ばれているという説は誤りである。；さらに両営業所でほぼ全線を共同運行するダイヤに変更している。；また大師線にも競馬観客輸送に対応した増発ダイヤが用意されている。；改めたダイヤが利用者全てに正しいダイヤとは限らない等の理由からである。；一部の上り列車は久保田駅にて時間調整のため数分停車するダイヤとなっている。；ただし、ダイヤが乱れた際は女性専用車の設定が解除される場合がある。；交換可能駅で、日中時間帯は当駅で列車交換するダイヤが組まれている。；普通列車を中心としたダイヤ編成で、千葉駅を発着する系統が主体である。；また折尾駅ではJRとの接続は考慮されないダイヤ編成をおこなっている。；平日ダイヤのみ、朝と夕方以降の一部列車に志木駅発着の列車が存在する。；なお、号数は廃止時のもので、ダイヤにより号数が異なっている。</t>
        </is>
      </c>
      <c r="J5034">
        <f>HYPERLINK("https://www.weblio.jp/content/ダイヤ", "词义详情")</f>
        <v/>
      </c>
      <c r="K5034">
        <f>HYPERLINK("https://yourei.jp/ダイヤ", "查看例句")</f>
        <v/>
      </c>
    </row>
    <row r="5035">
      <c r="A5035" t="inlineStr">
        <is>
          <t>大役</t>
        </is>
      </c>
      <c r="B5035" t="inlineStr">
        <is>
          <t>成功</t>
        </is>
      </c>
      <c r="C5035" t="inlineStr">
        <is>
          <t>読み方：たいやく
１責任の重い役目。重大な任務。大任。「委員長の—を果たす」
２演劇・映画などで、重要な役。「—を振られる」
３花札で、大きな手役または場役。</t>
        </is>
      </c>
      <c r="D5035" t="inlineStr">
        <is>
          <t>大役を与えられ；大役者</t>
        </is>
      </c>
      <c r="H5035" t="n">
        <v>29</v>
      </c>
      <c r="I5035" t="inlineStr">
        <is>
          <t>なぜなら、勅使の大役は生まれて初めての経験でもあったからである。；慣れない大役をされたせいか、少しお疲れのご様子に見えました。；とにかく自分の大役はすませたのだから、次は自力を回復することだ。；今日から考えて当時のことを思うと、まことに私に取っては大役でありました。；このため古来より武芸・人格に優れた武将が務める大役とされてきた。；この年の日韓プロ野球スーパーゲームの第2戦では先発の大役を務めた。；このような状況においては、私と貴殿とどちらが大役を任されるだろうか?；今度の映画で、彼から大役をもらえることになっているこの僕もつぶされるさ。；石井は大役を果して死んだ戦国時代の忠烈な使者のようなものだった。；これは高峰秀子が予定されていた大役での出演であった。；友人たちをあたって、無事赤白のいで立ちで式に臨み、この大役を果たした。；大役を得たのはやはり嬉しいらしく、絶対に見てくれと彼にしては珍しく何度も電話がかかってきた。；大車輪を採用していなくても充分な大役であると言える。；使者として遣わされたのは台輔と冢宰、先日大役を無事果たし帰還した。；如何なる運命の悪戯で彼女がその大役を引き受けたのか明瞭ではない。；いいえ、大役を果たした点だけは、うそいつわりのないところでしょう。；拙僧も典座と云う大役を仰せ付けられて、ただ懸命に修行していただけ。；しかし会社は映画経験のないムーアに大役を任せることを躊躇した。；桜町はおふで役で撮影中だったが大役へのスライド。；そんな人間に大役を与えてよいものでしょうか?；幼いながらも決して根を上げない芯の強さで、初の演技挑戦にして大役を無事成し遂げた。；木戸内大臣のせねばならぬ大役はもう一つ残っている。；同年代のライバルケーシー・ケラーの故障のために回ってきた大役であった。；大役というなら自分で行けば良いのでは?；みんな台本を読み込んで読み込んで大根役者から大役者になったのである。；三蔵は、いまその大役を果たして来て、犬山城へ、帰って来たところだった。；このまま出産の大役を果たそうとすれば、紀伊は死ぬよりほかはないと判断したのだ。；内匠頭長矩はこの年十七歳、少年の身に余る大役、というより難役である。；浅野家では先代の長直公も一度この大役をお勤めになっている。</t>
        </is>
      </c>
      <c r="J5035">
        <f>HYPERLINK("https://www.weblio.jp/content/大役", "词义详情")</f>
        <v/>
      </c>
      <c r="K5035">
        <f>HYPERLINK("https://yourei.jp/大役", "查看例句")</f>
        <v/>
      </c>
    </row>
    <row r="5036">
      <c r="A5036" t="inlineStr">
        <is>
          <t>太陽</t>
        </is>
      </c>
      <c r="B5036" t="inlineStr">
        <is>
          <t>成功</t>
        </is>
      </c>
      <c r="C5036" t="inlineStr">
        <is>
          <t>昭和50年（1975）2月に打ち上げられた科学衛星SRATS(スラッツ)の愛称。東京大学宇宙航空研究所（後の宇宙科学研究所、現JAXA(ジャクサ)）が開発。太陽活動の静穏期における超高層大気（主に熱圏）のプラズマ観測を数年にわたって続けた。また太陽のX線、紫外線放射の観測も行った。昭和55年（1980）6月に運用終了。</t>
        </is>
      </c>
      <c r="D5036" t="inlineStr">
        <is>
          <t>太陽系外；太陽面；太陽表面；太陽観測；太陽内部</t>
        </is>
      </c>
      <c r="E5036" t="inlineStr">
        <is>
          <t>天道；お日さま；日輪；ソレイユ；お日様</t>
        </is>
      </c>
      <c r="F5036" t="inlineStr">
        <is>
          <t>赤い太陽；明るい太陽；新しい太陽；小さな太陽；強烈な太陽</t>
        </is>
      </c>
      <c r="G5036" t="inlineStr">
        <is>
          <t>太陽の光；太陽光；太陽系外惑星；太陽神；太陽電池</t>
        </is>
      </c>
      <c r="H5036" t="n">
        <v>29</v>
      </c>
      <c r="I5036" t="inlineStr">
        <is>
          <t>彼はまたこの彗星の尾が常に太陽と反対側に伸びていることを確認した。；この軌道の近日点は太陽の周りを周回する形でゆっくりと移動している。；太陽以外の主系列星で表面が画像化されたのはこれが初めてであった。；上部は天上世界であり右の太陽の中に日烏が月の中にヒキガエルがいる。；またトールキンは現代は太陽の第六紀か第七紀に当たるとも述べている。；日本でも古代から赤い真円で太陽を表すことは一般的ではなかったと思われる。；コロニーの設計では、ほとんどの鏡が太陽に向くことが要求されている。；太陽の近くではこのような揮発成分は容易に蒸発してしまうためである。；地球の運動速度は一定でないため、太陽は正午に真南に来るとは限らない。；太陽黒点とは、太陽表面を観測した時に黒い点のように見える部分のこと。；当初は太陽の磁気が地球に与える影響を研究するために設定された。；銀河系の中での位置を考えると、太陽の運動速度は非常に奇妙である。；プラトンは、善のイデアである太陽が宇宙の中心にあるべきだと考えた。；太陽の活動状態の変動も地球の気候に非常に大きな影響を与えている。；日没時刻は、太陽の縁が西の地平線の下に沈んだ瞬間として定義される。；ペー族には、天地が離れ始めた頃、天に十個の太陽と一個の月が昇った。；また、惑星の軌道が太陽を含む一平面上であることも暗に意味している。；古くは日常生活の中で時刻を知る方法は太陽の動きなどであった。；惑星は太陽のまわりを回り続けるが、自ら太陽にはなれないとの意味である。；太陽暦とは、地球が太陽の周りを回る周期を基にして作られた暦である。；太陽を用いる鳥は、体内時計を利用して日中の太陽の移動を補正している。；東と西にある2つの山は、太陽がドゥアトに出入りする場所を示している。；逆に地球から見て太陽と同じ方向、太陽の裏側に回ることを合という。；一般向けの天気情報では一般的に晴れは「太陽」のマークで示している。；緑は国の主要な経済を構成する森林を表し、黄色は太陽・赤道を表す。；前者は太陽であり、後者はその熱と光を受ける月に例えられている。；太陽の的には三本足の烏が描かれ、月の的にはウサギが描かれることが多い。；黄経では180度となり、この点を太陽が通過する瞬間が秋分となる。；帝政時代は旗の中央に皇帝を現すライオンと太陽の絵が描かれていた。</t>
        </is>
      </c>
      <c r="J5036">
        <f>HYPERLINK("https://www.weblio.jp/content/太陽", "词义详情")</f>
        <v/>
      </c>
      <c r="K5036">
        <f>HYPERLINK("https://yourei.jp/太陽", "查看例句")</f>
        <v/>
      </c>
    </row>
    <row r="5037">
      <c r="A5037" t="inlineStr">
        <is>
          <t>代用</t>
        </is>
      </c>
      <c r="B5037" t="inlineStr">
        <is>
          <t>成功</t>
        </is>
      </c>
      <c r="C5037" t="inlineStr">
        <is>
          <t>読み方：だいよう
［名］(スル)あるものに代えて別のものを使うこと。「糊(のり)がないので飯粒を—する」「—品」</t>
        </is>
      </c>
      <c r="D5037" t="inlineStr">
        <is>
          <t>代用すること(5%)；代用される(5%)；代用できる(3%)；代用物；代用可能</t>
        </is>
      </c>
      <c r="E5037" t="inlineStr">
        <is>
          <t>代わり；代替；仮；替え；一時的</t>
        </is>
      </c>
      <c r="F5037" t="inlineStr">
        <is>
          <t>制御車代用；付随車代用；倉庫代用；代用させる；代用車</t>
        </is>
      </c>
      <c r="G5037" t="inlineStr">
        <is>
          <t>代用教員；代用食；代用貨幣；代用燃料；代用コーヒー</t>
        </is>
      </c>
      <c r="H5037" t="n">
        <v>29</v>
      </c>
      <c r="I5037" t="inlineStr">
        <is>
          <t>これは爪の本来の機能の代用ではなく、自然の爪の拡張となる物である。；また人形にはもともとの目的が人間の代用であったものも少なくない。；また当時存在しなかった字は、相当する別字で代用するのが普通である。；ネットボールの普及していない地域ではサッカーボールでの代用も可能。；物語に出てくる他の国もほとんどがルーマニアで代用されているようである。；真の値が得られず測定値しかない場合は、不偏分散で代用する必要がある。；それらの代用施設のいくつかは現在でも教会内に残されている。；もし紐が切れてしまった場合には軸穴に入る太さのタコ糸で代用すればよい。；何らかの事情で家に置いてきた場合は、大型のネームで代用することになる。；実験の精密さを求めないのであれば、割り箸などでも代用可能である。；これらは歴史的に担っていた代用形の役割を失ったためである。；日本では、古くより絵文字を文字の代用として利用する文化があった。；女性形の代用には使えないので、上付き文字を使うなどする必要がある。；この楽器が用意できない場合には、グロッケンシュピールで代用する。；以下は都道府県旗と併用もしくは代用されるシンボルマーク旗等である。；形状はコンパスに似ており、簡単な作業ならばコンパスで代用できる。；パソコンにRTTYソフトウェアを導入することで代用することができる。；準備が難しい楽器は演奏の際に他の楽器で代用されたり、省略されたりする場合がある。；だが非公式試合の場合はどちらかの選手が持つラケットを代用とすることも多い。；またサクラエビの代用として食紅で着色し干物にしていたこともあった。；同じ漢字を重ねるときに、2文字目以降の文字の代用として用いられる。；またバンダナやタオルを首元に巻きつけて代用とすることもある。；この組み合わせは、障害物競走でハードルの代用にされることもある。；ただし、音響的な効果としては似ているため、代用されることもある。；愛媛県も同様に県章でなく1952年に制定した県旗のデザインで代用されることが多い。；アメリカ式と同じく、すべての牌をジョーカーで代用することができる。；日本では熟したウンシュウミカンの果皮を乾燥させたもので代用している。；また古典的な楽器でもシンセサイザーで代用することがある。；同じような効果を狙ってビールの缶を切って代用し、水の代わりにビールを入れる場合もある。</t>
        </is>
      </c>
      <c r="J5037">
        <f>HYPERLINK("https://www.weblio.jp/content/代用", "词义详情")</f>
        <v/>
      </c>
      <c r="K5037">
        <f>HYPERLINK("https://yourei.jp/代用", "查看例句")</f>
        <v/>
      </c>
    </row>
    <row r="5038">
      <c r="A5038" t="inlineStr">
        <is>
          <t>平ら</t>
        </is>
      </c>
      <c r="B5038" t="inlineStr">
        <is>
          <t>成功</t>
        </is>
      </c>
      <c r="C5038" t="inlineStr">
        <is>
          <t>読み方：たいら
［形動］［文］［ナリ］
１高低や起伏のないさま。でこぼこでないさま。「—な地形」「運動場を—にならす」
２おだやかで安定しているさま。「心を—にする」「世が—に治まる」
３（多く「おたいらに」の形で用いる）かしこまってすわったりしないで、楽な姿勢でいるさま。
「皆—に、趺坐(あぐら)をかき給え」〈花袋・田舎教師〉
［名］（地名の下に付け、多く「だいら」の形で）山に囲まれた、広い平地。「松本—」「日本—」</t>
        </is>
      </c>
      <c r="D5038" t="inlineStr">
        <is>
          <t>平らな土地(2%)；平らな面；平らな石；平らな岩；平らなところ</t>
        </is>
      </c>
      <c r="E5038" t="inlineStr">
        <is>
          <t>平；水平；平坦；滑らか；なめらか</t>
        </is>
      </c>
      <c r="F5038" t="inlineStr">
        <is>
          <t>広く平ら；低く平ら；平らな表面；平らな地形；平らな道</t>
        </is>
      </c>
      <c r="G5038" t="inlineStr">
        <is>
          <t>平らか；平らげる；平らげよ；平らぐ；平らぎ</t>
        </is>
      </c>
      <c r="H5038" t="n">
        <v>29</v>
      </c>
      <c r="I5038" t="inlineStr">
        <is>
          <t>ほぼ平らな地形であるためギュータースローでは自転車の利用率が高い。；大きな特徴となるのは殻の腹面が大きく平らになっていることである。；頂面は平らになっており、多くの場合人が通行できるようになっていた。；二かいのやねの上は、たいらになっていて、小さな小やがたっていました。；やや細長くて平らな動物で、形はやや舌に似ており属名もこれに基づく。；長い背中は軽く筋肉質で、平らな尻と長く直立した首につながっている。；頭部が平らになっていることは、骨格上の特徴にも影響を与えている。；湾の中央にはいくつかの低いリッジがあるが、他は比較的平らである。；その側枝が横に伸びてゆくために、平らに広がった枝振りが作られる。；根を張る必要がありますしその上、土は平らにならしてから植えられた。；戸口の上のほうには、壁にたいらに釘づけにされた一枚の看板がみられた。；実際緑川の喉は通常の男性より明らかに凹凸のない平らなものである。；突き出した先を平らにしたりして扱いやすくしたのが安全ピンである。；あたいらが二の足ふんだのは、白んぼどもが帰ったあとが心配だからさ。；広く平らなツンドラ平原から高く形の良い山岳が急に立ち上がっている。；葉は左右から偏平な剣状で、それが並んで生えた根元は平らになっている。；頭部の中央付近はやや平らになり、両側の触角の起点の上がやや高まる。；ヒルガーミッセンは多くの小集落が後半に点在する平らな地形の町である。；周囲を山に囲まれているが、町は平らな土地に建てられている。；全く平らでない形をしており、回転の軸は正確に中心ではない。；殷代には陶器、石、骨で作られ、多くは底が平らな卵形に作られている。；当時は底の平らな川石を氷の上に滑らせていたものとされている。；あたいら、みんなしていちばんええと思うことをやっただけだよ。；震災ですっかり焼け、その後学校を建てることになり土地を平らにした。；このノブは、そこから突き出た平らでまっすぐな部分を持ち上げていた。；多くのエイは、ごく平らな体をしていて長く伸びた鞭状の尾を持つ。；右の2つは、鋸歯状のグリップを使用するために設計された平らな試験片。；またいらしてくださいとうまくない英語で世辞を言ったぐらいだ。；海外では、胴板を平らに伸ばしてトタン板代わりにして建築に使う例もある。</t>
        </is>
      </c>
      <c r="J5038">
        <f>HYPERLINK("https://www.weblio.jp/content/平ら", "词义详情")</f>
        <v/>
      </c>
      <c r="K5038">
        <f>HYPERLINK("https://yourei.jp/平ら", "查看例句")</f>
        <v/>
      </c>
    </row>
    <row r="5039">
      <c r="A5039" t="inlineStr">
        <is>
          <t>代理</t>
        </is>
      </c>
      <c r="B5039" t="inlineStr">
        <is>
          <t>成功</t>
        </is>
      </c>
      <c r="C5039" t="inlineStr">
        <is>
          <t>読み方：だいり
［名］(スル)
１本人に代わって事を処理すること。また、その人。「父の—を務める」「交渉に—を立てる」「課長—」
２ある人が、本人のために第三者に対して意思表示を行い、または第三者から意思表示を受けることによって、その法律効果が直接本人について生じること。法定代理・任意代理などがある。</t>
        </is>
      </c>
      <c r="D5039" t="inlineStr">
        <is>
          <t>代理店(9%)；代理者(2%)；代理大使；代理官；代理監督</t>
        </is>
      </c>
      <c r="E5039" t="inlineStr">
        <is>
          <t>代表；説明；表現；代わり；代</t>
        </is>
      </c>
      <c r="F5039" t="inlineStr">
        <is>
          <t>販売代理；支店長代理；輸入代理；保安官代理；会長代理</t>
        </is>
      </c>
      <c r="G5039" t="inlineStr">
        <is>
          <t>代理店；代理戦争；代理公使；代理権；代理母</t>
        </is>
      </c>
      <c r="H5039" t="n">
        <v>29</v>
      </c>
      <c r="I5039" t="inlineStr">
        <is>
          <t>禁止命令のため来ることができなかった科学者は妻を代理で出席させた。；このような大西洋銀行がビッグバンでロンドンに代理事務所を設置した。；当時の社長が辞任すると社長代理を経て翌1914年社長に昇格した。；複数の正面軍の作戦指導は最高司令官が任命した最高司令官代理が担う。；なお、田中の負傷時の進行は別のリングアナウンサーが代理を務めた。；当初は貿易代理店を通じてコンゴ民主共和国へ輸出される予定だった。；その後日本企業が代理を務めたため、ようやく元の名前を使用するようになった。；主にその日にラジオ・テレビの他の番組で担当がないアナウンサーが代理を勤めることが多い。；強化育成部長には昨シーズン途中から代理で努めていた西山哲平が就任した。；アメリカの代理法も含めて英米法の代理法の起源はイギリスの判例法にある。；当時25歳のカポディストリアスは、父の代理で国務大臣の職に就いた。；フリードリヒには不満があったが、結局「国王代理」を引き受けている。；急病のために事実上降板し、第51話の予告から名古屋が代理を務めた。；中学生の頃より友人の母親が経営するカナダのモデル代理店に所属し、仕事を始める。；その中には450人の保安官代理や250人のの局員も含まれていた。；同じ数字が続くところは代理が代理を引き継いでいるためである。；行政権は国王であるチャールズ3世に属し、行政長官はこれを代理する。；海外の多くの場所で代理店が営業していた。；ただし、代理人が共同して代理行為をしなければ代理が有効とされない場合もある。；タモリが休暇の場合は、各曜日レギュラー陣の代表が代理で担当する。；母親の婚姻が成立しない場合は、生まれるはずの子供の代理となるキャラが登場。；代理の効果が本人に帰属するには以下の要件が必要とされる。；なお、25戸以下の僻遠地には里長を置かず保長が代理する規定があった。；このため5月5日の中日戦は代理は再び川相が務め、翌日には現場復帰した。；通常のパーソナリティ同士がお互いの代理をすることもある。；交渉自体は仙熊の名を借りて、叔父の三好康長など代理の者がした可能性もある。；また、代理は行為の行為主体と効果帰属主体を分割する制度である。；いずれの当事者も一人または数人の弁護士による代理を要求することができる。；この場合の代理者の職位の名称は、次のようになっている。</t>
        </is>
      </c>
      <c r="J5039">
        <f>HYPERLINK("https://www.weblio.jp/content/代理", "词义详情")</f>
        <v/>
      </c>
      <c r="K5039">
        <f>HYPERLINK("https://yourei.jp/代理", "查看例句")</f>
        <v/>
      </c>
    </row>
    <row r="5040">
      <c r="A5040" t="inlineStr">
        <is>
          <t>大陸</t>
        </is>
      </c>
      <c r="B5040" t="inlineStr">
        <is>
          <t>成功</t>
        </is>
      </c>
      <c r="C5040" t="inlineStr">
        <is>
          <t>読み方：たいりく
１海面上に現れている広大な陸地。ユーラシア・アフリカ・北アメリカ・南アメリカ・オーストラリア・南極の六大陸がある。
２日本からアジア大陸、特に中国をさしていう語。
３英国からヨーロッパ大陸をさしていう語。</t>
        </is>
      </c>
      <c r="D5040" t="inlineStr">
        <is>
          <t>大陸部；大陸間；大陸性；大陸全土；大陸予選</t>
        </is>
      </c>
      <c r="F5040" t="inlineStr">
        <is>
          <t>中央大陸；南大陸；両大陸；アレクラスト大陸；支那大陸</t>
        </is>
      </c>
      <c r="G5040" t="inlineStr">
        <is>
          <t>大陸会議；大陸棚；大陸性気候；大陸横断鉄道；大陸間弾道ミサイル</t>
        </is>
      </c>
      <c r="H5040" t="n">
        <v>29</v>
      </c>
      <c r="I5040" t="inlineStr">
        <is>
          <t>逆に他大陸の多く分布する科が分布しない、またはほとんど分布しない。；多くがイギリスではない大陸を舞台にしているところも特徴の一つである。；大陸から直接に渡ってきた人もいたでしょうが、多くが百済経由でした。；それ以外は大陸や島であり、人間が居住する土地の多くは北半球にある。；これは中央海嶺にできており、過去にどこかの大陸に属したことはない。；この二人は即位8年と即位12年に大陸への使者として派遣されている。；大陸と島など他の地理的概念と同様に、具体的かつ普遍的な定義はない。；これに分類される人々の主要な居住地はサハラ以南のアフリカ大陸である。；まず大陸反攻が非現実的であることが誰の目にも明らかになったことである。；ところが約27億年前に大規模な火山活動があり大陸が急激に成長した。；しかも島にすむ生物は、ほとんどの場合最も近い大陸の生物と近縁である。；南米諸国の所得格差は、他の大陸を含めて最も大きいと考えられている。；しかしそれより以前に、大陸から渡っていた可能性も否定できない。；大陸陸軍は当時のヨーロッパの標準的な軍隊から考えれば小さなものだった。；これらの島のうち、いくつかは構造的に近くの大陸とくっついている。；プーケット県は、タイ国内で唯一 大陸ではなく島に設置された県である。；太古代初期においては、大きな大陸は存在しなかったと考えられている。；島外へ逃れたものの中には、のように大陸で大成功を収めたものもあった。；この時期、大陸は南極域にあり、短い期間であるが大陸氷河が発達した。；これは、間接的には大陸にある清の出先機関・デレンとの貿易であった。；グレートブリテン島など大陸周辺の島もことごとく大陸と一体化していた。；演劇においても古来伝わるものに大陸の文化を加えて独自に発展していった。；また、スキアパレッリは火星の主な地形を大陸や海に見立てて命名した。；これら二つのシステムはフランスで誕生し、大陸で広く使われた。；大陸を指す最も狭義の概念は切れ目がない主要な陸地ということになる。；古来より大陸との交通の要衝に位置し、時代ごとに様々な遺跡が存在する。；ソラリスの北東に位置するイグニス大陸南部の砂漠地帯に位置する王国。；大陸の制度を模して部民制も整えられたが、これは世襲制の形になった。；地方の豪族が築いた、大陸の南西に位置する森と湖に囲まれる自然豊かな王国。</t>
        </is>
      </c>
      <c r="J5040">
        <f>HYPERLINK("https://www.weblio.jp/content/大陸", "词义详情")</f>
        <v/>
      </c>
      <c r="K5040">
        <f>HYPERLINK("https://yourei.jp/大陸", "查看例句")</f>
        <v/>
      </c>
    </row>
    <row r="5041">
      <c r="A5041" t="inlineStr">
        <is>
          <t>対立</t>
        </is>
      </c>
      <c r="B5041" t="inlineStr">
        <is>
          <t>成功</t>
        </is>
      </c>
      <c r="C5041" t="inlineStr">
        <is>
          <t>読み方：たいりつ
［名］(スル)二つのものが反対の立場に立つこと。また、二つのものが互いに譲らないで張り合うこと。「兄と—する」「意見が—する」「—候補」</t>
        </is>
      </c>
      <c r="D5041" t="inlineStr">
        <is>
          <t>対立する(14%)；対立関係(3%)；対立構造；対立抗争；対立概念</t>
        </is>
      </c>
      <c r="E5041" t="inlineStr">
        <is>
          <t>反対；対；議論；抵抗；対抗</t>
        </is>
      </c>
      <c r="F5041" t="inlineStr">
        <is>
          <t>内部対立；巡って対立；意見対立；路線対立；激しい対立</t>
        </is>
      </c>
      <c r="G5041" t="inlineStr">
        <is>
          <t>対立遺伝子；対立教皇；対立王；対立軸；対立仮説</t>
        </is>
      </c>
      <c r="H5041" t="n">
        <v>29</v>
      </c>
      <c r="I5041" t="inlineStr">
        <is>
          <t>しかし、両者の長年の対立は深刻ですぐに和睦できるものではなかった。；しかし、その単純な対立構図はより理由が鮮明になり熱を帯びていった。；こうした事情から両者の対立が続いたため、与党三党は合意を破棄した。；この問題は、世界中の正教会を巻き込んだ深刻な対立に発展しつつある。；この「音韻的対立」こそが、言語の分析を行う上で重要な要素でもある。；この頃、戒律の解釈問題で教団内に対立が起こり、分裂しそうになった。；また、彼らは連盟の機構を利用して、関係の改善や対立の解消に努めていた。；同年7月8日に発表された新官制においても、両者の対立は表面化した。；この事件を通じて蔣経国と宋美齢との対立関係は改めて明らかになった。；マルクスは組織運営の問題や思想上の対立でしばしば論敵をつくった。；また、ソ連と対立する中国も武器や訓練でムジャヒディンを支援した。；この3者が現代スーダンの住民対立の大きなグループとしてあげられる。；これは思想的な対立によるものだけでなく、感情的な反感も含まれている。；このような河合・蝋山の意見が委員会の大勢と対立することは明らかである。；この頃にはカエサルとポンペイウスの対立は避けられないものになっていた。；これらの対立にはの政治的な側面からの影響もあった。；独立後、キリスト教とイスラム教が対立する宗教間紛争が多く起こった。；以降、ことあるごとに田中外相と外務官僚の対立が続くようになった。；エリザベス2世はこの場合対立する2つの君主であるという立場になる。；また、貿易を巡って西ヨーロッパ諸国と対立するようになっていった。；この時代は、政治的には三十年戦争と宗教対立で特徴づけられている。；バンド内で意見の対立が表面化したのは、1969年の前半からだと言われている。；周辺国との関係では、キプロスの帰属問題でトルコとは対立関係にある。；これもまたウズベキスタンと西洋諸国が対立した理由の一つに挙げられている。；ただしこの両方針は必ずしも対立するものではない。；また、宗氏は戦国時代には壱岐に進出した松浦氏との対立がはじまった。；ただ対立期間が長かったので冷却期間がしばらく必要なだけだった。；というのも対立の結果として、彼がカレー総督に任命されたためである。；この天皇と幕府が対立に至る過程には諸説あり一定しない。</t>
        </is>
      </c>
      <c r="J5041">
        <f>HYPERLINK("https://www.weblio.jp/content/対立", "词义详情")</f>
        <v/>
      </c>
      <c r="K5041">
        <f>HYPERLINK("https://yourei.jp/対立", "查看例句")</f>
        <v/>
      </c>
    </row>
    <row r="5042">
      <c r="A5042" t="inlineStr">
        <is>
          <t>大量</t>
        </is>
      </c>
      <c r="B5042" t="inlineStr">
        <is>
          <t>成功</t>
        </is>
      </c>
      <c r="C5042" t="inlineStr">
        <is>
          <t>読み方：たいりょう
［名・形動］
１数量の多いこと。たくさんなこと。また、そのさま。多量。「—な（の）商品をさばく」⇔少量。
２度量が大きいこと。心が広いこと。また、そのさま。「—な（の）人物」「—大度(たいど)」⇔小量。</t>
        </is>
      </c>
      <c r="D5042" t="inlineStr">
        <is>
          <t>大量生産(2%)；大量輸送；大量発生；大量導入；大量建造</t>
        </is>
      </c>
      <c r="E5042" t="inlineStr">
        <is>
          <t>多く；多い；たくさん；豊か；豊富</t>
        </is>
      </c>
      <c r="F5042" t="inlineStr">
        <is>
          <t>大量の補給物資；大量高速輸送；大量輸送機関；大量斃死；大量リーチ目</t>
        </is>
      </c>
      <c r="G5042" t="inlineStr">
        <is>
          <t>大量虐殺；大量破壊兵器；大量殺人；大量絶滅；大量消費</t>
        </is>
      </c>
      <c r="H5042" t="n">
        <v>29</v>
      </c>
      <c r="I5042" t="inlineStr">
        <is>
          <t>製造機械が使われるようになり安価に大量生産することも可能になった。；帰還カプセルの中には小惑星由来と考えられる物質が大量に入っていた。；通勤列車は毎日勤務先と家との間を往復する大量の住民を運んでいる。；ビールはパンと並んで主要な食物とされており、大量に生産・消費された。；そのため、車両自体の寿命を迎える前に大量淘汰を受けることとなった。；長期にわたり大量に製造されたため、途中で様々な改良が加えられている。；の用いる S式は括弧を大量に使用するため、批判を受けることもある。；よって、日本は遺伝子組換え作物を大量に輸入していると推定されている。；逆に暑さには強く、夏が近づくと水を大量に飲み、大量に汗をかいた。；これは大量に生産および販売された最初の機械式紙綴器であった。；西洋での産業革命期には、締結用のねじが大量に生産されるようになった。；しかし一度に大量の情報を話し、聞き返す事もできないためメモは必須。；このため老朽化した歩道橋を撤去して更新しない大量撤去時代に移っている。；大量生産されたため、動態車両6両を含む多くの車両が現存している。；翌年以降は更に伸びており、この時期大量のソフトが市場に流れ込んでいた。；当初想定されていた戦車の運用法では大量の戦車による集団戦を行う予定であった。；このとき、スペインからイングランドへ大量のメキシコ銀が流入した。；日本では高度経済成長期に大量に建設した橋が、大量に老朽化しつつある。；上記の節のように日本は大量に遺伝子組換え作物を輸入している。；続いて大量の資金をロシアの革命家に提供してロシアを不安定にしようとした。；同じレイアウトのウェブページを大量に生成するときなどに使われる。；大量の磁気テープを自動化された三次記憶装置に格納したものである。；だがビールに使用するための大量栽培が開始されたのは13世紀になってからである。；売買対象は主に漫画や文庫本など大量出版され希少価値の低い書籍である。；かつて塗料に大量に使用されていたが最近は毒性を考慮して使用が減少している。；そのため、山地の河川では洪水時に大量の砂礫を運搬することができる。；数打ちと言われるような大量生産された物の中には最低限の刃しか付いていない物もある。；特にフタロシアニンは応用分野での消費量が多く、大量に生産されている。；現在でも第三世界には旧ソ連製の武器が大量に流通している。</t>
        </is>
      </c>
      <c r="J5042">
        <f>HYPERLINK("https://www.weblio.jp/content/大量", "词义详情")</f>
        <v/>
      </c>
      <c r="K5042">
        <f>HYPERLINK("https://yourei.jp/大量", "查看例句")</f>
        <v/>
      </c>
    </row>
    <row r="5043">
      <c r="A5043" t="inlineStr">
        <is>
          <t>体力</t>
        </is>
      </c>
      <c r="B5043" t="inlineStr">
        <is>
          <t>成功</t>
        </is>
      </c>
      <c r="C5043" t="inlineStr">
        <is>
          <t>読み方：たいりょく
１労働や運動に耐える身体の力。また、病気に対する抵抗力。「若いだけに—がある」「—の限界」「—測定」
２（比喩的に）組織が活動するための力。特に、企業の経営において、収益性・生産性・資金力・安定性・成長の可能性などのこと。「会社に—があるうちに新商品を開発する」</t>
        </is>
      </c>
      <c r="D5043" t="inlineStr">
        <is>
          <t>体力ゲージ(4%)；体力回復；体力作り；体力テスト；体力づくり</t>
        </is>
      </c>
      <c r="E5043" t="inlineStr">
        <is>
          <t>スタミナ；基礎体力；タフさ；持久力；持久性</t>
        </is>
      </c>
      <c r="F5043" t="inlineStr">
        <is>
          <t>強靭な体力；残り体力；体力気力；体力強化；体力不足</t>
        </is>
      </c>
      <c r="G5043" t="inlineStr">
        <is>
          <t>体力測定；体力値；体力測定ゲーム</t>
        </is>
      </c>
      <c r="H5043" t="n">
        <v>29</v>
      </c>
      <c r="I5043" t="inlineStr">
        <is>
          <t>これを受けて体力的な限界もあったことからこの年をもって現役を引退。；控えに回っているキャラクターは体力ゲージがわずかずつだが回復する。；訓練に参加するには、年齢・体力の基準を満たしていなければならない。；この時既に体力低下のために発言を続けられないほど衰えていたのである。；先述・後述にもある通り、当番組は終始体力勝負が鍵になる番組だった。；体力や社会生活などに応じて日帰り手術など様々な治療法が選択される。；ただし一気に体力ゲージの半分以上を奪うような連続技はほとんどない。；体力が10設定されており、攻撃を当ててこれを0にしないと倒せない。；塔はおおむね職業を限定せずに、体力のある男性のグループで構成される。；つまり相手を攻撃し続け、より先に体力を削った方が若干有利になる。；このため、知力が重視された回もあれば体力や運に強く影響された回もある。；空中勤務体力検査に合格した学生は、卒業後、飛行訓練が実施される。；こちらは体力を回復させるのではなくKO状態から復帰できるというもの。；時間や体力に応じて数ヵ所設定されている折り返しポイントを利用できる。；また体力如何に関係なくイベントがない限り毎週日曜日は取材出来ない。；体力が尽きるかすべての技が相手に攻略された場合は負けとなる。；戦う相手となるモンスターなどの敵も、同様に技術点と体力点を持っている。；各モードで相手の体力を0にする以外で勝敗のルールをつけることができる。；これらは使用した場合体力の回復や回避力の上昇などの魔法と同様の効果を得ることができる。；引退は体力・気力の限界だけでなく人間関係が原因なのではないか?；また敵が空中に投げだされている時は体力関係無く特殊な投げを決める事が出来る。；「突き」と「振り」の基本ダメージは各体力の値に応じて決まっている。；元々の体力低下を背景としていることが多く、治療成績も決して良好ではない。；前作のような物理的な体力ゲージは存在せず、TPが体力を兼ねている。；そして、なんと打ち勝ちがたい力で、その翼をおられてきただろう。；これを繰り返して、どちらかの体力点が0になるまで戦闘を続ける。；その子犬は、体力が回復してもなぜか暗い表情で、多くを語ろうとしない。；また体力系のゲームで不利にならないよう男女を同数に揃える場合もある。；食を改善し体力を強化させることで薬漬けの多くの子供たちを救う。</t>
        </is>
      </c>
      <c r="J5043">
        <f>HYPERLINK("https://www.weblio.jp/content/体力", "词义详情")</f>
        <v/>
      </c>
      <c r="K5043">
        <f>HYPERLINK("https://yourei.jp/体力", "查看例句")</f>
        <v/>
      </c>
    </row>
    <row r="5044">
      <c r="A5044" t="inlineStr">
        <is>
          <t>対話</t>
        </is>
      </c>
      <c r="B5044" t="inlineStr">
        <is>
          <t>成功</t>
        </is>
      </c>
      <c r="C5044" t="inlineStr">
        <is>
          <t>読み方：たいわ
［名］(スル)向かい合って話し合うこと。また、その話。「市長が住民と—する」</t>
        </is>
      </c>
      <c r="D5044" t="inlineStr">
        <is>
          <t>対話型(4%)；対話的(3%)；対話形式；対話者；対話式</t>
        </is>
      </c>
      <c r="E5044" t="inlineStr">
        <is>
          <t>話；話し；会話；話す；協議</t>
        </is>
      </c>
      <c r="F5044" t="inlineStr">
        <is>
          <t>対話集会；短い対話；非対話；天文対話；南北対話</t>
        </is>
      </c>
      <c r="G5044" t="inlineStr">
        <is>
          <t>対話路線；対話型証明系；対話編；対話でつなごう滋賀の会；対話体小説</t>
        </is>
      </c>
      <c r="H5044" t="n">
        <v>29</v>
      </c>
      <c r="I5044" t="inlineStr">
        <is>
          <t>彼女は話したい話をしてるだけなのだから、それがきっといいのだろう。；これは最も人間との対話がうまかったプログラムに与えられる賞である。；のちにワンマン運転への対応のため、全車両が対話式へ交換されている。；この点でユーザーの入力を必要とする対話型プログラムとは対極にある。；これ以上関わらないで欲しい相手から、聞きたい話なんかないのだろう。；それ故、ビデオや写真の対話型の音を持っている電話が可能となる。；黄承彦は目を白黒させながら孔明の理解しがたい話を聞くしかなかった。；これが何処かで吾輩に通じる点があれば、これほど有りがたい話は無い!；そこでは対話が重んじられ、教師と生徒の問答によって教育が行われた。；Forth の環境はコンパイラと対話形式のシェルが一体化している。；後半はこの旋律を軸にして流れてゆき、木管とヴァイオリンが対話する。；そうなったらまた修正するのではなく、修正をせずに相手と対話を行ってください。；しかし他の正教会とカトリック教会の間の対話はあまり進んでいない。；また、選手とコーチ陣との対話やコミュニケーションを重視している。；社員食堂でしたい話ではなかったので、一樹はそちらの方に足を向けた。；対話を行うかどうかによって後の展開が異なってくることがある。；国内外を問わず戦後の経済成長を支えた著名経営者と対話してきた。；この時点でバッファロー・ハンプはヒューストンを信用し対話を始めた。；チューリングテストでは、対話の相手がマシンなのか人間なのかを推測する。；ピピンとアルクィンの対話の中に、彼らが行った学問の例が見られる。；それでも部屋の外部から見ると、中国語による対話が成立している。；おれは知りたい話を聞かせてもらうまで帰るつもりはない。；また、ゼロ知識性や対話証明の研究から確率的検査可能証明が生まれた。；こうして彼は同じように塔から降りてきた人々と有意義な対話を簡単にできるようになる。；異言派とは一線を引いているが、近年の対話では様々な修正が試みられてきた。；しかし、ほとんどの場合、両者の関係は対話と交渉に基づいて築かれていた。；論証は会話にも見られ、その場合は提案者と対話者がより対称的な関係にある。；このことで敵と対話したとして逮捕されたが、結局告発は取り下げられた。；対話型定理証明機では人間のユーザーがシステムにヒントを与える必要がある。</t>
        </is>
      </c>
      <c r="J5044">
        <f>HYPERLINK("https://www.weblio.jp/content/対話", "词义详情")</f>
        <v/>
      </c>
      <c r="K5044">
        <f>HYPERLINK("https://yourei.jp/対話", "查看例句")</f>
        <v/>
      </c>
    </row>
    <row r="5045">
      <c r="A5045" t="inlineStr">
        <is>
          <t>田植え</t>
        </is>
      </c>
      <c r="B5045" t="inlineStr">
        <is>
          <t>成功</t>
        </is>
      </c>
      <c r="C5045" t="inlineStr">
        <is>
          <t>読み方：たうえ
苗代で育てた稲の苗を水田に移し植えること。《季夏》「渓流の音に雨添ふ—かな／水巴」</t>
        </is>
      </c>
      <c r="D5045" t="inlineStr">
        <is>
          <t>田植え前(3%)；田植え時期；田植え期；田植え祭；田植え女</t>
        </is>
      </c>
      <c r="G5045" t="inlineStr">
        <is>
          <t>田植え唄；田植え機</t>
        </is>
      </c>
      <c r="H5045" t="n">
        <v>29</v>
      </c>
      <c r="I5045" t="inlineStr">
        <is>
          <t>今、誰も田植えの技術を知らなくなったとしても、困る人はいやしない。；田植えや刈り入れの時期になると、牛や馬のように泥にまみれて働いた。；山と森に囲まれたような階段式の水田は、田植え待ちで水をたたえたまま。；きっと、今ごろは田植えを済まして、こちらのうわさでもしていませず。；行基はその間、田植えを墓守りにさせることで里人との約束を果たした。；それはまさに原始の田植えが今日に残っていた、という驚きと恐怖だった。；田植えのころなんか田圃の中にいるし、水たまりにもその虫が出るんです。；地域の諸団体と連携し、老人会との交流や田植え体験活動などを実施していた。；第二次世界大戦後は田植え機が普及し、田植え作業はほぼ機械化された。；中腰の姿勢を保たねばならない田植えは予想以上に孝夫を疲れさせた。；そして戦争等で中断していた「花田植え」神事が40年ぶりに行われた。；前に広がっているのは田植えの終った新田ばかりのようである。；田植えは一斉に始まるから農家は一人でも半分でも手助けがほしくなる。；田植えが始まってから眠気に襲われてどうしようもなくなっていた。；真面目で働き者でなくては、あんな一本一本田植えなんかできません。；青森市内を出ると、道の両側には、田植えの終った水田が広がり始めた。；同じ田植え女でも、日本の早乙女とは肉と野菜ほどにも違っていた。；がっかりしてしまったが、それより田植えのほうが大事なことはいうまでもない。；また田植えや稲刈りへの参加者も募集しており、多くの人が参加している。；どちらの家でも話題は往年の田植えのにぎやかだった思い出に限られていた。；水田はすでに田植えが終り、緑色のじゅうたんのように広がって見える。；山辺の里に田植えの始まりを告げ、秋の豊作を祈願する伝統行事である。；この二十日あまりの間に、雨が降らなければ、田植えはできないのである。；しかし、どちらかと言えば湿った所を好み、水田の田植え前には一面に出る。；田植えも稲刈りも、人力でするのは古い写真でしか見たことがない。；田植え時などの女たちのエロばなしは、女たちが幸福であることを意味している。；田植えでもないのに、こんな昼餉を、この人たちは毎日食べているのだろうか。；田植え祭も近いというのに、千字村では田畠の準備も怠っていた。；一方、両親は田植え女を雇い入れ、船に乗せようと浜辺に来ると船がない。</t>
        </is>
      </c>
      <c r="J5045">
        <f>HYPERLINK("https://www.weblio.jp/content/田植え", "词义详情")</f>
        <v/>
      </c>
      <c r="K5045">
        <f>HYPERLINK("https://yourei.jp/田植え", "查看例句")</f>
        <v/>
      </c>
    </row>
    <row r="5046">
      <c r="A5046" t="inlineStr">
        <is>
          <t>絶えず</t>
        </is>
      </c>
      <c r="B5046" t="inlineStr">
        <is>
          <t>成功</t>
        </is>
      </c>
      <c r="C5046" t="inlineStr">
        <is>
          <t>読み方：たえず
［副］とぎれることなく、引き続き行われているさま。間断なく。いつも。「—水が湧(わ)き出ている」</t>
        </is>
      </c>
      <c r="D5046" t="inlineStr">
        <is>
          <t>絶えず動い；絶えず変化する；絶えず新しい；絶えず聞え；絶えず聞こえ</t>
        </is>
      </c>
      <c r="E5046" t="inlineStr">
        <is>
          <t>いつも；ずっと；常に；必ず；一定</t>
        </is>
      </c>
      <c r="F5046" t="inlineStr">
        <is>
          <t>内紛が絶えず；絶えず繰返さ；絶えず油断なく；絶えず働かせ；絶えず苦しめられ</t>
        </is>
      </c>
      <c r="H5046" t="n">
        <v>29</v>
      </c>
      <c r="I5046" t="inlineStr">
        <is>
          <t>僕は彼の内心では僕の秘密を知る為に絶えず僕を注意しているのを感じた。；僕は彼の内心では僕の秘密を知る為に絶えず僕を注意してゐるのを感じた。；健康生成理論では、人々は絶えず苦難の影響を受けで戦っているとされる。；ハドルの中は絶えず移動しており、外側にいる個体が内側へ移動していく。；然し与えられない為めに悶死する人がこの世の中には絶えずいるのですね。；以後、それらの悪化がないかどうか絶えず観察しなければならない。；平成に入ってからも水害が発生しており、絶えず治水事業が続いている。；海は絶えず膨れ上つて、雪のやうな波の水沫を二人のまはりへ漲らせた。；ときを同じくして人々の間では悪魔の噂が絶えずささやかれるようになっていた。；神は人間に目の前にあるヒントをよく見なさいと絶えず働きかけているのだ。；これら三大国は絶えず同盟を結んだり敵対しながら戦争を続けている。；エセックス級はその建造計画の全体に渡って絶えず修正が行われた。；彼は絶えず鉛筆とメモ用紙を持ってヒトラーの言葉をメモに取っていた。；彼は絶えず軍人の訓練および度量と士気を高めるための手段を追求した。；筋肉は絶えずある程度の負荷を与えなければ、萎縮していく運命にある。；父親がアメリカ海軍に勤務していたため、一家は絶えず転居していた。；第一詰め所に坐ったまま、門の内外五六間の距離へ絶えず目を注いでいる。；急速に変化するビジネス環境では、価値を決定する要因は絶えず変化している。；けれども僕の影は前のように絶えず左右に動いていた。；けれども僕の影は前のやうに絶えず左右に動いてゐた。；数十メートル頭上には空港へ離着陸する巨大な旅客機が絶えず通過していった。；彼は絶えず退却する非常に困難な状況で戦わなければならなかった。；夏には、シュピールマンツークは周辺の射撃祭で絶えず演奏を行っている。；また絶えず動き続けることにより、底に付着してしまうことも避けられる。；モネは手紙の中で、水と反射光だけが絶えず頭の中を去来すると書いている。；その後も土地の隆起と堆積とが絶えず進んで、海が浅くなっていった。；この人は多く議論を致しませんが、煙草はその代りに絶えず喫みます。；そのような絶えず流動する世界を根幹でつなぐのがロゴスであるとされた。；が、内心はこの間も絶えず二つの問題を解決しようとあせっていた。</t>
        </is>
      </c>
      <c r="J5046">
        <f>HYPERLINK("https://www.weblio.jp/content/絶えず", "词义详情")</f>
        <v/>
      </c>
      <c r="K5046">
        <f>HYPERLINK("https://yourei.jp/絶えず", "查看例句")</f>
        <v/>
      </c>
    </row>
    <row r="5047">
      <c r="A5047" t="inlineStr">
        <is>
          <t>絶える</t>
        </is>
      </c>
      <c r="B5047" t="inlineStr">
        <is>
          <t>成功</t>
        </is>
      </c>
      <c r="C5047" t="inlineStr">
        <is>
          <t>読み方：たえる
［動ア下一］［文］た・ゆ［ヤ下二］
１続いていたものが途中で切れて続かなくなる。とぎれる。「人通りが—・える」「仕送りが—・える」
２切れたあと完全になくなってしまう。なくなる。尽きる。「血筋が—・える」「けんかが—・えない」
３呼吸が止まる。死ぬ。「命が—・える」</t>
        </is>
      </c>
      <c r="D5047" t="inlineStr">
        <is>
          <t>絶えることなく(13%)；絶える間もなく；絶える事なく</t>
        </is>
      </c>
      <c r="E5047" t="inlineStr">
        <is>
          <t>滅亡；絶滅；廃絶；死滅；滅ぶ</t>
        </is>
      </c>
      <c r="F5047" t="inlineStr">
        <is>
          <t>いつ絶える；常に絶える</t>
        </is>
      </c>
      <c r="H5047" t="n">
        <v>29</v>
      </c>
      <c r="I5047" t="inlineStr">
        <is>
          <t>不明瞭な形で統一された国家内の緊張は戦闘後も絶えることなく続いた。；ソ連と中国の間で細菌戦争が勃発し、ほぼすべての人類が息絶えた世界。；ひとりでに命の絶える時が近づいた様に男がもの首はほそくなって居る。；意識が絶える瞬間まで「早く仕事に戻りたい」と繰り返していたという。；自然および敵意を持つ土着の人たちとの絶えることの無い戦いであった。；帰国して知ったのだが、その種の薬の流入は絶える事なく続いていた。；悪魔の命が絶えるのを目のあたりにしたら、おれに劣らず満足なはずだ。；坐禅していても次から次へと絶えることなく色んな雑念が浮かんでくる。；しかし、それにも拘らず、彼女の顔からは微笑が絶えることはなかった。；それでも旅人の姿が全く絶えるほどの日はなく、雪もさほど深くはない。；二度の火災などにあったが、絶えることなく今日まで法灯を伝えている。；攻撃の噂はそれ以前にも絶えなかったが、これが実際の最後通牒となった。；客は絶えることがなく、ふたりのうしろにはすぐに順番待ちの人が立った。；清詩が何知らず成長する間にも、母の苦しみは絶えることがなかったのだ。；そして神への償いは自分の死をもって果たされると言い息絶えるのだった。；わたしには別ないつも絶えることのない同じ悲しみがあるんです。；日本経済が自由化に耐えられるか否かは議論が絶えていなかったもしや。；天使たちは神への賛美を絶えることなく行っていると信じられている。；Bブロックの小爆発は短い間を置いて絶えることなくつづいていた。；日没とともにかの女は息絶え、フーリンは妻のために墓を作って去った。；そして、これは僕がこの部屋にゐる限り絶えることのない苛責なのだ。；絶えることのない強迫観念に囚われて、どこまでも落ちていってしまう。；長羅は反絵を倒した後、傷ついた体で卑弥呼の名を呼びながら息絶える。；その試合は相手が息絶えるまで続くとされ、その姿は悪魔そのものといわれる。；それにいつ絶えるか解らないからこそ価値があるのかもしれません。；しかし犯人逮捕後も、地元ではしばらくその噂が絶えなかったという。；そこは朝鮮がいつも保有する深さと神秘との絶える事のない蔵庫である。；それがもしなくなる時には、空気がもしなくなる時には、われわれは息絶える。；しかし、以降、東野自身のみならず美術分野での論述は絶えてしまった。</t>
        </is>
      </c>
      <c r="J5047">
        <f>HYPERLINK("https://www.weblio.jp/content/絶える", "词义详情")</f>
        <v/>
      </c>
      <c r="K5047">
        <f>HYPERLINK("https://yourei.jp/絶える", "查看例句")</f>
        <v/>
      </c>
    </row>
    <row r="5048">
      <c r="A5048" t="inlineStr">
        <is>
          <t>耐える</t>
        </is>
      </c>
      <c r="B5048" t="inlineStr">
        <is>
          <t>成功</t>
        </is>
      </c>
      <c r="C5048" t="inlineStr">
        <is>
          <t>読み方：たえる
［動ア下一］［文］た・ふ［ハ下二］
１苦しいこと、つらいこと、嫌なことをじっとがまんする。辛抱する。こらえる。「厳しい訓練に—・える」「暑さに—・える」「憤慨に—・えない」
２外部から加えられる強い力や作用に対しても、屈したり影響を受けたりせず、抵抗する力をもつ。もちこたえる。「重労働に—・える」「高温に—・える構造」
３
㋐（堪える）それをする能力がある。その力量がある。「任に—・える」
㋑性能・力などがなくならずにある。「まだ使用に—・える」
４（堪える）わざわざそうするだけの価値がある。…に値する。「鑑賞に—・える作」「読むに—・えない」
→堪(こら)える［用法］</t>
        </is>
      </c>
      <c r="D5048" t="inlineStr">
        <is>
          <t>耐えるしかない；耐えるべき；耐えるべく</t>
        </is>
      </c>
      <c r="E5048" t="inlineStr">
        <is>
          <t>持つ；抵抗；生きる；我慢；生存</t>
        </is>
      </c>
      <c r="F5048" t="inlineStr">
        <is>
          <t>じっと耐える；ひたすら耐える；黙って耐える；十分耐える</t>
        </is>
      </c>
      <c r="H5048" t="n">
        <v>29</v>
      </c>
      <c r="I5048" t="inlineStr">
        <is>
          <t>そのため、通常の管理をしていれば、日本の夏でも耐えることができる。；機体は、幾度となく改良作業を受け、長年の使用に耐えるものとされた。；それに加えて、曲げモーメントにも耐える構造を備えていることが多い。；イザとなれば私にしても、或る程度までの憎しみに耐えることができる。；粗雑な構造のものも多く長期使用に耐える、信頼性の高いものでもない。；神が人の罪を心に留められるのであれば誰一人耐えることはできないのである。；地震工学を加味した構造物は地震に耐えるように設計されたものである。；それを耐えるには親族よりも友人の方が向いているだろうというのだ。；しかし自然と調和している人による試験に耐えることができるであろうか?；その人気の一部は、1年もの保存に耐える保存性や芳香に起因している。；打撃を受ける際には歯を噛み締めて頭部の衝撃に耐えるのが基本だからである。；このためRO膜は圧力に耐えるよう、以下のいずれかの構造で造られる。；後半も韓国が押し込む展開となり、日本は必死に耐える時間が続いた。；砦の壁はかつて砲弾にも耐える強いものだったが、保守されていなかった。；何も被害がないのに言う人と、被害があるのにじっと耐える方と。；人生の意味を見出している人間は苦しみにも耐えることができるのである。；放射線に耐える能力はその強力なDNA修復機構によると考えられている。；だが、リカルドは彼の目撃し、受けた試練に耐えることはできなかった。；この区画は、法で定められた一定の時間は火炎に耐えることが要求される。；ゴム製のものは耐久性も高く長期間の使用に耐えるものが増えてきている。；この値が高いほど、性能が高く、大きな水平荷重に耐えることができる。；部分修復された橋は増加する通行量に耐える強度を持っていなかった。；あまり熱すぎると当然死ぬが、百度に耐えるようなのはゴロゴロしている。；このような低劣な性格にして猶検察官たるに耐えるでありましょうか。；良人の兜を膝に持って、ただ重げな花のすこし風を耐えるに似ていた。；トンネル走行時にかかる外圧変動にも耐えることができる設計となっている。；に耐えることが要求されており、当時の空母としては相当な重防御であった。；責に耐えるとはどうしても、そうせぬことが可能であった場合でなくてはならぬ。；ボディは10万度の高熱にも耐える特殊金属バロニウムで作られている。</t>
        </is>
      </c>
      <c r="J5048">
        <f>HYPERLINK("https://www.weblio.jp/content/耐える", "词义详情")</f>
        <v/>
      </c>
      <c r="K5048">
        <f>HYPERLINK("https://yourei.jp/耐える", "查看例句")</f>
        <v/>
      </c>
    </row>
    <row r="5049">
      <c r="A5049" t="inlineStr">
        <is>
          <t>楕円</t>
        </is>
      </c>
      <c r="B5049" t="inlineStr">
        <is>
          <t>成功</t>
        </is>
      </c>
      <c r="C5049" t="inlineStr">
        <is>
          <t>読み方：だえん
二つの定点からの距離の和が一定な点の軌跡。二定点を楕円の焦点という。長円。</t>
        </is>
      </c>
      <c r="D5049" t="inlineStr">
        <is>
          <t>楕円形(11%)；楕円状披針形(2%)；楕円運動；楕円球；楕円状卵形</t>
        </is>
      </c>
      <c r="E5049" t="inlineStr">
        <is>
          <t>卵型；長円；楕円面</t>
        </is>
      </c>
      <c r="F5049" t="inlineStr">
        <is>
          <t>長楕円；半楕円；円形または楕円；白い楕円；巨大な楕円</t>
        </is>
      </c>
      <c r="G5049" t="inlineStr">
        <is>
          <t>楕円軌道；楕円曲線；楕円体；楕円銀河；楕円型</t>
        </is>
      </c>
      <c r="H5049" t="n">
        <v>29</v>
      </c>
      <c r="I5049" t="inlineStr">
        <is>
          <t>江戸時代には側円と呼ばれ明治になって楕円と呼ばれるようになった。；その際楕円の軌道を描いて戻ってくるためこの名称であると思われる。；月は地球のまわりに円を描いているのではなくて、楕円を描いている。；裏面には、星々を背景に立つキリストの姿が楕円の枠内に描かれている。；立山カルデラにある4つの池の一つで、形状は単純な楕円形をしている。；解曲線の形状は、純粋な円や楕円というよりは卵のような形となっている。；地球の軌道は楕円なので, 太陽と地球の距離は1年間の間でも変化する。；球とも楕円ともつかない形をして、表面は非常につるつるとしている。；この楕円構造は中心星の進化と歴史的に関係があるのは間違いないと見られている。；かれらははじめて機能的な楕円であるかれらの姿を互いに見た。；道を一本挟んで城の北西には緑色に塗りつぶされた小さな楕円が描かれている。；この楕円形状の領域に発生する力によって列車が支えられ、走行している。；また中央の白い楕円は躍動する学生たちの未知なる力を表現している。；処が類同幾何学に於ては距離、角、円と楕円との区別、等の概念はない。；眼もくらむ光の楕円は重なりあいながら、モノリスの上に集中していた。；見るものの眼に、それは楕円の闇に包まれた馬と車体の疾走に見えたであろう。；葉身の全体の形は長楕円状倒卵形で、葉身の先端は尾状鋭尖形をしている。；路面を走る楕円の光に追われ、いくつもの雑霊の気配が逃げていった。；矢印で指した以外に似たような小さな丸や楕円があれば、投薪孔である。；そのため円は楕円の特殊な場合であると考えることもできる。；これによりこの楕円上の全ての点が、 に対応する点 を除いて与えられる。；クレヨンで描いた楕円の中に、丸の目と三角の鼻と四角の口がついていた。；側窓は落とし窓方式の一段窓で、荷物室の戸袋窓は楕円形状となっている。；雪の上に楕円の窪みだけを残して、娘の身体は忽然と消滅していたのである。；つまり近くの楕円との長軸の向きの違いは、歪みの向きの違いになる。；円形や楕円型の斑紋は上顎にはない個体が多く、下顎や喉でも数が少ない。；単位円でおなじみの関係式 を楕円の場合に一般化して、 を定義とする。；楕円の場合は中心から楕円周上の点までの距離は一定ではない。；の公転軌道は、小惑星というよりむしろ彗星に近い極端な楕円形である。</t>
        </is>
      </c>
      <c r="J5049">
        <f>HYPERLINK("https://www.weblio.jp/content/楕円", "词义详情")</f>
        <v/>
      </c>
      <c r="K5049">
        <f>HYPERLINK("https://yourei.jp/楕円", "查看例句")</f>
        <v/>
      </c>
    </row>
    <row r="5050">
      <c r="A5050" t="inlineStr">
        <is>
          <t>倒す</t>
        </is>
      </c>
      <c r="B5050" t="inlineStr">
        <is>
          <t>成功</t>
        </is>
      </c>
      <c r="C5050" t="inlineStr">
        <is>
          <t>読み方：たおす
［動サ五（四）］
１力を加えて、立っている状態のものを横にする。横にねかす。また、ころばす。「木を—・す」「からだを—・す」「足をかけて—・す」
２（「殪す」「斃す」「仆す」とも書く）殺す。「銃で—・す」「一刀のもとに—・す」
３勝負で相手を打ち負かす。打ち破る。「優勝候補のチームを—・す」
４政体・国家などを存続できなくする。くつがえす。滅ぼす。転覆する。「内閣を—・す」「幕府を—・す」
５借りた金を返さず、相手に損害を与える。ふみたおす。「飲食代を—・す」
６動詞の連用形に付いて、徹底的に…するの意を表す。「使い—・す」「遊び—・す」
[可能]たおせる</t>
        </is>
      </c>
      <c r="D5050" t="inlineStr">
        <is>
          <t>倒すべき；倒すべく；倒すしかない；倒す活躍を見せ；倒す毎</t>
        </is>
      </c>
      <c r="E5050" t="inlineStr">
        <is>
          <t>撃破；勝つ；破る；下す；打倒</t>
        </is>
      </c>
      <c r="F5050" t="inlineStr">
        <is>
          <t>引き倒す；斬り倒す；伐り倒す；撃ち倒す；全て倒す</t>
        </is>
      </c>
      <c r="H5050" t="n">
        <v>29</v>
      </c>
      <c r="I5050" t="inlineStr">
        <is>
          <t>入った部屋の全ての敵を倒さなければ次の部屋へ行くことは出来ない。；基本ルールはデスマッチと一緒だが倒されたプレイヤーは復活できない。；色による能力差はないが、同色でも倒した時の得点が異なる場合はある。；アニメ版では壁や床などから現れ、倒されると土のようになり崩壊する。；なお、この際に山川氏から来た同じ養子・小四郎を倒したとされている。；さらに賤ヶ岳の戦いで柴田勝家を倒し、秀吉の権力が強化されていった。；また、ギルで敵を倒した場合、一部の敵を除いて幾分かHPが回復する。；敵を倒したときのスコアは、待機中よりも攻撃中の方が高くなっている。；ザムシャーを倒して己の名を上げるため、彼を追って地球にやってきた。；最初から俺はレッスルマニアでお前を倒すことにすべてを懸けてるんだ!；群れの雄を倒すと、その群れの雌と交尾をすることができるようになる。；敵を撃ちはじめてから倒すまでの時間の長さで分類することができる。；一度倒した敵シンボルは、そのダンジョンを出入りするまで復活しない。；各エリアごとにボスがいて、それを倒すことでまた次のエリアへ進める。；しかし夜行はそれらを製作、遊戯の神のカードを倒す為に使用している。；カルマは「本来倒すべきではない敵」を倒してしまった場合に増加する。；カルマは「本来倒すべきではない敵」を倒してしまった場合に増加する。；このステージは画面の奥の方に小さく見える敵兵も倒すことができる。；彼らを倒して「バトルシンボル」を手に入れることが目標となっている。；敵の中には悪人以外にも動物が追加され、倒すと風車を落とす事がある。；真奈がゆっくり体を起こすが、男はもうそれを引き倒そうとはしなかった。；また、これまで倒すことが不可能だった妖怪が倒せるように変更された。；中国ステージのCPU専用キャラクターで、李を倒した後に登場する。；特記がない場合は、倒してしばらくすると初期位置に卵が出現して復活する。；鍋を倒そうにも娘の力ではどうすることもできないはずなんですよ。；相手に直接ダメージを与える、または相手を倒すことを目的とした呪文。；これを、いきなりただ倒そうと思っても、なかなか倒れるものではない。；喧嘩を売っていない人を攻撃する事もでき、倒すと経験値も得られる。；娘の自由を奪って私を倒そうとしたのだろうが、そんな事で娘は止まらん。</t>
        </is>
      </c>
      <c r="J5050">
        <f>HYPERLINK("https://www.weblio.jp/content/倒す", "词义详情")</f>
        <v/>
      </c>
      <c r="K5050">
        <f>HYPERLINK("https://yourei.jp/倒す", "查看例句")</f>
        <v/>
      </c>
    </row>
    <row r="5051">
      <c r="A5051" t="inlineStr">
        <is>
          <t>倒れる</t>
        </is>
      </c>
      <c r="B5051" t="inlineStr">
        <is>
          <t>成功</t>
        </is>
      </c>
      <c r="C5051" t="inlineStr">
        <is>
          <t>読み方：たおれる
［動ラ下一］［文］たふ・る［ラ下二］
１立っている状態を続けられなくなって横になる。支える力を失ってころんだり、倒壊したりする。「暴風で木が—・れる」「石につまずいて—・れる」
２病気になって床につく。「心労で—・れる」
３（「殪れる」「斃れる」「仆れる」とも書く）命を奪われる。殺される。死ぬ。「敵弾に—・れる」
４勝負で負かされる。屈する。「横綱が—・れる」「三振に—・れる」
５政体・国家などがくつがえる。滅びる。「内閣が—・れる」
６資金などが続かなくなり仕事がゆきづまって、店・会社などがつぶれる。倒産する。「不景気で—・れる会社が多い」</t>
        </is>
      </c>
      <c r="D5051" t="inlineStr">
        <is>
          <t>倒れるかもしれ；倒れるかも知れ；倒れるすさまじい音；倒れるところでし</t>
        </is>
      </c>
      <c r="E5051" t="inlineStr">
        <is>
          <t>滅亡；破滅；散る；崩れる；崩壊する</t>
        </is>
      </c>
      <c r="F5051" t="inlineStr">
        <is>
          <t>受けて倒れる；行き倒れる；次々と倒れる；どうと倒れる；ばったり倒れる</t>
        </is>
      </c>
      <c r="H5051" t="n">
        <v>29</v>
      </c>
      <c r="I5051" t="inlineStr">
        <is>
          <t>これはPID制御で比較的簡単に倒れないように制御することができた。；どうかすると、剣を抜いて道に立てて、その倒れる方へ行ったりもした。；同年にはブロードウェイの舞台で倒れ、病院に搬送される騒ぎもあった。；味方が一人でも倒れると陣形が維持できなくなりバリアが消えてしまう。；私はずっと貴方がドイツのために戦って倒れたのだと思い続けます。；最初に探索しようと試みたときには、倒れるまでに五十二歩を数えていた。；ほかの人たちの傷ついた足や倒れるからだを夢のやうに横の方に見たのです。；しばらくして恐ろしい悲鳴が聞こえ、同時に重い物が倒れる音がした。；全ての筋緊張がカタレプシー様に消失して地上に倒れてしまうなどする。；祖父はこの世話で少し無理して倒れただけで、そう大ごとでは無かったのだ。；然しもしあの身体で歩いて帰るとすれば、途中で倒れるにきまつて居る。；すべての筋緊張がカタレプシーのように消失して倒れてしまったりする。；海軍部隊も攻撃に出た者はほとんどが倒れ、わずかな人数が領事館に帰った。；指示通りに向かった先で、裸の女性が倒れているのを見つけ駆け寄るたくや。；そして腰かけると云うよりはむしろ倒れるように椅子に腰をおろした。；代わってその弟・道兼が関白になるが、疫病に倒れわずか数日で死去。；敵の攻撃に倒れたキャラクターはその場で捕虜状態となる。；倒れた木は海に落ち、その破片は人々に幸せをもたらすものとなった。；そして倒れると同時に、その板の間が血でどろどろしているのを感じた。；マルコはもしかすると病気にでもなって倒れるのではないかと思いました。；残されたホフマンは、すべてを失った惨めさにそのまま死を望み倒れる。；綾人は神殿の巨大な卵型の神体を見たとたん苦しみはじめ倒れてしまう。；この軍団が洛陽に到着した際、付き従っていた父・司馬談が病に倒れた。；倒れるときに、飛行機が来たときに使うつもりで持っていた信号弾を発射する。；平成30年度の台風でテニスコートとの間の木が倒れる被害が発生した。；続く八木裕が四球で追加点のチャンスだったがアリアスが倒れて無得点。；だがホスの極寒の吹雪に巻き込まれ、雪の中で気を失って倒れてしまう。；自分の看病で2度も倒れた父に賢治は後までも負い目を感じていたという。；孫峻から節と左護軍を授けられての出陣であったが、陣中で病に倒れた。</t>
        </is>
      </c>
      <c r="J5051">
        <f>HYPERLINK("https://www.weblio.jp/content/倒れる", "词义详情")</f>
        <v/>
      </c>
      <c r="K5051">
        <f>HYPERLINK("https://yourei.jp/倒れる", "查看例句")</f>
        <v/>
      </c>
    </row>
    <row r="5052">
      <c r="A5052" t="inlineStr">
        <is>
          <t>だが</t>
        </is>
      </c>
      <c r="B5052" t="inlineStr">
        <is>
          <t>成功</t>
        </is>
      </c>
      <c r="C5052" t="inlineStr">
        <is>
          <t>［接］前に述べた事柄と反対・対立の関係の内容を述べるのに用いる語。そうではあるが。けれど。だけど。「失敗した。—有意義な経験だった」</t>
        </is>
      </c>
      <c r="D5052" t="inlineStr">
        <is>
          <t>だがそれでも；だが結局；だがそれにしても；だが今回；だが確実</t>
        </is>
      </c>
      <c r="F5052" t="inlineStr">
        <is>
          <t>だが峻護；だが宮戸彦；だが倭建；だが千反田；だが綺礼</t>
        </is>
      </c>
      <c r="G5052" t="inlineStr">
        <is>
          <t>だがし；だがそれがいい；だが断る</t>
        </is>
      </c>
      <c r="H5052" t="n">
        <v>29</v>
      </c>
      <c r="I5052" t="inlineStr">
        <is>
          <t>だが啓蒙主義はすでに宗教を科学の世界から追放してしまったのである。；だが、周囲の色に引きずられて物の色が違って見えては困るであろう。；だが、彼が優秀であることをジョニーは兵士になった日からわかっていた。；だが、本来の意味とは異なる意味でこれらの語句が使用されることがある。；だが帝国主義者チャーチルにはもちろんそんなことは認められなかった。；だが、この交渉は不調に終わり、謀略を使って脱出を行うことになった。；だが場合によっては定義式から計算したほうが簡単なときもある。；だがこのことを選手にも伝えず、帰国もしないで指揮を執り続けた。；だが、ラテン語が今日の欧州で重視されているとまでいうことはできない。；だが冥王は再び魔界を支配するべく、世界を司る5つの石を集めていた。；だが、こんな高度な技術文明が地球に存在したという痕跡は残っていない。；だが初めて人間を宇宙に送ったのは、またしてもソ連であった。；だが、イアソンと惹かれあったメディアは 彼と仲間達を助け脱出した。；だが、彼らの孫の世代は英語のみしか知らないのが普通である。；だが同月25日の運転開始を前に終戦を迎えたため未実施に終わった。；だがともかく、ピエールはこうして父親のもとから完全に独立したのである。；だが、近代的な戦闘理論が成立したのはナポレオンの時代に入ってからである。；だが日本軍の敵は中国軍ではなく、また中国軍の敵も日本軍ではなかった。；だがローマによる破門の後もカトリックの教義への信仰は失わなかった。；だがビールに使用するための大量栽培が開始されたのは13世紀になってからである。；だが帝国海軍の将来を考える時必ずこの人に大任を託す時期が来ると思う。；だがホスの極寒の吹雪に巻き込まれ、雪の中で気を失って倒れてしまう。；だが、コントの男性優位的な思考を変える出来事が後に起こっている。；だが、結婚してから1年ほどの間に、彼女の容姿は変わり果てていった。；だがステージの上で自分自身を表現すると吃音はすぐに消えた。；だがそこに寄せられる政府批判は予想外に厳しいものであった。；だが、ヘーゲルは哲学者としてまだスタート地点に到達していなかった。；だが、またしてもヨーク公は貴族層の支持が薄いために失敗した。；だが、室町時代に入ると座を取り巻く環境に変化が生じるようになる。</t>
        </is>
      </c>
      <c r="J5052">
        <f>HYPERLINK("https://www.weblio.jp/content/だが", "词义详情")</f>
        <v/>
      </c>
      <c r="K5052">
        <f>HYPERLINK("https://yourei.jp/だが", "查看例句")</f>
        <v/>
      </c>
    </row>
    <row r="5053">
      <c r="A5053" t="inlineStr">
        <is>
          <t>高い</t>
        </is>
      </c>
      <c r="B5053" t="inlineStr">
        <is>
          <t>成功</t>
        </is>
      </c>
      <c r="C5053" t="inlineStr">
        <is>
          <t>読み方：たかい
［形］［文］たか・し［ク］
１
㋐物が、地面などの基準になるところから、かなり上の位置にある。「日が—・い」「頭上—・く翻る旗」「手を—・く上げる」⇔低い。
㋑垂直方向への伸びぐあいが大きい。基準となる面からの出っ張りが大きい。「—・く積み上げる」「—・い鼻」⇔低い。
２
㋐声量が大きい。また、音声の振動数が多い。音域が上である。「興奮して声が—・くなる」「—・い音の出る楽器」⇔低い。
㋑広く知れわたっている。「名声が—・い」「悪名が—・い」
３
㋐物事の程度が他よりも上である。また、水準よりも上である。「教養が—・い」「お目が—・い」「格調—・い作品」「香りが—・い花」⇔低い。
㋑目標などがりっぱである。高邁・高遠である。「志が—・い」「プライドが—・い」⇔低い。
４
㋐数値が大きい。また、度合いが大きい。「—・い点数」「温度が—・い」「平均年齢が—・い」「栄養価が—・い」⇔低い。
㋑金額がかさむさま。また、ある金額に占める割合が大きいさま。「—・く売れる」「税金が—・い」⇔低い／安い。
５他人を見下すさま。おごりたかぶるさま。多く「お高い」の形で用いる。「お—・い人」→御高(おたか)い
「乙に—・く留まって平気でいるじゃないか」〈漱石・明暗〉
[派生]たかさ［名］
[下接句]腰が高い・敷居が高い・頭(ず)が高い・鼻が高い・目が高い・父の恩は山より高し</t>
        </is>
      </c>
      <c r="D5053" t="inlineStr">
        <is>
          <t>高いところ(2%)；高い山；高い場所；高い所；高い声</t>
        </is>
      </c>
      <c r="E5053" t="inlineStr">
        <is>
          <t>大きい；高度；高級；高価；黄色い</t>
        </is>
      </c>
      <c r="F5053" t="inlineStr">
        <is>
          <t>より高い；最も高い；非常に高い；悪名高い；一番高い</t>
        </is>
      </c>
      <c r="G5053" t="inlineStr">
        <is>
          <t>高い位置；高い窓；高いびき；高い石段；高い城の男</t>
        </is>
      </c>
      <c r="H5053" t="n">
        <v>29</v>
      </c>
      <c r="I5053" t="inlineStr">
        <is>
          <t>緊張の高い時のほか、何かに夢中になっているときにも笑いは生じない。；日本でも人気は高く、年末になると各地で第九のコンサートが開かれる。；相手が異性の場合には愛情評価が高ければ恋人関係になることができる。；これらの生物は遡上能力が高くないため、環境変化の影響を受けやすい。；ラファエロの肖像画の中でももっとも高く評価されている作品のひとつ。；このエネルギー評価内で最も計算コストが高いのが非結合部分である。；セミクジラ種は他種よりも一頭あたりの油の割合が高かったためによる。；この高い金属存在量を説明するために、主に3つの理論が提唱されている。；また、低価格で信頼性が高いことから医療機器分野でも多く使用された。；人工張りは環境の変化に強い反面、高く鋭い音になりやすい特徴がある。；中学・高校の成績は平均以下ながら、本好きのため国語だけは高かった。；有機物中に存在する硫黄は反応性が高く重要なアミノ酸に含まれている。；国内では西海岸の人口密度が高く、特に首都周辺に人口が集中している。；パリは、フランス全土でも医師の密度がもっとも高い街のひとつである。；草丈が高いものと低いものがあり、一般には低いのものが多く用いられる。；基本的に前線指揮官に授与されるため受勲者の戦死率は極めて高かった。；之を見るもの、上なるを高しとせざるべく、下なるを卑しとせざるべし。；受験者は一年に10万人を超えることもあるなど非常に人気が高かった。；文全体でこのスコアの合計がもっとも高くなるような品詞列を答えとする。；研究者たちの間でもっとも可能性が高いといわれているのが80年ごろである。；悪名高きド・ローラン一族の者であることを知られたのは失敗だったわ。；黄色の無機顔料の中では安全性が高く、近年は絵具にも使用されている。；この重なり合いのため、電子が結合領域に存在する可能性が最も高くなる。；また遺伝的固定度が高い状態から選抜し、系統化するため効率的である。；恒星が誕生する際には、質量の小さい恒星ほど形成される可能性が高い。；このことから彼のオルガン演奏の技術はきわめて高かったことが知られる。；代わりに、アルゴリズムを使用して最も可能性の高い候補を特定する。；しかしながら前述のように解釈の問題が数多いため、実行の壁は高い。；他人の鼻の頭より以上を見得ないならば、高きにいる事も何の役に立とう。</t>
        </is>
      </c>
      <c r="J5053">
        <f>HYPERLINK("https://www.weblio.jp/content/高い", "词义详情")</f>
        <v/>
      </c>
      <c r="K5053">
        <f>HYPERLINK("https://yourei.jp/高い", "查看例句")</f>
        <v/>
      </c>
    </row>
    <row r="5054">
      <c r="A5054" t="inlineStr">
        <is>
          <t>互い</t>
        </is>
      </c>
      <c r="B5054" t="inlineStr">
        <is>
          <t>成功</t>
        </is>
      </c>
      <c r="C5054" t="inlineStr">
        <is>
          <t>読み方：たがい
相対する関係にある二者。双方、または、そのひとつひとつ。「お互い」の形でも用いる。「—の意思を尊重する」「—が譲り合う」</t>
        </is>
      </c>
      <c r="D5054" t="inlineStr">
        <is>
          <t>二つ；両者；双方；お互い；ペア</t>
        </is>
      </c>
      <c r="H5054" t="n">
        <v>29</v>
      </c>
      <c r="I5054" t="inlineStr">
        <is>
          <t>東京に戻っても二人はケンカばかりだがいつからか互いを意識し始める。；このイベントでは制限時間内に質問しあって互いのことを知っていく。；下顎の先端は互いの方に向かって曲がっておらず、内側で接触している。；イギリス軍に攻撃された場合に互いの軍事的な支援を無期限に約束した。；二人とも膝の上へ手を置いて、互いの肩を並べたままじっとしていた。；女性同士または男女が足を交差させ、互いの足の間で性器を結合させる。；互いの姿を見合わせた二人は床に転げながら大爆笑し続けるのであった。；上流家庭間の結婚では、花嫁と花婿は式の当日まで互いの顔も知らない。；個人が体を鍛えるために行ったり、集団で互いの力を競いあったりした。；二人は互いを支えあい、時に疑いながら次第に心惹かれてゆくのだった。；跨線橋はなく、互いのホームの移動には入口付近の一般踏切を利用する。；駅舎は総社行きホーム側にあり、互いのホームは跨線橋で連絡している。；ユーザーは互いの連絡先にアクセスできる権限を交換し合うことが出来た。；多くの場合は互いの石が接触して戦闘が始まるまでの段階を指す。；李承晩と金九の互いの非難に韓民党は政治的に良いように利用していた。；するとアリーナにが現れ、互いの力を使い尽くすまで両者は戦い続けた。；彼とアルジンバ、は決選投票に入った時に互いを支持する事を確認した。；互いの攻撃はまだ衝突しない間合いだと和穂は判断しているのだろう。；関係を複数持つことも可能で、互いを関連させることも可能である。；その為、木村と深い連携関係にあり、互いを擁護する発言を続けていた。；互いのホームは跨線橋で連絡しており、線路の横断は不可とされている。；小規模な開発メンバーが互いの友好的な関係を高める効果も期待される。；暁星小学校時代はクラスメイトであり、互いの家に遊びに行く仲だった。；互いのホームは跨線橋で連絡しているが、エレベーターなどの設備はない。；どちらも互いを認知せず、どちらも州の最終審である合法性を主張した。；互いのホームはホーム中央の遮断機を備えた構内踏切で連絡していた。；雄と雌の結合は、互いの性成熟を達成するための必要条件となっている。；人が互いを呼び合う際には、氏と名の全てを呼ぶことは多くない。；無顎類内部の互いの系統関係は現在でも謎が多く、議論が続いている。</t>
        </is>
      </c>
      <c r="J5054">
        <f>HYPERLINK("https://www.weblio.jp/content/互い", "词义详情")</f>
        <v/>
      </c>
      <c r="K5054">
        <f>HYPERLINK("https://yourei.jp/互い", "查看例句")</f>
        <v/>
      </c>
    </row>
    <row r="5055">
      <c r="A5055" t="inlineStr">
        <is>
          <t>打開</t>
        </is>
      </c>
      <c r="B5055" t="inlineStr">
        <is>
          <t>成功</t>
        </is>
      </c>
      <c r="C5055" t="inlineStr">
        <is>
          <t>読み方：だかい
［名］(スル)困難な状態や行き詰まった事情などを切り開いて、解決の糸口をつけること。「局面を—する」「—策」</t>
        </is>
      </c>
      <c r="D5055" t="inlineStr">
        <is>
          <t>打開する(30%)；打開しよ(4%)；打開できる；打開案；打開出来る</t>
        </is>
      </c>
      <c r="F5055" t="inlineStr">
        <is>
          <t>事態打開；状況打開；戦局打開；現状打開；危機打開</t>
        </is>
      </c>
      <c r="H5055" t="n">
        <v>29</v>
      </c>
      <c r="I5055" t="inlineStr">
        <is>
          <t>そのような状況を打開すべく、これまでに様々な試みが模索されてきた。；それを打開する道として、多分これ等の新作戦は行われているのであろう。；そう思ってはみるけれども、やはりこの雰囲気を何とか打開しないと・・・。；黄は事態打開のために「戦闘的な態度」を取るべきだと浅沼らに主張した。；攻撃は続行され、力押しで事態を打開するのが彼らのやるべきことであった。；この状況を打開したのが、当時事務所の事務職員だった飯島三智である。；こういった問題に打開策を提示するため、国を挙げた脳研究が必要になってくる。；そこで打開策として導入されたのがアフリカからの黒人奴隷であった。；その答えに気がついた者は『状況を打開出来る能力を身につけた』事になる。；敵との対抗時には秘密裏に単独行動を取り、戦況を打開することがある。；いかな主人でも、それを打開けさえすれば、納得するに相違ないのですから。；しかしアルバレスはロングフックで少しずつ打開しているように見えた。；南西航路の打開にはピンソンやソリス以上の巨腕が必要だったのである。；事態を打開するために1950年にはが行われたが、投票は接戦になった。；鳩山は事態打開のため、一連の問題の責任を取る形で首相を辞任した。；その心の余裕こそ将来運命打開の鍵を握るものでなければならぬ。；そのため、それを打開するためアンテナを新設して高さを上げることにした。；そのため、この問題を乱数を利用することで打開しようとしたのだ。；ともに困難の極に達したドイツ軍が運命打開のため試みた最後的努力である。；ローマはこの状況を打開するために必死になって、独裁官の選出まで行った。；こうした中、変法派の一部は西太后を幽閉して事態を打開しようと図る。；すなわち無理は承知の上で、何とかして打開しなければならない。；他から内証を打開けられた時ほど、是方の弱身になることはありません。；源兵衛は有力追放社人らと協議を重ね、膠着した事態の打開策を練った。；この状況を打開するため、各国では新しい戦術や兵器の考案が始められた。；カナと敵対するキャプテンの力を買い、何とか状況を打開しようとする。；事ここへ至って膠着状態となり、打開策は容易に見出せそうになかった。；住民の間には移設や撤去を求める声もあり、事態打開のメドは立っていない。；名前、師匠も何度も変え打開しようとしようとした模様だが結局大成しなかった。</t>
        </is>
      </c>
      <c r="J5055">
        <f>HYPERLINK("https://www.weblio.jp/content/打開", "词义详情")</f>
        <v/>
      </c>
      <c r="K5055">
        <f>HYPERLINK("https://yourei.jp/打開", "查看例句")</f>
        <v/>
      </c>
    </row>
    <row r="5056">
      <c r="A5056" t="inlineStr">
        <is>
          <t>互いに</t>
        </is>
      </c>
      <c r="B5056" t="inlineStr">
        <is>
          <t>成功</t>
        </is>
      </c>
      <c r="C5056" t="inlineStr">
        <is>
          <t>読み方：たがいに
［副］双方が同じようなことをしあうさま。また、同じような状態にあるさま。「—顔を見合わす」「—助け合う」</t>
        </is>
      </c>
      <c r="D5056" t="inlineStr">
        <is>
          <t>互いに顔を見合わせ；互いに惹か；互いに相；互いに異なる；互いに離れ</t>
        </is>
      </c>
      <c r="E5056" t="inlineStr">
        <is>
          <t>いずれも；どちらも；両方とも；両者とも；双方とも</t>
        </is>
      </c>
      <c r="F5056" t="inlineStr">
        <is>
          <t>互いに助けあう；互いに励まし合い；互いに異なる自然数；互いに抱きあい；互いに食い合う</t>
        </is>
      </c>
      <c r="G5056" t="inlineStr">
        <is>
          <t>互いに素な整数</t>
        </is>
      </c>
      <c r="H5056" t="n">
        <v>29</v>
      </c>
      <c r="I5056" t="inlineStr">
        <is>
          <t>さらに接近して話し始める際も、特定の動作や言葉で互いに話し始める。；このような行列はやはり色と補色が互いに対応しあっているものである。；この三つの世界は互いに干渉することもなく独自の社会を築いていた。；しかし、表面上どうであれ、その後も互いに意識はしていたようである。；周王室の領土は東西に分裂し、狭い範囲で互いに争い合う有様であった。；角関係とは面と面とが互いに見えているかどうかを表す係数である。；と の間に同型写像が存在するとき、これらは互いに同型であるという。；関東の諸侯らは袁紹派と袁術派に分かれて互いに争うようになっていた。；これは同一のプログラムの複数のコピーが互いに干渉しあうからである。；また、生息地域が違うこともあってか、互いに接触する機会も少ない。；そして互いに鏡像である配座異性体同士は互いにエナンチオマーとなる。；各チームは互いに接触できない離れた場所で生活を開始する。；これにより、全チームが互いに少なくとも3試合は対戦することとなる。；角を持つものの戦いは、互いに角同士を押し当てての力比べの形をとることが多い。；この区間は互いに隣同士の駅が見えるほど駅間距離が短い。；時間と空間の捉え方も2人の見解が大幅に相違しており、互いに衝突していた。；ただし成長につれて白・黒が互いに灰色に近くなり、縞が不鮮明になる。；励起光中の点 A と 点 B が互いに だけ離れているものとする。；しかし、それまでも互いに話すことはなくとも見かけることはあったという。；そして要素内にある属性は、互いに属性名が異なっていなければならない。；人類出現以来、隣り合う文化文明は互いに交流し影響を及ぼしあってきた。；集団痴漢の事例では、集まった男たちは互いに面識がないことも多い。；太陽神が空に舞い戻った後、人間が互いに戦い始めたときに戦争が始まる。；こうして生物どうしは互いに「他の生物にとっての環境」となっている。；これは次の互いに同値な二種類の仕方で定義することができる。；全国的に見ると両番組が互いに放送エリアを補完するような関係になっていた。；一つの形態素が互いに微妙に異なる複数の現れ方をすることがある。；多体問題は、互いに相互作用する3体以上からなる系を扱う問題である。；第二の例外は、 と が互いに反対側の点である場合である。</t>
        </is>
      </c>
      <c r="J5056">
        <f>HYPERLINK("https://www.weblio.jp/content/互いに", "词义详情")</f>
        <v/>
      </c>
      <c r="K5056">
        <f>HYPERLINK("https://yourei.jp/互いに", "查看例句")</f>
        <v/>
      </c>
    </row>
    <row r="5057">
      <c r="A5057" t="inlineStr">
        <is>
          <t>たかが</t>
        </is>
      </c>
      <c r="B5057" t="inlineStr">
        <is>
          <t>成功</t>
        </is>
      </c>
      <c r="C5057" t="inlineStr">
        <is>
          <t>読み方：たかが
［副］程度・質・数量などが、取るに足りないさま。問題にするほどの価値のないさま。「—子供となめてかかる」「—一度の失敗」</t>
        </is>
      </c>
      <c r="D5057" t="inlineStr">
        <is>
          <t>たかが知れ(12%)；たかがしれ(3%)；たかが一人；たかが女一人；たかがあんな</t>
        </is>
      </c>
      <c r="E5057" t="inlineStr">
        <is>
          <t>高々；精々；高だか；精精；高高</t>
        </is>
      </c>
      <c r="F5057" t="inlineStr">
        <is>
          <t>たかがしれてる</t>
        </is>
      </c>
      <c r="H5057" t="n">
        <v>29</v>
      </c>
      <c r="I5057" t="inlineStr">
        <is>
          <t>たかが田舎者のくせに、いったい文学とは何事なのでございましょうか?；たかが馬鹿声ひとつだというのに、連中は見方を改め始めたわけである。；僕がボロ自転車でいくらスピードをあげたところで、たかが知れている。；たかが会社内部のことで、刑事を前にあそこまでうろたえる理由はない。；多いなる天数の前には、たかが人間一匹、逆らうことなどできはしない!；あの福ちゃんのお父さんが借りたお金なんて、たかが知れてると思うわ。；たかが一都市艦隊を相手にするとは思えないほどの兵力を、彼は用意した。；たかが数冊を書いただけで、小説を書くことにあきたわけではなかった。；たかが五圓札一枚で、みんなにいやな思ひをさせるのは僕の本意で無い。；限られた時間で、十七歳の若僧二人ができる遊びなどたかが知れている。；大学の教授だから、給料はたかが知れているだろうと今日では思いやすい。；さもなければ、こっちはたかが五十万ドルのために牢屋行きになるんだ。；だが何のコネもない俺が内情を調べてもたかがしれているじゃないか。；ボナシューはたかが小間物屋にすぎないので、一日中泣いてばかりいた。；勝っても悪党相手の勝利では、恩賞も名誉もたかが知れているのである。；こちらはたかが活動の切符だと気にもしないが、日付を見ると何日とある。；たかが御紋服を失ったからといって、どうしてそんなに大騒ぎするんだ。；そんなこと言ったって、たかが子供が二人でふざけているだけじゃないか。；たかが土を掘り起こすくらいどれほどのことがあろうと思っていた。；たかが一億円のために、なんだって殺人犯人にならなければならないのだ。；前首相や前防衛庁長官が、たかが報告のために腰を上げるわけがない。；だが、いかに刀刃を迅く使おうとたかが知れているという思いがあった。；たかが夢のことだし、余分な心配をさせてはつまらないと思っているのだ。；私が京都を好み幾度か足を運んだことがあるとしても、たかが旅人である。；たかが一国の小守護が来たからといって、居ずまいをただす必要はない。；あの小さな足のどこが地面にむきだしになってたかが、わかるだろう。；居たってやらせてもらえる仕事はたかが知れているから、退屈なはずだ。；たかが、おの字ひとつでも、勝手に取ったり、つけたりしてはいけない。；たかが托鉢するのにそんなしち面倒くさいことがあるとは思わなかった。</t>
        </is>
      </c>
      <c r="J5057">
        <f>HYPERLINK("https://www.weblio.jp/content/たかが", "词义详情")</f>
        <v/>
      </c>
      <c r="K5057">
        <f>HYPERLINK("https://yourei.jp/たかが", "查看例句")</f>
        <v/>
      </c>
    </row>
    <row r="5058">
      <c r="A5058" t="inlineStr">
        <is>
          <t>高台</t>
        </is>
      </c>
      <c r="B5058" t="inlineStr">
        <is>
          <t>成功</t>
        </is>
      </c>
      <c r="C5058" t="inlineStr">
        <is>
          <t>読み方：こうだい
［名］
１高く組まれた建造物。
２高くて見晴らしのよい台地。たかだい。
３茶碗・皿などの底にある基台。
［代］二人称の人代名詞。手紙などで、相手を敬っていう語。貴台。</t>
        </is>
      </c>
      <c r="D5058" t="inlineStr">
        <is>
          <t>高台に建てられ；高台院；高台地区；高台橋；高台一帯</t>
        </is>
      </c>
      <c r="E5058" t="inlineStr">
        <is>
          <t>上昇；標高；台地；高さ；高地</t>
        </is>
      </c>
      <c r="F5058" t="inlineStr">
        <is>
          <t>近い高台；よい高台；ちょっとした高台</t>
        </is>
      </c>
      <c r="G5058" t="inlineStr">
        <is>
          <t>高台寺；高台寺党；高台の家；高台移転；高台県</t>
        </is>
      </c>
      <c r="H5058" t="n">
        <v>29</v>
      </c>
      <c r="I5058" t="inlineStr">
        <is>
          <t>ホームは高台に設置されており、地平へは階段を降りる形となっていた。；この貴族家はロイタースハウゼンの高台にある城を本拠地としていた。；また、当駅は高台にあるため、駅舎と下の集落を結ぶ長い階段がある。；階段が高台の市街地と港を結ぶために建設されたことがよくわかる。；高台にあることから、フェールデンの水の供給は昔から問題を抱えていた。；地形は旧千川上水に近い高台と、石神井川に向かった崖地に分けられる。；西側の川に近い土地は高くなっており、高台と平行して川が流れている。。；駅舎は構内の北西側に位置し、高台のホームとは階段付きの通路で連絡した。；猫鼻頭公園には、猫岩から北の高台に、2つの展望台が設置されている。；当社も他の多くの論社と同じく、鶴見川水系沿いの高台に鎮座している。；駅舎は構内の西側に位置し、線路よりも高台にありホームから階段を上った。；彼らは蒸気船に薪を供給する事業をこの町の高台にある新しい場所に移した。；埋立地は平坦な土地だが、かつて島だった部分は高台として残っている。；起点側から進んだ場合には高台中学校西側T字路で北へ曲がる必要がある。；別働隊が高台に到着して丘の砲台を占領するまで後退することにした。；これは岡山城の東の高台に当たる部分に位置することに由来する。；これを知った千鳥は思いあまって、高台橋から身を投げてしまったという。；しかし、高台の伝統的な村落も、祭礼の場としての機能は失っていない。；ただし、木に囲まれた高台にあるため、校内から見ることはできない。；街の至る所に大学施設がおかれているが、中心となる施設はかつて城のあった高台にある。；概ね東京旧市内で高台に比べ低地を多く占める旧区分を下町としている。；概ね東京旧市内で低地に比べ高台を多く占める旧区分を山手としている。；遺体はヤマニンベン牧場の高台に埋葬され、牧場内に墓が建立されている。；社殿が高台に位置するため、参道はかなり傾斜の急な坂道になっている。；再び県道に出て右の高台に池が見えてきたら左斜めに分岐する細道に入る。；リスベルクの南の高台の上に約130基の墓石があるユダヤ人墓地がある。；北部の高台は、砂と砂利の上に主に更新世の砂が積もった土地である。；駅周辺の高台は別荘地として開発された経緯から高級住宅街となっている。；高台にある四嶺山には、戦時中に旧日本軍の守備隊の本部が置かれていた。</t>
        </is>
      </c>
      <c r="J5058">
        <f>HYPERLINK("https://www.weblio.jp/content/高台", "词义详情")</f>
        <v/>
      </c>
      <c r="K5058">
        <f>HYPERLINK("https://yourei.jp/高台", "查看例句")</f>
        <v/>
      </c>
    </row>
    <row r="5059">
      <c r="A5059" t="inlineStr">
        <is>
          <t>高々</t>
        </is>
      </c>
      <c r="B5059" t="inlineStr">
        <is>
          <t>成功</t>
        </is>
      </c>
      <c r="C5059" t="inlineStr">
        <is>
          <t>読み方：たかだか
《古くは「たかたか」》
［副］
１
㋐きわだって高いさま。「旗を—と掲げる」
㋑声や音が大きく響き渡るさま。「—と読み上げる」「サイレンが—と鳴る」
２最高に見積もっても大したことではないさま。せいぜい。「—一〇〇円の出費」「—子供の足だ、遠くまではいけまい」
→精精(せいぜい)［用法］
［形動ナリ］背伸びをするようにして、今か今かと待ちこがれるさま。
「あをによし奈良にある妹が—に待つらむ心然(しか)にはあらじか」〈万・四一〇七〉</t>
        </is>
      </c>
      <c r="D5059" t="inlineStr">
        <is>
          <t>一人；ただ；ひとり；単に；たった</t>
        </is>
      </c>
      <c r="H5059" t="n">
        <v>29</v>
      </c>
      <c r="I5059" t="inlineStr">
        <is>
          <t>この地域に残っているものは高々50名に過ぎず、我らの保護下にある。；同じ議論を繰り返せば高々 n 回までの操作で定理の前半が示された。；やがて目が慣れると、左手いっぱいに高々とそそりたつ壁が見えてきた。；彼は答えるとき、椅子の上で上半身を反らせ、腕を高々と組んだものだ。；学生といっても高々数万人で、そもそも学生はあまり投票に行かないのである。；箱争いがはげしいのか、背に箱を高々と背負って急いでゆく女の姿もある。；抱擁がゆるめられたと思った瞬間に、彼女は高々と抱き上げられていた。；驚きの声はそのことでなく、自分が高々と門を越えた事実に対してであった。；いずれの仏面も高々と植えつけられてあり、大きな冠りを形成している。；この木に高々と、新田氏の大中黒の旗が挙げられたということであった。；「では、あたしのやることに協力してもらうわ」 ゆきは高々と宣言した。；中間は再び腕を高々と上げ、ニタニタと笑いながらもう一度振り下ろした。；レノックスは分厚い詰め物をした客用ソファに高々と足を組んで座った。；高々と白っぽい幕でかこった中にあるので提燈かどうかはっきりしない。；フォードのドアが開き、高々と手を上げた三人の男がよろめきながら出た。；ぼくは彼女をシュミーズ一枚の姿にして、それを高々とまくり上げた。；石を高々と積み重ねた上に石仏像を置いて登山道路標識としたのである。；次の瞬間、ゴブリンは背を向けると高々と跳躍して塀の向こうに消えた。；二人の男は両手を高々とあげたまま部屋を出ていった。；被り物はつけずに、巻毛をゆたかに高々とふくらませて髪を結っていた。；案内者はもう馴れ切ったような口調で高々と説明しながら行く。；その間を、若党は尻の見えるほど高々と裾をまくり上げて、飛んで行く。；足をじたばたさせる明を片手に高々とさしあげ、神父さんは店の外へ出た。；彼がうやうやしくお盆を高々と持って、わたしたちの前に歩いてきた。；高々と馬に乗って、頭にはフランドルの海狸の毛皮の帽子をかぶっていた。；機体の先端には一本の旗が高々と掲げられています。；従って又文化は高々類型化される外に途を有たなかったのである。；よくみると、その中に、坊主頭の首を高々とさしあげている男がいた。；楯を高々と持ち上げ、全身の力を込めて戦士の首の後へ振り下ろした。</t>
        </is>
      </c>
      <c r="J5059">
        <f>HYPERLINK("https://www.weblio.jp/content/高々", "词义详情")</f>
        <v/>
      </c>
      <c r="K5059">
        <f>HYPERLINK("https://yourei.jp/高々", "查看例句")</f>
        <v/>
      </c>
    </row>
    <row r="5060">
      <c r="A5060" t="inlineStr">
        <is>
          <t>高飛車</t>
        </is>
      </c>
      <c r="B5060" t="inlineStr">
        <is>
          <t>成功</t>
        </is>
      </c>
      <c r="C5060" t="inlineStr">
        <is>
          <t>読み方：たかびしゃ
［名・形動］
１将棋で、浮き飛車のこと。
２相手に対して高圧的な態度をとること。また、そのさま。「—な物言い」「—に出る」</t>
        </is>
      </c>
      <c r="D5060" t="inlineStr">
        <is>
          <t>高飛車な態度(10%)；高飛車な口調(2%)；高飛車な調子(2%)；高飛車な言い方；高飛車な言動</t>
        </is>
      </c>
      <c r="E5060" t="inlineStr">
        <is>
          <t>上手；大柄；傲慢；ワンマン；尊大</t>
        </is>
      </c>
      <c r="H5060" t="n">
        <v>29</v>
      </c>
      <c r="I5060" t="inlineStr">
        <is>
          <t>「昨日の事件で聞きたいことがある」 わたしはわざと高飛車に言った。；ぼくも頭にきたもんだからね、一体なんの用だと高飛車にでたんだ。；語気がわずかに強くなっているので、今度は明らかに高飛車な感じがする。；奴に質問する時は出来るだけ高飛車に命令口調で質問しておくれよ。；本人はつい高飛車な態度を取ってしまうことを気にしている。；背は低めだったが、身にまとう高飛車な雰囲気が、辺りを圧迫していた。；とっさにそう判断したぼくは、自分の立場を利用して高飛車に出ることにした。；一方交通だったのは、あの高飛車な命令だけではなかったのだ。；はじめから、おらが云うことを聞くと思って高飛車に出ている。；話の模様では、どうもフィリップスさんが高飛車にことをはこんだようだ。；多くのムシ達には知られていないが、高飛車で自己顕示欲の強い性格である。；優越な様子と高飛車な調子とを一時取るのは、多くの者といっしょの時だけであった。；横田さんと相談の上だという強みがあるから、高飛車にも出られたわけだ。；竜はひと呑みにするとおかわりを要求し、青年の足を頭で高飛車に突ついた。；そのときは、むしろ、こっちから攻めるように高飛車に出ることです。；あいつは、自分のものでない何かの威を借り、高飛車に出たのだ。；参謀本部はわれわれ二人に任せておけといわんばかりの高飛車ぶりを示したのである。；明光丸の船将の高柳は、会談の始まりで、高飛車な口調でこう宣言した。；私は高飛車な態度で彼の前に進み、彼の背広の上衣に手をかけ裏をかえして見た。；わたしの前ではこんなふうに高飛車な態度をとる。；米国の高飛車な要求にカチンときた通産官僚がリークしたこともある。；あの子の話を聞いてわかった限りでは、フィリップス先生は高飛車にことを運んだらしい。；此は平田翁あたりの弁証法の高飛車な態度が、意味を変へて現れて来たのである。；例によって高飛車で、こっちのいうことなど聞いちゃくれません。；坊ちゃまがああ高飛車にでなかったら、決心を変えてしまっていたかもしれません。；自分で意図したよりずっと高飛車な調子だった。；この因島村上の当主はこれまで、就英の高飛車な物言いを耐え忍んできた。；「二人にしておいてと、あなたにいったと思いますが」女神はやや高飛車にいった。；運転手は、いつにも増して高飛車にでてくるだろう。</t>
        </is>
      </c>
      <c r="J5060">
        <f>HYPERLINK("https://www.weblio.jp/content/高飛車", "词义详情")</f>
        <v/>
      </c>
      <c r="K5060">
        <f>HYPERLINK("https://yourei.jp/高飛車", "查看例句")</f>
        <v/>
      </c>
    </row>
    <row r="5061">
      <c r="A5061" t="inlineStr">
        <is>
          <t>高まる</t>
        </is>
      </c>
      <c r="B5061" t="inlineStr">
        <is>
          <t>成功</t>
        </is>
      </c>
      <c r="C5061" t="inlineStr">
        <is>
          <t>読み方：たかまる
［動ラ五（四）］物事の程度が増してくる、高くなる、大きくなる、また、強くなる。「人気が—・る」「波音が—・る」「関心が—・る」</t>
        </is>
      </c>
      <c r="D5061" t="inlineStr">
        <is>
          <t>高まる可能性；高まる反</t>
        </is>
      </c>
      <c r="E5061" t="inlineStr">
        <is>
          <t>増加；向上；上昇；昇進；上がる</t>
        </is>
      </c>
      <c r="F5061" t="inlineStr">
        <is>
          <t>ますます高まる；次第に高まる；一気に高まる；一層高まる；高まれば高まる</t>
        </is>
      </c>
      <c r="H5061" t="n">
        <v>29</v>
      </c>
      <c r="I5061" t="inlineStr">
        <is>
          <t>また近年はタイ・中国を中心にアジア諸国でも人気が高まってきている。；しかし、この裁判を機にインド民衆の間に独立の気運が一気に高まった。；ほとんどの場合、本当に評価される人の名声は死後に高まるものだから。；しかも国際関係の緊張が高まってリン鉱石の輸入に不安材料が出てきた。；このため、労働者の実質所得は上昇し生活が改善される可能性が高まる。；何度も負傷したが屈する事無く戦い続け、その名声はいよいよ高まった。；絶望的な状況の中で、スー族のゴースト・ダンス流行はさらに高まった。；ヨーロッパ統一の機運が再び高まるのは第二次世界大戦後のことになる。；戦後、ベルギーをはじめとした連合側諸国では反国王感情が高まった。；大都市周辺の地域鉄道サービスは近年世界的に関心が高まっている。；しかしその後パイソンの知名度が上がると再公開され、評価は高まった。；毒性が弱い物質でも環境中での濃度が高くなれば、環境リスクは高まる。；この文書は同地の住民たちに大受けしたようで、彼の人気は一気に高まった。；これらの経験から関係者や国民の間で情報収集衛星の需要が徐々に高まった。；しかしこの行動はハンガリーなどで領土回復運動が高まるきっかけとなった。；このような状況から、黒人の新政権への不満が高まることになってしまった。；焼く際、多くの人に見てもらうことで厄祓いの効果が高まるとされている。；この影響で1760年後半になるとイギリス国内でも厭戦気分が高まった。；これらの公演は成功し、海外でも同作品に対する関心が高まることとなった。；だから自分から高まろうとするのではなく、待望こそ必要とされるのである。；議員だけではなく貴族たちからも批判の声は高まっていた。；日本に帰れる喜びが高まれば高まるほど、あらぬ想像も湧いて来るのだ。；それによって性能が低下してもセキュリティは高まると言う人もいる。；このことから、二人の母同士の関係も修復され、陳表の名声も高まった。；この評価が確立されると18世紀以降コレッジョの評価はさらに高まった。；これに衝撃を受けたアメリカ国民の間で撤退論が高まった。；製品の製造や設計において、選択の幅があるほど、その重要性は高まる。；このため東西双方で市民の間に不満が高まることになった。；ちょうどその頃、オーストリアでは女性の大学入学を求める動きが高まっていた。</t>
        </is>
      </c>
      <c r="J5061">
        <f>HYPERLINK("https://www.weblio.jp/content/高まる", "词义详情")</f>
        <v/>
      </c>
      <c r="K5061">
        <f>HYPERLINK("https://yourei.jp/高まる", "查看例句")</f>
        <v/>
      </c>
    </row>
    <row r="5062">
      <c r="A5062" t="inlineStr">
        <is>
          <t>高み</t>
        </is>
      </c>
      <c r="B5062" t="inlineStr">
        <is>
          <t>成功</t>
        </is>
      </c>
      <c r="C5062" t="inlineStr">
        <is>
          <t>読み方：たかみ
周囲より高い場所。「—に立つ」</t>
        </is>
      </c>
      <c r="D5062" t="inlineStr">
        <is>
          <t>高み座；高みへ押し上げられ；高みくら</t>
        </is>
      </c>
      <c r="E5062" t="inlineStr">
        <is>
          <t>上；域；上方；心境；境地</t>
        </is>
      </c>
      <c r="F5062" t="inlineStr">
        <is>
          <t>さらなる高み；更なる高み；遙かな高み；新たな高み；途方もない高み</t>
        </is>
      </c>
      <c r="H5062" t="n">
        <v>29</v>
      </c>
      <c r="I5062" t="inlineStr">
        <is>
          <t>海岸の高みには老人たちが五六人額をあつめて遠くの海上を眺めてゐた。；彼女の眼の中では、自分は天使の高みにまで昇ってゆくのだとも思った。；この高みから見ていると、地上が静かになったように思われたほどだった。；ビュイテンホーフの高みからは、元と同じような窓が彼を見つめていた。；高みに窓がひとつあるだけの狭い部屋で、最初は暗くて何も見えなかった。；高みから急に下りて来たので耳の奥で小さななだれがいくつも起きた。；ひとの背の高さほどの高み、円卓の淵からわずかに内側に入った位置に。；求める相手は南の塔の高みで、暖炉を前にして朝のお茶を飲んでいた。；何度も瞬きすると、高みにある窓から水が落ちて来ているのだとわかった。；朧な月の影を帯びて、昼間よりも一層高みを増して墨絵の様に仰がれた。；常に自分の一歩先を行き、最後の最後まで自分の遥か高みに居つづけた男。；わたしは心をこわばらせ、父神に見捨てられた気持ちで高みより下りた。；リーリンに抱いていた人物像はどこまでも高みへと昇ろうとしていた。；かといって、こんな高みから地上に落とされてしまうのも絶対反対だ!；高みから見ているばかりで、フロンタルはあなたを助けようともしない。；かれの眼は、その高みの南になだらかに起伏している斜面に据えられた。；満月に近い月が空の高みにあって、道にくっきりと影をこしらえている。；無限の闇の高みに立つ蘭之助の目は何を見るのかと、わたしは思った。；彼は魚群を発見するために数千フィートの高みをなおも飛びつづけた。；それによってのみお前は再びお前の芸術の高みへ舞い登ることができる。；それは御自分が雲の高みにいらっしゃって階段がないからでしょう。；次の瞬間、鞭馬の身体は地上三メートルの高みから石の壁へ落下していた。；あなた方も高みに狼火を用意し、糸胞の塊りが見えたら火をつけるように。；風も届かないほどの高みに浮かんだ薄い雲のあいだから、太陽が輝いていた。；高みにつるされている彼には、掌を見るようにすべてのものがよく見えた。；総体に村は低い方へ下り、町は高みへ登って行く傾きがあるかと思う。；路ばたに何ほどかの閑地が残されていて、そこが少し高みになった場所がある。；寺の方がすこし高みになっていて、牛のいる牧場はかなり下に見おろせた。；そこから見おろすと人間がサルにしか見えないような高みのことです。</t>
        </is>
      </c>
      <c r="J5062">
        <f>HYPERLINK("https://www.weblio.jp/content/高み", "词义详情")</f>
        <v/>
      </c>
      <c r="K5062">
        <f>HYPERLINK("https://yourei.jp/高み", "查看例句")</f>
        <v/>
      </c>
    </row>
    <row r="5063">
      <c r="A5063" t="inlineStr">
        <is>
          <t>高める</t>
        </is>
      </c>
      <c r="B5063" t="inlineStr">
        <is>
          <t>成功</t>
        </is>
      </c>
      <c r="C5063" t="inlineStr">
        <is>
          <t>読み方：たかめる
［動マ下一］［文］たか・む［マ下二］程度の低いものを高くする。「評判を—・める」「声を—・める」⇔低める。</t>
        </is>
      </c>
      <c r="D5063" t="inlineStr">
        <is>
          <t>高めるべく；高める可能性</t>
        </is>
      </c>
      <c r="E5063" t="inlineStr">
        <is>
          <t>上げる；応援；増強；アップ；増やす</t>
        </is>
      </c>
      <c r="F5063" t="inlineStr">
        <is>
          <t>高めるのに一役</t>
        </is>
      </c>
      <c r="H5063" t="n">
        <v>29</v>
      </c>
      <c r="I5063" t="inlineStr">
        <is>
          <t>これが農民のみならず、貴族や商人階層の不満をも高める結果となった。；的中と矢の威力を高めるため、技術の発展と道具の改良がなされてきた。；一般的には靴をしっかりと固定することで、その走行具の操作性を高める。；従って、表面をきれいにすることが保存性を高めるのに効果がある。；しかし経済政策の目標は国民の経済的な満足度を高めることである。；価値ある利益を確保するためにリスクを高めることが望ましい場合もある。；安価な茶葉に花の香りを付加して価値を高めることが主な目的である。；しかし現在では、調色せずとも保存性を高める薬品が販売されている。；実用性を高めるため原子量を元素記号の下に記述することが一般的である。；近年では生存性を高めるためボディーアーマーを着用することもある。；労働に関わる諸問題を解明し、人々の幸福を高めることが目的である。；かつては寒すぎて農業はできないと絶望視された時代があったが技術を高める努力が実を結び農業地帯となった。；これは一般男性の魅力を高めるために女子は大学では就学を認められなかった。；近似を高める場合には高次のフーリエ級数の項を含む式が使用される。；企業のどんたく隊は団結力を高めるなど新人社員教育に活用されている。；これによりCPU市場のシェアを高めると共に高い収益性を維持できた。；しかしながら、地域通貨の流通性を高めるために様々な意見が上げられている。；親征の勝利によって自らの権威を高めるのも、彼の計画のうちであっただろう。；この経験はマサチューセッツ工科大学の名を世界で高めるきっかけとなった。；揮発しにくい物質の塊を熱すると赤くなり、さらに温度を高めれば白熱する。；そこで軽油に灯油を添加することで、始動性を高める効果が期待できる。；もしくは出力データをある程度滞留させ、データ粒度を高める機能を持つ。；このような防空戦略の後退は、国民の厭戦気分を高めることになった。；カフェインの大量摂取は、幻聴を経験する可能性を高めると言われている。；次の分析で精度を高めるには、自分の情報分析力の欠点を自覚する必要がある。；このため生鮮食品を加工し、常温での保存性を高める工夫が行われてきた。；例えば、安全性を高めるため、機械全体を大きな箱で覆うようになってきた。；上記のオギノ式と併用することで、より避妊成功率を高めることができる。；保存性を高める為に乾燥されたものが流通している。</t>
        </is>
      </c>
      <c r="J5063">
        <f>HYPERLINK("https://www.weblio.jp/content/高める", "词义详情")</f>
        <v/>
      </c>
      <c r="K5063">
        <f>HYPERLINK("https://yourei.jp/高める", "查看例句")</f>
        <v/>
      </c>
    </row>
    <row r="5064">
      <c r="A5064" t="inlineStr">
        <is>
          <t>耕す</t>
        </is>
      </c>
      <c r="B5064" t="inlineStr">
        <is>
          <t>成功</t>
        </is>
      </c>
      <c r="C5064" t="inlineStr">
        <is>
          <t>読み方：たがえす
［動サ四］《「田返す」の意。古くは「たかえす」》田畑の土を掘り返す。たがやす。
「此頃のしづが—・すからすきの」〈土御門院集〉</t>
        </is>
      </c>
      <c r="D5064" t="inlineStr">
        <is>
          <t>耕すべき</t>
        </is>
      </c>
      <c r="E5064" t="inlineStr">
        <is>
          <t>栽培；耕作；育てる；培養；養殖</t>
        </is>
      </c>
      <c r="H5064" t="n">
        <v>29</v>
      </c>
      <c r="I5064" t="inlineStr">
        <is>
          <t>放棄された国有地を周辺の住民が耕している共同の畑にも参加している。；読むことと耕すことのほかに楽しみなどというものは残っていないのだ。；彼から見れば地球は全体が同じようによく耕された庭のように見えるのだ。；鋤にしたところで、いつもあれで耕していたわけじゃありませんからな。；こうして行ったり来たりするうちに広い畑をすっかり耕してしまった。；二人は畑の端の方から、耕したばかりの黒い土を少しずつ砕いていった。；それが血で耕されるような季節こそ人間最大な不幸の時期に当りましょう。；風景は前ほどけわしくなくなり、ヤシの木や耕された土地も見えてきた。；その菜園は近所の人たちがときどき彼女のために耕してやるのだった。；農地を耕すことに必死の民に、これ以上夫役をせよとはとても言えない。；この土地を耕してきた父祖の魂が、これら巨人たちを呼び覚ましたのだ。；人形はその鋤を牛につけ、その牛を走らしてそのまわりを耕しはじめた。；土を耕すことの好きな彼女に今はもう一坪の土地も待ってはいない。；私の借りていた家にも、耕そうと思えば耕せる土地が五、六坪はあった。；自分の家を治め、自分の畑を耕すことは、かれには所詮出来ませなんだ。；平野の大部分は耕され、人が住んでいるところも見分けることができた。；さらにいえば、歩卒といっても、もともとは土地を耕す農民たちである。；一人が水を運び、他の男達はオレンジ色の植物の小さな畑を耕していた。；この子もきっと多くの貴族がするように、自分の土地を耕しますよ。；今ここを耕している人たちは、ここで戦死した人たちの子孫ではないのである。；元はあの村の地を耕しあの谷の米を食っていたのだということがほぼ分る。；字大針は広く耕した土地を意味する「大墾」が転じたものであるという。；耕す人々の生涯においては、是は何よりも重要な一つの区切りであった。；突然、日本のお百姓さんが来て、自分の畑を耕したりなんかするのですから。；幸福のうちにも不幸のうちにも、彼らはたえずその土地を耕しつづけている。；彼らは廟周辺の土地を耕し、その結果土地は村へと発展していった。；春から院生がここを耕していたが、畑になるまでにはあと数年はかかるだろう。；国有地を耕す旧屯田民であるからこそこれほどの額になるのであると考える。；台湾の土地は熱帯地に強く勤勉な台湾人農民によって既に耕されていた。</t>
        </is>
      </c>
      <c r="J5064">
        <f>HYPERLINK("https://www.weblio.jp/content/耕す", "词义详情")</f>
        <v/>
      </c>
      <c r="K5064">
        <f>HYPERLINK("https://yourei.jp/耕す", "查看例句")</f>
        <v/>
      </c>
    </row>
    <row r="5065">
      <c r="A5065" t="inlineStr">
        <is>
          <t>宝</t>
        </is>
      </c>
      <c r="B5065" t="inlineStr">
        <is>
          <t>成功</t>
        </is>
      </c>
      <c r="C5065" t="inlineStr">
        <is>
          <t>読み方：たから
１世の中に数少なく、特に貴重なもの。宝物。財宝。「家に伝わる—」
２財産。金銭。
「悖(さか)って来る—の悖って出るに任せ」〈露伴・寝耳鉄砲〉
３ほかのものと取り替えることのできない、特に大切なもの。また、かけがえのない人。「国の—ともいうべき人材」「子—」→御宝(おたから)</t>
        </is>
      </c>
      <c r="D5065" t="inlineStr">
        <is>
          <t>宝具(9%)；宝治元年；宝順丸；宝貝；宝器</t>
        </is>
      </c>
      <c r="E5065" t="inlineStr">
        <is>
          <t>富；宝物；財；財宝；重宝</t>
        </is>
      </c>
      <c r="F5065" t="inlineStr">
        <is>
          <t>瑞宝；忠宝；宝賀寿男；宝銀；宝瓶</t>
        </is>
      </c>
      <c r="G5065" t="inlineStr">
        <is>
          <t>宝物；宝暦；宝永；宝塚；宝貝</t>
        </is>
      </c>
      <c r="H5065" t="n">
        <v>29</v>
      </c>
      <c r="I5065" t="inlineStr">
        <is>
          <t>どれも話にしか聞かない珍しい宝ばかりで、手に入れるのは困難だった。；この他2006年内に供用開始を目指す宝二ダムの建設も行われている。；宝とは交差点を挟んで向かい合う箇所があるが、わずかに接していない。；現在も八宝斉の傍若無人な行動に怒って戦いを挑むなど仲はかなり悪い。；その他の宝具については、所有しているキャラクターの説明を参照のこと。；仙宝を自作するルールもあり、この際も特定の期間を費やす必要がある。；氷の島の宝を入手して安心したのも束の間、今度は3匹の神が氷の島へ来る。；宝と呼ばれる貴重なものは、宝と呼ばれるまでに何らかの過程を必要とする。；上記の失われた宝同様、映画・漫画・ゲームの題材になりやすい。；大会の後に10万人余の労働者や学生が宝山路に行き道路を占拠した。；すれちがい通信で他のユーザーから宝の地図をもらうこともできる。；終盤では海賊のキッドとコルトがこの宝を手に入れて島から脱出している。；その後、信宝自身も病に倒れ、帰国することなく10月17日に死去する。；そのためか甲山のどこかに宝が隠されているという俗説が地元ではあった。；そこには宝の地図の一部が描かれていたのだった。；そこでは四方位が交わる場所であり、天からの宝が世界中に広められる。；緑色凝灰岩製であり、宝器として被葬者に添えられていたと考えられる。；このような中でも、四ツ宝丁銀は宝永期の丁銀の中では最も現存数が多い。；その魔宝を手に入れて願いを叶えてもらうしか主人公が元の世界に戻る方法はなさそうだった。；埼玉の五家宝は水戸の吉原殿中が由来になっているとも言われている。；張宝全が中心人物となり、規格の普及活動が中国国内で行われている。；忠学に男子はなく、婿養子に迎えた一族の忠宝が第6代藩主となった。；ステージ内にある宝袋を3つ取ることでステージをクリアできる。；宝袋より取得するアイテムは同一の物が複数のステージで出現する場合もあるが、先に出現した物を取得すると後の方は現れない。；天保2年10月9日、病気を理由に長男の信宝に家督を譲って隠居した。；宝の地図を手にした主人公は勤め先の会社を辞め、妻と離婚する。；基本的にゲームデータを持つアイテムとは全て仙宝に当たる。；なお、サウンドトラックには宝の地図関連のBGMは全て未収録となっている。；ケンカの耐えない宝と清嶺だが、だんだんとお互いを必要な存在と感じ始める。</t>
        </is>
      </c>
      <c r="J5065">
        <f>HYPERLINK("https://www.weblio.jp/content/宝", "词义详情")</f>
        <v/>
      </c>
      <c r="K5065">
        <f>HYPERLINK("https://yourei.jp/宝", "查看例句")</f>
        <v/>
      </c>
    </row>
    <row r="5066">
      <c r="A5066" t="inlineStr">
        <is>
          <t>だから</t>
        </is>
      </c>
      <c r="B5066" t="inlineStr">
        <is>
          <t>成功</t>
        </is>
      </c>
      <c r="C5066" t="inlineStr">
        <is>
          <t>［接］《断定の助動詞「だ」＋接続助詞「から」から》前に述べた事柄を受けて、それを理由として順当に起こる内容を導く語。そうであるから。それゆえ。「親切な人だ。—みんなに好かれる」</t>
        </is>
      </c>
      <c r="D5066" t="inlineStr">
        <is>
          <t>だから私；だから僕；だからわたし；だから今；だから俺</t>
        </is>
      </c>
      <c r="E5066" t="inlineStr">
        <is>
          <t>そこで；それで；すると；なので；これにより</t>
        </is>
      </c>
      <c r="F5066" t="inlineStr">
        <is>
          <t>通りなのだから；器量よしだから；とおりなのだから；哀さうだから；やさきだから</t>
        </is>
      </c>
      <c r="G5066" t="inlineStr">
        <is>
          <t>だからといって；だからみんなで；だからその手を離して；だから君が好き；だから僕は音楽を辞めた</t>
        </is>
      </c>
      <c r="H5066" t="n">
        <v>29</v>
      </c>
      <c r="I5066" t="inlineStr">
        <is>
          <t>だから君には彼女と一緒に最高のレコードを作る大きな責任があるよ。；だから真ん中にイラストを配置して、枠状に周りが白くなるようにした。；だから我々は昼間は別のことをして、それから彼女に呼び出しをかけた。；だから日本は、中国で今起きている多くのことを理解していると思います。；だから彼のプレーは周りの選手たちの能力に大きく影響されるんだ。；だから、この種の書物以外に、婦人向きの書物を考へて見る必要がある。；だから僕は世代間の争いなんてするべきじゃないとずっと言い続けているんだ。；日本は勝てない、だからアメリカとは戦うべきではないと信は断言する。；だから他人に依存せず自分を大切にすることが出発点になる、と考えている。；だから両国の間かその周辺で第三の方法を探さねばならないと考えている。；だから、フィクションだけの雑誌を作ろうとするのは自然な流れである。；だから誰が残るか、誰がいなくなるか、すべての問題はもう終わった。；だから日本は戦争をしない限り、独島を実効支配することは不可能です。；だから、歴史を描くとなると、どの国の作品でも批判は避けられない。；だから精神さえ変わらなければ姿かたちは変わっていっても関係ないんだと。；だから私は何が起こっているか公表することが適切だと感じた。；だから自分がその時感じていた面白いことを全部やってますね。；だから今作ではそういうことにもっと挑戦してみようと決めたんだ。；だから私は部屋に閉じこもり、読書をするかテレビを見るしかなかった。；だから私は何か新しいことをするためにニューヨークに行った。；直線 の傾きは だから、微分係数 の値も とすべきだと考えられる。；そんなはずはない、わたしはそれを知らないのだから、とわたしは言った。；だから、私たちとみんなで、一緒に夢のその先を作りに行きましょう!；だから、ヨワムシとかナキムシとか言ってたけどあれはまるで嘘ですよ。；だからと言うわけなのか、比較的収入が高く、土地も高く、税金も高い。；だからアメリカから見ると安心して受け入れられる民間の資金。；だから弦の連中は、前田さんの姿を見てちょっと困った顔をしてましたね。；だから突っ張ってから自分の四つに組むのがいいんだぞと私は教わった。；それはまさに大人の感情模様である、だからセクシーでもあるのです。</t>
        </is>
      </c>
      <c r="J5066">
        <f>HYPERLINK("https://www.weblio.jp/content/だから", "词义详情")</f>
        <v/>
      </c>
      <c r="K5066">
        <f>HYPERLINK("https://yourei.jp/だから", "查看例句")</f>
        <v/>
      </c>
    </row>
    <row r="5067">
      <c r="A5067" t="inlineStr">
        <is>
          <t>宝くじ</t>
        </is>
      </c>
      <c r="B5067" t="inlineStr">
        <is>
          <t>成功</t>
        </is>
      </c>
      <c r="C5067" t="inlineStr">
        <is>
          <t>読み方：たからくじ
地方自治体の財政資金を調達し、収益金を公共事業などの資金に充てるために売り出すくじ。当籤金(とうせんきん)付証票。</t>
        </is>
      </c>
      <c r="D5067" t="inlineStr">
        <is>
          <t>宝くじ売り；宝くじ販売；宝くじ屋；宝くじ公式サイト；宝くじ基金</t>
        </is>
      </c>
      <c r="E5067" t="inlineStr">
        <is>
          <t>くじ引き；富くじ</t>
        </is>
      </c>
      <c r="F5067" t="inlineStr">
        <is>
          <t>愛国宝くじ</t>
        </is>
      </c>
      <c r="G5067" t="inlineStr">
        <is>
          <t>宝くじ売り場；宝くじドリーム館；宝くじ幸運の女神；宝くじは買わない；宝くじドリームサテライト</t>
        </is>
      </c>
      <c r="H5067" t="n">
        <v>29</v>
      </c>
      <c r="I5067" t="inlineStr">
        <is>
          <t>宝くじに当たったと言ったところで、誰も本気にはしてくれまいと思った。；例えばある人が遺産相続や宝くじなどで数千ドルを手に入れたとする。；まさか宝くじで一千万円当てましたのでと言うわけにも行くまい。；「宝くじにあたっただけかもしれないじゃないか」彼は笑ってみせた。；これらは通常郵便局から販売されており、宝くじ番号が含まれている。；宝くじの一件も、警部は、そのまま信じてもいいような気持ちになってきた。；宝くじで自転車を手にしたことがきっかけで自転車競技生活をスタートさせた。；たとえばここにAさんという人がいて、宝くじの一千万円を当てたとする。；絶対にあり得ないことじゃないが、宝くじにでも当るような確率になるぜ。；宝くじで巨額の金を手にし東京のデパートを退職した男が、海辺に住む。；まれに注目の高い全国通常宝くじの抽せん会の模様が放送されることもある。；そんな宝くじのような偶然にテレビカメラが行き合わせるはずがないのだ。；ホッジスは宝くじのための運動中に低級学校の成果を批判していた。；これには一般資金、連邦資金、宝くじ資金などの資金が含まれている。；そのときの宝くじがほんとうに当選してしまうのだから、人生はわからない。；ホワイトはルイジアナ宝くじを廃止することに貢献したことで有名になった。；ただしフランスでは宝くじの売り上げが急上昇する、幸運な日でもある。；その証拠に、儂はひと目で君が宝くじを当てたことを見抜いたではないか。；まるで宝くじで一等が当たった時みたいに、気分がハイになっている。；そこで彼は宝くじが当たったことを告げ、約束通り半額渡すのだった。；そのバーテンから見て、宝くじに当たった金で飲むのはどんな感じなのだろうか。；ホッジスは宝くじを公的教育を改善するために必要な税金と表現した。；宝くじが当たったことで、チャーリーとイボンヌ二人の生活は激変する。；山岡は栄介が宝くじで一千万円当てたと言ったのをたしかに聞いたはずである。；老人の術で、自分のほうから宝くじのことを喋ってしまったのではなかろうか。；国民カードなどの子会社を保有するほか、宝くじの販売なども行う。；歩道に面したそこの大きな角柱を背にして、宝くじを売っている若い男がいる。；復員した後は同社に戻り、宝くじの街頭販売を経験したこともある。；宝くじの話が出てたとき、その場に居合せた人のなかで、どうです?</t>
        </is>
      </c>
      <c r="J5067">
        <f>HYPERLINK("https://www.weblio.jp/content/宝くじ", "词义详情")</f>
        <v/>
      </c>
      <c r="K5067">
        <f>HYPERLINK("https://yourei.jp/宝くじ", "查看例句")</f>
        <v/>
      </c>
    </row>
    <row r="5068">
      <c r="A5068" t="inlineStr">
        <is>
          <t>宝物</t>
        </is>
      </c>
      <c r="B5068" t="inlineStr">
        <is>
          <t>成功</t>
        </is>
      </c>
      <c r="C5068" t="inlineStr">
        <is>
          <t>読み方：たからもの
宝として珍重する物品。財宝。ほうもつ。</t>
        </is>
      </c>
      <c r="D5068" t="inlineStr">
        <is>
          <t>宝物庫(7%)；宝物館(4%)；宝物室；宝物類；宝物蔵</t>
        </is>
      </c>
      <c r="E5068" t="inlineStr">
        <is>
          <t>富；宝；財；財宝；重宝</t>
        </is>
      </c>
      <c r="F5068" t="inlineStr">
        <is>
          <t>貴重な宝物；法隆寺宝物；大事な宝物；帝国宝物；全国宝物</t>
        </is>
      </c>
      <c r="G5068" t="inlineStr">
        <is>
          <t>宝物集；宝物を探しに；宝物産</t>
        </is>
      </c>
      <c r="H5068" t="n">
        <v>29</v>
      </c>
      <c r="I5068" t="inlineStr">
        <is>
          <t>大切な宝物とは太郎が書いた安二郎と太郎が手を繋いでいる絵であった。；その最中にイギリス兵が邦の文書類を含む宝物を見つけて取り上げた。；その雲は星の宝物である「クリスタル」を狙ってやってきたのであった。；わたしはここを去ってまた修行の旅に出るが、宝物はこの山に残しておく。；唯一の宝物のカメラをいつも持ち歩いて、信之の後をついて歩いている。；オエルがどのように宝物を手に入れるかを決めるために戻ってくる。；ルイ十四世とルイ十五世の時、とうとうこの宝物を費っちゃったんだよ。；また、学校の宝物庫には地名の由来となった「武石」が保存されている。；この宝物をとられてしまうくらいなら、いっそ死んだほうがましじゃ。；殊に家に伝わる宝物であるから、女と一緒にかかえて行ったものであろう。；次は時計の室、書物の室、目まぐるしいほどの宝物ばかり積まれてある。；四十八体仏もこの時に法隆寺から皇室に献納された宝物の一部であった。；実態はただの口約束で、宝物を要求しているだけである可能性が高い。；フランスは数ヶ月のうちに修道院を閉鎖し、教会の宝物を押収した。；億岐家宝物館には国の重要文化財に指定されている駅鈴が展示されている。；探偵は博物館の宝物には、賊の一指をもそめさせない自信がありました。；その時にプレゼントされた衣装とギターは宝物になっているという。；宝物館以外での過去の公開記録としては、以下のものが挙げられる。；女王は崩御の時まで彼から贈られた最後の手紙を宝物にしていた。；この秘密こそ仏王に伝わる巨万の宝物の隠してある場所を教えてあるものなのであった。；あわて者は、肝腎の宝物に手をふれても、それと気がつかないだろう。；玉は金、銀、桂、香などと同じように宝物の名称に基づくものである。；かつては観音堂に安置されていたが、現在は宝物庫の中に入っている。；なお、近くの建長寺でも同時期に同様の「宝物風入れ」が実施される。；セキストンは洞窟の前にちらばっている宝物の破片を発見したに違いない。；考古学者はこれらの宝物が紀元前1000年頃のものであると推定している。；あいつらはきっと、早苗さんを大切な宝物のように扱っているでしょう。；ずっと後に残りますから、僕の中ではこれは一生の宝物です。；女王は崩御する瞬間までこの手紙を宝物にしていたのだった。</t>
        </is>
      </c>
      <c r="J5068">
        <f>HYPERLINK("https://www.weblio.jp/content/宝物", "词义详情")</f>
        <v/>
      </c>
      <c r="K5068">
        <f>HYPERLINK("https://yourei.jp/宝物", "查看例句")</f>
        <v/>
      </c>
    </row>
    <row r="5069">
      <c r="A5069" t="inlineStr">
        <is>
          <t>多岐</t>
        </is>
      </c>
      <c r="B5069" t="inlineStr">
        <is>
          <t>成功</t>
        </is>
      </c>
      <c r="C5069" t="inlineStr">
        <is>
          <t>読み方：たき
［名・形動］道筋がいくつにも分かれていること。物事が多方面に分かれていること。また、そのさま。「話題が—にわたる」</t>
        </is>
      </c>
      <c r="D5069" t="inlineStr">
        <is>
          <t>多岐に渡り活動；多岐に渡るジャンル；多岐多様；多岐に渡り活躍；多岐多彩</t>
        </is>
      </c>
      <c r="F5069" t="inlineStr">
        <is>
          <t>至るまで多岐</t>
        </is>
      </c>
      <c r="G5069" t="inlineStr">
        <is>
          <t>多岐川裕美；多岐川恭；多岐都比売命；多岐多様；多岐原神社</t>
        </is>
      </c>
      <c r="H5069" t="n">
        <v>29</v>
      </c>
      <c r="I5069" t="inlineStr">
        <is>
          <t>しかし、使われる手法は多岐に渡り、また非常に高度であることが多い。；音楽・演劇・政治・文化批評など、その執筆分野は非常に多岐にわたる。；対象になっているものは、有名人・キャラクター・動物など多岐である。；作戦部隊を後方から支援するために必要な業務は非常に多岐にわたる。；種類が非常に多岐に渡るため、網羅的に挙げようとすることは行わない。；小川が指摘するポイントは多岐にわたるが、具体的には以下のものがある。；刊行されている作品の大半は小学生向けであり、ジャンルも多岐にわたる。；不思議な仕事の紹介から風俗系など扱う内容は多岐にわたっていた。；今日に至っては、こうした専門分野は体育や技術など多岐にわたっている。；公会議のテーマは多岐にわたっているが、ここでは主なものをあげる。；代表的な浴室関連の設備ユニットの寸法は次表に示すとおり多岐にわたる。；展開しているメディアはアニメ、ゲーム、漫画、小説など多岐にわたる。；また本来の専門とは異なる科学分野の多岐にわたる活躍も高く評価されている。；この改良は多岐に及ぶが、大きな改良が行われた場合は番台区分されている。；また扱われるテーマは多岐に渡り、時には非常に深刻なテーマも扱う。；二元論的な考え方は、それが語られる地域や時代に応じて多岐に渡っている。；本物の新薬が減っているのは、上の例だけでなく多岐にわたっている。；注意すべき点は多岐にわたるが次のような点が挙げられる。；原型機の提供を受けての改造機であるが、改造箇所は多岐にわたっている。；映画・演劇では演出上の理由でキャラクター設定が多岐に渡って改変される。；また最近でもパイオニア精神が旺盛で、多岐に渡る新商品が軒を連ねる。；花をどのように見せるかという観点では花壇の種類は多岐にわたる。；全身がエネルギーを利用できなくなるため、症状は多岐にわたる。；何度か仕様が変わったためスタイルは多岐に渡っている。；使用される地域は多岐にわたるので現地語は様々にある。；運営も劇作家たちによって行われており、その活動の範囲は多岐にわたる。；しかしプルーイット・アイゴーの失敗の要因は多岐にわたっており複雑である。；原因は多岐に渡り、急性の場合は医療機関での診断と治療が必要とされる。；MODでできることは後述するMODの種類及び適用例で示す通り多岐に及ぶ。</t>
        </is>
      </c>
      <c r="J5069">
        <f>HYPERLINK("https://www.weblio.jp/content/多岐", "词义详情")</f>
        <v/>
      </c>
      <c r="K5069">
        <f>HYPERLINK("https://yourei.jp/多岐", "查看例句")</f>
        <v/>
      </c>
    </row>
    <row r="5070">
      <c r="A5070" t="inlineStr">
        <is>
          <t>滝</t>
        </is>
      </c>
      <c r="B5070" t="inlineStr">
        <is>
          <t>成功</t>
        </is>
      </c>
      <c r="C5070" t="inlineStr">
        <is>
          <t>読み方：たき
１懸崖(けんがい)からほぼ垂直方向に落下する水の流れ。瀑布(ばくふ)。《季夏》「昼見たる—の夜の音聞きにけり／万太郎」→直瀑→段瀑→渓流瀑→潜流瀑→分岐瀑
２傾斜の急な所を激しい勢いではしり下る水流。急流。奔流。
「石(いは)走る—もとどろに鳴く蝉の声をし聞けば都し思ほゆ」〈万・三六一七〉
[補説]作品名別項。→滝</t>
        </is>
      </c>
      <c r="D5070" t="inlineStr">
        <is>
          <t>滝さん；滝氏；滝神；滝良精；滝久蔵</t>
        </is>
      </c>
      <c r="E5070" t="inlineStr">
        <is>
          <t>瀧；垂水；瀑布；飛瀑；水簾</t>
        </is>
      </c>
      <c r="F5070" t="inlineStr">
        <is>
          <t>小さな滝；大きな滝；那智滝；ヶ滝；かかる滝</t>
        </is>
      </c>
      <c r="G5070" t="inlineStr">
        <is>
          <t>滝沢；滝田；滝壺；滝子；滝川一益</t>
        </is>
      </c>
      <c r="H5070" t="n">
        <v>29</v>
      </c>
      <c r="I5070" t="inlineStr">
        <is>
          <t>駅の西に滝がかかっており、江戸時代にはこの滝が直接海に落ちていた。；公園内にある駐車場から滝までは急な坂道を約800m歩く必要がある。；ナムトック・タオダムは公園内の同じ場所にある3つの滝の総称である。；プレショーで使用されていた、滝が開く装置は現在は使用されていない。；橋名は岩に水が当たって飛散する様が滝のように見えることに由来している。；「流路」の節で言及されていないダム・閘門・滝・急流をリストします。；また、冬には凍結することもあるため氷滝の姿が見られることもある。；滝里湖沿いを国道38号が通過するが、ダムには直接行く事が出来ない。；滝沿いの観光地区にはホテルが多く立ち並び、や店舗が立ち並ぶがある。；その度にカスケードと呼ばれるいくつもの一時的な滝が形成される。；そこには、歴史上この川の航行可能な最上流部とされてきた大きな滝がある。；かつては滝石組みに水が流れていたが枯れており、枯山水となっている。；滝の多くは水槽の裏にあるが、一部は来場者に見える形で設置されている。；夫婦滝の先には小滝と孫滝があり、孫滝がルート上の最終水場となる。；冬になると気温が氷点下になるため、氷に覆われた滝を見ることができる。；以後高滝を居所とする大名は現れず、高滝藩は15年あまりで消滅した。；そのため、近年になって、ようやく発見された滝や巨木が無数に存在する。；滝の下流の峡谷に、滝の辿ってきた地質学的な歴史を見ることができる。；生成された二酸化マンガンは泥状となり、池や滝の周囲に溜まっている。；ワトスンは大声で叫んでみるが、滝の轟音が帰ってくるだけであった。；公園内でもっとも奥地にある滝の一つで、4WDのみで行くことが出来る。；滝の上部は水が十分にたまるように、コンクリートで改修されている。；どちらの国にも滝を取り囲むように有料の自然公園が整備されている。；公園は高い柵で囲まれており、公園に入らなければ滝に近づくことができない。；滝は三人に近づこうとしたが、滝は接近するトラックの前に飛び出してしまう。；モンドルキリ州は、山林や力強い滝があることでその名を知られている。；すると大蛇の体は川となり、首の切り口は滝となり、河津七滝となった。；西丹沢地域の滝は〇〇棚と呼ばれるものが多く、〇〇滝と呼ばれるものは少ない。；しかし田中がこれを拒否したため、滝、荒井が共に新党日本を離党した。</t>
        </is>
      </c>
      <c r="J5070">
        <f>HYPERLINK("https://www.weblio.jp/content/滝", "词义详情")</f>
        <v/>
      </c>
      <c r="K5070">
        <f>HYPERLINK("https://yourei.jp/滝", "查看例句")</f>
        <v/>
      </c>
    </row>
    <row r="5071">
      <c r="A5071" t="inlineStr">
        <is>
          <t>抱き締める</t>
        </is>
      </c>
      <c r="B5071" t="inlineStr">
        <is>
          <t>成功</t>
        </is>
      </c>
      <c r="C5071" t="inlineStr">
        <is>
          <t>読み方：だきしめる
［動マ下一］［文］だきし・む［マ下二］力を込めてしっかりと抱く。「再会したわが子を—・める」</t>
        </is>
      </c>
      <c r="D5071" t="inlineStr">
        <is>
          <t>抱く；抱擁；抱きしめる；抱え込む；擁する</t>
        </is>
      </c>
      <c r="F5071" t="inlineStr">
        <is>
          <t>しっかりと抱き締める</t>
        </is>
      </c>
      <c r="H5071" t="n">
        <v>29</v>
      </c>
      <c r="I5071" t="inlineStr">
        <is>
          <t>絶対に失ってはならないものを、いま再び腕の中に抱き締めているのだ。；そんな時は、彼に足だけをきつく抱き締められているような気分だった。；激しい揺れに襲われるなか、田中は原本数巻を抱き締めて守ったという。；その様子があまりに可愛らしくて、僕は両手で娘の体を強く抱き締めた。；俺を抱き締め頭を撫でて『好きか好きか好きか』と何度も聞くんですよ。；花奈子は私をこの部屋で抱き締めながら、今夜は家に帰るな、と言った。；父がこれを選んで買ってくれた時には、本当に父を抱き締めて喜んだものだ。；どうしてこの男に抱き締められるとこんなに泣きたくなるのだろう。；今まで知らなかったとても美しい嘆きのようなものが僕を抱き締める。；今まで知らなかつたとても美しい嘆きのやうなものが僕を抱き締める。；クララは彼を衝動的に抱き締めて、手で彼の頭を自分の胸に押しつけた。；男具那の脳裡に自分の脚を抱き締めた時の、異様な羽女の顔が浮かんだ。；バーニーは自分の体を抱き締めながら、待ちきれずにそわそわしていた。；それが両腕を組んだ中に其喜をぢつと胸に抱き締めてゐるやうに見える。；その腕に抱き締められキスをされれば、その熱が雅之にも伝わってきた。；東野は震えながら由希に近づいていき、その身体を後ろから抱き締めた。；普天間は十代の娘たちの気持ちで抱き締めるには、あまりにも広大だった。；寝転んで空を見上げながら、シェルファを黙って抱き締めてやっていた。；しかも積極的なおねーさんたちは、抱き締めて頬ずりまでしようとする。；走り寄って、わが娘をその手にしっかりと抱き締めてやることができない父親。；彼女が声をあげて泣き始めたのは、おれが抱き締めてからだった。；そして優しく両手で彼女の体を抱き締めながら、静かに唇を合わせた。；抱き締められ、もうどこにも行かないようにと男から押さえつけられる力。；と、その腕に抱き締められたソラトが、子供のようにジタバタし始めた。；からだを引いて自由になろうとしたが、カークに堅く抱き締められている。；唇を外して、しっかりと抱き締められた腕の中で小さく抗議をした。；やがて彼女の体を抱き締めていた手は、後ろから少女の頭を撫でる。；右手はその肘に当てられ、自分で自分を抱き締めるようにしていた。；束の間の夢を見ているのか、それとも現実をしっかと抱き締めているのか。</t>
        </is>
      </c>
      <c r="J5071">
        <f>HYPERLINK("https://www.weblio.jp/content/抱き締める", "词义详情")</f>
        <v/>
      </c>
      <c r="K5071">
        <f>HYPERLINK("https://yourei.jp/抱き締める", "查看例句")</f>
        <v/>
      </c>
    </row>
    <row r="5072">
      <c r="A5072" t="inlineStr">
        <is>
          <t>焚き火</t>
        </is>
      </c>
      <c r="B5072" t="inlineStr">
        <is>
          <t>成功</t>
        </is>
      </c>
      <c r="C5072" t="inlineStr">
        <is>
          <t>読み方：たきび
１戸外で集めた落ち葉や木片などを燃やすこと。また、その火。《季冬》「捨てし身や—にかざす裏表／茅舎」
２明かりや暖をとるためなどに薪を燃やすこと。また、その火。
「あまりに夜寒に候ふほどに…—をして」〈謡・黒塚〉</t>
        </is>
      </c>
      <c r="D5072" t="inlineStr">
        <is>
          <t>焚き火台；焚き火跡</t>
        </is>
      </c>
      <c r="E5072" t="inlineStr">
        <is>
          <t>焚火；篝火；篝；たき火；かがり火</t>
        </is>
      </c>
      <c r="F5072" t="inlineStr">
        <is>
          <t>大きな焚き火</t>
        </is>
      </c>
      <c r="H5072" t="n">
        <v>29</v>
      </c>
      <c r="I5072" t="inlineStr">
        <is>
          <t>いまも来る途中に、そこここの木戸に焚き火をして固めておるのを見た。；客は中央の焚き火と他の客の間を通らずに、座っている人の後ろ側を通る。；彼女は夕食をつくり、フィリップは焚き火のそばの草の上に坐っていた。；また直火のできないキャンプ場では焚き火台を持ち込むケースが一般的。；焚き火や作業台でクラフトを行った時のみ生成可能なアイテムもある。；二人が再び焚き火のもとに腰をおろしたのは、だいぶしてからだった。；私は、それを、焚き火のこちら側から、首の失くなった身体で見ていた。；食事がすんだあとも、かれらはしばらく小さな焚き火のそばに座っていた。；焚き火の爆ぜる音は、静かに時の経過を数えているようにも聞こえた。；人類の祖先は、以下の段階を経て焚き火の技術を確立したと推測されている。；もしかしたら、相手もどこからか、この焚き火を見ているかもしれない。；あまり焚き火の近くにいると目が光に慣れていざという時に困るのだそうだ。；人々は、傘にもならぬ樹々の下に寄り、焚き火をたいて暖をとりました。；この場合は、近年は焚き火台などの利用が推奨されることが多くなっている。；それは風のない午後の焚き火の煙みたいに、誰の目にも明らかに見て取れる。；そうよね、ライターがあっても板張りの床の上で焚き火はできないもんね。；燃え盛る焚き火を中心にして、生徒たちは輪になって踊っているのだろう。；私はもう、焚き火の煙が他人に見つかるのではないかと心配しなくなっていた。；焚き火は蹴散らされ火は消えていたが、炭はまだ赤く熱をたたえている。；闇の中で揺れる焚き火を眺めていると、かすかな歌声が聞こえてきた。；中学時代は焚き火が趣味で、神社で炎を眺めてはうっとりとしていた。；焚き火を背にしたソシエが、なにかを叫んでしきりに手を振っている。；決して大きい焚き火ではないので、玄関のすみずみにまで光は届かない。；連絡が中途で途絶えた形になる『焚き火』は今頃どうしているだろうか。；コモリは焚き火から燃えさしの枝を手にとると、それで煙草に火をつけた。；焚き火の上では、串刺しになったトカゲのような生き物が炙られていた。；けれどもその焚き火を燃やしつづけたものはやはり何人かの天才たちである。；読む方法は他の遺品同様に、そのアイテムを取得して焚き火にかざすこと。；彼は木の幹に背を預け、目の前にある焚き火をじっと見つめていた。</t>
        </is>
      </c>
      <c r="J5072">
        <f>HYPERLINK("https://www.weblio.jp/content/焚き火", "词义详情")</f>
        <v/>
      </c>
      <c r="K5072">
        <f>HYPERLINK("https://yourei.jp/焚き火", "查看例句")</f>
        <v/>
      </c>
    </row>
    <row r="5073">
      <c r="A5073" t="inlineStr">
        <is>
          <t>妥協</t>
        </is>
      </c>
      <c r="B5073" t="inlineStr">
        <is>
          <t>成功</t>
        </is>
      </c>
      <c r="C5073" t="inlineStr">
        <is>
          <t>読み方：だきょう
［名］(スル)対立した事柄について、双方が譲り合って一致点を見いだし、おだやかに解決すること。「—の余地がない」「安易に—する」「—案」</t>
        </is>
      </c>
      <c r="D5073" t="inlineStr">
        <is>
          <t>妥協する(9%)；妥協的(6%)；妥協点(6%)；妥協案(3%)；妥協策(2%)</t>
        </is>
      </c>
      <c r="E5073" t="inlineStr">
        <is>
          <t>譲る；折れる；譲歩；折り合い；折衷</t>
        </is>
      </c>
      <c r="F5073" t="inlineStr">
        <is>
          <t>政治的妥協；一切妥協；とも妥協；安易な妥協；決して妥協</t>
        </is>
      </c>
      <c r="H5073" t="n">
        <v>29</v>
      </c>
      <c r="I5073" t="inlineStr">
        <is>
          <t>現在の旗は、この三者の意見の妥協により成立したと見ることもできる。；その目的と権限は英米の確執で政治的に妥協して定められたものである。；議論の推移で妥協する必要もないと判断したらもちろん支持しません。；この妥協でアフリカ系アメリカ人は実質的に政府の権力から排除された。；しかしながら、これらはどちらとも決めにくい場合には妥協を必要とする。；ビデオの中で長野里美も、岩谷の妥協しない芝居への姿勢を語っていた。；この場合は当然ながら、通常砲弾に比べて威力の面では妥協する事になる。；彼らの権利と自由を欲したミランド住民は、迅速に新たな妥協を探した。；連邦政府が設立されたときも自由州と奴隷州の間の同様な妥協的方法が継続した。；しかしながら速度や輸送能力で、通常の固定翼機よりも妥協している。；この妥協は、時間と空間のトレードオフの一形態と考えることができる。；大勢の農民たちの強訴を前にして藩側は妥協を余儀なくされた。；次にシカールゾンで会談が開かれたが、ここでも清国は妥協しなかった。；そのため過去の比較的軽い賄賂は不問とすることで妥協がなされた。；また、私が出しているのは私が妥協できると考えるラインです。；一方住民側も、移転後の生活再建の為に妥協しない姿勢を貫いた。；悔悛時に動物性食品は避けられたが、現実的な妥協がしばしば図られた。；マルケリウスは熱心な正教会教徒で、著作の中でも妥協を許していない。；この妥協しない議会はベルチャーの提案する法案の成立を拒否した。；結局三木と挙党協はぎりぎりのところで妥協が図られることになった。；病院の過程の流れが悪いと、HISの方が妥協して悪い流れに合わせていたのである。；合同製鋼など既存の鉄鋼資本も最終的にはゲーリングと妥協していった。；またより多くの人々は妥協的な姿勢で生活を守った。；彼は素晴らしく注意深く、中途半端に妥協することに我慢がならなかった。；家電業界と音楽業界の歴史的な妥協案であるこの法案はすぐに発効された。；コネチカット州の提案する大妥協案を起草する委員会に出席することを認めた。；反乱側もレオポルト1世と和睦したが、テケリは妥協せず反抗を続けた。；予算開始までに大統領と議会が妥協せずに予算案が成立しない場合は予算空白となり。；しかし非妥協的なヒトラーはシュトラッサーを徹底的に非難・罵倒した。</t>
        </is>
      </c>
      <c r="J5073">
        <f>HYPERLINK("https://www.weblio.jp/content/妥協", "词义详情")</f>
        <v/>
      </c>
      <c r="K5073">
        <f>HYPERLINK("https://yourei.jp/妥協", "查看例句")</f>
        <v/>
      </c>
    </row>
    <row r="5074">
      <c r="A5074" t="inlineStr">
        <is>
          <t>炊く</t>
        </is>
      </c>
      <c r="B5074" t="inlineStr">
        <is>
          <t>成功</t>
        </is>
      </c>
      <c r="C5074" t="inlineStr">
        <is>
          <t>読み方：たく
［動カ五（四）］《「焚く」と同語源》
１米などの穀物を煮て食べられるようにする。「かゆを—・く」「赤飯を—・く」
２（西日本で）煮る。「野菜を—・く」
[可能]たける</t>
        </is>
      </c>
      <c r="D5074" t="inlineStr">
        <is>
          <t>煮る；ボイル；茹でる；湯煮</t>
        </is>
      </c>
      <c r="F5074" t="inlineStr">
        <is>
          <t>混ぜて炊く；合炊く</t>
        </is>
      </c>
      <c r="H5074" t="n">
        <v>29</v>
      </c>
      <c r="I5074" t="inlineStr">
        <is>
          <t>毎日お米を炊いたり料理したりして食べていても無我夢中でおりました。；炊く飯はいつも三合だから、大河は二合も一人で食べていることになる。；二軒しかない上手の方の家に寄り込んで米を出して昼食を炊いて貰った。；家の中で食べるご飯というものは、やはり家の中で炊くもののようです。；むしろ私が帰って来ると、彼は私のためにご飯炊いて待っててくれたわ。；息はずませて帰ってみれば殺したはずの女房が囲炉裏で朝げを炊いている。；煙草の火を点けながら、飯を炊いていた長次郎と話をして別れて行った。；いきなり炊かずにしばらく置いておくことを「米をうるかす」といった。；これを予防するには、家ごとに赤飯を炊いて食えと言い出した者がある。；日本では、白米に混ぜて炊いて食べるのがブームになったことがあった。；ときどきは押麦だけを炊いて、それでカレーライスにすることもあった。；食べるものもないので、かまどには炊くこともないので煙も立てない。；祖母との2人暮らしは極貧そのもので、洗面器で米を炊いていたという。；こうして炊きあげた弁当箱ひとつの飯が、少年達一人の一食分であった。；ご飯を炊いたあと、鍋に水を入れておいたので、水が温かくなっていた。；結局、炊き方を研究した上で玄米白米の混合米を常食とすることにした。；米はさっき起きた時に炊いておいたので、あと三十分もすれば出来るだろう。；その際に蓋をし、いわば具材を蓋の代わりにして炊きあげるのが一般的である。；「これじゃ飯を炊くところもないが、どうしたものだろう」 と一思案。；香を炊いたり像を埋めたりすることは天文魔術と降霊術の双方にみられる。；何のくふうもなく食い込んでおれば家をこわして炊くようなものだ。；そいつはたった一つの鍋で飯を炊き、汁を作って我々の命を助けてくれた。；小勢な家では大きなお釜で少し炊くからどうしても美味しく出来ません。；これは一例であり炊き方は地域や各家庭の好みによる。；飯を炊かなくていいと思うと、いつも、バルサはうれしそうな顔になる。；もし万が一気づかずに炊いてしまったり、食べてしまっても害はない。；あるいは炊いた御飯へ酢と塩とを混ぜても出来ますが炊いた方が結構です。；その頃はお鍋が一つという関係上、ご飯を炊くことはほとんどなかった。；天然にはカモミールの精油に含まれ、炊いた米飯からも発見されている。</t>
        </is>
      </c>
      <c r="J5074">
        <f>HYPERLINK("https://www.weblio.jp/content/炊く", "词义详情")</f>
        <v/>
      </c>
      <c r="K5074">
        <f>HYPERLINK("https://yourei.jp/炊く", "查看例句")</f>
        <v/>
      </c>
    </row>
    <row r="5075">
      <c r="A5075" t="inlineStr">
        <is>
          <t>宅</t>
        </is>
      </c>
      <c r="B5075" t="inlineStr">
        <is>
          <t>成功</t>
        </is>
      </c>
      <c r="C5075" t="inlineStr">
        <is>
          <t>読み方：たく
［音］タク（漢）
［学習漢字］6年
すまい。やしき。「宅診・宅地／火宅・帰宅・旧宅・居宅・私宅・自宅・社宅・住宅・拙宅・邸宅・転宅・別宅・本宅」
［名のり］いえ・おり・やか・やけ</t>
        </is>
      </c>
      <c r="D5075" t="inlineStr">
        <is>
          <t>宅助；宅悦；宅兵衛；宅下げ；宅様</t>
        </is>
      </c>
      <c r="E5075" t="inlineStr">
        <is>
          <t>家；夫；室；屋；館</t>
        </is>
      </c>
      <c r="F5075" t="inlineStr">
        <is>
          <t>留守宅；家住宅；個人宅；友人宅；被害者宅</t>
        </is>
      </c>
      <c r="G5075" t="inlineStr">
        <is>
          <t>宅地開発；宅配便；宅配；宅地造成；宅間</t>
        </is>
      </c>
      <c r="H5075" t="n">
        <v>29</v>
      </c>
      <c r="I5075" t="inlineStr">
        <is>
          <t>これは数ヶ月前に予約がされており、宅の選挙出馬以前に決定していた。；全軍を指揮をとったのは元宅であり、総勢6百程であったとされている。；ルーカスのスパイの情報では、文書が夫人宅にあることが分かっている。；専門的な分野の雑誌は、契約制で企業や個人宅に直接配送するものがある。；中学時に年の離れた次兄の誘いを受けて、その次兄宅に家族で上京する。；その後、奥田は友人宅へ泊まり、翌日自宅に帰ったところを逮捕された。；実家は作家の原田康子宅の隣にあり、小学生時代に原田と交流があった。；後にこれが愛人宅における腹上死だったことが公になり大騒動になった。；次にフェイト宅を訪問するが、相手にされず乱暴に追い返されてしまう。；これは一茶宅に来客が多かったことも関係していると見られている。；列車運転業務妨害事件や検事・市長宅への投石事件などを起こしていた。；同19時ごろ、母親が隣に住む実母と被害者宅の電話で会話している。；姉・ナナ子の夫の親類宅に2度目の滞在をさせてもらうことになった。；同じ日体大出身の佐藤弘道が大会前に白鳥宅を訪れて練習をしていた。；バンド活動初期の頃は直井宅にメンバーが集まって練習をしていた。；日本の素材を取り込んだ服作りに挑んだイノベイターといえば三宅である。；田畑の耕作は許可されていたため、多くは付近の親戚や知人宅を頼った。；MEGUMI宅からの放送の設定になってからはタイトル画像のみでの出演となった。；ニューヨークに来て最初の数ヶ月は友人宅のソファで眠った。；この家は偶然にも母の若い頃の友人宅であった。；近くの江東区門前仲町には、伊能忠敬宅跡を示す石碑が建てられている。；一揆勢は各地の戸長宅などを打ち壊し、小学校などもその被害に遭った。；名の由来は父がドイツ留学中に留守宅で生まれたことから。；この実弟のコメントから、宅に事実婚関係の妻がいる事も明らかになった。；同年5月24日、生まれてくる子の相談で通と共に三鷹の太宰宅を訪問。；多くは、近隣の藤岡町や茨城県猿島郡古河町などの親類宅に身を寄せた。；おもに師匠宅で師匠・その家族のために家事などの下働き・雑用をする。；MEGUMIが休みのときには、菅野宅からの放送という設定になった。；柳田国男は少年時代に小川宅に住んでいたことがあり、交流があった。</t>
        </is>
      </c>
      <c r="J5075">
        <f>HYPERLINK("https://www.weblio.jp/content/宅", "词义详情")</f>
        <v/>
      </c>
      <c r="K5075">
        <f>HYPERLINK("https://yourei.jp/宅", "查看例句")</f>
        <v/>
      </c>
    </row>
    <row r="5076">
      <c r="A5076" t="inlineStr">
        <is>
          <t>抱く</t>
        </is>
      </c>
      <c r="B5076" t="inlineStr">
        <is>
          <t>成功</t>
        </is>
      </c>
      <c r="C5076" t="inlineStr">
        <is>
          <t>読み方：いだく
［動カ五（四）］
１腕でかかえ持つ。だく。「ひしと—・く」「母親の胸に—・かれる」
２かかえるように包み込む。「村々を—・く山塊」「大自然の懐に—・かれる」
３ある考えや感情をもつ。「疑問を—・く」「青年よ大志を—・け」
４しっかり守る。擁護する。
「任那(みまな)を—・き守ること、おこたることなきなり」〈欽明紀〉
[可能]いだける
→抱(かか)える［用法］</t>
        </is>
      </c>
      <c r="D5076" t="inlineStr">
        <is>
          <t>抱くべき；抱くこと自体；抱く公卿たち；抱く者達；抱く聖母マリア像</t>
        </is>
      </c>
      <c r="E5076" t="inlineStr">
        <is>
          <t>思う；持つ；経験；含む；受ける</t>
        </is>
      </c>
      <c r="H5076" t="n">
        <v>29</v>
      </c>
      <c r="I5076" t="inlineStr">
        <is>
          <t>しかし今回は、漫画の内容が恋愛ものばかりであることに不満を抱いた。；マーリンも同じように死んでいるのではないかという不安を抱きながら。；でも、彼が車の中で彼女を抱こうとしなかったのは、仕方のないことだ。；二人はその後死ぬまで互いに深い愛情を抱き続けたと言われている。；愛に抱かれ、ここで統一された多様な力は再び外へ向かって広がりゆく。；患者の力ない手がわずかに動いて、新一の肩を抱こうとするように見えた。；小さいころから科学へ興味を抱き、多くのことを読書により学んでいた。；清はおしんに礼を言い、竜三の骨を一片胸に抱いて佐賀へ帰っていった。；原首相に反感を抱く人物が上司におり、それに影響されたとされている。；そこで夫が目にしたのはカルヴァートの腕に抱かれる妻の姿だったのです。；彼の様子を見ますと、常に不満の心を抱いているのが良く分かります。；もちろん強い愛国心を抱いているし、英国民であることは大きな誇りだ。；しかし従兄の沼田藩主・信利がこれに不満を抱いて家督争いが起こった。；困惑を抱きながらも、籐矢は全ての真実を知る決意をし、行動を始めた。；疑念を抱かせない事が不可視インクをうまく使うために重要な点である。；感情の一覧は、様々なことに感じて抱く気持ちを一覧にしたものである。；世界高校野球大会では猪狩守に打撃指導されることに反感を抱いている。；また、プライバシーの問題に強い意識を抱いていることでも知られている。；そして世界創造前に抱いた考えの一部を彼の音楽に織り込んだのであった。；私はその人の手に抱かれている時にね、一番安心していたんですの。；さらに通常の鮮魚輸送のように抱き氷による輸送をすることもできた。；そうしてそれらのものを用いることに悦びを抱こうではありませんか。；富野自身も両親に対して憎悪のような感情を抱いていたと述懐している。；手を握るわけでもないし、送ってきてくれる時も肩ひとつ抱こうとしない。；そのため、現在でもポーランド人は強い反露感情を抱いているとされる。；同社が最も興味を抱いたのはERAの磁気ドラムメモリシステムである。；女を抱こうとする直前の男特有の、あの怒ったような目になっている。；しかしながら、現代の学者たちはこの記述について強く疑問を抱いている。；オルガ姫を見ていると、私は母の懐に抱かれているような安心を覚える。</t>
        </is>
      </c>
      <c r="J5076">
        <f>HYPERLINK("https://www.weblio.jp/content/抱く", "词义详情")</f>
        <v/>
      </c>
      <c r="K5076">
        <f>HYPERLINK("https://yourei.jp/抱く", "查看例句")</f>
        <v/>
      </c>
    </row>
    <row r="5077">
      <c r="A5077" t="inlineStr">
        <is>
          <t>類</t>
        </is>
      </c>
      <c r="B5077" t="inlineStr">
        <is>
          <t>成功</t>
        </is>
      </c>
      <c r="C5077" t="inlineStr">
        <is>
          <t>読み方：るい
［音］ルイ（呉）（漢）　［訓］たぐい
［学習漢字］4年
１互いに似た性質でまとめられるものの集まり。たぐい。「類別／衣類・魚類・穀類・種類・書類・生類(しょうるい)・親類・人類・鳥類・党類・糖類・同類・部類・分類」
２似ている。似たもの。「類義・類型・類似・類書・類例・類人猿／比類・無類」
３同じ目にあう。まきぞえを食う。「類火・類焼」
［名のり］とも・なし・よし</t>
        </is>
      </c>
      <c r="D5077" t="inlineStr">
        <is>
          <t>類以上；類稀；類まれ；類卒業；類いまれな</t>
        </is>
      </c>
      <c r="E5077" t="inlineStr">
        <is>
          <t>型；種；種類；形態；タイプ</t>
        </is>
      </c>
      <c r="F5077" t="inlineStr">
        <is>
          <t>全人類；機器類；道具類；機械類；宝石類</t>
        </is>
      </c>
      <c r="G5077" t="inlineStr">
        <is>
          <t>類型；類似性；類する；類推；類似点</t>
        </is>
      </c>
      <c r="H5077" t="n">
        <v>29</v>
      </c>
      <c r="I5077" t="inlineStr">
        <is>
          <t>鰹節は節類の代表的なもので加工の工程や製品の形状の名称が共通する。；いわゆる電子ガジェット類に機能の一つとして付属している場合もある。；相貌は類義を持つほか人の顔立ちに限らず物事の様子を指す場合もある。；電力機器は、電気を利用するために必要な、様々な機器類の総称である。；尾の短い鳥翼類の系統のうち、最初に多様化を遂げたのが反鳥類である。；食事類を提供する喫茶店を営業する場合は飲食店営業の許可が必要である。；さらに、成長に伴い使われる子供向けの楽器類なども玩具に相当する。；ここでは、本作に登場するアイテム類のうち何度も登場するもののみを挙げる。；海岸地帯の料理にはセビッチェのように魚介類を豊富に使った料理が多い。；似たような遊びをする植物にスミレ類やオオバコなどが良く知られる。；海に囲まれているため魚介類も豊富で、魚やエビなどを使った料理も多い。；以下の書籍の該当頁には、類話の一部が載っているので参照されたい。；特に動物に関する体系的な研究は古代世界では東西に類を見ない。；日本語諸方言では原則として、同じ類の語は同じ型のアクセントを持つ。；類が極度に広いと、存在・もの・何かなどの語を使わざるを得ないことになる。；衣料、雑貨を営業し、近代に入って呉服類を中心に営業を継続拡張した。；音楽を通して彼は全人類の暮らしを豊かなものにしてくれたのです。；その他の台車に装備される装置類としては、以下のようなものがある。；これは200kmの高度に装置類を投入することを目的とした。；しかし最近類を探し当てることができない結果、この表現に至ることも多い。；従来は独立して設置していた機器類は共通機器箱に集約した。；リボン類も布のものばかりでなくプラスチック類のものが登場した。；キス類の多くは食用に利用されるほか、釣りの対象としても人気が高い。；元々は肉料理用のソースであるが、魚介類や野菜に使われることも多い。；CPU類は限られた数の明確で単純な命令しか持っていない。；性格は全46種類が存在し、ステータス画面で確認することができる。；歯は木を削ったり堅果類の皮をかじったり身を守ったりするために使われる。；この類では、殻が螺旋状に巻いているので、左右が非対称になっている。；これはシャチに限らず、大型の動物類全てに言えることでもある。</t>
        </is>
      </c>
      <c r="J5077">
        <f>HYPERLINK("https://www.weblio.jp/content/類", "词义详情")</f>
        <v/>
      </c>
      <c r="K5077">
        <f>HYPERLINK("https://yourei.jp/類", "查看例句")</f>
        <v/>
      </c>
    </row>
    <row r="5078">
      <c r="A5078" t="inlineStr">
        <is>
          <t>たくさん</t>
        </is>
      </c>
      <c r="B5078" t="inlineStr">
        <is>
          <t>成功</t>
        </is>
      </c>
      <c r="C5078" t="inlineStr">
        <is>
          <t>読み方：たくさん
［名・形動］
１数量の多いこと。また、そのさま。多数。副詞的にも用いる。「—な（の）贈り物」「本を—持っている」
２数量が十分であること。十分で、それ以上はいらないこと。また、そのさま。「お説教はもう—だ」
３（名詞に付き、多く「…だくさん」の形で）それが十分であったり、十分すぎたりするさま。「子—」「盛り—」</t>
        </is>
      </c>
      <c r="D5078" t="inlineStr">
        <is>
          <t>たくさんある(9%)；たくさんあり(2%)；たくさん出；たくさんつい；たくさん食べ</t>
        </is>
      </c>
      <c r="E5078" t="inlineStr">
        <is>
          <t>多く；よく；多い；多くの；しばしば</t>
        </is>
      </c>
      <c r="F5078" t="inlineStr">
        <is>
          <t>くらいたくさん；たくさん食べさせ；たくさん出て来；たくさん棲ん；たくさん咲い</t>
        </is>
      </c>
      <c r="H5078" t="n">
        <v>29</v>
      </c>
      <c r="I5078" t="inlineStr">
        <is>
          <t>機体はこの2機の他にもたくさん存在しているようであるが詳細は不明。；都市などの人間のたくさんいる場所を舞台にしたシナリオのことを示す。；ホックの作品には非常にたくさんのシリーズ・キャラクターが登場する。；加えて、両方に属させる記事もたくさん出てきてしまいそうに思います。；子供の視聴者もたくさんいるのだから悪い影響があるのではと心配だ。；それは真っ暗なトンネルの中でたくさんの鐘を鳴らすようなものである。；つまり、たくさんの素材があるし、それはまだ実現する可能性があるんだ。；アンドロメダ銀河のようなより大きな銀河にはもっとたくさん存在する。；脚にはたくさんの鈴がついたベルトをつけ、白いハンカチ大の布を持つ。；三度目の勝負の日には、噂を聞きつけてたくさんの観衆が集まっていた。；現在そのコートはたくさんのステージ衣装の展示に使用されている。；次作に収録される予定の曲をたくさん初披露したツアーとなった。；型をたくさん覚えても時間の無駄であるという考えからであった。；転職させるには戦闘で手に入るポイントがたくさん必要になるため注意が必要だ。；また、内容語にはたくさんの語が属するが、機能語は数が限られている。；学校があったこと、新鮮な空気があったこと、人間がたくさんいたこと。；阿蘇山は巨大な火山ゆえに、その周辺はたくさんの温泉に恵まれている。；個別言語の記事を書く、あるいは読むたくさんの人が参加を期待しています。；明治期には小山付近では舟遊びが盛んで屋形船がたくさんあったという。；これは同じ読みの漢字がたくさん存在するという日本語の特徴のためである。；こちらもたくさんの種類があり、細かく使用法が設定されています。；それまで海には魚がいなかったが、この魚から現在海にいるたくさんの魚が生まれた。；それはたくさんの若者が称賛する歌の中に希望のメッセージとしてあります。；野生の木も各地にたくさん見られ、地名や人名に用いられる例も多い。；これは、そのコード内にたくさんの命令の依存関係が存在する場合に起こる。；広場にはたくさんの舞台が組立てられ、様々なショーが繰り広げられた。；中日の目玉になれる素材だが、まだ覚えさせるべきことがたくさんある。；生息数も多いようで、日本からもたくさんの化石が見つかっている。；可愛らしいだけでなく、2人には似たところがたくさんあったからである。</t>
        </is>
      </c>
      <c r="J5078">
        <f>HYPERLINK("https://www.weblio.jp/content/たくさん", "词义详情")</f>
        <v/>
      </c>
      <c r="K5078">
        <f>HYPERLINK("https://yourei.jp/たくさん", "查看例句")</f>
        <v/>
      </c>
    </row>
    <row r="5079">
      <c r="A5079" t="inlineStr">
        <is>
          <t>宅配便</t>
        </is>
      </c>
      <c r="B5079" t="inlineStr">
        <is>
          <t>成功</t>
        </is>
      </c>
      <c r="C5079" t="inlineStr">
        <is>
          <t>読み方：たくはいびん
比較的小さな荷物を各戸へ配送する輸送便。荷主の戸口から届け先の戸口までの迅速な配達を特徴とする。</t>
        </is>
      </c>
      <c r="D5079" t="inlineStr">
        <is>
          <t>宅配便業者(4%)；宅配便事業(3%)；宅配便サービス(2%)；宅配便荷物；宅配便会社</t>
        </is>
      </c>
      <c r="F5079" t="inlineStr">
        <is>
          <t>ドローン宅配便；クール宅配便；陸上宅配便；民間宅配便</t>
        </is>
      </c>
      <c r="H5079" t="n">
        <v>29</v>
      </c>
      <c r="I5079" t="inlineStr">
        <is>
          <t>宅配便の業者などが使う一軒一軒に名前がはいった地図の拡大版である。；ただし貨物部側面に描かれている社名は宅配便会社のものではなかった。；個人の宅配便利用数は一年で二〇パーセントも増えたと言われている。；レンズから覗いたところ、外に立っているのは宅配便の男だとわかった。；漁業とは何の関係もない全国規模の宅配便業者、その地元営業所にまで。；宅配便の大型トラックが路肩に停車し、運転手が荷物を運び出している。；机の脇においた宅配便の小振りの段ボールがほぼいっぱいになる分量だ。；宅配便といっても、東京から白馬方面へは二日ぐらいかかるんですよ。；宅配便市場が成熟化し成長率が低くなる中、新たな市場開拓に注力した。；それにしても殺した上に、宅配便で送るなんてのはどう考えても許せない。；誘拐された女性の首だけが親のもとに宅配便で届けられた誘拐殺人事件。；別の宅配便がさらにふたつのアタッシェケースを届けに来たに違いない。；宅配便の男が、六〇二から荷物を持って出ていったではないか。；帰ってすぐ、自分で荷造りをして、宅配便で田舎に送ったのだそうだ。；宅配便の伝票には押しつぶされた蟻のような小さい字が散らばっていた。；宅配便業者のような青い服装をした二人組の男が鷹野の車の窓を叩く。；それに冷蔵宅配便ではないから、ケーキのような生ものでもなさそうだ。；「さて、あたしもお暇をするかね」 荷物はもう宅配便で送ってある。；は、かつて展開されていた宅配便事業および商品の名称である。；宅配便が登場するまでは唯一のドア・ツー・ドアの運送形態であった。；遺体を運び込んだ宅配便を追っていけば、やがて石倉に行き着くだろう。；事業者およびブランドにより宅配便の定義が異なり以下の通りである。；宅配便の男は、その時感じた強烈な違和感に似たものを郷子に与えた。；宅配便を届ける時、こんなふうに事前に了解を得ることなどあっただろうか。；各国でドローンを使用した宅配便の計画が進行中で一部では実験的に運用されている。；困ったままめだが、その夜、ぱぱおは宅配便で秘密の素材を手に入れていた。；母親が帰ってくるのは深夜のはずだし、年前指定の宅配便でも届いたのだろうか。；宅配便の男だけではなく、結婚してからこれまでに性交した男の話も一切、しない。；そのせいかこの時間を狙って各種セールスマンや宅配便が来る。</t>
        </is>
      </c>
      <c r="J5079">
        <f>HYPERLINK("https://www.weblio.jp/content/宅配便", "词义详情")</f>
        <v/>
      </c>
      <c r="K5079">
        <f>HYPERLINK("https://yourei.jp/宅配便", "查看例句")</f>
        <v/>
      </c>
    </row>
    <row r="5080">
      <c r="A5080" t="inlineStr">
        <is>
          <t>逞しい</t>
        </is>
      </c>
      <c r="B5080" t="inlineStr">
        <is>
          <t>成功</t>
        </is>
      </c>
      <c r="C5080" t="inlineStr">
        <is>
          <t>読み方：たくましい
［形］［文］たくま・し［シク］
１からだが頑丈で、いかにも強そうに見える。「—・い腕」
２意志が強く、多少のことではくじけない。「—・い精神」
３意気や勢いが満ちあふれている。「—・い生命力」「—・い食欲」「想像力が—・い」
[派生]たくましげ［形動］たくましさ［名］</t>
        </is>
      </c>
      <c r="D5080" t="inlineStr">
        <is>
          <t>逞しい男(6%)；逞しい腕(5%)；逞しい肩(2%)；逞しい身体；逞しい肉体</t>
        </is>
      </c>
      <c r="E5080" t="inlineStr">
        <is>
          <t>強い；強く；頑丈；力強い；たくましい</t>
        </is>
      </c>
      <c r="F5080" t="inlineStr">
        <is>
          <t>逞しい躯；逞しい手；逞しい胸；逞しい体格；逞しい顔</t>
        </is>
      </c>
      <c r="H5080" t="n">
        <v>29</v>
      </c>
      <c r="I5080" t="inlineStr">
        <is>
          <t>少し離れた位置に逞しい男性がひとりいましたけど、関係なさそうです。；眼は又左衛門の坐った太い膝と、その上に置いた逞しい手とを見ている。；わたくしは黒人のうちに、これほど背が高く逞しい男を見たことがない。；彼女はまた、夫がどんな空想を逞しくしているかをも、よく知っていた。；やっぱり根に純粋で逞しいものを持って生れついて呉れたせいであろうか。；そこには近代的な実用の美も逞しい生活のエネルギーも感じられない。；きっと貴族に取り入ろうとする男や女たちのほうが逞しいからだろう。；私は最初に感じたたのもしさの何十倍もの強さで、自分を逞しいと思った。；吉良の逞しい首筋の前方には髪をなびかせて雲に乗る僕僕の背中が見える。；やがて葉が落ちてしまうと、太く逞しい幹だけになってしまうのだろう。；気がつかぬうちに、修子もそんな逞しさを身につけたのかもしれない。；一つ、わたくしが想像を逞しくして大胆に当推量を述べてみましょうか。；男の逞しい腕が彼女の華奢な腰を引き寄せ、半ば彼女の足は宙に浮いた。；そのとたん、御鏡と随風の間に忽然と一人の逞しい男の姿が湧き出した。；仔細に見るとそれらの者はいずれも逞しい体をした働き盛りの若者である。；あれだけの逞しいからだを持った男が、女子をきらいな筈があるまい。；私は爽快に逞しく五十メートルも跳ぶような小説を書きたいと思った。；しばらくすると、逞しい青年が彼女を車に乗せ送ってくれるという。；堂十郎の前に立ちはだかっているのは、あの逞しい体格の町人であった。；逞しい体躯への羨望もあるが、その中には多分の恐れも含まれていた。；不恰好な顔だったが、しかし、それには一種の逞しさが発達していた。；ヤミ市的な逞しさなしに、現在の復興はあり得なかったのだろうとも思う。；しかし私は何故に昔から、嫌な想像力ばかりが逞しくなっていたのでしょう。；こんな寒さの中に、大いびきをかいている人間が、ひどく逞しく思われた。；掴みどころのない不安を覚えた時は、想像を逞しくするしかなかった。；そして、こわごわと触ってから、逞しい尾をひと振りして逃げていった。；そこからそれが人間の二の腕、それも逞しい男のものであることが分かった。；彼は脊は高くないが骨格の逞しい眉の濃い髯の多い、赤い顔した男だつた。；そうして逞しい手で鉄のついた杖を突き刺したが、抵抗は感じられなかった。</t>
        </is>
      </c>
      <c r="J5080">
        <f>HYPERLINK("https://www.weblio.jp/content/逞しい", "词义详情")</f>
        <v/>
      </c>
      <c r="K5080">
        <f>HYPERLINK("https://yourei.jp/逞しい", "查看例句")</f>
        <v/>
      </c>
    </row>
    <row r="5081">
      <c r="A5081" t="inlineStr">
        <is>
          <t>巧み</t>
        </is>
      </c>
      <c r="B5081" t="inlineStr">
        <is>
          <t>成功</t>
        </is>
      </c>
      <c r="C5081" t="inlineStr">
        <is>
          <t>読み方：たくみ
《動詞「巧む」の連用形から》
［名］
１細工師・大工など、手先や道具を使って物を作る職人。工匠。「飛騨の—」
２技巧や意匠。「—を凝らす」
３美しいものを作りだすわざやはたらき。
「霊妙不可思議な自然の—」〈里見弴・多情仏心〉
４はかりごと。くわだて。たくらみ。
「我(おれ)も男児(をとこ)なりや汚い—を腹には持たぬ」〈露伴・五重塔〉
［形動］［文］［ナリ］（巧み）物事を手際よく、じょうずに成し遂げるさま。「—に難関を切り抜ける」「馬を操るのが—な人」</t>
        </is>
      </c>
      <c r="D5081" t="inlineStr">
        <is>
          <t>巧みな話術；巧みな外交；巧みな戦術；巧みな弁舌；巧みな方法</t>
        </is>
      </c>
      <c r="E5081" t="inlineStr">
        <is>
          <t>うまい；上手；鮮やか；巧妙；器用</t>
        </is>
      </c>
      <c r="F5081" t="inlineStr">
        <is>
          <t>巧みに織り交ぜ；巧みな政治手腕；巧みな外交戦略；巧みな操艦；巧みな外交手腕</t>
        </is>
      </c>
      <c r="H5081" t="n">
        <v>29</v>
      </c>
      <c r="I5081" t="inlineStr">
        <is>
          <t>彼はその財と個人的な魅力を巧みに使い、イタリア内の安定を実現した。；機械レースはどのようなレースも巧みに模造することが可能であった。；中国広東州でも、コイ科の魚や他種を合成して巧みに人魚が作成された。；これは巧みな形で天皇・皇室の維持を認めている曖昧な文章であった。；デザインも曲線を巧みに使用した張りのあるモダンなものへと変化した。；彼は、詩や文学の要素を巧みに取り入れたヒット曲を数多く手がけた。；インフルエンザウイルスはこの過程から巧みに逃れるようにできている。；人を使うことに巧みな人は、何ごとも謙遜してへりくだった姿勢をとる。；それを芸術性が高い音楽に仕上げるところにラヴェルの巧みさが見える。；翼や尾羽根は先細で尖っており、巧みな飛行と敏捷な動作が可能である。；歌は極めて巧みであるが、それはイギリス人が優れた合唱隊であるからだ。；色ガラスや気泡を巧みに使った吹きガラスはこの分野に新しい領域を開いた。；古くは漢の時代にもみられるが、唐の時代に最も巧みに利用された。；その後も他の勢力と巧みに手を結びながら、独立を終生維持した。；さらにそれは翌年発表した「全身的巧みさと部分的巧みさ」へと展開する。；彼は達筆で、文書の構成に巧みだった事でしばしば功績を挙げた。；次の歌は枕詞、序詞を巧みに駆使しており、百人一首にも載せられている。；巧みな航海術を駆使した北欧の海賊はヴァイキングと呼ばれ恐れられた。；アルパード帝の巧みな婚姻政策で、各国公家には帝室の血が流れている。；この後副主題を巧みに使いながら盛り上がり最初の主題が回帰する。；ここの音楽は非常に切迫感があり、乙女の拒否を巧みに描いている。；楽曲の大きな特徴はクラシック音楽とロックを巧みに織り交ぜた点にある。；流れるように巧みな移動撮影も、溝口の特徴的な撮影手法である。；身体の強さと高さを発揮し、巧みにボールを引き出してチーム戦術に適応。；言葉巧みに封印を解かせた後、用済みだったこともあり始末したのである。；楽章は簡潔ながらも巧みに構築されており、高い構成力が既に示されている。；水中を自由に動き巧みに魚を捕ることから漁師になぞらえた話も多い。；プーカは変身が巧みで、さまざまな恐るべき形態をとると考えられていた。；感情コントロールは、人の感情の幅を巧みな操作で狭くしようとするものである。</t>
        </is>
      </c>
      <c r="J5081">
        <f>HYPERLINK("https://www.weblio.jp/content/巧み", "词义详情")</f>
        <v/>
      </c>
      <c r="K5081">
        <f>HYPERLINK("https://yourei.jp/巧み", "查看例句")</f>
        <v/>
      </c>
    </row>
    <row r="5082">
      <c r="A5082" t="inlineStr">
        <is>
          <t>企む</t>
        </is>
      </c>
      <c r="B5082" t="inlineStr">
        <is>
          <t>成功</t>
        </is>
      </c>
      <c r="C5082" t="inlineStr">
        <is>
          <t>読み方：たくらむ
［動マ五（四）］くわだてる。よくないことを計画する。もくろむ。「謀反を—・む」</t>
        </is>
      </c>
      <c r="D5082" t="inlineStr">
        <is>
          <t>計画；予定；考える；設計；企画</t>
        </is>
      </c>
      <c r="F5082" t="inlineStr">
        <is>
          <t>せようと企む；変えようと企む；乗っ取ろうと企む</t>
        </is>
      </c>
      <c r="H5082" t="n">
        <v>29</v>
      </c>
      <c r="I5082" t="inlineStr">
        <is>
          <t>そのような企みごとを家臣の者がしていたのを知らぬとは云えなかった。；そしてこの男が何か重大な企み事に夢中になっていることを嗅ぎつけた。；僕がたとえ何を企もうと、こんなことが続けられるはずはなかったのだ。；勿論伊織に何かを企む頭などないのだが、相手が警戒する分には勝手だ。；そこには非常に恐ろしい智慧で企まれた、二重も三重もの底があります。；彼は一定の計画も持っていなかったし、犯罪など企んでもいなかったのだ。；連中があそこで何をしているのか、これから何をしようと企んでいるのか。；どうやら男は伊織が何かを企んでいるのではないかと警戒しているようだ。；彼はその機械とX2の力で世界を破滅させることを企んでいたのだった。；あるものは我と企む機会のみ、そのほかにはすべて動くものの影はなし。；その夜私が城貝白羊に自白させようと企んだ或る犯罪とは何であったか。；井崎の企みのひとつは完全に成功していると自分ではそう思っていた。；つまり、花緒の計画的な企みと考えたほうが、自然な気がするのである。；これは先輩がなにかを企んでいると考えといた方がいいかもしれない。；そして李休光はそのような企みは決して許してはならぬと考えている。；彼は不思議な力を持つオリヴィエを利用して世界を破壊しようと企む。；江利子さまが何か企んでいるという説を、まだ捨てきれないようである。；どんな姿をして、何のために俺達を征服しようと企んでいるのだろう。；相手が何を企んでいるのか、我々にはまだ正確には掴めていないんだ。；何かを企んでいるとは思ったが、そこまでとは予想していなかった。；そうなると、たとえ二人に悪企みがなくても、そばへよることもできない。；また、確かにこのような企んだいたずらを喜んでしていた面もありました。；何を企んでいるのかは知らないが、この男は常に用意周到な男なのだ。；そこへもってきて相手は海賊だ、けしからんことを企んで不思議はない。；私はこの笑顔の裏側で何を企んでいるのか知ってしまったのだから。；その時、千夏はまだ、あの企みを実行するつもりはなかったのだと思う。；それでも小鼻がひくひく動いているのは、まだ頭に企みがあるのだろう。；お前達はバータラ家の財産を占領せうと思うて企んでゐるのだらう。；この企みは成功し、二人はマルセイユの闇社会を完全に支配するに至る。</t>
        </is>
      </c>
      <c r="J5082">
        <f>HYPERLINK("https://www.weblio.jp/content/企む", "词义详情")</f>
        <v/>
      </c>
      <c r="K5082">
        <f>HYPERLINK("https://yourei.jp/企む", "查看例句")</f>
        <v/>
      </c>
    </row>
    <row r="5083">
      <c r="A5083" t="inlineStr">
        <is>
          <t>蓄える</t>
        </is>
      </c>
      <c r="B5083" t="inlineStr">
        <is>
          <t>成功</t>
        </is>
      </c>
      <c r="C5083" t="inlineStr">
        <is>
          <t>読み方：たくわえる
［動ア下一］［文］たくは・ふ［ハ下二］
１金銭や品物などを、のちに役立てるために大切にためておく。「子供の学資を—・える」「食糧を—・える」
２知識・力などを、必要に応じて発揮できるように身につけておく。「実力を—・える」
３髪やひげを生やしておく。「ひげを—・える」
４自分のものとして手元に養っておく。
「一人の外妾(めかけ)を—・えて居たが」〈荷風・地獄の花〉</t>
        </is>
      </c>
      <c r="D5083" t="inlineStr">
        <is>
          <t>蓄えるべき</t>
        </is>
      </c>
      <c r="E5083" t="inlineStr">
        <is>
          <t>蓄積；貯蔵；備蓄；貯蓄；貯留</t>
        </is>
      </c>
      <c r="H5083" t="n">
        <v>29</v>
      </c>
      <c r="I5083" t="inlineStr">
        <is>
          <t>あそこでなら、ゆっくりと力を蓄えることもできるだろうと思ったしな。；それで、私たちは脳内だけでは足りず、外部にも記憶を蓄えるのである。；他の歴史的な違いは、長い作業用エプロンとひげを蓄える権利があった。；尻尾は水面を叩いて仲間に危険を伝える役割と脂肪を蓄える役割をもつ。；本やインターネットを利用して野球以外の分野も含め、様々な知識を蓄える。；頃から、後にトレードマークとなっている口ひげを蓄えるようになった。；アルタバヌス4世が他地域での反乱で転戦しているうちに力を蓄える。；近くに生えるバオバブも水を蓄えることができるように進化している。；初期の植物は、細胞壁の中に多量の水を蓄えることで、これに対処した。；また、比熱容量はその素材が熱の形でエネルギーを蓄える能力を示す。；普段は力を蓄えるために他の生物が棲まない深海の海底洞窟で眠っている。；ポジトロン脳は、ある種の経験を蓄えるためにだけ造られたものではない。；また熱を効率よく蓄えるため、外壁をガラスで覆っておくこともできる。；その結果として現在では神にも等しい量の知識を蓄えるようになったとされる。；本や資料を蓄えることは私たちの脳の本質であり、かつ、文化の基本なのだ。；頭部の角は強力な破壊光線を発射し、両肩の角はエネルギーを蓄える。；スポイトのようになっていて、精子を蓄える袋と、注入する先端がある。；日本はすでに多くの兵力を動員していたため、国力を蓄える必要があった。；これはガンマ線がエネルギーを蓄える前に過剰に吸収されてしまうからである。；食品に、趣味嗜好を豊かにするのは、人生に滋情を蓄えるものであろう。；家屋の屋根には、停電に備えて水を蓄えるための貯水槽が設けられている。；沈黙の底に豊かな饒舌を蓄える素質は、兵学校時代にまで持ち越された。；野生の鳥獣は冬に備えて体に栄養を蓄えるため、秋がジビエの旬となる。；通常の状態では、人間は体内に多くの酸素を蓄えることができない。；私は才能を蓄えることが、貧困に対するもっとも確かな方法であると思った。；「党と国のために知識を蓄えるため」の外国留学を援助するものになっている。；落語家になる前は眼鏡のセールスをしており、約百万円の貯金を蓄える。；そして粘菌コミュニティには情報を蓄えるコンピュータの性質を持つ。；口髭を蓄えると、何故あんなに好色であるように見える人がいるのだろう。</t>
        </is>
      </c>
      <c r="J5083">
        <f>HYPERLINK("https://www.weblio.jp/content/蓄える", "词义详情")</f>
        <v/>
      </c>
      <c r="K5083">
        <f>HYPERLINK("https://yourei.jp/蓄える", "查看例句")</f>
        <v/>
      </c>
    </row>
    <row r="5084">
      <c r="A5084" t="inlineStr">
        <is>
          <t>丈</t>
        </is>
      </c>
      <c r="B5084" t="inlineStr">
        <is>
          <t>成功</t>
        </is>
      </c>
      <c r="C5084" t="inlineStr">
        <is>
          <t>読み方：じょう
［常用漢字］　［音］ジョウ（ヂャウ）（呉）　［訓］たけだけ
〈ジョウ〉
１長さの単位。一尺の一〇倍。「丈六／千丈・万丈(ばんじょう)・方丈」
２背が高い。「丈夫(じょうふ)」
３じょうぶ。しっかりしている。「頑丈・気丈」
４長老に対する敬称。「丈人／岳丈」
〈たけ（だけ）〉「着丈・背丈・身丈・威丈高(いたけだか)」
［名のり］とも・ひろ・ます
［難読］丈夫(ますらお)</t>
        </is>
      </c>
      <c r="D5084" t="inlineStr">
        <is>
          <t>丈八(3%)；丈五(2%)；丈高い；丈高く；丈之進</t>
        </is>
      </c>
      <c r="E5084" t="inlineStr">
        <is>
          <t>背；身長；背丈；身の丈；上背</t>
        </is>
      </c>
      <c r="F5084" t="inlineStr">
        <is>
          <t>膝丈；十丈；二丈；威丈；五丈</t>
        </is>
      </c>
      <c r="G5084" t="inlineStr">
        <is>
          <t>丈太郎；丈明；丈助；丈二；丈余</t>
        </is>
      </c>
      <c r="H5084" t="n">
        <v>29</v>
      </c>
      <c r="I5084" t="inlineStr">
        <is>
          <t>その長さも地面に達するものから膝丈程度の長いものが主であった。；その境にいた盤古も姿を1日9度も変えながら1丈ずつ成長していった。；ウィピルの丈が長い場合でも、その下にスカートを着用することが多い。；そんな丈八をよそにして、お駒は覚悟を極めて奥へとは入るのだった。；だが才三郎は最前、喜蔵と丈八が茶入れの話をするのを陰で聞いていた。；主にノースリーブの丈の短いワンピースで体にフィットするものを指す。；他制服よりもブレザーの丈が長く、着用時には襟を出さなければいけない。；これらは丈長で出揃っており、日本のトレンドも追随することになった。；丈六仏が東大寺に納められたのは、重源の計らいであったことがわかる。；安土桃山時代に流行したタイプの小袖で、女性でも対丈に仕立てられる。；丈の姉、弟、友人たちが次々と失踪し、いくつもの奇妙な現象が起こった。；草があまり密集せずまばらであるか、丈がそれほど高くない所に多い。；略衣はホック式のものであるが、機能性を重視し丈が腰周りとなっている。；たんすの上に置く小型の仏壇の規模の表し方は、総丈を号または丈で表す。；布の大きさの単位の反は、おおむね一着分の幅・丈の大きさである。；様々なコートの中でも丈が短い作業用コートが発祥でカジュアルな印象がある。；自分で作った右腕側だけ七分丈のアンダーシャツを使用することになった。；裄丈が足りないと、腕が中途半端に出てしまって見栄えの悪い着姿になる。；また塑像は丈六如来像の螺髪や45cmほどの小像の一部が出土している。；五丈国を建国し、残る南天の制圧を掲げ、銀河統一へ向けて動き始めた。；また、この薬園初代薬坊の医師である池田玄丈に砂糖の研究を指示した。；しかし丈の全面プロデュースだけに、演奏内容は決して一筋縄ではない。；男性の上着は丈も短くなり、燕尾服等は現代の形とほぼ同じになる。；靴は黒い靴、もしくは礼装用の拍車のついたくるぶし丈のブーツである。；カーキ色のウール地で丈が腰までしかないのが最大の特徴だった。；一般的には極標準のスカート丈、次いで多いのがロングスカートである。；阿波守は後に使者を送り米蔵に三段の認可を求めたが、元丈はこれを断る。；服装は自由化されているが、ズボンやスカートの丈などに規律がある。；また、後ろ身頃の丈が前身頃より短くなるようにされている点にも特徴がある。</t>
        </is>
      </c>
      <c r="J5084">
        <f>HYPERLINK("https://www.weblio.jp/content/丈", "词义详情")</f>
        <v/>
      </c>
      <c r="K5084">
        <f>HYPERLINK("https://yourei.jp/丈", "查看例句")</f>
        <v/>
      </c>
    </row>
    <row r="5085">
      <c r="A5085" t="inlineStr">
        <is>
          <t>竹</t>
        </is>
      </c>
      <c r="B5085" t="inlineStr">
        <is>
          <t>成功</t>
        </is>
      </c>
      <c r="C5085" t="inlineStr">
        <is>
          <t>読み方：たか
［語素］他の語の上に付いて複合語をつくる。たけ。「—むら」「—はら」</t>
        </is>
      </c>
      <c r="D5085" t="inlineStr">
        <is>
          <t>竹童(3%)；竹さん(2%)；竹籠(2%)；竹院；竹取</t>
        </is>
      </c>
      <c r="E5085" t="inlineStr">
        <is>
          <t>タケ；バンブー</t>
        </is>
      </c>
      <c r="F5085" t="inlineStr">
        <is>
          <t>交竹院；泉繁竹；細い竹；綿竹；長い竹</t>
        </is>
      </c>
      <c r="G5085" t="inlineStr">
        <is>
          <t>竹田；竹林；竹中；竹刀；竹藪</t>
        </is>
      </c>
      <c r="H5085" t="n">
        <v>29</v>
      </c>
      <c r="I5085" t="inlineStr">
        <is>
          <t>竹や木材などを使って、魚などが入りやすく、出にくい構造に作った籠。；石器時代には鏃を木の枝や竹に固定するためにアスファルトが使われた。；古代、釣瓶は字の如く土器を竹籠に入れそれを釣り下げて利用していた。；駅舎入口の駅名標やホームでは竹をイメージした装飾が施されている。；また、駅のデザインは駅名の一字である竹をイメージしたものとなっている。；葉が竹に似ていることからこの名がついたといわれている。；絵画の分野において士夫画の提唱者であり、自身も墨竹画をよくした。；竹の皮は節間ほどの長さがあるため、見える稈の表面は僅かである。；つまり蔣経国は万竹小学校で初めて本格的な近代的な教育を受けることになった。；墓所は父と同じ綿竹に存在し、武侯祠には諸葛尚の像も建てられている。；この頃から町には高注連や幟、葉付き竹などが掲げられるようになる。；瓶の最下層と最上層には塩の層を作り、竹を編んだ蓋をして重石をおく。；外見は竹にも似ているが、内部の構造や生長の仕方はまったく異なる。；移動式屋台は、独特の掛け声や鍋・椀・竹を叩いて販売料理を宣伝する。；それに竹を細く割ることも削ることも比較的簡単なために量産ができる。；木での年輪の代わりにこの節数を数えるとその竹の年齢を判定できる。；行と七の音は全ての合竹で用いられ、逆に言の音は上の表のどの合竹にも入っていない。；今はもう目も見えず、竹を杖としてよろよろと歩きながら小屋に入る。；作品に用いられる竹は同地区内で取れたもので、全て主催団体から提供される。；高取城の大手門に相当し、この内側には平櫓の「竹櫓」が置かれていた。；その後、竹の中に金を見つける日が続き、翁の夫婦は豊かになっていった。；写真の竹は、このときの竹の一部が衣笠キャンパスに移植されたもの。；木や竹製の蛤型をしており、これを2つ同時に投げて裏表で吉凶を占う。；竹製のものがほとんどだが流派により使用する竹の種類や色が異なる。；竹瓦という名は、当初の建物が竹屋根葺きであったことに因むとされる。；このため「竹の庭の美術館」とも呼ばれて多くの人に親しまれている。；しかし、別の意味で竹とタケニグサを一緒に煮込んで使う場合がある。；板や箱の上に並んだ鉄や竹の棒を親指の爪ではじいて演奏する。；富士山麓に住む老夫婦が竹の中から赫夜姫を発見、その子は大人に成長した。</t>
        </is>
      </c>
      <c r="J5085">
        <f>HYPERLINK("https://www.weblio.jp/content/竹", "词义详情")</f>
        <v/>
      </c>
      <c r="K5085">
        <f>HYPERLINK("https://yourei.jp/竹", "查看例句")</f>
        <v/>
      </c>
    </row>
    <row r="5086">
      <c r="A5086" t="inlineStr">
        <is>
          <t>だけ</t>
        </is>
      </c>
      <c r="B5086" t="inlineStr">
        <is>
          <t>成功</t>
        </is>
      </c>
      <c r="C5086" t="inlineStr">
        <is>
          <t>［副助］名詞、活用語の連体形、一部の助詞に付く。
１分量・程度・限度を表す。…ほど。…くらい。…かぎり。「走れる—走ってみよう」「どれ—の人が苦しんでいるか」
２範囲を限定する意を表す。…ばかり。…のみ。「学校—でなく家庭での指導も大切だ」
３慣用的に用いられ、種々の意を表す。
㋐「…ば…だけ」「…たら…ただけ」の形で、一方の程度が高まるのに比例して、他方の事柄・状態の程度も高まる意を表す。…につれていっそう。「注意すればする—反抗する」「読書したら読書した—人生の深みが増す」
㋑多く「…だけあって」「…だけのことはある」「…だけに」の形で、素質・能力・価値が相応に発揮される意を表す。「横綱—あって強い」「苦労した—のことはある」→だけに
㋒「…だけでは」「…だけでも」の形で、限定された条件を表す。「口先—では実現できない」「名前—でも参加してほしい」→だけに
[補説] 「だけ」は名詞「たけ（丈）」から転じたもので、近世以降になって助詞として用いられるようになった。もとの名詞「たけ」は副詞「ありったけ」などに名残をとどめている。</t>
        </is>
      </c>
      <c r="D5086" t="inlineStr">
        <is>
          <t>だけでなく(6%)；だけで十分；だけで充分；だけで満足；だけで精一杯</t>
        </is>
      </c>
      <c r="E5086" t="inlineStr">
        <is>
          <t>のみ；ばかり；しか；限り；限って</t>
        </is>
      </c>
      <c r="F5086" t="inlineStr">
        <is>
          <t>出来るだけ多く；少しだけ開い；それだけでも充分；一つだけはっきり；それだけでも十分</t>
        </is>
      </c>
      <c r="G5086" t="inlineStr">
        <is>
          <t>だけれども；だけん；だけつ；だける；だけれ</t>
        </is>
      </c>
      <c r="H5086" t="n">
        <v>29</v>
      </c>
      <c r="I5086" t="inlineStr">
        <is>
          <t>自分の残りの人生はそのためだけに与えられていると思っていたという。；米国では理論だけの研究はほとんどなく理論と実証の往復が重視される。；このような言語は1つのアプリケーションのためだけに設計されている。；近年では学校生徒だけでなく一般市民も利用可能な学校内プールもある。；アニメや洋画の吹き替えなどに声だけで出演する俳優は声優と称される。；開発当初、WWW は文字情報を扱うだけの比較的単純なものであった。；代わりのボール代だけでも半年間で10万円を超えることになったという。；一般に俳優ひとりが欠けるだけでも舞台や撮影が成立しなくなってしまう。；あなたの脳をちょうどいい具合に刺激するパズルがあるだけなのです。；このように、自動車は単に人や物資を輸送するだけの存在に留まらない。；他に誰も入れない兄弟2人だけの世界は、この後東京に行ってからも続く。；印刷物には文字だけでなく挿し絵などの図版も必要とされることが多い。；この改訂は表示だけのもので、名前の発音まで変えるものではなかった。；このような処分は全国でも2例だけで、他は旧武蔵国や旧摂津国である。；動物分類学や植物分類学だけを指すためにこの言葉が用いられることもある。；なお、本誌の漫画だけではなく、現地の漫画家の作品も掲載されている。；半影だけが地球にかかって、地上のどこからも中心食が見られないこともある。；一度だけ出版社で働いたこともあり、原稿の断り状を送る作業をしていた。；パイプラインだけでは同期式CPUの問題を全て解決することはできない。；以後、儀式の話をしただけで、彼らは白人に逮捕される状況となった。；場合によっては童子の顔と翼だけで身体を持たない姿に描かれることもある。；人間は、知識だけでなく、自らの精神や心にも注意を向けることができる。；スペインは事実上権利だけで領土の所有はしていなかった。；もはや中国人民銀行だけでは資金需給の変化に対応しきれなくなった。；藤巻は数年で引退したため、長く杉浦の元に残ったのは斉藤だけだった。；ところが、哲学の場合は名前を聞いただけでは何を研究する学問なのか分からない。；同大学では専門の植物学だけでなく、自然科学一般を英語で教えた。；また、構造上のすきまができるだけないように配慮することも必要である。；日記に掲載されているだけでも23作品をこの時期に読破している。</t>
        </is>
      </c>
      <c r="J5086">
        <f>HYPERLINK("https://www.weblio.jp/content/だけ", "词义详情")</f>
        <v/>
      </c>
      <c r="K5086">
        <f>HYPERLINK("https://yourei.jp/だけ", "查看例句")</f>
        <v/>
      </c>
    </row>
    <row r="5087">
      <c r="A5087" t="inlineStr">
        <is>
          <t>打撃</t>
        </is>
      </c>
      <c r="B5087" t="inlineStr">
        <is>
          <t>成功</t>
        </is>
      </c>
      <c r="C5087" t="inlineStr">
        <is>
          <t>読み方：だげき
［名］(スル)
１物を激しく打つこと。「頭部に—を与える」
２思いがけず、または突然に心の痛手や物の損害を与えること。「父の死で大きな—を受ける」「台風は農作物に—を与えた」
「仮令(よし)此の戦争が露西亜の専制を—する上に」〈木下尚江・良人の自白〉
３野球で、打者が投手の投球を打つこと。バッティング。
４物理学で、物体に、その位置が変わらないと見えるほどの短時間に作用する、非常に大きな力。</t>
        </is>
      </c>
      <c r="D5087" t="inlineStr">
        <is>
          <t>打撃コーチ(8%)；打撃不振(3%)；打撃陣(3%)；打撃面(3%)；打撃力(2%)</t>
        </is>
      </c>
      <c r="E5087" t="inlineStr">
        <is>
          <t>衝突；ヒット；損傷；当たり；ショック</t>
        </is>
      </c>
      <c r="F5087" t="inlineStr">
        <is>
          <t>大きな打撃；一軍打撃；二軍打撃；強い打撃；深刻な打撃</t>
        </is>
      </c>
      <c r="G5087" t="inlineStr">
        <is>
          <t>打撃練習；打撃フォーム；打撃技；打撃戦；打撃妨害</t>
        </is>
      </c>
      <c r="H5087" t="n">
        <v>29</v>
      </c>
      <c r="I5087" t="inlineStr">
        <is>
          <t>守備・打撃の両面で1990年代を代表する選手の一人にまで成長した。；そもそも直接打撃制ルール自体は寸止めルールよりもはるかに歴史は古い。；逆に他の格闘技では禁止されることが多い関節部分への打撃は有効である。；ボクシンググローブを着用し、顔面・頭部への打撃攻撃が許されている。；世界中の都市、特に重工業に依存している都市は大きな打撃を受けた。；支援砲撃も大幅に改善され、特定地点に十分な打撃を与え突撃を支援した。；奴隷供給源の喪失はブラジル植民地にとって大打撃だったからである。；捕手よりも負担の少ない外野にすれば、打撃が生きるだろうと考えたのだ。；付随して頸部への打撃を分散するプロテクターが付いている場合が多い。；社会基盤に打撃を与えるほどの被害を及ぼした伝染病は疫病と呼ばれる。；打撃を受ける際には歯を噛み締めて頭部の衝撃に耐えるのが基本だからである。；割れてしまうので、西洋打楽器のように鋭い打撃は用いることが出来ない。；礫の一部を打撃して造るチョッパー・チョッピングツールを主体とする。；守備に難があったが打撃が良かったので、監督の渡辺は鈴木を使い続けた。；しかし同年勃発した島原の乱により遠征計画は致命的な打撃を受けた。；また日本の十手や中国の鞭のように刃がなく打撃を目的とした刀身を持つ武器もある。；日本でも中国でもヨーロッパでも打撃武器が重要視され始めるのは中世に入ってからである。；プロの野球において打撃3部門のタイトルを獲得する捕手は比較的少ない。；打撃面でも調子を維持し、7シーズンぶりとなる30本塁打以上を放った。；しかしその隙に日本艦隊主力は魚雷を放ち、米艦隊に大打撃を与えた。；しかも球審はその打者の普段の自然な打撃姿勢を基準に判断する。；自分の打撃を崩してまで、違う打ち方にする選手なんて誰もいません。；貴重な植民地が失われたことでフランスの経済は大打撃を受けた。；打撃の指導などのほかに、若い選手にファンへのサービスが悪いことを注意していた。；また4月に開始された3号第2期作戦でも山西軍主力に大打撃を与えている。；投手は投球が役割の中心となるため、打撃に関しては期待されないことが多い。；この場合、大雑把に言えば2分の1の確率で打撃がヒットすることになる。；は左足に不安を抱えたまま開幕を迎え、前年同様の打撃不振に苦しむ。；金泰均が打撃不振や怪我がありシーズン途中9月に帰国、退団している。</t>
        </is>
      </c>
      <c r="J5087">
        <f>HYPERLINK("https://www.weblio.jp/content/打撃", "词义详情")</f>
        <v/>
      </c>
      <c r="K5087">
        <f>HYPERLINK("https://yourei.jp/打撃", "查看例句")</f>
        <v/>
      </c>
    </row>
    <row r="5088">
      <c r="A5088" t="inlineStr">
        <is>
          <t>妥結</t>
        </is>
      </c>
      <c r="B5088" t="inlineStr">
        <is>
          <t>成功</t>
        </is>
      </c>
      <c r="C5088" t="inlineStr">
        <is>
          <t>読み方：だけつ
［名］(スル)利害の対立する二者が、同意に達して約束を結ぶに至ること。双方が互いに折れ合って、話がまとまること。「交渉が—する」</t>
        </is>
      </c>
      <c r="D5088" t="inlineStr">
        <is>
          <t>妥結する(7%)；妥結後；妥結すれ；妥結ニ；妥結し本体工事</t>
        </is>
      </c>
      <c r="E5088" t="inlineStr">
        <is>
          <t>和解</t>
        </is>
      </c>
      <c r="F5088" t="inlineStr">
        <is>
          <t>早期妥結</t>
        </is>
      </c>
      <c r="H5088" t="n">
        <v>29</v>
      </c>
      <c r="I5088" t="inlineStr">
        <is>
          <t>またこの他ににもストライキの計画があったが、寸前で交渉が妥結した。；彼の全生活は如何にして交渉を妥結させるかという問題を中心に回っていた。；さらに、航空業界では深夜になって交渉が妥結し、回避されることも多い。；この内容であれば労組側がストなしで交渉妥結に至るのも当然であるといえる。；だが、1970年8月21日に補償交渉は妥結し本格的な工事に入った。；補償交渉の妥結後住民たちは住み慣れた故郷を離れ、各地へ散っていった。；これではたとえ話し合いに持ち込めても、妥結できないかもしれない。；この問題に妥協が成立しない限り、対米交渉が妥結しないことは日本もよく承知しているのである。；この案でなんとか妥結をはかりたいと神かけて祈っているのだ。；安易に譲歩すれば、交渉は容易に妥結するが、自分の不満が蓄積する。；これにより1981年には補償交渉も妥結し、同年より建設工事を開始。；もし急速に妥結できなかったらどうなるのか。；これ以後一戸毎の個人交渉による妥結を図り71戸が補償に応じた。；こうした不祥事もあり補償交渉は混乱したが、最終的には補償交渉は妥結した。；というもので、外交交渉の妥結をねがう天皇には大いに不満なものがあった。；この提案では、以下の案も検討されたが、日本政府との妥結を優先して除かれた。；スペインも講和会議に参加したが、ここでは妥結に至らなかった。；やがて、十月中旬までに交渉妥結の可能性があるのか否かが、彼らの焦点になった。；あなたも、そして連中も納得するうまい妥結点を用意します。；だが、現職の国鉄職員を含めての引き取り条件が妥結せず、実現しなかった。；水没住民の移転を含め大規模なダムとしては異例の3年目で交渉が妥結している。；四月からの交渉経緯を見るに、現在では妥結の可能性はないという点で、全員の考えは一致した。；来期の活躍の見通しに差がある場合には、それを反映させた案であれば、妥結が可能になりやすい。；漁業補償については発電所立地の際に交渉妥結済みであったからだという。；中央にたった一輛だけつないである客車には負傷兵が白い病衣を着て乗りこんでいた。；第2戦以降は通常の審判員が業務に戻り、労使交渉は7日に妥結した。；アメリカとインドは原子力協力協定案の内容を2007年7月に妥結。；補償交渉妥結協定書の調印は岐阜県と4市町の立ち合いで行われている。；住民の信頼を得てわずか2年で補償交渉を妥結させた。</t>
        </is>
      </c>
      <c r="J5088">
        <f>HYPERLINK("https://www.weblio.jp/content/妥結", "词义详情")</f>
        <v/>
      </c>
      <c r="K5088">
        <f>HYPERLINK("https://yourei.jp/妥結", "查看例句")</f>
        <v/>
      </c>
    </row>
    <row r="5089">
      <c r="A5089" t="inlineStr">
        <is>
          <t>だけど</t>
        </is>
      </c>
      <c r="B5089" t="inlineStr">
        <is>
          <t>成功</t>
        </is>
      </c>
      <c r="C5089" t="inlineStr">
        <is>
          <t>［接］「だけれど」のくだけた言い方。→だけれども</t>
        </is>
      </c>
      <c r="D5089" t="inlineStr">
        <is>
          <t>だけどそんな；だけど今；だけど僕；だけどあたし；だけど俺</t>
        </is>
      </c>
      <c r="E5089" t="inlineStr">
        <is>
          <t>しかし；だが；けれど；それでも；ところが</t>
        </is>
      </c>
      <c r="F5089" t="inlineStr">
        <is>
          <t>だけど春香；だけど竜児；だけどあの子；だけど妾；だけど本当は</t>
        </is>
      </c>
      <c r="H5089" t="n">
        <v>29</v>
      </c>
      <c r="I5089" t="inlineStr">
        <is>
          <t>だけどもうあたしの幸福はこれっきりで終ってしまうような気がするの。；だけど、わたしに力があるかぎり、あなたを無事に外へ出してあげるわ。；だけど彼女にはその意味が呑みこめなかったので、勝手に解釈したわけ。；だけどシスコンは格好悪いと思って表には出さないように頑張っている。；だけどへラクリオン先生、世の中にはそんな男ばかりではありませんわ。；だけど、それはダンディーを置いていかなければならないからじゃない。；だけど法水君、そうなると、一人殺すも三人殺すも同じことになるがね。；だけど私、今になってこんなことをいうの、ほんとにいやなんですがね。；だけど、あたしにはとても、あなたと同じような力が持てそうにないの。；だけど、兄をそんなに弱らせる原因は、会社のことだけではありません。；だけどわたしの目に見えるその後姿はわたしの目を離れなかった。；だけどわたしの目に見えるその後姿はわたしの目を離れなかつた。；だけどあたしにはちゃんとしたわけがあって、父にそうはさせなかったのよ。；だけど、わたしがどこに住んでいるか、だれにもいわないと約束して。；だけどそれは、はいってくる通信のあの声が信じさせてくれたのよ。；だけど、そのことが少しは彼女の心に引っかかっていたかもしれないわね。；だけどケイン船長はサブリナの町の住民にいろいろな贈物をしています。；だけど仲間のことを思っていることもお前の力なんじゃないか?；彼等は皆きっちり時間通り来たわ、だけど死は遅れてやって来るのね。；だけどわたしは結婚したかったから、練習だけはずっとしてきたの。；だけど二人とも、同じ時間のうちに突きとめなければならないのよ。；「だけど知らないと言うんだ」 そうしてふたりは城砦のなかに入った。；だけど、彼のその秘密にばかり関わってるほどの余裕は、私にはない。；だけどねクリトン、君が言うことの真の意味をよく考えてほしいんだ。；だけど女は、こういう性質のことだと、決してそんなことしなくてよ。；だけど、若いものはいつでも夢見たようなことばかり考えているんだ。；だけど、戦ったあとでわたしたちは、いつもそのことをひどく恥じます。；だけどもこんなに大勢が急に押かけて往ったら泊る処があるかしらん。；だけどそういう漫才の上手い下手じゃないところでトップを走っていた。</t>
        </is>
      </c>
      <c r="J5089">
        <f>HYPERLINK("https://www.weblio.jp/content/だけど", "词义详情")</f>
        <v/>
      </c>
      <c r="K5089">
        <f>HYPERLINK("https://yourei.jp/だけど", "查看例句")</f>
        <v/>
      </c>
    </row>
    <row r="5090">
      <c r="A5090" t="inlineStr">
        <is>
          <t>駄作</t>
        </is>
      </c>
      <c r="B5090" t="inlineStr">
        <is>
          <t>成功</t>
        </is>
      </c>
      <c r="C5090" t="inlineStr">
        <is>
          <t>読み方：ださく
出来の悪い作品。取るに足りない作品。</t>
        </is>
      </c>
      <c r="D5090" t="inlineStr">
        <is>
          <t>失敗作；愚作；凡作；ボツネタ</t>
        </is>
      </c>
      <c r="H5090" t="n">
        <v>29</v>
      </c>
      <c r="I5090" t="inlineStr">
        <is>
          <t>よく選抜されて居るので駄作は無い様であるが特に目を引く物は無かつた。；まあ、わざわざ家から持ってきたんだ、そう駄作でもないんだろう。；勝手に書いているから、駄作になっても編集者のせいにはできない。；こんな超駄作を観たところで一体何を理解したというんですか。；どうでもいいような駄作にコメントなどしてもしょうがないからだ。；着ているものもださくて、田舎から出てきたばかりの福建人って感じでしたよ。；ぼくは彼の作品が決して駄作だとは思わないけど、研究者としての評価のほうが高いんですね。；つまりぼくが言いたいのは、何が良い作品で何が駄作かの基準なんて何もないってことですよ。；「心臓が強い」も「スペイン嬌乱」も見ているが、両方とも駄作だった。；古い感情をコムミュニストが持って居たりして駄作だそうだ。；駄作かそれともまんざらでない出來榮か、僕はそれをさへ知らうと思ふまい。；同志小林多喜二の作品で全くの駄作というようなものは殆どなかった。；当時雨村君にも未だ作者の正体がよく分っていなかったらしい。；その癖いつも夢の中では駄作ではないやうに信じてゐる。；文展ではいろいろ駄作悪作の中にやはり面白いものあり。；煙草さえ吸えたら、あんな駄作揃いのアルバムを聞き続けたりはしなかったのに。；やっと一首を示したが、自分の目にも駄作としか映らず、すぐに破ってしまう始末である。；自分では駄作しか書けないというだけの理由でさ。；運のわるいことに、どじょうは作者が穴にもぐりこみたいほどの駄作であった。；「もしそんな駄作を引用していたら」と、わたしはかれにいった。；まつたく箸にも棒にもかからぬ駄作で、こんな代物にこれ以上つきあつてゐる暇はわたしにはない。；今度の日曜こそと思うと雨が降るし、傑作を作りましょうと思うと駄作が生まれる。；彼女は自分の駄作で二人のためのお金をかせぐより、彼の作品のために手助けすればよかったというのよ。；モンコルネ元帥の大理石像がぜんぜん駄作のようにされているのよ。；例えばゲーム業界であれば、名作ゲームの影には常に大量の駄作ゲームがあるということになる。；映画でも駄作ほど恋愛一点張りになるのであるが、このことも、映画が今日の文化の中でもっている社会性を反映しているといえると思う。；ところがそんな駄作でも封切館では好成績であったというから、当時のエノケンの人気は凄いものであったのだ。；しかしそれは、絵が駄作であるということではなかった。；しかし公開後は、ジュラシック・シャークは今まで出会った映画の中で最も最悪な駄作映画だと評価している。</t>
        </is>
      </c>
      <c r="J5090">
        <f>HYPERLINK("https://www.weblio.jp/content/駄作", "词义详情")</f>
        <v/>
      </c>
      <c r="K5090">
        <f>HYPERLINK("https://yourei.jp/駄作", "查看例句")</f>
        <v/>
      </c>
    </row>
    <row r="5091">
      <c r="A5091" t="inlineStr">
        <is>
          <t>出し入れ</t>
        </is>
      </c>
      <c r="B5091" t="inlineStr">
        <is>
          <t>成功</t>
        </is>
      </c>
      <c r="C5091" t="inlineStr">
        <is>
          <t>読み方：だしいれ
［名］(スル)出すことと入れること。出したり入れたりすること。「—自由の口座」「食器を—する」</t>
        </is>
      </c>
      <c r="D5091" t="inlineStr">
        <is>
          <t>出し入れする(26%)；出し入れできるよう；出し入れ可能；出し入れ口</t>
        </is>
      </c>
      <c r="F5091" t="inlineStr">
        <is>
          <t>出し入れする際；出し入れするため；出し入れするとき</t>
        </is>
      </c>
      <c r="H5091" t="n">
        <v>29</v>
      </c>
      <c r="I5091" t="inlineStr">
        <is>
          <t>身内が出し入れしないのだから、他人が持っていったのに決まっている。；光の出し入れは連続したエネルギーの出し入れとほとんどかわりはない。；そのため、分銅を出し入れするための扉は両方の妻面に設けられている。；階段下のコインロッカーでは大勢の観光客が荷物の出し入れをしている。；まさか自由に出し入れできるようなものだとは思ってもいなかった。；いくらオマンコにチンチンを出し入れされても少しも感じなかったもん。；フォークリフトを使って荷物の出し入れをしている人間が少しばかりいる。；一方でホヴァリングステージの出し入れのため東側には設置されていない。；行為も出し入れよりもトントン押すような動きが好みであると述べている。；地下からオーケストラ席を昇降することで、出し入れすることができる。；この羽根が実は出し入れ自由である事を知っている人間は少ない。；なるほど、ここから食事を出し入れできるようになっているのか。；小兵衛ほどの名人になると、汗の出し入れなど、わけもないことなのである。；オリジナルの頭骨は研究用に出し入れが出来る大型ケースに収容され展示されている。；肩を上下させ、喘ぐというよりえずくような動きで息を肺に出し入れする。；出し入れしている彼の性器だけが、最もこの世界で生きたものだと感じる。；記憶は出し入れできなくても、忘れた素振りで振舞うことはできるだろう。；フィルムを出し入れするときに、カメラの背中側の蓋を開けますね。；ハサミか接着剤かは知らないが、道具を出し入れしたのだろうと僕は思った。；荷役方式はタンク上部にある液出入れ管からの上入れ、上出し式である。；それは分子の振動も不連続なエネルギーの出し入れしかしないためである。；トランクへはリアシートを折りたんで出し入れしなければならなかった。；それから、一年と二年は授業の始めと終わりに椅子の出し入れを忘れないように。；特にスライダーの出し入れで内と外を使い分ける投球術が持ち味だった。；それは結局師団からくる金銭の出し入れは全くその権限のうちにあったからである。；最後に下座の鳴物に合わせて、両の目玉を自由に出し入れしたという。；車の乗り降りでは、ドアを大きく開けて車椅子の出し入れをする必要がある。；アソコは出し入れするためのものだということは知っているらしい。；檻の出し入れに使う口を除いて、防御スクリーンは張ったままにしておくこと。</t>
        </is>
      </c>
      <c r="J5091">
        <f>HYPERLINK("https://www.weblio.jp/content/出し入れ", "词义详情")</f>
        <v/>
      </c>
      <c r="K5091">
        <f>HYPERLINK("https://yourei.jp/出し入れ", "查看例句")</f>
        <v/>
      </c>
    </row>
    <row r="5092">
      <c r="A5092" t="inlineStr">
        <is>
          <t>確か</t>
        </is>
      </c>
      <c r="B5092" t="inlineStr">
        <is>
          <t>成功</t>
        </is>
      </c>
      <c r="C5092" t="inlineStr">
        <is>
          <t>読み方：たしか
［形動］［文］［ナリ］
１危なげなく、しっかりしているさま。「基礎が—だ」「—な足どり」
２信頼できるさま。安心できるさま。また、確実であるさま。「腕前は—だ」「—な情報」「明日こそ—に払います」
３働き・能力が正常であるさま。「記憶力は—だ」「おい、気は—か」
４正確であるさま。「—な数はつかんでいない」
[派生]たしかさ［名］
［副］かなり信頼できると判断・推察するときに用いる語。まず、まちがいなく。「—割引で買えるはずだ」</t>
        </is>
      </c>
      <c r="D5092" t="inlineStr">
        <is>
          <t>明らか；はっきり；おそらく；きっと；必ず</t>
        </is>
      </c>
      <c r="H5092" t="n">
        <v>29</v>
      </c>
      <c r="I5092" t="inlineStr">
        <is>
          <t>いずれにせよ10世紀には大明神号が使用されていたことは確かである。；アメリカ海軍自体が船を危険な状態に置いたという確かな証拠があった。；確か母も昔、同じようなしこりができて手術をしたことがあったからだ。；その名前は古来からいろいろな表記がされていて確かなことが分からない。；ただしこの時期からピアノの手ほどきを受けていたことは確かである。；そうだ、確か、前にリンクで頭を打ったときに僕を治療してくれた男だ。；川と子供を描く作家として注目を浴び、確かな自然観が支持されている。；相手認証とはある人が他の人に自分が確かに本人であると納得させるをいう。；確か何かの行列で、禁軍の将軍が連れているのを見かけたことがあった。；ダイレクトにそうすべきだとは思わないけど、そう解釈できるのは確か。；先の歌は何の戦いかわからぬが、後の歌は確か忠臣蔵の討ち入りの歌だ。；これは刑法思想の近代化を推進する歴史創造的理論を確かなものにした。；そのときは知らなかったんですけど、調べてみたら確かに似てるよなって。；教育の過程で、人の心の中が変わっていくことは確かなことである。；いずれにしろ、形式が単一なので同一の地域で作られたことは確かである。；確か今日は一時間目から授業があったはずだが、どうしたものだろう?；確かな品質と種類の豊富さは日本画の歴史を変えたとも言われている。；しかし知能に問題のある症候群も多いのは確かではあるがすべてではない。；確かに、体中に強大な力を持ち、その角の力に耐えられるものはいない。；確か、そのへんに転がってる宝石のどれかに転換したような気がするわ。；確かに律令のような大規模な法典が制定されなかったのは事実である。；これまで研究されてきた遺跡からはこの説を支持する確かな証拠が得られていない。；あなたは確か、芝居の噂などは、あまりお嗜きでなかつた様に思ひます。；あの子達は異国から連れられてきた神族なのだと、確か誰かが言っていた。；公職に就いてもしばらくはKKKに同情的であったことは確かである。；意休は確かに助六の諱を、隠さなくてはならない秘密の実名を口にした。；いずれの説にしても確実とされるものはなく、確かな語源は判明していない。；最初期のノルウェーの旗がどのようなものであったか、確かなものはない。；いくらか首が落とされたのは確かだが、それらは罪ある者の首だった。</t>
        </is>
      </c>
      <c r="J5092">
        <f>HYPERLINK("https://www.weblio.jp/content/確か", "词义详情")</f>
        <v/>
      </c>
      <c r="K5092">
        <f>HYPERLINK("https://yourei.jp/確か", "查看例句")</f>
        <v/>
      </c>
    </row>
    <row r="5093">
      <c r="A5093" t="inlineStr">
        <is>
          <t>確かめる</t>
        </is>
      </c>
      <c r="B5093" t="inlineStr">
        <is>
          <t>成功</t>
        </is>
      </c>
      <c r="C5093" t="inlineStr">
        <is>
          <t>読み方：たしかめる
［動マ下一］［文］たしか・む［マ下二］調べたり人に聞いたりして、あいまいな物事をはっきりさせる。確認する。「真相を—・める」「点呼をして人数を—・める」</t>
        </is>
      </c>
      <c r="D5093" t="inlineStr">
        <is>
          <t>確かめるべく(2%)；確かめるべき；確かめるしかない；確かめる間もなく</t>
        </is>
      </c>
      <c r="E5093" t="inlineStr">
        <is>
          <t>見る；みる；確認；チェック；調べる</t>
        </is>
      </c>
      <c r="F5093" t="inlineStr">
        <is>
          <t>確かめるまでもなく；もう一度確かめる；はっきり確かめる；いちいち確かめる</t>
        </is>
      </c>
      <c r="H5093" t="n">
        <v>29</v>
      </c>
      <c r="I5093" t="inlineStr">
        <is>
          <t>私が確かめることが出来た追加の事実は上に述べたことに関係していた。；ほかのことをいろいろ考えたのは、ただそれを確かめるためだったのよ。；自分の目で元気な姿を確かめるまでは、安心することなどできなかった。；彼が笑っているのを確かめるためには、彼の顔を見なければならない。；きみはその証拠を提供し、彼らはそれをわが目で確かめることになるのだ。；ただ、二重になっているのが同類の雲かを、さらに確かめる必要がある。；そいつを確かめるために、文章で、もう一つ、夫人は書いてみたんです。；それがどのぐらいの高さから始まっているかを確かめるのが重要なことだった。；それが簡単にわかると面白いのだが、どうもまだ確かめる方法がない。；ピーターは自分の力があの男に負けないことを確かめる必要があった。；それから俺は、その女が一人で住んでいることを知って、それを確かめる。；話をして良かったのは、あなたの考えを確かめるいい機会になったからよ。；自分の中にあるまだ眠っている才能があるかどうかを確かめるテストに挑戦する。；今問題なのは、スクリーン上でなにが起きているかを確かめることだった。；彼は辺りにだれもいないことを確かめるように見廻してから、こう言った。；パンを焼く前に、オーブンの温度を確かめるために作られることもある。；ドルカスは自分の判断を確かめるようにわたしの方を見て、ささやいた。；体制はそうした指摘が真実であるか否かを確かめるのに必要な接触を許していない。；ぼくはリッキイの所在を確かめることを、なによりも先にしようと考えた。；こんなふうに笑うのはお行儀が悪いのか、母親に確かめるためだった。；諸君は歩一歩ごとにこの思想を確かめる証拠を自分で見出すであろう。；彼は自身の絵の何点かを与え、彼女の法的所有権を確かめる文書を作成した。；心眼とは心の目によって目に見えない真実を確かめる力のことである。；時間を確かめるために腕を持ちあげることができなかったのだ。；あのひとが生きてるかどうか確かめるぐらいのことはしてもいいんじゃない?；応接間から銀製品を何か盗まれていないか自分で確かめるためらしい。；真偽を確かめるため、叔父は若旦那に道案内をさせて女の家へと向かう。；起こったことを確かめるために心穏やかならぬひと時を過ごしたはずだよ。；それについて本人の意見をよく確かめる必要が起こったのだと言う。</t>
        </is>
      </c>
      <c r="J5093">
        <f>HYPERLINK("https://www.weblio.jp/content/確かめる", "词义详情")</f>
        <v/>
      </c>
      <c r="K5093">
        <f>HYPERLINK("https://yourei.jp/確かめる", "查看例句")</f>
        <v/>
      </c>
    </row>
    <row r="5094">
      <c r="A5094" t="inlineStr">
        <is>
          <t>足し算</t>
        </is>
      </c>
      <c r="B5094" t="inlineStr">
        <is>
          <t>成功</t>
        </is>
      </c>
      <c r="C5094" t="inlineStr">
        <is>
          <t>読み方：たしざん
ある数に他の数を足して合計を求める計算。加法。寄せ算。加え算。⇔引き算。</t>
        </is>
      </c>
      <c r="D5094" t="inlineStr">
        <is>
          <t>足し算引き算(5%)；足し算九九</t>
        </is>
      </c>
      <c r="E5094" t="inlineStr">
        <is>
          <t>プラス；加算；加法；寄せ算；加え算</t>
        </is>
      </c>
      <c r="H5094" t="n">
        <v>29</v>
      </c>
      <c r="I5094" t="inlineStr">
        <is>
          <t>おれはいつも計算に間違いがなかったか、くり返し足し算をしてるよ。；足し算のふた桁がやっとのことで、それもやる度に答えが違ってくる。；愛が足りないから、足し算までは出来ても、掛け算が出来ないのです。；足し算と同じように一般型から型崩れへと練習していく。；足し算九九、引き算九九は江戸時代には寺子屋などで教えられていた。；そして実際には考えなくても判る、小学生の足し算レベルの結論を口にした。；力をつけるのだったら何も考えずにトレーニングの足し算だけで、誰でも力はつく。；例えば一般には足し算をするべきところで割り算をしてしまう。；能力は足し算ではなくて掛け算になってしまうのですからね。；目的があって、それを達成するためなら、命さえ足し算引き算できたんだ私は。；奇数の場合は足し算すると偶数になり、心地よいリズムがないと考えた。；足し算では二と三とでは五にしかなりませんが、掛け算では六になるからであることはいうまでもありません。；相手の判断には足し算も引き算もないような気がします。；おれの足し算によると、二枚の支払い小切手は一枚よりも魅力がある。；それも、ただあれやこれやを、足し算の方式で混ぜるのではない。；「おまえはその機械に足し算でもさせておけばいいのだ」マジクサイズが言った。；足し算とは違う計算方法、今ふさわしいのは乗算に他ならなかった。；「あなたも計算してよ」 といわれたので、さっと足し算して金額をいった。；どう足し算しても、借りたのは二両にも満たないはずだ。；お前は商人のくせに足し算しかできないの?；甲野さんの人生の理想は、むろん足し算よりも掛け算の方でした。；現在一般に流布している次のような足し算引き算のような関係は、ほとんど正しいとはいえない。；例えば、上の数直線では足し算は右に進むことであり、引き算は左に進むことである。；これは自然数の乗法を足し算によって行うことと逆の関係にある。；でもこれも、自然数の足し算を知らないとできないから、やっぱり数学には知識が必要です。；問題はその力を発揮するとき、足し算以外に、引き算がいるんだけど、これが難しい。；そんな書類のファイルとか、伝票の足し算とか、誰だってできるじゃないの。；しかしそれ以外の知識には相当のムラがあり、ドキンちゃんに簡単な足し算の問題を出されても答えられなかった。；まだ足し算にはならなかったんだね。</t>
        </is>
      </c>
      <c r="J5094">
        <f>HYPERLINK("https://www.weblio.jp/content/足し算", "词义详情")</f>
        <v/>
      </c>
      <c r="K5094">
        <f>HYPERLINK("https://yourei.jp/足し算", "查看例句")</f>
        <v/>
      </c>
    </row>
    <row r="5095">
      <c r="A5095" t="inlineStr">
        <is>
          <t>多種多様</t>
        </is>
      </c>
      <c r="B5095" t="inlineStr">
        <is>
          <t>成功</t>
        </is>
      </c>
      <c r="C5095" t="inlineStr">
        <is>
          <t>読み方：たしゅたよう
［名・形動］種類が多く、さまざまであること。また、そのようなさま。「人の趣味は—だ」「—な職業」</t>
        </is>
      </c>
      <c r="D5095" t="inlineStr">
        <is>
          <t>多種多様化；多種多様かつ</t>
        </is>
      </c>
      <c r="E5095" t="inlineStr">
        <is>
          <t>様々；いろいろ；数々；多様；色々</t>
        </is>
      </c>
      <c r="H5095" t="n">
        <v>29</v>
      </c>
      <c r="I5095" t="inlineStr">
        <is>
          <t>彼らの種類が多種多様にわかれていることが判明したのもそのおかげだ。；陳情は、団体単位のものから一個人のものまで多種多様にわたっていた。；試合形式は神室町の地下闘技場のように多種多様のものに分かれている。；そうでなくては、あれだけ多種多様の美術の形式が共存し得る筈がないのだ。；多種多様で自動化による生産に不向きなため、手作業で生産されている。；専門店などでは多種多様で個性的なリフィルが用意されている場合もある。；人口三万の小さな町だが、そこには多種多様の生活があった。；また、馬蹄形状以外にも、実際には多種多様の形式の銀錠が存在していた。；だが実在し、それも多種多様のさまざまな種類が存在していたことは間違いない。；使用目的によりブロックの高さや間隔が多種多様に設定されている。；河川として他に比類のない多種多様の変化が、そうしてそれらの綜合美が。；英語を話す国々では、このような対立が多種多様にわたっている。；変化の激しいマーケットに対応するためにすべき事は多種多様。；それでも、これだけ多種多様の考え方が生まれ、信仰は分化していく。；開業当時の蒸気機関車から近年の電車に至るまで、多種多様の車両が運行されてきた。；私の見た多種多様の昆虫の世界は、とても百分の一も述べつくせない。；得られる能力は多種多様で共通項は少なく、動物系と自然系以外は全て超人系に分類される。；プレイヤーの選択によりストーリーやエンディングが多種多様に変化する。；サーバとして販売されるコンピュータには、多種多様の物が存在する。；もっと早い時間に検査をしていればより多種多様の節足動物が見分けられたはずである。；自然の中に書かれた事実ほど多種多様にして、而も明瞭精確な記録はあるまい。；更にサーバ用のコンピュータ機器には、多種多様の物が存在する。；他にもアルメニア人やジョージア人など多種多様の民族がこの地域には住んでいた。；不漁時に市場に供給するほか、多種多様の魚が見られる名所として知られた。；そして噴水にも、これらの壁にも、驚くほど多種多様の光と色とが乱舞している。；実に多種多様の本が出版されていることに驚かされた。；パックセットと同様に多種多様のものが公開されている。；体毛の色は両親に影響を受けるので多種多様に変化する。；この他にも、多種多様にデザインの異なるマルセイユ版タロットが作成されている。</t>
        </is>
      </c>
      <c r="J5095">
        <f>HYPERLINK("https://www.weblio.jp/content/多種多様", "词义详情")</f>
        <v/>
      </c>
      <c r="K5095">
        <f>HYPERLINK("https://yourei.jp/多種多様", "查看例句")</f>
        <v/>
      </c>
    </row>
    <row r="5096">
      <c r="A5096" t="inlineStr">
        <is>
          <t>多少</t>
        </is>
      </c>
      <c r="B5096" t="inlineStr">
        <is>
          <t>成功</t>
        </is>
      </c>
      <c r="C5096" t="inlineStr">
        <is>
          <t>読み方：たしょう
［名］
１数量の多いことと少ないこと。多いか少ないかの程度。「—にかかわらず、ご注文に応じます」
２《「少」は助字》多いこと。たくさん。
「人の家に—の男子を生ぜるは此れを以て家の栄えとす」〈今昔・一・一九〉
［副］数量のあまり多くないさま。程度のあまり大きくないさま。いくらか。少し。「—難点がある」「—遅れるかもしれない」
[用法]多少・若干——「その意見に対しては多少（若干）疑問がある」「原案に多少（若干）手を加えた」など、数量・程度が少なく、はっきり示せない場合には、相通じて用いられる。◇「多少のばらつきがあってもかまわない」「朝晩は多少冷えるでしょう」「病状も多少落ち着いた」のように、大目に見たり全体からすればほんの少しという気持ちで言う場合は、「多少」のほうがふさわしい。「若干」は文語的で語感が硬い。「募集人数は若干名」「若干の問題を話し合う」などでは、「若干」だけが用いられる。</t>
        </is>
      </c>
      <c r="D5096" t="inlineStr">
        <is>
          <t>多少異なる；多少違う；多少異なり；多少似；多少前後する</t>
        </is>
      </c>
      <c r="E5096" t="inlineStr">
        <is>
          <t>少し；ちょっと；わずか；やや；若干</t>
        </is>
      </c>
      <c r="F5096" t="inlineStr">
        <is>
          <t>やはり多少；必ず多少；皆多少；たとえ多少；多少違つて</t>
        </is>
      </c>
      <c r="H5096" t="n">
        <v>29</v>
      </c>
      <c r="I5096" t="inlineStr">
        <is>
          <t>多少ポーランド独特の部分を含んだ以下の評価システムが用いられている。；シリーズが変わるごとに多少設定変更がみられる描写も少なくはない。；肩に乗るなどして操作するが、多少は離れても動かすことはできる模様。；ただしこれらの法的地位には差があり、呼ばれ方には多少の違いがある。；上着は男女間で多少デザインに違いがあり、金ボタンの数などが異なる。；多少の変遷があるが、説が確立した時期には星野通は次のように述べる。；天井の形状や、荷棚形状に多少の差異はあっても基本的には同じである。；なお、のちに巻いておけばよかったかもと多少後悔している旨を語った。；作品の中では独力もしくは多少の中川の援助で多数の事業を興している。；多少体の具合が悪いとは聞いていたが、ここまでとは思わなかった。；なお、現在はホームが多少老朽化しており近づく際には注意が必要である。；梅雨前に一度切り戻しを行うことで多少発生を減らすことが可能である。；大半の種はよく似た捕虫器を持つが、一部は多少異なった構造を持つ。；ホームは多少崩れている箇所があるものの現在も残されている。；また、作品ごとに使用する武器やデザインなどに多少の違いがある。；それでも多少の小ぜり合いや戦闘は避けることができなかった。；各会場で出場者数は多少の差はあるが、35組前後の出場者を選出する。；文章に多少の違いはあるものの八巻本と構成が類似している。；伝説の内容は伝承によって多少異なるが、おおむね以下のとおりである。；子供では内頚動脈より多少小さいが、大人ではほぼ同じ大きさである。；また前作と同じコースでも、木の配置などが多少変更されている。；駅舎は多少改修が施されているが開業当時のものが使われている。；子供は多少色のあるものを着るが、成人は決められた色のものしか着ない。；声は子供の頃から多少は変わっているだろうが、大きな変化はないと述べている。；サイズ表記が同じでも、銘柄が違えば寸法データは多少違う場合がある。；色と色名の対応関係に、多少の違和感を覚える場合があるかもしれない。；分野によって多少の差はあるが、基本的に講義の出欠を取ることはない。；時間帯によって多少異なるが、主な編成パターンは下記の通りになっていた。；そうして多少型が崩れていても技をかける一連の流れを重視した。</t>
        </is>
      </c>
      <c r="J5096">
        <f>HYPERLINK("https://www.weblio.jp/content/多少", "词义详情")</f>
        <v/>
      </c>
      <c r="K5096">
        <f>HYPERLINK("https://yourei.jp/多少", "查看例句")</f>
        <v/>
      </c>
    </row>
    <row r="5097">
      <c r="A5097" t="inlineStr">
        <is>
          <t>打診</t>
        </is>
      </c>
      <c r="B5097" t="inlineStr">
        <is>
          <t>成功</t>
        </is>
      </c>
      <c r="C5097" t="inlineStr">
        <is>
          <t>読み方：だしん
［名］(スル)
１医者が患者の胸や背などを指先や打診器でたたき、その音で診察すること。
２相手の意向を確かめるために、前もってようすをみること。「各人の意向を—する」</t>
        </is>
      </c>
      <c r="D5097" t="inlineStr">
        <is>
          <t>打診される(3%)；打診法</t>
        </is>
      </c>
      <c r="F5097" t="inlineStr">
        <is>
          <t>直接打診</t>
        </is>
      </c>
      <c r="H5097" t="n">
        <v>29</v>
      </c>
      <c r="I5097" t="inlineStr">
        <is>
          <t>機体等の幾つかの設定変更には、アニメスタッフ側からの打診もあった。；実際には、発表の前後から、複数の企業へ運営の継承を打診してきた。；だって恋だしんの楽曲には安田大サーカスのクロちゃんも参加している。；この不作への対応として、政府は各国に米の緊急輸入の要請を打診した。；この時も各社に発注の打診を行ったが、受注したのは三菱のみであった。；彼はおそらくその時点で、自分の愛妾となってほしいと彼女に打診している。；外国から、越境遺産の共同提案の可能性が打診されている事例もある。；ただちにボリビアのレームと連絡を取り、職を受けてほしいと打診した。；ユダヤ人の中には打診を断ったことを失敗と考えた者もいた。；その頃、彼はロシア海軍の指揮をとることを打診されたが、それは断った。；さいたま市民会館うらわ移転後の跡地での建て替えを市に打診している。；退任発表を機に、複数の高校や大学が指導者としての受け入れを打診。；というのも社長からかなり無茶な仕事を打診されていたからだった。；同オフには球団よりコーチ就任を打診されるが、堀も現役続行を選択した。；更にテキサス工科大学からは学長に打診されたが、これは辞退している。；会社からアメリカ留学を打診された主人公は、アメリカへと旅立つ。；ドイツは日独伊三国防共協定を軍事同盟に強化したいと日本に打診してきた。；このような欧州情勢の不透明感から、この打診には態度を保留し続けた。；しかし、企画を打診された小汀はこれを拒否、実現には至らなかった。；パーペンは再度ヒトラーに副首相就任を打診したが、やはり拒絶された。；ソヴィエト政権から非公式に参加を打診されたが、拒絶したともいう。；また、1918年7月にはアメリカから打診されシベリア出兵を行った。；同年オフには複数クラブから移籍を打診され争奪となるも磐田に残留。；高知の団体が高知県に保存を打診したが、実現することはなかった。；ところが、秀吉は右大臣就任の打診に対して事実上拒否を表明したのである。；のちに彼はヒトラー政権の転覆計画への参加を打診されたが、これを拒否している。；山田は中継ぎとしての再生を考え、他球団からも獲得の打診があったという。；レコード会社からは発売を打診されていたが、10周年に合わせて発売となった。；当初はイギリスも参加を打診していたものの、後に脱退した。</t>
        </is>
      </c>
      <c r="J5097">
        <f>HYPERLINK("https://www.weblio.jp/content/打診", "词义详情")</f>
        <v/>
      </c>
      <c r="K5097">
        <f>HYPERLINK("https://yourei.jp/打診", "查看例句")</f>
        <v/>
      </c>
    </row>
    <row r="5098">
      <c r="A5098" t="inlineStr">
        <is>
          <t>足す</t>
        </is>
      </c>
      <c r="B5098" t="inlineStr">
        <is>
          <t>成功</t>
        </is>
      </c>
      <c r="C5098" t="inlineStr">
        <is>
          <t>読み方：たす
［動サ五（四）］
１
㋐付け加える。また、増し加えて一定の線に満たす。不足する分を補う。「言葉を—・す」「味つけにみりんを—・す」
㋑足し算をする。「三日分の売り上げを—・す」
２（「用をたす」の形で）必要なことをすます。用足しをする。「ついでに私用を—・す」
[可能]たせる</t>
        </is>
      </c>
      <c r="D5098" t="inlineStr">
        <is>
          <t>足すべき</t>
        </is>
      </c>
      <c r="E5098" t="inlineStr">
        <is>
          <t>与える；合計；もたらす；加える；付与</t>
        </is>
      </c>
      <c r="F5098" t="inlineStr">
        <is>
          <t>買い足す；注ぎ足す；一足す；言い足す；描き足す</t>
        </is>
      </c>
      <c r="H5098" t="n">
        <v>29</v>
      </c>
      <c r="I5098" t="inlineStr">
        <is>
          <t>人が伝承で聞いたものに人が奥義を書き足したとでも言うつもりなのか。；連載終了後には、未発表の描き足し部分を含む完全版を配信予定である。；そばにきちんと坐っていられたのでは、気楽に用を足すことができない。；線路延長で各路線の値を足して合計値に一致しないのは原資料のままである。；その差の三箱がどこかで足されているのだが、それらを示す紙はない。；ヴォツェックは生活費の足しにしようと医者の生命実験体となっている。；そして彼等が釣って来る魚が、重要な家計の足しになると言ったような。；彼女は家の周囲の石だらけの土地を菜園にして家計の足しにしようとした。；中途で筆を捨てるやうなことがあつたら、あとはお前が書き足してくれ。；また彼はそれ以前の時期には生活の足しにするため私的に弟子を取っていた。；彼女たちの論理では一足す一が三にも四にもなるのだからだそうです。；具体的に から を引いた数を としたとき、 に を足した数は になる。；彼が急いで何か附け足そうとしているうちに、電話は切れてしまった。；何と云う名であろうと、己れの用を足す為の機械としか考えていないのである。；そして唇に指をあててぬき足さし足で車のところにもどって行った。；その分をわしが計算して足すと、黒石百に対して白石は三百十一となる。；こんな質問がすぐに滿足させられ得るような圖書館があつてよいであろう。；そこに足すことの痛みで、今にもぼくの意識は飛びそうになっていた。；羽織や袴がすこしぐらゐ汚れても着慣れた物でさへあれば滿足しました。；用を足すときまでついてこようとするので、さすがにまいったくらいだ。；同様に、古典的ニュートン力学もまた日常の用を足すには充分であろう。；一の位と十の位を足して10になる数字を縁起が良いと言って好んでいる。；いえ、あのベッドの足さ、あの切り方のことさって、この人が言うのさ。；森さんの寄付してくれた古い小屋なぞも裏のほうに造り足してあったよ。；あまり個人的な何の足しにもならぬ幼な話をし過ぎたかも知れぬ。；学費の足しにと山本が置いていったその金に工藤は手を付けていなかった。；しかし用を足すということが人間の運命に影響を与えることがある。；三方に隣接して建物が建てられて、裏庭は庭としての用を足さなくなった。；ただし、業界用語をことわりなしに使っているところには言葉を足した。</t>
        </is>
      </c>
      <c r="J5098">
        <f>HYPERLINK("https://www.weblio.jp/content/足す", "词义详情")</f>
        <v/>
      </c>
      <c r="K5098">
        <f>HYPERLINK("https://yourei.jp/足す", "查看例句")</f>
        <v/>
      </c>
    </row>
    <row r="5099">
      <c r="A5099" t="inlineStr">
        <is>
          <t>出す</t>
        </is>
      </c>
      <c r="B5099" t="inlineStr">
        <is>
          <t>成功</t>
        </is>
      </c>
      <c r="C5099" t="inlineStr">
        <is>
          <t>読み方：だす
［動サ五（四）］《「いだす」から変化した語》
１自分の範囲内のものを外の方へ動かす。
㋐ある所の中から外部へ移す。「小鳥をかごから—・す」
㋑ある場所からほかの方へ進み行くようにする。「舟を—・す」
㋒ある場所に行かせる。また、ある目的のために特定の場所に差し向ける。「使いに—・す」「競技大会に選手を—・す」
㋓特定の場所に届ける。「小包を—・す」「願書を—・す」「見本市に—・す」
２
㋐隠れているもの、しまってあるものなどをおもてに現す。人目に触れるようにする。「二の腕を—・す」「ぼろを—・す」
㋑蓄えてある力などを外に示す。「実力を—・す」
㋒おもてだったところに発表する。掲示や掲載して公表する。また、書物を出版する。「新聞に謝罪文を—・す」「名前を—・す」「全集を—・す」
㋓食してもらうために、飲食物を人前に用意する。供する。「酒を—・してもてなす」
㋔店を構えて営業を始める。「支店を—・す」
㋕声や顔つきなどに表す。「大声を—・す」「喜びを顔に—・す」
３新たに存在させる。
㋐新しく発生させる。生じさせる。「芽を—・す」「ぼやを—・す」
㋑味・味わいを生じさせる。「うまみを—・す」「つやを—・す」
㋒水分などを外へ放出させる。「汗を—・す」「膿(うみ)を—・す」
㋓新しい事物をつくる。生む。「この県は首相を二人—・している」
㋔産出する。「良質の鉱石を—・す地帯」
㋕勢いなどをさらに加える。いっそう増す。「スピードを—・す」
㋖ある事態・結果をもたらす。「死傷者を—・す」「結論を—・す」
４（動詞の連用形に付いて）
㋐そうすることによって外や表面に現れるようにする意を表す。「しぼり—・す」「見つけ—・す」
㋑その動作を始める意を表す。「降り—・す」「笑い—・す」
[可能]だせる
[下接句] 顎(あご)を出す・足を出す・居候三杯目にはそっと出し・噯(おくび)にも出さない・我を出す・顔を出す・楽屋から火を出す・陰で舌を出す・口に出す・口を出す・暗闇(くらやみ)の恥を明るみへ出す・地金を出す・舌を出す・尻尾(しっぽ)を出す・精を出す・だまを出す・駄目を出す・角を出す・手を出す・脳天から声を出す・暇を出す・藪(やぶ)をつついて蛇を出す</t>
        </is>
      </c>
      <c r="D5099" t="inlineStr">
        <is>
          <t>出すべき；出すまい；出すべく；出すべし</t>
        </is>
      </c>
      <c r="E5099" t="inlineStr">
        <is>
          <t>制作；提供；製作；出版；発行</t>
        </is>
      </c>
      <c r="F5099" t="inlineStr">
        <is>
          <t>泣き出す；思ひ出す；照らし出す；とり出す；さし出す</t>
        </is>
      </c>
      <c r="H5099" t="n">
        <v>29</v>
      </c>
      <c r="I5099" t="inlineStr">
        <is>
          <t>音具とは音を出す道具のうち、音が出るが楽器とは言いにくい物のこと。；また大統領は何の制約も受けない大統領令を自由に出すことができた。；いったん口に入れた果物の種や皮などを再度口から出す行為は印象が悪い。；硯箱を持って廊下へ退出するなり、米内は声を殺して泣き出したという。；しかしこの研究には方法的な問題点があり結論を出すことはできない。；その後数年間はSF短編も書いているが、同時に詩にも手を出している。；しかも強いて言葉を出そうとすると、口へ出ないで鼻へ抜けそうになる。；音楽を作る側も再生側もほとんど同じ音を出す時代になっている。；どこも悪くないと医者にいわれてほっとした感じを出そうとしたのだった。；寺山が生まれ育った世界の中にあるものを出そうとしていたと述べている。；これらの部隊はいずれもカトル・ブラの戦いで大きな損害を出していた。；私はそういう姿を見ると、どうしても彼女を庭へ引っぱり出そうとした。；どれだけの速度を出そうと、もうヘルヴァにはなんのちがいもなかった。；あの馬には、普通では考えられない結果を出す力があったんですよ。；この時期の重商主義政策では、王が設立許可を出した会社が主役だった。；私もそれと同じ交換条件を出そうとしていたところでございました。；これをダミーと呼び、そのカードは主となる側が指定して出すことになる。；プレイの順番は無く、誰でも思いついた順にカードを出すことができる。；自民党は大量の離党者を出したまま総選挙を行うことを余儀なくされる。；伯爵はボヘミア王であると認めてマスクを取り、依頼の内容を語り出す。；僕らは声を出すことができないキャラクターの人生を再現するのが仕事です。；巨泉は歌手ではないものの、レコードを出すなど音楽活動は行っていた。；でも、誰一人として口には出そうとしない明確な事実が、一つだけある。；客の食欲を満足させるよりは、好奇心を満足させる料理を出そうとした。；私は喜びの叫びをあげて前に飛びだし、このご馳走に手を出そうとした。；これよりも高音を出すことは可能であるが、書かれることはまずない。；ただし法律以外の命令は議会の協賛無しでも政府が出すことができた。；大量生産の効果を出すためには一定の生産量以上を確保しないといけない。；このようなことを無理にきき出そうとするのは、全くお節介にすぎない。</t>
        </is>
      </c>
      <c r="J5099">
        <f>HYPERLINK("https://www.weblio.jp/content/出す", "词义详情")</f>
        <v/>
      </c>
      <c r="K5099">
        <f>HYPERLINK("https://yourei.jp/出す", "查看例句")</f>
        <v/>
      </c>
    </row>
    <row r="5100">
      <c r="A5100" t="inlineStr">
        <is>
          <t>多数</t>
        </is>
      </c>
      <c r="B5100" t="inlineStr">
        <is>
          <t>成功</t>
        </is>
      </c>
      <c r="C5100" t="inlineStr">
        <is>
          <t>読み方：たすう
１人や物の数が多いこと。「—の参拝客」「—の書物」「市民が—参加する」⇔少数。
２大部分。大半。「出席者の—は若者が占める」</t>
        </is>
      </c>
      <c r="D5100" t="inlineStr">
        <is>
          <t>多数存在する(2%)；多数出演；多数登場；多数参加；多数輩出</t>
        </is>
      </c>
      <c r="E5100" t="inlineStr">
        <is>
          <t>多く；大半；大部分；いっぱい；殆ど</t>
        </is>
      </c>
      <c r="F5100" t="inlineStr">
        <is>
          <t>多数寄せ；多数収録；多数制作；多数発売；多数意見</t>
        </is>
      </c>
      <c r="G5100" t="inlineStr">
        <is>
          <t>多数決；多数代表；多数民族；多数キャリア；多数党院内総務</t>
        </is>
      </c>
      <c r="H5100" t="n">
        <v>29</v>
      </c>
      <c r="I5100" t="inlineStr">
        <is>
          <t>任意の時点の走行可能状態のプロセスは非常に多数になる可能性がある。；アメリカでは議会の多数党と大統領の所属政党が一致するとは限らない。；青春18きっぷを活用する方法などを記した書籍は多数出版されている。；多数の人物が登場するが、ここでは複数の話に登場する人物を解説する。；フランスでは子供に付けられる名前が少なく、同じ名前の人物が多数いる。；このようなこともあり、善光寺地震を始め、多数の地震を経験してきた。；前述のように、東京近郊では多数の運転系統が東北本線を走行している。；北西部を中心に市内に多数ある直売所やスーパー等で購入可能である。；手法には経験的なものから非経験的なものまで多数存在する。；歴史的には多数のプログラムがアセンブリ言語だけで書かれてきた。；多数の未記載種が知られ、分類は今後も拡大するものとみられる。；ナイジェリアの地には過去数千年間に多数の王国や部族国家が存在してきた。；カタログスペックはほぼ同一ながら、細かな改良が多数加えられている。；室韋はまたの名を三十姓タタルと呼ばれ、多数の部族で構成されていた。；ゴジラを題材とした玩具、書籍、映像・音楽媒体は多数発売されてきた。；習志野市周辺にも藤崎堀込貝塚などの当時の遺跡が多数確認されている。；戦後の荒廃した世相を背景とした推理小説を中心に、多数の短編を発表。；それらの遺跡から人の手によって加工された石器が多数出土している。；アリストテレス自身が多数の人に見せることを想定して公開した著作が多数あった。；通常の閉塞信号でも進行現示することがない信号機が多数存在した。；また、彗星が地球へ衝突するという状況を描いた作品も多数存在する。；そのため、多様な停車パターンの多数の列車種別が運転されている。；リストには以下のような著名なアーティストの楽曲が多数含まれ物議を醸した。；なお、日本以外にもほぼ同様のルールのものが多数存在する。；イスラムを経由した学術的な著作がこの世紀には多数ラテン語訳された。；後に、他の多数のヒッチコック作品と共にユニヴァーサルに売却された。；町内には多くの温泉が湧出することもあり、多数のホテルが林立している。；多数の本を読むうちに科学への興味が強まり、特に電気に興味を持つようになった。；したがって、「宗教を信仰している」人の中では仏教が多数である。</t>
        </is>
      </c>
      <c r="J5100">
        <f>HYPERLINK("https://www.weblio.jp/content/多数", "词义详情")</f>
        <v/>
      </c>
      <c r="K5100">
        <f>HYPERLINK("https://yourei.jp/多数", "查看例句")</f>
        <v/>
      </c>
    </row>
    <row r="5101">
      <c r="A5101" t="inlineStr">
        <is>
          <t>多数決</t>
        </is>
      </c>
      <c r="B5101" t="inlineStr">
        <is>
          <t>成功</t>
        </is>
      </c>
      <c r="C5101" t="inlineStr">
        <is>
          <t>読み方：たすうけつ
会議などで、賛成者の多い意見によって物事を決めること。また、その方式。</t>
        </is>
      </c>
      <c r="D5101" t="inlineStr">
        <is>
          <t>多数決原理；多数決で決められる；多数決制；多数決回路；多数決投票</t>
        </is>
      </c>
      <c r="E5101" t="inlineStr">
        <is>
          <t>多数決原理</t>
        </is>
      </c>
      <c r="F5101" t="inlineStr">
        <is>
          <t>特定多数決；条件付き多数決；単純な多数決</t>
        </is>
      </c>
      <c r="G5101" t="inlineStr">
        <is>
          <t>多数決方式；多数決型民主主義</t>
        </is>
      </c>
      <c r="H5101" t="n">
        <v>29</v>
      </c>
      <c r="I5101" t="inlineStr">
        <is>
          <t>正直な話、なぜ多数決なんていいだしたのか、自分でもよく分からない。；多数決に移行する前に投票で決めることを宣言することが望まれます。；一方で、県議会での多数決がないと政策が進行しないからとも述べている。；ハリソンが病に倒れているあいだの行政は閣僚の多数決で決定されていた。；多数決の形で、信君の意見が否定されることは我慢がならなかった。；イギリスで形成された多数決主義的議会制民主主義を指す概念である。；多数決といっても、諦めた人間は、決してそれに賛成したわけではない。；従って多数決の方法を変えれば、それに応じて多数派も変わってしまう。；また、案の決定は純粋な多数決ではないことを確認しておきます。；この計画にわたしは反対ですが、多数決ではどうしようもありませんでした。；選択肢が3つ以上の場合を考慮した、様々な多数決の方法が提案されている。；更にその直前、所属していたみんなの党が多数決で解党することを決めた。；古代アテナイでは議論を行った後に、決着しない場合には多数決が行われた。；それを多数決とか規則とかで一つにしようとしてしまう。；だからアンタは多数決の票数自体にあまり神聖な価値はないと思っている。；多数代表制を実施する最も単純な方法は多数決を行うことである。；しかし、ここで注意しなければならない点は、多数決を用いてはならない点である。；他の州とは異なり、議長以外の参事会員も市議会での多数決で選出される。；しかし合意に至る現実的な可能性のなかで通常は多数決による決定が選択されることがある。；多数決を取ることになっているので、自派への抱き込み工作を始めたのだ。；第一条には、国は皆のものであって、国の運営は全て多数決による旨が記載された。；でも、どうか多数決で決めるのだけはやめてあげてくださいね。；勝敗の決め方は、観客が事前に渡された扇子を使い多数決で決められる。；基本は話し合いで決められるが、それでも決まらない場合は多数決となる。；小泉はスタッフの多数決でこの企画が決まったと述べている。；また、連盟には議会に似た大会議があり、多数決により議決を採っていた。；現実には、かれの提案は多数決で否決されてしまったのだが。；これら様々な多数決の方法は、必ずしも同じ結果にならない。；しかし、いずれかの政治的理解が得られない場合は、単純多数決で選出することができた。</t>
        </is>
      </c>
      <c r="J5101">
        <f>HYPERLINK("https://www.weblio.jp/content/多数決", "词义详情")</f>
        <v/>
      </c>
      <c r="K5101">
        <f>HYPERLINK("https://yourei.jp/多数決", "查看例句")</f>
        <v/>
      </c>
    </row>
    <row r="5102">
      <c r="A5102" t="inlineStr">
        <is>
          <t>助かる</t>
        </is>
      </c>
      <c r="B5102" t="inlineStr">
        <is>
          <t>成功</t>
        </is>
      </c>
      <c r="C5102" t="inlineStr">
        <is>
          <t>読み方：たすかる
［動ラ五（四）］
１死や危険な状態から免れる。「このけがでは—・るまい」「奇跡的に—・る」
２被害・災害などにあわなくてすむ。「物置が焼けただけで母屋は—・った」
３労力・費用・負担などが少なくてすむ。楽である。「手伝ってくれるので—・る」「物価が安くて—・る」</t>
        </is>
      </c>
      <c r="D5102" t="inlineStr">
        <is>
          <t>助かるかもしれ(3%)；助かるだろ(3%)；助かるまい；助かる可能性；助かるかも知れ</t>
        </is>
      </c>
      <c r="E5102" t="inlineStr">
        <is>
          <t>救われる；助けられる；救出される；救助される</t>
        </is>
      </c>
      <c r="F5102" t="inlineStr">
        <is>
          <t>大いに助かる；どんなに助かる；もう助かる；まだ助かる；たら助かる</t>
        </is>
      </c>
      <c r="H5102" t="n">
        <v>29</v>
      </c>
      <c r="I5102" t="inlineStr">
        <is>
          <t>だからこの男の命は金を借りにこられたために助かったと同じ事である。；彼らには皮膚と骨の他には助かるものといってはほとんどなかったのだ。；その皮と骨との他には彼等には助かるべきものはほとんどなかったのだ。；病院に行けば助かる可能性は高くなると思ったが、本人は拒否している。；かつて自分たちは星から来たと語る影の子は、助かるために星船を呼ぶ。；気が進まない方法だが二人とも助かるつもりなら、そうするほかはない。；さすがにこれだけは簡単に手に入る代物ではないので、助かりましたよ。；あのヤギも女といっしょに助かったかどうかは、まだわからないのです。；実際、だれでも私より以上に助かる見込のなくなった者はあるだろうか?；よく遊んだ後はこどもと同じで、静かに眠ってくれるので大助かりです。；前話と同じように、ここでもこの娘一人だけが助かっているのであります。；塔の中ほどからは傾斜をなしているので非常に助かったと彼は言っている。；前を見ると十間ほどさきに岩が出てそのさきはとても助かりそうもない谷だ。；彼は軍は撤退かもし命が助かるならば降伏さえもすべきだと語った。；かく今日のコースはこの思わぬ道があったため大変助かったのです。；死ぬのならそれでもよかったし、助かるのなら被害者になれると思った。；私はただ助かりたい一心と、兄を正気に戻したいばかりに抵抗したのだ。；あるいはこれのおかげで我々の命が助かったと言えるかもしれない。；しかし、幸運にもぼくの場所をそれてくれたので、助かることができた。；犯人たちの言うとおりにしておけば、もしかしたら助かるかもしれない。；沈んでも、自分自身が助かるつもりはないのだから、言う気持になれん。；恐怖に戦いている金次郎は、助かりたい一心で源作の言う通りになった。；彼にはもう窓からはるか下の地面に飛び降りるしか助かる方法がなかった。；どうやら今回は珍しく 声に出してないようなので、助かった・・・。；あとに残った人は自分の逃亡のために助かるに違いないと考えた。；「助かりました」 そう言いながらも、その若い男の両手が動いている。；これで助かった、もう死ぬ心配はないというだけで、抱き合って泣いた。；かれはお朝と運命を倶にすべくして無事に助かった幸運の男であった。；彼女がすぐ搭載艇の兵器で介入しなければ、われわれは助かりませんぞ。</t>
        </is>
      </c>
      <c r="J5102">
        <f>HYPERLINK("https://www.weblio.jp/content/助かる", "词义详情")</f>
        <v/>
      </c>
      <c r="K5102">
        <f>HYPERLINK("https://yourei.jp/助かる", "查看例句")</f>
        <v/>
      </c>
    </row>
    <row r="5103">
      <c r="A5103" t="inlineStr">
        <is>
          <t>助け</t>
        </is>
      </c>
      <c r="B5103" t="inlineStr">
        <is>
          <t>成功</t>
        </is>
      </c>
      <c r="C5103" t="inlineStr">
        <is>
          <t>読み方：たすけ
１たすけること。また、その人。「—を呼ぶ」
２手助けしたり補ったりするもの。「友人の忠告が—になる」</t>
        </is>
      </c>
      <c r="D5103" t="inlineStr">
        <is>
          <t>助けられ(10%)；助けてくれる(2%)；助けたい；助けてやる；助け起こし</t>
        </is>
      </c>
      <c r="E5103" t="inlineStr">
        <is>
          <t>助；世話；サポート；援助；用途</t>
        </is>
      </c>
      <c r="F5103" t="inlineStr">
        <is>
          <t>お助け；助けてほしい；助けてもらい；助けてもらう；助けなし</t>
        </is>
      </c>
      <c r="G5103" t="inlineStr">
        <is>
          <t>助けよ；助け出し；助け出す；助け出さ；助け舟</t>
        </is>
      </c>
      <c r="H5103" t="n">
        <v>29</v>
      </c>
      <c r="I5103" t="inlineStr">
        <is>
          <t>また、同時期にケーブルテレビが普及し始めたこともこの流れを助けた。；神と神の使徒の御助けなくしてどのようにこれを獲得できるだろうか?；この事実は一般的な理論の助けを借りて理解し証明することができる。；猫に助けてもらってばかりだと、魔女の成長はおそくなるルールである。；そこを無法者の一員アンドローグに見られてしまうが、彼の命は助けた。；晩年は助けを得なければ歩くことも満足にできなかったという。；彼らはまたエンジンの開発に、オーレ・エヴィンルードの助けを借りた。；セルジュニアとの戦いでは自分を助けに来た主人公に感謝を述べた。；あなたが書かれる記事を助けこそすれ、妨げることは望んでいません。；外部への通信も全く通じず、ただ助けを待つことしか出来なくなってしまった。；この時は劉邦の父の劉太公の農業を助け、懸命に子供たちを育てていた。；これを飲むと、困っている人を見ると助けずにはいられなくなる。；弱い子供を助けてくれ、病気で寝ている子はアンモを拝むと治るという。；詳細を知る上で助けになるであろうダルフール紛争を主題とした作品を挙げる。；だれもがとてもよくしてくれ、通訳さんや近所の人も色々と助けてくれた。；その皮膚は総鰭類には似ておらず、体液を保ち乾燥を防ぐ助けになった。；このためDoS攻撃からサービスを保護する助けとなる場合もある。；経験者の知識・助言・支援などは離脱症状からの離脱の助けになるであろう。；スライムを操作して仲間を助けていくアクションアドベンチャーゲーム。；先生たちに反乱を起こすつもりなので助けにきてください!；既に年長大であり、夫はいない、弟がいて彼女を助けていたとの伝承がある。；だが、イアソンと惹かれあったメディアは 彼と仲間達を助け脱出した。；彼は毒竜の話を聞き「よし、私が助けてあげましょう」と出掛けていった。；しかし、既に虚化していたため襲い掛かってきた所を一護に助けられる。；彼らの知識はヨーロッパに逆輸入され、ルネサンスの開始を助けた。；現代では遭難に限らず助けを求める合図として使用されることがある。；そのためリンパ球の成熟過程を知っておくことが理解の助けとなる。；身に覚えのない殺人の嫌疑をかけられ、ホームズに助けを求めに来たという。；そしてトゥーリンに助けられた森の民の娘からついに足がかりを得たのである。</t>
        </is>
      </c>
      <c r="J5103">
        <f>HYPERLINK("https://www.weblio.jp/content/助け", "词义详情")</f>
        <v/>
      </c>
      <c r="K5103">
        <f>HYPERLINK("https://yourei.jp/助け", "查看例句")</f>
        <v/>
      </c>
    </row>
    <row r="5104">
      <c r="A5104" t="inlineStr">
        <is>
          <t>助ける</t>
        </is>
      </c>
      <c r="B5104" t="inlineStr">
        <is>
          <t>成功</t>
        </is>
      </c>
      <c r="C5104" t="inlineStr">
        <is>
          <t>読み方：すける
［動カ下一］［文］す・く［カ下二］手伝う。たすける。
「いつも女の—・けるのは朝晩の忙しい時だけで」〈二葉亭・平凡〉</t>
        </is>
      </c>
      <c r="D5104" t="inlineStr">
        <is>
          <t>助けるべく；助けるべき；助けるつもりなら</t>
        </is>
      </c>
      <c r="E5104" t="inlineStr">
        <is>
          <t>サービス；世話；援助；補助；応援</t>
        </is>
      </c>
      <c r="F5104" t="inlineStr">
        <is>
          <t>相助ける；守り助ける</t>
        </is>
      </c>
      <c r="H5104" t="n">
        <v>29</v>
      </c>
      <c r="I5104" t="inlineStr">
        <is>
          <t>それともなにか、目に映る物全てを助けろなどと言うのではあるまいな?；逆に子の側には、仲間を助ける際の瞬間的な判断と勇気が求められる。；特に弱者を助ける際には、他人に知られないように行う事が常であった。；それは包茎手術を行った男性の陰茎包皮の再建を助けるために発達した。；しかし悪霊達は彼を助ける代わりに彼の下半身をヤギに変えてしまった。；記憶を助けるための整理が必要であり、私は一つの分類法を発明した。；あかねを助けるためなら、完全な男に戻れる機会を放棄することもある。；病に倒れた主人公の妹を助けるために川の主を釣り上げる事を目的としている。；これを助けるために行われるのが焼却を主体とする中間処理である。；理由を知ったクンティーは、ビーマに命じて彼らを助けるように言った。；これでは助けることは出来ないとお七は火あぶりとなることになった。；自分はメジャーに上がってきたばかりの若い投手を助けることができると思う。；場合によっては大きな種子を保持するのを助けるために足が使われる。；教室での学習を助けるボランティアの学習支援講師がいる学校も少ない。；赴任先へ向かう途中の汽車で速水は自殺しようとしていた女を助ける。；加盟者を援助しつつイタリアの経済成長を助ける事を目的としている。；シャペロンをして機能を獲得するのを助けるタンパク質の総称である。；ゴドウィンは何とか女の子を助ける巧妙な方法はないかと考え続けた。；城を抜け出して街に出た王女は、街で弱っていた一人の老人を助ける。；「今におれが貧乏になったら、君はおれを助けろ」というておきました。；認知行動療法は、人々の恐れを克服することを助けることに成功してきた。；この波の伝播の考え方は回折のような様々な波動現象の理解を助ける。；でも扉に鍵がかかっているのに、どうやって助けろと言うんだ。；もしおれの部下の方が早く着いたら、おまえを先に助けろと命じる。；追放者である剣のヴォードは、森の中でトロルに追われる娘を助ける。；アメリカ合衆国の一つの州となって、リベリアを助けるべきだとの声もあった。；今溺れさせられている妹とこれから殺されてしまう3人組のどちらを助けるか?；夏美たちが攫われた時には複数いても彼女のみを助ける気でいる。；教授はソーンヒルに彼女を助けるために協力するように要請する。</t>
        </is>
      </c>
      <c r="J5104">
        <f>HYPERLINK("https://www.weblio.jp/content/助ける", "词义详情")</f>
        <v/>
      </c>
      <c r="K5104">
        <f>HYPERLINK("https://yourei.jp/助ける", "查看例句")</f>
        <v/>
      </c>
    </row>
    <row r="5105">
      <c r="A5105" t="inlineStr">
        <is>
          <t>携わる</t>
        </is>
      </c>
      <c r="B5105" t="inlineStr">
        <is>
          <t>成功</t>
        </is>
      </c>
      <c r="C5105" t="inlineStr">
        <is>
          <t>読み方：たずさわる
［動ラ五（四）］
１ある物事に関係する。従事する。「学問に—・る」「農業に—・る」
２手を取り合う。連れ立つ。
「よち子らと手—・りて遊びけむ」〈万・八〇四〉</t>
        </is>
      </c>
      <c r="D5105" t="inlineStr">
        <is>
          <t>携わるよう(6%)；携わる人々；携わる傍ら；携わる仕事；携わる人間</t>
        </is>
      </c>
      <c r="E5105" t="inlineStr">
        <is>
          <t>参加；関与；参与；干与</t>
        </is>
      </c>
      <c r="F5105" t="inlineStr">
        <is>
          <t>携わるスタッフ；携わる研究；携わる医師；携わる職人；携わる技術者</t>
        </is>
      </c>
      <c r="H5105" t="n">
        <v>29</v>
      </c>
      <c r="I5105" t="inlineStr">
        <is>
          <t>プレイヤーは主人公のキョンの立場からゲーム製作に携わることになる。；科学の研究に携わる間にも、彼はより多くの時間を考古学に割いていた。；その後様々なバンドやプロジェクトに携わり、ソロ名義の活動をしている。；同映画は父長生自らが原作に携わり、そして楠英二郎が父の役を演じた。；また、伝記の執筆や幾つかの会社の経営に携わるなどの生活を送った。；君は、うちだけがこの問題に携わろうとしているように表現したが実際は違う。；これを契機に、同社の列車・駅・広告のデザインに携わることとなる。；正六品以下が宮官であり、宮中内の職務に携わる女官たちのことである。；高校卒業後に自主制作映画に携わり、撮影・編集・演出・制作方法を学ぶ。；メンバー4人それぞれが作詞作曲に携わり、全員が歌で楽曲に参加する。；より具体的な保護策としてナショナルトラスト運動に携わる団体もある。；友達と映画を制作するのが好きで、将来は監督業や制作に携わりたいと思っている。；再生医療の研究に携わり、その研究は国内外で多くの表彰を受けている。；彼は池田信金を退職して萬平のラーメン作りに携わりたいと言い出した。；同様に職を失った陶工が新田開拓に携わる例は少なくなかったという。；他のアーティストに詞や曲へ提供したり、社歌などの制作にも携わる。；間もなく彼はアマチュアの学生雑誌の編集に携わるようになった。；国際家族計画連盟の設立にも携わり、世界的な運動にまで発展した。；大学在籍時に文化放送内の番組BGMや効果音の制作に携わる。；定年後は競馬をはじめラジオ番組の制作に携わることを明らかにしている。；兵器開発などに携わり第二次大戦後に行き場を失った技術者を多く受け入れた。；在学中に後に彼の作品に携わることになるスタッフや俳優と出会う。；そのうち、話作りから携わりたいと思うようになり社内の演出試験を受験。；またラジオの報道番組にも携わり、皇室関係など数多くの事件報道を担当。；携帯電話初期の技術の確立に携わり、SMSを開発した人物である。；また音楽挺身隊を結成してしばしば占領地での音楽指導にも携わる。；劇場で行われる音楽公演の企画プロデュースやプロモーション等に携わる。；金の採掘には地元の商人が携わり、アマジグ人の商人は参加できなかった。；このため、今後も野球界へ携わることを視野に、現役を引退することを決意。</t>
        </is>
      </c>
      <c r="J5105">
        <f>HYPERLINK("https://www.weblio.jp/content/携わる", "词义详情")</f>
        <v/>
      </c>
      <c r="K5105">
        <f>HYPERLINK("https://yourei.jp/携わる", "查看例句")</f>
        <v/>
      </c>
    </row>
    <row r="5106">
      <c r="A5106" t="inlineStr">
        <is>
          <t>訪ねる</t>
        </is>
      </c>
      <c r="B5106" t="inlineStr">
        <is>
          <t>成功</t>
        </is>
      </c>
      <c r="C5106" t="inlineStr">
        <is>
          <t>読み方：たずねる
［動ナ下一］［文］たづ・ぬ［ナ下二］《「尋ねる」と同語源》会うためにその人のいる所に行く。ある目的があってわざわざその場所へ行く。訪問する。おとずれる。「旧友を—・ねる」「秘湯を—・ねる」「史跡を—・ねる」</t>
        </is>
      </c>
      <c r="D5106" t="inlineStr">
        <is>
          <t>訪ねるべく；訪ねるべき</t>
        </is>
      </c>
      <c r="E5106" t="inlineStr">
        <is>
          <t>訪問；訪れる；見物；参る；伺う</t>
        </is>
      </c>
      <c r="F5106" t="inlineStr">
        <is>
          <t>初めて訪ねる；再び訪ねる</t>
        </is>
      </c>
      <c r="H5106" t="n">
        <v>29</v>
      </c>
      <c r="I5106" t="inlineStr">
        <is>
          <t>時とすると横浜で商館の方へ勤めている自分の弟を訪ねることもあった。；アルバ公を訪ねてスペインのマドリードに滞在していた際の死であった。；その日の午後、二時から三時のあいだに自宅を訪ねる、と彼女は言った。；なりすはそんな彼に歩と同じものを感じ、男を歩のもとに訪ねさせる。；この時期に、かつて両親が住んでいたモンパルナスの一角も訪ねている。；凡ての学問はその不思議さの泉を訪ねるためだともいえるでありましょう。；娘を訪ねるのに息が酒くさくなってはいけないと思ったにちがいない。；まず社長が同郷の人である日本レール株式会社を訪ね協力を依頼した。；このために彼は気づかれるおそれがより少ないまま彼女を訪ねることができた。；一人で暮らす母を気にかけ、道中頻繁に電話をかけたり訪ねたりしていた。；その一ヶ月後、完治が三上のマンションを訪ねると女を連れ込んでいた。；ある日、ゼウスとポセイドンの兄であるハデスが彼女の下を訪ねてきた。；転居先が完治のアパートだと知ったさとみは偶然を装い訪ねたのだった。；わしは彼がよくジョルジュ・ヴァサルという男を訪ねるのを知っている。；こんなことでもないと、一々訪ねることもできないやうな人達であつた。；のちに、仕事で訪ねた百貨店の受付を担当する女性と知り合い結婚した。；求職のために活動していたコントは頻繁に各界の有力者を訪ねていた。；高村光太郎からは批評を受け、のちに上京する際には訪ねる仲となった。；とうもろこし畑に隣接する祖母のアパートを訪ねるも彼女の姿はない。；しかし彼らがジャターユの死を口にしたため、驚いて何者であるかを訪ねた。；また、江戸から大槻家を訪ねていた松崎慊堂とここで初対面を果たした。；すると森の中の小屋を訪ねるといいと告げられ、一人がそこへ行く。；三上のマンションを訪ねた完治は三上とさとみが同棲を始めたことを知る。；夏期休業中には大学の研究室を訪ね、短期集中で研究を行うこともある。；現場で陣頭指揮をとっていた建築家のオスカー・ニーマイヤーを訪ねた。；オーストラリアに住んでいた頃も頻繁にイギリスを訪ねた。；Aは捜査を担当した刑事、弁護士、関係者を訪ね歩いて情報を集めた。；数日後、リリーがとらやを訪ねてきて、再会した二人は大いに喜び合う。；或雨のふる秋の日、わたしは或人を訪ねる為に横浜の山手を歩いて行つた。</t>
        </is>
      </c>
      <c r="J5106">
        <f>HYPERLINK("https://www.weblio.jp/content/訪ねる", "词义详情")</f>
        <v/>
      </c>
      <c r="K5106">
        <f>HYPERLINK("https://yourei.jp/訪ねる", "查看例句")</f>
        <v/>
      </c>
    </row>
    <row r="5107">
      <c r="A5107" t="inlineStr">
        <is>
          <t>尋ねる</t>
        </is>
      </c>
      <c r="B5107" t="inlineStr">
        <is>
          <t>成功</t>
        </is>
      </c>
      <c r="C5107" t="inlineStr">
        <is>
          <t>読み方：たずねる
［動ナ下一］［文］たづ・ぬ［ナ下二］
１所在のわからないものなどをさがし求める。「家出した子を—・ねる」「生き別れの母を—・ねる」
２物事のおおもとなどを明らかにしようと調べたり考えたりする。「日本語の起源を—・ねる」「真理を—・ねる」
３わからないことを人に聞く。質問する。問う。「道を—・ねる」「安否を—・ねる」</t>
        </is>
      </c>
      <c r="D5107" t="inlineStr">
        <is>
          <t>尋ねるべき；尋ねる間もなく</t>
        </is>
      </c>
      <c r="E5107" t="inlineStr">
        <is>
          <t>聞く；求める；質問；捜索；追う</t>
        </is>
      </c>
      <c r="F5107" t="inlineStr">
        <is>
          <t>どうか尋ねる；こう尋ねる；直接尋ねる；何かと尋ねる；それ以上尋ねる</t>
        </is>
      </c>
      <c r="H5107" t="n">
        <v>29</v>
      </c>
      <c r="I5107" t="inlineStr">
        <is>
          <t>転換以後のことは少なくとも現存する生物の記録に尋ねることができる。；それが縁となって、記者はしばしばこの老人の家を尋ねることになった。；多くの場合、彼は現在の協力者に次にどこを訪問すればよいか尋ねていた。；そのうち人間の数が増えすぎたので最初の人間の息子が父に尋ねた。；次に彼女は、彼らとこの船はどこから来たのかを「リーダー」に尋ねた。；どんな夢を抱いているのか、なんてことは、一度も尋ねようともしない。；これらのどれが正しいかを尋ねることは意味のないことかもしれない。；彼女が兵士に何をしているのか尋ねると、彼は中に中国兵が居ると答えた。；だが男は、尋ねるべき家は隣だったと気付き逃げるように去っていった。；その次に尋ねるに、この二つの場合の相違はどの点に存するであろうか?；彼が尋ねたうち三人だけがベイツ型擬態とミューラー型擬態を支持した。；わたしがその人物のことを尋ねようとした時、電車が柳生川に停車した。；姉サーセイがティリオンを訪ねてきて何を父に言うつもりなのか尋ねる。；誰かが火を入れたのかと田村が尋ねたが、誰も火を入れていなかった。；取材場所に変化があれば、いつ起きたのかを、取材元へ詳細に尋ねている。；母親におかわりがいるかと尋ねられた時は、もどしそうになっていた。；約束していた本を持っているかどうか尋ねるような場面で使われる。；彼女は、彼らはベスに同じことが起こるようにしたいかどうかを尋ねます。；翼が町の出方をりんに尋ねると、彼女は四人を町の中央へと連れていく。；この機構の意味を理解していると判断した上で、お前にこう尋ねよう。；誰の命令でこんなことをしているのか尋ねるがフロイドは教えてくれない。；上がるときには上がってもいいかどうかパートナーに尋ねなければならない。；ジョンが選ばれた理由を尋ねると、すべての面で平均的だかららしい。；ところが、会う人誰に尋ねても、誰も「緑の騎士」のことなど知らない。；道を尋ねると、2枚翼の馬に乗り換えてさらに上の姉に会うように言う。；その間のことは、八郎も尋ねようとしなかったが、お信も語らなかった。；今年はFlashゲームに行く前にアイテムを使用するかどうか尋ねられる。；いろいろ尋ねていると、彼女が子供の時に捕まった詳細を思い出した。；そこに通りかかった人が、その男に「何を探しているのか」と尋ねた。</t>
        </is>
      </c>
      <c r="J5107">
        <f>HYPERLINK("https://www.weblio.jp/content/尋ねる", "词义详情")</f>
        <v/>
      </c>
      <c r="K5107">
        <f>HYPERLINK("https://yourei.jp/尋ねる", "查看例句")</f>
        <v/>
      </c>
    </row>
    <row r="5108">
      <c r="A5108" t="inlineStr">
        <is>
          <t>ただ</t>
        </is>
      </c>
      <c r="B5108" t="inlineStr">
        <is>
          <t>成功</t>
        </is>
      </c>
      <c r="C5108" t="inlineStr">
        <is>
          <t>読み方：ただ
《「直(ただ)」と同語源》
［副］
１そのことだけをするさま。それよりほかにないと限定するさま。ひたすら。もっぱら。「—時間ばかりかかる」「—無事だけを祈る」
２数量・程度などがごく少ないさま。わずかに。たった。「正解は—の三人だった」「—一度しか休まない」
３（「ただ」＋動詞の連用形＋「に」＋動詞の形で）そのことだけが行われるさま。ひたすら。「—泣きに泣く」
［接］前述の事柄に対して、条件をつけたりその一部を保留したりするときに用いる。ただし。「出かけていい。—、昼までには帰るように」</t>
        </is>
      </c>
      <c r="D5108" t="inlineStr">
        <is>
          <t>ただ一人(3%)；ただ一つ(2%)；ただひとつ；ただひとり；ただもう</t>
        </is>
      </c>
      <c r="E5108" t="inlineStr">
        <is>
          <t>一人；ひとり；サービス；単に；たった</t>
        </is>
      </c>
      <c r="F5108" t="inlineStr">
        <is>
          <t>ただごとじゃねえ；そはただ；あるはただ；満目ただ；ただごと歌</t>
        </is>
      </c>
      <c r="G5108" t="inlineStr">
        <is>
          <t>ただちに；ただただ；ただいま；ただならぬ；ただ中</t>
        </is>
      </c>
      <c r="H5108" t="n">
        <v>29</v>
      </c>
      <c r="I5108" t="inlineStr">
        <is>
          <t>ただドイツの優生学者のほとんどは安楽死には反対の立場をとっていた。；ただこのインド皇帝の称号のことはバーティには寝耳に水のことだった。；太初に、この世にはただ人間の形をしたアートマンのみが存在していた。；ただ、まだ改正工事や追加工事などがあり、工廠で多くの工事を行った。；彼らは軍人ではなく、ただの職人であったが、全員が剣で斬り殺された。；ただ、馬揃えの開催を求めたのは信長ではなく朝廷であったとされる。；ただ、ある程度は、時間の周期的な側面が神話の過去にも存在していた。；ただ、頼家の弟実朝の家督継承の際にはまず征夷大将軍に任官している。；ただの男の紂を殺したとは言えても、君主である王を殺したとは言えない。；外部への通信も全く通じず、ただ助けを待つことしか出来なくなってしまった。；ただ燃やしているチラチラ見える中には、英語の物もあったと思います。；ただ、2017年9月1日には、再度検討しているとの報道がなされた。；ただ、その後の哲学におけるアリストテレスの影響も忘れてはならない。；ただ用意するだけではなく、タイミング良く用意しなければならない。；ワニガメのように、湖沼や河川の底をただ歩くことを好む種も存在する。；ただ降伏も戦死もしないと口にしていた中島だけは今以て行方が知れない。；ただ個体レベルでは動作の種類に応じて左右のどちらかの手足を使う傾向がある。；ただ彼はヴィクトリアの母であるケント公妃のことを非常に嫌っていた。；このため、ホメイニーの孫で現在も政治に関わっているのはただ一人である。；死はただ彼から彼そのものではないものを奪い取ったにすぎない。；ただ、さいとう自身はどのルーツが本当なのかは考えないようにしている。；ただ計算物理学を、理論、実験以外の第三の分野と捉える考え方もある。；この間、オデュッセウスは恐怖でただ見ていることしかできなかった。；歴史は弁証法的に発展するものであり、ただ繰り返されるものではない。；ただ、平安時代の日本で狂犬病が流行していたかどうかは不明である。；ただ耐水性ではなく、亀裂を生じさせやすいので単体では殆ど用いない。；また、 の最大元が存在するならば、それはただ 1 つだけ存在する。；しかし本人はただ面倒だったからだとのちに述べている。；しかし「ただ彼らを甘やかしただけだったかもしれない」とも書いている。</t>
        </is>
      </c>
      <c r="J5108">
        <f>HYPERLINK("https://www.weblio.jp/content/ただ", "词义详情")</f>
        <v/>
      </c>
      <c r="K5108">
        <f>HYPERLINK("https://yourei.jp/ただ", "查看例句")</f>
        <v/>
      </c>
    </row>
    <row r="5109">
      <c r="A5109" t="inlineStr">
        <is>
          <t>多大</t>
        </is>
      </c>
      <c r="B5109" t="inlineStr">
        <is>
          <t>成功</t>
        </is>
      </c>
      <c r="C5109" t="inlineStr">
        <is>
          <t>読み方：ただい
［名・形動］数量・規模などが非常に大きいこと。また、そのさま。「—な（の）損害を被る」
→莫大(ばくだい)［用法］</t>
        </is>
      </c>
      <c r="D5109" t="inlineStr">
        <is>
          <t>多大な影響(26%)；多大な貢献(8%)；多大なる(5%)；多大な損害(4%)；多大な被害(3%)</t>
        </is>
      </c>
      <c r="E5109" t="inlineStr">
        <is>
          <t>いっぱい；多；多分；一杯；多量</t>
        </is>
      </c>
      <c r="F5109" t="inlineStr">
        <is>
          <t>多大な負担；多大な費用；多大な損失；多大な戦果；多大な関心</t>
        </is>
      </c>
      <c r="G5109" t="inlineStr">
        <is>
          <t>多大鎮の戦い</t>
        </is>
      </c>
      <c r="H5109" t="n">
        <v>29</v>
      </c>
      <c r="I5109" t="inlineStr">
        <is>
          <t>それはパイロットに多大な自信を与え、当時としては重要なことでした。；また、近代教育学の成立にも影響を与えるなど、多大な影響をあたえた。；この戦争がドイツに多大な不幸をもたらすことを自分はわかっている。；映画の歴史に多大な影響を与えた監督のひとりだと世界的に認知されている。；これは中国との間での朝鮮外交の針路に多大な影響を与えることとなった。；イタリアの監督で、映画の歴史に多大な影響を与えた監督のひとり。；文字は思考・創造の武器として民族に多大な影響を与えたものはなかった。；野球理論にも優れており、落合博満の打撃理論に多大な影響を与えた。；普仏戦争での出来事はその後の40年間の軍事思想に多大な影響を与えた。；松田優作 ら当時の若手俳優や次世代の俳優たちに多大な影響を与えた。；プロセニアム・アーチの存在はそこで上演される演劇に多大な影響を与えた。；元亀元年の姉川の戦いでは朝倉軍の側面攻撃で多大な武功を立てている。；また、第二次世界大戦時にはドイツ空軍の爆撃で多大なる被害を受けた。；少数の通商破壊艦でもその出現によって多大な影響を与えることができる。；明治から敗戦までの間、政財界に多大な影響力を持っていたとされる。；公衆はわたくしがその中に籠めた大なる感動の叫びを聞いたのだ。；ルッジェーロの征服戦争は兄ロベルトの多大なる支援のおかげであった。；彼は幼少期の祖父の教育や、父の思想から多大な影響を受けている。；プロピアが倒産したことは、その後の番組の放送にも多大な影響を残した。；今日の日本の工業技術の礎を築き、工業発展に多大な役割を果たした。；現在でも自治会の活動は非常に盛んで、多大な影響力をもっている。；後のヴィジュアル系バンドやアーティスト達に多大な影響を与えた。；これも死に至るまでの時間が長く、受刑者に多大な苦痛を与えるものであった。；古来、この地方では飢饉が非常に多く、その度に多大な死者を出していた。；ここで哲学者アランの教えを受けたことはシモーヌに多大な影響を与えた。；このような側方流動が発生した場合、地中構造物に多大な影響を与える。；ハーナウ市は、文化・芸術領域で多大な貢献のあった機関や個人に授与している。；問題は、かれがイスタ大巌洞の内部にばかり鼻を突っこみすぎることだ。；ジャポニスムは画家を初めとした芸術家に多大な影響を与えた。</t>
        </is>
      </c>
      <c r="J5109">
        <f>HYPERLINK("https://www.weblio.jp/content/多大", "词义详情")</f>
        <v/>
      </c>
      <c r="K5109">
        <f>HYPERLINK("https://yourei.jp/多大", "查看例句")</f>
        <v/>
      </c>
    </row>
    <row r="5110">
      <c r="A5110" t="inlineStr">
        <is>
          <t>ただ今</t>
        </is>
      </c>
      <c r="B5110" t="inlineStr">
        <is>
          <t>成功</t>
        </is>
      </c>
      <c r="C5110" t="inlineStr">
        <is>
          <t>読み方：ただいま
［名］
１今この時。現在。「—の時刻は午前九時です」「—用意しています」
２ごく近い過去。ほんの少し前。今しがた。「—の報告に異議がある」「—帰ってきたところです」
３ごく近い未来。すぐ。じき。「—お持ちします」
［感］帰宅のときのあいさつの語。「只今帰りました」の略。「『—』『お帰りなさい』」</t>
        </is>
      </c>
      <c r="D5110" t="inlineStr">
        <is>
          <t>ただ今帰りまし；ただ今申し；ただ今戻りまし；ただ今すぐ</t>
        </is>
      </c>
      <c r="E5110" t="inlineStr">
        <is>
          <t>現在；もう；今；近く；やがて</t>
        </is>
      </c>
      <c r="H5110" t="n">
        <v>29</v>
      </c>
      <c r="I5110" t="inlineStr">
        <is>
          <t>実は僕も余り要領を得ていないのだ、ただ今のように言ってみたいので。；ただ今まではそれがある程度、視界の外にあったので平気だったのだが。；いずれまたできるようになるだろうが、ただ今このときは無理だった。；それをどうしてただ今のようなふうにばかりこちらではお扱いになるのでしょう。；それで、勝手なのですが、ただ今予定外の行動をとらせていただきました。；が、ただ今の場合はそんな引きつぎをする場所の広さも時間の余裕もない。；ただ今から、皆さんが体験されることは重大な考慮の対象となるはずです。；ただ今の答を騎士どのに教え申したのは、このわたしめでございます。；「先生、ただ今帰って来ました」 植村はいつも大きな声で入ってきた。；私はただ今添田地方局長から御紹介になりました喜田貞吉でございます。；さりながら、ただ今私の見たところの御説明を賜るまでは、なりませぬ。；ただ今このときよりして、娘は王の物であり、王の所有であるぞよ。；ただ今は、どこまでも続く空の広さを彼は哀しい、と思うのであった。；そうするとやがてそこから鼠が顔を出してただ今は有難うございました。；ただ今は御覧の通りのくらしをしていますが、昔は相当の身分でした。；どちらともつきかねて、ただ今は、男のいざないに従っている風であった。；ただ今のところあえてそこに表情を浮かべる必要がないというだけだ。；ただ今自分の頭の中にごたごたしている世相とは、とても比較にならない。；ただ今までこんな事に気をとめぬ人が多かっただけである。；ただ今のところ、アフリカの開発計画に時間を全部とられておりますのです。；何の変わりもなく、ただ今まで伏せていた顔を少しだけ上げてこちらを見ていた。；ただ今のところ男具那の胸をときめかすような女人は現われていなかった。；彼は母の出してくれた茶をただ今はがぶがぶ飲むばかりだった。；文明の前には、ただ今まで、越えがたい障害が横たわっておりました。；ただ今の所恐れずに真実に向ってつき進むの外はない。；このオランダの奇蹟はただ今、諸君の眼の前に展示されております。；急いで行って、母親に言うがいい、お母さんただ今帰りましたと。；ただ今まで何度もこの子とは会ってきたけど、今日ほど嬉しそうな日はなかっただろう。；源氏から、神の御禊の日もただ今はお静かでしょうという挨拶を持った使いが来た。</t>
        </is>
      </c>
      <c r="J5110">
        <f>HYPERLINK("https://www.weblio.jp/content/ただ今", "词义详情")</f>
        <v/>
      </c>
      <c r="K5110">
        <f>HYPERLINK("https://yourei.jp/ただ今", "查看例句")</f>
        <v/>
      </c>
    </row>
    <row r="5111">
      <c r="A5111" t="inlineStr">
        <is>
          <t>戦い</t>
        </is>
      </c>
      <c r="B5111" t="inlineStr">
        <is>
          <t>成功</t>
        </is>
      </c>
      <c r="C5111" t="inlineStr">
        <is>
          <t>読み方：たたかい
１戦争。戦闘。「ゲリラとの—」
２競争。試合。勝負。「ライバルとの—」
３抗争。闘争。「貧困との—」「労使の—」</t>
        </is>
      </c>
      <c r="D5111" t="inlineStr">
        <is>
          <t>戦い続け；戦い抜い；戦い抜く；戦いつづけ；戦い抜き</t>
        </is>
      </c>
      <c r="E5111" t="inlineStr">
        <is>
          <t>軍；戦；役；戦争；試合</t>
        </is>
      </c>
      <c r="F5111" t="inlineStr">
        <is>
          <t>苦しい戦い；壮絶な戦い；長い戦い；厳しい戦い；熾烈な戦い</t>
        </is>
      </c>
      <c r="G5111" t="inlineStr">
        <is>
          <t>戦いぶり；戦いの原則；戦いの歌；戦いは終わらない；戦いおわって</t>
        </is>
      </c>
      <c r="H5111" t="n">
        <v>29</v>
      </c>
      <c r="I5111" t="inlineStr">
        <is>
          <t>宇宙での戦いをイメージした固定画面型のシューティングゲームである。；これは国王に承認され、来るべき戦いで決定的な役割を担うこととなる。；戦いは剣と槍の力で決するものではないことを人々は知ることになるだろう。；九州某県を舞台にした戦いはやがて海を越えて世界にまで飛び火する。；それ以外にも部族間の戦いは、時には広範囲の移動を伴い行われていた。；彼女の夫・広太郎は戦場でオールグレンと戦い、殺されたからであった。；中世以前の戦いを扱ったものの場合は、部隊規模はもっと小さくなる。；激しかった怪獣との戦いが過去のものとなり、地球には平和が続いていた。；依頼を受けた万次は、凜と共に逸刀流との戦いに身を投じることになる。；信長は強硬策を用いて大河内城の攻撃を図るも失敗し、戦いは長期化した。；この戦いを境に応仁の乱より断続的に続いていた大規模な戦闘が終焉した。；単に「インドシナ戦争」と言った場合は、通常この戦いを指す事が多い。；これは勝利で終えた戦いを象徴し、戦勝記念の一環である要素が反映している。；戦いの厳しさはヒューマニズムで批判できるほど生易しいものではない。；これを身に着けていれば、どんな激しい戦いの中でも身を守ってくれるという。；戦国時代の連続した戦いは、兵法と技術の急速な発展をもたらした。；太陽神が空に舞い戻った後、人間が互いに戦い始めたときに戦争が始まる。；大学生活と同時に、三段リーグでの初の戦いが始まることとなった。；白村江の戦いで日本が大敗した後は、3回にわたり交渉が任務となった。；戦いを終えたなるみ達は高等部へ進学し、1学期を終了する目前だった。；一方ナポレオンはわずか7万人の手勢しかなく絶望的な戦いを強いられた。；また、戦いの際に手にしたライフル銃が暴発して絶命したこともある。；一説によるとこれは熊襲との戦いでの矢の傷が元であるという。；作中では戦闘に使用する能力が代表的だが、必ずしも戦いのための能力に限らない。；また、タロウが研究のために見る歴代ウルトラ戦士の戦いにも使われている。；戦場ではなく日常での戦いが前提とされた剣術が主流になったのは、この頃からである。；この密約を輝元や秀元が知らされたのは戦いが終わってのことだった。；この戦いが北部では最後の大きな戦闘になった。；出会いの春が過ぎ、戦いの夏が終わり、和解の秋も去り、別れの冬が来た。</t>
        </is>
      </c>
      <c r="J5111">
        <f>HYPERLINK("https://www.weblio.jp/content/戦い", "词义详情")</f>
        <v/>
      </c>
      <c r="K5111">
        <f>HYPERLINK("https://yourei.jp/戦い", "查看例句")</f>
        <v/>
      </c>
    </row>
    <row r="5112">
      <c r="A5112" t="inlineStr">
        <is>
          <t>戦う/闘う</t>
        </is>
      </c>
      <c r="B5112" t="inlineStr">
        <is>
          <t>无结果</t>
        </is>
      </c>
      <c r="H5112" t="n">
        <v>0</v>
      </c>
      <c r="J5112">
        <f>HYPERLINK("https://www.weblio.jp/content/戦う/闘う", "词义详情")</f>
        <v/>
      </c>
      <c r="K5112">
        <f>HYPERLINK("https://yourei.jp/戦う/闘う", "查看例句")</f>
        <v/>
      </c>
    </row>
    <row r="5113">
      <c r="A5113" t="inlineStr">
        <is>
          <t>叩く</t>
        </is>
      </c>
      <c r="B5113" t="inlineStr">
        <is>
          <t>成功</t>
        </is>
      </c>
      <c r="C5113" t="inlineStr">
        <is>
          <t>読み方：たたく
［動カ五（四）］
１
㋐手や道具を用いて打つ。また、続けて、あるいは何度も打つ。「ハエを—・く」「肩を—・く」
㋑打って音を出す。「手を—・いて呼ぶ」「太鼓を—・く」
㋒強く打つ。なぐる。ぶつ。「棒で—・く」「尻を—・く」
㋓さかんに当たる。雨・風が打ちつける。「窓を—・く雨」
２魚肉を包丁で打つようにして細かく切ったり柔らかくしたりする。「アジを—・く」
３
㋐攻撃を加えて相手を負かす。やっつける。「敵の精鋭を—・く」「出はなを—・く」
㋑厳しく仕込む。鍛える。「新弟子のうちに—・いておく」
㋒相手の言論・文章などを徹底的に批判する。強く非難する。「新聞に—・かれる」
４相手の考えを聞いたり、ようすを探ったりする。打診する。「先方の意向を—・く」
５値段をまけさせる。値切る。買いたたく。「二束三文に—・いて買う」
６すっかり使ってしまう。はたく。「財布の底を—・く」
７（多く「…口をたたく」の形で）さかんに、またいろいろに言う。「むだ口を—・く」「陰口を—・く」
８（「門をたたく」などの形で）教えを請うためにたずねる。「師の門を—・く」
９《扇子などで演台をたたくところから》講談を演じる。「一席—・く」
10将棋で、歩(ふ)を打ち捨てる。
11《鳴き声が戸をたたく音に似ているところから》クイナが鳴く。
「早苗とるころ、水鶏(くひな)の—・くなど」〈徒然・一九〉
→打つ［用法］
[可能]たたける
[下接句] 頤(おとがい)を叩く・口を叩く・尻(しり)を叩く・底を叩く・太鼓を叩く・出端(ではな)を叩く・門を叩く</t>
        </is>
      </c>
      <c r="D5113" t="inlineStr">
        <is>
          <t>叩くような音；叩くべき；叩くべく；叩く鈍い音；叩く乾い</t>
        </is>
      </c>
      <c r="E5113" t="inlineStr">
        <is>
          <t>攻撃；非難；ヒット；打つ；一撃</t>
        </is>
      </c>
      <c r="F5113" t="inlineStr">
        <is>
          <t>ぽんと叩く；強く叩く；激しく叩く；ぶっ叩く</t>
        </is>
      </c>
      <c r="H5113" t="n">
        <v>29</v>
      </c>
      <c r="I5113" t="inlineStr">
        <is>
          <t>何度叩いても開かれない門のあることは我々も亦知らないわけではない。；誰かが扉の羽目板のひとつをとてもゆっくりと叩いているのは明らかだ。；にもかかわらず、彼女は肩でも叩かれたようにその声に反応してしまう。；パンが開けに来るまでには、鞭の柄で何度も戸を叩かねばならなかった。；胸を指で叩くとその結果の音色は樽と同じように内部の状態に依存する。；父親にあんだけ叩かれたのは、あとにもさきにもあれがはじめてやった。；さらにはより大きな音や激しい音を得るために木や石を叩いた可能性も大きい。；ヒップを叩かれたこともないし、お犬さんスタイルを取ったことがない。；しかしその恐ろしい生物兵器の生成場所を叩こうにも場所が分からない。；しかしフルシチョフ自身は、自叙伝の中で机を靴で叩いたと認めている。；初めてバンドを組んだのは中学一年生で、兄のバンドでドラムを叩いた。；何日か何処かで叩かれてゐるのを見た事もある様だが、それは明瞭しない。；夫のヴィッサリオンは常に酒に酔っており、しばしば妻と息子を叩いた。；一軒の家の前を通った時、木の槌を叩く大きな音が私の注意を引いた。；叩かれて壁の方を向いた顔のあたりから、やがて嗚咽の声が漏れ始める。；そっと向きを変えて離れようとしたとき、背後からぽんと肩を叩かれた。；塩を撒いた後に顔、まわしを強く叩いて気合を入れる仕草も特徴である。；その大きな声の叫ばれた瞬間、彼はどきんと胸を叩かれたように感じた。；この時、曽根は神永の背中が痛くなるほど叩いて喜びを表現したという。；又或る人は、同じ目的で、今の主題の第一音を真先に叩こうとしている。；殴られ叩かれたあとがかえって女の凄みのある美しさを引き立てていた。；特定のブロックを叩くとコインやアイテムが出現する点も同様である。；そんな風に作品を眺めて軽い鬱に入っていると、肩を誰かに叩かれた。；おもむろに身を起して、彼女のお尻を叩こうと望んでいるみたいだった。；彼は大声を上げて正一の名を呼びながら、ガタガタと蓋の裏を叩いて見た。；後でテレビを見ていたら、陛下も手を叩いてお喜びになっていました。；実際、叩かれて嫌だが男として我慢せざるを得ないと答えた者がいる。；走る前から、彼は肩を叩かれて、がんばれよ、とみんなに言われていた。；これに対し次々に叩いてゆかなければ、いかにして長期戦ができようか。</t>
        </is>
      </c>
      <c r="J5113">
        <f>HYPERLINK("https://www.weblio.jp/content/叩く", "词义详情")</f>
        <v/>
      </c>
      <c r="K5113">
        <f>HYPERLINK("https://yourei.jp/叩く", "查看例句")</f>
        <v/>
      </c>
    </row>
    <row r="5114">
      <c r="A5114" t="inlineStr">
        <is>
          <t>ただし</t>
        </is>
      </c>
      <c r="B5114" t="inlineStr">
        <is>
          <t>成功</t>
        </is>
      </c>
      <c r="C5114" t="inlineStr">
        <is>
          <t>読み方：ただし
《副詞「ただ」に副助詞「し」が付いたものから》
［接］
１前述の事柄に対して、その条件や例外などを示す。しかし。「入場自由。—、子供はお断り」
２前述の事柄に対する推量や疑問を導く。ひょっとすると。もしかしたら。
「十月を神無月と言ひて神事にはばかるべきよしは、記したる物なし…—、当月、諸社の祭なき故にこの名あるか」〈徒然・二〇二〉
３前述の事柄に対して、別の事柄を並立させる。それとも。もしくは。
「江戸橋の田村屋にせうか。—西村がおさよが所で乗らうか」〈洒・辰巳之園〉
［副］「ただ」を強めた語。
「—三宝の加護に非ずは」〈今昔・一二・一六〉</t>
        </is>
      </c>
      <c r="D5114" t="inlineStr">
        <is>
          <t>ただしこれら；ただし実際；ただし近年；ただし例外；ただし上記</t>
        </is>
      </c>
      <c r="E5114" t="inlineStr">
        <is>
          <t>しかし；けれども；だけど；とはいえ；但し</t>
        </is>
      </c>
      <c r="F5114" t="inlineStr">
        <is>
          <t>居住まいをただし；居ずまいをただし；衣紋をただし；ただし分子系統解析；ただし分子系統学</t>
        </is>
      </c>
      <c r="G5114" t="inlineStr">
        <is>
          <t>ただしい；ただし書；ただし書き；ただし書き操作；ただしか</t>
        </is>
      </c>
      <c r="H5114" t="n">
        <v>29</v>
      </c>
      <c r="I5114" t="inlineStr">
        <is>
          <t>ただし後述の派生版にはこの4枚の新カードが含まれていない事が多い。；ただし、と同様に、現在のは初期のものから非常に大きく変化している。；ただし英語新聞も割合こそ減少しているものの部数自体は増加している。；ただし2007年には両メディアに対応する再生機種も発表されている。；ただし、それは毎月作品を採用かつ量産された場合の契約条件であった。；ただし、当初は国内でそれを認めていた人は必ずしも多くなかった。；ただしこの構造は外見上からの想像に過ぎず、はっきりと分かっていない。；ただし、女性が財産として自動車を所有することは禁止されていない。；ただしこの数値は鉄道車両以外の鉄道システム部門の数値を含んでいる。；ただし、一部のATMは紙幣のみで硬貨には対応していないものもある。；ただしそれには多額の資金と労力が必要となるため、容易には行えない。；ただしペルシア語を除き、現在はそれぞれ別の文字で表記されている。；ただし尊重すべき理由があるときはそれ以下の年齢でも認められる場合がある。；ただし、丁は降伏せずに自殺しており、この絵は想像で描かれたもの。；ただし非等方的な系ではこの限りでなく、生体膜や界面などの例がある。；ただし乾燥した地中海沿岸では、古くから森林の発達は限定的であった。；ただしその代わりに消費電力や発熱が大きくなるという問題も発生する。；ただし、ミヤベくんは後から別の作品で女流作家役としても起用された。；ただしすべてのグリフを扱うにはアプリケーション側の対応が必要となる。；ただし、これは内部の呼称とされ、公式には用いられていなかった。；ただし、動物の行動や発生といった限定的なものはいくつか実験されている。；ただしそれは絶対ではなく、適切な理由があれば複数同時提案も認められる。；ただし、症状がひどい場合は、その部位の専門医に相談するほうがよい。；ただし買い取ってもらえるのは稀なケースで大半の作品は返却されていた。；ただし、どの段階で実用でなくなったのか明確な境界線を引くのは困難である。；ただし、多くの場合そこまで大きなハッシュテーブルは必要としない。；ただし、博士課程のための試験は、いかなる人物であれど必ず課される。；ただし、生物物理学的・生化学的に生命の誕生を再現する試みはある。；ただし、同委員会のイラク入りは比較的早い段階で承認されている。</t>
        </is>
      </c>
      <c r="J5114">
        <f>HYPERLINK("https://www.weblio.jp/content/ただし", "词义详情")</f>
        <v/>
      </c>
      <c r="K5114">
        <f>HYPERLINK("https://yourei.jp/ただし", "查看例句")</f>
        <v/>
      </c>
    </row>
    <row r="5115">
      <c r="A5115" t="inlineStr">
        <is>
          <t>正しい</t>
        </is>
      </c>
      <c r="B5115" t="inlineStr">
        <is>
          <t>成功</t>
        </is>
      </c>
      <c r="C5115" t="inlineStr">
        <is>
          <t>読み方：ただしい
［形］［文］ただ・し［シク］
１形や向きがまっすぐである。
㋐形が曲がったりゆがんだりしていない。「線に沿って—・く並べる」「—・い姿勢を保つ」
㋑血筋などの乱れがない。「由緒—・い家柄」
２道理にかなっている。事実に合っている。正確である。「—・い解答のしかた」「—・い内容」「公選法は—・くは公職選挙法という」「—・いトレーニング方法」
３道徳・法律・作法などにかなっている。規範や規準に対して乱れたところがない。「行いを—・くする」「礼儀—・い態度」「—・い判決」
[派生]ただしさ［名］</t>
        </is>
      </c>
      <c r="D5115" t="inlineStr">
        <is>
          <t>正しいもの(3%)；正しい道；正しいかどう；正しい方向；正しい判断</t>
        </is>
      </c>
      <c r="E5115" t="inlineStr">
        <is>
          <t>いい；よい；もっとも；良い；正確</t>
        </is>
      </c>
      <c r="F5115" t="inlineStr">
        <is>
          <t>方が正しい；ほうが正しい；由緒正しい；正しいかもしれ；説が正しい</t>
        </is>
      </c>
      <c r="G5115" t="inlineStr">
        <is>
          <t>正しい未来党；正しい政党；正しい歴史認識；正しい結婚；正しい歴史教育</t>
        </is>
      </c>
      <c r="H5115" t="n">
        <v>29</v>
      </c>
      <c r="I5115" t="inlineStr">
        <is>
          <t>そして我々がなしたことの正しさはそのときにこそ認められるであろう。；楽器も手を深く入れた状態で正しい音程が取れるように設計されている。；あなたはたったいま、私の確信が正しかったことを証明してくれました。；一般に哲学へのあり得べき正しき道として三つのものが指摘し得られる。；ですけど、そこから先はあたしの説のほうが正しいってことにならない?；この時点で祖父母は子供たちに正しい言語使用法を教育する役割を担う。；現在では多くの数学者がリーマン予想は正しいと考えているようである。；数時間の内にセールは谷山・志村予想が正しいことを確信するに至った。；プログラムが正しいことを確認するには、それを証明しなければならない。；僕が正しかったことは証明されたが、勝利の歓びなどありはしなかった。；予測が正しかったといっても、現在の事態を防止できなかったのだから。；上条の予想が正しければ、彼女はそのために自分の目的を放棄している。；陸軍の若いものは自分たちの考えのみが正しいと思い込んでおります。；うなずいて見せることで、皇帝はその復誦の言葉の正しさを裏書きした。；「すべては世界の望むままに」 より正しきものへと進むはずであると。；わたしの計算が正しければ、わたしたちはいま東経三二度四〇分にいる。；年齢が正しければ、史上最高齢の父親の記録も保持していることになる。；私の記憶が正しければ、最後は馬の絵をかいているときだったと思います。；なお、この車両のフロントフォークは正しい向きで取り付けられている。；果たしてそれは正しかったが、思いも掛けない形でやってきたのだった。；このように作成されたプログラムは「構造上正しい」ことが知られている。；その判断が結果的に正しかったか否か、そこまでは彼にもわからない。；記述が正しければ、発表よりかなり前に曲が完成していたことになる。；瞑想は経験豊富な優れた指導者の元で、正しい態度で行われる必要がある。；フロイントはまた最初の論文で、この新規物質の正しい構造を提唱した。；各文字には正しい筆順があって、それが現在も残っていることが多い。；うち解けてやればわたしのためになると彼女が考えたのは正しかった。；色が正しい比例であれば、任意のサイズの旗を使用することができる。；つまり反復のたびに正しい桁数が直前のもののほぼ倍になるのである。</t>
        </is>
      </c>
      <c r="J5115">
        <f>HYPERLINK("https://www.weblio.jp/content/正しい", "词义详情")</f>
        <v/>
      </c>
      <c r="K5115">
        <f>HYPERLINK("https://yourei.jp/正しい", "查看例句")</f>
        <v/>
      </c>
    </row>
    <row r="5116">
      <c r="A5116" t="inlineStr">
        <is>
          <t>直ちに</t>
        </is>
      </c>
      <c r="B5116" t="inlineStr">
        <is>
          <t>成功</t>
        </is>
      </c>
      <c r="C5116" t="inlineStr">
        <is>
          <t>読み方：ただちに
［副］
１間に何も置かないで接しているさま。直接。じかに。「窓は—通りに面している」「その方法が—成功につながるとは限らない」
２時間を置かずに行動を起こすさま。すぐ。「通報を受ければ—出動する」</t>
        </is>
      </c>
      <c r="D5116" t="inlineStr">
        <is>
          <t>直ちに従う；直ちに再；直ちにわかる；直ちに停止する；直ちに中止する</t>
        </is>
      </c>
      <c r="E5116" t="inlineStr">
        <is>
          <t>すぐに；早く；一瞬；たちまち；急速に</t>
        </is>
      </c>
      <c r="F5116" t="inlineStr">
        <is>
          <t>たら直ちに；直ちに裁判所が関与；直ちに救急車；直ちに確かめられる</t>
        </is>
      </c>
      <c r="H5116" t="n">
        <v>29</v>
      </c>
      <c r="I5116" t="inlineStr">
        <is>
          <t>しかし、それは直ちにドイツのナチスとの連携を意味したわけではない。；彼は話題に上ったことの基本的な論点を直ちに把握することが可能である。；そして現地に到着するとスキピオの助言に逆らって直ちに攻撃を命じた。；しかし、自らが指導者に就任すると直ちにこのプロセスを逆に行い始めた。；彼の能力は同僚にも直ちに認められ、翌1825年には教授へと昇進した。；ただし、そのことが直ちに量子力学の自己矛盾を意味するわけではない。；もし治癒しなければ、その後直ちに死刑が執行されるのが普通であった。；警察は、これが単なる身代金目的の誘拐ではないことを直ちに察知した。；直ちに火が消されたが、そこには二体の黒焦げ死体があるだけだった。；東京に戻って直ちに手術を受けるべく、東京行きの飛行機に乗り込む。；上記の関係は以下に示す理想気体の状態方程式から直ちに得ることができる。；財産を取り上げられて驚いた村民は、直ちに作業に出てきて働いた。；直ちに試験が開始されたが耐波性が不足していることが判明、艇首を改良した。；もしこれに成功していれば、アーノルドは直ちに絞首刑になっていた。；ただし、ゲームソフトであれば直ちに映画の著作物になるわけではない。；撃った弾が消滅すれば直ちに再発射されるように改善された。；特に定めがない限り、軍令は直ちに施行されることになっていた。；直ちに射撃する攻撃的な用途であれば問題とならないが、守備的用途では問題となる。；この特性から、翻訳の役割を終えたmRNAを直ちに分解することが可能になる。；両軍とも直ちに戦闘速度に増速し、敵艦隊方向へと互いに針路を取った。；タッグアップはこの捕球後直ちにスタートするルールを利用したものである。；彼は帰国後直ちに弟のマヌエルを追放し、息子のヨハネスを支配の座につけた。；そして曹洪から曹操への働きかけがあった事を知ると、直ちに処刑した。；これは定義 や乗法表示からは直ちに明らかなことではない。；発症した場合は直ちに症状が軽快する深度まで浮上することが基本である。；前者は直ちに改善されたが、後者の解決は困難であった。；容易でない事態と判断した清盛は直ちに上洛し、27日の夜に京都に入った。；主治医の博士は直ちに2週間の静養を指示し、宮殿西側の部屋で過ごした。；呼吸状態が生命に危険を及ぼす程劣悪である場合、直ちに気管挿管する。</t>
        </is>
      </c>
      <c r="J5116">
        <f>HYPERLINK("https://www.weblio.jp/content/直ちに", "词义详情")</f>
        <v/>
      </c>
      <c r="K5116">
        <f>HYPERLINK("https://yourei.jp/直ちに", "查看例句")</f>
        <v/>
      </c>
    </row>
    <row r="5117">
      <c r="A5117" t="inlineStr">
        <is>
          <t>ただでさえ</t>
        </is>
      </c>
      <c r="B5117" t="inlineStr">
        <is>
          <t>成功</t>
        </is>
      </c>
      <c r="C5117" t="inlineStr">
        <is>
          <t>読み方：ただでさえ
［連語］通常の場合でさえ。そうでなくても。たださえ。「—安いのに、バーゲンともなると破格の安さだ」</t>
        </is>
      </c>
      <c r="H5117" t="n">
        <v>0</v>
      </c>
      <c r="J5117">
        <f>HYPERLINK("https://www.weblio.jp/content/ただでさえ", "词义详情")</f>
        <v/>
      </c>
      <c r="K5117">
        <f>HYPERLINK("https://yourei.jp/ただでさえ", "查看例句")</f>
        <v/>
      </c>
    </row>
    <row r="5118">
      <c r="A5118" t="inlineStr">
        <is>
          <t>畳</t>
        </is>
      </c>
      <c r="B5118" t="inlineStr">
        <is>
          <t>成功</t>
        </is>
      </c>
      <c r="C5118" t="inlineStr">
        <is>
          <t>読み方：じょう
［常用漢字］　［音］ジョウ（デフ）（呉）　［訓］たたむ　たたみ
〈ジョウ〉同じものが重なる。「畳韻・畳句・畳語／重畳」
〈たたみ（だたみ）〉「畳表／青畳・石畳」
［名のり］あき
［難読］畳紙(たとうがみ)</t>
        </is>
      </c>
      <c r="D5118" t="inlineStr">
        <is>
          <t>畳間(4%)；畳敷(2%)；畳一間；畳半；畳屋</t>
        </is>
      </c>
      <c r="F5118" t="inlineStr">
        <is>
          <t>八畳；三畳；十畳；二畳；畳一</t>
        </is>
      </c>
      <c r="G5118" t="inlineStr">
        <is>
          <t>畳み；畳敷き；畳ま；畳む；畳表</t>
        </is>
      </c>
      <c r="H5118" t="n">
        <v>29</v>
      </c>
      <c r="I5118" t="inlineStr">
        <is>
          <t>畳70畳で構成されているやすらぎの場も食事利用以外でも使用できる。；イグサや他の材料を使った縁なしの畳は、縁なし畳や坊主畳と呼ばれる。；広縁の南北から中央の二間へ入ることができ、ここは畳が敷かれている。；畳には茸が生え、家の中で傘を差して立ったまま朝を迎えた日もあった。；「一之側」は畳数にしておよそ70畳程の広さがあったと言われている。；競技には、競技線の内側が他と異なる色になっている特別な畳が用いられる。；近年では縁なし畳と同様、見栄えの良さから様々な場所に使用されている。；庇に「畳」と書かれているのは傍に仕える女房達のためのものとされる。；夫は実業家で会社社長で、120畳のリビングがある自宅に住んでいる。；メインとなるシートの他に、バーカウンター席や畳席も用意されている。；そのための専用の浴槽があり、畳一畳ほどの小さなものだそうである。；マツィエフは試合途中であったにもかかわらず礼もしないで自ら畳を下りた。；エジプトでは遅くとも中王国時代に折畳スツールが登場していたという。；畳857枚分の広さがあることから「千畳閣」と呼ばれるようになった。；その晩は夏らしい月もあつて、宿の裏二階の畳の上まで射し入つた。；畳の大きさも、使用される「間」の大きさに応じて異なることになる。；なのに毎日畳の上に正座させて説教するんだけど急に変わるわけないよね。；相手の頭を取らず畳に乗せるため自分より体の大きな相手には非常に有効である。；頂上部のカールの広さの千畳から転じたものであるとする説もある。；通常、畳の上に敷かれた真綿入りの座具であり、座布団の一種といえる。；戦後すぐにHOゲージが商品化されたが、畳の上では小さいので脱線する。；また、畳の縁の色や文様を変えて、身分による厳密な用い方を行なった。；この畳の寸法にはいろいろなものがあり、差が生じる原因は2つある。；鈴木らは、畳などを含む日本の住居でも使える製品の開発を始めた。；建物は2室で、クラブ用の10畳間と、主人の居室の8畳間とがあった。；千畳岩などが見られ、川内川流域県立自然公園の指定地区となっている。；男子とは違い、明らかに畳の上でのコミュニケーションはうまくいってない。；改善前の写真によれば、六畳の主室と二畳の前室に分かれていたものと思われる。；手前側に設けた土間にかまどと流しを備え、畳敷きの部分は4畳半ほど。</t>
        </is>
      </c>
      <c r="J5118">
        <f>HYPERLINK("https://www.weblio.jp/content/畳", "词义详情")</f>
        <v/>
      </c>
      <c r="K5118">
        <f>HYPERLINK("https://yourei.jp/畳", "查看例句")</f>
        <v/>
      </c>
    </row>
    <row r="5119">
      <c r="A5119" t="inlineStr">
        <is>
          <t>畳む</t>
        </is>
      </c>
      <c r="B5119" t="inlineStr">
        <is>
          <t>成功</t>
        </is>
      </c>
      <c r="C5119" t="inlineStr">
        <is>
          <t>読み方：たたむ
［動マ五（四）］
１広げてある物を折り返して重ねる。折って小さくまとめる。「布団を—・む」「ハンカチを—・む」
２広げたものを折るようにして閉じたり、すぼめたりする。「扇を—・む」「傘を—・む」
３その場所で続けてきた商売や生活をやめてしまう。片付けて、よそへ移る。引き払う。「所帯を—・む」「店を—・む」
４心の中に秘めておく。「胸に—・んで話さない」
５構築のために石などを敷き詰めたり、積み重ねたりする。
「温泉ごのみに石で—・みました風呂は」〈鏡花・眉かくしの霊〉
６幾重にも重ねる。積み重ねる。
「翠りを—・む春の峰」〈漱石・草枕〉
７俗に、暴力でいためつける。やっつける。「ひと思いに—・んでしまえ」
８積み重なる。
「用ガ—・ンデキタ」〈和英語林集成〉
[可能]たためる</t>
        </is>
      </c>
      <c r="D5119" t="inlineStr">
        <is>
          <t>折りたたむ；折り畳む；折畳む</t>
        </is>
      </c>
      <c r="H5119" t="n">
        <v>29</v>
      </c>
      <c r="I5119" t="inlineStr">
        <is>
          <t>窓の下には各座席ごとに引き出して使用する折畳みテーブルを設置した。；手に畳んだ新聞を持っていて、それで太股の処を叩きながら歩いて来た。；適当に畳まれていたチュニックが、わたしの身体の上に広げられていた。；だがそんなこたア胸に畳んで、どうなってゆくか私アじっと見ていたね。；そこから見あげる位置にある恵庭の嶺にはまだ雪のひだが畳まれていた。；無言でグライダーを畳み、Dは残りの数頭から一頭を選んでまたがった。；井伊の前には亜がきちんとコートを畳んで膝に乗せ、じっと坐っている。；翼を畳んだ状態では、重い荷物を背負って歩いてるようなもんだからな。；葉の二〇五号室と瓜ふたつな六畳の隅に粗末な布団が畳んで積んである。；よく見ると、椅子の上に姫の着ているものが きちんと畳まれて置いてある。；桜が咲いている間ずっと、情報アンテナをしっかり畳んでいた人だから。；壁に続いてテーブルの上には私の新しい洋服がきちんと畳んで置いてあった。；覚え違いと見え、二三枚畳んで置いてあった新聞の間にも見当らない。；しばらくすると、夫人はきっちりと畳んだ数枚の着物を抱えて戻って来た。；このことはあんたと私の間だけの胸に畳んで子分にもおしえてはいけない。；またときには露店が店を畳む時刻まで街角のレストランに腰をかけていた。；小門を開けてはいると、一間ほど石が畳んであって、すぐ玄関があった。；もにかがようやく仕事に慣れてきた頃、海宝社が会社を畳むことになる。；彼女は夫に、開封されてはいるが、もとどおりに畳まれた手紙を渡した。；矢口はそのとき、祈りをこめて畳んでくれたであろう和代の手を感じた。；だが、ようやく寝室に彼女の衣服がきちんと畳まれているのを見つけた。；石で畳んだ風呂槽の縁に腰をかけて、自分の手や腹を眺めていました。；すると、男はもう馬券を買っていて、二つに畳んでいたのを開いて見せた。；バス停留所には屋根がついていたため、私たちは傘を畳み、列に並んだ。；畳み方が悪かったのか、夫のパジャマだけが棚からふわりと落ちて来た。；すぐ戻ると言い、小さく畳んだ風呂敷は部屋の隅に置いたままだった。；しかし、急に彼女が現れたときに畳んで片づける時間などないだろう。；よしやせつない思をしても、その思を我胸一つに畳んで置かうと決心した。；和子は救いを求める代わりに、ひざの上に畳んで置いたコートを広げた。</t>
        </is>
      </c>
      <c r="J5119">
        <f>HYPERLINK("https://www.weblio.jp/content/畳む", "词义详情")</f>
        <v/>
      </c>
      <c r="K5119">
        <f>HYPERLINK("https://yourei.jp/畳む", "查看例句")</f>
        <v/>
      </c>
    </row>
    <row r="5120">
      <c r="A5120" t="inlineStr">
        <is>
          <t>漂う</t>
        </is>
      </c>
      <c r="B5120" t="inlineStr">
        <is>
          <t>成功</t>
        </is>
      </c>
      <c r="C5120" t="inlineStr">
        <is>
          <t>読み方：ただよう
［動ワ五（ハ四）］
１空中・水面などに浮かんで揺れ動く。一つ所にとどまらずゆらゆら動いている。「波のまにまに—・う」「空を—・う雲」
２あてもなくあちこち歩く。さまよう。「異郷に—・う」「他国を—・い歩く」
３香りなどが風に運ばれたりしてそのあたりに満ちる。「梅の香が—・う」
４ある雰囲気やけはいがそのあたりに満ちている。そのあたりに何となく感じられる。「妖気が—・う」「険悪な空気が—・う」
５落ち着かない。不安定である。
「そのすぢとも見えず—・ひたる書きざま」〈源・常夏〉
６ひるむ。たじろぐ。
「少しも—・はず戦ひける間、人馬共に気疲れて」〈太平記・一四〉</t>
        </is>
      </c>
      <c r="D5120" t="inlineStr">
        <is>
          <t>漂う甘い；漂うごとく；漂うような足どり</t>
        </is>
      </c>
      <c r="E5120" t="inlineStr">
        <is>
          <t>浮かぶ；漂流；流される；浮遊；浮く</t>
        </is>
      </c>
      <c r="F5120" t="inlineStr">
        <is>
          <t>香り漂う；悪臭漂う；雰囲気漂う；ふわふわと漂う；感漂う</t>
        </is>
      </c>
      <c r="H5120" t="n">
        <v>29</v>
      </c>
      <c r="I5120" t="inlineStr">
        <is>
          <t>私は魂だけの存在になって時の中を漂いながら、あなたの人生を見たわ。；そしてやや滑稽な空気が漂っていたのを認めざるを得ないかも知れない。；おばさんのまわりには暗い部屋にいてもわかる独特の匂いが漂っている。；たくさんの女たちの名前がベッドのまわりに陽炎のように漂いはじめた。；そしてまた必ずその上には一羽か二羽の雲雀の聲が漂うてゐねばならぬ。；それぞれが自分ひとりの夢のなかを漂いはじめたような沈黙がつづいた。；何故だか分らなかったが、心が軽く空中に漂っているような心地だった。；さらに彼らは目や鼻を焼くような刺激臭のある霧が漂うことに気づいた。；目をしっかりとじると、宙に漂い出た涙がゆっくりと下へ沈んでいった。；その場所にはなにかしら邪悪な霊気が漂っているかのようだったからだ。；シャンヴルリー街の事件はただ一片の雲のように記憶の中に漂っていた。；国にいたとき夢みていた大都会の渦巻は今自分を漂わせているのである。；そうとわかったのは、その暗い空間から捕虜の声が漂ってきたからである。；かれも第十四惑星の近くに漂っている生存者のことを考えていたのだ。；恐怖の一瞬、彼の身体は宙に浮き、あてもなく漂い出すような気がした。；多くの人々のあらわな額の上には、重苦しそうな興奮の色が漂っていた。；彼が漂わせている雰囲気はラムジーには理解するのがとても難しかった。；何かこう紫の雲に包まれて、春の空を漂ってでもいる様な気持であった。；とても微妙な、古の、恐ろしい何かが漂っているのを確かに彼は感じた。；言われて部屋の中に視線を漂わせると、確かにさっきより暗く感じられる。；ぼくたちは地球から二百三十七光年ばかり離れたどこかに漂っている。；この、徐々に人の生活の匂いが漂い始める風景の変化はいつ見ても面白い。；ところが今の彼は一種の凄みとも言うべき異様な気配を漂わせている。；彼女はまたときどき思い出し笑いのようなものを顔の上に漂わせた。；まつわってた山の雲はいつとはなしにほどけて山をはなれて漂ってゆく。；黄昏とガスが水のうえに漂いはじめるころになって舟は下りはじめた。；熱病めいた異常なものまでが、その眼の光の中に漂っているようである。；その中に包まれて立つてゐる者の心は、緑の光となつて四方へ漂うて行く。；かなりの高度を漂いながら、われわれは急速なスピードで運ばれて行った。</t>
        </is>
      </c>
      <c r="J5120">
        <f>HYPERLINK("https://www.weblio.jp/content/漂う", "词义详情")</f>
        <v/>
      </c>
      <c r="K5120">
        <f>HYPERLINK("https://yourei.jp/漂う", "查看例句")</f>
        <v/>
      </c>
    </row>
    <row r="5121">
      <c r="A5121" t="inlineStr">
        <is>
          <t>質</t>
        </is>
      </c>
      <c r="B5121" t="inlineStr">
        <is>
          <t>成功</t>
        </is>
      </c>
      <c r="C5121" t="inlineStr">
        <is>
          <t>読み方：しち
⇒しつ</t>
        </is>
      </c>
      <c r="D5121" t="inlineStr">
        <is>
          <t>質的(2%)；質子；質土器；質マグマ；質溶岩</t>
        </is>
      </c>
      <c r="E5121" t="inlineStr">
        <is>
          <t>気；地；性；キャラクター；性格</t>
        </is>
      </c>
      <c r="F5121" t="inlineStr">
        <is>
          <t>粘土質；岩質；糖タンパク質；繊維質；葉質</t>
        </is>
      </c>
      <c r="G5121" t="inlineStr">
        <is>
          <t>質量；質素；質屋；質感；質的</t>
        </is>
      </c>
      <c r="H5121" t="n">
        <v>29</v>
      </c>
      <c r="I5121" t="inlineStr">
        <is>
          <t>構成といい、絵といい、とても質の高いもので、こんなの見たこと無い。；鉄などの金属系の元素を多数取り込んだため金属質な体表となっている。；面白いもの、良いものがあれば値段、質に関係なくどんどん使うという。；飼育下でも雑食性の種類は植物質と動物質の餌を適度に与えた方がよい。；細胞膜タンパク質の検出や細胞の粘弾性力の測定などに用いられている。；医療機関の質は悪くないが、医療サービスの質はあまり良いとは言えない。；こういった事情も、モーニングサービスの質や量を向上させた背景にある。；世界から珍しい素材や質の高い皮を集めて製品を作っていた。；良質なたんぱく質が多く含まれており、皮を取るとさらに低脂肪である。；肩肉のチョップはたいていロインよりも質が落ちると考えられている。；ただきれいというだけではなく、声の質をもって、ものを言うという才能。；このような質的な労働力の低下と無理な増産も部品の劣質化につながった。；日本の外食産業は成熟期に入り、価格から質へと方向が変化している。；一皿数百円の価格設定で寿司ネタの質が相対的に高い店は対面型が多い。；後者は、重い有機化合物を含む炭素質の物質や岩石であると考えられる。；日本では岩手県久慈市で、質は良く、量は世界スケールで見れば少ない。；特にこの頃の比較的早い時期に生産されるものが質のよいものとされ、貴重だという。；現在は住宅はおおむね行き渡ったとされ、質の向上が求められている。；このころにはすでに質の高い仕事で評判になっていた。；近年はオイルサンドを採掘して得られる重質油が主力になっている。；米が豊作の年には、米の質の関係から、醸造に失敗しやすい事もある。；最初の二つの質に何か稀で目覚ましい状況を加えてみたまえ。；そのため核がないのにもかかわらず、この顆粒質が核のように見えることもある。；いずれにせよ、保存環境やディスクの質によって寿命は大きく変化する。；意識という言葉のもつもうひとつの意味は主観的な経験、現象的な質である。；同時期の土師器とは色と質で明瞭に区別できるが、一部に中間的なものもある。；一方で彼らの主張を直接的に裏付ける証拠は、一般的に質が低いものである。；中心質にはふつうDNAが存在するため、この領域は核質ともよばれる。；質の高い番組がより多く制作・放送されることを目的に、2005年に制定した賞。</t>
        </is>
      </c>
      <c r="J5121">
        <f>HYPERLINK("https://www.weblio.jp/content/質", "词义详情")</f>
        <v/>
      </c>
      <c r="K5121">
        <f>HYPERLINK("https://yourei.jp/質", "查看例句")</f>
        <v/>
      </c>
    </row>
    <row r="5122">
      <c r="A5122" t="inlineStr">
        <is>
          <t>立ち会う</t>
        </is>
      </c>
      <c r="B5122" t="inlineStr">
        <is>
          <t>成功</t>
        </is>
      </c>
      <c r="C5122" t="inlineStr">
        <is>
          <t>読み方：たちあう
［動ワ五（ハ四）］物事の成り行きや結果を見守るため、その場にいる。証人・参考人などとしてその場に臨む。「開票に—・う」</t>
        </is>
      </c>
      <c r="D5122" t="inlineStr">
        <is>
          <t>立ち会うべき</t>
        </is>
      </c>
      <c r="E5122" t="inlineStr">
        <is>
          <t>列席する；末席に連なる</t>
        </is>
      </c>
      <c r="H5122" t="n">
        <v>29</v>
      </c>
      <c r="I5122" t="inlineStr">
        <is>
          <t>しかしは曲自体には一切手を加えておらず、録音にも立ち会っていない。；いままでにも、父親が術を使う場面に何度か立ち会ったことがあった。；おふたりがお会いになる席に立ち会う勇気は、私にはございませんでした。；それに立ち会う為めで郁子も子供等も前から非常に楽しみにしていた。；昼間は勤めててどうしても立ち会えないから、夜にしてくれないかって。；それらが外から入ってきた場面には立ち会っているかもしれないが。；あなたは、ただ黙ってその場に立ち会っていてくれさえすればいいの。；医者もこのような美しい臨終に立ち会うたことはないといって賞めました。；きっと十年まえのヨーロッパで、その運動に立ち会っていたのだろう。；大事な用件がない限り探索者の体力テストには立ち会うようにしていた。；夫の死に立ち会った日、彼女は毛皮のコートの下に赤い服を着ていた。；そのために探偵を演じようとする僕にできるのは、現場に立ち会うこと。；あなたが立ち会って、わたしが失敗しないように気をつけてくださいますか?；そして最近立ち会ったある老婦人の死をその一例として私に告げた。；俺は長門が怒り狂っているような場面に何度か立ち会ったことがある。；この歳なりに今までいろいろな他人の死に立ち会って来ました。；だがぜひお前に一緒に来て、これから起ることに立ち会ってもらいたい。；立ち会う人数や装備は、イベントの規模により、警察のほうで決めます。；決勝直前に、決勝後に立ち会う約束をジャックから受け、それを受ける。；二人の神童を前にした学生たちは奇蹟の瞬間に立ち会っているような思いだ。；一年程の付き合いだったけれど、この場に立ち会えたことを嬉しく思う。；収容したスタッフの尋問に立ち会わせてもらいたいと伝えたはずだ。；ぼくは仕事柄、会社更生法の申請や幾つもの倒産に立ち会ってきました。；伊佐間君だって何だ、朱美さんの逮捕に立ち会った前後の話がある筈だ。；だれも千数百年以前のことに立ち会った者はいないから、文句のつけようがない。；仲の悪かった両親のことや、母の死に立ち会った時のことを話した。；押収に立ち会わぬつもりだったが、やはりそういうわけにはいかない。；長時間外出が許されてからは、可能な限りアフレコにも立ち会っていた。；しかし、このおかげでクセノポンは師の死に立ち会うことができなかった。</t>
        </is>
      </c>
      <c r="J5122">
        <f>HYPERLINK("https://www.weblio.jp/content/立ち会う", "词义详情")</f>
        <v/>
      </c>
      <c r="K5122">
        <f>HYPERLINK("https://yourei.jp/立ち会う", "查看例句")</f>
        <v/>
      </c>
    </row>
    <row r="5123">
      <c r="A5123" t="inlineStr">
        <is>
          <t>立ち上がる</t>
        </is>
      </c>
      <c r="B5123" t="inlineStr">
        <is>
          <t>成功</t>
        </is>
      </c>
      <c r="C5123" t="inlineStr">
        <is>
          <t>読み方：たちあがる
［動ラ五（四）］
１座ったりかがんだりしている姿勢から身を起こして立つ。「いすから—・る」
２よくない状態に陥ったものが再び勢いを取り戻す。「地震の痛手から—・る」
３行動を起こす。「反対運動に—・る」
４上の方に立つ。立ちのぼる。「砂ぼこりが—・る」
５相撲で、仕切りから身を起こし、勝負を始める。「制限時間の前に—・る」
６機械が動き始める。また、コンピューターのプログラムが起動する。「このパソコンは—・るのが速い」
７《6からの派生》設置される。開設される。「年金記録を審査する第三者委員会が—・る」</t>
        </is>
      </c>
      <c r="D5123" t="inlineStr">
        <is>
          <t>立ち上がると同時に；立ち上がることすらでき；立ち上がる事もでき；立ち上がる間もなく</t>
        </is>
      </c>
      <c r="E5123" t="inlineStr">
        <is>
          <t>立つ；起きる；反抗；謀反；反逆</t>
        </is>
      </c>
      <c r="F5123" t="inlineStr">
        <is>
          <t>再び立ち上がる；慌てて立ち上がる；よろよろと立ち上がる；すっくと立ち上がる；ゆっくり立ち上がる</t>
        </is>
      </c>
      <c r="H5123" t="n">
        <v>29</v>
      </c>
      <c r="I5123" t="inlineStr">
        <is>
          <t>自分がさっきから一度も立ち上がらずにいることに彼は気づいていない。；やられてもやられても立ち上がって大きなものに立ち向かっていく勇気。；二人共頭を上げて見て、それから立ち上がって、岸の方へ歩いて行った。；中では商人風の男が、驚いた顔でベッドから立ち上がるところであった。；やがて、自分は家を出て農民解放に立ち上がる道しかないと考え始めた。；すべての疲れたる者はその人を見て再びその弱い足の上に立ち上がる。；同日は何事もなかったが次の日寝たままの姿勢から立ち上がれなくなった。；長い草の中で本を手にして立ち上がると、足が震えているのがわかった。；身じろぎもせずに座っていたベアトリスがここでいきなり立ち上がった。；地球上で急に立ち上がるのは心臓に恐ろしい負担をかけることなのだ。；郡中央を流れるスカハリー・クリークから高度が急に立ち上がっている。；民の平穏を願い、のちに英雄と呼ばれる一人の男・劉備が立ち上がった。；しかしながら彼等はまるで立ち上がることも出来ないような気がしていた。；医者に助けられた選手は、立ち上がって試合に復帰することができる。；私が立ち上がろうとすると、横からコトが飛び出して祖父の膝に乗った。；彼らはおそらく後足だけで立ち上がったり走ったりできたものと思われる。；奇妙なことに炎からは煙が一切立ち上がっていないようであった。；歩行中に頂上のメンバーが立ち上がることは可能ではあるが困難である。；国際的な評価も高く、北米ではいくつか実写化企画も立ち上がっている。；そこまで考えた時、あのギョッとする想像が彼を思わず立ち上がらせた。；すると、テーブルのところで老夫婦と、さらに一人の娘とが立ち上がった。；夜になると農夫の妻が立ち上がって、黒いかたまりを入れるのが見えた。；経済学と同時期にオーストリアでは精神分析も立ち上がろうとしていた。；ここで立ち上がらなければ我輩は二度と自らを騎士と呼ぶことができぬ。；思わず立ち上がろうとしたトリクシーは、それが出来ないことを知った。；動き続けた方が得策だと判断し、宗介は機体を立ち上がらせようとした。；そういう場合には、仕方がないので何時まで経っても立ち上がらなかった。；目標を語る人は、立ち上がらない相手を納得させるまで目標を語りなさい。；ズビスコが立ち上がる瞬間も少しあったが、同じ位置に戻ってしまった。</t>
        </is>
      </c>
      <c r="J5123">
        <f>HYPERLINK("https://www.weblio.jp/content/立ち上がる", "词义详情")</f>
        <v/>
      </c>
      <c r="K5123">
        <f>HYPERLINK("https://yourei.jp/立ち上がる", "查看例句")</f>
        <v/>
      </c>
    </row>
    <row r="5124">
      <c r="A5124" t="inlineStr">
        <is>
          <t>立ち上げる</t>
        </is>
      </c>
      <c r="B5124" t="inlineStr">
        <is>
          <t>成功</t>
        </is>
      </c>
      <c r="C5124" t="inlineStr">
        <is>
          <t>読み方：たちあげる
［動ガ下一］
１コンピューターで、プログラムを起動させる。「ワープロソフトを—・げる」
２企画立案して始動させる。また、設立する。「新ビジネスを—・げる」「ウェブサイトを—・げる」「地方選に向けて選挙事務所を—・げる」</t>
        </is>
      </c>
      <c r="D5124" t="inlineStr">
        <is>
          <t>立ち上げる際；立ち上げる計画；立ち上げる予定；立ち上げる動き；立ち上げるべく活動</t>
        </is>
      </c>
      <c r="E5124" t="inlineStr">
        <is>
          <t>起こす；立てる；開始する；着手する；スタートさせる</t>
        </is>
      </c>
      <c r="H5124" t="n">
        <v>29</v>
      </c>
      <c r="I5124" t="inlineStr">
        <is>
          <t>女優などが自分の名前を冠した商品やブランドを立ち上げることもある。；また会社組織を立ち上げる際には、役員の人選等にも影響を与えていた。；解散後は平澤を中心とした新グループを立ち上げることが発表された。；自分たちで立ち上げるって言ってたが、何か具体的な考えとかはあるのか?；しかし仮定の話を立ち上げると、そこにはかなり広い謎の空間がある。；システムはデーモンを実際に立ち上げるのではなく、登録だけすればよい。；その後、シンガポール・米・英・タイ・マレーシアに拠点を立ち上げる。；これ以降、国内のスポーツクラブは公式にを立ち上げるようになった。；アイドル番組・お笑い番組・音楽番組を中心に多くの番組を立ち上げる。；クラスノドンで組織を立ち上げるため参謀本部から派遣されたという。；海外で自身の店舗を立ち上げるのにはビジネスパートナーが必要だと考える。；どのようにして彼らがこの団体を立ち上げるにいたったかについて。；の4グループを立ち上げることを発表し、8月21日に合同でデビュー。；帝になって最初にする仕事は新炭素経済を立ち上げることだ。；そしてその為にはMSIを中心とした新政党を立ち上げる必要があると判断した。；そんな状況で、とてもこの男の追跡調査の企画を立ち上げるわけにはいかない。；多くの学生が自ら組織を立ち上げるなど、大学内には700以上のクラブがある。；第2次UWFには後にパンクラスを立ち上げる船木誠勝が参加している。；教員を目指す学生のために「教職ゼミ」を講師になってすぐ立ち上げる。；出身者が次々と劇団を立ち上げるが、往時のようには上手く行かなかった。；留学や通訳を中心とした仕事を展開しサッカースクールなども立ち上げる。；俺は機関を立ち上げることを最優先課題にすることにした。；彼は生物学関係の教師や地方紙の社長等と相談した上、反対運動を立ち上げる。；また、派遣会社でCADオペレーターの派遣事業を立ち上げるなどする。；ユーザは自分のチームを立ち上げることも、既存のチームに参加することもできる。；前男爵のいう「専門家」とは新しい邦国を立ち上げる専門家のことである。；もっと強面のきく、複数の人間と組んで立ち上げる仕事だと思った。；車体中央部壁の面に排気管を立ち上げる屋上排気方式を標準とした。；厳しく変わらない戦況に、日本軍はらいむ隊結成計画を再び立ち上げる。</t>
        </is>
      </c>
      <c r="J5124">
        <f>HYPERLINK("https://www.weblio.jp/content/立ち上げる", "词义详情")</f>
        <v/>
      </c>
      <c r="K5124">
        <f>HYPERLINK("https://yourei.jp/立ち上げる", "查看例句")</f>
        <v/>
      </c>
    </row>
    <row r="5125">
      <c r="A5125" t="inlineStr">
        <is>
          <t>立ち入り</t>
        </is>
      </c>
      <c r="B5125" t="inlineStr">
        <is>
          <t>成功</t>
        </is>
      </c>
      <c r="C5125" t="inlineStr">
        <is>
          <t>読み方：たちいり
１たちいること。中にはいること。「部外者の—を禁ずる」
２その家に親しく出入りすること。また、その人。
３「立入検査」「立入調査」の略。
４江戸時代、大坂の諸大名蔵屋敷に出入りして御用をつとめた商人。御立入(おたちいり)。</t>
        </is>
      </c>
      <c r="D5125" t="inlineStr">
        <is>
          <t>立ち入り調査(6%)；立ち入りできない；立ち入り可能；立ち入り制限；立ち入り規制</t>
        </is>
      </c>
      <c r="E5125" t="inlineStr">
        <is>
          <t>入り；入場；進入；立入；立入り</t>
        </is>
      </c>
      <c r="F5125" t="inlineStr">
        <is>
          <t>立ち入り不可；深く立ち入り；線路内立ち入り；無断立ち入り；学会立ち入り</t>
        </is>
      </c>
      <c r="G5125" t="inlineStr">
        <is>
          <t>立ち入り検査；立ち入り禁止区域</t>
        </is>
      </c>
      <c r="H5125" t="n">
        <v>29</v>
      </c>
      <c r="I5125" t="inlineStr">
        <is>
          <t>誰かが立ち入りを許可されていないエリアへのアクセスを行ったのだ。；それまでの間、非常線を張って町への立ち入りを禁止するに違いない。；ゴルノ・バダフシャン自治州への立ち入りには特別な許可が必要である。；修道院内は男子禁制であるが一般開放エリアへの立ち入りは可能である。；以前は人が住んでいたが現在は無人化し、人の立ち入りが禁止されている。；そのためソ連時代は外国人の立ち入りが禁止された閉鎖都市であった。；一般に立ち入りは制限されており、2015年現在も人口は0人である。；台場本社と異なり、建物内は一般人の立ち入りが完全に規制されている。；岬の大部分が海上自衛隊の管理地内のため、一般の立ち入りはできない。；適用が認められれば、惑星への立ち入り制限を設けることも可能になる。；日本相撲協会主催の大相撲は土俵上への女性の立ち入りを認めていない。；渓谷への立ち入りは禁止されているので足尾砂防ダムから望む事になる。；また敷地内への立ち入りを禁止する旨の看板も設置されている。；また、ビーチ自体への一般の立ち入りは制限されないのが普通である。；彼が歩いているのは関係者以外の立ち入りが禁止されたコンテナ置き場だ。；ただし日本人は居留地内での居住が禁止され、立ち入りも制限された。；この建物は一般の立ち入りがが禁止されたテレコムの通信塔である。；薬品類を積んできたとのことだが、港への立ち入りは禁止されている。；このため一部例外を除き法的に一般人の立ち入りが禁止されることとなる。；この岩は自然保護区に指定され、現在でも立ち入りは制限されている。；両親からは立ち入りを禁止されていたが、こっそり入っては満喫していた。；学園内には貴族のみ立ち入りを許された貴族特区と呼ばれるエリアが存在する。；ウエストンの報告以前には、米国民は新国家への立ち入りを禁止されていた。；特定復興再生拠点区域の一部も立ち入りができるようになっている。；そのために入口に赤い旗をかけて見知らぬ人の立ち入りを禁止する。；右舷はいかなるときも士官以上にしか立ち入りを許されていなかった。；わたしたちは立ち入り許可コードをもっていて、げんにドアはひらいた。；本社内と同様、毎日放送の社員及び関係者以外の立ち入りはできなかった。；従来一切認めていなかった地質調査などの立ち入りを認める姿勢を採った。</t>
        </is>
      </c>
      <c r="J5125">
        <f>HYPERLINK("https://www.weblio.jp/content/立ち入り", "词义详情")</f>
        <v/>
      </c>
      <c r="K5125">
        <f>HYPERLINK("https://yourei.jp/立ち入り", "查看例句")</f>
        <v/>
      </c>
    </row>
    <row r="5126">
      <c r="A5126" t="inlineStr">
        <is>
          <t>立ち往生</t>
        </is>
      </c>
      <c r="B5126" t="inlineStr">
        <is>
          <t>成功</t>
        </is>
      </c>
      <c r="C5126" t="inlineStr">
        <is>
          <t>読み方：たちおうじょう
［名］(スル)
１立ったままの姿勢で死ぬこと。立ち死に。「弁慶の—」
２その場に止まったり途中で行き詰まったりしたまま、処置のしようもなく、動きのとれないこと。「吹雪で汽車が—する」「壇上で—する」</t>
        </is>
      </c>
      <c r="D5126" t="inlineStr">
        <is>
          <t>立ち往生すること(4%)；立ち往生する可能性；立ち往生する羽目</t>
        </is>
      </c>
      <c r="E5126" t="inlineStr">
        <is>
          <t>停止；停滞；難航；膠着；低調</t>
        </is>
      </c>
      <c r="H5126" t="n">
        <v>29</v>
      </c>
      <c r="I5126" t="inlineStr">
        <is>
          <t>これまでに見たこともないような車両の列が道路上に立ち往生していた。；前方と後方から追いつめられて立ち往生した男は今来た道を逆戻りした。；ハーディの攻撃は北軍が再編成して前線を保持したために立ち往生した。；何かに妨害されて、トンネルの途中で立ち往生させられてしまったらしい。；幼い子が途中で立ち往生しているのに、助けてくれようともしなかったのか。；列車は動かなくなり、ばらばらになって線路沿いに立ち往生したまま。；いまにも立ち往生するのではないかと気が気ではなかった。；彼らは一千マイルの高さをもつ壁の向こうで、立ち往生してしまったのです。；橋の上では一台のトラックが故障して立ち往生していた。；手さぐりで前に進もうとしても、方法がわからずに立ち往生してしまう。；まともに目を開けることもできなくなって、その場に立ち往生してしまう。；彼女へ追いすがろうとする私は、熱狂する観客に阻まれて立ち往生する。；今度は目の前が真っ暗になって、小田垣はしばらくの間立ち往生をしていた。；救援列車は青海駅で立ち往生してしまったため、徒歩での行動となった。；この文書はウィンスロップから反対され、何度も立ち往生することがあった。；主人公とその恋人は紙の上で立ち往生させられている。；立ち往生した車の向こう側に部隊が動いているのが見えたが、縦列は動かなかった。；ほどなく、路地の渋滞で立ち往生していた彼の車に追いつくことができた。；何百頭という馬や牛たちは山の深い雪の中で立ち往生した。；本番中に立ち往生してしまって、また忘れられない傷が増えてしまうのではないか?；あたりを見回して、そこが恭子が立ち往生したあたりだと気がついた。；シャクルトンは隊が氷の上で立ち往生している時にマクニッシュと対立していた。；仙太の松明に先導されなかったら百合など途中で立ち往生したにちがいない。；立ち往生している間に、調教場の閉鎖時間が迫ってしまっていた。；橋の上で立ち往生していた人々が受けたのは熱風による横殴りの直撃。；幹子の懐には男が立ち往生している借金と同じくらいの残高があった。；どこかで怪我でもして立ち往生しているのかな。；雪の原に立つ枯れ木、その下で立ち往生する一団が見えてきました。；何百万もの人々が、自宅から百マイルかそれ以上離れたところで立ち往生してしまうことになるでしょう。</t>
        </is>
      </c>
      <c r="J5126">
        <f>HYPERLINK("https://www.weblio.jp/content/立ち往生", "词义详情")</f>
        <v/>
      </c>
      <c r="K5126">
        <f>HYPERLINK("https://yourei.jp/立ち往生", "查看例句")</f>
        <v/>
      </c>
    </row>
    <row r="5127">
      <c r="A5127" t="inlineStr">
        <is>
          <t>断ち切る</t>
        </is>
      </c>
      <c r="B5127" t="inlineStr">
        <is>
          <t>成功</t>
        </is>
      </c>
      <c r="C5127" t="inlineStr">
        <is>
          <t>読み方：たちきる
［動ラ五（四）］
１（「裁ち切る」「截ち切る」とも書く）刃物などで切りはなす。「布を半分に—・る」
２かかわりやつながりを切って、関係をなくす。「腐れ縁を—・る」「未練を—・る」
３さえぎり止める。遮断する。「補給路を—・る」</t>
        </is>
      </c>
      <c r="D5127" t="inlineStr">
        <is>
          <t>断ち切るべく</t>
        </is>
      </c>
      <c r="E5127" t="inlineStr">
        <is>
          <t>停止；中止；邪魔；ブロック；解消</t>
        </is>
      </c>
      <c r="H5127" t="n">
        <v>29</v>
      </c>
      <c r="I5127" t="inlineStr">
        <is>
          <t>叫びを刃で断ち切ったわけでもないだろうが、他の声は聞こえなくなる。；田中はこの時点で国府とは政府間の関係を断ち切ることを決意していた。；そんなふうな生活を、どこかで断ち切らなければならないと思っていた。；どうやって家に戻ってきたものか、すっぱりと記憶は断ち切られている。；断ち切られても仕方のない自分を、そしてあきらめている様でもあった。；なぜこんな綱なんか断ち切ってしまって、山の中へ逃げていかないのだね。；痛みを無視することはできても、腱を断ち切られては手足を動かせない。；次にどうすればいいのか、瑠美の迷いを断ち切るように男が口を開いた。；有限を内包しているのなら、式はそれを視つけだして断ち切ってしまう。；そして片手も肩の付け根から失われ、片方の足も腰から断ち切れていた。；余と死にかかっている余の体をつなぐ銀の絆を断ち切ろうとしているのだ。；それが、文化研究所が出来てからは、断ち切られるような工合になった。；祐巳さまを断ち切るために、部長を選ぶなんて、してはいけないことだ。；なんとかこの流れを断ち切らなければ、よくないことが起こりそうだった。；捜査や推測やさらには希望さえも断ち切ってしまわなければならない。；フロイドの指はレコーダーにもどったが、思考の糸は断ち切られていた。；そうだ、お前たちがわしの心臓を断ち切ったところで、どうにもならんよ。；平の背後に、歪んだ笑顔のミチルが見えたが、それも扉で断ち切られた。；現在はポルノ産業とは完全に縁を断ち切って、モデルの仕事を行っている。；過去の体験を断ち切り、夫となり父となって、結婚し息子が生まれた。；これまで断ち切られていた何かの神経が繋がるような感覚があった。；手裏剣がそれを断ち切った瞬間、間違いなく悪魔の生気は止まったのだ。；人形たちを操っている糸を断ち切れば、もう人形を相手にする必要はない。；テュポーンの白剣は並木を断ち切るが、その剣の勢いはわずかに落ちる。；苦しみの元兇は、希望の綱が完全には断ち切れてはいないことにある。；犬と鎖、この、犬にとっては呪われた関係をいまきみは断ち切ったのだ。；いい剣なので振ってみると周囲の草が簡単に断ち切れたという。；すべての迷いと過去をこの手で断ち切り、ただそのためだけに生きていく。；生まれたいと熱望している君の子孫の願いを断ち切ることにもなる。</t>
        </is>
      </c>
      <c r="J5127">
        <f>HYPERLINK("https://www.weblio.jp/content/断ち切る", "词义详情")</f>
        <v/>
      </c>
      <c r="K5127">
        <f>HYPERLINK("https://yourei.jp/断ち切る", "查看例句")</f>
        <v/>
      </c>
    </row>
    <row r="5128">
      <c r="A5128" t="inlineStr">
        <is>
          <t>立ち去る</t>
        </is>
      </c>
      <c r="B5128" t="inlineStr">
        <is>
          <t>成功</t>
        </is>
      </c>
      <c r="C5128" t="inlineStr">
        <is>
          <t>読み方：たちさる
［動ラ五（四）］立ってその場所から去る。たちのく。「黙って—・る」</t>
        </is>
      </c>
      <c r="D5128" t="inlineStr">
        <is>
          <t>立ち去るべき；立ち去るよう命じ</t>
        </is>
      </c>
      <c r="E5128" t="inlineStr">
        <is>
          <t>立つ；出発；去る；離れる；出かける</t>
        </is>
      </c>
      <c r="F5128" t="inlineStr">
        <is>
          <t>残して立ち去る；そのまま立ち去る；置いて立ち去る；さっさと立ち去る；言い立ち去る</t>
        </is>
      </c>
      <c r="H5128" t="n">
        <v>29</v>
      </c>
      <c r="I5128" t="inlineStr">
        <is>
          <t>男は足を止めて、今立ち去ろうとした部屋の中にいる誰かと話している。；そこで兵隊が自分の靴一杯に金が入ったならば立ち去ろうと条件を出す。；そして、扉をしめて立ち去らずに、なお私の前にいるだけのことである。；そして彼女が人ごみの中から立ち去ろうとした時、呼びとめてみました。；立ち去る前に、同じような紳士が英国からあっしに会いに来ると言った。；招かれざる客の自分は、黙って立ち去るべきなのだろうかと思ったのだ。；さっきの男の一人が立ち去る時、たまたま一緒にひっ掴んでいったのか。；ところが、ここも、一日で立ち去らなければならないことになりました。；だがグレガー・クレゲインはすべての捕虜を殺して立ち去った後である。；猫が犬に追われて木の上に逃れたら、犬が立ち去るまで下りられない。；僕は帽子をちょっと持ちあげただけの挨拶を返してその場を立ち去りました。；もしそれが立ち去ることあっても、また再び帰りきたらんがためにである。；彼女が立ち去ると、私は彼女の本が残っている場所まで近づいてみた。；客の立ち去ったあとのしんとしたなかで、この命令は雷のように響いた。；しかし、いまおまえたちを残してわれわれが立ち去ることは最良なのだ。；間もなく馬車の音が遠ざかってゆき、彼らの立ち去ったことがわかった。；それは立ち去る人というよりも、むしろ死にかかってる人のようであった。；それを驚かして立ち去らせてはいけないと、ほとんど息さえ殺しながら。；彼はこんなことを考えながら、ほとんど挨拶もしないで部屋を立ち去った。；私は彼女が眠に就くのを見て、そこを立ち去ると、庭の方へ出て行つた。；妻のほうは心にかかっていることがあるらしく、立ち去りかねている。；二人はそれからテーブルから立ち去って、図書館のカウンターに向った。；正式に追放の日を待つのではなく、たった今、立ち去るべきなのだろう。；島および領内を立ち去るようにとの上院の命令をつたえてきたのである。；何も見なかったことにして俺がその場から立ち去ろうとした瞬間。；彼に水を与えることのできないわたしは、そのまま立ち去るしかなかった。；支配人をどんなことがあってもこんな気分で立ち去らせてはならない。；大谷は整理のすまない仕事があるからと、食事の途中に立ち去つてゐた。；男はここにいては危ないからと、お村の手を引いてその場を立ち去る。</t>
        </is>
      </c>
      <c r="J5128">
        <f>HYPERLINK("https://www.weblio.jp/content/立ち去る", "词义详情")</f>
        <v/>
      </c>
      <c r="K5128">
        <f>HYPERLINK("https://yourei.jp/立ち去る", "查看例句")</f>
        <v/>
      </c>
    </row>
    <row r="5129">
      <c r="A5129" t="inlineStr">
        <is>
          <t>立ちすくむ</t>
        </is>
      </c>
      <c r="B5129" t="inlineStr">
        <is>
          <t>成功</t>
        </is>
      </c>
      <c r="C5129" t="inlineStr">
        <is>
          <t>読み方：たちすくむ
［動マ五（四）］
１恐ろしさや驚きなどで、立ったまま動けなくなる。「事故現場を目撃して—・む」
２身動きしないで、立ちつづける。
「腰痛きまで—・み給へど」〈源・宿木〉</t>
        </is>
      </c>
      <c r="D5129" t="inlineStr">
        <is>
          <t>動けなくなる；すくむ；立ち往生する；竦む；縮み上がる</t>
        </is>
      </c>
      <c r="F5129" t="inlineStr">
        <is>
          <t>まま立ちすくむ；思わず立ちすくむ；はっと立ちすくむ</t>
        </is>
      </c>
      <c r="H5129" t="n">
        <v>29</v>
      </c>
      <c r="I5129" t="inlineStr">
        <is>
          <t>かれは無防備のままこの奇妙な光を全身に浴びて立ちすくんでしまった。；ぼくが轢かれるのを恐れて、彼女が立ちすくんだと思っていたのだろう。；渡されたほうは決心がつきかねて、それを持ったまま立ちすくんでいた。；戸をあけて入って来た一人の侍が、この光景を見て立ちすくんだのだ。；一瞬、二人ともが目の前にしている状況を理解できずに立ちすくんだ。；千羽の方も、彼らを見て立ちすくんでいたが、やがてひくい声でいった。；彼女は目を丸くして、床の上の死体を見つめながら、立ちすくんでいた。；二人は黙って眺めあったまま、しばらくはそのまま立ちすくんでいた。；だが彼女は力ない狂熱のなかに、ただ麻痺したように立ちすくんでいた。；どうしてよいかわからずに口に手をあて、立ちすくんで悲鳴をあげる。；そのとき、熱のある訴えるような声が、彼女をその場に立ちすくませた。；人々は奇妙な死がいのまわりに立ちすくんだままだまりこんでいました。；部屋の外でおまつが立ちすくむようにして泣いているのを、二人は知らない。；黄はいそいで飛んで来ましたが、娘の姿を見て立ちすくんでしまいました。；カチェリーナは雷にでも打たれたように、そのままそこに立ちすくんだ。；山根が玄関から入ると、妻の真江は一瞬目を大きく開けて立ちすくんだ。；男は、帰って行くきっかけがつかず、感動してその場に立ちすくんでいた。；ベッドに目をやって、私は何者かに押し戻されたかのように立ちすくんだ。；彼女は無言のまま釘づけにされたようにその場に立ちすくんでいた。；わたしには何か人を立ちすくませるようなところがあるのかしら?；自信を失って立ちすくんでいると、二階から子供たちが下りてきた。；立ちすくむまで恐ろしかった、自分は急に嬉しくなって元気が出て来た。；娘はわたしに気づいたとたん、集めた貝を投げだして立ちすくみました。；じっとその場に立ちすくんだまま、彼の明るい小さい眼が曇っていた。；そうやって僕もまた雑踏という名前の風景を作りながら立ちすくんでいた。；その後ろに、露な恐怖の表情を浮かべた女子高生が立ちすくんでいた。；まさに彼は立ちすくんだまま、息も絶え絶えに倒れそうになってしまった。；彼はその場所に、恐れと驚きとのために釘付けにされたように立ちすくんだ。；彼は湯殿をあけてその場の光景を目にしたとたんに、立ちすくんでしまった。</t>
        </is>
      </c>
      <c r="J5129">
        <f>HYPERLINK("https://www.weblio.jp/content/立ちすくむ", "词义详情")</f>
        <v/>
      </c>
      <c r="K5129">
        <f>HYPERLINK("https://yourei.jp/立ちすくむ", "查看例句")</f>
        <v/>
      </c>
    </row>
    <row r="5130">
      <c r="A5130" t="inlineStr">
        <is>
          <t>立ち止まる</t>
        </is>
      </c>
      <c r="B5130" t="inlineStr">
        <is>
          <t>成功</t>
        </is>
      </c>
      <c r="C5130" t="inlineStr">
        <is>
          <t>読み方：たちどまる
［動ラ五（四）］《「たちとまる」とも》
１歩くのをやめてその場に立つ。歩みを止める。「呼ばれて—・る」
２他へ移らないで、そのままそこにとどまる。
「思ひのままならむ人は今までも—・るべくやはある」〈源・真木柱〉
３宿泊する。特に、妻や愛人の所に泊まる。
「かやうに—・り給ふ折々あれば」〈源・薄雲〉</t>
        </is>
      </c>
      <c r="D5130" t="inlineStr">
        <is>
          <t>立ち止まることなく；立ち止まる事なく；立ち止まると同時に；立ち止まると急</t>
        </is>
      </c>
      <c r="E5130" t="inlineStr">
        <is>
          <t>停止；停車；休止；止まる；留まる</t>
        </is>
      </c>
      <c r="F5130" t="inlineStr">
        <is>
          <t>思わず立ち止まる；驚いて立ち止まる；一度立ち止まる；一瞬立ち止まる</t>
        </is>
      </c>
      <c r="H5130" t="n">
        <v>29</v>
      </c>
      <c r="I5130" t="inlineStr">
        <is>
          <t>何事かと立ち止まる人々を避けながら、ふたりは音のした方へ向かった。；扉の前で立ち止まると男は白いスティールの板を上から下まで見つめた。；ある日鯤淵の池で、王の乗っていた馬が岩を見て立ち止まり涙を流した。；長い廊下と階段を上り下りしたあと、やっと立ち止まることが許された。；それからかの女は不意に一軒の小さなみすぼらしい家の前に立ち止まる。；とうとう彼らは立ち上がってやって来ると、わたしの前で立ち止まった。；しかしこんどは別に立ち止まりもせずに室の前を通りすぎてしまった。；私は適当な折があると、ついそれらの前に長らく立ち止まる気になった。；一人の警官が万物の長たる格好でやって来て、椅子の前で立ち止まった。；巨大な要塞のような建物の小さな門の前で、やがて一行は立ち止まった。；頭を下げて通りすぎるだけで、立ち止まって朝晩の挨拶をしないんです。；講釈師の先生、門のところで立ち止まるとなぜか舞台の上に戻ってくる。；かれらはその建物から出て、行動を起す前にしばらく立ち止まっていた。；文化祭の当日ともなると、彼らには立ち止まる時間も許されないらしい。；彼ははいってきて一歩進み、そしてうしろに戸を開いたまま立ち止まった。；ある一軒の家の扉の前でネロは立ち止まり、懐かしそうに中を見ました。；全身の血を心臓に集中さしたまま木工場の扉に衝突して立ち止まった。；その向こうに待機していたいろんな言葉たちも同じように、立ち止まる。；護衛兵たちは、この森をかなり奥深くまで入ったところで立ち止まった。；ちょうど階段の上へ出たところで、二人とも不意に立ち止まってしまった。；少女は玄関を出たところで立ち止まり、前と同じように空を見上げた。；しかし、もう俺は立ち止まることの許されない地点にまで達しているのだ。；われわれがそこに立ち止まると、そよ風さえも止まったように思われた。；約五十歩歩いたまま彼らは立ち止まり我々が近づいても平気であった。；ほとんど足音を立てずに廊下を渡り、目的の部屋のドアの前で立ち止まる。；かれは途中で立ち止まると、冷たい岩の表面に手と額をそっと当てた。；小さな喰い物屋の前でちょっと立ち止まっていてから、はいっていった。；ここで立ち止まり、向きを変え、雪の上をとび越えて去った馬のものだ。；そのときかれはもう一度立ち止まっては、また森が見えないかとたずねた。</t>
        </is>
      </c>
      <c r="J5130">
        <f>HYPERLINK("https://www.weblio.jp/content/立ち止まる", "词义详情")</f>
        <v/>
      </c>
      <c r="K5130">
        <f>HYPERLINK("https://yourei.jp/立ち止まる", "查看例句")</f>
        <v/>
      </c>
    </row>
    <row r="5131">
      <c r="A5131" t="inlineStr">
        <is>
          <t>立ち直る</t>
        </is>
      </c>
      <c r="B5131" t="inlineStr">
        <is>
          <t>成功</t>
        </is>
      </c>
      <c r="C5131" t="inlineStr">
        <is>
          <t>読み方：たちなおる
［動ラ五（四）］
１倒れそうになったものが、もとに戻る。「よろめいたがすぐ—・った」
２悪い状態から、もとの状態に戻る。「ショックから—・る」「相場が—・る」</t>
        </is>
      </c>
      <c r="D5131" t="inlineStr">
        <is>
          <t>立ち直るすきを与え</t>
        </is>
      </c>
      <c r="E5131" t="inlineStr">
        <is>
          <t>向上；回復；改善；復活する；再生する</t>
        </is>
      </c>
      <c r="F5131" t="inlineStr">
        <is>
          <t>早く立ち直る</t>
        </is>
      </c>
      <c r="H5131" t="n">
        <v>29</v>
      </c>
      <c r="I5131" t="inlineStr">
        <is>
          <t>彼女の傷ついた人生から立ち直らせてあげることができたかもしれない。；私も、父を失った悲しみから十分に立ち直れないうちに、仕事へ戻った。；彼等は今度の整理で市の財政が立ち直るなどとは夢にも信じてはいない。；彼には、こういったことから心理的に立ち直る訓練ができていなかった。；彼もきっと、きみが一日も早く立ち直ることを願っているにちがいない。；よくそこまで立ち直ってくれたと、だれにともなく感謝したい気分である。；こうして立ち直るまでの時間が、最近では少し短くなったような気がする。；僕はきっと自分を立ち直らせるために、何でもいいから探しているんです。；死のうとさえ思っていた俺が、なぜ今立ち直ろうとがんばっているのか。；四人がそのショックから立ち直るにはしばらくの時間が必要であった。；役人にこうして話しかけられる少年は、すっかり立ち直った者であった。；投げた後ですっと身を退き、こちらが立ち直る時間をくれただけである。；もしそこで拒絶されたとき、あなたに立ち直る術が残されているだろうか?；特に息子を失った時は半ば狂乱となった状態で立ち直れなかったと言われる。；店を出て別れるときには、彼女は少し立ち直っているようにも見えた。；一方、エリオは敗北から立ち直ったのか顔を上げて、額や頬を日に晒す。；心の底から信じていた人に裏切られたりしたら、もう立ち直れないわ。；そして、母親の存在があったおかげで、ヘッセは立ち直ることができた。；冬子がまた一人になった時、立ち直るのにどれだけ時間がかかるのか。；船を立ち直らせて航海を再開することと、筏を作って岸に上ることです。；ただ現実を受け入れ、立ち直ろうとしている真摯な瞳がそこにあった。；そんなことをしたら立ち直れないことくらいわかっているはずだ。；もう立ち直れないと諦めかけたとき、キャサリンが帰ってこなくなった。；るいが立ち直って元気になれば、 たぶん僕たちみんなも元気になれる。；馬がちゃんと立ち直ったと思ったとたんに、ジェームズ・レンが叫んだ。；その衝撃があまりにひどかったので、二、三分立ち直れないほどだった。；やがて国王軍騎兵隊が戦場から戻り、国王軍は崩壊寸前から立ち直った。；やがて驚きから立ち直ると、その表情にあきらめに満ちた笑いが浮かんだ。；大助が立ち直った翌日から、塩飽の男たちが二人三人と甲板に姿を見せた。</t>
        </is>
      </c>
      <c r="J5131">
        <f>HYPERLINK("https://www.weblio.jp/content/立ち直る", "词义详情")</f>
        <v/>
      </c>
      <c r="K5131">
        <f>HYPERLINK("https://yourei.jp/立ち直る", "查看例句")</f>
        <v/>
      </c>
    </row>
    <row r="5132">
      <c r="A5132" t="inlineStr">
        <is>
          <t>立ち退く</t>
        </is>
      </c>
      <c r="B5132" t="inlineStr">
        <is>
          <t>成功</t>
        </is>
      </c>
      <c r="C5132" t="inlineStr">
        <is>
          <t>読み方：たちのく
［動カ五（四）］
１その場を立ち去り、よそへ移る。「デモ隊が—・かされる」
２住まいを明け渡してよそへ移る。「建て替えのためアパートを—・く」</t>
        </is>
      </c>
      <c r="D5132" t="inlineStr">
        <is>
          <t>立ち退くよりほか</t>
        </is>
      </c>
      <c r="E5132" t="inlineStr">
        <is>
          <t>逃げる；去る；下る；下がる；撤退する</t>
        </is>
      </c>
      <c r="H5132" t="n">
        <v>29</v>
      </c>
      <c r="I5132" t="inlineStr">
        <is>
          <t>我々は犠牲は求めない、指定する海岸から人間は立ち退いてもらいたい。；私は、あの朝、暇を見て、立ち退くまえの彼女と会うことができました。；兄は暑いので脳に応えるとか云って、早く大阪を立ち退く事を主張した。；しかし、半年で200万円用意できなければ立ち退きと言われてしまう。；もちろん、私たちは、私たちの住み処を立ち退かねばなりませんでした。；休戦協定で立ち退きが決定していた南チロルも合わせて占領下に置かれた。；黒崎さんは、その人たちをわざわざ立ち退かせて住みはじめたんですよ。；それに勇気付けられて立ち退き派が派閥を作りそうな勢いになった。；お民はそのそばを通り過ぎて、裏の立ち退き場所にいる姑の方へと急いだ。；どちらが立ち退きを言われても、それでおかしいというものではない。；同様に、イギリス人にその土地の立ち退きを交渉せねばならなかった。；同じ月、土地が売却されたため家を立ち退かざるを得なくなった。；彼は一家の後始末を親類に頼んで故郷を立ち退くよりほかはなかった。；で、その他の、買収に応じて他へ立ち退いた人達はどうなっているんです?；一刻も早くここを立ち退いて、本国の出雲へ落ちてゆくよりほかはない。；不在といわれても無感動な様子で容易に立ち退く気配もなかった。；数日中に戻ってこなかったら、立ち退いてもらおうと考えてたんだ。；そのために市道の南北に並ぶ建物群のどちらかを立ち退きさせなければいけない。；さらに、約三年後、ボクの家はこの場所を立ち退くことになりました。；私だって、早くここを立ち退いて、新しい店をださなきゃならないのよ。；わたくしは、加賀さまにご挨拶をせずに立ち退くわけにはまいりません。；いよいよ立ち退きが決まったその夜、奇怪な出来事が起こりはじめた。；彼はアパートから立ち退きさせられたため、かつての家族の家に帰ることに決める。；周はもう土地に嫌気がさして、また横浜に立ち退くことになっていた。；村の壊滅的な放射能問題に、村の立ち退きはやむ負えない状況となった。；二人きりとなった恋人どうし、手に手をとって逢引のためその場を立ち退く。；既に入っている開拓者は立ち退くか、特別の滞在許可を得ることを命じられた。；どの家にも相場よりかなり高額の立ち退き料が示されることになるらしい。；このデモでは警察からの立ち退き命令を無視したとして逮捕者も出た。</t>
        </is>
      </c>
      <c r="J5132">
        <f>HYPERLINK("https://www.weblio.jp/content/立ち退く", "词义详情")</f>
        <v/>
      </c>
      <c r="K5132">
        <f>HYPERLINK("https://yourei.jp/立ち退く", "查看例句")</f>
        <v/>
      </c>
    </row>
    <row r="5133">
      <c r="A5133" t="inlineStr">
        <is>
          <t>立場</t>
        </is>
      </c>
      <c r="B5133" t="inlineStr">
        <is>
          <t>成功</t>
        </is>
      </c>
      <c r="C5133" t="inlineStr">
        <is>
          <t>読み方：たちば
１人の立つ場所。立っている所。
２その人の置かれている地位や境遇。また、面目。「苦しい—に追い込まれる」「負けたら—がない」
３その状況から生じる考え方。観点。立脚点。「医者の—からの発言」「賛成の—をとる」「第三者の—」</t>
        </is>
      </c>
      <c r="D5133" t="inlineStr">
        <is>
          <t>立場上；立場茶屋；立場ゆえ；立場ターミナル</t>
        </is>
      </c>
      <c r="E5133" t="inlineStr">
        <is>
          <t>見；目；ところ；等；側</t>
        </is>
      </c>
      <c r="F5133" t="inlineStr">
        <is>
          <t>不利な立場；苦しい立場；近い立場；有利な立場；弱い立場</t>
        </is>
      </c>
      <c r="G5133" t="inlineStr">
        <is>
          <t>立場駅；立場川橋梁；立場の太平次</t>
        </is>
      </c>
      <c r="H5133" t="n">
        <v>29</v>
      </c>
      <c r="I5133" t="inlineStr">
        <is>
          <t>政治的・思想的な立場を表すために右と左の語が用いられる場合がある。；この立場は現在でも強い支持があるが、一方でさまざまな批判もある。；ホークス以外の球団のこうした立場のスタッフの登場は珍しい事例である。；父のたちばには同情したけれども、彼は面倒くさいことは嫌いであった。；親しい立場にあった漫画家でさえ本当の年齢を知って驚いたほどであった。；なお、哲学では、強力な還元主義が主要な立場になることは稀である。；Q資料の存在を否定する立場の人々は次のような論拠を述べている。；彼の考えが発展するにつれて彼の立場は変化していった。；ヘーゲルは民主主義を支持しながら一方で懐疑的な立場を強めていった。；一般に、敬意を表する言葉は地位の高い立場にある人々に向けられている。；ハインラインはまた、宗教の政治への関与にも一貫して反対の立場だった。；以下では主な政治思想の立場からの代表的な批評・批判を記載する。；第一にこの二つの立場の違いは不信の罪に当たるほど広大なものではないと主張した。；こうした折衷的立場をとることによって党の分裂を回避しようと苦心した。；連合諸国にいわゆる民主主義はドイツ至上主義に反対する立場である。；現代医学の立場から言えば、女性は主に婦人科系の役割が重要である。；第二次世界大戦中は海洋研究は主に軍事上の立場から行われていた。；資本主義に対する主な思想的立場からの見解や批判には以下がある。；現在の議論の中心は主に物理主義的な立場と二元論的な立場の間で行われている。；エリザベス2世はこの場合対立する2つの君主であるという立場になる。；反論者達は、ノージックがランドの立場を誤って述べていると主張した。；ただし、一般的には無神論は哲学上の立場として広く受け入れられている。；人間は立場によって言いたくないことも言わなければならない。；ここへきて彼はより際立った立場を得て、広く一般に接することが求められ始めた。；これは、通常、特定の哲学者の集団に特徴的な哲学上の立場である。；より学究的な立場からは、実証性の面からも批判されることがある。；社会主義に対しては、多くの立場から多くの批評や批判がされてきている。；一方で薩摩の内情を琉球王府に伝えるなど、日和見的立場を取っていた。；ホメロスの伝承が全く架空の伝承とする立場もないわけではない。</t>
        </is>
      </c>
      <c r="J5133">
        <f>HYPERLINK("https://www.weblio.jp/content/立場", "词义详情")</f>
        <v/>
      </c>
      <c r="K5133">
        <f>HYPERLINK("https://yourei.jp/立場", "查看例句")</f>
        <v/>
      </c>
    </row>
    <row r="5134">
      <c r="A5134" t="inlineStr">
        <is>
          <t>たちまち</t>
        </is>
      </c>
      <c r="B5134" t="inlineStr">
        <is>
          <t>成功</t>
        </is>
      </c>
      <c r="C5134" t="inlineStr">
        <is>
          <t>読み方：たちまち
［副］《「立ち待ち」の意からか》
１非常に短い時間のうちに動作が行われるさま。すぐ。即刻。「うわさが—広がる」「飲めば—効く薬」「—のうちに売り尽くす」
２思いがけなく、ある事態が発生するさま。にわかに。急に。「空が—曇って雨が降り出した」
３（多く「たちまちに」の形で）現に。確かに。まさに。
「閻魔王の所にゐて至るに、—に一人のやむごとなき僧まします」〈今昔・六・一一〉</t>
        </is>
      </c>
      <c r="D5134" t="inlineStr">
        <is>
          <t>たちまち消え；たちまち死ん；たちまち忘れ；たちまち眠り；たちまち燃え</t>
        </is>
      </c>
      <c r="E5134" t="inlineStr">
        <is>
          <t>すぐに；早く；突然；急に；急速に</t>
        </is>
      </c>
      <c r="F5134" t="inlineStr">
        <is>
          <t>たちまち頭角を現し；たちまち大混乱；たちまち歓声；たちまち視界から消え；たちまち大評判</t>
        </is>
      </c>
      <c r="G5134" t="inlineStr">
        <is>
          <t>たちまち島</t>
        </is>
      </c>
      <c r="H5134" t="n">
        <v>29</v>
      </c>
      <c r="I5134" t="inlineStr">
        <is>
          <t>この本が2007年に再度刊行されるとたちまちベストセラーになった。；反応が2ステップを超えるとたちまち反応速度式は複雑になってしまう。；島はのちに再度小さな公国に分割されたが、この試みはたちまち失敗した。；その上に人が乗ろうものなら、たちまち穴の中に落ちてしまうだろう。；その靴を履いたネッサローズは、たちまち歩くことが出来るようになる。；都市の再建が始まると住民の数はたちまち増加していった。；すると肉まで付着したと思われた鬼女の面は、たちまち落ち離れたという。；ただ、その人物を殺せばたちまちお前たちに天罰が下されることになる。；一枚余りの田がたちまち大池となったというので、大勢で見に行った。；これらの成功により、モイセーエフ自身も劇場もたちまち有名になった。；これで商品を注文すると、たちまち商品が転送されて手元に出現する。；女神はアンキーセースを見るとたちまち恋に落ち、彼と臥所を共にした。；この運動でアルファ粒子はエネルギーがたちまち失われ、やがて停止する。；そのため、金はかかるとたちまち運営に行き詰ってしまい、劇団は分裂。；ルビンシテインは詫びを述べると好機と見るやたちまちその場を後にした。；CDデビューすると、たちまちイギリスとアイルランドで大ヒットを記録。；しかし、厳しい検閲によって、この事業はたちまち困難になっていった。；そういった対策がなければ、兵士の士気はたちまち低下してしまうからだ。；死によってその活動が止まれば、たちまちそれらの侵入と繁殖が始まる。；城はたちまち日本軍の占領することとなり、日本軍が斬った首は数千といわれる。；詩的で美しい英語といわれ、出版されるとたちまちベストセラーとなった。；だが、四方から放たれた数百万の毒の矢を受けてたちまち殺された。；第20軍団の部隊は戦場に到着するやたちまち戦闘に巻き込まれた。；ここは、たちまち地元の芸術家たちや、その弟子たちが集まる場所となった。；すると女はたちまち鬼に姿を変え、綱の髪をつかんで愛宕山の方向へ飛んで行った。；椅子に捕らえられた二人はたちまち何もかも忘れて座りつづけた。；回転する刀があちこちに生えており、身動きするとたちまち切り裂かれる。；国民的な高視聴率番組だったことも加わって、たちまち人気を集める。；町はたちまち発展し、14世紀にはウィルトシャーの主要町となった。</t>
        </is>
      </c>
      <c r="J5134">
        <f>HYPERLINK("https://www.weblio.jp/content/たちまち", "词义详情")</f>
        <v/>
      </c>
      <c r="K5134">
        <f>HYPERLINK("https://yourei.jp/たちまち", "查看例句")</f>
        <v/>
      </c>
    </row>
    <row r="5135">
      <c r="A5135" t="inlineStr">
        <is>
          <t>立ち寄る</t>
        </is>
      </c>
      <c r="B5135" t="inlineStr">
        <is>
          <t>成功</t>
        </is>
      </c>
      <c r="C5135" t="inlineStr">
        <is>
          <t>読み方：たちよる
［動ラ五（四）］
１近くに行く。近寄る。「窓辺に—・る」
２目的地へ行く途中、ついでに訪れる。「帰りがけに書店に—・る」
３波が起こって寄せてくる。
「年を経て波—・らぬ住江のまつかひなしと聞くはまことか」〈竹取〉
４頼って身を寄せる。
「わび人のわきて—・る木のもとは頼むかげなく紅葉散りけり」〈古今・秋下〉</t>
        </is>
      </c>
      <c r="D5135" t="inlineStr">
        <is>
          <t>立ち寄るべき</t>
        </is>
      </c>
      <c r="E5135" t="inlineStr">
        <is>
          <t>寄る；顔を出す</t>
        </is>
      </c>
      <c r="F5135" t="inlineStr">
        <is>
          <t>よく立ち寄る；多く立ち寄る；ちょっと立ち寄る；いつも立ち寄る</t>
        </is>
      </c>
      <c r="H5135" t="n">
        <v>29</v>
      </c>
      <c r="I5135" t="inlineStr">
        <is>
          <t>確かにいい所だと思うけど、わざわざ立ち寄るような場所でもないだろ。；われわれと同様に、時々はどこかの星に立ち寄らなければならなかった。；しかし私たちには途中のサマセット州で立ち寄らねばならぬ先があった。；私は本を見ると買いたくなるから、本屋には立ち寄らぬようにしている。；道路が立派にできた以上、今までのように度々立ち寄ることもあるまい。；いつもならカメラを持った観光客が小屋に立ち寄ってくるはずだった。；はたして焼肉だけが、ぼくをそこに立ち寄らせた動機だったのだろうか。；途中立ち寄るところがあって、家の者には今夜はおそくなると言ってある。；社務所に立ち寄ると、台風の夜のことがさらにはっきりとわかって来た。；こうした交流は、漁の途中で一時的に海岸に立ち寄りながら行われていた。；そしてまた次の年、隊商が必ず立ち寄る幾つかの大きな町で合流するのだ。；おかげで、その夏からはポツポツ登山客が立ち寄るようになってくれた。；周辺は禁漁地区に指定されており、観光船以外は立ち寄ることが出来ない。；ジュリアが帰国する際に夫のクリストファーは立ち寄ることはなかった。；その際、奴はその目と鼻の先にある我が家に立ち寄ろうともしなかった。；「立ち寄らせていただきました」 相手は笑いながら手をさし出してきた。；学校帰りに制服のまま店などに立ち寄ることは禁止されている。；山中の人の立ち寄らない場所に呼び子が落ちていたとは考えられない。；私が王宮を出てから、陛下は一度も私の屋敷には立ち寄られませんでした。；そこで帰るついでに立ち寄ると、そこの仲介人は丁寧に応対してくれた。；在の人が町に出た帰りに必ず立ち寄るのがこれらの店であります。；考えてみれば、兄の墓の傍まで来ていて立ち寄らないようなら兄弟とはいえない。；水の豊富な島として知られており、古くから船がよく立ち寄っていたという。；馬を急がせて正午ごろある一軒家に立ち寄り、数時間後にまた出発した。；かれはわれわれは南へ行く途中でプロルグに立ち寄らねばならんと言ったんだ。；そして、東京の兄の家へは立ち寄らず、直接猿ヶ京の母の膝下へ帰った。；また、多くの外国人向けツアーが休憩を目的に立ち寄る場所でもある。；二人とは言葉が通じず、小屋にはまれに山の人間達が立ち寄っては去って行く。；馬や馬車で立ち寄った外国人には、足を止めていつまでも海を眺めている人もいた。</t>
        </is>
      </c>
      <c r="J5135">
        <f>HYPERLINK("https://www.weblio.jp/content/立ち寄る", "词义详情")</f>
        <v/>
      </c>
      <c r="K5135">
        <f>HYPERLINK("https://yourei.jp/立ち寄る", "查看例句")</f>
        <v/>
      </c>
    </row>
    <row r="5136">
      <c r="A5136" t="inlineStr">
        <is>
          <t>裁つ</t>
        </is>
      </c>
      <c r="B5136" t="inlineStr">
        <is>
          <t>成功</t>
        </is>
      </c>
      <c r="C5136" t="inlineStr">
        <is>
          <t>読み方：たつ
［動タ五（四）］《「絶つ」と同語源》紙や布などを、ある寸法に切る。特に、衣服に仕立てるために型に合わせて布地を切る。「生地を—・つ」</t>
        </is>
      </c>
      <c r="D5136" t="inlineStr">
        <is>
          <t>切る；切断；カット；割る；裁断</t>
        </is>
      </c>
      <c r="H5136" t="n">
        <v>29</v>
      </c>
      <c r="I5136" t="inlineStr">
        <is>
          <t>口の中に裁ち鋏を入れて、唇のはしをじょきんとやるようなものである。；この場合衣を裁つ者は当然女であろうから、作者はその外に求めなければならぬのである。；これを、クラヴィといい筋状に裁った別布を縫いつけたものであった。；これこそ、よくいう、裁ち方は拙いが縫いはしっかりしてるってやつだ!；文庫本は、天のみ化粧裁ちせずに残す天アンカット方式を採用している。；しかし、裁ち板の前にすわっても、仕事がさっぱり手につかなかった。；が、もし作れないと思ったら、手をつけたり、皮を裁ったりするんじゃない。；そこで、ある晩、私たちは仕事にとりかかって、新しい服を裁ちはじめました。；あたしの額のすぐ上で、母の使っている大きな裁ちばさみがじゃきんと音を立てた。；それでここに別な布地を持って来たから、これでもって下ばきを裁ってもらいたい。；同じ色の布で自分の分も裁ってございます。；そこでまもなくあの麻物と同じ裁ち方をした緞子が運ばれた。；他に裁ち合わせや文字陣も多く作っている。；同時に超重物質の刃が一閃し、デイルズの右腕を肘の上から裁ち落とした。；竜が裁つに音が似ているため裁縫の神としても信仰される。；黒い洋服を着ていたが、その洋服は今まで見たこともないような奇異な裁ち方をしてあった。；だがこの週のうちに、すっかりせんたくして裁ち直し、縫い直してあったのだ。；やがて、男はほっと顔をあげると、帽子をとってかたわらの裁ち台のうえにおいた。；毎日のように、新しい箪笥や鏡台や、裁ち板や針箱などが届けられてくる。；彼らは異様な裁ち方をしたリンネルの衣服を着ていた。；おれは袖はいったん裁ったうえで縫いあわせろって注文したんだ。；あれをかえすときにはむろん、いま服屋で裁たせて来たそろいの服はこちらに取っておく。；しかしあなたもお忙しいからだでしょうし、私も上衣の裁ちかたを論じに来たわけではない。；今朝の肌寒さに促されたように、年を取った女房たちが裁ち物などを夫人の座敷でしていた。；眉毛の上で裁ちばさみで切り揃えたような髪をした、足の太いずんどうな子だった。；厚さ三寸もある長い裁ち板が、食卓代わりにぐるりと四角に並べられてある。；「花鋏だったんですか」 二度めの事故は裁ち鋏ではなくて、花鋏だったのか。；ただし、フランスでは20世紀中頃でも仕上げ裁ちをしていない書籍も普通に発行されていた。；むろん二人の着物は、同じ長さに裁たれた。</t>
        </is>
      </c>
      <c r="J5136">
        <f>HYPERLINK("https://www.weblio.jp/content/裁つ", "词义详情")</f>
        <v/>
      </c>
      <c r="K5136">
        <f>HYPERLINK("https://yourei.jp/裁つ", "查看例句")</f>
        <v/>
      </c>
    </row>
    <row r="5137">
      <c r="A5137" t="inlineStr">
        <is>
          <t>断つ</t>
        </is>
      </c>
      <c r="B5137" t="inlineStr">
        <is>
          <t>成功</t>
        </is>
      </c>
      <c r="C5137" t="inlineStr">
        <is>
          <t>読み方：たつ
［動タ五（四）］
１（断つ）つながっているものを切り離す。切断する。「鎖を—・つ」「糸を—・つ」
２
㋐（絶つ・断つ）これまで続いていた物事・関係などをやめて終わりにする。つながり・縁を切る。「酒を—・つ」「消息を—・つ」「国交を—・つ」
㋑（断つ）断ちものをする。「茶を—・つ」
３（絶つ）終わらせる。尽きさせる。「命を—・つ」「望みが—・たれる」
４（断つ）道などをさえぎって通わなくする。「糧道を—・つ」「回路を—・つ」
[可能]たてる
[下接句]跡を絶つ・韋編(いへん)三度(みたび)絶つ・快刀乱麻を断つ・舌の剣(つるぎ)は命を絶つ・塵(ちり)を絶つ・根を絶つ・腸(はらわた)を断つ・筆を断つ</t>
        </is>
      </c>
      <c r="D5137" t="inlineStr">
        <is>
          <t>断つべく(2%)；断つべき；断つべから</t>
        </is>
      </c>
      <c r="E5137" t="inlineStr">
        <is>
          <t>置く；停止；中止；閉鎖；邪魔</t>
        </is>
      </c>
      <c r="F5137" t="inlineStr">
        <is>
          <t>一切断つ</t>
        </is>
      </c>
      <c r="H5137" t="n">
        <v>29</v>
      </c>
      <c r="I5137" t="inlineStr">
        <is>
          <t>しかしそれは自分の生命を断つだけの充分の理由とは思われなかった。；たとえ事故で腕を失っても、体と腕の繋がりは断つことはできないのだ。；剣で敵わない相手なら、剣以外で敵の息の根を断つだけの話じゃないか。；ご聖人をお連れしなかったからといって、命を断たれることはあるまい。；私が鎖を断つ必要もなければ、あの方が鎖を引きずる必要もないのです。；あの技は刃の下で肉と骨とを断たれる恐怖に発狂しつつ身につけたものだ。；若い生命がこのようにして断たれるのは、まことにしのびないことです。；断つておくがBは俺のやうな酒飲みではなかつたんだ、その後は別だが。；もしあなたがご自分で生命を断つなら、わたくしもすぐあとを追います。；けれど彼女が其の都度断つたと云ふ事も矢張り事実にちがひないのです。；その目的は、すでに山へかかっていると観た敵勢の退路を断つにあった。；外の世界との往来を断たれているのは、あなたお一人だけではないのです。；彼らのイベントには招待されなくなり、主な収入源は断たれてしまった。；断つておきますが、わたくし、あの方はとても親切な方だと思ひますわ。；この事件がきっかけでウォルターはジェシーとの関係を断つことにする。；接触が断たれるか、一定の温度に達するかすると、温度の変化は止まる。；最初は、彼女が無事に戻るまでは酒断ちをしようと思って始めたことだった。；いまここで我々の命が断たれても、その力は若い二つの命に受け継がれた。；が、かれらとて退路を断たれていることを発見しただけのことだった。；まだ歩行かれぬと断つて、今日一日を、当病の、数に入れたは、誰の為。；カッと骨を断つ音を残して、巨大な脚はその付け根から切断されていた。；有王から娘の手紙を受け取った俊寛は死を決意して、食を断ち自害した。；それともそのまえに、自分で自分の生命を断つ羽目になるのだろうか。；すでにそのときのぼくは、あらゆる希望を断たれた立場におかれていたのです。；従ってこの現象性によっては空間は主観的と考えられる道を断たれている。；その一つの生命があしたは断たれる運命にあると思うと淋しい気持になる。；彼は重い精神疾患を患う息子リュイスとの接触を断たなかったのである。；自ら命を断つか、ありのままに運命を受け入れるような者ばかりだった。；そんな手紙をお出しになるなら、僕に断つて下さる筈ぢやなかつたでせうか。</t>
        </is>
      </c>
      <c r="J5137">
        <f>HYPERLINK("https://www.weblio.jp/content/断つ", "词义详情")</f>
        <v/>
      </c>
      <c r="K5137">
        <f>HYPERLINK("https://yourei.jp/断つ", "查看例句")</f>
        <v/>
      </c>
    </row>
    <row r="5138">
      <c r="A5138" t="inlineStr">
        <is>
          <t>発つ</t>
        </is>
      </c>
      <c r="B5138" t="inlineStr">
        <is>
          <t>成功</t>
        </is>
      </c>
      <c r="C5138" t="inlineStr">
        <is>
          <t>読み方：たつ
［動タ五（四）］《「立つ」と同語源》出発する。出立する。「九時の列車で—・つ」</t>
        </is>
      </c>
      <c r="D5138" t="inlineStr">
        <is>
          <t>発つつもりです</t>
        </is>
      </c>
      <c r="E5138" t="inlineStr">
        <is>
          <t>出る；立つ；始める；出発；スタート</t>
        </is>
      </c>
      <c r="F5138" t="inlineStr">
        <is>
          <t>発つまえ；早く発つ；すぐに発つ；飛び発つ；明日発つ</t>
        </is>
      </c>
      <c r="H5138" t="n">
        <v>29</v>
      </c>
      <c r="I5138" t="inlineStr">
        <is>
          <t>来週にでも発つ用意が出来ている事にして来たがそうなったのでは困る。；こちらを発つ時にはあれほど堅い約束をして置きながら何と云うことだ。；それでわしは、おまえもあの娘といっしょに発つほうがいいと思うのだ。；その日は後に妻となる当時の恋人がアメリカ留学で日本を発つ日であった。；次の日に発つことにし、朝の五時に開くパリ門で落ち合うことに決めた。；奴に直接訊いてごらん、なぜ女が先に発って男があとじゃいけないんだ。；だれもその男を知りませんから、あたくしが発つ場所へ残しておきます。；モスクワを発って以来、ずっと手に入らなかったものが見つかったのだ。；何でも自分でできる本当の大人になろうと、日本を発つ前に決意した。；十日前、東京を発つときは、ただここを離れられればいいと思っていた。；浅見はわけもなく背後から急かされるものを感じながら名古屋を発った。；日本を発つ前、馨はアメリカに渡る報告をするために父の病室を訪れた。；イスタンブールを発ってからそのケースの中は一度も見ませんでした。；これは、イスタンブールを発つ時には、すでに決まっていたことなのだ。；私がそこを発って東京に帰ったのは、それから三四日後の事だった。；そのシンポジウムが閉会し、次の日には発つ予定だった夜のことである。；東京の少女とその母親が村を発ってから二、三日してのことだった。；その翌日、ふたりはすっかり仲直りをして、田舎へ向けて発って行った。；細作の知らせでは、奴らはつい数日前に安邑を発ったばかりだというぞ。；スタッフや何人かのキャストは、一つ前の便で発つことになっていた。；いよいよ明日発つという日になって、彼はわたしの家に挨拶に来た。；ここを発つときは誰だって泣くんだそうだが、君もう泣いちゃったの?；私が日本を発つ頃に始まった新聞連載小説は、まだ続いているのでしょう?；新しい宿駅を発つたびに、私は今度こそ話しかけようと決心するのです。；彼の前王キャドワラもまた退位しローマへと発ったのと同様であった。；答えがどうであれ、アメリカに発つ前に、そうしたほうがいいと思います。；其処にこれから発たうとする一家族が船の準備の出来る間を集つて待つて居た。；だが今、彼の彼女に会いたいと思うのは別の気持に発っしているのであった。；一日も早く飯山を発ちました方が瀬川君の為には得策だらうと思ふんです。</t>
        </is>
      </c>
      <c r="J5138">
        <f>HYPERLINK("https://www.weblio.jp/content/発つ", "词义详情")</f>
        <v/>
      </c>
      <c r="K5138">
        <f>HYPERLINK("https://yourei.jp/発つ", "查看例句")</f>
        <v/>
      </c>
    </row>
    <row r="5139">
      <c r="A5139" t="inlineStr">
        <is>
          <t>建つ</t>
        </is>
      </c>
      <c r="B5139" t="inlineStr">
        <is>
          <t>成功</t>
        </is>
      </c>
      <c r="C5139" t="inlineStr">
        <is>
          <t>読み方：たつ
［動タ五（四）］《「立つ」と同語源》建物などがつくられる。「新居が—・つ」「石碑が—・つ」
［動タ下二］「た（建）てる」の文語形。</t>
        </is>
      </c>
      <c r="D5139" t="inlineStr">
        <is>
          <t>建つ小さな；建つ古い；建つ記念碑；建つ東西棟；建つ南北棟</t>
        </is>
      </c>
      <c r="F5139" t="inlineStr">
        <is>
          <t>ひっそりと建つ；軒建つ；沿って建つ</t>
        </is>
      </c>
      <c r="H5139" t="n">
        <v>29</v>
      </c>
      <c r="I5139" t="inlineStr">
        <is>
          <t>昔は別の場所に校舎が建っていたが、移転して現在の場所に建設された。；かつては信者向けの小屋が建っていたが、今はその跡が残るのみである。；これが地名の由来であるという説もあり、港には上陸の碑が建っている。；この出来事は、現在も寺院の中に建っている石の銘板に記録されている。；すると家には墓が建っており、バドルは死んでしまったように思われた。；移転前の駅は現行の駅よりも南側の像がある広場付近に南北に建っていた。；南御門から入ると正式な入口である式台があり、奥に玄関が建っていた。；この愛称は、緑道のそばに建つマンションの名称にも取り入れられている。；建っているのが不思議なくらい不安定な建物といわれるグーフィーの家。；この建物が建つ以前はセントラルホテルがありこの名で知られていた。；マンションが建つ敷地内への出入りをゲートで制限している例もある。；ところが、その塀の外には、いま大きな家が建ちかかっているのである。；中世には通りに沿って建つ教会がサン=メダール村の中心となっていた。；あの奥の座敷のすぐとなりの売った地面に製材所が建ちかかっている由。；かつての多くの墳墓はこの時代にも建っていたが荒廃が進んでいった。；由来は橋を架けた場所に建っていた屋敷に大きな榎があったことから。；天王寺公園に隣接した上町台地の崖線上に建ち、広い境内を有している。；そしてそこには新しい工場が建ち、高い煙突から黒い煙が流れていました。；私はまだ建ち終らないうちからホトトギス発行所にその一室を契約した。；あたりにはすべて当世風の新しい住宅や商店ばかりが建ちつゞいている。；駐車場の先から左手に上がっていくと参道の左側に多宝塔が建っている。；ノヴォチェルカッスクにあったアタマンの宮殿は今も市内に建っている。；都市中心部の西側に建っているのがセント・アルフィージ教会である。；そこを流れている小川を越えるとまもなく建ちかけの家のそばへ出た。；現存する赤穂城の図面では、大石邸は神社が建つ程の広大な屋敷である。；駅前から国道までの区域は一戸建て住宅の多く建つ住宅地となっている。；自宅の隣に片岡千恵蔵プロが建ち、部屋の窓から俳優の姿が見えたという。；数多くの工場が建ち、ブルターニュ出身者が多くを占める労働者が増えた。；そこにはいまさる工科大学の付属高校と中学の校舎が建ちつつあった。</t>
        </is>
      </c>
      <c r="J5139">
        <f>HYPERLINK("https://www.weblio.jp/content/建つ", "词义详情")</f>
        <v/>
      </c>
      <c r="K5139">
        <f>HYPERLINK("https://yourei.jp/建つ", "查看例句")</f>
        <v/>
      </c>
    </row>
    <row r="5140">
      <c r="A5140" t="inlineStr">
        <is>
          <t>経つ</t>
        </is>
      </c>
      <c r="B5140" t="inlineStr">
        <is>
          <t>成功</t>
        </is>
      </c>
      <c r="C5140" t="inlineStr">
        <is>
          <t>読み方：たつ
［動タ五（四）］《「立つ」と同語源》
１時が過ぎる。「日が—・つ」「いつまで—・っても帰ってこない」
２ろうそくや油などが燃え尽きる。
「線香は、まだ半分も—・って居ない」〈菊池寛・名君〉</t>
        </is>
      </c>
      <c r="D5140" t="inlineStr">
        <is>
          <t>経つうち(4%)；経つと再び；経つと復活；経つと効果；経つと自動的</t>
        </is>
      </c>
      <c r="E5140" t="inlineStr">
        <is>
          <t>行く；与える；流れる；通る；経過</t>
        </is>
      </c>
      <c r="F5140" t="inlineStr">
        <is>
          <t>日経つ；しばらく経つ；以上経つ；経てば経つ；分経つ</t>
        </is>
      </c>
      <c r="H5140" t="n">
        <v>29</v>
      </c>
      <c r="I5140" t="inlineStr">
        <is>
          <t>それから少し経ったある日のこと、若者の元へとても美しい娘が訪れた。；幾日か経って彼は一度自宅へと帰ったが、後に近くの洞窟で殺害された。；その水縁に人が定着し始めて百数十年が経った時点での物語である。；科学的事実の評価と解釈は時間が経つと疑いも無く変化するであろう。；このように時間が経つと検査の反応はもっとはっきりとするであろう。；しかし、それから何年か経つとイギリスは彼らの多くの族長を逮捕した。；しかし数十年が経ち追加の発見がもたらされ、事実がはっきりしてきた。；死後時間が経ってから手指を胸元で組ませようとする場合も同様である。；この傷は時間が経っても消えず、バンパイアの証の一つともなっている。；それから数百年が経ち、魔法使いは再び人間たちとの交流を考え始めた。；しかし、この提案から10年が経ってもLRTの導入には至っていない。；子供たちは年が経つに連れて増えており、正式な家族構成は不明である。；月が経ち年が過ぎてゆくうちに、何度も何度もまた戻ってくるのだった。；逆に、それ以上の期間が経っていても安全性に問題が無い場合もある。；嫂が節子と一緒になってから既に十八九日の日数が経つことをも考えた。；最初の実際の学校が作られたのは植民地設立後40年が経っていた。；その翌日もその翌日も何時まで経つても帰る風は見えませんでした。；地球に到着したエリーは発射時刻から全く時が経っていないことに気づく。；日本でも終戦から22年が経った1967年にようやく一般公開された。；本作は設立から幾ばくも経っていない時期の アトラスが開発を担当した。；二十分経ち三十分経っても、父は寝室へ行くような様子を見せなかった。；最終的にサイト閉鎖から正式オープンまで半年近い期間が経つこととなった。；来る日も来る日も日は昇らず、いつまで経っても明けない夜に皆大騒ぎ。；死体はまだ温かく、死んでから時間はあまり経っていないようだった。；ここに来て、約5か月が経ちましたが、ようやく学ぶことを始めました。；有事の際には10年経っていなくても本国へ呼び戻されることもあった。；うまく乾燥させて色を保っていても、何十年と経つ内に退色してしまう。；邪鬼王の死から一年が経った頃、リュウは再び謎の軍団に襲撃を受けた。；その話は何年も経って、何度も再浮上して最近まで信じられていた。</t>
        </is>
      </c>
      <c r="J5140">
        <f>HYPERLINK("https://www.weblio.jp/content/経つ", "词义详情")</f>
        <v/>
      </c>
      <c r="K5140">
        <f>HYPERLINK("https://yourei.jp/経つ", "查看例句")</f>
        <v/>
      </c>
    </row>
    <row r="5141">
      <c r="A5141" t="inlineStr">
        <is>
          <t>絶つ</t>
        </is>
      </c>
      <c r="B5141" t="inlineStr">
        <is>
          <t>成功</t>
        </is>
      </c>
      <c r="C5141" t="inlineStr">
        <is>
          <t>読み方：たつ
［動タ五（四）］
１（断つ）つながっているものを切り離す。切断する。「鎖を—・つ」「糸を—・つ」
２
㋐（絶つ・断つ）これまで続いていた物事・関係などをやめて終わりにする。つながり・縁を切る。「酒を—・つ」「消息を—・つ」「国交を—・つ」
㋑（断つ）断ちものをする。「茶を—・つ」
３（絶つ）終わらせる。尽きさせる。「命を—・つ」「望みが—・たれる」
４（断つ）道などをさえぎって通わなくする。「糧道を—・つ」「回路を—・つ」
[可能]たてる
[下接句]跡を絶つ・韋編(いへん)三度(みたび)絶つ・快刀乱麻を断つ・舌の剣(つるぎ)は命を絶つ・塵(ちり)を絶つ・根を絶つ・腸(はらわた)を断つ・筆を断つ</t>
        </is>
      </c>
      <c r="D5141" t="inlineStr">
        <is>
          <t>絶つべき；絶つべく；絶つまい</t>
        </is>
      </c>
      <c r="E5141" t="inlineStr">
        <is>
          <t>置く；停止；中止；放棄；解消</t>
        </is>
      </c>
      <c r="H5141" t="n">
        <v>29</v>
      </c>
      <c r="I5141" t="inlineStr">
        <is>
          <t>しかし主要な資金源が絶たれると共に委員会はその後この年に解散した。；体調が良くなかったのは、前の日からずっと水を絶っていたせいである。；慎之介のように、自ら命を絶ってしまうようなことにはならないと思う。；なのに、どうして、自ら子供の命を絶つような真似をしてしまったのか?；次にはきっと済州島へ上って朝鮮と本土との間を絶とうとするであろう。；ただ、他方面で、何の理由もなしに連絡を絶っている偵察員三名がいた。；この人とは他の人々と同じくつい最近になって交際を絶ってしまったのだ。；金はそこで数日逗留して始めて帰って来たが、以後往来を絶たなかった。；伝右衛門との夜のまじわりを絶つことは、まず第一の条件であったろう。；その中に自分の息子の名を見つけた母親は、その場で自ら命を絶ったという。；市の幹部たちはまもなく水の供給が絶たれるのではないかと惧れ始めていた。；火が燃えるのに酸素が欠かせないのなら空気の流れを絶ってやればいい。；どこかで誰かが絶ち切らねば、犠牲者の鎖はどこまでも伸び続けるのだ。；IT企業の社員・鈴木優吾が、ある朝突然会社で自ら命を絶ってしまう。；小次郎への絶ち難い愛情が、貴子の心の中にあると認めたからであった。；そういえば事故の責任追及を恐れて、相棒の養父が自らの命を絶ったな。；それは1974年当時では投手生命を絶たれたことを意味していた。；空気中の酸素と反応しやすいため、空気を絶って保存しなければならない。；それにたとえ火を選んだとしても、先に命を絶つことも出来たはずだ。；被告人自らその生命を絶つことも、神の支えた生命であるから許さない。；それ自体は目に見えないが、もはや地球の空気の流通を絶っている。；言い伝えどおりだとすると中学五年で房雄は社会や親との接触を絶った。；貿易のため外国船が日本に来ても、日本人と外国との交通は絶つことが出来る。；一番軽い条件は、ヂェルメエヌがその情人との関係を絶つことであろう。；あの事故があって以来、ぼくたちは、ずっと関係を絶ったままだった。；あたかもこれらのものが全然この世から跡を絶っていたかのように。；一瞬でも隙を見せれば、この男は自分の命を絶とうとしてくるのではないか?；まあ、あなたも村越巧のように、自分で命を絶ってしまうでしょうがね。；ヨーロッパのみならず外国に進出するミュージシャンは後を絶たない。</t>
        </is>
      </c>
      <c r="J5141">
        <f>HYPERLINK("https://www.weblio.jp/content/絶つ", "词义详情")</f>
        <v/>
      </c>
      <c r="K5141">
        <f>HYPERLINK("https://yourei.jp/絶つ", "查看例句")</f>
        <v/>
      </c>
    </row>
    <row r="5142">
      <c r="A5142" t="inlineStr">
        <is>
          <t>立つ</t>
        </is>
      </c>
      <c r="B5142" t="inlineStr">
        <is>
          <t>成功</t>
        </is>
      </c>
      <c r="C5142" t="inlineStr">
        <is>
          <t>読み方：たつ
［動タ五（四）］
１ある場所にまっすぐ縦になっている。
㋐足を伸ばしてからだを縦に支える。「通路に—・つ」
㋑草や木が地に生える。「街路樹が—・つ」
㋒長いものや高大なものが直立して位置する。「看板が—・つ」「電柱が—・つ」
㋓とがったものが突き刺さる。「とげが—・つ」「歯が—・たない」
㋔突き出た形のものが生じる。「霜柱が—・つ」
２座ったり横になったりしていたものが起き上がる。また、低い位置から高く上る。
㋐身を起こす。立ち上がる。「呼ばれたら—・ちなさい」
㋑伏せていたものが起きる。「髪の毛が—・つ」「鳥肌が—・つ」
㋒《「勃つ」と当てて書くこともある》（興奮により）陰茎や乳首などが固く大きくなる。
[補説] 本来「勃」は、物事が急に起こる意。
㋓煙や蒸気などが空中に上がり漂う。「土ぼこりが—・つ」
㋔鳥や虫などが飛び上がる。
「（昆虫ガ）ブンと鼻先へ—・って来たのを」〈風葉・青春〉
３身を起こしてその場を離れる。「席を—・つ」「手洗いに—・つ」
４（「起つ」とも書く）決意して事を起こす。奮起する。「反対運動に—・つ」
５戸や障子が閉じる。「雨戸が—・っている家」
６自然界の現象・作用が目立って現れる。
㋐雲・月などが空高くかかる。「虹が—・つ」「霞が—・つ」
㋑風・波などが起こる。「涼風が—・つ」「土用波が—・つ」
７
㋐ある立場や状況に置かれる。「先頭に—・つ」「苦境に—・つ」
㋑重要な役目・地位につく。「教壇に—・つ」「証人に—・つ」「衆議院議員候補に—・つ」
㋒高位につく。「東宮に—・つ」
㋓目的をもってある場所に身を置く。「署名を求めて街頭に—・つ」
８度合いが強くなって明らかになる。
㋐はっきり耳目に認められる。「声が—・つ」「目に—・つ」
㋑世に知れ渡る。「うわさが—・つ」「人気が—・つ」
㋒はっきり示される。「あかしが—・つ」「値が—・つ」
９新しい季節が始まる。「秋—・つころのものがなしさ」
10事物が新たに設けられる。
㋐催しなどの場が開かれる。「市(いち)が—・つ」
㋑理論などが新しくつくり示される。「新説が—・つ」
㋒目標などが定まる。「予定が—・つ」「見通しが—・たない」
㋓割り算で商が成り立つ。「六を二で割ると三が—・つ」
11
㋐盛んに気泡が生じる。「泡が—・つ」
㋑湯などが沸く。「風呂が—・つ」
12感情が激する。たかぶる。「腹が—・つ」「気が—・つ」
13技能などがいちだんとすぐれる。「弁が—・つ」「腕の—・つ職人」
14物事が好ましい形で成り立ったり維持されたりする。
㋐目的にかなって使用価値がある。「役に—・つ」
㋑損なわれないで保たれる。「面目が—・つ」「暮らしが—・つ」
㋒筋道がきちんと通る。また、しっかりと成立する。「道理が—・つ」「義理が—・つ」「言い訳が—・たない」
㋓認められて世間を渡る。「小説家として—・つ」
15乗り物などがとどまって、ある場所を占める。
「雲林院、知足院などのもとに—・てる車ども」〈枕・二二二〉
16動詞の連用形のあとに付いて複合語をつくる。
㋐その状態が盛んであることを表す。「はやり—・つ選手」「湯が煮え—・つ」
㋑その動作がにわかであることを表す。「思い—・ったが吉日」
[可能]たてる
［動タ下二］「た（立）てる」の文語形。
[下接句]秋風が立つ・足元から鳥が立つ・彼方(あちら)立てれば此方(こちら)が立たぬ・一分(いちぶん)が立つ・腕が立つ・男が立つ・面影に立つ・顔が立つ・風下(かざしも)に立つ・角が立つ・川中には立てども人中には立たれず・気が立つ・糞(くそ)の役にも立たぬ・暮らしが立つ・後悔先に立たず・小腹が立つ・先に立つ・背負(しょ)って立つ・白羽の矢が立つ・世間が立つ・薹(とう)が立つ・年立つ・名が立つ・名に立つ・歯が立たない・腹が立つ・火の無い所に煙は立たぬ・額に箭(や)は立つとも背(そびら)に箭は立たず・人と屏風(びょうぶ)は直(すぐ)には立たず・人目に立つ・筆が立つ・弁が立つ・的が立つ・耳に立つ・向かう鹿(しし)に矢が立たず・目に立つ・物も言いようで角が立つ・役に立つ・夢枕(ゆめまくら)に立つ・用に立つ</t>
        </is>
      </c>
      <c r="D5142" t="inlineStr">
        <is>
          <t>立つべき；立つまい；立つべし；立つべく；立つ白亜塔</t>
        </is>
      </c>
      <c r="E5142" t="inlineStr">
        <is>
          <t>ある；位置；居る；出発；去る</t>
        </is>
      </c>
      <c r="F5142" t="inlineStr">
        <is>
          <t>湧き立つ；受けて立つ；つて立つ；思ひ立つ；背負って立つ</t>
        </is>
      </c>
      <c r="G5142" t="inlineStr">
        <is>
          <t>立つ鳥跡を濁さず；立つけ；立つぼ</t>
        </is>
      </c>
      <c r="H5142" t="n">
        <v>29</v>
      </c>
      <c r="I5142" t="inlineStr">
        <is>
          <t>守備の際はそれぞれの選手はおよそ次の図および解説に示す位置に立つ。；この叔父たちは怒って席を立ってフランスへ帰国してしまったほどだった。；フランスの青年の先頭に立とうとすれば、それ以外のものが必要なのだ。；いま自分は、人類の将来を左右するかもしれない旅に立とうとしている。；一般的に人が立っていられないほどの急流で行われるので難易度が高い。；現在知られている大陸とは別に、別な観点に立った大陸と呼ぶ対象もある。；演奏する際には、立って行う場合と椅子などに座って行う場合がある。；ヒンデンブルクはマイクの前に立つのが初めてだったのであがっていた。；その人に、田中が宗教は自分には出来ぬから、将来文学で立とうと思う。；あたしも、自分の小さい家を守るためには屈せずに立とうと思ってるの。；それでもトゥーリンは先頭に立って進み、ついにこの流れを渡りきった。；畳には茸が生え、家の中で傘を差して立ったまま朝を迎えた日もあった。；街の中心となるのは独立大通りで、官公庁などの政府関係の建物が立つ。；海水はその表面に波が立っていることが多く、これは主に風の作用である。；家屋の立っている敷地、または家屋などを含めた敷地全体を屋敷という。；僕がこんなにまで言っても、あなたは自分の足で立とうとしないんですね。；世界は開かれている傾向があり、光と隠れていないことの側に立つ。；スウィーニーは爆心地に立ったときのことを以下のように回想している。；同じ無職の人間が口をきいていると思やあ腹も立とうが、そうじゃねえ。；ロンドンの舞台に立つのは40年ぶりのことであり、これが最後となった。；この論に立つ場合、スペイン人は諸民族の大部分を統合する概念となる。；これは台湾人の立場に立って書かれた最初の台湾通史と言うことができる。；いくつかの映画に出演したり、アカデミー賞のプレゼンターにも立った。；この2曲はとてもいいと思うし、他の曲は僕には何の役にも立たない。；このバス乗場を超えてすぐの所に立つ茶色い建物は香港理工大学である。；そんな時、なんばグランド花月への舞台に立とうとする目標が生まれた。；のちに石と分かってからは矢の立つことがなく、のちに石虎将軍といわれた。；また姓を持たず氏のみを持つ非族長層も社会の表舞台に立つようになっていった。；劇団に所属はしていないが芝居好きなため、舞台には積極的に立っている。</t>
        </is>
      </c>
      <c r="J5142">
        <f>HYPERLINK("https://www.weblio.jp/content/立つ", "词义详情")</f>
        <v/>
      </c>
      <c r="K5142">
        <f>HYPERLINK("https://yourei.jp/立つ", "查看例句")</f>
        <v/>
      </c>
    </row>
    <row r="5143">
      <c r="A5143" t="inlineStr">
        <is>
          <t>脱～</t>
        </is>
      </c>
      <c r="B5143" t="inlineStr">
        <is>
          <t>成功</t>
        </is>
      </c>
      <c r="C5143" t="inlineStr">
        <is>
          <t>読み方：だつ
［常用漢字］　［音］ダツ（慣）　［訓］ぬぐ　ぬげるぬく　ぬける
１外側を覆っているものを取り去る。ぬぐ。「脱衣・脱穀・脱皮・脱帽／着脱」
２ある枠や組織から抜ける。抜け出す。はずれる。「脱会・脱却・脱臼(だっきゅう)・脱獄・脱出・脱線・脱退・脱法／逸脱・離脱」
３ある物から要素の一部を抜き取る。取れて無くなる。「脱脂・脱臭・脱色・脱毛／虚脱・剝脱(はくだつ)」
４有るべきものが抜け落ちて無い。「脱簡・脱字・脱文・脱漏／誤脱・漏脱」
５俗っぽさから抜け出ている。あっさりとしてこだわりがない。「滑脱・解脱(げだつ)・洒脱(しゃだつ)・超脱」</t>
        </is>
      </c>
      <c r="H5143" t="n">
        <v>0</v>
      </c>
      <c r="J5143">
        <f>HYPERLINK("https://www.weblio.jp/content/脱～", "词义详情")</f>
        <v/>
      </c>
      <c r="K5143">
        <f>HYPERLINK("https://yourei.jp/脱～", "查看例句")</f>
        <v/>
      </c>
    </row>
    <row r="5144">
      <c r="A5144" t="inlineStr">
        <is>
          <t>卓球</t>
        </is>
      </c>
      <c r="B5144" t="inlineStr">
        <is>
          <t>成功</t>
        </is>
      </c>
      <c r="C5144" t="inlineStr">
        <is>
          <t>読み方：たっきゅう
中央にネットを張った長方形の台の両端に競技者が位置し、プラスチック製のボールをラケットで打ち合い得点を競う球技。国際式の硬式と日本式の軟式とがある。シングルス・ダブルス・混合ダブルスのほか団体戦がある。ピンポン。テーブルテニス。</t>
        </is>
      </c>
      <c r="D5144" t="inlineStr">
        <is>
          <t>卓球クラブ(2%)；卓球部(2%)；卓球選手権；卓球競技；卓球用品</t>
        </is>
      </c>
      <c r="E5144" t="inlineStr">
        <is>
          <t>ピンポン；テーブルテニス</t>
        </is>
      </c>
      <c r="F5144" t="inlineStr">
        <is>
          <t>アジア卓球；開催される卓球；学生卓球；卓球連合；卓球教室</t>
        </is>
      </c>
      <c r="G5144" t="inlineStr">
        <is>
          <t>卓球部；卓球台；卓球場；卓球ブンデスリーガ；卓球日本代表</t>
        </is>
      </c>
      <c r="H5144" t="n">
        <v>29</v>
      </c>
      <c r="I5144" t="inlineStr">
        <is>
          <t>卓球には幼稚園児当時から興味を持ち始め、小学校入学と同時に始めた。；卓球をしていた少年たちも、何事かというような顔でこちらを見ている。；ヨーロッパや日本を含む世界の卓球関係者からの人気も非常に高い。；彼はサッカーをしていたがひざを負傷したため14歳の時に卓球を始めた。；現在はカナダの卓球協会に登録されているが、国籍は取得していない。；特に卓球やバドミントンは風の影響が大きすぎるため、屋内で行われる。；中学で、3年間卓球部に所属していたが高校ではテニス部に所属していた。；中国やスウェーデンへの指導など国際的な卓球の普及に努めた。；バングラデシュは様々な国際卓球大会に出場し、いくつかの成功を収めた。；現在は卓球解説者としてメディアに登場することもしばしばである。；同オリンピック・パラリンピックでは卓球競技の会場として使用された。；卓球のラケットの面積は規定がないため大きく出来るが、俊敏性を失う。；書棚はガラ空きだし、デスクはいつでも卓球ができる状態になっている。；卓球をやっていたからといってテニスが初めからうまいということはない。；というわけであれよあれよという間に皆で卓球をすることになったのだが。；入門前は卓球をやっていたが本格的な活動はしていなかった。；この大会終了時には多くの卓球人は彼女はこれで中国代表から引退するのではと考えた。；現在の卓球のルールである11点制は村上が提唱して国際ルールとなった。；これを高速なコンピュータで見ると、まるで卓球のように見える。；卓球をして下半身だけが太るというような話を聞いたことは他にないからだ。；さらに2010年度より全日本大学総合卓球選手権大会となり現名称に。；作中では卓球に関する知識・技術を説明される役割を担うことが多い。；全日本大学対抗卓球大会では中京大を優勝に導き、敢闘賞に選出された。；卓球には、ルール上定義された用語としては「デュース」は存在しない。；最初の商業用ビデオゲームポンは卓球の簡単なシミュレーションであった。；このクラブの女子卓球チームは1970年代にブンデスリーガで活躍した。；卓球に使用するラケットは、主に木材から作られた板と特殊素材入りがある。；その後1972年以降は アジア卓球連合主催で開催されている。；一般的な卓球で使われているボールよりも大きなボールを使って行われる卓球競技である。</t>
        </is>
      </c>
      <c r="J5144">
        <f>HYPERLINK("https://www.weblio.jp/content/卓球", "词义详情")</f>
        <v/>
      </c>
      <c r="K5144">
        <f>HYPERLINK("https://yourei.jp/卓球", "查看例句")</f>
        <v/>
      </c>
    </row>
    <row r="5145">
      <c r="A5145" t="inlineStr">
        <is>
          <t>抱っこ</t>
        </is>
      </c>
      <c r="B5145" t="inlineStr">
        <is>
          <t>成功</t>
        </is>
      </c>
      <c r="C5145" t="inlineStr">
        <is>
          <t>読み方：だっこ
［名］(スル)だくこと、だかれることをいう幼児語。「父親に—してもらう」</t>
        </is>
      </c>
      <c r="D5145" t="inlineStr">
        <is>
          <t>抱く；抱擁；抱きしめる；抱え込む；擁する</t>
        </is>
      </c>
      <c r="H5145" t="n">
        <v>29</v>
      </c>
      <c r="I5145" t="inlineStr">
        <is>
          <t>パパラッチされた写真の中にはノアが抱っこされている写真もあった。；というか、女性に男がされているわけで、これではむしろ王子さま抱っこだ。；アパートへ戻ると、縁側で秋音ちゃんがクリを抱っこして座っていた。；やはりいつものように右の手には御気に入りの人形が抱っこされていました。；彼は寝てしまった子供を抱っこしながら、ビールを飲んでいた。；ずっと何十分も抱っこしてると、体温の上昇って気がつかなくなるんですよね。；何しろぐっすり眠っている麻里を抱っこしているので大変なのである。；負んぶして育てた子より抱っこして育てた子のほうが可愛いそうな。；明さんが抱っこして部屋へ連れて行ったんだから!；あんた随分よくして貰って方々抱っこして行ったりしたんだけどね。；そのおかげで、龍さんに抱っこされて風呂に入れてもらった記憶もないんだけど。；ようこはにこにこしながらそのうちの何匹かを選んで抱っこする。；誰もいない浴場では、ジェシはよく母の膝に抱っこしてもらった。；「ろ」 「それから」 「は」 あなたは母様の膝に抱っこされて居た。；五キロを越える体重になっても、抱っこはそのままつづいています。；そのうち、うまくすれば、抱っこしないでもこの曲を聞くだけで眠ってくれるかもしれない。；そりゃあ画家が抱っこしてるんだからさわることができるのは当たり前だけど。；さあ姉様の所へおいで、さあ昔のように緊かりと抱っこしてあげましょう。；あんたはお母さんの尊敬する先生に抱っこされてるのよ、って。；最初は子どもが不安にならないように抱っこして5分くらいから始め、徐々に時間を長くしていく。；その非常階段を、耕太は望にお姫さま抱っこされて、駈けあがっていた。；だって、比夏留ちゃんに、赤ん坊を抱っこしてって言ったんでしょう?；いや、ここまで継続して抱っこし続けてたら、さすがに重く感じないわけじゃないぜ?；また、抱っこして寝る事により冷えから来る腹痛を予防する効果もある。；俺は古本屋に抱っこされ、裸に剥かれ、ご丁寧にお湯までかけてもらった。；女の子の胸の中で泣き疲れて、ガキみたいに抱っこされて寝かしつけてもらうなんて!；あたしが小さかった頃、この人はあたしを抱っこして歩いたり、いっしょに遊んでくれたりしたのよ。；そんな時に私は膝に抱っこしてやるんですがね、そして子守唄をうたうんです。；「馬ってもんは、抱っこちゃん犬たあ、わけがちがうんだぜ」と父は言った。</t>
        </is>
      </c>
      <c r="J5145">
        <f>HYPERLINK("https://www.weblio.jp/content/抱っこ", "词义详情")</f>
        <v/>
      </c>
      <c r="K5145">
        <f>HYPERLINK("https://yourei.jp/抱っこ", "查看例句")</f>
        <v/>
      </c>
    </row>
    <row r="5146">
      <c r="A5146" t="inlineStr">
        <is>
          <t>達者</t>
        </is>
      </c>
      <c r="B5146" t="inlineStr">
        <is>
          <t>成功</t>
        </is>
      </c>
      <c r="C5146" t="inlineStr">
        <is>
          <t>読み方：たっしゃ
［名］学問・技芸などの道に熟達している人。達人。「馬術の—」
［形動］［文］［ナリ］
１物事に慣れていて、巧みなさま。「計算が—だ」「口が—だ」「—な芸」
２からだが丈夫で健康なさま。「—に暮らしている」「足腰が—だ」
３うまく立ちまわって抜け目のないさま。したたかであるさま。「金儲(もう)けにかけては—なやつだ」</t>
        </is>
      </c>
      <c r="D5146" t="inlineStr">
        <is>
          <t>達者な男；達者ぶり；達者な日本語；達者な筆；達者でござい</t>
        </is>
      </c>
      <c r="E5146" t="inlineStr">
        <is>
          <t>いい；よい；良い；健康；元気</t>
        </is>
      </c>
      <c r="F5146" t="inlineStr">
        <is>
          <t>腕達者；お達者；藝達者；御達者；受送達者</t>
        </is>
      </c>
      <c r="H5146" t="n">
        <v>29</v>
      </c>
      <c r="I5146" t="inlineStr">
        <is>
          <t>さう思つて見ると、その辺の人は男も女もみんな馬のやうに達者だつた。；達者で居たら今日あたりはきっと団子坂へでも行っているだろうと思う。；病んだ時にも達者な時にも、あんたのためにしてくれる人は一人もいねえ!；仲間の一人で、東京下りの口の達者なのを、酔わせて彼の小屋へ遣った。；私を担当したのは朝鮮系のソ連人で軍服は着ておらず日本語が達者だった。；それまでは達者で活動的な方でしたが、急に体力がなくなったのです。；学校出は理窟ばかり達者で仕事が出来ないから一切使わないことにしている。；彼から見ると、哥麿の絵は俗受けを狙った達者な美人絵に過ぎないのだ。；しかもこうやって達者で、することも沢山あり可愛がられて生きている。；一人の人は船暈する人ですが、一人の人は船に達者の人であります。；作中ではスペイン語を勉強している最中であり達者に話すことができない。；お父さまはどうぞお身体を大切にして、達者にお暮らしくださいませ。；彼らが連れてきた料理女ほど巧みな、腕達者なものはどこにもいないだろう。；一日一食で済まして、それで達者で長寿をした坊主もいくらもあるじゃ。；達者な者は早朝から江戸を出て草履か草鞋ばきで日帰りの短い旅をする。；この老人はまったく足が達者で、記者はとうとう梅若まで連れて行かれた。；だが、こんなに達者で変な日本語をどこで覚えたのか、気にならなくもない。；バーでピアノを弾いていたなどの証言が多く残り、楽器も達者に演奏できた。；怪我をしなかったかと心配したが、存外に達者な足取りで行ってしまった。；ハルアンはもう八十を過ぎた老婆だが、まだまだ達者で川を攻めている。；彼は低い、そしてどちらかといえば太い声で達者に英語を話した。；読み書きの達者な庄蔵が、すぐその額に目を注め、口の中で低く読んだ。；彼はそのときまでこんなに腕達者な相手とトランプをしたことは一度もなかった。；スモレット船長が達者だったときには、おまえは出てゆこうとはせなんだ。；その箱の中に、庄平が達者だった時分の写真が偶然一枚混りこんでいた。；それほど「しゃべり」が達者で、そこがこの番組の最大の魅力でもある。；自分のほうがたっしゃだと思っているかれは、二人の不器用さを嘲笑する。；顧維鈞もそこの教授をしており、英語が達者なのには参ってしまった。；今まで年より達者に見えたのは、気が張っていたせいでしょう。</t>
        </is>
      </c>
      <c r="J5146">
        <f>HYPERLINK("https://www.weblio.jp/content/達者", "词义详情")</f>
        <v/>
      </c>
      <c r="K5146">
        <f>HYPERLINK("https://yourei.jp/達者", "查看例句")</f>
        <v/>
      </c>
    </row>
    <row r="5147">
      <c r="A5147" t="inlineStr">
        <is>
          <t>脱出</t>
        </is>
      </c>
      <c r="B5147" t="inlineStr">
        <is>
          <t>成功</t>
        </is>
      </c>
      <c r="C5147" t="inlineStr">
        <is>
          <t>読み方：だっしゅつ
［名］(スル)危険な場所や好ましくない状態から抜け出すこと。「苦境を—する」</t>
        </is>
      </c>
      <c r="D5147" t="inlineStr">
        <is>
          <t>脱出する(16%)；脱出しよ(3%)；脱出でき(3%)；脱出用；脱出路</t>
        </is>
      </c>
      <c r="E5147" t="inlineStr">
        <is>
          <t>逃げ；逃げる；逃亡；逃走；抜ける</t>
        </is>
      </c>
      <c r="F5147" t="inlineStr">
        <is>
          <t>国外脱出；脱出不可能；非常脱出；無事脱出；脱出ロケット</t>
        </is>
      </c>
      <c r="G5147" t="inlineStr">
        <is>
          <t>脱出ポッド；脱出ゲーム；脱出艇；脱出術；脱出マジック</t>
        </is>
      </c>
      <c r="H5147" t="n">
        <v>29</v>
      </c>
      <c r="I5147" t="inlineStr">
        <is>
          <t>嘘の公式発表をするのと並行してマッカーサーは脱出の準備を進めていた。；かつて南部から脱出に成功した両親が1859年頃に住んだ家である。；多くの市民が包囲された町から地下トンネル等を使って脱出した。；エジプト脱出とシナイ山での契約が二つの大きなテーマとなっている。；脱出したパイロット及び不時着した給油機の乗組員は全員無事であった。；吉村昭によると、この島に漂着し脱出できた者の記録は15例以上ある。；だが、この交渉は不調に終わり、謀略を使って脱出を行うことになった。；コウに脱出を促されたが、脱出装置は最初から積み込んではいなかった。；キラは無事脱出していた友人達と再会するが、戦闘はまだ続いていた。；同年6月4日、国民革命軍との戦争に敗れた張はついに北京を脱出した。；他の船員・乗客が救命ボートで脱出する中で、一家は船に取り残される。；もはや果たすべき目的も叶わず、唯一の望みは安全に脱出することしかない。；だが、イアソンと惹かれあったメディアは 彼と仲間達を助け脱出した。；脱出装置を予定して開発が始まったが、結局実現はしなかった。；しかし幸盛はこれを受け入れず、その後に隙をついて脱出している。；インド脱出同様、同行する側近以外の弟子たちには何も知らされなかった。；運転席背後に非常用脱出口が設けられたため、仕切部の窓が小型化された。；劉邦は慌てて脱出したが、劉太公と呂雉が楚軍の捕虜となってしまった。；森の中で見つけた絵の中に迷い込み、そこから脱出するというストーリー。；サン=ドマングの革命で、様々な人種の人々が大量に植民地を脱出した。；最終的に大破した機体は基地へ放棄されるが、搭乗者は無事脱出に成功する。；ジンバ・ラルは幼いキャスバルとアルテイシアを連れて地球へ脱出した。；デラニーは脱出には成功したもののパラシュートが開かず戦死した。；背面にはSSTOに似たシルエットを持つ脱出ユニットを背負っている。；戦争中には総理らが官邸を脱出するための地下トンネルがあった。；レオンは激しい銃撃戦を掻い潜りマチルダを脱出させることに成功する。；ゲームの目的はステージ内にある金塊を敵に捕まらずに回収し脱出すること。；同年11月の油小路事件では難を逃れて脱出し、薩摩藩邸に保護される。；このため、脱出が間に合わず艦内に閉じ込められて戦死した者が多数いた。</t>
        </is>
      </c>
      <c r="J5147">
        <f>HYPERLINK("https://www.weblio.jp/content/脱出", "词义详情")</f>
        <v/>
      </c>
      <c r="K5147">
        <f>HYPERLINK("https://yourei.jp/脱出", "查看例句")</f>
        <v/>
      </c>
    </row>
    <row r="5148">
      <c r="A5148" t="inlineStr">
        <is>
          <t>達人</t>
        </is>
      </c>
      <c r="B5148" t="inlineStr">
        <is>
          <t>成功</t>
        </is>
      </c>
      <c r="C5148" t="inlineStr">
        <is>
          <t>読み方：たつじん
１技芸・学問の奥義に達している人。達者。「剣道の—」
２深く物事の道理に通じた人。「人生の—」</t>
        </is>
      </c>
      <c r="D5148" t="inlineStr">
        <is>
          <t>達人である(8%)；達人であり(3%)；達人たち；達人芸；達人ぶり</t>
        </is>
      </c>
      <c r="E5148" t="inlineStr">
        <is>
          <t>主；先生；主人；プロ；部長</t>
        </is>
      </c>
      <c r="F5148" t="inlineStr">
        <is>
          <t>佐伯達人；名人達人；渡邊達人；どんな達人</t>
        </is>
      </c>
      <c r="G5148" t="inlineStr">
        <is>
          <t>達人戦；達人達；達人シリーズ；達人王</t>
        </is>
      </c>
      <c r="H5148" t="n">
        <v>29</v>
      </c>
      <c r="I5148" t="inlineStr">
        <is>
          <t>この四名のどの一人でも達人の域に達していないものはないのである。；これはどのような達人同士であってもわずかに実力差が生じる為とされる。；第7版では戦士・盗賊・魔術師・専門家・達人・市民が用意されている。；三方向から全く同時に斬り掛かられてはどんな達人だろうと回避不可能。；そんな状況の中で生きる者の中に、格闘技の達人であるリー兄弟がいた。；それで心の転向の達人は誰かといえば、ケッコンシキ人に決まっている。；しかし、自分はこの目でこの道の本当の達人を見たことがあるのです。；こんな手法は相当の達人でなければやれない事だが又やつてはならない事でもある。；どんな武道の達人でも、それをよけ続けることは不可能だと思われた。；三達人は三人娘を十兵衛のもとへと逃がすも、転生衆に殺されてしまう。；こういうことは大谷が先生であったようで、外に渡辺という達人もいた。；その道の専門家や達人は、自身が使う道具を、時に自作することがある。；ロンは自分のことを優秀ではないと語るが、じつはチェスの達人である。；当選の質と量が優れている一般読者が達人という形で登場している。；ラムは文学者であり、人生に関する一種の達人であったとしみじみ思う。；内容は本作の後、自宅に帰ったが、佛山に北派酔拳の達人が挑みに来る。；達人は現物を見た時点で不可能と判断した場合はギブアップすることも可能。；荒れ馬を縦横に駈け苦しめて乗り殺すほどの達人だというではないか。；主に達人の店で行われたが、店主の店に移して行うこともあった。；かういふことは大谷が先生であつたやうで、外に渡辺といふ達人もゐた。；イングレスほどの達人にしては、コースの取り方がやけに緩やかだった。；走る事だけでも必死になり、ジタバタしていた娘が達人の動きを手に入れたのだ。；してみればこの武士たるものは、極々上の達人でなければならない。；それを見た祖父の重位が密かに技を教え、3年も経つと達人となった。；署長の毛は、万青の妹で少林寺拳法の達人・紅竜に、万青の捜索を依頼。；父である帝の命令をうけて、ひそかに暗殺をおこなう武術の達人たち。；碁の達人が現れたといふので、夜になると親爺の碁敵がつめかけてくる。；剣の腕に優れた達人で、柳生宗矩から印可書を一番に受けたと言われている。；踊りと来たら、祖父は総督夫人の相手だつて立派にやつてのける達人だつた。</t>
        </is>
      </c>
      <c r="J5148">
        <f>HYPERLINK("https://www.weblio.jp/content/達人", "词义详情")</f>
        <v/>
      </c>
      <c r="K5148">
        <f>HYPERLINK("https://yourei.jp/達人", "查看例句")</f>
        <v/>
      </c>
    </row>
    <row r="5149">
      <c r="A5149" t="inlineStr">
        <is>
          <t>達する</t>
        </is>
      </c>
      <c r="B5149" t="inlineStr">
        <is>
          <t>成功</t>
        </is>
      </c>
      <c r="C5149" t="inlineStr">
        <is>
          <t>読み方：たっする
［動サ変］［文］たっ・す［サ変］
１
㋐ある場所・目的地に行きつく。至る。「登山隊が山頂に—・する」
㋑物事の内容が伝わり届く。「噂が教師の耳にも—・する」
㋒ある数値になる。一定の数値に届く。「被害は二億円にも—・した」「募金が目標額に—・する」
㋓ある状態・程度になる。「世界的水準に—・する」
２学問・技芸に深く通じる。熟達する。「一芸に—・した人」
３物事をなしとげる。はたす。達成する。「望みを—・する」
４告げ知らせる。伝える。わからせる。「命令を—・する」</t>
        </is>
      </c>
      <c r="D5149" t="inlineStr">
        <is>
          <t>達する可能性；達する大型種；達する深い；達する大規模な群れ；達すること能わ</t>
        </is>
      </c>
      <c r="E5149" t="inlineStr">
        <is>
          <t>なる；くる；行く；来る；至る</t>
        </is>
      </c>
      <c r="F5149" t="inlineStr">
        <is>
          <t>達するまで続く</t>
        </is>
      </c>
      <c r="H5149" t="n">
        <v>29</v>
      </c>
      <c r="I5149" t="inlineStr">
        <is>
          <t>そのバイオマスは真核生物の数倍から数十倍に達するとも言われている。；平衡に達するのが数時間から数日の場合でも互変異性と呼ぶことが多い。；年輪がないので樹齢を知ることは難しいが、数千年に達するといわれる。；郡内の未編入領域は、十分な集中度に達すれば自治体に併合されている。；西に位置する田辺市に達するには中辺路町を経由するのが普通である。；まだ登録されていない値を検索した場合、処理は必ず葉ノードまで達する。；合格ラインに達するとグランドチャンピオン大会への出場権が与えられた。；さらに侵食が脳まで達すれば理性すら持たないゾンビ兵となってしまう。；定員に達するか入場時間になった時点で当日分の販売は打ち切られる。；期間終了後も規定レベルに達すればストーリーはそれ以前と同じく閲覧可能。；また臀部を骨に達するほど斬られたが、慎太郎は死んだふりをしていた。；以降この手法を用いた短編を書き続け、その数は数百編に達する。；この結果、荒天時にはしばしば飛行甲板まで波が達することとなった。；プロペラ機は原理的にジェット機よりも遥かに低い速度で限界に達する。；アメリカ現代絵画は、その概念的な袋小路に達することを恐れていた。；テロスへ向かう運動はテロスに達すれば、そこで運動は終わるのである。；したがって混合物の状態で平衡に達するため高い収率で得ることが難しい。；大きさの異なる小塊を落して、どの量で臨界に達するかを決定する。；それらは2014年夏に、最初の運用能力に達することとされた。；しかし長弓が現在一般に知られるような完成度に達するのは、もっと後の話である。；前作同様のレベル制限がなされているが、前作のように途中で最高レベルに達することはない。；実際に開通すると、この倍に達する輸送実績を残している。；付属農場の部分も加えると、その北端は北24条駅の辺りにまで達する。；アイヴズは生涯に渡って歌曲を書いており、その数は約200曲に達する。；燃えたのはビル一階の事務所であるが、ビル五階にまで煤が達する火災となった。；スプリト中心部では中央駅に達する前に鉄道は2つのトンネルを通っている。；前項の目的を達するため、陸海空軍その他の戦力は、これを保持しない。；深海産は大型化する傾向があり、中には20数cmにも達する大型種もいる。；一定の年齢に達すると共に様々な条件が重なって遠ざかっていくことが多い。</t>
        </is>
      </c>
      <c r="J5149">
        <f>HYPERLINK("https://www.weblio.jp/content/達する", "词义详情")</f>
        <v/>
      </c>
      <c r="K5149">
        <f>HYPERLINK("https://yourei.jp/達する", "查看例句")</f>
        <v/>
      </c>
    </row>
    <row r="5150">
      <c r="A5150" t="inlineStr">
        <is>
          <t>脱する</t>
        </is>
      </c>
      <c r="B5150" t="inlineStr">
        <is>
          <t>成功</t>
        </is>
      </c>
      <c r="C5150" t="inlineStr">
        <is>
          <t>読み方：だっする
［動サ変］［文］だっ・す［サ変］
１好ましくない状態・境遇などからぬけ出る。のがれる。脱出する。「窮地を—・する」「旧弊を—・する」「煩悶から—・する」
２加わっていた組織や仲間などからぬける。脱退する。「同盟関係を—・する」
３抜け落ちる。もれる。「名簿に彼の名前が—・していた」
４身につけているものをとる。ぬぐ。
「一寸(ちょっ)と帽を—・して挨拶し」〈鉄腸・花間鶯〉
５含まれているもの、つまっているものを取り除く。「コルク栓を—・する」「脱水機で水分を—・する」
６仕上げる。原稿を書き終える。「稿を—・する」</t>
        </is>
      </c>
      <c r="D5150" t="inlineStr">
        <is>
          <t>脱する能わざる</t>
        </is>
      </c>
      <c r="E5150" t="inlineStr">
        <is>
          <t>除く；消す；外す；取り除く；取り外し</t>
        </is>
      </c>
      <c r="H5150" t="n">
        <v>29</v>
      </c>
      <c r="I5150" t="inlineStr">
        <is>
          <t>包囲を脱するには、もうあまりにも明るすぎると彼には思えたのである。；アジアを脱することは、少なくとも当時では日本にだけ可能なことだった。；この困難を脱するものは云うまでもなくカントの空間説に外ならない。；彼は無名の域から脱すると、またすぐに無名の域にもどりたがっていた。；こいつが関係しているので、この事件も平凡の域を脱するわけなんだ。；しかし聖人の前に帽子を脱するだけの用意はいつでもしていなくてはならない。；曹公に万全の計があっても、河東の危機を脱することは難しいでしょう。；さて一方、研究の方もようやくこの頃暗中模索の域を脱することができた。；俺との会話をヒントに泥沼から脱するチャンスが得られるかもしれない。；自らの霊体を肉体より離脱させ、時間と空間の制約を脱することなのである。；此の一幅さへあれば一家の窮状は何の苦もなく脱することが出来る。；どっちがきいたのかわからないが、私も最悪の状態を脱することができた。；人生はさまざまな苦しみと悲しみから脱することはできません。；此の一幅さえあれば一家の窮状は何の苦もなく脱することが出来る。；しかしもはやそれから脱する力のない芸術家にとっては致命的である。；私は彼がその夢幻状態を脱するまで二度も同じことを彼に命じなければならなかった。；またこの世に生くる限りこの業縁を脱することもできない。；それを生物的生命的といったが、人間に至ってもそれを脱するというのではない。；従って人間は永遠に愚かな、不幸な戦争から脱することは出来ないだろう。；当初は結果が出ず、チームの長期低迷を脱することができなかった。；妾には考えたって苦しんだって貴方の影響を脱する力はないんですもの。；その時、二人が身に着けていたリングが光りだし、二人は窮地を脱する。；奥羽は権力から落脱することで、「日本」の匂いをつくっていくだろう。；これにより曹操軍は崩れたち、ために黄忠は包囲を脱することができた。；外見上はその地獄に落ちることであったにしても、実際にはそこから脱することだ。；あるいは世に名望ある大家先生といえどもこの範囲を脱するを得ず。；第六日は、巧みな即答で危機を脱する人々の事が話題となっている。；さすれば、内海先生をその夜のうちに殺す以外に危機を脱する道はないのであります。；彼の一生はついにこのディレンマから脱することができなかった。</t>
        </is>
      </c>
      <c r="J5150">
        <f>HYPERLINK("https://www.weblio.jp/content/脱する", "词义详情")</f>
        <v/>
      </c>
      <c r="K5150">
        <f>HYPERLINK("https://yourei.jp/脱する", "查看例句")</f>
        <v/>
      </c>
    </row>
    <row r="5151">
      <c r="A5151" t="inlineStr">
        <is>
          <t>達成</t>
        </is>
      </c>
      <c r="B5151" t="inlineStr">
        <is>
          <t>成功</t>
        </is>
      </c>
      <c r="C5151" t="inlineStr">
        <is>
          <t>読み方：たっせい
［名］(スル)成し遂げること。目的を果たすこと。「大記録を—する」「目標を—する」</t>
        </is>
      </c>
      <c r="D5151" t="inlineStr">
        <is>
          <t>達成するため(4%)；達成でき(3%)；達成される(2%)；達成者；達成しよ</t>
        </is>
      </c>
      <c r="E5151" t="inlineStr">
        <is>
          <t>する；行う；成功；やる；成立</t>
        </is>
      </c>
      <c r="F5151" t="inlineStr">
        <is>
          <t>目的達成；三冠達成；達成できる可能性；達成すべき目標；達成されれ</t>
        </is>
      </c>
      <c r="G5151" t="inlineStr">
        <is>
          <t>達成時期；達成基準；達成線；達成度テスト</t>
        </is>
      </c>
      <c r="H5151" t="n">
        <v>29</v>
      </c>
      <c r="I5151" t="inlineStr">
        <is>
          <t>それを望むのであれば、不通になる以前に達成できていたはずである。；政軍分離を達成するために必ず存在しなくてはならない組織である。；これを生涯のうちで達成することをキャリア・グランドスラムという。；しかし、平穏が達成されたかどうかは、イスラエル側が判断するとした。；正確な同期化は、往路と復路の通信時間がほぼ等しい場合に達成される。；これは、はるかに高いパッケージングを達成するためである可能性が高い。；欧州連合では指令との形で、各国が達成すべき労働法の基準を示している。；全てのゲームでノルマを達成することで出現する隠し要素も存在する。；大規模・高速の計算能力を達成することを目的としている。；これにより史上初の中央・地方双方での1000勝を合わせて達成した。；これは世界の最新鋭飛行機でもなかなか達成できないものである。；そのため当該目標を達成するには、他の解決策が望ましいと考えられる。；目標の達成には行政の威令が行き届かない現状を改善しなければならない。；この定義を遵守すると日本では1970年前後に制圧を達成している。；そしてこの目的を達成するため、次のような教育目標を定めている。；この金額は最終的に全て達成され、最終合計額は676万円に上った。；異説はあるが、これ以前に登頂を達成した人物がいることを示す文献はない。；信仰的に意味がある苦労を先にすることで、宗教活動上の目的の達成が容易になるとしている。；この課題を達成する理論を説明的妥当性を備えた理論という。；また、イタリア史上初の主要タイトル3冠を達成したクラブでもある。；健康な心と体は、人間と神の一体性を認識することによって達成されると考えられた。；それには自分一代で達成することが出来なかったら、次の時代に受け継いでもらう。；このため、全ての部隊の作戦が最大の隠蔽とスピードで達成されなければならない。；ちなみにその復帰初戦では、10分間でハットトリックを達成している。；独立を達成した全ての国でパン・アフリカ主義が強調された。；午前4時頃にはほぼ作戦の重要な部分が達成されていることに満足して執務室に戻った。；もし単一の寄与構造がこれを達成できないならば、共鳴が利用される。；おもに一般税収を原資としたユニバーサルヘルスケアが達成されている。；まもなく、ライン川上流をアラマンニ族から奪回する目的は達成された。</t>
        </is>
      </c>
      <c r="J5151">
        <f>HYPERLINK("https://www.weblio.jp/content/達成", "词义详情")</f>
        <v/>
      </c>
      <c r="K5151">
        <f>HYPERLINK("https://yourei.jp/達成", "查看例句")</f>
        <v/>
      </c>
    </row>
    <row r="5152">
      <c r="A5152" t="inlineStr">
        <is>
          <t>脱線</t>
        </is>
      </c>
      <c r="B5152" t="inlineStr">
        <is>
          <t>成功</t>
        </is>
      </c>
      <c r="C5152" t="inlineStr">
        <is>
          <t>読み方：だっせん
［名］(スル)
１汽車や電車などの車輪が線路からはずれること。「列車が—する」
２話や行為が本筋から横道にそれること。「話が—する」</t>
        </is>
      </c>
      <c r="D5152" t="inlineStr">
        <is>
          <t>脱線する(7%)；脱線転覆(4%)；脱線時；脱線防止；脱線大破</t>
        </is>
      </c>
      <c r="E5152" t="inlineStr">
        <is>
          <t>脇；バイパス；迷う；逸脱；余談</t>
        </is>
      </c>
      <c r="F5152" t="inlineStr">
        <is>
          <t>上がり脱線；脱線器；脱線転落；脱線火災事故；脱線だらけ</t>
        </is>
      </c>
      <c r="G5152" t="inlineStr">
        <is>
          <t>脱線係数；脱線トリオ；脱線防止ガード；脱線転轍器；脱線転轍機</t>
        </is>
      </c>
      <c r="H5152" t="n">
        <v>29</v>
      </c>
      <c r="I5152" t="inlineStr">
        <is>
          <t>私の話はよく途中で脱線しますので、そうなりましたらご勘弁願います。；これらの機関車はかなり速かったが、その速度では脱線しがちであった。；彼女は脱線する兄を心配してきたのだが、それを隠していることが判った。；それは少しわたしを脱線させたが、お蔭でわたしはかえってとくをした。；時間にして約十数分間の脱線は、今となってはなかったものになっている。；授業は脱線することが多く、狂言を生徒の前で発表したりもしていた。；日本では鉄道事故等報告規則で定める列車が脱線した事故のことをいう。；車輪の一番内側にはフランジが設けられており、脱線を防ぐ働きをする。；しかしその前にもうちょっと脱線して、僕の会社のことも説明しておこう。；戦後すぐにHOゲージが商品化されたが、畳の上では小さいので脱線する。；それはともかく、涼子さまは、脱線した話の輪から抜けて水奏に言った。；ともかくあまりひどい脱線もせず、人生の軌道をここまで来られたんだからな。；衝突時に列車が脱線しないよう、エンジン等の重機材は入れずに製作された。；大いに脱線して済みませんでしたが、私は不断そういう考を持って居る。；女の方へ脱線ばかりすると方付かぬから、また蛇の方へ懸るとしよう。；記者はその話が次第に脱線して行くのを止める事が出来なかった。；重すぎたので比較的脆弱な鋳鉄製の軌道が使用中に破損して脱線した。；この結果、脱線の要因は低速時の浮き上がり脱線であることが判明した。；ところがちょうどクリストバルの町のすぐ外で、列車が脱線したんだ。；また線路の下で爆発したのであれば、車両は脱線しているはず。；製造されたイギリスとは異なり線路状況が劣悪だったので機関車は頻繁に脱線した。；テーマから脱線することもあり、事実上の進行はホラン千秋が務めている。；ただし歴史の流れから脱線するようなことはしてはいない。；脱線した車両をレールに復元させられるだけの大きさを持っている。；マイクロフトは軌道の上を走る電車みたいに、けっして脱線しないんだ。；この列車は脱線し、対向路線を破壊し、数量の車両が軌道から転落した。；最初の下り貨物列車の脱線の原因は、機関士の信号現示の誤認とされた。；ただ、脱線である以上は、どこまでも脱線でなければならないのです。；脱線しかかる心に紐を縛り付けて森写歩朗は文字の行列に目を落とした。</t>
        </is>
      </c>
      <c r="J5152">
        <f>HYPERLINK("https://www.weblio.jp/content/脱線", "词义详情")</f>
        <v/>
      </c>
      <c r="K5152">
        <f>HYPERLINK("https://yourei.jp/脱線", "查看例句")</f>
        <v/>
      </c>
    </row>
    <row r="5153">
      <c r="A5153" t="inlineStr">
        <is>
          <t>たった</t>
        </is>
      </c>
      <c r="B5153" t="inlineStr">
        <is>
          <t>成功</t>
        </is>
      </c>
      <c r="C5153" t="inlineStr">
        <is>
          <t>［副］《「ただ（唯）」の音変化》
１数量が少ないことを強調するさま。わずか。ほんの。「出発まで—1時間しかない」「—の100円だ」
２ごく近い過去を強調するさま。
「—こないだのように思っていたけれど」〈三重吉・桑の実〉
３ひたすら。いちずに。
「—説かせませ」〈狂言記・宗論〉</t>
        </is>
      </c>
      <c r="D5153" t="inlineStr">
        <is>
          <t>たった一人(16%)；たった一度(4%)；たったそれだけ；たった二人；たった一日</t>
        </is>
      </c>
      <c r="E5153" t="inlineStr">
        <is>
          <t>一人；ただ；ひとり；単に；唯</t>
        </is>
      </c>
      <c r="F5153" t="inlineStr">
        <is>
          <t>たったひと晩；たった数秒；たった数日間；たったひと突き；たった五分の</t>
        </is>
      </c>
      <c r="G5153" t="inlineStr">
        <is>
          <t>たったひとつだけ；たったひとりの最終決戦；たった一人の味方；たったった；たったひとつの冴えたやりかた</t>
        </is>
      </c>
      <c r="H5153" t="n">
        <v>29</v>
      </c>
      <c r="I5153" t="inlineStr">
        <is>
          <t>パートンによると、夫が彼女の公演を見たのはたった一度だけだという。；騎乗した菅原泰夫は好位につけた時点で勝利の目処がたったとしている。；法施行後の最初の17ヶ月ではたった7人しか有罪判決を受けなかった。；この記録は彼女が職を去った後12年たった今日でも破られていない。；心配になったカービィはたった1つしかない星を見ていることにした。；その場所は1番も相撲を取らず、たった1場所で引退となってしまった。；そして、融合によって継続することができる世界はたった一つしかない。；村人たちにとって、その映画館は村の外に通じるたった一つの窓だった。；ファーンズワースは、たった一度だけテレビ番組に出演したことがある。；同年ジョン・ハーディングが購入したネッドはたった数ヶ月後に逃亡。；また、この記憶が成立するのもたった1回で十分だといわれている。；それはたった一晩で千の寺院を造らねばならないというものだった。；たった一人だけ、異様な感覚になったのはマット・ベイカーという人物。；生き残ったのはたった5名で、彼らはカヌーで脱出したため救助された。；彼らのなかにはたった数年で驚くほどメジャーなスターになった者も多い。；ある日のこと、たった一日でユダヤ教の三大祭を開催したことがある。；失われたポイボス再興のため、ジョーグのたった一人での戦いが始まる。；当時の日本の人々はたった一人の男に恐怖していた。；敵が単一だった場合はたった一度の攻撃が命中しただけで主人公側の勝利となる。；しかしこのビザンツ艦隊はたった3ヶ月分の食糧しか搭載していなかった。；弁護士だった父は、たったひとりの子によりよい教育を受けさせたいと望んだ。；たった一回の問題発生だけで、その問題は何度も繰り返すと結論付けてしまう。；ロイヤル・オークのデザインは、たった一日でデザインしたと言われている。；たった一人残された志音は、死んだようにただ眠ることしかできなくなった。；たったひと筆で人類初の男性の象徴が誕生したのだ。；しかし帰国して、毅はたった一人の母が胆石の手術で亡くなったことを知る。；しかし、登場人物たちは2つの幕の間でたった25歳しか年を取っていない。；登場人物の大半はたった1回の番組制作のために冗談で大勢作られてしまった。；しかも準備期間は車の調達からなにからすべてを含めたったの4日だった。</t>
        </is>
      </c>
      <c r="J5153">
        <f>HYPERLINK("https://www.weblio.jp/content/たった", "词义详情")</f>
        <v/>
      </c>
      <c r="K5153">
        <f>HYPERLINK("https://yourei.jp/たった", "查看例句")</f>
        <v/>
      </c>
    </row>
    <row r="5154">
      <c r="A5154" t="inlineStr">
        <is>
          <t>脱退</t>
        </is>
      </c>
      <c r="B5154" t="inlineStr">
        <is>
          <t>成功</t>
        </is>
      </c>
      <c r="C5154" t="inlineStr">
        <is>
          <t>読み方：だったい
［名］(スル)属している団体・組織から抜けること。「組合を—する」</t>
        </is>
      </c>
      <c r="D5154" t="inlineStr">
        <is>
          <t>脱退する(8%)；脱退後(7%)；脱退以降；脱退宣言；脱退組</t>
        </is>
      </c>
      <c r="F5154" t="inlineStr">
        <is>
          <t>国際聯盟脱退；バンド脱退；一時脱退；相次いで脱退；メンバー脱退</t>
        </is>
      </c>
      <c r="H5154" t="n">
        <v>29</v>
      </c>
      <c r="I5154" t="inlineStr">
        <is>
          <t>奴隷州だったデラウェア州ではUSA脱退は全く考えられていなかった。；このことが1933年に日本が国際連盟から脱退する主要な原因となった。；この年の初頭には柳原から他の3人に脱退の意思が伝えられていたという。；脱退以後の音楽マネージメントは自身の会社である音楽館で行っている。；また同年1月のツアー終了をもってヨルグ・マイケル脱退が発表された。；脱退発表の直後に公式サイトでタイトル変更がされ、当初のものに戻った。；また、これに前後して長年在籍したブラジリアン・トップチームを脱退。；特別加入者は、政府の承認を受ければいつでも脱退することができる。；こうして日教組を構成していた一部の組合員や単位労働組合が脱退した。；ただし、教会ごと脱退したわけではないので分派とはされていない。；脱退の際には当時の労組委員長が社長に就任するなど話題となった。；その後まもなくして角田が自らのバンドを結成する為に脱退する。；なお脱退一時金は未支給であっても死亡後に親族が請求することはできない。；フィンランドはすぐにフィンランド船を連合撤退行動から脱退させた。；また、団体に加入や脱退する権利、団体を解散する権利も含まれる。；ただし混乱を避けるため、前の企業が脱退してから相当な期間が過ぎた番号に限られる。；イギリス連邦の規則によると、共和国を宣言すれば自動的に脱退となる。；しかし、前記の通り2011年のシーズン限りで三重はリーグを脱退した。；出資金は入学時など加入の際に納入し、卒業時など脱退の際に返還される。；フランスは1966年から2009年まで軍事部門から脱退していた。；しかし、これが原因で二人はカシオペアから脱退することになった。；発表の中で、脱退する3名は、生活の方向性を変えると書かれている。；クリスの脱退は契約上の問題からアルバム発売1週間後に報じられた。；これはアメリカ合衆国議会が1つの州の脱退する権利を否定した初の事例となった。；元々上杉はWANDSを一人で脱退しソロ活動を開始する予定だった。；しかし清河の演説でその本意を知った近藤勇や芹沢鴨らが反発して脱退。；職員団体の結成・解散、加入・脱退は完全に職員の自由にゆだねられている。；一旦それは認められなかったが、2005年4月に正式に脱退が認められた。；当グループでは、メンバーの脱退や加入など、曲リリース毎に様々な展開がなされた。</t>
        </is>
      </c>
      <c r="J5154">
        <f>HYPERLINK("https://www.weblio.jp/content/脱退", "词义详情")</f>
        <v/>
      </c>
      <c r="K5154">
        <f>HYPERLINK("https://yourei.jp/脱退", "查看例句")</f>
        <v/>
      </c>
    </row>
    <row r="5155">
      <c r="A5155" t="inlineStr">
        <is>
          <t>だったら</t>
        </is>
      </c>
      <c r="B5155" t="inlineStr">
        <is>
          <t>成功</t>
        </is>
      </c>
      <c r="D5155" t="inlineStr">
        <is>
          <t>だったらどんなに；だったら絶対；だったらなおさら；だったら何で；だったらいっそ</t>
        </is>
      </c>
      <c r="E5155" t="inlineStr">
        <is>
          <t>ならば；であれば；そんなら；しからば；左様なら</t>
        </is>
      </c>
      <c r="F5155" t="inlineStr">
        <is>
          <t>だったらどう；男だったら；本当だったら；女の子だったら；ダメだったら</t>
        </is>
      </c>
      <c r="H5155" t="n">
        <v>29</v>
      </c>
      <c r="I5155" t="inlineStr">
        <is>
          <t>あたしたち二人をのせて脱出するのだったら、二人でたくさんじゃない。；あなたが私のパパだったら、きっとそれでいいとお思いになるでしょう。；見ている者がいれば、ほとんど男が俺に衝突するタイミングだったろう。；もしわたしのところへ来るのだったら、こっちの想像が当ったわけです。；もし自分一人だったら、あれほどよくは訪ねて来てくれないかも知れない。；こんな時、昔の二人だったらいろいろなことを話しあったに違いない。；これは風景の、光の、この見わたすかぎりの空と海のせいだったろうか?；あなたが私に一途になるようだったら、私はそれに応えてもいいのだし。；各藩の城下町だった地域には、現在も武家屋敷等が残っている所が多い。；もしそれがわたしだったら、ちゃんと生涯の方針を立てたに相違ない。；もし、あした来たんだったら、もう私たちは帰ってしまっていたからね。；ずるい男だったら、承知したといって、そのとおりに実行するであろう。；僕たちがどんなことでもやる気だったら、君を救えたかもしれないんだ。；その帰還者が全然の独り者だったら、悲惨なことなどありはしないのだ。；当初は漫画の主人公の名前だったが、後にペンネームもそれへと改める。；この時計をみがきにやって、長くかかったのも、そんなことだったろう。；ほかの子供だったらもうよほど前から大声に泣き出していたろう。；私は学校へ行かないし、親にとってみれば今までかつてない事件だったろう。；もし相手が羊のようなものだったら、彼はかえって勝利の無聊を感じる。；ピアノの椅子に誰かが坐っているように思えたのは、気のせいだったろうか。；一時間もかかったような気がしたが、実際は七分かそこらだったろう。；子供が大事だったら、少しは私をも大事にして下さるのが当然ですわ。；きっと、そんな不安すらも、もっちゃんにとっては興奮の種だったろう。；エルゼの嗚咽を聞いたような気がしたが、あれは風の唸りだったろうか。；日本だったら一週間位徹夜して実験をした位に思ったようであった。；それに女の子だったら、きっと車庫の中もきれいにお掃除してくれるわ。；実をいえば、これ以上いちじるしい対照を想像するのは困難だったろう。；他の作家の名前の賞だったら応募しなかったであろうと語っている。；そして、私たちの運命を決定するには、ただの一歩で十分だったろう。</t>
        </is>
      </c>
      <c r="J5155">
        <f>HYPERLINK("https://www.weblio.jp/content/だったら", "词义详情")</f>
        <v/>
      </c>
      <c r="K5155">
        <f>HYPERLINK("https://yourei.jp/だったら", "查看例句")</f>
        <v/>
      </c>
    </row>
    <row r="5156">
      <c r="A5156" t="inlineStr">
        <is>
          <t>だって</t>
        </is>
      </c>
      <c r="B5156" t="inlineStr">
        <is>
          <t>成功</t>
        </is>
      </c>
      <c r="C5156" t="inlineStr">
        <is>
          <t>［接］《助詞「だって」の接続詞化したもの》相手に反論したり、相手の反対を予想しつつ理由や言い訳を述べる場合に用いる。そうはいっても。でも。なぜかというと。「とても間に合いません。—人手が足りません」</t>
        </is>
      </c>
      <c r="D5156" t="inlineStr">
        <is>
          <t>だってそう；だっていう；だっていい；だって同じ；だってできる</t>
        </is>
      </c>
      <c r="F5156" t="inlineStr">
        <is>
          <t>誰だってそう；なんだってこんな；なんだってそんな；どっちだっていい；どうだっていう</t>
        </is>
      </c>
      <c r="G5156" t="inlineStr">
        <is>
          <t>だってばよ；だって好きなんだもん；だって愛してる；だってしょうがないじゃない；だってサルなんだもん</t>
        </is>
      </c>
      <c r="H5156" t="n">
        <v>29</v>
      </c>
      <c r="I5156" t="inlineStr">
        <is>
          <t>そんな苦労を持っているらしい人は一人だって見当らないようだったが。；彼らは表だって自らの文化や言語を示すことができなくなったという。；だっていきなりどうだって言ったって、返事に困ってしまうじゃないの?；この場合も無論、私は少しだって疑いを受ける心配はありませんでした。；だってここからじゃ、裸足にならなくちゃ行かれないじゃありませんか。；日本だってみんながその気になれば、あのくらいのものは出来ると思うの。；ともちゃんだって、俺たちの仲間になってくれてる以上はボヘミヤンだ。；しかし、今の刑事達に、一人だって、そのような人物がいるでしょうか。；だってあなたはこのところずっと私を訪ねてくれなかったじゃない?；俺だって、もうどこへ行っても、曲がったことなんて絶対にしたくない。；だが、今の世の中では誰だって満足に生活している者はありゃしないんだ。；おれはおれを愛してはいるが、そのおれ自身だってあまり信用してはいない。；なんだってまたおそらくおまえほどおれが気に入ったものはあるまい。；だって、私たちは、最初から出会ってはいけない間柄だったんですもの。；そうすれば、あの男のいやな処だって、だんだんに許せるようになるよ。；それはつまり、僕たちは同じ人間だって事を意味してるはずなんだ。；おまえ様の深切を無にしたようだけれど、だってしようがないんだもの。；だって、今そんなことをいったってもう一緒に来ちゃったもの仕方がないわ。；その気になれば人間は洗面器に顔をつけて溺死することだってできるんだ。；ユダヤ人についていれば、絶対に生命のところは安全なんだってさ。；どんな嵐のときだって、舳から甲板の上へざーっと上ってくるくらいだ。；だって、修道院で見た、あの美しい娘さんに似ているはずがないもの。；だって、自分の早さを知るのには、そうするのが、いちばんですからね。；本人は若い時の写真だって云ってましたが、どうもおかしいですよ。；だって、あのリストには彼以上に成長した選手が見当たらないからね。；だって、守っていれば無理な体勢から投げなければならない時もある。；目が悪くてメガネかけたプロ野球選手はダメだって言われた時代なんでね。；夏だ海だ達郎だっていうのやっぱり俺は続けなくてよかったっていう。；私だってあの青年を別に悪く思っているわけではなし、すべてを許しています。</t>
        </is>
      </c>
      <c r="J5156">
        <f>HYPERLINK("https://www.weblio.jp/content/だって", "词义详情")</f>
        <v/>
      </c>
      <c r="K5156">
        <f>HYPERLINK("https://yourei.jp/だって", "查看例句")</f>
        <v/>
      </c>
    </row>
    <row r="5157">
      <c r="A5157" t="inlineStr">
        <is>
          <t>たっぷり</t>
        </is>
      </c>
      <c r="B5157" t="inlineStr">
        <is>
          <t>成功</t>
        </is>
      </c>
      <c r="C5157" t="inlineStr">
        <is>
          <t>［形動］［文］［ナリ］
１満ちあふれるほど十分にあるさま。「—な水で麺(めん)をゆでる」
２名詞の下に付いて、ある要素が普通よりも多めであることを表す。「皮肉—」「自信—」
［副］
１1に同じ。「コップに—（と）牛乳を注ぐ」
２分量などに余裕のあるさま。「—（と）した仕立ての服」「時間は—（と）ある」
３少なめに見積もっても、それだけの数量は十分にあるさま。「駅まで—二〇分はかかる」</t>
        </is>
      </c>
      <c r="D5157" t="inlineStr">
        <is>
          <t>たっぷり入れ；たっぷりと時間；たっぷり五；たっぷり食べ；たっぷり三</t>
        </is>
      </c>
      <c r="E5157" t="inlineStr">
        <is>
          <t>多くの；ひどく；多数の；大変；豊か</t>
        </is>
      </c>
      <c r="F5157" t="inlineStr">
        <is>
          <t>皮肉たっぷり；余裕たっぷり；まだたっぷり；愛嬌たっぷり；ユーモアたっぷり</t>
        </is>
      </c>
      <c r="H5157" t="n">
        <v>29</v>
      </c>
      <c r="I5157" t="inlineStr">
        <is>
          <t>運動量はかなり多いため、たっぷりと散歩させる事も忘れてはいけない。；まだ夜十一時をそれほど過ぎていなかったので、時間はたっぷりある。；おれが娘を連れてもどって来たら、おまえを殺す時間はたっぷりある。；しかもまだダービーまでたっぷり時間がある、三ヶ月あるのじゃないか。；孝子夫人は、何につけても本当に心のたっぷりさを愛していた方だと思う。；この船に乗っているのはかれ一人なのだから、食料はたっぷりとある。；三度の食事は栄養たっぷりで一般の国民よりも良い物を食べていたという。；私には長すぎたので、たっぷり上をしたやつを、私ははいて行ったのである。；持って来た手紙はいつもの様にいや味たっぷりなものであった。；大量の金が今もたっぷり山奥に埋まっていると思い、そこに腰をすえた。；ああ、料理場の連中にお茶とサンドイッチをたっぷり作らせた方がいいな。；頭のふさには水を溜めることができ、この水は栄養がたっぷりだという。；たっぷり寝たので元気と活力がよみがえり、考えると笑いそうになった。；男は色気たっぷりの芸者をある程度の金で縛りつけることが出来るのだ。；たっぷり一分後、かれはしゃがみながら手にした複雑なものを見つめていた。；おまえを七つの扉の部屋に連れてきた罪を後悔する時間は、たっぷりある。；それが大して苦痛でなしに叫び得るようになるまでには十日はたっぷりとかかった。；どちらもすぐれた狩り手だったから、その獲物で食事はたっぷりとった。；たっぷり燃料をつめこんで、ニューヨークまで充分保つようにしてある。；それはたっぷりというわけにいきませんでしたが、何もないよりはずっとましでした。；鯨羊羹の黒い表面の下にも、甘いもち米がたっぷりと控えているのだった。；しかし、たっぷり一分は、自分の見ているものを信じられなかった。；そいつはゾールとわたしに、たっぷり罪ほろぼしをしなければなるまい。；数杯のんだときにでも、私たちはたっぷり大きいコップでのむ習慣でした。；夜明けまでたっぷり二時間あるが、何千人もの人々が屋外へ出た模様。；美しい肉体、頭のない死体をたっぷりと見つめてから、頭を振った。；腹はひどく減っていたが、正確で声もよかったし、表情たっぷりでもあった。；まだ一〇時になっていなかったので時間はたっぷりある。；窓からは、たっぷり直径七〇メートルもある巨木の幹が何本も見られた。</t>
        </is>
      </c>
      <c r="J5157">
        <f>HYPERLINK("https://www.weblio.jp/content/たっぷり", "词义详情")</f>
        <v/>
      </c>
      <c r="K5157">
        <f>HYPERLINK("https://yourei.jp/たっぷり", "查看例句")</f>
        <v/>
      </c>
    </row>
    <row r="5158">
      <c r="A5158" t="inlineStr">
        <is>
          <t>縦</t>
        </is>
      </c>
      <c r="B5158" t="inlineStr">
        <is>
          <t>成功</t>
        </is>
      </c>
      <c r="C5158" t="inlineStr">
        <is>
          <t>読み方：しょう
〈従〉⇒じゅう
〈縦〉⇒じゅう</t>
        </is>
      </c>
      <c r="D5158" t="inlineStr">
        <is>
          <t>縦置き(3%)；縦深(2%)；縦皺(2%)；縦割り(2%)；縦帯</t>
        </is>
      </c>
      <c r="F5158" t="inlineStr">
        <is>
          <t>縦走路；縦画面；縦幅；縦通；縦一列</t>
        </is>
      </c>
      <c r="G5158" t="inlineStr">
        <is>
          <t>縦断；縦長；縦隊；縦貫；縦走</t>
        </is>
      </c>
      <c r="H5158" t="n">
        <v>29</v>
      </c>
      <c r="I5158" t="inlineStr">
        <is>
          <t>ここを軸に縦二十三条、横七十八条の概ね碁盤の目状に町割がなされた。；その下の主脚は縦に二段の探照燈台を設けた強固な単脚型へと更新された。；チルトスタンドに縦置き・横置きを検出する機械式スイッチを搭載する。；縦は主に垂直や前後の方向を、横は主に水平や左右の方向を指す語である。；また横歩きしか出来ない種類でも回転で弱らせると暫く縦歩きをする。；この建物を特徴付けているのが、ホールを縦に積み重ねた積層型である。；縦走路はさらに南へ続くが大峰山最高峰到達に満足し山を下ったとされる。；蛹になる時に角が伸びるので、その分だけ雌よりも縦に長い蛹室を作る。；縦と横、前後、左右、上下など空間の関係に関する言葉はたくさんある。；丸太のような円柱系の体形をしているが、頭部は横に、尾は縦に平たい。；通常の武将カードが縦なのに対して、これは横向きに印刷されている。；立体や平面の一番長い方向を縦、そのほかの辺などに沿った方向を横という。；また、縦位置で撮影しようとするとファインダー像は上下逆像となってしまう。；それぞれの船は決まった数のマスを縦又は横方向に連続して占める。；またパワートレインの搭載方法も、2代続いた縦置きから横置きに戻った。；従来の3S型エンジンとは、横置きから縦置き仕様へと大幅に設計変更されている。；また側面の表示器も大型化され、その下の客室窓の縦寸法が縮小されている。；溶接範囲の拡大に伴って、船体構造は縦肋骨方式の部分が拡大された。；すべての数を2乗しても、縦・横の和が一定になる物を多重魔方陣と呼ぶ。；次に縦の白と青のストライプを隠すように180度に折って半分に畳む。；スロップタンクは縦に長い形をして、油との分離をなるべく容易にしている。；国連の旗に描かれている紋章の大きさは、旗の縦の長さの2分の1である。；この電気抵抗の変化率 と発生する縦ひずみ との関係は で表される。；この図の場合は時間の流れを縦にとり、下が始状態、上が終状態となっている。；側面の表示器も大型化され、下の客室窓の縦寸法が縮小されている。；「飛」と「車」の縦画が深く彫ってあるのがその原因の一つとされている。；小さな布を縦に繋いだものを条と呼び、これを横に何条か縫い合わせて作られる。；エンジンもフロンテ360のをベースにしながら、縦置きに設計変更された。；この名の由来は、竹を縦にわってつくったように見えることに由来するものと考えられる。</t>
        </is>
      </c>
      <c r="J5158">
        <f>HYPERLINK("https://www.weblio.jp/content/縦", "词义详情")</f>
        <v/>
      </c>
      <c r="K5158">
        <f>HYPERLINK("https://yourei.jp/縦", "查看例句")</f>
        <v/>
      </c>
    </row>
    <row r="5159">
      <c r="A5159" t="inlineStr">
        <is>
          <t>立て替える</t>
        </is>
      </c>
      <c r="B5159" t="inlineStr">
        <is>
          <t>成功</t>
        </is>
      </c>
      <c r="C5159" t="inlineStr">
        <is>
          <t>読み方：たてかえる
［動ア下一］［文］たてか・ふ［ハ下二］他人に代わって一時、代金を支払う。「電車賃を—・える」</t>
        </is>
      </c>
      <c r="D5159" t="inlineStr">
        <is>
          <t>出す；肩代わりする；用立てる</t>
        </is>
      </c>
      <c r="H5159" t="n">
        <v>29</v>
      </c>
      <c r="I5159" t="inlineStr">
        <is>
          <t>礼拝堂は、数十年後にはすでに新しい建物への立て替えが必要となった。；小さな環状木柱列もあり、これらは何度も立て替えられたと考えられる。；以前は有人駅時代の駅舎があったが、立て替えられ簡素なものになった。；そうすれば学校側で弁償金を立て替えておくそうだが、どうするかね?；制作で足が出た費用はジャクソンが一時的に立て替える形で負担した。；それに、試合の当日、朝食を食べてそれを私が立て替えたから千円を引く。；王子は借金を立て替えて、更には埋葬のための費用も負担してやる。；その際に立て替えられたため下りの待合所の設備だけが新しい。；東館は建物を立て替え、2022年秋ごろの再出店を目指すとした。；製作を請け負った斎藤プロデューサーがその日の分を立て替えてる。；由枝は多分、ルイが沖村の飲み代を立て替えていることを知っている。；この駅舎も2016年に立て替えられたためこのフランス瓦を見ることはできない。；僕にいつ誰が始て噂をしたか知らぬが、金がない時は末造が立て替えてくれると云うことを僕は聞いた。；現在はA校舎立て替えに伴う仮校舎がグラウンドに建設されている。；監督が立て替えて払っておかなくてはならないのである。；残りはおそらく彼の部下か、彼が立て替えるのであろう。；かわりに立て替えていただけるのではないかと参上したのです。；それとも留さんがその銭を立て替えて返してくれるのか?；その後、放送所設置及びレストハウス立て替え等が行われ、現在に至っている。；お滝は、この35円を立て替えられる人へ縁付きたい、と言っているという。；また柱穴の重複関係から少なくとも3回は立て替えが行われたと考えられている。；遊びの諸払いも自分がいつも半分ずつ立て替えていた。；神の使いのミルクティー代を立て替えるなんて、めったにある経験ではない。；さすがに着物や小物の立て替えは含まれていなかった。；また荒尾第三中学校との合併が予定されており数年以内に校舎の立て替えが予定されている。；最近改造されたが、立て替える予定は今のところ無い。；ただし、現在の東門は国民党政府により立て替えられたものである。；今持ち合わせのない者は、ボースンに立て替えて置いてもらうこと。；さもしい奴だ、それっ、俺が立て替えておいてやるから持ってゆけ。</t>
        </is>
      </c>
      <c r="J5159">
        <f>HYPERLINK("https://www.weblio.jp/content/立て替える", "词义详情")</f>
        <v/>
      </c>
      <c r="K5159">
        <f>HYPERLINK("https://yourei.jp/立て替える", "查看例句")</f>
        <v/>
      </c>
    </row>
    <row r="5160">
      <c r="A5160" t="inlineStr">
        <is>
          <t>建前</t>
        </is>
      </c>
      <c r="B5160" t="inlineStr">
        <is>
          <t>成功</t>
        </is>
      </c>
      <c r="C5160" t="inlineStr">
        <is>
          <t>読み方：たてまえ
家屋の建築で、基礎の上に柱・梁(はり)・棟など主な骨組みを組み立てること。また、その時に行う祝い。棟上げ。上棟(じょうとう)式。</t>
        </is>
      </c>
      <c r="D5160" t="inlineStr">
        <is>
          <t>建前上(16%)；建前論</t>
        </is>
      </c>
      <c r="E5160" t="inlineStr">
        <is>
          <t>顔；表；政策；方針；顔面</t>
        </is>
      </c>
      <c r="H5160" t="n">
        <v>29</v>
      </c>
      <c r="I5160" t="inlineStr">
        <is>
          <t>こういう時には嘘をつく人生を建前とするのが文学のもとめる真実です。；殿試は皇帝自らが行う建前だが、実際には朝廷の大臣が試験官を務めた。；そういう建前で、光國が自分の妻とされた姫を見に行くことはなかった。；だが建前としてそうは思いつつも、ぼくには確信のようなものがあった。；先生はね、建前ばかり言っているどこかの政治家や教師たちとは違うの。；何か目的あってこの土地へ建前をするもののように見受けられました。；しかし、それだけでは、本人を拘留することはできないのが建前だった。；建前では、長距離を鉄道で旅行する乗客が宿泊するためのものであった。；政府が共産主義に建前上は反対しているので、男性は入隊の義務を持つ。；かういふ時には嘘をつく人生を建前とするのが文学のもとめる真実です。；そんな事を言ってはいるが、上条自身それが建前である事に気づいていた。；これは、公立図書館の無料利用の原則の建前への依存によるものである。；もちろん、身分は海軍の人間じゃなく、建前上メーカーの人間にしておく。；また、子供の保護を建前に、社会は男性を隔絶させ始めたと主張している。；帰化人を除く全ての朴氏は建前上は赫居世居西干の子孫であるとされる。；それは建前だと言う者もいるが、一応そういうとりきめになっている。；再建前の都市の南側の城壁は再建後の都市の北側の城壁として再建された。；建前からいえば、中佐であるかれがこの宇宙艦の指揮を執るはずだった。；建前ならぬ本音は、裏側に目を逸らしていたがゆえの本音だったのです。；ソビエト連邦は階級の存在しない社会であることが建前とされた。；建前上はこの国にはラブホテルはないことになっているが、実際にはある。；条約は建前では防御的だったが、イギリスは秘密条項の存在を疑った。；お互いに自分の建前に固執して二人三脚はうまくいきませんでした。；建前上は加入は任意であるが、多くの行政書士が会員になっている。；しかし、建前はどうあれ、実際にはリッキーは疲労困憊の状態にあった。；歴史学に就いて相互に相容れない建前があることを吾々はすでに見た。；喧嘩しなくてよいという建前であったが、喧嘩はそんなこととは別に起った。；自由と民主は建前だが、アメリカではこの建前は社会のなかで機能している。；建前上は特進クラス扱いであるため、学園内でも実態はほぼ知られていない。</t>
        </is>
      </c>
      <c r="J5160">
        <f>HYPERLINK("https://www.weblio.jp/content/建前", "词义详情")</f>
        <v/>
      </c>
      <c r="K5160">
        <f>HYPERLINK("https://yourei.jp/建前", "查看例句")</f>
        <v/>
      </c>
    </row>
    <row r="5161">
      <c r="A5161" t="inlineStr">
        <is>
          <t>奉る</t>
        </is>
      </c>
      <c r="B5161" t="inlineStr">
        <is>
          <t>成功</t>
        </is>
      </c>
      <c r="C5161" t="inlineStr">
        <is>
          <t>読み方：たいまつる
［動ラ四］「たてまつる」の音変化。
「かぢとりして幣(ぬさ)—・らするに」〈土佐〉</t>
        </is>
      </c>
      <c r="D5161" t="inlineStr">
        <is>
          <t>奉るべき；奉るべし；奉るべく；奉る御；奉る次第でござい</t>
        </is>
      </c>
      <c r="E5161" t="inlineStr">
        <is>
          <t>くれる；与える；上げる；提供する；送る</t>
        </is>
      </c>
      <c r="F5161" t="inlineStr">
        <is>
          <t>崇め奉る；仰ぎ奉る；ひ奉る；感謝し奉る；願い奉る</t>
        </is>
      </c>
      <c r="H5161" t="n">
        <v>29</v>
      </c>
      <c r="I5161" t="inlineStr">
        <is>
          <t>ゲームとは奉られている場所や伝承の内容など、設定が変更されている。；京都で最初の上書を奉ったとき、おれは黙って眺めていてくれと頼んだ。；切籠または奉燈と呼ばれる切子灯籠を使うことを特徴とするものである。；その歯は非常に価値のある骨でできており、彼はその幾らかを王に奉った。；それを聞いた奉太郎は「それを聞いて安心した」と心から伝えるのだった。；その彼を君などと奉っていちゃ、誰よりも彼にすまないかも知れない。；団長は奉曳車の直前、2本の綱の間で両手で綱を持っていることが多い。；樹の枝はみな生物のように垂れてその美しい果実を王子たちに奉った。；時によると不意に彼らを自分より上に奉ってしまうことさえあった。；そのためインドにあるヒンドゥー寺院でブラフマーを奉るものは少ない。；ちなみに三奉請では阿弥陀如来が最初に奉請されるよう修正されている。；これより天地剖判に至るまで数十代の神あり、之を天の世と称し奉る。；「天皇に帰一し奉る」というのが結論だが、それは何を意味するものだ。；それぞれ原因に思うところがあった奉太郎とえるはその答えを確かめ合う。；英雄とは逆位置にありながら、結果として英雄として奉られたモノたち。；同じく奉仏皇帝として知られる梁の武帝と対比的に語られることが多い。；なお劉敞の子の劉奉世が籤書枢密院事にまでのぼったのが最高位であった。；天皇の名には、天皇在世中の名である諱と、没後に奉られる諡とがある。；それは今日一日の内に、日本の侍が三四人、奉教人の列にはいったからだった。；これらのなかには「神孫だから現人神と称し奉る」とする例が複数存在した。；新羅の国王はこのことを聞き、大いに驚き慌てて優れた工匠を奉った。；この最も大いなる御竜体を、大国常立命と称へ奉ることを自分は知つた。；産養の三日の夜は父宮のお催しで、五日には右大将から産養を奉った。；昔、昔、ずっと昔に或る忠義な武士があって主君の非行を諫言し奉った。；彼は実際上わが君に娘を奉ったわけでもなし、お売り申したわけでもありませぬから。；私の半生の間には、至尊の御姿をはるかに拝し奉つたことは幾度かある。；その子の王奉世が父の爵位をつぐと、王政君は王奉世をとても哀れんだ。；無上皇は北斉の滅亡直前の混乱の中で後主に奉られた一例のみである。；すると皆はおれを崇め奉り、ウルのお言葉を聞かせてくれと懇願した。</t>
        </is>
      </c>
      <c r="J5161">
        <f>HYPERLINK("https://www.weblio.jp/content/奉る", "词义详情")</f>
        <v/>
      </c>
      <c r="K5161">
        <f>HYPERLINK("https://yourei.jp/奉る", "查看例句")</f>
        <v/>
      </c>
    </row>
    <row r="5162">
      <c r="A5162" t="inlineStr">
        <is>
          <t>建物</t>
        </is>
      </c>
      <c r="B5162" t="inlineStr">
        <is>
          <t>成功</t>
        </is>
      </c>
      <c r="C5162" t="inlineStr">
        <is>
          <t>読み方：たてもの
人が住んだり、物を入れたり、仕事をしたりするために建てたもの。建築物。</t>
        </is>
      </c>
      <c r="D5162" t="inlineStr">
        <is>
          <t>建物内；建物全体；建物群；建物自体；建物跡</t>
        </is>
      </c>
      <c r="E5162" t="inlineStr">
        <is>
          <t>システム；施設；ビル；建築；機構</t>
        </is>
      </c>
      <c r="F5162" t="inlineStr">
        <is>
          <t>古い建物；高い建物；新しい建物；小さな建物；土地建物</t>
        </is>
      </c>
      <c r="G5162" t="inlineStr">
        <is>
          <t>建物管理；建物解体；建物図面；建物の区分所有等に関する法律；建物コレクション</t>
        </is>
      </c>
      <c r="H5162" t="n">
        <v>29</v>
      </c>
      <c r="I5162" t="inlineStr">
        <is>
          <t>これは、都市内にあったどの教会よりも大きな建物であったためである。；これらの建物の屋根に見られる緑色は長期の化学反応によるものである。；駅舎は通路により周囲の建物に直結しており、直接道路には出られない。；建物の具体的な構造は不明だが、文献史料から伏見城の存在が知られる。；この博物館の建物は、かつてマンが過ごした別荘を利用したものである。；外部からの視線を防ぐため建物の構造的に女湯の配置を考慮する場合もある。；既存店が建物・駐車場の拡張のため同じ街道沿いの近隣地に移転することも多い。；建物の東側部分は、第二次世界大戦以前には木組みの上階を有していた。；これまでに、板状の木製品と木の柱を使った建物跡が見つかっている。；また、センター建物では、施設関係の事故などの展示を行っているという。；彼はさらにその製氷機を使って建物全体の温度を調節しようと考えた。；また、同じく建物にめり込んだ場合は建物の所有者が権利を主張できる。；フランクフルト市で最も古い建物であるユスティヌス教会はここにある。；最も古い建物は1607年、最も新しい建物は1903年に建造された。；建物を画一的にするために材料を統一するという意図がしばしば見られた。；開業当時からの駅舎で、マンサード屋根の洋風建築の建物になっている。；この建物は最終的には1938年末から1939年初めに取り壊された。；また多くの団地には敷地・建物内に管理事務所が設けられている。；乗客は建物から徒歩で飛行機に向かい、タラップを使って乗降していた。；なお、この建物横の旧改札口のあった場所は現在駐輪場となっている。；これらの建物は、前述の建築指示により軒高が揃うように建設されている。；屋根瓦の固定に使われている漆喰は、建物の装飾にも使用されている。；現在の大学本部は当時の大学の建物をそのまま用いている。；また、以前の調査で設置された建物の角を見つけたり再調査したりすることもある。；鎮火後の修理の間も、建物が閉鎖されることなく通常の業務が続けられていた。；この他に町の景観を形成する建物が16世紀と18世紀に建設された。；東京近郊の時計坂という町にある木造2階建ての建物で、本作の主な舞台。；これは、このメソジストの学校の庭にある小さな泥レンガの建物であった。；舞台は夏の午後のパフォーマンスで陰になるよう、建物の南東側にあった。</t>
        </is>
      </c>
      <c r="J5162">
        <f>HYPERLINK("https://www.weblio.jp/content/建物", "词义详情")</f>
        <v/>
      </c>
      <c r="K5162">
        <f>HYPERLINK("https://yourei.jp/建物", "查看例句")</f>
        <v/>
      </c>
    </row>
    <row r="5163">
      <c r="A5163" t="inlineStr">
        <is>
          <t>建てる</t>
        </is>
      </c>
      <c r="B5163" t="inlineStr">
        <is>
          <t>成功</t>
        </is>
      </c>
      <c r="C5163" t="inlineStr">
        <is>
          <t>読み方：たてる
［動タ下一］［文］た・つ［タ下二］《「立てる」と同語源》
１建物などをつくる。「ビルを—・てる」「記念碑を—・てる」
２新しい国や都市をつくる。「都を—・てる」</t>
        </is>
      </c>
      <c r="D5163" t="inlineStr">
        <is>
          <t>建てるべき；建てるべく；建てるよう命じ</t>
        </is>
      </c>
      <c r="E5163" t="inlineStr">
        <is>
          <t>建設；構成；建築；構築；建立</t>
        </is>
      </c>
      <c r="F5163" t="inlineStr">
        <is>
          <t>新しく建てる；なんか建てる</t>
        </is>
      </c>
      <c r="H5163" t="n">
        <v>29</v>
      </c>
      <c r="I5163" t="inlineStr">
        <is>
          <t>セット建て込みには美術スタッフだけではなく大工の手も借りたという。；東ローマ側は旧帝国領の各地に亡命政権を建てて抵抗することとなった。；隣にあるモダンなは第二次世界大戦以前にを収蔵した建物に建てられた。；セルビアの法律と文化はローマとビザンツの基礎の上に打ち建てられた。；佐渡国が建てられた時期は大化の改新以降とされるが正確な時期は不明。；エルミタージュは当時のフランス貴族が建てた個人的な離宮を意味した。；後に東金堂・西金堂が建てられてからは中金堂と呼ばれるようになった。；ただし、現在の建物の隣に将来売店を建てるスペースは用意されている。；財政難から、危機的な経営状況にあった同社の経営建て直しに奔走する。；この本は彼女の記念碑を建てるための資金を集めるのが目的で発行された。；戦後になって来訪の記念碑とトビーの墓が大湯間歇泉の脇に建てられた。；実際に建てられたものばかりでなく図面上の作品からもそれは明らかである。；碑の下からは何も出土しなかったが、佐々は碑を修繕して鞘堂を建てた。；義舎をどのあたりに建てればよいか、その場所を物色していたのである。；地形には高低差があるが斜面にも建物を問題なく建てることができる。；なにかしらの建造物を建てるには街ingポイントが必要になってくる。；大装飾画のために建てた高さ15メートルの巨大なアトリエであった。；マイケルはふたりのために妻と最初に出会った聖堂を模した墓を建てる。；この広い敷地に家を建てるという夫妻の夢は、叶うことなく放棄された。；現在は後者の指図が実際に建てられた天守を反映していると判断されている。；復興によってより改良された建物を建てるためには金融が必要であった。；道後湯岡碑についてはこれまで推古天皇四年に建てたものとされてきた。；また墓を建てても、子孫らがそれに継続的に参拝するとは限らない。；戦争やホロコーストによる死者のための記念碑も多く建てられている。；その工場を建てる場所のためにエレントンの住宅や企業が買収された。；彼は切石で家を建てることを発明し、書字を心に留めたと記録している。；ここ以外にも、リーガロイヤルホテルや大阪城などにも建てられている。；ショップ以外は同じものを複数のプレイヤーが建てることはできない。；この家は近くの土地に新しい家を建てるまでの短期的な位置付けにあった。</t>
        </is>
      </c>
      <c r="J5163">
        <f>HYPERLINK("https://www.weblio.jp/content/建てる", "词义详情")</f>
        <v/>
      </c>
      <c r="K5163">
        <f>HYPERLINK("https://yourei.jp/建てる", "查看例句")</f>
        <v/>
      </c>
    </row>
    <row r="5164">
      <c r="A5164" t="inlineStr">
        <is>
          <t>立てる</t>
        </is>
      </c>
      <c r="B5164" t="inlineStr">
        <is>
          <t>成功</t>
        </is>
      </c>
      <c r="C5164" t="inlineStr">
        <is>
          <t>読み方：たてる
［動タ下一］［文］た・つ［タ下二］
１ある場所にものを縦にして位置させる。
㋐起き立った状態にする。「書棚に本を—・てる」
㋑長いものを直立させて据える。「煙突を—・てる」「屏風(びょうぶ)を—・てる」
㋒とがったものを刺し込む。「猫がつめを—・てる」
㋓突き上がった形のものをつくる。「けばを—・てる」「角を—・てる」
２座ったり横になったりしているものを起こす。「片ひざを—・てる」「襟を—・てる」
３ある現象や作用を目立たせたり生じさせたりする。
㋐煙や蒸気などを立ちのぼらせる。「湯気を—・てる」
㋑風・波などを起こす。「白波を—・てて走る」
４人を差し向ける。出発させる。「使いを—・てる」
５表明した決意で身を律する。「誓いを—・てる」「願を—・てる」
６（「閉てる」とも書く）戸や障子をしめる。「ぴったり襖(ふすま)を—・てる」
７
㋐ある立場や状況に置く。「間に人を—・てて交渉する」
㋑重要な役目・地位につかせる。「証人に—・てる」「候補に—・てる」
㋒高位につかせる。「后に—・てる」
８度合いを強めて、明らかにする。
㋐はっきり耳目に認められるようにする。「足音を—・てる」
㋑世に知れ渡らせる。「浮き名を—・てる」
９事物や状態を新たにつくり仕立てる。
㋐物事を新たにつくり示す。「新記録を—・てる」「学説を—・てる」
㋑目標などを考え定める。「見通しを—・てる」「対策を—・てる」
㋒縦目の線をつくり示す。「髪に櫛目を—・てる」
10
㋐盛んに気泡を生じさせる。「泡を—・てる」
㋑湯などを沸かす。「風呂を—・てる」
㋒（「点てる」とも書く）抹茶に湯を注いでまぜ合わせる。「お薄を—・てる」
11感情を高ぶらせる。「腹を—・てる」
12注意を向ける。「聞き耳を—・てる」
13物事を好ましい形で成り立たせたり維持させたりする。
㋐目的にかなって使用価値のあるものとする。「役に—・てる」
㋑損なわずに保つ。「顔を—・てる」「暮らしを—・てる」
㋒世間に認められた存在とする。「文学で身を—・てる」
㋓すぐれたものとして尊重する。「年長者を—・てる」
㋔矛盾なく認められるようにする。道理・順序を正しくする。「筋道を—・てて話す」
14（「経てる」とも書く）時を経過させる。月日を過ごす。
「愛妻(つま)のことを思い悩んでわびしい月日を—・てて来た」〈近松秋江・青草〉
15進行をとめて、そのままの状態におく。
「もとの位置に馬車を—・てて待っていた」〈大仏・地霊〉
16鳥などを飛び立たせる。
「朝狩(あさがり)に五百(いほ)つ鳥—・て夕狩に千鳥踏み—・て」〈万・四〇一一〉
17動詞の連用形に付いて、物事を盛んに行う意を表す。「書き—・てる」「騒ぎ—・てる」
[下接句]青筋を立てる・頭から湯気を立てる・異を立てる・伺いを立てる・我(が)を立てる・顔を立てる・角(かど)を立てる・聞き耳を立てる・義理を立てる・煙を立てる・後家を立てる・志を立てる・情(じょう)を立てる・世間の口に戸は立てられぬ・茶を立てる・腹を立てる・人の口には戸が立てられない・人を立てる・身を立てる・操(みさお)を立てる・耳を立てる・目に角を立てる・目くじらを立てる</t>
        </is>
      </c>
      <c r="D5164" t="inlineStr">
        <is>
          <t>立てるべき；立てるような音；立てるべく；立てるよう請願；立てるよう求め</t>
        </is>
      </c>
      <c r="E5164" t="inlineStr">
        <is>
          <t>起こす；育成；挙げる；上る；育てる</t>
        </is>
      </c>
      <c r="F5164" t="inlineStr">
        <is>
          <t>囃し立てる；煽り立てる；誓いを立てる；わめき立てる；述べ立てる</t>
        </is>
      </c>
      <c r="H5164" t="n">
        <v>29</v>
      </c>
      <c r="I5164" t="inlineStr">
        <is>
          <t>これらの仕事でフックは科学で生計を立てることができるようになった。；例えばシロアリは独自のシロアリ目を立てるのが標準的な扱いであった。；なお、現在でも京都を中心に祭典時に鉾を立てる神社が幾つか存在する。；これはウォルトに経営面のサポート役を立てる事の必要性を痛感させた。；墓庭の入口よりのほうにヒンプンと呼ばれる石垣塀を立てる場合もある。；不適切であると運営側が判断したスレを立てるとポイントが減らされる。；コンピュータ同士の相互のやり取りを組織して系統立てることが重要である。；数え切れないほど多くの技があるが、系統立てると以下のようになる。；なぜなら、同じデータをもとにして他の理論を立てることができるからである。；向かって左側に剣を掛けたもの、右側に鏡と勾玉を掛けたものを立てる。；また、プレイヤーが独自の設定のアリーナを立てることも可能である。；しかし半年余りで銀行を辞め、音楽関係の仕事で生計を立てる決心をした。；そのため、詰将棋のように何手も先を見越した作戦を立てることができる。；高級住宅地となっており外観保護のため一軒家以外は立てることが出来ない。；三上はその会話に聞き耳を立てるものの、その内容を得るには至らない。；碁器の中の石をかき混ぜて音を立てる行為はマナー違反とされている。；その後男王を立てるが国中が服さず更に殺し合い1000余人が死んだ。；病死した後、諡号を立てるかどうか議論されたが結局立てられずに終わった。；小さいころは非常に親孝行で、人との間に角を立てるのが本当に嫌だったという。；また仲人を立てる場合であっても形だけの仲人を設定するケースが大半である。；「船の腹に寄せて梯子を立てろ」 役人は力を得た顔で兵らに命じた。；チャーチルは戦功を立てることはできなかったが、初めて戦死者を見た。；犬になった飼い主は犬になっても2本足で立てる他、人間の言葉を話せる。；地下に根が絡まりあった塊状の根茎を生じ、ここから地上に茎を立てる。；二人はまた目的を見つけ腕を上げる誓いを立てるのであった。；川路は「自分の劇団は誰もが舞台に立てる場所である」と語っている。；線香の供え方は立てるのが一般的だが浄土真宗系では火をつけて寝かせる。；田中を立花家に迎え入れ、彼らはなんとか元に戻るよう計画を立てる。；彼らは木工の技法で石を立てる知識を持っていたのも難しいことではなかっただろう。</t>
        </is>
      </c>
      <c r="J5164">
        <f>HYPERLINK("https://www.weblio.jp/content/立てる", "词义详情")</f>
        <v/>
      </c>
      <c r="K5164">
        <f>HYPERLINK("https://yourei.jp/立てる", "查看例句")</f>
        <v/>
      </c>
    </row>
    <row r="5165">
      <c r="A5165" t="inlineStr">
        <is>
          <t>妥当</t>
        </is>
      </c>
      <c r="B5165" t="inlineStr">
        <is>
          <t>成功</t>
        </is>
      </c>
      <c r="C5165" t="inlineStr">
        <is>
          <t>読み方：だとう
［名・形動］(スル)実情によくあてはまっていること。適切であること。また、そのさま。「—な方法をとる」「現実社会に—する政策」
[用法]妥当・穏当——「妥当（穏当）な結果」「そう考えるのが妥当（穏当）なところだ」など、無理がなく適切であるの意では、相通じて用いられる。◇「妥当」は適切でぴったり当てはまっているようす。「妥当な結論」「妥当とはいえない」◇「穏当」は、まあまあで無理のないようす。「穏当な処置」「穏当な解決」◇「君が議長になるのが妥当な線だが、今回は彼に譲るのが穏当なところだろう」のように、「妥当」は積極的、「穏当」は消極的な評価を表すのに用いられる。◇類似の語に「順当」がある。「順当」は、そのような結果になるのが当然である意が強い。「優勝候補の順当な勝利」「順当にいけば、次期社長は私だ」などには、「妥当」「穏当」は用いない。</t>
        </is>
      </c>
      <c r="D5165" t="inlineStr">
        <is>
          <t>妥当である(15%)；妥当なもの(4%)；妥当であろ(3%)；妥当性；妥当なところ</t>
        </is>
      </c>
      <c r="E5165" t="inlineStr">
        <is>
          <t>いい；よい；もっとも；良い；正確</t>
        </is>
      </c>
      <c r="F5165" t="inlineStr">
        <is>
          <t>存在妥当；一番妥当；いちばん妥当；妥当な論理式；妥当な論証</t>
        </is>
      </c>
      <c r="H5165" t="n">
        <v>29</v>
      </c>
      <c r="I5165" t="inlineStr">
        <is>
          <t>女性が妥当な教育を受け、男性と同等な立場で労働する社会を描写した。；この後は一向一揆勢力の支配下に置かれていたと見るのが妥当であろう。；隠された状態での携行はその妥当性について様々な見解が存在している。；今日では医学的に妥当な行為ではなく、危険でありうると考えられている。；しかしながら、現在ではこうした批判は必ずしも妥当ではないようである。；ヘリックスおよびシート配座は全て妥当な長さを持つことを必要とする。；また、校則を生徒自身が妥当であるかを考えるイベントなど開かれている。；これによりMMUは当該ページへのアクセスが妥当であるかを判断する。；新人の失敗というストーリーは放送のための演出と考えるのが妥当である。；その意見が妥当と認められた場合には、意見が提言に反映される場合がある。；同様に防空任務のため地上と連携される類似部隊は空軍所属が妥当とされた。；これには生母の身分が大きく関与していると見るのが妥当である。；妖怪というよりは一種の病であったり、戒めであると言った方が妥当。；緩やかな審査基準が妥当する場合で、消極目的規制の場合に適用される。；空力的にみて妥当な改設計はこの戦闘機が持つ本来の力を引き出した。；この論証に暗黙の前提を明示することで妥当な論証にすることができる。；禅宗様の建築であることから、技巧的な遊びと考えた方が妥当と思われる。；また晩秋の新雪期には登山経験のない人は訪問を見合わせることが妥当。；この2文を合わせて票決したこと自体が妥当であったのか疑問視する声もある。；ローゼフィールドは現在の資料からは160万人が妥当な推計値とする。；料理は高価であるが、パフォーマンスを含めた金額とすれば妥当である。；これらのうちどれかから得られた知識は妥当であるか妥当でないかのいずれかである。；明確な言葉は、その言葉の使用が妥当かどうかを他人が納得できる機構を持っている。；症例数の圧倒的な多さからみてこれがもっとも妥当な数値であろう。；五十四条第一項の三十日以内に召集というのは長く二十日程度が妥当である。；功利制度を導入することで行為の具体化、妥当な義務の選択が可能となる。；以下は、公称以外の名称をページ名とすることが妥当と思われるものの例です。；これは通信において重要な概念であり、妥当な通信量を決定するのに使われる。；これは当時の日本の状況を考えると妥当な選択であった。</t>
        </is>
      </c>
      <c r="J5165">
        <f>HYPERLINK("https://www.weblio.jp/content/妥当", "词义详情")</f>
        <v/>
      </c>
      <c r="K5165">
        <f>HYPERLINK("https://yourei.jp/妥当", "查看例句")</f>
        <v/>
      </c>
    </row>
    <row r="5166">
      <c r="A5166" t="inlineStr">
        <is>
          <t>たとえ</t>
        </is>
      </c>
      <c r="B5166" t="inlineStr">
        <is>
          <t>成功</t>
        </is>
      </c>
      <c r="C5166" t="inlineStr">
        <is>
          <t>読み方：たとえ
［副］《「たとい」の音変化か》「たとい（仮令）1」に同じ。「—親友でも許せない」「—むだになってもやってみよう」</t>
        </is>
      </c>
      <c r="D5166" t="inlineStr">
        <is>
          <t>たとえどんなに；たとえどのよう；たとえわずか；たとえ死ん；たとえ殺さ</t>
        </is>
      </c>
      <c r="E5166" t="inlineStr">
        <is>
          <t>形容；擬人化；比喩</t>
        </is>
      </c>
      <c r="F5166" t="inlineStr">
        <is>
          <t>たとえどの；たとえ鋳銭；たとえ百万；たとえ運よく；たとえ千年</t>
        </is>
      </c>
      <c r="G5166" t="inlineStr">
        <is>
          <t>たとえる；たとえ話；たとえれ；たとえよ；たとえん</t>
        </is>
      </c>
      <c r="H5166" t="n">
        <v>29</v>
      </c>
      <c r="I5166" t="inlineStr">
        <is>
          <t>陥落した者を含む幕下以下には、たとえ持っていても使用は許されない。；それがたとえ恥と思い思われるようなことであっても、というのである。；このことは科学のエネルギー保存の法則にたとえて説明される場合がある。；そのため、たとえアメリカに移籍しても浅田は出場権を得られなかった。；たとえ所属ウンディーネが1名であっても、必ず会社組織になっている。；この範囲外ではたとえ接近していてもハウンド同士の通信は不可能。；映像美は、フランスのクロード・ルルーシュにたとえられることもある。；たとえ同じ行為であっても、その文化内で行われた場合は非難することが多い。；自分の意見は、たとえそれが上司であっても大声で直言したと伝えられる。；恋愛感情や怒りのような高ぶる感情はしばしば火や炎にたとえられる。；また、たとえ運賃をとらなくても観光案内を兼ねた輸送は禁じられている。；このため、たとえ撃破されてもユニットやパイロットが失われることは無い。；アメリカ大陸に渡った清教徒たちは古代イスラエル人に自らをたとえた。；ある概念をよく似た他の概念にたとえて理解すること。；男だろうが女だろうがたとえ子供であろうともだ。；たとえ、サッカーの大会中であってもラマダーンに従うと語っている。；たとえ正解が出なくても、一定時間を過ぎたら正解を発表していた。；私ならたとえ犯罪者ヒムラーであろうと敵に売り渡そうとは思わない。；この頃のアッシュルはたとえ繁栄していたとは言えなくても安定を保っていた。；たとえ玉将が取られても王子が存在する場合は王子が取られるまで試合を続行する。；たとえこれによって降伏を要請する声が出てくるようになっても、これは拒否される。；地下家の廷臣はたとえ三位に昇っても昇殿は許されないようになった。；たとえ彼らがそこにいなくても、彼らが話しているのをあなたは耳にすることができると私は信じます。；中心の空港に航空路が集中する形状をこれにたとえている。；そのためには、たとえ相手がローマ教皇であろうと戦うことをためらわない。；また、たとえ勢力が違っていても同一人物の武将は同一デッキに投入できない。；たとえあなたが、私のように、詩を一行も書いたことがなくてもだ。；たとえ我が朝廷でなくとも、人の国であることに変わりがない。；このため、南部の諸都市はたとえ条件が良い地域に位置していてもゆっくりとした成長が続くことになった。</t>
        </is>
      </c>
      <c r="J5166">
        <f>HYPERLINK("https://www.weblio.jp/content/たとえ", "词义详情")</f>
        <v/>
      </c>
      <c r="K5166">
        <f>HYPERLINK("https://yourei.jp/たとえ", "查看例句")</f>
        <v/>
      </c>
    </row>
    <row r="5167">
      <c r="A5167" t="inlineStr">
        <is>
          <t>たとえば</t>
        </is>
      </c>
      <c r="B5167" t="inlineStr">
        <is>
          <t>成功</t>
        </is>
      </c>
      <c r="C5167" t="inlineStr">
        <is>
          <t>読み方：たとえば
［副］
１前に述べた事柄に対して具体的な例をあげて説明するときに用いる語。例をあげていえば。「球技、—野球やテニスが好きだ」
２多く「ようだ」「ごとし」を伴って、ある事柄を他の事にたとえるときに用いる語。あたかも。「君の勉強は、—春の雪のようで、一向に結果が積み重ならない」
３ある場合を仮定するときに用いる語。もしも。仮に。「—ここが外国なら」「これは—の話だがね」
４てっとり早く言うと。端的に言えば。
「—日本国二人の将軍と言はればや」〈平家・六〉</t>
        </is>
      </c>
      <c r="D5167" t="inlineStr">
        <is>
          <t>たとえば次；たとえばこんな；たとえばここに；たとえば我々；たとえば英語</t>
        </is>
      </c>
      <c r="E5167" t="inlineStr">
        <is>
          <t>例えば</t>
        </is>
      </c>
      <c r="F5167" t="inlineStr">
        <is>
          <t>たとえばこんなふう；たとえばこんなふうに；たとえば脊椎動物；たとえばのび太；たとえばここに一</t>
        </is>
      </c>
      <c r="G5167" t="inlineStr">
        <is>
          <t>たとえば野に咲く花のように；たとえば唄えなくなったら</t>
        </is>
      </c>
      <c r="H5167" t="n">
        <v>29</v>
      </c>
      <c r="I5167" t="inlineStr">
        <is>
          <t>たとえばイチョウから精子が発見されたのはその代表的なものであろう。；分類方法はさまざまであるが、たとえば以下のように分類する方法がある。；たとえばドイツで印刷されたものにはXの文字が記載されていた。；理解の便に該当箇所を挙げると、たとえば以下のような点である。；たとえばイギリスや日本は首都の地位を明示する法が存在しない。；たとえばコーヒーの香りからは500種の物質が数えられている。；たとえば学校の建物でのかくれんぼは公園の同じゲームと異なる。；これに従い、たとえば東京都では次のように認定要件を分類している。；たとえば、国内外の図書館で、日本語の書籍名を登録する際に用いられる。；たとえばフェルミ気体中の電子の運動エネルギーは以下のように得られる。；この結果、たとえば単純なボールの投げ上げ運動でも、その軌道は複雑になる。；たとえばカイメンなどは、植物と動物の中間的な生物と考えられた。；たとえば異なる天体の表面重力を比較する際には注意が必要である。；パイプライン輸送用の橋もあり、たとえば石油パイプラインの橋がある。；たとえばリュートやウードにでは一面は平面であるが他面は半球である。；バイエルは混乱を防ぐため、たとえばローマ文字のa星を作らなかった。；たとえばキャンディランドは作成される決定の要素を事実上全く持っていない。；たとえば敷物の上に箱を置き、敷物を急に引っ張ってみれば明らかである。；たとえば時間は基準となる時刻からの経過を表す一つの実数によって指定される。；たとえば、ダイヤモンドの針のかわりに大理石の柱が立っているなどである。；冒頭で挙げた定義文以外に、自転車の定義には、たとえば次のようなものがある。；たとえば聖十字架とされる物質は早い時期から各地の教会で崇敬の対象となっていた。；たとえば一般に、主人公の死など哀しい物語が展開される作品は悲劇とされる。；たとえば、宿主細胞のを抑制することでHIVの侵入を防ぐことができる。；たとえば、わずかフランス一国だけを見ても中世に造られた橋は約七百基ほどが知られている。；たとえば、日本の場合は2014年に遡及的な言明がすべて完了している。；たとえばアメリカでエボラ出血熱の感染が確認された際にもこの方法が採用されている。；たとえば、かつお節ひとつをとりあげても、関西と関東では違っている。；腹足類にも遊泳性のものがあり、たとえば翼足類は翼状に発達した足を持つ。</t>
        </is>
      </c>
      <c r="J5167">
        <f>HYPERLINK("https://www.weblio.jp/content/たとえば", "词义详情")</f>
        <v/>
      </c>
      <c r="K5167">
        <f>HYPERLINK("https://yourei.jp/たとえば", "查看例句")</f>
        <v/>
      </c>
    </row>
    <row r="5168">
      <c r="A5168" t="inlineStr">
        <is>
          <t>例える</t>
        </is>
      </c>
      <c r="B5168" t="inlineStr">
        <is>
          <t>成功</t>
        </is>
      </c>
      <c r="C5168" t="inlineStr">
        <is>
          <t>読み方：たとえる
［動ア下一］［文］たと・ふ［ハ下二］わかりやすく説明するために、ある物事を引き合いに出していう。なぞらえる。「人生を旅に—・える」「—・えようもない美しさ」</t>
        </is>
      </c>
      <c r="D5168" t="inlineStr">
        <is>
          <t>例えるなら(44%)</t>
        </is>
      </c>
      <c r="E5168" t="inlineStr">
        <is>
          <t>もし；もしも；仮に；万一；もしか</t>
        </is>
      </c>
      <c r="H5168" t="n">
        <v>29</v>
      </c>
      <c r="I5168" t="inlineStr">
        <is>
          <t>例え、土管などの中に隠れても帽子自身が向きを変えて端から水を出す。；その説明できない音は、当時猫が椅子を引っかいている音に例えられた。；彼女はこの状況を道路上の交差点の例えを用いて説明したのである。；これは、錠前が特定の形状の鍵のみしか受け入れないことに例えられる。；このシリーズの一巻で例えると、一巻の総ページ数は二百四十ページ。；また、この攻撃方法はサッカーなどのスポーツ競技などにも例えられる。；例えるのなら、脳のほうから眼球の方向に闇が押し出されるような感覚。；その動きは激流のように例えられ、文書では語り尽くせないものである。；これを、一度放ってしまえば戻ってくることはない矢で例えたものである。；脂汗に濡れたその表情は、例えるなら泣き笑いをしているように見えた。；今の状態を例えると、君は空を覆う黒い雲みたいなものだと思ってる。；前者は太陽であり、後者はその熱と光を受ける月に例えられている。；例えどのような形の、誰に渡すパスであろうと常に攻撃の起点となった。；特に浮上中に息を止めることは例え一瞬であっても非常に危険である。；帰国するとナポレオンをネロに例えた批判を書き、パリから追放される。；断面は、鍵穴と例えられる事もあるが、この説明は適切でないとされる。；現在では大多数の市民が台北人を例える意味でこの言葉を用いている。；つまり、強大な権力をもってしても制御できないものと例えられたのである。；わずかではあっても、欠かせないもの、おろそかに出来ないものの例え。；「患者さんが歩くまでは麻酔管理の責任は終わらない」とも例えられる。；例え職歴が十分であっても、それ以外の者が使用する事は違法である。；人間を人間でないものに例えた毒のある似顔絵を描くようになる。；これは、テントを安定した構造にするための強力な心棒に例えられている。；ストルパーシュタインプロジェクトの名はいくつかの例えを連想させる。；男をチンピラと例えるなら、この入ってきた男は明らかに本職に違いない。；例え欧米系白人の血の方が濃くても黒人に分類されるという考えである。；名前は大きなひれでゆったりと泳ぐさまが天使に例えられたものである。；例え絶海の孤島に置き去りにされても、海底を何ヶ月かけて歩いて渡る。；そのさまを、船を漕ぐようと例えるのは、なるほど言い得ているなと思った。</t>
        </is>
      </c>
      <c r="J5168">
        <f>HYPERLINK("https://www.weblio.jp/content/例える", "词义详情")</f>
        <v/>
      </c>
      <c r="K5168">
        <f>HYPERLINK("https://yourei.jp/例える", "查看例句")</f>
        <v/>
      </c>
    </row>
    <row r="5169">
      <c r="A5169" t="inlineStr">
        <is>
          <t>辿り着く</t>
        </is>
      </c>
      <c r="B5169" t="inlineStr">
        <is>
          <t>成功</t>
        </is>
      </c>
      <c r="C5169" t="inlineStr">
        <is>
          <t>読み方：たどりつく
［動カ五（四）］尋ね求めながら、やっと目的地に行き着く。また、苦労のすえに、やっと行き着く。「ようやく山頂に—・く」</t>
        </is>
      </c>
      <c r="D5169" t="inlineStr">
        <is>
          <t>辿り着く前(4%)</t>
        </is>
      </c>
      <c r="E5169" t="inlineStr">
        <is>
          <t>至る；出会う；到着する；到達する；たどり着く</t>
        </is>
      </c>
      <c r="F5169" t="inlineStr">
        <is>
          <t>ここまで辿り着く；ここへ辿り着く；そこまで辿り着く；部屋へ辿り着く；場所へ辿り着く</t>
        </is>
      </c>
      <c r="H5169" t="n">
        <v>29</v>
      </c>
      <c r="I5169" t="inlineStr">
        <is>
          <t>そこに辿り着くためには長く困難な旅行を覚悟しなければならなかった。；私が辿り着くべき本当の世界の前には、この世界など欠陥品でしかない。；空に登っていくような坂道を走って、いつもより早く校舎へと辿り着く。；ほとんど人気のない下駄箱や廊下を通り、辿り着く先にある静かな空間。；彼がここまで辿り着くまでに潜り抜けて来た地獄を如実に物語っていた。；誰かが助けてくれなければ、私はそこへ辿り着くことが出来なかった。；そこには恐ろしく旧式な汽車が私たちが辿り着くのを待っていてくれた。；これを突破しない限り、アシズの元に辿り着くのが不可能であることも。；いくら努力してもフランスの域に辿り着くのは無理ではないのか。；どうにか倒した二人はティディルでライと合流し謎の建造物へ辿り着く。；耿介の才能なら必ずアルバムとリストの写真を見較べて真相に辿り着く。；なんとかドアに辿り着き、ノックをすると中から一人の男が姿を現した。；実験区へと入り、目的の場所に辿り着くとニルフィリアは車を降りた。；美琴は玄関ホールに辿り着くと、そのまま玄関の大きな扉を開け放った。；本来なら、これだけでは、その場所に辿り着くことは不可能でしょう。；普通職の警察官なら五十近くになってやっと辿り着く最終コースだ。；その時になれば練武館へ辿り着くまでナルキと二人だけになってしまう。；ドアへ辿り着く寸前の一郎へ飛びかかると、二人は一緒に床へ転がった。；いったい何周したのか解らなくなってきた頃、ようやく地上階へと辿り着く。；その腕に抱かれたリーリンに辿り着くには、どれだけの距離が必要なのか?；奉納所へ辿り着くと、先ほどの娘が、本格的に怒った様子で睨んできた。；でももちろん、そのうちのいくらかはちゃんと海に辿り着くだろう。；だが、小鳥は一瞬でこちらの肩に辿り着き、足の爪を黒の布地に立てた。；もしかしたらどの道を選んでも同じ未来に辿り着くのかもしれない。；S当番が辿り着こうとしている結論が何なのか、薄々わかり始めたのだ。；幸い十五分程歩いてデパートに辿り着くまで大きな障害はなかった。；この条件ではメキシコに辿り着く前に2度目の燃料補給が必要になる。；こんなに近くに居ながら、辿り着くことができすにくすぶってた毎日。；旅の先々での人々との出会い、別れを経て辿り着くのは世界の真実。</t>
        </is>
      </c>
      <c r="J5169">
        <f>HYPERLINK("https://www.weblio.jp/content/辿り着く", "词义详情")</f>
        <v/>
      </c>
      <c r="K5169">
        <f>HYPERLINK("https://yourei.jp/辿り着く", "查看例句")</f>
        <v/>
      </c>
    </row>
    <row r="5170">
      <c r="A5170" t="inlineStr">
        <is>
          <t>辿る</t>
        </is>
      </c>
      <c r="B5170" t="inlineStr">
        <is>
          <t>成功</t>
        </is>
      </c>
      <c r="C5170" t="inlineStr">
        <is>
          <t>読み方：たどる
［動ラ五（四）］
１道筋に沿ってめざす方向へ進む。「家路を—・る」
２歩きにくい道や知らない道を確かめながら苦労して行く。迷いながら手探りで進む。「山道を歩一歩と—・る」「いばらの道を—・る」
３筋道を追ったり、手がかりを頼ったりして探し求めていく。次から次へと尋ね求める。「話の筋を—・る」「記憶を—・る」「伝(つて)を—・る」
４事態がしだいにある方向へ進んでいく。「破滅の一途を—・る」「話が平行線を—・る」
５あれこれ物事を考え迷う。
「しばしは夢かとのみ—・られしを」〈源・桐壺〉
[可能]たどれる</t>
        </is>
      </c>
      <c r="D5170" t="inlineStr">
        <is>
          <t>辿るべき；辿るべく</t>
        </is>
      </c>
      <c r="E5170" t="inlineStr">
        <is>
          <t>追う；追いかける；引き返す；追跡する；尾行する</t>
        </is>
      </c>
      <c r="H5170" t="n">
        <v>29</v>
      </c>
      <c r="I5170" t="inlineStr">
        <is>
          <t>こんな人生を辿るなら生まれてこなければよかったとは、思っていない。；小屋から前と同じ様にして河床を辿ること約一時間の後に河が二分する。；筋を辿る爲めにあの小説を書いている中里介山君ではないのだろうから。；これが年代を辿ることのできる最も新しいソラージュ作品となっている。；特殊な存在でなければ、その道すら辿れないなどとは言っていなかった。；この草の間を通って海に下りる崖を辿ろうとしているかのようである。；当日の曽我も、今の加藤と同じルートを辿るつもりだったと推定できる。；どちらの運命を辿るにしても、明るい未来像とはとても言えないだろう。；西洋の方は順当な方向を辿って今日に到達したが、東洋はそうではない。；かれらと地球は生きていないと主張する人々との議論は常に平行線を辿る。；この言葉の由来は以下の複雑な経緯を辿ったものと考えられている。；歌詞は非常に政治的で、アルバムを逆順に辿るとストーリーが完成する。；そしてふたりは、自分たちが残した靴の跡を辿るようにして歩きはじめた。；「日記」の中には彼等がどういふ運命を辿るのか、すべて予測してある。；新しく始まった彼の人生、そして彼の物語は一体どんな道を辿るのか。；その後数十年から数百年の間宇宙を放浪して地球に辿り着いたようである。；こうした兆候を辿ることがシステム論的記述の重要な課題になるだろう。；中には二度三度主を替えて、まだ系統の辿られるものさえあるのである。；・祭祀遺跡や信仰物が残されていて、神信仰の変遷を辿ることができる。；この変化が行われる過程を辿ることはおそらく極めて困難であろう。；多くの川が伏流を繰り返していて、誰もその川筋を辿れないからである。；昔の中国人は徐福が台湾か日本に辿り着いたのではないかと推測した。；かくも恐ろしい道を辿って、一頭また一頭と馬の群れが行進してきた。；基地から南とはつまり、ディー達が進んできた方向を逆に辿ることになる。；また、「自分も父と同じく廃業の道を辿る事になった」と述べたという。；それほど出来のよくない作品は、そういう作品がいつも辿る道を通る。；この方向を辿る時、小説はおのずから解体され、その様式は破壊される。；どうにか倒した二人はティディルでライと合流し謎の建造物へ辿り着く。；しかし成皋の地に辿り着いたところで、何進が暗殺されたことを知った。</t>
        </is>
      </c>
      <c r="J5170">
        <f>HYPERLINK("https://www.weblio.jp/content/辿る", "词义详情")</f>
        <v/>
      </c>
      <c r="K5170">
        <f>HYPERLINK("https://yourei.jp/辿る", "查看例句")</f>
        <v/>
      </c>
    </row>
    <row r="5171">
      <c r="A5171" t="inlineStr">
        <is>
          <t>棚</t>
        </is>
      </c>
      <c r="B5171" t="inlineStr">
        <is>
          <t>成功</t>
        </is>
      </c>
      <c r="C5171" t="inlineStr">
        <is>
          <t>読み方：たな
１《「見せ棚」の略》商店で、商品を陳列しておく場所。みせ。
２奉公先の商店。また、職人の出入り先の商店。→御店(おたな)
３貸家。借家。
「末造の気に入った—が二軒あった」〈鴎外・雁〉</t>
        </is>
      </c>
      <c r="D5171" t="inlineStr">
        <is>
          <t>棚板；棚状；棚畑；棚曳い；棚段</t>
        </is>
      </c>
      <c r="F5171" t="inlineStr">
        <is>
          <t>荷棚；炉棚；葡萄棚；酒棚；薬品棚</t>
        </is>
      </c>
      <c r="G5171" t="inlineStr">
        <is>
          <t>棚田；棚橋；棚倉；棚氷；棚尾</t>
        </is>
      </c>
      <c r="H5171" t="n">
        <v>29</v>
      </c>
      <c r="I5171" t="inlineStr">
        <is>
          <t>天井の形状や、荷棚形状に多少の差異はあっても基本的には同じである。；窓のない部分には棚やフックなどを設けて救援用の資材を搭載している。；他の学習机にもあるが、この机の大きな特徴は、前棚がないことである。；車内天井部にはつり革を設け、客用扉間の側窓上部には荷棚を設置した。；荷棚の形状も一次車・二次車・三次車以降でそれぞれ異なっている。；フィールドの奥側には景品をディスプレイできる棚が新たに装備された。；また枝肉輸送以外にも使用出来るよう室内には2段の棚も準備された。；ただし店舗や市場では、オレンジが非冷凍の棚に陳列されることになる。；コルメラの功績は、ブドウ樹の棚仕立てを提唱した最初の一人であった。；当初は出土した遺跡の名前にちなんで『棚畑姫』と呼ばれたこともあった。；花がすこし、それから死人の名前を薄い板に書いたものも棚にのっている。；これは、板や棚の端などの平面上の正確な直線を照らすことができる。；また自然分布以外では、日よけ棚などに庭に植えられることもある。；クレべリンは、ピアノから離れた棚の上などに設置するのがよいでしょう。；袖仕切りは01系に準じた仕切りと荷棚の端が一体になったものである。；彼らは氷棚の上で海面を見つめて長時間じっとしていることがある。；この爆発により岩棚の拠点にいたイタリア軍兵士のほとんどが犠牲になった。；粗留塔の内部には数十段の棚があり、棚には無数の穴があいている。；真空チャンバーは対象物を複数載せられるように棚がある場合が多い。；震度4で食器同士が音を立て、5強で棚の中のものが落ちるとされている。；またこの過程において、一旦ワインを棚に収納することも可能なのである。；そのため、書店でも雑誌棚ではなくスポーツ書籍の棚に置いてあることが多い。；上記のように自分の事を棚に上げ、相手側に責任を負わせる1面も見られる。；完全に徘徊性の種でも幼生は棚網を張ることもこれを裏付けると取れる。；その日の午後、自宅を整理していたバフィーは棚の奥に猫の死骸を発見する。；下駄箱には棚だけのもののほか釣戸あるいは引戸を設けたものもある。；単独性で、日中は動かずに洞窟内や岩棚の影に尾を巻いて横たわっている。；その歯列を調査した結果、大臼歯は頬側に棚状部をもつことが判明している。；休息場所は岩棚の下や岩の隙間で、毎日特定の場所に戻ってくる。</t>
        </is>
      </c>
      <c r="J5171">
        <f>HYPERLINK("https://www.weblio.jp/content/棚", "词义详情")</f>
        <v/>
      </c>
      <c r="K5171">
        <f>HYPERLINK("https://yourei.jp/棚", "查看例句")</f>
        <v/>
      </c>
    </row>
    <row r="5172">
      <c r="A5172" t="inlineStr">
        <is>
          <t>棚上げ</t>
        </is>
      </c>
      <c r="B5172" t="inlineStr">
        <is>
          <t>成功</t>
        </is>
      </c>
      <c r="C5172" t="inlineStr">
        <is>
          <t>読み方：たなあげ
［名］(スル)
１需給の調節などのため、一時商品を市場へ出さないこと。「—株」
２問題を一時的に未処理・未解決のままにしておくこと。「法案を—する」</t>
        </is>
      </c>
      <c r="D5172" t="inlineStr">
        <is>
          <t>棚上げする(7%)；棚上げ状態(4%)；棚上げされる(2%)；棚上げ先送り；棚上げ機関</t>
        </is>
      </c>
      <c r="E5172" t="inlineStr">
        <is>
          <t>中断；休止；保留；未定；休眠</t>
        </is>
      </c>
      <c r="F5172" t="inlineStr">
        <is>
          <t>まま棚上げ；事実上棚上げ；金利棚上げ；全て棚上げ；結局棚上げ</t>
        </is>
      </c>
      <c r="H5172" t="n">
        <v>29</v>
      </c>
      <c r="I5172" t="inlineStr">
        <is>
          <t>花のことは花のことで、ちょっと棚あげにしておいて、先を聞きたいな。；イギリスは遠征を計画したが、スペインが反対したため一旦棚上げされた。；そのための手段は修正案提出権と、法案を拒否し棚上げする権利である。；次官時代に10年以上も棚上げになっていた整備新幹線を軌道に乗せた。；この時点でレコードに絵を入れる夢を一時棚上げしたのである。；その重苦しいものを棚上げにして、畳の面積を全部露出させたいと思った。；最終回では全ての問題が解決することなく棚上げになったまま終了となっている。；将軍は協和契約を棚上げし、非常統治権を発動しなくてはならないだろう。；かれらはすべての議題を棚上げにして、二週間ぶっ続けの会議を開いた。；合併の方針も棚上げされている状態となってしまっていた。；建設は1960年代初頭に始まったが、1961年から棚上げになった。；「棚上げにする」という言葉さえもわからないのだから困ったものである。；そこで総裁候補を事実上棚上げした形で合流に踏み切る方向が模索された。；南進政策を棚上げしても、ソ連攻撃を考慮してもいいという点だった。；その一点だけでも、何もかも棚上げにして共闘する以外にないはずだ。；いつかは刑務所いきだとのおそれが、こうして完全に棚あげされた。；そのために、赦しがたいレイプ事件そのものが棚上げにされてるんですよ。；これだけ肉薄してるとなれば、この際どんな対立も棚上げにしようとするだろう。；試験中に技術的な問題が多く表面化したため、1966年頃には設計が棚上げされた。；田代ははじめその言葉を聞いたとき、自分のことは棚上げして、と思っていた。；これは棚上げにしていいようなことではないはずだ。；現在は計画が棚上げされており、事実上の凍結状態になっている。；彼の心理はそこからまともな人間がうけとるべきすべてを棚上げにしていた。；その後ルソンと台湾のどちらに進攻するかは棚上げされたため未定であった。；なんとかしたほうがいいと、己を棚上げにしてそう思った。；この決定は開発が棚上げされている同地を両国の水資源大臣が訪れて行われた。；二個目の月の問題はとりあえず棚上げしておくことにした。；脚本は1964年の時点で存在したが、プロジェクトは複雑化し結局棚上げされた。；しかし翌7月13日にが発生し、王国建設の計画は棚上げされた。</t>
        </is>
      </c>
      <c r="J5172">
        <f>HYPERLINK("https://www.weblio.jp/content/棚上げ", "词义详情")</f>
        <v/>
      </c>
      <c r="K5172">
        <f>HYPERLINK("https://yourei.jp/棚上げ", "查看例句")</f>
        <v/>
      </c>
    </row>
    <row r="5173">
      <c r="A5173" t="inlineStr">
        <is>
          <t>棚卸し</t>
        </is>
      </c>
      <c r="B5173" t="inlineStr">
        <is>
          <t>成功</t>
        </is>
      </c>
      <c r="C5173" t="inlineStr">
        <is>
          <t>読み方：たなおろし
［名］(スル)
１決算などの際に、商品・製品・原材料などの在庫を調査して数量を確かめること。資産評価を含めていう場合もある。「年度末に—する」《季新年》「物陰に笑ふ鼠や—／一茶」
２人や物の欠点を一つ一つ数えあげて、言い立てること。「客の—をする」</t>
        </is>
      </c>
      <c r="D5173" t="inlineStr">
        <is>
          <t>目録；インベントリ；棚卸；インベントリー</t>
        </is>
      </c>
      <c r="H5173" t="n">
        <v>29</v>
      </c>
      <c r="I5173" t="inlineStr">
        <is>
          <t>主にPOSシステムや、棚卸しの必要なシステムなどに用いられている。；これではまるで妻の棚卸しをやっているようなものであった。；おまえそれだけ人の棚卸しをやっておいて、自分にだけは手をつけないつもりか?；わしがこう君の欲望を棚卸ししてみたのも、一つ問題を提出してみたいからなんだ。；銀座店での棚卸し作業が完了したのが夜の九時で、そのままみんなで飲み会へ流れた。；例えば品名や品番をパンチしておき、棚卸し作業で在庫数をマークする。；蛇が来てから二週間が過ぎ、カナカナ堂は棚卸しの時期になった。；戦闘用ではないせいだ、と思うより早く、店の棚卸し用に広げられた段ボールの山に尻から激突した。；こんな大道の真中で、他人の所の内の棚卸しまで止めて貰はふかい。；棚卸しは半分まで終わり続きは明日ということになったので、私はおやつの茶菓子を買いに外に出た。；私は棚卸しの後始末をしたりニシ子さんに教えてもらっている帳簿のつけかたを古い帳簿で復習してみたりして過ごした。；自身の感情を棚卸し、根本的な問題や解決策へとアプローチできるスタンダードな方法である。；ちょっと棚卸しをするべき時だった。；商売にて言えば棚卸しの総勘定のごときものこれなり。；どの男もどの男も女に対しては悉皆共通の弱味を持つてゐるので、或る一人の棚卸しは、やがて男全体の棚卸しとなる事が出来る。；帰り途に件の課長は何故俺を死人扱ひにして加之に顔の棚卸しまでしたと言つて、雄弁家に喧嘩を吹き掛けたさうだ。；販売が実現した段階で製造原価に転化し、費用化されるが、実務上は棚卸しによって費用化する額が決められることが多い。；これはラジオシャックの店舗数にほぼ等しく、もし売れなかったとしても各店舗の棚卸し業務などに流用できると考えた末の数字だった。；気が付けば二時間後、棚卸しは予定通り終わっていた。；春と秋にカナカナ堂は棚卸しをする。；あなたもまず、自分の持ち味やキャラクター、してきた経験や持っている情報の蓄積を棚卸しして、すべての「切り口」をキーワードにして分類することから始めてみましょう。；主な著書は、特許の棚卸しと権利化戦略。；この頃のやうに女に油断が出来なくなつたら、いやそれは西洋の事だ、日本はまた別だなどと勝手な事は言はないから、何卒男子保護政策として別れた後に「亭主の棚卸しを仕ない」といふ点に最高票を投じて貰ひたいものだ。；昨夜は棚卸しで、店の方がやけに忙しかつたので、氣になりながら四五日此方は見廻り兼ねて居りました。；棚卸資産は棚卸しを行うことによってその有高が確定される費用性資産であり、下記4種類に分類される。；そして、四つ角にさしかかるとそこへ立ち止まり、持ち物の棚卸しを始めた。；今日のバイト先のコペンハーゲンは飲み屋兼お酒のスーパーマーケットみたいな所で、棚卸しには何人もの人手が必要になる。；棚卸しを簡易的に行う際に欠かせない。；飲み屋の棚卸しで、とにかく男手は多いほどいいから手伝いに来られるのなら来てほしい、という物だった。</t>
        </is>
      </c>
      <c r="J5173">
        <f>HYPERLINK("https://www.weblio.jp/content/棚卸し", "词义详情")</f>
        <v/>
      </c>
      <c r="K5173">
        <f>HYPERLINK("https://yourei.jp/棚卸し", "查看例句")</f>
        <v/>
      </c>
    </row>
    <row r="5174">
      <c r="A5174" t="inlineStr">
        <is>
          <t>谷</t>
        </is>
      </c>
      <c r="B5174" t="inlineStr">
        <is>
          <t>成功</t>
        </is>
      </c>
      <c r="C5174" t="inlineStr">
        <is>
          <t>読み方：こく
［音］コク（呉）（漢）　［訓］たにや　やつきわまる
［学習漢字］2年
〈コク〉山間のくぼ地。たに。「谷風／峡谷・空谷・渓谷・幽谷」
〈たに〉「谷川・谷底・谷間(たにま・たにあい)」
〈や・やつ〉たに。低地。「谷地(やち)・谷田(やつだ)」
［名のり］ひろ
［難読］蟀谷(こめかみ)</t>
        </is>
      </c>
      <c r="D5174" t="inlineStr">
        <is>
          <t>谷線；谷文晁；谷沿い；谷区立；谷君</t>
        </is>
      </c>
      <c r="E5174" t="inlineStr">
        <is>
          <t>沢；渓谷；谷間；渓；迫</t>
        </is>
      </c>
      <c r="F5174" t="inlineStr">
        <is>
          <t>ヶ谷；深い谷；字谷；小さな谷；狭い谷</t>
        </is>
      </c>
      <c r="G5174" t="inlineStr">
        <is>
          <t>谷川；谷底；谷口；谷中；谷村</t>
        </is>
      </c>
      <c r="H5174" t="n">
        <v>29</v>
      </c>
      <c r="I5174" t="inlineStr">
        <is>
          <t>集落は谷に沿って分散しており、それぞれの集落間の距離もかなりある。；多くの谷の西斜面はシエラネバダから出た大きなモレーンを持っている。；霞谷七人衆は、歌舞伎をベースにしたキャラクター作りが行われている。；駅の周辺は帷子川の流れる谷の底で南北ともに丘陵地帯となっている。；駅舎は谷に蓋をするように作られたので、東西からは谷と見てとることが難しい。；また、谷沿いを中心に集落が発達しており、人口も広範囲に分布している。；そのためトンネルが連続し、谷となる箇所に駅が設けられている。；ただし、広義の谷は谷底が一方向に向かって低くなっている必要はない。；この場合、小さな河川規模にもかかわらず幅の広い谷が残存することとなる。；谷の多いブータンでは標高によって谷ごとに気候が変化することも多い。；深夜急行バスは、世田谷営業所の担当路線には高速路線車が使用される。；これは土石流が流下する谷よりも扇状地に住んでいる人が多いためである。；駅周辺は米内川の流れる谷に位置しており、周囲を丘陵地に囲まれている。；ねじの山と谷の間隔と移動量は以下のようにピッチとリードで表される。；自然豊かな村や谷は、4月になると杏の花でピンク色に埋め尽くされる。；ローハン谷を越えた先は西境であり、王国の最西部の国境地帯である。；深く切り込んだ谷で分けられた頂上の平たい山があるのが特徴である。；岸からはいくつかの丘が隆起しており、リスボンには高い丘や深い谷がある。；谷は藤吉が龍馬らが襲撃された八畳間で倒れていたと証言した。；台地面の所々には幅が広く浅い谷があり、台地面の縁に段丘が見られる。；モーセはモアブの谷に葬られたが、その場所は誰も知らないとされている。；この流れは南東のアール谷を通りトゥールーズ右岸地区を横切っている。；川は断崖絶壁の深い谷の底を流れるため、絶壁上から川へのアクセスは無い。；深い谷は、常時水が流れる川の浸食によって形成されたと考えられている。；ただし長崎は丘と谷に隔てられた地形であり好目標ではなかった。；さらに侵食が著しくなると、海蝕洞が崩壊し、大きな谷状の地形となる。；チタニアの谷の名は、シェイクスピア作品に登場する地名に由来する。；大明神川により形成された谷を川沿いの道路を上った位置にある。；したがって、市街地は狭く、海岸沿いの低地や谷に住宅が集まっている。</t>
        </is>
      </c>
      <c r="J5174">
        <f>HYPERLINK("https://www.weblio.jp/content/谷", "词义详情")</f>
        <v/>
      </c>
      <c r="K5174">
        <f>HYPERLINK("https://yourei.jp/谷", "查看例句")</f>
        <v/>
      </c>
    </row>
    <row r="5175">
      <c r="A5175" t="inlineStr">
        <is>
          <t>他人</t>
        </is>
      </c>
      <c r="B5175" t="inlineStr">
        <is>
          <t>成功</t>
        </is>
      </c>
      <c r="C5175" t="inlineStr">
        <is>
          <t>読み方：あだびと
ほかの人。別の人。
「など—の手にやしなわるべき」〈樗牛・わが袖の記〉</t>
        </is>
      </c>
      <c r="D5175" t="inlineStr">
        <is>
          <t>他人様；他人同士；他人さま</t>
        </is>
      </c>
      <c r="F5175" t="inlineStr">
        <is>
          <t>他人和与；他人受入率；他人本位；他人に物；他人どうし</t>
        </is>
      </c>
      <c r="G5175" t="inlineStr">
        <is>
          <t>他人行儀；他人ごと；他人の顔；他人名義；他人種</t>
        </is>
      </c>
      <c r="H5175" t="n">
        <v>29</v>
      </c>
      <c r="I5175" t="inlineStr">
        <is>
          <t>彼は壁に自分の作品だけを展示し他人の絵を並べてほしくないと望んだ。；そのまま再開されることなく、店のあった敷地は他人の手に渡っている。；リカは自分が愛を求めたことが他人を不幸にしたことに深く傷ついていた。；おかしいのはねえ、列のまん中ごろに一人の少し年老った人が居たんだ。；カールは依存しがちで他人の影響を受けやすい人物だったと言われている。；学校にも転校していった人はいないし、近所でもそんな話は聞きません。；正しい感情をもつた人は誰でもこれとは違つた考へ方をするであらうか。；だって、屹度あの通りの寝方で死んでいった人があるに違いありません。；また、パスワードなどの認証情報は他人に聞かれても教えてはならない。；一般的に他人が行う場合は下記の4条件を全て満たす場合に容認される。；要は他人の評価より自分で愛すべき音楽だと思える、それが一番の幸せ。；老いた人が次の代の為めに夢を伝へる姿は、それは本来の美しさである。；他人の恋愛を妨害することを目的に結成された、もてない男たちの集団。；当初は他人の勧めるままに馬を購入していたが、全く活躍しなかった。；いかに自分に有利で他人に不利な状況を作るかで頭を悩ませることになる。；他人より優れているように振舞いたがる人間は後々見劣りするであろう。；特に弱者を助ける際には、他人に知られないように行う事が常であった。；学校という社会の中で他人の自由を大切にし、共に生きることである。；表に出ずに他人をそそのかして何かをさせることを「さしがね」という。；物上保証人とは自己の財産をもって他人の債務の担保に供した者をいう。；従つてすぐれた作家は、最も複雑した想像を持つた人でなければならぬ。；他人に自分の服を洗われることを拒否し、自分で洗濯を行っていたという。；自分の是非したいと思う事だけをして、それ以外の事をやめてしまつた人。；恋された人の知らぬ前に恋した人の心を自分はその人から打ち明けられた。；どうしてこんなに欠点なく生まれた人だろうかと院はお思いになった。；基準となる個人と、対象となる他人は、異世代では生誕日が必ず異なる。；他人の作品などの動機やテーマなどを出して自己の作品との関係を強化する為に用いる。；容貌から見るとどうも中國ではなくて朝鮮から來た人達らしく思はれた。；その時に、この米友の部屋の後ろへそっと忍んで来た人がありました。</t>
        </is>
      </c>
      <c r="J5175">
        <f>HYPERLINK("https://www.weblio.jp/content/他人", "词义详情")</f>
        <v/>
      </c>
      <c r="K5175">
        <f>HYPERLINK("https://yourei.jp/他人", "查看例句")</f>
        <v/>
      </c>
    </row>
    <row r="5176">
      <c r="A5176" t="inlineStr">
        <is>
          <t>種</t>
        </is>
      </c>
      <c r="B5176" t="inlineStr">
        <is>
          <t>成功</t>
        </is>
      </c>
      <c r="C5176" t="inlineStr">
        <is>
          <t>読み方：くさ
［名］
１物事が生じるもとになるもの。たね。材料。原因。多く「ぐさ」と濁り、複合語として用いる。「語り—」「質—」
２たぐい。種類。
「唐土(もろこし)、高麗(こま)と尽くしたる舞ども、—多かり」〈源・紅葉賀〉
［接尾］助数詞。物の種類を数えるのに用いる。
「二—づつ合はせさせ給へ」〈源・梅枝〉</t>
        </is>
      </c>
      <c r="D5176" t="inlineStr">
        <is>
          <t>種属；種試験；種ごと；種群；種レベル</t>
        </is>
      </c>
      <c r="E5176" t="inlineStr">
        <is>
          <t>目；元；部；型；もと</t>
        </is>
      </c>
      <c r="F5176" t="inlineStr">
        <is>
          <t>ある種；数種；近縁種；他種；樹種</t>
        </is>
      </c>
      <c r="G5176" t="inlineStr">
        <is>
          <t>種族；種々；種子；種牡馬；種目</t>
        </is>
      </c>
      <c r="H5176" t="n">
        <v>29</v>
      </c>
      <c r="I5176" t="inlineStr">
        <is>
          <t>こうした呼称からはある程度その種の特徴を窺い知ることが可能である。；世界で食用に栽培されている植物はおよそ2300種ほどとされている。；左側眼・右側眼の両方の種類がいて、種の中では向きが統一されている。；この標本が今日知られている全てのユーカリ属の種の基準となっている。；いったん口に入れた果物の種や皮などを再度口から出す行為は印象が悪い。；多くの細菌種は単一の細胞として存在しているが、例外も知られている。；刀は、武器の一種であり、剣の内でもとくに片側にしか刃のない物を指す。；この種のオーガズムが初めて報告されたのは脊髄損傷を持つ人々であった。；多数の未記載種が知られ、分類は今後も拡大するものとみられる。；陸上の無脊椎動物では、周囲が湿っていなければ活動できない種も多い。；これはソフトウェアがデジタルデータの一種であることに由来する。；レッドタイプとイエロータイプの中間種でピンクタイプなども存在する。；虫媒のみに頼る、または一部を虫媒とする花は16万種に及ぶとされる。；初期成長が早いことが注目され、人工林の樹種として利用されてきた。；胞子の分散には、哺乳類やある種のハエが関与しているといわれている。；その一方で、ある種の事態を表現する動詞や形容詞の文字も存在した。；ここでは、セリンプロテアーゼの一種であるキモトリプシンの例を示す。；天然に存在するもの以外にも数十種の放射性同位体が同定されている。；専門料理は技術であり、また特に高度なものは芸術の一種と捉えられることもある。；猫の耳のついた髪飾りあるいは演劇・コスプレのコスチュームの一種である。；工場などが目標のため、使用弾種も焼夷弾ではなく通常爆弾が中心だった。；ただし、それらの形態は、小さな形の種にとどまっていたものが多い。；これらの揺らぎが現在の宇宙に見られる全ての構造の種となる。；現在の生物学では、独立した種や品種は、独立した種の数に含めない。；さらに近縁種のユウレイボヤでもゲノムプロジェクトが行われている。；この中からは地球化学で と呼ばれる、地球上には存在しない岩種が発見された。；尚、現在では一種とされるシャチであるが、複数の種に分割する見解もある。；歌手の声は歌手それぞれの主要な声種および声域により分類される。；フランスでは関連グッズの売れ行きを含めて一種の社会現象となっている。</t>
        </is>
      </c>
      <c r="J5176">
        <f>HYPERLINK("https://www.weblio.jp/content/種", "词义详情")</f>
        <v/>
      </c>
      <c r="K5176">
        <f>HYPERLINK("https://yourei.jp/種", "查看例句")</f>
        <v/>
      </c>
    </row>
    <row r="5177">
      <c r="A5177" t="inlineStr">
        <is>
          <t>楽しい</t>
        </is>
      </c>
      <c r="B5177" t="inlineStr">
        <is>
          <t>成功</t>
        </is>
      </c>
      <c r="C5177" t="inlineStr">
        <is>
          <t>読み方：たのしい
［形］［文］たの・し［シク］
１満ち足りていて、愉快な気持ちである。「毎日を—・く過ごす」「テンポのよい—・い曲」「—・いピクニック」
２富裕である。金持ちである。
「堀川相国は、美男の—・しき人にて」〈徒然・九九〉
３作物の出来が豊かである。
「この年頃は、いとこそ—・しけれ」〈大鏡・道長上〉
[派生]たのしがる［動ラ五］たのしげ［形動］たのしさ［名］たのしみ［名］</t>
        </is>
      </c>
      <c r="D5177" t="inlineStr">
        <is>
          <t>楽しいこと(10%)；楽しいもの(7%)；楽しい時間(2%)；楽しい思い出；楽しい気分</t>
        </is>
      </c>
      <c r="E5177" t="inlineStr">
        <is>
          <t>いい；よい；良い；満足；幸福</t>
        </is>
      </c>
      <c r="F5177" t="inlineStr">
        <is>
          <t>一番楽しい；もっと楽しい；どんなに楽しい；方が楽しい；楽しい仕事</t>
        </is>
      </c>
      <c r="G5177" t="inlineStr">
        <is>
          <t>楽しいクリスマス；楽しいムーミン一家；楽しい夕食；楽しい夏休み；楽しい工作シリーズ</t>
        </is>
      </c>
      <c r="H5177" t="n">
        <v>29</v>
      </c>
      <c r="I5177" t="inlineStr">
        <is>
          <t>僕はアメリカに来て野球が楽しいと思えるだけで、成功だと思うんです。；それでもまた行きたいなあと思わせるくらいは楽しかったと思いますわ。；その夜私が味方の人たちに囲まれて食べた晩餐の何と楽しかったことか。；自分の人生経験の中に無い役だと別人になれて演じていて楽しいと語る。；その町で姉妹が楽しく交流できるのは、父親と同じ軍人たちだけである。；その日の午後には、彼はこの丘をあんなに楽しげに越えてきたのだった。；学友にこの作品の作曲家が誰なのか聞いてみるのも楽しいかもしれません。；同じ部屋で何もすることなしに角突き合わせているのもまた楽しかろう。；あわただしい生活だが、そんな日常が何よりも大切で楽しい一瞬だった。；手段を選ばずに楽して有名になろうと思って、喜んで私を攻撃するんだ。；自分が楽しい・面白いと感じることは描く上で絶対譲らないと述べている。；ポルトガルでは彼らは満足していて穏やかで楽しそうな表情をしていた。；地元の石川県から東京に来た時に、人と一緒にいることが楽しくなった。；幼い頃から地元の演劇などに参加して演技の楽しさを知り、女優を志す。；坂本は自身が担当することから戦い中心ではなく、楽しい話を志向した。；仕事の為めに緊張してゐる自分自身が、何と云ふことなしに楽しかつた。；立派な若者に成長した若者は結婚を約束した恋人と楽しそうに踊っていた。；だけど、その人とふたりでいろいろな動物を見てまわるのは楽しかった。；女子 そのお家にいた頃、お前さんの一番楽しかったことはどんなこと?；ほかの人たちはどうしているかというとみな楽しそうにやっている。；であれば、もうひとつの家族ができたと思った方が楽しいはずです。；当時の紹介記事では「いつも子供と一緒にいるので楽しい」と述べている。；そんな闘争心のない連中と一緒にプレイして、どこが楽しいってんだ!?；最初のうちは少年に会うのが楽しかったので、心からの施しをしていた。；音楽と女達の踊りは三人の旅人のうち一人の耳と目に楽しく映りました。；楽しい瞬間をみんなで共有したり、自分の才能を披露するのもよし!；ステージに出る夜は、最高に楽しくてまるで魔法のような夜になるわ。；あのかたの最近の心は楽しかった幼い日に帰ってさまよっていました。；こんなに楽しい小説を書くことはこの先もうないだろうと思いながら書いた。</t>
        </is>
      </c>
      <c r="J5177">
        <f>HYPERLINK("https://www.weblio.jp/content/楽しい", "词义详情")</f>
        <v/>
      </c>
      <c r="K5177">
        <f>HYPERLINK("https://yourei.jp/楽しい", "查看例句")</f>
        <v/>
      </c>
    </row>
    <row r="5178">
      <c r="A5178" t="inlineStr">
        <is>
          <t>楽しみ</t>
        </is>
      </c>
      <c r="B5178" t="inlineStr">
        <is>
          <t>成功</t>
        </is>
      </c>
      <c r="C5178" t="inlineStr">
        <is>
          <t>読み方：たのしみ
［名・形動］
１たのしいと感じること。また、たのしむ物事。趣味や娯楽。「登山の—を知る」「釣りが唯一の—です」
２たのしいこととして期待すること。また、そのさま。「将来が—な子供」</t>
        </is>
      </c>
      <c r="D5178" t="inlineStr">
        <is>
          <t>楽しみたい(2%)；楽しみください；楽しみましょ；楽しみ下さい；楽しみ枠</t>
        </is>
      </c>
      <c r="E5178" t="inlineStr">
        <is>
          <t>ゲーム；期待；遊び；喜び；遊</t>
        </is>
      </c>
      <c r="F5178" t="inlineStr">
        <is>
          <t>大きな楽しみ；ささやかな楽しみ；ひそかな楽しみ；一番楽しみ；すごく楽しみ</t>
        </is>
      </c>
      <c r="H5178" t="n">
        <v>29</v>
      </c>
      <c r="I5178" t="inlineStr">
        <is>
          <t>他のメンバーと一緒にシーズン前の準備を行うことを楽しみにしている。；そして彼女は人生が終わりを迎えることを楽しみにしていると語った。；彼はかなり裕福な生活を送り、自分の楽しみのためだけに作曲を続けた。；いつものシングルに比べてすごく自分でも楽しみながら書けた一曲です。；まだ成長していきそうな雰囲気があるし、秋を楽しみにしたいですね。；長距離馬と言われてますが、これからは中距離でも楽しみになりました。；俺は皆にいつツアーに出るのかということを報告できるのを楽しみにしてる。；夜市の楽しみの一つでもあるゲームコーナーも、地上階に点在している。；獲得し拡張することは、保持し育成して楽しみを得ることほど重要ではない。；そのお金で休日にラム酒を飲むのを何よりも楽しみにしていたという。；人々が何かを作り上げる楽しみを知る機会を得ることに影響を与えたと思う。；このように、それぞれの楽しみ方で市民に大変親しまれている場所である。；彼は月に一度会いに来るアルテミスを楽しみに待っているとされる。；百座のうち自分がいくつ登ったか増えていくのを楽しみにしている読者もいる。；引退後は釣りや草野球などを楽しみながら悠々自適な生活を送っている。；しかし操作する楽しみは、やがて趣味から競技へと変化していった。；再会したが、契約されて同じ会社で働けるとペピーは楽しみにしていた。；どんな新しい安室奈美恵でまた私達の前に現れるのか楽しみにしています。；またパイロットの能力も成長し、これらの育成もゲームの楽しみとなっている。；ストーリーよりも、登場人物の設定を楽しみながら考えたと作者は述べている。；同時に、みんなでゲーム作りをする楽しみを覚えたと語っていた。；庶民の楽しみの最も大きい部分を占めており、一スポーツの域を越えている。；組香とは、ある一定のルールに即した香りの楽しみ方の一つである。；自分でそのキャラクターなどを描けた気分になるという楽しみがある。；彼は後年、レースから楽しみが消えて久しいことをしばしば嘆いていた。；この番組は再編集され、DVDのお楽しみディスクに収録されている。；その一方で若手の女性声優が多かった同作品の収録を楽しみにしていたという。；コンサートやスポーツ観戦などのイベントも現代人の楽しみの一つである。；まだ4歳ですし、これからどれだけ強くなっていくのか楽しみです。</t>
        </is>
      </c>
      <c r="J5178">
        <f>HYPERLINK("https://www.weblio.jp/content/楽しみ", "词义详情")</f>
        <v/>
      </c>
      <c r="K5178">
        <f>HYPERLINK("https://yourei.jp/楽しみ", "查看例句")</f>
        <v/>
      </c>
    </row>
    <row r="5179">
      <c r="A5179" t="inlineStr">
        <is>
          <t>楽しむ</t>
        </is>
      </c>
      <c r="B5179" t="inlineStr">
        <is>
          <t>成功</t>
        </is>
      </c>
      <c r="C5179" t="inlineStr">
        <is>
          <t>読み方：たのしむ
［動マ五（四）］
１満ち足りていることを実感して愉快な気持ちになる。「独身生活を—・む」「休日を—・む」「余生を—・む」
２好きなことをして満足を感じる。「読書を—・む」「ドライブを—・む」
３先のことに期待をかけ、そうなることを心待ちにする。「子供の成長を—・む」
４富む。裕福になる。
「仏御前がゆかりの者どもぞ、始めて—・み栄えける」〈平家・一〉
[可能]たのしめる</t>
        </is>
      </c>
      <c r="D5179" t="inlineStr">
        <is>
          <t>楽しむべき；楽しむ家族連れ；楽しむ人達</t>
        </is>
      </c>
      <c r="E5179" t="inlineStr">
        <is>
          <t>愛する；好む；愛好；味わう；享受</t>
        </is>
      </c>
      <c r="F5179" t="inlineStr">
        <is>
          <t>眺めて楽しむ；共に楽しむ；楽しむというコンセプト</t>
        </is>
      </c>
      <c r="H5179" t="n">
        <v>29</v>
      </c>
      <c r="I5179" t="inlineStr">
        <is>
          <t>旅行を楽しむためのデータとシステムが大幅に追加されたデータセット。；現代では開放的な走りを楽しむ趣味的な車として使用されることが多い。；また早春の時期にはホーム東側の畑一面に菜の花を楽しむことができる。；春から秋にかけての比較的長い期間、特徴的な花を楽しむことができる。；この時は、本番で緊張するばかりで芝居を楽しむ余裕はなかったという。；ビデオソフトを見るように、思いのままの夢を楽しむことができる機械。；ここでは、娯楽の中で、本人が参加して楽しむことのできるものを扱う。；音楽でビート感を楽しむ流れは、黒人の音楽から来ているとされている。；花見のシーズンには、両岸の桜を楽しむために多くの人がこの橋を渡る。；また市内ではオランダとベルギーの両方の食べ物を楽しむことが出来る。；この路線を終点に向けて進むときは宇治川の景観を楽しむことができる。；現在では一部の休日を除けば、散策を楽しむような静かな観光地である。；最近では管理池や海でフライフィッシングを楽しむムーブメントもある。；各コートごとに、テニスを題材にしたミニゲームを楽しむことが出来る。；したがってこちらは、あまり金のない労働者たちが楽しむ場だったと言える。；内政や外交等はなく、合戦を中心に楽しむことができるのが特徴である。；周りにはスキー場、山と沢山の川があり、大自然を楽しむことができる。；各花火師が製作した10号玉を一発ずつ打ち上げそのデザインを楽しむ。；PKで新たに追加されたモードでステージクリア型の戦闘を楽しむモード。；花言葉を用いて草花を楽しむ習慣が日本に輸入されたのは明治初期とされる。；ノリは良くも悪くもないが、友達の輪の中で一緒になって楽しむには問題ない。；この趣味を楽しむ者は野鳥観察家またはバードウォッチャーと呼ばれる。；ここでは滅多に見られない両者の動く映像を楽しむことができる。；現在では一部の休日を除けば散策を楽しむような静かな観光地である。；町並保存地区として独特の風情を楽しむことができる、商業の町である。；おそらくは演奏よりは教育を楽しむようになっていたからだろう。；戦闘を楽しむモードでデータはストーリーモードのセーブデータを使用する。；一方でそういった組織に加わらず単独で栽培育種を楽しむ愛好家もいた。；公園内ではのんびりと散歩を楽しむ人やバードウォッチングをする人もいる。</t>
        </is>
      </c>
      <c r="J5179">
        <f>HYPERLINK("https://www.weblio.jp/content/楽しむ", "词义详情")</f>
        <v/>
      </c>
      <c r="K5179">
        <f>HYPERLINK("https://yourei.jp/楽しむ", "查看例句")</f>
        <v/>
      </c>
    </row>
    <row r="5180">
      <c r="A5180" t="inlineStr">
        <is>
          <t>頼み</t>
        </is>
      </c>
      <c r="B5180" t="inlineStr">
        <is>
          <t>成功</t>
        </is>
      </c>
      <c r="C5180" t="inlineStr">
        <is>
          <t>読み方：たのみ
１たのむこと。依頼すること。また、その内容。願い。「—を聞き入れる」
２たよりにすること。あてにすること。「年金を—にする」
３結納(ゆいのう)。
「密通をいたせしこと、神(しん)もって存ぜず、それゆゑ—も受納いたせし所に」〈滑・膝栗毛・発端〉</t>
        </is>
      </c>
      <c r="D5180" t="inlineStr">
        <is>
          <t>頼みまし(6%)；頼みます(5%)；頼みたい(4%)；頼みごと(2%)；頼み事</t>
        </is>
      </c>
      <c r="E5180" t="inlineStr">
        <is>
          <t>求め；要求；依頼；要請；信頼</t>
        </is>
      </c>
      <c r="F5180" t="inlineStr">
        <is>
          <t>ほしいと頼み；くれるよう頼み；頼み甲；欲しいと頼み；たいと頼み</t>
        </is>
      </c>
      <c r="G5180" t="inlineStr">
        <is>
          <t>頼みこん；頼み込む；頼み込み；頼みこむ；頼みこみ</t>
        </is>
      </c>
      <c r="H5180" t="n">
        <v>29</v>
      </c>
      <c r="I5180" t="inlineStr">
        <is>
          <t>父親の斎藤茂吉が困って本川に頼みにきたけれど、単位は出さなかった。；この作品はジョセフ・ケッセルズの頼みに応じて書かれたものだった。；商業化の資金援助を得る最後の頼みの綱として、海軍との会合に臨んだ。；正司と勉の話を聞くともなしに聞いていた小川は、正司に頼み事をした。；父親を殺した犯人の追跡をケビンに頼み、共に行動している黒人の少年。；彼は私に彼の研究プロジェクトに参加するように頼みました。；彼女は彼らの家に入れて欲しいと丁寧に頼み、彼らはそれを承諾した。；どこの土地の給田を受けるかは受ける側から見ると運頼みである。；そして今回の標的と頼み料を分配しようとした時、そこに佐和が現れる。；その頼みとは、廃部状態にある化学部に入って欲しいということだった。；子供たちは彼に色々な頼み事をするのだが、決まって大騒動が起きてしまう。；人間の生活に興味をもった死神が、ビルを連れて行く前に彼に案内を頼みにきたのだ。；しかし幼馴染の頼みも無下にできず、その日は一緒に帰ることとなる。；話を聞けば娘のおしなを、林之助の嫁にしてほしいと頼みに来たのである。；遠方にいる事を頼みとして従わない者には、将兵を派遣して討伐させた。；微妙な違いの経験頼みの分析はこの問題の評価を必要とする。；彼女は、頼み料を追加した上で息子の敵討ちのため仕事に参加する。；坂井は戦闘機乗りが最後の頼みとするのは自分だけであるという。；オーウェンは主人に頼み、ワーデルに彼の銃を見せることに成功した。；頼みとした申砬が忠州で敗北して死んだという事は宣祖に希望を失わせた。；同国人の医師であるワトスンに、女性を診て欲しいとの頼みであった。；藤村の頼みを聞いた湯川は謎を解明するため周囲への聞き込みを開始する。；手紙の主は黒弓で、堺に来て商売の手伝いをしてほしいという頼みだった。；街中には一般人も歩いており、中には主人公に頼みごとをしてくる者も存在する。；妻はそのとき夫の去勢手術を医者に頼み、夫にも同意を求めた。；一方、ポーランドは英仏からの軍事援助を頼みに、ドイツの要求を強硬に拒否。；その折のことを語ってほしいという従者の頼みに海女は次のように語り始める。；男はアラジンの死んだ父親の兄弟だと言い、アラジンに一つの頼みごとをする。；お前が代王のもとへ行って、その腹心となれば、一州の頼みとなるのだぞ。</t>
        </is>
      </c>
      <c r="J5180">
        <f>HYPERLINK("https://www.weblio.jp/content/頼み", "词义详情")</f>
        <v/>
      </c>
      <c r="K5180">
        <f>HYPERLINK("https://yourei.jp/頼み", "查看例句")</f>
        <v/>
      </c>
    </row>
    <row r="5181">
      <c r="A5181" t="inlineStr">
        <is>
          <t>頼む</t>
        </is>
      </c>
      <c r="B5181" t="inlineStr">
        <is>
          <t>成功</t>
        </is>
      </c>
      <c r="C5181" t="inlineStr">
        <is>
          <t>読み方：たのむ
［動マ五（四）］
１相手に、こちらが希望するようにしてくれることを伝えて願う。依頼する。「用事を—・む」「口外しないよう—・む」「代筆を—・む」
２たよりになるものとしてあてにする。力としてたよる。「大黒柱と—・む人」「数を—・んで強行する」
３用事や処置を他にゆだねる。まかせて、すっかりしてもらう。「子供を—・んで夫婦で出かける」「あとを—・む」
４何かをしてもらうために呼ぶ。また、注文する。「医者を—・む」「タクシーを—・む」「出前を—・む」
５他家に行って案内を請う。「たのみましょう」「たのもう」などの形で、感動詞的に用いる。
「『—・む』と案内を乞う」〈漱石・草枕〉
６信用する。信頼する。
「東人(あづまうど)こそ言ひつることは—・まるれ」〈徒然・一四一〉
[可能]たのめる
［動マ下二］頼りに思わせる。あてにさせる。
「待つ人は障(さは)りありて、—・めぬ人は来たり」〈徒然・一八九〉</t>
        </is>
      </c>
      <c r="D5181" t="inlineStr">
        <is>
          <t>頼むべき；頼むべから；頼む頼む；頼むより外；頼むすべなく</t>
        </is>
      </c>
      <c r="E5181" t="inlineStr">
        <is>
          <t>要求；期待；聞く；求める；依頼</t>
        </is>
      </c>
      <c r="F5181" t="inlineStr">
        <is>
          <t>ほしいと頼む；欲しいと頼む；くれるよう頼む；たいと頼む；しっかり頼む</t>
        </is>
      </c>
      <c r="H5181" t="n">
        <v>29</v>
      </c>
      <c r="I5181" t="inlineStr">
        <is>
          <t>このプロジェクトで最初に脚本の執筆を頼まれたのが彼であったという。；それは自分が一人残ってセルギウスに頼もうと思うことがあるのである。；周囲の人間にすぐに救急車を呼ぶよう頼むが、誰も相手にしてくれない。；考えたくないのはわかるし、あなたに何か頼もうとしてるんじゃないわ。；不安を感じる彼は元恋人で今は親友となっているルーシーに同行を頼む。；金田一京助は、木から頼まれる前に資金を援助することが何度もあった。；そのことから手袋が犯人のものだと判断して教授に調べてもらうよう頼む。；村長はプレイヤーにいのちの本のページを見つけて返してほしいと頼む。；事務所の先輩であるダチョウ倶楽部に頼まれてネタを作ったことがある。；しかし以後、直哉は正月用の頼まれ原稿程度のものしか執筆しなくなる。；そして野本と秀夫は久美子に頼まれて死体を運んだだけだったのである。；ミンは建築家から公園に隣接し残されている建物の再配置を頼まれている。；しかし彼の死後にチームは解散し、祐にDAISYになってくれと頼む。；彼は、女が家を出て、自分の女房になってくれるように頼もうと思っていた。；が、重兵衛は何事にまれ此方から頭を下げて他人に頼む事は嫌ひなのだ。；男から彼の娘イリを母タニアのもとに連れて行ってほしいと頼まれる。；人気の花魁・お喜乃に一緒に足抜けを手伝ってくれと頼まれる弥次さん。；平行世界の少女に自分の故郷を救うために戦ってくれと頼まれる夢だ。；なんだかひどく悪寒がして、ブランデーを頼もうと思ったものですから。；たどり着いた島には一人の老人がいて、肩車で川を渡してくれと頼まれる。；わたしもはじめはあの男を、使者に頼もうなどとは思ってなかった。；しかしなにかあるときはおまえさんに頼もうと思っているんだ。；志げは、戦死した次男の妻の紀子に一日両親の面倒を見てくれるよう頼む。；日本酒を頼まないのは、千晶がそこに座ったら頼もうと思っているからだ。；よほどみかんに頼もうかと思ったが、彼女は彼女で魔犬の向こう側である。；その詩を讃めると同時に、子供の世話を頼もうかと思っている云々と。；わたしがいるのであれもこれも頼もうとしているようだった。；頼まれたつもりだったが、キャスティングは私ができるわけではない。；彼女はある人から彼の所有する屋敷での住み込み家庭教師を頼まれる。</t>
        </is>
      </c>
      <c r="J5181">
        <f>HYPERLINK("https://www.weblio.jp/content/頼む", "词义详情")</f>
        <v/>
      </c>
      <c r="K5181">
        <f>HYPERLINK("https://yourei.jp/頼む", "查看例句")</f>
        <v/>
      </c>
    </row>
    <row r="5182">
      <c r="A5182" t="inlineStr">
        <is>
          <t>頼もしい</t>
        </is>
      </c>
      <c r="B5182" t="inlineStr">
        <is>
          <t>成功</t>
        </is>
      </c>
      <c r="C5182" t="inlineStr">
        <is>
          <t>読み方：たのもしい
［形］［文］たのも・し［シク］
１信頼できる。頼みにできて心強い。「若いがなかなか—・い」「—・い味方」
２期待できて楽しみである。「将来が—・い」
３金持ちである。裕福である。
「若かりし折は、まことに—・しくてありし身なり」〈宇治拾遺・一〇〉
[派生]たのもしがる［動ラ五］たのもしげ［形動］たのもしさ［名］</t>
        </is>
      </c>
      <c r="D5182" t="inlineStr">
        <is>
          <t>頼もしいもの(3%)；頼もしい存在(3%)；頼もしい男(2%)；頼もしい感じ；頼もしい仲間</t>
        </is>
      </c>
      <c r="E5182" t="inlineStr">
        <is>
          <t>明るい；正しい；正直；直；真面目</t>
        </is>
      </c>
      <c r="F5182" t="inlineStr">
        <is>
          <t>まことに頼もしい；頼もしい姿；頼もしい人物；頼もしいかぎり；最も頼もしい</t>
        </is>
      </c>
      <c r="H5182" t="n">
        <v>29</v>
      </c>
      <c r="I5182" t="inlineStr">
        <is>
          <t>彼が、僕を頼もしいと思っていたのは僕の現世的な生活力だろうと思う。；その日、あなたに別れて帰ると、私は自分が騎士のように頼もしかった。；北海道は、その点、これからといふ部分が多いのは頼もしい限りである。；おまえの実力は頼もしいが、この世界の知識がまだついていかねえだろ。；敵か味方か得体の知れない男だが、こういうときは実に頼もしく見える。；芋銭氏の絵には時々心臓が働いているように見えるのを頼もしく思う。；頼もしいというのは、これで彼もこの計画に荷担したことになるからだ。；むしろ編輯者の中には私より髪の毛を長くしている頼もしい仁もあった。；両足を肩幅より広く開き、腰に手を当てたその姿は頼もしくすらあった。；「でも、私にはとても頼もしい護衛がいるから」 女性は笑顔で言った。；男性は男性らしく、女性なんかに屈服しないでいる人が、頼もしいわね。；男性は男性らしく、女性なんかに屈服しないでゐる人が、頼もしいわね。；こんな我々のための本願であると知らされるとますます頼もしく思える。；また卿の血を受けたのが事実なら、定めし骨節のある頼もしい戦士だろう。；なおもっと頼もしいのは進歩が過去よりも遙かに速くなった事実である。；七年前に死んだ兄のほかには、ほとんど頼もしい身寄りもないと言った。；彼らのその時の気持ちは、頼もしいというより、一種の恐怖であった。；弟たちを取り上げた産婆は、子供心にも頼もしいと思われる人だった。；わたしは頼もしそうな人物を友人にできると思っていたやさきなので承諾した。；年齢はかなりちがっていたけれど、それだけに頼もしいような気もした。；私たちにとって、最後の挑戦である戦いに、頼もしい仲間が増えていく。；彼女の声にここまで頼もしさを感じたのは初めてかもしれない。；しかし、俺は吉野君に会ってから、なんだか頼もしいように思い出した。；ギャングのボスが頼もしい用心棒の肩を叩いているような雰囲気だった。；私は、それでも予審判事が来たことを頼もしい事のように思いました。；嘉一が、そんな息子の様子をさも頼もしげに眺めるのには理由があった。；それは普段の圭一からは想像もつかないたくましさと頼もしさだった。；瑠璃子は、今更ながら、自分の父を頼もしく思わずにはいられなかった。；俺たちは彼を、頼もしい父のような存在に感じることさえあった。</t>
        </is>
      </c>
      <c r="J5182">
        <f>HYPERLINK("https://www.weblio.jp/content/頼もしい", "词义详情")</f>
        <v/>
      </c>
      <c r="K5182">
        <f>HYPERLINK("https://yourei.jp/頼もしい", "查看例句")</f>
        <v/>
      </c>
    </row>
    <row r="5183">
      <c r="A5183" t="inlineStr">
        <is>
          <t>タバコ</t>
        </is>
      </c>
      <c r="B5183" t="inlineStr">
        <is>
          <t>成功</t>
        </is>
      </c>
      <c r="C5183" t="inlineStr">
        <is>
          <t>読み方：たばこ
フィリピン、ルソン島南東部、アルバイ州の都市。「ルソン富士」と称されたマヨン山の北に位置する。農業が盛んで、米、アバカ（マニラ麻）などを産する。カタンドゥアネス島の港町ビラクとサンアンドレスと航路で結ばれる。</t>
        </is>
      </c>
      <c r="D5183" t="inlineStr">
        <is>
          <t>タバコをふかし(3%)；タバコ入れ；タバコ会社；タバコ産業；タバコ工場</t>
        </is>
      </c>
      <c r="E5183" t="inlineStr">
        <is>
          <t>煙草；たばこ；葉巻；シガレット；巻煙草</t>
        </is>
      </c>
      <c r="F5183" t="inlineStr">
        <is>
          <t>かぎタバコ；タバコ臨店配給；タバコ製造業；タバコをプカプカ；タバコを出して火</t>
        </is>
      </c>
      <c r="G5183" t="inlineStr">
        <is>
          <t>タバコの葉；タバコ葉；タバコモザイクウイルス；タバコ税；タバコ製品</t>
        </is>
      </c>
      <c r="H5183" t="n">
        <v>29</v>
      </c>
      <c r="I5183" t="inlineStr">
        <is>
          <t>タバコの生産で支えられているこの村では、毎年タバコ祭りが開かれる。；藩命により江戸時代からタバコ製造を行っていた森永家の住宅および蔵。；彼は戦争が終わったら軍でのタバコの使用を止めさせると約束した。；葉がタバコに似ているところから名付けられたものに以下のようなものがある。；しかし、タバコの宣伝に規制が掛けられるようになり2000年で撤退。；灰皿とは、主にタバコを喫煙する際に出た灰を入れるためのものである。；タバコ労働者の需要が増加し始めた頃に植民地の死亡率が減少した。；パイプとタバコを喫うことは、前史時代後期に通常のことになってきた。；口にしているとタバコよりもいくらか強い刺激を得られると言われている。；そのため、タバコに多く含まれる一酸化炭素を除去することはできない。；州南部では20世紀の終わりまでにタバコ農園がほとんど姿を消した。；このバーに、近所に住む少女が、母親のタバコを買いにしばしば訪れていた。；またタバコのない環境に閉じ込める方法も、依存を強めるだけに終わる。；なお居住した家は叔母が経営したタバコ・酒類販売店の上にあった。；タバコの包み紙としてセロファンが用いられるのはこのような理由による。；だが入植者は栽培が容易で確実に利益を上げられるタバコの生産に努力を集中した。；爽快で涼しさを感じさせるので用途が広く、タバコに加えることもある。；数年のうちに、たくさんのタバコ会社がベースボールカードを制作した。；麻薬入りのタバコを常用しているのが原因かもしれないという意見もある。；ライリンゲンは、現在でもバーデン北部で最大のタバコ栽培地域である。；偽のタバコ会社が設置され、島に住むすべての社会層が交通の規制に関与していた。；ダーラムの成長の要因となったのはタバコ産業の発展であった。；古代から近代まで続いていたのは、土地と時間をタバコ栽培にあてることだった。；タバコの中には香りの調整に蜂蜜を使用しているものもある。；店内にタバコの自販機やピンボールゲームなどを置くことは禁止された。；タバコは現在では主要作物ではないが、それでも国内第5位の生産高である。；現在でもタバコのメーカーとしてアルトリアに次いで国内第2位である。；アイランドは日本たばこ産業が製造・販売していたタバコのブランドである。；戦後、この話を家族にマッチ箱とタバコを使ってよく話していたと妻は証言している。</t>
        </is>
      </c>
      <c r="J5183">
        <f>HYPERLINK("https://www.weblio.jp/content/タバコ", "词义详情")</f>
        <v/>
      </c>
      <c r="K5183">
        <f>HYPERLINK("https://yourei.jp/タバコ", "查看例句")</f>
        <v/>
      </c>
    </row>
    <row r="5184">
      <c r="A5184" t="inlineStr">
        <is>
          <t>束ねる</t>
        </is>
      </c>
      <c r="B5184" t="inlineStr">
        <is>
          <t>成功</t>
        </is>
      </c>
      <c r="C5184" t="inlineStr">
        <is>
          <t>読み方：たばねる
［動ナ下一］［文］たば・ぬ［ナ下二］
１細長いものなどを一つにまとめてくくる。たばにする。「稲を—・ねる」「紙を—・ねる」
２組織などをまとめてとりしきる。「業界を—・ねる」</t>
        </is>
      </c>
      <c r="D5184" t="inlineStr">
        <is>
          <t>指揮；制御；率いる；統治；コントロール</t>
        </is>
      </c>
      <c r="H5184" t="n">
        <v>29</v>
      </c>
      <c r="I5184" t="inlineStr">
        <is>
          <t>おまんさまは国元にいるただ一人の側女で、城奥を束ねる権力者である。；彼らはこの問題を解決するために小型の燃焼室を束ねる方法を選んだ。；力だけを頼りに生きている彼らを束ねるのは、より強い力しかないのだ。；また一族を束ねる役割を果たしたのは家刀自と呼ばれる女性であった。；そこには海千山千の商人が何人も集い、そんな連中を束ねる人間がいる。；髪を束ねるために彼女が巻いているバンダナの端が、かすかな風に揺れた。；データや機能は過剰に分割せず、粉々ではないある程度の大きさに束ねる。；普段は下ろしているが、道場などではやや上のほうで束ねることも。；三本の尾には多数のトゲがあり、これを束ねることで敵を貫く攻撃法もある。；一定の業務を束ねる室の事務指導・監督的立場にある者をいう。；その度にあたしは目をぎゅっと瞑って開いてを繰り返して、意識を束ねる。；束ねるのは業者の方でしてくれるので、重ねておくだけでいい。；越後杜氏たちを束ねる近代的な組織が正式に結成されたのは昭和33年である。；もはや髪を束ねることもできないのを知った時に、周囲の者すべてを憎みはじめた。；静信は信仰を肯定していたし、それを束ねる存在が必要だと言うことが理解できた。；自らの利益のために商人たちを束ねる人間ならではの、人を人と見ない冷たい目だった。；彼女のコーヒー色の髪を、ベティがふだんのように頭のてっぺんで束ねる。；兄の護良親王は仏門に復帰せず、武士を束ねる征夷大将軍の地位に就く。；あとで俺が紐もらってきますから、束ねるだけにしといてください。；光國はこの男を、いずれは局員を束ねる有力な人材の一人とみなしていた。；日本の狐妖怪は、主に妖狐族に属し、その上位に束ねる者たちが存在する。；まあ、魔法使いを束ねる長をしている人だこの程度のことではピクリともしないか。；こちらへ向けて微かに笑みを浮かべながら、全ての死神を束ねる者がそこにいた。；枝は柔らかく折れにくいので、昔から何かを束ねる時に使った。；さて、長風呂を出て、女は何をするかというとまず、濡れた髪を束ねるのである。；それを束ねる総帥の自信にあふれた言葉は、ビデオ事業部を勇気づけた。；タイッや髪を束ねるリボンは、脇に抱えた上着のポケットに押し込んだ。；だから、マフィアを束ねるのはあんたのところなのかもしれない。；筆があるならば、筆で文字を書くための紙がいり、その紙を束ねる短冊も必要だ。</t>
        </is>
      </c>
      <c r="J5184">
        <f>HYPERLINK("https://www.weblio.jp/content/束ねる", "词义详情")</f>
        <v/>
      </c>
      <c r="K5184">
        <f>HYPERLINK("https://yourei.jp/束ねる", "查看例句")</f>
        <v/>
      </c>
    </row>
    <row r="5185">
      <c r="A5185" t="inlineStr">
        <is>
          <t>度</t>
        </is>
      </c>
      <c r="B5185" t="inlineStr">
        <is>
          <t>成功</t>
        </is>
      </c>
      <c r="C5185" t="inlineStr">
        <is>
          <t>読み方：と
〈土〉⇒ど
〈度〉⇒ど</t>
        </is>
      </c>
      <c r="D5185" t="inlineStr">
        <is>
          <t>度毎；度きり；度いと；度計画；度ごと</t>
        </is>
      </c>
      <c r="E5185" t="inlineStr">
        <is>
          <t>時；とき；程度；回；段階</t>
        </is>
      </c>
      <c r="F5185" t="inlineStr">
        <is>
          <t>何度；二度；数度；二三度；〇度</t>
        </is>
      </c>
      <c r="G5185" t="inlineStr">
        <is>
          <t>度重なる；度合い；度胸；度目；度肝</t>
        </is>
      </c>
      <c r="H5185" t="n">
        <v>29</v>
      </c>
      <c r="I5185" t="inlineStr">
        <is>
          <t>したがって独立して何度かの地衣類化が起こったのだと考えられている。；導入までに数度社会実験を行いながら他路線も含めて検討が進められる。；単独で降伏した者は少なく、大部隊が一度に降伏することが多かった。；によれば、職務特性と職務満足度の関係は中程度に強いことが示された。；ただし、一度に実行状態に移ることができるのは一つのプロセスである。；国府は数度変遷したと見られており、現在では次のように推定されている。；これらの種類の結合は似た電気陰性度を持つ原子間でのみ安定である。；F1選手権への追加の検討が一度でもなされたレースイベントは以下。；ここでは、本作に登場するアイテム類のうち何度も登場するもののみを挙げる。；稀に一度は中止にされた作品が時を経て再起動するケースもある。；また遺伝的固定度が高い状態から選抜し、系統化するため効率的である。；統一の動きが何度かあったが、いまのところ実現に至っていない。；なお以下は一度も導入経験がない社局を記載し、三重県の一部を含めている。；この年以降の数年間は、年に一度は撮影現場を見学に来ていたという。；一度だけ出版社で働いたこともあり、原稿の断り状を送る作業をしていた。；もちろん死刑の廃止と復活は、世界中で史上何度も行われてきている。；そのため、2002年に完成していた店舗用のビルは一度も使われなかった。；なお、コールドゲームで優勝決定となった試合はこれまで一度もない。；以前に経済の中心をなしていた農業は産業の工業化により重要度が低下した。；立地的に北米4大プロスポーツリーグのチームが存在した事は一度もない。；しかし一度に大量の情報を話し、聞き返す事もできないためメモは必須。；この年から2020年まで40年の間、一度も最下位を経験しなかった。；SFファンが選ぶ年間ベスト賞である星雲賞を星は一度も受賞していない。；百姓身分の農民を武士身分の役人が支配する郷村制度が確立した。；ただし、伝導率変化は移動度変化というよりも、の進行度変化とされる。；そしてイオン温度は室温に近く、電子温度は数千度であることが多い。；しかし2008年の憲法改正により一度廃止され、権限は議会に移った。；連載終了以降一度も再現されなかったカラー原稿を初めて収録。；Itaniumのサポートは一度は計画されたが、市場導入には至っていない。</t>
        </is>
      </c>
      <c r="J5185">
        <f>HYPERLINK("https://www.weblio.jp/content/度", "词义详情")</f>
        <v/>
      </c>
      <c r="K5185">
        <f>HYPERLINK("https://yourei.jp/度", "查看例句")</f>
        <v/>
      </c>
    </row>
    <row r="5186">
      <c r="A5186" t="inlineStr">
        <is>
          <t>旅</t>
        </is>
      </c>
      <c r="B5186" t="inlineStr">
        <is>
          <t>成功</t>
        </is>
      </c>
      <c r="C5186" t="inlineStr">
        <is>
          <t>読み方：たび
１住んでいる所を離れて、よその土地を訪ねること。旅行。「かわいい子には—をさせよ」
「日々—にして—を栖(すみか)とす」〈奥の細道〉
２自宅を離れて臨時に他所にいること。
「あるやうありて、しばし、—なる所にあるに」〈かげろふ・上〉
[下接語] 御(お)旅・帰らぬ旅・神の旅・死出の旅・長旅・俄(にわか)旅・一人旅・船旅・股(また)旅・宿無し旅
[補説]2015年に実施した「あなたの言葉を辞書に載せよう。2015」キャンペーンでの「旅」への投稿から選ばれた優秀作品。◆心に栄養をくれるもの。みみさん◆行く時はうきうき、帰ってきた時はくたくた、でもまたわくわくしてくるもの。Kouheiさん◆日頃の自分とは違う、心の奥底に眠っている自分を思う存分解放させてあげる時間。ぷくさん◆不足している何かを求め行動すること。何かとは旅によって異なり、それが意外なものである場合や、見つからないことなどもある。kamekoさん◆異邦人の舌。海外旅行中など日本を遠く離れると、日本食が恋しくなったり、特別に美味しいと感じること。ひのもとさん◆実際に、あるいは想像上で、時間と空間の移動をすること。元のところに帰ってくることが前提になっているので、移動したまま戻らないことは旅とは言わない。らんるるさん◆本当の自分なるものを見つけるためではなく、自分が変わっていけることに気づくためなされる試行錯誤。パスキュラさん◆想像を働かせ、感じること、触れること、見つめること、澄ますこと。そして、受け入れること。ゆずさん◆普段の生活とは異なる環境に身を置き、人と出会い、その土地特有の空気に触れることによって、新しい価値観や視点を得ることができ、これまでの自分を振り返り、これからの自分への活力となるきっかけを与えてくれるもの。daisukeさん</t>
        </is>
      </c>
      <c r="D5186" t="inlineStr">
        <is>
          <t>旅舎；旅姿；旅支度；旅長；旅管</t>
        </is>
      </c>
      <c r="E5186" t="inlineStr">
        <is>
          <t>旅行；航海；渡航；トリップ；トラベル</t>
        </is>
      </c>
      <c r="F5186" t="inlineStr">
        <is>
          <t>一緒に旅；旅旅；遠い旅；山旅；混成旅</t>
        </is>
      </c>
      <c r="G5186" t="inlineStr">
        <is>
          <t>旅館；旅客；旅人；旅団；旅行者</t>
        </is>
      </c>
      <c r="H5186" t="n">
        <v>29</v>
      </c>
      <c r="I5186" t="inlineStr">
        <is>
          <t>二人は旅の中で出会う様々な人の中に次々と生きる意味を発見して行く。；現在の旅は非常に多様であり、さまざまに分類することが可能である。；鶴瓶らの旅ロケとは別に、スタッフが旅の舞台となった町の魅力を取材。；その小説の多くはヨーロッパに住んでいるか旅しているアメリカ人を描いている。；ここから始まる一連の結婚が彼の旅を特徴的なものにしている。；広辞苑によると、旅とは、住む土地を離れて、一時他の土地に行くこと。；そして続く翌年からしばらくの旅は「死」が支配的なテーマとなった。；ヨーロッパを旅し、街中で演奏しながら自身の音楽を発展させていく。；趣味で自転車旅をはじめたのがきっかけで、自転車輪行エッセイを執筆。；ティルテュ国第一王子であるヴァルムは王になるために修行の旅に出る。；するとその鳥はまた群れに戻って旅を続けていったのである。；彼女は王国内を広く旅し、国王の権威を守らせ戦争を阻止しようと努めた。；板尾創路が家庭用ビデオカメラを手に東海3県各地を旅をしていた企画。；アルバニア難民の少年と命賭けの旅をともにしたセリムの遺体であった。；彼はこれらの旅で得た知見をまとめ『歴史』と呼ばれる著作を残した。；旅の分類と言ってもさまざまな方法があるが、例えば次のような分類が可能である。；無職で収入がないことから立石の車での野宿をしながらの旅であった。；旅法師は己の不明を恥じながらも、人間の良心に希望を見出すのだった。；旅に出ることも多く、様々な土地でのエピソードが度々楽曲に反映されている。；日本語にいう旅団の語は古代中国の軍隊の単位である旅に由来する。；非難の嵐から逃げるようにディズレーリはフランス・イタリアの諸都市の旅に出た。；現代と比べて娯楽が少ない当時、旅の持つ意味ははるかに大きかった。；主に関東地方を旅しており、関東の鉄道路線はほぼすべて取り上げている。；この曲にはロシア語の会話や宇宙の音が使われ、宇宙船の旅を描いている。；玉緒、美代子に知っているようで知らないメキシコの勉強をしてもらう旅。；彼は世界中の科学会議、大学、そして同僚の家庭の間を旅していた。；人々はカヌーで旅したが、それは内なる英知に導かれてのことだった。；そこで旅には慣れているだろうと税金を納めに行くことになった。；旅の先々での人々との出会い、別れを経て辿り着くのは世界の真実。</t>
        </is>
      </c>
      <c r="J5186">
        <f>HYPERLINK("https://www.weblio.jp/content/旅", "词义详情")</f>
        <v/>
      </c>
      <c r="K5186">
        <f>HYPERLINK("https://yourei.jp/旅", "查看例句")</f>
        <v/>
      </c>
    </row>
    <row r="5187">
      <c r="A5187" t="inlineStr">
        <is>
          <t>足袋</t>
        </is>
      </c>
      <c r="B5187" t="inlineStr">
        <is>
          <t>成功</t>
        </is>
      </c>
      <c r="C5187" t="inlineStr">
        <is>
          <t>読み方：たび
主として和装のときに、足にはく袋状の履き物。甲と底との部分からなり親指だけが別に分かれ、現在では鞐(こはぜ)留めになっている。キャラコ・別珍などで作り、古くは革製のものもあった。防寒・礼装に用いる。《季冬》「—はいて寝る夜ものうき夢見かな／蕪村」</t>
        </is>
      </c>
      <c r="D5187" t="inlineStr">
        <is>
          <t>足袋をはい(4%)；足袋製造；足袋屋；足袋をはか；足袋生産</t>
        </is>
      </c>
      <c r="F5187" t="inlineStr">
        <is>
          <t>白い足袋；紺足袋；黒足袋；革足袋；毛足袋</t>
        </is>
      </c>
      <c r="G5187" t="inlineStr">
        <is>
          <t>足袋屋；足袋跣；足袋蔵</t>
        </is>
      </c>
      <c r="H5187" t="n">
        <v>29</v>
      </c>
      <c r="I5187" t="inlineStr">
        <is>
          <t>足袋は全国に数十の工場が立って、年に何千万足を作って売っている。；足袋生産の多くを下請け工場や内職従事者に依存した生産体制であった。；彼は二十四五歳のころからもう足袋工場の社長で、子供も二人ぐらい居た。；爪の先がもう少々白くなって居るが今はいて居るのがその足袋である。；半分以上はみだした足袋の裏が、汚れないように歩くのがコツだという。；享保になって、はじめて筒の短い足袋が一般化し、これを半靴と称した。；それにまた黒足袋といふと私には、ちよつと忘れられない思ひ出がある。；かなり遠方まで行って来たらしいのは足袋の汚れ方でも想像がつく。；姿勢が良いためか着物も着崩れておらず、足袋も目に染みるほど白い。；そして母親自身もまたおなじく足袋をはいた一人にちがひなかつた。；基本的な構造は通常の足袋と変わらないが、汚れが付きにくい素材を使用する。；人型に窪んだベッドの上に、母の小さな足袋が片方だけ置かれていた。；やがて、足袋裸足で走る足音が近づいてきて、先ほどの女中が戻ってきた。；これは日本人が足袋をはいたところが豚の足のようだからである。；私は人間のからだの中で一番足が眼につくと言つた足袋屋のあることを知つてゐる。；足袋は今はくのがありませんから、純綿ではない何かお送りいたします。；全身真っ黒で、鼻の頭と四本の足の先が足袋を穿かせたように白かった。；そのとき足袋に血が付いたので、それを処分したと自供しています。；ソフトバンク時代から球界では珍しい足袋型のスパイクを使用している。；足袋のまま逃げようかと迷ったとき、主人の五平がこちらにやってきた。；足袋はだしで歩いているため、足袋がひどく汚れていることに気がついた。；相手の女の足袋の白さが、八重子には、眼にしみるように思われました。；東大阪足袋工業は戦火を避け、工場を徳島県に移転して生産にあたった。；シーンとした中で白い足袋が目についたと思ったら、ポカッとなぐられた。；足袋やなどを家のもので心配してやらねばならないのだ。；ワイシャツも汚れているし、よく見ると靴足袋も踵に穴があいてるの。；シャツにズボンだけしか身につけていず、足袋もはいていなかった。；足袋を履いて畳の上を歩くと、衣擦れの音がするんだなと、初めて知った。；白泡のさし引く汀を行くと草鞋の底から足袋のうらがしめつて心持がよい。</t>
        </is>
      </c>
      <c r="J5187">
        <f>HYPERLINK("https://www.weblio.jp/content/足袋", "词义详情")</f>
        <v/>
      </c>
      <c r="K5187">
        <f>HYPERLINK("https://yourei.jp/足袋", "查看例句")</f>
        <v/>
      </c>
    </row>
    <row r="5188">
      <c r="A5188" t="inlineStr">
        <is>
          <t>旅立つ</t>
        </is>
      </c>
      <c r="B5188" t="inlineStr">
        <is>
          <t>成功</t>
        </is>
      </c>
      <c r="C5188" t="inlineStr">
        <is>
          <t>読み方：たびだつ
［動タ五（四）］
１
㋐旅に出る。かどでをする。「北海道へ—・つ」
㋑新しい生活に向けて出発する。かどでをする。「社会人として人生に—・つ」
２亡くなる。死ぬ。「天国へ—・つ」
３旅先にいる。旅に出ている。
「—・ちたる所にて下衆どもざれゐたる」〈枕・九六〉
４旅人らしいようすである。旅先のようである。
「中にたてる人も—・ちて狩衣なり」〈かげろふ・上〉</t>
        </is>
      </c>
      <c r="D5188" t="inlineStr">
        <is>
          <t>旅立つべしとノルドール</t>
        </is>
      </c>
      <c r="E5188" t="inlineStr">
        <is>
          <t>死去；死亡；死ぬ；消える；亡くなる</t>
        </is>
      </c>
      <c r="F5188" t="inlineStr">
        <is>
          <t>目指して旅立つ；再び旅立つ；向かって旅立つ；求めて旅立つ；共に旅立つ</t>
        </is>
      </c>
      <c r="G5188" t="inlineStr">
        <is>
          <t>旅立つ想い</t>
        </is>
      </c>
      <c r="H5188" t="n">
        <v>29</v>
      </c>
      <c r="I5188" t="inlineStr">
        <is>
          <t>十日以内に僕はパリに向けて旅立つが、よくそのことを承知しています。；その朝シーザーは妻と二人でヨーロッパに旅立つことになっていたのだ。；ヨイチの家で、姉は日本に旅立った昔とまったく変っていませんでした。；子供心にそう信じて、いつか自分も旅立つのだと心に決めていたものです。；三人はそこで、いよいよ日本に向けて旅立つことを知らされたのである。；地球を旅立った人類は新たな惑星に植民を行い、幾つかの国を建国する。；私は信心深い人間ではないが、その瞬間に彼の魂が旅立ったのだと感じた。；この港から、大陸で一旗揚げようとする日本人が数多く旅立って行った。；英介は、長男の新吉が生れぬ前に学校を放擲するとアメリカへ旅立つた。；旅立つ前に、自分は彼女が言わないでくれと囁いた言葉を告げるだろう。；女の話では、翌日には男は筏乗りたちと一緒に旅立つ様子だったそうです。；ドンの子孫たちがプリデインから旅立つことが知れわたったからだった。；私は困ったと思いながら、それなり祖母の埋骨式に旅立ったのであった。；そして恋人と欧州へ旅立つのだが、これが悲劇の始まりとなってしまう。；しかし今のショックでふたたび向こう側の世界に旅立ってしまったらしい。；クリア戦が終わった後はわずかな笑顔を見せてまたどこかへ旅立って行った。；このころ、彼はお金を集めるために世界の多くの場所へ旅立ったのである。；ブレードの街から旅立つときに、彼はこの一行のリーダーに選ばれたのだ。；しかし菊地兄弟はツアーを続けるために父と別れ、関西方面に旅立った。；あなたは遠い国へ旅立って、なん年ものあいだいなくなろうとしているのです。；星々の彼方をめざして旅立ったものもいたが、これはごくわずかだった。；解放され、自由を求めて母国へと旅立った人々の姿が目に浮かぶようだ。；時は流れ、成長した主人公は、帰らぬ父を捜すために旅立つ決意をする。；そこでいよいよマルコは父親も承知してくれたので旅立つことになりました。；小さな手で真九郎の服を掴み、紫は眠りの国へ旅立ってしまっていた。；そのために、自分は離婚し、別の人と再婚するため、アメリカへ旅立つ。；彼女から別れることが、旅立つごとにぼくの感じた唯一の苦痛だった。；絵画学校で学んだ後、イタリアを離れ、ロンドンに旅立つ機会を得た。；クネヒトは一時は、もう彼に全然会わずに、旅立つことさえ考えていた。</t>
        </is>
      </c>
      <c r="J5188">
        <f>HYPERLINK("https://www.weblio.jp/content/旅立つ", "词义详情")</f>
        <v/>
      </c>
      <c r="K5188">
        <f>HYPERLINK("https://yourei.jp/旅立つ", "查看例句")</f>
        <v/>
      </c>
    </row>
    <row r="5189">
      <c r="A5189" t="inlineStr">
        <is>
          <t>たびたび</t>
        </is>
      </c>
      <c r="B5189" t="inlineStr">
        <is>
          <t>成功</t>
        </is>
      </c>
      <c r="C5189" t="inlineStr">
        <is>
          <t>読み方：たびたび
［副］何度も繰り返し行われるさま。いくども。しばしば。「—注意したが聞き入れない」「—の不始末をわびる」
[用法]たびたび・しばしば——「たびたび（しばしば）事故の起こる交差点」など、同じ事が繰り返される意では相通じて用いられる。◇「たびたび」が日常一般のことに多く使われる日常語であるのに対し、「しばしば」は文章語的用法が多い。「たびたびお邪魔してすみません」「戦争は人間の歴史にしばしば繰り返される愚行だ」◇類似の語に「よく」がある。何度もの意では「たびたび」と同じように使われるが、十分に、念を入れての意で「よく注意した」というような用いられかたもする。</t>
        </is>
      </c>
      <c r="D5189" t="inlineStr">
        <is>
          <t>たびたび登場する；たびたび行わ；たびたび取り上げられ；たびたび起き；たびたび起こる</t>
        </is>
      </c>
      <c r="E5189" t="inlineStr">
        <is>
          <t>多く；よく；まま；つい；しばしば</t>
        </is>
      </c>
      <c r="F5189" t="inlineStr">
        <is>
          <t>あまりたびたび；以後たびたび；たびたび諫めた；たびたびくり返す；たびたび禁止令</t>
        </is>
      </c>
      <c r="H5189" t="n">
        <v>29</v>
      </c>
      <c r="I5189" t="inlineStr">
        <is>
          <t>活動の様子はテレビや雑誌など各メディアでたびたび取り上げられている。；このころの作品には湖水地方に実在する建物や人物がたびたび登場する。；優秀なマリはたびたびこの役を指名されたが、それは大変な屈辱だった。；たびたび霧が発生し、その際には視界が悪く、走行には注意が必要になる。；その後は若年層を除いて極端なミニスカートの流行がたびたび見られる。；日食観測にもたびたび参加し、太陽関係の理論的な研究も行っている。；平和主義ゆえにたびたび友会は歴史上平和教会のひとつとみなされてきた。；連載終了後も本誌の広告の企画コーナーでイラストがたびたび掲載されていた。；ストーリー内にたびたび登場する地名・組織・架空の国を紹介する。；ただし、これまで放送されていた番組が終了したなどの理由でたびたび復活もする。；基本的にSNPが反英主義であることはたびたび指摘されている。；このマークを模造品から守るため、マークはたびたび変えられてきた。；たびたび歌っていた本人よりも曲を知っていることがある。；さらに、取材先では、日本代表の選手や関係者にたびたび遭遇している。；奴隷人間に改造された人間の悲劇を描いたハードなドラマもたびたび描かれた。；スカンジナビア航空では、以下の通りに事故がたびたび発生している。；このような状況のために、たびたび大きな事故も発生してきた。；川が近いこともあり駅周辺はたびたび浸水する被害が出ている。；この後、たびたびイベントに「元ウイングス」が登場することになった。；発生地から比較的離れた地域でも、黄砂による被害をたびたび受けている。；現当主の43代任顕は一関市の各種イベントにたびたび参加している。；フランコ政権からはたびたび帰国要請があったが、彼は終生拒否し続けた。；映画でもたびたび使われるが、名前だけで実物が登場することはほとんどない。；アマトリーチェでもたびたび離脱を求める住民投票実施が迫られている。；速度域の高さや接戦の多さから、レース中には事故もたびたび発生している。；諏訪をモデルにしたキャラクターが、作品にたびたび登場している。；関西電力の社長・会長はたびたび関西経済連合会会長に就任している。；このため昭和天皇の政治関与の動きにはたびたび懸念を示している。；他にも2011年の復活以降は様々な形でたびたびWWEの番組に登場している。</t>
        </is>
      </c>
      <c r="J5189">
        <f>HYPERLINK("https://www.weblio.jp/content/たびたび", "词义详情")</f>
        <v/>
      </c>
      <c r="K5189">
        <f>HYPERLINK("https://yourei.jp/たびたび", "查看例句")</f>
        <v/>
      </c>
    </row>
    <row r="5190">
      <c r="A5190" t="inlineStr">
        <is>
          <t>だぶだぶ</t>
        </is>
      </c>
      <c r="B5190" t="inlineStr">
        <is>
          <t>成功</t>
        </is>
      </c>
      <c r="C5190" t="inlineStr">
        <is>
          <t>［副］(スル)
１容器に液体がたくさん入っていて揺れ動くさま。「バケツの水が—（と）揺れる」「ビールの飲みすぎで腹が—（と）する」
２液体がたくさんふりかかるさま。「ソースを—（と）かけて食べる」
３衣服などが大きすぎてゆるいさま。また、太りすぎて、肉がたるんでいるさま。ぶかぶか。「兄のお下がりの—（と）したズボン」
４《「南無阿弥陀仏(なむあみだぶつ)」にかけて》経を読むさまを表す語。
「ここに—といふ僧あれば、かしこにぶうぶうをいふ俗あり」〈滑・浮世風呂・前〉
［形動］
１1に同じ。「飲みすぎで腹が—になる」
２3に同じ。「—なシャツ」
［アクセント］はダブダブ、はダブダブ。</t>
        </is>
      </c>
      <c r="D5190" t="inlineStr">
        <is>
          <t>だぶだぶのズボン(8%)；だぶだぶの服(4%)；だぶだぶの上衣；だぶだぶの黒い；だぶだぶのジーンズ</t>
        </is>
      </c>
      <c r="E5190" t="inlineStr">
        <is>
          <t>ダブダブ；ユルユル；ダボダボ</t>
        </is>
      </c>
      <c r="F5190" t="inlineStr">
        <is>
          <t>白いだぶだぶ；長いだぶだぶ</t>
        </is>
      </c>
      <c r="H5190" t="n">
        <v>29</v>
      </c>
      <c r="I5190" t="inlineStr">
        <is>
          <t>すると三郎はさっきのだぶだぶの白い服の人のところへ行きました。；おかげで冬から春にかけて買ったものがすべてだぶだぶになってしまった。；靴を穿かうとすると、他人のと間違へたのではないかと思ふ位だぶだぶだ。；あの下から豊かな水がだぶだぶと音を立てて流れ出しているのではあるまいか。；だぶだぶで型くずれした花模様のドレスを着た女が台所から出てきた。；靴を穿こうとすると、他人のと間違えたのではないかと思う位だぶだぶだ。；そのだぶだぶの服の下にはいっているのは骸骨ではないかと想像したいほどだった。；滑空時に揚力を得るため、特殊素材のだぶだぶの全身スーツを着ている。；下の方が巨大な《象の脚》のようにふくれ上ったひどくだぶだぶの袴を。；押し分けるようにして入ってきたものが、体の奥のほうをだぶだぶと突く。；だぶだぶのズボンのポケットに手が入れられなくていらいらしている。；きみのだぶだぶのフランス型ズボンに、こっちもフランス語で挨拶しよう。；だぶだぶと肉のついた女がギターに合わせて、初歩のステップを教える。；高木は茶色のだぶだぶした外套のようなものを着て時々隠袋へ手を入れた。；いまこそ彼はその称号が、 だぶだぶで体に合わぬことを痛感しているのだ。；そいつが、俺達の前でぴたりと足をとめ、だぶだぶだぶと経を唱えだした。；ただ服がないので、艦長のだぶだぶの大きな軍服を着ているのが、滑稽だ。；腕が6本あり、普段はそれを隠すためにだぶだぶの服を着ています。；どう見ても、このだぶだぶの上着は、よほどの大男のお古にちがいない。；キップムジョの娘たちには軍服がだぶだぶで、指の先しか出ていない娘もいた。；それはいやに長くすそをひいた、だぶだぶの外套みたいな服でありました。；夏になるとひどくだらしないだぶだぶのズボンをはいてくる。；男は薄汚れたシャツと、ステテコに似ただぶだぶのズボンという格好だ。；だから一人の時は必ず男性用の大きなだぶだぶのパジャマを着る。；その上、ひどくだぶだぶの服を着ているので、よけい肥満して見える。；だぶだぶした胸を半分まで見せていたが、昔の形を想像させるだけに、なお不愉快であった。；上位階級は、だぶだぶのバローチー様式のサルワールを着ることが多い。；その男はだぶだぶの黒いスーツをきわめて端正に着ていました。；それもみなだぶだぶのサイズだからかもしれない。</t>
        </is>
      </c>
      <c r="J5190">
        <f>HYPERLINK("https://www.weblio.jp/content/だぶだぶ", "词义详情")</f>
        <v/>
      </c>
      <c r="K5190">
        <f>HYPERLINK("https://yourei.jp/だぶだぶ", "查看例句")</f>
        <v/>
      </c>
    </row>
    <row r="5191">
      <c r="A5191" t="inlineStr">
        <is>
          <t>ダブる</t>
        </is>
      </c>
      <c r="B5191" t="inlineStr">
        <is>
          <t>成功</t>
        </is>
      </c>
      <c r="C5191" t="inlineStr">
        <is>
          <t>［動ラ五］《名詞「ダブル」の動詞化》
１二重になる。重複する。同じ物事が二つ重なる。「字が—・って見える」「昨日は会合が二つ—・った」
２落第して同じ学年を二度する。留年する。「卒業単位が足りなくて一年—・った」
３野球で、ダブルプレーをする。「—・られてチェンジとなる」
４テニスなどで、ダブルフォールトをする。「サーブを—・る」</t>
        </is>
      </c>
      <c r="D5191" t="inlineStr">
        <is>
          <t>重なる；被る；重複する；重なり合う；ダブらせる</t>
        </is>
      </c>
      <c r="H5191" t="n">
        <v>29</v>
      </c>
      <c r="I5191" t="inlineStr">
        <is>
          <t>にもかかわらず、私には現実のすべての相が二重にダブって見える。；このアルバムではレゲエやダブが積極的に取り入れられ、好評価を得た。；詩を書かなくなった桜井砂夫が、フランチェスカッティの印象にダブる。；むろん一回もそれはダブって与えられたことはないですが。；この二ツがいつダブることによって騒動になるか誰も今後の保証はできん。；こうしてその観点から見れば、角のイメージは硯と見事にダブることになる。；ダブは彼が労働者をより知ることが大事だと感じている。；表情も言葉も観客に伝えたいのなら、台詞に文字をダブらせればよい。；ダブは次第に、パンク・ロックやロックの分野でも取り入れられていった。；栄次郎さんの身体にダブって見える獣の姿はじょじょに濃くなっていった。；昔の私の姿とダブったせいもあるだろうけれど、痛々しくて見ていられなかった。；幼い頃、近づいちゃいけませんよと母に教えられたタイプの男性と才人がダブる。；ダブった以上当然のことだが、僕の周りにいるのは後輩ばかりだ。；どうも「ひらり」の登場人物と私個人がピタリとダブってしまうらしい。；ダブって処方させるため、いくつもの病院を回るのも手間と時間がかかる。；名簿がダブっていたのは単純な書類のミスで、お父さんは戦死したとしか考えられない。；安っぽいテレビドラマで描かれるイメージとダブらせているのかもしれない。；大きな部屋の石の壁にそれが反響して幾つにもダブった。；リストにはお前とポジションのダブる選手が他に二人いた。；それだと我々の記事とダブる可能性がでてくる。；あれは寺岡自身が後で埋めたものだから、他人とダブる心配はない。；満男の一途な恋に自分自身をダブらせた寅次郎は、恋の指南を決心する。；水洗だとそれにザーッという水の音がダブって壮絶なる一大穴響楽となる。；上げたのは確かに右腕一本なのに、それにダブっておびただしい数の手が見えたのである。；私はやっと、その中年の男の顔に、ある面影をダブらせることができたのである。；役の付く風牌がダブ東しかなく、役のつかない南西北をすべて刻子にしている。；それに何だか恭子と妹の愛をダブらせていたのかも知れない。；義母の顔が、摶動に合わせてかすかに揺れている自分の剛棒とダブって見えた。；その後のアルバムには、アンビエントやダブの要素も組み込みまれていた。</t>
        </is>
      </c>
      <c r="J5191">
        <f>HYPERLINK("https://www.weblio.jp/content/ダブる", "词义详情")</f>
        <v/>
      </c>
      <c r="K5191">
        <f>HYPERLINK("https://yourei.jp/ダブる", "查看例句")</f>
        <v/>
      </c>
    </row>
    <row r="5192">
      <c r="A5192" t="inlineStr">
        <is>
          <t>たぶん</t>
        </is>
      </c>
      <c r="B5192" t="inlineStr">
        <is>
          <t>成功</t>
        </is>
      </c>
      <c r="C5192" t="inlineStr">
        <is>
          <t>読み方：たぶん
神経ガスの一種。アーモンドのようなにおいのする液体。猛毒で、吸入すると呼吸筋の麻痺(まひ)により窒息死する。</t>
        </is>
      </c>
      <c r="D5192" t="inlineStr">
        <is>
          <t>たぶんかれ；たぶんそういう；たぶんもっと；たぶん間違いない；たぶんこれから</t>
        </is>
      </c>
      <c r="E5192" t="inlineStr">
        <is>
          <t>おそらく；多分；恐らく；たしか；大抵</t>
        </is>
      </c>
      <c r="F5192" t="inlineStr">
        <is>
          <t>ごたぶん；たぶん大丈夫だろ；たぶん無理だろ；たぶんあの人；たぶんご存じない</t>
        </is>
      </c>
      <c r="G5192" t="inlineStr">
        <is>
          <t>たぶん悪魔が</t>
        </is>
      </c>
      <c r="H5192" t="n">
        <v>29</v>
      </c>
      <c r="I5192" t="inlineStr">
        <is>
          <t>画面の他の部分は、一面に煙であってたぶん戦争を示したものであろう。；われわれのおりたころにはたぶん頂上近くまで登っていたことであろう。；実際のところはそれほどでもあるまい、たぶん評判だけのことであろう。；たぶん医者は、このノートさえ書くのにやっとだったに違いないんだよ。；たぶん座乗者が勝手に進行の方向を変えるための舵のようなものらしい。；たぶんこのためにブルージャケットが戦闘では戦士の指導者に選ばれた。；たぶん友達に知られたくないんだ、英国にいることや事故ったことを。；たぶん牡牛を家へ連れて帰るようにとでもいいつけたことと思われた。；そしてたぶんこれからどちらの方に行こうかも考えてはいないのだ。；これはたぶん起源が違い尊敬にも同情にも値しないし恐怖する必要も無い。；たぶん、もう一ぴき犬をうでの下にかかえているのだとわたしは思った。；そしてユダヤ人らがいなかったら、たぶんそれは知られずに終わるだろう。；たぶん壮二君が庭で遊んでいて、そのへんにすてておいたものでしょう。；たぶん小説家たちの物と一しよに馬込の家に残して来たものと思はれる。；たぶんジャヴェルが捕虜になってることを知ってきたのかも知れない。；たぶん、ここから三流劇画ブームはスタートしていったはずなのである。；そしてこれからもたぶん一生いじめられ通しで行くんだと思うんです。；たぶん彼の家にあるだろうと狙いをつけるにきまっている金箱のために。；たぶんそれは次の事情からして「黄松が池」と呼んでもよいかもしれない。；たぶん、子供の頃に近所の犬に石を投げて噛まれたことがあるからだろう。；そこから動いたならば、たぶんこの人らはわしを殺すだろうと思ったですよ。；後ろから心臓をやられたのですから、たぶん声も立てずに死んだのでしょう。；ここに収められている詩もたぶん晋のために作られたものであろう。；谷村夫妻はたぶん各々の恋をすることになるだろうと私は考えていた。；四つ辻から二軒目に緑屋と看板のかかったたぶん宿屋と思われる家がある。；この習慣はたぶんあるわからない衛生上の理由もあってのことかもしれない。；たぶん、これらのうちの大部分は、なお今日も続いていることと思われる。；たぶん田舎の小大名相手の小競合いや火事ドロ的合戦の時の話であろう。；たぶん家元へ向ってのわたくしに花嫁候補の資格が欠けるためでしょう。</t>
        </is>
      </c>
      <c r="J5192">
        <f>HYPERLINK("https://www.weblio.jp/content/たぶん", "词义详情")</f>
        <v/>
      </c>
      <c r="K5192">
        <f>HYPERLINK("https://yourei.jp/たぶん", "查看例句")</f>
        <v/>
      </c>
    </row>
    <row r="5193">
      <c r="A5193" t="inlineStr">
        <is>
          <t>食べ物</t>
        </is>
      </c>
      <c r="B5193" t="inlineStr">
        <is>
          <t>成功</t>
        </is>
      </c>
      <c r="C5193" t="inlineStr">
        <is>
          <t>読み方：たべもの
食用にするもの。また、飲み物に対して、噛んで食べるもの。しょくもつ。</t>
        </is>
      </c>
      <c r="D5193" t="inlineStr">
        <is>
          <t>食べ物屋；食べ物さがし；食べ物オペラ；食べ物飲み物；食べ物屑</t>
        </is>
      </c>
      <c r="E5193" t="inlineStr">
        <is>
          <t>食物</t>
        </is>
      </c>
      <c r="F5193" t="inlineStr">
        <is>
          <t>嫌いな食べ物；苦手な食べ物；おいしい食べ物；どんな食べ物；甘い食べ物</t>
        </is>
      </c>
      <c r="H5193" t="n">
        <v>29</v>
      </c>
      <c r="I5193" t="inlineStr">
        <is>
          <t>使用すると満腹度が減少し食べ物を食べることで回復することが出来る。；人は食べ物を口にするときに言葉も食べていることを示したのです。；食べ物では卵が好きで一度の食事で15個食べることもあったという。；ただし生息数が多い地域では、日中にも食べ物を探しに現れることもある。；人々が食べ物を買うために列に並ぶのは、よく見られる光景となった。；また市内ではオランダとベルギーの両方の食べ物を楽しむことが出来る。；想像した物が食べ物であれば本物と同じ味や匂いもし、食べることもできる。；その場合は大抵アーティスト自身が好きな食べ物に関する問題であった。；ボックスが取り付けられているページ内のデータを食べ物としている。；基本的に棒のどちらか一端のみが食べ物に接触することが前提となっている。；洞窟や山に隠れている患者を発見し、食べ物、衣服を与え共に礼拝した。；この二品は伝統的に基本的な食べ物としてパンの代わりにされてきた。；キングは、自分に食べ物をくれるアボリジニらの世話になることにした。；彼は子どもに食べさせるものもなく地主に食べ物を求めにきたのだ。；口の中に食べ物を含んだまま眠ってしまうこともあったという。；千年以上の歴史を持つ食べ物であり、中国全土で広く食べられている。；中華系の子孫を意味するババ・ニョニャの料理を代表する食べ物である。；日本時代には少なくとも食べ物がなくて死んだ人はいなかった。；予防や治療的観点からはこれらの食べ物を避けることも重要である。；実際には食べ物などで通常回復できる最大値よりもさらに少し多く回復する。；餓鬼憑きに遭った場合には食べ物を口に入れることで逃れられるとされる。；途中でSTOPと書かれた場所では全ての食べ物を食べ集めなければならない。；この場合食べ物の匂いがしても動かないものには反応しない。；食べ物の形容などによく登場し、ほとんどの場合よい意味で使われる。；好きな食べ物はカレーライスであり、子供の頃から好きだったという。；また、これとは別に食べ物などの回復アイテムが出現する場合もある。；現在は野菜や卵を茹でるなど食べ物の用途に使われる場合がほとんどである。；ある日、男が牛で食べ物を山に運んでいる途中、天之日矛と出会った。；早く刈込んで来なければ、たべ物ばかりか、焚き物にも困るじゃないか。</t>
        </is>
      </c>
      <c r="J5193">
        <f>HYPERLINK("https://www.weblio.jp/content/食べ物", "词义详情")</f>
        <v/>
      </c>
      <c r="K5193">
        <f>HYPERLINK("https://yourei.jp/食べ物", "查看例句")</f>
        <v/>
      </c>
    </row>
    <row r="5194">
      <c r="A5194" t="inlineStr">
        <is>
          <t>食べる</t>
        </is>
      </c>
      <c r="B5194" t="inlineStr">
        <is>
          <t>成功</t>
        </is>
      </c>
      <c r="C5194" t="inlineStr">
        <is>
          <t>読み方：たべる
［動バ下一］［文］た・ぶ［バ下二］《尊敬語「たぶ」（四段）に対応する謙譲語》
１食物をかんで、のみこむ。「生(なま)で—・べる」「ひと口—・べてみる」
２暮らしを立てる。生活する。「なんとか—・べていくくらいの蓄えはある」
３
㋐「食う」「飲む」の謙譲語。いただく。食(とう)ぶ。
「御仏供(ぶく)のおろし—・べむと申すを」〈枕・八七〉
㋑「食う」「飲む」を、へりくだる気持ちをこめて丁寧にいう語。
「さかづきが—・べたいと申して参られてござる」〈虎明狂・老武者〉
「私は茶が嫌ひだから、これを—・べます」〈滑・浮世風呂・前下〉
[補説] 本来は上位者からいただく意。ありがたくいただいて食す意から、自己の飲食する行為をへりくだって言うようになり、さらに、「食う」をやわらげていう丁寧な言い方に変わった。現代語では「食う」に比べれば丁寧な言い方であるが、敬意はほとんどない。また、現代では一般に飲む行為には用いられない。</t>
        </is>
      </c>
      <c r="D5194" t="inlineStr">
        <is>
          <t>生活；食事；生きる；上がる；食う</t>
        </is>
      </c>
      <c r="F5194" t="inlineStr">
        <is>
          <t>かけて食べる；よく食べる；好んで食べる；そのまま食べる；焼いて食べる</t>
        </is>
      </c>
      <c r="G5194" t="inlineStr">
        <is>
          <t>食べる通信；食べるラー油；食べる女；食べる調味料</t>
        </is>
      </c>
      <c r="H5194" t="n">
        <v>29</v>
      </c>
      <c r="I5194" t="inlineStr">
        <is>
          <t>なお、命の木の実はこの時は食べてはいけないとは命令されてはいない。；日本で枝豆が食べられるようになったのは17世紀ごろといわれている。；馬歯は一生を通じて硬い草を食べ続けるため上下に長い形状をしている。；食性から肉に毒が含まれることもあり、食べた人が中毒死した例もある。；さて菜を食べようとしたとき、隣の席から大声で話すのが聞こえてきた。；脂肪が多い肉を食べるようにすると、2日以内に身体は完全に回復した。；昼はそばなどを軽く食べ、夜は酒の肴をあてにひたすら酒を飲んでいた。；あんたがものを食べようとしない日があろうとは、夢にも思わなかった。；獣肉を食べることを禁じられていた仏教徒の多い国ではより重視される。；食事の際の口直しや皿のソースを拭って食べるためにパンが提供される。；デンマークやスウェーデンなどヨーロッパで、古くから食べられてきた。；三人の中で私がいちばん好き嫌いがないほうだし、責任持って食べよう。；食べ物では卵が好きで一度の食事で15個食べることもあったという。；食べるのであれば食後にブラッシングを行うか水で口をすすぐのがよい。；これらは生のままで食べるだけでなく、ジュースにして飲むことも多い。；彼らは狂人のように笑い、落ちてくる雪の破片を食べようとしたりした。；突然一人の僧が現れ、手に持っていた梨の実を私に与えて食べさせてくれた。；食麺麭の切れを持たしたが食べようともしないですぐに捨ててしまった。；そのため毎日食べつづけることは栄養学的に好ましくないとされている。；イタリアでは滋養のあるものや重い食べ物を木曜日に食べる習慣がある。；皮と内部はどちらも生のままあるいは調理して食べることができる。；作る場である台所は、食べる場である食堂との関係が非常に重要になってくる。；僕はその間に、あまり減っていないパンを食べようとお皿に手を伸ばす。；釘宮理恵も仕事終わりに川澄の料理を食べに来る時があるとのことである。；クラッカーの上などにその塊を乗せて食べる場合などに利用される。；すると、北から鳥の群れが飛んできて、蝗を食べ尽くしてしまいました。；彼は15歳から21歳まで菜食を行ったが、それ以外では何でも食べた。；花床がやわらかく発達して食べられるようになるイヌマキなどの例がある。；自分のそばでよくねんねしている鶏のひよこを食べようかと思いました。</t>
        </is>
      </c>
      <c r="J5194">
        <f>HYPERLINK("https://www.weblio.jp/content/食べる", "词义详情")</f>
        <v/>
      </c>
      <c r="K5194">
        <f>HYPERLINK("https://yourei.jp/食べる", "查看例句")</f>
        <v/>
      </c>
    </row>
    <row r="5195">
      <c r="A5195" t="inlineStr">
        <is>
          <t>他方</t>
        </is>
      </c>
      <c r="B5195" t="inlineStr">
        <is>
          <t>成功</t>
        </is>
      </c>
      <c r="C5195" t="inlineStr">
        <is>
          <t>読み方：たほう
１ほかの方面。別の方向。また、二つのものの、もう一方。「一方は丸、—は四角」
２（副詞的に用いて）ほかの方面から見ると。一方。「—、悪いこととは必ずしもいえない」</t>
        </is>
      </c>
      <c r="D5195" t="inlineStr">
        <is>
          <t>他方当事者；他方ローマ；他方海洋；他方カルタゴ；他方ベルナドット</t>
        </is>
      </c>
      <c r="E5195" t="inlineStr">
        <is>
          <t>一方で；その一方；もう一方；もう片方；はたまた</t>
        </is>
      </c>
      <c r="H5195" t="n">
        <v>29</v>
      </c>
      <c r="I5195" t="inlineStr">
        <is>
          <t>親であった方に近く奉公した人と思うことで親しまれるのであるらしい。；これはよした方がいいし、本人も近頃は気づいて直しているようである。；また他方では、作品搬入の面倒さから来る苦労を避けたくもありますし。；そして、此処へ着くとすぐ自分が勝手にあなた方へ手紙を書いたのです。；あの時真っ先にあなた方のところへ連絡を入れたのが何よりの証拠です。；おまえがなぜここにいるのか、正直に申したてたほうが身のためだぞ。；負けた方は旅行中、勝ったほうのサポートのみに徹しなければならない。；おまえみたいな疫病神は、死んでしもうたほうが世のため人のためじゃ。；あたしのゐない処ぢや、なるべく口も利かないやうにしてた方がいいね。；「だから引越した方がいいと言ったんです」 と女は小さな声で言った。；私たちは紅葉の季節に來た方がよかつただらうといふことに意見が一致した。；あれだけの熱心な聴衆があったのですから、責任はアナタ方にあります。；あなた方があなた方自身を知る時に、その時にあなた方は知られるであろう。；いや寧ろ、私にとつて母は存在しないといつた方が当つてゐるだらう。；と、また白鷺を先に立て数百羽の小鳥群をなし元来た方へ消えて行った。；実際に出版した後に、本当にご迷惑をお掛けした方も多数おられます。；どうでもいいと云ふやうな態度はお止しになつた方がよくはありませんか。；他方、他のソフトウェアと相性的な問題が発生することも時折見られる。；小川といふよりもいつも濁つてゐたので溝といつた方が適当と思はれた。；却て何かさう云ふ仕事があつた方が、空想の時間を遣るのに都合がよい。；それにパソコンのケースは鞄がわりにもなるから持ってた方がいいよね。；寧関係の無いことが知られると云つた方が当つてゐるかも知れない。；いや、九百九十兩といふより、九百八十七兩といつた方が正しいでせう。；だが、止めた方も止められた方も、その間違いに気づいて笑っている。；一方が立派な人物だとすれば他方はそうではなくなってしまう。；わたくしは自分の判断と一緒にあなた方の御判断にも従おうと思っております。；一方のホームから他方のホームに渡るには線路下の通路を通る。；その場その場でびしびし言つてもらつた方がよかつたのかも知れない。；猫はちらりと私の方を見たが、再び、車が去って行った方を見つめ始めた。</t>
        </is>
      </c>
      <c r="J5195">
        <f>HYPERLINK("https://www.weblio.jp/content/他方", "词义详情")</f>
        <v/>
      </c>
      <c r="K5195">
        <f>HYPERLINK("https://yourei.jp/他方", "查看例句")</f>
        <v/>
      </c>
    </row>
    <row r="5196">
      <c r="A5196" t="inlineStr">
        <is>
          <t>多忙</t>
        </is>
      </c>
      <c r="B5196" t="inlineStr">
        <is>
          <t>成功</t>
        </is>
      </c>
      <c r="C5196" t="inlineStr">
        <is>
          <t>読み方：たぼう
［名・形動］非常に忙しいこと。また、そのさま。「—を極める」「—な（の）身」</t>
        </is>
      </c>
      <c r="D5196" t="inlineStr">
        <is>
          <t>多忙な日々(4%)；多忙な生活；多忙なスケジュール；多忙な毎日；多忙な時期</t>
        </is>
      </c>
      <c r="E5196" t="inlineStr">
        <is>
          <t>働き；忙しい；忙殺；忙しさ；繁忙</t>
        </is>
      </c>
      <c r="F5196" t="inlineStr">
        <is>
          <t>当時多忙；ないほど多忙；ご多忙；大変多忙；多忙な演奏</t>
        </is>
      </c>
      <c r="H5196" t="n">
        <v>29</v>
      </c>
      <c r="I5196" t="inlineStr">
        <is>
          <t>多忙な両親のために、幼い頃から自分と弟の食事を作ることも多かった。；父親は軍の将官であり、その多忙さ故ほとんど顔を合わせたことがない。；多忙な両親と過ごす時間は少なく、幼い頃から絵を描いて過ごしてきた。；青木はこの日も事情聴取の予定であったが、多忙を理由に回避していた。；ただし仕事が多忙なこともあり、練習にはほとんど参加できていない。；最も多忙な時期で月刊誌・週刊誌あわせて5本の連載作品を持っていた。；田上や支援者は2日間で数時間しか寝られないほどの多忙だったという。；そんな多忙な毎日を『子供を守る母の愛』で明るく乗り切っていきます。；多忙の工場経営者の父のもとに生まれ、父親との関係は希薄であった。；多忙な演奏活動から開放されたこの年の夏に、短期間のうちに作曲された。；しかしお互いにスーパー・スターとだけあって多忙の日々が続いたという。；作品は、他の事で多忙だったため、手直しを部分的にしか行わなかった。；そのために敦子は多忙を極め、朝から夜までほぼ休みが無いほどだった。；日本でとは違って、トルコでのタウトは建築家として非常に多忙だった。；馨は多忙な執筆を乗り切るために、この頃よりヒロポンを使用していた。；この頃父親が死去しており、告別式に顔を出せないほど多忙だったという。；東京と福岡に本拠を二分し、東西を往復しての執筆活動で多忙を極めた。；それでも彼女は主にヨーロッパの低予算映画で多忙であった。；優れた語学能力を持った敏郎のパリでの生活は非常に多忙であった。；進出した書籍販売業が当たり、本業の代書業より多忙になり事業を拡大。；科学関連の著作は一冊も発表しなかったが、教師として多忙を極めた。；しかしお互いに多忙であることが原因で同年8月に破局したことが報道された。；のちにテイラーは当時を「財政的に多忙な時期だった」と回顧している。；映画『フレンズ』への楽曲提供などで多忙な時期に製作されたアルバム。；またWBの搭載機数が原作の倍以上であるため、とても多忙である。；しかし、同棲生活は良樹の仕事が多忙なことからすれ違いが生じていた。；それぞれ多忙になったメンバーのスケジュールの都合のため、と説明された。；自著によると多忙を極めたその後の日々から疎遠になり離れたという。；運動器具会社社長のハワードは、仕事に追われる多忙な日々を送っている。</t>
        </is>
      </c>
      <c r="J5196">
        <f>HYPERLINK("https://www.weblio.jp/content/多忙", "词义详情")</f>
        <v/>
      </c>
      <c r="K5196">
        <f>HYPERLINK("https://yourei.jp/多忙", "查看例句")</f>
        <v/>
      </c>
    </row>
    <row r="5197">
      <c r="A5197" t="inlineStr">
        <is>
          <t>たま</t>
        </is>
      </c>
      <c r="B5197" t="inlineStr">
        <is>
          <t>成功</t>
        </is>
      </c>
      <c r="C5197" t="inlineStr">
        <is>
          <t>読み方：たま
［名・形動］まれであること。めったにないこと。また、そのさま。「—の休み」「彼は—に来る」</t>
        </is>
      </c>
      <c r="D5197" t="inlineStr">
        <is>
          <t>たまつて；たまり水；たまひき；たまへる；たまつた</t>
        </is>
      </c>
      <c r="E5197" t="inlineStr">
        <is>
          <t>珍しい；稀；まれ；珍；希</t>
        </is>
      </c>
      <c r="F5197" t="inlineStr">
        <is>
          <t>つたま；小たま；みたま；くれたま；とうたま</t>
        </is>
      </c>
      <c r="G5197" t="inlineStr">
        <is>
          <t>たまらない；たまに；たまらなく；たまえ；たまら</t>
        </is>
      </c>
      <c r="H5197" t="n">
        <v>29</v>
      </c>
      <c r="I5197" t="inlineStr">
        <is>
          <t>映像は番組と同様たまによる製作であるが番組放送版とは異なっている。；たまにはあなたが優勝して、誰かに優勝旗を持たせるようにしなさいよ!；「たまには顔を出す」と語った者まで含めても50名程度となっていた。；たまには経師職の息子とも一緒に来たことがあったと彼女は語った。；あたまの上には長い毛のようなものが生えているが、これは毛ではなさそうだ。；会社などでたまに使われることもあるが、家庭用としてはめったにない。；實業はあたまがよくなければできないと云ふなら、文學だツてさうです!；それで匐つて庭の中に跪いている時に、雨水がたまつて腰につきました。；基本的には挑戦のみ、もしくは挑戦とたまゲーの2本立てで放送される。；今あたまのうえを、飛びこえていったのは、誰が操縦している宇宙艇か。；中学生時代、「たま」の歌詞に心を打たれ言葉に興味を持つようになる。；一番、驚いたのは、あたまの上へ落ちられた清元のお師匠さんである。；同時にたまには変化も良いから、ヘアデールパークへ行くのもいいことだ。；惠介はたまの顔の汚れをぬぐい、自ら背負って宿の二階へと運び上げた。；たけしくんはじぶんのあたまがへんになったのではないかとおもいました。；あたまの上の電灯が明るくなる頃になっても、表の雪はまだ降りつづけている。；出発までに調査部でもつて、必要なあらゆる智識を復習して行きたまへ。；たまなどと同様の制帽に加え、マロンには特製の制服も支給されていた。；てんにおひておぼしめすまゝなるごとく、 ちにをひてもあらせたまへ。；たまには登志子の所を訪ねてきては後れた英語や数学を教えてくれたりした。；たまには、人に縋りつきたい切ない限りの様子も窓越しに見えました。；たしかに人がねている形だったが、蒲団をあたまからかぶっている。；そうして悲しくなって、思わず先生の胸に、あたまをうずめてしまった。；たまで唯一、各メンバーの持ち歌の数が均等に分けられて収録されたアルバム。；冬の降水は少ないが頻度が高く、夏の降水は多くてたまにしか降らない。；たまに思い出したかのように登場するキャラクターを挙げる。；こうおもったとおり口にだしたとたん、あたまは自由になりました。；イベントでは現実の将棋棋士、女流棋士によく似たみたまも出現している。；主人公・たまとその友人たち、さらに教師たちの学園生活をコミカルに描く。</t>
        </is>
      </c>
      <c r="J5197">
        <f>HYPERLINK("https://www.weblio.jp/content/たま", "词义详情")</f>
        <v/>
      </c>
      <c r="K5197">
        <f>HYPERLINK("https://yourei.jp/たま", "查看例句")</f>
        <v/>
      </c>
    </row>
    <row r="5198">
      <c r="A5198" t="inlineStr">
        <is>
          <t>玉</t>
        </is>
      </c>
      <c r="B5198" t="inlineStr">
        <is>
          <t>成功</t>
        </is>
      </c>
      <c r="C5198" t="inlineStr">
        <is>
          <t>読み方：ぎょく
［音］ギョク（漢）　［訓］たま
［学習漢字］1年
〈ギョク〉
１美しく価値のある石の類。「玉砕・玉石・玉杯／攻玉・紅玉・硬玉・珠玉・碧玉(へきぎょく)・宝玉」
２美しくすぐれているものの形容語。「玉肌(ぎょくぎ)・玉露／金科玉条・金殿玉楼」
３天子または他人を敬って物事に添える語。「玉音(ぎょくいん)・玉音(ぎょくおん)・玉稿・玉座・玉章・玉体」
４将棋の駒の一。王将。「玉将／入玉」
５花柳界で、芸者のこと。「玉代／半玉」
〈たま（だま）〉「玉垣・玉砂利／親玉・善玉・手玉・火玉・水玉・目玉・槍玉(やりだま)・数珠玉・鉄砲玉」
［名のり］きよ
［難読］薬玉(くすだま)・玉章(たまずさ)・玉蜀黍(とうもろこし)・勾玉(まがたま)</t>
        </is>
      </c>
      <c r="D5198" t="inlineStr">
        <is>
          <t>玉環；玉類；玉蓮；玉香；玉鶯</t>
        </is>
      </c>
      <c r="F5198" t="inlineStr">
        <is>
          <t>十円玉；百円玉；五円玉；楊玉；賀廷玉</t>
        </is>
      </c>
      <c r="G5198" t="inlineStr">
        <is>
          <t>玉子；玉川；玉井；玉置；玉砕</t>
        </is>
      </c>
      <c r="H5198" t="n">
        <v>29</v>
      </c>
      <c r="I5198" t="inlineStr">
        <is>
          <t>角の初期位置に玉が来るため、角をうまく移動させることが必要になる。；そうでない場合には、並んでいる玉の位置と最初の玉の移動先を表記する。；境内にある玉の岩には昔、光る岩があったとされる玉の岩伝説がある。；相手は玉をすぐに囲ってしまうと、先に示した手順から潰されてしまう。；馬は羽生の玉に迫っている駒で、金は谷川の玉を守っている駒であった。；装身などに用いる穴の空いた玉自体はそれ以前から、世界各地にあった。；なお、玉御陵には尚円王の父・尚稷とその妻が埋葬されていると伝わる。；落とし玉アルバイト中は街行く人に声をかけて呼び込み、客と対戦する。；攻め方の不成とは逆に、玉方が不成で打ち歩詰めに誘致する問題もある。；重力で黒い玉が常に眼球の下にあるので、下を向いている様に見える。；この型の特徴は玉を金銀四枚で囲うが、金銀を三段目以上へは進めない。；相手に持ち駒が何枚あっても自玉が即詰みとなる手順が存在しない状態。；各ブロックの最後にはボスがおり、倒して赤い玉を取るとブロッククリア。；この一連の出来事を窺っていた卑しい男は、その赤玉をもらい受ける。；この他、上手が玉将以外の全ての駒を落とす裸玉と呼ばれるものもある。；自玉がZの状態ならば、相手玉に必至をかけたその時点で勝ちが確定する。；各花火師が製作した10号玉を一発ずつ打ち上げそのデザインを楽しむ。；この美しい玉は雲を湧かせ雨を降らせることが出来る不思議な玉でもあります。；以上から、一番効率の良い攻め時は相手の玉が端に近い時である。；このような味噌玉は、地元で取れる食材や保存食品を利用して作られた。；玉の板数千枚を金の糸で縫い上げ、これをもって遺体を蓋っている。；ごく特殊な例として、封禅のために玉で作成した「玉簡」も用いられた。；ほら穴はクレーンで持ち上がっているが入るにはボウリングの玉が必要。；玉の横に2枚の金が並んでいることから名称がつけられた。；その名の由来は一説に「玉」を入れて茹で上げるからと言われている。；この手を境に羽生の玉はたちどころに寄り形となり、谷川の勝ちとなった。；自分の駒を動かす事により、敵玉に自分の駒の働きを利かせる手を指す。；どちらかの守りの陣が崩れ、玉の囲いも崩れ始めたころから終盤戦になる。；時代が下ると、高級な碁石は「玉」と呼ばれる一種の宝石から作られた。</t>
        </is>
      </c>
      <c r="J5198">
        <f>HYPERLINK("https://www.weblio.jp/content/玉", "词义详情")</f>
        <v/>
      </c>
      <c r="K5198">
        <f>HYPERLINK("https://yourei.jp/玉", "查看例句")</f>
        <v/>
      </c>
    </row>
    <row r="5199">
      <c r="A5199" t="inlineStr">
        <is>
          <t>給う</t>
        </is>
      </c>
      <c r="B5199" t="inlineStr">
        <is>
          <t>成功</t>
        </is>
      </c>
      <c r="C5199" t="inlineStr">
        <is>
          <t>読み方：たまう
［動ワ五（ハ四）］《上位から下位に物や恩恵を与える意から、その動作主を敬う語となる。現代では文語的な文章か、特別の堅い言い方でないと尊敬語としては用いない》
１「与える」「くれる」の尊敬語。お与えになる。くださる。「おほめのお言葉を—・う」
２人をおよこしになる。
「このありつる人—・へ」〈伊勢・六二〉
３自己側の動作に用い、尊大な語気を表す。目下の者に与える。くれてやる。
「そこらの年頃、そこらの金(こがね)—・ひて」〈竹取〉
４特に命令形は、上にくるはずの動詞を略して、命令・勧誘の意を表す。なさい。
「いざ、—・へよ（＝イラッシャイヨ）」〈源・若紫〉
「あなかま、—・へ（＝オダマリナサイ）」〈源・若菜上〉
５（補助動詞）動詞・助動詞の連用形に付く。
㋐その動作主が恩恵を与えてくださる意を表す。…てくださる。「神が恩恵を垂れ—・う」
㋑その動作主を尊敬する意を表す。お…になる。お…なさる。
「すぐれて時めき—・ふありけり」〈源・桐壺〉
㋒尊敬の助動詞「す」「さす」に付いて「せ（させ）たまふ」の形で、程度の強い尊敬の意を表す。
「たふとく問はせ—・ふ」〈竹取〉
㋓同輩以下の者に対し、親しみをこめたりやわらかに命令したりするのに用いる。「そんなにくよくよし—・うな」「早く行き—・え」
［動ハ下二］
１「もらう」の意の謙譲語。多く、飲食物の場合に用いる。いただく。頂戴する。
「魂は朝夕(あしたゆふへ)に—・ふれど我(あ)が胸痛し恋の繁きに」〈万・三七六七〉
２（補助動詞）
㋐主として動詞「聞く」「見る」に付いて、その動作を、恩恵を与えてくれる人（尊者）から受ける、いただくの意を表す。（尊者に）…させていただく。
「是の如きことを我(われ)聞き—・へき」〈金光明最勝王経古点〉
㋑（かしこまりあらたまった会話・消息で用いる。平安中期以降の用法）自己または自己側の動作として用いる動詞（主として「思う」「見る」「聞く」）に付いて、聞き手に対してその動作をへりくだる意を表す。…させていただきます。…します。
「かかる御事を見—・ふる（＝拝見スル）につけて、命長きは心憂く思う—・へらるる（＝存ゼラレマスル）世の末にも侍るかな」〈源・須磨〉</t>
        </is>
      </c>
      <c r="D5199" t="inlineStr">
        <is>
          <t>給うべし；給うべき；給う御；給うなかれ；給うた御</t>
        </is>
      </c>
      <c r="E5199" t="inlineStr">
        <is>
          <t>くれる；与える；上げる；授与；述べる</t>
        </is>
      </c>
      <c r="F5199" t="inlineStr">
        <is>
          <t>与え給う；知り給う；下し給う；なし給う；しめ給う</t>
        </is>
      </c>
      <c r="H5199" t="n">
        <v>29</v>
      </c>
      <c r="I5199" t="inlineStr">
        <is>
          <t>神は自分をも彼らをも天よりみそなわし、彼らすべてを愛し給うだろう。；そして、主は我々がそれを超えられぬような試煉は決して与え給わぬと。；同時に又一面では西洋なのだから、その辺も十分見て行ってくれ給え。；と申しますのは、神はアダムの頭から妻を創り給うたのではありません。；君が彼等を見ないうちに、向うから見つけられないように気をつけ給え。；名は他人につけて貰うのが一番いいんだから、一つ考えといてくれ給え。；指が一本だけになってもなお衆生に悲心を垂れ給うことを止めないのか。；「天は私に償いを与え給うだろうか」 この時、娘が部屋に戻ってきた。；このひとときは神が与え給うたのだと肺の中へいっぱいに緑を吸い込む。；弟子たち、その海の上を歩み給うを見て、変化の者ならんと思いて叫ぶ。；殺生嫌いな僕が、この挙に出たのは、よくよくのことと思ってくれ給え。；神が死を定め給うたのは、生を罰するためでもなく、償うためでもない。；すなわち彼は言葉を更めて、一つの譬話を語り出で給うたのであります。；見給え、僕の処へ来た時だつてわざと乗り越さずに手前で下りている。；スマッツ将軍の手にじきじきに渡してくれ給えよ、わかってるだろうね?；神憑りの時、憑り給う神が次々にかわり給うことはよくあることなのだ。；神はお前に健康と力と十分な仕事、それに友達さえも与え給うた。；今度寒月君が来たらなるべくどうか邪魔をしないようにしてくれ給え。；天主はあなた方を天主にしてはじめてなし得る愛し方にて愛し給うた。；私ども人類を救うために神の断行し給うた経綸の中心的事実であります。；神は、日本の零戦パイロットをも、一人、海の上におきざりにし給うた。；これが葡萄園のよき経営であるか否かは、神の問題とし給うところである。；思い出し給え、利口な子供は決して学者より馬鹿であるとは限らない。；見給え、学問をしてわざわざ工夫になった人さえあるではないか、君!；君はたった一人で、人間の心の底の底まで読み給う神に見守られているだけだ。；だから、今夜のことだって、君ひとりの胸の中に仕舞っといてくれ給え。；「君はいいから行き給え」 黒い中折れはペコペコお辞儀をして去った。；そこでよく見給え、黄身の上に鳥の眼位な円い小さな線があるだろう。；神は各個人一人一人の神であり、一人一人の間に人格的交渉をもち給う。</t>
        </is>
      </c>
      <c r="J5199">
        <f>HYPERLINK("https://www.weblio.jp/content/給う", "词义详情")</f>
        <v/>
      </c>
      <c r="K5199">
        <f>HYPERLINK("https://yourei.jp/給う", "查看例句")</f>
        <v/>
      </c>
    </row>
    <row r="5200">
      <c r="A5200" t="inlineStr">
        <is>
          <t>卵</t>
        </is>
      </c>
      <c r="B5200" t="inlineStr">
        <is>
          <t>成功</t>
        </is>
      </c>
      <c r="C5200" t="inlineStr">
        <is>
          <t>読み方：かい
《「貝」と同語源》たまご。また、たまごの殻(から)。かいご。
「—のうちに命こめたる雁(かり)の子は君が宿にてかへさざるらむ」〈宇津保・藤原の君〉</t>
        </is>
      </c>
      <c r="D5200" t="inlineStr">
        <is>
          <t>卵状；卵塊；卵管；卵母細胞；卵円形</t>
        </is>
      </c>
      <c r="E5200" t="inlineStr">
        <is>
          <t>玉；玉子；お玉；鶏卵；卵子</t>
        </is>
      </c>
      <c r="F5200" t="inlineStr">
        <is>
          <t>造卵；白い卵；小さな卵；卵状披針形；卵放精</t>
        </is>
      </c>
      <c r="G5200" t="inlineStr">
        <is>
          <t>卵巣；卵子；卵黄；卵型；卵焼き</t>
        </is>
      </c>
      <c r="H5200" t="n">
        <v>29</v>
      </c>
      <c r="I5200" t="inlineStr">
        <is>
          <t>これで太陽系に飛び出すことを卵がかえって鳥になることにかけている。；卵から蛹までを保護しながら家族単位で生活することがよく知られている。；地上に残された最後の恐竜の卵を巡る神と悪魔の決戦の物語が始まった。；食べ物では卵が好きで一度の食事で15個食べることもあったという。；それらのものでは、卵は減数分裂を経ずに形成され、すべてが雌となる。；繁殖中はより敏感であり、危険を感じると雛や卵を放棄することもある。；温帯地方に分布するものは秋に成虫が発生し、卵で越冬するものが多い。；彼らは火星の研究所から盗まれた珍獣・ダイムの卵を探しているという。；また、南米産の種の中にはカメの卵に捕食寄生する種さえ知られている。；特記がない場合は、倒してしばらくすると初期位置に卵が出現して復活する。；これは、四旬節に入る前に卵を残さないために生じた習慣でもある。；多細胞生物は一細胞の卵から胚発生の過程を経て体を形成していく。；牛乳やチーズは一般的な製品で、肉や卵のために鶏や鳩が飼われていた。；このような適応は現生鳥類の卵の色や模様の起源を表している事を示している。；放出された卵は粘液に包まれるか、ゼラチン質にくるまって卵塊を作る。；資源量を維持するため親魚から採卵した卵を孵化し稚魚放流が行われる。；翌23日には同じつがいの卵から更に2羽が孵化していたことが判明した。；しかし、これはアリの卵に擬態しているのではないかとの説もある。；また、他にゆで卵や干しぶどうなどを加えて変化をつけることがある。；親魚による卵や仔魚の保護は見られず、生残率は非常に低いと考えられる。；一般的な魚卵に比べて塩漬け期間が長いため塩気が強いのが特徴。；つまり孵化するまでは、それに含まれるものが卵細胞ではなくても卵である。；丸友観光の社長である友兼は、モスラの卵を日本へ輸送することを決定する。；卵の大きさはニワトリのものよりやや大きく、殻の色は極薄い緑色である。；産み付けられた卵を見つけたら、水草ごと別の水槽に入れて孵化を待つ。；そうすると卵が生まれるのでその卵を割ると、複製されたものが出てくる。；一卵性と二卵性以外の卵性をもつ双生児が、ごく稀に誕生することがある。；因みに、卵は保存されにくく化石が発見されることは非常に稀である。；また、地元の名物はカイケム・チャイヤーと呼ばれる塩卵が有名である。</t>
        </is>
      </c>
      <c r="J5200">
        <f>HYPERLINK("https://www.weblio.jp/content/卵", "词义详情")</f>
        <v/>
      </c>
      <c r="K5200">
        <f>HYPERLINK("https://yourei.jp/卵", "查看例句")</f>
        <v/>
      </c>
    </row>
    <row r="5201">
      <c r="A5201" t="inlineStr">
        <is>
          <t>魂</t>
        </is>
      </c>
      <c r="B5201" t="inlineStr">
        <is>
          <t>成功</t>
        </is>
      </c>
      <c r="C5201" t="inlineStr">
        <is>
          <t>読み方：たま
「たましい1」に同じ。「肝っ—」「人—」
「空蝉のからは木ごとにとどむれど—のゆくへを見ぬぞかなしき」〈古今・物名〉</t>
        </is>
      </c>
      <c r="D5201" t="inlineStr">
        <is>
          <t>魂界；魂次；魂そのもの；魂病；魂矢</t>
        </is>
      </c>
      <c r="E5201" t="inlineStr">
        <is>
          <t>心；胸；神；腹；精神</t>
        </is>
      </c>
      <c r="F5201" t="inlineStr">
        <is>
          <t>御魂；わが魂；尸魂界；木魂；離魂</t>
        </is>
      </c>
      <c r="G5201" t="inlineStr">
        <is>
          <t>魂魄；魂消；魂祭；魂について；魂消る</t>
        </is>
      </c>
      <c r="H5201" t="n">
        <v>29</v>
      </c>
      <c r="I5201" t="inlineStr">
        <is>
          <t>人間の魂がいかにして神に至るかをディオニュシオスは終始問題にする。；この火の中に、サタンと人間の形をした魂とが閉じ込められていました。；古くは観音堂と呼ばれ、これは江戸時代以降の船魂大明神の前身である。；これは死者及び死者の魂をどのように考えているのかの問題であるとされている。；多様化する犯罪から人々を守るために、3つの魂が炎となって燃えた!；ただし、能力が切れると魂が抜けてしまいただの人形になってしまう。；現代の自分が憑依している間は、過去の自分の魂がどうなっているかは不明。；現代の自分の魂のみがその時代の自分の身体へ行くため、現代の体は息もしない。；アイスロンに殺害された男性・良平の魂が娘を守るためにウーと化した。；そのため超合金魂を含めて大人を対象とした商品に変化している。；何故彼らは、本来地球外の植物である酔魂草の培養を行っているのか?；未練があるために現世に留まった魂を本作品では「霊」と表現している。；死者の魂を呼び出して質問に答えさせることや哲学に長じている。；これからも「リングス魂」を心に持ち続けて闘っていきたいと思います。；神のことを思う魂は三つの側面あるいは段階を持っている。；酒と女にだらしない下品な性格の三枚目だが騎士の魂は失っていない。；その賭けの魂に選ばれたのが、大学の老教授であるファウストである。；粉は、十二文に属する字であるが、魂、村は十三元に属する字である。；西流魂街はかつての拠点であり、彼の作った穿界門はそこにしか行けない。；エリザベスの魂はかつて本当の愛を見つけた古いアパートに戻る。；肉体から離れた霊魂を脱魂とか遊離魂などと呼ぶことは行われている。；魂はそれ自身を進化の中で連続する形態と自己同一化している。；精神および魂がかくも完全に神にたどりつくことは恩寵なしには達成しえない。；既に知っているものであるため地上の何処かではなく、魂の奥底に存在している。；こうしてアルカードを中心にドラキュラ城に宿命の魂が集うのであった。；チベット死者の書によれば、死後の4日目に魂の救済に現れるとされる。；魂は感覚と思考、願望、信仰、意図した行為を実行する能力を備えている。；魂は天の陽気からのたましいであり魄は地の陰気からのたましいである。；対になった魂をもつ存在であり、2人が揃った時にこそ本来の力が発揮される。</t>
        </is>
      </c>
      <c r="J5201">
        <f>HYPERLINK("https://www.weblio.jp/content/魂", "词义详情")</f>
        <v/>
      </c>
      <c r="K5201">
        <f>HYPERLINK("https://yourei.jp/魂", "查看例句")</f>
        <v/>
      </c>
    </row>
    <row r="5202">
      <c r="A5202" t="inlineStr">
        <is>
          <t>騙す</t>
        </is>
      </c>
      <c r="B5202" t="inlineStr">
        <is>
          <t>成功</t>
        </is>
      </c>
      <c r="C5202" t="inlineStr">
        <is>
          <t>読み方：だます
［動サ五（四）］
１うそを言って、本当でないことを本当であると思い込ませる。あざむく。たぶらかす。「人を—・して金を取る」「まんまと—・される」
２他のことに気をまぎれさせて落ち着かせる。機嫌をとってなだめる。「子供を—・して寝かせる」
３機械などの調子をみて手加減しながらなんとか作動させる。「旧式の機械を—・し—・し使う」
[可能]だませる
[用法]だます・あざむく——「友人をだます（欺く）」「銀行員をだまして（欺いて）大金を引き出す」など、うそを信じさせる意では、相通じて用いられる。◇「だます」は「うまいことを言ってだます」のように、うそを本当と思い込ませる行為に重点があるが、「欺く」は「誓い合った恋人を欺く結果になった」のように、信頼に反する行動に対して用いられる傾向がある。また、「だます」は口頭語、「あざむく」は文章語といえる。◇「だます」には、すかしたりなだめたりする意もある。「だだをこねる子供をだましながら連れ帰る」「おんぼろ自動車をだましだまし走らせる」◇「欺く」には「昼を（も）欺く明るさ」のような用法がある。◇類似の語「偽る」は、事実と異なることを故意に言う意が強い。「年齢を偽る」「警察官と偽って取り調べるふうをする」</t>
        </is>
      </c>
      <c r="D5202" t="inlineStr">
        <is>
          <t>させる；乗せる；仕掛ける；誘導する；計る</t>
        </is>
      </c>
      <c r="H5202" t="n">
        <v>29</v>
      </c>
      <c r="I5202" t="inlineStr">
        <is>
          <t>だがかれには、これは自分自身を騙そうとしているのだとわかっていた。；姉のふりをして敵を騙すなんて、決して気持ちの良い話ではないだろう。；おまえが、おれの言った言葉を信じたからこそ、髪もまた騙されたのだ。；あたしは心を極めかねないままに、あの人を騙したような結果になった。；ギターを買いたくてもお金がなく祖母を騙してギターを買ってもらう。；テーブルには同時にサルが乗っており、これは騙される客を示している。；そうだよ、あの子がいつまでもあんな男に騙されてるはずがないんだよ!；でも僕はそのとき自分が有紀子を騙しているという風には思わなかった。；その口調の所為だろうか、私は何だか騙されているような気がして来た。；最終的に倉持がどれだけの金を彼女から騙し取ったのか私は知らなかった。；そうした彼女が最初得たものは、自分が騙されたことの発見であった。；父はああ見えても、純朴なふりをして若い女の子を騙すのがうまいのだ。；自分自身さえも騙せない嘘はつくな、と誰かが言っていた気がするけれど。；それでも今の彼女を守るためには、騙されていなければならなかった。；「というより、どうせ私の顔に書いてあったんでしょ」騙されないぞ。；相手が自分を騙そうとしているかもしれないといつも考えておけって。；もう騙し取る金はないはずなのに、こうして私のところに通ってくる。；この人は一番初めっから、俺の嘘に騙されていたわけじゃなかったんだから。；僅かな音も拾うお前の耳を騙すのは骨だったが、効果は見ての通りだ。；このセッティソグをするため、俺は他の勢力を騙しに騙してんだからな。；結局のところ、おまえに騙されていたことに気づくには五年もかかった。；あたしの方こそ最初に騙されて、無理やり縁組させられたんじゃないの。；彼女は最も信頼を寄せていた人物に利用され、騙され、殺されたのだ。；父なら単なる結果だと、あるいは竜憲を騙すための方便だと言うだろう。；弓子はそれを承知で最初に父を騙し、次には亥一郎を騙したのだろうか。；父によると、後に石浦は騙されたような気もすると語っているという。；吉公は、昨日と同じようにして、一銭で二銭の納豆を騙して取りました。；一方で、運転手には新しい客だと騙されてギャングを紹介されていた。；井崎を騙すことで自分が騙されてしまうような女を探していたことになる。</t>
        </is>
      </c>
      <c r="J5202">
        <f>HYPERLINK("https://www.weblio.jp/content/騙す", "词义详情")</f>
        <v/>
      </c>
      <c r="K5202">
        <f>HYPERLINK("https://yourei.jp/騙す", "查看例句")</f>
        <v/>
      </c>
    </row>
    <row r="5203">
      <c r="A5203" t="inlineStr">
        <is>
          <t>たまたま</t>
        </is>
      </c>
      <c r="B5203" t="inlineStr">
        <is>
          <t>成功</t>
        </is>
      </c>
      <c r="C5203" t="inlineStr">
        <is>
          <t>読み方：たまたま
［副］
１時おり。時たま。たまに。「春とはいえ—寒い日がある」
２偶然に。ちょうどその時。「—駅で旧友にあった」</t>
        </is>
      </c>
      <c r="D5203" t="inlineStr">
        <is>
          <t>たまたま同じ；たまたま目；たまたま居合わせ；たまたま見つけ；たまたまそういう</t>
        </is>
      </c>
      <c r="E5203" t="inlineStr">
        <is>
          <t>つい；ふと；偶然；珍しく；何となく</t>
        </is>
      </c>
      <c r="F5203" t="inlineStr">
        <is>
          <t>たまたま空い；たまたま聴い；たまたま隣り；たまたま同じ日</t>
        </is>
      </c>
      <c r="H5203" t="n">
        <v>29</v>
      </c>
      <c r="I5203" t="inlineStr">
        <is>
          <t>それでも検察側は、たまたま長いものがあったのではないかと主張した。；真実を知った順は、たまたま通りかかった后平の前で泣き崩れてしまう。；たまたま笠原和夫が撮影を観ていて、ひっくり返って喜んでいたという。；呉は、この号をたまたま持っていた友人に高価で譲ってもらったという。；たまたまこれを見たアポローンは驚いて、ケイローンを呼んで相談した。；たまたまこの様子を見ていた孫権はこれを喜び、呂拠を盪寇将軍とした。；民主党の大統領候補であってたまたまカトリックである候補にすぎません。；最初の深名線での試験では雪質などの条件がたまたまよかっただけであった。；遊んだ女性がたまたまそういうヤンチャな方々の女性だったらしくて。；そのうちの1人と「僕」はたまたまあるとき食事をすることになった。；けれども、たまたま黒糸しか持っていなかったので、黒糸を使った。；たまたまそこに居合わせたら友人であり、解散したら友人関係も解消される。；腹を立てた彼はたまたまその基地にあった謎の大型カプセルを奪う。；たまたま勤務帰りの刑事・木場修太郎がその列車に乗り合わせていた。；たまたま名称に含まれている cockからの連想によると考えられている。；これをたまたま聴いていた若松孝二監督は、強い怒りを感じたという。；任意の座標がたまたま実際に直線の上に乗っていたとしよう。；たまたま東突厥の使者も来ていたので、両者は席の上下を争うこととなった。；これも、たまたまレコーディングに来ていた浜田に直接頼んだという。；明石の御方もたまたまこれに来合わせていたが再会はできなかった。；たまたま左バッターが勝ってサヨナラヒットを打ったから言いようなものの。；私は単に自分の仕事をしていただけで、たまたま私がその時そこにいるべき人間だったまでだ。；だが、おびえた妻は男から逃げ、二人はたまたま来た電車に乗って街へ行った。；たまたま隆の里は体調不良で、病院から直接国技館に場所入りして対戦。；その部下がたまたま荷物を一個持ち上げたら発見したという。；彼はキースバーグを連れて峠を降りてきた回収隊にたまたま行き会ったのである。；その記事をたまたま目にしたペピーは撮影を放り出して病院に駆けつける。；そしてたまたま見た回が、自殺をするな、というメッセージ の回であった。；だがそんな彼がたまたま狙った女性・池田麻美は、中でも特別な女性だった。</t>
        </is>
      </c>
      <c r="J5203">
        <f>HYPERLINK("https://www.weblio.jp/content/たまたま", "词义详情")</f>
        <v/>
      </c>
      <c r="K5203">
        <f>HYPERLINK("https://yourei.jp/たまたま", "查看例句")</f>
        <v/>
      </c>
    </row>
    <row r="5204">
      <c r="A5204" t="inlineStr">
        <is>
          <t>偶に</t>
        </is>
      </c>
      <c r="B5204" t="inlineStr">
        <is>
          <t>成功</t>
        </is>
      </c>
      <c r="H5204" t="n">
        <v>29</v>
      </c>
      <c r="I5204" t="inlineStr">
        <is>
          <t>馬が何年もその主人を覚えていて偶に会ったとき涙を流したりするのです。；虫ばかりか、草も偶には人間に向つて、白い歯を見せることがあります。；毎日一緒にいるからなぁ、偶には空振りの日があっても不思議じゃない。；その市役所が偶に世話してくれるものがあつても、すぐ逃げ出してくる。；そんなことを云うなら偶には明るい話題を引っ提げて登場したらどうなんだ。；偶に情人と分かれてゐる時は、二人は中洲へ往つて魚や貝の料理を食つた。；多くの場合彼の話は話に終るのだが、偶には美事にやりおほせることがある。；偶に国王陛下の御都合で、御名代をお務めになるくらいのものである。；それが偶にけふのやうな、重大な儀式があると給仕に出て来る。；基本は押しか叩きで勝負を決めるが、偶に上手からの攻めがある。；勿論、偶には悪い事もあるが、総て害があるのを恐れてゐては何もさせられぬ。；俺だつて偶にや自由な体にでもならなくつちややり切れるもんか。；こんなふうに空を見上げ月を見るのも、偶にはいいものだ。；強盗や馬車の破損などの事故がどちらのルートでも偶に起こった。；馬のやうな正直者すら、偶には橋から滑りおちる事のある世の中だ。；恐ろしい話ではあるが、こんな乱暴な親が偶には世の中にいるからなお以て恐ろしい。；彼女はさう云つた種類の約束は余り違へない方であつたが、当てにならないことも偶にはあつた。；偶には書物を開けて十頁もつづけざまに読む時間さえ出て来た。；人間なら、偶には職務以外の楽しみだって持ちたく思うのは当然だろうじゃあないか。；腹の痛みは途中から薄らいで来たが、それも偶には好いと思つた。；最後に、余った時間は偶に自分のお店へ顔を出して仕事する。；敏子は膝の上に子供を抱いて室の偶にしょんぼり坐っていた。；僕に、毎日お見舞に来るのはやめて、偶には学校行こうねーと諭されたから。；紙屑のような論文でも沢山に出るうちには偶にはいいものも出るであろうと思われる。；その問題は型式的には刑事探偵が偶には出くわす問題とおなじようなものかと思われた。；偶にはこちらから宗教だの政治の話を仕掛けてやると、そうされるのが嬉しいのでしょう。；人のえ知らぬ不思議をも偶には見たり。；偶にはそういう病的な婦人もありましょうが、婦人が都てそうであるとは思われません。；そんな批評も偶にはあれだがそんな批評しか出来ない詩人や批評家がゐるから御注意。</t>
        </is>
      </c>
      <c r="J5204">
        <f>HYPERLINK("https://www.weblio.jp/content/偶に", "词义详情")</f>
        <v/>
      </c>
      <c r="K5204">
        <f>HYPERLINK("https://yourei.jp/偶に", "查看例句")</f>
        <v/>
      </c>
    </row>
    <row r="5205">
      <c r="A5205" t="inlineStr">
        <is>
          <t>溜まる</t>
        </is>
      </c>
      <c r="B5205" t="inlineStr">
        <is>
          <t>成功</t>
        </is>
      </c>
      <c r="C5205" t="inlineStr">
        <is>
          <t>読み方：たまる
［動ラ五（四）］
１物事が少しずつ積もり集まって多くなる。1か所に集まってとどまる。「ごみが—・る」「水が—・る」「耳垢(みみあか)が—・る」「ストレスが—・る」
２（「貯まる」とも書く）たくわえが多くなる。「資金が—・る」
３なすべき物事が処理されず、しだいに増えていったりとどこおったりしたままである。「仕事が—・る一方だ」「部屋代の支払いが—・る」
４とどまって動かない。静止する。
「しばしは矢にかせがれて、—・るやうにぞ見えし」〈古活字本保元・中〉</t>
        </is>
      </c>
      <c r="D5205" t="inlineStr">
        <is>
          <t>溜まるとレベルアップ</t>
        </is>
      </c>
      <c r="E5205" t="inlineStr">
        <is>
          <t>収集；集合；集める；集結；寄せる</t>
        </is>
      </c>
      <c r="F5205" t="inlineStr">
        <is>
          <t>一定量溜まる；一定以上溜まる</t>
        </is>
      </c>
      <c r="H5205" t="n">
        <v>29</v>
      </c>
      <c r="I5205" t="inlineStr">
        <is>
          <t>床の血溜まりがまだ濡れていたから、そう長い時間ではないはずだった。；それで水が溜まっていたら温度を与えて細菌を発生させるようなものだ。；まるで、どこかに溜まっていた水が、一気に流れこんできたかのようだ。；疲れが目一杯溜まって、あれ昔より全然小さくなってたな、死んだ時は。；一旦落ちたら出てこられない深さで、穴底には水が溜まっているという。；この氷河が移動すると同時に侵食した谷に水が溜まって湖となっている。；苦しいというほどではないが、肺の中に何かが溜まっている感じがした。；彼の目の中にうっすらと涙が溜まっていたので、皆しんとしてしまった。；あとは少しずつ水が溜まっていくのを座って眺めているだけだった。；血溜まりのすぐ手前に、東が母を庇うようにして座り込んでいたからだ。；畳にぺたりと腰を降ろすと、血溜まりの中で座っているような気がした。；しばしば釉薬が溜まる箇所はガラス質で透明な緑色に見えることがある。；それも死ぬの生きるのと言わずに突如上ってしまうから溜まりません。；問題は短期的に1度きりではなく、過去数年いろいろ溜まっていた模様。；土の道で、あちこちに水が溜まった跡があって、そしてでこぼこだった。；古い鉱山は危険なことが多く、致死性のガスが溜まっていることもある。；そこに、制服警官が一人倒れていて、白い床に血溜まりができていた。；畑の畝には雪が溜まって、何本ものくっきりとした白い筋を描いていた。；見てみると結構な量の出血があり、教室の床に血溜まりが出来ていた。；総プレイヤー数が少ないコースほどトレジャーポイントが溜まりやすい。；疲れが溜まっているにもかかわらず翼は眠りに就いていなかった。；歩行者用信号は赤だが、終電前の混雑で交差点内には車が溜まっていた。；まえに一度中を見たことがあるが、何年分もの書類が溜まっている感じだった。；また数は多くないが砂浜や岩礁海岸でも隙間に溜まった砂地に出現する。；しかしその分、父の中に鬱憤が溜まっていることが手にとるように分かる。；今のところ出版を予定する小説の構想は12作分貯溜まっているとのこと。；基本的に野生動物の耳垢は、自然に出てしまうので溜まらないとされる。；石室内部の石棺には水が溜まっていたが、その中から副葬品が得られた。；生成された二酸化マンガンは泥状となり、池や滝の周囲に溜まっている。</t>
        </is>
      </c>
      <c r="J5205">
        <f>HYPERLINK("https://www.weblio.jp/content/溜まる", "词义详情")</f>
        <v/>
      </c>
      <c r="K5205">
        <f>HYPERLINK("https://yourei.jp/溜まる", "查看例句")</f>
        <v/>
      </c>
    </row>
    <row r="5206">
      <c r="A5206" t="inlineStr">
        <is>
          <t>黙る</t>
        </is>
      </c>
      <c r="B5206" t="inlineStr">
        <is>
          <t>成功</t>
        </is>
      </c>
      <c r="C5206" t="inlineStr">
        <is>
          <t>読み方：だまる
［動ラ五（四）］
１ものを言うことをやめる。無言になる。また、泣くのをやめる。「—・って人の話を聞く」「急に—・ってしまった」「泣く子も—・る」
２自分の意見・主張などを言わない。また、積極的に働きかけない。「—・って引きさがる」「—・って休む」「—・って見ているだけだ」</t>
        </is>
      </c>
      <c r="D5206" t="inlineStr">
        <is>
          <t>黙るしかない(3%)；黙るよりほか</t>
        </is>
      </c>
      <c r="E5206" t="inlineStr">
        <is>
          <t>沈黙；無言；静寂；静止；平静</t>
        </is>
      </c>
      <c r="H5206" t="n">
        <v>29</v>
      </c>
      <c r="I5206" t="inlineStr">
        <is>
          <t>そして、彼女が黙っていることは十分な許可であると述べたと報告した。；僕は例の犯人の靴跡を見た時には、黙って逃げ出したいような気がした。；妻は夫の顔を見て、彼が泣いていたことに感づいて黙って天井を眺めた。；食べる物がないからつて黙つて畑の物を持つてゆかれてどうなると思ふ。；警部は若者のようすをしばらく黙つてながめていたがやがて問を発した。；信一が黙つてゐるので、妻は最後に子供のゐる処を教へてくれと云つた。；この位の犯人になると、黙っていても向うから接近して来るものだよ。；黙って河に向いて居た新吉の眼から、いつか涙が湧いて頬を流れて居た。；しかしそれで黙って引き下っていては僕の立つ瀬はないじゃありませんか。；余り嬉しくってじっと黙って眺めているだけでは我慢が出来ませんでした。；朋輩の女もすぐに眼をつける、出入りの客や地廻り連も黙ってはいない。；僧たちは膳に手をつけず、黙って顔を見合わせるばかりであったという。；いつもゐる少女は、いつものやうに僕が黙つてゐても珈琲を運んでくる。；実はこちらは一言も譲歩や言い訳をしていないのに相手を黙らせたのだ。；誰かがそれに気づいて、このうるさい奴を黙らせようと思ったとしよう。；彼は黙ったまま黒い箱へ近づいて、観音開きになったその蓋に手をかけた。；「おまえは今頃なんでこんな所に忍んでいたのだ」 お冬は黙っていた。；僕はただ黙って、心の中でだけ彼女に感謝しているほかはなかった。；こいつばかりは経験したくてもできないんだから、黙らざるをえないのだ。；出来もしないことを発表したつて馬鹿気てゐますから黙つてゐます。；即ち支那人は反く、反けば余儀なく政治上では黙っておられぬ事になる。；花田 ただし尻尾を出しそうな奴は黙って引っ込んでいるほうがいいぜ。；叔父はただ黙って聞いていると、僧もその以上の説明をつけ加えなかった。；俺は亜佐美の口を押さえ、なんとか黙らそうとしたが手を強く噛まれた。；ぼくがしたがったように結論するには精神を黙らせねばなりますまい。；もし、みんな俺がこのまま黙ると思っているのならそれは大間違いだ。；しかしもう彼等も慣れたのかあきらめたのか、近頃では黙つてしまつた。；黙つて、君のすべてを僕の手にゆだねることが、どうしてできないんだ。；そんな勝手放題なまねをされるのを葉子は見向きもしないで黙っていた。</t>
        </is>
      </c>
      <c r="J5206">
        <f>HYPERLINK("https://www.weblio.jp/content/黙る", "词义详情")</f>
        <v/>
      </c>
      <c r="K5206">
        <f>HYPERLINK("https://yourei.jp/黙る", "查看例句")</f>
        <v/>
      </c>
    </row>
    <row r="5207">
      <c r="A5207" t="inlineStr">
        <is>
          <t>賜わる</t>
        </is>
      </c>
      <c r="B5207" t="inlineStr">
        <is>
          <t>成功</t>
        </is>
      </c>
      <c r="C5207" t="inlineStr">
        <is>
          <t>読み方：たまわる
［動ラ五（四）］
１「もらう」の意の謙譲語。目上の人から物などをいただく。ちょうだいする。「日ごろお客様からご愛顧を—・っております」
「禄ども、しなじなに—・り給ふ」〈源・桐壺〉
２「与える」の意の尊敬語。鎌倉時代以降の用法。目上の人が物などをくださる。「臣下に金一封を—・る」
３神の許可を得て、通行を許してもらう。
「足柄(あしがら)のみ坂—・り顧みず我(あれ)は越(く)え行く」〈万・四三七二〉
４（補助動詞）動詞の連用形、また、それに「て」を添えた形に付いて用いる。
㋐「…てもらう」の意の謙譲語。…ていただく。
「まげて許し—・らん」〈徒然・八七〉
㋑「…てくれる」の意の尊敬語。鎌倉時代以降の用法。…てくださる。
「われをも舟に乗せて—・り候へ」〈謡・隅田川〉</t>
        </is>
      </c>
      <c r="D5207" t="inlineStr">
        <is>
          <t>賜わるべく</t>
        </is>
      </c>
      <c r="E5207" t="inlineStr">
        <is>
          <t>与える；授与；下さる；給う；授ける</t>
        </is>
      </c>
      <c r="H5207" t="n">
        <v>29</v>
      </c>
      <c r="I5207" t="inlineStr">
        <is>
          <t>誰か子を失いし親にして、新たに子を賜わるも前の悲痛を忘れ得ようか。；歌題が決められて、それを女房たちが賜わったのが三月の三日であった。；第二は、舊主から永の暇を賜わって、全くの座頭となり下った時である。；小次郎も、おことばこそ賜わったことはないが、お顔はよく知っている。；良房の大臣の賜わった古例で、七日の白馬が二条の院へ引かれて来た。；この銃を陛下から賜わった自分の魂と思って常に磨いておくように。；この戦闘の活躍で三四三空は御嘉賞の御言葉を賜わることになった。；嵯峨のみかど以後の皇族にして姓を賜わって臣列となった人々の氏である。；どのような理由をつけられるかわからないが、死を賜わるのにちがいないと思ったのだ。；上野の国府にて彼の使者におことばを賜わった際にもそうでございました。；えらい人からは、滅多に賜わったり何かされない方がいいと思った。；その上、わたくしをばあなたに贈物として賜わるとのことでございます。；御前へ召されて出た時もひどく服の濡れていたのを宮は御覧になって物を賜わった。；それは信仰そのものが私どもから出でる力ではなく、神から賜わる恩恵だからです。；ただ権兵衛殿に死を賜わるとなったら、きっと御助命を願って進ぜよう。；さりながら、まず私に安泰のお約束を賜わったうえでなくてはなりませぬ。；だれでもかれでも閣下に拝謁の栄を賜わるというわけにはいかぬのですぞ。；或る国では、王が新春の贈り物として諸侯臣下に賜わるものは火である。；石田は床の間に、軍人に賜わった勅語を細字に書かせたのを懸けている。；なにしろ、たった今あなたの女王がご来臨の栄を賜わったのですからね。；返しのお杯を賜わって、階下へ下り舞踏の礼をした姿などは輝くようであった。；騎射や歩射をして、鳥を射落したことで拝領物を賜わったこともあった。；下賜品は女院からお出しになったが、なお親王は帝からも御衣を賜わった。；彼女の手へ渡したのは、旅に立つ日、母から賜わった地蔵菩薩の守り袋だった。；天皇が特に将軍のために賜わったものだそうだ。；宮の君はここの西の対の一所を自室に賜わって住んでいた。；彼らはお目どおりを賜わって、御手の間に敬意を表したき希望でございます。；外に金五十枚ずつの包み四個を賜わった。；源氏は、昔の河原の左大臣の例を真似て、童の随身を帝から賜わっている。</t>
        </is>
      </c>
      <c r="J5207">
        <f>HYPERLINK("https://www.weblio.jp/content/賜わる", "词义详情")</f>
        <v/>
      </c>
      <c r="K5207">
        <f>HYPERLINK("https://yourei.jp/賜わる", "查看例句")</f>
        <v/>
      </c>
    </row>
    <row r="5208">
      <c r="A5208" t="inlineStr">
        <is>
          <t>ため</t>
        </is>
      </c>
      <c r="B5208" t="inlineStr">
        <is>
          <t>成功</t>
        </is>
      </c>
      <c r="C5208" t="inlineStr">
        <is>
          <t>相手と対等、または同等であることをいう俗語。地位や力関係、年齢などについていう。「—を張る（＝張り合う）」「—口」
[補説]さいころ賭博(とばく)で、二つのさいの目が同じになることからという。</t>
        </is>
      </c>
      <c r="D5208" t="inlineStr">
        <is>
          <t>ためらい；ためしがない；ため断念；ため欠場；ため急遽</t>
        </is>
      </c>
      <c r="E5208" t="inlineStr">
        <is>
          <t>目的；利益；益；利得；悧巧</t>
        </is>
      </c>
      <c r="F5208" t="inlineStr">
        <is>
          <t>多いため；少ないため；ためウルシー環礁；ために一肌ぬい；ために作刀</t>
        </is>
      </c>
      <c r="G5208" t="inlineStr">
        <is>
          <t>ためらい；ためし；ためらわ；ためらう；ため池</t>
        </is>
      </c>
      <c r="H5208" t="n">
        <v>29</v>
      </c>
      <c r="I5208" t="inlineStr">
        <is>
          <t>前衛的音楽のためアルバムはあまり売れなかったが、後に再評価された。；物語の舞台は大阪などに移り、次は気象予報士になるための勉強を開始。；しかし、各分野間には関連領域が存在するため明確に区別することは難しい。；ワードは単独で実行できるため、部分に分けてのデバッグも容易である。；そのため、より多くの機材や医師を病院に配置することが求められている。；父は湯浅屋支配人の仕事があるため、東京と松阪を往復する生活をした。；この条件から外れると領海を形成するために有効な領土ではなくなる。；これは魚類の進化の多くが大陸移動以前から起こってきたためである。；なお、宮崎新局のために確保されていた用地はのちに駐車場となっている。；そのため、二人は手塚が使っていた机と同じ机で漫画を描いていた。；しかしながら前述のように解釈の問題が数多いため、実行の壁は高い。；このフェルミエネルギーを計算するために、Nが大きい場合を見てみる。；このためストールマンは移植性のあるソフトウェアが必要だと考えていた。；ここではソクラテスの言動は揶揄のために誇張されていると考えられる。；これらは制御方法が異なるため、それぞれ別のドライバが必要である。；これは、本来「自分で気づかなければいけない」とされているためである。；これは、分子内の結合や官能基の種類を特定するために一般に使用される。；ゲームにSFアニメ的なエッセンスを加えるために行った設定といえる。；集団防衛は防衛的な性格のみを持つために集団安全保障の側面も持つ。；このため、チューリング機械の定義の詳細は文献によって異なっている。；元々が高価格であったため、長らく愛好家向けというイメージがあった。；格納された各データの参照や修正といった管理を容易にするための構成である。；そのため、小中学生を中心に一定のシェアを獲得することに成功した。；上記のコードは値と式を制御するために名前呼びを用いている。；漢字の習得は非効率であるため漢字を廃止すべきであるとの議論であった。；また、アマチュア的な生物研究を指すためにこの言葉が用いられることもある。；演奏形態の変更のために行うことをのみ編曲と言うのはクラシックの場合である。；この連鎖は全生物に共通の原理であるためセントラルドグマと呼ばれる。；子供のころから漫画が好きで描いてはいたが親に叱られるためこっそり描いていた。</t>
        </is>
      </c>
      <c r="J5208">
        <f>HYPERLINK("https://www.weblio.jp/content/ため", "词义详情")</f>
        <v/>
      </c>
      <c r="K5208">
        <f>HYPERLINK("https://yourei.jp/ため", "查看例句")</f>
        <v/>
      </c>
    </row>
    <row r="5209">
      <c r="A5209" t="inlineStr">
        <is>
          <t>駄目</t>
        </is>
      </c>
      <c r="B5209" t="inlineStr">
        <is>
          <t>成功</t>
        </is>
      </c>
      <c r="C5209" t="inlineStr">
        <is>
          <t>読み方：だめ
［名・形動］《5が原義》
１よくない状態にあること。また、用をなさない状態にあること。また、そのさま。「暑さで食べ物が—になる」「重病で、もう—らしい」「—なやつ」
２効果がないこと。また、そのさま。むだ。「いくら頼んでも—だ」「—でもともと」
３しようとしてもできないこと。また、そのさま。不可能。「これ以上歩けと言われてもとても—だ」
４してはいけないこと。「ここでタバコを吸っては—だ」「黙って入っては—だ」
５囲碁で、両者の境にあってどちらの所有にもならない目。
６演劇などで、演出・演技などの悪い点についての注意や注文。「—が出る」</t>
        </is>
      </c>
      <c r="D5209" t="inlineStr">
        <is>
          <t>駄目なんです；駄目じゃない；駄目だったら；駄目出し；駄目な人間</t>
        </is>
      </c>
      <c r="E5209" t="inlineStr">
        <is>
          <t>ならぬ；違う；無理；不可能；禁止</t>
        </is>
      </c>
      <c r="F5209" t="inlineStr">
        <is>
          <t>なければ駄目；なきゃ駄目；たら駄目；駄目ぢやないか；駄目大関</t>
        </is>
      </c>
      <c r="G5209" t="inlineStr">
        <is>
          <t>駄目になった王国；駄目おし</t>
        </is>
      </c>
      <c r="H5209" t="n">
        <v>29</v>
      </c>
      <c r="I5209" t="inlineStr">
        <is>
          <t>舞台もさうだが、劇場内の空気がもつとハイカラにならなければ駄目だ。；勇気をもって不幸と戦うことが必要であり、愚者は富の中で駄目になる。；ついにとても駄目で引き返した時には早く山の陰に行きたいと思った。；自分の手で殺したのでは駄目だから、お前を利用して殺させようとしたのだ。；それに、人が聞いてると思うと、お話が駄目になってしまうんですもの。；でももう自分で決心してゐるやうですから駄目でせうと思ひます。；魚たちは王国が駄目になろうがどうしようが関係ないと考えて暮らしている。；人というものはいつでも自分の心を語れるようでなくては駄目だと思うな。；発見の時には実際に手を触れないと駄目だとするルールもある。；五六冊の本を手に入れるには非常に運が好くなくては駄目だつた。；一方で、メンバーに駄目出しされることを受け入れらないとも思っていた。；過去の作品を論ずるのには、時代と云うことを考えなければ駄目です。；それがみな駄目になつたのだから、私が改造社にかけた損害は少くない。；私は或時には、東京の家族も友人も皆駄目だと観念したこともある。；「女はお勝手の仕事をしてももう駄目です」とこの人は私に語るのだ。；今までとはまるで違った沈んだ目をして千世子は篤の顔を見て云った。；それ丈けは私たちがいくらもがいても時が来なくては駄目だとおもひます。；小説家は五十以上にならなければ駄目だと云つてゐられたさうだ。；いてもたってもいられないシートンは、駄目元で三者に手紙を書く。；平凡と俗悪の中に居て、人から注意を享けぬとなツては、もう駄目だね。；そしてぼくの顔をみるなり、 「逃げようたって駄目ですよ」と言った。；本当に人殺しをしたように、がたがた慄えていなくちゃ駄目じゃないか。；もうかうなつたら、なんと云つても駄目なことは平生からわかつてゐる。；そしてこの窓枠を力をこめて上げようとしてみたが、やっぱり駄目だった。；恐れては駄目だが木が列のように見え出す、とこれは速過ぎると思ってしまう。；僕はもう駄目だと思うと急に頭の中に血が流れこんで来て顔が真赤になったようでした。；例の七月九日の大地震は、女院のお住居をすっかり駄目にしてしまった。；他人の楽しむのは自分が楽しむのだ位ゐに思はなければ人間も駄目だ。；死んだ老人を甦らせる手のないのに、何をやっても駄目であるに違いなかった。</t>
        </is>
      </c>
      <c r="J5209">
        <f>HYPERLINK("https://www.weblio.jp/content/駄目", "词义详情")</f>
        <v/>
      </c>
      <c r="K5209">
        <f>HYPERLINK("https://yourei.jp/駄目", "查看例句")</f>
        <v/>
      </c>
    </row>
    <row r="5210">
      <c r="A5210" t="inlineStr">
        <is>
          <t>ため息</t>
        </is>
      </c>
      <c r="B5210" t="inlineStr">
        <is>
          <t>成功</t>
        </is>
      </c>
      <c r="C5210" t="inlineStr">
        <is>
          <t>読み方：ためいき
気苦労や失望などから、また、感動したときや緊張がとけたときに、思わず出る大きな吐息。「—が出るほど残念だ」「—をつく」</t>
        </is>
      </c>
      <c r="D5210" t="inlineStr">
        <is>
          <t>ため息をつい(42%)；ため息まじり(2%)；ため息混じり；ため息交じり；ため息をひとつつい</t>
        </is>
      </c>
      <c r="E5210" t="inlineStr">
        <is>
          <t>溜息；吐息；溜め息；嘆息；嘆声</t>
        </is>
      </c>
      <c r="F5210" t="inlineStr">
        <is>
          <t>小さくため息；大きくため息；深くため息；小さなため息；軽くため息</t>
        </is>
      </c>
      <c r="G5210" t="inlineStr">
        <is>
          <t>ため息が眠らない</t>
        </is>
      </c>
      <c r="H5210" t="n">
        <v>29</v>
      </c>
      <c r="I5210" t="inlineStr">
        <is>
          <t>エレンが深い感謝のため息をついて、おいとまの時が近いことを知った。；いいようのない解放感から、思わず出るため息をおさえようともしない。；わたしが耳をすましているあいだにも、なん回かため息が聞こえてきた。；こんなこともみな楽しい遊びだった頃を思いだしてついため息が出た。；それから、軽くため息をついて、二階の病人のところへあがって行った。；木々を吹きわたる風は、巨人のため息にも似た、悲しそうな音を立てた。；しまいにはみんな顔を見あわせて、ため息ばかりするようになりました。；自分はそれが非常に嬉しく、胸のつかえがとれたようにため息をついた。；そして彼女に体をあずけると、ため息をついてすやすやと眠りに落ちた。；ドゥカーレ宮殿の裁判所と監獄を結ぶ橋は、ため息の橋と呼ばれている。；私はため息をついてボートの向きを変えると、流れを下りはじめた。；夫が出て行ったのを見て、夫人はため息をつき、まじめな顔で言った。；このようなありさまだから、いつも私はため息をつくことになるのだ。；そしてこの自分という者を彼から忘れてもらいたいと、ため息ついて思う。；元の部屋へ戻りながら、ファル・シヴァスはため息をつきながら言った。；千年たっても人間は、今と同じようにため息をついて言いますよ。；今までずっとだまっていた吟遊詩人が、悲しげなため息をついていった。；一晩中皿を洗いつづけたルイズは己の手を見つめて、ため息をついた。；こう、うつろな目で窓の外を見てフッとため息つくだけでいいんだよ。；そのうちに博士は、大きく首を左右にふって、ふーっとため息をついた。；私も普段はそんな空気を吐いているのだから、ため息ぐらい許されるだろう。；「きみは分ってくれているかも知れない」彼はため息をついて言った。；ため息をつくと、今度はパッキントン氏がゆっくりと階段を上がって行った。；あれは今までついた中でもいちばん楽しいため息でしたよ。；ある日、あの人がこう言ってため息をついたのをおぼえてるわ。；「危いことをしなくちゃならないんです」 調査人はため息をついた。；わしの言葉に答えることもできず、こころの底からため息をもらしている。；彼女はとうとう大佐の画像の陰気な顔から目を離し、ため息をついた。；ガリオンはため息をつき、目を再び行く手に転じて監視を続けるのだった。</t>
        </is>
      </c>
      <c r="J5210">
        <f>HYPERLINK("https://www.weblio.jp/content/ため息", "词义详情")</f>
        <v/>
      </c>
      <c r="K5210">
        <f>HYPERLINK("https://yourei.jp/ため息", "查看例句")</f>
        <v/>
      </c>
    </row>
    <row r="5211">
      <c r="A5211" t="inlineStr">
        <is>
          <t>試しに</t>
        </is>
      </c>
      <c r="B5211" t="inlineStr">
        <is>
          <t>成功</t>
        </is>
      </c>
      <c r="D5211" t="inlineStr">
        <is>
          <t>試みに；実験的に；サンプルとして</t>
        </is>
      </c>
      <c r="H5211" t="n">
        <v>29</v>
      </c>
      <c r="I5211" t="inlineStr">
        <is>
          <t>皆笑って相手にしなかったが、試しにと清水が投げたのを正確に取った。；ふえず口は試しに女性の書いた小説も写真と照らし合わせて読んでみた。；クマにしてみれば、試しに人間の足を齧っていただけなのかもしれない。；六百部は必要だが、最初は試しに四百部契約させてもらいたいと言いました。；彼らの主張はよく伝わってきたので、僕も試しに何か書いてみることにした。；ここでは、まだ設計者も自信がないようなものを、試しに作るわけです。；試しに手に取らせてもらったのですが、なぜだか全然欲しいと思わなかった。；でも、今回は試しにその逆のコースを辿ってみるのだと申しておりました。；ということで、彼女は試しに見晴らしのいい場所を選んで止まってみた。；これまで一度も買ったことがなかったので、試しに一つ買ってみた。；私はこの意外な変化に驚き、試しにもう一度その石を砂の上へ落としてみた。；このため、諸葛亮は試しに馬良自身に紹介文を書かせてみることにした。；アメリカ滞在中に関心を持ち、自らの発案で試しにやってきたはずなのに。；嘘だ、信じられないと思うなら、試しに貴女の彼氏に聞いてみるとよい。；試しに試験管の中に敏夫自身の血を一滴落としてみても凝固は起きない。；試しにフィクション、小説でも十分通用する動機を考えてみましょうか。；試しに七時三十分発のバスと八時ちょうどくらいのバスを乗り比べてみればいい。；試しに自分で自分の頭を撫でてみたが、あの感触は再現できなかった。；試しに手に取って開いてみても難しい漢字ばかりでバタリと閉じてしまった。；「おれはここにいないわけだよ」 そして試しに足を伸ばしてみた。；前日は試しに船を出してみたがたった九匹しか獲れなかったらしい。；随分と人なつこいな、と思いながら京は試しに給水機のボタンを押した。；試しに、自分で自分たちの姿を想像してみて、思わず顔から火が出そうになった。；試しにフェンスの扉を押したり引いたりしてみたけれど、びくともしない。；試しに道策と互先で打ってみたところ、互いに1目勝の打ち分けとなった。；試しにそのかすかな痛みを抑圧してみると、それも消えてしまった。；試しにそのままノブを引いてみると、ドアは何の抵抗もなく開いた。；試しに欠片を囓ってみると、ごきりと大きな音を立て板が口の中で折れた。；早送りボタンを試しに押してみても画面には何の変化も見出せない。</t>
        </is>
      </c>
      <c r="J5211">
        <f>HYPERLINK("https://www.weblio.jp/content/試しに", "词义详情")</f>
        <v/>
      </c>
      <c r="K5211">
        <f>HYPERLINK("https://yourei.jp/試しに", "查看例句")</f>
        <v/>
      </c>
    </row>
    <row r="5212">
      <c r="A5212" t="inlineStr">
        <is>
          <t>試す</t>
        </is>
      </c>
      <c r="B5212" t="inlineStr">
        <is>
          <t>成功</t>
        </is>
      </c>
      <c r="C5212" t="inlineStr">
        <is>
          <t>読み方：ためす
［動サ五（四）］物事の良否・真偽や能力の程度などを実際に調べ確かめる。こころみる。「機械が動くかどうか—・してみる」「体力の限界を—・す」
→試(こころ)みる［用法］
[可能]ためせる</t>
        </is>
      </c>
      <c r="D5212" t="inlineStr">
        <is>
          <t>試すべく；試すような目つき；試すような真似</t>
        </is>
      </c>
      <c r="E5212" t="inlineStr">
        <is>
          <t>見る；試験；努力；テスト；図る</t>
        </is>
      </c>
      <c r="H5212" t="n">
        <v>29</v>
      </c>
      <c r="I5212" t="inlineStr">
        <is>
          <t>それはどこかで、それを試さぬことにはわかりようのないことであった。；ヨーロッパでは医療への活用が多数試され、その効果が発表されている。；われわれは自分の生活を多くの簡単な方法で試すことができるだろう。；今回手にした金は神様が俺を試そうとしているような気がするんだな。；これは再建時の資金不足と新しい工法を試そうとしたことによるという。；しかしこのように絶望的な段階をとる前に彼はある計画を試すことになった。；彼の胸に顔を埋めて、彼女は自分が今泣けるかどうか、試そうと思った。；国中の女に試させたが、誰一人として履くことのできる者がいなかった。；忘れているかもしれないとしても、それを試すのはあまりに危険過ぎる。；目を覚ました主人公は、パピルスに記されていた方法を試すことにした。；それにまた、わしはここで自分の言いたいことを試すわけにいかない。；人がこうしている様子を見たことがあったが、試すのは初めてのことだった。；この状況で、私を試そうとするお前が用意するものなんか決まってる。；つまりあなたは僕を試すつもりであんな難題を持ち出したにちがいない。；それで、特定のところには教わりに行かず、自分で試すことにしました。；自分自身の能力を試すにも、よい機会かもしれない、と男具那は感じた。；試すだけの価値があることは、少なくとも一兆回は試されているはずだ!；試すだけの価値があることは、少なくとも一兆回は試されているはずだ!；ジョンはロンドンに手紙を書きウィリアムは弟を試すことを承知した。；さまざまな健康法や健康グッズを試すより効果があるかもしれません。；その度部下は相手を命じられ、新ルールの有効性を試す実験台にされた。；眠らずに寒さと戦いながら朝を迎えることができるかどうかを試そうとした。；我々はSSDを搭載したウルトラブックを試す最後の機会だと気づいた。；それとも、もうそれを試すことも諦めて、自分も死んでしまうだろうか。；それで、数年前から、日本にいても出来る方法を試すようになりました。；「しかしつらい治療になるぞ」 医者はぼくの覚悟を試すように言った。；そんなことを試すことをやめてから、ずいぶん長いあいだたっている。；この城の近くを通るものはだれであれ、力と美が試されるのでした。；試すまでもなくわかっていることでも、試してみたくなる時はあるものだ。</t>
        </is>
      </c>
      <c r="J5212">
        <f>HYPERLINK("https://www.weblio.jp/content/試す", "词义详情")</f>
        <v/>
      </c>
      <c r="K5212">
        <f>HYPERLINK("https://yourei.jp/試す", "查看例句")</f>
        <v/>
      </c>
    </row>
    <row r="5213">
      <c r="A5213" t="inlineStr">
        <is>
          <t>ためらう</t>
        </is>
      </c>
      <c r="B5213" t="inlineStr">
        <is>
          <t>成功</t>
        </is>
      </c>
      <c r="C5213" t="inlineStr">
        <is>
          <t>読み方：ためらう
［動ワ五（ハ四）］
１あれこれ考えて迷う。決心がつかずにぐずぐずする。ちゅうちょする。「言っていいものかどうか—・う」「—・わずに実行に移す」
２
㋐気を落ち着ける。心を静める。
「皆出ではてぬるに—・ひて」〈かげろふ・上〉
㋑病勢を押さえつける。
「さらにえ—・ひやり給はで、苦しき中にもかしこまり申し給ふ」〈源・柏木〉
３ちゅうちょして一つ所をぶらぶらする。うろつく。
「五、六度まで引き返し引き返し—・ひゐたり」〈盛衰記・二〇〉</t>
        </is>
      </c>
      <c r="D5213" t="inlineStr">
        <is>
          <t>ためらうことなく(23%)；ためらうだろ；ためらう事なく；ためらう様子もなく；ためらうような表情</t>
        </is>
      </c>
      <c r="E5213" t="inlineStr">
        <is>
          <t>躊躇；迷う；戸惑う；躊躇する；ふらつく</t>
        </is>
      </c>
      <c r="F5213" t="inlineStr">
        <is>
          <t>ちょっとためらう；少しもためらう；少しためらう；もはやためらう；いささかもためらう</t>
        </is>
      </c>
      <c r="H5213" t="n">
        <v>29</v>
      </c>
      <c r="I5213" t="inlineStr">
        <is>
          <t>わたしは書物に記されていることを恐れて、手を上げるのをためらった。；私も将来家庭を持った場合に、ためらわずにそれを犠牲にするでしょう。；それが私にそのまま起きてお前のあとを追って行くことをためらわせた。；父親に似た人の前で、二人の関係を露わにすることがためらわれたのだ。；指で示してから、ためらいもせずに言いなりになった自分に腹が立った。；宮島が鍵を開け、先に玄関に入るときはさすがに少しためらいがあった。；君が承諾してくれさえすれば、いつでも発表することをためらわないよ。；だが実際にはまだ中間発表の段階で、そう大騒ぎするのもためらわれた。；アゼトブルは父親の部屋のドアの前に立ったまま、入るのをためらった。；有力領主にしてみればどちらに味方していいものかためらうのも無理はない。；今までの私ならそんなの私の勝手よ、とためらいなく口にしただろう。；反対したい気持ちはあるが、その理由を口に出すことがためらわれたのだ。；男もその意味を理解したらしく、しばらくためらってから前進し始めた。；パルスに侵入することをためらう理由など、どこにもないように思えた。；その声に勇気づけられた刑事たちは、もうためらってはいられなかった。；だが、だれにむかって見舞を述べたらいいかとなるとためらいを感じる。；それだけの距離と速度とためらいを、全て冥界を開くことに使用すると。；だから、それを探しに精鋭部隊を投入するのをためらうわけがないんだ。；食堂のドアの前で彼は先頭にたってはいるのをちょっとためらった。；けだものがためらっていたその短い瞬間に、わたしはあたりを見まわした。；その皿がだれのものなのかを、たずねて確認することもためらわれた。；組み替えられてから一度も振ったことがない翼をためらい無く爆発させる。；目の前の緑色のドアを開けて、由美子と顔を合わせるのはためらわれた。；ミラに訊いてみようかと思ったが、沈黙を破ることにためらいがあった。；不破は少しためらうような表情をしたが、外で待つには寒さがこたえる。；父親が驚きためらうのを感じて、これで二点あげた、とダミアは考えた。；さすがに金とは違って銃をテーブルの上で受け取るのはためらわれる。；出発のために動く最初の動作をためらう気持で、ぼんやり立っていた。；しかし、ブランデーはほんの一瞬ためらっただけですぐに行動に移った。</t>
        </is>
      </c>
      <c r="J5213">
        <f>HYPERLINK("https://www.weblio.jp/content/ためらう", "词义详情")</f>
        <v/>
      </c>
      <c r="K5213">
        <f>HYPERLINK("https://yourei.jp/ためらう", "查看例句")</f>
        <v/>
      </c>
    </row>
    <row r="5214">
      <c r="A5214" t="inlineStr">
        <is>
          <t>貯める/溜める</t>
        </is>
      </c>
      <c r="B5214" t="inlineStr">
        <is>
          <t>无结果</t>
        </is>
      </c>
      <c r="H5214" t="n">
        <v>0</v>
      </c>
      <c r="J5214">
        <f>HYPERLINK("https://www.weblio.jp/content/貯める/溜める", "词义详情")</f>
        <v/>
      </c>
      <c r="K5214">
        <f>HYPERLINK("https://yourei.jp/貯める/溜める", "查看例句")</f>
        <v/>
      </c>
    </row>
    <row r="5215">
      <c r="A5215" t="inlineStr">
        <is>
          <t>保つ</t>
        </is>
      </c>
      <c r="B5215" t="inlineStr">
        <is>
          <t>成功</t>
        </is>
      </c>
      <c r="C5215" t="inlineStr">
        <is>
          <t>読み方：たもつ
［動タ五（四）］《「手(た)持つ」の意とも、「持つ」に接頭語「た」が付いたものとも》
１ある状態を変えないで続ける。「常時、室内は二〇度に—・たれている」
２損なわれたり乱れたりしないように、ある状態を守りつづける。もちこたえる。維持する。「若さを—・つ」「面目を—・つ」「秩序を—・つ」
３その状態が変わらないで長く続く。もつ。「からだが—・たない」「寿命が—・つ」
４自分の物として持つ。所有する。
「—・つ所の財宝を」〈曽我・三〉
５天下を治める。統治する。
「必ず世の中—・つべき相ある人なり」〈源・賢木〉
[可能]たもてる</t>
        </is>
      </c>
      <c r="D5215" t="inlineStr">
        <is>
          <t>保つべき；保つまい；保つべく；保つよう努め；保つべし</t>
        </is>
      </c>
      <c r="E5215" t="inlineStr">
        <is>
          <t>持つ；主張；管理；続く；維持</t>
        </is>
      </c>
      <c r="F5215" t="inlineStr">
        <is>
          <t>低く保つ；長く保つ</t>
        </is>
      </c>
      <c r="H5215" t="n">
        <v>29</v>
      </c>
      <c r="I5215" t="inlineStr">
        <is>
          <t>死後も高い人気を保ち続け、様々な形でメディアに取り上げられている。；正確性を保つと同時に可能な限り性能を向上させることが目標である。；異なる言語同士が接触し、双方の特徴を保ったまま複雑に混合した言語。；リビーの値が使われるのは初期の分析結果との整合性を保つためである。；一般的に奉仕により神は良い状態を保つことができると考えられていた。；ここで注目するシステムはタンク内の水を一定量に保つシステムである。；彼はオスマン帝国とは友好的な関係を保ちつつ、北と西に軍隊を進めた。；フランス派は、教会と連携を保ちつつ形式的、儀式的なものは排除した。；またソフトウェアやデータの互換性を保つ目的で使用している場合もある。；が、声を上ずらせながらも、低い声を選んで毅然さを保とうとしていた。；その皮膚は総鰭類には似ておらず、体液を保ち乾燥を防ぐ助けになった。；それを平静に保とうとするには、やはり男の知らぬ努力がいるのです。；それでも従来どおり開催されている地は多く、日本各地で伝統を保っている。；腐敗を防ぐためというより、見た目を保つために用いられることが多い。；一方、沈黙を選んだことで神秘性が保たれたと考えることもできます。；ペンシルバニア鉄道は辞めたがその経営陣とは密接な関係を保っていた。；そしてこのシステムの状態を保っているのは、情報であると考えた。；この強引な人事もあって硫黄島の陸軍内の統制は保たれることとなった。；否定的な影響を感じる相手とは適切な距離を保つという方法もある。；アズム家は州の総督の座を世襲し、中央の権力から半独立状態を保った。；都市の発展はゆっくりとしたもので、建設当初の街並みを保ち続けた。；この戦争でイギリスとオランダは中立を保ち、デンマークは敵となった。；しかし以下の表のように、表記上は有声音・気音がそのまま保たれる。；空洞の中に溜まる水の量を一定に保つため、底には排水管が設けられる。；それほどまでにして保とうとする秘密とは、いったいどのようなものであろう。；またテイレシアースは死後もゼウスより予言の力を保つことを許された。；同時に残念ながらそれまで最大限の制裁と圧力は何があっても保ち続ける!；動物の内部環境がある程度一定に保たれている性質を、恒常性という。；彼女は、やさしい理性的な口調を保とうと一生けんめい努めていたのだ。</t>
        </is>
      </c>
      <c r="J5215">
        <f>HYPERLINK("https://www.weblio.jp/content/保つ", "词义详情")</f>
        <v/>
      </c>
      <c r="K5215">
        <f>HYPERLINK("https://yourei.jp/保つ", "查看例句")</f>
        <v/>
      </c>
    </row>
    <row r="5216">
      <c r="A5216" t="inlineStr">
        <is>
          <t>たやすい</t>
        </is>
      </c>
      <c r="B5216" t="inlineStr">
        <is>
          <t>成功</t>
        </is>
      </c>
      <c r="C5216" t="inlineStr">
        <is>
          <t>読み方：たやすい
［形］［文］たやす・し［ク］
１わけなくできるさま。容易である。やさしい。「いとも—・く解決する」
２軽率である。軽々しい。
「司位高き人をば—・きやうなれば入れず」〈古今・仮名序〉
→易(やさ)しい［用法］
[派生]たやすげ［形動］たやすさ［名］</t>
        </is>
      </c>
      <c r="D5216" t="inlineStr">
        <is>
          <t>たやすいこと(40%)；たやすいもの(3%)；たやすい仕事(2%)；たやすいだろ(2%)；たやすいはず</t>
        </is>
      </c>
      <c r="E5216" t="inlineStr">
        <is>
          <t>やすい；容易；簡単に；容易に；楽</t>
        </is>
      </c>
      <c r="F5216" t="inlineStr">
        <is>
          <t>比較的たやすい；決してたやすい；いとたやすい；よりたやすい；実にたやすい</t>
        </is>
      </c>
      <c r="H5216" t="n">
        <v>29</v>
      </c>
      <c r="I5216" t="inlineStr">
        <is>
          <t>何が起こっているのかを知った今、それははるかにたやすく行なわれた。；値が上がったと主張して十の荷物のうち一つを横流しするのはたやすい。；だから自分の肉体をたやすくあの世へやってしまうことができなかった。；私はいつも、愛はたやすいものだというように言われるのを聞いていた。；貴族の家の艶な娘がほしければたやすく得られることも知っているのだ。；いったい、たやすく得られないものには、どんな力があるのでしょうか?；実を言うと、私もそうたやすく仕事の状態に入れるとは思っていなかった。；しかし、私は、自分自身をそうたやすく満足させることはできなかった。；魚支吾が定めた方針にそって、策を立て実施していくのはたやすかった。；でも、あなたの考えていらっしゃるほどたやすいことではありませんよ。；たやすく刃にかかったところを見ても、斬られたのは左膳ではなかった。；あれだけの人数をたやすく上陸させることのできる場所ということになる。；その強い意志がなければ、きみはたやすく彼女に依存してしまうから。；それでいいのならば、人生で何をするかを決めることだってたやすい。；人間の心というものは、かくもたやすく崩壊するものだろうか、と思う。；だが、いつも家庭にいる妻に、浮気の機会がたやすく得られるだろうか。；情報をたやすく入手できる立場にあるので、株の売買をやって成功した。；あなたがお考えになるほど、そんなにたやすいものじゃありませんよ。；そういうやつらは息をするのと同じくらいたやすくうそがつけるから。；自分がこの村で失ったものはたやすく取りもどして見せるつもりです。；自分がもう一人の自分を殺すのだから、これは実にたやすいことだと考える。；人の胸をたやすく貫くなんて、あの子はよほどの力持ちだったのだろう。；しかし恋の涙と感謝とを体験したる人はたやすく肯くことができるであろう。；眼の隅に映っているその隙を打つのはたやすいことのように思われた。；男は女が自分を愛しているかどうかくらい、たやすくわかるものですからね。；それに、こういった錯覚は、人が考えるよりたやすく起こるものなのだ。；その村ではたやすく他国者を受け入れる風習を持っていないようである。；あれがいる以上、たやすくは銭十郎の目的をとげさせることはあるまい。；この力を使えば、東京の全てを石の都に変えることもたやすいはずだ。</t>
        </is>
      </c>
      <c r="J5216">
        <f>HYPERLINK("https://www.weblio.jp/content/たやすい", "词义详情")</f>
        <v/>
      </c>
      <c r="K5216">
        <f>HYPERLINK("https://yourei.jp/たやすい", "查看例句")</f>
        <v/>
      </c>
    </row>
    <row r="5217">
      <c r="A5217" t="inlineStr">
        <is>
          <t>弛みなく</t>
        </is>
      </c>
      <c r="B5217" t="inlineStr">
        <is>
          <t>成功</t>
        </is>
      </c>
      <c r="D5217" t="inlineStr">
        <is>
          <t>真っ直ぐ；ピンと；真っ直ぐに；真直ぐ；油断なく</t>
        </is>
      </c>
      <c r="H5217" t="n">
        <v>10</v>
      </c>
      <c r="I5217" t="inlineStr">
        <is>
          <t>魚は弛みなく泳ぎ、船は暗い海をゆっくりと進む。；この小さきものは、水平線まで続く潮路の上を流離ながら、弛みなく変化して、今を生きようとかつ燃えかつ消えゆくのである。；あるいは、曲線の伸開線を構成する別な方法として、弛みなく張った糸の代わりに片方の端点が曲線に接するような線分を考えてもよい。；遅れまい、一行の厄介者になるまいと思うと、歩行三昧になって、一歩一歩に、心身の全体を集めて、弛みなく、しかしゆっくりと歩くより外はない。；従って創作慾が、連日、弛みなく、充ち溢れていなければならぬ。；浪があっても平坦に見える海原と同様に、この曠野からも、寂寥と無限の感じが立ち昇り、その感じは、あの、弛みなく遮るものもなく吹きつけて、眼前の風景をその強烈な息吹きで平らにし押し拡げるように思えるミストラルのために、ひとしお強められるのである。；老人は弛みなく漕いだ。；本間正義は「非凡の凡たる表現こそ、目減りすることのない本当の芸術」と評しており、建畠覚造は「非常にストリクトな彫刻の骨格は、裸婦を通じて弛みなく続けられる一方、ストリクトな造形に生の息吹を与えてきた」と述べている。；ありとあらゆるわが思、「愛」と語りて弛みなく その種種の語の数いと繁きひといろは、勢猛にわれをしも力の下に圧さむとし、 またひといろは勢を誇り語りて、らうがはし。；魚は弛みなく泳ぐ。</t>
        </is>
      </c>
      <c r="J5217">
        <f>HYPERLINK("https://www.weblio.jp/content/弛みなく", "词义详情")</f>
        <v/>
      </c>
      <c r="K5217">
        <f>HYPERLINK("https://yourei.jp/弛みなく", "查看例句")</f>
        <v/>
      </c>
    </row>
    <row r="5218">
      <c r="A5218" t="inlineStr">
        <is>
          <t>弛む</t>
        </is>
      </c>
      <c r="B5218" t="inlineStr">
        <is>
          <t>成功</t>
        </is>
      </c>
      <c r="C5218" t="inlineStr">
        <is>
          <t>読み方：たゆむ
［動マ五（四）］
１（ふつう、打消しの語を伴って用いる）緊張がゆるむ。油断する。なまける。「倦(う)まず—・まず励む」
２勢いが弱まる。
「たぐへくる松の嵐や—・むらむ尾上にかへるさをしかの声」〈新古今・秋下〉
３疲れる。くたびれる。
「足—・めば、この児を肩に乗せ背に負うて」〈太平記・二〉
４張ったものがたるむ。ゆるむ。
「糸ガ—・ム」〈日葡〉
［動マ下二］気持ちをほぐす。油断させる。
「御物の怪の—・めけるにや」〈源・夕霧〉</t>
        </is>
      </c>
      <c r="D5218" t="inlineStr">
        <is>
          <t>弛緩；解ける；垂れる；衰える；静まる</t>
        </is>
      </c>
      <c r="H5218" t="n">
        <v>29</v>
      </c>
      <c r="I5218" t="inlineStr">
        <is>
          <t>王子 酒蔵さ、三四十の樽に囲まれて、三四人の弛んだのと一緒だつた。；色の青白い顔に根の弛んだ髪は解けて肩のあたりまで散りかかっている。；ほんのいままでの殺気横溢した表情とは別人のように弛んだ顔であった。；これが一つのあらわれだが、彼の生活態度は変に弛んで不安定になった。；こういった制限はパソコンの弛まない性能向上によりなくなっていった。；だらしなく顎を弛ませ、顔前に展開された血の惨劇に目を見張っていた。；容量以上にエネルギーを消費した神経が、だれて弛んだようになっている。；妙なもので、張りつめていた気持が弛んだのか病状の方が急に悪くなった。；日常の弛んだ心にも主の外に棲むことはできなかったのだろうか。；日常の弛んだ心にも主の外に棲むことはできなかつたのだらうか。；いつもはきれいに結い上げられている頭も、髷が崩れ、根も弛んでいる。；しばらく我慢していると、呪縛が弛んだように、身体の自由が戻ってきた。；石畳はすっかり弛んでおり、通るたびにトラックの車体を大きく揺らす。；けれどもその愛の少し弛んだとき他の全く異なれる要求がはたらき始める。；弛み過ぎていると回収の時に難しいから、この弛ませ方に神経を使う。；成熟雄は眼の下に弛んだ袋を形成するが、その機能は不明である。；今まで緊張してぴぃんと張りつめていた座の空気が、これで一気に弛んだ。；気の張った時の光景と気の弛んだ時の光景、その両者の間には著しい差が有る。；この訓は何処か弛んでいるから、調子の上からは古義の訓の方が緊張している。；腕の閂が少しばかり弛んだが、しかし大頭は手を離そうとはしない。；全身のネジが弛んだようにぎくしゃくしながら、どうにか部屋に戻った。；今までお延の前で体面を保つために武装していた津田の心が吾知らず弛んだ。；膨大な設計作業と弛まざる改良は高い技術水準の獲得をもたらした。；昼の時間は一日の中でもっとも緊張が弛む時である。；東京市民の顔の緊張がやや弛んで見える場所がある、それは外でもない風呂屋である。；彼等は肥っているが美食に疲れその皮膚は不自然に箍になって弛んでいる。；登楼る腹の決まっていることは、若造の弛んだ顔から十二分に見て取れる。；一度通りに出ると、緊張が弛んで少年は涙の発作に捉えられた。；弛んでも張つても、俺は兎に角闇にゐる意識を離れることが出來ない。</t>
        </is>
      </c>
      <c r="J5218">
        <f>HYPERLINK("https://www.weblio.jp/content/弛む", "词义详情")</f>
        <v/>
      </c>
      <c r="K5218">
        <f>HYPERLINK("https://yourei.jp/弛む", "查看例句")</f>
        <v/>
      </c>
    </row>
    <row r="5219">
      <c r="A5219" t="inlineStr">
        <is>
          <t>多様</t>
        </is>
      </c>
      <c r="B5219" t="inlineStr">
        <is>
          <t>成功</t>
        </is>
      </c>
      <c r="C5219" t="inlineStr">
        <is>
          <t>読み方：たよう
［名・形動］いろいろと種類の違ったものがあること。また、そのさま。さまざま。「—な人材」「—な価値観」「多種—」
[派生]たようさ［名］</t>
        </is>
      </c>
      <c r="D5219" t="inlineStr">
        <is>
          <t>多様化(8%)；多様性；多様なジャンル；多様な生物；多様な分野</t>
        </is>
      </c>
      <c r="E5219" t="inlineStr">
        <is>
          <t>様々；いろいろ；色々；多様な；種々</t>
        </is>
      </c>
      <c r="F5219" t="inlineStr">
        <is>
          <t>多様なスロー地震；多様な価値観；多様な建築様式；多様な雇用形態；多様な魚介類</t>
        </is>
      </c>
      <c r="G5219" t="inlineStr">
        <is>
          <t>多様体；多様化；多様体論；多様式主義；多様体の圏</t>
        </is>
      </c>
      <c r="H5219" t="n">
        <v>29</v>
      </c>
      <c r="I5219" t="inlineStr">
        <is>
          <t>社会は広範かつ多様な領域を持っているために複雑な体系となっている。；世界にはし尿などの汚水を処理する施設や技術に多様な方式が存在する。；ALGOLは文字セットが急速に発展し多様化していた時代に登場した。；多様なエンプラの開発により様々な場面にあった物の選択が可能になる。；現在の旅は非常に多様であり、さまざまに分類することが可能である。；その時私は誰かの小さな影が廊下のかどを慌てて横ぎったように思った。；またこの定義から、この語は、飛行機の翼以外にも多様なものを指しうる。；これらの構造は種類により多様な機能に合わせ変形したり退化している。；変種が出来やすく600種を超えると言われるほど多種多様な種がある。；異常が生じるメカニズムは多様であり、全てが知られているわけではない。；これ以降、多様な装置が作られたがいずれもモノクロのものであった。；このような形式をとるために、道路サービス施設の設置態様は多様である。；おれのとこは女房が理解してくれるんだといって、いばってたようだぞ。；而も其は二人以上の夫には会はなかつたものと言ふ条件があつた様である。；本節ではこれら多種多様なナイフのうち代表的なものを一部紹介する。；これに合わせて、IrDAを使った多様なサービスが展開され始めた。；そして彼には、幾日も二人はそういうふうに見合ってたような気がした。；前にも云うた様に先生が日本に来られたのも其の研究の為めであった。；ロンドンは多くの民族的な多様性から料理の幅がかなり広い。；ある者は熱を出し、またある者はぼうと呆けたような格好で眠っている。；加えて、子供の周囲に存在する多様なメディアのメッセージがこれに関係する。；その分野の学生のための数限りなく多様な科目が用意されている。；軍隊の持つ多様な能力も原則的にこの機能に寄与するためにある。；瀬戸内海は縄文時代から今日に至るまで、多様な漁業の場となってきた。；固体化合物は様々なので、それに応じて多様な方法が調合に用いられる。；軍隊の組織形態は、国や時代によって多種多様であり一概には言えない。；但し、現在では移民の増加に伴って現在はそのスタイルも多様化している。；どうやら新婦は、いつ機会が訪れてもいいように準備をしてたようですね。；気がつくと呆けたような表情の夫と並んで新幹線の座席に座っていた。</t>
        </is>
      </c>
      <c r="J5219">
        <f>HYPERLINK("https://www.weblio.jp/content/多様", "词义详情")</f>
        <v/>
      </c>
      <c r="K5219">
        <f>HYPERLINK("https://yourei.jp/多様", "查看例句")</f>
        <v/>
      </c>
    </row>
    <row r="5220">
      <c r="A5220" t="inlineStr">
        <is>
          <t>便り</t>
        </is>
      </c>
      <c r="B5220" t="inlineStr">
        <is>
          <t>成功</t>
        </is>
      </c>
      <c r="C5220" t="inlineStr">
        <is>
          <t>読み方：たより
１（頼り）何かをするためのよりどころとして、たよっているもの。頼み。「地図を—に家を探す」「兄を—にする」
２（便り）何かについての情報。手紙。知らせ。「—が届く」「風の—に聞く」
３縁故。てづる。「—を求めて上京する」
４都合のよいこと。便利なこと。
「凄涼たる夜色…落ち行くには—よしと」〈竜渓・経国美談〉
５あることをするきっかけ、手がかり。
「彼の幽玄なる仏道をも窺い見るべき—となる」〈逍遥・小説神髄〉
６つくりぐあい。配置。
「簀子(すのこ)、透垣(すいかい)の—をかしく」〈徒然・一〇〉</t>
        </is>
      </c>
      <c r="D5220" t="inlineStr">
        <is>
          <t>便りもなく；便りをしよ；便りいたします；便りをしたため；便りなし</t>
        </is>
      </c>
      <c r="E5220" t="inlineStr">
        <is>
          <t>情報；手紙；報告；状；書</t>
        </is>
      </c>
      <c r="F5220" t="inlineStr">
        <is>
          <t>御便り；図書室便り；よい便り；嬉しい便り；うれしい便り</t>
        </is>
      </c>
      <c r="H5220" t="n">
        <v>29</v>
      </c>
      <c r="I5220" t="inlineStr">
        <is>
          <t>帰って来たとすれば、何よりも先にお君からの便りがなければならぬ。；あのひとから、長いこと便りのなかったのも、そのせいだと思うんです。；それであって私の妹だと思い、これからも御便りを送ってゆきたいと思う。；私が北海道にいる間に太宰さんからもらった便りは以上の二通だけである。；ダルタニャンから何の便りもないのは、ことがうまく運んでいる証拠だ。；前記の手紙の少しまえに福光から出された便りには、こう書かれている。；ただおりふしこの村へ帰って来る仲間の者に、便りをことづけては来た。；王の妹から帝の息子への便りなどはいっておらぬのは、当然のことであろう。；私はあなたにまた不幸な便りをしなくてはならないことを悲しみます。；父娘が別れてから便りもなく、時は夏から秋へと移ってゆきました。；志方の便りは最後には必ず、開拓は順調に進んでいますと記されていた。；そういえば、一度便りがきましたが、母が破って捨ててしまいました。；わたしが便りを聞きたがっていることは、あなたもご承知のはずよ。；ところがこれは変名で、私のところへ便りをくれるたびに姓が変っている。；唯一の朗報は二日目に、彼の第一夫人からの長い便りという形で訪れた。；両国の木賃宿で別れてから時々便りのあるはずなのが更にありません。；提灯は径を歩かして、余は月の光を便りに今一度疑問の林に分け入った。；月に一度の夢魔の館からの便りをどうか期待していてもらいたい。；ええ、こんなに急に来る話でもなければ、便りはなかったでしょうね。；便りにしていたものが崩れてゆく何とも云えないいやな気持です。；あなたから何のお便りもないままじっとしているなんて我慢できなかったのですもの。；でも乳母からの便りで、娘は元気で大きくなっていることは知っていました。；しかし、それ以来彼からの便りはなく、その後姿を見たものは誰もいない。；その頃の彼の便りには、合言葉のように、「勉強勉強」と書いてあった。；西へ落ちゆく先々から都へ便りすることも、もはやすまいと決心しています。；彼女は、お富や孫達を相手に、東京の方から来る好い便りを待ち暮した。；今度の戦争のあとでもすぐ、どうしているかと便りをよせてくれた。；大半は無用のもので、私の心に残ったのは北海道からの便りだけだ。；外国から便りをもらうあてはないが、ハムレット様からでもなければ。</t>
        </is>
      </c>
      <c r="J5220">
        <f>HYPERLINK("https://www.weblio.jp/content/便り", "词义详情")</f>
        <v/>
      </c>
      <c r="K5220">
        <f>HYPERLINK("https://yourei.jp/便り", "查看例句")</f>
        <v/>
      </c>
    </row>
    <row r="5221">
      <c r="A5221" t="inlineStr">
        <is>
          <t>頼り</t>
        </is>
      </c>
      <c r="B5221" t="inlineStr">
        <is>
          <t>成功</t>
        </is>
      </c>
      <c r="C5221" t="inlineStr">
        <is>
          <t>読み方：たより
１（頼り）何かをするためのよりどころとして、たよっているもの。頼み。「地図を—に家を探す」「兄を—にする」
２（便り）何かについての情報。手紙。知らせ。「—が届く」「風の—に聞く」
３縁故。てづる。「—を求めて上京する」
４都合のよいこと。便利なこと。
「凄涼たる夜色…落ち行くには—よしと」〈竜渓・経国美談〉
５あることをするきっかけ、手がかり。
「彼の幽玄なる仏道をも窺い見るべき—となる」〈逍遥・小説神髄〉
６つくりぐあい。配置。
「簀子(すのこ)、透垣(すいかい)の—をかしく」〈徒然・一〇〉</t>
        </is>
      </c>
      <c r="D5221" t="inlineStr">
        <is>
          <t>頼りになら(3%)；頼りなげ(2%)；頼りがい；頼りすぎ；頼り甲斐</t>
        </is>
      </c>
      <c r="E5221" t="inlineStr">
        <is>
          <t>連絡；信頼；信用；依存；信</t>
        </is>
      </c>
      <c r="F5221" t="inlineStr">
        <is>
          <t>最も頼り；ひどく頼り；あまり頼り；一番頼り；もっとも頼り</t>
        </is>
      </c>
      <c r="G5221" t="inlineStr">
        <is>
          <t>頼り無；頼り無く</t>
        </is>
      </c>
      <c r="H5221" t="n">
        <v>29</v>
      </c>
      <c r="I5221" t="inlineStr">
        <is>
          <t>ステージではキャラクターとの会話を頼りにゴールを目指して進んでいく。；また、ゲストが頼りにしているかかりつけの医師も紹介することがある。；最初は冷たい人だと思うかもしれないけど、彼は頼りになる人だから。；記憶を持たない彼女は、ただ一つの思いを頼りにマンハッタンを目指す。；不思議なことが起きたら連絡しなさい、とのホームズの言葉を頼りにして。；生徒の中には彼女は自発的な議論にあまりに頼りすぎていると感じる人もいた。；プレイヤーは画面中のグラフィックの変化等を頼りにゲームを進行していく。；画面右下に小さく表示されたレーダーを頼りに広大なマップ内を移動。；彼は空き缶だけを頼りに彼女の失明の原因をつくった車を探し始める。；また、その他にもネトウヨを「味方にしても頼りない人間」と発言した。；蘇峰によれば晩年の八重は蘇峰を頼りとし、何度となく相談をしたという。；その一方でよく他の先輩芸人に「父親に頼りすぎ」などと評されている。；お弁当を忘れるちょっと頼りない姉に届けに行くのが日課になっている。；所属したどのチームにおいても信頼され頼りにされたゲームメーカであった。；何の後ろ盾もなくただ己の能力のみを頼りに生きてきた伝説の博徒。；クラスの男子からも重いものを持ち上げる際に頼りにされている。；メカ達に依存しすぎているためか実戦に慣れておらず、とにかく頼りない。；今までもこれからも私のコーチをとても頼りにしています。；それゆえ、上野や大阪に出向した際には現地で頼りにされているほどである。；わずかに残った記憶を頼りに自分の過去を探す旅を続けている。；食草に特異性があるから、野外で発見したときにはそれを頼りに区別がつく。；そして自分を頼りにしなければ、誰かに自分の人生を支配されることになると述べている。；頼りになる長男の死を聞いた朱全忠は大いに悲しみ、慟哭したという。；地域の住民はこの兄弟について、「頼りになる正直者」と見なしていた。；夜になったときに小休止を取っただけで、月明かりを頼りに追跡を続けた。；現地取材した記者は頼りになるボランティアスタッフの存在の大きさを指摘している。；剣は天井から今にも切れそうな頼りなく細い糸で吊るされているばかりであった。；頼りにしていたキーファーも態度を一変させてマリクに不利な証言をする。；晁蓋の死後、宋江は梁山泊を率いる上で頼りとなる人物を求めていた。</t>
        </is>
      </c>
      <c r="J5221">
        <f>HYPERLINK("https://www.weblio.jp/content/頼り", "词义详情")</f>
        <v/>
      </c>
      <c r="K5221">
        <f>HYPERLINK("https://yourei.jp/頼り", "查看例句")</f>
        <v/>
      </c>
    </row>
    <row r="5222">
      <c r="A5222" t="inlineStr">
        <is>
          <t>頼る</t>
        </is>
      </c>
      <c r="B5222" t="inlineStr">
        <is>
          <t>成功</t>
        </is>
      </c>
      <c r="C5222" t="inlineStr">
        <is>
          <t>読み方：たよる
［動ラ五（四）］《「手(た)寄る」の意》
１たのみとする。つてを求めて近づく。「友人を—・って上京する」
２助けとして用いる。依存する。「つえに—・って歩く」「自然の恵みに—・る」
[可能]たよれる</t>
        </is>
      </c>
      <c r="D5222" t="inlineStr">
        <is>
          <t>頼るべき(4%)；頼ることなく(3%)；頼るほかなかった</t>
        </is>
      </c>
      <c r="E5222" t="inlineStr">
        <is>
          <t>依頼；信頼；信用；頼む；委託</t>
        </is>
      </c>
      <c r="F5222" t="inlineStr">
        <is>
          <t>頼るよりほか；頼るより他</t>
        </is>
      </c>
      <c r="H5222" t="n">
        <v>29</v>
      </c>
      <c r="I5222" t="inlineStr">
        <is>
          <t>それが自分の力ではないと判っていても、今はそれに頼らざるを得ない。；さらにその後エーリヒ1世は市に資金を頼らざるを得ない関係に陥った。；市では経済的な課題を解決するために、統合した経済特区に頼っている。；それは頼んでもない壁の塗り替え後に浮き出てきたひとつのシミだった。；そのような攻撃が行われた際には最初は攻撃された人々に頼るしかないのだ。；晩年は心臓を悪くして、ペースメーカーに頼らざるを得なくなっていた。；このように世代分類のみに頼ると抗菌薬選択のミスを犯す可能性がある。；そんな時、僕は自分の視力に頼るほかはないのだが、幸い僕は眼が良い。；ちなみにその日、男三郎は友人に頼んでアリバイ工作もしていたとも云う。；あなた自身の努力に拠らず、機体の性能に頼ろうとするのは心の弱さよ。；のぞみは弁護士になりたいから結婚を待つよう頼んだことを知られてしまう。；これらでは、縁故などの人脈を頼って優秀な人物が他へと渡っていった。；多分、今彼がどうすすめても、彼女はこれ以上医者に頼ろうとはしまい。；しかし外出することが許されなかったためこの食料に頼るしかなかった。；一部の種では植物体本体の葉が退化し、一生を原糸体に頼って生活する。；業界は再転換し、今度はフランス市場を頼らなくてはいけなくなった。；そのため自動車用エンジンへの対応はもっぱら燃料の脱硫に頼っている。；それ以前の数十年間と同様、ラガー漁業も国の援助に頼るようになった。；そうなったら、警察には頼れなくても、別の筋の人間を使うのではないか。；蒸気機関車の機関士は、自分の注意力だけに頼って列車を運転していた。；恋人ぐらい、石なんかに頼らず、自分の力でなんとかしたらどうなんだ。；第二幕が終ると、王室代表委員の方から第三幕を読んでくれと頼んだ。；ただ残念なことには、彼女たちは日本に来てもまた男に頼ろうとしている。；しかし、その後の南行きと帰りの旅は人が曳く橇に頼るしかなくなった。；どろぼうの罪を着せられた胡弓引きは聖堂に行かせてくれるよう頼んだ。；日本国内外の記事を共同通信社や時事通信社からの配信に頼る事が多い。；お前ら男に頼らないと何もできないのかあ、みたいな意地があってさ。；対抗するための唯一の方法は、敵国と同じように闇の力に頼ることだった。；浩太は加代がおしんを頼って伊勢に来てるのではないかと考えたという。</t>
        </is>
      </c>
      <c r="J5222">
        <f>HYPERLINK("https://www.weblio.jp/content/頼る", "词义详情")</f>
        <v/>
      </c>
      <c r="K5222">
        <f>HYPERLINK("https://yourei.jp/頼る", "查看例句")</f>
        <v/>
      </c>
    </row>
    <row r="5223">
      <c r="A5223" t="inlineStr">
        <is>
          <t>だらしない</t>
        </is>
      </c>
      <c r="B5223" t="inlineStr">
        <is>
          <t>成功</t>
        </is>
      </c>
      <c r="C5223" t="inlineStr">
        <is>
          <t>［形］［文］だらしな・し［ク］
１きちんとしていない。整っていない。「—・いかっこう」「床に—・く寝そべる」
２節度がない。しまりがない。「お金に—・い人」「自分の子供のことになると全く—・い」
３体力や気力がない。根性がない。「このくらいでへたばるなんて—・い」
[派生]だらしなげ［形動］だらしなさ［名］</t>
        </is>
      </c>
      <c r="D5223" t="inlineStr">
        <is>
          <t>だらしない恰好(4%)；だらしない格好(4%)；だらしない感じ；だらしない女；だらしない姿勢</t>
        </is>
      </c>
      <c r="E5223" t="inlineStr">
        <is>
          <t>臆病；雑；太った；緩慢；乱雑</t>
        </is>
      </c>
      <c r="F5223" t="inlineStr">
        <is>
          <t>こんなだらしない；だらしない奴；だらしない印象</t>
        </is>
      </c>
      <c r="H5223" t="n">
        <v>29</v>
      </c>
      <c r="I5223" t="inlineStr">
        <is>
          <t>そして戦争はまだだらしなく私の胸の中にだけ吹き荒れてゐるのである。；あの母親の娘だからだらしない女だと後ろ指をさされないようにしろと。；その度に私の身体は、だらしなく砂の中へ舞ひ落ちる靄のやうであつた。；その度に私の身体は、だらしなく砂の中へ舞い落ちる靄のようであった。；自分もだらしないが、私はそういう普通のレベルじゃないんだそうだ。；ですから、他人が酔ってだらしなくなってしまうと嫌な顔をしましたね。；舌が口からだらしなく垂れていて、とてもじゃないか座る気になれない。；やはり気絶して口をだらしなく開いていたが、見ると歯が全部抜けていた。；だらしなく顎を弛ませ、顔前に展開された血の惨劇に目を見張っていた。；五分もすると従者がだらしない様子で非常にねむそうな顔をして現われた。；一人の生活の中で、だらしなく生きると、たちまち人間性が崩れて行く。；ぼろ服には相も変わらずボタンをかけず、帯をだらしなくしめていた。；或る朝、氏が帯の端を垂らしてだらしなく廊下を歩いて便所に行く後姿。；だらしないヤツだって思ってくれていいからさ、今は何も聞かないでくれ。；自分の顔がだらしない笑みで緩んでいるような気がしてしようがなかった。；あんなだらしない恰好で半ば砂に埋まっていたのでは無理もございません。；足を腹の下にぴったりとつけ、触角はだらしなく顔へたれ下がっていた。；それは例によつてタオルの寝巻をだらしなく着た看護婦の中川であつた。；この前までいたんですが、ちょっとお金にだらしない人だったんで別れました。；頭が、びーんとしたとたんに、おれは、だらしなく気を失ってしまった。；一番上の一冊が、ページをだらしなく開き、手でくせをつけられた跡がある。；気になるのは、女が男と同じになると、男がだらしなくなることさ。；いつものだらしない格好からは想像もつかない驚くべき変身である。；妻が自ら命を絶ったのも、もとはといえば自分がだらしないからだ。；それから犬飼にやられたところを見ていたが、だらしないにもほどがあるぞ。；また出しっぱなしにしてだらしない女、と賢二に蹴られるところだった。；乗降客が多い中で、だらしなく居眠りする女のふりをしているようだった。；父は殆んど口をきかず、助手席の僕はだらしなくじめじめと泣いていた。；ねずみ色の着物をだらしなく着ていて、だんだら模様の帯を巻いている。</t>
        </is>
      </c>
      <c r="J5223">
        <f>HYPERLINK("https://www.weblio.jp/content/だらしない", "词义详情")</f>
        <v/>
      </c>
      <c r="K5223">
        <f>HYPERLINK("https://yourei.jp/だらしない", "查看例句")</f>
        <v/>
      </c>
    </row>
    <row r="5224">
      <c r="A5224" t="inlineStr">
        <is>
          <t>だらだら</t>
        </is>
      </c>
      <c r="B5224" t="inlineStr">
        <is>
          <t>成功</t>
        </is>
      </c>
      <c r="C5224" t="inlineStr">
        <is>
          <t>［副］(スル)《「たらたら」を強調した言い方》
１液体がたくさん流れつづけるさま。「血が—（と）出る」
２道がゆるやかな傾斜になっているさま。「坂道が—（と）続く」
３変化の乏しい状態が長く続くさま。「会議が—（と）長引く」
４気分などがゆるんでしまりのないさま。「—（と）した生活」</t>
        </is>
      </c>
      <c r="D5224" t="inlineStr">
        <is>
          <t>だらだら流し；だらだらと流れ；だらだらと続く；だらだらと血；だらだらと続い</t>
        </is>
      </c>
      <c r="E5224" t="inlineStr">
        <is>
          <t>自由に；のろのろ；のんびりと；ゆるく；のっそり</t>
        </is>
      </c>
      <c r="F5224" t="inlineStr">
        <is>
          <t>いつまでもだらだら；だらだら登り；だらだらと歩い；だらだらと書き；だらだら垂らし</t>
        </is>
      </c>
      <c r="H5224" t="n">
        <v>29</v>
      </c>
      <c r="I5224" t="inlineStr">
        <is>
          <t>いつまでもだらだらとした城の探索を続けていられるわけではないのだ。；彼は歩くというよりも、前の方にだらだらと流れ出るような感じだった。；やっぱり俺は、ほかの連中と同じようにだらだらと生きるだけの偽物だ。；だらだらと色んな人のページを流し読みしていたら何時の間にか数時間。；彼女はあそこで変わりばえのしない毎日をだらだらと送っていた。；女性にしては力がありすぎるし、簡潔で、だらだらしたところがないし。；おれたちの仲をきちんとする、とか言って、だらだらしてたのは誰よ。；ベルブライの食事の時間は、昔からこうもだらだらと長かっただろうか?；久吉の家の向こうには、家が一軒あるだけで、だらだらと山道にかかる。；一瞬時が止まったと思ったら また勝手に目と鼻から水がだらだら漏れてくる。；下校ルートの坂道をだらだら下っていると自然に男女間で距離ができる。；しかし、それにもかかわらず、だらだらと価値のない情報を伝えつづけた。；明確な目的も終着も知らないのに意味もなくだらだらと伸びやがって。；彼はだらだらとした姿勢で本を読むことを好むようになっていた。；一行がこのようにだらだらな理由はその仕事が後ろ向きな仕事だからであった。；西の山から外場の中心部に向かって、だらだらと道は下っている。；ルイスはうしろから、ポケットに手をいれてだらだらとついていった。；本鬼頭のまえのだらだら坂をおりると、そこに島の目抜きの場所がある。；私は、ただだらだらと、生活を守るために働き、転職するばかりだった。；だらだらと教科書に沿って講義をしていたのでは、学生は寝てしまう。；何キロかはあるだろうが、だらだらと草原を下って行けば、町に着く。；郊外の若者達はあまり幸せそうではなく、テレビをただだらだらと見ているだけ。；入口は植木屋のようで、短いだらだら坂を数歩下ると開いた地面がある。；額にだらだら垂れてくる汗をタオルで拭ったとき、山の麓に影が見えた。；中身の見当はついていたけれど、私はそれをだらだらと開けてみた。；おれとラジオはダットサンのなかで、だらだらと意味のない話を続けていた。；別れた男といつまでもだらだら関係する女がけっこういることは知ってる。；私との稽古のときは、小父様は汗だらだらになるほど本気でしたけど?；しかし、行っても行ってもだらだら坂はつづいて、なかなかそこへ行けない。</t>
        </is>
      </c>
      <c r="J5224">
        <f>HYPERLINK("https://www.weblio.jp/content/だらだら", "词义详情")</f>
        <v/>
      </c>
      <c r="K5224">
        <f>HYPERLINK("https://yourei.jp/だらだら", "查看例句")</f>
        <v/>
      </c>
    </row>
    <row r="5225">
      <c r="A5225" t="inlineStr">
        <is>
          <t>多量</t>
        </is>
      </c>
      <c r="B5225" t="inlineStr">
        <is>
          <t>成功</t>
        </is>
      </c>
      <c r="C5225" t="inlineStr">
        <is>
          <t>読み方：たりょう
［名・形動］分量の多いこと。また、そのさま。大量。「—な（の）雨」⇔少量。</t>
        </is>
      </c>
      <c r="D5225" t="inlineStr">
        <is>
          <t>多量体(2%)；多量摂取；多量生産；多量服用</t>
        </is>
      </c>
      <c r="E5225" t="inlineStr">
        <is>
          <t>多く；多数；たくさん；大量；いっぱい</t>
        </is>
      </c>
      <c r="F5225" t="inlineStr">
        <is>
          <t>多量にふくん；多量出血；多量体化；多量体形成；多量投与</t>
        </is>
      </c>
      <c r="H5225" t="n">
        <v>29</v>
      </c>
      <c r="I5225" t="inlineStr">
        <is>
          <t>生きて再び家族のもとに戻るのには、あたえられた量では足りないのだ。；これらの架橋は隣接する多量体鎖と相互に結合して硬さを持たせている。；多量の通信を行うユーザーへ向けて2004年6月1日より開始された。；この期待した量の半分の素振りでは黒人も共和党員も満足させなかった。；小太りで、長く伸ばした量の多い髪で顔の半分を隠した制服姿の女の子。；量自体と特定の単位で表した量の数値とを区別しなければならない。；消化率とは、食べた物のうち消化吸収された量の割合を示すものである。；排気に見合った量を取り入れないとドアが開けづらいなどの状態となる。；農業も行われているが、州の多くが山岳地形なため限られた量となっている。；これらの量は正であり得、この場合にはこれらの量は供給せられた量を示す。；ただし、その定義された量が物理的に大きな意味を持つとは限らない。；データウェアハウスは様々な情報源からの多量のデータを集めたものである。；生きてきた年数が違うのだから、経験した量も品も多いのは当然だ。；全身あるいは体の一部に多量の汗をかく疾患である多汗症とは異なる。；多量に用いられた石の白との色の対比を計算したものとされる。；この際には遊撃隊などの将兵614人と多量の軍需物資を搭載していた。；初期の植物は、細胞壁の中に多量の水を蓄えることで、これに対処した。；しかし、脂肪が多量に含まれている肉でないと、あまり効果が出ない。；またコードブックのサイズが大きくなると多量のメモリも必要である。；粉体状のものを多量に吸入すると、塵肺の一種である珪肺の原因となる。；給油は接触と同時に自動で開始され、計画された量になったら自動で停止する。；ラノリンに多量に存在し、そこから発見されたことから命名された。；伯の要求する賦役や税は、1554年に法で定められた量を超えていた。；またレンズ状細胞には葉緑体が多量にあるため反射光は金緑色になる。；これら湖の多くには様々な種類の塩を含む蒸発岩が多量にある。；燃料制が導入されており、戦闘の際には使用する艦ごとに定められた量の燃料が必要となる。；この地下水には多量の塩分が含まれており、灌漑用途には不向きである。；学校の進学や卒業に必要となる履修すべき学習量を科目毎に表した量である。；頭皮は発達している例であり、髪を保護するために多量の皮脂を分泌する。</t>
        </is>
      </c>
      <c r="J5225">
        <f>HYPERLINK("https://www.weblio.jp/content/多量", "词义详情")</f>
        <v/>
      </c>
      <c r="K5225">
        <f>HYPERLINK("https://yourei.jp/多量", "查看例句")</f>
        <v/>
      </c>
    </row>
    <row r="5226">
      <c r="A5226" t="inlineStr">
        <is>
          <t>足りる</t>
        </is>
      </c>
      <c r="B5226" t="inlineStr">
        <is>
          <t>成功</t>
        </is>
      </c>
      <c r="C5226" t="inlineStr">
        <is>
          <t>読み方：たりる
［動ラ上一］
１過不足なく必要なだけのものがある。十分である。「眠りが—・りる」「頭数が—・りない」
２何かをするのにそれで十分である。なんとか間に合う。「電話で用が—・りる」「人手は今のところ—・りている」
３（ふつう、動詞の連体形に「にたりる」の付いた形で）それだけの値うちがある。値する。「信頼するに—・りる人物」「恐れるに—・りない」
[補説]四段活用の「足る」から転じ、近世から江戸で用いられるようになったもの。</t>
        </is>
      </c>
      <c r="D5226" t="inlineStr">
        <is>
          <t>足りるだろ(3%)；足りる相当な理由；足りるでしょ；足りるまい</t>
        </is>
      </c>
      <c r="E5226" t="inlineStr">
        <is>
          <t>回る；廻る；一回り；行き渡る；ひと回り</t>
        </is>
      </c>
      <c r="F5226" t="inlineStr">
        <is>
          <t>あれば足りる；いれば足りる；おけば足りる；飽き足りる；言えば足りる</t>
        </is>
      </c>
      <c r="H5226" t="n">
        <v>29</v>
      </c>
      <c r="I5226" t="inlineStr">
        <is>
          <t>腐った杭でも夜のあいだ馬をキツネの襲撃から守るには足りるのである。；これが小さなことならば、自分の行動を修正または変更することで足りる。；うちの仕事はたくさんはない、お前さんひとりの手でじゅうぶん足りる。；一枚二枚と失われて行ったなかに、まだこの友の食事に足りるものがあった。；一体、生命という概念は機械論的に理解されて足りるものがあるか否か。；何であれ弟を翻心させた事情については、いくら感謝しても足りるまい。；水は割当て制にすればどうにか足りるかもしれないが、帰りの分はない。；この力の張った堅さがあればすべての女どもを貫くに足りるであろう。；実際そんな事で泣いてゐては、幾ら涙があつても足りる訳はなかつた。；ほんの少しの間だけ敵を混乱させていれば、それで事は足りるのだ。；ただ古式を変更したというだけでこれを斥けるに足りると思ったのである。；そこでレコードなんてものは、何枚ぐらいあれば足りるのだろうかと考えた。；それは壁や格子を充分燃えあがらせるに足りる性質と量を持っていた。；ところが日本人は五・七・五で十分足りると思っているんです。；自分の愛は二、三の特殊の場合をようやく支えるに足りるほどである。；彼女は私の気を揉ませるに足りるだけの間を措いてから漸く外に出て来た。；これだけの程度に愛すれば足りると考えることは私にはできません。；その一駅に、二人ずつ刑事を配置したとしても、五十二人で足りるのだ。；その上彼は、彼女は自分に身をささげていて信ずるに足りると思っていた。；ルイス酸触媒は反応の最後に再生するので原料よりも少ない量で足りる。；私は尊敬し、愛するものに、すべてをあげて奉仕すれば足りるのですよ。；軍隊でも地下社会でも見つけられなかった、命を預けるに足りる男を。；正直で勤勉で良識をもってるだけで足りると、いつも好んで言っていた。；ことに口すぎをするのに一年わずか三、四十日でことが足りるからには。；実際のところは信頼に足りる資料ではミンダウガスの父の名は出ていない。；ただ古来の風を改めたというだけでこれを斥けるに足りると思ったのである。；平面の上に穴が二つ開いているだけで結構用は足りるものである。；自分の言葉で世界のなかのすべての用は足りる、と思ってしまう。；我は我が為さんとすることを為しさへすれば、それで足りるのである。</t>
        </is>
      </c>
      <c r="J5226">
        <f>HYPERLINK("https://www.weblio.jp/content/足りる", "词义详情")</f>
        <v/>
      </c>
      <c r="K5226">
        <f>HYPERLINK("https://yourei.jp/足りる", "查看例句")</f>
        <v/>
      </c>
    </row>
    <row r="5227">
      <c r="A5227" t="inlineStr">
        <is>
          <t>足る</t>
        </is>
      </c>
      <c r="B5227" t="inlineStr">
        <is>
          <t>成功</t>
        </is>
      </c>
      <c r="C5227" t="inlineStr">
        <is>
          <t>読み方：たる
［動ラ五（四）］
１「足りる」に同じ。「配慮が—・らぬ」「一見するに—・る」
２満足する。「—・るを知らざる者は富むといえども貧し」</t>
        </is>
      </c>
      <c r="D5227" t="inlineStr">
        <is>
          <t>足るべき(2%)；足るべし；足るまい；足るものなし；足るべく</t>
        </is>
      </c>
      <c r="E5227" t="inlineStr">
        <is>
          <t>回る；値する；廻る；適している；一回り</t>
        </is>
      </c>
      <c r="F5227" t="inlineStr">
        <is>
          <t>満ち足る；むに足る；充ち足る</t>
        </is>
      </c>
      <c r="H5227" t="n">
        <v>29</v>
      </c>
      <c r="I5227" t="inlineStr">
        <is>
          <t>準備が足りず、自分だけのために練習しているような印象を受けました。；もしそういう人があるならば共に人生を語るに足るべき人とは言えない。；上の一覧に挙げたいくつかの言語では正しい印刷用の引用符が足りない。；しかし、この時点で回避するにはあまりにも時間と距離が足りなかった。；いかに人はそれに満足し、いかにそれをもって足れりとしていることか!；週3回の練習では物足りず、毎日1時間は家の前で練習していたという。；河右のような小さい地は取るに足りず、気にかけるほどもありません。；この作戦は完全な成功であったが、ブロックはまだ足りないと思った。；日の要求に応じて能事畢るとするには足ることを知らなくてはならない。；実際の名目は五千人ですけれど、私の観察では少し足らないように思う。；また一般相対性理論を研究するには数学の訓練が足りないことがわかった。；単に制作期間が理由で楽曲が足りなかったために収録することになったという。；しかし私は、この考え方を主張するに足るべき何物をも見たことがない。；ただし、電動車椅子はホーム幅が規定に足りないため不可とされている。；これで私は足ることを知って、まず満足して寝てしまうことが出来るのだ。；が、それだけで自分の人生を足れりとするのは私にはものたりなかった。；それを見たレントンは異性との関係が自分の人生には足りてないと感じた。；これはバベッジが機関のための精度が足りないとしていたためもある。；そしてこれは信用するに足るものだと観察するものもあるのだった。；人数が足りない場合は、周辺他大学などと合同で活動することもある。；アメリカでは映画と広告美術があれば事は足っているかも知れない。；病院に入りて初めての夜といふに、 すぐ寝入りしが、 物足らぬかな。；お金が足りないと試合に出場出来なくなるなどの悪いイベントが起こることもある。；こんなことでは本人も師匠も自覚が足りないと言われても仕方がない。；カリスマが足らないとたとえ資金があっても設置をする事が出来ない。；イトメは水を保つに足るものの中に入れて置かねば面白くないのである。；この事故の原因はスパローを下に打ち出す力が足りないことにあった。；これは勿論私にも、幾分ながら同情を惹くに足るものには相違なかつた。；しかし、彼はそんな日々の生活に何か足りないものを感じていた。</t>
        </is>
      </c>
      <c r="J5227">
        <f>HYPERLINK("https://www.weblio.jp/content/足る", "词义详情")</f>
        <v/>
      </c>
      <c r="K5227">
        <f>HYPERLINK("https://yourei.jp/足る", "查看例句")</f>
        <v/>
      </c>
    </row>
    <row r="5228">
      <c r="A5228" t="inlineStr">
        <is>
          <t>だるい</t>
        </is>
      </c>
      <c r="B5228" t="inlineStr">
        <is>
          <t>成功</t>
        </is>
      </c>
      <c r="C5228" t="inlineStr">
        <is>
          <t>読み方：だるい
［形］［文］だる・し［ク］《「たるい」とも》
１疲れや病気などで、からだを動かすのがおっくうである。かったるい。「高熱で全身が—・い」
２しまりがない。ゆるい。
「縄ガ—・イ」〈和英語林集成〉
「下髪(さげがみ)の—・い姿」〈浮・男色大鑑・七〉
３のろい。不十分である。
「ちっと商ひが—・いと」〈伎・四谷怪談〉
[派生]だるげ［形動］だるさ［名］</t>
        </is>
      </c>
      <c r="D5228" t="inlineStr">
        <is>
          <t>だるいよう(4%)；だるい身体(3%)；だるい体(3%)；だるいやう；だるい調子</t>
        </is>
      </c>
      <c r="E5228" t="inlineStr">
        <is>
          <t>つらい；きびしい；きつい；退屈な；しんどい</t>
        </is>
      </c>
      <c r="H5228" t="n">
        <v>29</v>
      </c>
      <c r="I5228" t="inlineStr">
        <is>
          <t>風邪でもないのに毎日のこのだるさはいったいどういうことなのだろう。；慣れない力仕事で、ものの五分もしない内に腕や腰がだるくなってくる。；動かされない身体の痛みとだるさを、そして彼女は急に感じたのだった。；その可能性をジュウが検討しようとしたとき、だるそうな声が聞こえた。；ラジオは冬でも春でも秋でも聞いていたのに、想い出はいつもだるい夏。；彼女はなぜ自分の心と体がこんなにだるいのか、理由が理解できなかった。；ずっと上を向いたまま作業していたので、首と腕がひどくだるかった。；だるさが全身を覆ったあの時、生存本能だけは心のどこかに残っていた。；何か答えるらしかったが、判然としないまま男はだるそうに眼を閉じた。；肩の附け根と肘の關節のあたりに、痛みとだるさとを同時に感じて來た。；前の晩から体がだるかったんですけど、お店に着いてから生理が始まって。；身体がだるくて、わざわざ起きてここがどこか確認する気にはなれなかった。；栄子は躯がだるく、頭のなかが空っぽになってしまったような気がした。；眠っている時以外はほとんど酒を口にしているため、年中体がだるい。；体には肉がつき足の傷もいえたが、動作がひどくだるそうだった。；さっきまで少し残っていた身体のだるさも今では消えていた。；熟睡できないため身体がだるく、朝から料理用の酒に手を出すようになった。；男はだるそうな目でかれをじろじろ見ていたが、あわてて気を引き立てた。；すっかり体がだるくなってしまって、ベッドから出るのもおっくうである。；手脚がだるくて、抜けそうなのは、おそらく強い薬の効力なのだろう。；だるそうに首を二、三回振るとメルセデスのほうへ向かって歩き出した。；体がだるいとか腕に力が入らないとか言ってる場合じゃない。；と二つばかり、ゆく年の忙しいなかにも、どこかまだるく音波を伝える。；ついで左の肩をゆっくりとあげ、だるそうに首をまわしたりした。；立ちっぱなしだった私は足がだるくなって、床に腰を下ろそうとした。；いつも馬に乗っていて、ついぞからだがだるいなどと言ったことはなかった。；滝子は愛情と感謝をこめた目で息子を見ると、だるそうに椅子に腰を下ろした。；倒れた翌日もしきりと体のだるさを訴え、体調が回復する様子もない。；彼女は少しだるいのだと言い、身を起こして彼の相手になった。</t>
        </is>
      </c>
      <c r="J5228">
        <f>HYPERLINK("https://www.weblio.jp/content/だるい", "词义详情")</f>
        <v/>
      </c>
      <c r="K5228">
        <f>HYPERLINK("https://yourei.jp/だるい", "查看例句")</f>
        <v/>
      </c>
    </row>
    <row r="5229">
      <c r="A5229" t="inlineStr">
        <is>
          <t>弛み</t>
        </is>
      </c>
      <c r="B5229" t="inlineStr">
        <is>
          <t>成功</t>
        </is>
      </c>
      <c r="C5229" t="inlineStr">
        <is>
          <t>読み方：たゆみ
たゆむこと。緊張がゆるむこと。油断。「—もなく励む」</t>
        </is>
      </c>
      <c r="D5229" t="inlineStr">
        <is>
          <t>弛みなく(4%)；弛みます；弛みはじめ</t>
        </is>
      </c>
      <c r="E5229" t="inlineStr">
        <is>
          <t>軽視；沈静；怠慢；平板；ないがしろ</t>
        </is>
      </c>
      <c r="H5229" t="n">
        <v>29</v>
      </c>
      <c r="I5229" t="inlineStr">
        <is>
          <t>二ヵ月以上張り続ければ、緊張の糸もどこかに弛みが生じてくるものだ。；こんな愛にいつか、弛みが生じることがあると想像できるでしょうか?；もっとも、相手が一度は将来を言い交した女だという気の弛みもあった。；俺と奴とを結ぶ命綱が、わずかな弛みを残しただけで伸びきっている。；妻はそれを今日に困らないから心に弛みが出るのだと観察していたようでした。；四十過ぎの女なのに下腹部の弛みもなければ妊娠線もない完璧な肉体だ。；その翌日位でなければロースにちょうどいいというまでに弛みません。；弛み過ぎていると回収の時に難しいから、この弛ませ方に神経を使う。；そして警戒の刑事巡査たちの面前にも、ほっとした気の弛みが浮び出た。；鎖はわずかな弛みも示さず一直線に張りつめ、男爵は微動もしなかった。；その古い枝は町にポンプで送り込まれる空気の流れで弛み反っている。；バルブの弛みも治ったし、僕はこれでもずっと君に学んでいたんだ。；授業が始まって、一カ月ばかりすると私の心に、また一種の弛みができてきた。；その姿からは、一見、意識がだらりと弛みきっているような印象をうける。；香奈は頭からかぶると体の線に合わせてドレスの弛みを直していった。；しかし、弛みが生じたその最初の瞬間に、私は自然の望んだとおりのものにもどってしまう。；こわ張っていた頬の筋肉が弛み、ロランも久しぶりに声を立てて笑った。；扉が小さく見えるほどの長身にも拘わらず、その痩身のどこにも弛みはない。；蛍光灯の下で、知子は四十七歳に相応の皺や弛みをあきらかにしていた。；続いて少年が何かを唱えると、道路の表面が弛み、触手が出現する。；そんな、一瞬弛みかけた緊張は、少女の一言で張りを戻した。；まず表情が別人のように弛み、初対面の人間には痴呆のように映った。；角を曲がってくる者達の声がして、グウェンダルは弛みかけた頬を引き締めた。；アルバムのスリーブで自らの弛みきった裸体を晒し発禁対象となった。；むしろ、慣れによる気の弛みの方を警戒しなければならない。；ドレスの肩の部分に弛みができて、香奈の黒いブラの線が見えた。；その定義を長く、心の弛みのせいとし、その救済を放置してきた歴史があるからである。；鼻孔間には皮膚の弛みがあり、その後縁は強く縁取られる。；「何言ってるか、誰にもわかるわけないもんな」 少し緊張が弛み、笑いが起きた。</t>
        </is>
      </c>
      <c r="J5229">
        <f>HYPERLINK("https://www.weblio.jp/content/弛み", "词义详情")</f>
        <v/>
      </c>
      <c r="K5229">
        <f>HYPERLINK("https://yourei.jp/弛み", "查看例句")</f>
        <v/>
      </c>
    </row>
    <row r="5230">
      <c r="A5230" t="inlineStr">
        <is>
          <t>弛む</t>
        </is>
      </c>
      <c r="B5230" t="inlineStr">
        <is>
          <t>成功</t>
        </is>
      </c>
      <c r="C5230" t="inlineStr">
        <is>
          <t>読み方：たゆむ
［動マ五（四）］
１（ふつう、打消しの語を伴って用いる）緊張がゆるむ。油断する。なまける。「倦(う)まず—・まず励む」
２勢いが弱まる。
「たぐへくる松の嵐や—・むらむ尾上にかへるさをしかの声」〈新古今・秋下〉
３疲れる。くたびれる。
「足—・めば、この児を肩に乗せ背に負うて」〈太平記・二〉
４張ったものがたるむ。ゆるむ。
「糸ガ—・ム」〈日葡〉
［動マ下二］気持ちをほぐす。油断させる。
「御物の怪の—・めけるにや」〈源・夕霧〉</t>
        </is>
      </c>
      <c r="D5230" t="inlineStr">
        <is>
          <t>弛緩；解ける；垂れる；衰える；静まる</t>
        </is>
      </c>
      <c r="H5230" t="n">
        <v>29</v>
      </c>
      <c r="I5230" t="inlineStr">
        <is>
          <t>王子 酒蔵さ、三四十の樽に囲まれて、三四人の弛んだのと一緒だつた。；色の青白い顔に根の弛んだ髪は解けて肩のあたりまで散りかかっている。；ほんのいままでの殺気横溢した表情とは別人のように弛んだ顔であった。；これが一つのあらわれだが、彼の生活態度は変に弛んで不安定になった。；こういった制限はパソコンの弛まない性能向上によりなくなっていった。；だらしなく顎を弛ませ、顔前に展開された血の惨劇に目を見張っていた。；容量以上にエネルギーを消費した神経が、だれて弛んだようになっている。；妙なもので、張りつめていた気持が弛んだのか病状の方が急に悪くなった。；日常の弛んだ心にも主の外に棲むことはできなかったのだろうか。；日常の弛んだ心にも主の外に棲むことはできなかつたのだらうか。；いつもはきれいに結い上げられている頭も、髷が崩れ、根も弛んでいる。；しばらく我慢していると、呪縛が弛んだように、身体の自由が戻ってきた。；石畳はすっかり弛んでおり、通るたびにトラックの車体を大きく揺らす。；けれどもその愛の少し弛んだとき他の全く異なれる要求がはたらき始める。；弛み過ぎていると回収の時に難しいから、この弛ませ方に神経を使う。；成熟雄は眼の下に弛んだ袋を形成するが、その機能は不明である。；今まで緊張してぴぃんと張りつめていた座の空気が、これで一気に弛んだ。；気の張った時の光景と気の弛んだ時の光景、その両者の間には著しい差が有る。；この訓は何処か弛んでいるから、調子の上からは古義の訓の方が緊張している。；腕の閂が少しばかり弛んだが、しかし大頭は手を離そうとはしない。；全身のネジが弛んだようにぎくしゃくしながら、どうにか部屋に戻った。；今までお延の前で体面を保つために武装していた津田の心が吾知らず弛んだ。；膨大な設計作業と弛まざる改良は高い技術水準の獲得をもたらした。；昼の時間は一日の中でもっとも緊張が弛む時である。；東京市民の顔の緊張がやや弛んで見える場所がある、それは外でもない風呂屋である。；彼等は肥っているが美食に疲れその皮膚は不自然に箍になって弛んでいる。；登楼る腹の決まっていることは、若造の弛んだ顔から十二分に見て取れる。；一度通りに出ると、緊張が弛んで少年は涙の発作に捉えられた。；弛んでも張つても、俺は兎に角闇にゐる意識を離れることが出來ない。</t>
        </is>
      </c>
      <c r="J5230">
        <f>HYPERLINK("https://www.weblio.jp/content/弛む", "词义详情")</f>
        <v/>
      </c>
      <c r="K5230">
        <f>HYPERLINK("https://yourei.jp/弛む", "查看例句")</f>
        <v/>
      </c>
    </row>
    <row r="5231">
      <c r="A5231" t="inlineStr">
        <is>
          <t>誰</t>
        </is>
      </c>
      <c r="B5231" t="inlineStr">
        <is>
          <t>成功</t>
        </is>
      </c>
      <c r="C5231" t="inlineStr">
        <is>
          <t>読み方：すい
［常用漢字］　［音］スイ（漢）　［訓］だれたれ　た
人の名を尋ねる語。だれ。「誰何(すいか)」
［難読］彼誰時(かわたれどき)・誰某(たれがし)・誰某(だれそれ)</t>
        </is>
      </c>
      <c r="D5231" t="inlineStr">
        <is>
          <t>誰一人(2%)；誰ひとり；誰もいない；誰れも；誰だい</t>
        </is>
      </c>
      <c r="E5231" t="inlineStr">
        <is>
          <t>何者；どなた；どちら様；何奴</t>
        </is>
      </c>
      <c r="F5231" t="inlineStr">
        <is>
          <t>誰よりも早く；なんて誰；誰よりも先；誰でもいいってわけ；誰れも彼れも</t>
        </is>
      </c>
      <c r="G5231" t="inlineStr">
        <is>
          <t>誰か；誰だ；誰彼；誰も知らない；誰何</t>
        </is>
      </c>
      <c r="H5231" t="n">
        <v>29</v>
      </c>
      <c r="I5231" t="inlineStr">
        <is>
          <t>本の中では数十年が経過しており、誰も当時の自分を知る者はなかった。；家臣の誰一人にも告げる暇もなく大阪湾上の開陽丸に連れられたという。；誰かの持ち点が倍になるか誰かの点棒がなくなった時点で終了とする。；アリほどの著名な人物で、他に徴兵を拒否したものは誰一人いなかった。；同年に松田が病死し、原が後継となることは誰の目にも明らかとなった。；他に誰も入れない兄弟2人だけの世界は、この後東京に行ってからも続く。；王質が山を下り村に帰ると知っている人は誰一人いなくなっていた。；プレイの順番は無く、誰でも思いついた順にカードを出すことができる。；誰もが知っていることを誰にもわからない言葉で語るのが詩だ。；よって誰が焼いたか、何を焼いたかで法的判断されるべきものではない。；今まで生きた誰よりも多く世界中の人々に福音を語ったといわれる。；彼は誰も手にかけず、シュラクサエに多くの優れたものを残したのだ。；人々は彼らと同じように行動できますが、誰も彼らを超えることはできません。；誰もが自由であり、誰もが他の者の諸権利に関与する権限はない。；競争部門のチャンピオンクラスを除いては誰でも出品することができる。；この本では五代と八代の間に誰かいると誤読できるような書き方にも見える。；その結果、知的創作物を誰でも自由に利用できると説かれることが多い。；特定アルコールは許可を受けずに誰でも購入して自由に使用することができる。；ダイアナとドディがどんなルートを取るかなど誰も知らなかったのだから。；誰もが納得できるそうした存在が、それまでのアメリカにはなかったのである。；誰もが家のまわりで作業や修理をすることができ、家を建設することさえできた。；アテネでは誰もが知る有名な国際的なスポーツの祭典も多く開催されている。；彼らはドイツの会議でこの結果を発表したが、誰にも評価されることはなかった。；しかし記者たちはそのことに気づかず、その後の展開を誰も予測していなかった。；誰も声を出さなかったが、マルゴーだけは声を上げずに泣いていた。；しかしいずれも確たる証拠がなく、誰が光緒帝を暗殺したかは不明である。；米内さんに仕えた者は、誰でも自分が一番信頼されているように思いこむ。；一方で誰か一人でもゴールできればプレイヤー全員の勝利になる。；メンバーの誰もが雅史を溺愛しており、彼の死後も復活を図り暗躍する。</t>
        </is>
      </c>
      <c r="J5231">
        <f>HYPERLINK("https://www.weblio.jp/content/誰", "词义详情")</f>
        <v/>
      </c>
      <c r="K5231">
        <f>HYPERLINK("https://yourei.jp/誰", "查看例句")</f>
        <v/>
      </c>
    </row>
    <row r="5232">
      <c r="A5232" t="inlineStr">
        <is>
          <t>誰か</t>
        </is>
      </c>
      <c r="B5232" t="inlineStr">
        <is>
          <t>成功</t>
        </is>
      </c>
      <c r="D5232" t="inlineStr">
        <is>
          <t>誰か能く；誰か偉い；誰か然るべき；誰かしかるべき；誰か通りかから</t>
        </is>
      </c>
      <c r="E5232" t="inlineStr">
        <is>
          <t>どなたか；誰ぞ</t>
        </is>
      </c>
      <c r="H5232" t="n">
        <v>29</v>
      </c>
      <c r="I5232" t="inlineStr">
        <is>
          <t>打楽器隊の中で、少しでも違った音を出すとすぐに誰かわかったという。；誰かから精神的な打撃を受けたというようなことはありませんでしたか。；そうだとしたら、店にいた誰かから借りねばならなかったにちがいない。；ここに描かれている少女が誰かは興味深い問題で、さまざまな説がある。；電動ドリル式のものは誰かに持ってもらわないと一人では使用できない。；アウティングすることで誰かの性生活の議論をしたい訳ではありません。；誰かの持ち点が倍になるか誰かの点棒がなくなった時点で終了とする。；もし、私が誰かのお嫁さんになれば、ほかの人を不幸にしてしまいます。；鎌倉の自宅の妻は、誰かに監視されているような恐怖感に囚われている。；母親の姓を名乗っていることからも分かるように、父親が誰かわからない。；ホストが決めた目標勝利数を誰か一人だけでも達成すれば終了となる。；他の誰かに眼球を使われるようなこの感覚は、何度経験しても慣れない。；たまにはあなたが優勝して、誰かに優勝旗を持たせるようにしなさいよ!；具体的にはコイントスでも、誰かに賛成・反対の意見を聞くのでもよい。；犯罪の行われた後三十分以内に、誰か家との間を往復した人間がいた。；ところが、お蝶は誰かに追われているかのような奇妙なそぶりを見せる。；友人たちの言ったとおり、ほかの誰かにだまされているのかもしれない。；正叔父か、それともほかの誰かに何か吹き込まれているのかもしれない。；二人のうちの誰かに会って、わたしの所へ連れてきてもらうんですよ。；村内の誰かの家で子供でも泣いているのだろう、と初めは思っていた。；母が霧の民の血をひいているというのは、誰かから聞いたことがあった。；その教師は誰かということではなく、私が教えていることを理解しなさい。；私は誰か他の人のリーディング・リストの奴隷になりたくありませんでした。；俺は死にたくないから、誰か代わりに行って死んでくれ、とは言えん。；話をする仲間が誰かはランダムで、そのときの状況に合った話をする。；宿の娘ではないし、誰か連れがあって冬籠りをする逗留の客に違いない。；一番おぞましい人間は誰か、真実はどこにあるか、すべて明らかになる。；それで門野を呼んで、寐ている間に誰か来はしないかと聞いたのである。；誰か家から迎へに来てゐる者があるかも知れないと思つたからである。</t>
        </is>
      </c>
      <c r="J5232">
        <f>HYPERLINK("https://www.weblio.jp/content/誰か", "词义详情")</f>
        <v/>
      </c>
      <c r="K5232">
        <f>HYPERLINK("https://yourei.jp/誰か", "查看例句")</f>
        <v/>
      </c>
    </row>
    <row r="5233">
      <c r="A5233" t="inlineStr">
        <is>
          <t>誰しも</t>
        </is>
      </c>
      <c r="B5233" t="inlineStr">
        <is>
          <t>成功</t>
        </is>
      </c>
      <c r="C5233" t="inlineStr">
        <is>
          <t>読み方：だれしも
［連語］《代名詞「だれ」＋連語「しも」。古くは「たれしも」とも》「だれも」を強めた言い方。だれでも。だれだって。「—幸せを願う」</t>
        </is>
      </c>
      <c r="D5233" t="inlineStr">
        <is>
          <t>誰しも一応；誰しも認めるところ；誰しも知つて；誰しも多少；誰しも思うだろ</t>
        </is>
      </c>
      <c r="E5233" t="inlineStr">
        <is>
          <t>みんな；皆；一同；例外なく；あらゆる人々</t>
        </is>
      </c>
      <c r="H5233" t="n">
        <v>29</v>
      </c>
      <c r="I5233" t="inlineStr">
        <is>
          <t>程度の差はあれ、誰しもそうやって自分の心を守るしかないのだからな。；誰しも二人の敵を打つよりは一人味方に思ひ込む方が気が楽でゐられる。；世間の女の誰しもがこんな時にはこんな風に言ふといふ言葉しか言へない。；誰しも二人の敵を打つよりは一人味方に思い込む方が気が楽でいられる。；多分、信長がまだ生き延びている時のことを誰しもが考えたに違いない。；誰しも少し考えて見れば、映画が芸術だけでないことを知っているからだ。；ただ作家は誰しも自分のテスト氏を育てつづけていなければなるまいと思う。；誰しもがこの部屋に訪れてくる美しい女を想像しているようだった。；この男は人生から大切にあつかわれて来た人間だと誰しも思うだろう。；私たちは勿論、誰しも一人ずつの秘密を奥底の方に隠し持ってはいたが。；世間のものは誰しも、その目じるしとは傷痕か何かであろうと想像した。；誰しもが次は二人のうち一人が政権を握ることになるだろうと予測していた。；これは彼の映画を一度でも見たことのある人なら誰しもが思う「結論」だ。；この組合わせが、どのような結果をもたらせるかは、誰しも想像がつく。；お米や魚は誰しも自分のところで取れたのが一番好いと思っているんです。；その工場の第一の資材が人間の死体と来ては、誰しも胸が悪くなるだろう。；しかし誰しもが言う通り、伯爵からも二人の悪いことを聞かされました。；人は誰しも、自分の世界から逃れることのできぬ苦しみを背負っている。；世界が肌に合わない、とは特に思春期には誰しも一度は呟いてみること。；誰しも、彼女のような美しさを持つ乙女を見ればそう思うだろう気持ちだ。；劇場で見た芝居はあまり面白くはなかったが、観客は誰しも感動していた。；私ばかりじゃない誰しも芸術家である以上はそう考えるでしょう。；誰しもこの世の中に生れたとき、既にある境遇というものは持っている。；誰しもあのころを懐かしむから、集まったり映画を見たりしているのだ。；誰しも差別されたくないと思っているし、平等でありたいと願っている。；これを見ていた一門の人々は誰しも、奇異の感じを免れなかったらしい。；どこかの大学で教鞭を執っていると言われれば、誰しも納得するだろう。；村の者たちは、誰しも小舟の中の有様に巻きこまれたくはなかったろう。；その人の顔を見たら、誰しもこの世のものとはとても思えなかったろうからね。</t>
        </is>
      </c>
      <c r="J5233">
        <f>HYPERLINK("https://www.weblio.jp/content/誰しも", "词义详情")</f>
        <v/>
      </c>
      <c r="K5233">
        <f>HYPERLINK("https://yourei.jp/誰しも", "查看例句")</f>
        <v/>
      </c>
    </row>
    <row r="5234">
      <c r="A5234" t="inlineStr">
        <is>
          <t>誰一人</t>
        </is>
      </c>
      <c r="B5234" t="inlineStr">
        <is>
          <t>成功</t>
        </is>
      </c>
      <c r="C5234" t="inlineStr">
        <is>
          <t>読み方：だれひとり
［連語］《古くは「たれひとり」とも》だれも。一人も。下に打消しの語を伴って用いる。「当時を知る人は—いない」「—として信じない」</t>
        </is>
      </c>
      <c r="D5234" t="inlineStr">
        <is>
          <t>誰一人いない；誰一人異議；誰一人動こう</t>
        </is>
      </c>
      <c r="H5234" t="n">
        <v>29</v>
      </c>
      <c r="I5234" t="inlineStr">
        <is>
          <t>苦労した練習の成果で本番では誰一人失敗したレギュラーはいなかった。；この村の人で、私の職業を誰一人知っているもののないのが気楽である。；顔を上げて辺りをじろっと一度眺め廻したが誰一人とて知る者はいない。；しかも世界の誰一人だって、君を疑っていない事は君自身も云っている。；家臣の誰一人にも告げる暇もなく大阪湾上の開陽丸に連れられたという。；そして誰一人暗い思ひに悩む者がないやうに取計らはねばならないこと。；その死まで、彼の暗殺を計画した者は誰一人としていなかったという。；彼の引退がこれほど長く続くと信じた者は、誰一人としていなかった。；たいへん暗い夜が空をこめ、誰一人私らを見た人間はいませんでした。；でも誰一人あの人のいつもの様子からその事実を推測した者はありますまい。；周りの皆は誰一人として彼女が何者なのか知っている者はいなかった。；何しろ、誰一人として殿のご無事なお姿を見たものはないのですからね。；教会の牧師も大学の先生も、誰一人其理由を知る者はなかつたのである。；アリほどの著名な人物で、他に徴兵を拒否したものは誰一人いなかった。；誰一人、私のところへ留まったことを怨んで死んだ者はありませなんだ。；われわれは誰一人としてこれらの武器に慣れているものはおりません。；いままで誰一人として彼にそのように率直に聞いた者はいなかったのだ。；夕刻になっても、誰一人として恐ろしい知らせを口にしようとはしない。；そして誰一人、この地方の者が施しを乞い歩くのを見たものがなかった。；私の心を捕えることのできる女性など、誰一人としてありませんでした。；そしてこれらの偉い人物は、誰一人京都から出はしなかつたぢやないか。；それを聴いた人たちの中にこの曲を知っている者は誰一人としていなかった。；われわれの他にはここで誰一人あの男の力になってやる者はない。；女たちは誰一人として法廷を去って食事をしに行こうとしないのであった。；それがまさかこんな悲劇で終ろうとは、誰一人想像しなかったであろう。；今日まで、誰一人として私の今の立場に立った者はいないと思っています。；彼らのうちの誰一人、異星人と直接向きあったことのある者はいないのだ。；その際には街自体が完全封鎖され、誰一人中に入る事が出来なかった。；王質が山を下り村に帰ると知っている人は誰一人いなくなっていた。</t>
        </is>
      </c>
      <c r="J5234">
        <f>HYPERLINK("https://www.weblio.jp/content/誰一人", "词义详情")</f>
        <v/>
      </c>
      <c r="K5234">
        <f>HYPERLINK("https://yourei.jp/誰一人", "查看例句")</f>
        <v/>
      </c>
    </row>
    <row r="5235">
      <c r="A5235" t="inlineStr">
        <is>
          <t>垂れる</t>
        </is>
      </c>
      <c r="B5235" t="inlineStr">
        <is>
          <t>成功</t>
        </is>
      </c>
      <c r="C5235" t="inlineStr">
        <is>
          <t>読み方：しだれる
［動ラ下一］［文］しだ・る［ラ下二］《「しだる」（四段）の下二段化》細い枝などが、長くたれ下がる。
「暗い空に赤い光が柳のように—・れた」〈万太郎・露芝〉</t>
        </is>
      </c>
      <c r="D5235" t="inlineStr">
        <is>
          <t>垂れるような美男</t>
        </is>
      </c>
      <c r="E5235" t="inlineStr">
        <is>
          <t>下る；下げる；架かる；掛ける；下がる</t>
        </is>
      </c>
      <c r="F5235" t="inlineStr">
        <is>
          <t>だらりと垂れる；首垂れる；長く垂れる；古垂れる；低く垂れる</t>
        </is>
      </c>
      <c r="H5235" t="n">
        <v>29</v>
      </c>
      <c r="I5235" t="inlineStr">
        <is>
          <t>墓地の隅のほうにある大きな雪墓の前で、頭を垂れる親兄弟の姿が見えた。；両方の耳のところに、耳をかくせるように垂れるものがついていました。；花柱と雄蘂は花の上に伸び、その先が花の手前に回り込むように垂れる。；これは稲穂が垂れる期になるとアイガモが稲穂を食べてしまう為である。；迎えるほうも同じように体を倒すが、こちらのほうが少し頭が低く垂れる。；その祖父そっくりの老人が、薄暗闇の通路に現れては説教を垂れるのだ。；枝1本ごとに線状楕円形になり、横に垂れるのがまるで葉のように見える。；貧しげなものになにかを与えることに蘊蓄を垂れるのはやめようと思う。；樹形は株立ちになり、細い枝をよく分枝して、主幹の先端は下に垂れる。；今日、王の前に頭を垂れる彼は、いっそう蒼白く不安げな様子だった。；果たして彼女は、俺に教えを垂れる宣教師のような表情を向けてきた。；男は背が高く、衣のようにまっすぐ垂れる黒っぽいマントを着ていた。；おまえさんに説教を垂れるほど、俺はご立派な人間じゃないからな。；ドレスの裾は床に垂れるほど長く、その裾をふたりの従者が持っている。；この状態はよく「涙を流す」とか「洟を垂れる」などと表現されていた。；その水色の光を点す瞳が映すのは、錆びた棒に力なく垂れる色褪せた旗。；それが稻の穗首の垂れる頃からお品は思案の首を傾げるやうになつた。；ときおり彼はKに子供にでもするような無内容な訓戒を垂れることがあった。；ドラムの音と、長いオールから垂れる水の音には催眠術的な効果があった。；もしそれが自分から出た事ならば、私はただ首を垂れるほか仕方がないではないか。；一度も会ったことがないが、神々の社の前で頭を垂れる中年の女が見えるようだ。；本物の女の髪の毛が、床にまで垂れるほど、ふさふさと生え揃っている。；また二筋に分けて前とかうしろへ垂れるのもあった。；これ以上に身を落として引き垂れるのはいささか難儀なくらいだった。；背中に垂れる青銀の長髪を一振りし、俺はガラスから視線を外した。；花序は葉腋から出て長く伸び、多数の花を付け、多くは下向きに垂れる。；した した した 耳に伝ふやうに来るのは、水の垂れる音か。；エイダはただ頭を垂れると、私をいっそうきつく抱きしめるだけでした。；耳は高い位置についており、V字型で、半分が前方または横に垂れる。</t>
        </is>
      </c>
      <c r="J5235">
        <f>HYPERLINK("https://www.weblio.jp/content/垂れる", "词义详情")</f>
        <v/>
      </c>
      <c r="K5235">
        <f>HYPERLINK("https://yourei.jp/垂れる", "查看例句")</f>
        <v/>
      </c>
    </row>
    <row r="5236">
      <c r="A5236" t="inlineStr">
        <is>
          <t>たわいない</t>
        </is>
      </c>
      <c r="B5236" t="inlineStr">
        <is>
          <t>成功</t>
        </is>
      </c>
      <c r="C5236" t="inlineStr">
        <is>
          <t>読み方：たわいない
［形］［文］たわいな・し［ク］《「たあいない」とも》
１正体がない。また、しまりがない。「—・く眠りこける」
２しっかりした考えがない。また、幼くて思慮分別がない。「—・く冗談を交わす」「—・い子供のいたずら」
３手ごたえや張り合いがない。「—・く負ける」
[派生]たわいなさ［名］
[補説] 「他愛無い」と書くのは当て字。</t>
        </is>
      </c>
      <c r="D5236" t="inlineStr">
        <is>
          <t>たわいない話(12%)；たわいないこと(11%)；たわいないもの(11%)；たわいない会話(3%)；たわいないおしゃべり(2%)</t>
        </is>
      </c>
      <c r="E5236" t="inlineStr">
        <is>
          <t>初；小さい；やすい；容易；楽</t>
        </is>
      </c>
      <c r="H5236" t="n">
        <v>29</v>
      </c>
      <c r="I5236" t="inlineStr">
        <is>
          <t>私が他の誰かとたわいない会話をした後、決まってチナミさんは荒れた。；さあ、もうベッドに戻って、愛だのその他のたわいない夢を見るがいい。；こんなたわいないことでも、少女たちの心をときめかせるには十分だった。；いい気になって酒を飲み、たわいない話をし、だらしなく酔っぱらった。；観念的で哲学的な話になることもあったし、たわいない話もあった。；諸君はそれを、二人のこのたわいない愚さで知ることが出来るだろう。；故郷を出る時の気負い立った決心など、たわいなくすっ飛んでしまった。；あっけなく、たわいなく、木の枝が一本折れたほどの抵抗もなかった。；以前は、クラスメイトとこんなたわいない会話はできなかったはずだ。；たわいなく空にされた頭のなかいっぱいに、三味線の音が鳴り渡った。；この二組の男女のたわいない関係はまたとない安らぎの中にあった。；たわいない会話の中でジェドがパイロットであると知ったネルは様子が変わる。；母と、近所の誰か同年輩ほどの女がたわいない会話を交わしている。；なにかしらたわいないことにぎょうさんに心を動かしている三人。；たわいなくしやべつたり、將棊をさしたりするためだけにやつて來る。；あなたは、あの日の約束をたわいない子供の気まぐれだと思ったんでしょうね?；たわいない手品の仕掛けに、輪になった物見高い観客たちが歓声を上げる。；だが、漫画に多いからといって、発明をたわいないものと思ったら大まちがいだ。；私にだけは、こんなにたわいなく、自分が日本で一番偉いみたいなことを言って。；それは表面的には笑ってすませられるような、たわいない話である。；「しかし、とてつもなくたわいない歌だな」 アリスは黙っていました。；ぼくにしたところで、こんなにたわいなく相手の言うままになった非は自分にあることは、認めなければならないだろう。；まことに気楽な生活であり、たわいない雑談をしていれば、一日がすぎていく。；しかし、明治政府が完成すると、江戸っ子はこれにたわいなく順応した。；あの男は目に見えたし、そのたわいない卑劣さは理解できた。；気を失った様に、たわいなく、されるがままになっている。；そうして、自分にも、あまり優れたものとは思われない、たわいない物語を書いている。；「そんなたわいないことではありません」 少女は小さく声をたててわらった。；そもそも、その著名な作家と私が仲良しになったのは、実にたわいない経緯からである。</t>
        </is>
      </c>
      <c r="J5236">
        <f>HYPERLINK("https://www.weblio.jp/content/たわいない", "词义详情")</f>
        <v/>
      </c>
      <c r="K5236">
        <f>HYPERLINK("https://yourei.jp/たわいない", "查看例句")</f>
        <v/>
      </c>
    </row>
    <row r="5237">
      <c r="A5237" t="inlineStr">
        <is>
          <t>段</t>
        </is>
      </c>
      <c r="B5237" t="inlineStr">
        <is>
          <t>成功</t>
        </is>
      </c>
      <c r="C5237" t="inlineStr">
        <is>
          <t>読み方：きざ
きざみつけた筋。きざみめ。
「引かかるよう、—が入れてあるのじゃから」〈鏡花・高野聖〉</t>
        </is>
      </c>
      <c r="D5237" t="inlineStr">
        <is>
          <t>段目(6%)；段昇段；段門下；段築；段窓</t>
        </is>
      </c>
      <c r="E5237" t="inlineStr">
        <is>
          <t>節；項；ステップ；踏段；踏み板</t>
        </is>
      </c>
      <c r="F5237" t="inlineStr">
        <is>
          <t>九段；五段；四段；一段；七段</t>
        </is>
      </c>
      <c r="G5237" t="inlineStr">
        <is>
          <t>段々；段階的；段取り；段差；段ボール</t>
        </is>
      </c>
      <c r="H5237" t="n">
        <v>29</v>
      </c>
      <c r="I5237" t="inlineStr">
        <is>
          <t>そしてしっかり勉強して来年入段できなかったら韓国に帰ると約束した。；使用色は単色の物、黒・赤・修正用の白の複数色を数段に並べた物もある。；最近のものはカップを二重構造にするだけで段のない容器になっている。；この絵をよく見ると梁間は四間だが東は長押一段低い弘庇になっている。；以下の歌の中にも伊勢物語の中でも重要な段で登場するものも多い。；根まで到達して根が分割された場合は、木の高さが1段増加することになる。；二段以上は、昇段戦に参加し所定の成績をあげることにより認定される。；内戦前と現在のカンボジア王国では、五段の上に白い三本の塔を描いている。；この最後の例外条項は、第11項第7段落に次のように記載されている。；西側のホームと駅舎との間は数段の階段で結ばれている。；後に2002年大会に出場した際、自己記録を18段に更新している。；側窓は竣工時一段下降式であったが、こちらも二段上昇式に改良されている。；千秋楽では十両以下各段の優勝決定戦および優勝力士の表彰が行われる。；上から数えると五段目であるため、かつては「五段目」とも呼ばれた。；アクシズ破壊のため三段構えの作戦を立てたロンド・ベルは再度攻撃を開始。；段戸会は幸田町や豊川市など岡崎市近隣の自治体でも結成されている。；前方部正面の二段目の斜面からも竪穴式石室が見つかっている。；一連の段とリンクで構成された機器だが、実物が製作されることはなかった。；C型の1段目のモータケースを延長し、打ち上げ能力を大幅に強化した。；また、内装変速機が採用されているものもあり、3段変速のものが多い。；また『日本書紀』第九段第七の一書ではいくつかの異伝が列挙されている。；い段の音はし、ちなど他の4つの段に比べて子音が変化している音が多い。；羽生が知られるようになったのは、五段時代の第38回NHK杯戦である。；ラインダンスを初めて演目に取り入れ、16段ながら大階段も登場した。；側面は片側両開き3扉で、扉間には戸袋窓と二段窓が4つ配されている。；燃料タンクはジュピターCの1段目と同様の延長拡大されたものを用いた。；これとは別に、電車の接近や広報用の1段表示の案内板も各ホームに設置された。；ただ、最近では四段重が普通となっており、この四段重を正式なものとしている説もある。；第1段・第2段ともケロシンと液体酸素を用いたエンジンを採用している。</t>
        </is>
      </c>
      <c r="J5237">
        <f>HYPERLINK("https://www.weblio.jp/content/段", "词义详情")</f>
        <v/>
      </c>
      <c r="K5237">
        <f>HYPERLINK("https://yourei.jp/段", "查看例句")</f>
        <v/>
      </c>
    </row>
    <row r="5238">
      <c r="A5238" t="inlineStr">
        <is>
          <t>単位</t>
        </is>
      </c>
      <c r="B5238" t="inlineStr">
        <is>
          <t>成功</t>
        </is>
      </c>
      <c r="C5238" t="inlineStr">
        <is>
          <t>読み方：たんい
１ものの量をはかるための基準として定められた量。ヤード・ポンド・尺・貫・円・ドル・メートル・グラム・アールなど。「—符号」
２物事を数値で表す際に、計算の基になるもの。「億—の金が動く」「—面積当たりの収穫」
３一定の組織を構成している要素。「家族は社会構成の—をなす」「グループ—で行動する」
４高校・大学で、進級・卒業の資格を認定するために用いられる学課履修計算の基準。一般に学習時間により決定される。「—が足りず留年する」
５禅宗で、僧堂での座位。座席の上に名札がはってある。</t>
        </is>
      </c>
      <c r="D5238" t="inlineStr">
        <is>
          <t>単位取得；単位記号；単位面積；単位スイッチ；単位以上</t>
        </is>
      </c>
      <c r="E5238" t="inlineStr">
        <is>
          <t>ユニット</t>
        </is>
      </c>
      <c r="F5238" t="inlineStr">
        <is>
          <t>秒単位；億単位；時間単位；都道府県単位；構成単位</t>
        </is>
      </c>
      <c r="G5238" t="inlineStr">
        <is>
          <t>単位元；単位系；単位制；単位時間；単位取得満期</t>
        </is>
      </c>
      <c r="H5238" t="n">
        <v>29</v>
      </c>
      <c r="I5238" t="inlineStr">
        <is>
          <t>上の表の中には、単位の定義の中に別の単位を用いているものがある。；現在では遺伝子は核酸の機能的単位を示すものとして事実上定義される。；これらは小数に近い考えだが、度量衡それぞれで異なる小単位があった。；そのため四国全体はもとより、県単位でも4県全てで減少となっている。；しかし、2019年以降の国際単位系はこの単位の使用を認めていない。；Unicodeには、秒の分量単位を表す上記の文字が収録されている。；特にイギリスの領土ではこれらの語が通貨の単位としては用いられていない。；郡の下の単位が県であり、その長は一万戸以上の場合は令・万戸以下は長と呼ばれる。；微小部分は通常、単位体・単位面積・単位長さ当たりに相当する場合が多い。；また同じ漢字で時と読む言葉は、昔の日本の時法における単位である。；時計が秒単位を表示するようになった初期の例は、16世紀後半に現れる。；しかし中国書と日本は共に尺貫法を使っていたが、単位の大きさは違っていた。；また分解能も低く、文字単位程度でしか位置を取得することができなかった。；混合されている試料を計測する単位は、質量や物質量であることが多い。；CGS単位系を元に電磁気学の単位を作ると、値が大きくなってしまう。；家庭は、人間の社会の最小単位である個人の次に小さい単位である。；日本の単位面積当たりの生産高は世界一で、生産高は世界2位である。；フィンランド語では度量単位と同様に部分格が用いられ、 や となる。；ビットは、それがいくつか集まった単位でまとまって扱われることも多い。；アパートやホテルなどでは、一つの空間の部屋複数を単位としても部屋という。；直感的には、波数は単位長さの直線に何波長分の波が入るかを表している。；立方体を単位とした形状をしている部品からなるものが多い。；県や州に相当する国と市の中間レベルの地方行政単位はない。；後に日本ではいくつかの単位は使う字が変わった。；ハードディスク上のデータアクセスにかかる時間はミリ秒単位である。；残りの17個の単位は人名に由来するので、その記号は大文字で始める。；でも一たんいやになると、涙の匂いまで拒否したくなってしまうから困るのよね。；東南アジア諸国では、名称はさまざまだが同様の質量の単位が使われている。；分子は、その物質が持つ特性を維持したまま分割できる最小の単位と言える。</t>
        </is>
      </c>
      <c r="J5238">
        <f>HYPERLINK("https://www.weblio.jp/content/単位", "词义详情")</f>
        <v/>
      </c>
      <c r="K5238">
        <f>HYPERLINK("https://yourei.jp/単位", "查看例句")</f>
        <v/>
      </c>
    </row>
    <row r="5239">
      <c r="A5239" t="inlineStr">
        <is>
          <t>単一</t>
        </is>
      </c>
      <c r="B5239" t="inlineStr">
        <is>
          <t>成功</t>
        </is>
      </c>
      <c r="C5239" t="inlineStr">
        <is>
          <t>読み方：たんいち
《「単一形乾電池」の略》円筒形の乾電池の中でいちばん大きなもの。「単二」「単三」「単四」と、数字が上がるにつれて小さくなる。→乾電池［補説］</t>
        </is>
      </c>
      <c r="D5239" t="inlineStr">
        <is>
          <t>単一楽章(2%)；単一種；単一品種；単一言語；単一法典化</t>
        </is>
      </c>
      <c r="E5239" t="inlineStr">
        <is>
          <t>孤独；シンプル；唯一無二；プレーン；赤裸</t>
        </is>
      </c>
      <c r="F5239" t="inlineStr">
        <is>
          <t>単一支払；単一遺伝子；単一巨砲；単一組織；それぞれ単一</t>
        </is>
      </c>
      <c r="G5239" t="inlineStr">
        <is>
          <t>単一国家；単一化；単一民族；単一性；単一市場</t>
        </is>
      </c>
      <c r="H5239" t="n">
        <v>29</v>
      </c>
      <c r="I5239" t="inlineStr">
        <is>
          <t>ワインは色が濃いのでブレンドに用いられ、単一種の商品は見られない。；顧客が単一の価格であらゆるサイズを購入できることを特長としている。；いずれにしろ、形式が単一なので同一の地域で作られたことは確かである。；指定範囲も単一種を指定する場合もあれば、複数種を指定することもある。；海軍においては単に単一の指揮下に独立して作戦行動が可能な部隊をいう。；継承は、スーパークラスが一つに限られる単一継承をサポートしている。；この解法ではそのような状況を防ぐため、単一の相互排他ロックを使う。；この番号を指定することで、サイト上で単一の文献を指定することができる。；これらは単一で用いられるより、組み合わせて用いられることが多い。；これはこの物質が非常に巨大な単一の分子でできているためである。；単一の神経根が障害された場合は感覚鈍麻の範囲は皮膚分節より狭い。；オルバースはこれらを単一の惑星が破壊されたものではないかとの説を唱えた。；おそらくこれが国内で単一の標準時を採用した最初の国であったと考えられる。；このような操作は、単一分子エレクトロニクスに応用することができる。；敵が単一だった場合はたった一度の攻撃が命中しただけで主人公側の勝利となる。；そのため、単一イメージを複数のUMLで共有することも可能である。；色はギア・ギアを若干濃くした色で、単一ではなく塗り分けられている。；単一学科だが5コースに分かれており、保育士コースも設置されている。；単一の水素原子は1つではなく2つの水素結合に関与することができる。；行為の根本的な理由は欲求であるが、人間の欲求は単一の原理ではない。；この方法は単一の物体でHSV色空間全体を視覚化するのに適している。；イギリスでは海軍全体で単一の艦隊編成であるが、複数の艦隊が存在した時代もある。；同一個体から得られたものであれば、それらはまとめて単一の標本を構成する。；皮膚分節とは単一の脊髄髄節・神経根が支配する皮膚領域を意味する。；もし単一の寄与構造がこれを達成できないならば、共鳴が利用される。；アフリカ単一モデルでは化石記録は時間に従った連続性を示すとは主張しない。；単一の派でなくいくつもの作家・グループの総称である。；花茎につく花は単一のこともあるし、複数の花がつく場合もある。；敵専用クラスはクラスチェンジができないユニットなので、単一で記載する。</t>
        </is>
      </c>
      <c r="J5239">
        <f>HYPERLINK("https://www.weblio.jp/content/単一", "词义详情")</f>
        <v/>
      </c>
      <c r="K5239">
        <f>HYPERLINK("https://yourei.jp/単一", "查看例句")</f>
        <v/>
      </c>
    </row>
    <row r="5240">
      <c r="A5240" t="inlineStr">
        <is>
          <t>担架</t>
        </is>
      </c>
      <c r="B5240" t="inlineStr">
        <is>
          <t>成功</t>
        </is>
      </c>
      <c r="C5240" t="inlineStr">
        <is>
          <t>読み方：たんか
病人や負傷者を乗せて運ぶ道具。2本の棒の間に人を乗せるための布などを張ったもの。</t>
        </is>
      </c>
      <c r="D5240" t="inlineStr">
        <is>
          <t>担架兵；担架車；担架ごと；担架係；担架隊</t>
        </is>
      </c>
      <c r="H5240" t="n">
        <v>29</v>
      </c>
      <c r="I5240" t="inlineStr">
        <is>
          <t>タンカを切ったら五分後に担架に乗っているような奴ばかりがでてくる。；そのとたん担架の上からきこえてきたのは切なそうな女の声なのである。；気を失った男を担架にのせると、そのまま姿を消してしまったのである。；おれが病院についたときには、連中はやつの担架をおろすところだった。；死体はすでに車から出され、担架に載せられて傍らの地面に置かれていた。；担架を乗せた台に手をかけていた私たちは、はじかれたように顔をあげた。；わたしは、われわれの行程の最後の段階を、担架に乗せられて運ばれた。；一番肥満していた参謀長は、足に負傷していて、担架で運ばれたという。；庭から入った救護員は、老婆を部屋の窓から出して担架に乗せたらしい。；担架は壁のそばにおいたままで、死体にはまだ防水布をかけてあった。；担架の上の動かない姿を一度だけ見たが、なんの表情も浮かべない。；担架兵は何もいわないが、もはや担ぐ限界のきていることはわかっている。；ここの枝で担架を作らせて死体を政庁へ運ぶように取りはからってくれ。；担架を抱えた二人は慎重に足並みを合わせ、廊下の奥へと進んでいく。；時々担架に怪我人か死人らしいのを乗せ顔に布をかけただけで運んで行く。；あとは小径を二キロほど現場から担架で怪我人を運んできましたよ。；連れのふたりに中に入って担架を運んでいくよう、身ぶりで指示した。；もう一つの担架を持ってこさせて、その上に横になっていらっしゃい。；たったいま噂となっている少年らしき人物が担架で運ばれています。；また、蝋のような顔色の病人たちが担架で運ばれているのにも会いました。；二人の担架兵が帽子をもったままベッドのそばに立っていた。；大迫は少し疲れ気味の顔で、担架の向かい側にある座席に腰をおろした。；その時、担架の後部を持っていた男が、歩道のでこぼこに足をとられた。；やがて最初の砲声が何発か響き、担架手たちが負傷兵を乗せて戻ってきた。；ほかの担架兵は、というと、まったく無感動な表情で宙をみている。；死傷者の救出を行うときには外部と内部に2つずつの担架を搭載した。；私が腰かけている椅子の横に、担架を載せた患者運送車が置いてある。；その目の前に、更に二人の負傷者を乗せた車付き担架が突き出された。；彼らは三哲を縛り上げ、担架のようなものに乗せて十二所まで運んだ。</t>
        </is>
      </c>
      <c r="J5240">
        <f>HYPERLINK("https://www.weblio.jp/content/担架", "词义详情")</f>
        <v/>
      </c>
      <c r="K5240">
        <f>HYPERLINK("https://yourei.jp/担架", "查看例句")</f>
        <v/>
      </c>
    </row>
    <row r="5241">
      <c r="A5241" t="inlineStr">
        <is>
          <t>段階</t>
        </is>
      </c>
      <c r="B5241" t="inlineStr">
        <is>
          <t>成功</t>
        </is>
      </c>
      <c r="C5241" t="inlineStr">
        <is>
          <t>読み方：だんかい
１階段。
２ある基準によって区切った能力や品質などの順序。等級。「大きさによって—をつける」
３物事の順序。「—を追って説明する」
４物事が進行していく途中で区切られた一つの状態。「すでに手後れの—にきている」</t>
        </is>
      </c>
      <c r="D5241" t="inlineStr">
        <is>
          <t>段階的；段階評価；段階で既に；段階ですでに；段階ごと</t>
        </is>
      </c>
      <c r="E5241" t="inlineStr">
        <is>
          <t>等；位置；度；程度；位</t>
        </is>
      </c>
      <c r="F5241" t="inlineStr">
        <is>
          <t>初期段階；一段階；二段階；前段階；三段階</t>
        </is>
      </c>
      <c r="G5241" t="inlineStr">
        <is>
          <t>段階成長重合；段階的詳細化法</t>
        </is>
      </c>
      <c r="H5241" t="n">
        <v>29</v>
      </c>
      <c r="I5241" t="inlineStr">
        <is>
          <t>証拠となる事実の取得の段階では、適切な測定方法の存在が重要となる。；本節ではステージレースで最も頻繁に見られる展開の各段階を解説する。；この電圧が次第に低くなっていく各段階のことを電圧階級と呼んでいる。；スラヴ人たちは、それぞれ異なる時期に段階的にこの地域に入ってきた。；なお、この防御姿勢が設計段階から想定されていたかは不明とされる。；この段階になればもはや事態を収拾しようとすることは極めて困難となる。；志願期を終えた後でようやく養成の正式な第一段階である修練期に入る。；この段階を通過するとほとんどの細胞は細胞周期を途中で停止しない。；これは収録段階でゲーム部分の開発がある程度終了していたため可能となった。；ナノスケールの部品の操作や配置が必要な用途はまだ研究段階である。；この段階では名前はついておらず、後から情報を集めて思いついて行った。；陰核と膣のオーガズムは同じ身体的な段階を持っているとされている。；また濃度差エンジンの開発も一部で進められたが実験段階で終わった。；完全なる一者から段階を経て世界が流出して生み出されたとする思想。；例えば一般に英日翻訳に比べて日英翻訳の能力は低い段階にあった。；立ち上げ段階では、今後のプロジェクトの領域を包括した計画を作成する。；全員がゲームから抜けるか脱落するかした段階でゲームは終了である。；この各々の段階の信仰内容はどうであったのかを分析・研究し、明確にする。；シリーズディレクターには、企画段階から参加している佐藤が担当した。；この構想は、まだ正式な概念研究を行う段階には到達していない。；そこで、この段階を母植物の上で過ごしてしまう方向へ進化が進んだのであろう。；こうした学説では古代とは奴隷が生産の主体を担った発展段階と定義される。；鈴木は実際に脚本段階まで進んでいる企画が複数あると明かした。；さらに、通常はの段階でテーマの分割、整理統合が行われる場合がよくある。；人類史のどの段階で初めて舞台が現れたかは、はっきりとは分かっていない。；技術開発に困難が考えられたために、3段階の開発を行うこととした。；予備実験の段階で注意すべきことを箇条書きにすると、以下のようになる。；講師は教育を行う党組織の級に対応して4段階に分かれている。；ただし、どの段階で実用でなくなったのか明確な境界線を引くのは困難である。</t>
        </is>
      </c>
      <c r="J5241">
        <f>HYPERLINK("https://www.weblio.jp/content/段階", "词义详情")</f>
        <v/>
      </c>
      <c r="K5241">
        <f>HYPERLINK("https://yourei.jp/段階", "查看例句")</f>
        <v/>
      </c>
    </row>
    <row r="5242">
      <c r="A5242" t="inlineStr">
        <is>
          <t>団塊</t>
        </is>
      </c>
      <c r="B5242" t="inlineStr">
        <is>
          <t>成功</t>
        </is>
      </c>
      <c r="C5242" t="inlineStr">
        <is>
          <t>読み方：だんかい
１かたまり。
２堆積岩(たいせきがん)中に存在する、周囲より硬いかたまり。</t>
        </is>
      </c>
      <c r="D5242" t="inlineStr">
        <is>
          <t>団塊状(5%)</t>
        </is>
      </c>
      <c r="E5242" t="inlineStr">
        <is>
          <t>群；集団；玉；塊；集まり</t>
        </is>
      </c>
      <c r="G5242" t="inlineStr">
        <is>
          <t>団塊世代；団塊ジュニア；団塊ジュニア世代；団塊ボーイズ</t>
        </is>
      </c>
      <c r="H5242" t="n">
        <v>29</v>
      </c>
      <c r="I5242" t="inlineStr">
        <is>
          <t>その上をまた、同じような形の雲の団塊がいくつも動いて行く。；団塊の成長速度は百万年で平均10mm程度と分析されている。；このとき小林は団塊に覆われていない他の骨もあると考えた。；二時間もたって見に行った時には、毛虫の半分の団塊はもうなくなっていた。；架山にはただ白い大きな団塊がのしかかっているとしか見えない。；伸び縮みする空気の団塊が、ハの字に開いた手の間から繰り出される。；衛星に付随する団塊には、中小産業の他に優れた医療研究所と病院が置かれている。；皮膚は蒼白に黄味を帯び、髪は黒に灰色交じりの梳らない団塊である。；するとこれらの夥しい巨大な団塊が混合するために太陽の火熱は莫大な増加を見るべきである。；なお面白いのは一つ一つの煙の団塊の変形である。；彼の眼前で落ち込んだ旧ロシアの貴族の裸形の団塊が、豪華な幕のように伸縮した。；堆積物との剥離が良くない部分には蟻酸を使用して周囲の団塊を溶解させる手法が採用された。；つづけて五回音がして空中へ五つの煙の団塊が団子のように並ぶだけと云わばそれまでのものである。；団塊がカノコ状になっていることから「玉鹿石」と呼ばれているものである。；シガーの灰の最大な団塊を作ったというレコードもやはりドイツ人の手に落ちた。；この素材の団塊からすぐれた学者が彼の体系をひねり上げる際にはやはり名工が陶器を作ると同様なものがあるような気がする。；団塊には多くの商業的に価値のある金属が含まれているため、過去数十年にわたってノジュールの採掘に大きな関心が寄せられてきている。；それぞれの団塊の中心から太い導線が部屋の中央の空所に伸び、そこの空中で一本になって、一本の巨大な幹線を形成していた。；船は戦慄し、炎の団塊はいまにも崩れそうに横になびき、そして前部上檣が倒れた。；そうしてその団塊が初めから、その重心を通る一つの軸のまわりに右から左の方向に旋転運動を有したものと考えている。；一分と経たない内にカークは片手にポンプを持ち、もう一方の手に珪素団塊を抱えて戻ってくることが出来たのだ。；粒状の団塊および成長した結晶状のものが存在し、未変成の方鉛鉱を伴うことが多い。；スパゲッティの量が多いので、あとの料理がもうたべられず、団塊のパンとワインでちょうどよい料理であった。；もし仮にここで他の種類の堆積物が生成された場合、それははるかに急速に蓄積し、団塊が成長する前にそれらを埋めてしまう。；緑色の楕円形をした食えない部分があってその頭にこれと同じくらいの大きさで美しい紅色をした甘い団塊が附着している。；従ってもしこのような微塵が集まって一団塊となるとすれば、その内側すなわち、太陽に面した方が、外側よりも急速に右から左へ動かなければならない。；そしてついにばらばらの隕石の癒着した団塊となってはじめて、相互の中和が停止した。；何が出るかと思って、緊張している、大勢の頭上の空中に、一団の大きな黄黒色のボアのような煙の団塊が一つ出来た。；黒い油にまみれたあのおぞましい団塊に再び生命が復って来ようとも思われなかった。</t>
        </is>
      </c>
      <c r="J5242">
        <f>HYPERLINK("https://www.weblio.jp/content/団塊", "词义详情")</f>
        <v/>
      </c>
      <c r="K5242">
        <f>HYPERLINK("https://yourei.jp/団塊", "查看例句")</f>
        <v/>
      </c>
    </row>
    <row r="5243">
      <c r="A5243" t="inlineStr">
        <is>
          <t>短期</t>
        </is>
      </c>
      <c r="B5243" t="inlineStr">
        <is>
          <t>成功</t>
        </is>
      </c>
      <c r="C5243" t="inlineStr">
        <is>
          <t>読み方：たんき
短い期間。短期間。「—決戦」「—講習」⇔長期。</t>
        </is>
      </c>
      <c r="D5243" t="inlineStr">
        <is>
          <t>短期的(11%)；短期集中(5%)；短期連載(4%)；短期大学教授(3%)；短期契約(3%)</t>
        </is>
      </c>
      <c r="E5243" t="inlineStr">
        <is>
          <t>瞬間；一時；一瞬；短期間；一刻</t>
        </is>
      </c>
      <c r="F5243" t="inlineStr">
        <is>
          <t>短期騎手免許；短期コース；短期滞在；短期研修；短期講習</t>
        </is>
      </c>
      <c r="G5243" t="inlineStr">
        <is>
          <t>短期大学；短期的；短期決戦；短期大学部；短期留学</t>
        </is>
      </c>
      <c r="H5243" t="n">
        <v>29</v>
      </c>
      <c r="I5243" t="inlineStr">
        <is>
          <t>短期戦と長期戦に分けられ、これは準備や装備が異なるため区別される。；その回限りのネタ企画や短期集中型のネタ企画などもよく行われていた。；問題は短期的に1度きりではなく、過去数年いろいろ溜まっていた模様。；選手は原則7週間程度のシーズン期間のみの短期雇用契約となっている。；また、本誌で活躍する作家の読切や短期連載もしばしば掲載されていた。；夏期休業中には大学の研究室を訪ね、短期集中で研究を行うこともある。；短期増強についてはまだよく分かっていないため、ここでは解説しない。；連載は短期連載の形を取り、各巻がそれぞれ独立した話になっている。；ヘンリー5世が作った取り決めには短期の場合と長期の場合を含んでいた。；空港の敷地内に短期用の駐車場がある他、敷地外には長期用の駐車場がある。；その後、短期契約を結んで監督に復帰し同年4月15日まで指揮した。；最初は長くて3ヶ月、短い時はわずか1ヶ月の短期サイクル作品だった。；しかし、短期連載で終わる予定だった当作品の連載継続が決まった際に設定が変更。；また、夏期休暇を利用して中国や韓国へ短期留学することも推奨している。；本科生には全寮制全日制の体制で15ヶ月間の短期集中教育が行われる。；もともとは5週限定の短期集中連載だったが、正式に連載となった。；またマンチェスター・ユナイテッドFCに短期留学したこともあった。；そのため自主目標を設定できても短期的なものかつ達成しやすい内容になってしまう。；このプログラムは上記の短期大学士課程卒業生にのみ入学が許される。；短期的な作用では、日的に生じるものと天気の変化によるものに区分される。；短期運用でもトップ・テンを既出の大銀行が占める点に変わりない。；本項では外国人選手を対象に創設された短期登録選手制度についても記述する。；翌年には北米ツアーを行い、2003年までの短期の間だけ活動した。；一つ目は職業紹介事業であり、短期の仕事を見つけるのが得意である。；このような短期的な循環だけでなく、より複雑な炭素循環も機能する。；短期的な変化は、太陽と同様に、星の脈拍の結果であると思われる。；現代日本では、一泊二日や二泊三日のような短期の旅行が主流となっている。；初期の働きは、若者を短期の福音宣教のため、海外に派遣することであった。；しかし学業優先で卒業を希望し、短期大学士を取得してから契約した。</t>
        </is>
      </c>
      <c r="J5243">
        <f>HYPERLINK("https://www.weblio.jp/content/短期", "词义详情")</f>
        <v/>
      </c>
      <c r="K5243">
        <f>HYPERLINK("https://yourei.jp/短期", "查看例句")</f>
        <v/>
      </c>
    </row>
    <row r="5244">
      <c r="A5244" t="inlineStr">
        <is>
          <t>短気</t>
        </is>
      </c>
      <c r="B5244" t="inlineStr">
        <is>
          <t>成功</t>
        </is>
      </c>
      <c r="C5244" t="inlineStr">
        <is>
          <t>読み方：たんき
［名・形動］辛抱ができず、すぐ怒ったりいらいらしたりすること。また、そのさま。気みじか。短慮。「—を起こす」「見かけによらず—な人だ」</t>
        </is>
      </c>
      <c r="D5244" t="inlineStr">
        <is>
          <t>短気な性格(7%)；短気な人(2%)；短気なところ；短気者；短気な男</t>
        </is>
      </c>
      <c r="E5244" t="inlineStr">
        <is>
          <t>ヒステリー；癇癪；苛々；癇；せっかち</t>
        </is>
      </c>
      <c r="F5244" t="inlineStr">
        <is>
          <t>ひどく短気</t>
        </is>
      </c>
      <c r="H5244" t="n">
        <v>29</v>
      </c>
      <c r="I5244" t="inlineStr">
        <is>
          <t>確かに兄には短気なところもありましたが、分別盛りの大人の男ですよ。；どういうわけか、この地上世界には短気な人間が集まっているらしいのだ。；わがままで直線的で短気なところもあるけれど、誰よりも繊 細なのよ。；沖田も面倒なことの嫌えな短気者だから、そのほうがよかったんだろう。；私は思いたったことは短気に実行せずにはいられない性分なのである。；そのため酒の気が消えると憂鬱な気持になり、いら立って短気になった。；はじめは私が勝って、つぎには私が短気を起したものだから、負けた。；ロワゾーが、つい口をすべらせて、短気なことを言ってしまったからだ。；不幸にして短気な二人のあいだの口論が、この新しい行動の序幕となった。；短気の米友が、ここで折助連と衝突を起さなかったのは不思議であります。；短気な私は、 「わかっているなら、何とかしろ」 といいたくなった。；そう短気な人ではなさそうだけど、堪忍袋の緒はそう頑丈でもなさそうだ。；父は在所の世話役だけに短気ではなく、母は意志が強いしっかり者だった。；別の元同僚は、唐が短気でいつも社会に対して不平を言っていたと言う。；あなたは、短気なところがおありだから、母は、それだけが心配です。；他の記録からも晩年の一茶は短気で怒りっぽかったと記されている。；もっともわたしはきみの年のころはもっと短気だったがね。；絶望のあまり短気を起こさなければいいがと、メグレは心配していた。；トールの短気ぶりを語るエピソードが同第49章で紹介されている。；また昭和前期にも日本人は短気というイメージがあったことが指摘されている。；短気なのは昔からだったが、ここまであらわに、人にあたることはなかった。；こんなに短気で、よく今まで刑事なんかやっていられたもんだ。；彼の吟味の厳しいことは有名だが、短気で激しやすいというわけではない。；あんまり短気な様子だったので、彼はすっかり怖気づいてしまった。；私だったら、諦めが早くて短気だから、十回ぐらいでやめちゃうと思う。；短気なルーカと、交渉ごとに慣れた商人では、そもそも役者が違っていた。；いくら短気だとはいえ、ここで爆発しては何にもならない。；父が例の短気を起して私をこんなに踏んだり蹴ったりしたからです。；以前に比べて短気になっているのはわかっていた。</t>
        </is>
      </c>
      <c r="J5244">
        <f>HYPERLINK("https://www.weblio.jp/content/短気", "词义详情")</f>
        <v/>
      </c>
      <c r="K5244">
        <f>HYPERLINK("https://yourei.jp/短気", "查看例句")</f>
        <v/>
      </c>
    </row>
    <row r="5245">
      <c r="A5245" t="inlineStr">
        <is>
          <t>探究</t>
        </is>
      </c>
      <c r="B5245" t="inlineStr">
        <is>
          <t>成功</t>
        </is>
      </c>
      <c r="C5245" t="inlineStr">
        <is>
          <t>読み方：たんきゅう
［名］(スル)物事の意義・本質などをさぐって見きわめようとすること。「真理の—」「生命の神秘を—する」</t>
        </is>
      </c>
      <c r="D5245" t="inlineStr">
        <is>
          <t>探究する(13%)；探究心(10%)；探究者(3%)；探究活動；探究しよ</t>
        </is>
      </c>
      <c r="E5245" t="inlineStr">
        <is>
          <t>見る；研究；調査；捜査；捜索</t>
        </is>
      </c>
      <c r="F5245" t="inlineStr">
        <is>
          <t>人間探究；真理探究；知的探究；総合的な探究；科学探究</t>
        </is>
      </c>
      <c r="H5245" t="n">
        <v>29</v>
      </c>
      <c r="I5245" t="inlineStr">
        <is>
          <t>そしてその幸福をかつて一度たりとも探究したことのない自分を発見する。；そのときに私が解決、あるいは探究しようと思った問題が二つあった。；また、どういう美が各種の芸術のそれぞれに適当であるかを探究すること。；生物多様性を探究する流れは生物学誕生当初から存在していたと言える。；女王になってもその行動力と探究心はなんら変わるところはなかった。；このような方面にはまだたくさんの探究すべき問題が残っている。；彼自身もこの一時間のうちに真理探究者の仲間にはいったような気がした。；その意味で、もともと日本酒が持っていた昔の良さを探究しているともいえる。；それはたしかに、一つのものの探究にかけられた作者の情熱だと思う。；たぶんかれらも、それが科学的探究のためだったと理解してくれることだろう。；SSH探究部では、実験、研究成果の発表など、様々な活動をしている。；これらのあらゆる探究摘発批評の動機が純粋に好意的のものでありたい。；しかし国が乱れているあいだも、学問を探究することはやめなかった。；騎士ではあるもののその前半の生涯は己の探究心を満たすために費やされた。；同校の特色の一つとして探究型学習に力を入れていることが挙げられる。；また、子供は好奇心から他の子供の体や成人の体を探究しようとする。；何だってこういう苦労してまで、男は探究しなくちゃならんのだ。；ヨブのこの叫びは、神の探究におのずと伴う仲保要求の最初の声である。；青年は負けたのではなくて、法悦への探究心に自ら埋没したのかも分らない。；ティチャラは若い国民たちに向かい、新しい探究の始まりを宣言する。；彼らは芸術の遠い領土を、消滅した太陽や輝き出した太陽を、探究していた。；また一方では純理的の興味から原理や事実の探究にのみ耽る人もある。；ガンディーは自分の人生を何よりも真理探究という目的のために捧げた。；「いったいどんな顔でうつ伏しているのだろうか」という探究心である。；カント当時の存在論の理解もハイデガーの理解も探究の視点としている。；同安語を研究すると、必然的に廈門語の形成過程も探究することになる。；つまり真理を樹立するためにではなく、これを探究するためにである。；ショック大尉の探究心は、しかし以上の最初の知識だけで中断された。；私らは、人間は本来どのようなものであったかということを探究しているのです。</t>
        </is>
      </c>
      <c r="J5245">
        <f>HYPERLINK("https://www.weblio.jp/content/探究", "词义详情")</f>
        <v/>
      </c>
      <c r="K5245">
        <f>HYPERLINK("https://yourei.jp/探究", "查看例句")</f>
        <v/>
      </c>
    </row>
    <row r="5246">
      <c r="A5246" t="inlineStr">
        <is>
          <t>団結</t>
        </is>
      </c>
      <c r="B5246" t="inlineStr">
        <is>
          <t>成功</t>
        </is>
      </c>
      <c r="C5246" t="inlineStr">
        <is>
          <t>読み方：だんけつ
［名］(スル)多くの人が共通の目的のために一つにまとまること。「チームの—が固い」「—して春闘を闘う」</t>
        </is>
      </c>
      <c r="D5246" t="inlineStr">
        <is>
          <t>団結心；団結力；団結せよ；団結しよ；団結すれ</t>
        </is>
      </c>
      <c r="E5246" t="inlineStr">
        <is>
          <t>協力；共同；接続；合併；統合</t>
        </is>
      </c>
      <c r="F5246" t="inlineStr">
        <is>
          <t>強固な団結；民族団結；強く団結；国民団結；固く団結</t>
        </is>
      </c>
      <c r="G5246" t="inlineStr">
        <is>
          <t>団結権；団結小屋；団結広場</t>
        </is>
      </c>
      <c r="H5246" t="n">
        <v>29</v>
      </c>
      <c r="I5246" t="inlineStr">
        <is>
          <t>国家の団結を確立することが民族主義であり、これは国族主義でもある。；いかに一致団結して邁進するか、いかにチームのために自分を殺すかだ。；これまでに様々なコミュニティが単独または団結して活動がなされてきた。；何時彼らが団結してガウアワイスに抵抗してくるか知れないからである。；事件が起きた際には一致団結し、その組織力で新之助の調査に協力する。；あんなに団結ということが必要な軍隊で、この現象は何だったのだろう。；これはどうしても、僕たちのほうでも団結して対策を練らなければならぬ。；女性労働者の団結を目的としたこの季刊誌は1904年まで出版された。；ウィーン市民と貴族の団結を防ぐため、市民と貧困層の対立を利用した。；街頭での暴力から身を守るために、彼らは団結してギャングを結成した。；インターネット利害関係者は皆一致団結してこの問題に取り組むべきだ。；これらの策は成功し、ローマ市民は団結して敵に向かうことになった。；閉じ込められてしまった人々は団結してビルから脱出しようとする。；団結していたドイツはマルクス主義によって深刻な分裂に追い込まれた。；少年らしい悪戯や失敗の逸話も残されており、同期の団結の中心となった。；被害を受けながらもラピスを慕っていた国民たちは一致団結して彼女に協力。；わしに必要なのは宗教ではなくて、キリシタン宗徒の団結心だったからな。；日本人は団結して国を強くしなくてはならず、その担い手は若者だ。；全てのイベントが同社の団結と忠誠への誓いとして最重要視されている。；我々が団結するならば、彼らは我々に何もすることが出来ない。；厭まわしい過去と縁を切ったザカリー家は再び団結を得るのだった。；組織票はその組織の団結が固いので得票数も安定しており棄権も少ない。；また裏面にローマを描くことで、ローマ人の団結を強調しようとした。；その内容は、イギリスによる統治に対抗する形での団結を訴えたものであった。；共同食事は団結を醸成する場であり若者を教育する場であった。；このため団結して対抗しなければならない筈の者達の間に恐怖と憎しみが起きてしまった。；女は弱いことになっているが、それでも団結はやはり力である。；そしてその団結の下に将校生徒としての本分を発揮して行かなければならない。；そしてついに二人が、打倒ダイヤモンドのために一致団結するときが来た。</t>
        </is>
      </c>
      <c r="J5246">
        <f>HYPERLINK("https://www.weblio.jp/content/団結", "词义详情")</f>
        <v/>
      </c>
      <c r="K5246">
        <f>HYPERLINK("https://yourei.jp/団結", "查看例句")</f>
        <v/>
      </c>
    </row>
    <row r="5247">
      <c r="A5247" t="inlineStr">
        <is>
          <t>探検</t>
        </is>
      </c>
      <c r="B5247" t="inlineStr">
        <is>
          <t>成功</t>
        </is>
      </c>
      <c r="C5247" t="inlineStr">
        <is>
          <t>読み方：たんけん
［名］(スル)危険を冒して未知の地域に入り、実地に調べること。「極地を—する」</t>
        </is>
      </c>
      <c r="D5247" t="inlineStr">
        <is>
          <t>探検家(5%)；探検隊(5%)；探検旅行(2%)；探検航海；探検部</t>
        </is>
      </c>
      <c r="E5247" t="inlineStr">
        <is>
          <t>見る；調査；調べ；捜査；改め</t>
        </is>
      </c>
      <c r="F5247" t="inlineStr">
        <is>
          <t>極地探検；北極探検；洞窟探検；宇宙探検；アフリカ探検</t>
        </is>
      </c>
      <c r="G5247" t="inlineStr">
        <is>
          <t>探検隊；探検者；探検記；探検ドリランド；探検家グランドスラム</t>
        </is>
      </c>
      <c r="H5247" t="n">
        <v>29</v>
      </c>
      <c r="I5247" t="inlineStr">
        <is>
          <t>現代になると地球表面の主だった場所は探検しつくされたとされている。；クランシーはまだ幼い頃から海軍の歴史や海の探検を熱心に読んでいた。；彼女は価値のある成果を上げたたオーストリアとの合同探検を行わせた。；ヨーロッパ北部の海を探検した初期のヨーロッパの探検家の一人である。；このことは後の未知の地への探検行を促した点で重要な出来事となった。；これまでに文学や歴史、伝説に題材を得た数多くの探検を実現させている。；「みんなで探検」モードでは残機はプレイヤー全員で共有となっている。；ジェファーソンが手紙で指示した通りに、クラークは探検の準備をした。；トンティの手紙と日記は、これらの探検の価値のある情報源である。；艦はネモの指揮で陸地とは一切の交流を絶った海洋探検を行なっている。；交通の未発達な時代の国家戦略的でない探検という点で共通している。；彼の予見では、ここは月探検のための理想的な出発点のはずだった。；アラスカの探検と移民は飛行機の発展なしにはありえなかっただろう。；アラスカの探検と移民は飛行機の発明なしにはありえなかっただろう。；それでも教会はフランス領ルイジアナの探検に重要な役割を果たした。；ヨーロッパ中から何人かの探検家がネブラスカとなる土地を探検した。；洞窟探検には、この地域にたくさんの確認された洞窟が存在する。；探検がほぼ終了すると、まもなくこの地域もアフリカ分割の対象となった。；文献記録によれば、1741年に探検船が遠距離からこの島を望見した。；それから調査用のバークに改装されたビーグルは3度の探検に参加した。；二人は探検と称して精神病院の塀の上を少し先まで歩く遊びをする。；最上流部であるは探検で2番目に発見されたためこの名がある。；ペルーはこの川の探検に多くの費用をかけて丹念な探索を試みている。；彼はメキシコを探検した最も初期の探検家の内の一人であった。；また自分自身もそのキャラクターたちとダンジョン探検をすることができる。；海洋調査船の起源は初期の探検航海にその起源を求めることができる。；ニューギニア沿岸を探検し、今日のポートモレスビーの地域を発見した。；何よりも、スコットとアムンセンは南極探検の動機が全く異なっていた。；彼は自らの探検から、この土地が「海と繋がっていない」ことを発見した。</t>
        </is>
      </c>
      <c r="J5247">
        <f>HYPERLINK("https://www.weblio.jp/content/探検", "词义详情")</f>
        <v/>
      </c>
      <c r="K5247">
        <f>HYPERLINK("https://yourei.jp/探検", "查看例句")</f>
        <v/>
      </c>
    </row>
    <row r="5248">
      <c r="A5248" t="inlineStr">
        <is>
          <t>断言</t>
        </is>
      </c>
      <c r="B5248" t="inlineStr">
        <is>
          <t>成功</t>
        </is>
      </c>
      <c r="C5248" t="inlineStr">
        <is>
          <t>読み方：だんげん
［名］(スル)確信をもってきっぱりと言いきること。「絶対に失敗はないと—する」</t>
        </is>
      </c>
      <c r="D5248" t="inlineStr">
        <is>
          <t>断言する(18%)；断言できる(9%)；断言出来る；断言いたし；断言し得る</t>
        </is>
      </c>
      <c r="E5248" t="inlineStr">
        <is>
          <t>主張；宣言；表明；保証；声明</t>
        </is>
      </c>
      <c r="F5248" t="inlineStr">
        <is>
          <t>はっきりと断言；きっぱりと断言；とも断言</t>
        </is>
      </c>
      <c r="H5248" t="n">
        <v>29</v>
      </c>
      <c r="I5248" t="inlineStr">
        <is>
          <t>今ではいかに記憶がわたしの前で約束をしても断言してもだめである。；彼はその私の久遠の愛の焦点であった事を断言する事が出来るのである。；門をはいったものも、出たものも、ひとりもなかったと断言するのです。；日本は勝てない、だからアメリカとは戦うべきではないと信は断言する。；僕はいま一度はっきり断言するが、多くの人間には一種特別な性質がある。；また、信じているとも信じていないとも断言できないと言う人もいる。；深さ浅さはあるだろうが、それを皆嘘であると断言することはできない。；デビュー以来これほどよく見えたことは一度もないと断言していいだろう。；ラーは非常に強い韓国のアイデンティティを持っていると断言している。；ジョン・スミス教授は彼の両親がバーティとシドニーであると断言した。；従ってそれがなんらの影響もないと断言する根拠ももちろんないのである。；だが、この話は叔父も彼の名誉にかけて、実際の話だと断言していたよ。；留さんは怒って、二度と再び女を見ないと高梨夫妻の前で断言していた。；これだけの実験では、まだ人間の血だと断言することができません。；樺太から来た奴なんぞを見逭してなるものかと、不断言つてゐるさうだ。；なんとまア正しい位置におかれた心の発した確信にみちた断言であろうか。；さっきすでにそれを見たかどうかは、Kははっきりと断言はできなかった。；どんなことが起こるか、とうてい君には想像もできないことを断言するよ。；いや、全く私とて彼を殺さなかったとどうして断言することが出来るであろう。；それに、このことはわたしが自ら経験したことだから断言ができる。；交渉がなかなか面倒でまだいずれとも断言が出来ないのだろう。；多くの歴史作家は彼には少なくとも2人の男性の恋人がいたのだと断言している。；やがて父は別室へ行って、子供は錯乱していないと家族達に断言した。；やがて父は別室へ行つて、子供は錯乱してゐないと家族達に断言した。；そう断言しておきながら、ちっともそこに落ち付いていられなかった。；しかし、ラングドンはこの部屋にはなにも変わったことがないと断言。；然しここにわたくしの観察の決して誤らざる事を断言し得る事がある。；それと同じ事が、もう一つの推理にも起らないとどうして断言出来よう。；これは彼がヒポクラテスの始めたところで終わっていたことを断言したからである。</t>
        </is>
      </c>
      <c r="J5248">
        <f>HYPERLINK("https://www.weblio.jp/content/断言", "词义详情")</f>
        <v/>
      </c>
      <c r="K5248">
        <f>HYPERLINK("https://yourei.jp/断言", "查看例句")</f>
        <v/>
      </c>
    </row>
    <row r="5249">
      <c r="A5249" t="inlineStr">
        <is>
          <t>断固</t>
        </is>
      </c>
      <c r="B5249" t="inlineStr">
        <is>
          <t>成功</t>
        </is>
      </c>
      <c r="C5249" t="inlineStr">
        <is>
          <t>読み方：だんこ
［ト・タル］［文］［形動タリ］周囲の状況や意見に左右されないさま。態度などがきっぱりとしているさま。「—として反対する」「—たる決意」
［副］に同じ。「—拒否する」</t>
        </is>
      </c>
      <c r="D5249" t="inlineStr">
        <is>
          <t>断固戦う；断固阻止する；断固抗議する；断固やる；断固守る</t>
        </is>
      </c>
      <c r="E5249" t="inlineStr">
        <is>
          <t>しっかり；きっぱり；がっしり；断然；頑として</t>
        </is>
      </c>
      <c r="G5249" t="inlineStr">
        <is>
          <t>断固として許さない</t>
        </is>
      </c>
      <c r="H5249" t="n">
        <v>29</v>
      </c>
      <c r="I5249" t="inlineStr">
        <is>
          <t>夢に入ってくれと懇願したが断固応じてくれなかった男が目の前にいた。；娘を誘惑した罪のほうを強調し、殺した罪のほうは断固否認するのです。；こうなると、政治的な意味でもソ連は試合を断固拒否するしかなくなった。；それ以外は相手が誰であろうとも彼女は本名で呼ぶ事を断固として要求する。；第二グライムズは、急がず慌てず、断固とした口調で命令を発していた。；そしてスミスほど断固として拷問に耐えた男を見るのははじめてだった。；あなたは言葉通り、私と同じにならないように断固としてやってほしい。；政治指導者達の最初の反応は、断固としてアメリカに対抗するものだった。；第3弾は、演歌路線にする予定だったが、さすがに本人も断固拒否した。；彼は断固として、その記憶を心の底に押し戻し、そのままにしておいた。；それがいやならおれたち犬は断固として人間を善導しなければならぬ。；費用負担者が断固として監督・指導の権限を握っていたのである。；ここに我々、愛犬婦人連盟はロシアの犯罪行為に断固抗議するものです。；だが、お前が再び家族の姓を使ったなら、私はお前を断固阻止するぞ。；死が断固とした足取りで階段を上がってくるようなものなのだ。；ポレドラは食事を運んできたが、断固として小屋には入れてくれなかった。；断固として終止符を打たなければ、人生の前途に黒い幕がおりてしまう。；しかしロリータはハンバートの理想の恋人となることを断固拒否した。；デルの声は小さかったが、その口調には断固とした意志が感じられたからだ。；私が知っていたベアトリスの断固とした素朴さや素直さを彼は知らないのだ。；頬の赤みはすっかり消え、顔には断固とした表情が浮かんでいた。；そして、なぜ彼女があんなに断固としてわれわれを追ってきたのか尋ねた。；断固とした表情の者たちで、中には棍棒を持っている者もいた。；真実の自分とは反対な点を称賛されることを、断固としてしりぞけていた。；ロシアを仮想敵とみなし、断固ロシアに対抗する態度を旗幟鮮明にした。；彼女はただ、断固として自分自身であろうとしているだけなんだ。；そこに断固とした職業意識を垣間見て、達也は時間を無駄にすることを止めた。；質問形をとりつつ断固とした決意表明をするのは、女のひとつのタイプなのだろうか。；新たな危機に必要なのは断固かつ非情で不動の信念をもつ男だった。</t>
        </is>
      </c>
      <c r="J5249">
        <f>HYPERLINK("https://www.weblio.jp/content/断固", "词义详情")</f>
        <v/>
      </c>
      <c r="K5249">
        <f>HYPERLINK("https://yourei.jp/断固", "查看例句")</f>
        <v/>
      </c>
    </row>
    <row r="5250">
      <c r="A5250" t="inlineStr">
        <is>
          <t>団子</t>
        </is>
      </c>
      <c r="B5250" t="inlineStr">
        <is>
          <t>成功</t>
        </is>
      </c>
      <c r="C5250" t="inlineStr">
        <is>
          <t>読み方：だんご
１米や雑穀の粉をこねて丸め、蒸したりゆでたりしたもの。あん・きな粉をまぶしたり、焼いて醤油をつけたりして食べる。「花より—」「黍(きび)—」
２1のように丸いもの。また、ひとかたまりになったもの。「ひき肉を—にする」「走者がゴール直前で—になる」</t>
        </is>
      </c>
      <c r="D5250" t="inlineStr">
        <is>
          <t>団子状(5%)；団子鼻(3%)；団子草；団子坂；団子っ鼻</t>
        </is>
      </c>
      <c r="F5250" t="inlineStr">
        <is>
          <t>草団子；小さな団子；大きな団子；混ぜて団子；肉入団子</t>
        </is>
      </c>
      <c r="G5250" t="inlineStr">
        <is>
          <t>団子屋；団子汁；団子虫；団子石</t>
        </is>
      </c>
      <c r="H5250" t="n">
        <v>29</v>
      </c>
      <c r="I5250" t="inlineStr">
        <is>
          <t>達者で居たら今日あたりはきっと団子坂へでも行っているだろうと思う。；それでも団子ほどの大きさの白い球体がいくつも沈んでいるのが見える。；人間の団子になった従者たちは最後の決意を宿した顔のまま死んでいた。；それを集めて行くと、今日の団子になって来た経歴がわかるかも知れぬ。；感動しているその目の前に、蚊で作った大きな団子がにゅっと出てきた。；そしてそのお団子の山のひとつひとつにも、僧院が立っているのだった。；もう一度団子を買って二人に渡すと、更に新しい手が目の前に現れた。；団子がそれで済んだと思ったら今度は赤手拭と云うのが評判になった。；毎日売れ残った団子を食べて暮らしていると聞いて、黙ってはいられない。；あれが普通の人間にできていたら、おそらく団子坂へ行く者は一人もあるまい。；ある者は足が絡み、手が引っかかり、全体でお団子のようになっている。；昨日の菊が鮮やかに竹藪の緑に映じて雪の団子のように見えるばかりだ。；二時間目にもきっと何かあると思うと遊廓の団子旨い旨いと書いてある。；一日、粟の団子だけで衰弱した体にやはり作業は無理だったのである。；子供たちは、竿のような長い棒の先に釘や針金をつけてお団子を盗んだ。；団子坂ではどうしてもあの食べる「団子」をイメージしてしまうからだ。；二三 十五夜だけに団子を上げて、十三夜に上げぬ事を片月見と言う。；団子でもない、饅頭でもない、そのパンてものが、想像もつかんかった。；北高の通学路に出てきた俺たちは、しばらく団子になって歩いていた。；それから水と砂の泥土の中へ横倒しにして団子の様に転がしたのです。；団子の串刺しやZのさかさになった字で書かれた掲示は察しがつかない。；吉行さんの「雪見団子」の道を歩くのは、桜の日が初めてではなかった。；あれが普通の人間に出来て居たら、恐らく団子坂へ行くものは一人もあるまい。；危機一髪、団子鼻に墮そうとするのを鼻のわきの深い皺がそれを助けた。；危機一髪、団子鼻に堕そうとするのを鼻のわきの深い皺がそれを助けた。；当時中国茶は現代の烏龍茶に似た団子状の半発酵茶と考えられている。；琴美はそれぞれ結んだ左右の髪を、どうやらお団子にしようとしているようだ。；チベット人はツァンパにジャを加えてこねて団子状にしたものを食べる。；放送を聞いて、居ても立ってもいられなくなった生徒たちが団子になってしまったらしい。</t>
        </is>
      </c>
      <c r="J5250">
        <f>HYPERLINK("https://www.weblio.jp/content/団子", "词义详情")</f>
        <v/>
      </c>
      <c r="K5250">
        <f>HYPERLINK("https://yourei.jp/団子", "查看例句")</f>
        <v/>
      </c>
    </row>
    <row r="5251">
      <c r="A5251" t="inlineStr">
        <is>
          <t>炭鉱</t>
        </is>
      </c>
      <c r="B5251" t="inlineStr">
        <is>
          <t>成功</t>
        </is>
      </c>
      <c r="C5251" t="inlineStr">
        <is>
          <t>読み方：たんこう
石炭を掘り出す鉱山。</t>
        </is>
      </c>
      <c r="D5251" t="inlineStr">
        <is>
          <t>炭鉱労働者(3%)；炭鉱労働者(2%)；炭鉱閉山；炭鉱地帯；炭鉱開発</t>
        </is>
      </c>
      <c r="F5251" t="inlineStr">
        <is>
          <t>撫順炭鉱；大嶺無煙炭鉱；中小炭鉱；炭鉱王；長門無煙炭鉱</t>
        </is>
      </c>
      <c r="G5251" t="inlineStr">
        <is>
          <t>炭鉱町；炭鉱都市；炭鉱事故；炭鉱国管疑獄；炭鉱国家管理</t>
        </is>
      </c>
      <c r="H5251" t="n">
        <v>29</v>
      </c>
      <c r="I5251" t="inlineStr">
        <is>
          <t>また炭鉱労働者の労働風景や生活を描いた絵画、写真や文学の展示もある。；現地に訪れると最盛期の炭鉱そのままといえるような光景があったという。；存在が特定されたものの多くはキリングワース炭鉱やで使われていた。；明治鉱業株式会社は、かつて日本国内で炭鉱事業などを行っていた企業。；この町は、炭鉱と鉄道の事業のためにエルキンズが創設した町であった。；大型炭鉱によって発展しており、この市の人口の大部分は移民からなる。；本格的な炭鉱開発が世界的に始まったのは18世紀に入ってからであった。；この種の機械は、その往復運動が、炭鉱内の水を排出するのに利用された。；かつての炭鉱などでは一番方・二番方・三番方と呼んでいた。；ヨーロッパ最古の炭鉱街の一つで、12世紀頃より採掘が行われていた。；その一つが本渓湖から10キロほど離れた郊外に位置した牛心台炭鉱である。；特にこの3つは戦後も年産50万トン以上を産出する主要炭鉱であった。；こうした安全設備を備えた炭鉱は中国初だと中国青年報は報じている。；主要な産業は炭鉱で、造船も行われるが、かつてのような勢いはない。；事故は新炭鉱に会社再建の命運を託していた北炭に致命的な打撃を与えた。；炭鉱関連の遺産が多数残っており、近代化遺産の面からも注目されている。；日本でも、北海道や九州北部の炭鉱跡を中心に同様の元鉱山町が存在する。；また近代には産炭地として栄えたが、現在炭鉱は全て閉山となっている。；本形式は戦前に4両、戦後に1両の計5両が、炭鉱鉄道へ払下げられた。；戦後は名古屋で養鶏場経営を手がけた後、九州で炭鉱を経営し一財産を築いた。；また、炭鉱労働者のためのガス警報装置や、低圧用の圧力計を製作した。；川上鉱業所と合併して1941年に千緒炭鉱を買収して経営に当たった。；一部の炭鉱鉄道では蒸気機関車が牽引する石炭輸送列車が運行されている。；鉄道の開通に加えて、次々と発見された炭鉱も市の成長を促した。；創設に関わったのは若い炭鉱労働者で、当時のクラブカラーは赤と黄色だった。；兗州区内の興隆荘炭鉱は中国国内でも最大級の現代化された炭鉱である。；炭鉱が盛んであった戦前から、現在まで変わらない製法で作り続けられている。；唐津炭田とは佐賀県北部から西部に分布していた大小の炭鉱群のこと。；炭鉱の所在地が御料林であったことから宮内省も株主に名を連ねていた。</t>
        </is>
      </c>
      <c r="J5251">
        <f>HYPERLINK("https://www.weblio.jp/content/炭鉱", "词义详情")</f>
        <v/>
      </c>
      <c r="K5251">
        <f>HYPERLINK("https://yourei.jp/炭鉱", "查看例句")</f>
        <v/>
      </c>
    </row>
    <row r="5252">
      <c r="A5252" t="inlineStr">
        <is>
          <t>断行</t>
        </is>
      </c>
      <c r="B5252" t="inlineStr">
        <is>
          <t>成功</t>
        </is>
      </c>
      <c r="C5252" t="inlineStr">
        <is>
          <t>読み方：だんこう
［名］(スル)困難や反対を押しきって強い態度で実行すること。「機構改革を—する」</t>
        </is>
      </c>
      <c r="D5252" t="inlineStr">
        <is>
          <t>断行する(15%)；断行派(3%)；断行しよ(2%)；断行される；断行論</t>
        </is>
      </c>
      <c r="F5252" t="inlineStr">
        <is>
          <t>実施断行；昭和維新断行；即時断行；断行する勇気</t>
        </is>
      </c>
      <c r="H5252" t="n">
        <v>29</v>
      </c>
      <c r="I5252" t="inlineStr">
        <is>
          <t>当時村に残っていた区制の廃止を断行し、区有財産、学区の統一を実施。；いっぺんは試みて敵の様子をうかがうだけの勇気と断行が必要らしいな。；一命のあらんかぎり、彼は飛行島の爆破を断行する決心だったのである。；人間の首のすげ替え手術が断行されたニュースが、衝撃的に報道された。；しかしにもかかわらず、のちに住民はその再建を断行したというのである。；しかしそう決心しながら、一日一日と私は断行の日を延ばして行ったのです。；なにごとであれ、やるからには自信を持って断行しなくてはいけない。；しかし、これが断行せねばならぬ仕事であるのを、彼は知っていた。；私ども人類を救うために神の断行し給うた経綸の中心的事実であります。；故にいつか機会をとらえてこの攻撃は断行しなければならないだろう。；反革命も彼等がいなければあえてすることができないほどに断行する。；生き抜く事が正しいと思えばこそ此のような逃亡を断行したのだ。；その上いっその事を断行するのが今が今ではないと云う安心がどこかにあるらしい。；本格的なモデルチェンジは、改革が軌道に乗り次第時間をかけて断行する。；私はそれを断行せねば、とても親を愛するようにはなれそうにありません。；だから再生のための死を、国家としての切腹を断行するのだと言った。；が、ちょうど妊娠しているために、それを断行する勇気がありません。；そのような中で山陽無煙炭鉱は抜本的な経営体制の刷新を断行していく。；すべての営業店を対象に報告を求め、取引きの解消を断行致しました。；自由主義派の支持が得られそうにないと見るや無予算統治で軍制改革を断行した。；また、宰平の住友への貢献は、住友の家政改革を断行したことでもある。；いよいよやりかけたらあくまでそれを断行せねばならない。；思い切ったリストラを断行しようとすれば、車種も削減せざるを得ない。；と、秀吉はその効果を計算に入れて、こんどの伊勢進出を断行したわけだった。；三木は臨時国会を開催した上で衆議院解散を断行するつもりであった。；処刑前は仲間達と死んでもなお昭和維新を断行する意思を語り合った。；田中ものちにこれを断行しようとしたことがある。；そこで彼は自然との交流を放棄して自然の奪掠を断行した。；断行派と延期派の争いは、この時ようやく完全決着したとも言える。</t>
        </is>
      </c>
      <c r="J5252">
        <f>HYPERLINK("https://www.weblio.jp/content/断行", "词义详情")</f>
        <v/>
      </c>
      <c r="K5252">
        <f>HYPERLINK("https://yourei.jp/断行", "查看例句")</f>
        <v/>
      </c>
    </row>
    <row r="5253">
      <c r="A5253" t="inlineStr">
        <is>
          <t>男子</t>
        </is>
      </c>
      <c r="B5253" t="inlineStr">
        <is>
          <t>成功</t>
        </is>
      </c>
      <c r="C5253" t="inlineStr">
        <is>
          <t>読み方：だんし
１男の子。男児。⇔女子。
２男性。おとこ。また、一人前のおとこ。「—の本懐」⇔女子。</t>
        </is>
      </c>
      <c r="D5253" t="inlineStr">
        <is>
          <t>男子ダブルス(4%)；男子プロ(3%)；男子学生(2%)；男子選手；男子部</t>
        </is>
      </c>
      <c r="E5253" t="inlineStr">
        <is>
          <t>男；子；息子；少年；息</t>
        </is>
      </c>
      <c r="F5253" t="inlineStr">
        <is>
          <t>日本男子；元男子；成人男子；成年男子；少年男子</t>
        </is>
      </c>
      <c r="G5253" t="inlineStr">
        <is>
          <t>男子シングルス；男子バレーボール；男子校；男子高校生；男子バスケットボール</t>
        </is>
      </c>
      <c r="H5253" t="n">
        <v>29</v>
      </c>
      <c r="I5253" t="inlineStr">
        <is>
          <t>男子の部は1959年の第10回大会からこの地区代表制度が始まった。；男子ほどではないものの、非黒人選手が上位入賞するケースは稀である。；同年11月4日には初めての男子が誕生したが、2015年に離婚した。；この他トイレがあり、手前に男子用、奥に大便用の便器が置かれていた。；学習内容と同じく漫画も各学年別に男子向けと女子向けが用意されている。；これにより国内の大会で女子も男子と同じ黒帯を用いることになる。；このクラブの男子チームは2006/07年シーズンからでプレイした。；このような経緯から男子部と女子部が存在することになった。；主に女子の競技であり、男子では主に110メートルハードルが行われる。；上記の各学校においても中等教育以上は男子教育の場でしかなかった。；赤と青は男子が青、女子が赤、男女共同で使えるためといわれている。；男子の方が女子よりも出席率が高い傾向が報告されている。；また、同時期に母娘の双方を妾とし、同時期に双方に男子を成している。；また、男子の年齢区分を踏襲した形での年代別大会も行われている。；第7回大会からは、試合用のボールが男子と同じ5号球に変更された。；主に男子の競技であり、女子では100メートルハードルが行われる。；男子がいなかったため、家督は養嗣子になっていた甥の秀保に継がせた。；男子選手のための制度と女子選手のための制度がある。；初めは女子ばかりが生まれ、跡継ぎの男子を望む姑から責め立てられた。；医療少年院を除けば、それぞれに男子と女子に別々の施設が設けられる。；男子・女子の群像はいずれも4人一組で、計16人の人物が描かれている。；夫婦仲は悪くなかったが、夫婦の間に男子は生まれなかった。；男子の子どもは15歳になると、江戸の商人の下に送って商売を見習わせた。；男子は10個の技の点の合計が、女子は8個の技の点の合計が難度点になる。；日本においては、中学校とは、戦前は優秀な男子のみが進学する道であった。；陸軍の兵隊は平均年齢16歳から28歳の間の白人男子で構成されていた。；ただしこの段階では婦人の選挙権資格年齢は30歳と男子よりも高く設定された。；寮のキャパシティが男子の方が多かったことが要因とされている。；男子選手の所属する級および班は、競走得点および評価点に基づいて決められる。</t>
        </is>
      </c>
      <c r="J5253">
        <f>HYPERLINK("https://www.weblio.jp/content/男子", "词义详情")</f>
        <v/>
      </c>
      <c r="K5253">
        <f>HYPERLINK("https://yourei.jp/男子", "查看例句")</f>
        <v/>
      </c>
    </row>
    <row r="5254">
      <c r="A5254" t="inlineStr">
        <is>
          <t>短縮</t>
        </is>
      </c>
      <c r="B5254" t="inlineStr">
        <is>
          <t>成功</t>
        </is>
      </c>
      <c r="C5254" t="inlineStr">
        <is>
          <t>読み方：たんしゅく
［名］(スル)時間・距離などの長さをちぢめて短くすること。また、ちぢまって短くなること。「労働時間を—する」「—授業」</t>
        </is>
      </c>
      <c r="D5254" t="inlineStr">
        <is>
          <t>短縮する(9%)；短縮される(5%)；短縮版(3%)；短縮できる(2%)；短縮化</t>
        </is>
      </c>
      <c r="E5254" t="inlineStr">
        <is>
          <t>減少；縮小；削減；略称；軽減</t>
        </is>
      </c>
      <c r="F5254" t="inlineStr">
        <is>
          <t>所要時間短縮；期間短縮；距離短縮；路線短縮；大幅な短縮</t>
        </is>
      </c>
      <c r="G5254" t="inlineStr">
        <is>
          <t>短縮型；短縮url；短縮語；短縮名</t>
        </is>
      </c>
      <c r="H5254" t="n">
        <v>29</v>
      </c>
      <c r="I5254" t="inlineStr">
        <is>
          <t>ただし、駅間距離の短縮は違和感のない範囲でこれまで同様に存在する。；工場では自動車の生産手法を取り入れた工程により製造期間を短縮した。；なお、最初の数話は番組自体の放送時間を短縮して1話ずつ放送された。；当初、全26回の制作が予定されていたが、半分の13回に短縮された。；事前に設定が必要だが、かざすと同時に注文され待ち時間が短縮される。；ただし、正式なものではないが、短縮された形などが用いられることもある。；編成短縮後も引き続き優等・普通運用を問わず幅広く運用されている。；全10話の予定であったが番組の放送短縮の関係で9話に短縮されている。；この修業年限短縮は以前から高等学校制度改革の根本にあったものである。；赤川の右岸側を経由する国道7号の旧ルートよりも約2km短縮された。；地図の重ね合わせは紙の地図では時間がかかった処理を大幅に短縮することが可能になった。；表記を短縮するためにシュメール語の表語文字を併用することもあった。；その他の場面は、最も重要な話の詳細だけが含まれるように短縮、統合された。；絵画を捨てきれず翌年に大学を中退してフランスへ留学するも留学期間を短縮する。；当初は全26話の予定だったが、全13話に短縮されて製作、放送された。；分割併合時間を短縮するために、電気連結器と自動幌装置が設けられた。；なぜ短縮された王名が使われたのかはわかっていない。；改造後も車体短縮は実施されず台車中心間もそのままであった。；無停車通過を前提とするため、列車自体の到達時間も短縮する。；若者などが気軽に短縮して呼びたい場合は「 トライク」と呼んでいる。；この硬直は短縮が不可能で、普段決めにくい技をこの時に決めることもできる。；そこで、東京と大阪の間の所要時間を約6時間に短縮することを目標とした。；セト民はで「新しい土地で人生への希望を抱いて生きる人」の短縮である。；すでに東京大学は、大学院在籍年数の短縮がすでに認められている。；なお繰上げに伴い、土・日の放送時間が15分から10分に短縮された。；短縮されたことでクフの名前とクヌム神の繋がりは隠されてしまっている。；ただし、3両以下への短縮やワンマン運転に対応した改造は未施工である。；ROMの内容をRAMにコピーしてアクセス時間を短縮することがある。；パンタグラフは、高圧引通線の短縮化などを目的にM車に搭載された。</t>
        </is>
      </c>
      <c r="J5254">
        <f>HYPERLINK("https://www.weblio.jp/content/短縮", "词义详情")</f>
        <v/>
      </c>
      <c r="K5254">
        <f>HYPERLINK("https://yourei.jp/短縮", "查看例句")</f>
        <v/>
      </c>
    </row>
    <row r="5255">
      <c r="A5255" t="inlineStr">
        <is>
          <t>単純</t>
        </is>
      </c>
      <c r="B5255" t="inlineStr">
        <is>
          <t>成功</t>
        </is>
      </c>
      <c r="C5255" t="inlineStr">
        <is>
          <t>読み方：たんじゅん
［名・形動］
１そのものだけで、まじりけがないこと。他の要素などが混入していないこと。また、そのさま。「言葉どおりの—な意味」
２機能・構造・形式などがこみいっていないこと。また、そのさま。「—な計算ミス」「—な機械」⇔複雑。
３考え方やとらえ方が素直であること。とらえ方などが一面的で浅いこと。また、そのさま。「その見方は—すぎる」「彼は意外に—なところがある」「—明快な論理」⇔複雑。
４条件・制限などがないこと。また、そのさま。「—に権利を承継する」
[派生]たんじゅんさ［名］</t>
        </is>
      </c>
      <c r="D5255" t="inlineStr">
        <is>
          <t>単純化(5%)；単純な構造；単純明快；単純な方法；単純な理由</t>
        </is>
      </c>
      <c r="E5255" t="inlineStr">
        <is>
          <t>明らか；やすい；やさしい；純；明白</t>
        </is>
      </c>
      <c r="F5255" t="inlineStr">
        <is>
          <t>こんな単純；単純正規交叉；単純逃走罪；単純マトリクス駆動；単純遊星歯車機構</t>
        </is>
      </c>
      <c r="G5255" t="inlineStr">
        <is>
          <t>単純明快；単純作業；単純労働；単純ヘルペス；単純群</t>
        </is>
      </c>
      <c r="H5255" t="n">
        <v>29</v>
      </c>
      <c r="I5255" t="inlineStr">
        <is>
          <t>処理中に使用可能な記憶領域が枯渇した場合の回復は比較的単純である。；ルールが単純なことから新聞・雑誌・クイズ番組等でもよく掲載される。；開発当初、WWW は文字情報を扱うだけの比較的単純なものであった。；しかし、その単純な対立構図はより理由が鮮明になり熱を帯びていった。；異なる物質同士の値の大小で単純に害の大小を比較することはできない。；また、他にも単純な性質を多く持っているため、様々な場面で応用される。；ウィトゲンシュタインの哲学は極めて単純には前期と後期に分けられる。；最も単純な方法は、観測できた天体の等高度円を地球上に描くことである。；単純な方法は導出過程の途中の文字列を全て書き出していく方法である。；以上を少し単純化して数学的に表すと、次のような方法が考えられる。；もっとも単純な火おこし法は摩擦法であり、世界中に広く分布している。；お母さんなら五人いるなら配置をそんなにたんじゅんにしたりしない。；初期のウェブブラウザが対応していたHTMLは非常に単純なものだった。；なおアルファベットについては、単純に好きな文字だからと話している。；は言語機能を必要十分の最低限まで単純化することを目指した言語である。；さりながら、競技運動の目的は単純で狭いが、柔道の目的は複雑で広い。；技術的な面では何も問題は無く、単純な採算性の問題となっている。；アセンブルは比較的単純な規則からなるため、人の手でも実行できる。；どんなに複雑な機械装置でも、単純な機械要素を組み合わせて構成される。；製造工程が極端に単純化されたため、労働者は非人間的な労働を強いられた。；biasの値が変わらない範囲であれば、単純に追加するだけでよい。；スペンサーは進化を一から多への単純から複雑への変化と考えた。；製造方法が単純なことから、さまざま場所で製造販売されている。；単純に移植、もしくはある程度手を加えて商品化するタイプも出て来ている。；この単純な引き結びの使用は、1人で旗を掲げるときに許されている。；例えば、単純に観測できそうな快感の度合いすら他者には観測できない。；これを単純な式で表現したものは今でも使われている。；現在のアフリカ各国の国境線は地形や民族構成などを反映しない単純な直線が多い。；継承の目的は、単純なクラスに基づいてもっと複雑なクラスを構成することである。</t>
        </is>
      </c>
      <c r="J5255">
        <f>HYPERLINK("https://www.weblio.jp/content/単純", "词义详情")</f>
        <v/>
      </c>
      <c r="K5255">
        <f>HYPERLINK("https://yourei.jp/単純", "查看例句")</f>
        <v/>
      </c>
    </row>
    <row r="5256">
      <c r="A5256" t="inlineStr">
        <is>
          <t>短所</t>
        </is>
      </c>
      <c r="B5256" t="inlineStr">
        <is>
          <t>成功</t>
        </is>
      </c>
      <c r="C5256" t="inlineStr">
        <is>
          <t>読み方：たんしょ
劣っているところ。欠点。また特に、人の性質などのよくない面。「そそっかしいのが私の—だ」⇔長所。</t>
        </is>
      </c>
      <c r="D5256" t="inlineStr">
        <is>
          <t>短所弱点であり</t>
        </is>
      </c>
      <c r="E5256" t="inlineStr">
        <is>
          <t>非；穴；傷；障害；難</t>
        </is>
      </c>
      <c r="F5256" t="inlineStr">
        <is>
          <t>やすいという短所；主な短所；にくいという短所；こうした短所；短所弱点</t>
        </is>
      </c>
      <c r="H5256" t="n">
        <v>29</v>
      </c>
      <c r="I5256" t="inlineStr">
        <is>
          <t>おそらく彼の最大の短所は人を介して報告を聞くことを嫌うことである。；スイッチバックの短所は、以下の様な多くの制限を受け得ることである。；ある程度使える技が限定されており、逆転負けの可能性が高いのが短所。；この手法の短所は、移植細胞が期待通りに機能しないことが多い事である。；一般に交差点を設計した場合、その長所と短所を比較検討することが多い。；しかし、指示遅れや誤差が大きくなることを避けられないのが短所である。；これらの些細な短所が百万年単位の長期間では重要だったと思われる。；長所とは基本的な人のよさであり、短所は真剣な反省心の欠落であった。；私が愛を感じている人の短所は、同情をもって見ることができる。；なお、一つの項目が長所と短所の両方を包含する場合があることに留意。；まず第一にあなた御自身にも欠点短所があることをお考え下さい。；二人は或る間隔を置いて、相手の短所を眺めなければならなかった。；白兵・遠距離での攻撃が得意など、それぞれが長所・短所を持っている。；又見ずにはいられない場合もその短所を補うべき何か他の長所を探したであろう。；母親の描写があっさりしている点は作品の短所として挙げられることもある。；一方で基本設計やシステムが古いことから来る、現在では短所となっている点もある。；一口にいうと、あれは三河武士の長所と短所とを両方備えておったのよ。；自分ではクールなつもりなのだが、心情が顔に出やすいのは長所か短所か。；上記で記述した長所でもある装弾のシステムは、短所ともなっている。；また見ずにはいられない場合もその短所を補うべき何か他の長所を探したであろう。；しかし廃止してから新線が開業するまでに鉄道空白期間が生じる短所もある。；他の二つの作戦の短所をすべて持っているくせに、どちらの長所も持っていない。；それぞれの長所と短所を考慮して、 片方に決められるのは『大人』だ。；しかし、そんなふうに考えるところが、私の短所でもあり長所でもある。；これはどの民族でももつてゐる短所ぢやないかと思ふのである。；無意識の反応で彼がやったのは、上層部では彼の短所とされていることだった。；この方法の最大の短所は、光度の変化がとても小さいという事である。；それは単純で組み立てやすく軽量で、新しい機械加工だけが短所だった。；だから自分の短所にはけっして思い及ばなかったと同一の結果に帰着した。</t>
        </is>
      </c>
      <c r="J5256">
        <f>HYPERLINK("https://www.weblio.jp/content/短所", "词义详情")</f>
        <v/>
      </c>
      <c r="K5256">
        <f>HYPERLINK("https://yourei.jp/短所", "查看例句")</f>
        <v/>
      </c>
    </row>
    <row r="5257">
      <c r="A5257" t="inlineStr">
        <is>
          <t>男女</t>
        </is>
      </c>
      <c r="B5257" t="inlineStr">
        <is>
          <t>成功</t>
        </is>
      </c>
      <c r="C5257" t="inlineStr">
        <is>
          <t>読み方：おとこおんな
男でありながら女のような、また、女でありながら男のような性徴や性質を持つ人。</t>
        </is>
      </c>
      <c r="D5257" t="inlineStr">
        <is>
          <t>男女関係(2%)；男女間；男女シングル；男女二；男女混合</t>
        </is>
      </c>
      <c r="E5257" t="inlineStr">
        <is>
          <t>ネコ；カップル；女形；二人連れ；オカマ</t>
        </is>
      </c>
      <c r="F5257" t="inlineStr">
        <is>
          <t>青年男女；男女交際；男女差；男女雇用機会均等法；男女通じ</t>
        </is>
      </c>
      <c r="G5257" t="inlineStr">
        <is>
          <t>男女別；男女平等；男女同権；男女共同参画；男女差別</t>
        </is>
      </c>
      <c r="H5257" t="n">
        <v>29</v>
      </c>
      <c r="I5257" t="inlineStr">
        <is>
          <t>出演場面は男女の主人公が結婚する箇所で、介添人として登場している。；前述の通り植物であり、人間のような男女の概念は存在しないはずである。；登場人物は男女を問わず手袋・眼鏡を着用しているキャラクターが多い。；青年男女は自由恋愛を認められるが、結婚には父母の承認が必要である。；これらは語源的には男性を意味する語だが、男女を問わず使うことが多い。；番組放送時から男女問わず視聴者からの苦情も非常に多く寄せられていた。；男女合わせても史上初であり、2017年現在唯一の記録となっている。；しかし、男女合わせたら治療の有無と生存との関連がなくなってしまう。；第3のグループでは、性交渉開始時の男女の年齢はより密接に一致した。；男女が行う場合は、身長が女性より高いであろう男性が傘を持ち構える。；男女の運転には、以下の差があることが様々な実験により検証されている。；赤と青は男子が青、女子が赤、男女共同で使えるためといわれている。；また1634年の角倉船の絵馬にはトランプをしている男女の絵がある。；前番組からの流れで、この放送枠には珍しく、男女2人体制であった。；男女共に命名されるユニセックスな名前ではあるが、男性の方がかなり多い。；男女神社前の丘にはこれを記念する碑が建てられている。；また、シャツの前立ての男女差も、この時期に由来すると考えられている。；また、ゲストは女性芸能人限定だったものを男女ともに呼べるようにした。；自らの体験などをベースに、主に若い男女の恋愛模様を描いている。；恋愛小説は、男女間もしくは同性間での恋愛を主題とした小説のこと。；成田離婚とは、結婚したての男女が新婚旅行を機に離婚することをいう。；組み合わせは男女各1名が最も多く、次いで女性2名、男性2名となる。；グラナドスと妻アンパロとの間には男女3人ずつ6人の子供が生まれた。；満たされない日々を送る男女が、嘘から生まれた出会いを機に恋に落ちる。；このことは島に男女とも均等に移住したことを示唆している。；早くも古代文明の昔に、男女の性愛を描いた絵画や彫刻が存在している。；トイレは西口駅舎の改札外に設置されており、男女共用の水洗式である。；イタリア生まれの者は、男女の別なく子供も含めて殺された。；女性の受診率が高いため診断数も多いが、罹患率には男女差はないという。</t>
        </is>
      </c>
      <c r="J5257">
        <f>HYPERLINK("https://www.weblio.jp/content/男女", "词义详情")</f>
        <v/>
      </c>
      <c r="K5257">
        <f>HYPERLINK("https://yourei.jp/男女", "查看例句")</f>
        <v/>
      </c>
    </row>
    <row r="5258">
      <c r="A5258" t="inlineStr">
        <is>
          <t>誕生</t>
        </is>
      </c>
      <c r="B5258" t="inlineStr">
        <is>
          <t>成功</t>
        </is>
      </c>
      <c r="C5258" t="inlineStr">
        <is>
          <t>読み方：たんじょう
［名］(スル)
１人が生まれること。出生。生誕。「長男が—する」
２生まれて1回目の誕生日。「—を過ぎて歩きはじめた」
３物事や状態が新しくできること。「文化センターの—を祝う」「新政権が—する」
[補説]書名別項。→誕生</t>
        </is>
      </c>
      <c r="D5258" t="inlineStr">
        <is>
          <t>誕生する(8%)；誕生日；誕生後；誕生地；誕生以来</t>
        </is>
      </c>
      <c r="E5258" t="inlineStr">
        <is>
          <t>生まれ；生まれる；生れ；出生；生誕</t>
        </is>
      </c>
      <c r="F5258" t="inlineStr">
        <is>
          <t>新しく誕生；次々と誕生；生命誕生；宇宙誕生；皇子誕生</t>
        </is>
      </c>
      <c r="G5258" t="inlineStr">
        <is>
          <t>誕生日プレゼント；誕生祝い；誕生会；誕生寺；誕生月</t>
        </is>
      </c>
      <c r="H5258" t="n">
        <v>29</v>
      </c>
      <c r="I5258" t="inlineStr">
        <is>
          <t>現代のような自然科学は19世紀になってようやく誕生したものである。；これをきっかけにしてと呼ばれる中国独自のジャンルが誕生した。；また変異がどのように誕生するのかを説明することもできなかった。；恒星が誕生する際には、質量の小さい恒星ほど形成される可能性が高い。；宇宙の誕生から現在までの経過時間は様々な方法やモデルに基づいて計算されている。；記憶にある瞬間瞬間と現在瞬間が比較される時、時間概念が誕生するわけである。；水を主成分とする海は地球誕生後まもなく形成され、現在まで継続している。；逆に、誕生時の木星は現在の2倍程度の大きさがあったと考えられる。；地球上に生物が誕生したときから、生殖細胞は連綿と受け継がれている。；これら二つのシステムはフランスで誕生し、大陸で広く使われた。；このような金属をつくる元素は宇宙の誕生とともに生成された訳ではない。；私はこの苦の衆生を安んずるために誕生したのだから、尊いとしている。；大手証券会社の野村證券は大和銀行の証券部が分離・独立して誕生した。；最初の実装はJavaの誕生から3年後の1998年頃に登場している。；ただし、生物物理学的・生化学的に生命の誕生を再現する試みはある。；平成の大合併で誕生した新しい自治体の多くが区市町村の鳥に採用している。；法を手に犯罪者を捕らえる新しい形のヒーローが誕生したからである。；同様の理由で山陽鉄道では例外的な急勾配区間瀬野八も誕生している。；これらの物語のバージョンでは、誕生はそれぞれ息子3人組である。；最初の数は生き残るために必要な数を表し、次の数は生命の誕生に必要な数を表す。；エジプト人にとってアフリカとはまさに「誕生したところ」を意味する。；かつては北口を名乗っていたが、北東口誕生に伴い北西口と改名。；北車と南車が合併して誕生した中車が製造を担当している。；こうして、ボーマルシェを代表とした劇作家協会が誕生したのである。；これらの地域にはキエフ・ルーシをはじめとするルーシの国々が誕生した。；板倉は「新理論は旧理論の内部矛盾の検討を通して誕生する」と主張した。；統合・合併で誕生した巨大銀行を指す場合もある。；サルマーン現国王は第2世代であるが現在は第6世代まで誕生している。；しばしば最初の女とされるが、この伝説は中世に誕生した。</t>
        </is>
      </c>
      <c r="J5258">
        <f>HYPERLINK("https://www.weblio.jp/content/誕生", "词义详情")</f>
        <v/>
      </c>
      <c r="K5258">
        <f>HYPERLINK("https://yourei.jp/誕生", "查看例句")</f>
        <v/>
      </c>
    </row>
    <row r="5259">
      <c r="A5259" t="inlineStr">
        <is>
          <t>誕生日</t>
        </is>
      </c>
      <c r="B5259" t="inlineStr">
        <is>
          <t>成功</t>
        </is>
      </c>
      <c r="C5259" t="inlineStr">
        <is>
          <t>読み方：たんじょうび
人の生まれた日。毎年迎える誕生の記念日。誕辰(たんしん)。バースデー。</t>
        </is>
      </c>
      <c r="D5259" t="inlineStr">
        <is>
          <t>誕生日パーティー；誕生日会；誕生日祝い；誕生日当日；誕生日前日</t>
        </is>
      </c>
      <c r="F5259" t="inlineStr">
        <is>
          <t>誕生日記念；誕生日祝賀；誕生日祝賀会；誕生日スペシャル</t>
        </is>
      </c>
      <c r="G5259" t="inlineStr">
        <is>
          <t>誕生日おめでとう；誕生日の夜；誕生日ケーキ；誕生日攻撃；誕生日のパラドックス</t>
        </is>
      </c>
      <c r="H5259" t="n">
        <v>29</v>
      </c>
      <c r="I5259" t="inlineStr">
        <is>
          <t>クラブでは初試合となったこの日を「エスパルスの誕生日」としている。；マッカーサー元帥の誕生日には必ずテーブルに盆景を作って置いてきた。；そして、預言者の誕生日を祝うことを禁止にすべきだと結論付けている。；それは15歳の誕生日の2ヶ月前のことであり、もちろん子はなかった。；当時の日本人が誕生日の際、赤飯を食していたことなど、風俗がわかる。；誕生日なども異なっているが、正しいのは前述のほうなので間違いのないよう。；日本の元号によれば、下記のようなぞろ目の誕生日にぞろ目の歳になる。；同日自らの誕生日とデビュー10周年記念を兼ねたライブを行った。；そうこうしているうちにベルガラスは3000回目の誕生日を迎えた。；誕生日が1日違いであり、アメリカ時代は同じジムに通っていたりもした。；人物神を祀る神社ではその人物の誕生日や命日に例祭を行うことが多い。；味方キャラクターの誕生日は、原作版声優の誕生日と同じに設定されている。；クリスチャンは肉体の誕生日と霊の誕生日と言う二つの誕生日を持っている。；記憶のない彼女にとっては、常にその日は父親の誕生日なのである。；ちょうど34歳の誕生日を迎えた頃にはクリーンな体に戻っていた。；父の誕生日が4月1日であることも重なり愛用のナンバーとなっている。；また、登場人物が年を取ることはないが、誕生日を祝うシーンはある。；自身の30歳の誕生日に俳優を辞め芸能界を引退することを発表した。；誕生日を迎えた人には、最初にケーキを切り分けた部分が与えられる。；金正日の誕生日に合わせて栽培するために大量の石油を用いている。；同じ過ちを犯すのは自分のせいと責任を感じ、自らの誕生日に事務所を解散。；兄の誕生日に健が訪問して大学生になったことを報告するが、父も兄も冷たい。；死去が明らかになった9月13日は和田の69歳の誕生日でもあった。；このギターは17歳の誕生日にプレゼントとして贈られたものであった。；大会中に46歳の誕生日を迎え、出場した全選手の中で最年長の選手であった。；火葬の日取りと時刻は家族のすべての者の誕生日・時刻と同一であってはならない。；また、決勝が行なわれた6月11日はアレジ自身の誕生日でもあった。；前作では描かれなかった、妹の誕生日のイベントが存在する。；ライブなどで、自身が今上天皇と誕生日が同じであることを公表することがある。</t>
        </is>
      </c>
      <c r="J5259">
        <f>HYPERLINK("https://www.weblio.jp/content/誕生日", "词义详情")</f>
        <v/>
      </c>
      <c r="K5259">
        <f>HYPERLINK("https://yourei.jp/誕生日", "查看例句")</f>
        <v/>
      </c>
    </row>
    <row r="5260">
      <c r="A5260" t="inlineStr">
        <is>
          <t>単身</t>
        </is>
      </c>
      <c r="B5260" t="inlineStr">
        <is>
          <t>成功</t>
        </is>
      </c>
      <c r="C5260" t="inlineStr">
        <is>
          <t>読み方：たんしん
１一人だけであること。ただ一人。単独。「—上京する」
２家族のいないこと。特に、結婚していないこと。また、その人。ひとりみ。独身。「—者用住宅」</t>
        </is>
      </c>
      <c r="D5260" t="inlineStr">
        <is>
          <t>単身楽団(6%)；単身上京(4%)；単身赴任(4%)；単身渡米(3%)；単身世帯</t>
        </is>
      </c>
      <c r="F5260" t="inlineStr">
        <is>
          <t>単身帰国；卒業後単身；単身潜入；単身渡英；単身乗り込み</t>
        </is>
      </c>
      <c r="G5260" t="inlineStr">
        <is>
          <t>単身者</t>
        </is>
      </c>
      <c r="H5260" t="n">
        <v>29</v>
      </c>
      <c r="I5260" t="inlineStr">
        <is>
          <t>戦後の高度成長期、それでも女が単身で子供を育てるのは困難であった。；高校には進学せず、単身で上京して本格的に女優業をスタートさせる。；その後次のステップに進もうと考え、父親の勧めで単身イタリアに渡る。；しかし自分の生活に疑問を抱くようになり、株で資金を準備し単身渡米。；しばらく経った後神経衰弱となったので単身帰国して療養生活を送る。；それは1957年2月にニューヨークへ単身駐在する直前のことだった。；退団後、メジャーリーグ挑戦の夢のため単身でアメリカ合衆国に渡った。；高校 を卒業すると同時に、単身ニューヨークへダンス留学をする。；中学卒業後、単身で上京し一人暮らしをしながらモデル活動を本格化させる。；戦後、父庄太郎はトール島にノツムールと娘たちを置いて単身帰国する。；初期の移民は単身の出稼ぎが多く、や苦力と呼ばれて重労働に従事した。；しかし、単身が条件で家族を連れての居住は認められていない。；父親が日本へ単身で働きに行き、戻ってきた時に日本のCD等を持ち帰った。；周囲の反対を振り切り、朝鮮に伝道をするために単身で朝鮮に行った。；単身上京して新銭座に入塾した藤野善蔵の影響が大きいと伝えられている。；特に、単身での世界各地からのエンタメルポシリーズにはファンが多い。；地元長崎県の高校卒業後、単身フィリピンへ渡りモデル活動を行っていた。；最終局面では自らも敵地に赴き、単身敵を引き付ける等の活躍を見せた。；主人公・健二の兄である宗一は妻の美礼を残して海外へ単身赴任している。；これは、教会が半裸の若者像を単身で飾ることを忌避したためである。；高校からは単身親元を離れ清水エスパルスユースに所属し寮生活を送る。；安右衛門の旅ははっきりしない点が多く、単身だったとも兄弟を伴っていたともされる。；そこに東京都で単身生活をしていたバンマスのニーコから手紙が届く。；ゴルフ留学のため、小学校卒業後単身でアメリカに渡り、米国籍を取得。；そこで父は家族のことを考え、1910年、単身台湾に渡ることを決意する。；修二は単身八重に戦いを挑んで敗れ、そのまま二度と目覚めなくなった。；近年、単身か二人程度の世帯が暮らす住宅地区が都市圏に増えている。；アレハンドロは単身でグループから離別しメキシコ側の出口から外へ出る。；藤子不二雄に憧れ兄と共同で漫画を描き始めるが、後に単身で執筆活動を継続。</t>
        </is>
      </c>
      <c r="J5260">
        <f>HYPERLINK("https://www.weblio.jp/content/単身", "词义详情")</f>
        <v/>
      </c>
      <c r="K5260">
        <f>HYPERLINK("https://yourei.jp/単身", "查看例句")</f>
        <v/>
      </c>
    </row>
    <row r="5261">
      <c r="A5261" t="inlineStr">
        <is>
          <t>たんす</t>
        </is>
      </c>
      <c r="B5261" t="inlineStr">
        <is>
          <t>成功</t>
        </is>
      </c>
      <c r="C5261" t="inlineStr">
        <is>
          <t>読み方：たんす
衣類、装身具などを収納する、木製の家具。大小の引き出しや戸棚からできている。</t>
        </is>
      </c>
      <c r="D5261" t="inlineStr">
        <is>
          <t>たんすの一番上</t>
        </is>
      </c>
      <c r="H5261" t="n">
        <v>29</v>
      </c>
      <c r="I5261" t="inlineStr">
        <is>
          <t>そうです、そこには家にあるとおりの本だなとたんすとが来ていたのです。；良はかえしたような顔をしてたんすの引出しにかくしておいたのである。；それからベッドからおりて、足もとにある小さなたんすのほうへいった。；それでたんすの中にあった書物のほかの本までパリからわざわざ買って来てくれた。；たんすの上でかちかち鳴っている目覚まし時計のほうを彼はふり仰いだ。；イスと机とたんすがあるとわかっている場所に、黒い影が見えるだけだった。；手をもっと目のそばへやれば、たんすは指の先にだってかくれてしまいます。；小さなたんすが一つに、小型の寝台があるきりで、他にはなんにもない。；たんすを動かした後の裸の壁を眺めていると、気が沈んでくる。；そっと、ギイーツとたんすをあけてみたけれど、中にはいっていない。；たんすの環やふすまの取手などが奇妙に大きな感じでのさばり出すのだ。；お母さんは、たんすの中から小さな箱を出して、指環を見せてくれた。；たんすの上に置く小型の仏壇の規模の表し方は、総丈を号または丈で表す。；たんすの道を通っては、きみたちはもうナルニアにいけないだろう。；数日たつと、女中頭は布の入ったたんすを開けるように、命じられた。；実は描いたときそんなに入れ込んだキャラじゃなかったんすよね。；やっぱりたんすぐらいの大きさだと思っているでしょう。；たんすの上には、一枚の大きな絵が、金ぶちの額に入れられてかかっていました。；たんすには最上段がこうした設計になっているものが、よくある。；その彫像が久しぶりで訪ねた鷺の宮の家のたんすの上に飾られていた。；そして戸棚やたんすの中には質素ながらも自分の衣裳がそろっていた。；たんすの上で燃えている二本のろうそくは彼女にはまばゆい栄光と見えた。；みんなは、ベッドの下や、たんすのうしろなどをさがしまわりました。；ローズ・リタは本を取りにたんすまでいって、巻き物のことを思い出した。；それは、悪い人の家のたんすの中から、かじりだしてきたのでした。；たんすの前をいったりきたりする姿は、リビングでの状況となんら変わりがない。；ベニヤ板の壁はどこを見ても埋まっているので、たんすの横にはることにした。；蓄音機はたんすの上の本の山の間におくことにした。；そしてたんすのところまでいくと、ひきだしを開けてなかをのぞきはじめた。</t>
        </is>
      </c>
      <c r="J5261">
        <f>HYPERLINK("https://www.weblio.jp/content/たんす", "词义详情")</f>
        <v/>
      </c>
      <c r="K5261">
        <f>HYPERLINK("https://yourei.jp/たんす", "查看例句")</f>
        <v/>
      </c>
    </row>
    <row r="5262">
      <c r="A5262" t="inlineStr">
        <is>
          <t>淡水</t>
        </is>
      </c>
      <c r="B5262" t="inlineStr">
        <is>
          <t>成功</t>
        </is>
      </c>
      <c r="C5262" t="inlineStr">
        <is>
          <t>読み方：たんすい
塩分をほとんど含まない水。まみず。</t>
        </is>
      </c>
      <c r="D5262" t="inlineStr">
        <is>
          <t>淡水産(10%)；淡水性(6%)；淡水化(5%)；淡水生(3%)；淡水中</t>
        </is>
      </c>
      <c r="E5262" t="inlineStr">
        <is>
          <t>真水；素水</t>
        </is>
      </c>
      <c r="F5262" t="inlineStr">
        <is>
          <t>淡水真珠；淡水型；淡水信義線；淡水湿地；淡水種</t>
        </is>
      </c>
      <c r="G5262" t="inlineStr">
        <is>
          <t>淡水域；淡水湖；淡水河；淡水区；淡水線</t>
        </is>
      </c>
      <c r="H5262" t="n">
        <v>29</v>
      </c>
      <c r="I5262" t="inlineStr">
        <is>
          <t>淡水は比較的に豊富で東湾に注ぐ川の他、いくつかの小河川が見られる。；海からは50メートル程度しか離れていないが淡水が湧き出す池である。；魚の一部は海から汽水域さらに淡水の河川へと生息地を広げていった。；また陸上植物の中には、二次的に淡水または海水に進出したものもいる。；北海道の個体は海を下ることがなく、一生淡水で過ごすといわれている。；淡水種、海水種ともに体盤の一部が欠落した個体が出現することがある。；これらは淡水産で群体を作らず、浅い池の水草の上などに生息している。；大部分の種が海産であるが、淡水産、陸生の種もわずかに知られている。；井戸や貯水槽は、守備兵に淡水を供給するために塔の中に設置されていた。；フロリダ州のインディアン川などで、淡水に入ることも報告されている。；湖の怪物とは、淡水の湖に生息するとされる未発見の大型生物の総称。；ただし他の淡水性甲殻類と同様に寄生虫の危険があり、生食はされない。；多くは海に生育するが、淡水やナマケモノ体毛上からも報告されている。；また、淡水生の種類はいないこと、幼生期が長いことなども区別点となる。；これまでは主に海洋環境で研究されてきたが、淡水中でも見られる。；またギリシャやエストニアには海から遠く淡水のみで生活するものもある。；他にも日本国内で唯一の淡水性の蛇であるキクザトサワヘビなどが分布する。；全国的には、淡水に生息するハゼ類がゴリと呼ばれる場合が比較的多い。；世界の河川は淡水産動物の水族館で7つのエリアで構成されている。；ほぼすべてが淡水産であるが、ごく一部に汽水域に進出する種類が知られる。；水中生活をする種も多くは淡水産のもので、海産の種はさらに少ない。；基本的には陸上生活をするが、少ないながら淡水中に生育するものもいる。；この場合は、淡水の流量や生態系の変化などを総合的に判断して決定される。；このため、淡水化事業、ダム水利権など多くの問題が発生することとなる。；ほとんどは海洋性であるが、一部には淡水環境で生きるものもある。；地球上の水域に広く分布し、ほとんどが淡水で生活するものである。；淡水であれば、どのような環境であれ何かしらの水生昆虫が生活している。；ただし海鳥はまったくおらず、淡水性の水鳥も数属がいるのみである。；橋には、本土からエーランド島へ淡水を送水する機能も設けられている。</t>
        </is>
      </c>
      <c r="J5262">
        <f>HYPERLINK("https://www.weblio.jp/content/淡水", "词义详情")</f>
        <v/>
      </c>
      <c r="K5262">
        <f>HYPERLINK("https://yourei.jp/淡水", "查看例句")</f>
        <v/>
      </c>
    </row>
    <row r="5263">
      <c r="A5263" t="inlineStr">
        <is>
          <t>断水</t>
        </is>
      </c>
      <c r="B5263" t="inlineStr">
        <is>
          <t>成功</t>
        </is>
      </c>
      <c r="C5263" t="inlineStr">
        <is>
          <t>読み方：だんすい
［名］(スル)水道の給水が止まること。また、水道の給水を止めること。「夜間—する」</t>
        </is>
      </c>
      <c r="D5263" t="inlineStr">
        <is>
          <t>断水工法；断水状態；断水坊</t>
        </is>
      </c>
      <c r="F5263" t="inlineStr">
        <is>
          <t>不断水；断食断水</t>
        </is>
      </c>
      <c r="H5263" t="n">
        <v>29</v>
      </c>
      <c r="I5263" t="inlineStr">
        <is>
          <t>このへん一帯断水しているため、小半里もある銭湯を探してそこへゆく。；しかしながら1993年度を最後に渇水による断水は実施されていない。；演奏する前に『断水です』とか言っちゃったらみんな帰っちゃったんですよ。；この一帯が断水していると伝えられるなか、異様な光景にほかならなかった。；かつては電力も水道も供給が不安定で、停電や断水が頻繁に起きていた。；貯水量の基準がさらに下がった場合、断水という措置になる場合もある。；この断水は数時間程度で発生する場合もあるので、停電時は水の使い過ぎにも注意したい。；断水はまだいつまで続くかわからないそうである。；水道は断水しているため、身体の泥を落とすこともできなかった。；約1か月たった5月14日時点でも熊本県の約2700戸で断水していた。；そのため、夏季には断水して休眠状態で日陰に置くほうが無難である。；神さまがおこって断水にしたんだろって、そういってたじゃないか。；多くの新聞はこれと断水とをいっしょにして市当局の責任を問うような口調を漏らしていた。；北九州市は遠賀川の豊富な水源を確保していたため断水の恐れは少ないと考えられていた。；断水中の水道管のような音さえしていなかったら、とても人間がひそんでいるとは思えない。；これによって断水は少なくなったが、自然保護の観点からは様々な問題が指摘される。；東京市民は停電にも困ったが、さし当り断水に閉口しているのだ。；英軍司令官パーシヴァル中将は降伏の原因は断水にあると語っている。；このためダムを水源とする姫路市では8月22日から夜間断水が始められた。；夕方から順次、断水地域に給水車を小学校などの各地域に配備した。；今年の夏は断水の憂き目も見ず、橙子さん好みの悲惨な話題といったらそれしかない。；また、爆発地点に水道管が通っていたために断水が発生し、給水車が出動した。；もちろん、停電とか断水などのお知らせもここに出るので、目につかなくては困る。；また火力発電所や送電網が被害を受けて大規模な停電が発生し、断水も発生した。；ひんぱんに起きる断水と、水を得るためのポイントについての情報が掲載されている。；断水の原因としては、以下のようなものが挙げられる。；千葉県内で一時断水したほか、東京都内では一部水道水が濁る事態も発生した。；停電や断水が解決しない中、次第に、この建物全体をセックスと暴力が支配していく。；全面的かつ長期間に及ぶ停電と断水が発生することが予想され、何週間も続く場合がある。</t>
        </is>
      </c>
      <c r="J5263">
        <f>HYPERLINK("https://www.weblio.jp/content/断水", "词义详情")</f>
        <v/>
      </c>
      <c r="K5263">
        <f>HYPERLINK("https://yourei.jp/断水", "查看例句")</f>
        <v/>
      </c>
    </row>
    <row r="5264">
      <c r="A5264" t="inlineStr">
        <is>
          <t>男性</t>
        </is>
      </c>
      <c r="B5264" t="inlineStr">
        <is>
          <t>成功</t>
        </is>
      </c>
      <c r="C5264" t="inlineStr">
        <is>
          <t>読み方：だんせい
１おとこ。男子。一般に成年の男子をいう。⇔女性。
２インド‐ヨーロッパ語系の文法で、名詞・代名詞・形容詞などの性の区別の一。女性・中性に対する。</t>
        </is>
      </c>
      <c r="D5264" t="inlineStr">
        <is>
          <t>男性総合格闘家(2%)；男性フィギュアスケート選手；男性用；男性たち；男性プロレスラー</t>
        </is>
      </c>
      <c r="E5264" t="inlineStr">
        <is>
          <t>男；男子；紳士；ガイ；丁年</t>
        </is>
      </c>
      <c r="F5264" t="inlineStr">
        <is>
          <t>若い男性；男性同士；男性側；男性元；黒人男性</t>
        </is>
      </c>
      <c r="G5264" t="inlineStr">
        <is>
          <t>男性名；男性俳優；男性器；男性向け；男性アイドルグループ</t>
        </is>
      </c>
      <c r="H5264" t="n">
        <v>29</v>
      </c>
      <c r="I5264" t="inlineStr">
        <is>
          <t>場所によっては男性が女性の代わりに料理などの家事を行う日とされる。；やがて肉体は女性でも自身を男性として愛してくれる女性と同棲に至る。；男性と女性では刺激を受けている際の脳の変化に違いが認められた。；彼は診断結果を公表し、他の男性に前立腺検査を受けるように希望した。；左から3人の男性のうち1人がルノワールではないかと考えられている。；これらは語源的には男性を意味する語だが、男女を問わず使うことが多い。；西洋の文学では、男性が男性に恋する気持ちも表現されてきた歴史がある。；政治は男性中心で、女性議員はこれまで数えるほどしか当選していない。；元々のインチは、男性の親指の幅に由来する身体尺だったとされている。；また、上記のような男性に求められる役割を見直す動きも生まれつつある。；男女が行う場合は、身長が女性より高いであろう男性が傘を持ち構える。；教会のリーダーは男性であるべきと主張し、結婚は苦難を招くと説いた。；双系制社会でも男性が指導権を握っていることに変わりはなかった。；また、男性用の貞操帯は陰茎を覆うための特殊な構造をもつ場合がある。；女性、男性を問わず幅広いファンに、時代を超えて今も支持されています。；男性は、問題解決を目的とした機能的な情報伝達を上から下へ行っている。；このゲーム中の男性は、ゲストに女性と思わせるのが目的となる。；これにより男性本位との批判が起こったことが関係しているとの見解もある。；日本企業は、結婚した男性は独身男性よりも一人前であると考えている。；現在でもその多くが一定区域までしか男性の進入を認めていない。；男女共に命名されるユニセックスな名前ではあるが、男性の方がかなり多い。；たとえば女性的な男性がすなわち性同一性が女性というものではない。；これに対してプラークリットは婦人・子供・地位の低い男性が用いた。；例えば、女性は自分のことを述べる頻度が男性よりも多いとされる。；男性恐怖症とは対人恐怖の現れのひとつで、恐怖対象が男性であるもの。；多くの男性と同じく私も同性愛経験があるし、恥ずかしく思ってもいない。；初期のフランスとスペインの植民地人は主に男性だった。；人間を馬として扱うのがポニープレイであり、まれに男性の場合もある。；運転関係社員は前述の男性用制服と同じ紺色の制服を着用する。</t>
        </is>
      </c>
      <c r="J5264">
        <f>HYPERLINK("https://www.weblio.jp/content/男性", "词义详情")</f>
        <v/>
      </c>
      <c r="K5264">
        <f>HYPERLINK("https://yourei.jp/男性", "查看例句")</f>
        <v/>
      </c>
    </row>
    <row r="5265">
      <c r="A5265" t="inlineStr">
        <is>
          <t>断然</t>
        </is>
      </c>
      <c r="B5265" t="inlineStr">
        <is>
          <t>成功</t>
        </is>
      </c>
      <c r="C5265" t="inlineStr">
        <is>
          <t>読み方：だんぜん
［ト・タル］［文］［形動タリ］態度のきっぱりとしているさま。また、最後まで押しきって物事をやり遂げるさま。
「政府はナゼ—たる政略を施されんのか」〈鉄腸・花間鶯〉
［副］
１きっぱりと心を決めるさま。「私は—反対だ」
２（あとに打消しの語を伴って）決して。絶対に。「—認めない」
３ずばぬけて。なみはずれて。「—彼がトップだ」</t>
        </is>
      </c>
      <c r="D5265" t="inlineStr">
        <is>
          <t>断然多い；断然早い；断然速い；断然ちがう；断然やめ</t>
        </is>
      </c>
      <c r="E5265" t="inlineStr">
        <is>
          <t>まったく；全く；完全に；すっかり；確かに</t>
        </is>
      </c>
      <c r="F5265" t="inlineStr">
        <is>
          <t>方が断然；もう断然；比べて断然</t>
        </is>
      </c>
      <c r="G5265" t="inlineStr">
        <is>
          <t>断然と</t>
        </is>
      </c>
      <c r="H5265" t="n">
        <v>29</v>
      </c>
      <c r="I5265" t="inlineStr">
        <is>
          <t>そしてこの際、断然結婚することにしたがよいと思うと二人は約束した。；普段はまったく使われていない部屋の方が、きっと断然多いに違いない。；結婚以前の恋愛詩を断然差押えて出版させなかったのも、彼女であった。；だが女の子ふたりと男の子ひとりが断然この車室を占領していた。；エンターの実力はこれ等の馬の中では断然一位ではあるかも知れない。；しかしついに意を決して、断然ルビコンの川を渡ってローマに殺到した。；君の眼は僕のと同じように燃えることができる、断然できる、僕は見たぞ!；断然、その方がよい、と彼は思い定め、気分を軽くしようと努力した。；そんな点が西行の人気を断然他の歌人よりも高いものにしたのであるらしい。；御出現の場所はそれでもカトリック教会の本拠地イタリアが断然多い。；けれども我藩の使者は幕府の指令もあるから、この盟約は断然謝絶した。；亘が聞いている限りでは、一対十くらいの割合で邦子の方が断然優勢だ。；女も好きだったが、もう十年この方断然そして全然女に接しないと自ら言っていた。；自分も断然アンがわるくないと思うし、生徒全部がそう思ってるってね。；このまま矢のやり取りを続けるのならば、砦に拠った敵が断然有利である。；場末の店にしては粒の揃っているほうだが、眼の前にいる人が断然美しい。；よい人間とは協力すべきだけど、悪い奴らとは断然手を切ってよいのでしょう?；でまた私としては、この考え方はたしかに断然正しいことだと思っています。；実際の数字の上でキャーリサ側が断然有利である事など関係ない。；ぼくは緑のなかよりも雑多な店のなかを走るほうが断然好きだ。；殊に農民文化と云ふに至つては、断然無いと云はなければならぬと思ひます。；それがいいと思うならどの県も断然実行して見ることだ。；行くえを失ってもあきらめがすぐつくものならよいが、それは断然不可能である。；あなたが犯人でありながら、ぼくに嘘をつくのなら、断然おことわりです。；「あたしは断然市場が見たいのよ」 オルークは間髪を入れずに答えた。；断然この希望をなげうってしまうかとも思ったがその時思い当たッたのは君の事だ。；しこたまとって私のところに持ってくるものは、断然ヨメナではない。；首になりたくないのは、今も昔も同じことで、これは断然ナンセンスではない。；この間はどこをどんな具合に通ったか、まあ断然知らないと云った方が穏当だろう。</t>
        </is>
      </c>
      <c r="J5265">
        <f>HYPERLINK("https://www.weblio.jp/content/断然", "词义详情")</f>
        <v/>
      </c>
      <c r="K5265">
        <f>HYPERLINK("https://yourei.jp/断然", "查看例句")</f>
        <v/>
      </c>
    </row>
    <row r="5266">
      <c r="A5266" t="inlineStr">
        <is>
          <t>炭素</t>
        </is>
      </c>
      <c r="B5266" t="inlineStr">
        <is>
          <t>成功</t>
        </is>
      </c>
      <c r="C5266" t="inlineStr">
        <is>
          <t>読み方：たんそ
炭素族元素の一。無定形炭素・石墨（黒鉛）・ダイヤモンドの3種の同素体がある。融点・沸点が高く、水や溶剤に不溶。燃焼すると二酸化炭素になる。同位体のうち質量数12の炭素は原子量の基準とされる。元素記号C原子番号6。原子量12.01。カーボン。</t>
        </is>
      </c>
      <c r="D5266" t="inlineStr">
        <is>
          <t>炭素数(5%)；炭素源(3%)；炭素指数(2%)；炭素量；炭素結合</t>
        </is>
      </c>
      <c r="E5266" t="inlineStr">
        <is>
          <t>カーボン</t>
        </is>
      </c>
      <c r="F5266" t="inlineStr">
        <is>
          <t>低炭素；経済炭素；脱炭素；炭素経済；炭素化</t>
        </is>
      </c>
      <c r="G5266" t="inlineStr">
        <is>
          <t>炭素繊維；炭素年代測定；炭素鋼；炭素化合物；炭素繊維強化プラスチック</t>
        </is>
      </c>
      <c r="H5266" t="n">
        <v>29</v>
      </c>
      <c r="I5266" t="inlineStr">
        <is>
          <t>テミス族の一つであり、主に炭素から構成されていると考えられている。；地球上の生命の化学成分を分析すると、炭素を中心にしたものであった。；そのため、この反応によって炭素が作られるためには長い時間がかかる。；炭素中心間の結合は、一般的に曲がった結合の観点から描写されている。；放射性炭素年代を解釈する上で鍵となる概念は考古学でいう共伴である。；これにより炭素は星のなかで無尽蔵に作られる性質があることが判った。；後者は、重い有機化合物を含む炭素質の物質や岩石であると考えられる。；合金元素の影響の大きさはそれぞれの成分の炭素当量を使って計算する。；ビッグバン後の元素合成で炭素が全く合成されなかった理由はここにある。；より最近の分類は炭素骨格の類似性あるいは生成前駆体に基づいている。；その他、炭素には半減期が非常に短い15種類の同位体が知られている。；一般に興味が持たれている物品に放射性炭素年代分析が行われることもある。；低炭素経済は経済システムを重視した概念であるが、基本的には同じである。；これは、全ての炭素同士の結合が等価になっていることを意味する。；地下水も岩石の間を流れることで岩石由来の炭素を取り込むことがある。；そこで炭素処理を施した厚紙を使ったが最終的には竹を使用することになった。；理論上は炭素以外の物質を元とした生物も考えられうる。；従属栄養生物は独立栄養生物またはその生産物を炭素源として利用する。；材質に金属ではなく、炭素繊維強化炭素とすることも研究されている。；はその研究所の同定結果を放射性炭素年代の値で表したものである。；この炭素は反応性が高く周囲の物質と化学反応を起こして安定した状態になろうとする。；これは炭素の持つ原子価が4つであり、多様な結合が可能であるからである。；この反応ではベンゼン環に隣接する水素-炭素間の結合が攻撃される。；やがて核の温度と圧力は上昇し、ヘリウムが炭素に変わる核融合が始まる。；今でも炭素鋼製の刃も使われており、以前に比べればかなり進歩している。；これは、酸素原子が炭素より陰性で多重結合を形成しやすいからである。；炭素数が奇数のものよりも分解しやすいため、彼らは偶数個のものを好む。；酸化銅は高温で炭素と反応させると酸素が奪われて元の銅に変化する。；炭素分の多い物質で、ミミズの自然界での生息地である枯葉に相当する。</t>
        </is>
      </c>
      <c r="J5266">
        <f>HYPERLINK("https://www.weblio.jp/content/炭素", "词义详情")</f>
        <v/>
      </c>
      <c r="K5266">
        <f>HYPERLINK("https://yourei.jp/炭素", "查看例句")</f>
        <v/>
      </c>
    </row>
    <row r="5267">
      <c r="A5267" t="inlineStr">
        <is>
          <t>短大</t>
        </is>
      </c>
      <c r="B5267" t="inlineStr">
        <is>
          <t>成功</t>
        </is>
      </c>
      <c r="C5267" t="inlineStr">
        <is>
          <t>読み方：たんだい
「短期大学」の略。</t>
        </is>
      </c>
      <c r="D5267" t="inlineStr">
        <is>
          <t>短大時代(6%)；短大在学中(2%)；短大進学；短大出；短大教授</t>
        </is>
      </c>
      <c r="F5267" t="inlineStr">
        <is>
          <t>同短大；単科短大；看護短大；東横短大；私立短大</t>
        </is>
      </c>
      <c r="G5267" t="inlineStr">
        <is>
          <t>短大生；短大部</t>
        </is>
      </c>
      <c r="H5267" t="n">
        <v>29</v>
      </c>
      <c r="I5267" t="inlineStr">
        <is>
          <t>短大を出てから3年間住んだ部屋には、もう戻ってこないつもりでいた。；短大を卒業するとすぐに結婚したので、八歳になる男の子がいるという。；西女短大の広告研究会といっていたから、ほぼ間違いないはずだった。；女子短大出の二人のうち一人は彼の妻で、もう一人は大阪の刑事の妻である。；短大時代は仲良しグループがあっただけで緊張とも興奮とも無縁だった。；神戸に着いてすぐ、戦前に中原順子が通って卒業した短大へいってみた。；彼は、英語を使用したセント・ジョセフ校へ小学校から短大まで通った。；千花のまわりには出た者などひとりもいない、二流の女子短大を出ていた。；地元の短大を卒業後、声優になる為に上京し芸能プロダクションに所属。；そう思って集まった短大の仲間たちは一人、また一人と抜けていった。；短大を卒業したばかりの彼女は、まるで高卒の女の子のように見えました。；神学校図書館などは規模は短大図書館並みの規模を誇るのが普通である。；同短大には当時勤労学生を対象とした夜間コースしかおかれていなかった。；三香子は、短大に入るために東京へ出て来て、それから東京住いである。；短大を出てすぐに結婚してしまったので、就職の経験は全くなかった。；両親は娘が普通の短大に進むことを希望していたが、その反対を押し切った。；誠六は聖母短大の近くの青葉アパートの二階二〇七号室に姿を消した。；美保子が短大を卒業したらすぐに、ふたりは結婚することになっていたのだ。；外に出たのは、短大に行った二年間、高知市に下宿していた時だけです。；スポーツも盛んであり、一般の短大と同じカンファレンスに加盟している。；高校卒業後、わたしは短大の寮に入るために、家を出ることになった。；ご本人は刑務所の近くにある短大でピアノを教えている方だった。；短大に進学したが、当時は他の四年制大学への編入を目指していた。；短大を出てすぐ職場結婚した寛子であったから、男は夫しか知らない。；川村麗子が高校を卒業してから、東京の短大に行ったことは噂で聞いていた。；短大在学中、将来への不安などからやさぐれていた時期もあるという。；トリオ名は、短大の中で専修大学に編入学するコースの名称から取った。；この学科体制および呼称名は全国の短大でも珍しい例だといえる。；地元の短大を卒業して上京した私は、藤沢にある自動車工場に就職しました。</t>
        </is>
      </c>
      <c r="J5267">
        <f>HYPERLINK("https://www.weblio.jp/content/短大", "词义详情")</f>
        <v/>
      </c>
      <c r="K5267">
        <f>HYPERLINK("https://yourei.jp/短大", "查看例句")</f>
        <v/>
      </c>
    </row>
    <row r="5268">
      <c r="A5268" t="inlineStr">
        <is>
          <t>団体</t>
        </is>
      </c>
      <c r="B5268" t="inlineStr">
        <is>
          <t>成功</t>
        </is>
      </c>
      <c r="C5268" t="inlineStr">
        <is>
          <t>読み方：だんたい
１ある目的のために、人々が集まって一つのまとまりとなったもの。「—で見学する」「—旅行」「—割引」
２二人以上の者が共同の目的を達成するために結合した集団。法人・政党など。「政治—」「宗教—」
３「団体競技」「団体戦」の略。→個人3</t>
        </is>
      </c>
      <c r="D5268" t="inlineStr">
        <is>
          <t>団体客；団体名；団体等；団体優勝；団体長</t>
        </is>
      </c>
      <c r="E5268" t="inlineStr">
        <is>
          <t>会；組織；クラブ；協会；機構</t>
        </is>
      </c>
      <c r="F5268" t="inlineStr">
        <is>
          <t>関連団体；各団体；他団体；加盟団体；関係団体</t>
        </is>
      </c>
      <c r="G5268" t="inlineStr">
        <is>
          <t>団体旅行；団体交渉；団体列車；団体競技；団体専用列車</t>
        </is>
      </c>
      <c r="H5268" t="n">
        <v>29</v>
      </c>
      <c r="I5268" t="inlineStr">
        <is>
          <t>他のノーベル賞と異なり、団体も授与対象となっているのが特徴である。；自治団体には地方議会が編成され、自治体の長を議会が選出するとした。；記念日を制定するのにこれらの団体の認定を受ける必要も義務もない。；古い時代の刑法では結果的責任及び団体的責任の観念が支配的であった。；また観光シーズンには琵琶湖一周列車が団体貸切の形で運転されている。；また、標章を使用できるのは法律で定められた組織・団体に限られる。；プロの吹奏楽団のみならず教育団体・一般団体からの委嘱作品も存在する。；この団体がシュルレアリスムの影響を受けた画家たちの一大拠点となった。；ヒューストンは文化・芸術活動を行う団体・施設を200以上有している。；日本もサクソルン属で吹奏楽を構成しようとしている演奏団体が存在する。；その後も続々と多くの国がこの精神に賛同して救護団体を設立していった。；統一された明確な定義は無く団体や機関による様々な定義がある。；また、アメリカの個人や団体が日本の暴力団と取引を行うことは禁止される。；業団体の意思の統一が図られることが、現状ではかなり難しいと思われる。；国内団体の選手には日本のプロレス団体に所属している外国籍の選手を含む。；WFCに加盟する日本の代表団体は日本カイロプラクターズ協会である。；「アウトバーン」の名称は1929年にこの団体が作成したものである。；教会教会とは、共通の信仰によって形成される集団・団体や社会のことである。；企業や団体などの組織を象徴する色をコーポレートカラーと言う。；司法書士は前述の通り団体としての活動も資格業の中では一番積極的と言える。；管理団体が指定されている例としては次のようなものがある。；実際のプロジェクト実施は、多くの組織や団体、機関などとの連携で行われる。；山を対象にした画・写真などの作家団体が存在する。；それに関連して武道団体の公職追放が起き武道は廃止の危機となった。；現在これらの意味での「アメニティ」を用いる企業・団体等も少なくない。；この会議に出席した諸政府は赤十字団体の活動を認める条約に署名したのである。；これは国境を越えた都市の生活・文化団体として設立された。；ビール列車やミステリー列車などの団体・イベント列車も運行された。；従って公共性が高い団体・組織によって供され運営されることが多い。</t>
        </is>
      </c>
      <c r="J5268">
        <f>HYPERLINK("https://www.weblio.jp/content/団体", "词义详情")</f>
        <v/>
      </c>
      <c r="K5268">
        <f>HYPERLINK("https://yourei.jp/団体", "查看例句")</f>
        <v/>
      </c>
    </row>
    <row r="5269">
      <c r="A5269" t="inlineStr">
        <is>
          <t>だんだん</t>
        </is>
      </c>
      <c r="B5269" t="inlineStr">
        <is>
          <t>成功</t>
        </is>
      </c>
      <c r="C5269" t="inlineStr">
        <is>
          <t>読み方：だんだん
［ト・タル］［文］［形動タリ］
１形の丸いさま。
「むら躑躅(つつじ)が—と紅白の模様を青い中に印していたのが」〈漱石・それから〉
２露が多く集まっているさま。「露—」
「其滴露となりて—たるを知り」〈西周・明六雑誌二二〉</t>
        </is>
      </c>
      <c r="D5269" t="inlineStr">
        <is>
          <t>だんだん大きく(2%)；だんだん近づい；だんだん小さく；だんだん強く；だんだん高く</t>
        </is>
      </c>
      <c r="F5269" t="inlineStr">
        <is>
          <t>だんだん悪く；だんだん少なく；だんだん濃く；だんだん低く；そのうちだんだん</t>
        </is>
      </c>
      <c r="G5269" t="inlineStr">
        <is>
          <t>だんだん畑；だんだんバス；だんだんこ；だんだんと</t>
        </is>
      </c>
      <c r="H5269" t="n">
        <v>29</v>
      </c>
      <c r="I5269" t="inlineStr">
        <is>
          <t>英語を教えられた子供たちは、だんだんと自分たちのことを話し始めた。；フーリエは、個人はその多くの生涯の間にだんだんと向上すると考えた。；前方に向かうに従い歯は徐々に大きさを増し、だんだん前を向いていく。；そこがこの頃になつて見ると、だんだんあいつの気になり出したんだ。；だんだん近づくにしたがって村の変わったようすが目にはいって来た。；それは室内の煙が壁の大きな穴から、だんだんと外に出ていったためである。；環礁は黒潮の流れに乗って、だんだん日本に近づいていると考えられた。；ほんわかした中で生活していたのが、だんだん崩壊しつつあったんですね。；だが、家族はだんだん彼の心が自分達を離れて行くのを感じ出した。；明るい生活がだんだんと、彼の心を正しい道にひき戻していったのだった。；その中の一羽は翼の力がおとろえて、だんだん下へ沈んで行きました。；そうすれば、あの男のいやな処だって、だんだんに許せるようになるよ。；やがてからだはだんだんおりてきて、タンポポの林の中に足がついた。；この間、イギリスの国内世論もだんだんトルコに同情的になっていった。；始めのうちは声が小さかったがだんだん大きくなって数もふえて来た。；それが気のせいかさっきよりは、だんだん高くなるようでもあった。；それからだんだん年が若くなり、今ではこんな子どもになったのだよ。；そのときはもう日がすっかり傾いて、あたりはだんだん暗くなっていった。；つまり夜が夜明けになって昼間になって来るように、だんだん明るくなる。；手術は成功したように思われたが、だんだんと違和感を覚えはじめる。；少年の書く詩はだんだん恋愛の素材が増えたが、まだ恋をしたことはなかった。；僕は善い加減な返事をしながら、だんだんこの散歩を苦にし出しました。；男のお友達にも、それから女のお友達にも、だんだん軽蔑されてきました。；裸者の身を切るようなつらさはないが、だんだん世の中が変に感じて来た。；ムーアは古典的な考え方をだんだん不快に感じるようになっていった。；それ以来、だんだんあとになると、彼の文章が消えて行くのではないですか。；そして記憶はだんだんと過去から現在のほうに近づいて来た。；K中尉はだんだん不安になり、何か彼のために言ってやりたいのを感じた。；毎日来ていた愛子の足は二日おきになり三日おきになりだんだん遠ざかった。</t>
        </is>
      </c>
      <c r="J5269">
        <f>HYPERLINK("https://www.weblio.jp/content/だんだん", "词义详情")</f>
        <v/>
      </c>
      <c r="K5269">
        <f>HYPERLINK("https://yourei.jp/だんだん", "查看例句")</f>
        <v/>
      </c>
    </row>
    <row r="5270">
      <c r="A5270" t="inlineStr">
        <is>
          <t>探知</t>
        </is>
      </c>
      <c r="B5270" t="inlineStr">
        <is>
          <t>成功</t>
        </is>
      </c>
      <c r="C5270" t="inlineStr">
        <is>
          <t>読み方：たんち
［名］(スル)隠されているものをさぐって知ること。「敵の動向を—する」「金属—機」</t>
        </is>
      </c>
      <c r="D5270" t="inlineStr">
        <is>
          <t>探知機(9%)；探知する(8%)；探知器(7%)；探知装置(6%)；探知距離(5%)</t>
        </is>
      </c>
      <c r="E5270" t="inlineStr">
        <is>
          <t>発見；わかる；検出；見つける；感知</t>
        </is>
      </c>
      <c r="F5270" t="inlineStr">
        <is>
          <t>方向探知；レーダー探知；赤外線探知；探知用；最大探知</t>
        </is>
      </c>
      <c r="G5270" t="inlineStr">
        <is>
          <t>探知剤</t>
        </is>
      </c>
      <c r="H5270" t="n">
        <v>29</v>
      </c>
      <c r="I5270" t="inlineStr">
        <is>
          <t>このとき、搭載機はレーダー探知されたが、攻撃されることはなかった。；隠密性の高い潜水艦を探知し攻撃するのはやはり潜水艦が有利だからである。；同レーダーが潜望鏡探知能力を持つ最新型であるかどうかは不明である。；特に地球侵攻艦隊の探知は、敵の全貌を知る上で重要な情報となった。；また艦が大型化することで敵に探知されやすくなるし、取り回しも難しい。；英国が最初に航空機の探知に成功したのは1935年のことである。；これにより探知時の静と発見後の動の対比が恐怖を大きく演出している。；とは、犬の優れた嗅覚を利用して麻薬を探知する訓練が行われた犬である。；集められたスクラップは使用前に成分検査や放射能探知検査が行われる。；このため、探知距離はおそらく8km程度であろうと推測されている。；狙撃前探知の実用化はもし適ったとしてもかなり先の話となるであろう。；以上のシステムは狙撃後探知であり、敵に一撃を許した後の話になる。；これらの攻撃を探知し防御することも空軍の重要な任務となった。；金属探知機とは、電磁誘導を利用して金属の有無を探知する機器である。；また潜水艦を探知し攻撃する機能を備えた対潜哨戒機が生まれた。；精霊回廊接続への適性は低く魔法を使うことは出来ないが探知は可能。；同様に信濃側も探知し、阿部艦長は乗組員に警戒するよう通達を出した。；優れた方向探知が可能となり、ある程度の形を見分けることさえ可能になった。；潜水艦対策用には、爆雷やす号探知機と呼ばれたソナーも積んでいる。；大型の耳介は獲物の位置を探知したり、放熱に役立つと考えられている。；レーダーに探知されない機体の開発が進んで現代のステルス機の基礎となった。；深夜、互いの部隊が相手を探知したことからルンガ沖夜戦が始まった。；今回もまた新たに、惑星探知機が地球に似た星を発見した。；なお、輸出用廉価版は、赤外線探知機のみを搭載することも可能である。；事件や事故が起こることを探知し、前もって知ることができる機械。；レーダーで敵地上部隊を探知、識別し、味方地上部隊を指揮・管制する。；しかしこれは、スピーカーに用いる際には能動型探知方式を意味する。；第一次世界大戦の際、彼は音響式の電波発信源探知機の原理を確立した。；騒音を巨大な耳で探知して空中を飛行し、騒音地帯に移動して音を捕食する。</t>
        </is>
      </c>
      <c r="J5270">
        <f>HYPERLINK("https://www.weblio.jp/content/探知", "词义详情")</f>
        <v/>
      </c>
      <c r="K5270">
        <f>HYPERLINK("https://yourei.jp/探知", "查看例句")</f>
        <v/>
      </c>
    </row>
    <row r="5271">
      <c r="A5271" t="inlineStr">
        <is>
          <t>団地</t>
        </is>
      </c>
      <c r="B5271" t="inlineStr">
        <is>
          <t>成功</t>
        </is>
      </c>
      <c r="C5271" t="inlineStr">
        <is>
          <t>読み方：だんち
住宅を計画的、集団的に建てた区域。また、それに似た体裁で集団的に開発された工場・倉庫などの区域。工業団地・流通団地など。</t>
        </is>
      </c>
      <c r="D5271" t="inlineStr">
        <is>
          <t>団地内(5%)；団地線(2%)；団地方面；団地入口；団地群</t>
        </is>
      </c>
      <c r="F5271" t="inlineStr">
        <is>
          <t>産業団地；大規模団地；台団地；当団地；第二団地</t>
        </is>
      </c>
      <c r="G5271" t="inlineStr">
        <is>
          <t>団地造成；団地妻；団地間；団地設計；団地交通</t>
        </is>
      </c>
      <c r="H5271" t="n">
        <v>29</v>
      </c>
      <c r="I5271" t="inlineStr">
        <is>
          <t>駅設置の際、星置団地と隣接していることと住民の要望から命名された。；過去には一部団地など多客路線を持つ営業所には長尺車の導入もあった。；また多くの団地には敷地・建物内に管理事務所が設けられている。；それまで住んでいた団地から、近くと思われる一軒家に引っ越している。；ほかの工業団地とは異なり、緑が多く働きやすい環境となっている。；昭和40年代に松本市総合団地ができ中南信地区の流通の拠点となった。；丘陵地や田園を開発した工業団地が多く、本拠を置く企業や工場が多い。；ただし最近はいくつかの工業団地が栄えサウジ政府も力を入れている。；駅北側が開発され、現在は団地となり住宅が多く建てられている。；団地のシンボルとしてフクロウを基にしたキャラクターが使われている。；周辺は永山地区や戸頭団地をはじめ住宅が多いが、南側は比較的少ない。；知立市の知立団地同様に外国人の居住率の高い団地として知られている。；モデル団地に続いて、第1段階の残りに対する分譲が行われつつあった。；そのため近年では県外の工業団地に移転する企業が相次いでいる。；町の中心部は住宅地と商業地だが、周囲を工業団地に囲まれている。；駅から少し離れた西側を国道が通り、その西側には工業団地がある。；その後も新たな雇用の場として企業などの誘致に工業団地を整備した。；工業地域を通る道路や工業団地と埠頭を結ぶ目的を持って作られた道路を指す。；団地は小高い丘の上に段状となっており、外から来ると団地内は上り坂となる。；駅周辺はやや広い開けた土地であり、住宅や団地、企業の事業所などがある。；この時期には鉄道駅と団地を結ぶバス路線も次々開設された。；高台には被災者向けに「仁田団地」のような住宅地が新たに造成された。；背後地域は大規模な工業団地があり、700社を超える企業が立地している。；駅南東側には工業団地があり、流通倉庫や印刷機の製造工場などが建つ。；駅周辺部は当駅の開設後の昭和30年代に建設が進められた団地が広がっている。；久米川に沿って進み、右手に久米工業団地が見えると美作千代駅である。；最初の路線は高洲第一団地線であり、同年中に検見川線の運行も開始している。；このほか、早朝にのみ団地南側の一街区を経由する便が運行される。；駅北側には中学校・運動公園・工業団地があるが、いずれも駅からやや離れた所にある。</t>
        </is>
      </c>
      <c r="J5271">
        <f>HYPERLINK("https://www.weblio.jp/content/団地", "词义详情")</f>
        <v/>
      </c>
      <c r="K5271">
        <f>HYPERLINK("https://yourei.jp/団地", "查看例句")</f>
        <v/>
      </c>
    </row>
    <row r="5272">
      <c r="A5272" t="inlineStr">
        <is>
          <t>単調</t>
        </is>
      </c>
      <c r="B5272" t="inlineStr">
        <is>
          <t>成功</t>
        </is>
      </c>
      <c r="C5272" t="inlineStr">
        <is>
          <t>読み方：たんちょう
［名・形動］変化に乏しく、一本調子であること。また、そのさま。「—な毎日」「—なリズム」
[派生]たんちょうさ［名］</t>
        </is>
      </c>
      <c r="D5272" t="inlineStr">
        <is>
          <t>単調な生活(3%)；単調な音(2%)；単調な声；単調な仕事；単調な作業</t>
        </is>
      </c>
      <c r="E5272" t="inlineStr">
        <is>
          <t>均一；フラット；一律；平板；単調さ</t>
        </is>
      </c>
      <c r="F5272" t="inlineStr">
        <is>
          <t>ひどく単調；単調きわまる；単調かつ；長い単調；単調無味</t>
        </is>
      </c>
      <c r="G5272" t="inlineStr">
        <is>
          <t>単調減少；単調性；単調増大；単調増加関数；単調写像</t>
        </is>
      </c>
      <c r="H5272" t="n">
        <v>29</v>
      </c>
      <c r="I5272" t="inlineStr">
        <is>
          <t>物語のあらすじは基本的に単調で、最後に落ちがつく形式をとっている。；ただ自分の職業からくる単調さが時々私を憂鬱にした位なものでした。；この少女は、単調な仕事もほかの連中ほど気にかけるふうはなかった。；行けども行けども、どこまで行っても単調な同じ地形ばかりであった。；そして、そのことのなかに彼女の青春の現実の単調さが訴えられている。；汽車は私たちの気持を少しも知らぬ気に相変らず単調な音をたてて走った。；話相手になる友達は一人もなし毎日毎日単調無味な生活に苦しんで居た。；かりに桜のない春の国を私は想像して見ます、いかに単調でありましょう。；その類なき単調と巨大とが、どの様に不思議な美しさを醸し出していたか。；それは単調な旋律と単純な階音を持つ古い聖歌のようなものであった。；建築現場や仕事の後の生活は単調で、多くの人々が音を上げて去った。；この戦法では単調な攻めを回避すべく様々な手段が開発されている。；で、田楽は、あんな単調なものだが、あれでかなり発達したものなのだ。；公園の反対の側には単調な灰色や黄色に見える高い家が並んでいる。；その単調な言葉が落ちかかってくるのに私はだまって耳をかしていた。；単調な戦争中には見られなかった小さな変化が街の諸方に起っている。；大ホテルの快適な単調さの中では、他の客たちの目は自然に彼に集中した。；単調な機場の機の音は毎日のようにお三輪の針仕事する部屋まで聞えて来ていた。；そのようなワインはフレッシュな飲み口になり、香りは単調なものになる。；何の調律もないただ単調なだけのその音が、へんに十内の心に泌みた。；「貴官はわれわれを驚いて見ているな」 そのグリーンが単調にいった。；デザイナーのは、紙の上で魅力的とするには単調過ぎる、と述べている。；焦燥した考えは、単調な幻覚的な同じ悲嘆をいつまでも繰り返していた。；あたりは全くひっそりして、滴り落ちる雫だけが単調な音を立てていた。；単調なわが家の子供らの生活の内ではこれはかなりに重大な事件であったらしい。；ほの白く音は宙に上り、それぞれがかすかに単調な音色をかなでていた。；昔の仮名は正確ではあるが、融通がきかないで、変化の妙がなく単調だ。；音もなく灰色の単調な光景の中で、赤と青の服装をした人々が叫び声をあげた。；四つ壁に囲まれた単調な生活の息抜きになるし、散歩の距離も延長される。</t>
        </is>
      </c>
      <c r="J5272">
        <f>HYPERLINK("https://www.weblio.jp/content/単調", "词义详情")</f>
        <v/>
      </c>
      <c r="K5272">
        <f>HYPERLINK("https://yourei.jp/単調", "查看例句")</f>
        <v/>
      </c>
    </row>
    <row r="5273">
      <c r="A5273" t="inlineStr">
        <is>
          <t>探偵</t>
        </is>
      </c>
      <c r="B5273" t="inlineStr">
        <is>
          <t>成功</t>
        </is>
      </c>
      <c r="C5273" t="inlineStr">
        <is>
          <t>読み方：たんてい
［名］(スル)
１他人の行動・秘密などをひそかにさぐること。また、それを職業とする人。「一日の動きを—する」「私立—」
２敵の機密や内情をさぐること。また、その役目。スパイ。隠密(おんみつ)。密偵。「軍事—」
「幕府の—が甚だ恐ろしい」〈福沢・福翁自伝〉</t>
        </is>
      </c>
      <c r="D5273" t="inlineStr">
        <is>
          <t>探偵小僧(4%)；探偵作家；探偵団；探偵局；探偵さん</t>
        </is>
      </c>
      <c r="E5273" t="inlineStr">
        <is>
          <t>検出；私立探偵；でか；検波</t>
        </is>
      </c>
      <c r="F5273" t="inlineStr">
        <is>
          <t>帆村探偵；素人探偵；少年探偵；女探偵；下町探偵</t>
        </is>
      </c>
      <c r="G5273" t="inlineStr">
        <is>
          <t>探偵事務所；探偵役；探偵社；探偵小説家；探偵物語</t>
        </is>
      </c>
      <c r="H5273" t="n">
        <v>29</v>
      </c>
      <c r="I5273" t="inlineStr">
        <is>
          <t>危機を感じた探偵はすぐにその場を後にし、これまでの状況を整理し始める。；探偵を主人公にしたハードボイルド小説を中心に作品を発表している。；事務所内は六郎が収集している探偵グッズや推理小説が数多く存在する。；また、三人称によって主人公の探偵自身を描写することが可能になった。；その番組のほとんどは交換探偵と西部シリーズが含まれていた。；イージーは、今回の件で手に入れた金を元手に探偵業を始めることにする。；探偵活動の基礎技術をどこまで身につけているかについては不明確な部分もある。；探偵漫画ではあるが、超常現象を扱ったエピソードもあるのが特徴である。；探偵作家がどうしてあれを利用しないのか、やはりご存じないんでしょうね。；機械の体をもつ怪人が存在して悪さをする一方、怪人専門の探偵も存在する。；試験だけではなく実際の事件を解決した実績を持つ探偵。；探偵の友達であるマサコが全国のマジック大会で優勝の翌日死体で発見される。；ある日空から落ちてきて、貧乏探偵・シャフトに激突した少女・チッタ。；ピンカートンの探偵ジェイムズ・マクパーランドが暗殺の調査を行った。；小ネタ集やパラダイスなどでは、探偵自らが依頼文を読む場合もある。；数ヶ月前に閉鎖された「人形館」を夢界専門探偵・公司一茶が訪れる。；もともとは探偵物だったが、後に学園物にスイッチしている。；拳銃を所持した探偵が登場するので舞台は日本ではない模様。；近代以降の日本の歴史を昭和を中心に執筆し、「歴史探偵」を自称する。；そんな時代を象徴した探偵ドラマが最終回を迎えようとしていた!；探偵犬とは、嗅覚を使って人探しや動物探しなどを行うために訓練された犬のことである。；また女性探偵を登場させた最初期の一人としても知られる。；プリンス・ザレスキーは、イギリスの作家の作品に登場する架空の探偵。；また、作中に登場する探偵のように事件を解決する委員会のこと。；連作小説として、明治時代を舞台に探偵右京慎策の活躍する作品がある。；なお、法廷パートと探偵パートで伸びている前髪の向きが異なっている。；役員たちは探偵の石井率いる興信所を使って証拠の強奪をはかるが失敗。；趣味で行う者もいれば、探偵などの仕事で行う者もいる。；辛くも脱出した探偵は、このままでは済まさないと、調査を開始する。</t>
        </is>
      </c>
      <c r="J5273">
        <f>HYPERLINK("https://www.weblio.jp/content/探偵", "词义详情")</f>
        <v/>
      </c>
      <c r="K5273">
        <f>HYPERLINK("https://yourei.jp/探偵", "查看例句")</f>
        <v/>
      </c>
    </row>
    <row r="5274">
      <c r="A5274" t="inlineStr">
        <is>
          <t>断定</t>
        </is>
      </c>
      <c r="B5274" t="inlineStr">
        <is>
          <t>成功</t>
        </is>
      </c>
      <c r="C5274" t="inlineStr">
        <is>
          <t>読み方：だんてい
［名］(スル)
１物事にはっきりした判断をくだすこと。また、その判断。「証言を虚偽と—する」「—的に言う」
２文法で、ある事物に対して、何であるか、どんなであるかを判断することを表す言い方。文語では助動詞「なり」「たり」、口語では助動詞「だ」「です」や「である」「であります」などの語を付けて言い表す。指定。</t>
        </is>
      </c>
      <c r="D5274" t="inlineStr">
        <is>
          <t>断定する(14%)；断定でき(7%)；断定的(6%)；断定出来；断定し得る</t>
        </is>
      </c>
      <c r="E5274" t="inlineStr">
        <is>
          <t>特定；確認；同定；決めつけ</t>
        </is>
      </c>
      <c r="F5274" t="inlineStr">
        <is>
          <t>断定出来る；断定的な言い方；断定する根拠；断定的な口調；断定する自信</t>
        </is>
      </c>
      <c r="G5274" t="inlineStr">
        <is>
          <t>断定的発言</t>
        </is>
      </c>
      <c r="H5274" t="n">
        <v>29</v>
      </c>
      <c r="I5274" t="inlineStr">
        <is>
          <t>書籍ではそのために復活したともされているが、断定はされていない。；いくらかの断定は、詩の内容を読んで推定したものであることは疑いない。；彼らは断定を避けながらも擬死がある程度の効果を持つ事を示唆している。；しかしこの時代は名前が同じ人間が多く、はっきりと断定はできない。；その結果、特捜本部は以下のように死因・死亡推定時刻などを断定した。；警察の現場検証では部屋に争った後が無いことから自殺と断定された。；クーパーが飛行機から脱出したのかまだ確実に断定できなかったためである。；収監された次の日に監房にて彼の遺体が発見され、自殺と断定された。；やがて機体はバランスを失い、機首を高く上げて失速したと断定された。；たとえば黒人を劣等種と断定し、いずれ死滅するだろうとも述べていた。；イギリス当局の調査によれば、マルコフは毒殺されたものと断定された。；当初は事故面でも調査がされたがすぐに自殺と断定された。；しかし彼を犯人と断定する証拠にはいくつもの問題があった。；回帰と分布図に基づく調査はサミュエルソンの断定を強く支持している。；それらは犯人が犯行に利用した疑いがある車両だと断定された。；自然界では人間のように交尾によって感染したと断定できる報告はない。；クフが前王スネフェルの生物学的な意味での息子であると断定はできない。；少なくともないと断定するだけの根拠を私は持っていない。；そのため、彼女の貢献がどれだけだったのかを現存の資料から断定することは難しい。；Iが周囲を眺め回していたことから逃走を考えていると森は断定的に追及。；古河鉱業はカドミウム被害は認めていないが、群馬県がこれを断定した。；死因は断定されていないが、ムーン同様オーバードースと見られている。；水であるかどうかは断定できないものの、これらは非常に大きな収穫であった。；ただし、それをもって本格的な都城が整備されていたと断定することはできない。；イティルの場所は、考古学者による遺跡調査ではまだ断定されていない。；ブラウン管の反射波を検討したところ移動物ではなく固定物であると断定された。；しかし現在ではブルックナーの真作ではないと、ほぼ断定されている。；当局は自殺と断定したが、検死官の調査では殺人の線が濃厚であった。；しかしはっきりとそれを断定できる手法は19世紀になるまで開発されていなかった。</t>
        </is>
      </c>
      <c r="J5274">
        <f>HYPERLINK("https://www.weblio.jp/content/断定", "词义详情")</f>
        <v/>
      </c>
      <c r="K5274">
        <f>HYPERLINK("https://yourei.jp/断定", "查看例句")</f>
        <v/>
      </c>
    </row>
    <row r="5275">
      <c r="A5275" t="inlineStr">
        <is>
          <t>端的</t>
        </is>
      </c>
      <c r="B5275" t="inlineStr">
        <is>
          <t>成功</t>
        </is>
      </c>
      <c r="C5275" t="inlineStr">
        <is>
          <t>読み方：たんてき
［形動］
１はっきりとしているさま。明白。「不満の—な現れ」
２まのあたりに起こるさま。たちどころであるさま。「—な効果を示す」
３てっとりばやく要点だけをとらえるさま。「—に言う」
［名］《「端」は正、「的」は実の意》正しいこと。真実。
「—を知らんと欲せば」〈沙石集・一〇〉</t>
        </is>
      </c>
      <c r="D5275" t="inlineStr">
        <is>
          <t>端的な例(2%)；端的に表す言葉；端的に言うなら；端的な言葉；端的な愛</t>
        </is>
      </c>
      <c r="E5275" t="inlineStr">
        <is>
          <t>明らか；明確；クリア；鮮やか；明白</t>
        </is>
      </c>
      <c r="H5275" t="n">
        <v>29</v>
      </c>
      <c r="I5275" t="inlineStr">
        <is>
          <t>生きてゆくためには、端的にいえばカネにならない仕事はしないだろう。；こうした反応がもっとも端的に発生しやすいのが上記の犯罪集団である。；監督役の説明は端的にして明瞭であり、質問の余地はどこにもなかった。；端的に言って、新しい発見は人類にとって大きな意味や価値になりうる。；端的にいうと「自分の顔に自信があったから」AV女優になったという。；何故もつと端的で 的であつてくれないのかと云ふ憾みがたえずあるのだ。；之は、日本の女性の奴隷的な生活を端的に表したものに外ならない。；大きさは異なるが、端的に言えば蒸気機関車の台枠と同一の構造である。；この端的な愛と詩人の解釈の中には又あの謎めいた錯誤が存在します。；「七曲がり」と呼ばれる道路はこのような道路事情を端的に示している。；とすれば後は人間が馬に乗ったとき、一番端的に変化するのはなにか。；次の二つの言葉は彼等が過去をどう考えたかを端的に示します。；端的な愛はそれ自身の内部に一つの変移を経験することがあります。；そのことを端的に、誰の目にも明らかにしたのが、この二十世紀であった。；端的な愛は人間を自由にしますが、次の瞬間には依存的にします。；最後の書き方が最も端的に言葉の内容を示しているように思われる。；一九三〇年、四〇年代はそれが最も端的に現われた時期であった。；あの物語の中の様々な事物に付けられた名前に、それは端的に現われていた。；端的に言えば学歴偏重傾向にはっきりと歯止めがかかってきた感じなのだ。；端的に言えば狂ったのではないということを誰かに証明してもらいたかった。；「目が光ってないところは少し」端的に、具体的な箇所まで指摘された。；そして民族史学の歴史意識の特徴を端的に表現する精神史観を見せた。；このことが最も端的に表れているのが、病気になった娼妓への態度である。；端的に言えば、姫野が好きになった男との何らかの思い出の品なのである。；その思想が端的に現れているのはエンジンの搭載位置である。；端的にいえば、中国人を日本人に改造しようとしているのであろう。；ジョージ・バーナード・ショーはこのことを端的に表現したと言われている。；特集号一面の大見出しには顕正会の主義・主張が端的に記されている。；それにまたその攻撃の端的なことを勘定にいれねばならなかった。</t>
        </is>
      </c>
      <c r="J5275">
        <f>HYPERLINK("https://www.weblio.jp/content/端的", "词义详情")</f>
        <v/>
      </c>
      <c r="K5275">
        <f>HYPERLINK("https://yourei.jp/端的", "查看例句")</f>
        <v/>
      </c>
    </row>
    <row r="5276">
      <c r="A5276" t="inlineStr">
        <is>
          <t>担当</t>
        </is>
      </c>
      <c r="B5276" t="inlineStr">
        <is>
          <t>成功</t>
        </is>
      </c>
      <c r="C5276" t="inlineStr">
        <is>
          <t>読み方：たんとう
［名］(スル)一定の事柄を受け持つこと。「営業部門を—する」「—者」</t>
        </is>
      </c>
      <c r="D5276" t="inlineStr">
        <is>
          <t>担当する(16%)；担当者；担当編集者；担当官；担当記者</t>
        </is>
      </c>
      <c r="E5276" t="inlineStr">
        <is>
          <t>専門；特権；面倒を見る；専売特許；専権事項</t>
        </is>
      </c>
      <c r="F5276" t="inlineStr">
        <is>
          <t>それぞれ担当；音楽担当；営業担当；作画担当；みを担当</t>
        </is>
      </c>
      <c r="G5276" t="inlineStr">
        <is>
          <t>担当声優；担当大臣；担当医；担当相；担当さん</t>
        </is>
      </c>
      <c r="H5276" t="n">
        <v>29</v>
      </c>
      <c r="I5276" t="inlineStr">
        <is>
          <t>建築士の資格は有していないが、試験問題の作成を担当したことがある。；当時の担当編集者とは、よく映画や漫画以外の本についての話をしていた。；海上保安庁には、初級職員となる者の教育を担当する以下の施設がある。；記事を執筆した記者の広岡勲が巨人担当を外れることで事態は収拾した。；シリーズディレクターには、企画段階から参加している佐藤が担当した。；キャステングの多くは本業の声優ではなく俳優が担当していることが多い。；州道の建設と保守、および州全体の交通計画は州交通局が担当している。；そのため、本来は女である白雪姫までも男の工藤が担当することになった。；勤務地が大きく変わることはないが、別の分野を担当させられる。；工場機能を担当する職員のほとんどは、熊本総合車両所に転勤となった。；コメディ路線の回ではどれみがオチを担当することが定番となっている。；日本以外では、子供の役は子供に担当させることが主流である。；自身の精神的苦痛を訴えると同時に、歴代担当編集者を実名で批判した。；フランスと同じく、司法訴訟と行政訴訟は別の系統の裁判所が担当する。；選手ごとに1対1で自分が担当する選手をマークするディフェンスのこと。；また各中央銀行が発行を担当する額面の種類は4つを超えないとされている。；アマチュア野球担当記者たちの投票によりベストナインを選出している。；設計は吹田工場が担当し、改造は吹田工場と鷹取工場で施工されている。；本作品より主人公側の衣裳をスタイリストが担当するようになった。；主な歌手は、いくつかの宇野作品で歌唱を担当したヤング・フレッシュ。；これまでに色々なタイプのキャラクターの声を担当している。；また、本作以前の作品でゴルゴを担当した経験のある声優もゲストで出演している。；また、出演作品数だけでなく役柄も、シリーズ内だけで多くの系統を担当した。；なお、名鉄バス担当の基幹バスでは今まで通り本カードが使用できる。；日本のデータイーストは日本国内での輸入・販売を担当した。；声は大人ルイージと同じくチャールズ・マーティネーが担当している。；そのコーナーとはゲームを紹介する「ピコピコ通信」を担当していた。；彼の仕事を援助した唯一の人間はレイアウトを担当した彼の妹のキャサリンだけだった。；彼のチームは発射直前に発射台周辺を封鎖する作業も担当した。</t>
        </is>
      </c>
      <c r="J5276">
        <f>HYPERLINK("https://www.weblio.jp/content/担当", "词义详情")</f>
        <v/>
      </c>
      <c r="K5276">
        <f>HYPERLINK("https://yourei.jp/担当", "查看例句")</f>
        <v/>
      </c>
    </row>
    <row r="5277">
      <c r="A5277" t="inlineStr">
        <is>
          <t>単独</t>
        </is>
      </c>
      <c r="B5277" t="inlineStr">
        <is>
          <t>成功</t>
        </is>
      </c>
      <c r="C5277" t="inlineStr">
        <is>
          <t>読み方：たんどく
［名・形動］ただ一人、また、ただ一つであること。他から独立していること。また、そのさま。「—で登頂する」「—に存在する」</t>
        </is>
      </c>
      <c r="D5277" t="inlineStr">
        <is>
          <t>単独番組；単独駅；単独犯行；単独町名；単独飛行</t>
        </is>
      </c>
      <c r="E5277" t="inlineStr">
        <is>
          <t>一人；独り；ぽつり；ひとりぼっちで；つくねんと</t>
        </is>
      </c>
      <c r="F5277" t="inlineStr">
        <is>
          <t>それぞれ単独；歴代単独；比例単独；単独政権；単独チーム</t>
        </is>
      </c>
      <c r="G5277" t="inlineStr">
        <is>
          <t>単独ライブ；単独区間；単独提供；単独運行；単独講和</t>
        </is>
      </c>
      <c r="H5277" t="n">
        <v>29</v>
      </c>
      <c r="I5277" t="inlineStr">
        <is>
          <t>晩年になっても研究生活は継続し、共著や単独で多数の論文を発表した。；単独で増殖できないのはこれらを宿主に依存しているためと考えられる。；自機のレーダーがないため単独では周辺の他機の飛行が全くわからない。；シリーズではない単独の作品の場合、1個のシリーズ番号が与えられる。；単独で降伏した者は少なく、大部隊が一度に降伏することが多かった。；領土と不可分に結合しており、領水のみ単独では処分の対象とならない。；単独島国のオーストラリアではオーストラリア国外のことを海外という。；ワードは単独で実行できるため、部分に分けてのデバッグも容易である。；神経細胞や軸索が単独で存在することは少なく、集団をなすことが多い。；単独もしくは母親と幼獣からなる数頭の群れを形成することが多い。；このようなことから、地衣類を単独の生物のように見ることも出来る。；これらはそれぞれはしご状神経系の単独の神経節に由来する領域である。；以下、ウィキペディア上に単独記事の存在するものを中心に紹介する。；国土地理院も参考にするとしており、今後単独3位となる可能性がある。；単独で生活する種や、群れで生活する種など種間・種内でも変異が大きい。；当時、広大なローマ帝国の統治と防衛を単独で行うのは困難だと考えられた。；残された小島群は1970年代以降次々と単独で独立していくようになった。；これによって、単独で実行可能なアプリケーションを作ることもできる。；ATC 装置本体は未設置のため、単独では海峡線の走行はできない。；この状況を解消すべく、所沢市が主体で単独立体交差事業を実施している。；ただし、傘下に置いている駅がなく地区駅単独で存在という形態となっている。；なお、気象庁の単独予算により気象衛星が製作されるのは初めてとなる。；オスは単独で生活するか、優位のオスは群れの周囲に縄張りを形成する。；それはN極またはS極がもう一方と対ではなく単独で存在するものを指す。；KCNとの違いはインターネット単独加入が出来ないことである。；尚、八王子市単独の判断で実施可能な工事は先行して段階的な整備中である。；これらは単独の製品の組み合わせで構成されていた。；銀河は単独で存在することもあるし、集団で存在することもある。；単独もしくは他の油脂類と混合する形で古くから潤滑用途に用いられてきた。</t>
        </is>
      </c>
      <c r="J5277">
        <f>HYPERLINK("https://www.weblio.jp/content/単独", "词义详情")</f>
        <v/>
      </c>
      <c r="K5277">
        <f>HYPERLINK("https://yourei.jp/単独", "查看例句")</f>
        <v/>
      </c>
    </row>
    <row r="5278">
      <c r="A5278" t="inlineStr">
        <is>
          <t>段取り</t>
        </is>
      </c>
      <c r="B5278" t="inlineStr">
        <is>
          <t>成功</t>
        </is>
      </c>
      <c r="C5278" t="inlineStr">
        <is>
          <t>読み方：たんどり
江戸時代の年貢徴収方法の一。租率を定めないで1反当たりの年貢の高を決め、それに面積を掛けて算定する方法。関東で多く行われた。→厘取り</t>
        </is>
      </c>
      <c r="D5278" t="inlineStr">
        <is>
          <t>段取り力；段取り通り；段取りどおり；段取り決め</t>
        </is>
      </c>
      <c r="E5278" t="inlineStr">
        <is>
          <t>予定；配置；約束；協定；整え</t>
        </is>
      </c>
      <c r="F5278" t="inlineStr">
        <is>
          <t>会う段取り；酒段取り</t>
        </is>
      </c>
      <c r="H5278" t="n">
        <v>29</v>
      </c>
      <c r="I5278" t="inlineStr">
        <is>
          <t>茶々丸さんと戦う際の段取りと手段をここに来るまでに考えていたのだ。；このクラスでは今から実技指導の教師が姿を見せる段取りになっている。；言われるままに働いたので、仕事の段取りもシステムもわからなかった。；私はこの旅行を終わったらいよいよパリへ出発する段取りにしていた。；オーケストラはあの演奏会の段取りをどこまで知らされていたのですか?；百戯団の虎を使うことになっていたんですが、その段取りもできません。；そういう段取りは無頼派の連中の中で用意周到に立てられているらしい。；折角こっちが段取りを作ってきたというのに、予定が狂ってしまったよ。；まだ少し時間はあるが、午後の仕事の段取りをつけておこうと思ったのだ。；彼はこの好機を利用して、パリでしなければならぬ仕事の段取りを考えた。；そこであんまり知恵のねえ話だが、まあお定まりの段取りで仕方がねえ。；段取りは綿密に計画してあったから、いまさら話す必要はなかったのだ。；段取りを決め、そのとおりに行動したら、目の前に死体が一つ生じた。；掃除のあとでアパートの管理会社に鍵を返す段取りになっているという。；いい縁談があったそうだから、おれのほうで段どりをつけてやったよ。；到着が遅かったので簡単に大浴場につかって夕食をとる段取りとなった。；チアダンス部分はないがダンドリ同好会メンバーの一部が登場している。；おれや宮下は段取りを考えることはできても実行を指揮するのはにが手だ。；天井を睨んで供述の段取りを思案しているところへ看護婦が戻って来た。；神尾もそれにつづいてその席を立たなければならない段取りになりました。；勿論その感情の波を起伏させる段取りには大地震や火事を使ふのである。；段取りは易しそうに見えても、なかなかそうは行かない場合が多いものだ。；宇佐は段取りをつけながら、頭の半分では中円寺のことを考えていた。；そこで下役は自然市場の連中に辛く当らなければならない段取りになる。；このためスタジオ内には時間や段取り等が示されるモニターが設置されている。；あるとき彼はやはりそんな段どりで、冬の朝を彼女の宿めざして歩いていた。；畳まれていたのがぱっと開くような、自分がしなければならぬ段取りの図。；そういうダンドリであったとはいえ、少年の力があまりに強かったからだ。；念のために電話番号を聞いて迎えにきてもらうときの段取りだけはつけておいた。</t>
        </is>
      </c>
      <c r="J5278">
        <f>HYPERLINK("https://www.weblio.jp/content/段取り", "词义详情")</f>
        <v/>
      </c>
      <c r="K5278">
        <f>HYPERLINK("https://yourei.jp/段取り", "查看例句")</f>
        <v/>
      </c>
    </row>
    <row r="5279">
      <c r="A5279" t="inlineStr">
        <is>
          <t>旦那</t>
        </is>
      </c>
      <c r="B5279" t="inlineStr">
        <is>
          <t>成功</t>
        </is>
      </c>
      <c r="C5279" t="inlineStr">
        <is>
          <t>読み方：だんな
《(梵)dānaの音写》
１ほどこし。布施。転じて、布施をする人。檀越(だんおつ)。檀家。
２商家の奉公人などが男の主人を敬っていう語。「店の大—」
３商人が男の得意客を、また役者や芸人が自分のひいき筋を敬っていう語。また一般に、金持ちや身分のある男性を敬っていう。「—、これはよい品でございますよ」「顔見世に—衆を招く」
４妻が夫をいう語。他家の夫をいう場合もある。「お宅の—」
５妾(めかけ)の主人。パトロン。「—がつく」「—を取る」</t>
        </is>
      </c>
      <c r="D5279" t="inlineStr">
        <is>
          <t>旦那さま(16%)；旦那方；旦那はん；旦那樣；旦那刑事</t>
        </is>
      </c>
      <c r="E5279" t="inlineStr">
        <is>
          <t>夫；主人；宅；亭主；良人</t>
        </is>
      </c>
      <c r="F5279" t="inlineStr">
        <is>
          <t>親旦那；趙旦那；若い旦那；ねえ旦那；札旦那</t>
        </is>
      </c>
      <c r="G5279" t="inlineStr">
        <is>
          <t>旦那さん；旦那衆；旦那寺；旦那芸</t>
        </is>
      </c>
      <c r="H5279" t="n">
        <v>29</v>
      </c>
      <c r="I5279" t="inlineStr">
        <is>
          <t>つまり彼はそう齢もとっていないくせに、大旦那ぶりたかったのである。；ああ、旦那さま、あの一歩一歩に人殺しをして流した血があるんですよ!；わしら誰よりもよくあの旦那が演説つかひだつてえことを知つてるだよ。；旦那も今ではすっかり後悔なすって、ああして何事も言わずに働いてる。；おれは馬鹿にしてかかっていたので、旦那の方から声をかけられてしまった。；あの旦那が亡くなってから、俺はもう小山の家に居る気もしなくなったよ。；その女は一度は旦那さまを寢床の中で危ふく燒き殺さうとしたさうです。；又その出前には八丁堀の旦那のところへも顔出しをしなければならない。；あたしいつか、こちらさまの大旦那の還暦のご祝儀がございましたわね。；この間から旦那のお越を、心で拝んでゐながらも、ここが大事な人の道。；「ねえ、旦那方」と私は論争に夢中になっている刑事たちに呼びかけた。；しかし旦那の様子はいつもと変わらず、元気のない新吉を心配する。；しかし、現在でも京都などの大都市には、わずかながら旦那が存在する。；昔は恋人であつた彼女が、その旦那さんと一緒に訪ねて来たといふのである。；確かな証拠も無しにむやみにそんなことをすると、旦那方に叱られるぞ。；しかも、旦那のほうを見ると、パンにバターをぬって食べていたりする。；そうして、おれ達にたのめばきっと旦那に取り持ってやるなどと云った。；人に殺されてお金をとられるような旦那じゃアないけど、敵があるからねえ。；別嬪さんを側へ付けて置いたら、旦那に一言も仰しやりはしませんわ。；藤澤の旦那に楯つく奴なんざあ一人だつておくわけにやいかねえんだ。；そして旦那も変つてゐたことも、私は宿にしてゐた六条の伯母の家で聞いてゐた。；と旦那も十分念を入れて、途中よく氣をつけて、他人には指もさゝせるな。；旦那さまにして見れば、お前の態度を歯がゆくお思ひになるのは当り前さ。；本職の名人と思ってるのか、蒲田の顔役に似た旦那がいるのかも知れぬ。；眼にものがはいった時の痛みは旦那もよく御承知でしょう。；やがて旦那は「これでは俺が怒ることができないじゃないか」と言う。；しきりに旦那のことを恋しく思わせるのも、娘と二人で居る時だった。；すくなくとも私が旦那のうちは、この男が情夫であった様子はありません。；どうも、長者のお旦那に限って、台所口がお好きで、困ってしまいます。</t>
        </is>
      </c>
      <c r="J5279">
        <f>HYPERLINK("https://www.weblio.jp/content/旦那", "词义详情")</f>
        <v/>
      </c>
      <c r="K5279">
        <f>HYPERLINK("https://yourei.jp/旦那", "查看例句")</f>
        <v/>
      </c>
    </row>
    <row r="5280">
      <c r="A5280" t="inlineStr">
        <is>
          <t>単なる</t>
        </is>
      </c>
      <c r="B5280" t="inlineStr">
        <is>
          <t>成功</t>
        </is>
      </c>
      <c r="C5280" t="inlineStr">
        <is>
          <t>読み方：たんなる
［連体］それだけで、ほかに何も含まないさま。ただの。「—うわさにすぎない」</t>
        </is>
      </c>
      <c r="D5280" t="inlineStr">
        <is>
          <t>単なる偶然(2%)；単なる事故；単なる言葉；単なる噂；単なる想像</t>
        </is>
      </c>
      <c r="E5280" t="inlineStr">
        <is>
          <t>他ならない；一介の</t>
        </is>
      </c>
      <c r="F5280" t="inlineStr">
        <is>
          <t>決して単なる；簡単なる；単なる好奇心；単なる伝説；単なる個人</t>
        </is>
      </c>
      <c r="H5280" t="n">
        <v>29</v>
      </c>
      <c r="I5280" t="inlineStr">
        <is>
          <t>もっともこの会議は一度も開かれることはなく、単なる名誉職であった。；しかし実際には爆弾などは発見されず、単なる脅しであったと思われる。；しかしそれは単なるアイディアであり、実証的な実験が必要だと考えた。；この件を単なる事故と報道したのが当時新聞記者をやっていた飯島だった。；HR図上での主系列が単なる細い線にならないのはこのためである。；しかし、学術的な扱いでは、主題のデータは単なる情報の一群とされる。；しかしマンソン自身は、単なるキリスト教批判ではないと主張している。；この作業がなされない場合は歴史書とは言えず単なる記述にとどまる。；一般に国家の何らかの関与を前提とするため、単なる右翼テロとは異なる。；剣劇を得意としており、単なるパンチやキックよりも気分が乗るという。；単なるビル火災と違い雑居ビルの営業形態に被害を拡大する社会要因がある。；これは、自然の単純さへのドルトンの確信から生まれた単なる仮説だった。；現在は行政区分としての機能は失われ、単なる地理的区分となっている。；その結果、単なる粉飾決算である他の事例よりも重い刑罰が確定した。；上記作家の小説作品の多くが深夜叢書から刊行されていることは単なる偶然ではない。；マヌイルがミストラスにもたらしたのは単なる都市空間の基礎だけではない。；敷地内の御嶽等は単なる遺跡ではなく、現在に至るまで信仰の対象であった。；単なる事実や日付だけでなく、各執筆者の精神の働きと個性に魅了される。；中には無実の者も含まれており、オランダの単なる報復行為の側面もあった。；単なる威嚇に過ぎず、イギリスに本気で戦争を起こすつもりはないと考えていた。；単なる勧善懲悪な物語ではなく解決せずに終わった話も多い。；ローマ帝国の時代には単なるコロニアであったが、自治特権を得ていた。；これは単なる病気ではなく、時房の泰時への反発の意味を含んでいたとされる。；宗教ではこれを象徴的に暗示的に示すことかできず、単なる一手段に過ぎないという。；ここで、平均化された有効磁場は単なる係数と同じであり交換可能な量である。；単なる幼い少女ではなく一人の立派な女性であるという意味合いで用いられていた。；彼らの中には後に有名造形師となる人もいたが、当時は単なる常連たちであった。；このような配置は単なる偶然では起こりえない。；彼女はまさに今、自分が単なる実験用のハツカネズミであったことに気づいたのだ。</t>
        </is>
      </c>
      <c r="J5280">
        <f>HYPERLINK("https://www.weblio.jp/content/単なる", "词义详情")</f>
        <v/>
      </c>
      <c r="K5280">
        <f>HYPERLINK("https://yourei.jp/単なる", "查看例句")</f>
        <v/>
      </c>
    </row>
    <row r="5281">
      <c r="A5281" t="inlineStr">
        <is>
          <t>単に</t>
        </is>
      </c>
      <c r="B5281" t="inlineStr">
        <is>
          <t>成功</t>
        </is>
      </c>
      <c r="C5281" t="inlineStr">
        <is>
          <t>読み方：たんに
［副］（あとに「だけ」「のみ」などの語を伴って）その事柄だけに限られるさま。ただ。ただに。「—個人のみの問題にとどまらない」</t>
        </is>
      </c>
      <c r="D5281" t="inlineStr">
        <is>
          <t>単に言う；単に受動的</t>
        </is>
      </c>
      <c r="E5281" t="inlineStr">
        <is>
          <t>一人；ただ；ひとり；たった；唯</t>
        </is>
      </c>
      <c r="F5281" t="inlineStr">
        <is>
          <t>決して単に；しばしば単に；指して単に；もはや単に；略して単に</t>
        </is>
      </c>
      <c r="H5281" t="n">
        <v>29</v>
      </c>
      <c r="I5281" t="inlineStr">
        <is>
          <t>ただし、それを担当する主演俳優のことも単に主演ということができる。；国家あるいは地域ごとに決められていることから、単に国番号とも言う。；それらは特別な名前で呼ぶ事もあるが単に「から揚げ」と呼ぶ事もある。；このように、自動車は単に人や物資を輸送するだけの存在に留まらない。；これは単に呼び方の問題だけではなく、その主題の性格も表している。；パッシブターミネータは単に抵抗をバスラインに接続するだけである。；また涙も単に眼を洗浄する役割以上に感情と強い結びつきを持つ。；芸名のパパイヤに意味はなく、単に音の響きが良かったために名乗った。；しかしこれらには実際の職掌は無く、単に官位・俸禄を示すものである。；単にそれらの技術を取り入れて開発された兵器を指してステルスと呼ぶ事もある。；単にもんじゃと呼ぶほか、地域によって異なるさまざまな呼称がある。；単にクレオパトラと言った場合には通常、このクレオパトラ7世を指す。；単に「インドシナ戦争」と言った場合は、通常この戦いを指す事が多い。；赤外分光の分野では、単に赤外と言うとこの領域を指すことが多い。；国防は国家を単に守ることではなく、脅威から国家を守ることである。；もし左に数値がない場合は、単に一つ上の列のカラム 1の数値を取る。；しかし、トールキンは単に演出として資料の表面を利用しただけではない。；単に容量が必要なだけであれば、複数枚のメディアに記録すれば良いからである。；それらは特別な名前で呼ぶ事もあるが、単に「から揚げ」と呼ぶ事もある。；これには、単に階下まで降りていくのが面倒だからという理由も考えられる。；この本は単に主題をそのまま説明するのではなく、数学の発展過程を示すことに努めている。；単に演奏されるだけでなく、スティック等を用いた視覚的な演技も行われる。；当時の文書には単に金と記されていることが多く、「金百両」などと表記された。；しかしこれらの学校は、後には単に科挙の資格を得るために在籍する場所となった。；町内会と自治会は単に名称の違いであり、内容や活動が異なるものではない。；漢字の「百」は、単に100を意味する以外に、非常に多いことも表す。；これは単にデザインだけではなく、空気抵抗の減少にも大きく寄与している。；カナダでは、フランス語の会話で単にクレープというとパンケーキを指す。；駅名もまた、一般には単に両国駅と呼ばれることが多くなっていた。</t>
        </is>
      </c>
      <c r="J5281">
        <f>HYPERLINK("https://www.weblio.jp/content/単に", "词义详情")</f>
        <v/>
      </c>
      <c r="K5281">
        <f>HYPERLINK("https://yourei.jp/単に", "查看例句")</f>
        <v/>
      </c>
    </row>
    <row r="5282">
      <c r="A5282" t="inlineStr">
        <is>
          <t>担任</t>
        </is>
      </c>
      <c r="B5282" t="inlineStr">
        <is>
          <t>成功</t>
        </is>
      </c>
      <c r="C5282" t="inlineStr">
        <is>
          <t>読み方：たんにん
［名］(スル)
１一定の任務を担当すること。
「月謝小遣其他は宗助の方で—しなければ義理が悪い」〈漱石・門〉
２学校で、学級や教科を受け持つこと。また、その人。「新しいクラスを—する」</t>
        </is>
      </c>
      <c r="D5282" t="inlineStr">
        <is>
          <t>担任区域；担任地域；担任岡部；担任制；担任教員</t>
        </is>
      </c>
      <c r="F5282" t="inlineStr">
        <is>
          <t>警備担任；新しい担任；級担任；補充担任；防衛担任</t>
        </is>
      </c>
      <c r="G5282" t="inlineStr">
        <is>
          <t>担任教諭</t>
        </is>
      </c>
      <c r="H5282" t="n">
        <v>29</v>
      </c>
      <c r="I5282" t="inlineStr">
        <is>
          <t>また、ゲストの担任の先生と電話をつないで先生からも話を聞いていた。；お前らは戦争に負けたおかげで、福原先生から俺に担任が変わるそうだ。；協力の内容は学校長や担任の教師に協力してもらうというものであった。；自分の担任した二人の被告にある注意を与へようと思つたが為であつた。；が、お母さんや担任に連絡されるのを回避するためには仕方なかった。；午後になって二時ごろ教室にはいると、もう担任の先生が来ていた。；わたしはすぐに、課長へ電話で連絡をとって、担任させてもらったんです。；小学校の昼休憩に音楽室へ担任の先生を呼び小さな音楽会を開いていた。；これは当時の小学校担任などから母親譲りであるともいわれていた。；そもそもそんなことをすれば、担任の教師や志田がすぐ気付いたはずだ。；何にする積りかこの間学校で担任の先生が皆のお父さんの職業を取調べた。；それ以来セイの日常は従来と変わり、女性の担任が気になったりする。；通知表の通信欄には、どの担任もおおむね似たようなことを書いていた。；高等師範に学んでいたが、東京俳優学校の日本歴史教師を担任していた。；カックル先生とおそろしい担任の先生に会う時のことを考えていたのです。；担任はちょっと眼を閉じてから、ゆっくり言葉を探すように話し出した。；担任の女教師が憐れんで見ていたのを六十数年後の今も覚えている。；高二のときの担任だった女性教師と一線を越えた関係になってしまったのだ。；後期には担任である山嵐が六助の父親代わりとなって活躍しようとする話も多い。；被告席は四列になつてゐて、彼の担任せる被告等は第三列目の中程に居た。；主に富士学校幹部学生の戦闘訓練支援及び富士総合火力演習を担任する。；ラグビーを始めたきっかけは小学校の担任の先生に誘われたことから。；だからそれを条件にして僕が転地の費用を担任しようじゃないか。；小学校高学年のときの担任が絵の先生で、絵を描く楽しさを教えてもらう。；俺は担任に詳しい事情を聞いてみたのだが、教えてもらうことはできなかった。；担任は被害少女が「笑みを浮かべながら」相談したなどと主張した。；その後、「ワルシャワ」軍副司令官に任命され、首都の防衛を担任した。；浦川礼子は六月一日に東京へ転校した、と担任だった先生が言っていた。；私が成績優秀者でいる限り、担任は事を大げさにしなかったであろう。</t>
        </is>
      </c>
      <c r="J5282">
        <f>HYPERLINK("https://www.weblio.jp/content/担任", "词义详情")</f>
        <v/>
      </c>
      <c r="K5282">
        <f>HYPERLINK("https://yourei.jp/担任", "查看例句")</f>
        <v/>
      </c>
    </row>
    <row r="5283">
      <c r="A5283" t="inlineStr">
        <is>
          <t>丹念</t>
        </is>
      </c>
      <c r="B5283" t="inlineStr">
        <is>
          <t>成功</t>
        </is>
      </c>
      <c r="C5283" t="inlineStr">
        <is>
          <t>読み方：たんねん
［名・形動］細かいところにまで注意を払うこと。心を込めて丁寧に行うこと。また、そのさま。入念。「資料を一つ一つ—に調べる」「—な細工」
[派生]たんねんさ［名］</t>
        </is>
      </c>
      <c r="D5283" t="inlineStr">
        <is>
          <t>丹念な愛撫；丹念に読み返し；丹念な仕事；丹念に調べ上げ；丹念な手つき</t>
        </is>
      </c>
      <c r="E5283" t="inlineStr">
        <is>
          <t>慎重；細かい；丁寧；徹底的；十分</t>
        </is>
      </c>
      <c r="F5283" t="inlineStr">
        <is>
          <t>ひとつひとつ丹念</t>
        </is>
      </c>
      <c r="H5283" t="n">
        <v>29</v>
      </c>
      <c r="I5283" t="inlineStr">
        <is>
          <t>病院のベッドで、私は家から運ばれてくる文芸雑誌に丹念に眼を通した。；母が買ってくれた江戸絵の美しい木版画を丹念に写したりしたものです。；それとも、あの複雑な状況は丹念に作りだされたものだったのだろうか?；店員達は宝石を一つ一つ丹念に調べては、一つ一つに値をつけて行った。；その本は大分丹念に使用したものと見えて裏表とも表紙が千切れていた。；彼が殊の他丹念に部屋の後片づけをしてゐるうちに東の空が白んで来た。；汚れたところを丹念に拭きながら、頭のどこかでそういう警告を聞いた。；こんなに丹念に調べるようでは、慥かに敵の手がまわったにちがいない。；そして彼は地図上にこのスコットランド貴族の名を丹念に書きこんだ。；墓に施される装飾が生者の住む家よりも丹念なものであることも多い。；男がそれを丹念に読むのが見え、そのあとで男はそれを女の一人に手渡した。；丹念に調べている人なら、もっといくつもの名をあげられるだろう。；だから一人の人間を判断するには、長く丹念にその跡をつけなければならない。；本作は、舞台となった時代の衣服や装飾などを丹念に調べた上で製作された。；被害者遺族の話を丹念に聞くようになってからはその思いが強くなったという。；そして、部下に自分の前を歩かせてみて、ひとりひとり丹念に観察した。；また、過去に出現した彗星の観測記録も、時間をかけ丹念に調べていった。；箱には装飾が施されないことも多いが、丹念に装飾される箱もある。；そして丹念に覚え書をとっておいた山水画の中の目印が確かなことを知った。；古い紙にも、製本の豪奢さにも、床同様に蝋引きの丹念さが感じられる。；当作品では少女らの何気ない日常を丹念に描き、高評価を得ている。；どんなに丹念に床を探し廻る人でも、天井は見ようとさえしないものです。；丹念に読んでいたヴァンスの目に、次第に面白そうな表情が浮かんできた。；少年はその手帳の最初数ページに、自分の処女作を丹念に書きしるした。；脚はまだ娘のように若いが、丹念に手入れした顔はさすがに年を隠しきれない。；バスタブに湯を入れている間に、明乃はスポンジで僕の体を丹念に洗う。；いうまでもありませんが、わたしは自分の真上の部屋も丹念に調べてみました。；タレントが多くなり過ぎて、ひとりひとりを丹念に管理できないのさ。；ペルーはこの川の探検に多くの費用をかけて丹念な探索を試みている。</t>
        </is>
      </c>
      <c r="J5283">
        <f>HYPERLINK("https://www.weblio.jp/content/丹念", "词义详情")</f>
        <v/>
      </c>
      <c r="K5283">
        <f>HYPERLINK("https://yourei.jp/丹念", "查看例句")</f>
        <v/>
      </c>
    </row>
    <row r="5284">
      <c r="A5284" t="inlineStr">
        <is>
          <t>断念</t>
        </is>
      </c>
      <c r="B5284" t="inlineStr">
        <is>
          <t>成功</t>
        </is>
      </c>
      <c r="C5284" t="inlineStr">
        <is>
          <t>読み方：だんねん
［名］(スル)自分の希望などを、きっぱりとあきらめること。「進学を—する」</t>
        </is>
      </c>
      <c r="D5284" t="inlineStr">
        <is>
          <t>断念すること(3%)；断念させる；断念しよ；断念めて；断念させよ</t>
        </is>
      </c>
      <c r="E5284" t="inlineStr">
        <is>
          <t>放棄；諦め；観念；捨てる；棄却</t>
        </is>
      </c>
      <c r="F5284" t="inlineStr">
        <is>
          <t>ため断念；出馬断念；事実上断念；欲動断念；一時断念</t>
        </is>
      </c>
      <c r="H5284" t="n">
        <v>29</v>
      </c>
      <c r="I5284" t="inlineStr">
        <is>
          <t>フランスはサラゴサを包囲したが、住民の激しい抵抗戦にあい断念した。；このため、当初予定した通信実験ミッションのうちいくつかを断念した。；リオ五輪の出場断念とシーズンの残り全試合を欠場することを発表した。；しかし同年に肩の状態の悪化したことを理由にMLB移籍を断念した。；当時からICカード化にも意欲を見せていたが、この時は断念している。；山縣もこれに同意したが、清浦は海軍の協力が得られず組閣を断念した。；日本のマジック団体に加盟しようと試みたものの、よそ者扱いされ断念。；息子の眞によれば、手塚は血を見るのが嫌いで道を断念したとも言う。；このため一人娘に進学を断念させることにもなってしまった。；ABDA艦隊の被害は軽微だったが、輸送船団攻撃を断念して撤退した。；検閲で原稿が不許可となったために放送を行うことを断念した候補もいたとされる。；しかし、同年5月には、運行再開を断念し会社を解散することが決定した。；プロ化も断念したことから事実上JBLのリニューアルとみる向きもある。；不安になったレオポルトは立候補を断念し、国王もそれに承諾を与えた。；その後国内でリハビリをしながら、メジャー挑戦を目指していたが断念。；しかし、円谷はこの特撮に満足せず、予定していた大映入社を断念した。；アメリカ軍の援助を受けられないと知った朴は、軍の北進を断念した。；千代田処分を命じられた五十鈴だが曳航を断念せず準備を進めていた。；ドイツでは合成に成功したものの毒性の強さから実用化を断念した。；ここに至って一色範氏は九州制圧を断念し、京へ帰還する事となった。；利便性向上のため将来の橋上駅舎化も構想されていたが、事実上断念。；同製品版への搭載は断念されサービスパックと同時に提供されると予告された。；英語学校、医学校に入るも、いずれも廃校になり、その方面の道を断念。；近隣の玉名市等と合併を協議していたが、2004年11月に断念した。；メッキ処理も検討されたが、予算と時間の都合で困難と判断され、断念された。；彼へのオファーは断念され代わりにエリック・ストルツが起用される。；排水管や浄化槽などを調べるが脱走に利用できそうになかったため断念。；本来はイベント絵も要望していたが、スケジュールなどの都合で断念された。；慶太はさらに上級学校への進学を夢見たが、経済的理由から進学を断念。</t>
        </is>
      </c>
      <c r="J5284">
        <f>HYPERLINK("https://www.weblio.jp/content/断念", "词义详情")</f>
        <v/>
      </c>
      <c r="K5284">
        <f>HYPERLINK("https://yourei.jp/断念", "查看例句")</f>
        <v/>
      </c>
    </row>
    <row r="5285">
      <c r="A5285" t="inlineStr">
        <is>
          <t>堪能</t>
        </is>
      </c>
      <c r="B5285" t="inlineStr">
        <is>
          <t>成功</t>
        </is>
      </c>
      <c r="C5285" t="inlineStr">
        <is>
          <t>読み方：かんのう
［名・形動］
１仏語。よくたえ忍ぶ能力。
２深くその道に通じていること。また、そのような人や、そのさま。たんのう。
「和歌や能楽に—なところから」〈藤村・夜明け前〉</t>
        </is>
      </c>
      <c r="D5285" t="inlineStr">
        <is>
          <t>堪能する(8%)；堪能できる(6%)；堪能であり(4%)；堪能出来る；堪能な人物</t>
        </is>
      </c>
      <c r="E5285" t="inlineStr">
        <is>
          <t>技術；腕；能力；才能；納得</t>
        </is>
      </c>
      <c r="F5285" t="inlineStr">
        <is>
          <t>語学堪能；十分堪能；御堪能；英語堪能；ご堪能</t>
        </is>
      </c>
      <c r="H5285" t="n">
        <v>29</v>
      </c>
      <c r="I5285" t="inlineStr">
        <is>
          <t>フランスの作品は特に大切にしているが、英語やドイツ語も堪能である。；高校から大学卒業までアメリカ合衆国に留学していたため、英語が堪能。；フランスに移住した理由は自身がフランス語に堪能だったことによる。；号の五適とは琴・書・詩・画・印に堪能であったことから自ら名乗った。；日本語が堪能で、英語と日本語両方の演技でいくつかの賞を受賞している。；中国語に堪能だったことから、中国に送る公文書のほとんどを執筆する。；結果、作者独特の世界観と言語感覚を堪能できる作品に仕上がっている。；フランス語圏で多くの監督業を経験しているためか、フランス語に堪能。；英語に堪能であるため、その特技を活かした役を演じた経験も数回持つ。；ヨーロッパでの生活経験があり英語・ドイツ語・フランス語に堪能。；張は日本語が堪能であり、日本人との交流を頻繁に進めたとされる。；また、かき氷を堪能するなど地球の文化に馴染んでいる場面も見られる。；子供の頃に4年間ほどアメリカに住んでいたため、英語が堪能である。；小学4年生から5年間イギリスに留学していたため、英語が堪能である。；日本語に堪能でメディアのインタビューにも日本語で応じている。；絵画にも堪能で、しばしば自身のアルバム・カバーデザインも手がけた。；日本に滞在していた時期が長いことから日本語は堪能である。；自治体は手付かずの自然を堪能できる川沿いの遊歩道を整備している。；語学に堪能で日本語・英語・中国語を流暢に話すことが出来る国際人である。；その際には日本人は英語に堪能な国民であると思っていた。；大学在学時、南ドイツに1年間留学していたことがありドイツ語が堪能。；また、語学等が堪能であれば在外公館での勤務を命ぜられることもある。；求職者はフランス語又は英語のどちらかが堪能であれば登録できる。；かつて、日本の東京に4年間留学していたことから、日本語が堪能である。；日本人の福娘も語学に堪能な者が多く、国際交流に大きく貢献している。；高校在学中はオーストラリアへの留学経験もあり、英語が堪能である。；英語が堪能で、海外の俳優やミュージシャンへのインタビューも多数経験。；フランス語に堪能なため、いくつかのフランス映画にも出演している。；両親が1954年にフランスに移住したため、彼はフランス語に堪能である。</t>
        </is>
      </c>
      <c r="J5285">
        <f>HYPERLINK("https://www.weblio.jp/content/堪能", "词义详情")</f>
        <v/>
      </c>
      <c r="K5285">
        <f>HYPERLINK("https://yourei.jp/堪能", "查看例句")</f>
        <v/>
      </c>
    </row>
    <row r="5286">
      <c r="A5286" t="inlineStr">
        <is>
          <t>短波</t>
        </is>
      </c>
      <c r="B5286" t="inlineStr">
        <is>
          <t>成功</t>
        </is>
      </c>
      <c r="C5286" t="inlineStr">
        <is>
          <t>読み方：たんぱ
波長が10〜100メートル、周波数が3〜30メガヘルツの電波。電離層で反射されるので遠距離通信に使用。デカメートル波。HF（high frequency）。→長波1→中波</t>
        </is>
      </c>
      <c r="D5286" t="inlineStr">
        <is>
          <t>短波長(19%)；短波受信(4%)；短波通信(3%)；短波無線(3%)；短波送信</t>
        </is>
      </c>
      <c r="F5286" t="inlineStr">
        <is>
          <t>短波受信機；短波無線機；短波送信機；短波受信機</t>
        </is>
      </c>
      <c r="G5286" t="inlineStr">
        <is>
          <t>短波ラジオ；短波帯；短波方向探知機</t>
        </is>
      </c>
      <c r="H5286" t="n">
        <v>29</v>
      </c>
      <c r="I5286" t="inlineStr">
        <is>
          <t>このような短波長の波を集束できるような材料は存在しないからである。；全てのラジオ雑誌に共通の、放送局と短波局の一覧が掲載されていた。；それではあの諜者連は彼の持っている短波通信機に用があったのか。；するとボストンなどいくつかの地区では短波の方が強く受かったのである。；日本の民間のラジオ機は短波を受けられないことになっている。；このため古い時代の本部には、短波通信用のアンテナが立っていた。；しかし、以前の短波通信と同じく通信が不安定という欠点も持っていた。；短波長でははるかに顕著になるこの誤差は黒の曲線と青の曲線の差である。；一寸のことではもう短波の聴けないように破壊したのち、使用をゆるした。；過去に、アマチュア無線家が短波を開拓したことはQRPに他ならない。；短波長に伴う電磁波エネルギーは、多くの用途で明確な利点を与える。；この他短波の受信状況は日中か夜かでも変化し、その傾向分析を行っている事例もある。；日本には一台でも多くの短波受信機が増えなければならない。；誰もが見向きもしなかった短波の威力をマルコーニは証明してみせたのである。；翌1927年になると、短波長が割り当てられた無線局が次々に誕生した。；通常光下では無色でブラックライトなどの短波長光下で各色に発色する。；複数の短波周波数が使用され、時期によって頻繁に周波数が変更されていた。；短波受信機が二台ともそろっておかしいくらいいろいろな雑音を出す。；短波長成分は空気中を長距離移動するので、デリケートな調整を要する。；この波長領域は、短波長赤外線と呼ばれる赤外領域の短波長側に相当する。；しかし、逆輸入機種や短波帯を使用できる機種は適用除外となっている。；送信設備ごとに分けられた以下の6つの系統で短波を中心に衛星放送も行われている。；長波長では前者が支配的、短波長では後者が支配的となる。；以後、短波は周波数や送信所の変遷を重ねたが、2001年に終了した。；次の信号音もやっぱりアパートからで、短波の腕時計型探知器も同じ方向を示した。；前者は短波時代の到来で脚光を浴びたせいか、結構志望者もあった。；ラジオは世界各地に向けて33種の言語で短波とインターネットを使って放送を行っている。；其の時間中は短波長通信には殊に好都合の成績が得られるからこんな変な時を選んだのです。；そういう短波が主人の体の近くから発信されていた。</t>
        </is>
      </c>
      <c r="J5286">
        <f>HYPERLINK("https://www.weblio.jp/content/短波", "词义详情")</f>
        <v/>
      </c>
      <c r="K5286">
        <f>HYPERLINK("https://yourei.jp/短波", "查看例句")</f>
        <v/>
      </c>
    </row>
    <row r="5287">
      <c r="A5287" t="inlineStr">
        <is>
          <t>淡白</t>
        </is>
      </c>
      <c r="B5287" t="inlineStr">
        <is>
          <t>成功</t>
        </is>
      </c>
      <c r="C5287" t="inlineStr">
        <is>
          <t>読み方：たんぱく
［名・形動］
１味・色・感じなどが、あっさりしていること。また、そのさま。「—な味の料理」⇔濃厚。
２性格や態度がさっぱりしていること。こだわりやしつこさがないこと。また、そのさま。「金銭に—な人」</t>
        </is>
      </c>
      <c r="D5287" t="inlineStr">
        <is>
          <t>淡白な味わい(2%)；淡白な白身；淡白な魚；淡白な風味；淡白な内容</t>
        </is>
      </c>
      <c r="E5287" t="inlineStr">
        <is>
          <t>冷たい；冷淡な；無愛想な；白けた；白々しい</t>
        </is>
      </c>
      <c r="F5287" t="inlineStr">
        <is>
          <t>少なく淡白</t>
        </is>
      </c>
      <c r="H5287" t="n">
        <v>29</v>
      </c>
      <c r="I5287" t="inlineStr">
        <is>
          <t>しかしこの場所の淡白な結果は解説の北の富士に残念がられてしまった。；したがって大変淡白な味だが、その淡白さの中に得も言えぬ滋味がある。；部屋も、飼い猫への愛情も、僕への接し方も一言で言って淡白だった。；その隠者への同情は孔子の隠者への同情よりも淡白であらねばならぬ。；「ただ、帰国後のことを考えるといやだったけれど」 淡白な口調だった。；週に二回がそれほど多いとは思わないが、とにかく妻は淡白なのだ。；そういう点で泰造の生活態度は仕事に自信のある技術家らしい淡白さだった。；白身魚の中では特に淡白で繊細な味わいで、非常に美味であるとされる。；淡白な描き方ではあるが、ほとんどの収録作に直接的な性描写がある。；性的な魅力からいうと、慶子は、味の薄い淡白な白身魚でしかなかった。；すでに稀薄な超人類の肉体は、さらに幽霊のような淡白さに変わっていった。；黙って寝るわけにも行かぬし、そうかと言って屈従する程淡白でもなかった。；宗子は淡白な性質で、あんまりぼくの世話を焼くほうではありませんでした。；一種の淡白な味を味わってみる事は虚心な鑑賞家に取って困難ではないだろう。；淡白な味で他の食材とも合せやすく、また油を良く吸収し相性が良い。；物欲に淡白だということを証明しても、正義を証明するわけではない。；たくらまない表現がそれを語っているように、正直な淡白な人だ。；たくらまない表現がそれを語つてゐるやうに、正直な淡白な人だ。；新型機と聞けば目の色を変えるかと思ったが、その反応は意外と淡白だった。；いや、落ち着いた雰囲気というよりもむしろ物事に無感動な 淡白さがある。；当時、消化力が衰えた人には淡白な食事がよいと考えられていた。；植物的というよりも、日陰の石についたコケのように淡白なのだ。；性にはとても感じやすいが、終ってしまえば男のように淡白だ。；自分の口からいうのも変だが、あっしゃ女にかけてはわりに淡白なほうです。；ところで私と彼との関係は常に淡白であった。；油を使った脂肪質の料理にも、淡白な料理にも合うという。；スッポンのスープは強いものなのだから口よごしは淡白なものがいいだろうか。；異性への興味やパワーが旺盛な人と淡白な人、その違いは明らかだ。；だから多くの人は彼の淡白なところ、すなわち常に自分の位置を知っているということを高く買っていた。</t>
        </is>
      </c>
      <c r="J5287">
        <f>HYPERLINK("https://www.weblio.jp/content/淡白", "词义详情")</f>
        <v/>
      </c>
      <c r="K5287">
        <f>HYPERLINK("https://yourei.jp/淡白", "查看例句")</f>
        <v/>
      </c>
    </row>
    <row r="5288">
      <c r="A5288" t="inlineStr">
        <is>
          <t>蛋白質</t>
        </is>
      </c>
      <c r="B5288" t="inlineStr">
        <is>
          <t>成功</t>
        </is>
      </c>
      <c r="C5288" t="inlineStr">
        <is>
          <t>読み方：たんぱくしつ
生物の細胞の主成分であり生命現象に直接深く関与している、窒素を含む高分子の有機化合物。約20種のアミノ酸がペプチド結合によりつながったもので、種類は多い。単純たんぱく質と複合たんぱく質とに分けられる。プロテイン。</t>
        </is>
      </c>
      <c r="D5288" t="inlineStr">
        <is>
          <t>蛋白質合成；蛋白質共役；蛋白質分子；蛋白質工学；蛋白質構成アミノ酸</t>
        </is>
      </c>
      <c r="E5288" t="inlineStr">
        <is>
          <t>タンパク質；蛋白；タンパク；たんぱく質；プロテイン</t>
        </is>
      </c>
      <c r="F5288" t="inlineStr">
        <is>
          <t>g蛋白質；結合蛋白質；型蛋白質；構成する蛋白質；構成蛋白質</t>
        </is>
      </c>
      <c r="G5288" t="inlineStr">
        <is>
          <t>蛋白質分解酵素；蛋白質研究所</t>
        </is>
      </c>
      <c r="H5288" t="n">
        <v>29</v>
      </c>
      <c r="I5288" t="inlineStr">
        <is>
          <t>このことは蛋白質の高次構造を決定する上で重要な要素となっている。；実際には生体内では蛋白質の作用も大きな影響を与えると考えられる。；補体系は表面に抗体が結合した細胞に細胞死を引き起こす蛋白質を含む。；蛋白質の重要な機能を持っている他に尿素サイクルに関与している。；動物の蹄や角などの蛋白質を加水分解したものを基剤とする薬剤である。；このことは、蛋白質にならない領域が無駄なものではないことを明確に示している。；そして二重膜の中に種々の機能をもつ蛋白質が存在するという構造である。；最初に発見されたタイトジャンクションを構成する膜貫通蛋白質である。；トリセルラータイトジャンクションで最初に発見された構成蛋白質である。；DNA損傷ではヒトのATM蛋白質はこの制御に関与していると言われる。；消毒薬の匂いに混ざって、かすかに蛋白質が燃えたような匂いがした。；そして薬理作用を発揮するのは蛋白質と結合していない非結合型の薬物である。；PMP22の蛋白質はmRNAと同様の領域に認められると考えられている。；その回路とやらが蛋白質であろうと白金であろうと知ったことか。；奇妙なのは、蛋白質を構成しているアミノ酸がラセミ化していることだった。；この理由から、Sup35pは活発に研究が行われている蛋白質である。；さらに多くの奴隷は野生動物を捕らえて足りない動物性蛋白質を補った。；これは粗面小胞体の集積の為であり、蛋白質合成が盛んなことを示している。；私たちは最近各種の蛋白質の合成にも成功しました。；即ち、血漿蛋白質の濃度とその蛋白質の種類に影響されることになる。；フライド・ライスには、例の芋虫の残片と思われる蛋白質が入っている。；タイトジャンクション構成蛋白質の違いから両者の役割は異なると考えられている。；同じ蛋白質にても動物の肉にある者は野菜等にあるものよりも営養分優等なり。；Ral蛋白質は細胞の運動性の調節に関わっていると考えられている。；これはたしかに合成蛋白質や合成脂肪を原料にはしているようだ。；フィッシャーの研究室では、そんな蛋白質の合成を究極の目標としていた。；ただしこうすることで蛋白質の性質が変化してしまうこともあるので注意を要する。；通常の蛋白質での含量は少ないが、その高次構造を決める上で重要な部分である。；古くなり過ぎても段々蛋白質が粘着性を失って泡も立たず、味も悪い。</t>
        </is>
      </c>
      <c r="J5288">
        <f>HYPERLINK("https://www.weblio.jp/content/蛋白質", "词义详情")</f>
        <v/>
      </c>
      <c r="K5288">
        <f>HYPERLINK("https://yourei.jp/蛋白質", "查看例句")</f>
        <v/>
      </c>
    </row>
    <row r="5289">
      <c r="A5289" t="inlineStr">
        <is>
          <t>短編</t>
        </is>
      </c>
      <c r="B5289" t="inlineStr">
        <is>
          <t>成功</t>
        </is>
      </c>
      <c r="C5289" t="inlineStr">
        <is>
          <t>読み方：たんぺん
詩歌・小説・映画などの短い作品。→長編</t>
        </is>
      </c>
      <c r="D5289" t="inlineStr">
        <is>
          <t>短編作品(7%)；短編アニメ(3%)；短編部門(2%)；短編漫画；短編作家</t>
        </is>
      </c>
      <c r="E5289" t="inlineStr">
        <is>
          <t>コント；短編小説；短篇小説；小話；ショートストーリー</t>
        </is>
      </c>
      <c r="F5289" t="inlineStr">
        <is>
          <t>sf短編；ヒューゴー賞映像部門短編；各短編；短編ドキュメンタリー；短編推理小説</t>
        </is>
      </c>
      <c r="G5289" t="inlineStr">
        <is>
          <t>短編集；短編映画；短編アニメーション；短編映画祭；短編アニメ賞</t>
        </is>
      </c>
      <c r="H5289" t="n">
        <v>29</v>
      </c>
      <c r="I5289" t="inlineStr">
        <is>
          <t>ただし以前の掲載作品では数話ほどの短編に分かれているものもある。；その後数年間はSF短編も書いているが、同時に詩にも手を出している。；様々な人間達のドラマを描いたこの短編シリーズは高く評価された。；彼はこの作品と数編の短編しか残していないが、非常に評価が高い。；映画の主な登場人物にスポットライトを当てた10篇の短編作品を収録。；これらは本作に限らず、シリーズの他の短編にもしばしば見られる傾向である。；この短編の少し異なるバージョンが一年後にオムニ誌に掲載された。；以降この手法を用いた短編を書き続け、その数は数百編に達する。；この宣伝短編フィルムがガルボの女優としての最初のキャリアとなった。；実写映画版のリメイクではなく、短編である原作小説を基に制作された。；原作が短編作品のため、『陰の季節』収録作品以外からも映像化された。；大阪の代表作とされる短編「とむらい機関車」もこの時期の作品である。；日本では小説の翻訳は未だにないが、短編は幾つか翻訳されている。；日本人作家の作品が掲載されたのはこの短編が最初である。；バロルが三つ目であると明言する例としては作家が発表した短編がある。；死去するまでに残した著作は全部で35篇で、短編も多く出している。；本編以外の書籍等で発表された短編を約10分程度の内容でアプリ化。；表記はデフォルトでは大きく連載作品と短編を分け、それぞれ発表順とした。；短編作品では主演作品はあったがメインとしての作品はなかった。；ただし他の短編・中編が数作収録されているため、正味10巻弱となる。；短編作品では地方局が製作参加している事例がある程度存在する。；寡作であることで知られており、短編発表の間に数年経つことが何度もある。；だが、近年は、そのシリーズの収録短編以外に作品はほとんど発表していない。；当項目ではコミック第2巻に収録された短編作品についても記載する。；それによって短編や他の大長編に影響を与えないような物語構造になっている。；同時期には並行して多くの連載や短編を手がけている。；以降、複数の出版社の漫画雑誌で短編を中心に多数の作品を発表する。；ミッキーマウスの短編映画シリーズとして最初に公開された作品である。；他では映像化されることの少ない短編や戦前作品に原作を多く仰いだのが大きな特徴である。</t>
        </is>
      </c>
      <c r="J5289">
        <f>HYPERLINK("https://www.weblio.jp/content/短編", "词义详情")</f>
        <v/>
      </c>
      <c r="K5289">
        <f>HYPERLINK("https://yourei.jp/短編", "查看例句")</f>
        <v/>
      </c>
    </row>
    <row r="5290">
      <c r="A5290" t="inlineStr">
        <is>
          <t>田んぼ</t>
        </is>
      </c>
      <c r="B5290" t="inlineStr">
        <is>
          <t>成功</t>
        </is>
      </c>
      <c r="C5290" t="inlineStr">
        <is>
          <t>読み方：たんぼ
《「たのも（田面）」あるいは「たおも（田面）」の音変化か。「田圃」は当て字》田。水田。</t>
        </is>
      </c>
      <c r="D5290" t="inlineStr">
        <is>
          <t>田んぼ道；田んぼリンク</t>
        </is>
      </c>
      <c r="E5290" t="inlineStr">
        <is>
          <t>代；田；水田；野田；小田</t>
        </is>
      </c>
      <c r="F5290" t="inlineStr">
        <is>
          <t>延徳田んぼ；小さな田んぼ；深い田んぼ</t>
        </is>
      </c>
      <c r="G5290" t="inlineStr">
        <is>
          <t>田んぼダム</t>
        </is>
      </c>
      <c r="H5290" t="n">
        <v>29</v>
      </c>
      <c r="I5290" t="inlineStr">
        <is>
          <t>君たちの田んぼがどのぐらい広くても我々の貴重な命とは交換できない。；窓に顔を押しつけながら外を見ていると、田んぼで働く母の姿があった。；田んぼに来る鳥を追い払うために撃つ爆音だけの銃のことなのであった。；あの山の南、田んぼの脇から登ってく道があるんですが、知ってます?；左右は田んぼが続き、竹に覆われた小山がところどころ顔を出している。；亮二はお爺さんに男の話を聞かせたくて田んぼの路を急いで家に帰る。；こっちでは田んぼが少ない影響か、別の虫の鳴き声が窓の外で騒々しい。；その 田んぼ道に続く古寺の境内にぽつんと立っている地蔵尊・・・・。；この近くでは、ほとんど田んぼの中を通っているのに気がつくと思います。；昔町内の大部分を占めていた田んぼなどの農地がわずかに残っている。；学校の周辺は主に住宅や田んぼなどがあり、比較的自然豊かな環境の中にある。；馬も剛さんも泥の飛沫を浴び、泥人形のようになって田んぼを回っていた。；駐留した邪馬台軍は、伊都の田んぼに米を作りにやってきたのではない。；田んぼに作業をしにやってくる農家の自転車やバイクがとめられている。；駅は田んぼの中にあったが、配置された駅員が駅舎で切符を販売した。；ひとの写っていない、山や川や田んぼだけの写真が、少しずつ増えてきた。；それからこの付近の田んぼを、「一町六反」と呼ぶようになったという。；田んぼがないことと学園都市の恩恵で緑が残っているので蝉が多いのだろう。；村の隅にある屋敷はやや高台になっていて、村の田んぼが眺め渡せた。；拓一に言われて、あれ以来耕作が田んぼにずっと水を流していたのだ。；その9日後、女性は隣村の間にある田んぼで死体となって発見された。；周辺一帯は大半が田んぼで、そのあちこちに瓦屋根の民家が建っていた。；当時はまだ田んぼの残る調布を父の自転車の前部に乗せられ、走っていた。；旧所在地は田んぼの中の丘に位置し、鎮守の森に囲まれていたという。；どこまでも続く田んぼのなかを線路が一本だけ通っていた。；今、俺がいた道は両側は田んぼで車一台がようやく通れるくらいの細いものだ。；空港敷地外の田んぼに突っ込み、その後しばらくして機体は、炎上した。；田んぼには胎内川から取りいれた水がじかに入るようになっていた。；当初は田んぼを守ることを目標としていたが回を重ねるごとにどうでもよくなっている。</t>
        </is>
      </c>
      <c r="J5290">
        <f>HYPERLINK("https://www.weblio.jp/content/田んぼ", "词义详情")</f>
        <v/>
      </c>
      <c r="K5290">
        <f>HYPERLINK("https://yourei.jp/田んぼ", "查看例句")</f>
        <v/>
      </c>
    </row>
    <row r="5291">
      <c r="A5291" t="inlineStr">
        <is>
          <t>暖房</t>
        </is>
      </c>
      <c r="B5291" t="inlineStr">
        <is>
          <t>成功</t>
        </is>
      </c>
      <c r="C5291" t="inlineStr">
        <is>
          <t>読み方：だんぼう
［名］(スル)建物や部屋の内部を暖めること。また、その装置。「ストーブで—する」《季冬》⇔冷房。</t>
        </is>
      </c>
      <c r="D5291" t="inlineStr">
        <is>
          <t>暖房用(9%)；暖房装置(9%)；暖房設備(2%)；暖房機(2%)；暖房システム</t>
        </is>
      </c>
      <c r="E5291" t="inlineStr">
        <is>
          <t>暖房装置；煖房</t>
        </is>
      </c>
      <c r="F5291" t="inlineStr">
        <is>
          <t>列車暖房；石油暖房；式暖房；車内暖房；温気暖房</t>
        </is>
      </c>
      <c r="G5291" t="inlineStr">
        <is>
          <t>暖房車；暖房機器；暖房便座</t>
        </is>
      </c>
      <c r="H5291" t="n">
        <v>29</v>
      </c>
      <c r="I5291" t="inlineStr">
        <is>
          <t>秋から冬への変わり目だというのに、家の中には暖房の気配がなかった。；座席の下に置かれた暖房は基本的なものであったが効果的であった。；制御が容易であるため、古くから暖房や調理器具などに利用されている。；温度を変化させるための暖房装置と、それに熱を送るバーナーだけです。；調理のためと冬季の暖房のために家の中心には大きな煙突が立てられた。；大学の実験室での雪の仕事に一番困るのは、暖房が通っていることである。；この暖房のききすぎた部屋では、その声はかすかにしかきこえなかった。；最初に住んだのは暖房のないワンルームで、しかもトイレは壊れていた。；中では暖房がついているらしく、暖かい空気が窓の奥から感じられた。；批判を受け、当局はほとんどの学校に暖房が無いことを理由に挙げた。；宴会場なので布団や食事は自前ではあったが、暖房と温泉は利用できた。；貨物列車への使用を前提とするため列車暖房用設備は非装備である。；自動車のことも、なんにも知らないし、ガス暖房のことも知らないのよ。；蓄熱暖房の起源はヨーロッパの家庭にある暖炉であると言われている。；暖房のきいた車の中から一歩も外に出たくないという強い意思が感じられた。；部屋の心地よい温度は、開き口が目には見えない暖房装置で保たれていた。；高緯度のため太陽は一日数時間しか見られず、日光の暖房も期待できない。；また暖房装置や送風装置も従来車とは異なるものを採用している。；レストランには暖房がなく、帽子をかぶったまま、コートも着たままだった。；暖房や水道はないことが多く、場合によってはトイレも共同になっていた。；黒竜江省の1世紀の建物跡から、このタイプの暖房台の例が出土している。；ガス式熱風暖房器からは、たくさんパイプが出て家の各部屋に通じている。；暖房は一般的なシーズワイヤー式ヒーターを各座席下に設置している。；一般的に、車や暖房に使用される燃料より高品質な物が利用される。；オルロフは、この戦闘の結果街の暖房が機能しなくなったと述べた。；暖房と炊事用の四つの炉は、きれいに掃除さえすれば使うことができた。；初期投資と暖房費などのランニングコストが通常のヨーガ教室より高い。；調理や暖房に火を用いている時に建物が崩壊すると火災を引き起こす。；仕事の性質上、暖房には手をかけているので、室内は蒸しばむほどだった。</t>
        </is>
      </c>
      <c r="J5291">
        <f>HYPERLINK("https://www.weblio.jp/content/暖房", "词义详情")</f>
        <v/>
      </c>
      <c r="K5291">
        <f>HYPERLINK("https://yourei.jp/暖房", "查看例句")</f>
        <v/>
      </c>
    </row>
    <row r="5292">
      <c r="A5292" t="inlineStr">
        <is>
          <t>断面</t>
        </is>
      </c>
      <c r="B5292" t="inlineStr">
        <is>
          <t>成功</t>
        </is>
      </c>
      <c r="C5292" t="inlineStr">
        <is>
          <t>読み方：だんめん
１物を任意の線で切断した切り口。「地層の—」
２ある角度から見た物事の状態や様子。「社会の—」「生活の一—」</t>
        </is>
      </c>
      <c r="D5292" t="inlineStr">
        <is>
          <t>断面形状(6%)；断面トンネル；断面掘削；断面構造；断面工法</t>
        </is>
      </c>
      <c r="F5292" t="inlineStr">
        <is>
          <t>トンネル断面；一断面；胴体断面；円形断面；大断面</t>
        </is>
      </c>
      <c r="G5292" t="inlineStr">
        <is>
          <t>断面図；断面曲率；断面二次モーメント；断面力；断面回転半径</t>
        </is>
      </c>
      <c r="H5292" t="n">
        <v>29</v>
      </c>
      <c r="I5292" t="inlineStr">
        <is>
          <t>西北側の断面からは内部に大きな石が並べられているのが観察できた。；連結面の貫通路は開放感を持たせるために断面の大きなものとしている。；大断面車両を使用する路線では統一した文体と音声が使用されている。；人々が気にしているしこれで私の人生の道筋の一つの断面を推測できるだろう。；閘渠の断面は一般に矩形かその上部をアーチ状にしたものとなっている。；屋根肩のRが大きく幕板に相当する部分が殆ど無い断面形状が特徴である。；点状のブロックの突起の断面形状にはドーム型とハーフドーム型がある。；断面は、鍵穴と例えられる事もあるが、この説明は適切でないとされる。；翼自体も特異な構造で、内翼と外翼とで異なる翼断面を持っていた。；小円とは回転体の断面の円、大円は小円の中心がなす円のことである。；設計の作業を始める前に、翼の断面やプロペラの設計のための実験を行った。；断面の大きさは軍隊の大砲が通過できることを基準としたという。；この部分のフレーム部材は断面を日の字や目の字にして強化されたものが多い。；地下鉄の場合も、トンネル断面が狭いため建築限界が小さいことが多い。；雌雄共に基部の断面が円形で、先端が鉤状に強く内側へ向かう角がある。；社紋は関西電力の社紋の中心にレールの断面を入れたものになっている。；翼断面の図としてよく見られる形状とは、右図上のような形状である。；食堂車についても車体断面形状・側窓・冷房装置等を他形式と同一とした。；それは横浜という街の、そして日本という国の歴史の一断面でもある。；本級の船体は単船殻構造であり、縦軸に沿って円形の断面を持っていた。；極めて偏平な特殊大断面トンネルで、NATM工法を用いて建設された。；車体断面は前期と後期で異なっており、併結時にはその差が明らかであった。；現代の断面が円い芯は、芯押し機で細い穴から押し出す方式がとられる。；艦体と艦橋が一体化して、断面が台形と逆台形の組み合わせとなっている。；車体断面も当時製造されていた気動車・客車との共通化が図られた。；エンジンを胴体内に上下に装備しているため、胴体は縦長の断面であった。；これにより、最も効率的な翼断面形はほとんど厚みのない平板翼となる。；河川の場合、ある断面を1秒間で通過する水の量を流量としている。；面の断面は直線なので、断面の2直線がなす角度が2面の二面角である。</t>
        </is>
      </c>
      <c r="J5292">
        <f>HYPERLINK("https://www.weblio.jp/content/断面", "词义详情")</f>
        <v/>
      </c>
      <c r="K5292">
        <f>HYPERLINK("https://yourei.jp/断面", "查看例句")</f>
        <v/>
      </c>
    </row>
    <row r="5293">
      <c r="A5293" t="inlineStr">
        <is>
          <t>弾力</t>
        </is>
      </c>
      <c r="B5293" t="inlineStr">
        <is>
          <t>成功</t>
        </is>
      </c>
      <c r="C5293" t="inlineStr">
        <is>
          <t>読み方：だんりょく
１外力が加わって変形した物体が、もとの形に戻ろうとする力。
２圧迫をはね返そうとする力。また、事情や状態に応じるために自在に変化できる力。「計画に—をもたせて考える」</t>
        </is>
      </c>
      <c r="D5293" t="inlineStr">
        <is>
          <t>弾力的(11%)；弾力性(4%)；弾力化；弾力感；弾力条項</t>
        </is>
      </c>
      <c r="E5293" t="inlineStr">
        <is>
          <t>柔軟；柔軟性；弾性；反発力；融通性</t>
        </is>
      </c>
      <c r="F5293" t="inlineStr">
        <is>
          <t>強い弾力；非弾力的；適度な弾力；若い弾力；柔らかな弾力</t>
        </is>
      </c>
      <c r="G5293" t="inlineStr">
        <is>
          <t>弾力繊維性仮性黄色腫</t>
        </is>
      </c>
      <c r="H5293" t="n">
        <v>29</v>
      </c>
      <c r="I5293" t="inlineStr">
        <is>
          <t>体はもうすっかり大人になっていて、歩き方に弾力があって軽快だった。；まだ幼い小文の身体は、しかしはっきりと男とは違う弾力を備えていた。；「こうしてはいられない」 彼女の心にはまた新しい弾力が与えられた。；結婚五年目、子どもはなかったが妻の体にはあの女ほどの弾力はない。；もともと弾力性のある珍しい草なんだから、当然といえば当然なんだけど。；自分の体の表面の弾力なんてこんなにあらたまった感触ではないはずだ。；現金を千円ぐらい持っていて、生活力に弾力を持っていないといけない。；若い弾力のある肌の感触が、彼の毛むくじゃらの足に伝わってくるのだ。；ぼくが今何かに触れたとき最初に感じるのは自分の肌の弾力だ。；かれはみんなを後にしたがえて、かすかに弾力性のある地面を歩きだした。；それでも、少しの間、突っ立っていたところを見ると、弾力はあるのだ。；ボールの形になると驚異的な弾力性とスピードを得ることができる。；女の腹は、爬虫類の腹のように薄気味悪い弾力と柔らかさをもっていた。；表皮に緑色の部分がなくなり、弾力がでてきたら食べ頃だとされている。；他人の肉体がこんなに鞠のように正直な弾力で答えることは想像のほかだった。；弾力を失ったトラックのタイヤは、リムと地面の間で押し潰されている。；そこへゆくと茶々の考え方には、女ばなれした闊達さと弾力があった。；おそらく今夜、唇の次に男が触れるだろう場所は、弾力があって暖かい。；豊かな乳房は弾力があるために、こんもりとしたお椀の形を保っている。；それが少しも鈍重な感を与えぬばかりか、弾力ある兇猛な力を感じさせる。；だって、竹のあの弾力性やしなり具合や強度を考えてみてください。；どれほどの圧力でも決して折れない、柔軟な弾力をもった柱だった。；もともとcaneは植物の茎を指し、細く弾力のある植物を指していた。；固い弾力をそなえた小さなものは、ときどき指の下で所在をくらました。；主に木製で樫や桜のように頑丈さと弾力を兼ね備えた木材が用いられる。；論文では血管様の組織と弾力のある骨基質様の組織が報告された。；最近では弾力が大きいペットボトル積込に対応した機種も発売されている。；が、巨きい身体は少しの弾力もなく石の塊か何かのやうに重かつた。；そして、弾力のある小さい唇の間から、白い歯が、ちらりと覗いていた。</t>
        </is>
      </c>
      <c r="J5293">
        <f>HYPERLINK("https://www.weblio.jp/content/弾力", "词义详情")</f>
        <v/>
      </c>
      <c r="K5293">
        <f>HYPERLINK("https://yourei.jp/弾力", "查看例句")</f>
        <v/>
      </c>
    </row>
    <row r="5294">
      <c r="A5294" t="inlineStr">
        <is>
          <t>地</t>
        </is>
      </c>
      <c r="B5294" t="inlineStr">
        <is>
          <t>成功</t>
        </is>
      </c>
      <c r="C5294" t="inlineStr">
        <is>
          <t>読み方：つち
１岩石が分解して粗い粉末になったもの。土壌。「花壇の—を入れ替える」
２地球の陸地の表面。地面。大地。「故国の—を踏む」
３「天」に対し、地上のこと。
「空から—へひと息にポーンと降り立つ雨の脚」〈柳虹・雨の脚〉
４鳥の子紙の一。紙の原料となる植物繊維に泥土をまぜて製した下等な和紙。
５（「犯土」「槌」「椎」とも書く）陰陽道(おんようどう)で、土公神(どくじん)のいる方角を犯して工事などをすることを忌むこと。また、その期間。暦の庚午から甲申までの15日間をいう。つちび。
６人の容貌(ようぼう)の醜いことをたとえていう語。
「御前なる人は、まことに—などの心地ぞするを」〈源・蜻蛉〉
７地下(じげ)のこと。
「—の帯刀(たちはき)の、歳二十ばかり、長(たけ)は一寸ばかりなり」〈落窪・一〉
[下接語]赤土・荒(あら)土・合わせ土・上(うわ)土・置き土・鹿沼(かぬま)土・壁土・黒土・肥え土・白(しら)土・底土・叩(たた)き土・作り土・床(とこ)土・苦(にが)土・粘(ねば)土・練り土・埴(はに)土・粘(へな)土・惚(ほ)け土・真(ま)土・盛り土・焼き土・焼け土・痩(や)せ土・用心土
[補説]作品名別項。→土</t>
        </is>
      </c>
      <c r="D5294" t="inlineStr">
        <is>
          <t>地内；地先；地建；地上子；地下式</t>
        </is>
      </c>
      <c r="E5294" t="inlineStr">
        <is>
          <t>たち；ところ；場所；点；所</t>
        </is>
      </c>
      <c r="F5294" t="inlineStr">
        <is>
          <t>植民地；校地；野営地；候補地；観光地</t>
        </is>
      </c>
      <c r="G5294" t="inlineStr">
        <is>
          <t>地区；地方；地球；地元；地上</t>
        </is>
      </c>
      <c r="H5294" t="n">
        <v>29</v>
      </c>
      <c r="I5294" t="inlineStr">
        <is>
          <t>いくつかの自治体は自治体間の特定の地域の中心地の役割を果たしている。；州内には31の国が保護する原生地の全体あるいは一部が含まれている。；アルゼンチン経済の崩壊後、アルゼンチンの世界的な評価は地に落ちた。；コワルスキの活動と の存在によって、英国は 研究の中心地となった。；地方での収録時は、TBSと収録地のネット局の共同制作となっていた。；パリに到着したが、このときはまだこの地に居を構えるか迷っていた。；ナイジェリアの地には過去数千年間に多数の王国や部族国家が存在してきた。；勤務地が大きく変わることはないが、別の分野を担当させられる。；この地がパレスチナと呼ばれるようになったのはこれ以降である。；この地で発達した根底には一定の期間で発生するナイル川の洪水があった。；イギリスは近代的な地税制度を導入してインドの民衆を困窮させた。；それに抵抗して戦ったマルタ騎士団がこの地の名前を有名にした。；ベルリン学派の主要な4人は全員米国へ渡り、その地で亡くなっている。；特に重要視したのは、明が創業の地とした江南の豊かな農業資源である。；さらにその後も柵戸や公民を中心とした郡制施行地を拡大していった。；旗人には旗地と呼ばれる農地が支給されるなど、さまざまに優遇された。；これはその他の隅の占め方が、地に甘いとされているからである。；イギリスの旧植民地であったこともあり、公用語はイギリス英語である。；鉄道路線とは、出発地と目的地の間に敷設された鉄道の線路の区間である。；頭は天に達し足は地に至るというほどの巨体であるという。；当初は海岸のみを指していたこれらの言葉は、のちに広大な背景地にまで及ぶようになった。；これによる混同を避けるために本来の桜を地桜と呼ぶこともある。；この地は5世紀にエフタルの進入を受け、その後は荒廃したままだった。；逆に、相手が生きると思っている石を殺してしまえば、そこは自分の地となる。；語源は、古アラビア語で「滞在地」の意味や人名が地名化した説がある。；九州大学ではそれぞれの校地を地区またはキャンパスと呼んでいる。；病害虫はサクラの密集地では互いに伝染し、集団発生する可能性がある。；その近くにある纒向遺跡もまた邪馬台国の中心地として有力視される。；また、政治の中心地と経済の中心地を分離する場合もある。</t>
        </is>
      </c>
      <c r="J5294">
        <f>HYPERLINK("https://www.weblio.jp/content/地", "词义详情")</f>
        <v/>
      </c>
      <c r="K5294">
        <f>HYPERLINK("https://yourei.jp/地", "查看例句")</f>
        <v/>
      </c>
    </row>
    <row r="5295">
      <c r="A5295" t="inlineStr">
        <is>
          <t>治安</t>
        </is>
      </c>
      <c r="B5295" t="inlineStr">
        <is>
          <t>成功</t>
        </is>
      </c>
      <c r="C5295" t="inlineStr">
        <is>
          <t>読み方：じあん
平安中期、後一条天皇の時の年号。1021年2月2日〜1024年7月13日。</t>
        </is>
      </c>
      <c r="D5295" t="inlineStr">
        <is>
          <t>治安回復(3%)；治安上(2%)；治安警察；治安警備；治安状況</t>
        </is>
      </c>
      <c r="E5295" t="inlineStr">
        <is>
          <t>治；公安</t>
        </is>
      </c>
      <c r="F5295" t="inlineStr">
        <is>
          <t>治安元年；治安情報局；治安関係；治安委員会；治安法</t>
        </is>
      </c>
      <c r="G5295" t="inlineStr">
        <is>
          <t>治安維持法；治安部隊；治安判事；治安官；治安当局</t>
        </is>
      </c>
      <c r="H5295" t="n">
        <v>29</v>
      </c>
      <c r="I5295" t="inlineStr">
        <is>
          <t>サッダームと対立して治安局長官の地位を奪われたくなかったのである。；これに対応するため幕府は有力大名を領地に戻して治安を強化させていた。；現地政府はその中に治安攪乱の意図を持った者がいないか心配した。；治安もすこぶる悪く、野盗に襲われていつ死んでしまうかもわからない。；治安も良く、アメリカ国内でも最も安全な都市の一つとされている。；同時に犯罪率が低く治安の良さは世界トップクラスを維持している。；中国は東チベットの治安に当たって、住民からこれらの武器を取り上げた。；皇帝の治世が行き届いているためか、四正国の中では比較的治安が良い。；市境を越え、メリーランド州側にも治安の良くないエリアが広がっている。；バスチアンがいきなり女を船に引きおろしておいてモーターをスタートする。；逆に失敗した場合は当然報酬は得られず、治安度が低下してしまう。；モンゴル国の治安状況は日本と比べた場合、決して良いとは言えない。；CCCの最も大きな特徴はキャンパスの安全と治安への取り組みである。；彼が特に注力したのが裁判の公正さの確保、そして治安の回復である。；チアンとハリデイの本は何人かの学識経験者から強く批判されている。；セントルシアの治安はカリブ海諸国の中で比較的良い部類とされている。；なお、他の南アフリカの都市同様、治安の急速な悪化は問題となっている。；また、治安の面でも社会主義時代とは比較にならないほど悪化した。；軍との詳細な関係は不明だが、諜報活動を行う国家治安諜報部が存在する。；一部の地区を除き、メキシコの他の州都に比べ治安は安定している。；同年7月にはセルビア・モンテネグロの治安の悪さを理由にパリに移住した。；現実世界に戻ることができたバスチアンは、古書店へ本を返しに行く。；こうして治安の面でも、伝統的な慣習と近代行政の区分が融解をみせている。；現在でも、治安面などからドライブそのものが危険な地帯が数多く存在する。；日本は鉄道の治安や清潔性が世界で最も高い国の一つである。；治安・警察行政に関してだけは保安委員会に強力な権限を与えていたのである。；また7月には州都の東のワルデュ郡のチルガラン治安軍基地を占領した。；このように治安は急速に悪化しており、内戦状態が継続している。；これら作戦は地域の安定化のための治安作戦や軍事支援などを含むものである。</t>
        </is>
      </c>
      <c r="J5295">
        <f>HYPERLINK("https://www.weblio.jp/content/治安", "词义详情")</f>
        <v/>
      </c>
      <c r="K5295">
        <f>HYPERLINK("https://yourei.jp/治安", "查看例句")</f>
        <v/>
      </c>
    </row>
    <row r="5296">
      <c r="A5296" t="inlineStr">
        <is>
          <t>地位</t>
        </is>
      </c>
      <c r="B5296" t="inlineStr">
        <is>
          <t>成功</t>
        </is>
      </c>
      <c r="C5296" t="inlineStr">
        <is>
          <t>読み方：ちい
１社会やある組織の中で、人や物の占めている位置。身分や立場など。「高い—に就く」「生産物中、重要な—を占める」
２存在している場所。位置。
「ありゃ、いい—にあるが、誰の家(うち)なんですか」〈漱石・草枕〉</t>
        </is>
      </c>
      <c r="D5296" t="inlineStr">
        <is>
          <t>地位向上；地位を与えられ；地位を確固たるもの；地位を授けられ；地位を認められ</t>
        </is>
      </c>
      <c r="E5296" t="inlineStr">
        <is>
          <t>ところ；等；位置；程度；位</t>
        </is>
      </c>
      <c r="F5296" t="inlineStr">
        <is>
          <t>重要な地位；確固たる地位；社会的な地位；特別な地位；地位を定める仮処分</t>
        </is>
      </c>
      <c r="G5296" t="inlineStr">
        <is>
          <t>地位保全；地位確認；地位の非一貫性</t>
        </is>
      </c>
      <c r="H5296" t="n">
        <v>29</v>
      </c>
      <c r="I5296" t="inlineStr">
        <is>
          <t>また台湾は島の地位が確定するまで漁業権を認めるようにも主張している。；彼らはゾーストの領主として以前の地位に復しようと試みたのであった。；サッダームと対立して治安局長官の地位を奪われたくなかったのである。；これは性的な寛容さや女性の地位の低さなどによると考えられている。；次第に議会と国王との対立から議会の地位をめぐる議論が紛糾していった。；殆どのユダヤ人は高学歴であったが、政府官僚の地位からは除外された。；旧明領の漢人以外の民族には有力者に土司の地位を与え統治させた。；また準座人の地位にある銀見役は六歩から二歩半程度であった。；また一代限りの地金鑑定を行う銀見役は準座人としての地位であった。；天皇の地位に関してはいわれるほど差があるものではなかったとする意見がある。；たとえばイギリスや日本は首都の地位を明示する法が存在しない。；一般に、敬意を表する言葉は地位の高い立場にある人々に向けられている。；これに対してプラークリットは婦人・子供・地位の低い男性が用いた。；彼らは一族のために、教会においても高い地位を得ることができた。；同作のヒットで原は戦後のトップ女優としての地位を確立した。；なおリューベックは1266年には帝国自由都市の地位も獲得している。；地位はわからないが織田信長の家督継承のころには織田家の重鎮であった。；ツツは、自分の地位を使って社会的不公正と見做したことを公に批判した。；初のメジャータイトルを獲得し、陸上競技界のスターの地位を確立する。；それは、職業上高い地位を得た者だけが享受しているのではない。；なお、門跡寺院の歴史の中で特殊な地位を占める存在に本願寺がある。；日章旗が事実上「国旗」としての地位を確立したのはこれが最初である。；キャサリンは故王太子の未亡人の地位に落とされ、宮廷から追放された。；大主教になると彼はこの地位のために用意されたの公邸に移った。；これらの地位に黒人男性が叙任されたのは初めてのことであった。；地位の承継とその儀式が異なる用語によって区別されることもある。；家臣団組織が整備され、戦国大名として武田氏の地位が確立されていた。；首都を含む数市、または首都周囲の県などに特別の地位が与えられることがある。；その場合には新加入者の儀礼的な地位に応じて決定される。</t>
        </is>
      </c>
      <c r="J5296">
        <f>HYPERLINK("https://www.weblio.jp/content/地位", "词义详情")</f>
        <v/>
      </c>
      <c r="K5296">
        <f>HYPERLINK("https://yourei.jp/地位", "查看例句")</f>
        <v/>
      </c>
    </row>
    <row r="5297">
      <c r="A5297" t="inlineStr">
        <is>
          <t>地域</t>
        </is>
      </c>
      <c r="B5297" t="inlineStr">
        <is>
          <t>成功</t>
        </is>
      </c>
      <c r="C5297" t="inlineStr">
        <is>
          <t>読み方：ちいき
１区画された土地の区域。一定の範囲の土地。「—の代表」「防火—」
２（日本、または国際社会が）独立国として承認していない領域。また、ある国の領土の一部であるが、本国とは別の体制を認められている区域、自治領、植民地などをいう。台湾、パレスチナ、プエルトリコなど。</t>
        </is>
      </c>
      <c r="D5297" t="inlineStr">
        <is>
          <t>地域内；地域ごと；地域区分；地域全体；地域一帯</t>
        </is>
      </c>
      <c r="E5297" t="inlineStr">
        <is>
          <t>地区；地方；領域；一帯；エリア</t>
        </is>
      </c>
      <c r="F5297" t="inlineStr">
        <is>
          <t>他地域；同地域；支配地域；多い地域；当地域</t>
        </is>
      </c>
      <c r="G5297" t="inlineStr">
        <is>
          <t>地域社会；地域圏；地域名；地域経済；地域別</t>
        </is>
      </c>
      <c r="H5297" t="n">
        <v>29</v>
      </c>
      <c r="I5297" t="inlineStr">
        <is>
          <t>これらの国家・地域の他にも、いくつかの独立した集落が存在している。；各藩の城下町だった地域には、現在も武家屋敷等が残っている所が多い。；そのためほとんどの地域はプロパンガスによってガスが供給されている。；それ以前は地域や時代により様々に呼ばれていたものを総称したものである。；ハプスブルク家は世襲領をはるかに離れた地域にも領地を獲得し始める。；また地域貢献の一環として、小学校での訪問授業をこの時期開始した。；それ以外は陝西省のように13年義務教育を実行している地域もある。；アルゼンチン・イギリス・チリの主張する地域には重なった部分がある。；テキサスの地域を最初に領有権主張したヨーロッパの国はスペインだった。；クロアチアは帝国内の他地域と比較しても体制側に協力的だった。；関東とは、日本の中の、特定の地域・地方を指す言葉・概念である。；この場合タンクや飛行機などをどう扱うかなどは地域によって異なる。；北部のかつてペルー領だった地域ではセビッチェが食べられることもある。；積雪はどの地域でも少ないが、九州山地にあたる地域ではやや多くなる。；非常に多様な地域であるが、大まかには北部と南部に分けることができる。；ある特定地域の文化が他地域へと拡大することを文化伝播と呼ぶ。；そのような作物は大規模な灌漑に依存する不毛な地域で重要になるだろう。；この様な特徴を持つチェンバロは北ヨーロッパの広い地域で製作されていた。；ブエノスアイレスと他地域とを問わずエンパナーダも広く食べられている。；これは、より変化の激しい気候の地域に生活するための適応と考えられる。；すでに医師が多くいる地域だったためこれ以上の成功は望めない状況だったという。；更に狭い地域や都市を一括りにして九州経済、大阪経済などと呼ぶこともある。；右図はロシアを中心とした地域にケッペンの気候区分を適用したものである。；現在中東と呼ばれている地域は地球上でもっとも古くから文明の発達した土地である。；各地域での携帯電話の通信規格はおおむね以下のようになっている。；現在のレバノンに相当する地域は、古代はフェニキア人の故地であった。；年間降水量は少なく冬季に集中するために雪が多くなる地域も多い。；酒が入手できた地域でも、ラマダーン期間は入手が困難になることがよくある。；色の濃い地域が九州中四国地方に、色の薄い地域が東日本を中心に広がる。</t>
        </is>
      </c>
      <c r="J5297">
        <f>HYPERLINK("https://www.weblio.jp/content/地域", "词义详情")</f>
        <v/>
      </c>
      <c r="K5297">
        <f>HYPERLINK("https://yourei.jp/地域", "查看例句")</f>
        <v/>
      </c>
    </row>
    <row r="5298">
      <c r="A5298" t="inlineStr">
        <is>
          <t>知育</t>
        </is>
      </c>
      <c r="B5298" t="inlineStr">
        <is>
          <t>成功</t>
        </is>
      </c>
      <c r="C5298" t="inlineStr">
        <is>
          <t>読み方：ちいく
徳育・体育に対して、知識の習得によって知能を高めることを目的とする教育。</t>
        </is>
      </c>
      <c r="D5298" t="inlineStr">
        <is>
          <t>知育ソフト(3%)；知育教材(2%)；知育重視(2%)</t>
        </is>
      </c>
      <c r="G5298" t="inlineStr">
        <is>
          <t>知育偏重；知育菓子</t>
        </is>
      </c>
      <c r="H5298" t="n">
        <v>29</v>
      </c>
      <c r="I5298" t="inlineStr">
        <is>
          <t>それにひどく痩せ形だったし、知育のほうも貧弱きわまるものであった。；三枚の葉で前三校を象徴すると同時に、教育の目標の知育・徳育・体育を示す。；また組み立て式のものも多く、図を見ながら組み立てることには遊びや知育の要素がある。；日本語解説サイトでは「ゲーム」と表現されており、知育ソフトと言えるような側面を持つ。；めぐみとしては徳育のことを言ったのに、夫の答えは知育のほうへ変わっている。；創業以来、幼児から子供を対象とした知育開発・英語教材の出版及び販売を行っている。；トクヨは体育の目的を身体の健康の維持・増進とし、知育・徳育の基礎であると考えた。；そこで体育の価値が新しく再評価されてくるようになり、学問ばかりが教育の内容ではなく、体育と徳育とが知育に並べられることに決定された。；こういう点でわれわれにもっと多くの真の知恵があれば、すでに多くのことを身につけているのだから教育はもっと少なくてすむだろうし、知育を受けるための金銭上の費用も大半は不要になると思わざるをえない。；閉館後は進学塾を運営する知育株式会社が新設する広域通信制高校となる計画である。；一方、私立学校においては知育重視の教育をするところもあり、必ずしも学校離れが起きているわけではない。；初期は知育系ゲームソフトをリリースしていたが、早期に純粋なゲームソフトのリリースへと戦略を転換。；そして、これ以降、日本の教育政策は知育重視から徳育重視の方針に転換することになる。；知育を拒むことと学術の奨励との明白な矛盾をついたものだ。；一般的に知育重視で、教師は板書して児童・生徒はそれをノートに書き写す授業が展開された。；あれは知育教材とかいうやつで、緑や赤や黄色の玉や立方体や円柱の形をヒモに通して。；ニンテンドーDSでは知育・教育ソフトの開発も請け負っていた。；また、映画の予告編などで普通に会話していたり、知育ビデオや番外編などで敵対せず一緒に行動していたりするなどと本編以外では仲良くしていることが多く、周囲からは素直じゃないのを指摘されたことがある。；またその効果から音の出る絵本や玩具といった知育系商品にもCMソングのメロディが収録されている。；よく学校は知育・徳育・体育の場であるといわれるが、学校が同年齢集団となる場合、知育の場としての性格が薄れて行く傾向が見られる。；礼拝堂を中心に霊育・知育・体育の教育施設が設置されており東北学院の教育の特徴を総合的にあらわしている。；どれもがこじんまりとしたパズルや知育、環境系のタイトルばかりで、俺のようなゲーム中毒者は大いに不満を募らせたものだ。；これは、従前の知識偏重教育から知・徳・体のバランスがとれた知育へのシフトを意図したものである。；スポーツクラブならではの運動や知育の充実したカリキュラムを売りにしている。；体育教師の育成を主目的としながら、体育の座学と実技のみならず、生理学や英語などの授業を取り入れていたのは、体育が知育・徳育の基礎であるとトクヨが考えていたことによる。；このアニメ番組は、タイトルから連想されるとおり、料理系の知育番組であり、主な視聴者層である子供たちが簡単にお菓子を中心とした様々な料理を手軽に作れるように制作されている。；また子供ひとりひとりの良さを活かすべく、教育だけでなく知育と徳育がバランスよく整えられた学校像を理想に据えている。；「アンパンマン」のOVA作品は、本来の主な視聴者となる乳幼児を対象にした知育教材としての要素を含んだものが主であり、世界観や既存のキャラクター・舞台の設定に変更が加えられている場合が多い。；必ずしも知育に偏してはいない。</t>
        </is>
      </c>
      <c r="J5298">
        <f>HYPERLINK("https://www.weblio.jp/content/知育", "词义详情")</f>
        <v/>
      </c>
      <c r="K5298">
        <f>HYPERLINK("https://yourei.jp/知育", "查看例句")</f>
        <v/>
      </c>
    </row>
    <row r="5299">
      <c r="A5299" t="inlineStr">
        <is>
          <t>小さい</t>
        </is>
      </c>
      <c r="B5299" t="inlineStr">
        <is>
          <t>成功</t>
        </is>
      </c>
      <c r="C5299" t="inlineStr">
        <is>
          <t>読み方：ちいさい
［形］［文］ちひさ・し［ク］
１物の形・容積・面積が、狭い空間や場所しか占めていない。「—・い家」「—・い花」⇔大きい。
２量・数が少ない。「記事を—・く扱う」「利幅が—・い商売」「—・い声で話す」⇔大きい。
３程度がわずかである。「影響が—・い」「朝晩の温度差が—・い」⇔大きい。
４規模が普通以下である。「—・い台風」「—・い会社」⇔大きい。
５範囲が狭い。「—・い問題も大事にする」
６心が狭い。度量が狭い。「気が—・い」「人物が—・い」⇔大きい。
７ささいなさま。あまり重要でない。「—・いことでくよくよするな」⇔大きい。
８年齢が少ない。幼少である。「—・いころからよく知っている」⇔大きい。
９卑下した状態である。ちぢこまっている。「隅の方で—・くなっている」
10金銭の単位が下である。こまかい。「一万円札を—・くする」
[派生]ちいさげ［形動］ちいささ［名］
[用法]ちいさい・ちいさな——「もう少し小さい（小さな）声で話しなさい」「もっと小さい（小さな）ほうがいい」など、意味の上では、相通じて用いられる。◇「小さい」には「小さい家」「小さくなる」「小さかった」のように活用があるが、「小さな」は「小さな家」「小さな希望」「声の小さな人」のように体言の前にしか使えない。◇例えば「小さい家」と「小さな家」とでは、前者はある基準に照らし合わせての客観的な形容だが、後者は表現者の主観的な判断が入っている場合がある。すなわち、「小さい家」は標準以下の意であるが、「小さな家」は標準以上であっても、周囲に比べてとか、持ち主の社会的地位から見ればとかを考えての表現になる場合がある。</t>
        </is>
      </c>
      <c r="D5299" t="inlineStr">
        <is>
          <t>小さい頃(3%)；小さいもの(3%)；小さいため(2%)；小さい時；小さいとき</t>
        </is>
      </c>
      <c r="E5299" t="inlineStr">
        <is>
          <t>若い；わずか；低い；少ない；短い</t>
        </is>
      </c>
      <c r="F5299" t="inlineStr">
        <is>
          <t>非常に小さい；最も小さい；小さいほう；比較的小さい；ごく小さい</t>
        </is>
      </c>
      <c r="G5299" t="inlineStr">
        <is>
          <t>小さい圏；小さいキュゥべえ；小さいおうち；小さいおじさん；小さい圏の圏</t>
        </is>
      </c>
      <c r="H5299" t="n">
        <v>29</v>
      </c>
      <c r="I5299" t="inlineStr">
        <is>
          <t>会社の解散が予定されているなど、会社の規模を小さくするために行う。；自分の小ささを知らない青年はとても大きく成長する事はできますまい。；その前にすでに、彼はごく小さかったころの秘密の遊びを行なっていた。；自分が今朝まで着ていた服は小さすぎる上に濡れているので着られない。；瞳が異常なほど大きく見えるのは、やはり顔の小ささゆえのことだろう。；眼は比較的小さいが、サイズ自体はヒトのものとほぼ同じ大きさである。；音高に合わせて左から右に小さくなるように円弧に配置するのが一般的。；上から背中の横の部分を持つか、胸の小さい方の角を持つと負担が少ない。；穴が大きすぎるか鍵が小さすぎるか、とにかく開くものはひとつもない。；そうして腕に抱いてみると、彼女の頭はびっくりするくらい小さかった。；装置が比較的小さいため、ある程度の水量さえあれば設置が可能である。；これは、電子署名のサイズを文書のサイズよりも小さくする効果もある。；声こそは小さかったが、そこにははっきりとした意思が込められていた。；川は小さかったが、淵のところでは広くなって六メートルに達していた。；ロボットの重量設定はシリーズ他作品よりも小さいものとなっている。；この程度のものは、あんまり小さすぎて誰も見向きもしないんだそうだ。；どんなに知識を吸収しても、貯蔵庫が小さすぎないようにしたんだろう。；流体の粘性が小さいほど変形させたり運動させたりするのが容易である。；小さいころから科学へ興味を抱き、多くのことを読書により学んでいた。；イーカロスは画面右下に小さく描かれ、海に墜落し足だけが見えている。；眼鏡を取った顔は非常に小さい目をしており、この点は母親似である。；体が小さかったものの健康体であった、と生産者の岡本章は話している。；ユリカモメの雛は小さく、他の鳥がひとのみにできてしまうほどである。；部屋が小さすぎたため、彼は家の中で完全に立つことができなかった。；彼女がまだ小さかった頃は、僕はもっとさまざまなものに目を向けていた。；そのため一般的に初心者は大きいものを、上級者は小さいものを用いる。；金はカリフォルニアの南部でも発見されたが、かなり規模が小さかった。；代わって小さくて安全な夢に彩られた歌が人々の心を惹きつけ始めた。；とは市場全体の一部を構成する特定のニーズを持つ規模の小さい市場のこと。</t>
        </is>
      </c>
      <c r="J5299">
        <f>HYPERLINK("https://www.weblio.jp/content/小さい", "词义详情")</f>
        <v/>
      </c>
      <c r="K5299">
        <f>HYPERLINK("https://yourei.jp/小さい", "查看例句")</f>
        <v/>
      </c>
    </row>
    <row r="5300">
      <c r="A5300" t="inlineStr">
        <is>
          <t>小さな</t>
        </is>
      </c>
      <c r="B5300" t="inlineStr">
        <is>
          <t>成功</t>
        </is>
      </c>
      <c r="C5300" t="inlineStr">
        <is>
          <t>読み方：ちいさな
［形動］
１容積・面積が狭い空間・場所だけを占めるさま。「字の—本」⇔大きな。
２数・量が少ないさま。「—音で聞く」⇔大きな。
３程度が少ないさま。「—被害で済む」⇔大きな。
４規模がわずかであるさま。また、範囲が狭いさま。「—集まりに出る」⇔大きな。
５価値や重要性が乏しいさま。「—問題」⇔大きな。
６年少であるさま。「—時からの友人」⇔大きな。
→小(ちい)さい［用法］
[補説] 「ちいさな」という連体形だけが用いられる。これを連体詞とする説もあるが、「声の小さな人」のように、述語としても用いられる点が一般の連体詞とは異なる。</t>
        </is>
      </c>
      <c r="D5300" t="inlineStr">
        <is>
          <t>小さな町(2%)；小さな声；小さな村；小さな穴；小さな子供</t>
        </is>
      </c>
      <c r="E5300" t="inlineStr">
        <is>
          <t>小さい；ほんの；ちょっとした；ミニ；ささやかな</t>
        </is>
      </c>
      <c r="F5300" t="inlineStr">
        <is>
          <t>小さな女の子；小さな体；小さな黒い；小さな箱；小さな集落</t>
        </is>
      </c>
      <c r="G5300" t="inlineStr">
        <is>
          <t>小さな部屋；小さな花；小さな目；小さな世界；小さな唇</t>
        </is>
      </c>
      <c r="H5300" t="n">
        <v>29</v>
      </c>
      <c r="I5300" t="inlineStr">
        <is>
          <t>内容の大部分は後半に放送するいくつかの小さなコーナーで占められる。；核となる通りと多くの小さな通りがミュンヘン中心部には広がっている。；当時まだ比較的小さな街であったが、翌15世紀には重要な都市となる。；小さな駅舎が線路東側にあり、そこから跨線橋がホームへと続いている。；その中にはわずか4歳で衰弱死した妹・節子の小さな骨片が入っていた。；または自然の地形を利用して、既存の小さな丘を用いることもあった。；小さなディスプレイを使用している人がいることも忘れないで下さい。；見ると、石になっている彼女が小さな紙切れを握っていることに気付く。；なお、これ以前から村の中で起こった小さな事件などを解決しているらしい。；駅の西側にもごく小さな広場があり、タクシー乗り場が併設されている。；芸術ホールには噴水と様々な塑像が設置された小さな公園が付属している。；個人の葛藤や懊悩がどれほど深くとも、すべては小さな物語に過ぎない。；ただし高地地中海性気候に属する地域は非常に小さな範囲に限られている。；大陸陸軍は当時のヨーロッパの標準的な軍隊から考えれば小さなものだった。；また面積が日本一小さな村で有名となり、記念観光で訪れる人も多かった。；一方、彼のピアノからは小さな音しか出なかったという批判もあった。；全体に道路や河川に沿って小さな町と先住民の集落が散らばっている。；それ以外にも小さな襲撃や捕虜となった後にさらに多くの者が死んだと信じられている。；また輪軸部分のみを載せるようにした小さな車両をロールボックという。；以前は小さな広告代理店を経営していたが、現在は専業作家となっている。；その他にも複数の小さな川が町やその郊外を流れている。；小さな建物の地下らしき場所には多くの部屋が用意されていた。；ただし、それらの形態は、小さな形の種にとどまっていたものが多い。；これは、このメソジストの学校の庭にある小さな泥レンガの建物であった。；ポケットに入れられる小さなものが若干早く市場に出た。；これはAIMDがより小さな系あるいはより短い時間に制限されることを意味する。；当時の絵画には、紙や小さな棒、または素手で指揮をする姿が描かれている。；非常に小さなコンパイラ以外、今日では2段階以上に分割されている。；地球と同じように多様体は好きなところに小さな地図が描ける図形である。</t>
        </is>
      </c>
      <c r="J5300">
        <f>HYPERLINK("https://www.weblio.jp/content/小さな", "词义详情")</f>
        <v/>
      </c>
      <c r="K5300">
        <f>HYPERLINK("https://yourei.jp/小さな", "查看例句")</f>
        <v/>
      </c>
    </row>
    <row r="5301">
      <c r="A5301" t="inlineStr">
        <is>
          <t>知恵</t>
        </is>
      </c>
      <c r="B5301" t="inlineStr">
        <is>
          <t>成功</t>
        </is>
      </c>
      <c r="C5301" t="inlineStr">
        <is>
          <t>読み方：ちえ
１物事の道理を判断し処理していく心の働き。物事の筋道を立て、計画し、正しく処理していく能力。「—を借りる」「生活の—」
２（智慧）仏語。相対世界に向かう働きの智と、悟りを導く精神作用の慧。物事をありのままに把握し、真理を見極める認識力。</t>
        </is>
      </c>
      <c r="D5301" t="inlineStr">
        <is>
          <t>知恵比べ；知恵くらべ；知恵を借りたい；知恵おくれ；知恵深慮少尉</t>
        </is>
      </c>
      <c r="E5301" t="inlineStr">
        <is>
          <t>批判；判断；知識；裁判；判決</t>
        </is>
      </c>
      <c r="F5301" t="inlineStr">
        <is>
          <t>いい知恵；お知恵；よい知恵；あらゆる知恵；深い知恵</t>
        </is>
      </c>
      <c r="G5301" t="inlineStr">
        <is>
          <t>知恵袋；知恵の輪；知恵先生；知恵遅れ；知恵の木</t>
        </is>
      </c>
      <c r="H5301" t="n">
        <v>29</v>
      </c>
      <c r="I5301" t="inlineStr">
        <is>
          <t>先生のお知恵で、なんとか、子どもを助けていただきたいと思いまして。；この本の主テーマは伝統的な知恵と政治的規範に対する彼の蔑視だった。；そこであんまり知恵のねえ話だが、まあお定まりの段取りで仕方がねえ。；心では自分を愛してくれているけれども、知恵が足りないのである。；世の中にはこんなに知恵と優しさがあるものかと、いま学んだばかりです。；私らはそれを感別する知恵で明るくせられなくてはならない。；幼い頃に流れ着いた島で、海賊達から生きるための知恵を教え込まれた。；真の知恵とは人間的な知恵を凌駕し、消し去っていく存在なのである。；この事件以降、ホームズが女性の知恵を馬鹿にすることはなくなった。；この知恵は遠く明治の昔からこの世界にはあったものらしい。；温泉は知恵ノ沢の川の近くにあり、周囲には硫黄の臭いが広がっている。；原産国では生きるための知恵を豊富に持っていると言われている。；もちろん実際は、いろいろな所でいろいろな大人達が知恵も力も貸している。；この区別を感知することは恋を失うて得たる私の唯一の知恵である。；磁気治療は、シベリアの土着宗教の知恵を借りたものだと主張している。；作物は使用すればキャラクターの知恵が上がる他に魔法作成の素材となっている。；果たして私が過去を後知恵ということにして、再び復帰すると思いますか?；われわれの知恵ではわからない、ぬけだしかたがあるのかもしれない。；ヘイズによればここでは人の知恵と十字架の言葉が対立させられているとする。；それは律法の解釈と適用を本質とするイスラエルの知恵も同様なのである。；その明白な結果や、そもそも戦争を始めた時の知恵についてである。；知恵の板の中には10以上の片を使用するものがいくつかある。；これは、おそらく知識の木の象徴であり、生命と知恵の象徴である。；この至福の世界に飛び込んで、見逃してはならない知恵を探しましょう。；現在使用されている二重丸のロゴは、「知恵の目」をイメージしている。；忍びの知恵は時代を超え、現代でも活用することができると提言する。；千変万化の知恵と力のたたかいが、やがてはじまろうとしているのです。；申し訳ありませんが、みなさんのお知恵とお手をお借りしたいと思います。；そうしてそこに、この犯人の知恵が働いていることを察したのです。</t>
        </is>
      </c>
      <c r="J5301">
        <f>HYPERLINK("https://www.weblio.jp/content/知恵", "词义详情")</f>
        <v/>
      </c>
      <c r="K5301">
        <f>HYPERLINK("https://yourei.jp/知恵", "查看例句")</f>
        <v/>
      </c>
    </row>
    <row r="5302">
      <c r="A5302" t="inlineStr">
        <is>
          <t>遅延</t>
        </is>
      </c>
      <c r="B5302" t="inlineStr">
        <is>
          <t>成功</t>
        </is>
      </c>
      <c r="C5302" t="inlineStr">
        <is>
          <t>読み方：ちえん
［名］(スル)予定された期日や時間におくれること。また、長引くこと。「雪のために列車が—した」「—証明」</t>
        </is>
      </c>
      <c r="D5302" t="inlineStr">
        <is>
          <t>遅延時間(3%)；遅延信管；遅延式ブローバック；遅延等；遅延型</t>
        </is>
      </c>
      <c r="E5302" t="inlineStr">
        <is>
          <t>遅れ；延期；預け；減速；猶予</t>
        </is>
      </c>
      <c r="F5302" t="inlineStr">
        <is>
          <t>低遅延；大幅な遅延；列車遅延；発育遅延；アルゴリズム遅延</t>
        </is>
      </c>
      <c r="G5302" t="inlineStr">
        <is>
          <t>遅延損害金；遅延線；遅延行為；遅延証明；遅延シェーディング</t>
        </is>
      </c>
      <c r="H5302" t="n">
        <v>29</v>
      </c>
      <c r="I5302" t="inlineStr">
        <is>
          <t>この火災が原因で、新しい駅の営業開始は数ヶ月遅延することになった。；一般的にゲーム用の回線では速度よりも低遅延性や安定性が重要となる。；理論的には回路が大型化すれば信号の遅延によって動作速度は低下する。；ただし、大幅な遅延が発生した場合は延長運転を取りやめることがある。；また、テレビのサイズが大きいほど、この遅延は大きくなる傾向がある。；遅延制御に使ったり、指定時刻まで実行をブロックするのに使われる。；遅延戦術がうまくいっている一方で、大陸会議は違う方向に行っていた。；これは鉄道の輸送能力が低く、遅延や混雑が日常化している為である。；しかし、CIF命令の効果が遅延している状態かどうかは判別できない。；これは相手を油断させるために意図的に遅延行軍したものと思われる。；しかし一方で、キューを使って処理を遅延させることが可能な部分もある。；遅延の原因はアンサルドブレーダでの製造が遅れていることが原因であった。；これらに関連してオンラインゲームで発生する遅延のことを指すこともある。；ある時間だけ遅延させて何かを実行するのに使うこともある。；内部レジスタは超音波を結晶中で反射させその遅延時間を利用していた。；このため、結果通知が遅延しても、認定の空白期間が生じることはない。；そのような命令実行時間の長さはパイプラインや割り込み遅延に影響する。；当初それは人工衛星による通信での長い遅延に対応するためのものであった。；現代のコンピュータではマルチパスであってもそのような遅延は生じない。；復旧作業の困難化を狙った遅延の長時間化は後期バージョンから採用された。；これは改正交渉遅延の手段に他ならなかったが、一応の諒承を得た。；文には、時間を消費しない文と、ある一定サイクル数の遅延がある文がある。；この時は70便以上のフライトが中止され、また多くの便で遅延が発生した。；DTNは遅延を伴うような長距離での通信の標準化を目指して設計された。；ストリームを最小限の滞留とさせ低遅延処理となるように扱う形態を指す。；そのため、コンピュータで制御する場合などにその遅延時間を考慮する必要がある。；だがその後の戦時体制に伴って事業は次第に遅延・中断を余儀無くされた。；爆発までの遅延時間を確保するためにパラシュートも装備できる。；遅延したときなどに限り、120 km/h運転が行われることがある。</t>
        </is>
      </c>
      <c r="J5302">
        <f>HYPERLINK("https://www.weblio.jp/content/遅延", "词义详情")</f>
        <v/>
      </c>
      <c r="K5302">
        <f>HYPERLINK("https://yourei.jp/遅延", "查看例句")</f>
        <v/>
      </c>
    </row>
    <row r="5303">
      <c r="A5303" t="inlineStr">
        <is>
          <t>地下</t>
        </is>
      </c>
      <c r="B5303" t="inlineStr">
        <is>
          <t>成功</t>
        </is>
      </c>
      <c r="C5303" t="inlineStr">
        <is>
          <t>読み方：じげ
１清涼殿殿上(てんじょう)の間に昇殿することを許されていない官人の総称。また、その家柄。一般には蔵人(くろうど)を除く六位以下をいう。地下人。⇔堂上。
２官職・位階など公的な地位をもたないこと。また、その人・身分。農民や庶民。民衆。地下人。
３地元の人。土着の人。地下人。
４自分の住んでいる村など。地元。</t>
        </is>
      </c>
      <c r="D5303" t="inlineStr">
        <is>
          <t>地下牢(3%)；地下駐車場；地下化；地下室；地下深く</t>
        </is>
      </c>
      <c r="E5303" t="inlineStr">
        <is>
          <t>アジト；魔界；根城；アンダーグラウンド；牙城</t>
        </is>
      </c>
      <c r="F5303" t="inlineStr">
        <is>
          <t>地下倉庫；地下ホーム；地下工場；地下洞窟；地下連絡</t>
        </is>
      </c>
      <c r="G5303" t="inlineStr">
        <is>
          <t>地下室；地下道；地下水；地下街；地下駅</t>
        </is>
      </c>
      <c r="H5303" t="n">
        <v>29</v>
      </c>
      <c r="I5303" t="inlineStr">
        <is>
          <t>当駅から泉中央駅までは地上区間であり、この駅の南で地下区間となる。；地下10階に下り先へ進む彼らの前に村正を手にした侍が立ちはだかる。；多くの市民が包囲された町から地下トンネル等を使って脱出した。；地下と各ホームを結ぶ階段から京都側は、各ホーム共に幅員がかなり狭い。；写真は阪神の地下入口があるため昭和9年以降のものであると推測される。；地下西口は、駅の南北を縦断する地下道に面した地下に設けられている。；地上に採光窓があり、地下のホームまで自然光が届く設計となっている。；ほとんど地下区間での運用となることから、大半の編成が冷房準備車だった。；改札口部分の巨大なドーム空間は、地下とは思えない空間を演出している。；貯蔵室は石灰岩の地下深くに掘られた洞窟を使用していることが多い。；その後、SRCにより遺跡公園の地下に運ばれ、再び長い眠りについた。；大宮駅を出ると、しばらく地下を走行し、鉄道博物館の横で地上に出る。；小さな建物の地下らしき場所には多くの部屋が用意されていた。；きた通路が地下1階にあるため、階段とエスカレーターが設置されている。；米軍も同様に爆撃を行ったが地下要塞を破壊することは出来なかった。；出入り口から駅中央に1箇所ある改札までは地下の通路を歩く必要がある。；これは日本で最初に開業した営業用の地下路線である。；京都本線は当駅のすぐ西で地下に潜り、当駅以東は四条通の直下を走る。；南改札口の外はLoop金山の地下2階となっており、店舗が数軒ある。；ただし、これには地震計の設置場所と地下構造の問題もあるとされる。；浅草線はホームの浅草橋方に両ホーム間を結ぶ地下連絡通路が設置されている。；地下ホームを発着する全ての列車は難波線に直通して大阪難波駅まで至る。；地上部のつるを刈り取っても地下に根茎が残り、すぐにつるが再生する。；担根体は地下深くへとまっすぐに伸びて、1メートルを超えることもある。；当駅は総武本線の地下区間に設置されている駅の一つである。；現在は路線も地下化され、地上部は遊歩道などに再転用されている。；なお現在、同海面地下にはトンネル構造の臨港幹線道路が計画されている。；また、地下4階にある特別な回復の泉では上級職に転職することができる。；名古屋市営バスは主に地下鉄が地下を通らない広小路通を通過している。</t>
        </is>
      </c>
      <c r="J5303">
        <f>HYPERLINK("https://www.weblio.jp/content/地下", "词义详情")</f>
        <v/>
      </c>
      <c r="K5303">
        <f>HYPERLINK("https://yourei.jp/地下", "查看例句")</f>
        <v/>
      </c>
    </row>
    <row r="5304">
      <c r="A5304" t="inlineStr">
        <is>
          <t>近い</t>
        </is>
      </c>
      <c r="B5304" t="inlineStr">
        <is>
          <t>成功</t>
        </is>
      </c>
      <c r="C5304" t="inlineStr">
        <is>
          <t>読み方：ちかい
［形］［文］ちか・し［ク］二つのものが空間的、時間的に、また心理的に離れていないさま。
１距離の隔たりが少ない。遠くない。「駅に—・い」⇔遠い。
２時間の隔たりが少ない。「正月が—・い」「—・いうちに完成する」「年のせいかトイレが—・い」⇔遠い。
３関係が密である。親密である。「半年の交際で—・い間柄になる」「首相に—・い人々」⇔遠い。
４血のつながりが密接である。「—・い親戚」⇔遠い。
５性質・内容・程度などの隔たりが少ない。「オレンジ色に—・い赤」「理想に—・い相手」⇔遠い。
６（「目が近い」の形で）近眼である。「細かい字を見すぎて目が—・くなった」⇔遠い。
[派生]ちかさ［名］</t>
        </is>
      </c>
      <c r="D5304" t="inlineStr">
        <is>
          <t>近いもの(5%)；近いところ(2%)；近い将来；近い場所；近い状態</t>
        </is>
      </c>
      <c r="E5304" t="inlineStr">
        <is>
          <t>同じ；同様；同じよう；似た；似ている</t>
        </is>
      </c>
      <c r="F5304" t="inlineStr">
        <is>
          <t>一番近い；非常に近い；いちばん近い；十近い；もっとも近い</t>
        </is>
      </c>
      <c r="G5304" t="inlineStr">
        <is>
          <t>近いん；近いい；近いいい；近いうち解散</t>
        </is>
      </c>
      <c r="H5304" t="n">
        <v>29</v>
      </c>
      <c r="I5304" t="inlineStr">
        <is>
          <t>これらのほとんどは、かつてはカラス属に近縁だろうと考えられていた。；海の近さははっきりとした夏と冬をもたらし、春と秋は過ごしやすい。；近縁の化学物質であっても別のグループに分類されている場合がある。；ただしこれらは、現在のガビチョウ亜科の中では特に近縁な関係にない。；前者はポーランドに近い西部に多く、後者はロシアに近い東部に多かった。；完全世代が近縁なものは、分生子の形成型が似ているという判断である。；政府が官選文芸委員の名を発表するの日は近きにありと伝えられている。；彼はそのころ卒業に近かったが、ある下宿屋からまだ大学に通っていた。；上記のような明らかな否定語以外にも、意味的に否定に近い語・表現もある。；初めてこれらが近縁の種であると発見したのは鳥類学者のであった。；これらは小数に近い考えだが、度量衡それぞれで異なる小単位があった。；しかも島にすむ生物は、ほとんどの場合最も近い大陸の生物と近縁である。；しかも島にすむ生物は、ほとんどの場合最も近い大陸の生物と近縁である。；従って山の形も実際に近きものもあり、又想像的のものも少なくない。；このグループはその名の通り、哺乳類およびその近縁の生物であった。；近縁種を見分けるには背びれと側線の間にある鱗の列がポイントとなる。；複数の研究から、現存する最も近縁な種はミノバトと示唆されている。；分子系統解析ではミヤマクワガタ属と近縁であることが示唆されている。；また、明日では近すぎて未来では遠すぎるという意味が込められている。；しかしその後ふたたび、スズメ小目に近縁である可能性も指摘されている。；この言はやや人情に近きが如くなれども、元来その家とはいかなる家か。；近・現代では、概して言えば、十進法表記が用いられていることが多い。；フルリ人が築いたミタンニ王国で使用されたフルリ語と近縁関係にある。；島の最南端の半島にグレート・ソルト池と言う湖に近い大きな池がある。；古くはチドリ科 と近縁だと考えられたこともあったが、特に近縁ではない。；カッコウ目も に含まれるが、エボシドリ目とそれ以上には近縁でない。；こちらも分布は複雑で、近縁種であっても異なるタイプをもっている場合がある。；それまでの「古代小説」から近・現代小説への過渡期的な小説形態である。；なお、近縁の数亜科にまたがる種類の魚をまとめてプレコと呼んでいる。</t>
        </is>
      </c>
      <c r="J5304">
        <f>HYPERLINK("https://www.weblio.jp/content/近い", "词义详情")</f>
        <v/>
      </c>
      <c r="K5304">
        <f>HYPERLINK("https://yourei.jp/近い", "查看例句")</f>
        <v/>
      </c>
    </row>
    <row r="5305">
      <c r="A5305" t="inlineStr">
        <is>
          <t>違い</t>
        </is>
      </c>
      <c r="B5305" t="inlineStr">
        <is>
          <t>成功</t>
        </is>
      </c>
      <c r="C5305" t="inlineStr">
        <is>
          <t>読み方：たがい
ちがっていること。合っていないこと。相違。「評判に—はない」</t>
        </is>
      </c>
      <c r="D5305" t="inlineStr">
        <is>
          <t>違います(2%)；違いなかった；違いすぎる；違いありません；違いなかろ</t>
        </is>
      </c>
      <c r="E5305" t="inlineStr">
        <is>
          <t>距離；差；異なり；相違；開き</t>
        </is>
      </c>
      <c r="F5305" t="inlineStr">
        <is>
          <t>見当違い；行き違い；大違い；見間違い；主な違い</t>
        </is>
      </c>
      <c r="G5305" t="inlineStr">
        <is>
          <t>違いを除いて；違い鷹の羽；違い目</t>
        </is>
      </c>
      <c r="H5305" t="n">
        <v>29</v>
      </c>
      <c r="I5305" t="inlineStr">
        <is>
          <t>アニメは原作と違いストーリーが大幅に変更されたものになっている。；男性と女性では刺激を受けている際の脳の変化に違いが認められた。；基本的な機構は他の生物でも同じであるが、細部には違いが見られる。；旅客の利便性目的ではない点が一般的な多層建て列車等との違いである。；本編映像に採用されたのは2回分で、落下の仕方などに違いがみられる。；この方向の違いを共に取り入れたのが現代の日本の花火技術である。；どちらも一長一短があり、両者の違いは論文などで議論されることもある。；同じ穀醤の中でも特定地域に集中している醤油製造との違いでもある。；その違いは、イギリス英語とアメリカ英語の違いと同程度のものである。；国や文化などによって違いはあるが、一般的な印象は次のようなものである。；料金の違いは観戦場所によるもののみであり、座席の仕様に違いはない。；私たちはこの高貴な努力のために彼に感謝するに違いありません。；難易度はその乱流に含まれている混合長さの尺度の違いに強く依存する。；各地の方言の発音を構成する要素の数には下記のような違いがある。；そのため色彩学では面色と表面色という色の見え方の違いが重要とされている。；このことからも東西の弾道ミサイル思想の違いがはっきり表れている。；欠陥とは、理想状態を想定できる物事における理想状態との違いである。；そして電気は一種類だとし、強さや量の違いが様々な現象を引き起こすとした。；いずれも他馬とのスピードの違いに任せて逃げきるという内容であった。；シーズン終了後には彼らはそこには違いがあったことをぼくに白状したんだよ。；漫画とアニメとの違いを肌で感じ、この経験をきっかけにアニメ制作に興味を持つ。；構造の違いなどによる、両者の主な特徴をまとめると次のようになる。；共通語とは、ある地域や集団の違いを超えて共通に用いられる言語。；それぞれの違いはコミュニケーションの手段に何を使うかである。；現行の編成では編成組成や機器の違いからそれぞれ呼称方法がある。；こうした場合、感じている時間の速さに相対的な違いがあると言える。；色覚の違いが表面化するのは、複数の色の区別に困難が生じるなどの場合である。；係り結びをどう用いるかによって、文全体の意味に明確な違いが出た。；しかし一般にはこの違いは意識されず混同されることが多い。</t>
        </is>
      </c>
      <c r="J5305">
        <f>HYPERLINK("https://www.weblio.jp/content/違い", "词义详情")</f>
        <v/>
      </c>
      <c r="K5305">
        <f>HYPERLINK("https://yourei.jp/違い", "查看例句")</f>
        <v/>
      </c>
    </row>
    <row r="5306">
      <c r="A5306" t="inlineStr">
        <is>
          <t>誓う</t>
        </is>
      </c>
      <c r="B5306" t="inlineStr">
        <is>
          <t>成功</t>
        </is>
      </c>
      <c r="C5306" t="inlineStr">
        <is>
          <t>読み方：ちかう
［動ワ五（ハ四）］
１神仏に対してあることを固く約束する。「神かけて—・う」
２他人に対して、あることの実行を固く約束する。また、自分の心中で固く決意する。誓約する。「将来を—・う」「必勝を心に—・う」
３仏・菩薩または神が、国土を守り、衆生を救おうと願う。
「頼もしな法の守りと—・ひてぞ我が山もとを神はしめけん」〈玉葉集・神祗〉
[可能]ちかえる</t>
        </is>
      </c>
      <c r="D5306" t="inlineStr">
        <is>
          <t>主張；約束；断言；決意する；明言</t>
        </is>
      </c>
      <c r="F5306" t="inlineStr">
        <is>
          <t>固く誓う；賭けて誓う；改めて誓う</t>
        </is>
      </c>
      <c r="H5306" t="n">
        <v>29</v>
      </c>
      <c r="I5306" t="inlineStr">
        <is>
          <t>この体験を無にしないため、同地には非戦の誓いの碑が建てられている。；そこで学問で名を上げ、彼とも同じ立場で話せる立場となることを誓う。；オリヴィエは姉から期待されてるとおりの者になろうとみずから誓った。；それが真実だと誓うことはできないが、わたしは真実だと信じている。；これは図書館開設当初行われていたラテン語の誓いを翻訳したものである。；娘に恋の詩を送ったり、愛を誓うおくりものをとり交わしたりするとは!；忠誠など誓われても困るのだが、彼は頑として言うことを聞かなかった。；彼女が何にも言わない先に、彼は彼女にもう出発しないと誓わした。；この町を出ていく頃には子供が安心して住める町にしてみせると誓う。；夏の陣の前には信之の元に帰るよう言われるが、共に戦うことを誓う。；無事に足元の確かな土地に立てたため、彼女は自らの誓いを実行した。；ヒョルヴァルズルは知りえた最も美しい女性を手に入れると誓いをたてた。；ルースとは愛を誓っていないが、僕のものだし、二人とも愛を感じている。；そんな先生の姿を見て、遊真はもう少ししっかりしようと心に誓った。；結婚五十年を過ぎても変わらぬ愛を誓い合うエドガーとエステルの老夫婦。；あきらめきれない彼は、彼女に認めてもらうために努力をすることを誓う。；お夏は神に誓って、戯にもかかる挙動をすべき身ではないのであった。；その男の正体に気付いた半十郎と飯塚は、このことを誰にも言わぬと誓う。；ソニアは自分より強い男以外には決して心を許さないことを誓った。；はじめはどんなに奇妙に見えても、幸福たることを誓わねばならぬ。；新帝が全員を集めたのは、新しい帝に変らぬ忠誠を誓わせるためだった。；処女は嫁には行かないと神に誓いを立てたが、父親はそれを認めなかった。；私はここで事件について述べたことはすべて真実であることを誓う。；光子のために松木の存在なんか無視してやれ、とそう彼は心の中で誓った。；ラインハルトはかつて立てた誓いの実現に向けて新たな一歩を踏み始める。；その多くが旧宗主国に忠誠を誓ったため、故郷との関係が希薄となった。；誓わないと云えば、その場で私も彼女と同じ運命にならなければなりません。；所で、この愛は彼等よりも、より一層高いものに於いて誓うのでしょうか?；空の星を一つ選んで、毎晩二人とも同じ時刻にそれを見ようと誓った。</t>
        </is>
      </c>
      <c r="J5306">
        <f>HYPERLINK("https://www.weblio.jp/content/誓う", "词义详情")</f>
        <v/>
      </c>
      <c r="K5306">
        <f>HYPERLINK("https://yourei.jp/誓う", "查看例句")</f>
        <v/>
      </c>
    </row>
    <row r="5307">
      <c r="A5307" t="inlineStr">
        <is>
          <t>違う</t>
        </is>
      </c>
      <c r="B5307" t="inlineStr">
        <is>
          <t>成功</t>
        </is>
      </c>
      <c r="C5307" t="inlineStr">
        <is>
          <t>読み方：たがう
［動ワ五（ハ四）］
１相違する。一致しない。ちがう。「寸分—・わない」
２ある基準からはずれる。また、従わない。そむく。「予想に—・わぬ結果」「神の教えに—・う」
［動ハ下二］「たがえる」の文語形。</t>
        </is>
      </c>
      <c r="D5307" t="inlineStr">
        <is>
          <t>違うんです；違うらしい；違うでしょ；違う違う；違うんだろ</t>
        </is>
      </c>
      <c r="E5307" t="inlineStr">
        <is>
          <t>変化；異なる；相違；動く；変わる</t>
        </is>
      </c>
      <c r="F5307" t="inlineStr">
        <is>
          <t>まったく違う；まるで違う；全然違う；少し違う；ちょっと違う</t>
        </is>
      </c>
      <c r="H5307" t="n">
        <v>29</v>
      </c>
      <c r="I5307" t="inlineStr">
        <is>
          <t>両者の違いは物語の中盤あたりの記述が大きく違っているところにある。；日本とは常識感の違った環境が多い中でも順応している様を見せている。；五十に近い老人とも思えるし、自分とはいくつも違わないとも思われる。；英語名と違ってこちらの語は日本語に移入されているとまでは言えない。；年齢も二つしか違わないので故郷では兄弟とおなじ付き合いをしてきた。；商業圏の間で商品の値が違うので、客商はこれを利用して利益を上げた。；そのため終点で折り返して同じルートを戻る場合に違う系統番号となる。；別の手法は端のセルの近傍を一般のセルとは違う内容にする手法である。；その時になって、始めて誰も祖父の目利の違わなかったのを感じました。；違うキャラクターが描いてあるからといって、必ずしも違う種類ではない。；今までのニュースとはまったく違う番組にするし、組織も新しく作る。；コンピュータの機種によって違う文字が表示されるコード領域となった。；私と彼女は元々同一人物なのだから、男性の趣味もそう違わないはずだ。；世俗の領主と違って、聖界領主は世襲される心配がなかったからである。；単に思い出したのではなく、寸分違わぬ夢をもう一度見た感覚であった。；また、現実とは違った法則を設定した世界を作り出すことも考えられる。；だが、周囲の色に引きずられて物の色が違って見えては困るであろう。；ただ、現在は家を売却してしまっており、違う家に住んでいるという。；違った国で同じ名称を持つ編制を区別するには2つの方法があります。；頭の角の形状と生え方および首のひれの形状はそれぞれの首で違う。；また、同一時代にあっても識者の立場によっても違う見方をされている。；皮だけで生きている人間は、土だけで出来ている人形とそう違わない。；またその古流柔術にもどの時代に発達した柔術かにより技術体系が違う。；テレビシリーズでも、構成が違うもの同内容のエピソードが放映された。；これらはほんの一部しか違わないが、その違いは決定的かつ重要である。；それぞれに違った環境でそれぞれの悩みを抱えつつ夜間に通う生徒たち。；しかし、問われるたびに違った答えを話したため、今なお混乱がある。；かつては番組ごとに違う曲を採用していたが、後に同じ曲を使うようになった。；今はみんなロボットみたいでどれもこれも顔は違うけど言っていることは同じだわ。</t>
        </is>
      </c>
      <c r="J5307">
        <f>HYPERLINK("https://www.weblio.jp/content/違う", "词义详情")</f>
        <v/>
      </c>
      <c r="K5307">
        <f>HYPERLINK("https://yourei.jp/違う", "查看例句")</f>
        <v/>
      </c>
    </row>
    <row r="5308">
      <c r="A5308" t="inlineStr">
        <is>
          <t>違える</t>
        </is>
      </c>
      <c r="B5308" t="inlineStr">
        <is>
          <t>成功</t>
        </is>
      </c>
      <c r="C5308" t="inlineStr">
        <is>
          <t>読み方：たがえる
［動ア下一］［文］たが・ふ［ハ下二］
１一致しないようにする。くいちがわせる。「順序を—・える」「方針を—・える」
２すでに決まったことに従わないようにする。そむく。「約束を—・える」
３判断や行動を誤る。まちがえる。「計算を—・える」「道を—・える」
４方違(かたたが)えをする。
「いづくにか—・へむ」〈源・帚木〉</t>
        </is>
      </c>
      <c r="D5308" t="inlineStr">
        <is>
          <t>違えることなく</t>
        </is>
      </c>
      <c r="E5308" t="inlineStr">
        <is>
          <t>変更；変化；改造；動く；改正</t>
        </is>
      </c>
      <c r="F5308" t="inlineStr">
        <is>
          <t>読み違える；聞き違える；とり違える；擦れ違える；思い違える</t>
        </is>
      </c>
      <c r="H5308" t="n">
        <v>29</v>
      </c>
      <c r="I5308" t="inlineStr">
        <is>
          <t>僕に対しても君はそうだったし、約束を違えたことは一度もないらしい。；忘れるわけにも違えるわけにもいかない約束が、既にこの胸の中にある。；同じ名前のステージであってもルートが違えばステージ構造は異なる。；どのような言葉を借りて来ても、思想が違えば出来上ったものは別である。；軌道は途中で二股に分かれていて、そこですれ違えるようになっている。；俺は、今年で六十七だが、人の話を聞き違えるほど耄碌しちゃいねえよ。；よほどの阿呆でもなければ、彼女のいう意味をとり違える者はいるまい。；それは矢張りどうも自分の聞き違えだったように私にも思われて来た。；その代りに範囲が違えばそれぞれに違った方面に言葉は変化して行く。；実際発音が違っているならばそれを書き違えることはないはずであります。；ちょっと舵をとり違えると、船は岩角に衝突して大変なことになるのだ。；事情を知らない人間が傍から見れば、十中八九立場を読み違えるだろう。；意味が違えば様子も違うのがもっともだといったような話であります。；提灯を持っていないようなのに、違えずにすぐ後を足音が追ってきていた。；たとえ隣の街までの往復でも、管轄する官府が違えば旅券が必要になる。；立場も愛情の質も違えど、二人の男性が今の私を幸福にしてくれた。；あの人はそれを、どうしても口にすることができなかったに違えねえ。；立場が違えば、できることとできないことの違いはとても大きくなる。；哀れな話だ、彼らは形は違えど、どの刀も似たような欠陥をもっている。；六代目と私とでは声も違えば形も違う、第一に腕が違うんですからね。；何を言っているのかは聞きとれなかったが、あの声を聞き違えるはずはない。；この地方には珍しく、農耕用の車がすれ違えるほどの幅を持つ道であった。；各自それぞれの主張や意見を違えて、独自性や特徴を出す必要があった。；サイズ表記が同じでも、銘柄が違えば寸法データは多少違う場合がある。；例の通り何も知らない母は、それをただの眠りと思い違えてかえって喜んだ。；この銭をおしんで密告でもしたら、この若えのは俺をバラすに違えねえ。；朝日を受けた川に、人がようやくすれ違えるほどの板橋がかかっている。；それは宿命的な列車のように予定の時刻を違えることなく駅に近づいてくる。；もっとも、住む世界が違えば、助けを求めたくても求めようがないのだが。</t>
        </is>
      </c>
      <c r="J5308">
        <f>HYPERLINK("https://www.weblio.jp/content/違える", "词义详情")</f>
        <v/>
      </c>
      <c r="K5308">
        <f>HYPERLINK("https://yourei.jp/違える", "查看例句")</f>
        <v/>
      </c>
    </row>
    <row r="5309">
      <c r="A5309" t="inlineStr">
        <is>
          <t>近く</t>
        </is>
      </c>
      <c r="B5309" t="inlineStr">
        <is>
          <t>成功</t>
        </is>
      </c>
      <c r="C5309" t="inlineStr">
        <is>
          <t>読み方：ちかく
［名］
１近い所。近辺。「—にある公園」「—の商店」
２数詞の下に付いて、それには達しないが、ほぼそれに近いくらい、の意を表す。「三十—の男」「五時—に終わった」
［副］近いうちに。遠からず。まもなく。「—完成の予定です」</t>
        </is>
      </c>
      <c r="D5309" t="inlineStr">
        <is>
          <t>近く経過；近くかかる；近くに建てられ；近く遅れ；近く経つ</t>
        </is>
      </c>
      <c r="E5309" t="inlineStr">
        <is>
          <t>もう；側；やがて；あたり；周囲</t>
        </is>
      </c>
      <c r="F5309" t="inlineStr">
        <is>
          <t>海岸近く；駅近く；昼近く；国境近く；一時間近く</t>
        </is>
      </c>
      <c r="G5309" t="inlineStr">
        <is>
          <t>近くて遠い国</t>
        </is>
      </c>
      <c r="H5309" t="n">
        <v>29</v>
      </c>
      <c r="I5309" t="inlineStr">
        <is>
          <t>冷たいカリフォルニア海流のために海岸近くで霧が発生することが多い。；しかし、これらの原因が何であるのか、約100年近く謎とされていた。；これらの路線は鉱山を近くの輸送ポイントに接続する工業用であった。；これは後に海岸近くの岩の上などに生息するものであることがわかったという。；一説に藩の収入の3分の1近くをこの事業に注ぎ込んだといわれている。；これらの島のうち、いくつかは構造的に近くの大陸とくっついている。；例えばブロックを近くに運んできたり遠くへ移動させたりすることができる。；特に乳幼児への使用は危険であり、近くでの使用も避けるべきである。；もしこれが本当なら月は2倍近くも大きさが変化するように見えるはずである。；その当時の地図では広島駅通過後、京橋川の近くまで線路が延びていた。；主人公たちと同時に船も移動先の城や町の近くへ移動する。；するとハレー彗星は1000万年近く存在していることが見積もられた。；しかしながら予定価格が X68030の倍近くになると予測されていた。；以上の理由から、司令部またはその近くには将官が1枚以上あるとよい。；イマームたちが存命中その近くにいた教友たちの意見の一致である。；海岸部近くにはが走り、そこから海岸まではわずかな平野が広がっている。；火山に近く泉源数が多いため、市内の入浴施設のほとんどが温泉である。；そしてイオン温度は室温に近く、電子温度は数千度であることが多い。；主はいつも近くにいて、人類の歴史の中で働いておられます。；ハイデルベルク大学の近くにユダヤ人学生のための専門大学が設けられた。；鉄鉱石の大規模な鉱床はカーブルの西のハージガク峠の近くで見られる。；彼は30年近くもの間エステルハージ家で働き、数多くの作品を作曲した。；その中心となる施設が大島町絵本館で、鳥取の里の近くに建てられている。；どちらかというと味はスープに近く、主食のツァンパを練るのにも使う。；近くに強力な磁石があると影響を受けて変化することがある。；ただし、禁煙席でも近くに喫煙スペースが設けられている場合がある。；または熱帯低気圧内の暖気核が消滅して温帯低気圧に近くなることもある。；近くの江東区門前仲町には、伊能忠敬宅跡を示す石碑が建てられている。；その近くにある纒向遺跡もまた邪馬台国の中心地として有力視される。</t>
        </is>
      </c>
      <c r="J5309">
        <f>HYPERLINK("https://www.weblio.jp/content/近く", "词义详情")</f>
        <v/>
      </c>
      <c r="K5309">
        <f>HYPERLINK("https://yourei.jp/近く", "查看例句")</f>
        <v/>
      </c>
    </row>
    <row r="5310">
      <c r="A5310" t="inlineStr">
        <is>
          <t>近頃</t>
        </is>
      </c>
      <c r="B5310" t="inlineStr">
        <is>
          <t>成功</t>
        </is>
      </c>
      <c r="C5310" t="inlineStr">
        <is>
          <t>読み方：ちかごろ
［名］このごろ。最近。近来。副詞的にも用いる。「—の若い者は」「—手に入れた品」
［副］《「近ごろになく」の意から》はなはだ。非常に。
「—かたじけなし」〈咄・露がはなし・二〉
［形動ナリ］
１大変結構だ。
「それは—にて候」〈謡・芭蕉〉
２もってのほかだ。
「やい石見守、—なる雑言」〈浄・本朝用文章〉
→最近［用法］</t>
        </is>
      </c>
      <c r="D5310" t="inlineStr">
        <is>
          <t>近頃流行；近頃になつて；近頃はやり；近頃珍しい；近頃出来</t>
        </is>
      </c>
      <c r="E5310" t="inlineStr">
        <is>
          <t>現在；今；今日；現代；最近</t>
        </is>
      </c>
      <c r="F5310" t="inlineStr">
        <is>
          <t>近頃とんと；近頃漸く；近頃大分；近頃ようやく；近頃しきりに</t>
        </is>
      </c>
      <c r="H5310" t="n">
        <v>29</v>
      </c>
      <c r="I5310" t="inlineStr">
        <is>
          <t>日本は何処へ行つても日本だといふことを私は近頃ますます強く感じる。；近頃また電気の熱で勝手な形の瓶などを作る法が発明されたそうである。；近頃お桐の顔を見たことがなく、又言葉をかはしたことも殆どなかつた。；私は是等の景色を眺めながら近頃妻の私に言つた言葉を思ひ出してゐた。；彼はこの墓場が近頃みていた狼男たちの夢の舞台であることに気づいた。；親がそれを知った際はずっと怒っていたが近頃は少し優しくなったらしい。；母は賃仕事などをしていたが、それも病身で近頃はやめていると言った。；馬吉のオカカは、どうも近頃アネサの様子が変だと思っていたのである。；近頃の子供は、この九州のキュウリやナスに似ているような気がします。；その杯を一つさしてくれんか、お父さんも近頃はええ酒も飲めんでのう。；ところが、近頃になりまして、私の心にある不思議な変化が起りました。；私は秋の季節になると近頃よくこんな事を考えさされるのである。；近頃の人たちの分別理性はすっかり彼らの感情の間で窒息しているのだ。；近頃、僕は研究書を読んで自分の詩の解釈が誤っていたことを教えられる。；近頃の日本の広告美術家達は画家達よりもモダンの尖端に立っています。；しかし近頃私が一切経の中に出しました書物の中にも非常に良い書物がある。；僕は近頃になって、それが愛情の分散であることにはっきり思い当った。；近頃夫を失つた彼女は熱心に彼女の両親や兄弟のことを話してゐた。；未来に今朝のような明るさを覚えたことが近頃の自分にあるだろうか。；近頃すっかり逆になってきちゃってね、曲の方が簡単になってきてるんですね。；それを知つた栖鳳などは、近頃は娘を連れて来ても一向相手にならない。；あるひは君は近頃さういふことすらも無くなつてゐるのではないか?；私は近頃迄それを知らずにゐたのだが、さう聞いてから山梔を止めにした。；結構だが近頃はおいおいとそれが迷惑ともなりつつあるようでもある。；しかし近頃はだんだんと足は延びつつ短かいスカートから現れ出て来た。；「かういふ会は近頃珍しいね」 彼女を挟んで、二人の男が向ひ合つた。；そして、近頃は新聞を見ても広告欄には全然眼を触れないやうに努めてゐる。；俊夫君の名が高くなったので、近頃は日に二三人の事件依頼者があります。；私は秋の期節になると近頃よくこんな事を考えさされるのである。</t>
        </is>
      </c>
      <c r="J5310">
        <f>HYPERLINK("https://www.weblio.jp/content/近頃", "词义详情")</f>
        <v/>
      </c>
      <c r="K5310">
        <f>HYPERLINK("https://yourei.jp/近頃", "查看例句")</f>
        <v/>
      </c>
    </row>
    <row r="5311">
      <c r="A5311" t="inlineStr">
        <is>
          <t>地下水</t>
        </is>
      </c>
      <c r="B5311" t="inlineStr">
        <is>
          <t>成功</t>
        </is>
      </c>
      <c r="C5311" t="inlineStr">
        <is>
          <t>読み方：ちかすい
地中の土砂や岩石のすきま・割れ目などに存在する水。自由地下水と被圧地下水とがある。</t>
        </is>
      </c>
      <c r="D5311" t="inlineStr">
        <is>
          <t>地下水汲み上げ；地下水系；地下水等；地下水涵養；地下水ポテンシャル</t>
        </is>
      </c>
      <c r="F5311" t="inlineStr">
        <is>
          <t>過剰な地下水；カルスト地下水；良質な地下水；こうした地下水；掘って地下水</t>
        </is>
      </c>
      <c r="G5311" t="inlineStr">
        <is>
          <t>地下水脈；地下水路；地下水面；地下水道；地下水汚染</t>
        </is>
      </c>
      <c r="H5311" t="n">
        <v>29</v>
      </c>
      <c r="I5311" t="inlineStr">
        <is>
          <t>かつて繊維産業が多かったのも豊富な地下水を生かしてのものであった。；大規模な田舎の庭を除き、池泉には一般に流入水や地下水は供給されない。；数百年の歳月をかけて自然が創り出した火山岩の地下水といわれている。；このような地下水の量は、地上でのダムなどと同様に貯留量で表現される。；これらの川の水は、雪融け水や雨、湧出した地下水がもととなっている。；この付近は地下水が豊富で古くからの日本酒の名産地として知られている。；また水を吸い込みやすい地質であるので地下水の供給源ともなっていた。；雪や雨は一時的な現象なので、川の持続的な水源は地下水である所が多い。；このメルゲルの下には南から流れてきたカルスト地下水が貯まっている。；また、周囲の地下水も施設のトイレに使うために集められることになっている。；のみならず地下水の石を鑿つやうにじりじり実行へも移らうとしてゐた。；産業活動や市民生活などにおいて地下水の利用が活発な地域でもある。；運河は地下水レベルを下げたが、その排水能力は雨季には足りなかった。；降水が地表で直接河川に流れ込む以外に、地下水から川に入る水もある。；氷期に形成されたエムスタールの粗い岩は、地下水の重要な流路となる。；地下水性であり、ベネズエラ・ブラジルから2属2種が発見されている。；地下水も岩石の間を流れることで岩石由来の炭素を取り込むことがある。；この地域には湧出する水はほとんどなく、地中深くを地下水が流れている。；また、一部の休憩施設では地下水を利用できるよう設備の設置が行われている。；その後も汚染された地下水の浄化作業などを2022年度まで実施する。；後者も地下水中のアルミニウムイオンが非常に多かったことが示されている。；地域で記録された地震の1つは地下水と石油の抽出の結果だったとされていた。；地下水種は無色で小形のものが多いので注意しないと見落とすことが多い。；これは、この町が谷に位置しており、その結果地下水が豊富なことが要因であった。；この地下水には多量の塩分が含まれており、灌漑用途には不向きである。；消雪のための地下水くみ上げが地盤沈下問題を引き起こした地域がある。；裂け目の多いやの石灰岩や泥灰岩は、地下水の好適な流路となっている。；地下水系の自浄作用についてはあまり理解されていない部分が多い。；また、化石化した魚は地下水を泳ぐ魚であると解釈されたりもした。</t>
        </is>
      </c>
      <c r="J5311">
        <f>HYPERLINK("https://www.weblio.jp/content/地下水", "词义详情")</f>
        <v/>
      </c>
      <c r="K5311">
        <f>HYPERLINK("https://yourei.jp/地下水", "查看例句")</f>
        <v/>
      </c>
    </row>
    <row r="5312">
      <c r="A5312" t="inlineStr">
        <is>
          <t>近々</t>
        </is>
      </c>
      <c r="B5312" t="inlineStr">
        <is>
          <t>成功</t>
        </is>
      </c>
      <c r="C5312" t="inlineStr">
        <is>
          <t>読み方：きんきん
［副］近い将来。近いうちに。ちかぢか。「—（に）上京する予定です」</t>
        </is>
      </c>
      <c r="D5312" t="inlineStr">
        <is>
          <t>近々結婚する；近々行われる；近々御；近々出かけ；近々又</t>
        </is>
      </c>
      <c r="E5312" t="inlineStr">
        <is>
          <t>もう；近く；やがて；いずれ；近くに</t>
        </is>
      </c>
      <c r="F5312" t="inlineStr">
        <is>
          <t>いずれ近々</t>
        </is>
      </c>
      <c r="G5312" t="inlineStr">
        <is>
          <t>近々の</t>
        </is>
      </c>
      <c r="H5312" t="n">
        <v>29</v>
      </c>
      <c r="I5312" t="inlineStr">
        <is>
          <t>そんな彼は近々行われる銀行合併のための諸問題の対策に追われていた。；いずれ本人から手紙を上げるでしょうが雅子さんが近々結婚しそうです。；近くで聞いてきましたが、こちらのお宅は近々美術館にならはるのやて?；近々のうちに今川家との間に事のあるのは確かであると、彼は信じている。；第一号艦についで、第二号艦の起工も近々のうちに開始されるだろう。；もっとも、その点はごく近々のうちに私の耳にはいることになっていますがね。；雇い主が僕にどこまで求めているのか、近々確認する必要があるでしょう。；近々定年退職をする父親に何をプレゼントするか、相談するためだった。；近々に妹を作ろうという決心を、形にしようとしているように見えた。；伯父が近々のうちに有名な先生を僕のために雇ってくれる意向だからです。；だから近々のうちに母親のところへ帰って来るか、手紙をよこすに相違ない。；近々東京に行くと言うたら、ではついでにお会いしましょうと言われただけやからな。；近々、演芸界へ再登場するのは、すでに社の上層部では決定ずみである。；美咲が面白いと言っていたので文香が近々読んでみようと思っていたシリーズ。；それを養子分にしてひきとり、近々うち跡目を譲るはこびになっていた。；近々私の宅を訪ねると云うので女房は震え上っているんですよ。；五十八歳の母に近々に死が訪れることはごく当り前のことであった。；先日の話の様子から考えて、男が近々乱入するような話をしていた。；自分に引導を渡すために、近々ニューヨークにゆくつもりだと言った。；開設式が終わってほんの数日後、近々、警察の捜査があるとひそかに伝えられた。；その答えは「近々、娘が結婚するんだ」という意味不明のものであった。；司令の話では、近々、財団のほうからなにかが供与されるということだ。；この空港は近々地域空港に拡張されることになっている。；一流企業の課長で、近々、最年少の部長かとさえ噂されていたエリート。；近々上京せられる時には謙さんや内山君にも会って話したいといっていられました。；だから僕は近々あの家を飛び出して、自分で何か仕事を見つけようと思うのです。；近々来るとは聞いていたが、詳しい日時を知っていたわけではない。；また近々バイト代をもらって掃除でもしないといけなくなるだろう。；それによると、近々、学会に出席するために、上京することになっている。</t>
        </is>
      </c>
      <c r="J5312">
        <f>HYPERLINK("https://www.weblio.jp/content/近々", "词义详情")</f>
        <v/>
      </c>
      <c r="K5312">
        <f>HYPERLINK("https://yourei.jp/近々", "查看例句")</f>
        <v/>
      </c>
    </row>
    <row r="5313">
      <c r="A5313" t="inlineStr">
        <is>
          <t>近づく</t>
        </is>
      </c>
      <c r="B5313" t="inlineStr">
        <is>
          <t>成功</t>
        </is>
      </c>
      <c r="C5313" t="inlineStr">
        <is>
          <t>読み方：ちかづく
［動カ五（四）］
１あるものがある場所の近くに移動する。「目的地に—・く」「台風が本土に—・く」
２それを行う時期が近くなる。ある期日・刻限が迫る。「開会式が—・く」「終わりに—・く」
３積極的に親しくなろうとする。親密さを求める。近寄る。「財産目当てに社長令嬢に—・く」
４めざすものに近い状態になる。似てくる。「先代の芸に—・く」「限りなく本物に—・く」
［動カ下二］「ちかづける」の文語形。</t>
        </is>
      </c>
      <c r="D5313" t="inlineStr">
        <is>
          <t>近づくまい；近づくべから；近づくべく；近づくと自動的；近づくと素早く</t>
        </is>
      </c>
      <c r="E5313" t="inlineStr">
        <is>
          <t>接近；迫る；アプローチ；近づいてくる；寄せる</t>
        </is>
      </c>
      <c r="F5313" t="inlineStr">
        <is>
          <t>一歩近づく；だんだん近づく；それ以上近づく；少しでも近づく</t>
        </is>
      </c>
      <c r="H5313" t="n">
        <v>29</v>
      </c>
      <c r="I5313" t="inlineStr">
        <is>
          <t>また、相手が近づいてこなければ大きな模様や地を形成する拠点となる。；私の姿を見つけるとそれらは近づいてきて、私の意識を読むのを感じた。；完全なものに近づこうとするために、人間は神の力を求めねばならない。；死を決意し近づいていくが、そこで見たものは火星人たちの死体だった。；日食時に太陽黒点が月縁に近づくときなどにも同様の現象が観測される。；彼女が夫と一緒でなければ、近づきになるチャンスだと考えたのである。；すんでのところで落ちそうになるまで海に近づかねば、承知しないのだ。；私は近づかない方がいいような気がしたから、遠くの方から見ていた。；彼らに近づかないようにと言うことは、実はこれらの人々への好意です。；環礁は黒潮の流れに乗って、だんだん日本に近づいていると考えられた。；当初はただの白塗りだったメイクも、次第に現在の形に近づいていった。；人が近づいたり植物が揺れたりすると、後脚を斜めに挙げる動作をとる。；人が化け物の出る場所を恐れて近づかぬように彼は自分の寝どこを忘れた。；アデレートに一歩でも近づかなければならない、と信じこんでいたのだ。；すると影響されて何人もが彼女に近づき禁じられた関係を結ぶことになる。；なお、現在はホームが多少老朽化しており近づく際には注意が必要である。；ふたりの妻のどちらへも、ますますたまにしか近づかないようになった。；長い黒い髪をとかしている姿が目撃されるというが、近づいてはならない。；あまりに姫の所作が自然なので、近づかれていることがわからなかった。；あなたのお父上がそんなに危険な人なら、近づこうなんて思いませんよ。；海岸に近づく個体が刺し網により混獲されることは珍しいことではない。；話している内に今度は庭に女の姿が現れたが、家の中には近づいて来なかった。；だんだんその影が近づきますと、それは女の影であることがわかりました。；どんな好きな少女にでも、自分から近づこうとしたことは一度もない。；ある雨の夜、沖合いから大きくて白い何者かが海岸へと近づいてきた。；中には400万回に近づく例もあるため、簡単にできるものではない。；スピードが出発する時が近づき、しかもリンカーンは結婚を控えていた。；また不知火に決して近づくことはできず、近づくと火が遠ざかって行く。；この年がキャリアの中でも最もチャンピオンに近づいた年となった。</t>
        </is>
      </c>
      <c r="J5313">
        <f>HYPERLINK("https://www.weblio.jp/content/近づく", "词义详情")</f>
        <v/>
      </c>
      <c r="K5313">
        <f>HYPERLINK("https://yourei.jp/近づく", "查看例句")</f>
        <v/>
      </c>
    </row>
    <row r="5314">
      <c r="A5314" t="inlineStr">
        <is>
          <t>近づける</t>
        </is>
      </c>
      <c r="B5314" t="inlineStr">
        <is>
          <t>成功</t>
        </is>
      </c>
      <c r="C5314" t="inlineStr">
        <is>
          <t>読み方：ちかづける
［動カ下一］［文］ちかづ・く［カ下二］
１近くへ寄せる。「船を岸壁に—・ける」「顔を—・けてのぞきこむ」
２人を近寄らせる。また、人と人とを親しくさせる。「危険な人物を—・けない」「パーティーで二人を—・ける」
３めざすものに近い状態にする。「目標額に—・ける」</t>
        </is>
      </c>
      <c r="D5314" t="inlineStr">
        <is>
          <t>近づけるべく；近づけるべから</t>
        </is>
      </c>
      <c r="F5314" t="inlineStr">
        <is>
          <t>一歩近づける；もっと近づける；なるべく近づける</t>
        </is>
      </c>
      <c r="H5314" t="n">
        <v>29</v>
      </c>
      <c r="I5314" t="inlineStr">
        <is>
          <t>むろんそうしたからといって、それで段地へ近づけるわけではないがの。；それは彼女が乳房を子供の顔に近づけるときだけではなかったのである。；法というものはだれにでもいつでも近づけるはずだ、と思っていたのだ。；信長が、その海を渡って来た伴天連を近づける理由の一つもそこにある。；ステージに立っているだけで、あの人に近づけるような気がしていたのだ。；小さな本だから子供向けかもしれない、と妙な思いこみで顔を近づける。；一切れのパンに顔を近づけている猫のGIF画像を見ていた方が良い。；近づけるよう努力し、高校に入って同じクラスで隣の席にまでなった。；耳をそばに近づけると、心の奥にあたたかな灯りがついたように思えた。；竜たちが糸胞を近づけないためにある地域を巡回し査察しているように。；自分たちが月に行く日を近づけるのに協力しているのだと信じたかったからだ。；私にさえ誠心があるならば、それは吾々の距離を近づけるにちがいない。；ただ心を惹かれた娘たちにどう近づけばよいのかわからないのが問題だった。；かれはその蓋を取りはずすと鼻に近づけ、慎重にその匂いを嗅いでみた。；すべてはこれらの詩を書いた當時の自分の心持に近づけることを主にした。；両手を開いて近づける、ゆっくりと、昨夜のペースを私は忘れていない。；そして爪先を伸ばして顔を近づけると、勇気を出して唇を触れ合わせた。；顔を近づけると血の匂いに混ざって独特の甘酸っぱい匂いが鼻を衝いた。；顔を近づけると、そこにはまだかすかな湯と石鹸の匂いが残っていた。；夜外を見たいと思って顔を近づけると、見えるのは自分の顔ばかり。；地球を外側から眺めるという体験は、人間を神の領域に近づけるという。；一度は誰かが口元へ茶碗を近づけたのでそれを飲んだのを覚えている。；痛くてカッコ悪い今の自分を、理想の自分に近づけることしかできない。；この場合浅瀬に邪魔されてロシア艦が射程内に近づけないと思われた。；けれどやはり、人を近づけない皮肉な様子と鋭い眼つきをしていた。；木に馬を近づけているその顔には夢見るような微笑が浮かんでいる。；一つには、戦闘室からはエンジン区画に容易に近づけなかったことである。；そうすれば、こんな私でも、いつか神に近づけるような気がするのだ。；これはパイロットと機体を神経接続し、人機一体に近づけるシステムである。</t>
        </is>
      </c>
      <c r="J5314">
        <f>HYPERLINK("https://www.weblio.jp/content/近づける", "词义详情")</f>
        <v/>
      </c>
      <c r="K5314">
        <f>HYPERLINK("https://yourei.jp/近づける", "查看例句")</f>
        <v/>
      </c>
    </row>
    <row r="5315">
      <c r="A5315" t="inlineStr">
        <is>
          <t>地下鉄</t>
        </is>
      </c>
      <c r="B5315" t="inlineStr">
        <is>
          <t>成功</t>
        </is>
      </c>
      <c r="C5315" t="inlineStr">
        <is>
          <t>読み方：ちかてつ
《「地下鉄道」の略》都市などで、地下にトンネルを掘り、そこに敷設した鉄道。世界最初のものは1863年に英国ロンドンで開通。日本では昭和2年（1927）東京の浅草・上野間が最初。</t>
        </is>
      </c>
      <c r="D5315" t="inlineStr">
        <is>
          <t>地下鉄路線(4%)；地下鉄線；地下鉄網；地下鉄車両；地下鉄建設</t>
        </is>
      </c>
      <c r="E5315" t="inlineStr">
        <is>
          <t>メトロ；地下鉄道</t>
        </is>
      </c>
      <c r="F5315" t="inlineStr">
        <is>
          <t>運営する地下鉄；福岡市地下鉄；地下鉄事業者；地下鉄構内；公営地下鉄</t>
        </is>
      </c>
      <c r="G5315" t="inlineStr">
        <is>
          <t>地下鉄サリン事件；地下鉄道；地下鉄東西線；地下鉄に乗って；地下鉄工事</t>
        </is>
      </c>
      <c r="H5315" t="n">
        <v>29</v>
      </c>
      <c r="I5315" t="inlineStr">
        <is>
          <t>その頃、広島市に地下鉄計画があり、移行しようとしていた節もあった。；また、市内には1984年開業のインドで最も古い地下鉄であるがある。；パリのメトロはパリ市内、および一部郊外へ路線を有する地下鉄である。；地下鉄出入口とJR駅とは近いものの、途中に屋根は設置されていない。；地下鉄は南北方向にのみ建設されており東西方向には存在しない。；地下鉄の駅がライト後方にあったのが直接の決め手だったと言われている。；そのほかにも、文学研究所や地下鉄の駅などに彼の名が冠されている。；地下鉄の車両は、徐々に更新されており比較的新しい車両が多い路線もある。；デリーでの地下鉄網構築に成功して以降各地で地下鉄の建設が進んでいる。；在来線と地下鉄とは距離があるため乗り換えの利便性はあまりよくない。；その後は現在に至るまでバスと地下鉄を主要事業としている。；さらにドアチャイムの音色も都営地下鉄などと同じタイプに変更された。；地下鉄システムの整備によってこれらの問題が解決することが期待されている。；しかし、その計画は地下鉄路線として新たに練り直されることとなった。；名古屋市営バスは主に地下鉄が地下を通らない広小路通を通過している。；主要都市には地下鉄及び市電、またエレクトリーチカが運行されている。；最初の路線が竣工したのは1969年であり、中国で最初の地下鉄である。；市営で地下鉄が建設される流れの中、地下鉄開通より少し早く廃止された。；地下鉄用車両であるため、先頭部右側には非常用扉が設置されている。；自動放送装置を備えており、地下鉄区間の案内放送において使用されている。；これらは地下鉄の建設と比較して大幅に少ない建設費であることがメリットであった。；通常、この時間には地下鉄は営業しておらず、駅の扉も開いていないはずであった。；また、平壌では地下鉄や路面電車・トロリーバスなども運行されている。；この地下鉄網計画では以下のような路線が想定された。；地下鉄の開業に合わせて、駅の西側にバスターミナルが設置された。；地下鉄と完全に重複する錦通や伏見通を通過する路線はほとんどない。；地下鉄や鉄道ではオクトパスの使用で1割程度通常運賃より割引になる。；アメリカ カナダ 韓国 その他、香港の地下鉄などでも採用計画があるとされる。；JRの車両は専ら直通列車にのみ使用され、地下鉄線内のみの運用はない。</t>
        </is>
      </c>
      <c r="J5315">
        <f>HYPERLINK("https://www.weblio.jp/content/地下鉄", "词义详情")</f>
        <v/>
      </c>
      <c r="K5315">
        <f>HYPERLINK("https://yourei.jp/地下鉄", "查看例句")</f>
        <v/>
      </c>
    </row>
    <row r="5316">
      <c r="A5316" t="inlineStr">
        <is>
          <t>近道</t>
        </is>
      </c>
      <c r="B5316" t="inlineStr">
        <is>
          <t>成功</t>
        </is>
      </c>
      <c r="C5316" t="inlineStr">
        <is>
          <t>読み方：ちかみち
［名］(スル)
１目的地に早く行ける道。「—すれば十分で家に着く」
２目的に早く達する方法。てっとり早い手段。早道。「出世の—」</t>
        </is>
      </c>
      <c r="D5316" t="inlineStr">
        <is>
          <t>近道をしよ(3%)；近道しよ</t>
        </is>
      </c>
      <c r="E5316" t="inlineStr">
        <is>
          <t>間道；抜け道；早道；捷径；近路</t>
        </is>
      </c>
      <c r="F5316" t="inlineStr">
        <is>
          <t>いちばん近道；池田近道；近道としてよく；便利な近道</t>
        </is>
      </c>
      <c r="H5316" t="n">
        <v>29</v>
      </c>
      <c r="I5316" t="inlineStr">
        <is>
          <t>親はこっちの方が近道だから良い道だから、こっちを行きなさいという。；そして能力を制御できるようになる為には、正しい訓練が一番の近道だ。；よし、うしろの車に近道をして、あいつの前に出るように通信したまえ。；近道だなどと思ったのはまちがいだったかも知れないぞ、と彼は思った。；結局のところ、約束を守ることが、結果を出すための一番の近道なのだ。；で、もっと堅い地面に出るために、近道をして街道の方へ向かっていた。；それで近道をとって、いきなり海岸へ打ちあげられることにしたのです。；中央の列の分岐点のマスに止まった場合は、中央の列を通る近道を進む。；近道をするために、公園を斜めに突っ切ろうとする人々の一人であろう。；そして一人の従者を連れたまま、一番の近道を通ってアテネに向かった。；昼間は、よく近道に通るものだが、夜には誰も通ることのない場所だった。；二人は納屋に向かって近道をするため切り株の残っている畑を横切った。；老夫婦のなきがらを見つけてから、彼女は近道の二段目まで遠征してみた。；さて、いちばんの近道は、この山々を北に向かってまっすぐ進む道だよ。；そのお堀端へ出るためにはいわゆるビルの谷間を抜けるのが近道である。；その正体を探ることが劉健一の秘密を垣間見る一番の近道になるはずだ。；その男は地下鉄の駅に近道をしようとしたのかちいさな公園に入った。；家路を急いでいたおすみは近道であるその場所をつい通ってしまったのだ。；私は近道を探さがさずに、海岸へ通じるすでに知っている小道を選んだ。；いちばんの近道はよけいな議論を封じることだと心に決めていたのだ。；専門家の評価を知るには懸賞に応募するのが一番の近道だったからだ。；不正は成績を上げる近道なので、優秀な成績の学生もカンニングをする。；最初からその会社に入るより、はるかに出世の近道ではないだろうか。；遠回りみたいに思えるかもしれないけど、それが結局は一番の近道なんだ。；生蕃人を日本人にしようとするよりも、この方が寧そ近道かも知れない。；ここがどこかはわからないが、フィルチは近道を知っているにちがいない。；近道ができないために、すこし時間をとられるくらいのことだろう。；一番の近道を走ってきたつもりだが、葉よりも早く学校に着けた自信はない。；が日本精神を理解するのにもう少し科学的な近道がありそうである。</t>
        </is>
      </c>
      <c r="J5316">
        <f>HYPERLINK("https://www.weblio.jp/content/近道", "词义详情")</f>
        <v/>
      </c>
      <c r="K5316">
        <f>HYPERLINK("https://yourei.jp/近道", "查看例句")</f>
        <v/>
      </c>
    </row>
    <row r="5317">
      <c r="A5317" t="inlineStr">
        <is>
          <t>近寄る</t>
        </is>
      </c>
      <c r="B5317" t="inlineStr">
        <is>
          <t>成功</t>
        </is>
      </c>
      <c r="C5317" t="inlineStr">
        <is>
          <t>読み方：ちかよる
［動ラ五（四）］
１近くに寄る。近づく。「—・ってよく見る」
２親しくなるようにする。かかわりをもつ。「あの仲間には—・るな」</t>
        </is>
      </c>
      <c r="D5317" t="inlineStr">
        <is>
          <t>近寄るまい</t>
        </is>
      </c>
      <c r="E5317" t="inlineStr">
        <is>
          <t>接近；近づく；迫る；アプローチ；寄せる</t>
        </is>
      </c>
      <c r="F5317" t="inlineStr">
        <is>
          <t>一歩近寄る；ゆっくりと近寄る；だんだん近寄る</t>
        </is>
      </c>
      <c r="H5317" t="n">
        <v>29</v>
      </c>
      <c r="I5317" t="inlineStr">
        <is>
          <t>確かに記憶には近寄り過ぎてはいけないような危険を感じることがある。；森の中から近寄って来たのは、もう五十がらみかとも思われる男だった。；しかしながら渡瀬は容易にそこに近寄れないのを知らねばならなかった。；住んでる世界の違う連中に、わざわざ自分から近寄ろうなんて思わんさ。；声の主の顔を見たいと頻に思ったが、それ以上近寄ることは危険だった。；でもそんなのに目もくれず家士らは列の左右を駆けって乗物に近寄った。；彼が近寄り難く見えるのはきっとあの氷のように淡い色の瞳のせいだわ。；それが一こという度に、闇の中を、はう様に百合枝の方へ近寄って来た。；船は次第にその丘の裾の両方から靡き落ちたところへと近寄つて行つた。；危険だから近寄らんようになさい、何をするか分らんから、あんな奴は。；中学の頃は何度か遊びに来た事があったが、最近は近寄る事さえなかった。；少年にも最初はいたのだが、彼の癖に気がついてからは近寄らなくなった。；そうして、それら無数の鳥どもは我々が近寄っても逃げようとはしない。；わたしは娘たちのほうへちょっと近寄り、ひと切れの肉に手をのばした。；第一におそばに近づくことからして問題だ、まさかぼろじゃ近寄れめえ。；そこに待っていた二人の騎士は、近寄ると巨人を切り、王を救いました。；一〇メートル位に近寄って人と分かったその時は寝ていると思った。；とても危険で近寄れないから、他の方面へ道を変えたほうがよいと教えた。；その間も着飾った人の群は静かな足取りで次第にこっちへ近寄って来る。；行つても、奥さんの花壇へ近寄ることに不思議な抵抗をおぼえはじめた。；近寄るままよく見れば白縮緬で顔を隠した十人の武士の群れであった。；自分たちは危険がいよいよ近寄って来たことを感じて急に興奮した。；とうとうそのなかのひとりが立ち上がると、彼らのほうへ近寄ってきた。；人間の首がそのままはいるくらいに大きく口を開いて近寄ってくる。；真が近寄ると、その気配を察したようにその場から離れていこうとする。；私はそれを全部垂らしてから、化粧机の上の鏡のところに近寄りました。；特に、いまや彼は、決して教会の近くに近寄ろうともしなくなっていた。；あたしがあなたなら、これからはブラグには近寄らないようにするわね。；彼らは三人を退屈そうに見まもっていて、それ以上は近寄ろうとしない。</t>
        </is>
      </c>
      <c r="J5317">
        <f>HYPERLINK("https://www.weblio.jp/content/近寄る", "词义详情")</f>
        <v/>
      </c>
      <c r="K5317">
        <f>HYPERLINK("https://yourei.jp/近寄る", "查看例句")</f>
        <v/>
      </c>
    </row>
    <row r="5318">
      <c r="A5318" t="inlineStr">
        <is>
          <t>力</t>
        </is>
      </c>
      <c r="B5318" t="inlineStr">
        <is>
          <t>成功</t>
        </is>
      </c>
      <c r="C5318" t="inlineStr">
        <is>
          <t>読み方：ちから
１人や動物にもともと備わっている、自ら動き、または他の物を動かす働き。体力。「筋肉の—」「あらん限りの—を出して戦う」
２物事をするときに助けとなるもの。助力。「先輩を杖とも—とも頼む」「金の—で政界に進出する」
３ききめ。効果。効力。「彼の発言には大いに—がある」「薬の—でせきが止まる」
４学問・技芸などの能力。力量。実力。「国語の—が不足だ」「まだ翻訳の—が足りない」「—のある選手」
５影響力。権力。「親の—で就職する」「—の政治」
６腕力。暴力。「—で事を解決する」「—に訴える」
７気力。迫力。「—のある文章」「—なげに答える」「—が抜ける」
８努力。骨折り。「—を尽くして平和に貢献する」「医師の—で全治した」「—を惜しむ」
９資力。財力。「娘を大学にやる—がない」
10物体の静止あるいは運動している状態に変化を起こさせたり、物体に変形を生じさせたりする作用。大きさはベクトル量で表され、単位はニュートン。力の働きかたの違いによって、弾性力・摩擦力などに区別される。重力・電気力・磁気力などは場の力とよばれ、原子核の内部の粒子が及ぼし合う核力も場の力の一つ。
[下接語] （ぢから）腕力・糞(くそ)力・小力・底力・手(た)力・馬鹿(ばか)力・痩(や)せ力・藪(やぶ)力</t>
        </is>
      </c>
      <c r="D5318" t="inlineStr">
        <is>
          <t>力学系；力づく</t>
        </is>
      </c>
      <c r="E5318" t="inlineStr">
        <is>
          <t>技術；腕；能力；エネルギー；勢い</t>
        </is>
      </c>
      <c r="F5318" t="inlineStr">
        <is>
          <t>大きな力；にも力；全速力；抵抗力；耐久力</t>
        </is>
      </c>
      <c r="G5318" t="inlineStr">
        <is>
          <t>力強い；力強く；力量；力学；力いっぱい</t>
        </is>
      </c>
      <c r="H5318" t="n">
        <v>29</v>
      </c>
      <c r="I5318" t="inlineStr">
        <is>
          <t>非常に大きな影響力のあったAberMUDはB言語で記述されていた。；インドでは少数派でありながら社会的に影響力のある宗教集団である。；あの馬には、普通では考えられない結果を出す力があったんですよ。；ニュースは敗戦・占領下で自信を失っていた日本国民に大きな力を与えた。；細胞膜タンパク質の検出や細胞の粘弾性力の測定などに用いられている。；重力のように体積要素を使って のように表記できる力を体積力という。；彼は、電荷の間に働く力は距離の2乗に反比例していることを発見した。；都市部の中小企業に就職したかれらの豊富な労働力が日本経済を支えた。；電離作用が強いので透過力は小さく、紙や数cmの空気層で止められる。；中央銀行はこの通貨量を調整する権限を持つため大きな影響力を持つ。；ロック界でもっとも影響力のあったミュージシャンの一人として知られる。；作用線 とは作用点を通り、力の向きに対して平行な直線のことである。；次のアメンホテプ1世はカルナック神殿の拡張などの内政に力を入れた。；開発能力の高さはITの基礎となる数学教育に力を入れた結果であるとされる。；最初のインド統一を果たしたアショーカ王は仏教の興隆にも力を尽くした。；問題のある悪魔を操作して自己の利益のために力を行使することができるとされていた。；これは東地中海の支配者としてのローマの力を示すエピソードとなった。；陸戦兵器のうち戦闘力が最も強いのは1門数十トンの重さを有する列車砲である。；他分野中心の芸能プロダクションが声優部門に力を入れるようになる例も見られる。；林業にも力を入れており、その主要となっているのは人工造林である。；このような力は必ずしも政治だけのものではなかった。；これに対応して、フランスには競争力のある活発な宇宙産業が育まれた。；現在は市の施策などで伝統的な名産品の復興などに力が注がれている。；二つの金属板に加えられた電圧により力が生じることによって指示する。；いずれも内蔵されている装備と武器は戦闘力と捜査力を上げるものとなっている。；気圧傾度力以外で、風に作用する力には以下のようなものがある。；象徴的な理解は古代から現代まで力を持っている。；ラーはオシリスの再生力と一緒になるや、新たな活力を備えて旅を続ける。；これは反発力が強く、従来のラバーと比べて打力が飛躍的に向上した。</t>
        </is>
      </c>
      <c r="J5318">
        <f>HYPERLINK("https://www.weblio.jp/content/力", "词义详情")</f>
        <v/>
      </c>
      <c r="K5318">
        <f>HYPERLINK("https://yourei.jp/力", "查看例句")</f>
        <v/>
      </c>
    </row>
    <row r="5319">
      <c r="A5319" t="inlineStr">
        <is>
          <t>力づける</t>
        </is>
      </c>
      <c r="B5319" t="inlineStr">
        <is>
          <t>成功</t>
        </is>
      </c>
      <c r="C5319" t="inlineStr">
        <is>
          <t>読み方：ちからづける
［動カ下一］［文］ちからづ・く［カ下二］元気が出るように励ます。元気づける。「温かい言葉で—・ける」</t>
        </is>
      </c>
      <c r="D5319" t="inlineStr">
        <is>
          <t>促進；応援；激励；勧める；慰める</t>
        </is>
      </c>
      <c r="H5319" t="n">
        <v>29</v>
      </c>
      <c r="I5319" t="inlineStr">
        <is>
          <t>男は娘を自分の宿へ連れて帰つて介抱し、力づけてやるために努力した。；兵部尚書の言葉はそんな彼の心を力づけるのに十分な説得力を持っている。；母に話して、母と一緒に、洋子を力づけることは出来ないものだろうか。；彼女の無邪気な信頼をもっと力づけてやらなければならないのだから。；たった先刻まで陣十郎を追い追い、自分の名を呼んで力づけてくれた兄!；迷うていた者もその詞に力づけられて、毒流しを決行することになった。；いまだ不安げな表情を見せるドロシーを力づけるように、ビルは言った。；だがこの考えはかれの心をいささか力づけてくれたようだった。；「今夜はもう安心だと思うよ」 鮎太はそう言って力づけるように笑った。；そして、彼を力づけるためだけに、ニースは秘密を打ち明けたのでない。；わざと負けたわけでないが、力づけてやろうの気持はあったと思う。；この人はただ者ではないという思いと期待が、サイソンを力づけるのだ。；ぼくも一週間ばかりはそれに力づけられ、気持もよくまとまったのだ。；一方、鬼を逆に力づけてしまうものといえば何といっても青いランタンだろう。；ひたむきに、力づけるようで、口のほうはまるで微笑していなかった。；少女を力づけてあげるような言葉さえも口にしえずに、加世は辻井家から出た。；弱い者には、挫けそうになった時に力づけてくれるものが必要だ。；保郎が手術すると聞いて、教会員たちは様々な言葉で保郎を力づけた。；僕の愛で倭文子さんを力づけ必ず生きて帰って来るつもりです。；私は一軒のお得意を獲得したよりも力づけられた。；われわれが嘘をついたのは自分を力づけるためだった。；この好評に力づけられた作者は翌年これを五幕物の戯曲に脚色した。；この際、美也子の顔を見たことが、どんなに私を力づけてくれたかわからない。；少なくともパーティが壊滅したのではないことを知り、力づけられたようだ。；けれどもひとりでも味方に加わることは、とにかく大きな力づけになりました。；そのおかげで、一週間ほどぼくは力づけられ、気持ちも乱れなかった。；それに、かれを力づけたのは単にこのことだけではなかった。；ドロシーの自信に満ちた言葉と態度とに力づけられたらしい。；藤井の出現は、失意の底にいた文四郎をかすかに力づけるものだった。</t>
        </is>
      </c>
      <c r="J5319">
        <f>HYPERLINK("https://www.weblio.jp/content/力づける", "词义详情")</f>
        <v/>
      </c>
      <c r="K5319">
        <f>HYPERLINK("https://yourei.jp/力づける", "查看例句")</f>
        <v/>
      </c>
    </row>
    <row r="5320">
      <c r="A5320" t="inlineStr">
        <is>
          <t>力強い</t>
        </is>
      </c>
      <c r="B5320" t="inlineStr">
        <is>
          <t>成功</t>
        </is>
      </c>
      <c r="C5320" t="inlineStr">
        <is>
          <t>読み方：ちからづよい
［形］［文］ちからづよ・し［ク］
１いかにも力がありそうに見えるさま。力がこもっていて頼もしく感じられるさま。「—・い横綱の土俵入り」「—・い演説」
２たよりになるさま。安心できるさま。気強い。「彼に来てもらえば—・い」</t>
        </is>
      </c>
      <c r="D5320" t="inlineStr">
        <is>
          <t>力強いもの(4%)；力強い声(3%)；力強い手(2%)；力強い腕；力強い言葉</t>
        </is>
      </c>
      <c r="E5320" t="inlineStr">
        <is>
          <t>強い；強く；有力；強力；強力な</t>
        </is>
      </c>
      <c r="F5320" t="inlineStr">
        <is>
          <t>最も力強い；力強い指；力強い印象；力強い足取り；力強い筋肉</t>
        </is>
      </c>
      <c r="H5320" t="n">
        <v>29</v>
      </c>
      <c r="I5320" t="inlineStr">
        <is>
          <t>これはおそらくローマの軍事力の力強さを認識していたためと思われる。；そのためには人格内の他の芽を力強く成長させなくてはならないのです。；私はあなたのお言葉の一句一句に気も遠くなるほどの力強さを覚えます。；そして仏身の線が滑かで細いにもかかわらず非常に力強く描かれていた。；破壊の女神の意志よりも、その言葉と感覚は力強かったのかもしれない。；彼女の肉体も感情もすべてが新らしく力強くなったように思われた。；兄の耳にはとにかく、自分はよほど力強い声を出したつもりであった。；これがいわゆる運命に随順しつつ力強く魂の自由を確保する道なのである。；さっきまで、立てぬぐらいに酔っていたとは思えない、力強さがあった。；何ゆえこの精神的事業の伝統が力強く生きつづけなかったのであろうか。；私はかう云ふ方が私たちの前にたつてゐて下さることを力強く思ひます。；しかも我々が最も真らしい事実を証明する時と同じように力強く論証する。；言うのも恥かしいことながら、僕は力強いもののために動かされかけた。；今でもそれを信じてゐるし、力強いあるものを求め得たやうな気がしてゐる。；とにかく君は妙に力強い印象を私に残して、私から姿を消してしまったのだ。；そのまぶしい光に眼も馴れると、私はひどく力強くなった気がしました。；でどうしようかと困つてゐるとき、ふと思ひ付いたのは例の力強い尾です。；旅先で自然の持つ力強さと人の心に触れ、絵の道を目指すことを決意する。；後になっても残るからこそ、ストーリーはかなり力強くなるでしょう。；未来派の運動は、自らの作品でスピードと力強さを表現しようとしていた。；ただ一般の儒者たちに比して見る時、力強く勝っているに過ぎなかった。；・・・この曲は力強く、様々な音の飛び交う、エネルギーある曲である。；その文体の力強さと新鮮さに彼が恍惚としたと信ずべき筋は十分にある。；やがては凡てが力強く築かれ私達の運命が一つに綯われることを思った。；女たちが魅力を感じる、一種の荒っぽい力強さを彼は思い浮かばせるね。；またある者は左傾化を進め、より力強い反対政党になることを要求した。；一方で「gravity」は力強さを前に出すような楽曲になっている。；私はそれまであのように力強く、しかも映画的なものを見たことがなかった。；豊かな喜びが、ここでは国民の意気と力強さを示し得るのであります。</t>
        </is>
      </c>
      <c r="J5320">
        <f>HYPERLINK("https://www.weblio.jp/content/力強い", "词义详情")</f>
        <v/>
      </c>
      <c r="K5320">
        <f>HYPERLINK("https://yourei.jp/力強い", "查看例句")</f>
        <v/>
      </c>
    </row>
    <row r="5321">
      <c r="A5321" t="inlineStr">
        <is>
          <t>地球</t>
        </is>
      </c>
      <c r="B5321" t="inlineStr">
        <is>
          <t>成功</t>
        </is>
      </c>
      <c r="C5321" t="inlineStr">
        <is>
          <t>読み方：ちきゅう
太陽系の3番目の惑星で、人類をはじめ各種生物が住む天体。太陽からの平均距離は約1.5億キロで、自転周期は23時56分4秒、公転周期は365.2564日。形はほぼ回転楕円体で、赤道半径6378キロ、極半径6357キロ。地殻・マントル・核からなり、平均密度は1立方センチ当たり5.52グラム。年齢は約46億年。表面は窒素と酸素とを主成分とする大気に囲まれ、水がある。衛星を1個もち、月と呼ぶ。総人口約70億人（2012）。
[補説] 地球深部探査船は別項。→ちきゅう</t>
        </is>
      </c>
      <c r="D5321" t="inlineStr">
        <is>
          <t>地球上(9%)；地球規模；地球圏；地球外；地球全体</t>
        </is>
      </c>
      <c r="E5321" t="inlineStr">
        <is>
          <t>世界；土；大地；グローブ</t>
        </is>
      </c>
      <c r="F5321" t="inlineStr">
        <is>
          <t>全地球；地球侵攻；地球教；地球帰還；地球型</t>
        </is>
      </c>
      <c r="G5321" t="inlineStr">
        <is>
          <t>地球温暖化；地球連邦軍；地球儀；地球環境；地球連邦</t>
        </is>
      </c>
      <c r="H5321" t="n">
        <v>29</v>
      </c>
      <c r="I5321" t="inlineStr">
        <is>
          <t>地球上の生命は、およそ37億年前には存在していたという証拠がある。；アメリカ合衆国の大学には学部に独立して学ぶ地球物理学部が存在する。；これは地球の中央海嶺で見られるものと似た現象であると考えられる。；そのほか、地球以外の惑星でも類似の動力による飛行が検討されている。；この中心核の構造は地球と似ているが、より濃密な状態になっている。；地球の公転を基礎に置く太陽暦を発達させた古代文明にエジプトがある。；これは厚い大気の層に阻まれた地球上の岩石には見られないものである。；半影だけが地球にかかって、地上のどこからも中心食が見られないこともある。；実際に5月19日にはハレー彗星の尾の外側の部分を地球が通過した。；別の惑星から地球へやってきた異星知性体、それがラヴォスだったのだ。；激しかった怪獣との戦いが過去のものとなり、地球には平和が続いていた。；我々地球上生命の形態は、地球の環境に適応して進化を遂げた結果である。；工具は、人類を地球上の全ての他の動物から分離した決定的な象徴である。；太陽暦とは、地球が太陽の周りを回る周期を基にして作られた暦である。；水を主成分とする海は地球誕生後まもなく形成され、現在まで継続している。；地球上に生物が誕生したときから、生殖細胞は連綿と受け継がれている。；地球と同様に、他の天体の本初子午線も人為的に決められたものである。；逆に地球から見て太陽と同じ方向、太陽の裏側に回ることを合という。；しかし低質量の星は暗いために地球に近いものしか観測できない。；これは地球の海水中では水酸化鉄として鉄が除かれてしまうためである。；地球の上には七層からなる天界、下には七層からなる地獄が存在するとされる。；同じ理由で、地球から見て逆行する期間も8日から15日まで変化する。；このような巨大衝突の繰り返しで、金星、地球が形成されたと考えられる。；大気を持つ太陽系の惑星のほとんどでは、地球と同じように雲が発生する。；リアクションホイールを用い機体低部を地球中心方向に向けさせる。；プトレマイオスは地球の運動を他の天体の運動と分離したのである。；このような磁化のパターンは地球の海底に見られるものと似ている。；ここでは地球の影響による時間の流れの変化は無視するとする。；多様体に座標を描くという作業は地球上の地図を作る作業に似ている。</t>
        </is>
      </c>
      <c r="J5321">
        <f>HYPERLINK("https://www.weblio.jp/content/地球", "词义详情")</f>
        <v/>
      </c>
      <c r="K5321">
        <f>HYPERLINK("https://yourei.jp/地球", "查看例句")</f>
        <v/>
      </c>
    </row>
    <row r="5322">
      <c r="A5322" t="inlineStr">
        <is>
          <t>ちぎる</t>
        </is>
      </c>
      <c r="B5322" t="inlineStr">
        <is>
          <t>成功</t>
        </is>
      </c>
      <c r="C5322" t="inlineStr">
        <is>
          <t>読み方：ちぎる
［動ラ五（四）］
１手などでこまかに切り離す。こまかにばらばらにする。「花びらを—・る」
２もぎとる。むしりとる。「つきたての餅を—・る」
[可能]ちぎれる
［動ラ下二］「ちぎれる」の文語形。
［接尾］《動詞五（四）段型活用》動詞の連用形に付いて、その意を強め、はなはだしく…する、盛んに…する、という意を表す。「ほめ—・る」</t>
        </is>
      </c>
      <c r="D5322" t="inlineStr">
        <is>
          <t>乗る；結婚する；分ける；分離する；交わる</t>
        </is>
      </c>
      <c r="F5322" t="inlineStr">
        <is>
          <t>噛みちぎる；喰いちぎる；めちぎる；くいちぎる</t>
        </is>
      </c>
      <c r="H5322" t="n">
        <v>29</v>
      </c>
      <c r="I5322" t="inlineStr">
        <is>
          <t>他の棘皮動物と同様に再生能力が非常に高く、腕はちぎれても再生する。；それを考えると博士のはらわたは、悲しみのためにちぎれそうであった。；ガリオンは何とはなしに手元の証拠の布とちぎれた箇所を見較べていた。；ちぎれてしまうんじゃないかと思えるくらい、激しく尻尾を振っている。；みちるの目にも黒犬が敵の胴体を食いちぎろうとしていることが分かる。；鴨居の奥側から同じ色形の縄がたれ下がって先端がやはりちぎれている。；首のちぎれた子供の影など、今の私には嫌悪感をもよおさせるばかりだ。；これらの類ではちぎれた場合もそれぞれが再生して一個体になる。；手で簡単にちぎって食べられるよう、パンに7本の切れ目が入っている。；拘置所の面会室で指を食いちぎれと伝えた弁護士の表情は忘れられない。；鱠残魚の身体が、頭のすぐ下のところから喰いちぎられていたのである。；どうせ入れるなら、シュークリームの皮をちぎって入れたらいいと思う。；カメラマンになる前は葡萄ちぎりの職に付いていたと書かれた文献もある。；この建物のどこかに端のちぎれたマントを着た男がいるに違いない。；指の先は、他の犬に喰いちぎられたのか、ぐちゃぐちゃになってました。；縁からすぐ下の地上に、ちぎれて半分になった短冊が一枚落ちている。；雛沢さんと浮気をしたと知ったときも、嫉妬で胸がちぎれそうだったわ。；どうせボタンをちぎったせいで、前があいてひらひらしていたのです。；頭に十文字に繃帯をして片方のちぎれかけた耳朶をとめている者がある。；大人の腕ほどの太さがある大きな部分が、折れた小枝のようにちぎれていた。；穴から一メートルもないくらいのところで、ちぎれて切れてしまった梯子。；ちぎりとった炎の色、紅蓮の体をもつものが、矢のように天へと走る。；四肢のちぎれた子供の姿など、もちろん、床の上にころがってはいない。；このため、間違ってギアに手を挟むと指がちぎれてしまう可能性もある。；そんな彼らに、ちぎれんばかりに尻尾をふっているポチにも腹が立った。；鳥がまわりの肉を食いちぎってくれたおかげで、はずれて落ちていたのだ。；その一部が風にちぎられたかのように広がり、巨大な血の花が咲いた。；風に向かって頭をつきだし、嵐に吹きちぎられた霧雨に額を差しのべた。；ちぎれ落ちようとしている首で、何か言いたげに口を動かしかけた領主に。</t>
        </is>
      </c>
      <c r="J5322">
        <f>HYPERLINK("https://www.weblio.jp/content/ちぎる", "词义详情")</f>
        <v/>
      </c>
      <c r="K5322">
        <f>HYPERLINK("https://yourei.jp/ちぎる", "查看例句")</f>
        <v/>
      </c>
    </row>
    <row r="5323">
      <c r="A5323" t="inlineStr">
        <is>
          <t>地区</t>
        </is>
      </c>
      <c r="B5323" t="inlineStr">
        <is>
          <t>成功</t>
        </is>
      </c>
      <c r="C5323" t="inlineStr">
        <is>
          <t>読み方：ちく
１ある限られた範囲内の土地。地域。
２行政上、ある目的のために特に指定された地域。「風致—」</t>
        </is>
      </c>
      <c r="D5323" t="inlineStr">
        <is>
          <t>地区内(3%)；地区予選；地区名；地区ごと；地区南部</t>
        </is>
      </c>
      <c r="E5323" t="inlineStr">
        <is>
          <t>地域；地方；街；領域；エリア</t>
        </is>
      </c>
      <c r="F5323" t="inlineStr">
        <is>
          <t>同地区；中心地区；周辺地区；当地区；両地区</t>
        </is>
      </c>
      <c r="G5323" t="inlineStr">
        <is>
          <t>地区大会；地区シリーズ；地区計画；地区センター；地区図書館</t>
        </is>
      </c>
      <c r="H5323" t="n">
        <v>29</v>
      </c>
      <c r="I5323" t="inlineStr">
        <is>
          <t>ただし、地区委員会以上の指導機関も直接入党を決定することができる。；その後も隣接の地区とで管轄県の移動があり、2005年に7県となる。；加賀野菜は金沢地区で戦前から栽培されていると認められた野菜である。；外国の料理を特徴としたレストランは主にベイオール地区に集中している。；数多くの・治水設備によってこれらの地区が存在したことが示されている。；また、馬匹の多くも糧秣の関係で戦線から遠い後方地区に送られていた。；この地区は広範囲におよぶ開発やコミュニティの統合が行なわれている。；長府地区中心部・城下町長府地区などは当駅から2km以上離れている。；このため横田地区の住民が鉄道を利用する場合、当駅を利用することが多い。；市の南東部のさらに東にはプレザント・グローヴという広い地区がある。；住居表示を実施している地区以外では、以下の町名が用いられている。；不要となった厩舎地区は整地され、駐車場や場内公園などに利用された。；生活拠点地区は駅前に拠点性を持つ大型商業施設や動線整備がされている。；さらに各リーグに所属するチームは地図上で東中西の3つの地区に分割される。；並行して学校での試合にも参加し、ベッカムは地区と州の代表に選出されている。；また、以下はテンプル地区への激しい爆撃に耐えた著名な建築である。；地区によっては川を跨ぐ橋の上に飾り付けを行っているところもある。；各地区優勝したチームは市民球場で大会なども行われたりする。；また、合併前の旧熊山町の中心地松木地区も当駅からやや離れている。；これはスキッド・ロウ地区に路上生活者支援の施設があるためである。；農法や作物は地域差が大きく、各地区で特徴のある農法が行われている。；教養部が解体されたのちも全学教育科目の大部分はこの地区で行われていた。；以前は広島地区の快速「シティライナー」の最東限発着駅となっていた。；これらにより、横浜市西部開発地区の交通網の整備を推進するという。；このような経緯から片上地区の中心地に近い場所に西片上駅が設置されている。；今のところ京阪神地区での運用はこのとき限りとなっている。；九州大学ではそれぞれの校地を地区またはキャンパスと呼んでいる。；地区毎の特徴はリンク先項目およびマンハッタンの地区名の一覧を参照のこと。；さらに、公園地区と旧市街地区の間に居住地区の整備計画がある。</t>
        </is>
      </c>
      <c r="J5323">
        <f>HYPERLINK("https://www.weblio.jp/content/地区", "词义详情")</f>
        <v/>
      </c>
      <c r="K5323">
        <f>HYPERLINK("https://yourei.jp/地区", "查看例句")</f>
        <v/>
      </c>
    </row>
    <row r="5324">
      <c r="A5324" t="inlineStr">
        <is>
          <t>畜産</t>
        </is>
      </c>
      <c r="B5324" t="inlineStr">
        <is>
          <t>成功</t>
        </is>
      </c>
      <c r="C5324" t="inlineStr">
        <is>
          <t>読み方：ちくさん
１牛・豚・鶏などの家畜・家禽を飼い、人間の生活に必要な肉・卵・皮などを生産すること。「—業」
２家畜。
「牧人の—を駆りて南方に赴く者は」〈中村訳・西国立志編〉</t>
        </is>
      </c>
      <c r="D5324" t="inlineStr">
        <is>
          <t>畜産組合(8%)；畜産業(2%)；畜産品(2%)；畜産会(2%)；畜産家</t>
        </is>
      </c>
      <c r="E5324" t="inlineStr">
        <is>
          <t>農業；耕作；農；農耕；畑作</t>
        </is>
      </c>
      <c r="F5324" t="inlineStr">
        <is>
          <t>馬畜産；同畜産；中央畜産；畜産関係；畜産用</t>
        </is>
      </c>
      <c r="G5324" t="inlineStr">
        <is>
          <t>畜産物；畜産農家；畜産学；畜産試験場；畜産動物</t>
        </is>
      </c>
      <c r="H5324" t="n">
        <v>29</v>
      </c>
      <c r="I5324" t="inlineStr">
        <is>
          <t>米国には、できる限り最も現実的な方法で畜産場を規制する試みがある。；食肉畜産業の影響の中には一部環境的に有益だと考えられるものもある。；ヨーロッパの中世における畜産の改良は他の発展と密接に関係していた。；豚肉を生産することが主な目的であり、現代では畜産の一分野である。；畜産学とは、動物の畜産利用に関わる研究を中心とした学問分野である。；したがって、犬肉畜産は、他の家畜のそれに比べて規制が不十分である。；ここではキャベツや野菜の栽培が前面であり、畜産はやや少数であった。；広大な台地を利用して畜産を中心に大規模な農業が行われている。；さらにイングランド農業を守るため、アイルランド畜産牛の輸入を制限した。；下水道工事関係者や畜産関係者などの患者が多く職業病の一つである。；周辺は豊かな農産地や畜産地が広がっており、品種改良の中心地でもある。；彼は村長に言われ、畜産団地の計画段階からの現場責任者になっていた。；が執筆する主に畜産をネタにした『農業漫才』を行っていたことがあった。；これらの事情により、種牡馬の市場は他の畜産市場よりも流動的である。；この文化ではアワを耕作する農業やブタを飼育する畜産を実践していた。；面白いことに鉄欠乏は普通の畜産ではほとんど問題ではなかった。；近年では土佐赤牛や土佐ジローなどのブランドで知られる畜産も見られる。；麦産国は畜産国よりも人口が多く、また米産国は麦産国よりも人口が多い。；これは、加工残滓を原料とした畜産等の配合飼料を製造する工場である。；また、これとは別に農業・畜産業への貢献活動も行っている。；県の畜産課に長くおられたので、それで競馬関係に廻されたのだろう。；畜産には様々な種の牝牛の牛乳を比較したことも含まれていた。；カンザス州立農業大学で畜産を学んでいた時に数学と遺伝学の教育を受けた。；そして畜産経営を支えていたのは、リトラル地方の広大で肥沃な土地である。；戸口で待っていたらしくあの意地わるい畜産の教師がいきなりやって来た。；現在は沖縄県畜産研究センターを中心に保存が進められている。；この競走の主催はいずれも北海道畜産連合会であった。；とりわけ、彼女の故郷であるアルバータ州の畜産業界からは強い批判があった。；また、牛や家禽も被害を受けたため畜産業にも影響が出ている。</t>
        </is>
      </c>
      <c r="J5324">
        <f>HYPERLINK("https://www.weblio.jp/content/畜産", "词义详情")</f>
        <v/>
      </c>
      <c r="K5324">
        <f>HYPERLINK("https://yourei.jp/畜産", "查看例句")</f>
        <v/>
      </c>
    </row>
    <row r="5325">
      <c r="A5325" t="inlineStr">
        <is>
          <t>畜生</t>
        </is>
      </c>
      <c r="B5325" t="inlineStr">
        <is>
          <t>成功</t>
        </is>
      </c>
      <c r="C5325" t="inlineStr">
        <is>
          <t>読み方：ちきしょう
「ちくしょう（畜生）」の音変化。</t>
        </is>
      </c>
      <c r="D5325" t="inlineStr">
        <is>
          <t>畜生ッ(5%)；畜生ども(2%)；畜生奴；畜生ツ；畜生谷</t>
        </is>
      </c>
      <c r="E5325" t="inlineStr">
        <is>
          <t>不覚；この野郎；あの野郎；鬼畜；人でなし</t>
        </is>
      </c>
      <c r="F5325" t="inlineStr">
        <is>
          <t>あん畜生；ン畜生；如是畜生；餓鬼畜生；畜生藪</t>
        </is>
      </c>
      <c r="G5325" t="inlineStr">
        <is>
          <t>畜生塚；畜生界；畜生腹</t>
        </is>
      </c>
      <c r="H5325" t="n">
        <v>29</v>
      </c>
      <c r="I5325" t="inlineStr">
        <is>
          <t>また犬も自分が食べる物と思って行くが、そこが畜生の浅ましさである。；「やるな、こん畜生」 後ろへさがって米友は待の形に槍を構え直した。；へむ畜生、支那の捕虜になるやうぢやあとても日本で色の出来ねえ奴だ。；あの畜生どもの汚れた手から無事な場所は、世界にないんだろうか。；あの鼻の孔の赤い畜生はどんな秘密の場所でも嗅ぎ出してしまうんだ!；先生の手で、この畜生を、私の身体から切離して頂くだけでも満足です。；けだし畜生で回教の楽土に永住するを得たるものこの犬のほかに九あり。；わたしの最後の視線は、お母さんに向けられるのだ、こんな畜生にではない!；ただ、自意識のうちで、畜生以下のものでないとしているだけである。；力のかぎりをつくしてあの畜生どもを絶滅させるのがおれたちの仕事なんだぞ。；かれは弟の昂奮した表情について考え、こん畜生と口に出していった。；漁師は非人であるから、人間に非ざる畜生だとの意味でありましょう。；あまり言うことが多くて、彼の言葉がスラスラと出なかったために、畜生!；人間を畜生以下に規定して、どうして、そこに人間の国家があるか。；人間の苦痛ですら知られずに済む世の中に、誰が畜生の苦痛を思いやろう。；畜生ふびんのゆえをもって、人はこれを甘やかしているからいけないのだ。；あんたの望んでいるものを、はっきりといってもらおうじゃないか、畜生!；畜生、お前のひん曲った口は、言いたくても本当のことは言えないんだな。；あん畜生の眼の下に山のやうな水腫れでも出来るといいのぢやが!；五十銭三十銭の村の交際も出来ねえような能なし畜生ならはア、出て行け!；あの畜生は、西方の戦いを数多く経験し、城をせめる戦術を知っている。；畜生とは、仏教において、鳥・獣・虫・魚などの全ての人間以外の動物のこと。；「畜生っ」すさまじい怒りをふくんでいる男の声がすぐ側へ来て聞こえた。；彼等だつて、然し今こそ、敵がどいつだか、どんな畜生だか分つたらう。；しかし彼は、「畜生、こいつはいい画になるんだがな」と言っただけだった。；畜生、わしの血管にどんな血が流れてるか、知れたものではないぞ。；畜生を殺して食ったとして、将軍の耳にさえ入らねばよいのである。；彼は畜生の群れと一緒に寝て起きて、黙っておとなしく稼いでいた。；二人が早く合意して、畜生どもが邸宅を早く出れば出るほど結構だ。</t>
        </is>
      </c>
      <c r="J5325">
        <f>HYPERLINK("https://www.weblio.jp/content/畜生", "词义详情")</f>
        <v/>
      </c>
      <c r="K5325">
        <f>HYPERLINK("https://yourei.jp/畜生", "查看例句")</f>
        <v/>
      </c>
    </row>
    <row r="5326">
      <c r="A5326" t="inlineStr">
        <is>
          <t>蓄積</t>
        </is>
      </c>
      <c r="B5326" t="inlineStr">
        <is>
          <t>成功</t>
        </is>
      </c>
      <c r="C5326" t="inlineStr">
        <is>
          <t>読み方：ちくせき
［名］(スル)
１たくさんたくわえること。また、たまること。たくわえ。「知識を—する」「疲労が—する」
２経済学で、資本家が剰余価値の一部を資本に転化して拡大再生産をはかること。</t>
        </is>
      </c>
      <c r="D5326" t="inlineStr">
        <is>
          <t>蓄積する(11%)；蓄積される(6%)；蓄積量；蓄積させる；蓄積性</t>
        </is>
      </c>
      <c r="E5326" t="inlineStr">
        <is>
          <t>群；増加；集団；控え；収集</t>
        </is>
      </c>
      <c r="F5326" t="inlineStr">
        <is>
          <t>エネルギー蓄積；脂肪蓄積；技術的蓄積；データ蓄積；膨大な蓄積</t>
        </is>
      </c>
      <c r="G5326" t="inlineStr">
        <is>
          <t>蓄積型放送；蓄積管</t>
        </is>
      </c>
      <c r="H5326" t="n">
        <v>29</v>
      </c>
      <c r="I5326" t="inlineStr">
        <is>
          <t>水の雲は惑星内部から供給される熱を受けて、雷のエネルギーを蓄積する。；必要な時に利用できるように何らかの方法で蓄積された情報や資料。；こうして蓄積した資料は利用者の要求に応じて提供されなければならない。；しかしこの時期に、新しい生産の基礎的な技術が蓄積されていった。；次の20億年にかけて蓄積された物質は銀河円盤を形成するようになる。；そのポイントを記録するための媒体にポイントを記録して蓄積する。；この期間の蓄積がなかったら今の自分はいないと語っている。；また日本には戦前からの空冷ディーゼルエンジンの技術的蓄積があった。；呼吸だけでなく皮膚からも容易に吸収され、体内に蓄積されやすい。；この蓄積を元に武帝がまず着手したのが国初以来の課題であった匈奴である。；また一部の緑藻は、強光防御用のカロテノイドを大量に蓄積して赤くなる。；こうした土砂の流出および蓄積を防ぐためにさまざまな対策が取られている。；アジア人との結婚を将軍たちは激しく批判し、軍隊の間に不満が蓄積し始める。；軟骨魚類では鰾の代わりに肝臓に脂質を蓄積することで浮力を得ている。；草は人間にはそのまま利用できないが蓄積は容易である。；は前半戦こそ安定していたものの、8月以降に疲労の蓄積で不調に陥った。；ゲームによっては武器や防具、アイテムに経験値が蓄積される物もある。；一般的なオシロスコープの動作と蓄積動作を切り替えることができる。；各国は自国の法律に基づいて情報を登録することで、システムへと蓄積されてゆく。；しかし撮影と同時にさまざまなデータも蓄積していった。；島の表面の大部分が硫黄の蓄積物で覆われているところからこの島名がつけられた。；部屋の耐久力か蓄積エネルギーが無くなると部屋は活動を停止する。；最終利用日から2年が過ぎると、蓄積されていたポイントはすべて失効する。；貝の一部に「貝毒」と言って毒素を持つ藻類の毒を蓄積するものがある。；また、経済地理学においても歴史的観点からの研究が蓄積されている。；脂溶性のため体内に蓄積しやすいことからも過剰摂取はすすめられない。；またムードル上に多数の研究報告や調査が蓄積されてもいる。；こういった活動の継続から毎年のように邦楽器のレパートリーは蓄積されている。；偏った情報が蓄積されることで固定観念が形成されることもある。</t>
        </is>
      </c>
      <c r="J5326">
        <f>HYPERLINK("https://www.weblio.jp/content/蓄積", "词义详情")</f>
        <v/>
      </c>
      <c r="K5326">
        <f>HYPERLINK("https://yourei.jp/蓄積", "查看例句")</f>
        <v/>
      </c>
    </row>
    <row r="5327">
      <c r="A5327" t="inlineStr">
        <is>
          <t>地形</t>
        </is>
      </c>
      <c r="B5327" t="inlineStr">
        <is>
          <t>成功</t>
        </is>
      </c>
      <c r="C5327" t="inlineStr">
        <is>
          <t>読み方：じがた
⇒じぎょう（地形）</t>
        </is>
      </c>
      <c r="D5327" t="inlineStr">
        <is>
          <t>地形的(5%)；地形上；地形条件；地形測量；地形図</t>
        </is>
      </c>
      <c r="E5327" t="inlineStr">
        <is>
          <t>地勢</t>
        </is>
      </c>
      <c r="F5327" t="inlineStr">
        <is>
          <t>急峻な地形；複雑な地形；険しい地形；多い地形；山がちな地形</t>
        </is>
      </c>
      <c r="G5327" t="inlineStr">
        <is>
          <t>地形学；地形効果；地形分類；地形輪廻；地形情報</t>
        </is>
      </c>
      <c r="H5327" t="n">
        <v>29</v>
      </c>
      <c r="I5327" t="inlineStr">
        <is>
          <t>その他の地形や会戦に関係する場所は当時からほとんど変わっていない。；上陸の際は、歩いて通ることのできる地形であればどこにでも上陸できる。；または自然の地形を利用して、既存の小さな丘を用いることもあった。；これは、重い雪質の急な斜面である高田の地形から判断した結果である。；北方に生息するものや開けた地形に生息するものほど身体が大きいとされる。；自然の地形の項ではその地形の様子と特産品の情報が記されている。；数マイル離れた場所でも、その地域の地形に応じて全く異なる気象となる。；このような地形は人々の生活や歴史に大きな影響を与えてきた。；現在の地形に加えて、形成過程や内部構造も考慮して分類されている。；この時の氷河がヨセミテ渓谷等の地形を主に形作ったものと考えられる。；これは、藤堂家の所領である上野に地形が似ていたためと言われている。；ミズーリ川が地形、社会および政治的な面で東部と西部の境になっている。；この地形ゆえに周辺都市から独立したような格好になっている。；製作するアニメに登場する地形や建造物は近隣地域から採用することがある。；現在は、地形や気候に合わせていろいろな形状や大きさのものがある。；州西部の文化、経済および地形は中西部よりも西部に近いものがある。；どれも地形および地形判定を持つ障害物に対しては防御能力を持たない。；カリストの表面に見られる最も大きい衝突地形は多重リング構造である。；このような自然の地形が、道路網の発達を促したとも言われている。；上陸地点がジャングルが海岸近くまで迫る地形であることが読み取れる。；地上駅ではあるが地形の関係上、ホームへ行くには階段を登る必要がある。；これは、スパルタ軍の勇猛さと地形をうまく利用したためと言われている。；クレーターはどちらの種類の地形にも見られるが、暗い地形の方が特に多い。；また、スキアパレッリは火星の主な地形を大陸や海に見立てて命名した。；四方を山や丘陵に囲まれた高原であり、起伏豊かな地形を形成している。；盆地内の地形は平坦で土壌も肥沃であり、古くから農業が発達してきた。；ニュージャージー州は地形と人口に基づいて5つの地域に区分できる。；特定の敵や地形などを破壊すると出現し、取得すると下記のような効果が得られる。；地形の関係でトイレ棟は待合所より一段高い場所に設置されていた。</t>
        </is>
      </c>
      <c r="J5327">
        <f>HYPERLINK("https://www.weblio.jp/content/地形", "词义详情")</f>
        <v/>
      </c>
      <c r="K5327">
        <f>HYPERLINK("https://yourei.jp/地形", "查看例句")</f>
        <v/>
      </c>
    </row>
    <row r="5328">
      <c r="A5328" t="inlineStr">
        <is>
          <t>遅刻</t>
        </is>
      </c>
      <c r="B5328" t="inlineStr">
        <is>
          <t>成功</t>
        </is>
      </c>
      <c r="C5328" t="inlineStr">
        <is>
          <t>読み方：ちこく
［名］(スル)決められた時刻に遅れること。「待ち合わせに—する」</t>
        </is>
      </c>
      <c r="D5328" t="inlineStr">
        <is>
          <t>遅刻する(9%)；遅刻しそう(3%)；遅刻者；遅刻無；遅刻魔</t>
        </is>
      </c>
      <c r="E5328" t="inlineStr">
        <is>
          <t>遅れ；遅延；遅滞</t>
        </is>
      </c>
      <c r="F5328" t="inlineStr">
        <is>
          <t>大遅刻；遅刻常習犯；分遅刻；遅刻早退；遅刻無欠勤</t>
        </is>
      </c>
      <c r="H5328" t="n">
        <v>29</v>
      </c>
      <c r="I5328" t="inlineStr">
        <is>
          <t>それでわざと具合が悪いと嘘をついて、学校を遅刻したことだってある。；そもそもこんなこと、遅刻してくる方が悪いに決まっているじゃないか。；毎日遅刻をしていて、先生に言いわけするのが、いやだったのだと思う。；そんなに近いところに学校があるのに遅刻なんかしないでくださいね。；確かに俺が気絶したあとに登校してきたのであれば、完全に遅刻だろう。；遅刻しているのに悠然と街を歩いている姿が 何度も目撃されている。；遅刻になろうがなるまいがどうでもいいと思っているのは確実だった。；よく遅刻しても、先生はわけをよく知っているので、だまっていました。；遅刻はしなかったものの、教室についた時には私はもうぐったりしていた。；むしろ何で遅刻したのか、僕の体調が悪いのかと心配してくれるはず!；江利子が自分より遅刻していると、聖は本気で思っているのだろうか。；ただし理由はどうであれ遅刻をしてしまったこともあったという。；十分ばかりの遅刻ですんだが、望田はあまり機嫌よさそうではなかった。；いつものように車で学校へ送ってもらい、遅刻しながらも授業を受ける。；非常に研究熱心だが、そのため徹夜して寝坊で遅刻することもしばしば。；遅刻するし早退するし、気に入らない授業には出ないみたいな奴だった。；遅刻はよくあることなので、誰かに何かを訊かれるようなことはなかった。；その日も店につくと店のトラックの私的な利用と遅刻を注意される。；私は、仕事に遅刻してしまう伝言を、家にいる佐藤さんに電話で頼んだ。；ここのところ朝の話し合いについ熱が入りすぎて、遅刻が続いてしまった。；人々は最初、遅刻したのでまごついているのだろうと信じていました。；遅刻をした米国人が述べた理由を上位から挙げると次のようになる。；少し遅刻しちゃったけど、このあいだごちそうになったことでもあるしね。；神聖な会議に遅刻した言い訳ついでに、私を陥れようとしているのです。；そうすれば学校にしてみても遅刻常習者が減って良いことだらけです。；確かに欠席ならともかく、遅刻というのは羽川さんらしくなかったわね。；遅刻するのかと思っていたが、一時間目が終わってもとうとう現われなかった。；遅刻常習犯の彼のことだから、おそらく六時近くまで現われないだろう。；遅刻も三日に一度ぐらいしかしないし、教室もアーシャ程には破壊しないし。</t>
        </is>
      </c>
      <c r="J5328">
        <f>HYPERLINK("https://www.weblio.jp/content/遅刻", "词义详情")</f>
        <v/>
      </c>
      <c r="K5328">
        <f>HYPERLINK("https://yourei.jp/遅刻", "查看例句")</f>
        <v/>
      </c>
    </row>
    <row r="5329">
      <c r="A5329" t="inlineStr">
        <is>
          <t>知事</t>
        </is>
      </c>
      <c r="B5329" t="inlineStr">
        <is>
          <t>成功</t>
        </is>
      </c>
      <c r="C5329" t="inlineStr">
        <is>
          <t>読み方：ちじ
１各都道府県を統轄し、代表する首長。都道府県の事務およびその権限に属する国や他の公共団体の事務を管理執行する。任期は4年。明治憲法下では官選。昭和22年（1947）から住民による直接選挙となる。
２中国の官名。州・県の長官。
３寺院の雑事や庶務に当たる役職。→六知事</t>
        </is>
      </c>
      <c r="D5329" t="inlineStr">
        <is>
          <t>知事選挙(3%)；知事職；知事時代；知事候補；知事代行</t>
        </is>
      </c>
      <c r="E5329" t="inlineStr">
        <is>
          <t>府知事</t>
        </is>
      </c>
      <c r="F5329" t="inlineStr">
        <is>
          <t>元知事；現職知事；初代知事；各知事；新知事</t>
        </is>
      </c>
      <c r="G5329" t="inlineStr">
        <is>
          <t>知事賞；知事公舎；知事部局；知事公館；知事杯全道サッカー選手権大会</t>
        </is>
      </c>
      <c r="H5329" t="n">
        <v>29</v>
      </c>
      <c r="I5329" t="inlineStr">
        <is>
          <t>委員会は多数の改善点を知事に示し、その多くが承認され法制化された。；その後、知事側も再度の会談に向け調整を行なっていく考えを示した。；自動車・建物と同様に各知事の許可及びフロン類の回収許可が必要である。；彼の人気は、知事解任時に起こった暴動からも確認することができよう。；これはそれぞれの機関の長が、知事であるか、長官であるかの違いによる。；この時以来、スペイン、メキシコおよびアメリカ人の知事が就任してきた。；これを受けて知事は条例の廃止は避けられないとの見解を示した。；他州と同様に知事の内閣を構成する州役人の多くも州民の選挙で選ばれている。；その理由は、彼が大統領になる前はテキサス州の知事だったからだ。；この委員会は州内弁護士が選出した5人と知事が選出した4人で構成されている。；ただし、知事の出身などの属性では説明がつかないという批判もある。；彼は知事のスタッフの名誉あるメンバーで、グローバー少佐と呼ばれた。；しかし同年9月に住民により選出された知事と議員らが日本復帰を公言した。；知事の佐藤は企画開発部を動員して綿密な科学的調査を実施させた。；総理大臣経験者が知事選挙に立候補したのは日本国憲法下で初の例であった。；後には属州の数も知事の数も多くなり、知事一人当たりの権力は小さくなった。；この法は議会を通り、互恵的な支持者である知事には拒否権を発動された。；そしてコナリー知事が被弾したのは番号240であることが分かった。；この問題を解決する為に知事になり、それを公約として掲げていたのではないか。；監督官と知事は大統領により任命され、市長は一般投票により選ばれる。；この海区代表委員のほかに、知事が選任する学識経験委員を置くことができる。；現在も知事邸が匝瑳市内に、長屋門は山武市内にそれぞれ現存している。；当選時は44歳で、初の戦後生まれかつ全国最年少の知事であった。；この地域はハモンド知事がその2期目に推進した州の企画に従って開発された。；教育政策は知事が指名する9人の委員からなる州の教育委員会で設定される。；島田は泉前知事時代に悪化していた軍との関係改善に努めた。；議会は知事が提案する予算支出を増やすことが許されていない。；知事達が軍隊を送りワシントンが指揮して反乱地域に進軍した。；かつて知事を務めたウマル・ヤラドゥアは後に大統領になった。</t>
        </is>
      </c>
      <c r="J5329">
        <f>HYPERLINK("https://www.weblio.jp/content/知事", "词义详情")</f>
        <v/>
      </c>
      <c r="K5329">
        <f>HYPERLINK("https://yourei.jp/知事", "查看例句")</f>
        <v/>
      </c>
    </row>
    <row r="5330">
      <c r="A5330" t="inlineStr">
        <is>
          <t>知識</t>
        </is>
      </c>
      <c r="B5330" t="inlineStr">
        <is>
          <t>成功</t>
        </is>
      </c>
      <c r="C5330" t="inlineStr">
        <is>
          <t>読み方：ちしき
［名］(スル)
１知ること。認識・理解すること。また、ある事柄などについて、知っている内容。「日々新しい—を得る」「—をひけらかす」「予備—」
「幸福とは何かと云う事を明細に—して了っている」〈長与・竹沢先生と云ふ人〉
２考える働き。知恵。「—が発達する」
３（多く「智識」と書く）仏語。
㋐仏法を説いて導く指導者。善知識。
㋑堂塔や仏像などの建立に金品を寄進すること。また、その人や金品。知識物。
㋒対象を外界に実在すると認める心の働き。
４《knowledge／(ドイツ)Wissen》哲学で、確実な根拠に基づく認識。客観的認識。</t>
        </is>
      </c>
      <c r="D5330" t="inlineStr">
        <is>
          <t>知識人(9%)；知識階級；知識資産；知識量；知識及び技能</t>
        </is>
      </c>
      <c r="E5330" t="inlineStr">
        <is>
          <t>情報；教育；データ；学；認識</t>
        </is>
      </c>
      <c r="F5330" t="inlineStr">
        <is>
          <t>必要な知識；科学知識；基礎知識；新知識；新しい知識</t>
        </is>
      </c>
      <c r="G5330" t="inlineStr">
        <is>
          <t>知識層；知識経営；知識ベース；知識体系；知識不足</t>
        </is>
      </c>
      <c r="H5330" t="n">
        <v>29</v>
      </c>
      <c r="I5330" t="inlineStr">
        <is>
          <t>五七幹部学校に追いやられていた知識人はその多くが都市に戻ってきた。；これは 医学を学ぶにあたり、より高度な知識が必要となるためである。；このため予備知識がない地域では乗り入れの情報に注意する必要がある。；知識の各分野と神・人間・自然の相互の結びつきが表現されている。；勝負に関係の無いクイズ番組では平均的な知識のタレントが多く出演する。；ジャズ業界の知識を援用して音楽方面に取材した作品を複数発表している。；衛生上の知識に関連する学問分野として次に挙げるものが知られている。；そのため彼らが金属加工の知識や技術に長けていたことは確実である。；この試験の公式目的は、「具体的な知識と技能」を評価することである。；理性は知識を獲得する信頼にたる源であり、啓示と完全に調和している。；しかしこの時期においても知識階級の文章言語はラテン語のままであった。；フランシス・ベーコンは知識獲得の方法の発展に重大な貢献をした。；その一方、予備知識を持たない興味本心だけの参加者の増加もしている。；人間は、知識だけでなく、自らの精神や心にも注意を向けることができる。；経験者の知識・助言・支援などは離脱症状からの離脱の助けになるであろう。；そして一般の方向に進む波はその知識を基礎にして考える。；貧困や障害などにより知識を有していても行動が難しい人も数多く存在する。；戦前・戦後の知識を持たないため、相手を理解せず日本の基準で判断して主張する。；話者にフィンランド語の知識がない場合では、英語が通常話されている。；また、実用的知識から科学的な分野への移行を意味することもある。；いまや確実な知識を携えたファーブルは、自分の進むべき分野を決めた。；この学派はその後100年に渡ってイラクの知識人世界で主流となった。；原型の素材はさまざまであり、作成には高度な知識・技術・経験が要求される。；彼らの知識はヨーロッパに逆輸入され、ルネサンスの開始を助けた。；製造技術と音響学の知識の両方が洗練され、楽器の演奏性が大幅に向上した。；彼の民謡への興味と背景知識はデンマーク人に特別共鳴するのである。；科学的な知識と理解を用いて観察や測定その他のデータ及び結論を説明したり解釈したりすること。；医学的な知識はもちろんのこと、臨床疫学や統計学の知識が求められる。；その中で中国とヨーロッパの知識を創造することの疑問について議論している。</t>
        </is>
      </c>
      <c r="J5330">
        <f>HYPERLINK("https://www.weblio.jp/content/知識", "词义详情")</f>
        <v/>
      </c>
      <c r="K5330">
        <f>HYPERLINK("https://yourei.jp/知識", "查看例句")</f>
        <v/>
      </c>
    </row>
    <row r="5331">
      <c r="A5331" t="inlineStr">
        <is>
          <t>地質</t>
        </is>
      </c>
      <c r="B5331" t="inlineStr">
        <is>
          <t>成功</t>
        </is>
      </c>
      <c r="C5331" t="inlineStr">
        <is>
          <t>読み方：じしつ
布などの、生地の性質・品質。地合い。「—がよい反物」「丈夫な—」</t>
        </is>
      </c>
      <c r="D5331" t="inlineStr">
        <is>
          <t>地質的(9%)；地質構造(7%)；地質学科；地質学会；地質条件</t>
        </is>
      </c>
      <c r="E5331" t="inlineStr">
        <is>
          <t>構造；地質学；ジオロジー</t>
        </is>
      </c>
      <c r="F5331" t="inlineStr">
        <is>
          <t>地質局；地質學；地質図；やすい地質；地質課</t>
        </is>
      </c>
      <c r="G5331" t="inlineStr">
        <is>
          <t>地質学者；地質調査；地質時代；地質図；地質年代</t>
        </is>
      </c>
      <c r="H5331" t="n">
        <v>29</v>
      </c>
      <c r="I5331" t="inlineStr">
        <is>
          <t>このような地質・地形は以下のようにして形成されたと考えられている。；地質的には本島のパラワン島と関係しており、の西の端に位置している。；建設途中で地質が予想より弱かったために施設の一部の工事が遅れた。；西日本の地質に大きな影響を与え、現在の北海道の中央を縦断していた。；拝火教が生まれた理由はこのような地質現象に関係があると見られる。；また水を吸い込みやすい地質であるので地下水の供給源ともなっていた。；山は砂丘のような砂状の地質であり、関屋地区の多くは砂畑も多かった。；地質的に基岩となるのは凝灰岩であり、他に玄武岩・花崗岩などがある。；西部は山岳が多く、地質および地形的にロッキー山脈北部に属している。；したがって、地質構造はこの安倍川を境にして県の東西で全く異なる。；この計画が地理的・地質的な制約を考慮していないことも批判材料となった。；アヴェロン県は広大で多様な地質からなる古い岩の高原で構成される。；荒れ地で地質サンプルを発見し取得する自律ロボットを作る課題である。；地下水面は地表の地形よりもむしろ地下の地質構造に応じて変化する。；また主断層に伴う副断層も相当な数があって、地質を非常に複雑化していた。；マナセ・カトラーが率いた地質調査隊が1784年に山の名前を付けた。；このような地質活動は百数十万年前の第四紀更新世の初期に始まったとされる。；地球内部にある各々の地質成分層は、地表から次の深さにあるとされる。；地質的には大部分が新生代第四紀中期の砂・泥層と関東ローム層からなる。；上記のように、この理論は大規模な山脈の地質の研究から生まれた。；しかし、平均のアルベドの低さから惑星のような地質はないと考えられている。；地質的には、大半が西表島の西部と同じ砂岩を主とした八重山層群である。；サウジアラビアと海外から環境、地質、科学の専門家89名が参加した。；侵食地形においては、それを構成している地質構造の影響を大きく受ける。；最終的にアーチ式コンクリートダムに決定したが地質問題は未解決のままとなった。；双方とも楯状火山の火山島で、地質や地形もよく似ている双子島である。；このためネヴァ川の三角州が形成した複雑な地質から遠く離れて位置している。；地質的には東南方向から西北方向に広がる沖積平野上に位置している。；中央構造線を挟んだ両側の地質が異なるため、両側の地形も異なる。</t>
        </is>
      </c>
      <c r="J5331">
        <f>HYPERLINK("https://www.weblio.jp/content/地質", "词义详情")</f>
        <v/>
      </c>
      <c r="K5331">
        <f>HYPERLINK("https://yourei.jp/地質", "查看例句")</f>
        <v/>
      </c>
    </row>
    <row r="5332">
      <c r="A5332" t="inlineStr">
        <is>
          <t>知人</t>
        </is>
      </c>
      <c r="B5332" t="inlineStr">
        <is>
          <t>成功</t>
        </is>
      </c>
      <c r="C5332" t="inlineStr">
        <is>
          <t>読み方：しりうと
⇒しりゅうと</t>
        </is>
      </c>
      <c r="D5332" t="inlineStr">
        <is>
          <t>知人たち(4%)；知人宅；知人友人；知人女性；知人達</t>
        </is>
      </c>
      <c r="E5332" t="inlineStr">
        <is>
          <t>仲間；知り合い；近づき；ご存じ；顔見知り</t>
        </is>
      </c>
      <c r="F5332" t="inlineStr">
        <is>
          <t>親しい知人；親戚知人；古い知人；新しい知人；あらゆる知人</t>
        </is>
      </c>
      <c r="H5332" t="n">
        <v>29</v>
      </c>
      <c r="I5332" t="inlineStr">
        <is>
          <t>知人や家族が消えていき、自らが日常を過ごしていた場所も消えていく。；ニュースを聞いた者は衝動に駆られたように家族や知人に電話をかけた。；しかし友人たちや知人たちは、それが事実でないことを証言している。；友人や知人からも同様に適当な理由をつけて金を借りようとすることがある。；彼は知人に宛てた手紙でプルードン派への攻撃を次のように示唆している。；パスポートを取得するまでの1年間は父親の知人の紹介で撮影所で働く。；ふたりは共通の知人だったモーラ・リンパニーから紹介を受けて出会った。；生前に一冊の著作もない彼女を知っていたのは家族・知人・関係者だけであった。；また知人・友人などが集まって誕生日会などが開かれることもある。；酒と女と喧嘩三昧の生活をしているが、遊女や知人からの人気は高い。；編み物が上手であるが、料理は家族や知人に恐怖されるほど下手である。；田畑の耕作は許可されていたため、多くは付近の親戚や知人宅を頼った。；ミートホープで知人の家族が働いていた大仁田厚の呼び掛けで実現した。；長らく東京で活躍していたことから、東京のタレントにも友人・知人が多い。；作者いわく山田きょう・あす姉妹のモデルは知人の子供であるとのこと。；避難所に指定されていた泉邸にたどり着くと、そこで多くの知人に会った。；残された母と清張は知人の家に世話になる生活を経験している。；東京アメリカンクラブのメンバーである高倉は外国人の友人・知人が多い。；大学卒業後は国民文化研究所を経て、知人の紹介で劇団泉座へ入団。；この劇の作者の知人の中には当時のことをよく覚えている人たちもいたものと思われる。；登場人物の多くが、作者の同級生や知人をモデルにしたものである。；翌年から知人の紹介で印刷会社勤務のサラリーマン生活に戻っている。；知人のゴーストライターをしたことがきっかけで、出版会にデビュー。；また、ゲスト探しには知人の紹介などを活用することもあった。；それを原稿にまとめて知人に託したものをまとめたものとする。；しかし家賃が払えずに家を追い出され、知人宅に居候することになった。；知人がスマートフォンで撮影した動画には、怪我の瞬間が残っている。；原因は酒に酔った知人が吉川所有の尾崎豊の形見のギターを蹴ったこと。；しかし実際には松川夫妻は椎名の知人の企業経営者の社宅に匿われていた。</t>
        </is>
      </c>
      <c r="J5332">
        <f>HYPERLINK("https://www.weblio.jp/content/知人", "词义详情")</f>
        <v/>
      </c>
      <c r="K5332">
        <f>HYPERLINK("https://yourei.jp/知人", "查看例句")</f>
        <v/>
      </c>
    </row>
    <row r="5333">
      <c r="A5333" t="inlineStr">
        <is>
          <t>地図</t>
        </is>
      </c>
      <c r="B5333" t="inlineStr">
        <is>
          <t>成功</t>
        </is>
      </c>
      <c r="C5333" t="inlineStr">
        <is>
          <t>読み方：ちず
地球表面の一部または全部を一定の割合で縮小し、記号・文字などを用いて平面上に表した図。「世界—」「白(はく)—」</t>
        </is>
      </c>
      <c r="D5333" t="inlineStr">
        <is>
          <t>地図上(5%)；地図作成；地図製作；地図情報；地図データ</t>
        </is>
      </c>
      <c r="E5333" t="inlineStr">
        <is>
          <t>マップ；絵図；輿図；軍用地図</t>
        </is>
      </c>
      <c r="F5333" t="inlineStr">
        <is>
          <t>古い地図；詳細な地図；大きな地図；正確な地図；周辺地図</t>
        </is>
      </c>
      <c r="G5333" t="inlineStr">
        <is>
          <t>地図製作者；地図学；地図投影法；地図学者；地図アプリ</t>
        </is>
      </c>
      <c r="H5333" t="n">
        <v>29</v>
      </c>
      <c r="I5333" t="inlineStr">
        <is>
          <t>そのため北を上にした現代の地図上では右にありながら左京と呼ばれる。；現代の地図上の左右、つまり地図の北を上にしたときの左右ではない。；もともとは地図は書く予定はなくお勉強の回のときだけ描いていた。；スイスの至る所でハイキングし歩くことに利用出来る特有な地図がある。；このような帯状記録を利用して、世界の水深の多くが地図化されている。；この町は同名の川 沿いにあり、1725年には既に地図に掲載された。；対仏戦争終了後、ヨーロッパのみではなく各国植民地の地図は一変した。；本の最初のページには島の地図の絵があり、突如として動きはじめる。；しかし幕府はこれを採用せず、代わりに江戸府内の地図を作るよう命じた。；なお、伊能忠敬の地図は横浜島に当たるところは本土とつながっている。；上の地図で不明瞭、または省略されている主な離島の所属は以下の通り。；郡名の由来は地図で見た場合に「武儀郡の上にある郡」であることから。；家族に向けた手紙には地図を描いて送り、学んだことをフランス語で記録した。；各山の文章中に、山周辺の地図と山の白黒写真が挿入された版もある。；記録した映像をもとに地図を作成して印刷することもできる。；右下には100年前のアメリカ合衆国が小さい地図で示されている。；その当時の地図では広島駅通過後、京橋川の近くまで線路が延びていた。；地図は手紙に入れておいたのでそれを持って、必ず来てください。；部屋にいると彼はいつも、床に広げた地図の上を這いまわっていた。；この経緯により、一部の地図には綾瀬川の括弧書きが行われる事がある。；地図上ではヒョー越と表記されるものもあり、単に兵越と呼ぶこともある。；地理教育では心の中の地図のことを指し、重要な概念とされている。；これらの技術の普及により、地図の更新・印刷は手軽なものとなっている。；歴史上彼女ほど多く地図にその名を刻んだ者は存在していない。；地図を操縦機にセットすれば、自動操縦で目的地へ送り込むことも可能。；現存する中では最古級の、カブラルのブラジル遠征を反映した地図である。；紙に番地を書いて見せたり、地図を指したりすればより間違いない。；本来はマッピングペンと呼び、地図の等高線を描くために利用されていた。；多様体に座標を描くという作業は地球上の地図を作る作業に似ている。</t>
        </is>
      </c>
      <c r="J5333">
        <f>HYPERLINK("https://www.weblio.jp/content/地図", "词义详情")</f>
        <v/>
      </c>
      <c r="K5333">
        <f>HYPERLINK("https://yourei.jp/地図", "查看例句")</f>
        <v/>
      </c>
    </row>
    <row r="5334">
      <c r="A5334" t="inlineStr">
        <is>
          <t>知性</t>
        </is>
      </c>
      <c r="B5334" t="inlineStr">
        <is>
          <t>成功</t>
        </is>
      </c>
      <c r="C5334" t="inlineStr">
        <is>
          <t>読み方：ちせい
１物事を知り、考え、判断する能力。人間の、知的作用を営む能力。「—にあふれる話」「—豊かな人物」
２比較・抽象・概念化・判断・推理などの機能によって、感覚的所与を認識にまでつくりあげる精神的能力。</t>
        </is>
      </c>
      <c r="D5334" t="inlineStr">
        <is>
          <t>知性体(7%)；知性的(3%)；知性派；知性生物；知性チーム</t>
        </is>
      </c>
      <c r="E5334" t="inlineStr">
        <is>
          <t>心；頭；精神；知；理性</t>
        </is>
      </c>
      <c r="F5334" t="inlineStr">
        <is>
          <t>高度な知性；純粋知性；鋭い知性；異種知性；機械知性</t>
        </is>
      </c>
      <c r="G5334" t="inlineStr">
        <is>
          <t>知性化；知性主義；知性と感性；知性の神；知性単一説</t>
        </is>
      </c>
      <c r="H5334" t="n">
        <v>29</v>
      </c>
      <c r="I5334" t="inlineStr">
        <is>
          <t>この段階では吸血鬼は知性のない動物のような悪魔として扱われている。；また、当時としては最高の教育を受けながら知性的な人物ではなかった。；チューリングテストが一般的に言う知性を試験できない理由は二つある。；これにより人間の知性の特定の特徴を自動化することが可能となった。；太陽系内に知性体がいれば、地球にも知性体がいることとわかるだろう。；彼らは機械が真の知性を獲得するには「身体」が必要だと信じていた。；また、タマが知性を持つようになったのにも彼女の関与が示唆されている。；別の惑星から地球へやってきた異星知性体、それがラヴォスだったのだ。；偉大なる知性と特に非常に実践的な能力を持った賢者のイメージである。；もち性植物もうるち性植物が変異したことによって生じた変異体である。；作品にもよるが、使い魔は知性や感情を持たないとされることが多い。；生物の知性は一般的に脳と全体の比率によって知性の高さが予測できる。；彼は祖父アンドロニコス2世同様に高い知性を備えていたと考えられている。；女性はほとんど知性を持たないよう、男性によって品種改良されてきた。；これらは当時における室内楽のうちで最も知性に溢れる類のものである。；調査の結果ここには知性が存在し、洞窟の中で何かを行っていた。；「類稀な知性」と豊富な話題が周囲に人気と反響をもたらしたといわれる。；購入したアイテムは、原人たちの知性や文化の発展のための重要な鍵となる。；彼は脳の解剖学的特徴と、知性のような心的能力との関係に関心を抱いた。；この知性論と関連して、かの二重真理説の諸端になる説が展開された。；知性派で計算高いが、狡猾で目的のためなら手段を選ばない冷酷な性格。；また、どれほど優れた知性であっても、思考のみでは問題を解決できない。；しかし同時に、自身の創造性が知性よりも本能的なものだと認めてもいる。；また彼は自分がいかなる理由で知性を得たのかを探索している。；これまでに登場したアニメシリーズでは知性が低いため言葉は話せていない。；ミス・ハニーはマチルダの母が娘の知性に無関心であることを知る。；しかしその中でギャグ・センスは冴えていて知性を感じさせる作品である。；基本的に知性は低いが、人間と変わらぬ知性を持つものも存在する。；官能的な肉体の魅力と同様に、その演技力と知性で知られていた。</t>
        </is>
      </c>
      <c r="J5334">
        <f>HYPERLINK("https://www.weblio.jp/content/知性", "词义详情")</f>
        <v/>
      </c>
      <c r="K5334">
        <f>HYPERLINK("https://yourei.jp/知性", "查看例句")</f>
        <v/>
      </c>
    </row>
    <row r="5335">
      <c r="A5335" t="inlineStr">
        <is>
          <t>地帯</t>
        </is>
      </c>
      <c r="B5335" t="inlineStr">
        <is>
          <t>成功</t>
        </is>
      </c>
      <c r="C5335" t="inlineStr">
        <is>
          <t>読み方：ちたい
ある特徴によって周囲と区別される、一定の範囲の土地。「安全—」「工業—」「穀倉—」</t>
        </is>
      </c>
      <c r="D5335" t="inlineStr">
        <is>
          <t>地帯特有；地帯観光株式会社；地帯一帯；地帯全域；地帯志染地区</t>
        </is>
      </c>
      <c r="E5335" t="inlineStr">
        <is>
          <t>地域；地区；地方；領域；一帯</t>
        </is>
      </c>
      <c r="F5335" t="inlineStr">
        <is>
          <t>国境地帯；農村地帯；水田地帯；農業地帯；工場地帯</t>
        </is>
      </c>
      <c r="H5335" t="n">
        <v>29</v>
      </c>
      <c r="I5335" t="inlineStr">
        <is>
          <t>人口の多くはアロフィを中心とする北西から西の海岸地帯に集中している。；州南部の海岸は、世界でも最大級の速度で消失を続けている地帯である。；高山地帯は島の他の地域よりも涼しく湿っている点が特徴となっている。；東側は木津川沿いの農業地帯、南部と西部は丘陵地にある住宅地である。；駅の南側は主に工場地帯、駅の北側は近年新たに宅地化が進んでいる。；しかし信越国境地帯であり国境防御のため加賀藩は開湯を許さなかった。；駅の周辺は帷子川の流れる谷の底で南北ともに丘陵地帯となっている。；古くからの住宅密集地帯が多く、細く狭い道や急な山坂が多いのが特徴。；海岸地帯の料理にはセビッチェのように魚介類を豊富に使った料理が多い。；古くからの畑作地帯であるが、元文年間には盛んに新田開発が行われた。；同様に隣接する北区も農村地帯があるが、当区では近郊農業地帯である。；上流部は三国山脈などの高山地帯があり、冬季は雪が多く寒さが厳しい。；かつては地獄地帯の高温泉を地元の人達が調理に使っていたという。；霧は通常白色だが工場地帯では煙と塵埃のために灰色や黄色になることがある。；中西部の大半がカラハリ砂漠に覆われており、北には沼地地帯が広がる。；駅東側には郊外店を中心とした新たな商業施設地帯が形成されている。；それに代わって各種工業が進出し、工場地帯を形勢することになる。；ローハン谷を越えた先は西境であり、王国の最西部の国境地帯である。；いくつかの遺跡は国境地帯に存在し、このことが遺跡へのアクセスを困難にしている。；古墳時代後期の6世紀になると丘陵地帯に古墳が作られるようになった。；周辺一帯では、越後平野の稲作を中心とした農業地帯が広がっている。；畑作や酪農を中心とした農業が非常に盛んで、北海道一の畑作地帯である。；農業地帯の政治と経済の権力を維持するために、古い選挙区割りに固執した。；元より要塞地帯であるため、小道1本作るにも軍の許可が必要であった。；北部・西部は吉備高原の南部に位置し、南部もまた丘陵地帯を形成している。；以後この地方の農業は大きく発展し、東三河は日本を代表する農業地帯となった。；名の由来は、当時スペインとの国境地帯にあったベアルン州から。；十国の中で最も強大なのは、中国でも最も豊かな地帯に拠った呉であった。；だが、静岡県の主張する海岸地帯開発の考えを一部取り入れてルートに反映させた。</t>
        </is>
      </c>
      <c r="J5335">
        <f>HYPERLINK("https://www.weblio.jp/content/地帯", "词义详情")</f>
        <v/>
      </c>
      <c r="K5335">
        <f>HYPERLINK("https://yourei.jp/地帯", "查看例句")</f>
        <v/>
      </c>
    </row>
    <row r="5336">
      <c r="A5336" t="inlineStr">
        <is>
          <t>父</t>
        </is>
      </c>
      <c r="B5336" t="inlineStr">
        <is>
          <t>成功</t>
        </is>
      </c>
      <c r="C5336" t="inlineStr">
        <is>
          <t>読み方：かぞ
《古くは「かそ」》上代、父をさす語。⇔いろは。
「その—母(いろは)の二はしらの神」〈神代紀・上〉</t>
        </is>
      </c>
      <c r="D5336" t="inlineStr">
        <is>
          <t>父さま；父王；父娘；父帝；父ジョン</t>
        </is>
      </c>
      <c r="E5336" t="inlineStr">
        <is>
          <t>主；神；父親；お父さん；神様</t>
        </is>
      </c>
      <c r="F5336" t="inlineStr">
        <is>
          <t>秩父；亡き父；代父；幼くして父；わが父</t>
        </is>
      </c>
      <c r="G5336" t="inlineStr">
        <is>
          <t>父子；父母；父さん；父上；父方</t>
        </is>
      </c>
      <c r="H5336" t="n">
        <v>29</v>
      </c>
      <c r="I5336" t="inlineStr">
        <is>
          <t>幼いころに南フランスに移住し、父の絵のモデルを務めさせられていた。；父は何も仕事をせず、常に自宅におり、家族は軍人恩給で生活していた。；天におられるわたしたちの父よ、 み名が聖〔せい〕とされますように。；かつて言語を研究していた父にラテン語の準備をしてもらってから入学した。；父は脱サラの走りみたいな人物で、会社へはあまり行きたがらなかった。；父は湯浅屋支配人の仕事があるため、東京と松阪を往復する生活をした。；父カロルはハプスブルク家の軍隊に仕えたこともある退役軍人であった。；そのため、母方の叔父であるが父の死後、コペルニクスと兄弟を育てた。；同月には、神経痛の父を松山の道後温泉へ送った後に船で大阪に戻った。；この軍団が洛陽に到着した際、付き従っていた父・司馬談が病に倒れた。；しかし父は1847年に亡くなり、残された家族は苦しい生活を送った。；エリーザベトの希望で、遺体は故郷レッケンの教会で父の隣に埋葬された。；自分の看病で2度も倒れた父に賢治は後までも負い目を感じていたという。；父は工場を次男のに任せ、アルフレッドと両親はスウェーデンに帰国した。；奇遇にも、父が勤務していたプラハの歩兵第102連隊に配属先された。；父は赤松氏の支流・新免氏の一族・新免無二とされているが異説もある。；父は大手の呉服商や織物工場を営み、戦前はかなり裕福な家庭で育った。；初代ゼルダ姫は、亡き父王よりトライフォースの秘密を伝えられていた。；モネは、パリで絵の勉強をしたいと考えるようになったが、父は強く反対した。；生まれてすぐ母が死去、父とも生き別れたため、おじ夫婦に引き取られた。；ちなみに長男の万作は父の筆名から名前をそのまま取って命名された。；父が来るときは、常に大きな黒い鞄を持ってやってきて滞在した。；父は子供たちの教育に関心を持ち、幼児のときから熱心に育てた。；父のジュリオは会計士だったが後に政府から3つの戦争へ招聘された。；父の家光は、生まれた時から家綱を自らの後継ぎに決めていたという。；父キングマンボはフランスとイギリスで走り、G1競走を3勝している。；その後、比叡山の叡空の下で修行中に父が殺害されたことを知ったとされる。；父ヴィンチェンツォは音響学の研究で数的な記述・分析を重視する手法を用いた。；なお奇しくも父と同じ病気で倒れ同じ病院で亡くなっている。</t>
        </is>
      </c>
      <c r="J5336">
        <f>HYPERLINK("https://www.weblio.jp/content/父", "词义详情")</f>
        <v/>
      </c>
      <c r="K5336">
        <f>HYPERLINK("https://yourei.jp/父", "查看例句")</f>
        <v/>
      </c>
    </row>
    <row r="5337">
      <c r="A5337" t="inlineStr">
        <is>
          <t>乳</t>
        </is>
      </c>
      <c r="B5337" t="inlineStr">
        <is>
          <t>成功</t>
        </is>
      </c>
      <c r="C5337" t="inlineStr">
        <is>
          <t>読み方：ち
１ちち。乳汁(にゅうじゅう)。「—兄弟」「添え—」
「みどり子の—乞ふがごとく」〈万・四一二二〉
２《形が乳首に似ているところから》羽織・幕・旗などにつけた、ひもやさおを通すための小さな輪。「ひもを—に通す」
３釣鐘の表面にある、いぼ状の突起。
４乳房。乳首(ちくび)。「—の下」
「胸をあけて—などくくめ給ふ」〈源・横笛〉
５「乳金物(ちかなもの)」の略。</t>
        </is>
      </c>
      <c r="D5337" t="inlineStr">
        <is>
          <t>乳色(4%)；乳暈；乳飲み；乳白；乳糜</t>
        </is>
      </c>
      <c r="E5337" t="inlineStr">
        <is>
          <t>胸；乳房；牛乳；ミルク；胸部</t>
        </is>
      </c>
      <c r="F5337" t="inlineStr">
        <is>
          <t>胸乳；鐘乳；白い乳；乳用；乳飲み仔豚</t>
        </is>
      </c>
      <c r="G5337" t="inlineStr">
        <is>
          <t>乳母；乳首；乳児；乳製品；乳幼児</t>
        </is>
      </c>
      <c r="H5337" t="n">
        <v>29</v>
      </c>
      <c r="I5337" t="inlineStr">
        <is>
          <t>重盛は天皇の乳父の立場にあり、その行為は許されるものではなかった。；この出荷できない初乳を有効利用するために酪農家の間で作られている。；いつごろかは明らかにされていないが、かつては全乳を使用していた。；これは乳糜を完全に分解することにより手術を避けられる可能性がある。；多くの地域社会では、乳の生産は動物を飼育する目的の一部でしかない。；お袖の乳の出が悪くなり、再び薬師如来に祈ると乳が出るようになった。；今日では乳入りの茶はほとんど他の伝統的な飲料に変わる立場を獲得している。；新石器時代、ブリテン諸島で乳が利用されていた証拠が見つかっている。；親の乳を与えられた仔と直ぐ親から離された仔では免疫力の差が大きい。；この小屋根のおかげで、乳の木は改修工事後も交換されずに使われている。；また木棺直葬の埋葬主体からは方格八乳鏡と位至三公が出土している。；乳突蜂巣と交通しているが、別なものなので区別しなければならない。；一方で、輸送用ではなくラクダ乳を入手を目的とした牧場も運営されている。；境港に戻った理由は「大阪は空気が汚れていて乳の飲みが悪い」からという。；乳様突起の一画の内部は無数の空洞になっていて、乳突蜂巣と呼ばれる。；初めの頃はアボンダンス種の牛の乳を使用して生産されていた。；ロシアでの調査によると、ヘラジカ乳は乳脂肪と乳固形分が豊富である。；大木は、けい子がなぜか左の乳を触られるのを拒んだことを思い出した。；母カツの乳の出が悪かったため、1歳になるまで近所の家で育てられた。；もし見知らぬ人が入ると、母親の家畜の乳が出なくなると考えている。；丞相を辞めてからは老齢のために歯を失い、女子の乳を飲むようになった。；そこで、牛との混血を作る事で、乳と肉の品質向上などの改善が行われた。；ヤギやヒツジの乳も健康によく、チーズやバターもまた不健康ではない。；しかし、多くの白い乳を分泌して狐色に変わっていく種は多いわけではない。；その他に、シチューなど乳を肉と一緒に料理することへの禁忌もある。；語源は「乳の湖」であるが、そう名付けられた理由は分かっていない。；子猫は母猫とその乳に依存し、また世話や愛撫を求める時には人間に依存する。；乳は中庸で温湿性であったが、別の動物では乳の性質も違うと考えられた。；外区は複波鋸歯文帯で、内区は四乳の間に二神二獣が配されている。</t>
        </is>
      </c>
      <c r="J5337">
        <f>HYPERLINK("https://www.weblio.jp/content/乳", "词义详情")</f>
        <v/>
      </c>
      <c r="K5337">
        <f>HYPERLINK("https://yourei.jp/乳", "查看例句")</f>
        <v/>
      </c>
    </row>
    <row r="5338">
      <c r="A5338" t="inlineStr">
        <is>
          <t>父親</t>
        </is>
      </c>
      <c r="B5338" t="inlineStr">
        <is>
          <t>成功</t>
        </is>
      </c>
      <c r="C5338" t="inlineStr">
        <is>
          <t>読み方：ちちおや
男親。父。「—参観日」⇔母親。</t>
        </is>
      </c>
      <c r="D5338" t="inlineStr">
        <is>
          <t>父親譲り；父親似；父親代わり；父親像；父親同士</t>
        </is>
      </c>
      <c r="E5338" t="inlineStr">
        <is>
          <t>父；お父さん；親父；父さん；実父</t>
        </is>
      </c>
      <c r="F5338" t="inlineStr">
        <is>
          <t>亡き父親；良き父親；優しい父親；厳しい父親；よき父親</t>
        </is>
      </c>
      <c r="G5338" t="inlineStr">
        <is>
          <t>父親殺し；父親の権利運動；父親の役割；父親参観；父親たちの星条旗</t>
        </is>
      </c>
      <c r="H5338" t="n">
        <v>29</v>
      </c>
      <c r="I5338" t="inlineStr">
        <is>
          <t>これは両親、特に父親との関係が不仲であったことが理由とされている。；もう父に会うことはできないけれど、私にとってとても良い父親でした。；庵野の父親は若い頃の事故で左足の膝から下を失っており義足であった。；彼女の父親は中国でも十指に入ると言われた腕利きの麻薬捜査官だった。；父親の眼の治療のためと、ボルヘスおよび妹のノラの進学のためである。；その姿はいまだ父親の呪縛から逃れられないマルク自身のようであった。；さらに息子は父親を、ハリーがクラムと歩いていた日に殺したという。；いつごろからかはっきりしないが、父親は海外勤務になったという。；父親は厳しいなんてものじゃなく、自転車ごと投げられたこともあると語る。；その中の一人フランチェスコは後に、父親と同様に画家になっている。；父親はいきなりの展開にも拘らず入門を喜んだが、一方で母親は猛反対。；彼の父親は極めて立派な人物であり、私も非常に尊敬しています。；父親がギリシャ哲学の崇拝者であったためにソクラテスと名付けられた。；父親が驚いて計算をやり直したところ、息子が指摘した通りであったという。；両親はプリンスが子供の頃の1966年に離婚し、父親が家を出て行った。；多忙の工場経営者の父のもとに生まれ、父親との関係は希薄であった。；アニメでは、父親の顔や形が統一されていなかった時期がある。；予想に反して、父親や教師や政治家も含め2000人もの人間が集まった。；スロバキア人であった実の父親とは、マルチナが7歳の時に別れている。；マネージメントは父親が行っていたが2008年以降母親と兄が行っていた。；元々身軽だった彼女は父親や仲間との修行にも引けを取ることがなかった。；母親の違う於菟は、他の子供たちとはまた違った父親像を綴っている。；父親は2年間日本に滞在後、帰国してほどなくアメリカで死亡した。；兄弟の中で最も父親と性格が似ていて、字も似ているという。；だがともかく、ピエールはこうして父親のもとから完全に独立したのである。；この父親との関係は、色川文学の大きなテーマの一つとなっている。；パスカルが少年の時に、教育熱心な父親は一家を引き連れパリに移住する。；地元はどこを見ても父親が妻を殴っていて、大人が子どもをぶん殴っていた。；父親は軍人で、三人の兄と弟一人という男兄弟に囲まれて育った。</t>
        </is>
      </c>
      <c r="J5338">
        <f>HYPERLINK("https://www.weblio.jp/content/父親", "词义详情")</f>
        <v/>
      </c>
      <c r="K5338">
        <f>HYPERLINK("https://yourei.jp/父親", "查看例句")</f>
        <v/>
      </c>
    </row>
    <row r="5339">
      <c r="A5339" t="inlineStr">
        <is>
          <t>縮まる</t>
        </is>
      </c>
      <c r="B5339" t="inlineStr">
        <is>
          <t>成功</t>
        </is>
      </c>
      <c r="C5339" t="inlineStr">
        <is>
          <t>読み方：ちぢまる
［動ラ五（四）］ちぢんだ状態になる。「寿命が—・る」「寒さで身が—・る」</t>
        </is>
      </c>
      <c r="D5339" t="inlineStr">
        <is>
          <t>収縮；減る；縮める；詰まる；縮む</t>
        </is>
      </c>
      <c r="H5339" t="n">
        <v>29</v>
      </c>
      <c r="I5339" t="inlineStr">
        <is>
          <t>仲間が人工冬眠から出てきたときには、差は一対七から三対九に縮まる。；二人の距離がグンと縮まったような気がした、のは私だけかもしれない。；全体が炎に包まれたと思った瞬間、長さが一気に数分の一にまで縮まる。；不安の輪が少しずつ縮まって、わたしの頭と胸とを強くしめつけました。；向こうも死にもの狂いになっているので、なかなか差は縮まらなかった。；逢わねば元の君と我にたぐり寄すべき恋の綱の寸分だも縮まる縁はない。；距離が縮まる毎に翼の頭の中には〝恐怖〟この文字一色に染まっていた。；濡れた双眸が目の前にあるというのに、二人の距離は縮まらなかった。；源八がいくら道を急いでも巫女との距離が一向に縮まらないのである。；それで栽培期間が半分に縮まり、年六回の収穫が得られることになる。；父が僕の眼の中に小さく縮まって入ってくるような気がした。；走行車線を走っていると、たちまちのうちに前の車との距離が縮まる。；空がどんどんわたくしに向けて縮まってくるような気がして胸が苦しくなった。；舌が縮まって息がつまり、伊沢は思わずそこへしゃがみこんでしまった。；俺の加入時には十あった前線層との差は、短期間で五にまで縮まった。；あの力強いストロークでは彼我の距離はすぐにも縮まってしまうだろう。；そうやって観ていくうちに、かなり先に行っていた桜井との距離が縮まった。；十分に距離が縮まったところで、ようやく騎士たちが突撃を開始した。；ところが何時まで経っても双方の距離が一向に縮まらないのである。；ヤマハは目標台数に達しなかったが、その差は二十万台弱まで縮まった。；夏の海を泳ぐように、なかなかミニヴァンまでの距離が縮まらなかった。；海と天井の間隔が三十センチに縮まったとき、かれらはマスクをつけた。；その程度に距離が縮まった両者の間を、見慣れない形状の橋が繋いでいる。；春香との距離がまた少しだけ縮まった気がするこの旅行のことを。；人間と猫の速度の差は、ドラゴンキラーになっても縮まらないらしい。；待たされているあいだにも母都市との距離は確実に縮まっていく。；片耳が花の芯のように小さく縮まってしまって、耳たぶがなかったのだ。；両者の距離は次第に縮まり、竜は聖ミカエルに向かって助けを求めた。；有効な射点を得ようとすれば、三隻の相対距離は必然的に縮まってゆく。</t>
        </is>
      </c>
      <c r="J5339">
        <f>HYPERLINK("https://www.weblio.jp/content/縮まる", "词义详情")</f>
        <v/>
      </c>
      <c r="K5339">
        <f>HYPERLINK("https://yourei.jp/縮まる", "查看例句")</f>
        <v/>
      </c>
    </row>
    <row r="5340">
      <c r="A5340" t="inlineStr">
        <is>
          <t>縮む</t>
        </is>
      </c>
      <c r="B5340" t="inlineStr">
        <is>
          <t>成功</t>
        </is>
      </c>
      <c r="C5340" t="inlineStr">
        <is>
          <t>読み方：ちぢむ
［動マ五（四）］
１間が詰まったり中身が減ったりして、長さや面積・容積などが短くなったり小さくなったりする。「湯通しをして布が—・まないようにする」「風船が—・む」
２期間・時間が短くなる。「寿命が—・む」「タイムが—・む」
３恐れや緊張などで、からだや気持ちが小さくなる。ちぢこまる。「恐怖のあまり肝(きも)が—・む」「身の—・む思い」
４ちぢれる。「—・んだ髪の毛」
［動マ下二］「ちぢめる」の文語形。</t>
        </is>
      </c>
      <c r="D5340" t="inlineStr">
        <is>
          <t>縮むような思い；縮むような気</t>
        </is>
      </c>
      <c r="E5340" t="inlineStr">
        <is>
          <t>減少；縮小；収縮；減る；縮める</t>
        </is>
      </c>
      <c r="H5340" t="n">
        <v>29</v>
      </c>
      <c r="I5340" t="inlineStr">
        <is>
          <t>そこには当然縮んで炭化した死体があるものとカークは思っていたのだ。；まるで十年の間に年老いて縮んでしまったのではないかとさえ思われた。；腕部が伸び縮みし、そのため他の腕型ロボットと比べて専有面積が狭い。；影は縮んだり長くなったりしながら、彼の歩みにどこまでもついてくる。；最初は私を中心に半径三百メートルだったのがここまでで五十は縮んだ。；利明のものが縮んだままなのに業を煮やしたのか、自ら腰を振ってきた。；まわりには黒こげになって、ずいぶん縮んでしまった人たちの姿がある。；よく育った芝生の上を建物の影が縮んで行き、空気がさむざむしてきた。；ケースよりも大きな動物の場合には、ケースに合わせてスケールが縮む。；電子の運動に応じて自由自在に広がったり縮んだりするのは奇妙なものだ。；頭ひとつ縮んだように見えるのは、宮司が極端に背を丸めているからだ。；留学時代、私は山から吹いてくるカラっ風に身を縮ませて歩いたものだ。；それを作る会社そのものの経営もまた、「縮み」の方法で行ったのです。；少女の褐色の身体が縮んで伸びたかと思うと、ハトは絶命していたのだ。；能面のこのような縮みは、能舞台にしか見られないものではありません。；そんなにして人が泣きだすまではいつまでも伸び縮みするのであつた。；その物凄い光景にはさすがの山尾も常陸介も体の縮むを覚えたのである。；地下の岩盤は、周囲から加わる力の影響で僅かに伸びたり縮んだりする。；「そう思うからぼくは言っているんだよ」と小さく縮んだ彼が答えた。；立ちあがって窓から庭を見おろすと、父は縮んでしまったように見える。；が負のときは を今度は逆方向に伸び縮みさせることで同様に定める。；実際に影の大きさが縮み、それは何か動物の影に似たものを現しつつあった。；そばにいた大男の眼には、泥人形が半分ほどの大きさに縮んだように見えた。；昼間は縮んで砂泥の中に潜って姿を見せず、わずかに先端部が顔を出す程度。；ほうはすっかり心が縮んでしまって、うまく口がきけなくなっていた。；今でも合評会での佐江子の冷酷な指摘を思い出すと身が縮みそうになる。；急に自分の周囲の世界が小さく縮んでしまったように思われる。；なお外側の布がコットンのものは縮んでしまう可能性があり要注意である。；空気の抜けた肺がピンポン球ほどの大きさに縮んでしまった気がする。</t>
        </is>
      </c>
      <c r="J5340">
        <f>HYPERLINK("https://www.weblio.jp/content/縮む", "词义详情")</f>
        <v/>
      </c>
      <c r="K5340">
        <f>HYPERLINK("https://yourei.jp/縮む", "查看例句")</f>
        <v/>
      </c>
    </row>
    <row r="5341">
      <c r="A5341" t="inlineStr">
        <is>
          <t>縮める</t>
        </is>
      </c>
      <c r="B5341" t="inlineStr">
        <is>
          <t>成功</t>
        </is>
      </c>
      <c r="C5341" t="inlineStr">
        <is>
          <t>読み方：ちぢめる
［動マ下一］［文］ちぢ・む［マ下二］
１長さを短くしたり、広がり・分量を小さくしたりする。「着物の丈を—・める」「文章を—・める」
２期間・時間・隔たりなどを短くする。「記録を二秒—・める」「命を—・める」「格差を—・める」
３からだを丸めるようにして小さくする。「寒さに身を—・める」「首を—・める」
４布にしわを寄せる。「絞り染めをして—・めた布地」</t>
        </is>
      </c>
      <c r="D5341" t="inlineStr">
        <is>
          <t>縮める目的で設立；縮めるべく</t>
        </is>
      </c>
      <c r="E5341" t="inlineStr">
        <is>
          <t>低下；縮小；カット；短縮；抑える</t>
        </is>
      </c>
      <c r="F5341" t="inlineStr">
        <is>
          <t>大きく縮める</t>
        </is>
      </c>
      <c r="H5341" t="n">
        <v>29</v>
      </c>
      <c r="I5341" t="inlineStr">
        <is>
          <t>そのものの大きさは彼女を極小サイズに縮めてしまうほどのものだった。；岩肌そのままの天井が頭のすぐ上にあり、いつもの癖で俺は首を縮めた。；その幅を、もう少し縮める方法がないものか、と考えただけの話である。；これによって、作品の長さを或る程度縮めることができたと思っている。；膝の痛みは忘れたふりをして、また開いてしまった彼女との距離を縮める。；そして子供には、身を縮めて床板の上に寝ておれるだけの場所があった。；さて船は波間を走りに走って、行程をどんどんと縮めていくのであった。；それから私と一緒にこの家へ帰って来てその二十頁を二人で四頁に縮める。；この薬を作るためには丁度一万人の人が一年分宛生命を縮めている筈です。；視界左上に固定表示されている細い横線が、わずかにその長さを縮める。；自分から、兄との距離を縮める努力をしなくてはと、そう思ったのだ。；これをきっかけに2人は距離を縮めていき、互いに惹かれ合っていった。；葉子は思わず気を失いそうになって声をあげながら、足を縮めてしまった。；フースホフトとのポイント差を22ポイントまで縮めることに成功した。；それまでは数分ほどかかっていた起動時間を、数秒に縮めることが狙い。；見つけられてはいけないと、二人は中の間の隅に身を縮めて、息を殺した。；さすがに二人もいると狭苦しくは感じるものの、身を縮めるほどではない。；エックの姿を他人には見えなくして、十日の旅を三日に縮めたんだ。；この剣を手に入れるためなら、寿命の十年ぐらい縮めてもいいと思っていた。；何日かの滞在予定を一日に縮めて、逃げるようにして、そこを発った。；ライコネンはこの勝利でトップをいくアロンソとの差を22まで縮めた。；これは装置の寿命を縮めることがあるので使いすぎるのは良くない。；かれは身体を起こすと坐って、手足をそろそろ伸びたり縮めたりした。；残された宮﨑は持ち前のスピードで少しずつポイント差を縮めていく。；彼はその声を聞くや否や、電気に打たれたようにハッと首を縮めた。；報道ではジャマーリーを縮めてジャマリと表記されるのが一般的である。；だが小鳥達はそれに反し、小さく体を縮めながら、籠の中で顫えていた。；善意が裏切られて負った傷とはいえ、その傷が刻々と命を縮めています。；そしておそらく自分でも気づかないで、行く距離を絶えず縮めていた。</t>
        </is>
      </c>
      <c r="J5341">
        <f>HYPERLINK("https://www.weblio.jp/content/縮める", "词义详情")</f>
        <v/>
      </c>
      <c r="K5341">
        <f>HYPERLINK("https://yourei.jp/縮める", "查看例句")</f>
        <v/>
      </c>
    </row>
    <row r="5342">
      <c r="A5342" t="inlineStr">
        <is>
          <t>縮れる</t>
        </is>
      </c>
      <c r="B5342" t="inlineStr">
        <is>
          <t>成功</t>
        </is>
      </c>
      <c r="C5342" t="inlineStr">
        <is>
          <t>読み方：ちぢれる
［動ラ下一］［文］ちぢ・る［ラ下二］
１しわが寄ってちぢまる。「—・れた紙」
２毛髪などが細かく波打ったり巻いたりした状態になる。「ちりちりに—・れた髪の毛」</t>
        </is>
      </c>
      <c r="D5342" t="inlineStr">
        <is>
          <t>カール；ウェーブ；ウエーブ；ウエーヴ；窄める</t>
        </is>
      </c>
      <c r="H5342" t="n">
        <v>29</v>
      </c>
      <c r="I5342" t="inlineStr">
        <is>
          <t>白いものの混った髪が熱で縮れだし、瞳は発狂した者のように剥かれた。；その中に無数の縮れた糸のようなものが緑色に染め上げられていた。；髪は金茶に染めていて縮れさせているし、顔はいわゆる山姥化粧である。；野天火葬場のような悪臭を放って焦げ縮れた髪は、ついに火に包まれた。；肌の色が非常に黒く、縮れ髪で、頬骨が高く突き出ており、鼻が大きい。；品種は木田地区にあった在来種で、葉の縮れが強いことが特徴である。；麺は細く縮れのない平麺で、スープがあっさりしているのが特徴である。；少し縮れた黒髪の頭が微かにうなずいたきり、彼は顔を上げようともしない。；濃灰色の縮れた髪と髭を持ち、濃い眉の奥では色の判りにくい瞳が輝いている。；観客は、悪玉の毛髪が栗毛色をして縮れているらしいことを見ただけだった。；ヨーロッパでは、葉が縮れたタイプのパセリよりもポピュラーである。；縮れた髪、色のあさぐろい面長な顔、くすんだ色あいの服装をしていた。；魔女の手に抱かれて、その鳶色の縮れた長い頭髪の下に顔を埋めたい。；銀色の縮れた髪や髭の一本一本が、雷を帯びたかのようにちりちりと揺れている。；しかし銀髪は短く、先の縮れた山羊髭は貧相な顎を隠しきれていなかった。；葉先が瑞々しく、細かく縮れているものが市場価値の高い良品とされる。；縮れた毛を肩まで伸ばし、臍を出した女の腰に手を回していた。；騎士らしいあごひげが縮れてカールされていましたが、目には涙がいっぱいです。；鼻筋の通った、髪のやや縮れた沖島は、笑うと片頬に長い笑くぼができた。；縮れた金髪を血で濡らした、まだ二十歳に満たない若者の顔だった。；表面には幾つもの筋が走り、黒くて縮れた毛がまばらに生えていた。；いま流行の短く切った頭だから、黒人の女の髪のようにぐしゃぐしゃに縮れている。；目が醒めた時には、縮れたカーテンの隙間から眩しい光がさしこんでいた。；中間に存在する中東ではぼさぼさに近い縮れ髪からくせ毛や直毛が分布している。；これは身丈もそれほど低くなく肩の張った、大きな頭に縮れた赤い毛をした年のころ三十歳ばかりの男であった。；葉の表面は緑色で無毛、裏面は網脈があり葉脈上と縁に縮れた短毛がある。；全身を縮れてウエーブがかった綿のようなシャギーコートが覆っている。；そこには、ほとんど見わけがつかないくらいに皮膚の色とよく似た二、三本の毛が縮れていた。；メキシカンのように首の太い、栗いろの髪の縮れたずんぐりとした男だった。</t>
        </is>
      </c>
      <c r="J5342">
        <f>HYPERLINK("https://www.weblio.jp/content/縮れる", "词义详情")</f>
        <v/>
      </c>
      <c r="K5342">
        <f>HYPERLINK("https://yourei.jp/縮れる", "查看例句")</f>
        <v/>
      </c>
    </row>
    <row r="5343">
      <c r="A5343" t="inlineStr">
        <is>
          <t>秩序</t>
        </is>
      </c>
      <c r="B5343" t="inlineStr">
        <is>
          <t>成功</t>
        </is>
      </c>
      <c r="C5343" t="inlineStr">
        <is>
          <t>読み方：ちつじょ
１物事を行う場合の正しい順序・筋道。「—を立てて考える」
２その社会・集団などが、望ましい状態を保つための順序やきまり。「学校の—を乱す」</t>
        </is>
      </c>
      <c r="D5343" t="inlineStr">
        <is>
          <t>秩序維持；秩序正しく；秩序づけ；秩序回復；秩序立て</t>
        </is>
      </c>
      <c r="E5343" t="inlineStr">
        <is>
          <t>目；組織；命；命令；体制</t>
        </is>
      </c>
      <c r="F5343" t="inlineStr">
        <is>
          <t>整然と秩序；る秩序；ちゃんと秩序；歪んだ秩序；新らしい秩序</t>
        </is>
      </c>
      <c r="H5343" t="n">
        <v>29</v>
      </c>
      <c r="I5343" t="inlineStr">
        <is>
          <t>ウィルス種の持つ破壊の力を秩序の維持へと使用する異端な存在である。；安定的な秩序が維持されており、各国は基本的に平和に過ごしている。；両者の秩序は、同じ実体の二つの側面を示すから、一致するとしている。；この頃の看守たちは秩序の維持より私腹を肥やすことの方が熱心だった。；残りの乗員は降伏の準備ができており、前甲板上に秩序なく集まっていた。；各国は、それぞれ多様な国際法の国内法秩序への編入方式を採用している。；外交経験がない中、戦後の秩序を決めなければならなかったからです。；また邪馬台国でも公的な秩序・権威の維持のための法が存在したとみられる。；仕事は天界の秩序を守るため活動し、戦闘をすることはほとんど無い。；自由と秩序とは、立派に共存できるので、決して矛盾するものではない。；それまで非平衡状態では予想可能な秩序が生じることはないと考えられていた。；この連中の人生はまた充実したものとなり、組織と秩序が戻ってきた。；世界の秩序が定まる前に生まれたので秩序を破壊しようとすると考えられた。；そこで政府は街の秩序を立て直すために究極の法システムを導入する。；それは新しい秩序であり、新しい関係であり、自律であり、責任である。；中央には常に一国の安寧秩序を十分維持するだけの権力が無ければならぬ。；つまり王の元での秩序ある社会を築き、文化を持っている人々とみなした。；この制度は駅構内や列車内等での秩序維持のために特に設けられていたものである。；このような命題は、現在の秩序理論的な研究からも支持されている。；これは、市民の秩序と安全のためであり、この際に二人役を辞職させている。；学生のグループは、法と秩序を守ることを大学および警察当局と合意した。；深い霧に包まれた街で巻き起こる怪異と徐々に秩序を失う人々が描かれる。；学者は科学を成立さする必要上、自然界に或る秩序方則の存在を予想す。；順位制は、基本的には集団がある場合にその内部の秩序を保つことにある。；多くの古い秩序の集団はメノナイトが運営する学校で子供達を教育している。；之を以て戦争化そのものがより秩序的になったと云うことは出来ぬ。；メンガはかなり前から姿を消しており、秩序は徐々に回復しています。；秩序的な種族らしく、男女で明確な役割分担がされているようである。；この作戦はパンジャーブにおける法と秩序の悪化に基づいて発動された。</t>
        </is>
      </c>
      <c r="J5343">
        <f>HYPERLINK("https://www.weblio.jp/content/秩序", "词义详情")</f>
        <v/>
      </c>
      <c r="K5343">
        <f>HYPERLINK("https://yourei.jp/秩序", "查看例句")</f>
        <v/>
      </c>
    </row>
    <row r="5344">
      <c r="A5344" t="inlineStr">
        <is>
          <t>窒息</t>
        </is>
      </c>
      <c r="B5344" t="inlineStr">
        <is>
          <t>成功</t>
        </is>
      </c>
      <c r="C5344" t="inlineStr">
        <is>
          <t>読み方：ちっそく
［名］(スル)息がつまること。呼吸ができなくなること。二酸化炭素と酸素との交換ができなくなる状態。「酸欠で—する」</t>
        </is>
      </c>
      <c r="D5344" t="inlineStr">
        <is>
          <t>窒息死(17%)；窒息しそう(9%)；窒息する(8%)；窒息させる(4%)；窒息寸前</t>
        </is>
      </c>
      <c r="E5344" t="inlineStr">
        <is>
          <t>仮死；絞まる</t>
        </is>
      </c>
      <c r="F5344" t="inlineStr">
        <is>
          <t>窒息せしめ；窒息乱流；なかば窒息；詰まらせ窒息；危うく窒息</t>
        </is>
      </c>
      <c r="G5344" t="inlineStr">
        <is>
          <t>窒息プレイ；窒息剤</t>
        </is>
      </c>
      <c r="H5344" t="n">
        <v>29</v>
      </c>
      <c r="I5344" t="inlineStr">
        <is>
          <t>こういう室に一日を過ごすのは想像しただけでも窒息しそうな気がする。；女は芸術を愛してるかもしれないが、しかし芸術家を窒息させるものだ。；ここかしこで窒息した顔を見ると、見たひとまで息がつまりそうだった。；あなたはわたしのからだの中の命を窒息死させることができたのよ。；しばしば猛烈な砂風が吹き当り我々はほとんど窒息せんばかりになった。；ようやく煙で窒息しかけながら彼は家が燃えているのだと気がついた。；その最中、入院していたウィーの母が窒息して脳死状態に陥ってしまう。；魚の直接の死因は窒息であるが、そのメカニズムはまだ確定していない。；近頃の人たちの分別理性はすっかり彼らの感情の間で窒息しているのだ。；炎に巻き込まれたか、窒息死したか、墜落時に死亡したかは不明である。；そのあとに来たものは、かねて唱えられている窒息しそうな倦怠だった。；窒息的な女房的なものの中に自分から入っていることを知ったびっくり工合。；すぐに決心がつかないのなら、君が窒息死するまでは待ってあげよう。；生あるものすべては声もあげずに窒息して死んでしまうだろう。；純粋を追うて、窒息するよりは、私は濁っても大きくなりたいのである。；古代の人間が中世に生きねばならなかったら、みじめに窒息するでしょう。；その中に生物を入れると窒息して死んでしまうことにちなんでいる。；臍の緒を首に巻きつけて、赤子を窒息させている母の姿が見える気がした。；要するに私は、窒息しそうな雰囲気をだんだん醸し出すことに成功した。；ようやくバスが止まったときには、フェルダーは窒息死してしまっていた。；部屋の空気は、いつの間にかそれほど窒息的に重大になっていたのだ。；その形容詞の数だけでも町のボスどもは窒息してしまうにちがいない。；この病気により彼の唇は青色になったり、急性な窒息を起こしたりした。；口の中からタフタの断片も発見され、被害者が窒息死したことを示唆した。；昔の独立者らは現在の独立者らを窒息させようとしていた。；さらに舌を噛んだ状態になっているので、窒息死したことは明らかであった。；魔界といっても、ここもやはり外との往来がなければ窒息してしまうのだ。；それから半分窒息したようなうめき声を発し地面に倒れてしまった。；ところが、55歳のときこの仕掛けに絡まって窒息して亡くなっている。</t>
        </is>
      </c>
      <c r="J5344">
        <f>HYPERLINK("https://www.weblio.jp/content/窒息", "词义详情")</f>
        <v/>
      </c>
      <c r="K5344">
        <f>HYPERLINK("https://yourei.jp/窒息", "查看例句")</f>
        <v/>
      </c>
    </row>
    <row r="5345">
      <c r="A5345" t="inlineStr">
        <is>
          <t>ちっとも</t>
        </is>
      </c>
      <c r="B5345" t="inlineStr">
        <is>
          <t>成功</t>
        </is>
      </c>
      <c r="C5345" t="inlineStr">
        <is>
          <t>読み方：ちっとも
［副］
１打消しの語を伴って、それを強める気持ちを表す。少しも。まったく。「—うまくない」「—気にしてない」
２物事の程度がわずかなさま。少しでも。
「世間の口がうるそうがすから、今日の所は—早く失礼しやす」〈谷崎・幇間〉</t>
        </is>
      </c>
      <c r="D5345" t="inlineStr">
        <is>
          <t>ちっとも知ら(2%)；ちっともわから；ちっとも面白く；ちっとも変ら；ちっとも変わら</t>
        </is>
      </c>
      <c r="E5345" t="inlineStr">
        <is>
          <t>さらに；少し；ちょっと；更に；やや</t>
        </is>
      </c>
      <c r="F5345" t="inlineStr">
        <is>
          <t>ちっともよく；ちっとも分ら；ちっともおもしろく；ちっともこわか；ちっとも恐く</t>
        </is>
      </c>
      <c r="H5345" t="n">
        <v>29</v>
      </c>
      <c r="I5345" t="inlineStr">
        <is>
          <t>けれど、太郎の父が先に訪ねてきたことにはちっとも触れられなかった。；第一私たちの生活だって、そのためにちっとも変わりはしないでしょう。；自分で欲しい、自分の身につけて見たいなどゝはちっとも思はなかった。；しかし、発明なんかに凝っているとはちっとも気がつかないでいました。；また自分の話が自分の思う甲所をちっとも言っていないように思えてきた。；ちっとも昔の武士らしい風はありやせん、みんな金のためにかかってる。；私もあの人に金を借りられたが、ちっともそんなことは感じなかった。；向うじゃ君を知らずにいるんだから、ちっとも心配することはないよ。；あなたが今度は成功してもちっとも不思議はないと思うくらいです。；何しろ、見たところは、私の子供のころとちっとも変っていないからね。；生きているうちには社会的にちっとも有名でなかったにちがいない。；しかし彼は、そう聞いても死ぬのが怖いという気にはちっともなれない。；彼女は今すぐ嫁に行くのだというような顔はちっともして見せなかった。；それでも柄が立派なのでちっとも見そぼらしいとは思えませんでした。；だけどちっとも怒ってはいらっしゃらないんだから安心しておいでな。；時刻が非常に正確だったし、それに、打ち方がちっとも寒そうでなかった。；俺は原作読んでもちっとも面白くなくてさ、俺はやりたくなかったんだよ。；ちっとも知らないものだから、生き肝はつい出がけに島へ置いてきたよ。；ちっとも鼻の大きなことは書いてないのだそうでございますから。；小屋に帰って常さんと小十の猟の話を聞いていると、ちっともあきない。；むやみと小説ばかり読んでいて、試験勉強などは、ちっともしなかった。；のみならず巣の工事は前に見た時と比べてちっとも進んでいないようであった。；閑子はきっと、こんな工作がなされていることをちっとも知らないのだ。；絵の方のことでも最初は師匠の真似をして居てもちっとも構わないと思います。；国王がすでに退位して、国家や国民の事などちっとも気にせずとある。；僕は、いま、自分のこの胸の病気に就いても、ちっとも気にしてはいない。；私は毎日その前を通っているんだけれども、ちっとも気がつかない。；君はその意志を、ちっとも表明するだけの行為に出ないじゃないか。；それは生きている時とちっとも変わらないお菊の美しい顔であった。</t>
        </is>
      </c>
      <c r="J5345">
        <f>HYPERLINK("https://www.weblio.jp/content/ちっとも", "词义详情")</f>
        <v/>
      </c>
      <c r="K5345">
        <f>HYPERLINK("https://yourei.jp/ちっとも", "查看例句")</f>
        <v/>
      </c>
    </row>
    <row r="5346">
      <c r="A5346" t="inlineStr">
        <is>
          <t>知的</t>
        </is>
      </c>
      <c r="B5346" t="inlineStr">
        <is>
          <t>成功</t>
        </is>
      </c>
      <c r="C5346" t="inlineStr">
        <is>
          <t>読み方：ちてき
［形動］
１知識・知性の豊かなさま。また、知性の感じられるさま。「—な人」「—な生活」
２知識・知性に関するさま。「—な仕事」「—好奇心」</t>
        </is>
      </c>
      <c r="D5346" t="inlineStr">
        <is>
          <t>知的生命体(5%)；知的生物(3%)；知的能力(2%)；知的活動；知的種族</t>
        </is>
      </c>
      <c r="E5346" t="inlineStr">
        <is>
          <t>理性的；理知的；知性的；主知的</t>
        </is>
      </c>
      <c r="F5346" t="inlineStr">
        <is>
          <t>知的直観；知的交流；知的協力；不可知的；知的労働</t>
        </is>
      </c>
      <c r="G5346" t="inlineStr">
        <is>
          <t>知的障害；知的財産；知的障害者；知的好奇心；知的所有権</t>
        </is>
      </c>
      <c r="H5346" t="n">
        <v>29</v>
      </c>
      <c r="I5346" t="inlineStr">
        <is>
          <t>死んだ惑星をそこにかつて住んでいた知的生命ごと復活させたこともある。；その知識が教育・文化・知的な豊かさをもたらし、人々に恩恵を与える。；理性とは、人間に本来的に備わっているとされる知的能力の一つである。；当時の名門家では文武両道を旨とし知的教育と並んで体育も奨励された。；学歴を問わず、18歳以上を対象とした、知的・表現的学びの場である。；金星人は、かつて金星に住んでいると想像されていた知的生命体である。；彼女は知的で現実的な女性で、王はしばしば彼女に意見を求めた。；これには運動を伴うものもあれば、基本的に知的作業のみで行われるものもある。；村は芸術家や作家の知的なコミュニティとして最も良く知られている。；連載当初は普通のビーグル犬だったが、回が進むごとに知的になっていった。；銀次もとても知的な男なので、当時は大滝さんのお茶の友っていうかね。；ドイツは一人のユダヤ人の力も借りずして知的覚醒を経験するであろう。；よって、宇宙は知的生命体が存在するような構造をしていなければならない。；その一方で知的な面もあり、ルイ15世が最初に任命した宰相でもあった。；つまり世界を創造したのは神だとはせず、なにかの知的な存在だとするのである。；特に、子供の知的発達や社会性の発達を促すような働きかけを行っている。；同中学校の校舎は現在知的障害を持つ人などに開放されることがある。；人間が一度死を迎えた後に知的生命体へと再度覚醒した人類の進化型。；これらを統合した知的システムを作る試みもなされている。；フランソワは知的な子供とみられており、当時最高の教育を受けた。；人間の知的能力ただそれのみで自然のあらゆる側面を理解するのに充分であると広く信じられていた。；実際に計算は人にとって大変な頭脳労働であり、知的に大変な作業である。；現実と対座し課題を解決していくプロセスで成長していく知的手法。；複雑な幾何学的な軌道は計算されたものではなく、知的なプロセスではない。；これらの共犯者とされる者らは、いずれも知的や精神的な障害があるとされている。；アニーの知的探求の旅は常に精神的な方向に向いていたのである。；知的で頭の良い犬種で、猟の事だけでなく普通のしつけの飲み込みも早い。；この時期の研究は戦後体制構築に知的な影響を与えたとされる。；彼らは人間との交流を楽しむ、非常に知的で遊び好きな猫である。</t>
        </is>
      </c>
      <c r="J5346">
        <f>HYPERLINK("https://www.weblio.jp/content/知的", "词义详情")</f>
        <v/>
      </c>
      <c r="K5346">
        <f>HYPERLINK("https://yourei.jp/知的", "查看例句")</f>
        <v/>
      </c>
    </row>
    <row r="5347">
      <c r="A5347" t="inlineStr">
        <is>
          <t>地点</t>
        </is>
      </c>
      <c r="B5347" t="inlineStr">
        <is>
          <t>成功</t>
        </is>
      </c>
      <c r="C5347" t="inlineStr">
        <is>
          <t>読み方：ちてん
地上の一定の場所。「落下—」</t>
        </is>
      </c>
      <c r="D5347" t="inlineStr">
        <is>
          <t>地点付近；地点で沈没；地点周辺；地点上空；地点貝塚</t>
        </is>
      </c>
      <c r="E5347" t="inlineStr">
        <is>
          <t>ところ；場所；位置；地；点</t>
        </is>
      </c>
      <c r="F5347" t="inlineStr">
        <is>
          <t>スタート地点；中間地点；上陸地点；ゴール地点；着陸地点</t>
        </is>
      </c>
      <c r="H5347" t="n">
        <v>29</v>
      </c>
      <c r="I5347" t="inlineStr">
        <is>
          <t>手や尻を後ろに突いてしまった場合はその地点までの距離が記録となる。；北側の部隊の残りはアーネムから数キロの地点で歩兵部隊を待ち続けた。；交通の要衝であることは、国土防衛上重要な地点であることも意味する。；命名については、河川名やダム建設地点の地名が採用されるケースが多い。；同様にアキレスが地点Cの時には、亀はさらにその先にいることになる。；南極隕石は同じ地点で大量に発見されるため、特別な命名がなされる。；日本では全国の多数の調査地点で個体数の調査が実施されている。；推進ユニットは制御されず弾道軌道上を飛行して目標よりも低い地点に落ちる。；支援砲撃も大幅に改善され、特定地点に十分な打撃を与え突撃を支援した。；上陸地点がジャングルが海岸近くまで迫る地形であることが読み取れる。；国際水路機関の定義によれば、その境界は以下の各地点を結んだものである。；当時は利用地域にごく近い地点に水力発電所を設け、送電が行われていた。；このほぼ中間地点に設置されたことから「池尻大橋」の名称とされた。；当駅は鎌倉町通りと交差する地点に位置し、古くからの商業地域にある。；更にその残りの半分にも同様、と到着すべき地点が限りなく前に続く故に到着しない。；スタート地点を出た段階から殺し合いがスタートすることになる。；発射地点から攻撃可能な目標地点までの最大距離が射程である。；太陽放射の量は各地点の太陽の高度、すなわち季節と緯度により変わる。；これが親植物から離れた地点で発芽して新世代の植物となる。；ステージの途中にいくつもの分岐地点が存在するPS版オリジナルステージ。；だが、ヘーゲルは哲学者としてまだスタート地点に到達していなかった。；このため、当初からこの地点で立坑を設置する前提とされていた。；地球上では、各地点の時刻はほぼ経度に沿うように設定されている。；温暖湿潤気候に属する観測地点が存在するのは以下の市町村である。；その上急流でもあることから古くから水力発電には絶好の開発地点であった。；京成電鉄の勝田台駅とは、同一地点の別構内にある乗換駅となっている。；ツンドラ気候に属する観測地点が存在するのは以下の市町村である。；のちにこの教会は、建物があった地点から150メートル離れた場所に再建された。；これはつまり、予定着陸地点を数マイルほど行きすぎてしまうことを意味していた。</t>
        </is>
      </c>
      <c r="J5347">
        <f>HYPERLINK("https://www.weblio.jp/content/地点", "词义详情")</f>
        <v/>
      </c>
      <c r="K5347">
        <f>HYPERLINK("https://yourei.jp/地点", "查看例句")</f>
        <v/>
      </c>
    </row>
    <row r="5348">
      <c r="A5348" t="inlineStr">
        <is>
          <t>ちなみに</t>
        </is>
      </c>
      <c r="B5348" t="inlineStr">
        <is>
          <t>成功</t>
        </is>
      </c>
      <c r="C5348" t="inlineStr">
        <is>
          <t>読み方：ちなみに
［接］前に述べた事柄に、あとから簡単な補足などを付け加えるときに用いる。ついでに言うと。「—、新郎と新婦は幼いころからのお知り合いです」
[補説] あとに「言う」などの動詞を伴って「ちなみに言えば」「ちなみに申しますと」のように、副詞的にも用いる。</t>
        </is>
      </c>
      <c r="D5348" t="inlineStr">
        <is>
          <t>ちなみにこの(5%)；ちなみに当時；ちなみに同；ちなみに俺；ちなみに本作</t>
        </is>
      </c>
      <c r="E5348" t="inlineStr">
        <is>
          <t>ところで；ついでながら</t>
        </is>
      </c>
      <c r="F5348" t="inlineStr">
        <is>
          <t>ちなみに本作品；ちなみに同作；ちなみにつけ加える；ちなみに春香；ちなみに宗介</t>
        </is>
      </c>
      <c r="H5348" t="n">
        <v>29</v>
      </c>
      <c r="I5348" t="inlineStr">
        <is>
          <t>ちなみにこの企画を先に耳にしていたら絶対反対したとも告白している。；ちなみにこのパターンでは、まもなく列車が到着することを表している。；ちなみに、光を利用する生物がすべて独立栄養生物であるわけではない。；ちなみに危惧感説が採用されたと見られる裁判例は本判決が唯一である。；ちなみに当番組では、レギュラーのスポーツコーナーを設けていなかった。；ちなみに現在の西口がホームから離れているのは、これが理由である。；ちなみに、コーチ時代も同じポーズを取ることが多かったといわれている。；ちなみに、これらのツアーではビートルズの楽曲は一切演奏されていない。；ちなみにこの時金メダルを獲得したのがファビオ・カサルテッリである。；ちなみにそのシステムの計画名は "Oracle" と呼ばれていた。；ちなみに、作品のタイトルは実在の書籍や映画に由来するものが多い。；ちなみにライバル会社であった白元でも同様の手法が用いられていた。；ちなみに、アルベルトも音楽好きでヴァイオリンの演奏が趣味であった。；ちなみにこの試合でゲストを務めたのは元箕島高校監督の尾藤公であった。；ちなみにこの髪型はブラジルの漫画のキャラクターがモデルである。；ちなみにこうした経緯が郵便貯金の拡大につながったと考えられる。；ちなみに彼自身この漫画のファンで、いつも読んでは爆笑していたという。；ちなみに、自分で初めてレコードを買ったバンドはアルカトラスだという。；ちなみにヒトも多くの人は左回りの方が周回しやすいと言われている。；ちなみに、ペグをシャーラー社のものに交換するのも当時の流行であった。；ちなみに卒業生が参加した場合、その日が事実上の最終登校日となる。；ちなみに、F2とはテレビ業界の視聴率用語で主婦層を表す言葉である。；ちなみに三奉請では阿弥陀如来が最初に奉請されるよう修正されている。；ちなみに、日本は当時7位程度の経済規模であったと推定されている。；ちなみにキャラクターや舞台となる喫茶店にはモデルが存在する。；ちなみに東京歯科大学にも市川市に第2歯学部を開設する計画があった。；ちなみに、日本で最初にミシンを扱ったのは、天璋院だといわれている。；ちなみに、サッカーを初めて日本に紹介した中村覚之助は那智町の出身。；ちなみに師の漱石も1907年、同じように朝日新聞社に入社している。</t>
        </is>
      </c>
      <c r="J5348">
        <f>HYPERLINK("https://www.weblio.jp/content/ちなみに", "词义详情")</f>
        <v/>
      </c>
      <c r="K5348">
        <f>HYPERLINK("https://yourei.jp/ちなみに", "查看例句")</f>
        <v/>
      </c>
    </row>
    <row r="5349">
      <c r="A5349" t="inlineStr">
        <is>
          <t>知能/智能</t>
        </is>
      </c>
      <c r="B5349" t="inlineStr">
        <is>
          <t>无结果</t>
        </is>
      </c>
      <c r="H5349" t="n">
        <v>0</v>
      </c>
      <c r="J5349">
        <f>HYPERLINK("https://www.weblio.jp/content/知能/智能", "词义详情")</f>
        <v/>
      </c>
      <c r="K5349">
        <f>HYPERLINK("https://yourei.jp/知能/智能", "查看例句")</f>
        <v/>
      </c>
    </row>
    <row r="5350">
      <c r="A5350" t="inlineStr">
        <is>
          <t>地平線</t>
        </is>
      </c>
      <c r="B5350" t="inlineStr">
        <is>
          <t>成功</t>
        </is>
      </c>
      <c r="C5350" t="inlineStr">
        <is>
          <t>読み方：ちへいせん
１視野の開けた広野で、大地と天との境にほぼ水平に見える線。
２観測者を通る鉛直線に垂直な平面が天球と交わる大円。</t>
        </is>
      </c>
      <c r="D5350" t="inlineStr">
        <is>
          <t>地平線上(9%)；地平線下；地平線近く；地平線すれすれ；地平線付近</t>
        </is>
      </c>
      <c r="E5350" t="inlineStr">
        <is>
          <t>地平；スカイライン；水平線；空際；視地平</t>
        </is>
      </c>
      <c r="F5350" t="inlineStr">
        <is>
          <t>遠く地平線；はるか地平線；黒い地平線；青い地平線；広大な地平線</t>
        </is>
      </c>
      <c r="G5350" t="inlineStr">
        <is>
          <t>地平線テープ；地平線のドーリア</t>
        </is>
      </c>
      <c r="H5350" t="n">
        <v>29</v>
      </c>
      <c r="I5350" t="inlineStr">
        <is>
          <t>私の視線はすぐに、遠い地平線の近くの大きな赤い星に引きつけられた。；やがて雪をはらんだ別の雲が迫ってきて、太陽は地平線の向うに沈んだ。；雪に包まれ、地平線がどこまでも続く世界で少年は一人で生活していた。；太陽はいったん地平線を越えるや、その上昇の速度を増したかに見えた。；地平線は大幅に低くなっているため、絵画の大部分が空で占められている。；日没時刻は、太陽の縁が西の地平線の下に沈んだ瞬間として定義される。；わたしの心の 地平線のうえに 数々の 星を 見せてくれたのも 歌でした。；鉱山に近づくにつれ、地平線がその血のような色をはっきりさせてきた。；第十三惑星は地平線のすぐ上にあり、影をつくるぐらいの光は投げていた。；太陽が急速に西の地平線に沈んだ後、火星の空気はひどく冷えるからだ。；顔に広い額があることは地平線に広い空があるようなものである。；ロドス島ではこの星が最も高く上ったときにちょうど地平線上に来る。；己の思っている人物は地平線の方に行って山になってしまいそうな形に相違ない。；望遠鏡をとり東方の地平線を眺めたが視界の限り砂の山また砂の山である。；対日点は、観察者から見れば地平線の下にあるので、虹は半円に見える。；そのときまでに死んだような、雲に覆われた月は地平線の近くまで沈んでいた。；月はすでに顔を出し、地平線の低いところで赤くなりはじめていた。；歩きながら地平線を熱心に注目していたが、特に変わったものは見えなかった。；そしてその赤い船は、まったく姿を地平線のかなたに消してしまいました。；すなわち観客を背にして遠い砂漠の果ての地平線に向かって進行する。；いつまでも平の続く地平線を撫で移って行く感覚は退屈なものである。；大海の真ん中に出て水平線に取り包まれたときとどこも変らぬ地平線だ。；青い空のもとで、森の濃い緑が、はるか地平線のかなたまで続いていた。；中央の青い輪は地球を、上方の青色の部分は地平線上の空を表している。；まだ地平線に近い月は、影と光との大きな帯で街路を二つにくぎっていた。；単調な雲の幕が天頂から地平線までの空のひろがり全体をおおっていた。；それは今、小さい重い星の意のままに、地平線に沿って引きずられていた。；まるで新しい太陽が地平線上に姿をあらわしたような雰囲気だった。；何かが地平線上をこちらに近づいてくるのに気づいたからだ。</t>
        </is>
      </c>
      <c r="J5350">
        <f>HYPERLINK("https://www.weblio.jp/content/地平線", "词义详情")</f>
        <v/>
      </c>
      <c r="K5350">
        <f>HYPERLINK("https://yourei.jp/地平線", "查看例句")</f>
        <v/>
      </c>
    </row>
    <row r="5351">
      <c r="A5351" t="inlineStr">
        <is>
          <t>地方</t>
        </is>
      </c>
      <c r="B5351" t="inlineStr">
        <is>
          <t>成功</t>
        </is>
      </c>
      <c r="C5351" t="inlineStr">
        <is>
          <t>読み方：じかた
１室町幕府の職名。京都内の土地・家屋に関することや訴訟などをつかさどった。
２江戸時代、町方に対して、農村のこと。転じて、農村における民政一般をいう。「—役人」
３海上から見て、陸地のこと。
４日本舞踊で、伴奏音楽を演奏する人々。唄・浄瑠璃・三味線・囃子(はやし)などの演奏者をまとめていう。→立方(たちかた)
５能で、地謡方のこと。</t>
        </is>
      </c>
      <c r="D5351" t="inlineStr">
        <is>
          <t>地方官(3%)；地方検事；地方紙；地方出身；地方豪族</t>
        </is>
      </c>
      <c r="E5351" t="inlineStr">
        <is>
          <t>地域；地区；領域；一帯；エリア</t>
        </is>
      </c>
      <c r="F5351" t="inlineStr">
        <is>
          <t>各地方；同地方；関西地方；地方レベル；沿岸地方</t>
        </is>
      </c>
      <c r="G5351" t="inlineStr">
        <is>
          <t>地方競馬；地方公共団体；地方都市；地方裁判所；地方行政</t>
        </is>
      </c>
      <c r="H5351" t="n">
        <v>29</v>
      </c>
      <c r="I5351" t="inlineStr">
        <is>
          <t>それぞれの部族がどの地方に居住していたのかも多くの場合不明である。；しばらくはソ連との結びつきの強い高崗が独自の地方運営を行っていた。；日本では地方の路線などで一部無料の場合があるが、一般に有料である。；また、バクトリア地方から出土した数体の石製女性像が見つかっている。；また、日本の学生リーグの場合は各地方毎での総当たり戦が行われる。；国際連盟はメーメル地方のドイツへの分離を防ぐことができなかった。；一方同時に多くの地方人が、料理をしてくれる家族を残してパリに集まった。；かつては地方振興局が設置されていたが統合・再編されて現在に至る。；海上での伝承が多いが、海のない地方でも河、湖、沼に現れたともいう。；地方での収録時は、TBSと収録地のネット局の共同制作となっていた。；題材となる人物やテーマに所縁のある地方とタイアップする事も多い。；さらに、地方でも中央組織に加わっていない組織が作られている。；関東とは、日本の中の、特定の地域・地方を指す言葉・概念である。；対して地方議会議員は、その地方での条令を制定する権能を有している。；また、地方の神社や地方誌の中にも上記の文献群には見られない伝承を残している。；基準となる場所からの方角、国や地方の中での位置から付けた地名。；これにより史上初の中央・地方双方での1000勝を合わせて達成した。；地方で経験を積んだ後、中央に戻って中央の差遣と寄禄官を与えられる。；また同時に、全国紙の地方紙への委託印刷も盛んに行われるようになった。；このうち浜松地方で作られる塩辛納豆は浜納豆の名称で販売されている。；オスマン帝国時代に、この地方を呼ぶ時に使ったことが国名の由来である。；都道府県委員会など地方組織の指導機関が編集・発行する地方機関紙もある。；この全国紙と地方紙の区分は日本以外にも存在する。；古代の北陸地方は越国や陸道と呼ばれており地方勢力の一つであった。；競馬が行われるような時代には、アイルランドはイギリスの一地方とされてきた。；このとき、中央から派遣した役人が全国の各地方を支配する郡県制が施行された。；このうち約1万人の雇用がオーストラリアの地方で創出されることになる。；それ以降、ほとんどの地方で成人式はこの日に行われるようになった。；地方には独自のブランドをもった味付けジンギスカンのメーカーが存在する。</t>
        </is>
      </c>
      <c r="J5351">
        <f>HYPERLINK("https://www.weblio.jp/content/地方", "词义详情")</f>
        <v/>
      </c>
      <c r="K5351">
        <f>HYPERLINK("https://yourei.jp/地方", "查看例句")</f>
        <v/>
      </c>
    </row>
    <row r="5352">
      <c r="A5352" t="inlineStr">
        <is>
          <t>地名</t>
        </is>
      </c>
      <c r="B5352" t="inlineStr">
        <is>
          <t>成功</t>
        </is>
      </c>
      <c r="C5352" t="inlineStr">
        <is>
          <t>読み方：ちめい
ある土地の呼び名。</t>
        </is>
      </c>
      <c r="D5352" t="inlineStr">
        <is>
          <t>地名表記；地名にちなん；地名由来；地名考；地名自体</t>
        </is>
      </c>
      <c r="F5352" t="inlineStr">
        <is>
          <t>数える際や地名；由来する地名；岡山県津山市にある地名；群馬県太田市にある地名；古い地名</t>
        </is>
      </c>
      <c r="G5352" t="inlineStr">
        <is>
          <t>地名集；地名学；地名辞典；地名総鑑；地名情報システム</t>
        </is>
      </c>
      <c r="H5352" t="n">
        <v>29</v>
      </c>
      <c r="I5352" t="inlineStr">
        <is>
          <t>現地で地名が変化したのに、周辺言語が古い地名を保存することもある。；日本の神話の中でも特定の地名などに由来したものは伝説に含まれうる。；ここでは複数の地名説話で名が挙げられた神とその妻や子らを主に挙げる。；その証拠として州東部にはフランス語起源の地名が多く残されている。；この東仙台と言う地名は、東仙台駅開業以前に命名されたものであった。；名称は、立地する都市名や自治体名などの地名をつけるのが一般的である。；本作に登場するキャラクターの名字は全て漢字3文字の地名などである。；命名については、河川名やダム建設地点の地名が採用されるケースが多い。；アイルランド語の女性名 は と英語化されるが、地名とは関係が無い。；地名の由来は、ある武士の馬がこの付近で足を骨折したためといわれている。；ロシア国内にはガガーリンにちなんだ名称の地名や事物が複数存在する。；イタリアにはインターチェンジ番号自体がなく、地名のみで案内している。；各都市ごとに発展してきた歴史をもつことから今でもそれぞれの地名が残り使われている。；基準となる場所からの方角、国や地方の中での位置から付けた地名。；彼が名付けた月の地名のいくつかは現在も使われている。；瑞祥にも宣伝にも当てはまらず、笑いをとるために付けられた地名もある。；また氏の多くは地名に由来するため、地名に関する漢字を含むものが多い。；現在、これらの地名は自治会名やバス停名などにその名を残している。；駅の名前は加古川市の地名である土山だが駅の住所は播磨町野添である。；なお、その際に表示される画面の地名には唯一振り仮名がふってある。；施設がめだった目標となってその周辺の地名になることもある。；発足当時は福岡市の区の中で唯一、地域固有の地名に由来する区名であった。；これらにはやがて人口調査や地名・人名なども加わるようになった。；また、串良マップは実際の串良の地形や地名を参考にして作られている。；テューリンゲンの地名は古代にこの地に住んでいたに由来する。；よって地名の直接の由来となったのはライヒェンハルの塩であると考えられている。；地形のほかにも、その場所の様々な特徴から地名は作られる。；実在する特定の地名、場所などはほとんど明示されることは無かった。；それでも地名に由来する名称はそのまま使われている。</t>
        </is>
      </c>
      <c r="J5352">
        <f>HYPERLINK("https://www.weblio.jp/content/地名", "词义详情")</f>
        <v/>
      </c>
      <c r="K5352">
        <f>HYPERLINK("https://yourei.jp/地名", "查看例句")</f>
        <v/>
      </c>
    </row>
    <row r="5353">
      <c r="A5353" t="inlineStr">
        <is>
          <t>茶色</t>
        </is>
      </c>
      <c r="B5353" t="inlineStr">
        <is>
          <t>成功</t>
        </is>
      </c>
      <c r="C5353" t="inlineStr">
        <is>
          <t>読み方：ちゃいろ
黒みを帯びた赤黄色。茶。</t>
        </is>
      </c>
      <c r="D5353" t="inlineStr">
        <is>
          <t>茶色っぽい；茶色一色；茶色系；茶色味；茶色の巻き毛</t>
        </is>
      </c>
      <c r="E5353" t="inlineStr">
        <is>
          <t>茶；褐色；ブラウン；赤銅色；銅色</t>
        </is>
      </c>
      <c r="F5353" t="inlineStr">
        <is>
          <t>明るい茶色；薄い茶色；大きな茶色；小さな茶色；淡い茶色</t>
        </is>
      </c>
      <c r="G5353" t="inlineStr">
        <is>
          <t>茶色く；茶色の小瓶；茶色か；茶色のスカプラリオ；茶色の服の男</t>
        </is>
      </c>
      <c r="H5353" t="n">
        <v>29</v>
      </c>
      <c r="I5353" t="inlineStr">
        <is>
          <t>色は一般に灰色か茶色が使われるが、少しだけ他の色がつくこともある。；アメリカ盤は二人の顔のみ印刷された茶色のカバーに入れて出荷された。；天井の高い廊下の、これも茶いろい壁の前で、二人は黙つて立つてゐた。；白い毛のものと茶色の毛のもの、白と茶色がまだらになったものがいる。；また、上半分黄色・下半分茶色の旧塗装で登場した最後の系列でもある。；黒や茶色の髪と灰色の目を持ち、人間の中では最もノルドールに似た一族。；蒸したものは白い皮であるが、焼いたものは光沢のある茶色の皮である。；生息する地域により様々な色をしており、明るい紫色から茶色まである。；茶色または黒色のものが多いが、一部前翅に黄紋ができる種も存在する。；背側は茶色あるいは緑褐色で、腹側は淡黄色あるいは薄茶色をしている。；皮膚の色は生まれた時は茶色だが、年を経るごとに灰色がかってくる。；白や茶色などの小石を用いて狩猟や神話を主題とした場面を表現した。；史料によれば彼女は深い茶色の目をした黒髪の麗人と記述されている。；彼はこれについて色は茶色で馬車ほどの大きさであると説明した。；コーポレートカラーは主力であるロールパンをイメージした茶色と黄色。；彼らは良い生活を送っており、茶色のパンにかわって白いパンを食べている。；生後間もない個体では、白色部分が薄い茶色やオレンジ色を帯びている。；全身は茶色の毛に覆われており、背中には噴煙を思わせるたてがみを持つ。；脚には茶色の毛が生えており、前から見ると相撲取りのようである。；体色は後頭部から背中・尾に至る上面が茶色、顔から腹に至る下面が白。；翅の表は虹青色をしているが、裏は地味な黒と茶色の色合いをしている。；夏羽では背中側が茶色と黒のまだら模様で、頭に白い部分が現れる。；答えるかわりに、客は茶いろの紙包みを得意らしく頭のうえで振ってみせた。；胸に太くて白い首輪状の模様、その後ろに茶色の同様の模様がかかる。；通常衣服の色は白で、他の色としては茶色やライラック、黒などがある。；座席はオールロングシートであり、座席モケットは茶色をベースとした。；体色は茶色で、翼の先が白、頭は白で頭頂部と目の周りに茶色の線がある。；茶色の箱があり、これを開けるとツルが飛び出しどこかへ飛んでいく。；ラインカラーは相互直通運転を行っている阪急線に合わせた茶色である。</t>
        </is>
      </c>
      <c r="J5353">
        <f>HYPERLINK("https://www.weblio.jp/content/茶色", "词义详情")</f>
        <v/>
      </c>
      <c r="K5353">
        <f>HYPERLINK("https://yourei.jp/茶色", "查看例句")</f>
        <v/>
      </c>
    </row>
    <row r="5354">
      <c r="A5354" t="inlineStr">
        <is>
          <t>茶色い</t>
        </is>
      </c>
      <c r="B5354" t="inlineStr">
        <is>
          <t>成功</t>
        </is>
      </c>
      <c r="C5354" t="inlineStr">
        <is>
          <t>読み方：ちゃいろい
［形］茶色である。「—・い紙」</t>
        </is>
      </c>
      <c r="D5354" t="inlineStr">
        <is>
          <t>茶色い髪(9%)；茶色い瞳；茶色い染み；茶色い革；茶色い封筒</t>
        </is>
      </c>
      <c r="F5354" t="inlineStr">
        <is>
          <t>大きな茶色い；茶色い顔；茶色いコート；茶色い傘；小さな茶色い</t>
        </is>
      </c>
      <c r="H5354" t="n">
        <v>29</v>
      </c>
      <c r="I5354" t="inlineStr">
        <is>
          <t>四人全員が肩まである茶色い髪に、透き通ったような白い肌をしていた。；一二歳ぐらいの少女で、こちらも茶色い髪だがサラサラ具合が全く違う。；皆が不思議に思っていると、すぐに、茶色い固まりを持って戻ってきた。；音もなく歩く彼女の背後には、茶色い髪の少年、ヘンケルが控えていた。；このバス乗場を超えてすぐの所に立つ茶色い建物は香港理工大学である。；ぼろぼろの袖からは骨に茶色い皮膚が貼りついただけの腕が出ていた。；日本にいるときは髪の色は真っ黒だったのに、だんだん茶色くなってきた。；ホームには茶色い支柱に緑の屋根が両端を除く全体に設置されている。；茶色い土の上に灰色に汚れた雪が残り、背の低い草がわずかに生え始めている。；陽光の下では淡い色に見える茶色い瞳が、いまは影が落ちて黒く見える。；部屋の扉を開くと、机の上に置いてある一通の茶色い封筒に目が留まった。；先頭に立っていたのは、茶色いブルゾンを着た眉毛の太い中年の刑事だ。；街のランドマークとも言える教会の茶色い石は近郊の丘から削り出された。；その幼い少女は、茶色い髪をいくつもの細い三つ編みにまとめていた。；リボンで結んだツインテールの茶色い髪が風に流れて後方へ向かっている。；黒いのか茶色いのかわからないにごった溝川にかかった橋をわたった。；現在、塔表面の色は再び茶色く変色しているが、呼称は変えられていない。；両輪から茶色い土煙を立てながら、モトラドは朝の太陽を背にしていた。；今日はブルージンの上に、襟に茶色い毛のついたジャンパーを着ている。；茶色いグラウンドと青いプールが灰色の中にきちんと確保されていた。；茶色い顎鬚をのばした者もいれば、まだ少年らしい顔をしたのもいる。；ガラスに色が入っているのではなく、中の液体が茶色く濁っているらしい。；茶色い毛皮の下で縮こまっている姿は、だれともなにともつかないはずだ。；大おじさんの言葉どおり、古いパイ皿の中に茶色い卵が六個入っています。；少女の顔が茶色い毛で覆われたかと思うと、ほとんど一瞬で狼の顔に変わった。；二人とも白いものを身につけ、傍らに茶色いリュックサックが置かれていた。；人がいるのかと思い林の中をすかしてみると、茶色いものが樹の上で動いている。；元は鮮やかな白い色をしていたのだろうが、今は茶色く萎れてしまっている。；すると、毛むくじゃらの茶色い塊がサッカーボールのように飛んできた。</t>
        </is>
      </c>
      <c r="J5354">
        <f>HYPERLINK("https://www.weblio.jp/content/茶色い", "词义详情")</f>
        <v/>
      </c>
      <c r="K5354">
        <f>HYPERLINK("https://yourei.jp/茶色い", "查看例句")</f>
        <v/>
      </c>
    </row>
    <row r="5355">
      <c r="A5355" t="inlineStr">
        <is>
          <t>着実</t>
        </is>
      </c>
      <c r="B5355" t="inlineStr">
        <is>
          <t>成功</t>
        </is>
      </c>
      <c r="C5355" t="inlineStr">
        <is>
          <t>読み方：ちゃくじつ
［名・形動］落ち着いて、確実に物事を行うこと。あぶなげなく手堅いこと。また、そのさま。「—に得点を加える」「—な生き方」
[派生]ちゃくじつさ［名］</t>
        </is>
      </c>
      <c r="D5355" t="inlineStr">
        <is>
          <t>着実な成長；着実に進められ；着実な足取り；着実なペース；着実な発展</t>
        </is>
      </c>
      <c r="E5355" t="inlineStr">
        <is>
          <t>正しい；正直；直；真面目；実体</t>
        </is>
      </c>
      <c r="F5355" t="inlineStr">
        <is>
          <t>着実な増加</t>
        </is>
      </c>
      <c r="H5355" t="n">
        <v>29</v>
      </c>
      <c r="I5355" t="inlineStr">
        <is>
          <t>午後になろうとしていたが、船は変わらずゆっくり着実に移動していた。；長い時間をかけて、存在が判明した化学元素の数は着実に増加してきた。；近年は国公立大や他有名私立大への多数の進学実績を着実にあげている。；クリーンは隊の中では最も着実な橇曳きの一人であることが証明された。；その後も地元でのライブ活動を行いながら、着実に人気を獲得していく。；絶対にそんなことはないと思う日吉だったが、彼は着実に出世していく。；その後の成長と発展は決して急速ではなかったが、着実なものだった。；どこへ向かっているのか、魚は自身の選んだ道を着実に進んでいた。；この間は着実にポイントを稼ぐ走りは披露したが、優勝は果せなかった。；その後も、鈴木とのタッグで着実に世界タッグ王座を防衛し続けていた。；政府からの助成金が着実に増え続ける一方で、乗客輸送は減少していった。；音は着実に大きくなるが、警察官たちには聞こえていないようである。；ここではもはや事物は現実的な・着実な・説明を期待することが出来なくなる。；これらの実践は専門指導者による評価を通じて着実に先へと進んでいく。；国際的な需要に応じて、シャルドネ種の栽培面積も着実に増している。；これら地域タイトルを計5度防衛し、着実に世界ランクを上げていった。；この地の郊外開発は第二次世界大戦が終わるまで着実なペースで進められた。；その後も数々のドラマや映画に出演し、着実にキャリアを積んでいる。；このようにして、来賓の列は不必要な遅れもなく着実に進んでいく。；現在はアメリカで活躍するラテン系俳優として着実な地位を確立している。；制度運用の開始から年月を経て、そのストックは着実に蓄積しつつある。；着実に上へ上へと登るように努めるのだ、さすれば落ちることはない。；同じ時期に、セルが米国で高く評価されて、輸出販売が着実に伸びた。；メディアでも、この時期から彼を認める声は着実に増えていった。；また道路網の占領を着実に進めて、政府軍の移動を阻止する戦略をとった。；郡北部もビューフォート市周辺に軍事基地があるため着実に成長している。；エリザベスの策は次々と効果を発揮し、着実に勝利へと近付いていた。；直轄軍である奉公衆を増強するなどして着実に将軍の権力を強化した。；予想外の大ヒットをし、限定公開から着実に成果を伸ばしていった。</t>
        </is>
      </c>
      <c r="J5355">
        <f>HYPERLINK("https://www.weblio.jp/content/着実", "词义详情")</f>
        <v/>
      </c>
      <c r="K5355">
        <f>HYPERLINK("https://yourei.jp/着実", "查看例句")</f>
        <v/>
      </c>
    </row>
    <row r="5356">
      <c r="A5356" t="inlineStr">
        <is>
          <t>着手</t>
        </is>
      </c>
      <c r="B5356" t="inlineStr">
        <is>
          <t>成功</t>
        </is>
      </c>
      <c r="C5356" t="inlineStr">
        <is>
          <t>読み方：ちゃくしゅ
［名］(スル)
１ある仕事に手をつけること。とりかかること。「研究に—する」
２（「著手」とも書く）刑法で、犯罪の遂行に直接関係のある行為にとりかかること。
３囲碁・将棋などで、石を置いたり駒を動かしたりすること。手(て)。「—禁止点」</t>
        </is>
      </c>
      <c r="D5356" t="inlineStr">
        <is>
          <t>着手する(13%)；着手でき；着手しよ；着手金；着手時期</t>
        </is>
      </c>
      <c r="E5356" t="inlineStr">
        <is>
          <t>開始；展開；始める；スタート；発足</t>
        </is>
      </c>
      <c r="F5356" t="inlineStr">
        <is>
          <t>工事着手；未着手；開発着手；建設着手；設計着手</t>
        </is>
      </c>
      <c r="H5356" t="n">
        <v>29</v>
      </c>
      <c r="I5356" t="inlineStr">
        <is>
          <t>その準備に着手したが、大菩薩峠事件等での大量逮捕を受けて失敗した。；本格的な開発が着手されたのは光緒初年に民官が設置された後である。；またそこへ走る都市計画道路構想も工事に着手できない状態が続いている。；しかし防御施設が旧式で地形も不利な点を持つことを認識し強化に着手した。；郊外コムーネ全てと空港とつながるその他の路線はすぐに着手された。；大手の映画会社が、本格的なポルノ映画に着手するのは世界にも例がない。；この蓄積を元に武帝がまず着手したのが国初以来の課題であった匈奴である。；高虎は城の大改修に着手し輪郭式の城郭に変貌させ、城下町を整備した。；歴史の転換と自分の死期を悟ったガイセリックは最期の事業に着手する。；こうした中、エアバスは単独で小型機を開発する研究に秘密裏に着手した。；前者は太初暦の制定であり、後者は『史記』執筆に着手したことである。；そして大臣たちと密謀を重ね反乱の準備に着手したのであった。；しかし、この地では手狭であると感じ、同年8月より高知城建設に着手。；エアバスは1987年にはA320の派生型開発の検討に着手していた。；しかしその後、大阪市が主体で立体交差化の着手を進める予定となった。；エラスムスは聖書研究に着手し、キリスト教的著作を発表するようになる。；そして、第一の目標であるコンスタンティノープルの攻略に着手した。；このため、第6代藩主本多正寛は藩政改革に着手したが効果は無かった。；この頃より挿絵等の仕事を手がけ始め、ガラス絵の制作にも着手する。；まず大型重機や建設用資材を運搬するための工事用道路の建設から着手した。；残されている資料によれば1893年2月17日に作曲に着手した。；また1970年代末からは、その後継艦についての研究が着手された。；これを受けて、同月に義晴は京に帰還し、新しい御所の造営に着手した。；数百種にわたる生物を詳細に観察し、かなり多くの種の解剖にも着手している。；また駅周辺では、交通広場のスペースが確保されており、区が同日付で事業に着手した。；その後建物の取り壊しに着手し、翌1996年末までに解体を終えた。；ただし、着手未遂と実行未遂の区別自体は刑法上重要な意味を持たない。；その後、橋の復旧工事に着手して1951年に現在の位置に鋼橋を架設。；最高裁判所は、大統領が要求した場合に限り、違憲立法審査に着手できる。</t>
        </is>
      </c>
      <c r="J5356">
        <f>HYPERLINK("https://www.weblio.jp/content/着手", "词义详情")</f>
        <v/>
      </c>
      <c r="K5356">
        <f>HYPERLINK("https://yourei.jp/着手", "查看例句")</f>
        <v/>
      </c>
    </row>
    <row r="5357">
      <c r="A5357" t="inlineStr">
        <is>
          <t>着色</t>
        </is>
      </c>
      <c r="B5357" t="inlineStr">
        <is>
          <t>成功</t>
        </is>
      </c>
      <c r="C5357" t="inlineStr">
        <is>
          <t>読み方：ちゃくしょく
［名］(スル)物に色をつけること。また、その色。「—した食品」</t>
        </is>
      </c>
      <c r="D5357" t="inlineStr">
        <is>
          <t>着色する(10%)；着色される(2%)；着色料；着色力；着色ガラス</t>
        </is>
      </c>
      <c r="E5357" t="inlineStr">
        <is>
          <t>塗装；彩色；彩；塗る；染める</t>
        </is>
      </c>
      <c r="F5357" t="inlineStr">
        <is>
          <t>人工着色；絹本着色；黒く着色；黄色く着色；青く着色</t>
        </is>
      </c>
      <c r="G5357" t="inlineStr">
        <is>
          <t>着色剤</t>
        </is>
      </c>
      <c r="H5357" t="n">
        <v>29</v>
      </c>
      <c r="I5357" t="inlineStr">
        <is>
          <t>的球は手球と区別しやすいように、手球とは異なる色に着色されている。；また下書きをしないで最初から着色していくのもこの技法の特徴である。；毒性を持つものが多く、親鉄性を持つものや、着色しているものもある。；その輝きを失った目がアリスの手にしている着色写真に釘づけになった。；側窓は大型の一枚窓で、紫外線を遮断する着色ガラスが採用されている。；この柄が分枝しないこと、柄や胞子嚢が強く着色する点などは共通する。；木や竹で骨組みを作った後に白木綿を巻きつけて赤いペンキで着色する。；カノムナムドークマイは自然の事物を用いて着色することに特徴がある。；「それは白黒で撮影し、着色するようなものだろう」と彼は結論付けた。；目盛がはっきり見えるように押子に着色ガラスが用いられていたものがある。；また、近年では当初無色だった液剤に染料等での着色をしたものもある。；針の底部からは、着色されたコードが台車のモニターにつながれている。；衣装は明るく着色されているのが一般的で、多くの衣服を重ね着している。；薄い青で着色されている領域は駅に停車している時間と占有領域を示している。；いずれにせよ、赤い食材が着色のために使われることに変わりはない。；そして表側のみ、男性の周囲が煤を払ったように明るく着色されている。；創業当時は純白だったが、客の吸うタバコの煙で着色されたのだという。；基本的には3次車と同一仕様であるが、側扉付近の床が黄色に着色されている。；なお、現在の白い栽培品種は光が当たっても着色しないものが使われている。；挿絵が着色された本も多く、この着色専門の業者もあったほどだった。；クリスタル・ガラスを主に作っており、着色することで知られていた。；象牙は着色されることが多く、中世の末までは重要な素材であった。；純粋なものは淡黄色であるが、流通している商品は着色されている。；あれほど大事にしている、この着色した床を、こんなにしてしまったんだもの!；いや、モノクロ写真に赤の部分だけが着色されていたと言ったら良いだろうか。；中央付近にやや着色した管があって、これが消化管と考えられている。；なお、他のリニューアル車で採用された緑色の着色ガラスは採用されていない。；金はステンドグラスを赤く着色する目的で古くから使われてきた。；左岸側が薄く着色されているのは原爆で部分被害があったことを示している。</t>
        </is>
      </c>
      <c r="J5357">
        <f>HYPERLINK("https://www.weblio.jp/content/着色", "词义详情")</f>
        <v/>
      </c>
      <c r="K5357">
        <f>HYPERLINK("https://yourei.jp/着色", "查看例句")</f>
        <v/>
      </c>
    </row>
    <row r="5358">
      <c r="A5358" t="inlineStr">
        <is>
          <t>着席</t>
        </is>
      </c>
      <c r="B5358" t="inlineStr">
        <is>
          <t>成功</t>
        </is>
      </c>
      <c r="C5358" t="inlineStr">
        <is>
          <t>読み方：ちゃくせき
［名］(スル)席に着くこと。すわること。着座。「—して下さい」</t>
        </is>
      </c>
      <c r="D5358" t="inlineStr">
        <is>
          <t>着席する(18%)；着席定員(4%)；着席できる；着席サービス；着席区分</t>
        </is>
      </c>
      <c r="E5358" t="inlineStr">
        <is>
          <t>座る；掛ける；坐る；着座；腰かける</t>
        </is>
      </c>
      <c r="F5358" t="inlineStr">
        <is>
          <t>定員着席；着席機会；着席可能；並んで着席；ご着席</t>
        </is>
      </c>
      <c r="G5358" t="inlineStr">
        <is>
          <t>着席保証列車</t>
        </is>
      </c>
      <c r="H5358" t="n">
        <v>29</v>
      </c>
      <c r="I5358" t="inlineStr">
        <is>
          <t>このシーズンでは着席のシーンが多く、声は弱く病気の影響が出ていた。；その日は今年の最後の訴訟だというので、老県長が壇上に着席していた。；婦人たちが着席すると、男たちは婦人たちのうしろか両側に立ち並んだ。；みんなと一緒に着席しながら、ハリーはうなだれてテーブルを見ていた。；どの講義でも彼はその位置か、それに近い場所に着席することにしていた。；座席の幅は広く取られており公称の座席定員以上の着席が可能である。；彼女が着席するとスコットはテーブルの反対側の自分の席に行った。；正座が困難とされている中、笑点メンバーに見守られての着席となった。；言葉を失い、着席した女性記者に代わって、三人目の質問者が起立した。；しかし、彼女はそれから先へ話を展開してゆくことが出来なくて、着席した。；みんなが着席したのを見届けると、今度は左に立っていた術師が進み出た。；同時にスタジオ構成もリニューアルし、机の形状・着席配置も変更された。；各プレイヤーは、お互いを見通せるように円になるなどして着席する。；ぼくたちは全日制の生徒といっしょに体育館に入場し、着席させられた。；京極堂は全員を着席させると非常にゆっくりと、慎重な動作で扉を閉めた。；自分の番が来ると、名前と出席番号だけ言って着席した愛想のない人間なのだ。；両側にはテーブルと椅子が置かれ、そこには警備隊の士官たちが着席していた。；着席時で約500名が収容可能で、音楽ホールや講演会等に使用が可能。；事故時には最後尾の座席に着席しており、シートベルトはしていなかった。；部屋に入るとすでに着席して待っていた先客が卓上に広げた本から顔を上げる。；不運にも、いまは〈閉じ〉の位置で、かれの着席を有効に妨害していた。；地元の漁師が現場へ駆けつけ、機体後部に着席していた乗客を救助した。；テーブルの両端に着席している二人の男を除いては、だれも武器を持っていない。；座席は指定されないが、定員分以上の発売を行わないので着席は保証されていた。；こうしたこともあって着席保障のサービスが強く求められていた。；また、この区間に限り空いている席があれば着席することができる。；わしはその婦人の名を云う前に、正面に着席している川村の顔をじっと見つめた。；寝台特急の立席特急券での利用では、座席扱いにして着席する場合もある。；全員が着席すると、進行係がもう廊下には誰もいないと合図した。</t>
        </is>
      </c>
      <c r="J5358">
        <f>HYPERLINK("https://www.weblio.jp/content/着席", "词义详情")</f>
        <v/>
      </c>
      <c r="K5358">
        <f>HYPERLINK("https://yourei.jp/着席", "查看例句")</f>
        <v/>
      </c>
    </row>
    <row r="5359">
      <c r="A5359" t="inlineStr">
        <is>
          <t>着々</t>
        </is>
      </c>
      <c r="B5359" t="inlineStr">
        <is>
          <t>成功</t>
        </is>
      </c>
      <c r="C5359" t="inlineStr">
        <is>
          <t>読み方：ちゃくちゃく
［副］仕事などが次々と順序よくはかどるさま。「準備が—（と）進められる」</t>
        </is>
      </c>
      <c r="D5359" t="inlineStr">
        <is>
          <t>着々と進め(8%)；着々と進ん(5%)；着々と準備(5%)；着々と進行(4%)；着々とキャリア</t>
        </is>
      </c>
      <c r="E5359" t="inlineStr">
        <is>
          <t>徐々に；絶えず；ぐんぐん；コツコツ；こつこつ</t>
        </is>
      </c>
      <c r="F5359" t="inlineStr">
        <is>
          <t>着々進ん；着々とすすめ；着々と成果；着々と実力；着々と地歩</t>
        </is>
      </c>
      <c r="H5359" t="n">
        <v>29</v>
      </c>
      <c r="I5359" t="inlineStr">
        <is>
          <t>しかも奴らはそれからも着々とその物質を改良しつづけてきているんだ。；ここの国の人々が選んだ社会主義の実績は着々進められているのだから。；その間にも、自由軍のルード解放の準備は着々と進んでいる様子だった。；この市の住民たちは、着々と戦争で破壊されたものの再建に従事していた。；きっとおれたちに見えないところで、着々と網を絞っているに違いない。；彼の仕事は着々というほどにははかどらなかったが、比較的早く進んだ。；その後も着々とキャリアを重ねており、コメディを中心に活躍している。；実験は着々と成功に向って進んでおり、失敗の兆候はまったくなかった。；いろいろな疑問や不安はあったが、設計の作業は着々と進んでいった。；局の番組へ出演したり、レコードも発売し着々とキャリアを重ねていった。；民俗学が独自の領域と主張を持つための下準備を着々と進めていった。；位が着々と進んでも、目立ちすぎず騒ぎすぎず、じっと待ったのである。；国の数もかなり整理がついたところで、人物の整理も着々と進んでおります。；本当のゴールに着々と近づいていることを意味するのではないか?；しかし現在着々と進行中のコンサート計画については触れていなかった。；その後も着々とキャリアを重ねていき、徐々に映画への出演も増えていった。；それは一つの事件として、ある破局へ向って、着々と進行していたのだ。；一方、第一惑星の周囲の空間には、GP艦隊が着々と集合しつつあった。；別居の計画は着々と進行し、彼は手のつけようもなくてそれを見ていたのだ。；ゆっくりやっている心算ではあったが、穴は着々と深くなっていった。；こうして、私の夢は着々とその現実化へ向かって歩を進めているように見えた。；市街地は着々と拡大されたが、すぐにまた海賊に狙われるようになった。；「あんたの復讐は、着々と準備中なのだから」 彼女は時計をながめた。；なぜなら、悪魔は二人のうちに、着々おのが業を固めていったからじゃ。；ベットの計画は着々と進んでいくが、ここで予想外の出来事が起こる。；また、彼が勤務の上で着々成功をしているという別の噂も耳にした。；着々とチーム強化を進め、90年には早くも実業団リーグ昇格を果たす。；今、発掘が着々と進んでいて、遺跡や出土品も次々と発見されている。；ふと見れば、雨の中にもかかわらず、塔をこわす作業は着々と進んでいた。</t>
        </is>
      </c>
      <c r="J5359">
        <f>HYPERLINK("https://www.weblio.jp/content/着々", "词义详情")</f>
        <v/>
      </c>
      <c r="K5359">
        <f>HYPERLINK("https://yourei.jp/着々", "查看例句")</f>
        <v/>
      </c>
    </row>
    <row r="5360">
      <c r="A5360" t="inlineStr">
        <is>
          <t>着目</t>
        </is>
      </c>
      <c r="B5360" t="inlineStr">
        <is>
          <t>成功</t>
        </is>
      </c>
      <c r="C5360" t="inlineStr">
        <is>
          <t>読み方：ちゃくもく
［名］(スル)特に注意して見ること。目をつけること。また、目のつけどころ。着眼。「—に値する提案」「ある現象に—して新しい発見をする」</t>
        </is>
      </c>
      <c r="D5360" t="inlineStr">
        <is>
          <t>着目する(10%)；着目される；着目すれ；着目点；着目すべき点</t>
        </is>
      </c>
      <c r="E5360" t="inlineStr">
        <is>
          <t>取り上げ；フィーチャー</t>
        </is>
      </c>
      <c r="F5360" t="inlineStr">
        <is>
          <t>ここに着目；着目する必要；着目する場合</t>
        </is>
      </c>
      <c r="H5360" t="n">
        <v>29</v>
      </c>
      <c r="I5360" t="inlineStr">
        <is>
          <t>これらの三権は、法との関係に着目して、簡単に次のように説明される。；個々の制度や機制がその社会全体を維持するうえで果たす機能に着目する。；このため、耐湿性の強さに着目した品種の導入や改良も試みられている。；このような問題を研究するためには、君主の力量に着目する必要がある。；全国区の番組が着目しないような人物にもスポットを当てていた点が特徴。；故郷にキリスト教が伝播する以前の太古の文化に着目するバンドもいる。；基本設計に着目した分類であるため、性能や用途は艦によって異なる。；しかしある程度の傾向はみられるため、以下その特徴に着目して詳述する。；また、この頃専門工事業者の調達に着目した方式が注目されるようになった。；また、共演の形で他楽器との演奏を行う際の演奏などには着目すべき才能を発揮する。；商行為は行為の性質に着目するのであって行為をした人の身分・性質を問題としない。；最初に、この集団に着目したのは、清朝の考証学者である趙翼であった。；この様な仙台独自の文化に着目し、仙台都市圏から情報発信をしている。；施設の広さに着目されて暴力団幹部の襲名披露会会場に利用されたこともある。；前者は、用途に着目すると海防戦艦の一形態とも見ることができる。；なお、これは年齢のみに着目した単語なので社会人学生とは意味が異なる。；それは理論内部の矛盾に着目することによって初めて乗り越えられる。；ジェイク・エーデルスタインはその性質に着目したうえで次のように説明する。；それぞれ傾向が異なる個々の集合に着目した場合は不特定多数と称される。；摩擦した際に帯電するかどうかに着目しての名称だからである。；また、中世の土一揆と島原の乱の共通点に着目した論考も発表している。；しかし、グループの構造だけではなく思想の志向にも着目している点が異なるという。；千位の数字に着目すると大まかに以下のような区分になる。；以下は日本語との差異に着目したもので包括的な記述ではない。；それに伴い、観光開発や原野商法の対象として着目されるようになっていた。；こうした市場にいち早く着目したのがドイツのPORTJAKである。；農業経済学や歴史地理学的な因子に着目し、集落の機能にも言及している。；日本では、すでに江戸時代に各地の風俗・習慣に着目する知識人の存在が知られている。；懐中時計が主流であった当時、早くから腕時計の利便性に着目していた。</t>
        </is>
      </c>
      <c r="J5360">
        <f>HYPERLINK("https://www.weblio.jp/content/着目", "词义详情")</f>
        <v/>
      </c>
      <c r="K5360">
        <f>HYPERLINK("https://yourei.jp/着目", "查看例句")</f>
        <v/>
      </c>
    </row>
    <row r="5361">
      <c r="A5361" t="inlineStr">
        <is>
          <t>着陸</t>
        </is>
      </c>
      <c r="B5361" t="inlineStr">
        <is>
          <t>成功</t>
        </is>
      </c>
      <c r="C5361" t="inlineStr">
        <is>
          <t>読み方：ちゃくりく
［名］(スル)飛行機が降下し、地上に降りること。「定刻に—する」「離—」⇔離陸。</t>
        </is>
      </c>
      <c r="D5361" t="inlineStr">
        <is>
          <t>着陸する(13%)；着陸時(4%)；着陸地点(4%)；着陸後(3%)；着陸脚</t>
        </is>
      </c>
      <c r="E5361" t="inlineStr">
        <is>
          <t>上陸；降下；着地；接地；降着</t>
        </is>
      </c>
      <c r="F5361" t="inlineStr">
        <is>
          <t>緊急着陸；着陸用；強行着陸；無事着陸；着陸飛行</t>
        </is>
      </c>
      <c r="G5361" t="inlineStr">
        <is>
          <t>着陸装置；着陸機；着陸復行；着陸料；着陸復航</t>
        </is>
      </c>
      <c r="H5361" t="n">
        <v>29</v>
      </c>
      <c r="I5361" t="inlineStr">
        <is>
          <t>空港により着陸までの距離や高度に違いがあるために難易度が異なった。；最初に着陸地点の周辺の観測が行われ、それから他の場所へ移動した。；脚を出したまま右旋回して東京湾上を一周し、無事ゆっくりと着陸した。；着陸地点は、当初の目標からわずか数百メートルしか離れていなかった。；また着陸の際に減速中に突然失速し転覆したりなどする事故も発生した。；偶然居合わせたイギリス人医師が、着陸の様子をビデオで撮影していた。；滑走路毎に離陸もしくは着陸が連続する場合の処理能力は、以下の通り。；ワータネン彗星に到着した後は接近して着陸し、その後別の場所に跳ぶ。；航空機の降着装置は主として着陸時に想定される荷重を基に設計される。；完成はしなかったが構造上、通常の着陸は不可能で困難が伴ったと考えられる。；もし着陸してから調べてみて弾が出ているようなら私は貴方を軽蔑しますよ。；この頃から、尾輪式に代わって前輪式の着陸脚を備えたものが現れはじめる。；着陸すると駆けてきて操縦士に寄ってきたが、個体の判別がつかなかった。；その場での着陸を必要としない場合、カタパルトの使用は有効な手段になる。；核はフィラエの下降・着陸中に行われた測定によると磁場を持っていない。；着陸時の一部始終は空港敷地内で工事をしていた現場監督が撮影していた。；その時、宇宙船の着陸を察知した政府機関の人間達が車で近づいてきた。；また、弾薬補給や作戦終了時には着陸の操作を行わなくてはならない。；火星人が最初に着陸したウォーキングの北に位置するは実在の場所である。；これはつまり、予定着陸地点を数マイルほど行きすぎてしまうことを意味していた。；X-15の着陸には機体の制限が多く、神経質にならざるを得なかった。；月面まで75kmに迫ったところで、着陸へ向けての逆噴射が始まった。；このため事故が起きた時の642便の着陸重量はと見積もられている。；実際の飛行では、この地点から着陸のための逆噴射を始めることになっている。；機体全体を飛行機型にすることで、滑走路に着陸することができる。；また接地地点が遠くなり、着陸滑走する距離が短くなることもあった。；ランダーと飛行ステージは着陸寸前に分離されるようになっていた。；大型旅客機がビーチ上の低空を通過して着陸することで知られている。；着陸等の際にはノズル部分が展開して、エアブレーキの役割を果たす。</t>
        </is>
      </c>
      <c r="J5361">
        <f>HYPERLINK("https://www.weblio.jp/content/着陸", "词义详情")</f>
        <v/>
      </c>
      <c r="K5361">
        <f>HYPERLINK("https://yourei.jp/着陸", "查看例句")</f>
        <v/>
      </c>
    </row>
    <row r="5362">
      <c r="A5362" t="inlineStr">
        <is>
          <t>着工</t>
        </is>
      </c>
      <c r="B5362" t="inlineStr">
        <is>
          <t>成功</t>
        </is>
      </c>
      <c r="C5362" t="inlineStr">
        <is>
          <t>読み方：ちゃっこう
［名］(スル)土木・建築などの工事を始めること。「新校舎は今年四月に—される」</t>
        </is>
      </c>
      <c r="D5362" t="inlineStr">
        <is>
          <t>着工前；着工予定；着工区間；着工時期；着工式</t>
        </is>
      </c>
      <c r="F5362" t="inlineStr">
        <is>
          <t>工事着工；早期着工；建設着工；本格着工；新規着工</t>
        </is>
      </c>
      <c r="H5362" t="n">
        <v>29</v>
      </c>
      <c r="I5362" t="inlineStr">
        <is>
          <t>このIC付近は道路の具体的なルートが決まっておらず未着工である。；古川道路は2000年度に調査区間に指定されているが着工時期は未定。；実際に建設が開始されるまでは時間がかかり、1817年着工された。；着工は1933年だが、最終的な整備は1930年代後半までに至った。；この路線をさらに北へ延伸する構想もあったが、着工には至らなかった。；ただし、具体的なルートや着工の見通しはそれ以後の決定とされた。；アウトバーン着工や病院建設などの公共事業は経済政策の一環であった。；既に着工されていた高速道路で建設が中止されたのは全国でもこの路線が初めてである。；この付近には内環状線の準備工事があるが、着工には至っていない。；この再整備工事は2009年度に着工され、2011年4月に完成した。；一方、鬼沢が地上げした土地では、ビルの着工を前に地鎮祭が行われる。；これに基づいて、AGTの採用や車両編成が決定し、当路線の着工に至った。；GHQが本船を日本人用にすると発表したのは着工直前であった。；シンプロントンネルの最初の単線トンネルには1898年に着工された。；調査は1956年に完了し、1963年に着工する方針が発表された。；事業者側の計画では2024年に着工予定、2036年の完成を目指す。；この記事では、工事誌に記載されている着工時点のキロ程で一貫して記載する。；基本計画の告示以降、着工に向けた具体的な動きは行われていない。；着工式の進行にあたったのはマサチューセッツ州のフリーメイソンであった。；焦点は、民営化に取り残された形となった整備新幹線着工問題であった。；両総用水の事業はその後に着工された愛知用水の事業などでも参考にされた。；この複合施設は2020年秋の完成を目指して2018年に着工した。；現駅舎は2010年3月に着工し、同年12月26日に供用を開始した。；これを受け同年、県では既に着工していた野球場建設を中止し、遺跡の保存を決定した。；一方で資金不足のために築館と登米を結ぶ路線は着工されなかった。；センウセルト2世の時代に大規模な干拓工事がファイユームで着工された。；ただしこれらの計画についての着工・完成時期などは未定である。；夏頃の着工・2021年の完成を目指すとのことである。；この問題を解決するために、未着工となっていた接続部やコネクターとなる道路の建設が進められている。</t>
        </is>
      </c>
      <c r="J5362">
        <f>HYPERLINK("https://www.weblio.jp/content/着工", "词义详情")</f>
        <v/>
      </c>
      <c r="K5362">
        <f>HYPERLINK("https://yourei.jp/着工", "查看例句")</f>
        <v/>
      </c>
    </row>
    <row r="5363">
      <c r="A5363" t="inlineStr">
        <is>
          <t>茶の間</t>
        </is>
      </c>
      <c r="B5363" t="inlineStr">
        <is>
          <t>成功</t>
        </is>
      </c>
      <c r="C5363" t="inlineStr">
        <is>
          <t>読み方：ちゃのま
１住居の中で、家族が食事やだんらんなどをする部屋。
２茶室。
３武家で1の雑用をつとめた女。茶の間女。
「—の万がどれいと答へ出迎へば」〈浄・鑓の権三〉</t>
        </is>
      </c>
      <c r="D5363" t="inlineStr">
        <is>
          <t>茶の間戦士；茶の間兼；茶の間へ出て来</t>
        </is>
      </c>
      <c r="E5363" t="inlineStr">
        <is>
          <t>居間；居室；リビングルーム；リヴィングルーム</t>
        </is>
      </c>
      <c r="F5363" t="inlineStr">
        <is>
          <t>出張茶の間；明るい茶の間；悠々と茶の間；兼茶の間；一緒に茶の間</t>
        </is>
      </c>
      <c r="G5363" t="inlineStr">
        <is>
          <t>茶の間の科学</t>
        </is>
      </c>
      <c r="H5363" t="n">
        <v>29</v>
      </c>
      <c r="I5363" t="inlineStr">
        <is>
          <t>入口の室は茶の間と見えて大きな炉が切つてある十五六畳の室であつた。；翌日はもはや新しい柱時計が私たちの家の茶の間にかかっていなかった。；翌日笹村が起きたとき、父親は母親と一緒に茶の間で朝茶を飲んでいた。；私は頭なんか痛みゃしない今茶の間の机で珍しくこれを書いて居ります。；私は仕方がないので、茶の間の方に行こうと思い、女の手を擦り抜けた。；であるから茶の間のドアが締められたままになっている晩も多かった。；車内は、茶の間をイメージしたセットで移動スタジオのイメージである。；すると、障子のはまった茶の間の方を向いて何か分らないことを云った。；写真入れとなったバスケットは、茶の間のたなの上に置かれたのでした。；これらは南に面しており、裏の北側に化粧の間と茶の間が続いていた。；お光は茶の間の前の通庭に此方を向いて立つて笑つて居るのであつた。；それは皆が寢てゐる部屋からではなくてその次の間の茶の間からであつた。；じっと様子をうかがっていると、男たちは茶の間に上がりこんだ様子だ。；友達が置いて行ったやわらかい心持は帰った後までも茶の間に残っていた。；気がついて見ると母親はまだ茶の間で、彼の帰りを待つてゐるらしかつた。；次の日の朝、食事のため茶の間に出て来た娘を母親が見て驚いた。；或晩皆で茶の間に集った時、富子の顔には執拗な高慢の影がさしていた。；私は茶の間つづきのダイニングに坐って朝から新聞を読んでいたのだ。；いつだったか、伯母と一雄と三人で茶の間で話したことが頭をよぎった。；顔を洗ってまた茶の間へ戻った時、彼は何気なく例の黒塗の膳に向った。；その内に静な茶の間の中には、かすかに人の泣くけはひが聞え出した。；入口の室は茶の間と見えて大きな炉が切ってある十五、六畳の室であった。；辰代と澄子とが茶の間で、一人は裁縫を一人は学校の下調べをしていた。；つまり、茶の間の客が一番見たいところを、ピシッと見せる演出である。；チビ公は茶の間へあがって時計を見た、それは九時を打ったばかりであった。；私は妙なところでこれをかいて居ります、下の茶の間の隅のカリンの机で。；暗い部屋の中にいる彼の姿は、茶の間にいる人からは見られない。；が、折あしく茶の間には誰もゐなかつたので私は思ひきつて離れへいつた。；たしかにあの連中は、茶の間で絵の話や詩の話などをしているわ。</t>
        </is>
      </c>
      <c r="J5363">
        <f>HYPERLINK("https://www.weblio.jp/content/茶の間", "词义详情")</f>
        <v/>
      </c>
      <c r="K5363">
        <f>HYPERLINK("https://yourei.jp/茶の間", "查看例句")</f>
        <v/>
      </c>
    </row>
    <row r="5364">
      <c r="A5364" t="inlineStr">
        <is>
          <t>茶の湯</t>
        </is>
      </c>
      <c r="B5364" t="inlineStr">
        <is>
          <t>成功</t>
        </is>
      </c>
      <c r="C5364" t="inlineStr">
        <is>
          <t>読み方：ちゃのゆ
１客を招き、抹茶をたてて楽しむこと。また、その作法や会合。→茶道
２茶をたてるために沸かす湯。
「鑵子の弦の熱きにも煮ゆる—は面白や」〈虎明狂・通円〉</t>
        </is>
      </c>
      <c r="D5364" t="inlineStr">
        <is>
          <t>茶の湯釜；茶の湯指南；茶の湯好き；茶の湯炭</t>
        </is>
      </c>
      <c r="E5364" t="inlineStr">
        <is>
          <t>茶道</t>
        </is>
      </c>
      <c r="F5364" t="inlineStr">
        <is>
          <t>大茶の湯；茶の湯指南役</t>
        </is>
      </c>
      <c r="H5364" t="n">
        <v>29</v>
      </c>
      <c r="I5364" t="inlineStr">
        <is>
          <t>一息入れて仕事しようとしてお茶の湯をわかして食堂のガスの前にいる。；客が定められた席に正坐することから、本格的な茶の湯が開かれるのです。；その茶碗は、本来は茶の湯に使うために作られたのかも知れなかった。；三べんまわって煙草にしょ、じゃない、三べんまわして茶の湯にしょだ。；ひょっとすると、茶の湯の手ほどきぐらいも教えているのかも知れない。；茶の湯の先生の千利休などを相手にして悠々と秀吉は遊んでいるのであった。；その水質の良さから茶の湯や酒造、稲作などで使われることも多くある。；まさにその点が、日本の茶の湯が日本独特のものになったことを意味しているのです。；また当時流行した茶の湯の影響もあり、茶室が備えられることが少なくない。；彼が堺町人らとごく親しくしていたのは、茶の湯のためばかりではあるまい。；本来怠け者だから、先生の所へ茶の湯を習いに行ったりする気はない。；こうして露地と茶室が一体化した茶の湯の場が成立することになる。；もともと佐竹義宣の茶の湯の師匠でもあった織部との縁を家康は利用していた。；日本の茶の湯においてこそ始めて茶の理想の極点を見ることができるのである。；初代川端道喜は若い頃、武野紹鴎から茶の湯を学んだと伝えられている。；茶の湯では人の悪口は言わないことになっているのだそうだ。；淋汗とは夏風呂のことで、風呂と茶の湯があわさったものと考えられる。；こちとらにゃやっぱり茶の湯より茶わん酒のほうが性にあっているようだ。；茶の湯では、そこで出来た昔の種壺を水差などに用いて珍重しました。；ここはまた能狂言と茶の湯の町と呼んでもよいかと思います。；それゆゑに茶の湯は十三手前を根本にして諸々の手前はこの中にあるのです。；この人の演奏を聴いていると、私は日本の能楽や茶の湯を思い出してならない。；父で長近の養子の金森可重もまた千道安に学び茶の湯に秀でていた。；この二組はいずれも、新兵衛と宗右衛門が楓月に茶の湯を学んでいた。；こういうわけで茶室は茶の湯の他の設備と同様に禅の教義を多く反映している。；また、秀吉自身は京を活動の拠点とし茶の湯を始めとする文化活動を自らも積極的に行った。；茶の湯の先生の谷村氏が毎月、古い日本の陶器に興味を持つ人々の会をする。；この禅の儀式こそはついに発達して十五世紀における日本の茶の湯となった。；親が巴流の直門だから、出家以前にはこのひとも茶の湯は仕込まれている。</t>
        </is>
      </c>
      <c r="J5364">
        <f>HYPERLINK("https://www.weblio.jp/content/茶の湯", "词义详情")</f>
        <v/>
      </c>
      <c r="K5364">
        <f>HYPERLINK("https://yourei.jp/茶の湯", "查看例句")</f>
        <v/>
      </c>
    </row>
    <row r="5365">
      <c r="A5365" t="inlineStr">
        <is>
          <t>ちやほや</t>
        </is>
      </c>
      <c r="B5365" t="inlineStr">
        <is>
          <t>成功</t>
        </is>
      </c>
      <c r="C5365" t="inlineStr">
        <is>
          <t>［副］(スル)相手の機嫌をとるようなさま。「—（と）甘やかす」「—されていい気になる」</t>
        </is>
      </c>
      <c r="D5365" t="inlineStr">
        <is>
          <t>ちやほやされる(18%)；ちやほやする(10%)；ちやほやされれ；ちやほやすれ；ちやほやしてる</t>
        </is>
      </c>
      <c r="H5365" t="n">
        <v>29</v>
      </c>
      <c r="I5365" t="inlineStr">
        <is>
          <t>それほどまでに彼女は人にうらやまれたり、ちやほやされたかったのだ。；ちょっとちやほやされるようになったからって、こうなってんじゃない?；女房というものは、夫からいろいろとちやほやされることを望むものだ。；取り返したいのは自分のためじゃない、ちやほやされたいわけじゃない。；ちやほやされて浮かれていたホステスは、この時期ほとんど姿を消した。；父のそばにいたわずかのあいだ、皆がわたしをちやほやしてくれた。；みながちやほやするのをじぶんの徳のせいだなどと誤解しないこと。；だから表ではちやほやして、裏では舌を出して笑っているんだわ。；それをおまえは、あの男からちやほやいわれていい気になっている。；私はそこで母の娘だと紹介され、色々な人にちやほやしてもらった。；その学問の教師でさえ、よくできる彼よりも、兄のほうをちやほやしていた。；彼女はあたりの人々からちやほやされながら半可通な言葉をかわしていた。；祖母は馬鹿に彼にちやほやするかと思うと、すぐ突っけんどんになった。；野球だけやってて、ちやほやされていたときの癖が全然抜けない。；出版社がちやほやすれば彼が慢心するのも当然だ、と唱えるものもいる。；ひとり舞台で、自分をちやほやしてくれる観客の前にかぎってのことですが。；それで生きているうちから世間からちやほや賞められたんだ。；娘たちも戦時中は軍人の娘やいうことで、ちやほやされて育ちました。；摂政時代にでも生まれていれば、人気者として、ちやほやされただろう。；夫と愛人の二人の男が、わたしを夢中になって、ちやほやしてるんですもの。；伯爵にちやほやされていい気になってるとひどい目にあうわよ。；女の子にちやほやされているようで、気分が良かったのは最初だけ。；娘のうちは、放っておいたってまわりがちやほやしてくれるからな。；ちやほやされたいがためにYouTuberとしての活動を開始した。；わたしは、大臣などにちやほやされるのに慣れていなかっただけにいっそう感動した。；友達がわいわいいてちやほやされたことなんか一度もないしね。；人からちやほやされることだけが自分の人生だと思いこまされるように育ったに違いない。；それでいて俺のほうから下手にでてちやほやしてくれるのを待ってんだからなあ。；そしてみなにちやほやされて、いい気になってはだめですよ!</t>
        </is>
      </c>
      <c r="J5365">
        <f>HYPERLINK("https://www.weblio.jp/content/ちやほや", "词义详情")</f>
        <v/>
      </c>
      <c r="K5365">
        <f>HYPERLINK("https://yourei.jp/ちやほや", "查看例句")</f>
        <v/>
      </c>
    </row>
    <row r="5366">
      <c r="A5366" t="inlineStr">
        <is>
          <t>茶碗</t>
        </is>
      </c>
      <c r="B5366" t="inlineStr">
        <is>
          <t>成功</t>
        </is>
      </c>
      <c r="C5366" t="inlineStr">
        <is>
          <t>読み方：ちゃわん
１茶を入れ、または飯を盛る陶磁製の碗。特に茶の湯では、天目形・沓(くつ)形などの茶碗が用いられる。
２古く、陶磁器の総称。
３「茶碗盛り」の略。</t>
        </is>
      </c>
      <c r="D5366" t="inlineStr">
        <is>
          <t>茶碗酒；茶碗をとりあげ；茶碗屋；茶碗を投げつけ；茶碗豆腐</t>
        </is>
      </c>
      <c r="F5366" t="inlineStr">
        <is>
          <t>お茶碗；紅茶茶碗；飯茶碗；湯呑茶碗；小さな茶碗</t>
        </is>
      </c>
      <c r="G5366" t="inlineStr">
        <is>
          <t>茶碗蒸し；茶碗の湯；茶碗蒸；茶碗むし；茶碗ムシ</t>
        </is>
      </c>
      <c r="H5366" t="n">
        <v>29</v>
      </c>
      <c r="I5366" t="inlineStr">
        <is>
          <t>彼が庭に埋めておいた木箱からは、黒い水に汚れた茶碗や皿が出て来た。；お母さんは婆やから茶碗を受取ると八っちゃんの口の所にもって行った。；暫くして小さな竹の葉が手から手へ傳へられて茶碗の水の中に置かれた。；御米が座敷から帰って来るのを待って、兄弟は始めて茶碗に手を着けた。；このとき工藤はすぐに茶碗をとりあげるとお茶を一気に飲んでしまった。；御米が座敷から歸つて來るのを待つて、兄弟は始めて茶碗に手を着けた。；中国の影響が強かった琉球王国では茶碗や箸も銘々器が使用されていた。；道夫は、自分がそれからコーヒー茶碗を下に置いたことを記憶していない。；さらには時の帝も興味を持ち、この茶碗から滴った水は御裾を濡らした。；奥さんは寝られないといけないといって、茶碗に手を触れなかった。；それで茶碗の底には、色々な形のゆらゆら動く光の紐が見えるのである。；お茶碗などは、そんな時特別にしまいこんである桐の箱より出します。；盆に載せた土鍋と茶碗を持って席を立つ前、細君はもう一度こういった。；残りのものは一升樽を茶碗飲みにして、準備の出来るのを待って居る騒ぎ。；大きい角火鉢には大藥罐をかけ、そのそばには炭取りと茶碗などもある。；それから現今生まれておりますところの茶碗では十銭位からでもありましょう。；昼間に茶碗で濃いお茶を飲んでいると思ったらウイスキーをガブ飲み。；私どもはこの茶碗を差上げ、私の感謝の意を表することをよろこびます。；他に蓋碗と呼ばれる、小さな蓋付きの茶碗を使用したいれ方もある。；今日は紅茶茶碗の傍に新聞を置いたなり、開けて見る気にならない。；断る店主であったが、油屋は最終的に二両を提示し、茶碗を手に入れる。；が出来たものは猫の飯茶碗のみが山と重ねられたまでであった。；彼女が椅子に戻った時には、令嬢は已に紅茶茶碗を唇へ持って行っていた。；純金で茶碗をつくったって、今の金で五十万か百万円で出来るのです。；お徳の死体は一応家の中へ入れて、丑松はその前で茶碗酒を呷っています。；女は下から黒塗の蓋のついた湯飲茶碗を持って来て、テーブルの上に置いた。；之に反して茶碗の概念は多くの場合性格的でなければならない。；茶碗をそこで、白い木綿の布で拭うのだが、これにも一定の方法があった。；また、楽茶碗を生み出した樂家の歴代当主が作製した作品を楽焼という。</t>
        </is>
      </c>
      <c r="J5366">
        <f>HYPERLINK("https://www.weblio.jp/content/茶碗", "词义详情")</f>
        <v/>
      </c>
      <c r="K5366">
        <f>HYPERLINK("https://yourei.jp/茶碗", "查看例句")</f>
        <v/>
      </c>
    </row>
    <row r="5367">
      <c r="A5367" t="inlineStr">
        <is>
          <t>ちゃんと</t>
        </is>
      </c>
      <c r="B5367" t="inlineStr">
        <is>
          <t>成功</t>
        </is>
      </c>
      <c r="C5367" t="inlineStr">
        <is>
          <t>［副］(スル)
１少しも乱れがなく、よく整っているさま。「部屋の中を—かたづける」「いつも—した身なりをしている」
２確実で間違いのないさま。「言われたことは—やる」「—した職業につく」
３結果が十分であるさま。「朝食は—食べてくる」
４すばやく動作をするさま。さっと。
「鉦(かね)と撞木(しゅもく)のやうに—だまんな」〈黄・御存商売物〉</t>
        </is>
      </c>
      <c r="D5367" t="inlineStr">
        <is>
          <t>ちゃんと見；ちゃんと聞い；ちゃんと覚え；ちゃんと生き；ちゃんと書い</t>
        </is>
      </c>
      <c r="E5367" t="inlineStr">
        <is>
          <t>ちょうど；正確；まさに；きちんと；正しく</t>
        </is>
      </c>
      <c r="F5367" t="inlineStr">
        <is>
          <t>もっとちゃんと；ちゃんとやる；ちゃんと読ん；ちゃんと秩序；ちゃんと櫂くん</t>
        </is>
      </c>
      <c r="H5367" t="n">
        <v>29</v>
      </c>
      <c r="I5367" t="inlineStr">
        <is>
          <t>かなり小さな破片であっても、ちゃんと元の体の方向に体が再生される。；今までにも、ちゃんとそういう機械的な腕なら、出来ているじゃないか。；そのときお前がとりだしたピストルはちゃんと実弾が入っていたのだよ。；何応欽将軍も軍事報告の中で、ちゃんとそのことを記録している筈です。；それはちゃんとシャツのポケットに入れてあったではありませんか。；キミは、とにかく反対なら反対のようにちゃんと言うてくれるからいい。；弟に金を渡したりしちゃいけないということはちゃんとわかっていた。；と、そのとき部屋の中で、がちゃんとガラスがこわれるような音がした。；あいつは、もう、ちゃんと、うちの中へはいっているのかもしれません。；ぜんぶをちゃんとした形にならべると、それは一つの言葉になるのです。；それはそうと、私はその女の死骸のある所をちゃんと知っているのですよ。；それでいて、ちゃんと生物棲息の条件を備えた二個の惑星を持っている。；フリント大尉は、ちゃんとした競馬場で金をかけて勝負しようと言った。；ひどい目にあったんだから、ちゃんとしたあつかいをされたかった。；ダンスも歌もそれほど得意ではないが、ちゃんと練習して身につけるタイプ。；二時ごろまで寝てて、奥さんが全部ちゃんとやってくれるんだから。；ただしアニメ版の公式ガイドブックにはちゃんと原作通りに書いてある。；あたしが寝たふりをしているのを、ちゃんと見抜いているようだった。；あたしのもう一つの心が、あなたの正体をちゃんと見抜いていたからです。；そこには、もとの運転手が、ちゃんと、すわっているではありませんか。；おれの方では、こんなこともあろうかと、ちゃんと用意をしていたんだ。；谷博士だけしか知らないこの秘密通路をX号はちゃんと知っていた。；鳥山も当時の単行本で、アニメ第1作はちゃんと見ていると話していた。；樹里が見えるリンゴちゃんと公園で遊んで笑顔をくれた神様に感謝する。；多くのファンから愛されてきた過去の6作品ともちゃんとつながっている。；きみがここへ来ることは、ぼくにはちゃんとわかっていたのだよ。；ぼくはこういうこともあろうかと、ちゃんと用意してきています。；ちゃんとそこまで見通して、わしは彼奴の飛込んで来るのを待っていた。；コンコドスを僕のところへ置かないで君の前へちゃんと置いているじゃないか。</t>
        </is>
      </c>
      <c r="J5367">
        <f>HYPERLINK("https://www.weblio.jp/content/ちゃんと", "词义详情")</f>
        <v/>
      </c>
      <c r="K5367">
        <f>HYPERLINK("https://yourei.jp/ちゃんと", "查看例句")</f>
        <v/>
      </c>
    </row>
    <row r="5368">
      <c r="A5368" t="inlineStr">
        <is>
          <t>注</t>
        </is>
      </c>
      <c r="B5368" t="inlineStr">
        <is>
          <t>成功</t>
        </is>
      </c>
      <c r="C5368" t="inlineStr">
        <is>
          <t>読み方：ちゅう
［音］チュウ（慣）　［訓］そそぐつぐ
［学習漢字］3年
１液体をそそぎ入れる。「注射・注入・注油／灌注(かんちゅう)」
２ひとつ所に集中させる。「注意・注視・注目／傾注」
３本文のわかりにくい箇所に説明の言葉を入れる。「注解・注記・注釈／脚注・校注・頭注・評注・補注・傍注・訳注」
４しるす。要件を書きつける。「注進・注文／受注・発注」
[補説]3・4は「註」と通用。
［難読］注連(しめ)</t>
        </is>
      </c>
      <c r="D5368" t="inlineStr">
        <is>
          <t>注一(6%)；注排水(3%)；注口；注型；注文数</t>
        </is>
      </c>
      <c r="E5368" t="inlineStr">
        <is>
          <t>注釈；付記；注記；註；註釈</t>
        </is>
      </c>
      <c r="F5368" t="inlineStr">
        <is>
          <t>起居注；校注；左注；語注；鄭玄注</t>
        </is>
      </c>
      <c r="G5368" t="inlineStr">
        <is>
          <t>注目；注文；注い；注ぐ；注射</t>
        </is>
      </c>
      <c r="H5368" t="n">
        <v>29</v>
      </c>
      <c r="I5368" t="inlineStr">
        <is>
          <t>気が注くとともにかの女と天縁があるかないかを知りたいと思いだした。；ジンサーは注を重視しているので最初は注も翻訳することを考えていた。；左注に此歌の作者が不明だが、歌柄から見て憶良だろうと云って居る。；注: 上記の名前の少数のもののみ古い地図に地区として表示されている。；またこの本のイリイチ自身の注では以下のように記載されている。；君のやうに、茶ばかり注がして鼻毛を抜いてるんぢや、どうにもならんよ。；ドイツでは1803年にゲーテが解説と注を添えてドイツ語訳を刊行した。；江戸時代に屋代弘賢が三条西実隆の書写した始注本を元に刊行を行った。；舊事は儀注に似てゐるが、儀式に關する古よりのしきたりを記したもの。；評判の鉄扇はどうかと目を注けると膝の横にちゃんと引きつけている。；旦那は、実の開けた穴を埋めさせようとして、更に大きく注込んでいた。；なお、鶏頭形の注口は外観だけで、内部に孔が貫通していない例が多い。；この一首は、或本には三方沙弥の作になっているという左注がある。；注・各番組は正式タイトルが長いため、省略タイトルと正式タイトルに分類。；そうならば此歌は斉明天皇の御製であろうかと左注で云っている。；また、艦内の前部・中部・後部の三箇所に注排水指揮所を設置していた。；後に新井注一郎というもう1人の兄弟が登場して兄弟トリオを組んでいた。；いずれの場合か明らかでないときには、さらに末尾の注によって説明する。；ただし、この翻訳は岩波文庫版に比べると注が大幅に簡略化されている。；従来の印刷本でも、内容を連携づけるために注や索引が工夫されてきた。；または注文数が増えていくほど商品の価格が下がっていくサービス。；この項で記したもの以外に、本記事の注なども参照のこと。；注 記載の地域でも一部で実施していない場合、記載されていない地域でも一部で実施している場合がある。；もしこれに眼を注けてゐるとしたら自分をどうするであらう、と義直は考へてみた。；注: カナダ政策研究ネットワークは解散したカナダのシンクタンク。；この他に注目される競走対象として「注」の字を用いる新聞もある。；そしてその根本は心の集注と純粋ということに帰着するであろうか。；井崎のみ、穴狙いを示す黒三角・白三角の他に「注」マークも使用していた。；大山訳は上演用ではなく、地口などを訳さず注をつける勉強用の翻訳だった。</t>
        </is>
      </c>
      <c r="J5368">
        <f>HYPERLINK("https://www.weblio.jp/content/注", "词义详情")</f>
        <v/>
      </c>
      <c r="K5368">
        <f>HYPERLINK("https://yourei.jp/注", "查看例句")</f>
        <v/>
      </c>
    </row>
    <row r="5369">
      <c r="A5369" t="inlineStr">
        <is>
          <t>注意</t>
        </is>
      </c>
      <c r="B5369" t="inlineStr">
        <is>
          <t>成功</t>
        </is>
      </c>
      <c r="C5369" t="inlineStr">
        <is>
          <t>読み方：ちゅうい
［名］(スル)
１気をつけること。気をくばること。「よく—して観察する」「日々健康に—する」
２悪いことが起こらないように警戒すること。用心すること。「交通事故に—する」
３気をつけるように傍らから言うこと。忠告。「過ちを—する」
４ある一つの対象を選択し、認知・明瞭化しようと意識を集中する心的活動。同時に、その他のものは抑制・排斥される。</t>
        </is>
      </c>
      <c r="D5369" t="inlineStr">
        <is>
          <t>注意ぶかく；注意しよ；注意を払う必要；注意せよ；注意すれ</t>
        </is>
      </c>
      <c r="E5369" t="inlineStr">
        <is>
          <t>興味；注目；関心；集中；念</t>
        </is>
      </c>
      <c r="F5369" t="inlineStr">
        <is>
          <t>ないので注意；御注意；十分注意；注意を与へた；注意申上げ</t>
        </is>
      </c>
      <c r="G5369" t="inlineStr">
        <is>
          <t>注意力；注意喚起；注意書き；注意深い；注意事項</t>
        </is>
      </c>
      <c r="H5369" t="n">
        <v>29</v>
      </c>
      <c r="I5369" t="inlineStr">
        <is>
          <t>このため、競走がどちらの意味で用いられているか注意する必要がある。；このため予備知識がない地域では乗り入れの情報に注意する必要がある。；これらの関数を実用的なプログラムで用いる場合には注意が必要である。；所持していると逮捕される可能性もある場合があり注意が必要である。；最後のビッドをした者がディクレアラーになるわけではないことに注意。；特に後者は同じ文脈においてしばしば用いられるので注意すべきである。；傘を開くときは周囲に人がいない方に向けて、危険のないように注意する。；注意すべきは線型写像を表す行列は基底の取り方に依存することである。；漢方薬服用時に飲水量が増えてしまうことがあるので注意が必要である。；以下の各項目に該当する内容を書き込もうと考えている人は注意して下さい。；この分類は一定しておらず、あくまでも一例であることに注意してほしい。；の構文は数学で用いられるものによく似せられていることに注意されたい。；なお、半順序空間と名前の似たは別概念であるので注意が必要である。；このことは境界が空集合であるときにも満足されることに注意する。；また 後述するp進数の概念とは別概念であるので注意が必要である。；ただし蛹化直後や羽化直後は非常にデリケートなので注意が必要である。；したがって、ヨーロッパの技術論文を読む際には注意が必要となる。；各種のマグニチュードの値の間では差異を持つので注意が必要である。；ここで注意したいのは無髄神経も神経鞘は持っているということである。；本記事の執筆に直接使用していないものも含まれるので注意。；たびたび霧が発生し、その際には視界が悪く、走行には注意が必要になる。；過去には飼い犬が殺されたり、人が噛まれたりしており注意が必要である。；また3つ以上のボタンを要求する場合は、とっさの判断に注意を要する。；日本人が購入を検討する場合には欧米人との体格の差に注意する必要がある。；また、多孔質でにおいを吸着しやすいので保存時には注意が必要である。；人間は、知識だけでなく、自らの精神や心にも注意を向けることができる。；開集合の無限個の交わりは開集合とは限らないことに注意すべきである。；ただし、の件数が年々増加している為に引き続き注意が必要とされている。；内はブートストラップ値で、不確実な分岐も図示されていることに注意。</t>
        </is>
      </c>
      <c r="J5369">
        <f>HYPERLINK("https://www.weblio.jp/content/注意", "词义详情")</f>
        <v/>
      </c>
      <c r="K5369">
        <f>HYPERLINK("https://yourei.jp/注意", "查看例句")</f>
        <v/>
      </c>
    </row>
    <row r="5370">
      <c r="A5370" t="inlineStr">
        <is>
          <t>中央</t>
        </is>
      </c>
      <c r="B5370" t="inlineStr">
        <is>
          <t>成功</t>
        </is>
      </c>
      <c r="C5370" t="inlineStr">
        <is>
          <t>読み方：ちゅうおう
１距離・場所・順序などが、どの端からも等しく離れていること。中心。まんなか。「町の—にある公園」「—値」
２ある組織や機関の中で、最も重要な機能をになっているところ。中枢。「—に意見を具申する」「党の—」
３中央官庁の置かれている土地。首都。「行政機関が—に集中する」⇔地方。</t>
        </is>
      </c>
      <c r="D5370" t="inlineStr">
        <is>
          <t>中央線(3%)；中央本線；中央部分；中央付近；中央通り</t>
        </is>
      </c>
      <c r="E5370" t="inlineStr">
        <is>
          <t>中；中心；センター；最中；中間</t>
        </is>
      </c>
      <c r="F5370" t="inlineStr">
        <is>
          <t>画面中央；車体中央；中央公民館；ホーム中央；中央構造線</t>
        </is>
      </c>
      <c r="G5370" t="inlineStr">
        <is>
          <t>中央アジア；中央競馬；中央政府；中央大学；中央競馬会</t>
        </is>
      </c>
      <c r="H5370" t="n">
        <v>29</v>
      </c>
      <c r="I5370" t="inlineStr">
        <is>
          <t>東海道本線にホームが設置されるまでは中央本線の快速も通過していた。；この息子は人間の姿をしていたが、額の中央に一本の角が生えていた。；このように中央道の調査は非常に大雑把で信用に足るものではなかった。；それ以外の編成では横から見て中央より1つ右の側窓上部に設置している。；馬車などは道の中央を走り、歩行者は道の端を歩くということになった。；両選手はピスト中央に4mの距離をおいて構えの姿勢から試合を開始する。；全空気方式は、熱輸送に空気のみを用いるもので中央式の代表的なものである。；かつては中央本線国分寺駅から分岐する形で市内へ下河原線が存在した。；逆T字方式は、中央案内軌条式の新交通システムと類似した構造を持つ。；中央線では通勤快速より特別快速の方が上位だが、常磐線は逆であった。；さらに、地方でも中央組織に加わっていない組織が作られている。；中央上部に見られるのが当時ベツレヘムの星と考えられていたハレー彗星。；中央道派が言うには、立法は今年は中央道、東海道は来年にしろという。；これにより史上初の中央・地方双方での1000勝を合わせて達成した。；大学卒業後からの半年間は、慶應義塾大学病院の中央検査部に勤務していた。；地方で経験を積んだ後、中央に戻って中央の差遣と寄禄官を与えられる。；紙幣を光源の反対側に置くと、中央部分の黒く磁気を帯びた筋が見える。；なお、中央線・青梅線系統どちらも名称は通勤快速に統一されている。；この4つの都市はいずれも人口の集中するメキシコの中央高原に位置している。；心臓もその発生からは体の中央にあるべきものである。；地形的には武蔵野台地のほぼ中央に位置し、関東ローム層に覆われている。；国会議員や秘書、中央官僚などは取材しても書けないであろうとのこと。；第一手を中央に打った対局も存在するが、多くの場合趣向と評される。；また90万年ほど前には、現在の北湖中央を南北に横切る山地があった。；このとき、中央から派遣した役人が全国の各地方を支配する郡県制が施行された。；仙台駅前から西方向へは中央通・一番町のアーケード街が形成されている。；中央道の大半は山地部を通過するために、沿道には多くの山がある。；中央での廃止後に現地で新設されたことになる。；北中部州全体の中では北西側、アヌラーダプラ県の中では中央付近にある。</t>
        </is>
      </c>
      <c r="J5370">
        <f>HYPERLINK("https://www.weblio.jp/content/中央", "词义详情")</f>
        <v/>
      </c>
      <c r="K5370">
        <f>HYPERLINK("https://yourei.jp/中央", "查看例句")</f>
        <v/>
      </c>
    </row>
    <row r="5371">
      <c r="A5371" t="inlineStr">
        <is>
          <t>宙返り</t>
        </is>
      </c>
      <c r="B5371" t="inlineStr">
        <is>
          <t>成功</t>
        </is>
      </c>
      <c r="C5371" t="inlineStr">
        <is>
          <t>読み方：ちゅうがえり
［名］(スル)
１地面などに手をつかずに、空中で身体を回転させること。とんぼ返り。「—してすっと立つ」
２飛行機が空中で垂直方向に円を描くように飛ぶこと。「—飛行」</t>
        </is>
      </c>
      <c r="D5371" t="inlineStr">
        <is>
          <t>宙返り一回(3%)；宙返り飛行(2%)；宙返り二回半；宙返り三回半；宙返り三回ひねり</t>
        </is>
      </c>
      <c r="F5371" t="inlineStr">
        <is>
          <t>前宙返り；逆宙返り；二回宙返り；前方宙返り；伸身宙返り</t>
        </is>
      </c>
      <c r="H5371" t="n">
        <v>29</v>
      </c>
      <c r="I5371" t="inlineStr">
        <is>
          <t>一方で『1942』の特徴である宙返りシステムなどは存在していない。；トンボは、空中の一点に留まる事ができ、宙返りが観察された種もある。；ゆかでは、前方系と後方系の両方の宙返りを実施しなければならない。；それが結果として、宙返りを終えた俺に背後を取らせることになった。；地上物がない事や敵弾を避けるための宙返りが出来る事などを特徴としている。；床運動やトランポリンで宙返りできない人が挑戦しても、ほぼ失敗する。；分厚いオーバー姿のまま、少女は鮮やかな後方宙返りを見せたのである。；右の掌に縫い物用の指抜きをのせ、三尺ばかり投げ上げて宙返りさせる。；次の瞬間には、もうボートは宙返りし、流れのなかに呑まれてしまっていた。；野火はそれを見とどけると、さっと宙返りをして、もとの姿にもどった。；彼は地球上で四連続宙返りが出来る唯一の人間である。；新之助の姿が一瞬に沈んだと思ったとき、下村の身体が宙返りして畳に落ちた。；勝利直後にリング上でヘビー級の体格にもかかわらず後方宙返りを見せた。；後脚を持ち上げ何度も宙返りをしながらゆっくりと窓のほうに浮遊していく。；宙返りコースターの軌道にともる光の列を、何度かゆっくり目で追ってみた。；そして、くるりと宙返りをすると、人の言葉を話すために、人の姿になった。；あの子の前宙返り一回半蝦型は練習どおりにうまくいった。；このときの回転運動は、古典力学的には、分子の宙返り運動に対応する。；伸身宙返りで両脚を天に向けて揃えたとき、顎の先をブレードが掠めた。；そして、その部分のもろい土くれが絶えず宙返りをしているように見えた。；先達てドイツのある科学雑誌に猫の宙返りの真似をする雛形が載せてあった。；後方宙返りにひねりが入っても、床運動でなら決して困難な技ではありません。；先刻ラッドがやったように、宙返り様に蹴りを放とうとしていたのだ。；それから、巨大な宙返りをして、天底の方角から渦の腕にはいって行った。；あと一回宙返りすれば全ての糸が解けるのに、その時間もない。；しかも、宙返りした足はまた空にとまって、地上にころがり落ちない。；これによって、ゆか競技における高難度な宙返り技が可能となっている。；その瞬間、兵の体はまるで自ら跳んだかのように宙返りした。；水を正面にして飛びだし、体を後方に回転させる前逆宙返り。</t>
        </is>
      </c>
      <c r="J5371">
        <f>HYPERLINK("https://www.weblio.jp/content/宙返り", "词义详情")</f>
        <v/>
      </c>
      <c r="K5371">
        <f>HYPERLINK("https://yourei.jp/宙返り", "查看例句")</f>
        <v/>
      </c>
    </row>
    <row r="5372">
      <c r="A5372" t="inlineStr">
        <is>
          <t>中華街</t>
        </is>
      </c>
      <c r="B5372" t="inlineStr">
        <is>
          <t>成功</t>
        </is>
      </c>
      <c r="C5372" t="inlineStr">
        <is>
          <t>読み方：ちゅうかがい
中国以外の各都市で、中国系住民が多く集まり住んでいる地区。中国料理店や中国産品店が多く、中国風の生活様式を保っている。横浜、神戸、長崎、シンガポール、ホーチミン、ロンドンなどにある。南京町。チャイナタウン。</t>
        </is>
      </c>
      <c r="D5372" t="inlineStr">
        <is>
          <t>中華街行(3%)；中華街方面行き；中華街エリア；中華街入口；中華街地区</t>
        </is>
      </c>
      <c r="F5372" t="inlineStr">
        <is>
          <t>新地中華街方面；中華街行き；経由新地中華街；日本三大中華街</t>
        </is>
      </c>
      <c r="H5372" t="n">
        <v>29</v>
      </c>
      <c r="I5372" t="inlineStr">
        <is>
          <t>驚いたことに、中華街では、誰もそんなものに興味を持っていなかった。；ただしこの時期は単に外国人街であり、特に中華街というわけではない。；サンフランシスコに中華街が形成され始めたのもこの頃とされている。；会うことにしたときはね、あの人は中華街で食事でもとわたしにいったわ。；僕が材料を買い歩いている間に、中華街の雑貨屋で買ってきたらしい。；少年・ヒロミチは、横浜の中華街でルウルウを見つけて家に連れて帰る。；その侵入の経緯はソウシチョウと同じくホノルルの中華街の火事である。；そもそも十何階も全部レストランなんて、いくら中華街とは言え変だろうと感じる。；また、中華街も第二次世界大戦後の政治的・社会的な状況の中で衰退した。；てなことを考えてるうちに、あっさり中華街東門まえへ着いちまった。；予算がない居住者や学生はパリの中華街に行って、日本食を購入する傾向がある。；聖天宮には門前町がないため、中華街で見られるようなパレードは無い。；ふたりは無言で朱色と緑に塗りわけられた中華街の東門を抜けた。；二度目は綾と中華街に行って、エッチに夢中になって時間を忘れた結果だ。；けっこうな距離だったが、中華街を抜けてのコースなので退屈はしなかった。；それに乗って山下公園から中華街へ行き、中華ソバを食べたのだった。；町は現在の中華街である一本の通りから始まった。；小さな中華街ならばバレー全体の多くの都市に出現している。；プタリン通りは、クアラ・ルンプールの中華街の中心をなす通りの名前。；奇妙な記憶に思い悩みながら二百メートルも来ると中華街の入り口に出た。；ソーホーの中華街は1950年代から形成され、大規模な商業地に発展した。；と言っても、それは本当によく写真などで見るいかにもな中華街というところだった。；これがヨーロッパで最初の中華街と言われている。；中華街の一般的な特徴および社会問題については中華街の項目で扱う。；横浜で高速道路をおり、タケキはそのまま中華街まで走り、車を停めた。；第36話で登場した別個体は中華街にてバクモンと料理店を経営する。；これがマンハッタンの中華街の歴史の始まりとされている。；ノヴィ・ベオグラードのブロック70地区は中華街として知られている。；日本及びアジア最大の中華街は横浜市内に設置されている。</t>
        </is>
      </c>
      <c r="J5372">
        <f>HYPERLINK("https://www.weblio.jp/content/中華街", "词义详情")</f>
        <v/>
      </c>
      <c r="K5372">
        <f>HYPERLINK("https://yourei.jp/中華街", "查看例句")</f>
        <v/>
      </c>
    </row>
    <row r="5373">
      <c r="A5373" t="inlineStr">
        <is>
          <t>中学生</t>
        </is>
      </c>
      <c r="B5373" t="inlineStr">
        <is>
          <t>成功</t>
        </is>
      </c>
      <c r="C5373" t="inlineStr">
        <is>
          <t>読み方：ちゅうがくせい
中学校の生徒。</t>
        </is>
      </c>
      <c r="D5373" t="inlineStr">
        <is>
          <t>中学生たち；中学生以下；中学生以上；中学生向け；中学生年代</t>
        </is>
      </c>
      <c r="F5373" t="inlineStr">
        <is>
          <t>当時中学生；中学生相撲；全国都道府県中学生；中学生男子；中学生大会</t>
        </is>
      </c>
      <c r="G5373" t="inlineStr">
        <is>
          <t>中学生日記；中学生横綱；中学生棋士；中学生群像；中学生の友</t>
        </is>
      </c>
      <c r="H5373" t="n">
        <v>29</v>
      </c>
      <c r="I5373" t="inlineStr">
        <is>
          <t>中学生で同ブランドと契約したファッションモデルは彼女が初であった。；男女とも髪型は中学生らしいものと規定されており、明確な指定はない。；担当した中学生が優勝した神候補が、次の神になることになっている。；また、彼は初動負荷理論を中学生ながら早くに取り入れた一人でもある。；また、中学生に限りニュージーランドへ交換留学する制度も新設された。；基本的に中学生以下限定での開催だが、年齢無制限で開催されることもある。；最初に音楽に出会ったのは中学生の頃、コーラス部に所属したことである。；中学生の頃に初めてビールを飲み、大人になってからはほぼ毎日飲んでいる。；中学生の頃からアメリカンポップスに影響されギターを持つようになった。；バスケットボールとギターに夢中になった中学生の頃にバンドを結成。；高校卒業後フランス留学の時には、周囲から中学生だと勘違いされていた。；また平成11年度からは中学生を対象とした海外派遣事業も新たに開始した。；全体の構成はプロモーションビデオ風で、対象は中学生くらいの女の子。；中学生の頃は野球部に所属していたが、レギュラーにはなれなかった。；中学生の頃には喧嘩をしすぎたために、中学を卒業できなかったと語っている。；中学生の時に演劇に参加したことをきっかけに、俳優業に興味を持つ。；そして選手は中学生からは皆クラブの寮に入ることが義務づけられている。；当時の中学生は上野高校を経て東京大学へ進学するのが常道であった。；このように、中学生の段階で高い英語力を生徒全員に身につけさせる。；また、トモとは同じ学校になったようだが、中学生編では登場しなくなる。；父親のいない中学生の私は、恐山の麓の村で母と二人で暮らしている。；中学生の時、師事していたピアノ教師の影響で作曲に関心を持つ。；中学生の頃からエレキギターに触れており、ライブで披露することもある。；中学生は3年間資格が保証され、高校生は1年ごとに資格が更新される。；全国中学生大会で広瀬の応援団は家族だけという中で第3位を獲得した。；本編では小学生だった主人公たちが中学生になってからの物語を描いている。；高校の制服をベースに、一部を中学生向けにアレンジしたものとなっている。；中学生までは足が速かったと語るが、誰も信用してくれないという。；乳幼児から中学生までの低年齢層のタレントの育成を行ってきた。</t>
        </is>
      </c>
      <c r="J5373">
        <f>HYPERLINK("https://www.weblio.jp/content/中学生", "词义详情")</f>
        <v/>
      </c>
      <c r="K5373">
        <f>HYPERLINK("https://yourei.jp/中学生", "查看例句")</f>
        <v/>
      </c>
    </row>
    <row r="5374">
      <c r="A5374" t="inlineStr">
        <is>
          <t>中学校</t>
        </is>
      </c>
      <c r="B5374" t="inlineStr">
        <is>
          <t>成功</t>
        </is>
      </c>
      <c r="C5374" t="inlineStr">
        <is>
          <t>読み方：ちゅうがっこう
１小学校を卒業した者に、中等普通教育を施す3年制の義務教育の学校。中学。
２旧制で、高等普通教育を施した男子のための中等教育機関。修業年限は5年。中学。</t>
        </is>
      </c>
      <c r="D5374" t="inlineStr">
        <is>
          <t>中学校卒業後；中学校入学；中学校卒業後；中学校在学中；中学校出身</t>
        </is>
      </c>
      <c r="E5374" t="inlineStr">
        <is>
          <t>中学；ジュニアハイスクール</t>
        </is>
      </c>
      <c r="F5374" t="inlineStr">
        <is>
          <t>中学校卒業；附属中学校；女子中学校；町立中学校；同中学校</t>
        </is>
      </c>
      <c r="G5374" t="inlineStr">
        <is>
          <t>中学校教師；中学校教員；中学校令；中学校総合体育大会；中学校学習指導要領</t>
        </is>
      </c>
      <c r="H5374" t="n">
        <v>29</v>
      </c>
      <c r="I5374" t="inlineStr">
        <is>
          <t>連携中学校から他の高等学校や高等専門学校などへの進学も可能である。；中学校では帰宅部、高校では剣道部に入っており放送委員も務めていた。；以下では地区ごとに指定された小学校及び中学校を表にまとめた。；また、連携していない中学校からも一般の入試で受験することができる。；一つの学区の小学校、中学校から別の学区の高校に進学する場合もある。；一方、中学校・高校では、前期・後期ごとを任期としている学校が多い。；高等学校と同じ校舎内の1階に中学校の職員室・教室がすべて入っている。；中学校の卒業者は無試験で接続の高等学校に進学することができる。；中学校を卒業できないまま実家に戻り、父の下で金型工の見習いとなる。；また、コンサートに行くこと自体を禁止する中学校・高校が続出した。；陸軍将校の主流である陸軍幼年学校出身ではなく、中学校出身であった。；特に中学校では自転車通学する人も多くヘルメットを付けている人も多い。；中学校では、原則、以下のいずれかの委員会への所属することになっている。；特徴は他の小学校からもその中学校に進学できることである。；近隣には国公私立問わず、中学校・高等学校・専門学校が多く所在する。；中学校の音楽教師から影響を受けてクラシック音楽を愛好するようになる。；宮沢は当時の自宅がこの近所で、中学校を卒業するまで大泉に住んでいた。；小学校時代は児童会会長を務めて、中学校ではテニス部に所属していた。；名古屋市立の中学校については、学区内の小学校の進学先となっている。；合併消滅時点のもの 町内には4つの小学校と2つの中学校があった。；中学校は第29章から定められており、やはり上下2等に分けられている。；学校名は将来的に入学する可能性がある近隣中学校を対象に一般公募で選出された。；近くに小学校や中学校、高校があり、児童生徒たちにもよく使われている。；小学校と中学校は駅南側にあるが、中学校は駅からやや離れている。；近年では中学校などで英語教育も兼ねて英語の歌詞で歌われている。；同じ設置者が小学校と中学校を併設し、接続して小中一貫教育を行うもの。；教員は中学校及び高等学校の授業を併せて担当していることが多い。；国公立中学校は、小学校課程を超えない範囲で出題しなければいけない。；そのころは小学校4年生の課程を終わると、中学校を受ける資格があった。</t>
        </is>
      </c>
      <c r="J5374">
        <f>HYPERLINK("https://www.weblio.jp/content/中学校", "词义详情")</f>
        <v/>
      </c>
      <c r="K5374">
        <f>HYPERLINK("https://yourei.jp/中学校", "查看例句")</f>
        <v/>
      </c>
    </row>
    <row r="5375">
      <c r="A5375" t="inlineStr">
        <is>
          <t>中華料理</t>
        </is>
      </c>
      <c r="B5375" t="inlineStr">
        <is>
          <t>成功</t>
        </is>
      </c>
      <c r="C5375" t="inlineStr">
        <is>
          <t>読み方：ちゅうかりょうり
「中国料理」に同じ。また、卓袱(しっぽく)料理・普茶(ふちゃ)料理など、日本でアレンジされたものをいう。</t>
        </is>
      </c>
      <c r="D5375" t="inlineStr">
        <is>
          <t>中華料理店(40%)；中華料理レストラン；中華料理チェーン</t>
        </is>
      </c>
      <c r="F5375" t="inlineStr">
        <is>
          <t>高級中華料理；本格的な中華料理；老舗中華料理</t>
        </is>
      </c>
      <c r="G5375" t="inlineStr">
        <is>
          <t>中華料理店症候群；中華料理の切り方一覧</t>
        </is>
      </c>
      <c r="H5375" t="n">
        <v>29</v>
      </c>
      <c r="I5375" t="inlineStr">
        <is>
          <t>そして彼はようようの思いでその中華料理店から脱出してきたのである。；あんたたちだって中国語を話せなくても、中華料理の名前が言えるだろ?；たまたま陳が中華料理を作っている最中にテントの中に突入されたのだ。；アメリカ風中華料理店でよく見られる料理には以下の様なものがある。；中華料理とかいたが、さて、私はこれをどう説明してよいのかわからない。；中華料理店が政治的に利用されるようになった理由は保安維持のためであった。；他のさまざまな干し海鼠同様に中華料理などの材料に使用されている。；外国の中華料理ではしばしばひどい目に会っているので、私は少し警戒していた。；横浜の賑やかな中華料理店の片隅で弟を見つけた時のことを宙太郎は考える。；これに倣い中華料理の分野では日本語でも「ジャン」と読むことが多い。；ドイツのいくつかの地域やフランスで食用とされ、中華料理にも利用される。；点心は、世界中の中華料理店で供されている人気のあるブランチである。；そして彼らは仕事にあぶれた場合は中華料理店や洗濯屋で働く事が多かった。；このような現象は一般の中華料理レストランでも起こっている。；アメリカ合衆国ではもっとも多い中華料理レストランチェーンのひとつ。；日本の中華料理だって、もちろん大部分が日本風にアレンジされている。；終了後には菅谷さんを囲んで近隣の中華料理店で懇親会を行いました。；クリスマスシーズン中のユダヤ人と中華料理店の関係はよく知られている。；スタッフを募集していた中華料理店へ行くと、既に決まってしまったとのこと。；インドでの中華料理の人気は高く、特に大都市でよく普及している。；海の男が銀座八丁の中から一軒の中華料理店を見つけだすのは大仕事なのだ。；そして、自分が経営する中華料理店で食事をする昭久と自分の姿が浮かぶ。；中華料理に用いられる場合には、トマトケチャップが加えられる事もある。；すると大崎さんと一番軒の中華料理を食べた人間はあなたしかいないことになります。；近隣国の日本料理や中華料理と比べ、野菜をたっぷり使った料理が多い。；カナダ式中華料理は、カナダ国内各地に地域毎の様々な変化を伴って広まった。；中華料理全体にいえることだが、火にかけてからは一気呵成でなければならぬ。；豚は現代中国や台湾でもよく食べられ、中華料理で重要な食材となっている。；近年では、中華料理店だけでなくタイ料理店でも提供されるようになっている。</t>
        </is>
      </c>
      <c r="J5375">
        <f>HYPERLINK("https://www.weblio.jp/content/中華料理", "词义详情")</f>
        <v/>
      </c>
      <c r="K5375">
        <f>HYPERLINK("https://yourei.jp/中華料理", "查看例句")</f>
        <v/>
      </c>
    </row>
    <row r="5376">
      <c r="A5376" t="inlineStr">
        <is>
          <t>中間</t>
        </is>
      </c>
      <c r="B5376" t="inlineStr">
        <is>
          <t>成功</t>
        </is>
      </c>
      <c r="C5376" t="inlineStr">
        <is>
          <t>読み方：ちゅうかん
１物と物との間の空間や位置。「駅と駅の—に川がある」「—地点」
２思想や性質・程度などが両極端のどちらでもないこと。「双方の意見の—をとる」「—派」
３物事が進行中であること。物事がまだ終わらずに途中であること。「得票数の—発表」</t>
        </is>
      </c>
      <c r="D5376" t="inlineStr">
        <is>
          <t>中間部(5%)；中間的(5%)；中間地点(4%)；中間点(3%)；中間電動車</t>
        </is>
      </c>
      <c r="E5376" t="inlineStr">
        <is>
          <t>中；中心；中央；その間；センター</t>
        </is>
      </c>
      <c r="F5376" t="inlineStr">
        <is>
          <t>編成中間；中間線；中間体；中間程度；中間生成物</t>
        </is>
      </c>
      <c r="G5376" t="inlineStr">
        <is>
          <t>中間体；中間駅；中間子；中間層；中間宿主</t>
        </is>
      </c>
      <c r="H5376" t="n">
        <v>29</v>
      </c>
      <c r="I5376" t="inlineStr">
        <is>
          <t>これは、雑種がその両親の中間的な性質を示すことが多いことに基づく。；ほかに原作版と同様の機体や、上記との中間的な機体も登場している。；中間部には歌詞がつけられているが一般にはあまり知られていない。；中間部にある白い領域には、イスラム教を象徴する大きな三日月がある。；橋の両端に設置されるものを橋台、中間に設置されるものを橋脚と呼ぶ。；また、扉付近だけではなく座席の中間部にも枕木方向に吊手棒を設置した。；ともに酸化型および還元型をとり、一電子還元を受けた中間型を生じる。；しかし実際には三波長形は演色性の面では一般形と高演色形の中間である。；この場合は、ベンゾジアゼピン系などの中間作用型の薬が使用される。；レッドタイプとイエロータイプの中間種でピンクタイプなども存在する。；本種は形態上では刺撃型だが、食性的にはむしろ両方の中間程度に近い。；ホームと連絡するエレベーターは中間部に設置されている。；変化の中間部は直線的であり、この部分の傾きのことをガンマという。；冷暖房効果向上などを目的として全中間連結部に引戸が設けられている。；さらには、両者の性質を備えた中間筋の存在も認められている。；このほぼ中間地点に設置されたことから「池尻大橋」の名称とされた。；ただし日常的には重種、中間種などの表現が用いられることもある。；また必要に応じて中間のMM'ユニットを編成間で差換が頻繁に行われた。；また、双方のホームはホーム中間部にある通路で連絡している。；より安定な中間体を形成する生成物のほうが生成に有利である。；中間型はプロトンキノンサイクル機構でその意義があるとされている。；中間台車に設置される引張棒は、側面から見て傾斜した状態で装備される。；疎結合システムでは、一般に人間にも読める中間文書を使って通信を行う。；これらを本系列の中間に組み込むことにより必要車両数を確保した。；たとえばカイメンなどは、植物と動物の中間的な生物と考えられた。；TIFFは画像を編集する中間段階で用いることが下記のような理由で効果的である。；この2方式は明確に分類できるものではなく、中間的な方式がいくつか存在する。；建物は主に3フロアから構成され、中間階に絵画が展示されている。；県や州に相当する国と市の中間レベルの地方行政単位はない。</t>
        </is>
      </c>
      <c r="J5376">
        <f>HYPERLINK("https://www.weblio.jp/content/中間", "词义详情")</f>
        <v/>
      </c>
      <c r="K5376">
        <f>HYPERLINK("https://yourei.jp/中間", "查看例句")</f>
        <v/>
      </c>
    </row>
    <row r="5377">
      <c r="A5377" t="inlineStr">
        <is>
          <t>中継</t>
        </is>
      </c>
      <c r="B5377" t="inlineStr">
        <is>
          <t>成功</t>
        </is>
      </c>
      <c r="C5377" t="inlineStr">
        <is>
          <t>読み方：ちゅうけい
［名］(スル)
１中間でうけつぐこと。なかつぎ。「駅伝の第三—点」「—ケーブル」
２「中継放送」の略。「事故現場から—する」「二元—」</t>
        </is>
      </c>
      <c r="D5377" t="inlineStr">
        <is>
          <t>中継局(6%)；中継地(4%)；中継点(2%)；中継される(2%)；中継基地</t>
        </is>
      </c>
      <c r="F5377" t="inlineStr">
        <is>
          <t>試合中継；全国中継；戦中継；デーゲーム中継；中継リポーター</t>
        </is>
      </c>
      <c r="G5377" t="inlineStr">
        <is>
          <t>中継ぎ；中継所；中継地点；中継車；中継ぎ投手</t>
        </is>
      </c>
      <c r="H5377" t="n">
        <v>29</v>
      </c>
      <c r="I5377" t="inlineStr">
        <is>
          <t>全国中継がない場合でも通常番組を別日に移動させて放送する場合もある。；なお、オープニング映像は中継映像を背景とした独自のものを使用した。；相手国や中継する国に問題がある場合を除いて安定した通話が可能である。；なお、総合テレビとBS1で同じ試合を同時に全国中継することはない。；以来、川崎球場を本拠地としていた大洋の試合を積極的に中継してきた。；なお、この試合の中継がすべての競技を通じて最高の視聴率を獲得した。；通常のトラフィックは中継されるのに数時間待たされることが多かった。；この跨線橋新設のため、下り向きには中継信号機が新たに設置された。；曲線が長く続くなどの場合、複数の中継信号機を設置することもある。；サッカー解説は主にテレビ朝日、スカパーでの試合中継時に行っている。；前者は中継用基地局の設置者以外の端末から利用される場合もあった。；これ以降もサブチャンネル限定での完全中継が各地域で度々行われている。；現在は日本国内でのみ地上波放送・衛星放送ともに民放が中継している。；一部のスポーツ中継や音楽・舞台中継などでは生放送も行われている。；マイスタを基点とせず、日本各地の中継先から司会を行う場合もあった。；ただし、中継権や番組編成の都合で稀にTBS自社で中継する事もある。；中継基地では燃料と食事が支給され、運転手は休息することができた。；発表の瞬間は民間放送の情報ワイドショー番組などで中継することが多い。；前半と異なり番組そのものが会場となるプールからの中継となる。；しかし、この時の中継映像では戸田の足が先に出たように見えた。；中継本数についてはシーズン前にロッテ球団との協議の上で決めている。；同時開催されている他の競馬場のレースについても中継を行っていた。；それ以外の局が中継する場合は内野2階席に仮設の放送席を設けて対応する。；セ・リーグの同シリーズは、制度導入当初から一切中継していない。；会場にも4台のカメラを設置して試合を追いかけて中継を行った。；新幹線鉄道では、地上中継信号機と称し、主体の地上信号機を中継している。；基本的に日本野球機構内に属する球団の試合を中継していた。；朝日放送テレビのように中継を行う曜日や頻度が固定化されている局もある。；この中継はフジテレビでも2000年まで深夜に録画放送されていた。</t>
        </is>
      </c>
      <c r="J5377">
        <f>HYPERLINK("https://www.weblio.jp/content/中継", "词义详情")</f>
        <v/>
      </c>
      <c r="K5377">
        <f>HYPERLINK("https://yourei.jp/中継", "查看例句")</f>
        <v/>
      </c>
    </row>
    <row r="5378">
      <c r="A5378" t="inlineStr">
        <is>
          <t>中古</t>
        </is>
      </c>
      <c r="B5378" t="inlineStr">
        <is>
          <t>成功</t>
        </is>
      </c>
      <c r="C5378" t="inlineStr">
        <is>
          <t>読み方：ちゅうこ
１使って、やや古くなっていること。また、その品物。ちゅうぶる。セコハン。「—のカメラ」
２主として日本文学史の時代区分で、平安時代のこと。「—の物語文学」
３その時代からある程度隔たった昔。なかむかし。中世。
「上古、—、当世」〈連理秘抄〉
［アクセント］1はチューコ、2はチューコ。</t>
        </is>
      </c>
      <c r="D5378" t="inlineStr">
        <is>
          <t>中古市場(6%)；中古車両(5%)；中古機(4%)；中古購入；中古部品</t>
        </is>
      </c>
      <c r="E5378" t="inlineStr">
        <is>
          <t>お古；お下がり；セコハン；ユーズド；使い古し</t>
        </is>
      </c>
      <c r="F5378" t="inlineStr">
        <is>
          <t>中古価格；中古艦；中古電車；中古パーツ；中古以来</t>
        </is>
      </c>
      <c r="G5378" t="inlineStr">
        <is>
          <t>中古品；中古車販売；中古音；中古カメラ；中古文学</t>
        </is>
      </c>
      <c r="H5378" t="n">
        <v>29</v>
      </c>
      <c r="I5378" t="inlineStr">
        <is>
          <t>また近年では主にアジア諸国への中古農機の輸出が盛んに行われている。；これは中古機としても使用される数が少ないということを意味している。；ヤフオクや中古店などでは、該当号が高値で取引されていたこともある。；GPS値に基づいて地域認証を受けたユーザー同士で中古取引ができる。；自分の時間をこの時だけ、この子に全部与えるちゅうこと出けへんの?；それでだいたいきみのいうたこと、間違いはないちゅうことになっとる。；自動車用中古パーツは同社のオンラインショップでも購入が可能である。；私営バスの多くはドイツの街を走っていた中古バスを利用している。；自衛隊が中古機を選定して導入するのはこれが初めての事例であった。；このことは、中古機の再販売に有利であるとエアバスは説明している。；絶版になった漫画は中古で売買されているが、漫画家の利益にならない。；まったく、この大事なときに何ちゅうことをしてくれるんや、警察は。；そのため中古市場でも未開封状態で流通していることが珍しくない。；また、西鉄バス筑豊からの移籍車や中古購入など積極的に力を入れている。；なったつもりで毎日の生活を見直してみるちゅうことはできるわな。；株式会社SPNは滋賀県長浜市に本社を置く自動車中古部品の販売企業。；マクリントックは大学間や畑を移動する足として中古のを買っていた。；中古購入車も配置されているが、これにも長尺車が選択されている。；この頃、このあたりにたちの悪い豆狸が出るちゅうこと聞いてるのや。；開設時には陸軍省から払い下げられた中古のシボレー1台が使用された。；他支店からの移籍車や中古車両でも座席の増設などは行っていない。；JTAの-400同様に導入途中で生産終了したため中古機を導入した。；中古パソコンはたとえば次のような理由・動機で購入されている。；これは自分に疑いがかかってくるかもしれんちゅうことに気がついたからです。；そのため中古市場で稀に取引される場合、非常に高額となっている。；またスリーブ自体に価値が付き、中古市場で取引されるケースが増えている。；この時の機体は海外で運用されていた中古機であった。；プロはこれに備えるため中古ピアノを購入する時は木材水分計を使用する。；そのため中古店では帯の有無で買取価格、販売価格が異なる場合が多い。</t>
        </is>
      </c>
      <c r="J5378">
        <f>HYPERLINK("https://www.weblio.jp/content/中古", "词义详情")</f>
        <v/>
      </c>
      <c r="K5378">
        <f>HYPERLINK("https://yourei.jp/中古", "查看例句")</f>
        <v/>
      </c>
    </row>
    <row r="5379">
      <c r="A5379" t="inlineStr">
        <is>
          <t>忠告</t>
        </is>
      </c>
      <c r="B5379" t="inlineStr">
        <is>
          <t>成功</t>
        </is>
      </c>
      <c r="C5379" t="inlineStr">
        <is>
          <t>読み方：ちゅうこく
［名］(スル)まごころをこめて相手の欠点や過ちを、戒めさとすこと。「友人に—する」</t>
        </is>
      </c>
      <c r="D5379" t="inlineStr">
        <is>
          <t>忠告する(9%)；忠告しよ；忠告通り；忠告どおり；忠告めい</t>
        </is>
      </c>
      <c r="E5379" t="inlineStr">
        <is>
          <t>注意；警戒；警告；助言；勧告</t>
        </is>
      </c>
      <c r="F5379" t="inlineStr">
        <is>
          <t>御忠告；そんな忠告；親切な忠告；ひとつ忠告；忠告申し上げ</t>
        </is>
      </c>
      <c r="H5379" t="n">
        <v>29</v>
      </c>
      <c r="I5379" t="inlineStr">
        <is>
          <t>孫は自分が勝ったのは、ハーパーの忠告のおかげだと感謝の意を述べた。；わしのいうことも聞いていないで、わしに忠告しようっていうんだから。；つまり升さんの忠告を容れてこれを実行する勇気は私にはないのである。；忠告されるような悪いことをしていれば、仕方がないじゃありませんか?；ところがコヨーテは山の人々の忠告を無視し、大きな湖を見に出かけた。；その上で、何があっても決して中大兄に逆らわないようにと忠告された。；我々は我々が望むときに同じ忠告を得ることを期待する理由がある。；県の為めに、温泉の権利を決して他へ渡さないようにという忠告だった。；たしかにわたしは病人にはベッドを置いて走るように忠告するだろう。；自分は完全であると信じきっているものは決して忠告を受けいれない。；それでも変更せずにいると13週目にユニットからの忠告が発生する。；つまり私は今後お前に対する忠告の権利も義務もないものになったのである。；私はあんな乱暴なやり方はしないが、怒られたくらいで忠告はやめない。；彼女は息子に、イナンナの提案や贈り物を拒否するように忠告している。；まるで以前のように妹に何か忠告を与えてやれると、いわんばかりであった。；一先輩は、私のからだを憂慮して、酒をあまり用いぬように忠告した。；仲間には彼のためにそれを心配して、忠告をしようと試みるものさへもあつた。；映画監督は脚本を書けなくてはダメだと諸先輩方から忠告されていた。；彼らを恐れずに、アッシリアに信頼してはならないとアハズ王に忠告した。；それは、忠告を趣味にしているような人から忠告をうける場合である。；メンバーから「世界平和のために料理と運転はするな」と忠告されている。；「我々といたせいで、尾行がつく」と記者に忠告したことが記されている。；この忠告にしたがったアルゴナウタイは岩を通過することに成功した。；健康の方が病気よりも、より張り切って・より有益に・わたしに忠告する。；お前にも忠告して置きますがね、あの山へだけは行つちやいけないぜ。；君の親友の或者が君の身を愛んで忠告するのだとして聴いてくれ給へ。；又たとえ、忠告したところが、すなおにきいてもらえる筈がありません。；ハウはピアソンに選挙を起こすような行動を採らない方が良いと忠告した。；令孃も彼を愛して友人達の忠告にも耳をかさず、彼と結婚しました。</t>
        </is>
      </c>
      <c r="J5379">
        <f>HYPERLINK("https://www.weblio.jp/content/忠告", "词义详情")</f>
        <v/>
      </c>
      <c r="K5379">
        <f>HYPERLINK("https://yourei.jp/忠告", "查看例句")</f>
        <v/>
      </c>
    </row>
    <row r="5380">
      <c r="A5380" t="inlineStr">
        <is>
          <t>中国語</t>
        </is>
      </c>
      <c r="B5380" t="inlineStr">
        <is>
          <t>成功</t>
        </is>
      </c>
      <c r="C5380" t="inlineStr">
        <is>
          <t>読み方：ちゅうごくご
シナ‐チベット諸語に属する言語で、中華人民共和国の公用語。台湾および国外の華僑の間でも話される。方言は、北方・呉・湘(しょう)・贛(こう)・客家(はっか)・閩(びん)・粤(えつ)の七つに大別される。普通話（プートンホワ）とよばれる共通語は、北方方言を基礎とし、北京語の発音を標準音としている。形態的には孤立語的特徴をもつ。</t>
        </is>
      </c>
      <c r="D5380" t="inlineStr">
        <is>
          <t>中国語版；中国語教育；中国語訳；中国語字幕；中国語研修</t>
        </is>
      </c>
      <c r="F5380" t="inlineStr">
        <is>
          <t>中国語文法；中国語文化圏；中国語学会；中国語吹き替え</t>
        </is>
      </c>
      <c r="H5380" t="n">
        <v>29</v>
      </c>
      <c r="I5380" t="inlineStr">
        <is>
          <t>中国語と日本語では全く同じ漢字を使っても意味が全然違う単語がある。；特集当時、台湾で中国語訳が出版されていなかった作品も含まれている。；中国語に由来する語彙は、漢字語の中で最も中心的な位置を占めている。；中国各地にある地方劇の中で、現代中国語で演じられるのが特徴である。；家の中では中国語を話すように育ったため、中国語の話し言葉はできる。；韓国では日本語と中国語の名称が混用されたが、日本語の名称が定着した。；三品それぞれの名は、中国語では区別しないが、日本語では読みが異なる。；中国に渡る前から中国語を学んでおり、中国語の優れた能力を持っていた。；日本でも中国への関心が急速に高まり、中国語を学ぶ人数が増加した。；また、日本語と中国語の両方に対応する多言語フォントも登場している。；香港・台湾では前作と同様に、銘顕文化より中国語版が発売されている。；これらの語彙のいくらかは中国に逆輸入され中国語とも共通している。；国籍は台湾であったが、両親も日本育ちであり、中国語はできなかった。；ただし、ロシア語・オランダ語・中国語・日本語共に有効な条約である。；国字ではなく、中国からの渡来文字であり、中国語でも同じ意味を持つ。；同年パリにある国立現代東洋語学校へ向かい、日本語と中国語を学んだ。；国境を越えると中国語からロシア語へと変わるため地名も大幅に変わる。；現在は英語や日本語、 中国語などのオンライン版も発行されている。；多くは他の土地の者と話すときにはカム・チベット語や中国語を使用する。；作曲家と教育者と仕事に加えて、様々な西洋の音楽思想を中国語に翻訳した。；なお、なぜ日本語ではなくわざわざ中国語にしているのかは不明。；眼後部に黒い筋模様が入り、中国語名である黒眉錦蛇の由来になっている。；本ゲームは英語・日本語・中国語の三言語に対応している。；中国語には助字を添加してもしなくても文章が成立するという性質がある。；中国語・中国の制度史・儒教の歴史などの基礎的な分野の研究にも力を入れていた。；さらに宣教師たちが中国語で書いた書物から西洋の情報を集めた。；撥音は語の縮約あるいは中国語のような他の言語からの借用に由来する。；現代中国語および韓国語では、日本語の姫とほぼ同じ意味で用いられている。；中国語、あるいはいくつかの都市では英語や日本語で対応できる。</t>
        </is>
      </c>
      <c r="J5380">
        <f>HYPERLINK("https://www.weblio.jp/content/中国語", "词义详情")</f>
        <v/>
      </c>
      <c r="K5380">
        <f>HYPERLINK("https://yourei.jp/中国語", "查看例句")</f>
        <v/>
      </c>
    </row>
    <row r="5381">
      <c r="A5381" t="inlineStr">
        <is>
          <t>中止</t>
        </is>
      </c>
      <c r="B5381" t="inlineStr">
        <is>
          <t>成功</t>
        </is>
      </c>
      <c r="C5381" t="inlineStr">
        <is>
          <t>読み方：ちゅうし
［名］(スル)中途でやめること。また、計画を取りやめにすること。「雨で試合が—になる」「取引を—する」「発売—」</t>
        </is>
      </c>
      <c r="D5381" t="inlineStr">
        <is>
          <t>中止させる；中止しよ；中止させよ；中止せよ；中止要請</t>
        </is>
      </c>
      <c r="E5381" t="inlineStr">
        <is>
          <t>間；置く；止め；停止；ブロック</t>
        </is>
      </c>
      <c r="F5381" t="inlineStr">
        <is>
          <t>計画中止；生産中止；製造中止；一時中止；使用中止</t>
        </is>
      </c>
      <c r="G5381" t="inlineStr">
        <is>
          <t>中止したダム事業；中止未遂；中止犯</t>
        </is>
      </c>
      <c r="H5381" t="n">
        <v>29</v>
      </c>
      <c r="I5381" t="inlineStr">
        <is>
          <t>その後何度か計画の中断が予定されたが結局中止となることはなかった。；だが室井が仕事の都合で帰国することになり、この企画は中止となった。；元は大越の遠征に失敗したことで日本への三度目の攻撃が中止された。；この際に用地を取得したが計画中止となってそのままとなっていた。；基本的には同大会の開催日に運行されるため中止時は運行されない。；稀に一度は中止にされた作品が時を経て再起動するケースもある。；また、同時期、の開発も平行して進められたがこちらも同様に中止された。；しかし将校の一人が生徒を利用することに反対したため、襲撃計画は中止された。；また、生徒の修学旅行先の不祥事から修学旅行を中止とした学校もある。；中国から松竹との合作で製作企画が出るが、再び製作は中止となった。；日本国内での事業にも影響を与え、7月開催予定だった3大会を中止。；この当時のツアーは1930年頃に、トーキーの登場のために中止された。；また、試合開始前に試合が中止となった場合は応募自体も中止となる。；この工事は基礎まで完成したが、戦争の影響でその後の建設工事が中止された。；彼はアラブの間に厭戦機運が蔓延していることから征服戦争を中止した。；自殺を隠蔽して死体を絞首台にかける案も検討されたが、それは中止された。；なお、結局このゲームは制作中止となり、世に出ることはなかった。；また2019年は中止となり回数に数えないが当初予定を参考までに記載。；自分たちの頭上に砲弾が落ちてくる可能性がでてきたため、実験は中止となった。；ヨーロッパ諸国では行われている国もあるが、フランスなど中止した国もある。；このため同時期に予定されていた訪米は翌年に延期、訪韓は中止になった。；大会の全面的な中止は1992年のスタート以来初めての事である。；これは抗うつ薬に反応しない場合、中止すべきことを示唆していると解釈された。；しかし、世界中のイスラム教徒から抗議が殺到して中止に追い込まれた。；開発は中止となり、制式採用されることなく計9機の生産に留まっている。；そのため走行中にゲームオーバーで強制的に運行中止となることはなくなった。；ビッグホーンとブルーバードは海中投棄する予定であったが中止された。；一時期Linux版の開発も試験的に行われていたが、中止された。；しかし日本ではあまり普及せず、1941年に戦争の影響もあり製造は中止された。</t>
        </is>
      </c>
      <c r="J5381">
        <f>HYPERLINK("https://www.weblio.jp/content/中止", "词义详情")</f>
        <v/>
      </c>
      <c r="K5381">
        <f>HYPERLINK("https://yourei.jp/中止", "查看例句")</f>
        <v/>
      </c>
    </row>
    <row r="5382">
      <c r="A5382" t="inlineStr">
        <is>
          <t>忠実</t>
        </is>
      </c>
      <c r="B5382" t="inlineStr">
        <is>
          <t>成功</t>
        </is>
      </c>
      <c r="C5382" t="inlineStr">
        <is>
          <t>読み方：ちゅうじつ
［名・形動］
１まごころをこめてよくつとめること。また、そのさま。「職務に—な人」「—な臣下」「—に任務を遂行する」
２内容をごまかしたり省略したりせずそのままに示すこと。また、そのさま。「原文に—な翻訳」「史実に—に再現する」
[派生]ちゅうじつさ［名］</t>
        </is>
      </c>
      <c r="D5382" t="inlineStr">
        <is>
          <t>忠実な部下；忠実な犬；忠実な支持者；忠実度；忠実な家臣</t>
        </is>
      </c>
      <c r="E5382" t="inlineStr">
        <is>
          <t>熱心；実体；固い；誠実；忠誠</t>
        </is>
      </c>
      <c r="F5382" t="inlineStr">
        <is>
          <t>忠実な模範属国；忠実な番犬；忠実なガーギ；忠実な日本語表記；忠実な代弁</t>
        </is>
      </c>
      <c r="G5382" t="inlineStr">
        <is>
          <t>忠実義務；忠実平坦；忠実表現；忠実屋・いなげや事件；忠実な表現</t>
        </is>
      </c>
      <c r="H5382" t="n">
        <v>29</v>
      </c>
      <c r="I5382" t="inlineStr">
        <is>
          <t>私は彼に好意を持つことはできないが、忠実に協力すると約束しました。；彼らは常にお互いに忠実であったが、定まったような役割に陥っていた。；そのうちでも、最もローマ法に忠実なのはドイツであるといわれている。；これでもう私は最後まで忠実だったと彼に伝えることはできなくなったのだ。；作った主人の命令だけを忠実に実行する召し使いかロボットのような存在。；当時まで伝わっていた伝承を忠実に伝え、特に合戦の描写に筆力がある。；従って、劇場版では当初の構想を忠実に反映させた話の流れとなっている。；その翻訳は、成功を生み出す忠実さや正確さを備えていたからである。；設定は変更されているものの、展開は細部まで忠実に再現されている。；国家に忠実な軍人達は、国連地上軍に接近し地域の安定を図ろうとした。；宗派の違いはあってもイングランド人の多くは君主制には忠実であった。；かれが誰より寵愛していたのは、勇猛で父に忠実な長男ボロミアだった。；映画は原作にほぼ忠実で、赤川自身でさえ限りなく近いので驚いたという。；つまり、アヒンサーを忠実に守るためには死をも覚悟しなければならない。；ジャンヌは自らに唯一忠実であった都市モンスへの逃亡を余儀なくされた。；どうやら生涯を通じてローマ・カトリックの信仰に忠実であったようだ。；一部描写や設定に若干の変更がみられるが、基本的には原作に忠実な構成である。；そこでフェアノールとかれに忠実な者たちは全ての船を奪って船出した。；ストーリーはおおむね原作に忠実であるが、以下のような点が異なる。；彼はワインの神ディオニューソスの教師でありまた忠実な従者でもあった。；マルチーニ人はローマに敗北し、その後はその忠実な同盟者となった。；映画に登場する町、ラジエーター・スプリングスを忠実に再現している。；結末や高山の設定などごく一部分を除けばほぼ原作に忠実な映像化作品。；しかし、それでも教会はサラザールの最も忠実な支持層であり続けた。；MAPは日本各地から採られ、忠実に再現されているのが特徴である。；やや改変気味ではあるが、前半は原作に忠実にしようとしていた作品である。；これは審査で国家に忠実とみなされた者にのみ許される権利だった。；将軍の意向を受けて、生類憐れみの令を藩内で忠実に実行したと言われる。；原作の一部シーンがカットされているが、原作をほぼ忠実にアニメ化している。</t>
        </is>
      </c>
      <c r="J5382">
        <f>HYPERLINK("https://www.weblio.jp/content/忠実", "词义详情")</f>
        <v/>
      </c>
      <c r="K5382">
        <f>HYPERLINK("https://yourei.jp/忠実", "查看例句")</f>
        <v/>
      </c>
    </row>
    <row r="5383">
      <c r="A5383" t="inlineStr">
        <is>
          <t>注射</t>
        </is>
      </c>
      <c r="B5383" t="inlineStr">
        <is>
          <t>成功</t>
        </is>
      </c>
      <c r="C5383" t="inlineStr">
        <is>
          <t>読み方：ちゅうしゃ
［名］(スル)
１注射器を使って薬液などを体内に注入すること。注入する部位によって皮下注射・筋肉注射・静脈注射などという。「抗生物質を—する」「静脈—」
２水をそそぎかけること。転じて、じっと目をそそぐこと。
「坐上の眼(まなこ)は盡(ことごと)く川岸の身上に—せり」〈鉄腸・花間鶯〉</t>
        </is>
      </c>
      <c r="D5383" t="inlineStr">
        <is>
          <t>注射する(7%)；注射器(3%)；注射液；注射部位；注射用</t>
        </is>
      </c>
      <c r="E5383" t="inlineStr">
        <is>
          <t>注入；インジェクション；予防接種</t>
        </is>
      </c>
      <c r="F5383" t="inlineStr">
        <is>
          <t>ホルモン注射；薬物注射；モルヒネ注射；ビタミン注射；カンフル注射</t>
        </is>
      </c>
      <c r="G5383" t="inlineStr">
        <is>
          <t>注射針；注射剤；注射薬；注射筒；注射用水</t>
        </is>
      </c>
      <c r="H5383" t="n">
        <v>29</v>
      </c>
      <c r="I5383" t="inlineStr">
        <is>
          <t>三時少し過ぎになって近所の医者がやってきて注射をして帰っていった。；だが、MRI 検査などで十分に評価をした上で注射されるとしている。；その腕には彼女が自殺した時に使った注射の痕がそのまま残っていた。；これまでに報告されている副作用は注射に伴う痛みなどで少ないとされる。；母の意見や私の賛成で、笹田先生に毎日注射をしてもらうことになった。；翌日の再試合では、腰の痛みを訴えたことから、麻酔注射を打って登板。；また、糖尿病患者はインスリンを注射しているだけで死亡率が倍になる。；奈々子の腕といわず股といわず無数の注射の跡で肉が堅くなっているのだ。；実際又甲野は彼の為に催眠薬を与える外にもヘロインなどを注射していた。；しかし培養は失敗しておりラットに菌を注射してもうまく死ななかった。；彼はまずニワトリに入院患者の血液を注射して感染させることを試みた。；うむ、これや、注射の針を抜いたりさしたり続けさまにやられてるやうだ。；注射でやっと幾時間幾時間と命をお止め申していたんです。；これから下りていくのですが、その前に、私たちは特別の注射をいたします。；学者は反対の方にまわって、も一度、注射の針をぶすりとさしました。；母親の首に残っていた注射の跡は、母親自身が付けたものではあるはずがないと述べた。；同年に雲南省で注射が初採用され、各地に一定の広がりを見せている。；また実験中に誤って注射したり、飛沫が眼や鼻に入って感染した例もある。；同じ静脈に継続して注射しても、組織損傷や浮腫を起こすことがある。；中にはシアン化物を注射されたものもおり、毒の服用に抵抗したともされる。；彼の注射したのはカンフルではなくてモルヒネであったからである。；やがてドクトルが青年の方に来て、抜歯のためにノボカインを注射した。；注射されてから1日が過ぎたとき、会社で出された質問にジョンが即答した。；クライマックスとなるシーンでは彼がマグニートーにキュアを注射した。；あまり一般的ではないが、ステロイド注射または手術が行われる場合もある。；対象の動物に毒を注射して試験期間内にその半数が死ぬ量をあらわす。；冷淡だか、残酷だか知れないが、衰弱した神経には過敏な注射が必要だ。；そのような事でさえ彼の血管へ一滴の毒液を注射するくらいな効果があった。；一度呼吸がとまったのを、やっと連続的な注射で息を吹きかえしたのである。</t>
        </is>
      </c>
      <c r="J5383">
        <f>HYPERLINK("https://www.weblio.jp/content/注射", "词义详情")</f>
        <v/>
      </c>
      <c r="K5383">
        <f>HYPERLINK("https://yourei.jp/注射", "查看例句")</f>
        <v/>
      </c>
    </row>
    <row r="5384">
      <c r="A5384" t="inlineStr">
        <is>
          <t>駐車場</t>
        </is>
      </c>
      <c r="B5384" t="inlineStr">
        <is>
          <t>成功</t>
        </is>
      </c>
      <c r="C5384" t="inlineStr">
        <is>
          <t>読み方：ちゅうしゃじょう
自動車をとめておくための特定の場所。</t>
        </is>
      </c>
      <c r="D5384" t="inlineStr">
        <is>
          <t>駐車場内；駐車場棟；駐車場等；駐車場不足；駐車場付近</t>
        </is>
      </c>
      <c r="F5384" t="inlineStr">
        <is>
          <t>有料駐車場；無料駐車場；広い駐車場；用駐車場；臨時駐車場</t>
        </is>
      </c>
      <c r="G5384" t="inlineStr">
        <is>
          <t>駐車場整備地区；駐車場案内システム；駐車場綜合研究所</t>
        </is>
      </c>
      <c r="H5384" t="n">
        <v>29</v>
      </c>
      <c r="I5384" t="inlineStr">
        <is>
          <t>また経済的に自動車及び駐車場の保持が難しいという例もよく見られる。；公園内にある駐車場から滝までは急な坂道を約800m歩く必要がある。；駅舎周りは線路撤去後に駐車場の拡張など道の駅関連の再整備が行われた。；競馬場の馬場の内側にも来場者用の駐車場を設置している所も見られる。；それに対応するため、駅近傍にはかなり広めの駐車場が確保されている。；既存店が建物・駐車場の拡張のため同じ街道沿いの近隣地に移転することも多い。；公共駐車場の整備やアーケードの拡張など積極的な施策が行われている。；畑になったかと思いきや駐車場になったりと統一されていない。；ザフォド達がレストランの駐車場にいくと、真っ黒な船が止めてあった。；主に警備施設内に設置されている駐車場で警戒する業務である。；また、南口にはパークアンドライドに対応した駐車場も整備されている。；ホームの南側に、バスが折り返すための回転場と駐車場が設けられている。；約380台収容の駐車場や、約120台収容の駐輪場も設けられていた。；駐車場ではその容量に余裕があり車両を駐車できる状態のときを指す。；側線の北側に接して大きな広場があり、ここにトイレや駐車場などがある。；駅に隣接してパークアンドライド用の駐車場が60台ほど用意されている。；この線路の跡地は、姨捨変電所と駅利用者のための駐車場になっている。；公園には駐車場がないほか、公園周辺の道路も駐車禁止となっている。；駅北側には、2018年にパークアンドライド用の駐車場が整備された。；なお、宮崎新局のために確保されていた用地はのちに駐車場となっている。；車両の場合は、兵庫県道79号高砂加古川加西線から駐車場を利用する。；北側には北口用地が準備されているが、現在は公園と駐車場になっている。；駐車場はなく駅舎より美濃太田方向のホームの後ろ側に駐輪場がある。；周辺には臨時駐車場や国道357号南側に各ビルの駐車場が存在する。；この他、田島大牧線の南側に駐車場、南・北側に駐輪場を整備している。；土地の形状から線路跡が容易に判別でき、一部は道路や駐車場になっている。；地下駐車場から地上に上がるエレベーターも設置されている。；バス停脇には高速バス利用者用無料駐車場120台分が用意されている。；駐車場には当時を再現したホームや車掌車に腕木信号機等が展示されている。</t>
        </is>
      </c>
      <c r="J5384">
        <f>HYPERLINK("https://www.weblio.jp/content/駐車場", "词义详情")</f>
        <v/>
      </c>
      <c r="K5384">
        <f>HYPERLINK("https://yourei.jp/駐車場", "查看例句")</f>
        <v/>
      </c>
    </row>
    <row r="5385">
      <c r="A5385" t="inlineStr">
        <is>
          <t>中旬</t>
        </is>
      </c>
      <c r="B5385" t="inlineStr">
        <is>
          <t>成功</t>
        </is>
      </c>
      <c r="C5385" t="inlineStr">
        <is>
          <t>読み方：ちゅうじゅん
月の11日から20日までの10日間。中澣(ちゅうかん)。→上旬→下旬</t>
        </is>
      </c>
      <c r="D5385" t="inlineStr">
        <is>
          <t>中旬頃(4%)；中旬ごろ(3%)；中旬以降(2%)；中旬すぎ</t>
        </is>
      </c>
      <c r="F5385" t="inlineStr">
        <is>
          <t>毎月中旬；来月中旬</t>
        </is>
      </c>
      <c r="H5385" t="n">
        <v>29</v>
      </c>
      <c r="I5385" t="inlineStr">
        <is>
          <t>初めて口をきいたのは霜月中旬の、曇った風の強い午後のことであった。；二人が東京を離れたのは中旬を過ぎてからで、途中京都へ立ち寄った。；創設時から現在まで施行時期は8月の中旬のお盆の時期に開催されている。；八月の中旬の昼過ぎで、暑い日が続いていたが、いくらかの風はあった。；二月も中旬を過ぎたとはいえ、夜半の空気は身を切るように冷たかった。；ヒマラヤに行く連中が京都で集ることになったのは九月の中旬である。；そして、それから二三日過ぎて、四月の中旬に雪子は東京へ立って行った。；各アンカーが企画した内容を月1回、主にその月の中旬に放送する。；デビューから2000年代中旬頃までは、常時特別競輪に出走していた。；以前は10月の中旬頃であったが、最近は10月の第一日曜日が多い。；所謂今日の澎湖諸島の、漁翁島まで来た時には七月も中旬になっていた。；十二月の中旬以降は、自分の体が自分のものではなくなるのだ。；この年は十月に閏があるから、命令は閏十月の中旬頃についたと思われる。；当初は3月の中旬に行われていたが、現在は3月下旬に移動した。；その年の七月の中旬、私と娘は、軽井沢の私の両親の別荘にきていた。；収録は横浜にぎわい座で毎月中旬もしくは下旬の夕方に行われていた。；彼女は訓練を再開して1984年中旬に終了し、リンツ近郊の都市で仕事を得た。；細川氏の原稿は今月中旬までには必ず脱稿して送るとの確答を得ております。；二十三日に行つた處は四月の中旬に一度行つたことのある場處です。；夏の間の基地人口は200人強で、越冬隊以外は2月の中旬までに去っていく。；当公園は桜の名所でもあり、毎年4月上旬〜中旬には桜が見頃となる。；其の村の検査日は何でも六月の中旬であったと覚えて居る。；ということは、東京を発ったのは五月の中旬過ぎだったということになる。；「いちどいっしょに食事をしよう」 七月の中旬になったとき半三郎が云った。；その後も輸送任務を継続し、1945年中旬まで三度の航海を行った。；九月も中旬になるとホテルの滞在客もそう多くはない。；その日は、いかにも四月の中旬らしい、風のないあたたかい日だった。；七月の中旬、私は体験にもとづく覚書きと、朱線入りの地図とを提出した。；それから半年たった五月の中旬、郊外の建売住宅街で火災が発生した。</t>
        </is>
      </c>
      <c r="J5385">
        <f>HYPERLINK("https://www.weblio.jp/content/中旬", "词义详情")</f>
        <v/>
      </c>
      <c r="K5385">
        <f>HYPERLINK("https://yourei.jp/中旬", "查看例句")</f>
        <v/>
      </c>
    </row>
    <row r="5386">
      <c r="A5386" t="inlineStr">
        <is>
          <t>抽象</t>
        </is>
      </c>
      <c r="B5386" t="inlineStr">
        <is>
          <t>成功</t>
        </is>
      </c>
      <c r="C5386" t="inlineStr">
        <is>
          <t>読み方：ちゅうしょう
［名］(スル)事物または表象からある要素・側面・性質をぬきだして把握すること。⇔具象／具体。→捨象
「この統計からは単にそういうようなことを—して」〈梶井・のんきな患者〉</t>
        </is>
      </c>
      <c r="D5386" t="inlineStr">
        <is>
          <t>抽象化(25%)；抽象性(7%)；抽象度(3%)；抽象彫刻；抽象芸術</t>
        </is>
      </c>
      <c r="E5386" t="inlineStr">
        <is>
          <t>一般化；抽象化；概括；普遍化</t>
        </is>
      </c>
      <c r="F5386" t="inlineStr">
        <is>
          <t>抽象語；抽象美術；抽象作用；抽象作品；抽象絵画</t>
        </is>
      </c>
      <c r="G5386" t="inlineStr">
        <is>
          <t>抽象化；抽象代数；抽象画；抽象表現主義；抽象絵画</t>
        </is>
      </c>
      <c r="H5386" t="n">
        <v>29</v>
      </c>
      <c r="I5386" t="inlineStr">
        <is>
          <t>これにはいわゆる原因と称するものの概念の抽象選択の仕方が問題となる。；経済・社会は、捨象して抽象化することが可能な人間相互の関係である。；もちろんただの強がりだが、状況を抽象化して見る役には立ってくれる。；場所の移動から時間の移動の意味に抽象化した文法化の一種とされている。；初期には風景、樹木などを描いていたが、やがて完全な抽象へ移行する。；分析され抽象されたものが、再び具体的なものに還元されるのである。；しかし彼の天才性を真に示すのは写真における抽象表現の分野であった。；さらに、その大きな影響のもと、幾何学的な純粋抽象絵画へと到達した。；抽象化すると、たとえば以下のような結果や効果を期待しているとも言える。；戦後の作品は抽象性を強め、また絵画の大きさも小さくなる傾向にあった。；そこに心理学をもたないことが一般的になった今日の哲学の抽象性がある。；抽象モデルは意味的情報を表現し、具体的モデルは視覚的な図を表現する。；もっとも心理学者のやる事は心の作用を分解して抽象してしまう弊がある。；舞台中央に抽象化されたコクピットが設置されている他は、何も存在しない。；しかし、だれもが一生涯、抽象だけで呼吸し、飲食することはできない。；単に抽象論理の立場から行為的直観の現実を否定することはできない。；熊川の作品は物語のない抽象作品や古典全幕作品の改訂や完全新制作がある。；これは、時計に直面したときの時間の経過を抽象化したものである。；だからこそ社会は自然程任意に理想状態を抽象され得ないと考えられたのである。；ところが、ふつうは、階級たるものを実体化し抽象化してしまっている。；哲学では、何が抽象を抽象たらしめているかについて一致した見解はない。；数学は人間の日常生活の経験から抽象されて発達したものである。；妹は抽象主義の画家でニューヨークを中心に活躍したヘッダ・シュテルン。；そしてその記録は、奇妙な抽象性を獲得して思いがけず美しいものとなった。；抽象化した土偶の手足がなくなって土版になったと考えられている。；例えば、人間の抽象観念は、あらゆる大きさ・性質の人々を象徴している。；そこでもっと高い抽象度でハードウェア設計を行う言語を導入する動きもある。；以上は、事がらをできるだけ簡単に抽象して得られた理論上の結果である。；ある意味において、これは抽象性に向かおうとする一つの傾向であった。</t>
        </is>
      </c>
      <c r="J5386">
        <f>HYPERLINK("https://www.weblio.jp/content/抽象", "词义详情")</f>
        <v/>
      </c>
      <c r="K5386">
        <f>HYPERLINK("https://yourei.jp/抽象", "查看例句")</f>
        <v/>
      </c>
    </row>
    <row r="5387">
      <c r="A5387" t="inlineStr">
        <is>
          <t>中傷</t>
        </is>
      </c>
      <c r="B5387" t="inlineStr">
        <is>
          <t>成功</t>
        </is>
      </c>
      <c r="C5387" t="inlineStr">
        <is>
          <t>読み方：ちゅうしょう
［名］(スル)根拠のないことを言いふらして、他人の名誉を傷つけること。「ライバルを—して蹴(け)落とす」「—記事」</t>
        </is>
      </c>
      <c r="D5387" t="inlineStr">
        <is>
          <t>中傷する(14%)；中傷的(3%)；中傷記事；中傷合戦；中傷文書</t>
        </is>
      </c>
      <c r="E5387" t="inlineStr">
        <is>
          <t>皮肉；悪口；意地悪；風刺；悪態</t>
        </is>
      </c>
      <c r="F5387" t="inlineStr">
        <is>
          <t>ひどい中傷；非難中傷；悪質な中傷；離間中傷；激しい中傷</t>
        </is>
      </c>
      <c r="G5387" t="inlineStr">
        <is>
          <t>中傷被害</t>
        </is>
      </c>
      <c r="H5387" t="n">
        <v>29</v>
      </c>
      <c r="I5387" t="inlineStr">
        <is>
          <t>いつか僕の友人の一人がかの女を不正に中傷した言葉を思ひ出した位に。；個人的な中傷や悪口を言うこと自体に興味を覚えることがしばしばある。；一部の者は真実に気づいているようだが、単なる中傷扱いされている。；わたしは彼を助けて中傷を排し、敵どもを粉砕するために来たのである。；これは誰か悪い人があなたの前で僕を中傷したに相違ありません!；内務省では云うまでもなく、それは誤解か中傷にすぎぬと云っている。；マーガレットはこれらの中傷を大変気に病み、病気がちになっていった。；彼はそれがある同僚の中傷に原因しているのだと云って彼女の前では怒っていた。；誹謗も中傷も苦労も犯罪もない、道徳も倫理も関係のない世界に行こう。；では、そうした卑しい人間の中傷から己れを守る術はあるのだろうか。；お前が立ち聴きをしてゐたのだからそのとほり正直にいふのは中傷ではない。；ヘッケによる中傷行為はこの伝統を継続しているだけであるとされた。；明らかに中傷の目的で言ったには違いないが、冗談も良い加減にするがいい。；毎日のように私の非が告げ口されたが、中傷の声には力がなかった。；私たちがより低い種類の人間だという中傷はおそらく全て事実だったのだろう。；他の信書を見やうなんとそんなことを僕がする筈がない、屹度中傷でせう。；その間に、彼の反逆罪の中傷非難が皮を剥ぐかのように出てくるでしょう。；今の場合、彼女が真実を隠したことは、娘を中傷する結果になった。；未だに意味の分かっていないことや、誰かの中傷になってしまいそうなこと。；だいたい他人の服装を中傷する人の考え方にはあたしは賛成できない。；もはや小うるさい中傷や誹謗や冷罵に負けない晴々とした顔をしていた。；中傷する者があって何を言おうともほんとうと思ってはいけませんよ。；彼は嫉妬や憎しみを抱いた者に対してはどんな嘘や中傷も平気で用いる。；あんたはテレビを使って世間に向かい、あたしの息子とあたしのことを中傷した。；中込はその程度の中傷では磨かれこそすれ、かすり傷もつかないだろう。；彼は宮廷で彼女を貶め、中傷するためにどのような状況も利用した。；思いがけない中傷電話だが、それでも他人に聞かれたら困るのである。；罵声や中傷を覚悟してたんですが、本物の荒らしはそんなんじゃなかった。；君は僕に何か悪意をいだいてるものだから、嘘をついて人を中傷するんです。</t>
        </is>
      </c>
      <c r="J5387">
        <f>HYPERLINK("https://www.weblio.jp/content/中傷", "词义详情")</f>
        <v/>
      </c>
      <c r="K5387">
        <f>HYPERLINK("https://yourei.jp/中傷", "查看例句")</f>
        <v/>
      </c>
    </row>
    <row r="5388">
      <c r="A5388" t="inlineStr">
        <is>
          <t>抽象的</t>
        </is>
      </c>
      <c r="B5388" t="inlineStr">
        <is>
          <t>成功</t>
        </is>
      </c>
      <c r="C5388" t="inlineStr">
        <is>
          <t>読み方：ちゅうしょうてき
［形動］
１いくつかの事物に共通なものを抜き出して、それを一般化して考えるさま。「本質を—にとらえる」
２頭の中だけで考えていて、具体性に欠けるさま。「—で、わかりにくい文章」⇔具象的／具体的。</t>
        </is>
      </c>
      <c r="D5388" t="inlineStr">
        <is>
          <t>抽象的なもの(5%)；抽象的な概念(2%)；抽象的概念；抽象的な表現；抽象的な言葉</t>
        </is>
      </c>
      <c r="E5388" t="inlineStr">
        <is>
          <t>アブストラクト</t>
        </is>
      </c>
      <c r="F5388" t="inlineStr">
        <is>
          <t>抽象的な議論；抽象的人間；抽象的かつ；抽象的表現；抽象的対象</t>
        </is>
      </c>
      <c r="G5388" t="inlineStr">
        <is>
          <t>抽象的事実の錯誤；抽象的概念</t>
        </is>
      </c>
      <c r="H5388" t="n">
        <v>29</v>
      </c>
      <c r="I5388" t="inlineStr">
        <is>
          <t>そのため抽象的権利を定めたものとみる方が適切であるとする見解がある。；抽象的なイメージよりも具体的な何かがあった方が理解しやすいためである。；以上の説明は非常に抽象的であるため、以下ではいくつかの例を見る。；しかしこの点において建築は独立な抽象的な模様よりはやや寛大である。；所謂思想は、それが単なる思想である限り単なる抽象的概念に過ぎない。；理論家はこのような進化のモデルの抽象的な特性に興味を持っている。；けれども、活動力の無い点から見て、当然抽象的の体言とすべきである。；これは言葉では表現しにくい感情を抽象的に表現したものである。；董其昌自身の絵画は、抽象的・構成主義的であることが指摘されている。；一方でエドワード・ゴードン・クレイグなどは抽象的な上演を主張した。；モデルはテスト対象のシステムの実現すべき動作を表現した抽象的なものである。；それ以外のことは抽象的であり、現実の政治では意味がないという。；以上「具体的に」と思ひながらかなり抽象的な話になつてしまひました。；この問題を私がこのように抽象的に申し出ると異存のある人はないようだ。；絵画表現は抽象的な雰囲気もあるが、実は巧妙な写実表現を感じさせる。；すなわち、抽象的な模様と違って全体のうちに具体的意味をもつからである。；より抽象的な言葉では、これは群準同型 が単射であることを意味する。；キャラクターや描写は抽象的になり、解剖学上の正確さは失われていった。；そのようなモデルは抽象的に残され、そのモデルの用途に依存する。；一方で、このような抽象的なモデルは扱うことが難しいという側面もある。；従って、この見解によっても意思の内容は相当抽象的にならざるを得ない。；抽象的なフレドホルム作用素の概念はこの関連性からくるものである。；具体的の場合もあれば、抽象的の場合もあり、あるいは象徴的の場合もある。；対して、元の抽象的な定式化は現在では乗法シュヴァルツ法と呼ばれる。；一層抽象的な方法が要求され、同一の構造を持つ証明が遂行された。；幼年期より抽象的な彫刻作品に興味を持ち、その作品を制作し続けていた。；彼は抽象的な精神的過程が生じるのに多くの時間が必要であることを最初に発見した。；駒の形は偶像崇拝を禁じているイスラームの教えのために抽象的である。；これは完全に抽象的で非構成的であるが、それなりに強力でもある。</t>
        </is>
      </c>
      <c r="J5388">
        <f>HYPERLINK("https://www.weblio.jp/content/抽象的", "词义详情")</f>
        <v/>
      </c>
      <c r="K5388">
        <f>HYPERLINK("https://yourei.jp/抽象的", "查看例句")</f>
        <v/>
      </c>
    </row>
    <row r="5389">
      <c r="A5389" t="inlineStr">
        <is>
          <t>昼食</t>
        </is>
      </c>
      <c r="B5389" t="inlineStr">
        <is>
          <t>成功</t>
        </is>
      </c>
      <c r="C5389" t="inlineStr">
        <is>
          <t>読み方：ちゅうじき
「ちゅうしょく（昼食）」に同じ。「—をとる」</t>
        </is>
      </c>
      <c r="D5389" t="inlineStr">
        <is>
          <t>昼食後(5%)；昼食時(3%)；昼食会(3%)；昼食を共に；昼食をともに</t>
        </is>
      </c>
      <c r="F5389" t="inlineStr">
        <is>
          <t>軽い昼食；簡単な昼食；おそい昼食；一緒に昼食；昼食をしたため</t>
        </is>
      </c>
      <c r="H5389" t="n">
        <v>29</v>
      </c>
      <c r="I5389" t="inlineStr">
        <is>
          <t>わたしの持っている十一スーでは昼食と晩食を食べるには足りなかった。；駅から少し離れたところにある商店街の食堂で、ふたりは昼食を食べた。；会場に戻って昼食した後簡単なレクチャーを受けて各班で執筆を行った。；二軒しかない上手の方の家に寄り込んで米を出して昼食を炊いて貰った。；一行は街の食堂で昼食を取ることになるが、もうその日はバスがないという。；世界各地に同様の習慣、つまり昼食と夕食の間に間食をとる習慣がある。；食事は宿泊棟にある食堂で行うが、毎週土の昼食はカレーになっている。；また、しばしば宗教的な儀式、祭りや昼食会などでも食べられている。；またカーターは が主催する伝統的な就任昼食会の中止を要請した。；会場に戻って昼食後、ウィキペディア執筆の説明を受けた後に執筆を開始。；時間は大分過ぎて居るので、軽い昼食を摂る為めに食卓へ進んで行った。；以前、揚げマーズバーは小学生の間で人気の昼食になったことがあった。；世界にも実際に学校での昼食費を無償化している国や地域がある。；夫が外で食事する場合、妻は自由に外出して外で昼食を取っていた。；遠隔授業でも給食を提供する高校や、昼食代を支給する自治体もあった。；この日の行事はどれも無料であり、営業もなく、昼食は無料で提供される。；どんどん銀川の水面を流れ下り、遂についた所で昼食を取ることにした。；中にはすでに食堂で昼食を食べ始め、それを中断して来た者もあった。；年代記作家は、彼女はその日の昼食の間じゅう泣き叫んだと述べている。；この五年間は朝早くから夜遅くまで昼食も殆ど取らずに奴隷のように働いた。；ジュリアン・ベシアとは友人関係となり、週に一度は昼食を共にする。；昼食をすまして級の者と交替してから彼は教室や校舎の中にいる気がしなかった。；彼らはその日の午後、父親の家で一緒に昼食を食べていました。；名称は「ランチ」だが、昼食に限らず1日中注文することが可能である。；葉子は朝食がおそかったからといって、妹たちだけが昼食の膳についた。；昼食のうどんを食べようとすると、清は働かず食べるのかと激しく口激。；父に連れられて「松田」で昼食を食ったのもそのころであったように思う。；そして昼食をすませて一休みしているうちに、もう夜になるのである。；この洋食はいつも昼食の時にでるのであるが、その時に飯も白い飯である。</t>
        </is>
      </c>
      <c r="J5389">
        <f>HYPERLINK("https://www.weblio.jp/content/昼食", "词义详情")</f>
        <v/>
      </c>
      <c r="K5389">
        <f>HYPERLINK("https://yourei.jp/昼食", "查看例句")</f>
        <v/>
      </c>
    </row>
    <row r="5390">
      <c r="A5390" t="inlineStr">
        <is>
          <t>中心</t>
        </is>
      </c>
      <c r="B5390" t="inlineStr">
        <is>
          <t>成功</t>
        </is>
      </c>
      <c r="C5390" t="inlineStr">
        <is>
          <t>読み方：なかご
１物の中央部。中心。また、しん。
「—のできた飯を噛んで食べた」〈嘉村・途上〉
２ウリ類の中心の種子を含んだ柔かな部分。
３（「茎」とも書く）刀剣類の、柄(つか)に入っている部分。
４入れ子づくりのもので、中に入るもの。「重箱の—」
５中空の鋳物を作る際に、中空となる部分に入れる鋳型。外形の鋳型は主型(おもがた)という。
６鏃(やじり)の根もと。篦(の)の中に入る部分。
７三味線・胡弓(こきゅう)の棹(さお)の下端で、胴の中に隠れている部分。中木(なかぎ)。
８《堂の中央に安置することから》斎宮の忌み詞で、仏。
「釈迦の—金銅(かね)の像」〈北野本欽明紀〉</t>
        </is>
      </c>
      <c r="D5390" t="inlineStr">
        <is>
          <t>中心地(5%)；中心的；中心部；中心駅；中心線</t>
        </is>
      </c>
      <c r="E5390" t="inlineStr">
        <is>
          <t>中；的；心；中央；基本</t>
        </is>
      </c>
      <c r="F5390" t="inlineStr">
        <is>
          <t>中心付近；中心市街；中心集落；商業中心；中心駅徳島駅</t>
        </is>
      </c>
      <c r="G5390" t="inlineStr">
        <is>
          <t>中心街；中心的；中心人物；中心都市；中心市街地</t>
        </is>
      </c>
      <c r="H5390" t="n">
        <v>29</v>
      </c>
      <c r="I5390" t="inlineStr">
        <is>
          <t>ここではあまり他の言語では見られない 特有の機能を中心に解説する。；この子供向け漫画を中心とした第 2期の活動は1966年まで続いた。；またこの年の初夏、初めてフランスを中心とするヨーロッパに旅行した。；以降、多くの出版社で青年向けの漫画雑誌を中心に執筆活動をしている。；この中心核の構造は地球と似ているが、より濃密な状態になっている。；これが、奈良を中心とする寺院の間に、出版事業を興させるようになる。；半影だけが地球にかかって、地上のどこからも中心食が見られないこともある。；文明初期の中心となったのは民族系統が不明のシュメール人である。；コワルスキの活動と の存在によって、英国は 研究の中心地となった。；首都は、国政の中心として交通の便が良い場所が選定されることが多い。；インクジェット方式は1980年代に電機系の会社を中心に開発された。；江戸時代には家元四家を中心としたプロ組織もでき、興隆の時期を迎えた。；代わりにこれらがゲームをする人の中心的な指示者である。；街の中心にカールトン・ヒルと呼ばれる小高い丘があり街を一望できる。；明治には海外と交渉のある階層を中心に西洋料理が食べられるようになった。；衣料、雑貨を営業し、近代に入って呉服類を中心に営業を継続拡張した。；工場などが目標のため、使用弾種も焼夷弾ではなく通常爆弾が中心だった。；前述の生命の樹を中心にした象徴照応教義はこの時に最大活用された。；このアルバムから外間隆史が中心となってプロデュースを行うようになる。；こうしたことから、あまり運行頻度が高くない路線を中心に用いられている。；このマシンは主にそのハードウェアを中心に各種雑誌で広くレビューされた。；当初は後にガロア理論と呼ばれるようになった分野と構成可能性問題が中心だった。；右図はロシアを中心とした地域にケッペンの気候区分を適用したものである。；形式の古いラーガほど感情は抑制され、神への献身や祈りが中心となる。；以降も『コロコロコミック』の系列誌を中心として作品を発表している。；色の濃い地域が九州中四国地方に、色の薄い地域が東日本を中心に広がる。；他分野中心の芸能プロダクションが声優部門に力を入れるようになる例も見られる。；そのため、小中学生を中心に一定のシェアを獲得することに成功した。；交通の中心となっているのは、旅客・貨物ともに陸上の道路交通である。</t>
        </is>
      </c>
      <c r="J5390">
        <f>HYPERLINK("https://www.weblio.jp/content/中心", "词义详情")</f>
        <v/>
      </c>
      <c r="K5390">
        <f>HYPERLINK("https://yourei.jp/中心", "查看例句")</f>
        <v/>
      </c>
    </row>
    <row r="5391">
      <c r="A5391" t="inlineStr">
        <is>
          <t>中枢</t>
        </is>
      </c>
      <c r="B5391" t="inlineStr">
        <is>
          <t>成功</t>
        </is>
      </c>
      <c r="C5391" t="inlineStr">
        <is>
          <t>読み方：ちゅうすう
１中心となる大切なところ。重要な部分。「経済の—をなす」「—部」
２「中枢神経系」または「神経中枢」に同じ。「—に作用する薬」「感覚—」</t>
        </is>
      </c>
      <c r="D5391" t="inlineStr">
        <is>
          <t>中枢部(9%)；中枢性(3%)；中枢機能；中枢機関；中枢的</t>
        </is>
      </c>
      <c r="E5391" t="inlineStr">
        <is>
          <t>中心；中央；センター；柱；ポイント</t>
        </is>
      </c>
      <c r="F5391" t="inlineStr">
        <is>
          <t>神経中枢；幕府中枢；権力中枢；政府中枢；政治中枢</t>
        </is>
      </c>
      <c r="G5391" t="inlineStr">
        <is>
          <t>中枢院；中枢府；中枢中核都市；中枢国際港湾；中枢性摂食異常症</t>
        </is>
      </c>
      <c r="H5391" t="n">
        <v>29</v>
      </c>
      <c r="I5391" t="inlineStr">
        <is>
          <t>またオボテ政権時に抑圧されていたルワンダ人もその中枢を占めていた。；重要な都市とかつてのアッシリアとバビロニアの中枢となる領土を示す。；日本国内に存在する全郵便局の中枢であり、局長は現場の最高職である。；また国務院や党の重要機関が集中し中国行政の中枢を形成している。；中枢性尿崩症は妊娠や脳手術に伴う一過性のものを除いて通常永続する。；中国の政治の中枢であり、上海と並ぶ経済・学術・文化の中心地である。；すなわち中枢と末梢の構造的区切りは、神経の機能的境界とは一致しない。；指揮管制機として空中機動部隊の中枢機能を担うことが想定されている。；戦前は機関庫が設けられるなど、鉄道線の中枢駅として機能していた。；戸田市の中枢地区を形成し、駅開業前からの狭い路地なども存在する。；メインエンジンと中枢部以外の各武装は再生能力があり、破壊後一定時間で復活する。；以後社殿を中心にして、幕府の中枢となる施設を整備していった。；東京には軍事以外の全ての国家の中枢機関が置かれた。；ペストは国の行政や政治、経済、交易、文化の中枢へと劇的に成長した。；喫煙との関連性が大きいとされ、中枢側の気管支から生ずることが多い。；この中でもフェアリイ基地は全軍の中枢部であり、最も規模が大きい。；これが江戸幕府の中枢である江戸城内での、刃傷事件の初例となった。；第二に、非自然的意味のなかで中枢と見なされる「話者の意味」の定義。；そのため本土決戦を想定し、海岸から離れた場所への中枢機能移転計画を進めていた。；そのために大手マスコミの中枢に自らのメンバーを送り込んでいる。；テーベはまた、新たに設立された専門の役人達の中枢となった。；この呼称はブラックボールを制御する権限を持つ、世界中の中枢組織に共通する。；徳島県の県庁所在地及び最大の都市で中枢中核都市に指定されている。；しかし基底核は中枢に存在する構造なので、英語のほうが混乱を招きやすい。；メタトロンの中枢で動いているのは、彼のその絶対理想に共感する人々である。；シャハトはナチ党政権中枢に最後まで残っていたブルジョワ代表であった。；ZANACは単独で「システム」の中枢に侵入しこれを破壊することに成功。；障害の部位を決定するには中枢および末梢の神経解剖が重要となる。；中枢性疲労とは、脳が主体となって疲労を感じている状態である。</t>
        </is>
      </c>
      <c r="J5391">
        <f>HYPERLINK("https://www.weblio.jp/content/中枢", "词义详情")</f>
        <v/>
      </c>
      <c r="K5391">
        <f>HYPERLINK("https://yourei.jp/中枢", "查看例句")</f>
        <v/>
      </c>
    </row>
    <row r="5392">
      <c r="A5392" t="inlineStr">
        <is>
          <t>中世</t>
        </is>
      </c>
      <c r="B5392" t="inlineStr">
        <is>
          <t>成功</t>
        </is>
      </c>
      <c r="C5392" t="inlineStr">
        <is>
          <t>読み方：ちゅうせい
歴史の時代区分の一。古代と近世との間。主として封建社会の時代。
１日本史で、鎌倉時代・室町時代をさす。近世にあたる安土桃山時代・江戸時代を後期封建社会とよぶのに対して、前期封建社会とよぶことがある。
２西洋史で、ローマ帝国分裂の4世紀末から、15世紀の東ローマ帝国の滅亡および16世紀にかけてのルネサンスおよび宗教改革に至る時代をさす。</t>
        </is>
      </c>
      <c r="D5392" t="inlineStr">
        <is>
          <t>中世以降(3%)；中世以来(2%)；中世的；中世期；中世史</t>
        </is>
      </c>
      <c r="F5392" t="inlineStr">
        <is>
          <t>中世フランス；中世イタリア；中世城郭；西洋中世；西欧中世</t>
        </is>
      </c>
      <c r="G5392" t="inlineStr">
        <is>
          <t>中世後期；中世初期；中世末期；中世盛期；中世日本</t>
        </is>
      </c>
      <c r="H5392" t="n">
        <v>29</v>
      </c>
      <c r="I5392" t="inlineStr">
        <is>
          <t>最も知られているのは中世の装飾本の挿絵の彩色に使われたものである。；正体が特定されたものはほとんどないが、目撃例は中世以降多数存在する。；これは中世に行われていた極めて不合理な裁判を排除するものである。；これらは有名な中世の研究所に対する文化的背景を提供するものである。；キリスト教化された中世以降のヨーロッパでもその傾向は変わらずに残る。；ヨーロッパの中世における畜産の改良は他の発展と密接に関係していた。；ヨーロッパの中世では広く神の存在が信じられ、神を疑う人は稀であった。；ヨーロッパなどに多い、中世の古城や貴族の邸宅などを改造したホテル。；西洋中世に何度も大流行したペストの際にも、ペスト除けに利用された。；中世期に成立していた門流の多くと、思想的潮流の相当部分を包含する。；帝国がキリスト教を採用したことで、中世のキリスト教が形成された。；また、中世の錬金術師は、賢者の石を手にした唯一の人物と考えていた。；これは中世西欧社会が極めて非中央集権的な社会となる要因となった。；ただし、これは中世に算出されたもので古代ユダヤ史とは関わりがない。；中世以前の戦いを扱ったものの場合は、部隊規模はもっと小さくなる。；ただし、インドにおいては中世に至るまでクベーラの名称が用いられた。；その起源は、中世の騎士が各地から戦争を始める城へ集結した行動とされる。；中世の君侯に憧れ次第に精神を病んでいった王の夢の城とされている。；中世には悪魔でなく動物の姿で表しているものも見られる。；古代・中世の人口統計は残っている方がまれであり、その信頼性も低い。；この2つの言葉は、中世の人々以上に現在の研究家が一般的に使っている。；古代ローマ時代には楽団の編成が、中世には楽器の種類・数量が増した。；これらのテーマは古代や中世に作られた南アジアのコインにも描かれている。；こちらは北部とは異なり、中世では武蔵国江戸氏一族の知行地であった。；中世美学に関するエーコの研究が強調するのは理論と実践の区別である。；秀吉も中世的支配体系・支配勢力の排除・抑制に努め、中世をおわらせた。；ロンバード家は中世イギリスのロンドンにある銀行コミュニティであった。；アリストテレスの権威が絶対とされた中世は、この動物分類が支配的であった。；この時代から中世までは、パンの製法等には大きな変化はなかった。</t>
        </is>
      </c>
      <c r="J5392">
        <f>HYPERLINK("https://www.weblio.jp/content/中世", "词义详情")</f>
        <v/>
      </c>
      <c r="K5392">
        <f>HYPERLINK("https://yourei.jp/中世", "查看例句")</f>
        <v/>
      </c>
    </row>
    <row r="5393">
      <c r="A5393" t="inlineStr">
        <is>
          <t>中性</t>
        </is>
      </c>
      <c r="B5393" t="inlineStr">
        <is>
          <t>成功</t>
        </is>
      </c>
      <c r="C5393" t="inlineStr">
        <is>
          <t>読み方：ちゅうせい
１対立する二つの性質のどちらにも属さない中間の性質。
２男性とも女性ともつかない性的状態。また、そのような人。「—的な魅力の女優」
３物質が酸性でもアルカリ性でもない性質を示すこと。水溶液中では水素イオン指数pHが7あたりのときをいい、青色リトマスも赤色リトマスも変色しない。
４素粒子・原子などが、陰の電荷も陽の電荷も帯びていない状態であること。電気的中性。
５インド‐ヨーロッパ語などで、文法上の性の区分の一。男性にも女性にも属さないもの。</t>
        </is>
      </c>
      <c r="D5393" t="inlineStr">
        <is>
          <t>中性的(22%)；中性原子(3%)；中性分子(2%)；中性化(2%)；中性線</t>
        </is>
      </c>
      <c r="F5393" t="inlineStr">
        <is>
          <t>中性子弾頭；中性大気；中性条件下；中性アミノ酸；中性強化液</t>
        </is>
      </c>
      <c r="G5393" t="inlineStr">
        <is>
          <t>中性子星；中性子線；中性脂肪；中性子捕獲；中性水素</t>
        </is>
      </c>
      <c r="H5393" t="n">
        <v>29</v>
      </c>
      <c r="I5393" t="inlineStr">
        <is>
          <t>簡単に言えば、中性アルコールに色と香りをつけただけのものであった。；電気的に中性であるため、観測だけでなく中性子を制御するのも難しい。；彼女の顔は中性的で、少年のようであり少女のようでもあったという。；そうだとすれば、なにか性的欠陥のある中性的な女だったのでしょうか。；中性だったら例えば怪我をした場合、腕が一本取れても気がつきますまい。；太古より人が想像していた神は男も女も人をも超えた存在、中性だ。；気体の温度を上げて行くと構成する中性分子が電離してプラズマになる。；シルフは伝承では明確な性別を持たず中性的な容姿で描かれることが多い。；中性的な部分だけが活動していて、女性である部分はねむっている。；女性が、わざと中性的なペンネームをつけて仕事をしているのだと。；金色に近い薄い色の髪と白い肌が奇妙に中性的な印象を与える。；性表現が変わる時期には、雌しべも雄しべも無い中性期を伴うこともある。；ある原子は電気的に中性な状態ではその原子番号と同じだけの数の電子を含む。；本人は女になったつもりかもしれないが、実は中性なのである。；中性というのは男性的なところも、女性的なところもあるものです。；会話は中性的で、被害者の家族特有の同情を強いるような態度がない。；特に、ここには第二変化中性単数や、不規則変化名詞が含まれていない。；反中性子は電気的に中性のため、直接観測することは容易ではない。；そんな中突然ツヅケンの前に現れたのは中性的な青年ミチルだった。；性転換ではなく、中性手術であることを社会に知らしめるべきである。；事務所の自己PRでは中性的なキャラクターとその演技をアピールしている。；善人でもなければ悪人でもなく、道徳的には中性でなければならなかった。；女ではあるが、男の要素を多く見せて居る爛熟した味ひを持つた中性なのです。；これと電荷中性の条件から、キャリア濃度は以下のように与えられる。；中性アルコールに色と香りをつけてごまかしたものではないウィスキーを。；そのため、少年や中性的な人を演じてみたいと考えている。；弱々しい、男女どちらともつかない、幼い中性さを現した声が返事をする。；独特の三白眼を有する、無国籍風な表情と中性的な雰囲気をもつ人物を描く。；当初は中性的な役を演じていたが、悪役・公家役などにも起用されるようになった。</t>
        </is>
      </c>
      <c r="J5393">
        <f>HYPERLINK("https://www.weblio.jp/content/中性", "词义详情")</f>
        <v/>
      </c>
      <c r="K5393">
        <f>HYPERLINK("https://yourei.jp/中性", "查看例句")</f>
        <v/>
      </c>
    </row>
    <row r="5394">
      <c r="A5394" t="inlineStr">
        <is>
          <t>抽選</t>
        </is>
      </c>
      <c r="B5394" t="inlineStr">
        <is>
          <t>成功</t>
        </is>
      </c>
      <c r="C5394" t="inlineStr">
        <is>
          <t>読み方：ちゅうせん
［名］(スル)くじを引くこと。くじ引き。「—して順番を決める」</t>
        </is>
      </c>
      <c r="D5394" t="inlineStr">
        <is>
          <t>抽選シリアルナンバーカード；抽選券；抽選会；抽選機構；抽選制</t>
        </is>
      </c>
      <c r="F5394" t="inlineStr">
        <is>
          <t>イベント抽選；抽選シリアルナンバー；先行抽選；応募抽選；ボーナス抽選</t>
        </is>
      </c>
      <c r="G5394" t="inlineStr">
        <is>
          <t>抽選機；抽選器；抽選販売；抽選馬</t>
        </is>
      </c>
      <c r="H5394" t="n">
        <v>29</v>
      </c>
      <c r="I5394" t="inlineStr">
        <is>
          <t>モード移行しにくいが移行抽選に当選すると天国モードに移行しやすい。；抽選が終わって人々が帰り始めた頃、散歩していた件の男が通りかかる。；唯一指名した巨人が、くじ引き抽選なしに桑田を獲得した格好となった。；出願人数が一定数を超えた場合のみ入学考査前の抽選を行う学校もある。；ただし移行抽選に当選しやすく、移行先も地獄モードが選ばれやすい。；その後最初に決まった対戦カードからの正式な試合順を決める抽選を行う。；本作発売時には抽選でプロモーション用に製作されたビデオが配布された。；抽選で選ばれた者のみが出品できるが購入・入場は自由となっている。；その後に、決まったゾーンの中のどこに入るかを決める本抽選をする。；アンケートは抽選制となっており、すべての会員に送られるわけではない。；当たりの抽選球を手に入れた志願者が、抽選に懸けられた権利を受ける。；覇王モードの継続率はボーナス開始時と終了時に抽選して選択される。；抽選で当たると彼女が部屋に歌いに来てくれるというサービスまであった。；この年は分離ドラフトへの制度変更もあり3年ぶりに抽選が行われた。；なお、アメリカでは抽選方式ではなく、先着順にプレゼントされていた。；ただし、移行抽選に当選しても同じモードに振り分けられる可能性が高い。；同様に抽選行為を示す一般的な用語でもないが使われている。；会場が手狭な為、一般の観客は事前に葉書による抽選方式をとっている。；選定基準が同一の場合には抽選が行われ、抽選で当選した馬が出走できる。；モード毎に定められた確率でGG中を除いた毎ゲームで移行抽選が行われる。；その後、建物は抽選会場として使われたが、2007年頃に解体された。；このグループ分けは抽選ではなく事前に決められていたために批判の的となった。；その場で抽選を行うもの、後日抽選を行うものとの2パターン存在する。；また、早口言葉に挑戦する女性を上岡が抽選する際にはお約束があった。；通常時に左右にある合計6つの穴にメダルが入るとデジタル抽選が始まる。；従来のAT機の様な抽選に加え、プレミアム的な当選パターンも存在する。；その為周囲が終わった後に抽選が再開されることもある。；なお、いずれかのカードでビンゴが成立した時点で抽選は終了する。；抽選形式や画面効果はある程度自由に変更できるのが特徴。</t>
        </is>
      </c>
      <c r="J5394">
        <f>HYPERLINK("https://www.weblio.jp/content/抽選", "词义详情")</f>
        <v/>
      </c>
      <c r="K5394">
        <f>HYPERLINK("https://yourei.jp/抽選", "查看例句")</f>
        <v/>
      </c>
    </row>
    <row r="5395">
      <c r="A5395" t="inlineStr">
        <is>
          <t>中退</t>
        </is>
      </c>
      <c r="B5395" t="inlineStr">
        <is>
          <t>成功</t>
        </is>
      </c>
      <c r="C5395" t="inlineStr">
        <is>
          <t>読み方：ちゅうたい
［名］(スル)《「中途退学」の略》修業年限の中途で退学すること。「大学を—する」</t>
        </is>
      </c>
      <c r="D5395" t="inlineStr">
        <is>
          <t>中退後(11%)；中退し上京；中退し帰郷；中退率；中退予防</t>
        </is>
      </c>
      <c r="F5395" t="inlineStr">
        <is>
          <t>大学中退；科中退；大学院中退；文学部中退；経済学部中退</t>
        </is>
      </c>
      <c r="G5395" t="inlineStr">
        <is>
          <t>中退共</t>
        </is>
      </c>
      <c r="H5395" t="n">
        <v>29</v>
      </c>
      <c r="I5395" t="inlineStr">
        <is>
          <t>しかしすぐに中退し、しばらくアメリカで電気関係の仕事についていた。；アニメや特撮の活動が中心になったため、大学は卒業せず中退している。；労働者の家族に生まれたヌルミは12歳に学校を中退して家計を支えた。；下級生のタイトル獲得者が大学を中退して入門するケースも出ていない。；彼は3つの大学に籍を置いたものの、結局どの大学も中退に終わっている。；俳優になるために大学を中退し、ニュージーランドの舞台やテレビで活躍。；本格的に演劇をやりたいと思うようになり、2年生で大学を中退して上京。；高等学校は中退したが、スポーツもやっていて活発な女性であった。；絵画を捨てきれず翌年に大学を中退してフランスへ留学するも留学期間を短縮する。；この映画への出演を決めたと同時に、当時行く理由を見失っていた高校を中退。；中退したのは卒業直前の時期で、学校側から髪型を指摘されたことが原因である。；漫画家に専念するために道都大学を2年次に中退して埼玉県に移住した。；その後、母の通夜の晩に父に入門の意思を伝え、そのまま高校を中退した。；大学中退後は肉体労働に従事しながら、30歳のときに司法試験に合格。；大学に入学したものの1年で中退し、舞台にも立つようになった。；出場できても卒業せずに中退した者まで現れている。；被害少女の多くは高校2、3年生が主体で、結婚のために学校を中退する。；学園闘争や舞台活動に熱中した結果単位不足になり、東京大学を中退。；会社員になろうとしていたが、祖母に反対されて同大学を中退。；すでに3年遅れで25歳になっていたことも相俟って、慶應は中退した。；しかし15歳の時に高校を中退しボクシングに専念するようになった。；上京して家を出るために東京の大学に入学したが、授業に関わることなく即座に中退。；家運が衰えたのはこの頃で、異母兄と父との確執もあり、小学校を中退。；群馬県女子師範学校に進学するが病気のため中退を余儀なくされる。；マサチューセッツ大学で哲学を学んでいたが、中退して俳優を志した。；そしてステラ・アドラーなどの演技指導者たちに学ぶため、大学は中退した。；当時は執筆活動のため卒業論文に手がつかず、留年を繰り返していた後に中退。；雑誌の連載など執筆活動も始め、多忙のため日本大学を中退する。；中日ドラゴンズからの誘いがあり、2年次のに中京大学を中退して入団。</t>
        </is>
      </c>
      <c r="J5395">
        <f>HYPERLINK("https://www.weblio.jp/content/中退", "词义详情")</f>
        <v/>
      </c>
      <c r="K5395">
        <f>HYPERLINK("https://yourei.jp/中退", "查看例句")</f>
        <v/>
      </c>
    </row>
    <row r="5396">
      <c r="A5396" t="inlineStr">
        <is>
          <t>中断</t>
        </is>
      </c>
      <c r="B5396" t="inlineStr">
        <is>
          <t>成功</t>
        </is>
      </c>
      <c r="C5396" t="inlineStr">
        <is>
          <t>読み方：ちゅうだん
［名］(スル)
１一続きのものが中途でとぎれること。また、中途でやめること。「雨のため試合が—する」「番組を—して臨時ニュースを伝える」
２法律上、一定の事実の発生により、それまでの効力が失われること。「時効の—」</t>
        </is>
      </c>
      <c r="D5396" t="inlineStr">
        <is>
          <t>中断する(8%)；中断される(4%)；中断期間(2%)；中断させる；中断明け</t>
        </is>
      </c>
      <c r="E5396" t="inlineStr">
        <is>
          <t>間；止め；停止；中止；邪魔</t>
        </is>
      </c>
      <c r="F5396" t="inlineStr">
        <is>
          <t>赤旗中断；連載中断；工事中断；リーグ戦中断；リーグ中断</t>
        </is>
      </c>
      <c r="H5396" t="n">
        <v>29</v>
      </c>
      <c r="I5396" t="inlineStr">
        <is>
          <t>その後何度か計画の中断が予定されたが結局中止となることはなかった。；ブラッグの研究は第一次世界大戦と第二次世界大戦のときに中断された。；この日の審議がなぜ中断されたのか議会議事録には何も記録されていない。；しかし当初はルーズベルトは関心を示さず、そのまま委員会は中断した。；この曲が書かれたのは交響曲作曲の試みをいったん中断した後のことだった。；歴史は古く、戦前から運転を開始し、途中中断したものの戦後になり再開。；しかし、2011年に金銭的な理由でプロジェクトは中断してしまった。；中断セーブに加えて新たに戦闘速度を5段階で調整できる機能が追加された。；室町時代から中断されていたのを、明治になって再興したものである。；中部電力は戦争で工事が中断した平岡ダムを会社発足の年に完成させている。；その直後より新型コロナウイルス感染症流行の影響でツアーが中断に。；戦時中の中断をはさみながら1962年まで続くイベントへ成長させた。；道奉行の上水支配は1720年に一時中断されるが、すぐに再開された。；同漫画は後に何度か中断期間を挟みつつ1974年まで連載された。；より中断率が高いのは性的外傷を持つ患者に多いとする報告もある。；また、公式記録上の観客数は、中断前と再開後の観客数の合算となっている。；大嘗会には中断された時期があり、このときに標山は廃止されたようである。；並行して行われた千代田、暁のガ島甲標的基地設置は途中で中断された。；香港の資金を利用する計画を政府が承認して始動したが、現在は中断中とみられる。；後作では町・ダンジョン内の中断でも同じ場所から再開されるように修正された。；だがその後の戦時体制に伴って事業は次第に遅延・中断を余儀無くされた。；翌日再開され三日間撮影したが、黒澤の疲労が回復せず一週間撮影が中断。；しかし病気が原因で定着せず、太平洋戦争の勃発によって中断された。；このため姜維は北伐を一時中断し、代わりに漢中の守備に手をつけた。；その巨体ゆえに試作機が1機製造されたのみで開発は中断している。；例外が発生した場合に、現在の処理を中断して別の処理を行うことを例外処理という。；そこで編集長は途中で中断せずに済むような短い小説を載せることを考えた。；しかし、同じ3月には一度計画をするが中断した薩摩藩が動き出していた。；この交渉は、ポーランドに侵攻した赤軍が敗北したのを機に追放され、中断された。</t>
        </is>
      </c>
      <c r="J5396">
        <f>HYPERLINK("https://www.weblio.jp/content/中断", "词义详情")</f>
        <v/>
      </c>
      <c r="K5396">
        <f>HYPERLINK("https://yourei.jp/中断", "查看例句")</f>
        <v/>
      </c>
    </row>
    <row r="5397">
      <c r="A5397" t="inlineStr">
        <is>
          <t>中途</t>
        </is>
      </c>
      <c r="B5397" t="inlineStr">
        <is>
          <t>成功</t>
        </is>
      </c>
      <c r="C5397" t="inlineStr">
        <is>
          <t>読み方：ちゅうと
１出発地から目的地へ向かって進む道中のなかほど。途中。「—で引き返す」
２進行する物事のなかば。ある期間のなかごろ。途中。「経営を—で投げ出す」「—入社」「—採用」
３細長い物のまんなかあたり。途中。「枝が—から折れる」
→途中［用法］</t>
        </is>
      </c>
      <c r="D5397" t="inlineStr">
        <is>
          <t>中途退学(9%)；中途入社；中途半；中途退職；中途採用</t>
        </is>
      </c>
      <c r="F5397" t="inlineStr">
        <is>
          <t>中途段階；中途解除；中途採用試験</t>
        </is>
      </c>
      <c r="G5397" t="inlineStr">
        <is>
          <t>中途退学；中途採用；中途はんぱ；中途解約；中途失聴者</t>
        </is>
      </c>
      <c r="H5397" t="n">
        <v>29</v>
      </c>
      <c r="I5397" t="inlineStr">
        <is>
          <t>しかし崖の中途に岩が張り出ていて、その下を見ることはできなかった。；人間がこうと目的を立てた事を中途で止める位なら死んだほうが増しだ。；父は中途から彼の家庭へ入り込んで来た私を愛しては呉れませんでした。；黒の側の第一列には二つあった赤駒の一つが、まだゲームの中途でした。；彼は中途まで来たのを再び引き返して、もと来た大階段の頂辺に立った。；誰もそれに続くものがないから、中途で消えるかと思ふと、さうでない。；文学といっても僕には歌だ、子規先生も大学を中途にやめて文学をやった。；中途で筆を捨てるやうなことがあつたら、あとはお前が書き足してくれ。；その頃は曙町に住んでいましたので、請宿は白山坂の中途にありました。；けれども中途で命の綱が切れない限り何時か来るに相違なかった。；ぎんは小学校を中途でやめさせられて校長先生の家へ子守りにやられた。；中途求職のものにあっては前の会社をやめた理由が何より重大問題になる。；何かの話の中途で、この家の細君はいきなり僕に変な罵倒を投げつけた。；僕みたいに、帝大を中途でよした者には、この大学の建物は恐怖の的だ。；しばらく彼はそれを聴いてゐたが、彼は思はず中途であくびを洩らした。；併し中途から、彼はあるおぼろげな目的を抱いて斎藤に接近して行った。；坂の中途に建った家がよくそうである通り、家全体の地盤が坂より低い。；自分が暇を告げて出たらお秋さんは背負子を負うて坂の中途まで行つて居た。；中途退学してリーグに加入した選手については指名制限の対象となる。；修行の中途に得た見解はまだ道得ではないが、道得した時その中に生きている。；中途からの話で前半がよく分からぬけれども何か吉原を材料にして話をしている。；話の中途にHは用のあるようなかおをして西洋間に行ってしまった。；近年高齢者に増加しており、アメリカでは中途失明原因の第1位である。；山の中途でいかな時でも水が一杯に溜つて居るので一杯水といつてる所がある。；私が案内されて行った会堂風の建物は、丁度坂に成った町の中途にあった。；坂の中途へ来たら、前は正面にあった燄が今度は筋違に後の方に見え出した。；I君は私とは同じ時代に同じ学校にいて、中途でよして帰って来た人である。；それが、いまも見るように、滝人の頸を中途で停めてしまったのである。；休之助が戻って来るのを見て、崖の中途までおりていた三人が停ろうとした。</t>
        </is>
      </c>
      <c r="J5397">
        <f>HYPERLINK("https://www.weblio.jp/content/中途", "词义详情")</f>
        <v/>
      </c>
      <c r="K5397">
        <f>HYPERLINK("https://yourei.jp/中途", "查看例句")</f>
        <v/>
      </c>
    </row>
    <row r="5398">
      <c r="A5398" t="inlineStr">
        <is>
          <t>中毒</t>
        </is>
      </c>
      <c r="B5398" t="inlineStr">
        <is>
          <t>成功</t>
        </is>
      </c>
      <c r="C5398" t="inlineStr">
        <is>
          <t>読み方：ちゅうどく
［名］(スル)
１生体内に入った薬物・毒物や生体内の代謝産物によって病態や機能障害が生じること。経過から慢性と急性とに分けられる。どくあたり。「食い合わせで—する」「ガス—」
２置かれた状況になれて特に変わったことだとは感じなくなること。また、あるものへの依存が強く、ちょっとでも不足すると非常に強い飢餓感をもつこと。「活字—」「仕事—」</t>
        </is>
      </c>
      <c r="D5398" t="inlineStr">
        <is>
          <t>中毒者(7%)；中毒死(6%)；中毒性(6%)；中毒患者(4%)；中毒症</t>
        </is>
      </c>
      <c r="E5398" t="inlineStr">
        <is>
          <t>習慣；依存；毒殺；耽溺；依存性</t>
        </is>
      </c>
      <c r="F5398" t="inlineStr">
        <is>
          <t>ヘロイン中毒；モルヒネ中毒；ヒロポン中毒；アヘン中毒；コカイン中毒</t>
        </is>
      </c>
      <c r="G5398" t="inlineStr">
        <is>
          <t>中毒性表皮壊死融解症；中毒性表皮壊死症；中毒学；中毒性巨大結腸症；中毒性巨大結腸</t>
        </is>
      </c>
      <c r="H5398" t="n">
        <v>29</v>
      </c>
      <c r="I5398" t="inlineStr">
        <is>
          <t>食性から肉に毒が含まれることもあり、食べた人が中毒死した例もある。；また、これはいくつかの種類の急性感染症や中毒の治療にも使用される。；TCAは2000年初期に最も起きた一般的な中毒の原因の一つである。；二酸化炭素中毒を回避する唯一の方法は低体温状態にすることであった。；これは急性感染症のいくつかの型の治療や中毒の治療にも用いられている。；通常の物質であっても過剰かつ大量の摂取で中毒に至る可能性がある。；芸能人を起用した中毒性が高いTVCMや屋外看板などで広告宣伝する。；どんなにXCOMには中毒性とリプレイ性があるのかそれでわかるだろう。；バーで友人に心配されるコカイン中毒の田舎者のサーファーを演じた。；こういった中毒者の中には、複数の診療所で薬を申請するものもある。；家畜がワラビを大量に食べて中毒死したのがきっかけで発見された。；世界的に広く食用にされているが、生で食べると中毒するものもある。；しかしブレットのヘロイン中毒の悪化などによりバンド内の状況は悪化。；動物では、イボガイン自体と同様の抗中毒作用を持つことが示されている。；当然毒性からの中毒者も絶えなかったが、禁止されてもなお使用され続けた。；このことが、カリソプロドールの中毒性を説明していると考えられる。；迷い込んだ登山客が硫化水素により中毒死した事故も複数起こっている。；ナルトサワギクなどは、これを食べた家畜が中毒死したなどの報告がある。；戦後ヒロポン中毒に苦しみ、山本も何度か自殺未遂を繰り返していった。；実際に愛媛県の中学校でソテツ種子を食して生徒が中毒になる事故が起きた。；特に羊が中毒しやすく、一部の種はLambkillと呼ばれている。；チャロフの活動は、ヘロイン中毒のために非常に限られたものだった。；換気は防火上有効であるとともに、後述する中毒の防止にも有効である。；毒のある植物を食べて中毒死したものも少なくない。；普段は火を通していた毒キノコを散歩で見つけて食べ、中毒を起こしたことがある。；ほとんどの種がフランス料理に使われているが、生食すると中毒する。；ただし、中毒による長期的な影響を見極めるのはまだ時期が早いとしている。；しかし中毒を引き起こす可能性があるため青梅の生食は避けるようにする。；ただしシュウ酸を多く含むので、大量に食べると中毒の恐れがある。</t>
        </is>
      </c>
      <c r="J5398">
        <f>HYPERLINK("https://www.weblio.jp/content/中毒", "词义详情")</f>
        <v/>
      </c>
      <c r="K5398">
        <f>HYPERLINK("https://yourei.jp/中毒", "查看例句")</f>
        <v/>
      </c>
    </row>
    <row r="5399">
      <c r="A5399" t="inlineStr">
        <is>
          <t>中途半端</t>
        </is>
      </c>
      <c r="B5399" t="inlineStr">
        <is>
          <t>成功</t>
        </is>
      </c>
      <c r="C5399" t="inlineStr">
        <is>
          <t>読み方：ちゅうとはんぱ
［名・形動］始めた物事が完了しないでいること。態度などが徹底せず、どっちつかずの状態であること。また、そのさま。「何をやらせても—で終わる」「—な態度」</t>
        </is>
      </c>
      <c r="D5399" t="inlineStr">
        <is>
          <t>中途半端な時間(3%)；中途半端な状態；中途半端なところ；中途半端なまま；中途半端な形</t>
        </is>
      </c>
      <c r="E5399" t="inlineStr">
        <is>
          <t>不完全な；未完の；中途半端なまま；尻切れトンボ；出来そこないの</t>
        </is>
      </c>
      <c r="F5399" t="inlineStr">
        <is>
          <t>中途半端な態度；中途半端な年齢；中途半端な時刻；中途半端な印象；中途半端な秀才</t>
        </is>
      </c>
      <c r="H5399" t="n">
        <v>29</v>
      </c>
      <c r="I5399" t="inlineStr">
        <is>
          <t>なお、色副搬送波が上記のような中途半端な数になるのには理由がある。；中途半端なので遠くに行くこともできず、せいぜいが近くの散歩だった。；いずれにしても、その年齢にしては中途半端な階級のように思われる。；今の僕はこの二つの声の、とても中途半端なところにいるのかもしれない。；彼の肩に伸びた手が中途半端な位置で止まり、畳の上にぱたんと落ちた。；だが彼はこの中途半端な誓いと、一瞬、握った冷たい手だけで満足した。；その中途半端な時間、深雪は薄暗い部屋の中でベッドの脇に座っていた。；あれの感情にはどんなことだって、中途半端なものはないのですから。；十時過ぎのひかりは、時間が中途半端なことがあってかなり空いている。；中途半端な時期の転校生だと、クラスの女の子たちが囁いていたものだ。；雨のせいか時間が中途半端なせいか、入浴客は私一人しかいなかった。；実際には少しぐらいの不幸より、中途半端な幸福の方が余程質が悪いのだ。；成子坂下からだと、距離も位置も中途半端で、歩いて行くしかなかった。；「私は中途半端なことは性に合いません」と、無感動に言葉をつづけた。；だが、ここにあるこの中途半端な違和感を、どう考えたらいいのだろう。；しかしその中途半端な受け答えが、交渉の余地があることを示していた。；となれば、事態はいささかも変わらず、彼の気持も中途半端のままである。；おれもヴォルフラムも絶句して、中途半端に上げた指を止めてしまった。；母は立ったり坐ったり落ちつかず、他の者も食事が中途半端になった。；私の好奇心は中途半端になって、テーブルの上をうろつくばかりだった。；敵の部隊が中途半端に進撃してくるのは、自軍を誘い出そうとしている。；中途半端に考えをめぐらすくらいなら、何も考えない方がずっとマシだ。；私の下半身は何かしら中途半端な状況に置かれているのだ、と私は認識した。；これもまた、苛立たしく中途半端な問題であることが、すぐにわかった。；もちろん結論の出る話題ではないし、いつも中途半端な終り方をした。；予約ものを中途半端にしたりしてすこしけしからぬことになりました。；朝日自身も、あのときのスト権ストは中途半端に終わったと思っている。；ちょうど中途半端な時間で板前も自分の部屋へ入って一休みしていた。；また、試験前などの中途半端な緊張状態はむしろ尿意を上げることがある。</t>
        </is>
      </c>
      <c r="J5399">
        <f>HYPERLINK("https://www.weblio.jp/content/中途半端", "词义详情")</f>
        <v/>
      </c>
      <c r="K5399">
        <f>HYPERLINK("https://yourei.jp/中途半端", "查看例句")</f>
        <v/>
      </c>
    </row>
    <row r="5400">
      <c r="A5400" t="inlineStr">
        <is>
          <t>中年</t>
        </is>
      </c>
      <c r="B5400" t="inlineStr">
        <is>
          <t>成功</t>
        </is>
      </c>
      <c r="C5400" t="inlineStr">
        <is>
          <t>読み方：ちゅうどし
江戸時代、20歳ころから年季奉公に出ること。暖簾(のれん)分けなどを許されないことが多い。
「—三年の気詰まり」〈浮・新色五巻書・五〉</t>
        </is>
      </c>
      <c r="D5400" t="inlineStr">
        <is>
          <t>中年女性(6%)；中年男(3%)；中年者；中年以上；中年婦人</t>
        </is>
      </c>
      <c r="E5400" t="inlineStr">
        <is>
          <t>親父；オヤジ；オジサン；オッサン；中年男性</t>
        </is>
      </c>
      <c r="F5400" t="inlineStr">
        <is>
          <t>中年サラリーマン；いい中年；中年すぎ；中年以後；中年肥り</t>
        </is>
      </c>
      <c r="G5400" t="inlineStr">
        <is>
          <t>中年期；中年太り；中年代説；中年の危機；中年の星</t>
        </is>
      </c>
      <c r="H5400" t="n">
        <v>29</v>
      </c>
      <c r="I5400" t="inlineStr">
        <is>
          <t>明治の年代もいつか末近くなり、わたくしも早く中年に達した頃である。；ダルウィンは中年から音楽が全く分らなくなってしまったと言っている。；隣の卓子で中年の男が食べてゐる蒸し饅頭のやうなものを私も注文した。；中年を越えてその先にある期間へと入っていきつつある年齢だった。；図書館の貸出しコーナーには見たことのない中年の女性が座っていた。；女中も中年の小ぶとりの人が一人ふえて、これは主に子供の世話をした。；俊助は初めてその中年の紳士が清水昌一と云う男だったのに気がついた。；主に中年役や老人役、滑稽な役や屈強な男の役を演じることが多かった。；中年に差し掛かったときまでに、余裕のある生活を送るようになっていた。；雑誌の編集部までふたりで持っていき、中年の女性の担当編集者に渡した。；中年からの入門で噺はうまくなかったが、興行の腕はしっかりしていた。；ことに中年からは、この方面にかけると全く散文的になってしまっている。；このことで中年と青年にトリンギット語を教える動きが再活性化された。；しかしある日グェッリーノが家に帰ると、中年の女性と子どもが来ていた。；何故といふのに、中年の作家もまた燃え出して来ることがあるに相違ないから。；自宅のエレベーターに閉じ込められた中年女性が体験する恐怖を描いている。；主に中年以降に発症するケースが多いが、若年期に発症することもある。；中年の個人は子供のときに死んだ兄弟や姉妹について殆ど知らない。；その様子をピヴォイネの隣ぬ住む中年女性のロウバロヴァが見ていた。；いったいどうしたら中年の聖職者に恋するなんてことがあるのでしょうか?；さて、そのことがあってから、私はその中年の男と急に親しくなった。；漁師と若い警官のすがたは見えず、中年の私服が、ひとりだけ船にいた。；掲載されるモデルのタイプは、中年で太目を基本に幅広く網羅している。；中年から目が不自由になった人は、目が見える夢を良く見るという。；年齢は不詳で老人と呼ばれる作品もあるが、中年とも言われている。；あちらの台では、色の黒い中年の男が、ゲーム取りの女を相手に遊んでいた。；役柄としては主に青年役を担当しているが、時に中年・老人役も演じる。；英語の教授言語化は最近始まったため、中年以上の世代にはあまり通じない。；中年者らしい頑固さが、相手の身分も、事情も忘れさせるのでしょう。</t>
        </is>
      </c>
      <c r="J5400">
        <f>HYPERLINK("https://www.weblio.jp/content/中年", "词义详情")</f>
        <v/>
      </c>
      <c r="K5400">
        <f>HYPERLINK("https://yourei.jp/中年", "查看例句")</f>
        <v/>
      </c>
    </row>
    <row r="5401">
      <c r="A5401" t="inlineStr">
        <is>
          <t>中腹</t>
        </is>
      </c>
      <c r="B5401" t="inlineStr">
        <is>
          <t>成功</t>
        </is>
      </c>
      <c r="C5401" t="inlineStr">
        <is>
          <t>読み方：ちゅうふく
山の、頂上と麓とのまんなかあたり。山腹。</t>
        </is>
      </c>
      <c r="D5401" t="inlineStr">
        <is>
          <t>中腹あたり；中腹部；中腹以上；中腹以下；中腹に建てられ</t>
        </is>
      </c>
      <c r="F5401" t="inlineStr">
        <is>
          <t>北側中腹；西側中腹；南側中腹；其中腹；東側中腹</t>
        </is>
      </c>
      <c r="H5401" t="n">
        <v>29</v>
      </c>
      <c r="I5401" t="inlineStr">
        <is>
          <t>道路は崖下を避け、市境付近で峠となる中腹を上り下りするルートを取った。；其処は峰の処だけ陽の光があって中腹から麓にかけては陰になっていた。；とある山の中腹に羊飼いの姿を見かけると、二人はその男に訊いてみた。；当初は城に滞在していたが、新たに滞在用の居館を丘の中腹に建設している。；やがて征討軍は別隊を進め、薩軍の中腹を攻撃しようと熊本隊に迫った。；生駒山地北部の中腹に位置し、境内からは大阪平野を望むことができる。；また、トンネルがある山の中腹部分の御津側には運転免許試験場がある。；地形を利用して斜面の中腹に幅10-16メートルの空堀を備えていた。；ホームは海のすぐそばにあり、崖の中腹に張り付いた様な形状となっていた。；われわれの乗ったフオードは、山の中腹を、右に曲り左に折れて進んだ。；以前は中腹にも畑などがあり、薪を切り出すなどの利用がされていた。；かつて稲佐山で運行されていた中腹と山頂を結ぶゴンドラリフトである。；水流の周囲に複数の建物、北の丘の中腹に塔の跡などが見つかった。；北側中腹には能勢の本滝があり、江戸時代より滝に打たれる者が増えた。；また、北側の中腹ほどにある春日神社を通りぬけて頂上に行く道もある。；相変らず、登ったり下りたりして、いつまでも崖の中腹ばかり通ってゆく。；寺伝によれば、かつてここ嶽山の中腹にある池には悪龍が住んでいたという。；中腹より上部は、古生代二畳紀に形成された石灰岩が広く分布している。；中央の中腹斜面は西部公園となっており、桜の名所として知られている。；降雪が夜中に止むと朝方には山の中腹に霧が立ち込めていることが多い。；山の中腹には、中に泉があって水が流れている小洞があり、二人はそこへ来た。；今、山の中腹から神社脇に来ている口すすぎの水は三哲が引いて来た水である。；駅名の八丈岩は、駅の近くにある権現山の中腹にある大岩の名称である。；その斜面、向う高になっている謂わば丘の中腹に、小さな稲荷様があった。；また東側斜面中腹にも3基の古墳と見られる高まり地形があるという。；山の中腹の植生ははササが多いが、沢沿いにミズバショウが生えている。；小さな山々にかこまれた中腹であるが、大そう日当りのよい草地であった。；港を発し、およそ800m程で崖の中腹を通過する国道178号に達する。；やがて、一行が到着した巨大な岩体は、山の中腹から突き出ている。</t>
        </is>
      </c>
      <c r="J5401">
        <f>HYPERLINK("https://www.weblio.jp/content/中腹", "词义详情")</f>
        <v/>
      </c>
      <c r="K5401">
        <f>HYPERLINK("https://yourei.jp/中腹", "查看例句")</f>
        <v/>
      </c>
    </row>
    <row r="5402">
      <c r="A5402" t="inlineStr">
        <is>
          <t>注目</t>
        </is>
      </c>
      <c r="B5402" t="inlineStr">
        <is>
          <t>成功</t>
        </is>
      </c>
      <c r="C5402" t="inlineStr">
        <is>
          <t>読み方：ちゅうもく
［名］(スル)
１注意して見つめること。「目の前の舞台を—する」
２関心をもって見守ること。「—に値する意見」「—される作品」
３旧軍隊などで、姿勢を正し相手に目をそそいで敬意を表すこと。また、それを命じる語。</t>
        </is>
      </c>
      <c r="D5402" t="inlineStr">
        <is>
          <t>注目される(11%)；注目すべき点；注目選手；注目すべき変異；注目を集めよ</t>
        </is>
      </c>
      <c r="E5402" t="inlineStr">
        <is>
          <t>注意；興味；関心；念；マーク</t>
        </is>
      </c>
      <c r="F5402" t="inlineStr">
        <is>
          <t>大きく注目；国際的な注目；広く注目；近年注目；全国的な注目</t>
        </is>
      </c>
      <c r="G5402" t="inlineStr">
        <is>
          <t>注目株；注目選挙区</t>
        </is>
      </c>
      <c r="H5402" t="n">
        <v>29</v>
      </c>
      <c r="I5402" t="inlineStr">
        <is>
          <t>これは生物の性質のどのような側面に注目するかの違いでもある。；しかしその独創的論文に他の学者が注目することはほとんどなかった。；ジュブナイルでもその作風は変えておらず、初期から注目を集めていた。；日本で社会的に注目された副作用の事例には次のようなものがある。；議会の無関心の一方でロベスピエールはこの事件に注目して記事を執筆した。；この氷床はわずかながらも崩壊する可能性が指摘され、注目を集めている。；Jリーグの選手経験者として初となるクラブ経営者として注目を浴びた。；日本では他の古典小説同様に江戸時代に輸入されたがあまり注目されたとは言えない。；その影響を受けて、日本でも注目されて広く使われることとなる。；しかし2000年代頃からはむしろ作詞家が注目される機会が増えている。；本大会では、ドーピング問題に本格的に注目の集まった初の大会ともいえる。；この時点ではまだあまり注目されていなかったようである。；初期成長が早いことが注目され、人工林の樹種として利用されてきた。；その後の著書は、発刊するたびにレビューアーから注目されなくなった。；この1977年の地方選挙では、もう一つ注目すべき事態が発生していた。；これらの経済運営の実績を鄧小平に注目され、抜擢されることになる。；とりわけ、電気のエネルギーが熱エネルギーに変わることに注目した。；特に、彼らは奴隷に慈悲をかけることを推し進めたことで注目される。；特に、言語を使用しながらなにかの行為を行う言語行為に注目した。；このとき中国は大きな不正会計事件で世界の注目を浴びていた。；彼の論文は1842年に発表されたが全く注目されなかった。；宇宙空間におかれた動物がどのような行動を取るかは宇宙実験の初期から注目されていた。；ただし1990年代以降は、ランドの作品に注目する研究者が増えている。；スウェーデンでは『小さなトロールと大きな洪水』は注目されなかった。；区分論において近年とりわけ注目されたのは森博達による分析である。；手紙を読んだホームズは、それの署名までタイプされていることに注目した。；その後1970年代に再注目されるまで70年以上この事件は忘れられていた。；この作品の心理描写の超現実的な新しい手法と「魔界」が注目された。；これが全国の放送局の注目を浴び、他県でも同様の方法 がとられるようになった。</t>
        </is>
      </c>
      <c r="J5402">
        <f>HYPERLINK("https://www.weblio.jp/content/注目", "词义详情")</f>
        <v/>
      </c>
      <c r="K5402">
        <f>HYPERLINK("https://yourei.jp/注目", "查看例句")</f>
        <v/>
      </c>
    </row>
    <row r="5403">
      <c r="A5403" t="inlineStr">
        <is>
          <t>注文</t>
        </is>
      </c>
      <c r="B5403" t="inlineStr">
        <is>
          <t>成功</t>
        </is>
      </c>
      <c r="C5403" t="inlineStr">
        <is>
          <t>読み方：ちゅうもん
［名］(スル)
１種類・寸法・数量・価格などを示して、その物品の製造や配達・購入などを依頼すること。また、その依頼。「酒の—をとる」「新刊書を—する」
２人に依頼したり、自分が希望したりするときにつける条件。「原作者の—にこたえた演出」
３「注進状」に同じ。
４文書。かきつけ。
「各々聞き書きの—に子細(しさい)を載せられたり」〈盛衰記・二七〉</t>
        </is>
      </c>
      <c r="D5403" t="inlineStr">
        <is>
          <t>注文する(9%)；注文主；注文通り；注文どおり；注文すれ</t>
        </is>
      </c>
      <c r="E5403" t="inlineStr">
        <is>
          <t>目；命；要求；命令；期待</t>
        </is>
      </c>
      <c r="F5403" t="inlineStr">
        <is>
          <t>無理な注文；御注文；特別注文；予約注文；追加注文</t>
        </is>
      </c>
      <c r="G5403" t="inlineStr">
        <is>
          <t>注文書；注文者；注文の多い料理店；注文流れ；注文服</t>
        </is>
      </c>
      <c r="H5403" t="n">
        <v>29</v>
      </c>
      <c r="I5403" t="inlineStr">
        <is>
          <t>レストランでは、これらの全てを注文しなければならないわけではない。；また、それぞれの注文に応じた適切な仕様を製品に付加する必要もある。；開業後すぐ追加注文し開業年度末より廃止まで両数は変化が無かった。；江戸幕府が海軍創設のため、初めてオランダに注文した艦のうちの1隻。；彼女はさらに自分自身用に本を注文し、一部は夫に提供されていた。；事前のいくつかの注文はキャンセルされ、その技術は基本的には消滅した。；色々と注文をつけられる場合は、大抵言われる通りにデザインを変える。；ミルクは付いていないので欲しい場合は追加で注文することになる。；この時期のガルボは自身の撮影現場に注文をつけることが多くなっていた。；これは各々の注文はそれぞれ対応する一つの請求書をもつことを意味する。；なぜなら彼が私の出演したビデオを何本か注文したからです。；家庭で作って飲むだけでなく、たいていどこのバールでも注文できる。；一方で、配達までに30分を超えると注文客に襲撃される危険性を持つ。；五人は電話を終えて元の席でなく注文した飲み物のある席に着いた。；事前に設定が必要だが、かざすと同時に注文され待ち時間が短縮される。；近年の店舗ではマイクの下に注文を表示するディスプレイが導入されている。；各行は特定の契約者からの注文に対応し、作業開始月と完了月が示される。；予約の時点で15万枚の注文があり、売上は最終的に25万枚を超えた。；実際には店舗を持ちつつオンラインでの注文も受けることもある。；さてそれは作られ設置され、猫タワーの注文が他にもあるといえば十分あろう。；実際、現場では細かな指示ややり直しを含めた厳しい注文があったという。；顧客への参照と注文された商品への参照を含む簡単なXML文書の例を考える。；これで商品を注文すると、たちまち商品が転送されて手元に出現する。；情報筋によると、今中国の軍事産業は大量の武器製造の注文を受けている。；また夕食では周囲の客が何を注文するか耳をそばだててから同じものを注文したという。；そして荷物は注文を受けた翌日に全国へ輸送される。；インターネット注文システムおよびアプリ開発にも力を入れている。；近藤は、コーチングスタッフの編成で一つだけフロントに注文を出した。；店に入ると行菜と呼ばれる給仕が箸と紙を持って注文を聞きに来る。</t>
        </is>
      </c>
      <c r="J5403">
        <f>HYPERLINK("https://www.weblio.jp/content/注文", "词义详情")</f>
        <v/>
      </c>
      <c r="K5403">
        <f>HYPERLINK("https://yourei.jp/注文", "查看例句")</f>
        <v/>
      </c>
    </row>
    <row r="5404">
      <c r="A5404" t="inlineStr">
        <is>
          <t>中立</t>
        </is>
      </c>
      <c r="B5404" t="inlineStr">
        <is>
          <t>成功</t>
        </is>
      </c>
      <c r="C5404" t="inlineStr">
        <is>
          <t>読み方：ちゅうりつ
１対立するどちらの側にも味方しないこと。また、特定の思想や立場をとらず中間に立つこと。
２戦争に参加しない国の国際法上の地位。交戦国双方に対して公平と無援助とを原則とする。局外中立。「永世—」</t>
        </is>
      </c>
      <c r="D5404" t="inlineStr">
        <is>
          <t>中立的(11%)；中立性(7%)；中立政策(3%)；中立フィールド(3%)；中立化(3%)</t>
        </is>
      </c>
      <c r="E5404" t="inlineStr">
        <is>
          <t>平等；公正；中正；ニュートラル；虚心</t>
        </is>
      </c>
      <c r="F5404" t="inlineStr">
        <is>
          <t>中立宙；中立系；中立状態；非同盟中立；価値中立</t>
        </is>
      </c>
      <c r="G5404" t="inlineStr">
        <is>
          <t>中立的；中立地帯；中立派；中立条約；中立売</t>
        </is>
      </c>
      <c r="H5404" t="n">
        <v>29</v>
      </c>
      <c r="I5404" t="inlineStr">
        <is>
          <t>スイスのこの行為は重大な中立違反であるとして国際的な非難を受けた。；中立という立場には、道徳的責任を回避した存在と見られる側面もある。；彼らはこの闘争に中立であり、両組織に種類を問わず機械を供給している。；ボーア戦争に反対し、第一次世界大戦の時はイギリスの中立を主張する。；この戦争でイギリスとオランダは中立を保ち、デンマークは敵となった。；「中立」のためにも強力な軍事力の保持が必要であることを訴えた。；その他の国々も中立・同盟を結びスウェーデンの勢いは頂点に達した。；カリネスク首相の暗殺後でさえ、カロル国王は中立を維持しようとした。；彼はヨーロッパの情勢には中立の立場を取り、戦争を回避し続けた。；ロシアに宣戦することはなかったものの、中立を守ることは約束しなかった。；オーストリアはイタリアの中立を望んでいたが、三国協商は参戦を要請した。；「中立」の種族の場合は所属する都市を自分で選択することができる。；それでも実際には、中立的な形態が存在することを認めていた。；国連に公認・登録された組織であり、宗教や政治には、中立の立場をとる。；この運良く子孫の個体に残った中立的な突然変異が集団のなかに広がって定着していく。；この戦争でロシアはプロイセンに好意的な中立の立場をとっている。；また、20世紀中には、中立政策に加え、武装中立政策を推進していた。；当初中立だったイベリア半島諸国は後にクレメンス7世支持に回った。；しかし、スウェーデンは見かけほど中立であった訳ではなかった。；さらに中立性を要求すれば拒否権を持つ個人は実際に存在する。；イタリア統一戦争の際にもプロイセンが反墺的中立をとるよう尽力した。；「いる」は中立的な表現であり、人物に対しては通常こちらを多用する。；イラストリアスの大修理は、中立を表明していたアメリカ合衆国で実施された。；また、共生のうち、双方が利益を得ず、害も被らない関係を中立という。；この提案は1974年に受け入れられ、中立の合同グループが設立された。；中立上の立場から直接の軍事援助を行わず、国民党軍が資金を使い部隊を編成した。；我々は友人として乗り込むのでも中立者としてやって来るわけでもない。；ジャーナリズムの観点からは中立性・正確性を損なう可能性がある。；プフリューガー議員はフィンランドを中立的であるとおっしゃいました。</t>
        </is>
      </c>
      <c r="J5404">
        <f>HYPERLINK("https://www.weblio.jp/content/中立", "词义详情")</f>
        <v/>
      </c>
      <c r="K5404">
        <f>HYPERLINK("https://yourei.jp/中立", "查看例句")</f>
        <v/>
      </c>
    </row>
    <row r="5405">
      <c r="A5405" t="inlineStr">
        <is>
          <t>中和</t>
        </is>
      </c>
      <c r="B5405" t="inlineStr">
        <is>
          <t>成功</t>
        </is>
      </c>
      <c r="C5405" t="inlineStr">
        <is>
          <t>読み方：ちゅうわ
［名・形動］(スル)
１性格や感情がかたよらないで穏やかであること。また、そのさま。
「一に無偏無党の—ならざるはなし」〈利光鶴松・政党評判記〉
２性質の異なるものが、互いに融和してそれぞれの性質を失うこと。また、毒などの成分を薄めること。「彼といるとせっかちな私の性格が—される」
３酸と塩基とが当量ずつ反応して塩(えん)を生じること。「酸とアルカリが—する」
４等量の正電荷と負電荷が重なり合って電荷がなくなること。
５音韻論上の用語。ある音素間の対立的特徴が一定の条件のもとに失われる現象をいう。例えば、ドイツ語の語末においては、tとdなどの無声と有声の対立がなく、無声音しか立たないことなど。</t>
        </is>
      </c>
      <c r="D5405" t="inlineStr">
        <is>
          <t>中和する(19%)；中和抗体(5%)；中和される(4%)；中和させる(3%)；中和装置(2%)</t>
        </is>
      </c>
      <c r="E5405" t="inlineStr">
        <is>
          <t>消滅；相殺；見合う</t>
        </is>
      </c>
      <c r="F5405" t="inlineStr">
        <is>
          <t>エネルギー中和；重力中和；中和処理；中和できる；中和器</t>
        </is>
      </c>
      <c r="G5405" t="inlineStr">
        <is>
          <t>中和反応；中和区；中和滴定；中和門院；中和田</t>
        </is>
      </c>
      <c r="H5405" t="n">
        <v>29</v>
      </c>
      <c r="I5405" t="inlineStr">
        <is>
          <t>彼が私を理解し得るのは机が言葉に於て中和的にされてゐるからである。；彼が私を理解し得るのは机が言葉において中和的にされているからである。；後者の解釈では ・ は ・ と中和していると考えることになる。；結婚生活によってそれぞれの性格が中和されるのを期待したからだろう。；やがて分析が終わり、パラの原因となる物質を中和させる物質が判明した。；これに重力中和装置を装着することなど簡単なはずだったからである。；おかしなことには緊張の余り寒ささえ中和されていたようなのだ。；そうやって彼の発散する毒気を中和させようとしたのだとも言える。；私の失望を芳枝自身の表面の得意と喜びで中和させようと云うのだ。；エネルギーを吸収されたのか、あるいは中和されてしまったのか。；皮膚から身体の中央に浸透して、全ての毒を中和してくれる感じだ。；まだ重力中和場のなかなので、地球上と同じような弾道を描いている。；エネルギー中和磁場が、艦体をビームの破壊から防いでいる証明である。；だが光生物どもが、車の中和場で食欲を満たしはじめたのだとわかっていた。；魚のアルカリ性に酸類を中和させるのも今の試験問題にあったろう。；悪魔自身の待つ魔法障壁も、強力な専用結界の中では完全に中和されている。；また、そうしたことで発生した血中の酸を中和するのは骨の仕事だと解説している。；その結果、中和バリアが一個所で弱くなったか、消えたかしたのです。；万大中和樹林線は台湾台北捷運が計画・一部建設中の捷運路線の通称。；中和がある段階まで到達すると、ヨシオは不安を覚えるようになった。；その後石灰貯蔵施設や第二の中和施設である香草中和工場も増設された。；中和しないとエンジン内部がすぐに腐食してしまうためである。；それは真の中和点での色の変化が小さいためである。；排水中和施設の建設後は、失われた緑を取り戻すべく植林が行われている。；GHQが得ていた情報では、症状を中和するワクチンも研究されていたらしい。；中和年間に入ると、蔡州の流賊秦宗権が次第に勢力を拡大しはじめた。；ザイルに弾力があったからこそ、その衝撃を中和させることができたのだろう。；これは既に実績のある「吾妻川酸性水中和処理事業」を参考にしている。；どうだい、その症状の中和のために、僕と結婚するつもりはないか?</t>
        </is>
      </c>
      <c r="J5405">
        <f>HYPERLINK("https://www.weblio.jp/content/中和", "词义详情")</f>
        <v/>
      </c>
      <c r="K5405">
        <f>HYPERLINK("https://yourei.jp/中和", "查看例句")</f>
        <v/>
      </c>
    </row>
    <row r="5406">
      <c r="A5406" t="inlineStr">
        <is>
          <t>腸</t>
        </is>
      </c>
      <c r="B5406" t="inlineStr">
        <is>
          <t>成功</t>
        </is>
      </c>
      <c r="C5406" t="inlineStr">
        <is>
          <t>読み方：ちょう
［音］チョウ（チャウ）（漢）　［訓］はらわたわた
［学習漢字］6年
１胃から続き肛門に至る消化器官。「腸炎／胃腸・浣腸(かんちょう)・小腸・大腸・脱腸・断腸・直腸・盲腸・羊腸」
２心。思い。「愁腸・熱腸」
［難読］海鼠腸(このわた)</t>
        </is>
      </c>
      <c r="D5406" t="inlineStr">
        <is>
          <t>腸内環境；腸胃；腸類；腸体腔；腸内ガス</t>
        </is>
      </c>
      <c r="F5406" t="inlineStr">
        <is>
          <t>中腸；無腸；洗腸；香腸；腸窒扶斯</t>
        </is>
      </c>
      <c r="G5406" t="inlineStr">
        <is>
          <t>腸チフス；腸内細菌；腸骨；腸捻転；腸詰</t>
        </is>
      </c>
      <c r="H5406" t="n">
        <v>29</v>
      </c>
      <c r="I5406" t="inlineStr">
        <is>
          <t>適切に消化されるまで腸内に保持されていた可能性もあるからである。；長期間の服用は、効果の減少と腸機能の低下の原因になる可能性がある。；恥骨の骨幹の前方の縁と腸の後方の間には大きな空の空間が存在した。；生後1歳以上になると腸内環境が整う時期となるので避ける必要はない。；また腸内で腸内細菌叢が産生する物質が、脳に影響を与えることもある。；ヒトが健康に生活していくのに必要不可欠な物質で、腸内環境を整える。；隣接し、やや上部にある表面に出た腸の続きの部分は空腸と解釈されている。；さらに、ルミノコッカス科のいくつかの属がヒトの腸で発見されている。；その建築はどうやら生ける腸の入ったガラス管を中心とするように見えた。；最初の手術は14日朝に行われ、腸に窪みが出来ている事が判明した。；大切な、生ける腸が、もしや盗まれたのではないかと思ったからである。；なお腸にも初期の癌や悪性に近いポリープがあるが治療の詳細は不明。；中絶手術で子宮穿孔を起し腸穿孔もあったと思われると公表されている。；腸体腔性の体腔で、体腔に由来する水管系と呼ばれる独自の構造をもつ。；腸で生成されたウロビリノーゲンの一部は再吸収され血液中に入る。；タンパク質の消費が増加すると、腸からのカルシウム吸収が促進される。；ほんの一、二分でも、彼は生きている腸の前をはなれるのを好まなかった。；自身の身体の不調を克服した体験をもとに腸活の知識普及活動に努める。；その先端部は前腸の背中側に突き出して背前盲管となることがある。；カイロミクロンは食物中の脂質を腸から体内のその他の場所へ輸送する。；保存されていた歯と腸の内容物から、本属の古生態学研究も可能となった。；その作用の1つは、腸によるカルシウムの吸収を促進させることである。；最後に女性が腹を切られ、腸が引きずり出され、女性の悲鳴が途絶える。；それから、腸抜きをして頭を切り落としたトビウオを、一匹だけ食べた。；ウマは後腸発酵動物であり、反芻動物とは異なり胃は一つしか持たない。；中腸は他のレアンコイリア科の種類に見られるような消化腺はない。；確認されている限りでは腸内に蝋を分解できるバクテリアを持つ。；その結果、乳は腸に長くとどまることとなり、良く吸収されるようになる。；これは、世界中の多くの楽器で伝統的に「猫の腸」が使われているのと同様である。</t>
        </is>
      </c>
      <c r="J5406">
        <f>HYPERLINK("https://www.weblio.jp/content/腸", "词义详情")</f>
        <v/>
      </c>
      <c r="K5406">
        <f>HYPERLINK("https://yourei.jp/腸", "查看例句")</f>
        <v/>
      </c>
    </row>
    <row r="5407">
      <c r="A5407" t="inlineStr">
        <is>
          <t>蝶</t>
        </is>
      </c>
      <c r="B5407" t="inlineStr">
        <is>
          <t>成功</t>
        </is>
      </c>
      <c r="C5407" t="inlineStr">
        <is>
          <t>読み方：ちょう
［人名用漢字］　［音］チョウ（テフ）（漢）
昆虫の名。チョウ。「蝶蝶・蝶類／胡蝶(こちょう)」
［難読］蝶番(ちょうつがい)</t>
        </is>
      </c>
      <c r="D5407" t="inlineStr">
        <is>
          <t>蝶吉；蝶タイ；蝶太；蝶類；蝶形</t>
        </is>
      </c>
      <c r="E5407" t="inlineStr">
        <is>
          <t>チョウ；蝶々；バタフライ；胡蝶；蝴蝶</t>
        </is>
      </c>
      <c r="F5407" t="inlineStr">
        <is>
          <t>小蝶；黒い蝶；大きな蝶；美しい蝶；黒蝶</t>
        </is>
      </c>
      <c r="G5407" t="inlineStr">
        <is>
          <t>蝶々；蝶ネクタイ；蝶子；蝶野；蝶々夫人</t>
        </is>
      </c>
      <c r="H5407" t="n">
        <v>29</v>
      </c>
      <c r="I5407" t="inlineStr">
        <is>
          <t>上から見るとまるで蝶が羽を広げたように見えとても優雅な金魚である。；蝶の翅で耳や手に構成されている獣と虫の間の子のような姿のデジモン。；彼はほんの一瞬間、乾いた彼の唇の上へこの蝶の翅の触れるのを感じた。；たとえば画面上部に見えるスイセンの花には小さな蝶が止まっている。；大きい白い蝶が闇のなかにひらひらと飛んでゆくのを見たのである。；どうでもいいとは思いながらも、やはり彼は蝶のことが気にかかってならない。；蝶が好きなために蝶の柄の布団を買おうとしたが母に止められたほど。；その両袖の張りたるありさまは、蝉または蝶の羽を開きたる形に似たり。；これらの蝶の研究は横リブや微細リブなどの緻密構造に応用されている。；その後も小山は努力を続け、作成した蝶形図は「3羽半」に達している。；その際、蝶と蛾は名称の上でも、概念の上でも区別されていなかった。；蝶ちゃんあんたは、あんたが意識せずとも、それを持っていることは確だ。；左眼に泣きぼくろが二つあり、頭部には特徴的な蝶の髪飾りを付けている。；で今やお館には、二匹の蝶を手に入れようと、苦心惨澹をしていられる。；突然のことに仰天する二人だが、しばらくすると蝶はふっと消えてしまう。；彼女は、自分が蝶になって、春の野を舞いあそんでいる夢を見ていた。；そのそばに笑って立っているのは、お島の妹のお蝶であった。；蝶は白い翅をひるがえして、寒い風のなかを低く舞って行くのであった。；この頃から、本来違い鷹の羽であった家紋を対い蝶に変更したという。；実は、石鹸泡の発色の裏のこれと同じ原理は、蝶の羽に応用されている。；胸に蝶のタトゥーを入れていたことからパピヨンの名で知られるようになった。；「お放しなさりませ、永生の蝶を」 その女が小一郎へ云ったのである。；製造人は早速にそれを窯に入れて未来の蝶を殺すのに蒸気で蒸すのだ。；園内は自然が豊富なためアサギマダラなどの蝶や野鳥なども観察できる。；この蝶ちゃんは普通の女より一桁張りのある艶っぽい娘に過ぎない。；磐瀬 太郎は、日本の蝶学の研究者・愛好者・アマチュア研究の指導者。；叔父さんは子供達に、庭の花の上を飛んでゐる蝶の名を教へました。；しかるに蝶さんに至っては、その今まで為し来ったすべての、可いかい。；本種に限らず、日本で高山蝶と呼ばれる種はみなこういった経緯をもつ。</t>
        </is>
      </c>
      <c r="J5407">
        <f>HYPERLINK("https://www.weblio.jp/content/蝶", "词义详情")</f>
        <v/>
      </c>
      <c r="K5407">
        <f>HYPERLINK("https://yourei.jp/蝶", "查看例句")</f>
        <v/>
      </c>
    </row>
    <row r="5408">
      <c r="A5408" t="inlineStr">
        <is>
          <t>長～</t>
        </is>
      </c>
      <c r="B5408" t="inlineStr">
        <is>
          <t>成功</t>
        </is>
      </c>
      <c r="C5408" t="inlineStr">
        <is>
          <t>読み方：たき
「たけ（丈）」に同じ。
「身—一丈(ひとつゑ)」〈景行紀〉</t>
        </is>
      </c>
      <c r="H5408" t="n">
        <v>0</v>
      </c>
      <c r="J5408">
        <f>HYPERLINK("https://www.weblio.jp/content/長～", "词义详情")</f>
        <v/>
      </c>
      <c r="K5408">
        <f>HYPERLINK("https://yourei.jp/長～", "查看例句")</f>
        <v/>
      </c>
    </row>
    <row r="5409">
      <c r="A5409" t="inlineStr">
        <is>
          <t>超～</t>
        </is>
      </c>
      <c r="B5409" t="inlineStr">
        <is>
          <t>成功</t>
        </is>
      </c>
      <c r="C5409" t="inlineStr">
        <is>
          <t>読み方：ちょう
［常用漢字］　［音］チョウ（テウ）（呉）（漢）　［訓］こえる　こす
１ある範囲を抜け出る。「超越・超過・超克・超然・超脱」
２並みとはかけ離れている。「超人」
３「超過」の略。「出超・入超」
［名のり］おき・き・こゆる・たつ・とおる・ゆき</t>
        </is>
      </c>
      <c r="H5409" t="n">
        <v>0</v>
      </c>
      <c r="J5409">
        <f>HYPERLINK("https://www.weblio.jp/content/超～", "词义详情")</f>
        <v/>
      </c>
      <c r="K5409">
        <f>HYPERLINK("https://yourei.jp/超～", "查看例句")</f>
        <v/>
      </c>
    </row>
    <row r="5410">
      <c r="A5410" t="inlineStr">
        <is>
          <t>調印</t>
        </is>
      </c>
      <c r="B5410" t="inlineStr">
        <is>
          <t>成功</t>
        </is>
      </c>
      <c r="C5410" t="inlineStr">
        <is>
          <t>読み方：ちょういん
［名］(スル)条約・協定などの内容が確定したとき、それに関係する当事国の代表者がその公文書に署名すること。「平和条約に—する」</t>
        </is>
      </c>
      <c r="D5410" t="inlineStr">
        <is>
          <t>調印式(8%)；調印後(2%)；調印国；調印直後；調印拒否</t>
        </is>
      </c>
      <c r="E5410" t="inlineStr">
        <is>
          <t>承認；サイン；批准；署する</t>
        </is>
      </c>
      <c r="F5410" t="inlineStr">
        <is>
          <t>降伏文書調印；降伏調印；協定調印；合併調印；正式調印</t>
        </is>
      </c>
      <c r="H5410" t="n">
        <v>29</v>
      </c>
      <c r="I5410" t="inlineStr">
        <is>
          <t>翌15日にはそれが発表され、9月2日に宣言の正式な調印がなされた。；双方とも条約に調印したのには以下の点で現実的な理由があった。；最終的には合意は文章となり、調印することでその交渉は終了する。；深夜過ぎに調印が行われ、スターリンも出席した乾杯が幾度も行われた。；新たな新連邦条約に調印する予定だった他の共和国は動揺し、混乱した。；一方で、中華人民共和国・フランスを含む十数カ国は調印しなかった。；この時、幕府は諸大名に条約締結・調印をどうしたらよいか意見を聞いていた。；そうした不備の解消は、条約調印後40年を経た1768年になされた。；日本では条約調印時にラッパロと報道されたため、こう呼ばれることも多い。；国際交流に力をいれ、オーストラリアと中国の学校と姉妹校調印している。；同年の10月には文部大臣とコルビュジエとの間で契約書の調印が行われた。；交渉は予想外に順調で、1911年2月21日には新条約が調印された。；アメリカやメキシコでは、調印式や公開計量などにも姿を見せる。；描かれた期間は独ソ不可侵条約調印直前から日本軍の真珠湾攻撃までである。；そこは第一次世界大戦の終結の際、ドイツが降伏の調印を行った象徴的な場所であった。；条約が調印・交換されたのは1728年6月25日のことである。；複数の評論家はCPAは大半が外交圧力で調印されたものだと論じる。；日英通商航海条約交渉が27日に合意に達して、7月16日に調印した。；在任期間にはベルギー・ルクセンブルク経済同盟条約の調印を行った。；そしてセルビアとモンテネグロの公的な合意は3月7日に調印されていた。；イスラエルは、化学兵器禁止条約に調印しているが、批准はしていない。；その後8月29日に降伏調印式準備のため東京湾に入った。；その名称は条約が調印されたラテラノ大聖堂とラテラノ宮殿の名称に由来している。；部下の1人が「日本が降伏の調印をするまで待ちましょう」と答えたのでその通りにした。；交渉は2年にも及び、最終的にイギリスで条約が調印された。；フロリダに戻ると酋長らは、彼らがワシントンで調印した協定を拒否した。；これはアメリカ独立戦争におけるアメリカの勝利の後で調印された幾つかの条約の一つであった。；ロンドン軍縮条約が調印され、補助艦にも保有制限枠が設定された。；ベトナム和平協定が調印される1月27日の僅か5日前の出来事であった。</t>
        </is>
      </c>
      <c r="J5410">
        <f>HYPERLINK("https://www.weblio.jp/content/調印", "词义详情")</f>
        <v/>
      </c>
      <c r="K5410">
        <f>HYPERLINK("https://yourei.jp/調印", "查看例句")</f>
        <v/>
      </c>
    </row>
    <row r="5411">
      <c r="A5411" t="inlineStr">
        <is>
          <t>懲役</t>
        </is>
      </c>
      <c r="B5411" t="inlineStr">
        <is>
          <t>成功</t>
        </is>
      </c>
      <c r="C5411" t="inlineStr">
        <is>
          <t>読み方：ちょうえき
自由刑の一。刑事施設に拘置して一定の労役に服させる刑罰。無期と有期の2種がある。
[補説]令和7年（2025）から、懲役刑は禁固刑と一本化され「拘禁刑」となる予定。受刑者は、その特性に応じて、刑務作業が課されるか、または再犯防止に向けた指導を受ける。</t>
        </is>
      </c>
      <c r="D5411" t="inlineStr">
        <is>
          <t>懲役たち(3%)；懲役十；懲役二年；懲役三；懲役五</t>
        </is>
      </c>
      <c r="E5411" t="inlineStr">
        <is>
          <t>労役；苦役</t>
        </is>
      </c>
      <c r="F5411" t="inlineStr">
        <is>
          <t>それぞれ懲役；懲役八年；懲役達；懲役二十；懲役七</t>
        </is>
      </c>
      <c r="G5411" t="inlineStr">
        <is>
          <t>懲役囚；懲役太郎；懲役十八年</t>
        </is>
      </c>
      <c r="H5411" t="n">
        <v>29</v>
      </c>
      <c r="I5411" t="inlineStr">
        <is>
          <t>いくつかの逮捕にもかかわらず、彼は長期の懲役を受けることもなかった。；戦時中に父はドイツ側の仕事をしたため、戦後に3年間の懲役を受けた。；大阪府では懲役3か月以下のように懲役刑も規定している自治体もある。；このためにニコルソンは追起訴を受け、さらに8年の懲役が追加された。；死刑・無期懲役になった者、懲役15年以上の実刑になった者はいない。；このことを聞いた曹操に不敬を問われたが、死刑を許されて懲役にされた。；闇市での度重なる喧嘩で警察に逮捕され、懲役6年の実刑判決を受けた。；さらに、作業義務のある懲役や作業義務のない、より長期の禁錮と区分する。；また、事件の発端である集団窃盗事件の主犯も懲役4年の判決が下った。；このため懲役と禁錮を区別する意義は薄いとする議論も存在する。；取扱量が少量であった場合は7年以上の懲役となり、罰金を併科される。；その後、個別に言い渡される量刑判決で彼は懲役10年の判決を受けた。；これによって再び警察との法廷闘争に発展し、懲役6ヶ月の判決を受けた。；有罪の場合は3年以下の懲役または30万円以下の罰則が定められている。；行刑密行主義は元来、死刑のみならず、懲役や禁錮にも導入されていた。；独立宣言書を朗読した後、警察に逮捕され、懲役3年の刑を宣告された。；この人物については詐欺容疑で逮捕起訴され、懲役2年が確定している。；イギリスではマジコンを輸入・販売した者に懲役12カ月の実刑判決が出ている。；拳銃に弾が入っていなかったため、犯人の刑は懲役1年だった。；しかし逮捕者への刑罰は主犯でも最高で懲役3年以下という軽いものであった。；ハントには懲役25年の仮判決で3ヶ月後の減刑も予想されるものであった。；一部の死刑廃止論者は、死刑は懲役と比較して有効な予防手段ではないとしている。；標準的な懲役刑との間には一定の交換比率が存在した。；なお、この男は最終的に懲役17年の判決が確定している。；また、結社の集会に参加することも罪とされ、最高刑は懲役10年とされた。；彼女は児童レイプの罪で懲役7年の刑を受けたが、その後この生徒と結婚した。；精神鑑定の結果本記事の疾患であると診断され、懲役10年の判決が下った。；男は2009年3月にミュンヘンの裁判所にて懲役6年を言い渡された。；判決は死刑であったが、懲役10年に減刑され、巣鴨刑務所に移された。</t>
        </is>
      </c>
      <c r="J5411">
        <f>HYPERLINK("https://www.weblio.jp/content/懲役", "词义详情")</f>
        <v/>
      </c>
      <c r="K5411">
        <f>HYPERLINK("https://yourei.jp/懲役", "查看例句")</f>
        <v/>
      </c>
    </row>
    <row r="5412">
      <c r="A5412" t="inlineStr">
        <is>
          <t>超過</t>
        </is>
      </c>
      <c r="B5412" t="inlineStr">
        <is>
          <t>成功</t>
        </is>
      </c>
      <c r="C5412" t="inlineStr">
        <is>
          <t>読み方：ちょうか
［名］(スル)
１数量や時間が、一定の限度をこえること。「予算を—する」「—料金」
２あるものをこえて先に出ること。また、他よりまさっていること。
「齢い弱冠を—する」〈菊亭香水・世路日記〉</t>
        </is>
      </c>
      <c r="D5412" t="inlineStr">
        <is>
          <t>超過する(12%)；超過者(4%)；超過分；超過額；超過供給</t>
        </is>
      </c>
      <c r="E5412" t="inlineStr">
        <is>
          <t>伸び；超える；越える；過剰；上回る</t>
        </is>
      </c>
      <c r="F5412" t="inlineStr">
        <is>
          <t>予算超過；輸入超過；重量超過；転入超過；転出超過</t>
        </is>
      </c>
      <c r="G5412" t="inlineStr">
        <is>
          <t>超過勤務手当；超過利潤；超過死亡；超過死亡率；超過労働時間</t>
        </is>
      </c>
      <c r="H5412" t="n">
        <v>29</v>
      </c>
      <c r="I5412" t="inlineStr">
        <is>
          <t>これらの租税は経済的な決定を変えないから、超過の負担が発生しない。；十分な処理能力を得るためには100 Wを超過する出力が必要である。；建造費は何カ所か改造が必要になったこともあり予算を超過してしまった。；すると、規定の時間を超過しても賢一はすべての質問に熱心に答えて帰る。；しかしそれらは多くの場合プロジェクトの予算および予定期限を超過する。；つまり、収容定員を超過していることが最大の問題だとの認識を示した。；しかし、開発費用は当初見積に比べて大幅に超過することが見込まれた。；計画排水量は850トンだったが、実際には45トンほど超過していた。；特大・重量超過の車両は6車線道路が建設されるまで規制となっている。；これらの人々の数はまもなく剰余生産物の供給量を超過するであろう。；過剰生産能力とは生産能力のうち実需要分を超過しているものである。；制限速度を超過して走行している自動車を検出するために用いられる。；前者の書籍については返却期限を超過しているという記録が残っていた。；ぼくたちの来ているここでは、彼ら超過勤務するの厭がるんですよ。；また、所定の時間を超過した場合はどんなに点が高くても失格となる。；それ以前も、2013年を除き恒常的な日本側の輸出超過が続いている。；古鷹型も7500トンの予定が1000トン超過して速力低下している。；現在は学齢超過者が主対象のため、例外を除き全員が過年度生である。；ワゴンタイプの車両は定員超過時において、追加車両の運行形式となる。；また、赤外線に若干の超過がみられ、ベガ型星の候補に挙げられてている。；意識の超過や作為の誤謬に陥っていないものは稀の稀だと云わねばなりません。；すべての半直線は、角運動量の超過のためにチャンクの付近を必ず通る。；予定外の支出および予算を超過した支出へ対応するために準備しておく費用のこと。；しかしながら、設計は予算超過し、予定していたスケジュールから遅れた。；予定を大幅に超過した同年7月10日にサービス再開となった。；これはおそらく、かつてアメリカで知られたものに匹敵する大きな超過である。；本級はペンサコーラ級の重量増と予算超過に対応する形で設計された艦である。；批判的なメディアや政治家は、最終的な建物は予算を10倍も超過したと非難している。；これは、もし継続すれば、人口を約四三年にして倍加せしむべき超過である。</t>
        </is>
      </c>
      <c r="J5412">
        <f>HYPERLINK("https://www.weblio.jp/content/超過", "词义详情")</f>
        <v/>
      </c>
      <c r="K5412">
        <f>HYPERLINK("https://yourei.jp/超過", "查看例句")</f>
        <v/>
      </c>
    </row>
    <row r="5413">
      <c r="A5413" t="inlineStr">
        <is>
          <t>聴解</t>
        </is>
      </c>
      <c r="B5413" t="inlineStr">
        <is>
          <t>成功</t>
        </is>
      </c>
      <c r="C5413" t="inlineStr">
        <is>
          <t>読み方：ちょうかい
［名］(スル)文章を耳で聞いて、その内容を理解すること。ヒアリング。「—力」</t>
        </is>
      </c>
      <c r="H5413" t="n">
        <v>7</v>
      </c>
      <c r="I5413" t="inlineStr">
        <is>
          <t>新シラバスでは、どのような能力が問われるかについて明文化し、読解、聴解・聴読解問題はどのような文章で出題されるのか、記述問題ではどのような課題が出されるのかがあらかじめ記載されている。；両者の間には特に発音面での差が大きく、特にブラジルにおいてはイベリアポルトガル語が使われることはほとんどないため、ブラジル人はイベリアポルトガル語の聴解に困難を来すことが少なくない。；「日本語」の読解と聴読解のマーク問題は正しいものを1つだけマークする形式であるが、聴解だけは解答用紙に「正しい」「正しくない」の欄があり、正しいもの以外にはすべて「正しくない」にマークしている必要がある。；さらに同学科の主任に昇任し、日本語文法のような講義だけではなく、日本語聴解や日本語会話といったコミュニケーションを重視した講義や、作文や日本事情といった講義も担当している。；また、発音についてはブラジルと大分異なり、ブラジルポルトガル語のみを学習してきた人は、当初イベリアポルトガル語の聴解にかなりの苦労を来たすほどである。；J-cert生活・職能日本語検定は、日本語話者とのコミュニケーションを重視した「聴解」、生活や仕事での正確なコミュニケーションの基盤となる「文字・語彙・文法」そして、日本の文化、風土・習慣など生活をする上で不可欠な理解能力として「社会文化」の3科目で構成されている。；聴解、文字語彙、文法、読解の4セクションからなる。</t>
        </is>
      </c>
      <c r="J5413">
        <f>HYPERLINK("https://www.weblio.jp/content/聴解", "词义详情")</f>
        <v/>
      </c>
      <c r="K5413">
        <f>HYPERLINK("https://yourei.jp/聴解", "查看例句")</f>
        <v/>
      </c>
    </row>
    <row r="5414">
      <c r="A5414" t="inlineStr">
        <is>
          <t>長官</t>
        </is>
      </c>
      <c r="B5414" t="inlineStr">
        <is>
          <t>成功</t>
        </is>
      </c>
      <c r="C5414" t="inlineStr">
        <is>
          <t>読み方：こう
《「かみ」の音変化》律令制で、四等官のうちの最高位。「—の君」「—の殿(との)」</t>
        </is>
      </c>
      <c r="D5414" t="inlineStr">
        <is>
          <t>長官室；長官代理；長官会議；長官以下；長官時代</t>
        </is>
      </c>
      <c r="E5414" t="inlineStr">
        <is>
          <t>相；大臣；閣僚；卿相</t>
        </is>
      </c>
      <c r="F5414" t="inlineStr">
        <is>
          <t>ハル長官；警察長官；内務長官；部長官；郵政長官</t>
        </is>
      </c>
      <c r="G5414" t="inlineStr">
        <is>
          <t>長官職；長官山；長官政務官</t>
        </is>
      </c>
      <c r="H5414" t="n">
        <v>29</v>
      </c>
      <c r="I5414" t="inlineStr">
        <is>
          <t>軍事長官である師の職に就いていたことから、「師尚父」とも呼ばれる。；サッダームと対立して治安局長官の地位を奪われたくなかったのである。；朝鮮十三道には道長官が任命されそれぞれの支所で行政任務に従事した。；また自分が属する地方の長官の領内で犯罪があれば摘発と制裁を行った。；長官は政治任命で決定され、基本的には2期8年まで務める事が出来る。；そして近衛長官は実質的にそれぞれの道を管轄する職位になっていった。；これはそれぞれの機関の長が、知事であるか、長官であるかの違いによる。；郡の下に置かれているのが県であり、その長官は大県は令、小県は長と呼ばれる。；申口方の長官には親雲上が、その下の次官級は親雲上がその任に就いた。；さらに米国などの外国では各省の長官を指す場合に「書記長」を用いる。；外局の長については、委員会の長は委員長であり、庁の長は長官である。；主力部隊は主隊と警戒隊から成り、鳳翔は山本長官直率の主隊に属した。；清初年には臨時の役人だった巡撫が布政使に代わって省の長官になった。；物奉行は今日の大臣・長官に相当し、その下に次官級の吟味役が置かれた。；平等方を除いて、それぞれ官庁名であると同時にその長官名を指した。；少なくとも日本では、地方自治体に属する組織の長を長官と呼ぶことはない。；国務長官や国防長官などの長官クラスもドラマにはあまり登場しない。；設定ではパリ本部の長官はスイス人のF・G・ピースであるとされている。；市警察長官サー・は武装した兵士と2000名の警察官に処理を命じた。；長官と次官の職掌が同じとされた背景には、位階制度が関係している。；これは強大化し過ぎた近衛長官へ対抗させるための処置でもあった。；委員会が定める命令が規則であり、庁の長官が定めるものが庁令である。；現在はほかのライダーたちと合流すべく東京に到着し、狼長官との戦闘を開始。；この状況を大きく変えたのがジョン・マーシャル長官時代である。；長官の隷下にある総合参謀本部が開く防衛会議で軍の方針を決定する。；しかしドイツ側の案はなおもアメリカとフランスの軍政長官を満足させなかった。；内大臣は、内大臣府官制に基づいて設置された内大臣府の長官とされた。；この活動には捜査局BOI長官フーヴァーによる司法支配が背景にある。；これらの職の上に立つ路の長官は存在しない。</t>
        </is>
      </c>
      <c r="J5414">
        <f>HYPERLINK("https://www.weblio.jp/content/長官", "词义详情")</f>
        <v/>
      </c>
      <c r="K5414">
        <f>HYPERLINK("https://yourei.jp/長官", "查看例句")</f>
        <v/>
      </c>
    </row>
    <row r="5415">
      <c r="A5415" t="inlineStr">
        <is>
          <t>朝刊</t>
        </is>
      </c>
      <c r="B5415" t="inlineStr">
        <is>
          <t>成功</t>
        </is>
      </c>
      <c r="C5415" t="inlineStr">
        <is>
          <t>読み方：ちょうかん
日刊新聞で、朝に発行されるもの。⇔夕刊。
[補説]作品名別項。→朝刊</t>
        </is>
      </c>
      <c r="D5415" t="inlineStr">
        <is>
          <t>朝刊単独；朝刊各紙；朝刊新聞；朝刊社会面；朝刊記事</t>
        </is>
      </c>
      <c r="F5415" t="inlineStr">
        <is>
          <t>朝日新聞朝刊；読売新聞朝刊；毎日新聞朝刊；産経新聞朝刊；各紙朝刊</t>
        </is>
      </c>
      <c r="G5415" t="inlineStr">
        <is>
          <t>朝刊さくらい；朝刊フジ；朝刊休刊日</t>
        </is>
      </c>
      <c r="H5415" t="n">
        <v>29</v>
      </c>
      <c r="I5415" t="inlineStr">
        <is>
          <t>木曜日の朝になると、昨夜頼んだ広告が各新聞の朝刊に掲載されていた。；さて事件であるが、翌日の朝刊に二段くらいの小さな記事で載っていた。；それを持ってニュース・スタンドへいき、まだ残っていた朝刊を買った。；気分が落ち着いた所で朝刊にあったニュースを伝えなくてはいけない。；朝刊にどのような記事が掲載されているか気になったからである。；きのうの朝刊に出ていたあの記事は、多分これと同じことだったのだろう。；この件は朝刊の地域面でも取り上げられたので、知っている人も多いと思う。；あの男が活動していれば、朝刊は無限の可能性を与えてくれるものだった。；朝刊の広告が、さまざまな形をなして、子供たちの胸に影を落としている。；今では彼女が朝刊の配達の帰りに練習している風景が日常のものとなっている。；だが翌日の朝刊には、そんな騒ぎのことは何ひとつでていなかった。；私は彼女が服を着ているあいだ居間のソファーに座って朝刊を読んだ。；朝刊によると、今度の臨時議会では、企業整備が一番大きな問題らしい。；後引続きやってくれ、朝刊へは事によったら昨夜の事件もぶちまけよう。；朝刊の一面の題字の下には、その新聞の本社の代表の電話番号が出ていた。；この行為は相手監督の川上哲治や翌日の朝日新聞の朝刊などで批判された。；利一郎さんは朝は七時に起きて、朝刊を読むというのが日課でしたから。；課長室に入って行くと、本多の机の上には、朝刊各紙が、並べてあった。；あの男が活躍していたころは、毎日の朝刊が無限の可能性をはらんでいた。；今日の朝刊、あるいは夕刊に出た事件を、すぐに作って投稿してもらう。；朝刊、夕刊セット地域の近畿圏からは、この種の電話は一本もなかった。；朝刊をもってきてやるつもりだったが、たてこんでてね、忘れちまった。；二人の間の床の上には、各種の朝刊が乱雑につみかさねられたままだ。；あなたはきょう東京から来た東京タイムスの朝刊をお読みになりましたか。；谷田もまた、 「明日の朝刊はもらった」 声に出し、顔に出していた。；ドアの前には朝刊が置いてあったので、朝だということがわかった。；また、当日の朝刊は放送終了後の午後に配達される特別措置がとられた。；さらにその翌日には、新聞受けから朝刊を取ってこられるくらいには回復していた。；猿渡が机に座ってまもなく、ドアポストに朝刊がねじ込まれる音がした。</t>
        </is>
      </c>
      <c r="J5415">
        <f>HYPERLINK("https://www.weblio.jp/content/朝刊", "词义详情")</f>
        <v/>
      </c>
      <c r="K5415">
        <f>HYPERLINK("https://yourei.jp/朝刊", "查看例句")</f>
        <v/>
      </c>
    </row>
    <row r="5416">
      <c r="A5416" t="inlineStr">
        <is>
          <t>長期</t>
        </is>
      </c>
      <c r="B5416" t="inlineStr">
        <is>
          <t>成功</t>
        </is>
      </c>
      <c r="C5416" t="inlineStr">
        <is>
          <t>読み方：ちょうき
長い期間。長期間。「—に及ぶ出張」⇔短期。</t>
        </is>
      </c>
      <c r="D5416" t="inlineStr">
        <is>
          <t>長期的(10%)；長期化(5%)；長期戦(4%)；長期連載(2%)；長期欠場(2%)</t>
        </is>
      </c>
      <c r="E5416" t="inlineStr">
        <is>
          <t>長年；いつまでも；長い間；長らく；年月</t>
        </is>
      </c>
      <c r="F5416" t="inlineStr">
        <is>
          <t>長期熟成；長期シリーズ；長期投与；長期出張；長期休載</t>
        </is>
      </c>
      <c r="G5416" t="inlineStr">
        <is>
          <t>長期的；長期化；長期滞在；長期休養；長期離脱</t>
        </is>
      </c>
      <c r="H5416" t="n">
        <v>29</v>
      </c>
      <c r="I5416" t="inlineStr">
        <is>
          <t>このような性質は長期予測不能性 や予測不可能性 などとも呼ばれる。；長期戦となっておれば、日本の国境線は大いに変わっていたと言われる。；その後も高国派と澄元派に分裂し長期に渡って対立を続けることとなる。；これらの建物の屋根に見られる緑色は長期の化学反応によるものである。；区の長期基本計画によると、都市核と指定された地域は下の6つである。；長期にわたり大量に製造されたため、途中で様々な改良が加えられている。；このような性質は長期予測不能性や予測不可能性などとも呼ばれる。；しかしこれらは事故時の耐久性や長期使用時の劣化等に問題があった。；棋戦の契約は通常3年契約で行われており、異例の長期の提案となった。；北条軍との戦いは北条氏康が小田原城へと籠城したため長期戦となった。；信長は強硬策を用いて大河内城の攻撃を図るも失敗し、戦いは長期化した。；この種の遺伝子治療が長期的な人間の発達にどのように影響するかは不明である。；主として長期にわたる軌道上の生活に特化して設計されているものを指す。；当初は5話で終了する予定だったが、延長となり長期連載となった。；石原プロは番組の長期ヒットに伴い、30億円の資産を形成したという。；彼女は、カストルプが魔法の山に長期滞在した主な理由の1つである。；前後編読切を経て長期連載となったが、『死神くん』より先に終了した。；ドックに入って修理しないかぎり、長期の作戦行動をとれなくなったのである。；ベルの研究ノートや家族との手紙が、彼の長期の研究を証明する鍵となった。；これは同様にモンゴルに長期滞在している日本人の約7倍にあたる。；製造が長期にわたったため、途中大きな設計変更が何回か行われている。；この湖に棲息する魚類のコミュニティは長期に渡って変化していない。；長期にわたって栽培されていながら、ほとんど逸出していない植物もある。；空港の敷地内に短期用の駐車場がある他、敷地外には長期用の駐車場がある。；温度低下時は潤滑油は再び軸受内部へ戻るため、長期的な使用が可能となる。；JR九州が長期使用を前提にした更新では以下の工事を施工した。；この作品は作者にとって初の単行本化作品であり初の長期連載作品となった。；長期に亘る独裁に反対していた多くの人々はこの出来事を歓迎した。；当初、容易に鎮圧可能と見られていたは休戦と戦闘再開を繰り返し長期化した。</t>
        </is>
      </c>
      <c r="J5416">
        <f>HYPERLINK("https://www.weblio.jp/content/長期", "词义详情")</f>
        <v/>
      </c>
      <c r="K5416">
        <f>HYPERLINK("https://yourei.jp/長期", "查看例句")</f>
        <v/>
      </c>
    </row>
    <row r="5417">
      <c r="A5417" t="inlineStr">
        <is>
          <t>長距離</t>
        </is>
      </c>
      <c r="B5417" t="inlineStr">
        <is>
          <t>成功</t>
        </is>
      </c>
      <c r="C5417" t="inlineStr">
        <is>
          <t>読み方：ちょうきょり
１距離の長いこと。遠いみちのり。「—列車」
２「長距離競走」の略。「—ランナー」</t>
        </is>
      </c>
      <c r="D5417" t="inlineStr">
        <is>
          <t>長距離路線(6%)；長距離輸送(3%)；長距離飛行(3%)；長距離移動(3%)；長距離打者</t>
        </is>
      </c>
      <c r="F5417" t="inlineStr">
        <is>
          <t>超長距離；長距離爆撃；長距離便；長距離線；長距離通信</t>
        </is>
      </c>
      <c r="G5417" t="inlineStr">
        <is>
          <t>長距離走；長距離バス；長距離電話；長距離砲；長距離フェリー</t>
        </is>
      </c>
      <c r="H5417" t="n">
        <v>29</v>
      </c>
      <c r="I5417" t="inlineStr">
        <is>
          <t>このため、通信や放送などの長距離の情報送信に使用されることが多い。；これらの実験で、電話が長距離でも作動することをはっきりと証明した。；長距離馬と言われてますが、これからは中距離でも楽しみになりました。；京阪バスが市内だけでなく、空港連絡線や長距離線などを運転している。；初飛行の日に戦略航空軍団の長距離護衛戦闘機計画は中止となっている。；学校から相当離れた地域まで長距離のスクールバスが運行される例もある。；これらはコンコルドよりも大型で高速・長距離機となる計画であった。；この長距離三冠の記録は今後達成する選手はいないだろうと考えられている。；二つのマーカー間が最長距離である競技者が、最も良い成績を得られる。；そこで陣営は、これまで避けてきた長距離の遠征への挑戦を決意する。；これは源泉から長距離引湯していることが影響しているものと考えられる。；昼行高速バス・長距離路線用は初期の貸切車両と同デザインのものが多い。；大韓航空と比較して、長距離国際線は少なくアジア内重視の傾向である。；この試験結果も合わせ、電車による長距離高速運転を行う準備が確立した。；特に事前にパターンを幾つかの意味を決めておく事で、長距離通信に用いられた。；超長距離部門では123ポンドに評価され前年と同様、世界1位だった。；大阪線・名古屋線には長距離輸送のため、クロスシート車が運転されてきた。；ハイブリッド車の長距離ツアーバスへの導入は、同社が初であるという。；内蔵燃料では不十分な、長期・長距離作戦を遂行するために装備される。；従って、多くの路線で中長距離の列車運行が主体となってしまう。；長距離輸送を担う深夜運行のトラック運転手を対象にした番組である。；比較的長距離を走る便もあるが、前乗り運賃先払い制を採用していた。；冬期も繁殖地沿岸に留まることが多く、あまり長距離の渡りは行わない。；血統と展開と騎手で推理し、しばしば長距離の逃げ馬を的中させていた。；この関係で長距離を運行する列車は通過し、区間運転の列車のみが停車する駅である。；重賞は2100メートル以上の長距離のレースが約半分を占めている。；この説明のために相沢は桐生から東京までの長距離を自転車で行き来した。；この際、長距離爆撃を実現するために電波航法が使用され注目された。；スイス最大規模の国際空港であり、多数の長距離路線が運航されている。</t>
        </is>
      </c>
      <c r="J5417">
        <f>HYPERLINK("https://www.weblio.jp/content/長距離", "词义详情")</f>
        <v/>
      </c>
      <c r="K5417">
        <f>HYPERLINK("https://yourei.jp/長距離", "查看例句")</f>
        <v/>
      </c>
    </row>
    <row r="5418">
      <c r="A5418" t="inlineStr">
        <is>
          <t>聴講</t>
        </is>
      </c>
      <c r="B5418" t="inlineStr">
        <is>
          <t>成功</t>
        </is>
      </c>
      <c r="C5418" t="inlineStr">
        <is>
          <t>読み方：ちょうこう
［名］(スル)講義を聞くこと。「経済学を—する」</t>
        </is>
      </c>
      <c r="D5418" t="inlineStr">
        <is>
          <t>聴講者(18%)；聴講する者；聴講学生；聴講制度</t>
        </is>
      </c>
      <c r="H5418" t="n">
        <v>29</v>
      </c>
      <c r="I5418" t="inlineStr">
        <is>
          <t>彼は大学へ聴講にいくことも、本を読むことも、いっさいやめてしまう。；そして二週間聴講してから、法学部の第一年次試験に合格したのだった。；彼はその教授の授業を聴講するレベルに上がりたくて授業料を払うのだ。；学生に聴講科目の自由な選択が許されてゐるのもそのひとつです。；聴講者のほとんどは数学のできない人で、女性も少なくなかった。；この講義にて聴講者らは、彼は何かがおかしいとすぐに理解した。；学生からの人気により、彼の地理学の講義の聴講者の数は急速に増加した。；正確には、シンポジウムと同時に企画された講演会を聴講するためだった。；おれがただ美藝公のいちばん親しい友人だからというだけで聴講に来る者もいる。；聴講するだけの他学部の学生はさすがに遠慮して壁ぎわに並んで立っている。；その模様は何人かの聴講者の報告によれば、通常の講義とはかなり違ったものであった。；いちばん聴講しやすい位置なので他の受講生もここに集中する。；蔣介石自身も白団の講義を聴講した他、何度か会合や会食を行っていた。；何んでも一八一〇年の二月から翌年の九月に至るまでに、十二三回は聴講したらしい。；杉家に寄宿して聴講するこのような人物も、すでにあらわれている。；そんなことがきっかけになって聴講禁止などの処分を受けては元も子もなくなる。；晩年にはさすがの令名も色あせ、最後には聴講席はがら空きだったという。；聴講者には外国人も多かったが外国人同士はやはり自然に近付きになりやすかった。；そして本人たちの輪講はいいとして、必ずおげ丸にも聴講を強要する。；これを聴講をするために押しよせた学者の数は無慮一万人にのぼった。；私は三人の子の十日目ごとの授業参観日には、朝から六時間目まで聴講した。；ここは書物を持たずに来ても聴講が許される。；聴講者はその背後にもまだ幾人か並んでいるのであろう。；吉田へ帰国した際には錦城を伴い藩校時習館で講義させ、自らも聴講した。；そのため僧侶以外でも、寺院に縁故のある旗本の子弟・寺侍が聴講した。；授業には学生とともに一般市民も聴講し、大阪落語への関心の高さを示した。；また他のグループのレッスンを聴講することも自由である。；特に聴講者の減少にともなう財政上の困難は、自由大学の経営に大きな影響を与えた。；聴講する者が、毎日決まってやってくるわけではない。</t>
        </is>
      </c>
      <c r="J5418">
        <f>HYPERLINK("https://www.weblio.jp/content/聴講", "词义详情")</f>
        <v/>
      </c>
      <c r="K5418">
        <f>HYPERLINK("https://yourei.jp/聴講", "查看例句")</f>
        <v/>
      </c>
    </row>
    <row r="5419">
      <c r="A5419" t="inlineStr">
        <is>
          <t>彫刻</t>
        </is>
      </c>
      <c r="B5419" t="inlineStr">
        <is>
          <t>成功</t>
        </is>
      </c>
      <c r="C5419" t="inlineStr">
        <is>
          <t>読み方：ちょうこく
［名］(スル)木・石・金属などに文字や絵・模様を彫り込むこと。また、木・石・金属などを彫り刻んで立体的な像につくり上げること。また、その作品。「大理石に—する」「仏像—」→彫塑(ちょうそ)</t>
        </is>
      </c>
      <c r="D5419" t="inlineStr">
        <is>
          <t>彫刻家(3%)；彫刻作品(3%)；彫刻師；彫刻科；彫刻群</t>
        </is>
      </c>
      <c r="E5419" t="inlineStr">
        <is>
          <t>刻；彫像；刻む；彫る；塑像</t>
        </is>
      </c>
      <c r="F5419" t="inlineStr">
        <is>
          <t>装飾彫刻；肖像彫刻；古代彫刻；有名な彫刻；絵画彫刻</t>
        </is>
      </c>
      <c r="G5419" t="inlineStr">
        <is>
          <t>彫刻刀；彫刻庭園；彫刻の森美術館；彫刻公園；彫刻機</t>
        </is>
      </c>
      <c r="H5419" t="n">
        <v>29</v>
      </c>
      <c r="I5419" t="inlineStr">
        <is>
          <t>最も大きな彫刻はエジプトの神殿や墓から出土したものが現存している。；絵画や彫刻を製作する白人芸術家の父親と、黒人の母親の間に生まれる。；ただし初期キリスト教に拡大する前、当初は大型彫刻を受け入れていた。；彫刻は力が入れられたものの、この時代に一番勢力的だったのは絵画である。；中国などでは、コルクの板を彫刻して立体的な彫刻画が製造されている。；展覧会などによる展示を中心とした施設にはギャラリーや彫刻館がある。；精密な石器・骨器などの道具を製作し、優れた洞窟壁画や彫刻を残した。；彫刻ではそれまでの仏教彫刻に加えて、能面彫刻が作られるようになる。；動物や女性などの彫刻が見つかっているが、その技術はきわめて高いとされる。；早くも古代文明の昔に、男女の性愛を描いた絵画や彫刻が存在している。；ここでは大型彫刻への資源集中が大きな政治的影響力を有していた可能性がある。；同様に、短剣の柄や杯などの高級な貴石彫刻も動物形状を取る場合がある。；彫刻や絵画、国旗をはじめ、現代の映画や文学などでも広く扱われている。；多くのプロテスタント形態もまた宗教的な彫刻を受け入れていない。；後述する4人の大統領の巨大な彫刻が露頭に彫られていることで知られる。；これは物語の場面を描いた浮彫彫刻の中で現存する最初期のものの1つである。；大聖堂や洗礼堂の中にあった彫刻などのオリジナルが保存・展示されている。；ギリシア政府はこれら彫刻の返却を求めているが、実現には至っていない。；装飾彫刻もこうした動きと連動し、円柱人像などの新しい要素が誕生した。；アンデス地方では、一般的に彫刻は小型ながら優れた技術も見られる。；柱や壁の彫刻の中には女王が残したメッセージが隠されている。；彫刻ではベルテル・トルバルセンの作風が他の芸術家に影響を与えた。；人間の耳をモチーフにした彫刻を多数制作したことで知られる。；近代古典主義は19世紀の古典的な彫刻と多くの点で対照的であった。；この建築物は通常の建築物というよりむしろ彫刻であると見做すことができる。；これらのレリーフ彫刻にはアッシリアの女性たちは描写されない傾向にある。；初層は各面の中央を扉とし、その両脇の柱間には十六羅漢の彫刻を施す。；彼らは市内全体の集落から、自らの彫刻が数ヶ月間展示される場所を選ぶことができる。；この会社の訓練された彫刻師の作品が3マイル道を降りたホープ墓地に見られる。</t>
        </is>
      </c>
      <c r="J5419">
        <f>HYPERLINK("https://www.weblio.jp/content/彫刻", "词义详情")</f>
        <v/>
      </c>
      <c r="K5419">
        <f>HYPERLINK("https://yourei.jp/彫刻", "查看例句")</f>
        <v/>
      </c>
    </row>
    <row r="5420">
      <c r="A5420" t="inlineStr">
        <is>
          <t>調査</t>
        </is>
      </c>
      <c r="B5420" t="inlineStr">
        <is>
          <t>成功</t>
        </is>
      </c>
      <c r="C5420" t="inlineStr">
        <is>
          <t>読み方：ちょうさ
［名］(スル)物事の実態・動向などを明確にするために調べること。「都市の言語生活を—する」「国勢—」「市場—」「信用—」</t>
        </is>
      </c>
      <c r="D5420" t="inlineStr">
        <is>
          <t>調査研究(2%)；調査委員；調査団；調査局；調査機関</t>
        </is>
      </c>
      <c r="E5420" t="inlineStr">
        <is>
          <t>研究；調べ；試験；検討；質問</t>
        </is>
      </c>
      <c r="F5420" t="inlineStr">
        <is>
          <t>学術調査；人口調査；詳細な調査；研究調査；所得税調査</t>
        </is>
      </c>
      <c r="G5420" t="inlineStr">
        <is>
          <t>調査委員会；調査官；調査隊；調査員；調査団</t>
        </is>
      </c>
      <c r="H5420" t="n">
        <v>29</v>
      </c>
      <c r="I5420" t="inlineStr">
        <is>
          <t>あらためて詳細な調査と研究が行われた結果、 などの事実が判明した。；このように中央道の調査は非常に大雑把で信用に足るものではなかった。；これらの現象が調査されるうち、雨水の変質に原因を見ることとなった。；基本的には怪事件調査のための組織で、怪獣との戦闘は特別任務である。；これまでの科学調査の結果に、大型爬虫類の存在を肯定するものはない。；その後の調査によりエンジン内のタービンブレードに損傷が見つかった。；この科学分野の一部は、環境に対する人間の活動の影響の調査である。；センターは引き続き、胎児への影響を含めて調査を続ける方針である。；石は詳細に調査・記録され、現在は、エディンバラ城に安置されている。；学生の調査事例の代表的なものは『実験計画法第三版』に掲載されている。；さらに調査が進めば、倍の種が見つかるであろうと予想されている。；この目標のため、クヌースはかなりの時間を組版技術の調査に費やした。；太地町は水銀の影響を受けやすい子供の調査を実施すると発表した。；現代になり、考古学者は墓の位置を特定して、探針を用いた調査を行った。；これらにはやがて人口調査や地名・人名なども加わるようになった。；一方、中国四川大学の調査ではADHDへの効果は不明とされている。；調査票に回答と収入や居住状態の立証書類を添付して保険者に提出する。；この事故後の調査で、この橋も定期的な管理がなされていなかったことが判明した。；その中には、資金や技術援助を与えるための調査も含まれる。；とは、科学的調査の活動内で、観察と記録によって生成されるデータである。；しらせには音響測深機が搭載されており、南極海の海底を調査している。；そのためこれらの系外惑星や褐色矮星をより詳細に調査することが可能となる。；こうした建設省の調査を引き継いで日本道路公団が改めて調査に望んだ。；その上でその候補者が本当の化身かどうかを前世の記憶を試して調査する。；一般に調査の前に使用する土地の使用許可をとる。；天野清も伊能家の資料について実際に調査し、同様の疑問を提出している。；同調査は1995年から毎年行われ、マスメディアでも話題にされる。；患者調査の傾向からストレスを原因の一つとする意見もある。；この調査では、中絶した女性の死亡原因の過半数が自殺であることも判明した。</t>
        </is>
      </c>
      <c r="J5420">
        <f>HYPERLINK("https://www.weblio.jp/content/調査", "词义详情")</f>
        <v/>
      </c>
      <c r="K5420">
        <f>HYPERLINK("https://yourei.jp/調査", "查看例句")</f>
        <v/>
      </c>
    </row>
    <row r="5421">
      <c r="A5421" t="inlineStr">
        <is>
          <t>調子</t>
        </is>
      </c>
      <c r="B5421" t="inlineStr">
        <is>
          <t>成功</t>
        </is>
      </c>
      <c r="C5421" t="inlineStr">
        <is>
          <t>読み方：ちょうし
１音の高低のぐあい。また、音の速さのぐあい。リズム。拍子。「カラオケの—が合わない」「足で—をとる」
２言葉の表現のぐあい。音声の強弱や、文章などの言い回し。口調。語調。「意気込んだ—で話す」「激しい—で非難する」
３動作や進行の勢い。「—が出る」「—を落とす」
４活動するものの状態・ぐあい。「からだの—をくずす」「エンジンの—を見る」
５音楽で、主音の高さによって決まる音階の種類。雅楽の壱越(いちこつ)調・盤渉(ばんしき)調など。
６弦楽器の調弦法。箏(そう)の平調子、三味線の本調子など。
７雅楽で、舞楽の一種の前奏曲。各楽器が順次演奏に加わり、同一旋律を追いかけて奏する。
→具合(ぐあい)［用法］</t>
        </is>
      </c>
      <c r="D5421" t="inlineStr">
        <is>
          <t>調子よく；調子でこう；調子っぱずれの；調子であつ；調子で尋ね</t>
        </is>
      </c>
      <c r="E5421" t="inlineStr">
        <is>
          <t>間；音；体；スタイル；緊張</t>
        </is>
      </c>
      <c r="F5421" t="inlineStr">
        <is>
          <t>同じ調子；お調子；そんな調子；強い調子；本調子</t>
        </is>
      </c>
      <c r="G5421" t="inlineStr">
        <is>
          <t>調子はずれ；調子外れ；調子づか；調子づく；調子づき</t>
        </is>
      </c>
      <c r="H5421" t="n">
        <v>29</v>
      </c>
      <c r="I5421" t="inlineStr">
        <is>
          <t>喉の調子が悪い状態が続いていたが、様子をみながらツアーを続けていた。；ひみつ道具を調子に乗って使い過ぎたり悪用してしばしば失敗している。；男のつわりとは、妻が妊娠すると夫の身体の調子が悪くなることをいう。；先発投手の調子が悪いと判断したときは1回でも降板させることもある。；また、投手の投球の性格によって投手の調子が判断できたと語っている。；簡潔で雄健な調子で、考えをそのまま表現した古代の文章を理想とする。；交流戦が終わると打撃の調子を落とし、再び控えからの出場に戻された。；ただしスペシャルウィークは調子が戻ってこない中での参戦だった。；その節中に、好調子の選手と不調子の選手とをわざと同じカードに組むこと。；帰国後、調子を取り戻し16ゴールを記録し、チームの優勝に貢献した。；自分の調子が悪くても暗くならずにチームのことを第一に考えて振る舞っていた。；打撃の調子を落としたため、スタメンを外れることも珍しくなくなった。；足の速さはチーム一だが打撃はさっぱりのお調子者の外野手・ウィリー。；夏場に新井貴浩が離脱した際には3番や5番に入ったが調子を落とした。；調子において、一部の調子の名が双方の流派で異なるため注意を要する。；その後は打撃不振が続いたが、徐々に調子を上げ3割を維持していた。；ラッサール派の影響を受けていると思われる部分はとりわけ強い調子で批判した。；幼い頃から三味線の音を聞き分け、調子を合わせることができたという。；この調子で損失が続けば、その数は極めて大きなものとなるだろう。；秋には調子を上げセントレジャーステークスを6馬身差で楽勝している。；同年は打撃の調子や足の状態が良好で、毎試合スタメン出場を続けた。；翌シーズン以降は鼻の骨折等の怪我で調子を落とし出場時間は減少していった。；理由は「ベースが調子に乗って前に出ているから」であるという。；そのため調子の良い日は止められず、猛打賞を142回記録している。；「こんな調子じゃ他にも」と先達が思っていると、もう一人出てきた。；後に打撃の調子を落としたものの、守備やバントが前提の代打などで活躍。；しかし、左太腿肉離れなど故障もあって次第に調子を落としていった。；は後半戦調子を上げてきたフェラーリ勢との争いになった。；タチアーナはいっそう強い調子でオネーギンを拒絶し、部屋を後にする。</t>
        </is>
      </c>
      <c r="J5421">
        <f>HYPERLINK("https://www.weblio.jp/content/調子", "词义详情")</f>
        <v/>
      </c>
      <c r="K5421">
        <f>HYPERLINK("https://yourei.jp/調子", "查看例句")</f>
        <v/>
      </c>
    </row>
    <row r="5422">
      <c r="A5422" t="inlineStr">
        <is>
          <t>徴収</t>
        </is>
      </c>
      <c r="B5422" t="inlineStr">
        <is>
          <t>成功</t>
        </is>
      </c>
      <c r="C5422" t="inlineStr">
        <is>
          <t>読み方：ちょうしゅう
［名］(スル)
１金銭などを取り立てること。「会費を—する」
２国または公共団体が国民から租税・手数料・現品などを強制的に取り立てること。「税金を—する」「源泉—」</t>
        </is>
      </c>
      <c r="D5422" t="inlineStr">
        <is>
          <t>徴収する(21%)；徴収される(6%)；徴収法；徴収官；徴収期間</t>
        </is>
      </c>
      <c r="E5422" t="inlineStr">
        <is>
          <t>回収；集める；取り立て；募る；徴税</t>
        </is>
      </c>
      <c r="F5422" t="inlineStr">
        <is>
          <t>年貢徴収；税徴収；徴収員；賦課徴収；源泉徴収</t>
        </is>
      </c>
      <c r="H5422" t="n">
        <v>29</v>
      </c>
      <c r="I5422" t="inlineStr">
        <is>
          <t>幾度かの法改正を経た結果、以下のように改善および徴収が強化された。；保険料は、以下の場合は納期前であってもすべて徴収することができる。；そして、税を徴収するために人口調査のような改革策をいくつか実施した。；橋には車道と並んで歩道があったが、車両のみ通行料金を徴収していた。；また報告徴収・質問は犯罪捜査のために認められたものと解釈してはならない。；ただし島民とそれ以外の者とで税額や徴収方法に区別を設けていた。；女性の洗髪料金を徴収できることは、過去に厚生省令で認められていた。；特に荘園では年貢徴収を指して勧農と呼ぶ例も見られるようになった。；ベイたちには租税の徴収が与えられ、土地は征服者の一族に世襲された。；実際の藩牧経営は地元農民に転嫁され、夫役を徴収して行われていた。；初代藩主徳川義直は正保元年に藩士から百石につき1両の金を徴収した。；これに伴い、2002年6月以降は会費及び裁判対策費用の徴収を停止。；内田家が水銀の徴収を始めたのが1732年からであることがわかる。；また、都の業務の性格から、本来市税であるもののうち一部は都が徴収する。；また、料金所の徴収員もいないため、管理費用も従来型より抑えられている。；とする規定が定められて、これを元に徴収が行われていた。；カピタン・モールは商人から委託された商品から一定の輸送料を徴収した。；他にも荷出役銭を徴収するなどしたが、効果はなく失敗に終わる。；また、未納等の要因に応じた効率的・効果的な徴収対策も不十分であった。；高速道路は出入り口制限されているために料金を徴収する場合がある。；都市や郡も消費税を徴収するので、実際にはさらに高い率になる。；ただし同月中に収容等されなくなった場合は保険料は徴収される。；この方式での利用料徴収は、国内では東京国際空港についで2例目である。；料金を徴収する優等列車に本系列が充当された唯一の例と推察される。；下のリストはその内で入場料を徴収するものの上位10施設である。；なお、運賃を徴収しないため、乗合登録ではなく、貸切登録されている。；その一方で、客には取引所で売買したことにして手数料や証拠金を徴収する。；もう一つは、各給人がそれぞれの知行地の年貢を徴収していたことであった。；税徴収目的での過払金の返還を命じる判決はこの判決が初のケースとなる。</t>
        </is>
      </c>
      <c r="J5422">
        <f>HYPERLINK("https://www.weblio.jp/content/徴収", "词义详情")</f>
        <v/>
      </c>
      <c r="K5422">
        <f>HYPERLINK("https://yourei.jp/徴収", "查看例句")</f>
        <v/>
      </c>
    </row>
    <row r="5423">
      <c r="A5423" t="inlineStr">
        <is>
          <t>長所</t>
        </is>
      </c>
      <c r="B5423" t="inlineStr">
        <is>
          <t>成功</t>
        </is>
      </c>
      <c r="C5423" t="inlineStr">
        <is>
          <t>読み方：ちょうしょ
性質や性能などで、すぐれているところ。「—を伸ばす」「—を生かす」⇔短所。</t>
        </is>
      </c>
      <c r="D5423" t="inlineStr">
        <is>
          <t>長所在駅；長所美点；長所を結合せる；長所をうまく；長所を認識</t>
        </is>
      </c>
      <c r="E5423" t="inlineStr">
        <is>
          <t>武器；良；価値；値；特性</t>
        </is>
      </c>
      <c r="F5423" t="inlineStr">
        <is>
          <t>それぞれ長所；主な長所；あらゆる長所；長所在；やすいという長所</t>
        </is>
      </c>
      <c r="G5423" t="inlineStr">
        <is>
          <t>長所は短所</t>
        </is>
      </c>
      <c r="H5423" t="n">
        <v>29</v>
      </c>
      <c r="I5423" t="inlineStr">
        <is>
          <t>僕は友達から自分の長所を認められる事をそんなに大切な事とは思はない。；これはヤクルトの長所を顧客に説明し普及する必要があったためである。；initに比較して何らかの長所を持つ代替がいくつも開発されてきた。；情報をアナログ的に処理することの長所として以下のようなものがある。；また、寒冷地や乾燥地でも栽培が可能であることも長所であると言える。；固より此種の方法に於て幾多の長所があることを認めざるを得ないと思ふ。；翌年大勢の人々がここに入植し、この場所の長所に親しむようになった。；散剤などと異なり外見で何の薬か識別できることも長所のひとつである。；一般に交差点を設計した場合、その長所と短所を比較検討することが多い。；真珠湾攻撃では長所を発揮し米海軍も戦争後半で採用して効果を発揮した。；古い端末でもほとんどの場合動作可能であり、単純な点が長所である。；これらの建築制限の長所は他の地より見た目が良くなることである。；尻尾や翼を使った攻撃も多く、リーチが長めで攻撃範囲も広いのが長所。；なお、一つの項目が長所と短所の両方を包含する場合があることに留意。；ギター本体に切削などの大きな改造を施すことなく後付けできる点が長所。；その金髪の物件の長所を高く評価するのは商品を知っている人間だけだった。；其の晩高橋は何でも人の長所ばかりを見ようと努めてゐるやうだつた。；肩付け式の砲の長所は目標への追従性が高く、行進射が可能な点であった。；白兵・遠距離での攻撃が得意など、それぞれが長所・短所を持っている。；複数の車両の制御装置を同時に遠隔操作できるのが最大の長所である。；又見ずにはいられない場合もその短所を補うべき何か他の長所を探したであろう。；といふのも細雪が谷崎文学の長所を十分に発揮した作品だからである。；両者の長所は液化装置と気化装置が継続的に圧力下におかれることだった。；日本語の長所のよく発揮された一例と見るべきであろう。；さらに陶器と磁器の両方の長所をもつストーン・ウェアの開発にも成功。；どちらかと言えば、合挽き肉の方が両方の長所が引き立ってよいとされる。；以上のように明らかな制限がある一方、RCXにはない次のような長所がある。；セラミックス材料などと比較して金属材料は高靱性であることが長所である。；このような義務づけ型の制度は、理論上は下記のような長所を持つと考えられた。</t>
        </is>
      </c>
      <c r="J5423">
        <f>HYPERLINK("https://www.weblio.jp/content/長所", "词义详情")</f>
        <v/>
      </c>
      <c r="K5423">
        <f>HYPERLINK("https://yourei.jp/長所", "查看例句")</f>
        <v/>
      </c>
    </row>
    <row r="5424">
      <c r="A5424" t="inlineStr">
        <is>
          <t>長女</t>
        </is>
      </c>
      <c r="B5424" t="inlineStr">
        <is>
          <t>成功</t>
        </is>
      </c>
      <c r="C5424" t="inlineStr">
        <is>
          <t>読み方：おさめ
平安時代、雑用などにあたった下級の女官。一説に、その女官頭とも、下級の老女のことともいう。</t>
        </is>
      </c>
      <c r="D5424" t="inlineStr">
        <is>
          <t>長女マリー；長女エリザベス；長女b；長女メアリー；長女マリア</t>
        </is>
      </c>
      <c r="F5424" t="inlineStr">
        <is>
          <t>第一子長女；長女マル；長女アンナ；長女アリス；長女美佐子</t>
        </is>
      </c>
      <c r="H5424" t="n">
        <v>29</v>
      </c>
      <c r="I5424" t="inlineStr">
        <is>
          <t>二人の間には翌年長女・紅良が、その3年後には長男・成四が生まれた。；金丸の長男と竹下の長女は結婚し共通の孫までいる関係なのは有名である。；長女の平泉季里子はテレビ朝日でドラマ等の宣伝・編成を担当している。；結婚をしていて長男と長女がいるがその長男と長女は双子産まれである。；そんな中、長年アメリカへ留学していた長女・富貴子が突然帰国した。；長女はサンフランシスコの図書館員、長男は実業家で父の会社を継いだ。；未成年でアメリカへ留学中の長女と次女の親権は元夫が持つこととなった。；奇しくもこの6月23日は牛島の長女麗子が東京で結婚した日であった。；なお、岳の姉で椎名の長女である渡辺葉は、本作中には全く登場しない。；都知事就任時には既に再婚しており、後妻との間に長女をもうけている。；初富入植後に長女・長男を呼び寄せ家族で暮らせるようになったという。；妻は比較文学研究者で東京大学教養学部教授等を務めた前田陽一の長女。；西部の執筆活動の実務を担当していた長女の西部智子も引退した。；主な神話によればクロノスとレアーの長女であり、ゼウスらの姉である。；許氏との間には長女李平陽と長男李伯禽という2人の子が生まれている。；父親が大蔵省印刷局に勤務する国家公務員の家庭に長女として生まれた。；杉本甫は岩崎康弥・とし夫妻の三女・和歌子と結婚して長女をもうけた。；確実に血筋が後世に伝わっているのは長女アリピアの系統のみである。；また2003年から森の長女の川原理子がスタッフに加わっていた。；結婚の翌年である寛政6年には長女・、寛政8年には二女・が生まれた。；このとき長女インゲの夫であるも逮捕され、禁固2年の判決を受けた。；長女のゾヤ・チャウシェスクは数学者であり、複数の論文を発表している。；妻は女優・タレントの生田智子で、2004年に誕生した長女がいる。；そしてロック・ウィロウ農場はその波のちょうじょうの上に立っているんです。；なおはわずかな全財産を長女の娘婿に譲ることで座敷牢から出ることが出来た。；やがてふたりは結婚し、1950年9月23日に長女・順子が生まれた。；そしてなによりも、長女の良き伴侶として文句の付けようがない夫だった。；フリーのイラストレーターを経て、長女の誕生をきっかけに絵本作家へ。；ワイマンとの間には長女のと養子に迎えた長男のがいる。</t>
        </is>
      </c>
      <c r="J5424">
        <f>HYPERLINK("https://www.weblio.jp/content/長女", "词义详情")</f>
        <v/>
      </c>
      <c r="K5424">
        <f>HYPERLINK("https://yourei.jp/長女", "查看例句")</f>
        <v/>
      </c>
    </row>
    <row r="5425">
      <c r="A5425" t="inlineStr">
        <is>
          <t>頂上</t>
        </is>
      </c>
      <c r="B5425" t="inlineStr">
        <is>
          <t>成功</t>
        </is>
      </c>
      <c r="C5425" t="inlineStr">
        <is>
          <t>読み方：ちょうじょう
１山などのいちばん高いところ。いただき。「富士山の—に立つ」
２最高の状態に達していること。絶頂にあること。「景気が—に達する」
３最高の地位、また、その人。「財界の—会談」
４「重畳(ちょうじょう)2」に同じ。
「誰も怪我が無うて—や」〈上司・太政官〉</t>
        </is>
      </c>
      <c r="D5425" t="inlineStr">
        <is>
          <t>頂上付近(4%)；頂上近く；頂上決戦；頂上直下；頂上部分</t>
        </is>
      </c>
      <c r="E5425" t="inlineStr">
        <is>
          <t>先；山；先端；峠；山頂</t>
        </is>
      </c>
      <c r="F5425" t="inlineStr">
        <is>
          <t>頂上フィニッシュ；頂上直下ウォール；頂上山荘；頂上めざし</t>
        </is>
      </c>
      <c r="G5425" t="inlineStr">
        <is>
          <t>頂上駅；頂上会談</t>
        </is>
      </c>
      <c r="H5425" t="n">
        <v>29</v>
      </c>
      <c r="I5425" t="inlineStr">
        <is>
          <t>ヴィオール橋の特別なところは線路が橋の頂上を通っていることである。；山の頂上には夏でも雪が残っており、低い場所には森が広がっている。；頂上近くまで舗装された道路が整備されており車で行くことが可能である。；そこはマサチューセッツ州内に頂上があるフリッセル山の南斜面にある。；いずれの山にも頂上付近に神社があり、信仰の対象ともなっている。；トリンブルはその連隊幾つかを丘の頂上背後に見えないように置いていた。；なお、10年ほど前には頂上の中心に位置していた赤い鉄塔が撤去済み。；頂上そばに車道が通じ、急勾配ではあるが登山道もよく整備されている。；年間数百人の登山家が頂上を目指すが、その大半は途中で下山している。；深く切り込んだ谷で分けられた頂上の平たい山があるのが特徴である。；メイ夫人の家から4分の1マイルばかり進んだところが丘の頂上であった。；ベルは自分の所有する地所であるベイン・バリー山の頂上に埋葬された。；そのため特に冬季は奈良北西部では生駒山の頂上に近い低い気温となる。；頂上から土器片が採取されており、古墳時代後期のものとみられている。；また、北側の中腹ほどにある春日神社を通りぬけて頂上に行く道もある。；山頂への道は頂上の電波塔の管理のための道なので自動車道になっている。；修道院から先はケーブルカーを利用して頂上まで行くことができる。；山の頂上の平坦な地点には牧場があり、ヒツジが草を食む姿も見られる。；絶望した姫は琴弾峠の頂上近くにある池に身を投げて命を絶った。；パラードたちは山の頂上に到達したが、パラードはその光景に息を飲んだ。；なお、火山の頂上に自らの剣を隠しているが、意図は明らかにされていない。；山頂直下北には1931年に建てられた売店営業のみの頂上小屋がある。；このうち4日に開催された世界平和頂上連合総会に出席しスピーチした。；彼は1240年に丘の頂上に新たな城を築き、正教会の主教座を置いた。；ジグラットは頂上に位置する神殿へとつながる階段の土台となっていた。；高いところが好きで、ボースンチェアを使って塔の頂上まで登ったという。；頂上より少し下がった平らな部分を山の肩、瓶の肩などと呼ぶことがある。；吉田ルートは頂上への4コースの内で小屋の数が多く、登山者の数も多い。；賞花亭は、池の南側にある大きな島の頂上よりやや西に北面して建つ。</t>
        </is>
      </c>
      <c r="J5425">
        <f>HYPERLINK("https://www.weblio.jp/content/頂上", "词义详情")</f>
        <v/>
      </c>
      <c r="K5425">
        <f>HYPERLINK("https://yourei.jp/頂上", "查看例句")</f>
        <v/>
      </c>
    </row>
    <row r="5426">
      <c r="A5426" t="inlineStr">
        <is>
          <t>聴診器</t>
        </is>
      </c>
      <c r="B5426" t="inlineStr">
        <is>
          <t>成功</t>
        </is>
      </c>
      <c r="C5426" t="inlineStr">
        <is>
          <t>読み方：ちょうしんき
聴診に用いる器具。1819年、フランスの医師ラエネックが考案し試用。患者のからだに当てる部分と医師が耳に当てる部分と、それをつなぐ管とからなる。</t>
        </is>
      </c>
      <c r="D5426" t="inlineStr">
        <is>
          <t>聴診器を当て(10%)</t>
        </is>
      </c>
      <c r="H5426" t="n">
        <v>29</v>
      </c>
      <c r="I5426" t="inlineStr">
        <is>
          <t>医長が部屋に入ってきて聴診器を胸に当てはじめて不審気な顔になった。；医者は聴診器で胸と背中をちょっと視た上、いきなり自分の鼻を撮んだ。；医者は一寸暗い顔をしましたが、兄の胸を開いて、聴診器をあてました。；近年では、集められた音を電気的に増幅する聴診器も開発されている。；それでも彼は聴診器を耳に入れて佐田の裸の体を診察してくれました。；医術の心得があるらしく、聴診器を首から提げている姿がよく見られた。；そのあとから学生風の若い医者が聴診器を握って愛子の病室に駆けていった。；ただし、当初の聴診器は1本の筒形の木でできた単純なものであった。；医者はそれに聴診器をひととおり匍わせたあと、近ごろの状態を訊いた。；怒鳴りながらも、彼の手は忙しなく首にかけた聴診器をまさぐっていた。；聴診器で彼女の心臓の鼓動を聞いてから、平手で軽くその頬を叩いた。；少したって、心音を聞いていた医官の聴診器がカウの胸からはずされた。；白衣も聴診器も燃えてしまったので、今となっては彼も着のみ着のままだ。；それから胸の辺りだけ一寸開いて、聴診器をあちこちと当てていた。；そのひとつが、こんにちもなお医師が手ばなすことのない聴診器だ。；基一郎は普通の診察のほかに患者の頭に聴診器をあてるのである。；この鈴木先生の聴診器を、ある女医は、神様の耳だと言ったことがある。；聴診器のようにプローブを患者にあてるだけで、診断結果が表示される。；この年とった教授は聴診器をしまいながら叔父に云った。；厳粛な院長は、にっこりともしないで、じっと聴診器に耳を当てていた。；毎週一度くらいは胸に聴診器をあてて貰うが別に異状はないようだ。；心臓がすっかり停止するまでには、さらにもうしばらく聴診器をあてたままでいなくてはならない。；また現在は外部音を低減させ、身体の音を増幅させる電子聴診器も開発されている。；聴診器のようにプローブを患者にあてるだけで診断結果が表示される。；あらかじめ装着された長い聴診器により、外部から医師が死を判定する。；裸にさせられた克夫の薄い胸に聴診器を当て、顔を斜めにして音を聴く表情をした。；聴診器を当てますから、前原さんのすべすべのお胸を見せて下さい〜。；首からかけた聴診器が胸の辺りで揺れている。；それから医者の役をやった安井へ聴診器を送って、あのスタジオへ呼び出した。</t>
        </is>
      </c>
      <c r="J5426">
        <f>HYPERLINK("https://www.weblio.jp/content/聴診器", "词义详情")</f>
        <v/>
      </c>
      <c r="K5426">
        <f>HYPERLINK("https://yourei.jp/聴診器", "查看例句")</f>
        <v/>
      </c>
    </row>
    <row r="5427">
      <c r="A5427" t="inlineStr">
        <is>
          <t>調整</t>
        </is>
      </c>
      <c r="B5427" t="inlineStr">
        <is>
          <t>成功</t>
        </is>
      </c>
      <c r="C5427" t="inlineStr">
        <is>
          <t>読み方：ちょうせい
［名］(スル)ある基準に合わせて正しく整えること。過不足などを正してつりあいのとれた状態にすること。「いろいろな意見を—して一本化する」「テレビの画面を—する」</t>
        </is>
      </c>
      <c r="D5427" t="inlineStr">
        <is>
          <t>調整すること(3%)；調整できる；調整するため；調整される；調整可能</t>
        </is>
      </c>
      <c r="E5427" t="inlineStr">
        <is>
          <t>変更；連絡；統一；総合；改め</t>
        </is>
      </c>
      <c r="F5427" t="inlineStr">
        <is>
          <t>再調整；連絡調整；時間調整；バランス調整；企画調整</t>
        </is>
      </c>
      <c r="G5427" t="inlineStr">
        <is>
          <t>調整役；調整中；調整区域；調整ルーム；調整金</t>
        </is>
      </c>
      <c r="H5427" t="n">
        <v>29</v>
      </c>
      <c r="I5427" t="inlineStr">
        <is>
          <t>したがって、ラムの種類を変えることでも味の調整を行うことができる。；当然のことながらスピーカーの左右バランスを調整しても解決はしない。；その後1943年に周辺区と境界を調整して現在の区域となっている。；標準的な速度は毎分30mであるが、速度は調整することが可能である。；各メーカーや小売店はこの指数を元に、生産や販売の調整を行っている。；測量技師が作業のエラーのレベルを計算すると、観測の調整がなされる。；各マークはロープからはがして張る位置を調整できるようになっている。；タンパク質の生成・分解を調整することによって筋肉の維持に関与する。；中央銀行はこの通貨量を調整する権限を持つため大きな影響力を持つ。；軍事的理由から、ドイツとの国境線はほぼ最短となるように調整された。；米国防総省の社会主義的な受注調整の対象になると見込まれた為である。；このため、ペグの調整が不完全な状態であると調弦が極めて困難である。；裁判所の大きさやその管轄範囲を調整することで司法権を管理できる。；各省には大臣が置かれ、連絡・調整機関として大臣委員会が組織された。；東京商工会議所が出資社の取りまとめや調整を行った上で開局に至った。；これ以降、立法権は皇帝が二院と調整した上で実行されることになる。；推力調整の必要が無いので固体燃料ロケットエンジンを用いる事が多い。；こうして資本移動での経済の調整メカニズムはあまり機能しなくなる。；そのため、スポーツセダンに入るかどうかは足回りなどの調整で決まる。；また、特別バージョンの調整がなされた基板でゲームを遊ぶことができる。；しかし順調な調整と鍛錬が妨げられ、結果的には競走成績に反映された。；焼きつけ工程では、いくつかの調整によって結果を変えることができる。；ただし本来これは演奏様式の拡張用ではなく、誤差を調整するためのものである。；おおさか東線の一部列車は当駅で時間調整のため数分停車する。；中断セーブに加えて新たに戦闘速度を5段階で調整できる機能が追加された。；こうした調整の結果、需要量と供給量が一致する価格が実現すると考えられる。；また関係機関との調整やアザラシが死亡した場合の対応なども助言していた。；位置方向が固定された物の上にある表示面の場合、見る人の向きを調整するとよい。；身体的な治療、言語や行動を介した治療、社会的な環境調整である。</t>
        </is>
      </c>
      <c r="J5427">
        <f>HYPERLINK("https://www.weblio.jp/content/調整", "词义详情")</f>
        <v/>
      </c>
      <c r="K5427">
        <f>HYPERLINK("https://yourei.jp/調整", "查看例句")</f>
        <v/>
      </c>
    </row>
    <row r="5428">
      <c r="A5428" t="inlineStr">
        <is>
          <t>調節</t>
        </is>
      </c>
      <c r="B5428" t="inlineStr">
        <is>
          <t>成功</t>
        </is>
      </c>
      <c r="C5428" t="inlineStr">
        <is>
          <t>読み方：ちょうせつ
［名］(スル)ほどよく整えること。つりあいのとれた状態にすること。「ステレオの音量を—する」「温度—」</t>
        </is>
      </c>
      <c r="D5428" t="inlineStr">
        <is>
          <t>調節すること(5%)；調節される(3%)；調節できる(3%)；調節因子(3%)；調節機構</t>
        </is>
      </c>
      <c r="E5428" t="inlineStr">
        <is>
          <t>管理；左右；調整；整理；コントロール</t>
        </is>
      </c>
      <c r="F5428" t="inlineStr">
        <is>
          <t>免疫調節；転写調節；調節器；自動調節；遺伝子調節</t>
        </is>
      </c>
      <c r="G5428" t="inlineStr">
        <is>
          <t>調節部位；調節地</t>
        </is>
      </c>
      <c r="H5428" t="n">
        <v>29</v>
      </c>
      <c r="I5428" t="inlineStr">
        <is>
          <t>彼はさらにその製氷機を使って建物全体の温度を調節しようと考えた。；これにサポートブロックと呼ばれるものをつけて高さを調節する。；重力の及ぶ範囲は、部屋の中程度から野比家の近所辺りまで調節できる。；人工呼吸器を用いた長期管理を行う場合は、設定の調節が必要となる。；様々な厚みを持つ板で、行間の空き量を調節するためなどに用いられる。；展開角は最大50度であり、10度ずつの間隔で調節することができた。；側鎖の導入率、位置、長さは免疫調節機能に影響があると推測される。；重要な機能の1つは、物質の細胞への出入りを調節することである。；中央で調節するものと左右の上皿の下部にある螺子で調節するものがある。；身を洗う時の水の温度加減や時間で、身の風味や食感をやや調節できる。；電球のワット数が低いほど露光時間は長くなるが、時間調節は楽である。；一見無関係ないくつかの病気は、調節回路を共有していることがわかった。；機器の動作のための十分な電源、温度調節のための空調設備も必要である。；輸出の大部分が石油で、貿易黒字を維持するために輸出量は調節している。；光の強さに加え光の波長も、時計を調節する能力を決める重要な因子である。；アイロンには、掛け面の温度を調節するスイッチが装備されている。；絞り値を調節し、被写界深度を意識した撮影をする場合に有効である。；そのため、音が変化するたびに常にアンブシュアを調節しなければならない。；息を吹き出す長さや強さ次第で、竜巻の形や大きさもいろいろと調節できる。；カラー電話機の登場と同時期からベル音の調節ができるようになった。；これは内分泌系が卵胞形成を厳密に調節しているのではない事を示す。；また、この水による高さ調節は減速する際にも用いられることになっていた。；利子調節が問題を解決するのではなく、景気後退が問題を解決するのである。；時間軸発生器は、信号の期間に合わせて掃引時間を調節できるようになっている。；目的に応じて適切な固定剤の選択と条件の調節を行うことで相当の効果を上げることができる。；ピント調節が可能ではあるが、思ったほど調節しないとの声が多い。；配管内の水の循環により直接金型の温度を調節する直接冷却方式である。；爪は送り量調節ねじにつながっており、一度に進む歯数を調節する。；点眼薬を使って調節を麻痺させないかぎり完全に無くなることはない。</t>
        </is>
      </c>
      <c r="J5428">
        <f>HYPERLINK("https://www.weblio.jp/content/調節", "词义详情")</f>
        <v/>
      </c>
      <c r="K5428">
        <f>HYPERLINK("https://yourei.jp/調節", "查看例句")</f>
        <v/>
      </c>
    </row>
    <row r="5429">
      <c r="A5429" t="inlineStr">
        <is>
          <t>挑戦</t>
        </is>
      </c>
      <c r="B5429" t="inlineStr">
        <is>
          <t>成功</t>
        </is>
      </c>
      <c r="C5429" t="inlineStr">
        <is>
          <t>読み方：ちょうせん
［名］(スル)
１戦いや試合をいどむこと。「—に応じる」「世界チャンピオンに—する」「—状」
２困難な物事や新しい記録などに立ち向かうこと。「世界記録に—する」「エベレスト登頂に—する」</t>
        </is>
      </c>
      <c r="D5429" t="inlineStr">
        <is>
          <t>挑戦する(16%)；挑戦的(4%)；挑戦権(3%)；挑戦状(2%)；挑戦者</t>
        </is>
      </c>
      <c r="E5429" t="inlineStr">
        <is>
          <t>抵抗；反抗；挑む；チャレンジ；抗戦</t>
        </is>
      </c>
      <c r="F5429" t="inlineStr">
        <is>
          <t>王座挑戦；再挑戦；タイトル挑戦；格上挑戦；重賞挑戦</t>
        </is>
      </c>
      <c r="G5429" t="inlineStr">
        <is>
          <t>挑戦手合；挑戦的行動；挑戦手合い</t>
        </is>
      </c>
      <c r="H5429" t="n">
        <v>29</v>
      </c>
      <c r="I5429" t="inlineStr">
        <is>
          <t>既存のプライム枠のドラマとは違う新しい路線のドラマに挑戦してきた。；日本代表のW杯出場への挑戦が、現実的な目標となったのはこの時から。；なお合意があれば防衛艇と挑戦艇の船型が異なることも認められている。；かつては里中が得意とするスカイフォークの習得に挑戦したこともある。；この年の秋にはNWA世界王者リック・フレアーへの挑戦権も獲得した。；新しい挑戦こそが、プロフェッショナルの成功に貢献すると主張していた。；郊外型ショッピングセンター内での百貨店運営への挑戦も失敗に終わった。；ロシアのチームは、この反応に再挑戦する前に設備を更新することを計画していた。；ただし、母子家庭の家族が登場し、そのときは母親が挑戦したこともある。；マスコミ宛に世間一般への公開を前提とした初めての挑戦状だった。；過去は振り返らないようにしており、常に新しいことへ挑戦する姿勢だった。；その時点ですでにマラソンへの挑戦がマスコミでは期待されていた。；そこで陣営は、これまで避けてきた長距離の遠征への挑戦を決意する。；多くの化学者が単離に挑戦して失敗し、中には実験中に亡くなった者もいた。；有川は、このシーンでぬいぐるみ表現の限界に挑戦したことを語っている。；この番組ではレギュラー挑戦者の三浦康一も「轟二郎」名義で出場した。；また、モータースポーツにも挑戦しており、国内のレースに参加している。；試合が終わると「誰か挑戦する人はいませんか」と観客の飛び入りを求めた。；得点の高いチームから挑戦し、終了時点で上位数チームが決勝進出となる。；失敗すると次に正解数の多いチームに挑戦権が移り、当たるまで続けられた。；通常のお父さんだけが挑戦する宿題と違い、家族全員で挑戦する宿題。；再度繰り返し模様の作品に挑戦しはじめたのである。；父は科挙に挑戦してことごとく失敗したため、貧しい教師生活をしていた。；一次予選・二次予選・挑戦者決定トーナメントの3段階で挑戦者を決定する。；また、早口言葉に挑戦する女性を上岡が抽選する際にはお約束があった。；今までラジオでなかったことをやろうと多くのタブーに挑戦した。；挑戦前後の解答者が座っており、解答者の名前と正解数が表示された。；別の場所で再挑戦すると今度は見事に蹴破ることができた。；第62期王座戦では、2回目のタイトル挑戦となった豊島将之を迎えた。</t>
        </is>
      </c>
      <c r="J5429">
        <f>HYPERLINK("https://www.weblio.jp/content/挑戦", "词义详情")</f>
        <v/>
      </c>
      <c r="K5429">
        <f>HYPERLINK("https://yourei.jp/挑戦", "查看例句")</f>
        <v/>
      </c>
    </row>
    <row r="5430">
      <c r="A5430" t="inlineStr">
        <is>
          <t>頂戴</t>
        </is>
      </c>
      <c r="B5430" t="inlineStr">
        <is>
          <t>成功</t>
        </is>
      </c>
      <c r="C5430" t="inlineStr">
        <is>
          <t>読み方：ちょうだい
［名］(スル)
１もらうこと、また、もらって飲食することをへりくだっていう語。「結構な品を—いたしました」「お𠮟りを—する」「もう十分—しました」
２（多く、女性・子供の用いる語）
㋐物を与えてくれ、また、売ってくれという命令の意を、親しみの気持ちをこめて促すようにいう語。ください。「それを—」「牛肉500グラム—」
㋑「…てちょうだい」の形で補助動詞の命令形のように用いて、相手に何かをしてもらうのを促す気持ちを、親しみをこめていう語。「その新聞を取って—」
３顔の上にささげ持つこと。
「黄衣の神人神宝を—して、次々に順(したが)ふ」〈太平記・三九〉
［アクセント］1はチョーダイ、2はチョーダイ。
[補説]電話の応対などで「お名前を頂戴できますか」などと言うが、これは正しくない。「名前を頂戴する」というのは、例えば主君の名をそのまま、またはその一部を戴いて自分や子供の名にすることである。よって簡略には「お名前をお願いします」、さらには「お名前をお聞き（お伺い）できますか」くらいでよい。平成10年代半ば頃から広がったという。</t>
        </is>
      </c>
      <c r="D5430" t="inlineStr">
        <is>
          <t>頂戴する(11%)；頂戴いたし(4%)；頂戴しよ；頂戴致し；頂戴できる</t>
        </is>
      </c>
      <c r="E5430" t="inlineStr">
        <is>
          <t>受ける；得る；取る；もらう；受け取る</t>
        </is>
      </c>
      <c r="F5430" t="inlineStr">
        <is>
          <t>つて頂戴；涙頂戴；来て頂戴；有難く頂戴；といて頂戴</t>
        </is>
      </c>
      <c r="H5430" t="n">
        <v>29</v>
      </c>
      <c r="I5430" t="inlineStr">
        <is>
          <t>それというのも、ただちょっとばかり血を頂戴しただけのためなのです。；ことわっておきますが、これは決して私が頂戴するんじゃありませんよ。；そうして銀のケースの中から葉巻を一本頂戴してみる事にしてみよう。；ところでね、私がどんなふうにこの新家庭に迎えられたか聞いて頂戴。；そんなことさせられるくらいなら暇を頂戴すると言い出してしまう。；島山のはまだ縫えないし、あるのは古いから、我慢して寝衣に着て頂戴。；主人ゆずりの娘を頂戴したくなければ嫌だといって差支えない時代である。；獲った魚を貯蔵庫に押し込み、自らもその中に入って頂戴しようとする。；大へん疲れていらつしやるから、旅行する前にこれを食べて力をつけて頂戴。；ちょっと相談があってやってきたんだから、おとなしくしていて頂戴。；二人とも気象庁の制服を着て連絡宇宙艇を一隻頂戴に及ぼうと試みた。；お宅様へ上り込んでお茶を頂戴するような人間では御座いません。；あんたがさういふ決心をしたのなら、もう少しをばさんにも考へさして頂戴。；郷党の先輩で財界の有力者に見込まれて、その令嬢を頂戴したのである。；代わりのやつを頂戴するのはずっと先のことだろうからな。；無坪兄から見事な壺を頂戴した、兄その人に触れたやうな気がした。；あまり高いことさえおっしゃらなければ、手前が頂戴してもいいんですがね。；物を欲しがる時何をおくれと教えられる事もあるし頂戴と教えられる事もある。；たぶんそいつを頂戴することになるだろう、ちゃんと料理してな。；「あなたは今すぐお二階へお帰りになって頂戴」と彼女は言った。；やがて食事を命じ、われわれが頂戴するのを、じっと見ていられた。；だが近ごろはやりの、お涙頂戴の感傷的な態度が私には我慢ならんのだよ。；行くなら行く、行かないなら行かない、それとはつきり云つて頂戴。；では、わたしが着物が脱げるように、お顔を壁のほうにお向けになって頂戴。；その一番前のが、一九四六年ヘンメル家から、頂戴して来たものだ。；そのため一歩踏み出したばかりで、御褒美の水引きを先へ頂戴してしまった。；これが済んだら、貴君勝手に出て、私の自動車の中で待っていて頂戴!；妹から心づくしの浴衣と汗の結晶とを贈つてくれた、すなほに頂戴する。；この美しさは前述したとおり、後柏原天皇の賛美の声を頂戴したほどである。</t>
        </is>
      </c>
      <c r="J5430">
        <f>HYPERLINK("https://www.weblio.jp/content/頂戴", "词义详情")</f>
        <v/>
      </c>
      <c r="K5430">
        <f>HYPERLINK("https://yourei.jp/頂戴", "查看例句")</f>
        <v/>
      </c>
    </row>
    <row r="5431">
      <c r="A5431" t="inlineStr">
        <is>
          <t>調達</t>
        </is>
      </c>
      <c r="B5431" t="inlineStr">
        <is>
          <t>成功</t>
        </is>
      </c>
      <c r="C5431" t="inlineStr">
        <is>
          <t>読み方：ちょうたつ
［名］(スル)《「ちょうだつ」とも》必要な金品などを取りそろえること。また、取りそろえて届けること。「資金の—」「資材を—する」</t>
        </is>
      </c>
      <c r="D5431" t="inlineStr">
        <is>
          <t>調達する(15%)；調達できる；調達しよ；調達数；調達先</t>
        </is>
      </c>
      <c r="E5431" t="inlineStr">
        <is>
          <t>獲得；取得；都合；募る；確保</t>
        </is>
      </c>
      <c r="F5431" t="inlineStr">
        <is>
          <t>物資調達；食料調達；食糧調達；武器調達；資金調達</t>
        </is>
      </c>
      <c r="G5431" t="inlineStr">
        <is>
          <t>調達実施本部；調達物流</t>
        </is>
      </c>
      <c r="H5431" t="n">
        <v>29</v>
      </c>
      <c r="I5431" t="inlineStr">
        <is>
          <t>この当時専用機械をスウェーデンのテトラパック本社から調達していた。；この時に調達されたモデルは戦後型、あるいは1923年型と呼ばれる。；調達価格は整備用工具や予備消耗部品が含まれた総合価格となっている。；実情としては武器・兵器の調達はその価格のため更新が進んでいない。；事業の継続のために必要な資金を調達することが不可能であったことが理由とされる。；これは消音性が宣伝されていたことから調達されたものであった。；初期に導入された機体から退役が始まっているが、現在も調達が続いている。；昭和43年度以降、警察が調達する拳銃は本銃に一本化されることとなった。；また、この頃専門工事業者の調達に着目した方式が注目されるようになった。；このビジネスが成功したことで飛行機の開発資金を調達することが可能となった。；そしてその調達した資金の運用成果を説明する責任を持つ。；しかし発展型のSM-6の実用化に伴い、調達はこちらに移行している。；第二次世界大戦末期の時期にも著作出版のための紙の調達に便宜を図っている。；だが、当初は資金難だったためドイツやスペインから資金を調達していたという。；現地調達される場合は板金部品から積極的に適用されることが多い。；近年では構成部品の価格適正化のために、一部の部品を韓国の社より調達している。；ファンが多い作品では、安価にかつ大量に調達できるメリットがある。；量産品の場合の製作継続期間中に途切れることなく調達可能であるか。；しかし、中期防衛整備計画で調達が打ち切られたため実現することはなかった。；アメリカのプロジェクト調達方式は更に多様化している。；建設は日中戦争の最中に行われたため、軍事上必要な鉄の調達は難航したという。；これにより調達した円資金を外国為替市場で売却し、ドルを買い入れる。；この分村に必要な資金は農産品を外部に販売することで外部より資金を調達している。；また転換社債を大量に発行して無借金で莫大な建設費用を調達した。；実際、本級の調達費のうち、電子機器関連の経費のみで約半分を占めている。；背景には資金の調達や人選、これまでの薩長の確執などもあったとみられる。；作戦後は実際に里見機関などができて軍事費の調達に貢献した。；調達コストの割高/割安もLIBORとの比較で表現されることが多い。；ただし、この問題は近年に調達された被覆においては改善されている模様である。</t>
        </is>
      </c>
      <c r="J5431">
        <f>HYPERLINK("https://www.weblio.jp/content/調達", "词义详情")</f>
        <v/>
      </c>
      <c r="K5431">
        <f>HYPERLINK("https://yourei.jp/調達", "查看例句")</f>
        <v/>
      </c>
    </row>
    <row r="5432">
      <c r="A5432" t="inlineStr">
        <is>
          <t>長短</t>
        </is>
      </c>
      <c r="B5432" t="inlineStr">
        <is>
          <t>成功</t>
        </is>
      </c>
      <c r="C5432" t="inlineStr">
        <is>
          <t>読み方：ちょうたん
１長いことと短いこと。また、長さ。
２長所と短所。「—併せ持つ」
３余ることと足りないこと。「—相補う」</t>
        </is>
      </c>
      <c r="D5432" t="inlineStr">
        <is>
          <t>長短二(2%)；長短編(2%)；長短さまざま；長短短；長短不揃い</t>
        </is>
      </c>
      <c r="E5432" t="inlineStr">
        <is>
          <t>長所短所</t>
        </is>
      </c>
      <c r="F5432" t="inlineStr">
        <is>
          <t>長短二本</t>
        </is>
      </c>
      <c r="G5432" t="inlineStr">
        <is>
          <t>長短期；長短短格；長短格；長短金利の逆転；長短句</t>
        </is>
      </c>
      <c r="H5432" t="n">
        <v>29</v>
      </c>
      <c r="I5432" t="inlineStr">
        <is>
          <t>以上の四人の息子は長短はあるものの皆、後にワラキアの公位に就いた。；形式の長短に関係なく、公・私の区別を大・小で示したものに過ぎぬ。；距離に長短を決めたのは人間で、神の世界では距離などはないはずだ。；あくまでも、我々と同様長短を合わせ持つ一個の人間に過ぎないのである。；長短は個人それぞれの好みで、指定されている町会はないと思われる。；金田一耕助が登場する作品は、長短編あわせて77作が確認されている。；長短の違いで意味の弁別を行う言語があり、日本語はその代表的な例である。；五十幾人のものが、それぞれの罪状に応じて、長短の入獄を命ぜられた。；両者を知ったものが始めて両者の利害長短を比較するの権利を享ける。；古典ラテン語では母音の長短を区別したが、文字の上では区別がなかった。；長短錯雑して居たのを、次第に整理して「長・反」様式が出来もした。；右に述べた歴史の長短と聯想されて起る問題は大和民族の立場である。；よりよく生きた処でわづかにタイムの長短の問題ぢやありませんか。；細胞の分裂回数は、テロメアの長短によって指定されているらしいのだ。；バッハ以前にも何人かの作曲家が多くの長短調を駆使した作曲を試みている。；長さは長短様々なサイズがあり、一人用から大人数用まである。；またこの二本の歩脚の前の縁に長短の刺毛が交互に並んでいるのが特徴である。；シュローカでは句の前半が長短どちらでもよいため、作詩が容易である。；日本人も、王朝の寿命の長短に関する中国との比較論に熱中したという。；母音の長短や強勢の位置については表記されないために明らかでない。；定型詩とは違い曲に合わせて謡うため、句の長短が様々なのが特徴である。；母音の長短は区別されず、歴史的な および の区別は消滅した。；その長短が『帯に短したすきに長し』にならなければいいだけのことだ。；この時間の長短は然し人生と芸術との価値をはかる物差とはならないものだ。；また、長短編映画やアニメーションのための作曲も多数行っている。；長短で時代を分けることは出来ないが、大体に於てまづ此区別はある。；現代のギリシャ語では母音の長短は区別されず、マクロンも使用されない。；私は、過去三十年の間に、長短、数へきれぬほど旅をして来た。；詩の構成としては、各8行の連が、長短様々な20編にまとめられている。</t>
        </is>
      </c>
      <c r="J5432">
        <f>HYPERLINK("https://www.weblio.jp/content/長短", "词义详情")</f>
        <v/>
      </c>
      <c r="K5432">
        <f>HYPERLINK("https://yourei.jp/長短", "查看例句")</f>
        <v/>
      </c>
    </row>
    <row r="5433">
      <c r="A5433" t="inlineStr">
        <is>
          <t>調停</t>
        </is>
      </c>
      <c r="B5433" t="inlineStr">
        <is>
          <t>成功</t>
        </is>
      </c>
      <c r="C5433" t="inlineStr">
        <is>
          <t>読み方：ちょうてい
［名］(スル)
１対立する双方の間に立って争いをやめさせること。仲裁。「いさかいを—する」
２紛争当事者の間に第三者が介入して、双方の互譲と合意のもとに和解させること。民事調停・家事調停など。
３労働争議に際し、労働委員会に設けられる調停委員会が労使双方の主張を聞いて調停案を作成し、その受諾を勧告して争議の解決を図ること。→斡旋(あっせん) →仲裁</t>
        </is>
      </c>
      <c r="D5433" t="inlineStr">
        <is>
          <t>調停者(8%)；調停役(5%)；調停案(3%)；調停人(2%)；調停官</t>
        </is>
      </c>
      <c r="E5433" t="inlineStr">
        <is>
          <t>介入；仲介；協調；媒介；斡旋</t>
        </is>
      </c>
      <c r="F5433" t="inlineStr">
        <is>
          <t>紛争調停；調停条項；調停委員会；調停工作；調停法</t>
        </is>
      </c>
      <c r="G5433" t="inlineStr">
        <is>
          <t>調停者の鉤爪；調停離婚；調停不成立</t>
        </is>
      </c>
      <c r="H5433" t="n">
        <v>29</v>
      </c>
      <c r="I5433" t="inlineStr">
        <is>
          <t>こうした調停の役割を果たしたことはのちにエウセビオスに賞賛された。；しかし、この種の個人的な調停は、日本の生活の多くの側面で一般的である。；府院の争いの際には、両者と良好な関係にある張がその調停に奔走した。；日照権の判断基準となることから、裁判や調停の場では必須資料となる。；兵庫県では調停の結果、6000万円の支払いが命じられた例もあった。；しかし徳川家康の調停があって宇喜多氏を退去し、家康の家臣となった。；調停の結果、西川籐吉の名義で登録し特許は共有とすることとなった。；時間には対立するものを調停する働きがあるので、人間の罪は許される可能性があるのだ。；都市再生機構も自らの責任を否定したうえで、調停には応じない構えを見せた。；両者の論争を現実主義的立場に立った南海先生が調停する構成である。；これらの調停の努力もあり、表面的には同年中に両伊達家は和解に達した。；その後、黄は国共の対立を調停し、内戦に反対するための活動を開始する。；しかし、この種の個人的な調停は日本の生活の多くの面で一般的事項であるとしている。；まず中曽根はこの時点では総裁就任を狙わずに調停役となっていた。；表示は言語の特性によって調停された言辞と対象との関係である。；彼はこの時敵対する両者との間の調停に奔走したギルダスの模様を描いている。；地域の水利用組合の交渉により調停が試みられるも決裂し、対立が続いた。；安禄山が不穏な動きを始めた後も、朝廷と彼との調停役として活動している。；民事調停で合意した内容は調停調書に記載され、判決と同じ効力を有する。；労働委員会は、次の各号のいずれかに該当する場合に、調停を行う。；この判決が最後の境界の調停で、公式の境界線をめぐる長年の議論は終わった。；その後も政権から距離を置いていたが、軍閥同士の抗争の調停などを行っている。；次に、集めてきた記述の中での教義上の違いを調停する方法を見つけなければならなかった。；支給には、裁判判決の確定ないしは和解・調停の成立等が必要である。；他には争いごとを調停する力を持つといわれる。；彼らが調停書に署名すれば、スー族はこれに従うだろうと考えたからである。；のちに再び調停から召されたが、都へ出発する前に亡くなった。；そこでヤスリブは平和の回復のため強力な権威を持つ調停者、指導者を必要としていた。；これ以降右派と調停派は計画的にポストから追放されていった。</t>
        </is>
      </c>
      <c r="J5433">
        <f>HYPERLINK("https://www.weblio.jp/content/調停", "词义详情")</f>
        <v/>
      </c>
      <c r="K5433">
        <f>HYPERLINK("https://yourei.jp/調停", "查看例句")</f>
        <v/>
      </c>
    </row>
    <row r="5434">
      <c r="A5434" t="inlineStr">
        <is>
          <t>頂点</t>
        </is>
      </c>
      <c r="B5434" t="inlineStr">
        <is>
          <t>成功</t>
        </is>
      </c>
      <c r="C5434" t="inlineStr">
        <is>
          <t>読み方：ちょうてん
１
㋐いちばん高い所。いただき。てっぺん。「山の—」
㋑その世界で最高の地位。また、その人。「画壇の—に立つ巨匠」
２物事のいちばん盛んな状態。絶頂。「人気の—」「期待が—に達する」
３角をつくる二直線の交点。多面体の三つ以上の面の交わる点。円錐の母線が集まる点。放物線とその対称軸との交点。</t>
        </is>
      </c>
      <c r="D5434" t="inlineStr">
        <is>
          <t>頂点数；頂点集合；頂点部分；頂点v；頂点付近</t>
        </is>
      </c>
      <c r="E5434" t="inlineStr">
        <is>
          <t>先；山；花；最高；トップ</t>
        </is>
      </c>
      <c r="F5434" t="inlineStr">
        <is>
          <t>最頂点；隣接する頂点；有頂点；頂点連結グラフ；頂点座標</t>
        </is>
      </c>
      <c r="G5434" t="inlineStr">
        <is>
          <t>頂点シェーダー；頂点被覆；頂点推移グラフ；頂点被覆問題；頂点関数</t>
        </is>
      </c>
      <c r="H5434" t="n">
        <v>29</v>
      </c>
      <c r="I5434" t="inlineStr">
        <is>
          <t>一般には、頂点は円で描かれ、必要ならば受容状態は二重円を使用する。；第4主題を経て力を増していき、第1主題に基づいて大きな頂点を作る。；複数の頂点を結ぶ直線の辺と、その辺に囲まれた面によって構成される。；二重結合の場合は1つの面を共有し、その頂点の4つの電子を共有する。；オニギリの三角の頂点に当たる部分に操縦席の窓が小さく開いています。；ただし、正確に立方八面体の各頂点を切り落とした形にはなっていない。；また、日本のクラブとしては初めてアジアの頂点に立ったクラブでもある。；このとき、隣接する頂点に対応する頂点は隣接していることがわかる。；楼蘭はその記録が残る全時代を通じて国王を頂点とする国家であった。；その他の国々も中立・同盟を結びスウェーデンの勢いは頂点に達した。；肉のみを食料とする種も多く、ほとんどの地域で食物連鎖の頂点にいる。；これは独自の練習法で頂点に登りつめた神取忍の影響だと作者は語っている。；の形で表される平面上の放物線の軸は であり、頂点の座標は となる。；また、天に向かう剣はリーグの頂点を目指すという意味が込められている。；そのため、社内では常に宮崎・高畑を頂点にして回っている一面があった。；ハミルトン路とは、グラフ上の全ての頂点を 1 度ずつ通る路のこと。；真言宗の頂点である東寺一長者の座にいたのは一年にも満たなかった。；宗家の主人を頂点とした家族共同体を作っていた特徴がある。；彼の活躍する一連の作品は大ヒットして、推理小説の分野に一つの頂点を築いた。；トーナメント終了後は人間界に帰還するが魔界の頂点に再び挑むと語る。；超多面体が点付きであるとは、それが少なくとも一つの頂点を含むときに言う。；それは「魔法始祖」と呼ばれる、全ての生物の頂点に立つ「王」の存在。；副主題も発展的な性格を持って再現され、第1副部とは違った形で頂点が築かれる。；また、すべての頂点を通る外接球が存在するためその中心である外心も存在する。；ただし、正確に二十・十二面体の各頂点を切り落とした形にはなっていない。；現在に至って、彼らの作品は弦楽器製造の頂点に達したと広くみなされている。；ドイツ国内のみならず、世界でもこの方面の博物館として頂点に立つものとされる。；金管の厳かな響きからまた力を増していって、その頂点で曲を閉じる。；この魚は、当時の生態系の頂点に立っていたと考えられている。</t>
        </is>
      </c>
      <c r="J5434">
        <f>HYPERLINK("https://www.weblio.jp/content/頂点", "词义详情")</f>
        <v/>
      </c>
      <c r="K5434">
        <f>HYPERLINK("https://yourei.jp/頂点", "查看例句")</f>
        <v/>
      </c>
    </row>
    <row r="5435">
      <c r="A5435" t="inlineStr">
        <is>
          <t>ちょうど</t>
        </is>
      </c>
      <c r="B5435" t="inlineStr">
        <is>
          <t>成功</t>
        </is>
      </c>
      <c r="C5435" t="inlineStr">
        <is>
          <t>読み方：ちょうと
［副］《古くは「ちょうど」》
１物が強くぶつかり合うさま。また、その音を表す語。はっしと。ばしっと。「太刀を—打ち下ろす」
２激しくにらみつけるさま。
「入道相国を—にらまへて」〈平家・五〉
３しっかりと。がっちりと。
「そなたへ引け。強くひかへよ。—取り付け」〈義経記・五〉
４整然としたさま。きちんと。きっちりと。
「殿上ノ小庭ニ—カシコマッテイタ」〈天草本平家・一〉</t>
        </is>
      </c>
      <c r="D5435" t="inlineStr">
        <is>
          <t>ちょうどその(11%)；ちょうどいい(4%)；ちょうどよい；ちょうど同じ；ちょうど良い</t>
        </is>
      </c>
      <c r="E5435" t="inlineStr">
        <is>
          <t>今；まったく；全く；正確；実に</t>
        </is>
      </c>
      <c r="F5435" t="inlineStr">
        <is>
          <t>ちょうど昼どき；ちょうどうまい具合；ちょうどよい頃合；ちょうどよろしゅうござい；ちょうど折も折</t>
        </is>
      </c>
      <c r="H5435" t="n">
        <v>29</v>
      </c>
      <c r="I5435" t="inlineStr">
        <is>
          <t>これはちょうど月が地球に同じ面を向けているのと同様の状態である。；ちょうどそれは全国にいわゆる学園紛争の嵐が吹き始める年でもあった。；ホームは低床式で線路の西側、ちょうど下り線の延長上に置かれている。；それはちょうど文房具船が住民殲滅に来襲したのと時を同じくしていた。；あなたの脳をちょうどいい具合に刺激するパズルがあるだけなのです。；ケンパープラッツのちょうど南に存在する交差点では複線が使用された。；これはちょうど日本人が変体漢文を正則漢文と区別しないのと似ている。；そのため区域はちょうど博多湾を三方から囲むような形になっている。；地図上ではこれらの5つの郡の境界線がちょうど湖の中心で交差している。；ちょうどそこにいきあたった子供がつかまって関所役の子供と交代する。；ちょうどその頃、この学校に新しく赴任してきた美術教師イ・ウンジュ。；この時期はちょうど半導体産業が発展していく時期とも重なっている。；海外への新婚旅行ツアーが一般化したのもちょうどその頃である。；これはちょうど読むことを覚え始めた子供用に作られた。；都市と郊外のちょうど境界あたりにスラムが発生することがある。；ちょうどインターネットのドメイン名を逆にしたような形である。；これが現代でも昼の12時ちょうどを表す「正午」の語源となっている。；それが収入の少ない彼にはちょうどよかったのである。；この頃はちょうど大宝律令が施行されつつあった慌しい時期である。；また、黄道上で太陽のちょうど反対の位置付近にも少し明るい部分が存在する。；宇垣参謀長は、龍驤がちょうど囮のような役割になったと表現している。；初案ではちょうどチェスの駒に形状が似るクリノリンを着せられていた。；実業の道を志し始めたのもちょうど同時期のことであったという。；ちょうどその頃ミロンの住むイシュタル村にある危険が迫っていた。；対馬侵攻が実施されたのは、ちょうど幕府と明との関係が悪化していた時期であった。；ある書物のちょうど真ん中の文字はどれになるのかといったことが書かれている。；連載期間は4年間だが、ストーリーの時間軸はちょうど1年間である。；赤松の家庭ではちょうどそのころ娘が生まれたばかりだった。；若月が訪ねた際、山名はちょうど中城ふみ子の記事執筆に没頭していた。</t>
        </is>
      </c>
      <c r="J5435">
        <f>HYPERLINK("https://www.weblio.jp/content/ちょうど", "词义详情")</f>
        <v/>
      </c>
      <c r="K5435">
        <f>HYPERLINK("https://yourei.jp/ちょうど", "查看例句")</f>
        <v/>
      </c>
    </row>
    <row r="5436">
      <c r="A5436" t="inlineStr">
        <is>
          <t>長男</t>
        </is>
      </c>
      <c r="B5436" t="inlineStr">
        <is>
          <t>成功</t>
        </is>
      </c>
      <c r="C5436" t="inlineStr">
        <is>
          <t>読み方：ちょうなん
兄弟のうち1番目に生まれた男子。長子。総領。</t>
        </is>
      </c>
      <c r="D5436" t="inlineStr">
        <is>
          <t>長男夫婦；長男誕生；長男坊；長男ウィリアム；長男エドワード</t>
        </is>
      </c>
      <c r="F5436" t="inlineStr">
        <is>
          <t>長男チャールズ；長男e；長男袁譚；長男惟敬；長男恒善</t>
        </is>
      </c>
      <c r="G5436" t="inlineStr">
        <is>
          <t>長男の嫁</t>
        </is>
      </c>
      <c r="H5436" t="n">
        <v>29</v>
      </c>
      <c r="I5436" t="inlineStr">
        <is>
          <t>一つは1945年9月3日の日付で書かれた長男へ向けてのものである。；また、連載初期には、野村克也の前夫人との長男が実名で登場している。；長男と次男は財津が生まれる前に他界していたため、3人兄弟で育った。；二人の間には翌年長女・紅良が、その3年後には長男・成四が生まれた。；金丸の長男と竹下の長女は結婚し共通の孫までいる関係なのは有名である。；男三人兄弟の長男で、俳優をやっている弟の三浦剛は次男にあたる。；ただ長男光がジャズをかけていると嫌がるためクラシックに転向した。；しかし大人になった時に長男らしい名の泰一郎と改名している。；両者の間には4人の子供が生まれたが、長男と次男には先立たれた。；長女はサンフランシスコの図書館員、長男は実業家で父の会社を継いだ。；長男だったこともあり、親から薬剤師として継がせようとしていたという。；ちなみに長男の万作は父の筆名から名前をそのまま取って命名された。；長男ケニー・ロバーツ・ジュニアはスズキから再び父のチームに復帰した。；ちなみに2022年時点では長男も次男も元夫同様に野球に関連した学生生活を送っている。；この際、司馬懿は長男の司馬師を中護軍に転任させるよう依頼している。；後を継いだ長男のカイホスロー2世により毒殺されたとする説が有力である。；長男の元祐はすでに荘氏に養子入りしていたことから、次男の元親が跡を継いだ。；基本的には五皇子の長男だが、『日本書紀』の一書では次男とされる。；円山派は長男の応瑞が継いだが、後述の弟子たちの方が有名である。；初富入植後に長女・長男を呼び寄せ家族で暮らせるようになったという。；しかしハドルの長男ガルドールの血統からは数々の英雄が生まれ出た。；二人の間には後に長男が生まれている。；ただし長男と次男は夭逝したため、事実上の長男扱いであった。；許氏との間には長女李平陽と長男李伯禽という2人の子が生まれている。；ダウン症の長男の誕生と死は小林一家にとって非常に重要な体験となった。；長男に陸延という人物がいたが若死し、陸遜の跡は次男の陸抗が継いだ。；長男フランシスコは父の第3回航海に同行し、後に称号と財産を相続した。；諸葛恪は孫和を支持したが、長男の諸葛綽は孫覇を支持したようである。；武帝蕭衍の長男で皇太子に立てられていたが、父に先立って死去した。</t>
        </is>
      </c>
      <c r="J5436">
        <f>HYPERLINK("https://www.weblio.jp/content/長男", "词义详情")</f>
        <v/>
      </c>
      <c r="K5436">
        <f>HYPERLINK("https://yourei.jp/長男", "查看例句")</f>
        <v/>
      </c>
    </row>
    <row r="5437">
      <c r="A5437" t="inlineStr">
        <is>
          <t>長編</t>
        </is>
      </c>
      <c r="B5437" t="inlineStr">
        <is>
          <t>成功</t>
        </is>
      </c>
      <c r="C5437" t="inlineStr">
        <is>
          <t>読み方：ちょうへん
詩歌・小説・映画などの長い作品。→短編</t>
        </is>
      </c>
      <c r="D5437" t="inlineStr">
        <is>
          <t>長編作品(7%)；長編第(3%)；長編部門(2%)；長編デビュー作；長編アニメ</t>
        </is>
      </c>
      <c r="F5437" t="inlineStr">
        <is>
          <t>長編化；長編シリーズ；長編劇映画；長編叙事詩；長編漫画</t>
        </is>
      </c>
      <c r="G5437" t="inlineStr">
        <is>
          <t>長編小説；長編アニメーション；長編アニメ映画賞；長編アニメ部門；長編アニメ賞</t>
        </is>
      </c>
      <c r="H5437" t="n">
        <v>29</v>
      </c>
      <c r="I5437" t="inlineStr">
        <is>
          <t>彼は長編になるほど多くのSF作家よりも人物形成に力を入れている。；演奏時間が極端に長い長編作品が数多く生み出されたのもこのころである。；この映像は長編本編に挿入されているもの以外は日本未公開となっている。；また、二つの原作の長編エピソードをOVA版では一つにした作品もある。；次の長編はイングランドにいたころに構想ができ、ローマで大部分を執筆した。；ただし、長編を書くには向いていない方法だとも自ら語っている。；TVシリーズから12年を経て制作された劇場用長編アニメ映画となる。；以前にもっと短い形で発表され、対象期間内に長編化された作品も対象となる。；本作品以降、本格的な学園ものの長編作品は発表されていない。；最初の三冊は長編で、最期は12編のスミスものを集めた短編集である。；本シリーズから長編第4作に続きフルCGアニメーション製作となった。；ウィンダムの長編には似たようなキャラクターがしばしば登場する。；新人賞を設けており、長編優秀作には日本での発表もあり得ると謳っている。；柳町のフルート演奏がこのアリバイに関連する設定は長編での追加である。；エースは後に有名となるSF作家の処女長編をいくつも出版している。；初期OVAシリーズの好評を受け製作された初の劇場用長編アニメ。；以後、同警部を主人公にした6作の長編シリーズを発表している。；また、学年誌の付録に数十ページに渉る長編が掲載されたこともある。；代表的な長編の収録はわずかであるが、中短編は網羅に近い状況になっている。；それぞれ1冊の長編コミックになる予定だったが未完に終わっている。；LP盤裏ジャケットには前作同様、ディラン自身の長編詩が記載された。；その後も掲載紙を問わずに多数の長編・短編が執筆された。；それ以来、長編詩を書くよりは劇作の方が金になったことは言うまでもない。；彼はまたストーリー性のある長編の詩や孫子の注釈も書いている。；ボーゼイジは、この頃は特に長編での早撮りだけが得意になっていた。；ストーリーはいくつかの短編や中国編からクローン編までの長編が描かれている。；長編が多い金庸の作品の中では短い部類に入り、後期にあたる作品である。；因みに、日本ではテレビ・シリーズ版を再編集した長編が数本劇場公開された。；第二長編『異次元を覗く家』を1909年に出版し、再び高評価を得た。</t>
        </is>
      </c>
      <c r="J5437">
        <f>HYPERLINK("https://www.weblio.jp/content/長編", "词义详情")</f>
        <v/>
      </c>
      <c r="K5437">
        <f>HYPERLINK("https://yourei.jp/長編", "查看例句")</f>
        <v/>
      </c>
    </row>
    <row r="5438">
      <c r="A5438" t="inlineStr">
        <is>
          <t>重宝</t>
        </is>
      </c>
      <c r="B5438" t="inlineStr">
        <is>
          <t>成功</t>
        </is>
      </c>
      <c r="C5438" t="inlineStr">
        <is>
          <t>読み方：じゅうほう
貴重な宝物。</t>
        </is>
      </c>
      <c r="D5438" t="inlineStr">
        <is>
          <t>重宝がら(10%)；重宝される(9%)；重宝なもの(3%)；重宝な存在；重宝がる</t>
        </is>
      </c>
      <c r="E5438" t="inlineStr">
        <is>
          <t>便；有利；富；よろしい；便利</t>
        </is>
      </c>
      <c r="F5438" t="inlineStr">
        <is>
          <t>大変重宝；賀重宝</t>
        </is>
      </c>
      <c r="H5438" t="n">
        <v>29</v>
      </c>
      <c r="I5438" t="inlineStr">
        <is>
          <t>そのお金、何かほかのものを買うにしても、とても重宝でございますよ。；混ざり物などが少なく作られて間もない物が重宝され高値がつきやすい。；前に挙げた進化論と云う三字の言葉だけでも大変重宝なものであります。；して見ると人間はなかなか重宝に社会の犠牲になるように出来上ったものだ。；両国民は一つずつ鍵を持ちますから、その重宝さは非常なものと考えます。；その人にとっては先ず全国の温泉案内書のようなものは甚だ重宝である。；そういう重宝なかたを確保するためなぜ結婚なさらないのでしょうね。；これに伴い低床部も長くなっており、このために各種の輸送に重宝されていた。；彼女は、自分の足にそんな重宝なものがついていないことを見出した。；つらい仕事でもいやな顔ひとつしなかったから、皆にずいぶん重宝された。；そのことからも江戸時代には非常に重宝されていた様子が偲ばれる。；と、思ったが、むろんおれたちにそんな重宝なものがあるわけはない。；重要というよりは、重宝な男で、思想といえるほどのものはなかった。；そういう重宝なものはまだ発明されていないのは、実に実に不便です。；これらの性格からとりわけ商業施設に特に重宝される広告媒体といえる。；ずいぶん重宝な番組であり記事であると思うが、知っている人は意外に少ない。；後者はかつて特に狩猟能力が高いと信じられていて、非常に重宝されていた。；ぼくみたいな商売の人間にはもっと重宝な、と言い直してもよろしい。；どうせ軍人にならない人達だから祖国で重宝がられる訳には行くまい。；構造的にも簡単で安価なため、学生の1人暮らしなどでは重宝される。；この山の手での下町で、近所に重宝がられてきた小商人の町すじなのだ。；これは単に画家だから重宝だと云うばかりではありません。；薄型で軽いので、私はいつもそれをポケットに入れて重宝していた。；確かに、明月庵の外部から、中の様子をモニターするには重宝な道具だ。；重宝者になることを、あの頃はあなたも注意して下さいました。；パウダースノーを作り出す事が出来るのでスキー場には重宝されている。；自身のユーチューブサイトに天皇杯のフル動画をアップして重宝された。；第二次世界大戦のエージェントたちにとって毒は自殺の手段に重宝された。；昔から付近の住民達にとっては貴重な生活水、農業水として重宝されていた。</t>
        </is>
      </c>
      <c r="J5438">
        <f>HYPERLINK("https://www.weblio.jp/content/重宝", "词义详情")</f>
        <v/>
      </c>
      <c r="K5438">
        <f>HYPERLINK("https://yourei.jp/重宝", "查看例句")</f>
        <v/>
      </c>
    </row>
    <row r="5439">
      <c r="A5439" t="inlineStr">
        <is>
          <t>長方形</t>
        </is>
      </c>
      <c r="B5439" t="inlineStr">
        <is>
          <t>成功</t>
        </is>
      </c>
      <c r="C5439" t="inlineStr">
        <is>
          <t>読み方：ちょうほうけい
四角形のうちで、すべての角が直角のもの。長四角。矩形(くけい)。</t>
        </is>
      </c>
      <c r="D5439" t="inlineStr">
        <is>
          <t>長方形状；長方形型；長方形断面；長方形短冊形；長方形墳</t>
        </is>
      </c>
      <c r="E5439" t="inlineStr">
        <is>
          <t>矩形</t>
        </is>
      </c>
      <c r="F5439" t="inlineStr">
        <is>
          <t>大きな長方形；小さな長方形；巨大な長方形；白い長方形；長方形短冊</t>
        </is>
      </c>
      <c r="H5439" t="n">
        <v>29</v>
      </c>
      <c r="I5439" t="inlineStr">
        <is>
          <t>初期の車両は両方のトーチカ上部の間に、連絡用に長方形の箱を置いた。；腹面前方にある胸板は横に長い長方形をしており、毛が3対生えている。；長方形の箱形の楽器で、テーブルや専用の台などの上に置いて用いる。；トロスの中心にある長方形の埋葬記念碑はヘレニズム時代のものである。；当初は長方形だったが、1863年に画家より現在の円形に変更された。；この条件は頻繁に、可測な長方形領域を用いて次のように表現される。；ざるではなく木で作られた長方形の浅い箱状の器に薄く均一に盛られる。；穴のある1片を除いた195個を使用して長方形を作ることはできる。；どちらも一般に長方形で鍵盤が窪んだ場所に位置し本体から突き出ない。；この城は4階建ての長方形の建築で四隅にそれぞれ丸屋根の円塔がある。；とはいえ誤差の範囲であり、長方形を意図した設計であるとされている。；南の公園入り口から入ると左手の外周壁の外側に長方形の建物がある。；長方形のこの建物の外壁にはスグラフィット技法の壁絵が描かれている。；園部城の本丸は南北に長く、長方形に多くの屈曲をつけた形状であった。；スタンプの図案は長方形の二重枠の中に駅舎の絵という様式に統一された。；彼はそこに石の上に置かれ楡製の長方形のブロック形をした庭椅子をデザインした。；庁舎を上から見るとほぼ長方形をしており、南側に別館が建てられている。；従って、直線を描きたいときは細長い長方形を使って内側を塗りつぶす。；そして、制服用の長方形略綬は受章後自費で作成することになっている。；こちらの形状は長方形で内部から解体された木造船が発見された。；この南側は、教会とヴェストヴェルクが長方形を描く形でふさいでいる。；このためすべてのノノミノを使用して長方形を作ることはできない。；この商船旗は、3年前に定められた軍艦旗を長方形にしたものであった。；これらすべてを使用して、短辺が5以上の長方形はすべて作成可能である。；本丸は南北に長い長方形をしており、御殿が建てられ城の中心となる。；神殿Cの東には長方形の大祭壇があり、基礎と何段かの階段が残っている。；拡大工事の初期には、かなりの区間でを使った長方形状の断面で建設された。；この建物は、2連の狭いヴォールトに区切られた長方形のホールである。；新石器時代の後期では長方形の非常に小さな刃が一般的になった。</t>
        </is>
      </c>
      <c r="J5439">
        <f>HYPERLINK("https://www.weblio.jp/content/長方形", "词义详情")</f>
        <v/>
      </c>
      <c r="K5439">
        <f>HYPERLINK("https://yourei.jp/長方形", "查看例句")</f>
        <v/>
      </c>
    </row>
    <row r="5440">
      <c r="A5440" t="inlineStr">
        <is>
          <t>調味料</t>
        </is>
      </c>
      <c r="B5440" t="inlineStr">
        <is>
          <t>成功</t>
        </is>
      </c>
      <c r="C5440" t="inlineStr">
        <is>
          <t>読み方：ちょうみりょう
１調味に使う材料。砂糖・味噌・醤油・塩・酢など。
２⇒うまみ調味料</t>
        </is>
      </c>
      <c r="D5440" t="inlineStr">
        <is>
          <t>調味料メーカー(3%)；調味料事業；調味料等；調味料入れ；調味料類</t>
        </is>
      </c>
      <c r="E5440" t="inlineStr">
        <is>
          <t>香辛料；加味；詰まり；塩味；お召し</t>
        </is>
      </c>
      <c r="F5440" t="inlineStr">
        <is>
          <t>使われる調味料；液体調味料；欠かせない調味料；万能調味料；辛味調味料</t>
        </is>
      </c>
      <c r="H5440" t="n">
        <v>29</v>
      </c>
      <c r="I5440" t="inlineStr">
        <is>
          <t>また本格的な四川料理には欠かすことの出来ない調味料のひとつである。；登場人物のネーミングはお菓子や調味料や味の名前からつけられている。；もう一つの理由は、調味料として醤油が入手しやすくなったことである。；流し台の横に小さな棚を押し込んで、そこに調味料なんかを並べてある。；三杯鶏は同量の三杯の調味料を使用することからその名前が付いている。；そして彼女に背中を向け、冷蔵庫と調味料の棚を開けて必要なものを出した。；調味料がそろってさえいれば、金をかけずに小屋で食事をとることができる。；世界で最も知られているインスタントヌードル・調味料のブランドである。；この物質のアミノ基が手前側に出ているL体は調味料として多用される。；各店舗の客席に置かれている調味料類は、自社開発の製品を使用している。；醤油やソースや味醂や酢などの調味料が置かれていて足の踏み場もない。；味は余りないので、調味料でしっかり味をつけるのが普通である。；食品棚には様々なレトルト食品、缶詰と調味料がひととおり並んでいた。；調味料の入っている小さな扉で、高見は醤油か酢かを探していたのだった。；特に調味料は、日本の味を子供たちに教えるためには必要であった。；外食産業向け調味料に強く、各地の学校給食でも古くから採用されている。；まあ大抵パンの本当の味などはわからなくなって非常に多くの調味料を用いたりします。；調味料を加えることは、料理の重要な要素であり、その加え方も様々である。；調味料や材料の中にも現在では栽培、生産共に禁止の物もあり時代を感じさせる内容となっている。；街中探しあるいて手に入れた調味料のリストをあげてみよう。；肉や魚介類の料理にはベーコンが調味料として加えられることもある。；塩辛を単独で副食食材とすることもあるが、調味料としての役割も多い。；豚肉はもちろん、豚から作られている調味料や食材も同様に使用されない。；ヤマエ食品工業とは、宮崎県都城市に本社を置く調味料メーカーである。；調味料には多くの種類があり、代表的なものは別個に名を持つ。；そのまま食しても良いし、食材として、また調味料のようにも用いられる。；調味料は、地域や個人により好みが分かれており、なかなか統一的ではない。；使っている素材や調味料が異なってはいても、作り手の個性が表れるのではないか。；基本的な材料が鶏卵・米・調味料のため、非常に安価に料理を作ることができる。</t>
        </is>
      </c>
      <c r="J5440">
        <f>HYPERLINK("https://www.weblio.jp/content/調味料", "词义详情")</f>
        <v/>
      </c>
      <c r="K5440">
        <f>HYPERLINK("https://yourei.jp/調味料", "查看例句")</f>
        <v/>
      </c>
    </row>
    <row r="5441">
      <c r="A5441" t="inlineStr">
        <is>
          <t>調理</t>
        </is>
      </c>
      <c r="B5441" t="inlineStr">
        <is>
          <t>成功</t>
        </is>
      </c>
      <c r="C5441" t="inlineStr">
        <is>
          <t>読み方：ちょうり
［名］(スル)
１物事をととのえること。調整。
「莫大(ばくだい)の歳出を—するの余儀なきに至ったが」〈河上肇・ロイド＝ジョージ〉
２食物を料理すること。「肉を—する」「—場」</t>
        </is>
      </c>
      <c r="D5441" t="inlineStr">
        <is>
          <t>調理する(13%)；調理法(4%)；調理される(4%)；調理用(3%)；調理済み</t>
        </is>
      </c>
      <c r="E5441" t="inlineStr">
        <is>
          <t>用意；準備；作る；料理；支度</t>
        </is>
      </c>
      <c r="F5441" t="inlineStr">
        <is>
          <t>自動調理；調理科；調理員；伝統的な調理；調理設備</t>
        </is>
      </c>
      <c r="G5441" t="inlineStr">
        <is>
          <t>調理場；調理器具；調理室；調理師；調理台</t>
        </is>
      </c>
      <c r="H5441" t="n">
        <v>29</v>
      </c>
      <c r="I5441" t="inlineStr">
        <is>
          <t>皮と内部はどちらも生のままあるいは調理して食べることができる。；その一方でパスタはイタリア各地で好まれ、様々な形で調理されている。；日本の家庭では、インスタントカレールウを使って調理することが多い。；かつては地獄地帯の高温泉を地元の人達が調理に使っていたという。；日本では調理が簡単なソフトスパゲッティ式めんも製造・販売されている。；また、同じ地方であっても地域や家庭ごとに調理法と料理名が異なる。；本記事ではこれら調理操作のうち特に食肉に特有な内容について述べる。；古くはその用途は魚の調理にのみ限定されていたと見られる。；葉が持っている独特の香気を活かすために、調理の最後に加えるとよい。；これを防ぐには、新鮮なうちに茹でるなどして調理してしまうことである。；しかし生タイプ麺を使用したものは調理時間がやや短めの傾向である。；冷奴など生で食されることも多いが、調理される料理も非常に多い。；白ワインは、ゆっくりとした調理を行うときの水分としても使用される。；彼らのグループは血の味を忘れるために調理した肉を食べることを習慣としている。；主な調理法は「煮込み」で同国においては伝統的なものともなっている。；そのため、素人が野生種を捕まえて自ら調理することは大変危険である。；調理や暖房に火を用いている時に建物が崩壊すると火災を引き起こす。；水溶性のシュウ酸の除去には調理で茹でることで減少させることが可能。；同様な調理法の食品は明治末期から東京の下町で食べられていたとの見解がある。；その多くが資格を持たない一般人がフグを調理した結果起きている。；審査基準となるテーマ食材は調理開始の基本的に直前まで秘密になっている。；自ら調理した料理を食べてもらうということは、親しい関係につながる。；カウンター内には電子レンジや冷蔵庫を備え、簡単な調理が可能である。；石油ストーブでも上部に鍋を置いて調理ができるようになっているものは多い。；特に1780年に調理用レンジが発明され、温度管理が容易になった。；現在も、調理や労働に携わった者、家族に向けて行われることが少なくない。；その後調理のためには竈などが開発されるが、暖房にも利用された。；ただしこれは日本独特の使い方で外国では湯煎以外では殆ど調理には使われない。；パンの実は調理すると食べられ、さらに他のさまざまな食品の素材になる。</t>
        </is>
      </c>
      <c r="J5441">
        <f>HYPERLINK("https://www.weblio.jp/content/調理", "词义详情")</f>
        <v/>
      </c>
      <c r="K5441">
        <f>HYPERLINK("https://yourei.jp/調理", "查看例句")</f>
        <v/>
      </c>
    </row>
    <row r="5442">
      <c r="A5442" t="inlineStr">
        <is>
          <t>調和</t>
        </is>
      </c>
      <c r="B5442" t="inlineStr">
        <is>
          <t>成功</t>
        </is>
      </c>
      <c r="C5442" t="inlineStr">
        <is>
          <t>読み方：ちょうわ
［名］(スル)全体がほどよくつりあって、矛盾や衝突などがなく、まとまっていること。また、そのつりあい。「—を保つ」「周囲と—のとれた建造物」「精神と肉体が—する」</t>
        </is>
      </c>
      <c r="D5442" t="inlineStr">
        <is>
          <t>調和する(7%)；調和的(3%)；調和性；調和型；調和論</t>
        </is>
      </c>
      <c r="E5442" t="inlineStr">
        <is>
          <t>対応；契約；約束；安定；一致</t>
        </is>
      </c>
      <c r="F5442" t="inlineStr">
        <is>
          <t>大調和；美しい調和；見事な調和；完全な調和；とも調和</t>
        </is>
      </c>
      <c r="G5442" t="inlineStr">
        <is>
          <t>調和解析；調和函数；調和平均；調和関数；調和の神</t>
        </is>
      </c>
      <c r="H5442" t="n">
        <v>29</v>
      </c>
      <c r="I5442" t="inlineStr">
        <is>
          <t>三者はそれぞれの意思を持つが、統一と調和を持つ一人であると考えた。；この課題は宗教を排除できたが政治的な調和を生まなかったからだった。；世界の各地域における環境と調和した開発を可能にする地域観測を行う。；新しい概念も受け入れるが一方でそれと古い思想を調和させようともする。；理性は知識を獲得する信頼にたる源であり、啓示と完全に調和している。；それは彼女がただ一つの口を持っているかのように完全に調和させて伝えています。；国家に仕えるためには仕事と生活の調和が必須であると強調している。；平成2年には町の美観と調和させるため親柱や高欄の意匠が改修された。；暗くなるころまでに、調和の取れていなかった北軍の攻撃は中断された。；伝統的な美と新しい感性がその作品の中で融合し、調和しているといえる。；美しい橋で周辺との景観との調和を考慮して色彩や素材に工夫が見られる。；その目的は、連帯感・協力・調和・団結力などを養う点にあるとされる。；さらに2020年現在ではさらに進化した調和共通構造規則が施行されている。；この相対立する要請を適切に調和させることこそが、刑事司法の目的である。；その後も、国際的な知的財産法制の調和に大きな役割を果たしている。；調和級数の発散性を示す方法の一つは別の発散級数と比較することである。；飛行テストでは各舵の調和と縦方向の安定性に問題があることが分かった。；生物の個体は多くの共適応を持っており調和して存在している。；よって調和近似の枠を超えて、フォノンの概念を基礎づける必要がある。；大学も近代的な建物と、旧式の建物が調和し、校内にも水と緑が豊富。；橋脚には装飾的な建物が付属しており、大聖堂と調和するように設計された。；利尻礼文サロベツ国立公園地域の自然環境に調和させたデザインである。；町章は、調和を図りながらも限りなく発展するイメージを図案化した。；自ら考え行動する、心豊かで調和のとれた国際性豊かな児童生徒の育成を図る。；彼が署名した最初の大統領令は、「国の一新と調和の日の宣言」であった。；色彩とフォルムが調和したバランスのよい構成主義的絵画を多く残した。；信者にはこれらを矛盾と考えず調和化しようとする人もいる。；若いころにはウラル語などの母音の体系や調和について研究していた。；神の存在と人間の自由意志の関係を調和させようとしている。</t>
        </is>
      </c>
      <c r="J5442">
        <f>HYPERLINK("https://www.weblio.jp/content/調和", "词义详情")</f>
        <v/>
      </c>
      <c r="K5442">
        <f>HYPERLINK("https://yourei.jp/調和", "查看例句")</f>
        <v/>
      </c>
    </row>
    <row r="5443">
      <c r="A5443" t="inlineStr">
        <is>
          <t>貯金</t>
        </is>
      </c>
      <c r="B5443" t="inlineStr">
        <is>
          <t>成功</t>
        </is>
      </c>
      <c r="C5443" t="inlineStr">
        <is>
          <t>読み方：ちょきん
［名］(スル)
１金銭をためること。また、その金。「毎月決まった額を—する」「—箱」
２（比喩的に）野球などのリーグ戦で、勝った数が負けた数を上回っているときの、その差。「この試合の勝利で—が5になった」⇔借金2。
３⇒預金</t>
        </is>
      </c>
      <c r="D5443" t="inlineStr">
        <is>
          <t>貯金帳；貯金窓口；貯金局；貯金箱；貯金銀行</t>
        </is>
      </c>
      <c r="E5443" t="inlineStr">
        <is>
          <t>蓄え；預金；積む；貯え；備蓄</t>
        </is>
      </c>
      <c r="F5443" t="inlineStr">
        <is>
          <t>郵便局貯金；定期貯金；為替貯金；国民貯金；貯金担保</t>
        </is>
      </c>
      <c r="G5443" t="inlineStr">
        <is>
          <t>貯金通帳；貯金事務センター；貯金業務；貯金額；貯金戦士キャッシュマン</t>
        </is>
      </c>
      <c r="H5443" t="n">
        <v>29</v>
      </c>
      <c r="I5443" t="inlineStr">
        <is>
          <t>それはあたしの貯金から三万円を払わされたあの女のことなのだろうか。；また山田が失業しなければ自分の働いた分だけは貯金することが出来る。；大きな爪で指をはさまれたら、チョキンと切れてしまうかも知れません。；貯金はあるだけ持ってきてはいたらしいが、節約しなければならない。；商売人たちは毎年一定の金額を建築費として貯金する習慣を持っている。；私は自分の貯金の金を使い、また可哀想な父が私にくれたお金を使いました。；ぼくは或る額の貯金を心がけて、それを持って遠いS市へ出かけて行った。；彼女は一時家庭教師をやったことがあって貯金もいくらか出来ていた。；その貯金を消費してまでつづけなければならぬほどの、俺の生活かと私は思った。；このため、一部の収納業務は市内の郵便局の貯金窓口でも対応している。；そろそろ貯金でもして世帯を持つ準備でもしたほうがよさそうだ。；すこし倹約して貯金すれば、と言ったところで、無駄だと分かってるし。；それで、週二十ドルの給料から貯金して、それを実行してみたんです。；そして二カ月ほど前に、相当の貯金とかなりの得意さで、帰ってきたのだ。；いくら貯金があっても失業中じゃなかなか入居させてもらえないぞ、と。；すると彼氏が、貯金はもう二千円以上になったと側から言い添えました。；幾らもない貯金だがそのためになら下してもよいとさえ決心した。；当時、全額貯金をしていたはずなのだが、あのお金はどこにいったのだろう?；僕の遺産は百坪の土地と僕の家と僕の著作権と僕の貯金二千円のあるだけである。；経営権の影響の度合はその機関に預けている貯金の量で決められた。；私たちの貯金が千円になったら半分はあれにやってもええ。；家を買うための貯金を私の医療費に使ってしまったという徹底ぶりだった。；しかし、この計画を実行するには護の貯金以上の資金が必要だった。；もちろん、より高額の衣類を脱がせるために貯金することも可能である。；妻によれば、マンションは「母の遺産と私の貯金で購入」したという。；おまけに妻との間には子供もいなかったから、将来に残すべき貯金も不要。；「演劇学校に行くための貯金をするため」にモデル業を始めたと述べている。；たまに原稿を書き、月に何本か仕事をこなして、貯金はいくら溜まった?；これまでの仕事で地道に貯めてきた貯金は、修理の材料費だけで完全赤字。</t>
        </is>
      </c>
      <c r="J5443">
        <f>HYPERLINK("https://www.weblio.jp/content/貯金", "词义详情")</f>
        <v/>
      </c>
      <c r="K5443">
        <f>HYPERLINK("https://yourei.jp/貯金", "查看例句")</f>
        <v/>
      </c>
    </row>
    <row r="5444">
      <c r="A5444" t="inlineStr">
        <is>
          <t>直後</t>
        </is>
      </c>
      <c r="B5444" t="inlineStr">
        <is>
          <t>成功</t>
        </is>
      </c>
      <c r="C5444" t="inlineStr">
        <is>
          <t>読み方：ちょくご
１物事の起こったり行われたりしたすぐあと。「開店—に売り切れる」⇔直前。
２物のすぐうしろ。「先頭の—に迫る」⇔直前。</t>
        </is>
      </c>
      <c r="D5444" t="inlineStr">
        <is>
          <t>直後に突如</t>
        </is>
      </c>
      <c r="E5444" t="inlineStr">
        <is>
          <t>後；その後；先；以降；のち</t>
        </is>
      </c>
      <c r="F5444" t="inlineStr">
        <is>
          <t>終了直後；事件直後；就任直後；発生直後；敗戦直後</t>
        </is>
      </c>
      <c r="H5444" t="n">
        <v>29</v>
      </c>
      <c r="I5444" t="inlineStr">
        <is>
          <t>またこの事件の直後の6億年前には最後の大規模な陸地形成が起こった。；発売直後から、その素材やデザインの特異性に惹かれ使用を続けていた。；ラッキーゾーンが廃止されグラウンド形状が改められた直後のシーズン。；ビートルズ解散直後の二人の確執はファンやマスコミにも知られていた。；その直後にRCSが発表され、ネットワークに対応したCVSが続いた。；メディア人によるペルシア攻撃はこの直後頃に始められたと見られる。；つまり上図で黒がaと取った直後に、白がbと取り返すのは反則となる。；また、港の予想に反して、開始直後から高視聴率を叩き出すことになる。；デビューの直後から、通常の作家の枠を超えた八面六臂の活動を始めている。；しかし、駅開設直後は駅周辺には何もない更地ばかりの状況だった。；当駅の集札は列車到着直後のみ改札口に係員が立つ仕組みとなっている。；thumb|上の写真がゲーム開始直後、下の写真がゲーム終了後の様子。；モスクワ中山大学では留学直後に各学生にロシア名が与えられた。；生まれた直後の戦闘力で、身分がランク分けされる身分制度社会である。；その後内大臣となって宮中にまわったが、直後に二・二六事件で暗殺された。；実際チャイコフスキーの死の直後にもこのような説を唱える者がいたという。；直後のフリーキックで、リターンを開始した時点で計時を再開するもの。；テレビでは事件発生直後から、さまざまな場所・方向から記録された映像が放送された。；マグネットにログインした直後に表示されるページも自分の家のページである。；独立直後の2002年7月にはポルトガル語諸国共同体に加盟している。；さらに戦後直後から1968年までは、京阪本線との直通運転も行った。；連載終了直後の同年11月に同社から1冊の単行本化され出版された。；話は連載開始直後はみかんと母をメインとした家族中心であった。；直後の第四段階ではドゥオモンのすぐ南にあるをめぐって激しい戦闘が行われた。；引退直後には名古屋とテクニカル・アドバイザーの契約を締結した。；そしてこの演奏会の直後にトスカニーニの引退が発表された。；駅ビル完成直後も四ツ谷寄りにホームの一部が残っていたが、後に撤去された。；新製投入直後は初期故障を中心としたトラブルも多かった。；大学開校直後、国民党系の学生と共産党系の学生との間で衝突が起こった。</t>
        </is>
      </c>
      <c r="J5444">
        <f>HYPERLINK("https://www.weblio.jp/content/直後", "词义详情")</f>
        <v/>
      </c>
      <c r="K5444">
        <f>HYPERLINK("https://yourei.jp/直後", "查看例句")</f>
        <v/>
      </c>
    </row>
    <row r="5445">
      <c r="A5445" t="inlineStr">
        <is>
          <t>直接</t>
        </is>
      </c>
      <c r="B5445" t="inlineStr">
        <is>
          <t>成功</t>
        </is>
      </c>
      <c r="C5445" t="inlineStr">
        <is>
          <t>読み方：ちょくせつ
［名・形動］(スル)間に他のものをはさまないで接すること。間に何も置かないで関係したり、働きかけたりすること。また、そのさま。副詞的にも用いる。「事故の—の原因」「相手国政府への—な（の）交渉」「会って—話す」⇔間接。
「是等は唯書生の一身に—して然るのみ」〈福沢・福翁自伝〉</t>
        </is>
      </c>
      <c r="D5445" t="inlineStr">
        <is>
          <t>直接関係；直接接続；直接攻撃；直接交渉；直接関与</t>
        </is>
      </c>
      <c r="E5445" t="inlineStr">
        <is>
          <t>自ら；直；まとも；直ぐ；直接的</t>
        </is>
      </c>
      <c r="F5445" t="inlineStr">
        <is>
          <t>直接観測；直接間接；直接ホーム；直接受信；直接操作</t>
        </is>
      </c>
      <c r="G5445" t="inlineStr">
        <is>
          <t>直接対決；直接選挙；直接行動；直接支配；直接統治</t>
        </is>
      </c>
      <c r="H5445" t="n">
        <v>29</v>
      </c>
      <c r="I5445" t="inlineStr">
        <is>
          <t>加熱は火を使って行われるのが普通だが、直接に火にかけない例もある。；権威的には重要な称号だが、命令権や血統とは直接関係ないものだった。；直接プロになる制度ではないが、奨励会の上位に編入できる制度がある。；ただし、地区委員会以上の指導機関も直接入党を決定することができる。；そもそも直接打撃制ルール自体は寸止めルールよりもはるかに歴史は古い。；専門的な分野の雑誌は、契約制で企業や個人宅に直接配送するものがある。；直接測定とは対象と基準量となるものを直接比較させて測定量を得ることである。；これは、連盟を通じて直接締結された初のヨーロッパの国際協定だった。；直接人間の生命を脅かしたりしない場合でも、事故と呼ばれる場合がある。；しかし実際の作業では軸力を直接監視することは困難である。；埼玉県内を主な営業地域としているため、直接の海外拠点は保有していない。；なお、であっても認証者の方は認証場所に直接アクセスするとは限らない。；はGMLの開発に影響を与え、またHTMLやの直接の祖先ともなった。；このような長大な距離を直接測定することは事実上不可能である。；このためアッシュル攻略自体にはバビロニア軍は直接関与していない。；湖沼は、周囲を陸に囲まれ海と直接連絡していない静止した水の塊である。；これを直接塩素化法と同様に熱分解すればクロロエチレンが得られる。；初期のコンピュータのプログラミングは機械語で直接行なわれていた。；解体後は現駅舎に階段が直接接続される構造になった。；接続法が直接法に吸収されているため、現在形が未来の出来事も表す。；この定義は Q のASCII値を直接を使うことで書かれている。；なお、日本語のヨーグルトという呼称は直接にはドイツ語のを由来とする。；また、特にソ連軍の場合、重砲であっても直接照準器が備えられていた。；中国から直接伝播するルートと、朝鮮半島を経由する場合が存在した。；また生徒からの直接の支払いや賄賂に要求する教員もいると報告されている。；他の高速自動車国道との直接接続が一切ない珍しい路線である。；降水が地表で直接河川に流れ込む以外に、地下水から川に入る水もある。；クンニリングスを直接舌や唇や歯などで舐めて性的刺激を与える行為。；JRの駅舎とは直接つながっておらず、両駅間は徒歩で数分を要する。</t>
        </is>
      </c>
      <c r="J5445">
        <f>HYPERLINK("https://www.weblio.jp/content/直接", "词义详情")</f>
        <v/>
      </c>
      <c r="K5445">
        <f>HYPERLINK("https://yourei.jp/直接", "查看例句")</f>
        <v/>
      </c>
    </row>
    <row r="5446">
      <c r="A5446" t="inlineStr">
        <is>
          <t>直線</t>
        </is>
      </c>
      <c r="B5446" t="inlineStr">
        <is>
          <t>成功</t>
        </is>
      </c>
      <c r="C5446" t="inlineStr">
        <is>
          <t>読み方：ちょくせん
１まっすぐな線。「—コース」
２数学で、異なる2点を通り、同一方向に無限にのびる線。→半直線→線分</t>
        </is>
      </c>
      <c r="D5446" t="inlineStr">
        <is>
          <t>直線的(13%)；直線距離(5%)；直線状(3%)；直線上；直線コース</t>
        </is>
      </c>
      <c r="E5446" t="inlineStr">
        <is>
          <t>線；ライン；一直線；棒線</t>
        </is>
      </c>
      <c r="F5446" t="inlineStr">
        <is>
          <t>直線基調；直線抜け出し；直線で逃げ粘る；直線差しきって；直線で上り最速</t>
        </is>
      </c>
      <c r="G5446" t="inlineStr">
        <is>
          <t>直線翼；直線入り口；直線束；直線形；直線性</t>
        </is>
      </c>
      <c r="H5446" t="n">
        <v>29</v>
      </c>
      <c r="I5446" t="inlineStr">
        <is>
          <t>起伏があるのはこの部分だけで、他は直線も含めほぼ平坦となっている。；距離のコース種別は、最後の直線コースを走行する際の馬場で記述する。；ところが直線に入ったとたん突然の猛スパートをかけ、見事に優勝した。；想像されたような激しい競り合いもなく淡々とレースは流れ直線を迎えた。；直線 の傾きは だから、微分係数 の値も とすべきだと考えられる。；次の秋津駅までの間は直線が続き、沿線は住宅街や畑がほとんどである。；藻岩山の北東面は直線状の斜面を形成し、豊平川扇状地面に接している。；エリアは崖で囲まれており、直線的に逃げ続けることはできない。；肩部は直線に近い形状とし、その上部に段差をつけて雨樋としている。；なお、コーナーだけでなく直線部分も内側に傾斜しているのが一般的である。；また、上に寄せた場合には波打たない直線の形にデザインされるものもある。；下水道は建設にあたって地上の道路以上に直線化・画一化が徹底された。；作用線 とは作用点を通り、力の向きに対して平行な直線のことである。；ただし、二直線は退化していると考え、円錐曲線に含まない場合も多い。；キャラクター同士の中心点を結ぶ直線を軸と呼び、この軸が移動するためである。；アメリカの競馬場の中ではゴールまでの直線が比較的長い事が特徴とされている。；それに初めての芝を気にしたのか、直線で追ってもあんまり延びない。；競技はドラッグストリップと呼ばれる直線の専用レース場で行われる。；変化の中間部は直線的であり、この部分の傾きのことをガンマという。；しかし、ピゴット騎手は最後の直線に入るまで追い出すのを待っていた。；ラピートが発着する南海難波駅とは直線距離で500mほど離れている。；このことは、複素平面上の直線と円はほぼ同等であることを表している。；現在のアフリカ各国の国境線は地形や民族構成などを反映しない単純な直線が多い。；またこの定義での2つの線は線であって直線ではないので、曲線も含まれる。；初代モデルの丸みを帯びたデザインに比べ、直線的デザインに変わっている。；他にも、底面が直線と曲線で構成される半円や扇形のものも想定される。；直線上の点に実数を対応させることで数直線を考えることができる。；寺院の伽藍は直線の軸を基準に配置され、重要な構造物は中心に配置されている。；彼は彗星は惑星の間を直線軌道で運行していると信じていた。</t>
        </is>
      </c>
      <c r="J5446">
        <f>HYPERLINK("https://www.weblio.jp/content/直線", "词义详情")</f>
        <v/>
      </c>
      <c r="K5446">
        <f>HYPERLINK("https://yourei.jp/直線", "查看例句")</f>
        <v/>
      </c>
    </row>
    <row r="5447">
      <c r="A5447" t="inlineStr">
        <is>
          <t>ちょくちょく</t>
        </is>
      </c>
      <c r="B5447" t="inlineStr">
        <is>
          <t>成功</t>
        </is>
      </c>
      <c r="C5447" t="inlineStr">
        <is>
          <t>［副］わずかの間を置いて同じことが繰り返されるさま。たびたび。ちょいちょい。「妹が—遊びに来る」</t>
        </is>
      </c>
      <c r="D5447" t="inlineStr">
        <is>
          <t>ちょくちょく顔を出し；ちょくちょく来る；ちょくちょく出かけ；ちょくちょく顔を出す；ちょくちょくやってくる</t>
        </is>
      </c>
      <c r="E5447" t="inlineStr">
        <is>
          <t>多く；よく；まま；しばしば；たくさん</t>
        </is>
      </c>
      <c r="F5447" t="inlineStr">
        <is>
          <t>そうちょくちょく</t>
        </is>
      </c>
      <c r="H5447" t="n">
        <v>29</v>
      </c>
      <c r="I5447" t="inlineStr">
        <is>
          <t>ぼくはあんな時間にあんまりちょくちょく家をあけたことがないんです。；気のあった同士のあいだでも、ちょくちょくこういうことがあるものだ。；それから映画やテレビなどにちょくちょく出始めて知名度を上げていく。；かれも首なし死体には、いままでちょくちょくお眼にかかったことがある。；そのかたとおふたりで、ちょくちょくお店のほうへきてくださいましたの。；その間の私のおもな心配は小さなお嬢様のちょくちょくやる病気でした。；その子は隣町に住んでいたので、ちょくちょくさとるの家に遊びに来た。；また、毎年夏には、友人と近場の県の海や山にちょくちょく出かけます。；彼がスバーに一番ちょくちょく会ったのも斯うやって釣をする時でした。；名前は清吉いうて、この島へもちょくちょく来ていたようですけえど。；ちょくちょく、うちの女房は夜明けの二時にやっと寝ついたと言うんだ。；その組み合わせなら、これまでにちょくちょくダイヤルしたことがある。；おれは一昨年の暮れからちょくちょくこの家のごやっかいになっててね。；変わった事といえば、実はちょくちょく大木君のお見舞いに行きました。；それからもちょくちょく来たけど、閉店までねばったことはありません。；日本でもちょくちょくシャム双生児が生まれることがあるんですよと。；離婚してからも沙帆はちょくちょく、父親に会いに行ってましたから。；最近は、ジーンズ姿で頭を茶髪にした刑事が、ちょくちょく店に来ます。；例えば私の古い友人たちが、何年ぶりかで珍しくこの夏はちょくちょく現れた。；彼はこの近くに住んでいるので、ちょくちょくここの図書館へ来ているらしい。；部屋が近所ということもあり、この頃はちょくちょく来てくれている。；彼女から少しずつちょくちょくまきあげることなんか関心なかったんだわ。；それがきっかけで、ちょくちょく私のところに出入りするようになったのです。；またお能の方もちょくちょく芝居へおいでになるようにもなりました。；吉住訓夫もちょくちょく利用していたから、彼のものも出てくるでしょう。；それでも女は男のことが気に入ったらしく、ちょくちょく店にやって来た。；彼との同棲中も、両親とはちょくちょく会っていて、一緒に食事をしていた。；以前から、それ、前からちょくちょく誰かに渡してたんじゃないの?；彼女が父親の目を盗んで、ちょくちょく叔父のところに出入りしていたからだ。</t>
        </is>
      </c>
      <c r="J5447">
        <f>HYPERLINK("https://www.weblio.jp/content/ちょくちょく", "词义详情")</f>
        <v/>
      </c>
      <c r="K5447">
        <f>HYPERLINK("https://yourei.jp/ちょくちょく", "查看例句")</f>
        <v/>
      </c>
    </row>
    <row r="5448">
      <c r="A5448" t="inlineStr">
        <is>
          <t>直通</t>
        </is>
      </c>
      <c r="B5448" t="inlineStr">
        <is>
          <t>成功</t>
        </is>
      </c>
      <c r="C5448" t="inlineStr">
        <is>
          <t>読み方：ちょくつう
［名］(スル)直接に目的地や相手に通じること。「電話が—する」「—運転」</t>
        </is>
      </c>
      <c r="D5448" t="inlineStr">
        <is>
          <t>直通する(27%)；直通列車(19%)；直通運転する(2%)；直通バス；直通先</t>
        </is>
      </c>
      <c r="F5448" t="inlineStr">
        <is>
          <t>線直通；電磁直通；直通車；駅間直通；直通対応</t>
        </is>
      </c>
      <c r="G5448" t="inlineStr">
        <is>
          <t>直通特急；直通ブレーキ；直通電話；直通便；直通運行</t>
        </is>
      </c>
      <c r="H5448" t="n">
        <v>29</v>
      </c>
      <c r="I5448" t="inlineStr">
        <is>
          <t>また列車の運転する区間や異なる路線への直通列車の設定を検討する。；直通列車を中心に運転距離は長いものの、トイレは設置されていない。；駅構内にあった階段の一部は博物館への直通連絡口に使われたものがあった。；このため、武蔵野線直通列車と京葉線内の列車の両方が利用可能である。；また、かつては本線からの直通電車が年末年始に運転されることがあった。；このほか槻木駅を介して阿武隈急行線と直通する列車も設定されている。；これに伴い前者は、日比谷線直通電車だけで運用されるようになった。；これは東京方面 - 南会津方面を直通運転する唯一の一般列車であった。；概ね郡山駅で系統は分割されているが、朝夕の一部列車は直通運転する。；尼崎駅からJR東西線・学研都市線にも直通する列車も設定されている。；優等列車用の車両のうち、以下の近鉄線直通対応の2系列が使用される。；飯田線直通の大半は特別快速であったが、一部は新快速の列車もあった。；京葉線直通列車は君津発東京行きの普通列車が夜に2本設定されている。；そのほかにも秋田駅到着後に行先を変更して実質的に直通する列車がある。；そのほかに、少数ながら押上線と直通し押上駅を発着する列車の設定もあった。；また、このような直通運転先の種別での案内は本線区に限らず行われている。；谷上駅で接続している神戸電鉄線へは軌間が異なるため、直通できない。；日中は線内運転の列車と常磐線直通列車が1時間に1本ずつ運行されている。；日中に関しては一部を除き接続する東京直通路線よりも本数が多いほどである。；なお朝と夕方以降の殆どの列車は高田駅から和歌山線王寺方面に直通する。；また、乗り入れ先の車両がそれぞれの自社線に直通しない運用もある。；山陽電鉄線内最大6両編成のため、直通列車の編成も6両に制約された。；空港線へは品川・横浜両方面から直通列車が設定されている。；また、早朝には本線下り方から直通する列車も後に登場している。；朝ラッシュ時は塚口始発でJR東西線に直通する系統が設定されている。；また、京成本線と直通し京成上野駅を発着する列車が設定されていた。；朝と夕刻は千葉線から本線京成上野方面へ直通する列車も設定されている。；さらには東成田線東成田駅を経由して芝山鉄道線に直通する列車もある。；宇治山田駅から先は鳥羽線・志摩線に直通する列車も多数設定されている。</t>
        </is>
      </c>
      <c r="J5448">
        <f>HYPERLINK("https://www.weblio.jp/content/直通", "词义详情")</f>
        <v/>
      </c>
      <c r="K5448">
        <f>HYPERLINK("https://yourei.jp/直通", "查看例句")</f>
        <v/>
      </c>
    </row>
    <row r="5449">
      <c r="A5449" t="inlineStr">
        <is>
          <t>直面</t>
        </is>
      </c>
      <c r="B5449" t="inlineStr">
        <is>
          <t>成功</t>
        </is>
      </c>
      <c r="C5449" t="inlineStr">
        <is>
          <t>読み方：ちょくめん
［名］(スル)物事に直接対すること。「思いがけない事態に—する」</t>
        </is>
      </c>
      <c r="D5449" t="inlineStr">
        <is>
          <t>直面すること(6%)；直面する問題；直面しよ；直面する課題；直面する困難</t>
        </is>
      </c>
      <c r="E5449" t="inlineStr">
        <is>
          <t>向かう；対戦；対抗；向う；敵対</t>
        </is>
      </c>
      <c r="F5449" t="inlineStr">
        <is>
          <t>いま直面；直面する現実</t>
        </is>
      </c>
      <c r="H5449" t="n">
        <v>29</v>
      </c>
      <c r="I5449" t="inlineStr">
        <is>
          <t>しかしやがて彼らは第一次世界大戦でその現実に直面することになった。；ジャーヴィスは、彼が直面していた艦隊の規模の差を全く知らなかった。；日本が直面している問題は、需要の問題であって供給の問題では無い。；心身問題に答えようとするこれらの問題はどれも大きな問題に直面する。；ペルティナクス帝の僅かな統治間は常に政治的な問題に直面し続けた。；彼女が直面する問題は複雑であり、また理解するのも困難であった。；この番組は戦後 日本を代表する、様々な大事件のスクープにも直面した。；物語は消滅をおそれる人類が直面しているリスクを中心に展開されてゆく。；しかしそこには危機に直面することへの怖れはもはや感じられない。；しかし、膝の悪化に直面して、18マイル地点を過ぎた直後に棄権した。；その再会によって、ふたりは自分たちの過去に直面せざるをえなくなる。；外国との交渉が終わると次に直面するのは幕府らの長州征討である。；新たなルールはSoarが同様の状況に直面したときに利用される。；しかし、アメリカはついに学生のチームでは勝てない状況に直面した。；しかし、ボリシェヴィキ政権が安定すると彼らは激しい弾圧に直面した。；本作では、ストーリーの途中で人の「死」に直面する場面がいくつかある。；しかしアナロジーを用いることは表層的な類似点という危険に直面する。；幕府と北朝は深刻な政治的危機に直面することになったのである。；この対立に直面して、イギリス商人の希望及び努力は終に水泡に帰した。；ラーマ7世は先王の代に抱え込んだ負債の処理に即位後すぐに直面した。；第一次世界大戦後のドイツは深刻な住宅不足に直面していた。；この頃、ヴァイマール共和国が深刻な政治環境の変化に直面していた。；クレイグの計画は、開発に着手したときにいくつかの困難に直面した。；現在校舎全体の老朽化や、練習室の確保難などの問題に直面している。；ひとつの謎に直面した時には3人それぞれの反応を試す必要もある。；このような状況で1940年フランスはナチス・ドイツの侵攻に直面した。；友人の死に直面し自らの死を恐れ始める心境描写、といった事が中心。；だが、こういった統一の機運はローマ教皇庁からの反対にも直面している。；だが同じ年のイースターの週末に市は戦争と直面することとなった。</t>
        </is>
      </c>
      <c r="J5449">
        <f>HYPERLINK("https://www.weblio.jp/content/直面", "词义详情")</f>
        <v/>
      </c>
      <c r="K5449">
        <f>HYPERLINK("https://yourei.jp/直面", "查看例句")</f>
        <v/>
      </c>
    </row>
    <row r="5450">
      <c r="A5450" t="inlineStr">
        <is>
          <t>直流</t>
        </is>
      </c>
      <c r="B5450" t="inlineStr">
        <is>
          <t>成功</t>
        </is>
      </c>
      <c r="C5450" t="inlineStr">
        <is>
          <t>読み方：ちょくりゅう
［名］(スル)
１まっすぐに流れること。また、その流れ。「—して本流に注ぐ川」
２「直流電流」の略。⇔交流。
３ある系統を直接に受けついでいること。また、その流派・人。</t>
        </is>
      </c>
      <c r="D5450" t="inlineStr">
        <is>
          <t>直流区間(4%)；直流電気機関車(4%)；直流電圧(3%)；直流化(2%)；直流二線式(2%)</t>
        </is>
      </c>
      <c r="F5450" t="inlineStr">
        <is>
          <t>直流用；直流直巻；直流機；直流側；直流電気車</t>
        </is>
      </c>
      <c r="G5450" t="inlineStr">
        <is>
          <t>直流電動機；直流電源；直流発電機；直流直巻電動機；直流電流</t>
        </is>
      </c>
      <c r="H5450" t="n">
        <v>29</v>
      </c>
      <c r="I5450" t="inlineStr">
        <is>
          <t>たしかそれは直流電気で操作するんだといってたことはおぼえてます。；交流用の誘導形電力量計を直流用に転用したものが多く用いられている。；その後、交流と直流の電化区間を接続する標準的な方法として普及する。；主電動機は直流・交流のいずれかを鉄道事業者の要望に応じて装備する。；古くから用いられてきた直流電気車の制御は、以下を基本とする。；直流専用車または交流専用車を使用することができるが、地上設備が複雑になる。；そこで、大量に余剰の発生していた本形式の直流化改造計画が持ち上がる。；鉄道線は、最初から直流1500Vで電化され、電車の運行が行われた。；高圧の直流電圧を発生させることができる一方、電流は低く抑えられる。；本形式を直流専用機に改造する計画が立案されたが、実現には至らなかった。；主にHOスケールにて直流二線式の鉄道模型とスロットカーを生産する。；なお、直流化工事を行う前は昼もこの設定の列車が存在した。；東京電力から送られる交流を直流1500Vに変換して電車に供給する。；直流専用・もしくは交流専用で複数の電圧に対応する電車を複電圧車という。；その技術の中には、直流電気機関車に応用できるものも多くあった。；アインシュタイン兄弟の電気会社は、直流の発電機と電流計を製造した。；一方フランスTGVでは直流時の出力が極端に少ない物がある。；なお交流専用となっているが、直流区間でも制御車として走行することができる。；主に直流二線式が採用されているが、一部製品に交流三線式に対応したものも存在する。；また、電流には直流と交流があるが、交流の場合は主に実効値である。；Nゲージ模型車両の多くは、直流2線式と呼ばれる仕組みで運転される。；また、直流電気機関車の正面の警戒色としても、本色が採用されている。；交流による家庭への配電が開始される前に一部の地域では直流で配電されていた。；二つの首が抵抗もできぬうちに直流の尾を引いて蒼空に躍った。；いずれも直流機器であるため+側から順番に接続することになる。；車両については直流用のED19形電気機関車4両がここに配置された。；従って制御方式は直流専用車両と同様な方式となる。；コンバータ回路の直流側に大容量のコンデンサが並列に接続されている。；電気方式は主に直流二線式が採用されている。</t>
        </is>
      </c>
      <c r="J5450">
        <f>HYPERLINK("https://www.weblio.jp/content/直流", "词义详情")</f>
        <v/>
      </c>
      <c r="K5450">
        <f>HYPERLINK("https://yourei.jp/直流", "查看例句")</f>
        <v/>
      </c>
    </row>
    <row r="5451">
      <c r="A5451" t="inlineStr">
        <is>
          <t>ちょこちょこ</t>
        </is>
      </c>
      <c r="B5451" t="inlineStr">
        <is>
          <t>成功</t>
        </is>
      </c>
      <c r="C5451" t="inlineStr">
        <is>
          <t>［副］(スル)
１小またで足早に歩いたり走ったりするさま。ちょこまか。また、動作に落ち着きのないさま。「子供が—（と）歩く」
２物事を簡単に手早くするさま。「目の前で—と紹介状を書いてくれる」
３わずかの間を置いて、何度も行われるさま。ちょくちょく。「最近—遊びに来る」
４物事を少しずつ行うさま。「ブログを—（と）更新する」
５ちらほらと目につくさま。「—（と）まちがいがある」</t>
        </is>
      </c>
      <c r="D5451" t="inlineStr">
        <is>
          <t>ちょこちょこ歩い(4%)；ちょこちょこと歩い(3%)；ちょこちょこ走り(3%)；ちょこちょこと出；ちょこちょこつい</t>
        </is>
      </c>
      <c r="E5451" t="inlineStr">
        <is>
          <t>多く；よく；まま；早く；しばしば</t>
        </is>
      </c>
      <c r="H5451" t="n">
        <v>29</v>
      </c>
      <c r="I5451" t="inlineStr">
        <is>
          <t>その老人はちょこちょこと小刻みに脚を動かしながら部屋に入ってきた。；この巻でもちょこちょことシリーズ全体の核に関わる情報が出てきますね。；にわ君はこうやって、ちょこちょこ不思議な面白さのある人なんだよね。；天剣もちょこちょこ出てたのから名前しか出てないのまで出しました。；ちょこちょこ動き回っていたからですが、おれは女の手を見たんですよ。；彼女が呼ぶと舞台の端から白いペキニーズがちょこちょこと駈け出てくる。；人間が蟻か何かのように妙にちょこちょこと動くのが滑稽でおもしろい。；そこにはちょこちょことひと塊りになって、一団の連中が倒れていた。；踊子はちょこちょこ部屋へはいって来た宿の子供に銅貨をやっていた。；大またに歩いている者もあるし、ちょこちょこ歩いている者もあった。；黒いかたちをしたものが飛んだり、斜面をちょこちょこ駆け上がっていた。；盲目の意志とでも言ったものが、人間をちょこちょこと動かしている。；弟は大勢の子供の群れている方へ、ちょこちょこと走って行った。；子供がその大人たちの前後をちょこちょこ駆けるように歩いている。；だから田中さんはちょこちょこしているように見えることもあった。；子供の力でできることは先に立ってちょこちょことやった。；この頃はいときんは闘病中だったがちょこちょこスタジオに顔を出していた。；彼女はセエラと一緒にちょこちょこと部屋を出て、二階へ上って行きました。；「カヤノ、ちょこちょこ走るんじゃないよ」 と私は床の中から叫んだ。；ちょこちょこと歩いて、手は、そんなにおふりにならないことでございますよ。；白い砂ばかりの世界を、小さな点のような人影が、ちょこちょこと歩いていった。；一町ばかりもちょこちょこついて来て、同じことを繰り返していた。；彼はいつもちょこちょこと、まるでゼンマイじかけの人形みたいに歩いていた。；好き勝手なところに短い階段があって、ちょこちょこと上がったり下りたり。；ちょこちょことアンリエッタの後ろをついてまわっていたお遊び相手の少女。；奥さんが可愛がっているポメラニアンも、ちょこちょこと走りだしてきた。；ヴィクトリカはその姿が見えなくなると、ひとりでちょこちょこと部屋に戻った。；その中にちょこちょこと春香が入り込むのを確認して、俺は言った。；柱の陰から出て、ちょこちょことカーク達のところへ走り寄った。</t>
        </is>
      </c>
      <c r="J5451">
        <f>HYPERLINK("https://www.weblio.jp/content/ちょこちょこ", "词义详情")</f>
        <v/>
      </c>
      <c r="K5451">
        <f>HYPERLINK("https://yourei.jp/ちょこちょこ", "查看例句")</f>
        <v/>
      </c>
    </row>
    <row r="5452">
      <c r="A5452" t="inlineStr">
        <is>
          <t>著者</t>
        </is>
      </c>
      <c r="B5452" t="inlineStr">
        <is>
          <t>成功</t>
        </is>
      </c>
      <c r="C5452" t="inlineStr">
        <is>
          <t>読み方：ちょしゃ
書物を書き著した人。著作者。</t>
        </is>
      </c>
      <c r="D5452" t="inlineStr">
        <is>
          <t>著者名(2%)；著者自身；著者たち；著者紹介；著者近影</t>
        </is>
      </c>
      <c r="E5452" t="inlineStr">
        <is>
          <t>作家；作者；ライター；原作者；筆者</t>
        </is>
      </c>
      <c r="F5452" t="inlineStr">
        <is>
          <t>同じ著者；同著者；論文著者；筆頭著者；著者自筆</t>
        </is>
      </c>
      <c r="G5452" t="inlineStr">
        <is>
          <t>著者校；著者不詳；著者の引用；著者名の引用</t>
        </is>
      </c>
      <c r="H5452" t="n">
        <v>29</v>
      </c>
      <c r="I5452" t="inlineStr">
        <is>
          <t>論文の並びは著者別初出年順で収録書籍の発行年とは異なる場合がある。；著者が、大学院博士課程に在籍する研究者だったことでも話題になった。；作品の著者表記に通常では不利になる団体名のCLAMPを使っている。；タイトル後に著者名が無い作品は基本的に巻毎に異なる作家が担当。；小説や一般書の著者が自身のサイトに正誤表を掲載しているケースもある。；十代の読者を対象に書かれた著者の唯一のファンタジー・ノベルである。；それぞれが別の著者によるものという理解が排除されているわけではない。；無論、著者と出版社の間で交渉して、任意の値に設定することもできる。；単行本化の際に著者の手で加筆・改変されているエピソードも存在する。；大学在学中のデビューであったことが著者後書きなどで語られている。；また、日記の著者が後日になって改めて文書を整理して清書した例もある。；パウロの弟子であり執筆者の一人となっているテモテを著者とする説もある。；著者は無名の作者で、彼をよく理解した別の人物が今の形に成したとされる。；パウロ書簡以外の書物の著者の問題についても結論は得られていない。；著者は偽書を意図したわけではなく、あくまで創作として発表している。；この時に著者名がつけられていないのは同盟の方針である。；著者はまず終末を否定するものの出現はそれ自体が終末の徴であるとする。；アーチャーリヤは著者自身が研究して著書を書いた人にあてられる呼称である。；一方、語頭の大文字を主値を取ることを意味するために使う著者もいる。；アニメを原作とするコミカライズだが、著者名義は征海未亜単独である。；しかし、これは著者アルチャートの許可を得ないで出版されたものであった。；著者は不明だが、加筆修正を経て次第に現在に伝わる形に完成したとされている。；本の案内人は番組の最後に、その回で紹介した本の著者の国の言葉で挨拶していた。；論文の著者にとっては、自分の論文を誰が読んで引用したかがすぐにわかる。；表示されている著者とは無関係の偽書であることを疑われているものも含む。；著者の他の作品、文学史、専門的知識を必要とする問題は出題されない。；著者が会社名義であることから、事実上社による経営者支持表明だった。；一部の著者は、スラヴ語派を話す人々さえゴート族として言及している。；近代以降の批判的聖書研究では伝承通りの著者でない著者を想定することが多い。</t>
        </is>
      </c>
      <c r="J5452">
        <f>HYPERLINK("https://www.weblio.jp/content/著者", "词义详情")</f>
        <v/>
      </c>
      <c r="K5452">
        <f>HYPERLINK("https://yourei.jp/著者", "查看例句")</f>
        <v/>
      </c>
    </row>
    <row r="5453">
      <c r="A5453" t="inlineStr">
        <is>
          <t>著書</t>
        </is>
      </c>
      <c r="B5453" t="inlineStr">
        <is>
          <t>成功</t>
        </is>
      </c>
      <c r="C5453" t="inlineStr">
        <is>
          <t>読み方：ちょしょ
その人が書いた書物。著作。</t>
        </is>
      </c>
      <c r="D5453" t="inlineStr">
        <is>
          <t>著書多数；著書the；著書出版；著書目録；著書アルマゲスト</t>
        </is>
      </c>
      <c r="E5453" t="inlineStr">
        <is>
          <t>作品；本；制作；作；書</t>
        </is>
      </c>
      <c r="F5453" t="inlineStr">
        <is>
          <t>主要著書；代表的著書；一般向け著書；膨大な著書；同名著書</t>
        </is>
      </c>
      <c r="H5453" t="n">
        <v>29</v>
      </c>
      <c r="I5453" t="inlineStr">
        <is>
          <t>ただし、のちの著書には星占いを主題とする複数の著書が含まれている。；坂井が戦後出版した著書にはゴーストライターの存在が指摘されている。；さらに近年ではウォークラフトをプレイしていると著書で明かしている。；その縁で福林正之にも紹介され、坂井の著書が出版されることになった。；また、のちにアントワーヌはいくつかの著書の中でこうも回想している。；独自の人間分析にこれらの統計データを加味して様々な著書が執筆された。；この著書が今日デジタル物理学と呼ばれている分野の基礎を築いた。；著書の中では、ニューネッシーの「写真」とされるものも公開している。；ただし、それぞれの著書にゴーストライターの存在が指摘されている。；著書が現存せず、どのような説を唱えたのかははっきりしない。；十六世名人でかつ日本将棋連盟会長であったこともあり、著書は大変多い。；シュペーアは挙動不審でかなり傲慢な性格であったと著書に残している。；その後の著書は、発刊するたびにレビューアーから注目されなくなった。；当時の冶金学者である俵国一は著書の中で次のような分析結果を示している。；本人の著書と称されているものが、日本では2冊出版されている。；教え子には伊原春樹がいて、伊原は著書の中で最初の恩人と記している。；なお闘莉王は本大会後に、著書の中でエリクソンへ深い感謝を述べた。；これは、同じく彼の著書『自由は進化する』の中でさらに詳述されている。；この著書の中でチャーチルはキッチナー将軍を批判的に書いている。；これらの経験を基にした著書を複数刊行している。；著書に描かれた記述で事実と違うことに関しては東谷に反論する旨を伝えた。；本書はその思想を直接知ることのできる、彼の唯一の著書である。；なお、各研究者に他に主著がある場合でも女性学関連の著書のみ挙げている。；この考察は、もっとも重要な著書である『言葉と物』に示されている。；日本では80冊を超える著書のほとんどが翻訳されている。；パイの著書もロバートソンの著書も、この点について明記してはいない。；その他の著書に『道具的理性批判へ向けて』『批判的理論』などがある。；この製法は各地で進化し、独自の製法を著書にまとめた生産者もいる。；この著書は線文字Bの最初の信頼できる一覧を含んでいた。</t>
        </is>
      </c>
      <c r="J5453">
        <f>HYPERLINK("https://www.weblio.jp/content/著書", "词义详情")</f>
        <v/>
      </c>
      <c r="K5453">
        <f>HYPERLINK("https://yourei.jp/著書", "查看例句")</f>
        <v/>
      </c>
    </row>
    <row r="5454">
      <c r="A5454" t="inlineStr">
        <is>
          <t>貯蔵</t>
        </is>
      </c>
      <c r="B5454" t="inlineStr">
        <is>
          <t>成功</t>
        </is>
      </c>
      <c r="C5454" t="inlineStr">
        <is>
          <t>読み方：ちょぞう
［名］(スル)
１物を蓄えておくこと。ためておくこと。「食糧を—する」「—庫」「冷凍—」
２財貨を生産や営利のために用いないで、ただたくわえておくこと。退蔵。</t>
        </is>
      </c>
      <c r="D5454" t="inlineStr">
        <is>
          <t>貯蔵する(11%)；貯蔵所(5%)；貯蔵室(5%)；貯蔵施設(4%)；貯蔵タンク(3%)</t>
        </is>
      </c>
      <c r="E5454" t="inlineStr">
        <is>
          <t>維持；備え；保護；保存；保持</t>
        </is>
      </c>
      <c r="F5454" t="inlineStr">
        <is>
          <t>貯蔵可能；貯蔵法；食料貯蔵；蚕種貯蔵；食糧貯蔵</t>
        </is>
      </c>
      <c r="G5454" t="inlineStr">
        <is>
          <t>貯蔵穴；貯蔵品；貯蔵タンパク質；貯蔵方法；貯蔵槽</t>
        </is>
      </c>
      <c r="H5454" t="n">
        <v>29</v>
      </c>
      <c r="I5454" t="inlineStr">
        <is>
          <t>そのため、当時の日本では航空機用燃料の貯蔵量が底をつきかけていた。；また壁の内部側が平滑であることも、貯蔵法に適っていたと考えられる。；勉三は米一年分を大津に貯蔵したが帯広への輸送が困難な状況であった。；一般的には、10年程度までは貯蔵期間が長いほど上質になるとされる。；その後貯蔵も中止され、現在の唯一の業務は地域の除染と自然回復である。；貯蔵室は石灰岩の地下深くに掘られた洞窟を使用していることが多い。；また岩陰を貯蔵や死者の埋葬のほか居住の用に用いることもあった。；得た食物を巣の内部のやあちこちに分散して貯蔵する習性を持っている。；長期的な分解を行うため、二次的な便槽・貯蔵所に移しかえる方式もある。；採掘された後の空洞の一部は天然ガスの貯蔵施設として使用されている。；条約ではトンガの石炭貯蔵設備をドイツが利用する権利を認めている。；また、堅果の多くは収穫時期が限られるために、貯蔵する必要が生じた。；村人の生活を組織し、物資の貯蔵、他の村との交流などの責任を負った。；蓄電池は電気エネルギーを物質の形に変換しエネルギーを貯蔵している。；心材には生きた細胞が全く存在せず、通道機能や貯蔵機能が失われている。；化学肥料の製造、貯蔵施設が大爆発したオッパウ大爆発などの例がある。；これを貯蔵や使用まで拡大したものがGHSであるといってよい。；熟成とは、貯蔵されている間に進行する、酒質の成長や完成への過程をいう。；それは容易に製造できるため、購入したり貯蔵するよりは需要に応じて製造される。；そうやって水素を貯蔵しておけば、必要なときに使うことができる。；また十か所ほどの貯蔵用の穴には魚が蓄えられていた跡があった。；アメリカ合衆国の穀倉地帯に設置された貯蔵用サイロが大型化して成立した。；フェリチンには鉄貯蔵のほかに酸化ストレスからの保護の役割もある。；そして、貯蔵期間を経た卵の濃厚卵白の盛り上がりは小さくなっている。；解体待ちで貯蔵されているものもあるが、整備の上で再配備することも可能である。；貯蔵中には時間の経過とともに、熟成と呼ばれる性質の変化が起こる。；その後石灰貯蔵施設や第二の中和施設である香草中和工場も増設された。；フィンランドは依然として配備してはいるが、大部分は貯蔵状態にある。；ユリの葉が変形した鱗茎に養分が貯蔵されているため、栄養豊富である。</t>
        </is>
      </c>
      <c r="J5454">
        <f>HYPERLINK("https://www.weblio.jp/content/貯蔵", "词义详情")</f>
        <v/>
      </c>
      <c r="K5454">
        <f>HYPERLINK("https://yourei.jp/貯蔵", "查看例句")</f>
        <v/>
      </c>
    </row>
    <row r="5455">
      <c r="A5455" t="inlineStr">
        <is>
          <t>貯蓄</t>
        </is>
      </c>
      <c r="B5455" t="inlineStr">
        <is>
          <t>成功</t>
        </is>
      </c>
      <c r="C5455" t="inlineStr">
        <is>
          <t>読み方：ちょちく
［名］(スル)
１財貨をたくわえること。また、その財貨。「将来に備えて—する」「財形—」
２所得のうち、消費されないで残った部分。</t>
        </is>
      </c>
      <c r="D5455" t="inlineStr">
        <is>
          <t>貯蓄奨励；貯蓄性；貯蓄組合；貯蓄銀行；貯蓄金融機関</t>
        </is>
      </c>
      <c r="E5455" t="inlineStr">
        <is>
          <t>控え；蓄積；貯蔵；蓄え；貯金</t>
        </is>
      </c>
      <c r="F5455" t="inlineStr">
        <is>
          <t>勤倹貯蓄；総貯蓄；過剰貯蓄；大衆貯蓄；民間貯蓄</t>
        </is>
      </c>
      <c r="G5455" t="inlineStr">
        <is>
          <t>貯蓄率；貯蓄貸付組合；貯蓄預金；貯蓄貯金；貯蓄債券</t>
        </is>
      </c>
      <c r="H5455" t="n">
        <v>29</v>
      </c>
      <c r="I5455" t="inlineStr">
        <is>
          <t>彼女はこの時から収入の大半を次の段階に向けて貯蓄していたのである。；そのためにも、アパートの建設費以外にも豊かな貯蓄が必要であった。；この時彼は、数年間貯蓄し、その後利子収入で生活しようと考えていた。；彼は小屋を買うのに十分な貯蓄ができるまでその家族の元で暮らした。；是非共子供に立派な教育をさせるだけは今のうちに貯蓄して置かねばならん。；やがてその男性との結婚費用のために貯蓄を始めることとなった。；恒常的に不足する国内貯蓄を海外から資金調達して補填する目的だった。；さうして西鶴は、さまざまな貯蓄の名人の逸事を報告してゐるのである。；そのため、直接には貯蓄に回せない形で消費を刺激しようとしたものである。；貯蓄は将来の安全確固が前提のはずで、保険は将来の不安が前提のはずだ。；そして、彼は物価と貯蓄の正の関連を取り入れた新たなモデルを考案した。；彼は商売をはじめられるだけの資本を貯蓄するつもりでいるのだ。；日本人は貯蓄した上で、何かに凝るみたいなところがあるけれどね。；は民間貯蓄であり、は政府貯蓄であるから、貯蓄をSとすると となる。；また財産といってもそれを貯蓄する手段、方法が問題であろう。；貯蔵と貯蓄なしで冬を越せると考えていたキリギリスくらいに甘かった。；ここで行われていた業務は兵食ならびに飼料の調達・配給・貯蓄である。；十三 国民貯蓄推進運動に関する方針を定め、国民貯蓄を奨励すること。；その間に開業の資金を貯蓄したい考へだつたが、なかなかうまくはいかなかつた。；こうしたことからも戦前までは養老保険などの貯蓄性の高い商品がその主流であった。；それはただ将来のために貯蓄をするという遠い慮りにおいてだけではない。；わたしはこの事に専念して、やがてわたしの身分としては相当な貯蓄をした。；総じて日本の家計は貯蓄する傾向があると言われたのは過去のことになりつつある。；愛する者はその施與に資すべき自己の貯蓄を保護するの權利を有するか。；彼はその日のうちに金を貯蓄銀行へ持っていった。；また別に侍中の共有の貯蓄があって、それも貰うことになっていた。；貿易不均衡とは基本的に一国全体の貯蓄と投資の不均衡に過ぎない。；しかし学校が始まると、彼女のわずかな貯蓄はひどく減っていた。；国の各地域には、達成するための貯蓄目標が提供された。</t>
        </is>
      </c>
      <c r="J5455">
        <f>HYPERLINK("https://www.weblio.jp/content/貯蓄", "词义详情")</f>
        <v/>
      </c>
      <c r="K5455">
        <f>HYPERLINK("https://yourei.jp/貯蓄", "查看例句")</f>
        <v/>
      </c>
    </row>
    <row r="5456">
      <c r="A5456" t="inlineStr">
        <is>
          <t>直角</t>
        </is>
      </c>
      <c r="B5456" t="inlineStr">
        <is>
          <t>成功</t>
        </is>
      </c>
      <c r="C5456" t="inlineStr">
        <is>
          <t>読み方：ちょっかく
［名・形動］垂直に交わる二直線のなす角。90度の角。また、その角度をなしているさま。「T字路を—に曲がる」</t>
        </is>
      </c>
      <c r="D5456" t="inlineStr">
        <is>
          <t>直角方向(3%)；直角に近い；直角コーナー；直角に等しい；直角カーブ</t>
        </is>
      </c>
      <c r="F5456" t="inlineStr">
        <is>
          <t>殆ど直角；軸直角；直角に近い角度</t>
        </is>
      </c>
      <c r="G5456" t="inlineStr">
        <is>
          <t>直角カルダン駆動；直角二等辺三角形；直角カルダン；直角位相；直角カルダン駆動方式</t>
        </is>
      </c>
      <c r="H5456" t="n">
        <v>29</v>
      </c>
      <c r="I5456" t="inlineStr">
        <is>
          <t>東西方向に広がるJRの駅舎に南から直角に接する形で設置されている。；そのときも、この道具は章太郎君が見ている窓と直角になっていました。；通路が直角に交わるところにドームを構築することが多くなっていった。；波向は次のようになっており、汀線に直角な東方向が多い傾向であった。；次に方向転換をするときはいつも身体ごと直角に向き直るようにします。；ただ大地と直角にでき上っている所だけが泥でなくって壁に似ている。；そしてそれがゆえにこちらに直角の位置にあったあの船はもう見えないのだ。；中ほどで直角にあるいは鍵の手に折れ、その前後で道幅が違っている。；それはより大きなトンネルに対して直角に走るトンネルの一つだった。；直角に座卓を挟んで、主の位置からは寝ている客の鼻の穴ぐらいしか見えぬ。；それから新しい気流に出会って、東に直角に、一〇〇キロほど押された。；その離屋の東側の縁は、母屋の北側の縁側と直角に相對してゐるのです。；回避運動にしても、急に、それも進行方向にたいして直角には不可能だ。；玄関のまえで直角に交差する廊下まで出て来ると、恵子が歩いて来た。；砂塵が大きく舞い上がったのは、急な速度でほぼ直角に曲がったからだ。；辺 の対角が直角 であるとき となり を含む第一余弦定理は のようになる。；私とは直角の方向に三〇〇〇フィートほどの高度を飛んでいた。；これはこれまでの進路からは、ほとんど直角に進路を変更したことになる。；ある岩は正確に南北を向いており、別の岩がこれに対して直角に位置している。；そして右手を直角に曲げて、胸の前で、あげたり下げたりしはじめた。；そのような原子は重力線に直角以外の方向には動くことができない。；二つの部屋の境のドアは壁と直角にひらいたままになっている。；最後の場面ではこの兵士の行列は前とは直角だけ回転している。；人々は私の進む方向と直角に、歌舞伎町から駅のほうへ流れている。；レイン隊が前の前線とは直角に教会道路に沿って西を向いた前線を形成した。；そうすれば常に回転軸に対し直角に風が吹くため、方向制御が必要ない。；そして、ハンドルを廻し矢代の車の胴を直角に狙って勢いをつけてみた。；ほとんどが直線とブラインドの直角コーナーの連続のコースレイアウト。；水門のすぐ先で直角に曲がり南へ流れ、石垣に囲まれた幅広い川となる。</t>
        </is>
      </c>
      <c r="J5456">
        <f>HYPERLINK("https://www.weblio.jp/content/直角", "词义详情")</f>
        <v/>
      </c>
      <c r="K5456">
        <f>HYPERLINK("https://yourei.jp/直角", "查看例句")</f>
        <v/>
      </c>
    </row>
    <row r="5457">
      <c r="A5457" t="inlineStr">
        <is>
          <t>直感</t>
        </is>
      </c>
      <c r="B5457" t="inlineStr">
        <is>
          <t>成功</t>
        </is>
      </c>
      <c r="C5457" t="inlineStr">
        <is>
          <t>読み方：ちょっかん
［名］(スル)推理・考察などによるのでなく、感覚によって物事をとらえること。「—が働く」「将来結ばれる運命であることを—した」</t>
        </is>
      </c>
      <c r="D5457" t="inlineStr">
        <is>
          <t>直感的(14%)；直感力(3%)；直感操作</t>
        </is>
      </c>
      <c r="E5457" t="inlineStr">
        <is>
          <t>疑い；予感；疑惑；勘；疑念</t>
        </is>
      </c>
      <c r="F5457" t="inlineStr">
        <is>
          <t>本能的な直感；動物的な直感；単なる直感；非直感的；天才的直感</t>
        </is>
      </c>
      <c r="G5457" t="inlineStr">
        <is>
          <t>直感ゲーム；直感像；直感ヒトフデ；直感主義</t>
        </is>
      </c>
      <c r="H5457" t="n">
        <v>29</v>
      </c>
      <c r="I5457" t="inlineStr">
        <is>
          <t>また多くの操作を直感的なものにまとめるのにも苦労したと述べている。；ほとんどこれは直感的と言うか肌で感じる感覚を頼りにした感じですね。；直感的な操作で誰でも簡単にはがきを作成できることを特徴としている。；彼を無罪なりとする自分の本能的直感を捨てきれなかったこともあろう。；直感の助けがないので、他の人とのやりとりがとても難しいものになる。；デザイン画がなければ直感で作っちゃえとたった一晩で作り上げていた。；その推理法は鋭い直感力をもとにするものでブラウン神父の系統に近い。；ゲイダーの機能は通常は非言語的な感覚や直感に依存すると言われている。；自分たちの運命を直感する心は、いつも民衆の内部にあるんですから。；幾何学的に解釈することで直感的な理解がしやすくなるかもしれない。；重さだけではなく、なかに入っているものの質が同一だ、と僕は直感した。；石田はそこに起こったことが一人の人間の死を意味していることを直感した。；これからなにかが起ころうとしているのを、直感で嗅ぎつけたのだろう。；このことはより直感的にヒルベルト空間に代わりにの中で理解される。；これらの条件は直感的な距離の概念が持っている性質を抽出したものである。；その後子規の所で出会ってその直感の的中していたことを知ったのである。；象徴的に黄色は霊や直感などを表し、赤は肉体や人間的感情を表している。；人間の直感は多様な事柄が総合・統一され、感覚的な対象が成立する。；捕まった犯罪人のように、彼は、自分の運命が決定したことを直感した。；後者ではその集団を認識しやすいが、前者では直感的に把握しにくい。；女も直感で分かったようで、唇が震え、不安そうに見返し、こう訊いた。；そりゃあ君、前後の事情を考え合せて、殆ど直感的にそう推定したんさ。；言葉と修辞の中から笑いを直感するのは、本質的には喜劇の態度である。；メニュー項目選択時に番号ボタンを押すことで直感的な操作も可能である。；なにか殺伐な事件がなかでおこりつつあるに相違ないと直感したのだ。；そしてその室には少なくとも一人以上の人の気配のあることが直感として来た。；明らかに外国人だと直感したのは、耳をそばたてて、特徴をつかんだからだ。；彼は深慮遠謀に基いてではなく、直感的な判断で行動していたに違いない。；私たち十ぐらいのとき、たのもしさを直感していなかったでしょうか。</t>
        </is>
      </c>
      <c r="J5457">
        <f>HYPERLINK("https://www.weblio.jp/content/直感", "词义详情")</f>
        <v/>
      </c>
      <c r="K5457">
        <f>HYPERLINK("https://yourei.jp/直感", "查看例句")</f>
        <v/>
      </c>
    </row>
    <row r="5458">
      <c r="A5458" t="inlineStr">
        <is>
          <t>直径</t>
        </is>
      </c>
      <c r="B5458" t="inlineStr">
        <is>
          <t>成功</t>
        </is>
      </c>
      <c r="C5458" t="inlineStr">
        <is>
          <t>読み方：ちょっけい
円・楕円・双曲線で、中心を通り両端がその曲線上にある線分。放物線では軸に平行な直線で放物線の内部にある半直線。球では中心を通り両端が球面上にある線分。</t>
        </is>
      </c>
      <c r="D5458" t="inlineStr">
        <is>
          <t>直径約(21%)；直径およそ；直径わずか；直径三十センチ；直径百メートル</t>
        </is>
      </c>
      <c r="E5458" t="inlineStr">
        <is>
          <t>渡り；径；口径；直経；差渡し</t>
        </is>
      </c>
      <c r="F5458" t="inlineStr">
        <is>
          <t>直径三センチ；直径一間；直径八百メートル；直径五センチ；直径k</t>
        </is>
      </c>
      <c r="H5458" t="n">
        <v>29</v>
      </c>
      <c r="I5458" t="inlineStr">
        <is>
          <t>この場所にはコンクリートの地面に直径約五十センチの穴があいていた。；通常のサイズは直径13cmほどだが、これより大きなものも存在する。；その結果、船底に直径約二メートルの大穴があいていることがわかった。；直径はそのシャープペンシル本体に合ったものを使用しなければならない。；そのぶん磁極が数多く設けてあり、直径は大きく、長さは軸方向に短い。；ドームの大きさは内側直径20mであり、建物の外側からもよくわかる。；これは星自体の直径が大きい、つまり巨星であることによるものである。；サイズは楽器本体を陶製台にセットした状態で、概ね直径約、高さが約。；なお推進器は、当初は3翼式だったが、後に直径の4翼式に変更された。；彼はこの観測から、地球の直径は月の直径の約3倍であると見積もった。；実際に接触が開始、終了する点の位置は、歯先円の直径によって決まる。；同じようなのでまた直径が一倍半くらい大きいのがそろって集団をなしている。；その円形の樹影のなかを、ぼくはいつも直径的に横切ることにしている。；網目ではなく、直径のそろった円い穴を多数あけたタイプのものもある。；また直径20mほどの雨乞い池があり、かつては雨乞いが行われていた。；氷は直径約一メートルもあり、落下の勢いで土に深くめりこんでいた。；大きさは様々であるが、現在では直径10cm程度のものがよく用いられる。；旧駅舎の4倍の面積となり、直径3mのシャンデリアが設置されている。；ペダルが直結されている前輪の直径が小さいため、速度はあまり出ない。；能力増加に伴い衛星も大型化したためフェアリングの直径も拡張されている。；ボールの重量、直径が大きいものほど慣性を利用した用法に有利である。；直径44mの円形となっており、自然光の入る明るい空間となっている。；大会では直径約20センチメートルの競技用特製鹿せんべいが使われる。；その製造の歴史の中で、硬貨に含まれる金属の比率や直径は変えられてきた。；彼は直径三センチ弱で長さ三メートル強のまっすぐな若木を一本見つけた。；この距離は偶然にもハワイ・ホットスポットの直径と一致している。；円盤の直径、ないしその外側の正方形状の外装の辺の長さで分類される。；直径が減少することでエネルギーを圧縮しながら速度を上げるように機能している。；月面の地球側南半球にはに隣接して直径50キロメートルあまりのがある。</t>
        </is>
      </c>
      <c r="J5458">
        <f>HYPERLINK("https://www.weblio.jp/content/直径", "词义详情")</f>
        <v/>
      </c>
      <c r="K5458">
        <f>HYPERLINK("https://yourei.jp/直径", "查看例句")</f>
        <v/>
      </c>
    </row>
    <row r="5459">
      <c r="A5459" t="inlineStr">
        <is>
          <t>ちょっと</t>
        </is>
      </c>
      <c r="B5459" t="inlineStr">
        <is>
          <t>成功</t>
        </is>
      </c>
      <c r="C5459" t="inlineStr">
        <is>
          <t>読み方：ちょっと
［副］《「ちっと」の音変化。「一寸」「鳥渡」は当て字》
１物事の数量・程度や時間がわずかであるさま。すこし。「—昼寝をする」「—の金を惜しむ」「今度の試験はいつもより—むずかしかった」
２その行動が軽い気持ちで行われるさま。「—そこまで行ってくる」
３かなりのものであるさま。けっこう。「—名の知れた作家」
４（多くあとに打消しの語を伴って用いる）簡単に判断することが不可能なさま、または、困難であるさま。「私には—お答えできません」「詳しいことは—わかりかねます」
→少(すこ)し［用法］
［感］《1の述部を省略したもの》人に軽く呼びかける語。「—、お客さん」</t>
        </is>
      </c>
      <c r="D5459" t="inlineStr">
        <is>
          <t>ちょっと見；ちょっと待て；ちょっと違う；ちょっと驚い；ちょっと離れ</t>
        </is>
      </c>
      <c r="E5459" t="inlineStr">
        <is>
          <t>少し；かなり；相当；なかなか；やや</t>
        </is>
      </c>
      <c r="F5459" t="inlineStr">
        <is>
          <t>ほんのちょっと；ちょっと虚をつかれ；ちょっと待ちたまえ；ちょっと皮肉っぽく；ちょっと小高い丘</t>
        </is>
      </c>
      <c r="G5459" t="inlineStr">
        <is>
          <t>ちょっと見；ちょっといい話；ちょっとぉ；ちょっとオ；ちょっとよろしいでしょうか</t>
        </is>
      </c>
      <c r="H5459" t="n">
        <v>29</v>
      </c>
      <c r="I5459" t="inlineStr">
        <is>
          <t>もしかしたら、彼はちょっとだけ時代の先を進んでいたのかも知れない。；こういうのは忘れたころに出すとヒットするんだよ、ちょっと間をおいて。；だけどこれにはちょっと、あの当時起こっていたことも関係している。；ペイジは「ギターでちょっと違う音を出したかったのさ」と語っている。；僕はなんの装飾もない僧房を想像していただけにちょっと意外に感じました。；一方の兄・修輔は、女の子が少し気になり過ぎるちょっとエッチな少年。；登場人物や舞台を変えてちょっと不思議な新たな物語が始まろうとしていた。；ちょっと議論の進め方が恣意的なんじゃないかという印象を持ちました。；僕は湖南へ旅行した時、偶然ちょっと小説じみた下の小事件に遭遇した。；ちょっと変わったコートを持つベルジアン・シェパード・ドッグである。；そしていつものとおり上品に、ちょっと畳の上に膝をついて挨拶した。；今度は魔法は成功したが、完全に蘇るにはもうちょっと時間がかかる。；だが、自分を子供扱いする心配性の母をちょっと鬱陶しく感じるお年頃。；利益率の低い商売をするからちょっとのことでダメになると発言した。；二人の少女のちょっと武士風味な学園生活を描く緩やか4コマ漫画作品。；だから弦の連中は、前田さんの姿を見てちょっと困った顔をしてましたね。；距離的に2100メートルのダートはちょっと長いのではないでしょうか。；しかしこんないたずらめいた事のために話はちょっと途切れてしまった。；ちょっと舌っ足らずの所もあるが、その明るい性格でクラスの人気者。；そのようなものでは、ちょっと昆虫の足のような感じになっている。；夫の僕とも四人あることは前にもちょっと書いて置いた。；たね子は夫を見送りながら、ちょっと憂鬱にならずにはいられなかった。；それで、どんな夢を見たのか、ちょっと思い出すこともできませんでした。；僕は腹の立っている中にもちょっとこの男に同情した。；それを聞く父は意外に思ったらしかったが、彼もちょっと驚かされた。；しかし同時に倉地の事をちょっとでも思うと葉子の血は一時にわき立った。；主人公の彼女・桃子は、シャイで手を出してこない主人公がちょっと不満。；そして杯にちょっと黙礼するような様子をして手を引きこめた。；ちょっと失敗したかなと思うのは、バックライトを明るくし過ぎたことですね。</t>
        </is>
      </c>
      <c r="J5459">
        <f>HYPERLINK("https://www.weblio.jp/content/ちょっと", "词义详情")</f>
        <v/>
      </c>
      <c r="K5459">
        <f>HYPERLINK("https://yourei.jp/ちょっと", "查看例句")</f>
        <v/>
      </c>
    </row>
    <row r="5460">
      <c r="A5460" t="inlineStr">
        <is>
          <t>著名</t>
        </is>
      </c>
      <c r="B5460" t="inlineStr">
        <is>
          <t>成功</t>
        </is>
      </c>
      <c r="C5460" t="inlineStr">
        <is>
          <t>読み方：ちょめい
［名・形動］世間に名が知られていること。また、そのさま。有名。「—な芸術家」
→有名［用法］</t>
        </is>
      </c>
      <c r="D5460" t="inlineStr">
        <is>
          <t>著名な人物(3%)；著名な作家；著名な学者；著名な建築；著名な例</t>
        </is>
      </c>
      <c r="E5460" t="inlineStr">
        <is>
          <t>有名；名高い；高名；知名</t>
        </is>
      </c>
      <c r="F5460" t="inlineStr">
        <is>
          <t>著名な外科医；著名なアフリカ系アメリカ人；著名な有機化学者；著名な共和党員；著名な脳神経外科医</t>
        </is>
      </c>
      <c r="G5460" t="inlineStr">
        <is>
          <t>著名な数学者；著名性；著名な人類学者；著名な博物学者</t>
        </is>
      </c>
      <c r="H5460" t="n">
        <v>29</v>
      </c>
      <c r="I5460" t="inlineStr">
        <is>
          <t>英語・およびフランス語に翻訳・出版したものでは、以下が著名である。；このリリースはポスト・ハードコアへ影響を与えたことでも著名である。；アリほどの著名な人物で、他に徴兵を拒否したものは誰一人いなかった。；他の著名な神と異なりギリシア神話にはヤーヌスに相当する神はいない。；これらの編曲作品に著名なアーティストを起用するケースも多く見られる。；ヨーロッパ最大の競走の一つで、国際的に著名なスポーツの催しである。；特に著名なガイドブックや調査本を挙げると次のようなものがある。；これは著名な経済学者イェジ・レグルスキが立てた構想に基づいている。；著名なアーティストの起用は品質のみならず広告上の影響も大きい。；ワシントンは奴隷を解放したことでは唯一の著名な建国の父であった。；著名な絵画や人物像、ゲームや漫画の登場人物などが題材にされることが多い。；ナイジェリアには、世界的に著名なサッカー選手も数多く存在している。；芸術ホールは著名な建築家によるヨーロッパの美術館・博物館建築である。；彼は著名な大学の数多くの博士号とフェローシップを持っている。；マタイを描いた美術作品では特にカラヴァッジオのものが著名である。；以来自らの歌だけでなく著名アイドル歌手に対する楽曲の提供を行う。；著名な作曲家の墓は一か所に集められており、訪れる日本人も多い。；以下に技術委員会の一覧と、各委員会が作成した著名な規格を示す。；刀剣が収蔵されていることで著名な展示施設の一部を以下に挙げる。；今や世界で著名となった自閉症の作家東田直樹も以前連載をしていた。；・・・・・・皇帝に速やかに外務に通じ著名な重臣を選抜するよう請う。；基本的には、有名・著名である状態および、そういう人を意味する。；よく知られている著名な建造物は下記のとおりである。；かつては関東随一を自称したこともある比較的著名な花火大会である。；また、以下はテンプル地区への激しい爆撃に耐えた著名な建築である。；州内からはアダムズ家やケネディ家など多くの著名政治家を輩出してきた。；連盟では当時活躍していた著名美術家たちにも協力を求めた。；リストには以下のような著名なアーティストの楽曲が多数含まれ物議を醸した。；以下に著名なV型8気筒車の例を挙げるが、商業的には概して失敗作が多い。</t>
        </is>
      </c>
      <c r="J5460">
        <f>HYPERLINK("https://www.weblio.jp/content/著名", "词义详情")</f>
        <v/>
      </c>
      <c r="K5460">
        <f>HYPERLINK("https://yourei.jp/著名", "查看例句")</f>
        <v/>
      </c>
    </row>
    <row r="5461">
      <c r="A5461" t="inlineStr">
        <is>
          <t>散らかす</t>
        </is>
      </c>
      <c r="B5461" t="inlineStr">
        <is>
          <t>成功</t>
        </is>
      </c>
      <c r="C5461" t="inlineStr">
        <is>
          <t>読み方：ちらかす
［動サ五（四）］
１まとまっていたものを、ばらばらにする。物を一面に乱雑に広げる。「子供が部屋を—・す」
２動詞の連用形に付いて、乱雑に…する、むやみに…する意を表す。ちらす。「食い—・す」「書き—・す」</t>
        </is>
      </c>
      <c r="D5461" t="inlineStr">
        <is>
          <t>混ぜる；かき回す；シャッフルする；撹拌する；引っかき回す</t>
        </is>
      </c>
      <c r="F5461" t="inlineStr">
        <is>
          <t>脱ぎ散らかす</t>
        </is>
      </c>
      <c r="H5461" t="n">
        <v>29</v>
      </c>
      <c r="I5461" t="inlineStr">
        <is>
          <t>食べ散らかしておいたのは、よほど先を急いでいたのだと考えられた。；ぼくは例のトイレに、たくさんのタバコの灰を散らかしてしまっている。；廻転椅子の上にも側の小机の上にも、楽譜が乱雑に取り散らかしてある。；つまり僕の部屋はいつも未完の手紙でとり散らかされているからだ。；食事中に、生肉を皿から持ち出して散らかすのは、わたしへの挑戦だわ。；遠くの方へ引ッ散らかして置くような奴は碌なものはありはしない。；切った紙を散らかさんといてねと注意した覚えがあります。；祖母も母も家の中を散らかす人ではなかったので、どうも落ちつかなかった。；でもこんなものを部屋の中に散らかしておくのは嫌だろう?；そういう時の癖で、書き損じの原稿紙を、机の左右に散らかしていた。；乱雑な点は表現に窮するほどで、言語に絶するとり散らかしようである。；衣服が脱ぎ散らかしてあり、煙草の吸い殻が床の絨毯の上に落ちている。；家事も出来るが物を拾う癖があるためアリカの部屋を散らかしている。；客達が食い散らかして落としたものも、厨房に捨てられたものもある。；リルキャンプの一族は、道にごみを散らかして歩くことは決してないのだ。；先生は料理の名人でしたが、台所をめちゃくちゃに散らかしてしまいます。；ベッドの上も脱ぎ散らかした服とマンガだらけ、床も同じような状態だった。；服を脱ぎ散らかしたとこまでは覚えているけど、そのあとは判然としない。；彼女の目に、床一面に散らかされているぬいぐるみたちが飛びこんできたのだ。；おれと暮らしているとき、紀子は部屋をこんな風に散らかしていることはなかった。；スライマーンとその軍勢がそれと知らずあなた方を踏み散らかす前に。；ティッシュの箱など、その辺にあるものを手当たり次第投げ散らかす。；大砲は準備されておらず、火薬の格納箱への道は散らかされていた。；しろうとが掘り散らかしていったのではないことが明らかだった。；ここにはある家族が生活している間に、乱雑に散らかした跡が何一つなかった。；底に落ちて水を跳ね散らかすと、闇の中で次兄が「うわっ」と声を上げた。；机が蹴倒され、本が撒き散らかされ、さらにそれにつまずく者も現れる。；いくら物を壊し、散らかそうと部屋の主はまったく気にかけない。；まだ仕事をしていたので散らかしていますよ。</t>
        </is>
      </c>
      <c r="J5461">
        <f>HYPERLINK("https://www.weblio.jp/content/散らかす", "词义详情")</f>
        <v/>
      </c>
      <c r="K5461">
        <f>HYPERLINK("https://yourei.jp/散らかす", "查看例句")</f>
        <v/>
      </c>
    </row>
    <row r="5462">
      <c r="A5462" t="inlineStr">
        <is>
          <t>散らかる</t>
        </is>
      </c>
      <c r="B5462" t="inlineStr">
        <is>
          <t>成功</t>
        </is>
      </c>
      <c r="C5462" t="inlineStr">
        <is>
          <t>読み方：ちらかる
［動ラ五（四）］物が乱雑に広がる。散乱する。「足の踏み場もないほど—・る」</t>
        </is>
      </c>
      <c r="D5462" t="inlineStr">
        <is>
          <t>乱雑な；ゴチャゴチャ</t>
        </is>
      </c>
      <c r="H5462" t="n">
        <v>29</v>
      </c>
      <c r="I5462" t="inlineStr">
        <is>
          <t>何か作業をしていたにしては、机の上はそれほど散らかっていなかった。；ドラッカーは本や原稿の散らかった大きな机の傍に立って我々を迎えた。；散らかった品物の間から、いろんな表情をした人たちの顔が現れて来る。；確かに散らかっているが、そんなに不衛生ではないと思っているのだが。；彼女は脹れ顔をして、紙の散らかってるまん中に机の上にそれを置いた。；それなら女の子には触れ難い物が散らかってることにしたらいいんだっ!；ほかの三人は顔をうつぶせにして散らかったごみ屑のなかに倒れていた。；写真や散らかった所持品の数々は、私にエルゼの存在を強く意識させた。；有り体に言って、部屋の中はそれまでの路地と同じほど散らかっていた。；玄関はビールやコーラの空き缶で足の踏み場もないほど散らかっていた。；散らかった家の中からは味噌汁の匂いや、焼いた魚の匂いが漂ってきた。；椅子がひっくりかえってもいなければ、品物が散らかってもいないのだ。；何か爆発の一つや二つが巻き起こったかのように、部屋の中は散らかっている。；事務所に入ると、いつもの散らかった光景の中に不釣り合いな姿がひとり。；こいつの部屋とか、案外滅茶苦茶散らかっているんじゃないかと思った。；ハリーの部屋は、たしかに家の中のどこよりずっと散らかっていた。；「少し散らかっているが、まあ適当に掛けてくれ」 少し、なのだろう。；野営でもしているらしく、いろいろな荷物がそばに散らかっています。；衣や玩具が散らかっている部屋の中を見まわすと、思わずため息が出た。；彼の作業室には、その機械の部品があたり一面に散らかっていた。；部屋は昨日の朝出た時のままに取り散らかっていていかにも不愛相に感ぜられた。；いつも何か手を動かしていて、居間はあっという間に散らかってしまう。；部下三百の者も、同時に、自由を与えられて、おのおの遠く散らかった。；生活する場が散らかっていれば、生活する人間の精神もまたとっちらかる。；乱雑に散らかった部屋の中には、レオナルドとチェチリアの二人がいた。；あの散らかった書斎のどこかで火種がくすぶっているのではないだろうか。；女の子の部屋にしては散らかっている方なのかもしれない。；そして、あたりに散らかっている品物を、急いで木箱に収めにかかった。；まあ羽川に限らず、天才の部屋って散らかっているイメージがあるよな。</t>
        </is>
      </c>
      <c r="J5462">
        <f>HYPERLINK("https://www.weblio.jp/content/散らかる", "词义详情")</f>
        <v/>
      </c>
      <c r="K5462">
        <f>HYPERLINK("https://yourei.jp/散らかる", "查看例句")</f>
        <v/>
      </c>
    </row>
    <row r="5463">
      <c r="A5463" t="inlineStr">
        <is>
          <t>散らす</t>
        </is>
      </c>
      <c r="B5463" t="inlineStr">
        <is>
          <t>成功</t>
        </is>
      </c>
      <c r="C5463" t="inlineStr">
        <is>
          <t>読み方：ちらす
［動サ五（四）］
１くっついているものを離し落とす。ばらばらに散るようにする。散乱させる。「花を—・す無情の嵐」「火花を—・す」「紋様を—・す」
２あちらこちらに配る。ふりまく。分配したり、分離させたりする。「花札を—・す」「びらを—・す」「内角、外角へと球(たま)を—・す」
３気持ちをあちこちへ向けて集中力をなくする。「気を—・さずに仕事をしなさい」
４はれ・しこり・痛みなどを、切開しないで押さえたり、なくしたりする。「盲腸炎を—・す」「鬱血(うっけつ)を—・す」
５散らかす。「ごみを—・す」
６言い広める。言いふらす。
「ゆめゆめ心より外には人に—・すべからず」〈今昔・三〇・六〉
７紛失する。
「よべの御文…—・してけると推し量り給ふべし」〈源・夕霧〉
８動詞の連用形に付いて、広い範囲に及ぶようにする、また、あらあらしく…する、むやみに…する意を表す。「まき—・す」「蹴(け)—・す」「わめき—・す」
[可能]ちらせる
[下接句] 顔に紅葉(もみじ)を散らす・蜘蛛(くも)の子を散らす・算を散らす・火花を散らす・紅葉を散らす</t>
        </is>
      </c>
      <c r="D5463" t="inlineStr">
        <is>
          <t>散らすまい</t>
        </is>
      </c>
      <c r="E5463" t="inlineStr">
        <is>
          <t>放つ；配布する；撒く；発散する；醸し出す</t>
        </is>
      </c>
      <c r="F5463" t="inlineStr">
        <is>
          <t>蹴散らす；怒鳴り散らす；わめき散らす；吐き散らす；威張り散らす</t>
        </is>
      </c>
      <c r="H5463" t="n">
        <v>29</v>
      </c>
      <c r="I5463" t="inlineStr">
        <is>
          <t>物を散らすことも、物を粗末にすることも彼には我慢ならぬようだった。；これは背景からの気を散らすものを排除するために使うことができる。；それには、今井との生活であれこれ気を散らすわけにはいかないだろう。；と思うといつのまにか、それは風に吹き散らされる犬の声に変っていた。；俺の提案に乗った組織の構成員だけが暴れ散らすわけではないからだ。；その会話もまた、火花を散らさんばかりに緊迫しきっているではないか。；周囲には他の誰の姿もなく、撒き散らされた札が闇に漂っているばかり。；風に吹き散らされたしずくは、はるか下の地上へはらはらと落ちてゆく。；蹴散らされたとは云うものゝ、本工のなかに二人メンバーが残っている。；これらにより指揮官を失った軍は混乱し蹴散らされることになっている。；何でもいゝから私の氣を外へ散らさせない仕事がしたいと思ひますのよ。；と思うといつの間にか、それは風に吹き散らされる犬の声に変わっていた。；全くの損傷なし、散らされた花さえ鮮やかなままの遺体が発見された。；そんな用意などは初めからされてなかった上に、海の風は何も何も吹き散らす。；長い髪を風に吹き散らされて歩く母の背後で、あざけり笑う声がする。；誰だって売り飛ばされたくもないし、クスリで散らされるのも嫌である。；まず敵が束になってかかってこないように散らさなければならない。；煙が風に散らされて消えるように、霧が夜明けの光に溶かされるように。；玉の周囲にいた金物の駒が左右に散らされて、しかも、数が減っていた。；蹴散らされそうな雰囲気に恐怖しなかったとも、あながち言いきれない。；かなりの腕のディーラーでも、玉を完全に散らすことはできなかった。；早急に違うことを考えて気を散らさないと、変な気分になってしまいそうだ。；この騎士達は必要とあらば、学生達をたちまちのうちに蹴散らすことだろう。；闘いの火花を散らすほど、舞台もまた成功を収めることになるのである。；タバコに火をつけたが、風に吹き散らされて、煙はほとんど認められない。；砂を蹴散らすように足の動きを早めてみたが、やはり同じことだった。；ただ怒鳴り散らすよりも、相手の心に恐怖を抱かせることを重視していた。；まるで旧い友人のような挨拶だが、二人の視線は火花を散らすようだった。；焚き火は蹴散らされ火は消えていたが、炭はまだ赤く熱をたたえている。</t>
        </is>
      </c>
      <c r="J5463">
        <f>HYPERLINK("https://www.weblio.jp/content/散らす", "词义详情")</f>
        <v/>
      </c>
      <c r="K5463">
        <f>HYPERLINK("https://yourei.jp/散らす", "查看例句")</f>
        <v/>
      </c>
    </row>
    <row r="5464">
      <c r="A5464" t="inlineStr">
        <is>
          <t>ちらちら</t>
        </is>
      </c>
      <c r="B5464" t="inlineStr">
        <is>
          <t>成功</t>
        </is>
      </c>
      <c r="C5464" t="inlineStr">
        <is>
          <t>［副］(スル)
１小さいものが飛び散るさま。「雪が—（と）舞いはじめる」
２小さい光が強まったり弱まったり、また、細かく揺れ動いたりするさま。「漁(いさ)り火が—する」「画面が—する」
３断続して物を見るさま。ちらりちらり。「—（と）目配せする」
４物が見え隠れするさま。「面影が—（と）する」「雲の向こうに頂上が—（と）見える」
５うわさなどが少しずつ、また、時々耳に入るさま。ちらりちらり。「—（と）うわさが耳にはいる」</t>
        </is>
      </c>
      <c r="D5464" t="inlineStr">
        <is>
          <t>ちらちらする(7%)；ちらちら見(3%)；ちらちらと見え；ちらちらと視線；ちらちらとこちら</t>
        </is>
      </c>
      <c r="E5464" t="inlineStr">
        <is>
          <t>まま；時々；ときどき；時に；時折</t>
        </is>
      </c>
      <c r="F5464" t="inlineStr">
        <is>
          <t>灯がちらちら；影がちらちら；ちらちらと揺れる；ちらちらと盗み見；ちらちらちらちら</t>
        </is>
      </c>
      <c r="H5464" t="n">
        <v>29</v>
      </c>
      <c r="I5464" t="inlineStr">
        <is>
          <t>主人の妹で十九になる娘が居て店の奥の方でちらちらする時がある。；それを破ってみると湯気のようにちらちらと立ちのぼって消えていった。；彼女は前に出した自分の片手にたえずちらちら目をやっているようだ。；ちらちらと揺れる行燈の灯を見つめて、彼は自分の過去を静かに考えた。；いくつかの紫色の光がちらちら瞬いているのが見えるが、詳細は不明だ。；すると、遠くのほうに小さな火がちらちらと燃えているように思えたのです。；寒い風が急に北の方から起こってきて、雪がちらちらと降ってきました。；ちらちらと目の隅に見えるあの影は、明らかにこの世界のものではありません。；それは消えかけた燃えさしの間からちらちらと見える炎に似ていた。；小田原の山に生えている虎杖の花は薄紅くてちらちらしていたでしょう。；ジュヌビエーブはちらちらと主賓席に視線を送りながら、客を観察した。；ドアへ近づいていくエズルの両手で、赤い色がちらちらと光っている。；「手術のときからその考えが頭にちらちらしてたんだ」 やっと彼は言った。；それは熱い炎のように青く透いており、その外側はちらちら燃えていた。；ちらちらとまたたくかがり火の明かりの中で、男の顔は影になっていた。；そのちらちらする蝋燭の明かりが、自分を嘲笑しているように思われた。；それはまるで幻のように実体がなく、青いちらちらする光に包まれていた。；授業中、麻里はちょっと気になったのでキョウの方をちらちらと見ていた。；木のあいだからは陽の光がもれて、ちらちらとダンスをしています。；ただサーベルの柄と銃の象眼とがそこここにちらちら光っているだけだった。；窓には蝋燭の火がちらちらしているが、その外にはなんにも見えない。；その障子には黄色な陽光がからまって生物のようにちらちらと動いていた。；顔をあげると、燈りが一つちらちらと街道を動いて来るのが見える。；義竜が不思議に思って顔をあげた時、庭前にちらちらと人影が動いた。；腕に女の入れ墨をしている給仕が、ふたりをかわるがわるちらちらみた。；十五日の暁方の空襲のときは、西南西の林越しにちらちらと火が見えた。；お日さまの光が、虫に食われた葉を透かして、ちらちらと光って見えた。；彼女のちらちらと動く黒い眼が、群集の中を、あちこちと見まわした。；午後の弱い日の光りの障子に写している木の枝が、ちらちらと揺れていた。</t>
        </is>
      </c>
      <c r="J5464">
        <f>HYPERLINK("https://www.weblio.jp/content/ちらちら", "词义详情")</f>
        <v/>
      </c>
      <c r="K5464">
        <f>HYPERLINK("https://yourei.jp/ちらちら", "查看例句")</f>
        <v/>
      </c>
    </row>
    <row r="5465">
      <c r="A5465" t="inlineStr">
        <is>
          <t>ちらっと</t>
        </is>
      </c>
      <c r="B5465" t="inlineStr">
        <is>
          <t>成功</t>
        </is>
      </c>
      <c r="C5465" t="inlineStr">
        <is>
          <t>［副］ちらりと。ちらと。「通りすがりに—見る」「うわさを—聞いた」</t>
        </is>
      </c>
      <c r="D5465" t="inlineStr">
        <is>
          <t>ちらっと見る(3%)；ちらっと見える；ちらっとながめ；ちらっとのぞい；ちらっと見せ</t>
        </is>
      </c>
      <c r="F5465" t="inlineStr">
        <is>
          <t>顔をちらっと；横目でちらっと；ほんのちらっと；ちらっとみあげ；ちらっと顔を見合わせ</t>
        </is>
      </c>
      <c r="H5465" t="n">
        <v>29</v>
      </c>
      <c r="I5465" t="inlineStr">
        <is>
          <t>ちらっと前方を見まわしてみたが、廊下は巨大な扉の前で終わっている。；蛇はかれの顔を一度だけちらっと見てから、すべるように逃げていった。；ちらっと図面を見ればどれが秘密でどれが秘密でないかすぐ判りますぜ。；だれかにちらっとでも話したら、もの笑いの種になるのが落ちだからね。；そして机の上に、さっき置いた石のペンシーブがあるのをちらっと見た。；最初にちらっと見たところでは部屋はがらんとしているように思えた。；肩のあたりの雰囲気にちらっと見覚えがあるような気がしただけです。；すると鳥捕りが横からちらっとそれを見てあわてたように言いました。；ちらっと見て、この少年は自分を知っているという思いが心をかすめた。；書類入れの一番奥に例の文書が大切そうにしまいこんであるのがちらっと見えた。；途中で人影がひとつ目の前にちらっと見えたが、彼は怪しみもしなかった。；しかし、老人はちらっとその方を見ただけで廊下の方へ出ていった。；その子どもをちらっと見るだけで、彼はもう感動させられてしまうのだった。；ただときどき背後に浮かんでいて、目の隅にちらっと見えることがあるのよ。；彼はわずかに首をまわし、一番近くにいる衛兵を横眼でちらっと見た。；青年はちらっと見せられたものに打たれて、それに心をうばわれてしまう。；すると鳥捕りが横からちらっとそれを見てあはてたやうに云ひました。；そのとき、谷のむこうの坂の上のほうで、車のライトがちらっと見えた。；彼女は、彼をちらっと見て、また窓の外に目を戻したが、泣いていた。；出がけに、彼女はちらっと机の上を見たが、遺言書はそこにはなかった。；そのポーカー・フェイスの奥におもしろがっている光がちらっと見えた。；少女はまるで息がつまりでもしたみたいに度を失って、ちらっと彼を見つめた。；ちらっと耳にしたんだけどさ、異次元から攻めこんできたんだとかってさ。；けれども、ちらっと、『机の上に一通の手紙がある』ことに気がついた。；わしは玄関に向かうときベッドルームに彼をちらっと見た気がした。；すると鳥捕りが横からちらっとそれを見てあわてたように云いました。；明もそれに気づいたのか、ちらっと彼らの方を見て、険しい顔をした。；そのとき、不意にちらっと明かりがですね、例の家の窓に見えたんですよ。；あれの父親が死んで、あんたが毒を盛る前、ちらっと顔を見たことがある。</t>
        </is>
      </c>
      <c r="J5465">
        <f>HYPERLINK("https://www.weblio.jp/content/ちらっと", "词义详情")</f>
        <v/>
      </c>
      <c r="K5465">
        <f>HYPERLINK("https://yourei.jp/ちらっと", "查看例句")</f>
        <v/>
      </c>
    </row>
    <row r="5466">
      <c r="A5466" t="inlineStr">
        <is>
          <t>散らばる</t>
        </is>
      </c>
      <c r="B5466" t="inlineStr">
        <is>
          <t>成功</t>
        </is>
      </c>
      <c r="C5466" t="inlineStr">
        <is>
          <t>読み方：ちらばる
［動ラ五（四）］
１まとまっていたもの、1か所にあったものが、あちこちに離れ離れになって広がる。散在する。「全国に—・る卒業生」
２雑然と散り乱れる。散乱する。「部屋じゅうに紙くずが—・っている」</t>
        </is>
      </c>
      <c r="D5466" t="inlineStr">
        <is>
          <t>分散；散乱；散る；四散；散開</t>
        </is>
      </c>
      <c r="H5466" t="n">
        <v>29</v>
      </c>
      <c r="I5466" t="inlineStr">
        <is>
          <t>あるとき彼は家を描いて点を画面にいっぱい散らばしてぼくに説明した。；斜面のあちこちには、なにか杖のような形をしたものが散らばっていた。；さらに洞窟の奥へ進むと、大量に動物の骨が散らばる大きな広場に出る。；コース上に散らばっているコインを集めていくといろんなことが起こる。；それは蓋があけられていて、たれ板の上には数枚の書類が散らばっていた。；どの家も炎に包まれ、あたりの地面にはいくつもの死体が散らばっている。；千年後には、彼らは人類宇宙のありとあらゆるところに散らばっていた。；右手にある机の上に、さまざまな装置類や書類が散らばっているのだ。；彼らはこれから国中に散らばり、必ず娘を連れてきてくれるはずだからだ。；島はお互いに真近く散らばっておるのだから、お互いによく見えるはずだ。；全体に道路や河川に沿って小さな町と先住民の集落が散らばっている。；あの最初の場所では、折れ枝の上に枯れ葉が何枚か散らばっていたようだ。；ただしあまりに激しく動くと、ガスが周りに散らばって姿が見えてしまう。；触れたか触れないかのうちに、針のような石は折れて砂利の上に散らばる。；そうしてすぐに、開けた土地には、死体と怪我をした敵が散らばっていた。；この第二の実験は、150サイト世界に散らばるって観測されています。；薬莢は書斎のなかに、ある距離を置いて散らばったにちがいありません。；この公園のあらゆるところに、微小な粒子が何百万個も散らばっている。；部屋のなかに散らばつてゐた幸子の必要なすべての品々は持ち去られた。；俺は身体を起こすと、伸びをして、自分の足元に散らばった紙を拾った。；その場にいるほかのいとこたちも、まもなく一人残らず散らばってゆく。；散らばっていた家の者はまたぞろぞろ出てきて一ところに集まった。；散らばる本と倒れた書棚に目を走らせ、それからやっとこちらを向いた。；フィールド上に散らばるドラゴンボールを先に全て集めたチームの勝ち。；すべての現象がてんでんばらばらに互いの連絡なく散らばってしまった。；岩層がすっかり出てしまって、あたりにはその破片が散らばっていた。；分解されたのではなく、いつの間にか彼の周りに散らばり落ちていた。；もっといろいろなものが散らばり、はるかに大勢の船酔い患者がでていた。；残ったわずかな連中が小山賊団となってあちこちに散らばっているだけの事だ。</t>
        </is>
      </c>
      <c r="J5466">
        <f>HYPERLINK("https://www.weblio.jp/content/散らばる", "词义详情")</f>
        <v/>
      </c>
      <c r="K5466">
        <f>HYPERLINK("https://yourei.jp/散らばる", "查看例句")</f>
        <v/>
      </c>
    </row>
    <row r="5467">
      <c r="A5467" t="inlineStr">
        <is>
          <t>ちらりと</t>
        </is>
      </c>
      <c r="B5467" t="inlineStr">
        <is>
          <t>成功</t>
        </is>
      </c>
      <c r="D5467" t="inlineStr">
        <is>
          <t>ちらりと見る(3%)；ちらりと見える；ちらりと見せ；ちらりと覗い；ちらりと見上げ</t>
        </is>
      </c>
      <c r="F5467" t="inlineStr">
        <is>
          <t>横目でちらりと；姿をちらりと；腕時計をちらりと；ちらりと確認；ちらりと見やる</t>
        </is>
      </c>
      <c r="H5467" t="n">
        <v>29</v>
      </c>
      <c r="I5467" t="inlineStr">
        <is>
          <t>けれども、彼が出て行くところを、彼等はちらりと見てとったのだろう。；おれはそのなかみを一度ちらりと見ただけなのだが、それで充分だった。；ジャクソムは勇気を出して、すぐそばにいる竜の眼をちらりと見あげた。；わずかに開いた口のあいだから、ちらりと白い磁器のような歯が見えた。；警部がちらりと彼のほうに目をやると、事務官は軽くうなずいて見せた。；彼の眉がぴくりとし、ぼくをちらりと見て、何かを納得したようだった。；彼女は入口のほうをちらりと見てから、メノリに軽くうなずいてみせた。；彼はさっき人が倒れているのをちらりと見たベッドのそばへ行った。；多少幅の広い廊下へつくと、老人はそのつきあたりへちらりと目をやった。；神と彼女だけが知るある考えがちらりと心に浮かんだように見えた。；クロノメータをちらりと見、予定どおりに進んでいたので気をよくした。；先ほど森の端からちらりと見えた紫色の山脈のひとつの峰に自分はいる。；メノリがちらりと目をあげて見ると、その竜騎士は口に手をあてている。；しかし、その目がたもとの裏へいったとき、ちらりと見えたものがある。；先刻ちらりと見た西洋人の夫妻たちが通り過ぎているのだろうと思った。；先刻ちらりと見た西洋人の夫妻たちが通り過ぎてゐるのだらうと思つた。；ある一つの共通した考えが、誰もの心をちらりとかすめたのであった。；ただ一生の間にちらりと蝶の来てくれること、そればかり待っているのだ。；それがはっきりと掴めそうになったとき、わたしはちらりとリサを見た。；円卓のほうにちらりと目をやるとロビントン師が席につくのが見えた。；タナーはちらりと下をのぞいて、番人の一人に発見されたことを知った。；私は彼女の心のなかに、ちらりとでもそうした考えを起させたくない。；彼女はちらりと彼の眼を見上げて、それから依子の後を追っていった。；ただわずかに結婚菓子らしきことだけを、ちらりと認め得たにすぎない。；Fは黙ってちらりと眼を私の方に向けたが、それが涙で濡れていた。；さっき勘平がこの財布を出していたのを、母はちらりと見ていたのである。；ちらりと彼を見て顔をそむけ、女は、それまでと同じ場所で立ち止った。；目の隅にちらりと入ったときにだけ、蛇の顔とジャッカルの顔が見えるのだ。；彼女は優しげにすらりとした肩をして、一度ちらりと彼の方を振り返った。</t>
        </is>
      </c>
      <c r="J5467">
        <f>HYPERLINK("https://www.weblio.jp/content/ちらりと", "词义详情")</f>
        <v/>
      </c>
      <c r="K5467">
        <f>HYPERLINK("https://yourei.jp/ちらりと", "查看例句")</f>
        <v/>
      </c>
    </row>
    <row r="5468">
      <c r="A5468" t="inlineStr">
        <is>
          <t>ちり</t>
        </is>
      </c>
      <c r="B5468" t="inlineStr">
        <is>
          <t>成功</t>
        </is>
      </c>
      <c r="C5468" t="inlineStr">
        <is>
          <t>白身魚・野菜・豆腐などを湯で煮て、ポン酢醤油をつけて食べる鍋料理。鯛(たい)ちり・鱈(たら)ちり・河豚(ふぐ)ちりなど。ちり鍋。</t>
        </is>
      </c>
      <c r="D5468" t="inlineStr">
        <is>
          <t>ちり取り(4%)；ちり一つ(3%)；ちりひとつ(2%)；ちりかかる；ちりまし</t>
        </is>
      </c>
      <c r="E5468" t="inlineStr">
        <is>
          <t>破片；残骸；ゴミ；塵；瓦礫</t>
        </is>
      </c>
      <c r="F5468" t="inlineStr">
        <is>
          <t>むつちり；みつちり；花ちり；河豚ちり；まるちり</t>
        </is>
      </c>
      <c r="G5468" t="inlineStr">
        <is>
          <t>ちりぢり；ちりちり；ちりめん；ちり紙；ちりとり</t>
        </is>
      </c>
      <c r="H5468" t="n">
        <v>29</v>
      </c>
      <c r="I5468" t="inlineStr">
        <is>
          <t>ちり一つ浮かべていないのは水源地が近いことを示しているのであろう。；瞬間、わたくしの母なる微小なちりをもはや見ることができなくなった。；腰の線がかつちりしてゐて、後から見る姿は楚々とした美しさだつた。；それじゃ、ちり取りとほうきを持ったまま、ただ待っているのと同じよ。；公園の木は緑に映え、希望にみちた春はまだ夏のちりに汚されていない。；巨大な扉を前にして、ちりとこめかみが針で突かれたような痛みを訴えた。；ドア・ノッカーだろうか、ちりんとどこかで小さな鐘の鳴音が聞こえた。；しばしちり取りの中を眺めて、やっとそれらカラフルの正体がわかった。；ちりがみ交換に出されていた新聞だから、事件はしばらく前のことになるのだろう。；二万年も経てば骨どころかちり一つの痕跡なども残っていないだろう。；そして私には頭の中に浮かんだ白いちりしか残らなかったのだ。；思えば、顔の皮膚をちりつかせていた感触も汚染物質のものだったのだろう。；お母さんのからだは、今地面の下にあって、ちりになっているんです。；ここがちり一つないような清潔な家だとは思ってもいません。；おれたちはすべてのちりがぬぐい去られた東京の新年の夜を走った。；生徒たちは手に手に竹箒やちり取りを持って、屋外運動場に集まっている。；茶碗の底に冷たく成つて居た少しの水が土間へぽつちりと落ちてはねた。；ちりは上にも上らず下にも降りず、じっとそこに浮かんでいた。；今年は桜も早くちりかけていると、新聞に出ていました。；わたしをあがなう方は生きておられ、後の日に、ちりの上に立たれることを。；神は土のちりで人をつくり、その鼻に息を吹き入れ、人を創造する。；上空高くに達したちりや砂の微粒子は、遠方まで運ばれることがある。；私はそのちりを長いあいだ一人で眺めていた。；目を閉じると、沈黙が細かいちりのように僕の体を覆っていくのが感じられた。；やがて扉の向こうから、ちりんと璧を打ち合わせるような音がした。；路の上には、黄色なちりほこりが、かすかな風にたっていました。；そのころになると、ルイスの目の前に、赤と黒の斑点が飛びちりはじめた。；ふりかえると、年よりは茶店のよこの日だまりにちりをよけてまっていた。；背中のあたりがちり毛立つのを感じながら、ひとことつぶやいた。</t>
        </is>
      </c>
      <c r="J5468">
        <f>HYPERLINK("https://www.weblio.jp/content/ちり", "词义详情")</f>
        <v/>
      </c>
      <c r="K5468">
        <f>HYPERLINK("https://yourei.jp/ちり", "查看例句")</f>
        <v/>
      </c>
    </row>
    <row r="5469">
      <c r="A5469" t="inlineStr">
        <is>
          <t>地理</t>
        </is>
      </c>
      <c r="B5469" t="inlineStr">
        <is>
          <t>成功</t>
        </is>
      </c>
      <c r="C5469" t="inlineStr">
        <is>
          <t>読み方：ちり
１地球上の海陸・山川の分布、気候・生物・人口・都市・産業・交通などの状態。
２その土地の事情やようす。「この辺の—には通じている」
３「地理学」の略。</t>
        </is>
      </c>
      <c r="D5469" t="inlineStr">
        <is>
          <t>地理的(21%)；地理上(5%)；地理学会；地理条件；地理局</t>
        </is>
      </c>
      <c r="E5469" t="inlineStr">
        <is>
          <t>地理学；地理科；ジオグラフィー</t>
        </is>
      </c>
      <c r="F5469" t="inlineStr">
        <is>
          <t>内務省地理；地理學；王立地理；地理概念；地理学界</t>
        </is>
      </c>
      <c r="G5469" t="inlineStr">
        <is>
          <t>地理学；地理学者；地理情報；地理書；地理的表示</t>
        </is>
      </c>
      <c r="H5469" t="n">
        <v>29</v>
      </c>
      <c r="I5469" t="inlineStr">
        <is>
          <t>このような地理学の流れは、現在では地誌学と呼ばれているものである。；この組分けは、過去の各国の投票履歴や地理関係に基づいて決められる。；地元の建築物や文化遺産はこの地理的な条件から強い影響を受けている。；国民は、居住する地理範囲に一つの国家を形成することが予定される。；西部戦線の戦場は地理的なことと作戦の流れで定義される地域である。；その地理ゆえ南の大陸では産業が栄えたが、北の大陸は発展が遅れている。；州内の部分は公式にも非公式にも様々な地理区分に加えられている。；コーナーブルック周辺の地理を最初に調査して地図に残したのは彼であった。；スペインの建築は、時代に応じて歴史および地理的な多様性を示している。；このため、通常はコンジットが地理的な位置に基づいて人々を分けている。；一方で全国の観光地理にある程度詳しいと有利に働く分野でもある。；この未知の島は地理学会に報告され、世界中の研究者たちに知れ渡った。；これは日本が置かれている幾つかの地理条件が関係している。；旧規定での指定品も含め「地理表示製品」と明確に表示出来るようになった。；本作は前作の騒乱後を描いており、前作の地理とは多少違う部分が存在する。；これは地理・文化・計画に用いられるが、地域政府のような行政体は存在しない。；この知識は、イベリア半島内で作成された殆どの地理データ表に反映された。；これらの熱帯低気圧が地理的な境界線を越えた場合は呼び方が変わる。；FIRは国土の面積や経済力に関係なく、むしろ地理的な条件で決まる。；軍事地理学は地理を軍事的な観点から研究する地理学の一分野である。；地理の知識なしに地政学を理解するのは不可能であるからである。；そして文明が発達したことにより、それら地理を学問とすることが始まった。；郡政府は1960年に廃止されたが、地理上の区別のために郡名が残されている。；中央山脈を背後に有し、山地が多く平原が少ない地理環境となっている。；東西を貫く広小路通と並び、名古屋の地理を説明する際によく使われる。；など、その国の地理性や隣接する国によって国家の行動は制約される。；この項目ではストーリーの過程で登場する、改変された現代の地理を説明する。；この項目では元々の時間軸である現代の地理を説明する。；少なくとも当初は、地理的な区別に過ぎなかったとされている。</t>
        </is>
      </c>
      <c r="J5469">
        <f>HYPERLINK("https://www.weblio.jp/content/地理", "词义详情")</f>
        <v/>
      </c>
      <c r="K5469">
        <f>HYPERLINK("https://yourei.jp/地理", "查看例句")</f>
        <v/>
      </c>
    </row>
    <row r="5470">
      <c r="A5470" t="inlineStr">
        <is>
          <t>ちり紙</t>
        </is>
      </c>
      <c r="B5470" t="inlineStr">
        <is>
          <t>成功</t>
        </is>
      </c>
      <c r="C5470" t="inlineStr">
        <is>
          <t>読み方：ちりがみ
楮(こうぞ)の外皮の屑や屑紙で作った粗末な紙。鼻紙や落とし紙などに使う。また一般に、鼻紙や落とし紙をいう。</t>
        </is>
      </c>
      <c r="D5470" t="inlineStr">
        <is>
          <t>トイレットペーパー；ティッシュペーパー；鼻紙；塵紙</t>
        </is>
      </c>
      <c r="H5470" t="n">
        <v>29</v>
      </c>
      <c r="I5470" t="inlineStr">
        <is>
          <t>だが出てきたものはチリ紙と広告マッチだけで、求める紙片はなかった。；女は安来節のようなのを小声で歌いながら、チリ紙を持って入ってきた。；ちり紙を持ってこなかったので脱衣籠にあった白い布にそれをなすりつける。；と小山忠はちり紙でしきりと痰を、苦しそうに何度もとりながら言った。；古紙回収との、もうひとつの違いは、ちり紙を置いていかないことだ。；こんどは馬風が、チリ紙にのせたほんものを、同じ場所に置いたのである。；長い櫛を見つけたけど、でもあたしの探しているのはちり紙なの。；一人の男は寝袋の中に居たまま人にチリ紙をとらせたことでリンチされ、殺された。；中にちり紙でも入ってるのを期待したんですかね。；しかし「大金」が入った袋を開けてみると中身は大量のチリ紙だった。；下宿に帰って、それを出してみると、薄いチリ紙に包んだ五円札だった。；筆と硯を持ってこさし、ちり紙の上にいたずら書を始めたのはその又翌日であった。；一度その病院の奥さんが、白いちり紙にお菓子を包んでくれたと記憶している。；胸のポケットにはちり紙で幾重にも包まれた十五枚の千円札が入っていたのだ。；そしてひそかにためこんでいたちり紙に、小さな字でなにごとか書きはじめたのである。；ちり紙一枚、鉛筆一本が逆転の武器になるかもしれないのだから。；家では香りを染み込ませたちり紙を用いているのである。；食卓にあるちり紙は使用前にこれらを拭くためにも用いられる。；彼らは慌てていたから、私のチリ紙と手帖を奪っただけで、お金をとり忘れていた。；それから財布のなかを調べて懐に入れ、チリ紙とタオルを枕もとに置いた。；ちり紙など毎日ほんの数枚が与えられるだけだ。；うすぐらい露地の中で、その女の白いちり紙が、奇妙に清潔にみえた。；わが家などでは、白いちり紙などというものを使ってはいなかった。；私は、この白いちり紙の包みに大きな驚きを感じた。；ちり紙の他に鏡と眉墨も必要だと言ったら、あなたにも分るでしょ?；しかし初期の頃はなかなか普及せず、トイレットペーパーやちり紙などにしか利用がなかった。；ちり紙がなくて困っていると、彼は会社の物置にあった廃紙をどっさり持ってきてくれたりした。；そのとき奥さんがふと思いつかれて、ちり紙の束を私に渡した。；周り中をちり紙でグルグル巻きにして小さなボールぐらいになったのを、幼稚園に持って行ったのだった。</t>
        </is>
      </c>
      <c r="J5470">
        <f>HYPERLINK("https://www.weblio.jp/content/ちり紙", "词义详情")</f>
        <v/>
      </c>
      <c r="K5470">
        <f>HYPERLINK("https://yourei.jp/ちり紙", "查看例句")</f>
        <v/>
      </c>
    </row>
    <row r="5471">
      <c r="A5471" t="inlineStr">
        <is>
          <t>塵取り</t>
        </is>
      </c>
      <c r="B5471" t="inlineStr">
        <is>
          <t>成功</t>
        </is>
      </c>
      <c r="C5471" t="inlineStr">
        <is>
          <t>読み方：ごみとり
１掃き集めたごみを取る道具。ちりとり。
２「塵浚(ごみさら)い」に同じ。</t>
        </is>
      </c>
      <c r="H5471" t="n">
        <v>29</v>
      </c>
      <c r="I5471" t="inlineStr">
        <is>
          <t>蓋のない箱の側面のひとつを取り去った、塵取りのような形状をしている。；龍之介は小さな塵取りのような毛受けを持つと静かに眼を閉じた。；包丁は塵取りが集めて流しに戻したばかりのジャガイモを切り刻み始めた。；その人は塵取りを持ったまま、わたしのそばに来ました。；現代では、箕が塵取りの代わりとして利用されていることもある。；侍従長のほうは横にした塵取りに座っていた。；道化 その通り、塵取りを持たせたら誰にも引けは取らない。；おい、給仕、箒と塵取りとを持って来て、これを皆掃き集めてくれ。；手に持って使う塵取りは通常の大きさの箒や小型の手箒、またはブラシとともに使う。；頭が働いているなら、こういうものはまず取って塵取りにいれるほうが始末がよいと、必ず思わなければならないわけだと思うのですが、どうでしょうか。；箒と塵取りを取り出し、ぱたぱたとまたこちらへ駆けてくる。；トレローニー先生がほうきと塵取りを持ってスーッとネビルのそばにやってきた。；人間の世界では おれを殺さうとするのか、 生かしておかうとするのか、 どうしようとするのだ、 それとも俺の勝手次第であれといふのか、 誰か早く、おれの哀しみをさらふ 塵取りを持つて来てくれ。；家庭の道具、たとえば調理器具やほうき、塵取りなどは、古いものは捨てて新しく買っていくよね。；食器棚にかかっていた塵取りがピョンと飛び降り床を滑ってジャガイモを集めて回った。；スチールドラム缶、塵取りなどを叩いてセッションを行っていた。；教室では女生徒たちが箒と塵取りをもちだしていた。；竹の熊手と塵取りを手に、同好の女性たち何人かとともに、落ち葉集めに精を出しながら小一時間ほどがたったときのことだろうか。；例えば、和子内親王の嫁入り道具一式の目立つ位置に箒と塵取りが置かれていた。；物取りは泥棒、月給取りは無産階級、塵取りは勝手道具と心得ているが、何の取りに属するのか僕も多少疑問があった。；「しかし照日乙女と言うのは、巫女の名前で本名ではあるまい」 信次郎は塵取りを持って来るために、長床の入口の方に引き返した。；出てきたのは十指に余る箒と塵取りだった。；高遠は塵取りに木の葉や紙袋を掃き入れると、腰を伸ばした。；ブナの森を辿り、カケスの羽毛が落ちてくるとき青い色に変るのに目をとめ、羊飼いや乞食の前を通り、堀の中で横になった荷車のそばにしゃがんでいる女を見つめた、そのわたしは、いま塵取りをもって部屋から部屋をまわって歩く。；そこへどこの女婢か、塵取りに三杯も塵芥をブチあけましたので、塵芥の下敷きになって挟み虫みたいになっております。；ほうきと塵取りを持ったウェイトレスがあわててやってくる。；ベージュの作業服の上下を着て運動靴をはいた小柄なおっさんが一人、シュロの手ぼうきとブリキの塵取りを持って机の下を掃除している。；枯れ葉をまとめ、納屋に塵取りを探しに行き、塵取りを持って戻ってくると、集めた枯れ葉は再び、風に飛び散っていた。；棚の裏手には、箒と塵取り、雑巾などがかかっている。</t>
        </is>
      </c>
      <c r="J5471">
        <f>HYPERLINK("https://www.weblio.jp/content/塵取り", "词义详情")</f>
        <v/>
      </c>
      <c r="K5471">
        <f>HYPERLINK("https://yourei.jp/塵取り", "查看例句")</f>
        <v/>
      </c>
    </row>
    <row r="5472">
      <c r="A5472" t="inlineStr">
        <is>
          <t>治療</t>
        </is>
      </c>
      <c r="B5472" t="inlineStr">
        <is>
          <t>成功</t>
        </is>
      </c>
      <c r="C5472" t="inlineStr">
        <is>
          <t>読み方：ちりょう
［名］(スル)《「ぢりょう」とも》病気やけがをなおすこと。病気や症状を治癒あるいは軽快させるための医療行為。療治。「歯を—する」</t>
        </is>
      </c>
      <c r="D5472" t="inlineStr">
        <is>
          <t>治療法(3%)；治療効果；治療薬；治療者；治療室</t>
        </is>
      </c>
      <c r="E5472" t="inlineStr">
        <is>
          <t>緩和；軽減；療法；和らげる；治療法</t>
        </is>
      </c>
      <c r="F5472" t="inlineStr">
        <is>
          <t>適切な治療；有効な治療；歯科治療；病気治療；集中治療</t>
        </is>
      </c>
      <c r="G5472" t="inlineStr">
        <is>
          <t>治療薬；治療費；治療方法；治療院；治療行為</t>
        </is>
      </c>
      <c r="H5472" t="n">
        <v>29</v>
      </c>
      <c r="I5472" t="inlineStr">
        <is>
          <t>特に、病気の予防の点でも治療の点でも食事が大きな位置を占めている。；研究チームは今後2年をかけて安全性と治療効果を評価するとしている。；この理由は標準治療の拒否や、遅れが原因であると推測されるとしている。；表家業は腕が良いとそれなりに評判のようで、よく治療客が訪れている。；父親の眼の治療のためと、ボルヘスおよび妹のノラの進学のためである。；しかし、男女合わせたら治療の有無と生存との関連がなくなってしまう。；悪性貧血であっても経口投与で治療が十分に可能であるとも言われている。；治療対象群が3段階と、治療できないものの、計4段階に分類している。；その治療にはヒ素が用いられたため、余計に健康を害することとなった。；サキは後にこの傷が原因で失明しかけ、スイスで治療を行うことになる。；アルコール依存では、その他の向精神薬依存治療をも必要なことがある。；治療中に一時的に病状が悪化し、その後に完全に回復するような状態を指す。；対象となった患者は比較的軽症で、発症12時間以内に治療を開始した。；本頁では特に患者の症状に応じて治療の優先順位を決定することを説明する。；牛ではウイルス蔓延を防ぐために病牛は治療はせず数週で死亡する。；症候性てんかんの場合は原因疾患を治療すれば完治できる可能性がある。；治療しなければ患者は数時間のうちに死亡する場合もある。；またゲノミクスは医療の分野に新たな治療法を提供してきている。；発祥の地であるヨーロッパでも、治療の主な手段となることはほとんどない。；翌日より胃の上部に生じた癌の治療のためチームを離れ休養に入った。；抗生物質のない時代には確実な治療法はなく、多くの死者を出した。；治療の過程では回復度合いを見てレンズの度数を何度も変える必要がある。；の3つの流れをバランスよく滞りない状態にするのが治療目標になる。；基本的に治療の目標は嘔吐を止めて、歩行可能状態にすることである。；かれは三人を回復させた後も、夜通しで他の者達の治療を行った。；医師が、治療効果が無い行為や患者を害する行為を行うことがある。；エナメル質の状態を診査し、治療の必要性を判断することは重要である。；以後は、治療を続けながら講演や野球中継のゲスト解説などを行っていた。；治療に伴う初期の血糖降下作用は尿中に糖が流出することにあるという。</t>
        </is>
      </c>
      <c r="J5472">
        <f>HYPERLINK("https://www.weblio.jp/content/治療", "词义详情")</f>
        <v/>
      </c>
      <c r="K5472">
        <f>HYPERLINK("https://yourei.jp/治療", "查看例句")</f>
        <v/>
      </c>
    </row>
    <row r="5473">
      <c r="A5473" t="inlineStr">
        <is>
          <t>散る</t>
        </is>
      </c>
      <c r="B5473" t="inlineStr">
        <is>
          <t>成功</t>
        </is>
      </c>
      <c r="C5473" t="inlineStr">
        <is>
          <t>読み方：あかる
［動ラ下二］ちりぢりになる。ばらばらに別れる。
「人々—・れて、宿求むる」〈更級〉</t>
        </is>
      </c>
      <c r="D5473" t="inlineStr">
        <is>
          <t>散る桜残る桜；散るごとく；散る如く；散る白い；散る紅や黄</t>
        </is>
      </c>
      <c r="E5473" t="inlineStr">
        <is>
          <t>広がる；消える；分散；拡散；倒れる</t>
        </is>
      </c>
      <c r="F5473" t="inlineStr">
        <is>
          <t>舞い散る；逃げ散る；とび散る；花散る；くだけ散る</t>
        </is>
      </c>
      <c r="H5473" t="n">
        <v>29</v>
      </c>
      <c r="I5473" t="inlineStr">
        <is>
          <t>顔からそれていった噴水が反対の森のうえに砕け散って霧を立てていた。；そして理論的には散兵であっても、実際には他の部隊と大差がなかった。；実も結ばず散れとお新さんへ私はまこと伝えて悔いないものであろうか。；ここを良く合点すれば散る気の習癖を除く道も自然と明らかなのである。；だが煙の散った後では、依然たる猫の姿が、前と同じように坐っていた。；逃げ散る敵は道を選んでいないので、追う者また道を見てはいなかった。；信じたものが粉々に砕け散る瞬間を見せられるところだったではないか。；背中に散った髪を、一まとめにして、指の先でくるくるとよりをかけた。；地に足がついたとたん、その全身を覆っていた青い草や枝が散りおちた。；花は偽球茎の側面から出た枝の先に一つだけつくか、総状か散状につく。；四方へ散ろうとする仲間に向って言っているマーシェルの声が聞こえた。；暗緑色の葉のあいだにその白い花が夢の如くに開いて、夢の如くに散る。；中国の人々は湯の表面をフーッと吹いて、茶の葉を散らせておいて飲む。；花は咲き花は散り花は眠っても、酷薄な風には祝福された春の香はない。；そんな大事な時に、こんなことで気を散らせるわけにはいかなかった。；色の青白い顔に根の弛んだ髪は解けて肩のあたりまで散りかかっている。；一匹の動物の背のように盛り上っていた鳩の群が、弾かれたように散る。；死が間近に迫っているのを感じたとき、目の奥に無数の光が散りはじめた。；そもそもどのようにすれば散る気の習癖を除くことが出来るだろうか。；散る気の習癖が付いていては何事をしてもよく出来ない筈であるからである。；気の散ることが少なくなれば、もう少し根をつめてやろうと思っていた。；どんな女と会っていても、姫君のことが眼の前に散らついて離れないのだ。；一つは雑誌であると、百貨店へ行ったように他へ気が散るからであります。；都人には名のわかりにくい木や草の花が多く咲き多く地に散っていた。；アニメでその際に笑顔でアテナと兄の名を呼んで散るという追加がされた。；すこしでも酔っているような気があると、墨はみんな散ってしまいます。；私の膝を焼きそうな勢いで火花を散らせ、カクテルが目の前に置かれた。；世の闇を打ち払わんがため旅の空に散りし兄パパスの残した希望の星じゃ。；美しい使徒像はいつまでも残り、可憐な花は決して散りはしないだろう。</t>
        </is>
      </c>
      <c r="J5473">
        <f>HYPERLINK("https://www.weblio.jp/content/散る", "词义详情")</f>
        <v/>
      </c>
      <c r="K5473">
        <f>HYPERLINK("https://yourei.jp/散る", "查看例句")</f>
        <v/>
      </c>
    </row>
    <row r="5474">
      <c r="A5474" t="inlineStr">
        <is>
          <t>賃上げ</t>
        </is>
      </c>
      <c r="B5474" t="inlineStr">
        <is>
          <t>成功</t>
        </is>
      </c>
      <c r="C5474" t="inlineStr">
        <is>
          <t>読み方：ちんあげ
［名］(スル)賃金を上げること。「平均5パーセント—する」</t>
        </is>
      </c>
      <c r="D5474" t="inlineStr">
        <is>
          <t>賃上げ要求(10%)；賃上げ交渉(5%)；賃上げ率(4%)；賃上げ争議；賃上げスト</t>
        </is>
      </c>
      <c r="E5474" t="inlineStr">
        <is>
          <t>増し；引き上げ；アップ；増；引き揚げ</t>
        </is>
      </c>
      <c r="H5474" t="n">
        <v>29</v>
      </c>
      <c r="I5474" t="inlineStr">
        <is>
          <t>だが多くの会社で全体に経営に余裕が無く、大幅な賃上げは難しい状況。；結局、考えてみれば、彼らだって賃上げしたいからやっているのである。；これで彼はゾッと身をふるわせ、賃あげ要求の計画を放棄してしまった。；全体に賃上げの確保はなるも、広い波及が期待できるほどにはならず。；彼らは賃上げ要求に加えてボリス・エリツィン大統領らの辞任も要求した。；しかし労働者側は賃上げ額の不満から再引き上げを要求した。；いったい、五割もの賃上げ要求は、妥当かどうか、ということなんだよ。；慶応義塾の先生方が、賃上げ闘争をおはじめになってまもなくのことであった。；組合が、いよいよ、五割の賃上げの要求をすることに、きまったそうだ。；争議の目標で最も多いのがこの八時間労働制と賃上げであった。；しかし、賃上げなどを要求することよりも、企業の国有化を求めるものが大半であった。；従業員の賃上げ要求がストに発展し、日本の新聞にも記事となってのった。；さらに参戦前にすでに決定されていたはずの賃金上昇も含めた賃上げ率としたため、労働者の大きな不満を招いた。；その年の夏、益田派組合は賃上げを要求してストライキを起こした。；労働者は治安委員会にデモをかけ、三六クロイツァーへの賃上げを要求する。；政権に就いた第2次ウィルソン内閣は労働組合の要求に近い賃上げを認めた。；在庫が山をなし、賃上げを求めるビラが工場や自宅にも貼られる。；賃上げをすれば、それだけ、会社の成績が落ちて、株主が損をする。；昼間だから仕事を休んでデモしてるわけだし、春闘だから賃上げにきまってる。；しかし、ギルモアは給料が少ない事を理由に賃上げを要求し、それが認められないと帰国した。；また当時、一般公務員と比べて少なかった給与の賃上げ運動も行う。；譚をはじめとする従業員側は、当初月額800元の賃上げを求めた。；市場原理を働かせるためには利用料に保育士の賃上げ分を反映させること必要である。；このため再度鉄道の賃金・労働条件に関する委員会が設置されて、再び賃上げが実施された。；安倍政権の賃上げ要請に応えると同時に、社員の健康増進も図るためと説明している。；とは、労働運動などを要件に恒常的・定例的な賃上げが不況下で行われる場合。；当然、先生の給料も他の学校よりいいので、この近くの私立校では先生を引きとめるために賃上げしなければならなかったとか、嘘のような本当のような話が伝わっていた。；鉄道の労働組合は再び賃上げを要求し始め、1943年末にはストライキを示唆するようになった。；何のためにスト権をもちたいのかといえば、ストをやって賃上げしたいからで、つまり自分たちの利益のためなのだが、自分たちの利益という感じは与えない。</t>
        </is>
      </c>
      <c r="J5474">
        <f>HYPERLINK("https://www.weblio.jp/content/賃上げ", "词义详情")</f>
        <v/>
      </c>
      <c r="K5474">
        <f>HYPERLINK("https://yourei.jp/賃上げ", "查看例句")</f>
        <v/>
      </c>
    </row>
    <row r="5475">
      <c r="A5475" t="inlineStr">
        <is>
          <t>賃金</t>
        </is>
      </c>
      <c r="B5475" t="inlineStr">
        <is>
          <t>成功</t>
        </is>
      </c>
      <c r="C5475" t="inlineStr">
        <is>
          <t>読み方：ちんきん
１賃貸借において賃借人が支払う金銭。
２⇒ちんぎん（賃金）</t>
        </is>
      </c>
      <c r="D5475" t="inlineStr">
        <is>
          <t>賃金上昇；賃金労働；賃金カット；賃金支払い；賃金体系</t>
        </is>
      </c>
      <c r="E5475" t="inlineStr">
        <is>
          <t>報酬；給料；給与；月給；俸給</t>
        </is>
      </c>
      <c r="F5475" t="inlineStr">
        <is>
          <t>生活賃金；労働賃金；安い賃金；貨幣賃金；未払い賃金</t>
        </is>
      </c>
      <c r="G5475" t="inlineStr">
        <is>
          <t>賃金水準；賃金格差；賃金未払い；賃金率；賃金台帳</t>
        </is>
      </c>
      <c r="H5475" t="n">
        <v>29</v>
      </c>
      <c r="I5475" t="inlineStr">
        <is>
          <t>この建設工事によって何千人もの労働者が賃金とパンを得たのであった。；制作側ではより賃金の低い中国や韓国に作業を発注するようになった。；運送業界では同様の賃金規則を持つ会社があるので影響がありそうだ。；企業の枠を超えて職種ごとに設定された労働市場で横断的な賃金である。；芸術家の賃金は、一般の人々の賃金と同様に上昇していく必要がある。；州民が得た賃金は、それが州外から稼いだものでも所得税の対象になる。；彼女は、賃金についての論争を、何よりもはるかに重要であると考えた。；それに対抗するために、日本の非正規労働者の賃金を低く抑えてしまった。；この結果、同じ仕事をしながら賃金に大きな差が生じることは基本的に少ない。；賃金が上昇しているだけでなく、労働力不足が問題となるようになっている。；父親の賃金は安く、母親は美術教師となるため働きながら学校に通っていた。；穴埋めの映画を製作するよりも芸人の賃金の方が安価であったためである。；この建設には貧民層の住民が参加し、賃金とパンを得ることができたのである。；特に企業の人事考課に利用され、この評価を地位の上下や賃金額に反映する。；一方の賃金は一人あたり年間約18万円で、残りは経費に当てられている。；企業の賃金体系も妻子を養う世代の男性に比較的手厚いものになっていた。；世界的に貿易が拡大する中で、労働生産性・賃金の差の拡大が生じている。；これらの取引の多くは労働市場にてなされ、その賃金は市場にて決定される。；朝廷の御用であることと、賃金を支払う旨を約束して揚陸を手伝わせた。；労働条件と賃金の問題は州全体で議論されるべきものとされた。；政府を代表して、アハーンは労使間の間で賃金の合意について協議した。；海外での労働賃金は社会流動性にかなりの影響を与えている。；彼らの賃金は市場で商品を購入するために使われた。；時給と書けば理解しやすいが、チャージには賃金以外の経費も含まれる。；今日では男性と女性の双方が賃金労働に就いている。；したがって労働者は働いて賃金を得れば得るほど貧乏になっていく。；資本を得て自分で事業を行う者はほとんど誰も、他人の賃金で働く者に満足しなくなる。；また、原材料費用と賃金費用と不変的減価償却費用を直接費用と呼んだ。；これはより高い賃金を目指して別の企業に移ろうとする労働者にとっては厳しい。</t>
        </is>
      </c>
      <c r="J5475">
        <f>HYPERLINK("https://www.weblio.jp/content/賃金", "词义详情")</f>
        <v/>
      </c>
      <c r="K5475">
        <f>HYPERLINK("https://yourei.jp/賃金", "查看例句")</f>
        <v/>
      </c>
    </row>
    <row r="5476">
      <c r="A5476" t="inlineStr">
        <is>
          <t>賃下げ</t>
        </is>
      </c>
      <c r="B5476" t="inlineStr">
        <is>
          <t>成功</t>
        </is>
      </c>
      <c r="C5476" t="inlineStr">
        <is>
          <t>読み方：ちんさげ
［名］(スル)賃金を下げること。</t>
        </is>
      </c>
      <c r="D5476" t="inlineStr">
        <is>
          <t>賃下げ分(9%)</t>
        </is>
      </c>
      <c r="H5476" t="n">
        <v>29</v>
      </c>
      <c r="I5476" t="inlineStr">
        <is>
          <t>労働運動は労働時間の短縮や賃下げへの防衛的な抵抗を柱に結集を始めていった。；日本で賃下げをするのは考えていない。；UAWの幹部は賃下げに応じたものの下部組織を説得させることができなかった弱みがある。；賃下げ反対の要求なんか全然無視されたんだから、糞いまいましいが、敗北だった。；そこでUAWに賃下げに応じさせるには、GMは何らかの代償を出さなければならない。；GMは一台当たり千ドルから千二百ドルの値下げを予想し、それに応じた賃下げを期待していたのに対し、UAWが応じたのはたった百ドル。；原発停止によって賃下げなどを招いたと認識したためである。；大学講師のワークシェアリングや厚生労働省をはじめとした政府機関でも賃下げを含むワークシェアリングの導入が進んでいない。；スミスは賃下げ分だけでなく、それを機に思い切った現金ボーナス作戦を展開する販売促進策を考えていた。；こういう合理化と賃下げ、失業に反対する左翼は少数者運動と云われ、第三インターナショナルの影響のもとに行動しているといつも非難されているのだった。；前述の費用を賄うために、従業員の解雇や賃下げ、保線の間引きなどが行われた。；産業合理化がさけばれ、労働者の賃下げ、首切りがさかんに行われた。；首キリ・賃下げ・労働強化絶対反対!；GMはUAWから賃下げを勝ちとれば、その賃下げ分を新車価格の引き下げに充てることにしていた。；フォードは年間十億ドルの賃下げの見返りに、UAWに一定期間職場保証したのである。；合意の内容はUAWが賃下げに応じる代わりに、フォードは工場閉鎖を取りやめるというものである。；GMとUAWの交渉は十一日から始まったばかりだが、十二日には早くも、労使が賃下げ分を新車価格の引き下げに回すことで仮合意した。；だがUAWの賃下げ分を値下げするとなれば、下げ幅はともかくヤンキー魂をかき立てることは間違いない。；資本主義経済の行きづまりは、工場閉鎖・首きり・賃下げ・三百余万の失業と農村恐慌とでプロレタリア・農民の生活をせっぱつまったところまで追い込んでいる。；中商工業有権者たちのほかに、当時ようやく賃下げと失業の脅威におびやかされていた船員、織工らの支持が絶対に彼にあった。；また、急激な円高で製造業の生産拠点の海外移転が進む中、国内の産業空洞化を避けるため、賃下げも辞さぬ強い姿勢で臨んだ。；真中の墓は賃下げされた、かわいそうな五クロイツァーを弔うため、両側の二つの墓は国民軍の偉い人に生きたまま入ってもらうため、ということで丁重に花を供えた。；経営側の賃下げ、人員整理に対抗して大明炭鉱、榎山炭鉱では労働争議が起きた。；工場での首キリ反対、賃下げ反対に立ってストライキした婦人労働者は五万人もいるし、農村で地主との闘いに勇ましく闘う婦人の数も決してわずかではない。；仮合意ではUAWは賃下げに応じる代わりに、GMは今後、新車の生産を原則として海外で行わず、米国内を最優先させるという条件が付けられている。；特に低賃金を受け入れる移民が賃下げという好ましくない影響を与えると論じた。；個人筆頭株主の糸山英太郎は、日本航空の会社更生法以前に自身のウェブサイトで「元々高賃金の日本航空が存続をかけてリストラをしている最中に、一切の賃下げを認めない労組が八つとはお客様の理解が得られない」と発言していたとされる。；経済学者の松尾匡は「貧困問題の対策として、雇用拡大なしに再配分だけで解決させようとすることは、労働者がクビ切り・賃下げに抵抗できない不況を持続させようとすることに等しい」と指摘している。；織物工場のあるスコットランドの田舎町スラムズでは、賃下げを機に同士が対立し、工場に火が放たれる事態に至っており、官憲と織工ら村人たちの間に緊張が高まっていた。</t>
        </is>
      </c>
      <c r="J5476">
        <f>HYPERLINK("https://www.weblio.jp/content/賃下げ", "词义详情")</f>
        <v/>
      </c>
      <c r="K5476">
        <f>HYPERLINK("https://yourei.jp/賃下げ", "查看例句")</f>
        <v/>
      </c>
    </row>
    <row r="5477">
      <c r="A5477" t="inlineStr">
        <is>
          <t>賃貸</t>
        </is>
      </c>
      <c r="B5477" t="inlineStr">
        <is>
          <t>成功</t>
        </is>
      </c>
      <c r="C5477" t="inlineStr">
        <is>
          <t>読み方：ちんたい
［名］(スル)賃料を取り、物を相手方に貸すこと。賃貸し。「駐車場を—する」「—価格」「—マンション」⇔賃借。</t>
        </is>
      </c>
      <c r="D5477" t="inlineStr">
        <is>
          <t>賃貸契約(10%)；賃貸物件(5%)；賃貸アパート(3%)；賃貸事業(3%)；賃貸管理(2%)</t>
        </is>
      </c>
      <c r="E5477" t="inlineStr">
        <is>
          <t>レンタル；リース；貸す；貸与；貸出</t>
        </is>
      </c>
      <c r="F5477" t="inlineStr">
        <is>
          <t>賃貸収入；賃貸価格；賃貸住宅；土地賃貸；賃貸型</t>
        </is>
      </c>
      <c r="G5477" t="inlineStr">
        <is>
          <t>賃貸マンション；賃貸料；賃貸借；賃貸借契約；賃貸人</t>
        </is>
      </c>
      <c r="H5477" t="n">
        <v>29</v>
      </c>
      <c r="I5477" t="inlineStr">
        <is>
          <t>自分の家を建てられない者のためにはホテルや賃貸コテージが建設された。；マンションは賃貸で、他に土地や美術品を所有していたふうでもない。；その他の建物をバート・アーロルゼン市は企業向けに賃貸ししている。；市内の犯罪は自家所有者の代わりに賃貸者が増えた時に増加するように見える。；家族持ちはパタリロ山に立てられた賃貸コテージ群の一棟に居住する。；研修先であったJAWAに施設を賃貸し、不動産運用を図ることとした。；住宅棟の地権者保有分を除いた部分は都市機構が保有して賃貸を行っている。；これはまた、上記の外国人に土地を賃貸する場合も最長3年間に制限した。；彼女は一室を、化学を学ぶ若い学生のヨセフ・クルイスに賃貸していた。；まず、ローマの中心地にある自分のアパートは短期契約の外国人に賃貸する。；ノースウエスト社は日航に航空機とパイロットを賃貸している会社である。；居住者が建物を所有する場合のほか、貸家として賃貸される場合もある。；それともあの賃貸の建物のほうが信じられないのだろうか。；建物の所有者は3階層だけを使用し、残りは賃貸用とする計画を持っていた。；もしログハウスが賃貸なら、私が借りている部屋よりも家賃は高いはずだ。；今後、同社が運営する一部の既存店舗も賃貸運営への切り替えを検討している。；この区域はハワイ大学が管理し、各国の研究機関に土地が賃貸されている。；調べた賃貸情報の紙に目を通し直していた裕孝が顔を上げた。；別に、こちらは、賃貸契約に違反しているわけではありませんからね。；その後周辺の土地が売却されていき、1885年まで賃貸となった。；こうしてこの不動産は125年の賃貸権付きで売却されたのである。；特殊な賃貸運営であるため不動産賃貸会社の経験とノウハウは重要である。；劇場はオリエンタルランドに賃貸し、運営を任せることで合意されていた。；これは、賃貸収入が博物館の運営資金となることをソーンが意図したためである。；いずれも入札なしに行われたが、賃貸自体はの下では合法であった。；公園の北側にはホテルを主とした賃貸棟と超高層マンションを配置する計画となっている。；鉄道路線の国家買収後は、不動産の賃貸・売買・管理等を業務としている。；不動産事業はマンションの建設販売、ビル賃貸事業等を行っている。；現在地での建て替えのほか、移転や賃貸への移行なども検討されこととされた。</t>
        </is>
      </c>
      <c r="J5477">
        <f>HYPERLINK("https://www.weblio.jp/content/賃貸", "词义详情")</f>
        <v/>
      </c>
      <c r="K5477">
        <f>HYPERLINK("https://yourei.jp/賃貸", "查看例句")</f>
        <v/>
      </c>
    </row>
    <row r="5478">
      <c r="A5478" t="inlineStr">
        <is>
          <t>沈殿</t>
        </is>
      </c>
      <c r="B5478" t="inlineStr">
        <is>
          <t>成功</t>
        </is>
      </c>
      <c r="C5478" t="inlineStr">
        <is>
          <t>読み方：ちんでん
［名］(スル)溶液中にまじっている微小固体が底に沈んでたまること。化学では、溶液中の化学反応で不溶性の生成物ができること。または、溶液中の溶質が飽和に達して固まること。「川底にへどろが—する」</t>
        </is>
      </c>
      <c r="D5478" t="inlineStr">
        <is>
          <t>沈殿物(24%)；沈殿槽(2%)；沈殿剤；沈殿池；沈殿層</t>
        </is>
      </c>
      <c r="E5478" t="inlineStr">
        <is>
          <t>降雨；降水；沈降；析出；沈澱</t>
        </is>
      </c>
      <c r="F5478" t="inlineStr">
        <is>
          <t>赤色沈殿</t>
        </is>
      </c>
      <c r="H5478" t="n">
        <v>29</v>
      </c>
      <c r="I5478" t="inlineStr">
        <is>
          <t>この男はここに沈殿する闇と同様に、この存在に取り憑かれているのだ。；異状は沈殿していく一方なのに、問題なく生活できてしまうんですから。；そしてワインの中のどの酸もテスト液中の硫黄を沈殿させる効果は無い。；その後、この沈殿物には多数の新物質が含まれていることが明らかになった。；このように希釈した蒸留酒は沈殿して容易に再び透明になることはない。；これらの沈殿を脱水してフレーク状にしたものがイエローケーキである。；沈殿した白い綺麗な砂の底に、昔のものらしい、大理石の切板が見えた。；木の髄を桶に入れて大量の水を注ぎしばらく置くと、底に粉が沈殿する。；沈殿物は川の河口に堆積し、それはヨシ湿原の拡大の要因となっている。；従って硝酸銀はハロゲン化物イオンを沈殿させるのに使うことができる。；沈砂池は、流水中の土砂などを沈殿させて流れから除くための池である。；石灰石の成因には生物起源のものと海水下に直接沈殿したものがある。；視線は細い糸となり、体の底に沈殿していくような気がした。；また、プリトヴィツェ湖群のように成長した苔の上に沈殿することもある。；自然界に存在するレベルであればバクテリアも沈殿物も人畜無害である。；加熱すると一酸化窒素を発してFeを含む複雑な水酸化物塩が沈殿する。；足跡は、その上に重なる泥の沈殿で保存され、時をへて岩へ変わっていった。；富栄養の浅い水域の水草の表面や沈殿物の間などではごく普通に見られる。；広い範囲の水系が南からもろい砂をこのあたりにまで運んできて、沈殿させた。；電気放電で生じた鉄の酸化物や硝酸鉄から沈殿したゲルの中にも見られる。；さらに不幸な事に沈殿槽は二重構造で、周囲に冷却水が通る構造であった。；この沈殿過程を化学反応式で示すと、上述の式とは逆に次のように記される。；しかし、酸性下では鉄IIイオンに還元されるだけで、沈殿は生じない。；この沈殿物は比較的若いため、ここで現在または過去の生命の存在が発見される可能性を示唆する者もいる。；それでも一度出来てしまったしこりは澱のように沈殿して決して消えはしなかった。；何層にも沈殿した罪の意識は重苦しい疲労感となり、僕を痛め付けた。；キモシンは、チーズの製造時に乳の沈殿とカードの形成に利用される。；アブラミミズ、ミズミミズは沈殿物中を這い回って生活するものが多い。；これは湖底に沈殿した湯花を取るために、阿部藤助が掘ったものである。</t>
        </is>
      </c>
      <c r="J5478">
        <f>HYPERLINK("https://www.weblio.jp/content/沈殿", "词义详情")</f>
        <v/>
      </c>
      <c r="K5478">
        <f>HYPERLINK("https://yourei.jp/沈殿", "查看例句")</f>
        <v/>
      </c>
    </row>
    <row r="5479">
      <c r="A5479" t="inlineStr">
        <is>
          <t>沈没</t>
        </is>
      </c>
      <c r="B5479" t="inlineStr">
        <is>
          <t>成功</t>
        </is>
      </c>
      <c r="C5479" t="inlineStr">
        <is>
          <t>読み方：ちんぼつ
［名］(スル)
１船などが水中に沈むこと。「台風でタンカーが—する」
２酒に酔いつぶれること。「二次会の途中で—する」
３遊びに夢中になって仕事や用事を忘れてしまうこと。特に歓楽街などに入り込んでしまうこと。「まっすぐ帰宅するつもりが、駅前で—してしまった」</t>
        </is>
      </c>
      <c r="D5479" t="inlineStr">
        <is>
          <t>沈没船(6%)；沈没地点(4%)；沈没寸前(2%)；沈没艦；沈没位置</t>
        </is>
      </c>
      <c r="F5479" t="inlineStr">
        <is>
          <t>雷撃により沈没；沈没確実；沈没時刻；武蔵沈没；辛うじて沈没</t>
        </is>
      </c>
      <c r="H5479" t="n">
        <v>29</v>
      </c>
      <c r="I5479" t="inlineStr">
        <is>
          <t>今こそすべての党同志は沈没船から逃れる挑戦をしなければなりません。；住民の話では、上陸後や沈没直後の時点に死者はほとんど無かったという。；その代わり査問委員会が問題視したのは沈没した艦の復元力不足だった。；戦後の日本の記録では、安城丸はこのまま沈没したと結論付けられた。；艦船が沈没する際に艦長船長が船と運命を共にするということがある。；現場に居合わせた各艦等は協力して沈没艦と損傷艦の救援に従事した。；一連の出来事は、目撃者の報告通りで、特に船が沈没したのは一瞬だった。；兵士とガソリンを搭載していた大彰丸は大爆発を起こして沈没した。；船が沈没すると、そのペナント・ナンバーは新しい船に再利用された。；記者会見では大和の沈没現場をカメラに収めた記録映像を一部披露した。；大和の沈没が避けられないことを知らされ、伊藤は作戦の中止を命じた。；筑摩の方は野分が到着した時点で沈没していたとも言われている。；日本が沈没するには実際には何百万年、何千万年かかります。；長い間、これらは人間を殺し船を沈没させる恐ろしい怪物だと考えられてきた。；準備を終え魚雷を発射し、爆発は確認されたが沈没までには至らなかった。；カトゥーンバは沈没した潜水艦に錨を引っかけて曳航する作業を行った。；ブージヴァルの位置はかつて水が流れていた沈没谷の河口部に当たる。；沈没状況は位置以外はこの潜水調査までほぼ不明の状態だった。；そのなかには発砲や沈没などにより漁民が負傷、死亡するものもあった。；そのため、裂け目から急速に浸水し、ついに沈没に至ったと推測される。；一連の戦闘で武蔵が沈没し、損傷を受けた3隻が艦隊から離脱した。；大爆発が発生して艦尾が吹き飛び、報国丸は艦首を持ちあげて沈没した。；また9番艦自体も鳴門が甲板に載せて浮上したため沈没することも無かった。；陸上から自分の艦が沈没するを見ていたボード大佐は、面目を失った。；この日双方の艦隊の多くが損傷したが、驚くべきことに沈没した戦列艦はなかった。；しかし、戦後の日本側の記録では同海域での沈没艦は確認できなかった。；沈没時の爆発でスクリューシャフトが折れて、脱落したものと思われる。；日本側が太東丸の沈没を知ったのはいく日か経ってからのことだった。；短時間で沈没したため158名が死亡、艦長を含む52名が負傷した。</t>
        </is>
      </c>
      <c r="J5479">
        <f>HYPERLINK("https://www.weblio.jp/content/沈没", "词义详情")</f>
        <v/>
      </c>
      <c r="K5479">
        <f>HYPERLINK("https://yourei.jp/沈没", "查看例句")</f>
        <v/>
      </c>
    </row>
    <row r="5480">
      <c r="A5480" t="inlineStr">
        <is>
          <t>沈黙</t>
        </is>
      </c>
      <c r="B5480" t="inlineStr">
        <is>
          <t>成功</t>
        </is>
      </c>
      <c r="C5480" t="inlineStr">
        <is>
          <t>読み方：ちんもく
［名］(スル)
１だまりこむこと。口をきかないこと。「—を守る」「—を破る」「—して語らない」
２音を出さないこと。物音もなく静かなこと。「深い夜の—」
３活動をせずにじっとしていること。「長い—を破って新作を発表する」
[補説]書名別項。→沈黙</t>
        </is>
      </c>
      <c r="D5480" t="inlineStr">
        <is>
          <t>沈黙がち；沈黙勝ち；沈黙博物館；沈黙提督；沈黙と死</t>
        </is>
      </c>
      <c r="E5480" t="inlineStr">
        <is>
          <t>無言；静寂；静けさ；黙；黙り</t>
        </is>
      </c>
      <c r="F5480" t="inlineStr">
        <is>
          <t>重苦しい沈黙；気まずい沈黙；深い沈黙；短い沈黙；重い沈黙</t>
        </is>
      </c>
      <c r="G5480" t="inlineStr">
        <is>
          <t>沈黙の世界；沈黙の春；沈黙は金；沈黙の戦艦；沈黙の塔</t>
        </is>
      </c>
      <c r="H5480" t="n">
        <v>29</v>
      </c>
      <c r="I5480" t="inlineStr">
        <is>
          <t>そのほかにも数知れない無気味な音がこの沈黙のうちに響いて来ました。；あとにはまた力のない、どこかかすかに汗ばんだ沈黙ばかり残っている。；それ以外では登場人物は明らかな信じ難いことにも全く沈黙している。；前にも言った通り、非常な沈黙がこの氷の海に充ち満ちているのである。；ケージは以後、沈黙とは意図しない音が起きている状態であると定義する。；魂の底を突き抜けて虚無の中にまで沈んだような、脱力の沈黙であった。；しかしスカルノ大統領がなぜここまで沈黙を守ったのかは謎である。；この文脈では、花嫁の沈黙は結婚に同意するとみなされる事を意味した。；そして、沈黙破りが起こる時に、特定の時と場所を告げることがあった。；ハシディズムの指導者はしばしばその事柄を沈黙させたと非難されている。；数年間の沈黙を続けた後ブルトンと和解しシュルレアリスムに参加する。；ただ保守党内の地主層への配慮から沈黙せざるをえない状況が続いていた。；その音に引き入れられて耳を澄ますと夜の沈黙の中にも声はあった。；ある議会指導者は、「金がかなりの沈黙を買っている」と語っていた。；皆の驚いた沈黙の中で、彼は静かな強さで彼らに向かって言う。；そこで沈黙することは許されず、胡風らを批判することしか許されなかった。；父はつづけて声をかけてみたが、女は息を殺して沈黙を守っているらしかった。；一方、沈黙を選んだことで神秘性が保たれたと考えることもできます。；「そうかなあ」と森村が言ったあとに、言い合わしたような沈黙が来た。；二人はしばらく沈黙していたが、そのうち今度は山木が河合を呼んだ。；こうしてアフマートヴァは再び長い沈黙を強いられることとなった。；オズフェストのセカンド・ステージで全米を周った後に再び沈黙に入る。；船長は、或る出来事について沈黙を守っていなければならぬ義務があったのだ。；私は闇と沈黙の中に、目も耳もない人間の様に、独りぼっちで震えていた。；法曹・教育関連市民団体でも沈黙を続けるダブルスタンダードを見せた。；途中からでも沈黙を破って活動していたら間に合ったのではないかと思われたのである。；遠藤周作の小説『沈黙』の主人公のモデルとなったことでも知られる。；大崩壊から人類を守って以降沈黙していたが、D2本編最終盤にて覚醒。；スカエウォラ・ポンティフェクスを含む他の元老院議員は沈黙を守った。</t>
        </is>
      </c>
      <c r="J5480">
        <f>HYPERLINK("https://www.weblio.jp/content/沈黙", "词义详情")</f>
        <v/>
      </c>
      <c r="K5480">
        <f>HYPERLINK("https://yourei.jp/沈黙", "查看例句")</f>
        <v/>
      </c>
    </row>
    <row r="5481">
      <c r="A5481" t="inlineStr">
        <is>
          <t>陳列</t>
        </is>
      </c>
      <c r="B5481" t="inlineStr">
        <is>
          <t>成功</t>
        </is>
      </c>
      <c r="C5481" t="inlineStr">
        <is>
          <t>読み方：ちんれつ
［名］(スル)人に見せるために、品物を並べること。「商品を棚に—する」</t>
        </is>
      </c>
      <c r="D5481" t="inlineStr">
        <is>
          <t>陳列室(7%)；陳列窓(5%)；陳列所(4%)；陳列館(4%)；陳列品(3%)</t>
        </is>
      </c>
      <c r="E5481" t="inlineStr">
        <is>
          <t>発表；示す；表示；展示；見せる</t>
        </is>
      </c>
      <c r="F5481" t="inlineStr">
        <is>
          <t>陳列箱；陳列会；陳列販売；物産陳列；特別陳列</t>
        </is>
      </c>
      <c r="G5481" t="inlineStr">
        <is>
          <t>陳列室の恐怖</t>
        </is>
      </c>
      <c r="H5481" t="n">
        <v>29</v>
      </c>
      <c r="I5481" t="inlineStr">
        <is>
          <t>そして新たに生まれた物産を紹介・陳列・販売する施設が必要とされた。；フレンチ夫人があの陳列窓の中で殺されたものでないのは全く明白です。；客が高いところに陳列してある商品を取るために白い取り棒が置かれている。；しかし二階の陳列室には、これよりもっと大きくて立派なのがございます。；牛鬼蛇神の像なども骨董屋の店か博物館に陳列されてゐるばかりである。；例の身許不明の死体は陳列されたままで、老刑事は帰って来ていなかった。；それまで私が書いたものはすべて博物館の陳列品みたいなものばかりであった。；ただし店舗や市場では、オレンジが非冷凍の棚に陳列されることになる。；子供が、陳列してある玩具を片端から買ってくれといって困ったという。；しかし私達はこの民藝館をただ古い品物の陳列場にしたくはありません。；つまり、あの陳列窓は正午までは閉鎖されていて使用されないのです。；そうして最後に残った絵だけをもう一遍陳列してみたらどんなことになるか。；これらの作品を陳列する特別コーナーを設けているレコード店もある。；そして彼等は扉の二重になっている陳列室に入ることが出来た。；これは、既存の陳列ケースの改造や交換が必要となる可能性がある。；司書が長い本棚にアルファベット順に本を陳列しようとしているとする。；彼は何か他の陳列品に深い興味を覚えているふりをしていた。；また、眠っているうちに陳列されてしまうような住居もごめんでした。；「陳列箱の鍵は平生誰が持って居るのですか」友は始めて口を開いた。；南側から入って螺旋状の階段を上るとここに有名な武器陳列場がある。；保護区に典型的な生物種の陳列が行われている博物館も併設されている。；その人の蔵品が陳列してある室に入ったことがあるが、さむざむしていた。；前々から約束していた陳列窓の銀の櫛の代わりにしたつもりでいた。；ユーゴーの住まっていた家で遺物など陳列して公衆に見せているのです。；僕はそれが昼間、街の舗道に陳列してあつた写真のせゐだとおもつた。；とにかく同会の幹部たちが出せというので陳列することになりました。；生産したものはフリーマーケットに陳列台を置き、販売することができる。；それにつけても博物館の陳列の方法は何とか改善してほしい。；これには何か、死体陳列の出来ないような特別の事情があったとしか考えられない。</t>
        </is>
      </c>
      <c r="J5481">
        <f>HYPERLINK("https://www.weblio.jp/content/陳列", "词义详情")</f>
        <v/>
      </c>
      <c r="K5481">
        <f>HYPERLINK("https://yourei.jp/陳列", "查看例句")</f>
        <v/>
      </c>
    </row>
    <row r="5482">
      <c r="A5482" t="inlineStr">
        <is>
          <t>つい</t>
        </is>
      </c>
      <c r="B5482" t="inlineStr">
        <is>
          <t>成功</t>
        </is>
      </c>
      <c r="C5482" t="inlineStr">
        <is>
          <t>［副］
１そのつもりがないのにしてしまうさま。うっかり。思わず知らず。「—話し込んでしまった」
２そのつもりがあるのに、そのまましないでいるさま。「—言いそびれてしまった」
３時間・距離などがごくわずかであるさま。ほんの。すぐ。「—さっき電話があった」「—目と鼻の先に住んでいる」</t>
        </is>
      </c>
      <c r="D5482" t="inlineStr">
        <is>
          <t>ついてくる；ついて来；ついていく；ついてゆく；ついていき</t>
        </is>
      </c>
      <c r="E5482" t="inlineStr">
        <is>
          <t>ふと；偶然；頻繁に；たまたま；しきりに</t>
        </is>
      </c>
      <c r="F5482" t="inlineStr">
        <is>
          <t>嘘をつい；溜息をつい；膝をつい；気がつい；眠りについ</t>
        </is>
      </c>
      <c r="G5482" t="inlineStr">
        <is>
          <t>ついで；ついぞ；ついてる；ついつい；ついて行く</t>
        </is>
      </c>
      <c r="H5482" t="n">
        <v>29</v>
      </c>
      <c r="I5482" t="inlineStr">
        <is>
          <t>隊員たちが全員首に赤いマフラーを巻いていることからこの名がついた。；しかし鎮圧に向かった兵士は次々に反乱を起こして労働者側についた。；一説によると、ツルがよく集まったためこの名がついたといわれている。；その時の持ち手がついているため、今のような形になったとも言われている。；この段階では名前はついておらず、後から情報を集めて思いついて行った。；イギリス軍を相手に勝利を収めた第一航空艦隊は日本への帰路についた。；彼は火のついたものを持った人影を見て、警備を行っていた警官に急報した。；それぞれは球にノズルがついた形をしており、梁に取りつけられていた。；もち米をついた後に、保存するための形成方法は地方によって異なる。；小麦グルテンの加水分解物から初めて発見されたことからこの名がついた。；それが普通で、地に足のついた方法だと思っていたのだと思う。；後ろについている数は最初に発表された年を表している。；また、頭についていたパーツと同じようなパーツが腰から伸びている。；雄の尾鰭の一部が剣のように伸びていることから名前がついた。；その後、SRCにより遺跡公園の地下に運ばれ、再び長い眠りについた。；猫の耳のついた髪飾りあるいは演劇・コスプレのコスチュームの一種である。；夫人は複雑な思いだがスザンナの振りをして彼に従ってついていく。；これは桜の場合も多いが、「桜」と名がついていても桜以外の木の場合もある。；どちらの番号もついていない作品は挙げられていない。；レモンをはじめ柑橘類に多く含まれていることからこの名がついた。；その例として、遠征中に軍務についた人が書いた遺言に関する法がある。；米国でもエンジンが胴体後方についている旅客機で認められているに過ぎない。；角居はルメールに好位につけるよう指示し、その通りに位置についた。；これは車輪がついた篭を前後の人間の力で移動させるものである。；成年後見監督人がついている場合の監督人の報酬についても同様である。；一個の岩石内の成分についてでもよいし地殻全体の成分についてでもよい。；老馬は風雪をついて進み、ついに雪子たちの元へと五郎を連れてきたのだった。；雄花がついたときと、雌花がついたときには、それぞれ再度追肥を行う。；ここで上式の各項について となることから、上式から を得る。</t>
        </is>
      </c>
      <c r="J5482">
        <f>HYPERLINK("https://www.weblio.jp/content/つい", "词义详情")</f>
        <v/>
      </c>
      <c r="K5482">
        <f>HYPERLINK("https://yourei.jp/つい", "查看例句")</f>
        <v/>
      </c>
    </row>
    <row r="5483">
      <c r="A5483" t="inlineStr">
        <is>
          <t>追加</t>
        </is>
      </c>
      <c r="B5483" t="inlineStr">
        <is>
          <t>成功</t>
        </is>
      </c>
      <c r="C5483" t="inlineStr">
        <is>
          <t>読み方：ついか
［名］(スル)すでにあるものにあとからつけ足すこと。また、そのもの。「料理をもう一皿—する」「—注文」</t>
        </is>
      </c>
      <c r="D5483" t="inlineStr">
        <is>
          <t>追加される(4%)；追加装備；追加料金；追加要素；追加収録</t>
        </is>
      </c>
      <c r="E5483" t="inlineStr">
        <is>
          <t>増加；増し；増大；添；付加</t>
        </is>
      </c>
      <c r="F5483" t="inlineStr">
        <is>
          <t>追加設置；追加登録；追加メンバー；追加シナリオ；追加設定</t>
        </is>
      </c>
      <c r="G5483" t="inlineStr">
        <is>
          <t>追加公演；追加情報；追加収録；追加公認；追加注文</t>
        </is>
      </c>
      <c r="H5483" t="n">
        <v>29</v>
      </c>
      <c r="I5483" t="inlineStr">
        <is>
          <t>さらに追加の開発キットも発売され、より高度な開発環境も提供された。；フランスでは国内版にないRGB出力を追加された仕様で発売された。；ただ、まだ改正工事や追加工事などがあり、工廠で多くの工事を行った。；FC版のゲーム内容を基にして新機能・新要素を追加したリメイク作品。；その後の APL では、いくつかの命令型的な機能が追加されている。；また、ラウンド前に特定のキャラクター同士での掛け合いが追加された。；これらの概念は、一般的なベクトル空間に追加的に定義される構造である。；ミルクは付いていないので欲しい場合は追加で注文することになる。；F1選手権への追加の検討が一度でもなされたレースイベントは以下。；一部には新しいメンテナが自分自身が発明した用語を追加している。；これらの重量増を考慮して、車体の横骨や、屋根部分に梁が追加された。；値型におけるパフォーマンス向上を意図した複数の機能が追加された。；本作では移動手段が徒歩と城へ帰還する呪文やアイテム以外にも追加された。；その後、馬車にはなかった分類用語が追加されてきた歴史がある。；biasの値が変わらない範囲であれば、単純に追加するだけでよい。；新しい機能が追加されると、追加のテストがテストスイートに収録される。；ストーリーはFC版に基づいているが、大幅な要素の追加・変更が行われた。；スタックに強く依存している環境では、追加の操作を備えている場合がある。；これに加え、現代漢語通用字表ではさらに3500字が追加されている。；既存の命令が32ビット演算に対応したほか、多くの新命令が追加された。；できる限り人物の記事を作成してから追加するようお願いします。；逆に40万円で安定した場合、追加支払をしなければならない場合もある。；もまた、当初はC言語に のクラスなどの仕組みを追加したものであった。；材料の比率を変えたもの、材料の酒を変更したり追加したものなど様々である。；ツイカは伝統的な方法で作られ、自家消費用に作ることも認められている。；開発時、ビブラート・ユニットの追加はセールスからも強く求められた。；DS版以降ではさらに新たなもう1種類のエンディングが追加されている。；後のモデルはよりBASIC言語を含む多くの機能を追加した。；中断セーブに加えて新たに戦闘速度を5段階で調整できる機能が追加された。</t>
        </is>
      </c>
      <c r="J5483">
        <f>HYPERLINK("https://www.weblio.jp/content/追加", "词义详情")</f>
        <v/>
      </c>
      <c r="K5483">
        <f>HYPERLINK("https://yourei.jp/追加", "查看例句")</f>
        <v/>
      </c>
    </row>
    <row r="5484">
      <c r="A5484" t="inlineStr">
        <is>
          <t>追及</t>
        </is>
      </c>
      <c r="B5484" t="inlineStr">
        <is>
          <t>成功</t>
        </is>
      </c>
      <c r="C5484" t="inlineStr">
        <is>
          <t>読み方：ついきゅう
［名］(スル)
１どこまでも追いつめて、責任・欠点などを問いただすこと。「責任の所在を—する」
２追いつくこと。
「日のある中に本隊に—したいと思っていたが」〈火野・土と兵隊〉</t>
        </is>
      </c>
      <c r="D5484" t="inlineStr">
        <is>
          <t>追及する(16%)；追及される(4%)；追及しよ；追及すれ；追及されれ</t>
        </is>
      </c>
      <c r="E5484" t="inlineStr">
        <is>
          <t>調査；調べ；検討；捜査；捜索</t>
        </is>
      </c>
      <c r="F5484" t="inlineStr">
        <is>
          <t>以上追及；厳しく追及；厳しい追及；深く追及；執拗な追及</t>
        </is>
      </c>
      <c r="H5484" t="n">
        <v>29</v>
      </c>
      <c r="I5484" t="inlineStr">
        <is>
          <t>母親が電話で録音した容疑者の声に似ていることも追及の材料となった。；議会は大統領の責任を追及できない反面、大統領は議会を解散できない。；既に死亡しているため深く追及されなかったが、官職は全て剥奪された。；白崇禧が国家主義勢力として彼の存在を追及しようとしたが不明だった。；同会戦の敗戦後は責任を追及され軍法会議にかけられたが無罪となった。；これは戦争責任追及による国民同士の争いを防ぐために出されたとされる。；この点に、ひとりの異性との恋愛を追及する日本のゲームとの文化差がある。；帰国後は、極東国際軍事裁判の弁護人となって裁判の問題点を追及した。；この問題を追及した玉木雄一郎は自民党から圧力をかけられたという。；Iが周囲を眺め回していたことから逃走を考えていると森は断定的に追及。；企画性を重視し、性の限界を徹底的に追及した作品が中心である。；権力者たちはその点で彼を死んだあとまで追及したのである。；そして警察の動きを知った大学の理事たちに追及され、突然大学を辞任する。；野党はこの研究の全資料の提出を求め、 この3点を主に追及した。；またソウザ自身も内務調査課に目を付けられ、追及を受けたことがあった。；これ以降英国社会は労使協調主義による生産拡大追及が顕著となっていく。；第二次世界大戦が終わり、出版業界内部は戦争協力者への責任追及の声が激しくあがっていた。；このような経済活動はアメリカ合衆国政府が追及するところとなった。；しかし道義的に良くないと追及されたため、翌年から薬物をやめた。；西山が逮捕されて社会で注目される中、密約自体の追及は完全に色褪せてた。；外出中に事故が生じた場合に責任追及されることを恐れて一切認めないとしているところがほとんどである。；隊首会議で、一護らと対峙しながら仕留め損ねた市丸の責任を追及した。；金権腐敗政治を追及しているが、著書では企業献金を否定していない。；政治的タイプの問題点は権力を追及する行動が私的動機に基づいていることにある。；強制移住後も蜂起参加者への警察の取調や投獄など責任追及は続いた。；倦むことなく何度も作品に手を加え、つねに新しい表現を追及した。；財産管理や受け皿探しの一方、経営責任の追及も重要な責務である。；死因は責任追及が斉興にまで及ぶのを防ごうとした服毒自殺とも言われる。；が、両親があれは事故だったと主張してしまえば、それ以上追及する者はいなかった。</t>
        </is>
      </c>
      <c r="J5484">
        <f>HYPERLINK("https://www.weblio.jp/content/追及", "词义详情")</f>
        <v/>
      </c>
      <c r="K5484">
        <f>HYPERLINK("https://yourei.jp/追及", "查看例句")</f>
        <v/>
      </c>
    </row>
    <row r="5485">
      <c r="A5485" t="inlineStr">
        <is>
          <t>追究</t>
        </is>
      </c>
      <c r="B5485" t="inlineStr">
        <is>
          <t>成功</t>
        </is>
      </c>
      <c r="C5485" t="inlineStr">
        <is>
          <t>読み方：ついきゅう
［名］(スル)未知のものや不明の事柄を、どこまでも考え、調べて明らかにしようとすること。「宇宙のなぞを—する」</t>
        </is>
      </c>
      <c r="D5485" t="inlineStr">
        <is>
          <t>追究する(25%)；追究しよ(2%)；追究し続け；追究すれ</t>
        </is>
      </c>
      <c r="E5485" t="inlineStr">
        <is>
          <t>調査；調べ；求める；検討；捜査</t>
        </is>
      </c>
      <c r="F5485" t="inlineStr">
        <is>
          <t>以上追究；どこまでも追究；追究する学問</t>
        </is>
      </c>
      <c r="H5485" t="n">
        <v>29</v>
      </c>
      <c r="I5485" t="inlineStr">
        <is>
          <t>このことは、一部では矢田の件が原因ではと追究する記事が掲載された。；その男の子は幽霊の存在を追究していて、扉の鍵を開けようとしている。；しかしその話を追究していくと、それは結局噂に過ぎないことがわかった。；私は人間の可能性を追究する前に、末期の眼を教わってしまったのである。；何があるか、その政治家の話だけではぴつたり來ないから追究して見たい。；このような問題をやはり具体的に追究して行く必要があるのではないかと思います。；それが何を意味するのか彼女は口にせず、彼も深くは追究しない。；そこで、タトハムとわたしはこの点を少し追究してみることにしたのだよ。；夏の大会での成果をより理論的に追究することが中心となる。；そして蛇のやうな執拗さで間がな隙がな追究しずにはゐられなかつた。；彼女との無益な交渉にかける時間を、治療法の追究に回すべきでしょう。；僕はこの問題をもつと彼の晩年の藝術を論ずる節において追究するだらう。；倭人伝を追究して、最後につきとめた場所が邪馬台国であればよかった。；あんたがやるべきことは今日のケースを純粋に学術的な面から追究することなんだ。；しかし弟は、兄たちの質問や追究に、ただ静かな微笑で答えるだけでした。；追究して、確認するには、警視庁型の研究方法が用いられるわけである。；また、スポーツメーカーを中心に、クッション性を追究する企業もある。；しかし、お銀様は、それを米友に追究するつもりで言ったのではありません。；それを追究することをしないで、何をこんなところへきてうろうろしていたのだ。；四ページを埋めるのに、事故の原因を追究する必要はどこにもない。；フレーゲは数が外的なものの中で決定されるという可能性を追究する。；追究する商品もできるだけ自分に興味のあるものにした。；指の一本、爪の先まで緊張感を失わずに美を追究している。；具体的な諸種の活動に依存する人格形成の基本的諸段階を追究した。；何といって彼女を追究していいか見当がつかなかった。；線の発展の追究的なところも、五雲の態度とそつくりなのである。；彼のテーマは亡命者とアイデンティティの追究であるとされている。；こういう研究は既にその方の専門家によっては追究されている。；それに、それを追究するのはこの物語の役目ではなさそうである。</t>
        </is>
      </c>
      <c r="J5485">
        <f>HYPERLINK("https://www.weblio.jp/content/追究", "词义详情")</f>
        <v/>
      </c>
      <c r="K5485">
        <f>HYPERLINK("https://yourei.jp/追究", "查看例句")</f>
        <v/>
      </c>
    </row>
    <row r="5486">
      <c r="A5486" t="inlineStr">
        <is>
          <t>追求</t>
        </is>
      </c>
      <c r="B5486" t="inlineStr">
        <is>
          <t>成功</t>
        </is>
      </c>
      <c r="C5486" t="inlineStr">
        <is>
          <t>読み方：ついきゅう
［名］(スル)目的を達するまでどこまでも追い求めること。追尋。ついく。「利潤を—する」</t>
        </is>
      </c>
      <c r="D5486" t="inlineStr">
        <is>
          <t>追求するため(3%)；追求しよ；追求し続け；追求すれ；追求するあまり</t>
        </is>
      </c>
      <c r="E5486" t="inlineStr">
        <is>
          <t>調査；調べ；求める；検討；捜査</t>
        </is>
      </c>
      <c r="F5486" t="inlineStr">
        <is>
          <t>深く追求；利潤追求；以上追求；追求し続ける</t>
        </is>
      </c>
      <c r="H5486" t="n">
        <v>29</v>
      </c>
      <c r="I5486" t="inlineStr">
        <is>
          <t>しかし徹底的に性能を追求した為に居住性や整備性は劣悪だったという。；鉄道は、マネや印象派の画家が追求した近代性を象徴する主題であった。；しかし、これらの儀式はあくまで悟りの追求とは目的を別としていた。；これは様式美を追求し追い詰められたお七の姿を表しているのである。；ルシェロはこの失われやすい臼歯部をいかに磨くかを追求し設計された。；これらは相反する要素ではなく、二つもしくは全てを追求する作品もある。；新作になるほど現実性の追求から仕事はさらに複雑化する傾向にある。；この宣言は、4者の連携により光の可能性を追求する事を目的とする。；その孫はペルセウスであるが、 他にもこの対比を追求した論がみられる。；これ以後はもっぱらこの立体裁断法が追求され各種の方式が生まれた。；そもそも彼らは主上を忘れて、自己の利益を追求したのであろうか。；しかし、音楽のキャリアを追求するため2002年にこのドラマを去る。；現在に至るまで座長を務め、一貫して東京の笑いを追求し続けている。；政府の信用は失墜し、国民は自分の利益のみを追求するようになった。；高度で膨大な内容を有し、ピアノの持つ表現能力を極限まで追求している。；また生物行動においては目的追求性を強調し、機械論的な説明を排除した。；合理性を追求したためだがこれまでの生活習慣と大きく異なるものであった。；より大きな画面サイズの追求は各メーカーが技術を競う意味合いもある。；しかし彼らは後のSPARCプロセッサでこの方向性を追求しなかった。；その後も勝つための練習よりは見ている観客が楽しめる表現を追求していった。；ストア派の最大の特徴は個人の道徳的・倫理的幸福を追求することにある。；一方、リストの循環形式のように、さまざまな形式の追求もなされている。；その後の作品でも一貫して、男女の愛のかたちのさまざまを追求している。；彼は、指導者がさまざまな種類の嘘を追求する理由を説明する。；非伝統的な学生は通常、高等教育を追求する22歳以上の学生である。；そしてこの地に大学を創立し、芸術を通した平和を追求している。；その名の通り、女性の永遠のテーマである「美」を追求していく番組。；そのためデザインを追求し、開発時にデザイン事務所の人間の協力も得ている。；一般的な見解と違い、オーストリアは戦争中ずっと持続的な平和政策を追求した。</t>
        </is>
      </c>
      <c r="J5486">
        <f>HYPERLINK("https://www.weblio.jp/content/追求", "词义详情")</f>
        <v/>
      </c>
      <c r="K5486">
        <f>HYPERLINK("https://yourei.jp/追求", "查看例句")</f>
        <v/>
      </c>
    </row>
    <row r="5487">
      <c r="A5487" t="inlineStr">
        <is>
          <t>追跡</t>
        </is>
      </c>
      <c r="B5487" t="inlineStr">
        <is>
          <t>成功</t>
        </is>
      </c>
      <c r="C5487" t="inlineStr">
        <is>
          <t>読み方：ついせき
［名］(スル)
１逃げる者のあとを追いかけること。「逃亡者を—する」
２物事の経過をたどって調べること。「失敗の原因を—する」</t>
        </is>
      </c>
      <c r="D5487" t="inlineStr">
        <is>
          <t>追跡する(13%)；追跡できる；追跡劇；追跡装置；追跡隊</t>
        </is>
      </c>
      <c r="E5487" t="inlineStr">
        <is>
          <t>追う；追いかける；フォロー；追尾；突き止める</t>
        </is>
      </c>
      <c r="F5487" t="inlineStr">
        <is>
          <t>執拗な追跡；追跡可能；追跡行；追跡部隊；追跡船</t>
        </is>
      </c>
      <c r="G5487" t="inlineStr">
        <is>
          <t>追跡調査；追跡番号；追跡子；追跡ハイク；追跡可能性</t>
        </is>
      </c>
      <c r="H5487" t="n">
        <v>29</v>
      </c>
      <c r="I5487" t="inlineStr">
        <is>
          <t>それによってこれらの特徴の大きさと形を容易に追跡することができる。；キャリアモード以外ではチャレンジモードにしか警察追跡の概念は無い。；これらのプレイヤーの真の意図の問題を追跡して請うことは不可能である。；弾には目がついており、標的の人物を追跡して必ず当てることができる。；ところが日本軍潜水艦が第64任務部隊を発見し、追跡を開始していた。；ネットワークの状態を追跡し維持する集中監視機能や性能測定機能は存在しない。；ハイジャックされた飛行機を追跡していた航空機は全部で5機あった。；オフラインの場合、警察バーが表示されると警察に追跡されることがある。；興味を持ったヴァランタンはその後に次々と続く奇妙な事件を追跡し始める。；次に建造された2号機の初仕事は、逃走したキングコングの追跡となる。；クールダウンの最中に警察に発見されると追跡が再開されてしまう。；すぐに逃亡する船を割り出し追跡をするがその船は時空の窓に消えていった。；ところがイギリス巡洋戦艦は反転すると、ドイツ艦隊の追跡を開始した。；後退して肉眼では見えなくなった後も天文学者によって追跡が行われた。；またスタジオから帰った加藤を行きつけの店まで追跡してビンタした。；このような犯罪者に対処するための機関が第参種人妖追跡機関である。；ヘネラル・ベルグラノを追跡していたコンカラーには別の難問があった。；冬の寒さとオークの追跡に苦しみながら、二人は隠れ王国にたどり着いた。；また、携帯電話などの双方向通信と比較して加入者の位置追跡が困難である。；新たなイギリス艦隊は視界外に去り、グロスターだけが追跡を続けていた。；マスコミに追跡されないよう王立海軍の協力を得て極秘裏に行われた。；最終的にミルンはマタパン岬で追跡を中止するようグロスターに命じた。；この鼻を自分の鼻につけると、警察犬のように強力な嗅覚で人を追跡できる。；その後、米空母の追跡のため出港するも発見できずトラックに戻った。；しかしエーレクトラー自身はエリーニュスの追跡の対象とはなっていない。；地上との交信は、その後は追跡およびデータ中継衛星を介して行われる。；祭壇でダミアンを刺し殺そうとするが、追跡してきた警官に射殺される。；しかし追跡していることが途中でばれるとその時点で調査終了。；追跡中に飛び込んだのは偶然にも、江戸に戻っていた鍛冶屋の政の家だった。</t>
        </is>
      </c>
      <c r="J5487">
        <f>HYPERLINK("https://www.weblio.jp/content/追跡", "词义详情")</f>
        <v/>
      </c>
      <c r="K5487">
        <f>HYPERLINK("https://yourei.jp/追跡", "查看例句")</f>
        <v/>
      </c>
    </row>
    <row r="5488">
      <c r="A5488" t="inlineStr">
        <is>
          <t>ついでに</t>
        </is>
      </c>
      <c r="B5488" t="inlineStr">
        <is>
          <t>成功</t>
        </is>
      </c>
      <c r="C5488" t="inlineStr">
        <is>
          <t>読み方：ついでに
［副］あることをする、その機会を利用していっしょに。「—もうひとつ言いたい」「—タバコを買ってきてくれ」</t>
        </is>
      </c>
      <c r="D5488" t="inlineStr">
        <is>
          <t>ついでに申します；ついでに申し上げます；ついでに申しあげます；ついでに何気なく；ついでに前川さん</t>
        </is>
      </c>
      <c r="E5488" t="inlineStr">
        <is>
          <t>同時に；一方で；ところで；ちなみに；傍ら</t>
        </is>
      </c>
      <c r="H5488" t="n">
        <v>29</v>
      </c>
      <c r="I5488" t="inlineStr">
        <is>
          <t>郷里の町の人が上京のついでに塩鮭を持って来てくれた日の夜であった。；ついでに今まで遠慮していたあちこちの集会へも顔を出して見たかった。；ついでに子供の魂も入れるつもりではあるが、魂だから場所はいらない。；ついでにこのような作品掲載した雑誌も読んではならぬ読むことやめい。；こう云うついでに火の中か水の底へでも入ってしまいたいと悲しんだ。；ついでに言うと、客の半数近くは耐えかねてほかの宿に移ってしまった。；それからついでに力のありそうな男を四人ばかりつれて来てくれ。；窓もついでに問い合わせたが、人間の通れるほどの大きさはないという。；二十八日かに、開成山から使のついでに返送されて来た手紙が来ました。；顔だけではあまり軽少と思いますからついでに何か御話を致しましょう。；罪を許され京へ帰参するついでに、邪魔な与兵衛をも始末しに来たのだ。；どれどれ、事のついでにどの位出来そうか星をつけておいてつかわそう。；どうでもよいことではありますけれど、ついでに申上げて置きましょうか。；お兄さま、お義姉さまにも、今ついでに会って頂いた方がいいでしょう?；けれど顔を見せぬので、父親は加須まで来たついでにわざわざ寄ってみた。；果物のお話をしたついでに、もう一つこんな事をつけ加へておきませう。；だがついでにだれか、もっとめずらしい踊りを踊って見せる者はないか。；お目にかかったのも二度きりで、それもほんのついでにだったんです。；彼は立寄つたついでに、もつと行つて見たいところが、まだ沢山あつた。；ついでに絵美の株価も見てみると、ぼくよりもわずかに高くなっていた。；この手紙を持ってゆく若者に、ついでに電報をお打たせになってもよいです。；しかしもし何かのついでにその血が拭い去られたならば、何にもならない。；夫人はそのついでに、僕もまた、その日をどうか覚えていてくれと乞うた。；お話のついでにあなたからよろしくお取りなしになっておいてください。；わたしは旅のついでに、キリスト教国の有名な温泉場はほとんど皆見て来た。；ついでに言うなら、ホテルと同じく室内のドアにはインターホンがない。；ついでに言うならば、彼らは通常の貨物には手を出していないようですな。；隣の金さんが苗をくれた南瓜の成長を見に来たついでに、斯様な話をした。；それを送ってから一月くらいして、上京のついでに武見さんの家を訪ねた。</t>
        </is>
      </c>
      <c r="J5488">
        <f>HYPERLINK("https://www.weblio.jp/content/ついでに", "词义详情")</f>
        <v/>
      </c>
      <c r="K5488">
        <f>HYPERLINK("https://yourei.jp/ついでに", "查看例句")</f>
        <v/>
      </c>
    </row>
    <row r="5489">
      <c r="A5489" t="inlineStr">
        <is>
          <t>ついに</t>
        </is>
      </c>
      <c r="B5489" t="inlineStr">
        <is>
          <t>成功</t>
        </is>
      </c>
      <c r="C5489" t="inlineStr">
        <is>
          <t>読み方：ついに
［副］
１長い時間ののちに、最終的にある結果に達するさま。とうとう。しまいに。「—優勝を果たした」「—完成した」「疲れ果てて—倒れた」
２（多く、打消しの語を伴って用いる）ある状態が最後まで続くさま。とうとう。「—現れなかった」「作品は—日の目を見なかった」
３「終(つい)ぞ」に同じ。
「其の後は—ない存外の御無沙汰をいたしました」〈円朝・怪談牡丹灯籠〉
[用法]ついに・とうとう——「苦心の末、ついに（とうとう）完成の日を迎えた」「海外旅行の夢がついに（とうとう）実現した」など、結果が現れることを表す意では、相通じて用いられる。◇「とうとう」が長い時間を要してある結果が生じるという意味合いを持つのに対して、「ついに」には長い時間の後、最終的な時点で新しい何かが実現した、またはしなかったという意味合いがある。また、口頭語としては「とうとう」が多く用いられ、「ついに」は文語的である。◇類似の語に「結局」がある。「結局」には、いろいな経過があったが、という意味合いがある。「ずいぶん頑張ったが、結局成功しなかった」</t>
        </is>
      </c>
      <c r="D5489" t="inlineStr">
        <is>
          <t>ついにかれ；ついにわから；ついに力尽き；ついに折れ；ついに諦め</t>
        </is>
      </c>
      <c r="E5489" t="inlineStr">
        <is>
          <t>初めて；結局；最後に；ようやく；最終的に</t>
        </is>
      </c>
      <c r="F5489" t="inlineStr">
        <is>
          <t>ついにnbaファイナル；ついに万策尽き；ついにわからずじまい；ついに沈没し；ついに殷雷</t>
        </is>
      </c>
      <c r="H5489" t="n">
        <v>29</v>
      </c>
      <c r="I5489" t="inlineStr">
        <is>
          <t>ついに皇帝は勝利を確定させることなく1250年に68歳で死去した。；それでもトゥーリンは先頭に立って進み、ついにこの流れを渡りきった。；そしてついには愛する女王を人質にとられ、王は処刑されることとなる。；こうして実質は地方政権ながらも、劉嬰はついに皇帝となったのである。；そのあとを追うように兄も世を去るとついに時計は止まってしまった。；ついに念願のマイホームを手に入れ、まさに順風満帆な時を迎えていた。；そしてトゥーリンに助けられた森の民の娘からついに足がかりを得たのである。；老馬は風雪をついて進み、ついに雪子たちの元へと五郎を連れてきたのだった。；そしてついにはデフォルトに陥ってしまった政府や地方政府がいくつもある。；しかし、作者の死により全体の半ばほどを残してついに未完に終わった。；そうした破壊的な人の末路は、ついにはその刃を自己へと向けざるを得ないのです。；この結果、更に収容法の研究を行うとの条件付きながら、ついに計画が採用された。；そして政治と経済、ついには国家の誕生へと至る事となる。；そしてついには低気圧の中心に近い部分では地上からは暖気がなくなってしまう。；首相権限の形骸化を恐れたヒトラーがついに粛清を決意したものとみられる。；孫権は以前のことも含めてついに決断し、虞翻を追放し交州に左遷した。；この時点まではついにピングレに初優勝のチャンスが到来するかと思われた。；その間にグラドス軍の軍勢は地球に接近し、ついに攻撃を開始した。；地上部隊の南への進撃が一斉に開始される中、フランスはついに降伏を決定した。；ついに要求を受け入れ、彼女は身を引くことを決心する。；二人の行為が終わるのを待っている間、酒も廻り、ついに寝過ごしてしまう。；そしてニーニエルはついに竜と彼女の夫が横たわっている場所にやって来たのである。；一方、都の奸臣たちは宋江らの威勢を恐れついに彼らを始末する事にする。；そしてついに天正5年、これまでの態度を一転、後北条氏と和を結んだ。；寛仁元年に三条が死去すると、敦明はついに皇太子の辞退を決意した。；そして荊軻は車に乗って去り、ついに後ろを振り向くことは無かった。；ついに誓願の宝玉を得た兄弟だったが、シルマリルはかれらの手を焼いた。；この侵攻もついには第二次世界大戦の間に劇的な終焉を迎えた。；そこで兄は弟に神々しい徳があることを知り、ついにその弟に伏い事えた。</t>
        </is>
      </c>
      <c r="J5489">
        <f>HYPERLINK("https://www.weblio.jp/content/ついに", "词义详情")</f>
        <v/>
      </c>
      <c r="K5489">
        <f>HYPERLINK("https://yourei.jp/ついに", "查看例句")</f>
        <v/>
      </c>
    </row>
    <row r="5490">
      <c r="A5490" t="inlineStr">
        <is>
          <t>追放</t>
        </is>
      </c>
      <c r="B5490" t="inlineStr">
        <is>
          <t>成功</t>
        </is>
      </c>
      <c r="C5490" t="inlineStr">
        <is>
          <t>読み方：ついほう
［名］(スル)
１不要または有害なものとして、その社会から追い払うこと。「悪書を—する」
２危険人物または不法入国者を国外に退去させること。
３公職・教職などからしりぞけ、それらへの就職を禁止すること。パージ。
４中世・近世、罰として特定の地域から追い払い、立ち入りを禁じたこと。→重追放→中追放→軽追放→江戸払い
[補説]作品名別項。→追放</t>
        </is>
      </c>
      <c r="D5490" t="inlineStr">
        <is>
          <t>追放される(6%)；追放解除(2%)；追放処分；追放者；追放後</t>
        </is>
      </c>
      <c r="E5490" t="inlineStr">
        <is>
          <t>排除；払う；除籍；追い払う；追い出す</t>
        </is>
      </c>
      <c r="F5490" t="inlineStr">
        <is>
          <t>公職追放；ユダヤ人追放；被追放；事実上追放；江戸追放</t>
        </is>
      </c>
      <c r="G5490" t="inlineStr">
        <is>
          <t>追放運動；追放者連盟；追放政策；追放メギド；追放及び送還の禁止</t>
        </is>
      </c>
      <c r="H5490" t="n">
        <v>29</v>
      </c>
      <c r="I5490" t="inlineStr">
        <is>
          <t>だが啓蒙主義はすでに宗教を科学の世界から追放してしまったのである。；エトルリア系の王が追放されたことでローマの国政は大きく変革された。；しかし町が砲撃された後、人々は6月のうちに捕らえられて追放された。；改善が見られない場合はアーミッシュを追放され、家族から絶縁される。；連合国軍の影の政府は2つの州を支配しようとしたが、後に追放された。；信長は義昭と敵対することとなり、同年中には義昭を京都から追放した。；この間にかねてから憎悪していたマリア・アンナを宮廷から追放している。；これは、楽園を追放されたイブリースから人類への最初の復讐であった。；このようにすることで濃度の定義から真のクラスを追放することができる。；ナポレオン・ボナパルトが最初の退位後に追放された地として知られる。；惑星Eから追放された悪の天才科学者・宇宙猿人ゴリは地球に到達した。；第三に、公的な場からのスロベニア語とドイツ語の表示が追放された。；バハオラがアドリアノープルに追放されていた頃から使用されだした。；最悪の場合は藩帥を追放・殺害してすげ替えるといった事態に発展する。；現在でもマグレブではこの時代にスペインから追放された人々の子孫が存在している。；キャサリンは故王太子の未亡人の地位に落とされ、宮廷から追放された。；一方で唐の三品以上の高官は追放したが、四品以下の官僚はその職に残した。；妖怪に勝利し、地底界に妖怪大魔王を追放した後は地上を去っていた。；結果は濱口の勝利、そして有野がレギュラーから追放されてしまった。；異国船打払令とは、江戸幕府が1825年に発した外国船追放令である。；国家社会主義の時代、そのほとんどが追放され、あるいは殺害された。；キャサリンは宮廷から追放され、その部屋はアン・ブーリンに与えられた。；信長本人が天下人となるのは義昭と紛争になり追放してからである。；ソルジェニーツィンは1974年に国外追放された後、賞を受け取った。；広義には集落や集団からの追放を指し、日本の村八分と近いものと解釈される。；一、山崎の地を与えたのに、信長が声をかけておいた者をすぐに追放してしまった。；またソマリア政府を支持することは禁止されており、政治家が追放となった事例もある。；ここでは虐殺は行われなかったが、住民は街から追放された。；丹波国人は親義昭派で、以前は信長に従っていたが義昭追放で敵に転じていた。</t>
        </is>
      </c>
      <c r="J5490">
        <f>HYPERLINK("https://www.weblio.jp/content/追放", "词义详情")</f>
        <v/>
      </c>
      <c r="K5490">
        <f>HYPERLINK("https://yourei.jp/追放", "查看例句")</f>
        <v/>
      </c>
    </row>
    <row r="5491">
      <c r="A5491" t="inlineStr">
        <is>
          <t>費やす</t>
        </is>
      </c>
      <c r="B5491" t="inlineStr">
        <is>
          <t>成功</t>
        </is>
      </c>
      <c r="C5491" t="inlineStr">
        <is>
          <t>読み方：ついやす
［動サ五（四）］
１あることをなしとげるために金銭・時間・労力などを使う。また、使ってなくす。「歳月を—・して完成したダム」「いたずらに時間を—・す」
２疲れ弱らせる。
「その物につきて、その物を—・しそこなふ物、数を知らずあり」〈徒然・九七〉
[可能]ついやせる</t>
        </is>
      </c>
      <c r="D5491" t="inlineStr">
        <is>
          <t>費やすべき</t>
        </is>
      </c>
      <c r="E5491" t="inlineStr">
        <is>
          <t>使う；かける；消費；払う；消耗</t>
        </is>
      </c>
      <c r="H5491" t="n">
        <v>29</v>
      </c>
      <c r="I5491" t="inlineStr">
        <is>
          <t>夜の一部を勉強に当て、昼の時間は一瞬たりとも無駄に費やさなかった。；実施面での問題と教会と交渉に費やしたために公布まで時間がかかった。；この時代の彼の仕事の多くは天の川の写真を撮影することに費やされた。；もちろん私自身はそれらのことに深い考慮を費やす必要を感じなかった。；彼の仕事と家庭以外の時間はすべてあなたに費やされているでしょう。；工事期間一年半を費やし、最終的な総工費は六億一千四百万円となった。；わたしの取った行動は、これを話すに費やす時間ほどもかからなかった。；運動ができるよう動きやすくするため上着だけで3年を費やしたという。；そうして恐らく彼らの労働能力の全部を費やさなくてもすむものである。；また資金の多くは数々の特許取得のためにも費やされることとなった。；竪琴師には蓄えられた精力を費やさねばならない仕事が山ほどあるのだ。；なんと労働時間の一〇分の九は歌を唄うことに費やされていたのである!；このことでひろげられないほど ほかのことに費やさねばならないからだ。；先生方もほとんどの時間とエネルギーをこの行事のために費やす事になる。；刑務所の中で彼は多くの本を読み、暇な時間を体を鍛える事に費やした。；それを手に入れることに、おれは、おれの強欲を費やすことができるか?；私は人の命を自分の小説のために、これだけ費やさせる資格があるだろうか。；そのため海外での施工事例などを参考にし調査研究に数年費やしている。；一般に公表されるまでに、おそらくかなりの時間が費やされるだろう。；学校は24時間開放されており、ほとんどの時間を練習に費やしていた。；一言も費やさずに翌朝老人は彼を伴って、かなり長い一日の旅をした。；その後は、鉄道網の核となっている駅の拡張工事に主な努力が費やされた。；同時にカルティールは偶像破壊運動にも力を費やしたと考えられている。；早く、上辺だけの駆け引きに時間を費やすことが無駄だと判断すべきだ。；というのは金の大半は小さな二輪の押し車に費やされたからである。；必要以上に服に金を費やすのは馬鹿馬鹿しいことだと基本的には考えている。；こんなばかげたアイデアのためにどれだけの資源が費やされたのだろう。；それは風土病との代償の高くつく困難な戦いにも費やされるようになった。；この目標のため、クヌースはかなりの時間を組版技術の調査に費やした。</t>
        </is>
      </c>
      <c r="J5491">
        <f>HYPERLINK("https://www.weblio.jp/content/費やす", "词义详情")</f>
        <v/>
      </c>
      <c r="K5491">
        <f>HYPERLINK("https://yourei.jp/費やす", "查看例句")</f>
        <v/>
      </c>
    </row>
    <row r="5492">
      <c r="A5492" t="inlineStr">
        <is>
          <t>墜落</t>
        </is>
      </c>
      <c r="B5492" t="inlineStr">
        <is>
          <t>成功</t>
        </is>
      </c>
      <c r="C5492" t="inlineStr">
        <is>
          <t>読み方：ついらく
［名］(スル)高い所から落ちること。「飛行機が—する」</t>
        </is>
      </c>
      <c r="D5492" t="inlineStr">
        <is>
          <t>墜落する(9%)；墜落現場(5%)；墜落死(2%)；墜落地点；墜落時</t>
        </is>
      </c>
      <c r="E5492" t="inlineStr">
        <is>
          <t>落ちる；降る；落下；堕ちる；墜ちる</t>
        </is>
      </c>
      <c r="F5492" t="inlineStr">
        <is>
          <t>墜落感；墜落防止；受けて墜落；墜落炎上；墜落事故</t>
        </is>
      </c>
      <c r="G5492" t="inlineStr">
        <is>
          <t>墜落制止用器具；墜落日誌</t>
        </is>
      </c>
      <c r="H5492" t="n">
        <v>29</v>
      </c>
      <c r="I5492" t="inlineStr">
        <is>
          <t>過去に墜落したUFOから取り出された物ではないかと言うことである。；イーカロスは画面右下に小さく描かれ、海に墜落し足だけが見えている。；ある男を殺し、自殺するために乗った飛行機がエンジン不調で墜落開始。；炎に巻き込まれたか、窒息死したか、墜落時に死亡したかは不明である。；エンジンの推力が増加しなかったため速度と高度を得られず機体は墜落した。；目撃者によれば墜落直前、機体は右に傾いた状態で低空を飛行していた。；彼女は背中にある漆黒の翼を広げ墜落したラグナのもとへと飛び立った。；そのため同時に多数のトラブルが発生したため墜落に至ったとの推測があった。；離陸から墜落までの時間がわずか30秒しかなかった点も指摘されている。；爆発による航空機墜落の事態は免れたが、日本人の乗客1名が死亡した。；ここでは、現在有力とされる2ヶ所説をもとに墜落現場の候補を記載する。；事故機の墜落現場が後にアメリカ合衆国国定歴史建造物に認定された。；しかし、その直後3機の第四世代機は火を噴きながら墜落していった。；みんなが声をのんで、ついらくする刑事のからだを、見つめていたのです。；もしパイロットがより高い速度を維持していれば、墜落を回避できた可能性があった。；以前にも爆撃機が墜落する際の破片の衝撃音を聞いていたためと考えられている。；同機は墜落して完全に破壊され、炎上中の機体がペルミ市内で発見された。；機体はわずか60フィートの高さまで上昇しただけで、その後すぐに墜落。；撃墜されたバラクーダは1機のみであり、他に1機が発艦時に墜落した。；すなわち、墜落または失速した軍用機が滑走して起こる事故対策である。；同じく第2波のバーロウ機とバイヤーズ機は海岸線到達後に墜落した。；危うく墜落しかけるも、何とか作戦目標を破壊することに成功した。；そこで202便の残骸が大きく3つに分かれて墜落していることを発見した。；墜落現場は小さなブロックに分けられ、詳細な調査が行われた。；乱気流に巻き込まれ墜落したとされたが、機体が発見されず詳細は不明である。；気球だけあって球皮が弱点で、作中では数発の銃弾であっさり墜落した。；弔慰金で墜落現場の土地が購入され、二人の銅像のついた記念塔が建てられた。；墜落現場は道路から離れた場所で、エアボートでしかアクセスできなかった。；乗客たちは、島に墜落することなく、それぞれの目的地へ向かおうとしていた。</t>
        </is>
      </c>
      <c r="J5492">
        <f>HYPERLINK("https://www.weblio.jp/content/墜落", "词义详情")</f>
        <v/>
      </c>
      <c r="K5492">
        <f>HYPERLINK("https://yourei.jp/墜落", "查看例句")</f>
        <v/>
      </c>
    </row>
    <row r="5493">
      <c r="A5493" t="inlineStr">
        <is>
          <t>通過</t>
        </is>
      </c>
      <c r="B5493" t="inlineStr">
        <is>
          <t>成功</t>
        </is>
      </c>
      <c r="C5493" t="inlineStr">
        <is>
          <t>読み方：つうか
［名］(スル)
１ある場所・時点・状態などを通り過ぎること。「台風が—する」「—駅」
２試験・検査などを無事に通ること。「審査を—する」
３議会などで議案が可決されること。「法案が国会を—する」</t>
        </is>
      </c>
      <c r="D5493" t="inlineStr">
        <is>
          <t>通過する(30%)；通過できる；通過後；通過列車；通過待ち</t>
        </is>
      </c>
      <c r="E5493" t="inlineStr">
        <is>
          <t>通る；箇所；経過；超える；合格</t>
        </is>
      </c>
      <c r="F5493" t="inlineStr">
        <is>
          <t>不通過；列車通過；通過運転；無事通過；トップ通過</t>
        </is>
      </c>
      <c r="G5493" t="inlineStr">
        <is>
          <t>通過駅；通過儀礼；通過点；通過標識灯；通過人員</t>
        </is>
      </c>
      <c r="H5493" t="n">
        <v>29</v>
      </c>
      <c r="I5493" t="inlineStr">
        <is>
          <t>東海道本線にホームが設置されるまでは中央本線の快速も通過していた。；ここまでの区間は名神経由で各地へ向かう高速バスも多く通過している。；台風の通過・被害が多いが、九州のほかの県と比べると少ない方である。；この段階を通過するとほとんどの細胞は細胞周期を途中で停止しない。；人々の基本的人権を規定するための300以上の法案が議会を通過した。；実際に5月19日にはハレー彗星の尾の外側の部分を地球が通過した。；このため一部車両はこの区間を通過することができず、車両の運行制限がある。；探査機が惑星の夜側を通過した際の観測から、稲妻の光も観測された。；その当時の地図では広島駅通過後、京橋川の近くまで線路が延びていた。；高野線を含めて準急行が通過待ちを行うようになったのは初である。；黄経では180度となり、この点を太陽が通過する瞬間が秋分となる。；主に夕方から夜間に特急列車の通過待ちを行う列車が中線を使用している。；この改正では宝塚発も運転されるようになり、三国駅は通過となった。；前線の通過にともない、南よりの風から北または西よりの風に変わる。；イギリスは日本と異なり、軌道側を遮断して車道側を通過させる方式。；列車が接近すると、到着・通過を知らせる接近表示が点滅するものもある。；上り列車は経堂駅で特急ロマンスカーの通過待ちを行うことがあった。；銀座線が当駅の上部を通過しているが駅は設置されていない。；この列車は尼崎駅 - 大阪駅間で外側線を走行し、塚本駅は通過する。；駅舎側のホームが上り側列車発着・通過、奥のホームが下り側列車発着・通過である。；一部区間のみを運行する列車はあるが、途中駅を通過する列車はない。；ただし当駅の貨物線上には停車場が存在せず、列車はすべて通過する。；三江線で唯一通過列車が設定されていた駅であり、一部の列車は停車しなかった。；また、通過運転を行う区間では、到着放送の結びに到着駅名の再案内を行う。；これは、ボートが魚の上を通過すると魚と変換器の間の距離が変化するためである。；サンフランシスコは水路に遮られているために、通過する道路は少ない。；中央道の大半は山地部を通過するために、沿道には多くの山がある。；回送列車や臨時列車は通過待ちのため当駅で運転停車する事がある。；箱根駅伝では選手の通過時にこの踏切の手前で電車を停車させる。</t>
        </is>
      </c>
      <c r="J5493">
        <f>HYPERLINK("https://www.weblio.jp/content/通過", "词义详情")</f>
        <v/>
      </c>
      <c r="K5493">
        <f>HYPERLINK("https://yourei.jp/通過", "查看例句")</f>
        <v/>
      </c>
    </row>
    <row r="5494">
      <c r="A5494" t="inlineStr">
        <is>
          <t>通貨</t>
        </is>
      </c>
      <c r="B5494" t="inlineStr">
        <is>
          <t>成功</t>
        </is>
      </c>
      <c r="C5494" t="inlineStr">
        <is>
          <t>読み方：つうか
流通手段・支払い手段として機能している貨幣。銀行券・補助貨幣などの現金通貨のほかに、預金通貨も含まれる。</t>
        </is>
      </c>
      <c r="D5494" t="inlineStr">
        <is>
          <t>通貨制度(2%)；通貨改革；通貨価値；通貨発行；通貨量</t>
        </is>
      </c>
      <c r="E5494" t="inlineStr">
        <is>
          <t>貨幣；カレンシー</t>
        </is>
      </c>
      <c r="F5494" t="inlineStr">
        <is>
          <t>共通通貨；新通貨；独自通貨；現地通貨；旧通貨</t>
        </is>
      </c>
      <c r="G5494" t="inlineStr">
        <is>
          <t>通貨同盟；通貨危機；通貨政策；通貨偽造；通貨供給量</t>
        </is>
      </c>
      <c r="H5494" t="n">
        <v>29</v>
      </c>
      <c r="I5494" t="inlineStr">
        <is>
          <t>その後1922年にイギリスの支配する3地域に共通通貨が導入された。；ユーロは、欧州連合に加盟している多くの国で使われている通貨である。；中央銀行はこの通貨量を調整する権限を持つため大きな影響力を持つ。；現在では、一応通貨としての価値を認められていたと推定されている。；特にイギリスの領土ではこれらの語が通貨の単位としては用いられていない。；ソロスが問題視していたのは通貨投機であり、各国の通貨危機であった。；それにも拘らず性急に共通通貨を導入すると、経済を悪化させる事になる。；マルクは1871年のドイツ帝国統一後にドイツの主要な通貨となった。；このため広域流通における通貨的な役割を果たすようになっていった。；この関係はその後の西欧諸国の通貨体制の基本として受け継がれていく。；一部の登場人物は実在する通貨や、廃止された通貨と同じ名前の者がいる。；そして通貨の価値と信頼性を回復させ、商品交換を促進させねばならない。；当時の殆どの国の通貨は、本質的には金の重さを測定する手段に過ぎなかった。；同行は中国での外貨の流通を禁止し、流通通貨を「人民元」に統一した。；この通貨改革によりハンガリーの経済はようやく安定へと向かう事になる。；そのため、当初から銀にリンクする管理通貨として発足したとされている。；国際収支の赤字が続いて金準備が減少した場合、通貨発行量も減少する。；すべての商品の価格が上昇し、現地通貨の実質的な価値が急速に失われていく。；廃止まで使われていた町章は偶然にもヨーロッパ通貨・ユーロに酷似していた。；歴史を見れば、通貨偽造の歴史は通貨の歴史と同じくらいに古いものである。；幕府は当初から通貨の基軸を両を単位とする金貨に統一する構想を有していた。；それは同じく、情報が通貨と生産、両方である経済だと描写される。；時間の経過とともに、新しい通貨が生まれ、古い通貨が廃止されていく。；またこれに伴ってドイツ連邦銀行の通貨・金融政策の対象領域も拡大された。；発案当初、バンコールの他に超国家通貨の命名には次の候補があった。；こうして、通貨を大量に保持している人間は金利収入だけで生活が可能になる。；内部の通貨もジェニーであるが、カード化されていなければただの紙扱いとなる。；上述の欧州理事会で新通貨の名称が決定されるまで、多くの案が議論された。；なお、縦棒が常に2本の通貨は、ここで指摘したものが全てとは限らない。</t>
        </is>
      </c>
      <c r="J5494">
        <f>HYPERLINK("https://www.weblio.jp/content/通貨", "词义详情")</f>
        <v/>
      </c>
      <c r="K5494">
        <f>HYPERLINK("https://yourei.jp/通貨", "查看例句")</f>
        <v/>
      </c>
    </row>
    <row r="5495">
      <c r="A5495" t="inlineStr">
        <is>
          <t>通学</t>
        </is>
      </c>
      <c r="B5495" t="inlineStr">
        <is>
          <t>成功</t>
        </is>
      </c>
      <c r="C5495" t="inlineStr">
        <is>
          <t>読み方：つうがく
［名］(スル)学生・生徒・児童が学校に通うこと。「電車で—する」</t>
        </is>
      </c>
      <c r="D5495" t="inlineStr">
        <is>
          <t>通学する(14%)；通学者(4%)；通学時間帯(3%)；通学生(3%)；通学客(3%)</t>
        </is>
      </c>
      <c r="F5495" t="inlineStr">
        <is>
          <t>バス通学；通学鞄；電車通学；通学できる；通学圏</t>
        </is>
      </c>
      <c r="G5495" t="inlineStr">
        <is>
          <t>通学路；通学定期券；通学バス；通学定期乗車券；通学服</t>
        </is>
      </c>
      <c r="H5495" t="n">
        <v>29</v>
      </c>
      <c r="I5495" t="inlineStr">
        <is>
          <t>実際にこの仕組みを使って学区外から通学してくる者も少なくなかった。；梶井は一年次は寮生活をしていたが、病気で実家からの通学に変更した。；東京都以外では千葉県からの通学者が最も多く生徒の4分の1を占める。；それとも、ある季節のみ通学する形式の学校も現存しているのでしょうか?；沿線には複数の高校があり、主な利用者は通学で利用する高校生である。；しかし本人や家族の希望があれば第一制服を着用して通学することも可能である。；当初は通学時間帯のみの停車で、普通列車でもほとんどは通過していた。；現在はどの学校も、すべての季節に通学する形式になっているのでしょうか?；自転車は所持しているようであるが学校へは基本的に徒歩で通学している。；しかし、それらの生徒の多くは当初昼間の時間帯での通学を希望していた。；利用者は通勤・通学客が多く、朝の上り快速が停車していた時期がある。；周辺の駅からかなり離れているため自転車で通学する生徒が多い。；平日朝の一部便は横浜雙葉学園の通学にも利用されるため多少混雑する。；ほどなくして弁護士になるために通学していたロースクールを退学する。；通学していた学校の制服を非常に気に入っており大切にしていた。；また都築学園グループの高校・大学が駅周辺にあり、通学生の利用もある。；なお、新大津駅は高等女学校への通学の便を図って設置された駅である。；当初は全寮制であったが現在は通学生徒の受け入れも行っている。；沿線に複数の高等学校があり、高校生の通学利用が8割と大半を占める。；定期券では乗車できないため、通勤・通学利用向きの列車ではなかった。；杵築高校生の通学をはじめ、地域住民になくてはならないものであった。；ニューヨークでは都市交通に通勤用・通学用のロープウェイが存在する。；寮はなく近くのアパートを借りたり、実家から通学などをしている。；町内に高等学校は存在せず、桑名市などにある学校に通学することになる。；この駅の主な利用客は、隣接する田辺市の高等学校に通学する生徒たちである。；沿線途中は農村地帯で田園風景が広がるが、通勤・通学での利用が多い。；なお登校コースは東京本校のみ実施なため本校への通学が必要になる。；同志らは秋瑾に一時避難するよう勧めたが、秋瑾は大通学堂に留まった。；付近には大学や高等学校が多く存在するため、朝夕は通勤者や通学者が多い。</t>
        </is>
      </c>
      <c r="J5495">
        <f>HYPERLINK("https://www.weblio.jp/content/通学", "词义详情")</f>
        <v/>
      </c>
      <c r="K5495">
        <f>HYPERLINK("https://yourei.jp/通学", "查看例句")</f>
        <v/>
      </c>
    </row>
    <row r="5496">
      <c r="A5496" t="inlineStr">
        <is>
          <t>痛感</t>
        </is>
      </c>
      <c r="B5496" t="inlineStr">
        <is>
          <t>成功</t>
        </is>
      </c>
      <c r="C5496" t="inlineStr">
        <is>
          <t>読み方：つうかん
［名］(スル)強く心に感じること。身にしみて感じること。「力量の差を—する」</t>
        </is>
      </c>
      <c r="D5496" t="inlineStr">
        <is>
          <t>痛感する(16%)；痛感させられる(3%)；痛感させる；痛感いたし；痛感せら</t>
        </is>
      </c>
      <c r="E5496" t="inlineStr">
        <is>
          <t>実感</t>
        </is>
      </c>
      <c r="H5496" t="n">
        <v>29</v>
      </c>
      <c r="I5496" t="inlineStr">
        <is>
          <t>とにかく自分が生きているということを非常に痛感したわけであります。；磐梯山取材の際には写真の力を痛感し、自らも写真の技術を身につけた。；あの姿を見ていると、自分がどれだけ甘かったかと痛感させられました。；そのうちに赤ん坊が生れたりして、なにかと電話の必要を痛感してきた。；まるで日本国および田丸家を彼が代表して、責任を痛感してゐるやうに。；かれは近ごろ新しい音楽の歌詞や旋律が覚えられないのを痛感している。；彼らを生き返らせたのは、彼らの健康な胃袋だと私は痛感したのである。；その涙のなかにこそ生命を痛感せる女がいるかもしれないと思った。；ぼくは生まれてこのかた、これほど責任の重さを痛感したことはない。；昨夜いろんな話をふとしている間に、そんなことを痛感いたしました。；戦後、堅固な城の必要性を痛感した通季は城の南側に新たな城を築いた。；健常者に囲まれた環境に入っていくことで、自らの障害の重さを痛感した。；また労働者たちの教育の必要性を痛感して、夜間の労働者学校を始めた。；どんなに或る一組は他の一組ではないかということが痛感されます。；これはウォルトに経営面のサポート役を立てる事の必要性を痛感させた。；こういう一面を見せられると、やはり普通の青年ではないと痛感してしまう。；耕地整理の必要を痛感して帰国し、耕地整理法案の議会通過に努力した。；こんな仕事が私の性に最もかなっていることを痛感しているのです。；こういう取材は信頼してる担当者としかするもんじゃないなと痛感しました。；これがどんなに大切なものか、わたしは去年から痛感していたのです。；今までのどのような場合よりも百千倍も強く身にヒシヒシと痛感するのである!；私は無理して答えながら、自分はインチキをやっているなと痛感する。；小山内先生の遺影が、あの写真を撮ったころの時間の消滅を痛感させた。；今自分も教授となつて見て、始めて此れは出來ないことだと痛感して居る。；エランドはこの軽はずみな行為が場ちがいなものだったことを痛感した。；それでも彼の得体の知れなさを痛感するたび、疑惑が首をもたげてくる。；これに大きな衝撃を受けた諭吉は、それ以来、英語の必要性を痛感した。；仕事柄、ジェイコブはそのことをだれにも増して痛感し、悔やんでいた。；彼は生涯における最大の闘いに直面していることを痛感していたのである。</t>
        </is>
      </c>
      <c r="J5496">
        <f>HYPERLINK("https://www.weblio.jp/content/痛感", "词义详情")</f>
        <v/>
      </c>
      <c r="K5496">
        <f>HYPERLINK("https://yourei.jp/痛感", "查看例句")</f>
        <v/>
      </c>
    </row>
    <row r="5497">
      <c r="A5497" t="inlineStr">
        <is>
          <t>通勤</t>
        </is>
      </c>
      <c r="B5497" t="inlineStr">
        <is>
          <t>成功</t>
        </is>
      </c>
      <c r="C5497" t="inlineStr">
        <is>
          <t>読み方：つうきん
［名］(スル)勤め先へ通うこと。「マイカーで—する」「—ラッシュ」</t>
        </is>
      </c>
      <c r="D5497" t="inlineStr">
        <is>
          <t>通勤者(7%)；通勤客(6%)；通勤通学(6%)；通勤輸送(5%)；通勤路線(3%)</t>
        </is>
      </c>
      <c r="E5497" t="inlineStr">
        <is>
          <t>通い</t>
        </is>
      </c>
      <c r="F5497" t="inlineStr">
        <is>
          <t>通勤途中；通勤時；通勤定期券；通勤利用；通勤バス</t>
        </is>
      </c>
      <c r="G5497" t="inlineStr">
        <is>
          <t>通勤時間；通勤電車；通勤列車；通勤鉄道；通勤快速</t>
        </is>
      </c>
      <c r="H5497" t="n">
        <v>29</v>
      </c>
      <c r="I5497" t="inlineStr">
        <is>
          <t>この系列は大阪線・名古屋線共通仕様の通勤車を改造種車としている。；一方で通勤用の車両では迅速な乗降のために扉の数を増やす傾向にある。；沿線は工場が多く、旅客列車はそれらの工場への通勤客が主に利用する。；通勤用車両を改造した初のジョイフルトレインで、改番はされていない。；利用者は通勤・通学客が多く、朝の上り快速が停車していた時期がある。；当駅付近住民の利用の他、NECなど当駅付近への通勤客も見られる。；かつては急行用の165系電車や通勤用の105系が主力車両であった。；フランクフルトはドイツで最も労働密度が高く、通勤者の多い街である。；平日は通勤客を重視し、土休日は日中を重視したダイヤが組まれている。；これらの課題を満たす新型通勤車として開発された車両がHE車である。；現在では通勤・帰宅時の混雑も激しく、深夜もトラックの通行量が多い。；大阪への通勤・通学路線であると同時に、奈良へ向かう観光路線でもある。；大阪への通勤路線であるとともに、私市周辺の行楽地への路線でもある。；また上であげた、ゆったり通勤奨励金とあわせて使うとより有効的である。；さらに相乗り通勤者の相手探しサービスや帰宅保証サービスも進めている。；通常は主に近隣の企業への通勤客が利用者の大半を占めている。；京成の新規製造の通勤車では初めてVVVFインバータ制御を採用した。；定期券では乗車できないため、通勤・通学利用向きの列車ではなかった。；ニューヨークでは都市交通に通勤用・通学用のロープウェイが存在する。；京都への通勤・通学路線であると同時に京都と奈良へ向かう観光路線でもある。；東京へ通勤する埼玉都民のベットタウン的性質もより濃くなっていった。；開業後1ヶ月間は通勤客の利用が多く、各線とも乗車率は6割を超えた。；また、通勤客向けに当駅と静岡間を結ぶホームライナーが設定されている。；経団連会長になってからも通勤にはバス・電車を利用していた。；ニューヨーク周辺の通勤路線網は特にこれで影響を受けた。；沿線途中は農村地帯で田園風景が広がるが、通勤・通学での利用が多い。；なお、客車には歴史上、通勤形や近郊形に分類される車両は製造されていない。；運賃は通勤線化される前より、他の東急各線とは別体系となっている。；勤務先の証明が必要であった時代の通勤定期券に近いものといえる。</t>
        </is>
      </c>
      <c r="J5497">
        <f>HYPERLINK("https://www.weblio.jp/content/通勤", "词义详情")</f>
        <v/>
      </c>
      <c r="K5497">
        <f>HYPERLINK("https://yourei.jp/通勤", "查看例句")</f>
        <v/>
      </c>
    </row>
    <row r="5498">
      <c r="A5498" t="inlineStr">
        <is>
          <t>通行</t>
        </is>
      </c>
      <c r="B5498" t="inlineStr">
        <is>
          <t>成功</t>
        </is>
      </c>
      <c r="C5498" t="inlineStr">
        <is>
          <t>読み方：つうこう
［名］(スル)
１ある所を通って行くこと。また、ある方向へ向かって行くこと。「車が道の左側を—する」「—止め」「—人」
２広く世間一般に行われること。「現代—している暦」</t>
        </is>
      </c>
      <c r="D5498" t="inlineStr">
        <is>
          <t>通行する(12%)；通行可能(5%)；通行できる(5%)；通行禁止(4%)；通行不能(4%)</t>
        </is>
      </c>
      <c r="E5498" t="inlineStr">
        <is>
          <t>通過；通る；箇所；経過；渡る</t>
        </is>
      </c>
      <c r="F5498" t="inlineStr">
        <is>
          <t>自動車通行；通行帯；通行車両；通行困難；御通行</t>
        </is>
      </c>
      <c r="G5498" t="inlineStr">
        <is>
          <t>通行止め；通行料金；通行料；通行量；通行規制</t>
        </is>
      </c>
      <c r="H5498" t="n">
        <v>29</v>
      </c>
      <c r="I5498" t="inlineStr">
        <is>
          <t>車両でも通行可能な程度には整備されているが、利用される頻度は低い。；頂面は平らになっており、多くの場合人が通行できるようになっていた。；例えばイベントタイプを船にした場合、通行可能な地形が船と同様になる。；自動車の通行区分は日本や宗主国のイギリスなどと同じ左側通行である。；自動車が普及している国では、車両とは逆の通行区分になっている場合が多い。；このような道路の制度は日本独自のもので通行権の制限がある。；中山道より距離が短い事もあり、その通行者はかなり多かったようである。；当日現場を通行する列車は線路内に人が立ち入る危険があるため徐行する。；完成当初から、近隣住民の通行を目的とした数多くの仮出入口があった。；そのためノンストップで通行できるシステムが開発、実用化されている。；道路改良工事などによる通行時間規制や片側交互通行になることがある。；実際に間寛平がアースマラソンで通行した際にはこの階段を使用した。；通行に危険な箇所は現在もルート変更をはじめとする線形改良が続けられている。；なお、改札口前の通路はスロープを利用して自転車の通行も可能である。；八類の分類は成立前後からすでに通行していたと思われる。；停車車両や事故車両があっても通行が可能なように路肩幅が比較的広くなっている。；この車両の乗降扉は車椅子の通行を考慮して他車よりも開口部が広い。；またイエーガーは通行を許した者のリストを保管しておくことも命じられた。；歩行者に加え、手押し状態であれば自転車・バイクの通行も可能である。；そのため一部を除いて、雨を避けて通行することが可能である。；通行する際には、軍事境界線を境に南北双方の軍用車両が警護に当たる。；通行道路の制限は、営業路線のみならず回送時の経路も同様に行われていた。；積雪がある場合はきわめて危険、あるいは通行不可能のルートもある。；農道は一般の自動車も通行することができるが、通行権の制限がある。；この路線は大半が未改良の未舗装区間であり、通行には注意を要する。；そのため、各橋を渡るたびに前後に設けられたスロープを通行することになる。；一方、新駅舎の供用開始まで使用されていた旧跨線橋は通行できなくなった。；彼は1844年に、橋梁の最適な通行料の決定に関わる論文を公表した。；州によっては電気自動車ならば1人乗りでも通行可能とする特例がある。</t>
        </is>
      </c>
      <c r="J5498">
        <f>HYPERLINK("https://www.weblio.jp/content/通行", "词义详情")</f>
        <v/>
      </c>
      <c r="K5498">
        <f>HYPERLINK("https://yourei.jp/通行", "查看例句")</f>
        <v/>
      </c>
    </row>
    <row r="5499">
      <c r="A5499" t="inlineStr">
        <is>
          <t>通行人</t>
        </is>
      </c>
      <c r="B5499" t="inlineStr">
        <is>
          <t>成功</t>
        </is>
      </c>
      <c r="D5499" t="inlineStr">
        <is>
          <t>通行人たち(5%)；通行人達；通行人役；通行人a；通行人ども</t>
        </is>
      </c>
      <c r="E5499" t="inlineStr">
        <is>
          <t>通りすがり；通りがかり；行人；部外者</t>
        </is>
      </c>
      <c r="F5499" t="inlineStr">
        <is>
          <t>まばらな通行人；見知らぬ通行人；単なる通行人；悪い通行人</t>
        </is>
      </c>
      <c r="H5499" t="n">
        <v>29</v>
      </c>
      <c r="I5499" t="inlineStr">
        <is>
          <t>次に気づいた時にはここの通りに倒れており、通行人が起こしてくれた。；二人の追走劇を何事かと見ていた通行人からいくつもの悲鳴が上がった。；通行人は、見てはいけないものを見てしまったように目をそらしている。；当初はラジオやテレビの通行人として出演しつつ、テレビの現場を学ぶ。；そしてまずそれまでは通行人のポケットの金に好んで目をつけていた。；歩いている少しばかりの通行人はみんな二人とそっくりのいでたちだった。；二人といっても同行の通行人は警官のうしろに隠れるようにしていたのだが。；とりわけ自分たちが、こうして通行人の多い地域に入ってきたというのに。；祭酒は「義舎」を設けて米や肉を通行人に供与するなどの活動を行った。；通行人も、橋の上の風景も、ほとんど男の視界に入っていないようである。；その後は大部屋に配属され、主に通行人などで出演を続けることになる。；道がわからなくなったら、また同じようにして通行人に行き方を訊いてみる。；通行人や車は警戒下にある四ブロック内にいる間はたえず監視されつづけた。；その通行人は種々のことを言ったが、中にも次のような言葉があった。；やがて道路を横断しはじめた時、通行人の短い言葉が私の耳に入りました。；さぞかし通行人にはドクターペッパーの宣伝員と思われたことでしょう。；それから、家とは反対の方向へゆっくりと歩いて、通行人のひとりになる。；真夏の我慢比べのようなその様子は行く先々で通行人の視線を集めた。；通行人を集団として眺め、彼らをその聚合的関係で考えるだけであった。；通行人たちも立ち止まり、抱き合う二人の少年を不思議そうに見ている。；山代は何人かの通行人が足を停めて自分の方を見ているのを感じた。；ある時間には歩行者よりも自転車の通行人が多いような感じである。；通行人を集団として眺め、彼らをその集合的関係で考えるだけであった。；物語に関与しない群集や通行人などがキャラクターと呼ばれることは少ない。；二階の窓硝子から通行人のポケットへ手を突ッこんでいる青鼠服が見えた。；ひとはわたしが通行人をひっかけようとしているのだと思っただろう。；警官たちは石段の下に立って、両手で銃を支え、通行人たちを眺めている。；ビール会社のイベントの際などにはビールになり、通行人にふるまわれる。；通行人の邪魔にならないよう、私はビルの壁に寄って、様子を窺った。</t>
        </is>
      </c>
      <c r="J5499">
        <f>HYPERLINK("https://www.weblio.jp/content/通行人", "词义详情")</f>
        <v/>
      </c>
      <c r="K5499">
        <f>HYPERLINK("https://yourei.jp/通行人", "查看例句")</f>
        <v/>
      </c>
    </row>
    <row r="5500">
      <c r="A5500" t="inlineStr">
        <is>
          <t>通常</t>
        </is>
      </c>
      <c r="B5500" t="inlineStr">
        <is>
          <t>成功</t>
        </is>
      </c>
      <c r="C5500" t="inlineStr">
        <is>
          <t>読み方：つうじょう
特別でなく、普通の状態であること。世間一般にみられる状態であること。副詞的にも用いる。「—は家にいる」「—7時に起きる」
→普通［用法］</t>
        </is>
      </c>
      <c r="D5500" t="inlineStr">
        <is>
          <t>通常時；通常通り；通常型；通常攻撃；通常技</t>
        </is>
      </c>
      <c r="E5500" t="inlineStr">
        <is>
          <t>一般；いつも；ほぼ；いったい；一体</t>
        </is>
      </c>
      <c r="F5500" t="inlineStr">
        <is>
          <t>通常モデル；通常編成；通常仕様；通常ステージ；通常サイズ</t>
        </is>
      </c>
      <c r="G5500" t="inlineStr">
        <is>
          <t>通常版；通常放送；通常兵器；通常国会；通常選挙</t>
        </is>
      </c>
      <c r="H5500" t="n">
        <v>29</v>
      </c>
      <c r="I5500" t="inlineStr">
        <is>
          <t>多くのRPGには全ての攻撃技の基本となる通常攻撃が実装されている。；日本の近代以前の歴史上の戦争を題材とした場合は通常時代劇と呼ばれる。；その間、通常リリースと同様に6週間毎に修正版のリリースが行われる。；キリスト教美術においてはモーセは通常老人の姿に描かれることが多い。；またバックナンバーも通常の本と同じように流通し、買うことが出来る。；しかし通常の使用には問題がなく、多くのカメラがこの方式を採用している。；通常目にすることはできず、謀叛などで独立しないと見ることができない。；下記は通常の競輪にて用いられるラインであり、250競走では異なる。；棋戦の契約は通常3年契約で行われており、異例の長期の提案となった。；通常は下りの速度が上りの速度よりも高速に設定されている。；ピクセルは通常、左下から右下へ、これを下から上に向かって保存する。；ここに金銀を打つのは、通常は勝ちづらいと考えられている手法である。；モジュタヘドになるためには、通常何十年もの年月を要したからである。；通常の数学においても多くの決定不可能問題の例が知られている。；さらに、通常はの段階でテーマの分割、整理統合が行われる場合がよくある。；デビューの直後から、通常の作家の枠を超えた八面六臂の活動を始めている。；単にクレオパトラと言った場合には通常、このクレオパトラ7世を指す。；日本においては、大学に所属する研究者のみを指すのが通常である。；このことは、カーネルの通常利用を考慮したものであるに過ぎない。；こうなると、もはや通常の操作ではその作業結果を残す方法がない。；これは通常の奴隷には与えられていない保護であった。；通常の閉塞信号でも進行現示することがない信号機が多数存在した。；また、通常時には入場券のような同一駅での入・出場はできない。；通常は導通状態でOFFにするためには負の電圧を付加する必要がある。；しかし、これらには相関的運動がみられないため通常の意味では機械に含めない。；境界では波動関数とその導関数の連続性に関する通常条件が適用される。；セラミックスは無機化合物でできており、通常酸化物で構成されている。；パリの本部のほか、世界各地に通常複数国を管轄する地域事務所が置かれている。；これは、通常、特定の哲学者の集団に特徴的な哲学上の立場である。</t>
        </is>
      </c>
      <c r="J5500">
        <f>HYPERLINK("https://www.weblio.jp/content/通常", "词义详情")</f>
        <v/>
      </c>
      <c r="K5500">
        <f>HYPERLINK("https://yourei.jp/通常", "查看例句")</f>
        <v/>
      </c>
    </row>
    <row r="5501">
      <c r="A5501" t="inlineStr">
        <is>
          <t>通じる</t>
        </is>
      </c>
      <c r="B5501" t="inlineStr">
        <is>
          <t>成功</t>
        </is>
      </c>
      <c r="C5501" t="inlineStr">
        <is>
          <t>読み方：つうじる
［動ザ上一］「つうずる」（サ変）の上一段化。「電話が—・じる」</t>
        </is>
      </c>
      <c r="D5501" t="inlineStr">
        <is>
          <t>通じる狭い；通じる広い；通じる長い；通じる細い</t>
        </is>
      </c>
      <c r="E5501" t="inlineStr">
        <is>
          <t>理解；実行；通る；生きる；分かる</t>
        </is>
      </c>
      <c r="F5501" t="inlineStr">
        <is>
          <t>一脈通じる；直接通じる；通じる連絡通路；通じるガラス戸；通じる螺旋状</t>
        </is>
      </c>
      <c r="H5501" t="n">
        <v>29</v>
      </c>
      <c r="I5501" t="inlineStr">
        <is>
          <t>特に は英語の に通じるため他の文字より先に用いられることもある。；現在は梅林へと直接通じる東門が主要な出入り口として利用されている。；同じ保守派の藤尾さんもその点でも相通じるものがあったかもしれない。；建設当初は駅に通じる道路も未完成で、貨物の扱いはほとんどなかった。；ガラスを多く利用している点では、現在のミニマリズム建築にも通じる。；伊勢路は伊勢神宮へ通じる街道とその周辺に付けられることの多い地名。；駅の南には、鉄道と同じく東西に通じる宮城県道4号中田栗駒線がある。；村人たちにとって、その映画館は村の外に通じるたった一つの窓だった。；山に囲まれる地勢だが、東には平地続き、他の方向にも低い峠で通じる。；おそらく、道の通じる先の地名を門の名に冠した唯一のケースである。；回転釜の側面には外側に通じる非常に小さな孔がいくつか開けられている。；しかしこの時代に、現代に通じる計算理論と計算模型が考案されている。；空港内で日本語が通じる所は少ないので、英語での会話が無難である。；江戸時代には、外堀に設置されていた牛込門に通じる交通の要衝だった。；これは仏教で生きながら仏になる即身成仏の観念とも通じるものがあった。；序卦伝には物は通じるばかりでなく塞がるので泰の次に置かれるという。；彼の栄誉を讃えて土地の人々はアテナイへと通じる道に墓所をつくった。；シジルマサを通じる交易システムで金のほかに重要なのは塩であった。；今はもうすっかり携帯も通じるようになったので、あれは通用しませんね。；この地平線はドゥアトに通じる門または扉として説明されることもある。；これは後の歴史研究の基本に通じる姿勢であると言えるのである。；それ自体は現在でも通じる考えだったが、科の特定は困難を極めた。；これらは全体としては朝廷守護説や源平交代説などに通じるものである。；制約は多いものの、後継作に通じる構築の原型は既に完成されている。；西側はほぼ工事が終了、県道などから駅前広場へ通じる道路が新設された。；交阯には劉熙がいたため、ここで学識を深め五経に通じるようになった。；日本では明治初期まで話し言葉は容易に通じるものではなかった。；自動車道の南東に住宅地があるが、その方面に駅から通じる道はない。；ここに生息していたバッファローを崖へと通じる道へと追い込んだ。</t>
        </is>
      </c>
      <c r="J5501">
        <f>HYPERLINK("https://www.weblio.jp/content/通じる", "词义详情")</f>
        <v/>
      </c>
      <c r="K5501">
        <f>HYPERLINK("https://yourei.jp/通じる", "查看例句")</f>
        <v/>
      </c>
    </row>
    <row r="5502">
      <c r="A5502" t="inlineStr">
        <is>
          <t>通信</t>
        </is>
      </c>
      <c r="B5502" t="inlineStr">
        <is>
          <t>成功</t>
        </is>
      </c>
      <c r="C5502" t="inlineStr">
        <is>
          <t>読み方：つうしん
［名］(スル)
１手紙などで自分の意思やようすなどを他人に伝えること。また、そのたより。しらせ。「—文」
２郵便・電信・電話などによって情報を伝達すること。「無線で漁船と—する」</t>
        </is>
      </c>
      <c r="D5502" t="inlineStr">
        <is>
          <t>通信網(2%)；通信器；通信用；通信機能；通信設備</t>
        </is>
      </c>
      <c r="E5502" t="inlineStr">
        <is>
          <t>情報；報告；連絡；案内；報道</t>
        </is>
      </c>
      <c r="F5502" t="inlineStr">
        <is>
          <t>通信所；通信方式；通信ネットワーク；通信系；通信部</t>
        </is>
      </c>
      <c r="G5502" t="inlineStr">
        <is>
          <t>通信機；通信社；通信機器；通信衛星；通信教育</t>
        </is>
      </c>
      <c r="H5502" t="n">
        <v>29</v>
      </c>
      <c r="I5502" t="inlineStr">
        <is>
          <t>数十年後も、通信や情報の改革が地元経済の大部分を活性化させている。；これは通信主管庁の業務を他の者が担ってはならないとする原則である。；その他、かつては網走市・紋別市に通信部もおかれていたが廃止された。；携帯電話の多機能性を活用して通信以外の用途へ使用する研究が進みつつある。；このため、通信や放送などの長距離の情報送信に使用されることが多い。；それらを原因とした速度低下や切断も少なく、安定した通信が可能である。；文字が発明されてからの通信の多くは手紙という方式で行われるようになった。；コンピュータ用語では、通信や解析や表示の対象となる文字データを指す。；外部への通信も全く通じず、ただ助けを待つことしか出来なくなってしまった。；これを受けて1992年に通信扱いの一部のチャンネルが放送扱いとなる。；電話通信には目に見えないところで大きな変化も起きている。；一切の処理をコンピューター同士が対等に通信を行うのが特徴である。；正確な同期化は、往路と復路の通信時間がほぼ等しい場合に達成される。；コンピュータが登場するまでは、通信にはテレタイプが使われていた。；その場合には共有したときよりも高速な通信が可能である。；遠距離間の通信には腕木通信が導入され、戦争期間を通して使用された。；名称は提案者のマウリツィオ・ガスパッリ通信大臣から名付けられた。；近年では、交通手段・通信網の整備も労働力の移動を容易にしている。；日本では、収容局から加入者へのDSL通信として最も普及している。；各地域での携帯電話の通信規格はおおむね以下のようになっている。；疎結合システムでは、一般に人間にも読める中間文書を使って通信を行う。；彼女は大師のとテレパシー通信していると主張して、多くの著作を発表した。；非同期モデムに比べて、確実で高速な通信が可能であるが、高価である。；これにより、待受け・通信時ともに電池はより長持ちするとされていた。；通信などで用いる場合はこの点に注意が必要である。；通信部隊にはそれぞれの任務毎に通信小隊が編成されている。；初期の製品は変復調部を内蔵し、通信用インターフェースを備えている。；PHSではセル毎に周波数の異なる多数の通信チャンネルを採用できる。；赤外線通信機能などを搭載し、通信機能を生かしたゲームが流行した。</t>
        </is>
      </c>
      <c r="J5502">
        <f>HYPERLINK("https://www.weblio.jp/content/通信", "词义详情")</f>
        <v/>
      </c>
      <c r="K5502">
        <f>HYPERLINK("https://yourei.jp/通信", "查看例句")</f>
        <v/>
      </c>
    </row>
    <row r="5503">
      <c r="A5503" t="inlineStr">
        <is>
          <t>通信販売</t>
        </is>
      </c>
      <c r="B5503" t="inlineStr">
        <is>
          <t>成功</t>
        </is>
      </c>
      <c r="C5503" t="inlineStr">
        <is>
          <t>読み方：つうしんはんばい
消費者にカタログ・テレビ・ウェブサイトなどを通じて商品を宣伝し、通信による注文を受け、郵便や宅配便でその商品を配送する販売方式。通販。</t>
        </is>
      </c>
      <c r="D5503" t="inlineStr">
        <is>
          <t>通信販売事業(5%)；通信販売会社(4%)；通信販売サイト(3%)；通信販売限定(2%)；通信販売業</t>
        </is>
      </c>
      <c r="E5503" t="inlineStr">
        <is>
          <t>通販；メールオーダー</t>
        </is>
      </c>
      <c r="F5503" t="inlineStr">
        <is>
          <t>本社を置く通信販売；大手通信販売；通信販売専用；通信販売カタログ；運営する通信販売</t>
        </is>
      </c>
      <c r="H5503" t="n">
        <v>29</v>
      </c>
      <c r="I5503" t="inlineStr">
        <is>
          <t>スーパーなどの小売店や通信販売では輸送の都合で短くしたものが多い。；通信販売で買ったばかりでどうしても使ってみたくて仕方がなかったらしい。；通信販売の場合、購入者が女性であるか男性であるかを問うことはない。；特に近年は自転車販売とインターネット通信販売に力を入れている。；通信販売事業を中心に行い、インターネットを活用したビジネスを展開。；閉店後は事務所を世田谷区に移転し、通信販売のみ営業するとしている。；妻は日本酒の通信販売を行う株式会社日本酒にしようCEOの高岡麻彩。；中には専門の店を構えて提供されたり、通信販売に対応しているケースもある。；最初は通信販売番組に出演するだけだったが、後に運営にも携わった。；現在は自社商品、関連商品のみの通信販売を本社直販の形で行っている。；日本でもインターネットを利用した通信販売などの手段で入手することが可能である。；無鉄砲は持ち帰り用ラーメンと通信販売にその初期から力をいれている。；またウェブ通信販売とライブ会場限定で発売された作品は本作のみである。；なお、番組終盤ではその商品についての通信販売の告知が行われている。；健康器具を中心に商品開発を展開し、主に通信販売で取り扱われていた。；用具の通信販売も必要になってくるだろうから、輸入カタログを整理した。；インターネット通信販売も開始され、現在では全国で購入できるようになっている。；通信販売の分厚いカタログかなにかで、なかがつかえているのだろうか。；通信販売が中心だが、一般の書籍と同様に書店でも取り扱われている。；主にテレビの通信販売番組にて、家電や宝飾品を中心に取り扱っている。；邦楽関連のCD・書籍を中心とした通信販売「How」を運営している。；通信販売も行っていて、最近では海外への輸出も行っている。；これとは別に通信販売だった回があり、商品の効果がわかる説明書が付いていた。；実店舗での販売を行わず、インターネット通信販売のみ事業を展開している。；国内の同社製品取扱店で販売しているほか、通信販売も行っている。；アメリカでなら、どこの州の人間でも、通信販売で購えるようなものだった。；同社の通信販売会員数は、1988年時点で約6千名の会員数が存在していた。；近年では電話やインターネットでの通信販売もしている。；通信販売なんかの場合、カードの番号を言えば、電話で決済ができる。</t>
        </is>
      </c>
      <c r="J5503">
        <f>HYPERLINK("https://www.weblio.jp/content/通信販売", "词义详情")</f>
        <v/>
      </c>
      <c r="K5503">
        <f>HYPERLINK("https://yourei.jp/通信販売", "查看例句")</f>
        <v/>
      </c>
    </row>
    <row r="5504">
      <c r="A5504" t="inlineStr">
        <is>
          <t>痛切</t>
        </is>
      </c>
      <c r="B5504" t="inlineStr">
        <is>
          <t>成功</t>
        </is>
      </c>
      <c r="C5504" t="inlineStr">
        <is>
          <t>読み方：つうせつ
［名・形動］身にしみて強く感じること。また、そのさま。「必要性を—に感じる」「—な思慕の念」
[派生]つうせつさ［名］</t>
        </is>
      </c>
      <c r="D5504" t="inlineStr">
        <is>
          <t>痛切なる(3%)；痛切な思い；痛切な問題；痛切な感じ；痛切な経験</t>
        </is>
      </c>
      <c r="E5504" t="inlineStr">
        <is>
          <t>深い；痛烈；ひしひし；哀切；切々</t>
        </is>
      </c>
      <c r="F5504" t="inlineStr">
        <is>
          <t>たいと痛切；程痛切；ひどく痛切；痛切なるもの</t>
        </is>
      </c>
      <c r="H5504" t="n">
        <v>29</v>
      </c>
      <c r="I5504" t="inlineStr">
        <is>
          <t>私は贅美なものにこそ悲しみのあるのをこの曲で痛切に知ったのである。；そして今日わたしたちがいちばん痛切に感じていることはなんでしょう。；これによって見ても、ドイツはいよいよ最後の時が来た感が痛切である。；私は作家でありますから、例えば紙の問題などは、実に痛切であります。；土地が彼等にとつて何であるかをこのやうに痛切に感じたことはなかつた。；非常に痛切なことを道楽半分人に見せる為に書いてゐる様な気がする。；この場面で彼がいかに重要なキャラクターの一人であることが痛切にわかる。；私は近ごろほど自分が日本人であることを痛切に意識したことはない。；そして自分の目指してゐる仕事がいかに程遠い道であるかを痛切に感じた。；実際のところは、これほど痛切に不足を感じていなかったからである。；こういうことをもっとも痛切に感じたのは、今度の旅行の帰りである。；ゆうべは珍しく非常に物語のあるしかも痛切な私たちの夢を見ました。；私はいよいよ痛切に「どうも困ります」を感じずにはいられなくなった。；反対に、君が死んだと思ったときには、痛切な衝撃を受けたのである。；痛切な驚くべきことには、彼は自ら気づかないでそこに陥っていたのである。；こうした時代相は年少の日蓮に痛切な疑いを起こさせずにおかなかった。；彼の死後に見つかったメモには次のような痛切なメッセージが残されていた。；そして自分に彼らに尾いて行くだけの技術がないことを痛切に悔やんだのだ。；そこに人間の限り、地の約束というものがじつに痛切に感じられてくる。；僕はそれをアメリカでも韓国でも、最近訪れたキューバでも痛切に感じた。；彼女と別れて自分一人になると、自分の影の薄いことが痛切に感じられて来た。；そのことはかねて薄々聞かされてはいたのだが、痛切には感じなかった。；しかしその名誉はあまりに痛切に感じられたといってもいいかもしれません。；生きて寸刻も止まらぬ人気というものを私たちは一番痛切に感じている。；自分が痛切に求めつつあるものが、其の中にあつたからかも知れない。；私でもそう思うのだから、ほかにはもっと痛切にそう思われる人があるだろう。；言われるまでもなくそれは明らかなことであるが、言われてみると一層痛切だ。；着眼はいいのだが、この点はいま、痛切に感じる人はいないのではないか。；小文がおれのいったことを守って、部屋から出てこないことを痛切に願った。</t>
        </is>
      </c>
      <c r="J5504">
        <f>HYPERLINK("https://www.weblio.jp/content/痛切", "词义详情")</f>
        <v/>
      </c>
      <c r="K5504">
        <f>HYPERLINK("https://yourei.jp/痛切", "查看例句")</f>
        <v/>
      </c>
    </row>
    <row r="5505">
      <c r="A5505" t="inlineStr">
        <is>
          <t>通達</t>
        </is>
      </c>
      <c r="B5505" t="inlineStr">
        <is>
          <t>成功</t>
        </is>
      </c>
      <c r="C5505" t="inlineStr">
        <is>
          <t>読み方：つうたつ
［名］(スル)《「つうだつ」とも》
１告げ知らせること。特に、行政官庁がその所掌事務について、所管の機関や職員に文書で通知すること。また、その文書。古くは通牒(つうちょう)。「—を出す」「厚生労働省—」
２ある物事に深く通じること。「ドイツ語に—する」
３すみずみまで通じること。また、とどこおりなく通じること。
「事々物々微細緻密の極にまで—する有様は」〈福沢・文明論之概略〉
→通知［用法］</t>
        </is>
      </c>
      <c r="D5505" t="inlineStr">
        <is>
          <t>通達される；通達文；通達書；通達し得る；通達本文</t>
        </is>
      </c>
      <c r="E5505" t="inlineStr">
        <is>
          <t>連絡；案内；知らせ；メッセージ；伝達</t>
        </is>
      </c>
      <c r="F5505" t="inlineStr">
        <is>
          <t>本通達；局長通達；禁止する通達；是正通達；河川局長通達</t>
        </is>
      </c>
      <c r="H5505" t="n">
        <v>29</v>
      </c>
      <c r="I5505" t="inlineStr">
        <is>
          <t>プロジェクトのコンサートにゲスト出演することをメンバーに通達した。；軍団編成は従来どおり同族のみで一隊を編成すること等を通達している。；そのような対立の中、ソ連は西ベルリンへの交通制限を西側へ通達した。；幕府から各国外交団の保護不可能との通達があったため兵庫へ移動した。；中国政府は国内のメディアに事件を一切報道しないよう通達を出した。；また、演習区域内を移動する際はの指示に従うようにとの通達も行われた。；シーズン終了後に球団から翌シーズンの契約を結ばないことを通達された。；総裁政府がすべての遠征の中止の通達をよこしたのは、その一日後だった。；これらの法律にはその細目を定めた施行令や施行規則、通達などがある。；これらに対しては日本出版協会が各種の通達を行うことにより対応を行った。；本通達の中ではさまざまな規則ごとに、数多くの言い換え例が挙げられている。；同様に信濃側も探知し、阿部艦長は乗組員に警戒するよう通達を出した。；会期開始日はその60日以上前に事務総長から各加盟国に通達される。；総合的な学習の時間は正式な通達がある前からモデル校として行われていた。；外出は緊急事態宣言中及び協会が外出禁止を通達している期間中であった。；なお、MLB機構は2015年に各球団へ向けて以下のような通達を行った。；上記通達やこれらの写真から兵装は以下の通りと推測される。；そこで夜戦に関する詳細な戦闘要領を以下のように決定、各艦に通達した。；訓令・通達は、上級庁が下級庁に指揮・監督するためにする命令である。；これを受けて暴力行為厳禁の通達が出たり死亡事件に関する調査が行われた。；そののち紙の普及によって行政通達の円滑化や翻訳事業も進んだ。；これによりハチ公像が金属供出されることが東京鉄道局より通達される。；フランスでは、国内企業にこの広告を使用しないよう通達が出た。；校長は近隣の学校に通達を出し、ムーアがから入学させないように伝えたという。；メンバーの森咲樹はこの通達を受け、複雑な思いを抱いたという。；承政院は伝達される王命を目に通し再度許可を受けた後に通達する。；この時期に、町宛ての通達によって政策の周知徹底を図る方式も定着した。；これに慌てたウィレム3世は、売却を中止するとナポレオン3世に通達した。；それ以前に北軍側は戦闘を避けるよう南軍側に通達していた。</t>
        </is>
      </c>
      <c r="J5505">
        <f>HYPERLINK("https://www.weblio.jp/content/通達", "词义详情")</f>
        <v/>
      </c>
      <c r="K5505">
        <f>HYPERLINK("https://yourei.jp/通達", "查看例句")</f>
        <v/>
      </c>
    </row>
    <row r="5506">
      <c r="A5506" t="inlineStr">
        <is>
          <t>通知</t>
        </is>
      </c>
      <c r="B5506" t="inlineStr">
        <is>
          <t>成功</t>
        </is>
      </c>
      <c r="C5506" t="inlineStr">
        <is>
          <t>読み方：つうち
［名］(スル)告げ知らせること。また、その知らせ。「総会の日時を—する」
[用法]通知・通告・通達——「入学許可の通知が届く」「クラス会の通知を出す」などの「通知」を「通告」「通達」に置き換えることはできない。「通知」は主に公(おおやけ)の立場からの知らせを言うが、「退院が決まったら御通知下さい」のように個人が知らせるときにも用いられる。◇「通告」は公から個人または他の団体に対して、何かをさせることを目的に行われる知らせ。「納税期限を通告する」「国交の断絶を通告する」など。「通知」より一方的・命令的意味合いが強い。◇「通達」は行政官庁が所轄(しょかつ)の諸機関などに対して出す指示、ないし上部から下部組織に向けて出される知らせである。「本省からの通達」「社長通達」のように用いる。</t>
        </is>
      </c>
      <c r="D5506" t="inlineStr">
        <is>
          <t>通知する(11%)；通知書(5%)；通知される(3%)；通知状；通知機能</t>
        </is>
      </c>
      <c r="E5506" t="inlineStr">
        <is>
          <t>情報；報告；命；命令；連絡</t>
        </is>
      </c>
      <c r="F5506" t="inlineStr">
        <is>
          <t>合格通知；事前通知；採用通知；解雇通知；御通知</t>
        </is>
      </c>
      <c r="G5506" t="inlineStr">
        <is>
          <t>通知センター；通知票；通知カード；通知領域；通知預金</t>
        </is>
      </c>
      <c r="H5506" t="n">
        <v>29</v>
      </c>
      <c r="I5506" t="inlineStr">
        <is>
          <t>不許可の場合は不許可の旨と不許可の理由を文書で通知しなければならない。；アメリカではこの日22日の午前から重要な同盟各国への通知が行われた。；自ら選択できる有能で独立した弁護士を持つ権利を通知される権利を有する。；具体的には以下の場合に該当する場合について、保護決定通知が行われる。；なお、同通知にはチェックリストの各項目に詳細な解説がついている。；道路の使用開始の際に事業施行者から自治体への協議、通知等は行われない。；ただし回線の利用状況によって通知が遅れたり受信できないこともある。；この通知が届いていたときには、アクティブJは既に日程を抑えていた。；ゾルグが家のテーブルに目をやると、そこには妊娠検査の通知書が合った。；通知の内容によっては国や自治体に全面禁煙反対の要望をすると語った。；事前に生徒に通知され、参加する生徒は申し込み用紙に記入し提出する。；このため、結果通知が遅延しても、認定の空白期間が生じることはない。；拒絶の理由が発見された場合には、出願人に拒絶理由通知が通知される。；また、その処分をするには、文書で申請者に通知しなければならない。；あの子供たちが来てから、何ひとつうちの中は変わっていません。；自動的に収集され、新しい項目が追加されると画面上に通知がされる。；解散した以前の日本のグループも1998年頃にその通知を受けたとのことである。；例えば、ユーザーに対して重要なイベントが発生したことを通知する。；どのボタンが当たりであるかはその場で姫に通知される。；なお、受付を終了する時期は改めてホームページ等で通知するとしている。；主筆 今度は一つうちの雑誌に小説を書いては頂けないでしょうか?；そのPPはタスクが完了したときにCPUに割り込みをかけて通知する。；この通知には意見書を提出することができる期間が指定される。；また、呼び出しが完了すると同時に処理結果を通知する方式を同期処理と呼ぶ。；試験結果が振るわず、不合格と考えていた森に、4級での合格が通知された。；これとは別に同盟通信社からモールス通信で交戦国に直接通知が行われた。；特徴的な点として異常な場合と通知の場合では動作が異なる。；市役所のミスで一年早く入学通知が来たため、1951年小学校入学。；その内容の整理が行われ名称も通知等と改められた。</t>
        </is>
      </c>
      <c r="J5506">
        <f>HYPERLINK("https://www.weblio.jp/content/通知", "词义详情")</f>
        <v/>
      </c>
      <c r="K5506">
        <f>HYPERLINK("https://yourei.jp/通知", "查看例句")</f>
        <v/>
      </c>
    </row>
    <row r="5507">
      <c r="A5507" t="inlineStr">
        <is>
          <t>通帳</t>
        </is>
      </c>
      <c r="B5507" t="inlineStr">
        <is>
          <t>成功</t>
        </is>
      </c>
      <c r="C5507" t="inlineStr">
        <is>
          <t>読み方：かよいちょう
１掛け買いの月日・品名・数量・金額などを記入して、金銭を支払うときの覚えとする帳簿。
２預金の出し入れを記入する帳簿。通帳。</t>
        </is>
      </c>
      <c r="D5507" t="inlineStr">
        <is>
          <t>通帳類；通帳記帳；通帳レス；通帳冊子；通帳式</t>
        </is>
      </c>
      <c r="E5507" t="inlineStr">
        <is>
          <t>ノート；手帳；帳面；手帖；備忘録</t>
        </is>
      </c>
      <c r="F5507" t="inlineStr">
        <is>
          <t>郵便貯金通帳；総合通帳；普通預金通帳；購入通帳；横型通帳</t>
        </is>
      </c>
      <c r="H5507" t="n">
        <v>29</v>
      </c>
      <c r="I5507" t="inlineStr">
        <is>
          <t>机の中に通帳を見つけるが、そこにはおかしいところは見られなかった。；通帳に入っているお金は、誰がどうやって稼いでそこに入金しているか。；女房の通帳かしら、くらいに思っていたが、しかし、それは違っていた。；私は物を持ちだして売り、何でも通帳で買ってジャンジャン人にやった。；いや、出てきたわ、出てきたわ、岡山のあちこちの銀行の通帳や債券類。；だとしたら、その通帳は最後のひとりの沙都子が持っているに違いなかった。；かといって振込に行くわけでもなければ通帳の書き込みに行くわけでもない。；新しい名義の通帳が手に入ったら、それまでの古いやつは使わないようにしている。；早い話が銀行の通帳や印鑑の類まで、どこに何があるのかも分からなかったのだ。；口座を別の銀行に移し変えて、通帳と印鑑はレナが預かることになった。；成瀬は自分が個人で管理している普通預金の通帳の残高を思い浮かべた。；気がつくとすでに目の前には受取の書類と通帳が並んでいた。；誰かが、私の通帳で二百五十円の金を盗み取ったに違いないのである。；すると、通帳とか権利書とか、大事なものもいっしょにもってきたのではないか。；二三日前から定期券の購入は勤務先の証明の外に購入通帳を見せることになった。；小生は彼がまだ一度も借越したことのない銀行通帳を持っているのを知っています。；ノートや通帳などページを開いた状態で使うものにも使われる。；通帳、カードに描かれている天女の絵は柳原良平によるデザインである。；なぜなら、盗まれた通帳をもって信用組合の金をおろしにきているのだから。；手紙を出す紙もあるだろうし、銀行の通帳や小切手もあるだろう。；郵便受けの中へ銀行の通帳を入れたのも無電小僧の策略だったんだわ。；今日も通帳を借せといつてあの洋服を質屋に持つてらつしやいましたよ。；差出されたのは郵便貯金通帳で、光子の名前で千円近くになっていた。；案の定、係りの女は通帳の名前をみて、それから眉を顰めて判こをみた。；コンビニATM用の機械を流用しているため、通帳の使用はできない。；私の机の抽斗には通帳や小切手、実印が入っていて、それを手に入れたい。；また、ATMは置かれていないほか、希望がある場合を除き通帳は発行しない。；替えの下着と通帳類、それさえ持っていればあとはどこかで買うことはできる。；しかも銀行の通帳をみると、収入のほうが平均していない。</t>
        </is>
      </c>
      <c r="J5507">
        <f>HYPERLINK("https://www.weblio.jp/content/通帳", "词义详情")</f>
        <v/>
      </c>
      <c r="K5507">
        <f>HYPERLINK("https://yourei.jp/通帳", "查看例句")</f>
        <v/>
      </c>
    </row>
    <row r="5508">
      <c r="A5508" t="inlineStr">
        <is>
          <t>通念</t>
        </is>
      </c>
      <c r="B5508" t="inlineStr">
        <is>
          <t>成功</t>
        </is>
      </c>
      <c r="C5508" t="inlineStr">
        <is>
          <t>読み方：つうねん
世間一般に共通して認められている考え。「社会—」</t>
        </is>
      </c>
      <c r="D5508" t="inlineStr">
        <is>
          <t>通念上；通念化</t>
        </is>
      </c>
      <c r="E5508" t="inlineStr">
        <is>
          <t>既成概念</t>
        </is>
      </c>
      <c r="F5508" t="inlineStr">
        <is>
          <t>社会的通念；常識的通念；そういう通念</t>
        </is>
      </c>
      <c r="H5508" t="n">
        <v>29</v>
      </c>
      <c r="I5508" t="inlineStr">
        <is>
          <t>こういう事件になると社会の通念もあまり当てにはならぬものらしい。；と云うのは夫は批評の方を含まないのが通念になっているようである。；この歌は平安朝以降のその通念にお墨付きを与えたような歌だといえる。；そしてこの通念は何も戦後の日本が初めて経験したことではない。；そのアイテムは、システム上も通念上も、次に拾った人間のものとなる。；普通の通念による病気かどうか、実はそれがまだはっきりしないのだ。；そしてこれが、あらゆる通念を喜んで受け入れる私の態度の原因なのです。；ただこの時代を支配した文学の通念が、現代とはちがっているだけなのです。；従って私たちの行動が、今日の文化の通念から理解されぬことは止むを得ぬ。；そのため奴隷や捕虜が使用されたとの通念があるが、古代のは一般に自由民であった。；女の場合には男より一層それが社会の通念や常套と絡みあって来る。；悪の仲間に住んで来た通念からいえば、この世の中に、真実の味方などはない。；こうした通念は世界の一部を除き、多くの文化圏に共有されているものである。；そういう要求を明言することさえ野暮であるというのが一般の通念である。；日常の通念の世界でわれに還るからこそ、あれは美しい夢だったと言うのではないか。；主権者の地位を変革することを、世界の通念上から「革命」といつている。；個人として持てるのは戦前の華族や実業家というのが通念だったのである。；作品批評は、今日そこまでを触れないのが通念となっています。；その自然であるべきことが、自然として世俗の通念に納得されない。；これは高齢者になれば防災力が低下するという通念を覆すものである。；この点一般的に云えば政治の通念としても少しも別ではない。；奇妙な通念が支配していた世の中であった。；被災家屋が百軒以下で済んだのだから江戸以来の通念で言えば小火だった。；死体は隠すものだという通念の、逆をいかなければいけないのだ。；通念と異なり、いずれの書籍も真珠湾の空襲を予測してはいない。；そして、通念とは万人の夢ではないのでしょうか。；しかしこれはもはや一般通念としては通じなくなっている。；これが芸術上一般の通念となるために歴史はえらく揉みとおされるわけなのでしょう。；何も見えないくせにすべてを受け入れてしまう母親と、見るだけは見るくせに社会的通念の中で生きている沙弥子。</t>
        </is>
      </c>
      <c r="J5508">
        <f>HYPERLINK("https://www.weblio.jp/content/通念", "词义详情")</f>
        <v/>
      </c>
      <c r="K5508">
        <f>HYPERLINK("https://yourei.jp/通念", "查看例句")</f>
        <v/>
      </c>
    </row>
    <row r="5509">
      <c r="A5509" t="inlineStr">
        <is>
          <t>通報</t>
        </is>
      </c>
      <c r="B5509" t="inlineStr">
        <is>
          <t>成功</t>
        </is>
      </c>
      <c r="C5509" t="inlineStr">
        <is>
          <t>読み方：つうほう
［名］(スル)情報・ニュースなどを告げ知らせること。また、その知らせ。「警察に—する」「気象—」</t>
        </is>
      </c>
      <c r="D5509" t="inlineStr">
        <is>
          <t>通報する(10%)；通報者(3%)；通報される；通報装置；通報しよ</t>
        </is>
      </c>
      <c r="E5509" t="inlineStr">
        <is>
          <t>情報；報告；案内；報道；ニュース</t>
        </is>
      </c>
      <c r="F5509" t="inlineStr">
        <is>
          <t>一〇番通報；一九番通報；自動通報；位置通報；連絡通報</t>
        </is>
      </c>
      <c r="G5509" t="inlineStr">
        <is>
          <t>通報義務</t>
        </is>
      </c>
      <c r="H5509" t="n">
        <v>29</v>
      </c>
      <c r="I5509" t="inlineStr">
        <is>
          <t>上から3番目の兄弟は兄をナイフで脅して警察に通報された記録がある。；非常通報装置は運転士と相互通話なもので、各車両に6台設置している。；やがて一緒に逃げることを断念したパトリシアが警察に通報してしまう。；しかし乃木はこれに賛同しなかった上、逆に山縣に事の次第を通報した。；対策として、発見した場合の警察への通報や看板の設置などが挙げられる。；殺人課への通報に対応した刑事が自動的にその事件を担当する事となるのだ。；同じ頃中津川市職員Aの自宅で、大勢の人が倒れているとの通報があった。；机には通報があった場所が示されており、これはしずかが担当した。；犯人自ら警察に通報したものの、警察は特に法的措置は取らなかった。；急変に気づいた妻が通報し病院に運ばれたが死去が確認された。；そのため、エレベーターには管理会社へ通報できる装置が備えられている。；日本軍攻略部隊は米潜水艦サーモンに発見され、位置を通報されていたという。；孫武が入院した際に、病院職員が彼の身分証を発見し、清朝廷に通報した。；豊川市の住宅で、妻が血だらけで倒れているのを帰宅した夫が発見して通報。；また、客寄せの女性からの注意を無視すれば警察への通報も行う可能性がある。；警察に通報した丸大は、大阪府警本部の指導で犯人の要求通りに行動する。；悪質な場合や請求された罰金を不払いの場合、警察への通報も行われる。；薬局で警報ベルがなっているとの通報を受け、クレイは現場へと向かう。；ヘリの無線は破壊されていたため警察への通報は不可能となった。；そこに、店の通報を受けたドゥーリーとノックスが現れ逮捕されてしまう。；暗殺計画は他にもあったが、イギリス情報部からの通報で免れた。；町奉行所は武士に手を出すことができないため、これが会津藩に通報された。；神谷町駅に到着後、乗客が運転士に通報し、被害者は病院に搬送された。；この火災を最初に消防に通報したのは道路向かいの理髪店の店主であった。；通報をした登山グループは、翌26日午前中に下山し事故を伝えられた。；翌年も別のホテルで暴れて警察に通報される騒ぎを起こした。；また、橋の柵に足をかけたら管理局に通報することをルールとして定めていた。；こうした娘を見て耐えかねた母親が警察へ通報した。；本装置の設置をもって火災の通報の義務がなくなるわけではない。</t>
        </is>
      </c>
      <c r="J5509">
        <f>HYPERLINK("https://www.weblio.jp/content/通報", "词义详情")</f>
        <v/>
      </c>
      <c r="K5509">
        <f>HYPERLINK("https://yourei.jp/通報", "查看例句")</f>
        <v/>
      </c>
    </row>
    <row r="5510">
      <c r="A5510" t="inlineStr">
        <is>
          <t>通訳</t>
        </is>
      </c>
      <c r="B5510" t="inlineStr">
        <is>
          <t>成功</t>
        </is>
      </c>
      <c r="C5510" t="inlineStr">
        <is>
          <t>読み方：つうやく
［名］(スル)異なる言語を話す人の間に立って、双方の言葉を翻訳してそれぞれの相手方に伝えること。また、その人。「ドイツ語を—する」「同時—」</t>
        </is>
      </c>
      <c r="D5510" t="inlineStr">
        <is>
          <t>通訳官(3%)；通訳兼；通訳なし；通訳サービス；通訳業</t>
        </is>
      </c>
      <c r="E5510" t="inlineStr">
        <is>
          <t>解釈；判読；インタプリタ；通詞；通訳者</t>
        </is>
      </c>
      <c r="F5510" t="inlineStr">
        <is>
          <t>日本語通訳；ロシア語通訳；専属通訳；陸軍通訳；会議通訳</t>
        </is>
      </c>
      <c r="G5510" t="inlineStr">
        <is>
          <t>通訳人；通訳案内士；通訳生；通訳ガイド；通訳案内業</t>
        </is>
      </c>
      <c r="H5510" t="n">
        <v>29</v>
      </c>
      <c r="I5510" t="inlineStr">
        <is>
          <t>この際、親が英語ができない場合は学校の職員の通訳の付き添いもある。；まだ日本語がわからない力士にも、通訳などがつくことは基本的にない。；ほとんどの医師が英語での会話が可能であるが、日本語通訳はいない。；からはアリゾナ・ダイヤモンドバックスのコーチ兼通訳に就任している。；宇宙から来た主人公の妖精が、カラスを通訳にして人間と交流する物語。；当初は言葉が話せない龍也のために通訳などもして面倒を見てやっていた。；だれもがとてもよくしてくれ、通訳さんや近所の人も色々と助けてくれた。；また彼女は三船や黒澤明がハリウッドを訪問した際の通訳としても働く。；他のポケモンの言葉が分かるため、ムサシたちに通訳をすることが多い。；この時、通訳官であったドナルド・キーンが訊問した最初の捕虜となる。；ちなみに後に彼女の夫となるジョセフ・ゴードン中尉は通訳担当だった。；講師を務めていた長井長義の通訳で生徒と談話し、感銘を与えたという。；イングランドのメディアに対応する際には、通訳を介さず英語で対応する。；横浜で外国人から英語を学び、1877年より横浜で通訳業を始める。；海外の映画賞を取材する番組に、内田が通訳として同行したこともある。；現在は女優業を一旦休止し、ライター業を軸に通訳と翻訳の仕事も務める。；タムソンがその視察団の通訳と案内人を依頼されて欧米諸国を訪問した。；日本に着く頃には流暢な会話ができ、通訳を依頼する必要がないほどであった。；このとき通訳を務めた川瀬元九郎は1900年アメリカ留学から帰国。；留学や通訳を中心とした仕事を展開しサッカースクールなども立ち上げる。；痩せた男はギリシャ語しか話せないので、英語の質問を通訳しろと言う。；シーズンより通訳も兼務となったが、このシーズンをもって退団している。；烏珠留若鞮単于は董賢の年が若いことを不思議に思って、通訳に問うた。；彼は3年前、晋太郎がハンガリーに滞在していた時に通訳を担当していた。；高価な通訳設備の用意が必要ないため、企業内の会議などで使用される事が多い。；日露戦争時には捕虜収容所で通訳を行い、ロシア情報の収集に当たった。；通常会話は流暢な日本語でこなし、インタビューでも通訳を必要としない。；ドミニカから広島に新しい選手が来ると、通訳や世話役を務めていた。；ほとんどの医師は英語が可能であり、また日本語通訳はいない。</t>
        </is>
      </c>
      <c r="J5510">
        <f>HYPERLINK("https://www.weblio.jp/content/通訳", "词义详情")</f>
        <v/>
      </c>
      <c r="K5510">
        <f>HYPERLINK("https://yourei.jp/通訳", "查看例句")</f>
        <v/>
      </c>
    </row>
    <row r="5511">
      <c r="A5511" t="inlineStr">
        <is>
          <t>通用</t>
        </is>
      </c>
      <c r="B5511" t="inlineStr">
        <is>
          <t>成功</t>
        </is>
      </c>
      <c r="C5511" t="inlineStr">
        <is>
          <t>読み方：つうよう
［名］(スル)
１ある期間・範囲内で、自由に使えること。「全館に—する優待券」「スペイン語の—する国々」
２広く世間に認められていること。「世界に—する新技術」「その実力ではプロでは—しない」
３ふだんの出入りに使用すること。「—の出入り口」
「家毎に穴をあけておいて—する」〈滑・浮世風呂・四〉
４心をかよわせること。
「よそ目には勅勘の者とてはばかる様なれ共、内心は皆—せり」〈盛衰記・一九〉</t>
        </is>
      </c>
      <c r="D5511" t="inlineStr">
        <is>
          <t>通用する(34%)；通用門(6%)；通用しそう；通用口；通用停止</t>
        </is>
      </c>
      <c r="E5511" t="inlineStr">
        <is>
          <t>流行；生きる；通じる</t>
        </is>
      </c>
      <c r="F5511" t="inlineStr">
        <is>
          <t>十分通用；直通用；一切通用；通用漢字字形；通用制限額</t>
        </is>
      </c>
      <c r="G5511" t="inlineStr">
        <is>
          <t>通用拼音；通用名；通用規範漢字表；通用門；通用ピンイン</t>
        </is>
      </c>
      <c r="H5511" t="n">
        <v>29</v>
      </c>
      <c r="I5511" t="inlineStr">
        <is>
          <t>またイタリアの植民地であったことから一部ではイタリア語も通用する。；日本のアニメを中心に通用しているものの、明確に定義されてはいない。；綾瀬工場の通用門は当初、工場事務所近くに設置することとなっていた。；多くの医術書を記し、その効用は現代でも通用する現代的なものである。；従って、Silver以降の認定は世界で通用するものとなると言える。；そうした場合には、作戦名が戦役を指す名として通用することにもなる。；日本国内でのみ通用する国内ライセンスは以下の団体が発行している。；この大会で速球が通用したことでプロでやっていく自信が芽生えたという。；特別とは、広く通用する状態とは異なる状態、即ち例外となる状態のこと。；日本語の通用するツアーもあるが、複数人が事前に予約する必要がある。；電気に弱い相手には決め手になるが、電気に強い相手には通用しない。；外国人選手からは「メジャーリーグで通用しそうな日本人」と言われた。；花電車に代表される花芸の一つであり好事家の間で通用する隠語に近い。；その一銭・五十銭および一円の黄銅貨はいずれも現在通用停止となっている。；今はもうすっかり携帯も通じるようになったので、あれは通用しませんね。；岐阜市内線・揖斐線直通用に投入され、一貫して両路線にて運用された。；近年では海外から流入した人口も増えたため、英語も通用している。；日本人でも外国人でも通用する名前をということでリカとなった。；主に中国でしか通用しないような常識が外国まで波及した時などに使用される。；役者は芸さえあれば、と言いたいがそれが通用しない世の中になった。；戦う度にデータが収集されていくため、一度使った戦法が通用しない。；特に時間によって使い分けられる言葉と、いつでも通用する言葉がある。；通用停止は慶応2年5月末であり、通用期間は比較的長いものであった。；最も広く通用する意味での「マンズリ」は女性のオナニーのことである。；当初は日本人野手がMLBで通用するのか疑問視する声が日米問わず多かった。；ただし相当な人気種牡馬でなければこのような手法は通用しない。；地下鉄有楽町線直通用9000系をベースに製造された地上専用車である。；個人番号カードは日本国政府が発行する公的証明書であるが通用しない。；しかし、一部の店舗に出回った裏モノにこの設定判別方法は通用しない。</t>
        </is>
      </c>
      <c r="J5511">
        <f>HYPERLINK("https://www.weblio.jp/content/通用", "词义详情")</f>
        <v/>
      </c>
      <c r="K5511">
        <f>HYPERLINK("https://yourei.jp/通用", "查看例句")</f>
        <v/>
      </c>
    </row>
    <row r="5512">
      <c r="A5512" t="inlineStr">
        <is>
          <t>通路</t>
        </is>
      </c>
      <c r="B5512" t="inlineStr">
        <is>
          <t>成功</t>
        </is>
      </c>
      <c r="C5512" t="inlineStr">
        <is>
          <t>読み方：かよいじ
行き通う道。通路。「雲の—」「恋の—」</t>
        </is>
      </c>
      <c r="D5512" t="inlineStr">
        <is>
          <t>通路側；通路幅；通路部分；通路沿い；通路脇</t>
        </is>
      </c>
      <c r="E5512" t="inlineStr">
        <is>
          <t>通り；道；路線；道路；廊下</t>
        </is>
      </c>
      <c r="F5512" t="inlineStr">
        <is>
          <t>狭い通路；細い通路；中央通路；用通路；長い通路</t>
        </is>
      </c>
      <c r="H5512" t="n">
        <v>29</v>
      </c>
      <c r="I5512" t="inlineStr">
        <is>
          <t>これは機器室内の通路幅を確保し、整備性の向上に配慮したものである。；駅舎は構内の南側に位置し、ホーム東側を結ぶ長い通路で連絡していた。；このため車内の大部分で通路は車体中心線からずれた配置となっている。；その他、連絡通路を経由して以下の路線へ乗り換えることが可能である。；駅に向かう通路には屋根が設置されていたが、ホームには屋根がなかった。；なお現在の改札口は撤去され通路は拡張及び改修され使用を継続する。；改札内に両ホームを連絡する通路は存在しないので注意が必要である。；駅舎は通路により周囲の建物に直結しており、直接道路には出られない。；従来、通路からホームへは階段のみであったが、エスカルが設置された。；この通路は階段のみでありエレベーター等のバリアフリー設備はない。；通路が直角に交わるところにドームを構築することが多くなっていった。；ホームへの行き来は駅舎から線路を横切って渡る構内通路となっている。；喫茶カウンター・トイレとも、通路を挟んだ反対側は通常の座席である。；また、団体客向けにホームへ直接移動できる通路も設置されていた。；桜通線と東山線との乗り換えは連絡通路を経由することで可能である。；ただし中央通路で両側にそれぞれコンパートメントが並ぶ形態もある。；駅出入口は駅舎のある上りホーム側の他、下りホームにも通路がある。；そのため、使用中のホームからは線路下の通路を渡って待合所に至る。；また駅ビル内や駅ビル脇の通路からは湘南モノレールの駅に通じている。；上下線は連絡通路でつながっているため、どちらの施設も利用可能である。；ホームと駅舎は若干離れており、屋根付きの連絡通路で繋がっている。；ホーム間に通路が無いため、駅舎側でないホームへは南側の道路から直接入る。；かつては細胞境界上に小孔が存在しては血球の通路になると考えられていた。；南口から北口へ通路を伸ばした形になっているが、メインは南口である。；そのため、階段も壁から離れた位置に造られ、階段と壁の間に通路がある。；通常の内装よりも座席幅を詰めて通路幅を広げた内装案も用意されている。；また新設された連絡通路は今までに比べてラグジュアリーな空間となっている。；地下道は一部が仕切られていて東西の自由連絡通路として使用されていた。；また高さを確保するために、地上の道路は通路の位置だけ盛り上がっている。</t>
        </is>
      </c>
      <c r="J5512">
        <f>HYPERLINK("https://www.weblio.jp/content/通路", "词义详情")</f>
        <v/>
      </c>
      <c r="K5512">
        <f>HYPERLINK("https://yourei.jp/通路", "查看例句")</f>
        <v/>
      </c>
    </row>
    <row r="5513">
      <c r="A5513" t="inlineStr">
        <is>
          <t>杖</t>
        </is>
      </c>
      <c r="B5513" t="inlineStr">
        <is>
          <t>成功</t>
        </is>
      </c>
      <c r="C5513" t="inlineStr">
        <is>
          <t>読み方：じょう
［人名用漢字］　［音］ジョウ（ヂャウ）（呉）　［訓］つえ
１つえ。「戒杖・鳩杖(きゅうじょう)・錫杖(しゃくじょう)」
２棒で打つ。「杖刑」
［名のり］き・もち
［難読］虎杖(いたどり)・毬杖(ぎっちょう)</t>
        </is>
      </c>
      <c r="D5513" t="inlineStr">
        <is>
          <t>杖をつい(4%)；杖代わり；杖刑；杖五郎；杖剣</t>
        </is>
      </c>
      <c r="E5513" t="inlineStr">
        <is>
          <t>棒；ステッキ；棍棒；スティック；松葉杖</t>
        </is>
      </c>
      <c r="F5513" t="inlineStr">
        <is>
          <t>長い杖；鉄杖；禅杖；竹杖；魔杖</t>
        </is>
      </c>
      <c r="G5513" t="inlineStr">
        <is>
          <t>杖道；杖立；杖先；杖突峠；杖罪</t>
        </is>
      </c>
      <c r="H5513" t="n">
        <v>29</v>
      </c>
      <c r="I5513" t="inlineStr">
        <is>
          <t>右足を失った後の姿のものであるため、杖をついているのが特徴である。；また、この杖はやがて葉をつけて花を咲かせるようになったとも伝わる。；そのため足腰が衰えないようにと毎日、杖をついて家の中を歩いていた。；山伏は鉄杖で獣を叩き殺し、自分の役目は終わったと言って村を去った。；対して幸四郎はやや反身になって、杖は両手共に下から持つ姿勢だった。；杖をついたツタンカーメンとアンケセナーメンが描かれているとされる。；彼女が使っていた杖は後に剣へ変化し、今も大樹の根元に刺さっている。；歩くにはまだ両腕に杖を必要としていたものの回復した姿を見せた。；こうすることで普通の杖よりも身体を支えやすく安定した歩行が可能になる。；彼が持っていたのは、殺人現場で発見されたクインラン愛用の杖だった。；冒険の目的も炎の杖の入手ではなく7つの至宝を探す内容となっている。；一方修道院長杖は、ロルヒ修道院をはじめとする聖界領主を表している。；着ぐるみの前足には杖が入れられ、後足が膝をつかないようにしている。；画面右方の、尺杖を持ち、右手で何かの指図をしている男が棟梁である。；人造デジモンの一体で、黒装束に杖を持った人間のような姿をしている。；かつては奥州街道の近くにあったとされ、杖を奉納する慣わしがあった。；移動時には近縁種と同様に蓋を杖のように使って移動する。；古代ギリシアの陶器の絵に金属の装飾を先端につけた長い杖が描かれている。；しかし多くの患者で杖などが必要となり社会生活には影響がある。；茎は太く硬くなるため杖の材料にもされ、アカザの杖は最高級とされる。；以下では4尺前後の杖と呼ばれる棒を用いる日本武術について解説する。；その後回復はしたが半身不随となり、杖をついて足を引きずる身となった。；安永元年、江戸城内で杖を用いることを許されたが、同6年に死去した。；ミカエルは、左手に金の十字架がついた銀の杖、右手に秤を持っている。；朝士たちは鉄杖が毎朝宮廷にいるところを見ていたので、これを信じなかった。；鉄の杖とは世界を支配する象徴でもあり預言者の象徴でもある。；今はもう目も見えず、竹を杖としてよろよろと歩きながら小屋に入る。；一方で人間側も用心して、見知らぬ山野を歩く際は杖を横向きに構えた。；次に描かれた作品、オレンジ色の壁を背に杖を手にした構図の作品は個人蔵。</t>
        </is>
      </c>
      <c r="J5513">
        <f>HYPERLINK("https://www.weblio.jp/content/杖", "词义详情")</f>
        <v/>
      </c>
      <c r="K5513">
        <f>HYPERLINK("https://yourei.jp/杖", "查看例句")</f>
        <v/>
      </c>
    </row>
    <row r="5514">
      <c r="A5514" t="inlineStr">
        <is>
          <t>使いこなす</t>
        </is>
      </c>
      <c r="B5514" t="inlineStr">
        <is>
          <t>成功</t>
        </is>
      </c>
      <c r="C5514" t="inlineStr">
        <is>
          <t>読み方：つかいこなす
［動サ五（四）］そのものの性能などが十分発揮できるよう、うまく使う。また、自分の思いどおりに使う。「道具を—・す」「数か国語を—・す」</t>
        </is>
      </c>
      <c r="D5514" t="inlineStr">
        <is>
          <t>扱う；取り扱う；操作する；操る；コントロールする</t>
        </is>
      </c>
      <c r="H5514" t="n">
        <v>29</v>
      </c>
      <c r="I5514" t="inlineStr">
        <is>
          <t>弟子であるあなたはそのコードを使いこなすことができるはずですわ。；コンピュータを使いこなすことなどアメリカ人のまねをする必要もない。；意志ある武器を彼らはどの程度まで使いこなし、信頼されているのか。；その代わり、必要最低限度の訓練で使いこなすことが可能となっている。；ぼくは、彼女が、この場を使いこなしているというだけで満足なのだ。；教授は教卓を離れて自分でメスやピンセットを使いこなすようになった。；確かにかなり高難度の術を使いこなす化け物の存在は確認されている。；この自由をいかに使いこなすかは諸君の権利であると同時に大なる責任である。；打撃も器用に使いこなすことからニュータイプの柔術家と呼ばれていた。；力がある者ほど、力を欲する者ほど、己の力を使いこなしにくいものなの。；一方で投げを含んだ技の使いこなしや戦略の駆け引きには奥の深いところもある。；彼女は、敵の武器とそれを使いこなす神技を忘れていたのではない。；そのうちに言葉を覚えても、しかし子供はそれを充分に使いこなすことが出来ない。；また、弓術に長けており、三石余りの弓を使いこなす事が出来たという。；これだけ大きな画面を使いこなすプログラムの作成も、まったく大仕事だった。；私たちにはその能力をコントロールして使いこなすことなど出来はしないのです。；皇帝は多くの優秀な提督たちを使いこなさなければならないのだ。；ほかの人間には、使いこなすどころか、起動することさえできないのさ。；これは、太牙が魔皇力を使いこなす才能に恵まれているためと思われる。；しずかは上手に使いこなしたが、のび太が使うとやはり失敗続きとなる。；このパソコンは、将来社会に出た際にこれを使いこなすためである。；達也には真似のできないレベルで、魔法を道具として使いこなして見せた。；この力を使いこなすがゆえに侍は最強の戦闘能力を持つと言われる。；鉄に変えられた右脚をうまく使いこなすことができない。；人は、決して尻っ尾で武器を使いこなしたりはしないからだ。；彼にでなければ使いこなすことのできないものなのだ!；実際、彼の作品の登場人物はこれらの格闘技を使いこなして敵を倒す。；権力を振り回すのは好きでも、まともに使いこなすことなどできないのだ。；特に多層スイッチは、よく理解せずに使いこなすことは困難である。</t>
        </is>
      </c>
      <c r="J5514">
        <f>HYPERLINK("https://www.weblio.jp/content/使いこなす", "词义详情")</f>
        <v/>
      </c>
      <c r="K5514">
        <f>HYPERLINK("https://yourei.jp/使いこなす", "查看例句")</f>
        <v/>
      </c>
    </row>
    <row r="5515">
      <c r="A5515" t="inlineStr">
        <is>
          <t>使い捨て</t>
        </is>
      </c>
      <c r="B5515" t="inlineStr">
        <is>
          <t>成功</t>
        </is>
      </c>
      <c r="C5515" t="inlineStr">
        <is>
          <t>読み方：つかいすて
《「つかいずて」とも》使ったあと、修理・補給などをしないで捨ててしまうこと。また、そのように作られたもの。「—のライター」</t>
        </is>
      </c>
      <c r="D5515" t="inlineStr">
        <is>
          <t>使い捨て式(3%)；使い捨て型(3%)；使い捨てタイプ；使い捨て製品；使い捨て容器</t>
        </is>
      </c>
      <c r="F5515" t="inlineStr">
        <is>
          <t>使い捨て型プロトタイピング</t>
        </is>
      </c>
      <c r="G5515" t="inlineStr">
        <is>
          <t>使い捨てカイロ；使い捨てライター；使い捨てロケット；使い捨て型ロケット</t>
        </is>
      </c>
      <c r="H5515" t="n">
        <v>29</v>
      </c>
      <c r="I5515" t="inlineStr">
        <is>
          <t>使い捨て型ローンチ・ヴィークルは一度きりの使用を目的に設計される。；しかし、使い捨てのシステムを運用する費用は満足のいかないものだった。；とりあえず車を使い捨てにしないといけないのはどういうことだろう。；使い捨て製品が選択される理由は以下に挙げるようなものがある。；多くは金属製であるが、使い捨て用のプラスチック製の製品も存在する。；使い捨ての簡便な容器から繰り返し利用される鞄の一種まで様々である。；しかし、デザイン上2つの使い捨てマスクを組み合わせても意味がない。；指紋を残さないために、両手は手術用の薄い使い捨て手袋に包まれていた。；そうなった場合には新しいものと交換するしかなく、基本的には使い捨てである。；毎年新しい作品を作るが過去の作品は使い捨てではなく、イベント等で披露する。；単に色が違うだけの使い捨て式のものもあれば、設計原則が全く異なるものもある。；一石三鳥の計画のために、使い捨ての雇われテロリストが集められた。；使用形態や元々の素材から大きく布おむつと使い捨ておむつに分類される。；現在の先進国では衛生上の理由から使い捨て式が主流になっている。；それらに比べてジレット式の使い捨て刃では使い勝手が格段に改善された。；これまでの彼にとり女は使い捨ての道具みたいなものであった。；球体は一度きりの使い捨てなのか、一撃を放った後、鉛の色を失っていた。；使い捨ては、同じ手順書を何枚もコピーしておいて、作業毎に一部を使う。；固定した刃を持つものもあれば、柄に着脱可能で使い捨てである刃を持つものもある。；注射器という手段も考えたがね、今はすべて密封包装された使い捨てだ。；文庫本なんて使い捨て文化の一つになってしまったのだろうか。；使い捨てと、そうで無い製品が平行して利用され続けている分野も見出せる。；膣口の物が主流だかが近年では安価な使い捨ての物をオナニーカップという。；昔、青春がいくら使い捨てにされようが、いまの自分には関係はない。；あたしは、使い捨てにされない、歌で誰かを感動させることができる歌手になりたいの!；使い捨てのように用いられた兵士は多数が死亡した。；この機体は使い捨てを想定しており、大規模生産が可能なように非常に簡単に製造することができた。；手下にするにしても使い捨てだな、とぼくはこのとき判断した。；毎年、新しい作品を作るが過去の作品は使い捨てではなく、イベント等で披露する。</t>
        </is>
      </c>
      <c r="J5515">
        <f>HYPERLINK("https://www.weblio.jp/content/使い捨て", "词义详情")</f>
        <v/>
      </c>
      <c r="K5515">
        <f>HYPERLINK("https://yourei.jp/使い捨て", "查看例句")</f>
        <v/>
      </c>
    </row>
    <row r="5516">
      <c r="A5516" t="inlineStr">
        <is>
          <t>使い果たす</t>
        </is>
      </c>
      <c r="B5516" t="inlineStr">
        <is>
          <t>成功</t>
        </is>
      </c>
      <c r="C5516" t="inlineStr">
        <is>
          <t>読み方：つかいはたす
［動サ五（四）］全部使ってしまう。残らず使ってしまう。「あり金を—・す」</t>
        </is>
      </c>
      <c r="D5516" t="inlineStr">
        <is>
          <t>使い果たす可能性(2%)</t>
        </is>
      </c>
      <c r="E5516" t="inlineStr">
        <is>
          <t>なくなる；消費；切れる；尽くす；浪費</t>
        </is>
      </c>
      <c r="H5516" t="n">
        <v>29</v>
      </c>
      <c r="I5516" t="inlineStr">
        <is>
          <t>持って出た限りは意地でも全部使い果たして帰ってくるに違いなかった。；人も物と同じで、使い果たされるということがあるのではないだろうか。；その晩、竹中は無事だった戦闘帽の中の一五〇円を一晩で使い果たした。；晩年に至るまで電気冶金の研究を続け、そのために財産を使い果たした。；第一層で魔法を使い果たすわけもなく、その顔には疲れは見られなかった。；週末に金を使い果たしてしまった人々が、空の財布を抱えて並んでいる。；何気ない振りをするために一日の大半のエネルギーを使い果たしてしまう。；理由は単純、準備していた金を前夜酒を飲んで使い果たしたためであった。；朝の一件で気力を使い果たした彼の視線は遙か遠くに行ってしまっていた。；そもそもエカルをドリルにした時点でほとんどの力を使い果たしている。；しかし、自身もエネルギーのほとんどを使い果たしたため、眠りにつく。；感情を使い果たし、突然理性的な現実的な女性になったような感じだった。；つまり、すでに主系列から移行し、核の水素の燃料を使い果たしている。；父親は多くの遺産を残したが、エッカートはそれをすぐに使い果たした。；代替が段階的なのは既存の古い弾薬のストックを使い果たすためである。；天使はといえば、彼女もやはり力のほとんどを使い果たしてしまっていた。；武器を使い果たしてしまったし、何よりもジョウがそばにいないのだ。；すると今度は土地に手をつけ、これまた三年で使い果たしてしまったのよ。；本来なら墓を建ててやりたいところだが、そんな金は使い果たして、ない。；残っていた金をほんの一週間で使い果たし、酒ばかりを飲んでいた。；すべての力を使い果たすかのごとく明は過去を見たんだと思う。；イングランド軍はどの方向にも砲撃を行い、弾丸の大半を使い果たした。；きっと全体力を使い果たすつもりでおじさんの過去を見たのだろう・・・。；使い果たしてしまったような気がしている妻を、見棄てることはできない。；力の限りを使い果たしたからだは、びしょぬれになった雑巾みたいです。；使い果たした体力を回復させる意味もあったさっきまでとは事情がちがう。；そして人類が住む環境を改善するためにあり余る活力を使い果たしてきた。；しかし力を使い果たしたサタナシアは間もなく消滅する運命にあった。；なおこの時点で、ポーランド側はほぼ完全に物資を使い果たしていた。</t>
        </is>
      </c>
      <c r="J5516">
        <f>HYPERLINK("https://www.weblio.jp/content/使い果たす", "词义详情")</f>
        <v/>
      </c>
      <c r="K5516">
        <f>HYPERLINK("https://yourei.jp/使い果たす", "查看例句")</f>
        <v/>
      </c>
    </row>
    <row r="5517">
      <c r="A5517" t="inlineStr">
        <is>
          <t>使い道</t>
        </is>
      </c>
      <c r="B5517" t="inlineStr">
        <is>
          <t>成功</t>
        </is>
      </c>
      <c r="C5517" t="inlineStr">
        <is>
          <t>読み方：つかいみち
１使う方法。使い方。「金の—を考える」
２使う目的に応じたそれぞれの方面。用途。使い所。「—が広い道具」</t>
        </is>
      </c>
      <c r="D5517" t="inlineStr">
        <is>
          <t>使い道がない(8%)；使い道が無い</t>
        </is>
      </c>
      <c r="E5517" t="inlineStr">
        <is>
          <t>用；目的；機能；役割；働き</t>
        </is>
      </c>
      <c r="H5517" t="n">
        <v>29</v>
      </c>
      <c r="I5517" t="inlineStr">
        <is>
          <t>試作されたが使い道が無いとされた武装のいくつかを個人所有している。；ただし諸君は使い道を考えねばならぬほどの金を持っているわけではない。；しかし、初期の電気の利用法では交流の使い道が知られていなかった。；父の診療所から盗みだした時には、具体的な使い道は決めていなかった。；親父が死んだとなれば、あの割符とやらの使い道もおれにはわからねえ。；もともと多すぎる額だし、使い道はないから、貯めておくほかないのね。；その後使い道を考えたロクシェ政府が、ここを軍隊の試験射撃場にした。；もっと重要なことに、彼はそのどちらの使い道も心得ていたのである。；石の使い道は家畜囲いの石垣が多いけれど、建物にも使われているわね。；厄介なのは、使われている技術が高度でも、使い道のあまりない代物だ。；結局、あの種を使えばどうなるかはわかったが、使い道は見当もつかない。；税金の使い道も腑におちませんが、それよりも私には日本が分りませぬ。；面倒な使い道はほとんど知らないし、ゲームさえ、やったことがない。；われわれがどんなに努力しても力場帯の他の使い道が発見できないかもしれない。；それらの装置の使い道など、かなめにはまったく見当がつかなかった。；さて決めなくてはならないのは、残りの二千万の使い道である。；用途も使い道も違う製品だから、二機種とも市場に出してもいいのではないか。；前作で強力だった武器は大幅に弱くされ、使い道が無かった武器は強くなった。；酒をやめて金の使い道がないというわけではないが、形に凝るようになった。；勿論こっちの金に両替えしてあったろうが、外国の金だったら使い道はあるめえ。；こんな世の中だけれども、探せば使い道のある土地と金はかなりあるものだ。；しかしこれでは、せっかく高度化した人間の頭脳の使い道がないではないか。；われわれは世界中の金が彼女のものになるが、それを手に入れても使い道がないことを説明した。；使い道がない以上、自分にはなんの価値もないわけであった。；闘鶏場でしか役に立つまいと諦めていたが、意外な使い道があったものだ。；でもアホと鋏は何とかいうよって、これでも使い道はありますんやろな。；君はその元気の使い道ができてくる時代にいるのだ。；あんな大きいもの、飾ることもできないし、使い道なんかありゃしない。；理由は炸薬量が多いからであるが、両方の擲弾にはそれぞれの使い道があった。</t>
        </is>
      </c>
      <c r="J5517">
        <f>HYPERLINK("https://www.weblio.jp/content/使い道", "词义详情")</f>
        <v/>
      </c>
      <c r="K5517">
        <f>HYPERLINK("https://yourei.jp/使い道", "查看例句")</f>
        <v/>
      </c>
    </row>
    <row r="5518">
      <c r="A5518" t="inlineStr">
        <is>
          <t>使い分け</t>
        </is>
      </c>
      <c r="B5518" t="inlineStr">
        <is>
          <t>成功</t>
        </is>
      </c>
      <c r="C5518" t="inlineStr">
        <is>
          <t>読み方：つかいわけ
［名］(スル)場合に応じて使い方・使う物などを区別すること。「被写体によってレンズを—する」</t>
        </is>
      </c>
      <c r="D5518" t="inlineStr">
        <is>
          <t>使い分けている(15%)；使い分けられる(10%)；使い分けており；使い分けなければなら；使い分け感覚</t>
        </is>
      </c>
      <c r="F5518" t="inlineStr">
        <is>
          <t>合わせて使い分け；明確な使い分け；上手く使い分け；うまく使い分け</t>
        </is>
      </c>
      <c r="G5518" t="inlineStr">
        <is>
          <t>使い分けれ；使い分けよ</t>
        </is>
      </c>
      <c r="H5518" t="n">
        <v>29</v>
      </c>
      <c r="I5518" t="inlineStr">
        <is>
          <t>そのため実際にはこれらの解釈方法が場合によって使い分けられている。；このように名称の表記は一定しておらず、明確な使い分けはされていない。；古い身体はロケなどで使い分けたり、イベントで展示されたりしている。；この問題はデント種とフリント種の使い分けがひとつの対応手段である。；基本的には以下の通り使い分けられているが、若干の例外は存在する。；天候やTPOに合わせた化粧の使い分けが定着したのもこのころである。；これらはその場その場の感情に応じて自然に使い分けられている。；従来の正書法ではとの使いわけについて、以下のように決められていた。；これらの区分は明確には定義されておらず、慣用的に使い分けられている。；なぜ一部の文字だけにこのような使いわけがあるかは不明である。；それぞれ使い分けがなされる場合もあるが、広義には同一の流派である。；銃には様々な種類が存在し、戦場の状況や兵士の判断等で使い分けられている。；隣にある高梁市文化交流館の中ホールとは使用目的や規模で使い分けられる。；ユーザーは画面切り替えの要領で複数のコンピュータを使い分けられる。；こうした使い分けが行われる背景には、それぞれの方式の特徴が関連している。；色々な声を使い分け、自分の声の種類に自分だけが分かる名前をつけている。；本人によれば、ペンネームの使い分けを意図したことはないとのことである。；ルイスは人間と犬の姿を使い分けながら2つの世界を往復する生活が始まる。；使用する局面によって多少使い分けているが基本的に同じ意味である。；特に時間によって使い分けられる言葉と、いつでも通用する言葉がある。；航空機では、熱環境に応じて他素材と使い分けられる傾向にある。；エミリーは活動する映画会社によって名前を使い分けていた時期がある。；同整備局の様式をみると、電算用と手書き用で様式を使い分けている。；沖縄タイムには使い分けがあることは他都道府県の人には理解されていない。；伊吹によれば、本多は映画的な表現と舞台的な表現を使い分けていたという。；古い道路では、道の両側で奇数・偶数の使い分けがされていないことがある。；皇后宮と中宮との使い分けについても固定した明確なルールは存在しない。；撮影会モデルでの名義などジャンルや販売メーカーごとに名前を使い分けていた。；このような経緯を背景に、両社では以下のような名称の使い分けを実施している。</t>
        </is>
      </c>
      <c r="J5518">
        <f>HYPERLINK("https://www.weblio.jp/content/使い分け", "词义详情")</f>
        <v/>
      </c>
      <c r="K5518">
        <f>HYPERLINK("https://yourei.jp/使い分け", "查看例句")</f>
        <v/>
      </c>
    </row>
    <row r="5519">
      <c r="A5519" t="inlineStr">
        <is>
          <t>使う</t>
        </is>
      </c>
      <c r="B5519" t="inlineStr">
        <is>
          <t>成功</t>
        </is>
      </c>
      <c r="C5519" t="inlineStr">
        <is>
          <t>読み方：つかう
［動ワ五（ハ四）］
１人に何かの働きをさせる。人を雇ったり、言いつけたりして用をさせる。「人を—・って事業を始める」「人に—・われる」
２物などをある目的のために用いる。道具・材料などを役立たせる。使用する。利用する。「マイクを—・って講義する」「不正に—・われる」「魚介を—・った料理」「この食品は防腐剤を—・っておりません」
３目的を遂げる手段・方法としてあることをする。「賄賂(わいろ)を—・う」「色目を—・う」「仮病を—・う」
４容易には扱えないものをたくみに動かす。あやつる。また、自在に言葉を話す。「手品を—・う」「人形を—・う」「フランス語を—・う」
５あれこれと注意を払って心を働かせる。「気を—・う」「細かい神経を—・う」
６物・金銭・時間などを、何かをするのに当ててその量や額を減らす。消費する。ついやす。「金を—・う」「時間を有効に—・う」
７特定の語と結びついて、それを用いての行為を表す。「弁当を—・う」「湯を—・う」
８保つ。
「あひ戦はむとすとも、かの国の人来なば、猛(たけ)き心—・ふ人も、よもあらじ」〈竹取〉
→用いる［用法］
[可能]つかえる
[下接句] 顎(あご)で使う・頤(おとがい)で人を使う・金持ち金使わず・烏(からす)を鵜(う)に使う・気を遣う・心を使う・声色(こわいろ)を遣う・舌を二枚に使う・袖(そで)の下を使う・空(そら)を使う・出しに使う・立っている者は親でも使え・玉に使う・人を使うは苦を使う・篦(へら)を使う・湯水のように使う・宵越しの銭は使わぬ・留守を使う</t>
        </is>
      </c>
      <c r="D5519" t="inlineStr">
        <is>
          <t>使うべき；使うしかない</t>
        </is>
      </c>
      <c r="E5519" t="inlineStr">
        <is>
          <t>使用；利用；運用；用いる；実行</t>
        </is>
      </c>
      <c r="F5519" t="inlineStr">
        <is>
          <t>そのまま使う；使うよう指示；使うよう提案；使うよう設計</t>
        </is>
      </c>
      <c r="H5519" t="n">
        <v>29</v>
      </c>
      <c r="I5519" t="inlineStr">
        <is>
          <t>生物が電気的にコミュニケーションを行うことを指すために使っている。；加熱は火を使って行われるのが普通だが、直接に火にかけない例もある。；カードを使用するためには予算が必要となり、不足していると使えない。；主にカナダインディアンが湖沼の移動に使っていたためこの名称がある。；同様の手法は システムで使われている コードでも使われている。；特別にもらった五銭か十銭の小遣いをどう使おうかと苦心する日である。；用語「ヨーロッパ」は、歴史が展開する中で使われ方が様々に発展した。；だが、鍵を使おうとした瞬間、また新しい恐怖に襲われることになった。；二館分のスペースをどう使おうと勝手だろと開き直り、結局一館にした。；これは他の技術を使うことなく実現可能なイメージの製作が可能だからである。；わたしが黒魔法を使おうとしていることに対して、悪魔は何も言わない。；本作では戦闘中に味方を攻撃したり、敵に回復呪文を使うことができる。；この計算方法はヒッパルコスとプトレマイオスが使っていた方法である。；一般的には、指揮の練習や楽曲の予習にはピアノなどの鍵盤楽器を使う。；ただし、彼らがこれを使って何か意味のある観察をしたという記録はない。；漢字がよく使われるようになったのは幕末から明治時代にかけてである。；かつてはミクロンがマイクロメートルの代わりに使われることがあった。；彼らは自分達が使え道具をこの問題の解決にうまく使っているところである。；いずれにしろ、人生最後のチャンスをどう使おうとおまえたちの自由だ。；新しい文書を現存している全体と考えてすぐに医療に使おうとした。；しかし、この技術を超光速の情報伝達のために使うことは不可能である。；鉄鎖も使っていくうちに摩耗するため、間棹で毎日長さを確認していた。；彼はさらにその製氷機を使って建物全体の温度を調節しようと考えた。；ビットを使うと、 から までのすべての整数を表現することができる。；まだ童形でいる者の中できれいな顔の子を手もとへ使おうと思っていた。；ドイツ語が公用語であり、ほとんどの住民が日常使っている言語でもある。；そこでは金属バットが使われるのでそれに合わせて設計されている。；平安時代には朝廷は儀式で使う金品を折った紙で包む方法を定めていた。；さらに、成長に伴い使われる子供向けの楽器類なども玩具に相当する。</t>
        </is>
      </c>
      <c r="J5519">
        <f>HYPERLINK("https://www.weblio.jp/content/使う", "词义详情")</f>
        <v/>
      </c>
      <c r="K5519">
        <f>HYPERLINK("https://yourei.jp/使う", "查看例句")</f>
        <v/>
      </c>
    </row>
    <row r="5520">
      <c r="A5520" t="inlineStr">
        <is>
          <t>仕える</t>
        </is>
      </c>
      <c r="B5520" t="inlineStr">
        <is>
          <t>成功</t>
        </is>
      </c>
      <c r="C5520" t="inlineStr">
        <is>
          <t>読み方：つかえる
［動ア下一］［文］つか・ふ［ハ下二］
１目上の人のそばにいて、その人に奉仕する。「師に—・える」「父母に—・える」
２役所などの公的な機関につとめる。官職に就く。「宮中に—・える」
３神仏に奉仕する。「神に—・える身」</t>
        </is>
      </c>
      <c r="D5520" t="inlineStr">
        <is>
          <t>仕えるべき；仕える者たち；仕えるよう命じ；仕えるべく；仕える者達</t>
        </is>
      </c>
      <c r="E5520" t="inlineStr">
        <is>
          <t>サービス；勤務；補助；助ける；勤める</t>
        </is>
      </c>
      <c r="F5520" t="inlineStr">
        <is>
          <t>直接仕える；代々仕える</t>
        </is>
      </c>
      <c r="H5520" t="n">
        <v>29</v>
      </c>
      <c r="I5520" t="inlineStr">
        <is>
          <t>彼は父の分まで母に仕えようと、結婚してからも母と共に住んだという。；庇に「畳」と書かれているのは傍に仕える女房達のためのものとされる。；このため諸説あって、秀吉に仕え始めた時期や経緯はよく分からない。；父カロルはハプスブルク家の軍隊に仕えたこともある退役軍人であった。；若い頃より州郡に仕えたが、既に周囲からはただ者では無いと評判であった。；ギリシャ語を学び神学を勉強して教会に仕えるだけの素養を身に付けた。；桓武・平城・嵯峨の三帝に仕え、いずれの天皇にも信頼され重用された。；このほか大崎氏や伊達氏に仕えた一族もあり、敵味方に分かれて戦った。；恐れられても、愛されることのないこの信長に仕えようと思ったのである。；主として中央官司に仕える者や地方に派遣される外官などを対象とした。；米内さんに仕えた者は、誰でも自分が一番信頼されているように思いこむ。；国家に仕えるためには仕事と生活の調和が必須であると強調している。；我々が仕えるのはあなた方だけであり、それが義務でもあるのです。；父が徳川家康のもとに復帰すると、共に復帰して家康の家臣として仕えた。；彼は後に吉政と名を改めたが、秀次には最も長く側近として仕えている。；母は豊臣秀吉が若年時に仕えていたことで知られる松下之綱の娘・おりん。；家康の重臣のほとんどは三河以来の代々仕えてきた家臣たちであった。；長安では帰国せずに唐朝に仕えていた阿倍仲麻呂が帰国の方途を探った。；白河院に仕えるまでの経緯は明らかでなく、以下の話が伝わっている。；他の家にあって後れをとる武士があらば、我が方に来て仕えるがよい。；この作戦は、キョンフォンに仕える前、彼が得意としていた戦法だった。；兄と同じく劉備へ仕えることにしたかどうかは、物語中では言及されていない。；後に荊州が呉に占領され、父と弟が呉に降伏した後もそのまま蜀に仕えた。；少なくとも言いつけを守って、おれに仕えようという気になったらしい。；家督は弟直重が継いでおり、その子正直は旗本として徳川秀忠に仕えた。；ロマノフ朝に仕えたグリゴリー・ラスプーチンを殺害したことで知られる。；バビロン捕囚期以降、神が多数の霊に仕えられているとする観念が生まれた。；よきリーダーとは、人に仕えられるのではなく、仕えるもののことである。；よきリーダーとは、人に仕えられるのではなく、仕えるもののことである。</t>
        </is>
      </c>
      <c r="J5520">
        <f>HYPERLINK("https://www.weblio.jp/content/仕える", "词义详情")</f>
        <v/>
      </c>
      <c r="K5520">
        <f>HYPERLINK("https://yourei.jp/仕える", "查看例句")</f>
        <v/>
      </c>
    </row>
    <row r="5521">
      <c r="A5521" t="inlineStr">
        <is>
          <t>支える</t>
        </is>
      </c>
      <c r="B5521" t="inlineStr">
        <is>
          <t>成功</t>
        </is>
      </c>
      <c r="C5521" t="inlineStr">
        <is>
          <t>読み方：ささえる
［動ア下一］［文］ささ・ふ［ハ下二］
１倒れたり落ちたりしないように、何かをあてがっておさえる。「太い柱で梁(はり)を—・える」「—・えられてよろよろ歩く」
２ある状態が崩れないように、もちこたえる。維持する。「一家の暮らしを—・える」
３精神的・経済的に支援する。「地元の人達の声援に—・えられて選挙戦を勝ち抜く」
４防ぎとめる。くいとめる。「敵の攻撃をかろうじて—・える」
[補説]室町時代以降はヤ行にも活用した。→支ゆ</t>
        </is>
      </c>
      <c r="D5521" t="inlineStr">
        <is>
          <t>支えるべく；支える支柱；支えるべき；支える重要な役割；支える太い</t>
        </is>
      </c>
      <c r="E5521" t="inlineStr">
        <is>
          <t>持つ；続く；維持；続ける；守る</t>
        </is>
      </c>
      <c r="F5521" t="inlineStr">
        <is>
          <t>支える重要な要素</t>
        </is>
      </c>
      <c r="H5521" t="n">
        <v>29</v>
      </c>
      <c r="I5521" t="inlineStr">
        <is>
          <t>壁には建物を支える構造体となっているものと、そうでないものがある。；また、両手で長槍を支えることができるようになったのも効果が大きい。；そこで同種個体間には種社会を支えるような関係を生じるものと考えた。；この時指導された選手が1960年代後半の黄金期を支えることとなる。；大型化した種では体重を支えるため、二次的に四足歩行も併用していた。；レールも、車体を支えるアームとは逆側から、片持ちで支持されている。；それぞれ胞子形成部とそれを支える菌糸の柄の形状で区別されている。；動機は強い無常観であり精神生活を支えるものは美と信仰であったという。；車体の大荷重を支える必要があるため通常圧縮コイルばねにして用いる。；観光都市とは、観光機能が都市の経済を支えるまでに強くなった都市。；皇子の生計を支えるために設定された一種の封戸を管理する役職である。；実家の家業を支える一方で勉強が手につかなくなったりしていた。；規則的に、高音域の音型の様に唸るような弦の音を響かせ演奏を支える。；一刻を争うニュースやスポーツの編集を支える画期的なシステムである。；それにともない、後半身を支える腰帯とその周囲の筋肉も変化している。；滋賀県は、日本有数の消費地である京都・大阪を支える農業県であった。；左右の手の親指はサム・ストラップにくぐらせて楽器を支えるのに使う。；居所である紫宮は四柱が支える大きなひさしを持つ 巨大な宮殿であった。；その頭が重そうに前後に揺れて首が支えるには重そうだったという。；台座は像の蓮華の下を1本の細い茎で支える、珍しい形式のものである。；趾指の先には爪があり、枝に食い込ませることで体を支えることができる。；また、直接歯を支える顎骨も硬骨の場合が多いが、歯ほど緻密ではない。；また、既に引退していた祖父・師実にも忠実を支える余力はなかった。；その活動を支える最も大きな要素は大阪市立自然史博物館友の会である。；市の経済を支えることになる羊毛産業が興ってくるのは、その時からである。；二本一対の柱に囲まれた円の中にあるいくつかの一本柱は屋根の中央を支えるために使用されていた。；そのため、肢体不自由者向けの、身体を支えることができる白杖もある。；床構造は床版や床組によって形成され、通行する交通を支える役目を持つ。；糸の膜を支えるように、上に向かって籠状に組まれた糸が膜の上部に広がる。</t>
        </is>
      </c>
      <c r="J5521">
        <f>HYPERLINK("https://www.weblio.jp/content/支える", "词义详情")</f>
        <v/>
      </c>
      <c r="K5521">
        <f>HYPERLINK("https://yourei.jp/支える", "查看例句")</f>
        <v/>
      </c>
    </row>
    <row r="5522">
      <c r="A5522" t="inlineStr">
        <is>
          <t>司る/掌る</t>
        </is>
      </c>
      <c r="B5522" t="inlineStr">
        <is>
          <t>无结果</t>
        </is>
      </c>
      <c r="H5522" t="n">
        <v>0</v>
      </c>
      <c r="J5522">
        <f>HYPERLINK("https://www.weblio.jp/content/司る/掌る", "词义详情")</f>
        <v/>
      </c>
      <c r="K5522">
        <f>HYPERLINK("https://yourei.jp/司る/掌る", "查看例句")</f>
        <v/>
      </c>
    </row>
    <row r="5523">
      <c r="A5523" t="inlineStr">
        <is>
          <t>束の間</t>
        </is>
      </c>
      <c r="B5523" t="inlineStr">
        <is>
          <t>成功</t>
        </is>
      </c>
      <c r="C5523" t="inlineStr">
        <is>
          <t>読み方：つかのあいだ
「つかのま」に同じ。
「紅の浅葉の野らに刈る草(かや)の—も我(あ)を忘らすな」〈万・二七六三〉</t>
        </is>
      </c>
      <c r="D5523" t="inlineStr">
        <is>
          <t>束の間忘れ；束の間呆然</t>
        </is>
      </c>
      <c r="E5523" t="inlineStr">
        <is>
          <t>一時；一時的；一刻；短時間；一寸</t>
        </is>
      </c>
      <c r="F5523" t="inlineStr">
        <is>
          <t>短い束の間</t>
        </is>
      </c>
      <c r="H5523" t="n">
        <v>29</v>
      </c>
      <c r="I5523" t="inlineStr">
        <is>
          <t>この場景はここに描いているよりもはるかに短い束の間のことであった。；テレビで束の間の再会をしてまたそれぞれの生活へ戻って行ってしまう。；怪物どもに襲われたのではないと知り、おれは束の間胸をなでおろした。；柴のように見えるその椅子の束の間から千鶴子が黒い服で近よって来た。；いずれにしろここでの生活はその途中の束の間の腰掛けのようなものだ。；これで帰ってくれるかも、と思ったのも束の間、彼女は身を乗り出した。；かぐや姫は束の間の地上での生活の後、天上へ帰ってしまったのである。；ほっとしたのも束の間、次の瞬間、自分の目の前に化け物の顔があった。；彼に女神との束の間の友情を話したところでわかってもらえないだろう。；束の間、そっちへ眼をとられたのは、いくらおれでも仕方なかったろう。；まぢかに陸をみて大喜びしたのも束の間、風がなくては近寄れないのだ。；神学校で過ごした期間が彼にはほんの束の間にすぎなかったように思われた。；でもわたしの考えでは、あなたは束の間の印象に大きな印象を与えすぎます。；この宮殿も束の間を空に浮かんだ雲の一片のように軽く思えてくる。；何かあるな、いやだな、と思ったのも束の間、疲れていた母は眠った。；彼は少々、ギョッとしたような顔をしたが、それもほんの束の間だった。；束の間和多田の方に顔を向けた彼女に彼の記憶が完全によみがえった。；氷の島の宝を入手して安心したのも束の間、今度は3匹の神が氷の島へ来る。；あまりに唐突な折田の引退宣言に、束の間、三人の間を沈黙が支配した。；束の間とろんとした眼付きが、すぐラミーカに気づいてまん丸くなった。；マリオは束の間だったが幸福な夢を見せてくれた彼女に感謝して立ち去った。；ほっとしたのも束の間、母親は今度は乳母にさせられてしまったのだ。；こうして、草と石とが相慰め合ったのも、束の間のことでありました。；そう感じたのも束の間で、次の瞬間に五郎は眠りに入っていた。；この日の束の間の浮かれ気分はもう薄れ、疲労が身を包みはじめている。；束の間、戻ってきた死者も、そしてそれを迎えた生者も眠りについている。；村に居ても東京に居ても束の間もそれが忘れられなかつた。；考えてみれば平川がその町内を通過するのは、一日のほんの束の間である。；ところがそんな決心をしたのも束の間、もっと重大な出来事が私の身に起こった。</t>
        </is>
      </c>
      <c r="J5523">
        <f>HYPERLINK("https://www.weblio.jp/content/束の間", "词义详情")</f>
        <v/>
      </c>
      <c r="K5523">
        <f>HYPERLINK("https://yourei.jp/束の間", "查看例句")</f>
        <v/>
      </c>
    </row>
    <row r="5524">
      <c r="A5524" t="inlineStr">
        <is>
          <t>捕まえる</t>
        </is>
      </c>
      <c r="B5524" t="inlineStr">
        <is>
          <t>成功</t>
        </is>
      </c>
      <c r="C5524" t="inlineStr">
        <is>
          <t>読み方：つかまえる
［動ア下一］［文］つかま・ふ［ハ下二］
１逃げようとするものをとりおさえる。「どろぼうを—・える」「虫を—・える」
２（掴まえる・捉まえる）手でかたく押さえ持つ。離さないようにしっかりつかむ。「首根っこを—・える」「大衆の心を—・える」
３声をかけて立ちどまらせる。呼び止める。また、引き止める。「談判しようと社長を—・える」「空車を—・える」
４（「…をつかまえて」の形で）…に対して。…を相手に。「先輩を—・えて何を言うか」</t>
        </is>
      </c>
      <c r="D5524" t="inlineStr">
        <is>
          <t>捕まえるべく</t>
        </is>
      </c>
      <c r="E5524" t="inlineStr">
        <is>
          <t>挙げる；把握；抑える；捕獲；握る</t>
        </is>
      </c>
      <c r="F5524" t="inlineStr">
        <is>
          <t>とっ捕まえる</t>
        </is>
      </c>
      <c r="H5524" t="n">
        <v>29</v>
      </c>
      <c r="I5524" t="inlineStr">
        <is>
          <t>彼らは地元の動物の行動とそれらを捕まえ回避する方法を理解している。；しかし二日経っても三日経っても、私はそれを捕まえる事ができません。；その様子を見ていた少女たちのそのあとを追いかけ捕まえる事が出来た。；マナウィダンはそのうちの一匹を捕まえて次の日処刑することに決めた。；誰も捕まえるものがないので人が来ても逃げもしなかったそうである。；大人が網を打っている横で、子どもは棒で叩いてアユを捕まえたという。；事が判明したときにはすでに日も暮れて、捕まえることができなかった。；両側ともに3人ずつ捕まえており、それぞれ既に自由に事を受けている。；今となってはもう捕まえるのにあれこれ計画をねる必要もないのである。；やつらは我々がパンツを下ろしているところをどうやって捕まえたんです?；穴から手を出して制服の尻でも捕まえられては容易ならんと思ったからである。；彼は深い傷を負って動けなくなっていた衛の将軍を捕まえることに成功。；言われてみれば、俺はすばしっこく動く動物を捕まえることが出来ない。；かれが彼女を捕まえると、彼女はかれの手を噛み、ついで悲鳴を上げた。；パーンは倒れこんでくる相手の肩を捕まえると、顔を確かめようとした。；狸を捕まえるには防御仙術を含めて全ての仙術を停止する必要があった。；二人は小子部門へゆき、道路にあった鞍つきの馬を捕まえて乗せられた。；死んだように眠りこんでいて、どうやって泥棒を捕まえるつもりなのだ?；エーブを捕まえるには、もはやあの船に乗っていたのでは間に合わない。；彼女かうまくタクシーを捕まえることができたか気になったのだ。；月夜の晩にしか行動しないうえ動きが素早いために捕まえるのが難しい。；このとき逃亡した2人の若い女性奴隷が再度捕まえられたことを知った。；小さなイギリスの砲艇が逃げようとしたが、捕まえられやはり降伏した。；その生前にクアナに、母が白人から捕まえてきた者であることを伝えた。；これじゃ捕まえることはおろか、こっちが奇襲を受けてやられかねない。；小型の昆虫などを捕まえて食べることから、一種の収斂進化と見られる。；おまえを捕まえる気もないし権限もない、という言葉にまどわされるな。；わたしの部屋に侵入するキョウコを捕まえることは、切実な問題だった。；ちょうど台所に一人で居るところを捕まえることができたのだ。</t>
        </is>
      </c>
      <c r="J5524">
        <f>HYPERLINK("https://www.weblio.jp/content/捕まえる", "词义详情")</f>
        <v/>
      </c>
      <c r="K5524">
        <f>HYPERLINK("https://yourei.jp/捕まえる", "查看例句")</f>
        <v/>
      </c>
    </row>
    <row r="5525">
      <c r="A5525" t="inlineStr">
        <is>
          <t>捕まる</t>
        </is>
      </c>
      <c r="B5525" t="inlineStr">
        <is>
          <t>成功</t>
        </is>
      </c>
      <c r="C5525" t="inlineStr">
        <is>
          <t>読み方：つかまる
［動ラ五（四）］
１取り押さえられて、逃げることができなくなる。とらえられる。つかまえられる。「どろぼうが—・る」「スピード違反で—・る」「先発投手が相手の打線に—・る」
２目的のものを探し当てたり、呼びとめたりすることができる。見つかる。「夜討ち朝駆けでも担当者が—・らない」「タクシーが—・る」
３呼ばれてその場に無理にひきとめられる。「記者団に—・る」
４（掴まる・捉まる）からだを支えるために手でしっかりと何かにとりすがる。「つり革に—・る」「手すりに—・る」</t>
        </is>
      </c>
      <c r="D5525" t="inlineStr">
        <is>
          <t>捕まるだろ；捕まることなく；捕まる可能性；捕まるまい</t>
        </is>
      </c>
      <c r="F5525" t="inlineStr">
        <is>
          <t>必ず捕まる；すぐに捕まる；すぐ捕まる；まま捕まる</t>
        </is>
      </c>
      <c r="H5525" t="n">
        <v>29</v>
      </c>
      <c r="I5525" t="inlineStr">
        <is>
          <t>自分が捕まることはないので、そんな面倒なことをするとは思えません。；動機がわからなければ、警察に捕まることはないだろうと思ったんです。；どんなに考えても、警察に捕まらずに長く続けられるわけがないと思う。；これから考えてみると、おれが捕まっていたのは一日か、長くて二日だ。；太田が捕まったと聞いたとき、私の頭にきた第一のことはこの事だった。；ゲームが進行すると、捕まっていた仲間のイリスが同行するようになる。；犯人が警察に捕まらない限り、いずれは僕も命を狙われるかもしれない。；この子が捕まらない限りは、みんな安心して外を出歩けないじゃないの!；彼は警察に捕まり、その後の私の人生も違ったものになっただろうか。；男性は逃げても構わないが捕まれば抵抗できないしきたりになっている。；幻覚だったのかどうかは二つの殺人の犯人が捕まればはっきりすることだ。；きみは偶然ひどいことになってあの男に捕まったが、まだ僕のものだ。；いろいろ尋ねていると、彼女が子供の時に捕まった詳細を思い出した。；そうなれば自分が追いかけられて捕まる可能性も高くなっていく訳だ。；どうせ電話をしたところで哲也は逃げまわって捕まらないに決まっている。；気違いならすでに捕まっているはずなんだが、彼は捕まっていないのだ。；私が捕まったりパリを離れたりしたのでは、もう彼女を助けてやれなくなる。；たぶんそれは、山から這い下りてきた鬼に捕まる種類のことなのだと思う。；ある時張は敵に捕まり、陸は敵の族長の息子と張を独断で捕虜交換する。；貴族の身分を騙って試合に参加していた以上、捕まれば処刑されてしまう。；彼らに捕まらずに済む一番の方法がとにかく急いでいくことだと学んでいた。；その間に完全な失踪が出来ない位の私なら、捕まっても文句はないだろう。；スザンナは捕まっていた者達のもとを離れたがらなかったと言われている。；自分のもとのものとよく似た偽名を使って大勢の者が捕まっている。；この兵士もいいやつだとは思うが、捕まればこっちは命がないのだ。；捕まった犯罪人のように、彼は、自分の運命が決定したことを直感した。；最期はよくわかっていないが、ソ連に捕まって殺害されたとみられる。；比較的簡単に実行でき捕まる事が少ない事により極めて多く発生する。；急いで警察に通報するが、犯人だと誤解されて自分が捕まってしまう。</t>
        </is>
      </c>
      <c r="J5525">
        <f>HYPERLINK("https://www.weblio.jp/content/捕まる", "词义详情")</f>
        <v/>
      </c>
      <c r="K5525">
        <f>HYPERLINK("https://yourei.jp/捕まる", "查看例句")</f>
        <v/>
      </c>
    </row>
    <row r="5526">
      <c r="A5526" t="inlineStr">
        <is>
          <t>掴む</t>
        </is>
      </c>
      <c r="B5526" t="inlineStr">
        <is>
          <t>成功</t>
        </is>
      </c>
      <c r="C5526" t="inlineStr">
        <is>
          <t>読み方：つかむ
［動マ五（四）］
１手でしっかりと握り持つ。強くとらえて離すまいとする。「腕を—・む」「まわしを—・む」
２自分のものとする。手に入れる。「思いがけない大金を—・む」「幸運を—・む」
３人の気持ちなどを自分に引きつけて離さないようにする。「大衆の心を—・む」「固定客を—・む」
４物事の要点などを確実にとらえる。「事件解決の糸口を—・む」「こつを—・む」
５遊女を呼んで遊興する。揚げる。
「天神、鹿恋(かこひ)七人—・みて」〈浮・一代男・五〉
６遊女を身請けする。
「早駕籠の大臣と申せし人の—・んで」〈浮・諸艶大鑑・六〉
[可能]つかめる
[用法]つかむ・にぎる——「私はそこにあった棒をつかむと、ぎゅっと握った」では「つかむ」と「握る」を置き換えることはできない。「つかむ」はその物を手で捕らえる動作が主であり、「握る」は手の中に入れたまま締め付けるようにして離さずにいる持続的な動きである。◇「情報をつかむ」「大金をつかむ」は、それを手に入れること。「情報を握っている」「大金を握る」は、それを持ち続ける状態を言う。◇「拳(こぶし)を握る」とはいうが「つかむ」とは普通はいわない。もしいうならば、自分の拳を他方の手で取るか、または他者の拳を取ることである。</t>
        </is>
      </c>
      <c r="D5526" t="inlineStr">
        <is>
          <t>掴むような話；掴むべく</t>
        </is>
      </c>
      <c r="E5526" t="inlineStr">
        <is>
          <t>持つ；得る；納得；分かる；把握</t>
        </is>
      </c>
      <c r="H5526" t="n">
        <v>29</v>
      </c>
      <c r="I5526" t="inlineStr">
        <is>
          <t>自分で会社を決めて入ったように、自分の欲しい生活は自分の手で掴む。；それは信が掴んだドイツのソ連侵攻準備の情報を暗号化することだった。；そこで自動車もまた不成功に終った時に、更に新しい機会を掴みました。；おれはそれを利用して、この、一度はと狙っていた機会を掴もうとした。；翼の足が上がりきる瞬間に鬼は翼の足を掴もうと腕を伸ばしていたのだ。；その部屋に入ると考えただけで、心臓が掴まれるような圧迫感があった。；彼は人のいい笑みを浮かべ、おれに胸ぐらを掴まれたままで立っている。；これらの手をのばして彼は、世の中のあらゆるものを掴もうとしている。；感覚を掴んだ頃になると、自主的にトイレに行かせる訓練が必要になる。；知っているかも知れないが犬の首ッ玉を掴むには一つの秘伝があるんだ。；心臓を冷たい手でギュッと掴まれた気分、とでもいえばよいのだろうか。；しばらくして、彼がそれでわたしの手を掴もうとしていたのだとわかった。；驚いて逃げようとする私の足は、いつか彼の黐の様な手に掴まれていた。；女はそれを見るとバケツの中へ手を入れて中の物を掴み出して投げた。；一歩歩くたびに、土の中から誰かに足首を掴まれるような錯覚に陥った。；話の流れに慌てて乗ったように、目の前の棚にあるお菓子を俊敏に掴む。；それ故あなたたちは誤って導かれないようしっかりとそれを掴んでおれ。；もしボクシングが出来るやつが、私に足を掴まれたらどうなるだろう?。；さらに暗い場所に潜んでいるため、生息状況が掴みにくい種類でもある。；この単純な事実は散漫にではなく正確にそして一般的に掴まれねばならぬ。；柱に手を掴まなければそこから落ちてしまうくらい壁の幅は狭かったのだ。；ただ大きい手に掴まれた私の手、それが武さんの手だということだけだ。；なお当時の重治は、母親には3人の恋人がいることを掴んでいたという。；何をされた、と思う間もなく、振り下ろした刀の柄を手首ごと掴まれた。；その時、フェンスの傍らで若者に腕を掴まれている中年男が目に入った。；王はやにはにそれを引つ掴むで、自分の隠しの底へつつ込んでしまつた。；つまり結婚することも、その一つの機会を掴むことに他ならないのだ。；その表情を見て、真山は胸の奥をぎりっと掴まれたような気分になった。；過去の信条が崩壊して未だ新たな確信を掴みきっていない悩みもあろう。</t>
        </is>
      </c>
      <c r="J5526">
        <f>HYPERLINK("https://www.weblio.jp/content/掴む", "词义详情")</f>
        <v/>
      </c>
      <c r="K5526">
        <f>HYPERLINK("https://yourei.jp/掴む", "查看例句")</f>
        <v/>
      </c>
    </row>
    <row r="5527">
      <c r="A5527" t="inlineStr">
        <is>
          <t>浸かる</t>
        </is>
      </c>
      <c r="B5527" t="inlineStr">
        <is>
          <t>成功</t>
        </is>
      </c>
      <c r="C5527" t="inlineStr">
        <is>
          <t>読み方：つかる
［動ラ五（四）］
１（「浸かる」とも書く）液体の中にひたる。転じて、ある状態などにはいりきる。「温泉に—・る」「怠惰な生活に—・る」
２漬物が、食べごろになる。「ナスがよく—・る」</t>
        </is>
      </c>
      <c r="D5527" t="inlineStr">
        <is>
          <t>浸す；漬ける；浸漬；浸ける；漬す</t>
        </is>
      </c>
      <c r="H5527" t="n">
        <v>29</v>
      </c>
      <c r="I5527" t="inlineStr">
        <is>
          <t>郁子の身体は、長く湯に浸かっていたにしては肩のあたりが妙に冷たい。；井戸は水に隠れ、二階の正面玄関に続く外階段も半ばまで浸かっている。；町自体には、いくつかの地下倉庫が水に浸かった以外に被害はなかった。；少女は湯に浸かって、雑に自分のからだを洗う私をぼんやり眺めていた。；そして入れ替わりで梓が湯に浸かったのを機にドアの把手に手をかけた。；ときどき意識を失っては、頭ごと湯に浸かり息が苦しくなって顔を上げた。；さっきまでお湯に浸かっていたはずなのに、今は冷たい水の中にいる。；この作業をしているときに凍るような水に腰まで浸かって何時間も立っていた。；この作業が終わる頃には、火夫たちは腰まで冷たい水に浸かっていた。；大神とおぼしき男もそのルールの中にどっぷりと浸かっているのだろう。；それは、食べたり、湯に浸かったりするのと同様、ただ満ち足りていた。；しかし大河はつい今さっき、やっと海に浸かりにいったばかりなのだ。；泡だらけの風呂に浸かっているのも、意外に気持ちがいいと源義は思った。；しかもぬかの中に浸かる為、体にぬかの匂いが染み込んでしまうのも難点。；そこに足を踏み入れたとたんに、人は皆そこで首まで浸かってしまうだろう。；私の浸かった池の水も激しく揺れ、哀れな錦鯉たちがあぶあぶしている。；まだ腰まで海に浸かっている岳志も、何気なくそちらを振り返ってみた。；ルークは途中で融け始めた氷の割れ目で海に落ち冷水に浸かってしまう。；そのまま肩の辺りまで水に浸かると、そのうちとうとう頭まで見えなくなった。；他に客のいるはずもなく、三人だけでのんびりと風呂に浸かっていた。；タイヤが半分以上水に浸かって、まるで車体が水に浮いているようだった。；一歩歩くと、足元は固さを失っていき、すぐに膝の高さまで水に浸かった。；からだを洗って湯舟に浸かっていると、そこへもう一人、男が入って来た。；膝まで海に浸かった祖母の姿が目に入り、折笠弥生はぎょっとなった。；私は家の軒先に置かれた盥に水を張ってその中に浸かって行水をしていました。；さすがに速度は落ちたが腰の辺りまで水に浸かっても、女はまだ前に進むことをやめない。；半ばはまだ海に浸かり、波が来ては退くたびに、わずかに上下に揺れている。；メイ・クロウは死んだと思われ、半分裸で血の海に浸かって森に残されていた。；九割がた夢の世界に浸かりながらコテージまで歩いてきたのだろう。</t>
        </is>
      </c>
      <c r="J5527">
        <f>HYPERLINK("https://www.weblio.jp/content/浸かる", "词义详情")</f>
        <v/>
      </c>
      <c r="K5527">
        <f>HYPERLINK("https://yourei.jp/浸かる", "查看例句")</f>
        <v/>
      </c>
    </row>
    <row r="5528">
      <c r="A5528" t="inlineStr">
        <is>
          <t>漬かる</t>
        </is>
      </c>
      <c r="B5528" t="inlineStr">
        <is>
          <t>成功</t>
        </is>
      </c>
      <c r="C5528" t="inlineStr">
        <is>
          <t>読み方：つかる
［動ラ五（四）］
１（「浸かる」とも書く）液体の中にひたる。転じて、ある状態などにはいりきる。「温泉に—・る」「怠惰な生活に—・る」
２漬物が、食べごろになる。「ナスがよく—・る」</t>
        </is>
      </c>
      <c r="H5528" t="n">
        <v>29</v>
      </c>
      <c r="I5528" t="inlineStr">
        <is>
          <t>日本の木簡はほとんどが水に漬かった状態の土の中から発見されている。；いつも水に漬かっている一帯の土地がゆるい勾配をなして露われている。；家は岩を背にしていて、家の前面の支えをする杭は、水に漬かっている。；満潮時に首から肩の辺りまで水に漬かる高さに逆さに磔を行ったという。；この2隊は川の1つを氷のような水に腰まで漬かりながら徒歩で渉った。；おれは水に漬かった腰から下が、同じ方向へ引っ張られるのを感じた。；お母さんの血に漬かった針だもの、こいつはすばらしいにきまってらあ!；水が好きなんだから、好きなように水に漬かって手足を動かせばいい。；そして、三たび湯に漬かると、矢ツ張り獨りで不安の念にたへなくなる。；それでも春の光のなかに自分が漬からぬかぎり、私は春が来ることが信用できない。；水に漬かってしまった被災品などは、うまいはずもないから当然食べない。；中には生後まもない健康そうな嬰児が巧妙な装置で支えられて漬かっていた。；冗談ごとではなく、こいつは長いこと水に漬かっていたらしい。；ケージ内には全身が漬かれるようなやや大きめの水入れを設置する。；むしろ不思議なのはその燕菜が漬かっている純白の色をしたソップである。；少しぬるくなっているが、首筋まで漬かっているとやはり気分がいい。；僕たちは、彼等は大分へ行き別府温泉に漬かるのではないかと話しあっていた。；俺は殺されたまま、じっとここに漬かっているのだからな。；そこでパガネルもこの水に漬かることはすまいと思ったのだ。；海の水はすごく冷たくて、人はそれに漬かるとすぐに死んでしまう。；それが二時間水に漬かりっぱなしで、少し鳥肌が立って青くなっている。；「見附」の名の由来も水に漬かる土地という意味に由来すると言われている。；所が、どうしても体が水に漬かつて窒息するやうな様子が見えて来ませんのでございます。；これも当然のような顔をして湯槽に漬かっているのだ。；二人は揃って大風呂に行き、仲良く並んであまりくせのない温泉に漬かった。；ちょっと切って口に入れてみるといい具合に漬かっていて、我ながらおいしくできたと思った。；温泉にでもゆっくり漬かって貰って、明日にでも東京に帰せばいい。；わしはひと晩、水の中に漬かつて、苦力どもを指揮したんです。；ところが、どうしても体が水に漬かって窒息するような様子が見えて来ませんのでございます。</t>
        </is>
      </c>
      <c r="J5528">
        <f>HYPERLINK("https://www.weblio.jp/content/漬かる", "词义详情")</f>
        <v/>
      </c>
      <c r="K5528">
        <f>HYPERLINK("https://yourei.jp/漬かる", "查看例句")</f>
        <v/>
      </c>
    </row>
    <row r="5529">
      <c r="A5529" t="inlineStr">
        <is>
          <t>疲れ</t>
        </is>
      </c>
      <c r="B5529" t="inlineStr">
        <is>
          <t>成功</t>
        </is>
      </c>
      <c r="C5529" t="inlineStr">
        <is>
          <t>読み方：つかれ
１疲れること。くたびれること。疲労。「昨日の—がどっと出る」
２⇒疲労</t>
        </is>
      </c>
      <c r="D5529" t="inlineStr">
        <is>
          <t>疲れ果て(5%)；疲れてる；疲れさせ；疲れてしまう；疲れすぎ</t>
        </is>
      </c>
      <c r="E5529" t="inlineStr">
        <is>
          <t>疲労；消耗；疲弊；倦怠；疲労困憊</t>
        </is>
      </c>
      <c r="F5529" t="inlineStr">
        <is>
          <t>ひどく疲れ；さすがに疲れ；かなり疲れ；泣き疲れ；ぐったりと疲れ</t>
        </is>
      </c>
      <c r="G5529" t="inlineStr">
        <is>
          <t>疲れはて；疲れれ；疲れはてる；疲れ目；疲れよ</t>
        </is>
      </c>
      <c r="H5529" t="n">
        <v>29</v>
      </c>
      <c r="I5529" t="inlineStr">
        <is>
          <t>レイノルズ隊の疲れ切った兵士達は正面と側面から攻撃されて崩壊した。；彼はイギリスとの関係を強化するために疲れを知らず働いて来ました。；厳しいレースの後だったのに、ルイーズには疲れた様子が見えなかった。；夜遅く疲れて帰って来た片山義太郎の目に信じがたい光景が入ってきた。；夫婦は旅の疲れから行き先を運転手に伝えるとすぐにそのまま眠りに落ちた。；この方法を用いることで、いわゆる決定疲れを避けることができるという。；ときに武帝は将士たちが戦いに疲れているのを見て、軍を返そうとした。；無事に帰宅をしたが、旅の疲れをとる間もなく次々と友人らが訪ねてくる。；主人が練習に疲れて家に帰って来て、もう音は聞きたくないという。；初期の大腸癌で、前年あたりから体が疲れやすく下血があったのである。；ほとんどの記者やファンは連続試合出場による疲れだと信じていた。；コンサートで疲れていてもベースを練習していたと思われる。；レース中によく周りに疲れを感じさせない、微笑み走法でも有名である。；少年は雨のなか、いつまでも泣きやまない少女を連れて歩くのに疲れていた。；議論するには疲れ過ぎ、体調も悪すぎたので、私は何も答えられなかった。；天皇賞の後は疲れが見られたことから、放牧に出ることも考えられていた。；日常の生活に疲れた方や地域活性化を目的とした新しいアイドルユニット。；場を仕切り直したい時や、疲れてきた時にも行うことが可能である。；疲れていたり、昼間に猛烈なストレスを体験した場合に多くみられる。；そして疲れきった身でグアサングに縋りつつ、もと来た道を戻っていった。；疲れを知らない豊富な運動量と強烈なミドルシュートが特徴の選手であった。；ところが、妖精の世界に着いてみると、友達のウスアオイが疲れている。；とにかく体全体がヤワいバネがあって、いくら乗っていても疲れない。；応対に疲れた皇帝は、各地方の人馬に対し順番に上京するよう命令した。；この湯屋には八百万の神様達が日頃の疲れを癒しに全国各地から訪れる。；また心臓が発達しており、追い運動をしても疲れを見せなかった。；彼は人を憎むことに疲れているが、どうすれば止められるかわからないと認める。；フッドはこの日朝3時から起きていたので、この時点では大変疲れていた。；彼らは疲れており地域に不案内だったのでグラブトンの東の尾根で停止した。</t>
        </is>
      </c>
      <c r="J5529">
        <f>HYPERLINK("https://www.weblio.jp/content/疲れ", "词义详情")</f>
        <v/>
      </c>
      <c r="K5529">
        <f>HYPERLINK("https://yourei.jp/疲れ", "查看例句")</f>
        <v/>
      </c>
    </row>
    <row r="5530">
      <c r="A5530" t="inlineStr">
        <is>
          <t>疲れる</t>
        </is>
      </c>
      <c r="B5530" t="inlineStr">
        <is>
          <t>成功</t>
        </is>
      </c>
      <c r="C5530" t="inlineStr">
        <is>
          <t>読み方：つかれる
［動ラ下一］［文］つか・る［ラ下二］
１体力や気力を消耗してその働きが衰える。くたびれる。「働きづめで—・れる」「神経が—・れる」「生活に—・れる」
２長く使ったために物の質や機能が悪くなったり弱ったりする。「—・れた油」「—・れた上着」
３飢える。
「既に峰に逮(い)て—・れ給ふ」〈景行紀〉
[用法]つかれる・くたびれる——「さんざん動き回ったので疲れた（くたびれた）」のように、体の疲労をいう場合には相通じて用いられる。◇「細かい字を読んで目が疲れた」「神経が疲れる」のように全身の疲労でない場合や、「旅に疲れる」「人生に疲れる」のようにやや抽象的に用いる場合は、くだけたいい方である「くたびれる」はあまり用いないのが普通。◇「疲れた油」は、長く使って品質が落ちたこと。「くたびれた服」は、古くなってよれよれになった形状をいう。◇類似の語に「へばる」「へたばる」がある。「へばる」は疲れ切った状態をいい、「へたばる」は疲れが重なってもう動けないような状態をいう。いずれも俗語的表現。「相当へばっている」「暑さと疲れで、とうとうへたばってしまった」</t>
        </is>
      </c>
      <c r="D5530" t="inlineStr">
        <is>
          <t>疲れるだろ；疲れることなく；疲れるんです；疲れることだろ；疲れることおびただしい</t>
        </is>
      </c>
      <c r="E5530" t="inlineStr">
        <is>
          <t>燃え尽きる；くたびれる；萎える；めげる；意欲を失う</t>
        </is>
      </c>
      <c r="F5530" t="inlineStr">
        <is>
          <t>とても疲れる；倦み疲れる；やはり疲れる；すぐ疲れる；すごく疲れる</t>
        </is>
      </c>
      <c r="H5530" t="n">
        <v>29</v>
      </c>
      <c r="I5530" t="inlineStr">
        <is>
          <t>疲れることがないから他の誰よりもそのことに気をつけているようだった。；ときどき翼を使うだけならば、そんなに疲れることはありませんでした。；何もしないのは疲れるんですよとドスト氏が言ったが、その通りだった。；強い健康そうな子で、重い弓を引いても疲れることを知りませんでした。；「半年から一年くらいかな・・・家族が疲れてくるんだよね」 疲れる?；そうすれば、あまり疲れることもなく、危険も少なくて海に出られます。；誰も知り合いのもののなき処で病に疲れると云うは物淋しいものである。；彼はその頃、一枚の葉書を書いてさえ疲れるほどに体が弱っていたのだ。；わたしが、少しでも大きいと肉体的にこうも疲れることはないであろう。；なるべく顔を見られぬように間を開けて歩くのは思った以上に疲れる。；まだ話すつもりはなかったんだけれども、秘密にしとくのも疲れるから。；疲れるといえば、あなたは疲れてしかたがないとよく云っておられます。；相手の行動の一つ一つに理由づけを求めるなんて馬鹿げているし疲れる。；ここでは晩から夜へかけての仕事がたくさんあって、とても疲れるわ。；だから彼は絶対に疲れると云うことを知らずに、実に精力絶倫であった。；僕はそこで本を読み、本を読むのに疲れると島本さんのことを考えた。；つまり筋肉が疲れるようなトレーニングしないのが大きな特徴といえる。；とかく夜は眠れず、昼は時を問わず、疲れるとすぐ横になる高時だった。；人間てのは、限界以上に疲れると、頭のなかにモルヒネができるらしい。；悪いから僕も適当に気を使ったりしてるんだけど、疲れるんだよね。；かけたりとったりしているうちに変に疲れるので止めてしまった。；踊りに行きたいと駄々を捏ね、踊り疲れると気持ちが悪いといいだした。；なにしろ人ひとり抱えてるんだから、理屈から言って倍は疲れるはずだ。；あなたの大切な時間を無駄にせずにすむし、疲れる心配もありません。；疲れる一日だったので、その晩、珍しく私は早い時間に眠りについた。；夕飯を食べてすぐに眠くなるほど疲れるようなことをしたおぼえもないし。；最近どうも疲れるようになってきた、と思い浅倉はひとつ伸びをした。；彼は疲れるまで散歩することを思いついたが、それも効き目がなかった。；そういえば高木千恵子も疲れると男のように濶達なイビキをかいていた。</t>
        </is>
      </c>
      <c r="J5530">
        <f>HYPERLINK("https://www.weblio.jp/content/疲れる", "词义详情")</f>
        <v/>
      </c>
      <c r="K5530">
        <f>HYPERLINK("https://yourei.jp/疲れる", "查看例句")</f>
        <v/>
      </c>
    </row>
    <row r="5531">
      <c r="A5531" t="inlineStr">
        <is>
          <t>月</t>
        </is>
      </c>
      <c r="B5531" t="inlineStr">
        <is>
          <t>成功</t>
        </is>
      </c>
      <c r="C5531" t="inlineStr">
        <is>
          <t>読み方：がち
１《謡曲「松風」の「月は一つ、影は二つ、三つ（満つ）汐(しほ)の」からという》江戸時代、上方の遊里で、揚げ代1匁の下級女郎のこと。汐（3匁）・影（2匁）の下位。
２《「がんち（頑痴）」の音変化か》色道に慣れないこと。不粋なこと。また、その人。野暮。
「—の男は泥みたる風をして」〈浮・禁短気・五〉</t>
        </is>
      </c>
      <c r="D5531" t="inlineStr">
        <is>
          <t>月弥；月娘；月火；月様；月さん</t>
        </is>
      </c>
      <c r="E5531" t="inlineStr">
        <is>
          <t>月光；月明かり；ムーン；月代；月影</t>
        </is>
      </c>
      <c r="F5531" t="inlineStr">
        <is>
          <t>一〇月；ふた月；同じ月；ト月；瑞月</t>
        </is>
      </c>
      <c r="G5531" t="inlineStr">
        <is>
          <t>月曜日；月日；月曜；月刊；月の光</t>
        </is>
      </c>
      <c r="H5531" t="n">
        <v>29</v>
      </c>
      <c r="I5531" t="inlineStr">
        <is>
          <t>最初の大きな仕事は月の位置を計算するプログラムを作成することだった。；その頃を境に月に10本以上のレギュラーの仕事を抱えるようになった。；この位置にある物体は決して地球や月に遮られることがないからである。；上部は天上世界であり右の太陽の中に日烏が月の中にヒキガエルがいる。；ある日執行吏が家に来て、この月のうちに家を出ていくように勧告した。；また、特定の月の特定の週の月曜日と定められている国民の祝日もある。；この月には自身二度目となるピッチャー・オブ・ザ・マンスも獲得した。；いずれのサービスも無料になるのは申込月や契約月の翌月からとなる。；大半の作品が毎週更新だが、一部月1更新・隔週更新の作品も存在する。；もしこれが本当なら月は2倍近くも大きさが変化するように見えるはずである。；月は人間の感情や情緒的気分などの心理的傾向を示すといわれている。；黄金色の円は月を表し、パラオ人の機が熟し独立国となったことを表す。；ペー族には、天地が離れ始めた頃、天に十個の太陽と一個の月が昇った。；したがって月が出てさえいれば、その日が何日であるか暦がなくてもわかる。；月を神格化した、夜を統べる神であると考えられているが、異説もある。；その日は、月齢およそ6の、船のような形の月が南西の夜空に浮かんだ。；発売の月や日が不明な場合は、不明なものを前側に置くことにする。；そして人々の様子や上空の月の状態もまた、町を訪れた時のように戻っていた。；前者は太陽であり、後者はその熱と光を受ける月に例えられている。；利用条件としては訓練は月15日以内、年間180日以内とされている。；太陽の的には三本足の烏が描かれ、月の的にはウサギが描かれることが多い。；彼が名付けた月の地名のいくつかは現在も使われている。；今でも公演活動を精力的にこなし、月の半分は東京で生活をしている。；しかしながら、近年ではこの最高気温を記録した月に雪が降ることもある。；バロン王国を除き、古くから何らかの形で月との関連を持っている。；この中には衝撃によって月や火星から飛び出し飛来したものもあった。；地球の月は、地球形成末期に起きた巨大衝突の産物であるとする説が有力である。；符号は発見が報告された年、月、発見報告順を元にしてつけられる。；彼の予見では、ここは月探検のための理想的な出発点のはずだった。</t>
        </is>
      </c>
      <c r="J5531">
        <f>HYPERLINK("https://www.weblio.jp/content/月", "词义详情")</f>
        <v/>
      </c>
      <c r="K5531">
        <f>HYPERLINK("https://yourei.jp/月", "查看例句")</f>
        <v/>
      </c>
    </row>
    <row r="5532">
      <c r="A5532" t="inlineStr">
        <is>
          <t>次</t>
        </is>
      </c>
      <c r="B5532" t="inlineStr">
        <is>
          <t>成功</t>
        </is>
      </c>
      <c r="C5532" t="inlineStr">
        <is>
          <t>読み方：すき
《2番目、次(つぎ)の意》大嘗祭(だいじょうさい)のとき、悠紀(ゆき)とともに神饌(しんせん)の新穀を献上すべき国郡。また、そのときの祭場。→悠紀(ゆき)</t>
        </is>
      </c>
      <c r="D5532" t="inlineStr">
        <is>
          <t>次走；次郎；次馬；次年度；次弟</t>
        </is>
      </c>
      <c r="F5532" t="inlineStr">
        <is>
          <t>一次；三次；弥次；弥平次；英次</t>
        </is>
      </c>
      <c r="G5532" t="inlineStr">
        <is>
          <t>次に；次々；次男；次いで；次第</t>
        </is>
      </c>
      <c r="H5532" t="n">
        <v>29</v>
      </c>
      <c r="I5532" t="inlineStr">
        <is>
          <t>衛星をこの軌道に投入する際には次のような手順をとるのが普通である。；ここから得られるアルゴリズムを、日本語で記述すると次のようになる。；また、次の各号のいずれかに該当する者は、役員となることができない。；制度的保障として捉えられることがある制度には次のようなものがある。；Javaのプラットフォーム非依存性は次のようにして実現されている。；また一次試験を日本語ではなく英語で受けることも可能になった。；現在の日本語で最も基本的な文字であり、主に次のような場面で用いられる。；そこではまた、それまでの自身の歌詞を次のように3期に分けている。；国鉄の普通列車に使われる車両は座席配置により次のように区分される。；リフレッシュを行う行アドレスを指定するには、次のような方法がある。；理想気体に成立する法則として代表的なものには次のものがあげられる。；これらの問題を避けるために、改変する際には次のような規定がある。；さまざまありうるが、次のような場所はしばしば目的地に設定されている。；ほとんどの形式では正規表現を構築するために次の演算子を提供している。；ロボットは、現在では次のようにいくつかの意味で用いられている言葉である。；明治三十一年勅令第九十号これは、現代の表記に直すと次の通りである。；一旦粉にしてから使う用途の主なものには次のようなものがある。；一般的に「司法試験」というと、この第二次試験のみを指すことが多い。；教父たちのあるものは、この問題を解決するために次のような考えを示した。；それらを満たすために、ワタにおける例では次のものが用いられている。；の用途を拡張したマクロパッケージとして、他に次のようなものがある。；もう少しプログラムらしい書き方をすれば次のような記述が出来る。；プロジェクト関連文書の更新状況は次の場所で参照できます。；あとは全く同様の議論を繰り返すことで次の偏微分方程式が得られる。；トランスジェニック技術を採用して市場に出している組織は次のとおりである。；歴史家で自らも戦時中に暗号解読に従事していたは次のように述べている。；この最後の例外条項は、第11項第7段落に次のように記載されている。；次のアメンホテプ1世はカルナック神殿の拡張などの内政に力を入れた。；次の条件は、採用しているライセンスと、そうでないライセンスがある。</t>
        </is>
      </c>
      <c r="J5532">
        <f>HYPERLINK("https://www.weblio.jp/content/次", "词义详情")</f>
        <v/>
      </c>
      <c r="K5532">
        <f>HYPERLINK("https://yourei.jp/次", "查看例句")</f>
        <v/>
      </c>
    </row>
    <row r="5533">
      <c r="A5533" t="inlineStr">
        <is>
          <t>付き合い</t>
        </is>
      </c>
      <c r="B5533" t="inlineStr">
        <is>
          <t>成功</t>
        </is>
      </c>
      <c r="C5533" t="inlineStr">
        <is>
          <t>読み方：つきあい
１人と交際すること。「彼とは長い—だ」
２義理や社交上の必要から人と交わること。「—が悪い人」「—酒」
→交際［用法］</t>
        </is>
      </c>
      <c r="D5533" t="inlineStr">
        <is>
          <t>付き合い始める；付き合いたい；付き合いはじめ；付き合いきれ；付き合いいただき</t>
        </is>
      </c>
      <c r="E5533" t="inlineStr">
        <is>
          <t>合併；交通；接触；往来；交際</t>
        </is>
      </c>
      <c r="F5533" t="inlineStr">
        <is>
          <t>付き合い始め；長い付き合い；深い付き合い；親しい付き合い；古い付き合い</t>
        </is>
      </c>
      <c r="H5533" t="n">
        <v>29</v>
      </c>
      <c r="I5533" t="inlineStr">
        <is>
          <t>このようにして第二次世界大戦の間継続する戦友の付き合いが始まった。；学生時代の友人から有名人まで人との付き合いを非常に大切にしている。；彼らは一般的に長年の付き合いとなり、よく近くで顔を合わせあっている。；手に入れるには彼女と付き合いイベントをクリアしていく必要がある。；恋人と二人でいて、なんか平穏な付き合いの中での、一瞬の覚醒する時。；小百合を捨て別の女性と付き合い始めた淳一郎は女と心中してしまう。；祖父が友人付き合いをしていた関係で生前の相田みつをに可愛がられた。；ただし、その男性とも報道が切っ掛けで付き合いを絶ったと語っている。；また、人との付き合い方についても道理を大事にした逸話が残っている。；二人は映画『ドリームハウス』の共演がきっかけで付き合い始めていた。；いや、あれはまさにド付きあい、大騒ぎと混乱の日々を送ってきたのだ。；最後に助けてくれたのは、日頃付き合いの悪い階上のおばさんであった。；付き合いは短いものの御剣とは互いに強く信頼しあっている。；若い頃から糖尿病を患っており、病気との付き合い方を巡る文章も多い。；さらに長い付き合いだったのが、ジルジャン・シンバルとの関係だった。；結婚後は女中を辞めさせ、妻の親せきとの付き合いをしなかったという。；大川は朝鮮人らが働いていた工事の関係者と付き合いがあったとみられている。；第1部では仕事上の付き合いのため、装着後の名称でのみ呼んでいる。；戦後の混乱期から組織と付き合いがあり、独立を保ってこれた理由とされている。；付き合いが長いため、伊澄がハヤテを好いていることはすぐに分かった。；だからみんな付き合いもできないし、やってもコソコソするしかないんだよ。；子供の父親は公表されていないが、付き合い始めて2か月で妊娠したという。；一般信者は、家族であっても、その者との付き合いや挨拶なども制限される。；入会資格は、独身で結婚を前提としたお付き合いを希望する人となっている。；イーサンとは家族絡みの付き合いで、友達のように楽しい時間を過ごす。；仕事の面での付き合いは継続してゆくとの声明を発している。；これは蒲田時代からの付き合いがある成瀬からのたっての願いで実現した。；そして、もう先きに落ちついてゐるものにくつつき合つて場所をとります。；現役時代から付き合いのある監督の大石大二郎の要請によるものだった。</t>
        </is>
      </c>
      <c r="J5533">
        <f>HYPERLINK("https://www.weblio.jp/content/付き合い", "词义详情")</f>
        <v/>
      </c>
      <c r="K5533">
        <f>HYPERLINK("https://yourei.jp/付き合い", "查看例句")</f>
        <v/>
      </c>
    </row>
    <row r="5534">
      <c r="A5534" t="inlineStr">
        <is>
          <t>付き合う</t>
        </is>
      </c>
      <c r="B5534" t="inlineStr">
        <is>
          <t>成功</t>
        </is>
      </c>
      <c r="C5534" t="inlineStr">
        <is>
          <t>読み方：つきあう
［動ワ五（ハ四）］
１
㋐行き来したりして、その人と親しい関係をつくる。交際する。「隣近所と親しく—・う」
㋑恋人として交際する。「今—・っている彼女」
２義理や社交上の必要から、行動をともにする。「残業に—・う」「食事を—・う」
[補説]2は、「スマホと上手に付き合う方法」「長年、花粉症と付き合ってきた」のように、人以外に用いられることもある。</t>
        </is>
      </c>
      <c r="D5534" t="inlineStr">
        <is>
          <t>付き合うしかない；付き合うべき；付き合うって</t>
        </is>
      </c>
      <c r="E5534" t="inlineStr">
        <is>
          <t>接触；交際；行き来；かまう；話し相手になる</t>
        </is>
      </c>
      <c r="F5534" t="inlineStr">
        <is>
          <t>うまく付き合う；再び付き合う</t>
        </is>
      </c>
      <c r="H5534" t="n">
        <v>29</v>
      </c>
      <c r="I5534" t="inlineStr">
        <is>
          <t>私は彼のすぐそばに立って、彼の体験したいろいろなことに付き合った。；俺も彼女のことを好きだったから、当然のように付き合うことになった。；それは彼女も同じだったようで、暇さえあればおれに付き合ってくれた。；従って周りからは付き合っているのではないかとの疑念が持たれている。；だったらまあこいつの仕事に付き合うのもありといえばありかもしれん。；その時は葉ではない別の誰かと、裕生が付き合う日が来るかもしれない。；貴様とは地獄まで付き合う仲だと思っとったがな、あの娘の件は何だ!?；突拍子もないことをする人だが、あの男と付き合っていたとは思えない。；彼らは夜の散歩に彼女を誘い、彼女は警戒しつつも付き合うことにする。；誰かは誰かと付き合っているし、誰かは誰かとまだ結婚しているもの。；少なくともこの半年の間、僕は生きているはずのトムと付き合っていた。；これからは前にも増して、本と付き合う時間が増えることになりそうだ。；あそこの子とは付き合っちゃいけません、なんて言われたらヤだからな。；エレノアに誰かと付き合っている気配を感じたのは彼女のことだったのだ。；見ず知らずの人間と、このように付き合うのは初めての経験だったのだ。；お前たちに付き合うのが嫌だったら絶対に力なぞ貸さなかったはずじゃ。；その時々に付き合っている女でさえ、自宅に呼んだことは一度もない。；そもそもわたしの周りには付き合うだけの価値のある男がいないじゃないか。；まあ誰にだって付き合う人を選ぶ権利はあるからさ、お互い様だけどね。；自分でさえ、自分と付き合うのがいやになることがあるくらいだから。；犬ほどいつも人間の顔色を見、人間に付き合ってくれる動物はいない。；だがアモンのことよくわかっていないし付き合うとか考えられないでいた。；おまえとは付き合えなああああああああああああああああああああああいっ!；付き合ってた日本の社長さんに相談したら、その人、怖くなって逃げた。；付き合うつもりなのか、断るつもりなのか、どちらもありうる気がした。；彼とはもう何年も付き合っているが、そんなことをされたのは初めてだった。；しかし、対するファナティオのほうには相手に付き合う理由はないのだ。；子供と付き合うことのない僕には、少女の年齢なんてまったくわからない。；時間が気になるけれど、これで解散だろうから一応最後まで付き合う。</t>
        </is>
      </c>
      <c r="J5534">
        <f>HYPERLINK("https://www.weblio.jp/content/付き合う", "词义详情")</f>
        <v/>
      </c>
      <c r="K5534">
        <f>HYPERLINK("https://yourei.jp/付き合う", "查看例句")</f>
        <v/>
      </c>
    </row>
    <row r="5535">
      <c r="A5535" t="inlineStr">
        <is>
          <t>突き当たり</t>
        </is>
      </c>
      <c r="B5535" t="inlineStr">
        <is>
          <t>成功</t>
        </is>
      </c>
      <c r="C5535" t="inlineStr">
        <is>
          <t>読み方：つきあたり
道や廊下などの行きづまった所。「二階の—の部屋」</t>
        </is>
      </c>
      <c r="D5535" t="inlineStr">
        <is>
          <t>衝突；打つ；遭遇；あう；当る</t>
        </is>
      </c>
      <c r="H5535" t="n">
        <v>29</v>
      </c>
      <c r="I5535" t="inlineStr">
        <is>
          <t>道路はすぐ海に突き当たり、右の山のなかへ細くなった道が登っていた。；新京成電鉄新京成線に突き当たると線路に沿って北東へと流れを変える。；突き当たりが夫婦のダイニングで、廊下の左右にも一つずつ部屋がある。；その道を進むと竜平がこんど新しく建てた豪邸に突き当たるはずである。；突き当たりは障子と同じ幅のガラス戸で、その外に雨戸が引いてあった。；そのほかにも、暗いなかで長三郎に突き当たって、声をかけた者がある。；突き当たりの窓を背にして置かれている机も、その向こうの椅子も木製だ。；突き当たりに洗面所らしいものが見えていて、右側はドアが並んでいる。；捜査が壁に突き当たったとき、意外な方向から新たな局面が展開してきた。；しかし、それはすぐに構造上の問題に突き当たり、頓挫することとなる。；すでに、闇に目が慣れてきているため、廊下の突き当たりは明るく感じた。；両側に職員の私室が並ぶ長い廊下の突き当たり、そこが医務室のはずだ。；いきなり道を横切ったものだから、子供の一人がぼて振りに突き当たる。；真実らしいものに突き当たりそうな気もするのに、そこから一歩も進まん。；突き当たりは、本来ならば校舎の正面玄関に使われている扉だった。；いつもなら見ないで通る囚人の、しかもその胸にまともに突き当たった。；地下への階段は、厨房の脇の、北側の廊下が東へ突き当たった所にあった。；突き当たりの奥にコンピュータの端末を載せた大型の机、その隣にベッド。；森の中のまっすぐな道を走って数分、突き当たりに洞窟があった。；同じ階の廊下をエレベーターと反対方向へ進んでいくと、すぐに突き当たった。；この先の廊下は一本道で、突き当たりはエレベーターホールになっていた。；人ひとりが通れるくらいの狭い通路を奥へ進めば、ドアに突き当たる。；鉛筆の先は、少なくとも今は、だれもゆけぬような場所に突き当たった。；知っている単語が記憶の底に突き当たり、ディアナは微かに目を開けた。；廊下の突き当たり、三階につづく階段に、ひとりの女生徒が立っていた。；食堂は、その通りの突き当たり、それほど遠くないところにあるのだ。；刃が土に十五センチほどはいったとき、何か石のようなものに突き当たった。；しかし、この話を聞いた者は皆、一つの疑問に突き当たる事だろう。；突き当たりには小さなエレベーターがあり、そのドアも閉じている。</t>
        </is>
      </c>
      <c r="J5535">
        <f>HYPERLINK("https://www.weblio.jp/content/突き当たり", "词义详情")</f>
        <v/>
      </c>
      <c r="K5535">
        <f>HYPERLINK("https://yourei.jp/突き当たり", "查看例句")</f>
        <v/>
      </c>
    </row>
    <row r="5536">
      <c r="A5536" t="inlineStr">
        <is>
          <t>突き当たる</t>
        </is>
      </c>
      <c r="B5536" t="inlineStr">
        <is>
          <t>成功</t>
        </is>
      </c>
      <c r="C5536" t="inlineStr">
        <is>
          <t>読み方：つきあたる
［動ラ五（四）］
１進んで行ってものに勢いよく当たる。衝突する。ぶつかる。「車が電柱に—・る」
２それより先へ進めないところに行きつく。「—・って右に曲がる」
３思いがけない問題や障害に出会う。「難問に—・る」</t>
        </is>
      </c>
      <c r="D5536" t="inlineStr">
        <is>
          <t>衝突；打つ；遭遇；あう；当る</t>
        </is>
      </c>
      <c r="H5536" t="n">
        <v>29</v>
      </c>
      <c r="I5536" t="inlineStr">
        <is>
          <t>道路はすぐ海に突き当たり、右の山のなかへ細くなった道が登っていた。；新京成電鉄新京成線に突き当たると線路に沿って北東へと流れを変える。；突き当たりが夫婦のダイニングで、廊下の左右にも一つずつ部屋がある。；その道を進むと竜平がこんど新しく建てた豪邸に突き当たるはずである。；突き当たりは障子と同じ幅のガラス戸で、その外に雨戸が引いてあった。；そのほかにも、暗いなかで長三郎に突き当たって、声をかけた者がある。；突き当たりの窓を背にして置かれている机も、その向こうの椅子も木製だ。；突き当たりに洗面所らしいものが見えていて、右側はドアが並んでいる。；捜査が壁に突き当たったとき、意外な方向から新たな局面が展開してきた。；しかし、それはすぐに構造上の問題に突き当たり、頓挫することとなる。；すでに、闇に目が慣れてきているため、廊下の突き当たりは明るく感じた。；両側に職員の私室が並ぶ長い廊下の突き当たり、そこが医務室のはずだ。；いきなり道を横切ったものだから、子供の一人がぼて振りに突き当たる。；真実らしいものに突き当たりそうな気もするのに、そこから一歩も進まん。；突き当たりは、本来ならば校舎の正面玄関に使われている扉だった。；いつもなら見ないで通る囚人の、しかもその胸にまともに突き当たった。；地下への階段は、厨房の脇の、北側の廊下が東へ突き当たった所にあった。；突き当たりの奥にコンピュータの端末を載せた大型の机、その隣にベッド。；森の中のまっすぐな道を走って数分、突き当たりに洞窟があった。；同じ階の廊下をエレベーターと反対方向へ進んでいくと、すぐに突き当たった。；この先の廊下は一本道で、突き当たりはエレベーターホールになっていた。；人ひとりが通れるくらいの狭い通路を奥へ進めば、ドアに突き当たる。；鉛筆の先は、少なくとも今は、だれもゆけぬような場所に突き当たった。；知っている単語が記憶の底に突き当たり、ディアナは微かに目を開けた。；廊下の突き当たり、三階につづく階段に、ひとりの女生徒が立っていた。；食堂は、その通りの突き当たり、それほど遠くないところにあるのだ。；刃が土に十五センチほどはいったとき、何か石のようなものに突き当たった。；しかし、この話を聞いた者は皆、一つの疑問に突き当たる事だろう。；突き当たりには小さなエレベーターがあり、そのドアも閉じている。</t>
        </is>
      </c>
      <c r="J5536">
        <f>HYPERLINK("https://www.weblio.jp/content/突き当たる", "词义详情")</f>
        <v/>
      </c>
      <c r="K5536">
        <f>HYPERLINK("https://yourei.jp/突き当たる", "查看例句")</f>
        <v/>
      </c>
    </row>
    <row r="5537">
      <c r="A5537" t="inlineStr">
        <is>
          <t>付き添う</t>
        </is>
      </c>
      <c r="B5537" t="inlineStr">
        <is>
          <t>成功</t>
        </is>
      </c>
      <c r="C5537" t="inlineStr">
        <is>
          <t>読み方：つきそう
［動ワ五（ハ四）］世話などをするためにそばについている。「病人に—・う」「入学式に—・ってゆく」</t>
        </is>
      </c>
      <c r="D5537" t="inlineStr">
        <is>
          <t>伴う；送る；同行；従う；付く</t>
        </is>
      </c>
      <c r="H5537" t="n">
        <v>29</v>
      </c>
      <c r="I5537" t="inlineStr">
        <is>
          <t>先生は独りですからわたしが付き添って式に出ることになったんですよ。；フランツは馬に乗り、一族の馬車に付き添うようにしてこれに同行した。；父親が空港までリバルに付き添って来ていたため、この計画は失敗した。；彼らは心に傷を負った人たち付き添う心理療法士に私を紹介してくれた。；子供の頃、彼と家族はイギリス空軍の父に付き添ってエジプトへ行った。；「結構なお部屋ですな」 娘に付き添って来た父親が感嘆の声を上げた。；あの日親の付き添っていなかったのはあの子だけだったそうですけれども。；そのうしろから二人の女性が、一つずつ包みを持って付き添っている。；あれは病気だと思って、どうか一生をそばに付き添ってやって下さい。；最初に案内してくれた男が出て来て、秦に自動車まで付き添ってきた。；退院の際には交際していることが判明した浅野ゆう子も付き添っている。；キリストが天に召される時に、付き添ったのも力天使たちであるという。；救急車を呼んだり、ぐったりしたあなたに付き添って病院まで来たりね。；この日も、じっと夕方まで新聞など読みながら、哲朗に付き添っていた。；私の二人の連れも無事で、私のそばに付き添って、私の手をにぎっていた。；振袖姿の女性6人が母親や祖母たちに付き添われて笑顔を見せていた。；病院は完全看護だったけれど、ヘミは長い時間セージに付き添っていた。；むしろ具合が悪そうに見えるのは、付き添っている夫人の方だった。；入院患者の家族が朝まで付き添うこともあるし、病院もそれを許している。；若年期は父のキャリアに付き添う形で各国のクラブに在籍している。；父親に付き添っている時と異なって、落ち込んでいる様子が見て取れた。；当日は吉兵衛本人が町年寄に付き添われて朝四ツ前に奉行所に出頭した。；まさかそのときには、私の信頼する人物を、その周囲に付き添わせます。；妹さんもお母さんに付き添って、お父さんだけがアランの傍に残った。；ハリーは、ダンブルドアがリドルに付き添うと主張するだろうと思った。；護衛艦に付き添われて、他の船とともに輸送船団に加わっていたわけだ。；やはり、カズキを運ぶ時に、病院の前まで付き添ってもよかったはずだ。；担架のそばに付き添った白衣の男は、野口先生と呼ばれていたあの医師。；今までずっと、献身的なほどに付き添ってくれている彼女に改めて感謝した。</t>
        </is>
      </c>
      <c r="J5537">
        <f>HYPERLINK("https://www.weblio.jp/content/付き添う", "词义详情")</f>
        <v/>
      </c>
      <c r="K5537">
        <f>HYPERLINK("https://yourei.jp/付き添う", "查看例句")</f>
        <v/>
      </c>
    </row>
    <row r="5538">
      <c r="A5538" t="inlineStr">
        <is>
          <t>突き出す</t>
        </is>
      </c>
      <c r="B5538" t="inlineStr">
        <is>
          <t>成功</t>
        </is>
      </c>
      <c r="C5538" t="inlineStr">
        <is>
          <t>読み方：つきだす
［動サ五（四）］
１突いて外へ押し出す。「土俵の外へ—・す」
２勢いよく前の方へ出す。「こぶしを—・す」
３悪事をはたらいた者を警察などに連れて行く。「すりを派出所に—・す」
４建物やその一部を外の方へ張り出して設ける。「庭に—・している窓」
５男女の関係を断つ。縁を切る。
「何も今さら—・すという訳ではないけれど」〈一葉・にごりえ〉
６遊女に初めて客を取らせる。
「そも女郎の十四五より—・して新造ととなへ」〈洒・男倡新宗玄々経〉</t>
        </is>
      </c>
      <c r="D5538" t="inlineStr">
        <is>
          <t>発射；投じる；映す；突出す；出張る</t>
        </is>
      </c>
      <c r="F5538" t="inlineStr">
        <is>
          <t>長く突き出す；大きく突き出す；向けて突き出す</t>
        </is>
      </c>
      <c r="H5538" t="n">
        <v>29</v>
      </c>
      <c r="I5538" t="inlineStr">
        <is>
          <t>手前を裁判へ突き出すことの出来ねえおいらだとでも思つてやがるのか?；頭を外に突き出すと、窓から顔を出した執務室のスタッフと目が合った。；そして、ドアのほうを首でさし示し、両手でわたしを突き出そうとした。；口をへの字に曲げ、下唇を突き出すようにしてミリは小さな声でいった。；俺は手を突き出す形で抵抗したのだが、彼女は一向にやめようとしない。；東間が何んだか気ぬけの顔つきで首を突き出すようにしてついて戻った。；二六歩と飛車先の歩を突き出すか、七六歩のこの手かどちらかである。；次に手を胸の前面に突き出すところも両先生のやり方が異なっていた。；待ってるうちに濡れたままの写真を濡れたままの手で突き出す。；もし何かが見たいのなら、ドアを開けて、顔を突き出すのが普通ですからね。；唇は薄くあまり頑丈ではないが、筒のように前に突き出すことができる。；顎を大きく突き出すことができるが、ほとんどの種類は顎の歯を欠く。；つまみ上げて無言で敵の方に突き出すのはやめてくださいませんか?；口は大きく、前に長く突き出すことができ、下顎に1本のひげがある。；石灰岩が突き出す崖の高さは100m以上に達し、2つの滝が存在する。；それでもやっと目的のものを見つけたらしくツバメは彼の前にそれを突き出す。；鉄砲足軽に向って槍を突き出そうとしていた時の自分の姿が見える。；バーテンはカウンターに両手をおいて顔を二人の方に突き出すようにするた。；アメリカの女性ならば、もっと内側からの思いを突き出すようにして語るだろう。；口は比較的小さく唇も薄いが、前下方に筒のように突き出すことができる。；そして、少女の尻をしっかりと抱えたまま、自分の腰をゆっくりと突き出す。；頭上を斬撃が通り過ぎ、それを追うように身体を伸ばして剣を突き出す。；胸に添えていた手も加え、両手で真正面に、短剣を突き出す姿勢となる。；運転手は、右腕を真直ぐに伸ばして、前方へ斜め上に突き出す礼をした。；海へ突き出すような形に設計された、眺めのいいプールサイドに私たちはいた。；ジョーグは、いま両手を前に突き出すようにして、じっと立っていた。；こういう場合、ナイフを突き出すのは相手に接触する直前でいい。；そっと頭部を突き出すと、岩場の向こうに基地の施設を確認することができた。；左右一対の触角のつけねに小さい眼を持ち、その上に水管を前方へ突き出す。</t>
        </is>
      </c>
      <c r="J5538">
        <f>HYPERLINK("https://www.weblio.jp/content/突き出す", "词义详情")</f>
        <v/>
      </c>
      <c r="K5538">
        <f>HYPERLINK("https://yourei.jp/突き出す", "查看例句")</f>
        <v/>
      </c>
    </row>
    <row r="5539">
      <c r="A5539" t="inlineStr">
        <is>
          <t>次々</t>
        </is>
      </c>
      <c r="B5539" t="inlineStr">
        <is>
          <t>成功</t>
        </is>
      </c>
      <c r="C5539" t="inlineStr">
        <is>
          <t>読み方：すぎすぎ
［副］つぎつぎ。
「公達、同じほどに—大人び給ひぬれば」〈源・紅梅〉</t>
        </is>
      </c>
      <c r="D5539" t="inlineStr">
        <is>
          <t>次々と発表；次々と現れ；次々と新しい；次々に発表；次々と倒れ</t>
        </is>
      </c>
      <c r="E5539" t="inlineStr">
        <is>
          <t>次々と；次々に；順次；つぎつぎ；つぎつぎと</t>
        </is>
      </c>
      <c r="F5539" t="inlineStr">
        <is>
          <t>次々と破壊；次々と殺さ；次々と誕生；次々と倒し；次々に倒れ</t>
        </is>
      </c>
      <c r="G5539" t="inlineStr">
        <is>
          <t>次々続々</t>
        </is>
      </c>
      <c r="H5539" t="n">
        <v>29</v>
      </c>
      <c r="I5539" t="inlineStr">
        <is>
          <t>二人は旅の中で出会う様々な人の中に次々と生きる意味を発見して行く。；晩年までエクスで制作を続け、若い画家たちが次々と彼のもとを訪れた。；本を読む場合はページをめくる事によって次々と情報を得る事が出来る。；しかし鎮圧に向かった兵士は次々に反乱を起こして労働者側についた。；アメリカに続いて、ヨーロッパ各国でも同様のサービスが次々と始まった。；強力な敵が次々と出てくるため通常のステージと比べ難易度は高い。；劇画の人気を見てとった他の出版社からも次々と劇画雑誌が創刊される。；その後様々なデザインが考案され後装砲が次々に世に出されることとなる。；ドラフト会議では夏の甲子園で活躍した将来性のある選手を次々と指名。；レコード会社は人気のあるバンドと次々に契約をし、レコードを販売する。；この新市域にイスラエルは大型のユダヤ人入植地を次々と建設している。；旧ローマ帝国を起源とする都市だけでなく、新たな都市が次々と建設された。；事務所の壁に立たされていた人々も次々に逃げ、秘書だけが残された。；残された小島群は1970年代以降次々と単独で独立していくようになった。；翌年1月まで次々と新政を補完するための新機関の設置が行われていった。；大事業を次々起こし、彼に由来する多くの都市や建造物が残された。；これらの植民地も第二次世界大戦後民族独立の波に乗って次々に独立していった。；様々な溶接が次々に開発されるが、主流はアーク溶接と抵抗溶接である。；こうして街から次々と若い女性がいなくなっていった。；その結果、彼は自分独自の技法を次々に開発していく事となった。；また各地に潜伏していた義経の郎党達も次々と発見され殺害された。；革命初期に活躍した指導者が次々と処刑されていく。；地方の小都市や村落に疎開する者が次々と現れ、都市部の人口は減少した。；しかしターリバーンは国内の他勢力の拠点を次々に攻略し、勢力を拡大し続けた。；ガイアはウーラノスを夫とし、数多くの巨人や神々を次々に生んでいく。；彼の小説は次々に映画化されて話題となった。；相次ぐ出来事に完全にやる気をなくした隊員達は、次々と他の部隊へ移籍。；待機していた各部隊が次々と橋を渡り、ソビエト領へとなだれ込んだ。；翻訳されたハバードの講義を刊行したものが次々に生産された。</t>
        </is>
      </c>
      <c r="J5539">
        <f>HYPERLINK("https://www.weblio.jp/content/次々", "词义详情")</f>
        <v/>
      </c>
      <c r="K5539">
        <f>HYPERLINK("https://yourei.jp/次々", "查看例句")</f>
        <v/>
      </c>
    </row>
    <row r="5540">
      <c r="A5540" t="inlineStr">
        <is>
          <t>月並み</t>
        </is>
      </c>
      <c r="B5540" t="inlineStr">
        <is>
          <t>成功</t>
        </is>
      </c>
      <c r="C5540" t="inlineStr">
        <is>
          <t>読み方：つきなみ
［名］
１毎月きまって行われること。月に一度ずつあること。毎月。月ごと。「—の会」
２「月並俳句」の略。
３「月次の祭」の略。
４十二の月の順序。月の移り変わり。「なみ」を「波」に掛けて、歌語として用いられる。
「水のおもに照る—を数ふれば今宵ぞ秋のもなかなりける」〈拾遺・秋〉
［名・形動］新鮮みがなく、ありふれていて平凡なこと。また、そのさま。「—な表現」「発想が—だ」
「そんな—を食いにわざわざここ迄来やしないと」〈漱石・吾輩は猫である〉</t>
        </is>
      </c>
      <c r="D5540" t="inlineStr">
        <is>
          <t>月並みな言葉(3%)；月並みな表現(2%)；月並みな文句</t>
        </is>
      </c>
      <c r="E5540" t="inlineStr">
        <is>
          <t>平凡；並；俗；平均的；陳腐</t>
        </is>
      </c>
      <c r="H5540" t="n">
        <v>29</v>
      </c>
      <c r="I5540" t="inlineStr">
        <is>
          <t>白い壁にかかっている月並みな柱時計は今しも十時五十分を指している。；どういっても、月並みになってしまうような感じで、つまり美人なのだ。；ふたりが月並みに恋愛をして結ばれたとは、わたしには信じられないのだ。；僕は時間を八時と決めて、それまで月並みな観光客に戻ることにした。；芝居の為の本に書いたとて、月並みすぎて駄目だと言われそうな話だ。；きっとその人物は私に向かって、月並みな励ましの言葉を投げてくるだろう。；「お体は大切にしてください、桜ちゃんのためにも」 月並みな言葉。；意気地なさに、多少にせよ腹を立てた僕のほうが、むしろ月並みだったのだ。；ソロンの詩の文学的価値は、一般的に月並みのものだと見られている。；彼女のレムはみんな雄羊だというのは、仲間うちでの月並みな冗談だった。；彼女は低い落ちついた声で、適当な言葉を用いた月並みなあいさつを述べた。；「月並みだが、巨大なタコでも出すか」 と私が言うと、彼はこう応じた。；詩の世界の月並みがぼくの言葉の錬金術にはかなりあった。；けれども、僕の君に知らせようとしている生活は、こんな月並みのものでない。；「初めからくさい仲だったんだ」 月並みなジョークを言った覚えがある。；わたしたちが対等でなかったなんて、月並みなことをおっしゃらないでね。；この教室にかよった一年は月並みだったけれど、それ故に黄金でもあった。；最初に頭にうかんだのは、まったく月並みだが、妻のことだった。；なんというか、月並みな表現で恐縮だが、私はメチャクチャ嬉しかった。；月並みでベッタベタのセリフかもしんねえけどさ、お前は人間だよ。；だが、月並みだとだけは、どうしても僕には考えられなかった。；田代宗雄の結婚も、少なくとも表面は石ころのように月並みのものだった。；彼女が持つものといえば、月並みだが旗というイメージがある。；コンラーディは勤勉ではあったが、考え方は幾分月並みなところがあった。；ただしそこには月並みではない部分もあった。；月並みな言い方ですが、入院前以上に燃えていたと思います。；それは中学生の杉にさえも月並みな芝居の一場面を思い起させた。；月並みな慰めの言葉なら、何通りも思いついたが、決して口にはできなかった。；どうも私の空想は月並みで自分ながら閉口ですが、けれども私は本気で書いてみたのです。</t>
        </is>
      </c>
      <c r="J5540">
        <f>HYPERLINK("https://www.weblio.jp/content/月並み", "词义详情")</f>
        <v/>
      </c>
      <c r="K5540">
        <f>HYPERLINK("https://yourei.jp/月並み", "查看例句")</f>
        <v/>
      </c>
    </row>
    <row r="5541">
      <c r="A5541" t="inlineStr">
        <is>
          <t>次に</t>
        </is>
      </c>
      <c r="B5541" t="inlineStr">
        <is>
          <t>成功</t>
        </is>
      </c>
      <c r="C5541" t="inlineStr">
        <is>
          <t>読み方：つぎに
［接］前に述べた事柄に付け加える内容を導く語。それから。それにつづいて。「会長のあいさつが終わると、—来賓の祝辞がある」</t>
        </is>
      </c>
      <c r="D5541" t="inlineStr">
        <is>
          <t>次に掲げる；次に挙げる；次に示す；次に述べる；次に来る</t>
        </is>
      </c>
      <c r="E5541" t="inlineStr">
        <is>
          <t>続いて；お次は</t>
        </is>
      </c>
      <c r="F5541" t="inlineStr">
        <is>
          <t>次に進む；次に狙わ；次に現れる；次に移る；次にやってき</t>
        </is>
      </c>
      <c r="H5541" t="n">
        <v>29</v>
      </c>
      <c r="I5541" t="inlineStr">
        <is>
          <t>次に、歴史的に為替が固定されていたかつてのフランスの植民地がある。；多くの場合、彼は現在の協力者に次にどこを訪問すればよいか尋ねていた。；大公夫妻に同行していた者たちは、次に何をすべきかについて議論した。；この技術の名称として、他に提案され吟味されたものの一部を次に示す。；アメリカ留学の次に英語圏留学先として多いのがオーストラリアである。；次に、艦隊司令官の裁量は一般に考えられているより狭い面があった。；衛生上の知識に関連する学問分野として次に挙げるものが知られている。；卑弥呼の後継の男王の次に、13歳で女王になり倭をまとめたとされる。；次に宇宙および地上のプラズマの代表的な例とその特性値をあげる。；次に挙げる著作はエウクレイデスのものとされているが、現存しない。；その次に位置する主に連の姓を持つ氏族には宿禰の姓を与えていた。；次に作られた曲は静的で不気味なものであり、スタッフを満足させた。；世界規模で展開する興行会社が次に参入を考えたのが日本市場であった。；次に となるような座標系を取り、同様に三平方の定理から を求める。；彼らがそれを持ち続けて次にどう移していってくれるか。；次に1998年から1999年シーズンに運行された列車を記載する。；家庭は、人間の社会の最小単位である個人の次に小さい単位である。；次に示すのは、最重要かつ最も広範に崇拝されている神々の概略である。；古代以来の哲学者たちがそれをどのように理解し説明してきたか、次に挙げる。；次に、第二の段階は疎外された理念の学としての自然哲学の段階である。；判断が構成されると、次にこれを前提に置いて結論が導き出される。；次に政権を握ったのは西府軍総帥として荊州の軍を率いた桓温であった。；次にホームズは、家族関係者は外務省の内部を知っているかと尋ねた。；朝廷からの重要視を示すものとしては、次に示すような事例が挙げられる。；このため、トラックの内側では次に滑走する選手が常に周回している。；次に卦辞が続き卦の名前と卦全体の内容を様々な象徴的な言葉で説明する。；次に、第一現像で現像されなかった部分を反応させるための処理が行われる。；次に酸素を豊富に含んだ後気嚢内の空気が後方から肺管に送り込まれる。；次に南下した彼らは木に覆われた陸地を見つけ、「森の国」と名づけた。</t>
        </is>
      </c>
      <c r="J5541">
        <f>HYPERLINK("https://www.weblio.jp/content/次に", "词义详情")</f>
        <v/>
      </c>
      <c r="K5541">
        <f>HYPERLINK("https://yourei.jp/次に", "查看例句")</f>
        <v/>
      </c>
    </row>
    <row r="5542">
      <c r="A5542" t="inlineStr">
        <is>
          <t>月日</t>
        </is>
      </c>
      <c r="B5542" t="inlineStr">
        <is>
          <t>成功</t>
        </is>
      </c>
      <c r="C5542" t="inlineStr">
        <is>
          <t>読み方：がっぴ
日付としての、月と日。</t>
        </is>
      </c>
      <c r="D5542" t="inlineStr">
        <is>
          <t>月日がたちまし；月日が経つうち；月日がたった；月日亭；月日不詳</t>
        </is>
      </c>
      <c r="E5542" t="inlineStr">
        <is>
          <t>日；年代；年月；デート；日時</t>
        </is>
      </c>
      <c r="F5542" t="inlineStr">
        <is>
          <t>近い月日；短い月日；永い月日；暗い月日；楽しい月日</t>
        </is>
      </c>
      <c r="G5542" t="inlineStr">
        <is>
          <t>月日磐；月日神社；月日に関守なし</t>
        </is>
      </c>
      <c r="H5542" t="n">
        <v>29</v>
      </c>
      <c r="I5542" t="inlineStr">
        <is>
          <t>あの人が若い妻をほしがっている話を聞いてから長い月日もたっている。；私が山から下りて来てから今日までの月日は君や私の生活のさまを変えた。；ゲームの世界での時間は現実の時間と同じで月日や四季も再現されている。；マルグヴェンの美しさを見ない月日は彼のために悲しみの月日であった。；此年の最初の出来事にして月日を明にすべきものは明倫堂の釈奠である。；月日は詳にすることが出来ぬが、後の月よりは更に後の事であつただらう。；正気づいたときは、すでに半年あまりの月日がたっていたのだからなあ。；そして月日は流れ、ステラは娘のジェニーと二人で幸せに暮らしていた。；十か月以上の月日がその間に経過したとはどうしても思われなかった。；その間の一年と二三か月の月日のことを清三は考えずにはおられなかった。；また、月日を表す文字が音を表す要素を含んでいることをはじめて指摘した。；初めて石を見つけてから一体どれくらいの月日が流れたのだろう。；そのかげには、数十年の月日がたたまれているその表情は、すぐ消えた。；そこで私は手術の苦痛を怺えつつ、長い月日を送らねばならなかった。；こうして、長い月日のうちには、いろいろのことがあったでありましょう。；その頃は鈴木の兄も郷里の家に暮して、最も得意な月日を送っていた。；それ等のものに潜む美が認識されるまでに、今日までの長い月日がかかつた。；いつしかこの地に友人もでき、居つくようになり、七年の月日が過ぎた。；月日不詳の大暴風雨の日に村から沖に出ていて帰らなかった船がある。；平三は別段何をするでもなく、只だ月日の早く経つのをのみ待つて居た。；それらのものに潜む美が認識されるまでに、今日までの長い月日がかかった。；俺が「知らざる神」を信じ出してから幾年の月日を經過した事であらう。；千船中との対戦から月日が流れ、カズマサは中学卒業を目前としていた。；キャラクターの誕生日設定は担当声優の誕生日と同じ月日になっている。；私が故郷の街から筑波山を見て過ごした月日は随分と永いことだった。；しかしまだまだ天然のが人造のに圧倒されるところまでには月日がある。；月日のたつのは早いもので、そのときから、もう六、七年はたちました。；今日が日まで三年ばかりで大事の月日が、殆ど煙のように過って了いました。；地域によって月日が定められている場合とそうでない場合がある。</t>
        </is>
      </c>
      <c r="J5542">
        <f>HYPERLINK("https://www.weblio.jp/content/月日", "词义详情")</f>
        <v/>
      </c>
      <c r="K5542">
        <f>HYPERLINK("https://yourei.jp/月日", "查看例句")</f>
        <v/>
      </c>
    </row>
    <row r="5543">
      <c r="A5543" t="inlineStr">
        <is>
          <t>付き纏う</t>
        </is>
      </c>
      <c r="B5543" t="inlineStr">
        <is>
          <t>成功</t>
        </is>
      </c>
      <c r="C5543" t="inlineStr">
        <is>
          <t>読み方：つきまとう
［動ワ五（ハ四）］
１離れずに、いつもそばに付き従う。「弟が—・う」「物売りに—・われる」
２ある事情などが、ついてまわって離れない。また、ある気持ちなどが、いつも頭から離れない。「リスクが—・う仕事」「不安が—・う」</t>
        </is>
      </c>
      <c r="D5543" t="inlineStr">
        <is>
          <t>取りつく；付きまとう；巣食う；憑く；巣くう</t>
        </is>
      </c>
      <c r="H5543" t="n">
        <v>29</v>
      </c>
      <c r="I5543" t="inlineStr">
        <is>
          <t>この人の指揮にはいやな癖が付き纏っていないし、前世紀の亡者もない。；しかし、両親を殺害した何者かにストーカーのごとく執拗に付き纏われる。；眇目の男のほかに、まだ一つの黒い影が途中から彼等のうしろに付き纏って来たことを誰も知らなかった。；その一方で稽古嫌い・賭博好きのイメージが付き纏い、損をしている。；そう云われれば慥かに今回、木場の周りには常に髑髏が付き纏っている。；それでも達也が拒絶しないのを良いことに、彼に付き纏っている。；そしてその男には魔法が使えるという奇怪な噂が付き纏っていた。；ナショナルズが優勝を決めた第7戦には八百長疑惑が付き纏っている。；何十年ぶりかに聞く、しかも良く知っている曲には必ず鮮明な記憶が付き纏っているはずだ。；蝶蜂は形を問わず、己が好む花の色したよい加減な作り物に付き纏う事あり。；しかし、あと一歩で十両昇進という局面で番付運の悪さが付き纏った。；その後、その男性が執拗に付き纏う様になり、とうとう家まで押しかけてくる。；和歌子のことを想うと同時に深井のことが付き纏ってくるのだ。；革新的な構想であるCTDLには伝統的な批判が付き纏う。；彼は法師となってからも決して其生活は無事では無く、絶えず妖怪に付き纏われた。；これらの鏡たちが、かつて映し出した、すべての動作や顔がほとんど、鏡のそれぞれに今も付き纏っているに違いない。；無限に続く倦怠は執念深きこと蛇のごとくここでも私に付き纏う。；それは英明に付き纏われていたという妹だろうか、それとも。；思い返せば、影のようにぴったり付き纏い続ける姿の見えない弟とのあまりにも長い歳月だった。；どう考えてもこっちには付き纏われる覚えがない。；いわば神のようなノスタルジアに付き纏われた、永遠の巡礼だったとでもいおうか。；元気なころは娘を旅行に連れて行ったり一緒にゲームをしたりしていたが、一方で自分に付き纏う問題児のイメージは気にしており、自分が人前に現れて娘がからかわれるといけないと思って娘の入学式や卒業式には参列しなかった。；恐らく今後の私には絶えず高丘親王の影が付き纏うであろう。；男として光栄なことに、彼女が僕に首っ丈になって付き纏ったとしても、殺すことはない。；其処には屏風を立回し、侍多数が付き纏っていて、死体の左肩先に首が据えてあった。；その後、菊之助はその女とひそかに音信を通じていたか、あるいは全然絶縁したか、またその女はどうなったか、わたしはなんにも聞かないのであるが、そういう事情を耳にして彼の舞台を観ているせいか、その舞台の姿には一種の暗い影が付き纏っているようにも見えた。；将来は自分が本家の旦那なんだって言って、うるさく付き纏ってたらしいんですよ。；彼の顔は、或いは赤らみ過ぎて、この頃は、何かいらいらしているような表情が付き纏っていた。；もうわたしに付き纏わないでよ!</t>
        </is>
      </c>
      <c r="J5543">
        <f>HYPERLINK("https://www.weblio.jp/content/付き纏う", "词义详情")</f>
        <v/>
      </c>
      <c r="K5543">
        <f>HYPERLINK("https://yourei.jp/付き纏う", "查看例句")</f>
        <v/>
      </c>
    </row>
    <row r="5544">
      <c r="A5544" t="inlineStr">
        <is>
          <t>月見</t>
        </is>
      </c>
      <c r="B5544" t="inlineStr">
        <is>
          <t>成功</t>
        </is>
      </c>
      <c r="C5544" t="inlineStr">
        <is>
          <t>読み方：つきみ
１月をながめて楽しむこと。特に陰暦八月十五夜（中秋の名月）、九月十三夜（後(のち)の月）の月を観賞すること。また、その集まりや宴。《季秋》「雲をりをり人を休むる—哉／芭蕉」
２卵を落とし入れた料理。卵黄を月に見立てていう。月見とろろ・月見饂飩(うどん)・月見蕎麦(そば)など。
３近世、成人の祝儀の一。女子の鬢除(びんそ)ぎ、男子の袖止めの祝い。ふつう、16歳の6月16日に行い、その夜、月に供えた饅頭に穴をあけ、その穴から月見をした。</t>
        </is>
      </c>
      <c r="D5544" t="inlineStr">
        <is>
          <t>月見寺(4%)；月見ヶ丘(3%)；月見神社(2%)；月見船；月見展望台</t>
        </is>
      </c>
      <c r="G5544" t="inlineStr">
        <is>
          <t>月見櫓；月見台；月見山；月見橋；月見町</t>
        </is>
      </c>
      <c r="H5544" t="n">
        <v>29</v>
      </c>
      <c r="I5544" t="inlineStr">
        <is>
          <t>お月見の晩にここに来ましたのに、なぜ逢って下さらなかったのですか。；お月見泥棒は、各地で行われている子供たちのお月見イベントのひとつ。；白玉を食べる時期は特に定まっていないが、月見に供されることも多い。；二三 十五夜だけに団子を上げて、十三夜に上げぬ事を片月見と言う。；お互いにあまりしゃべらず、しんみりと月見酒を味わっていたのである。；おひさは昨夜の月見で、床についたのがおそく、今日は昼前におきた。；正彦の顔色があの夜、月見神社で彼のしたことを最も雄弁に物語っていた。；帰ってみたらお月見だというのに何の支度もしてないじゃない。；前に一度伊豆のおばあさんのところで、三人でお月見したことがあります。；名月のこうこうとくまなく照り渡っている夜、二人の者が月見をしていた。；庭木など低いのが少しはあるが喬木の全くない都内の月見風景である。；月見に誘われて船の中で寒気のために固くなって帰った経験はしばしばある。；食事のあともとぼんとして、おもんが注意するまで月見の飾りも忘れていた。；わたしたちが横たわっているところへ船を近づけて、お月見をしています。；いま言ったように、月見をするタンボチェ部落にあるわけじゃないんです。；私は学園都市に住んでいるので、名谷駅で八分間電車待ちのお月見をする。；かつて当地の東側に田があり、月見の名所であったことによるという。；正式には、七月二十四日、処によつては、月見の頃に及ぶ事さへある。；享和元年、大田南畝と自らの居宅・清夢軒で月見をして交流している。；昨晩、自動車で碓氷峠に月見に行つたらまるで花火の晩のやうだつた。；「わたしが、月見の鄭曲を作りましょう」 と、朝湖がすかさず言った。；自分は何をするでもなく、父である衛宮切嗣と月見をしている。；つまり、まだ松が小さいので、月見のさわりにならない、というわけだ。；別にその夜更けて、月見寺の裏庭から動き出した真黒い人影があります。；彼は月見神社付近で轢き逃げを目撃した可能性もあります。；気がつくとすでに夜は明けて、私たちは月見の縁側に戻っていた。；陸羽街道から月見坂と呼ばれる参道を登った丘陵上に諸堂が点在する。；道一つ離れたところでは月見さえ楽しんでいた者もある。；お月見の晩に、伝統的な月の感じ方が、何処からともなく、ひょいと顔を出す。</t>
        </is>
      </c>
      <c r="J5544">
        <f>HYPERLINK("https://www.weblio.jp/content/月見", "词义详情")</f>
        <v/>
      </c>
      <c r="K5544">
        <f>HYPERLINK("https://yourei.jp/月見", "查看例句")</f>
        <v/>
      </c>
    </row>
    <row r="5545">
      <c r="A5545" t="inlineStr">
        <is>
          <t>継ぎ目</t>
        </is>
      </c>
      <c r="B5545" t="inlineStr">
        <is>
          <t>成功</t>
        </is>
      </c>
      <c r="C5545" t="inlineStr">
        <is>
          <t>読み方：つぎめ
１物と物のつなぎ合わせてある部分。つなぎめ。「水道管の—」
２骨と骨とが連結している部分。関節。
「膝の—が急に痛くなった」〈漱石・夢十夜〉
３家督・位・役職などを交替すること。また、その後継者。あとつぎ。
「これが無ければ—の参内がならぬ故」〈伎・壬生大念仏〉</t>
        </is>
      </c>
      <c r="D5545" t="inlineStr">
        <is>
          <t>継ぎ目なく(3%)；継ぎ目板(3%)；継ぎ目周辺；継ぎ目や腹甲；継ぎ目なし</t>
        </is>
      </c>
      <c r="E5545" t="inlineStr">
        <is>
          <t>後；節；後継；後任；後続</t>
        </is>
      </c>
      <c r="H5545" t="n">
        <v>29</v>
      </c>
      <c r="I5545" t="inlineStr">
        <is>
          <t>継ぎ目の北部は、初期に大きな切石積みのブロックで作られた壁である。；ばかりか、アタッシェケースには鍵穴も継ぎ目さえもなかったのである。；左右の腹甲板の継ぎ目の長さよりも、左右の股甲板の継ぎ目の方が長い。；古びた生活の糸で、昨日と明日の継ぎ目を縫いつづけなくてはならない。；仏像の胸部には継ぎ目が無いことから仏胴の名が付いたと言われている。；戦後の物資がないころ、継ぎ目のない輪ゴムなんて大変な貴重品だった。；左右の股甲板の継ぎ目の長さは左右の喉甲板の継ぎ目の長さより短い。；ことに貧弱ながらも生きている私などは夏から秋へのつぎ目の季節を嫌に思う。；時代の継ぎ目の工事場の美人は、顔の造作さえも気にしてはいられません。；風の継ぎめのほんの瞬間であったが、彼も人の声を聞いたように思ったのである。；また間喉甲板の縦幅は、左右の胸甲板の継ぎ目の長さの2倍より長い。；喉甲板と喉間甲板の継ぎ目は肩甲板と喉間甲板のシームより長い。；左右の肩甲板の継ぎ目の長さは、左右の股甲板の継ぎ目の長さよりも長い。；継ぎ目は、ぎざぎざとした線を描いてはいたが、全体的にはアーチ型だ。；万一の場合を考えて、坑道の継ぎ目や石段の陰に罠を仕掛けてあるのだ。；左右の胸甲板の継ぎ目の長さは、背甲の最大幅の4分の1よりも長い。；芝の継ぎ目に当たれば大怪我することになるし、足への負担が大きい。；エンリケスの彫像は、ほぼ完全な姿で、どこにも継ぎ目などはなかった。；まるで輝く銀の手袋をはめたように、その手は継ぎ目なく腕についていた。；腹甲の左右の甲板の継ぎ目のうち、左右の腹甲板の継ぎ目の長さが最も短い。；そんなふうにしたら、わたしが継ぎ目を合わせる時に苦労するのよ。；そして継ぎ目と、木の肌の新しい所とが一、二寸ずつ喰い違っている。；この2両は接合部分に縦線状の継ぎ目があり、他車との相違点となっていた。；六台がそれぞれ出す画面が、大きな一画面になっても継ぎ目が出ないようになっているのだった。；天を指す右腕は前膊の半ばに継ぎ目があり、そこから先は後補である。；彼女の手を壁の継ぎ目と思われる箇所に持っていく。；さきにふれたつぎ目なしの主台枠は、アメリカでは鋳製が主であった。；右手を一杯に伸ばすと、幸い次の石の継ぎ目までは無理なく届いた。；腹甲の蝶番は第5縁甲板と第6縁甲板の継ぎ目の周辺か、より後方にある。</t>
        </is>
      </c>
      <c r="J5545">
        <f>HYPERLINK("https://www.weblio.jp/content/継ぎ目", "词义详情")</f>
        <v/>
      </c>
      <c r="K5545">
        <f>HYPERLINK("https://yourei.jp/継ぎ目", "查看例句")</f>
        <v/>
      </c>
    </row>
    <row r="5546">
      <c r="A5546" t="inlineStr">
        <is>
          <t>尽きる</t>
        </is>
      </c>
      <c r="B5546" t="inlineStr">
        <is>
          <t>成功</t>
        </is>
      </c>
      <c r="C5546" t="inlineStr">
        <is>
          <t>読み方：つきる
［動カ上一］［文］つ・く［カ上二］
１次第に減って、とうとうなくなる。「万策—・きる」「気力が—・きた」
２続いていたものが終わる。途絶える。「寿命が—・きる」「道が—・きる」「名残が—・きない」
３（「…につきる」の形で）
㋐それですべてが言いつくされる。その極に達する。…にきわまる。「感服の一言に—・きる」「教師冥利に—・きる」
㋑最後までその状態のままである。…に終始する。「年寄りの話はぐちに—・きた」</t>
        </is>
      </c>
      <c r="D5546" t="inlineStr">
        <is>
          <t>尽きることなく(3%)；尽きるだろ</t>
        </is>
      </c>
      <c r="F5546" t="inlineStr">
        <is>
          <t>命尽きる；いのち尽きる</t>
        </is>
      </c>
      <c r="H5546" t="n">
        <v>29</v>
      </c>
      <c r="I5546" t="inlineStr">
        <is>
          <t>異常に上昇志向の強いタレントと一作者の特別なケースというに尽きる。；自分が手にしている銃もあといくらもしないうちに弾が尽きるだろう。；やつらはわれわれよりまえにエネルギーが尽きるにきまっているからね。；この灯の尽きるが如くに、わたくしのこの生命も消えようとしています。；いずれにしてもアックアからすれば報われないの一言に尽きるだろうが。；殆どの人は腹をすかせきって、灯火が尽きるように死んで行くのだから。；いくら話しても尽きることのないグラント船長の話をまたはじめたのだ。；また文学は結局文章に尽きることを教えてくれるのも井伏文学である。；何にしろ一旦始めたのだから鼠の尽きるまでやつて見るが善いであらう。；彼は財力も尽きるといっしょに白痴のようになって行衛知れずになった。；しかし正式の馬上槍試合の目的は相手を馬から突き落とすことに尽きる。；風景が風景としてあることの意義は、ほぼその点に尽きるといってよい。；彼みたいな生活では仕事の尽きることは決してないんだということを学んだ。；しかし、こんなにしていても、二十フランはとにかく尽きるときがくる。；わたしは宇宙の寿命が尽きるまで停滞にはいって過ごすこともできます。；彼女は夫の仕事は尽きることがないことを知っていたのである。；日常のすべての仕事を引き受けて、まもなく彼らは力が尽きるのを感じた。；山椒魚シンジケートの仕事は、この程度で尽きるものではないのである。；夜には寿命が尽きるであろうことを、彼は正確に察していたのである。；濃い闇の落ちる廊下は、どこまで行っても尽きることがないように感じられた。；ユスティニアヌスの時代にこの資金が尽きると、都市は自然に衰退した。；日本の今の悩みは、働きたくとも、働く仕事がないという一点に尽きる。；こうして弾を浪督していけばいずれ尽きるだろうことはわかっている。；私はこうしたお母様の怨みが尽きるまで生きておればそれでよいのだ。；代助は自分の頭が焼け尽きるまで電車に乗って行こうと決心した。；子供のころ友人に話した物語が尽きると、書けなくなるだろうと思っていた。；大事なことはそこで『他の男でも感じた』という一点に尽きるんだよ。；母親は息子の命が尽きた時は自分の命も尽きるものと覚悟をしているのではないか。；尽きることをしらぬもののように、あとから後からと頬を伝い落ちていた。</t>
        </is>
      </c>
      <c r="J5546">
        <f>HYPERLINK("https://www.weblio.jp/content/尽きる", "词义详情")</f>
        <v/>
      </c>
      <c r="K5546">
        <f>HYPERLINK("https://yourei.jp/尽きる", "查看例句")</f>
        <v/>
      </c>
    </row>
    <row r="5547">
      <c r="A5547" t="inlineStr">
        <is>
          <t>点く</t>
        </is>
      </c>
      <c r="B5547" t="inlineStr">
        <is>
          <t>成功</t>
        </is>
      </c>
      <c r="C5547" t="inlineStr">
        <is>
          <t>読み方：つく
［動カ五（四）］
１あるものと他のものが離れない状態になる。
㋐あるものが表面に密着する。くっつく。付着する。接着する。「ほこりが—・く」「飯粒が—・く」「この糊(のり)はよく—・く」
㋑主となるものに、さらに添え加わる。「おまけが—・く」「条件が—・く」
㋒消えないであとが残る。印される。「歯形が—・く」「傷が—・く」「しみが—・く」
㋓ある性質・能力などがそなわる。「知恵が—・く」「身に—・いたしぐさ」
㋔ある物事・状態・作用などが新たに生じたり、増し加わったりする。「電話が—・く」「味が—・く」「はずみが—・く」
２（着く）あるものが他のものや他の所まで達する。
㋐到着する。「手紙が昨日—・いた」「目的地に—・く」「定刻に—・く」
㋑一部分がある所に届いて触れる。「船底が海底に—・く」「枝が伸びて塀に—・く」
㋒ある場所を占める。位置する。「守備位置に—・く」「席に—・く」
３あるもののそばに寄ってそい従う。
㋐一緒になって行く。あとにつづき従う。「先頭ランナーに—・く」「彼のやり方には—・いていけない」
㋑その立場に心を寄せて行動を共にする。味方になる。「有利な側に—・く」「何かというと母親に—・く」
㋒そばを離れずにいる。いつもそばにいて世話をする。「護衛が—・く」「看護師が—・く」
㋓頼りになる、または助けてくれる者が背後にいる。「スポンサーが—・く」
㋔寄り集まる。たかる。「果物に虫が—・く」
㋕あるものに沿う。
「急いで堤(どて)に—・いて左の方へ道を折れた」〈秋声・足迹〉
４ある働きが活動を始める。
㋐働きが盛んになる。「食欲が—・く」「精力が—・く」
㋑（「点く」とも書く）燃えはじめる。また、あかりがともる。電気器具などが作動する。「火が—・く」「電灯が—・く」「テレビが—・いている」
㋒病気にかかる。感染する。「ばい菌が—・く」
㋓（「憑く」とも書く）乗り移る。とりつく。「ものに—・かれたような目」「狐(きつね)が—・く」
㋔五感にとらえられる。意識・知覚がはたらく。「よく気の—・く人」「目に—・く広告」「高慢さが鼻に—・く」
㋕植物が根をおろす。根づく。「挿し木が—・く」
５ある定まった状態がつくられる。
㋐解決する。まとまる。落着する。「話が—・く」「勝負が—・く」
㋑ある名前や値段になる。「愛称が—・く」「高値が—・く」
㋒あることの前提・結果のもとでは、その値段になる。「一つ百円に—・く」「結局は高く—・いた」
㋓意志が固まる。「決心が—・く」
６偶然などがうまく味方して、都合よく事が運ぶ。運が向く。「今日は—・いている」
７ある物事に付随して、別の物事が起こる。
「風に—・きてさと匂ふがなつかしく」〈源・蓬生〉
８病気にかかる。感染する。
「月ごろ御やまひも—・かせ給て」〈大鏡・道隆〉
９（動詞の連用形について）動作・状態の激しい意を表す。「しがみ—・く」「食い—・く」
[可能]つける
［動カ下二］「つ（付）ける」の文語形。
[下接句]悪銭身につかず・足が地に着かない・足が付く・足元に火が付く・油紙へ火が付いたよう・板に付く・生まれもつかない・海の物とも山の物ともつかない・襟に付く・襟元に付く・御釈迦(おしゃか)様でも気がつくまい・尾鰭(おひれ)が付く・及びもつかない・方が付く・格好がつく・気が付く・金箔(きんぱく)が付く・愚にも付かぬ・けちが付く・けりが付く・時代が付く・示しがつかない・尻(しり)に付く・尻に火が付く・土がつく・手が付く・手に付かない・箔(はく)が付く・鼻につく・話がつく・火が付く・火の付いたよう・引っ込みがつかない・人垢(ひとあか)は身につかぬ・人心地が付く・人目に付く・頰返(ほおがえ)しが付かない・眉(まゆ)に火が付く・身に付く・耳に付く・虫が付く・目に付く・目処(めど)が付く・目鼻が付く・焼け木杭(ぼっくい)に火が付く・理屈と膏薬(こうやく)はどこへでも付く</t>
        </is>
      </c>
      <c r="D5547" t="inlineStr">
        <is>
          <t>燃焼；発火</t>
        </is>
      </c>
      <c r="H5547" t="n">
        <v>29</v>
      </c>
      <c r="I5547" t="inlineStr">
        <is>
          <t>群贅の部屋に戻った私は、電気も点けずに長い時間床の上に座っていた。；明かりの点いていない部屋の中で神名は静かに彼女の傍らに座っていた。；以前は点けっぱなしにしていたテレビも、最近は消しておくことが多い。；車内灯を点けて読書しようとしてみたが、すぐに目が疲れてきてやめた。；彼は煙草をとり出すと火を点けて、何か思いめぐらしているようだった。；すると向い側の部屋に電気が点き、黒い影がゆらいでいる様子であった。；灯は消してあったが、テレビが点いていて、日本物の映画が映っていた。；スタンドに灯を点けて、あなたが坐っているところを狙っているんです。；スタンドを点けたまま枕許に置いてあった手にはスイッチを握っている。；食事中はテレビを点けない習慣なのだが、それを破ってまで見ていた。；どちらにしろ自分の部屋の中なら、灯など点けなくても歩くことはできた。；門の前には一台の自動車が黄色な橙黄色の燈火を点けて横たわっていた。；私は慌てて煙草に火が点かなくて困っている通行人に扮し、顔を隠した。；ところが、当の少女は、火を点けたりしていないと否定しているという。；まず線香花火を一本取り出して火を点けてその燃え方を観察してみる。；そうしてその中からまた新らしい金口を一本出してそれに火を点けた。；その停電の時だけ眠ってな、電気が点くとすぐさま勉強していたそうや。；事務所の灯りが点いていれば、三津田の他に誰かいるかもしれないから。；陽が沈み、街に灯りが点いてはいるが、まだ完全に夜になってはいない。；実際にはマッチで遊んでいた少年がある家に火を点けてしまったからだった。；映画が終わって電灯が点いた時、私は顔を上げ得ぬほどに泣いていた。；しかし階段の降り口には明るく電燈が点き、人の昇って来る気配はない。；「どこまで行っても妙な話だ」 私は新しい煙草に火を点けて言った。；小さな明かりが点いていたが、薄暗くて新聞を読むことはできなかった。；煙草の火を点けながら、飯を炊いていた長次郎と話をして別れて行った。；子供の頃から家族の誰かがこの時間になると必ずテレビを点けた。；火を点けたのはかおりぐらいの歳の女の子だったと言っていました。；そしてあの電気看板は毎晩、あのようにして点けっぱなしになっている。；窓を見上げたとき、蛍光灯を点けたままにしてきたことに気がついた。</t>
        </is>
      </c>
      <c r="J5547">
        <f>HYPERLINK("https://www.weblio.jp/content/点く", "词义详情")</f>
        <v/>
      </c>
      <c r="K5547">
        <f>HYPERLINK("https://yourei.jp/点く", "查看例句")</f>
        <v/>
      </c>
    </row>
    <row r="5548">
      <c r="A5548" t="inlineStr">
        <is>
          <t>付く</t>
        </is>
      </c>
      <c r="B5548" t="inlineStr">
        <is>
          <t>成功</t>
        </is>
      </c>
      <c r="C5548" t="inlineStr">
        <is>
          <t>読み方：つく
［動カ五（四）］
１あるものと他のものが離れない状態になる。
㋐あるものが表面に密着する。くっつく。付着する。接着する。「ほこりが—・く」「飯粒が—・く」「この糊(のり)はよく—・く」
㋑主となるものに、さらに添え加わる。「おまけが—・く」「条件が—・く」
㋒消えないであとが残る。印される。「歯形が—・く」「傷が—・く」「しみが—・く」
㋓ある性質・能力などがそなわる。「知恵が—・く」「身に—・いたしぐさ」
㋔ある物事・状態・作用などが新たに生じたり、増し加わったりする。「電話が—・く」「味が—・く」「はずみが—・く」
２（着く）あるものが他のものや他の所まで達する。
㋐到着する。「手紙が昨日—・いた」「目的地に—・く」「定刻に—・く」
㋑一部分がある所に届いて触れる。「船底が海底に—・く」「枝が伸びて塀に—・く」
㋒ある場所を占める。位置する。「守備位置に—・く」「席に—・く」
３あるもののそばに寄ってそい従う。
㋐一緒になって行く。あとにつづき従う。「先頭ランナーに—・く」「彼のやり方には—・いていけない」
㋑その立場に心を寄せて行動を共にする。味方になる。「有利な側に—・く」「何かというと母親に—・く」
㋒そばを離れずにいる。いつもそばにいて世話をする。「護衛が—・く」「看護師が—・く」
㋓頼りになる、または助けてくれる者が背後にいる。「スポンサーが—・く」
㋔寄り集まる。たかる。「果物に虫が—・く」
㋕あるものに沿う。
「急いで堤(どて)に—・いて左の方へ道を折れた」〈秋声・足迹〉
４ある働きが活動を始める。
㋐働きが盛んになる。「食欲が—・く」「精力が—・く」
㋑（「点く」とも書く）燃えはじめる。また、あかりがともる。電気器具などが作動する。「火が—・く」「電灯が—・く」「テレビが—・いている」
㋒病気にかかる。感染する。「ばい菌が—・く」
㋓（「憑く」とも書く）乗り移る。とりつく。「ものに—・かれたような目」「狐(きつね)が—・く」
㋔五感にとらえられる。意識・知覚がはたらく。「よく気の—・く人」「目に—・く広告」「高慢さが鼻に—・く」
㋕植物が根をおろす。根づく。「挿し木が—・く」
５ある定まった状態がつくられる。
㋐解決する。まとまる。落着する。「話が—・く」「勝負が—・く」
㋑ある名前や値段になる。「愛称が—・く」「高値が—・く」
㋒あることの前提・結果のもとでは、その値段になる。「一つ百円に—・く」「結局は高く—・いた」
㋓意志が固まる。「決心が—・く」
６偶然などがうまく味方して、都合よく事が運ぶ。運が向く。「今日は—・いている」
７ある物事に付随して、別の物事が起こる。
「風に—・きてさと匂ふがなつかしく」〈源・蓬生〉
８病気にかかる。感染する。
「月ごろ御やまひも—・かせ給て」〈大鏡・道隆〉
９（動詞の連用形について）動作・状態の激しい意を表す。「しがみ—・く」「食い—・く」
[可能]つける
［動カ下二］「つ（付）ける」の文語形。
[下接句]悪銭身につかず・足が地に着かない・足が付く・足元に火が付く・油紙へ火が付いたよう・板に付く・生まれもつかない・海の物とも山の物ともつかない・襟に付く・襟元に付く・御釈迦(おしゃか)様でも気がつくまい・尾鰭(おひれ)が付く・及びもつかない・方が付く・格好がつく・気が付く・金箔(きんぱく)が付く・愚にも付かぬ・けちが付く・けりが付く・時代が付く・示しがつかない・尻(しり)に付く・尻に火が付く・土がつく・手が付く・手に付かない・箔(はく)が付く・鼻につく・話がつく・火が付く・火の付いたよう・引っ込みがつかない・人垢(ひとあか)は身につかぬ・人心地が付く・人目に付く・頰返(ほおがえ)しが付かない・眉(まゆ)に火が付く・身に付く・耳に付く・虫が付く・目に付く・目処(めど)が付く・目鼻が付く・焼け木杭(ぼっくい)に火が付く・理屈と膏薬(こうやく)はどこへでも付く</t>
        </is>
      </c>
      <c r="D5548" t="inlineStr">
        <is>
          <t>付くべき；付くまい；付くべし；付くべく；付くだら</t>
        </is>
      </c>
      <c r="E5548" t="inlineStr">
        <is>
          <t>伴う；付着；密着；付随；接着</t>
        </is>
      </c>
      <c r="F5548" t="inlineStr">
        <is>
          <t>吸い付く；貼り付く；縋り付く；落ち付く；傷付く</t>
        </is>
      </c>
      <c r="H5548" t="n">
        <v>29</v>
      </c>
      <c r="I5548" t="inlineStr">
        <is>
          <t>犯人のポケットには小銭と、最近の血の跡が付いたナイフが入っていた。；時間内に決着が付かなかった場合はポイント数の多い選手が勝利となる。；しかし実際には付点が3つ以上付いた音符が使われることはまれである。；頭部に大きな斑点が付いていて、いろいろな柄のキノコが特徴的である。；技の名前に、それを最初に成功させた選手の名前が付くことも特徴である。；アメリカ輸出仕様では独立した大型のいわゆる5マイルバンパーが付く。；無掲揚であれば、なにか起きていると気が付いてもらえるかもしれない。；現在の研究用望遠鏡には以下のようないくつかの装置が付いている。；一部の消費者団体がICチップが付いた商品の不買運動をした例もある。；ミルクは付いていないので欲しい場合は追加で注文することになる。；人間の表情は顔でなく腹など別の場所に付いているのが特徴。；ポイントは付かないが還元額だけは利用可能な道路が一部に存在する。；具体的には色に興味がある人は色が付いた夢を見る、などである。；そのためジャックフロストの触れたところには霜柱が付くとされている。；延長戦を行っても決着が付かない場合は引き分けとする事に変更された。；ドラマや映画にも出演していたが、名前の付かないような脇役が多かった。；彼女は何の反応もせず、手を引けばただ大人しく付いて来るだけであった。；鉄板の扱いには注意が必要であり、周囲に油が付かない設備が必要である。；幼生は目が普通の魚と同様に左右に分かれて付いており、体も平たくない。；普通種だが流通するほどの価値は付かず、殆どは漁獲地周辺で消費される。；その後の警察の捜査では動機も犯人の見当も付かないままである。；生産するとキャラクターのステータスを強化する付加が付くことがある。；ラジオ黄金時代の帯番組の中で放送当時は唯一スポンサーが付いていた。；観光客のために携帯電話で情報が表示出来るようQRコードが付いている。；移動する事を考えられており、頑丈なハンドルや蓋が付いている物がある。；後者は、電子の座標の交換によって出てくる項のためこの名が付いている。；上りホームにのみ屋根の付いた簡易的な待合所とベンチが設置されていた。；発症は急激なこともあれば気が付かないまま進行していることもある。；彼は吉原へ行くよりほかはないと思いながらも、その決心が付かなかった。</t>
        </is>
      </c>
      <c r="J5548">
        <f>HYPERLINK("https://www.weblio.jp/content/付く", "词义详情")</f>
        <v/>
      </c>
      <c r="K5548">
        <f>HYPERLINK("https://yourei.jp/付く", "查看例句")</f>
        <v/>
      </c>
    </row>
    <row r="5549">
      <c r="A5549" t="inlineStr">
        <is>
          <t>就く</t>
        </is>
      </c>
      <c r="B5549" t="inlineStr">
        <is>
          <t>成功</t>
        </is>
      </c>
      <c r="C5549" t="inlineStr">
        <is>
          <t>読み方：つく
［動カ五（四）］《「付く」と同語源》
１
㋐（「即く」とも書く）ある地位に身を置く。特に、即位する。「王座に—・く」
㋑ある役職に身を置く。また、就職する。「管理職に—・く」「販売の仕事に—・く」
２みずからある動作を始める。「帰路に—・く」「眠りに—・く」
３選んで、それに従う。「易(やす)きに—・く」「師に—・く」
４（「…につき」「…につきて」「…について」の形で用いる）
㋐ある物事に関して。…にちなんで。「会社設立に—・いて会合を開く」「この件に—・き御意見を」
㋑（「…につき」の形で）…であるから。…のために。「喪中に—・き年賀を御遠慮します」
[可能]つける
［動カ下二］「つ（就）ける」の文語形。
[下接句]華を去り実に就く・官途に就く・位に即(つ)く・緒(しょ・ちょ)に就く・小を捨てて大に就く・小異を捨てて大同に就く・途に就く・床(とこ)に就く・鳥屋(とや)に就く・縛(ばく)に就く・水の低きに就くが如(ごと)し</t>
        </is>
      </c>
      <c r="D5549" t="inlineStr">
        <is>
          <t>就くべき；就く可能性；就くべく；就く意向を示し</t>
        </is>
      </c>
      <c r="E5549" t="inlineStr">
        <is>
          <t>占める</t>
        </is>
      </c>
      <c r="H5549" t="n">
        <v>29</v>
      </c>
      <c r="I5549" t="inlineStr">
        <is>
          <t>こうして六番隊と五番隊は連携して前述の日本軍連絡線の守備に就いた。；職分田は実際の職に就いている者がその間だけに与えられるものである。；私の案を立てた父の肖像画もこの点に就いては真を写しては居りません。；大松と同じ年に引退した畠山和洋も同年より同じコーチ職に就いている。；と史記にあるように、稷下の学士の中でも高い地位に就いたのであろう。；正之助がそろそろ床に就こうかと思っている時刻、自宅の電話が鳴った。；軍事長官である師の職に就いていたことから、「師尚父」とも呼ばれる。；酒の匂いがしても勤務に就かせないようにしているくらいであった。；ベルナドットは皇帝に健康上の理由で軍務に就くことは難しいと訴えた。；この結果、本校の卒業者は半数近くが銀行・会社・商店員の職に就いた。；一方で勉強した後にどのような職業に就くかはあまり考えていなかったという。；中央部では社会的階級が低い人たちが最後の眠りに就いている。；公職に就いてもしばらくはKKKに同情的であったことは確かである。；また待期期間中に職業に就き又は事業を開始した場合には支給されない。；国内担当と国際担当のそれぞれ一人ずつの副司令官には陸将補が就く。；同学年の羽生善治が、すでに初の竜王位に就いていた頃のことであった。；過酷な任務に就くため、AVFには以下のような基本性能が要求された。；彼が初期に就いていた他の職にはのヴァイオリンの教授があった。；歴史上で見ても稀にみる長い期間王位に就いている国王であった。；大学卒業後は、近畿地方の企業で営業職に就き、営業で数々の賞を受賞。；多くが上京者で編成され表では横文字職業に就いているのが特徴。；それまで理事長を務めていた幡谷祐一は代表権のある会長職に就いた。；事件後の両親の話では、本人は定職に就いておらず生活に困っていた。；高校卒業後はデザイン関係の仕事に就くために桑沢デザイン研究所へ入学。；若者は多くが定職に就かず、あるいは結婚せず、当然子どもを作らない。；戦争が終了すると、帰還兵を帰国させその補充兵を運ぶ任務に就いた。；またこのシーズンは守備に就いた試合では全て一塁手としての出場であった。；北部戦線では、彼がその指揮に就く前にカナダ侵攻作戦を放棄していた。；北軍に就いた州で、オハイオ州は人口当たりの兵士派遣数では最大だった。</t>
        </is>
      </c>
      <c r="J5549">
        <f>HYPERLINK("https://www.weblio.jp/content/就く", "词义详情")</f>
        <v/>
      </c>
      <c r="K5549">
        <f>HYPERLINK("https://yourei.jp/就く", "查看例句")</f>
        <v/>
      </c>
    </row>
    <row r="5550">
      <c r="A5550" t="inlineStr">
        <is>
          <t>突く</t>
        </is>
      </c>
      <c r="B5550" t="inlineStr">
        <is>
          <t>成功</t>
        </is>
      </c>
      <c r="C5550" t="inlineStr">
        <is>
          <t>読み方：つく
［動カ五（四）］
１とがった物で一つ所を勢いよく刺したり、強く当てたりする。「槍で—・く」
２棒状のもので強く押す。「判を—・く」「ところてんを—・く」
３棒などの先を打ち当てて鳴らす。「鐘を—・く」
４細長い物の先を押し立てて、支えにする。また、つっかえ棒をする。地面や床などに強く当てる。「つえを—・く」「ひざを—・く」
５打ち当ててはずませる。「まりを—・く」
６弱い所、予想しない所、急所などを選んで鋭く指摘したり攻めたりする。「不意を—・く」「核心を—・く」
７嗅覚などの感覚や心を強く刺激する。「鼻を—・く臭気」「胸を—・く哀話」
８障害や悪条件を問題にしないで何かをする。「風雨を—・いて進む」
９強い勢いで何かに当たる。また、限界に達する。「雲を—・くような大男」「食糧が底を—・く」
10将棋で、盤上にある歩(ふ)を前に一つ進める。
→刺(さ)す［用法］
[可能]つける
[下接句] 家に杖(つえ)つく・意気天を衝(つ)く・痛い所を衝く・意表をつく・兎(う)の毛で突いたほど・木戸を突く・虚を衝く・雲を衝く・言言肺腑(はいふ)を衝く・篠(しの)を突く・角水(すみず)を突く・底を突く・盾を突く・杖(つえ)に突く・手を突く・天を衝く・時を撞(つ)く・怒髪天を衝く・と胸を衝く・額(ぬか)を突く・鼻を突く・胸を突く</t>
        </is>
      </c>
      <c r="D5550" t="inlineStr">
        <is>
          <t>突くべく；突くような大男</t>
        </is>
      </c>
      <c r="E5550" t="inlineStr">
        <is>
          <t>攻撃；ヒット；打つ；問う；一撃</t>
        </is>
      </c>
      <c r="F5550" t="inlineStr">
        <is>
          <t>篠突く；ちょっと突く</t>
        </is>
      </c>
      <c r="H5550" t="n">
        <v>29</v>
      </c>
      <c r="I5550" t="inlineStr">
        <is>
          <t>手や尻を後ろに突いてしまった場合はその地点までの距離が記録となる。；ボールはうまく狙った位置へ飛び、彼女はそのボールを少し右へ突いた。；相手の背後に立った瞬間に決めることで相手の意表を突くことができる。；また、カードに使用するキャラクターが底を突くことを防ぐ作用もある。；そのまた自殺も首を縊ったとか、喉を突いたとか言うのではありません。；人間が壁によりかかる時は、目よりも低い箇所に手を突くのが普通です。；それがまた実に堂にいったもので、それぞれの急所を突くの感があった。；落ちちゃ大変だと神経を起すと、後から背中を突かれるような気がする。；つまり、一人ずつ不意を突かれて殺害されたものと判断していたのである。；彼の胸をそっと突くあの蛇にもきいてみたが、答えてはくれなかった。；憑依した人間を夢の世界へと誘って、その隙を突いているだけなのです。；いきなり頭上であると指摘されたため虚を突かれる思いがしたという。；不意を突かれるから損害は新田軍に多く、その度に軍行動は停止された。；しかし、何者かに一瞬の隙を突かれ香水の入った鞄を奪われてしまった。；比較のため、鏡の無い状況に置いた場合、ハトが点を突く事は無かった。；現生のシャチのように獲物を突く機能があったと小西らは提唱している。；百八とは仏教で言う煩悩の数でもあり、除夜の鐘で突かれる数でもある。；と云はれると私は止胸を突かれて、たぢろがずには居られませんでした。；そしてこういう風に、わしが顔をおおったその時に、その剣で突くのだ。；いよいよ彼らは、現実に牢獄の塀に打っ突からねばならなくなったんだ。；老紳士 さう、それぢや、そこの球突屋で球でも突いてることにしよう。；また棒で突かずに、手で入れたのか、最初から入っていたのかもしれない。；娘は刃物で左の胸と右の脇腹を突かれて、血まぶれになって死んでいる。；使用するときには安全栓を抜いて、棒を保持して戦車の装甲板を突いた。；突くことができないのみならず、引くこともできないらしくあります。；自分で短刀の柄を握ってそして自分の喉を突いてれば誰が見ても全く自殺。；打撃では変化球で外角を突く相手の攻めに対応することができず不振に。；首を出して見ると斜に糸の如く降る雨を突いて一輛の馬車が馳せて来る。；しかし仲間の死と恐怖に背突かれるように回復もせずに地上に向かったのだった。</t>
        </is>
      </c>
      <c r="J5550">
        <f>HYPERLINK("https://www.weblio.jp/content/突く", "词义详情")</f>
        <v/>
      </c>
      <c r="K5550">
        <f>HYPERLINK("https://yourei.jp/突く", "查看例句")</f>
        <v/>
      </c>
    </row>
    <row r="5551">
      <c r="A5551" t="inlineStr">
        <is>
          <t>着く</t>
        </is>
      </c>
      <c r="B5551" t="inlineStr">
        <is>
          <t>成功</t>
        </is>
      </c>
      <c r="C5551" t="inlineStr">
        <is>
          <t>読み方：つく
［動カ五（四）］
１あるものと他のものが離れない状態になる。
㋐あるものが表面に密着する。くっつく。付着する。接着する。「ほこりが—・く」「飯粒が—・く」「この糊(のり)はよく—・く」
㋑主となるものに、さらに添え加わる。「おまけが—・く」「条件が—・く」
㋒消えないであとが残る。印される。「歯形が—・く」「傷が—・く」「しみが—・く」
㋓ある性質・能力などがそなわる。「知恵が—・く」「身に—・いたしぐさ」
㋔ある物事・状態・作用などが新たに生じたり、増し加わったりする。「電話が—・く」「味が—・く」「はずみが—・く」
２（着く）あるものが他のものや他の所まで達する。
㋐到着する。「手紙が昨日—・いた」「目的地に—・く」「定刻に—・く」
㋑一部分がある所に届いて触れる。「船底が海底に—・く」「枝が伸びて塀に—・く」
㋒ある場所を占める。位置する。「守備位置に—・く」「席に—・く」
３あるもののそばに寄ってそい従う。
㋐一緒になって行く。あとにつづき従う。「先頭ランナーに—・く」「彼のやり方には—・いていけない」
㋑その立場に心を寄せて行動を共にする。味方になる。「有利な側に—・く」「何かというと母親に—・く」
㋒そばを離れずにいる。いつもそばにいて世話をする。「護衛が—・く」「看護師が—・く」
㋓頼りになる、または助けてくれる者が背後にいる。「スポンサーが—・く」
㋔寄り集まる。たかる。「果物に虫が—・く」
㋕あるものに沿う。
「急いで堤(どて)に—・いて左の方へ道を折れた」〈秋声・足迹〉
４ある働きが活動を始める。
㋐働きが盛んになる。「食欲が—・く」「精力が—・く」
㋑（「点く」とも書く）燃えはじめる。また、あかりがともる。電気器具などが作動する。「火が—・く」「電灯が—・く」「テレビが—・いている」
㋒病気にかかる。感染する。「ばい菌が—・く」
㋓（「憑く」とも書く）乗り移る。とりつく。「ものに—・かれたような目」「狐(きつね)が—・く」
㋔五感にとらえられる。意識・知覚がはたらく。「よく気の—・く人」「目に—・く広告」「高慢さが鼻に—・く」
㋕植物が根をおろす。根づく。「挿し木が—・く」
５ある定まった状態がつくられる。
㋐解決する。まとまる。落着する。「話が—・く」「勝負が—・く」
㋑ある名前や値段になる。「愛称が—・く」「高値が—・く」
㋒あることの前提・結果のもとでは、その値段になる。「一つ百円に—・く」「結局は高く—・いた」
㋓意志が固まる。「決心が—・く」
６偶然などがうまく味方して、都合よく事が運ぶ。運が向く。「今日は—・いている」
７ある物事に付随して、別の物事が起こる。
「風に—・きてさと匂ふがなつかしく」〈源・蓬生〉
８病気にかかる。感染する。
「月ごろ御やまひも—・かせ給て」〈大鏡・道隆〉
９（動詞の連用形について）動作・状態の激しい意を表す。「しがみ—・く」「食い—・く」
[可能]つける
［動カ下二］「つ（付）ける」の文語形。
[下接句]悪銭身につかず・足が地に着かない・足が付く・足元に火が付く・油紙へ火が付いたよう・板に付く・生まれもつかない・海の物とも山の物ともつかない・襟に付く・襟元に付く・御釈迦(おしゃか)様でも気がつくまい・尾鰭(おひれ)が付く・及びもつかない・方が付く・格好がつく・気が付く・金箔(きんぱく)が付く・愚にも付かぬ・けちが付く・けりが付く・時代が付く・示しがつかない・尻(しり)に付く・尻に火が付く・土がつく・手が付く・手に付かない・箔(はく)が付く・鼻につく・話がつく・火が付く・火の付いたよう・引っ込みがつかない・人垢(ひとあか)は身につかぬ・人心地が付く・人目に付く・頰返(ほおがえ)しが付かない・眉(まゆ)に火が付く・身に付く・耳に付く・虫が付く・目に付く・目処(めど)が付く・目鼻が付く・焼け木杭(ぼっくい)に火が付く・理屈と膏薬(こうやく)はどこへでも付く</t>
        </is>
      </c>
      <c r="D5551" t="inlineStr">
        <is>
          <t>着くなり；着くとすぐ；着くだろ；着くと同時に；着くと間もなく</t>
        </is>
      </c>
      <c r="E5551" t="inlineStr">
        <is>
          <t>くる；行く；来る；至る；到着</t>
        </is>
      </c>
      <c r="F5551" t="inlineStr">
        <is>
          <t>落着く；帰り着く；早く着く；着くまえ；着くと直ぐに</t>
        </is>
      </c>
      <c r="H5551" t="n">
        <v>29</v>
      </c>
      <c r="I5551" t="inlineStr">
        <is>
          <t>横浜に着くが洋学を学ぶ方法が分からず、父親のつてで東京に滞在する。；そうしてその手紙も着いたか着かないか分らないくらいに考えて寝ていた。；相手よりも早くゴールに着くか、先に相手のHPを0にしたほうが勝ち。；スペイン領フロリダに着くことができた奴隷は本質的には自由であった。；それから彼はその甲冑をいつも着こんで、戦さの騒ぎへ出かけていった。；一分後に、彼はその上着と帽子を着こんで、急いで廊下をもどってきた。；それからまた南の方向に降ること一里半ばかりでまた平地に着きました。；秋には第二次偵察隊が予定されていると聞いて、気持が落着かなかった。；私の一図の迷とは謂ひながら何為あの時に些少でも気が着かなかつたか。；荷物は皆運んで貰いまして三里ばかり行くとその人の宅へ着きました。；映画の前半で彼らは村に着くことのできる道路を探そうとしている。；夕方お出ましになれば夜の十時ごろにはお着きになることができましょう。；そこから一行はさらに西を目指してエリー湖に着き、そこで南に折れた。；彼女は、机の上の枕時計を見てだんだん落着かない気持になって行った。；騎士館から出てきたときには、黒いエナメル引きの甲冑を着こんでいた。；ひつじの毛皮の毛のほうを中に返して、すっかりからだに着こんでいた。；その日まで着て居た着物をぬいでしっとりと折目のついたのに着かえた。；言われるままに船を進めると、やがて無事に海岸に着くことができた。；しかし、川の水源に向かっていっても海には着かない、とわたしは思う。；他の八人より先に、王都に着かなければならない、そんな感じに見えた。；話も終わり、「死」を受け入れた彼は眠りに着くように薬で昏睡状態に。；帰路、ふたたび野中に着くと桜は育っており、喜んだ夫妻は道を急いだ。；服用すると一昼夜での完全変態を経て以下の様な昆虫の特性が身に着く。；驚いたことに、船長はすっかり宇宙服を着こんでおり、ビルに命令した。；なお乗り子は祭り終了まで地面に着くことが許されていない。；よい服に着かえさせられながら女王自身は何の心の動揺もなさそうであった。；なんでもお江戸から船のお着きになるのを待兼ねての御様子でございました。；むしろ時刻表に記載された到着時刻より5分以上早く着くことが多い。；翅を鳴らして宙を滑り、床に一度も足を着かずに窓から外へと飛び出す。</t>
        </is>
      </c>
      <c r="J5551">
        <f>HYPERLINK("https://www.weblio.jp/content/着く", "词义详情")</f>
        <v/>
      </c>
      <c r="K5551">
        <f>HYPERLINK("https://yourei.jp/着く", "查看例句")</f>
        <v/>
      </c>
    </row>
    <row r="5552">
      <c r="A5552" t="inlineStr">
        <is>
          <t>次ぐ</t>
        </is>
      </c>
      <c r="B5552" t="inlineStr">
        <is>
          <t>成功</t>
        </is>
      </c>
      <c r="C5552" t="inlineStr">
        <is>
          <t>読み方：つぐ
［動ガ五（四）］《「継ぐ」と同語源》
１すぐそのあとに続く。引き続いて起こる。「不幸に—・ぐ不幸に見舞われる」「梅に—・いで桜が咲きはじめた」
２すぐその下に位する。「東京に—・ぐ大都会」「知事に—・ぐ地位」</t>
        </is>
      </c>
      <c r="D5552" t="inlineStr">
        <is>
          <t>次ぐ第(7%)；次ぐ世界第；次ぐ大き；次ぐ高い；次ぐ国内第</t>
        </is>
      </c>
      <c r="E5552" t="inlineStr">
        <is>
          <t>続く；亜ぐ</t>
        </is>
      </c>
      <c r="F5552" t="inlineStr">
        <is>
          <t>次ぐ世界第三位；次ぐ準主役；次ぐ得点ランク；次ぐmlb史上；次ぐ球団史上</t>
        </is>
      </c>
      <c r="H5552" t="n">
        <v>29</v>
      </c>
      <c r="I5552" t="inlineStr">
        <is>
          <t>私は私で次ぎのように考えざるを得なかったと言おうとしているだけだ。；当時のドイツ領邦で彼はビスマルクに次いで最も重要な政治家であった。；そしてその次ぎに眼がさめてみると、おれのそばに死人が寝ているんだ。；それから二人の間には、大抵次ぎのような会話が交わされるのであった。；そしてアメリカ人にも優る様な、流暢な英語で次ぎのやうな事をいつた。；この数はアメリカ国内で1位であり、世界では香港に次いで2位である。；が、次ぎの瞬間に、今度は非常に熱心に、一字一字丁寧に読んで行った。；大正9年の記録では広島県の生産額は北海道に次いで二位を占めていた。；これは中之条町の地区の中ではは栃窪村に次ぎ2番目に低い数字だった。；次ぎの日から彼は子供を姉に預け、千枝子と二人で大阪と奈良へ行った。；それから二人の間には、大抵次ぎのやうな會話が交はされるのであつた。；そのネットワークは数の上でアメリカ合衆国に次ぎ2番目に規模が大きい。；そしてわれわれはこの感情に次ぎのような判断をつけ加えることができる。；ほかの人たちが次ぎつぎにそのほうへ歩いて行って、祈りの度に加わった。；そこで、結局、次ぎのように想定するのが一番真実に近いように思われる。；廃止時点での面積は日本の市の中で、蕨市に次いで2番目に小さかった。；まずその外に外穎がありその次ぎに内穎があって共に外面に毛を帯びる。；だが、おれは、その次ぎにまた、取りかへしのつかん失敗をしでかした。；そこでこの二人の間に次ぎのような言葉のやりとりが持ちあがった。；むろん次ぎになお一つの重要な補足的説明が附け加えられねばならぬ。；州内ではバンクーバーとビクトリアに次いで3番目に大きな都市である。；湖西線内の駅では山科駅に次いで多く、湖西線単独駅の中では最も多い。；あとは終日灰色の世界でこの時間と次ぎの時間の区別のつかない時の中にゐます。；県内の自治体で最大の面積を有し、人口は金沢市に次いで2番目に多い。；次ぎに日本にある長生きをしてゐる大木の有名なものを少し上げて見ませう。；又別なものを印刷するには、此の方法を其の次ぎの床で繰り返すのだ。；同国代表のビクトル・ランヘルに次ぐ4得点を記録して優勝に貢献した。；それが評判になったものか、次ぎは、目白の日本女子大から注文が来た。；そしてその次ぎの日、新聞であなたのお写真を見ましたんですわ。</t>
        </is>
      </c>
      <c r="J5552">
        <f>HYPERLINK("https://www.weblio.jp/content/次ぐ", "词义详情")</f>
        <v/>
      </c>
      <c r="K5552">
        <f>HYPERLINK("https://yourei.jp/次ぐ", "查看例句")</f>
        <v/>
      </c>
    </row>
    <row r="5553">
      <c r="A5553" t="inlineStr">
        <is>
          <t>継ぐ</t>
        </is>
      </c>
      <c r="B5553" t="inlineStr">
        <is>
          <t>成功</t>
        </is>
      </c>
      <c r="C5553" t="inlineStr">
        <is>
          <t>読み方：つぐ
［動ガ五（四）］
１（「嗣ぐ」とも書く）前の者のあとを受けて、その仕事・精神・地位などを引き続いて行う。続けてする。相続する。継承する。「家業を—・ぐ」「王位を—・ぐ」「父の志を—・ぐ」
２（「接ぐ」とも書く）
㋐ばらばらになっているもの、連続していないものをつなぎ合わせる。くっつける。「骨を—・ぐ」「破片を—・いで復元する」
㋑つぎ木をする。「ノバラにバラを—・ぐ」
３衣服の、破れたりいたんだりした箇所につぎを当てて直す。つくろう。「靴下の破れを—・ぐ」
４絶えないように前からあるものに加え補う。補給する。「炭を—・ぐ」「息を—・ぐ」
５囲碁で、切れそうな所に石を置いて補強する。相手に切断されないよう自分の石をつなぐ手を指す。
６「切る」の忌み詞。
「一の刀にて魚頭を—・ぎ」〈虎明狂・鱸庖丁〉
[可能]つげる</t>
        </is>
      </c>
      <c r="D5553" t="inlineStr">
        <is>
          <t>継ぐ者(3%)；継ぐべき(3%)；継ぐことなく；継ぐべく；継ぐ可能性</t>
        </is>
      </c>
      <c r="E5553" t="inlineStr">
        <is>
          <t>継承；相続；襲う；世襲；引き継ぐ</t>
        </is>
      </c>
      <c r="F5553" t="inlineStr">
        <is>
          <t>書き継ぐ；継ぐことなく早世；継ぐことなく宝暦；継ぐ者達；継ぐことなく死去</t>
        </is>
      </c>
      <c r="H5553" t="n">
        <v>29</v>
      </c>
      <c r="I5553" t="inlineStr">
        <is>
          <t>第五段の絵の次には第六段と第七段の詞書のみが連続して継がれている。；実家の寺を継がないことで家族の反対にあったが俳優になる道を歩んだ。；父ニッコロは彼にいずれ跡を継がせるつもりで、伯爵の位も与えていた。；男子が全て早世していたため、三弟の直格を養子に迎えて跡を継がせた。；その年6月にレコードは発売されてヒットし現在でも歌い継がれている。；天正8年に父・義国が死去する以前には家督を継いでいたものと思われる。；親が早世した場合などには、子が親よりも大きな名跡を継ぐことがある。；三郎は早世し子がいなかったため、その弟の四郎が養子となって跡を継いだ。；家業を継いでもらいたいと考えていた両親は当初進学に反対した。；勿論本人に継ぐつもりは全くなく結局誰が後を継いだのかは不明。；宇三郎の死後、晴次が宇三郎の名と会社を継いで道路経営をも継承した。；これは彼の代表作となり、後にドイツで長い間読み継がれることとなる。；子・持家を初めとする一族は後に、結城氏を継いだ越前松平家に仕えた。；長男の恒久に社長の座を継がせて舞台を一任し、自らは経営に専念した。；馬琴が手探りで記し、路が書き継いだ原稿が早稲田大学に現存している。；なんだ、地元のくせに知らねえのか、と言某を継ごうとして気がついた。；男子がいなかったため、家督は養嗣子になっていた甥の秀保に継がせた。；晩年は、老夫婦の生活や孫とのふれあいをテーマに連作を書き継いだ。；その意志を継いだ子孫の勢力を危惧したローマ教皇はフランスの手を借りた。；祖父・義達の猶子または養子となって家督を継いだとする説もある。；ハマーンは姉の跡を継いでミネバの世話をするようになったという。；こうして誕生したのが100年超を経た現在もなお歌い継がれている。；王座にある者は常に息子に位を継がせようとしそれに反発した有力者が剣を取る。；別の文献では武者修行のため諸国を遍歴し家督を継がなかったとする。；後にハースの意志を継いだ弟子たちの手によってエーザー版が出版された。；それゆえ現代でも世界中の人々によって読み継がれているのである。；父は農場を継いでもらいたかったが、フォードは農作業を軽蔑していた。；しかし、寿市郎は長男であり、家を継がなければいけない立場であった。；現代でもヨイクは歌い継がれ、さらに新しい音楽にも影響を与えている。</t>
        </is>
      </c>
      <c r="J5553">
        <f>HYPERLINK("https://www.weblio.jp/content/継ぐ", "词义详情")</f>
        <v/>
      </c>
      <c r="K5553">
        <f>HYPERLINK("https://yourei.jp/継ぐ", "查看例句")</f>
        <v/>
      </c>
    </row>
    <row r="5554">
      <c r="A5554" t="inlineStr">
        <is>
          <t>接ぐ</t>
        </is>
      </c>
      <c r="B5554" t="inlineStr">
        <is>
          <t>成功</t>
        </is>
      </c>
      <c r="C5554" t="inlineStr">
        <is>
          <t>読み方：はぐ
［動ガ五（四）］布・板などをつぎ合わせる。二つのものをつぎ合わせる。「布を—・ぐ」
[可能]はげる</t>
        </is>
      </c>
      <c r="D5554" t="inlineStr">
        <is>
          <t>接続；結合；接する；連結；継ぐ</t>
        </is>
      </c>
      <c r="H5554" t="n">
        <v>29</v>
      </c>
      <c r="I5554" t="inlineStr">
        <is>
          <t>その際に両腕が失われており、首も一度落ちたものを接いだものである。；そして二つ接いでもなお母石が寂しがったら我々はどうしたらいいだろう。；そうして木に竹を接いだような調子で、二人の間に割り込んで来た。；この男は何かを誤解していると思うたが、男が声を発してくれたことで、息を接ぐことが出来た。；何かかれらにも感情があり、一つきりで立てないときにはも一つ石を接ぐのもいいだろう。；接いだ部分はどう目を皿のようにしてもわからないという。；この力を触媒に、断絶した外部の形に、孤立した内側の形を接いで行く。；もしこの推測が當つてゐるなら、天津教は木に竹を接いだと評すべきである。；まあ、それならそれとしてだ、太い脚の代りに細い脚を接いだときはどうなるのか。；しかし短期間で生木を接ぐような第三の方式の糸口が見つかろうはずもない。；それ以上の言葉を接ぐことはできなかった。；私から火のついたたばこを受け取ると、自分のそれに接いで、火を移そうとした。；お延がどうしようかと迷っているうちに、お秀はまるで木に竹を接いだように、突然話題を変化した。；庄太郎はほっと一と息接いでいるとまた一匹の豚が大きな鼻を庄太郎に擦りつけに来た。；軽く肩を動かしてみると、事故で折れて接いでもらったばかりの鎖骨については問題なさそうではあったが、それにしても。；割れていたものをそこで接いであるのだ。；鼻も、見事すぎるほどに整形されていたのだろうが、一度折られたあと不細工に接いだらしい。；コンクリート製のホームに枕木を積んで作ったホームを接いでホーム長を延ばしていた。；チリンチリン、何処そこの何千何百番と言うか言わないに交換手が間違いなくその番号へ接いでくれたものだから、吃驚したんだね。；大きな板を接いだだけでは、本は立たないのだ。；個体としての図形が問題であるから、図形が他の図形から切れているか之と接いているかが、そこでは何よりも問題である。；それから、接ぐべき脚の切口も同様に撮影され、拡大映写される。；接ぐことにより普通の表より広幅のものが得られた。；そんな桜がいたたまれず、雁夜は無理に話の穂を接いだ。；このシザーズ・クイーンを、そんな、木に竹を接いだようなモノといっしょにされちゃ困る。；接ぐ言葉が見つからない、そんな辛そうな表情をしている。；彼は宿の子供と一緒に、竹を細く切り接いで作った蛇の玩具の青い尾を握って、戯れに稲の穂の中を泳がせつつ海の方へ出て行くこともあった。；この廊下が裏側の廊下に接いて、丁度本堂へ曲ろうとする角のところで、急に背後の方から人の来る気勢がした。；もし日記のなかに、事件とは直接関係のないことがあるじゃないかという人があったら、切ったり接いだり細工をするよりも、与えられた原文のままを採録したほうがよいと信じたから、そうしたのであるとだけ答えよう。</t>
        </is>
      </c>
      <c r="J5554">
        <f>HYPERLINK("https://www.weblio.jp/content/接ぐ", "词义详情")</f>
        <v/>
      </c>
      <c r="K5554">
        <f>HYPERLINK("https://yourei.jp/接ぐ", "查看例句")</f>
        <v/>
      </c>
    </row>
    <row r="5555">
      <c r="A5555" t="inlineStr">
        <is>
          <t>注ぐ</t>
        </is>
      </c>
      <c r="B5555" t="inlineStr">
        <is>
          <t>成功</t>
        </is>
      </c>
      <c r="C5555" t="inlineStr">
        <is>
          <t>読み方：そそぐ
［動ガ五（四）］《室町時代ごろまで「そそく」》
１
㋐流れ入る。流れ込む。「淀川は大阪湾に—・ぐ」
㋑雨や雪などがとぎれなく降りかかる。「雨が—・ぐ」「降り—・ぐ」
２
㋐流し入れる。また、容器に水などをつぐ。「田に水を—・ぐ」「茶碗に酒を—・ぐ」
㋑涙を流す。「熱い涙を—・ぐ」
㋒水などを上からかける。ふりかける。「盆栽に水を—・ぐ」
㋓もっぱら、その方へ向ける。一つことに集中する。「心血を—・ぐ」「視線を—・ぐ」「全力を—・ぐ」
[可能]そそげる
[下接句]油を注ぐ・意を注ぐ・心血を注ぐ・火に油を注ぐ・満面朱を濺(そそ)ぐ・目を注ぐ</t>
        </is>
      </c>
      <c r="D5555" t="inlineStr">
        <is>
          <t>注ぐべき；注ぐ小さな；注ぐ河口部；注ぐ河口付近；注ぐ長江右岸</t>
        </is>
      </c>
      <c r="E5555" t="inlineStr">
        <is>
          <t>打つ；満たす；払う；流す；収める</t>
        </is>
      </c>
      <c r="H5555" t="n">
        <v>29</v>
      </c>
      <c r="I5555" t="inlineStr">
        <is>
          <t>淡水は比較的に豊富で東湾に注ぐ川の他、いくつかの小河川が見られる。；一方で国内の整備にも力を注ぎ、カルタゴ・ノウァを建設し首都とした。；夫婦ら研究の紹介に大きな力を注ぎ、数々の貴重な証言を残している。；かつて義和団事件に関わったことから服部は特にこの活動に力を注いだ。；当初は南側の標高が低かったため川は南へと流れ志布志湾に注いでいた。；北海道を代表する企業であったこともあり、各種スポーツに力を注いでいた。；しかし、小村はさまざまな手を打って日英同盟関係の維持に意を注いだ。；交通の便の良さを生かして以前より企業・大学誘致に力を注いでいる。；構造エンジニア、構造設計者らの育成と地位の向上にも力を注いでいた。；そこでわが君に屈辱の飲料を注ごうとお思いになったのでありました。；それを現実のものにするため、ドイツが注いだ力は凄まじいものだった。；あなたはその人に油を注いで、わたしの民イスラエルの君としなさい。；クラブ存続の危機に瀕したが、若手選手育成に力を注いで危機を脱した。；それは油注ぎの男が、油買いに出たまま帰って来ないということであります。；ところが、不幸なことにこの友人は大規模な投機に財産を注ぎこんだ。；アマゾン川は他の河川の支川ではなく、最終的に大西洋へと注いでいる。；彼女は額を下げて、刺繍にじっと目を注ぎながらテーブルの前に坐っていた。；自分は一盻の微笑を彼等に注ぎかけて、静かに歩みを地獄の門に向けた。；使用の際にはその袋にレトルトとヒーターを共に入れ、少量の水を注ぐ。；元々はアラル海に注いでいたが、現在は河口部ではほぼ干上がっている。；大学の仕事、一般向けの著作活動以外にも技術の普及、広報に力を注いだ。；木の髄を桶に入れて大量の水を注ぎしばらく置くと、底に粉が沈殿する。；富士見池の南側に沿って石神井川が流れていて、一部は池にも注いでいる。；家族は娘二人と、いつも茶の注ぎ役になっているその伯母であった。；それからは不眠不休すべてをこの絵に注ぎこんでそれと格闘したのであった。；帰国後は地域振興に意を注ぎ、アメリカ通として講演活動等で活躍した。；水を容器に注いで電子レンジで煮込んで調理することを可能にしたもの。；現在のマドリード市政府は地下鉄網の拡張に多くの努力を注いでいる。；鳥谷川は内潟を経て十三湖に注ぎ、薄市川は単独で十三湖に注いでいた。</t>
        </is>
      </c>
      <c r="J5555">
        <f>HYPERLINK("https://www.weblio.jp/content/注ぐ", "词义详情")</f>
        <v/>
      </c>
      <c r="K5555">
        <f>HYPERLINK("https://yourei.jp/注ぐ", "查看例句")</f>
        <v/>
      </c>
    </row>
    <row r="5556">
      <c r="A5556" t="inlineStr">
        <is>
          <t>机</t>
        </is>
      </c>
      <c r="B5556" t="inlineStr">
        <is>
          <t>成功</t>
        </is>
      </c>
      <c r="C5556" t="inlineStr">
        <is>
          <t>読み方：おしまずき
１脇息(きょうそく)。〈和名抄〉
２つくえ。
「胸ふさがりて、ただ—にかかりて、夕の空に向かふのみ」〈笈日記・下〉
３牛車(ぎっしゃ)の前後の口の下に横に渡した仕切り板。〈名義抄〉</t>
        </is>
      </c>
      <c r="D5556" t="inlineStr">
        <is>
          <t>机博士；机の向こう側；机がわり；机越し；机案</t>
        </is>
      </c>
      <c r="E5556" t="inlineStr">
        <is>
          <t>テーブル；秘書；卓；書記；幹事</t>
        </is>
      </c>
      <c r="F5556" t="inlineStr">
        <is>
          <t>大きな机；勉強机；小机；仕事机；書き物机</t>
        </is>
      </c>
      <c r="G5556" t="inlineStr">
        <is>
          <t>机竜之助；机上の空論；机辺；机上演習；机龍之助</t>
        </is>
      </c>
      <c r="H5556" t="n">
        <v>29</v>
      </c>
      <c r="I5556" t="inlineStr">
        <is>
          <t>机が広くなると作業をのためのスペースを確保しやすくなり快適になる。；彼の多くの著書は版を重ね、多くの神学部学生たちの机に置かれていた。；事によると机の抽斗に、まだ何か発表しない原稿があるかも知れません。；宇多田はその間、机の下あたりに隠れて何か次の場面の準備をしている。；構造の基本は机とそれをカバーする前面と屋根、それに左右の壁である。；彼はいつも素麺の空き箱を机代わりにして記録に精を出していたという。；部屋にある机や椅子などの家具を配置すればコース作りの幅が広がる。；他の学習机にもあるが、この机の大きな特徴は、前棚がないことである。；二人は葉子の部屋だった六畳の腰窓の前に小さな二つの机を並べた。；机の中に通帳を見つけるが、そこにはおかしいところは見られなかった。；しかしフルシチョフ自身は、自叙伝の中で机を靴で叩いたと認めている。；靴を脱いで机を叩き、我々の抗議がさらに大きくなるようにしたのだ。；また、机も以前のスチールの机から原作と同じ木机に変更されている。；高さを変えるのは机を倒しての作業となるため、すこし手間がかかる。；北側と南側は各代表団が用いる机の形を巡ってまで論争を繰り返した。；机に座っている人物は小さな会社の重役か社長であるかもしれない。；これは机の上に開いてある本の形で、すぐにそれがわかりました。；すると字を書いた罫紙が一枚、机の下に落ちているのが偶然彼の眼を捉えた。；仏の面を付けた2人の舞人が舞台中央の机に蓮の花を置く場面などもある。；名前のとおり机の上で使うのに適した大きさの小型計算機である。；そのため、二人は手塚が使っていた机と同じ机で漫画を描いていた。；生徒が使用する机と椅子は女子美生用に設計されたオリジナル製品を使用する。；わたしが隠し部屋を再び調べると、机が汚れ、新しい血の跡が増えていた。；研究者は自分の机の上で論文を探してプリントできるからである。；小机の住宅地の中にある丘に立地し、正門までの道は急坂になっている。；私の前には机を隔ててお前たちの母上が坐っているようにさえ思う。；最初のカードがリードされたら、その時点でダミーのカードを机に晒す。；通路には、椅子や机が置かれており、交流スペースとして活用されている。；何処からともなく物音がしたかと思うと、突然勉強机の引き出しが開いた。</t>
        </is>
      </c>
      <c r="J5556">
        <f>HYPERLINK("https://www.weblio.jp/content/机", "词义详情")</f>
        <v/>
      </c>
      <c r="K5556">
        <f>HYPERLINK("https://yourei.jp/机", "查看例句")</f>
        <v/>
      </c>
    </row>
    <row r="5557">
      <c r="A5557" t="inlineStr">
        <is>
          <t>尽くす</t>
        </is>
      </c>
      <c r="B5557" t="inlineStr">
        <is>
          <t>成功</t>
        </is>
      </c>
      <c r="C5557" t="inlineStr">
        <is>
          <t>読み方：つくす
［動サ五（四）］
１そのことのために全部を使ってしまう。ある限りを出しきる。「手を—・す」「最善を—・す」
２その事柄の極にまで達する。成しうるまでする。きわめる。「善美を—・した建築」「ぜいたくの限りを—・す」
３果たす。全うする。「本分を—・す」「義務を—・す」
４他の者のために精一杯働いたり努力したりする。尽力する。「社会に—・す」「夫に—・す」
５すべてを表現する。「辛酸は筆舌に—・しがたい」
６（動詞の連用形に付いて）全部…する。すっかり…してしまう。「書き—・す」「言い—・す」
[可能]つくせる</t>
        </is>
      </c>
      <c r="D5557" t="inlineStr">
        <is>
          <t>尽くすべき(3%)；尽くすしかない；尽くすべく；尽くすよう命じ</t>
        </is>
      </c>
      <c r="E5557" t="inlineStr">
        <is>
          <t>仕える；役立つ；捧げる；貢献する；寄与する</t>
        </is>
      </c>
      <c r="F5557" t="inlineStr">
        <is>
          <t>焼き尽くす；覆い尽くす；食い尽くす；食べ尽くす；撃ち尽くす</t>
        </is>
      </c>
      <c r="H5557" t="n">
        <v>29</v>
      </c>
      <c r="I5557" t="inlineStr">
        <is>
          <t>好きな人に尽くすのが好きなタイプと いうのは変わらないみたいだな。；厳しい方だったが、常に県民のために尽くすことを基本としてこられた。；短い時間に桐子のすべてを奪い尽くそうとでもしているかのようである。；ロンドンの街を破壊し尽くす戦いは、やがて天変地異へと発展していく。；高い戦闘能力を持つこの宇宙戦艦は、その名の通り破壊の限りを尽くす。；争う者は正義も悪も関係無く、全てを無にするまで破壊の限りを尽くす。；すると、北から鳥の群れが飛んできて、蝗を食べ尽くしてしまいました。；そしてロボット大統領は地球上をロボットで埋め尽くす考えを発表。；きみが病院のためにどれほど尽くすことになるか考えてみたまえ。；生涯のうちに27種もの印譜を編集・出版し篆刻芸術の発展に尽くした。；そのことを犠牲にしてまですみ子のために尽くそうなどと思っても居ません。；顔色や地域がどうあれ、私はそう言う人に燃え尽くす火を与えることだろう。；こういう人は、自分が嫌いだと感じる人に、一生懸命尽くそうとします。；アニメ版のソロモン攻略戦では、敵の正面を埋め尽くす描写がなされた。；するとアリーナにが現れ、互いの力を使い尽くすまで両者は戦い続けた。；彼らはすべての水を飲み尽くし、人々は要塞の中に立て篭もるでしょう。；日本から留学してきた学生たちや、技術教育者たちのために力を尽くした。；孫休は学問を好み、諸子百家の書を全て読み尽くすほどの勢いであった。；また、関東申次に就任して幕府と朝廷との間の調整にも力を尽くした。；両曲の歌詞は他者に尽くすがために滅私に至った状態を表現している。；フォッグが一日も早くイギリスへ帰るように全力を尽くそうと思っていた。；未来の二人の幸せのために、全力を尽くそうとしたかどうかが重要なのです。；女王があんたを必要とする限り、女王に尽くすって約束したんだから。；これはどのぐらいの広さの土地を、燃やし尽くすことができるのだね?；果実が熟して落ちると仔ヒツジの足は地に達して周りの草を食べ尽くす。；最初のインド統一を果たしたアショーカ王は仏教の興隆にも力を尽くした。；だが庄川本流は上流部の至る所にダムが建設されており開発され尽くしていた。；だが母はおこげを食べ尽くしてしまい、娘には何も与えられなかった。；契約締結後にベストを尽くしてプレイしていきたいと意気込みを語った。</t>
        </is>
      </c>
      <c r="J5557">
        <f>HYPERLINK("https://www.weblio.jp/content/尽くす", "词义详情")</f>
        <v/>
      </c>
      <c r="K5557">
        <f>HYPERLINK("https://yourei.jp/尽くす", "查看例句")</f>
        <v/>
      </c>
    </row>
    <row r="5558">
      <c r="A5558" t="inlineStr">
        <is>
          <t>つくづく</t>
        </is>
      </c>
      <c r="B5558" t="inlineStr">
        <is>
          <t>成功</t>
        </is>
      </c>
      <c r="C5558" t="inlineStr">
        <is>
          <t>読み方：つくづく
［副］
１物事を、静かに深く考えたり、注意深く観察したりするさま。よくよく。じっくり。「寝た子の顔を—（と）眺める」「—（と）将来を考える」
２物事を痛切に感じるさま。しんから。しみじみ。「—（と）自分が嫌になる」「社会の厳しさを—（と）感じる」
３もの寂しく、ぼんやりしているさま。つくねん。
「—と臥したるにもやるかたなき心地すれば」〈源・紅葉賀〉</t>
        </is>
      </c>
      <c r="D5558" t="inlineStr">
        <is>
          <t>つくづく思う(7%)；つくづくと眺め(3%)；つくづくと見(2%)；つくづくいや；つくづく見</t>
        </is>
      </c>
      <c r="E5558" t="inlineStr">
        <is>
          <t>まったく；全く；すっかり；慎重；徹底的</t>
        </is>
      </c>
      <c r="F5558" t="inlineStr">
        <is>
          <t>つくづくと考え；つくづくと思い知らさ；つくづく情なく；つくづく思つた；つくづく情けなく</t>
        </is>
      </c>
      <c r="H5558" t="n">
        <v>29</v>
      </c>
      <c r="I5558" t="inlineStr">
        <is>
          <t>私は、人間の中の人間であらねばならない事をつくづく思ったのである。；僕はさっきから蚊帳の中に寝ている君等を見ながらつくづく思ったんだ。；わしも今外から帰つて来て、つくづく自分でもさう思つてゐたところさ。；そのあとでお絹は能登守の手紙を手に取ってつくづくと眺めていました。；種々昔の話が出てあの先生も年も取った事をつくづく感じてしまった。；幽霊の云ったことをつくづく考え運らしながら、今も彼はそうしていた。；つくづくあなたのご生涯を思えばただごとではない気がいたします。；残念なことには我々はそういう人物をつくづく見ることを勤めない。；よくやって来れたものだと、一九六一年のいまになって、つくづく思うよ。；或時何とはなしにこの団扇の絵をつくづくと見た所が非常に驚いた。；彼はつくづくと自分の人間性についての知識が誤っていたことを感じた。；桑はその女をつくづく見るに婉然たる李であったから覚えず涙を流した。；これをつくづく見る内に、近頃しばしば書く、文章の山の図を思ひ出す。；囚人となった忌々しい時間も決して無駄じゃなかったとつくづく思った。；私は自分の教養が足りないことを、このごろつくづく感じているんです。；車挽きでもいいから、やっぱり独りの人がいいとつくづくそう思ったわ。；誰か他の人が病気だと聞くと、つくづく自分の健康が有難く思えます。；責任は重大だし、事件は不可解だし、僕はつくづく参っていたところだ。；彼はこれまでもいつもおどろかされてきた相手の顔を、つくづくながめた。；こうしてでも教育は怠ってはならぬものと、つくづくありがたく感じた。；彼は電車の中で昂然とした姿勢の軍人の顔をつくづく眺めていた。；しかしそれから今の出来事をつくづく考えて見たのであります。；ガリオンにはその顔がよく見えなかったが、それをつくづく感謝した。；花を見ると、先ず君に見せたいと思って、そして一人でつくづく眺める。；だがこうして授業を受けてみると、つくづく独学には限界があると感じる。；法律はつくづく嫌でしたから、それを自分の職業とはすまいと決心していました。；だから僕もここへ来てこうして酒でも飲んでいると、つくづくそう思いますね。；そして、将棋さし二人男のほうをつくづくみていたが、急に飛びあがった。；やはり私は見るために生れて来た人間だとつくづくと思った。</t>
        </is>
      </c>
      <c r="J5558">
        <f>HYPERLINK("https://www.weblio.jp/content/つくづく", "词义详情")</f>
        <v/>
      </c>
      <c r="K5558">
        <f>HYPERLINK("https://yourei.jp/つくづく", "查看例句")</f>
        <v/>
      </c>
    </row>
    <row r="5559">
      <c r="A5559" t="inlineStr">
        <is>
          <t>償い</t>
        </is>
      </c>
      <c r="B5559" t="inlineStr">
        <is>
          <t>成功</t>
        </is>
      </c>
      <c r="C5559" t="inlineStr">
        <is>
          <t>読み方：つぐない
つぐなうこと。また、そのための金銭や行為。「罪の—をする」</t>
        </is>
      </c>
      <c r="D5559" t="inlineStr">
        <is>
          <t>償うべき(5%)；償うべく；償うべし</t>
        </is>
      </c>
      <c r="E5559" t="inlineStr">
        <is>
          <t>払う；返済；代償；補償；補う</t>
        </is>
      </c>
      <c r="F5559" t="inlineStr">
        <is>
          <t>生きて償う；もって償う</t>
        </is>
      </c>
      <c r="H5559" t="n">
        <v>29</v>
      </c>
      <c r="I5559" t="inlineStr">
        <is>
          <t>ポールは運命が彼のために与えてくれた償いを早く利用したいと思った。；罪を償わせるべきなのだろうが、おれの気持ちは早くも醒め始めていた。；でも、航海士になることがお父さんへの償いになるのならと思っていた。；その眼付は慈悲を施して罪の償いをするようにと私に懇願したのでした。；慎重な準備に要する時間は、あとできっとその償いをしてくれるだろう。；わたしは、自分が償いをしなければならない罪の重さを意識していた。；戦うことによってすべてを忘れ、すべてを償おうと彼は思ったのである。；橋場氏の命をぼくたちに償わせるための、これは計画された復讐なんだ。；だからそういう生産者は一部分闇に流して償いを得ているということか。；ただ、私が自分の罪を償ったのだというこ とだけ、知っていて下さい。；生命をもって償えと思ったなら、その感情のままに行動に出ることよ。；だからいってみれば、まことの恋が偽りの恋を償っていたわけであった。；おれはそんなことは考えちゃいない、それを償おうなんて思っちゃいない。；今日ではこの鱒は、きちんと罪を償った信心深い人の目にしか見えない。；誰かが犯した罪を代わりに償うなんて普通の少女がすることだろうか。；「天は私に償いを与え給うだろうか」 この時、娘が部屋に戻ってきた。；それによって未来が安泰となれば、一時の罪は十分に償われる筈だった。；秋霜烈日である法の下に、一日も早く被害者に対する罪の償いをしたい。；ただ殺すだけでは、私が長年受けてきた屈辱の償いにもなりはしない。；償いの意味で彼はレーサーを引退し今はスナックのマスターをしている。；その罪を償うために、自分は犯人を追っているのではないだろうか。；神が死を定め給うたのは、生を罰するためでもなく、償うためでもない。；私は自分のなした悪の償いとしてあの女に何か負うところはないのか。；あなたさまのような暗君は、生命をもって民に対する罪を償うべきです!；それは尾崎氏らを殺した人々に向ってこそ、国民が今日求める償いである。；ジャックは自分の罪を償うために、常に進んで危険な仕事に当たってきた。；そして神への償いは自分の死をもって果たされると言い息絶えるのだった。；僕は自分なりに、彼女への償いの仕方を考えていきたいと思います。；盗んだと申したところで高の知れた金品、被害人へ償いのてだてもある。</t>
        </is>
      </c>
      <c r="J5559">
        <f>HYPERLINK("https://www.weblio.jp/content/償い", "词义详情")</f>
        <v/>
      </c>
      <c r="K5559">
        <f>HYPERLINK("https://yourei.jp/償い", "查看例句")</f>
        <v/>
      </c>
    </row>
    <row r="5560">
      <c r="A5560" t="inlineStr">
        <is>
          <t>作り出す</t>
        </is>
      </c>
      <c r="B5560" t="inlineStr">
        <is>
          <t>成功</t>
        </is>
      </c>
      <c r="C5560" t="inlineStr">
        <is>
          <t>読み方：つくりだす
［動サ五（四）］
１こしらえる。製作する。生産する。「電気製品を—・す」「優秀な人材を—・す」
２新たにものをつくる。創作する。「芸術品を—・す」
３作りはじめる。「ツバメが軒下に巣を—・す」</t>
        </is>
      </c>
      <c r="D5560" t="inlineStr">
        <is>
          <t>作り出す可能性</t>
        </is>
      </c>
      <c r="E5560" t="inlineStr">
        <is>
          <t>する；建設；設立；製造；制作</t>
        </is>
      </c>
      <c r="H5560" t="n">
        <v>29</v>
      </c>
      <c r="I5560" t="inlineStr">
        <is>
          <t>また岩石でできた分身体ともいえる存在を無数に作り出すことができる。；また、生物のみが新たに生命の分子を作り出す能力を持つとされていた。；また、現実とは違った法則を設定した世界を作り出すことも考えられる。；火がある種の木から作り出されるということをこの神話は説明している。；彼が、いかなる方法、いかなる物質を使って作り出したかは不明である。；世界中の料理を日本化して日本風の西洋料理を作り出さなければならん。；パリでもウィーンでも、最新の流行は彼女が作り出すものとなっていた。；その次のステップは即興、演奏中にその場で何かを作り出すことである。；現在ではさまざまな色や形の品種が作り出され、世界中で愛されている。；また、敬体を使用した独特の語り口も特徴的な雰囲気を作り出している。；リー群から新たなリー群を作り出す標準的な方法がいくつか挙げられる。；それが改良されて現在ハバニーズと呼ばれる犬の前身が作り出された。；この道具を使うとその周りだけ現在の季節と違う環境を作り出すことができる。；芸術の目的とはわれわれにとっての現実の意味を作り出すことである。；逆に、人間の作り出した環境条件が好適であるために増えるものもある。；なぜ近代世界などが必要なのか、このような多くの毒が作り出されるのなら!；後ろから選手が出てくることで数的有利を作り出すことが出来る。；人を吠えつけることで、その人を自宅にいられないような状況を作り出す。；怒りや哀しみが、どのようにして作り出されるのかを忘れてしまっている。；異なった音は気管の深さと形状を変化させることによって作り出される。；彼は極地方に移り住んで彼とイヌイットのために氷の都市を作り出した。；アルバムリリースを重ねるごとに熱心なファンを作り出すことに成功。；こうして作り出された物質世界はグローランサと呼ばれるようになった。；これには生物が作り出す網と、生物体自体が網のような形になったものとがある。；前にハリーがここに立った時にはなかったスタンドが魔法で作り出されていた。；今の状況がいかにして作り出されたのかを整理してみようか。；彼女は成功したが、単に別の時間軸を作り出したに過ぎなかった。；魔王は魔血魂と呼ばれる血の塊を他の生物に与えることで魔人を作り出す。；ジーンズ革命という言葉を作り出したのはジュブルであるとされている。</t>
        </is>
      </c>
      <c r="J5560">
        <f>HYPERLINK("https://www.weblio.jp/content/作り出す", "词义详情")</f>
        <v/>
      </c>
      <c r="K5560">
        <f>HYPERLINK("https://yourei.jp/作り出す", "查看例句")</f>
        <v/>
      </c>
    </row>
    <row r="5561">
      <c r="A5561" t="inlineStr">
        <is>
          <t>作る</t>
        </is>
      </c>
      <c r="B5561" t="inlineStr">
        <is>
          <t>成功</t>
        </is>
      </c>
      <c r="C5561" t="inlineStr">
        <is>
          <t>読み方：つくる
［動ラ五（四）］ある力を働かせて、新しい物事・状態を生みだす。まとまった形のあるものにする。
１材料・原料・素材などを用いたり、それに手を加えたりして、まとまりのあるものや意味のあるものに仕上げる。建物・器具・物質・芸術作品などを製造・製作する。「船を—・る」「米から酒を—・る」「草稿を—・る」
２
㋐農作物などを、世話したり力を注いだりして、育てあげる。「野菜を—・る」「健全な人物を—・る」
㋑土地を耕す。「田を—・る」
「細道一つ残して皆畑に—・り給へ」〈徒然・二二四〉
３いままで存在しなかったものを新しく生じさせる。「子供を—・る」「地方に支店を—・る」
４意図的に工夫して、形・状態を現出する。わざとそのようなようすをする。「口実を—・る」
「庭を秋の野に—・りて」〈古今・秋上・詞書〉
５（「時をつくる」の形で）雄鶏(おんどり)が、ある時刻に声高に勇ましく鳴く。「早朝に鶏が時を—・る」
６囲碁で、双方の地(じ)を数えやすくするために盤面を整理する。「終局して碁を—・る」
７罪や功徳のもととなることをする。
「いかなる罪を—・り侍りて」〈かげろふ・下〉
[補説]一般的には「作る」が用いられ、「造る」は家や船など大きなものをつくること、また、酒を仕込むことに用いられる。「創る」は創刊・創業・創作・創造・創立などのように、新しい物事をつくりだす意で使うが、製造・製作・育成・栽培などに関しては使わない。
[可能]つくれる
[用法]つくる・こしらえる——「料理を作る（こしらえる）」「一財産作る（こしらえる）」など、新しい物にまとめあげる意では相通じて用いられる。◇「詩を作る」「米を作る」を「こしらえる」とは言わない。創造性とか自然の力が加わって初めて完成するような物については、「こしらえる」はふさわしくない。◇「今や、日本で造られた自動車が世界中を走っている」のように、総体的な生産を示す場合も「造る」が普通。「これが、この工場でこしらえた自動車です」のような具体的な製造物については、「こしらえる」と言うこともできる。◇「逃げ言葉をこしらえる」「女をこしらえる」などでは「こしらえる」が優勢。
[下接句]色を作る・貝を作る・垣(かき)を作る・香箱を作る・極楽願うより地獄作るな・詩を作るより田を作れ・科(しな)を作る・鼈(すっぽん)が時をつくる・天は人の上に人を造らず人の下に人を造らず・時をつくる・鬨(とき)をつくる・述べて作らず・鳩(はと)を憎み豆を作らぬ・雌鳥(めんどり)勧めて雄鳥(おんどり)時をつくる・俑(よう)を作る</t>
        </is>
      </c>
      <c r="D5561" t="inlineStr">
        <is>
          <t>作るべき；作るべく</t>
        </is>
      </c>
      <c r="E5561" t="inlineStr">
        <is>
          <t>する；なる；行う；設置；建設</t>
        </is>
      </c>
      <c r="F5561" t="inlineStr">
        <is>
          <t>作るストーリーライン・バイオニクル；作るのに手間；作るといふこと</t>
        </is>
      </c>
      <c r="H5561" t="n">
        <v>29</v>
      </c>
      <c r="I5561" t="inlineStr">
        <is>
          <t>現在は記事を作ることよりも内容を充実させることが求められています。；明確に子ども向けに作られた書物は17世紀までには既に存在していた。；非協力作家のリストを軍の黒幕になって作っている文士もあると聞いた。；このアメリカの態度に業を煮やし、独自の潜水艦を作ることを発表した。；しばらくして妻との生活に満足したアガスティヤは子を作ろうと考えた。；もちろん自分がそういう詩を作ろうという気持になったこともなかった。；彼女の能力はあくまで対象を視界に収めていなければ回転の軸を作れない。；トルコ政府は識字率向上のため義務教育を提供する学校を急速に作った。；わたしは阿Qの正伝を作ろうとしたのは一年や二年のことではなかった。；古代王国の後期には、魔法に力により幾多の特殊な都市が作られている。；日本にはピック社が伝統的な製法で作られたサラミなどを輸出している。；ぼくは、結婚してもう一度家庭というものを作ろうと思っていたわけさ。；また、作詞作曲両方をする時は基本的に曲を先に作ってから詞をつける。；砂糖工場ではしばしば工場内で働く機会があり、物を書く時間を作れた。；人が聞いたら、彼が自分で一台作ろうとしているのだと思っただろう。；音楽を作る側も再生側もほとんど同じ音を出す時代になっている。；その後それらは分割され、アジア各地に墓が作られ日本にもそれは存在する。；また、映像作品を作るためには、多くのスタッフが関係することがある。；人類が大きな国家を作るようになると船舶による輸送が不可欠となった。；だから、フィクションだけの雑誌を作ろうとするのは自然な流れである。；そのうちにこの方面のものだけで、チームを作ろうと思っているのだ。；そのようなコースでは適当な言語のコンパイラを実際に作らせることが多い。；ではこの人間の全存在を、いつでも支援するマシンは作れないのだろうか。；しかし幕府はこれを採用せず、代わりに江戸府内の地図を作るよう命じた。；元々は湧水であり、堤を作って水を溜めるようにしたためこの名がある。；僅か一年の間に大金を作ろうなぞと約束したのがこっちの愚昧であった。；ただし、死後300年を過ぎてから作られはじめたので実際の姿ではない。；これ以降、多様な装置が作られたがいずれもモノクロのものであった。；また昔話を題材にした作品も黎明期から現在に至るまで作られている。</t>
        </is>
      </c>
      <c r="J5561">
        <f>HYPERLINK("https://www.weblio.jp/content/作る", "词义详情")</f>
        <v/>
      </c>
      <c r="K5561">
        <f>HYPERLINK("https://yourei.jp/作る", "查看例句")</f>
        <v/>
      </c>
    </row>
    <row r="5562">
      <c r="A5562" t="inlineStr">
        <is>
          <t>繕う</t>
        </is>
      </c>
      <c r="B5562" t="inlineStr">
        <is>
          <t>成功</t>
        </is>
      </c>
      <c r="C5562" t="inlineStr">
        <is>
          <t>読み方：つくろう
［動ワ五（ハ四）］《動詞「つく（作）る」の未然形に反復継続の助動詞「ふ」の付いた「つくらふ」の音変化》
１衣服などの破れ損じたところや物の壊れた箇所を直す。補修する。「ほころびを—・う」「垣根を—・う」
２乱れた身なりなどを整える。整え装う。「髪を—・う」
３外・はたから見た感じがいいように、体裁をよくする。「世間体(せけんてい)を—・う」
４ぐあいの悪いことや過失を隠して、うまくその場をとりなす。「その場をなんとか—・ってごまかす」
５病気の手当てをする。
「御風邪よく—・はせ給へ」〈源・浮舟〉
[可能]つくろえる</t>
        </is>
      </c>
      <c r="D5562" t="inlineStr">
        <is>
          <t>繕うことすらでき</t>
        </is>
      </c>
      <c r="E5562" t="inlineStr">
        <is>
          <t>修理；修正；直し；改修；修復</t>
        </is>
      </c>
      <c r="H5562" t="n">
        <v>29</v>
      </c>
      <c r="I5562" t="inlineStr">
        <is>
          <t>少し歩いて岩のある所へ来ると、そこに網を繕っている男がいるのです。；どんなに表情を繕って見せても、その心の中は手に取るようにわかった。；前に進むということすら苦痛になり、表情を繕うことすらできなくなる。；またほかの鳥の、自分では届かない場所の羽根を繕ってやることもある。；大豆の煎り豆で茶を飲んだ後、母はやはり黙ったまま繕いものを始めた。；何も繕うものが無いから、嘘も無かった二人の間に、嘘が入って来る。；繕いようもなく傷をひらいたまま、私どもは昨日の敵の上陸を待っている。；娘は男たちの食事の世話をしたり、漁網《あ み》の繕いをしたりする。；そして、もはや本音を取り繕えないほどに疲れたのは竜児も同じだった。；私は茜が繕って持っている男の話も聞きたかったが押さえて、微笑んだ。；繕いものをしながら待っていたおようは、次第に落ち着かなくなってきた。；どう繕って良いのかも、どう嘘をついて良いのかもわからなかった。；客の前では体裁を繕ってはいても、身内だけの時ともなればほとんど無視。；ああ、繕うことのできぬ不幸よ、そもそも何者がお前を織りあげるのか?；夫はいつか会えると信じて妻に繕ってもらうはずの服をそのままに残しておく。；これは1690年、度々繕い普請が行われていたためと推測されている。；人々は比較的幸福そうで、だれもがみな繕いのない装束に身を包んでいた。；男の方に、その場を繕うようなつもりがないことは明らかだった。；この少年にしては珍しく、必死になって繕ったような態度だった。；東側には神窓があり、その光で人形のエカシが蹲って網を繕っている。；すると彼女はためておいた残り布のなかから、同じようなものを探して繕っていた。；居間では妹だけがテレビをつけっぱなしにして繕いものをしていた。；体裁だけはいつも繕わなければならぬ彼の家の生活の象徴だった。；宿題のある日母親は傍で繕い物をしながら少年の苦労を分ち合った。；私だったら、破壊されても繕ってあげられるのに、そんな口をきいてもいいの?；逆に繕い物などの際には長すぎる糸は絡まるなどのトラブルを起こしやすい。；縁側に座って繕い物をしていると、いつの間にか前に一人の男が立っていた。；円網は張りっぱなしにして損傷を繕うのではなく、毎日完全に張り替える。；彼の苦しみも悲しみも、その作品同様に繕われることがなかった。</t>
        </is>
      </c>
      <c r="J5562">
        <f>HYPERLINK("https://www.weblio.jp/content/繕う", "词义详情")</f>
        <v/>
      </c>
      <c r="K5562">
        <f>HYPERLINK("https://yourei.jp/繕う", "查看例句")</f>
        <v/>
      </c>
    </row>
    <row r="5563">
      <c r="A5563" t="inlineStr">
        <is>
          <t>付け</t>
        </is>
      </c>
      <c r="B5563" t="inlineStr">
        <is>
          <t>成功</t>
        </is>
      </c>
      <c r="C5563" t="inlineStr">
        <is>
          <t>読み方：つけ
［名］
１支払い請求書。勘定書き。書きつけ。「会社に—を回す」
２その場で支払わないで店の帳簿につけさせておき、あとでまとめて支払うこと。また、その支払い方法。「—で飲む」「—がきく」
３運。つき。つごう。
「途中から—が悪(わり)いから」〈魯文・西洋道中膝栗毛〉
４（ふつう「ツケ」と書く）歌舞伎で、立ち回り・駆け足・打擲(ちょうちゃく)の音などを表現し、また見得(みえ)を印象づけるため、舞台上手の横で、役者の動作に合わせて板を拍子木に似た柝(き)で打つこと。また、その拍子。上方では「かげ」という。付け拍子。
５「付け帳」の略。
６手紙。
「此中(こんぢう)—をよこした女(あま)よ」〈滑・浮世床・初〉
［接尾］動詞の連用形に付いて、いつもそうしている、…しなれている、などの意を表す。「掛かり—の医者」</t>
        </is>
      </c>
      <c r="D5563" t="inlineStr">
        <is>
          <t>付けられる(3%)；付け替え；付け合わせ；付けさせる；付け直し</t>
        </is>
      </c>
      <c r="E5563" t="inlineStr">
        <is>
          <t>信用；クレジット；後払い；信用販売；後払</t>
        </is>
      </c>
      <c r="F5563" t="inlineStr">
        <is>
          <t>結論付け；印象付け；縫い付け；決定付け；絵付け</t>
        </is>
      </c>
      <c r="G5563" t="inlineStr">
        <is>
          <t>付け加え；付け根；付け替え；付け加える；付け足し</t>
        </is>
      </c>
      <c r="H5563" t="n">
        <v>29</v>
      </c>
      <c r="I5563" t="inlineStr">
        <is>
          <t>日本の高速バスでは便または路線ごとで愛称を付けているケースが多い。；初めてこれらの説に理由付けを与えたのがモリス・ドゥラフォスである。；フランスでは子供に付けられる名前が少なく、同じ名前の人物が多数いる。；これに加えて任命される時に名前も同じく付けられる雑号将軍がある。；数多くの能力が存在し、それらは流派や定義付けなどが行われている。；この特徴付けは、周辺空間 にも依存するものであることに留意する。；山岳会には山または歩くことにちなんだ名前が付けられることが多い。；このように外部条件を利用する物はメタミステリとの関係付けが行なわれる。；静的型付けでは、全ての式の型はそのプログラムを実行する前に決定される。；基準となる場所からの方角、国や地方の中での位置から付けた地名。；同法の規定に基づき、同年12月28日付けで初の国宝指定が行われた。；瑞祥にも宣伝にも当てはまらず、笑いをとるために付けられた地名もある。；原則「キッズケータイ」に付けられているが、下記のように例外もある。；遺伝現象は古くから知られていたが、その理論付けは困難であった。；型付けは動的型付けに分類できるが、言語仕様の中に型概念は登場しない。；なお、次の場合ではあえてスキー板にプレートを付けないケースがある。；ハンカチ落としは一定の条件を付けてプログラミングの問題に応用される。；研究所からの資金提供はなく、OSには名前も付けられていなかった。；この成功に活気付けられて任天堂はすぐに北米市場への進出を考えた。；彼は競馬を楽しんでいるし、着差を付けないで勝つことが好きなんだ。；そのような結晶構造には以下のように名前が付けられている。；またこの頃にスコアボード付近の合計5箇所に広告が貼り付けられた。；車両には4桁の番号が付けられており、以下の規則に基づいている。；この右足対策を十分に身に付けたまま、安藝ノ海は本番を迎えたのである。；かくして不平等が制度化され、現在の社会状態へと移行したのだと結論付けた。；また、エプシロンの上下に縦線または点を付けたものもしばしば使われる。；彼は電話で元気付けてくれ、どうしているかと気遣ってくれた。；フランス人はフォアグラを買うことに景気付けの意味合いもあるという。；それぞれ中心となる都市の名が付けられている。</t>
        </is>
      </c>
      <c r="J5563">
        <f>HYPERLINK("https://www.weblio.jp/content/付け", "词义详情")</f>
        <v/>
      </c>
      <c r="K5563">
        <f>HYPERLINK("https://yourei.jp/付け", "查看例句")</f>
        <v/>
      </c>
    </row>
    <row r="5564">
      <c r="A5564" t="inlineStr">
        <is>
          <t>付け加える</t>
        </is>
      </c>
      <c r="B5564" t="inlineStr">
        <is>
          <t>成功</t>
        </is>
      </c>
      <c r="C5564" t="inlineStr">
        <is>
          <t>読み方：つけくわえる
［動ア下一］［文］つけくは・ふ［ハ下二］すでにあるものに、さらに別のものを添える。つけたす。補足する。「説明を—・える」</t>
        </is>
      </c>
      <c r="D5564" t="inlineStr">
        <is>
          <t>付け加えるなら(8%)；付け加えるべき(2%)</t>
        </is>
      </c>
      <c r="E5564" t="inlineStr">
        <is>
          <t>与える；もたらす；加える；付与；増す</t>
        </is>
      </c>
      <c r="F5564" t="inlineStr">
        <is>
          <t>そう付け加える；さらに付け加える；一つ付け加える；一言付け加える</t>
        </is>
      </c>
      <c r="H5564" t="n">
        <v>29</v>
      </c>
      <c r="I5564" t="inlineStr">
        <is>
          <t>大部分はおそらく寝釈迦像が付け加えられた頃にはすでに崩壊していた。；付け加えると俺は走っていて、いつも通りに頭が働く状態ではないのだ。；これは建設中に南壁が崩壊した後の1399年に付け加えられた物である。；それを簡単に導き出す方法は2つの部分を一緒に付け加えることである。；そのため、ほとんどの人は当然のようにいくつかのパッチを付け加える。；ただし、この内容は後世になって付け加えられたものである可能性もある。；夫丈では物足らなかったから、いつもお達者で・・と付け加えておいた。；ヴァイトラは2か月間の期間を置いて製作を開始することを付け加えた。；本作で新たに付け加えられた機能として、速度の概念の登場が挙げられる。；それはただこの男の最後の瞬間に苦痛を付け加えるだけである。；ほかの言葉を付け加える必要がないほどそれは力強い響を持っていた。；そしてロビンソンの記事は自身の意見を全く付け加えていない追憶である。；のちには国王の即位に塗油の儀式も付け加えられるようになった。；目釘穴を付け加えたことや、多少変化させたぐらいの場合も生ぶとされる。；群に新たな構造を付け加えることにより、群の概念が発展することになった。；念のために付け加えるなら、次の三〇分は当然俺のボロ負けだった。；放送上のタイトルには、上記の名称の前に西暦年を示す数字を付け加えていた。；彼はこの事件が国家安全保障の問題として扱われていると付け加えた。；同時に様々な設定が付け加えられ、現在では特徴的なキャラクターとなっている。；なお収録するにあたりファンからの感謝を表すが付け加えられてる。；念のため付け加えるならば、著者は別にひげだけの専門家ではない。；よけいな事ではあるがここにもう一つの理由を付け加える事を許していただきたい。；「それで私も辛いのです」と彼は微笑しながら付け加えるのであった。；その後が朝日を象徴する黄色の細い帯を赤と緑のあいだに付け加えることを提案した。；夜は助言を与えるというが、夜は心を和らげると付け加えることもできる。；念のために付け加えると、これはマイナスの意味でいうのではない。；このライセンスはLGPLに幾つかの例外条項を付け加えたものである。；これは現在でも、ただ1つの分類が付け加えられたのみで現在も利用されている。；たぶん父は、深く恥じ入りながらと付け加えるべきだと言うでしょう。</t>
        </is>
      </c>
      <c r="J5564">
        <f>HYPERLINK("https://www.weblio.jp/content/付け加える", "词义详情")</f>
        <v/>
      </c>
      <c r="K5564">
        <f>HYPERLINK("https://yourei.jp/付け加える", "查看例句")</f>
        <v/>
      </c>
    </row>
    <row r="5565">
      <c r="A5565" t="inlineStr">
        <is>
          <t>漬物</t>
        </is>
      </c>
      <c r="B5565" t="inlineStr">
        <is>
          <t>成功</t>
        </is>
      </c>
      <c r="C5565" t="inlineStr">
        <is>
          <t>読み方：つけもの
主に野菜を塩・糠(ぬか)・味噌・麹(こうじ)・醤油・酢などに漬けたもの。香の物。</t>
        </is>
      </c>
      <c r="D5565" t="inlineStr">
        <is>
          <t>漬物屋(4%)；漬物樽(2%)；漬物桶；漬物用；漬物店</t>
        </is>
      </c>
      <c r="F5565" t="inlineStr">
        <is>
          <t>おいしい漬物；漬物蔵；漬物甕；漬物業界；漬物製造業</t>
        </is>
      </c>
      <c r="G5565" t="inlineStr">
        <is>
          <t>漬物床；漬物ステーキ</t>
        </is>
      </c>
      <c r="H5565" t="n">
        <v>29</v>
      </c>
      <c r="I5565" t="inlineStr">
        <is>
          <t>僕らは漬物のような色をした太陽を描いてもよいわけではありませんか。；こういう漬物にもいろいろあるが、いずれも新らしい方法かと思われる。；その机の上には食物が並んでいて、魚の匂いや漬物の匂いがしている。；実家が漬物屋だったことで、独特の臭いが影響し、大の漬物嫌いだった。；日本各地で作られており、漬物の中でもよく使用される漬け方である。；そのため農家が作る量は漬物メーカーからの注文量によって決まっている。；生きているなと思うときは、朝起きて、茄子の漬物の色を見た瞬間だけだね。；漬物用の塩蔵キュウリは、中国やベトナムなどから大量に輸入している。；ただし、柔らかくなりすぎるため本格的な漬物には向かないとされている。；漬物は来た当時から、林作にかなりの満足を与えるように漬けている。；前述のように、日野菜は漬物にして食されることがほとんどである。；漬物樽を象った道具で、この中には独特の匂いがついているぬかが入っている。；しかし、この段階では糠床は熟成していないため、漬物の風味は少ない。；つまり漬物は年を越すように塩辛くつけるのを、本則としていたのである。；これは塩で一夜漬にして、漬物代用にしたり副食にもしておりました。；私は少年のころから家族にたいして漬物についてだけは文句ばかり言っていた。；広義には、中国の他の地域でも作られる他の野菜を用いた漬物をいう場合もある。；その漬物桶が家によってはとても結構なのが用意せられているとのことである。；漬物用の山東菜は主に埼玉県で栽培されているが、流通量は少ない。；外で食事をしていても私の気にくわぬのは何時も漬物である。；そして彼女たちを泣かせながら漬物のつけ方を教えてやって下さい。；更に、近年では、漬物以外の新たな利用法も編み出され始めている。；私は普通の白いご飯に焼き魚とお漬物という食事が一番好きなのだ。；漬物の神社と知られており、境内には漬物を納める「香の物殿」がある。；「おい、漬物を取ってくれ」 これも、いつものパターンなのである。；その漬物の美味だったこと、私はこのような漬物を食べたことはまだなかった。；第二次世界大戦前は、漬物と同様に各家庭で作られていた。；店の女が鰻重と吸物と漬物ののった大きな盆をかかえて部屋に入ってきた。；私は断言しよう、まずい漬物を食べさせる彼女は必らずよくない妻君だ!</t>
        </is>
      </c>
      <c r="J5565">
        <f>HYPERLINK("https://www.weblio.jp/content/漬物", "词义详情")</f>
        <v/>
      </c>
      <c r="K5565">
        <f>HYPERLINK("https://yourei.jp/漬物", "查看例句")</f>
        <v/>
      </c>
    </row>
    <row r="5566">
      <c r="A5566" t="inlineStr">
        <is>
          <t>点ける</t>
        </is>
      </c>
      <c r="B5566" t="inlineStr">
        <is>
          <t>成功</t>
        </is>
      </c>
      <c r="C5566" t="inlineStr">
        <is>
          <t>読み方：つける
［動カ下一］［文］つ・く［カ下二］
１あるものが他のものから離れない状態にする。
㋐表面に密着させる。くっつける。付着させる。「おしろいを—・ける」「マニキュアを—・ける」「扉に金具を—・ける」
㋑主となるものに他のものを加える。何かに添えたり、付属させたりする。「利息を—・ける」「振り仮名を—・ける」「部屋にクーラーを—・ける」
㋒あとを残す。あとに残るように書きとめる。しるす。印する。「しみを—・ける」「日記を—・ける」
㋓ある性質・能力などがそなわるようにする。「悪知恵を—・ける」「技術を身に—・ける」
㋔ある物事・状態・作用などを新たに生じさせたり、増し加えたりする。「雪をかいて道を—・ける」「丸みを—・ける」
２（着ける）
㋐からだにまとわせたり、帯びたりする。衣服などを着る。着用する。「はかまを—・ける」「犬に首輪を—・ける」
㋑乗り物をある場所に寄せ止める。「船を岸に—・ける」「車寄せに—・ける」
㋒からだのある部分を何かに届かせる。近寄せて触れさせる。「頭を地に—・ける」「頰と頰を—・ける」
㋓ある場所に位置させる。命じて一定の所にいさせる。「走者をスタートラインに—・ける」
３
㋐あとに続き従わせる。あとに続く。「好位置に—・けている」「2位に—・ける」
㋑ある立場に心を寄せさせて従わせる。「味方に—・ける」
㋒人をそばに置く。そばにいさせて世話をさせる。「ボディーガードを—・ける」「付き添いを—・ける」
㋓あとを追う。尾行する。「少し離れて—・けて行く」
４ある働きを発動させる。活動を開始させる。
㋐働きを盛んにする。「食欲を—・ける」「元気を—・ける」
㋑（点ける）燃えるようにする。また、あかりをともす。スイッチなどを入れて器具を作動させる。「枯れ草に火を—・ける」「電灯を—・ける」
㋒五感でとらえる。感覚器官を働かせる。注意を向ける。「気を—・ける」「目を—・ける」
５ある定まった状態をつくり出す。
㋐解決させる。落着させる。まとめる。「話を—・ける」「けりを—・ける」
㋑ある名前や値段にする。「題名を—・ける」「時価で値を—・ける」
㋒意志を固める。「決心を—・ける」「死ぬ覚悟を—・ける」
６連歌・俳諧で、前の句にうまくつながらせて、あとに句をつづける。
７器に盛ったり燗(かん)をしたりして、飲食物を用意する。「御飯を—・ける」「一本—・けてくれ」
８（「…につけ」「…につけて」の形で）…に関連して。…に伴って。…の場合も。「何事に—・け相談してください」「よきに—・け悪しきに—・け」「暑さ寒さに—・けて故郷を思う」
９（動詞の連用形に付いて）
㋐それをすることが習慣になっている、しなれている意を表す。「履(は)き—・けている靴」「行き—・けない場所」
㋑相手に対してなされる行為の勢いが激しい意を表す。「たたき—・ける」「しかり—・ける」
㋒その行為が、ある対象に向けられる意を表す。「言い—・ける」
㋓到着する、または来させる意を表す。「駆け—・ける」「呼び—・ける」
㋔しっかりととどめる意を表す。「心に刻み—・ける」
㋕鼻や目で感じとって、何かを探り当てる意を表す。「嗅(か)ぎ—・ける」
[下接句]跡をつける・糸目を付けない・色を付ける・因縁をつける・後ろを付ける・尾に尾を付ける・尾鰭(おひれ)を付ける・折り紙を付ける・方を付ける・金に糸目は付けぬ・眼(がん)を付ける・気を付ける・けちを付ける・けりを付ける・黒白(こくびゃく)を付ける・腰に付ける・先鞭(せんべん)をつける・田にも畦(あぜ)にも腥物(なまぐさもの)つけて・知恵を付ける・注文を付ける・提灯(ちょうちん)を付ける・唾(つば)を付ける・手が付けられない・手を付ける・取って付けたよう・難を付ける・難癖を付ける・猫の首に鈴をつける・熨斗(のし)をつける・箔(はく)を付ける・箸(はし)をつける・火を付ける・眉(まゆ)に唾をつける・身に付ける・見切りを付ける・味噌(みそ)をつける・道を付ける・目を付ける・目処(めど)を付ける・目鼻を付ける・目星を付ける・目安を付ける・勿体(もったい)を付ける・文句を付ける・楊枝(ようじ)に目鼻を付けたよう・渡りを付ける</t>
        </is>
      </c>
      <c r="H5566" t="n">
        <v>29</v>
      </c>
      <c r="I5566" t="inlineStr">
        <is>
          <t>こうした行為はポーランド人の抵抗運動に火を点けるのに十分であった。；人類が火を使いはじめた頃は、火を点けることは手間のかかることだった。；くわえた煙草に火を点ける時に、手が小さく震えているのがわかった。；階段を降りて廊下の電気を点けるが、誰かが潜んでいる気配はしなかった。；火を点けることのできる能力ならば、湯を沸かすこともできるのでは?；火を点けるつもりだったのだろうが、煙草は彼女の指のあいだで折れてしまった。；長谷川がそっと出したコーヒーを見つめて新しい煙草に火を点ける。；でも、どうしてだか二本目どころか三本目の煙草にも火を点けるのだ。；タケキは一日に三本程度しか吸わない煙草の一本を口に咥え、火を点ける。；映画館ならば、怖くなったからといって自分で電気を点けるわけにはいかない。；いくらお手軽な能力者だからといって、いきなり火を点けることはないだろう。；エンジンを急いで動かし、ヘッドライトを点けると、静かに神に感謝した。；火を点けることができても、雪が解けて薪が濡れてくると消えてしまうからだ。；目の前の瀬川のような身勝手な理由だけで火を点ける馬鹿がいる。；部屋の中は薄暗くなっていたが、明かりを点けるような雰囲気ではなかった。；パイプに火を点けると、気持のよい晩だったので、いつまでも歩きつづけた。；シーハン中尉はその側にある建物に火を点けるよう命じるしかなくなった。；が、現在の位置にあって再び蝋燭を点けると云うことは、殆ど不可能であった。；ランプを点けるのが厭なので、己は薄暗がりに、床の上で横になつてゐる。；疲れが一時に出て来て、ランプの下で煙草に火を点けるともう彼は動くことも出来なかった。；そしてそっと火を点けると目に涙を浮かべていた。；何処からか覗かれている可能性がある以上、明かりを点けるわけにはいかない。；太陽はとっくに沈んでいたが、明かりを点ける気にはならなかった。；彼が煙草に火を点けると、一瞬頭が煙のなかに消えた。；明りを点けると、何だか、あまり趣味のいいとは言えない部屋である。；火を点けるには火の連鎖反応を開始する温度まで何らかの方法で加熱する必要がある。；灯を点けることによって、祥子の眠りを覚ますことを恐れたのである。；つまり、火を点ける気はなかったと言い張ろうとしているわけだ。；次郎は紙燭に火を点けると、それを片手に挑げてあたりを照し出した。</t>
        </is>
      </c>
      <c r="J5566">
        <f>HYPERLINK("https://www.weblio.jp/content/点ける", "词义详情")</f>
        <v/>
      </c>
      <c r="K5566">
        <f>HYPERLINK("https://yourei.jp/点ける", "查看例句")</f>
        <v/>
      </c>
    </row>
    <row r="5567">
      <c r="A5567" t="inlineStr">
        <is>
          <t>付ける</t>
        </is>
      </c>
      <c r="B5567" t="inlineStr">
        <is>
          <t>成功</t>
        </is>
      </c>
      <c r="C5567" t="inlineStr">
        <is>
          <t>読み方：つける
［動カ下一］［文］つ・く［カ下二］
１あるものが他のものから離れない状態にする。
㋐表面に密着させる。くっつける。付着させる。「おしろいを—・ける」「マニキュアを—・ける」「扉に金具を—・ける」
㋑主となるものに他のものを加える。何かに添えたり、付属させたりする。「利息を—・ける」「振り仮名を—・ける」「部屋にクーラーを—・ける」
㋒あとを残す。あとに残るように書きとめる。しるす。印する。「しみを—・ける」「日記を—・ける」
㋓ある性質・能力などがそなわるようにする。「悪知恵を—・ける」「技術を身に—・ける」
㋔ある物事・状態・作用などを新たに生じさせたり、増し加えたりする。「雪をかいて道を—・ける」「丸みを—・ける」
２（着ける）
㋐からだにまとわせたり、帯びたりする。衣服などを着る。着用する。「はかまを—・ける」「犬に首輪を—・ける」
㋑乗り物をある場所に寄せ止める。「船を岸に—・ける」「車寄せに—・ける」
㋒からだのある部分を何かに届かせる。近寄せて触れさせる。「頭を地に—・ける」「頰と頰を—・ける」
㋓ある場所に位置させる。命じて一定の所にいさせる。「走者をスタートラインに—・ける」
３
㋐あとに続き従わせる。あとに続く。「好位置に—・けている」「2位に—・ける」
㋑ある立場に心を寄せさせて従わせる。「味方に—・ける」
㋒人をそばに置く。そばにいさせて世話をさせる。「ボディーガードを—・ける」「付き添いを—・ける」
㋓あとを追う。尾行する。「少し離れて—・けて行く」
４ある働きを発動させる。活動を開始させる。
㋐働きを盛んにする。「食欲を—・ける」「元気を—・ける」
㋑（点ける）燃えるようにする。また、あかりをともす。スイッチなどを入れて器具を作動させる。「枯れ草に火を—・ける」「電灯を—・ける」
㋒五感でとらえる。感覚器官を働かせる。注意を向ける。「気を—・ける」「目を—・ける」
５ある定まった状態をつくり出す。
㋐解決させる。落着させる。まとめる。「話を—・ける」「けりを—・ける」
㋑ある名前や値段にする。「題名を—・ける」「時価で値を—・ける」
㋒意志を固める。「決心を—・ける」「死ぬ覚悟を—・ける」
６連歌・俳諧で、前の句にうまくつながらせて、あとに句をつづける。
７器に盛ったり燗(かん)をしたりして、飲食物を用意する。「御飯を—・ける」「一本—・けてくれ」
８（「…につけ」「…につけて」の形で）…に関連して。…に伴って。…の場合も。「何事に—・け相談してください」「よきに—・け悪しきに—・け」「暑さ寒さに—・けて故郷を思う」
９（動詞の連用形に付いて）
㋐それをすることが習慣になっている、しなれている意を表す。「履(は)き—・けている靴」「行き—・けない場所」
㋑相手に対してなされる行為の勢いが激しい意を表す。「たたき—・ける」「しかり—・ける」
㋒その行為が、ある対象に向けられる意を表す。「言い—・ける」
㋓到着する、または来させる意を表す。「駆け—・ける」「呼び—・ける」
㋔しっかりととどめる意を表す。「心に刻み—・ける」
㋕鼻や目で感じとって、何かを探り当てる意を表す。「嗅(か)ぎ—・ける」
[下接句]跡をつける・糸目を付けない・色を付ける・因縁をつける・後ろを付ける・尾に尾を付ける・尾鰭(おひれ)を付ける・折り紙を付ける・方を付ける・金に糸目は付けぬ・眼(がん)を付ける・気を付ける・けちを付ける・けりを付ける・黒白(こくびゃく)を付ける・腰に付ける・先鞭(せんべん)をつける・田にも畦(あぜ)にも腥物(なまぐさもの)つけて・知恵を付ける・注文を付ける・提灯(ちょうちん)を付ける・唾(つば)を付ける・手が付けられない・手を付ける・取って付けたよう・難を付ける・難癖を付ける・猫の首に鈴をつける・熨斗(のし)をつける・箔(はく)を付ける・箸(はし)をつける・火を付ける・眉(まゆ)に唾をつける・身に付ける・見切りを付ける・味噌(みそ)をつける・道を付ける・目を付ける・目処(めど)を付ける・目鼻を付ける・目星を付ける・目安を付ける・勿体(もったい)を付ける・文句を付ける・楊枝(ようじ)に目鼻を付けたよう・渡りを付ける</t>
        </is>
      </c>
      <c r="D5567" t="inlineStr">
        <is>
          <t>付けるべき；付けるべく</t>
        </is>
      </c>
      <c r="F5567" t="inlineStr">
        <is>
          <t>印象付ける；決定付ける；結論付ける；惹き付ける；縫い付ける</t>
        </is>
      </c>
      <c r="H5567" t="n">
        <v>29</v>
      </c>
      <c r="I5567" t="inlineStr">
        <is>
          <t>以上をまとめて命名の先頭に立体配置命名を付けると次のようになる。；また、イングランドでは二枚の布を胸に縫い付けることが義務化された。；藤上はただ弁護士を付けろとだけ繰り返し、大鼾をかいて寝てしまった。；自動車のナンバープレートは郡名の最初の文字を付けることになっている。；FNN結成後は系列放送局が独自のタイトルを付けるようになっていった。；また、煙草に火を付けるカットがしばしば場面転換に用いられている。；圧倒的人数にさえ気を付ければ、後は流れを選択すればよいのだ。；通常白い花は、日本の大部分の桜のように、葉が出る前に花を付ける。；九寨溝を強く印象付けるもののひとつに、独特の青い水があげられる。；同じクラスの艦には同種の名を付ける傾向があり、その場合それが級名となる。；紛失したボタンに極力似た物を付けるため世界中のボタンを保管している。；打ちそこなった場合には顔に墨を付ける罰が与えられることもある。；もし条件を付けるとすれば、日本側ではなくアメリカ側から提示するべきだ。；他の同名クラブは、フルミネンセの後に州名を付けることで区別している。；そうしたわけで、私は時々これは能力の乏しさなのだろうと結論付けるのです。；愛し合ってる間、他の名前を呼ばないように気を付ければいいんだ。；またそのことが話題となり、さらに人気に火を付ける結果となった。；詰め袖の着物だが京都と同様の肩上げをし、鬘だが花かんざしを付ける。；神道では戒名はなく、姓名の下に、之霊・命・命霊・霊位などを付ける。；凧の安定度を増すために、尻尾と呼ばれる細長い紙を付けることがある。；これは当時属州の都市に皇帝が名前を付けることはあり触れたことであったためであろう。；ブレスレットとは、手首や腕に付ける装飾的な帯や輪や鎖などのことである。；これは家臣と商人との癒着を防ぎ、身分の上下の区別を付ける目的もあった。；したがって、乗員は背負い式の落下傘 を身に付けることが前提になる。；原則として大人用のみの発売で、定期券の機能を付けることもできない。；首が短く、立ったままでは口を地面に付けることができない。；新しく発見された病名など学術的用語に個人名を付けるのに似ている。；当初、徽章は袴の紐に付けていたが、後に制服の胸に付けるようになった。；恐らくアメリカとの関係が深い自分の出自を印象付けるためだったと思われる。</t>
        </is>
      </c>
      <c r="J5567">
        <f>HYPERLINK("https://www.weblio.jp/content/付ける", "词义详情")</f>
        <v/>
      </c>
      <c r="K5567">
        <f>HYPERLINK("https://yourei.jp/付ける", "查看例句")</f>
        <v/>
      </c>
    </row>
    <row r="5568">
      <c r="A5568" t="inlineStr">
        <is>
          <t>浸ける</t>
        </is>
      </c>
      <c r="B5568" t="inlineStr">
        <is>
          <t>成功</t>
        </is>
      </c>
      <c r="C5568" t="inlineStr">
        <is>
          <t>読み方：つける
［動カ下一］［文］つ・く［カ下二］
１水などの中に入れておく。ひたす。「洗濯物を水に—・ける」「豆を一晩—・けておく」
２（漬ける）食材を、塩・糠(ぬか)・味噌(みそ)・麹(こうじ)などの中に入れて、味をしみこませる。漬物にする。「梅の実を塩で—・ける」「大根を—・ける」
[用法]つける・ひたす——「足を湯につける（ひたす）」「魚を醤油につける（ひたす）」など、液体の中に入れる意では相通じて用いられる。◇「塩につける」「味噌につける」「大根をつける」「白菜をつける」は「つける」だけの用法で、「ひたす」は使わない。◇「布切れにアルコールをひたす」のように液体を含ませることは「つける」とは言わない。◇「ひたす」は液体を染み込ませ、ぬれた状態にすることに重点があり、「つける」は液体やその他のものの中に沈め入れることに重点がある。◇「漬け物」は塩をかけ重しを加えて一定時間そのままにしておくが、「浸し物」は熱湯でさっとゆでるだけである。</t>
        </is>
      </c>
      <c r="D5568" t="inlineStr">
        <is>
          <t>沈める；濡らす；浸す；漬ける；浸かる</t>
        </is>
      </c>
      <c r="H5568" t="n">
        <v>29</v>
      </c>
      <c r="I5568" t="inlineStr">
        <is>
          <t>ついいましがたまで川に浸けていた輝子の手から水がしたたり落ちていた。；逆に、一旦乾くと水に浸けても滲まないことで保存に適した方法だった。；水に浸けたなめし革みたいにぐにゃぐにゃな陽物しか持っていないのです。；生のものも使用されるが、板状に加工したものは水に浸けて戻して用いられる。；それは、液体の入った球形の瓶のなかに浸けられた目玉のようでもある。；卵を籠に入れて湯溜りの中へ浸けておけば、すぐにおいしいゆで卵となる。；洗い終えた野ブタを海に浸けたまま、若林たちは焚き火のそばに行った。；洗面器に張った水に顔を浸けている人みたいに沈黙している。；氷嚢が生憎無かつたので、清は朝の通り金盥に手拭を浸けて持つて來た。；卵を竹籠に入れて青い地獄の湯に浸けて茹でた温泉卵が名物である。；岸には男の取つて来た鮎を窓のある小桶に入れたのを持つて水に浸けにゆく女がゐる。；人によっては、冷水に足を浸けて小さい靴に無理矢理足を入れていた。；青柚は、色が急激に変りやすいので、お使いになる前に必ず水に浸けます。；少しずつ湯に頭を浸けている時間のほうが長くなってゆく。；医者の手に抱き取られた宵子は、湯の中に五六分浸けられていた。；それにつられるように、スーもまた手をのばして、手首まで水に浸けた。；しかし、次の瞬間にはまた顔を湯の中に浸けていた。；加茂の水の透き徹るなかに全身を浸けたときは歯の根が合わぬくらいであった。；身動きしようとしたが、氷浸けになってしまったように動けない。；窓の下に石鹸水の入ったバケツがあり、薄物の洗濯物が浸けてあった。；一晩水に浸け、そのまま軽く沸騰させてから焼けば、かなり食べやすくなる。；シロップに浸けたばかりのものは、ブランデーの香りがややとがっている。；細切りにした腎臓を浸け焼きにしたザウレニーレンも各地で見られる。；女は泳げないんだか、泳ぎたくないんだか、胸から下を水に浸けたまま波の中に立っていました。；料理卓の上にはアンショアの三枚におろしたのが昨日からオリーブ油に浸けられている。；小さい頃に鳥を見つけたが、父親に見せたら酷いことをされると分かっていたので、自分で水に浸けて殺した。；海にどっぷり浸けたように重たくて、床に落ちると鈍い音を立てた。；当初は単純な塩水に浸けた魚を干したものであったらしい。；こいつをちょいと炒りつけ、水に浸けて皮をむいたのを茶飯へ炊きこむ。</t>
        </is>
      </c>
      <c r="J5568">
        <f>HYPERLINK("https://www.weblio.jp/content/浸ける", "词义详情")</f>
        <v/>
      </c>
      <c r="K5568">
        <f>HYPERLINK("https://yourei.jp/浸ける", "查看例句")</f>
        <v/>
      </c>
    </row>
    <row r="5569">
      <c r="A5569" t="inlineStr">
        <is>
          <t>着ける</t>
        </is>
      </c>
      <c r="B5569" t="inlineStr">
        <is>
          <t>成功</t>
        </is>
      </c>
      <c r="C5569" t="inlineStr">
        <is>
          <t>読み方：つける
［動カ下一］［文］つ・く［カ下二］
１あるものが他のものから離れない状態にする。
㋐表面に密着させる。くっつける。付着させる。「おしろいを—・ける」「マニキュアを—・ける」「扉に金具を—・ける」
㋑主となるものに他のものを加える。何かに添えたり、付属させたりする。「利息を—・ける」「振り仮名を—・ける」「部屋にクーラーを—・ける」
㋒あとを残す。あとに残るように書きとめる。しるす。印する。「しみを—・ける」「日記を—・ける」
㋓ある性質・能力などがそなわるようにする。「悪知恵を—・ける」「技術を身に—・ける」
㋔ある物事・状態・作用などを新たに生じさせたり、増し加えたりする。「雪をかいて道を—・ける」「丸みを—・ける」
２（着ける）
㋐からだにまとわせたり、帯びたりする。衣服などを着る。着用する。「はかまを—・ける」「犬に首輪を—・ける」
㋑乗り物をある場所に寄せ止める。「船を岸に—・ける」「車寄せに—・ける」
㋒からだのある部分を何かに届かせる。近寄せて触れさせる。「頭を地に—・ける」「頰と頰を—・ける」
㋓ある場所に位置させる。命じて一定の所にいさせる。「走者をスタートラインに—・ける」
３
㋐あとに続き従わせる。あとに続く。「好位置に—・けている」「2位に—・ける」
㋑ある立場に心を寄せさせて従わせる。「味方に—・ける」
㋒人をそばに置く。そばにいさせて世話をさせる。「ボディーガードを—・ける」「付き添いを—・ける」
㋓あとを追う。尾行する。「少し離れて—・けて行く」
４ある働きを発動させる。活動を開始させる。
㋐働きを盛んにする。「食欲を—・ける」「元気を—・ける」
㋑（点ける）燃えるようにする。また、あかりをともす。スイッチなどを入れて器具を作動させる。「枯れ草に火を—・ける」「電灯を—・ける」
㋒五感でとらえる。感覚器官を働かせる。注意を向ける。「気を—・ける」「目を—・ける」
５ある定まった状態をつくり出す。
㋐解決させる。落着させる。まとめる。「話を—・ける」「けりを—・ける」
㋑ある名前や値段にする。「題名を—・ける」「時価で値を—・ける」
㋒意志を固める。「決心を—・ける」「死ぬ覚悟を—・ける」
６連歌・俳諧で、前の句にうまくつながらせて、あとに句をつづける。
７器に盛ったり燗(かん)をしたりして、飲食物を用意する。「御飯を—・ける」「一本—・けてくれ」
８（「…につけ」「…につけて」の形で）…に関連して。…に伴って。…の場合も。「何事に—・け相談してください」「よきに—・け悪しきに—・け」「暑さ寒さに—・けて故郷を思う」
９（動詞の連用形に付いて）
㋐それをすることが習慣になっている、しなれている意を表す。「履(は)き—・けている靴」「行き—・けない場所」
㋑相手に対してなされる行為の勢いが激しい意を表す。「たたき—・ける」「しかり—・ける」
㋒その行為が、ある対象に向けられる意を表す。「言い—・ける」
㋓到着する、または来させる意を表す。「駆け—・ける」「呼び—・ける」
㋔しっかりととどめる意を表す。「心に刻み—・ける」
㋕鼻や目で感じとって、何かを探り当てる意を表す。「嗅(か)ぎ—・ける」
[下接句]跡をつける・糸目を付けない・色を付ける・因縁をつける・後ろを付ける・尾に尾を付ける・尾鰭(おひれ)を付ける・折り紙を付ける・方を付ける・金に糸目は付けぬ・眼(がん)を付ける・気を付ける・けちを付ける・けりを付ける・黒白(こくびゃく)を付ける・腰に付ける・先鞭(せんべん)をつける・田にも畦(あぜ)にも腥物(なまぐさもの)つけて・知恵を付ける・注文を付ける・提灯(ちょうちん)を付ける・唾(つば)を付ける・手が付けられない・手を付ける・取って付けたよう・難を付ける・難癖を付ける・猫の首に鈴をつける・熨斗(のし)をつける・箔(はく)を付ける・箸(はし)をつける・火を付ける・眉(まゆ)に唾をつける・身に付ける・見切りを付ける・味噌(みそ)をつける・道を付ける・目を付ける・目処(めど)を付ける・目鼻を付ける・目星を付ける・目安を付ける・勿体(もったい)を付ける・文句を付ける・楊枝(ようじ)に目鼻を付けたよう・渡りを付ける</t>
        </is>
      </c>
      <c r="D5569" t="inlineStr">
        <is>
          <t>着けるだろ(3%)；着けるでしょ</t>
        </is>
      </c>
      <c r="F5569" t="inlineStr">
        <is>
          <t>早く着ける；駆け着ける；帰り着ける；追い着ける</t>
        </is>
      </c>
      <c r="H5569" t="n">
        <v>29</v>
      </c>
      <c r="I5569" t="inlineStr">
        <is>
          <t>蓑笠を着けると異なった存在になるのは人間だけではなかったのである。；そのため授業時間が長いので、基礎から技術を身に着けることができる。；彼はそこで両手に下げていた足びれを着けると再びゆっくりと前進した。；朝、ニューヨークに着くことはできないが、夜までには着けるであろう。；首輪を着ける行為は服従する側であることを示しているのかも知れない。；そんなことで続篇に手を着けることはできなかったということであろう。；その間アメリカで身に着けた語学力で、横浜の外国人社会とも交流した。；ところがこの頃は余程変った事をやっても手を着けることが出来ない。；エルンストは目的の丘の頂へは他方の道の方が早く着けると言い出した。；犯人役である場合は必ずどこかに犯人にちなんだ星形の物を身に着けている。；郡内には幾つかの空港があり、飛行艇は多くの町に着けることができる。；腕輪念珠とは、法具である数珠を腕に着けられるように小型化したもの。；この護衛を着けたことが、結果的にテロ事件を呼んでしまったのである。；主に女性用であり、子供から大人まで、年齢に関係無く身に着けられる。；父上には大変御喜びですぐにも身に着けるようにとのことでした、と。；アーノルドは残った船に火を着けさらにタイコンデロガ砦まで撤退した。；これ以上何を考えたところで、意味のある地点に辿り着けるとも思えない。；いつになったらカリフォルニアへ着けるものやら見当がつかねえだよ。；結局、お前にはヒーローみたいに決着を着けるほどの力はなかった訳だ。；まっすぐにこの小道を行けば、とにかく館の玄関には辿り着けるだろう。；それを済ませてからでなければ、どこへも手を着けることは出来ない。；これを身に着けていれば、どんな激しい戦いの中でも身を守ってくれるという。；そのため能力を身に着けるならば自身の系統にマッチしたものが良いとされる。；ムッシュ・デュボワのお蔭で何の心配もなくパリに着けることになった。；ダンサーはそれぞれトランプの模様をした衣装を着けて進められていく。；スケジュールによれば、これでらくに夕方には京都へ着けるはずだった。；もちろんおれも頃合いを見計らって駆け着けるがね、警部さんと一緒に。；そんなことを憶えていたところでどうせどこかに辿り着けるわけじゃない。；ただし、強力な鎧を身に着けるにはそれなりの能力や技能が必要となる。</t>
        </is>
      </c>
      <c r="J5569">
        <f>HYPERLINK("https://www.weblio.jp/content/着ける", "词义详情")</f>
        <v/>
      </c>
      <c r="K5569">
        <f>HYPERLINK("https://yourei.jp/着ける", "查看例句")</f>
        <v/>
      </c>
    </row>
    <row r="5570">
      <c r="A5570" t="inlineStr">
        <is>
          <t>漬ける</t>
        </is>
      </c>
      <c r="B5570" t="inlineStr">
        <is>
          <t>成功</t>
        </is>
      </c>
      <c r="C5570" t="inlineStr">
        <is>
          <t>読み方：つける
［動カ下一］［文］つ・く［カ下二］
１水などの中に入れておく。ひたす。「洗濯物を水に—・ける」「豆を一晩—・けておく」
２（漬ける）食材を、塩・糠(ぬか)・味噌(みそ)・麹(こうじ)などの中に入れて、味をしみこませる。漬物にする。「梅の実を塩で—・ける」「大根を—・ける」
[用法]つける・ひたす——「足を湯につける（ひたす）」「魚を醤油につける（ひたす）」など、液体の中に入れる意では相通じて用いられる。◇「塩につける」「味噌につける」「大根をつける」「白菜をつける」は「つける」だけの用法で、「ひたす」は使わない。◇「布切れにアルコールをひたす」のように液体を含ませることは「つける」とは言わない。◇「ひたす」は液体を染み込ませ、ぬれた状態にすることに重点があり、「つける」は液体やその他のものの中に沈め入れることに重点がある。◇「漬け物」は塩をかけ重しを加えて一定時間そのままにしておくが、「浸し物」は熱湯でさっとゆでるだけである。</t>
        </is>
      </c>
      <c r="D5570" t="inlineStr">
        <is>
          <t>浸す；浸かる；浸漬；浸ける；漬す</t>
        </is>
      </c>
      <c r="H5570" t="n">
        <v>29</v>
      </c>
      <c r="I5570" t="inlineStr">
        <is>
          <t>漬ける時間は肉の質やレシピなどにより30分から一晩とさまざまである。；絶縁性が高いため、筐体を水槽にしてシステムごと漬けることができる。；日本では混成酒を家庭で作る場合でも20度以上の酒に漬けることが前提である。；そして井沢満さんが贈ってくれた黄色いバラ五十本をその水の中に漬ける。；刀の下緒を襷掛けに結んで土間へ降り、水甕へ刀の柄をずぶりと漬ける。；漬ける時間は、数分から数十年にも及ぶものまである。；それを犯人がうしろから押して倒しかけ、頭を押えつけて洗面器の水に顔を漬ける。；数種類の魚を漬ける事で作られ、主にライギョ類のから作られる。；鹿児島市内にも奄美群島や沖縄県産の原料を使って漬ける業者がある。；包埋には、冷凍し固定していない組織を、水を元にした保存液に漬ける方法もある。；それは米を漬ける水を強い酸性醗酵をさせることである。；最初に梅干しを作らず、いきなり生の梅を調味液に漬ける製法もある。；切ってすぐ水または薄い酢水に漬けるのも「あく抜き」の一種です。；ただ縛って水槽、池、あるいは川に漬ける以外に、道具を用いることがあった。；また、こうしてできた板を塩水に漬けると像を固定でき、それ以上光にさらしても変化しなくなることを発見した。；これは花首までバラの全身を漬けるのである。；チョッカルはキムチを漬ける際の材料として用いられることも多い。；死にかけるまで水に漬け、引き上げて空気を吸わせるとまたすぐに漬ける。；もっと長く漬けろという向きも多いが、少々、陶酔感がわいせつになる。；完成した糠床に、よく洗って塩で揉んだ野菜を漬けると糠漬けの完成である。；箱火鉢には、脇に水を入れてその中に燗徳利を漬ける器具が備わるようになった。；本漬終了後、酒粕に味醂粕を加えたもので漬ける作業を行い、味を整える。；その食事をする時間を逆算して野菜をぬかに漬ける。；また中型以上の大きい魚は、1尾をそのままではなく切り身にしてから漬ける。；だからこういう絞ならば、漬けるだけですから宜い訳でしょう。；おそらく、母親が梅干しを漬けるために取ってあったものだろうが、ほかに何もないのだからしかたがない。；それから総イレ歯をはずして水に漬けるためのガラスのバケツ。；だまこは作ってすぐに消費するものだが、塩水に漬けることで数日間は保存できる。；ユダヤ教では血抜きを徹底するため、食肉を塩水に漬ける必要がある。</t>
        </is>
      </c>
      <c r="J5570">
        <f>HYPERLINK("https://www.weblio.jp/content/漬ける", "词义详情")</f>
        <v/>
      </c>
      <c r="K5570">
        <f>HYPERLINK("https://yourei.jp/漬ける", "查看例句")</f>
        <v/>
      </c>
    </row>
    <row r="5571">
      <c r="A5571" t="inlineStr">
        <is>
          <t>告げる</t>
        </is>
      </c>
      <c r="B5571" t="inlineStr">
        <is>
          <t>成功</t>
        </is>
      </c>
      <c r="C5571" t="inlineStr">
        <is>
          <t>読み方：つげる
［動ガ下一］［文］つ・ぐ［ガ下二］
１言葉などで伝え知らせる。聞かせる。「来意を—・げる」
２多くの人々に知らせる。「始業を—・げるチャイム」
３ある事態になったことを示す。「風雲急を—・げる」
→知らせる［用法］</t>
        </is>
      </c>
      <c r="D5571" t="inlineStr">
        <is>
          <t>告げるべき；告げるべく；告げるけたたましいサイレン</t>
        </is>
      </c>
      <c r="E5571" t="inlineStr">
        <is>
          <t>発表；案内；宣言；伝える；公表</t>
        </is>
      </c>
      <c r="F5571" t="inlineStr">
        <is>
          <t>たいと告げる；こう告げる；欲しいと告げる</t>
        </is>
      </c>
      <c r="H5571" t="n">
        <v>29</v>
      </c>
      <c r="I5571" t="inlineStr">
        <is>
          <t>家臣の誰一人にも告げる暇もなく大阪湾上の開陽丸に連れられたという。；そして、沈黙破りが起こる時に、特定の時と場所を告げることがあった。；この時はその場で別れたが、再びすぐに幸介の前に現れてこう告げる。；解釈は分析家が患者の転移を分析して、それを患者に告げる事である。；命題は、この際に、その事態が、現実に成立しているかどうかを告げる。；スターターとはレースの始まりを選手や観戦している人達等に告げる人。；利直がこのことを次衆に告げると、これを真実と考える者が多かった。；そんな彼の姿に心を許した千穂は、自分がスキーを辞めたことを告げる。；娘の運命を察したメレータは、夫のテーレに誰が娘を殺したかを告げる。；それを見ていた美都子は彼が大事な人になっていたことを告げる。；パズスは自らを神の使いと称し、2人が神に選ばれた救世主だと告げる。；そんなある日、雪子が東京から戻り、令子が北海道に来ていると告げる。；案内放送がないため、乗車時に運転手に行き先を告げる必要がある。；しかし同時に、その治療の過程ではずむが女になってしまったことも告げる。；この種の存在を告げる唯一の証拠は雄が繰り返すさえずりであることが多い。；同様の理由で日本では時刻を告げるためにも使用された。；所の者は、「さっき言っていたのは、あの女のことですよ」と告げる。；セットや人形の製作が進むと、ロバータ・リーに別れを告げるときとなった。；この戦争はアメリカ南部の初期植民地時代の終わりを告げるものであった。；一族に戻ることを決意したジョンはキャスリーンにここから出ていくように告げる。；そしてカブラカンに「猟の最中にとても巨大な山を見かけた」と告げる。；快諾した光はいつかそのドレスを着て僕のところに来るのを待っていると告げる。；椎名は研究のため渡米する決意を固め、幸に一緒に来て欲しいと告げる。；彼らに別れを告げる時、彼らは全員号泣し、僕も涙が止まりませんでした。；古代には時を告げる鳥として神聖視され、主に愛玩動物として扱われた。；それぞれの恋人や親友に別れを告げるときも、刻一刻と近づいていた。；その夜、りん子は順吉たちに、離婚して北海道に戻ってきたのだと告げる。；時計の針が動き、1日の始まりを告げる友引高校の時計塔の鐘が鳴った。；競技場やホールなどで、選手交代や演目などの案内を観客に告げる職業。</t>
        </is>
      </c>
      <c r="J5571">
        <f>HYPERLINK("https://www.weblio.jp/content/告げる", "词义详情")</f>
        <v/>
      </c>
      <c r="K5571">
        <f>HYPERLINK("https://yourei.jp/告げる", "查看例句")</f>
        <v/>
      </c>
    </row>
    <row r="5572">
      <c r="A5572" t="inlineStr">
        <is>
          <t>都合</t>
        </is>
      </c>
      <c r="B5572" t="inlineStr">
        <is>
          <t>成功</t>
        </is>
      </c>
      <c r="C5572" t="inlineStr">
        <is>
          <t>読み方：つごう
［名］(スル)
１何かをするときにほかの物事に影響を及ぼす事情。わけ。「一身上の—により退職いたします」
２ぐあいがよいか悪いかということ。「今日はちょっと—が悪い」
３やりくりをすること。繰りあわせること。
㋐予定を調整すること。「なんとか—をつけて出席しましょう」
㋑金銭を融通すること。「期日までに資金を—する」
４（副詞的に用いて）すべて合わせて。合計。「—5人が参加する」</t>
        </is>
      </c>
      <c r="D5572" t="inlineStr">
        <is>
          <t>都合上(8%)；都合よく(5%)；都合良く；都合四；都合六</t>
        </is>
      </c>
      <c r="E5572" t="inlineStr">
        <is>
          <t>以上；準備；合計；アレンジ；調達</t>
        </is>
      </c>
      <c r="F5572" t="inlineStr">
        <is>
          <t>ご都合；そんな都合；一番都合；大変都合；万事都合</t>
        </is>
      </c>
      <c r="H5572" t="n">
        <v>29</v>
      </c>
      <c r="I5572" t="inlineStr">
        <is>
          <t>また、編成の都合で放送されない場合は別の日に放送されることもある。；この場合の分類は人間の生活上の都合がよければそれでよいものである。；だが室井が仕事の都合で帰国することになり、この企画は中止となった。；イギリスの場合、「」の方が人を前に置く表現よりも一般に都合が良い。；護衛戦闘機搭乗員には他の任務がある都合上、途中までの護衛となった。；これは無高の改革責任者では都合が悪いとの判断であったと考えられている。；調律などの都合上基本的な演奏はできるが、公の場で演奏することはない。；主人公に都合よく周りの環境が操作されることを「主人公補正」と呼ぶ。；だが、おれたちが生きているのは、それほどつごうのいい世界じゃない。；かつては、祝日に編成の都合でナイトゲームを放送できない日があった。；改名は新しい便箋を発注する際など都合のよい時になされるべきだと言う。；そしてこれらの値は、人間の存在のために都合良く出来過ぎている。；それを八章に分け、つごう八十五のお話がこの本の中に入れてあります。；また、演出の都合上登場人物名はフルネームでの紹介はされていない。；時間の都合で、テレビ放送版の途中でフェードアウトされたこともある。；岐阜市との合併も考えられていたが、岐阜市の都合で白紙になっている。；これも人間の都合によって食べるものが変わった例といえるだろう。；それが思いきって話をつけるのにいちばんつごうのいい構えだったからだ。；予算成の都合上、海外企画の前後などに今までの総集編が放送されていた。；これは市内を異なった形で都合2周するマラソン距離のレースである。；ところがわれわれにつごうのいいことに、彼はやっぱり子供の頭しかない。；おまえは人間の姿より、今の姿の方が、この戦いにはつごうがいいぞ。；獣害の報告の都合などもあって科学的な分類は明治期に開始された。；ただし、中継権や番組編成の都合で稀にTBS自社で中継する事もある。；聞く方がつごうよく考えてくれるようにと、巧妙にぼやかしてあるのだ。；日本語では表記上の都合で「カニカマ」と片仮名で記されることも多い。；アニメの外見については、制作上の都合で顔が大幅に異なる回が多数ある。；そうなると、ここで火を使えるようにしておいたほうがつごうがいい。；三角形のものは製造工程の都合上安価にできず、あまり普及しなかった。</t>
        </is>
      </c>
      <c r="J5572">
        <f>HYPERLINK("https://www.weblio.jp/content/都合", "词义详情")</f>
        <v/>
      </c>
      <c r="K5572">
        <f>HYPERLINK("https://yourei.jp/都合", "查看例句")</f>
        <v/>
      </c>
    </row>
    <row r="5573">
      <c r="A5573" t="inlineStr">
        <is>
          <t>つじつま</t>
        </is>
      </c>
      <c r="B5573" t="inlineStr">
        <is>
          <t>成功</t>
        </is>
      </c>
      <c r="C5573" t="inlineStr">
        <is>
          <t>読み方：つじつま
《「辻」は裁縫で縫い目が十文字に合う所。「褄」は着物の裾の左右が合う所》合うべきところがきちんと合う物事の道理。「話の—を考える」</t>
        </is>
      </c>
      <c r="D5573" t="inlineStr">
        <is>
          <t>つじつま合わせ(4%)</t>
        </is>
      </c>
      <c r="H5573" t="n">
        <v>29</v>
      </c>
      <c r="I5573" t="inlineStr">
        <is>
          <t>捜査では、きちんとつじつまがあっているかどうかをみることが大事だ。；今の段階ではまだ想像の域を出ない説だが、実にうまくつじつまがあう。；彼はつじつまの合った話をきり出すにはあまりに興奮を感じていた。；靴に発信機が仕掛けられていたと考えると、いろんなつじつまが合う。；両親には大学時代の仲よしたちと台湾に出かけるとつじつまを合わせた。；しかし、梯子は彼の眼にも、やはりつじつまの合わないところがあった。；同じ夢の続きを見るのと同じでその中ではつじつまが合うようになっているのだ。；国庫の金銭は、つじつまがあっていればいいというものではないはずだ。；人間、本来、そう簡単に収支のつじつまが合うものではないのではないか?；そのつじつまをあわせるよう言いふくめられた専門の学者は、苦労した。；百合人は前後のつじつまをどうしても合わせることが出来なかった。；その値は過去の測定データの傾向を見て、つじつまを合わせたものに過ぎなかった。；男には、つじつまの合わない、めちゃくちゃなところが必要なのである。；何回も話しているうちに、つじつまがあわなくなったりしないようにです。；あの男はある点に対しては、実によくつじつまの合った答弁をしましたよ。；このような「つじつまの合わないこと」を「矛盾」と言うようになった。；作戦を放棄したことに対するつじつま合わせをやったまでである。；酔つてゐるせゐかその映画の筋が少しもつじつまがあはない。；ひどく興奮しているので、とてもつじつまの合った説明など聞けそうにもない。；清市があんなつじつまの合わないことしか言わない状態なんだもの。；それに私は、彼のつじつまの合わない話し方には、いささか馴れていた。；又前からの続きにつじつまを合わせなくてはならない。；連続性などどうでもよく、その場その場のつじつまさえ合っていればいいようだ。；それに、母親と考えても、姉と考えても、年齢のつじつまが合わない。；特に彼らの話のつじつまがあっているときはそうだ。；こんなふうに、すべての物事の結果のつじつまがあえば、いいんだけどね。；それだからこそ大部分の犯罪は、つじつまのあわぬものなのです。；書きあげたものを見ると、つじつまがあっているのに驚きました。；わたくしには、ルーンの話がとてもつじつまのあうことに聞こえます。</t>
        </is>
      </c>
      <c r="J5573">
        <f>HYPERLINK("https://www.weblio.jp/content/つじつま", "词义详情")</f>
        <v/>
      </c>
      <c r="K5573">
        <f>HYPERLINK("https://yourei.jp/つじつま", "查看例句")</f>
        <v/>
      </c>
    </row>
    <row r="5574">
      <c r="A5574" t="inlineStr">
        <is>
          <t>伝える</t>
        </is>
      </c>
      <c r="B5574" t="inlineStr">
        <is>
          <t>成功</t>
        </is>
      </c>
      <c r="C5574" t="inlineStr">
        <is>
          <t>読み方：つたえる
［動ア下一］［文］つた・ふ［ハ下二］
１言葉などで知らせる。伝達する。「電話で用件を—・える」「大統領選の速報を外電が—・える」「皆さんにもよろしく—・えて下さい」
２あるものを受け継いで残す。また、あるものを受け継いで次の代に授け渡す。伝授する。「当時の農民の生活を今に—・える祭事」「家宝を—・える」「名を後世に—・える」「秘伝を弟子に—・える」
３よその土地から文物などを持ってくる。もたらす。「インドから経典を—・える」「キリスト教を日本に—・えた人物」
４熱・音などが、一方から他方へ移るように仲だちをする。「銅は熱をよく—・える」</t>
        </is>
      </c>
      <c r="D5574" t="inlineStr">
        <is>
          <t>伝えるべき；伝えるべく；伝える貴重な資料</t>
        </is>
      </c>
      <c r="E5574" t="inlineStr">
        <is>
          <t>発表；放送；示す；教育；指導</t>
        </is>
      </c>
      <c r="F5574" t="inlineStr">
        <is>
          <t>伝える意匠を施し；伝える貴重な史料；伝える数少ない</t>
        </is>
      </c>
      <c r="H5574" t="n">
        <v>29</v>
      </c>
      <c r="I5574" t="inlineStr">
        <is>
          <t>ある種の主張を含んでいる場合も、淡々と事実のみを伝える場合もある。；歌や踊りを披露を通して明治時代の魅力を伝えるために活動をしている。；後になって戦争が終ってから、彼女は同情の気持ちを伝えることができた。；これでもう私は最後まで忠実だったと彼に伝えることはできなくなったのだ。；時には視線や表情だけでも、楽員に自分の意思を伝えるのに十分だった。；これが解説を交えながら実況を伝える放送形式を生み出すことになった。；とくに芸能ニュースはスポーツ新聞の記事をベースに伝えることが多い。；これらを若者は学ぶべき点は学び、また後代に伝えるべき物とされる。；訃報を伝えるような速度でニュース原稿を読み、抗議を表したという。；町は、1世紀の古代ローマ人たちの生きた生活の様子をそのまま伝える。；人間は、情報を伝えるために、様々な技術を習得・開発・発展させてきた。；幕府は方針変更を長崎のオランダ商館長に諸外国に伝えるよう要請した。；気持ちを失ったとされる小狼にさくらはやっと自分の気持ちを伝える。；移動を選んだ場合、移動する艦の名前と移動方向、移動距離を相手に伝える。；もしくはタラークを3回書いた手紙などで伝えると離婚できるとしている。；これらは、当時の社会や文化を伝える資料としても貴重な価値をもっている。；明治世代の人の苦労を伝えるのは、自分達の世代の義務だと感じた。；わしの孫おげ丸をぶじ江戸へゆかしてやれえ、とオゲどもに伝えろやい!；辰野駅構内で、当駅から列車が出発した旨を伝える内容が放送される。；事件・事故等のその日の重要なニュースをVTR中心に伝える。；御殿の建物はおおむね寛永期の状態を伝えるが、改変された部分もある。；祖先からずっと伝わってきている生命を後世に伝えるために自分はここにいる。；スポーツ実況アナウンサーが日替わりで出演し、スポーツ情報を伝える。；便利屋の娘が、人が来ていると伝えると、妻は慌てて台所へ行った。；表現したものの雰囲気はしっかりと伝える事ができる。；また第3部から番組終了までは立って伝えるスタイルをとった。；回転をプラッターに伝えるための方法として次のような方式がある。；将軍の耳に入れたところ、許可を得たので通信使に伝えるように。；われわれは敵の攻撃を受けており、司令部からの命令を待っていると伝えろ。</t>
        </is>
      </c>
      <c r="J5574">
        <f>HYPERLINK("https://www.weblio.jp/content/伝える", "词义详情")</f>
        <v/>
      </c>
      <c r="K5574">
        <f>HYPERLINK("https://yourei.jp/伝える", "查看例句")</f>
        <v/>
      </c>
    </row>
    <row r="5575">
      <c r="A5575" t="inlineStr">
        <is>
          <t>伝わる</t>
        </is>
      </c>
      <c r="B5575" t="inlineStr">
        <is>
          <t>成功</t>
        </is>
      </c>
      <c r="C5575" t="inlineStr">
        <is>
          <t>読み方：つたわる
［動ラ五（四）］
１話などが一方から他方へ通じて広がる。情報が人から人へと知らされる。「こちらの意向が先方へ—・る」「避難命令が—・る」「うわさが—・る」
２昔から受け継がれて、今に至る。代々受け継がれて残る。「この地に—・る伝説」「当家に代々—・る家宝」
３海外など、よその土地から入って来る。伝来する。もたらされる。「ポルトガルから—・った食物」「西欧の文化が—・る」
４熱・音などが、ある道すじを通って他方へ届く。「壁を—・って聞こえる音」「電流が—・る」
５何かを仲だちにして、雰囲気などが感じ取られる。「緊張した空気が—・る」「気持ちの—・ってくる贈り物」
６物に沿って移動する。つたう。「屋根を—・って忍び込む」</t>
        </is>
      </c>
      <c r="D5575" t="inlineStr">
        <is>
          <t>伝わる伝説上；伝わる古い；伝わる速さ；伝わる五輪塔；伝わる理論書</t>
        </is>
      </c>
      <c r="E5575" t="inlineStr">
        <is>
          <t>知られる；普及；広がる；流通；伝えられる</t>
        </is>
      </c>
      <c r="F5575" t="inlineStr">
        <is>
          <t>代々伝わる；広く伝わる；伝わる伝統工芸品；伝わる三度栗伝説</t>
        </is>
      </c>
      <c r="H5575" t="n">
        <v>29</v>
      </c>
      <c r="I5575" t="inlineStr">
        <is>
          <t>明治に入ると、近代的な会社・企業組織などの考えが日本にも伝わった。；ただし後継者が存在しないため現在に伝わっておらず推定の域を出ない。；日本には安政年間には避雷針の技術が伝わっていたことが知られている。；誰にも伝わらなかった言葉は発声練習以上のものではないだろうからな。；しかし中止の意図が伝わらず、大会本部の判断で男子決勝は開始された。；ヨーロッパへは16世紀になって伝わったが、あまり普及はしなかった。；日本には江戸時代初期にタイから伝わったとされるが、正確な時期は不明。；昔から伝わる妖精は人間と同じかもしくは人間より背が高いとされている。；ボイルはまた真空のなかでは音の伝わらないことをも実験して見ました。；またサンスクリット語の戯曲のなかで今日まで伝わっているものもある。；後に、この伝承がイギリスに伝わって英語のという表現の語源となった。；温泉の発祥は天正元年で、平家の落人の子孫が発見したと伝わっている。；地蔵菩薩を描いた絵画なども伝わっており、画才にも優れた人物だった。；現在でも小野神社など伝わる鐸鉾のような使われた方をした可能性がある。；最初は僕の言葉の意味が伝わらなかったけど、やがて理解してもらった。；多くの場合、これは正しく波形が伝わる信号速度と考えることができる。；しかしながら、ガルボがこの話に興味を示したかどうかは伝わっていない。；これは4世紀に書かれた『皇帝列伝』に収録されて現代に伝わっている。；形状を「頭も柄も中空」といっただけでは正確なイメージは伝わらない。；この話は藩の上層部にまで伝わり、後々まで語り種となっていたという。；その折には敵兵の頬肉をあぶって酒の肴にしたという話が伝わっている。；娘に沼田朝憲室がいたと伝わるが、朝憲死去の年代から否定されている。；空気中を伝わってくる音の聞こえに関係のある部分でもある。；一般的に三本足の姿で知られ、古くよりその姿絵が伝わっている。；日本にも伝わり、湖や流れが緩い河川を含めて楽しまれるようになった。；子供の一人二人はいていい歳だろうが、家内から子供の気配は伝わらない。；なお、玉御陵には尚円王の父・尚稷とその妻が埋葬されていると伝わる。；江戸時代に北前船に乗って京都から西廻り航路で伝わったといわれている。；祖父・信長と同じく派手好みであり、平素より洒落者であったと伝わる。</t>
        </is>
      </c>
      <c r="J5575">
        <f>HYPERLINK("https://www.weblio.jp/content/伝わる", "词义详情")</f>
        <v/>
      </c>
      <c r="K5575">
        <f>HYPERLINK("https://yourei.jp/伝わる", "查看例句")</f>
        <v/>
      </c>
    </row>
    <row r="5576">
      <c r="A5576" t="inlineStr">
        <is>
          <t>土</t>
        </is>
      </c>
      <c r="B5576" t="inlineStr">
        <is>
          <t>成功</t>
        </is>
      </c>
      <c r="C5576" t="inlineStr">
        <is>
          <t>読み方：つち
１岩石が分解して粗い粉末になったもの。土壌。「花壇の—を入れ替える」
２地球の陸地の表面。地面。大地。「故国の—を踏む」
３「天」に対し、地上のこと。
「空から—へひと息にポーンと降り立つ雨の脚」〈柳虹・雨の脚〉
４鳥の子紙の一。紙の原料となる植物繊維に泥土をまぜて製した下等な和紙。
５（「犯土」「槌」「椎」とも書く）陰陽道(おんようどう)で、土公神(どくじん)のいる方角を犯して工事などをすることを忌むこと。また、その期間。暦の庚午から甲申までの15日間をいう。つちび。
６人の容貌(ようぼう)の醜いことをたとえていう語。
「御前なる人は、まことに—などの心地ぞするを」〈源・蜻蛉〉
７地下(じげ)のこと。
「—の帯刀(たちはき)の、歳二十ばかり、長(たけ)は一寸ばかりなり」〈落窪・一〉
[下接語]赤土・荒(あら)土・合わせ土・上(うわ)土・置き土・鹿沼(かぬま)土・壁土・黒土・肥え土・白(しら)土・底土・叩(たた)き土・作り土・床(とこ)土・苦(にが)土・粘(ねば)土・練り土・埴(はに)土・粘(へな)土・惚(ほ)け土・真(ま)土・盛り土・焼き土・焼け土・痩(や)せ土・用心土
[補説]作品名別項。→土</t>
        </is>
      </c>
      <c r="D5576" t="inlineStr">
        <is>
          <t>土休日(4%)；土くれ；土・日；土壇；土壙</t>
        </is>
      </c>
      <c r="E5576" t="inlineStr">
        <is>
          <t>地；土地；地球；地面；泥</t>
        </is>
      </c>
      <c r="F5576" t="inlineStr">
        <is>
          <t>焼土；黒い土；柔らかい土；龍土；新しい土</t>
        </is>
      </c>
      <c r="G5576" t="inlineStr">
        <is>
          <t>土曜日；土壌；土間；土手；土器</t>
        </is>
      </c>
      <c r="H5576" t="n">
        <v>29</v>
      </c>
      <c r="I5576" t="inlineStr">
        <is>
          <t>本当に国民の生活を考えている政治家からは土の匂いがするものです。；なお、10号は金・土・日曜日を中心とした指定日には京都行きとなる。；この道具を使うと、土の中や床の中に埋まっている物を見ることができる。；これを使うと土の中や床の中に埋まっている物を見ることができる。；土・風・火・水の四つの精霊界があり、それぞれを抜けて天上界へ至る。；また土壇の上には木が生えており、この木を中心に祭りをしたと考えられる。；基本的に土休日ダイヤでの運転であるが平日に設定される場合もある。；チェルノーゼムなどの他の土と比べて発達してしないという点がある。；最後はフュン島の土に還って眠らねばならないということなのだろうか。；また朝7時台には土休日運休の養老発大垣行きの列車も設定されていた。；湯や茶を勝手に飲むことができず、土の上に降りてはならない。；かつての輪中堤防は、低く土取りをして道路に転用された所も沢山ある。；土休日の日中には中之島駅 - 萱島駅を往復する普通運用が復活した。；中国の五行説では、5つで木・火・土・金・水の五行に対応している。；また、大半が市街化されており、市街化調整区域は町土の1割程である。；第三土・日曜日に、本軌道上での2人乗りトロッコ乗車体験が行われる。；杯土を回転台の上に乗せ、回転させながら形を整える方法である。；水の用途は様々で、採掘現場から土や余分な岩を取り除くのにも使われた。；建物は木々の緑・空気の青・土の色がイメージされている。；西直門は、和義門にさらに土をかぶせる形で建設されていたのである。；運行区間は仙台駅 - 新庄駅間で金・土・日曜日を中心に運転していた。；日中は土休日の下りを除いて特急と準急との緩急接続が行われている。；ダートは和訳すれば土であり、日本の競馬で使われている砂の意ではない。；ラビが断食や祈祷などの神聖な儀式を行った後、土をこねて人形を作る。；土はどこへ来るかというと、四季それぞれの最後の約18日である。；土・日曜のデーゲームの音源は以下のような形で提供・使用される。；また、とは異なり新たな土類を含んでいるという結論を出した。；四肢に鋭い爪を備えているが、攻撃用ではなく、巣穴の土掘りに活躍する。；また定休日がなくなった他、土休日は22時までの営業となっている。</t>
        </is>
      </c>
      <c r="J5576">
        <f>HYPERLINK("https://www.weblio.jp/content/土", "词义详情")</f>
        <v/>
      </c>
      <c r="K5576">
        <f>HYPERLINK("https://yourei.jp/土", "查看例句")</f>
        <v/>
      </c>
    </row>
    <row r="5577">
      <c r="A5577" t="inlineStr">
        <is>
          <t>培う</t>
        </is>
      </c>
      <c r="B5577" t="inlineStr">
        <is>
          <t>成功</t>
        </is>
      </c>
      <c r="C5577" t="inlineStr">
        <is>
          <t>読み方：つちかう
［動ワ五（ハ四）］《「土(つち)養(か)う」の意》
１根元に土をかけて植物を育てる。
「花を賞せんとする者は、必ずその根に—・うことを忘れてはならぬ」〈河上肇・貧乏物語〉
２大切に養い育てる。「体力を—・う」「友情を—・う」
[可能]つちかえる</t>
        </is>
      </c>
      <c r="D5577" t="inlineStr">
        <is>
          <t>生産；作る；栽培；育成；生育</t>
        </is>
      </c>
      <c r="H5577" t="n">
        <v>29</v>
      </c>
      <c r="I5577" t="inlineStr">
        <is>
          <t>そのことに自信を培うしかない時が来ているのだと思うがどうだろう。；主人公の眼前でも、愛を培う奴隷二人が新たに処刑されようとしていた。；おそらく何代にもわたって培われたDNAがそうさせたにちがいない。；ワークスマシンで培われた技術が市販マシンに取り入れられたのである。；借金に苦しめられるようになって、そうした警戒心が培われてきたのだ。；培ってきた関係を失っていくことに喪失感を覚えないと言えば、嘘になる。；中学・高校のころに培われた映画への愛情はいつまでも消えぬものとみえる。；彼は彫刻も学んでおりそこで培った手法で古典的な雰囲気を出した。；幼少からそして海外で培ったバレエの技術を生かした踊りや芝居が得意。；新人のうちにしっかり基礎を培うことができた現場だと述べている。；そういう前提がぼくの心に培われたのは、黎子のおかげかもしれない。；三十余年の経験で培われた、職業的な勘がそう教えたものであろう。；これまでに培ってきた勘と経験が、敵の射撃タイミングを教えてくれる。；交渉のノウハウがあるのは日本だけですし信頼関係も培ってますしね。；うち何人かは一度離れてもここで培った功績を求めて戻ってきた。；それは島が永く培ってきた相互扶助の精神に基づく淑女協定なのである。；髪を切り、清潔な服装に身を包んでいることが一層、落差を培っている。；中谷雄太の郷里には、動機を培うような下地はなにも発見されなかった。；とはいえ、考えてみれば、いまの仕事の基礎はあの頃に培われたのだ。；けれど間違いなく、こういう父性と家庭環境に培われたぼくではある。；必要なのは富と見定めて、自ら落ちるところまで落ちて経済力を培った。；基本武器などは用いず、格闘方法も喧嘩の中で培った我流の物である。；語学留学で培った英語を用いて、海外を中心に落語の公演をしている。；ここで培われた方法はハイパー核の研究などにも適用されている。；もともと作品の評価力は、素人なりにこれまでの乱読で培われていた。；それってやっぱり、東松に入るまでに培ってきたものの違いなのかな。；果実のためには、できるならば、根を培う肥料をえらばなくてはならぬ。；人間の社会には、長い歴史の間に培われてきた「智恵」の伝統がある。；エンブラエル E-Jetの開発で培った技術が反映されるとしている。</t>
        </is>
      </c>
      <c r="J5577">
        <f>HYPERLINK("https://www.weblio.jp/content/培う", "词义详情")</f>
        <v/>
      </c>
      <c r="K5577">
        <f>HYPERLINK("https://yourei.jp/培う", "查看例句")</f>
        <v/>
      </c>
    </row>
    <row r="5578">
      <c r="A5578" t="inlineStr">
        <is>
          <t>筒</t>
        </is>
      </c>
      <c r="B5578" t="inlineStr">
        <is>
          <t>成功</t>
        </is>
      </c>
      <c r="C5578" t="inlineStr">
        <is>
          <t>読み方：つつ
１丸く細長くて中が空洞になっているもの。くだ。管(かん)。「竹の—の花入れ」
２銃身。砲身。転じて、小銃や大砲。「になえ—」「大—」
３ブーツの足首から上、ふくらはぎの入る部分。「—回り34センチのブーツ」「—幅を広げたデザイン」
４井戸の側壁や地上の部分を囲んでいるもの。井戸がわ。
５検査などのため、俵にさしこんで米などを取り出すために用いる先のとがった竹製の器具。
６轂(こしき)の異称。
７酒を入れる竹筒。ささえ。
「飲み手は多し、酒は—にて小さし」〈義経記・五〉</t>
        </is>
      </c>
      <c r="D5578" t="inlineStr">
        <is>
          <t>筒型(5%)；筒形(3%)；筒部(3%)；筒状(3%)；筒内</t>
        </is>
      </c>
      <c r="E5578" t="inlineStr">
        <is>
          <t>銃；管；パイプ；笛；鉄砲</t>
        </is>
      </c>
      <c r="F5578" t="inlineStr">
        <is>
          <t>萼筒；通風筒；内筒；交通筒；排気筒</t>
        </is>
      </c>
      <c r="G5578" t="inlineStr">
        <is>
          <t>筒状；筒抜け；筒袖；筒井康隆；筒井順慶</t>
        </is>
      </c>
      <c r="H5578" t="n">
        <v>29</v>
      </c>
      <c r="I5578" t="inlineStr">
        <is>
          <t>またCHAの他にも同筒鏡型のエネルギー分析器も用いられることがある。；この時期の帝国艦は、古風な短筒を思わせる優美なデザインをしていた。；享保になって、はじめて筒の短い足袋が一般化し、これを半靴と称した。；ベンチレータは、当時の琴電更新車に多かった独特の筒形となっている。；花柄は風鈴のように下に長く伸び、先端付近に筒状の雄蕊がついている。；開放系で用いるものはガラスの筒の下にコックがついた単純な構造である。；唇は薄くあまり頑丈ではないが、筒のように前に突き出すことができる。；竣工時の揚薬筒はC型同様せり上げ式だったが後に釣瓶式に変更された。；ただし、当初の聴診器は1本の筒形の木でできた単純なものであった。；発射筒の横にあるのが照準器 前記第1世代を改良した誘導方式を採用。；火種は細いガス管で供給され、筒の口のところに常に小さな炎を作る。；台は木製の台座を重ね、さらにその上部中央に発射筒が据え付けられた。；砲塔側面後部の左右にはそれぞれ4基の発煙弾発射筒が装備されている。；ガスは供給口を経て筒の底の小さな穴を通り、筒の中を上向きに流れていく。；口は比較的小さく唇も薄いが、前下方に筒のように突き出すことができる。；いったん伸ばした発射筒を再び縮めるためには専門教育を必要とする。；二筒、四筒、八筒が必ず入っていなくてはいけないとする場合もある。；筒型の金属ケースを用い、現在の乾電池のスタイルを確立している。；この砲塔内部に、八八式七糎野戦高射砲を基筒式に改造した上で搭載した。；銀筒の缶入りで、赤文字でライオンの字を変に強調したきらいがある。；衣服の基本的なシルエットはビザンツ女性同様シンプルな筒型であった。；花弁の基部の筒状の部分を筒部、先端の広がった部分を舌状部と言う。；燃焼筒の奥に熱の反射板を持ち、機器正面へ集中して熱が放射される。；前述のように葉が筒になってそこに虫を落とす、落とし穴式の捕虫器を持つ。；箱の方には側面に3つの穴が開いており、筒には中央にレンズが備えられている。；昭和16年には分離薬筒式を完全弾薬筒式に改める改造が行なわれた。；本体は筒型ではなく、主鏡の下にシート状の遮光板が広げられた形となっている。；入れ子にするため腕は無く、胴体とやや細い頭部からなる筒状の構造である。；発射筒を伸ばした後で発射を中断する際には、手動の安全装置を使用する。</t>
        </is>
      </c>
      <c r="J5578">
        <f>HYPERLINK("https://www.weblio.jp/content/筒", "词义详情")</f>
        <v/>
      </c>
      <c r="K5578">
        <f>HYPERLINK("https://yourei.jp/筒", "查看例句")</f>
        <v/>
      </c>
    </row>
    <row r="5579">
      <c r="A5579" t="inlineStr">
        <is>
          <t>続き</t>
        </is>
      </c>
      <c r="B5579" t="inlineStr">
        <is>
          <t>成功</t>
        </is>
      </c>
      <c r="C5579" t="inlineStr">
        <is>
          <t>読み方：つづき
１あるものの延長。つながっていて、次にあるもの。「ドラマの—」「この話には—がある」「—の部屋」
２続いていくぐあい。つながり方。「文章の—が悪い」
３名詞に付いて、前からの状態などが変わらないことを表す。「お天気—」「好運—」
[下接語]家続き・縁続き・国続き・地続き・血続き・手続き・長続き・庭続き・日照り続き・一続き・道続き・峰続き・棟続き・山続き・陸続き・廊下続き</t>
        </is>
      </c>
      <c r="D5579" t="inlineStr">
        <is>
          <t>続く第；続く長い</t>
        </is>
      </c>
      <c r="E5579" t="inlineStr">
        <is>
          <t>持つ；展開；維持；続ける；継続</t>
        </is>
      </c>
      <c r="F5579" t="inlineStr">
        <is>
          <t>延々と続く；以上続く；どこまでも続く；いつまで続く；ずっと続く</t>
        </is>
      </c>
      <c r="H5579" t="n">
        <v>29</v>
      </c>
      <c r="I5579" t="inlineStr">
        <is>
          <t>意見の衝突は長く続かず、結局は防衛的な案が採用されることになった。；制定過程に外国人が関与した点については、議論が今もなお続いている。；その次に続くとされたのが、堯・舜などを含む五帝であるとされている。；石のころがる山地が帯のように続くところからこの名があると見られる。；この子供向け漫画を中心とした第 2期の活動は1966年まで続いた。；これに続くのが国土面積や人口で比較にならないが中国と日本である。；北名古屋市に入りしばらく進むと道路上に市境があるという区間が続く。；そこで行われる競技の中に棒倒しがあり、第一回開校祭から続いている。；番町のほうのお屋敷の仕事でなあ、とにかく一年と続こうてえ大仕事だ。；アメリカに続いて、ヨーロッパ各国でも同様のサービスが次々と始まった。；体力が続かなくなるまで、わたしはこの最初の試みを止めなかったのだ。；彼女はまったく喜びに満たされていたので、その雲も長く続かなかった。；他に誰も入れない兄弟2人だけの世界は、この後東京に行ってからも続く。；この過程はアッティカの多くの以前からの郊外や村も覆い、続いている。；ティティスの最初の結婚と同じように、この結婚も長くは続かなかった。；こうした状況は彼ら全員が1955年にヨーロッパに戻るまで続いた。；ノラもあとに続こうとしたが、学士の重い腕がまだ肩のまわりにあった。；続いてハー・ゴビンド・コラナが残りのコドンを決定することができた。；山名は、東北側の山続きの女峰山との対で付けられたものと考えられる。；家族のように暮らす5人と一匹だが、平和な日々は長くは続かなかった。；その技法は形を変えつつも途絶えることなく以降の現代へ続いている。；いわゆる「萌え系4コマ」の中で最も長く連載が続いていた作品である。；目標もなく、ただ過ぎてゆく毎日、なにをやっても続かないダメな自分。；この雑誌は一年余りしか続かず、全部で13号を発行して廃刊となった。；日本では町や村は郡の下に続くが、伊豆諸島は例外として郡が存在しない。；これらの電話の会話はほとんどが機体の破壊の時まで続いた。；今日に続く日本人の生活様式もこの時代にルーツが求められるものが多い。；江戸時代より現在まで続く歴史のある銭湯が全国に複数存在している。；交流は現在でも続いており時々スポーツニュースでも放送されている。</t>
        </is>
      </c>
      <c r="J5579">
        <f>HYPERLINK("https://www.weblio.jp/content/続き", "词义详情")</f>
        <v/>
      </c>
      <c r="K5579">
        <f>HYPERLINK("https://yourei.jp/続き", "查看例句")</f>
        <v/>
      </c>
    </row>
    <row r="5580">
      <c r="A5580" t="inlineStr">
        <is>
          <t>突く</t>
        </is>
      </c>
      <c r="B5580" t="inlineStr">
        <is>
          <t>成功</t>
        </is>
      </c>
      <c r="C5580" t="inlineStr">
        <is>
          <t>読み方：つく
［動カ五（四）］
１とがった物で一つ所を勢いよく刺したり、強く当てたりする。「槍で—・く」
２棒状のもので強く押す。「判を—・く」「ところてんを—・く」
３棒などの先を打ち当てて鳴らす。「鐘を—・く」
４細長い物の先を押し立てて、支えにする。また、つっかえ棒をする。地面や床などに強く当てる。「つえを—・く」「ひざを—・く」
５打ち当ててはずませる。「まりを—・く」
６弱い所、予想しない所、急所などを選んで鋭く指摘したり攻めたりする。「不意を—・く」「核心を—・く」
７嗅覚などの感覚や心を強く刺激する。「鼻を—・く臭気」「胸を—・く哀話」
８障害や悪条件を問題にしないで何かをする。「風雨を—・いて進む」
９強い勢いで何かに当たる。また、限界に達する。「雲を—・くような大男」「食糧が底を—・く」
10将棋で、盤上にある歩(ふ)を前に一つ進める。
→刺(さ)す［用法］
[可能]つける
[下接句] 家に杖(つえ)つく・意気天を衝(つ)く・痛い所を衝く・意表をつく・兎(う)の毛で突いたほど・木戸を突く・虚を衝く・雲を衝く・言言肺腑(はいふ)を衝く・篠(しの)を突く・角水(すみず)を突く・底を突く・盾を突く・杖(つえ)に突く・手を突く・天を衝く・時を撞(つ)く・怒髪天を衝く・と胸を衝く・額(ぬか)を突く・鼻を突く・胸を突く</t>
        </is>
      </c>
      <c r="D5580" t="inlineStr">
        <is>
          <t>突くべく；突くような大男</t>
        </is>
      </c>
      <c r="E5580" t="inlineStr">
        <is>
          <t>攻撃；ヒット；打つ；問う；一撃</t>
        </is>
      </c>
      <c r="F5580" t="inlineStr">
        <is>
          <t>篠突く；ちょっと突く</t>
        </is>
      </c>
      <c r="H5580" t="n">
        <v>29</v>
      </c>
      <c r="I5580" t="inlineStr">
        <is>
          <t>手や尻を後ろに突いてしまった場合はその地点までの距離が記録となる。；ボールはうまく狙った位置へ飛び、彼女はそのボールを少し右へ突いた。；相手の背後に立った瞬間に決めることで相手の意表を突くことができる。；また、カードに使用するキャラクターが底を突くことを防ぐ作用もある。；そのまた自殺も首を縊ったとか、喉を突いたとか言うのではありません。；人間が壁によりかかる時は、目よりも低い箇所に手を突くのが普通です。；それがまた実に堂にいったもので、それぞれの急所を突くの感があった。；落ちちゃ大変だと神経を起すと、後から背中を突かれるような気がする。；つまり、一人ずつ不意を突かれて殺害されたものと判断していたのである。；彼の胸をそっと突くあの蛇にもきいてみたが、答えてはくれなかった。；憑依した人間を夢の世界へと誘って、その隙を突いているだけなのです。；いきなり頭上であると指摘されたため虚を突かれる思いがしたという。；不意を突かれるから損害は新田軍に多く、その度に軍行動は停止された。；しかし、何者かに一瞬の隙を突かれ香水の入った鞄を奪われてしまった。；比較のため、鏡の無い状況に置いた場合、ハトが点を突く事は無かった。；現生のシャチのように獲物を突く機能があったと小西らは提唱している。；百八とは仏教で言う煩悩の数でもあり、除夜の鐘で突かれる数でもある。；と云はれると私は止胸を突かれて、たぢろがずには居られませんでした。；そしてこういう風に、わしが顔をおおったその時に、その剣で突くのだ。；いよいよ彼らは、現実に牢獄の塀に打っ突からねばならなくなったんだ。；老紳士 さう、それぢや、そこの球突屋で球でも突いてることにしよう。；また棒で突かずに、手で入れたのか、最初から入っていたのかもしれない。；娘は刃物で左の胸と右の脇腹を突かれて、血まぶれになって死んでいる。；使用するときには安全栓を抜いて、棒を保持して戦車の装甲板を突いた。；突くことができないのみならず、引くこともできないらしくあります。；自分で短刀の柄を握ってそして自分の喉を突いてれば誰が見ても全く自殺。；打撃では変化球で外角を突く相手の攻めに対応することができず不振に。；首を出して見ると斜に糸の如く降る雨を突いて一輛の馬車が馳せて来る。；しかし仲間の死と恐怖に背突かれるように回復もせずに地上に向かったのだった。</t>
        </is>
      </c>
      <c r="J5580">
        <f>HYPERLINK("https://www.weblio.jp/content/突く", "词义详情")</f>
        <v/>
      </c>
      <c r="K5580">
        <f>HYPERLINK("https://yourei.jp/突く", "查看例句")</f>
        <v/>
      </c>
    </row>
    <row r="5581">
      <c r="A5581" t="inlineStr">
        <is>
          <t>続く</t>
        </is>
      </c>
      <c r="B5581" t="inlineStr">
        <is>
          <t>成功</t>
        </is>
      </c>
      <c r="C5581" t="inlineStr">
        <is>
          <t>読み方：つづく
《上代は「つつく」か》
［動カ五（四）］
１前からの状態や行為などがとぎれたり変わったりしないでそのままつながる。「晴天が—・く」「にらみ合いが—・く」
２同じものが隣り合った状態でずっと連なる。「家並みが—・く」「だらだら坂が—・く」
３ある事柄のあとに、間をおかず他の事柄が連なる。物と物とが切れ目なくつながる。「授賞式に—・いて祝賀パーティーを行う」「応接間と勉強部屋とが—・いている」「次ページに—・く」
４同じ物事が次々に起こる。ある事柄が前の事柄のすぐあとに起こる。「不幸が—・く」「地震に—・いて津波が起こる」
５順位が、すぐそのあとである。次ぐ。「宰相に—・く実力者」
６途切れず、あとに従う。「前の人に—・いてお降りください」
７通じる。「ローマへ—・く道」
８持ちこたえる。「学費が—・かない」
［動カ下二］「つづける」の文語形。</t>
        </is>
      </c>
      <c r="D5581" t="inlineStr">
        <is>
          <t>続く第；続く長い</t>
        </is>
      </c>
      <c r="E5581" t="inlineStr">
        <is>
          <t>持つ；展開；維持；続ける；継続</t>
        </is>
      </c>
      <c r="F5581" t="inlineStr">
        <is>
          <t>延々と続く；以上続く；どこまでも続く；いつまで続く；ずっと続く</t>
        </is>
      </c>
      <c r="H5581" t="n">
        <v>29</v>
      </c>
      <c r="I5581" t="inlineStr">
        <is>
          <t>意見の衝突は長く続かず、結局は防衛的な案が採用されることになった。；制定過程に外国人が関与した点については、議論が今もなお続いている。；その次に続くとされたのが、堯・舜などを含む五帝であるとされている。；石のころがる山地が帯のように続くところからこの名があると見られる。；この子供向け漫画を中心とした第 2期の活動は1966年まで続いた。；これに続くのが国土面積や人口で比較にならないが中国と日本である。；北名古屋市に入りしばらく進むと道路上に市境があるという区間が続く。；そこで行われる競技の中に棒倒しがあり、第一回開校祭から続いている。；番町のほうのお屋敷の仕事でなあ、とにかく一年と続こうてえ大仕事だ。；アメリカに続いて、ヨーロッパ各国でも同様のサービスが次々と始まった。；体力が続かなくなるまで、わたしはこの最初の試みを止めなかったのだ。；彼女はまったく喜びに満たされていたので、その雲も長く続かなかった。；他に誰も入れない兄弟2人だけの世界は、この後東京に行ってからも続く。；この過程はアッティカの多くの以前からの郊外や村も覆い、続いている。；ティティスの最初の結婚と同じように、この結婚も長くは続かなかった。；こうした状況は彼ら全員が1955年にヨーロッパに戻るまで続いた。；ノラもあとに続こうとしたが、学士の重い腕がまだ肩のまわりにあった。；続いてハー・ゴビンド・コラナが残りのコドンを決定することができた。；山名は、東北側の山続きの女峰山との対で付けられたものと考えられる。；家族のように暮らす5人と一匹だが、平和な日々は長くは続かなかった。；その技法は形を変えつつも途絶えることなく以降の現代へ続いている。；いわゆる「萌え系4コマ」の中で最も長く連載が続いていた作品である。；目標もなく、ただ過ぎてゆく毎日、なにをやっても続かないダメな自分。；この雑誌は一年余りしか続かず、全部で13号を発行して廃刊となった。；日本では町や村は郡の下に続くが、伊豆諸島は例外として郡が存在しない。；これらの電話の会話はほとんどが機体の破壊の時まで続いた。；今日に続く日本人の生活様式もこの時代にルーツが求められるものが多い。；江戸時代より現在まで続く歴史のある銭湯が全国に複数存在している。；交流は現在でも続いており時々スポーツニュースでも放送されている。</t>
        </is>
      </c>
      <c r="J5581">
        <f>HYPERLINK("https://www.weblio.jp/content/続く", "词义详情")</f>
        <v/>
      </c>
      <c r="K5581">
        <f>HYPERLINK("https://yourei.jp/続く", "查看例句")</f>
        <v/>
      </c>
    </row>
    <row r="5582">
      <c r="A5582" t="inlineStr">
        <is>
          <t>続ける</t>
        </is>
      </c>
      <c r="B5582" t="inlineStr">
        <is>
          <t>成功</t>
        </is>
      </c>
      <c r="C5582" t="inlineStr">
        <is>
          <t>読み方：つづける
［動カ下一］［文］つづ・く［カ下二］
１ある状態や行為をとぎれたり変えたりしないで保つ。「議論を—・ける」「旅を—・ける」
２ある事柄を間をおかずに繰り返して行う。「失敗を—・ける」「連勝を—・ける」
３物と物とをつらねる。間隔をおかずに次のものへつなぐ。「居間と食堂を—・けて一部屋にする」</t>
        </is>
      </c>
      <c r="D5582" t="inlineStr">
        <is>
          <t>続けるべき；続けるべく；続けるつもりなら；続ける数少ない；続けるロングセラー商品</t>
        </is>
      </c>
      <c r="E5582" t="inlineStr">
        <is>
          <t>持つ；続く；維持；継続；守る</t>
        </is>
      </c>
      <c r="F5582" t="inlineStr">
        <is>
          <t>走り続ける；戦い続ける；歩き続ける；増え続ける；待ち続ける</t>
        </is>
      </c>
      <c r="H5582" t="n">
        <v>29</v>
      </c>
      <c r="I5582" t="inlineStr">
        <is>
          <t>驚くべき速度で進化を続けるがそれにはある重大な秘密が隠されている。；そこから南西方向と南東方向の二方向に分かれて遠くまで移動を続けた。；その後も高国派と澄元派に分裂し長期に渡って対立を続けることとなる。；馬歯は一生を通じて硬い草を食べ続けるため上下に長い形状をしている。；心配して駆けつけた博士の腕の中でいつまでも泣き続けるさくらだった。；近年は千葉市のベッドタウンの性格が強くなり人口は増加を続けている。；これに続けて攻撃に必要な内容をスクリプト部分に自由に記述可能となる。；しかし結局この計画は実現せず、このまま包囲を続けることとなった。；同作は4年に渡り連載が続けられ、アニメ化される程のヒットを収める。；宇宙開発に伴ってその数は年々増え続け、対策が必要となってきている。；乗組員達は最後の生存者が死ぬまで油は漏れ続けるだろうと語っている。；しかし彼は、最期まで自らが発見した島をアジアだと主張し続けたという。；この現象は武則天時代から問題になっていたが、その後も増え続けていた。；それ以降、会社側はカロザースが仕事を続けることは無理だと判断した。；XMLを使用すべきかとの議論が何年も続けられているが、進展は遅い。；そのため、長引く場合は48時間程度も苦しみ続けて死んだと言われる。；この内、同じコースで開催され続けているのはモナコGPのみである。；ただし、その後もポーランド国内でのユダヤ人人口は減少を続けた。；センターは引き続き、胎児への影響を含めて調査を続ける方針である。；共演者には撮影直前までマイペースで薀蓄を語り続けることで知られる。；セントヘレンズ山は州内で現在も活動を続けている唯一の火山である。；その後も勲旧勢力と士林勢力は繰り返し衝突し、政局は混乱を続けていた。；導線法を長い距離にわたって続けると、段々と誤差が大きくなってくる。；へたりは荷重がほぼ一定でかかり続けるような場合にも発生する。；また3世や4世、5世からは日本語しか分からない人が増え続けている。；この変更は賛否を各地で呼んだが、開発は留まること無く続けられている。；けれど、人間に戻る為に研究を続けろというのならこの国にはいられない。；アレルゲンとの接触を続けていれば抗体値も上がり、症状もひどくなる。；可採年数に限りのある物質を消費し続ける人間活動は持続可能性がない。</t>
        </is>
      </c>
      <c r="J5582">
        <f>HYPERLINK("https://www.weblio.jp/content/続ける", "词义详情")</f>
        <v/>
      </c>
      <c r="K5582">
        <f>HYPERLINK("https://yourei.jp/続ける", "查看例句")</f>
        <v/>
      </c>
    </row>
    <row r="5583">
      <c r="A5583" t="inlineStr">
        <is>
          <t>突っ込む</t>
        </is>
      </c>
      <c r="B5583" t="inlineStr">
        <is>
          <t>成功</t>
        </is>
      </c>
      <c r="C5583" t="inlineStr">
        <is>
          <t>読み方：つっこむ
［動マ五（四）］《「つきこむ」の音変化》
１勢いよく中へ入る。突入する。また、勢いよく入れる。「走者が本塁に—・む」「バケツに手を—・む」
２
㋐内面にまで深く入り込む。「労使の—・んだ話し合い」
㋑相手の弱みなどを鋭く追及する。「あいまいな説明をして野党に—・まれる」
㋒漫才で、話題を切り出して相方の応答を促す。「打ち合わせどおりに—・む」→突っ込み3
３強くさし込む。突き入れる。「端子にプラグを—・む」「泥田に足を—・む」
４無造作に入れる。「汚れ物を押し入れに—・む」「ポケットに手を—・む」
５深く関係をもつ。「社内人事に首を—・む」
６全部のものを一緒に含めて考える。「中古品も新品も—・んで値をつける」</t>
        </is>
      </c>
      <c r="D5583" t="inlineStr">
        <is>
          <t>突っ込む形；突っ込むべき；突っ込む事故；突っ込むしかない；突っ込むような形</t>
        </is>
      </c>
      <c r="E5583" t="inlineStr">
        <is>
          <t>入れる；迫る；攻撃する；叩く；掛かる</t>
        </is>
      </c>
      <c r="F5583" t="inlineStr">
        <is>
          <t>深く突っ込む；突っ込むというスタイル</t>
        </is>
      </c>
      <c r="H5583" t="n">
        <v>29</v>
      </c>
      <c r="I5583" t="inlineStr">
        <is>
          <t>それまで両のポケットに突っ込んでいた男の手を見てしまったのである。；彼はそれを一つずつ火に突っ込んで、テーブルのところへ持って行った。；そこにあったはずのものは切り取られ、彼の口の中に突っ込まれていた。；何か、とてもヤバイことに首を突っ込んでしまったのではないだろうか?；仕事はとんとしない癖に、妙なことにばかり望んで首を突っ込むんです。；薬で固くなった一物を女のあそこに突っ込むためにホテルへ急いでいる。；肩をそびやかし、顎を胸に埋めて両手を深くポケットに突っ込んでいた。；その命を熱と光に転換しながら、皇帝へと真っ逆さまに突っ込んでいく。；そのためか、舞台上ではポケットに片手を突っ込んでいる事が多かった。；現地の政治情勢に到着したばかりのマゼランが首を突っ込んでしまった。；光が焼き付いた視界の中でそいつは僕の開けた口の中へ手を突っ込む。；で、それを俺は学校に行く用意をしているときに ポケットに突っ込んだ。；だからボールが突然首都の車の列に突っ込んで来た、と言ってもいい。；われわれが南極嵐のしっぽのほうに突っ込んでいることは明らかだった。；気がついたら、右でも左でもない、真ん中の道なき道へ突っ込んでいた。；父親と思われる人物が、新聞の経済欄に頭を突っ込んでぶっ倒れていた。；そのうち鼻にも口にも妙な管突っ込まれて、点滴の数もどんどん増えた。；が、そう云ってしまったのであり、それを梶子に突っ込まれたのである。；泣くぐらいなら、最初からこんなことに首を突っ込むべきではなかった。；入口に着くと、みんないきなりポケットから手を出して窓口に突っ込む。；彼らにもし自分の弱いところを見せるならば、すぐに突っ込んでくる。；ぬしは、ここの話に首を突っ込むのは危険だと判断したのじゃろうが。；吉太郎は首を落とし穴に突っ込むようにして俯伏せになって倒れている。；あと十二時間で、JSDFの海兵隊だか何だかが突っ込んでくるんだぞ!；サイモンは長いこと姿を消していたが、やがて戸口から頭を突っ込んだ。；だがまあ、こいつらのバトルにこれ以上首を突っ込むのはやめておこう。；戦車で突っ込んできたりするなど行動がかなり無茶苦茶な人物である。；目の前が真っ暗なのは、スカートの中に顔を突っ込んでいるからだった。；それに私が首を突っ込むまでもなく楓達が何とかするだろうと信じてもいる。</t>
        </is>
      </c>
      <c r="J5583">
        <f>HYPERLINK("https://www.weblio.jp/content/突っ込む", "词义详情")</f>
        <v/>
      </c>
      <c r="K5583">
        <f>HYPERLINK("https://yourei.jp/突っ込む", "查看例句")</f>
        <v/>
      </c>
    </row>
    <row r="5584">
      <c r="A5584" t="inlineStr">
        <is>
          <t>慎む</t>
        </is>
      </c>
      <c r="B5584" t="inlineStr">
        <is>
          <t>成功</t>
        </is>
      </c>
      <c r="C5584" t="inlineStr">
        <is>
          <t>読み方：つつしむ
［動マ五（四）］
１あやまちや軽はずみなことがないように気をつける。慎重に事をなす。「行動を—・む」「言葉を—・みなさい」
２度をすごさないようにする。控えめにする。節制する。「酒を—・む」「暴飲暴食を—・む」
３（「謹む」と書く）うやうやしくかしこまる。「—・んで御礼申し上げます」→謹んで
「君達(きんだち)さへ余り—・み給て、今は目も見せ給はねば」〈狭衣・四〉
４物忌みする。斎戒する。
「ながき物忌みにうちつづき、著座といふわざしては—・みければ」〈かげろふ・下〉</t>
        </is>
      </c>
      <c r="D5584" t="inlineStr">
        <is>
          <t>慎むべき(30%)；慎むべし；慎むよう警告</t>
        </is>
      </c>
      <c r="H5584" t="n">
        <v>29</v>
      </c>
      <c r="I5584" t="inlineStr">
        <is>
          <t>もうあれ以来軽率に感情を告げたりすることもなく慎んでいるのである。；無理をしてことをおこなうと大変なことになりますから慎んでおく事です。；正座して食べ出そうとしているのは、決して慎んでいるのではなかった。；どうあれ人が亡くなっているんだから、もう少し態度を慎むべきでしょう。；この点、心ある今後の書家は、十分慎まなければならないのであります。；わたしの考えでは、女性はそのような軽率なふるまいを慎むべきである。；私にそれだけの慎んだ態度がなかつたならば女は隣の座敷を移したかも知れぬ。；酒を飲んでいるかぎり、わたしは酒を慎んでいる状態を考えることはできない。；それでも不破が訊くなという態度を見せたら口を慎まなければならない。；そうすればこの次に慎むときには、いささかなりとも楽になります。；日本では性的なことがらを堂々と語るのは慎むべきこととされてきた。；父が以前のように、軽々と動く間は、もう少し慎んでくれたらと心配した。；軍人が任務を遂行しているとき、女性に言い寄るのは慎まねばならん。；ただ声がかぼそい、二十七前後にはよくよく身を慎まねばならない。；当時は正妃が亡くなった場合は喪に服し、争い事は慎むのが習いだった。；少しお饒舌を慎んだ方が軽薄に見えずに済むだろうと思われるくらいである。；いつも誰かが自分を見ているような気がして身を慎む。；古代にあっては、新郎の家も新婦の家も、三日間は音曲を慎んだという。；一瞬、上がろうかと思ったが、勝手な行動は慎んだ方がいいと考え直した。；だけどあれも、ほかの娘たちのようにちゃんとして身を慎むようになるだろうよ。；今は結婚もして役場勤めの身だから、慎まねばならないのは重々承知している。；しかしさすがに慎んで、その後はあまり虹之助のことに触れないようにしている。；古い話だし、物証もないのにとやかくいうのは慎まなければならない。；以後は慎んでもらいましょうと、かえってさかねじをくわしたという。；身を慎んでないから馬頭さんに目え付けられてるんだ、というふうに考える。；さんさんたる日光が、食事中慎んでいた茶目気を一時に爆発させた。；気張って書くということは、誰にしても充分慎まなければならぬと思います。；鎮魂の儀式には言葉は必要でなく、余計な身動きも慎まなければならない。；どちらの規範でも最初の規則は感覚のある生き物の命をとることを慎むことである。</t>
        </is>
      </c>
      <c r="J5584">
        <f>HYPERLINK("https://www.weblio.jp/content/慎む", "词义详情")</f>
        <v/>
      </c>
      <c r="K5584">
        <f>HYPERLINK("https://yourei.jp/慎む", "查看例句")</f>
        <v/>
      </c>
    </row>
    <row r="5585">
      <c r="A5585" t="inlineStr">
        <is>
          <t>謹んで</t>
        </is>
      </c>
      <c r="B5585" t="inlineStr">
        <is>
          <t>成功</t>
        </is>
      </c>
      <c r="C5585" t="inlineStr">
        <is>
          <t>読み方：つつしんで
［副］《動詞「つつしむ」の連用形に接続助詞「て」の付いた「つつしみて」の音変化》敬意を表してうやうやしく物事をするさま。かしこまって。「—お受けいたします」「—新年の御挨拶を申し上げます」</t>
        </is>
      </c>
      <c r="D5585" t="inlineStr">
        <is>
          <t>謹んで聞い</t>
        </is>
      </c>
      <c r="E5585" t="inlineStr">
        <is>
          <t>恐れながら</t>
        </is>
      </c>
      <c r="H5585" t="n">
        <v>29</v>
      </c>
      <c r="I5585" t="inlineStr">
        <is>
          <t>そうして片手を椅子にかけたまま、謹んで私の返事を待っているらしい。；こんな場合、喜びを押し隠して謹んでお受けしますと言うのが普通だ。；謹んで感謝しますし、ホリデー・シーズンには驚くくらいの愛を持っています。；なぜなれば、彼等がわたしの前で謹んでゐてくれる事をわたくしはよく知つてゐる。；そうして黄金の甲冑で体を鎧った宗介様を一同謹んで拝するのであった。；家人も梅津先生から習い立ての謡というと謹んで聞いたものだという。；藩主もこの木崎原を聞く時には端坐して、両手を膝の上へ置いて謹んで聞くのだそうです。；全く思いがけない光栄なお沙汰なので、謹んでお受けすることにした。；公卿たちは意外な感にうたれたが、みことばである、謹んでひきさがった。；故に、謹んで籠の中に入れておかなければならないのです。；武骨な豪傑肌の叔父さえも、謹んでしている中で自分だけ態とそういうことをした。；私達は謹んで立ち上ったが、社長でなくて庶務課長の中島さんだった。；セピアはそれをちらりと見てから、 「謹んでお受けしますが」 と答えた。；謹んでお裁きをお受けします、などと書いてあったわ。；人麿は此歌を作るのに、謹んで緊張しているから、自然歌調も大きく荘厳なものになった。；謹んで承たまわるに、帯は蜻蛉に結んでそしてその輪の方を左に向けるのだとのこと。；彼は私の皿にハムを一片とってくれ、私は謹んで食べた。；腰を落して、謹んで草子を帝に差し出す身体の線が何ともいえない。；おれは、この両方をなしとげたやつなら、どんな男の言うことでも、謹んで従おう。；そして謹んで一言申し上げる光栄を有しますが、今日そのように改正法令が出たところなんです。；そして謹んでその教へを受けたい。；いつも翁に何か言われると、謹んで承るという風になっている少女らに、直接に言うことはもちろん出来ない。；謹んでお受けをしたそうだ。；その際には、名も身分もない領民であっても、ギルドのメンバーであるならば、謹んで傍聴することが許されていた。；一首は応詔歌であるから、謹んで歌い、荘厳の気を漲らしめている。；私も平社員時代を思い出すと、謹んで廊下を通ったものだ。；私はただ少年時における私の心持を想起し、それを記して、謹んで先生を祝福する。；「お待ちくださるよう謹んでお願いします」 またしても平坦な声だ。；世界の大賊アルセーヌ・ルパン、謹んで日本の名探偵に敬意を表するぜ。</t>
        </is>
      </c>
      <c r="J5585">
        <f>HYPERLINK("https://www.weblio.jp/content/謹んで", "词义详情")</f>
        <v/>
      </c>
      <c r="K5585">
        <f>HYPERLINK("https://yourei.jp/謹んで", "查看例句")</f>
        <v/>
      </c>
    </row>
    <row r="5586">
      <c r="A5586" t="inlineStr">
        <is>
          <t>突っ突く</t>
        </is>
      </c>
      <c r="B5586" t="inlineStr">
        <is>
          <t>成功</t>
        </is>
      </c>
      <c r="C5586" t="inlineStr">
        <is>
          <t>読み方：つっつく
［動カ五（四）］《「つきつく」の音変化》「つつく」に同じ。「鳥がえさを—・く」「すき焼を—・く」</t>
        </is>
      </c>
      <c r="D5586" t="inlineStr">
        <is>
          <t>促す；刺す；突く；扇動；煽動</t>
        </is>
      </c>
      <c r="H5586" t="n">
        <v>10</v>
      </c>
      <c r="I5586" t="inlineStr">
        <is>
          <t>どうせそこを突っ突いても誰も幸せにはなるまい。；かなり遠方で、制服警官が何名か、草の茂みを突っ突いている。；私が何とかボロを出そうと重箱の隅を突っ突くのだが、彼女の自信にはわずかの揺るぎもなかった。；大型の獲物も蹴りと突っ突きで、あるいはクチバシを刃のように用いて主要臓器への打撃・斬撃で攻撃された可能性がある。；豚は心に思いながら、もうたまらなくなり前の柵を、むちゃくちゃに鼻で突っ突いた。；道夢斎は、にわかに下卑た笑いを浮かべて、息子を肘で突っ突く。；笑いが止ってから、イジワル読者の代表のような気持になって、重箱の隅を突っ突くように、この座談会をゆっくり読んだ。；「泉州の堺はどこなんだ」 一心に念仏を唱える源爺を突っ突いた。；一般的に、恐鳥類は蹴りによって獲物を打撃するように脚を用い、獲物を押さえつけて突っ突いて殺すために巨大なクチバシを用いたと考えられている。；念仏に熱中する留吉を突っ突き、そのことについて問うた。</t>
        </is>
      </c>
      <c r="J5586">
        <f>HYPERLINK("https://www.weblio.jp/content/突っ突く", "词义详情")</f>
        <v/>
      </c>
      <c r="K5586">
        <f>HYPERLINK("https://yourei.jp/突っ突く", "查看例句")</f>
        <v/>
      </c>
    </row>
    <row r="5587">
      <c r="A5587" t="inlineStr">
        <is>
          <t>突っ張る</t>
        </is>
      </c>
      <c r="B5587" t="inlineStr">
        <is>
          <t>成功</t>
        </is>
      </c>
      <c r="C5587" t="inlineStr">
        <is>
          <t>読み方：つっぱる
［動ラ五（四）］
１
㋐ゆるみがなく強くはる。かたくぴんとしている。からだのすじが強くはってかたくなる。「のりがききすぎて浴衣が—・る」「足の筋肉が—・る」
㋑自分の意見を曲げずに強く言い張る。言い分をどこまでも押し通そうとして抵抗する。「自説を通そうとあくまで—・る」
㋒程度が並はずれている。「欲の皮が—・っている」
㋓虚勢をはる。また、不良がかった態度をとる。「あの子はただ—・っているだけだ」「—・っている中学生」
２
㋐倒れたりしないように棒などを押し当てる。つっかいをする。「塀を棒で—・って補強する」
㋑腕・脚などに力を入れて伸ばし強く押す。「両脚を—・って背中で車を押す」
㋒相撲で、平手で相手を交互に突く。「両力士は立ち合いから激しく—・って出た」
[可能]つっぱれる</t>
        </is>
      </c>
      <c r="H5587" t="n">
        <v>29</v>
      </c>
      <c r="I5587" t="inlineStr">
        <is>
          <t>私はお前のソヴェト権力と一緒に正しいところはどこまでも突っ張るよ。；それとも、気を失っていて何も見ませんでしたと突っ張るべきなのか。；まだ右の腕で相手の婦人を抱いたなり、左の手を腰にあてて突っ張っている。；だから突っ張ってから自分の四つに組むのがいいんだぞと私は教わった。；顔の皮膚が突っ張るのを覚えながら、表示された全乗員の状況を調べる。；しかしその手は冷えきっていて、腕は鉄の棒のように突っ張っていた。；だが突っ張られても仕方がないだけの開きが、彼女と正介の間にはある。；右手の甲も、ざらざらとしていて、皮が突っ張ったような感覚があった。；両手で持って上に高くあげ、腕を突っ張ったまま、一発、天井に射った。；相撲は下手だったが突っ張るだけで相手は立っていられなかったとされる。；笑ってはいなかったがハリーのために突っ張ろうともしなかった。；彼女は両手を突っ張って壁面を押さえ、そろそろと階段を下りだした。；それとも頭骨が皮膚を内側から押して突っ張らせているのだろうか?；手を突っ張り片手に鏡を握り、腰から尻、腿と目をこらして調べていく。；突っ張ったような笑みだが、取り乱してはいないし、怒ってもいない。；彼女は勝気らしく、若い連中に挑むように、すぐにまた突っ張りだした。；壁や床に鎖や金具で固定したり、家具と天井の間で棒を突っ張らせたりする。；眼が飛び出しそうに突っ張り水中マスクが異様な力で顔に吸いついてくる。；左足が棒のように突っ張っていて、膝が思うように曲がらないらしい。；腹の皮を突っ張らせて、肉体の内部から盛り上がっているのである。；全身が金属になってしまったかと思うほど、恐怖のために筋肉が突っ張っていた。；あのあと、短パンの股間を突っ張らせたまま家に戻っていったんだろうか。；そして坐りたくてならないのを強いて、ガタガタ震える足で突っ張った。；両手を膝に突っ張って、うなだれたまま、涙が頬を伝うにまかせている。；第五層は要人訪問のために一般市民の利用を制限すると突っ張ねた。；どんなに突っ張っても、最後には男の言いなりになるしかないのか。；かれは、わざとみたいに突っ張るポーズの下にそれを隠しています。；「今晩は特別長いですな」 と私は両肘を突っ張って首を左右に動かした。；晩年は突っ張りの後、父・兄が得意としていた両差しの相撲を取るようになった。</t>
        </is>
      </c>
      <c r="J5587">
        <f>HYPERLINK("https://www.weblio.jp/content/突っ張る", "词义详情")</f>
        <v/>
      </c>
      <c r="K5587">
        <f>HYPERLINK("https://yourei.jp/突っ張る", "查看例句")</f>
        <v/>
      </c>
    </row>
    <row r="5588">
      <c r="A5588" t="inlineStr">
        <is>
          <t>包み</t>
        </is>
      </c>
      <c r="B5588" t="inlineStr">
        <is>
          <t>成功</t>
        </is>
      </c>
      <c r="C5588" t="inlineStr">
        <is>
          <t>読み方：くるみ
１くるむこと。また、くるんであるもの。
２赤ん坊を抱くとき、着衣の上からくるんで防寒・保温などのために用いるもの。多くはかいまきに似て、袖(そで)がない。おくるみ。くるみぶとん。</t>
        </is>
      </c>
      <c r="D5588" t="inlineStr">
        <is>
          <t>包みこん(4%)；包み紙(4%)；包みこむ(2%)；包みこま；包みこみ</t>
        </is>
      </c>
      <c r="E5588" t="inlineStr">
        <is>
          <t>束；包；束ね；包装；風呂敷包み</t>
        </is>
      </c>
      <c r="F5588" t="inlineStr">
        <is>
          <t>小さな包み；小包み；大きな包み；ふろしき包み；布包み</t>
        </is>
      </c>
      <c r="G5588" t="inlineStr">
        <is>
          <t>包み込ん；包み隠さ；包み込み；包み込ま；包み隠し</t>
        </is>
      </c>
      <c r="H5588" t="n">
        <v>29</v>
      </c>
      <c r="I5588" t="inlineStr">
        <is>
          <t>あの包みのなかにはなにが入っているのかと、ぼくはふたりにきいた。；彼は包み紙の中でべたべたになる林檎糖のように汗をかいているからだ。；さて、あとはきみに小包みを渡して、中の指示書通りに行動して欲しい。；ときには大量の刷物の包みがお涌の勉強机の側まで雪崩れ込んだりした。；とまた十人の一団が一人の人間を真ん中に包み、闇の中から産まれ出た。；彼は小さい風呂敷包み一つを持っているだけで、ほとんど手ぶら同様だ。；そのとき采女は身包みをはがれ、桜姫の着物は川へと落ちて流れてゆく。；私が広貫堂でもらった記念の薬包みの一番底に反魂丹がはいっていた。；ある日の夜、二つの布包みを咥えた一羽のコウノトリが飛行していた。；菰包みの中から現われたのは、もちろん生きている正木右馬介であった。；湯道具を前垂に包み、蛇の眼の傘をさした女が暖簾をくぐって出て来た。；青い制服に身を包み荒野を進む北軍兵士の一団は二つの目的を持っていた。；菓子の包み紙などを入れるなど、簡易ごみ箱のように利用する人もいる。；その姿は早や人目につくほど包み切れないものと成ったかとさえ思われた。；顔と頭を黒い布で包み、大きな袋のような大褂児に身をかくしている。；また夜闇が下界を包みに降りて来ても、 己は恐る恐る身を臥所に倒す。；包み紙を開くと、中から数枚のキャビネ形の写真があらわれました。；だが季節が寒かつたので、鞄はまだ恐ろしい秘密を包みおほせてゐた。；手にはかなりカサはあるが、そう重くもないらしい包みを持っている。；その男は包みを抱えており、マダム・マルメゾンの店から来たとか。；夏家の人はお骨を拾い、丁寧に布で包み、籠に納めて改めて祀っている。；骨箱の包みの間には浩太から預かってきた100円と加代の手紙があった。；女は毛糸の襟巻をし、腰から下を毛布で包み、紙人形をこしらへてゐる。；ところが今日五時頃外出から帰ってみると、大きな包みが届いている。；なお現在、パッケージの包み紙には「ほまれ」の文字が記載されている。；日本国内では、瀬戸物の包み紙程度の認識した無かった日本の浮世絵。；メリンスの風呂敷包みの骨壺入りの箱を膝に載せて弟の俥は先きに立った。；中国大陸との交流が盛んになると紙や布で包みや袋や箱を作る事が行われるようになった。；島にかえる娘二人は姉妹らしく、頭に手拭かぶり手に小さき包み持ちぬ。</t>
        </is>
      </c>
      <c r="J5588">
        <f>HYPERLINK("https://www.weblio.jp/content/包み", "词义详情")</f>
        <v/>
      </c>
      <c r="K5588">
        <f>HYPERLINK("https://yourei.jp/包み", "查看例句")</f>
        <v/>
      </c>
    </row>
    <row r="5589">
      <c r="A5589" t="inlineStr">
        <is>
          <t>堤</t>
        </is>
      </c>
      <c r="B5589" t="inlineStr">
        <is>
          <t>成功</t>
        </is>
      </c>
      <c r="C5589" t="inlineStr">
        <is>
          <t>読み方：つつみ
《包むものの意》
１水があふれないように、湖沼・川・池などの岸に沿って土を高く盛り上げたもの。土手。堤防。「洪水で—が切れる」
２水をためた池。ため池。貯水池。
３相撲の土俵。
「御前に—かきて、月日山などありける」〈栄花・根合〉</t>
        </is>
      </c>
      <c r="D5589" t="inlineStr">
        <is>
          <t>堤高；堤外地；堤さん；堤頂；堤道</t>
        </is>
      </c>
      <c r="E5589" t="inlineStr">
        <is>
          <t>ダム；土手；堤防；堰；バンク</t>
        </is>
      </c>
      <c r="F5589" t="inlineStr">
        <is>
          <t>周堤；斜堤；墨堤；柳原堤；茨田堤</t>
        </is>
      </c>
      <c r="G5589" t="inlineStr">
        <is>
          <t>堤体；堤康次郎；堤幸彦；堤清二；堤義明</t>
        </is>
      </c>
      <c r="H5589" t="n">
        <v>29</v>
      </c>
      <c r="I5589" t="inlineStr">
        <is>
          <t>周囲の様子から周濠・周堤が存在した可能性もあるが、はっきりしない。；駒込川との合流部付近は堤氏が支配していた頃は堤浦とも呼ばれていた。；川や湖に面したほとんどの土地で釣りが行われ、堤は釣りに利用される。；元々は湧水であり、堤を作って水を溜めるようにしたためこの名がある。；堤は制止する際に足を滑らせてステージから落ちたが、怪我はなかった。；pseudomammaは足のような乳腺堤から遠い場所にも発生する。；生産工場は、愛知県豊田市にあるトヨタ自動車の堤工場が担当していた。；関西所属の調教師も目をつけていた事実もあり、堤はその場で購入を決意。；西宮市側は武庫川線ホームに接する形で堤内の地上部分に駅舎がある。；元々水の湧く所であり、堤を作り水を溜めるようにしたためこの名がある。；素質を感じた堤から、冠名と父名を組み合わせた競走馬名が与えられた。；スビアーコに建設されたダムのうち最大のものは50mの堤高を持っていた。；南端の僧都付近で道が分岐しているが、東側の道は鮎喰川の旧堤である。；台地の南端に位置するため、周濠の南側には大規模な堤が築かれている。；境内を流れる金蛇沢の水源となっている「七ッ堤」が境内の西側にある。；同抄では、檀林皇后がその氏神を円堤寺に祀ったことに由来するとする。；広場には勤労青少年ホーム前に建っていた堤の胸像が建立されている。；時代劇ではあるが堤らしいコメディの要素もあり斬新な作品となっている。；卒業後は、日大時代兄の様に慕っていた堤内が在籍する八角部屋に入門。；地区には東西にいずれも二級河川である堤川と駒込川が流れている。；その後堤高・型式について幾度の変更を行って実施計画調査に入った。；町域の東部は土手通りに接しこれを境に東浅草・日本堤にそれぞれ接する。；日本でもっとも堤高の高いダムで、富山県で最も高い構築物でもある。；叔虎は涿県に帰り、堤のそばに住居を築いて、悠々自適の生活を送った。；周堀・周堤を含めた外径は約55mに達し、当地方では最大の規模を誇る。；丸墓山から南にまっすぐ伸びている道路は、この堤の名残である。；翌慶長20年の夏の陣は遅参したため、破壊された道や堤の修復を行った。；河口付近では生活用水・工業用水用の人工河川や池・堤がたくさんある。；堤防から見て河川のある側を堤外といい、その反対側を堤内という。</t>
        </is>
      </c>
      <c r="J5589">
        <f>HYPERLINK("https://www.weblio.jp/content/堤", "词义详情")</f>
        <v/>
      </c>
      <c r="K5589">
        <f>HYPERLINK("https://yourei.jp/堤", "查看例句")</f>
        <v/>
      </c>
    </row>
    <row r="5590">
      <c r="A5590" t="inlineStr">
        <is>
          <t>包む</t>
        </is>
      </c>
      <c r="B5590" t="inlineStr">
        <is>
          <t>成功</t>
        </is>
      </c>
      <c r="C5590" t="inlineStr">
        <is>
          <t>読み方：くるむ
［動マ五（四）］巻くようにして物をつつむ。「書類を風呂敷で—・む」
→包(つつ)む［用法］
[可能]くるめる
［動マ下二］「くるめる」の文語形。</t>
        </is>
      </c>
      <c r="D5590" t="inlineStr">
        <is>
          <t>包む黒い；包む形；包む白い；包む総腱輪；包む葉鞘</t>
        </is>
      </c>
      <c r="E5590" t="inlineStr">
        <is>
          <t>包囲；隠す；回る；巡る；覆う</t>
        </is>
      </c>
      <c r="F5590" t="inlineStr">
        <is>
          <t>すっぽり包む；すっぽりと包む；覆い包む；優しく包む；包む総</t>
        </is>
      </c>
      <c r="H5590" t="n">
        <v>29</v>
      </c>
      <c r="I5590" t="inlineStr">
        <is>
          <t>船内は厳しい規律と潜水艦の攻撃への不安から異様な雰囲気に包まれた。；直後からまた深い霧に包まれ空襲圏外まで無事に離脱することができた。；霧が晴れると、くらいど丸が煙と蒸気に包まれて沈んでいくのが見えた。；炎に包まれた時は、全身から白い煙のようなものを放出して消し止める。；そして急がしく袂の中から、何か紙に包んだ物を出して私の手に渡した。；駅に戻ると町は一面ガラスに包まれたような光景になっていた。；コロネルがなぜこの絵を所有していたのか多くの謎に包まれている。；引退後の姿はまったく謎に包まれており、人々の興味の対象となった。；この作戦の詳細は一切公表されていないため謎に包まれている。；その世界でその名を知らぬ者はいないが、その存在は謎に包まれているという。；六連は爆発を起こして吹き飛び、炎に包まれ大傾斜の末沈没していった。；その結果、すべてのバランスが崩れ、世界は闇に包まれようとしていた。；平安時代には朝廷は儀式で使う金品を折った紙で包む方法を定めていた。；一族は取材などをほとんど受け付けず、その詳細は謎に包まれている。；柄は長さ120センチメートルで、装飾された樺の樹皮で包まれていた。；もし蠅男がでたら、端をもってこの包んだ石をふりまわすつもりだった。；牛同士を戦わせる闘牛が盛んで、シーズンには島全体が熱気に包まれる。；花は単性、少数の膜質の花被に包まれ、それが多数集まって頭状になる。；一人の女性が布に包まれたものを持って電車に乗っていた。；米の粉でつくった薄い紙みたいなもので、飲みにくい粉薬を包むんです。；杖が邪魔なので腕の処へ揺り上げて、引包んだその袖ともに腕組をした。；極端な場合、水が無くても湿ったもので包んでおいた方がましである。；「そうか」無口な父は微笑を苦笑いに押し包んだような顔をして言った。；その為か表立った場所での活躍は無く、彼の戦歴は謎に包まれている。；既にドン河の枢軸軍全体が包囲網に包まれており脱出は絶望視されていた。；このナイフは、笹で包まれた上から鋸のように引きながら切って使用する。；細胞小器官は生体膜で包まれた、細胞中で固有の機能を持つ部分である。；一方で一族は取材などをほとんど受け付けず、その詳細は謎に包まれている。；最古のアルカナとされているが、その詳細の全てが謎に包まれた存在。</t>
        </is>
      </c>
      <c r="J5590">
        <f>HYPERLINK("https://www.weblio.jp/content/包む", "词义详情")</f>
        <v/>
      </c>
      <c r="K5590">
        <f>HYPERLINK("https://yourei.jp/包む", "查看例句")</f>
        <v/>
      </c>
    </row>
    <row r="5591">
      <c r="A5591" t="inlineStr">
        <is>
          <t>集い</t>
        </is>
      </c>
      <c r="B5591" t="inlineStr">
        <is>
          <t>成功</t>
        </is>
      </c>
      <c r="C5591" t="inlineStr">
        <is>
          <t>読み方：つどい
つどうこと。集まり。「名画鑑賞の—」</t>
        </is>
      </c>
      <c r="D5591" t="inlineStr">
        <is>
          <t>集い始め；集い交流</t>
        </is>
      </c>
      <c r="E5591" t="inlineStr">
        <is>
          <t>会；一緒；合併；集；集まり</t>
        </is>
      </c>
      <c r="F5591" t="inlineStr">
        <is>
          <t>寄り集い；楽しい集い</t>
        </is>
      </c>
      <c r="H5591" t="n">
        <v>29</v>
      </c>
      <c r="I5591" t="inlineStr">
        <is>
          <t>集いの広場にも自由広場と同じようなバーベキュー台が設置されている。；そこには海千山千の商人が何人も集い、そんな連中を束ねる人間がいる。；クローカーはごくまれに数十匹が集い、集会を開くことで知られている。；午後には、集まった二百五十余名のほとんどが、惜別の集いに残った。；一方で、ヴァルトハウゼンの館での集いは伯爵の死で解散してしまう。；夜の七時を過ぎるころから、王宮に盛装した貴族たちが集いはじめる。；彼らはこの集いのルールである「全員一致」にのっとり議論を進めていく。；JANOGはその名の通り、日本のネットワーク運用者の集いである。；忠義の精神に集い、平和を願う輪はやがて日本でも大きな力となるであろう。；出会ったのはちょうど二年前の四月、仕事上の集いを通じて知りあった。；彼らは専用の教会をその集落に持たず、普通の家に持ち回りで集い神に祈る。；その後はライブに専念し、サポートメンバーを集いながら活動を続ける。；もうひとつの形態は、家族の枠をこえて近隣のものたちを集めた社会的な集いである。；マリエも階下の集いに参加して、ここへは顔を見せないはずだった。；やがてランカスターの周囲に熱心な人々が集い、集団は大きな力を持ち始める。；そこに地と水と火と風の精気が集い、巨大な生命のエネルギーを精錬させていく。；その眺めの良さに誘われて、歌人や俳人が集い、歌や句を詠んだという。；集いは簡単なレクレーション大会などをして、最後に公開録画に参加する。；その下には大勢の人々が集い、声を合わせて歌っていた。；鳥師がいた頃の鳥屋は噂を聞いた玄人集が集い、主人も得意の絶頂だった。；人間のような大きな心の場合はたくさんのコロッコが集います。；一歩ごとに人々が群れ集い、国民兵たちがいそがしく動いている。；私たちはここに集い合ってうんと勉強しなければなりません。；執筆者間の見解に疑問に感じるのであれば、積極的に広く意見を集いましょう。；保郎はこの度の集いによって、自分が今後進むべき方向が示されたように思った。；不幸にも、この楽しい集いは解散されなければなりません。；何事かと思って側に寄ってみたら「頭を下げてたら、血が集いすぎた」と症状を訴えた。；しかし、複数人が集い、同好会のような形で活動しているグループもある。；祖父もだんだん回復して、車の運転もして詩吟の集いにも出かけるようになった。</t>
        </is>
      </c>
      <c r="J5591">
        <f>HYPERLINK("https://www.weblio.jp/content/集い", "词义详情")</f>
        <v/>
      </c>
      <c r="K5591">
        <f>HYPERLINK("https://yourei.jp/集い", "查看例句")</f>
        <v/>
      </c>
    </row>
    <row r="5592">
      <c r="A5592" t="inlineStr">
        <is>
          <t>勤まる/務まる</t>
        </is>
      </c>
      <c r="B5592" t="inlineStr">
        <is>
          <t>无结果</t>
        </is>
      </c>
      <c r="H5592" t="n">
        <v>0</v>
      </c>
      <c r="J5592">
        <f>HYPERLINK("https://www.weblio.jp/content/勤まる/務まる", "词义详情")</f>
        <v/>
      </c>
      <c r="K5592">
        <f>HYPERLINK("https://yourei.jp/勤まる/務まる", "查看例句")</f>
        <v/>
      </c>
    </row>
    <row r="5593">
      <c r="A5593" t="inlineStr">
        <is>
          <t>勤め</t>
        </is>
      </c>
      <c r="B5593" t="inlineStr">
        <is>
          <t>成功</t>
        </is>
      </c>
      <c r="C5593" t="inlineStr">
        <is>
          <t>読み方：つとめ
１当然果たさなければならない事柄。任務。義務。「税金を納めることは国民の—だ」
２官公庁・会社などに雇われて、働くこと。勤務。「一日の—を終える」
３仏道の修行。また、僧侶が日課として行う勤行(ごんぎょう)。「朝夕の—を欠かさない」
４遊女などが稼業として客の相手をすること。
「あの娼妓は、あなたにゃあ—をはなれた、仕うちでげすぜ」〈魯文・安愚楽鍋〉
５遊女の揚げ代。また一般に、支払うべき金銭。勘定。
「四十ばかりの女、…—をとりにきたり」〈滑・膝栗毛・六〉</t>
        </is>
      </c>
      <c r="D5593" t="inlineStr">
        <is>
          <t>勤めている(13%)；勤め上げ；勤め始め；勤めてゐる；勤め帰り</t>
        </is>
      </c>
      <c r="E5593" t="inlineStr">
        <is>
          <t>仕事；務め；役；役割；作業</t>
        </is>
      </c>
      <c r="F5593" t="inlineStr">
        <is>
          <t>会社勤め；長く勤め；長年勤め；城勤め；相勤め</t>
        </is>
      </c>
      <c r="G5593" t="inlineStr">
        <is>
          <t>勤め先；勤め人；勤め口；勤めよ；勤めれ</t>
        </is>
      </c>
      <c r="H5593" t="n">
        <v>29</v>
      </c>
      <c r="I5593" t="inlineStr">
        <is>
          <t>現在はかねてから講師を勤めていた大学での教鞭を中心に活動している。；卒業後クリニックに勤めたのも資金を得るためである側面もあるとされる。；その後も同研究科の助教として勤務しながら蹴球部コーチを勤めている。；しかし役人の道を進むとすれば、勤めながら高文を通らねばならない。；一方で、老年まで勤め上げた奴隷を奴隷身分から解放する主人もいた。；尚、ブラジルから渡ってきた同期の中で最後まで現役を勤めた。；現在は同地に存在する株式会社でらゲーのマレーシア支社に勤めている。；当時父親は地元の運送会社に勤めていたが、後にラーメン店を開いた。；森友貿易株式会社へ入り上海支店長を勤め、この頃から運が向いてきた。；日本では大阪のハーマンモータースポーツジャパンが輸入元を勤めている。；江戸時代には天領大庄屋を勤め、上時国・下時国の二家に分かれている。；大学卒業後は関西で会社勤めをしながら、劇団くるみ座の演劇教室に入る。；その後、1968年までスヴェルドロフスク州にある建設企業に勤めた。；在位中の皇帝が執政官を勤めている場合には皇帝名を強調した。；両親はペンシルベニア州バトラーにある退役軍人省の病院に勤めていた。；また勤めていた人が昭和20年代にOゲージの阪井模型をはじめている。；出獄後は葬儀会社に勤めたり、中国で開拓事業に従事したりするなどした。；大助の長兄は勤めていた鉱業会社を退職し、家族以下蟄居生活を続けた。；一方で、七戸藩や富田藩のように宗藩の藩主の後見を勤めた者もいる。；その後、会社勤めとの二足のわらじより独立、多数の架空戦記を発表する。；そのような工場からスクラップされた金属を回収していた会社に勤めていた可能性もある。；一方、映画演劇研究所を開設して後進の育成指導に勤めている。；当社設立後も、最近までムーンスターの創業家の一族が社長を勤めていた。；年季奉公の明けたはるが家に戻ってくるが、すぐに製糸工場へ勤めに出た。；専修学校での活躍は、文部省専門学務局内記課に勤めていたころである。；北浜銀行で岩下の鞭撻を受けて昇進し8年間勤めたが、銀行は倒産した。；何人もの貴族が宮廷で王の助言者、そして高位聖職者を勤めていた。；一時期ハンブルクに勤めていた折り、ラインケンに学んだ可能性がある。；彼女はしばしば彼の絵のモデルを勤めた。</t>
        </is>
      </c>
      <c r="J5593">
        <f>HYPERLINK("https://www.weblio.jp/content/勤め", "词义详情")</f>
        <v/>
      </c>
      <c r="K5593">
        <f>HYPERLINK("https://yourei.jp/勤め", "查看例句")</f>
        <v/>
      </c>
    </row>
    <row r="5594">
      <c r="A5594" t="inlineStr">
        <is>
          <t>務め</t>
        </is>
      </c>
      <c r="B5594" t="inlineStr">
        <is>
          <t>成功</t>
        </is>
      </c>
      <c r="C5594" t="inlineStr">
        <is>
          <t>読み方：つとめ
１当然果たさなければならない事柄。任務。義務。「税金を納めることは国民の—だ」
２官公庁・会社などに雇われて、働くこと。勤務。「一日の—を終える」
３仏道の修行。また、僧侶が日課として行う勤行(ごんぎょう)。「朝夕の—を欠かさない」
４遊女などが稼業として客の相手をすること。
「あの娼妓は、あなたにゃあ—をはなれた、仕うちでげすぜ」〈魯文・安愚楽鍋〉
５遊女の揚げ代。また一般に、支払うべき金銭。勘定。
「四十ばかりの女、…—をとりにきたり」〈滑・膝栗毛・六〉</t>
        </is>
      </c>
      <c r="D5594" t="inlineStr">
        <is>
          <t>務めた琉球王国；務めた者；務めたアメリカ合衆国の政治家；務めた有川貞昌；務めた法曹家</t>
        </is>
      </c>
      <c r="E5594" t="inlineStr">
        <is>
          <t>仕事；目的；事業；役；役割</t>
        </is>
      </c>
      <c r="F5594" t="inlineStr">
        <is>
          <t>長年務め；期務め；代々務め</t>
        </is>
      </c>
      <c r="G5594" t="inlineStr">
        <is>
          <t>務めよ；務めれ；務めろ</t>
        </is>
      </c>
      <c r="H5594" t="n">
        <v>29</v>
      </c>
      <c r="I5594" t="inlineStr">
        <is>
          <t>幼いころに南フランスに移住し、父の絵のモデルを務めさせられていた。；かつては所属していた劇団若草の講師を務めていたこともあった。；パイロットのみならず、劇場版や最終巻などの主要回の演出を全て務め上げた。；なお、引退後に後藤はコーチを務めていたがシーズン途中に現役に復帰した。；出演者の一人であった山本安英は後に東京放送劇団の指導者を務めている。；水野が同サークルの会長を務めていたのは2年ほどであったという。；この時の入会試験官を務めた奨励会員は有吉道夫であり、加藤は勝利した。；それを問題視したのが当時国際卓球連盟の会長を務めていた荻村伊智朗であった。；祖母が民謡教室で講師を務めていたこともあり、2歳から民謡を歌っていた。；主演・監督を務めた映画『青の光』に感動してのことという。；等の記者を務め、また仏教徒として仏教関連の書物を多数執筆した。；ミッキーが広島市民球場以外でボールドッグを務めたのはこれが初である。；ゲバラは処刑の責任者を務め、さらに政治犯収容所の建設を指揮した。；アルフィーのリーダーは1974年のデビューから坂崎が務めていた。；以降、代表取締役は岩手県の幹部職員を務めた人物が代々務めている。；監督を務めた作品には、ロボットアニメが主なジャンルである。；その翌年の1998年には第51回カンヌ国際映画祭の審査員長を務めた。；一方、ヒロイン役を務めた声優陣は殆どがその後も芸能活動を続けている。；義父にボコボコにされた顔のままで、西原の母は夫の葬儀の喪主を務めた。；父のクロード・シニアは実業家で、ゲイロードのを務めたこともある。；多くの州政治家は州外からの税収を増やそうと務めている。；劇中では、未確認生命体対策班に所属する氷川誠が主な装着員を務めた。；また、2006年から2009年まで活動していた女性予想屋の師匠も務めていた。；籍を入れない事実婚であったため、妻は葬儀では喪主を務めなかった。；西田家は江戸時代、十村と呼称される加賀藩の大庄屋を務めた豪家だった。；大坂へ到着すると、かつての父と同じく中津藩蔵屋敷に務めていた兄を訪ねる。；谷山浩子のバックバンドでベースを務めたミュージシャンの弟がいる。；急病のために事実上降板し、第51話の予告から名古屋が代理を務めた。；その影響から『サムライスピリッツ零』でも氷上がレラの声優を務めた。</t>
        </is>
      </c>
      <c r="J5594">
        <f>HYPERLINK("https://www.weblio.jp/content/務め", "词义详情")</f>
        <v/>
      </c>
      <c r="K5594">
        <f>HYPERLINK("https://yourei.jp/務め", "查看例句")</f>
        <v/>
      </c>
    </row>
    <row r="5595">
      <c r="A5595" t="inlineStr">
        <is>
          <t>勤め先</t>
        </is>
      </c>
      <c r="B5595" t="inlineStr">
        <is>
          <t>成功</t>
        </is>
      </c>
      <c r="C5595" t="inlineStr">
        <is>
          <t>読み方：つとめさき
勤務しているところ。勤務先。「—に電話をする」</t>
        </is>
      </c>
      <c r="D5595" t="inlineStr">
        <is>
          <t>職場；仕事場；勤め口</t>
        </is>
      </c>
      <c r="F5595" t="inlineStr">
        <is>
          <t>新しい勤め先</t>
        </is>
      </c>
      <c r="H5595" t="n">
        <v>29</v>
      </c>
      <c r="I5595" t="inlineStr">
        <is>
          <t>私もそろそろ勤め先から迎えが来る時間ですから、一緒に出ましょうか?；自宅と勤め先の間を往復しているかぎり、そんなに心配することはない。；勤め先や学校などで引きとってくれるかというと、これも甘いと思うよ。；篠原が勤め先の高校から帰ってきたとき、すでに辺りは暗くなっていた。；一年後には結婚して、夫の勤め先の都合で地方の都市に住むようになった。；自分の勤め先でありながら、ホテルというのは妙な世界だと改めて思う。；そのため勤め先が無い小姓組より生活的には楽であったと推定されている。；いまの勤め先である図書館でも、しょっちゅう同じことをいわれている。；それにあなたはまだお若いもの、すぐにいい勤め先は見つかると思うわ。；T君はついこの春にパリにある勤め先から東京へ帰ったばかりだった。；そして勤め先や出先というのは自宅からは離れている場合が少なくない。；普通の若い女性なら、大銀行の方を、恰好のいい勤め先と思う筈だった。；自分の家やつとめ先がどうなるか、だれでも関心はそこにあるはずだ。；きっと、英典の勤め先が出版している本を脳裏に浮かべているのだろう。；勤め先の問屋の客の接待にもそこを使い、初枝や初枝の朋友を指名した。；弓子がかつての勤め先に電話をすると、聞いたことのない女の声が答えた。；私は傘を斜めにしてその雨と風との中を住井光子の勤め先まで出かけた。；勤め先とマンションを正確に往復しているだけで、途中道草も食わない。；ある男が勤め先から帰ってくると自宅の鍵穴がなくなっていた。；T君はついこの春に巴里にある勤め先から東京へ帰ったばかりだった。；私は彼の可憐なお便りを受取って、すぐに彼の勤め先の工場に出かけた。；名前の横には、彼の勤め先である商会の名も入れて置くことを忘れなかった。；今は勤め先のガソリンスタンドだろうから、すぐには返事は来ないだろう。；母親は何度も勤め先を変えており最終的に経理系の仕事に落ち着いた。；そのために、彼らには内緒で、住み込みの勤め先をいくつか探していた。；それは淳子の勤め先の出版社で発行しているもので、一週古い号だった。；戦友会の世話ばかりではなく、わたしなどは勤め先まで世話してもらった。；わざと会社を早退して家に帰り、彼女の勤め先に電話を入れるのもいいわね。；サラリーマンが朝の七時前に勤め先へ出て来るというのは大変なことである。</t>
        </is>
      </c>
      <c r="J5595">
        <f>HYPERLINK("https://www.weblio.jp/content/勤め先", "词义详情")</f>
        <v/>
      </c>
      <c r="K5595">
        <f>HYPERLINK("https://yourei.jp/勤め先", "查看例句")</f>
        <v/>
      </c>
    </row>
    <row r="5596">
      <c r="A5596" t="inlineStr">
        <is>
          <t>努めて</t>
        </is>
      </c>
      <c r="B5596" t="inlineStr">
        <is>
          <t>成功</t>
        </is>
      </c>
      <c r="C5596" t="inlineStr">
        <is>
          <t>読み方：つとめて
［副］できるだけ努力をして。なんとか骨を折って。「—明るく振る舞う」</t>
        </is>
      </c>
      <c r="D5596" t="inlineStr">
        <is>
          <t>努めている(36%)；努めて冷静；努めてゐる；努めて平静；努めて明るく</t>
        </is>
      </c>
      <c r="E5596" t="inlineStr">
        <is>
          <t>懸命に；つとめて；うんと；せっせと；思いっきり</t>
        </is>
      </c>
      <c r="F5596" t="inlineStr">
        <is>
          <t>努めて陽気；努めて藩政；努めて無表情；努めて何気</t>
        </is>
      </c>
      <c r="H5596" t="n">
        <v>29</v>
      </c>
      <c r="I5596" t="inlineStr">
        <is>
          <t>仙台は馬産に適した地域であったことから藩をあげて育成に努めていた。；市場分析は、現在および将来の市場の魅力を判断するよう努めています。；この交通問題を緩和するために市内の道路の改良や拡張に努めている。；しかし、家康は営々として隙を作らないよう努めている形跡があります。；幅広い分野で有効とされ、安全に関する多数の機関が普及に努めている。；常に責任を回避しながら自分の職を確保することに努めている。；病気で倒れて約10年間は女優業をほぼ休業し、体調回復に努めていた。；また、彼らは連盟の機構を利用して、関係の改善や対立の解消に努めていた。；日本国内で開催される数々のバレエコンクールの審査委員を努めている。；蕭道成は質素倹約を基本とし、学問の発展にも努めて国勢を安定させた。；私はきゅうに自分の着ている布団の穢さが気になって、努めて起きでた。；キューガーデンは植物に関する情報をウェブで公開し普及に努めている。；この団体はヴァイセンブルクの魅力を保持、拡大しようと努めている。；警備員が彼らを捕獲するまで彼女は必死に無視しようと努めていた。；教育系団体は独自の検定試験などを行い、書道の普及活動に努めている。；地方政府は花粉を生じさせる植物を禁止することで制御しようと努めている。；努めて気を励まし、母が用意して呉れた風呂敷包を持って出かけました。；努めて明るく振る舞おうとはしているが、加藤は元々生まじめな性格だ。；これ皆欧州文明の長を取って日本在来の短を補うに努めて来た結果である。；さうして努めて彼を痛罵する方の一面にエンフアシスを置かなければならない。；現在では音楽教室などを開いたりしてフルートの普及に努めている。；現在日本においては奈良県においてが伝統の保存と普及に努めている。；その他に、 などの様々な方法を用いてメーカーは安全性の確保に努めている。；指導には保存会役員と教員が協力してあたり、後進の育成に努めている。；かれは努めて勇気を振り興して、この不気味な旅人を追い出そうとした。；各地区館はそれぞれの地域の特色を生かした資料の収集や保存に努めている。；オリンピックのメダリストに報奨金を出すなど、選手強化に努めてきた。；様々なジャンルの映画を鑑賞し知識向上に努めているという。；其の晩高橋は何でも人の長所ばかりを見ようと努めてゐるやうだつた。</t>
        </is>
      </c>
      <c r="J5596">
        <f>HYPERLINK("https://www.weblio.jp/content/努めて", "词义详情")</f>
        <v/>
      </c>
      <c r="K5596">
        <f>HYPERLINK("https://yourei.jp/努めて", "查看例句")</f>
        <v/>
      </c>
    </row>
    <row r="5597">
      <c r="A5597" t="inlineStr">
        <is>
          <t>努める</t>
        </is>
      </c>
      <c r="B5597" t="inlineStr">
        <is>
          <t>成功</t>
        </is>
      </c>
      <c r="C5597" t="inlineStr">
        <is>
          <t>読み方：つとめる
［動マ下一］［文］つと・む［マ下二］
１精を出して仕事をする。努力して事を行う。「看護に—・める」「サービスに—・める」
２無理をしたり、がまんしたりして行う。こらえてする。「泣くまいと—・める」</t>
        </is>
      </c>
      <c r="D5597" t="inlineStr">
        <is>
          <t>努めるべき(2%)</t>
        </is>
      </c>
      <c r="E5597" t="inlineStr">
        <is>
          <t>見る；務める；努力；プレー；図る</t>
        </is>
      </c>
      <c r="F5597" t="inlineStr">
        <is>
          <t>努めれば努める</t>
        </is>
      </c>
      <c r="H5597" t="n">
        <v>29</v>
      </c>
      <c r="I5597" t="inlineStr">
        <is>
          <t>仙台は馬産に適した地域であったことから藩をあげて育成に努めていた。；なお、この時期のロシアは並行して熱心に砕氷船の開発・建造に努めた。；話す人は言葉の技術によって相手を心の一定の状態におくように努める。；記事の本文には、以下に示す情報を記述するように努めるものとします。；項目の本文には、以下に示す情報を記述するように努めるものとします。；特殊作戦軍と連携しつつ、作戦・戦技の開発に努めることとなっている。；そして、いくつかの別の問題を見つけるように努めることが必要である。；無欲恬淡な性格で生涯寺を持たず、諸民に信頼され、良く教化に努めた。；また、彼らは連盟の機構を利用して、関係の改善や対立の解消に努めていた。；この命題は重要であるから、私はなお更に、その説明に努めるであろう。；蕭道成は質素倹約を基本とし、学問の発展にも努めて国勢を安定させた。；また、文化・芸術の保護育成に努めたこともあって、芸術の父とも称される。；彼女は王国内を広く旅し、国王の権威を守らせ戦争を阻止しようと努めた。；そんなとき俺は必ずそれがある場所まで桜花を連れて行くよう努める。；写真の普及に努めたその一生は、そのほとんどを写真に捧げたといってよい。；それを考えることが非現実的な行為に思え、考えまいと努めるためでもある。；牢内では服役者の医療に努め、また劣悪な牢内環境の改善なども訴えた。；また事あるごとに講習会や実地授業などの場で指導し、普及に努めた。；キューガーデンは植物に関する情報をウェブで公開し普及に努めている。；そこで安全性を科学的に説明した映画をみせたりして、PRに努めた。；警備員が彼らを捕獲するまで彼女は必死に無視しようと努めていた。；藩外からも植物、魚類などを輸入して藩内での育成に努めるるなどした。；教育系団体は独自の検定試験などを行い、書道の普及活動に努めている。；秀吉も中世的支配体系・支配勢力の排除・抑制に努め、中世をおわらせた。；自分の単純さに呆れながらも、少しは冷静に事態を掌握しようと努める。；その他に、 などの様々な方法を用いてメーカーは安全性の確保に努めている。；なんとかしてこの場をうまく取りつくろつてやらうと努めるのである。；とうとう私は、もうそういうふうに努めることができなくなったわ。；フリードリヒ1世は、これらの都市、特にミラノに対抗しようと努めた。</t>
        </is>
      </c>
      <c r="J5597">
        <f>HYPERLINK("https://www.weblio.jp/content/努める", "词义详情")</f>
        <v/>
      </c>
      <c r="K5597">
        <f>HYPERLINK("https://yourei.jp/努める", "查看例句")</f>
        <v/>
      </c>
    </row>
    <row r="5598">
      <c r="A5598" t="inlineStr">
        <is>
          <t>勤める</t>
        </is>
      </c>
      <c r="B5598" t="inlineStr">
        <is>
          <t>成功</t>
        </is>
      </c>
      <c r="C5598" t="inlineStr">
        <is>
          <t>読み方：つとめる
［動マ下一］［文］つと・む［マ下二］《「努める」と同語源》
１職に就く。官庁・会社などで職員として働く。勤務する。「商社に—・める」「検査技師として病院に—・める」
２仏道に励む。勤行(ごんぎょう)する。また、仏事を営む。「朝夕に—・める」「法事を—・める」</t>
        </is>
      </c>
      <c r="D5598" t="inlineStr">
        <is>
          <t>務める；勤務；プレー；働く；労働</t>
        </is>
      </c>
      <c r="H5598" t="n">
        <v>29</v>
      </c>
      <c r="I5598" t="inlineStr">
        <is>
          <t>大手出版社に勤める森悟は、すべてを犠牲にして仕事に打ち込んできた。；その結果、施設の開設当時から勤める職員の非違行為が明らかとなった。；清掃会社に勤める岡田進は何もない毎日に漠然とした不安を感じていた。；召使いのシュベイクには、お前の満足のいくよう勤めろと命じておいた。；しかし生来から病弱で、幕府の任にほとんど勤めることができなかった。；鬼役は特定の家ではないが一度引き受けると翌年以降も毎年勤めるようになるらしい。；戦後は生活のために勤めることはせず、極貧生活のなかで制作活動に励んだ。；彼が主演を勤める映画は、すべてアダム・サンドラーが関わっている。；父親は工場の運転手、母親は同じ工場に勤める管理職だった。；叔父と母が病院に勤める関係者であったことから、周囲から将来は医者になることを期待されていた。；また、主人公の勤める会社が東西電機からサントリーへと変更された。；大使館に勤める父親の仕事の関係で少女時代の大半を日本国外で過ごす。；主にその日にラジオ・テレビの他の番組で担当がないアナウンサーが代理を勤めることが多い。；代々木高等学校契約講師を勤める他、一般の後進の指導にもあたっている。；彼は父親が勤める学校に通うが、父親は彼が9歳の時に死去した。；判例では被拐取者の勤める会社の役員がこれにあたるとされたこともある。；十年前、父親が勤める造船所の海岸に板切れに乗った赤ん坊が流れついた。；同じ頃、同じデント商会に勤める英国人女性と最初の結婚をしている。；数日後、ビトが勤める会社に花が入社し、2人の距離は縮まっていく。；広告代理店に勤める学者の父と、自宅でピアノ教室を開く母との間に生まれる。；彼は一つのチームに長い間勤めることをしないが、それぞれのチームで成績の向上をもたらした。；父は京都大学電気工学科出身の日立製作所に勤めるエンジニアであった。；ある会社に勤めるOL園田亜季は、この日も松平部長と対立していた。；そんな彼が勤める高校では、ある現象が起きていた。；現在は都内の編集プロダクションに勤める傍ら作歌活動を行っている。；彼はエリザベートと親しい関係にあり、後に帝国の外相も勤めることになる。；卒業後はゼロックスに勤めるなどいくつかの職を経験する。；澄子の勤めるパンナム東京支店にやってきた二人は一通の手紙を受け取る。；また広大化した領土の内、属州に関しては総督が軍指揮官を勤める事も多かった。</t>
        </is>
      </c>
      <c r="J5598">
        <f>HYPERLINK("https://www.weblio.jp/content/勤める", "词义详情")</f>
        <v/>
      </c>
      <c r="K5598">
        <f>HYPERLINK("https://yourei.jp/勤める", "查看例句")</f>
        <v/>
      </c>
    </row>
    <row r="5599">
      <c r="A5599" t="inlineStr">
        <is>
          <t>務める</t>
        </is>
      </c>
      <c r="B5599" t="inlineStr">
        <is>
          <t>成功</t>
        </is>
      </c>
      <c r="C5599" t="inlineStr">
        <is>
          <t>読み方：つとめる
［動マ下一］［文］つと・む［マ下二］《「努める」と同語源》ある役割や任務を引き受けて、その仕事をする。「代理人を—・める」「主役を—・める」「相棒を—・める」</t>
        </is>
      </c>
      <c r="D5599" t="inlineStr">
        <is>
          <t>務める日本の宗教法人；務める上級市長；務める少年野球チーム；務めるインターネットラジオ番組</t>
        </is>
      </c>
      <c r="E5599" t="inlineStr">
        <is>
          <t>機能；努力；プレー；引く；尽力</t>
        </is>
      </c>
      <c r="F5599" t="inlineStr">
        <is>
          <t>務めるなど多方面；務めるなど後進；務めるなど要職；務めるなど活躍</t>
        </is>
      </c>
      <c r="H5599" t="n">
        <v>29</v>
      </c>
      <c r="I5599" t="inlineStr">
        <is>
          <t>大統領および副大統領が国内にいない場合は首相が大統領の代行を務める。；発狂の原因を探るために教師を務める叔父に事件の調査を依頼される。；長官は政治任命で決定され、基本的には2期8年まで務める事が出来る。；第7期からは再び男性アナウンサーがメイン司会を務めるようになった。；メンバーには現在釜石市にある鉄の歴史館館長を務める佐々木諭がいた。；小松作品では純粋で正義感の強い青年が主人公を務めることが多い。；各リーグ所属校の当該試合出場校以外の登録された野球部員が務める。；さらにこれに基づくアニメシリーズでは声優を務める予定である。；音楽はゴダイゴのメインボーカルを務めるタケカワユキヒデが担当した。；全6話構成であり、アニメの脚本を務める雨宮まみが脚本を担当する。；創業から現在に至るまで堀内一家が代表取締役を務める同族経営である。；NTTドコモの第一期アドバイザリーボードのメンバーを1年程務める。；このような職務を務める者は、東アジアでは古代から軍中にみられた。；いかりやは、故人もしくは危篤状態に陥った男の父親か息子の役を務める。；この番組にも夏開催時に解説を務める大坪が出演した。；社長には、メルカリの取締役社長兼COOを務める小泉文明が就任した。；宦官が丞相を務める際は中丞相と呼ばれ、代表的な人物が趙高である。；その後も映画や連続ドラマの主演を務めるなどしている。；声と顔の演技を務めるのは小林愛、全身の演技を三輪明日美が担当。；この他、タレントや文化人のゲストが編集長兼キャスターを務める形で出演した。；中央の首がリーダー的な役割を務める。；議長は会長が兼務するが、会長に事故のある場合は副会長が議長を務める。；その後は社民党前議員会会長、がんばれ社民党OBGの会会長を務める。；後のスーパー戦隊シリーズで特撮監督を務める佛田洋の初参加作品である。；こうして山田浅右衛門家のみが御様御用の役目を務める体制が出来た。；この年以降は自分たちがMCを務める番組が増え、他番組にゲスト出演する機会は少なくなった。；イロコイ連邦は女が農耕をおこない、男は戦士を務める軍事国家だった。；自身はそれほど背が高くなかったためガード的なポジションを務めることが多かったという。；死刑囚監房で看守を務めるポールのもとに、一人の大男が送られて来る。</t>
        </is>
      </c>
      <c r="J5599">
        <f>HYPERLINK("https://www.weblio.jp/content/務める", "词义详情")</f>
        <v/>
      </c>
      <c r="K5599">
        <f>HYPERLINK("https://yourei.jp/務める", "查看例句")</f>
        <v/>
      </c>
    </row>
    <row r="5600">
      <c r="A5600" t="inlineStr">
        <is>
          <t>綱</t>
        </is>
      </c>
      <c r="B5600" t="inlineStr">
        <is>
          <t>成功</t>
        </is>
      </c>
      <c r="C5600" t="inlineStr">
        <is>
          <t>読み方：こう
［常用漢字］　［音］コウ（カウ）（呉）（漢）　［訓］つな
〈コウ〉
１太いつな。「綱維」
２物事を統括する大筋。「綱紀・綱領／政綱・大綱・要綱」
３生物学で、大きな区分け。「哺乳綱」
〈つな（づな）〉「命綱・手綱(たづな)・横綱」</t>
        </is>
      </c>
      <c r="D5600" t="inlineStr">
        <is>
          <t>綱宗；綱太夫；綱憲；綱豊；綱勝</t>
        </is>
      </c>
      <c r="E5600" t="inlineStr">
        <is>
          <t>クラス；弦；ケーブル；大綱；鋼索</t>
        </is>
      </c>
      <c r="F5600" t="inlineStr">
        <is>
          <t>当綱；鳥綱；亜綱；義綱；成綱</t>
        </is>
      </c>
      <c r="G5600" t="inlineStr">
        <is>
          <t>綱領；綱渡り；綱手；綱引き；綱紀</t>
        </is>
      </c>
      <c r="H5600" t="n">
        <v>29</v>
      </c>
      <c r="I5600" t="inlineStr">
        <is>
          <t>突然の親隆から親綱への継承は将軍・足利義教が決定したものであった。；その後、義顕は太田川で子・朝綱や旧臣らと農業をして暮らしたという。；義綱から家督を譲られ白河結城氏の当主となったのはこの時期と見られる。；弟・興綱が殺害された一件以降徐々に、尚綱と高経の関係が悪化してくる。；その際には陸上から綱を引き転覆を防ごうとする動きも確認されたという。；大蛇の目に見立てた的と大蛇に見立てた約14mの綱を使って行われる。；しかし、実質的な支配者は綱房であり、高照は不安を抱いていたという。；興綱が成人して独自の行動を取るようになると綱房は高経と共に対立。；古くは戦国時代に黒と白の絹を混ぜて撚り合わせた綱の記述が文献に見える。；綱が馬から降りて羅城門へ向かうと、背後から現れた鬼に兜をつかまれた。；もとは足利家の家臣で朝山小次郎師綱と称し、後に勝部姓に改めている。；かつてこの地は平村とされており、平資綱が所有したことによるといわれる。；この件の影響か、この後義綱が受領に任じられることはなかった。；竜は首を綱で繋がれて川を渡るのに使われているという。；すると女はたちまち鬼に姿を変え、綱の髪をつかんで愛宕山の方向へ飛んで行った。；治承・寿永の乱では庵原朝綱が出ており、源頼朝の御家人となっている。；宗光の父綱光または実光が正親町三条家より養子に入ったという。；鎌倉幕府最末期に権勢を誇ったことで知られる長崎円喜は光綱の子である。；江戸とを結ぶ川越街道の改修整備が進んだのも輝綱の代である。；赤い綱も用意していたが使われることなく、お蔵入りとなった。；ウイルスの場合、界・門・綱などの階層は必ずしも必要ありません。；テルモプロテウス綱に属する各目に属する生物の特徴を述べる。；アメリカから輸入した綱掘り式掘削機械で相良油田から石油を採集した。；綱光時代の行動はほとんど知られていない。；本人も千代の富士がいなければ綱などとても取れなかったという。；息子の義綱は水戸藩主徳川頼房の家臣となり、その子孫も水戸藩に仕えた。；ヤマには左右一対の綱がつけられ、人々が曳くようになっている。；以下に化石種を含むシャジクモ綱の科までの分類体系の一例を示す。；義広は三男・資綱の息子であり、祖父・念西の養子になったと言う。</t>
        </is>
      </c>
      <c r="J5600">
        <f>HYPERLINK("https://www.weblio.jp/content/綱", "词义详情")</f>
        <v/>
      </c>
      <c r="K5600">
        <f>HYPERLINK("https://yourei.jp/綱", "查看例句")</f>
        <v/>
      </c>
    </row>
    <row r="5601">
      <c r="A5601" t="inlineStr">
        <is>
          <t>繋がり</t>
        </is>
      </c>
      <c r="B5601" t="inlineStr">
        <is>
          <t>成功</t>
        </is>
      </c>
      <c r="C5601" t="inlineStr">
        <is>
          <t>読み方：つながり
１つながること。また、つながったもの。「文の—」「意味上の—」
２結びつき。関係があること。「仲間との—を大事にする」
３血縁関係。きずな。「親子の—」</t>
        </is>
      </c>
      <c r="D5601" t="inlineStr">
        <is>
          <t>繋がりかねない；繋がりやすい；繋がりうる；繋がりにくい；繋がりにくくなる</t>
        </is>
      </c>
      <c r="E5601" t="inlineStr">
        <is>
          <t>間；関係；関連；縁；連絡</t>
        </is>
      </c>
      <c r="F5601" t="inlineStr">
        <is>
          <t>強い繋がり；密接な繋がり；何らかの繋がり；繋がりにくく；直接繋がり</t>
        </is>
      </c>
      <c r="H5601" t="n">
        <v>29</v>
      </c>
      <c r="I5601" t="inlineStr">
        <is>
          <t>それは現実の世界と、1人しかいない自分だけの世界との唯一の繋がり。；このため3足は陽となり太陽と繋がりができるからだと言われている。；ここにおいて両者は敵となり、義氏は上杉氏への繋がりを失ってしまう。；人形劇とはがんこちゃん以外の登場人物・設定等に一切の繋がりがない。；それは彼女にとって唯一遺された母親との繋がりであり思い出であった。；これらの作品には登場人物や時代や場所に相互の繋がりがある。；明らかに勝利のヤザタとの繋がりを強化しようとする意図であった。；ただし作品同士はパラレルな世界観であり、作品同士の繋がりは全く無い。；これは映像版としては初めて原作との繋がりの可能性が示唆されたシーンである。；これが横浜築港第二期工事と繋がり、新港埠頭建設へと繋がっていった。；また横浜港と歴史的に繋がりの深い海運業界との関係深化も必要とされた。；おそらくこれはこの図書館がパピルスの取引と強い繋がりを持っていたからである。；これが山本家と、高野家の長い繋がりの始まりとなったとの説がある。；大きな群れで行動するため、一度座礁しだすと集団座礁に繋がりやすい。；そのため各作品にストーリーの繋がりはなく、ファンサービス的な面が強い。；このことから後に園城寺は修験道とも深い繋がりを持つようになる。；その後、この繋がりから彼のYouTubeの動画に度々登場している。；短縮されたことでクフの名前とクヌム神の繋がりは隠されてしまっている。；シークエンスとは一連のシーンをまとめて一つの物語上の繋がりを持つようにしたものである。；この場合重要なのは軍事的な対立状況にありながらも相手国と外交的な繋がりを維持することである。；周囲の環境に合わせて、新たなる関係や繋がりを再構築している。；主催が異なる公演は各々が独立しており続編などの繋がりはない。；ミュージックビデオにはドラマの繋がりから板尾創路が出演している。；四神・五獣と繋がり、特に青竜は古墳などに現在の姿で描かれて有名である。；見ての通り、漢字とストロークには何の繋がりもないことがわかる。；父はイギリス領アメリカ植民地との貿易で幅広い繋がりをもっていた。；一方東部のスウェーデンは、陸との繋がりが深く、大陸国家を築いてきた。；松は日本や中国の貴族の位の一つである「大夫」と繋がりがある。；しばしば情報は力よりも重要であるから、個人が発展していくには弱い繋がりの方が家族や友人関係よりはるかに重要となる。</t>
        </is>
      </c>
      <c r="J5601">
        <f>HYPERLINK("https://www.weblio.jp/content/繋がり", "词义详情")</f>
        <v/>
      </c>
      <c r="K5601">
        <f>HYPERLINK("https://yourei.jp/繋がり", "查看例句")</f>
        <v/>
      </c>
    </row>
    <row r="5602">
      <c r="A5602" t="inlineStr">
        <is>
          <t>繋がる</t>
        </is>
      </c>
      <c r="B5602" t="inlineStr">
        <is>
          <t>成功</t>
        </is>
      </c>
      <c r="C5602" t="inlineStr">
        <is>
          <t>読み方：つながる
［動ラ五（四）］
１離れているものが結ばれて、ひと続きになる。「島と島とが橋で—・がる」「電話が—・る」「光回線が—・る」
２つらなり続く。また、継続する。「車が一〇キロも—・っている」「この道は国道に—・っている」「首が—・る」
３関係がある。結びつく。「事件に—・る遺留品」「努力が成功に—・る」
４血筋が同じである。血縁関係がある。「血の—・った人」
５ひかされる。ほだされる。「情に—・る」</t>
        </is>
      </c>
      <c r="D5602" t="inlineStr">
        <is>
          <t>繋がる可能性；繋がる神経叢</t>
        </is>
      </c>
      <c r="E5602" t="inlineStr">
        <is>
          <t>関係；関連；連絡；関連する；接続する</t>
        </is>
      </c>
      <c r="H5602" t="n">
        <v>29</v>
      </c>
      <c r="I5602" t="inlineStr">
        <is>
          <t>そのため過去に制作された他の続編とは繋がらない世界観になっている。；永遠に電話が繋がらない場所に、友人が消えたような気がしてならない。；タツノコの名前があったことは社会的な信用も得ることにも繋がった。；血の繋がらない愛情の無い家庭で育った翼の境遇を知り暦は愕然とする。；ホームと駅舎は若干離れており、屋根付きの連絡通路で繋がっている。；トイレとホームの屋根は繋がっておらず一旦屋根のない部分を通る必要がある。；稽古道具や試合方法が共通化していき、後の現代武道へと繋がっていく。；実際、それぞれ別の名がつけられているが、大洋はすべて繋がっている。；どうでもいいが、そのセリフだとさっきと文脈が繋がらないではないか。；戦列は近くの小川と繋がるに至るまで長く伸ばされていたかもしれない。；屯倉から三宅氏へ繋がるような文書や文献は現存していないとされている。；北側のホームに出入口があり、南側のホームとは跨線橋で繋がっている。；駅舎は新見方面行きホーム側にあり、ホーム間は跨線橋で繋がっている。；話が繋がっているわけではなく、作品ごとに完全に独立したものとなっている。；その色から大きさ、製作まで信仰と密接に繋がっていたことがわかる。；ブラストラップ自体は安価で交換が容易であることから普及に繋がった。；しかし同時期に夫・四十郎の健康が悪化したことが最終的な辞退に繋がった。；ゲームのストーリー性や演出を多様化させることにも繋がった。；ホーム中ほどに京義・中央線方面に繋がる階段とエレベータがある。；本事件は最終的にアメリカ独立運動に繋がる多くの出来事の1つであった。；これらが技術的に確立されることが将来の産業化へと繋がるであろう。；たかしはさやかに電話をかけるが繋がらず、退屈そうにしていたある日。；だがこの運動はドイツ諸国とロシアを刺激することに繋がった。；携帯電話は繋がるが他の情報ネットワークは構築されていない。；それが現代の日本の消防署・消防団へと総合的に繋がって発展してきた。；さらに下顎は左右2つの独立した骨で形成され、靭帯で繋がっている。；このことが俳優からタレントへとポジションの変化に繋がる転機となった。；速度や高度システムの指示が異常となり、事故に繋がる危険性がある。；そのことが、政元が裏で基家と結託したことに繋がったと考えられる。</t>
        </is>
      </c>
      <c r="J5602">
        <f>HYPERLINK("https://www.weblio.jp/content/繋がる", "词义详情")</f>
        <v/>
      </c>
      <c r="K5602">
        <f>HYPERLINK("https://yourei.jp/繋がる", "查看例句")</f>
        <v/>
      </c>
    </row>
    <row r="5603">
      <c r="A5603" t="inlineStr">
        <is>
          <t>繋ぐ</t>
        </is>
      </c>
      <c r="B5603" t="inlineStr">
        <is>
          <t>成功</t>
        </is>
      </c>
      <c r="C5603" t="inlineStr">
        <is>
          <t>読み方：つなぐ
《名詞「綱」の動詞化》
［動ガ五（四）］
１
㋐ひも・綱などで物を結びとめて、そこから離れたり、逃げたりしないようにする。「犬を—・ぐ」「鎖で—・ぐ」
㋑相手の気持ちなどが離れていかないようにする。「彼女の心を—・ぐために一芝居打つ」
２一定の所に留め置いて外へ出さないようにする。拘禁したり、拘束したりする。「獄に—・がれる」
３結びつけてひと続きのものにする。「車両を—・ぐ」
４離れているもの、切れているものを続け合わせて一つにする。また、そのようにして通じるようにする。「手を—・ぐ」「電話を—・ぐ」
５なんとか長く、切れないようにたもたせる。たえないようにする。「望みを—・ぐ」「命を—・ぐ」「座を—・ぐ」
６足跡などをたどって行方を追い求める。
「射ゆ鹿(しし)を—・ぐ川辺のにこ草の」〈万・三八七四〉
[可能]つなげる
［動ガ下二］「つなげる」の文語形。
[補説]書名別項。→ツナグ</t>
        </is>
      </c>
      <c r="D5603" t="inlineStr">
        <is>
          <t>繋ぐバス便；繋ぐ細い</t>
        </is>
      </c>
      <c r="E5603" t="inlineStr">
        <is>
          <t>結ぶ；接続；結合；接する；連結</t>
        </is>
      </c>
      <c r="F5603" t="inlineStr">
        <is>
          <t>食い繋ぐ</t>
        </is>
      </c>
      <c r="H5603" t="n">
        <v>29</v>
      </c>
      <c r="I5603" t="inlineStr">
        <is>
          <t>そのまわりは数尺であったが、それには一つの大きな輪を繋いであった。；大切な宝物とは太郎が書いた安二郎と太郎が手を繋いでいる絵であった。；しかしそれらを繋ぐ存在かもしれないものが発見されつつあるらしい。；その輪はどこか別の星にあるもう一つの輪と空間を超えて繋ぐ物体だった。；彼女はこの場合無理にも二つのものを繋いでみたくってたまらなかった。；各列のボタンを繋ぐ紐が特徴であり、日本では肋骨服とも呼ばれている。；従来の自転車道やそれらを繋ぐ新しく計画されたルートなどで構成される。；父の目には、こんな子にさへ一縷の希望を繋いで死んで行つてくれた。；木材を繋いでいく作業のことで、木の癖やその箇所によって決めていく。；発見されたとき、ベッドに並んで手を繋いだ状態で横たわっていたという。；制限時間1分で、同じ色のブロックを3個以上繋いで消していくゲーム。；アーサー王時代の人物たちが、三者三様の原因で現代に命を繋いでいた。；主に乗客用に設計され、南のミルフォードから北のコンコードを繋いだ。；後者の場合は現代のイヌのように繋いで飼われるのが一般的であった。；俺は俺の取柄をもって、妻は妻の取柄をもって、禄を得て命を繋ごうと。；魚の角に船を繋ぐと、魚は北のヒマーラヤの高い場所まで船を運んだ。；最初は中心に双子を繋ぐ核部があり、そこから光弾を出して攻撃する。；現在は広域農道が南北を繋いでおり、峠付近には二上山トンネルがある。；ラジオの柱から繩をつけて椽の下の箱へ寝られるように繋いで自分も眠った。；ダムの上下を繋ぐためにある閘門を使ってバージなどが移動している。；つまり、音楽の内容と映画上の物語を繋ぐことに焦点を置いているのである。；複数拠点をネットワークで繋いでいる多くの企業は、WANを使っている。；またこの当時の仮設橋は艀を縄で繋いで板を渡しかけたものであった。；鬼骨 すると、何処の家でも、犬は鎖に繋いで置けといふ提案ですね。；図を描き取りながら、僕はどうでもいい質問で場を繋ごうとした。；キー坊は言葉を話さない植物の擬人化であり、人と緑を繋ぐ存在である。；対岸を望むと船が多く繋いであるが、敵の伏勢が居ないとも限らない。；一台の荷車を売ったその金が、わずかに二人の生命を繋いでいるだけであった。；高尾山古墳はこれらの遺跡群をまさに繋ぐような場所に立地している。</t>
        </is>
      </c>
      <c r="J5603">
        <f>HYPERLINK("https://www.weblio.jp/content/繋ぐ", "词义详情")</f>
        <v/>
      </c>
      <c r="K5603">
        <f>HYPERLINK("https://yourei.jp/繋ぐ", "查看例句")</f>
        <v/>
      </c>
    </row>
    <row r="5604">
      <c r="A5604" t="inlineStr">
        <is>
          <t>繋げる</t>
        </is>
      </c>
      <c r="B5604" t="inlineStr">
        <is>
          <t>成功</t>
        </is>
      </c>
      <c r="C5604" t="inlineStr">
        <is>
          <t>読み方：つなげる
［動ガ下一］［文］つな・ぐ［ガ下二］ひもや綱などを結び合わせてひと続きにする。「短いひもを—・げて長くする」</t>
        </is>
      </c>
      <c r="D5604" t="inlineStr">
        <is>
          <t>繋げるべく</t>
        </is>
      </c>
      <c r="E5604" t="inlineStr">
        <is>
          <t>結ぶ；接続；結合；接する；連結</t>
        </is>
      </c>
      <c r="H5604" t="n">
        <v>29</v>
      </c>
      <c r="I5604" t="inlineStr">
        <is>
          <t>そして、それを興行的にも大成功に繋げることの二つだと思っています。；あの晩に切れてしまった緊張の糸を、未だに繋げていないということか。；言葉の断片を繋げて会話を成立させた所で、何かが変わる訳ではない。；一時間の後、舟を初の岸に繋げば、老僕は早く劇場の前に立ちて待てり。；クライアントが持つメディアを売上に繋げるために改修・制作する事業。；普通なら繋がっていないところを繋げてしまっているのではないでしょうか。；羽川はすぐに僕の意図を察し、「そう」と、話を先へと繋げたのだった。；あるいはリングワールドの端から端を繋げたものと見ることもできる。；この理解の場合、音の人間同士を繋げる機能に重点が置かれるわけである。；犠牲を犠牲として終わらせず、悲鳴の聞こえない未来に繋げるための力。；そしてどつかれた後に繋げる会話もすでに頭の中に用意してあった。；その為、名称は人類の基本的な知識を繋げる百科事典であると解釈できる。；そのまま言葉を繋げることができない主に、ため息を一つ贈って答える。；これらの移籍は成功し、彼のポテンシャルを引き出し得点獲得に繋げた。；ただ、繋げられて相当な長さになった紐が入っていることだけは知っていた。；ナイフで切れ目を入れておいて布を裂き、長く繋げてロープにするのだ。；カチカチと何度か手が震えた後、ようやく鎖の連結部を繋げる事ができた。；カラーボックスを二つ縦に繋げたような形状で、棚板の数は全部で八段。；これらは絵を繋げて公開された初めてのアニメーション映画である。；基本的に半球状のドームを繋げた部屋が多いが、陸屋根のタイプもある。；空中の渡り廊下は歩道橋のように道路をまたいでビルとビルを繋げていた。；古代のギリシャの哲学者たちの多くをも、彼はプラトン主義へと繋げた。；滲む星空にまだ見ぬ未来を繋げて、桃山はその言葉を何度もくり返した。；小屋の前に繋げる馬の主にや、十六七歳の少年、腰かけて休み居たり。；まるで艦船を繋げて作ったような巨大な全身は、わずかに腰を落とした姿勢。；最後にはジャンピング・キンシャサからキンシャサへと繋げて勝利した。；初年度は前半に故障で戦列を離れたものの後半の活躍で来季に繋げた。；また最終的にはインバウンドビジネスに繋げることも目標としている。；信じられないことに大妖狐はここと吉日市を空間的に繋げることに成功したのだ。</t>
        </is>
      </c>
      <c r="J5604">
        <f>HYPERLINK("https://www.weblio.jp/content/繋げる", "词义详情")</f>
        <v/>
      </c>
      <c r="K5604">
        <f>HYPERLINK("https://yourei.jp/繋げる", "查看例句")</f>
        <v/>
      </c>
    </row>
    <row r="5605">
      <c r="A5605" t="inlineStr">
        <is>
          <t>津波</t>
        </is>
      </c>
      <c r="B5605" t="inlineStr">
        <is>
          <t>成功</t>
        </is>
      </c>
      <c r="C5605" t="inlineStr">
        <is>
          <t>読み方：つなみ
地震や海底火山の噴火などによって生じる非常に波長の長い波。海岸に近づくと急に波高を増し、港や湾内で異常に大きくなる。地震津波。→津波警報・注意報</t>
        </is>
      </c>
      <c r="D5605" t="inlineStr">
        <is>
          <t>津波対策；津波浸水；津波発生；津波避難；津波襲来</t>
        </is>
      </c>
      <c r="E5605" t="inlineStr">
        <is>
          <t>海嘯；津浪</t>
        </is>
      </c>
      <c r="F5605" t="inlineStr">
        <is>
          <t>地震津波；大津波；大規模な津波；予想される津波；黒い津波</t>
        </is>
      </c>
      <c r="G5605" t="inlineStr">
        <is>
          <t>津波被害；津波注意報；津波古；津波堆積物；津波地震</t>
        </is>
      </c>
      <c r="H5605" t="n">
        <v>29</v>
      </c>
      <c r="I5605" t="inlineStr">
        <is>
          <t>この地震は津波を起こすほどのものではなく、被害は報じられていない。；妻は私がまた荷造りをして津波の地域に戻る時だということを知っていた。；さらに大西洋を越えたバルバドスやマルティニークにも津波が到達した。；また、津波が香港に影響を与える可能性がある場合は津波警報を発表する。；津波による水の圧力は非常に大きく、沿岸の広い地域に被害を与える。；これは波高の点でこれまでの記録に残る最大の津波とされている。；この時の津波に由来する伝承が、地名などに残されているところがいくつかある。；これらのうち、津波は人間が多く暮らす海岸部に大きな被害を与える。；珊瑚礁のある海岸など地形によっては波群津波が発生することもある。；過去数千年で複数回の、大規模な津波の発生の痕跡が発見されている。；かつて内紛が起きていたが、津波後の2005年に休戦協定を締結した。；また、津波に家を流された若い男性がホストになるケースも見られた。；確認された負傷者は1人で、津波も発生したが特に大きな被害は出ていない。；日本では「地震や津波などの前触れとされている」と紹介されることもある。；また、海洋への天体の衝突・隕石落下よって津波が発生することもある。；津波の被害を受けた沿岸部を中心に公園の整備が行われている。；日本も地震や津波の被害を受け、その後も異常気象に見舞われるなどした。；この名称は、この周辺で津波が二手に分かれて引いていったことを示すと伝えられている。；日本の津波と大地震の被災地への旅は人生の経験を塗り変えるものであった。；ノンスクランブル放送は地震や津波などの緊急報道時にも適用される。；高潮、津波対策としては土木的には下記の2種の方法が挙げられている。；推定された断層モデルは関係機関と共有され、津波予測支援に使用される。；世界的な津波予測を監督し、太平洋地域における津波警報の発表を行う。；これが昭和三陸地震と呼ばれる地震で宿泊していた宿は津波に襲われて全壊。；建物は解体され跡地には津波資料館が建設される予定である。；カーチェイスやボートチェイス、津波が描かれているエピソードもある。；入り組んだ湾での津波の高さは20mを超えたと記録されている。；河口から河川に侵入した津波が数十km上流まで遡上することがある。；当時仙台に住んでいた為、家が津波の被害を受け、避難所生活を送る。</t>
        </is>
      </c>
      <c r="J5605">
        <f>HYPERLINK("https://www.weblio.jp/content/津波", "词义详情")</f>
        <v/>
      </c>
      <c r="K5605">
        <f>HYPERLINK("https://yourei.jp/津波", "查看例句")</f>
        <v/>
      </c>
    </row>
    <row r="5606">
      <c r="A5606" t="inlineStr">
        <is>
          <t>常々</t>
        </is>
      </c>
      <c r="B5606" t="inlineStr">
        <is>
          <t>成功</t>
        </is>
      </c>
      <c r="C5606" t="inlineStr">
        <is>
          <t>読み方：じょうじょう
ふだん。つねづね。</t>
        </is>
      </c>
      <c r="D5606" t="inlineStr">
        <is>
          <t>常々考え(3%)；常々自分；常々私；常々感じ；常々口</t>
        </is>
      </c>
      <c r="E5606" t="inlineStr">
        <is>
          <t>いつも；常に；必ず；一定；いつでも</t>
        </is>
      </c>
      <c r="F5606" t="inlineStr">
        <is>
          <t>常々疑問；常々教え；常々憂慮；常々心配；常々不満</t>
        </is>
      </c>
      <c r="H5606" t="n">
        <v>29</v>
      </c>
      <c r="I5606" t="inlineStr">
        <is>
          <t>常々、理論的に理想を指向しながら現実を見つめた実現への過程を重視。；この二つの変化=運動を個々独立には常々吾々は経験しているであろう。；彼女が、常々心配していた大破裂がとうとう目前に迫って来たのだった。；この韻竜は常々、タバサに恋人ができたらいいなと思っていたのである。；常々みんなの気を悪くせぬように用心しなければならないためだった。；泳ぐことの出来ない私は、一度でいいから渡ってみたいと常々思っていた。；旅へ出なければ消されない程の寂しさを常々感じてゐるわけでもない。；彼が知っている姿は正体かどうかはわからない、と彼女は常々彼に言っていた。；また、常々「俺は道長なんかと酒は飲みたくない」と語っていたという。；決してペテンにかかるような方でないという噂は常々耳にしておりました。；常々指摘されることですが、私の小説にはよく食べるシーンが出てくるようです。；わたしも、不思議は不思議のまま楽しんでおくべきだと常々思ってる。；それこそ、常々わたくしの心より切望していることでございますもの。；スコットランド・ヤードの女性刑事を登場させてみたいと常々思っていたんだ。；常々心臓が悪るくて近年は家から一歩も出ない主人である。；どうも気の毒な人で、自分は病人なのだと常々いいきかせていたらしい。；実はな、東京の寄生虫博物館に常々行ってみたいと思っていたのだ。；実は有馬の言ったことは、常々、塩見も朧げに感じていたことであった。；加けに繁代が文学の話が好きなことには、常々から閉口してゐるのだつた。；この疑問を常々抱いていた僕は、その答えも用意しなければ気がすまなかった。；もっと常々、彼女の話を真剣に開いておくべきだったろうか、と思う。；私はそれを読みたいと常々から心がけていたが、その折がなかった。；彼女が、常々心配してゐた大破裂がたうとう目前に迫つて来たのだつた。；常々私の健康については、当の私より以上に心配してくれる人である。；お藤さんの如きは勿論その人で、常々お雪さんを好く言つてゐなかつた。；わしは常々あの男に予告していたんだよ、きみはいずれは気が狂うってな。；常々、女の涙を武器に使ったり、困ったときに使うのは恥だと公言していた。；ヘボンの自伝によれば、子どもの頃は常々母親から折檻されていたという。；どうして自分の才能を認めてくれないんだ、と茜は常々不満に思っているらしい。</t>
        </is>
      </c>
      <c r="J5606">
        <f>HYPERLINK("https://www.weblio.jp/content/常々", "词义详情")</f>
        <v/>
      </c>
      <c r="K5606">
        <f>HYPERLINK("https://yourei.jp/常々", "查看例句")</f>
        <v/>
      </c>
    </row>
    <row r="5607">
      <c r="A5607" t="inlineStr">
        <is>
          <t>常に</t>
        </is>
      </c>
      <c r="B5607" t="inlineStr">
        <is>
          <t>成功</t>
        </is>
      </c>
      <c r="C5607" t="inlineStr">
        <is>
          <t>読み方：つねに
［副］
１どんな時でも。いつも。絶えず。「—微笑を絶やさない」
２変わることなく。そのままに。
「世の中や—ありける」〈万・八〇四〉
→何時(いつ)も［用法］</t>
        </is>
      </c>
      <c r="D5607" t="inlineStr">
        <is>
          <t>常に同じ；常に新しい；常に存在する；常に正しい；常に携帯</t>
        </is>
      </c>
      <c r="E5607" t="inlineStr">
        <is>
          <t>いつも；必ず；一定；頻繁；いつでも</t>
        </is>
      </c>
      <c r="F5607" t="inlineStr">
        <is>
          <t>ほぼ常に；必ずしも常に；常に笑みを湛え；常に正しく解く；常に野党側</t>
        </is>
      </c>
      <c r="G5607" t="inlineStr">
        <is>
          <t>常に幸い</t>
        </is>
      </c>
      <c r="H5607" t="n">
        <v>29</v>
      </c>
      <c r="I5607" t="inlineStr">
        <is>
          <t>彼はまたこの彗星の尾が常に太陽と反対側に伸びていることを確認した。；防衛ではその国家の地理的に置かれている環境が常に重要になってくる。；一方 が の最大元であるとは の元は常に 以下である事を意味する。；エーテルが常に地球と同じ方向に動いているとは考えにくいからである。；常に私たちは、私たちの子供たちのぶんを残すよう教えられてきました。；そのような急激な変化は今も続いているが、常にそうだったわけではない。；実験式と分子式が同じであることがよくあるが、常にそうとは限らない。；この場合、特定の車両または座席が常に座席指定となっているわけではない。；しかし、生命の定義で常にこれらの特徴が必須とされるわけではない。；それゆえわれわれは常に用意をしているように勧められている。；目撃例は常に水中のため、どのような姿、形をしているのかは不明である。；カールの宮廷そのものが、1箇所に留まらずに常に国内を移動していた。；葉ではない各点に対しその点の子の数が常に であるような木を分木という。；実行中は、実施されるべき計画が何であるかを常に意識していなければならない。；しかしこのようなときには母・エーディトは常にアンネの味方だった。；制服を好み、学生時代は常に詰襟学生服か剣道着で生活していたという。；プロセッサはそこに格納されている命令を常に読み取り、実行している。；また、鉄を恐れるとも言われているため常に鉄剣を帯びていれば良いとされる。；過去は振り返らないようにしており、常に新しいことへ挑戦する姿勢だった。；オペロンに常に含まれているわけではないが、の機能は重要である。；実際の赤道面は常に必ず地球の自転軸に垂直をなしているものである。；その発達の歴史では常に最新の素材を利用する傾向も見られる。；また、体の芯が異常に強く、常に軸がぶれずに堂々とした相撲を取った。；常に何か新しいものに向かう精神が大事なのだという。；チャーチルは自分が常に海軍の専門家から同意を得て作戦を実行したことを強調した。；科学者が常に従っているような決まった一連の手順などというものは無い。；この場合、金星は地球から常に三日月型にしか見えないはずであった。；ただし、三人は常に行動を共にしているわけではなく、別行動を取ることも多い。；蒸気は常に吸気口から排気口へ一方方向へ流れるのでこの名称で呼ばれる。</t>
        </is>
      </c>
      <c r="J5607">
        <f>HYPERLINK("https://www.weblio.jp/content/常に", "词义详情")</f>
        <v/>
      </c>
      <c r="K5607">
        <f>HYPERLINK("https://yourei.jp/常に", "查看例句")</f>
        <v/>
      </c>
    </row>
    <row r="5608">
      <c r="A5608" t="inlineStr">
        <is>
          <t>抓る</t>
        </is>
      </c>
      <c r="B5608" t="inlineStr">
        <is>
          <t>成功</t>
        </is>
      </c>
      <c r="C5608" t="inlineStr">
        <is>
          <t>読み方：つねる
［動ラ五（四）］つめや指先で皮膚を強くはさんでひねる。つめる。「手を—・る」
[可能]つねれる</t>
        </is>
      </c>
      <c r="D5608" t="inlineStr">
        <is>
          <t>抓む</t>
        </is>
      </c>
      <c r="H5608" t="n">
        <v>29</v>
      </c>
      <c r="I5608" t="inlineStr">
        <is>
          <t>ハット思った心が鎮まると漸う私は彼に抓られたのだと云う事が分った。；君が罐をあけないでタバコを抓んだとき、ぼくはふと考えたんだがね。；さきほどの客のように抓って見たところで、ごく稀にしか悲鳴を発しないのである。；眼でもって、微かに白い歯を覗かせた可愛いい薔薇色の唇を抓りあげた。；彼等は庭へおりてから徐ろに其の紙を開いて小豆飯を手で抓んで喫べた。；こうすれば、手を出して、人を抓ったり、引っ掻いたりしないからである。；夕刊を眺めた下役共は夢ではなからうかと自分の鼻先を抓つてみたりした。；近藤が膝に乗ったノボの耳をしきりに抓っていたのが基次郎の印象に残った。；男が女を殴るとか、抓るとかして、折檻しているような感じであった。；教授の方も、抓ることすら忘れて『ノーメンクラタ』の映像を注視する。；窮すれば通ずとはこのことかと自分の太股を抓ってみたりした。；あの人はめったに手を上げることはない代りに、もうひどく抓るのが癖でしてねえ。；それ迄には勿論双方とも抓り傷引掻き傷の三十ヶ所や五十ヶ所は負うている。；腿を抓っている手には更に力がはいっていました。；手足の泥、着物の血しおなど、星明りに見つけて抓んで水に落した。；彼は、いくら抓っても痛いと言わない、擽っても擽ったいと言わない。；しかし文字は頭のなかに一向はいろうとせず、根戸は何度も眉間を指で抓んだ。；私は指の先でちょっと抓ってやった。；「でも、今日は妙な踊りの会になった」 そういった瞬間、霞が指を抓った。；「年のせいもあるわ」 三人が抓みっこをしていたテーブルに、夕刊が一枚あった。；二階の年寄に聞かせたくないので、大きな声は立てなかったが、抓るかと思うと今度は引っ掻く。；良人が又抓られると骨なしのようになって何でも言うことを聞くから、昨今はこれが有力な武器になっている。；と、彼は暫く痛いのを我慢してゐたが、急に腕をはづして逆におふくろの腕を抓った。；それはこの開けてある窓からここにはいったものにちがいなく、お嬢様が大切なところを出して眠っているのを見ると、ちょうどそこを抓りたい望みに逆らいきれなかったのです。；「ぼくは覚えて・・・いてっ」 背中を思い切り抓られた。；そんなところを抓ってなぞして痛いではありませぬか!；「昨日、お母さんに抓られたの」 学校の帰りに二人で映画を見て、町を歩いているときに道子が言った。；近くにいたら、抓ってやるのにと思った。；抓らなくたっていいじゃないかと井崎は思った。</t>
        </is>
      </c>
      <c r="J5608">
        <f>HYPERLINK("https://www.weblio.jp/content/抓る", "词义详情")</f>
        <v/>
      </c>
      <c r="K5608">
        <f>HYPERLINK("https://yourei.jp/抓る", "查看例句")</f>
        <v/>
      </c>
    </row>
    <row r="5609">
      <c r="A5609" t="inlineStr">
        <is>
          <t>角</t>
        </is>
      </c>
      <c r="B5609" t="inlineStr">
        <is>
          <t>成功</t>
        </is>
      </c>
      <c r="C5609" t="inlineStr">
        <is>
          <t>読み方：かく
［音］カク（呉）（漢）　［訓］かど　つのすみ
［学習漢字］2年
〈カク〉
１動物のつの。「角質／牛角(ごかく)・犀角(さいかく)・触角・一角獣」
２つののように先のとがったもの。物の先。「角帽／圭角(けいかく)・岬角(こうかく)・折角・頭角・皮角」
３二直線が交わってできる図形。「角度／鋭角・四角・視角・頂角・直角・鈍角・内角」
４四角。「角材・角柱」
５活字一字分の枠。「全角・倍角・半角」
６すみ。わき。「一角・口角」
７つの突き合わせて競争する。「角逐・角力(かくりょく)」
８角力(すもう)。「角界／好角家」
〈つの（づの）〉「角笛／菰角(こもづの)」
〈かど〉「岩角・一角(ひとかど)・町角」
［名のり］つぬ・ふさ
［難読］総角(あげまき)・角子(みずら)・角髪(みずら)</t>
        </is>
      </c>
      <c r="D5609" t="inlineStr">
        <is>
          <t>角さん；角以上；角状；角先生；角助</t>
        </is>
      </c>
      <c r="E5609" t="inlineStr">
        <is>
          <t>端；コーナー；隅；一角；角度</t>
        </is>
      </c>
      <c r="F5609" t="inlineStr">
        <is>
          <t>お角；六角；後退角；対角；傾斜角</t>
        </is>
      </c>
      <c r="G5609" t="inlineStr">
        <is>
          <t>角田；角川書店；角川；角形；角力</t>
        </is>
      </c>
      <c r="H5609" t="n">
        <v>29</v>
      </c>
      <c r="I5609" t="inlineStr">
        <is>
          <t>この息子は人間の姿をしていたが、額の中央に一本の角が生えていた。；上から背中の横の部分を持つか、胸の小さい方の角を持つと負担が少ない。；地上の西大路四条交差点の南西角には駅舎と西改札口が設けられている。；由来は、その名の通り伝統的に道の角に店があるのがその名の由来である。；この線と実際の絵を比較すると、窓やテーブルの角のラインが一致している。；角関係とは面と面とが互いに見えているかどうかを表す係数である。；頭の角の形状と生え方および首のひれの形状はそれぞれの首で違う。；確かに、体中に強大な力を持ち、その角の力に耐えられるものはいない。；一般の平面角の大きさは、単位となる角の大きさの実数倍で表しうる。；開業時に新設された4か所の出入口はいずれも桜通大津交差点角にある。；英英辞典には、2つの半直線の間の領域 が角であるとするものもある。；中国では三層式が多く、日本でも六角三重塔のものが存在していた。；ヘロンの説明によると、弓の材料は「角と木の一種」が用いられていた。；嘴の上部にある角質突起は嘴に沿った単純な形状で、角状にはならない。；頭部以外は弐号機と同じで、頭部は角が無い以外は初号機と似ている。；蒲生4交差点にある4つの角のうち、3つの角には銀行が立地している。；また、以前の調査で設置された建物の角を見つけたり再調査したりすることもある。；この2つの角のうち角度が大きいほうを優角、小さいほうを劣角と呼ぶ。；から までの大きさの角を、その範囲により次のような名称で呼ぶ。；サッシの角が角ばっているのは少しでも視界を広く取りたいためとされている。；紋章用のルークは現代のものではなく、2つの角のある古い形をしている。；それぞれの記号は角を表すと同時に、その角度を示すためにも用いられる。；ただし、角の大きさには個体差があり、体格に比例して連続変化を示す。；当初、この角は回転する予定だったが、完成作品では固定された。；原文のヘブライ語聖書では、一度だけ額に一本の角の生えた動物が出てくる。；また、そこに至る道が少なくまた空間の角が多いほど閉じた感覚が大きくなるとされる。；また、頭部に角を持つ系統が多数見られるが、各系統でその形態は異なっている。；というのはウマの角もロバの角も毒を解毒する力があるからだそうだ。；このためか角倉家は大いに発展し、東南アジアにまで進出するに至る。</t>
        </is>
      </c>
      <c r="J5609">
        <f>HYPERLINK("https://www.weblio.jp/content/角", "词义详情")</f>
        <v/>
      </c>
      <c r="K5609">
        <f>HYPERLINK("https://yourei.jp/角", "查看例句")</f>
        <v/>
      </c>
    </row>
    <row r="5610">
      <c r="A5610" t="inlineStr">
        <is>
          <t>募る</t>
        </is>
      </c>
      <c r="B5610" t="inlineStr">
        <is>
          <t>成功</t>
        </is>
      </c>
      <c r="C5610" t="inlineStr">
        <is>
          <t>読み方：つのる
［動ラ五（四）］
１ますます激しくなる。こうじる。「寒さが—・る」「思いが—・る」
２広い範囲に呼びかけて集める。募集する。「入居者を—・る」「寄付を—・る」</t>
        </is>
      </c>
      <c r="D5610" t="inlineStr">
        <is>
          <t>募るべく</t>
        </is>
      </c>
      <c r="E5610" t="inlineStr">
        <is>
          <t>都合；集める；調達；徴収；雇う</t>
        </is>
      </c>
      <c r="F5610" t="inlineStr">
        <is>
          <t>吹き募る；広く募る；いよいよ募る；次第に募る；日に日に募る</t>
        </is>
      </c>
      <c r="H5610" t="n">
        <v>29</v>
      </c>
      <c r="I5610" t="inlineStr">
        <is>
          <t>自分の気が小さいばかりにNRCへよけいな不安を募らせたのだろうか。；しかし彼女の胸の哀傷と焦燥の念はいよいよ募ってゆくように思われた。；大塔宮は隠れながらも帝の代わりになり令旨を発して反幕勢力を募った。；そういう感情におぼれたり、思いを募らせるのを防ぐこともできたのだ。；そのため子供がいなかったアイゲウスは同族への恐怖を募らせたという。；そして、会議とは関係ない美しいイメージの写真や動画で参加者を募る。；参戦の経緯や状況・方針からスポンサーも日本企業を中心に募っていた。；父の仕事のフィルム編集の助手をしていたが、女優への思いを募らせる。；もう一つの、原住民の目には非常に重大な理由で、彼らの絶望は募った。；クラスの女子からは地味系と分類され、自分の現状に不満を募らせいた。；ベッドに入った彼女は、兄の悪夢を見て、さらに恐怖を募らせてしまう。；妾達が行つたのぢや叔父さんの病気を募らせに行くやうなものだからね。；年と共に募る憂鬱な彼の心は何等かの形で音楽を求めずにいられなかった。；それでもひとりで船を出すのが不安な者は、仲間を募って出資しあった。；主宰・かしやまが中心となり、作品に応じてメンバーを募る形式を取る。；彼は、石狩場所を目当てにして募られた漁夫のうちにいた一人であった。；だが、死の嵐はひとり私の身の上に吹き募つてゐるのでもなささうだ。；必要な資金が党費のみで不足する時は、しばしば献金を募ることになる。；旅行すると言っていたから、留守なのは当然だが、美里の不安は募った。；想いが募りとうとう付き合うことになるが、二人の今後はどうなるのか。；こうしたことは、二人のうちに、いよいよ情熱を募らせるばかりでした。；彼は技能を持つものたちを募っているという事実は隠してはいません。；人形の背景の一部は、視聴者から旅行の写真などを募って制作された。；どういうつもりなんだと、エリオットの態度に不信感を募らせていった。；中では次回のテーマを募ったりジャンケン大会などで交流を深めている。；彼女は最高に不満を募らせていたときでも、仕事を投げ出さなかった。；健一との会話を聞いてるうちにさらに綾への怒りが募っているらしい。；こうした姿勢に中田の下で働く図書館員の不満が募るようになっていった。；ひとり事実を知らない翔太は、日に日に両親への気持ちを募らせていく。</t>
        </is>
      </c>
      <c r="J5610">
        <f>HYPERLINK("https://www.weblio.jp/content/募る", "词义详情")</f>
        <v/>
      </c>
      <c r="K5610">
        <f>HYPERLINK("https://yourei.jp/募る", "查看例句")</f>
        <v/>
      </c>
    </row>
    <row r="5611">
      <c r="A5611" t="inlineStr">
        <is>
          <t>唾</t>
        </is>
      </c>
      <c r="B5611" t="inlineStr">
        <is>
          <t>成功</t>
        </is>
      </c>
      <c r="C5611" t="inlineStr">
        <is>
          <t>読み方：だ
［常用漢字］　［音］ダ（慣）　［訓］つば
１つば。「唾液・唾壺(だこ)／咳唾(がいだ)」
２つばを吐くようにして嫌う。「唾棄」
［難読］固唾(かたず)</t>
        </is>
      </c>
      <c r="D5611" t="inlineStr">
        <is>
          <t>唾を吐きかけ(5%)；唾を飲み込ん(4%)；唾をのん；唾を飲みこん；唾女</t>
        </is>
      </c>
      <c r="E5611" t="inlineStr">
        <is>
          <t>唾液；つば；痰；喀痰；津液</t>
        </is>
      </c>
      <c r="F5611" t="inlineStr">
        <is>
          <t>片唾；唾吐；唾を吐きちらし；唾を吐きかける</t>
        </is>
      </c>
      <c r="G5611" t="inlineStr">
        <is>
          <t>唾棄；唾液腺；唾石；唾吐き；唾液腺腫瘍</t>
        </is>
      </c>
      <c r="H5611" t="n">
        <v>29</v>
      </c>
      <c r="I5611" t="inlineStr">
        <is>
          <t>しかし彼はその自動車の中に残っていた唾のことは言わないでしまった。；しかし彼はその自動車の中に殘つてゐた唾のことは言はないでしまつた。；博士を初め誰も彼も花の働きを見守ったまま片唾を飲んで立っていた。；唾一つ吐くのも間違った方向にしそうで、とてもあてにはできませんわ。；そのことを彼女に言うと、彼女はバター代わりに唾の油を注してくれた。；彼は黙ったままで唾をはき捨てながら馬の始末をするとすぐまた外に出た。；関羽は俺が咳をしたり唾を飲んだりするのを聞けば川を渡らないだろう。；今、それがしがその人の妻をもって妻としたら、世の人に唾されましょう。；いまこそと、彼はひそかに、手に唾して、それへ取りかかったのである。；生涯二度と、信長の顔は見たくもないと唾して誓ったかも知れないのである。；ようやくのことで唾を呑みこんで、居住まいをなおしながら下を向いた。；悲しみと愛に満ちあふれたその御顔に唾を吐きかけようというのですか?；俺たちはあそこの子供たちに、しよつちゆう唾を引つかけられてるんだ。；未知のものにむかってこぶしをふりあげ、神の目に唾を吐きかけること。；その言葉に毒の唾でも吐きかけようかといった態で彼女の唇は止まった。；男性に向って吐いた唾が、自分に飛び返って来たことを知ったのです。；一人、割引券に唾をつけて郵便切手のように額に貼っている男があった。；よく大坂人に見るやうに物を云ふ時その口尻に唾を溜める癖があつた。；口から唾と血の混じった液体が驚くほどよく流れ落ちて私の顔にかかった。；口の中で四方八方から唾が舌の上へ寄ってくるようにうまいのです。；しかし船員達は反対に銅板に唾を吐き、これを砕いてもよいかと尋ねた。；そうして三四回も唾をつけた後にはじめて桑の口の中へ入れた。；そういうふうに唾をはいてしまうのはまちがっていると注意した。；わたしは唾を吐きかけられたような気持ちで、そこにただずんでいた。；一刻前、唾気を吐く為に立ち上つた時私が頭を突き当てたのだつた。；それどころか、気がつくまもあらばこそ、 思わず唾がこみあげてきた。；彼がものを言うと、声が歯のあいだからもれて、唾がさかんに飛んだ。；治療はふつう単純で主の命令であり、稀には祈りを伴い、または唾を伴う。；ようやく言葉となる前に、かれは二回ほど唾を飲み込まなければならなかった。</t>
        </is>
      </c>
      <c r="J5611">
        <f>HYPERLINK("https://www.weblio.jp/content/唾", "词义详情")</f>
        <v/>
      </c>
      <c r="K5611">
        <f>HYPERLINK("https://yourei.jp/唾", "查看例句")</f>
        <v/>
      </c>
    </row>
    <row r="5612">
      <c r="A5612" t="inlineStr">
        <is>
          <t>翼</t>
        </is>
      </c>
      <c r="B5612" t="inlineStr">
        <is>
          <t>成功</t>
        </is>
      </c>
      <c r="C5612" t="inlineStr">
        <is>
          <t>山形新幹線で運行されている特別急行列車の愛称。平成4年（1992）運行開始。通常、東京・福島間は東北新幹線「やまびこ」の下り側に連結されて走り、福島・新庄間は単独で走行する。</t>
        </is>
      </c>
      <c r="D5612" t="inlineStr">
        <is>
          <t>翼端(3%)；翼長；翼配置；翼面；翼内</t>
        </is>
      </c>
      <c r="E5612" t="inlineStr">
        <is>
          <t>側面；羽；羽根；翅；ウイング</t>
        </is>
      </c>
      <c r="F5612" t="inlineStr">
        <is>
          <t>低翼；大きな翼；黒い翼；巨大な翼；白い翼</t>
        </is>
      </c>
      <c r="G5612" t="inlineStr">
        <is>
          <t>翼下；翼型；翼状；翼廊；翼賛会</t>
        </is>
      </c>
      <c r="H5612" t="n">
        <v>29</v>
      </c>
      <c r="I5612" t="inlineStr">
        <is>
          <t>いづれにしても爆弾に翼面荷重の大きい翼を付けたようなものであった。；この説をとる人々はワイバーンを翼の生えたフェレットと見做していた。；この星座は天の川の上に翼を広げ、北から南に向けて飛ぶ形をしている。；またこの定義から、この語は、飛行機の翼以外にも多様なものを指しうる。；発砲したところ、弾は翼膜を貫通したがそのままどこかへ消えたという。；脚は短く、長く先の尖った翼とツバメのように二股に分かれた尾を持つ。；コムシクイ・オオムシクイと比較して尾羽や翼長が長く、黄色みが強い。；場合によっては童子の顔と翼だけで身体を持たない姿に描かれることもある。；城壁にはガラス窓が取り付けられ、中庭には新たな翼棟が建設された。；基本的構造は二対でほぼ共通しており、鳥類では前肢は翼に該当する。；またケルビムの翼の下に見えていた人間の手の形は神の手だという。；航空機の翼は巡行状態の条件で迎角をつけて機体に固定されている。；オットーとグスタフは外付けの飛行翼を制作したが、飛行に失敗した。；ムナグロと羽色などが酷似するが翼や尾が長く、その分やや大型に見える。；コンコルドに類似した三角翼の戦闘機と戦車隊から編成されている。；例えば鳥類の前肢は翼になり、この過程で親指以外の指は退化している。；マーキュリーは翼の生えた靴を履き、高速で移動すると言われている。；ルイ14世の時代には北翼、西翼などの屋根が未完成に終わっている。；安定翼式は作りが比較的簡単であるが横風の影響を受けやすい。；北翼には事務所と住居があり、その中央には主玄関があった。；ごく小さい翼については、大きくする場合には、異なった処理がなされる。；ヴァイセンシュタイン翼では歴史的に設えられた室内を見ることができる。；動いている飛行機の翼は、翼の上の空気圧を下の空気圧に比べて減少させる。；主翼は胴体と一体となった中央翼と左右の片持ち翼で構成される。；他のエヴァンゲリオンにはない翼が装備されており、自律飛行が可能。；一方、このような円盤面内運動でなく水車のような回転をする翼も存在する。；設計の作業を始める前に、翼の断面やプロペラの設計のための実験を行った。；翼は長く先がとがっており、静止時の初列風切羽は尾羽よりも長くなる。；頬に背中と翼は黄色の縁取りがある黒い羽毛が生えるものが多い。</t>
        </is>
      </c>
      <c r="J5612">
        <f>HYPERLINK("https://www.weblio.jp/content/翼", "词义详情")</f>
        <v/>
      </c>
      <c r="K5612">
        <f>HYPERLINK("https://yourei.jp/翼", "查看例句")</f>
        <v/>
      </c>
    </row>
    <row r="5613">
      <c r="A5613" t="inlineStr">
        <is>
          <t>粒</t>
        </is>
      </c>
      <c r="B5613" t="inlineStr">
        <is>
          <t>成功</t>
        </is>
      </c>
      <c r="C5613" t="inlineStr">
        <is>
          <t>読み方：つび
つぶ（粒）の古名。
「流頭の粟の—を粉(くだ)きて」〈霊異記・上〉</t>
        </is>
      </c>
      <c r="D5613" t="inlineStr">
        <is>
          <t>粒径(3%)；粒一粒(2%)；粒界；粒化；粒入り</t>
        </is>
      </c>
      <c r="E5613" t="inlineStr">
        <is>
          <t>玉；粒子；珠；滴；真珠状</t>
        </is>
      </c>
      <c r="F5613" t="inlineStr">
        <is>
          <t>二粒；粒一；細粒；霧粒；三粒</t>
        </is>
      </c>
      <c r="G5613" t="inlineStr">
        <is>
          <t>粒状；粒度；粒子状物質；粒々；粒子ビーム</t>
        </is>
      </c>
      <c r="H5613" t="n">
        <v>29</v>
      </c>
      <c r="I5613" t="inlineStr">
        <is>
          <t>ここでは系は多くの理想的な粒をランダムな方向に置いたものを考える。；霧に十分に光が当たっているときは霧粒をはっきりと確認することができる。；米と同様に粒の状態で炊飯する食べ方は、日本以外では朝鮮でみられる。；いずれにしても、雨を降らせるには雲の中に氷の粒を作る必要がある。；同様に炭化物や窒化物が鉄の粒界に集まってフィルム状となる事もある。；先端部の分岐した枝の側面のあちこちに粒のような胞子のうをつける。；女とは言葉が通じず、また、女は食事に米を数粒しか食べなかった。；前提2を繰り返し適用したとき、最終的に砂山の砂粒が一粒だけになる。；ライ麦の粒がそのまま使われているため、十分な咀嚼が必要となってくる。；それに代わって第164師供給副部長だった金粒が後方副師団長に就いた。；特に強度差が大きい場合、粒界に沿って破壊が進行することもある。；また病粒にはバッカクキンに類似する菌核が形成されることがある。；現在の一般的なものは、ポケットサイズ一箱に14粒入りで包装されている。；固定相の粒径が小さいほど、理論段数が高くなるが送流抵抗は大となる。；ギターでは音の粒をそろえる場合に用いることが一般的である。；古画にあっては、荒粒で用いられ、現在でも豊かな黄色を保っている。；みかん 一粒一粒に種が入っている点が、一般的な日本のみかんと異なる。；このトウモロコシはひとつの穂軸に非常にいろいろな色の粒がつく。；又、粒の形状やアスペクト比に関しても規定が詳細に定められている。；柄の表面が微細な粒点をこうむることを示したものと考えられる。；雌蘂は多数の心皮からなり、それぞれが独立した果汁を含んだ粒の形になる。；また、クキバチ科以外は後胸背面に一対の背粒と呼ばれる構造をもつ。；口を開いたら、すぐ打ち上げて一粒ずつ指で砂がたまった部分を取り除く。；底砂の使用量や粒のサイズにもよるが、適切に運用された場合のろ過能力は高い。；通常は火薬粒の表面から染込ませることで表面を内部よりも緩燃性にする。；十分に反応させるためには触媒の追加や粒径、形状の工夫もまた有効である。；この時、悟飯におまけとして与えた一粒の仙豆が悟空の回復に使われた。；粒の数が多すぎた場合には約800gになる場合もある。；インド南部では、脱粒性をなくした型のキンエノコロが栽培されている。</t>
        </is>
      </c>
      <c r="J5613">
        <f>HYPERLINK("https://www.weblio.jp/content/粒", "词义详情")</f>
        <v/>
      </c>
      <c r="K5613">
        <f>HYPERLINK("https://yourei.jp/粒", "查看例句")</f>
        <v/>
      </c>
    </row>
    <row r="5614">
      <c r="A5614" t="inlineStr">
        <is>
          <t>潰す</t>
        </is>
      </c>
      <c r="B5614" t="inlineStr">
        <is>
          <t>成功</t>
        </is>
      </c>
      <c r="C5614" t="inlineStr">
        <is>
          <t>読み方：つぶす
［動サ五（四）］
１力を加えてもとの形を崩す。「にきびを—・す」「空き缶を—・す」
２本来の働きができないようにする。役に立たなくする。だめにする。「声を—・す」「計画を—・す」
３家や会社などが成り立っていかないようにする。立ちゆかなくさせる。「会社を—・す」「店を—・す」
４体面や心の平静を失わせる。「面目を—・す」「肝を—・す」
５
㋐他の事に使うために、もとの形を変える。「畑を—・して宅地にする」
㋑特に、金属の製品を溶かして地金(じがね)にもどす。鋳(い)つぶす。「銅像を—・す」
６家畜を、料理して食べるため殺す。「鶏を—・す」
７空いている時間を他の事をして過ごす。「喫茶店で時間を—・す」「テレビを見てひまを—・す」
８空いたところをふさぐ。「穴を—・す」
９すきまなく一面におおう。「塗り—・す」
[可能]つぶせる</t>
        </is>
      </c>
      <c r="D5614" t="inlineStr">
        <is>
          <t>潰すべく；潰すような音；潰すしかない；潰すよう命じ；潰す気です</t>
        </is>
      </c>
      <c r="E5614" t="inlineStr">
        <is>
          <t>撃破；壊滅；破壊する；破る；欠く</t>
        </is>
      </c>
      <c r="F5614" t="inlineStr">
        <is>
          <t>踏み潰す；噛み潰す；圧し潰す；ぶっ潰す；使い潰す</t>
        </is>
      </c>
      <c r="H5614" t="n">
        <v>29</v>
      </c>
      <c r="I5614" t="inlineStr">
        <is>
          <t>今までも会社を興しては潰すのが趣味みたいなところがありましたから。；それがために大切な勉強の時間を潰される事も何度となくありました。；指を潰され片眼を抉り取られても、この通りもう一つの眼が光っている。；ブロックが主人公の頭上で消えずに落ちてくると押し潰されてミスになる。；俺はこの目を潰すか、誰とも会わないような生活をするべきだったのに。；失望から学校に行かなくなり、近所の森や山で時間を潰す日々を送った。；次に、陸軍部隊が制圧した地域で一部残る抵抗拠点を潰す任務を受けた。；寺院組織を潰さないようにするのはわれわれの目前の要件であると思う。；おそらく今夜は最初から映画館で時間を潰すつもりだったのだろう。；相手は玉をすぐに囲ってしまうと、先に示した手順から潰されてしまう。；そして、深い谷の底には、叩き潰されたような死体が折り重なっていた。；この男根の塚も女の支配の象徴であり、叩き潰すべきものの一つである。；上から落ちてきた少女たちに潰されて、ただの土くれに戻っていたのである。；粛々と授業を受けるか、暇を潰すかくらいしかやることがないのだから。；彼の頭は帽子風の兜をかぶっていたにもかかわらず完全に叩き潰されていた。；元々不正貴族を潰すつもりだったカーマイン公はすぐ降伏の意思を示す。；ヴェントは建物の外から、この店ごと上条を潰すような事はしなかった。；博士は一度島を爆破しようとしたが失敗したと語り、今度こそ潰すと言う。；ただでさえ密集していたところでそうなったので、押し潰されそうになる。；気づいたときには、蹴りで顔を潰された後輩の男の死体が転がっていた。；どちらも子供を兵隊として使い潰す組織であることは、一緒なのだから。；言葉を交わす事すら許さず、無言のまま叩き潰そうとしている訳ではない。；その恥ずかしさを揉み潰すように更に放恣な姿勢に自分を開いていった。；自分の顔を、まるでゴムボールか何かのように押し潰そうとしている。；しかもこの朝廷勢力は他の勢力と違って武力で取り潰すことは不可能である。；それまでは喉を潰すような無茶な歌い方をして、伸び悩んでいたのにね。；喫茶店へ行くとしても、その前にもう少し時間を潰す手段がないものか。；そのうえ壁たちは、確実に殺意を持って変化し、押し潰そうとしてくる。；この2つの動きが撤退しつつある南軍を潰すだろうというものだった。</t>
        </is>
      </c>
      <c r="J5614">
        <f>HYPERLINK("https://www.weblio.jp/content/潰す", "词义详情")</f>
        <v/>
      </c>
      <c r="K5614">
        <f>HYPERLINK("https://yourei.jp/潰す", "查看例句")</f>
        <v/>
      </c>
    </row>
    <row r="5615">
      <c r="A5615" t="inlineStr">
        <is>
          <t>つぶやく</t>
        </is>
      </c>
      <c r="B5615" t="inlineStr">
        <is>
          <t>成功</t>
        </is>
      </c>
      <c r="C5615" t="inlineStr">
        <is>
          <t>読み方：つぶやく
［動カ五（四）］
１小さい声でひとりごとを言う。「ぶつぶつと—・く」
２ツイートする。→ツイート</t>
        </is>
      </c>
      <c r="D5615" t="inlineStr">
        <is>
          <t>つぶやくよう(22%)</t>
        </is>
      </c>
      <c r="E5615" t="inlineStr">
        <is>
          <t>ささやく；ボソボソと言う；ボソボソと話す</t>
        </is>
      </c>
      <c r="F5615" t="inlineStr">
        <is>
          <t>こうつぶやく；低くつぶやく；小さくつぶやく；げにつぶやく；ぽつりとつぶやく</t>
        </is>
      </c>
      <c r="H5615" t="n">
        <v>29</v>
      </c>
      <c r="I5615" t="inlineStr">
        <is>
          <t>あたしは聞こえない振りをしながら、適当な大きさの声でつぶやいたの。；「その原因はわしにあったのか」 かれはひとり言のようにつぶやいた。；それ以外の時は、いろんな名前をつぎからつぎへと一人つぶやくだけだ。；それでもすべてが嘘ではないのだと、言い訳のように心の中でつぶやく。；その時の気持ちをつぶやいたり、ユーザー同士で情報交換したりできる。；かれは、何とか物がいえるように顔を離し、やっとのことでつぶやいた。；「これがぼくのお父さんなのかなあ」 ふとつぶやくようにこういった。；友人を待つかのようにぶらついて、建物を克明に調べながらつぶやいた。；将校は低くつぶやいた、その声のうちには死の苦しみがこもっていた。；当時、クリスチャンは次のような言葉をくり返しつぶやいていたという。；すると男は自分の腕をながめて、つぶやくように「やられた」といった。；そこでかれは、手に持った果実にもう一口食らいつきながらつぶやいた。；その場から動かずに春香は下を向き、自分を抑えるかのようにつぶやく。；「これで君がまちがっていたことがわかったろう」司法官はつぶやいた。；ちゃんとみんな先のことを考えてるんだよな、と恭介は口の中でつぶやく。；「あれに乗っていたかった」 ニコルスも暗然と口のなかでつぶやいた。；こういうことがよくわかっているテルマルクは、こうつぶやくのだった。；あたしは空を見あげながら子供のような英語でつぶやいた。；夫が表の戸をしめて出て行き、一人になるとボナシュー夫人はつぶやいた。；眼に、若雑たちの傍若無人ぶりを眺め、胸では、それをつぶやいてみた。；「療法師のことをご先祖はそう呼んでいたのよ」とミリムはつぶやいた。；袖を通しやすいよう衣を支えながら、エリンは、つぶやくように言った。；だが藍ちゃんは、まだ一人で考え考えしながら、つぶやくようにいった。；第一の証言に、両側にいた二人の憲兵は彼が口のうちでつぶやくのを聞いた。；「今夜、俺は母さんに取材に来た」 下を向いてつぶやくように言った。；「そうはいってももっともともいえるさ」また口の中でつぶやいた。；驚くべきことにも驚けなくなった非情な唇をそらし合って、つぶやいた。；そのうち女のつぶやいている詞が、次第に耳に慣れて聞き分けられて来た。；そして、あのお嬢さん、また呪いの言葉でもつぶやいていたんじゃない?</t>
        </is>
      </c>
      <c r="J5615">
        <f>HYPERLINK("https://www.weblio.jp/content/つぶやく", "词义详情")</f>
        <v/>
      </c>
      <c r="K5615">
        <f>HYPERLINK("https://yourei.jp/つぶやく", "查看例句")</f>
        <v/>
      </c>
    </row>
    <row r="5616">
      <c r="A5616" t="inlineStr">
        <is>
          <t>つぶら</t>
        </is>
      </c>
      <c r="B5616" t="inlineStr">
        <is>
          <t>成功</t>
        </is>
      </c>
      <c r="C5616" t="inlineStr">
        <is>
          <t>読み方：つぶら
［形動］［文］［ナリ］まるくて、かわいらしいさま。「—な瞳(ひとみ)」</t>
        </is>
      </c>
      <c r="D5616" t="inlineStr">
        <is>
          <t>つぶらな瞳(28%)；つぶらな目(13%)；つぶらな眼(7%)；つぶらな黒い瞳；つぶらな眸</t>
        </is>
      </c>
      <c r="E5616" t="inlineStr">
        <is>
          <t>円い；円か；真ん丸い</t>
        </is>
      </c>
      <c r="H5616" t="n">
        <v>29</v>
      </c>
      <c r="I5616" t="inlineStr">
        <is>
          <t>グリーンは一分ほど見ていただけで、目をつぶらずにはいられなかった。；礼にいのつぶらな目が赤くなっていて、おれはちょっとびっくりした。；女の子の方に目を向けると、彼女はつぶらな瞳でジュウを見上げていた。；ただ、へそが見えたか見えぬかの瞬間に、目をつぶらなければならない。；ですから私は、かれらを見ないように、目をつぶらなくちゃなりません。；笑いながら上を見ると、松の枝に、ヒョウタンが一つぶら下っています。；つぶらな瞳を見せるためか下からすくい上げるような眼つきであった。；胴体に比べてひどく小さな頭部には、大きな耳と、つぶらな目が見える。；といっては大人に悪いが、ぼくたちはまだまだつぶらな頭をしていた。；だが、男の企業的野心を果して行くためには、眼をつぶらねばならない。；母が眼を瞑らせようとするけれど、母の方ばかり見て決してつぶらぬ。；そして、本に飢えているあのつぶらな瞳をキラキラと輝かせてやりたい。；短くきった髪、細い手足、つぶらな目が小動物のような印象を与える。；母を失った幼女のつぶらな目がいつまでも瞼裏に焼きついて消えない。；その通り、つぶらな瞳から出るものと言えば真珠の涙くらいなのだ。；第三の窓が開かれたとき、一瞬、ぼくは、目をつぶらなければならなかった。；涙でうるうるになった小さいがつぶらな目は、土の底のような暗い色をしている。；しかも彼女のつぶらな瞳が善意と童心しか反映してないことを彼は確信していた。；佐藤さんは、目をつぶらずに、ウルウルとさせて 結合の時を待っていた。；頼りになる黒毛の小さい騎士が、つぶらな目でこちらを見つめている。；ただ今回だけは、ぼくの美意識にもちょっとだけ目をつぶらせるつもりだった。；つぶらな瞳と特徴的な耳を持つ、東洋の竜の姿をした細長いポケモン。；それからベッドへねかされたが、人も知る三種の虫が目をつぶらせなかった。；その攻撃のまえに、日本軍の劣勢は事実に目をつぶらぬ限り誰の目にも明らかだった。；くっきりと濃い眉、ひと筋高く通った鼻、つぶらといっていいほど大きな瞳。；そう思ったわたくしは目をつぶらんばかりにして前進した。；「アッ」私はそう云ったまんま目をつぶらないわけには行かなかった。；顔の白い犬の目は小さく見えがちだが、その分つぶらにも見える。；髪と同じ色合いのつぶらな瞳が、しっかりとイコの顔を見据えている。</t>
        </is>
      </c>
      <c r="J5616">
        <f>HYPERLINK("https://www.weblio.jp/content/つぶら", "词义详情")</f>
        <v/>
      </c>
      <c r="K5616">
        <f>HYPERLINK("https://yourei.jp/つぶら", "查看例句")</f>
        <v/>
      </c>
    </row>
    <row r="5617">
      <c r="A5617" t="inlineStr">
        <is>
          <t>つぶる</t>
        </is>
      </c>
      <c r="B5617" t="inlineStr">
        <is>
          <t>成功</t>
        </is>
      </c>
      <c r="C5617" t="inlineStr">
        <is>
          <t>読み方：つぶる
［動ラ下二］「つぶれる」の文語形。</t>
        </is>
      </c>
      <c r="D5617" t="inlineStr">
        <is>
          <t>つぶるべき；つぶるとすぐ</t>
        </is>
      </c>
      <c r="E5617" t="inlineStr">
        <is>
          <t>目を閉じる；つむる；瞑る；目を瞑る；目をつむる</t>
        </is>
      </c>
      <c r="H5617" t="n">
        <v>29</v>
      </c>
      <c r="I5617" t="inlineStr">
        <is>
          <t>そのかわりあらゆる軍の悪に目をつぶっていなければならないのである。；彼女の顔が彼の顔と同じ高さに達したとき、彼は眼をつぶりたくなった。；美しいものだけを探して、他のものには眼をつぶることにしましょうよ。；それがもっとよく見えるように、彼女は眼を半分つぶって見るのである。；そうして、それきり私の左の眼は見えなくなってつぶれてしまいました。；彼女は黙って、眼をつぶるようにして、見えぬほど首を左右に動かした。；すると男は片目をつぶり、踊りの輪の中央に置いてあった竹籠を開いた。；私はいつもここを過ぎる時、念仏を唱えて目をつぶっているのであった。；光りの中に出ることも眼をつぶることも、共に恐ろしいような気がした。；フォードの最初の会社は車を12台作っただけでつぶれてしまっていた。；それはちょうど、目をつぶって海や危険の中に飛びこむのと同じである。；珍しく、殷雷は出された茶にも手をつけずに、静かに目をつぶっている。；そのため目標に当たった時に、弾頭がつぶれて広がるようになっている。；目をつぶった中にはっきりと映る東が消えて・・・ ・・・未来が見えた!；町を歩いていたら商店街の奥にいまにもつぶれそうな映画館があった。；彼は家にロレッタがいたままつぶれたのではないかと考え続けていた。；多少の遅れは目をつぶるにしても、連絡くらいは入れてもいいはずだ。；そして竜子は母の方を向いて母と同じように行儀よく静に目をつぶった。；花柳界の女によくある、あの咽喉のつぶれたような特徴のある声だった。；こうやって目をつぶると、死んだ家内の顔がふっと浮かんでくるんだよ。；安斉は利明の腕に抱えられ目を力の限りにつぶり歯を食いしばっていた。；こうして庄原の町筋に店を張っていた家がつぶれて行くのを幾つも見た。；彼女は黙って、目をつぶる様にして、見えぬ程に首を左右に動かした。；信用すらしていない青年の肩に隠れて、アトリはぎゅっと目をつぶった。；私もちょっと胸がつぶれたから、自分でも何か稼がねばならぬと決心した。；わたし聞いたんですけど、ポンと音がしてそれがつぶれちゃったそうよ。；そうしてかれは、道を歩いて疲れてくると、横になって目をつぶりました。；目をつぶっていても、目的地にいけるにちがいないとわたしは思います。；風のせいで耳がつぶれそうだったが、ほかの者たちには聞えてない。</t>
        </is>
      </c>
      <c r="J5617">
        <f>HYPERLINK("https://www.weblio.jp/content/つぶる", "词义详情")</f>
        <v/>
      </c>
      <c r="K5617">
        <f>HYPERLINK("https://yourei.jp/つぶる", "查看例句")</f>
        <v/>
      </c>
    </row>
    <row r="5618">
      <c r="A5618" t="inlineStr">
        <is>
          <t>潰れる</t>
        </is>
      </c>
      <c r="B5618" t="inlineStr">
        <is>
          <t>成功</t>
        </is>
      </c>
      <c r="C5618" t="inlineStr">
        <is>
          <t>読み方：つぶれる
［動ラ下一］［文］つぶ・る［ラ下二］《形容動詞「円(つぶ)ら」から》
１外部からの力を受けて、もとの形が崩れる。「地震で建物が—・れる」「肉刺(まめ)が—・れる」
２角が丸くなる。すりへる。「やすりの目が—・れる」
３本来の働きが失われる。役に立たなくなる。だめになる。「歌いすぎてのどが—・れる」「企画が—・れる」
４経営・生活などが成り立ってゆかなくなる。ほろびる。破産する。「会社が—・れる」「店が—・れる」
５体面や心の平静さが失われる。「顔が—・れる」「彼の不幸を聞いて胸が—・れる思いだ」
６機会や時間などが、他のことのために生かされないでしまう。「客の相手で一日が—・れる」
７酒に酔って動けなくなる。「—・れるまで飲む」
８写真などで、暗い部分の階調が失われて真っ黒になる。→黒潰れ</t>
        </is>
      </c>
      <c r="D5618" t="inlineStr">
        <is>
          <t>潰れるだろ；潰れるような音</t>
        </is>
      </c>
      <c r="E5618" t="inlineStr">
        <is>
          <t>崩壊；破損；倒壊；崩れる；割れる</t>
        </is>
      </c>
      <c r="H5618" t="n">
        <v>29</v>
      </c>
      <c r="I5618" t="inlineStr">
        <is>
          <t>何度となく潰れそうになった自分の尻を叩き続けてくれた編集のIさん。；壁が潰れたのではない、階段の上がすぐに一階の天井になっているのだ。；山の手の潰れないところに居た連中まで、どこへ行ったか一人も居ない。；順子も一歩だって外へ出られないし、お父さんの会社も潰れそうなのよ。；それがなければ涙で潰れて、彼女は盲目となってしまったかわからない。；三四人の者が口口に何か叫びながら潰れた家の取付きの所で騒いでいた。；そのまま身体が潰れてしまうのではと思ったが、そうはならなかった。；そう考えただけでも、心が凍るような絶望と屈辱で胸が潰れそうになる。；ここに書かれているストーキングの記録は旧NSCが潰れるまでだった。；どういう理由で計画が潰れたか知るには私から聞き出すのがいちばん早い。；脳が潰れても意識が喪くなり昏倒したところでどうという事はなかった。；自分が御前の眼はいつ潰れたのかいと聞くと、なに昔からさと答えた。；そのため対戦相手の方が勝手に惑乱して、潰れてくれることが多かった。；不思議な不幸続きで、店は潰れ娘一人を残して自分も死病にかかった。；歯が折れたり、眼の周囲に痣を作ったり、時には鼻が潰れていたりする。；もし病院が潰れるかもしれないような不祥事を知ったら、不快だろうね。；女将だって遊郭が潰れるのを指をくわえて眺めているだけではなかった。；以前は一軒だけあったらしいんだけど、万引きで潰れちゃったらしくて。；しかし、その薬の開発会社である守矢堂はすでに潰れてしまったらしい。；家は倒壊しても電話機だけは潰れずに独り鳴りつづけているのであろう。；一回でもミスすれば、どれだけの人間が内部で潰れるか分かったものではない。；左斜にこちらを見ている老僧は右の眼が開いて左の眼が潰れていた。；すぐまえにテレビ局がなかったら、とっくに潰れているような店である。；ちなみにこの時に100万ドルを現金で引き出された銀行は翌日潰れた。；幸ひ家は潰れなかつたので、家のなかで彼は当分蒼くなつて震へてゐた。；しかし潰れかかったクラブに出資しようとする企業はなかなか現れなかった。；姉が必死に作った書き付けを、巧く使って店を立て直せるか、潰れるか。；するとその潰れた屋根の間から、髭を生やした軍人が威張って出て来た。；その足は太股の中ほどから下へかけて布切れのように潰れていた。</t>
        </is>
      </c>
      <c r="J5618">
        <f>HYPERLINK("https://www.weblio.jp/content/潰れる", "词义详情")</f>
        <v/>
      </c>
      <c r="K5618">
        <f>HYPERLINK("https://yourei.jp/潰れる", "查看例句")</f>
        <v/>
      </c>
    </row>
    <row r="5619">
      <c r="A5619" t="inlineStr">
        <is>
          <t>つぼ</t>
        </is>
      </c>
      <c r="B5619" t="inlineStr">
        <is>
          <t>成功</t>
        </is>
      </c>
      <c r="C5619" t="inlineStr">
        <is>
          <t>読み方：つぼ
１尺貫法の単位。
㋐土地や建物の面積の単位。1坪は6尺平方で、約3.3平方メートル。田地の一歩(いちぶ)と等しい。
㋑土砂の体積の単位。1坪は6尺立方で、約630立方メートル。立坪(りゅうつぼ)。
㋒錦(にしき)などの織物や金箔、印刷図版などの面積の単位。1坪は1寸四方で、約9.2平方センチ。
２古代の条里制における土地区画の単位。1坪は1里の36分の1で、1町（約109メートル）四方の広さ。
３（「壺」とも書く）壺皿1のこと。また、それに盛る煮物などのこと。
４（「壺」とも書く）
㋐宮中で、建物や垣根に囲まれた中庭。
「前は—なれば前栽(せんざい)植ゑ」〈枕・二四五〉
㋑宮中で、㋐のある殿舎。つぼね。「桐—」「梨—」
「かむなりの—に人々集まりて」〈古今・秋上・詞書〉
５格子の桟(さん)に囲まれたます目。
「格子の—などに、木の葉をことさらにしたらむやうにこまごまと吹き入れたるこそ」〈枕・二〇〇〉</t>
        </is>
      </c>
      <c r="D5619" t="inlineStr">
        <is>
          <t>つぼ形(3%)；つぼ型；つぼ湯；つぼ山神籠石；つぼ状</t>
        </is>
      </c>
      <c r="E5619" t="inlineStr">
        <is>
          <t>機；ポイント；要；要領；要所</t>
        </is>
      </c>
      <c r="F5619" t="inlineStr">
        <is>
          <t>インクつぼ；インキつぼ；砂糖つぼ；タコつぼ；つぼ山</t>
        </is>
      </c>
      <c r="G5619" t="inlineStr">
        <is>
          <t>つぼめ；つぼん；つぼみや；つぼのいしぶみ；つぼ八</t>
        </is>
      </c>
      <c r="H5619" t="n">
        <v>29</v>
      </c>
      <c r="I5619" t="inlineStr">
        <is>
          <t>あちこち掘っているうちに、探していたつぼが土の中からやっとでてきた。；ところが、その女は頭の上に、ミツを入れたつぼをのせておったのでね。；この効果を上げるために必要なのは、つぼにはまった推測をするだけです。；衣被には単に手で前方をつぼねるものと腰の辺りで帯で結ぶものが存在した。；彼は立ちあがって数滴の水をインキつぼのなかに注がねばならなかった。；でも、そのつぼをどこへおいたものか、どうもふたりにはよくわかりません。；夜になるとインクつぼの中に居るみたいな暗闇の中で生息している。；黒ありはつぼの中の砂糖を手に入れることができませんでした。；言われた通りに修正すればするほど、どつぼにはまっていくようだ。；二人は、だれにも見られないよう、家の鍵をしめると、つぼをあけた。；それから、彼はワインのつぼをとりあげ、ドアのすぐ内がわに置いた。；こうしている間も栗と飲物のつぼはたえず手から手へと回っていた。；タコつぼの一歩外は、敵とも味方とも知れぬ、累々たる死体であった。；つぼう郷土史研究会によって、継続的な歴史の研究伝承がなされている。；道中では青いつぼと黄色いつぼが出現し、これを割るとアイテムが出現。；そこで、僕は、今あるつぼの表面を装飾する仕事にとりかかった。；だが当時は未だ、親への依存欲求のどつぼにはまりこんでいる真最中だ。；医師はドアを半開きにして、女中の手からつぼを受け取ってまたドアを閉めた。；「骨つぼだ」 正彦が手でかき分けた土の中から小さなつぼが現われた。；皇帝城の美しい娘は、つまらないこわれた粘土のつぼのために泣きました。；皿やつぼなどの少量生産の製品や、芸術品を作るときに用いられる。；二人でぺろぺろなめているうちに砂糖つぼは空になってしまいます。；甲骨文を見ても、酒つぼの形に象っており、「酒」の本字と考えられる。；黒ありはいつまでもつぼの外をくるくるまわっていました。；傘の上には条線があり、薄い茶色を帯びたイボ状のつぼの破片がついている。；私はヒョウタンでつくったつぼをいくつも持って、森を目あてに出かけました。；木の玉が連なってできたカバーがかけられ、それがつぼ圧し効果にもなっているのだ。；詩人の姉からどのような絵が好きか尋ねられると、詩人は家にあったつぼに描かれた絵を指差し次のように答えた。；玉緒が途中で摘んできたと言って、たんぽぽのつぼみを美沙緒に見せた。</t>
        </is>
      </c>
      <c r="J5619">
        <f>HYPERLINK("https://www.weblio.jp/content/つぼ", "词义详情")</f>
        <v/>
      </c>
      <c r="K5619">
        <f>HYPERLINK("https://yourei.jp/つぼ", "查看例句")</f>
        <v/>
      </c>
    </row>
    <row r="5620">
      <c r="A5620" t="inlineStr">
        <is>
          <t>蕾</t>
        </is>
      </c>
      <c r="B5620" t="inlineStr">
        <is>
          <t>成功</t>
        </is>
      </c>
      <c r="C5620" t="inlineStr">
        <is>
          <t>読み方：つぼみ
１花の、まだ咲き開かないもの。「—がほころぶ」
２将来が期待されるが、まだ一人前でない年ごろの者。</t>
        </is>
      </c>
      <c r="D5620" t="inlineStr">
        <is>
          <t>蕾状；蕾斎；蕾みたい</t>
        </is>
      </c>
      <c r="E5620" t="inlineStr">
        <is>
          <t>芽；芽生え；つぼみ；双葉；新芽</t>
        </is>
      </c>
      <c r="F5620" t="inlineStr">
        <is>
          <t>小さな蕾；固い蕾；白い蕾；赤い蕾；大きな蕾</t>
        </is>
      </c>
      <c r="G5620" t="inlineStr">
        <is>
          <t>蕾見不二子；蕾たち；蕾み；蕾め</t>
        </is>
      </c>
      <c r="H5620" t="n">
        <v>29</v>
      </c>
      <c r="I5620" t="inlineStr">
        <is>
          <t>蕾と葉を持つ花と上部に光線を示すような飾りを付けた形状で作られた。；胸の底で花の蕾がほころぶみたいにその辺りがくすぐったくなってくる。；人間の感情もまた、その靄の中で大きくなっていく桜の蕾のようなものだ。；名知れぬ花が夜だけそっとその蕾を開くとさえ言われていました。；佐沼は枝々に群るようにしてついている小さい蕾を眼で追って行った。；私の唇を蕾だと思つて、あつちへ飛んでおいで、森の中へ、小川の縁へ。；急に春らしくなつて、櫻の蕾がふくらみさうなある日の午頃のことです。；柱掛けの一輪揷しに、もう蕾の開きかけた桜の一枝が投げ込んであった。；そして府庫のすぐ裏手にある、まだ蕾さえついていない桜の木へ向かう。；それでも若葉の底の方の、思いもかけぬところから真紅の花の蕾が覗く。；花冠の内側より外側が色が濃く、開花しているものより蕾のほうが濃い。；多くは蕾の時に赤くて先端が緑で、この緑の部分は開花すると黄色に変わる。；「俺は蕾には手を出さねえ」 そんな渋いいぶし銀の声が聞こえてきた。；夏の間は、アメリカに来たばかりの零と蕾の英語の家庭教師を請け負う。；そして蕾を保護して、それを暑さや寒さや雨に当てないやうにする。；とても綺麗な、まだ十六にもならない蕾ですぜ、と言ってやりました。；桜の枝に一杯蕾がついていて、所々には花を開いてるのもあった。；鏡のような森の池のまわりの、かえでの赤い蕾が眠りからさめた世界。；ところで、蕾の薔薇のほうはと申しますると、次のようでございます。；固く閉じられたままで火災を待つ 蕾の形成は当年生の枝で行われる。；彼は毎日ひそかに桜の森へでかけて蕾のふくらみをはかっていました。；これにより、バラの蕾の茎のように見える複雑な星雲が形成されている。；梢にきちょうめんに横に並んだ枝を出して白い蕾をつけて葉は無い。；長い茎のような構造の先端に、チューリップの蕾のような頭部がある。；桜の木々は昼すぎに蕾を膨らませ、夕方には満開になっていたそうだ。；鳳仙花はもう実となつたし、曲りくねつた野生の小菊はまだ石蕾である。；こぶしは蕾がほころびるように少しずつ開いていくような気がした。；まだ蕾だけど、二、三本、切って、居間のほうに活けておきましょうか。；正面玄関の前に立つ桜の樹には蕾が出来始めていた。</t>
        </is>
      </c>
      <c r="J5620">
        <f>HYPERLINK("https://www.weblio.jp/content/蕾", "词义详情")</f>
        <v/>
      </c>
      <c r="K5620">
        <f>HYPERLINK("https://yourei.jp/蕾", "查看例句")</f>
        <v/>
      </c>
    </row>
    <row r="5621">
      <c r="A5621" t="inlineStr">
        <is>
          <t>妻</t>
        </is>
      </c>
      <c r="B5621" t="inlineStr">
        <is>
          <t>成功</t>
        </is>
      </c>
      <c r="C5621" t="inlineStr">
        <is>
          <t>読み方：つま
《「端(つま)」の意》
１夫婦や恋人が、互いに相手を呼ぶ称。
「吾(あ)はもよ女(め)にしあれば汝(な)を置(き)て男(を)はなし汝を置て—はなし」〈記・上・歌謡〉
２動物のつがいで、互いの相手。
「下辺(しもへ)にはかはづ—呼ぶ」〈万・九二〇〉
３鹿と萩、秋風と萩など、関係の深い一組のものの一方をいう語。
「小牡鹿(さをしか)の—にすめる萩の露にも」〈源・匂宮〉</t>
        </is>
      </c>
      <c r="D5621" t="inlineStr">
        <is>
          <t>妻面；妻子持ち；妻メアリー；妻エリザベス；妻マリア</t>
        </is>
      </c>
      <c r="E5621" t="inlineStr">
        <is>
          <t>女；女性；室；夫人；婦人</t>
        </is>
      </c>
      <c r="F5621" t="inlineStr">
        <is>
          <t>若い妻；阿賀妻；老妻；亡き妻；美しい妻</t>
        </is>
      </c>
      <c r="G5621" t="inlineStr">
        <is>
          <t>妻女；妻君；妻帯；妻妾；妻籠</t>
        </is>
      </c>
      <c r="H5621" t="n">
        <v>29</v>
      </c>
      <c r="I5621" t="inlineStr">
        <is>
          <t>のちの新聞記事では、この年に妻を失ったことを機に引退したとしている。；ある時、王は妻の不貞を知り、妻と相手の奴隷たちの首をはねて殺した。；連結面は各車に貫通扉が設置されており、妻面には窓が設置されている。；妻との間に5人の子供がいて、それぞれ尊敬する作家の名前をつけている。；彼女はパリのボヘミアン・ブルジョワで、スペインの画家の妻であった。；ヘーラクレースの妻の一人であるメガラーも彼らの娘とされる場合がある。；妻の早川殿と対になった肖像画があり、現在米国の個人が所蔵している。；結婚はしていたが、土田の希望により妻の存在は明らかにしていなかった。；連結面はすべてに妻面窓が設置されたが、それまでよりも若干小さくなった。；好男子であったので女性には大変もてたというが終生妻は娶らなかった。；また、大学時代の同級生で、後に妻となる女性ともこの頃出会っている。；そのほか妻面は貫通扉の戸袋となっている個所へ妻面窓が設置された。；その際、同年結婚した最初の妻を伴ってのフィリピン行きとなった。；義時はそれを聞くと幕府に参じ、政子と実朝の妻を八幡宮に逃れさせた。；この間11月、龍家の一族、佐栄志の娘・とまを紹介されて島妻とした。；父フランソワは絶望で打ちひしがれたのか妻の葬儀に出席しなかった。；最愛の妻を失って悲嘆に暮れる姿はロシア国民から広く同情を集めた。；地元はどこを見ても父親が妻を殴っていて、大人が子どもをぶん殴っていた。；彼は妊娠中の妻と子の死を含め、彼の人生で多くの試練を経験した。；グラナドスと妻アンパロとの間には男女3人ずつ6人の子供が生まれた。；実際に妻はよくできた母親で、子供のためならいかなる苦労も惜しまなかった。；この役は又一と同じく、主人公万俵鉄平の妻の父、いわゆる義父である。；バッハが帰郷した時には、既に妻が7月7日に埋葬された後であった。；独特の丸い形状の家はハインライン自身が妻と共同で設計したものである()。；張琨夫妻は の12母音が6つずつ対をなして母音調和を起こすとする。；すると同情した民衆たちが劉自然の妻の周りに集まり始めた。；妻と復縁できなければ拳銃自殺するつもりだと書かれていた。；間に立ったのは布枝の母の弟で、この叔父の妻の実家が武良家の遠縁だった。；ヴェルレーヌはランボーとの関係を終わりにして妻のもとに帰る決意をしていた。</t>
        </is>
      </c>
      <c r="J5621">
        <f>HYPERLINK("https://www.weblio.jp/content/妻", "词义详情")</f>
        <v/>
      </c>
      <c r="K5621">
        <f>HYPERLINK("https://yourei.jp/妻", "查看例句")</f>
        <v/>
      </c>
    </row>
    <row r="5622">
      <c r="A5622" t="inlineStr">
        <is>
          <t>つまずく</t>
        </is>
      </c>
      <c r="B5622" t="inlineStr">
        <is>
          <t>成功</t>
        </is>
      </c>
      <c r="C5622" t="inlineStr">
        <is>
          <t>読み方：つまずく
［動カ五（四）］《「爪(つま)突く」の意》
１歩いていて、誤って足先を物に突き当ててよろける。けつまずく。「石に—・いて転倒する」
２物事の中途で、思わぬ障害につき当たって失敗する。「緒戦で—・く」「事業に—・く」</t>
        </is>
      </c>
      <c r="D5622" t="inlineStr">
        <is>
          <t>失敗する；中断する；転落する；転倒する；頓挫する</t>
        </is>
      </c>
      <c r="H5622" t="n">
        <v>29</v>
      </c>
      <c r="I5622" t="inlineStr">
        <is>
          <t>その勇気がないことに私はつまずいて彼を拒否することも出来なかった。；床に穴があいていたり、なにかにつまずいたりするといけないからです。；そして家のなかにはときどき私をつまずかそうと足を差し出す者がいた。；その中でただの一つにつまずくことでもたぶんそれは死を意味するだろう。；突然群れの真ん中にいた一頭が転倒し、ほかの二頭がそれにつまずいた。；氷が盛り上がっているところがあって、そこにつまずいたらしいのです。；歩一歩と後退していくうちに、畑のまんなかで石につまずいてしまった。；そのお露の足が、またしても、ぐにゃっとしたようなものにつまずいた。；小さな小屋だから足元に気をつけないとつまずいてしまう恐れがある。；悲鳴をあげていた女の一人が、つまずきながら夫の元に駆け戻った。；馬がわだちの跡につまずき、脇へそれたかと思うと急に疾駆にうつった。；老人は力なく絶望的によろけつまずきながらこちらのほうへやってくる。；かれは黒門から二間ほどの手前で、石につまずいて倒れてしまった。；私が何かにつまずくのを待ち構えているのではないかとさえ思えた。；砂浜を歩いていると、ふと何かにつまずいて地面に四つん匍いになった。；人生につまずいたファン達は、ホルステンの成功と健康体を羨ましがる。；その現実のみを見て理想を見ないものの多くもまたつまずいた。；閾につまずいた戦士や将軍たちはたしかにその日のうちに戦死した。；わたしはつまずき、ひざまずいたままの姿で、しばらくじっとしていた。；またも牧師補のからだにつまずいたが、走りださずにはいられなかった。；そこでつまずくと選手らからの信頼を得ることが難しくなると説いている。；ゆうべちょっとお勉強につまずいたもんだからそれが気になったんでしょうよ。；第一日目にしてつまずいた新婚生活はその後もよい状態とはいえなかった。；ふらつく足で奥へと歩くうち、何かにつまずいて派手に恵んでしまった。；何がかれらをつまずかせたか、それを説明するものはなにもない。；そうしたら、道にだれかが倒れていて、私、つまずいてしまったんです。；ひとりが倒れると、将棋倒しのように数人がつまずいて人の山ができた。；この銀行の経営につまずきが見られるようになったのは1911年からであった。；その理想のみを見て現実を見ないものの多くはつまずいた。</t>
        </is>
      </c>
      <c r="J5622">
        <f>HYPERLINK("https://www.weblio.jp/content/つまずく", "词义详情")</f>
        <v/>
      </c>
      <c r="K5622">
        <f>HYPERLINK("https://yourei.jp/つまずく", "查看例句")</f>
        <v/>
      </c>
    </row>
    <row r="5623">
      <c r="A5623" t="inlineStr">
        <is>
          <t>つまみ</t>
        </is>
      </c>
      <c r="B5623" t="inlineStr">
        <is>
          <t>成功</t>
        </is>
      </c>
      <c r="C5623" t="inlineStr">
        <is>
          <t>読み方：つまみ
１つまむこと。また、つまんだ量。「ひと—の塩」
２つまんで持つように器具などに取り付けた部分。「ボリュームの—を回す」
３つまんで食べられる簡単な酒の肴(さかな)。つまみもの。おつまみ。「ビールの—」</t>
        </is>
      </c>
      <c r="D5623" t="inlineStr">
        <is>
          <t>つまむと口</t>
        </is>
      </c>
      <c r="H5623" t="n">
        <v>29</v>
      </c>
      <c r="I5623" t="inlineStr">
        <is>
          <t>夜ともなれば鼻をつままれてもわからないほどの真の暗闇が落ちてくる。；つまみのある蓋つきの容器で、表面にはしばしば結婚の様子が描かれた。；三軒目の後家のお大は、五十七八のこれは一とつまみほどの老女でした。；「俺は調べられるんだぜ」 一同は狐につままれたように彼の顔を見た。；そこをすばやくつまみとられて、袋のなかへ入れられてしまうのである。；で私は、狐にでもつままれたような気持で、その原稿を読み初めました。；幻滅を感じて狐につままれた顔をして引返してくる場合もあるであろう。；その時も私は歩きながら大つまみに東京の生活振りを話してきかせた。；ハンドバッグには他の数種の品とともに銅のつまみのある小鍵一個あり。；綾子も返事のしように困ってあいまいな気持でつまみに手を出していた。；食べるのはパン一枚と、塩一つまみだけで、塩がない時はパンも食べない。；あるいはつまみが酒のイメージを固定してしまうからかもしれない。；「何なんですかね、これは」宗秀は狐につままれたような顔をしていた。；雨戸は閉てきってあるし、座敷は鼻をつままれてもわからぬ真の闇じゃ。；しかし、みんな狐につままれたような顔の反応を見せただけであった。；あとには極上の酒樽と、キツネにつままれたような影月たちが残された。；私は彼の指にふれない為に、その紙の袋の端をつまむようにして受取った。；ホロがコルの頬をつまむようにして撫でて、言葉はこちらに向けてくる。；鼻をつままれたときのように、この人はときどきわたしをひどく驚かせる。；今は夜だし、ほとんど鼻をつままれてもわからないほど深い闇だった。；ほかの係官たちも狐につままれたように、ポカンとした顔で立っていた。；あたしたちはキツネにつままれたように、キョトンとするばかりだった。；静かに腕を伸ばして石南花の外側の葉を一枚つまみ取って調べてみた。；まるでキツネにつままれたような気持ちでしたが、でも安心しました。；からむきっかけはどこにでもあり、どのようにもつまみとってこれた。；イタリアでは飲物の価格が変わらないが、無料のつまみが提供される。；それはともかく、私は毎日のように鼻をつままれては怒っていた。；多分みんな狐につままれたような顔をしていたことと想像される。；東京市民はこの発表を、きつねにつままれたような思いで受け取った。</t>
        </is>
      </c>
      <c r="J5623">
        <f>HYPERLINK("https://www.weblio.jp/content/つまみ", "词义详情")</f>
        <v/>
      </c>
      <c r="K5623">
        <f>HYPERLINK("https://yourei.jp/つまみ", "查看例句")</f>
        <v/>
      </c>
    </row>
    <row r="5624">
      <c r="A5624" t="inlineStr">
        <is>
          <t>摘む</t>
        </is>
      </c>
      <c r="B5624" t="inlineStr">
        <is>
          <t>成功</t>
        </is>
      </c>
      <c r="C5624" t="inlineStr">
        <is>
          <t>読み方：つまむ
［動マ五（四）］
１指先ではさむ。指先や箸(はし)などではさみもつ。「鼻を—・む」「塩をちょっと—・む」
２指先などで取って食べる。また、手軽に食べる。「一つ—・んでください」「すしを—・む」
３重要なところを抜き出す。かいつまむ。「要点を—・んで話す」
４（多く「つままれる」の形で用いる）狐(きつね)などが人をだます。化かす。「まるで狐に—・まれたような話」
５俗に、生検を行うこと。「胃の組織を—・む」
[可能]つまめる
[用法]つまむ・はさむ——「箸(はし)でつまんで（挟んで）皿に移して下さい」など、間に入れて持つの意では相通じて用いられる。◇「つまむ」は指先または箸などの先を使った動作で、「鼻をつまむ」「箸で煮豆をつまんで食う」のように用いる。◇「挟む」は二つの物の間に何かを入れて動かないようにすることで、「両脚で挟んで締めつける」「小脇に挟む」のように、道具に特別の限定がない。◇「すしをつまむ」「菓子をつまんでください」などの「つまむ」は取り上げて食べる意で、「挟む」とは言わない。◇「机を挟んで向き合う」「人の話に口を挟む」などの「挟む」は「つまむ」に置き換えることはできない。</t>
        </is>
      </c>
      <c r="D5624" t="inlineStr">
        <is>
          <t>摘むべく；摘むべき</t>
        </is>
      </c>
      <c r="E5624" t="inlineStr">
        <is>
          <t>取る；引く；要する；抜く；取り出す</t>
        </is>
      </c>
      <c r="H5624" t="n">
        <v>29</v>
      </c>
      <c r="I5624" t="inlineStr">
        <is>
          <t>こういう果物を摘んだり家に持って帰ったりするのはひと仕事であった。；摘むべき人の手がない野にあっても、ますます美しくなるばかりである。；けれども、この花は仏に捧げようと思って摘んで来た花ではありません。；これは寧ろ細君の方が先に見つけそして彼女の好みで摘んだものである。；その姿勢が弟子の可能性の芽を摘んでいたことも否定できない面である。；彼女はクルマバソウの小枝をいくつか摘んで、彼のところにもってきた。；せっせと何か摘んでは口に運んでいるその子供たちは振り返りもしない。；摘んだものではいる金よりも、摘むために払う金のほうが高くつくのよ。；摘んだものではいる金よりも、摘むために払う金のほうが高くつくのよ。；もつとも一輪摘んで鼻の先に持つて來れば匂ふであらうがそれでは困る。；劉東夏の眠っているのを見すまし、そっと手を伸ばして鼻を摘もうとする。；もしもあれほど禁止されても、きれいな花だからと摘んだらどうしよう。；口髭をきちんと摘んである様は、そんなに無頼なものとも思われないが。；ほんとうの恋など歌の中だけ、それならば、摘んでみましょう、夜の街。；その摘んだ名が誰に当っているか、その当った子供が法王となるのです。；口を開けて眠っている彼の顔がマヌケなものに思えてきて、彼の鼻を摘んだ。；短い髪は毎日摘んでいるのではないか、と思うほどきちんとしていた。；三人とも言い合わせたように、着物の裾を指で摘まんで持ち上げていた。；彼女は家の前の道傍で、草花を摘んでゐたのだが、それから分らない。；また、この日の前夜に摘む薬草には、特に効果があると信じられている。；一本の木は頭を摘まれると、根の近くに好んで新しい芽を出すものである。；この少年には司教が夢中になっていて、初物は彼が摘むことになっていた。；あれを摘むには湖を半分回っていかなければならないけれどね。；真は鼻を摘んで左右に振った後、ペダルの消失した金属部分に足をかける。；お道が、日が暮れるまで芹を摘まうと、籠を下げて後ろから附いて來た。；教えられたとおり、両足の指先が海中に入るのと同時に右手で鼻を摘む。；古代ポリネシアでは神聖なものとされ、王族のみに摘むことが許された。；それを私たちは新聞紙に載せて、膝の上にひろげ、摘まみながら進んだ。；小さな薄暗い独房の隅に咲いた白い花から白い実を摘んで口にしました。</t>
        </is>
      </c>
      <c r="J5624">
        <f>HYPERLINK("https://www.weblio.jp/content/摘む", "词义详情")</f>
        <v/>
      </c>
      <c r="K5624">
        <f>HYPERLINK("https://yourei.jp/摘む", "查看例句")</f>
        <v/>
      </c>
    </row>
    <row r="5625">
      <c r="A5625" t="inlineStr">
        <is>
          <t>つまらない</t>
        </is>
      </c>
      <c r="B5625" t="inlineStr">
        <is>
          <t>成功</t>
        </is>
      </c>
      <c r="C5625" t="inlineStr">
        <is>
          <t>読み方：つまらない
［連語］《動詞「つまる」の未然形＋打消しの助動詞「ない」》
１おもしろくない。興味をひかない。「—◦ない映画」
２とりあげる価値がない。大したものではない。「—◦ないものですが、お収めください」
３意味がない。ばかげている。「—◦ないうわさ話で時間をつぶす」
４それだけのかいがない。ひきあわない。「ここでやめたらそれこそ—◦ない」
[用法]つまらない・くだらない——「大金をはたいてつまらない（くだらない）買い物をした」「あんなつまらない（くだらない）人間とは付き合うな」など、価値のない意では相通じて用いられる。◇「つまらない」は、そのものに対する評価というより、心がひかれない、楽しめないという状態を言う。「内容はよいが、つまらない映画」◇「くだらない」はある物の評価が低いことに重点があり、楽しさ、おもしろさとは別である。「この映画はくだらないが、おもしろい」◇「独りぼっちはつまらない」とは言うが、「独りぼっちはくだらない」とはふつう言わない。</t>
        </is>
      </c>
      <c r="D5625" t="inlineStr">
        <is>
          <t>つまらないこと(16%)；つまらないもの(7%)；つまらない話；つまらない事；つまらない男</t>
        </is>
      </c>
      <c r="E5625" t="inlineStr">
        <is>
          <t>小さな；小さい；細かい；不服；ありふれた</t>
        </is>
      </c>
      <c r="F5625" t="inlineStr">
        <is>
          <t>こんなつまらない；ごくつまらない；どんなつまらない；なんてつまらない；実につまらない</t>
        </is>
      </c>
      <c r="G5625" t="inlineStr">
        <is>
          <t>つまらないい</t>
        </is>
      </c>
      <c r="H5625" t="n">
        <v>29</v>
      </c>
      <c r="I5625" t="inlineStr">
        <is>
          <t>そうやっている内に、だんだん普通の旅行じゃつまらなくなったんです。；で、この男がつまらなさうな顔をしながら、この手紙を読んでしまつた。；初めいい音だと思ったのがだんだんつまらなく思われるようになった。；しかしつまらないながらもこういう事だけは云い得るようになりました。；彼はこの問題をだして、ゆっくりとつまらなそうに手をこすり合わせた。；おたがいに気が早いもんですから、つまらないことで喧嘩を始めました。；西原さんは「なんだ」とつまらなそうな顔をして自分のクラスに戻った。；「俺が女を作ったのは」と治夫が出て来て急につまらなそうな声で呟く。；だが生活の心配がなくなった彼は、急に生きるのがつまらなくなった。；智春ははぐらかされたような気がしたのか、つまらなそうな顔になった。；こんなになると日本へ帰ってから、日本がつまらなく見えて困るぞこれや。；しかるに誰に聞いても、学問なんてものは実につまらなく見えるという。；わたしもまけてゐないで、つまらないげいばかりだといひかへしました。；生徒らはその非常な冒険からただつまらない楽しみを得たのみだった。；来世の幸福を仮定して現実のつまらなさを慰めるのは一つの宗教である。；彼等が既にやってしまったことは、実につまらなく思えてくるのです。；クララは少し離れて、つまらなそうにそこに生えている桜草を見ていた。；が、そうかと言って、彼等の仕事がつまらないということにはならない。；俺はつまらなくなって、伸びを一つしておいて、室の方に行ってみた。；お前達も此のつまらない名前のつくやうな事をしないやうにしなければならない。；ふと土門の顔を横眼で見ると、土門は案外つまらなそうな顔をしていた。；ただし、こんなツマラナイ試合を見たのは初めてだと感じたのも事実である。；なんで、こんなつまらない石ッころに深い愛惜を感じて居るのでせうか。；いささか酔って赤くなった英信だけは緊張もしないし、つまらなそうだ。；「あんな高くてつまらないものはありませんよ」と言っていたという。；ああやって番をしてるのは退屈で、つまらないだろうといつも思った。；私はなぜこんなつまらない会話を記したかというに、それには理由があるのだ。；職場がつまらなくて、やめたいと思っていたところだと彼女はいった。；女は蓋をあけ、つまらなそうな顔でマッサージのベッドの脇に立った。</t>
        </is>
      </c>
      <c r="J5625">
        <f>HYPERLINK("https://www.weblio.jp/content/つまらない", "词义详情")</f>
        <v/>
      </c>
      <c r="K5625">
        <f>HYPERLINK("https://yourei.jp/つまらない", "查看例句")</f>
        <v/>
      </c>
    </row>
    <row r="5626">
      <c r="A5626" t="inlineStr">
        <is>
          <t>つまり</t>
        </is>
      </c>
      <c r="B5626" t="inlineStr">
        <is>
          <t>成功</t>
        </is>
      </c>
      <c r="C5626" t="inlineStr">
        <is>
          <t>読み方：つまり
［名］
１物が詰まること。また、詰まっている度合い。「排水溝の—」「袖丈(そでたけ)の—ぐあい」
２いろいろと経過して行きつく最後のところ。事の結末。果て。終わり。「とどの—」「身の—」
「我分別で—を付ねば」〈露伴・風流仏〉
３追いつめられること。困窮すること。行きづまり。
「作料を取らせねば、諸職人の—となる」〈仮・可笑記・三〉
４行きづまった所。すみ。
「ここの—に追っつめてはちゃうど斬(き)る」〈平家・四〉
［副］
１話の落ち着くところは。要するに。結局。「今までいろいろ述べたが、—それはこういうことになる」
２別の語に置きかえれば。言い換えると。すなわち。「地図の上方、—北方は山岳地帯である」
[下接語] （づまり）織り詰まり・金(かね)詰まり・気詰まり・金(きん)詰まり・寸詰まり・手詰まり・どん詰まり・鼻詰まり・糞(ふん)詰まり・目詰まり・行き詰まり</t>
        </is>
      </c>
      <c r="D5626" t="inlineStr">
        <is>
          <t>つまりそういう；つまりこういう；つまり犯人；つまり我々；つまりそれだけ</t>
        </is>
      </c>
      <c r="E5626" t="inlineStr">
        <is>
          <t>結果として；即ち；要するに；要は；畢竟</t>
        </is>
      </c>
      <c r="F5626" t="inlineStr">
        <is>
          <t>つまりロードショーを終え；つまり現存在；つまり存在者；つまり老人力；つまり本姓</t>
        </is>
      </c>
      <c r="H5626" t="n">
        <v>29</v>
      </c>
      <c r="I5626" t="inlineStr">
        <is>
          <t>現代の地図上の左右、つまり地図の北を上にしたときの左右ではない。；つまり、時代が進めば進むほど証明の可能性が原理的に狭められてきた。；つまり、これらの条約に加盟していない国との関係で問題になるに過ぎない。；つまり、それ以前の武に従事した者は、武官ではあっても武士ではない。；つまり最も衝突の危険が高い主要文明はイスラム文明と中華文明である。；つまりクラスオブジェクトもモデルとして使用できるようになっている。；つまりプレイヤーはトリガー戦略から逸脱すると長い目でみて損をする。；つまり同じ文法的条件の語を同じ場所におく、繰り返しのリズムである。；つまり、先頭が複数あって、末尾が1つになっている構造が可能である。；つまり反復のたびに正しい桁数が直前のもののほぼ倍になるのである。；つまり電子間の位置の相関を平均的なものに置き換えてしまっている。；つまり、点つき分割は分割の各小区間に識別のための点をとったものである。；つまり同時に複数のプログラムを実行することは不可能である。；つまり、成長する事でよりダメージを受けなくなると考えることができる。；つまり基本的な生命現象は進化的に保存されていると言える。；つまり「地域」は行政上存在してもあまり実体のある存在とはいえない。；第二期作戦は、第一期作戦の進行、つまり制海権で三つが想定された。；つまり「時間」を時刻の意味で使ってしまう用法は正しい用法ではない。；つまり上図で黒がaと取った直後に、白がbと取り返すのは反則となる。；対比されている概念は、交流つまり周期的に方向が変化する電流である。；つまり、このことはラマルクの用不用説を強く支持する根拠となり得る。；つまり蔣経国は万竹小学校で初めて本格的な近代的な教育を受けることになった。；つまり、それらのモデルの能力は通常のチューリングマシンと同じである。；つまり戦争の本来の目標とは敵の戦闘力を破壊することに他ならないと考えられる。；つまりそうした文明の数を10個だと推定してみせたのである。；つまり、色を表す言葉の数によって、虹の色の区切り方が違うのである。；つまり、アヒンサーを忠実に守るためには死をも覚悟しなければならない。；つまり、歌垣に出てくる皇子も女も、全く別の設定になっているのである。；つまりユリアヌスの改革の目的は、かつての伝統に回帰することであった。</t>
        </is>
      </c>
      <c r="J5626">
        <f>HYPERLINK("https://www.weblio.jp/content/つまり", "词义详情")</f>
        <v/>
      </c>
      <c r="K5626">
        <f>HYPERLINK("https://yourei.jp/つまり", "查看例句")</f>
        <v/>
      </c>
    </row>
    <row r="5627">
      <c r="A5627" t="inlineStr">
        <is>
          <t>詰まる</t>
        </is>
      </c>
      <c r="B5627" t="inlineStr">
        <is>
          <t>成功</t>
        </is>
      </c>
      <c r="C5627" t="inlineStr">
        <is>
          <t>読み方：つまる
［動ラ五（四）］
１すきまもなく入って、いっぱいになる。「立錐(りっすい)の余地もなく—・った聴衆」「予定がびっしり—・っている」
２途中がふさがって通路・管などが通じなくなる。「排水管が—・る」「鼻が—・る」
３
㋐長さ・幅や間隔などが短くなる。ちぢまる。「洗濯したら、丈(たけ)が—・った」「日が—・る」「差が—・る」
㋑変化して語形が短くなる。つづまる。「『わがいも（吾妹）』が—・って『わぎも』になる」
４うまい対応のしようがなくて苦しむ。窮する。行きづまる。また、気分的に窮屈である。「生活に—・る」「返答に—・る」「気の—・る思い」
５最後のところまでいく。行きつく。→詰まるところ
６促音で発音される。「—・る音(おん)」
７野球で、ピッチャーの投げた球がバットの芯からはずれた、手もとに近い所に当たる。「シュートで—・らせる」「—・った当たり」
[下接句]息が詰まる・気が詰まる・鐺(こじり)が詰まる・寸が詰まる・世間が詰まる・理に詰まる</t>
        </is>
      </c>
      <c r="D5627" t="inlineStr">
        <is>
          <t>詰まるような沈黙</t>
        </is>
      </c>
      <c r="E5627" t="inlineStr">
        <is>
          <t>留まる；極まる；縮める；溜まる；停滞する</t>
        </is>
      </c>
      <c r="H5627" t="n">
        <v>29</v>
      </c>
      <c r="I5627" t="inlineStr">
        <is>
          <t>それに、もし本気になっても俺は息ひとつ詰まらせることはないだろう。；そうするとこれからも話に詰まるたびに歯が痛み出すのかもしれません。；水の中じゃ息が詰まって、溺れてしまうに決まってるじゃありませんか!；お高は、玉のようなものが上がって来て、咽喉が詰まるような気がした。；尤も、歯が抜けた老犬が魚の骨を喉に詰まらせることはよくある話だが。；箱には芸人たちが芝居をやるのに必要なものがいっぱい詰まっていた。；横原稿は参照用に使用されるため、文字が詰まった状態で表示される。；だが、泥を鼻からすすってしまい、今は鼻の穴が泥で詰まってしまった。；二匹目は目玉が水車の大きさほどもあり銀貨が詰まった箱に乗っている。；彼女は何度も息を詰まらせたように体をこわばらせ、喉の奥でうめいた。；何か釈然としないものが胸に立ち込めて、喉が詰まるような感じがした。；その男の水ぎわ立った美貌に、息が詰まるほどの衝撃を受けたのである。；一瞬、ケースの中には見てはいけないものが詰まっている気がした。；ここにまた大きな本棚があって本が例のごとくいっぱい詰まっている。；ヴァレリアは息が詰まるのではないかと思えるほど、胸をときめかせた。；少なくも彼の頭が鉄と石炭ばかりで詰まっていない証拠にはなるかと思う。；医者が詰まらない道だとは言わないが、私は詰まらない大人になっている。；今まで一度も涙を見せなかったオトンが、言葉に詰まって泣いていた。；「どんな悪い夢を見ていたのかな」 答えようとして、声を詰まらせた。；声を詰まらせて話しかけてきた艦の乗員に、言葉を返す者はいなかった。；その鞄はいっぱい詰まっていて、いつでももち出せるようになっている。；いや、あの男がぼんやりしていて、相手を逃がしてしまうと詰まらねえ。；息を詰まらせながら周囲を確認した俺は、驚きのあまり目を見開いた。；この点が全て埋まる、すなわちダメが全て詰まった石は相手に取られる。；あなたの心の中には確かに沢山の事実に関する知識が詰まっているわ。；そのため、入りやすい山のコウヤマキは全て上が詰まった姿になっている。；それにせっかくの川からの涼風が妨げられるので息が詰まるようである。；病院に連絡するとジュースを気管に詰まらせて呼吸困難になったらしい。；お前の書くものに、そんなに詰まらないものが出来る筈はないのだ。</t>
        </is>
      </c>
      <c r="J5627">
        <f>HYPERLINK("https://www.weblio.jp/content/詰まる", "词义详情")</f>
        <v/>
      </c>
      <c r="K5627">
        <f>HYPERLINK("https://yourei.jp/詰まる", "查看例句")</f>
        <v/>
      </c>
    </row>
    <row r="5628">
      <c r="A5628" t="inlineStr">
        <is>
          <t>罪</t>
        </is>
      </c>
      <c r="B5628" t="inlineStr">
        <is>
          <t>成功</t>
        </is>
      </c>
      <c r="C5628" t="inlineStr">
        <is>
          <t>読み方：ざい
［音］ザイ（呉）　［訓］つみ
［学習漢字］5年
〈ザイ〉
１法にそむいた行い。つみ。「罪状・罪名／断罪・犯罪・微罪・無罪・有罪・余罪・傷害罪」
２刑罪を加える。刑罰。「斬罪(ざんざい)・死罪・服罪・流罪(るざい)」
３悪いこと。あやまち。「罪悪・罪業(ざいごう)／功罪・謝罪・滅罪」
〈つみ〉「罪科(つみとが)」</t>
        </is>
      </c>
      <c r="D5628" t="inlineStr">
        <is>
          <t>罪なき；罪惡；罪を着せられ；罪を軽く；罪証</t>
        </is>
      </c>
      <c r="E5628" t="inlineStr">
        <is>
          <t>非；間違い；犯罪；誤り；犯行</t>
        </is>
      </c>
      <c r="F5628" t="inlineStr">
        <is>
          <t>重い罪；どんな罪；殺した罪；国家反逆罪；恐ろしい罪</t>
        </is>
      </c>
      <c r="G5628" t="inlineStr">
        <is>
          <t>罪悪感；罪悪；罪状；罪深い；罪名</t>
        </is>
      </c>
      <c r="H5628" t="n">
        <v>29</v>
      </c>
      <c r="I5628" t="inlineStr">
        <is>
          <t>キリスト教では、悪意などを宗教的な意味での罪であるとみなしている。；しかしこの点ではもともとラッサールに罪があったわけではなかった。；いずれも指導者だけが罪とされ、率いられて叛いた者は罪とされない。；いくらか首が落とされたのは確かだが、それらは罪ある者の首だった。；本罪の主体は配偶者のある者および相手方となって婚姻した者である。；縁と再会した後は15年前に巴を斬殺した罪に再び苛まれることとなる。；主だった将が戦死することもなく、戦後罪に問われる守護もなかった。；またこのころから教会に出入りし、神や信仰、罪などの問題に悩み始める。；本罪が成立するためには、これら両者がともに危殆化されることを要する。；第一にこの二つの立場の違いは不信の罪に当たるほど広大なものではないと主張した。；西方教会で考えられた罪の償いのために必要なプロセスは三段階からなる。；また、ある種の犯罪では実行行為が終了することではじめて既遂罪となる。；まず、誰かに資産があると噂が立つと、何らかの罪によって告訴される。；ところが、身の危険を感じた呂巽によって先に親不孝の罪で訴えられた。；女性への適用はされずに代わりに杖罪と徒罪の両方を課された。；かつては被害者が女性の場合のみ適用される強姦罪であった。；国政誹謗の罪を着せられて逮捕され、厳しい取り調べを受ける事になる。；人間の罪には、露見したものもあれば隠しおおせたものもあります。；刑法35条の正当防衛に該当するから罪にならない主張もあるが根拠が無い。；率いられた者が罪とされないのは同様である。；罪の償いを行うべき場所であり、それが前提で運営されている。；敵であったとしても人々の死に罪があるのか等の問いかけを行った。；さらに人間の持つ弱さ、罪の性質から来るなどの間違いを正す力を持っている。；ドイツ銀行は罪を認めるか否かは明らかにせず、支払いに同意した。；本罪は、被害者の性別を問わず適用され、また非親告罪となっている。；この裁判では結局発砲を命じた側は罪に問われなかった。；下級審ではあるが、本罪は真正身分犯であるとした判決が出ている。；時間には対立するものを調停する働きがあるので、人間の罪は許される可能性があるのだ。；事故で落ちたと高里が証言したため、突き落とした生徒は罪に問われることはなかった。</t>
        </is>
      </c>
      <c r="J5628">
        <f>HYPERLINK("https://www.weblio.jp/content/罪", "词义详情")</f>
        <v/>
      </c>
      <c r="K5628">
        <f>HYPERLINK("https://yourei.jp/罪", "查看例句")</f>
        <v/>
      </c>
    </row>
    <row r="5629">
      <c r="A5629" t="inlineStr">
        <is>
          <t>積み重ねる</t>
        </is>
      </c>
      <c r="B5629" t="inlineStr">
        <is>
          <t>成功</t>
        </is>
      </c>
      <c r="C5629" t="inlineStr">
        <is>
          <t>読み方：つみかさねる
［動ナ下一］［文］つみかさ・ぬ［ナ下二］
１上へ上へと積んで重ねる。「煉瓦(れんが)を—・ねる」
２次々と物事を重ねてふやしていく。「討議を—・ねる」「キャリアを—・ねる」</t>
        </is>
      </c>
      <c r="D5629" t="inlineStr">
        <is>
          <t>収集；集める；蓄積；集結；集積</t>
        </is>
      </c>
      <c r="H5629" t="n">
        <v>29</v>
      </c>
      <c r="I5629" t="inlineStr">
        <is>
          <t>それは彼女の茶色の汚れた足のそばに、宝石を積み重ねるように落ちた。；パタパタと本を積み重ねるような音を残して車は公園の出口に走って行く。；人類は平和な交通を積み重ねることで徐々に世界市民体制へと向かう。；行動を伴った小さな習慣を積み重ねることで人はついてくる。；この主題もロンド主題同様、動機を積み重ねることにより形成されている。；いずれも屋根は、水平層を階段状に積み重ねる形式になっている。；キカハは三つの椅子を積み重ねると、それをかついでつぎの部屋へはいった。；主部は銀地に3本の黒いシカの角が積み重ねるように配置されている。；むしろ当然と言わんばかりの様子で酷い事を更に積み重ねる。；そもそも植物界の生物では、細胞を既存の体の外側に積み重ねることで成長が行われる。；全くの素人の状態から物語中で経験を積み重ねることで才能を開花させていく主人公もいる。；新聞は積み重ねるとかなり高くて重い山になった。；そうなっているという事実を、どこまでも積み重ねるにすぎない。；次の朝に備え、儀式でも積み重ねるように、夜のプログラムを進める必要があった。；アジアで多くの人気を集め、女優としてのキャリアを積み重ねる。；というよりもこの丘全体が複雑な建物を寄せ集め、積み重ねることでできあがっているようでもあった。；新しい情報入力がないままに推測を積み重ねると、物の見方が歪になってくる。；その後原子炉の減速材である黒鉛のレンガを積み重ねる仕事に移された。；社会人一年目の主人公が忙しい日々を送りながら女の子と恋をして、愛を積み重ねる。；私たちは、それを積み重ねることで世界を豊かにし、輝かせることができると信じています。；そんなことを積み重ねるうち、自分は人間ではなく呪われたお化けだと思うようになっていった。；理解するには、経験を積み重ねる他はないんだよ。；たとえ砂粒のように小さくても、自分の中にそれを見つけ、少しずつ積み重ねるしかない。；僧正のように道を究めた高僧は、何かを積み重ねる行為に価値を見出さない。；二三冊と言えばそれなりの数だと思いますが、ここまで積み重ねる事ができたのもあなた達のおかげです。；だがその一方で努力を続け研鑽を積み重ねる事で天才の一歩手前までにじり寄る者達も確かに居る。；文徴明は徹底した努力を積み重ねることによって才能を得た晩成型の人であった。；シーズンの前半終了を待たずして前年の13勝を上回る勝ち星を積み重ねる。；そうなると不必要に更新を積み重ねる事にもなります。</t>
        </is>
      </c>
      <c r="J5629">
        <f>HYPERLINK("https://www.weblio.jp/content/積み重ねる", "词义详情")</f>
        <v/>
      </c>
      <c r="K5629">
        <f>HYPERLINK("https://yourei.jp/積み重ねる", "查看例句")</f>
        <v/>
      </c>
    </row>
    <row r="5630">
      <c r="A5630" t="inlineStr">
        <is>
          <t>積み立てる</t>
        </is>
      </c>
      <c r="B5630" t="inlineStr">
        <is>
          <t>成功</t>
        </is>
      </c>
      <c r="C5630" t="inlineStr">
        <is>
          <t>読み方：つみたてる
［動タ下一］［文］つみた・つ［タ下二］少しずつ何回かにわたって貯金して、金銭を蓄える。「旅行の費用を—・てる」</t>
        </is>
      </c>
      <c r="D5630" t="inlineStr">
        <is>
          <t>貯金；積む；備蓄；貯蓄；貯める</t>
        </is>
      </c>
      <c r="H5630" t="n">
        <v>29</v>
      </c>
      <c r="I5630" t="inlineStr">
        <is>
          <t>俺なら、その金を好きな映画を撮るための資金に積み立てるのだが。；一時的に大きな支出が必要な冠婚葬祭にかかる費用を積み立てることで、相互に助け合う目的で始まった。；デパートの近くの銀行に口座をひらき、万引女から巻きあげた金を積み立てることにした。；基本的に「財形貯蓄専用の金融商品」を介して積み立てることになる。；この積立金を見返り資金と呼び、アメリカが金額を通告すると同時に積み立てることとされた。；節目の年には基金を積み立てることにより、なにかしら大きな買い物をすることがある。；準備率の変更を直接金融政策に利用するかわりに、中央銀行は銀行が法定準備額を積み立てる速度を調整して金融調節に利用してきた。；基金のうち、特定目的のために財産を取得し、又は基金を積み立てるための基金は、当該目的のためでなければ処分できない。；Medisaveはそれぞれの市民個別の口座に医療貯蓄を積み立てる方式の制度であり、この貯蓄は家族全体で共有して利用できる。；小さい方の砂丘が大きな砂丘に追突するとき、風が前方の砂丘の砂を補充させることなく吹き飛ばさせる一方で後方の砂丘の上に砂を積み立てる。；被援助国は、受け取った援助のうち直接贈与分と同額の自国通貨を積み立てることが義務付けられた。；日露戦争時に捕虜となって大阪の浜寺および愛媛の松山に収容されたロシア人たちが、永眠した仲間の安息のためにそれぞれの地に聖堂が建立されることを願い、献金を積み立てるようになった。；勝者はこれまでに積み立てた賞金に加え敗者の賞金も積み立てる。；また、不正解の場合にキャリーオーバー形式で賞金を積み立てるクイズを出題していた時期もあった。；その将来を睨みながら、積み立てるべきものは早いうちから積み立てたし、分け与えるべきものは早いうちから分け与えた。；保険業法施行規則第七十三条では、普通支払備金とIBNR備金に分けて積み立てることが求められている。；こういった場合に当せん準備金の残余を、次回の当せん準備金に積み立てることをキャリーオーバーと呼ぶ。；これは、藩士の知行や扶持米のうち、100分の1を積み立てる貯金のようなものであった。；「増資」機能でマニーを積み立てることで、LIVEバトルで支援効果を得ることができる施設を増築することができるほか、増資に応じて発展度が上昇し、一定値に到達するとプロダクションのレベルが上がる。；その価格は常識はずれの安値で製油所の全資産を手に入れたうえに、無税の利益を十五年間積み立てることもできるのである。；村ではこの補償金を、送電線による野菜への被害があった場合に備えて基金化し、残った分で総合文化施設を建設するための教育施設整備基金を積み立てることにした。；それは三年から五年の計画でハネムーン費用を積み立てると、満期にはエンゲージリングや旅行鞄の割引特典を受けられるという、若い男向けに作られたなんとも夢のない商品だったが、客の反応は予想以上に良いらしい。；複々線工事といった、費用のかかる大規模な工事費用を、利用者から前払いの形で費用を受けて積み立てる形で資金調達を容易にすることで、大規模な工事を促進する目的で創設された制度で、工事終了後は上乗せ分がなくなるため、運賃が下がる。；この法定準備額を、その月の16日から翌月の15日までの間に日銀当座預金に積み立てることが義務付けられている。；この決定に対して、和邇地区は当初反対の意を表明していたが、びわ湖ローズタウンの建設に伴い和邇地区にも中学校を新設する予定であり、そのために基金を積み立てるという町長の言質によって移転に同意した。；それぞれの目的別口座には、何のための資金を積み立てる口座なのかを表す名前を「自動車購入用」、「海外旅行用」などと任意につけることができ、目標とする金額や期日を設定すると、目標金額の達成率がウェブサイト上でグラフと数値で表示される。；なお、IBNR備金はすでに退院しているが保険会社に保険金請求がなされていない金額を積み立てるものである。；ただし、「ストップ3」の予想も外れて賞金が出なくても、その賞金を次週に積み立てることはできなかった。；また、インフラ整備などのために町で積み立てる救済基金ともいえる「七分積金」を江戸の各町に対して命じた。</t>
        </is>
      </c>
      <c r="J5630">
        <f>HYPERLINK("https://www.weblio.jp/content/積み立てる", "词义详情")</f>
        <v/>
      </c>
      <c r="K5630">
        <f>HYPERLINK("https://yourei.jp/積み立てる", "查看例句")</f>
        <v/>
      </c>
    </row>
    <row r="5631">
      <c r="A5631" t="inlineStr">
        <is>
          <t>積む</t>
        </is>
      </c>
      <c r="B5631" t="inlineStr">
        <is>
          <t>成功</t>
        </is>
      </c>
      <c r="C5631" t="inlineStr">
        <is>
          <t>読み方：つむ
［動マ五（四）］
１物の上にさらに物を置く。次々と重ねる。「うずたかく—・まれた商品」「ブロックを—・む」
２運ぶために車や船などに荷をのせる。「トラックに新米(しんまい)を—・む」「原油を—・んだタンカー」
３物事を繰り返し行う。重ねてする。「練習を—・む」「経験を—・む」
４たくわえる。ためる。「巨万の富を—・む」「定期預金に—・む」
５しだいに高く重なる。つもる。「降り—・む雪」
[可能]つめる
[用法]つむ・かさねる——「煉瓦(れんが)を積んで（重ねて）塀を作る」など、同種の物を上に置くの意では相通じて用いられる。また、「練習を積む（重ねる）」のように、同種の事柄を繰り返す意でも相通じて用いられる。◇「積む」はある物の上に何かを数多く置くこと。「煉瓦を積む」のように同質の物を置く場合も、「車に荷物を積む」のように異質の物を載せる場合もある。後者の場合「重ねる」で置き換えられない。◇「重ねる」は同質の他の物を添え加えること。上に載せていくとは限らない。「紙を重ねてとじる」「着物を重ねて着込む」「失敗を重ねる」などを「積む」で置き換えることはできない。また、「重ねてお願いします」も「積む」では置き換えられない。</t>
        </is>
      </c>
      <c r="D5631" t="inlineStr">
        <is>
          <t>積むべき；積むべく</t>
        </is>
      </c>
      <c r="E5631" t="inlineStr">
        <is>
          <t>搭載；重ねる；積載；貯金；乗せる</t>
        </is>
      </c>
      <c r="F5631" t="inlineStr">
        <is>
          <t>積めば積む</t>
        </is>
      </c>
      <c r="H5631" t="n">
        <v>29</v>
      </c>
      <c r="I5631" t="inlineStr">
        <is>
          <t>もう少し経験を積ませてからの方がよい成績を収められたと語っている。；こういったことは経験を十分積んだ人間でなければ試みるべきではない。；彼は船に積まれた財宝が自分を自由の身にするのに役立つと信じていた。；操作も簡単で特別に訓練を積んだ専門家でなくても扱うことができた。；今回のような状況で適切な判断が出来るよう経験を積まなければいけない。；そしてニューヨークとロンドンの劇場で演技の経験を積むことを決意した。；こんなことは自然の能力であって、稽古を積んで得られることではない。；駅裏のヤードには木材が野積みされているが、当線は利用されていない。；列車に積まれていたのはケーンヒルで負傷した兵士のための物資だった。；これは才能あるイタリア人にF1経験を積ませることを目的としていた。；若い学年の内から、より多くの試合経験を積ませる動きが始まっている。；ひとひとつが人間の頭ほどもある石が、山と積まれているのが見えた。；逆に思考をしないためには心を空にする特別な修練を積む必要がある。；スペックを積む活動には時間や費用がかかるため学生の負担となっている。；このため輸送量が多い時は缶の上に板を置いて二段積みにしていた。；かつては自転車に看板を積み、狭い路地に分け入って貼って回っていた。；しばらく私たちは、汚れた皿が山と積まれたテーブルを前にして坐っていた。；そのまわりには純金の塊やさまざまな色合いの宝石が山と積まれている。；元々は油の缶を積むための油輸送車として使われ始めたのが最初であった。；訓練を積んだ大人の絵画と比較すると、一般的に次のような傾向がみられる。；アマチュアチームに所属して自転車競技の経験を積んでいくことになる。；そこで老女は、積んだ臼の一番下の一つを抜いて上に積むように言った。；各キャラクターは戦闘で経験を積むことでレベルアップが可能である。；残りのタイルは7枚ずつ裏向きに積んで山としてテーブルに並べておく。；その時になればアメリカは専門的な訓練を積んだ士官が必要となる。；地方で経験を積んだ後、中央に戻って中央の差遣と寄禄官を与えられる。；北西側の大石や積み石群をA地区、南東側のものをB地区と呼んでいる。；彼らは単に船に荷物を積むか、それとももう一つの道を選ぶか選択させられた。；その後プロに転向すると、地元大阪を中心に大会へ出場し経験を積む。</t>
        </is>
      </c>
      <c r="J5631">
        <f>HYPERLINK("https://www.weblio.jp/content/積む", "词义详情")</f>
        <v/>
      </c>
      <c r="K5631">
        <f>HYPERLINK("https://yourei.jp/積む", "查看例句")</f>
        <v/>
      </c>
    </row>
    <row r="5632">
      <c r="A5632" t="inlineStr">
        <is>
          <t>摘む</t>
        </is>
      </c>
      <c r="B5632" t="inlineStr">
        <is>
          <t>成功</t>
        </is>
      </c>
      <c r="C5632" t="inlineStr">
        <is>
          <t>読み方：つまむ
［動マ五（四）］
１指先ではさむ。指先や箸(はし)などではさみもつ。「鼻を—・む」「塩をちょっと—・む」
２指先などで取って食べる。また、手軽に食べる。「一つ—・んでください」「すしを—・む」
３重要なところを抜き出す。かいつまむ。「要点を—・んで話す」
４（多く「つままれる」の形で用いる）狐(きつね)などが人をだます。化かす。「まるで狐に—・まれたような話」
５俗に、生検を行うこと。「胃の組織を—・む」
[可能]つまめる
[用法]つまむ・はさむ——「箸(はし)でつまんで（挟んで）皿に移して下さい」など、間に入れて持つの意では相通じて用いられる。◇「つまむ」は指先または箸などの先を使った動作で、「鼻をつまむ」「箸で煮豆をつまんで食う」のように用いる。◇「挟む」は二つの物の間に何かを入れて動かないようにすることで、「両脚で挟んで締めつける」「小脇に挟む」のように、道具に特別の限定がない。◇「すしをつまむ」「菓子をつまんでください」などの「つまむ」は取り上げて食べる意で、「挟む」とは言わない。◇「机を挟んで向き合う」「人の話に口を挟む」などの「挟む」は「つまむ」に置き換えることはできない。</t>
        </is>
      </c>
      <c r="D5632" t="inlineStr">
        <is>
          <t>摘むべく；摘むべき</t>
        </is>
      </c>
      <c r="E5632" t="inlineStr">
        <is>
          <t>取る；引く；要する；抜く；取り出す</t>
        </is>
      </c>
      <c r="H5632" t="n">
        <v>29</v>
      </c>
      <c r="I5632" t="inlineStr">
        <is>
          <t>こういう果物を摘んだり家に持って帰ったりするのはひと仕事であった。；摘むべき人の手がない野にあっても、ますます美しくなるばかりである。；けれども、この花は仏に捧げようと思って摘んで来た花ではありません。；これは寧ろ細君の方が先に見つけそして彼女の好みで摘んだものである。；その姿勢が弟子の可能性の芽を摘んでいたことも否定できない面である。；彼女はクルマバソウの小枝をいくつか摘んで、彼のところにもってきた。；せっせと何か摘んでは口に運んでいるその子供たちは振り返りもしない。；摘んだものではいる金よりも、摘むために払う金のほうが高くつくのよ。；摘んだものではいる金よりも、摘むために払う金のほうが高くつくのよ。；もつとも一輪摘んで鼻の先に持つて來れば匂ふであらうがそれでは困る。；劉東夏の眠っているのを見すまし、そっと手を伸ばして鼻を摘もうとする。；もしもあれほど禁止されても、きれいな花だからと摘んだらどうしよう。；口髭をきちんと摘んである様は、そんなに無頼なものとも思われないが。；ほんとうの恋など歌の中だけ、それならば、摘んでみましょう、夜の街。；その摘んだ名が誰に当っているか、その当った子供が法王となるのです。；口を開けて眠っている彼の顔がマヌケなものに思えてきて、彼の鼻を摘んだ。；短い髪は毎日摘んでいるのではないか、と思うほどきちんとしていた。；三人とも言い合わせたように、着物の裾を指で摘まんで持ち上げていた。；彼女は家の前の道傍で、草花を摘んでゐたのだが、それから分らない。；また、この日の前夜に摘む薬草には、特に効果があると信じられている。；一本の木は頭を摘まれると、根の近くに好んで新しい芽を出すものである。；この少年には司教が夢中になっていて、初物は彼が摘むことになっていた。；あれを摘むには湖を半分回っていかなければならないけれどね。；真は鼻を摘んで左右に振った後、ペダルの消失した金属部分に足をかける。；お道が、日が暮れるまで芹を摘まうと、籠を下げて後ろから附いて來た。；教えられたとおり、両足の指先が海中に入るのと同時に右手で鼻を摘む。；古代ポリネシアでは神聖なものとされ、王族のみに摘むことが許された。；それを私たちは新聞紙に載せて、膝の上にひろげ、摘まみながら進んだ。；小さな薄暗い独房の隅に咲いた白い花から白い実を摘んで口にしました。</t>
        </is>
      </c>
      <c r="J5632">
        <f>HYPERLINK("https://www.weblio.jp/content/摘む", "词义详情")</f>
        <v/>
      </c>
      <c r="K5632">
        <f>HYPERLINK("https://yourei.jp/摘む", "查看例句")</f>
        <v/>
      </c>
    </row>
    <row r="5633">
      <c r="A5633" t="inlineStr">
        <is>
          <t>爪</t>
        </is>
      </c>
      <c r="B5633" t="inlineStr">
        <is>
          <t>成功</t>
        </is>
      </c>
      <c r="C5633" t="inlineStr">
        <is>
          <t>読み方：そう
［常用漢字］　［音］ソウ（サウ）（漢）　［訓］つめ　つま
〈ソウ〉つめ。「爪牙(そうが)・爪痕(そうこん)／美爪術」
〈つめ（づめ）〉「生爪・深爪」
〈つま〉「爪先・爪楊枝(つまようじ)」
［難読］爪哇(ジャワ)</t>
        </is>
      </c>
      <c r="D5633" t="inlineStr">
        <is>
          <t>爪さき；爪状；爪あと；爪尖；爪先だち</t>
        </is>
      </c>
      <c r="E5633" t="inlineStr">
        <is>
          <t>鉤；フック；ピック；ホック；ネール</t>
        </is>
      </c>
      <c r="F5633" t="inlineStr">
        <is>
          <t>かぎ爪；長い爪；赤い爪；銃爪；鈎爪</t>
        </is>
      </c>
      <c r="G5633" t="inlineStr">
        <is>
          <t>爪痕；爪先立ち；爪楊枝；爪跡；爪弾き</t>
        </is>
      </c>
      <c r="H5633" t="n">
        <v>29</v>
      </c>
      <c r="I5633" t="inlineStr">
        <is>
          <t>上に置いた物が安定するように足や環に爪や網がついている場合もある。；これは爪の本来の機能の代用ではなく、自然の爪の拡張となる物である。；本物と異なり、頭頂部から口へのエッジと両手の爪が黄色になっている。；人間の手の爪が完全に再生するには半年から1年、足の爪は倍必要となる。；ヘナで爪を染めた女性の五本の指に見えることを由来とする呼称である。；前述した1992年の事故以降、足の小指から爪がなくなってしまった。；あずさの爪からは誰かを引っ掻いたのか人間の皮膚組織が発見された。；木に登ったり、発達した前肢と爪を使って素早く穴を掘ることもできる。；葉の付け眼に特徴的な太い猫の爪のようなトゲが生えたつるの灌木である。；指や爪、あるいは様々な毛の束があり、それなりの機能を果たしている。；この名前は彼の生まれた日にちなみ、彼の個人名はジャガーの爪である。；足に鋭い爪があり、それを引っ掛けて木の幹や枝の上を走ることができる。；爪には自ずから巻く力があり、歩くことで逆に巻きを広げる力がかかる。；骨格は全て取り除かれているため、残っているのは爪と指骨だけである。；長い爪のあるファーストミットを日本で初めて使用したのが永沢とされる。；ただし爪が強く湾曲していても、痛みや炎症がなければ治療の必要はない。；その下には三本の爪のような触手が生えた禍々しいAIDAの腕があった。；背中に巨大な一対の角や鋭い爪があるが特に目立った武器ではない。；これは爪と毛が構造的に非常に類似しているからである。；あちこちに爪を伸ばし食い込んでゆく様子をこの言葉で表現した。；紋章には下端がつながった赤い爪のある黒いクマの手が描かれている。；外部から見える形の例では、先のニシキヘビの後肢の爪が有名である。；最初の蓋板の中央には、先端に1対の爪状の棘を備わった生殖肢がある。；手にはそれぞれ3本の指があり、その先には湾曲した大きな爪が付いていた。；左側は銀色逆向き斜め帯の下に赤い爪と舌を持った左右逆向きの黒い獅子。；しかし遺体の爪が変色していたので毒殺または服毒自殺の疑いもある。；灯りを照らしてよく見ると、自分の足の指の爪が剥がれているだけだった。；ただし第1脚の爪間盤と爪は退化的で、種類により消失した場合もある。；曲鼻猿亜目と広鼻下目の一部では平爪のほかに鉤爪をそなえる種もある。</t>
        </is>
      </c>
      <c r="J5633">
        <f>HYPERLINK("https://www.weblio.jp/content/爪", "词义详情")</f>
        <v/>
      </c>
      <c r="K5633">
        <f>HYPERLINK("https://yourei.jp/爪", "查看例句")</f>
        <v/>
      </c>
    </row>
    <row r="5634">
      <c r="A5634" t="inlineStr">
        <is>
          <t>詰め切る</t>
        </is>
      </c>
      <c r="B5634" t="inlineStr">
        <is>
          <t>成功</t>
        </is>
      </c>
      <c r="C5634" t="inlineStr">
        <is>
          <t>読み方：つめきる
［動ラ五（四）］
１絶えずその場所にいる。勤務したり待機したりして、居続ける。「事件の解決まで警察署に—・る」
２すっかり詰める。全部詰めてしまう。「荷物を—・る」</t>
        </is>
      </c>
      <c r="H5634" t="n">
        <v>29</v>
      </c>
      <c r="I5634" t="inlineStr">
        <is>
          <t>錢形の平次も三日詰め切りましたが、さて何の役にも立ちません。；銭形の平次も三日詰め切りましたが、さて何の役にも立ちません。；高速で最後の木々と闇をくぐり抜け、風見は最後の距離を詰め切った。；それは政孝が山崎工場に詰め切っている日曜日の午前中のことだった。；で、母親が、親にも頼んで、夜も詰め切ってもらったそうで。；石井三右衛門の邸は、大変な騒ぎになりましたが、まだ、正気付いたばかりで、二人の医者が詰め切りで様子を見ている主人の三右衛門には聞かせるわけにいきません。；大越甚右衛門とその一味の者共は、自宅へも帰らず義明の側に詰め切りにしていた。；そこには医師と看護婦とが絶えず詰め切っているのだが、それを以て足れりとせず、望月少佐は事件前まで五十嵐博士夫人の寝室であった部屋を占領して、昼も夜も老博士の見張りをつづけているのであった。；父の常陸介は聚楽第に詰め切りの日常だから、ほとんど肉親の、親身の愛情からは縁のなくなった寿助である。；後は小網町の仙太と、その子分共が詰め切つて、鵜の目鷹の目で見張つて居ります。；加奈子はお民と一緒に京子の部屋へ詰め切りで、何かと京子の気に向く事をしてやった。；吉良が、下検分に来るという日なので、替りの人々は、早朝から詰め切って、不安な胸でいた。；石井三右衞門の邸は、大變な騷ぎになりましたが、まだ、正氣付いたばかりで、二人の醫者が詰め切りで樣子を見て居る主人の三右衞門には聞かせるわけに行きません。；その看病に手が足りないので、店の方から小僧を一人よこしてくれと云うことでしたから、あの音吉をやりましたところが、あれは横着でいけないというので一日で帰されまして、その代りに徳次郎をやりますと、今度は大層お此さんの気に入りまして、病人の起きるまで隠居所の方に詰め切りでございました。；後は小網町の仙太と、その子分どもが詰め切って、鵜の目鷹の目で見張っております。；ただ、呼吸だけは微かに通っていたので、家人、弟子達は、枕頭、次の間に詰め切っていた。；久光の側近の者等は、連日御殿へ詰め切りで、後始末のことを相談して、所司代や朝廷の意向もうかがった上で、つい今申したように決定しました。；このときから、杉原秀が関屋村に詰め切り、井関助太郎と豊松を護衛することになった。；夏からこちら、漆離伯要はずっと、長泉の野に建設中の新都に監督として詰め切りである。；「大御所危篤と聞いて、石翁があわてて城に駆けつけ、ずっと詰め切りでいる理由が判るか」 又左衛門は眼までぎらぎらさせた。；尤も、まだ暫くは安静を要するとのことだったので、その当座はお春が毎日蘆屋から通い、朝早くから夜遅くまで詰め切って食事その他の世話を焼いたが、そうこうするうちに花と云う花は一重も八重も残らず散り、菊五郎は大阪を打ち上げて行ってしまった。；御殿へ詰め切りだということであった。；必然的にアキトは、コクピットにほぼ詰め切りであった。；僧たちは御堂では三日三夜壇上に詰め切りで、春日、白子両社でも二夜三日の修法勤行を行なった。；しかし、勲章が一度に何千人にも下賜されるようになると、大量の叙勲状に国璽を押す必要があり、尚書府秘書官が内廷内の皇帝御居間に詰め切りとなる事態が起こったため、再度奏請を行い、毎朝、両璽の下げ渡しを受けて尚書府大臣室に保管し、夕方に内廷へ戻す運用に改めた。；昼御番は、老中若年寄の登城前に出頭し、夕御番というのはつまり当直で、申刻に出仕して朝請取御番が来るまで城中に詰め切るのである。；結局彼女は、朝六時開店、夜七時閉店とし、十三時間も、せまい売店に詰め切りという重労働をこなさなければならなくなりました。；三日の間城内へ詰め切りでございまして、漸う歸宅いたしますと町方の病家から、見舞の催促が矢を射るやうで、其處をどうにか切り拔けてまゐりました。；靈岸島の瀧五郎といふ土地の御用聞が、子分と一緒に朝つから詰め切つて、御檢屍前に下手人の目星でもつけようと、一生懸命の活躍を續けてゐる眞つ最中でした。</t>
        </is>
      </c>
      <c r="J5634">
        <f>HYPERLINK("https://www.weblio.jp/content/詰め切る", "词义详情")</f>
        <v/>
      </c>
      <c r="K5634">
        <f>HYPERLINK("https://yourei.jp/詰め切る", "查看例句")</f>
        <v/>
      </c>
    </row>
    <row r="5635">
      <c r="A5635" t="inlineStr">
        <is>
          <t>冷たい</t>
        </is>
      </c>
      <c r="B5635" t="inlineStr">
        <is>
          <t>成功</t>
        </is>
      </c>
      <c r="C5635" t="inlineStr">
        <is>
          <t>読み方：つべたい
［形］「つめたい」に同じ。「手が—・い」</t>
        </is>
      </c>
      <c r="D5635" t="inlineStr">
        <is>
          <t>冷たい風(7%)；冷たい水(5%)；冷たいもの(5%)；冷たい空気(4%)；冷たい汗(3%)</t>
        </is>
      </c>
      <c r="E5635" t="inlineStr">
        <is>
          <t>寒い；寒さ；冷え；冷；冷酷</t>
        </is>
      </c>
      <c r="F5635" t="inlineStr">
        <is>
          <t>冷たい態度；冷たい光；冷たい感じ；冷たい表情；冷たい石</t>
        </is>
      </c>
      <c r="G5635" t="inlineStr">
        <is>
          <t>冷たい海；冷たい戦争；冷たい頬；冷たい月；冷たい花</t>
        </is>
      </c>
      <c r="H5635" t="n">
        <v>29</v>
      </c>
      <c r="I5635" t="inlineStr">
        <is>
          <t>熱が出たのではないかと不安になり、額に手を当ててみたが冷たかった。；冷たいカリフォルニア海流のために海岸近くで霧が発生することが多い。；冷たい空気は重いので患者の方に流れて行き、床に近い開口部に抜けた。；水に入るときは冷たかったけれども、慣れてくると気持ちがよくなった。；君の冷たさが次第に何か他のものによつて取つて代られて行くのだつた。；そこから研ぎ颪されて来る風は春とも思えない針の冷たさを含んでいる。；彼はその冷たい光の中にやっと彼の前に展開する人間喜劇を発見した。；しかし兵隊が戸の外にでたとき、彼らの背に投げたその眼は冷たかった。；お前は六〇〇フィートもの深さの、暗くて冷たい水の中にいるんだろう。；この冷たさうな毒は決して人に飮ませるものではないやうな強さもある。；冷たかったが腹が減っていたから喉の奥へ吸い込まれていくようだった。；パッケージも初期は持つと非常に冷たかったが、現在は改善されている。；しかし北西と北斜面は冷たい気温のために氷河を造ることを可能にする。；からだがその響きにつれてゆらゆら動いて、みうちが骨まで冷たかった。；麺類の温かい・冷たいは問わないが、一般的には冷たいものの方が多い。；彼らは風の冷たさに逆らって燃えている車からの熱を感じることができた。；ぼくは、それを言った時の君の、眼の冷たさを忘れることができません。；とはいうものの、彼の絵は決して生気がないわけでも冷たいわけでもない。；私は冷たい儘をよりよしとなして数杯飲んだが一向に反応を感じなかった。；最初は冷たい人だと思うかもしれないけど、彼は頼りになる人だから。；その握った手の冷たい事ッたら、まるで氷のようじゃありませんか。；それは今日の夕方、父が自分に向って投げつけた冷たさと酷似していた。；茂吉はその自分の、人に対する冷たさを思って歌にしたのだと思います。；冷たい風に肘の傷跡が痛み出すと彼女の心も微かに疼き出すのであった。；潜水力・泳力に優れていて、冷たい水の中でも難なく泳ぐことが出来る。；私の冷たさは現実の冷たさであると云へば、詭弁を弄すると人は云はう。；それが私の体の冷たさを抽きだし、両方が私の背骨の下で癒着しました。；雨があがって、空は珍しいほどきれいに晴れていたが、風が冷たかった。；その声にふと眼がさめた時、涙は実際彼の煩に、冷たい痕を止めていた。</t>
        </is>
      </c>
      <c r="J5635">
        <f>HYPERLINK("https://www.weblio.jp/content/冷たい", "词义详情")</f>
        <v/>
      </c>
      <c r="K5635">
        <f>HYPERLINK("https://yourei.jp/冷たい", "查看例句")</f>
        <v/>
      </c>
    </row>
    <row r="5636">
      <c r="A5636" t="inlineStr">
        <is>
          <t>詰める</t>
        </is>
      </c>
      <c r="B5636" t="inlineStr">
        <is>
          <t>成功</t>
        </is>
      </c>
      <c r="C5636" t="inlineStr">
        <is>
          <t>読み方：つめる
［動マ下一］［文］つ・む［マ下二］
１容器などに物を入れていっぱいにする。ぎっしり入れてすきまがないようにする。「衣装を—・めた鞄(かばん)」「料理を重箱に—・める」
２穴やすきまに物を入れてふさぐ。「虫歯を—・める」
３長さを短くする。寸法や間隔を縮める。「着物の丈(たけ)を—・める」「細かい字で—・めて書く」「席を—・めて座る」
４節約する。きりつめる。「生活費を—・める」「経費を—・める」
５最後の所まで行く。「沢筋を—・める」
６十分に検討し尽くして物事の決着がつくようにする。煮つめる。「話を—・める」「議論を—・める」
７相手にきびしくせまる。追い込む。追い詰める。「失敗した部下を—・める」
８将棋などで、王将の逃げ場がないようにする。「王手王手で敵玉を—・める」
９たゆまずその事を続けてする。かかりきりになる。「—・めて仕事をする」「根(こん)を—・める」
10（「息をつめる」の形で）呼吸を止める。「息を—・めて成り行きを見守る」
11（「指をつめる」の形で）謝罪などの意志を表すために指を切り落とす。関西地方では、ドアなどに指をはさむことをいう。「指を—・めてわびを入れる」
12決まった場所に出向き、用事に備えて待機する。出仕して控えている。「首相官邸に—・める」「持ち場に—・める」
13（動詞の連用形に付いて）
㋐身動きできないような状況に追いこむ。行きづまらせる。「問い—・める」「追い—・める」
㋑最後・限度まで…する。また、休みなく続けて…する。「のぼり—・める」「通い—・める」
㋒一面に…する。「敷き—・める」「タイルを貼り—・める」
[下接句]息を詰める・石で手を詰める・根(こん)を詰める・道理を詰める・指を詰める</t>
        </is>
      </c>
      <c r="D5636" t="inlineStr">
        <is>
          <t>詰めるべき；詰める形で付番</t>
        </is>
      </c>
      <c r="E5636" t="inlineStr">
        <is>
          <t>満たす；カット；短縮；注ぐ；埋める</t>
        </is>
      </c>
      <c r="F5636" t="inlineStr">
        <is>
          <t>昇り詰める；考え詰める；視詰める；思ひ詰める</t>
        </is>
      </c>
      <c r="H5636" t="n">
        <v>29</v>
      </c>
      <c r="I5636" t="inlineStr">
        <is>
          <t>彼を捕らえることはできても、もはやその距離を詰めることはできない。；代々木が四人の部下ともども指を詰めることになった原因がこれだった。；髪を引詰めるように結っているので、眼尻がすこし上に引きつれている。；カンに詰める作業工程をとり入れたのはやっと最近になってのことなの。；まだ状況のよくわかっていない目の前の犬へ、一瞬で距離を詰める。；俺は一定に取っていた距離を詰めると同時に、声をかけて存在を知らせる。；まるで酒屋がビールを詰める古樽をさがして回っているみたいなもんさ。；その後、正式に空港事務所に取材に行き、詳細を詰める作業を行った。；クーラーボックスを右に抱えたまま、彼女は騎士との距離を一瞬で詰める。；指を詰めるまでした息子の胸のうちと、残酷な痛みを思ったようすだった。；棺を詰めるのは花にしてくれといつて置くのを忘れたから今更仕方が無い。；直接王手を掛けるよりも、詰めろに持っていくための縛りが大事なのだ。；棺を詰めるのは花にしてくれといって置くのを忘れたから今更仕方がない。；議場は静まり返って、誰もが息を詰めるように結果が出るのを待っている。；だが石栗道場では、攻撃のときにこの四間の距離を一瞬にして詰める。；何度か口を開きかけ、しかしつぐみ、竜児の腕の中で亜美は息を詰める。；たしかに、ここの住民はみんなそうやってリュックに荷物を詰めるよ。；久住は前川に詰めることのできぬ差をあけられてしまったのである。；動物の中に他の動物を詰めることも昔から行われている。；光り石を籠にいっぱい詰めると、貯蔵所へおりていって調べはじめた。；例えば、磨耗が激しくなって箱に詰めるシリアルの量が増えたとする。；出てきた対処策は未熟だが、そのあたりを詰めるのは専門家の役だ。；これを受けて、詳細を詰めるための東京市区改正委員会が発足した。；間合いを詰めるまでに爪がベイキの喉を切り裂く時間は充分にあった。；伯爵との距離を詰めることができず、Dは攻撃を避けて風のように移動した。；人が人の姿と尊厳を保ったまま、どこまで昇り詰める事ができるのか。；それを隙と見て、異形は一気に間合いを詰めると、体を上へ伸ばした。；驚いて、急いでいるにもかかわらず動きを止めて息を詰める。；レシピには、ぎっしりと空気が入らないように詰めるのがコツ、とある。</t>
        </is>
      </c>
      <c r="J5636">
        <f>HYPERLINK("https://www.weblio.jp/content/詰める", "词义详情")</f>
        <v/>
      </c>
      <c r="K5636">
        <f>HYPERLINK("https://yourei.jp/詰める", "查看例句")</f>
        <v/>
      </c>
    </row>
    <row r="5637">
      <c r="A5637" t="inlineStr">
        <is>
          <t>つもり</t>
        </is>
      </c>
      <c r="B5637" t="inlineStr">
        <is>
          <t>成功</t>
        </is>
      </c>
      <c r="C5637" t="inlineStr">
        <is>
          <t>読み方：つもり
津を守る人。港を守る番人。
「住吉(すみのえ)の—網引(あびき)の浮けの緒の浮かれか行かむ恋ひつつあらずは」〈万・二六四六〉</t>
        </is>
      </c>
      <c r="D5637" t="inlineStr">
        <is>
          <t>つもりじゃない；つもりでございます；つもりであつ；つもりなんでしょ；つもりでいたん</t>
        </is>
      </c>
      <c r="E5637" t="inlineStr">
        <is>
          <t>考え；意向；内心；思惑；本心</t>
        </is>
      </c>
      <c r="F5637" t="inlineStr">
        <is>
          <t>いくつもり；そんなつもり；つもりなんか全然；つもりなんだい；つもりか知りませ</t>
        </is>
      </c>
      <c r="H5637" t="n">
        <v>29</v>
      </c>
      <c r="I5637" t="inlineStr">
        <is>
          <t>生徒はよく書けたつもりでいたが、先生の発言は次のようなものだった。；また政府では勧誘時の約束を守るつもりがなかったことも発覚している。；それを邪魔立てするつもりなら祖母の国との対決も辞さない覚悟だった。；大学で競技者としての生活は終えて卒業後は教師になるつもりでいた。；したがって労働に従事させる者もいずれは殺害するつもりであった。；一度限りの結成のつもりだったが人気に火がつき、その後も旅回りをする。；だますつもりは無かったが、契約を得るための唯一の手段だったと語った。；彼らは戦闘用に改造したロボット軍団で世界を征服するつもりである。；しかし、荒木は「子ども向けに描いたつもりはない」とも発言している。；しかしこの時点でもヒトラーは積極的に対ソ接近に動くつもりはなかった。；しかし本人は数日中に公表するつもりであったと主張した。；ベヴィンはヨーロッパ各国に招請状を出すつもりであることを告げた。；半ば自殺のつもりで相手は誰でも良かったのではという指摘もある。；先生たちに反乱を起こすつもりなので助けにきてください!；本人は断るつもりだったが周囲の薦めで襲名することになったという。；この時は1年程でブラジルに帰国し、代表入りを再び目指すつもりでいた。；城内は抗議を受けた後も「ポスターを撤去するつもりはない」としていた。；これらが狂言自殺だったのか、本当に自殺するつもりだったのかは不明である。；音叉の様な形をしていて、これを叩くとやっていない事もやったつもりになる。；それまで本人は、デパートにでも就職するつもりだったと語っている。；妻と復縁できなければ拳銃自殺するつもりだと書かれていた。；問題リストおよびその議論の方法が影響力を与えるつもりで作られたのは明らかである。；当初レネは広島を舞台としたドキュメント作品を手掛けるつもりであった。；文吾は、「もし自分まで失敗したら腹を切って死ぬつもりだった」という。；教皇は自分に有利な方であれば、どちらにでもつくつもりだった。；単なる威嚇に過ぎず、イギリスに本気で戦争を起こすつもりはないと考えていた。；紫織と結婚するつもりでいても、心の底ではマヤをあきらめきれない。；この問題がなければUAはもっと早く公開するつもりでいた。；それによるとフランス軍はロートリンゲンに攻撃をかけてくるつもりであった。</t>
        </is>
      </c>
      <c r="J5637">
        <f>HYPERLINK("https://www.weblio.jp/content/つもり", "词义详情")</f>
        <v/>
      </c>
      <c r="K5637">
        <f>HYPERLINK("https://yourei.jp/つもり", "查看例句")</f>
        <v/>
      </c>
    </row>
    <row r="5638">
      <c r="A5638" t="inlineStr">
        <is>
          <t>積もる</t>
        </is>
      </c>
      <c r="B5638" t="inlineStr">
        <is>
          <t>成功</t>
        </is>
      </c>
      <c r="C5638" t="inlineStr">
        <is>
          <t>読み方：つもる
［動ラ五（四）］
１物が次々に重なって高くなる。一面に多くたまる。「雪が—・る」「ほこりが—・る」
２物事が少しずつたまって多くなる。次々と加わってふえる。「不平が—・る」「—・る思い」「—・る話」
３時や日が重なる。時間が経過する。「日数が—・る」
４あらかじめ計算をして見当をつける。値段・数量などを概算する。見積もる。「工事費を—・ってみる」「安く—・っても一万円をくだらない品」
５推測する。おしはかる。「人の心を—・る」
６酒宴で、この酌で終わりにする。おつもりにする。
「盃の手もとへよるの雪の酒—・る—・ると言ひながら飲む」〈徳和歌後万載集・四〉
７見抜いてだます。見くびってばかにする。
「さりとは憎いと言はうか、—・られたと申さうか」〈浮・万金丹・三〉</t>
        </is>
      </c>
      <c r="D5638" t="inlineStr">
        <is>
          <t>思う；計算；予想；推定；推測</t>
        </is>
      </c>
      <c r="H5638" t="n">
        <v>29</v>
      </c>
      <c r="I5638" t="inlineStr">
        <is>
          <t>チェーンを用意してきていないのだから、積もってもらっては困るのだ。；第八層に積もった雪で遊んでいるうちに酸欠でバタバタと倒れていった。；まあありがちな展開だし、心積もりもしてあったから驚くことでもない。；コートの肩と帽子の上に雪を積もらせている制服警官が近付いてきた。；家の土台は、二メートルの雪が積もっても平気なように高く上げてある。；本人は「これが積もれば私のような凡人でも何とかなる」と書いている。；ヘレン湖の近くの道路に12 mの雪が積もるのは珍しいことではない。；ドアの外の通路には、雪が吹き込み、さっきより一層深く積もっていた。；今までそれぞれが経験してきた話が二人の間にそれこそ山のように積もっている。；惑星全体に均等に積もらせたとしたら、厚さ十メートルに達するはずだ。；結局積もるほどの雪ではなくて、道はわずかに雪を残してぬかるんでいた。；地面に積もった雪のせいだろう、崖は以前見た時よりも低く思えた。；二人はがむしゃらに手足を動かして入口の前に積もった雪をかきわけた。；彼女も寒そうに立ったまま黙って歩道に積もり始めた雪を見ていた。；日本では雁木を設けて雪が道に積もらないようにする工夫が昔からあった。；少しばかり積もっていた雪の光も混じって室内の物が皆よく見えた。；窓の外には雪が積もり、月明かりが反射して銀色の世界が広がっていた。；夏は、臭気で気分が悪くなるだろうし、冬は、何メートルも雪が積もる。；テーブルに積もる埃一つ余さず感覚する精密さでそれらの動きを追った。；観客の熱でも雪は融かせないのか、グラウンドにもかなり積もっている。；雪の深く積もったときは、郵便もなかなかこられないようなところでした。；床にうっすら土埃が積もっているが、足跡が残るほどの量ではないのだ。；その視線は彼を通りすぎて、窓外の深く積もった雪の方へと注がれていた。；冬は週ごとに深まって、すでに膝丈に積もった雪にさらに雪をくわえた。；雪の積もったチルターンの丘辺で最初に見たあの木彫りの大扉だった。；雪が積もりつつある周囲まで探したもののぬいぐるみはどこにも見られない。；北アルプスに積もる雪のような心白があることが名称の由来である。；しかし秋になると落ち葉が積もり、非常にスリップしやすい状況になる。；その光が、夜の間に学校に積もっていた薄い停滞を音もなく溶かしていく。</t>
        </is>
      </c>
      <c r="J5638">
        <f>HYPERLINK("https://www.weblio.jp/content/積もる", "词义详情")</f>
        <v/>
      </c>
      <c r="K5638">
        <f>HYPERLINK("https://yourei.jp/積もる", "查看例句")</f>
        <v/>
      </c>
    </row>
    <row r="5639">
      <c r="A5639" t="inlineStr">
        <is>
          <t>艶</t>
        </is>
      </c>
      <c r="B5639" t="inlineStr">
        <is>
          <t>成功</t>
        </is>
      </c>
      <c r="C5639" t="inlineStr">
        <is>
          <t>読み方：あで
［形動］［文］［ナリ］《「あて（貴）」の音変化》色っぽくなまめかしいさま。あでやか。「香り高く蘭が—に咲く」「—姿」</t>
        </is>
      </c>
      <c r="D5639" t="inlineStr">
        <is>
          <t>艶めかし(4%)；艶麗(3%)；艶書；艶消し；艶然</t>
        </is>
      </c>
      <c r="E5639" t="inlineStr">
        <is>
          <t>美しい；良い；見事；輝き；綺麗</t>
        </is>
      </c>
      <c r="F5639" t="inlineStr">
        <is>
          <t>凄艶；濃艶；豊艶；艶出し；楊艶</t>
        </is>
      </c>
      <c r="G5639" t="inlineStr">
        <is>
          <t>艶子；艶っぽい；艶笑；艶歌；艶姿</t>
        </is>
      </c>
      <c r="H5639" t="n">
        <v>29</v>
      </c>
      <c r="I5639" t="inlineStr">
        <is>
          <t>この艶樹の森へ黒衣の警官が侵入してきたのは、そういうしだいなのさ。；自動車の中あたりでもどそうとでもしたならそれこそ艶消しであった。；主要構成樹種のヒルギ科の植物は、いずれも艶のある楕円形の葉を持つ。；黒磯あたりの桜が満開で、東京では見られない濃艶ないろを見せてゐた。；だが流石にそこはお艶だとわたしは今でも妙な感心の仕方をしている。；いずれも艶消しの化粧板だが、5次車からは光沢のあるものを使用した。；そこで彼はソロソロと、南側の廊下を西にとり、お艶の部屋まで行って見た。；はっきりうち開いた眼の中に、艶やかな瞳が上目がちに置かれていた。；書は各体ともによく、清朝の書風に傾倒した艶麗な作品を数多く残した。；その三畳の格子の前のところで、軽い艶かしい駒下駄の音が来て留つた。；几帳の陰の話は、生暖かな夜の空気に融け込んで艶めかしく聞えました。；お艶は幾つになっても経験というものに教えられない童女のところがあった。；あんな大風景の中では、桃の花の色が却ってひどく艶に見えるだろう。；これは過去一年間に五十嵐と細君との間に取り交はされた艶書の殼である。；浮名も艶二郎が醜男なのを我慢して、他へ行く気もなくして夫婦となった。；お艶はわたしを花柳街の芸人としては負傷の少ない方と思って喜んでいた。；あの白い腿が笑いのために艶めかしく痙攣するのを俺ははっきり見た。；内側から光っているような艶のある肌を目指す場合もある。；水性地は上の絵具層から多くの油分を吸収して塗膜が艶消しになり易い。；きみたちが艶樹と艶獣を観賞しているあいだに、ぼくはひと仕事やったのだ。；その少年はこうした艶ッぽい話や怖しい話を聞くと夢中になってしまいました。；すると、その手紙は思いもよらないほかの男から妻へ宛てた艶書だったのだ。；お艶が歿くなったとき、わたしは秋雄と肩に手を支え合いながら言った。；男女ともに艶のある、口の大きめのキャラクターを描く傾向にある。；羽状に切れ込みのある葉は艶のある緑色で、茎の周りにロゼット型につく。；近代的の人間だけに、お艶のような変り種には、一層心を引き付けられた。；片輪の身のあはれさが添つて、以前の美しさに一層清艶な陰影が添つた。；白さの中に渋い艶が浮き出てきて使うほどに深い味のある色になる。；そぞろに金三の上忍ばれて、お艶に金三の事聞き合はす時あれど。</t>
        </is>
      </c>
      <c r="J5639">
        <f>HYPERLINK("https://www.weblio.jp/content/艶", "词义详情")</f>
        <v/>
      </c>
      <c r="K5639">
        <f>HYPERLINK("https://yourei.jp/艶", "查看例句")</f>
        <v/>
      </c>
    </row>
    <row r="5640">
      <c r="A5640" t="inlineStr">
        <is>
          <t>露</t>
        </is>
      </c>
      <c r="B5640" t="inlineStr">
        <is>
          <t>成功</t>
        </is>
      </c>
      <c r="C5640" t="inlineStr">
        <is>
          <t>読み方：あらわ
［形動］［文］［ナリ］
１むき出しであるさま。はっきりと見えるさま。「肌も—な服」
２物事が公になるさま。表面化するさま。「矛盾が—になる」「内情が—になる」
３気持ちなどを、隠さずに公然と示すさま。無遠慮だ。露骨だ。「—に嫌悪の気持ちを表す」「敵意を—にする」
４はっきりしているさま。明白だ。紛れもない。
「なかなかたづね知るべきかた—なるを」〈源・若菜上〉</t>
        </is>
      </c>
      <c r="D5640" t="inlineStr">
        <is>
          <t>露わに(8%)；露路(4%)；露伴(2%)；露里(2%)；露八</t>
        </is>
      </c>
      <c r="E5640" t="inlineStr">
        <is>
          <t>さらに；更に；涙；一切；少しも</t>
        </is>
      </c>
      <c r="F5640" t="inlineStr">
        <is>
          <t>お露；対露；英露；露開戦；露戦</t>
        </is>
      </c>
      <c r="G5640" t="inlineStr">
        <is>
          <t>露骨；露見；露呈；露店；露地</t>
        </is>
      </c>
      <c r="H5640" t="n">
        <v>29</v>
      </c>
      <c r="I5640" t="inlineStr">
        <is>
          <t>その場合に支配感情や攻撃性が露にされたりすると考えられていた。；ロシアが条約を締結した最大の目的は露清貿易にあったのである。；上の例ではのチー、下の例ではのポンがBグループに属する副露である。；むしろ相互におこない、された側が喜びを露にするのが一般的である。；胸を露にしたという言葉は、腰よりも上に何も身に付けないことを意味する。；しかし、先述の通り、日露政府間で検討している事実はないとされている。；先に行くと水平になり、その先端がわずかに上を向くのを露受け葉という。；またチランジア属などには霧・露から水分を吸収しているものがある。；英露両国の対立関係は解消し、ドイツの3B政策に対処することになる。；草陰等に露を避けるようにぶら下がって止まっているのではない。；ロシア皇帝はバーティの配慮に深く感謝し、英露関係は一定の改善を見た。；露香が描いた一茶像は「笑いの中に涙を湛える飄逸なる詩人」であった。；米露だけでなく、インドや旧宗主国フランスの艦船も寄港を行っている。；語学の天才と言われ、独・英・蘭・仏・露・中の6か国語に通じていた。；この際の様々な事例から、個々のソースでは判別しない状況が露になった。；メルケル政権は発足当初から積極的な対露・対米外交を展開して高支持率を記録。；他にも露を季題とすることが多かったことから「露の茅舎」とも呼ばれた。；百葉箱や雨量計などを設置した気象観測のための場所を「露場」という。；歌詞が出来上がっていない時の仮タイトルは「ベルリンの露」であった。；特に横糸には粘球があり、この粘球に露が追加される形で大きくなる。；成立直後は、英語・仏語・露語の教授を宣教師たちに依頼していた。；ウクライナ侵攻を理由とした対露制裁への参加が理由とみられる。；高校に進学するとウィリアムソンはスポーツの才能を露にする。；これは、ドイツ語での通称が「露バエ」を意味するであることによる。；しかし、要人警護体制の不備が露わになり、国内に大きな波紋を広げた。；しかしこれらのグループはケネディ大統領への反感を露わにしていた。；同様の条約は英仏蘭露とも結ばれて、安政五カ国条約とも呼ばれた。；答えは、妻は朝に戻っていったので、妻がなっている花には露がついていなかったのです。；他のプレイヤーの打牌により和了することは副露とは別の行為である。</t>
        </is>
      </c>
      <c r="J5640">
        <f>HYPERLINK("https://www.weblio.jp/content/露", "词义详情")</f>
        <v/>
      </c>
      <c r="K5640">
        <f>HYPERLINK("https://yourei.jp/露", "查看例句")</f>
        <v/>
      </c>
    </row>
    <row r="5641">
      <c r="A5641" t="inlineStr">
        <is>
          <t>梅雨</t>
        </is>
      </c>
      <c r="B5641" t="inlineStr">
        <is>
          <t>成功</t>
        </is>
      </c>
      <c r="C5641" t="inlineStr">
        <is>
          <t>読み方：つゆ
6月ころの長雨の時節。また、その時期に降る長雨。暦の上では入梅・出梅の日が決められているが、実際には必ずしも一定していない。北海道を除く日本、中国の揚子江流域、朝鮮半島南部に特有の現象。五月雨(さみだれ)。ばいう。《季夏》「—ふかし猪口にうきたる泡一つ／万太郎」</t>
        </is>
      </c>
      <c r="D5641" t="inlineStr">
        <is>
          <t>梅雨時(8%)；梅雨明け(7%)；梅雨どき(3%)；梅雨末期；梅雨前</t>
        </is>
      </c>
      <c r="E5641" t="inlineStr">
        <is>
          <t>雨季</t>
        </is>
      </c>
      <c r="F5641" t="inlineStr">
        <is>
          <t>長梅雨；鬱陶しい梅雨；梅雨日和；梅雨時期</t>
        </is>
      </c>
      <c r="G5641" t="inlineStr">
        <is>
          <t>梅雨期；梅雨入り；梅雨空；梅雨あけ；梅雨前線豪雨</t>
        </is>
      </c>
      <c r="H5641" t="n">
        <v>29</v>
      </c>
      <c r="I5641" t="inlineStr">
        <is>
          <t>東京の家に帰ったのは梅雨も過ぎて庭の樹に蝉の声を聞くころであった。；それを窓からながめていると、日本の梅雨もそう悪くないと思えてくる。；これは、梅雨時のために、前後の日も同様に雨や曇りが多いからである。；しばらく雨の夜がつづいたのは、あれは梅雨のせいだったのかもしれない。；梅雨前に一度切り戻しを行うことで多少発生を減らすことが可能である。；三四日梅雨のように降りつづいた雨がひどい地震のあと晴れあがった。；春から夏に移行する過程で雨季である梅雨が一部の地域にて見られる。；おそらく梅雨時か、梅雨が明けてすぐのころだったのではないだろうか。；梅雨の間、外での仕事がなくなった孝夫は何度も原稿用紙を広げてみた。；そして、それは誰の目にも梅雨の扉が見えないのと同じことなのだ。；いずれにしても空の明るさを伴う梅雨時の現象であることは間違ない。；さいわい梅雨にはまだ入っていなかったようで、翌日はきれいに晴れた。；この二三日梅雨があがって暑くなったので非常に客があると聞いた。；このことから北海道には梅雨がないと従来より定義されてきた。；六月、天気が続く、本当に何かしたいと思っていると梅雨の季節に入る。；梅雨のうちですから無やみと蒸暑い事もありますが、何でもありません。；いつもはこんなじゃないんですが、梅雨が明けたばかりだからでしょうか。；また敵の馬塞ぎの柵を破るのは梅雨が上がらないうちがよいと思います。；梅雨時の雲の様に頭の中に居座っているもやもやは、兄が見せたあの魔法。；たぶん、初めて経験する日本の梅雨が悪いのだろうとカズオは考えた。；日本国内での発生時期は、主に梅雨時から8月にかけてであるとされている。；新潟の梅雨は連日の雨続きではなく、末期に集中豪雨になることが多い。；だが九時頃から、また梅雨様の雨となり、空襲がありそうにも思えぬ。；去年の春と梅雨の出来事が、強烈な印象となって残っていたのだろう。；梅雨時だったせいか、客はほとんどおらず、貸切り状態で蕎麦を食べた。；其頃は梅雨に入つて百姓の體が二つあつても足らぬといふ時であつた。；何となく雨の近いことを感じる、梅雨の前の大気とでもいふのであらう。；北海道には梅雨がないというが、これは内地の梅雨とまったく同じ天候。；ヒルがいる山域のため、梅雨時期にはヒルへの対策をする必要がある。</t>
        </is>
      </c>
      <c r="J5641">
        <f>HYPERLINK("https://www.weblio.jp/content/梅雨", "词义详情")</f>
        <v/>
      </c>
      <c r="K5641">
        <f>HYPERLINK("https://yourei.jp/梅雨", "查看例句")</f>
        <v/>
      </c>
    </row>
    <row r="5642">
      <c r="A5642" t="inlineStr">
        <is>
          <t>強い</t>
        </is>
      </c>
      <c r="B5642" t="inlineStr">
        <is>
          <t>成功</t>
        </is>
      </c>
      <c r="C5642" t="inlineStr">
        <is>
          <t>読み方：こわい
［形］［文］こは・し［ク］《「怖い」と同語源》
１容易に言いなりにならなくて頑固である。強情である。「情の—・い子供」
２かたくて扱いにくい。ごわごわしている。「—・い御飯」「髪が—・い」
３力が強い。たけだけしい。
「力—・くして能(よ)く角を毀(か)き」〈垂仁紀〉
４かたくるしい。
「この文の言葉、いとうたて—・く憎げなるさまを」〈源・若菜上〉
[派生]こわさ［名］</t>
        </is>
      </c>
      <c r="D5642" t="inlineStr">
        <is>
          <t>強いられる(2%)；強い影響；強い風；強い関心；強い印象</t>
        </is>
      </c>
      <c r="E5642" t="inlineStr">
        <is>
          <t>強く；大変；激しい；安全；有力</t>
        </is>
      </c>
      <c r="F5642" t="inlineStr">
        <is>
          <t>傾向が強い；非常に強い；最も強い；強い口調；かなり強い</t>
        </is>
      </c>
      <c r="G5642" t="inlineStr">
        <is>
          <t>強い力；強いる；強い要望；強い相互作用；強い雨</t>
        </is>
      </c>
      <c r="H5642" t="n">
        <v>29</v>
      </c>
      <c r="I5642" t="inlineStr">
        <is>
          <t>しばらくはソ連との結びつきの強い高崗が独自の地方運営を行っていた。；これらの動きには学生野球界は強く反対したものの、結局は認められた。；このことはその後のエクアドルとの関係に強い緊張を生むことになった。；ギリシア神話の影響を現在も強く受けている学問の一つが天文学である。；近年は千葉市のベッドタウンの性格が強くなり人口は増加を続けている。；その一方で、保有国が強く反対する事態がしばしば起こるのも事実である。；その殺傷力の強さから、苦しまずに確実に自殺するためにも使用される。；英語が第二公用語であるため、医療関係でも英語圏との結びつきが強い。；野球も米国の強い影響を受けて、人気スポーツのひとつに数えられる。；作品の中には、二人の個性のうちの一方が強く反映されているものもある。；かくのごときは大なる勇気、強き力あるものでなければ出来ぬ業である。；圧倒的な強さを手に入れるも本来の人の良さがなくなってしまう。；文章題には、割合を強く意識して考える問題とそうでない問題とがある。；アルバムはブルースの影響を強く受けた前2作の路線を引き継いでいた。；それぞれ得意技能や初期の強さが異なり、仲間になる条件も多彩である。；人工張りは環境の変化に強い反面、高く鋭い音になりやすい特徴がある。；ここまで来て私は自ら任じて強しとする人々と袖を別たねばならぬ。；アジアでも強い人気を誇り、特に日本には現在でも根強いファンが多い。；気象庁では、雨の強さの表現を時間雨量により次のように分類している。；強き意志にとつては、環境はつねに否定され変革されねばならぬものだ。；眼には水晶体はなく、光の強さや方向がわかる程度で、ほぼ盲目に近い。；また、プライバシーの問題に強い意識を抱いていることでも知られている。；彼は欺瞞を受け入れない強さを持っていたから若者のヒーローだった。；このため、耐湿性の強さに着目した品種の導入や改良も試みられている。；けどこれは趣味みたいなものだから、本人の意思が強ければ止められるわ。；戦前、検察官は捜査を主宰するとされ、強い指揮権限が認められていた。；産業はそれほど存在せず、政治の中心としての性格が強い都市である。；身が弱くても意が強ければ、一日の身あれば一日の事は成せるので有る。；これらの地域はその後も強く中国文化の影響を受けることとなった。</t>
        </is>
      </c>
      <c r="J5642">
        <f>HYPERLINK("https://www.weblio.jp/content/強い", "词义详情")</f>
        <v/>
      </c>
      <c r="K5642">
        <f>HYPERLINK("https://yourei.jp/強い", "查看例句")</f>
        <v/>
      </c>
    </row>
    <row r="5643">
      <c r="A5643" t="inlineStr">
        <is>
          <t>強気</t>
        </is>
      </c>
      <c r="B5643" t="inlineStr">
        <is>
          <t>成功</t>
        </is>
      </c>
      <c r="C5643" t="inlineStr">
        <is>
          <t>読み方：つよき
［名・形動］
１気が強いこと。積極的な態度に出ること。また、そのさま。「—に出る」「—な（の）姿勢を崩さない」⇔弱気。
２取引で、相場が先行き上がると予想すること。また、そのさま。「市況が—に転じる」⇔弱気。</t>
        </is>
      </c>
      <c r="D5643" t="inlineStr">
        <is>
          <t>強気な性格(3%)；強気な態度；強気な姿勢；強気な発言；強気な表情</t>
        </is>
      </c>
      <c r="E5643" t="inlineStr">
        <is>
          <t>強引；攻撃的；アグレッシブ；侵略的；アグレッシヴ</t>
        </is>
      </c>
      <c r="F5643" t="inlineStr">
        <is>
          <t>こんな強気；強気相場</t>
        </is>
      </c>
      <c r="H5643" t="n">
        <v>29</v>
      </c>
      <c r="I5643" t="inlineStr">
        <is>
          <t>どうせ離婚騒ぎになるのだったら、少しは強気に出なくては男がすたる。；俺の母親と祖母は二人とも強気の塊で、顔を合わせると罵り合っていた。；いまは強気でいられるかもしれないけれど、六十歳になったらどうする?；先発隊の運命の程もわからぬので、こんな弱気兼強気になったのである。；この相田は、目の前にいる人間にはとにかく強気に出られない性質なのだ。；背後からよく観察していると男の歩き方は上手なのではなくて強気なのだった。；強気な態度の背景には野村総研などの関与があったと指摘されている。；鋭い双眸は強気な印象を感じさせるが、今は相対的な脆さを見せている。；だから小勢なのに強気ばかりでいるのは、大部隊の捕虜になるだけである。；しかし、強気の値上げほど、日本の台所での需要は急増したのかどうか。；しかし今からもう一度頼むには強気の仮面が邪魔をしてできはしない。；術式の穴を衝いて私の機兵を崩したくらいで、ずいぶんと強気じゃない?；もっとも、強気一点張りの事業が必ず成功するという保証もないのだが。；どことなく強気な表情に戻ると、目の前の露店から、あるものを取った。；出て来たのは五十ばかりの主人で、これがなかなか強気であった。；そして新年を迎え三万四〇〇〇円台も夢ではないとの強気の声がしきりである。；オレなんか、もう二度乗った、と二人とも二度乗ったので強気だった。；母はこの時点で、持ち前の強気を発揮し椅子を蹴ることができたのだ。；つまり、盛田の強気の戦略は思わぬことから道が拓けてきたのである。；一方、陸相官邸では閣議の様子を聞いた将軍たちが、強気になってきた。；だが、変装をしていたことと、証拠を残していない自信が彼女を強気にした。；今まで強気でいいはっていた紋兵衛の顔色が紙のように白くなった。；強気の背後に彼女はいつも志沢哲也の存在を感じないわけにはいかなかった。；しかし彼らは松尾が死んだことを知って急に強気になっていた。；夫の作ったゲームの品質に自信を持っているが故の強気である。；それは、日頃の強気なセージにしては、異様なくらいの動揺ぶりだった。；強気の営業方針は、一層、山一を面子の維持へと向かわせたかに見える。；この強気な男が、これほど動揺するところを見るのは初めてだった。；彼の個性が強気の教師たちと衝突することで、学校の教育基準は低下していった。</t>
        </is>
      </c>
      <c r="J5643">
        <f>HYPERLINK("https://www.weblio.jp/content/強気", "词义详情")</f>
        <v/>
      </c>
      <c r="K5643">
        <f>HYPERLINK("https://yourei.jp/強気", "查看例句")</f>
        <v/>
      </c>
    </row>
    <row r="5644">
      <c r="A5644" t="inlineStr">
        <is>
          <t>強まる</t>
        </is>
      </c>
      <c r="B5644" t="inlineStr">
        <is>
          <t>成功</t>
        </is>
      </c>
      <c r="C5644" t="inlineStr">
        <is>
          <t>読み方：つよまる
［動ラ五（四）］しだいに勢いが増してくる。強くなる。「風雨が—・る」⇔弱まる。</t>
        </is>
      </c>
      <c r="F5644" t="inlineStr">
        <is>
          <t>ますます強まる；一層強まる；いっそう強まる；強まれば強まる；次第に強まる</t>
        </is>
      </c>
      <c r="H5644" t="n">
        <v>29</v>
      </c>
      <c r="I5644" t="inlineStr">
        <is>
          <t>しかしそれはある程度以上強まることはなく、塔自体も黒いままだった。；もともと秀麗といってもよい顔だちだけに、いっそうその印象が強まる。；彼をだれにも奪われたくないという思いは日々に強まるばかりである。；勢力そのものはそれほど強まらなかったが、ベトナムなどに被害が出た。；ライブの時間は平均で3時間を超え、長時間化する傾向が強まっている。；その感覚が強く、また集まる人数が多いほど、共有される緊張も強まる。；政府の秘密主義が強まり、市民に対する監視態勢も強化されつつあった。；気がつくと雨足がまた強まりあたりは急に薄暗くなってきていました。；この気もちはまた彼と話しているうちにだんだん強まって来るばかりだった。；その傾向は、少なくとも今後しばらくのあいだは強まり続けるだろう。；そしてその総量が大きくなればなる程に、転換しようとする傾向は強まる。；雨も風も、このあとどんどん勢いが強まるって天気予報でも言ってるわ。；第三様式より一層装飾性が強まり、再び建築要素が多く描かれるようになった。；実際にユーロ圏の危機によってEUの政治統合への圧力が強まっている。；そしてビンも自分のキャリアを故郷で終えたい思いが強まっていた。；胸の高鳴りも強まり、性欲も少しずつ腹の底に溜まっていくようだった。；ただし時期によってはカトリックを強制する動きが強まった事もあった。；また、段築も三段を基本としたものが二段へと減少する傾向が強まる。；これにより福寺が奈良時代にまで遡る古代寺であった可能性が強まった。；イギリスの影響力は次第に強まり、19世紀後半にはその保護国となる。；ピピン3世の時代には、キリスト教と王国組織の結びつきが強まった。；研究に電子顕微鏡が使われるようになって、この点はさらに強まった。；さらに石山本願寺も再挙兵するなど、再び反信長の動きが強まり始める。；午後三時ごろからいっそう風が強まり、そのかわり雨は小降りになった。；多数の本を読むうちに科学への興味が強まり、特に電気に興味を持つようになった。；こうした六角氏の影響力が強まる中で、浅井家中も分裂していたという。；夜のあいだに風が強まり、朝バブが起きたときは、海は荒れぎみだった。；それがどんな性質のものか知りたい気持ちが強まっていった。；馬たちは疲れも知らぬように強まる光の中を進みつづけた。</t>
        </is>
      </c>
      <c r="J5644">
        <f>HYPERLINK("https://www.weblio.jp/content/強まる", "词义详情")</f>
        <v/>
      </c>
      <c r="K5644">
        <f>HYPERLINK("https://yourei.jp/強まる", "查看例句")</f>
        <v/>
      </c>
    </row>
    <row r="5645">
      <c r="A5645" t="inlineStr">
        <is>
          <t>強み</t>
        </is>
      </c>
      <c r="B5645" t="inlineStr">
        <is>
          <t>成功</t>
        </is>
      </c>
      <c r="C5645" t="inlineStr">
        <is>
          <t>読み方：つよみ
１強いこと。また、その程度。「一段と—を増す」⇔弱み。
２頼んで力とするに足る点。「語学の達者なことが彼の—だ」⇔弱み。</t>
        </is>
      </c>
      <c r="D5645" t="inlineStr">
        <is>
          <t>武器；特性；売り；特技；利点</t>
        </is>
      </c>
      <c r="H5645" t="n">
        <v>29</v>
      </c>
      <c r="I5645" t="inlineStr">
        <is>
          <t>彼女の強みは他の追随を許さぬ強力な魔法でも高速な魔法発動でもない。；どちらの力も無料で手にはいるというのが、この案の大きな強みだった。；かえって少しの光や音や動きやは、その静かさの強みを一層強く思わせる。；熟練したパイロットが乗る人型戦車の最大の強みはやられにくいことだ。；また海外留学経験者を積極採用していることから海外情報にも強みを持つ。；現実に手に触れる場所にいる者のほうが、はるかに強みを握っているもの。；球種は非常に多いうえほとんど同じ投球フォームで投げられるのが強み。；この効果はマグレ当りであるがこの小屋の強みであることに変りはない。；しかし、これは音楽の非常な強みであり、文学となると違ってきます。；彼はそこにいるだれよりも長身なので、それが強みになるはずだった。；でも、アメリカ国籍だっていうことが、中国では俺の強みになっている。；おまえたちの唯一の強みは秘密になっていることにあったんだ。；人間的とは、どういうことか、その弱みも強みも、私はよく知っている。；わたしいつもこんな時は、そんなにしているのがお前さんの強みだと思ったわ。；それでは利益が生まれないが、顧客文明に対する強みはほかにあります。；それでもやはり、僕の方法はそれらよりある強みを持っているんだ。；店舗は7フロアで構成され、専門書・軍事関係・鉄道に強みを持っていた。；この病院は特に腫瘍学の分野に強みを持ち、がんの治療には定評がある。；その強みを十分活かし切れていないが、それでも面白い作品ではある。；それに土地の漆を用いる割合が多いことも大きな強みでありましょう。；しかし、あそこの場合には、ほかではみられない強みがあるのです。；然しこの悲しみがお前たちと私とにどれ程の強みであるかをお前たちはまだ知るまい。；それが、このたびの戦の、〈琅〉の強みであり頼りの綱でもあったのだ。；コミック専門店は既存の販売形態と比べて多くの強みを備えていた。；こうした強みから、彼女は球足の遅いクレーコートを最も得意としていた。；そこに僕の詩の他とは異なる強みもあったわけでした。；よく誤解されるのだが、決して私は方言の強みをもって組み立ててはいない。；なんといってもむこうが子供を押えているあいだ、強みはむこうにある。；制作会社を母体とした強みで、実践的な俳優や声優の育成も行っていった。</t>
        </is>
      </c>
      <c r="J5645">
        <f>HYPERLINK("https://www.weblio.jp/content/強み", "词义详情")</f>
        <v/>
      </c>
      <c r="K5645">
        <f>HYPERLINK("https://yourei.jp/強み", "查看例句")</f>
        <v/>
      </c>
    </row>
    <row r="5646">
      <c r="A5646" t="inlineStr">
        <is>
          <t>強める</t>
        </is>
      </c>
      <c r="B5646" t="inlineStr">
        <is>
          <t>成功</t>
        </is>
      </c>
      <c r="C5646" t="inlineStr">
        <is>
          <t>読み方：つよめる
［動マ下一］［文］つよ・む［マ下二］勢いを増すようにする。強くする。「語気を—・めて話す」「火力を—・める」⇔弱める。</t>
        </is>
      </c>
      <c r="D5646" t="inlineStr">
        <is>
          <t>強めるべく；強めるべき；強める可能性；強める政策を採り</t>
        </is>
      </c>
      <c r="F5646" t="inlineStr">
        <is>
          <t>一層強める；いっそう強める；更に強める</t>
        </is>
      </c>
      <c r="H5646" t="n">
        <v>29</v>
      </c>
      <c r="I5646" t="inlineStr">
        <is>
          <t>他には特定の国家への対抗意識からロシアとの関係を強める国もある。；この伝承の裏には伊香連の権威を強める意味があったと捉えられている。；そのなかで、議会は革命の推進役となった軍に警戒を強めつつあった。；羞恥心は精神的な緊張を強め、症状を悪化させる一助となるからである。；そうしないと、成瀬が攻撃の手を強めるのではなかろうかと察したのだ。；彼は経済基盤を健全化し、それを実現するために専制的な支配を強めた。；これがきっかけで、高橋はより地域色を強めた番組を投入するように指示。；人々の信仰を強めるために、彼にはある超自然のしるしが与えられた。；ヘーゲルは民主主義を支持しながら一方で懐疑的な立場を強めていった。；ジョージ・マーシャル将軍もドイツの抵抗を強めるだけだと不満を述べた。；その後は元祥に元春の娘を娶わせるなどして毛利氏との関係を強めた。；白紙のやうな淋しさの中のかすかな囘想ほど淋しさを強めるものはない。；これは上記の特徴とともにこの漫画のドタバタコメディ色を強めている。；またタバコのない環境に閉じ込める方法も、依存を強めるだけに終わる。；初お目見えにおいて信長の印象を強めるためのはじめからの計算であった。；現代の真理概念は様々な形で修正を受け、相対的な傾向を強めている。；この展覧会は、女性参政権運動を強める効果をもたらしたとされている。；より琉球支配を強めるために薩摩派の役人が重用されるようになっていた。；そのような努力の結果はかえって防ごうとする感じを強めるような効果があった。；さらに占領地域であった東欧諸国への影響を強め、衛星国化していった。；また、軍事的な関係も強めており、MLRSのを中国と共同開発している。；景勝方は勢いに乗り、中越地方の景虎方の諸城への圧迫を強めていった。；更に、株主代表訴訟を起こして、日経の経営陣への批判の姿勢を強めた。；後述のルール、審査基準がこの大会の独自色を強める主な要因となっている。；カロニア人の特徴である青い肌の色は、その印象をさらに強めるものだった。；次第に影を強める闇を背景に、それはやがて美しい女の貌となった。；このため、普通教育の補習的な機関としての性格も強めることとなった。；聖セバスティアヌスの姿の頑健さと支配力の印象を強めるためである。；一家にとってKは城とのつながりを強める希望となっていたのである。</t>
        </is>
      </c>
      <c r="J5646">
        <f>HYPERLINK("https://www.weblio.jp/content/強める", "词义详情")</f>
        <v/>
      </c>
      <c r="K5646">
        <f>HYPERLINK("https://yourei.jp/強める", "查看例句")</f>
        <v/>
      </c>
    </row>
    <row r="5647">
      <c r="A5647" t="inlineStr">
        <is>
          <t>面</t>
        </is>
      </c>
      <c r="B5647" t="inlineStr">
        <is>
          <t>成功</t>
        </is>
      </c>
      <c r="C5647" t="inlineStr">
        <is>
          <t>読み方：おも
１顔。顔つき。容貌(ようぼう)。
「いと美(うる)はしき君が—」〈上田敏訳・海潮音・春の貢〉
２表面。「川の—」
３おもかげ。
「佐野山に打つや斧音(をのと)の遠かども寝もとか児ろが—に見えつる」〈万・三四七三〉</t>
        </is>
      </c>
      <c r="D5647" t="inlineStr">
        <is>
          <t>面曲；面ざし；面クリア；面衣；面トップ</t>
        </is>
      </c>
      <c r="E5647" t="inlineStr">
        <is>
          <t>顔；一部；側；外；表情</t>
        </is>
      </c>
      <c r="F5647" t="inlineStr">
        <is>
          <t>各方面；腹面；a面；妻面；連結面</t>
        </is>
      </c>
      <c r="G5647" t="inlineStr">
        <is>
          <t>面し；面倒；面積；面白く；面会</t>
        </is>
      </c>
      <c r="H5647" t="n">
        <v>29</v>
      </c>
      <c r="I5647" t="inlineStr">
        <is>
          <t>この行為から、執筆作業に対しての気持ちが入っていく面もあるという。；角関係とは面と面とが互いに見えているかどうかを表す係数である。；現代でも食料・飲み水・農業・輸送などあらゆる面で国民生活を支えている。；特にトンガとロツマの言語に関連するものを含む面が顕著に現れている。；しかし、後には独自の拡張・工夫が、特に効率の面で多くなされている。；これには、教育の必要性と教育の可能性の二面から論じられることが多い。；スロバキアの音楽は近隣国家地域の音楽文化の影響を受けている面を持っている。；そのため色彩学では面色と表面色という色の見え方の違いが重要とされている。；それらは仕事に使う道具の模造品であったり、衣装やお面なども含まれる。；現代の科学者は、大きな科学共同体の中で生かされているような面がある。；開業後の輸送状況も好調であったことから、経営面でも負担にはならなかった。；また日本の映画の音響面も大友作品以降、大きく進化することになった。；主に11月から3月に降雨があり、そこから農業に適している面を持つ。；OpenBSDは性能やユーザビリティの面で批判されることがある。；一方、このような円盤面内運動でなく水車のような回転をする翼も存在する。；オニのお面をつけることも役割を意識させる上で有効である。；より学究的な立場からは、実証性の面からも批判されることがある。；収入面での効果が、比較的多くの人々の関心を集めている。；同様に、財務層に問題があるとはコストの面で問題があるということ。；そのうち、実際に通常の旅客列車が使用しているのは1面2線である。；マリの結婚に関する法律は緩く、児童婚が一般的とされている面を持つ。；敵を全て破壊すると面クリアとなり、次の面に進むものが多い。；日本語の語彙は、語構成の面からは単純語と複合語に分けることができる。；ペシャーワルに鉄道が延びるようになると商業の面でも発展した。；駅周辺の再開発に伴い、現在の駅ビル方式階上2面1線の構造になった。；歩行者用には高さの異なる面を用意する、ということも行われるようになった。；そのため、社内では常に宮崎・高畑を頂点にして回っている一面があった。；また、子供の教育には非常に熱心であり厳しい面もある。；こうした軌道面が揃った惑星系は、太陽系外では珍しいとされている。</t>
        </is>
      </c>
      <c r="J5647">
        <f>HYPERLINK("https://www.weblio.jp/content/面", "词义详情")</f>
        <v/>
      </c>
      <c r="K5647">
        <f>HYPERLINK("https://yourei.jp/面", "查看例句")</f>
        <v/>
      </c>
    </row>
    <row r="5648">
      <c r="A5648" t="inlineStr">
        <is>
          <t>辛い</t>
        </is>
      </c>
      <c r="B5648" t="inlineStr">
        <is>
          <t>成功</t>
        </is>
      </c>
      <c r="C5648" t="inlineStr">
        <is>
          <t>読み方：からい
［形］［文］から・し［ク］
１トウガラシ・ワサビなどのように、舌やのどを強く刺激するような味である。「インド風の—・い料理」→五味(ごみ)
２（鹹い）塩気が多い。しょっぱい。「—・い煮つけ」⇔甘い。
３甘みが少なくさっぱりとしていて、ひきしまっている。酒の味などにいう。「ワインは—・いほうが好みだ」⇔甘い。
４評価の基準などが厳しい。「—・い採点」⇔甘い。
５つらい。苦しい。「—・い目をみる」
６残酷である。むごい。
「諸(もろもろ)の—・き刑(のり)」〈武烈紀〉
７危ない。危うい。
「—・き命儲(まう)けて、久しく病みゐたりけり」〈徒然・五三〉
８気にくわない。いやだ。
「—・しや、眉(まゆ)はしも、皮虫だちためり」〈堤・虫めづる姫君〉
[派生]からさ［名］からみ［名］</t>
        </is>
      </c>
      <c r="D5648" t="inlineStr">
        <is>
          <t>辛いこと(12%)；辛いもの(6%)；辛い思い(6%)；辛い目(2%)；辛いだろ</t>
        </is>
      </c>
      <c r="E5648" t="inlineStr">
        <is>
          <t>困難；大変；味；ひどい；難しい</t>
        </is>
      </c>
      <c r="F5648" t="inlineStr">
        <is>
          <t>一番辛い；とても辛い；辛い日々；非常に辛い；かなり辛い</t>
        </is>
      </c>
      <c r="H5648" t="n">
        <v>29</v>
      </c>
      <c r="I5648" t="inlineStr">
        <is>
          <t>彼女のことを嫌いになって別れたわけじゃないのでそれは辛かったです。；心の中に深い傷が残されているんじゃないかと思うと、とても辛かった。；人との交流を大事にする人ほど、辛く感じる時代になっていったのです。；同じような辛い経験を子供にはさせたくなかったから、と本人は語った。；日本語がわかる人がいないために点数が辛くなったこともあったという。；自分が受けた十層倍も辛い苦しい思いをさせてやらなければ気がすまぬ。；そのため、声優の仕事が増えず、数年間仕事が来なくて辛かったという。；さてどちらが辛くどちらが楽かと聞かれても、すぐには返答ができない。；彼女に辛かったこの生活に、今では何かしら別なものが加わって来ていた。；かれ等はしかしかうした長い遠征をも決して辛いとは思つてゐなかつた。；私は毎日毎日電話がかかって来るたびに、辛くて仕方がありませんでした。；もしそうであれば、私が服のことを口に出しては、母も叔母も辛かろう。；一度取った回避運動が成功したら、どんなに辛くてもかえてはいけない。；練習時間が終わるのを待っているのが長くて辛かったからでもない。；山麓から登っていくのは辛い人や施設の整備をする人などが利用する。；しかし、小山には父が何十年も続けた仕事を否定されたことは辛かった。；自分で文章をかくこともかなり辛いが他人のものを読むこともかなり辛い。；こうした林の横断はしばしば非常に長くかかり、それゆえ辛かったのだ。；私はこのレストランではあまり辛くない方だというチキン料理を頼んだ。；そんな万里絵の顔を見ていると、今度は遼のほうが辛くなってしまった。；二人の死体を見るのが辛かった私は、望んでその役目を引き受けました。；辛い物好きを自負しているだけあって他の出場者をものともせずに優勝。；罪と呼べないほどの罪で刑場に引き出されていく民を見るのは辛かった。；俺は彼女に辛くあたるばかりで、看護される資格なんてないんだから。；そのお心を思うにつけても宮はお胸の思いの晴れる間なく、辛く思われた。；わだしがこうやって、傍まで来てるのに、抱いてもやれんのが辛かった。；それに兄が婚約して、彼女は家に居辛くなるという事情もあったらしい。；また、韓国人と会う機会も話す機会もほとんどなかったことも辛かった。；父は傍のものを辛くするほどの苦痛をどこにも感じていなかった。</t>
        </is>
      </c>
      <c r="J5648">
        <f>HYPERLINK("https://www.weblio.jp/content/辛い", "词义详情")</f>
        <v/>
      </c>
      <c r="K5648">
        <f>HYPERLINK("https://yourei.jp/辛い", "查看例句")</f>
        <v/>
      </c>
    </row>
    <row r="5649">
      <c r="A5649" t="inlineStr">
        <is>
          <t>連なる</t>
        </is>
      </c>
      <c r="B5649" t="inlineStr">
        <is>
          <t>成功</t>
        </is>
      </c>
      <c r="C5649" t="inlineStr">
        <is>
          <t>読み方：つらなる
［動ラ五（四）］
１たくさんのものが1列に並んで続く。切れずに続く。「車が道路に—・る」「遠く—・る山々」
２会などに出席する。列席する。「式典に—・る」「末席に—・る」
３関係者の一人である。その団体などの一員である。「発起人の一人として—・る」「アララギ派に—・る歌人」
４関係が及ぶ。つながる。「国際的信用に—・る問題」</t>
        </is>
      </c>
      <c r="D5649" t="inlineStr">
        <is>
          <t>連なる丘陵地帯；連なる奥羽山脈；連なる者たち；連なる筑波連山北部；連なる国道標識</t>
        </is>
      </c>
      <c r="E5649" t="inlineStr">
        <is>
          <t>関係；行く；参加；関連；出席</t>
        </is>
      </c>
      <c r="F5649" t="inlineStr">
        <is>
          <t>幾重にも連なる；相連なる；どこまでも連なる；連なる国道標</t>
        </is>
      </c>
      <c r="H5649" t="n">
        <v>29</v>
      </c>
      <c r="I5649" t="inlineStr">
        <is>
          <t>これは現在の中華人民共和国の地方制度支配に連なっていくことになる。；北西から南東に連なる山々は両県にそれぞれ飛び出している部分である。；円柱は最初の一つだけではなく、同じものが無数に連なっているようだ。；その横手の方にも、雲の奥に陸地らしいものが連なっているようである。；するといやでも真先に目についたのが末席に連なっていたその男であった。；この地球の上を覆い、遠い日本の空にまで連なっている天だったのか。；特に北側の広大な田畑の中に住宅群が連なる姿はある種異様である。；内陸のほうに目をやったウルフは、そこに山々が連なっているのを見た。；藤吉郎もその席に連なっていたが、信長のこの態度は腑におちなかった。；短い通りに約40軒のバーが連なっており独特の雰囲気を醸し出している。；そしてネットワークに連なっている人すべてに送りつけたのです。；目を転じると、通りを挟んだ反対側にも、似たような建物が連なっている。；その草地はやがて灌木となり森となり、村のある緑の谷と連なっていた。；河口までS字型に連続して連なって蛇行しているあの川がウイアリーだ。；宿屋の裏手から坂道を下っていくと、川沿いに古い建物が連なっている。；干拓地は運河に囲まれていて、その向こうに巨大な堤防が連なっている。；くずれ落ち、黒焦げになった工場群が古代の廃墟のように連なっていた。；山塊の稜線は複雑に連なっていて、いくつかの峠の名称が付けられている。；クリーム色のコンピューターが、机から伸びた頭のように連なっている。；町の周囲には農地が広がっていて、北側と西側は山が連なっている。；戦後に延長された部分には、枕木で作られたホームが連なっていた。；そしてその教えに連なって気息に関する事の存在しているのも神伝であろう。；カーンの壁は、部落そのものがある台地の縁のすぐそばに連なっている。；眼下には低く連なった丘にとり囲まれた、美しい谷間がひろがっている。；自衛軍の兵員輸送車両の列が店の窓いっぱいに連なって信号待ちをしていた。；コンクリートに覆われた眠りの塊が、いくつも連なっているかのようだった。；延宝年間の指図では東側に5棟の付櫓平面が連なるように描かれている。；後方へ目をやると、林に包まれた低い山が見渡す限り連なっている。；そしてそのむこうに低いしきりが連なっていて耕やされた畑との境をなしていた。</t>
        </is>
      </c>
      <c r="J5649">
        <f>HYPERLINK("https://www.weblio.jp/content/連なる", "词义详情")</f>
        <v/>
      </c>
      <c r="K5649">
        <f>HYPERLINK("https://yourei.jp/連なる", "查看例句")</f>
        <v/>
      </c>
    </row>
    <row r="5650">
      <c r="A5650" t="inlineStr">
        <is>
          <t>貫く</t>
        </is>
      </c>
      <c r="B5650" t="inlineStr">
        <is>
          <t>成功</t>
        </is>
      </c>
      <c r="C5650" t="inlineStr">
        <is>
          <t>読み方：ぬく
［動カ五（四）］
１中にはいっているもの、はまっているもの、刺さっているものを引っ張って取る。「刀を—・く」「歯を—・く」「とげを—・く」
２中に満ちていたり含まれていたりするものを外へ出す。「浮き袋の空気を—・く」「プールの水を—・く」「力を—・いて楽にする」
３中にはいっている金品をこっそり盗み取る。「車中で財布を—・かれた」「積み荷を—・かれる」
４多くのものの中から必要なものを選び取る。全体から一部分を取り出す。「書棚から読みたい本を—・く」「秀歌を—・いて詞華集を編む」
５今まであったもの、付いていたものを除き去る。不要のものとして取り除く。「染みを—・く」「籍を—・く」「不良品を—・く」「さびを—・いたにぎりずし」
６手順などを省く。また、それなしで済ませる。省略する。「仕事の手を—・く」「朝食を—・く」
７前にいる者や上位の者に追いつき、さらにその先に出たり、その上位になったりする。「先頭の走者を一気に—・く」「すでに師匠の芸を—・いている」
８新聞報道やテレビ報道などで、他社に先駆けて特ダネを報道する。すっぱ抜く。「スクープを—・く」「他紙に—・かれる」
９力などが他よりすぐれている。基準よりも上である。「実力が群を—・いている」
10（「貫く」とも書く）突き通して向こう側へ出るようにする。一方から他方へ通じさせる。つらぬく。「山を—・いてトンネルをつくる」「一、二塁間を—・くヒット」
11型にはめて、ある形として取り出す。また、ある部分だけ残して他の部分を染める。「ハート形に—・く」「紫紺の地に白く—・いた紋」
12攻め落とす。「城を—・く」「堅塁を—・く」
13和服の着方で、抜き衣紋にする。「襟を—・く」
14囲碁で、相手の死んだ石を取る。
15（動詞の連用形に付いて）そのことを最後までする。しとおす。また、すっかり…する。しきる。「難工事をやり—・く」「がんばり—・く」「ほとほと困り—・く」
[可能]ぬける
［動カ下二］「ぬける」の文語形。
[下接句]足を抜く・荒肝(あらぎも)を抜く・息を抜く・生き馬の目を抜く・生き肝を抜く・一頭地を抜く・肩を抜く・気を抜く・群を抜く・尻毛(しりげ)を抜く・筋骨(すじぼね)を抜かれたよう・月夜に釜(かま)を抜かれる・手を抜く・度肝を抜く・毒気(どっけ)を抜かれる・鼻毛を抜く・山を抜く</t>
        </is>
      </c>
      <c r="D5650" t="inlineStr">
        <is>
          <t>貫くべき；貫く黒い；貫く長い；貫く形で建設；貫く広い</t>
        </is>
      </c>
      <c r="E5650" t="inlineStr">
        <is>
          <t>保つ；貫通；貫入；貫き通す；打ち抜く</t>
        </is>
      </c>
      <c r="F5650" t="inlineStr">
        <is>
          <t>貫く黒い十字</t>
        </is>
      </c>
      <c r="H5650" t="n">
        <v>29</v>
      </c>
      <c r="I5650" t="inlineStr">
        <is>
          <t>以後も実験的なスタイルを貫きながら定期的に作品を発表し続けている。；この音は鋭い剣のような指向性をもっていて、ぼくの頭を貫こうとする。；晩年まで貫いた創作力の強さこそが真の保全の姿であったと考えられる。；それでもわたしは引きつづき、自分の心を鬼にして決心を貫こうとした。；図の中央を東西に貫き、北西方向に伸びているのがバルカン山脈である。；旧日本橋区西側を南北に貫く中央通り沿いが賑わいの中心となっている。；その記憶が、不意と落ちかかって僕の心を貫き、僕の足をよろめかせた。；これら4本はほぼ並行して敷設され、町の南部から北西部を貫いている。；島の中央を南北に貫く県道に沿って、島の中心となる町が形成されている。；反射した二次放射線が再度患者や同席する人間の身体を貫くこともある。；どれほどの苦痛がこの身を貫こうとも、もう、逃げるのはごめんだった。；刀で鎧を貫くのは非常に困難だが、槍で突かれると貫通する場合がある。；故城の中心には中央大道が貫き、城内を東西2つのエリアに分けていた。；清貧を貫き、政治家人生でお金に関して非難を受けたことがないという。；その砲身は上甲板から中甲板を貫いて下甲板にまで達する長大な物だった。；羽女の剣が喉を貫こうとした時、男具那の刀はその剣を叩いていた。；基地を貫く1本の側線があり、この主線の先に操車場が設置されている。；女を貫きながら、漠然と清美との仲を清算したほうがいいと考えていた。；また、それら全体のやや下側と思われる部分に前後に貫く構造が見られた。；現在の公園敷地の中央部に位置し、公園を東西に貫く歩道の脇にある。；中心となるのは昭和通りの北を、渡辺通りの西で南北に貫く親不孝通り。；しかし会自体は産業報国会への統合を拒否し、独自の立場を貫こうとした。；舌の動きの止まった口の中を貫き、陰茎は最深部までいっきに到達した。；所持している武器は鉈ではなく大剣であり、鉄の扉を紙のように貫く。；大統領夫人になってもそれを貫いて公式の場に出席することを拒んだ。；結果として、この姿勢を貫いたことが曇り一家との対立を決定的にした。；郡名は郡中央を南北に貫いて流れるボスキー川に因んで名付けられた。；あくまで他人のふりを貫こうと、並んで立ちながらもお互いに目は合わせない。；質素倹約な生活を貫き、財力を主に教育方面への社会還元に使っている。</t>
        </is>
      </c>
      <c r="J5650">
        <f>HYPERLINK("https://www.weblio.jp/content/貫く", "词义详情")</f>
        <v/>
      </c>
      <c r="K5650">
        <f>HYPERLINK("https://yourei.jp/貫く", "查看例句")</f>
        <v/>
      </c>
    </row>
    <row r="5651">
      <c r="A5651" t="inlineStr">
        <is>
          <t>連ねる</t>
        </is>
      </c>
      <c r="B5651" t="inlineStr">
        <is>
          <t>成功</t>
        </is>
      </c>
      <c r="C5651" t="inlineStr">
        <is>
          <t>読み方：つらねる
［動ナ下一］［文］つら・ぬ［ナ下二］
１1列に、また順番に並べる。「軒を—・ねる家々」「翼を—・ねて飛ぶ」
２関係者の一人として仲間に入る。その団体の一員として加わる。「名簿に名を—・ねる」
３つなぎ続ける。次から次に言う。「美辞麗句を—・ねる」
→並べる［用法］</t>
        </is>
      </c>
      <c r="H5651" t="n">
        <v>29</v>
      </c>
      <c r="I5651" t="inlineStr">
        <is>
          <t>狭い店内は客が鍵の手に十人も椅子を連ねることが出来たであろうか。；なお、世界団体では優勝メンバーの一員として名を連ねることになった。；あの程度の奴を、たとえ末席といえども幹部に連ねるべきではなかった。；旧市街には狭い通りを挟んで中世及びルネサンス期の建物が軒を連ねる。；その後の世界団体では優勝メンバーの一員として名を連ねることになった。；周囲には工場が多いが、駅前には少数の売店や居酒屋なども軒を連ねる。；ここで収録される作品はMBS企画が制作協力に名を連ねる作品が多かった。；飲み屋が軒を連ねるあまりお行儀のよくない地域に小さな店を構えた。；そう、会計検査院の名はどの機関の下にも書き連ねることができない。；頭と尾とが左右の角に当り、それを連ねる線から上に二辺、下に三辺がある。；十五名の合格者の中に名前を連ねることはできなかったのである。；名通会にその名を連ねることは寄稿士の間でも大変に栄誉あるものとされた。；前任者の穴を補って余りある活躍を見せ、代表にも名を連ねるようになる。；幽霊会社の名義人に名前を連ねる話は有紀子には言わないでおくことにした。；彼等によれば個人と個人とを連ねる客観的な、外部的な標準はないからである。；美術大学は普通、一般大学を対象としたランキングに名を連ねることはない。；また最近でもパイオニア精神が旺盛で、多岐に渡る新商品が軒を連ねる。；世界団体では優勝メンバーの一員として名を連ねることになった。；世界団体でも優勝メンバーの一員として名を連ねることになった。；これらの店が軒を連ねる地域の形容して花街・花町と呼ぶ場合がある。；下は6ドルから上は200ドルまでと料金の幅の広い宿が軒を連ねる。；両親は実業家で、朴本人も母親が経営する企業の取締役に名を連ねる。；手が紙の上に、字の形にならぬ線を描き連ねるばかりだった。；上句・下句を連ねるものばかりとは言へない、連歌の一体なのである。；作風は初代とほぼ同様で、初二代とも後世の業物の番付けにも名を連ねる。；現在も岩槻駅周辺や人形町通り、市宿通りなどに人形店が軒を連ねる。；この当時から年代別の代表に名を連ねる選手であった。；二月に入っても、やはり同じ文章だけを書き連ねる日々が繰り返されていた。；明確な虎口、堀切の跡は無く、削平された段を連ねる構造は残っている。</t>
        </is>
      </c>
      <c r="J5651">
        <f>HYPERLINK("https://www.weblio.jp/content/連ねる", "词义详情")</f>
        <v/>
      </c>
      <c r="K5651">
        <f>HYPERLINK("https://yourei.jp/連ねる", "查看例句")</f>
        <v/>
      </c>
    </row>
    <row r="5652">
      <c r="A5652" t="inlineStr">
        <is>
          <t>釣られる</t>
        </is>
      </c>
      <c r="B5652" t="inlineStr">
        <is>
          <t>成功</t>
        </is>
      </c>
      <c r="C5652" t="inlineStr">
        <is>
          <t>読み方：つられる
［動ラ下一］《動詞「つる」の未然形＋受身の助動詞「れる」から》
１誘い出される。誘惑される。「景品に—・れて買う」
２ひきいれられる。影響を受ける。「笑顔に—・れてほほえむ」</t>
        </is>
      </c>
      <c r="D5652" t="inlineStr">
        <is>
          <t>釣られるよう(33%)；釣られる魚(3%)</t>
        </is>
      </c>
      <c r="E5652" t="inlineStr">
        <is>
          <t>誘われる；惹かれる；引っかかる；飛びつく；騙される</t>
        </is>
      </c>
      <c r="H5652" t="n">
        <v>29</v>
      </c>
      <c r="I5652" t="inlineStr">
        <is>
          <t>いった後で彼は相手に釣られた自分に気づき、不愉快そうな顔になった。；最初のちらしに釣られていなければ、こんなことにならずにすんだのに。；栞子さんは釣られてなにか言いかけたが、結局思い留まったようだった。；少女たちも釣られて狂乱状態となり、裸になって踊り出す少女も出てきた。；釣られるようにその場にいた全員が悲劇が起きたであろう場所に視線を向けた。；新六に釣られたわけではないが、酒を飲んでいるうちにだんだん興味が出てきた。；両の腕も、自らの叫びの勢いに釣られたようにやや前に持ち上げられている。；釣られて首を上に向けた真由の耳に、急速に近づいてくる何かの音が耳に入る。；釣られて腕の時計を見ると、時刻はちょうど午後八時を指そうとしていた。；又助の言葉について釣られて、ここへやって来た二人なのであった。；僅か四五ペエジの文章なので、面白さに釣られてとうとう読んでしまった。；笑っているようだけど、こっちまで釣られて笑顔になるような雰囲気ではなかった。；それでも笛や太鼓の音に釣られてなんとか隊列を組んで練り歩いている。；釣られた拍子にどこか傷ついたのだろうか、口から大量の血を吐いている。；そんなもんに釣られてる俺がどうかしているだけなんだ!；こんな横好きで下手な連中に釣られる岩魚がいるだろうかとおかしくなる。；本来なら黙って話を聞いていればいいようなものだが、俺もつい雰囲気に釣られてしまう。；私も釣られて一気にエクスタシーに向かって駆け上がっていった。；瀕死の患者を扱う医者のような流麗の態度に釣られ、和穂は息を押し殺す。；田宮一人と見て男が釣られて席を立ち階段の上まで来た時、機を見て田宮が言った。；彼が母親の名を使ったので、子供は釣られて出て来ました。；その笑顔をどう勘違いしたのか、リエラも釣られて泣き笑いの顔になった。；省作はまるで自分の体が宙に釣られてる思いがしている。；釣は釣る人の心を統一すると共に、釣られる魚の心を集中しなければならぬ。；俺も釣られて真似をしていたが、頭にあったのは古書とはまるで無関係のことだった。；アメリカでは主に遊漁的に釣られるが、商業的にも重要である。；普通を憎む反面で滝神に釣られたのか、というと否定したくなる。；俺も釣られて、吐き気を催しそうになり、これはいかんと耳に指で栓をした。；ルーズリーフのバインダーを抱えた新庄も釣られるように後ろを見た。</t>
        </is>
      </c>
      <c r="J5652">
        <f>HYPERLINK("https://www.weblio.jp/content/釣られる", "词义详情")</f>
        <v/>
      </c>
      <c r="K5652">
        <f>HYPERLINK("https://yourei.jp/釣られる", "查看例句")</f>
        <v/>
      </c>
    </row>
    <row r="5653">
      <c r="A5653" t="inlineStr">
        <is>
          <t>釣り</t>
        </is>
      </c>
      <c r="B5653" t="inlineStr">
        <is>
          <t>成功</t>
        </is>
      </c>
      <c r="C5653" t="inlineStr">
        <is>
          <t>読み方：つり
《「吊り」と同語源》
１魚を釣ること。また、その方法。さかなつり。「—の名人」「鮒(ふな)—」
２「釣り銭(せん)」の略。「—を渡す」
３インターネット上の掲示板などで、嘘の情報で多くの人を騙すこと。「原油先物の儲け話は—だった」</t>
        </is>
      </c>
      <c r="D5653" t="inlineStr">
        <is>
          <t>釣り師(2%)；釣り客；釣り道具；釣り餌；釣り好き</t>
        </is>
      </c>
      <c r="E5653" t="inlineStr">
        <is>
          <t>変化；吊り；釣；両替；魚釣り</t>
        </is>
      </c>
      <c r="F5653" t="inlineStr">
        <is>
          <t>イカ釣り；川釣り；ハゼ釣り；アユ釣り；釣り仲間</t>
        </is>
      </c>
      <c r="G5653" t="inlineStr">
        <is>
          <t>釣り上げ；釣り人；釣り糸；釣り場；釣り竿</t>
        </is>
      </c>
      <c r="H5653" t="n">
        <v>29</v>
      </c>
      <c r="I5653" t="inlineStr">
        <is>
          <t>ウツボ類の分布域では、潜水や釣りなどの際に十分な注意が必要である。；二人が釣りをしていた場所は島ではなく巨大なクジラの上だったのである。；古代、釣瓶は字の如く土器を竹籠に入れそれを釣り下げて利用していた。；川や湖に面したほとんどの土地で釣りが行われ、堤は釣りに利用される。；引退後は釣りや草野球などを楽しみながら悠々自適な生活を送っている。；ただし、かつて力を入れていた釣り道具、楽器は取り扱いを止めている。；これが先史時代より釣りで使用されている古典的な仕掛けの全容である。；船舶免許を取り、三浦港から一人で船を出して釣りに出たこともあった。；地元利用がほとんどだが、渡良瀬川で釣りをする人が利用することもある。；大型のものは顎の力が大変強く、釣り等で捕獲する際には注意が必要である。；大の釣り好きであり、ツアー中や合宿中に暇を見つけては釣りをしている。；キス類の多くは食用に利用されるほか、釣りの対象としても人気が高い。；釣り方は関東と同じく、魚の泳層を探してその上下の層を釣っていく。；魚の大きさ、種類、数に制限を受けることなく、許可なしで釣りができる。；目の形も当初はたれ目であったが、最近は釣り目となっている。；水揚げした魚を氷詰めにするために、釣り道具に含まれていることもある。；釣り人が川で釣りをしている最中に、一人の坊主が現れて長話に興じる。；そのため、サケ科の魚が生息する河川や湖沼で釣りをする場合が多い。；漁船上や、海岸などで釣りをする時などにも用いられることがある。；また、地元九州の釣り関係企業も、スポンサーとして番組を支えていた。；産業としての漁業のほか、川釣りも人気のあるレジャーのひとつである。；また、釣りなどで用いられるおもりの材料としても鉛は用いられている。；ヴェッテルン湖は、近隣地域の人々を満足させる釣りでも有名である。；そして、釣りノートを完成させるのが、このゲームの真の目的である。；特徴である細い釣り目状のカメラアイは、以降に登場する機体にも採用された。；当時は既に釣り餌会社が何社もあり、マルキユーは後発メーカーだった。；付近の海域は好漁場として知られ、多くの釣り客が四国外からも訪れる。；本種は食用にはならないが、クロダイ等の釣り餌に使われることがある。；元はボート遊びやアイススケートに使われたが年が経て現在では釣りのみに使われている。</t>
        </is>
      </c>
      <c r="J5653">
        <f>HYPERLINK("https://www.weblio.jp/content/釣り", "词义详情")</f>
        <v/>
      </c>
      <c r="K5653">
        <f>HYPERLINK("https://yourei.jp/釣り", "查看例句")</f>
        <v/>
      </c>
    </row>
    <row r="5654">
      <c r="A5654" t="inlineStr">
        <is>
          <t>釣り合う</t>
        </is>
      </c>
      <c r="B5654" t="inlineStr">
        <is>
          <t>成功</t>
        </is>
      </c>
      <c r="C5654" t="inlineStr">
        <is>
          <t>読み方：つりあう
［動ワ五（ハ四）］
１二つ以上のものの平均がとれている。「左右が—・う」「収入と支出とが—・う」
２色や材質などの調和がとれている。「帯と着物の色が—・っている」
３互いに相手にふさわしい。似合う。「—・う縁組み」</t>
        </is>
      </c>
      <c r="D5654" t="inlineStr">
        <is>
          <t>合う；バランス；マッチ；調和；均衡</t>
        </is>
      </c>
      <c r="H5654" t="n">
        <v>29</v>
      </c>
      <c r="I5654" t="inlineStr">
        <is>
          <t>滑り面が一定速度で運動しているとき、そこに働く力は釣り合っている。；今まで助けてもらったんだから、これぐらいしないと釣り合わないんだよ。；二〇三〇年あたりで、受給と歳入は釣り合ってしまうことになっている。；この協奏曲はガールブゾヴァの魅力に完全に釣り合っていたといわれる。；彩乃が抱えているもの、これから抱えていくものと釣り合うわけがない。；身分や財産が釣り合うように、親戚をたくさん増やさないようにとねえ。；労働は健康の有力な要素であり毎日の生活を釣り合わせリズムを決定している。；輸入した銅貨の箱の量と、輸出した銅貨の箱の量が釣り合わないのだ。；もっとも、費用と利益が釣り合っていれば、やる価値は十分にあるが。；いわゆる身分の釣り合わない結婚に対して親が反対したのであろう。；上の式は圧力の勾配による鉛直方向の力と重力とが釣り合うことを示す。；しかし、それは兄を含めた何十万もの生命と釣り合うほどの価値があったんだろうか?；勝負それ自体は一対一でも、その結果は少しも釣り合っていない取引だった。；いや、動かないのではなくて、引き合う力が釣り合っているだけのようだ。；一定速度で水平飛行しているとき、飛行機に働く力はすべて釣り合っている。；愛だけではたりず、王位にあってこそ釣り合うものを求めてわたしは行くのだ。；彼女は財産面から言って、ゴリオと自分は釣り合う仲間だと確かに考えていた。；このようにして収縮と膨張が釣り合ったところで恒星は安定している。；足の裏の温度と板の温度がたちまち釣り合ってゆくらしい。；パイプライン設計では、各ステージを釣り合わせることが重要である。；千花も何度か会ったことがあるが、背の高さはあまんと釣り合う。；踊りの手解きの手に鑿槌もって商売変えした男と一国の姫が、どう釣り合う。；自分の利益のためならば、天秤が釣り合うまで二日でも三日でも待つのが商人だ。；箱の内部には光量子がいつもそれと増減の収支が釣り合う数だけある。；でも男の人にもやはりそういう一面があって、それでちょうど釣り合うんだと思ってました。；弟は恋人と結婚することを拒否していた理由は、彼の地位や財産に彼女が釣り合わないからだった。；結局、彼の勇気は彼の怒りとは釣り合わないことがわかった。；彼らには橘たちの命に釣り合うだけの価値があるに違いない。；だからおまえと釣り合うようにエースになろうって思ってたのにな。</t>
        </is>
      </c>
      <c r="J5654">
        <f>HYPERLINK("https://www.weblio.jp/content/釣り合う", "词义详情")</f>
        <v/>
      </c>
      <c r="K5654">
        <f>HYPERLINK("https://yourei.jp/釣り合う", "查看例句")</f>
        <v/>
      </c>
    </row>
    <row r="5655">
      <c r="A5655" t="inlineStr">
        <is>
          <t>釣鐘</t>
        </is>
      </c>
      <c r="B5655" t="inlineStr">
        <is>
          <t>成功</t>
        </is>
      </c>
      <c r="C5655" t="inlineStr">
        <is>
          <t>読み方：つりがね
寺院の鐘楼などにつるしてある大きな鐘。青銅で鋳造し、つり撞木(しゅもく)でつき鳴らす。梵鐘(ぼんしょう)。</t>
        </is>
      </c>
      <c r="D5655" t="inlineStr">
        <is>
          <t>釣鐘型(14%)；釣鐘状(7%)；釣鐘形(6%)；釣鐘マント(4%)；釣鐘堂(2%)</t>
        </is>
      </c>
      <c r="E5655" t="inlineStr">
        <is>
          <t>鐘；梵鐘；半鐘；釣り鐘；ベル</t>
        </is>
      </c>
      <c r="G5655" t="inlineStr">
        <is>
          <t>釣鐘町；釣鐘屋本舗；釣鐘洞門</t>
        </is>
      </c>
      <c r="H5655" t="n">
        <v>29</v>
      </c>
      <c r="I5655" t="inlineStr">
        <is>
          <t>ところで、私は今もちょうどその釣鐘の塔の中にいるような心地がする。；清玄の亡霊は最後には桜の枝に掛けられた釣鐘の中に隠れ、鐘が落ちる。；庭の花は、拡声器の形をした円筒型ではなく、釣鐘の形の円筒型なのだ。；釣鐘は、鐘の一種で、日本・中国・朝鮮の様式で作られたものを言う。；小指を掛けてもすぐ引っ繰り返りそうな餌壺は釣鐘のように静かである。；それぞれの木のそばの地中から、釣鐘形のものが顔を出していた。；私は今、ちょうどあの釣鐘の塔のなかにいるような気がする。；黒い釣鐘マントを着た久左衛門が庭に立っていて、もう私の荷物を下げていた。；クローシュには釣鐘のような形をした帽子、という意味もございます。；ワークステーションの画面には、釣鐘状の物体が三次元投影されていた。；幕府では沿岸警備のために、寺院の釣鐘を運び、口を海に向けて並べていた。；あれはどこの鐘かと聞くと、東大寺の大釣鐘が初夜を打つのであるという。；今度は三姉妹の次女の雪枝が首を絞められて釣鐘の中に押し込まれていた。；それはもう少し前に寺の本堂の前で見た釣鐘であつた。；魂の真の闇、釣鐘の中にも似た暗闇が、車の音が消えていくにつれ彼の上に降りてきた。；釣鐘型の花がうっとりするような軽やかな香りを放っています。；トリックに用いた舞台用釣鐘を現場に運搬したのは村長と幸庵である。；だから小さい時から釣鐘の音やあの宗旨で使う念仏の鉦の音は聞き慣れていたんです。；堂の正面は、左右に釣鐘の形をした火灯窓が配され、中央に二枚の戸がある。；さてはあの釣鐘にとぐろを捲きたる蛇の執着を思わずにはいられない。；石柱の上には細い釣鐘状のシカラ群がおり重なってそびえたっている。；鉄でできた深い釣鐘で、その音を聞いていると、ルイスは夢も希望もないような気持ちになった。；釣鐘のような形の火灯窓を西小天守と乾小天守の最上階に多用している。；ある日子供の頃、ノートル・ダームの釣鐘を見に行ったときのことを、私は覚えている。；それはあたかも、巨大な釣鐘の中に頭をつっこんで、手を叩いているようだった。；ウラナイ教が何程、シヤチになつても、釣鐘に蚊が襲撃する様なものだ。；本種の釣鐘形の花は、小さな妖精の隠れ家に使われると考えられた。；余はうっとりとしているとボーンという釣鐘の音が一つ聞こえた。；その目は釣鐘の中の死喰い人の頭を見つめていた。</t>
        </is>
      </c>
      <c r="J5655">
        <f>HYPERLINK("https://www.weblio.jp/content/釣鐘", "词义详情")</f>
        <v/>
      </c>
      <c r="K5655">
        <f>HYPERLINK("https://yourei.jp/釣鐘", "查看例句")</f>
        <v/>
      </c>
    </row>
    <row r="5656">
      <c r="A5656" t="inlineStr">
        <is>
          <t>吊革</t>
        </is>
      </c>
      <c r="B5656" t="inlineStr">
        <is>
          <t>成功</t>
        </is>
      </c>
      <c r="C5656" t="inlineStr">
        <is>
          <t>読み方：つりかわ
電車やバスで、立っている客がからだを支えるためにつかまる、上からつるされた輪。
[補説] もとは革製。現在では主に合成樹脂の帯が使われており、「吊り手」ともよばれる。</t>
        </is>
      </c>
      <c r="H5656" t="n">
        <v>29</v>
      </c>
      <c r="I5656" t="inlineStr">
        <is>
          <t>せっかく確保した吊革をとられるものかと必死に右手で握りしめていた。；ふたりは吊革につかまって窓の外に顔を向けている乗客をはっきりと見た。；吊革にはつかまれない彼女は、代わりに聡史郎の服の端をつかんでいた。；新宿に向かう電車の中でも、吊革といっしょに悔しさを握りしめていた。；宙に浮かせた手をそのまま吊革へもってゆき、私は彼女たちを盗み見た。；それは他人の汗で濡れた吊革をつかまされているような、いやな感触だった。；江川は車輛のドアとドアの中央あたりの吊革につかまってじっとしている。；まだ座についていなかった乗客たちが慌てて吊革や手すりにすがる。；君はそのバスの左側の窓に顔を向けて吊革につかまっているんだ。；その後2011年から、一部の編成の車内吊革の改良工事が行われている。；彼女は背が低いので、吊革に手を伸ばすのは少し厳しいのだろう。；太郎を首に掛けて、両手で吊革に下っていた、電車の混雑の中のことに相違ない。；その長い吊革を利用して、彼は天井の配管スペースによじ登ることができた。；通過していく電車の吊革にはだれもぶらさがっていなかった。；普通の電車と同じように吊革もシルバーシートも作られている。；吊革につかまって、おまえはドアの上に掲げられた路線図をじっと見つめた。；この人は長身なので少し背中を丸めて吊革を持ち、じっと窓の外を見つめている。；どうにか吊革を確保した時には、先程の男性のことは忘れていた。；須藤が何気なく見ると、江川のつかまっていた吊革が無人になっている。；私は席がなくて妻の横に吊革をつかんで立ちながら、行先に待っているものが少しずつ不安になりかけていた。；そして、バー・ふたり、は連日のように吊革の客が出るのだった。；山代は吊革にぶら下がったまま窓外を走る屋根や人や道路や橋を見守っていた。；座席はロングシートになっており吊革も付けられていた。；優先席の吊革は全編成でE233系タイプのものに交換済みである。；吊革は夫人をして安心させる事が出来る。；吊革につかまって停留所を幾つか過ぎ、やがて見なれた花屋の前で降りた。；加藤は岩瀬と並んで吊革にぶらさがり、窓の外に目をやって妙な表情を泛べた。；俺は吊革につかまって、特に意味もなく窓の外を眺めた。；吊革は東京メトロ等で使用されている3角形が採用されている。</t>
        </is>
      </c>
      <c r="J5656">
        <f>HYPERLINK("https://www.weblio.jp/content/吊革", "词义详情")</f>
        <v/>
      </c>
      <c r="K5656">
        <f>HYPERLINK("https://yourei.jp/吊革", "查看例句")</f>
        <v/>
      </c>
    </row>
    <row r="5657">
      <c r="A5657" t="inlineStr">
        <is>
          <t>吊る</t>
        </is>
      </c>
      <c r="B5657" t="inlineStr">
        <is>
          <t>成功</t>
        </is>
      </c>
      <c r="C5657" t="inlineStr">
        <is>
          <t>読み方：つる
［動ラ五（四）］
１（「攣る」とも書く）引っ張られた状態になって一方へ寄る。つれる。
㋐筋肉が急に収縮し、痛くて動かせなくなる。ひきつる。「筋が—・る」
㋑物の一方の端が引っ張られたように上へ上がる。つりあがる。「目の—・った人」
㋒引かれて縮む。「縫い目が—・る」
２
㋐（釣る）魚を釣り針にひっかけてとる。また、それに似たやり方で虫などをとらえる。「カツオを—・る」「トンボを—・る」
㋑（釣る）気を引くようなことをちらつかせて、こちらの思うとおりに相手を動かす。巧みに相手を誘う。「甘い言葉で—・る」「広告で客を—・る」
㋒物の上部を固定して垂れ下げる。上からぶらさげる。また、物の両端を固定して空中にかけ渡す。「棚を—・る」「蚊帳(かや)を—・る」「橋を—・る」
㋓（吊る）首をくくる。縊死(いし)する。「首を—・る」
㋔（吊る）相撲で、両手を相手のまわしにかけて高く持ち上げる。
[可能]つれる
［動ラ下二］「つ（吊）れる」の文語形。</t>
        </is>
      </c>
      <c r="D5657" t="inlineStr">
        <is>
          <t>つける；中断；付ける；下げる；掛ける</t>
        </is>
      </c>
      <c r="G5657" t="inlineStr">
        <is>
          <t>吊るさ；吊るす；吊るし上げ；吊るし首；吊るしあげ</t>
        </is>
      </c>
      <c r="H5657" t="n">
        <v>29</v>
      </c>
      <c r="I5657" t="inlineStr">
        <is>
          <t>もう地下鉄の中でのように一人で二つの吊皮を占領することもできない。；こちらはもう床を離れていたが、腕にはまだ三角巾を吊ったままである。；レイフォンと同じように、武器の吊られていない剣帯が腰で揺れている。；俺は一度しか行えなかったけれど、人間を吊ってしまうこともあるのに。；扉を開けると、そこには窓際で首を吊って死んでいる彼女の姿があった。；吊籠自体は深さが四フィートあるので、縁には彼の胸から上しか出ない。；熊の少女に背中を押される形で、私は天井から吊られることを決意した。；その松の樹には、今は亡き弟と或時叱られて吊り下げられたことがある。；玲は首を吊って死んでしまった皇女のことを考えながら視線を落とした。；糸で吊られたタイトルが出る事もあるなど出現形態もいくつかある。；それは、天井に吊られたパラシュートをそのまま小さくしたものだった。；自分の身長の半分以下の高さで首を吊ることなどできるものだろうか。；まだ十歳だったぼくは、それまで首を吊る現場を見る機会はなかった。；恐怖のためとは思いたくないけれど、なぜか舌が吊れて声が出にくい。；これに優るしろものが軍人の腰に吊られたことは かつてありません。；首から白い布片を吊つて此れも白く繃帶した手を持たせたものもあつた。；以前はそこにラインハルトの贈った小鳥が籠に入れて吊ってあったのだ。；一瞬遅れて面を吊っていた紐が切れ、床に落ちた面が乾いた音をたてる。；覆面の男は、このままでは近い内に首を吊らなくてはならないそうだった。；軽く運動をして、右腿に吊っているパースエイダーの整備と訓練をした。；もう姉のおつなが二人の床を一つ部屋に取つて、蚊帳を吊つてしまつた。；切り顎・吊り顎な点は、或は何かの関係を引いてゐるのかも知れない。；脱臼した腕はまだ布で吊っていたが、顔色はずいぶんよくなっていた。；イシュタムはドレスデン絵文書には首を吊った女性の姿で描かれている。；話によると彼は多くの点で適当と思われる場所に骨付き肉を吊り下げさせた。；高校でひどいイジメにあって、工場の片隅で首を吊ってしまったらしい。；それは剣で、黄金色の飾りがついた鞘におさまり左の腰に吊られていた。；父と息子、あるいは2人の兄弟や友人同士が隣り合わせで吊られていた。；だが、吊られた人影が突然視界に入り、急ハンドルを切り事故を起こす。</t>
        </is>
      </c>
      <c r="J5657">
        <f>HYPERLINK("https://www.weblio.jp/content/吊る", "词义详情")</f>
        <v/>
      </c>
      <c r="K5657">
        <f>HYPERLINK("https://yourei.jp/吊る", "查看例句")</f>
        <v/>
      </c>
    </row>
    <row r="5658">
      <c r="A5658" t="inlineStr">
        <is>
          <t>釣る</t>
        </is>
      </c>
      <c r="B5658" t="inlineStr">
        <is>
          <t>成功</t>
        </is>
      </c>
      <c r="C5658" t="inlineStr">
        <is>
          <t>読み方：つる
［動ラ五（四）］
１（「攣る」とも書く）引っ張られた状態になって一方へ寄る。つれる。
㋐筋肉が急に収縮し、痛くて動かせなくなる。ひきつる。「筋が—・る」
㋑物の一方の端が引っ張られたように上へ上がる。つりあがる。「目の—・った人」
㋒引かれて縮む。「縫い目が—・る」
２
㋐（釣る）魚を釣り針にひっかけてとる。また、それに似たやり方で虫などをとらえる。「カツオを—・る」「トンボを—・る」
㋑（釣る）気を引くようなことをちらつかせて、こちらの思うとおりに相手を動かす。巧みに相手を誘う。「甘い言葉で—・る」「広告で客を—・る」
㋒物の上部を固定して垂れ下げる。上からぶらさげる。また、物の両端を固定して空中にかけ渡す。「棚を—・る」「蚊帳(かや)を—・る」「橋を—・る」
㋓（吊る）首をくくる。縊死(いし)する。「首を—・る」
㋔（吊る）相撲で、両手を相手のまわしにかけて高く持ち上げる。
[可能]つれる
［動ラ下二］「つ（吊）れる」の文語形。</t>
        </is>
      </c>
      <c r="D5658" t="inlineStr">
        <is>
          <t>釣る毎</t>
        </is>
      </c>
      <c r="E5658" t="inlineStr">
        <is>
          <t>誘惑；誘う；掛ける；そそる；煽る</t>
        </is>
      </c>
      <c r="F5658" t="inlineStr">
        <is>
          <t>高く釣る；引釣る</t>
        </is>
      </c>
      <c r="H5658" t="n">
        <v>29</v>
      </c>
      <c r="I5658" t="inlineStr">
        <is>
          <t>どこの池や川へいっても釣る人がいないので不気味なくらい静かだった。；あしたは絶対にみんなで食べても食べきれないほど釣ってみせますから。；左の端には火熨斗ぐらいの大きさの鐘がやはり枠の中に釣るしてあった。；本当にその日自分が食べる分だけ、一匹か二匹釣って終りにするんです。；しかし小銃も戦車も使えない部隊は魚でも釣るよりほかにする事もない。；だからよほどの大物を釣っても逃してやらなければいけなくなっている。；あしたはどんな苦労をしても十匹以上は絶対に釣ってやると決意した。；いった後で彼は相手に釣られた自分に気づき、不愉快そうな顔になった。；少し疲れてきたし、それに昼ごろはどうせほとんどなにも釣れないものだ。；釣れたポケモンは種類別にこれまでの最大の大きさがデータに記録される。；近所の川から釣ってきた魚や、山でとれたキノコなんかも混じっていた。；魚ではなく女を釣っていたのだろうという、あてこすりかと思ったのだ。；さすがの人間も蚊帳というものを釣らなければならないことになります。；彼女は今では川に出た日は必ず二匹以上のイワナを釣って来ていたのだった。；そして彼等が釣って来る魚が、重要な家計の足しになると言ったような。；最初のちらしに釣られていなければ、こんなことにならずにすんだのに。；栞子さんは釣られてなにか言いかけたが、結局思い留まったようだった。；少女たちも釣られて狂乱状態となり、裸になって踊り出す少女も出てきた。；それが最高かと思っていると、やがて千百匹釣る人があらわれたそうである。；そうではなくて、口の達者な、話で人を釣るといったやつだったのだな。；もしあつたとすれば、それはもう、蝦で鯛を釣るやうなものではないか。；かれが手伝ったのは魚を釣ってくること、彼女は薯と香草をとってきた。；もうちょっと遅れていたら一匹も釣らないで帰らねばならないところだった。；峻一も初めのころはそうして釣っていたものだが、今は体力が許さない。；私は自分が釣れないだけでなく、他人の魚を減らしてしまうのである。；釣られるようにその場にいた全員が悲劇が起きたであろう場所に視線を向けた。；釣った魚は、舟の上で食べてしまい、骨や頭は、帰る時には捨ててしまう。；いきなりの挨拶に釣られたのか、側に居た娘の一人が返事をした。；右の腕を繃帯で釣るして左の足が義足と変化しても帰りさえすれば構わん。</t>
        </is>
      </c>
      <c r="J5658">
        <f>HYPERLINK("https://www.weblio.jp/content/釣る", "词义详情")</f>
        <v/>
      </c>
      <c r="K5658">
        <f>HYPERLINK("https://yourei.jp/釣る", "查看例句")</f>
        <v/>
      </c>
    </row>
    <row r="5659">
      <c r="A5659" t="inlineStr">
        <is>
          <t>蔓</t>
        </is>
      </c>
      <c r="B5659" t="inlineStr">
        <is>
          <t>成功</t>
        </is>
      </c>
      <c r="C5659" t="inlineStr">
        <is>
          <t>読み方：かずら
つる草の総称。</t>
        </is>
      </c>
      <c r="D5659" t="inlineStr">
        <is>
          <t>蔓状；蔓薔薇；蔓牛；蔓バラ；蔓つて</t>
        </is>
      </c>
      <c r="E5659" t="inlineStr">
        <is>
          <t>蔓草；つる植物；蔦葛；蔦蔓</t>
        </is>
      </c>
      <c r="F5659" t="inlineStr">
        <is>
          <t>長い蔓；太い蔓；細い蔓；巻蔓；えび蔓</t>
        </is>
      </c>
      <c r="G5659" t="inlineStr">
        <is>
          <t>蔓草；蔓延る；蔓性；蔓植物；蔓性植物</t>
        </is>
      </c>
      <c r="H5659" t="n">
        <v>29</v>
      </c>
      <c r="I5659" t="inlineStr">
        <is>
          <t>そのうちに、彼は腕くらいの太さの蔓が垂れさがっているのを見つけた。；あの定次郎と云う男は女の為に好い金の蔓にありつけた訳じゃないかね。；いつか花の咲いているところを見たいと思っていた蔓バラの盛であった。；剣歯人どもは、二人を引きずりあげるようにして蔓をよじ登って行った。；ツタみたいな植物の蔓が、砂漠の方へ向かってどんどん伸びているのよ。；慌てて足に絡みつくものを見ると、それは蔓状に伸びたあんかけだった。；その間に、さつま芋の蔓も食べたし、アメリカの料理も食べさせられた。；この2体の像はそれぞれ植物の蔓を表現する螺旋装飾の柱の間にある。；金の蔓が戻ることはなかったが地名だけは残ったとするのが2つ目の説である。；また後者は焼き餅蔓の意であろうとするが、その理由は述べていない。；不安な気分で考えながら、解けかかった髪を再び草の蔓で結び直した。；ヴァレリアは剣を抜いてからみ合った蔓を切りひらきながら進んで行く。；唐草とは、花と葉のついた蔓が律動感のある曲線を描く文様一般をいう。；その傍では蔓の繼いだ眼鏡をかけた青年が少し横向きになつて本を見てゐた。；その土瓶にしても蔓を籐にしようと思つてゐたのが竹になつたりすることもある。；南瓜は晝間見て置いて夜になるとそつと蔓を曳いて所在を探すのである。；その時にはもう、何本もの氷の蔓が脚から腰、腹へと這い登っている。；悪くそんな奴が蔓ると、たちまち、能職が謡屋を兼るような事が出来する。；枝と蔓に縛られながら、ユーダイクスの笑みは消えていなかったのである。；一本の蔓ではなく何本もの蔓がからまりあい、太い綱のようになっていた。；髪飾りはつけないが埴輪を見ると髷に蔓や細帯を巻きつけているものもある。；葡萄の蔓のからんだ塀のつぎには、まず海よりほか眼にはいらなかった。；甘藷はすぐ蔓をのばし葉をつけたが、芋のできはほとんど皆無であった。；蔓状になった右手で、砂川の動きを封じていた蔦矢が、異変に気づいた。；その家には一杯朝顏や胡盧の蔓が這つて、戸は一つの蝶番で保つてゐる。；そして蔓の先は茶色がかった肌の女の手に変わり、私の陰茎を包みこんだ。；三宅博士は木通蔓の手籠をさげて、そのなかへのつそりと下りて往つた。；帰りがけに父は町の時計屋で蔓の細い銀縁の眼鏡を私に買つてくれた。；そこはブドウとコクワの蔓に覆われていて、しかも凹んだ谷間いだった。</t>
        </is>
      </c>
      <c r="J5659">
        <f>HYPERLINK("https://www.weblio.jp/content/蔓", "词义详情")</f>
        <v/>
      </c>
      <c r="K5659">
        <f>HYPERLINK("https://yourei.jp/蔓", "查看例句")</f>
        <v/>
      </c>
    </row>
    <row r="5660">
      <c r="A5660" t="inlineStr">
        <is>
          <t>吊るす</t>
        </is>
      </c>
      <c r="B5660" t="inlineStr">
        <is>
          <t>成功</t>
        </is>
      </c>
      <c r="C5660" t="inlineStr">
        <is>
          <t>読み方：つるす
［動サ五（四）］物をひもや縄などで結んで下へ垂らす。つり下げる。ぶらさげる。「軒先に風鈴を—・す」「洋服をハンガーに—・す」
[可能]つるせる</t>
        </is>
      </c>
      <c r="D5660" t="inlineStr">
        <is>
          <t>つける；中断；付ける；下げる；掛ける</t>
        </is>
      </c>
      <c r="H5660" t="n">
        <v>29</v>
      </c>
      <c r="I5660" t="inlineStr">
        <is>
          <t>あの無能な王たちのようにわたしを吊るそうと、敵がやってきたのです!；低い天井に吊るしたランタンが円を描くように、ゆっくりと揺れている。；家の裏に古タイヤを吊るし、毎日左右で50回ずつ打たせて練習させた。；天井と床から伸びたそれは式神の体を中空に留めて吊るしているものだ。；男たちは舞台のほぼ中央に鐘を下ろし、鐘を天井に吊るす作業にかかる。；首から吊るした左手を見て、宿の人間はわかったというようにうなずいた。；この状況だと、腰から吊るした拳銃というのはすごく間抜けな気がした。；いよいよもうだめかと思ったところでアーピスが彼を水面へ吊るしあげた。；LED式案内表示器は、客室端部に天井から吊るす形で設置されている。；それを自宅の神棚や軒先に吊るしておくと火難を逃れると言われている。；彼は黒豹の毛皮の下で腰に巻いた皮紐から吊るしていた包みをはずした。；床柱にはさばいたままの筆十数本を吊るし、机の上には硯がのせてある。；だから抜け穴の口から投げ込むか、あるいは吊るしておいたのでしょう。；矢はセシルを吊るしてあるロープの半ばを切り裂き、娘は悲鳴を上げた。；白髪を後方になでつけ、首から鎖に吊るした老眼鏡を下げた老人だった。；部屋の向かいに吊るした鏡のおかげで、全てを見ることができる。；そんなことを考えながらも、私の手は次々と吊るしてある服を品定めしていた。；腰に吊るした拳銃にとっさに手をやったものの、すぐに警戒を解いた。；ローは乗船していたポルトガル人を全員吊るした上で船に火を放った。；卓蔵の方はここへやって来る前に殺し、すでに部屋の扉に吊るしてあった。；サメを土に埋めて発酵させ、その後数か月吊るして乾燥させて作られる。；風が立ち、壁に吊るしてある鉢に植えられた草花が弱々しく揺れていた。；石を吊るしている紐に関する説明が看板に書かれていることもある。；ガラス板に囲まれた街灯など、一部のものは建物から吊るしている。；このためにゴリーは天井から吊るしたボウルに氷を入れて部屋を冷やした。；そのため室内に吊るして、囲炉裏火の熱と煙で干したのが始まりと言われる。；切れた糸は風鈴の吊るし輪を抜けて、全部が田島の手の中に戻った。；だが、ガルーは自分の腰に吊るした武器に、手を伸ばそうともしなかった。；誰もが冗談だったと知って、彼女を吊るしあげたものだった。</t>
        </is>
      </c>
      <c r="J5660">
        <f>HYPERLINK("https://www.weblio.jp/content/吊るす", "词义详情")</f>
        <v/>
      </c>
      <c r="K5660">
        <f>HYPERLINK("https://yourei.jp/吊るす", "查看例句")</f>
        <v/>
      </c>
    </row>
    <row r="5661">
      <c r="A5661" t="inlineStr">
        <is>
          <t>つるつる</t>
        </is>
      </c>
      <c r="B5661" t="inlineStr">
        <is>
          <t>成功</t>
        </is>
      </c>
      <c r="C5661" t="inlineStr">
        <is>
          <t>［副］(スル)
１物の表面がなめらかで、つやのあるさま。「—（と）した肌」
２なめらかで、滑りやすいさま。「雪道が—（と）して危ない」
３抵抗がなく、速く進むさま。するする。「—（と）そばを食う」
［形動］
１1に同じ。「—な幹」
２2に同じ。「—な廊下」
［アクセント］はツルツル、はツルツル。</t>
        </is>
      </c>
      <c r="D5661" t="inlineStr">
        <is>
          <t>つるつるすべる(3%)；つるつる滑る；つるつるすべり；つるつる光る；つるつるつる</t>
        </is>
      </c>
      <c r="E5661" t="inlineStr">
        <is>
          <t>すんなり；するする；円滑に；するすると；ずんずん</t>
        </is>
      </c>
      <c r="F5661" t="inlineStr">
        <is>
          <t>黒いつるつる；みたいにつるつる</t>
        </is>
      </c>
      <c r="H5661" t="n">
        <v>29</v>
      </c>
      <c r="I5661" t="inlineStr">
        <is>
          <t>どうして、こんなに生きた女の肌はつるつるしてるのかと不思議だつた。；彼はたつた今さつき剃つたばかりのやうな青いつるつるな頭をしてゐた。；そしてそれが最初のときほどつるつるには感じられないのに気づいた。；雨で枝がつるつるしてて、落ちないようにしがみついてるのがやっとさ。；それとも彼の指先が小尼の顔をさすったためにつるつるになったのかな?；球とも楕円ともつかない形をして、表面は非常につるつるとしている。；板のつるつるした床を歩いているうちに、ふっと羽根を擴げてみました。；先輩に似た誰かはテーブルに座ってうどんをつるつると食べている。；寝衣が汗にぐつしより濡れて痩せ細つた胸を汗の玉がつるつると辷つた。；小尼の顔にある何かつるつるするものが彼の指にくっいたのかしらん。；何かつるつるした巨大なものが体をぶつけているかのような音を。；このつるつるする世のなかで、支えてくれるものを感じるのが好きなんだ。；壁面は氷に覆われてつるつると輝き、垂直にどこまでも深く伸びている。；つるつるに剃りあげた禿頭すら、彼の美しさに奉仕しているようだった。；眉を剃ったり、無駄毛を処理したり、肌をつるつるにしているひとがいる。；色の白い子供がつるつると頬を光らせて素っ裸のまま八重子を見上げている。；闇のなかで、彼女はたったひとりのつるつるすべる乱痴気騒ぎを演じた。；つるつるしたタマゴがたのお面には、目が二つあいているだけだった。；その花を買うお客は頭も顔もつるつる光った肥っちょの紳士であった。；まるで兄の口から飛び出してきたようにすら見えるつるつるに磨かれた林檎。；壁面は氷に覆われてつるつると輝き、まっすぐどこまでも深く伸びている。；小さく気短そうな口をして、薄い髪がつるつるの額にはりついている。；第一毛をもって装飾されべきはずの顔がつるつるしてまるで薬缶だ。；つるつるとして頭の皮の頂上に、真黒な髪の毛があるのを早くも認めた。；頂きは柱の底部よりも広く、側面は大砲の砲身のようにつるつるしている。；キャビンに鏡はないが、つるつるしたパネルを見れば顔かたちはわかる。；つるつるして光る石かもしれないし、ガラスのようなかわらかもしれない。；どうも毛が少ないようだとは見ていたが、こうまで全身つるつるであろうとは思わなかった。；南窓はつるつるに剃った大きな頭の小坊主の横顔をじいっと瞶めていた。</t>
        </is>
      </c>
      <c r="J5661">
        <f>HYPERLINK("https://www.weblio.jp/content/つるつる", "词义详情")</f>
        <v/>
      </c>
      <c r="K5661">
        <f>HYPERLINK("https://yourei.jp/つるつる", "查看例句")</f>
        <v/>
      </c>
    </row>
    <row r="5662">
      <c r="A5662" t="inlineStr">
        <is>
          <t>連れる</t>
        </is>
      </c>
      <c r="B5662" t="inlineStr">
        <is>
          <t>成功</t>
        </is>
      </c>
      <c r="C5662" t="inlineStr">
        <is>
          <t>読み方：つれる
［動ラ下一］［文］つ・る［ラ下二］
１一緒について来させる。ともなう。同行する。「犬を—・れて散歩に出かける」
２一方の状況が変化するとともに他方の状況も変化する。「年をとるに—・れ忘れっぽくなる」</t>
        </is>
      </c>
      <c r="D5662" t="inlineStr">
        <is>
          <t>輸送；案内；伴う；率いる；同行</t>
        </is>
      </c>
      <c r="H5662" t="n">
        <v>29</v>
      </c>
      <c r="I5662" t="inlineStr">
        <is>
          <t>なお必ずしも最大人数の仲間を連れる必要は無く、一人で冒険することも可能。；武士たるものが死んで行くのにおんなこどもを連れるにはおよばぬことだ。；しかもその者たちをお国入りの供に召連れるのはあまりのなされ方。；しかし妻子を連れる暇などなかったため、政は母と置き去りにされた。；外へ出るときにはかならず副官と屈強な若者をふたり供に連れることにした。；父王であるオシロワケ王の婚姻の相手を連れるべく、大碓は美濃に来たのだ。；俺は敵の奏でる攻撃のテンポがごくごくわずか連れる気配を感じた。；旅行時には安全を期したり人と交流するため犬を連れるガターパンクも多いが、犬を列車に乗せるのに苦労している。；もしうちに置かないと決めましたら、あしたの夜までにお宅へこの子を連れるなり、送りとどけるなりいたしますわ。；サローヤンは夏休みの子らをヨーロッパに連れることもあったがしだいに疎隔した。；奴隷とする為の蛹を連れる「奴隷狩り」は、主に夏の蒸し暑い日の午後に行われる。；見よ、四面の連山のさながら波濤の起伏するがごとく遠く高く連れるを。；同種のオトモ君を複数連れることも可能だが、新たにオトモ君を取得し3匹を超えた時点でそれまで育てたオトモ君が消滅してしまうので注意が必要である。；それから、氏は一人の書記を連れることにした。；弟は最初、彼が羊を連れるのではなく、穀物の袋を抱えているのを見て不思議そうにしたが、彼が意図を語ると、目を細めて頷いた。；お父さんの遊歴に子供を連れるのは、いいこともあるが、子供にとっては遠慮すべきこともあって、あまりいいことともいえない点もいろいろあったらしい。；ただし、おまけの黒リボンルートでは、猫をかぶっただけのでじこを連れることとなる。；そして、集ってきた近所の人々を連れると、隅田川に架った橋を渡り工場の寄宿舎に案内した。；アンナにカナンと云ふ有名な男、同じ供に連れるのでも、偉い違だ。；えずく濤羅の傍らに、気がつけば彼の連れるガイノイドが佇んでいた。；農作業に出る者がいて、家畜を連れる者がいて、服を繕っている者や、補修のためだろう鍋を打っている者もいる。；飛燕は馴れて可愛いけれど、性格が柔らかいぶん戦場に連れるのは不憫です。；そのため、集団で移動するようになると共に、道中の安全を確保するための護衛を連れるようになるため、その結果が行商人集団である連雀商人の発生である。；それから、父がちょっと出るにも、若党二人と草履取を連れる。；毎日放送の技術部に勤める父は忙しかったためどこにも遊びに連れて行く時間がなかったが、その代わりに職場に我が子を連れるようになった。；ひとりで来るもよし、助太刀を連れるのもよし。；小学生はみな、よそゆき、といった服装をしており、彼らを連れる親たちも同様の服装をしている。；それは山出しの女中を連れるのは、姉さんもお嫌でせうけど、でも好いわ、属官がゐるんですもの、属官が皆世話してよ。；はっきり、どこでいつ頃とは、すぐには思い出せなかったのですが、面会所の老看守は見知っている顔で、向うも私を見ると、 「おや、こんなところにいたのか」 みたいな顔をしたのですが、黙って私を連れると、入口のドアの鍵を開けてまた閉め、外の通路に出ました。</t>
        </is>
      </c>
      <c r="J5662">
        <f>HYPERLINK("https://www.weblio.jp/content/連れる", "词义详情")</f>
        <v/>
      </c>
      <c r="K5662">
        <f>HYPERLINK("https://yourei.jp/連れる", "查看例句")</f>
        <v/>
      </c>
    </row>
    <row r="5663">
      <c r="A5663" t="inlineStr">
        <is>
          <t>手</t>
        </is>
      </c>
      <c r="B5663" t="inlineStr">
        <is>
          <t>成功</t>
        </is>
      </c>
      <c r="C5663" t="inlineStr">
        <is>
          <t>読み方：しゅ
［音］シュ（呉）　ス（呉）　［訓］て　た
［学習漢字］1年
〈シュ〉
１て。「握手・義手・挙手・触手・繊手・双手・徒手・入手・拍手・落手」
２手でする。手ずから。「手記・手芸・手交・手写・手術」
３手わざ。腕前。「手段・手腕／悪手・凡手・魔手・妙手」
４仕事や役割りをもつ人。「歌手・国手・射手・助手・選手・敵手・投手・名手」
〈て（で）〉「手柄・手順・手錠・手配(てはい)／相手・勝手・柏手(かしわで)・後手(ごて)・仕手・素手(すで)・把手(とって)・深手(ふかで)・山手・若手」
〈た〉「手綱」
［難読］上手(じょうず)・手弱女(たおやめ)・手水(ちょうず)・手斧(ちょうな)・手数入(でずい)り・下手(へた)・御手洗(みたらし)・右手(めて)・左手(ゆんで)・弓手(ゆんで)</t>
        </is>
      </c>
      <c r="D5663" t="inlineStr">
        <is>
          <t>手を当て；手を出さ</t>
        </is>
      </c>
      <c r="E5663" t="inlineStr">
        <is>
          <t>方法；行動；法；腕；動き</t>
        </is>
      </c>
      <c r="F5663" t="inlineStr">
        <is>
          <t>肩に手；対手；手挽き石臼；手捕繩；手を藉りる</t>
        </is>
      </c>
      <c r="G5663" t="inlineStr">
        <is>
          <t>手段；手法；手前；手術；手がけ</t>
        </is>
      </c>
      <c r="H5663" t="n">
        <v>29</v>
      </c>
      <c r="I5663" t="inlineStr">
        <is>
          <t>手や尻を後ろに突いてしまった場合はその地点までの距離が記録となる。；アフターマーケットでは様々な物が手に入るので好みの物に交換できる。；セット建て込みには美術スタッフだけではなく大工の手も借りたという。；委員会から任命された建築家たちは市の本来の設計には手を加えなかった。；地下10階に下り先へ進む彼らの前に村正を手にした侍が立ちはだかる。；理由はわからないが、この手の論争に飽き飽きしていたのかもしれない。；同賞では、戦法でも囲いでもない特定の一手に対する初の授与であった。；石は手に入りやすい硬い材料であり人類最初の材料といわれている。；非常に手の込んだ器である殷代青銅器のうち、多くのものは酒器である。；低いから労働者は生産物と同じ価値の物を手に入れられない。；日本では、カチンコを手に持ち、手を伸ばした状態で鳴らすことが多い。；不意のことであったため小楠は床の間に置いた大小を手に取れなかった。；アセンブルは比較的単純な規則からなるため、人の手でも実行できる。；これを機に信長は今川氏の支配から独立した徳川家康と手を結ぶことになる。；近年のプロの対局では、第一手のほぼすべてが隅から始まっている。；これはゲームにおいてより大きな手と多くのプレイヤーの参加を許す。；通算では9勝を記録しているが、結局タイトルには手が届かなかった。；これは、全ての人に平等に手を差し出している様子であると言われる。；発見の時には実際に手を触れないと駄目だとするルールもある。；特に冬には手軽に手に入れることができるため、年賀状に使うこともある。；さらに伊勢路に入ると二手に分かれて、沿岸と街道筋の測量を行った。；ルートの権利を手にいれるためのツールの1つにはルートキットがある。；資料を手にとって見ることができ、実際の本を見ながら探すことができる。；目撃者の1人が搭乗者に向かい手をふると 搭乗者達も同じ動作をした。；単行本化の際に著者の手で加筆・改変されているエピソードも存在する。；それらの遺跡から人の手によって加工された石器が多数出土している。；全員が同じ手を出したときや、全ての手が出たときには「あいこ」になる。；中に入ると、一定時間出られない代わりにアイテムが手に入る。；ブレーキを操作するのはブレーキハンドルであり、これも手で操作する。</t>
        </is>
      </c>
      <c r="J5663">
        <f>HYPERLINK("https://www.weblio.jp/content/手", "词义详情")</f>
        <v/>
      </c>
      <c r="K5663">
        <f>HYPERLINK("https://yourei.jp/手", "查看例句")</f>
        <v/>
      </c>
    </row>
    <row r="5664">
      <c r="A5664" t="inlineStr">
        <is>
          <t>で</t>
        </is>
      </c>
      <c r="B5664" t="inlineStr">
        <is>
          <t>成功</t>
        </is>
      </c>
      <c r="C5664" t="inlineStr">
        <is>
          <t>「て」の濁音。歯茎の有声破裂子音［d］と母音［e］とからなる音節。［de］</t>
        </is>
      </c>
      <c r="D5664" t="inlineStr">
        <is>
          <t>である(24%)；であり(4%)；であろ；でござい；であれ</t>
        </is>
      </c>
      <c r="F5664" t="inlineStr">
        <is>
          <t>中で最も；であるsemtピルスティク；で完封勝利し；でキム・ヨンギョン擁；である興正菩薩叡尊</t>
        </is>
      </c>
      <c r="G5664" t="inlineStr">
        <is>
          <t>でき；でも；できる；でしょ；でし</t>
        </is>
      </c>
      <c r="H5664" t="n">
        <v>29</v>
      </c>
      <c r="I5664" t="inlineStr">
        <is>
          <t>用語「ヨーロッパ」は、歴史が展開する中で使われ方が様々に発展した。；かわりに主流となっていたものが電子ゲームと呼ばれるものであった。；初期は少年誌で活動していたが、後に青年誌でも執筆するようになった。；ナンバリングタイトルのパロディ的な要素を含んでいるタイトルもある。；式には、結婚したばかりの作家であり友人の大江と妹ゆかりも参列した。；主な海外で使用されている震度階級としては以下のようなものがある。；各種のマグニチュードの値の間では差異を持つので注意が必要である。；これは魚類の進化の多くが大陸移動以前から起こってきたためである。；これらは、県の中央部に位置していることから大会等での活用も図られます。；説明的妥当性を持つ理論は初期状態である普遍文法の性質を記述する。；ラオス国内ではサッカーが圧倒的に1番人気のスポーツとなっている。；これはギムナジウムを舞台にした萩尾望都にそっくりの作品であった。；静的型付けでは、全ての式の型はそのプログラムを実行する前に決定される。；一部例外もあるが芳文社作品では鼻がなく、竹書房作品では鼻がある。；漫画とアニメとの違いを肌で感じ、この経験をきっかけにアニメ制作に興味を持つ。；なお、上記の計算は平均太陽年が不変であるとした場合のものである。；元々が高価格であったため、長らく愛好家向けというイメージがあった。；日本でも、ドイツの動きに刺激されて、民俗学の名称への疑問が起きている。；この中からは地球化学で と呼ばれる、地球上には存在しない岩種が発見された。；作品内では味方キャラクターからも馬鹿にされている。；ここでは特に断りのない限り、エポック社製のものを中心に記述する。；それがつながって細い線状になったものが川である。；漢字の習得は非効率であるため漢字を廃止すべきであるとの議論であった。；急速な成長を見せているのは欧州諸国の被服製造の下請け産業である。；それは様々なプロセスに基づいて多様な形をとる、社会学習の一形態である。；エッジワース・カイパーベルトが集まった領域で、主に氷で形成されている。；反射型は液晶が表示器として使用され始めた頃からの比較的古い技術である。；撤退の際も当時の現地の住民であるマッロイ人の征服が行われた。；羽生が知られるようになったのは、五段時代の第38回NHK杯戦である。</t>
        </is>
      </c>
      <c r="J5664">
        <f>HYPERLINK("https://www.weblio.jp/content/で", "词义详情")</f>
        <v/>
      </c>
      <c r="K5664">
        <f>HYPERLINK("https://yourei.jp/で", "查看例句")</f>
        <v/>
      </c>
    </row>
    <row r="5665">
      <c r="A5665" t="inlineStr">
        <is>
          <t>出会い</t>
        </is>
      </c>
      <c r="B5665" t="inlineStr">
        <is>
          <t>成功</t>
        </is>
      </c>
      <c r="C5665" t="inlineStr">
        <is>
          <t>読み方：であい
１（「出逢い」とも書く）であうこと。思いがけなくあうこと。めぐりあい。「師との運命的な—」「一冊の本との—」
２（出合い）川や沢などの合流する所。「本流との—」
３（出合い）男女が密会すること。あいびき。
４（出合）取引で、売り手と買い手の値段・数が一致して、売買が成立すること。「—がつく」
５連歌・俳諧で、一座の者が順によらず付句のできた者から付けていくこと。
６知り合うこと。交際。つきあい。
「博奕(ばくち)の—は相対づく」〈伎・韓人漢文〉</t>
        </is>
      </c>
      <c r="D5665" t="inlineStr">
        <is>
          <t>出会いまし；出会い結婚；出会い意気投合；出会いたくない；出会い恋に落ちる</t>
        </is>
      </c>
      <c r="E5665" t="inlineStr">
        <is>
          <t>遭遇；出会；逢着；際会；鉢合せ</t>
        </is>
      </c>
      <c r="F5665" t="inlineStr">
        <is>
          <t>偶然出会い；新しい出会い；衝撃的な出会い；思いがけない出会い；劇的な出会い</t>
        </is>
      </c>
      <c r="G5665" t="inlineStr">
        <is>
          <t>出会い頭；出会い系；出会い喫茶；出会い系バー；出会い系サイト規制法</t>
        </is>
      </c>
      <c r="H5665" t="n">
        <v>29</v>
      </c>
      <c r="I5665" t="inlineStr">
        <is>
          <t>樺太で生活していたときの老マタギとの出会いがこの作品の元になった。；一度だけの出会いであったがその後二人は長い手紙のやりとりをした。；彼は高校の最終学年で彼女と出会い、彼女の最終試験の準備を手伝った。；このときの評判がシャルル・ペニョとの出会いのきっかけともなっている。；学生スタッフと西村が出会いから結婚までの再現VTRを作成・放送した。；ジョルジュ・バタイユとの出会いが岡本の一生を変えたと述懐している。；またこの年はハナム以外にももう一人との貴重な出会いがあった。；最初の妻となる画家キャサリン・シュミットとの出会いもここである。；演歌以外の様々なジャンルの音楽家にも出会い、歌の幅が拡がってゆく。；被害者との出会い方にはいくつかのパターンがあり、以下にその代表例を挙げる。；そんな中、木葉は精進料理に出会い、そこで真の料理の心を学んでいく。；そして、オーリーオーンはアルテミスと運命的な出会いをするのである。；そしてこのチームで後に王のコーチとなり師匠となる荒川博との出会いがあった。；このときの出会いはマルクスの誤解もあって、実に素気ないものであった。；とりわけ大きいのがヨハン・ゴットフリート・ヘルダーとの出会いである。；これがバスケットボールとの出会いであり、彼の運命を変えることとなった。；幼い女の子を背負っている女性に出会い、その女性の家で休ませてもらう。；両親の出会いの地はデンマークで、自身もデンマーク国籍を有している。；満たされない日々を送る男女が、嘘から生まれた出会いを機に恋に落ちる。；この時の出会いが、後に彼が成功していくきっかけとなった。；そこで日本人メカニック三次に出会い、以降サポートを受けることになった。；トールキンは、この出会いから詩を作りたいと強く思うようになる。；男女の出会いや交際を目的としたもので1990年代に若者の間で人気となった。；そしてその出会いがきっかけで、平は巨大な陰謀に巻き込まれていく。；この二人の出会いにより止まっていた歯車は再び動き出すことになる。；旅の先々での人々との出会い、別れを経て辿り着くのは世界の真実。；ただし、女性との出会いがなかったわけではないようである。；出会いの春が過ぎ、戦いの夏が終わり、和解の秋も去り、別れの冬が来た。；そこで父の古くからの友人であり元ブラジル代表選手のに出会い指導を受けることになった。</t>
        </is>
      </c>
      <c r="J5665">
        <f>HYPERLINK("https://www.weblio.jp/content/出会い", "词义详情")</f>
        <v/>
      </c>
      <c r="K5665">
        <f>HYPERLINK("https://yourei.jp/出会い", "查看例句")</f>
        <v/>
      </c>
    </row>
    <row r="5666">
      <c r="A5666" t="inlineStr">
        <is>
          <t>出会う</t>
        </is>
      </c>
      <c r="B5666" t="inlineStr">
        <is>
          <t>成功</t>
        </is>
      </c>
      <c r="C5666" t="inlineStr">
        <is>
          <t>読み方：であう
［動ワ五（ハ四）］
１（「出逢う」とも書く）人・事件などに偶然に行きあう。「街角で旧友と—・う」「帰宅途中に事故に—・う」
２（出合う）ある場所でいっしょになる。「本流と支流が—・う地点」
３出て立ち向かう。「曲者だ、皆の者—・え」
４男女が密会する。
「中二階に上がれば樽屋—・ひ、末々約束の盃事して」〈浮・五人女・二〉</t>
        </is>
      </c>
      <c r="D5666" t="inlineStr">
        <is>
          <t>出会うかもしれ；出会う可能性；出会う確率；出会うべく；出会うかも知れ</t>
        </is>
      </c>
      <c r="E5666" t="inlineStr">
        <is>
          <t>見る；発見；至る；会う；見つける</t>
        </is>
      </c>
      <c r="F5666" t="inlineStr">
        <is>
          <t>偶然出会う；再び出会う；ばったり出会う；はじめて出会う</t>
        </is>
      </c>
      <c r="H5666" t="n">
        <v>29</v>
      </c>
      <c r="I5666" t="inlineStr">
        <is>
          <t>二人は旅の中で出会う様々な人の中に次々と生きる意味を発見して行く。；過去に解いたことのある問題によく似た問題に出会うことは珍しくない。；道は谷に出会うたびに地形に沿って内側へ蛇行するため長く感じられる。；またクリシュナと出会ってからは心の奥に潜む闇が明らかとなってくる。；出会ってから一度も大きな喧嘩をしたことがないと随所で語っている。；彼はヨーロッパに住むアメリカ人で、二人はアムステルダムで出会った。；不運な青年は、このような障害に出会おうとは全く予想していなかった。；と思っているとき、たまたま、病院の出入りの米屋に出会わしたのです。；もし、ここで出会わなければ、黙って去ってしまうことになっただろう。；渡辺自身はこの番組で出会ったユニークな家を参考に自宅を建てている。；出会った記憶も、出会わなかった記憶も、覚えている事なんて何も無い。；もし彼と出会わなければ、きっと私の魂はもっと清らかであっただろう。；そいつがドタキャンしてくれたおかげで、僕は彼女と出会えたのだから。；だって、私たちは、最初から出会ってはいけない間柄だったんですもの。；おれはいろんな土地へ行ってみたが、ほんの数人にしか出会わなかった。；また、そうして出会ったファンの名を作品に登場させることもある。；このため、言葉を覚えている人にはついに一人も出会えずに終わった。；夫に出会えないだけでなく、記憶のどこかが、奇妙に景色を変えていた。；当時漫研で出会った面々の中には同じ業界で働く人も結構いるという。；この時に同レースに参戦していた将来の恩人となる郷和道に出会っている。；ここでは、ハワイで出会った選抜チーム以外の人物もまとめて掲載する。；出会ったときビルは13歳のマンディを20歳ぐらいだと思ったという。；最初に金田さんと出会えたおかげでいい野球人生を送ることができました。；外宇宙に進出した人類は、次々と驚異的な天体や生命体と出会っていく。；僕からすれば、ブルーハーツに出会わない人生は想像できないんですよ。；平成仮面ライダーシリーズでよく関わることになる人物とも出会っている。；キャンプに向うバスの中で出会った少女に、森の中で再会したサーニン。；まさか出会わずに済むとは思っていなかったが、ついにその時が来たのだ。；普段は単独で行動し、他の個体と出会うのは通常は交尾のためだけである。</t>
        </is>
      </c>
      <c r="J5666">
        <f>HYPERLINK("https://www.weblio.jp/content/出会う", "词义详情")</f>
        <v/>
      </c>
      <c r="K5666">
        <f>HYPERLINK("https://yourei.jp/出会う", "查看例句")</f>
        <v/>
      </c>
    </row>
    <row r="5667">
      <c r="A5667" t="inlineStr">
        <is>
          <t>手当たり次第</t>
        </is>
      </c>
      <c r="B5667" t="inlineStr">
        <is>
          <t>成功</t>
        </is>
      </c>
      <c r="C5667" t="inlineStr">
        <is>
          <t>読み方：てあたりしだい
［副］手にふれるもの、行き当たるものすべて。かたっぱしから。「物を—投げつける」「—にやってみる」</t>
        </is>
      </c>
      <c r="D5667" t="inlineStr">
        <is>
          <t>任意；次々に；ランダム；ランダムに；闇雲に</t>
        </is>
      </c>
      <c r="H5667" t="n">
        <v>29</v>
      </c>
      <c r="I5667" t="inlineStr">
        <is>
          <t>今は、目の前にいる人間は、手当たり次第、殴ってやりたい気分だった。；手当たり次第、無差別にエナジンドレってる理由を知りたかったんだろ?；手当たり次第に訊いて回ったが、誰も秋庭の居場所を教えてはくれない。；それらしい写真を手当たり次第見せたから間違いないだろう。；極端に言えば、手が汚れない金だったら、手当たり次第に掻き集めた。；手当たり次第、目に入ったものを言葉で殴っているだけに見えた。；ただ、手当たり次第目につくままに撫で斬りにしただけという印象だ。；郁美は石段を駆け下り、門前町の店先を手当たり次第に叩いてまわった。；単に学園都市のマシンスペックに任せて手当たり次第に調べるのでもない。；手当たり次第に買われた、学校の教科書や小説や脚本などがあった。；その日起こった忘れてはいけないことや、もともと知っていたはずのことを手当たり次第に書きこんでいる。；手当たり次第に聞いてみるしかないのかも知れない。；だって、手当たり次第、なんでもかんでもさらってったんですからね。；ティッシュの箱など、その辺にあるものを手当たり次第投げ散らかす。；そんなとき彼は、手当たり次第のもので手当たり次第のものの上に書きしるした。；手当たり次第なんでも、役に立ちそうでないものでさえも、略奪した。；とにかく、一刻も早くスピードを入れたかったから手当たり次第ってやつさ。；おれは念仏とアーメンを唱えながら、手当たり次第CZ75を乱射した。；仕事上の関係者を手当たり次第にあたってみる。；がらがらとこの店のものを手当たり次第に投げ出したんですよ。；御前山は、場所後に手当たり次第の情事を行っていたのである。；何から手をつければ良いのか分からないし、手当たり次第に動いていられるほど時間に余裕があるかも分からない。；まず登山雑誌を手当たり次第に買ってきて、新会員を募集している山岳会を探した。；とにかく店に来る女の人、手当たり次第なんだもの。；母親は、ぼくたちがイギリスにいる間、そういった情報を手当たり次第に集めていたのだ。；益美方の祖父や祖母、全ての親戚を手当たり次第調べたが誰一人有力な情報を知っている者はいなかった。；フランスの鷹匠のように見つけたが最後、何でもいいから手当たり次第とびつくぞ。；手当たり次第に描いた図は何気ない話とか夢と同じように個人の無意識の衝動を明らかにする。；クムバカルナは生まれてすぐ、空腹のために生物を手当たり次第に喰らった。</t>
        </is>
      </c>
      <c r="J5667">
        <f>HYPERLINK("https://www.weblio.jp/content/手当たり次第", "词义详情")</f>
        <v/>
      </c>
      <c r="K5667">
        <f>HYPERLINK("https://yourei.jp/手当たり次第", "查看例句")</f>
        <v/>
      </c>
    </row>
    <row r="5668">
      <c r="A5668" t="inlineStr">
        <is>
          <t>手当て</t>
        </is>
      </c>
      <c r="B5668" t="inlineStr">
        <is>
          <t>成功</t>
        </is>
      </c>
      <c r="C5668" t="inlineStr">
        <is>
          <t>読み方：てあて
［名］(スル)
１ある物事を予測して用意しておくこと。準備。「資金の—がつく」
２病気やけがの処置を施すこと。また、その処置。「病院で—を受ける」「傷口を—する」
３労働の報酬として支払われる金銭。「看護人の一か月の—」
４基本の賃金のほかに諸費用として支払われる金銭。「単身赴任に—がつく」「家族—」
５心付け。祝儀。チップ。「—をはずむ」
６犯人・罪人のめしとり。捕縛。
「明日が日、己(おれ)が—になり」〈伎・島鵆月白浪〉</t>
        </is>
      </c>
      <c r="D5668" t="inlineStr">
        <is>
          <t>手当てしよ</t>
        </is>
      </c>
      <c r="E5668" t="inlineStr">
        <is>
          <t>治療；世話；援助；カバー；面倒</t>
        </is>
      </c>
      <c r="F5668" t="inlineStr">
        <is>
          <t>資金手当て；早く手当て；特別手当て；呼んで手当て；予算手当て</t>
        </is>
      </c>
      <c r="H5668" t="n">
        <v>29</v>
      </c>
      <c r="I5668" t="inlineStr">
        <is>
          <t>からだがどうなるのか、どう手当てしたらいいのかわからないのだから。；その婆さんに用があるんだが、その前に王子を手当てしてやる必要があ。；黙って彼女の手当てを受けていたが、心は恥ずかしさでいっぱいだった。；かつて当地に貴族が住んでいたという言い伝えが残ることによるという。；メルセデスにはが同乗しており、怪我をしたため病院で手当てを受けた。；これら教育プログラムに資金手当てをするために増税を行い議論を呼んだ。；林の治療によりタカタは毎日手当てを受け、目に見えて回復していった。；負傷の手当てなどいうものは第四、第五の仕事という事を知らないのか!；事業が拡大する一方で成長を手当てするために必要とする金が少なくなっていた。；秋葉に手当てをしてもらった時に、何かを落としてしまったみたいだ。；村に敵の姿が見えなくなると、先生は負傷者の手当てにかかりました。；手当てをおえて横になっても、なかなか眠りはおとずれてくれなかった。；傷口を監視し、そこがふさがらないように手当てができるようにである。；当時のFBIの給料が約四千ドルで他に残業手当ても危険手当てもない。；何も手当てをしてあげられなければ、あんた、すぐ死んでしまうのよ。；それ以上の念を入れる隙があったら、他の負傷者を手当てする事です。；だから最低限の手当てをすませたら、すぐに部屋から出ていってほしい。；負傷者は現場から担がれてきたきりであり、傷の手当ては何もしていない。；沼野郎どもが見るところ、ただちに手当てを必要とする者ばかりである。；かつて当地には牛立村と称する村があり、その名称に由来するという。；情けにあらずしてそれを手当てする侍たちには、無論荒々しく扱われた。；死んだのではなくても、原因を調べるものも、手当てをするものもいない。；手当てしなければならないのに、話なんかどうだっていいんですよ!；彼はまたインド兵負傷者の手当てをするようにドイツ人医師に言った。；桜子は勝の手当てをしながら、千年桜の不思議な力を改めて実感する。；ある日、一は授業中に怪我をして、手当てを受けるために保健室に向かう。；遠野くんはすぐに手当てをしないと死んでしまうほどの傷でした。；彼女が知る限り、俺たちの手当てが出来る人間は言峰以外なかったのだろう。；眼がさめて、はじめて医者が足の手当てをしてくれたのに気づいたほどでした。</t>
        </is>
      </c>
      <c r="J5668">
        <f>HYPERLINK("https://www.weblio.jp/content/手当て", "词义详情")</f>
        <v/>
      </c>
      <c r="K5668">
        <f>HYPERLINK("https://yourei.jp/手当て", "查看例句")</f>
        <v/>
      </c>
    </row>
    <row r="5669">
      <c r="A5669" t="inlineStr">
        <is>
          <t>手洗い</t>
        </is>
      </c>
      <c r="B5669" t="inlineStr">
        <is>
          <t>成功</t>
        </is>
      </c>
      <c r="C5669" t="inlineStr">
        <is>
          <t>読み方：てあらい
［名］(スル)
１手を洗うこと。また、それに用いる水や器。
２便所。お手洗い。「—に行く」
３洗濯機を使わず、手で洗濯すること。「セーターを—する」</t>
        </is>
      </c>
      <c r="D5669" t="inlineStr">
        <is>
          <t>手洗い場(9%)；手洗い用(2%)；手洗い台；手洗い器；手洗い消毒</t>
        </is>
      </c>
      <c r="E5669" t="inlineStr">
        <is>
          <t>トイレ；便所；憚；洗面所；便器</t>
        </is>
      </c>
      <c r="H5669" t="n">
        <v>29</v>
      </c>
      <c r="I5669" t="inlineStr">
        <is>
          <t>洗い場といっても、駅のトイレの手洗いに毛の生えたようなものである。；手にハンカチを持っていることからみると、手洗いにいったものらしい。；それから手洗いに立ったりして夜の明けぬうちにまた穴へ戻ってくる。；あと三十分ほどで目指す温泉の駅、という辺りで、私は手洗いに立った。；手洗いにでも行ったのかと思って、もとの位置に戻ってしばらく立っていた。；当時はまだ交通事情が悪く、列車の手洗いまで乗客が入っていたからである。；わたくしはまだこれほどの大樹の根元に置かれた手洗いを見たことはない。；そのたびに隣のベッドの患者さんは、そっと手洗いに立ってくれた。；昨夜も茂樹は元子が手洗いに立った隙にいなくなり、玄関先に倒れていた。；医療施設以外では手洗いよりも手指消毒剤の使用を支持する根拠は低い。；ただ一応鏡が取りつけてあるから、手洗いではなく洗面所なのだと解る。；内部は、六畳と四畳半の和室で、家の隅には手洗いがもうけられていた。；この御手洗場では、かつては手洗いだけではなく、口濯ぎまで行われた。；朝粥の途中で手洗いに立たねばならないなんて、よほどの症状なのだろう。；もう一方の壁には鏡がはめ込まれていて、その下に小さな手洗いがついていた。；何度かぶんぶん頭を振ってから、意を決して庭の隅にある手洗い場へ向かう。；この廊下をまっすぐ行った突き当たりに、手洗いや浴室が並んだ一面がある。；日本の芸者はサービスがいいと聞かされていたある外人が手洗いに立った。；また人に囲まれはじめた天満から離れて、手洗いに行くため、会場を出る。；ドイツを中心に、少なくない数の医師が手洗いを積極的に実践した。；かわり番こにワイシャツにチョッキ姿の社員が手洗いに出たり入ったりした。；もしここで手洗いにでも立ったなら、戻ってきたぼくは空の皿を見ることになるだろう。；入浴後、糞便に接触した後、食事前の注意深い手洗いは予防効果がある。；暫くしてそっと起き、音を立てないように気をつけて手洗いにゆこうとした。；濡れ縁から手洗いになっていて、前にも言ったように男の人の手洗いはない。；手洗い場の窓からは黄昏のうす闇と静かな公園のたたずまいが眺められた。；同じような気持らしいのは沢山いて、便所の手洗いの前には長い列ができる。；ベンチと手洗い場の前を通ったとき立ち止まり、水道の蛇口の下を見た。；手洗いへ立つと、闇の中で無気力な目がじっと私のあとを追った。</t>
        </is>
      </c>
      <c r="J5669">
        <f>HYPERLINK("https://www.weblio.jp/content/手洗い", "词义详情")</f>
        <v/>
      </c>
      <c r="K5669">
        <f>HYPERLINK("https://yourei.jp/手洗い", "查看例句")</f>
        <v/>
      </c>
    </row>
    <row r="5670">
      <c r="A5670" t="inlineStr">
        <is>
          <t>低～</t>
        </is>
      </c>
      <c r="B5670" t="inlineStr">
        <is>
          <t>成功</t>
        </is>
      </c>
      <c r="C5670" t="inlineStr">
        <is>
          <t>読み方：てい
［音］テイ（漢）　［訓］ひくいひくめるひくまる
［学習漢字］4年
１位置がひくい。「低地・低木／高低」
２程度・価値などがひくい。「低圧・低音・低級・低速・低俗・低調・低廉」
３低くなる。低くする。「低下・低頭」
［名のり］ひら</t>
        </is>
      </c>
      <c r="H5670" t="n">
        <v>0</v>
      </c>
      <c r="J5670">
        <f>HYPERLINK("https://www.weblio.jp/content/低～", "词义详情")</f>
        <v/>
      </c>
      <c r="K5670">
        <f>HYPERLINK("https://yourei.jp/低～", "查看例句")</f>
        <v/>
      </c>
    </row>
    <row r="5671">
      <c r="A5671" t="inlineStr">
        <is>
          <t>提案</t>
        </is>
      </c>
      <c r="B5671" t="inlineStr">
        <is>
          <t>成功</t>
        </is>
      </c>
      <c r="C5671" t="inlineStr">
        <is>
          <t>読み方：ていあん
［名］(スル)議案や意見を提出すること。また、その議案や意見。「具体策を—する」「—者」</t>
        </is>
      </c>
      <c r="D5671" t="inlineStr">
        <is>
          <t>提案する(7%)；提案書；提案権；提案どおり；提案競技</t>
        </is>
      </c>
      <c r="E5671" t="inlineStr">
        <is>
          <t>提供；示唆；提唱；申し出；助言</t>
        </is>
      </c>
      <c r="F5671" t="inlineStr">
        <is>
          <t>ご提案；買収提案；企画提案；再提案；和平提案</t>
        </is>
      </c>
      <c r="G5671" t="inlineStr">
        <is>
          <t>提案制度</t>
        </is>
      </c>
      <c r="H5671" t="n">
        <v>29</v>
      </c>
      <c r="I5671" t="inlineStr">
        <is>
          <t>これらの提案に従う義務があるなどと感じたりするべきではありません。；しかしながら費用の理由から、どちらの提案も成功することはなかった。；これは直前に起きたツーソン銃撃事件を受けての提案によるものである。；この技術の名称として、他に提案され吟味されたものの一部を次に示す。；エウロパへの探査ミッションはこれまでに様々なものが提案されている。；そして、連合国に講和を提案したが拒否され、結局戦争へと進んでいく。；棋戦の契約は通常3年契約で行われており、異例の長期の提案となった。；この提案によりARPAから予算がつき、作業を開始することになった。；密度の全領域に対する解析表式は多体摂動論に基づいて提案されてきた。；分類例には多くの提案がなされているが、国際的に標準化されたものはない。；当初提案されたのはMT法であったがその後各種提案されている。；さらに宮崎は、作品の舞台を江戸東京たてもの園にすることを提案した。；会議では、初期の頃の空軍のX-20計画を含む様々な提案がなされた。；ただしそれは絶対ではなく、適切な理由があれば複数同時提案も認められる。；数学上の問題が一段落したのち、新たな見解がいくつか提案された。；名称は提案者のマウリツィオ・ガスパッリ通信大臣から名付けられた。；この点から都市計画が提案されており、計画は今も進められている。；近年、その区間に路面電車を導入する計画が市から提案されている。；このためアミノ酸の合成は需要が高く、種々の方法が提案されている。；ヴォーン・ウィリアムズは彼からの提案をほとんど受け入れていた。；ドナルド・クヌースがバッカス・ナウア記法と改称することを提案した。；またこの会で愛知県側から出された存続のための提案は、次のようなものだった。；今まで提案された理論には以下のようなものがある。；この要求提案を受け取ったのは9社の航空機製造メーカーであった。；またこれらとは別の理論的説明も提案されている。；最初に提案された名称はガレが提案した「ヤーヌス」というものだった。；鈴木は公開を一年延期しようと提案したが、宮崎と安藤はこれを否定。；Xバー理論はこのような流れの中で提案された理論である。；チューリングはコンピュータがプレイヤーAの役をするのはどうかと提案した。</t>
        </is>
      </c>
      <c r="J5671">
        <f>HYPERLINK("https://www.weblio.jp/content/提案", "词义详情")</f>
        <v/>
      </c>
      <c r="K5671">
        <f>HYPERLINK("https://yourei.jp/提案", "查看例句")</f>
        <v/>
      </c>
    </row>
    <row r="5672">
      <c r="A5672" t="inlineStr">
        <is>
          <t>定員</t>
        </is>
      </c>
      <c r="B5672" t="inlineStr">
        <is>
          <t>成功</t>
        </is>
      </c>
      <c r="C5672" t="inlineStr">
        <is>
          <t>読み方：ていいん
規則によって定められた組識などの人数。また、乗り物・会場などの安全を考慮した上での収容人数。「—に達する」
[補説]鉄道車両の定員については「乗車率」を参照。→乗車率</t>
        </is>
      </c>
      <c r="D5672" t="inlineStr">
        <is>
          <t>定員数(6%)；定員外；定員オーバー；定員増加；定員超過</t>
        </is>
      </c>
      <c r="E5672" t="inlineStr">
        <is>
          <t>機能；能力；才能；実力；容量</t>
        </is>
      </c>
      <c r="F5672" t="inlineStr">
        <is>
          <t>観客定員；旅客定員；入学定員；募集定員；着席定員</t>
        </is>
      </c>
      <c r="G5672" t="inlineStr">
        <is>
          <t>定員制；定員削減</t>
        </is>
      </c>
      <c r="H5672" t="n">
        <v>29</v>
      </c>
      <c r="I5672" t="inlineStr">
        <is>
          <t>自由にしていいんだから、なんにもしないで置いといてもいいんですよ。；その後生徒数は増加し、1886年には定員250名に変更するに至る。；座席の幅は広く取られており公称の座席定員以上の着席が可能である。；その結果、1編成の定員の約6割に当たる個数が用意されたことになる。；定員に達するか入場時間になった時点で当日分の販売は打ち切られる。；再導入の際は、それまで定員が3人であったものが5人に拡張された。；そのため戸袋窓部分のロングシートは設置されず座席定員は減少する。；選出定員は州の人口や面積などに関係無く各州一律2名とされている。；なお、10両の中扉部分には座席が設けられ、定員も90名に増加した。；以下の編成表はそれに対応するものであるが、定員は新製当初のものを記載している。；座席は指定されないが、定員分以上の発売を行わないので着席は保証されていた。；この委任を受けて、行政機関職員定員令に省別の定員が規定されている。；せっかくお里帰りしてるんだもの、何の気兼ねもしなくていいんだから。；どうせ何もしなくていいんだろうけど、聞くだけ聞いてあげるよ。；しかし深夜さんは「行ってあげなくていいんだよ」と、両手を広げた。；他にも欲しい物があればなんでも希望を出していいんだよ。；海外大学への進学を目指した専門コースであり学年の定員は25名。；その為、2004年には定員増と校舎・周辺設備の拡充が図られている。；ただこれは予定であり、部隊・定員が充足していたわけではない。；客室は転換式腰掛が隅用を含み15列設けられ、定員は60名とされた。；これが、入学志願者が増加しても入学定員を増やせない原因の一つとされる。；「お化粧だってしなくていいんだし、楽よねえ」 信号が青に替わった。；T車の車体中央に客用扉があるのも、階上席の定員を多く確保するためである。；また、車両の標準定員についても下記のように算定方法を定めている。；幕府では、定員の定めは特にないが20名から30名とされている。；組織・団体などの場合、定員とは組織・団体に属しうる最大数の人員のことを指す。；大事なことを決めるときは、人に相談なんてしなくていいんだ。；定員は4名であるが、操縦士と測定員2名での運用が標準と推測されている。；「実際何をしていいんだか、さっぱりわからないんですよ」と彼は言った。</t>
        </is>
      </c>
      <c r="J5672">
        <f>HYPERLINK("https://www.weblio.jp/content/定員", "词义详情")</f>
        <v/>
      </c>
      <c r="K5672">
        <f>HYPERLINK("https://yourei.jp/定員", "查看例句")</f>
        <v/>
      </c>
    </row>
    <row r="5673">
      <c r="A5673" t="inlineStr">
        <is>
          <t>庭園</t>
        </is>
      </c>
      <c r="B5673" t="inlineStr">
        <is>
          <t>成功</t>
        </is>
      </c>
      <c r="C5673" t="inlineStr">
        <is>
          <t>読み方：ていえん
計画的に草木・池などを配し、整えられた庭。「日本—」「屋上—」</t>
        </is>
      </c>
      <c r="D5673" t="inlineStr">
        <is>
          <t>庭園内；庭園樹；庭園灯；庭園設計；庭園博</t>
        </is>
      </c>
      <c r="E5673" t="inlineStr">
        <is>
          <t>庭；公園；園；パーク；園地</t>
        </is>
      </c>
      <c r="F5673" t="inlineStr">
        <is>
          <t>広い庭園；美しい庭園；式庭園；大庭園；風景庭園</t>
        </is>
      </c>
      <c r="G5673" t="inlineStr">
        <is>
          <t>庭園鉄道；庭園都市；庭園美術館；庭園工事；庭園学</t>
        </is>
      </c>
      <c r="H5673" t="n">
        <v>29</v>
      </c>
      <c r="I5673" t="inlineStr">
        <is>
          <t>また北東には張り出しを持つ建物とそれに付随する庭園跡が発見された。；現在も残る名勝の庭園は、その際に秀吉自らが造ったものであるという。；伝統庭園は時代の様式を持ち、形の表現する意味が明快な点に特徴がある。；風景の中には花や木々のある庭園を描いた純粋な自然の光景がある。；本名はイルモだが、彼の住む庭園の名前を取ってローリエンと呼ばれる。；手がけた庭園の数は170超えるイギリスの庭園史に残る造園家である。；庭園は豊かな水を利用し、池を配置した素朴な美しさを特徴とする。；また、この北側にはこの庭園を観賞するための会所の建物跡が発見された。；通信使が使用した客殿には、小堀遠州の手によるといわれる庭園がある。；これらは庭園を中心とした施設で紫禁城よりも遥かに広い敷地をもっている。；それらの宮殿は庭園や湖で装飾された巨大な宮殿であった。；谷川を堰き止めた人工池を中心とした広大な庭園とその関連建物からなる。；ヨーロッパ産のものはヨーロッパで古くから庭園植物として重要なものだった。；この庭園計画も実は恵みの庭とまったく同じ方法で計画されている。；また、彼女はベルクール広場の近くに広々とした庭園を所有していた。；むしろ日本では書院造りのような建築様式、書院式庭園などに発展した。；これは、植物庭園施設がアメリカ社会全体に帰属していることも意味している。；そして主庭園は斜面南側に展開されることになっていた。；展示品種の多彩さのみならず、庭園設計、演出・展示方法も多種に及ぶ。；同時にワーグナーは王宮庭園の近くに住居を建設するための土地も手に入れた。；遺骨は、近くの庭園に改めて埋葬されることがアナウンスされている。；バロック建築の代表作で、豪華な建物と広大な美しい庭園で有名である。；また、庭園の上部に水を揚げるために、らせん式揚水装置が用いられた。；川の跡地は豊富な伏流水を持つ広い土地になり、庭園となる条件が整った。；名古曽の滝は離宮嵯峨院にあった滝殿庭園内に設けられたものである。；アンナは絶望しシェーンブルン宮殿の庭園で2人がいる所に忍んできた。；庭園やダイニングホールなどは企業のイベントや研修で使われることもある。；徳川家光が上洛の際にこの庭園を鑑賞し吹上御苑の手本にしたとされる。；かつて宮本武蔵作と伝えられる庭園や建物が現在の陸上競技場付近にあった。</t>
        </is>
      </c>
      <c r="J5673">
        <f>HYPERLINK("https://www.weblio.jp/content/庭園", "词义详情")</f>
        <v/>
      </c>
      <c r="K5673">
        <f>HYPERLINK("https://yourei.jp/庭園", "查看例句")</f>
        <v/>
      </c>
    </row>
    <row r="5674">
      <c r="A5674" t="inlineStr">
        <is>
          <t>低下</t>
        </is>
      </c>
      <c r="B5674" t="inlineStr">
        <is>
          <t>成功</t>
        </is>
      </c>
      <c r="C5674" t="inlineStr">
        <is>
          <t>読み方：ていか
［名］(スル)
１低くなること。下がること。「水位が—する」⇔上昇。
２物事の質や程度が悪くなること。「能率が—する」⇔向上。</t>
        </is>
      </c>
      <c r="D5674" t="inlineStr">
        <is>
          <t>低下する(16%)；低下させる(6%)；低下傾向；低下作用；低下症</t>
        </is>
      </c>
      <c r="E5674" t="inlineStr">
        <is>
          <t>減少；悪化；落ちる；後退；衰退</t>
        </is>
      </c>
      <c r="F5674" t="inlineStr">
        <is>
          <t>大きく低下；筋力低下；機能低下；性能低下；血圧低下</t>
        </is>
      </c>
      <c r="H5674" t="n">
        <v>29</v>
      </c>
      <c r="I5674" t="inlineStr">
        <is>
          <t>実際に後述の事情から競争力が低下した古い客船の貨客船落ちもあった。；それらを原因とした速度低下や切断も少なく、安定した通信が可能である。；その結果、教育の無料化と非識字率の大幅な低下といった成果を上げた。；以前に経済の中心をなしていた農業は産業の工業化により重要度が低下した。；同時に軍用機の速度は高速化し、その点でも命中率の低下は問題であった。；メーカーの製造ミスで早期出力低下などトラブルが起こることもある。；小児では身長の伸びの低下によって分泌の不足に気づかれることも多い。；この電子の流れは、低い を増加させ、同様に高い を低下させる。；発射されると気球からは徐々に水素ガスが抜け、気球の高度は低下する。；ライムギの重要性が低下し始めたのは18世紀に入ってからのことである。；なお、水温が高いほど時間当たりの吸水率が低下するとの報告がある。；そのため火の周囲の温度が低下すれば火は消えやすい。；刃の角度が鋭角であるほど切れ味は良くなるが、刃の耐久性は低下する。；その為、大幅な性能低下は覚悟の上で4ストロークへの移行が行われたのである。；温度低下時は潤滑油は再び軸受内部へ戻るため、長期的な使用が可能となる。；そういった対策がなければ、兵士の士気はたちまち低下してしまうからだ。；この背景として、日本やヨーロッパと比較した競争力の低下が挙げられる。；大豆をよく食べる女性グループで脳梗塞・心筋梗塞のリスクが低下した。；しかし、処理速度・通信速度・安定性の低下の原因となることもある。；発現低下の程度は、季節の進行に伴う温度や露光時間の変化に依存している。；このためにクララは結婚から5ヶ月後の日記に演奏力の低下を嘆いている。；完全に固体相のみになると再び系の温度は低下していく。；舌遊び行動中は心拍数が低下することが認められている。；聴力低下を招く物質や耳石器にダメージを与える物質を幾つか挙げておく。；地球の長い歴史をみると、顕著な海面上昇と海面低下は何度も発生している。；血圧を低下させる作用からか抑制系の反応が現れることもある。；小学生の場合、「授業中に集中力が低下した」と間違われることもある。；パーキンソン病の影響で記憶力の低下から二度目の引退を決めた。；これらにより、共同危険型の車両は走行特性が著しく低下している。</t>
        </is>
      </c>
      <c r="J5674">
        <f>HYPERLINK("https://www.weblio.jp/content/低下", "词义详情")</f>
        <v/>
      </c>
      <c r="K5674">
        <f>HYPERLINK("https://yourei.jp/低下", "查看例句")</f>
        <v/>
      </c>
    </row>
    <row r="5675">
      <c r="A5675" t="inlineStr">
        <is>
          <t>定価</t>
        </is>
      </c>
      <c r="B5675" t="inlineStr">
        <is>
          <t>成功</t>
        </is>
      </c>
      <c r="C5675" t="inlineStr">
        <is>
          <t>読み方：ていか
ある品物について前もって決めてある売り値。「—の一割引」「—販売」</t>
        </is>
      </c>
      <c r="D5675" t="inlineStr">
        <is>
          <t>定価一；定価以上；定価五；定価十；定価表</t>
        </is>
      </c>
      <c r="E5675" t="inlineStr">
        <is>
          <t>入り；代；値；費用；価格</t>
        </is>
      </c>
      <c r="F5675" t="inlineStr">
        <is>
          <t>冊定価；定価一円</t>
        </is>
      </c>
      <c r="H5675" t="n">
        <v>29</v>
      </c>
      <c r="I5675" t="inlineStr">
        <is>
          <t>現在生産され流通する商品ではないゆえに、骨董品に定価は存在しない。；完成車では定価8万円前後で販売されるものに採用されていることが多い。；定価は千二百万だが、俺だってその値段では売れないことはわかってる。；完成車では定価30万円以上で販売されるものに採用されていることが多い。；それらの商品も大学の購買部で買ってくるので、定価の二割引きになる。；その代わりそれまでの作品よりパッケージの厚さや定価が変更された。；今後、これが『定価』として一人歩きしてしまうことも懸念されている。；iPad版と同様、発売終了まで定価の半額600円での販売が続いた。；無料でもこのクソゲーをほしいとは思わないし、定価で買うほどの価値もない。；定価はデッキ付きを二三万八〇〇〇円、これを持たないものを一九万八〇〇〇円とした。；下記の価格は広告等で記載されているオートモ号の定価である。；内容は1500シリーズとほぼ同じだが、定価が1890円となっている。；途中で消費税が施行され物品税が廃止されたため、定価の変更が行われている。；あまり商売が悪辣なので兵站では後になってから物品に定価をきめた。；彼はそこで日本への早期配達を条件に捕鯨設備を定価の1割増しで購入した。；完成車では定価5万円から10万円のものに取り付けられて販売されていることが多い。；いまでは、定価に関係なく、珍らしい本にはときには法外の値段がつく。；価格は定価で980円であるが、付録が付いている場合は特別価格になる。；定価一円五十銭位で五千部印刷するという。；その結果、体裁内容とも、定価五十銭にしては非常に安いものになる筈である。；アメリカでの価格は199ドル、日本国内での定価は54800円である。；製造元が定価より安く売ったんじゃ、自ら価格を破壊するようなもんじゃない。；それなのに、うちの雑誌を色刷りにして同じ定価でやっていけないはずはない。；しかし2008年7月号からは、初期と同価格の450円が定価となった。；中古市場では定価以上のプレミア価格で取引されるレアソフトとなっている。；また、2020年現在は主に特別定価と称して750円以上になることが多い。；定価の四分の一で財布を手に入れた私は、密かにこう考えたワケだよ。；又時計の定価をそれぞれ大きさや金属によつてきめなければならない重要な役もあるのですから時計会社の重い役にも就いてゐなければなりませんでした。；前より安くなったとはいえ、紙の文庫本に比べて四〜五割の定価です。</t>
        </is>
      </c>
      <c r="J5675">
        <f>HYPERLINK("https://www.weblio.jp/content/定価", "词义详情")</f>
        <v/>
      </c>
      <c r="K5675">
        <f>HYPERLINK("https://yourei.jp/定価", "查看例句")</f>
        <v/>
      </c>
    </row>
    <row r="5676">
      <c r="A5676" t="inlineStr">
        <is>
          <t>定価</t>
        </is>
      </c>
      <c r="B5676" t="inlineStr">
        <is>
          <t>成功</t>
        </is>
      </c>
      <c r="C5676" t="inlineStr">
        <is>
          <t>読み方：ていか
ある品物について前もって決めてある売り値。「—の一割引」「—販売」</t>
        </is>
      </c>
      <c r="D5676" t="inlineStr">
        <is>
          <t>定価一；定価以上；定価五；定価十；定価表</t>
        </is>
      </c>
      <c r="E5676" t="inlineStr">
        <is>
          <t>入り；代；値；費用；価格</t>
        </is>
      </c>
      <c r="F5676" t="inlineStr">
        <is>
          <t>冊定価；定価一円</t>
        </is>
      </c>
      <c r="H5676" t="n">
        <v>29</v>
      </c>
      <c r="I5676" t="inlineStr">
        <is>
          <t>現在生産され流通する商品ではないゆえに、骨董品に定価は存在しない。；完成車では定価8万円前後で販売されるものに採用されていることが多い。；定価は千二百万だが、俺だってその値段では売れないことはわかってる。；完成車では定価30万円以上で販売されるものに採用されていることが多い。；それらの商品も大学の購買部で買ってくるので、定価の二割引きになる。；その代わりそれまでの作品よりパッケージの厚さや定価が変更された。；今後、これが『定価』として一人歩きしてしまうことも懸念されている。；iPad版と同様、発売終了まで定価の半額600円での販売が続いた。；無料でもこのクソゲーをほしいとは思わないし、定価で買うほどの価値もない。；定価はデッキ付きを二三万八〇〇〇円、これを持たないものを一九万八〇〇〇円とした。；下記の価格は広告等で記載されているオートモ号の定価である。；内容は1500シリーズとほぼ同じだが、定価が1890円となっている。；途中で消費税が施行され物品税が廃止されたため、定価の変更が行われている。；あまり商売が悪辣なので兵站では後になってから物品に定価をきめた。；彼はそこで日本への早期配達を条件に捕鯨設備を定価の1割増しで購入した。；完成車では定価5万円から10万円のものに取り付けられて販売されていることが多い。；いまでは、定価に関係なく、珍らしい本にはときには法外の値段がつく。；価格は定価で980円であるが、付録が付いている場合は特別価格になる。；定価一円五十銭位で五千部印刷するという。；その結果、体裁内容とも、定価五十銭にしては非常に安いものになる筈である。；アメリカでの価格は199ドル、日本国内での定価は54800円である。；製造元が定価より安く売ったんじゃ、自ら価格を破壊するようなもんじゃない。；それなのに、うちの雑誌を色刷りにして同じ定価でやっていけないはずはない。；しかし2008年7月号からは、初期と同価格の450円が定価となった。；中古市場では定価以上のプレミア価格で取引されるレアソフトとなっている。；また、2020年現在は主に特別定価と称して750円以上になることが多い。；定価の四分の一で財布を手に入れた私は、密かにこう考えたワケだよ。；又時計の定価をそれぞれ大きさや金属によつてきめなければならない重要な役もあるのですから時計会社の重い役にも就いてゐなければなりませんでした。；前より安くなったとはいえ、紙の文庫本に比べて四〜五割の定価です。</t>
        </is>
      </c>
      <c r="J5676">
        <f>HYPERLINK("https://www.weblio.jp/content/定価", "词义详情")</f>
        <v/>
      </c>
      <c r="K5676">
        <f>HYPERLINK("https://yourei.jp/定価", "查看例句")</f>
        <v/>
      </c>
    </row>
    <row r="5677">
      <c r="A5677" t="inlineStr">
        <is>
          <t>定期</t>
        </is>
      </c>
      <c r="B5677" t="inlineStr">
        <is>
          <t>成功</t>
        </is>
      </c>
      <c r="C5677" t="inlineStr">
        <is>
          <t>読み方：ていき
１あることが行われる時期が定まっていること。また、一定の期間や期限。「—演奏」「—点検」
２「定期乗車券」の略。「—入れ」
３「定期預金」の略。</t>
        </is>
      </c>
      <c r="D5677" t="inlineStr">
        <is>
          <t>定期的(31%)；定期航路(5%)；定期船(5%)；定期運用(4%)；定期刊行物(3%)</t>
        </is>
      </c>
      <c r="F5677" t="inlineStr">
        <is>
          <t>定期開催；定期券；定期運転；定期検診；定期貨物列車</t>
        </is>
      </c>
      <c r="G5677" t="inlineStr">
        <is>
          <t>定期券；定期便；定期列車；定期演奏会；定期観光バス</t>
        </is>
      </c>
      <c r="H5677" t="n">
        <v>29</v>
      </c>
      <c r="I5677" t="inlineStr">
        <is>
          <t>以下で定期運用終了後も本系列が配置されていた基地ごとに解説を行う。；また、港は複数の島に囲まれており、一部は定期航路が設定されている。；なお、これ以降は市内に定期旅客便が就航する空港は設置されていない。；しかしながら、彼らは定期的な大会を開催していなかったようである。；教室には、家族を失望させない程度に定期的に顔を出す程度であった。；さらにその大半が定期旅客で、日中は空気輸送状態だったようである。；しかし速度の遅さなどから2021年10月1日に定期運行を終了した。；この事故後の調査で、この橋も定期的な管理がなされていなかったことが判明した。；この機構は他の多くの無料の定期更新ゲームとも類似である。；ただし、定期利用乗降人員が計上されていないため実数を表していない。；そして特に治療がうまくいってない場合には、定期的な見直しも必要である。；この時期に書かれた作品には、他に定期的に演奏されるようになっている楽曲はない。；現在は実際に飛行はしていないが定期整備はされている。；カッラーラ家時代は、定期的な戦争のために安息のない長い時代であった。；特定旅客定期航路事業は特定の者の需要に応じて運航するものである。；定期に使うことを前提にしているため、誤っての乗車は限られるからである。；関西本線内で使用されている車両の定期運用区間は以下の通り。；定期旅客列車で通過する列車が無くなった為、車両寄りに設置された。；路線定期運行の場合は路線延長や運賃料金について認可制になっている。；以後列車の定期運行は行われておらず、また旅客列車が往来したこともない。；これに伴い木更津始発の京葉線車両の運用が定期で初めて設定された。；多くの教会では、信者に定期的に典礼に参加することを奨励している。；バッテリーには定期的な補水が必要、初期導入コストが高価であるなど。；これにより帝国議会の定期的な召集と1年ごとの予算審議が保証された。；FDAは開発側が協議のために定期的に来訪していると述べている。；定期連載はないものの、この雑誌専用に撮影されたメンバーの写真などがしばしば掲載されていた。；東口側の駅前には駐輪場と定期利用者専用の駐車場が設置されている。；定期商業便が運行している空港は次の通りである。；逆の上り列車も定期では赤池駅止まりとなる列車が豊田市行きに延長となる。</t>
        </is>
      </c>
      <c r="J5677">
        <f>HYPERLINK("https://www.weblio.jp/content/定期", "词义详情")</f>
        <v/>
      </c>
      <c r="K5677">
        <f>HYPERLINK("https://yourei.jp/定期", "查看例句")</f>
        <v/>
      </c>
    </row>
    <row r="5678">
      <c r="A5678" t="inlineStr">
        <is>
          <t>定義</t>
        </is>
      </c>
      <c r="B5678" t="inlineStr">
        <is>
          <t>成功</t>
        </is>
      </c>
      <c r="C5678" t="inlineStr">
        <is>
          <t>読み方：ていぎ
［名］(スル)
１物事の意味・内容を他と区別できるように、言葉で明確に限定すること。「敬語の用法を—する」
２論理学で、概念の内包を明瞭にし、その外延を確定すること。通常、その概念が属する最も近い類と種差を挙げることによってできる。</t>
        </is>
      </c>
      <c r="D5678" t="inlineStr">
        <is>
          <t>定義される(12%)；定義すること(4%)；定義できる(2%)；定義づけ；定義可能</t>
        </is>
      </c>
      <c r="E5678" t="inlineStr">
        <is>
          <t>定義づける；定義付ける；ディフィニション；デフィニション</t>
        </is>
      </c>
      <c r="F5678" t="inlineStr">
        <is>
          <t>厳密な定義；再定義；未定義；正確な定義；ユーザー定義</t>
        </is>
      </c>
      <c r="G5678" t="inlineStr">
        <is>
          <t>定義付け；定義ファイル；定義付ける；定義定数；定義如来</t>
        </is>
      </c>
      <c r="H5678" t="n">
        <v>29</v>
      </c>
      <c r="I5678" t="inlineStr">
        <is>
          <t>しかし、比較的新しい学問なのでその定義ははっきりと確定していない。；ここでの時代区分はできる限り早い時期から始まるよう定義されている。；アルゴリズムは最終的に必ず停止しなければならないとする定義もある。；このように真理概念は特定の言語に相対的に定義されなければならない。；上の表の中には、単位の定義の中に別の単位を用いているものがある。；現代では方向の基準は宇宙測地観測局の位置から逆に定義されている。；データと変数を保持するデータ要素を定義するのに使われる命令文がある。；これらの定義は核について、 それぞれに扱いやすい特性を示している。；映画をジャンル分けする際の明確な定義というものがある訳ではない。；数学の範囲と定義については、数学者や哲学者の間で様々な見解がある。；大陸と島など他の地理的概念と同様に、具体的かつ普遍的な定義はない。；が単射であることを見るのは容易であるから、定義により が得られる。；パターンには以下のように開始と終了を定義するパターンもある。；このプログラムはアフリカ人・中国人学者の独自基準で定義されている。；またこの定義から、この語は、飛行機の翼以外にも多様なものを指しうる。；現在では遺伝子は核酸の機能的単位を示すものとして事実上定義される。；一方実数の範囲ではその定義からいつでも が の最小の数になっている。；言葉や能力の定義を厳密に定めた総合ルールと呼ばれるものがある。；しかし、生命の定義で常にこれらの特徴が必須とされるわけではない。；おそらくゲームを定義づけようとした最初の議論と考えられている。；このように歴史的紆余曲折があり鋼の定義は難しいものになっている。；しばしば正のスカラー倍のみを許すように定義を制限することもある。；この定義は、計算可能性を定義する多くの方法のうちのひとつである。；生命を定義することが難しいのと同様に、死を定義することも困難な問題である。；このようにすることで濃度の定義から真のクラスを追放することができる。；以下のような計算は定義されないため実行してはならない。；しかし、一つの名前空間の中で同名の関数を定義すると問題が発生する。；工業分野では明確に定義が定められるようにもなってきた。；また、 と のクロス積は基底 の元の順序に依存して と定義される。</t>
        </is>
      </c>
      <c r="J5678">
        <f>HYPERLINK("https://www.weblio.jp/content/定義", "词义详情")</f>
        <v/>
      </c>
      <c r="K5678">
        <f>HYPERLINK("https://yourei.jp/定義", "查看例句")</f>
        <v/>
      </c>
    </row>
    <row r="5679">
      <c r="A5679" t="inlineStr">
        <is>
          <t>定期券</t>
        </is>
      </c>
      <c r="B5679" t="inlineStr">
        <is>
          <t>成功</t>
        </is>
      </c>
      <c r="C5679" t="inlineStr">
        <is>
          <t>読み方：ていきけん
「定期乗車券」の略。</t>
        </is>
      </c>
      <c r="D5679" t="inlineStr">
        <is>
          <t>定期券発売(3%)；定期券売り場(3%)；定期券機能；定期券販売；定期券利用</t>
        </is>
      </c>
      <c r="F5679" t="inlineStr">
        <is>
          <t>通勤定期券；ic定期券；suica定期券；全線定期券；磁気定期券</t>
        </is>
      </c>
      <c r="H5679" t="n">
        <v>29</v>
      </c>
      <c r="I5679" t="inlineStr">
        <is>
          <t>定期券を使って改札を出ると、あてもないまま階段を昇って地上へ出た。；定期券は観光輸送が主目的の路線であるため発売していなかった。；特急券および定期券は専用の自動券売機で購入できるようになっている。；しかし確認したところ、ポケットの中にはちゃんと定期券が入っている。；ただし区間指定・他社共通など、一部の定期券は紙式で残されている。；同時に大阪地区の地区定期券の範囲を見直し、新設および統合を実施。。；主要な駅にあるごあんないカウンターや定期券売り場も設置されている。；その他の共通定期券発行区間では相鉄バスでの発売は行っていない。；また、岳南電車の岳南江尾駅を含む定期券を提示した場合も無料となる。；なお、いずれの列車もライナー券を購入すれば定期券でも利用可能である。；ホーム頭端部には操車所・乗務員待機所・定期券発売所が設けられていた。；かつては定期券うりばが設置されていたが、現在は廃止されている。；ただし他社線のみのICOCA定期券を他社で購入することは出来ない。；また、上りホームの京都寄りには定期券専用の無人出口が設置されていた。；ちょうどそこにいた駅員が、機械の中から戻って来た僕の定期券を手に取った。；定期券を持っていたからこれから走って間に合うかもしれなかった。；翌朝、彼は定期券の申込書に名前その他を記入して、駅に持って行った。；開業当初は定期券売り場があったが、後に駅事務所内へ統合された。；また、購入時に定期券が搭載されているPASMOには追加で搭載できない。；駅舎内には回数券・定期券の購入が可能な券売機が設置されている。；また、新規発行・継続する定期券も紙式からIC式に完全移行された。；この他、掛川バスサービスの路線と共通の回数券や定期券が利用できる。；定期券・回数券を持っている場合でも整理券を取らなければならない。；なお、後述の小田急バスとの共通定期券は全区間で利用不可となっていた。；定期券では乗車できないため、通勤・通学利用向きの列車ではなかった。；日暮里・舎人ライナーでは唯一の定期券売り場が2階に設置されている。；運賃は対象の2駅のうち高額となる駅の定期券を購入した場合に適用される。；バスでは、ICカード定期券は発売していないため、鉄道とは多少異なる。；また運賃改定も行い、同年5月からは新たに回数券や定期券も発売した。</t>
        </is>
      </c>
      <c r="J5679">
        <f>HYPERLINK("https://www.weblio.jp/content/定期券", "词义详情")</f>
        <v/>
      </c>
      <c r="K5679">
        <f>HYPERLINK("https://yourei.jp/定期券", "查看例句")</f>
        <v/>
      </c>
    </row>
    <row r="5680">
      <c r="A5680" t="inlineStr">
        <is>
          <t>定休日</t>
        </is>
      </c>
      <c r="B5680" t="inlineStr">
        <is>
          <t>成功</t>
        </is>
      </c>
      <c r="C5680" t="inlineStr">
        <is>
          <t>読み方：ていきゅうび
定休にあたる日。</t>
        </is>
      </c>
      <c r="D5680" t="inlineStr">
        <is>
          <t>休み；休日；お休み；定休；公休日</t>
        </is>
      </c>
      <c r="H5680" t="n">
        <v>29</v>
      </c>
      <c r="I5680" t="inlineStr">
        <is>
          <t>「明日の定休日なんだけど」 言いにくいことを言わなくてはならない。；ただし、園内一部施設はそれぞれ定休日等が設定されている場合がある。；企画業の父親には、自分で決めた休日はあっても、定休日はないからだ。；次の週の定休日、俺たち三人は戸塚にあるしのぶの実家に向かっていた。；定休日ではなかったので、仕方なく一時的に店を閉めてここへ来ている。；定休日でもないのにCLOSEDにしてしまってる店の前に立つ時。；もちろん定休日ではなかったが、栞子さんの妹が店番に入ってくれている。；また定休日がなくなった他、土休日は22時までの営業となっている。；晋吉は、月曜の定休日に、新聞に広告の出ていた探偵社を神田に訪ねた。；明日鯨ハウスが定休日なら、俺も明日は人生を定休日にしてやればいい。；キャトルレーヴを除くすべての施設は劇場の休演日には定休日となる。；注文がある日は朝が早いし、定休日でも働いてもらうことがある。；自動車ディーラーなどでも同様の理由で火曜日を定休日しているところがある。；今日のような定休日に会っていれば分からないが。；定休日、とだけ書いた小さなカードが、ドア・ガラスの枠に差し込んであった。；今日は定休日で、二人とも朝からどこかに出かけてた。；ましてやここにきたとしたら定休日だと気づいたはずだ。；物心ついたときから大輔の夕食は、定休日の木曜を除き、お好み焼きだ。；工場の定休日に行ったりすると、ほんとに何も見るところがない村だからと心配してくれているのだ。；中には定休日を制定している店舗もあり、他社とはその営業形式が大きく異なっているのが特徴であった。；そのあとは上野松坂屋の週一回の定休日がくると、姉は朝から病院にやってくる。；が、信号を渡りかけ、その日は定休日であるのを思い出した。；定休日にはもらったボーナスで従業員とデートに行くことができる。；定休日も今までは原則なかったが最近は月1回程度のメンテナンス日を設けている場合もある。；寝すごしたかと、はね起きたがその日は自分の定休日であった。；世の中が連休で浮かれていても、自分たちの定休日は火曜日と決まっている。；その翌日は食堂の定休日にあたるというので、お三輪もやや安心して、東京の方へ向う支度をした。；定休日だった喫茶店で待ち合わせをしていたのは誰なのか?；ここの店長とみちる姉は友達だからね、お願いして定休日に店を借りたんでしょ。</t>
        </is>
      </c>
      <c r="J5680">
        <f>HYPERLINK("https://www.weblio.jp/content/定休日", "词义详情")</f>
        <v/>
      </c>
      <c r="K5680">
        <f>HYPERLINK("https://yourei.jp/定休日", "查看例句")</f>
        <v/>
      </c>
    </row>
    <row r="5681">
      <c r="A5681" t="inlineStr">
        <is>
          <t>提供</t>
        </is>
      </c>
      <c r="B5681" t="inlineStr">
        <is>
          <t>成功</t>
        </is>
      </c>
      <c r="C5681" t="inlineStr">
        <is>
          <t>読み方：ていきょう
［名］(スル)
１金品・技能などを相手に役立ててもらうために差し出すこと。「場所を—する」「血液を—する」
２広告主がスポンサーとなって、テレビ番組を視聴者に公開すること。</t>
        </is>
      </c>
      <c r="D5681" t="inlineStr">
        <is>
          <t>提供する(28%)；提供される(5%)；提供できる；提供しよ；提供スポンサー</t>
        </is>
      </c>
      <c r="E5681" t="inlineStr">
        <is>
          <t>出す；用意；準備；提案；供給</t>
        </is>
      </c>
      <c r="F5681" t="inlineStr">
        <is>
          <t>社提供；資金提供；無償提供；技術提供；情報提供</t>
        </is>
      </c>
      <c r="G5681" t="inlineStr">
        <is>
          <t>提供者；提供曲；提供読み；提供開始；提供元</t>
        </is>
      </c>
      <c r="H5681" t="n">
        <v>29</v>
      </c>
      <c r="I5681" t="inlineStr">
        <is>
          <t>提供されるサービスは主に計算処理とデータの保存・利用に大別される。；ヴォルフェンビュッテルの原稿は特に以下のような説明を提供している。；ここでは万人により安価でより良い住宅を提供することが目標とされた。；さらに追加の開発キットも発売され、より高度な開発環境も提供された。；第3次レベルは最も高度な医療を提供する総合・専門病院が該当する。；食事の際の口直しや皿のソースを拭って食べるためにパンが提供される。；後者はユーザー数などに制限のあるライセンス契約によって提供される。；ほとんどの形式では正規表現を構築するために次の演算子を提供している。；さまざまなクライアントに合わせて複数提供されるのが普通である。；EJBコンテナはWEBコンテナと統合されて提供されている事が多い。；起源は学校給食であり、1985年頃に考案され現在も提供されている。；また、この衝突は木星大気の成分分析に関わる重要なデータを提供した。；カーネルが提供する機構または方針は、いくつかの基準で分類できる。；ネットワーク経由でバグの修正や性能・機能の向上がメーカーより提供される。；開発の進んだ地域では火災に対処するため消防サービスが提供されている。；韓国の食堂ではキムチが無料で提供されるが、これが再利用される問題がある。；海外留学生と、共同プログラムに所属する日本人学生の交流の場も提供する。；続いて大量の資金をロシアの革命家に提供してロシアを不安定にしようとした。；DWEでは、いくつかのビジネスインテリジェンスの機能が提供される。；しかしスピノザは貴族の友人らから提供された年金が十分にあった。；代わりに会場と契約して場所を提供している形になる。；OOPは従来のライブラリが提供していなかった情報を必要とした。；自らの作品のほか、多くの楽曲をほかの歌手に提供している。；SDSLは東京めたりっく通信などが提供していた上下速度対称の方式。；クラウドサービスを活用した、より手軽な制作環境の提供に移行している。；サーバ機能を提供する主なソフトウェアの種類には以下がある。；LinuxではGUIを提供するデスクトップ環境がいくつか存在する。；セットはすべて久米が提供したコンセプトとイメージが実現された。；これによって他のプロセスのことを気にせずに動作できる環境が提供されている。</t>
        </is>
      </c>
      <c r="J5681">
        <f>HYPERLINK("https://www.weblio.jp/content/提供", "词义详情")</f>
        <v/>
      </c>
      <c r="K5681">
        <f>HYPERLINK("https://yourei.jp/提供", "查看例句")</f>
        <v/>
      </c>
    </row>
    <row r="5682">
      <c r="A5682" t="inlineStr">
        <is>
          <t>提携</t>
        </is>
      </c>
      <c r="B5682" t="inlineStr">
        <is>
          <t>成功</t>
        </is>
      </c>
      <c r="C5682" t="inlineStr">
        <is>
          <t>読み方：ていけい
［名］(スル)
１互いに助け合うこと。共同で物事を行うこと。タイアップ。「他社と—する」「業務—」
２手に持つこと。たずさえること。</t>
        </is>
      </c>
      <c r="D5682" t="inlineStr">
        <is>
          <t>提携関係(4%)；提携先(4%)；提携交渉；提携校；提携解消</t>
        </is>
      </c>
      <c r="E5682" t="inlineStr">
        <is>
          <t>協力；同盟；連盟；連携；協調</t>
        </is>
      </c>
      <c r="F5682" t="inlineStr">
        <is>
          <t>業務提携；姉妹提携；gm提携；無料提携；提携会社</t>
        </is>
      </c>
      <c r="G5682" t="inlineStr">
        <is>
          <t>提携都市；提携形ゲーム；提携ゲーム</t>
        </is>
      </c>
      <c r="H5682" t="n">
        <v>29</v>
      </c>
      <c r="I5682" t="inlineStr">
        <is>
          <t>しかし、すべての町の上演がギルドとの提携でなされたわけではない。；こちらも主に兵庫県下の自治体や病院等との提携がほとんどである。；海外各地の大学と提携し、交流プログラムの対象として大学と機関がある。；大学と特定のスポーツメーカーが提携する例も出てきている。；このため、同社と提携するNECと東芝がグループを組むことになった。；また業務面でも浅井企画と提携しており、実質的な兄弟会社と言える。；そのための軸となるのは、日本と中国の良好な提携であるという。；これは、業務提携している朝日放送の協力により実現したものである。；独自に企画・製作された番組の他に実在の雑誌と提携し一部の記事を紹介する番組も存在した。；地理的・政治的に隔たった都市と都市との提携関係は古くからある。；また、JALやビックカメラなど他企業と提携したカードを発行している。；日本ではNTTPCコミュニケーションズとの提携で事業を開始している。；同劇場は、子役のための劇場であるキッズ・ン・コとも提携している。；提携先の松竹は地方興行の際に地元の映画館で選手とファンの集いを開いた。；これを聞いた小沢は野党共闘を諦めて自由民主党との提携に舵を切った。；加えて、系列局や提携局の中継やスポーツ番組に出演することがある。；また、2013年2月22日にはセブン銀行との提携も開始されている。；近年ではデロイトのようなデータ分析を得意とする企業との提携も行われている。；また、提携関係を家族になぞらえたユニークな名称では、次のものがある。；ホンダと提携していたので、かつてはホンダ製自動車の輸入販売も行っていた。；全国の河合塾校舎のみならず提携塾や個人塾、高等学校に配信されている。；ドイツ鉄道は、かねてからルフトハンザドイツ航空と提携関係にあった。；また、提携ホテルやクレジットカードの利用でもマイルを取得する事が出来る。；また、一アーティストとしてハイウェイスター社とも業務提携している。；以下の2校とも2014年3月に台湾のと友好姉妹校提携を結んでいる。；提携会社間で相互にポイントを交換する仕組みも現れている。；ほとんどが主に旧SNKと提携し、ネオジオに関わっていたメーカーである。；キングコングの権利を所有していたRKO社とのライセンス提携作品。；日本の参謀本部は提携には積極的であったが、軍事同盟には消極的であった。</t>
        </is>
      </c>
      <c r="J5682">
        <f>HYPERLINK("https://www.weblio.jp/content/提携", "词义详情")</f>
        <v/>
      </c>
      <c r="K5682">
        <f>HYPERLINK("https://yourei.jp/提携", "查看例句")</f>
        <v/>
      </c>
    </row>
    <row r="5683">
      <c r="A5683" t="inlineStr">
        <is>
          <t>締結</t>
        </is>
      </c>
      <c r="B5683" t="inlineStr">
        <is>
          <t>成功</t>
        </is>
      </c>
      <c r="C5683" t="inlineStr">
        <is>
          <t>読み方：ていけつ
［名］(スル)条約・協定・契約などを結ぶこと。「講和条約を—する」</t>
        </is>
      </c>
      <c r="D5683" t="inlineStr">
        <is>
          <t>締結される(3%)；締結後；締結国；締結交渉；締結権</t>
        </is>
      </c>
      <c r="E5683" t="inlineStr">
        <is>
          <t>契約；結論；証文；約定；契約書</t>
        </is>
      </c>
      <c r="F5683" t="inlineStr">
        <is>
          <t>同盟締結；協約締結；fta締結；締結せられたる；締結国会議</t>
        </is>
      </c>
      <c r="G5683" t="inlineStr">
        <is>
          <t>締結式</t>
        </is>
      </c>
      <c r="H5683" t="n">
        <v>29</v>
      </c>
      <c r="I5683" t="inlineStr">
        <is>
          <t>なお、同年4月には日本とソ連との間で日ソ中立条約が締結されている。；これは、連盟を通じて直接締結された初のヨーロッパの国際協定だった。；日独伊三国同盟の締結反対、対米戦は避けるべきなどの意見を発信した。；その後朝鮮は似たような内容の条約を他の西洋諸国とも締結することとなった。；西洋での産業革命期には、締結用のねじが大量に生産されるようになった。；米ソ関係は核拡散防止条約が締結されたことに象徴された時は良好であった。；さらに一旦契約を締結した後、同時交換がなされない場合には債権が生じる。；この際にドイツはイギリスとの間に揚子江協定を締結している。；阮朝は抵抗することができずに講和を要請し、8月25日にが締結された。；引退直後には名古屋とテクニカル・アドバイザーの契約を締結した。；フランスとソ連は1935年にを締結し、事実上の同盟関係となった。；日本では1965年の条約締結以降に無効になったと考えている。；キャンパスおよび付属施設に隣接する5自治体と協定を締結している。；この時、幕府は諸大名に条約締結・調印をどうしたらよいか意見を聞いていた。；こうした日本とアメリカが置かれた状況の変化を受けて締結されたのが新安保条約である。；清は更に不利な内容の北京条約を締結することを余儀なくされた。；日本はラウレル政権と同盟条約を締結し、形式面では日本の軍政期が終わった。；この条文は日米英のみで締結されており、他の国は制約を受けることはなかった。；国労は労使共同宣言を締結しなかったことから交換条件が出されることはなかった。；IBEXエアラインズはANAとの間でのみ連帯輸送契約を締結している。；合併をする会社は、合併契約を締結しなければならない。；不動産売買は、当該契約の締結した時点で所有権が移転するのが原則である。；この際に締結されるのが講和条約と呼ばれるものである。；ねじが締結や倍力の発生に使われるのは、このような理屈による。；ドイツも革命が起こったため休戦協定を締結し、戦争は連合国の勝利となった。；アルゼンチンは南極条約締結国であるが、南極の領有権を主張している。；イギリスとの間には日英同盟が締結され、日露戦争の後ろ盾となった。；行政主体が一方当事者として締結する契約のことを特に行政契約という。；上に述べた各国の独立承認や同盟条約の締結は、大東亜宣言の前提となるものであった。</t>
        </is>
      </c>
      <c r="J5683">
        <f>HYPERLINK("https://www.weblio.jp/content/締結", "词义详情")</f>
        <v/>
      </c>
      <c r="K5683">
        <f>HYPERLINK("https://yourei.jp/締結", "查看例句")</f>
        <v/>
      </c>
    </row>
    <row r="5684">
      <c r="A5684" t="inlineStr">
        <is>
          <t>抵抗</t>
        </is>
      </c>
      <c r="B5684" t="inlineStr">
        <is>
          <t>成功</t>
        </is>
      </c>
      <c r="C5684" t="inlineStr">
        <is>
          <t>読み方：ていこう
［名］(スル)
１外部から加わる力に対して、はむかうこと。さからうこと。「権力に—する」「大手資本の進出に地元の商店会が—する」
２すなおに受け入れがたい気持ち。反発する気持ち。「相手の態度に—を感じる」「一人で入るには—がある」
３流体中を運動する物体が流れから受ける、運動方向と逆向きの力。
４「電気抵抗」の略。
[用法]抵抗・反抗——「むやみに抵抗（反抗）したって仕方がない」など、手向かう意では相通じて用いられる。◇「抵抗」は他からの力に張り合い、それを退けようとすることに重点がある。「誘惑に抵抗する」「市民の激しい抵抗にあう」「病魔への抵抗にも限界があった」◇「反抗」は外からの力、特に権威・権力にさからおうとすることに重点がある。「反抗」が否定的に評価されることがあるのはそのためである。「理由なき反抗」「親に反抗して家を出る」◇類似の語に「反発」がある。他の人の意見・考え方にさからう点で「抵抗」と相通じて用いられる。「友人の反発を招く」「上司の発言に反発する」</t>
        </is>
      </c>
      <c r="D5684" t="inlineStr">
        <is>
          <t>抵抗する(11%)；抵抗力(3%)；抵抗性(3%)；抵抗感；抵抗でき</t>
        </is>
      </c>
      <c r="E5684" t="inlineStr">
        <is>
          <t>反対；対；向かう；対立；対抗</t>
        </is>
      </c>
      <c r="F5684" t="inlineStr">
        <is>
          <t>激しく抵抗；強い抵抗；頑強な抵抗；大きな抵抗；強く抵抗</t>
        </is>
      </c>
      <c r="G5684" t="inlineStr">
        <is>
          <t>抵抗器；抵抗制御；抵抗値；抵抗勢力；抵抗活動</t>
        </is>
      </c>
      <c r="H5684" t="n">
        <v>29</v>
      </c>
      <c r="I5684" t="inlineStr">
        <is>
          <t>東ローマ側は旧帝国領の各地に亡命政権を建てて抵抗することとなった。；日本に割譲されることとなった台湾では漢民族による抵抗が続いていた。；しかし強大な権限を握っていた政治工作系統は蔣経国の指示に抵抗した。；ビット数だけの抵抗とスイッチが基本構成であり、高速化が容易である。；カトリックへの復帰がさしたる抵抗なく行われたのはこのためだといえる。；軍部は公園に大勢の市民が自由に出入りすることに抵抗もあったと言われている。；だが、条約の内容を知ったスペインは領土の分割に強く抵抗した。；それに抵抗して戦ったマルタ騎士団がこの地の名前を有名にした。；同盟諸藩で最後まで抵抗した庄内藩が降伏したのはその2日後である。；しかし古賀らの動きは音楽界の主流派の非協力という形で抵抗を受ける。；抵抗した農民たちも最終的には工業労働者となったり集団農場に組織されたりした。；抵抗の変化は微小であるため、その検出にはブリッジ回路が使用される。；抵抗した中には、浙江を都にして王を名乗った壮息という人物もいた。；したがって、接触部の後方では抵抗力が、前方では摩擦熱が発生する。；英語という言語が世界全体におよぼす覇権に抵抗する姿勢を鮮明にする。；インテルカティアは長く抵抗し、壁が破壊されてもローマ軍を撃退した。；ヘンリーは14歳になり結婚できる年齢となったが、結婚に抵抗した。；帝国の南進は、マプチェ族による大規模な抵抗に遭ったの後に停止した。；しかし中国軍の抵抗が激しく、一日100mほどしか前進できなかった。；なお固定抵抗器の色による表示は JIS C 5062で定義される。；イギリスのインド進出に最後まで抵抗したのがシク王国である。；これによって流体内部で流れに対する抵抗力が生じることを粘性という。；当初真珠湾でミズーリを公開するという動きには多数の抵抗があった。；しかしこれら条約の執行に抵抗して戦闘を始めるものがいた。；水の抵抗を考慮して頭部は丸い流線形となり、装備は内装式となった。；阮朝は抵抗することができずに講和を要請し、8月25日にが締結された。；その後大人の書物をよみ出す時に文字に対する抵抗は全くなかった。；さらに上海を拠点としていた浙江財閥の抵抗も強くなっていった。；驚いた彼女にゼウスは真の姿を現わし、彼女の抵抗をものともせず思いを遂げた。</t>
        </is>
      </c>
      <c r="J5684">
        <f>HYPERLINK("https://www.weblio.jp/content/抵抗", "词义详情")</f>
        <v/>
      </c>
      <c r="K5684">
        <f>HYPERLINK("https://yourei.jp/抵抗", "查看例句")</f>
        <v/>
      </c>
    </row>
    <row r="5685">
      <c r="A5685" t="inlineStr">
        <is>
          <t>体裁</t>
        </is>
      </c>
      <c r="B5685" t="inlineStr">
        <is>
          <t>成功</t>
        </is>
      </c>
      <c r="C5685" t="inlineStr">
        <is>
          <t>読み方：たいさい
⇒ていさい（体裁）</t>
        </is>
      </c>
      <c r="D5685" t="inlineStr">
        <is>
          <t>体裁よく；体裁上；体裁をなし；体裁屋；体裁をつくろう</t>
        </is>
      </c>
      <c r="E5685" t="inlineStr">
        <is>
          <t>顔；姿；見え；形；体</t>
        </is>
      </c>
      <c r="F5685" t="inlineStr">
        <is>
          <t>同じ体裁；近い体裁；記事体裁</t>
        </is>
      </c>
      <c r="H5685" t="n">
        <v>29</v>
      </c>
      <c r="I5685" t="inlineStr">
        <is>
          <t>父が死んでから、兄は兄だけの才覚をして店の体裁を変へて見たりした。；江戸時代後期の文化年間にはすでに体裁が整っていたものと思われる。；この文字列は読みやすくするために文字のグループに体裁を整えられる。；体裁や構成は伝統にしたがってはいるものの、その中身は大きく異なる。；月刊総合誌の体裁を引き継ぎ内容は文章中心で図や絵は殆ど無かった。；そこを考え、あわてて書き加え、ていさいをととのえたのかもしれない。；「詩話」の書名の通り、一連の話の後に詩が記載されている体裁をとる。；体裁だけはいつも繕はなければならぬ彼の家の生活の象徴だつた。；が、体裁はどこまでも体裁で、事実の上から言えばそれは真赤なうそだ。；体裁だけはいつも繕わなければならぬ彼の家の生活の象徴だった。；文芸雑誌の体裁をとっているものの、実際には小規模の同人誌であった。；もう少し体裁のよいのもあったのですが、私は背が高いので机の脚も高くなければ困る。；小説は子供向けの作品の体裁をとっているが、その内容は必ずしも子供向けではない。；これを言うと戦車隊の者が怒り物議をかもすから体裁よく処理した。；彼は旅行記をパリ本の体裁に沿った形で4巻にわけた形での翻訳を予定した。；将来的に表記が追加となった場合にも体裁を崩さずに対応できるものとしている。；書籍は左ページが英語、右ページが日本語という体裁になっている。；現存するのは、上下二巻の体裁をとっているが本来三部構成であることから三巻であったとされる。；ロボット型人とも一部に呼ばれているがロボットという体裁を貫いている。；ソクラテスとアルキビアデスの初めての会話を描く体裁となっている。；国内で見られる最初期の文治堂本の体裁は次のようになっている。；そこで急遽、中村を加入させることにより体裁を整えたとのことである。；研文書院版大学への数学の理想に近い体裁の参考書として機能している。；この時は男女同一会場・同時開催というユニークな体裁で開催された。；本の体裁をとっているため、過去のイベントシーンも簡単に見ることができるようになっている。；もう少し体裁のよいのもあったのですが、私は脊が高いので机の脚も高くなければ困る。；天皇でもない後亀山が行幸の体裁で入京したことにも反発があった。；しかし、これはていさいのいい乞食で、ちょっとやる気になれなかった。；一人前になった息子のところへそろそろ客が来るようになったので体裁上必要になったものらしい。</t>
        </is>
      </c>
      <c r="J5685">
        <f>HYPERLINK("https://www.weblio.jp/content/体裁", "词义详情")</f>
        <v/>
      </c>
      <c r="K5685">
        <f>HYPERLINK("https://yourei.jp/体裁", "查看例句")</f>
        <v/>
      </c>
    </row>
    <row r="5686">
      <c r="A5686" t="inlineStr">
        <is>
          <t>停止</t>
        </is>
      </c>
      <c r="B5686" t="inlineStr">
        <is>
          <t>成功</t>
        </is>
      </c>
      <c r="C5686" t="inlineStr">
        <is>
          <t>読み方：ちょうじ
［名］(スル)さしとめること。ていし。
「公請(くじゃう)を—し、所職を没収せらる」〈平家・六〉</t>
        </is>
      </c>
      <c r="D5686" t="inlineStr">
        <is>
          <t>停止する(13%)；停止させる(3%)；停止状態；停止命令；停止信号</t>
        </is>
      </c>
      <c r="E5686" t="inlineStr">
        <is>
          <t>間；置く；止め；中止；ブロック</t>
        </is>
      </c>
      <c r="F5686" t="inlineStr">
        <is>
          <t>機能停止；急停止；使用停止；エンジン停止；資格停止</t>
        </is>
      </c>
      <c r="G5686" t="inlineStr">
        <is>
          <t>停止位置；停止措置；停止ボタン；停止線；停止問題</t>
        </is>
      </c>
      <c r="H5686" t="n">
        <v>29</v>
      </c>
      <c r="I5686" t="inlineStr">
        <is>
          <t>アルゴリズムは最終的に必ず停止しなければならないとする定義もある。；一般に新しいシリーズが発売されると古いシリーズは販売停止となる。；この場合の移動に要する時間には、途中で停止している時間も含まれる。；在来線ホームにはホーム上の柱などに非常停止用赤旗が設置されている。；ユニットは1995年に活動を停止したが2016年に活動を再開した。；その際に使用を停止していた2番線を使用するように分岐器は撤去された。；冬には、多くの動物が凍結しない場所で活動を停止しじっとしている。；ただし、ETCXを利用する場合も料金所では一旦停止する必要がある。；この付近では停止信号でよく特に上りが減速したり停車したりする。；以上から停止判定言語の補問題は帰納的可算言語ではないことがわかる。；重水の中では魚類も生きることができず、植物の発芽や成長も停止する。；両者の暴力停止が合意されたが、交渉再開は停戦継続を条件としている。；社長である欽本立はこの要求を拒否したため、同紙は発行停止となった。；さらに2番線ホームの使用が停止され、ホーム上には柵が設置されている。；通過信号機は停止を現示することはないため、停止の赤色灯は存在しない。；高校募集を停止して完全中高一貫校になる学校が徐々に増えつつある。；大気圏外に到達する時にはエンジンは停止して慣性で放物線状に飛行した。；この場合には途中で急停止するので、かご内に閉じ込められることになる。；トイレは後述のとおり使用停止だったため、便所流し管が撤去された。；以降、解散などのアナウンスもないまま、YMOは再び活動を停止する。；何も出力されない場合は停止したメモリ位置をユーザーに知らせる。；この1分間は全ワルシャワ市の部分的な機能が停止するとも云われる。；この際イギリス連邦の資格が停止されたが、2004年には復帰した。；心臓や呼吸が停止している場合、そのまま放置しておくと間違いなく死亡する。；それをもとに、車上装置が停止目標位置までの停止制御用パターンを生成する。；帝国の南進は、マプチェ族による大規模な抵抗に遭ったの後に停止した。；その一銭・五十銭および一円の黄銅貨はいずれも現在通用停止となっている。；全出力からエンジン停止、逆回転させて全出力までの時間は60秒以下であった。；対策としては今のところ太陽が低位置にある場合は風車を停止する以外にはない。</t>
        </is>
      </c>
      <c r="J5686">
        <f>HYPERLINK("https://www.weblio.jp/content/停止", "词义详情")</f>
        <v/>
      </c>
      <c r="K5686">
        <f>HYPERLINK("https://yourei.jp/停止", "查看例句")</f>
        <v/>
      </c>
    </row>
    <row r="5687">
      <c r="A5687" t="inlineStr">
        <is>
          <t>提示</t>
        </is>
      </c>
      <c r="B5687" t="inlineStr">
        <is>
          <t>成功</t>
        </is>
      </c>
      <c r="C5687" t="inlineStr">
        <is>
          <t>読み方：ていじ
［名］(スル)
１差し出して見せること。「必要書類を—する」「契約内容を—する」
２五段階教授法の第2の段階で新教材を児童に示すこと。</t>
        </is>
      </c>
      <c r="D5687" t="inlineStr">
        <is>
          <t>提示する(16%)；提示される(6%)；提示部(2%)；提示すれ；提示額</t>
        </is>
      </c>
      <c r="E5687" t="inlineStr">
        <is>
          <t>発表；示す；表示；展示；提出</t>
        </is>
      </c>
      <c r="F5687" t="inlineStr">
        <is>
          <t>再提示；提示部コデッタ；提示すれば無料；提示する審判；提示される選択肢</t>
        </is>
      </c>
      <c r="H5687" t="n">
        <v>29</v>
      </c>
      <c r="I5687" t="inlineStr">
        <is>
          <t>以下に、日本国内での主な演奏記録等を表にまとめたものを提示する。；また、ユウリを始めとした強い女性像の提示なども、大きな特徴である。；類似の見解はカトリックのフェデリコ・バルバロからも提示されていた。；一方で、第二区線の敷設経路についてもいくつかの案が提示されていた。；後述の文献にて、研究を総説する2010年代の論文が提示されている。；両者の主張を統合し、新たな包括的な視座を提示したのがスミスである。；モーグ社側が提示する最初期の日本への出荷記録は以下の通りである。；そのため、提示部には習慣的な反復記号が付けられているものが多い。；おおむね購入時に本人の年齢を確認できる公的証明書の提示を求められる。；学生割引のサービスを受ける際には学生証の提示を求められることが多い。；しかし、合理的によく信頼できるような情報を提示する専門家もいる。；ここでプログラムからデータを取り除きたいという考えが提示されている。；序奏部のあとは、暗く悲劇的な第1主題が弦で提示され提示部が始まる。；それとは別に、ラインホルト・メスナーが類似したリストを提示している。；年度ごとの初回購入時に年齢を確認できる公的証明書の提示が必要である。；したがって太陽を中心とするモデルを提示した宇宙論を含まない。；警察官等に提示を求められた際に携帯していないと、罰金を課せられる。；これは国家が国民の生命与奪権まで与えることに疑問が提示された結果ともいえる。；政党は社会に発生する紛争を政治問題として提示することが必要となる。；トリャピーツィンは彼らを使者と認め、およそ以下のような条件を提示した。；原論文ではこの抽象概念の様々に異なる構成が提示されている。；ローマの全権代表であるスキピオは10項からなる講和条約を提示した。；考える会は独自に再開発の計画を立て、ケースA、ケースBを提示した。；契約に際してNSUから提示された条件は以下のようなものだった。；物理カードの代わりに、画面に表示されるバーコードを提示して使用する。；TBSはかなり早い段階で、4つの条件を円谷特技プロに提示している。；販売時に、質屋は条件に従って商品取り置き方式を提示することがある。；プロジェクトの結果に対して反論や批判が提示されている例がある。；一方、締約国会議では条約の基準年を用いた増減率が提示されることが多い。</t>
        </is>
      </c>
      <c r="J5687">
        <f>HYPERLINK("https://www.weblio.jp/content/提示", "词义详情")</f>
        <v/>
      </c>
      <c r="K5687">
        <f>HYPERLINK("https://yourei.jp/提示", "查看例句")</f>
        <v/>
      </c>
    </row>
    <row r="5688">
      <c r="A5688" t="inlineStr">
        <is>
          <t>停車</t>
        </is>
      </c>
      <c r="B5688" t="inlineStr">
        <is>
          <t>成功</t>
        </is>
      </c>
      <c r="C5688" t="inlineStr">
        <is>
          <t>読み方：ていしゃ
［名］(スル)
１列車・電車などが止まること。また、止めること。「各駅に—する」「急—」
２貨物の積み降ろしや人の乗降などのため、車両等が停止すること。道路交通法では5分以内とする。→駐車</t>
        </is>
      </c>
      <c r="D5688" t="inlineStr">
        <is>
          <t>停車する(42%)；停車場(5%)；停車中(4%)；停車時間；停車列車</t>
        </is>
      </c>
      <c r="E5688" t="inlineStr">
        <is>
          <t>停止；中止；休止；止まる；凍結</t>
        </is>
      </c>
      <c r="F5688" t="inlineStr">
        <is>
          <t>終日停車；長時間停車；駅停車；分停車；北停車</t>
        </is>
      </c>
      <c r="G5688" t="inlineStr">
        <is>
          <t>停車駅；停車位置；停車帯；停車時分；停車駅通過防止装置</t>
        </is>
      </c>
      <c r="H5688" t="n">
        <v>29</v>
      </c>
      <c r="I5688" t="inlineStr">
        <is>
          <t>現在は普通の大半が藤井寺までの運転となったこともあり停車している。；乗り入れ先である千代田線・常磐緩行線内はすべての駅に停車していた。；当初は1日2往復の停車であったが、スキー時に全ての列車が停車した。；この付近では停止信号でよく特に上りが減速したり停車したりする。；これとは別に大外羽駅は、1986年までは一部列車のみ停車していた。；ただし、臨時で運転される特急は例外として当駅に停車することがある。；その他、駅や停車関連のサウンドでは以下のようなサウンドが流される。；なお1番線の急カーブ部分には列車が停車しないようになっている。；なお、南側の路線に下り列車が、北側の路線に上り列車が停車する。；増結を行う際の停車時間は他と比べ長く確保される場合が多い。；故障した場合に停車できるために路肩のスペースも広く設けられている場合が多い。；当路線で運転される車両にはトイレがないため、一部の駅にて数分間停車する。；そのため、多様な停車パターンの多数の列車種別が運転されている。；三江線で唯一通過列車が設定されていた駅であり、一部の列車は停車しなかった。；りんかい線内では快速および通勤快速を含めて全列車が各駅に停車する。；途中停車駅はなかったが、のちに八坂駅・武蔵大和駅にも停車していた。；唯一の途中駅である神宮丸太町駅には急行以下の種別の列車が停車する。；回送列車や臨時列車は通過待ちのため当駅で運転停車する事がある。；箱根駅伝では選手の通過時にこの踏切の手前で電車を停車させる。；車両は空港駅及び仙台駅に停車していたので大きな被害はなかった。；かつ、昼間時は京浜東北線の列車は停車せず、山手線の列車のみ停車する。；当時の急行はこれに加え住吉東駅・三国ヶ丘駅・初芝駅に停車していた。；東京メトロで停車予告音を使用しているのはこの区間のみである。；路線バスがバス停に一時停車するだけでも渋滞を引き起こすこともある。；普通列車以外は通過となるため、瀬戸大橋線系統の列車は停車しない。；そのため、同駅では他の駅よりも停車時間が長く取られている。；一部の上り列車は久保田駅にて時間調整のため数分停車するダイヤとなっている。；このため特急の停車する宍道駅からタクシーなどを利用して町を訪れる人も多い。；また、1番線に電車を停車させてイベントを開催する時がある。</t>
        </is>
      </c>
      <c r="J5688">
        <f>HYPERLINK("https://www.weblio.jp/content/停車", "词义详情")</f>
        <v/>
      </c>
      <c r="K5688">
        <f>HYPERLINK("https://yourei.jp/停車", "查看例句")</f>
        <v/>
      </c>
    </row>
    <row r="5689">
      <c r="A5689" t="inlineStr">
        <is>
          <t>提出</t>
        </is>
      </c>
      <c r="B5689" t="inlineStr">
        <is>
          <t>成功</t>
        </is>
      </c>
      <c r="C5689" t="inlineStr">
        <is>
          <t>読み方：ていしゅつ
［名］(スル)書類・資料などを、ある場所、特に公(おおやけ)の場に差し出すこと。「議案の—」「レポートを—する」「辞表を—する」</t>
        </is>
      </c>
      <c r="D5689" t="inlineStr">
        <is>
          <t>提出する(13%)；提出される(2%)；提出期限；提出すれ；提出しよ</t>
        </is>
      </c>
      <c r="E5689" t="inlineStr">
        <is>
          <t>発表；表示；入れる；提示；渡す</t>
        </is>
      </c>
      <c r="F5689" t="inlineStr">
        <is>
          <t>提出議案；提出法律案；提出する書類；提出する報告書；提出し受理</t>
        </is>
      </c>
      <c r="H5689" t="n">
        <v>29</v>
      </c>
      <c r="I5689" t="inlineStr">
        <is>
          <t>商品ごとに個別に実験データを提出し審査を受け許可される必要がある。；それを受けてまずジェームズ・ゴスリンがC++の拡張言語を提出した。；数々の統計資料を作成し、改革のためにつくられた各種委員会に提出した。；実際、彼がほとんど何も書いていないという証拠も法廷に提出された。；帝国議会に提出された際の憲法改正案の案文は次のようなものである。；したがって、成立する法律のほとんどは内閣が提出したものである。；調査票に回答と収入や居住状態の立証書類を添付して保険者に提出する。；これにバブーフも論文を提出したが期限を過ぎていたため受理されなかった。；一般に大統領は議会の法案への拒否権を持つが、法案の提出権はない。；原本は、後述の裁判に提出されたのちに東京大空襲によりほぼ焼失した。；天野清も伊能家の資料について実際に調査し、同様の疑問を提出している。；本裁判所に提出された証拠はそれとは違う結論に至らせる。；これ以外にも異なる見解は多数提出されている。；ドヴォルザークは1877年に奨学金審査のためにこの作品を提出した。；しかし、大学にこの論文を提出した際、教授陣はその内容を完全に理解できなかった。；事務総長が提出し、専門家からなる行政予算問題諮問委員会が審査する。；現行憲法下において法律を発案・提出する手続には、以下の三つがある。；司法取引により不起訴になった場合であっても裁判所には理由は提出されない。；元禄13年には、松前藩は蝦夷地の地名を記したを作成し、幕府に提出。；ゲーム終了後は棋譜用紙を大会の主催者へ提出する必要がある。；ギリシャは実際の財政赤字を偽って欧州委員会に報告書を提出していた。；酒井忠邦が版籍奉還の建白書を提出した背景にも藩内の内紛があった。；グラッドストンはライフワークのアイルランド自治法案をまた提出した。；提出された論文は叢書にまとめられ、公開されることもある。；遠賀郡合併案が提出された時には海老津駅を西遠賀駅に改名する案もあったという。；結局蔣経国は中央政治大学の仕事を行うことなく辞表の提出を余儀なくされた。；このため退学を申し出たが、土性調査は9月まで続け報告書を提出した。；議院内閣制の下では首相に法律案の提出権が認められている。；学生は主に読書感想文や卒業文集、小論文などを提出するときに使う。</t>
        </is>
      </c>
      <c r="J5689">
        <f>HYPERLINK("https://www.weblio.jp/content/提出", "词义详情")</f>
        <v/>
      </c>
      <c r="K5689">
        <f>HYPERLINK("https://yourei.jp/提出", "查看例句")</f>
        <v/>
      </c>
    </row>
    <row r="5690">
      <c r="A5690" t="inlineStr">
        <is>
          <t>定食</t>
        </is>
      </c>
      <c r="B5690" t="inlineStr">
        <is>
          <t>成功</t>
        </is>
      </c>
      <c r="C5690" t="inlineStr">
        <is>
          <t>読み方：ていしょく
食堂・料理店などで、あらかじめいくつかの料理の組み合わせを決めてある献立。</t>
        </is>
      </c>
      <c r="D5690" t="inlineStr">
        <is>
          <t>定食メニュー；定食屋；定食食堂；定食類；定食評論</t>
        </is>
      </c>
      <c r="F5690" t="inlineStr">
        <is>
          <t>ハンバーグ定食；b定食；焼き魚定食；鉄人定食；和定食</t>
        </is>
      </c>
      <c r="G5690" t="inlineStr">
        <is>
          <t>定食店</t>
        </is>
      </c>
      <c r="H5690" t="n">
        <v>29</v>
      </c>
      <c r="I5690" t="inlineStr">
        <is>
          <t>定食なのであるが、昨日とそっくり同じものが出てきたので、また驚く。；ネパールでは毎日食べられている、日本でいう定食にあたるものである。；だからときには客はライスだけ頼んで、漬け物定食にすることもできた。；あそこは高級レストランじゃないけれども、定食食堂でもないんです。；どんな奴かひと目見たいと思って、その定食レストランに行ってみました。；たとえ定食食堂といえども、自炊よりははるかに高くついたのである。；今日も趣味の会があり、冷房食堂で定食を食ひ、一席やって、座へ出る。；定食のライスはお代わり自由なんだけどよ、二回もお代わりしてたよ。；腹がすいたので近くの食堂で定食を食べ、駅に向かってぶらぶらと歩いた。；平田は近くのビルの地下にある食堂へ入って、焼魚の定食を注文した。；休憩所にはお茶の用意があり、また食堂には定食が50銭で用意されていた。；客はいつも別のが来るのだし、三種類の定食の繰り返しでもなんとかなる。；注文したハンバーグ定食が運ばれてくると、青年はがつがつと食べ始めた。；各店独自の組み合わせで定食やセットメニューが設定されている場合も多い。；定食を持って端っこの方に座って食べていたら常盤くんに釣り上げられる。；まだ一度も食べたことのない穴子定食というのを注文したいなあ、と思った。；それは、鉄人定食でもそれ以外の料理でもまったく変わらなかった。；ただ、定食食堂には不可欠の雑誌類に、片寄りがみられたのが残念だった。；真実に、学生や定食の客ばかりでは、どうする事も出来なかった。；そのため、以下に挙げる『定食』は、当番組における代表例に過ぎない。；この場合、「牛タン定食」の全ての要素がセットされているとは限らない。；様々な料理が定食やコース料理、セットメニューとして提供されている。；刺し身定食と比較するとよくわかるが、刺し身にはそういう力はない。；自分は薬と定食以外にそんなものを口にするのは好くなかろうと思ってとめにかかった。；五十前後であろうか、定食一筋にかけた頑固な職人のカオがそこにあった。；定食を中心としたメニュー構成の店舗は、定食屋、定食店とも呼ばれる。；筑豊の過疎化が進む町の片隅で、毎日、五百円の定食を作り続けていた。；つまり南アジア・スタイルのコース料理や定食と考えることができる。；結局昼飯となり、食堂ではかない定食を食って、一時すぎセットへ入る。</t>
        </is>
      </c>
      <c r="J5690">
        <f>HYPERLINK("https://www.weblio.jp/content/定食", "词义详情")</f>
        <v/>
      </c>
      <c r="K5690">
        <f>HYPERLINK("https://yourei.jp/定食", "查看例句")</f>
        <v/>
      </c>
    </row>
    <row r="5691">
      <c r="A5691" t="inlineStr">
        <is>
          <t>訂正</t>
        </is>
      </c>
      <c r="B5691" t="inlineStr">
        <is>
          <t>成功</t>
        </is>
      </c>
      <c r="C5691" t="inlineStr">
        <is>
          <t>読み方：ていせい
［名］(スル)誤りを正しく直すこと。特に言葉や文章・文字の誤りを正しくすること。「発言を—する」「誤字を—する」</t>
        </is>
      </c>
      <c r="D5691" t="inlineStr">
        <is>
          <t>訂正する(12%)；訂正される；訂正しよ；訂正できる；訂正版</t>
        </is>
      </c>
      <c r="E5691" t="inlineStr">
        <is>
          <t>変更；改善；改正；修正；直し</t>
        </is>
      </c>
      <c r="F5691" t="inlineStr">
        <is>
          <t>誤り検出訂正；判決訂正；訂正申立；訂正箇所；訂正能力</t>
        </is>
      </c>
      <c r="G5691" t="inlineStr">
        <is>
          <t>訂正放送；訂正印；訂正有価証券届出書；訂正増訳采覧異言；訂正報告書</t>
        </is>
      </c>
      <c r="H5691" t="n">
        <v>29</v>
      </c>
      <c r="I5691" t="inlineStr">
        <is>
          <t>これは当初テトラエチル鉛であると考えられていたが、後に訂正された。；その後発令直前にタンカー問題が解決し作戦命令を訂正すべきであった。；記事自体が加筆訂正を要するものかどうかは、ここでは記していません。；また、論文が後に訂正されたときも、すぐ訂正内容を見ることができる。；しかし数分以内に価格は正当なユーザー取引の価値に合うように訂正された。；当初戦艦と判断していたが、まもなく浮上航走中の米潜水艦と訂正した。；小島は2006年に計算間違いだったと説明して発言を訂正している。；これら以外にも、用語が訂正されたり文章が省略されたところが確認される。；犯人は、正誤表のように、患者の人生を「訂正」しようとしているのだ。；評価又は判断の内容が不当というだけでは訂正等を請求することはできない。；戦後明らかになった米軍側の情報などは敢えて訂正に反映していないと言う。；この際その理由を記載した誤訳訂正書を提出しなければならない。；訂正に修正液などを使用することはなく、使用すると改竄とみなされる。；ただし、別の検査行列の値と一致するため誤訂正を起こすことになる。；さらに二審で証言を訂正したBの証言も再び信用性がないとした。；この時の誤りは後述の誤り訂正の仕組みでかなりの程度までは訂正される。；しかし、一度選択した答えは訂正できないため、速さと正確さが要求される。；アタリがその本を校正し、訂正する権限を与えられていたことが認められた。；以後、作中で日向のTシャツは誤字を訂正されることなく描かれている。；続いて&lt;2&gt;では中間報告書の内容を訂正するようにも要請していた。；訂正は出典の誤記だけであり、論文の結果には変更がないと明言している。；しかし晩年には両姓の読みの誤りを訂正することを止めたため両方の表記が多く残っている。；しかしながら、記者は後にこの情報が誤りであったと述べ、記事を訂正した。；なお、新装版ではと訂正された新デザインのロゴが使用されている。；そのため、たたき台とはいえ地図訂正の最終目標を示す図面ともなる。；直後にある競輪関係の催しで高倉登と遭遇して別のエッセイで訂正した。；当初は150人が死亡したと報告されたが、130人に訂正された。；n が大きいと転送レートは低くなるが、多くの誤りを訂正可能である。；誤りの訂正の他、以下のような言語の能力のさらなる変更があった。</t>
        </is>
      </c>
      <c r="J5691">
        <f>HYPERLINK("https://www.weblio.jp/content/訂正", "词义详情")</f>
        <v/>
      </c>
      <c r="K5691">
        <f>HYPERLINK("https://yourei.jp/訂正", "查看例句")</f>
        <v/>
      </c>
    </row>
    <row r="5692">
      <c r="A5692" t="inlineStr">
        <is>
          <t>定説</t>
        </is>
      </c>
      <c r="B5692" t="inlineStr">
        <is>
          <t>成功</t>
        </is>
      </c>
      <c r="C5692" t="inlineStr">
        <is>
          <t>読み方：じょうせつ
１「ていせつ（定説）」に同じ。
「—を承り満足申して候」〈謡・山姥〉
２疑いのないこと。決まっていること。
「夜明けなば生き死にの—隠れあるまじと」〈浄・万年草〉</t>
        </is>
      </c>
      <c r="D5692" t="inlineStr">
        <is>
          <t>定説化(3%)；定説といえるもの；定説と呼べるもの；定説と見なさ；定説派</t>
        </is>
      </c>
      <c r="E5692" t="inlineStr">
        <is>
          <t>学説；通説</t>
        </is>
      </c>
      <c r="F5692" t="inlineStr">
        <is>
          <t>決定的な定説；半ば定説；撰定説</t>
        </is>
      </c>
      <c r="H5692" t="n">
        <v>29</v>
      </c>
      <c r="I5692" t="inlineStr">
        <is>
          <t>この他にもいくつかの解釈が提示されているが、定説は得られていない。；有名なクレオパトラ7世の母と考えられてきたが、否定説も有力である。；出現形態は千差万別で定説が無く普遍的な認定基準が無い概念であった。；その由来には下記のように様々な説が唱えられているが定説はない。；しかしそれ以前から井戸茶碗の名称は日本の記録にあり、定説ではない。；以上の佐藤進一の解釈は定説化したが、以下のような様々な異論もある。；けれどもローマ哲学に見るべきものがなかったことは、世に定説がある。；上の解釈は定説となり、織田信長に関する多くの論文で注目されてきた。；これらの新しい書籍がこの定説を変えることができるかどうかはまだ不明である。；ただなんで一物の中に骨形成がなされたかは諸説にわかれて定説はない。；このことから定説となるには至っておらず、現在も様々な説が議論されている。；このため、どこまでがレールバスなのか定義するのは難しく定説はない。；秀吉は天皇・朝廷の権威を自身の支配のために利用したというのが定説である。；西馬音内の由来はアイヌ語であるらしいが、多くの説があり定説はない。；しかし、いずれも特定できる資料とは言えず定説には至っていない。；何をもって基準としているのかは定かではなく、定説ははっきりしていない。；調査当初では古墳とされたが、現在では祭祀跡とするのが定説である。；なぜ辰だけが伝説上の動物になったのかは未だに議論の的であり定説がない。；この場合判決は確定していても再訴を認めるべきだとの見解が定説となっている。；一時はこれは荒唐無稽な説と考えられたが、現在ではほぼ定説の位置にある。；いずれの説も、反論や矛盾点が存在するため、定説にはなっていない。；その内容はこれまで定説とされてきたものと異なっていた。；菊池山哉の旧説であり、いまだ歴史学上の完全な定説となってはいない。；このため戦いは1度のみであったとする説もあるが、定説とは見られていない。；この瀬付き魚という定説は昔から付近の漁業者の間では知られていた。；この年をもってケンブリッジ・プラトン学派の誕生と見るのが定説である。；そして定説と方法とのこの対立物は一つに統一されている。；尾道の名の由来は、一般的には「山の尾の道」説が定説となっている。；定説があるわけじゃないから、これはどちらでもいいわけだろう。</t>
        </is>
      </c>
      <c r="J5692">
        <f>HYPERLINK("https://www.weblio.jp/content/定説", "词义详情")</f>
        <v/>
      </c>
      <c r="K5692">
        <f>HYPERLINK("https://yourei.jp/定説", "查看例句")</f>
        <v/>
      </c>
    </row>
    <row r="5693">
      <c r="A5693" t="inlineStr">
        <is>
          <t>停滞</t>
        </is>
      </c>
      <c r="B5693" t="inlineStr">
        <is>
          <t>成功</t>
        </is>
      </c>
      <c r="C5693" t="inlineStr">
        <is>
          <t>読み方：ていたい
［名］(スル)1か所にとどまって動かないこと。物事が順調に進まないこと。「台風が南海上に—する」「業務が—する」</t>
        </is>
      </c>
      <c r="D5693" t="inlineStr">
        <is>
          <t>停滞する(11%)；停滞期(3%)；停滞状態；停滞気味；停滞傾向</t>
        </is>
      </c>
      <c r="E5693" t="inlineStr">
        <is>
          <t>渋滞；難航；挫折；膠着；泥沼</t>
        </is>
      </c>
      <c r="F5693" t="inlineStr">
        <is>
          <t>一時停滞；長い停滞；開発停滞；経済的停滞；著しく停滞</t>
        </is>
      </c>
      <c r="G5693" t="inlineStr">
        <is>
          <t>停滞前線；停滞空間</t>
        </is>
      </c>
      <c r="H5693" t="n">
        <v>29</v>
      </c>
      <c r="I5693" t="inlineStr">
        <is>
          <t>停滞の最大の原因とされたのが、江戸時代以来の流通システムであった。；ドイツ軍が勢いに乗って開始したエジプトへの進軍は7月中に停滞した。；ところが第一次世界大戦の前、中国とドイツの関係は一次的な停滞を見せた。；しかしながら、これ以降活動は停滞し、遂にバンドは解散してしまった。；アメリカでは当初ほとんど関心を持たれず、12年ほど停滞していた。；河川改修も完全に停滞し、修繕がままならぬ状態で日本は終戦を迎えた。；なお各地の支部も現在では軒並み活動は停止ないし停滞している模様である。；弾いているうちに、聴衆の間に興味が停滞して行くのに私は気づいた。；長い停滞の時代が続いたが21世紀になってから新展開を迎えた。；主要指導者が軒並み逮捕されたことでスパルタクスの運動は停滞した。；この頃は、鉱物学の手法的な進歩は一時的に停滞期にあったと言える。；さらに文化大革命の影響もあって、開発作業は大幅に停滞することとなった。；農業は経済成長している工業やサービス業と比べて停滞している。；その後はバンド活動が停滞しメンバーのソロ活動が目立つようになった。；このことが、心理学を複雑化させ停滞させている主な要因だとの見解も存在する。；この逮捕は内外のメディアで報道され、停滞していた運動に一定の刺激を与えた。；なぜなら実現した理想とはある種の停滞であり、それは結局死の中にしかないからである。；フスハー停滞期などを経て現在のような多様な方言が存在する状況となった。；その理由の一つとして挙げられるのは紛争による経済の発展の停滞である。；また帰郷活動の進展などもあって、次第に停滞を余儀なくされていく。；インドでの数学の進歩は、16世紀後半の政治的混乱のため停滞した。；しかし、適当な出力を発揮できるエンジンが見当たらず、開発は停滞した。；価格は割高となり、技術的・経済的な停滞を生む可能性が指摘されている。；ソ連政府は、経済停滞と資本主義を克服するために計画経済を目指した。；原発の再稼働が停滞すると、電気料金の値上げ幅が倍以上になる可能性。；しかし1990年代は以前に比べるとベコーの活動は目に見えて停滞した。；しかし、その後に進歩は停滞し、遺伝子研究の進歩を待つこととなった。；同年12月17日にウェブサイトに開発停滞が報告され、開発が終了した。；その後カタルーニャ全土が衰退の時期に入ったことで成長は停滞した。</t>
        </is>
      </c>
      <c r="J5693">
        <f>HYPERLINK("https://www.weblio.jp/content/停滞", "词义详情")</f>
        <v/>
      </c>
      <c r="K5693">
        <f>HYPERLINK("https://yourei.jp/停滞", "查看例句")</f>
        <v/>
      </c>
    </row>
    <row r="5694">
      <c r="A5694" t="inlineStr">
        <is>
          <t>邸宅</t>
        </is>
      </c>
      <c r="B5694" t="inlineStr">
        <is>
          <t>成功</t>
        </is>
      </c>
      <c r="C5694" t="inlineStr">
        <is>
          <t>読み方：ていたく
家。すまい。特に、構えが大きくて、りっぱな造りの家。やしき。邸第。「—を構える」「大—」</t>
        </is>
      </c>
      <c r="D5694" t="inlineStr">
        <is>
          <t>邸宅内；邸宅街；邸宅建築；邸宅群；邸宅地</t>
        </is>
      </c>
      <c r="E5694" t="inlineStr">
        <is>
          <t>家；室；屋；館；居</t>
        </is>
      </c>
      <c r="F5694" t="inlineStr">
        <is>
          <t>豪壮な邸宅；立派な邸宅；大邸宅；豪華な邸宅；広大な邸宅</t>
        </is>
      </c>
      <c r="H5694" t="n">
        <v>29</v>
      </c>
      <c r="I5694" t="inlineStr">
        <is>
          <t>この邸宅はミス・ハワードとその友人たちが用意してくれたものだった。；その女性は夫にひどい扱いを受けており、邸宅に監禁されているという。；一方ヴァルツィーンの邸宅はそれよりは貴族的な雰囲気であったという。；実業家のの個人的なコレクションを、彼の邸宅だった館で展示している。；多くの貴族住宅を手がけたが、作品には中世の邸宅を改修したものも多い。；その邸宅が一条室町にあったことから一条を家名とするようになった。；現在の敷地の一部は昭和30年代に力道山の邸宅が在った場所でもある。；ナダールは病気がちになったが、この邸宅でゆっくり休むことができた。；この丘にローマ貴族の多くが邸宅を建て、初代皇帝も居住したことによる。；ここは広くしっかりした造りの邸宅であり、当初は木々で隠されていた。；村上天皇の日記によると、元は秦河勝の邸宅があった場所であるという。；この邸宅はヴィクトリア朝時代の建築に大きな影響を与えたと言われている。；邸宅にある救急箱では傷を処置できる薬もなく、誰もが大声で泣いていた。；フランス語で宮廷や貴族の邸宅を舞台にした社交界をサロンと呼んだ。；この地位においてジョーンズは王室および貴族の邸宅の設計に関与した。；この際、南側の邸宅部分にあった台所や風呂などが解体されている。；時忠は福原に邸宅を持っていなかったので、新たに土地を与えられた。；この際に、元の骨伐国王らには邸宅と田地を下賜して安全を保証した。；街路樹や公園樹に使われ、イギリスの邸宅ではドアがイトスギで作られる。；こうして人々は彼女の考えに従うことで無事に邸宅から脱出する。；邸宅は炎上したため、玄瑞の遺体は確認されていない、との話がある。；これは貴族の邸宅の形式である寝殿造が寺院建築に取り入れられたものと見られる。；また夏になると、高輪の邸宅のプールを近所の子供のために開放していた。；この周囲の地域は貴族の所有する邸宅が設けられていた。；かつての一族の邸宅には、サウサンプトン州に位置したやがあった。；やがて、寝殿造りの貴族の邸宅にも、室礼が設けられるようになった。；邸宅から庭とその向こうの景色を眺め、それ自体も庭の底から見ることができた。；実朝から気に入られた仲章は実朝の成長後も将軍の御所の近くに邸宅を与えられた。；この頃になると貴族や上流階級の邸宅には襖がかなり普及していたと判断できる。</t>
        </is>
      </c>
      <c r="J5694">
        <f>HYPERLINK("https://www.weblio.jp/content/邸宅", "词义详情")</f>
        <v/>
      </c>
      <c r="K5694">
        <f>HYPERLINK("https://yourei.jp/邸宅", "查看例句")</f>
        <v/>
      </c>
    </row>
    <row r="5695">
      <c r="A5695" t="inlineStr">
        <is>
          <t>定着</t>
        </is>
      </c>
      <c r="B5695" t="inlineStr">
        <is>
          <t>成功</t>
        </is>
      </c>
      <c r="C5695" t="inlineStr">
        <is>
          <t>読み方：ていちゃく
［名］(スル)
１ある場所や位置に、ぴったりとつくこと。一定の所に落ち着くこと。「従業員が—しない」
２しっかりと根づくこと。人々の間に浸透し、なじむこと。「ファーストフードが—する」
３写真で、現像した画像を安定させるための処理をすること。フィルムや印画紙の未感光部分の感光剤を薬品で除去し、再び感光するのを防止する。</t>
        </is>
      </c>
      <c r="D5695" t="inlineStr">
        <is>
          <t>定着する(10%)；定着でき；定着剤；定着液；定着補助剤</t>
        </is>
      </c>
      <c r="E5695" t="inlineStr">
        <is>
          <t>浸透；定住；一般化；土着；落ち着く</t>
        </is>
      </c>
      <c r="F5695" t="inlineStr">
        <is>
          <t>広く定着；一軍定着；メジャー定着；定着するきっかけ；定着する以前</t>
        </is>
      </c>
      <c r="G5695" t="inlineStr">
        <is>
          <t>定着液；定着物；定着村</t>
        </is>
      </c>
      <c r="H5695" t="n">
        <v>29</v>
      </c>
      <c r="I5695" t="inlineStr">
        <is>
          <t>日本ではその後定着したことから、一部で洋数字と呼ばれることもある。；もっとも多くは栽培に成功したわけではなく、定着には至っていない。；静岡県でも定着が一時報告されたが、その後絶滅したと考えられている。；農耕が始まると土地に定着し、生産高が増して人口が増えるようになる。；韓国では日本語と中国語の名称が混用されたが、日本語の名称が定着した。；こうした意味では当時の造語であるが、現在では完全に定着している。；その後、明治10年代ごろに現在のような独立した儀式として定着した。；同編成は1990年の更新以降はシート試験車として定着しつつあった。；江戸時代に浮世絵の題材として描かれてから定着したものであるともいう。；新布石ブームが去った後も、星は隅を占める着点として完全に定着した。；しかしこれらが農村部にまで定着したのは第二次大戦後になってからである。；ある時期にイラン高原に侵入し、その北西部周辺の地域に定着したとされる。；天候やTPOに合わせた化粧の使い分けが定着したのもこのころである。；こうしてデジタルビデオといえばDVDと認知されるほど広く定着した。；ここに挙げた新技術は全てポピュラー音楽を大衆に定着させるのに貢献した。；記録は、安定した形で定着・保存された状態にある情報である。；しかし平成になって、経緯は不明ながら野生イノシシが再定着している。；田沢湖という名称は、明治時代に入ってから定着したと考えられている。；社会的・政治的・経済的な変化の多くが社会に定着した。；一方、東アジアの韓国や中国では4コマが定着したスタイルとなっている。；これを一般的に広め定着させたのは、DJのアラン・フリードであった。；当初はクリーンナップでの起用がよく見られたが、後半からは1番に定着。；また製品のブランド名が定着し、ブランド名に社名変更した企業も多い。；日本列島では北海道から九州まで各地で記録があり、定着している地域もある。；しかし、消しにくかったり簡単に消えたりしたため定着しなかった。；アメリカ発の大衆文化は1930年代にはいり西欧や日本にも定着した。；海軍は議会の指揮・監督を受けるようになり、これは王政復古後も定着している。；いくつかの模擬店では市民の間にも名物として定着しているものがみられる。；そのことも茶漬けという食形態の定着に大いに関係したと推測される。</t>
        </is>
      </c>
      <c r="J5695">
        <f>HYPERLINK("https://www.weblio.jp/content/定着", "词义详情")</f>
        <v/>
      </c>
      <c r="K5695">
        <f>HYPERLINK("https://yourei.jp/定着", "查看例句")</f>
        <v/>
      </c>
    </row>
    <row r="5696">
      <c r="A5696" t="inlineStr">
        <is>
          <t>ティッシュ</t>
        </is>
      </c>
      <c r="B5696" t="inlineStr">
        <is>
          <t>成功</t>
        </is>
      </c>
      <c r="C5696" t="inlineStr">
        <is>
          <t>読み方：てぃっしゅ
《「ティシュー」とも》
１「ティッシュペーパー1」に同じ。
２（生体の）組織。「—エンジニアリング」</t>
        </is>
      </c>
      <c r="D5696" t="inlineStr">
        <is>
          <t>ティッシュ配り(2%)；ティッシュさん；ティッシュ堀内さん；ティッシュ箱；ティッシュエンジニアリング</t>
        </is>
      </c>
      <c r="F5696" t="inlineStr">
        <is>
          <t>ティッシュ芸術；ニューヨーク大学ティッシュ；エロティッシュ；ティッシュ堀内</t>
        </is>
      </c>
      <c r="G5696" t="inlineStr">
        <is>
          <t>ティッシュ・スクール・オブ・ジ・アーツ；ティッシュ・スクール・オブ・アーツ；ティッシュ・ハワード；ティッシュバイン；ティッシュ・スクール・オブ・ザ・アーツ</t>
        </is>
      </c>
      <c r="H5696" t="n">
        <v>29</v>
      </c>
      <c r="I5696" t="inlineStr">
        <is>
          <t>ただし、トイレで使用できるように作られているティッシュも存在する。；ついで、大事そうにティッシュに包んだ一本の長い髪をテーブルに置く。；それ以来、ご主人が無料ティッシュで床を拭き続けるようになりました。；現在は着物のデザインやティッシュボックスの製作などでも活躍している。；ティッシュのような薄い紙で作った花が、いくつか四角く壁に止めてある。；イーブはティッシュの箱を大鏡と三人の老婆らの間に身を屈めて置いた。；ティッシュは後にカリフォルニア大学サンタバーバラ校で美術を学んだ。；さて、きみはティッシュに腕をまわした、キスをしようともしたんだろう。；俺は言いたいことを何も言えぬまま、高村にティッシュの箱を渡してやった。；べつの意味でティッシュを使う人もいるかもしれないシーンもある。；長い入院にはティッシュカバーのようなかわいいものも目を楽しませます。；私はその右手からティッシュを抜き取り、小さく手を振って立ち去った。；ハンカチティッシュさえ忘れた奴が、目薬なんて持っているわけもない。；そうするうちに、ティッシュの中のチラシも何となく収集し始めていた。；俺たちは慣れてるから驚きもせずティッシュをさし出した。；慌てて俺たちに背を向け、鞄から取り出したティッシュで鼻をかんだ。；ティッシュさんはかって、女性雑誌のイラストレーターだったのである。；バッグからティッシュに包まれたものを取り出して、中身を広げてみせた。；するとそこには濡れた手をティッシュで拭っている田中角栄がいた。；拾って良く観察すると、それはぺったんこになったティッシュの箱だった。；尾木は部屋の中を見回して、ティッシュの箱を見つけると、一枚抜いた。；当時はまだティッシュさんは某出版社の編集者をやっていたのだ。；おれはコンソールボックスの中からティッシュを取り出し、少年に渡した。；ベッドの頭側の棚にティッシュボックスを見つけて、僕は後始末をし始めた。；五個入りのパッケージになったティッシュの箱をぶらぶらさせている女性もいる。；ティッシュはあるが、あと三枚しかなかったような気がする。；「他人が使ったティッシュが乾けば、再利用する」 乾いたんなら使う。；講師室の机の中や、ティッシュ箱の中まで注意して見ていくうち、頭の中は完全に集中していた。；飛び退るようにベッドから下り、ティッシュでゴシゴシとその手を拭く。</t>
        </is>
      </c>
      <c r="J5696">
        <f>HYPERLINK("https://www.weblio.jp/content/ティッシュ", "词义详情")</f>
        <v/>
      </c>
      <c r="K5696">
        <f>HYPERLINK("https://yourei.jp/ティッシュ", "查看例句")</f>
        <v/>
      </c>
    </row>
    <row r="5697">
      <c r="A5697" t="inlineStr">
        <is>
          <t>停電</t>
        </is>
      </c>
      <c r="B5697" t="inlineStr">
        <is>
          <t>成功</t>
        </is>
      </c>
      <c r="C5697" t="inlineStr">
        <is>
          <t>読み方：ていでん
［名］(スル)送電が一時的に止まること。また、その結果電灯が消えることなどにもいう。「落雷で—する」</t>
        </is>
      </c>
      <c r="D5697" t="inlineStr">
        <is>
          <t>停電時(6%)；停電事故；停電状態；停電発生；停電用</t>
        </is>
      </c>
      <c r="F5697" t="inlineStr">
        <is>
          <t>大規模停電；大停電；無停電；緊急停電；長時間停電</t>
        </is>
      </c>
      <c r="H5697" t="n">
        <v>29</v>
      </c>
      <c r="I5697" t="inlineStr">
        <is>
          <t>停電に備えて異なる二系統から受電できるようになっていることが多い。；私の記憶では、地域によって停電したところがあったような気がします。；うちでもそうだったが、停電になると家庭用の電話はほとんど使えない。；でもたとえば、昨日の夜みたいに街が停電していたとしたらどうだろうか。；昨夜の大停電がまるでニュースになっていないのを不審に思って外に出た。；がしかし完全オートロック制の扉は停電のせいで開かなくなっていた。；機関室後部付近で起きた爆発により、機関は停止して停電状態に陥った。；一方関西電力によると、同社管内で停電や設備被害は確認されていない。；加えて、ガス漏れも確認されたため、現場付近の停電は夕方まで続いた。；電気系統の設備が浸水すると漏電や短絡が起こって停電になる事もある。；死者は出なかったが、市内の多くで停電し、多くの建物に損傷が出た。；停電が発生すると温度が安定するまで数時間かかることがあった。；ダン艇長は、はたして電話で停電した話ばかりをしていたのであろうか。；南房総市では全ての学校が停電から復旧し9月17日に授業を再開した。；それからロビーへ出てお話をしておりましたら、停電でございましょう。；ウクライナのいくつかの都市や町で停電が発生する可能性があるとも報告した。；停電や故障したときなど、緊急事態に備えた予備計器も用意されている。；こんなことは何年に一度ということらしいが、工事で停電してしまっていた。；現象は同じ「停電」であっても、その要因にはいくつかの種類がある。；男が、そうかそうかと思ったときに、パッと停電の電気がつきました。；また、停電時にも、ある一定の期間であれば植物の生育が可能である。；頻繁な停電により、醸造に一定の低温を維持することが不可能であった。；停電などの影響を受けず、安定した性能を発揮することが出来る。；数千とまではいかなくても数百本の樹木も倒され、停電は数か月も続いた。；その時に何も起こらなかったのは、停電状態ではなかったからかも知れない。；この停電で信号機が動作しなくなり、多くの道路で渋滞が発生した。；ターリバーンは変電所を襲撃し州内とカンダハール州の一部が停電した。；ある男が、一つの地域を停電させるという最悪の犯罪をしてしまった。；ただかれらが休息をとることができるのは、月に二度ある停電日だけであった。</t>
        </is>
      </c>
      <c r="J5697">
        <f>HYPERLINK("https://www.weblio.jp/content/停電", "词义详情")</f>
        <v/>
      </c>
      <c r="K5697">
        <f>HYPERLINK("https://yourei.jp/停電", "查看例句")</f>
        <v/>
      </c>
    </row>
    <row r="5698">
      <c r="A5698" t="inlineStr">
        <is>
          <t>程度</t>
        </is>
      </c>
      <c r="B5698" t="inlineStr">
        <is>
          <t>成功</t>
        </is>
      </c>
      <c r="C5698" t="inlineStr">
        <is>
          <t>読み方：ていど
１物事の性質や価値を相対的にみたときの、その物事の置かれる位置。他の物事と比べた際の、高低・強弱・大小・多少・優劣などの度合い。ほどあい。「文化の—が高い」「傷の—は大したことない」「—の差はあれ、誰もが損をした」
２許容される限度。適当と考えられる度合い。ほどあい。「大きいにも—がある」「いたずらといっても—を超えている」
３他の語の下に付き、それにちょうど見合った度合い、それくらいの度合いの、の意を表す。「高校—の学力」「二時間—の遅れ」「申しわけ—の金額」</t>
        </is>
      </c>
      <c r="D5698" t="inlineStr">
        <is>
          <t>程度かかる；程度運行；程度経過；程度停車；程度短縮</t>
        </is>
      </c>
      <c r="E5698" t="inlineStr">
        <is>
          <t>等；位置；度；限り；ぐらい</t>
        </is>
      </c>
      <c r="F5698" t="inlineStr">
        <is>
          <t>同程度；メートル程度；同じ程度；名程度；或る程度</t>
        </is>
      </c>
      <c r="H5698" t="n">
        <v>29</v>
      </c>
      <c r="I5698" t="inlineStr">
        <is>
          <t>そのため、長引く場合は48時間程度も苦しみ続けて死んだと言われる。；周囲の温度が2度程度低いことからこれは高気圧性の嵐と考えられる。；教室には、家族を失望させない程度に定期的に顔を出す程度であった。；逆に、誕生時の木星は現在の2倍程度の大きさがあったと考えられる。；避妊をしなかった場合のパールインデックスは85程度といわれている。；また、ある作品や活動の程度が非常に高いとき、これを芸術と呼ぶ場合がある。；しかし、すべての米国人がその実態を知っているとはいえない程度である。；戊辰戦争の結果、諸藩の債務は平均で年間収入の3倍程度に達していた。；この時期は移動して生きていたので住居はテントや掘立小屋程度のものだった。；先行選手は残り1周半程度から後ろの選手を引き連れてダッシュをする。；しかしこの時間帯の上りの速達列車は、やはり30分に1本程度である。；この制約がどの程度実際の進化に影響するかについては議論がある。；ベリーズの首都であるベルモパンに至っては、人口が1万人程度である。；実際に監視付といっても、外出禁止の程度で行動は自由であった。；世界記憶力選手権の世界トップ選手は数百個程度のイメージを競技中に記憶している。；交響曲第7番から3年程度を経た1815年頃から作曲が開始された。；斎は程度に応じてこれらの食品を禁止または許可するものである。；その後は40-50分ごとに10分程度の休憩をとることが普通である。；また、年に数回程度、コンサート・ライブの会場として使われることがある。；このような圧縮不能な文字列が存在するならどの程度存在するかを考えたい。；各種類の変電所でどの程度の電圧が使われているかを表に示す。；SRAMの電力消費は、どの程度頻繁にアクセスされるかに依存する。；これは原子がどの程度原子外にある電子を引きつけるかを示す尺度である。；しかしネオンは5万分の1と太陽が含む量の約10分の1程度しかない。；粒子は細かい塵状のものから、小さな自動車程度の物まで様々である。；この2駅間には現在の駒場東大前駅のホームの長さ分程度しか駅間距離がなかった。；地球とほぼ同じ大きさであるが、質量は太陽と同程度である。；これ以降、2 - 3年程度の連載作品を青年漫画雑誌で発表している。；一方、大きいものでは、現生種最大のカピバラが45kg程度である。</t>
        </is>
      </c>
      <c r="J5698">
        <f>HYPERLINK("https://www.weblio.jp/content/程度", "词义详情")</f>
        <v/>
      </c>
      <c r="K5698">
        <f>HYPERLINK("https://yourei.jp/程度", "查看例句")</f>
        <v/>
      </c>
    </row>
    <row r="5699">
      <c r="A5699" t="inlineStr">
        <is>
          <t>丁寧</t>
        </is>
      </c>
      <c r="B5699" t="inlineStr">
        <is>
          <t>成功</t>
        </is>
      </c>
      <c r="C5699" t="inlineStr">
        <is>
          <t>読み方：ていねい
［名・形動］
１細かいところまで気を配ること。注意深く入念にすること。また、そのさま。「アイロンを—にかける」「壊れやすいので—に扱う」
２言動が礼儀正しく、配慮が行き届いていること。また、そのさま。丁重(ていちょう)。「—な言葉遣い」
３文法で、話し手が聞き手に対して敬意を表す言い方。→丁寧語
[派生]ていねいさ［名］</t>
        </is>
      </c>
      <c r="D5699" t="inlineStr">
        <is>
          <t>丁寧な言葉；丁寧な口調；丁寧な挨拶；丁寧なお辞儀；丁寧な態度</t>
        </is>
      </c>
      <c r="E5699" t="inlineStr">
        <is>
          <t>慎重；徹底的；十分；丹念；念入り</t>
        </is>
      </c>
      <c r="F5699" t="inlineStr">
        <is>
          <t>御丁寧；懇切丁寧；馬鹿丁寧；一つ一つ丁寧；丁寧な言葉遣い</t>
        </is>
      </c>
      <c r="G5699" t="inlineStr">
        <is>
          <t>丁寧体；丁寧形；丁寧表現；丁寧な暮らし；丁寧文</t>
        </is>
      </c>
      <c r="H5699" t="n">
        <v>29</v>
      </c>
      <c r="I5699" t="inlineStr">
        <is>
          <t>ずるギツネ登場のエピソードは音楽も含めて非常に丁寧に描かれている。；作品数は多くないが、一作一作が丁寧に作られているため再演率が高い。；俳優陣やスタッフが一体となった丁寧な作品作りが高い評価を受けた。；父親は日本酒を好み、ユーモアがあって丁寧な仕事をする人であるという。；普段は丁寧な言葉遣いで話すが、初期頃は普通に話すことが多かった。；低年齢層の読者を意識してか、様々な用語に丁寧な解説が付く場合がある。；夏家の人はお骨を拾い、丁寧に布で包み、籠に納めて改めて祀っている。；公の場で皇后に丁寧に接し、彼女と食事をともにするよう努力したのだった。；下層から器面調整の丁寧な土器や獣骨片などが集中して出土する場所がある。；映画では原作では丁寧に描かれたドラマの多くが省略されている。；ご丁寧にも負傷状態のキャラクターのイラストが描かれている。；そして、その後の太平洋戦争に至る経緯について丁寧に表現されている。；そしてそこにあった写真を丁寧に一枚ずつ取り上げて静かにながめるのだった。；アナウンサーが失礼なこと・聞かれたくないことを丁寧にうまく返す企画。；彼女は彼らの家に入れて欲しいと丁寧に頼み、彼らはそれを承諾した。；丁寧な言葉は、自分自身や他の人の行動を指す場合も使用できる。；嬉しくなった彼は、ご丁寧に手紙を裏打ちした上友人に見せびらかした。；螺旋の場合は更に丁寧な説明を要する事は、本記事に見る通りである。；呼吸をしながら、身体を丁寧に動かすことで集中力もつくと主張している。；この際トンボは丁寧に扱われ、観察が終わったら逃がすこととされている。；また登場人物も敵味方に関わらずサブキャラクターまで丁寧に描かれた。；特に親友であるブルーノ・サンマルチノとの友情は丁寧に扱われている。；調査前には、調査内容を説明した上で、丁寧に協力依頼をすることが必要である。；然し今日は、幸ひ杖を携へて居なかつたので、丁寧に手で撫でてやつた。；ニコライは監視任務についていた兵士たちから、丁寧に扱われていた。；とりわけ得意でなかった寝技を夫の丁寧な指導によってモノにしていった。；その際、口調が丁寧になり、瞳も輝いたものになって改心していた。；熱心かつ丁寧な授業内容は、学生たちから人気と尊敬を集めた。；生体の状態が良いのが普通で、丁寧に育成されているものが多い。</t>
        </is>
      </c>
      <c r="J5699">
        <f>HYPERLINK("https://www.weblio.jp/content/丁寧", "词义详情")</f>
        <v/>
      </c>
      <c r="K5699">
        <f>HYPERLINK("https://yourei.jp/丁寧", "查看例句")</f>
        <v/>
      </c>
    </row>
    <row r="5700">
      <c r="A5700" t="inlineStr">
        <is>
          <t>定年</t>
        </is>
      </c>
      <c r="B5700" t="inlineStr">
        <is>
          <t>成功</t>
        </is>
      </c>
      <c r="C5700" t="inlineStr">
        <is>
          <t>読み方：ていねん
［名］(スル)法規・規則により、一定の年齢到達を事由に退官・退職することになっている年齢。また、退官・退職すること。「—を迎える」「—した世代をターゲットにした商品」</t>
        </is>
      </c>
      <c r="D5700" t="inlineStr">
        <is>
          <t>定年退職(14%)；定年後(10%)；定年退任(9%)；定年前(3%)；定年間近</t>
        </is>
      </c>
      <c r="F5700" t="inlineStr">
        <is>
          <t>定年説；役職定年；定年退社；定年直後；定年後名誉教授</t>
        </is>
      </c>
      <c r="G5700" t="inlineStr">
        <is>
          <t>定年退職；定年制；定年退職者；定年延長</t>
        </is>
      </c>
      <c r="H5700" t="n">
        <v>29</v>
      </c>
      <c r="I5700" t="inlineStr">
        <is>
          <t>調整を続けていたものの、11歳の定年が近いこともありそのまま引退。；琉球大学卒業後、教師になり定年まで中学校にて英語や社会科を教えた。；東京での勤務を一度も経験することなく松山放送局を最後に定年となった。；社員の定年は65歳としているが、希望すれば延長することができる。。；またその定年後も、嘱託契約の形で在籍するアナウンサーも多数存在する。；インタビューでは哲学は定年後に研究したいとも答えている。；当時すでに56歳であり、パラマウント社を定年退職したと推測される。；その後は、2001年に定年を迎えるまで、経営部門に所属していた。；定年後は競馬をはじめラジオ番組の制作に携わることを明らかにしている。；塩路は1987年に定年退職したが、その影響力は完全に失われていた。；定年まで勤め上げると約6年近く行司の最高位を務めることになる。；引退後はリオデジャネイロ州で地方公務員の職に就いて定年まで働いた。；また、出世に興味のない者でも定年を迎えるときは主任で迎えることが多い。；また、穏やかな場所なので定年後に移住して老後を過ごす人も多いという。；ところが定年が近くなったとき、大仕事がやって来ることになった。；定年が近かったこともあり、帰国後は解説委員室に移り解説主幹に就任。；教授職を定年退職してからも大学に顔を出し、80歳近くまで研究を続けていた。；小学校を定年退職した後は、北陸学院大学で教員志望の学生を指導した。；数多くの生徒を桜中学から送り出してきた金八も定年間近となった。；大阪市立大学大学院終了後、定年後まで大阪市立大学に在籍している。；また、定年が裁判官より若干早い分、長い活動期間が可能という点である。；定年後は再就職は考えなかったが、一時10年程、週に2回勤務していた。；開業時の管理馬には定年解散となった矢野進厩舎からの移籍馬5頭が含まれている。；ただし、定年後もシニアアナウンサーとして、番組への出演を続けていた。；定年後も浅香山部屋に顔を出したりスカウトに携わるつもりであったという。；メディアに関連する講座の講師を、2021年度に定年を迎えるまで務めた。；この場合、一般社員の定年より高くなるのが普通である。；定年後の以降も球団事業本部付の嘱託職員として在籍していたが、限りで退団。；会社がこれまでの定年制度を就業規則の変更をもって主任職以上は55歳に定めた。</t>
        </is>
      </c>
      <c r="J5700">
        <f>HYPERLINK("https://www.weblio.jp/content/定年", "词义详情")</f>
        <v/>
      </c>
      <c r="K5700">
        <f>HYPERLINK("https://yourei.jp/定年", "查看例句")</f>
        <v/>
      </c>
    </row>
    <row r="5701">
      <c r="A5701" t="inlineStr">
        <is>
          <t>堤防</t>
        </is>
      </c>
      <c r="B5701" t="inlineStr">
        <is>
          <t>成功</t>
        </is>
      </c>
      <c r="C5701" t="inlineStr">
        <is>
          <t>読み方：ていぼう
［名］(スル)
１河川の氾濫(はんらん)や海水の浸入などを防ぐために、土砂やコンクリートでつくられた構築物。堤(つつみ)。「—が決壊する」
２防止すること。
「必ず健旺の道理、及び善良の慣習を以て、これを—すべきなり」〈中村訳・西国立志編〉</t>
        </is>
      </c>
      <c r="D5701" t="inlineStr">
        <is>
          <t>堤防上(4%)；堤防沿い(3%)；堤防決壊；堤防工事；堤防建設</t>
        </is>
      </c>
      <c r="E5701" t="inlineStr">
        <is>
          <t>ダム；堤；土手；堰；防波堤</t>
        </is>
      </c>
      <c r="F5701" t="inlineStr">
        <is>
          <t>右岸堤防；高い堤防；旧堤防；海岸堤防；河川堤防</t>
        </is>
      </c>
      <c r="H5701" t="n">
        <v>29</v>
      </c>
      <c r="I5701" t="inlineStr">
        <is>
          <t>近年行われた調査で、断裂している堤防の一部が新たに確認されている。；この洪水を制御するためにミシシッピ川に沿った堤防を奴隷が建設した。；これを繰り返すことで巨大な堤防を比較的安全に築造することができる。；堤防の建設に関わった高官に由来するものであろうと考えられている。；この江島や西の松江市街方向からは、道路を兼ねた堤防で結ばれている。；道なりに進むと前方に広瀬橋が見え、堤防から降りて一般道に合流する。；かつての輪中堤防は、低く土取りをして道路に転用された所も沢山ある。；翌年完成したが、同年の天明の洪水で堤防などが流され失敗に終わった。；さまざまなサイズがあり、堤防や軍事目的の防壁の構築などに利用される。；現在はそそり立った壁のようなコンクリートの堤防が両岸を守っている。；中には、堤防を掘削して元の干潟を再生すべきとの意見まで出ている。；藩からの許可が得られたため、安政2年2月から堤防工事が始められた。；チョロマでは深夜に堤防が決壊して死者4000人以上の被害を出した。；駅周辺の線路には堤防への勾配があるため、駅ホームも斜めになっている。；また、堤防が崩壊して一気に堤防内に水があふれ出すことを破堤という。；一般に河川堤防の高さは計画高水水位よりも高く設定されている。；真偽は定かではないものの、桜の根が堤防を弱めたという説も見られた。；何度も洪水を起こし、そのために築いた堤防が湖の中に残っている。；また、着工から長い時間が経った事で堤防の老朽化も指摘されている。；堤防の建設によってその取り扱い容量はさらに上がることが期待される。；輪中とは、一般的には堤防で囲まれた構造、あるいはその集落を意味する。；堤防を完成させた秀吉は堤防の上に見張り場を設けて城内の様子を監視した。；実際に適用された例は確認されないが、住民などが堤防を破壊する行為は記録されている。；この時、堤防は殆どが決壊し、木曽三川流域は海のようになったという。；海岸堤防の高さは計画高潮位に波の影響を考慮した高さを加えたもの以上に設定される。；学校の西側には境川が流れていて、清掃時に堤防の草取り作業をしている。；この堤防の建築には多くの役人が反対したが、濮陽興の強い勧めがあったという。；攻城側は直ちに堤防の修復にかかり、13日までには修理を完了させた。；原産地では堤防が決壊し氾濫することで、流れが分散されることもある。</t>
        </is>
      </c>
      <c r="J5701">
        <f>HYPERLINK("https://www.weblio.jp/content/堤防", "词义详情")</f>
        <v/>
      </c>
      <c r="K5701">
        <f>HYPERLINK("https://yourei.jp/堤防", "查看例句")</f>
        <v/>
      </c>
    </row>
    <row r="5702">
      <c r="A5702" t="inlineStr">
        <is>
          <t>低迷</t>
        </is>
      </c>
      <c r="B5702" t="inlineStr">
        <is>
          <t>成功</t>
        </is>
      </c>
      <c r="C5702" t="inlineStr">
        <is>
          <t>読み方：ていめい
［名］(スル)
１低くただようこと。「暗雲—」
２よくない状態から抜け出せないでいること。「売り上げが—する」「最下位に—する」</t>
        </is>
      </c>
      <c r="D5702" t="inlineStr">
        <is>
          <t>低迷する(8%)；低迷期；低迷し続け；低迷状態；低迷傾向</t>
        </is>
      </c>
      <c r="F5702" t="inlineStr">
        <is>
          <t>視聴率低迷；人気低迷；業績低迷；経済低迷；成績低迷</t>
        </is>
      </c>
      <c r="H5702" t="n">
        <v>29</v>
      </c>
      <c r="I5702" t="inlineStr">
        <is>
          <t>しかしその年のチーム低迷の責任を取る形で、この年限りで解任された。；主食が米飯からパンなどへ変わりつつあることから消費が低迷している。；監督が田淵幸一から根本陸夫に変わってから起用方も変わり成績が低迷。；初優勝後は選手の高齢化や故障者の発生などでチーム成績は低迷している。；当時低迷続きだったこの枠のドラマでは若干改善されている。；その後多くの国においては株価の低迷がしばらくの間続くこととなる。；この方針は、阪神の成績が低迷していた年であっても変わりはない。；低迷するチームを救うべく登録直後から出場を続けたものの6戦無得点。；戦後も低迷していた中、1950年代に多くの日本映画を世界に紹介した。；この黒人選手の登用が最も遅れたことが長期の低迷の原因の一つとされている。；毎日放送も例外ではなく、テレビスポットの需要低迷に悩まされていた。；しかし2年目以後は、チームの低迷もあり二桁勝利を挙げた年はなかった。；一時期低迷していた彼に、第2の出発点を準備できたと自負している。；このように様々な改良策が講じられたものの、A318の販売は低迷した。；後番組の『リアルタイム』では、報道情報路線に切り替えたが低迷した。；しかし、チームは低迷し続け、森本自身の調子も下降気味になっていく。；実際にキティの人気が最も低迷していたのは1970年代末頃のことである。；成績の低迷とチーム運営への方針を巡ってBMWとの関係は悪化。；内政では低迷が続く経済を復活させるための農業指導と先鋒開発。；Jリーグ発足前に、人気が低迷していた日本サッカー界を支えた人物の一人。；視聴率は低迷したが、視聴者からの手紙や電話などで大きな反響を呼んだ。；その後の作品はチャート上では低迷するが、バンドは活動を継続。；秋保電気鉄道は設備の老朽化や業績の低迷から1961年に廃止された。；は腰痛で成績が低迷し、チームの調子と歩を合わせることになった。；しかし良い時期は長く続かず、1920年代には再び成績が低迷する。；これまでの低迷の原因は支持が北部の、それも一部の保守派にのみに限られていた点にあった。；中川右介はこの曲がようやくヒットするまでの陽水は低迷していたと指摘している。；その後低迷期を迎えるも、1995年の天皇賞で優勝し復活を果たす。；デビュー当初のアリスは、商業的には鳴かず飛ばずの低迷状態が続いていた。</t>
        </is>
      </c>
      <c r="J5702">
        <f>HYPERLINK("https://www.weblio.jp/content/低迷", "词义详情")</f>
        <v/>
      </c>
      <c r="K5702">
        <f>HYPERLINK("https://yourei.jp/低迷", "查看例句")</f>
        <v/>
      </c>
    </row>
    <row r="5703">
      <c r="A5703" t="inlineStr">
        <is>
          <t>定理</t>
        </is>
      </c>
      <c r="B5703" t="inlineStr">
        <is>
          <t>成功</t>
        </is>
      </c>
      <c r="C5703" t="inlineStr">
        <is>
          <t>読み方：ていり
ある理論体系において、その公理や定義をもとにして証明された命題で、それ以降の推論の前提となるもの。「ピタゴラスの—」</t>
        </is>
      </c>
      <c r="D5703" t="inlineStr">
        <is>
          <t>定理証明機</t>
        </is>
      </c>
      <c r="E5703" t="inlineStr">
        <is>
          <t>説；理論；体系；原理；学説</t>
        </is>
      </c>
      <c r="F5703" t="inlineStr">
        <is>
          <t>標本化定理；重要な定理；定理証明；ロピタルの定理；中線定理</t>
        </is>
      </c>
      <c r="G5703" t="inlineStr">
        <is>
          <t>定理神学</t>
        </is>
      </c>
      <c r="H5703" t="n">
        <v>29</v>
      </c>
      <c r="I5703" t="inlineStr">
        <is>
          <t>軌道・固定群定理に近い関係のある結果にバーンサイドの補題 がある。；これは後にによって複素函数論の基礎的な定理のみを用いて証明された。；なお、は順位よりも多くの情報が関わるためこの定理では扱っていない。；一階述語論理の定理証明は自動定理証明の中でも最も研究が進んでいる。；同じ議論を繰り返せば高々 n 回までの操作で定理の前半が示された。；回帰定理が孤立系の現象の厳密な繰り返しを示したと解釈する人もいる。；したがって時間階層定理の証明も対角線論法を使っていることが分かる。；の性格上、その歴史には定理の自動証明の研究が大きく関係している。；重要な定理であり、解析接続の一意性の証明にはこの定理が必要となる。；この定理は保存則が物理系の任意の微分可能な対称性に伴うことを示す。；現代の複素解析の研究者は、ピカールの2つの定理をよく使用している。；上記の定理の証明にはフィルターの概念を用いる為、証明は後の章に譲る。；ワイエルシュトラスが証明したのは以下のような形の近似定理である。；そのプログラムは単純な定理の証明にも天文学的なステップ数を必要とした。；これらの結果の類似性はそれぞれの定理が以下の主張をしていることから言える。；補題と定理の間に形式的な区別は全くなく、意図の違いのみである。；オストログラツキーは、またこの定理に最初の証明を与えた人物でもある。；彼がこの定理の証明を知っていたかどうかは不明である。；この定理にはいくつかの変種が知られており、にまとめられている。；定理の内容や証明において、対象の具体的な構成方法は必ずしも示されない。；ボーア=ファン・リューエンの定理はいくつかの分野で応用されている。；定理の最も一般な定式化においては、いくつかの準備が必要とされる。；どちらの定理についても、単純な証明あるいは直接の証明は発表されていない。；このとき得られた定理や定義は、もとのものの「双対」であると言われる。；標準義務論理の定理には例えば次のようなものが含まれている。；この定理を初めて証明したのは であり、名称はこの業績に因むものである。；木に対して制限したバージョンがこの定理の特殊な例としてよく知られている。；量子物理学の最も重要な定理のひとつであるベルの不等式を提唱した。；この定理は、上の箇条書きされた部分に対応して2つに分割されることが多い。</t>
        </is>
      </c>
      <c r="J5703">
        <f>HYPERLINK("https://www.weblio.jp/content/定理", "词义详情")</f>
        <v/>
      </c>
      <c r="K5703">
        <f>HYPERLINK("https://yourei.jp/定理", "查看例句")</f>
        <v/>
      </c>
    </row>
    <row r="5704">
      <c r="A5704" t="inlineStr">
        <is>
          <t>出入り</t>
        </is>
      </c>
      <c r="B5704" t="inlineStr">
        <is>
          <t>成功</t>
        </is>
      </c>
      <c r="C5704" t="inlineStr">
        <is>
          <t>読み方：でいり
［名］(スル)
１出たりはいったりすること。ではいり。「人の—がはげしい」「トラックが—する」
２商売などのために、頻繁にその家や会社を訪れること。「—の業者」「卒業後も研究室に—する」
３金銭の支出と収入。ではいり。「—の多い月」
４数量の増減。ではいり。「出席者数は毎回多少の—がある」
５地形が突き出たりはいり込んだりしていること。「—の大きい海岸線」
６俗に、争いごと。もめごと。けんか。「やくざの—」
７「出入り筋2」の略。
「その約束をのばし、—になる事なりしに」〈浮・永代蔵・一〉</t>
        </is>
      </c>
      <c r="D5704" t="inlineStr">
        <is>
          <t>出入りするよう(4%)；出入りできる(3%)；出入り口；出入り可能；出入り台</t>
        </is>
      </c>
      <c r="E5704" t="inlineStr">
        <is>
          <t>出はいり；行きつける；通い詰める；出這入り；通いつめる</t>
        </is>
      </c>
      <c r="F5704" t="inlineStr">
        <is>
          <t>直接出入り；親しく出入り；出入り業者；出入りする場所；出入り可能なハーフic</t>
        </is>
      </c>
      <c r="G5704" t="inlineStr">
        <is>
          <t>出入り禁止；出入り場；出入り計算</t>
        </is>
      </c>
      <c r="H5704" t="n">
        <v>29</v>
      </c>
      <c r="I5704" t="inlineStr">
        <is>
          <t>また、従来の北海道向け車両の出入り台に存在したデッキは廃止された。；そのような動物では、原口の反対側に新たにもう一つ出入り口ができる。；しかし、まだ壁には人間の出はいりできるほどの穴があいているのです。；これらの宮廷貴族がベルサイユに集まって、王の宮殿に出入りしていた。；特に特定の人だけ出入りできるようにする場合は扉に錠がつけられる。；その縁で書庫に自由に出入りし、そこで多数の漢籍を読むことができた。；線路の西側にホームが置かれ、塚原方の端の階段を使って駅に出入りする。；そこに人間一人楽に出はいりできる、黒い穴が口をあけたではないか。；この出産は公開され、宮廷に出入りできる者なら誰でも見ることができた。；駅舎はホームと一体型になっており、踏切の東側中央部から出入りする。；建物の玄関または主要な出入り口が接する位置の基礎番号を住居番号とする。；ヴィトゲンシュタイン家には多くの著名な文化人が出入りしていた。；一度倒した敵シンボルは、そのダンジョンを出入りするまで復活しない。；喫茶店に出入りしていた共通の友達が、三上を松村の家に連れてきた。；また操作キャラクターのレベルはダンジョンから出入りすると初期化される。；幼い頃から教会を出入りして育ったジャシーは、両親も歌手であった。；さもなくば私はあのアパートへは出はいりすることはなかったでしょうな。；佐味田川寄りに構内踏切が存在し、駅から出入りすることが可能である。；軍部は公園に大勢の市民が自由に出入りすることに抵抗もあったと言われている。；それと時を同じくして、選手の出入りのペースが早まるようにもなった。；札幌方面行きホームと小樽方面行きホームの専用出入り口がそれぞれある。；東と西にある2つの山は、太陽がドゥアトに出入りする場所を示している。；ホームの森山方がゆるい坂になっており、駅へはこれを使って出入りする。；出雲方面寄りにトイレが設置されており、ここからホームへの出入りも可能。；監視下にあって事件に関連しうる時間内には出入りがないと確認された部屋での殺人である。；空気が悪いため作業員以外の民間人が出入りすることはほとんどない。；先生は病院の中二階に続く特別の階段を利用して出はいりしていた。；またこのころから教会に出入りし、神や信仰、罪などの問題に悩み始める。；商人が市を出入りすることから、橋は市に使用料と税金をもたらした。</t>
        </is>
      </c>
      <c r="J5704">
        <f>HYPERLINK("https://www.weblio.jp/content/出入り", "词义详情")</f>
        <v/>
      </c>
      <c r="K5704">
        <f>HYPERLINK("https://yourei.jp/出入り", "查看例句")</f>
        <v/>
      </c>
    </row>
    <row r="5705">
      <c r="A5705" t="inlineStr">
        <is>
          <t>出入り口</t>
        </is>
      </c>
      <c r="B5705" t="inlineStr">
        <is>
          <t>成功</t>
        </is>
      </c>
      <c r="C5705" t="inlineStr">
        <is>
          <t>読み方：でいりぐち
人の出入りする所。</t>
        </is>
      </c>
      <c r="D5705" t="inlineStr">
        <is>
          <t>出入り口付近(3%)；出入り口近く；出入り口部；出入り口上部</t>
        </is>
      </c>
      <c r="E5705" t="inlineStr">
        <is>
          <t>入り；ドア；門；玄関；戸</t>
        </is>
      </c>
      <c r="H5705" t="n">
        <v>29</v>
      </c>
      <c r="I5705" t="inlineStr">
        <is>
          <t>何をするのだろうと見ていると、部屋の出入り口に向かって歩いていく。；これは少し触れただけ出入り口が開く巨大な岩の中に作った庭園である。；このため建物の出入り口付近に壁掛けなどの形で設置されるべきである。；その部屋には、入口のドアのほかには、ひとつも出入り口はありません。；窓はみなしまっていますし、べつの出入り口があるわけでもありません。；そのため、横に窯への出入り口を設けて直接出入りできるようになった。；以降はトイレの出入り口が板張りされ、入ることが出来なくなっている。；むしろの敷いてあるところはその出入り口をはいったすぐの左土間です。；そして告げたことで満足したのか、出入り口の扉に向かって歩き出す。；この巣箱は出入り口が閉鎖できるようになっているほか、移動ができる。；四令門がある街は黄海の出入り口にあるが故に妖魔対策がとられている。；必ず坂の上の方に出入り口があって道と接する構造になっていた。；二階半のファサードには、丸アーチ型の窓と出入り口が設けられている。；客用出入り口を除くすべての出入り口に存在する場合が一般的である。；教室の出入り口近くでは、同じように毬藻が男生徒に取り囲まれていた。；北部にあるメインの非対称の出入り口は後から取り付けられたものである。；コンサート・ステージと子供用エリアが出入り口近くに設置された。；駅舎と反対側の下り方ホームには田原坂方面への出入り口が新設されている。；これによりここは2か所の出入り口だけが開いた閉鎖的な広場となった。；作品は、出入り口に掛けられるように、扉上部用絵画として構想された。；歩行者用トンネルの出入り口と車両用トンネルと出入口は場所が異なる。；各展示ホールごとに南北それぞれ幅12mの出入り口が設けられている。；迷宮街は街から外部を護るために出入り口一つを残して壁に囲まれている。；屋上へのただひとつの出入り口には、ちゃんとかぎがかかっていました。；門の出入り口の脇に立てられた案内板にその由来が記してある。；出入り口から駅中央に1箇所ある改札までは地下の通路を歩く必要がある。；その右端はセット上手にあるゲストの出入り口を隠す格好になっている。；かつては古書店だったため、正面の出入り口はスライド式のガラス戸だ。；出入り口の扉はセンターに破壊されて以降、そのままになっている。</t>
        </is>
      </c>
      <c r="J5705">
        <f>HYPERLINK("https://www.weblio.jp/content/出入り口", "词义详情")</f>
        <v/>
      </c>
      <c r="K5705">
        <f>HYPERLINK("https://yourei.jp/出入り口", "查看例句")</f>
        <v/>
      </c>
    </row>
    <row r="5706">
      <c r="A5706" t="inlineStr">
        <is>
          <t>停留所</t>
        </is>
      </c>
      <c r="B5706" t="inlineStr">
        <is>
          <t>成功</t>
        </is>
      </c>
      <c r="C5706" t="inlineStr">
        <is>
          <t>読み方：ていりゅうじょ
バスや路面電車が客の乗り降りのためにとまる一定の場所。停留場。</t>
        </is>
      </c>
      <c r="D5706" t="inlineStr">
        <is>
          <t>停留所名(5%)；停留所下車；停留所付近；停留所以外；停留所近く</t>
        </is>
      </c>
      <c r="E5706" t="inlineStr">
        <is>
          <t>ターミナル；停車駅；停留場</t>
        </is>
      </c>
      <c r="F5706" t="inlineStr">
        <is>
          <t>最寄り停留所；各停留所；高速バス停留所；当停留所；途中停留所</t>
        </is>
      </c>
      <c r="H5706" t="n">
        <v>29</v>
      </c>
      <c r="I5706" t="inlineStr">
        <is>
          <t>停留所は始発・終着地を除き、市内に設けられている所のみを表記する。；後者の東停留所は名称こそ「東」だが、設置位置は当ICの西側である。；晩年は道路渋滞が激しくなるシーズンには当停留所を通過する場合があった。；以下のバスの発着以外にも路線バスの降車専用停留所にもなっている。；最寄り停留所は、桜通と江川線の交差点付近にある国際センターである。；かつては下記の各停留所があり、三重交通の松阪伊勢線が発着していた。；また2000年頃以降は下記のような停留所設備の一新を行っている。；なお、柏陵高校停留所という名前であるが高校からは相当の距離がある。；停留所には駅ナンバリングのように番号が振ってあるところもある。；PA内に設置された北鉄奥能登バスが運行する特急バスの停留所である。；また、この路線が開通した当時は京成の停留所名も「大久保」であった。；乗継券は当日1回のみ、指定された停留所で乗り継ぐ場合に有効となる。；この路線では系統番号も別途設定した上で、停留所も日中の運行とは異なる。；かつては北口のロータリー内に停留所があり、そこから発着していた。；高速バス停留所はロータリー内ではなく、周辺の道路上に設けられている。；そのときは現在の国立博物館入口停留所の南側に車庫が設置された。；こうした駅のことをかつての地方鉄道建設規程から停留所と呼ぶことがある。；また当時は船橋新京成バスの路線と並行する区間では一部の停留所のみに停車していた。；駅南口から徒歩2分ほどの所にあり、これが当駅最寄りの停留所である。；駅南口と駅北口にそれぞれ停留所が設けられており、下記の路線が発着する。；運行上の拠点であるバス案内所停留所には出入庫系統しか経由しない。；両停留所とも駅からは商店街を通らなければならないので駅からは少し距離がある。；停留所名は「相野駅」で、いずれも駅舎前のロータリーに発着している。；市内では住友病院前停留所と並ぶバス交通の拠点としての役割を担う。；しかし、砧本村停留所は砧村の中心からは大きく離れていた場所にあった。；付近に京丹波町町営バスの停留所が2ヵ所あるため、まとめて解説する。；これは現在の京成の東邦大学付属東邦中学・高校前停留所と同一の場所である。；かつては富水駅入口停留所があり下記の路線が発着していたが、路線廃止に伴い廃止された。；急行扱いとなるため、停車停留所は豊洲駅だけだが、通過する場合がある。</t>
        </is>
      </c>
      <c r="J5706">
        <f>HYPERLINK("https://www.weblio.jp/content/停留所", "词义详情")</f>
        <v/>
      </c>
      <c r="K5706">
        <f>HYPERLINK("https://yourei.jp/停留所", "查看例句")</f>
        <v/>
      </c>
    </row>
    <row r="5707">
      <c r="A5707" t="inlineStr">
        <is>
          <t>手入れ</t>
        </is>
      </c>
      <c r="B5707" t="inlineStr">
        <is>
          <t>成功</t>
        </is>
      </c>
      <c r="C5707" t="inlineStr">
        <is>
          <t>読み方：ていれ
［名］(スル)
１よい状態を保つために、整備・補修などをすること。「—が行き届く」「よく—された庭木」
２捜査や検挙のために、現場や犯人の居所に踏み込むこと。「密売の現場を—する」</t>
        </is>
      </c>
      <c r="D5707" t="inlineStr">
        <is>
          <t>手入れ用具；手入れ用品；手入れ道具</t>
        </is>
      </c>
      <c r="E5707" t="inlineStr">
        <is>
          <t>修理；修正；直し；改修；修復</t>
        </is>
      </c>
      <c r="F5707" t="inlineStr">
        <is>
          <t>美しく手入れ；毎日手入れ；良く手入れ；定期的な手入れ</t>
        </is>
      </c>
      <c r="H5707" t="n">
        <v>29</v>
      </c>
      <c r="I5707" t="inlineStr">
        <is>
          <t>かうしておけばしばらくの間、髪の手入をしなくてもよかつたからです。；それは北山殿の大手入れがあってから、わずか十日もすぎぬうちだった。；従順で手入れが容易であることなどが高い評価を得ていると伝えている。；ガス・ピストンは分解手入れをしやすいよう、三分割構造となっている。；表四番町のかなり広い彼の邸は手入もせず、冬荒れのまま捨ててあった。；コートは白いため涙や食事で汚れやすく、頻繁な手入れが必要である。；現夢は城の近くに住んでいたので、松平家からその手入れを任せられる。；いよいよ変だなアと見ていますとね、武器の手入れをやり出したんで。；大地と家は手入れが行き届いていて、川の土手沿いに住居が並んでいた。；で、私は母に手紙をやつて早く山の方に來て入れかはつてくれるやうに頼んだ。；それぞれがその形をはっきりと示していて、全てがよく手入れされていた。；この公園は基本構造が保持されており、手入れも良好になされている。；馬をこすっている手入兵たちは、みな木谷は厩にはこなかったと言った。；男性の間でも眉を細く手入れする習慣が定着するようになっている。；ロンドン警視庁の手入れを受けてほぼ全員が逮捕され、組織は壊滅した。；コンナに真剣な気持で顔の手入れをしてもらった事は生れて初めてだ。；保安林には手入れがなされていないなど健全な状態と言えないものがある。；髪は宇宙パイロットの標準より長いが、いつ見ても手入れは完全だ。；修道院墓地は旧実用園と同様に、手入れの簡単な緑地に改造されている。；数時間前は自宅の庭を手入れする幸せな女性、暗い影など微塵もなかった。；作陶しない時は、読書やテレビ鑑賞、趣味の日本刀の手入れをしていた。；髪はきれいに手入れをして、人目を惹かずにはおかない魅力を放っていた。；私が先生を案内して行つた時は、父は馬蹄の手入れをしてゐました。；硯は半永久的に使えるものであるが、そのためには手入れが必要である。；この手入れさへ怠らなかつたら冬ぢゆうそのままにして置いてもよい。；経済的に余裕がなく、頻繁に髪の手入れができない浪人も総髪であった。；あの体面を気にかける彼が、まだ手入れもしないのはよくよくのことだろう。；彼が寝てしまうと、彼女は彼の服の手入れをしたり、または自分の勉強をした。；ただし、この道路は舗装はもちろん手入れすら満足になされていない。</t>
        </is>
      </c>
      <c r="J5707">
        <f>HYPERLINK("https://www.weblio.jp/content/手入れ", "词义详情")</f>
        <v/>
      </c>
      <c r="K5707">
        <f>HYPERLINK("https://yourei.jp/手入れ", "查看例句")</f>
        <v/>
      </c>
    </row>
    <row r="5708">
      <c r="A5708" t="inlineStr">
        <is>
          <t>手薄</t>
        </is>
      </c>
      <c r="B5708" t="inlineStr">
        <is>
          <t>成功</t>
        </is>
      </c>
      <c r="C5708" t="inlineStr">
        <is>
          <t>読み方：てうす
［名・形動］
１手もとに金銭や物品をあまり持っていないこと。また、そのさま。「所持金が—になる」
２人手が少なくて不十分なこと。「—な警備」</t>
        </is>
      </c>
      <c r="D5708" t="inlineStr">
        <is>
          <t>手薄な状態；手薄な場所；手薄な地域；手薄なチーム事情；手薄なメンバー</t>
        </is>
      </c>
      <c r="E5708" t="inlineStr">
        <is>
          <t>不足；薄い；貧しい；不十分；乏しい</t>
        </is>
      </c>
      <c r="G5708" t="inlineStr">
        <is>
          <t>手薄く</t>
        </is>
      </c>
      <c r="H5708" t="n">
        <v>29</v>
      </c>
      <c r="I5708" t="inlineStr">
        <is>
          <t>その日はたまたま日曜日で、病院が手薄になったときを狙ったんですね。；北城・古城・南城のいずれも北側の防御が手薄であることが指摘される。；主攻撃目標は、守備が特に手薄なのを見抜いてタナメラ湾を選んでいる。；征東大将軍に任命されたとはいうものの、あの手薄な人数で行くのだ。；一方で、初期や中期では室内楽を得意としたはずの分野は手薄になっている。；めぐみくんが殺されたのは警戒が手薄だったからではないですか。；手薄であった近鉄投手陣に貢献し、チームのリーグ優勝への力となった。；新しくてうす汚れた部屋で、父親は衝立の陰にあお向けで横になっていた。；そしてその中でもっとも用意の手薄な場所へ、しばしば彼らは不意に姿を現わした。；手薄だったのか、私たちに再び武器を持たせて警備させました。；警戒体制をとる間、それらへの対応が手薄にならざるを得ない。；この二十年も、未来が論じられ、本も出たのに、この面が手うすだった。；アルノルドにまで兵を割けば、ただでさえ防戦一方の両者が手薄になる。；ヒュドラの来襲で判明したのは、この方面の守りが手薄だということだ。；そうすれば、彼の部隊は防御の手薄なところから都市へ侵入することができるからである。；当時警備が手薄となっていた中支方面の戦力増強のため建造された。；北に王宮を置いたのは、南よりは北の方が防備を手薄にできるからだ。；彼の前衛はきわめて手うすで、なにごともなしえなかったのである。；またその布陣は、後方との連絡線確保のうえで重要な右翼が手薄であった。；その駅を出ると、二人は商店街を抜けてうす暗い住宅街へ入った。；うしろへ廻ってうす暗い樹立ちの方へ由布をつれていくのである。；だから警備が手薄な裏手にいたと思われますが、それとて確証はない。；それが最も手薄にして而かも最も広域に分散させたのは誰なのだ。；は、先発投手陣が手薄なこともあり、右の先発の1番手として活躍した。；まだ警官の出張も手薄で、野次馬共は自由に火事場に近づくことが出来た。；自国の防衛が手薄になることをホンタイジが気にかけていたのが要因と考えられている。；そこは手薄で、彼女のもとの席にはだれもすわっていなかった。；その上で、敵陣の手薄なところを狙って、強行突破しようとしたのである。；あとはおたがいの疲れてうす汚れた顔を見ているだけだった。</t>
        </is>
      </c>
      <c r="J5708">
        <f>HYPERLINK("https://www.weblio.jp/content/手薄", "词义详情")</f>
        <v/>
      </c>
      <c r="K5708">
        <f>HYPERLINK("https://yourei.jp/手薄", "查看例句")</f>
        <v/>
      </c>
    </row>
    <row r="5709">
      <c r="A5709" t="inlineStr">
        <is>
          <t>手遅れ</t>
        </is>
      </c>
      <c r="B5709" t="inlineStr">
        <is>
          <t>成功</t>
        </is>
      </c>
      <c r="C5709" t="inlineStr">
        <is>
          <t>読み方：ておくれ
手当てや処置すべき時機をのがすこと。遅れたために効がないこと。「早く医者にかからないと—になる」「いまさら何を言っても—だ」</t>
        </is>
      </c>
      <c r="D5709" t="inlineStr">
        <is>
          <t>手遅れじゃない</t>
        </is>
      </c>
      <c r="E5709" t="inlineStr">
        <is>
          <t>遅い；もう遅い；もう手遅れ；後の祭り；どうにもならない</t>
        </is>
      </c>
      <c r="H5709" t="n">
        <v>29</v>
      </c>
      <c r="I5709" t="inlineStr">
        <is>
          <t>これ以上悪くなると、尼になる頃には手遅れになって死んでしまいます。；敵にしても、すぐにでも迎撃態勢を取らねば手遅れになるのではないか。；こんなことなら叔父を殺すのではなかったと歯がみしたが、手遅れである。；むろん、その時には、なにが起きたかはわかったが、その時は手遅れさ。；手遅れでございまして、ローマにはもう馬車はただの一台もございません。；僕が気づいて助けた時は手遅れで、松田は珍しい窒息死をしたのである。；手遅れになるまで、だれも事件に気づかなかったのはそのためだろう。；それに今となっては、すでに婆さんの口を閉すには手遅れになっていた。；ついには、山椒魚部の閉鎖となったが、その時にはすでに手遅れだった。；メグレは多数の武装警官を動員させたにもかかわらず、手遅れになった。；後悔しても手遅れとなれば、人間は次のことに頭が向かうものなのだろう。；そのため、毒蛇だと気づかずに症状が進行し、手遅れになることも多い。；奥さんが持ってきたコップの水をくうっと飲んだときにはもう手遅れだ。；そのときになってキクプロの強大さを知っても手遅れというわけである。；さすがに伊勢屋も折れて医者に使いを走らせたが、すでに手遅れだった。；詳しくはわからないが、今となってはもう手遅れの状態ではないだろうか。；数日後には批判されていた問題のいくつかが修正されたが、もう手遅れだった。；運転手が、道を横断しようとする彼女に気づいた時には手遅れだった。；このまま立ち去ってしまえば、なにかが手遅れになってしまう気がした。；信号がかれらのところへいつ着いたにしても、そのときはもう手遅れなのです。；常に現実となるのだが、たいていの場合、誤解して手遅れとなってしまう。；手遅れにならないうちに彼女をニューヨークから連れ出す機会なのだ。；手遅れにならないうちに、きみがカレンを見つけてくれてうれしいとね。；富士通は1985年半ばにこの方針を転換したが、既に手遅れであった。；つまり、いくら海月の気持ちが変わっても、もう完全に手遅れになった。；このままここにいれば、気が変わったときには手遅れになってるわ。；彼は、中甲板の騒動が手遅れにならぬうちに発見されたのを幸運と思った。；気がついて私が救急車を呼んだときはもう手遅れだったようでした。；だが、そんな悠長なことをしていてはすべてが手遅れになってしまう。</t>
        </is>
      </c>
      <c r="J5709">
        <f>HYPERLINK("https://www.weblio.jp/content/手遅れ", "词义详情")</f>
        <v/>
      </c>
      <c r="K5709">
        <f>HYPERLINK("https://yourei.jp/手遅れ", "查看例句")</f>
        <v/>
      </c>
    </row>
    <row r="5710">
      <c r="A5710" t="inlineStr">
        <is>
          <t>でかい</t>
        </is>
      </c>
      <c r="B5710" t="inlineStr">
        <is>
          <t>成功</t>
        </is>
      </c>
      <c r="C5710" t="inlineStr">
        <is>
          <t>［形］大きい。また、はなはだしい。でっかい。「—・い家」「態度が—・い」
[派生]でかさ［名］</t>
        </is>
      </c>
      <c r="D5710" t="inlineStr">
        <is>
          <t>でかい声(4%)；でかいやつ(2%)；でかい男；でかい図体；でかい顔</t>
        </is>
      </c>
      <c r="E5710" t="inlineStr">
        <is>
          <t>大；高い；重要；巨大；大きい</t>
        </is>
      </c>
      <c r="F5710" t="inlineStr">
        <is>
          <t>バカでかい；ドでかい；もっとでかい；あんなでかい；こんなでかい</t>
        </is>
      </c>
      <c r="H5710" t="n">
        <v>29</v>
      </c>
      <c r="I5710" t="inlineStr">
        <is>
          <t>こんなでかい構造の中ではわからない情報、知り得ない情報が多すぎる。；まあ、みんな、東京ではでかい仕事をしてると言いたがるものだけどね。；それに、これだけのものを実現するのは一人じゃ、でかすぎる仕事だよ。；だがこんなでかい馬をつれて、どうやってそこまでいくかが難題だった。；武士の妻はかほどのうてはと仰せられてもこの身にはいかでかいかでか。；学校に男がいるだけでデカイ面できる身分じゃないのよ、あたし達は。；デフォルトでの声のでかさでは信長とタメを張るようなレベルのくせに。；そういうことがないと、このようにでかい経営なんて不可能だからな。；そんなでかい家に住んでいて、三百万円ぐらいの金、ないわけがあるか。；でかくて、翼が広くて、頭の禿げた鳥で、死んだものを食べて生きてる。；しかし口でかくいえばとて、真に心から信じおるかどうかは問題である。；やつのいうようにおれはもっと「でかい仕事」をしているのだろうか。；後ろの車には里村とその助手二人、そして木下ってでかいのが乗ってる。；この塔の部屋がばかでかく、天井が妙に高いのは、これが彼の塔だからだ。；図体のでかさは勝敗を分ける重要な要素であっても、決定要因ではない。；でかい面をしているアレキサンドルがどの程度の腕なのか見せてもらおう。；しかも何が因縁でかくまでわれわれと親しい神に現われるかは謎である。；もしこんな大きな骨の動物が居たら生きていたら相当でかいぜ?；なんだか自分がでかい魚の腹にのまれたようで落ち着かなかったのだ。；そうしたらさっき逃げてったでかいのが、手下と路地に隠れてたんだよ。；目をつぶりそうになったとき、横からでかい紺色の影がふたつ出現した。；こーんなでかい腹してそこに座って、俺らが庭で水遊びするのを眺めてた。；女のわたしがでかい面をしてるのが、許せないってこともあるんだろうな。；三人の壁みたいにでかい男たちは、確かにウィスキーの瓶を手にしていた。；こういうときは、なるべくでかいことを言っておくべきなのであった。；いくら腹がでかいといったって、成人男子一人入っている程でかかったのか?；にもかかわらずぼくは世の中で一番でかい荷物を背に担いでいた。；この人、でかいことをやってのける気で、都会を甘く見て出て来たのだ。；私は気分から書く作家でもないし、独白の情熱でかく作家でもありません。</t>
        </is>
      </c>
      <c r="J5710">
        <f>HYPERLINK("https://www.weblio.jp/content/でかい", "词义详情")</f>
        <v/>
      </c>
      <c r="K5710">
        <f>HYPERLINK("https://yourei.jp/でかい", "查看例句")</f>
        <v/>
      </c>
    </row>
    <row r="5711">
      <c r="A5711" t="inlineStr">
        <is>
          <t>手掛り</t>
        </is>
      </c>
      <c r="B5711" t="inlineStr">
        <is>
          <t>成功</t>
        </is>
      </c>
      <c r="C5711" t="inlineStr">
        <is>
          <t>読み方：てがかり
１手をかける所。よじ登るときにとりつく所。「—のない一枚岩」
２問題を解決するためのいとぐち。「捜査の—をつかむ」「問題を解く—がない」</t>
        </is>
      </c>
      <c r="D5711" t="inlineStr">
        <is>
          <t>手掛りもありませ；手掛りらしいもの；手掛りも得られ；手掛りもなく</t>
        </is>
      </c>
      <c r="E5711" t="inlineStr">
        <is>
          <t>鍵；示唆；キー；手がかり；暗示</t>
        </is>
      </c>
      <c r="F5711" t="inlineStr">
        <is>
          <t>重要な手掛り；貴重な手掛り；新しい手掛り；確かな手掛り；五手掛り</t>
        </is>
      </c>
      <c r="H5711" t="n">
        <v>29</v>
      </c>
      <c r="I5711" t="inlineStr">
        <is>
          <t>でも手掛りになるものを隠そうと最大の注意が払われているようですね。；ともかく、手掛りになるようなものは、何ひとつ残っていませんでした。；では全然生活形分類の手掛りがないかといえば、そうでもないのである。；スコウラーズの手掛りが得られると思えば、どこへでも来るやつですよ。；それがおれのなすべきことについての手掛りを与えていてくれるのだ。；マッチは市販されているもので、手掛りになるようなものではなかった。；が、その結果はたいした新しい手掛りが見付かつたわけではありません。；残念ながら頭の部分は少し欠けているが、それでも貴重な手掛りになった。；今夜こそ彼女に接近して、親しくなる手掛りをつかまなければならない。；それならば、私たちはこの歌のどこに手掛りをもとめたらいいものか。；どうやらこんどのショルトー事件に有力な手掛りを握ったらしいです。；目撃者探しは難しいだろうが誰かが見ていたら、有力な手掛りになる。；副官三人は毎日でかけて、憑かれたように新たな手掛りを求めて歩いた。；手掛りが多ければ、真相もその手掛りの数だけ存在していていいわけだ。；この透谷の政治家としての経歴は彼を理解する上で、大切な手掛りです。；とにかく手掛りになるようなものはなに一つありませんでした。；門弟達、出入の者、一と通り調べましたが、何んの手掛りもありません。；何の事だか分らぬけれどこれこそは大切の手掛りとも云う可きだ。；彼は正しい手掛りを得ていることをほぼ確信していたのだ。；私は唯一の重要な手掛りを追うかわりに、やぶをつついてしまいました。；暗号解読には出現頻度だけではなくて、出現間隔も貴重な手掛りとなる。；よく考えてみてください、なにか参考になるような手掛りでもありませんか?；単に各プレイヤーの手掛りを総合すれば事件を解決できるように設計されたゲームもある。；浴室の中にはもう何も手掛りは見つからなかったと、彼らは報告した。；何とかして、川田を殺した連中への手掛りを、見つけたかったからである。；だが、他に手掛りらしいものはあまりないのだから、致しかたあるまい。；しかし、ここにこそ、修一を探す手掛りがある事も間違いないと思えた。；シリング医師の解剖の結果、何か新しい手掛りがつかめませんでしたか?；この頃、フェノロサと出会いその意見を取り入れた作品を手掛ている。</t>
        </is>
      </c>
      <c r="J5711">
        <f>HYPERLINK("https://www.weblio.jp/content/手掛り", "词义详情")</f>
        <v/>
      </c>
      <c r="K5711">
        <f>HYPERLINK("https://yourei.jp/手掛り", "查看例句")</f>
        <v/>
      </c>
    </row>
    <row r="5712">
      <c r="A5712" t="inlineStr">
        <is>
          <t>手掛ける</t>
        </is>
      </c>
      <c r="B5712" t="inlineStr">
        <is>
          <t>成功</t>
        </is>
      </c>
      <c r="C5712" t="inlineStr">
        <is>
          <t>読み方：てがける
［動カ下一］［文］てが・く［カ下二］
１みずからその物事を扱う。「—・けたことのない仕事」
２心をこめて世話や指導をする。「私の—・けた生徒」</t>
        </is>
      </c>
      <c r="D5712" t="inlineStr">
        <is>
          <t>手掛ける超低床電車ブランド；手掛けるアウトソーシング企業；手掛けるオリジナルアニメ作品</t>
        </is>
      </c>
      <c r="E5712" t="inlineStr">
        <is>
          <t>育成；立てる；育てる；養う；育む</t>
        </is>
      </c>
      <c r="F5712" t="inlineStr">
        <is>
          <t>多数手掛ける；幅広く手掛ける；自ら手掛ける；初めて手掛ける</t>
        </is>
      </c>
      <c r="H5712" t="n">
        <v>29</v>
      </c>
      <c r="I5712" t="inlineStr">
        <is>
          <t>浜崎が自分以外のアーティストの作品を手掛けるのは今回が初となった。；本作品の音楽は、すべて伊福部昭が過去に手掛けた曲が用いられている。；そのほか、テレビドラマの脚本や舞台の作・演出も数多く手掛けている。；実際に作者自身がこのようなビジネスを手掛けていたのかもしれない。；その後、ニューヨークに帰った後にも多くの作品のミックスを手掛ける。；他にも出版事業や音楽事業、ポストプロダクション事業も手掛けていた。；春と秋に各約1ヶ月間の展覧会開催の他に、出版物刊行も手掛けている。；音楽を担当した渡辺俊幸は、本作品で初めて特撮作品の音楽を手掛けた。；やがてこの事業で得た利益を使って金融業も手掛けるようになった。；また、や芸術的な宝飾品を手掛ける場合は宝飾家と呼ばれる場合がある。；主に舞台音楽やイベント、広告音楽などの分野で数多くの作品を手掛ける。；この番組セットのデザインは初代美術担当の妹尾河童が手掛けたものである。；自社ブランド製品の製造販売の他、日本国外製品の輸入業務も手掛ける。；これらは同社のデザイン顧問に就任した水戸岡鋭治が手掛けたものである。；当初レネは広島を舞台としたドキュメント作品を手掛けるつもりであった。；ニューウェイが手掛けたマシンがタイトルを獲得したのもこの年が初である。；また、バレエ音楽や様々なイベントのための作曲なども手掛けている。；多摩ニュータウンを舞台にしたこのアルバムは、PVも自身で手掛ける。；先述した業務以外に、他社や一般消費者に向けた様々な業務を手掛ける。；実際、百合やボーイズラブも手掛けるなど、年々活動の場を広げている。；各種ビルから一般住宅・倉庫まで、あらゆる解体を手掛けることが多い。；同時にこの作品のアートワークを京が手掛けたことが発表された。；その後、現在に至るまで、星は数多くの浜田の作品を手掛けることになる。；かつては現代作曲家の初演を手掛けることもあったが、現在では少なくなった。；エンジンは、鈴木たちが設立した東名自動車がチューニングを手掛けた。；同潤会では以前から手掛けていた分譲住宅の供給に専念することになった。；画風、題材ともに個性的で、主に縄文時代を舞台にした作品を手掛ける。；彼の作風は、この作品を手掛けた4年半の間にほぼ形成されたと言っても良い。；後に数々のドラマ・映画を手掛ける菅野祐悟の劇伴デビュー作でもある。</t>
        </is>
      </c>
      <c r="J5712">
        <f>HYPERLINK("https://www.weblio.jp/content/手掛ける", "词义详情")</f>
        <v/>
      </c>
      <c r="K5712">
        <f>HYPERLINK("https://yourei.jp/手掛ける", "查看例句")</f>
        <v/>
      </c>
    </row>
    <row r="5713">
      <c r="A5713" t="inlineStr">
        <is>
          <t>出かける</t>
        </is>
      </c>
      <c r="B5713" t="inlineStr">
        <is>
          <t>成功</t>
        </is>
      </c>
      <c r="C5713" t="inlineStr">
        <is>
          <t>読み方：でかける
［動カ下一］［文］でか・く［カ下二］
１ある目的地をさして出て行く。出発する。また、外出する。「社用で九州へ—・ける」「盛装して—・ける」「買い物に—・ける」
２出て行こうとする。出ようとする。出かかる。「—・けたところに客が来る」
３ある行動を起こそうとする。手を付ける。とりかかる。
「よしよし洋学流の吾々は正反対に—・けて遣ろうと云う気になって」〈福沢・福翁自伝〉</t>
        </is>
      </c>
      <c r="D5713" t="inlineStr">
        <is>
          <t>出かけるんです；出かけるところです；出かけるんだろ；出かけるところらしい；出かけるところでし</t>
        </is>
      </c>
      <c r="E5713" t="inlineStr">
        <is>
          <t>出る；始める；出てくる；去る；外出</t>
        </is>
      </c>
      <c r="F5713" t="inlineStr">
        <is>
          <t>出かけるまえ；これから出かける</t>
        </is>
      </c>
      <c r="H5713" t="n">
        <v>29</v>
      </c>
      <c r="I5713" t="inlineStr">
        <is>
          <t>幼いころから科学や自然に興味を持ち、植物採集に頻繁に出かけていた。；他の商人は日市が立つ町に出かけてそこで場所か店を賃借りして商売した。；次の日の朝、今度こそ最後にすると言って、父さんは出かけてしまった。；十内と畑介はよい金儲けができたと喜び、畑介は酒を買いに出かけてゆく。；仕事する日は必ず玄関で握手してから出かけるなど大変な愛妻家だった。；彼らは依頼があるとすぐに住処から飛び出して、修理に出かけるのです。；多くの中学校・師範学校・演劇学校に出かけ、学生たちの人気を集めた。；李邕がその才能を非凡とし、自分から出かけて面会を求めたことがある。；私はその頃、月の十一日を楽しみにして待つて、そこへ出かけるのでした。；イングランドに出かけたときのためにブライトンにもアパートを借りている。；またラーメンが好きで小学生ながら一人でラーメン屋まで出かけていた。；しかし、家から遠いところに二人一緒に出かけることはありますまい。；また、自らからも少なくとも二ヶ月に1回程度は韓国に出かけている。；数日後、父と兄が狩りに出かけるのを見てハトシェプストはついていく。；母が看護に出かけてしまった事もあり、奇妙な同居生活をする羽目になる。；昨日は私服で出かけたため、途中で拳銃を落としたとは考えられない。；母親はしばしば彼女を連れてパリへファッションショーを見に出かけたという。；実際にドナルドとの共演作品では一緒にどこかへ出かけている設定のものが多い。；あるとき、この近隣の地域を支配していたジェモメスゥ公が狩に出かけた。；ある日、友人と釣りに出かけた時にその友人が怪我で倒れてしまう。；そんなある日、ご主人が旅行に出かけてしまい、トムは大変困り果てた。；夫婦仲はあまりよくなく出かけるときはいつも父親とだけだった。；メンケはその日の朝に犬の散歩をしに出かけたきり行方不明だった。；ドモ又の弟はその細君のともちゃんと旅の空に出かけることになるだろう。；今まで餘り山へは出かけなかつたものも我も我もと出かけるやうになるだらう。；ある日、乙女たちは、父である魔神の王の宮殿に出かけることになった。；イェヌーファは徴兵検査で町に出かけたシュテヴァの帰りを待っている。；同年12月にクリスマスの買い物に出かけた妻と娘を交通事故で失った。；一方で巨人時代の選手とは実生活では食事や飲みには出かけたりはしなかったという。</t>
        </is>
      </c>
      <c r="J5713">
        <f>HYPERLINK("https://www.weblio.jp/content/出かける", "词义详情")</f>
        <v/>
      </c>
      <c r="K5713">
        <f>HYPERLINK("https://yourei.jp/出かける", "查看例句")</f>
        <v/>
      </c>
    </row>
    <row r="5714">
      <c r="A5714" t="inlineStr">
        <is>
          <t>手形</t>
        </is>
      </c>
      <c r="B5714" t="inlineStr">
        <is>
          <t>成功</t>
        </is>
      </c>
      <c r="C5714" t="inlineStr">
        <is>
          <t>読み方：てがた
１手の形。物についた、手の形の跡。「たたかれた背中に—が残る」
２てのひらに墨などを塗って、紙などに押した手の形。昔は、文書に押して後日の証拠とした。「力士の—の色紙」
３一定の金額の支払いを目的とする有価証券。為替手形・約束手形の総称。広義には、小切手を含む場合もある。「—を割り引く」
４関所手形のこと。
５印形を押した証文・証明書など。
「当座借りの金銀、—なしの事なれば」〈浮・織留・一〉
６牛車(ぎっしゃ)の方立(ほうだて)や、馬の鞍(くら)の前輪(まえわ)の左右につけてあるくぼみ。手をかけるためのもの。</t>
        </is>
      </c>
      <c r="D5714" t="inlineStr">
        <is>
          <t>手形交換；手形山；手形金；手形取引；手形事件</t>
        </is>
      </c>
      <c r="F5714" t="inlineStr">
        <is>
          <t>関所手形；道中手形；関手形；通り手形；赤い手形</t>
        </is>
      </c>
      <c r="G5714" t="inlineStr">
        <is>
          <t>手形割引；手形法；手形詐欺；手形要件；手形訴訟</t>
        </is>
      </c>
      <c r="H5714" t="n">
        <v>29</v>
      </c>
      <c r="I5714" t="inlineStr">
        <is>
          <t>フィリップの言った手形という言葉がずっと気になっていたからである。；無言で彼女が手を上げると、そこには手形が丸みを持ってついていた。；いったい君は気でもちがったのかね、手形にサインをしてしまうなんて!；これらの資金はメフォ手形などの手形を利用する特殊なものであった。；きみがシャンプウ・ド・ゲント氏に振り出した手形が落ちていないんだ。；預金残高以上に手形・小切手を切っている企業はそう多くはないからだ。；そうすれば、高利貸の手からその手形証書を引きとる助けになるだろう。；大銀行の例にもれなく、手形交換制度のグローバル化に伴い本格化した。；ひと突き、ひと突きが、てるの肉体に発行する手形のような気がする。；昨夜になつて、僕を電話で呼んで、手形の形式はいいかつて云ふんでせう。；十手も手形も預ってはいないが小者の仲間内では知られる顔になっていた。；多田の鼻の下をくすぐり、会社名義の手形を切って切って切りまくった。；既に遊佐さんも御承諾なのですから、この手形はお貰ひ申して帰ります。；但し、スタート前はテーブルにある手形に両手を置かなければならない。；これほど大きいのだから、この中には手形や金以外のものもはいっているのだろう。；遺体とあそこの手形を照合したら、まさしくあれは浜田のものだったよ。；例の三枚の手形を受け取ってくれたら、牛の輸入事業の共同経営者になってもらう。；手紙に黒い手形のマークをつけていたことからブラック・ハンドと呼ばれた。；雨上がりの日などに「鬼の手形」らしいものが石の上に見えるという。；彼はこの取引を非常に有利だと考え、すぐに承知したので、手形は返してやった。；だが、襖の表には、べっとりと赤い手形のような跡がついていたのだ。；素直に調べを受けると、手形カードがあれば1枚消費の上無事通過できる。；信用取引で使われる手形制度を創設して信用取引のはじまりを確立した。；なお、谷風のものと伝えられている手形を記載した江戸時代の書物も存在する。；銀行家は私の手形にたいして金をとどけにきたといい、司教を紹介した。；だいぶ前からそういう腹があったところへ、急に手形が惜しくなった。；こんな事になっているとは知らない二人、あいにく手形を用意していしなかった。；ガラスドアには、彼らが見ているその目の前で、次々と新しい手形がつき始めていた。；ところが松陰に対する藩の過所手形の発行が遅れ、出発できなくなった。</t>
        </is>
      </c>
      <c r="J5714">
        <f>HYPERLINK("https://www.weblio.jp/content/手形", "词义详情")</f>
        <v/>
      </c>
      <c r="K5714">
        <f>HYPERLINK("https://yourei.jp/手形", "查看例句")</f>
        <v/>
      </c>
    </row>
    <row r="5715">
      <c r="A5715" t="inlineStr">
        <is>
          <t>手堅い</t>
        </is>
      </c>
      <c r="B5715" t="inlineStr">
        <is>
          <t>成功</t>
        </is>
      </c>
      <c r="C5715" t="inlineStr">
        <is>
          <t>読み方：てがたい
［形］［文］てがた・し［ク］
１やり方が堅実で、あぶなげがない。はでな面はないが確実である。「—・い商売」
２相場が安定して下がる気配がない。
[派生]てがたさ［名］</t>
        </is>
      </c>
      <c r="D5715" t="inlineStr">
        <is>
          <t>手堅い設計(5%)；手堅い商売(3%)；手堅い仕事；手堅い守備；手堅い演出</t>
        </is>
      </c>
      <c r="E5715" t="inlineStr">
        <is>
          <t>安全；明確；安心；正しい；正直</t>
        </is>
      </c>
      <c r="H5715" t="n">
        <v>29</v>
      </c>
      <c r="I5715" t="inlineStr">
        <is>
          <t>手堅い品が盛に作られてこそ本当の発展だというべきではないでしょうか。；監督に就任してからは、データを重視した冷静で手堅い采配をしている。；そのほうがてっとり早く安全で、手堅く金を得ることができるからだ。；これも初採用の機器ゆえに、冒険を避けて手堅い設計を選択した結果である。；こうして手堅く刻んで打って行き、あとは得意のアプローチで勝負する。；しかし、手堅い好位マークで行くというレースぶりはあまり見たことがない。；かと言って、手堅く利息だけを狙うようでは、不甲斐なさの証明になる。；ごく手堅い職人気質の残る仕事で、その出来栄には見事なものがあります。；義母のいくえは、小学校の教師を二十年近く勤め、手堅い人柄であった。；人々は商人から買うよりも直接に注文する方が一層安くてかつ手堅いものを得られるのである。；なるべく被害を少なく、そして手堅く勝利を収めねばならないのだ。；独創的な演出を得意とする弟の統と違い、兄の哲は手堅い演出が特徴である。；私たちは手堅い手仕事の中から、どんな美を汲み取ったのでしょうか。；一般的に見て、オランダの画は目立って手堅い写実の基礎の上で発達している。；見ると出来が皆手堅いのは、歴史に由来すると思われます。；もちろん天吾くんの手堅く見事な文章技術が、それを可能たらしめたわけだけどな。；隅へ白から侵入は難しく、黒は手堅く15目ほどの地を確保できる。；若い木村よりも、四十男の安藤の方が手堅そうだから、というのである。；また地方興行もあまり開催せず大都市でのマニア層を中心に手堅く興行を開催。；ただ近頃の品は昔ほどの手堅い性質がなくなってきました。；会社は彼の手堅い仕事ぶりを評価したから、昇進は順調だった。；何処か似てゐるところがあつて、そして後者の方のが何処か手堅い真面目なところがある。；理科系男は元々何事にも手堅いので、今の時代にも着実な人生を歩んでいる。；娘とはそういう意味でも手堅い存在なのである。；グループの中で、いちばん手堅い道を選んだのは聡だったろう。；そういう手堅い戦いをせずに、彼女たちは切嗣抜きでの防衛を試みた。；そのために武具や聖典が確実な儲けを見込める手堅い商品になっていたのだ。；敵の宝具の破壊力が逆に仇となるような接近戦を挑む方が手堅いのは確かだ。；楠木先生のお作は手堅いかどうか知りませんが、気むずかしすぎましてね。</t>
        </is>
      </c>
      <c r="J5715">
        <f>HYPERLINK("https://www.weblio.jp/content/手堅い", "词义详情")</f>
        <v/>
      </c>
      <c r="K5715">
        <f>HYPERLINK("https://yourei.jp/手堅い", "查看例句")</f>
        <v/>
      </c>
    </row>
    <row r="5716">
      <c r="A5716" t="inlineStr">
        <is>
          <t>手紙</t>
        </is>
      </c>
      <c r="B5716" t="inlineStr">
        <is>
          <t>成功</t>
        </is>
      </c>
      <c r="C5716" t="inlineStr">
        <is>
          <t>読み方：てがみ
１用事などを記して、人に送る文書。書簡。書状。「—をしたためる」「置き—」
２封書の郵便物。郵便葉書に対していう。
３手元に置いて雑用に使う紙。半切り紙。</t>
        </is>
      </c>
      <c r="D5716" t="inlineStr">
        <is>
          <t>手紙類；手紙をしたため</t>
        </is>
      </c>
      <c r="E5716" t="inlineStr">
        <is>
          <t>状；書；連絡；文；便</t>
        </is>
      </c>
      <c r="F5716" t="inlineStr">
        <is>
          <t>長い手紙；こんな手紙；短い手紙；手紙を破り捨て；手紙を書きおえる</t>
        </is>
      </c>
      <c r="G5716" t="inlineStr">
        <is>
          <t>手紙爆弾；手紙を書く婦人と召使；手紙でも書こう；手紙を書く女；手紙〜親愛なる子供たちへ〜</t>
        </is>
      </c>
      <c r="H5716" t="n">
        <v>29</v>
      </c>
      <c r="I5716" t="inlineStr">
        <is>
          <t>後にシューマンは長い手紙を書いてリストに送ってこの件を水に流した。；この頃、ビスマルクが妻に送った手紙も将軍たちへの不満の記述が多い。；そのてがみには眼を細くして何度も繰り返し繰り返し読んだものである。；一度だけの出会いであったがその後二人は長い手紙のやりとりをした。；杉村自身も手紙の多さに驚き、笠の人気の高さに感動したと述べている。；ドイツの医師であるクーゲルマンとは頻繁に手紙のやり取りをしている。；また、読者からの手紙・質問にはほとんど返答を出すことでも知られる。；手紙や電話は検閲を受け、英語以外の言語で電話をすることは禁止された。；それらによると生涯に三度、こうした手紙類を記したことが分かっている。；文書を書いたり、手紙を読み書きするのに必要な道具類のことである。；文字が発明されてからの通信の多くは手紙という方式で行われるようになった。；家族に向けた手紙には地図を描いて送り、学んだことをフランス語で記録した。；しかし、死去するまで手紙や日記では反ユダヤ主義的な発言を繰り返した。；あまりに突然のことだったため、エンゲルスはマルクスに手紙を送った。；母親に感化されていた娘達も祖母には一通も手紙を送らなかったと言われている。；後に結婚が許される際に、妻の母から手渡された手紙をお守りにしている。；その夜、万里は荷物の中からタロウの手紙とお金の入った袋を見つける。；しかし、この称号は彼でない別の人物が書いた手紙の中でしか用いられていない。；もしくはタラークを3回書いた手紙などで伝えると離婚できるとしている。；この手紙には脚本の場面ごとの批判などがとうとうと続く。；この本は手紙や写真やその他真実を物語る多くの資料によって書かれている。；手紙には東京で無事に暮らしを立てていることが綴られていた。；読者の原田氏は、それが研究の動機でしたと、おてがみに書かれている。；これは世界で最も短い手紙として『ギネス世界記録』に掲載されている。；その後、彼はロンドン王立学会に一連の手紙で彼の観察を発表した。；骨箱の包みの間には浩太から預かってきた100円と加代の手紙があった。；ベルの研究ノートや家族との手紙が、彼の長期の研究を証明する鍵となった。；彼は論文を執筆するよりも同僚との間で長い手紙をやり取りするのを好んだ。；しかし送り主は遠い逃亡先のホテルにさえも手紙を送ってくる。</t>
        </is>
      </c>
      <c r="J5716">
        <f>HYPERLINK("https://www.weblio.jp/content/手紙", "词义详情")</f>
        <v/>
      </c>
      <c r="K5716">
        <f>HYPERLINK("https://yourei.jp/手紙", "查看例句")</f>
        <v/>
      </c>
    </row>
    <row r="5717">
      <c r="A5717" t="inlineStr">
        <is>
          <t>手軽</t>
        </is>
      </c>
      <c r="B5717" t="inlineStr">
        <is>
          <t>成功</t>
        </is>
      </c>
      <c r="C5717" t="inlineStr">
        <is>
          <t>読み方：てがる
［形動］［文］［ナリ］手数がかからず、簡単なさま。「—な食事」「—に扱えるカメラ」
[派生]てがるさ［名］</t>
        </is>
      </c>
      <c r="D5717" t="inlineStr">
        <is>
          <t>手軽に利用できる；手軽な方法；手軽に食べられる；手軽に入手できる；手軽かつ</t>
        </is>
      </c>
      <c r="E5717" t="inlineStr">
        <is>
          <t>やすい；容易；楽；軽い；やさしい</t>
        </is>
      </c>
      <c r="F5717" t="inlineStr">
        <is>
          <t>一番手軽；手軽モード</t>
        </is>
      </c>
      <c r="G5717" t="inlineStr">
        <is>
          <t>手軽い；手軽き；手軽う</t>
        </is>
      </c>
      <c r="H5717" t="n">
        <v>29</v>
      </c>
      <c r="I5717" t="inlineStr">
        <is>
          <t>これは単にハイネの気もちと手軽に見て通ることの出来るものではない。；しかし本統の驚異はなかなかそう手軽には感じさせられないものである。；手軽だが、やや崩れた印象があるためか粋好みの女性が良く結っていた。；価格帯は300円から2000円程が中心で手軽に購入できるのも特徴。；必要な金を貯えるにはそのころそれがもっとも手軽な方法だったのだ。；銃による自殺が多い理由には、その致死率の高さと手軽さが挙げられる。；湯を使いたい場所に手軽に設置できるため、多くの機種が販売されてきた。；手軽にユーザーが利用できる事から利用率が高いのも特徴である。；話題の出来事などについての情報を手軽に読める形で閲覧者に提供する。；これらの技術の普及により、地図の更新・印刷は手軽なものとなっている。；特に冬には手軽に手に入れることができるため、年賀状に使うこともある。；おれはこの時間を利用して手軽に使える簡単な小道具類の作成にかかった。；そのため現在では手軽に曲の全貌を知ることができるようになった。；赤道儀などの個別の機材が必要でないため手軽に撮影できる手法である。；手軽に作れることから、本来の用途と異なる用途で使用されることもある。；また正規の施設まで行かずとも賭けをすることが出来る手軽さもある。；ルールは簡単であり、プレイ時間も15分程度と短い手軽なゲームである。；銃が手軽に手に入る社会であるため、スイスでは自殺にも銃を用いる傾向がある。；まるで電灯を消すような手軽な気特で殺戮を行なっているんじゃないか?；クラウドサービスを活用した、より手軽な制作環境の提供に移行している。；奏者の一人が必要に応じて指揮をするこの手軽なやり方は現代でも行われる。；彼女はいつもの芝居でやるであろうように、至極手軽にこう答えたのである。；自分が直接に自分に就いて語ること程、手軽なことはないだろう。；それはちやうど猫の仔か何かを貰ふやうに、いとも手軽なものであつた。；アドバイザーに声がつき、初心者でも手軽にプレイできるようになった。；そんなに手軽に忘れることができたのは、むしろ意外なくらいだった。；それは何といふ手軽な、そしてまた幸福なことだらう、と私はまた思つた。；「手軽に食事をしたほうがいいでしょう」と、彼はカラ夫人にすすめた。；それができなければ、兄とでも相談して何か手軽な職業をさがしてやってくれ。</t>
        </is>
      </c>
      <c r="J5717">
        <f>HYPERLINK("https://www.weblio.jp/content/手軽", "词义详情")</f>
        <v/>
      </c>
      <c r="K5717">
        <f>HYPERLINK("https://yourei.jp/手軽", "查看例句")</f>
        <v/>
      </c>
    </row>
    <row r="5718">
      <c r="A5718" t="inlineStr">
        <is>
          <t>敵</t>
        </is>
      </c>
      <c r="B5718" t="inlineStr">
        <is>
          <t>成功</t>
        </is>
      </c>
      <c r="C5718" t="inlineStr">
        <is>
          <t>読み方：かたき
《「かた」は対比するものの片方の意で、本来は相手を広くいう》
１勝負や争いの相手。競争相手。「商売上の—」「碁—」
２恨みのある相手。あだ。仇敵(きゅうてき)。「—を取る」「父の—を討つ」
３戦での相手。てき。
「—も御方(みかた)もこれを聞いて、一度にどっとぞ笑ひける」〈平家・九〉
４結婚の相手。配偶者。
「御—をば知り奉らじ」〈宇津保・俊蔭〉
→敵(てき)［用法］
[下接語]目の敵（がたき）色敵・伯父敵・恋敵・碁敵・実(じつ)敵・商売敵・職敵・世話敵・立て敵・端(は)敵・半道(はんどう)敵・平敵・女(め)敵</t>
        </is>
      </c>
      <c r="D5718" t="inlineStr">
        <is>
          <t>敵艦隊；敵わない；敵機；敵戦車；敵潜水艦</t>
        </is>
      </c>
      <c r="E5718" t="inlineStr">
        <is>
          <t>相手；ライバル；滅亡；壊滅；荒廃</t>
        </is>
      </c>
      <c r="F5718" t="inlineStr">
        <is>
          <t>敵組織；敵影；強力な敵；衆寡敵；敵なし</t>
        </is>
      </c>
      <c r="G5718" t="inlineStr">
        <is>
          <t>敵意；敵機；敵軍；敵兵；敵陣</t>
        </is>
      </c>
      <c r="H5718" t="n">
        <v>29</v>
      </c>
      <c r="I5718" t="inlineStr">
        <is>
          <t>その結果、敵に衝突することが最も効果的な方法という結論を得ている。；ただし当時の他の哲学と同様に敵に対して勇猛に戦うことは善とされた。；これは敵に襲われたときにすぐに逃げることができるためであると考えられる。；本作では戦闘中に味方を攻撃したり、敵に回復呪文を使うことができる。；マップによっては移動中に敵モンスターとの戦闘が発生することがある。；敵を追尾するものをホーミングミサイルと呼称するものが多く見られた。；複数の敵をまとめて蹴り落とすと、敵の数に応じて得点に倍率がかかる。；またこれに続いて戦場から離脱する敵に対して追撃が行われる場合もある。；本作ではこの方法で敵を踏みつけるのが最も基本的な攻撃方法となる。；移植版の一部モードでは、敵の弾の色が一部変更されているステージがある。；また敵を無視して味方同士を対戦させることも可能である。；中国は統一されたが、始皇帝はすべての敵を殲滅できたわけではなかった。；敵に囲まれた空挺部隊の為、あらゆる種類の大砲が必要な場所に送られた。；本作では高度差のある敵だけでなくほぼ全ての敵をロックオンすることができる。；敵から逃げることに成功した場合も戦闘終了となるが、この場合は何も得られない。；また、日本の武士が敵の首を切り落とす文化にも共通のものがある。；つまり戦争の本来の目標とは敵の戦闘力を破壊することに他ならないと考えられる。；攻撃型潜水艦は敵水上艦船だけでなく敵潜水艦も攻撃目標とするようになった。；敵ゲリラ組織だけでなく、一般市民までをも攻撃の対象とする場合もある。；だが日本軍の敵は中国軍ではなく、また中国軍の敵も日本軍ではなかった。；敵に襲われると、最後尾のイセエビが犠牲になることが多いとされる。；他のプレイヤー協力プレイをすることで、共に強い敵を倒したりすることも出来る。；戦闘後に敵の一部が孤立化して残存していれば、戦果拡張が行われる。；一部の敵は特定の攻撃に対して耐性を持ち、ダメージを1にしてしまう。；平坦部は移動中に敵に姿を曝け出し被害を増す危険があったので却下された。；自分の駒を動かす事により、敵玉に自分の駒の働きを利かせる手を指す。；あなたのやったことは、敵と手を結んだも同然の行為だからだ!；敵の創造物はほとんど一掃され、ゴンドールの南にも東にも平和が戻った。；受けた敵は耐えられず、ひとたまりもなく爆発してしまうほどの威力をもつ。</t>
        </is>
      </c>
      <c r="J5718">
        <f>HYPERLINK("https://www.weblio.jp/content/敵", "词义详情")</f>
        <v/>
      </c>
      <c r="K5718">
        <f>HYPERLINK("https://yourei.jp/敵", "查看例句")</f>
        <v/>
      </c>
    </row>
    <row r="5719">
      <c r="A5719" t="inlineStr">
        <is>
          <t>出来上がり</t>
        </is>
      </c>
      <c r="B5719" t="inlineStr">
        <is>
          <t>成功</t>
        </is>
      </c>
      <c r="C5719" t="inlineStr">
        <is>
          <t>読み方：できあがり
１できあがること。完成。「—を待つ」
２できあがったぐあい。できばえ。「洋服の—は上々だ」</t>
        </is>
      </c>
      <c r="D5719" t="inlineStr">
        <is>
          <t>完成する；仕上がる；作り上げられる；作り終える</t>
        </is>
      </c>
      <c r="H5719" t="n">
        <v>29</v>
      </c>
      <c r="I5719" t="inlineStr">
        <is>
          <t>彼の記憶のなかには、そのようにして何本もの映画が出来上がっていた。；いわば人の形をしたまっ暗な洞穴が空気の中に出来上がったようだった。；よしや向うが見えていても、 物が出来上がると云うことはありません。；それから十分ほどで料理は出来上がり、二人は向かい合って席に着いた。；そして着物の出来上がりを待っていたように、路之介から電話があった。；けどな、幸せなことだけ考えてたら出来上がるのは能無しの馬鹿だけだ。；汚点のない人生を送ってくると、ああいう人間が出来上がるものらしい。；出来上がったばかりの頃は嫌で嫌でしょうがなかったんですけどね。；出来上がった頃には窓からニューヨークの朝の光が差し込んだことだろう。；ま、新聞に出す出さないは写真が出来上がってから双方で相談すれば?；出来上がった今も聴いている人たちに気持ちが伝わっているかが心配。；家の出来上がり具合だって、他の世間だって結局同じことですからね。；その後、ステージを見ている間に曲のほとんどが出来上がっていったという。；とにかく、このようにしてミスター・スポックの全背景は出来上がった。；にもかかわらず、出来上がった底の全体は奇妙なものとなっている。；高い高いされたときのような、嬉しそうな表情の写真に出来上がった。；共産軍と東北軍の間には事実上の停戦協定すら出来上がっていたという。；本が出来上がり出版されてしまえば、その内容などはどうだっていいのだ。；本来作られるべきポリペプチドよりも、大幅に小さいものが出来上がる。；出来上がったお料理で図案するのだと解釈されて宜しいのであります。；こうしてアーチボルドが活躍するためのステージは出来上がったのである。；今では、実際には多くの人の手が加えられて出来上がった曲だと考えられている。；錬金したいものを、よく知れば知るほど、さらに近いものが出来上がる。；その結果、女性しかいない月とほぼ男性のみの地球が出来上がった。；そんなふうにすると、きっと目の前の光景が出来上がるに違いない。；それに料理が出来上がるのを待っているいわばウエイトレス役の三人だった。；こういうものが出来上がってそれを牙彫界一般に配附したのであります。；今までのところ、彼の成果はすでに出来上がっていた確信を確認しただけだった。；それを模写したうえに男性的な要素を加えて刃牙の顔が出来上がったという。</t>
        </is>
      </c>
      <c r="J5719">
        <f>HYPERLINK("https://www.weblio.jp/content/出来上がり", "词义详情")</f>
        <v/>
      </c>
      <c r="K5719">
        <f>HYPERLINK("https://yourei.jp/出来上がり", "查看例句")</f>
        <v/>
      </c>
    </row>
    <row r="5720">
      <c r="A5720" t="inlineStr">
        <is>
          <t>出来上がる</t>
        </is>
      </c>
      <c r="B5720" t="inlineStr">
        <is>
          <t>成功</t>
        </is>
      </c>
      <c r="C5720" t="inlineStr">
        <is>
          <t>読み方：できあがる
［動ラ五（四）］
１すっかりできる。完成する。仕上がる。「注文した服が—・る」
２生まれつく。本来そういうものとして成り立つ。
「背のすらりとした撫肩の恰好よく—・った女で」〈漱石・吾輩は猫である〉
３酒を十分に飲んでいい気持ちに酔っている。「五合ばかり飲んですっかり—・っている」</t>
        </is>
      </c>
      <c r="D5720" t="inlineStr">
        <is>
          <t>完成する；仕上がる；作り上げられる；作り終える</t>
        </is>
      </c>
      <c r="H5720" t="n">
        <v>29</v>
      </c>
      <c r="I5720" t="inlineStr">
        <is>
          <t>彼の記憶のなかには、そのようにして何本もの映画が出来上がっていた。；いわば人の形をしたまっ暗な洞穴が空気の中に出来上がったようだった。；よしや向うが見えていても、 物が出来上がると云うことはありません。；それから十分ほどで料理は出来上がり、二人は向かい合って席に着いた。；そして着物の出来上がりを待っていたように、路之介から電話があった。；けどな、幸せなことだけ考えてたら出来上がるのは能無しの馬鹿だけだ。；汚点のない人生を送ってくると、ああいう人間が出来上がるものらしい。；出来上がったばかりの頃は嫌で嫌でしょうがなかったんですけどね。；出来上がった頃には窓からニューヨークの朝の光が差し込んだことだろう。；ま、新聞に出す出さないは写真が出来上がってから双方で相談すれば?；出来上がった今も聴いている人たちに気持ちが伝わっているかが心配。；家の出来上がり具合だって、他の世間だって結局同じことですからね。；その後、ステージを見ている間に曲のほとんどが出来上がっていったという。；とにかく、このようにしてミスター・スポックの全背景は出来上がった。；にもかかわらず、出来上がった底の全体は奇妙なものとなっている。；高い高いされたときのような、嬉しそうな表情の写真に出来上がった。；共産軍と東北軍の間には事実上の停戦協定すら出来上がっていたという。；本が出来上がり出版されてしまえば、その内容などはどうだっていいのだ。；本来作られるべきポリペプチドよりも、大幅に小さいものが出来上がる。；出来上がったお料理で図案するのだと解釈されて宜しいのであります。；こうしてアーチボルドが活躍するためのステージは出来上がったのである。；今では、実際には多くの人の手が加えられて出来上がった曲だと考えられている。；錬金したいものを、よく知れば知るほど、さらに近いものが出来上がる。；その結果、女性しかいない月とほぼ男性のみの地球が出来上がった。；そんなふうにすると、きっと目の前の光景が出来上がるに違いない。；それに料理が出来上がるのを待っているいわばウエイトレス役の三人だった。；こういうものが出来上がってそれを牙彫界一般に配附したのであります。；今までのところ、彼の成果はすでに出来上がっていた確信を確認しただけだった。；それを模写したうえに男性的な要素を加えて刃牙の顔が出来上がったという。</t>
        </is>
      </c>
      <c r="J5720">
        <f>HYPERLINK("https://www.weblio.jp/content/出来上がる", "词义详情")</f>
        <v/>
      </c>
      <c r="K5720">
        <f>HYPERLINK("https://yourei.jp/出来上がる", "查看例句")</f>
        <v/>
      </c>
    </row>
    <row r="5721">
      <c r="A5721" t="inlineStr">
        <is>
          <t>適応</t>
        </is>
      </c>
      <c r="B5721" t="inlineStr">
        <is>
          <t>成功</t>
        </is>
      </c>
      <c r="C5721" t="inlineStr">
        <is>
          <t>読み方：てきおう
［名］(スル)
１その場の状態・条件などによくあてはまること。「事態に—した処置」「能力に—した教育」
２生物が環境に応じて形態や生理的な性質、習性などを長年月の間に適するように変化させる現象。
３人間が、外部の環境に適するように行動や意識を変えていくこと。「—障害」「過剰—」</t>
        </is>
      </c>
      <c r="D5721" t="inlineStr">
        <is>
          <t>適応する(9%)；適応でき(4%)；適応的(3%)；適応力(3%)；適応能力</t>
        </is>
      </c>
      <c r="E5721" t="inlineStr">
        <is>
          <t>相当；調整；該当；従う；同調</t>
        </is>
      </c>
      <c r="F5721" t="inlineStr">
        <is>
          <t>環境適応；適応可能；適応進化；社会適応；うまく適応</t>
        </is>
      </c>
      <c r="G5721" t="inlineStr">
        <is>
          <t>適応性；適応症；適応放散；適応外使用；適応障害</t>
        </is>
      </c>
      <c r="H5721" t="n">
        <v>29</v>
      </c>
      <c r="I5721" t="inlineStr">
        <is>
          <t>ハイマツを除く針葉樹の中では、最も多雪環境に適応した樹種とされる。；感染のフォーカスが明らかにならない場合は入院適応となることもある。；数百万年に渡る環境においてのみ、非常に適応し、成功した生物である。；この文字は左から右に読まれ、他の言語でも書けるよう適応されている。；開戦当時の建艦技術の程度がどうあれ、ローマは急速に適応していった。；また、納豆も平気で食べられるなど日本食にも初めから適応できていた。；我々地球上生命の形態は、地球の環境に適応して進化を遂げた結果である。；適応主義は現在、批判的な意味と肯定的な意味で異なる意味で用いられる。；複雑な環境に適応し日本列島にて独自の進化を遂げた生物を解説している。；これは、より変化の激しい気候の地域に生活するための適応と考えられる。；このような適応は現生鳥類の卵の色や模様の起源を表している事を示している。；適応には複数の意味があり、文脈や用いられる分野によって若干異なる。；自然に対する愛情と適応力・観察眼そしてセンスの良さを持ち合わせた。；マウントは、サンダースのモデルをカナダに適応させることを決心した。；州鳥はコウライキジであり、中国から輸入されて地域に適応している。；四肢は完全に鰭状に変化しており、尾は短く、水生生活に適応していた。；繁殖終了後にすみやかに死ぬことは適応的であると言うことができる。；水辺の生活に適応しており、泳ぎが得意で5分以上潜水することもある。；適応構造理論は、構造と構造化が異なる場合があることを示している。；前述の適応ゆえに火や熱には強いが、水が最大の弱点となっている。；ほかに、アリに種子を運ばせるように適応したと思われる植物が多数ある。；どのような環境にも適応するので、様々な場所に住む固有種に影響を与える。；この場合は通常、子にも包括適応度における血縁度の計算が適用される。；適応構造理論は、新しい技術が導入されたときの組織の変化を説明する理論である。；基本的に運動能力が高く、適応能力もあるため新しいこともすぐに覚えてしまう。；しかし例外も多く殻形の適応については必ずしもよくわかっていない。；特殊な環境に適応したため、環境の変化による影響も懸念されている。；水中生活をするだけに、遊泳するための足の形などの適応が見られる。；特定の洞穴環境に適応しているため、環境の変化に極端に脆弱である。</t>
        </is>
      </c>
      <c r="J5721">
        <f>HYPERLINK("https://www.weblio.jp/content/適応", "词义详情")</f>
        <v/>
      </c>
      <c r="K5721">
        <f>HYPERLINK("https://yourei.jp/適応", "查看例句")</f>
        <v/>
      </c>
    </row>
    <row r="5722">
      <c r="A5722" t="inlineStr">
        <is>
          <t>的確</t>
        </is>
      </c>
      <c r="B5722" t="inlineStr">
        <is>
          <t>成功</t>
        </is>
      </c>
      <c r="C5722" t="inlineStr">
        <is>
          <t>読み方：てきかく
［名・形動］的(まと)をはずさないで、まちがいがないこと。また、そのさま。てっかく。「意図を—に伝える」「—な判断」
[派生]てきかくさ［名］</t>
        </is>
      </c>
      <c r="D5722" t="inlineStr">
        <is>
          <t>的確な判断(3%)；的確な指示；的確なアドバイス；的確な表現；的確な言葉</t>
        </is>
      </c>
      <c r="F5722" t="inlineStr">
        <is>
          <t>的確なポジショニング；的確なダメージコントロール；的確なコーチング；的確なツッコミ；的確なパンチ</t>
        </is>
      </c>
      <c r="H5722" t="n">
        <v>29</v>
      </c>
      <c r="I5722" t="inlineStr">
        <is>
          <t>この説明の出来ないと云ふ詞はその感じを的確に言ひ表したものである。；僕はあの主題を君が何から借用したかを、的確に指摘することができる。；このことからビデオはプロパガンダを的確に利用する物であるといえる。；ある歌のある一字は三年目の今日に到つて、やつと的確な発見ができた。；さらにそれを医師と共有して、的確な指導を受けることが必要である。；彼には他のどんな生活の仕方も的確に考えつくことなどできなかった。；けれどもこの句は決して右のような光景を的確に表現しているわけではない。；ところが残念にも今の法医学ではそれを的確に証明することは出来ぬそうだ。；来院する毎に、どの程度良くなっているのか的確に捉えることができる。；その紋章は意図がはっきりとしており、その時代に的確に捉えられていた。；相手の動きを見極めて、自分の攻撃を的確に当てていくことが要求される。；牧野信一を描いて、あれほど的確で深い文章を私は他に読んだことが無い。；ただ一度の実践で、俺が不安を抱いている点を的確に見抜き、指導する。；スタジオ構成番組が多く、情報を的確に伝えることを主とした照明である。；ふたりは大本営に働きかけ、的確な命令を出してもらうことに成功した。；然しその言葉の用い方がいかに芸術家の稟資を的確に表わし出すだろう。；その表現にしてからが、無論最上最的確のもので無ければならないのだ。；対象となる地域の住民に警報を的確に伝えることもまた等しく重要である。；そして的確な三、四語は、彼女が残らず聞いて理解していることを示した。；どの辺まであった水がどの辺まで増したということまで的確な事実であります。；ペットの世界ではそれよりは的確な用語としてコニュアも使われている。；地上に図を画いたように、的確な謀をもって、孔明はそれを待っていた。；彼のやがての結婚が、もっとも的確にこれを証明してくれるからでございます。；そして情報を的確に把握し、判断できる知識を近江庄屋層は持っていた。；フェンの的確な要約を聞いたあとでは、とても作業に集中できんだろう。；かれらは灯のともる雪の街路を的確に移動して、指定の家々を占拠した。；おさるへの笑いのダメ出しが的確なため、妻の山川を師匠と呼んでいる。；このモデルを的確に使うには、モデル系の原理への相当な理解が求められる。；しかし性教育の説明内容や描写は非常に的確でわかりやすいものになっている。</t>
        </is>
      </c>
      <c r="J5722">
        <f>HYPERLINK("https://www.weblio.jp/content/的確", "词义详情")</f>
        <v/>
      </c>
      <c r="K5722">
        <f>HYPERLINK("https://yourei.jp/的確", "查看例句")</f>
        <v/>
      </c>
    </row>
    <row r="5723">
      <c r="A5723" t="inlineStr">
        <is>
          <t>適宜</t>
        </is>
      </c>
      <c r="B5723" t="inlineStr">
        <is>
          <t>成功</t>
        </is>
      </c>
      <c r="C5723" t="inlineStr">
        <is>
          <t>読み方：てきぎ
［名・形動］
１状況によく合っていること。また、そのさま。適当。「—な（の）処理」「成績不振者に—個人指導をする」
２便宜に従うこと。その時々に応じて、各自の判断で行動するさま。「—に席に着く」「見学後—解散とする」</t>
        </is>
      </c>
      <c r="D5723" t="inlineStr">
        <is>
          <t>適宜変更；適宜使用；適宜調整；適宜修正；適宜組み合わせ</t>
        </is>
      </c>
      <c r="E5723" t="inlineStr">
        <is>
          <t>適当；適切；ふさわしい；相応；相応しい</t>
        </is>
      </c>
      <c r="F5723" t="inlineStr">
        <is>
          <t>合わせて適宜；適宜設定；適宜行う；適宜用い；適宜放送</t>
        </is>
      </c>
      <c r="H5723" t="n">
        <v>29</v>
      </c>
      <c r="I5723" t="inlineStr">
        <is>
          <t>記事の執筆者は内容が古くならないように適宜更新していく義務を負う。；主に以下のものが用いられていますが、これ以外も適宜使用してください。；此等の船は隅田川へ入って来て、適宜の場所へ夜泊して仕事をして居る。；当時の軍隊では馬の名称は各部隊が適宜につけるものとされていた。；他の項目も適切に含まれており、単位は適宜変更することができる。；ユニット単位での組成変更が適宜行われており、組み合わせは一定しない。；過去ログでは月ごとにまとめていますので、適宜移してまとめてください。；委員の席の後方には委員外の議員連が、適宜立って傍聴するようになっていた。；やつのレベルを考えた指示を言葉を、適宜かけてやるべきだった。；既存のコードもスタイルの要求仕様に合うように適宜書き換えられている。；父は自分の好きなようにするがいいし、アンヌは適宜に処置すればいいんだ!；社会情勢の変化や新たな蔵書の追加などに合わせて適宜改訂している。；その後も、ロシア内戦の情況に応じて適宜委員部が組織されていった。；検査結果は治療反応性が典型ではない場合も想定し、適宜参照を行う。；法学に関するものを見つけた場合には、適宜こちらにも追加してください。；包紙には詩人の字で、 「必要な時適宜分服の事」 と書いてあつたさうだ。；東管と類似の演奏団体は、NHKの各放送局に適宜設置されている。；伯爵はあのルビーのことを知っていて、適宜に計画をたてました。；彼はドリーユ一派の悲壮詩人らとほとんど同じほど適宜な言葉をきらう。；また、依頼が終了しているもの、提供済みのものは適宜除去してください。；またその最中にも、個人・各科および個艦訓練も適宜に行われる。；ここでは代表的な世界観を適宜分類しながら概観し、その特質を明らかにする。；AKB48・SKE48および派生ユニットの楽曲を適宜使用している。；以下の節のほかに必要な節があれば、適宜加えてください。；ゲットーの外での働くために一時通行券が支給され、適宜許可された。；また、教会で奨励される時期に適宜、パニヒダを行う事が勧められている。；各見出しは、記事の内容に合わせて適宜必要なものを取捨選択してください。；立法者としては適宜にその新要求をいるべき新法令を制定すべき時がきたのです。；自動放送は導入されておらず、構内放送は駅係員が適宜行っている。</t>
        </is>
      </c>
      <c r="J5723">
        <f>HYPERLINK("https://www.weblio.jp/content/適宜", "词义详情")</f>
        <v/>
      </c>
      <c r="K5723">
        <f>HYPERLINK("https://yourei.jp/適宜", "查看例句")</f>
        <v/>
      </c>
    </row>
    <row r="5724">
      <c r="A5724" t="inlineStr">
        <is>
          <t>出来心</t>
        </is>
      </c>
      <c r="B5724" t="inlineStr">
        <is>
          <t>成功</t>
        </is>
      </c>
      <c r="C5724" t="inlineStr">
        <is>
          <t>読み方：できごころ
計画的でなく、その場で急に起こったよくない考え。「—でした盗み」</t>
        </is>
      </c>
      <c r="D5724" t="inlineStr">
        <is>
          <t>衝動；気まぐれ；イタズラ；悪ふざけ；気紛れ</t>
        </is>
      </c>
      <c r="F5724" t="inlineStr">
        <is>
          <t>ふとした出来心；ちょっとした出来心</t>
        </is>
      </c>
      <c r="H5724" t="n">
        <v>29</v>
      </c>
      <c r="I5724" t="inlineStr">
        <is>
          <t>ほんの出来心からやりはじめた事が意外に大きくなってしまったのです。；でね、その車の中で、つい出来心で、僕はあの女に云い寄った訳なのさ。；その証拠に、自分の出来ごころは、初めのころのはげしさを失っている。；ほんの出来心からやりはじめたことが、意外に大きくなってしまったのです。；実朝殺害は、公暁の出来心でもなかったし、全く意外な事件でもなかった。；会社も身内も、その程度の額なら出来心の範疇だと判断したのだろう。；本人は一時の出来心だと云っていましたが、どうも前から巧んだことらしい。；出来心はわかっている、また、一個の箬笠に過ぎないことも分っておる。；苦痛や悲哀や不調和や罪そのものを選ぼうとする心は甘いでき心である。；それは卓一とかういふことになつてからの出来心ではないのである。；でね、その車の中で、つい出来心で、僕はあの女に言い寄ったわけなのさ。；出来心はわかっている、また、一個の〓笠に過ぎないことも分っておる。；どんな人が住んでいるのかと、ふと出来心で、私は道をそれて林の中へはいて行った。；演劇部をのぞいてみようなどと思ったのは、ちょっとした出来心だった。；仙造にむらむらと出来心が起って、彼はそれを自分のものにしようとする。；それが十月十日の晩、ひょっとしたでき心でそうなってしまったのだ。；「できごころ」ということばは、こんなときのためにあるのでしょうか。；私の恋は、もはや父にもかりそめのでき心とは思われなくなった。；できごころではなく計画的なもので、帳簿の操作も極めて巧みにやってある。；他の場合には、全く母親のことなんか頭にないらしく、自分の出来心に夢中になっていた。；お角の、ここへ訪ねて来たということは、必ずしも出来心ではありませんでした。；それも突発的な狂気や出来心ではなく、十分に意図的なものであったのは明らかだ。；どんな人が住んでいるのかと、ふと出来心で、私は道をそれて林の中へ這入って行った。；ふとしたでき心か、それとも別れる僕への最後の贈り物であったのか。；人の出来心を利用しようとする者には、その人を旅に連れ出すのが手近かな方法である。；旅に出ると、誰でも出来心になり易いものであり、気紛れになりがちである。；皆んな一時の出来心で悪い事をするのだ、お前だってそうだろう、と云った。；公金に手をつけたといっても、ほんの出来心だったのでしょうし、現実に金は戻ってきた。；しかし、それだけなら若い娘の出来心で、お上の御慈悲もあるだろう。</t>
        </is>
      </c>
      <c r="J5724">
        <f>HYPERLINK("https://www.weblio.jp/content/出来心", "词义详情")</f>
        <v/>
      </c>
      <c r="K5724">
        <f>HYPERLINK("https://yourei.jp/出来心", "查看例句")</f>
        <v/>
      </c>
    </row>
    <row r="5725">
      <c r="A5725" t="inlineStr">
        <is>
          <t>出来事</t>
        </is>
      </c>
      <c r="B5725" t="inlineStr">
        <is>
          <t>成功</t>
        </is>
      </c>
      <c r="C5725" t="inlineStr">
        <is>
          <t>読み方：できごと
社会や身のまわりに起こる事柄。また、ふいに起こった事件・事故。「一瞬の—」</t>
        </is>
      </c>
      <c r="D5725" t="inlineStr">
        <is>
          <t>出来事以来；出来事にちなん；出来事だったろ</t>
        </is>
      </c>
      <c r="E5725" t="inlineStr">
        <is>
          <t>こと；場合；事；事件；例</t>
        </is>
      </c>
      <c r="F5725" t="inlineStr">
        <is>
          <t>重要な出来事；不思議な出来事；大きな出来事；恐ろしい出来事；さまざまな出来事</t>
        </is>
      </c>
      <c r="H5725" t="n">
        <v>29</v>
      </c>
      <c r="I5725" t="inlineStr">
        <is>
          <t>これも同じ汚職事件に関与した疑いで逮捕される直前の出来事であった。；当初はスタジオでその日の起こった出来事を再現するという形式だった。；物質はそうした現象や出来事が起こる場や対象のような位置を占めている。；英雄が独裁的統治者となったこの出来事は多方面に様々な衝撃を与えた。；しかし、この出来事が正確にいつ頃の事であるのかはわかっていない。；その人気を象徴する出来事がこの年のNBAオールスターゲームだった。；天井部の壁面にはラーマ1世から5世に関連する出来事が描かれている。；その結果起こった様々な出来事は今日までも論争の的になっている。；神話はそれらと関連した出来事が起こるたびに現実のものとなった。；次第に会場の確保は困難となり、利用を拒否される出来事も起きた。；このとき見聞きした出来事はフランス労働者団に衝撃を与えるものであった。；この出来事を境に、コカ・コーラとの差が大きく開いていくこととなった。；該当踏切を含むこの区間では高架化工事が進んでいる最中の出来事だった。；神話の物語は象徴化を用いることでこの領域の出来事を理解しやすくしている。；この出来事で2人の絆は強固なものとなり、ゴールへと向かっていった。；前年から武家諸法度に基づき開始された初の参勤交代での出来事であった。；この年の前後はローマ政治にとって重要な出来事がいくつも起きた年であった。；また日本史における数々の重要な出来事に関係している都市でもある。；この実験を行っていた時期はジュールにとって不幸な出来事が続いた。；皮肉にも父・角栄の死去から丁度19年になる命日での出来事であった。；本項での落語家の高座名は、それぞれ出来事があった当時のものとする。；外国や日本国内の他都道府県の出来事は共同通信社の配信記事を使用する。；アポロ計画は、人間がヴァン・アレン帯を通過した最初の出来事だった。；これはギーガーにとってはまったく理解に苦しむ出来事であったという。；彼の米国デビューはヘルシンキとパリでの出来事の再現であった。；しかし彼はそれからのち、さらにこの不幸な夜のでき事を利用するのでした。；地上や宇宙の出来事など、彼らにとっては他所の世界の事だったのである。；多数のスカウトらが襲撃を受けて同年8月頃まで姿を消す出来事もあった。；この出来事は映画「華麗なるヒコーキ野郎」でも語られるシーンがある。</t>
        </is>
      </c>
      <c r="J5725">
        <f>HYPERLINK("https://www.weblio.jp/content/出来事", "词义详情")</f>
        <v/>
      </c>
      <c r="K5725">
        <f>HYPERLINK("https://yourei.jp/出来事", "查看例句")</f>
        <v/>
      </c>
    </row>
    <row r="5726">
      <c r="A5726" t="inlineStr">
        <is>
          <t>摘出</t>
        </is>
      </c>
      <c r="B5726" t="inlineStr">
        <is>
          <t>成功</t>
        </is>
      </c>
      <c r="C5726" t="inlineStr">
        <is>
          <t>読み方：てきしゅつ
［名］(スル)
１つまみだすこと。全体の中からあるものを特に抜き出すこと。「要点を—する」
２手術で、体内の異物などを取り出すこと。剔出(てきしゅつ)。「体内から銃弾を—する」
３悪事などをあばきだすこと。剔出。「造反者を—する」</t>
        </is>
      </c>
      <c r="D5726" t="inlineStr">
        <is>
          <t>摘出する(17%)；摘出術(6%)；摘出後；摘出される；摘出でき</t>
        </is>
      </c>
      <c r="E5726" t="inlineStr">
        <is>
          <t>引く；抜く；暴露；取り出す；引き出す</t>
        </is>
      </c>
      <c r="F5726" t="inlineStr">
        <is>
          <t>臓器摘出；腫瘍摘出；脾臓摘出；卵巣摘出；扁桃摘出</t>
        </is>
      </c>
      <c r="H5726" t="n">
        <v>29</v>
      </c>
      <c r="I5726" t="inlineStr">
        <is>
          <t>摘出術が考慮されることもあるが手術をした場合も薬物療法は必要である。；しかし死体から摘出された弾丸の数や口径は資料によって異なっている。；捕虜になってからアメリカ人の治療をうけたが、摘出はしなかった。；とうとう最後の卵が摘出されて、抵抗金属の丈の高い容器の底に置かれた。；成形手術は普及したが、肺葉摘出の手術はその緒に就いたばかりだった。；弾はすでに摘出されているだろうが、鑑識の結果は、まだ出ていない。；手術は全摘が原則であり、その際には腫瘍周囲3cmの範囲を摘出する。；大きな骨片が存在する場合には手術的に摘出することもある。；胆嚢にも鉄の破片が入っており、それを摘出しなければならないのだ。；やり初めた時ほどの濃い苦痛の摘出は望めぬし、もはやエサの必要もない。；と血の糸を引きながら摘出された花は、一〇分後で六茎を数えた。；とりわけ第一章は、この世に実在する矛盾をうまく摘出しているように思う。；甲状腺を摘出した今、自分の身体でそれを作り出すことができないからだ。；いくら若くとも、子宮を摘出してしまった女性は新たな命を授かれない。；言峰は背後の黒い滝に手を伸ばし、ずる、と音をたてて黒い塊を摘出する。；さう言ふ立女形の役柄のものを摘出して、立役の領域に移したのである。；医者の話では、いますぐにも卵巣を摘出しなければいけないという。；現在の日本では脳死者から臓器を摘出することは認められていない。；このとき銃弾が見つからずに摘出に失敗したため体の中に弾が残ることになった。；薬は効かないし、数が多すぎるために、外科的に摘出することも不可能だ。；摘出してある局部を、明るい光線の下で拡大鏡を使って調べるのである。；母の遺体から摘出した脳を見る場面の描写は的確であり、美しい。；論理的ならざる生命感の摘出に意を用ゐてほしいことである。；術時に腫瘍を摘出できないときは腫瘍減量術や試験開腹を行うこともある。；摘出された血管を用いたin vitro 実験では効果が現れない。；前に特異の字形として摘出して置いた字が此所にも出てゐるから證據となる。；大部分の刻印虫は取り除けたが、深く蝕んでいるモノの摘出は不可能だ。；これ以前に彼は喉頭の摘出に成功し、この2つの手術の成功は広く注目を集めた。；さて、白鳥警部の死因は、その死体から摘出された弾丸で明瞭となった。</t>
        </is>
      </c>
      <c r="J5726">
        <f>HYPERLINK("https://www.weblio.jp/content/摘出", "词义详情")</f>
        <v/>
      </c>
      <c r="K5726">
        <f>HYPERLINK("https://yourei.jp/摘出", "查看例句")</f>
        <v/>
      </c>
    </row>
    <row r="5727">
      <c r="A5727" t="inlineStr">
        <is>
          <t>適する</t>
        </is>
      </c>
      <c r="B5727" t="inlineStr">
        <is>
          <t>成功</t>
        </is>
      </c>
      <c r="C5727" t="inlineStr">
        <is>
          <t>読み方：てきする
［動サ変］［文］てき・す［サ変］
１ある対象・目的などによく合う。「子供に—・した映画」
２条件などにうまくあてはまる。適合する。「寒冷地に—・した作物」
３それにふさわしい素質や能力がある。「教師に—・した人物」</t>
        </is>
      </c>
      <c r="H5727" t="n">
        <v>29</v>
      </c>
      <c r="I5727" t="inlineStr">
        <is>
          <t>これが適するのは、特にメロディが装飾的な動きをしているときである。；本級は前述の通り、衝角攻撃に適するように船体形状が設計されている。；葉が大きく落葉樹である、虫がつきにくい等の特徴から街路樹に適する。；ドライアイスの入手が困難か、洗浄が突然必要になる様な場所に適する。；戦後にグラマン社はこの機体をより民間運用に適するように設計を変更した。；また、水を運ぶのに適するように金物類のさび止めのためにも使われた。；雨が多かったので、これまで乾いていた畑が、稲作に適する田になった。；日本も移動をして採集をしてきた民族が日本の環境に適する農業をするようになった。；また塹壕化された区域や突出部、これと類似する部分の破壊に適する。；だから政治家というより、元老というような地位が一層適するのであろう。；メアリの能力はけっしてこのような公開に適するものではなかったのでした。；海底に潜んで他の魚を襲うのに適するため、口はやや上を向いている。；その結果、ドイツ帝国の憲法体制が最も日本に適すると信ずるに至った。；が、だんだんに大きくなつて行つて、将来の昆虫に適するやうになる。；逆に回転数を一定に保ちやすいのでクレーン用の電動機などには適する。；ボヘミアの音楽は舞踊に適するがモラヴィアの音楽は適さないとされる。；その子供の身体がよりよき生活に適する変異を備えておればそれでよいのである。；この種の車が砂漠や山地での兵員輸送に適するかどうかをしらべるわけだ。；すべての部屋が同じ温度になるので温度差を嫌う老人などに適する。；何を選ぶかは代用品の安価なことと特定な混ぜ物処理に適するかどうかによる。；金星の服ってのは、あそこの気候に適するように作られているだけだ。；この枕は特殊な方法で結った頭髪に適するために、出来たものである。；民度の低いロシヤ人に適する方法は必ずしも我が国民には適当でない。；この辺一帯の砂土の中に介在する一区の沃土で、水田の耕作に適すると。；修理は単に牛舎の使用に適するようにするだけで十分だった。；そしてそれはあらゆる他の物の価値の変動を測定するに、優れて良く適するであろう。；ビールのスタイルにより、それぞれに適する様々なスタイルのグラスがある。；つまり幼生は、現地で、労働に適する年齢まで成長することになるわけです。；七・七が叙情に適するというよりは五・七・五・七・七が叙情に適しているのである。</t>
        </is>
      </c>
      <c r="J5727">
        <f>HYPERLINK("https://www.weblio.jp/content/適する", "词义详情")</f>
        <v/>
      </c>
      <c r="K5727">
        <f>HYPERLINK("https://yourei.jp/適する", "查看例句")</f>
        <v/>
      </c>
    </row>
    <row r="5728">
      <c r="A5728" t="inlineStr">
        <is>
          <t>適性</t>
        </is>
      </c>
      <c r="B5728" t="inlineStr">
        <is>
          <t>成功</t>
        </is>
      </c>
      <c r="C5728" t="inlineStr">
        <is>
          <t>読み方：てきせい
性格や性質が、その物事に適していること。また、その性格や性質。「—を見る」「—に欠ける」</t>
        </is>
      </c>
      <c r="D5728" t="inlineStr">
        <is>
          <t>適性テスト；適性認定を受け；適性評価；適性等；適性審査</t>
        </is>
      </c>
      <c r="E5728" t="inlineStr">
        <is>
          <t>相性；向き不向き；適合度；合い口</t>
        </is>
      </c>
      <c r="F5728" t="inlineStr">
        <is>
          <t>高い適性；職業適性；ダート適性；兵科適性；印刷適性</t>
        </is>
      </c>
      <c r="G5728" t="inlineStr">
        <is>
          <t>適性試験</t>
        </is>
      </c>
      <c r="H5728" t="n">
        <v>29</v>
      </c>
      <c r="I5728" t="inlineStr">
        <is>
          <t>将校としての適性の有無を慎重に判断しなければならないからだそうだ。；それを扱うだけの技術と適性を持つ者は、組織の中にもそうはいない。；右回りで直線の長いコースが適性に合っていることを理由としている。；かれの適性についての疑問が、まだ二人のあいだに宙吊りになっていた。；この後は距離適性があるとは言えないながらも、年末の有馬記念に出走。；気圧が適性とはいえ高度二万メートルの中に出ていく度胸はさすがにない。；搭乗員の適性問題では、大西も最も頭を痛めている人間の一人であった。；どんなに弱いチームであっても個々の人間には適性があるはずだと考えている。；この経験を通じてダイアナは自らの社会奉仕への適性を発見したという。；「調律に必要な、人間の適性者だったからです」 それ以上は答えない。；オペレーターは、様々な戦闘能力適性テストを合格することで採用される。；知らないことの中には、自分の適性や趣味に合ったことが隠れているかもしれない。；自分がアナウンサーの適性があるなど全く思っていなかったので、驚いたという。；知らない間に観察されてて、おれは適性ありって判断されたらしい。；ダート適性に確信がついたことから以降はダート戦のみ使われることとなる。；防衛省内ではなく、警察で働く警察官から適性のある者をスカウトする。；また、入社する社員は企業への適性が高い場合が多いため、離職率が低い。；精霊回廊接続への適性は低く魔法を使うことは出来ないが探知は可能。；荻野はこの頃から、距離適性が中距離にあると認識するようになった。；ついて行くと言わないのは、自分の適性を弁えて我慢しているからだ。；途中で海老沼さんの話題になったけど、彼女は二刀流に適性があるらしい。；適性のあるレースを求め、この頃から遠征に出る事が多くなる。；彼らは純粋な機械より有機的機械に適性があると考えたのです。；つまり彼は、犯罪者として自己の適性に不安を抱いてしまうのである。；また、フォトン適性のある者ほど現実の人間と同じように動かせるという。；また職業適性・職業興味検査の開発にも関わっている。；後述のように職業により施設建設の可否や働かせる際の適性が異なる。；それから、闇祓い本部で、一連の厳しい性格・適性テストがあります。；適性のある人間が使うと武器などに変形させることができる。</t>
        </is>
      </c>
      <c r="J5728">
        <f>HYPERLINK("https://www.weblio.jp/content/適性", "词义详情")</f>
        <v/>
      </c>
      <c r="K5728">
        <f>HYPERLINK("https://yourei.jp/適性", "查看例句")</f>
        <v/>
      </c>
    </row>
    <row r="5729">
      <c r="A5729" t="inlineStr">
        <is>
          <t>適切</t>
        </is>
      </c>
      <c r="B5729" t="inlineStr">
        <is>
          <t>成功</t>
        </is>
      </c>
      <c r="C5729" t="inlineStr">
        <is>
          <t>読み方：てきせつ
［名・形動］状況・目的などにぴったり当てはまること。その場や物事にふさわしいこと。また、そのさま。「—に判断する」「—な表現」
[派生]てきせつさ［名］
[用法]適切・適当——「適切な（適当な）処置をとる」「この心情を伝えるのに適切な（適当な）言葉を知らない」など、ふさわしい、あてはまるの意では、相通じて用いられる。◇「適切」は過不足なく、よくあてはまる場合に用いる。「適切な指導を行う」「適切な忠告」◇「適当」は「適切」より幅のあるふさわしさ、また、ほどよいことをいう。「結婚したいが、適当な相手がいない」「適当なところで切り上げる」など。◇また、「適当」には、いいかげんな、あいまいな、の意を表す用法もある。「よくわからないから適当に選んでおいた」「適当にごまかす」◇類似の語に「適宜」がある。状況にかなっているさまを表し、「適当」と同じように使う。「適宜に取りはからう」</t>
        </is>
      </c>
      <c r="D5729" t="inlineStr">
        <is>
          <t>適切な治療；適切な処置；適切な対応；適切な方法；適切な言葉</t>
        </is>
      </c>
      <c r="E5729" t="inlineStr">
        <is>
          <t>いい；可能；よい；もっとも；良い</t>
        </is>
      </c>
      <c r="F5729" t="inlineStr">
        <is>
          <t>適切な抗菌薬；適切かつ有効；適切な避難誘導；適切なアドヴァイス；適切な境界条件</t>
        </is>
      </c>
      <c r="H5729" t="n">
        <v>29</v>
      </c>
      <c r="I5729" t="inlineStr">
        <is>
          <t>証拠となる事実の取得の段階では、適切な測定方法の存在が重要となる。；これは送られてきた画像の波長を適切に補正していなかったからである。；また、それぞれの注文に応じた適切な仕様を製品に付加する必要もある。；これに対し国王は適切な取引価格を守ることを求めるのみにとどまった。；このように、定石の選択は局面に応じて適切になされなければならない。；小学校で教育を受けるのに適切な発達段階になることを学齢成熟と呼ぶ。；また適切な文民統制のために文民は以下のことを行うべきであると述べた。；作品の評価とそれに付随する社会的評価の二本柱であるのが適切です。；このことは環境さえ適切ならば生命の発生は比較的容易であることを示唆している。；金属ナトリウムは塩化ナトリウムを適切に電気分解することで得られる。；新たな記事を書く際には下の表を参考にして、適切な項目名を付けて下さい。；学問の出発点は定義と呼ばれる適切な名称を用いて命題を構築することである。；使用用途や環境ごとに、適切な分解能を持つ材料の利用が求められる。；早期にこれらの適切な一般療法を施し、悪化させないことが重要である。；これにより排気の速度が平均化され、より適切な排気の速度が得られる。；終端を開放すれば電流は流れないので安全、と考えるのは適切ではない。；着陸進入中の操縦士が適切な制動操作を行わなかったのが原因とされる。；さらに広いエリアを守るために、適切な金が4八に配置されている陣もある。；適切な維持を確実にするためには双方の保全が必要であると信じる人もいる。；屋号は学問の場の名称として適切ではない、と考えられていたからである。；NTFSの使用がオーバーヘッドから適切ではない用途に向け開発された。；学齢とは学校に就学して教育を受けることが適切とされる年齢のことである。；シンボルが指す対象をより適切に象徴するシンボル名に更新すること。；このためだけではないが、この定義は合理的かつ適切な区分とはなってない。；アプリケーションは適切な伝送特性を使うことを保証しなければならない。；ただしそれは絶対ではなく、適切な理由があれば複数同時提案も認められる。；結合のために適切な特徴を持つ原子軌道を得るための手法は混成と呼ばれる。；ただ、後者の呼称は公人にとってあまり適切なものとはされていなかった。；適切な規模と内容がなければならず、教員と学生・生徒が所属する。</t>
        </is>
      </c>
      <c r="J5729">
        <f>HYPERLINK("https://www.weblio.jp/content/適切", "词义详情")</f>
        <v/>
      </c>
      <c r="K5729">
        <f>HYPERLINK("https://yourei.jp/適切", "查看例句")</f>
        <v/>
      </c>
    </row>
    <row r="5730">
      <c r="A5730" t="inlineStr">
        <is>
          <t>適度</t>
        </is>
      </c>
      <c r="B5730" t="inlineStr">
        <is>
          <t>成功</t>
        </is>
      </c>
      <c r="C5730" t="inlineStr">
        <is>
          <t>読み方：てきど
［名・形動］程度がほどよいこと。また、そのさま。「—な（の）運動」「—な（の）湿り気」</t>
        </is>
      </c>
      <c r="D5730" t="inlineStr">
        <is>
          <t>適度な運動(2%)；適度な距離；適度な大き；適度な温度；適度な湿度</t>
        </is>
      </c>
      <c r="E5730" t="inlineStr">
        <is>
          <t>かなり；相当；なかなか；ずいぶん；適当</t>
        </is>
      </c>
      <c r="F5730" t="inlineStr">
        <is>
          <t>適度な強度；適度に暖かく；適度な雨；適度な湿気；適度な成功</t>
        </is>
      </c>
      <c r="H5730" t="n">
        <v>29</v>
      </c>
      <c r="I5730" t="inlineStr">
        <is>
          <t>飼育下でも雑食性の種類は植物質と動物質の餌を適度に与えた方がよい。；適度な心配性と謙虚な部分はあるが舞台に上がると性格がまったく変わる。；適度な湿気と熱に恵まれているため、植物が十分に育っているのである。；いつの時代でも、子供の心の教育に必要なのは、父親の適度の制御である。；適度な温度や十分な時間や酸素がないと納豆にならず煮豆のままとなる。；適度にひとと交わるのがいいのです、どちらかに多く偏りすぎないでね。；鈴木と二人の追っ手は、適度な距離を保ちながら反対方向へ歩いている。；銀座のビヤホールで適度な酒も入れたので二人の間には勢いがついていた。；しかしこの選択も適度にやれば好結果を得られない事はあるまい。；酒は適度に飲むべきで、「酒が酒を飲む」ようになってはおしまいです。；適度に自分を抑制したようなその雰囲気から、すぐに日本人だとわかった。；適度の寒さが脳細胞の活動に必要な刺激をあたえてくれるのであろう。；試合での操作はタッチペンで行い、適度なアクション操作が要求される。；適度の警戒心を有するが、狩猟本能はわずかで、決して攻撃的ではない。；統一感を出しつつ適度に差があるため、コーディネートしやすいとされる。；むしろ、適度な距離をおいて、くつろがせようと心がけている気がした。；頼りない感じではあるが、理知的で適度に暗いところが紫子好みなのだ。；例えば、炎の暖かさは、適度なときに炎の中に存在すると想定される。；適度の高さと広さをもった丘から、活用されていったのだろう。；耳は適度な長さの垂れ耳で、ロングヘアー種は耳が長い毛に覆われている。；適度に興奮している方が馬に走りたいという意欲があるってことだからね。；怪物の血だと思わなければその適度な塩分は意外に美味なのだった。；変化は乏しくとも、此が適度と言つた処で、多くは止つてゐると言へよう。；案内板によれば、黄色の突起のついた部分で行うと適度な刺激が得られるという。；飲み過ぎても二日酔いせず、むしろ適度の飲用は健康に良いとされる。；重しとは、適度な重さを持った物で、その重さを利用して使用するもののこと。；母親が買い物のついでに幼い子供を遊ばせるのには適度な広さといってよかった。；だが、適度に話の輪に入りつつ、手と箸と口をおおいに動かしていた。；適度に身軽で機敏な攻撃性が、絶対に欠かせない条件なのだそうである。</t>
        </is>
      </c>
      <c r="J5730">
        <f>HYPERLINK("https://www.weblio.jp/content/適度", "词义详情")</f>
        <v/>
      </c>
      <c r="K5730">
        <f>HYPERLINK("https://yourei.jp/適度", "查看例句")</f>
        <v/>
      </c>
    </row>
    <row r="5731">
      <c r="A5731" t="inlineStr">
        <is>
          <t>適当</t>
        </is>
      </c>
      <c r="B5731" t="inlineStr">
        <is>
          <t>成功</t>
        </is>
      </c>
      <c r="C5731" t="inlineStr">
        <is>
          <t>読み方：てきとう
［名・形動］(スル)
１ある条件・目的・要求などに、うまくあてはまること。かなっていること。ふさわしいこと。また、そのさま。「工場の建設に—な土地」「この仕事に—する人材」
２程度などが、ほどよいこと。また、そのさま。「調味料を—に加える」「一日の—な仕事量」
３やり方などが、いいかげんであること。また、そのさま。悪い意味で用いられる。「客を—にあしらう」「—な返事でごまかす」
→適切［用法］</t>
        </is>
      </c>
      <c r="D5731" t="inlineStr">
        <is>
          <t>適当な場所(3%)；適当なところ；適当な言葉；適当な大き；適当な時期</t>
        </is>
      </c>
      <c r="E5731" t="inlineStr">
        <is>
          <t>いい；可能；よい；もっとも；良い</t>
        </is>
      </c>
      <c r="F5731" t="inlineStr">
        <is>
          <t>一番適当；応じて適当；適当な酸化剤；適当な配偶；適当な時機</t>
        </is>
      </c>
      <c r="H5731" t="n">
        <v>29</v>
      </c>
      <c r="I5731" t="inlineStr">
        <is>
          <t>審理人はあらゆる証拠を考慮して、適当と思われる方法で判断を示した。；複数の参加者と、適当な広さの場所、十分な数の枕があれば実行できる。；また適当と認めるときは、居室外に限り、分離しないようになっている。；僧侶や神官などに適当につけてもらうということもあったが例は少ない。；カスパロフは挑戦相手を決める適当な予選システムを組織できなくなった。；サンと呼ばれることもあるが、これは別の字の名前なので適当でない。；このコーナーは真面目に回答する場合もあれば適当に返すこともあった。；そのようなコースでは適当な言語のコンパイラを実際に作らせることが多い。；西川はどんな有機化合物が適当かは仁田が自分で決めるように指示した。；ただしどう考えても無理なものばかりでルールも適当であった。；作業内容に応じて適当な大きさ・形状のものを選択することになる。；高橋は斎藤が適当な年齢になるまでのつなぎ的な役割を坂田に期待した。；組成式から計算した式量に適当な数を乗じたものを係数 としてもよい。；入力データと出力データのテープを適当に設定してプログラムを実行した。；適当な条件の下では、この議論をもっと明確化することができる。；総務省の手引では受領者側が領収書に追記するのは不適当とされている。；万が一柄が破損、紛失しても現場の適当な木の枝や金属棒で代用できる。；適当な広さがあって、安全面に問題の少ない部屋が用いられる。；最大プレイヤー数は決まっていないが、6人程度に抑えるのが適当である。；適当なことやってんじゃねえよ、試合で穴空けたこと分かってんだろ?；これらの構造を適当に選ぶと、向流とよばれる一種の対流が励起される。；これ以外の基準面の場合には適当な定義が必要となる。；しかし、管楽器で演奏する場合を想定すると変ホ長調のほうが適当である。；しかしその分より小さい を適当に取ることで、 が成り立つようにできる。；そのような形式のデータをHTTP、FTPなど適当な転送機構で送る。；保存状態は悪く、機関室の天板が失われており、適当な板で塞がれている。；記数法は、適当な文字や記号と一定の規則を用いて数を表現する方法のこと。；そのような部分群の共軛は適当な部分旗の固定部分群として定義される。；主に朝鮮の邑城を修理するか、適当な邑城がなかった場所に新たに建設された。</t>
        </is>
      </c>
      <c r="J5731">
        <f>HYPERLINK("https://www.weblio.jp/content/適当", "词义详情")</f>
        <v/>
      </c>
      <c r="K5731">
        <f>HYPERLINK("https://yourei.jp/適当", "查看例句")</f>
        <v/>
      </c>
    </row>
    <row r="5732">
      <c r="A5732" t="inlineStr">
        <is>
          <t>てきぱき</t>
        </is>
      </c>
      <c r="B5732" t="inlineStr">
        <is>
          <t>成功</t>
        </is>
      </c>
      <c r="C5732" t="inlineStr">
        <is>
          <t>［副］(スル)処理や対応がはっきりしていて、歯切れのよいさま。「—（と）かたづける」「受け答えが—（と）している」</t>
        </is>
      </c>
      <c r="D5732" t="inlineStr">
        <is>
          <t>てきぱきと指示(3%)；てきぱきと仕事(2%)；てきぱきと命令；てきぱきと指図；てきぱきと片づけ</t>
        </is>
      </c>
      <c r="F5732" t="inlineStr">
        <is>
          <t>いかにもてきぱき；実にてきぱき；てきぱきと行動；てきぱきと作業；てきぱきと準備</t>
        </is>
      </c>
      <c r="H5732" t="n">
        <v>29</v>
      </c>
      <c r="I5732" t="inlineStr">
        <is>
          <t>仕事にとりかかるのはゆっくりでしたが、実行はてきぱきとされました。；現われた夫人は夫の死がもたらした打撃を忘れたかのようにてきぱきと働いた。；すぐさま妻がベッドの上に地図を広げて、探す場所をてきぱきと決めた。；ぐずぐずしないでてきぱきと答えてはいたが、その態度は反抗的だった。；どうやったらそうてきぱきできるのか、教えていただきたいくらいよ。；どんな議会であれ、てきぱきと動くなんてことがあるとは思えないんですが。；二人の歌った歌詞はてきぱきして人気に投ずるようなものであった。；森のてきぱきした声をBGM代わりに寝そべっているのが心地よかった。；彼女はそのすべてに注意を払いつつ、てきぱきと指示を出していった。；もうこのごろはすっかり元気になって、前のとおりてきぱきとしています。；てきぱき面倒を見るばかりか、ほとんど献身的な看護者になっていた。；博士は、たちまち、このてきぱきとした、魅力のある娘に好感を持った。；たちまち大テーブルと十四脚の椅子がてきぱきと片付けられていく。；だれもがなすべきことを心得ていて、それをてきぱきやってのけたからだ。；ウィルの声にはてきぱきした、子供らしくない決断の響きがあったのだ。；てきぱきと動く彼女を見て、姉妹の二人暮らしも悪くないなと三上は感心した。；みんなはガンズの命令に従うことになり、彼はてきぱきと指図を下した。；それがてきぱきと地形を見て、まあ、三人で一日もあればいいでしょうという。；利兵衛はこういうことになると、行動がきわめててきぱきとしてくる。；てきぱきと動く隊員らを眺めながら、西崎はちょっと困ってしまった。；吉宗は分家から入ったくせに、よいと思えば遠慮なくてきぱきと実行した。；彼女はてきぱきと、見蕩れてしまうような手際で折鶴を解体していった。；シエスタは袋の中から布を取り出すと、てきぱきとテントを作り始めた。；相楽は兵学者でもあるだけに、そのあともてきぱきと指示を下していった。；一人は、てきぱきした言葉使いをする、眼付のしっかりした大柄な女だった。；到着すると、カメラマンはてきぱきと場所をえらび、すぐ撮影であった。；二人の会談は極めて短かったが、また極めててきぱきしたものだった。；しかしあなたがてきぱきと事を運んだら大公はそんなことに思いいたらないでしょう。；それでゐて、するだけの事はてきぱきと片をつけるのだつた。</t>
        </is>
      </c>
      <c r="J5732">
        <f>HYPERLINK("https://www.weblio.jp/content/てきぱき", "词义详情")</f>
        <v/>
      </c>
      <c r="K5732">
        <f>HYPERLINK("https://yourei.jp/てきぱき", "查看例句")</f>
        <v/>
      </c>
    </row>
    <row r="5733">
      <c r="A5733" t="inlineStr">
        <is>
          <t>出来物</t>
        </is>
      </c>
      <c r="B5733" t="inlineStr">
        <is>
          <t>成功</t>
        </is>
      </c>
      <c r="C5733" t="inlineStr">
        <is>
          <t>読み方：できぶつ
人格・才能のすぐれた人物。</t>
        </is>
      </c>
      <c r="D5733" t="inlineStr">
        <is>
          <t>潰瘍；おでき；丘疹；吹出物；吹き出物</t>
        </is>
      </c>
      <c r="H5733" t="n">
        <v>29</v>
      </c>
      <c r="I5733" t="inlineStr">
        <is>
          <t>また、肉を食べるとできものなどができることを言う場合もあります。；からだ中に、私はできもののかさぶたができたのではないかと思った。；そればかりではなく、頬の、爪が走った場所にもできものが広がっていった。；俺ができものであるように、おまえは本来は墨絵の中にいるべき人間なんだ。；リーリンは先ほどの惣菜屋や他の店で見た出来物の料理の名前を覚えていた。；私は治りたいと思って、このできものを取って頂くのではありません。；左頬には大きなデキモノがあり、ある意味衝撃的なデビューを果たす。；そして熱が下がると、腹に人の口そっくりの形をしたできものができていたという。；私の足の指は短く、小指なんかできもののようだと人に言われる。；しかし、これほどの大きさの蛇が、いったいあのできもののどこに入っていたのか。；恐怖とは、膿の流れるできもので顔の形が変わってしまう病気のようなものである。；退屈した彼女の指は、耳のうしろに小さなできものを一つ探り当てていたのだ。；どこか大事な所にできものができてるかも知れんぞ。；息が苦しいのは、喉の中にも同じようなできものがあるからだ。；あなたの足にデキモノができていればあなたは切るでしょう。；できものがあっても病院に連れて行かないんです。；この月のうちに拓跋楨は背中にできものができて死去した。；范増は軍を引退して故郷に帰る途中、怒りの余り、背中にできものを生じて死亡した。；このとき長孫稚は背中のできものに苦しみながらも、軍を采配した。；しかたなく帰宅すると、また腕にはくっきりとできものができている。；それは苔のような出来物で、かなり不快な感じのするものだった。；だが、できてしまったら、おしりにデキモノができたままでいるより治療したい。；彼の前任者は、この馬のうしろ足の筋にできた小さなできものをみのがした。；できものの目は、たしかにぎろりと動いてフランチェス子の目を見たのである。；ステイシーは徐々に行動がおかしくなり、首のあたりに謎のできものができていた。；この古名は、できものに効能があったことに由来すると言われる。；あの名前を言っただけでも舌にできものができそうな暴君も、 かつては栄誉の士と考えられていた。；身に覚えのないできものが出たとかない?；文帝にできものができた時、鄧通はそのできものを口で取っていた。</t>
        </is>
      </c>
      <c r="J5733">
        <f>HYPERLINK("https://www.weblio.jp/content/出来物", "词义详情")</f>
        <v/>
      </c>
      <c r="K5733">
        <f>HYPERLINK("https://yourei.jp/出来物", "查看例句")</f>
        <v/>
      </c>
    </row>
    <row r="5734">
      <c r="A5734" t="inlineStr">
        <is>
          <t>適用</t>
        </is>
      </c>
      <c r="B5734" t="inlineStr">
        <is>
          <t>成功</t>
        </is>
      </c>
      <c r="C5734" t="inlineStr">
        <is>
          <t>読み方：てきよう
［名］(スル)法律・規則などを、事例にあてはめて用いること。「会社更生法を—する」</t>
        </is>
      </c>
      <c r="D5734" t="inlineStr">
        <is>
          <t>適用される(21%)；適用すること(5%)；適用できる(4%)；適用可能；適用外</t>
        </is>
      </c>
      <c r="E5734" t="inlineStr">
        <is>
          <t>使用；利用；使う；運用；用いる</t>
        </is>
      </c>
      <c r="F5734" t="inlineStr">
        <is>
          <t>民事再生法適用；直接適用；広く適用；死刑適用；適用事業所</t>
        </is>
      </c>
      <c r="G5734" t="inlineStr">
        <is>
          <t>適用対象；適用除外；適用基準；適用違憲；適用態</t>
        </is>
      </c>
      <c r="H5734" t="n">
        <v>29</v>
      </c>
      <c r="I5734" t="inlineStr">
        <is>
          <t>この法律はヴィシー政権の統治下にあるフランスの植民地にも適用された。；入力がLOのときの電流の制御の考え方がこの構成でも適用されている。；新車登録時のみに適用され、中古車および使用過程車には適用されない。；しかし、それらは強力すぎるため、変換の適用は制限される必要がある。；この機能は戦闘に参加せず馬車で待機しているキャラクターにも適用される。；日本でも戦前には陸軍や海軍の軍法会議で適用される場合があった。；最近社会的トラブルに関係する「安全設計」にこの考え方が適用できる。；エンジニアリングは、数学と科学の機能と利用を重視した設計に適用。；また、実際の記事ではこれらの適用が困難な場合も想定されます。；「入玉宣言法」のルール導入から8年あまり経過しての初適用であった。；いわゆる「拡大登録」がこれにあたるが、逆に縮小登録にも適用される。；そのため新教会法典は、ラテン教会にのみ適用される法典となっている。；現実のバンド構造や状態密度が大きく変化する場合には適用できない。；もしこれに向かって権力を適用する者あらば、国家は則ち国家ならず。；この事件は日本内地で治安維持法が適用された最初の事例になった。；右図はロシアを中心とした地域にケッペンの気候区分を適用したものである。；なお、例外を除いて会社法第二編株式会社 第一章設立の規定は適用されない。；教育制度として、全国すべての子供に9年間の義務教育を適用している。；当駅は通過連絡運輸の適用を入場後にも受けられる稀な例でもある。；また、他にも適用されていても実際の区分と異なる例がある。；これらの変更は組み立てが開始されていた量産機にも適用された。；今度は、引数に関数をとりそれに 3 を適用する関数を考えてみよう。；サガードは、この基準を占星術以外の分野にも適用することを考えた。；以下では民法120条以下の適用を受ける一般的取消しを中心に解説する。；この e を、それ自身を表すゲーデル数に適用すると矛盾が導かれる。；通常のポーカーの手役は適用されず、手役は強い順に以下の通りである。；これらは、郵政管理・支援機構扱いの郵便貯金にも当然に適用される。；当初は6大都市が対象で、次第に他の都市へも適用されていった。；ただし連絡駅とはされていないため、乗り継ぎ割引等は適用されない。</t>
        </is>
      </c>
      <c r="J5734">
        <f>HYPERLINK("https://www.weblio.jp/content/適用", "词义详情")</f>
        <v/>
      </c>
      <c r="K5734">
        <f>HYPERLINK("https://yourei.jp/適用", "查看例句")</f>
        <v/>
      </c>
    </row>
    <row r="5735">
      <c r="A5735" t="inlineStr">
        <is>
          <t>できる</t>
        </is>
      </c>
      <c r="B5735" t="inlineStr">
        <is>
          <t>成功</t>
        </is>
      </c>
      <c r="C5735" t="inlineStr">
        <is>
          <t>読み方：できる
［動ラ五（四）］全部出る。残らず出てしまう。出つくす。「意見も—・ったようだ」</t>
        </is>
      </c>
      <c r="D5735" t="inlineStr">
        <is>
          <t>できるだろ；できるかもしれ；できる可能性；できるかも知れ；できるよう設計</t>
        </is>
      </c>
      <c r="E5735" t="inlineStr">
        <is>
          <t>可能；可；出来る；可能な；可能である</t>
        </is>
      </c>
      <c r="F5735" t="inlineStr">
        <is>
          <t>使用できる；確認できる；理解できる；対応できる；入手できる</t>
        </is>
      </c>
      <c r="G5735" t="inlineStr">
        <is>
          <t>できるかな</t>
        </is>
      </c>
      <c r="H5735" t="n">
        <v>29</v>
      </c>
      <c r="I5735" t="inlineStr">
        <is>
          <t>逆に、ある状態をいくつかの状態の重ね合わせに分解することもできる。；この点はアセンブラで記述されて簡単には拡張できない点が裏目に出た。；写真の出来に応じて現像するか否かをコマごとに決めることはできない。；上陸の際は、歩いて通ることのできる地形であればどこにでも上陸できる。；ほかの言語でもよくみられるような制御構造を用いることができる。；もっとも、このルールがいつごろできたものかのかは分かっていない。；ワードは単独で実行できるため、部分に分けてのデバッグも容易である。；ピカソは仕事をしているとき以外は、一人でいることができなかった。；すると、プログラムは要求を行った時点から処理を再開させることができる。；しかしこれらは、いずれも爆発的な人気を得ることはできなかった。；カードの上にはボタンの他にテキストやグラフィックをおくことができた。；他の人々はソフトウェアは全く工学的に扱うことはできていないと考えている。；その結果、知的創作物を誰でも自由に利用できると説かれることが多い。；また、複数のノードで同じデータを共有することも容易に実現できる。；パイプラインだけでは同期式CPUの問題を全て解決することはできない。；ここから逆に、恒星がどのような運動をしているかを分析することができる。；G8サミット国や招待国以外でも、特定の分野で参加することができる。；これは赤と緑を十分に区別できないいわゆる「赤緑色盲」の状態である。；江戸時代には家元四家を中心としたプロ組織もでき、興隆の時期を迎えた。；陸上の無脊椎動物では、周囲が湿っていなければ活動できない種も多い。；そのためC言語では全く同じプログラムを以下のように書くこともできる。；プロジェクト関連文書の更新状況は次の場所で参照できます。；承認後、最終的な文章には編集上のわずかな変更しか加えることができない。；カーネルが提供する機構または方針は、いくつかの基準で分類できる。；しかし一度に大量の情報を話し、聞き返す事もできないためメモは必須。；しかし低質量の星は暗いために地球に近いものしか観測できない。；高度なモデリングまたはレンダリングソフトウェアで扱うことができる。；しかし、政治的な理由で輸出ができなくなるなど不安定な要素も含んでいる。；この時点ではまだ声優個人としての日本俳優連合への加盟はできない。</t>
        </is>
      </c>
      <c r="J5735">
        <f>HYPERLINK("https://www.weblio.jp/content/できる", "词义详情")</f>
        <v/>
      </c>
      <c r="K5735">
        <f>HYPERLINK("https://yourei.jp/できる", "查看例句")</f>
        <v/>
      </c>
    </row>
    <row r="5736">
      <c r="A5736" t="inlineStr">
        <is>
          <t>できるだけ</t>
        </is>
      </c>
      <c r="B5736" t="inlineStr">
        <is>
          <t>成功</t>
        </is>
      </c>
      <c r="C5736" t="inlineStr">
        <is>
          <t>読み方：できるだけ
できる範囲のことはすべて。できる限界まで。「—の治療はした」「—急いでくれ」</t>
        </is>
      </c>
      <c r="D5736" t="inlineStr">
        <is>
          <t>できるだけ早く(10%)；できるだけ多く(4%)；できるだけ長く；できるだけ遠く；できるだけ早い</t>
        </is>
      </c>
      <c r="E5736" t="inlineStr">
        <is>
          <t>なるべく；できれば；出来るだけ；極力；可能な限り</t>
        </is>
      </c>
      <c r="F5736" t="inlineStr">
        <is>
          <t>できるだけはやく；できるだけ小さく；できるだけ高く；できるだけ近い；できるだけ離れ</t>
        </is>
      </c>
      <c r="H5736" t="n">
        <v>29</v>
      </c>
      <c r="I5736" t="inlineStr">
        <is>
          <t>この制度はできるだけ多くの人々が意見を述べられることが予想される。；できるだけ自然な状態で展示する手法は国内では初めての試みだった。；映画を観た後で、できるだけみんなに考えてもらえればと思っています。；商売をする上では、客の目を引くようできるだけ道と近い方が有利である。；できるだけ多くの人が利用しやすく作られ、履けるようなデザインの靴。；きみのところもじゅうぶんでないだろうが、できるだけわけてくれたまえ。；現地の人々はできるだけ多くの人々を助けようと救助活動に参加した。；小津は移動撮影をほとんど使わず、できるだけカメラを固定して撮影した。；その他はできるだけ防災施設・公園施設となるよう策定し実現させている。；彼はこの際、できるだけの捜査材料を見つけだして置きたいと思った。；政府はできるだけ早く新体制を確立して放送再開を目指すとしていた。；同じ時間に通過するためには、軌道はできるだけ短く、低くする必要がある。；乾燥の際に火災の危険があるため他の建物とできるだけ距離を置いたのである。；それらは、最初、エミリーが残した原稿とできるだけ近い形で出版された。；われわれはできるだけはやい機会にこの国を脱出しなくてはならない。；分解が起きる速度は、組織形成の速度とできるだけ一致しなければならない。；対戦モードではできるだけ早くゴールすることが目的となる。；君に返事を書く時間をできるだけ作るようにするつもりだ。；ルート変更は八木沢層を通過する区間をできるだけ少なくすることが目的であった。；該当国への旅行は控え、できるだけ早く出国することを勧めている。；これを承けて修道院長はできるだけ閉鎖的な領邦を形成しようとした。；できるだけ楽にして船板に寄りかかり、前方に引っ張られるままにした。；私たちはできるだけ多くの人にこの被災地に来てほしいんです。；現代では環境に配慮してバラスト水をできるだけ積まないようにしている。；結核をできるだけ悪化させないようにと、より乾燥した西部へと移住を決意。；私は自分の頭の中をできるだけ多くのシンボルやイメージで埋め尽くし始めた。；超音波検査は実施するほど過剰診断になるので、できるだけ実施しない。；一部のインディアンは、白人との接触をできるだけ制限しようとした。；目的はできるだけ正確に解を求められるようにすることである。</t>
        </is>
      </c>
      <c r="J5736">
        <f>HYPERLINK("https://www.weblio.jp/content/できるだけ", "词义详情")</f>
        <v/>
      </c>
      <c r="K5736">
        <f>HYPERLINK("https://yourei.jp/できるだけ", "查看例句")</f>
        <v/>
      </c>
    </row>
    <row r="5737">
      <c r="A5737" t="inlineStr">
        <is>
          <t>できれば</t>
        </is>
      </c>
      <c r="B5737" t="inlineStr">
        <is>
          <t>成功</t>
        </is>
      </c>
      <c r="C5737" t="inlineStr">
        <is>
          <t>読み方：できれば
［連語］可能であるならば。「—参加してほしい」</t>
        </is>
      </c>
      <c r="D5737" t="inlineStr">
        <is>
          <t>できればいい(3%)；できればよい；できればそれで；できれば良い；できれば避け</t>
        </is>
      </c>
      <c r="E5737" t="inlineStr">
        <is>
          <t>なるべく；出来るだけ；極力；可能な限り；できる限り</t>
        </is>
      </c>
      <c r="F5737" t="inlineStr">
        <is>
          <t>確保できれば通学；できればもう少し；できれば通学可能；できればボーナス；できれば足りる</t>
        </is>
      </c>
      <c r="H5737" t="n">
        <v>29</v>
      </c>
      <c r="I5737" t="inlineStr">
        <is>
          <t>低疾患活動性をしばらく維持できれば治療を中止することが可能である。；それぞれの女性は男性の部分集合のいずれかと結婚できれば幸せである。；脱出した人質と連絡を取ることができれば、より正確な情報が得られる。；ここを占領できれば北軍の撤退路となる可能性がある所を支配できた。；しかし、倒すことができれば貴重なアイテムなどを入手する事ができる。；これを使って次のハッシュ値を定数時間で計算できれば問題は解決する。；話を聞いた吉兵衛は、お金さえ用意できれば俺が会わせてやると答える。；リーダーは時間内に残る全ての単語を答えることができればポイント獲得。；一方で誰か一人でもゴールできればプレイヤー全員の勝利になる。；ただし階段や斜路を設けるなど適切な対処ができればこの限りではない。；これが実現できればチームへ経験が蓄積し、製品はより良い方向へ向かう。；しかしその中にも、できればゲームを作ってみたいと思う者は少なくなかった。；彼の重要な作品の、できれば歴史的楽器でなされた新録音の登場が待たれる。；しかし縦走りにすることができればシャッター幕の走行距離が短くなる。；ボタンを押して画面を破壊することができればSTリーチに発展する。；相手の歩を自軍の歩ではさむことができれば相手の駒を取ることができる。；その場合は一定ターン都市を防衛できればプレイヤーの勝利となる。；そのようなを作成できればAの勝ち、そうでなければAの負けである。；依頼された人物を発見できればそれぞれ対応する表稼業系リーチへ発展する。；カーアクションを基本とし、制限時間内に目的地へ到達できれば達成となる。；また、それぞれの男性は自分と結婚したいと思っている女性と結婚できれば幸せである。；もう少し時間があって実際の議論ができれば、結果は違ったものになったかもしれない。；キャンプでうまく調整できれば直球・カーブはプロでも通用すると思う。；一方で乙女がベッドに寝転がって、騎士と結婚できればと思っている。；ボールをすくうことができればそのボールが自分のフィールドに投入される。；また、2敗するまでに1勝でもできれば原則降級しないことになっている。；遅れを改善することができれば、このことは交差点周辺の環境の改善に寄与する。；自らの状況や感情について話すことができれば、孤独を感じなくなる。；通学学指定区域は無く、登下校の時間と安全が確保できれば通学可とした。</t>
        </is>
      </c>
      <c r="J5737">
        <f>HYPERLINK("https://www.weblio.jp/content/できれば", "词义详情")</f>
        <v/>
      </c>
      <c r="K5737">
        <f>HYPERLINK("https://yourei.jp/できれば", "查看例句")</f>
        <v/>
      </c>
    </row>
    <row r="5738">
      <c r="A5738" t="inlineStr">
        <is>
          <t>手際</t>
        </is>
      </c>
      <c r="B5738" t="inlineStr">
        <is>
          <t>成功</t>
        </is>
      </c>
      <c r="C5738" t="inlineStr">
        <is>
          <t>読み方：てぎわ
［名・形動］
１物事の処理のしかた。また、物事を処理する要領・腕前。「話を—よくまとめる」「—を見る」「みごとな—だ」
２物事をたくみに処理すること。また、そのさま。
「洗濯物を—に搾切って遣る」〈風葉・青春〉</t>
        </is>
      </c>
      <c r="D5738" t="inlineStr">
        <is>
          <t>手際よく(41%)；手際良く(3%)；手際よい；手際よき；手際好く</t>
        </is>
      </c>
      <c r="E5738" t="inlineStr">
        <is>
          <t>力；技術；腕；方式；手段</t>
        </is>
      </c>
      <c r="F5738" t="inlineStr">
        <is>
          <t>見事な手際；鮮やかな手際；あざやかな手際；御手際；恐ろしい手際</t>
        </is>
      </c>
      <c r="H5738" t="n">
        <v>29</v>
      </c>
      <c r="I5738" t="inlineStr">
        <is>
          <t>太郎はかつてこんなに手際よく輪をまわす少年を見たことがありません。；さうしてよき心の人よ、あれら手際よい技能家や学者等を恐れたまふな。；彼のまわりにいる年上の女性はなぜかみんなそれぞれ手際がよかった。；異常なまでに手際が良く、佐知子はろくに夫に別れを言う暇もなかった。；驚くべき手際の良さで靴が脱がされ、型のようなものを取られている。；それを用いた謙信の手際も敵ながら小憎いほどこんどは鮮やかであった。；テッサは報告に耳をかたむけながら、手際よく書類に日を通していった。；どうやって手際良く、失敗せずにその行為を行うかが問題なんです。；奥さんと私はできるだけの手際と工夫を用いて、Kの室を掃除しました。；又わしはどんなにもつれた糸でも手際良くほごす力を授かって居るでの。；何をしても手際よくやつたし、また話を面白く聞かせる骨をも心得てゐた。；その手際があまりにも見事なので、彼女は小さく声を上げて感心した。；あまりの手際のよさに、ただ黙っているだけの私に向かって、彼女はいった。；これまでの手際でもわかるように、犯人はそれほど無考えなやつではない。；別荘二軒に放火した手際から見ても、犯人は複数いたと考えるべきだろう。；しかし人を殺すには、それがいちばん手際よくクリーンな方法なのだ。；その手際から見て、それは幕臣、少くとも幕府方の侍たちにちがいない。；或人は手際よく積まれた手足の骨を見て日本の薪屋の前を通る様だと云つた。；黙ったままフリウは、その少年が手際よく毛布を広げるのを眺めていた。；でもね、知識の量は、全然変わらないし、手際は明らかに俺のほうが悪い。；鏡越しに見ていたその手際は、まるで本物の美容師のように手馴れている。；焔の手際が、楽の目にも明らかなほど見事なものだったからである。；セイバーとて、アイリスフィールの手際に間違いがないのは知っている。；手際よく麦茶を出した陽司は、額に入った大きなポスターの横に立った。；警察官は手際よく画像を合成して、一人の男の顔を作り上げていった。；そして夜が十分に暗くなったら、手際よく河の方へ、お出し申しておくれ。；可能な限り手際よくやっているつもりだったが、時間はどんどん経過していった。；この世ならぬ手際のよさでみなさんをあっと言わせてみせますよ。；あまりの手際の良さに、一瞬目の前で何が起こったのか、全然分からなかった。</t>
        </is>
      </c>
      <c r="J5738">
        <f>HYPERLINK("https://www.weblio.jp/content/手際", "词义详情")</f>
        <v/>
      </c>
      <c r="K5738">
        <f>HYPERLINK("https://yourei.jp/手際", "查看例句")</f>
        <v/>
      </c>
    </row>
    <row r="5739">
      <c r="A5739" t="inlineStr">
        <is>
          <t>手口</t>
        </is>
      </c>
      <c r="B5739" t="inlineStr">
        <is>
          <t>成功</t>
        </is>
      </c>
      <c r="C5739" t="inlineStr">
        <is>
          <t>読み方：てぐち
１犯罪などのやりかた。また、その特徴。「侵入する—が同じだ」
２取引所で、どの証券会社がどのような銘柄を何株売ったか買ったかという売買の内容。</t>
        </is>
      </c>
      <c r="D5739" t="inlineStr">
        <is>
          <t>手口門</t>
        </is>
      </c>
      <c r="E5739" t="inlineStr">
        <is>
          <t>手；方法；法；方式；手段</t>
        </is>
      </c>
      <c r="F5739" t="inlineStr">
        <is>
          <t>巧妙な手口；犯行手口；鮮やかな手口；同じような手口；残忍な手口</t>
        </is>
      </c>
      <c r="H5739" t="n">
        <v>29</v>
      </c>
      <c r="I5739" t="inlineStr">
        <is>
          <t>犯人側の手口もある程度は知ってないと、防御はできないもんなんだよ。；聞いてみると、巴里の北停車場前のホテルでやった手口とよく似ている。；いや、その点に関してはいろいろの手口や方法があるのは知っています。；地球での戦争ではごく普通に用いられた対ゲリラ戦の手口ですからね。；鮮やかな手口から、訓練を受けたテロリストではないかとも推測された。；いくらアイツの手口を夢で見ていたといっても、そもそも体の能力が違う。；いくら巧妙な手口でも、大胆すぎることをやっていると気づかれますよ。；手口が多岐にわたっているのと、日々新たな方法が生れてくるせいである。；半年の間に2人の女子高生が同様の手口で殺害される事件が発生した。；侵入の手口は、かなりの人数を組織的に運用しなきゃあできないものです。；最近周辺では同じような手口の空き巣は発生していないということである。；僕はその手口まで説明できるとはいわなかったろうね、そうだろう?；スクラントンの医師のほかにもう2人が同様の手口で殺害されていた。；論文の生命は、あくまで分析を通しての総合という手口にあるのである。；あとで聞いたところによると、同じ手口で荒らされた例が幾軒もあるという。；彼はその手口にえらく感心し、自分も同じことを翌日に試みようとする。；急に自分個人の話に触れてきて共感を持たせようとするその手口。；事前調査で、かつて同じ手口を使ってきた男のことは調べてある。；ウルフの手口を知っているケインが傭兵の仕事に役に立つと考えたのだ。；他にも脅迫を受けている人がいれば、そこから手口を掴めるんでしょうが。；四軒を廻ってみてはっきりしたのは全く同じ手口という点であった。；その後また同様の手口で少年が殺され、ローズ刑事が現場に行き捜査をする。；自分でも姑息な手口だと感じていた花音は、それを見て頭に血を上らせた。；タバコジュースをつけるのもよくある手口で、自然とボールは汚れた。；「手口の話はまずいですが」と言いつつ様々な手法が明らかとなった。；何年もやっておれば、この手口を知っておる者に出会うことだってあろう?；日本では銃殺刑になることはないとわかっているから、手口も荒いですよ。；手口を変え、場所を変えて、別の事件を起こしているかもしれない。；その女たちの手口はもっと巧妙かもしれないが、目的は同じなのだ。</t>
        </is>
      </c>
      <c r="J5739">
        <f>HYPERLINK("https://www.weblio.jp/content/手口", "词义详情")</f>
        <v/>
      </c>
      <c r="K5739">
        <f>HYPERLINK("https://yourei.jp/手口", "查看例句")</f>
        <v/>
      </c>
    </row>
    <row r="5740">
      <c r="A5740" t="inlineStr">
        <is>
          <t>出口</t>
        </is>
      </c>
      <c r="B5740" t="inlineStr">
        <is>
          <t>成功</t>
        </is>
      </c>
      <c r="C5740" t="inlineStr">
        <is>
          <t>読み方：でぐち
内から外へ出る口。⇔入り口。
京都島原の遊郭、江戸吉原の遊郭の出入り口であった大門のこと。</t>
        </is>
      </c>
      <c r="D5740" t="inlineStr">
        <is>
          <t>出口付近(2%)；出口側；出口専用；出口近く；出口料金所</t>
        </is>
      </c>
      <c r="E5740" t="inlineStr">
        <is>
          <t>解放；逃げ道；はけ口；アウトレット；降車口</t>
        </is>
      </c>
      <c r="F5740" t="inlineStr">
        <is>
          <t>駅出口；側出口；トンネル出口；ic出口；方面出口</t>
        </is>
      </c>
      <c r="G5740" t="inlineStr">
        <is>
          <t>出口調査；出口なし；出口番号；出口川；出口なお</t>
        </is>
      </c>
      <c r="H5740" t="n">
        <v>29</v>
      </c>
      <c r="I5740" t="inlineStr">
        <is>
          <t>かつて出口を求める話もあったが開設されず、迂回する形での移動となる。；中山道が駅の東を通っていたため、出口はこの東に向けて設けられた。；出口ではなく、ホーム中程に入出場用の各機が並んで設置されている。；名古屋方面からの出口と名古屋方面への入口のみのハーフICである。；出入口は分離されており、出口のすぐ外側にトイレが設置されている。；当日、その上級生の手違いで大津くんは別の出口でしーのを待っていた。；また、そのさらに南側には京葉線の新東京トンネル出口が位置している。；駅はサバナ・グランデ歩道の下にあり、出口はこの道路の中に複数ある。；なお阪神高速道路の中で八尾市へ行く場合に一番便利な出口と思われる。；吹田方面の出口側も吹田IC付近を先頭にほぼ毎日渋滞が発生している。；中央街区部は駅東側からの出口のみとし、入口は設置しないことになった。；中国、満州と歩いていた堀川はその間日本にも数回帰国し出口の所に滞在。；出口跡には電気関係の小屋があり、そこが駅舎扱いとなっている。；大阪方面への入口と大阪方面からの出口しかないハーフICである。；また、上りホームの京都寄りには定期券専用の無人出口が設置されていた。；出口2と改札口を結ぶ通路の中間には、展示スペースが設置されている。；自動車専用の道路の入口・出口には自動車専用の規制標識が設置される。；行き先の指定が大雑把だと、変な所に出口が開いてしまうことがある。；そのため定速度の光が出口から出てくる時間は光路の回転速度に依存する。；独立後の課題の一つに、内陸国で海への出口を持たないことがあった。；駅の南側へ直接出ることのできる出口はなく、駅構外の地下道を利用する。；北方面からの出口と北方面への入り口しかないハーフICとなっている。；構内トイレはないが、駅出口前にあるつくし公園内に公衆トイレがある。；西口にはこのような場合に備えて、駅の北側へ出られる臨時出口が存在した。；大阪方面に入口があり神戸方面に出口があるインターチェンジである。；こちらは出口専用であるが、2008年3月に自動改札機が導入された。；新規拡張部に隣接した5番出口は地上と一体化した吹き抜けのものへと改修。；出口前の交差点のすぐ先にある交差点が昭和通りになる。；上下線双方の出口・入口とも設置されているフルインターチェンジである。</t>
        </is>
      </c>
      <c r="J5740">
        <f>HYPERLINK("https://www.weblio.jp/content/出口", "词义详情")</f>
        <v/>
      </c>
      <c r="K5740">
        <f>HYPERLINK("https://yourei.jp/出口", "查看例句")</f>
        <v/>
      </c>
    </row>
    <row r="5741">
      <c r="A5741" t="inlineStr">
        <is>
          <t>手首</t>
        </is>
      </c>
      <c r="B5741" t="inlineStr">
        <is>
          <t>成功</t>
        </is>
      </c>
      <c r="C5741" t="inlineStr">
        <is>
          <t>読み方：てくび
腕と手のひらとのつながる部分。うでくび。</t>
        </is>
      </c>
      <c r="D5741" t="inlineStr">
        <is>
          <t>手首をつかん(3%)；手首を押さえ；手首を強く；手首をしっかり；手首足首</t>
        </is>
      </c>
      <c r="E5741" t="inlineStr">
        <is>
          <t>リスト；手頸；手関節；腕首</t>
        </is>
      </c>
      <c r="F5741" t="inlineStr">
        <is>
          <t>細い手首；白い手首；手首を押さえ；手首をがっちり</t>
        </is>
      </c>
      <c r="H5741" t="n">
        <v>29</v>
      </c>
      <c r="I5741" t="inlineStr">
        <is>
          <t>ともかくもこれにもやはり手首の問題が関係していると言ってもよい。；両手首にエネルギーボールが7個ずつあり、勇気と力の源とされている。；手首を切って病院に運ばれた女性を見舞いに行った場面が歌われている。；その後はローターの回転に合わせて手首を回す事で回転数を上げていく。；翌は飛躍が期待されたが手首の故障でシーズンの大半を棒に振ってしまう。；しかし次のノバク・ジョコビッチ戦を前に手首の痛みを理由に棄権した。；手首を縛られていたことから、警察は殺人の可能性が高いと見て捜査した。；表情・手首・付属品も豊富で、他商品用のパーツが付属することもある。；手首から先の長さは11インチ、足の大きさは13インチにまで至った。；これをよく観察していると、腕はありながら、手首とか指などがない。；私は迂闊にも、まだ一度も手首の傷痕のことを彼に話していないのでした。；金の量が足りなかった者は、男だろうと女だろうと手首が斬り落とされた。；このため、人間としては手首や腕の柔軟さが上達の程度に影響してくる。；こうした形状であるので、手首の動きは次のふたつに限定されている。；その右手くびに白い細いものがのびているのを、人々ははじめて見た。；手首の怪我が回復することはなく、アマチュアからの引退を決意した。；彼はちょっと左の手をあげて手首に着けている時計に眼をやった。；しかし、キャリアを通して足や手首の故障に悩まされることも多かった。；それで先生は弟子の手首の格好を見ただけで弟子をしかるわけにはゆかない。；私は事件以来、妙に人の手首に注意する様になっていたのです。；念のために右の手くびをおさえてみたが、そこにも脈はまったくなかった。；呼び込み窓へ近づいて來た男の手首を一度握ると、金輪際離れなかつた。；どうも世の中の事がなんでもかでもみんな手首の問題になって来るような気がするのであった。；ですから、手首だけがテーブルの上を、はい回ったように見えたのですよ。；唯一コートが短い場所は人でいう肘から手首に当たる部分である。；どぶは、そいつの手くびに、島帰りのいれずみが入っているのを、見た。；ところがヒジから手クビまでとなると、これを示す明確な名称がない。；死亡の証拠として両手首を切り落とされ、遺体は無名のまま埋められた。；戦闘が始まったころに手首を負傷していたが、応急手当をして指揮を続けていた。</t>
        </is>
      </c>
      <c r="J5741">
        <f>HYPERLINK("https://www.weblio.jp/content/手首", "词义详情")</f>
        <v/>
      </c>
      <c r="K5741">
        <f>HYPERLINK("https://yourei.jp/手首", "查看例句")</f>
        <v/>
      </c>
    </row>
    <row r="5742">
      <c r="A5742" t="inlineStr">
        <is>
          <t>出くわす</t>
        </is>
      </c>
      <c r="B5742" t="inlineStr">
        <is>
          <t>成功</t>
        </is>
      </c>
      <c r="C5742" t="inlineStr">
        <is>
          <t>読み方：でくわす
［動サ五（四）］偶然に出会う。ばったりと会う。でっくわす。「町角で友人に—・す」「事故に—・す」</t>
        </is>
      </c>
      <c r="D5742" t="inlineStr">
        <is>
          <t>出くわすかも(2%)；出くわす可能性；出くわすだろ</t>
        </is>
      </c>
      <c r="E5742" t="inlineStr">
        <is>
          <t>発見；至る；会う；見つける；遭遇</t>
        </is>
      </c>
      <c r="F5742" t="inlineStr">
        <is>
          <t>よく出くわす；ばったり出くわす；出くわすかもしれ</t>
        </is>
      </c>
      <c r="H5742" t="n">
        <v>29</v>
      </c>
      <c r="I5742" t="inlineStr">
        <is>
          <t>あまりにも意外な事態に出くわして、何も考えられなくなってしまった。；実は私はこういう事態に出くわしたことは今までに何度もあったのだ。；それを使用しなければならぬ場面にいつ出くわすかわからないからだ。；それで山でばったり出くわした鍵蔵に、連れてってくれと頼んだんだよ。；彼らが兵士と出くわした場合、慎重に歩くか身をかわす光景が見られた。；ドアのところでもう一度お辞儀をしたとき、彼は夫人の目に出くわした。；役人にでも出くわしたら、この服が役に立つかもしれないと思ったのさ。；金のない旅をしていれば、嫌でも人が死ぬ場面に出くわすことがある。；王子は城からゆっくりと歩いてくるが、妖精と出くわして向きを変える。；日本で言えばドラマか映画の一シーンと思われるような場面によく出くわす。；だから糸降りがはじまれば偵察にくる連中に出くわす心配もないだろう。；たとえば太陽に近い遊星が、そうした運命に出くわしたのかもしれない。；行商を七年もやっていればその手の話に出くわすのは一度や二度ではない。；蟻が行列を作っている場面に出くわすとその先に何かがあるのかを感じる。；まもなく、かれらは大きな川に出くわし、その岸ぞいに進むことにした。；毎日、出くわすことがみんな生れてはじめての体験だったに違いない。；父がたまたま何か一言言う場面に出くわしてしまうと私は驚いた。；堤防を歩いていても、ついに歩いている人間には一人も出くわさなかった。；その時、吉弥は僕のうしろに坐っているお君の鋭い目に出くわしたらしい。；ガリオンがもう一匹の狼に出くわしたのは、枯木の森にいたときだった。；ついに、わしは、魔法の書を持っていると称する魔法使いに出くわした。；その途中、前方から坂道を下ってくる少年たちの集団に出くわしたのだ。；外の世界へ出ようと道を進んでいるうちに見慣れぬトンネルに出くわした。；そういうやつに出くわすと喧嘩になったが、絶対にオレは泣かなかった。；たぶん生まれて初めて出くわした、一斗の手には負えない事態であった。；いずれこれから先に、思いがけぬ奇妙な感情に読者は出くわすであろう。；その後バーに戻ったシンはトイレでポンから逃げてきたネオと出くわす。；しかし私は、今までこんなに扱いにくい事件に出くわしたことはありません。；説明のつかないことに出くわすと好戦的になるのが彼のくせだった。</t>
        </is>
      </c>
      <c r="J5742">
        <f>HYPERLINK("https://www.weblio.jp/content/出くわす", "词义详情")</f>
        <v/>
      </c>
      <c r="K5742">
        <f>HYPERLINK("https://yourei.jp/出くわす", "查看例句")</f>
        <v/>
      </c>
    </row>
    <row r="5743">
      <c r="A5743" t="inlineStr">
        <is>
          <t>手ごたえ</t>
        </is>
      </c>
      <c r="B5743" t="inlineStr">
        <is>
          <t>成功</t>
        </is>
      </c>
      <c r="C5743" t="inlineStr">
        <is>
          <t>読み方：てごたえ
１打ったり突いたりしたときなどに手にかえってくる感じ。「打った瞬間にホームランの—があった」「確かな—」
２こちらの働きかけに対する好ましい、あるいは確かな反応。「注意してもさっぱり—がない」</t>
        </is>
      </c>
      <c r="D5743" t="inlineStr">
        <is>
          <t>手ごたえがありませ；手ごたえが怪しく</t>
        </is>
      </c>
      <c r="E5743" t="inlineStr">
        <is>
          <t>感触；タッチ；触り；手触り；手当たり</t>
        </is>
      </c>
      <c r="F5743" t="inlineStr">
        <is>
          <t>重い手ごたえ；たしかな手ごたえ；確実な手ごたえ；したたかな手ごたえ</t>
        </is>
      </c>
      <c r="H5743" t="n">
        <v>29</v>
      </c>
      <c r="I5743" t="inlineStr">
        <is>
          <t>それは手ごたえからするとしっかりと何かに結びつけてあるようだった。；江戸へ来てからの大久保は、手ごたえのある試合をほとんどしていない。；私はあのように手ごたえのあるお客にぶつかった事はありませんでした。；手ごたえのある処にいって暴れてみないじゃ腹の虫が承知しないからな。；小さく鉤がかかる音が聞こえ、しっかりとした手ごたえがかえってきた。；けれど、あんまり軽くて手ごたえがないので、やがて心配になりました。；確かな手ごたえと同時に、相手の鼻面が一瞬真白になったように見えた。；彼はついに、その連続した悲鳴がとだえたときの手ごたえに魅せられた。；骨と僅かの肉の手ごたえも、後頭部のあたりから背後に抜けていった。；試験を受けた時の手ごたえで、ある程度の出来不出来は予想がつくものだ。；これまでの手ごたえから考えて、今度も合格できるような気がする。；これにより、それまでの政治に対する確かな手ごたえを失ってしまった。；彼の鼻はひしゃげたのではないかと思うほどの手ごたえがあった。；老婆らしい枯れた感じはなくて、量のたっぷりした肉の手ごたえだった。；敵の手ごたえを見るための戦いで本格的なものではなかった。；しかし、なにをしても、キューピーには、手ごたえがありませんでした。；だが、その空間には少しでも手ごたえのあるものが何もなかった。；どうやら、何者かが上からおさえつけているような手ごたえなのです。；そう思えばこそ大金の支出を覚悟したのだが、手ごたえは充分あった。；女の手というより、ひとつの気配の手ごたえのようなものを、わたしは感じた。；たしかな手ごたえが、渾身の力をこめて突きだした右手に伝わっている。；本当に手ごたえのある仕事が姿を消してしまうとすぐにだ。；仕事が順調に進みそうな手ごたえを感じていたからか、足取りは軽い。；意外と軽い手ごたえだったが、刃が奥まで入ったという感じもしなかった。；調所による改革の進行状況を見た重豪はこれまでにない手ごたえを感じた。；ドミノ倒しの最初の一枚を倒したのになんの手ごたえもない、そんな感じだ。；客は宿から持参したウイスキーを飲み合い、竿の手ごたえを待っていた。；手ごたえも反応もない夜が続き、また変わりばえのしない月曜日がやってきた。；相手の何処の部分かは知らぬが彼に手ごたえがあった。</t>
        </is>
      </c>
      <c r="J5743">
        <f>HYPERLINK("https://www.weblio.jp/content/手ごたえ", "词义详情")</f>
        <v/>
      </c>
      <c r="K5743">
        <f>HYPERLINK("https://yourei.jp/手ごたえ", "查看例句")</f>
        <v/>
      </c>
    </row>
    <row r="5744">
      <c r="A5744" t="inlineStr">
        <is>
          <t>凸凹</t>
        </is>
      </c>
      <c r="B5744" t="inlineStr">
        <is>
          <t>成功</t>
        </is>
      </c>
      <c r="C5744" t="inlineStr">
        <is>
          <t>読み方：だくぼく
道などが平坦でなく凹凸(おうとつ)のあること。でこぼこ。
「胸はだくだく—の坂の下へと別れける」〈浄・丹波与作〉</t>
        </is>
      </c>
      <c r="D5744" t="inlineStr">
        <is>
          <t>凸凹コンビ(7%)；凸凹道(4%)；凸凹ロマンス；凸凹だらけ；凸凹フランケンシュタイン</t>
        </is>
      </c>
      <c r="E5744" t="inlineStr">
        <is>
          <t>荒い；斑；不規則；変則；反則</t>
        </is>
      </c>
      <c r="H5744" t="n">
        <v>29</v>
      </c>
      <c r="I5744" t="inlineStr">
        <is>
          <t>かつて副都心と呼ばれた地区の森が凸凹して見えるのはビルの形のせいだ。；非常に凸凹しているので、自分の顔はこんなにおかしい顔かなあと思った。；対象となるのが二人である場合、凸凹コンビといった表現が用いられる。；左右の家の内部に注意しつつ、ゆっくりと人気のない凸凹の道を下りて行った。；そこは畳の凸凹した、昼でも日の光の通わないような薄暗い八畳であった。；路の凸凹がはげしいので、車は波を打つようにしてガタガタ動いていく。；そして、路の凸凹したところに来るごとに二人は上に飛び上った。；直線に続く石垣の影は、揺れ動いて凸凹の激しい峰の影のように見える。；通りは軌道式があるどころか、車でさえ難儀するほど道路が凸凹していた。；成績は多少の凸凹があるが、はっきりおくれた一人がまだ産まれていない。；傷の痛みをこらえながら凸凹の石ころ道を揺られて行かなくてはならない。；この上親父の凸凹頭を撲ってやったら何んなに好い気持がするだろう。；情けない気持で凸凹のカブトのような頭のまま、東京のある会に出た。；上りだけならこのくらいな事はそう骨は折れないんだが、路が何だか凸凹する。；古くなって石の位置が動いたためか、段の方々には凸凹があった。；男に抱えられるようにしてアパートの外の凸凹道を歩く。；此方へ来るのかな、あそこのところは凸凹の坂道だから手間がとれるぞ。；巨大な車輪が凸凹の地面を転がるのに応じて、戦車は狂ったように揺れた。；どのような仕掛けか、凸凹の大地を走っても、微細な上下動も見せない。；この凸凹の多い「難所」に線路を敷くのは大変だったろうと察せられる。；顔の凸凹に腫れ上がっているのも、その時の棒傷であったらしい。；凸凹だらけの岩を越えると、その船がいきなり眼の前に浮んでいた。；一キロぐらいは凸凹道で、射程外に出るまで照明はつけられません。；色がちがっている上に、凸凹カブトのような頭では一目で見ぬけたそうで。；氷の上は凸凹きはまりなく、海面の見える裂け目があちこちにあります。；凸凹カブトをかぶったような頭に拙者が早変りをしたのであるから。；しばらく凸凹のはげしい道で、海の中に大小の岩がなだれこんでいた。；三回目の「凸凹」のすんだのが七時すぎ、もう身体があいてしまった。；まるで一枚板のような、ほとんど凸凹のない黒い崖である。</t>
        </is>
      </c>
      <c r="J5744">
        <f>HYPERLINK("https://www.weblio.jp/content/凸凹", "词义详情")</f>
        <v/>
      </c>
      <c r="K5744">
        <f>HYPERLINK("https://yourei.jp/凸凹", "查看例句")</f>
        <v/>
      </c>
    </row>
    <row r="5745">
      <c r="A5745" t="inlineStr">
        <is>
          <t>手頃</t>
        </is>
      </c>
      <c r="B5745" t="inlineStr">
        <is>
          <t>成功</t>
        </is>
      </c>
      <c r="C5745" t="inlineStr">
        <is>
          <t>読み方：てごろ
［形動］［文］［ナリ］
１大きさ・重さなどが、手に持つのにちょうどよいさま。取り扱いに便利なさま。「—な厚さの辞書」
２能力・経済力や望む条件などにふさわしいさま。「—な仕事」「—な値段」
[派生]てごろさ［名］</t>
        </is>
      </c>
      <c r="D5745" t="inlineStr">
        <is>
          <t>手頃な価格(12%)；手頃な大き(3%)；手頃な値段(3%)；手頃な石；手頃なサイズ</t>
        </is>
      </c>
      <c r="E5745" t="inlineStr">
        <is>
          <t>適当；適切；ふさわしい；正当；相応</t>
        </is>
      </c>
      <c r="F5745" t="inlineStr">
        <is>
          <t>手頃な枝；手頃な物件；手頃な住居</t>
        </is>
      </c>
      <c r="H5745" t="n">
        <v>29</v>
      </c>
      <c r="I5745" t="inlineStr">
        <is>
          <t>そうして手頃な花物を二鉢買って、夫婦して一つずつ持って帰って来た。；後楽園の競輪場は廃止されていたし、自宅の近所に手頃な練習場もない。；つぎのラウンドで牛は扱いやすい手頃な状態になって向かってくるだろう。；自宅を出てぐるりと一周して二、三キロ、散歩には手頃な距離にあった。；不意打に武器を用うるは卑怯だといふものがあつて各手頃の棒を用意する。；そう思ったものだから、私は人に頼んで手頃な家を捜して貰うことにした。；杖にするのに手頃な枝を取るため、身長の何倍もの高さを登っていたのである。；そうして二十人に一本ずつくらいの割合で手頃な旗を押し立てている。；手頃なマンションがありましたので、一週間前に引っ越してきました。；とにかくグライムズのポケットナイフには手頃なネジ回しがついていた。；なども、手頃な価格で強力な防御能力を発揮できるトミーガンを用いていた。；外国の商人が、一時的に借りるのに、ちょうど手頃な家といえるだろう。；手頃の乾児を二三人連れて行くとしたら、一体誰を連れて行こう。；このあたりの手頃なマンションの中ではよく頑張っているほうだ。；もし手頃な資料などがあればそれも一緒に教えてください。；その結果、買いやすい手頃な価格の商品をつくるべきだと結論した。；実戦慣れするために、手頃な相手を見つけては切りかかっていったものだ。；「手頃の育て方をして置くものだ」 と、これは口に出していった。；棒の代わりに手頃な枝が使われることもしばしばあった。；「もった」は電柱などのしっかりとした手頃な柱を中心にして二人以上で行う。；手頃な大きさの氷に塩を混ぜてバケツの中に入れると、冷却効果が生じる。；翌日に残ることのないという島産の泡盛は手頃に体を暖め心持良かった。；実は、手頃な口が一つあったのだが、さっき、決めてしまったんだ。；わたしは、神々がもっと手頃な方を選ばれるべきだったと思わずにいられませんよ。；そうはっきりと分れば、私は他にもっと手頃な仕事を考えてみればよいのであった。；実に簡単、手頃なので、ひと夏に何回かは思い出して作っている。；家具はついているし、値段も手頃だし、部屋も小さいけど三つあるんです。；他にも最安値でお手頃に買える女性向けの製品にも力を入れているらしい。；その野菜の中から、彼は一番手頃なもの、つまりキャベツを選びました。</t>
        </is>
      </c>
      <c r="J5745">
        <f>HYPERLINK("https://www.weblio.jp/content/手頃", "词义详情")</f>
        <v/>
      </c>
      <c r="K5745">
        <f>HYPERLINK("https://yourei.jp/手頃", "查看例句")</f>
        <v/>
      </c>
    </row>
    <row r="5746">
      <c r="A5746" t="inlineStr">
        <is>
          <t>手強い</t>
        </is>
      </c>
      <c r="B5746" t="inlineStr">
        <is>
          <t>成功</t>
        </is>
      </c>
      <c r="C5746" t="inlineStr">
        <is>
          <t>読み方：てごわい
［形］［文］てごは・し［ク］なかなか強くて油断できない。「—・い対戦相手」「敵は見かけによらず—・い」
[派生]てごわさ［名］</t>
        </is>
      </c>
      <c r="D5746" t="inlineStr">
        <is>
          <t>手強い相手(17%)；手強い敵(7%)；手強いもの(3%)；手強い奴(2%)；手強いやつ</t>
        </is>
      </c>
      <c r="E5746" t="inlineStr">
        <is>
          <t>強い；困難；複雑；苦しい；固い</t>
        </is>
      </c>
      <c r="F5746" t="inlineStr">
        <is>
          <t>最も手強い；かなり手強い；もっとも手強い；もっと手強い；より手強い</t>
        </is>
      </c>
      <c r="H5746" t="n">
        <v>29</v>
      </c>
      <c r="I5746" t="inlineStr">
        <is>
          <t>それがこれほどに手強い相手とは、彼らの予想の域を大きく越えていた。；動きも鈍いので、慣れさえすれば武装した少年にも手強い相手ではない。；見たところ、彼らはこれまで遭遇した中で最も手強く危険な戦士だった。；相手は、私が思っていた以上に・・・・はるかに・・・・手強かった。；おれたちが手強い客であることの証拠はたっぷり見せつけられたはずだ。；最後に戦いはじめた騎士は手強く、二時間たっても勝負がつきません。；相手はまだ若い男で、〝リリー〟の意外な手強さに仰天しているようだ。；信仰というのは、わたしが思っていた以上に手強いものなんですね。；だが、木原は雅子にこれまでのいかなる敵よりも手強さを感じていた。；まるで相手の手強さを意識したかのような警戒心がある。；そして逃げた手強い方のもう一人もまた深傷を受けていることはたしかであった。；もしも高校生の息子もこれに参加していれば、かなり手強い敵になる。；それよりこちらが手強いことを思い知らせて、放してやった方が楽だ。；そこにいる連中はフランス一の手強い猛者ぞろいだと聞かされていた。；自分たちと戦ったときの手強さが嘘のように、あっさりと勝負はついてしまった。；少しも手強い抵抗もせずに、僕は巨大な体躯をした二人の紳士の間へ割りこんだ。；どうやら、やっと、自分が相手にしているものの手強さが判ってきたようだ。；まだ若いにもかかわらず手強い刑事であることが、綿谷にはその一言でわかった。；金庫室のドアはもっと手強そうだったが、やってみるとこいつが一番簡単だった。；歌みたいな感覚で記述されてるのが一番手強いかな。；あんな手強い相手が絡んでくる可能性を知っていればもっと他に作戦の立てようもあったんです。；彩乃ちゃんもトマトを食べようとしたけれど、その一切れは手強かった。；ともかく、山にかかったとッつきの胸突き八丁、これは手強いの感を与えた。；兵馬が何とつかずに言ったことが、お君の胸には手強い響きを与えたもののようであります。；相手のご令嬢は気が強そうだから、なかなか手強いかもしれない。；あたしの見たところ、砂漠の奴、前より手強くなっているようだよ。；組織を解体するのは手強いですが、再編して動き出した組織は意志を持ちます。；私はもっと手強い相手と勝手にきめこみ、それだけの覚悟はきめていたのに。；だがおれ一人の力では少し手強いかもしれぬよ。</t>
        </is>
      </c>
      <c r="J5746">
        <f>HYPERLINK("https://www.weblio.jp/content/手強い", "词义详情")</f>
        <v/>
      </c>
      <c r="K5746">
        <f>HYPERLINK("https://yourei.jp/手強い", "查看例句")</f>
        <v/>
      </c>
    </row>
    <row r="5747">
      <c r="A5747" t="inlineStr">
        <is>
          <t>手触り</t>
        </is>
      </c>
      <c r="B5747" t="inlineStr">
        <is>
          <t>成功</t>
        </is>
      </c>
      <c r="C5747" t="inlineStr">
        <is>
          <t>読み方：てざわり
１手でさわったときの感じ。手に受ける感触。「柔らかい—の服地」
２そのものから直接受ける感じ。
「いつになく—のあらい言葉を使う」〈漱石・吾輩は猫である〉</t>
        </is>
      </c>
      <c r="D5747" t="inlineStr">
        <is>
          <t>手触り感</t>
        </is>
      </c>
      <c r="E5747" t="inlineStr">
        <is>
          <t>感触；タッチ；手ごたえ；触り；手当たり</t>
        </is>
      </c>
      <c r="F5747" t="inlineStr">
        <is>
          <t>確かな手触り；冷たい手触り；堅い手触り</t>
        </is>
      </c>
      <c r="H5747" t="n">
        <v>29</v>
      </c>
      <c r="I5747" t="inlineStr">
        <is>
          <t>鞘と柄に鎖か何かが溶接されているとしか思えない手触りだったからだ。；手触りや質感を大きく左右するので、さまざまなものが使用されている。；そして地面の手触りで自分が玄関の土間にいるのではないと気づいた。；あの飛翔のとき訪れた奇跡の時間の手触りが、再びあたしの心を捉えた。；一口に松茸と言っても、形や色、匂いや手触りが一本一本違うのである。；現在発行中の日本の硬貨6種類を手触りだけで判別する方法は次の通り。；ガラスのような手触りで、どこか目を思わせる作りになっている。；それは、物自体の持っているしっかりした手触りで、心に触れてきた。；体温もあれば手触りもある、現実な女の子の身体がそこにはあった。；その場で着てみたが、軽くて手触りが違い、春の日向のように暖かかった。；背中でこれなら、ほかの場所の手触りはどんなふうなんだろう。；手触りはガラスのように滑らかで冷たく、爪で弾くと硬そうな音がする。；我子の愛に満ちた声を待ち、優さしい手触りに餓えて居るであろう。；彼にはそれが春の夜がする手触りのように思われた。；太陽の熱を含んだ和紙の手触りは、苛立つ美希の気持ちを鎮めてくれた。；枯れた枝のような手触りの小さな手を握ったとたん、愛しさでいっぱいになった。；それは植物繊維というより、むしろ動物の毛で織られた手触りだった。；見たこともないはずの酸素ボンベの形や、重みや、手触りが浮かんできた。；大きな軍馬は首を下げ、少女はビロードのような手触りの鼻面を撫でた。；父の入った棺桶を手で触ると木の手触りがして、この中に入っているのかと思った。；まれにエナメル製の弦も用いられるが、手触りの悪さから一般的ではない。；素材そのものは手触りや質感を大きく左右するので、様々なものが使用されている。；茎には、下向きに棘のある毛が生えており、そのため粗い手触りである。；晃子は、腰の後ろへ手をやって、固く、冷たい拳銃の手触りを確かめた。；首が離れたあとの切り口は相変わらず濡れた唇のような手触りだ。；コートはスムースコートで、なめらかな手触りであるといわれている。；色が違うだけで、他のところと手触りはなにも変わらない。；飾り気の少ない、けれど手触りのよさそうな生地で織られた青いドレス。；その手触りを感じた瞬間、ぼくの胸は石のようになった。</t>
        </is>
      </c>
      <c r="J5747">
        <f>HYPERLINK("https://www.weblio.jp/content/手触り", "词义详情")</f>
        <v/>
      </c>
      <c r="K5747">
        <f>HYPERLINK("https://yourei.jp/手触り", "查看例句")</f>
        <v/>
      </c>
    </row>
    <row r="5748">
      <c r="A5748" t="inlineStr">
        <is>
          <t>弟子</t>
        </is>
      </c>
      <c r="B5748" t="inlineStr">
        <is>
          <t>成功</t>
        </is>
      </c>
      <c r="C5748" t="inlineStr">
        <is>
          <t>読み方：おとご
１末っ子。おと。
「—なる女童(めのわらは)」〈今昔・一六・一五〉
２「乙子月(おとごづき)」の略。</t>
        </is>
      </c>
      <c r="D5748" t="inlineStr">
        <is>
          <t>弟子たち(10%)；弟子入り(6%)；弟子達；弟子さん；弟子筋</t>
        </is>
      </c>
      <c r="E5748" t="inlineStr">
        <is>
          <t>門人；見習い；門弟；使徒；門下生</t>
        </is>
      </c>
      <c r="F5748" t="inlineStr">
        <is>
          <t>一番弟子；若い弟子；御弟子；主な弟子；著名な弟子</t>
        </is>
      </c>
      <c r="G5748" t="inlineStr">
        <is>
          <t>弟子屈町；弟子丸；弟子入；弟子丸泰仙；弟子いり</t>
        </is>
      </c>
      <c r="H5748" t="n">
        <v>29</v>
      </c>
      <c r="I5748" t="inlineStr">
        <is>
          <t>彼はディオゲネスの弟子だと言われているが、これもまた不確実である。；復活したイエス・キリストが弟子達の前に現れている場面が描かれている。；バッハのチェンバロ協奏曲は弟子の指導用に書かれたと考えられている。；本人へのインタビューによると全世界で3千人の弟子を教えたという。；インガーソルはそこで弁護士に弟子入りし、一人で住むようになった。；それにより教徒たちはグル・ナーナクの弟子であることを表明している。；師匠に弟子入りして屋号と芸名が命名されて初めて付き人を卒業していた。；最初は銀細工師の弟子として働いたが、父の死去前後に版画家になった。；このとき同じく弟子だったザノビ・ストロッツィも同行したと考えられている。；授与された者は最新の弟子として阿弥陀如来と結縁することを意味する。；その代わりにヨハネ福音書では夕食の時、弟子たちの足をイエスが洗う。；董仲舒がある日帳を下ろして弟子に講義をしていると一人の客が訪ねてきた。；また、他の弟子たちにイエスの復活を告げ知らせるようにと言われた。；インド脱出同様、同行する側近以外の弟子たちには何も知らされなかった。；弟子は大名家の家臣やその子弟が多く、中には旗本や御家人も存在した。；その後は弟子や昔の友人と団欒をし、同年12月10日に自宅で死去する。；残された目録等から細川氏家臣に弟子が多かったと考えられている。；ハンス・フォン・ビューローをはじめとする多くの弟子を育成した。；後にハースの意志を継いだ弟子たちの手によってエーザー版が出版された。；そしてその後、彼の弟子たちが広くゲルマン系諸民族に布教して行った。；米国は日本を開国させた後、日本を新参の弟子かのように指導した。；晩年は筆力の衰えを隠せず、弟子に代作させることもしばしばであった。；トマスは著作を自ら筆記せず、口述したものを弟子たちに書き取らせた。；白川静は孔子の弟子の顔回の流れを汲むのではないかと推定している。；紀元前518年には、孔子がはじめて弟子をとった記録が残っている。；ワイルズは優れた指導者であり、以下に代表する多くの優秀な弟子を育てている。；なお、他一門に移籍した者の弟子は各移籍先の弟子一覧を参照。；なお、アメコミ版の設定では父娘ともに元の弟子とされている。；また礼自身は、青島幸男の弟子でもあったことはあまり知られていない事実である。</t>
        </is>
      </c>
      <c r="J5748">
        <f>HYPERLINK("https://www.weblio.jp/content/弟子", "词义详情")</f>
        <v/>
      </c>
      <c r="K5748">
        <f>HYPERLINK("https://yourei.jp/弟子", "查看例句")</f>
        <v/>
      </c>
    </row>
    <row r="5749">
      <c r="A5749" t="inlineStr">
        <is>
          <t>デジカメ</t>
        </is>
      </c>
      <c r="B5749" t="inlineStr">
        <is>
          <t>成功</t>
        </is>
      </c>
      <c r="C5749" t="inlineStr">
        <is>
          <t>「デジタルカメラ」の商標名。
[補説]商標名であるが、デジタルカメラの総称として用いることは許されている。</t>
        </is>
      </c>
      <c r="D5749" t="inlineStr">
        <is>
          <t>デジカメ写真(4%)；デジカメ市場；デジカメ撮影</t>
        </is>
      </c>
      <c r="E5749" t="inlineStr">
        <is>
          <t>デジタルカメラ</t>
        </is>
      </c>
      <c r="H5749" t="n">
        <v>29</v>
      </c>
      <c r="I5749" t="inlineStr">
        <is>
          <t>しかし、よく見れば携帯電話のデジカメで祭りを撮影している人がいる。；自分でデジカメを始末したら足がついてしまうとでも思ったのでしょうか。；早知子に撮影係を依頼してあるが、梨央は自分用にデジカメを用意した。；唯一の手がかりは、彼女が持っていたデジカメに写っていた桜の枝の写真。；おれはシャッター音を最小に設定したデジカメの撮影ボタンを押した。；その中からデジカメを取り出し、それを片手で操作しながら言う。；デジカメの中にはメモリーカードが残されており、リーはその写真を見る。；Nがデジカメの操作に手間取っていると、奇妙な言語が聞こえてくる。；おれはしかたなく、デジカメで撮った写真を添付ファイルにして送った。；目に焼き付けたうえで、さらにデジカメに映像を収めないと気が済まない。；急に買ったばかりのデジカメや昨日乗ったタクシー代がもったいなく思えた。；もちろんデジカメじゃないし、オートフォーカスさえもついていない。；カメラは持っていないが、携帯電話にはデジカメ機能がある。；デジカメの画像を全部見たのは奥田以外で僕だけでしょう。；デジカメを持っていくと、お店でプリントしてくれるんですよ?；彼が上がってきたので、私はデジカメの液晶画面に撮り終わった画像を出してみた。；そして確認してみると、やっぱりデジカメは特に念入りに壊されているようだ。；俺は、デジカメという文明の利器をこの瞬間ほど欲しいと思ったことは無かった。；気になるところはデジカメで撮影していた。；デジタルカメラで撮影した写真の印刷を行うデジカメ専用のプリンターも登場している。；デジカメあたりの記憶媒体に似ているが、見たことのない規格だ。；そんなことも考えて、デジカメとかデジタルビデオカメラまで買っていたわけですね。；手帳サイズのデジカメを構えているのは彼女の方だ。；デジカメの写真を見せつつ、真実を語って聞かせた。；正式にはデジカメの画像を印刷したもの。；さらには大分県下の小学校にデジカメを無料で配布するなどの慈善活動も行っている。；カメラ、デジカメ各板と違いカメラの性能だけの話はできない、文字通り写真だけを語る板。；デジカメで彼の顔を撮影しておいて。；デジカメなので、写した映像を確認しているのだろうか。</t>
        </is>
      </c>
      <c r="J5749">
        <f>HYPERLINK("https://www.weblio.jp/content/デジカメ", "词义详情")</f>
        <v/>
      </c>
      <c r="K5749">
        <f>HYPERLINK("https://yourei.jp/デジカメ", "查看例句")</f>
        <v/>
      </c>
    </row>
    <row r="5750">
      <c r="A5750" t="inlineStr">
        <is>
          <t>手品</t>
        </is>
      </c>
      <c r="B5750" t="inlineStr">
        <is>
          <t>成功</t>
        </is>
      </c>
      <c r="C5750" t="inlineStr">
        <is>
          <t>読み方：てじな
１巧みな手さばきで、人の目をくらまし、不思議なことをしてみせる芸。奇術。「—の種あかし」
２人の目を別にそらして人をあざむくための手段や方法のたとえ。マジック。トリック。まやかし。「言葉の—を使ってだます」
３手並み。腕前。
「ただ君と我とがおのおの—を知らんとなり」〈今昔・二五・三〉
４手つき。手振り。
「拳(けん)の—の手もたゆく」〈浄・冥途の飛脚〉</t>
        </is>
      </c>
      <c r="D5750" t="inlineStr">
        <is>
          <t>手品使い(3%)；手品師(3%)；手品みたい；手品のたね；手品好き</t>
        </is>
      </c>
      <c r="E5750" t="inlineStr">
        <is>
          <t>魔術；トリック；マジック；奇術；幻術</t>
        </is>
      </c>
      <c r="F5750" t="inlineStr">
        <is>
          <t>西洋手品；そんな手品；ちょっとした手品；トランプ手品；簡単な手品</t>
        </is>
      </c>
      <c r="G5750" t="inlineStr">
        <is>
          <t>手品先輩</t>
        </is>
      </c>
      <c r="H5750" t="n">
        <v>29</v>
      </c>
      <c r="I5750" t="inlineStr">
        <is>
          <t>しかし実際にそれをやったのだから、今にして思うと手品みたいである。；アメリカではそれより手品や実験の方が、少年達に人気があるようです。；彼女のこのちょっとした手品を彼が発見するときの光景を想像してみた。；だがこれは手品でもできることだから私は皆さまに信用しろと言わない。；手品だって、あたしたちに披露してくれるかと言えばそんなことはない。；だけど、この手品は手巾が花に変ったりするような簡単なものではない。；アメリカに渡ったもののただの手品で求めるイリュージョンはなかった。；何も手品のように犯人を取り出してみせると言っているのじゃないよ。；そこで手を右のポッケットに入れて手品に使う白い球を三つ撮み出した。；高橋さんが、何か手品でもつかっているのではないかと思ったほどです。；この屋敷に入る時と同じように、あの手品の箱の中にビートが隠れていて。；まるで手品か何かのように、オティヌスの手には一本の『槍』があった。；国王の存命中にそんな手品ができるものなら、やってみせてもらおうか。；いろんな答えをしぼり出すのだが、手品の種を仕込む作業のようなもの。；アメリカではそれより手品や實驗の方が、少年達に人氣があるやうです。；わたしがパニックしているのを、手品に失敗したためと思ったらしい。；だが私は、お前さんよりもっと不思議な手品を使う人の話を聞いたことがある。；即席バンドが大体を占めるのだが、稀に漫才や手品等をする生徒もいる。；まるで手品か何かのように、映画館の入口に、赤い制服の列が広がっていた。；男が手品みたいに消えた部屋に、大蒜の匂いが、うっすらと残っていた。；二人を結ぶ手品の糸のようなものが、存在するからではないのか。；ここにオカルティズムと手品との境界線が引かれるのではないかと思う。；手品以前のその人の存在が受け入れられるようになったんです。；手品好きのクアーティをいい気分にしてやること、これが大切だからな。；そして町の広場にむしろをひろげて、いろんな手品をして見せました。；手品を見るようなその鮮やかさに、級友たちはすっかり圧倒されていた。；空襲と終戦のどさくさを利用して、この手品は見事に成功を収めました。；最後の練習もしないなんて、手品のことなんてどうでもいいみたいじゃないか。；しかし、彼にしてみれば何も手品が見せたくて、好きでやっているのではない。</t>
        </is>
      </c>
      <c r="J5750">
        <f>HYPERLINK("https://www.weblio.jp/content/手品", "词义详情")</f>
        <v/>
      </c>
      <c r="K5750">
        <f>HYPERLINK("https://yourei.jp/手品", "查看例句")</f>
        <v/>
      </c>
    </row>
    <row r="5751">
      <c r="A5751" t="inlineStr">
        <is>
          <t>手順</t>
        </is>
      </c>
      <c r="B5751" t="inlineStr">
        <is>
          <t>成功</t>
        </is>
      </c>
      <c r="C5751" t="inlineStr">
        <is>
          <t>読み方：てじゅん
１物事をする順序。段取り。「—を踏む」「—よく運ぶ」
２囲碁・将棋で、着手の順序。また、相手の動きに対する当然の応手。</t>
        </is>
      </c>
      <c r="D5751" t="inlineStr">
        <is>
          <t>手順通り；手順よく；手順を踏む必要；手順どおり；手順を踏まなけれ</t>
        </is>
      </c>
      <c r="E5751" t="inlineStr">
        <is>
          <t>流れ；作業；過程；経過；次第</t>
        </is>
      </c>
      <c r="F5751" t="inlineStr">
        <is>
          <t>作業手順；操作手順；正しい手順；複雑な手順；標準的な手順</t>
        </is>
      </c>
      <c r="G5751" t="inlineStr">
        <is>
          <t>手順前後</t>
        </is>
      </c>
      <c r="H5751" t="n">
        <v>29</v>
      </c>
      <c r="I5751" t="inlineStr">
        <is>
          <t>単にユーザーが何かをソフトウェアにさせる際の手順を示すだけである。；衛星をこの軌道に投入する際には次のような手順をとるのが普通である。；起家の決定方法はさまざまであるが、一般的には次のような手順による。；ドイツのビアガーデンでの料理、ビールの注文手順の一例を以下に示す。；の分布を知るために、確率空間 からへの移行と同じ手順を利用できる。；したがって、そのような状況に備えた手順や訓練は用意されなかった。；この手順は体の算術を単純化し、問題を局所的に研究できるようになる。；正しい手順では次のように階段状に高度を下げて着陸することになっていた。；手順も様々で、中には冗談とも思えるバカバカしい様な方法も存在した。；手順に関しては様々な表記があるが、現在一般的なのは下記の通りである。；相手に持ち駒が何枚あっても自玉が即詰みとなる手順が存在しない状態。；このような体系では、1つのデータを探す手順は1通りしか存在しない。；この時の手順は互角の分かれとなり、現代においても定石とされている。；送信されたデータから復号を行う場合の処理は以下の手順で行われる。；一般によくいわれる、有職人形はこのような製作手順がとられている。；いま旅行の手順の時間については地球にいる人からみた計画で行われるとする。；科学者が常に従っているような決まった一連の手順などというものは無い。；この一連の手順はラグランジュの未定乗数法を用いることで実現できる。；手揉みには茶の産地毎に数多くの流派がありそれぞれ製茶手順が異なる。；アルゴリズムはその結果の計算の具体的な手順を与えるものである。；このため、手順見直し実施後は着順の確定に時間を要することとなった。；ここでは一般的に理科の教材などで使用されている手順にそって記述する。；エオシンはグラム染色の対比染色や他の多くの手順にも使う事ができる。；そのため本文には一般的な手順のみ紹介し主な変化手順はここにまとめる。；主に以下の手順で作戦を行うが、必要に応じて繰り返すことになる。；このためコンストラクタの実行手順といったものは原理的に存在しない。；このミームは一部の例外を除いて完全に正確な手順が伝播していく。；実際には、診断手順には複数の方法の構成要素が含まれることがある。；やや面倒ではあるが、安全に取り扱う為には必要不可欠な手順である。</t>
        </is>
      </c>
      <c r="J5751">
        <f>HYPERLINK("https://www.weblio.jp/content/手順", "词义详情")</f>
        <v/>
      </c>
      <c r="K5751">
        <f>HYPERLINK("https://yourei.jp/手順", "查看例句")</f>
        <v/>
      </c>
    </row>
    <row r="5752">
      <c r="A5752" t="inlineStr">
        <is>
          <t>手錠</t>
        </is>
      </c>
      <c r="B5752" t="inlineStr">
        <is>
          <t>成功</t>
        </is>
      </c>
      <c r="C5752" t="inlineStr">
        <is>
          <t>読み方：てじょう
１罪人などの手首にはめて錠をおろし、手の自由を奪い、自損行為や逃走を防止するための鉄製の腕輪。てぐさり。「—を掛ける」
２（手鎖）江戸時代、庶民に科した刑罰の一。罪の軽重によって30日・50日・100日の別があり、この期間手鎖をはめられていた。てぐさり。</t>
        </is>
      </c>
      <c r="D5752" t="inlineStr">
        <is>
          <t>手錠をかけられ(11%)；手錠をはめられ(6%)；手錠を掛けられ；手錠ぬけ；手錠をはずさ</t>
        </is>
      </c>
      <c r="F5752" t="inlineStr">
        <is>
          <t>革手錠；電磁手錠；後ろ手錠；皮手錠；すばやく手錠</t>
        </is>
      </c>
      <c r="G5752" t="inlineStr">
        <is>
          <t>手錠をかけろ；手錠のままの脱獄</t>
        </is>
      </c>
      <c r="H5752" t="n">
        <v>29</v>
      </c>
      <c r="I5752" t="inlineStr">
        <is>
          <t>明らかに自殺を防ぐため、彼女はまだうしろ手に手錠をかけられている。；犯人逮捕に貢献しながら手錠を打たれそうになったのが結構不満らしい。；右手に手錠がはめられているのでその腕を枕代わりにするしかなかった。；遠隔解錠された手錠が床に落ちると同時に、女の声が闇の中に響き渡る。；目の前で手錠をうけられ、一番端の部屋より挨拶をされて廊下をゆかれた。；もっとも手錠をはめているのだから、出そうと云っても出る気遣はない。；一般に拳銃を携行しない場合でも警棒と手錠は着装していることが多い。；左右からパッと寄った同僚がすばやく彼の両手へ手錠をかけてしまった。；むろん張り込みをつづけていた警官にあっという間に手錠をかけられた。；手錠に腰縄を打たれているカウは、膝の上に両手をそろえて載せていた。；力を絞り出すようにしてクラリスは自らとレクターの腕に手錠をかけた。；前と後ろに入れたまま、首輪と手錠、それで街の中を歩かせるのですね。；手錠をかけられた手に数珠を持ちながら、両側に看視兵に挟まれて行く。；手錠は後手にかけられているから、その動きは二人の刑事に見えない。；相手にちょっとでもへんな挙動があれば、手錠をかませるつもりである。；自分の手にかける手錠を自分で磨くのだからこれ以上の皮肉はない。；半円心の部分に川を背にして手錠をかけられた数名の日本人と中国人がいた。；二人の前で屈み、浩太君の足に装飾されている手錠型の足枷に鍵を通す。；そして、何かの弾みで一線を越えたとたん、待ったなしに手錠がかかる。；岩崎は黙って彼のそばへより、手錠のかかっている左手の袖をまくった。；またロープ以外にも、拘束具や複数の手錠・足錠を使用することもある。；顔を他人にさらしながら、何日も手錠姿で連行されていったのである。；さっきいい忘れたけど発見時二人は手錠でつながっていたの。；だが手錠をかけられている憲兵は間もなく水流の中央に浮かび上がった。；それがこんな異国の教会で、手錠をかけられようとは思ってもみなかった。；そして、ひとりの刑事は手錠を持って、四十面相に近づいていくのです。；後ろ手に手錠をかけられている2人は、抱擁する代わりに顔を寄せ合う。；まったく無抵抗でいるのに、三人は、うしろ手に手錠をかけられてしまった。；どっさり手錠を用意して三人の部下と八人の憲兵を伴って出発した。</t>
        </is>
      </c>
      <c r="J5752">
        <f>HYPERLINK("https://www.weblio.jp/content/手錠", "词义详情")</f>
        <v/>
      </c>
      <c r="K5752">
        <f>HYPERLINK("https://yourei.jp/手錠", "查看例句")</f>
        <v/>
      </c>
    </row>
    <row r="5753">
      <c r="A5753" t="inlineStr">
        <is>
          <t>手数</t>
        </is>
      </c>
      <c r="B5753" t="inlineStr">
        <is>
          <t>成功</t>
        </is>
      </c>
      <c r="C5753" t="inlineStr">
        <is>
          <t>読み方：てかず
１「てすう（手数）1」に同じ。「—をかけた料理」
２「てすう（手数）2」に同じ。「お—ですが、よろしくお願いします」
３囲碁・将棋などで、ある手段を施すのに必要な着手の数。また攻め合いで、石を打ち上げるために詰めなければならない駄目の数。「—を読む」「白のほうが—が長い」
４ボクシングで、パンチを出す度数。「—は多いが有効打が少ない」</t>
        </is>
      </c>
      <c r="D5753" t="inlineStr">
        <is>
          <t>手数を省くため；手数将棋；手数をかけさせる；手数をはぶくため；手数をかけれ</t>
        </is>
      </c>
      <c r="E5753" t="inlineStr">
        <is>
          <t>困難；障害；故障；面倒；トラブル</t>
        </is>
      </c>
      <c r="F5753" t="inlineStr">
        <is>
          <t>御手数；短手数；こんな手数；最長手数；余計な手数</t>
        </is>
      </c>
      <c r="H5753" t="n">
        <v>29</v>
      </c>
      <c r="I5753" t="inlineStr">
        <is>
          <t>それだけの手数をかけて、何もぬすまないで帰ったとは考えられません。；手数がかかるね、片っ方に穴があいているが、これは小便をする穴かえ?；この手数は全く信仰からしたもので、それを私する者は決して無かった。；責任のいる記事には手数をかけず定石通りのことだけしかなさいませんね。；女郎になるのもこの位手数をかけぬとなれないから、昔は律義であった。；この手数は、お品がじぶんでも口にした彼女の苦労のことではない。；こう云う方法に従ったのは、単に手数を省こうとしたのではなかった。；手数が多くなれば、どこかでミスを犯してくれるかもしれないからである。；右矢倉のデメリットは、構築されるのに多くの手数が必要なことである。；しかしそれでも体内へ入って消化されるまでの手数はやっぱり同じ事だよ。；まさかあれほど手数のかかるたくらみをしようとは思っていなかったのよ。；立ち止まることによって相手に少しでも多くの手数を踏ませるのである。；それをいちいち手術していたら、ずいぶん時間と手数がかかるだろう。；これを可能にするために開拓地の初期には多くの手数を掛ける必要があった。；これも顎十郎の奉加につく一人で、このほうは叔父ほど手数がかからない。；それには、昨日ほど面倒な手数をかける必要もなかったのである。；彼はこの場合まだそれほどの手数を尽す必要がないと信じていた。；雨がふれば火縄は燃えず、そうでなくても極めて手数のかかるしろものだ。；何でもその通り、料理の時少しく手数をかけると胃腸は大手数を免れる。；お房の男が下手人ならそんな手数なことをせずに、お房を殺せるわけだ。；彼女は封を切る手数とほとんど同じ時間で、それを読み下す事ができた。；手紙を書いたやつが、そんな手数のかかることをするはずがない。；抵抗することもなければ、血も出ないし、全然手数がかからないからです。；相手の手数をなるべく多くし、相手の邪魔をしてミスを誘うのである。；相矢倉の一分野で、玉を囲うのに必要な手数を省略して手得を狙う作戦。；結局、手数をかけすぎてチャンスを逃すという形を何度も重ねてしまう。；どんなに悪くてもなるべく、敵に手数をかけさすべく奮闘すべきである。；これまでに打ってしまった手数が多くなればなるほど、その金額が増える。；「いやどうもとんだ御手数で」と主人は眼尻に皺を寄せながら礼を述べた。</t>
        </is>
      </c>
      <c r="J5753">
        <f>HYPERLINK("https://www.weblio.jp/content/手数", "词义详情")</f>
        <v/>
      </c>
      <c r="K5753">
        <f>HYPERLINK("https://yourei.jp/手数", "查看例句")</f>
        <v/>
      </c>
    </row>
    <row r="5754">
      <c r="A5754" t="inlineStr">
        <is>
          <t>手数料</t>
        </is>
      </c>
      <c r="B5754" t="inlineStr">
        <is>
          <t>成功</t>
        </is>
      </c>
      <c r="C5754" t="inlineStr">
        <is>
          <t>読み方：てすうりょう
１手数をかけたことに対する報酬として支払う金銭。「仲介業者に—を払う」
２国・地方公共団体などが、特定の者のために行う事務について徴収する料金。</t>
        </is>
      </c>
      <c r="D5754" t="inlineStr">
        <is>
          <t>手数料無料(4%)；手数料収入(2%)；手数料等；手数料なし；手数料体系</t>
        </is>
      </c>
      <c r="E5754" t="inlineStr">
        <is>
          <t>委員会；歩合；マージン；上前；口銭</t>
        </is>
      </c>
      <c r="F5754" t="inlineStr">
        <is>
          <t>発行手数料；無手数料；外手数料；取引手数料；事務手数料</t>
        </is>
      </c>
      <c r="H5754" t="n">
        <v>29</v>
      </c>
      <c r="I5754" t="inlineStr">
        <is>
          <t>出版社の中には、研究費が少ない研究者に手数料を免除する場合もある。；ファンクラブの会員の費用負担は、カード発行手数料を含めて生じない。；現在、AbeBooksで販売する場合の手数料等は以下の通りである。；なお、雨天等で試合中止となった際は無手数料で払い戻しを受けられる。；さらに、これまではカード発行時にかかっていた発行手数料が無料となった。；主に債券の発行会社から格付け手数料収入を得て、格付けを行っている。；馬を買う人の多くは馬喰に手数料を払って鑑定と価格交渉を依頼した。；無手数料パスポートには、特定の目的以外での使用を禁止する裏書きがある。；現在、新たに口座を通常に開設する場合には残高次第で維持手数料が必要。；更新期限内に更新すれば、その後も契約事務手数料は不要のままとなる。；手数料を避けるために一部の死去した奴隷の埋葬は公営埋葬地のすぐ南で行われていた。；手数料も政令電波法関係手数料令に規定しておらず認定施設者毎に異なる。；発行手数料は100円、期限は最終利用日から1年間有効となっている。；対象に差しつかえなければいかなる手数料であろうとも製作を承知してくれた。；不通などによらない任意の旅行中止の場合は、払い戻し手数料がかかる。；受益者がファンドを購入すると、販売した金融機関は購入手数料を得る。；手数料無料で非会員制という日本の留学業界では珍しい体系にて営業している。；他金融機関のカード利用時は所定の現金自動支払機利用手数料がかかる。；カードに残高が残っている場合は、最大220円の手数料が発生する。；基本的には規模の小さい銀行又は店舗数の少ない銀行は手数料の優遇を受ける事ができる。；解除にはクレジットカードでの認証と手数料30円が必要となっている。；無愛想な屠手は手数料を受け取るや、話一つせずさっさと帰って行った。；また一部の商品を除いて手数料も開示されておらず比較しづらい。；Epicの計算によると、ストアの手数料は利益を上げるのに十分であった。；予約の取り消しはその列車の出発前であれば320円の手数料で可能である。；その一方で、客には取引所で売買したことにして手数料や証拠金を徴収する。；また、地下鉄などの鉄道駅で購入する際は1ドルの手数料が加算される。；加えて手数料では無いが無リスク金利分も考慮する必要がある。；仲介を行っている企業は、契約の際の手数料を徴収することで利益を上げている。</t>
        </is>
      </c>
      <c r="J5754">
        <f>HYPERLINK("https://www.weblio.jp/content/手数料", "词义详情")</f>
        <v/>
      </c>
      <c r="K5754">
        <f>HYPERLINK("https://yourei.jp/手数料", "查看例句")</f>
        <v/>
      </c>
    </row>
    <row r="5755">
      <c r="A5755" t="inlineStr">
        <is>
          <t>ですから</t>
        </is>
      </c>
      <c r="B5755" t="inlineStr">
        <is>
          <t>成功</t>
        </is>
      </c>
      <c r="C5755" t="inlineStr">
        <is>
          <t>［接］《断定の助動詞「です」＋接続助詞「から」から》「だから」を丁寧にいう語。「9時に出社いたします。—9時以降なら何時でも結構です」</t>
        </is>
      </c>
      <c r="D5755" t="inlineStr">
        <is>
          <t>ですから私(3%)；ですからわたし；ですからあなた；ですから今；ですからあたし</t>
        </is>
      </c>
      <c r="E5755" t="inlineStr">
        <is>
          <t>そこで；だから；それで；なので；これにより</t>
        </is>
      </c>
      <c r="F5755" t="inlineStr">
        <is>
          <t>ですから皆さん；ですから妾；ですから貴方；ですからお願い；ですからなるべく</t>
        </is>
      </c>
      <c r="H5755" t="n">
        <v>29</v>
      </c>
      <c r="I5755" t="inlineStr">
        <is>
          <t>ですから、亡くなったとき姉ひとりだったことには間違いございません。；ですからあれは母牛の乳をまだ飲たがって鳴のでしょうと男等は云った。；これは、ですから九十から逆戻りして正しい番号へついているわけです。；ですから法案はなるべく秘密にすればするほどいいと考えておられます。；ですから私は事態がそうなったときにはそうするであろう決心をもっています。；ですからこの心眼を開けばこそ、私どもは、形のない形が見えるのです。；ですから私はあなたの弟子になつて、仙術の修業をしたいと思ふのです。；ですから私たち兄弟の誰も祖父の顔を見ていません、写真もないのですから。；ですから一冊いくらだと云うはっきりした掛合もしなかったわけです。；ですから僕は水には音あり、樹には声ある文章を書きたいとかせいでいる。；ですから、その緒になるやうなことは何も申上げないことにいたします。；ですから今私が考えている事は、ちょうど逆の理由から生まれて来たのです。；ですから、ドアが二重になっているなんて、だれも気がつかないのです。；ですから、比較的罪のない子供の意志を救ひたいと思ふほかはないのです。；ですから次の年はとうとう私たちは兄さんにも話して一緒にでかけたのです。；ですから、あの人が怪我で水に落ちたとは、どうしても思われません。；ですからもう御自分はどうでもよいという徹底した弱い心におなりなさい。；ですから小説の人間成長の点で堂々めぐりで、云ってやっても感じないの。；ですから、ここにほかの植物を茂らせるのは、たいへんなことでしょう。；ですから、結局は久保の工場に入れてもらう事になるかも知れません。；ですからその男がイングランドから逃げ出すのは、ほとんど不可能です。；ですから、この登場人物の一人一人に、具体的なモデルがあるわけです。；ですからたれひとり、もう木をふりかえって見るものはありませんでした。；ですから、踏みつけられても、私は遊びに行かずにはいられないのですよ。；ですから、そのうちのいくつかは、しぜんと皇帝の手にもはいりました。；ですから兵士は僅かでもそんなに多く内乱も起らずに治まって居るです。；ですから世間の噂をさけるために、故意と私は姿を消していたのです。；ですから落ち着きましたらこのお手紙の心のわかることがあるかもしれません。；ですから非常に暑くて、浴衣一枚すらも身体につけて居られない位でした。</t>
        </is>
      </c>
      <c r="J5755">
        <f>HYPERLINK("https://www.weblio.jp/content/ですから", "词义详情")</f>
        <v/>
      </c>
      <c r="K5755">
        <f>HYPERLINK("https://yourei.jp/ですから", "查看例句")</f>
        <v/>
      </c>
    </row>
    <row r="5756">
      <c r="A5756" t="inlineStr">
        <is>
          <t>でたらめ</t>
        </is>
      </c>
      <c r="B5756" t="inlineStr">
        <is>
          <t>成功</t>
        </is>
      </c>
      <c r="C5756" t="inlineStr">
        <is>
          <t>読み方：でたらめ
［名・形動］《さいころを振って、出たその目のままにする意》根拠がないこと。首尾一貫しないこと。いいかげんなこと。また、そのさまや、そのような言動。「—を言う」「—な（の）答えを教える」「数字を—に並べる」
[派生]でたらめさ［名］
[補説] 「出鱈目」は当て字。
[用法]でたらめ・いいかげん——「その男は平気で、でたらめな（いいかげんな）ことを言う」、「でたらめな（いいかげんな）生活ぶり」のように勝手放題の意では、相通じて用いられる。◇「でたらめ」は思いつくまま勝手なことを言ったりしたりすることであり、「Aさんをめぐる噂(うわさ)はでたらめだった」では「いいかげん」と置き換えられない。◇「いいかげん」は不徹底であったり投げやりで無責任であったりすることであり、「いいかげんな方法では解決できない」「いいかげんな態度をとる」などでは、「でたらめ」と言い換えられない。◇類似の語に「出まかせ」「めちゃくちゃ」「ちゃらんぽらん」がある。「出まかせ」は「口から出まかせを言う」のように勝手放題の意で、「めちゃくちゃ」は「めちゃくちゃな話」のように筋道の通らないの意で、「でたらめ」と相通じる。「ちゃらんぽらん」は無責任の意で、「いいかげん」と相通じる。</t>
        </is>
      </c>
      <c r="D5756" t="inlineStr">
        <is>
          <t>でたらめな話；でたらめじゃない；でたらめな生活；でたらめな方向；でたらめな想像</t>
        </is>
      </c>
      <c r="E5756" t="inlineStr">
        <is>
          <t>ごまかし；いい加減；詭弁；言いがかり；屁理屈</t>
        </is>
      </c>
      <c r="F5756" t="inlineStr">
        <is>
          <t>あんなでたらめ；一見でたらめ；こんなでたらめ；全部でたらめ；みんなでたらめ</t>
        </is>
      </c>
      <c r="G5756" t="inlineStr">
        <is>
          <t>でたらめヒーロー</t>
        </is>
      </c>
      <c r="H5756" t="n">
        <v>29</v>
      </c>
      <c r="I5756" t="inlineStr">
        <is>
          <t>しかしたぶん何も考えずに、ただでたらめに服を選んでいるだけだろう。；彼女の娘時代は、およそ想像のできる最もでたらめな生活を送ってきた。；その話がもしでたらめだったりすれば、もっと有名になっているはずだ。；現実ほどしっかりしてはいないけど、夢ほどでたらめじゃない世界なの。；こんなでたらめを続けて一体いつになったら薩英戦争が終わるのですか。；手のつけられない沈黙を埋めるためだけに、でたらめに注文を追加した。；つまり会社側により公表されていた決算数字はでたらめなものであった。；わたしは、そのでたらめな話にもかかわらず、つい興味を感じはじめた。；頭に浮かんではくるのだが、別の思考がでたらめに浮かんでくるのだ。；その同じ城久子がいまごろになって、そんなでたらめを言うはずがない。；そして、今わたしが世界に冠たると書いたのはでたらめでは決してない。；私がでたらめを言っているかどうかは、それでお前にもわかるだろう。；ともあれおれは次のような内容のつもりの返事をでたらめの英語で書いた。；お前さんにはっきり言っておくけど、お前さんはでたらめを言ってるんだ!；そうすれば、あたしの電話がでたらめでないことがよくわかりますわ。；これがでたらめな云い草だと思うならば、試みにやってみるもよかろう。；妊娠しているというのがでたらめだとしたら、そのうちにわかるだろう。；あとはでたらめに、いろいろな数に賭けてみたが、うまくいかなかった。；私は脚色の仕事をつづけながら、口から出まかせのでたらめの話をした。；でたらめに走っていたのに、条件反射のように通学路へと来てしまった。；あなたはでたらめな話をした後で、真実の訪問の目的に入りました。；その国の人が信じているんやから、でたらめな神さんとは思えんけどなあ。；しかし、なぜ彼女は夜遅く、わざわざそんなでたらめを告げに来たのか。；どうやら、文代の言っていたことは、まんざらでたらめでもないらしい。；このでたらめの原因が自分にあることを、彼は完全に失念しているらしい。；ひょっとすると、あっちこっちへでたらめに電話をかけたのかもしれん。；今までにでたらめを書きすぎたので、帰るに帰れなくなっちまったのよ。；話しているところを家族の人たちが聞いたら、でたらめな言葉だと思うだろう。；メグは、聞えないふりをしましたが、夫人のでたらめにはあきれました。</t>
        </is>
      </c>
      <c r="J5756">
        <f>HYPERLINK("https://www.weblio.jp/content/でたらめ", "词义详情")</f>
        <v/>
      </c>
      <c r="K5756">
        <f>HYPERLINK("https://yourei.jp/でたらめ", "查看例句")</f>
        <v/>
      </c>
    </row>
    <row r="5757">
      <c r="A5757" t="inlineStr">
        <is>
          <t>手近</t>
        </is>
      </c>
      <c r="B5757" t="inlineStr">
        <is>
          <t>成功</t>
        </is>
      </c>
      <c r="C5757" t="inlineStr">
        <is>
          <t>読み方：てぢか
［名・形動］
１手が届くほど近くにあること。すぐそばにあること。また、そのさま。「—な（の）本を手に取る」「—にある物で間に合わせる」⇔手遠。
２ありふれていて身近に感じられること。また、そのさま。「—な問題」</t>
        </is>
      </c>
      <c r="D5757" t="inlineStr">
        <is>
          <t>手近なところ(5%)；手近な椅子；手近な所；手近かなとこ；手近な木</t>
        </is>
      </c>
      <c r="E5757" t="inlineStr">
        <is>
          <t>近い；接近；近所；密接；身近</t>
        </is>
      </c>
      <c r="F5757" t="inlineStr">
        <is>
          <t>いちばん手近；手近なテーブル；あわてて手近；手近な喫茶店；手近なソファ</t>
        </is>
      </c>
      <c r="G5757" t="inlineStr">
        <is>
          <t>手近く；手近か；手近き</t>
        </is>
      </c>
      <c r="H5757" t="n">
        <v>29</v>
      </c>
      <c r="I5757" t="inlineStr">
        <is>
          <t>だから手近なものをつかんで仲間によく見えるようにまえに差し出した。；だが事実それはまだわれわれの手近かでそんなに発達しているわけではない。；しかしこんな事がこう手近にあろうとはほんとうに思いもよらなかった。；正介は闇の中に息を殺して、手近にあったカットグラスの花瓶を構えた。；余は極めて手近なる必要に応ぜんために至急新仮字の製造を望む者なり。；併し斥力は物質の最初にしても最も手近かな現象形式でなければならない。；手近なところで言うと、たとえばハワイなんてところが面白いだろうか。；声を出すだけでは足りず、手近かにあるものをグラウンドに投げ入れた。；真は自分のではない手近な自転車を一つ立て直してから、女生徒に言う。；泣くことは激しい情念の活動を感傷に変えるための手近かな手段である。；手近な字引きで引いたところではたったこれだけの意味しか書いてないのである。；しかし幸福な生活は国民一人一人が目指すべき手近な目標でありませう。；既にわたしは手近の棚に顔をむけ、わずかばかりの書物を調べていた。；さうして手近かな可能なところから始めようと思ひ立つたのである。；その際は嘉門のギターや手近にあった音のなるものが鳴り物となった。；そういう例は色々ある中にも最も手近なところで若干の食物が数えられる。；がその志望の実現を阻む障害が、手近なところにあるのではあるまいか。；けれど私は手近にある此の理想的な方法に気が付かなかったのです。；私の場合は一人で家にいるとき、手近に拳銃があるほうがずっと気が落着く。；大谷君も清水君も手近にいたけれど、僕一人が案内を受けたのだった。；こいつが床に横たわると、私はくるりと向きを変えて手近の机を背にした。；おれたちの何人かは、手近にあった武器をひろいあげて、戦いかえした。；寝室へ行って目覚ましを見るよりも、手近な人間に尋ねる方が自然だよ。；何かを手近の棚に載せてじっと眺めているような沈黙だった。；それは、殺人を遂行した後、手近かにあった材料で作られたものです。；蔭山が訪ねて来たと聞いた時点で、関連書類を手近に持ってきていたのだろう。；われわれは、手近にあるものを、偶然選ぶことで満足してはならないと思う。；しかし、当人は知らなかったが、腕を見せる機会が手近にあったのである。；かといって手近な教室に入ってしまえば、もう袋の鼠になってしまう。</t>
        </is>
      </c>
      <c r="J5757">
        <f>HYPERLINK("https://www.weblio.jp/content/手近", "词义详情")</f>
        <v/>
      </c>
      <c r="K5757">
        <f>HYPERLINK("https://yourei.jp/手近", "查看例句")</f>
        <v/>
      </c>
    </row>
    <row r="5758">
      <c r="A5758" t="inlineStr">
        <is>
          <t>手違い</t>
        </is>
      </c>
      <c r="B5758" t="inlineStr">
        <is>
          <t>成功</t>
        </is>
      </c>
      <c r="C5758" t="inlineStr">
        <is>
          <t>読み方：てちがい
１手順を間違えること。また、手配などを誤ること。「手続き上に—を生じる」「係の—で発送が遅れる」
２商売上のもくろみがはずれること。
「蝙蝠(こうもり)傘屋などをやりましたのも皆—になりますし」〈芥川・雛〉</t>
        </is>
      </c>
      <c r="D5758" t="inlineStr">
        <is>
          <t>失敗；間違い；間違え；挫折；過失</t>
        </is>
      </c>
      <c r="F5758" t="inlineStr">
        <is>
          <t>どんな手違い；何らかの手違い</t>
        </is>
      </c>
      <c r="H5758" t="n">
        <v>29</v>
      </c>
      <c r="I5758" t="inlineStr">
        <is>
          <t>そう思いながらも彼女はまた新しい手違いを生じてもいけないと思った。；それをちょっとした手違いで他の男に奪われてしまったのでございます。；しかし何の手違いか、新聞記事に書かれたような結果になったのである。；これがなかったら外へも出られねえし、何もかも手違いになる所だった。；手違いから大阪と江戸の興行に出演する羽目になってしまった為である。；そもそも手違いで、フランスの画商がロンドンへ持ってきたものだった。；目をきらきら輝かせたこの子に、手違いがあったなどとは言えっこない。；ところが何かの手ちがいでウィラード卿がその毒を受け取ってしまった。；これらは基本的に重なり合うことはないが、手違いが生じることもある。；それが組織の指令の手違いで142号室が割り当てられてしまったのだ。；江戸の役所の何かの事務の手違いで、名前が脱漏したのではあるまいか。；本当にそれだけのことだったのにちょっとした手違いが起こってしまった。；原画は決して悪くなかったのだが、印刷所の手ちがいでとか聞いている。；当日、その上級生の手違いで大津くんは別の出口でしーのを待っていた。；このような手違いや行き違いは各地であったのではないかと推測する。；実は昨日お渡ししたバルブの一部が、当方の手違いで間違っていまして。；杉浦も知らなかったらしいが、何か手違いがあるような気がしないでもない。；ただしこのことが、あとになってちょっとした手違いを生むことになる。；その晩、白鬚橋の襲撃は、余吾之介の方から言えば手違いだらけでした。；手違いから、破滅をもたらす最初の一発が発射されないことを祈りつつ。；このとき張り込みの刑事の間で連絡の手違いが生じ、現場包囲が二分遅れた。；どの段階で手ちがいがあったのか、使用した薬品が正常なものでなかった。；もし手違いがあったとき、おれのほうが犠牲としてはずっと軽いんだがなあ。；しかし、何かの手違いで、殺すことができなかったというのはどうですか?；それじゃこちらのほうになにが手ちがいがあったんでしょう。；ただし、手違いのために、三人扶持の身分が今日なお生きているのも事実。；手違いでそれが失敗したのは、世界にとって幸いと言うべきなのだ。；それが何かの手違いで前に書いた手紙を出してしまった。；何かの手違いで、どこか他の所へ紛れ込んだということも考えられる。</t>
        </is>
      </c>
      <c r="J5758">
        <f>HYPERLINK("https://www.weblio.jp/content/手違い", "词义详情")</f>
        <v/>
      </c>
      <c r="K5758">
        <f>HYPERLINK("https://yourei.jp/手違い", "查看例句")</f>
        <v/>
      </c>
    </row>
    <row r="5759">
      <c r="A5759" t="inlineStr">
        <is>
          <t>手帳</t>
        </is>
      </c>
      <c r="B5759" t="inlineStr">
        <is>
          <t>成功</t>
        </is>
      </c>
      <c r="C5759" t="inlineStr">
        <is>
          <t>読み方：てちょう
いつも手もとに置いて、心覚えのためにさまざまの事柄を記入する小形の帳面。「生徒—」「母子—」</t>
        </is>
      </c>
      <c r="D5759" t="inlineStr">
        <is>
          <t>手帳をとりだし；手帳型；手帳記載加算；手帳b</t>
        </is>
      </c>
      <c r="E5759" t="inlineStr">
        <is>
          <t>ノート；帳面；通帳；手帖；備忘録</t>
        </is>
      </c>
      <c r="F5759" t="inlineStr">
        <is>
          <t>黒い手帳；赤い手帳；小さい手帳；古い手帳；日雇手帳</t>
        </is>
      </c>
      <c r="H5759" t="n">
        <v>29</v>
      </c>
      <c r="I5759" t="inlineStr">
        <is>
          <t>府警は手帳が発見されたかどうかや男性警部の処分を公表していない。；このことから、手帳が更新されないままに長年使用され続けることも多い。；放射線管理区域内で作業をするにはこの手帳を所持している必要がある。；女の頭の傍に拡げたままの手帳が一冊はふられてあるのが目に入つた。；日本の市販手帳の多くには国内各都市の地下鉄路線図が掲載されている。；ランドリュの手帳に書いてあった符牒とは、つぎのようなものであった。；日記と目される手帳の一部にはたくさんの表が掲載されていた。；此の手帳さえなければ、そんな私はこの地上から永久に姿を消してしまう。；女の頭の傍に擴げたままの手帳が一册はふられてあるのが目に入つた。；左の手に手帳を持ち、短い鉛筆の先をなめては、文章の推敲をしていた。；この手帳さえなければ、そんな私はこの地上から永久に姿を消してしまう。；節子はこれを小さな手帳の中に書きつけて来て岸本の許に置いて行った。；彼女の持つターディス色の手帳にはドクターの未来が書き込まれている。；チーズが前におかれると、ポワロは、その手帳をテーブルの上においた。；しかし皮肉にも、この手帳を工員に発見されたことで逮捕に至ることになる。；教師は手に白墨と平素点を記入する手帳とを持って教室に入ってきました。；わたし達は子供たちが出して何か書いてくれという手帳に次のように書きました。；自殺前の女性の手帳には、助けを求める悲痛な叫びが記されていた。；手帳のサイズは、バイブルサイズと言われるものが最も一般的である。；しかしあの手帳以外の話は、すべて一つの方向を示していました。；少年はその手帳の最初数ページに、自分の処女作を丹念に書きしるした。；母親がつけていた昔の日記や手帳を調べた結果、3人の父親候補が見つかった。；そばにはきびきびした警部がひとり、立って何やら手帳に書きこんでいた。；手帳は手帖とも表記され、手の中に納まるような小さな記録本のこと。；民衆警察の人達の前には、身分証明の警官手帳などは何の権威もない。；その塊のなかには尋常ならざる素材でできた手帳が入っていた。；そのうちにこんな話が出て、わたしの手帳に一項の記事をふやした。；M・Mの手帳には政府の汚職の詳細が記されているという噂があった。；では、さっきの少年は、例の手帳の紙を持って来たのではなかったのでしょうか。</t>
        </is>
      </c>
      <c r="J5759">
        <f>HYPERLINK("https://www.weblio.jp/content/手帳", "词义详情")</f>
        <v/>
      </c>
      <c r="K5759">
        <f>HYPERLINK("https://yourei.jp/手帳", "查看例句")</f>
        <v/>
      </c>
    </row>
    <row r="5760">
      <c r="A5760" t="inlineStr">
        <is>
          <t>鉄</t>
        </is>
      </c>
      <c r="B5760" t="inlineStr">
        <is>
          <t>成功</t>
        </is>
      </c>
      <c r="C5760" t="inlineStr">
        <is>
          <t>読み方：くろがね
《黒い金属の意》鉄のこと。→あかがね→こがね →しろがね</t>
        </is>
      </c>
      <c r="D5760" t="inlineStr">
        <is>
          <t>鉄製品；鉄剣；鉄鞭；鉄馬；鉄鍋</t>
        </is>
      </c>
      <c r="F5760" t="inlineStr">
        <is>
          <t>大きな鉄；新日鉄；甲鉄；重い鉄；鉄ごうし</t>
        </is>
      </c>
      <c r="G5760" t="inlineStr">
        <is>
          <t>鉄砲；鉄道路線；鉄道駅；鉄道車両；鉄製</t>
        </is>
      </c>
      <c r="H5760" t="n">
        <v>29</v>
      </c>
      <c r="I5760" t="inlineStr">
        <is>
          <t>このようにして確立された鉄を加工したナイフは17世紀頃まで続いた。；現代でも様々な場で使用されており、鉄に次いで重要な金属材料といえる。；石から鉄になっても中実の砲弾ではそれほど使用法に変化はなかった。；そして、鉄よりも重い元素は超新星爆発時に生成したと考えられている。；鉄などの金属系の元素を多数取り込んだため金属質な体表となっている。；また、銀や銅、鉄なども金の場合と同様現在ではほとんど払底している。；金および隕鉄だけが、人類が銅より前に使用していたという証拠がある。；これは地球の海水中では水酸化鉄として鉄が除かれてしまうためである。；メンバーには現在釜石市にある鉄の歴史館館長を務める佐々木諭がいた。；のちにポプロニアは、エルバ島産の鉄の加工で非常に重要な地となった。；また、鉄を恐れるとも言われているため常に鉄剣を帯びていれば良いとされる。；ヨーロッパでは14世紀になっても鉄の生産は鍛造で行われていた。；頂部には「相輪」と呼ばれる銅または鉄でできた小塔が取り付けられた。；以後、西濃諸士の多くは信長によって一鉄につけられたものと考えられる。；また主水の女癖の悪さは、鉄の影響によるものなのが作中時々見られる。；初期の釘は鉄などの金属ではなく木や動物の骨が用いられた。；JR・十鉄貨物受渡線が駅南側にあったが、のちに線路が撤去されている。；さらにその後、人類は鉄を精錬できるようになり、鉄器時代が始まった。；その対応策の一つが紀元前119年に開始された塩鉄専売制である。；マグネシウムを多く含むものは灰白色で、鉄が多くなると緑色が強くなる。；中央の入り口は鉄の柵で閉鎖されているため、現在使用することはできない。；後期には洋鉄精錬技術も取り入れられ、さらに無地風の地鉄が作られた。；これは転移が起きたときに鉄の体積が減少することの説明になる。；甲鉄に斬り込んでいった野村利三郎ら数名は、撤退に間に合わずに戦死。；品質が高いため、同国で産出する鉄と組み合わせて鉄鋼を生産している。；郡北西部に位置しており、古くから千種鉄の産地として発展してきた。；ちなみに鉄の国内での生産は紀元後5世紀頃だと推測されている。；後に宇宙鉄面党の地球支部に過ぎなかったことが判明する。；いずれも鉄の酸化物であり、水酸化鉄と並んで錆を構成する成分である。</t>
        </is>
      </c>
      <c r="J5760">
        <f>HYPERLINK("https://www.weblio.jp/content/鉄", "词义详情")</f>
        <v/>
      </c>
      <c r="K5760">
        <f>HYPERLINK("https://yourei.jp/鉄", "查看例句")</f>
        <v/>
      </c>
    </row>
    <row r="5761">
      <c r="A5761" t="inlineStr">
        <is>
          <t>哲学</t>
        </is>
      </c>
      <c r="B5761" t="inlineStr">
        <is>
          <t>成功</t>
        </is>
      </c>
      <c r="C5761" t="inlineStr">
        <is>
          <t>読み方：てつがく
《philosophyの訳語。ギリシャ語のphilosophiaに由来し、「sophia（智）をphilein（愛する）」という意。西周(にしあまね)が賢哲を愛し希求する意味で「希哲学」の訳語を造語したが、のち「哲学」に改めた》
１世界・人生などの根本原理を追求する学問。古代ギリシャでは学問一般として自然を含む多くの対象を包括していたが、のち諸学が分化・独立することによって、その対象領域が限定されていった。しかし、知識の体系としての諸学の根底をなすという性格は常に失われない。認識論・論理学・存在論・倫理学・美学などの領域を含む。
２各人の経験に基づく人生観や世界観。また、物事を統一的に把握する理念。「仕事に対しての—をもつ」「人生—」</t>
        </is>
      </c>
      <c r="D5761" t="inlineStr">
        <is>
          <t>哲学的(6%)；哲学者(2%)；哲学研究；哲学上；哲学教授</t>
        </is>
      </c>
      <c r="E5761" t="inlineStr">
        <is>
          <t>精神；主義；信念；理念；生き方</t>
        </is>
      </c>
      <c r="F5761" t="inlineStr">
        <is>
          <t>ブルジョア哲学；フランス哲学；アメリカ哲学；アリストテレス哲学；哲学界</t>
        </is>
      </c>
      <c r="G5761" t="inlineStr">
        <is>
          <t>哲学的；哲学科；哲学書；哲学史；哲学館</t>
        </is>
      </c>
      <c r="H5761" t="n">
        <v>29</v>
      </c>
      <c r="I5761" t="inlineStr">
        <is>
          <t>哲学やコンピュータの分野でも定義づけされた言葉として使われている。；自然はこれに反定立される非我 であって本来的な哲学の対象ではない。；この当時、彼は多数の本を執筆して生態学や哲学的な考えを盛り込んだ。；ただし当時の他の哲学と同様に敵に対して勇猛に戦うことは善とされた。；数学の範囲と定義については、数学者や哲学者の間で様々な見解がある。；哲学への関心が芽生えたのは石川県専門学校に学んだときのことである。；ウィトゲンシュタインの哲学は極めて単純には前期と後期に分けられる。；哲学史は、哲学の歴史的文脈上の哲学思考の発展を研究するものである。；紀元前からギリシャは哲学や文化、芸術にさまざまな影響を与えてきた。；父のは、チュラーロンコーン大学で東洋の宗教と哲学の講師をしていた。；方法論的には哲学とほぼ同一であり、哲学の部門視されることもある。；一部の研究者はアステカの哲学を基本的に一神教的であると解釈している。；しかし哲学の研究者たちからはほとんど評価を得られなかった。；それらは特に哲学的な表現でウパニシャッドなどに記述されている。；哲学に興味を持ち、寮の友人たちと自己解放について徹夜で議論をした。；なお、哲学的に言えば、物質は宇宙を構成する諸存在のうちの1つである。；だが哲学やコンピュータ研究においては、前者の定義がより一般的である。；SIの舞台となる世界で、独自の文化と哲学思想を持つ都市を形成している。；ただ、その後の哲学におけるアリストテレスの影響も忘れてはならない。；これらのコンセプトはUNIX哲学という言葉で表現されることがある。；なお、哲学では、強力な還元主義が主要な立場になることは稀である。；これらの研究を支える理論哲学としてはイギリス経験論が主流であった。；また同時期、ザップが興味を持つようになったのが軍事学・哲学であった。；ところが、哲学の場合は名前を聞いただけでは何を研究する学問なのか分からない。；以上のように、東洋の思想を哲学と呼称する例はしばしばみられる。；哲学における「美」の概念の概説的な説明は、すでに優れた記述がある。；バーク哲学が事実上まったく導入されなかったのは、ドイツとロシアである。；徹底的行動主義は、彼が行った研究を基に体制化された哲学である。；哲学を学び、成績優秀で父の期待するエリート・コースに乗るかに見えた。</t>
        </is>
      </c>
      <c r="J5761">
        <f>HYPERLINK("https://www.weblio.jp/content/哲学", "词义详情")</f>
        <v/>
      </c>
      <c r="K5761">
        <f>HYPERLINK("https://yourei.jp/哲学", "查看例句")</f>
        <v/>
      </c>
    </row>
    <row r="5762">
      <c r="A5762" t="inlineStr">
        <is>
          <t>鉄橋</t>
        </is>
      </c>
      <c r="B5762" t="inlineStr">
        <is>
          <t>成功</t>
        </is>
      </c>
      <c r="C5762" t="inlineStr">
        <is>
          <t>読み方：てっきょう
１鉄材や鋼材でつくった橋。多く鉄道橋にいう。
２「鉄灸(てっきゅう)」に同じ。</t>
        </is>
      </c>
      <c r="D5762" t="inlineStr">
        <is>
          <t>鉄橋上；鉄橋付近；鉄橋爆破；鉄橋下；鉄橋跡</t>
        </is>
      </c>
      <c r="F5762" t="inlineStr">
        <is>
          <t>大きな鉄橋；かかる鉄橋；旧鉄橋；大鉄橋；臨津江鉄橋</t>
        </is>
      </c>
      <c r="H5762" t="n">
        <v>29</v>
      </c>
      <c r="I5762" t="inlineStr">
        <is>
          <t>部屋の窓からは上流の鉄橋を渡る電車の灯の動きが小さく美しく見えた。；この二つの橋の他に、昨夜空港から来る途中に満月を眺めた鉄橋がある。；本駅の建設理由ともいえる千歳川橋梁は、九州初の鉄道用鉄橋であった。；トンネルを出て次のトンネルまで、谷の部分を高い鉄橋で渡って行く。；しかしこの鉄橋は問題続きで、1931年に現行の橋に取って代わった。；廃線後も駅館川鉄橋の橋脚などが残っていたが、現在は撤去されている。；私はいつもこの電車に乗っているが、この鉄橋を通るときは必ず窓の外を見る。；水に臨んだ広い楼上に登って、私は下りに下って来た鉄橋の遥を顧みた。；路線はこの後も住宅街の中を通り、境川の上を鉄橋で渡り大和市へ入る。；ここ数十時間は、その鉄橋も電車を渡す職務から解放されていたのである。；なにを思ったか、ひとりの兵が絶叫をあげ、鉄橋から飛び降りていった。；列車はサーバ河の鉄橋を渡ってベオグラードへ入って行くところであった。；とうとう私は、駅構内の上にかかっている鉄橋のところへやってきた。；太吉は氷のように冷たな鉄橋に縋りながら細い板の上を怖る怖る渡った。；それはふだんは水の流れていない河床にかかった長い飾りのない鉄橋だった。；長い鉄橋を渡りきったところが安東市で、満洲領の最初の駅であった。；鉄橋の修理はまだ完全には終っていないらしく、貨物列車が徐行していた。；秋の紅葉時には、鉄橋上で数秒間の停車などの観光サービスが行なわれる。；自分は四方を眺めながら、何とはなしに天神川の鉄橋を渡ったのである。；鉄橋とは言っても、車が一台通るのがやっとという小さな狭い橋だ。；鉄橋は鉄道の線路を支持し、川の上を列車が通行できるようにする。；旧線の鉄橋は吊橋に架け替えられており、現路線の鉄橋と並行している。；そう判断して、線路づたいに東に向けて横川鉄橋の方に歩いて行った。；軍の列車が通ったあとの鉄橋は、軍が爆破して来たっていう噂も飛んでいる。；全長約440メートルの鉄橋で、橋の規模は当時東北地方で一番だった。；わずかに残されたスペースに立つと、黒煙に包まれた鉄橋が見えた。；富士川にかかる鉄橋は、このずれのため、ほとんど交通が危険になった。；鉄橋の手前の人たちのなかに、ムクリコクリの雲と云うとる人がおりました。；川を跨いだ大きな鉄橋は暗い夜の闇の中に其輪廓をはつきりと描いて居た。</t>
        </is>
      </c>
      <c r="J5762">
        <f>HYPERLINK("https://www.weblio.jp/content/鉄橋", "词义详情")</f>
        <v/>
      </c>
      <c r="K5762">
        <f>HYPERLINK("https://yourei.jp/鉄橋", "查看例句")</f>
        <v/>
      </c>
    </row>
    <row r="5763">
      <c r="A5763" t="inlineStr">
        <is>
          <t>てっきり</t>
        </is>
      </c>
      <c r="B5763" t="inlineStr">
        <is>
          <t>成功</t>
        </is>
      </c>
      <c r="C5763" t="inlineStr">
        <is>
          <t>［副］
１確かだと思っていた予想・推測が反対の結果となって現れた場合に用いる語。きっと。「今日は—（と）晴れると思ったのに」
２まちがいなく確かなさま。まさに。
「今—天罰の裡(なか)に悩んで居るのだ」〈木下尚江・良人の自白〉</t>
        </is>
      </c>
      <c r="D5763" t="inlineStr">
        <is>
          <t>てっきり死ん；てっきりそうにちがい；てっきり寝</t>
        </is>
      </c>
      <c r="E5763" t="inlineStr">
        <is>
          <t>きっと；間違いなく；疑いなく</t>
        </is>
      </c>
      <c r="F5763" t="inlineStr">
        <is>
          <t>こりゃてっきり；てっきり死んだもの</t>
        </is>
      </c>
      <c r="H5763" t="n">
        <v>29</v>
      </c>
      <c r="I5763" t="inlineStr">
        <is>
          <t>これはてっきりあなたが夫人を殺害なすったに相違ないと考えたのです。；老女の娘はてっきり井戸の底に沈んでいると誰もが信じていたのだもの。；橋の上でいきなり彼が近くに出現した時、てっきりばれたのだと思った。；これはてっきり、あなたが上岡さんを逮捕に来たのだなと思ったのです。；てっきり、別の椅子でも持ってくるのかと思ったが、そうではなかった。；「アルバムはこちらにあるのですか」 てっきり警察と思っていたのだ。；てっきり、もう使われなくなって長い年月が経っている建物だと思った。；てっきりアパートみたいなのを想像していた俺は、ちょっと当惑したよ。；あの時、いさは鼾をかいていたから、てっきり眠っていると思っていた。；しかしぼくは、てっきりあなたに愛されているとばかり思っていました。；てっきりあの家が建てられる前に埋められたものだと思っていたわ。；加藤に言われるまで、てっきり行き帰りの道だと信じて疑いもしなかった。；てっきり、有働や秋葉の事件が発生したために作成されたと思っていた。；おれはてっきり、そんなことは忘れてしまうとばかり思っていたからだ。；わたしもはじめはあの死体、てっきり殺害されたもんだと思っていた。；家が流されていないと聞いたんで、てっきりどこかに居なさるもんだと。；後ろについた敵は、てっきり囮に注意をひきつけたと思ったのだろうか。；てっきりあのへんに朱実のなにかがあるにちがいないと思ったんです。；女の声の主はてっきり奥さんではないかとおもっていたのですがね。；みんなはてっきり王子が溺れ死んで海に流されたと思いこんでいたのよ。；てっきり目から出るのはレーザービームくらいだとしか思いませんでした。；研究所の人たちがてっきり君が気が変になったと考えた気持は理解できるよ。；わたしは、てっきりあなたが、再び心を閉じてしまったのだと思いました。；わしはこれまで、彼女のことをてっきり若い未亡人だと思いこんでいた。；てっきり、新治と初江に感情移入して聞いていたのだと思っていたのに。；ぼくは早苗さんはてっきり加納君と結婚するんだとばかり思ってたんだよ。；てっきり眠っているものと思ったのだが、すでに起きていて机に向かっている。；母なんかもてっきり畔柳先生と結婚するもんだとばかり思っていたそうです。；てっきり、相手が人間だと思ったから、智のあとを追いかけてきたのだ。</t>
        </is>
      </c>
      <c r="J5763">
        <f>HYPERLINK("https://www.weblio.jp/content/てっきり", "词义详情")</f>
        <v/>
      </c>
      <c r="K5763">
        <f>HYPERLINK("https://yourei.jp/てっきり", "查看例句")</f>
        <v/>
      </c>
    </row>
    <row r="5764">
      <c r="A5764" t="inlineStr">
        <is>
          <t>鉄筋</t>
        </is>
      </c>
      <c r="B5764" t="inlineStr">
        <is>
          <t>成功</t>
        </is>
      </c>
      <c r="C5764" t="inlineStr">
        <is>
          <t>読み方：てっきん
１コンクリートの引っ張り力を強化するために中に埋め込む鋼材。
２「鉄筋コンクリート」の略。</t>
        </is>
      </c>
      <c r="D5764" t="inlineStr">
        <is>
          <t>鉄筋コンクリート製(19%)；鉄筋アパート(3%)；鉄筋校舎；鉄筋三階建て；鉄筋四階</t>
        </is>
      </c>
      <c r="F5764" t="inlineStr">
        <is>
          <t>鉄筋構造；鉄筋五階；補強鉄筋；鉄骨鉄筋；鉄筋混凝土</t>
        </is>
      </c>
      <c r="G5764" t="inlineStr">
        <is>
          <t>鉄筋コンクリート造；鉄筋コンクリート構造；鉄筋コンクリート造り；鉄筋工；鉄筋コンクリート住宅</t>
        </is>
      </c>
      <c r="H5764" t="n">
        <v>29</v>
      </c>
      <c r="I5764" t="inlineStr">
        <is>
          <t>また天井には鉄筋だけでなく鉄骨も配置されていると考えられている。；鉄筋アパート群を抜けて、今度は木造の平屋建てが並ぶ区域へと入った。；しばらく彼は門から鉄筋建ての不可思議な灰色の塊を見上げていた。；今年末の取り壊しが決まっているため、簡単に入れた鉄筋アパートだった。；ちゃんとうちで作った鉄の、鉄筋を植えこんだ立派な団地にするんだとよ。；南面の窓に並んで、鉄筋混凝土の上層建築が半分ほど出来あがっていた。；現在の社殿は戦後の1964年に再建されたもので鉄筋コンクリート製。；白っぽい壁の四階建ての鉄筋アパート、というよりはマンションがある。；だから、いまにして思えば、『鉄筋4』は良いゲームだったんだろうな。；案内されたのは、一軒のマンション風の鉄筋ビルの前であった。；窓枠の外には申し訳程度の鉄筋製の手すりのようなものがついている。；床版は鉄筋コンクリート製でその鉄筋には米国製のものが使用されていた。；また、鉄筋の数が多すぎて、柱や梁の中に入りきれないという場合もある。；基礎の構造や鉄筋の規格・定着方法・配置間隔についても定められている。；二階より上が社長の自宅になっている、鉄筋三階建ての小さなビル。；しかし函館区側では、鉄筋ではなく木造での新図書館建造が計画されていた。；鉄筋5階建てで、近くにある白樺平に由来しその名が付けられていた。；このように木造と鉄筋の両者は一体化していたことが分かる。；現在、鉱山労働者が住んでいた鉄筋アパート群が廃墟となって現存している。；その他には、コンクリートの鉄筋用にリーン二相系が採用された実績がある。；一高本館は、鉄筋二階の建築であり、正面玄関の上だけが三階になっている。；道路の正面奥は岸壁で、その隣に鉄筋の大きな建物がそびえていた。；今の若い連中はビル工事の鉄筋職にもなれやしないんだよ。；千切れた鉄筋もめくれあがって、人間が楽に通れる穴があいていた。；改札口を出ると、眼の前に、鉄筋の旅館やホテルが、折り重なっていた。；最初は四トン車だったが、次は十二トン車で鉄骨、鉄筋を運搬した。；本堂・明王殿は後に鉄筋造で建て直され、合わせて境内が石畳となった。；煙道は煙突本体と同じく鉄筋コンクリート製で総延長は約413メートル。；区分所の再開発では鉄筋サブ構造の殆どが巻き込まれる形で取り壊された。</t>
        </is>
      </c>
      <c r="J5764">
        <f>HYPERLINK("https://www.weblio.jp/content/鉄筋", "词义详情")</f>
        <v/>
      </c>
      <c r="K5764">
        <f>HYPERLINK("https://yourei.jp/鉄筋", "查看例句")</f>
        <v/>
      </c>
    </row>
    <row r="5765">
      <c r="A5765" t="inlineStr">
        <is>
          <t>手作り</t>
        </is>
      </c>
      <c r="B5765" t="inlineStr">
        <is>
          <t>成功</t>
        </is>
      </c>
      <c r="C5765" t="inlineStr">
        <is>
          <t>読み方：てづくり
１機械を使わないで、手で作ること。店で買わないで、自分の手で作ること。また、その物。手製。「母の—」「—の料理」
２「手捻(てびね)り」に同じ。
３中世、荘園で、領主直営の田畑。
４近世、地主が田畑を小作に出さずに自分で耕作すること。
５手織りの布。
「多摩川にさらす—さらさらになにそこの児のここだかなしき」〈万・三三七三〉</t>
        </is>
      </c>
      <c r="D5765" t="inlineStr">
        <is>
          <t>手作り弁当(2%)；手作り感；手作り料理；手作り体験；手作り品</t>
        </is>
      </c>
      <c r="E5765" t="inlineStr">
        <is>
          <t>オリジナル；自家製；ホームメイド</t>
        </is>
      </c>
      <c r="F5765" t="inlineStr">
        <is>
          <t>全て手作り；手作り教室；手作りおもちゃ；手作り絵本；手作り雑貨</t>
        </is>
      </c>
      <c r="G5765" t="inlineStr">
        <is>
          <t>手作り石鹸</t>
        </is>
      </c>
      <c r="H5765" t="n">
        <v>29</v>
      </c>
      <c r="I5765" t="inlineStr">
        <is>
          <t>以前の時代に持っていた装置は原始的な手作りの道具以上ではなかった。；レストランで食べられる他、アメリカ合衆国中の家庭で手作りもされる。；手作りのものは、脚の一本がとれてそこに作者の名前が記されている。；芸術に於て作者の悲しみは読者の悲しみとならねばならぬものであるのに。；家畜を扱う商人は多くの手作りの品を追加し、羊毛の取引は常にあった。；大人が作って子供に授与するか、或いは子供達が自ら手作りで製作する。；音楽文化の向上を目指す手作りコンサートなどでも活動している。；テーブルには、手作りと思われる白いレースのテーブル掛けがかけてあった。；観測は手作りの観測小屋に設置したフジノン製の大型双眼鏡で行っている。；だがこんなとき、手作りの幾品かを富喜枝は必ず添えることにしていた。；あの一へらの削りや、手作りの高台には、強さはあるがなお作為が残る。；他のアジア各国のような手作りレースの輸出産業は発展しなかった。；第2子誕生の時に送られた夫人手作りのお守りを肌身離さず持っている。；単純な構造をしており、各個人の好みの布を使って手作りすることもよく行われる。；三重子の手作りの夕食をすませて、二人は最終バスで東京へ帰って行った。；年代物を修理したのだろうと思われるものもあったし、手作りに見えるものもあった。；手作りの、多分スカートだったのだろうと思われる服を着てはいる。；設立当初はウインナー・ハム・ソーセージの手作り販売を主体においていた。；みんなちょっと下がって自分たちの手作り作品を眺め大満足だった。；内側の二基が私たちの手作りであることを思い出させるものは何もなかった。；そんなことを言ったら、日本人の生活品なんか片端しから「手作り」だ。；折に触れ、後輩芸人を自宅に招いて手作りの料理の腕を披露している。；なお初期の頃は、手作りのアムロ風衣装でショートコントをやっていた。；三つほど手作りの的をグラウンドに設置して、客に投げさせている。；時代的にどれも人が操作したり手動で動かす手作りライブであった。；戦後の何も無い時代に手作りで行事を作り上げようと企画された催し。；あたりを見渡せば、大量に普及している商品に手作りのものはほとんどない。；やがて手作りの料理が用意してあることは殆どなくなった。；複雑なレースが安く大量に作られることにより、手作りレースが衰えた。</t>
        </is>
      </c>
      <c r="J5765">
        <f>HYPERLINK("https://www.weblio.jp/content/手作り", "词义详情")</f>
        <v/>
      </c>
      <c r="K5765">
        <f>HYPERLINK("https://yourei.jp/手作り", "查看例句")</f>
        <v/>
      </c>
    </row>
    <row r="5766">
      <c r="A5766" t="inlineStr">
        <is>
          <t>鉄鋼</t>
        </is>
      </c>
      <c r="B5766" t="inlineStr">
        <is>
          <t>成功</t>
        </is>
      </c>
      <c r="C5766" t="inlineStr">
        <is>
          <t>読み方：てっこう
鉄を主成分とする金属材料。銑鉄・鋳鉄などと、鋼鉄。</t>
        </is>
      </c>
      <c r="D5766" t="inlineStr">
        <is>
          <t>鉄鋼メーカー(10%)；鉄鋼会社(5%)；鉄鋼製品(4%)；鉄鋼業界(3%)；鉄鋼産業(3%)</t>
        </is>
      </c>
      <c r="E5766" t="inlineStr">
        <is>
          <t>鋼；鋼鉄；スチール；スティール；鋼材</t>
        </is>
      </c>
      <c r="F5766" t="inlineStr">
        <is>
          <t>日本鉄鋼；鉄鋼企業；鉄鋼不況；鉄鋼需要；鉄鋼材</t>
        </is>
      </c>
      <c r="G5766" t="inlineStr">
        <is>
          <t>鉄鋼材料；鉄鋼ビルディング；鉄鋼労連；鉄鋼館；鉄鋼ビル</t>
        </is>
      </c>
      <c r="H5766" t="n">
        <v>29</v>
      </c>
      <c r="I5766" t="inlineStr">
        <is>
          <t>海軍時代から関心があった鉄鋼増産の現場にようやく立つことができた。；ハルユキも敵も、この鉄鋼ステージで音を立てずに走ることは不可能だ。；この工場は鉄鋼市場が底を突いた1982年まで溶鉱炉を運転していた。；構造鉄鋼に求められる一般的な性質は強度・耐食性・加工性などである。；主に長野県東御市の工場などで鉄鋼製品や化学製品の製造を行っている。；長男はこの春大学を卒業して鉄鋼会社に就職し、勤務地の大阪へ移っていた。；当初は鉄鋼が多かったが、アルミニウム製のものが大半を占めている。；同年、モルガンはいくつかの鉄鋼会社を統合しUSスチールを設立した。；新日本製鐵株式会社は、かつて存在した日本の大手鉄鋼メーカーである。；鉄鋼生産設備を始めとする産業機械・装置や鋼構造物などの建設を行う。；品質が高いため、同国で産出する鉄と組み合わせて鉄鋼を生産している。；これを使えば一人の能率が二倍になり、鉄鋼労働者の人数が半分ですむ。；日本製鉄室蘭製鉄所への専用鉄道があり、鉄鋼製品などを輸送していた。；併せて、宝鋼集団など5つの中国巨大鉄鋼企業の共同支援も受けている。；三井物産では主に鉄鋼畑の業務を担当、1997年に同社取締役に就任。；ハースタルにはFN社の他にも各種鉄鋼関連の企業が所在している。；他にも日本からはコピー機や家電製品、鉄鋼などの製品も輸入されている。；これらの企業は鉄鋼・エネルギー・製造からサービス業まで多岐にわたる。；ところが石炭と鉄鋼以外の政策分野では理事会の同意が求められた。；事件はどうやら、巨大な鉄鋼産業の内部抗争に端を発しているらしかった。；アルミ報告書についても、論理の展開は鉄鋼報告書と概ね共通している。；合同製鋼など既存の鉄鋼資本も最終的にはゲーリングと妥協していった。；父の事業を継承し、1926年にはドイツ最大の鉄鋼トラストを創設。；この影響で矢作製鉄は非鉄鋼の新規事業への参入を目指すことになる。；その結果、シェフィールドはイギリスの鉄鋼市場で特異な地位を獲得した。；クウェクウェと近くのには、ジンバブエ最大の鉄鋼会社のの本部が有る。；クラブはウクライナ大手鉄鋼会社に買収され、同創設者のが会長に就任した。；高雄市は台湾における鉄鋼産業を初めとする工業の中心地域である。；日鉄のメインの事業は、鉄鉱石や屑鉄から鋼材を作り出す鉄鋼業である。</t>
        </is>
      </c>
      <c r="J5766">
        <f>HYPERLINK("https://www.weblio.jp/content/鉄鋼", "词义详情")</f>
        <v/>
      </c>
      <c r="K5766">
        <f>HYPERLINK("https://yourei.jp/鉄鋼", "查看例句")</f>
        <v/>
      </c>
    </row>
    <row r="5767">
      <c r="A5767" t="inlineStr">
        <is>
          <t>デッサン</t>
        </is>
      </c>
      <c r="B5767" t="inlineStr">
        <is>
          <t>成功</t>
        </is>
      </c>
      <c r="C5767" t="inlineStr">
        <is>
          <t>読み方：でっさん
［名］(スル)素描(そびょう)。下絵。「木炭で—する」</t>
        </is>
      </c>
      <c r="D5767" t="inlineStr">
        <is>
          <t>デッサン力(4%)；デッサン用；デッサン会；デッサン教室；デッサン画</t>
        </is>
      </c>
      <c r="E5767" t="inlineStr">
        <is>
          <t>ドラフト；スケッチ；素描；下絵；下書き</t>
        </is>
      </c>
      <c r="F5767" t="inlineStr">
        <is>
          <t>人体デッサン；鉛筆デッサン；正確なデッサン；ヌードデッサン；整デッサン</t>
        </is>
      </c>
      <c r="H5767" t="n">
        <v>29</v>
      </c>
      <c r="I5767" t="inlineStr">
        <is>
          <t>そこで私は少しばかりの材料でごく荒いデッサンを書いたにとどまった。；あるとき、福地の下宿部屋でデッサン会をやっていたときのことである。；ロダンは一つの像をつくりあげるのに数百枚のデッサンを画いたという。；それでなくともデッサンは、かなり無興味な仕事と考えられやすいのである。；デッサンは完成し、そしてそこにはそれをずっと待っていてくれた友人がいた。；これは大事な事だが、彼の写生帖はデッサンの練習帖ではないのである。；このデッサンは、以前にも描いたことがあるのだが、彼はそれに不満だった。；ダヴィッドの主要な作品の多くが、この葬式のデッサンに基づいている。；この朝は代わりにデッサンに外の空気を吸わせてやろうと考えたのであった。；子供の絵と訳されることもあり、単にデッサンと呼ばれることもある。；それは、この青いキャンバスに誰かがデッサンをしているかのようだった。；天皇訪欧の取材の際も、パリの下街を上手にデッサンして帰って来た。；何よりもまず肖像画の作家であったが、風俗画やデッサンも遺している。；私は、ここで摂さんのデッサン三枚をいただき、今も大切にしまってある。；わたくしたちは、それから息子の部屋へデッサンの描きさしを見に行った。；そのバカにしてた友達のほうが、デッサンの成績が上だったのです。；このデッサンの上に色を塗らなければ、それは悪の光景とはならぬ。；ほぼ完成している作品もあれば、まだデッサン段階のものもある。；美術の先生の話によると、デッサンなどでキラリと光る才能を示すそうだ。；わたしは、笹島画伯の描かれたあなたのデッサンを何枚か持っております。；以降、セブンチェアは姿勢をデッサンする多くの肖像に使用されている。；改めてデッサンを一から学びなおすためにセツ・モードセミナーに入学。；優れたデッサン力を生かした人型のフィギュア原型が特に支持されている。；デッサンは少し粗雑だが、色の鋭い感覚はそれを補ってあまりがある。；私は終戦後まもなく素人ばかりの絵を描く会に入ってデッサンを勉強していた。；実を言ふと今まで私にはデッサンといふものがよく呑み込めてゐなかつたのだ。；絵なら嫌いではないので、通ってデッサンなどすることにした。；卓越したデッサン力により様々なコンクールで受賞を重ね、現在に至る。；彼らの地図の概念は子供のデッサンの特別な例にあたる。</t>
        </is>
      </c>
      <c r="J5767">
        <f>HYPERLINK("https://www.weblio.jp/content/デッサン", "词义详情")</f>
        <v/>
      </c>
      <c r="K5767">
        <f>HYPERLINK("https://yourei.jp/デッサン", "查看例句")</f>
        <v/>
      </c>
    </row>
    <row r="5768">
      <c r="A5768" t="inlineStr">
        <is>
          <t>徹する</t>
        </is>
      </c>
      <c r="B5768" t="inlineStr">
        <is>
          <t>成功</t>
        </is>
      </c>
      <c r="C5768" t="inlineStr">
        <is>
          <t>読み方：てっする
［動サ変］［文］てっ・す［サ変］
１奥深くとおる。貫きとおる。「恨み骨髄に—・する」「眼光紙背に—・する」
２考え方や態度を貫きとおす。その事にいちずに当たる。「家業に—・する」「裏方に—・する」
３全部の時間を経過してある時点に至る。「夜を—・して語り合う」</t>
        </is>
      </c>
      <c r="D5768" t="inlineStr">
        <is>
          <t>貫く；終始する；押し通す；貫徹する；貫き通す</t>
        </is>
      </c>
      <c r="H5768" t="n">
        <v>29</v>
      </c>
      <c r="I5768" t="inlineStr">
        <is>
          <t>こういった理由から志賀は地上で搭乗員の支援に徹することを決心した。；そういう自分の役割に徹するほかはあるまいとも、半十郎は思っていた。；誰が彼のように美の運命に堪え、漂泊の道に徹することができるだろう?；選手はようやく落ち着いたが、選手は個人プレーに徹するようになった。；私は愛に徹するためにも親とも隣人の関係に立たねばならないと思います。；こちらに相応の攻撃力がなければ、実は防御に徹する意味などないのだ。；状況がわからない時は、極力自分の体を小さくして観察に徹するべし。；結果、白丘は聖書主義に徹することに疑問を持ってしまった訳である。；そしてこのような宇宙と一体の自己に徹すれば、外に何も求める必要はないのだ。；どうせ君の肺腑から出た事でなくては、 人の肺腑に徹するものではない。；自分を殺しかけた相手ですが、憎みに徹する気にはなれなかったのでしょう。；確かに彼は強敵だが、それでも防戦に徹すれば私とて簡単には敗れません。；敵から攻撃された際に、反撃するか守りに徹するかの行動を選択する。；マネにおいて絵画は、何かを語ることをやめ、沈黙に徹することになる。；古さに徹することが、新鮮でもあることをよく知っていた人だった。；日頃から私は、何事も一念に徹すれば必ず思いどおりになると信じていた。；サポートに徹する、と言ったところで、好きな男と旅行に行くのだ。；夜を徹する作業とはいえ、力仕事ではなく比較的割の良いバイトらしい。；今は青雲の志は消えて、しかし純粋に芸術に徹する気持ちだけが残っている。；それはまったく予想もしない一撃であり、骨に徹するものであった。；それは人の耳へ伝わるものでなくて、じかに骨髄へ徹する響を持っていた。；中には守備に徹するような、いわばエースストッパーのような選手も多い。；それであるから現実に徹することは、自己の生活に徹するに外ならないのである。；非暴力の抗議運動に徹することができなかったことも失点となった。；奥底に徹する深い理解が彼にあるという、一種の信頼感が持てたのである。；未婚の男女の恋愛には、既婚者のように徹するような思慮があるだろうか。；同じぐらいに、一度始めた方法に徹するべきだという気持ちもある。；箇人の言つたまた書いたものは、皆な万人に徹するやうに出来てゐるのだから面白い。；職務に徹するのもいいが、少しは未来を憂いて深刻な顔をしてもよさそうなものだ。</t>
        </is>
      </c>
      <c r="J5768">
        <f>HYPERLINK("https://www.weblio.jp/content/徹する", "词义详情")</f>
        <v/>
      </c>
      <c r="K5768">
        <f>HYPERLINK("https://yourei.jp/徹する", "查看例句")</f>
        <v/>
      </c>
    </row>
    <row r="5769">
      <c r="A5769" t="inlineStr">
        <is>
          <t>手伝い</t>
        </is>
      </c>
      <c r="B5769" t="inlineStr">
        <is>
          <t>成功</t>
        </is>
      </c>
      <c r="C5769" t="inlineStr">
        <is>
          <t>読み方：てつだい
手伝うこと。また、その人。「引っ越しの—」「もう一人—を頼む」</t>
        </is>
      </c>
      <c r="D5769" t="inlineStr">
        <is>
          <t>手伝いたい；手伝い普請；手伝いましょ；手伝い始め；手伝いをしよ</t>
        </is>
      </c>
      <c r="E5769" t="inlineStr">
        <is>
          <t>助け；助；世話；援助；用途</t>
        </is>
      </c>
      <c r="F5769" t="inlineStr">
        <is>
          <t>御手伝い；普請手伝い；諸士手伝い；手伝いばあさん；手伝い始める</t>
        </is>
      </c>
      <c r="H5769" t="n">
        <v>29</v>
      </c>
      <c r="I5769" t="inlineStr">
        <is>
          <t>ラジオ・テレビなどへの出演の他、当日の会場での案内やお手伝いなど。；橋の上に立って居るよりわたしの家に来て商売の手伝をしないかと云うた。；近所から手伝ひに来てゐる細君の妹だと云ふ十七八の娘が酒の用意をした。；こういうような話から例のわざわざの農業手伝神の話が生まれたかもしれぬ。；投稿者の何人かは、絵のみならず製作のお手伝いとしても参加している。；この際にグワァーの捕虜とされている人間がグワァーのお手伝いをする。；いわゆる腕白少年ではなく、よく母の台所仕事を手伝い、畑仕事もした。；人間が一生、ひとの手伝をして生きるのは幸福ではなく満足も出来まいから。；お前の今言つてゐる事には、大いに詩人的空想が手伝つてゐるのだらうね。；これでお助んなすればよし、さもないと僕が手伝をして殺したも同然だ。；やがてパパが帰ってきてママはピングーが手伝いをしないことを話した。；昔は己がひとりで遣ったが、 今は手伝を連れて来なくちゃならない。；それは一緒にゐる逸子への遠慮も多少は手伝つてゐたに相違なかつた。；宣伝スタッフがいないというので休日になると手伝いに行っていた。；父は薬局を営んでおり、父の仕事を手伝いながら科学への興味を育んだ。；育ての親で義父は興行を打っていた関係で小学校の頃より手伝いをしていた。；ちやうど今太郎君がしようとしたことを、鱶が手伝つたやうなものでした。；彼の父親の手伝というのは、この湖に舟を浮かべて、魚を取ることだった。；おそらくブドウ農家だった祖父の手伝いをしていたと考えられている。；向うから例の使ひのことを云ひだしはせぬかとの期待が手伝つてゐた。；その後ジャン1世がビール作りを推奨したことも手伝い発展してきた。；少女は父の手伝に弾薬でも運んでいた所を射たれたものに違いない。；かつて、仕事のない日は一日中店の手伝いをしていたこともあった。；気の合った友人がしていたラジオ制作の手伝いをすることになって音響効果を担当。；子供時代は家業の農業を手伝い、子供の頃からビジネスの才能を発揮した。；彼らもただ集っていただけではなく、店の手伝いを無償でやったりしていた。；父は弟の病院で手伝いとして働いていたが、その後煙草の小売商を始める。；野比家からは家族の一員として扱われており、家の手伝いをする事がある。；花房が父に手伝をしようと云ってから、間のない時の事であった。</t>
        </is>
      </c>
      <c r="J5769">
        <f>HYPERLINK("https://www.weblio.jp/content/手伝い", "词义详情")</f>
        <v/>
      </c>
      <c r="K5769">
        <f>HYPERLINK("https://yourei.jp/手伝い", "查看例句")</f>
        <v/>
      </c>
    </row>
    <row r="5770">
      <c r="A5770" t="inlineStr">
        <is>
          <t>手伝う</t>
        </is>
      </c>
      <c r="B5770" t="inlineStr">
        <is>
          <t>成功</t>
        </is>
      </c>
      <c r="C5770" t="inlineStr">
        <is>
          <t>読み方：てつだう
［動ワ五（ハ四）］
１他人の仕事を助けて一緒に働く。手助けをする。助力する。「大掃除を—・う」
２ある原因の上にさらにそれも原因の一つとなる。「食糧不足のところへ寒さも—・って犠牲者が増えた」
[可能]てつだえる</t>
        </is>
      </c>
      <c r="D5770" t="inlineStr">
        <is>
          <t>手伝うべき；手伝うって；手伝うよう命じ</t>
        </is>
      </c>
      <c r="E5770" t="inlineStr">
        <is>
          <t>サービス；世話；援助；補助；応援</t>
        </is>
      </c>
      <c r="H5770" t="n">
        <v>29</v>
      </c>
      <c r="I5770" t="inlineStr">
        <is>
          <t>父は弟子たちに手伝わせて、細工場の方に棚のようなものを作っていた。；なぜかすぐ近くにいるはずの医療科の生徒たちは手伝おうともしない。；彼は高校の最終学年で彼女と出会い、彼女の最終試験の準備を手伝った。；あんまり仲が良いわけじゃないから 無理に手伝うのもなんか悪いし。；貴殿に知らせをもってくるだけでなく、いくつかのことで手伝うためだ。；しかし、気が合っていたから店を手伝わせることにしたのではないか。；また、父の死後は、母が自身の実家の工場を手伝って家計を支えていた。；この男は、女たちが逃げるのを手伝うために庭へはいって来たのです。；これは駅間距離の短さも手伝って日中の生活需要も大きいためである。；姉TONOの作品を手伝ったり、共同で作品を発表していることもある。；父が安全な機械を作るのを手伝うため科学の道を目指すようになったのである。；蓮見君に云って、車から荷物を下ろすのを手伝わせていたみたいだけど。；管理を手伝っていたジョンソンの妻は、その後まもなく亡くなっている。；そして、子供たちらは6歳になると家の雑務を手伝うことになっていた。；子供は、手伝おうともせず、砂の上の帽子をひろってやろうともしない。；父はまったく手伝わずにあぐらをかいて五十円玉の細工に集中していた。；自分は客が自らの思考を組み立てるのを手伝っているのだ、と彼は述べた。；辰代はそれを手伝って、なおその上に、室の中の整理を手伝おうとした。；明日かその次の日からか、文書の点検を手伝うと約束してくれないか。；男は、目の見えないハルに雪下ろしを手伝うよう命じたことさえあった。；この書き文字はフジオプロから独立してからも連載終了まで手伝った。；亭主が手伝おうとそばへ寄っていくと、男は肘でつきのけたからである。；王弁は手伝おうと思うのだが、病んで汚れた体に触れることが出来ない。；ぱらぱらと五組の生徒が現れて、彼らに手伝わせて実験の準備をする。；作業を手伝うために、迷彩服の男たちが急ぎ足でホールから出て行った。；ガーンジー島に生まれ、パリで教育を受けた後、父親の仕事を手伝った。；二台目のトラックは、死体の移動を手伝うチェーカーの分遣隊を運んだ。；人気の花魁・お喜乃に一緒に足抜けを手伝ってくれと頼まれる弥次さん。；そこで下女に絹切れを持って来させ、手伝わせて腹にそれを巻きつけた。</t>
        </is>
      </c>
      <c r="J5770">
        <f>HYPERLINK("https://www.weblio.jp/content/手伝う", "词义详情")</f>
        <v/>
      </c>
      <c r="K5770">
        <f>HYPERLINK("https://yourei.jp/手伝う", "查看例句")</f>
        <v/>
      </c>
    </row>
    <row r="5771">
      <c r="A5771" t="inlineStr">
        <is>
          <t>手続き</t>
        </is>
      </c>
      <c r="B5771" t="inlineStr">
        <is>
          <t>成功</t>
        </is>
      </c>
      <c r="C5771" t="inlineStr">
        <is>
          <t>読み方：てつづき
１物事を行うのに必要な手順。てはず。「正式の—を踏む」
２あることをするのに必要な、一定の順序・形式に従った処置。「入学の—をする」</t>
        </is>
      </c>
      <c r="D5771" t="inlineStr">
        <is>
          <t>手続き上；手続き等；手続きなし；手続きを行う必要；手続き完了</t>
        </is>
      </c>
      <c r="E5771" t="inlineStr">
        <is>
          <t>方法；作業；方式；仕様；仕方</t>
        </is>
      </c>
      <c r="F5771" t="inlineStr">
        <is>
          <t>必要な手続き；離婚手続き；入学手続き；正式な手続き；更新手続き</t>
        </is>
      </c>
      <c r="G5771" t="inlineStr">
        <is>
          <t>手続き型プログラミング；手続き記憶；手続き的知識；手続き型生成；手続き型プログラミング言語</t>
        </is>
      </c>
      <c r="H5771" t="n">
        <v>29</v>
      </c>
      <c r="I5771" t="inlineStr">
        <is>
          <t>これらの議論が行われるのと並行して、収公に向けた手続きが行われた。；現在ロシアとの間で戦闘機の導入に向けた手続きが行われている。；販売終了手続きが進むと、関係部門で連携して、製品の販売を終了する。；クーポン券発行手続きなどの詳細については居住自治体に確認されたい。；もっとも艦隊指揮が不在のときは艦船長が同様の手続きを行うこととした。；プロ野球選手が引退する際、その手続きには次のような種類がある。；ここではプログラミング手続きの観点から、再帰との主な違いを述べる。；これは、同じ手続きを異なるデータセットで簡便に利用する方法となる。；つまり投票の手続きの決定権を握っている場合は結果を操作できる。；詩人は柔い雅号で出版の手つづきをすませて又二匹の馬は村に向いました。；しかし、この辞令が正当な手続きによって発行されたかは不明であった。；法定合併協議会を設置する場合の合併の手続きは以下のようになる。；首相の任命手続きは、大統領の推薦を受け、議会が承認することとなっている。；そこで、1290年代前半になって確立されたのが次の鎮圧手続きである。；反証主義とは、知識を選別するための、多数ある手続きのうちのひとつ。；そのため、その両者に復権を要求したGHQの手続きが問題となった。；そのくせ、電話をかけなおして続きを入れておくということは、しない。；更新手続きを行わないまま更新日を過ぎるとカードが無効となり使用できなくなる。；合格発表後、学校側が定めた一定の期間で合格者からの入学手続きが行われる。；ムージスはこの頃離婚の手続きを開始し、ヴァラドンの一切を拒絶した。；さらに、このような変形を得るための決定的な手続きも知られている。；すべて手つづきは終わっていますから、これはこのままお持ちになっていてください。；日本とモンテネグロ王国の戦争状態はどのような手続きをとって終了したか。；例えば、事前審査を行い、記者証を発行するなどの手続きが必要である。；再発行手続きについては、上述の拠点の中で扱っていない事業所もある。；献体の手つづきがしてあったので、引き取りに来るのを待っているのだった。；ようやく今度書類の手つづきもすみ、三日後には出ることができるようになった。；日本国外の受験者の場合は成績書類の様式や手続きの方法が異なる。；十六日の土曜日にあげたくて、金曜日にその手つづきをしておいたのでしたが。</t>
        </is>
      </c>
      <c r="J5771">
        <f>HYPERLINK("https://www.weblio.jp/content/手続き", "词义详情")</f>
        <v/>
      </c>
      <c r="K5771">
        <f>HYPERLINK("https://yourei.jp/手続き", "查看例句")</f>
        <v/>
      </c>
    </row>
    <row r="5772">
      <c r="A5772" t="inlineStr">
        <is>
          <t>徹底</t>
        </is>
      </c>
      <c r="B5772" t="inlineStr">
        <is>
          <t>成功</t>
        </is>
      </c>
      <c r="C5772" t="inlineStr">
        <is>
          <t>読み方：てってい
［名］(スル)《底までつらぬき通ることの意》
１中途半端でなく一貫していること。「—した利己主義者」
２すみずみまで行き届くこと。「会の趣旨を—させる」「命令が—しない」</t>
        </is>
      </c>
      <c r="D5772" t="inlineStr">
        <is>
          <t>徹底させる(2%)；徹底ぶり；徹底抗戦；徹底化；徹底すれ</t>
        </is>
      </c>
      <c r="E5772" t="inlineStr">
        <is>
          <t>普及；定着；浸透；一般化；流布</t>
        </is>
      </c>
      <c r="F5772" t="inlineStr">
        <is>
          <t>周知徹底；普及徹底；徹底取材；徹底させよ；かなり徹底</t>
        </is>
      </c>
      <c r="G5772" t="inlineStr">
        <is>
          <t>徹底抗戦；徹底的行動主義；徹底検証；徹底排除；徹底操作</t>
        </is>
      </c>
      <c r="H5772" t="n">
        <v>29</v>
      </c>
      <c r="I5772" t="inlineStr">
        <is>
          <t>下水道は建設にあたって地上の道路以上に直線化・画一化が徹底された。；機密情報の保護の観点からは適切な廃棄方法を徹底することが重要になる。；また、自らの軍隊に徹底した訓練を行うと共にそのマニュアル化を行った。；ラファエル前派は自然にとっての真実性を追求することを徹底していた。；音楽・話題などジャンルにとらわれない気になるランキングを徹底分析する。；作風は自然主義リアリズムで、脚本執筆の際には徹底した調査を行った。；だがこの姿勢はしかし神話を明確に拒絶するほど徹底したものでもなかった。；また後述する事故が元となって、雷に対する警戒を徹底させることでも有名。；また実施された区間においてもそれが徹底されていたとはいえない面があった。；また、安全への配慮と維持管理の不徹底が原因の事故も発生している。；この事件の後、迫害はさらに徹底され、弾圧は凄惨なものになっていく。；警察庁では、同社を含む携帯電話各社に本人確認の徹底を再度要請した。；また、各校舎に併設している学生寮では徹底した生活の管理が行われている。；この反乱を受けて囎唹郡はさらに分割され隼人の管理は徹底された。；貴乃花親方の指導が徹底していれば、事件は起きなかったでしょう。；発売直前まで徹底した情報管制が敷かれ、詳細はなかなか公開されなかった。；以降は私塩を認めたものの官衙の徹底した管理に置かれた。；イネ科とカヤツリグサ科の花は、この方向の変化をより徹底したものである。；母以上に徹底した改革を行おうとしたため、たびたび母との間で衝突が起こった。；かつては徹底した厳しい体制がとられ教育役の寮長もいた。；またボクシングの基礎を徹底させ、防御と正確なパンチ技術の向上を指導した。；この南巡は費用は全て宮廷から支出するという、徹底したものだった。；知らずにこの通貨を使った者さえ投獄するという徹底ぶりであった。；当初はアメリカなどの一部でドイツの徹底した脱工業化・非ナチ化が構想されていた。；改造は徹底しており、外観から見ると客船であった頃の面影はほとんどない。；その大きな特徴として挙げられるのがリアル路線の徹底化である。；出入りする病院関係者も、徹底した殺菌工程を経て内部に出入りすることとなる。；ベース内には英語が通じない日本人従業員もいるため、連絡を徹底させるためであると推測される。；この話は、何でも徹底して行う信長の性格を現すエピソードとしても語られている。</t>
        </is>
      </c>
      <c r="J5772">
        <f>HYPERLINK("https://www.weblio.jp/content/徹底", "词义详情")</f>
        <v/>
      </c>
      <c r="K5772">
        <f>HYPERLINK("https://yourei.jp/徹底", "查看例句")</f>
        <v/>
      </c>
    </row>
    <row r="5773">
      <c r="A5773" t="inlineStr">
        <is>
          <t>徹底的</t>
        </is>
      </c>
      <c r="B5773" t="inlineStr">
        <is>
          <t>成功</t>
        </is>
      </c>
      <c r="C5773" t="inlineStr">
        <is>
          <t>読み方：てっていてき
［形動］徹底するさま。どこまでも一貫して行うさま。「—な責任追及」「—に調査する」</t>
        </is>
      </c>
      <c r="D5773" t="inlineStr">
        <is>
          <t>徹底的な調査；徹底的な弾圧；徹底的な破壊；徹底的に調べ上げ；徹底的な捜査</t>
        </is>
      </c>
      <c r="E5773" t="inlineStr">
        <is>
          <t>まったく；全く；すっかり；丁寧；十分</t>
        </is>
      </c>
      <c r="F5773" t="inlineStr">
        <is>
          <t>徹底的に叩きのめし；徹底的な家宅捜査；徹底的譬喩性；徹底的に教え込ま；徹底的な農地改革</t>
        </is>
      </c>
      <c r="H5773" t="n">
        <v>29</v>
      </c>
      <c r="I5773" t="inlineStr">
        <is>
          <t>このあたりの事情は2冊の著作の中で徹底的かつ詳細に検証されている。；しかし徹底的に性能を追求した為に居住性や整備性は劣悪だったという。；さらにウィリアム1世は北イングランドを徹底的に破壊することにした。；しかしながら、反対派の活動が徹底的に排除される中での選挙であった。；事件は、彼に反対勢力を徹底的に根絶する決意を固めさせたといわれる。；魔化魍の種類ごとに性格や特徴は異なるが、共通して根は徹底的に冷酷。；徹底的に体を使って力みを取り去り、また、逆に全身の力を抜いて動く。；ミッチャーはまず、これら負の面を徹底的に改善して部隊環境を整えた。；この地域の経済成長の可能性は無視できないが、徹底的な開発が必要である。；また矢島賢との共同作業に徹底的にこだわったアルバムだと語っている。；大学や研究所の発行する通常の紀要の形式を徹底的に真似ている。；彼は何年もの間、徹底的な人間存在の性質についての研究をしてきたと主張した。；エンゲルスはこれを徹底的に批判、同盟より新草案の作成を一任される。；は とは異なり、個人の好みに合わせて徹底的にカスタマイズできる。；山城には事前に徹底的な清掃と修理、天皇滞在の為の改造が施されていた。；この成功により、彼はタンパク質全般を徹底的に研究することを決めた。；企画性を重視し、性の限界を徹底的に追及した作品が中心である。；訴訟手続きは、アラヤの主張を徹底的かつ批判的に検討する場を提供した。；デビュー直後は好きと決めた作品なら徹底的に勉強した。；それは徹底的なもので寺という寺が破壊され、神社に変えられた。；しかし政府は学生達の活動を危険視し、徹底的な弾圧を開始した。；小学生以下であっても、これが入るようになるまで徹底的に練習する場合が多い。；そんな体質が分かるのか、僕が演出になると、先輩から徹底的に嫌われた。；しかし必ずしも徹底的な打撃ではなく、氏治は再起する力を温存していた。；永楽帝は元代の宮殿を徹底的に破壊し、その上に新たに紫禁城を建設した。；その夜、村は以前の面影を窺い知ることができないほどに徹底的に破壊された。；だが委員会が暗殺事件を徹底的に掘り下げたかどうかは確信がない。；原曲とは全く正反対な徹底的にネガティブな歌詞の楽曲となっている。；しかし非妥協的なヒトラーはシュトラッサーを徹底的に非難・罵倒した。</t>
        </is>
      </c>
      <c r="J5773">
        <f>HYPERLINK("https://www.weblio.jp/content/徹底的", "词义详情")</f>
        <v/>
      </c>
      <c r="K5773">
        <f>HYPERLINK("https://yourei.jp/徹底的", "查看例句")</f>
        <v/>
      </c>
    </row>
    <row r="5774">
      <c r="A5774" t="inlineStr">
        <is>
          <t>鉄道</t>
        </is>
      </c>
      <c r="B5774" t="inlineStr">
        <is>
          <t>成功</t>
        </is>
      </c>
      <c r="C5774" t="inlineStr">
        <is>
          <t>読み方：てつどう
レールを敷き、その上に電車・列車などを走らせ、人や貨物を運ぶ陸上交通機関。日本では明治5年（1872）の新橋・横浜間の開業を最初とする。</t>
        </is>
      </c>
      <c r="D5774" t="inlineStr">
        <is>
          <t>鉄道線(3%)；鉄道建設；鉄道敷設；鉄道用；鉄道連絡船</t>
        </is>
      </c>
      <c r="E5774" t="inlineStr">
        <is>
          <t>線路；鉄道会社；鉄路；鉄道線路；軌道</t>
        </is>
      </c>
      <c r="F5774" t="inlineStr">
        <is>
          <t>西日本鉄道；同鉄道；箱根登山鉄道；相模鉄道；遠州鉄道</t>
        </is>
      </c>
      <c r="G5774" t="inlineStr">
        <is>
          <t>鉄道駅；鉄道車両；鉄道会社；鉄道省；鉄道網</t>
        </is>
      </c>
      <c r="H5774" t="n">
        <v>29</v>
      </c>
      <c r="I5774" t="inlineStr">
        <is>
          <t>本鉄道は路線延長を申請または計画したが、いずれも実現していない。；この項では臨時便扱いなど一部を除く西日本鉄道直営の路線を掲載する。；鉄道はほとんどが廃止され、代わりにチューブトレインを開設している。；したがってこれらの鉄道の運営者は法律的には鉄道事業者とは呼べない。；好きなものは鉄道と鳥で、後者の方は特に文鳥がお気に入り、とのこと。；インドや中近東でも比較的早い時期から鉄道の建設が始まっている。；特急列車も含めた県内の鉄道のほとんどがワンマン運転を実施している。；ただしこの数値は鉄道車両以外の鉄道システム部門の数値を含んでいる。；名古屋鉄道が過去にホームライナーに相当する列車を運行していた。；鉄道ではかつてはヒジャーズ鉄道が運行されていたが現在は廃止になっている。；クックが製造したレコードは、鉄道の音から嵐の音まで様々なものがあった。；イラクは鉄道が発達しており、国内の主要都市すべてが鉄道で結ばれている。；イタリア系と中国系の人々もこの時期に鉄道建設のためにやってきた。；そのほか、小売店は鉄道各駅や幾つかのバス停留所付近に集中している。；整備を進めやすいために道路よりも鉄道を優先して建設された。；彼はそうして得た資金を鉄道関連の会社に再投資していった。；分と言う時間の単位が市民の生活に現れたのは、鉄道の開通以降のことである。；軌道ではない鉄道が関係するものはこれが最初である。；そのため小田原では、これ以降必死な鉄道誘致が行われることになる。；この売店は通常の商品のほかに鉄道グッズコーナーが併設されている。；鉄道が自動車より安全であることの理由として、次のようなことが挙げられる。；標準軌鉄道の存在する国・地域とその路線長、同国内での割合は以下の通り。；鉄道路線とは、出発地と目的地の間に敷設された鉄道の線路の区間である。；鉄道が登場するまで、旅行は多くの危険を伴う行為であった。；なお二層通路橋は上下層で方向を別にしたり、道路と鉄道の併用にしたりするもの。；また、鋼索で車両を支持し運転するものも鉄道の一種としている。；のちに路面電車や鉄道にも拡大され、長崎県内の10社局が参加した。；近代的な交通機関として鉄道が実用化された当初から用いられてきた機関車である。；また、関西大手私鉄の鉄道系旅行業者では唯一の直営での運営であった。</t>
        </is>
      </c>
      <c r="J5774">
        <f>HYPERLINK("https://www.weblio.jp/content/鉄道", "词义详情")</f>
        <v/>
      </c>
      <c r="K5774">
        <f>HYPERLINK("https://yourei.jp/鉄道", "查看例句")</f>
        <v/>
      </c>
    </row>
    <row r="5775">
      <c r="A5775" t="inlineStr">
        <is>
          <t>手っ取り早い</t>
        </is>
      </c>
      <c r="B5775" t="inlineStr">
        <is>
          <t>成功</t>
        </is>
      </c>
      <c r="C5775" t="inlineStr">
        <is>
          <t>読み方：てっとりばやい
［形］
１てきぱきしている。すばやい。「仕事を—・くかたづける」
２手間がかからない。はやみちだ。簡単だ。「—・く金を貯(た)める方法」</t>
        </is>
      </c>
      <c r="D5775" t="inlineStr">
        <is>
          <t>手っ取り早い方法(15%)；手っ取り早い手段(2%)；手っ取り早いだろ；手っ取り早いところ</t>
        </is>
      </c>
      <c r="E5775" t="inlineStr">
        <is>
          <t>急；急速；簡単な；急激；速い</t>
        </is>
      </c>
      <c r="F5775" t="inlineStr">
        <is>
          <t>ほうが手っ取り早い；いちばん手っ取り早い；方が手っ取り早い；最も手っ取り早い；もっとも手っ取り早い</t>
        </is>
      </c>
      <c r="H5775" t="n">
        <v>29</v>
      </c>
      <c r="I5775" t="inlineStr">
        <is>
          <t>それよりも手っ取り早く俺たちを片付ける手段を、奴は持っているのだ。；手っ取り早いのは学校から駅までの直線距離を自転車で走ることだ。；小説にでも教科書にでも何にでも使える極めて手っ取り早いものなのだ。；そもそも何かの質を問うときには、別の何かと比べるのが手っ取り早い。；従って手っ取り早く言えば、私は自分の仕事のために音楽を利用する。；それよりあなたの恋人に信じてもらうほうが手っ取り早いでしょう。；いや、まっすぐ夕食の席に降りてゆくほうが手っ取り早いかもしれん。；手っ取り早く決めてしまいたがっている様子がありありとうかがわれる。；はじめての村で情報を仕入れるのに、いちばん手っ取り早い手段である。；これなら電子信号にしてスピーカーで出力した方が手っ取り早いね。；言うまでもなく、一番手っ取り早い方法は、彼女に聞いてみる事なのだ。；少し当らぬところもあるが、手っ取り早くいえばそういうことになるのだ。；つまり、これを手っ取り早くいえば、先生グロッキーになったのである。；そういう場所に触れないのであれば、この方法が一番手っ取り早い。；画家として有名になる手っ取り早い方法は、パリで認められることである。；一番手っ取り早いのは目を閉じることだったが、なぜかそうはできなかった。；庶民は人づき合いが多いから彼等を宣伝の具に使うのは一番手っ取り早い。；その違いを分からせるには、録画パターンを見せるのが手っ取り早い。；手っ取り早く言えば、磯屋にはもう一両の金も無くなっていたのです。；どうせ本名では泊まっていないと思ったから、この方が手っ取り早いのである。；それを避けるには、経営陣を集団制にしてしまうのが手っ取り早い。；町を破壊するのにこれほど手っ取り早いことはないだろう。；今の東京では、一番安全に、一番手っ取り早く遊ぶのは、トルコがいい。；城では手っ取り早くお宝を見つけて分捕るように、苦労したんだから。；手っ取り早く金を稼ぐには、危険な仕事を引き受けなくてはならない。；ジーナの発案で手っ取り早く強くなれる薬の材料を探しに行くことになる。；彼の利己的な性格から判断して、最も手っ取り早い処分方法が容易に推測される。；カタギとわかってもらうには、殊勝になるのが一番手っ取り早いのだ。；それがお金をかけずに勝利する手っ取り早い方法なの。</t>
        </is>
      </c>
      <c r="J5775">
        <f>HYPERLINK("https://www.weblio.jp/content/手っ取り早い", "词义详情")</f>
        <v/>
      </c>
      <c r="K5775">
        <f>HYPERLINK("https://yourei.jp/手っ取り早い", "查看例句")</f>
        <v/>
      </c>
    </row>
    <row r="5776">
      <c r="A5776" t="inlineStr">
        <is>
          <t>撤廃</t>
        </is>
      </c>
      <c r="B5776" t="inlineStr">
        <is>
          <t>成功</t>
        </is>
      </c>
      <c r="C5776" t="inlineStr">
        <is>
          <t>読み方：てっぱい
［名］(スル)それまで行われてきた制度やきまりなどをとりやめること。「規則を—する」</t>
        </is>
      </c>
      <c r="D5776" t="inlineStr">
        <is>
          <t>撤廃する(7%)；撤廃される(4%)；撤廃運動；撤廃後；撤廃しよ</t>
        </is>
      </c>
      <c r="F5776" t="inlineStr">
        <is>
          <t>完全撤廃；アパルトヘイト撤廃；治外法権撤廃；学区撤廃；不平等条約撤廃</t>
        </is>
      </c>
      <c r="H5776" t="n">
        <v>29</v>
      </c>
      <c r="I5776" t="inlineStr">
        <is>
          <t>圧力の下、米国と日本はこのような規制を撤廃すべく交渉を行っている。；現在ではレベル別の分け方は撤廃されており特進コースのみとなっている。；アメリカとカナダの間の貿易は既にほとんどの関税が撤廃されていた。；なおアムゼにあった様々な施設の撤廃は徐々に実施されたものである。；過去数十年間で死刑の一時停止あるいは完全な撤廃も検討されてきている。；その代わりに、それまであったゲストアクセスの制限が撤廃された。；税金の一部を撤廃することは危機に対する明白な解決策の1つであった。；守備区域の撤廃と防御設備の撤去が事件を誘発したわけではない。；実際に、発表前に以下の都市で都市戸籍取得制限緩和や撤廃が行われた。；関税を撤廃させるための南部戦略の一部は西部との連携を手配することだった。；ドイツ・オーストリアとの不平等条約は即座に撤廃することが出来た。；前年までは大会参加国の数は40に制限されていたが、今大会では制限は撤廃された。；国際会議において人種差別撤廃を明確に主張した国は日本が世界で最初である。；標準服はあるが、制服自体は1970年代の学園紛争末期に撤廃された。；かつては外国人枠があったが現在は撤廃され、ドイツ同様に自国人枠を設けている。；燃費規制が撤廃され、エアリストリクターを使用して性能調整が行われた。；かつては銀行など個々の金融機関の広告も規制されていたが、撤廃されている。；司令塔の防御装甲は撤廃され、STS16mmの弾片防御に止められた。；これをもってWWE管理の選手権からディーヴァの呼称が撤廃された。；ただし、諸般の理由により一旦撤廃したが再度導入されたゲームも存在する。；そして新しく導入された税のほとんどは撤廃されたが、茶への課税は継続された。；通貨法によってニューヨークはあらゆる紙幣を撤廃することを要求された。；この中で各国は銀行業への規制を次第に撤廃し、競争的な銀行システムが形成されていった。；また解除金が撤廃されており、契約期間内での移籍がほぼ不可能な状態となった。；アメリカとの交渉でも内地雑居や日本の輸出税撤廃を求められた。；そこで1月から自主規制を撤廃していた米銀が資金を供給した。；以前まで多機能な邸宅が配置されていたが、JPサーバーではこれらを撤廃。；物品税撤廃までは、少ないが Pt700 以下の製品も製造されていた。；なお体験サービス期間中は制限が撤廃され、すべての電話番号で登録が可能。</t>
        </is>
      </c>
      <c r="J5776">
        <f>HYPERLINK("https://www.weblio.jp/content/撤廃", "词义详情")</f>
        <v/>
      </c>
      <c r="K5776">
        <f>HYPERLINK("https://yourei.jp/撤廃", "查看例句")</f>
        <v/>
      </c>
    </row>
    <row r="5777">
      <c r="A5777" t="inlineStr">
        <is>
          <t>天辺</t>
        </is>
      </c>
      <c r="B5777" t="inlineStr">
        <is>
          <t>成功</t>
        </is>
      </c>
      <c r="C5777" t="inlineStr">
        <is>
          <t>読み方：てっぺい
《「てへん（天辺）」の音変化》「てっぺん」に同じ。
「—より太腹まで節々込めてから竹わり」〈浄・女護島〉</t>
        </is>
      </c>
      <c r="D5777" t="inlineStr">
        <is>
          <t>天辺付近</t>
        </is>
      </c>
      <c r="E5777" t="inlineStr">
        <is>
          <t>頭；首；頭部；山頂；冠</t>
        </is>
      </c>
      <c r="H5777" t="n">
        <v>29</v>
      </c>
      <c r="I5777" t="inlineStr">
        <is>
          <t>ところが、兄妹はちょうどその木の天辺に隠れていたのでございました。；彼は両手を組んで椅子の背の天辺におき、尖った顎をその上にのせていた。；有香子姫は、あの塔の天辺にある小部屋で死体となって見つかったんだ。；山の天辺から二メートルは軽く超そうかという大柄な男が立ち上がった。；森の一番高い木の天辺に、大鷲が止まってその異様に大きな羽を広げていた。；見る間にその石には天辺から底部まで口が開き、中に木の形をした層が見えた。；わかるのは、頭の天辺の方が上で、足の裏の方が下だ、というぐらいだった。；窓の向こうには建物の影は一つもなく、ここは摩天楼の天辺だった。；塔の天辺に登った3人は、自殺を図ろうとしていた一人の女性を救う。；きらめく表面の天辺から底まで黒い亀裂が網の目のようにはしったのだ。；それらの美しい風景を一望できる、高い高い塔の天辺に二人はいる。；頭の天辺から足の先まで突っ走る激情に、俺の心と体は完全に支配されていた。；次の瞬間、一瞬の金色の閃光を放って、丘の天辺に生えていた樹が消滅した。；いつやらほどから、この椎の木の天辺に一羽の鳶がとまるようになった。；女といっしょに草の上を歩いて行くと、急に絶壁の天辺へ出た。；それぞれの天辺には、時をつげる雄鶏に似た風見鳥が作りつけられている。；何とかサル共が塔の天辺まで埋めつくしてしまう前に、王女を助けよう。；天辺の穴は六曜の透かし入っているもの、一つ穴が開いているものなどがある。；山の天辺のあたりが赤と紫で透き通るような具合になっていた。；この瞬間に、みにくい顔をした男は彼の三角帽の天辺の穴をしらべてました。；寒風を思わせる吐息がかれの頭の天辺から足のつま先まで吹きぬけた。；まん丸の天辺には、人の顔に見えなくもない発条と歯車の細工があります。；問題はより一般化され、なぜ頭の天辺では動物一般に毛が濃いのか、という問題になる。；空がよく晴れて十三日の月がその天辺にかかりました。；王子 丘の天辺の方へ歩いて行つたよ、俺が探して来よう。；木の天辺まで登ってしまうと、また風呂敷のようにふわりと別の木に降りる。；駅舎は南側のホームに面しており、天辺に十字架を持つ教会風の外観となっている。；何一つ生えていない裸の大岩石の天辺に、真四角な塔が聳えています。；その書架の狭間に置かれた階段型脚立の天辺に、少女が腰掛けていた。</t>
        </is>
      </c>
      <c r="J5777">
        <f>HYPERLINK("https://www.weblio.jp/content/天辺", "词义详情")</f>
        <v/>
      </c>
      <c r="K5777">
        <f>HYPERLINK("https://yourei.jp/天辺", "查看例句")</f>
        <v/>
      </c>
    </row>
    <row r="5778">
      <c r="A5778" t="inlineStr">
        <is>
          <t>鉄棒</t>
        </is>
      </c>
      <c r="B5778" t="inlineStr">
        <is>
          <t>成功</t>
        </is>
      </c>
      <c r="C5778" t="inlineStr">
        <is>
          <t>読み方：かなぼう
１鉄製の棒。特に、鉄尖棒(かなさいぼう)。「鬼に—」
２頭部にいくつかの鉄の輪をつけた、長いつえのような鉄の棒。夜回りや行列の先頭に立つ者などが地面に突いて鳴らして歩く。
３体操器具の一。てつぼう。
４「金棒引き」の略。</t>
        </is>
      </c>
      <c r="D5778" t="inlineStr">
        <is>
          <t>鉄棒種目；鉄棒団体競技と平行棒；鉄棒ラマ</t>
        </is>
      </c>
      <c r="F5778" t="inlineStr">
        <is>
          <t>長い鉄棒；高い鉄棒；細い鉄棒；種目別鉄棒；頑丈な鉄棒</t>
        </is>
      </c>
      <c r="H5778" t="n">
        <v>29</v>
      </c>
      <c r="I5778" t="inlineStr">
        <is>
          <t>その鉄棒で実行しようとしていたどんな計画があったかはわからないが。；これは棒を持った状態でも余裕で足が付く、子供用鉄棒などが使われる。；それに此奴はこの鉄棒をこれだけ喰はしても素知らぬ顔をしてゐやがる。；静かに鉄棒をふりあげたつもりだったが、かすかな音はたてたかもしれぬ。；わたしは胸に赤熱の鉄棒を突きさされたように、声をあげて泣き叫んだ。；興奮した消防団員たちは、鳶口や鉄棒を手に出発の準備にとりかかった。；その中の二人が、銃を持ち、他の連中も、鉄棒のような武器を持っていた。；よって、いかに胴体を鉄棒に近付けることができるかが重要な点となる。；左手には小さなウィーナを抱え、右手に鉄棒を握っていたのだからね。；鉄棒の周囲の上級生たちが、エッと驚いたような顔をして振り向きます。；二人の髭面男は互いの鉄棒をそれぞれの胸に受けた姿で立ち尽くしていた。；層と層との間のかすかな隙間をみつけて鉄棒の先を入れ、石を剥がす。；ここで像は11mの高さに組み立て直されて内部の鉄棒で固定された。；運動が苦手な子供だったらしく、父親が作った鉄棒も使えないほどだった。；僕は鉄棒を捨ててしまった、それを使わなかったのをいささか残念に思いながらね。；足がつかないような高い鉄棒で逆上がりをする場合について説明する。；四角に口が開いて、そこに五本ばかり鉄棒が植え込まれただけのもの。；綱はまず荷造り糸ぐらいの太さ、鉄棒はおよそ編物針ぐらいの長さでした。；子供部屋の窓については、鉄棒でもおかいになることをおすすめします。；申し訳程度にある鉄棒は赤錆びていて、もう何年も磨かれていないようだ。；装置は鉄棒と3Dプリンタで製造された樹脂製の部品で結合される。；窓の所へ行ってみましたが、太い鉄棒の格子がついていて、身体が通りません。；ただブロズキーを殴るために使った鉄棒が転んでいるのが目についた。；もしかすると、俺は勉強より鉄棒の方が才能があるかなと思った。；地元の病院には鉄棒や爆弾の破片で手足に負傷した市民が搬送された。；友美は回転を止め、足を前に投げ出すようにして、鉄棒にぶら下がった。；たかいところに鉄棒のはまった小さな窓があるきりの、くらい牢屋です。；ケンタくんは、鉄棒がどういうことをするものなのかわかりました。；片手に鉄棒、もう一方の手はポケット内のマッチをもてあそんでいた。</t>
        </is>
      </c>
      <c r="J5778">
        <f>HYPERLINK("https://www.weblio.jp/content/鉄棒", "词义详情")</f>
        <v/>
      </c>
      <c r="K5778">
        <f>HYPERLINK("https://yourei.jp/鉄棒", "查看例句")</f>
        <v/>
      </c>
    </row>
    <row r="5779">
      <c r="A5779" t="inlineStr">
        <is>
          <t>鉄砲</t>
        </is>
      </c>
      <c r="B5779" t="inlineStr">
        <is>
          <t>成功</t>
        </is>
      </c>
      <c r="C5779" t="inlineStr">
        <is>
          <t>読み方：てっぽう
１火薬の爆発に伴うガス圧によって弾丸を発射する金属製の火器。ふつう小銃をいう。古くは大砲をも称した。
２《形が1に似ているところから》据え風呂の下部や隅に取り付け火をたくようにした鉄製または銅製の筒状の釜(かま)。
３相撲で、両手または片手に力をこめて、相手のからだをつきとばすもの。柱に手を打ち付けてその稽古をすることにもいう。
４狐拳(きつねけん)（藤八拳）の手の一。こぶしを固めて左腕を前方に突き出し、鉄砲1を撃つまねをして猟師を表すもの。
５《毒にあたると死ぬところから》フグの俗称。
６「鉄砲巻き」の略。
７牛や豚の直腸。主に焼き肉にして食し、やや歯ごたえがある。
８劇場で、1階中央の席。椅子席でなかった時代には、最も見やすく出入りに便利な席とされた。劇場と縁故をもつ観客のために急にずどんと席をとることがあったところからという。
９「鉄砲見世」の略。
「大町六十幾軒に五十軒の河岸見世、—に至るまで」〈洒・志羅川夜船〉
10ほら。大言。また、うそつき。
「いやいや、飛八さんの話はいつも—だて」〈滑・浮世風呂・四〉</t>
        </is>
      </c>
      <c r="D5779" t="inlineStr">
        <is>
          <t>鉄砲隊(7%)；鉄砲洲(4%)；鉄砲組；鉄砲頭；鉄砲足軽</t>
        </is>
      </c>
      <c r="E5779" t="inlineStr">
        <is>
          <t>銃；筒；ライフル；小銃；火器</t>
        </is>
      </c>
      <c r="F5779" t="inlineStr">
        <is>
          <t>築地鉄砲；先手鉄砲；鉄砲肩；銀玉鉄砲；鉄砲撃ち</t>
        </is>
      </c>
      <c r="G5779" t="inlineStr">
        <is>
          <t>鉄砲水；鉄砲鍛冶；鉄砲町；鉄砲伝来；鉄砲方</t>
        </is>
      </c>
      <c r="H5779" t="n">
        <v>29</v>
      </c>
      <c r="I5779" t="inlineStr">
        <is>
          <t>その時、又十郎が指揮する鉄砲隊が天野隊を次々と返り討ちにしていた。；また、八幡神社前には鉄砲場であったことを示す石碑が設置されている。；そしてベンチに何かいるのを見つけ、鳥だと思って近づいて鉄砲を撃つ。；アクション自体は鉄砲隊と変わりはないが、以下の点で鉄砲隊と異なる。；鉄砲の生産が始まって間もなく、銃は日本の兵士の主要装備となっていった。；このことから、当時既に鉄砲が使用されていたと推測されている。；後に秀吉の直臣となり、豊臣家の鉄砲頭に抜擢され1万石を与えられた。；兵士を従えている時や大名ゲームで鉄砲購入のお使い命令が出ている時は登場しない。；鉄砲の生産・価格が変わらないとすれば、名目GDPは232円となる。；その文化人のもつ全ての家宝をすでに購入している場合は鉄砲が手に入ることがある。；すると、鉄砲の腕は山から転がした丸鉢を撃ち当てられる程に上達した。；ただし、鉄砲についてはこれ以前に使用されていたとする異説もある。；なお、彼らがリキュールや鉄砲を日本に最初に持ち込んだとする説もある。；最後は鬼太郎のちゃんちゃんこで身柄を拘束され指鉄砲を受け消滅した。；上杉景勝が天正14年に鉄砲組の中から練達の者を集めたことに由来。；四股や鉄砲の型がおかしいと、部屋付の親方衆は熱心に指導し直してくれた。；また島津軍が大量の鉄砲を防御に使用し、効果を挙げたことも大きな要因である。；片倉は部隊を前後2隊に分け、左右に鉄砲隊を展開させて攻撃した。；東日本では鉄砲を用いた害獣駆除を目的とした狩猟が実施されていた。；ただしそれまでの鉄砲知は差し戻されたので、総禄高は500石である。；鉄砲を恐れることなく、義和団の男性組織と連合して作戦にあたった。；戦国時代、諸大名は戦のため鉄砲が必要で手に入れるには金銀が必要だった。；慶長年間に清洲越しに伴い、鉄砲師が移住したことに由来する地名とされる。；少年時代は、神社の本殿を鉄砲で撃ち抜くなどの悪戯をしたといわれる。；またその使用時には刀も鉄砲も火花を散らす事も鉄火を意味するようになった。；鍛冶屋が多く配置され、刀や鉄砲の生産が行われたことに由来。；それ以外は、互いの陣から散発的に鉄砲を射掛けるぐらいのものであった。；鉄砲や刀も使用され、新政府の役人が殺害される例も見られる。；定九郎が倒れている場所に、猪を狙って鉄砲を撃った勘平がやってくる。</t>
        </is>
      </c>
      <c r="J5779">
        <f>HYPERLINK("https://www.weblio.jp/content/鉄砲", "词义详情")</f>
        <v/>
      </c>
      <c r="K5779">
        <f>HYPERLINK("https://yourei.jp/鉄砲", "查看例句")</f>
        <v/>
      </c>
    </row>
    <row r="5780">
      <c r="A5780" t="inlineStr">
        <is>
          <t>徹夜</t>
        </is>
      </c>
      <c r="B5780" t="inlineStr">
        <is>
          <t>成功</t>
        </is>
      </c>
      <c r="C5780" t="inlineStr">
        <is>
          <t>読み方：てつや
［名］(スル)夜どおし寝ないで過ごすこと。「—で看病する」「—して論文を仕上げる」</t>
        </is>
      </c>
      <c r="D5780" t="inlineStr">
        <is>
          <t>徹夜明け(3%)；徹夜仕事；徹夜続き；徹夜作業；徹夜麻雀</t>
        </is>
      </c>
      <c r="E5780" t="inlineStr">
        <is>
          <t>夜通し；不眠不休；オールナイト；徹宵；夜なべ</t>
        </is>
      </c>
      <c r="F5780" t="inlineStr">
        <is>
          <t>晩徹夜；連日徹夜；幾晩も徹夜；ゆうべ徹夜；徹夜なんか</t>
        </is>
      </c>
      <c r="G5780" t="inlineStr">
        <is>
          <t>徹夜祷</t>
        </is>
      </c>
      <c r="H5780" t="n">
        <v>29</v>
      </c>
      <c r="I5780" t="inlineStr">
        <is>
          <t>私たちはその晩ほとんど徹夜で事件の状況をあらゆる角度から検討した。；数日の徹夜作業の後、番組放送直前まで編集作業をしていたこともあった。；現在の階級に昇進して以来、徹夜の仕事などはしなくなっているのである。；三日の夜などは暴風雨のなかを千余名の警官が徹夜で警戒にあたった。；日本だったら一週間位徹夜して実験をした位に思ったようであった。；だが、この異常な事態の連続に、彼らは徹夜で粘ることを決意したのだ。；さうしてぶつ続けの徹夜を八日あまりして、どうにか一先原稿ができた。；哲学に興味を持ち、寮の友人たちと自己解放について徹夜で議論をした。；翌朝起きた時、ビルは徹夜で看病をした母の膝の上で冷たくなっていた。；あ、その写真は新幹線開通の時に徹夜して並んだ時の写真なんですよ。；この月に入ってからは、徹夜で並ぶ人たちの光景もよく見られるようになる。；眠れない升田は、徹夜の警戒員の話声や足音に悩まされたと云っていた。；非常に研究熱心だが、そのため徹夜して寝坊で遅刻することもしばしば。；徹夜の仕事を続け睡眠不足に疲労した主人はなお入れ度くないと思った。；徹夜に慣れてはきていたが、それでもやはり三日の連続作業は堪えた。；授業だけなら一晩の徹夜くらい平気だが、数学となると話がまた別だ。；それは昨夜この部屋で徹夜し、その疲れが影響してゐるのではない。；徹夜には慣れているはずの須永が、今朝はいつになく疲労を覚えていた。；叶たけしの件では、室さんと徹夜に近い話しあいをいく晩も重ねていた。；二足歩行形態や飛行形態を出現させるのに徹夜したりもしましたよ。；自分とマッコイとで、この徹夜集会を企画し、開催を主張したのだった。；最後の日には徹夜で収穫をし、目標の日に全部を収穫することに成功する。；また徹夜しても約束の時間までに菓子を製造して届けねばならぬこともある。；翌八日からは議会へ提出する質問書の執筆にかかり、九日もそのために徹夜した。；徹夜か、それに近いくらいのオーバワークをしてきたのかもしれない。；工場で徹夜をしたあとは、ピート以外の誰もぼくの匂いに耐えられないのだ。；しかし、司祭がこうした徹夜祭の習慣を止めさせてしまったのである。；ひとつには、体が徹夜をする体になってしまっていたためだろう。；気狂いみたいにレコードプレーヤーを直し、徹夜して勉強して来たのだ。</t>
        </is>
      </c>
      <c r="J5780">
        <f>HYPERLINK("https://www.weblio.jp/content/徹夜", "词义详情")</f>
        <v/>
      </c>
      <c r="K5780">
        <f>HYPERLINK("https://yourei.jp/徹夜", "查看例句")</f>
        <v/>
      </c>
    </row>
    <row r="5781">
      <c r="A5781" t="inlineStr">
        <is>
          <t>でないと</t>
        </is>
      </c>
      <c r="B5781" t="inlineStr">
        <is>
          <t>成功</t>
        </is>
      </c>
      <c r="D5781" t="inlineStr">
        <is>
          <t>でないとお前；でないと僕；でないとわたし；でないとあたし</t>
        </is>
      </c>
      <c r="H5781" t="n">
        <v>29</v>
      </c>
      <c r="I5781" t="inlineStr">
        <is>
          <t>でないと鏡を見ても自分で自分の姿が見えないという事態に陥るだろう。；あいつに何も言っちゃならんぞ、でないと、また当てにするだろうから。；でないと良質材料の選択に一生不自由を重ねなければならんからである。；でないと先生と神様は、存在しない罪を赦してしまったことになります。；でないとすれば、慰藉料のようなものでも請求されるつもりなんですか?；でないと、せっかくそこに心の平和を求めてきたことが無駄になるだろう。；でないとあなたのお付きの偽女みたいに、荒れ果てた肌になってしまう。；でないと、おれは番組に出演できなくなる可能性だってなくはない。；すぐ放して下さい、でないと、あなたを非常に失礼な人だと思いますよ!；でないと確かなものなんか何も手にできないんじゃないかな。；彼は全部を公開しなければならない、でないと、職務を汚すことになる。；でないと、塗られた岩の数は、目標の数字よりはるか下で安定してしまう。；でないと、私の幸福、私の家庭、夫との性生活が破綻の危機に直面する。；でないと、いまに駐車場になったりマンションになったりしてしまうでしょう。；でないと、俺はいつまでも演技し続けないといけないじゃないか。；でないと、父さんの耳に入って、なにもかもがおじゃんになってしまう。；でないとすれば、もともと彼はこんなに大勢の人の心をつかんでないような気がする。；でないと、これから先、僕たちはなにかも失敗してしまう気がする。；でないとわしが戻ってきて、モーニング・スター号ももらっちまうでな。；でないとお父さんもお母さんもあんたの中に余所の人がいるような気がするんだから。；でないと、こんな所に一日でも、いつときでも、がまん出來やしないの。；でないと、銀沙灘の中に眠る宝は、容易におれのものにはならないのだ。；でないと、晩にお父さまがお帰りになった時、いってあげますよ。；でないと、あなたと一言だって落ち着いて話なんかできないわけですわ。；でないと、明智君、きみはこの二十面相といっしょに死ぬことになるぞ。；でないと、軌道を離脱してしまい、二度と帰ることができなくなるからだ。；でないと大規模な避難による混乱が自治体の責任になってしまうからだろう。；「でないと、おまえの心臓に矢をぶち込むぞ」 彼は手を脇へ降ろした。；貴方も默つて被居いよ、今日の事もね、でないと又私が苛められるから。</t>
        </is>
      </c>
      <c r="J5781">
        <f>HYPERLINK("https://www.weblio.jp/content/でないと", "词义详情")</f>
        <v/>
      </c>
      <c r="K5781">
        <f>HYPERLINK("https://yourei.jp/でないと", "查看例句")</f>
        <v/>
      </c>
    </row>
    <row r="5782">
      <c r="A5782" t="inlineStr">
        <is>
          <t>手直し</t>
        </is>
      </c>
      <c r="B5782" t="inlineStr">
        <is>
          <t>成功</t>
        </is>
      </c>
      <c r="C5782" t="inlineStr">
        <is>
          <t>読み方：てなおし
［名］(スル)一応できあがったあとで、不完全な部分を直すこと。「法案を—する」</t>
        </is>
      </c>
      <c r="D5782" t="inlineStr">
        <is>
          <t>手直しする形；手直し工事；手直し役；手直しすれ</t>
        </is>
      </c>
      <c r="E5782" t="inlineStr">
        <is>
          <t>変更；変化；改造；改善；調整</t>
        </is>
      </c>
      <c r="F5782" t="inlineStr">
        <is>
          <t>一部手直し；若干手直し；お手直し</t>
        </is>
      </c>
      <c r="H5782" t="n">
        <v>29</v>
      </c>
      <c r="I5782" t="inlineStr">
        <is>
          <t>脚本はこの時に書かれたものをほとんど手直しせずに使用している。；しかしあの時には、担当編集者から手直しの依頼も受けませんでした。；埋葬施設は明らかでないが、かつて直刀や筒形銅器が出土したと伝わる。；その後、この試作機は問題箇所を手直しし、兵器化されることになった。；かつてキリトの背に装備された片手直剣の柄があった、まさにその場所を。；自分ではこれでいいと思っているのだからその手直しはかえって改悪になる。；手直し程度の改善はあったものの、この欠点は最後まで解消されなかった。；いや、中古の新型機を手直しした再生品でも買えないことはなさそうだ。；時代の変化にあわせて若干の手直しはされているが基本的なストーリーは同じである。；この板絵の手直しによりレオナルドの本来の構想は変更されてしまった。；作品は、他の事で多忙だったため、手直しを部分的にしか行わなかった。；私はその君の行為を、私が曾て直感した君の冷たさのさせる業と信じてゐた。；流れていった先でも、スペースウォーにはさまざまな手直しが加えられた。；或る物は手にて直に握りしなるべく、或る物には柄を括り付けしならん。；次第に筆が進むようになり、小手先の手直しをやめて全面改稿を重ねた。；いまはただ既存のコードを手直しするだけで、新しい構造を作ることはできない。；漸くにして小屋に帰りて直に横臥して言語する事も出来ざるに至れり。；だが、画家に絵の手直しを依頼するだけなら、それよりは安くつくはずだ。；若干の手直しと内容検証に使用した出典の補強はこちらでやっておきます。；何度も手直しをし、それをデスクに聞いてもらい、いよいよ本番となる。；分量その他のせいで、多少の手直しはたしかにやむを得ないことだらう。；そのとき、標準仕様だといい音がとれないので、一部を手直しさせたわけです。；されど心の眼さときものは肉に倚らずして直に愛の隠るる所を知るなり。；それは、時代時代の変化に対応し、少しずつの手直しがなされてきたからである。；この小説は二十七歳の時に遺言として書いたものを手直ししたものである。；これは例のような手直しのひとつであって、後になってから設計に加えられたものだった。；曲は1889年に完成をみたが、彼女は初演までの間に手直しを続けている。；そのため監督であるロートンが脚本を大幅に手直しすることで映画の撮影が開始された。；製作陣はその資料を基にして脚本の手直しにかかった。</t>
        </is>
      </c>
      <c r="J5782">
        <f>HYPERLINK("https://www.weblio.jp/content/手直し", "词义详情")</f>
        <v/>
      </c>
      <c r="K5782">
        <f>HYPERLINK("https://yourei.jp/手直し", "查看例句")</f>
        <v/>
      </c>
    </row>
    <row r="5783">
      <c r="A5783" t="inlineStr">
        <is>
          <t>出直す</t>
        </is>
      </c>
      <c r="B5783" t="inlineStr">
        <is>
          <t>成功</t>
        </is>
      </c>
      <c r="C5783" t="inlineStr">
        <is>
          <t>読み方：でなおす
［動サ五（四）］
１一度引き返し、改めて出かける。「留守でしたら明日また—・します」
２最初からやりなおす。「過去を忘れて一から—・す」</t>
        </is>
      </c>
      <c r="D5783" t="inlineStr">
        <is>
          <t>出直すしかない(3%)</t>
        </is>
      </c>
      <c r="H5783" t="n">
        <v>29</v>
      </c>
      <c r="I5783" t="inlineStr">
        <is>
          <t>出直すつもりだったが、外に出ると広い通りに人の姿はほとんどなかった。；おかげでその日はレコーダにかけられず、改めて出直すことにしたという。；戻って出直そうか、そう考えたが、目の前の女の様子が気になった。；だから今度も何か仕事にありついて出直す機会がくるかも知れない。；いそがしそうにしているので出直そうかと思ったがいいというからいいことにした。；おまえのおかげでおれも一から出直す気になったんだ。；香織はいさぎよく俺と別れて、親からも独立して、出直そうとしてた。；ここはいったん風が弱まった一瞬の隙をついて脱出し、出直そう。；これまでとまったく違った性格の人間として出直すわけである。；よって日暮れまでに発見できなければ、明日、再び出直すことになる。；私はまだ昼御飯を食べていなかったが、いったん家へ帰って出直す気にはならなかった。；出直すと言ったわりに、彼女はシートから腰を上げようとしなかった。；代助は一旦引き上げて又改ためて、父と話を付けに出直す方が便宜だと考えた。；誰にも知られぬ戸籍のない一美青年として、人生を出直す勇気はない。；私は店の雰囲気に厄介なものを感じたので、その日は店に入らず、出直すことにした。；むしろ一般の欲に即した生活を土台にして出直すのが本統ではありますまいか。；わたしたちは、何度でも、いま、ここから、出直すほかはないのです。；別の日にまた出直す勇気がどうしても出なかった。；それで彼は、いったん古巣へ立ちもどって、新たに出直すがいいと考えたのだった。；大騒ぎして逃げ返った後、明日出直そう、ということに話はまとまった。；「そうだね、いったん諦めて、出直すか」 李が顔をこちらへ向けた。；いずれにせよ整理するには改めて出直すしかない。；もう二度と出直す勇氣がなくなつてそれつきりそのまゝになつてしまつた。；代助は一旦引き上げて又改ためて、父と話を付けに出直す方が便宜だと考へた。；この暑さの中を出直すのは辛いと思ったが、仕方のないことだ。；室内に人気がないので、彼女は出直そうかと思ったが、部屋の奥にだれかがいることに気付いた。；おれも新しい場所で出直そうと思とってな。；近くなら、もう一度出直すことも考えられたが、ここは日野市の高幡不動。；けれども、ここらで身を固めて出直さなければとまじめになって考えてもみた。</t>
        </is>
      </c>
      <c r="J5783">
        <f>HYPERLINK("https://www.weblio.jp/content/出直す", "词义详情")</f>
        <v/>
      </c>
      <c r="K5783">
        <f>HYPERLINK("https://yourei.jp/出直す", "查看例句")</f>
        <v/>
      </c>
    </row>
    <row r="5784">
      <c r="A5784" t="inlineStr">
        <is>
          <t>手抜き</t>
        </is>
      </c>
      <c r="B5784" t="inlineStr">
        <is>
          <t>成功</t>
        </is>
      </c>
      <c r="C5784" t="inlineStr">
        <is>
          <t>読み方：てぬき
［名］(スル)
１しなければならない手続きや手間を故意に省くこと。「仕事を—する」「—工事」
２囲碁・将棋で、普通なら応手すべき所を省いて他の好所に着手すること。
３仕事の手が休まること。暇になること。
「一旦はいかにも—のなるものなれども」〈浮・新永代蔵・三〉</t>
        </is>
      </c>
      <c r="D5784" t="inlineStr">
        <is>
          <t>手抜き工事(18%)；手抜き料理</t>
        </is>
      </c>
      <c r="E5784" t="inlineStr">
        <is>
          <t>軽視；怠慢；ないがしろ；怠り；ほったらかし</t>
        </is>
      </c>
      <c r="H5784" t="n">
        <v>29</v>
      </c>
      <c r="I5784" t="inlineStr">
        <is>
          <t>訴訟の経過の中で、一部に手抜き工事が行なわれていた疑いも出てきた。；まあ、こういうわかればいいや的な手抜きは俺の好みには合うんだが。；しかし、この感想文を読む限り、そんな手抜きをしているとも思えない。；工事に手抜きの不正が行われていたことは、すでに和子にはわかっていた。；あの手抜きには何か理由があったんじゃないかって気づいたのよ。；建築業者に頼んで修理してもらうのだが、資材不足のためか手抜き工事が多い。；誰だろうが、うちの仕事場を使う仕事に手抜きやいい加減は許さねえ。；イトウ・マサヨからモリ・ヨーコになっても、私は手抜きはしていない。；体の小さい動物は、いくら体が小さいからといって手抜きをして体を作るわけにはいかない。；永瀬 それが手抜きとか登板拒否だとか当時は言われたわけだ。；デザインを大きく無視するほど、手抜きだったことなのだから。；しかし、ひいき目でなく、どの映画でも彼だけはあまり手抜きをしていない。；誰もみていないけれど、手抜きなんかする気は起きなかった。；米国市場はホンダの生命線だけに少しも手抜きは許されない。；あんな顔で礼を言われた日には手抜きもできねえ。；そしてそれも余程慎重に突かぬと、相手に手抜きをされる惧れがある。；あの穴は昔の人の手抜き工事だったのだろうか。；このときは正直、電話工事の仕事が手抜きゆえに早く終わるのがありがたかった。；手抜き工事で造られた建物全体が今にも丸ごと崩壊しそうな恐怖感を与える。；実際、調べれば調べるほど、手抜き工事がいたるところで行われていた。；不思議なもので、一般棋戦だと、そうした読みの手抜がケガにならない。；手抜きの焼き飯だが、独身時代はいつもお世話になっていたメニューだ。；そうした手抜きの技術も身に付けられなかった学生の中には、完全に脱落していく者も出てくる。；それは分かっていても、これが殺人事件である以上、捜査の手抜きは許されない。；私には手抜きにしか聞こえなかったけど、兄さんがそう言うのでしたらそうなんでしょうね。；また、手抜き工事のため、土台ごと建物すべてが盗まれたこともある。；あるメディアでは手抜き工事が原因と伝えられた。；院長が節税のために、防災設備に手抜きをしていたのが原因だった。；非常に繊細なボディラインと手抜きのない作りからそう名づけられた。</t>
        </is>
      </c>
      <c r="J5784">
        <f>HYPERLINK("https://www.weblio.jp/content/手抜き", "词义详情")</f>
        <v/>
      </c>
      <c r="K5784">
        <f>HYPERLINK("https://yourei.jp/手抜き", "查看例句")</f>
        <v/>
      </c>
    </row>
    <row r="5785">
      <c r="A5785" t="inlineStr">
        <is>
          <t>手拭い</t>
        </is>
      </c>
      <c r="B5785" t="inlineStr">
        <is>
          <t>成功</t>
        </is>
      </c>
      <c r="C5785" t="inlineStr">
        <is>
          <t>読み方：てぬぐい
手・顔・からだなどをふくのに用いる布。鉢巻きやほおかぶりなどにも使う。ふつう、一幅(ひとの)の木綿を3尺（約90センチ）に切ったもので、模様や文字が染め出してある。</t>
        </is>
      </c>
      <c r="D5785" t="inlineStr">
        <is>
          <t>手拭いを巻きつけ；手拭いで眼隠し；手拭いを頭から；手拭いオナゴ</t>
        </is>
      </c>
      <c r="E5785" t="inlineStr">
        <is>
          <t>タオル；手拭；巾；手ぬぐい；手巾</t>
        </is>
      </c>
      <c r="F5785" t="inlineStr">
        <is>
          <t>日本手拭い；白い手拭い；首に手拭い；花色手拭い；白手拭い</t>
        </is>
      </c>
      <c r="H5785" t="n">
        <v>29</v>
      </c>
      <c r="I5785" t="inlineStr">
        <is>
          <t>手拭いを頭にかけた女が、木の台に尻を降ろし、前に、箱を置いていた。；手拭いで頬被りをしているので正確な年はわからないが、六十前後だろう。；枕許に水を入れた桶が置いてあり、額の上には濡れ手拭いがのせてあった。；では顔を見ぬようにすればと、梅川は手拭いで孫右衛門に目隠しをした。；それを額の上にのせて手拭いでしばり、落ちないようにしてから横になった。；ビデオホールのプロデューサーが首に手拭いを巻いていたのを覚えている。；母は手拭いで姐さんかぶりをして、まず外に出て七輪の火を起こす。；男が湯を入れた鍋を持ってくると、濡れ手拭いで私の額の汗を拭いてくれた。；寝そべっていた男は背を立て、きたならしい手拭いで耳の下をこすった。；富治は頭に載せていた手拭いをとって、それとなく自分の前を隠した。；善造は鍵蔵のところに歩いてくると、手拭いで口を隠すようにして告げた。；道端の畑では、頭に白い手拭いをかぶった女が新しい畝に種を蒔いていた。；家の前で立ち話する手拭いをかぶった女と、子供を抱いた若い母親。；最後にまた鬼になって、手拭いで目から耳までぐるぐる巻きにされて立っている。；そこへ、台所から、手拭いをあねさんかぶりにしたおかみさんが顔を出した。；冷水につけられた別の手拭いが自分の額に載っているのを感じた。；「お、やっと戻ってきましたね」 階段で手拭いを肩にした男二人と出会った。；手拭いを頬かぶりして、着物の上には犬皮の背中あてをしている。；私は手早く着物を脱ぐと、手拭いと糠袋を持って風呂場に入っていった。；ひとつ前の座席では、手拭いを頭にした中年を少し過ぎた女が居眠りしている。；松倉屋の家紋の入った白い手拭いを、もう何枚も千花は持っている。；手拭いに隠した一本の棒手裏剣で、充分に人を殺すことが出来る。；その両手は見えない手拭いを絞るように、体の前で固く握られていた。；伝統的な手拭いほどの大きさで、一方の端をぐるりと紐が取り巻いている。；飾り帯も探ってみたが、手拭いがもう一枚出てきただけだった。；息を引き取った父の顔にかけた豆絞りの手拭いもそのたぐいの失敗であろう。；髪の毛がないことを気にしており、頭には常に手拭いを巻いている。；さすがに手拭いを腰にまいているが、全身は怒りにふるえている。；壁にかかった服と、手拭いが一本あるだけで、あとは何もない。</t>
        </is>
      </c>
      <c r="J5785">
        <f>HYPERLINK("https://www.weblio.jp/content/手拭い", "词义详情")</f>
        <v/>
      </c>
      <c r="K5785">
        <f>HYPERLINK("https://yourei.jp/手拭い", "查看例句")</f>
        <v/>
      </c>
    </row>
    <row r="5786">
      <c r="A5786" t="inlineStr">
        <is>
          <t>手のひら</t>
        </is>
      </c>
      <c r="B5786" t="inlineStr">
        <is>
          <t>成功</t>
        </is>
      </c>
      <c r="C5786" t="inlineStr">
        <is>
          <t>読み方：てのひら
手首から指の付け根までの、手を握ったときに内側になる面。たなごころ。</t>
        </is>
      </c>
      <c r="D5786" t="inlineStr">
        <is>
          <t>手のひらサイズ(2%)；手のひらを返すよう；手のひら大；手のひらを当て；手のひら側</t>
        </is>
      </c>
      <c r="E5786" t="inlineStr">
        <is>
          <t>掌；手の平；平手；手の内；掌中</t>
        </is>
      </c>
      <c r="F5786" t="inlineStr">
        <is>
          <t>左手のひら；大きな手のひら；右手のひら；小さな手のひら</t>
        </is>
      </c>
      <c r="G5786" t="inlineStr">
        <is>
          <t>手のひら返し；手のひらを太陽に；手のひら療治；手のひらの勇気；手のひら療法</t>
        </is>
      </c>
      <c r="H5786" t="n">
        <v>29</v>
      </c>
      <c r="I5786" t="inlineStr">
        <is>
          <t>あの女があの男の手のひらをいじくりまわしているのを見なかったかね?；自分は仏の手のひらで遊ばせてもらっている孫悟空のようなものだった。；三ヵ所から取り出したと称するその量は、手のひら一杯分ぐらいあった。；膝と手のひらの血のついたところから、三本の繊維が採取されているの。；その人の心の手のひらがそれを持つか持たないかだけのはなしである。；手のひらの感知した冷たさが推測の通り鳥が死んでいることを裏付けた。；じゅっという音が手のひらから聞こえたが、まったく気にならなかった。；最後に箱の底から出てきたものは、手のひらほどの大きさのメモ帳だった。；これらの像は、手のひらよりもやや小型で、人間の姿をあらわしている。；最後の瞬間に奴を殺れる武器かどうか、おれは手のひらを開いて見た。；手のひらの中の風のルビーを見つめ、疲れきった若き女王はつぶやいた。；そっと腕に手を乗せてみるとちゃんと手のひらから温かさが伝わってきます。；手のひらと眼玉がそれらの本に吸いつくという感じで、全心を傾倒した。；中には、手のひらほどの、二匹の平たい灰色の生物が這いまわっていた。；私は子供らに出して見せた足をしまって、何げなく自分の手のひらをながめた。；左の手で運転しながら、右手の手のひらは警笛を鳴らしつづけていた。；女は立ち上って、手のひらを上に向け、その中のものを指で突っついた。；弟の手のひらの上で、大きな口をあけて、声はりあげてうたうのでした。；人物は肩の高さに右手を挙げており、手のひらは前を向いている。；手のひらを横に立てて、テーブルの上に一本の線を引いて見せる。；ローズ・リタは何度も手のひらで顔を払いながら、急いで家まで帰った。；手のひらのくぼみに入るソールズベリ市は手首に一番近い所に位置する。；独楽は裏側を上に、手のひらの内側のどこかに向かって倒れた状態になる。；こぼれ屑を受けるために、手のひらをすぼめて顎の下に当てがっている。；いつでも自分の手のひらを見ていると、自分の顔を見るような気のするのが私の癖だ。；IFSに乗せた私の手のひらの位置がなぜか後ろへ行ったり、前へ行ったり。；これは、手のひらを広げて親指の先と中指の先をくっつけるものである。；葉には長い柄があり、手のひらのような特徴的な形をしている。；小枝を足にして立ったところは手のひら三つほどの高さだ。</t>
        </is>
      </c>
      <c r="J5786">
        <f>HYPERLINK("https://www.weblio.jp/content/手のひら", "词义详情")</f>
        <v/>
      </c>
      <c r="K5786">
        <f>HYPERLINK("https://yourei.jp/手のひら", "查看例句")</f>
        <v/>
      </c>
    </row>
    <row r="5787">
      <c r="A5787" t="inlineStr">
        <is>
          <t>では</t>
        </is>
      </c>
      <c r="B5787" t="inlineStr">
        <is>
          <t>成功</t>
        </is>
      </c>
      <c r="C5787" t="inlineStr">
        <is>
          <t>［連語］《接続助詞「て」＋係助詞「は」。上に付く語によっては「では」とも》
１危惧・不都合などの感情をもたらす条件を仮定して示す。…たら。「けが人が出—大変だ」「死んではなんにもならない」
２反駁(はんぱく)・感心などの強い感情をもたらす原因となる条件を示す。…たからには。「そこまで言われ—黙っていられない」「これだけやっつけられ—反論する気も起きない」
３二つの動作・作用などが対になって繰り返される意を表す。「幼い頃は電車を見—喜んでいた」「姉はいつも洋服を脱いでは着て楽しんでいる」
４その条件のもとでは必ず、または常に同じ結果になる場合の、その条件を示す。「慢心してい—勝てない」「せい—事を仕損じる」「遊んではよい成果が得られない」
５（「…てはみる」の形で）よい結果が期待できない、あるいは自信がもてない状況のもとで、あることを行う意を表す。「考え—みるよ」「修理し—みるけれど完全に直るかどうか」
６（多く「…てはどうか」の形で）ある事柄をするよう勧める意を表す。「書いてみ—どうだろう」
[補説]うちとけた会話では「ちゃ」「じゃ」「ちゃあ」「じゃあ」となることもある。</t>
        </is>
      </c>
      <c r="D5787" t="inlineStr">
        <is>
          <t>ではなぜ；ではなかった；ではどう；ではいったい；ではあなた</t>
        </is>
      </c>
      <c r="E5787" t="inlineStr">
        <is>
          <t>じゃあ；それでは；それなら；それじゃ；そうしたら</t>
        </is>
      </c>
      <c r="F5787" t="inlineStr">
        <is>
          <t>いみでは；ではご機嫌；ではござり；では左様なら；では後ほど</t>
        </is>
      </c>
      <c r="G5787" t="inlineStr">
        <is>
          <t>ではいり；ではでは；ではい；ではじめる；ではじめよ</t>
        </is>
      </c>
      <c r="H5787" t="n">
        <v>29</v>
      </c>
      <c r="I5787" t="inlineStr">
        <is>
          <t>ではまだ人に近い姿をしていたが、においては完全に異形の姿となった。；ではなぜリー将軍はわざわざこの時期を選んで北部へ侵攻したのだろうか?；たとえば、英語の は、 では に変化したが、 では変化していない。；では実際の猿が意味のある文書をタイプする可能性はあるだろうか。；では、この言葉はオーストラリアが起源であると根拠不明な説を載せている。；では主に北大西洋に生息する種類のクジラについての展示を行っている。；では物語の期間は1年間だったのに対し、本作の物語は夏に絞っている。；では分岐線もまたの住民にサービスを提供するために建設された。；で初めて実戦に投入され、では政府軍と革命軍の双方によって使われた。；では、FreeDOSを改造して日本語を扱う方法が紹介されている。；ではレポーターとしバラエティー番組で体を張るシーンも多くみられた。；ではなぜ当時価値がないと考えられたものが現代では大騒ぎされているのだろうか?；ではエルサレム神殿が建てられた丘はモリヤ山であると言われている。；では個人団体による高速化するための助けになる情報などの計画が掲載されている。；では引き続き運用されていたが、2007年には調達が終了している。；ではUGの性質を知るにはどのようにしたらよいのであろうか。；では、なぜ人権にはそのような回復のための裁判規範性が認められるのか。；では顔を見ぬようにすればと、梅川は手拭いで孫右衛門に目隠しをした。；では国際交流試合と称して、ロシアチームを招待して大々的に行われる。；ただし、では後方勤務用のサム・ブラウン・ベルトが規定されている。；では、概念内容とはどのような構造になっているのだろうか。；では、どうすれば意志決定プロセスを改善することができるのであろうか。；では、月食が一定の期間で再度起こることをサロス周期として発見した。；では、唯一ウォーターマークを常時表示をしていない局でもあったが。；さらにアジア冬季競技大会にも参加しており、では3位に輝いている。；では構えがなくなり、ボタン長押しで鞭形態になるように簡略化された。；ではどのように統一する方法があるのか、考えてみました。；地元のでは野球のほか、アメリカンフットボールやサッカーもプレー。；では、任意の次数の有理曲線の数の公式が予想され、 で証明された。</t>
        </is>
      </c>
      <c r="J5787">
        <f>HYPERLINK("https://www.weblio.jp/content/では", "词义详情")</f>
        <v/>
      </c>
      <c r="K5787">
        <f>HYPERLINK("https://yourei.jp/では", "查看例句")</f>
        <v/>
      </c>
    </row>
    <row r="5788">
      <c r="A5788" t="inlineStr">
        <is>
          <t>デパート</t>
        </is>
      </c>
      <c r="B5788" t="inlineStr">
        <is>
          <t>成功</t>
        </is>
      </c>
      <c r="C5788" t="inlineStr">
        <is>
          <t>１《「デパートメントストア」の略》衣食住の全般にわたる多種類の商品を陳列し、主として対面販売を行う、大規模な小売店。百貨店。→総合スーパー
２（比喩的に）それに関することが数多く集まっているようすや場所。「悪の—」「伝統技術の—」</t>
        </is>
      </c>
      <c r="D5788" t="inlineStr">
        <is>
          <t>デパートビル；デパート側；デパート内；デパート屋上；デパートガール</t>
        </is>
      </c>
      <c r="E5788" t="inlineStr">
        <is>
          <t>スーパー；百貨店；スーパーマーケット；デパートメントストア；エンポリアム</t>
        </is>
      </c>
      <c r="F5788" t="inlineStr">
        <is>
          <t>未来デパート；新東亜デパート；zデパート；高級デパート；大手デパート</t>
        </is>
      </c>
      <c r="G5788" t="inlineStr">
        <is>
          <t>デパートメント；デパートメント・ストア；デパート展；デパートメントストアー；デパートホソカワ</t>
        </is>
      </c>
      <c r="H5788" t="n">
        <v>29</v>
      </c>
      <c r="I5788" t="inlineStr">
        <is>
          <t>デパート業のほか、観光事業も展開して桜観光なども存在していた。；利便性が高いことから、駅の周辺にデパートや商店街があることが多い。；デパートビルの全景を使用することが多く、紙袋で示されることもある。；同デパートでは、特別仕様の高級車を限定販売することでも知られている。；ドラえもんはひみつ道具の購入にしばしば未来デパートを利用している。；ここで製作された車両は、デパート等の模型売場でも多く販売されていた。；生活のためにデパートでパートタイムの仕事をして家計を助けていた。；デパートの屋上では屋上遊園地や駐車場などに利用されているものもある。；それまで本人は、デパートにでも就職するつもりだったと語っている。；それから阪急デパートを歩いてみる、まだ夏のやうなのでいやんなる。；ウッドワードの建物は9年ものあいだ空になっていたデパートだった。；これは理事会という経営者団体が経営している精神的なデパートである。；彼はふらふらとデパートに入るとスピード籤を引く人の列に加はつてゐた。；宝くじで巨額の金を手にし東京のデパートを退職した男が、海辺に住む。；ドラえもんがポケットから出したものではなく、未来デパートの新製品。；ドラえもんが出した道具ではなく、未来デパートから誤配送されたもの。；実際は未来のデパートからドラえもんが追加で購入してくることがしばしばある。；ぼくのおかげで、あいつ、デパートでひどいめにあったんだからね。；途中でデパートを見つけると、妻は長袖のシャツを買いたいと言いました。；私たちが藤屋デパートへ行くと、店の中も前も群衆でいっぱいでした。；カーナビなどの施設案内では「デパート」に分類されている場合もある。；ミスシックスティの製品は様々なデパートや直営店で販売されている。；デパート側とプレイタウン側との間で共同の避難訓練を一度も実施しなかった。；高級デパートなどでは氷の上に置いてある場合もある。；デパートが販売のために発行した整理券にダフ屋が登場したこともあったという。；つい近ごろどこかのデパートでこれと同じものを見つけたが食ってはみなかった。；デパートには必ずといっていいほどフードコートが併設されている。；現在でも多くのデパートが見られ、高級料理店やブティックが並ぶ。；その日藤井は、デパートで開かれていた犬の展覧会に出かけていた。</t>
        </is>
      </c>
      <c r="J5788">
        <f>HYPERLINK("https://www.weblio.jp/content/デパート", "词义详情")</f>
        <v/>
      </c>
      <c r="K5788">
        <f>HYPERLINK("https://yourei.jp/デパート", "查看例句")</f>
        <v/>
      </c>
    </row>
    <row r="5789">
      <c r="A5789" t="inlineStr">
        <is>
          <t>手配</t>
        </is>
      </c>
      <c r="B5789" t="inlineStr">
        <is>
          <t>成功</t>
        </is>
      </c>
      <c r="C5789" t="inlineStr">
        <is>
          <t>読み方：てはい
［名］(スル)
１物事に先だって役割や段取りを決めたり、必要な物を用意したりすること。てくばり。「ハイヤーを—する」
２犯人・容疑者を逮捕するため、指令を発して所要人員の配置その他の活動をすること。「指名—」</t>
        </is>
      </c>
      <c r="D5789" t="inlineStr">
        <is>
          <t>手配書(3%)；手配される；手配写真；手配しよ；手配いたし</t>
        </is>
      </c>
      <c r="E5789" t="inlineStr">
        <is>
          <t>予定；配置；約束；捜査；捜索</t>
        </is>
      </c>
      <c r="F5789" t="inlineStr">
        <is>
          <t>よう手配；緊急手配；国際手配；旅行手配；緊急配備や事件手配</t>
        </is>
      </c>
      <c r="G5789" t="inlineStr">
        <is>
          <t>手配師；手配旅行</t>
        </is>
      </c>
      <c r="H5789" t="n">
        <v>29</v>
      </c>
      <c r="I5789" t="inlineStr">
        <is>
          <t>以下の人物は指名手配されていたが、全員逮捕され現在服役中である。；実際の貿易活動は、船の手配や準備も含めてすべて商人が担当した。；予測される連合国軍の侵攻に備えて師団をフランスへ送る手配がなされた。；旅行客は一年の早い時期に夏の自動車搬送を手配するよう勧められている。；フィッツロイは船の船長が情報を集めて報告できるように器具を手配した。；手配レベル6では前作の軍隊が強すぎたのか少々軍人が弱体化されている。；アルゼンチンは、国際刑事警察機構に国際逮捕手配書の発行を要請した。；住人から事故を起こした人物の特徴を聞き、当局は2人を指名手配した。；カトリーヌはをナバラへ派遣してマルグリットの帰国を手配させている。；また、韓国で指名手配され、日本に密入国して活動する暴力団員もいる。；翌日、ロス市警からの捜査協力要請による手配書を見て、田中は驚いた。；女王の旅行の際に女官の切符の手配が忘れられるという事態さえ発生した。；彼が手配した小馬はその後暫く一行と旅を続け、これを大いに助けた。；主要幹線は運行したが北見バス自らが手配し除雪を行うこともあった。；関税を撤廃させるための南部戦略の一部は西部との連携を手配することだった。；第二カトレアの改修工事の手配を行うなど与えられた権限は非常に強い模様。；事務所を網走町役場内に置き、地元での手配や北海道との連絡にあたった。；そのため、この時点ではFを殺人容疑で指名手配することはできなかった。；偶然居合わせたルフィ達も手配されていたため、追われることになる。；外出先には銀河鉄道指定のホテル・旅館が手配されていることが多い。；その抜けた1年とは、子供の教育の手配のためにイギリスに渡っていた時であった。；袁術は孫堅のためにすぐに兵糧を手配させ、孫堅は自分の軍営に戻った。；売主が船舶の手配はどうしても自分の方でやりたいと主張した場合の契約である。；即日発付され、9月1日にこの学生を殺人の疑いで全国に指名手配した。；Kはこの日も秋葉原で過ごし、自身が指名手配されたことをニュースで知る。；また、任務中に殺すところ等を見られたままステージを終えると指名手配される。；この時期にボルチモア出身の適切な銃鍛冶を使って、銃造りの手配もした。；使用したケーブルは、児玉源太郎が手配して備蓄されていたものであった。；当日その場でも空きがあれば手配も可能だが通常はあまりそのようなことはしない。</t>
        </is>
      </c>
      <c r="J5789">
        <f>HYPERLINK("https://www.weblio.jp/content/手配", "词义详情")</f>
        <v/>
      </c>
      <c r="K5789">
        <f>HYPERLINK("https://yourei.jp/手配", "查看例句")</f>
        <v/>
      </c>
    </row>
    <row r="5790">
      <c r="A5790" t="inlineStr">
        <is>
          <t>手筈</t>
        </is>
      </c>
      <c r="B5790" t="inlineStr">
        <is>
          <t>成功</t>
        </is>
      </c>
      <c r="C5790" t="inlineStr">
        <is>
          <t>読み方：てはず
物事をする際に、前もって決める手順。また、前もってなすべき準備。「出発の—を整える」「一緒に出かける—になっている」</t>
        </is>
      </c>
      <c r="D5790" t="inlineStr">
        <is>
          <t>手筈通り；手筈どおり；手筈を極めて</t>
        </is>
      </c>
      <c r="E5790" t="inlineStr">
        <is>
          <t>予定；配置；約束；協定；整え</t>
        </is>
      </c>
      <c r="F5790" t="inlineStr">
        <is>
          <t>すべて手筈；万事手筈</t>
        </is>
      </c>
      <c r="H5790" t="n">
        <v>29</v>
      </c>
      <c r="I5790" t="inlineStr">
        <is>
          <t>つまり何時私が家にいなくなってもよいように手筈を整えることである。；彼らが基地内へ侵入し、ミサイルの発射を不可能にする手筈だったのだ。；この将軍は奇襲隊を指揮して敵の本陣を側面から衝く手筈になっていた。；それまでワザリング・ハイツに行って手筈の指図を受けて来たのでした。；クレイの剣の演技の途中にトラップが薬部屋の鍵を盗む手筈だからして。；グラスもトランプも、店から直接に下谷へ送ってもらうように手筈した。；それに初日は中村真一郎も京都にいて、行を共にする手筈になっている。；それは高子が五日市町に疎開する手筈のできかかった頃のことであった。；ゲーリンはわたしの最初の客にこの男を選んで、手筈をととのえました。；途中で一つになられる手筈になっていたのではございませんか。；しかし、お互い面倒なことにならないように手筈を整えておく必要がある。；日本軍第九連隊と第三八連隊は合同で攻撃を仕掛ける手筈になっていた。；そこで王は給仕頭を呼ばせて、翌朝とるべき手筈について話をしました。；スペンサーの奥さんは駅でその子をおろしてくださる手筈になっています。；複雑な心を抱いて、左太夫は、試合の終了と、明日の手筈を云い渡した。；手筈通りまず大谷がエレベーターに乗り七階のボタンを押して待つ。；海軍の意思としては、彼を飛行機で南方につれて行く手筈をしていた。；もう一台別の車がやって来て、道をふさがれた恰好をする手筈だった。；船は風さえよくなったら出帆する手筈にして、帆を張っておりました。；ここで合流し、小室の用意した車で本店へと向かう手筈になっている。；十一月も末になる頃には、彼は大体の仕事の手筈を定めるまでに成った。；必要な時には力を貸してくれる手筈になっているということだった。；大阪府警から私のことを伝えてもらっているので、手筈は調っているんだ。；とにかく救出する手筈を事前に打ち合わせておく必要がありますから。；看護人やお手伝いを入れる手筈をつけたんだが、あいつがそうさせないんだ。；仙夢さんが手筈を極めて置いて呉れたと見えて、すぐにお膳が並んだ。；そこで、待っていて、庄吉にそっと月江をつれてこさせる手筈であった。；前半観が脱衣を終えて入浴し始めている頃を狙って総攻撃を仕掛ける手筈だ。；おめえは一体、みんなが約束した手筈を、よく呑みこんでいなかったのかい。</t>
        </is>
      </c>
      <c r="J5790">
        <f>HYPERLINK("https://www.weblio.jp/content/手筈", "词义详情")</f>
        <v/>
      </c>
      <c r="K5790">
        <f>HYPERLINK("https://yourei.jp/手筈", "查看例句")</f>
        <v/>
      </c>
    </row>
    <row r="5791">
      <c r="A5791" t="inlineStr">
        <is>
          <t>出番</t>
        </is>
      </c>
      <c r="B5791" t="inlineStr">
        <is>
          <t>成功</t>
        </is>
      </c>
      <c r="C5791" t="inlineStr">
        <is>
          <t>読み方：でばん
１仕事・舞台などに出る番。「—が近づく」
２問題解決などのためにその人の登場すべき場面。「ここまでこじれては、いよいよ先生の—だ」
３江戸時代、商家の奉公人が公休日をもらう番。藪(やぶ)入り、宿下りなど。</t>
        </is>
      </c>
      <c r="D5791" t="inlineStr">
        <is>
          <t>出番がなく；出番が少なく；出番が少ない；出番が多く；出番が多い</t>
        </is>
      </c>
      <c r="E5791" t="inlineStr">
        <is>
          <t>登場場面</t>
        </is>
      </c>
      <c r="F5791" t="inlineStr">
        <is>
          <t>出番表；出番が与えられ</t>
        </is>
      </c>
      <c r="H5791" t="n">
        <v>29</v>
      </c>
      <c r="I5791" t="inlineStr">
        <is>
          <t>原作ではその後登場しないが、アニメでは出番が大幅に追加されている。；出演している俳優たちもスタッフと同じように出番がなければ働いていた。；原作ではあまり登場しない登場人物達の出番が大幅に増えているのが特徴。；しかし、同時期にアンティ・ニエミがいたためにあまり出番は無かった。；また、監督が先発に完投勝利を付けさせたい場合は出番がない事もある。；その後は出番に恵まれず今シーズン限りで現役引退することを発表した。；その後チャボはWWEを離れ、さらに自身も一時的に出番を失っていた。；その後は出場機会機会は少ないながらも、カップ戦を中心に出番を得た。；またこの一画の横には椅子が配置され、出番でない時には役者が座る。；選んだテーマソングは自分の出番が来ると流れるようになっている。；エピソード3では他にも複数の出番が予定されていたがすべてカットされた。；ただし劇中での役割や出番はそれほど重要ではなく、台詞のない者もいた。；は出番が増えてチームでの存在感が高まり、それに伴って成績も向上した。；チームは最終節で残留が決定しているが、ドイルの出番は訪れなかった。；辻村はこのことが音響に気に入られ出番が多くなったのだと推測している。；死去した武道家の霊も含めて5人構成で、強い者ほど後の出番になる。；交流戦後に再昇格を果たすが、夏場以降は再び降格して出番がなかった。；出番が少ない上にアメリカ人スタッフ、俳優と折り合いが合わなかった。；は開幕一軍に選ばれるが、出番がないまま4月17日に登録抹消される。；しかし料理を食べている出演者たちに全く相手にされないまま、出番を終えた。；それ以降は原沢が起用されて出番はなかったもののチームは優勝を飾った。；そのためピエールの出番が増えていったのは想定外であったという。；しかし、このシーズンも出番には恵まれず、14試合の出場に終わった。；以降の試合では田中が起用されて出番はなかったものの、チームは優勝を飾った。；自分の出番をよく知ってたんじゃないか、このままでは葬式が完成しないと。；本人たちも出番終了後のコメントで観客・視聴者に対して謝罪している。；登場回数が1回のみ、もしくは極端に出番が少ないゲストキャラクター。；金田一は登場せず、磯川警部だけは出番は多くはないものの登場する。；後藤以外、第2作に輪をかけて泉や遊馬を含む特車二課の出番は少ない。</t>
        </is>
      </c>
      <c r="J5791">
        <f>HYPERLINK("https://www.weblio.jp/content/出番", "词义详情")</f>
        <v/>
      </c>
      <c r="K5791">
        <f>HYPERLINK("https://yourei.jp/出番", "查看例句")</f>
        <v/>
      </c>
    </row>
    <row r="5792">
      <c r="A5792" t="inlineStr">
        <is>
          <t>手引き</t>
        </is>
      </c>
      <c r="B5792" t="inlineStr">
        <is>
          <t>成功</t>
        </is>
      </c>
      <c r="C5792" t="inlineStr">
        <is>
          <t>読み方：てびき
［名］(スル)《古くは「てひき」とも》
１人の手を引いて、助けたり導いたりすること。また、それをする人。「お年寄りを—して道を渡る」
２案内すること。また、それをする人。「友人の—で名所を巡る」
３情報を提供するなどして手助けすること。また、それをする人。「内部に—した者がいるらしい」
４新たに始める人のために手ほどきをすること。また、そのための書物。「英会話の—」
５手で引くこと。手で引き出すこと。
「御車は中門の外より—にて入らせ給ふ」〈栄花・音楽〉</t>
        </is>
      </c>
      <c r="D5792" t="inlineStr">
        <is>
          <t>導入；指導；案内；誘導；冒頭</t>
        </is>
      </c>
      <c r="G5792" t="inlineStr">
        <is>
          <t>手引き紐</t>
        </is>
      </c>
      <c r="H5792" t="n">
        <v>29</v>
      </c>
      <c r="I5792" t="inlineStr">
        <is>
          <t>ニコが手引きしようとしていたのも知っていて、阻止しようとしている。；その人の手引きでわたしはこの殿さまにご奉公することになりましたの。；その最初の手引きをしてくれるよう、この男を利用することが必要でした。；その望楼が古代の道路を探し当てる手引きをしてくれるだろうと考えた。；この物語を知る上で重要な手引きになる単語のいくつかを簡単に解説する。；いつも手引きの者を先頭にして、三、四人で列になって歩いていたものだ。；彼の手引きで機鋼都市ロンドンへ来た彼女は、さまざまな人々に出会う。；そうすればあれが手引きとなって僕は黄金のところへ着くだろうよ。；手引きした女官は木蘭に幾つかの注意を与えると姿を消してしまった。；一方では文人としての父の手引きということも大いにありましたけれど。；この脱退はカタール航空が手引きしていた可能性が高いとする意見もある。；ハレムの女たちは侍女の手引きで女装した男を自分の部屋にひき入れる。；そして彼の手引きのもとに、彼はその機械を世界中で使用するのを許可するのだ。；吉岡が手引きして三矢の席の近くに大島を待ち伏せさせていたのでしょう。；やはり、お縫さんが手引きしてくれたのかな、と思ったくらいである。；ガードマンの服をきたやつが内部で仲間を手引きしよったらしいのや。；私はあなたを殺す仕事の手びき役をしましたし、葉子さんを苦しめました。；だって家族が手引きして俺たちをここに送ったんだからな。；はじめて手引きしてくれた彼を誘わないと、吉原に行く勇気も出なかった。；それじゃ、この四年の間に姿を消した子供たちもお前が手引きした。；しかしこれらは同じく社会的条件であり、社会の組織を目的とする手引きである。；理論は医師に手引きを与えて患者の治療を効果的にできるものでなければならない。；そのゲリラを手引きしたのがあの報道班員だという噂をあとで聞いた。；おぬし、このむすめが、そんなことのために手びきをすると考えているのか?；それは実際には取るに足りないことであったが、私にはあらゆる学問への手引きとなった。；続いて出版されたのはヤン・インピン『新しい手引き』の英語版だった。；そして、俺たちの内情を伝えて、殺しの手引きをしてるに違いないんだぜ!!；その男がビルの窓をあけ、外にひそんでいた仲間を手引きしたと警察はみているのだ。；その英語文学編が13版を数えた『歴史・文学学習の手引き』も発表した。</t>
        </is>
      </c>
      <c r="J5792">
        <f>HYPERLINK("https://www.weblio.jp/content/手引き", "词义详情")</f>
        <v/>
      </c>
      <c r="K5792">
        <f>HYPERLINK("https://yourei.jp/手引き", "查看例句")</f>
        <v/>
      </c>
    </row>
    <row r="5793">
      <c r="A5793" t="inlineStr">
        <is>
          <t>デビュー</t>
        </is>
      </c>
      <c r="B5793" t="inlineStr">
        <is>
          <t>成功</t>
        </is>
      </c>
      <c r="C5793" t="inlineStr">
        <is>
          <t>読み方：でびゅー
［名］(スル)
１社交界・舞台・文壇など公の場に、新人が初めて登場すること。初舞台。初登場。「華々しく—する」「—作」
２俗に、初めて何かをすること。新たに何かを始めること。「眼鏡—」</t>
        </is>
      </c>
      <c r="D5793" t="inlineStr">
        <is>
          <t>デビュー後(2%)；デビュー当初；デビュー時；デビュー作品；デビュー以降</t>
        </is>
      </c>
      <c r="E5793" t="inlineStr">
        <is>
          <t>お披露目；お目見え；お目見得；顔見世；御目見得</t>
        </is>
      </c>
      <c r="F5793" t="inlineStr">
        <is>
          <t>代表デビュー；トップチームデビュー；監督デビュー；俳優デビュー；作家デビュー</t>
        </is>
      </c>
      <c r="G5793" t="inlineStr">
        <is>
          <t>デビュー戦；デビュー前；デビュー当時；デビューシングル；デビュー曲</t>
        </is>
      </c>
      <c r="H5793" t="n">
        <v>29</v>
      </c>
      <c r="I5793" t="inlineStr">
        <is>
          <t>そのことが声の仕事をするきっかけになり、28歳で声優デビューする。；特に若手のアナウンサーがデビューに向けての練習として多く担当する。；またデビューの際に大友の影響からの脱却を意識したとも語っている。；しかしデビュー契約ではなくスタジオ代を応援する旨の契約だった。；日本ではデビューから1年間で約320万枚の関連ソフトを売り上げた。；デビュー当初は関東を中心にしていたが、現在は関西を中心に活動している。；浦和ではデビュー2戦目の横浜フリューゲルス戦でプロ初得点を挙げた。；水島新司とは、ほとんど同じ時期にデビューした同期みたいな存在だった。；長渕はデビューし上京して間もない頃、当駅近くのアパートで暮らしていた。；主人公健太役の堀川亮は本作で主演での声優デビューを果たしている。；彼の米国デビューはヘルシンキとパリでの出来事の再現であった。；デビューの直後から、通常の作家の枠を超えた八面六臂の活動を始めている。；引退騎手でデビュー年が同じ場合は、引退年の早かった順に記載する。；森博嗣が小説家としてデビューした後も複数作品でイラストを手がけている。；デビュー以降に発売したシングルは全て、オリコンで初登場1位を記録。；デビュー40数年目にしてアルバムが初のチャート10位内に入る!!；なお、2015年秋デビューの8300系は近畿車輛での製造となった。；などの各種オーディション落選者が研修を経てデビューすることがある。；デビュー以降、旺盛な執筆で女流のみならず日本のSF全体を牽引した。；翌2003年に同誌で連載化した同作で連載デビューし、代表作となった。；独特で安定した画力と構成力をデビュー時から持っていた。；なお、太田とTHE ALFEEは同じ年にレコードデビューしている。；この大会で当時17歳のペレが世界の舞台にデビューを果たした。；その作風はデビュー以前からほとんど変わっていないという。；また、デビュー後も多くの試合で実戦経験を積むことが重要である。；デビューから現在に至るまで一貫してナンセンスギャグ漫画を描いている。；サザンとしてデビューする前は自分の声に自信がなかったという。；当時は期待の大きい馬が夏にデビューする場合、北海道で行われるレースに出走するのが一般的であった。；少女漫画の女性作家は学生デビューも多く、雑誌に若い感覚が取り入れられている。</t>
        </is>
      </c>
      <c r="J5793">
        <f>HYPERLINK("https://www.weblio.jp/content/デビュー", "词义详情")</f>
        <v/>
      </c>
      <c r="K5793">
        <f>HYPERLINK("https://yourei.jp/デビュー", "查看例句")</f>
        <v/>
      </c>
    </row>
    <row r="5794">
      <c r="A5794" t="inlineStr">
        <is>
          <t>手袋</t>
        </is>
      </c>
      <c r="B5794" t="inlineStr">
        <is>
          <t>成功</t>
        </is>
      </c>
      <c r="C5794" t="inlineStr">
        <is>
          <t>読み方：てぶくろ
毛糸、または皮・布・ゴムなどで作り、手にはめる袋状のもの。防寒・保護・装飾などのために用いる。《季冬》「—とるや指輪の石のうすぐもり／しづの女」</t>
        </is>
      </c>
      <c r="D5794" t="inlineStr">
        <is>
          <t>手袋鵬喜；手袋なし；手袋越し；手袋屋；手袋状</t>
        </is>
      </c>
      <c r="E5794" t="inlineStr">
        <is>
          <t>グローブ</t>
        </is>
      </c>
      <c r="F5794" t="inlineStr">
        <is>
          <t>黒い手袋；皮手袋；薄い手袋；黒手袋；赤い手袋</t>
        </is>
      </c>
      <c r="H5794" t="n">
        <v>29</v>
      </c>
      <c r="I5794" t="inlineStr">
        <is>
          <t>登場人物は男女を問わず手袋・眼鏡を着用しているキャラクターが多い。；糸を使う際は、自分も手を負傷しない為に指だしの特殊な手袋を着用する。；そのことから手袋が犯人のものだと判断して教授に調べてもらうよう頼む。；それまで試合中にキーパーが手袋の類を着用することは珍しいことだった。；けれども彼女がやったのは手袋で窓の染みを執拗に擦ることだけだった。；将校は皮手袋の着用が規定されていたが、それもやがて廃止された。；女王でさえ、服装に合わせて黒や赤の手袋をするようになったのよ。；そして次の日には又マントを持ってきたり、手袋を持ってきたりする。；もちろんあなた方も、例の茶色の手袋の件をお聞きになったことでしょう。；食品製造時に用いられているポリ手袋も同様の理由から問題視された。；手には猫の皮の手袋をはめていたが、それは白く内側はふわふわしていた。；現在でも郡民の多くは手袋と革製品の製造に携わった者の子孫である。；六郎氏は、それを知らずに釦のない手袋は使用出来ぬので運転手に与えた。；手袋、もっといいのを上げたかったけれど、ともかくあれは毛でしたから。；遺体には首が無く、略章をつけた軍服に白い手袋をしていたとされる。；だが彼の手袋は真新しいもので、そこには何んの痕跡もありませんでした。；僕が最初に行ったところは、先に見ておいた靴下と手袋の売場だった。；この男こそは現場に落ちて居た手袋の持主即ち真犯人でなくてはなりません。；かれは手袋をつけたままの手で、ひどくぎこちなくそれを受け取った。；行こうと返事をして手袋をはめているうちに中原はもう歩きだした。；両耳の蔽いを取って自分の顔を、手袋をはめた両手で強く摩擦し初めた。；手袋なしでいるのもシャツなしでいるのと同じくらい不快である。；彼はボール紙の端を持って手袋を自分の顔の前で、いろいろに動かして見せた。；この手袋をはめていると、雪遊びの際に怪力を発揮することができる。；彼の手袋をした手は抱いている肉体を感じることができなかった。；手のかゆみを防ぐには、手袋を用いるか、手に重曹や塩をまぶすとよい。；やがてドアが開き、黄色のドレスに黒手袋の女が部屋に入ってくる。；宇宙服の手袋の人差し指が入るくらいの大きさの、丸い小さな穴だった。；スパイダルコ社の製品など手袋をしたまま片手で扱える製品も現れた。</t>
        </is>
      </c>
      <c r="J5794">
        <f>HYPERLINK("https://www.weblio.jp/content/手袋", "词义详情")</f>
        <v/>
      </c>
      <c r="K5794">
        <f>HYPERLINK("https://yourei.jp/手袋", "查看例句")</f>
        <v/>
      </c>
    </row>
    <row r="5795">
      <c r="A5795" t="inlineStr">
        <is>
          <t>手ぶら</t>
        </is>
      </c>
      <c r="B5795" t="inlineStr">
        <is>
          <t>成功</t>
        </is>
      </c>
      <c r="C5795" t="inlineStr">
        <is>
          <t>読み方：てぶら
手に何も持たないこと。また特に、土産などを持参しないこと。からて。「何も釣れずに—で帰る」「—で訪問する」</t>
        </is>
      </c>
      <c r="D5795" t="inlineStr">
        <is>
          <t>手ぶらで帰るわけ</t>
        </is>
      </c>
      <c r="H5795" t="n">
        <v>29</v>
      </c>
      <c r="I5795" t="inlineStr">
        <is>
          <t>いわば敵の牙城に侵入した以上手ぶらで帰るわけには行かぬではないか。；君はものを買うために店に訪れて、その上手ぶらだって言うじゃないか。；その時手ぶらで外へ出るのは心細いと思ってよ、柄にもなく残した金だ。；彼は小さい風呂敷包み一つを持っているだけで、ほとんど手ぶら同様だ。；おかげで、その日は、なに一つえものがなく、手ぶらで家に帰りました。；荷物ごと剣を捨てても、てぶらで船に乗り込んでは怪しまれはしないか。；「あの連中は手ぶらで帰るわけにはいかないんだわ」ステララがいった。；それで、男は学校と反対方向に、手ぶらで歩いていってしまったのだった。；手ぶらの者も荷物を持った者も、みな姿勢を低くしてすべり出たのだ。；瀬菜が手ぶらなところを見ると、男連中に荷物持ちをさせているらしいな。；そこに私の求めているものはなく、仕方なく私は手ぶらで帰ってきたのだった。；こんどこそ手ぶらで帰ってくるにちがいないって、毎回思っていました。；手ぶらで来てもいいように、必要なものはすべてその部屋に残した。；だから何も持たずに手ぶらで帰るなどということは一度もなかった。；彼らは狩りに失敗し、手ぶらで帰ることもしばしばであったのである。；そのとき秋夫がお母さん手ブラで焼けだされちゃ困るだろうと言ったの。；釣りに行ったのであろうと考えたが、もどってくる時は、手ぶらであった。；もし手ぶらで帰国したらまわり中から白い眼で見られること必定だ。；いくら気乗りがしないからといって、手ぶらでいくわけにもいかない。；しかし一週間後からやってきた彼女は手ぶらで携帯を持っていない。；それに彼は、手ぶらで母親の所に帰って来るということが出来ないのだった。；この学校では、朝子供たちは、全くの手ぶらで学校へ行くことになっている。；かれら、われわれをここへ呼んで、手ぶらで帰すようなことはしませんよ。；男がコートも着ずの手ブラ姿だったのは、近くに車を停めてあったからだろう。；遠いところを訪ねてきてもろて、手ぶらで帰すのは申し訳ないんですわ。；手ぶらで出てきた上野を見て新人生たちは拍子抜けした様子である。；たしかに彼としても、ここまで来て手ぶらで引きかえす気にはなれなかった。；私らははじめに、何で手ぶらなのかを尋ねるようなことはしなかった。；三十ぐらいのサラリーマン風の男ですが、手ぶらで見舞客のようではない。</t>
        </is>
      </c>
      <c r="J5795">
        <f>HYPERLINK("https://www.weblio.jp/content/手ぶら", "词义详情")</f>
        <v/>
      </c>
      <c r="K5795">
        <f>HYPERLINK("https://yourei.jp/手ぶら", "查看例句")</f>
        <v/>
      </c>
    </row>
    <row r="5796">
      <c r="A5796" t="inlineStr">
        <is>
          <t>手本</t>
        </is>
      </c>
      <c r="B5796" t="inlineStr">
        <is>
          <t>成功</t>
        </is>
      </c>
      <c r="C5796" t="inlineStr">
        <is>
          <t>読み方：てほん
１習う人が模範とすべき字や絵などのかいてある本。「—どおりに書く」
２見習うべき物事。模範。「友人宅を—にして新築する」</t>
        </is>
      </c>
      <c r="D5796" t="inlineStr">
        <is>
          <t>手本とすべき；手本忠臣藏；手本となる人物</t>
        </is>
      </c>
      <c r="E5796" t="inlineStr">
        <is>
          <t>例；モデル；理想；聖人；師範</t>
        </is>
      </c>
      <c r="F5796" t="inlineStr">
        <is>
          <t>よい手本；仮名手本；よき手本；假名手本忠臣；手本として広く</t>
        </is>
      </c>
      <c r="G5796" t="inlineStr">
        <is>
          <t>手本引</t>
        </is>
      </c>
      <c r="H5796" t="n">
        <v>29</v>
      </c>
      <c r="I5796" t="inlineStr">
        <is>
          <t>花はわが地球上に出現した時に彼等の周囲には傚ねべき手本もなかつた。；彼の一生は彼ひとりのものではなく世の手本とせられるべきものであった。；独学で絵を覚えただけあって他の多くの原画家を手本にしていると語る。；だから僕は僕一人の生活をやつてゐるので人に手本を示してゐるのではない。；絵師たちが絵を描く際に手本とする粉本であった可能性も指摘されている。；そのためにその後の各国で行われた共同訳事業の手本ともなった。；このチームのメカニックデザインは他のチームでも良い手本となっている。；伸子は、この部屋に案内されてからはじめてほんものの微笑をうかべた。；手本帳に綴じさせるつもりの字や絵をいろいろに書いて見せたりしていた。；型を手本に与えておいてその中に精神を打ち込んで働けない法はない。；はい、これを手本にこのつぎから十分気をつけることにいたします。；彼はドイツの女優も彼女を手本にしたとアルヴァレスは考えている。；この論文は単純で明快であっただけでなく科学モノグラフの手本であった。；お前達も危険な時に出遭つたらこれを手本にしなくてはならない。；アンは機械的に、みんなの読む声を聞き、計算をし、手本の用意をした。；それ以前から英国でが展開していたモデルも手本となった。；厳格に一つの手本を学び、自己の何ものをもつけ加えようとしなかった。；幼年時代の間、それは生きた手本となって、その上に彼は眼を据えていた。；ドースは長い人生を送る際にはメイ・ウエストを手本にすると語った。；のみならず善業をせねばならぬと子供に教える生きた手本だとさえ思っている。；これは比較によって明治日本を手本とした改革の道筋を示さんがためであった。；だが、儀礼的慣行の基礎は、その手本を提供する階級の性向なのである。；手本の執筆の際や、一日の腕の調子を整える際に、よく執筆していたとされる。；何れも人格者として我々が手本にすべき程の人であるとは尚更言ひ難い。；後代に製作された絵巻物の中にはこの版本を手本に描かれたものも存在する。；私の生きかたの手本とすべき純粋の津軽人を捜し当てたくて津軽へ来たのだ。；設計は東京帝国大学教授・塚本靖によるもので、を手本としたと伝わる。；捏造した人物は、私の筆跡をたくさん自在に手本にしたに相違ありません。；デュークなど何匹かの青銅は小石を見つけ、かじって手本を見せていた。</t>
        </is>
      </c>
      <c r="J5796">
        <f>HYPERLINK("https://www.weblio.jp/content/手本", "词义详情")</f>
        <v/>
      </c>
      <c r="K5796">
        <f>HYPERLINK("https://yourei.jp/手本", "查看例句")</f>
        <v/>
      </c>
    </row>
    <row r="5797">
      <c r="A5797" t="inlineStr">
        <is>
          <t>手間</t>
        </is>
      </c>
      <c r="B5797" t="inlineStr">
        <is>
          <t>成功</t>
        </is>
      </c>
      <c r="C5797" t="inlineStr">
        <is>
          <t>読み方：てま
１そのことをするのに費やされる時間や労力。「—を省く」「—がかかる」
２「手間賃」の略。「—を払う」
３手間賃を取ってする仕事。手間仕事。また、その仕事をする人。「—を雇う」</t>
        </is>
      </c>
      <c r="D5797" t="inlineStr">
        <is>
          <t>手間暇(3%)；手間取り；手間が少ない；手間が少なく；手間がかかりすぎる</t>
        </is>
      </c>
      <c r="E5797" t="inlineStr">
        <is>
          <t>お手数；お手間</t>
        </is>
      </c>
      <c r="F5797" t="inlineStr">
        <is>
          <t>そんな手間；大変な手間；二度手間；こんな手間；かかる手間</t>
        </is>
      </c>
      <c r="G5797" t="inlineStr">
        <is>
          <t>手間賃；手間取る；手間どる；手間ひま；手間どり</t>
        </is>
      </c>
      <c r="H5797" t="n">
        <v>29</v>
      </c>
      <c r="I5797" t="inlineStr">
        <is>
          <t>かめくんが図書館を見つけたのは、ここへやって来てまもない頃だった。；容易ならないものを自分も三年ごし身に知りながら執筆してまゐりました。；高さを変えるのは机を倒しての作業となるため、すこし手間がかかる。；ホールのてまえには、駅の自動改札機に似たゲートが三列に並んでいた。；篤子はいま黒いかげろうの出ていった楢の木のてまえで自動車をおりた。；私が密告されたのは、翌年に入ってまもないある労働日のことである。；田舎から出て来てまもない俺を、道子は何といって家に迎えてくれた事か。；軽食とは、手間をかけず短時間で食べることが出来る食事のことである。；思想でもない、戀愛でもない、それより一歩てまへの原因を考へてゐた。；ゲーム作品では足を描く手間を省く為かUFOに乗っている場合がある。；てまえのようなものでも、皇国の民のひとりだといっていいでしょうか。；教育の分野では、催眠をかける手間が課題となり使われなくなっていった。；私は淋しうございますので、今日は朝から教会へ行つてまゐりました。；てまえの考えでは、かえってそこつ者に悪人はいないようでございます。；なくなってまもない人の追憶を書くのはいろいろの意味で困難なものである。；このような手間や時間をかけず「すぐに始める」方法もいくつか存在する。；ここから僅か三時間とかからぬところで、てまえは生まれて育ったんで。；初期に発足した大規模なテマが複数の小規模なテマに分割されている。；足手ま といにもならず一緒に聞えて、カイルロッドを助けられるのだ。；しかしさんざん金をかけ手間をかけた末、馬は病気で死んでしまった。；麗玉氏が日本に赴任してまもない頃、ある勉強会に参加したときのことだ。；てまえどもはサーンの教皇のご命令で、そいつらをさがしていたのです。；しかしテマを万葉に仮りただけで、吾々の作る処は常に現代の歌であつた。；手間や費用がかかる事、動物保護の観点から現在では行われていない。；タキメーターの数字を読むことで、計算する手間が省けているのである。；相場では七両三分を上下しておりますが、事情はてまえも伺いました。；テマの縄を切りながら、そう言った彼の口調に苛立ちのひびきがあった。；砦に入ったのは夕方近くだったが、夏のこととてまだ陽は高かった。；このため各種システム向けのゲームの開発の手間が改善される。</t>
        </is>
      </c>
      <c r="J5797">
        <f>HYPERLINK("https://www.weblio.jp/content/手間", "词义详情")</f>
        <v/>
      </c>
      <c r="K5797">
        <f>HYPERLINK("https://yourei.jp/手間", "查看例句")</f>
        <v/>
      </c>
    </row>
    <row r="5798">
      <c r="A5798" t="inlineStr">
        <is>
          <t>手前</t>
        </is>
      </c>
      <c r="B5798" t="inlineStr">
        <is>
          <t>成功</t>
        </is>
      </c>
      <c r="C5798" t="inlineStr">
        <is>
          <t>読み方：てまえ
［名］
１自分の目の前。自分のもと。「—にある本を取る」
２自分に近い方。また、目標とするものの前。こちら。「—の交差点を右折する」「採用の一歩—の段階」
３人の見る前。他人に対する自分の立場・面目・体裁。「少しは世間の—も考えなさい」「言い出した—、とても断れない」
４腕前。技量。手並み。「お—拝見」
５（「点前」とも書く）茶の湯で、茶をたてたり炭をついだりするときの所作や作法。→御手前(おてまえ)
６自分ですること。自前。
「—の商ひをして、大方は仕損じ」〈浮・永代蔵・二〉
７自分のものであること。自分の支配下であること。
「—の人足、数千人出て」〈浮・武家義理・三〉
８暮らし向き。生計。経済状態。
「一代のうちにかく—富貴になりぬ」〈浮・永代蔵・二〉
［代］
１一人称の人代名詞。自分のことを謙遜していう語。わたくし。「—の生まれは信州です」
２二人称の人代名詞。
㋐対等または目下の相手をさしていう。おまえ。→てめえ
「おれは—を憎くて殺したのでねえんだぞ」〈賢治・なめとこ山の熊〉
㋑（「おてまえ」の形で）対等の相手をさしていう。あなた。
「お—の大切にしらるるものをおれが伐るものか」〈咄・鹿の巻筆・一〉</t>
        </is>
      </c>
      <c r="D5798" t="inlineStr">
        <is>
          <t>手前ども；手前側；手前勝手；手前共；手前ェ</t>
        </is>
      </c>
      <c r="E5798" t="inlineStr">
        <is>
          <t>私；自分；わたし；僕；俺</t>
        </is>
      </c>
      <c r="F5798" t="inlineStr">
        <is>
          <t>一つ手前；ゴール手前；コーナー手前；メートル手前；いちばん手前</t>
        </is>
      </c>
      <c r="G5798" t="inlineStr">
        <is>
          <t>手前味噌；手前みそ；手前ミソ</t>
        </is>
      </c>
      <c r="H5798" t="n">
        <v>29</v>
      </c>
      <c r="I5798" t="inlineStr">
        <is>
          <t>この電動式広告は後付けのため、手前にせり出した形で設けられている。；この他トイレがあり、手前に男子用、奥に大便用の便器が置かれていた。；そしてその達成は好調な税収に支えられて実現一歩手前まできていた。；手前側の道路も含めて画面に見える区域の全てが元は貯木場だった。；小南門駅は被害がなかったが100メートル手前まで水が迫っていた。；なお、このキャラクターのモニュメントは駅舎手前付近に設置されている。；側面図から手前の点より目線側に奥の点が映っていることがわかる。；金をもらってるママさんたちの手まえ、ただで手を引くわけにもいかない。；手前や奥に移動するなど移動や回避の幅が広がっている。；安全のため線路の手前に構内踏切があり、遮断機と警報機がついている。；なお廃止に伴い、線路が地下に進入する手前に新大宮駅が設置されている。；以前は、曲線の手前にホームがあったが、その西隣に現ホームが建設された。；延長部分の屋根構造に関しては、延長ホームの工事着手前から議論されていた。；鴫野駅の手前で下り線と合流し、おおさか東線とは線路別複々線となる。；松阪駅手前から当駅付近まで、すぐ南側をJR紀勢本線が並行している。；月の手前を支配する他の大きな盆地もこの時期に形成された。；この規格は制定の一歩手前の段階までは、現在の姿とはかなり異なる仕様だった。；そして残りの二千は手まえがじきじきにお届けいたしますと説明した。；跳馬は135cmの高さに設定され、その手前にロイター板が置かれる。；手まえは何台分かの駐車場になっていて、半分がパトカーで埋まっていた。；交差点は写真奥・手前方向が78号現道、写真左・右方向が39号である。；箱根駅伝では選手の通過時にこの踏切の手前で電車を停車させる。；また、石岡側も石岡からはるか手前の奥ノ谷までしか到達できなかった。；この物質のアミノ基が手前側に出ているL体は調味料として多用される。；その手前からさらに左に行くと四王司城を拠点としていた厚東武村の墓がある。；芝居が重なり合って、手前で芝居をしているのに、奥でも何かが行われている。；背ずりは固定されており、座面が手前に引き出してくる形状である。；当駅の神戸方から住吉駅の手前までの区間はスラブ軌道となっている。；特に1番線は東側の階段の手前で線路が行き止まりになっている。</t>
        </is>
      </c>
      <c r="J5798">
        <f>HYPERLINK("https://www.weblio.jp/content/手前", "词义详情")</f>
        <v/>
      </c>
      <c r="K5798">
        <f>HYPERLINK("https://yourei.jp/手前", "查看例句")</f>
        <v/>
      </c>
    </row>
    <row r="5799">
      <c r="A5799" t="inlineStr">
        <is>
          <t>手回し</t>
        </is>
      </c>
      <c r="B5799" t="inlineStr">
        <is>
          <t>成功</t>
        </is>
      </c>
      <c r="C5799" t="inlineStr">
        <is>
          <t>読み方：てまわし
１手で回すこと。また、そのもの。「—の轆轤(ろくろ)」
２事前に手くばりすること。手配。用意。「幹事の—がいい」
３都合のよいこと。便利。
「紙花下されなば宿へ断り申して、一匁引いて取りかへてもらふが—なるべし」〈浮・禁短気・六〉
４金銭のやりくりをすること。
「—自由なるまでは、二百年でも待つ金子(きんす)」〈浄・八百屋お七〉</t>
        </is>
      </c>
      <c r="D5799" t="inlineStr">
        <is>
          <t>手回し式(18%)；手回しよく(7%)；手回しハンドル(4%)；手回しクランク(3%)；手回し風琴</t>
        </is>
      </c>
      <c r="E5799" t="inlineStr">
        <is>
          <t>準備；都合；アレンジ；支度；設ける</t>
        </is>
      </c>
      <c r="G5799" t="inlineStr">
        <is>
          <t>手回し発電機</t>
        </is>
      </c>
      <c r="H5799" t="n">
        <v>29</v>
      </c>
      <c r="I5799" t="inlineStr">
        <is>
          <t>と尋ねたのは、あまりにもの手回しの良い回答に、驚いたからだった。；棟居がこれからしなければならないことはすべて手回しよく手配されていた。；女性の涙もろさ優しさまでが、手回しよく計算されていたのかもしれない。；家庭用は手回しのものが多く、専用の円筒形の製氷皿で作った氷を用いる。；医師は手回し良く机の上に検査道具を広げて待っていた。；手回しの石臼では領主が税収を得られないので、それを不思議に思ったのだ。；しかし絵は公爵の運と手回しがよくて公爵の手に落ちたものです。；古くは足踏み式や手回し式のものが多く使われ、直線縫いしか出来なかった。；子供客は作りものの馬や豚に乘せて回轉する興行物に多く集まつてゐる。；この手回し機械式計算機を東京・小石川で生産・販売し資金を得た。；手回しのミシンでもおなじ条ができるが、この場合は左手だけだ。；そんなに手回し良く告白されたのでは、怒るわけにもいかないではないか。；あまりに手回しがよすぎる、と次郎左が言ったのも当然だった。；夜、一人の見習士官が手回しの蓄音機をさげて学生の宿舎へたずねて来た。；これは、カメラが手回し式だった頃の、手回しハンドルに由来するとされる。；この事件で指名手配を受けて逮捕されたが、辻らの手回しで起訴猶予となる。；あの若者はもしかしたら、手回しよく奥方を丸め込んでいたのかもしれぬ。；大学とは言っても当時は教室に電気もひかれておらず、大学全体で手回し式の電話が1台あるだけだった。；普段フットワークがいい人間は、けがをしていても手回しのよさは健在らしい。；本作はメダル投入機構に「手回しホッパー」とも言える機構を採用している。；反転し沖へ出る為に下手回しした時、船が大きく揺れた。；しばしば彼の家へいって私は遊ぶようになったが、手回し送風器の匂いはどこにも感じられなかった。；手回し計算機の他、三菱電機製のコンピュータの販売代理業務などを手がけていた。；それを見て牛尾修二は、自分の親分の手回しのよさに、ほとんど感服した。；手回しよく猫用の籠を手にしている。；そのお魎が自分のためにどうして手回しをしてくれるのか、理解できなかった。；このとき、回紇の部衆は薬羅葛氏の特健を推戴して回紇部の俟斤とした。；手回しよく内側の戸口で待っていたUNSAの士官が間合を取ってそれに続いた。；けさ仕事を始めたばかりにしちゃ、手回しが悪くないわね。</t>
        </is>
      </c>
      <c r="J5799">
        <f>HYPERLINK("https://www.weblio.jp/content/手回し", "词义详情")</f>
        <v/>
      </c>
      <c r="K5799">
        <f>HYPERLINK("https://yourei.jp/手回し", "查看例句")</f>
        <v/>
      </c>
    </row>
    <row r="5800">
      <c r="A5800" t="inlineStr">
        <is>
          <t>出回る</t>
        </is>
      </c>
      <c r="B5800" t="inlineStr">
        <is>
          <t>成功</t>
        </is>
      </c>
      <c r="C5800" t="inlineStr">
        <is>
          <t>読み方：でまわる
［動ラ五（四）］商品が市場へ大量に出る。その物をよく見かけるようになる。「旬(しゅん)の果物が—・る」「偽一万円札が—・る」</t>
        </is>
      </c>
      <c r="F5800" t="inlineStr">
        <is>
          <t>広く出回る</t>
        </is>
      </c>
      <c r="H5800" t="n">
        <v>29</v>
      </c>
      <c r="I5800" t="inlineStr">
        <is>
          <t>この機種は教育市場向けモデルのため一般にはほとんど出回っていない。；日本では種子を抜いて乾燥させたものが市場に出回っていることが多い。；日本では司法機関で使用する製品が市中に出回ることが禁止されている。；明治の頃から日本各地で三光丸の偽薬が数多く出回り問題となっていた。；ただ、有名メーカーの比較的最近のモデルなんで、大量に出回ってます。；当時あまり話題にならなかったためか現在は古書店に出回ることが少ない。；市場には自生品が出回ることもあるが、最近では養液栽培も盛んである。；その事件は廃娼運動を活発させ、それを題材にした作品が世に出回った。；様々な歌詞のものが出回っており、以下は伝統的な一例にすぎない。；しかし、正式な評価は市場に出回って腕に巻いてくれた人々から聞きたい。；また芝浦で採れた魚はと称され江戸に広く出回り、将軍にも献上された。；皮肉なことに、今日では彼のオリジナル作品の贋作が出回るほどである。；後々になってライブの模様を収録した海賊版が大量に出回るようになった。；そのため、一時は同社の製品の偽物やコピー商品が出回る事態となった。；カナダで出回ったレコードは回収され、アメリカでは発売中止となった。；並ぶ数字をもとに世間に出回るお金と経済の動きを観察できる。；彼の書いた異端的書物が至る所に出回っているとも噂されている。；これがどのような経緯で人間界に出回ったのかはわたくしにはわかりかねます。；歌舞伎町に出回っている麻薬も元をたどればこの一帯で産出されたのだ。；これらの海老は殆ど地元で消費されるため、ほとんど市場には出回らない。；急な需要増加のため、市場には多数の村正のニセ物が出回ることになった。；このコーナーのみを編集したカセットテープがファンの間で出回っていた。；これなんかもそうなんだが、最近偽物が出回っていると噂の品でね。；好みの児童用自転車に取り付けるための後付け製品も数多く出回っている。；巷にはこの戦闘を題材にした曲や絵画、文章が広く出回って行った。；トカレフが日本のヤクザの間に出回るようになったのは八〇年代後半からだ。；高度に最適化されたFFTプログラムが広く出回っていることである。；香港のダンスコンテストで優勝したこともあり、その映像が出回っている。；あんな写真が出回ったら僕の学園生活は灰色確定なのだから!</t>
        </is>
      </c>
      <c r="J5800">
        <f>HYPERLINK("https://www.weblio.jp/content/出回る", "词义详情")</f>
        <v/>
      </c>
      <c r="K5800">
        <f>HYPERLINK("https://yourei.jp/出回る", "查看例句")</f>
        <v/>
      </c>
    </row>
    <row r="5801">
      <c r="A5801" t="inlineStr">
        <is>
          <t>出迎える</t>
        </is>
      </c>
      <c r="B5801" t="inlineStr">
        <is>
          <t>成功</t>
        </is>
      </c>
      <c r="C5801" t="inlineStr">
        <is>
          <t>読み方：でむかえる
［動ア下一］［文］でむか・ふ［ハ下二］出ていって迎える。「客を駅に—・える」</t>
        </is>
      </c>
      <c r="D5801" t="inlineStr">
        <is>
          <t>出迎えるべく</t>
        </is>
      </c>
      <c r="H5801" t="n">
        <v>29</v>
      </c>
      <c r="I5801" t="inlineStr">
        <is>
          <t>ベッドで仰向けになったまま、反転した世界で僕を出迎える時のように。；それだのに、いま公式に彼らを出迎える者が一人もいないのである。；恐ろしい女が出迎えると、二階の小さい汚ならしい部屋へ案内したのです。；ふつうは、あたしがお客を出迎えるんだけど、そうでない場合もあるよ。；ムーミンが出迎えるが、彼女は後ろを向いて誰かと会話している様子だった。；相手が外国の元首となれば、やはり大勢の関係者の間で出迎えることになる。；いつもなら妻の美佐子が出迎えるはずだがと、首を傾げながら挨拶をする。；柊子は時間が分かれば駅に出迎えると言ってくれたのだけれど私の方で断わった。；通常の訪問客の場合、取締役が一階まで行って出迎えることはまずない。；恭子が狙っているのは、首相が、誰か外国の元首を出迎えるときであった。；果して停車場の構内には彼を出迎える子供等の影さえも見えなかった。；私と妹は一度慌てて子ども部屋に逃げてから、しぶしぶ養父を出迎える。；その日、長い旅から帰還する王子を出迎えるために、街は大変な人出だった。；その女の人は粛々と僕らを出迎えると、奥の洋間へと案内してくれた。；今日の午后Tは軽井沢の駅で私のくるのを出迎えるはずになっている。；足を運ぶ度、壁の青い洞窟を連想してしまう落ち着いた気温が出迎える。；彼は、自分の肉親は勿論、こんなふうにして人を出迎えるのは初めてであった。；まるで、電車かバスで隣り町からきたのを出迎えるようなあんばいであった。；また、乗客を心地よく出迎えるために、停車前と停車中は音楽を流している。；ディルは用心のために短剣を抜いたが、彼らを出迎える敵の姿はなかった。；領主たちも、出迎えるべき月の女王が現れたことを察したらしい。；愛しい者を出迎えるように両手を広げ、ますます激しく風を吹きつけるのだった。；あの甘い愛情と甘いお菓子のキスで出迎えるケイティがいないのである。；なぜこちらの家令どもは、あのような者が領主顔をして客を出迎えることを許しているのですか?；四十数年後の地球で、俺たちはこんな連中を出迎えることになるかも知れない。；彼女を出迎えるように、両手を広げながら、彼女に声をかけた。；このようなことは、公式な席で他領の領主を出迎えるとき以外、かつてなかったことである。；出迎えるはずの従業員が姿を見せず、それでも食事の時間になると満足のいく料理が用意されていた。；彼女は周りの狼狽を意に介さず、惑星の到来を朗らかに出迎えるのだった。</t>
        </is>
      </c>
      <c r="J5801">
        <f>HYPERLINK("https://www.weblio.jp/content/出迎える", "词义详情")</f>
        <v/>
      </c>
      <c r="K5801">
        <f>HYPERLINK("https://yourei.jp/出迎える", "查看例句")</f>
        <v/>
      </c>
    </row>
    <row r="5802">
      <c r="A5802" t="inlineStr">
        <is>
          <t>出向く</t>
        </is>
      </c>
      <c r="B5802" t="inlineStr">
        <is>
          <t>成功</t>
        </is>
      </c>
      <c r="C5802" t="inlineStr">
        <is>
          <t>読み方：でむく
［動カ五（四）］自分のほうから目的の場所へ行く。「取引先へ説明に—・く」</t>
        </is>
      </c>
      <c r="D5802" t="inlineStr">
        <is>
          <t>出向くわけ；出向くべき</t>
        </is>
      </c>
      <c r="E5802" t="inlineStr">
        <is>
          <t>行く；参加；出席；通う；連なる</t>
        </is>
      </c>
      <c r="F5802" t="inlineStr">
        <is>
          <t>直接出向く</t>
        </is>
      </c>
      <c r="H5802" t="n">
        <v>29</v>
      </c>
      <c r="I5802" t="inlineStr">
        <is>
          <t>彼は不幸を聞いて、自分でなんとか処理しようと出向いてきたのだった。；将軍は間違いなく、そのくらいの覚悟であの男のもとへ出向くでしょう。；私も親が話をつけておいた農家へ母親の着物持参で出向くようになった。；一本つけて高揚した気分のまま賭場に出向くのが儀式になってしまった。；事件の起きた場所へ出向くんじゃなくて、事件の方が私を求めてくるの。；ベトナム戦争で戦場に出向いた少女の、感情の変化を描いた戦争ドラマ。；そのうち自分が暇の時に出向いてゆるゆる話もしようし聞きもしよう。；馬鹿げた誤解と言うべきだが、釈明しに警察に出向くわけにもいかない。；愛を求める2人は、夜な夜なクラブへと出向いては恋人探しをしている。；営業資金は口コミや、自ら出向いて街で声をかけたりして集めていた。；そんな簡単な一言を聞くためだけにわざわざ出向いたのではない。；そんな人の言葉を信用して知らない場所にのこのこと出向くなんて危険すぎるわ。；どうせなら越前屋が自ら出向くのが話が早いのではないかと思った。；だが、何かの詮議のために伊丹屋敷へ出向こうとしていたのは確かなのだ。；僕は、米国出張から直接東城大へ出向くように言われてびっくりですよ。；そう考えたので、情報交換のために直接警察へ出向くことにしたのだ。；だが小兵衛は、平山のさだめた日時と場所へ出向くことにしたのである。；おまえさまに来てもらうのも困るし、こちらから出向くのもつごうが悪い。；出世の一段階とでも考えて出向いて来た人間が一人でもあったか。；そのため、例えば中央競馬のファンは県外の競馬場に出向く必要がある。；後には、彼女の名誉を守るために、彼女の家へ出向いたとも主張した。；忠敬は名主や村の有力者と、江戸にある津田氏の屋敷に挨拶に出向いた。；将軍の到来を期望し、我は今将軍のために用意した館へ出向いている。；システムは女性の指定した場所に派遣男性が出向くという形をとる。；今後は出張公演の形をとり、全国いろいろな場所に出向いての公演となる。；よかったら、明日わたしのほうからホテルに出向くか、電話をしましょう。；まるで葬儀にでも出向くかのような出で立ちの女の子がそこに立っている。；あるとき私は彼と二人で馬車を駆って郊外へ出向いたことがある。；今度は約束の時間よりも遥かに早く出向いて木の陰に隠れていた。</t>
        </is>
      </c>
      <c r="J5802">
        <f>HYPERLINK("https://www.weblio.jp/content/出向く", "词义详情")</f>
        <v/>
      </c>
      <c r="K5802">
        <f>HYPERLINK("https://yourei.jp/出向く", "查看例句")</f>
        <v/>
      </c>
    </row>
    <row r="5803">
      <c r="A5803" t="inlineStr">
        <is>
          <t>デモ</t>
        </is>
      </c>
      <c r="B5803" t="inlineStr">
        <is>
          <t>成功</t>
        </is>
      </c>
      <c r="C5803" t="inlineStr">
        <is>
          <t>［接］《「それでも」の略》
１前の事柄を一応肯定しながら、それがふつう結果として予想されるものに反する内容を導くときに用いる語。にもかかわらず。それでも。しかし。「がんばった。—負けた」「その時は風邪ぎみだった。—私は休まなかった」
２前述の事柄に対して、その弁解・反論などをするときに用いる語。しかし。「試験に落ちました。—、勉強はしたんですよ」</t>
        </is>
      </c>
      <c r="D5803" t="inlineStr">
        <is>
          <t>デモ隊；デモ画面；デモ走行；デモ行進；デモ版</t>
        </is>
      </c>
      <c r="E5803" t="inlineStr">
        <is>
          <t>実演；デモンストレーション；示威；デモ活動；示威行動</t>
        </is>
      </c>
      <c r="F5803" t="inlineStr">
        <is>
          <t>大規模デモ；街頭デモ；反対するデモ；漫才デモ；抗議するデモ</t>
        </is>
      </c>
      <c r="G5803" t="inlineStr">
        <is>
          <t>デモ隊；デモテープ；デモクラシー；デモ行進；デモ音源</t>
        </is>
      </c>
      <c r="H5803" t="n">
        <v>29</v>
      </c>
      <c r="I5803" t="inlineStr">
        <is>
          <t>しかし抑えきれないまま始まってしまったデモを支持する以外なくなった。；発売前のデモ版がリリースされ、日本国内でも注目のタイトルとなった。；光化門の南側に設けられた光化門広場等を中心に盛んにデモが行われる。；北海道釧路湖陵高等学校入学後はさまざまなデモに参加するようになる。；そして作ってもらったデモがイメージにピッタリだったので採用した。；次の日は午前中に労働組合のデモや集会が行われ、午後はお祭りとなる。；デモの主張は米国産牛肉の輸入問題から多岐に渡る不満が複合している。；基本仕様とSCEおよびサードパーティー制作の性能デモが公開される。；したがって、デモや冗談ならともかく、実用には絶対使ってはいけない。；しかしデモの規模は更に拡大し、市内の労働者の大半が参加するようになった。；全国で100校に達する学校から10万人の学生が大規模デモに参加した。；デモを成功させるのには、それが行われる時と場所が重要である。；初期のデジデザインのデモにも積極的に参加して国内普及に努めた。；デモトラックなど未発表音源と当時の詳細な資料がパッケージされた。；対戦モードではキャラクター同士の掛け合いデモも追加されている。；このメンバーでいくつかのデモが録音されたとされるが、公式には発表されていない。；また、これらの機体は対戦では使用できず、ゲーム中のデモにも反映されない。；また、同様にメディアの中国寄りを憂慮する市民が、デモを展開している。；他の部隊や工場労働者も呼応し、その日のうちに武装デモが始まった。；各ステージのスタート前にはデモでステージ名と中ボスが紹介される。；結成時の最初のデモに寄せて、小田は呼びかけ文に次のように記した。；プレイ中、上画面では各楽曲ごとに用意されたストーリーにあわせたデモが表示される。；組合主催者として、デモを行う労働者の妻や子供達を組織して有名になった。；かつてはホンダ・S2000をベースとしたデモカーも保有していた。；結局軍は動かなかったため、このデモはしだいに下火になっていった。；またその活動では楽器フェアでの講演やデモ演奏なども行っていた。；このデモでは警察からの立ち退き命令を無視したとして逮捕者も出た。；無許可デモと武器携帯の禁止およびエチオピア軍駐留継続の根拠となる。；また、会場の外では授与支持派と反対派の双方がデモを行なった。</t>
        </is>
      </c>
      <c r="J5803">
        <f>HYPERLINK("https://www.weblio.jp/content/デモ", "词义详情")</f>
        <v/>
      </c>
      <c r="K5803">
        <f>HYPERLINK("https://yourei.jp/デモ", "查看例句")</f>
        <v/>
      </c>
    </row>
    <row r="5804">
      <c r="A5804" t="inlineStr">
        <is>
          <t>でも</t>
        </is>
      </c>
      <c r="B5804" t="inlineStr">
        <is>
          <t>成功</t>
        </is>
      </c>
      <c r="C5804" t="inlineStr">
        <is>
          <t>［接］《「それでも」の略》
１前の事柄を一応肯定しながら、それがふつう結果として予想されるものに反する内容を導くときに用いる語。にもかかわらず。それでも。しかし。「がんばった。—負けた」「その時は風邪ぎみだった。—私は休まなかった」
２前述の事柄に対して、その弁解・反論などをするときに用いる語。しかし。「試験に落ちました。—、勉強はしたんですよ」</t>
        </is>
      </c>
      <c r="D5804" t="inlineStr">
        <is>
          <t>でもいい(3%)；でも同様；でも有名；でも使わ；でもあるかの</t>
        </is>
      </c>
      <c r="E5804" t="inlineStr">
        <is>
          <t>訴え；訴訟；デモ；告訴；陳情</t>
        </is>
      </c>
      <c r="F5804" t="inlineStr">
        <is>
          <t>なんでもいい；何でもいい；どうでもよく；誰でもいい；ここでもまた</t>
        </is>
      </c>
      <c r="G5804" t="inlineStr">
        <is>
          <t>でもん；でもどり；でもしか先生</t>
        </is>
      </c>
      <c r="H5804" t="n">
        <v>29</v>
      </c>
      <c r="I5804" t="inlineStr">
        <is>
          <t>現在でも双方の攻撃が完全に収まったわけではなく、困難が予想される。；こうした断食はイスラム教の信仰の中でも最重要なもののひとつである。；上陸の際は、歩いて通ることのできる地形であればどこにでも上陸できる。；同様の手法は システムで使われている コードでも使われている。；学校や兵舎でも公式な告知や発表文でも広く使われて周知されていった。；一般に俳優ひとりが欠けるだけでも舞台や撮影が成立しなくなってしまう。；アメリカに続いて、ヨーロッパ各国でも同様のサービスが次々と始まった。；現在でも北陸電力は全国でもトップクラスの安さで電力を供給している。；一方実数の範囲ではその定義からいつでも が の最小の数になっている。；日本以外でも分類は異なる場合もあるものの用途は概ね同一である。；F1選手権への追加の検討が一度でもなされたレースイベントは以下。；今日でも高年齢層のなかにはペンシルベニアドイツ語を話す人々が多い。；その結果、知的創作物を誰でも自由に利用できると説かれることが多い。；家庭でも作りやすく、深いコンテナなどを使って鉢植えでも育てられる。；こうした経緯から、現在でもフランスとの緊密な関係を維持している。；交流は現在でも続いており時々スポーツニュースでも放送されている。；ただし尊重すべき理由があるときはそれ以下の年齢でも認められる場合がある。；G8サミット国や招待国以外でも、特定の分野で参加することができる。；そのため、現在でもポーランド人は強い反露感情を抱いているとされる。；またそれが残っている場合でも、今生きている素材のように扱うことは出来ない。；一方で誰か一人でもゴールできればプレイヤー全員の勝利になる。；この当時に描いた漫画の一部は今でも記念館に保存されている。；M0クラスになると、日本の地震計観測網でも捉えられない場合がある。；日記に掲載されているだけでも23作品をこの時期に読破している。；彼は伯爵と共にド・ディオン・ブートン社を共同設立した人物でもあった。；寄生虫や微生物など病原体の問題もあるが、生でも食べることができる。；人気のあるレース・ミーティングはゴールウェイでも開催されている。；現在でも、実写ドラマの監督がやりたいという野心があると語っている。；古代でも中世でも、人類のほとんどは水道無しで生活していたと考えて良い。</t>
        </is>
      </c>
      <c r="J5804">
        <f>HYPERLINK("https://www.weblio.jp/content/でも", "词义详情")</f>
        <v/>
      </c>
      <c r="K5804">
        <f>HYPERLINK("https://yourei.jp/でも", "查看例句")</f>
        <v/>
      </c>
    </row>
    <row r="5805">
      <c r="A5805" t="inlineStr">
        <is>
          <t>手元</t>
        </is>
      </c>
      <c r="B5805" t="inlineStr">
        <is>
          <t>成功</t>
        </is>
      </c>
      <c r="C5805" t="inlineStr">
        <is>
          <t>読み方：てもと
１手の届くあたり。手近。自分のそば。「辞書を—に置く」
２道具などの、手で握るところ。握り。「鍬(くわ)の—」
３手の動かし方。手の動き。また、手並み。「—が狂う」
４生計をたてるための金。また、暮らし向き。「—不如意」
「紀の国屋伊兵衛はどの位—が苦しかったか」〈芥川・雛〉
５《女房詞から》箸(はし)。→御手元(おてもと)
６「手元金」の略。
７腕前。技量。
「為朝が—はおぼゆるものを」〈古活字本保元・中〉</t>
        </is>
      </c>
      <c r="D5805" t="inlineStr">
        <is>
          <t>手元不如意；手元に無い；手元役；手元に置きたい；手元に届けられ</t>
        </is>
      </c>
      <c r="E5805" t="inlineStr">
        <is>
          <t>側；傍；目前；足下；近傍</t>
        </is>
      </c>
      <c r="G5805" t="inlineStr">
        <is>
          <t>手元供養</t>
        </is>
      </c>
      <c r="H5805" t="n">
        <v>29</v>
      </c>
      <c r="I5805" t="inlineStr">
        <is>
          <t>気が付いた時にはすでに学問が吾々の手元にあったのであるかも知れない。；都市は好きな開拓地を手元に戻しそこに都市を建設することができる。；また手元に集中しなくてもできるため周りを見ながらドリブルできる。；銀行は資金を貸すのに、手元に資金を持っている必要がないのである。；地方で番組を収録した場合手元に鳴り物が無く寂しい放送になる事がある。；これで商品を注文すると、たちまち商品が転送されて手元に出現する。；ひとたびあの手紙がわたくしの手元にくれば、兄に最後通牒を送ります。；ただしアニメなどでは手元に戻ってくるような描写も見られる。；しかし今わたくしの手元には演劇史料となるべき書は殆ど一部も無い。；入団当初、しばらくはグローブとボールとをいつも手元に置いていた。；アーンテレッケンとは、向うのものを手元へ引きたいと思う意でござる。；イェルゲンは急におばの家に呼ばれ、原稿をヘッダの手元に残していく。；弾薬は貴重な傾向にあるため手元にあるツールを慎重に使用する必要がある。；その理由は、クラブが可能な限り早く逸材を手元に置きたいと希望するから。；手元には60秒未来から送られてきたメッセージは存在している。；読みたいと思う雑誌が手元にないので、それを買いがてら下町へ出た。；他の姉妹たちと同様に、宮廷外の誰とも交わらず、両親の手元で育てられた。；重心が手元から遠く、一般的に打球に威力を与えることを重視する形状。；そのため、手元のマシンの表示と遠隔のマシンとの表示で表示方法に差がない。；動物好きで、常にイヌを飼って手元に置いており、乗馬の才能もあった。；アハーンはこれらの質問に対して、自らの手元で貯めたものだと答えた。；最初疑ったのはわたくしの手元に渡った一通の手紙からでした。；本記事の立項者は手元の生物学書を確認したがこの語が出てこないことが多かった。；子供たちを手元に置きたがる両親の意向のために、宮廷から離れて育てられた。；地図が手元にあり、座標が分かっていれば、 のような指定法も可能である。；彼は印をつく阿部の頑丈な手元を無限の感謝と信頼とをこめて眺めた。；途中でびっくりしたのは間違ってわたくしの手元に届いた手紙です。；それだけ働いても、食費などをひくと手元に残る収入はわずかだった。；それはつまり、定家が手元においていた本であることを意味する。</t>
        </is>
      </c>
      <c r="J5805">
        <f>HYPERLINK("https://www.weblio.jp/content/手元", "词义详情")</f>
        <v/>
      </c>
      <c r="K5805">
        <f>HYPERLINK("https://yourei.jp/手元", "查看例句")</f>
        <v/>
      </c>
    </row>
    <row r="5806">
      <c r="A5806" t="inlineStr">
        <is>
          <t>寺</t>
        </is>
      </c>
      <c r="B5806" t="inlineStr">
        <is>
          <t>成功</t>
        </is>
      </c>
      <c r="C5806" t="inlineStr">
        <is>
          <t>読み方：じ
［音］ジ（呉）　［訓］てら
［学習漢字］2年
〈ジ〉
１てら。「寺院・寺号／社寺・僧寺・尼寺(にじ)・廃寺・仏寺・末寺」
２役所。「鴻臚寺(こうろじ)」
〈てら（でら）〉「尼寺(あまでら)・禅寺・山寺」</t>
        </is>
      </c>
      <c r="D5806" t="inlineStr">
        <is>
          <t>寺伝(3%)；寺域；寺運；寺住職；寺勢</t>
        </is>
      </c>
      <c r="E5806" t="inlineStr">
        <is>
          <t>院；寺院；神殿；山門；お寺</t>
        </is>
      </c>
      <c r="F5806" t="inlineStr">
        <is>
          <t>禅寺；増上寺；修善寺；八九寺；少林寺</t>
        </is>
      </c>
      <c r="G5806" t="inlineStr">
        <is>
          <t>寺社；寺田；寺尾；寺領；寺内</t>
        </is>
      </c>
      <c r="H5806" t="n">
        <v>29</v>
      </c>
      <c r="I5806" t="inlineStr">
        <is>
          <t>故に現在も神社脇に旧寺の墓地が存在する、珍しい状態となっている。；久慈郡の郡寺は上記長者屋敷遺跡内にある久寺であると考えられている。；貸した土地に茶店等を設ける時は寺の許可とし茶店での宿泊はさせない。；主に寺の僧や貴族などの教養層によって継承されてきた文字である。；そのほかには寺域区画線と見られる溝が寺域東辺・南辺で見つかっている。；このような場所は寺や神社が所有していたり、近隣共同体の共有財産であったりした。；山上駅は寺の浄域から離れたところとし線路は遠くから見えないようにする。；寺の周辺には無数の付属寺院の子院が建てられ、最盛期には百か院以上を数えた。；この頃、寺に入れられていた弟友吉が耐え切れずに寺から戻った。；遺体はロンドンで荼毘に付された後に日本へ運ばれ、東海寺へ埋葬された。；造寺・造仏の技術者は主として朝鮮からの渡来人やその子孫達であった。；そのため廃寺が増え、寺を打ち壊して教会建設の材料としたと記されている。；和泉国内には、僧寺だけで尼寺は設置されなかったと推察されている。；以下に画像と、それとは別の東慶寺に残る中で最古の寺法離縁状をあげる。；この寺は、見かけは立派だが、真の出家者などはいないではないか。；そこで禅師が山に登って寺の様子を見てみると、そこはさらに荒れ果てていた。；近隣に所在するゆかりの寺である西方寺には、標本が保存されている。；東京タワーの建設時、増上寺は墓地の一部を土地として提供している。；高野山内の寺院は117か寺とされるが、その中の主なものを下記にあげる。；威徳館の建物は再度移築され、近隣の千里寺の本堂として現存している。；なお、同寺の北東にある赤城山には、勝道が開山したという伝承がある。；また、神社や寺など桜を持っている団体や地域が「桜祭り」を開いている例も多い。；なお、近くの建長寺でも同時期に同様の「宝物風入れ」が実施される。；元は米子の南に位置する法勝寺というところの出で、のちに米子に移った。；荻堂のあった場所は、現在では慈雲山荻寺光明院という寺になっている。；また、心平寺の旧本尊と伝える地蔵菩薩像は今も建長寺に伝来している。；文明年間、一条兼良が美濃の正保寺に滞在し鵜飼を見物した記録がある。；寺法離縁の場合は書かなければならないことが多いので三行半には収まらない。；大学は実家の寺を継ぐために進学すると両親には告げていたが、実際にはその気はなかったという。</t>
        </is>
      </c>
      <c r="J5806">
        <f>HYPERLINK("https://www.weblio.jp/content/寺", "词义详情")</f>
        <v/>
      </c>
      <c r="K5806">
        <f>HYPERLINK("https://yourei.jp/寺", "查看例句")</f>
        <v/>
      </c>
    </row>
    <row r="5807">
      <c r="A5807" t="inlineStr">
        <is>
          <t>照らす</t>
        </is>
      </c>
      <c r="B5807" t="inlineStr">
        <is>
          <t>成功</t>
        </is>
      </c>
      <c r="C5807" t="inlineStr">
        <is>
          <t>読み方：てらす
［動サ五（四）］
１光をあてる。光をあてて明るくする。「日に—・される」「ライトで舞台を—・す」
２基準になるものと比べ合わせる。見比べて確かめる。参照する。「学則に—・して処分する」「歴史に—・せば明らかである」
３能で、能面を少し上向きにする。はればれした気分、喜びの感情を表す。
４遊女が客をはねつけて、恥をかかせる。
「北廓(よしはら)にふるといふ言(ことば)あれば、河東(ふかがは)に—・すといふ言あり」〈洒・古契三娼〉
[可能]てらせる</t>
        </is>
      </c>
      <c r="D5807" t="inlineStr">
        <is>
          <t>照らすべき；照らす淡い；照らす懐中電燈；照らす薄暗い</t>
        </is>
      </c>
      <c r="E5807" t="inlineStr">
        <is>
          <t>比較；光る；比べる；反射；対照</t>
        </is>
      </c>
      <c r="F5807" t="inlineStr">
        <is>
          <t>天照らす；あまねく照らす</t>
        </is>
      </c>
      <c r="H5807" t="n">
        <v>29</v>
      </c>
      <c r="I5807" t="inlineStr">
        <is>
          <t>一方には闇のなかにきわだって明るく照らされた一つの窓が開いていた。；決して闇を照らすような強い光ではなかったが、確かに光が灯っていた。；これから、ゆくてを照らすものもなく、 ただ闇の中を歩いて行くのだ。；そのオレンジ色の光に照らされて、彼はずっと遠くにいるように見えた。；口の両端から現れている牙が炎に照らされて金の牙のように光っている。；街灯の光に照らされた二人を見ると、何と二人は六十ちかい老人である。；これで虚空を照らすと思いのままの立体映像を出現させることができる。；強く照らされ、わずかに横を向いた頭は、鋭い視線で鑑賞者を見ている。；二人の水夫が道を照らすためのたいまつに火を移しに焚火の所へ行った。；日の光が馬の肌に、まるで磨きこんだ黒檀でも照らすように輝いていた。；道の先は、ヘッドライトが照らすぼんやりとした空間だけしか見えない。；広場中が、三本の交叉して流れる青い光の流れによって照らされていた。；私たちの下の水は青い焔に似て、すべてのものがその光に照らされていた。；しかし、市の規約に照らし合わせて不審な点があるのは明らかであった。；離れた草原で女たちが真上から日に照らされながら足を投げ出していた。；この決断にもまた政治的な動機があり、教会法に照らして問題があった。；その顔は暮れてゆく昼の明るみと消えてゆく魂の思いとで照らされていた。；それは像の頭上の炎に照らされて、あるかたちをなしているように見えた。；暗い海を行く船が灯台の明かりに照らされて無事に目的の港へ進むように。；そのほか、かれが通廊を照らすためライトをもっていることもわかった。；ただ路の上には、なにか小さな石が日に照らされて光っていました。；地球を照らす恒星光には、この星からの光も含まれていることになる。；これは、板や棚の端などの平面上の正確な直線を照らすことができる。；空がほぼ常に暗い黄色い雲に覆われており、太陽が照らすことは稀である。；強力なランプの光量でも反対側の壁を照らすことができないほどであった。；寒い夜、月の照らす庭で同じやせこけた姿を見たときの、あの目だった。；世界は今、ヘッドライトが照らす数マイル先までしか、存在していない。；昼間はしまっている各劇場の戸口に日に照らされながら札が出ている。；いまやパットの周囲には、ぼんやりと照らされたトンネルの壁があった。</t>
        </is>
      </c>
      <c r="J5807">
        <f>HYPERLINK("https://www.weblio.jp/content/照らす", "词义详情")</f>
        <v/>
      </c>
      <c r="K5807">
        <f>HYPERLINK("https://yourei.jp/照らす", "查看例句")</f>
        <v/>
      </c>
    </row>
    <row r="5808">
      <c r="A5808" t="inlineStr">
        <is>
          <t>照り返す</t>
        </is>
      </c>
      <c r="B5808" t="inlineStr">
        <is>
          <t>成功</t>
        </is>
      </c>
      <c r="C5808" t="inlineStr">
        <is>
          <t>読み方：てりかえす
［動サ五（四）］光や熱が反射する。また、光や熱を反射する。「西日が—・す」「夏日を—・すアスファルトの道」</t>
        </is>
      </c>
      <c r="D5808" t="inlineStr">
        <is>
          <t>光る；反射；照らす；反照；照りかえす</t>
        </is>
      </c>
      <c r="H5808" t="n">
        <v>29</v>
      </c>
      <c r="I5808" t="inlineStr">
        <is>
          <t>キラシャンドラは港の照り返しもまぶしい大きな部屋にいるのを知った。；私の神経は相手から照り返して来る反射のないために段々静まりました。；やがて前方にライトを照り返す光の輪が現れ、視野いっぱいに広がった。；アスファルトの照り返しに肌を灼かれながら、いろいろなことを考えた。；今もあの時の、真夏の日を照り返す白いグラウンドの光を忘れてはいない。；それとも、空に浮かぶお月様の方が、湖面のお月様の照り返しなのかしら。；木の間がくれに見えており、その窓々が夕陽をまぶしく照り返していた。；この土地の太陽の照り返しには、もはや何週間もつづいたあの酷烈さはない。；傷一つない剣腹が、ランプの光にぬめるような銀光を照り返す。；スクリーンから照り返す光を受けた彼女は浜面の視線に気づかない。；白っぽく照り返す舗道に落ちる影は、太陽が上がったせいか短くなっていた。；蛍光灯を照り返す車体の群れを縫って、エレベーターホールへと向かった。；真赤な土が照り返す だらだら坂の二側に、 アカシヤの樹のつづく路。；堀の水は強い陽光を照り返し、金の砂をまいたように光っている。；月のない闇天の下であったが、その雪のために地上には妖しい微光が照り返している。；ときは夏、日の照り返す校庭で、少女である私は、生徒たちの列に並んでいる。；あの時部屋を満たしていたのは、雪に照り返された淡い光だった。；トレイは輝く銀で照り返しが得られるくらいのものを用意し裏にはロゴを入れる。；なるほどそれは、銀色に光を照り返し美しく輝いて見えるだろう。；まるで、暗く被われた海底の様子を照り返す鏡のように目に射し込んでくる。；庭の奥を流れる泉水が、一箇所だけ強く日を照り返している。；斜陽が街を照らし、ここからも見える湖もその光を照り返して街を光に埋めていくかのようだ。；腐植土のぬかるみよりの照り返しに、 すがめの子一人りんと立ちたり。；の赤い旗がはためいている新築の家の白い壁が、日光を照り返して眩しい。；一方、照り返しの強いアスファルトなどは不適当とされている。；月が高くのぼっていて、小屋の前の白い砂浜も、波静かな海も鏡のように照り返していた。；その日最後の陽が氷に照り返していた。；その光を照り返して、貴之の既が赤くなったり白くなったりする。；茜色がかってきた夕方の日差しを照り返し、まぶしいほどに映えている。</t>
        </is>
      </c>
      <c r="J5808">
        <f>HYPERLINK("https://www.weblio.jp/content/照り返す", "词义详情")</f>
        <v/>
      </c>
      <c r="K5808">
        <f>HYPERLINK("https://yourei.jp/照り返す", "查看例句")</f>
        <v/>
      </c>
    </row>
    <row r="5809">
      <c r="A5809" t="inlineStr">
        <is>
          <t>照る</t>
        </is>
      </c>
      <c r="B5809" t="inlineStr">
        <is>
          <t>成功</t>
        </is>
      </c>
      <c r="C5809" t="inlineStr">
        <is>
          <t>読み方：てる
［動ラ五（四）］
１日や月などが光を発する。光り輝く。「日が—・る」
２晴れる。晴天である。「降っても—・っても散歩に出る」
３光を受けて美しく輝いて見える。映える。
「秋の夕日に—・る山紅葉」〈文部省唱歌・紅葉〉
４能で、能面が少し上向きになる。</t>
        </is>
      </c>
      <c r="D5809" t="inlineStr">
        <is>
          <t>照る照る(2%)</t>
        </is>
      </c>
      <c r="E5809" t="inlineStr">
        <is>
          <t>光る；輝く；差す；光り輝く；射す</t>
        </is>
      </c>
      <c r="F5809" t="inlineStr">
        <is>
          <t>下照る；日照る；照る照る鈴鹿</t>
        </is>
      </c>
      <c r="G5809" t="inlineStr">
        <is>
          <t>照る日くもる日</t>
        </is>
      </c>
      <c r="H5809" t="n">
        <v>29</v>
      </c>
      <c r="I5809" t="inlineStr">
        <is>
          <t>まるで深夜のように人ひとり通ってない街の上に月がこうこうと照っていた。；夜になると地上を徘徊することもあるが、日光が照る所には出てこない。；それに太陽が照っても、明るくなるのは確かに外の開けた場所だけさ。；それから、手に手を組んで、二人は月の照る谷間を徐かに歩いて行った。；やはり降ったり照ったりでしたが、お母さんと女のひと三人がゆきました。；土用にはいってからのある夜、非常に暑く、月が明るく照る夜であった。；夢ではないかと首をもたげると硝子戸越しに下弦の月が寒く照っていた。；その上に何ごともなかったかのように、秋の陽光がさんさんと照っていた。；或る日、日がかんかん照っている時間に、不意に帰って来たことがあった。；また顕幽両界を達観し得る人は、いはゆる二つの目が照るのであります。；太陽がギラギラ照っているというのに、不思議に汗一つかいていない。；フロイスが近づくと日が照るから帽子をかぶつてゐても構はないと言つた。；それはこの同じ太陽がこのアラビア人の屍体の上に照ったことにある。；アラ、どうしたのかしら、カンカン日が照っているのに雷が鳴っている。；月が照ってて黒い影が、姉さんが去った後も残っているように感じた夜だった。；そして一日の中の何時間かは必ず日が照るやうになります。；暑い日影の照ったことなどは殆ど一度もないと言って好い位であった。；曇って陽が照っていない時であれば昼でも活動し、姿を確認することができる。；空には一面に白い鱗雲が漂うて、淡い日があたたかく照っておりました。；廂に赤々とした夕陽が照っている反対に、部屋の中は薄暗く感じられた。；それから仰向いて、灯明の小さい星のように照っている奥の聖像を見る。；「このあたりじゃ太陽は照らないもんなの」タレンが惨めそうに尋ねた。；それが毎日日の照る日も、雨の降る日も、燃えるやうに彼女の眼に入った。；そして、あとにはただ月が照っており、時間が流れているだけです。；夏のおわりから、降っても照っても休みなしというのだから驚きますな。；陽こそまだ照っていたが、丘には今や違う色の部分が生じていた。；日はよく照って居るけれどどうやら秋らしい涼しさが立ち迷って居る。；おらあこんでも、ここら中の三四箇村は降っても照っても歩いてんだぞ。；杖の先には光を帯びた鳥の羽をふさふさと着けて、照る日に輝かした。</t>
        </is>
      </c>
      <c r="J5809">
        <f>HYPERLINK("https://www.weblio.jp/content/照る", "词义详情")</f>
        <v/>
      </c>
      <c r="K5809">
        <f>HYPERLINK("https://yourei.jp/照る", "查看例句")</f>
        <v/>
      </c>
    </row>
    <row r="5810">
      <c r="A5810" t="inlineStr">
        <is>
          <t>出る</t>
        </is>
      </c>
      <c r="B5810" t="inlineStr">
        <is>
          <t>成功</t>
        </is>
      </c>
      <c r="C5810" t="inlineStr">
        <is>
          <t>読み方：でる
［動ダ下一］［文］づ［ダ下二］
１ある範囲や中から外の方へ動き移る。
㋐そこから外へ行く。「校門をでる」「社会へでる」「迎えにでる」
㋑境や一定の限度を越える。「土俵から足がでる」「この線から前へでないように」
㋒そこを離れてほかのところへ行く。いままでいたところから別のところへ行く。「旅にでる」「武者修行にでる」
㋓卒業する。「大学をでる」
㋔（たどって行って、結果として）ある所に行き着く。「左へ曲がると大通りにでる」
㋕商品が売れる。はける。「この製品はよくでる」
２
㋐その所、起点から移動を始める。そこから出発する。「今から駅をでる」「悪天候のため、連絡船がでない」
㋑根源がそこにゆきつく。由来する。その源から血筋・系統を引く。「論語からでた言葉」「平氏では、桓武(かんむ)天皇からでた家系が有名」
３
㋐隠れていたもの、中に入っていたものなどが、表に現れる。現れて見えるようになる。姿を現す。「月がでる」「穂がでる」「穴からでる」「涙がでる」「だしがよくでている」「貫禄がでてきた」
㋑なくしたものが見つかる。「盗まれた自転車がでてきた」
㋒ある作品や場面などに現れる。「ギリシャ神話にでてくる美青年」
４
㋐ある仕事をするために特定の場所にのぞむ。行事、集まりなどに加わる。「会議にでる」「競技大会にでる」「子役ででる」「電話にでる」
㋑ある活動をするために、特定の方面・分野にすすんで働きかける。「選挙にでる」「世にでる」「人前にでる」
㋒ある態度をとる。ある態度で相手に対する。「下手(したて)にでる」「高飛車にでる」
５（掲示・掲載したり、ある所に持ち出したりして）広く人に知られるようにする。「テレビにでる」「全集がでる」「夜店がでる」
６あらたに生じる。
㋐自然現象・出来事などがおきる。発生する。「霧がでる」「シロアリがでる」「水がでる」「犠牲者がでる」
㋑地中から、産出される。「温泉がでる」「石油がでる」
㋒勢いなどがうまれる。「熱がでる」「やる気がでる」「スピードがでる」
㋓考えなどがうまれる。また、いろいろ考えて、ある結果がもたらされる。「妙案がでる」「結論がでない」
７与えられる。
㋐発令されたり、支払われたりする。「許可がでる」「ひまがでる」「ボーナスがでる」
㋑もてなすために用意される。供される。「ごちそうがでる」「茶菓がでる」
[補説]文語の下二段動詞「出(い)づ」の連体形「いづる」が終止形としても用いられるようになり、それがさらに「づる」に変化し、この「づる」が下一段化してできた形。
[下接句]足が出る・好(い)い目が出る・裏目に出る・上手(うわて)に出る・鬼が出るか蛇が出るか・買って出る・顔から火が出る・ぐうの音(ね)も出ない・口に出る・口より先に手が出る・口を衝(つ)いて出る・子供の喧嘩(けんか)に親が出る・下手(したて)に出る・地が出る・冗談から駒(こま)が出る・初日が出る・精が出る・宝さかって入る時はさかって出る・叩(たた)けば埃(ほこり)が出る・血の出るよう・面(つら)から火が出る・手が出ない・手も足も出ない・出る所へ出る・喉(のど)から手が出る・火の出るよう・瓢箪(ひょうたん)から駒(こま)が出る・襤褸(ぼろ)が出る・晦日(みそか)に月が出る・右に出る者がない・目が出る・目から火が出る・芽が出る・世に出る・横と出る・涎(よだれ)が出る</t>
        </is>
      </c>
      <c r="D5810" t="inlineStr">
        <is>
          <t>出るとすぐ；出るかもしれ；出る可能性；出るかも知れ；出る確率</t>
        </is>
      </c>
      <c r="E5810" t="inlineStr">
        <is>
          <t>発生；見える；出発；出現；起こる</t>
        </is>
      </c>
      <c r="F5810" t="inlineStr">
        <is>
          <t>滲み出る；あふれ出る；買って出る；噴き出る；出ると直ぐに</t>
        </is>
      </c>
      <c r="G5810" t="inlineStr">
        <is>
          <t>出るい</t>
        </is>
      </c>
      <c r="H5810" t="n">
        <v>29</v>
      </c>
      <c r="I5810" t="inlineStr">
        <is>
          <t>昼間だって、客に会いに出ると言って会社を出れば何をしようと勝手だ。；音具とは音を出す道具のうち、音が出るが楽器とは言いにくい物のこと。；月と太陽が洞窟から出ようとしたとき大きな岩が邪魔をして出られない。；社を出れば、おまえの前にはバローを知っている人間など一人もいない。；海に出ればまた話も違いましょうが、港までは最速で三日はかかります。；当時はそういっていましたからね、どこの学校を出ればなにになれると。；わたしは、家へ帰るためにこの白骨を出ようとするのではございません。；或る日彼はその三冊の雑誌を売って得た金を握りながら表へ出ようとした。；それでも首を縦に振らないようであればより効果的な手段に出ればいい。；歌詞は家を出ようとする男と、それを引き止める女をイメージしている。；ちょうど一行はこのとき庵室の囲いの外へ出ようとするところであった。；野に出ようとすると、昨日の雨に路の悪くなっているところがあった。；通りに出ればタクシーを拾えることはわかっていたが、そうしなかった。；二人がここを出ようとすると、下の方から七人連れの若い人が来ました。；で彼は乗り切るのを止めて、一つの岩の周囲を廻り先へ出ようと考えた。；他の作戦級に比べると、兵器の個性が出るためか、一般にも人気が高い。；自分さえ出れば、万事解決すると思っておるのが、あの人の病なのじゃ。；ただし良い音の出る楽器と木目の美しさにはかなり密接な関係がある。；やる気十分なのだが、人前に出れば何もいえなくなってしまうのである。；世間へ出れば、ここより貧しくても、ここより自由な日があるのである。；立つ前にもう一遍様子を見て、それから東京を出ようと云う気が起った。；アンダースンは自室から出ようともせず、ベッドの上で横になっていた。；事件のことが新聞に出れば、おまえは俺達が人違いしたんだと思い込む。；私、金で私が自由になると思っている人が出れば出る程面白いと思いますわ。；この場合、同じ選手がシングルスとダブルスの両方に出ることができる。；最後は下関駅の先で海の下に潜って、再び地上に出るとそこは九州である。；その肉の色を見ただけでも、食味の機能はおのずから動き出ようとする。；母はジェフリーも連れて出ようとしたが、彼は無反応であったと言われる。；それから出ようと努力することに、ますます深く沈んでゆくばかりだった。</t>
        </is>
      </c>
      <c r="J5810">
        <f>HYPERLINK("https://www.weblio.jp/content/出る", "词义详情")</f>
        <v/>
      </c>
      <c r="K5810">
        <f>HYPERLINK("https://yourei.jp/出る", "查看例句")</f>
        <v/>
      </c>
    </row>
    <row r="5811">
      <c r="A5811" t="inlineStr">
        <is>
          <t>照れくさい</t>
        </is>
      </c>
      <c r="B5811" t="inlineStr">
        <is>
          <t>成功</t>
        </is>
      </c>
      <c r="C5811" t="inlineStr">
        <is>
          <t>読み方：てれくさい
［形］［文］てれくさ・し［ク］きまりが悪い。気恥ずかしい。「人前で話すのは—・い」
[派生]てれくさがる［動ラ五］てれくさげ［形動］てれくささ［名］</t>
        </is>
      </c>
      <c r="D5811" t="inlineStr">
        <is>
          <t>照れくさいよう(9%)；照れくさいもの(5%)；照れくさいです；照れくさい気</t>
        </is>
      </c>
      <c r="E5811" t="inlineStr">
        <is>
          <t>残念；恥ずかしい；気恥ずかしい；居心地が悪い；照れ臭い</t>
        </is>
      </c>
      <c r="F5811" t="inlineStr">
        <is>
          <t>少し照れくさい；妙に照れくさい；何となく照れくさい；ちょっと照れくさい</t>
        </is>
      </c>
      <c r="H5811" t="n">
        <v>29</v>
      </c>
      <c r="I5811" t="inlineStr">
        <is>
          <t>ある照れくささから、相手の目を見たくない気持ちはぼくにもあった。；それに照れくさいものを感じながらも、真九郎は目的を果たすことにする。；金を渡すのは相手にいろいろ説明するのが照れくさかったからではないか。；照れくさいのがなんだかどうでもよくなってしまい、僕もまた笑った。；いま照れくさげなといったけれど、彼はまだそういう感情を持ってはいまい。；照れくささと懐かしさと、それに少しばかりの愛しさもあるかもしれない。；いくらかは照れくさいし、何を話せばよいのかわからないだけなのだ。；その匂いがなんとはなしに照れくさくて、私は慌てて車をスタートさせた。；そしてウサギみたいに真っ赤な目のままで、照れくさそうにこう言った。；それから一軒の店に駆けつけて、やや照れくさいのを我慢して言った。；八千代が黙って見上げていると男は多少照れくさげに視線をそらした。；その視線に気づいた晴美は、なんだか照れくさくなって笑顔で手を振った。；照れくささから他の話をするのだが、今はそういう気持は双方ともまったくない。；デビルベアに気を取られていたとはいえ、これはちょっと照れくさい。；彼自身も夢中になっているのに気がついたと見えて、照れくさそうに笑った。；門野久枝が涙の跡の残った目を上げると、照れくさそうに頭をかいた。；最初は二人切りで食事をするのが照れくさかったが、最近はそれにも慣れて来ていた。；これで、彼が照れくさそうにしていることが、よくわかるのである。；「ありがとうよ」 乳母は支えている戸の陰から照れくさそうにいった。；昨日の礼を言っていないのが恥ずかしく、言葉をかけるのが照れくさかった。；私は誰もいないのに何だか照れくさくなって、慌てて部屋へ入った。；僕が照れくさそうに家に帰ってくると、母はつい溜息をつくのだ。；謝絶しては悪いとちょっとのぼったが、照れくさくてすぐおりてしまった。；彼女は少し照れくさそうにしながら答えを教えてくれた。；何もいえないまま彼を見つめていると、彼は照れくさそうに頭をポリポリかいた。；なんていうか、こんな風に感謝されるのが照れくさいのである。；東吾が源三郎をみると、源三郎は照れくさそうな顔で話を聞いている。；予定外の場所で親しい人間に会ったりすると、なぜかとても照れくさいものだ。；おたがいの性格を知りつくしているだけに、照れくささが邪魔をする。</t>
        </is>
      </c>
      <c r="J5811">
        <f>HYPERLINK("https://www.weblio.jp/content/照れくさい", "词义详情")</f>
        <v/>
      </c>
      <c r="K5811">
        <f>HYPERLINK("https://yourei.jp/照れくさい", "查看例句")</f>
        <v/>
      </c>
    </row>
    <row r="5812">
      <c r="A5812" t="inlineStr">
        <is>
          <t>テレビ</t>
        </is>
      </c>
      <c r="B5812" t="inlineStr">
        <is>
          <t>成功</t>
        </is>
      </c>
      <c r="C5812" t="inlineStr">
        <is>
          <t>《「テレビジョン」の略》
１「テレビジョン」に同じ。「—をつける」「—局」
２1による放送・番組。「九時から見たい—がある」「新聞の—欄」</t>
        </is>
      </c>
      <c r="D5812" t="inlineStr">
        <is>
          <t>テレビcm(4%)；テレビ版(2%)；テレビ放映；テレビ画面；テレビ東京</t>
        </is>
      </c>
      <c r="E5812" t="inlineStr">
        <is>
          <t>テレビジョン；テレビ受像機；テレビ放送；受像機；テレヴィジョン</t>
        </is>
      </c>
      <c r="F5812" t="inlineStr">
        <is>
          <t>総合テレビ；民放テレビ；福島テレビ；テレビ部門；テレビ新広島</t>
        </is>
      </c>
      <c r="G5812" t="inlineStr">
        <is>
          <t>テレビアニメ；テレビ番組；テレビ局；テレビシリーズ；テレビ朝日</t>
        </is>
      </c>
      <c r="H5812" t="n">
        <v>29</v>
      </c>
      <c r="I5812" t="inlineStr">
        <is>
          <t>これに対応するためテレビ・ラジオともにネットワーク体制が構築された。；テレビや新聞などで一般的に使用される震源は震央の位置を示している。；若干画面が湾曲したテレビも一時流行したが同様にあまり普及しなかった。；そこでエルヴィスはテレビを見ながらベースを練習してくつろいでいた。；マネージャーの中にはテレビやラジオなどのメディアに出演する者もいる。；生存者の一人には後に映画やテレビで活躍した俳優の深江章喜がいる。；なお、発車標がテレビ化されるまでは、行灯式のものが使用されていた。；特に、通常のテレビで子供が直接見る時間帯に放映されるものに多い。；テレビ会社が映画を制作すると、上述のようなお金の流れは生じない。；タレント・女優としても活動し、テレビCM・ドラマ・映画などに出演。；当時、ワープロ専用機でもテレビ出力へ対応したものはわずかに存在した。；あーみん作品には数々の漫画やテレビの影響を受けたネタが存在する。；橋本龍太郎は自民党幹事長に就任してからテレビによく出るようになった。；しかもほとんどは、テレビ画面などとは関係の無いアルバイトである。；この背景には1953年より登場したテレビの急速な普及がある。；テレビは映画や音楽を部分的に含み、ラジオも音楽と重なる部分がある。；なお、テレビ取材用報道カメラ車は日本テレビの移動1号車の後に付く。；そのため、テレビやラジオの受信環境は必ずしも安定しているとは言えない。；また、テレビで放送されたり、ネットで配信されたりすることもある。；池田はテレビを利用して政策をアピールした最初の首相でもあった。；家電屋の店頭に設置したテレビも事実上の街頭テレビと看做されている。；後に、画面Ceefax文字システムによりテレビで利用可能となった。；家庭用テレビへの接続に特化し小型化されたFM TOWNSである。；マビカは画像をディスクに保存し画像自体はテレビに表示するものであった。；入院の間は病院から落語会やテレビ収録に行っていたという。；イギリスでは映画は元より舞台やテレビでも意欲的に活動している。；テレビでは事件発生直後から、さまざまな場所・方向から記録された映像が放送された。；テレビ広告でも同じような内容のものが放送された。；この作品は日本ではテレビ未放送でビデオ販売のみ。</t>
        </is>
      </c>
      <c r="J5812">
        <f>HYPERLINK("https://www.weblio.jp/content/テレビ", "词义详情")</f>
        <v/>
      </c>
      <c r="K5812">
        <f>HYPERLINK("https://yourei.jp/テレビ", "查看例句")</f>
        <v/>
      </c>
    </row>
    <row r="5813">
      <c r="A5813" t="inlineStr">
        <is>
          <t>テロ</t>
        </is>
      </c>
      <c r="B5813" t="inlineStr">
        <is>
          <t>成功</t>
        </is>
      </c>
      <c r="C5813" t="inlineStr">
        <is>
          <t>「テロル」「テロリズム」の略。</t>
        </is>
      </c>
      <c r="D5813" t="inlineStr">
        <is>
          <t>テロ計画；テロ特殊部隊；テログループ；テロ防止；テロ作戦</t>
        </is>
      </c>
      <c r="F5813" t="inlineStr">
        <is>
          <t>反テロ；カステロ；大規模テロ；ソテロ；同時テロ</t>
        </is>
      </c>
      <c r="G5813" t="inlineStr">
        <is>
          <t>テロップ；テロリズム；テロ組織；テロ事件；テロ対策</t>
        </is>
      </c>
      <c r="H5813" t="n">
        <v>29</v>
      </c>
      <c r="I5813" t="inlineStr">
        <is>
          <t>これはテロの影響で保守派に回った人々が多いことが原因とされている。；また、灰色の男たちと呼ばれるテロネットワークの存在も明確になった。；テロに対抗するSPの戦いと連続ドラマで描かれた謎が明らかにされる。；空港はテロなどの標的にされやすい施設であるため重要性は極めて高い。；また牧野を殺害対象としたテロ計画は、この事件の前にも8件もあった。；さらに伊藤博文を暗殺したテロリスト安重根の名を潜水艦に命名している。；また、イギリスで起きたテロ未遂事件でも使用されたと言われている。；このシステムは単発のテロ的な狙撃に対応するのが現在の限界である。；実は、現在世界中でテロが起きており、日本も例外ではないというのだ。；オウムが仏教観を破壊し、米同時テロが宗教の価値観を崩壊させました。；その際の幾つかの屈辱的な経験が、テロへと向わせた動機だとされる。；雌ヘテロ型の代表例である鳥類では解析された全ての種はZW型である。；日召はテロではなく、5月頃にクーデターを実行することを考えていた。；また当局は人為的な破壊を示す証拠はないとしてテロの可能性を否定した。；その際に司法への報復テロが頻発し、イタリア社会に暗い影を落とした。；当初彼の亡くなった経緯は隠されテロとの戦争における英雄扱いがなされた。；具体的なテロ計画が始動し始めるのはこの年の夏のことである。；ロシア史上、テロなどの政治的な裁判により処刑された最初の女性である。；だが、それはすべてある式典でテロを決行するための作戦だったのだ。；国家警察の直轄部隊であり、対テロなどを想定した任務となっている。；このような性決定様式は雄がヘテロ型であるため「雄ヘテロ型」と呼ぶ。；しかしその事でテロの犯人に仕立てられ追われている途中に龍也と出会う。；委員会はテロの可能性を否定し、この事故を個人の責任とすることは不可能であるとした。；さらに駅の時計はテロが起こった10時25分で止められたままになっている。；そのため、テロ路線継続か変更かで組織内対立が起きて、離脱者が多く出た。；車両の保安対策と設計はテロの犠牲者の数を明白に減らしたと評価された。；葬儀には厳寒の中、数千人の人々が何時間も立ちつくしテロに抗議した。；まず、紀元節にテロを実行することは不可能であることが決まった。；また、その数日後にブルーコスモスのテロによりヒビキ夫妻が死亡した。</t>
        </is>
      </c>
      <c r="J5813">
        <f>HYPERLINK("https://www.weblio.jp/content/テロ", "词义详情")</f>
        <v/>
      </c>
      <c r="K5813">
        <f>HYPERLINK("https://yourei.jp/テロ", "查看例句")</f>
        <v/>
      </c>
    </row>
    <row r="5814">
      <c r="A5814" t="inlineStr">
        <is>
          <t>手分け</t>
        </is>
      </c>
      <c r="B5814" t="inlineStr">
        <is>
          <t>成功</t>
        </is>
      </c>
      <c r="C5814" t="inlineStr">
        <is>
          <t>読み方：てわけ
［名］(スル)
１一つの仕事を何人かで分担して行うこと。「—して探す」
２軍勢を配置すること。
「宇治にて四方の—を定めて」〈太平記・三〉</t>
        </is>
      </c>
      <c r="D5814" t="inlineStr">
        <is>
          <t>手分けして探し；手分けして探す；手分けして片づけ</t>
        </is>
      </c>
      <c r="F5814" t="inlineStr">
        <is>
          <t>みんな手分け；八方手分け</t>
        </is>
      </c>
      <c r="H5814" t="n">
        <v>29</v>
      </c>
      <c r="I5814" t="inlineStr">
        <is>
          <t>みんなで手分けして探してみたんですけえど、どこにも姿は見えんのです。；手分けした方がいいだろうか、でもそれじゃあ二人で来た意味がない。；手分けしてバスの荷物入れから運んできていたテントが地面に並べられた。；今の人数でも十分やっていける仕事をわざわざ手分けしてやっていたのだ。；お父さんひとりじゃ大変なので、手分けしようということになったのだ。；手わけをして地上をくわしく調べたが、種子は残っていないようだった。；出札係に印象が残らないように赤羽と手分けして二枚ずつ買いました。；急に手分けをしてお嬢さんの行方を捜しに出たところが懐ろに百もない。；使用人などを手分けして八方探したが、とうとう行方がわからなかった。；世界はこんなにも人で溢れているのに、だれでもいいってわけじゃない。；それを家のもの全員が手分けして貼るのについさっきまでかかった。；あたしのために何処かの国と、戦争して見せて下さるつてわけに行かないの?；手分けして行動することにしたはずなのに、のちに羽川と合流している理由?；「それじゃ探そうぜ」 三人は手わけして、熱心に地面を探しはじめた。；重い本を手分けして抱え、事務所のコピィ機があるところまで運んだ。；専門家が何人も手分けをして調べ回ることも頻繁にあったほどだ。；刑事たちは手分けして、それぞれの目撃者から談話を訊き取りしていた。；彼は、有名人てわけじゃないが郷土研究家の間じゃなかなかの名士だよ。；なぜ手分けして、探しに行くなり、召使たちを走らせて、心配しないか。；手分けして狩りをし、その日は早めに野宿をしてゆっくり身体を休めた。；そこで手分けして追手に出て、どうも飛んだ失礼をいたしちゃいました。；これまで、何年も、手分けして、広範囲の調査をしてきたのだからな。；これからみんなで手わけして研究しながら、必要な脱出道具を手にいれていきたい。；昨日会った担当医が、もうひとりの医師と手分けして仕事をすすめてゆく。；そして李俊らは手分けをして事にとりかかったが、この話はそれまでとしておく。；なにしろ、二人の黒人の僧は、かっとしてわけがわからなくなっていた。；しかし、だったら自分はどうなのだと思わず自問してわけがわからなくなった。；その夜おれたちは手分けして、ビデオテープの中身を確認していった。；十日ほど前から、池田と石坂が手わけして関東一帯に遊説に出ていた。</t>
        </is>
      </c>
      <c r="J5814">
        <f>HYPERLINK("https://www.weblio.jp/content/手分け", "词义详情")</f>
        <v/>
      </c>
      <c r="K5814">
        <f>HYPERLINK("https://yourei.jp/手分け", "查看例句")</f>
        <v/>
      </c>
    </row>
    <row r="5815">
      <c r="A5815" t="inlineStr">
        <is>
          <t>点</t>
        </is>
      </c>
      <c r="B5815" t="inlineStr">
        <is>
          <t>成功</t>
        </is>
      </c>
      <c r="C5815" t="inlineStr">
        <is>
          <t>読み方：なかで
囲碁で、相手の石の眼形を奪うため、相手の地の中に石を打ち込むこと。また、その石。目の数により、三目中手、五目中手などと呼ぶ。</t>
        </is>
      </c>
      <c r="D5815" t="inlineStr">
        <is>
          <t>点ける；点刻；点状；点列；点p</t>
        </is>
      </c>
      <c r="E5815" t="inlineStr">
        <is>
          <t>ところ；場所；地；所；場</t>
        </is>
      </c>
      <c r="F5815" t="inlineStr">
        <is>
          <t>出発点；相違点；変更点；問題点；不明な点</t>
        </is>
      </c>
      <c r="G5815" t="inlineStr">
        <is>
          <t>点検；点数；点火；点灯；点滅</t>
        </is>
      </c>
      <c r="H5815" t="n">
        <v>29</v>
      </c>
      <c r="I5815" t="inlineStr">
        <is>
          <t>その背景にはカースト制度に基づくが深く影響している点が挙げられる。；この点はアセンブラで記述されて簡単には拡張できない点が裏目に出た。；制定過程に外国人が関与した点については、議論が今もなお続いている。；ニュートン力学の主要な点はすべてこの中に含まれていると言ってもよい。；定められた時刻通りに列車を運行することは鉄道事業の出発点である。；高山地帯は島の他の地域よりも涼しく湿っている点が特徴となっている。；そして、双方の合計点を数え、この合計点の高低で勝利チームを決める。；その他ファミリーコンピュータとは異なる以下の点が評価されている。；もう一つの問題は国家が国民からの信頼を失っている点にある。；破壊が始まった一点が震源であり、破壊されてずれた部分が断層となる。；移管後の初めての打ち上げとなる13号機では、以下の点が変更された。；終盤においても以下の欠点があり、利用上の問題点となるときがあった。；ドラマとしての構造は、アクション映画も他のドラマと変わる点はない。；葉ではない各点に対しその点の子の数が常に であるような木を分木という。；狂犬病の人への感染源のほとんどがイヌで、その点は特に危険視される。；は当時実現していた他のハイパーテキストシステムとはいくつかの点で異なる。；アリストテレスはこの点についてははっきりとした表現をしていない。；最近の経営学者・経済学者には、この点を両者の相違としている者も多い。；この点でもウイルスは生物というよりは物質と言える側面があることがわかった。；キャラクター同士の中心点を結ぶ直線を軸と呼び、この軸が移動するためである。；開区間 上の任意の点 で が連続であるとき、 は 上連続であるという。；この年にドイツが統一されたため、世界史の大きな転換点となった。；これらは一般的な共通点を抽出しているので、いくつかの例外が存在している。；ホメーロスの描く物語とこの映画のストーリーにはごくわずかな共通点しかない。；最後まで残った冥王星の特徴的な点は、巨大な衛星カロンと大気である。；この点は、物理化学研究の伝統を持つ欧米とは大きく異なった状況にある。；直線上の点に実数を対応させることで数直線を考えることができる。；一九五五年に作家出版社本が出版され、以降標点本として広く流布した。；一部の哲学は、理知的な学問以外の領域とも深く関わっている点に特徴がある。</t>
        </is>
      </c>
      <c r="J5815">
        <f>HYPERLINK("https://www.weblio.jp/content/点", "词义详情")</f>
        <v/>
      </c>
      <c r="K5815">
        <f>HYPERLINK("https://yourei.jp/点", "查看例句")</f>
        <v/>
      </c>
    </row>
    <row r="5816">
      <c r="A5816" t="inlineStr">
        <is>
          <t>電圧</t>
        </is>
      </c>
      <c r="B5816" t="inlineStr">
        <is>
          <t>成功</t>
        </is>
      </c>
      <c r="C5816" t="inlineStr">
        <is>
          <t>読み方：でんあつ
二点間の電位の差。単位はボルト。</t>
        </is>
      </c>
      <c r="D5816" t="inlineStr">
        <is>
          <t>電圧制御；電圧形；電圧レベル；電圧v；電圧低下</t>
        </is>
      </c>
      <c r="E5816" t="inlineStr">
        <is>
          <t>起電力；ボルテージ；ヴォルテージ</t>
        </is>
      </c>
      <c r="F5816" t="inlineStr">
        <is>
          <t>低電圧；出力電圧；電源電圧；高い電圧；入力電圧</t>
        </is>
      </c>
      <c r="G5816" t="inlineStr">
        <is>
          <t>電圧計；電圧源；電圧ダブラ；電圧レギュレータ；電圧制御発振器</t>
        </is>
      </c>
      <c r="H5816" t="n">
        <v>29</v>
      </c>
      <c r="I5816" t="inlineStr">
        <is>
          <t>この電圧が次第に低くなっていく各段階のことを電圧階級と呼んでいる。；電解質溶液は十分に高い電圧をかけると電気分解することが可能である。；また低圧電路の場合には電圧測定も兼ね、テスターを用いることもある。；また粉末状のトルマリンでは電離に必要な電圧が出るとは考えられない。；その際に重要な点は、3つの機能が全て電圧で制御出来る様になっている事。；加速エネルギーの上限は印加することのできる電圧の大きさに依存する。；速度に応じて徐々に電圧を上げれば実感的な運転ができるわけである。；通常は導通状態でOFFにするためには負の電圧を付加する必要がある。；交流電力の計算に使用される電圧・電流は、通常は実効値で表示される。；二つの金属板に加えられた電圧により力が生じることによって指示する。；そのため通常のFEDより低電圧で電子を取り出すことが可能である。；また動軸には電気子電圧を自動で調整する空転検出装置を備えている。；各種類の変電所でどの程度の電圧が使われているかを表に示す。；高圧の直流電圧を発生させることができる一方、電流は低く抑えられる。；圧電効果を示す結晶に電圧を印加すると、逆に結晶の形が若干変化する。；電極間にかけられる電圧には様々な実用上の問題から上限が存在する。；電圧の測定には、明示的または暗黙的な2つの測定点の指定が必要である。；前述した電圧低下による照明の消灯はこの頃もしばしば発生していた。；電圧も変化するので広義には複電圧車にあたるが、この項目では触れない。；直流専用・もしくは交流専用で複数の電圧に対応する電車を複電圧車という。；また、順方向電圧の低いダイオードの代わりとしての利用にも向かない。；基本は、無電圧にすることであるが、近年は不可能なことも多い。；ある基準電流が流れるときバリスタの両端子間に発生する電圧で定義する。；走行機器は歯車比の変更、弱め界磁機能の追加、単電圧化等が行われた。；回路の一部に同調回路を設け、その電圧の一部を帰還するものである。；プラグには電力ヒューズが内蔵されており、電圧側極に接続されている。；このことは、平衡状態では2点間の電圧はゼロであることも意味している。；逆方向に電圧をかけた場合には、その範囲が広がり、電子の移動を妨げる。；交流ジョセフソン効果は、後に述べるように電圧標準として用いられる。</t>
        </is>
      </c>
      <c r="J5816">
        <f>HYPERLINK("https://www.weblio.jp/content/電圧", "词义详情")</f>
        <v/>
      </c>
      <c r="K5816">
        <f>HYPERLINK("https://yourei.jp/電圧", "查看例句")</f>
        <v/>
      </c>
    </row>
    <row r="5817">
      <c r="A5817" t="inlineStr">
        <is>
          <t>店員</t>
        </is>
      </c>
      <c r="B5817" t="inlineStr">
        <is>
          <t>成功</t>
        </is>
      </c>
      <c r="C5817" t="inlineStr">
        <is>
          <t>読み方：てんいん
商店に勤務している人。</t>
        </is>
      </c>
      <c r="D5817" t="inlineStr">
        <is>
          <t>店員たち(5%)；店員さん(3%)；店員達；店員役；店員一同</t>
        </is>
      </c>
      <c r="E5817" t="inlineStr">
        <is>
          <t>商人；クラーク；酒屋；セールスマン；ベンダー</t>
        </is>
      </c>
      <c r="F5817" t="inlineStr">
        <is>
          <t>女性店員；若い店員；アルバイト店員；ショップ店員；女子店員</t>
        </is>
      </c>
      <c r="H5817" t="n">
        <v>29</v>
      </c>
      <c r="I5817" t="inlineStr">
        <is>
          <t>有名店から店員を引き抜いたこともあって店舗経営は順調だったという。；これは店内でパン・弁当・惣菜を店員が作って販売するシステムである。；そして先輩店員を見送って数ヵ月後、主人公が卒業する日がやって来た。；パーク会員が出会った素敵な店員とのエピソードを発表していくコーナー。；店員の丸山が後を尾けるが、したたかな万兵衛に見つかってしまい失敗。；三人が紹介した店の店員や店長が登場し、その料理を詳しく解説する。；店員に話を聞くと、「実際に体験した人の記憶を自分が体験できる」という。；MJ3カードは設置店舗で自動販売機または店員との対面で購入できる。；これを理由に、金泉堂の店員やオーナーは犯人だと決め付けてしまう。；また英語や接骨術にも通じており、茶商や絹製品店の店員として働いた。；各店舗には何らかのコスプレをした店員を常時配置させたことでも話題となった。；このコンビニDMZの店員を中心に、各勢力の軍人たちの日々を描いていく。；店の規模にもよるが、店員は担当部門を限定した複数のグループに分けられることが多い。；つまり、ここでいう女性店員とは転落死した高層階の店員のことではない。；店員に注文すると提供される店が大半であり、逆に注文しなければ提供されないことが多い。；高校卒業後は東京の短大に進学し、卒業後はアパレルの店員を務めた。；この店は主人の綾小路丑寅とその娘・はるか、店員の八郎で営まれている。；連盟の趣旨は、労働者、店員の利益を求め、生活を改善することであった。；目撃者らの話では、犯人の男が店外にいた男性の店員の腕をつかんで激しく口論。；また、フジテレビアナウンサーの松尾翠も店員役でゲスト出演している。；そのような商品は店員の目の届きやすい場所に陳列すべきである。；MJ4カードは設置店舗で自動販売機または店員との対面で購入できる。；その炎は、わたしの店だけではなく店員の北原をも灰にしていた。；のちに店員はエレベーターに行くと、ページの気が動転しているように見えたと語った。；必要な場合はタッチパネルの呼出ボタンで店員を呼ぶこともできる。；その上條が、家の前にある古い中華料理店の女性店員・徐香蘭に惚れた。；記入欄がない場合は同様のことを店員から参考程度に口頭で聞かれる。；同店員は一度ステージから去ったが、新たなカンペを持って再度ステージに登場した。；幼い頃は学問に励んだが、成長するにつれ農民や雑貨店の店員に転じている。</t>
        </is>
      </c>
      <c r="J5817">
        <f>HYPERLINK("https://www.weblio.jp/content/店員", "词义详情")</f>
        <v/>
      </c>
      <c r="K5817">
        <f>HYPERLINK("https://yourei.jp/店員", "查看例句")</f>
        <v/>
      </c>
    </row>
    <row r="5818">
      <c r="A5818" t="inlineStr">
        <is>
          <t>田園</t>
        </is>
      </c>
      <c r="B5818" t="inlineStr">
        <is>
          <t>成功</t>
        </is>
      </c>
      <c r="C5818" t="inlineStr">
        <is>
          <t>読み方：でんえん
田と園(その)。田畑。また、田畑のある地方。いなか。「—風景」</t>
        </is>
      </c>
      <c r="D5818" t="inlineStr">
        <is>
          <t>田園風景(23%)；田園部(12%)；田園生活(4%)；田園簿(3%)；田園的(3%)</t>
        </is>
      </c>
      <c r="E5818" t="inlineStr">
        <is>
          <t>地方；田舎；在地；在所；いなか</t>
        </is>
      </c>
      <c r="F5818" t="inlineStr">
        <is>
          <t>のどかな田園；美しい田園；豊かな田園；三田園；静かな田園</t>
        </is>
      </c>
      <c r="G5818" t="inlineStr">
        <is>
          <t>田園都市；田園調布；田園調布駅；田園詩；田園都市株式会社</t>
        </is>
      </c>
      <c r="H5818" t="n">
        <v>29</v>
      </c>
      <c r="I5818" t="inlineStr">
        <is>
          <t>州内の他の地域、特に田園部や郊外部では共和党が支配的なままである。；北部海岸の南部は都市化されているが、他の部分は大半が田園部である。；現在でも田園風景が多く残っており、市内でも農業が盛んな区の一である。；バス便は残り大半をカバーしているが、南西端の田園部が例外である。；この付近から田園風景が見られるようになり、郊外ということが分かる。；州域の大半は田園であり、この落差が州の政治や経済に影響している。；この時期に周辺田園部に住む農夫にとって重要な交易拠点となっていた。；駅の北側は田園が広がる中に住宅が見え、駅の南側にも住宅が多い。；郊外部あるいは田園部であり、各町には特徴ある歴史や場所がある。；ヴァーラはまた、田園を舞台とした作品や優れたメロドラマも手がけた。；南部は緑の多い田園部と振興開発地の中央部との組み合わせである。；田園部人口の減少によって多くの学校は統合を余儀なくされている。；当時、市の人口は35万人であり、郡の田園部は3万人に過ぎなかった。；その他に幾つか未編入の田園および郊外の地域社会が存在している。；この村はそれまでの田園的なキャラクターから近代的な労働者の住宅の町へと発展した。；田園部や山岳部の社会には移動図書館が図書館サービスを提供している。；丘陵地や田園を開発した工業団地が多く、本拠を置く企業や工場が多い。；初期の作品には田園や海のイメージと、聖書の比喩を特徴としていた。；その一方で、校区には黒瀬川が流れ、緑豊かな田園風景も広がっている。；それはアメリカ合衆国が田園型から都市型に移行した時期でもある。；校区には三篠川の支流が流れており、周辺には田園風景が広がっている。；このイギリス軍の行動についてその日の内に幾つかの噂が田園部中に流れた。；センター郡は州内田園部の他郡と同様、昔から共和党を強く支持していた。；現在は24号線沿いに位置し、校舎周辺には美しい田園風景が広がっている。；校区には黒瀬川が流れており、周囲には緑豊かな田園風景が広がっている。；これらの変化にも拘わらず、地域社会の大半は田園的な性格を残している。；まだ田園部が残り、釣りや狩猟のようなレクリエーションにも使われた。；専ら農業が営まれているコミューンで、様々な田園風景を見せてくれる。；この塔はサンカルロス砦と呼ばれ、周辺田園部を一望にすることができた。</t>
        </is>
      </c>
      <c r="J5818">
        <f>HYPERLINK("https://www.weblio.jp/content/田園", "词义详情")</f>
        <v/>
      </c>
      <c r="K5818">
        <f>HYPERLINK("https://yourei.jp/田園", "查看例句")</f>
        <v/>
      </c>
    </row>
    <row r="5819">
      <c r="A5819" t="inlineStr">
        <is>
          <t>点火</t>
        </is>
      </c>
      <c r="B5819" t="inlineStr">
        <is>
          <t>成功</t>
        </is>
      </c>
      <c r="C5819" t="inlineStr">
        <is>
          <t>読み方：とぼし
たいまつや紙燭(しそく)の類。ともし。</t>
        </is>
      </c>
      <c r="D5819" t="inlineStr">
        <is>
          <t>点火する(16%)；点火される(3%)；点火方式；点火システム；点火器</t>
        </is>
      </c>
      <c r="E5819" t="inlineStr">
        <is>
          <t>燃焼；燃す；焚きつける；点火系</t>
        </is>
      </c>
      <c r="F5819" t="inlineStr">
        <is>
          <t>火花点火；点火タイミング；点火機構；エンジン点火；点火剤</t>
        </is>
      </c>
      <c r="G5819" t="inlineStr">
        <is>
          <t>点火プラグ；点火時期；点火栓；点火コイル；点火順序</t>
        </is>
      </c>
      <c r="H5819" t="n">
        <v>29</v>
      </c>
      <c r="I5819" t="inlineStr">
        <is>
          <t>失敗の原因は韓国側が製造した2段目が予定時間前に点火した事による。；点火台の後ろにはオーケストラ団が並んでいて有名バンドに続き演奏した。；これは、点火するためにかなり高い温度が必要であることを意味する。；エンジンの点火が様々な状況下でも可能であることもまた重要である。；下降段を分離してエンジンに点火すると、上昇段は激しく回転を始めた。；この時は単純に城の内庭で木材や燃えやすい布類に点火するだけであった。；正門を入って並木道を抜けた所にある中央ロータリーの木に点火される。；銃のように小脇に抱えると点火が出来ないため、肩に載せて撃っていた。；青銅を用いた鋳造製で、砲尾に空けられた穴から直接点火して発射する。；点火系には、EN型では初のダイレクトイグニッションを採用している。；ただし現在、地元ではこのような点火には抵抗が強いようである。；同日中に脱出ステージが点火され、月へ向かう軌道に乗せられた。；と呼ばれる高速点火方式専用の実験施設を建設する案もあったが、実現はしていない。；帰還の際には、小型の逆噴射用ロケットを点火して軌道から離脱した。；信管にまさに点火しようとした時に、非現実的なエピソードがある。；点火して後に親族間で束を分け、それぞれが焼香台に添える場合もある。；エンジンが点火できなければ地球への帰還は不可能になる。；多くはロケット本体を取り囲むように配置され、打ち上げ時に点火する。；一旦エンジンを停止し、規定温度内に下がったところで再点火する必要がある。；火縄銃での実際の使用では、火縄の両端に点火しておくことがよくあった。；次に純平が読経の声で目を覚ますと、火葬炉が点火されようとしていた。；点火進角を変更することによって出力向上を図ったモデルが存在する。。；ロケットへの点火は中隊本部の指令装置より電気的かつ一斉に行われた。；ロケットエンジンに点火したところ何らかの理由で爆発が起きたと考えられている。；探査機は地球を周回した後にロケットを点火し、月へ向かう軌道に乗った。；すべての任務が完了すると、軌道から脱出するためSPSエンジンを点火した。；エンジンが点火されたが酸素不足のために停止してしまった。；インドの独立記念日と共和国記念日には、すべての壺が同時に点火される。；次の2週間は、エンジンに点火され、位置や軌道の調整が行われた。</t>
        </is>
      </c>
      <c r="J5819">
        <f>HYPERLINK("https://www.weblio.jp/content/点火", "词义详情")</f>
        <v/>
      </c>
      <c r="K5819">
        <f>HYPERLINK("https://yourei.jp/点火", "查看例句")</f>
        <v/>
      </c>
    </row>
    <row r="5820">
      <c r="A5820" t="inlineStr">
        <is>
          <t>天下</t>
        </is>
      </c>
      <c r="B5820" t="inlineStr">
        <is>
          <t>成功</t>
        </is>
      </c>
      <c r="C5820" t="inlineStr">
        <is>
          <t>読み方：てんか
《「てんが」とも》
１天が覆っている全世界。
２一国全体。国じゅう。また、国家。「—に号令する」「—を治める」
３世の中。世間。「—に名を知られる」「—に恥をさらす」
４一国の政治。一国の支配権。「徳川の—となる」「—を掌握する」
５権力をにぎって思うままに振る舞うこと。「かかあ—」
６比類ないこと。この上ないこと。「—の大泥棒」「—の横綱」
７江戸時代、将軍のこと。天下様。
「—の御城下なればこそ」〈浮・永代蔵・三〉
８（「とも」「ども」などを伴って副詞的に用いて）どのように。どれほど。
「—に目つぶれ足折れ給へりとも」〈源・玉鬘〉</t>
        </is>
      </c>
      <c r="D5820" t="inlineStr">
        <is>
          <t>天下取り；天下国家；天下晴れ；天下平定；天下制覇</t>
        </is>
      </c>
      <c r="E5820" t="inlineStr">
        <is>
          <t>支配下；統治下；治世下；治下</t>
        </is>
      </c>
      <c r="F5820" t="inlineStr">
        <is>
          <t>たる天下；天下祭り；天下さま；天下随一；天下名題</t>
        </is>
      </c>
      <c r="G5820" t="inlineStr">
        <is>
          <t>天下り；天下人；天下泰平；天下一；天下一品</t>
        </is>
      </c>
      <c r="H5820" t="n">
        <v>29</v>
      </c>
      <c r="I5820" t="inlineStr">
        <is>
          <t>しかし彼がこの碑の存在を天下に広く知らしめたのは確かである。；将来殿が天下を取るには一人でも多くの家臣が必要でございます。；周王が天下を統治する権限は天からの命令を背景にしているとされたのである。；文帝はこれをよしとして、天下の州県ごとに博士を置いて礼を習わせた。；天下の重を疎かにしてはならず、斤斧の間を軽行すべきではありません。；天下は、天子のものであり、皇帝一人のものではない、というのである。；多方面同時侵攻作戦を完成したばかりの天下の拠点、安土城で発表した。；これは天下の大事であり、孺子の言がどうして辱しめてよいだろうか!；当時、琵琶湖疏水工事とともに天下の二大工事と喧伝されたからである。；自分は義経のみを庇って言うのではなく、天下の無事を願っての事である。；天下の人々は高熲の死を冤罪とし、これを惜しんでやまなかったという。；古代中国の概念から来ており、天子が統治すべき地域を天下と呼んだ。；横道で天下に悪名高い霊王をへこませたことで、彼の名は更に上がった。；中国では天下・世界全体の意味で用いられる場合もある。；百済・新羅もそれぞれ独自の「天下」概念を有していたと考えられている。；このことは天下の政治的分裂が元の統治下において解消されなかったことを示している。；天下の罪が全て妾に由来しますのに、妾はどこに立つ瀬がありましょうか。；そして、おまえさんが育てた者の中から天下一流の絵描きが必ず出る。；武帝と話をする機会があると、天下の長者のことを言わないことはなかった。；到大禹の時になって、天下を九州に画いて、酒泉を雍州の管轄下とした。；そうすれば兵の命を失う事なく、座して天下を定める事が出来るのだ。；楚荘王は天下平定を目指していたが、北上するたびに晋に阻まれていた。；これは自分の願うところだったものではなく、天下の為に己の意を犠牲にしたものです。；その後、自らの権力集中に努め、天下の特に優れた才能を集めた。；しかし、天下の人々にもそう見えなければ意味がありません。；天下が更始帝に治められると見た赤眉軍はこれに服属することを約束した。；それは中国王朝を中心とする天下のなかにあった時期が極めて長かったことによる。；妾は当時、天下の男とは全てこうであるのかと思い、生きる希望も失ったものです。；この時代の高麗なども両王朝に両属する形を取り、天下は全く二分されていた。</t>
        </is>
      </c>
      <c r="J5820">
        <f>HYPERLINK("https://www.weblio.jp/content/天下", "词义详情")</f>
        <v/>
      </c>
      <c r="K5820">
        <f>HYPERLINK("https://yourei.jp/天下", "查看例句")</f>
        <v/>
      </c>
    </row>
    <row r="5821">
      <c r="A5821" t="inlineStr">
        <is>
          <t>転嫁</t>
        </is>
      </c>
      <c r="B5821" t="inlineStr">
        <is>
          <t>成功</t>
        </is>
      </c>
      <c r="C5821" t="inlineStr">
        <is>
          <t>読み方：てんか
［名］(スル)
１自分の罪・責任などを他になすりつけること。「失敗の責任を—する」
２心理学で、ある対象に対する感情が、関係のある他のものにも及んでいくこと。</t>
        </is>
      </c>
      <c r="D5821" t="inlineStr">
        <is>
          <t>転嫁する(27%)；転嫁しよ(9%)；転嫁される(7%)；転嫁できる；転嫁され得</t>
        </is>
      </c>
      <c r="F5821" t="inlineStr">
        <is>
          <t>価格転嫁</t>
        </is>
      </c>
      <c r="H5821" t="n">
        <v>29</v>
      </c>
      <c r="I5821" t="inlineStr">
        <is>
          <t>また、私個人に転嫁された犯罪は ただの一つたりとも行ってはいない。；本人は「社員だけに責任を転嫁したわけではない」と語っていたという。；自分に非があってもそれを認めずに、相手に気づかれないように転嫁する。；何かあった時に、何もしない人間に責任を転嫁するとはどう云うことだろう。；この罪の転嫁と軽減の実行は伝統的な狩猟社会で今も実行されている。；だから、にわかに美をそれらのものに転嫁するわけにはいかないのである。；それらが、自分につきまとう男への怒りに転嫁されたのかもしれない。；自分で決定出来ないことを、女の方に転嫁しようとしているのだ。；占星術が行われていた時代には、星に責任転嫁するのが普通だった。；ユダヤ人の過激派組織は死者が出た責任をショウに転嫁しようとした。；そうやって走れない要因を俺に責任転嫁しているのでは無いか!?；しかし、この歳になって責任を他に転嫁することはできなかった。；何故なら、そうなれば、すべての責任は、矢沢さんに転嫁出来るわけだ。；恵理を殺した犯人が、木原に罪を転嫁すべく近づいて来た場合である。；法人税は具体的な商品やサービスに転嫁されていないため、直接税である。；そのなんじが、千種を罵るなどは、自分の落度をひとに転嫁するものだ。；なお、間接においては負担や責任の一部が転嫁されるのが普通である。；実際の藩牧経営は地元農民に転嫁され、夫役を徴収して行われていた。；ところが、親が少しでも介入した結婚は、責任が親の方にかなり転嫁される。；また、馬上役にかかる負担を在地に転嫁することが行われる場合もあった。；一方の南部では敗戦の責任をユダヤ人に転嫁して非難された。；また、Mの供述は北野に責任を転嫁しようとしたもので信用できない。；リスクを外に転嫁するのではなく、自分で丸ごとかぶることにしたわけだ。；従ってそれはもはや粗生生産物の消費者にも地主にも転嫁され得ないであろう。；自分の苦しみの責をたがいに転嫁し合い、実際にそうだと信じてしまう。；多分、それは、犯罪の一切を、私に転嫁しようとしたのであろう。；あるいは有吉が誤射した事実を貝塚瑞枝に転嫁しているのかもしれません。；ことに罪を他に転嫁するための欺瞞が行なわれた場合は一そうそれがはなはだしい。；自分に対する恥ずかしさや嫌悪を他人に転嫁しようとする心の表れである。</t>
        </is>
      </c>
      <c r="J5821">
        <f>HYPERLINK("https://www.weblio.jp/content/転嫁", "词义详情")</f>
        <v/>
      </c>
      <c r="K5821">
        <f>HYPERLINK("https://yourei.jp/転嫁", "查看例句")</f>
        <v/>
      </c>
    </row>
    <row r="5822">
      <c r="A5822" t="inlineStr">
        <is>
          <t>展開</t>
        </is>
      </c>
      <c r="B5822" t="inlineStr">
        <is>
          <t>成功</t>
        </is>
      </c>
      <c r="C5822" t="inlineStr">
        <is>
          <t>読み方：てんかい
［名］(スル)
１広くひろげること。また、広くひろがること。「眼下に—する平野」
２物事をくりひろげること。「大論争を—する」「華麗なる演技が—される」
３次の段階に進めること。また、次の段階に進むこと。「行き詰まった交渉の—をはかる」「事件は意外な方向に—した」
４密集していたものを散開させること。また、散開すること。「グラウンドいっぱいに—して攻撃する」
５数学で、単項式と多項式、または二つ以上の多項式の積の形を、一つの多項式の形に表すこと。例えば、a（b＋c）をab＋acとしたり、（x＋a）（x＋b）をx2＋（a＋b）x＋abとしたりすること。
６立体の面を、長さ・角度などを変えずに平面上に移すこと。多面体などを切り開いて平面上に広げること。
７⇒解凍2</t>
        </is>
      </c>
      <c r="D5822" t="inlineStr">
        <is>
          <t>展開する(16%)；展開される(4%)；展開部；展開させる；展開せら</t>
        </is>
      </c>
      <c r="E5822" t="inlineStr">
        <is>
          <t>開発；開始；発展；続く；成長</t>
        </is>
      </c>
      <c r="F5822" t="inlineStr">
        <is>
          <t>チェーン展開；店舗展開；メディアミックス展開；急展開；事業展開</t>
        </is>
      </c>
      <c r="G5822" t="inlineStr">
        <is>
          <t>展開図；展開形ゲーム；展開型ゲーム；展開環</t>
        </is>
      </c>
      <c r="H5822" t="n">
        <v>29</v>
      </c>
      <c r="I5822" t="inlineStr">
        <is>
          <t>本節ではステージレースで最も頻繁に見られる展開の各段階を解説する。；用語「ヨーロッパ」は、歴史が展開する中で使われ方が様々に発展した。；その為、連載誌と単行本では大幅に台詞や展開が異なる場合も存在する。；ゼウスは全宇宙の支配を護る為に防衛戦を展開しなければならなかった。；小説では原作ゲームとは異なる、独自の展開・設定がなされている。；逆にメディアミックスは単数の情報を複数の媒体で展開することである。；これに合わせて、IrDAを使った多様なサービスが展開され始めた。；金管が第1主題の動機を繰り返して再び激しくなるところから展開部。；原作とは設定や話の展開が異なる部分が多く、特に第二章は大きく異なっている。；現在は官民の各部門で両国の文化・人材交流事業を積極的に展開している。；その一方で教育・組み込み向けなどへの営業展開もなされていた。；双方のファンの取り込みを目指した共同キャンペーンなどを展開している。；しかし記者たちはそのことに気づかず、その後の展開を誰も予測していなかった。；基礎付け主義は、伝統的にはセンス・データ論の形をとって展開された。；これは女子部門でも例外ではなく、欧州勢がそれを追う展開となっている。；タイトルの通り、遠野秋葉を主軸とする遠野屋敷での物語が展開される。；登場人物の登場の仕方や変化の仕方、展開などもノートに記録した。；しかし、大乗仏教が成立しても、部派の教団は存続し教理の展開がある。；部品事業部が展開していた主にホビー向けの流れを受けたシリーズ。；光海君は即位すると破綻した財政の再建と現実的な外交施策を展開した。；しかし他の要請を選んで熱力学を展開していくスタイルもある。；後の展開を受け、偶然の一致と説明を変更するようになった。；物語は大阪の町を舞台に展開し、大半の人物のセリフは関西弁となっている。；その後シリーズ化されテレビドラマ・映画・舞台で展開された。；リニアモータは、回転型のモータを直線に展開したものと考えてよい。；ルソーは『学問芸術論』の論文の文明批判の思想を更に展開させた。；新キャラクターの「シュンエイ」を中心として新たな物語が展開される。；当初はPS2で展開してきたが、後にXboxやアーケードでも登場した。；これに呼応する形でゴラン高原ではシリア軍の部隊が本格的な展開を始めた。</t>
        </is>
      </c>
      <c r="J5822">
        <f>HYPERLINK("https://www.weblio.jp/content/展開", "词义详情")</f>
        <v/>
      </c>
      <c r="K5822">
        <f>HYPERLINK("https://yourei.jp/展開", "查看例句")</f>
        <v/>
      </c>
    </row>
    <row r="5823">
      <c r="A5823" t="inlineStr">
        <is>
          <t>転回</t>
        </is>
      </c>
      <c r="B5823" t="inlineStr">
        <is>
          <t>成功</t>
        </is>
      </c>
      <c r="C5823" t="inlineStr">
        <is>
          <t>読み方：てんかい
［名］(スル)
１ぐるりと回ること。また、回すこと。回転。
２向きが変わること。また、向きを変えること。「船の進路が180度—する」
３方針などが大きく変わること。また、方針などを大きく変えること。「増税から減税にと政策が—する」
４体操で、からだを回転させる運動。前方転回・後方転回・空中転回など。
５和音で、根音以外の音が最下声となるように、音の上下関係を置き換えること。「ドミソの和音をミソドに—する」</t>
        </is>
      </c>
      <c r="D5823" t="inlineStr">
        <is>
          <t>転回点(11%)；転回する(9%)；転回場(7%)；転回形(2%)；転回所</t>
        </is>
      </c>
      <c r="E5823" t="inlineStr">
        <is>
          <t>変化；回転；移行；転換；回り</t>
        </is>
      </c>
      <c r="F5823" t="inlineStr">
        <is>
          <t>バス転回；百八十度転回；大きな転回；大転回；空中転回</t>
        </is>
      </c>
      <c r="H5823" t="n">
        <v>29</v>
      </c>
      <c r="I5823" t="inlineStr">
        <is>
          <t>今、われわれが生きている時代は、そのような大きな転回点なのである。；それは全時代が転回できるかどうかその大きな戦闘の勝敗への期待である。；この戦いは日清戦争の展開を日本に有利にする重大な転回点であった。；事件はもう一度急転回して、最後の絞りに近づいたような気がしたのです。；帆の操作だけの転回なので急速には出来なかったという不幸が重なった。；展開部の後でホルンのエピソードと、転回された信号音が戻ってくる。；あのひとに会ったというだけであたしの人生は百八十度転回したわ。；しかし、その転回点となった事件なぞ、今となっては思い出せもしない。；後年全戦局の転回点となったとまで評されるトレントンの勝利であった。；駅は現在もバスの転回場として使われている建物の前庭の裏にある。；線路は右へ右へとカーブし、一四〇度も転回して北北西へ進路を変える。；国民の間には漠然とではあるが、局面の転回を望む気分が生まれてきていた。；時々現在に転回点があって、そこから未来へ無数の道が通じている。；現在は少なくなったためにその面積が半減したものの転回場そのものは残っている。；このような自己自身への転回のあとでは、かれには再びすべてよしと思われるのであった。；また民間人68人が死亡したも両国関係における大きな転回点であった。；直後に進路を北向きに変えた後、南へ転回、その後東へ進路を変えた。；駅前広場にはロータリーは無いが、駐車場での車の転回は可能である。；行き詰まった取材が急転回したのは、それから二週間ほど経ってからだった。；現在は事務所は乗務員の休憩室のみの使用となり転回場となった。；迅速な転回を行うために、急速能力事務所業務計画執行官が存在する。；敵前転回するには、むしろああいう反対論者がいた方がいいんだよ。；歴史学において啓蒙主義的転回を実現したのはフランスのベールである。；この土地はバス転回場やMTAの保線係員などの職員用駐車場になっている。；その人生に残された唯一の転回をなしえた人間に。；若き日に何かその決心に到らせるような転回点ともいえる事件があったような気もする。；この銭湯の西隣のバスの転回所は、廃止された国鉄高砂駅の旧構内である。；同建物内にはバスの転回所が設置されている。；それに、彼の周囲に対する気持は、この二三日急角度に転回をはじめていた。</t>
        </is>
      </c>
      <c r="J5823">
        <f>HYPERLINK("https://www.weblio.jp/content/転回", "词义详情")</f>
        <v/>
      </c>
      <c r="K5823">
        <f>HYPERLINK("https://yourei.jp/転回", "查看例句")</f>
        <v/>
      </c>
    </row>
    <row r="5824">
      <c r="A5824" t="inlineStr">
        <is>
          <t>転換</t>
        </is>
      </c>
      <c r="B5824" t="inlineStr">
        <is>
          <t>成功</t>
        </is>
      </c>
      <c r="C5824" t="inlineStr">
        <is>
          <t>読み方：てんかん
［名］(スル)
１別のものに変えること、特に、傾向・方針などを、違った方向に変えること。また、別のものに変わること。「政策の—をはかる」「話題を—する」「配置—」
２精神分析の用語。抑圧された願望が、身体的症状となって外部へ表れること。</t>
        </is>
      </c>
      <c r="D5824" t="inlineStr">
        <is>
          <t>転換する(9%)；転換点(4%)；転換される；転換させる；転換訓練</t>
        </is>
      </c>
      <c r="E5824" t="inlineStr">
        <is>
          <t>変更；変化；交換；移行；変わり</t>
        </is>
      </c>
      <c r="F5824" t="inlineStr">
        <is>
          <t>配置転換；業態転換；大きな転換；政策転換；場面転換</t>
        </is>
      </c>
      <c r="G5824" t="inlineStr">
        <is>
          <t>転換クロスシート；転換社債；転換式クロスシート；転換社債型新株予約権付社債；転換性障害</t>
        </is>
      </c>
      <c r="H5824" t="n">
        <v>29</v>
      </c>
      <c r="I5824" t="inlineStr">
        <is>
          <t>転換後輸送量は減少し、転換時の約半分になった時点で廃止されている。；列車が分岐器を通過している最中に分岐器が途中転換すると危険である。；営業運転中は一方に向きが固定され、乗客による座席の転換はできない。；これらの報告を受けた北海道は財政負担の低いほうを選ぶとバス転換を主張。；この番号は店舗の建て替えや業態転換等によって変更されることがある。；進行方向に応じた座席の転換はできず、集団見合式と集団離反式がある。；こうした共和制の歴史の転換点となったのは、アメリカ独立革命である。；旧国鉄特定地方交通線であった高千穂線を転換して開業した路線である。；富士通は1985年半ばにこの方針を転換したが、既に手遅れであった。；この年にドイツが統一されたため、世界史の大きな転換点となった。；ヨーロッパにおいては他ブランドを買収して転換した店舗が多い。；こうした状況の大きな転換点となるのがナポレオン・ボナパルトの登場である。；また、位置エネルギーが運動エネルギーへ転換している現象ともいえる。；ロングシート・クロスシートの両方に転換可能なタイプの座席である。；乗艦を失った乗組員の多くは、新たに建造された空母へと配置転換された。；これが1960年代からの社会防衛的入院から外来治療への転換を生んだ。；この構造は当初構想された工法・構造から一大転換されて採用されたものである。；車内には0系風の転換座席を2脚設置したほか鉄道模型も展示されている。；特定地方交通線以外の路線が第三セクターに転換された初めての事例である。；チームは投手を中心にした構成に転換していった。；一部の路線バスのほか、ツアーバスから転換された高速バスが発着する。；現在では農業人口は減少し都市近郊農業型へと転換している。；事業所の売店を転換したもので、大半の店舗では一般客の利用は出来ない。；カント的な「理性の批判」を「文化の批判」へと転換させる試みである。；ネブラスカ州の住民は、大草原を牧場や農場に科学的な方法で転換した。；しかし、いくつかの点で大幅な転換が必要となっていった。；多くの路床がレクリエーション用にレイル・トレイルに転換されている。；これは駅舎設計の根本的な転換で、以降の通勤電車の駅の設計の基本となった。；一方、母体の川西機械も第二会社を設立するなどして民需転換を進めた。</t>
        </is>
      </c>
      <c r="J5824">
        <f>HYPERLINK("https://www.weblio.jp/content/転換", "词义详情")</f>
        <v/>
      </c>
      <c r="K5824">
        <f>HYPERLINK("https://yourei.jp/転換", "查看例句")</f>
        <v/>
      </c>
    </row>
    <row r="5825">
      <c r="A5825" t="inlineStr">
        <is>
          <t>天気</t>
        </is>
      </c>
      <c r="B5825" t="inlineStr">
        <is>
          <t>成功</t>
        </is>
      </c>
      <c r="C5825" t="inlineStr">
        <is>
          <t>読み方：ていけ
《「てんけ」の「ん」を「い」と表記したもの》空模様。てんき。
「—のことにつけて祈る」〈土佐〉</t>
        </is>
      </c>
      <c r="D5825" t="inlineStr">
        <is>
          <t>天気コーナー；天気晴朗；天気模様；天気つづき；天気屋</t>
        </is>
      </c>
      <c r="E5825" t="inlineStr">
        <is>
          <t>晴れ；天候；気象；晴天；快晴</t>
        </is>
      </c>
      <c r="F5825" t="inlineStr">
        <is>
          <t>いい天気；上天気；よい天気；好天気；こんな天気</t>
        </is>
      </c>
      <c r="G5825" t="inlineStr">
        <is>
          <t>天気図；天気情報；天気雨；天気記号；天気キャスター</t>
        </is>
      </c>
      <c r="H5825" t="n">
        <v>29</v>
      </c>
      <c r="I5825" t="inlineStr">
        <is>
          <t>風が弱く天気が安定しているようなときにしか見られないのが普通である。；同日中に複数の天気が存在する場合、以下のように複数の記述方法がある。；夕食を取ると、その後はどんな天気だろうと再び散歩に出かけていた。；その日のニュースと天気、街の話題に加え、お得な情報を交えて伝える。；それまでは外から放送していた天気コーナーもスタジオ内での放送に変わった。；一、牛の群れが夕方家に帰るとき、赤牛がさきに立てば翌日は好天気。；極端に天気が変わりやすく地震などの自然災害も他地域と比べて多い。；毛虫は多分その悪い天気を予覚してかみんなその住居に帰つてゐました。；地元では、昔から、この山の雲を見ると天気が分かると言われている。；中国大陸の民族も少なくとも紀元前300年までに天気を予測していた。；日和、つまり天気を観て行動を決めるかのようであるのでこの名がついた。；一〇月の天気も大荒れで、ふたりとも一日中、部屋に閉じこもっていた。；また、県北部および東部では夕方に曇りがちな天気となることがよくある。；試合では天気や時間帯に関係なく必ず目の下に黒いペイントをしている。；午後の最終予選セッションは午前の走行と同様の良い天気の下行われた。；天気の良い夜には、彼女は決まってギターの弾き語りをするのだった。；姉妹は天気が良いので送迎バスに乗るのをやめ歩いて下校することにする。；キャラクター全員の名前には、天気に関係ある文字が含まれている。；内容もニュースと「解説」「世界の天気」のコーナーで構成されている。；この日の天気は、野外の公園での撮影があるにも関わらず雨であった。；出産後は自身の経験を元にした『今日もお天気』シリーズを発表している。；正式な全国天気コーナーは、2013年3月まで引き続き含まれていた。；これらの予測は通常、数日または数週間の天気を予測するために使用される。；これは地域ごとに村の天気に偏りがあるため、それを避けるためと思われる。；開業の正式な日程はスノードン山の冬の天気の状況によって決められる。；コースが東西に長いため、西側と東側で天気が異なることもある。；通常屋外で行う天気コーナーはこの編成時に限り屋内スタジオで行う。；ちなみにお天気ループを初めて表示したのは当番組が最初である。；天気も回復した23日にまた戦車を伴ったイギリスが反撃してきた。</t>
        </is>
      </c>
      <c r="J5825">
        <f>HYPERLINK("https://www.weblio.jp/content/天気", "词义详情")</f>
        <v/>
      </c>
      <c r="K5825">
        <f>HYPERLINK("https://yourei.jp/天気", "查看例句")</f>
        <v/>
      </c>
    </row>
    <row r="5826">
      <c r="A5826" t="inlineStr">
        <is>
          <t>電気</t>
        </is>
      </c>
      <c r="B5826" t="inlineStr">
        <is>
          <t>成功</t>
        </is>
      </c>
      <c r="C5826" t="inlineStr">
        <is>
          <t>読み方：でんき
１摩擦電気・放電・電流などの現象。また、その主体である電荷や電気エネルギー。
２電灯のこと。「—を消す」「—をつける」
３電力のこと。「—を引く」「—料金」
[補説] はじめオランダ語からの「エレキテル」「エレキ」が用いられたが、中国から英語を漢訳した語「電気」が輸入され、明治中期には一般化した。</t>
        </is>
      </c>
      <c r="D5826" t="inlineStr">
        <is>
          <t>電気的(8%)；電気系統；電気供給事業；電気軌道；電気局</t>
        </is>
      </c>
      <c r="E5826" t="inlineStr">
        <is>
          <t>光；灯；明かり；電力；明り</t>
        </is>
      </c>
      <c r="F5826" t="inlineStr">
        <is>
          <t>電気分解；電気以前；中央電気；電気車；電気関係</t>
        </is>
      </c>
      <c r="G5826" t="inlineStr">
        <is>
          <t>電気事業；電気自動車；電気通信；電気機器；電気式</t>
        </is>
      </c>
      <c r="H5826" t="n">
        <v>29</v>
      </c>
      <c r="I5826" t="inlineStr">
        <is>
          <t>そして各需要家に発電所から電気を供給するためのシステムを構築した。；生物が電気的にコミュニケーションを行うことを指すために使っている。；電解質溶液は十分に高い電圧をかけると電気分解することが可能である。；電力機器は、電気を利用するために必要な、様々な機器類の総称である。；電気的に中性であるため、観測だけでなく中性子を制御するのも難しい。；晩年は電気の研究に注力したが、その成果はほとんど現存していない。；建築用以外にも電気や水道など施工図を必要とする業界にも普及した。；金属ナトリウムは塩化ナトリウムを適切に電気分解することで得られる。；車掌スイッチについては電気的に保持する間接制御式に交換されている。；この様な場合は溶融塩を電気分解することで単体金属を得ることができる。；その他の交直両用電車でも照明は消えないが、一部電気系統が停止する。；その後、無線に興味があったことから電気学園福島工業高等学校に入学。；放出するエネルギーは熱だけでなく、光、電気などの形をとる場合もある。；そして電気は一種類だとし、強さや量の違いが様々な現象を引き起こすとした。；こういった電気の新説などを知り、発電を試みたりもしたようである。；電気系統の構造も変更されて車両に搭載した蓄電池式となった。；例えば黒鉛筆を使用して書いた部分はわずかではあるが電気を通す。；これは、非常に電気を流しやすい金属であっても例外ではない。；鉱業においては鉱石を電気分解して金属を得る電解精錬が行われている。；ブレーキシステムも電車で実績のある応答性の高い電気指令式を採用した。；筋組織と神経線維は両方とも、人体で電気的な組織と考えられている。；とりわけ、電気のエネルギーが熱エネルギーに変わることに注目した。；特に電気関係の用途では、英語に由来するマイカの名前で呼ばれる。；しかし、電気に関する研究が本格化するのは19世紀になってからである。；古くは炭火を熱源としていたが、現代では電気によるものが一般的である。；電気は17世紀初めごろには科学の興味の対象となっていた。；出口跡には電気関係の小屋があり、そこが駅舎扱いとなっている。；近代に入ると、電気やガスで集中的に加熱することが可能になる。；この事態に、州政府は電力会社に代わり電気を購入することとなった。</t>
        </is>
      </c>
      <c r="J5826">
        <f>HYPERLINK("https://www.weblio.jp/content/電気", "词义详情")</f>
        <v/>
      </c>
      <c r="K5826">
        <f>HYPERLINK("https://yourei.jp/電気", "查看例句")</f>
        <v/>
      </c>
    </row>
    <row r="5827">
      <c r="A5827" t="inlineStr">
        <is>
          <t>伝記</t>
        </is>
      </c>
      <c r="B5827" t="inlineStr">
        <is>
          <t>成功</t>
        </is>
      </c>
      <c r="C5827" t="inlineStr">
        <is>
          <t>読み方：しるしぶみ
１記録。また、文書。
「皇后の崩年—に載すること無し」〈宣化紀〉
２文学と史学。
「天皇仏の法(みのり)を信(う)け給はずして—を愛(この)み給ふ」〈敏達紀〉</t>
        </is>
      </c>
      <c r="D5827" t="inlineStr">
        <is>
          <t>伝記作者(5%)；伝記的(4%)；伝記小説；伝記研究；伝記物</t>
        </is>
      </c>
      <c r="E5827" t="inlineStr">
        <is>
          <t>伝；一代記；紀伝；バイオグラフィー；ライフヒストリー</t>
        </is>
      </c>
      <c r="F5827" t="inlineStr">
        <is>
          <t>伝記編纂；短い伝記；伝記類；伝記文学；御伝記</t>
        </is>
      </c>
      <c r="G5827" t="inlineStr">
        <is>
          <t>伝記映画；伝記シリーズ</t>
        </is>
      </c>
      <c r="H5827" t="n">
        <v>29</v>
      </c>
      <c r="I5827" t="inlineStr">
        <is>
          <t>しかしが書いた他の人物に関する伝記を読んで、彼に発行の許可を与えた。；彼の伝記記者ジェイムズ・ボズウェルとの議論の中で彼は語っている。；また、伝記の執筆や幾つかの会社の経営に携わるなどの生活を送った。；この伝記はそもそもエバの政敵による証言が多いことが指摘されている。；ジャナ・マラマッド・スミスは父の伝記である『私の父は本』を書いた。；初めは文学の本に関心が強かったが、のちに伝記に関心を持つようになった。；その証拠に、この戦いは、司令官の異斯夫の伝記では言及されていない。；ライスはメインの伝記を称賛したが、参照しているとは語っていなかった。；ティペットの友人であり伝記の執筆をしたイアン・ケンプに献呈された。；伝記VTRも、初期には死への過程までが再現で生々しく紹介されていた。；しかしビスマルクの本格的な伝記はその後しばらくドイツで登場しなかった。；彼女の伝記は、事実に基づく資料と小説風のものとが混在している。；またその死の直前にはジョン・F・ケネディの伝記に着手しようとしていた。；伝記を書いた Grosser は自殺の可能性が高いとしている。；このことはウルフが後に実験的な伝記を書いたことに影響を与えたものと考えられる。；今日私たちがブロンテ姉妹を知るのは、この伝記によるところが大きい。；今日ではこれは根拠がなく、現代の伝記作者によって却下されている。；屈原の伝記や、楚辞を屈原が作ったとする伝承には疑問が提出されている。；しかし、この伝記は逸話的な要素が多く、必ずしも正確とはいえない。；作家の伝記的研究に限らず、作家にまつわる様々な事象が対象になる。；怕尼芝より前代は伝記と系譜だけで年代は分かっていないため伝説に近い。；単に形式分析にとどまらず作曲家の生涯を綴る伝記なども手がけた。；同時に、短い政権の記録や、個人の伝記を記した別伝の類も大量に制作された。；天文学史家でもあり1890年ティコ・ブラーエの伝記などを出版した。；推理小説以外では新約聖書の四福音書を伝記風にまとめた作品がある。；その後のイマームの伝記には、必ずと言って良いほどこの伝説的事件が記録されてきた。；伝記によれば彼の母はインドの出身であり、そのために黒みがかった肌をしていたという。；自然科学系の分析で博学、いくつかの伝記では気象学者とも記されている。；人物の評価や人物教育の位置づけ、歴史における伝記の扱い方の課題である。</t>
        </is>
      </c>
      <c r="J5827">
        <f>HYPERLINK("https://www.weblio.jp/content/伝記", "词义详情")</f>
        <v/>
      </c>
      <c r="K5827">
        <f>HYPERLINK("https://yourei.jp/伝記", "查看例句")</f>
        <v/>
      </c>
    </row>
    <row r="5828">
      <c r="A5828" t="inlineStr">
        <is>
          <t>電球</t>
        </is>
      </c>
      <c r="B5828" t="inlineStr">
        <is>
          <t>成功</t>
        </is>
      </c>
      <c r="C5828" t="inlineStr">
        <is>
          <t>読み方：でんきゅう
ガラス球に、電気を通すと発光体となる物質を封入した照明用の電気器具。白熱電球。ネオンランプや水銀灯をいうこともある。</t>
        </is>
      </c>
      <c r="D5828" t="inlineStr">
        <is>
          <t>電球色(3%)；電球式；電球交換；電球型；電球ソケット</t>
        </is>
      </c>
      <c r="E5828" t="inlineStr">
        <is>
          <t>白熱灯；白熱球；白熱電球</t>
        </is>
      </c>
      <c r="F5828" t="inlineStr">
        <is>
          <t>炭素線電球；小さな電球；金属線電球；色電球；用電球</t>
        </is>
      </c>
      <c r="G5828" t="inlineStr">
        <is>
          <t>電球型蛍光灯；電球形蛍光ランプ；電球ジョーク</t>
        </is>
      </c>
      <c r="H5828" t="n">
        <v>29</v>
      </c>
      <c r="I5828" t="inlineStr">
        <is>
          <t>もちろん中には電球が入っているのだが、電気はいまは止められている。；これは電球のテーマとは関係がないのだけど、何となく気になるのです。；ルイスが見ると、切れた電球のようにしか見えないものがそこにあった。；この展示は星と十字架の形に配置された通常の電球の長い帯でできている。；「電球にした方が軽くて儲かるど」 といって先輩が教えてくれました。；夢中になって機械の上にかがみこんで電球出力を増大させようとしていた。；姉の一人は、切れた電球をたくさん保存していると告白していました。；いずれも明治期のものであるが、電球は実際に発光させることもできる。；天井の電球を反射している白くて丸いテーブルにガラス製の灰皿がある。；電球の線が切れたようなので、新しいのと換えてみたがそれでもつかない。；だからよく考えると、地球は反対にあの電球のガラスに包まれているのです。；口金の形状には多数の種類があり、電球の用途に応じ選択されている。；ちょうど電球が切れる時期だったのか、一瞬、赤くなって消えてしまう。；イルミネーションに使用する電球の数は、回を追うごとに増加している。；風船玉ぐらいだったとか、電球の大きさだったとかいうのが普通である。；その電球のせいなのだろうか、奇妙な人形が投げ出されていると見えたのは。；しかもそれは通常の電球の光り方ではなく、中で炎がゆらめいているのだ。；それを電球の光に当てて彼は容器のなかの液体の透明度を調べていた。；この電球がちゃんと機能することに、わたしは正直少し驚きました。；電球が切れかかっているらしく、かえって暗くなったように感じた。；板戸の内側には水道が引かれているし、棚の上には電球もともっている。；その男は受け取った二個の電球をポケットへ入れて出て行って三〇分ばかりで帰って来た。；五十燭光の電球を買ってきて内密につけてみても、やはりそうだった。；以前は電球式だったが、現在はLEDで複数色表示できるようになっている。；電球式では人形が白で、周囲が赤または青として全体が発光している。；道の途中には外灯がひとつしかないし、それも暗い電球しか点いていない。；電球のワット数が低いほど露光時間は長くなるが、時間調節は楽である。；小さな電球ほどの明かりの前をメトロノームのように棒が左右に動いていた。；玄関に炎が明るく燃えており、食堂に電球がたくさんついている。</t>
        </is>
      </c>
      <c r="J5828">
        <f>HYPERLINK("https://www.weblio.jp/content/電球", "词义详情")</f>
        <v/>
      </c>
      <c r="K5828">
        <f>HYPERLINK("https://yourei.jp/電球", "查看例句")</f>
        <v/>
      </c>
    </row>
    <row r="5829">
      <c r="A5829" t="inlineStr">
        <is>
          <t>転居</t>
        </is>
      </c>
      <c r="B5829" t="inlineStr">
        <is>
          <t>成功</t>
        </is>
      </c>
      <c r="C5829" t="inlineStr">
        <is>
          <t>読み方：てんきょ
［名］(スル)住居をかえること。引っ越し。転宅。「郊外に—する」「—通知」</t>
        </is>
      </c>
      <c r="D5829" t="inlineStr">
        <is>
          <t>転居する(9%)；転居先(3%)；転居後；転居通知；転居祝い</t>
        </is>
      </c>
      <c r="E5829" t="inlineStr">
        <is>
          <t>移転；引越し；転出；再配置；引越</t>
        </is>
      </c>
      <c r="H5829" t="n">
        <v>29</v>
      </c>
      <c r="I5829" t="inlineStr">
        <is>
          <t>多くの有力選手は旧西ドイツ地域への転居や外国への移住などを行った。；彼は1807年に死去し、その死は家族との転居が完了する前であった。；実は拓巳は両親の都合で2週間後には海外に転居することになっている。；何度も転居を経験してきたので新潟の地にもすぐなじみ、友人もできた。；このとき周辺住民を近所から転居させて宿場町を作ったと考えられている。；戦後、神奈川県藤沢市に転居し、父は複数の事業を始めて成功していた。；この工事のために転居を余儀なくされた住民は憤懣やるかたなかった。；転居先が完治のアパートだと知ったさとみは偶然を装い訪ねたのだった。；名前が同じということで縁を感じ住むことを決めたが、現在は転居している。；この場合、その年の住民税は転居先の市町村から課税されることはない。；銀行員の父親の仕事で転居が多く、常に孤独であったと話している。；小学校に入学して間もなく父の転任で京都に転居、9歳で木琴を始める。；転居後に妻の癌をはじめ災いが多いのが何かの祟りではないかと心配になる。；小学校入学直前に父の故郷である栃木県鹿沼市の隣の宇都宮市に転居。；両親は息子の健康を第一とし、喘息の治療に良い環境を求めて数回転居している。；この後、東京市芝区城山町にあった次兄の家に転居し卒業後まで過ごす。；この頃、ロンドンからかねてより移住を考えていたロサンゼルスへ転居する。；その間に、航空宇宙関連の仕事をする夫の都合でシアトルへ転居した。；役作りのため、ゴズリングは撮影の1ヶ月前にニューヨークへ転居した。；その後サスカチュワン州のサスカトゥーンに転居し、この地で成長した。；中学在学中までに病を克服し、勉学などの都合もあって東京都へ転居する。；鎌倉市に転居後、両親と同居していたが、その没後に妹夫婦と同居する。；高校卒業直後の1968年に、父の仕事の都合で東京都町田市に転居する。；その後はアムロが改造して愛用し、転居を繰り返す間の唯一の友達となる。；こうして米長は佐藤の元で修行するために、東京へ転居することとなった。；この頃、酒井抱一が近所に転居して、鵬斎の生活の手助けをしはじめる。；父親はNHK仙台放送局勤務を経て東京勤務となり、一家で東京に転居している。；この後、母の実家・鹿児島県鹿屋市に転居しその後は鹿屋市で育った。；その後父が国鉄に入社したこともあり、転勤のため日本各地を転居して暮らした。</t>
        </is>
      </c>
      <c r="J5829">
        <f>HYPERLINK("https://www.weblio.jp/content/転居", "词义详情")</f>
        <v/>
      </c>
      <c r="K5829">
        <f>HYPERLINK("https://yourei.jp/転居", "查看例句")</f>
        <v/>
      </c>
    </row>
    <row r="5830">
      <c r="A5830" t="inlineStr">
        <is>
          <t>天気予報</t>
        </is>
      </c>
      <c r="B5830" t="inlineStr">
        <is>
          <t>成功</t>
        </is>
      </c>
      <c r="C5830" t="inlineStr">
        <is>
          <t>読み方：てんきよほう
ある地域の天気の変化を予測し、知らせること。明後日までの短期予報のほか、週間天気予報・長期予報がある。</t>
        </is>
      </c>
      <c r="D5830" t="inlineStr">
        <is>
          <t>天気予報番組；天気予報コーナー；天気予報担当；天気予報キャスター；天気予報サービス</t>
        </is>
      </c>
      <c r="E5830" t="inlineStr">
        <is>
          <t>気象学</t>
        </is>
      </c>
      <c r="F5830" t="inlineStr">
        <is>
          <t>abc天気予報；放送される天気予報；府県天気予報；天気予報欄；天気予報・週間</t>
        </is>
      </c>
      <c r="H5830" t="n">
        <v>29</v>
      </c>
      <c r="I5830" t="inlineStr">
        <is>
          <t>各番組の最後の数分以内に、全国の天気予報がスタジオ内で伝えられる。；また番組の合間で行なわれている番組案内や天気予報も無料で見られる。；毎日の天気予報の他、細分された地域ごとの日々の情報を提供している。；また、関東地方の天気予報が連続して放送される状況も変わらなかった。；また、天気予報は仙台駅前が使用できないためスタジオから行っていた。；ゲームに登場する用語が天気予報に関するものになっている事が特徴。；その日の早朝、天気予報でどのようなことが言われていたのかわからない。；天気予報か何かを調べて、吹雪になってることに気づいたかも知れません。；その前は天気予報や朝の番組であるテレマタンにも出たことがある。；天気予報は、イギリスのすべての島の沿岸に、強風注意報を発していた。；ただオショーネシーさんの連絡所に置いてくる天気予報にすぎないの。；雨も風も、このあとどんどん勢いが強まるって天気予報でも言ってるわ。；最後には天気予報を伝えるが、時間の都合などで読まないこともある。；ラジオは、天気予報の時間に、台風の近づいたことを警告していました。；例えば、気象学の方面で天気予報をする時にもちょうど良い例が見られる。；土曜放送分ではニュースの後、秋田県内の天気予報も手短に伝えていた。；この時間はどの局でもニュースか天気予報をやっているらしい。；当初は一日3回の観測と但馬地域内の天気予報・警報業務が行われていた。；天気予報・株価・ニュースがすぐに見られるというのがメリットである。；これは、天気予報が普通に出来ないことからの苦肉の策だったという。；左側の画面には広告動画やニュース・天気予報などの情報を表示する。；そして天気予報コーナーは当時のテレビ局舎の鉄塔の上から中継を行った。；守備隊は再編成し、より致命的な事に天気予報は外れ雨が再び降り始めた。；最新のニュースからスポーツの結果や交通天気予報などを伝えて放送している。；また、天気予報の名前を変更し、放送の他の多くの要素を変更した。；日曜日の放送ではニュースの量が増え、天気予報を伝える時間も設けていた。；このころから天気予報中心からニュースショー番組の性格を強めていく。；ロワジ1の天気予報どおり、空から白い綿毛のような雪が 落ちていた。；小さい頃から季節の変化に心を動かされ、天気予報もよく見ていた。</t>
        </is>
      </c>
      <c r="J5830">
        <f>HYPERLINK("https://www.weblio.jp/content/天気予報", "词义详情")</f>
        <v/>
      </c>
      <c r="K5830">
        <f>HYPERLINK("https://yourei.jp/天気予報", "查看例句")</f>
        <v/>
      </c>
    </row>
    <row r="5831">
      <c r="A5831" t="inlineStr">
        <is>
          <t>転勤</t>
        </is>
      </c>
      <c r="B5831" t="inlineStr">
        <is>
          <t>成功</t>
        </is>
      </c>
      <c r="C5831" t="inlineStr">
        <is>
          <t>読み方：てんきん
［名］(スル)同じ官庁や企業などの中で、勤務地が変わること。「札幌に—する」</t>
        </is>
      </c>
      <c r="D5831" t="inlineStr">
        <is>
          <t>転勤先；転勤者；転勤命令；転勤辞令；転勤生活</t>
        </is>
      </c>
      <c r="E5831" t="inlineStr">
        <is>
          <t>譲渡</t>
        </is>
      </c>
      <c r="F5831" t="inlineStr">
        <is>
          <t>東京転勤；大阪転勤；支社へ転勤</t>
        </is>
      </c>
      <c r="H5831" t="n">
        <v>29</v>
      </c>
      <c r="I5831" t="inlineStr">
        <is>
          <t>永野重雄も北海道に転勤後すぐに和田に挨拶に行ったともいわれている。；保護者の転勤等の場合を除いて基本的に全員が附属小学校へと進学する。；内容は、二人が転勤先で衝撃を受けたランキングをジャンル別に紹介した。；転勤などの理由により、両クラブ相互間で選手が移籍するケースもある。；勤務地は一部の例外を除いて都道府県庁所在地であり、転勤などがない。；工場機能を担当する職員のほとんどは、熊本総合車両所に転勤となった。；両親は転勤で離れて暮らしているため実家で一人暮らしをしている。；転勤先でいい成績を上げると本社のある大都市に戻されることがある。；銀行員であった父親の転勤により、幼少期に日本から大連へと移住した。；ところが夫の本州転勤が延期となり、帯広での生活が続くようになった。；小学4年生の時に親の転勤に伴い、中学卒業までニューヨークで暮らす。；父の転勤にともない、東京から鹿児島へ行ったのは小学校三年の時だった。；父親の仕事柄転勤が多く、高校までに16回もの転校を余儀無くされる。；すると彼は、転勤するたびにその土地で妻を持っていたというのか。；夫の転勤に伴い函館での生活を始めたふみ子は、第2子を妊娠していた。；父親が都市銀行員であり、東京と大阪を頻繁に転勤していたという。；だが急に両親が海外に転勤となり、その結果千寿と二人暮らしになってしまう。；その転勤生活の中で、私は小学校だけでも五回は変っているはずだ。；今日になって新聞をよく見ると、やっぱり転勤者が疎開可能者に含まれている。；ほかに子供は利幸の妹がいるが、今年の春から夫の転勤で高知に住んでいる。；この後も父親は転勤を繰り返すが、家族は美馬市に残り単身赴任となる。；その後、外交官である父親の転勤に連れられる形で様々な国を移動。；ホテル側は、それを知ると、その者を他の都市の支店に転勤させた。；二、三日前に本社のほうから転勤になった、そう、矢島ってたっけかな。；このため、東京から転勤後もNHKのアニメ関連番組を担当することがあった。；両親が教員で転勤族であったため、愛媛県内外を転々としながら育った。；父の転勤に伴い、幼少時はイギリスのロンドンやイタリアのローマで育つ。；年はくっているが、医務院に転勤してきて一年足らずの運転手である。；惣庄屋を含め藩役人の手永間の転勤なども実施されるようになった。</t>
        </is>
      </c>
      <c r="J5831">
        <f>HYPERLINK("https://www.weblio.jp/content/転勤", "词义详情")</f>
        <v/>
      </c>
      <c r="K5831">
        <f>HYPERLINK("https://yourei.jp/転勤", "查看例句")</f>
        <v/>
      </c>
    </row>
    <row r="5832">
      <c r="A5832" t="inlineStr">
        <is>
          <t>典型</t>
        </is>
      </c>
      <c r="B5832" t="inlineStr">
        <is>
          <t>成功</t>
        </is>
      </c>
      <c r="C5832" t="inlineStr">
        <is>
          <t>読み方：てんけい
１規範となる型。基準となるもの。
「此等の人の遺せる標準(のり)—に由て観るときは」〈中村訳・西国立志編〉
２同類ないし同種のものの中で、それらの特性を端的に示しているもの。代表例となるもの。「現代の若者の—」「アールヌーボーの—とされる作品」
[補説]書名別項。→典型</t>
        </is>
      </c>
      <c r="D5832" t="inlineStr">
        <is>
          <t>典型的な例(4%)；典型的な症状；典型的な小惑星；典型的な地中海性気候；典型的なリアス式</t>
        </is>
      </c>
      <c r="E5832" t="inlineStr">
        <is>
          <t>モデル；プロトタイプ；極致；基本形</t>
        </is>
      </c>
      <c r="F5832" t="inlineStr">
        <is>
          <t>いわゆる典型的；まさにその典型；典型的なプルヒッター；典型的な貴種流離譚；典型的な内陸性気候</t>
        </is>
      </c>
      <c r="G5832" t="inlineStr">
        <is>
          <t>典型例；典型元素；典型契約；典型七公害；典型金属</t>
        </is>
      </c>
      <c r="H5832" t="n">
        <v>29</v>
      </c>
      <c r="I5832" t="inlineStr">
        <is>
          <t>サッカーの試合と教会の活動は典型的な社会的交流と娯楽の源泉である。；文法は典型的な現代白話文の著作で使われている文法を標準としている。；これはICのような半導体の製造に用いられる典型的なプロセスである。；池に噴水や泉を設置する、というのもひとつの典型的なスタイルである。；もっとも典型的な遊び方である「起こし」のルールは以下の通りである。；星の球形を表した典型的な象形字で、楷書とは言いがたい文字であった。；松前町は、典型的な都市近郊であり、一般的な意味での観光地ではない。；住宅地区は東側諸国にあるような典型的な大規模な高層住宅で構成された。；上記宮原誠一と連携した島村総合教育などはその典型的な一例である。；屋内に土間があり、田の字型の間取りとしたものが典型的なものである。；以下の表は主系列にある恒星の典型的な値を示したものである。；インドのカリグラフィーでは、宗教上の経典が最も典型的な用途である。；典型的な事例は、日本の判例でも問題になったことがある次のような事例である。；以下の典型的なプロセス状態は多くのコンピュータシステム上で見られる。；父親は靴工場で働く労務者であり、典型的な労働者階級の出であった。；検査結果は治療反応性が典型ではない場合も想定し、適宜参照を行う。；方程式の最も典型的な形は未知数 と呼ばれる項を含んだ等式である。；典型的な心的外傷の原因は、身に危険を感じるような出来事である。；また安価な値段で食事を提供する食堂など、典型的な学生街を形成している。；処理の特性に合わせた典型的なイベントハンドラ実装パターンが存在する。；典型的な幻覚剤や、MDMAでは継続的に投与せずとも効果が持続する。；上述のものはあくまでも典型的な例であって、標準的でないものもありうる。；この時代の典型的な土器が、表面に模様を持たない様式であることから命名された。；典型的な例は、16世紀に設立されたポーランドのザモシチ市である。；CAPは航空母艦に搭載される航空部隊の典型的な運用形態である。；しかしより典型的なのは、花嫁探求に近似するが異なる話型と指摘される。；しかしラテン文学の典型的な人物描写からも影響を受けていた。；例えば、過去の事例では以下のようなケースが典型的である。；g と r の対応を示した典型的なグラフには次のような重要な特徴がある。</t>
        </is>
      </c>
      <c r="J5832">
        <f>HYPERLINK("https://www.weblio.jp/content/典型", "词义详情")</f>
        <v/>
      </c>
      <c r="K5832">
        <f>HYPERLINK("https://yourei.jp/典型", "查看例句")</f>
        <v/>
      </c>
    </row>
    <row r="5833">
      <c r="A5833" t="inlineStr">
        <is>
          <t>典型的</t>
        </is>
      </c>
      <c r="B5833" t="inlineStr">
        <is>
          <t>成功</t>
        </is>
      </c>
      <c r="C5833" t="inlineStr">
        <is>
          <t>読み方：てんけいてき
［形動］その類の特徴をよく現しているさま。「—な症状」</t>
        </is>
      </c>
      <c r="D5833" t="inlineStr">
        <is>
          <t>典型的かつ；典型的人物；典型的cidp；典型的事例；典型的作品</t>
        </is>
      </c>
      <c r="E5833" t="inlineStr">
        <is>
          <t>一般的；代表的；特有；類型的；寓意的</t>
        </is>
      </c>
      <c r="F5833" t="inlineStr">
        <is>
          <t>典型的アメリカ古典機</t>
        </is>
      </c>
      <c r="H5833" t="n">
        <v>29</v>
      </c>
      <c r="I5833" t="inlineStr">
        <is>
          <t>この過程は両者が宗教的実存であるとき、典型的にみられるのであろう。；カテゴリー錯誤が生じていることの証明は典型的には次の方法で行われる。；鳥類の種の記事は、典型的には以下のような項目が設定されるだろう。；グゥイネッズでは、これは典型的には となるが、の南部では となる。；典型的にはカーテンが目の前に降りて行くように暗くなると患者は訴える。；典型的には、プログラム中ではすべての値には1つの特定の型が付けられる。；ただし、免疫のある患者では、非典型的で軽症な経過をとることがある。；また、身体的な特徴が典型的とされる人の間でも実際には性分化は多様である。；典型的には、複素微分形式は容易に期待される分解を持つ考えられている。；は定義の内側では典型的には次のような一連にコンパイルされる。；中心の天体は典型的には恒星であり、この場合は星周円盤とも呼ばれる。；宗教の領域においては神祕主義はこの傾向を明瞭に典型的に現はしてゐる。；典型的には、わずかに引っ込んだ部分をもつ大きくて開けた湾のことを指す。；典型的には、率の平均が望まれているような状況で調和平均が適切である。；典型的には、中学校の生徒に教えられ、算数の理解を基礎にしている。；メーリングリストでは典型的には1日約200通のメッセージがあった。；これらの結合は典型的には糖分子の1位と4位の炭素の間で形成される。；典型的には、個々の画像は瞬間的なものであり、すぐに他の画像に変化する。；調和平均は、典型的には率や比に対する平均を考える場合に適切である。；フュースリーの絵画は昇華された性本能の典型的表現と見なされている。；典型的には以下のようなライフスタイル論と婚姻保護論の対立が挙げられる。；この特に単純な形式では、多体効果が無視されているため典型的にはあまり正確ではない。；女たちはそこに、またひとつの典型的「女の夢」物語を見出したのである。；典型的には、金属製部品は爆発を引き起こす信管機構の内部にしかない。；人々が典型的にバンドを特定のジャンルに所属させ、そのバンドを説明するのは難しい。；典型的には最初に製品が承認された時に行った試験や寸法測定を繰り返して行うものである。；鍔広の大きな帽子を被り、蝶結びの襟飾りをした典型的の画学生でした。；典型的には3分ほどで覚醒するので病院を受診した時点では覚醒している。；これはミュンスターラントとゾースト沃野の違いを典型的に示している。</t>
        </is>
      </c>
      <c r="J5833">
        <f>HYPERLINK("https://www.weblio.jp/content/典型的", "词义详情")</f>
        <v/>
      </c>
      <c r="K5833">
        <f>HYPERLINK("https://yourei.jp/典型的", "查看例句")</f>
        <v/>
      </c>
    </row>
    <row r="5834">
      <c r="A5834" t="inlineStr">
        <is>
          <t>点検</t>
        </is>
      </c>
      <c r="B5834" t="inlineStr">
        <is>
          <t>成功</t>
        </is>
      </c>
      <c r="C5834" t="inlineStr">
        <is>
          <t>読み方：てんけん
［名］(スル)悪い箇所や異常はないか、一つ一つ検査すること。「火の元を—する」</t>
        </is>
      </c>
      <c r="D5834" t="inlineStr">
        <is>
          <t>点検する(8%)；点検用；点検蓋；点検作業；点検整備</t>
        </is>
      </c>
      <c r="E5834" t="inlineStr">
        <is>
          <t>見る；研究；みる；調査；調べ</t>
        </is>
      </c>
      <c r="F5834" t="inlineStr">
        <is>
          <t>総点検；再点検；主電動機点検；事前点検；緊急点検</t>
        </is>
      </c>
      <c r="H5834" t="n">
        <v>29</v>
      </c>
      <c r="I5834" t="inlineStr">
        <is>
          <t>また、電動車の床には後述するように整備用の点検蓋が設置されている。；報告は正確性の観点から慎重に表現や内容を点検しなければならない。；彼は機械を点検するために入ったのだが、故障の原因はつかめなかった。；式は昼ごろに予定されており、そのための点検が朝から行われていた。；そのため、この時の点検が適切なものであったかが疑問とされている。；防災管理点検報告が必要な大規模建築物等は、次のとおりとされている。；機器が集約されることにより保守点検が容易なことも特徴の一つである。；設備等の点検は非常に高度で専門的な知識と技術を必要とする。；なお、この車両は黄色の車両の点検時にはホームに出されていることもあった。；すぐに従業員の点検が行われて、1人だけ姿が消えていることが判明した。；指定区分に応じた消防用設備等の工事、整備及び点検をすることができる。；これを点検して処女か否かを判断するのが処女検査の根拠とされる。；指定区分に応じた消防用設備等の整備及び点検をすることができる。；点検が定期化している場合は、必ず決まった曜日に見ることも可能である。；点検作業を行ったアメリカ人技術者の内部告発が切っ掛けで表面化した。；これは夏の省エネルギー総点検の日である8月1日を中心とした期間である。；これは主に道路ガス工事や電話線工事の復旧工事をする際の点検に使われる。；整備士は、乗り物をはじめとする機械などの点検・整備等を行う人のこと。；日本で唯一、すべての点検項目で基準を満たした証である『可』を得る。；技術部は、各装置群の保守・点検および実験装置作成などの業務を行う。；必要に応じて、水槽の内部および外部を点検する事が義務づけられている。；故障の可能性を検査するのは別途必要な点検整備の役割である。；専用車両の点検時などに西武バスの中型・小型バスが代走することがある。；事故修理後の点検として、ホイールアライメントは重大な要素にもなる。；一番右の建物は、車両の点検・修理などが行なわれていた所。；平時、部隊は、戦略施設の警備における弱点の点検のために使用された。；砲塔内は無人だが、後部には点検用のアクセスハッチが設けられている。；これは小型化されて傾斜しており、その天井には点検用のハッチを設けていた。；機器室内は中央に点検通路を有しており、各車両ごとに搭載機器は同一場所に設置されている。</t>
        </is>
      </c>
      <c r="J5834">
        <f>HYPERLINK("https://www.weblio.jp/content/点検", "词义详情")</f>
        <v/>
      </c>
      <c r="K5834">
        <f>HYPERLINK("https://yourei.jp/点検", "查看例句")</f>
        <v/>
      </c>
    </row>
    <row r="5835">
      <c r="A5835" t="inlineStr">
        <is>
          <t>電源</t>
        </is>
      </c>
      <c r="B5835" t="inlineStr">
        <is>
          <t>成功</t>
        </is>
      </c>
      <c r="C5835" t="inlineStr">
        <is>
          <t>読み方：でんげん
１電力を供給するみなもと。「—地帯」
２電気機器を動かす電力を取り入れる所。コンセントなど。「テレビの—を切る」</t>
        </is>
      </c>
      <c r="D5835" t="inlineStr">
        <is>
          <t>電源開発(10%)；電源供給(2%)；電源電圧；電源用；電源投入</t>
        </is>
      </c>
      <c r="E5835" t="inlineStr">
        <is>
          <t>電力；ワット数</t>
        </is>
      </c>
      <c r="F5835" t="inlineStr">
        <is>
          <t>補助電源；外部電源；主電源；冷房電源；サービス電源</t>
        </is>
      </c>
      <c r="G5835" t="inlineStr">
        <is>
          <t>電源車；電源回路；電源ユニット；電源ケーブル；電源コンセント</t>
        </is>
      </c>
      <c r="H5835" t="n">
        <v>29</v>
      </c>
      <c r="I5835" t="inlineStr">
        <is>
          <t>電源や制御は外部に依存しており、本体は主に駆動部で構成されている。；こうした電源開発に並行して大同電力では多数の傍系会社を立ち上げた。；この定義では据え置き式の太陽電池から電源の供給を受ける場合を含む。；この他に電源まわりの仕様が異なる国内版と海外輸出版の区分も存在する。；電源は主鏡の両脇に設置された太陽電池パネルを用いて発電されている。；電源から見ればコンピュータシステム全体が単純な抵抗器のように見える。；この場合は別に電源が必要となることが多いが、時刻合わせは一瞬で完了する。；ユーザーもこの点には敏感に反応し、家庭用電源を用いる時間が長くなった。；また需要に対して発電量が不足する場合は、他の電源に頼ることになる。；一般に電源側、負荷側の端子が決まっており逆接続はできなくなっている。；なお、この読替装置は車両に電源が供給されていないと使用できない。；これは機器の小形化や負荷条件に応じた最適な電源を確保するためである。；機器の動作のための十分な電源、温度調節のための空調設備も必要である。；オーバークロックを成功させる上では電源のことに意識を向けなければならない。；しかしこの設定は保存されず、電源を投入するたびに大に戻る。；当然だが操作音がしない代わりにパドルにも電源が必要になる。；通常この機能は電源を入れたときから有効になっていた。；電源機関の搭載・非搭載で駆動系の仕様が異なり、2種の系統がある。；一般的には電源側が小さい番号となり、負荷側が大きい番号となる。；一部のティグ用溶接電源には、この機能が装備されている場合がある。；たまごっちはゲームボーイ本体の電源を入れている間しか成長しない。；出力はほぼ同じであるが、2号の方がより容量の大きい電源を搭載している。；この条目では の何れかに合致した地点を電源開発が開発すると定めている。；家庭用電源を使わない、より玩具的で平易なNゲージシステムであった。；電源用エンジンは存置され、編成全体にサービス電源を供給している。；これは電話と舵取りバッテリーが同じ電源を使っていたためだった。；最近の製品は電源を入れても暗いままか、それほど明るくない。；このような特性から近年は非常用や軍用の電源に使用されている。；編成中に異なる電源方式のコンプレッサーを搭載している点も本系列の特徴の一つである。</t>
        </is>
      </c>
      <c r="J5835">
        <f>HYPERLINK("https://www.weblio.jp/content/電源", "词义详情")</f>
        <v/>
      </c>
      <c r="K5835">
        <f>HYPERLINK("https://yourei.jp/電源", "查看例句")</f>
        <v/>
      </c>
    </row>
    <row r="5836">
      <c r="A5836" t="inlineStr">
        <is>
          <t>天候</t>
        </is>
      </c>
      <c r="B5836" t="inlineStr">
        <is>
          <t>成功</t>
        </is>
      </c>
      <c r="C5836" t="inlineStr">
        <is>
          <t>読み方：てんこう
比較的短い期間の天気の総合的状態。また、天気のぐあい。空模様。天気と気候との中間の概念。「大会は—に恵まれた」「不順な—」「悪—」
→天気［用法］</t>
        </is>
      </c>
      <c r="D5836" t="inlineStr">
        <is>
          <t>天候不良(3%)；天候悪化；天候次第；天候条件；天候回復</t>
        </is>
      </c>
      <c r="E5836" t="inlineStr">
        <is>
          <t>天気；気象；日和；お天気；空模様</t>
        </is>
      </c>
      <c r="F5836" t="inlineStr">
        <is>
          <t>穏やかな天候；厳しい天候；こんな天候；天候異変；天候偵察</t>
        </is>
      </c>
      <c r="G5836" t="inlineStr">
        <is>
          <t>天候制御；天候デリバティブ</t>
        </is>
      </c>
      <c r="H5836" t="n">
        <v>29</v>
      </c>
      <c r="I5836" t="inlineStr">
        <is>
          <t>中の6門は主甲板に設置され、天候が平穏な時にのみ使用可能であった。；当日の天候は雨であったため、スカウトは雨合羽などを着用し参加した。；広さ44m2 で、天候に関係なくさまざまなイベントが行われていた。；天候やTPOに合わせた化粧の使い分けが定着したのもこのころである。；天候が荒れた時には、内湾や港などの陸地近くで観察されることもある。；天候は最も明確な例であり、晴天時と雨天時の混雑具合の開きは大きい。；この地域では降雨の前に雷と雷がよく降り、積乱雲と雨が天候を支配する。；アリスは、ボブのいる地域の一般的な天候の変化については知っている。；あらゆる天候下でも活動する事が出来、夜間も優秀に見張りを行っていた。；単純に空の色といっても、その色合いは天候や時間帯によって様々である。；八朔・二百十日とともに、天候が悪くなる農家の三大厄日とされてきた。；天候が悪く道も整備されていなかったので、進行を遅らされていた。；時間、天候、及びキャラクターの装備は全てイベントシーンに反映される。；サラトガから攻撃部隊が送られるが天候不良のため発見できなかった。；天候の関係で、攻撃は8月9日の深夜から8月10日の早朝に行われた。；また、あらゆる天候に対応できるよう開閉式の屋根付きのものとなっている。；彼らは次の港までの数日をみこんで天候を見なければならない。；当初の打ち上げ予定は7月18日であったが、天候が悪く順延となった。；糸の太さや作業時の天候等で仕上がりが左右される作業である。；天産品のため、天候や需要などの要因で価格が大きく変動する商品である。；また、一部のコースで時間の変化と天候の変化に対応している。；これは地域的な天候保全活動に対するヨーロッパレベルの称号である。；社会的に影響の大きい天候に関する注意喚起や解説を行う目的のもの。；当日は香港付近に台風10号が到来しており、天候がきわめて悪かった。；これは天候が不安定で、かなり寒い時期に行われることにも関係する。；よって収入は天候に左右され、同社の社員は常に天気に気を使っていたといわれる。；湯の味は苦く混じって塩をはやしており、天候によって湯の色が変わる。；冬季はサラエヴォ国際空港より天候などの点で条件が良いためである。；ストームはあらゆる形態の天候を操作するサイオニック能力を持っている。</t>
        </is>
      </c>
      <c r="J5836">
        <f>HYPERLINK("https://www.weblio.jp/content/天候", "词义详情")</f>
        <v/>
      </c>
      <c r="K5836">
        <f>HYPERLINK("https://yourei.jp/天候", "查看例句")</f>
        <v/>
      </c>
    </row>
    <row r="5837">
      <c r="A5837" t="inlineStr">
        <is>
          <t>転校</t>
        </is>
      </c>
      <c r="B5837" t="inlineStr">
        <is>
          <t>成功</t>
        </is>
      </c>
      <c r="C5837" t="inlineStr">
        <is>
          <t>読み方：てんこう
［名］(スル)ある学校から他の学校に移ること。「東京から—してきた生徒」「—生」</t>
        </is>
      </c>
      <c r="D5837" t="inlineStr">
        <is>
          <t>転校する(10%)；転校先(4%)；転校初日(2%)；転校後；転校し卒業</t>
        </is>
      </c>
      <c r="F5837" t="inlineStr">
        <is>
          <t>一緒に転校；転校する前；転校すること</t>
        </is>
      </c>
      <c r="G5837" t="inlineStr">
        <is>
          <t>転校少女；転校少女歌撃団；転校生マオ</t>
        </is>
      </c>
      <c r="H5837" t="n">
        <v>29</v>
      </c>
      <c r="I5837" t="inlineStr">
        <is>
          <t>父親の仕事の都合で子供の頃から転校を繰り返し、新幹線に興味を持つ。；そんな司だったが、心の中では大阪へ転校した紗英を忘れられずにいた。；原作では瑠々美が転校してくるのは冬だが、OVAでは夏になっている。；まれに、他校に転校などで卒業していない者が加入していることがある。；さらに北海道から東京への転校を事務所に依頼するほどであった。；小学校2年生まで仲の良かった唯一の友達が転校したことも影響した。；獏良は転校を繰り返し、自ら友達を作ろうとしない孤独な少年であった。；小学校3年時に朝鮮学校に転校するまでは日本の小学校を通っていた。；そんなある日、兄の秋人が東京都の私立聖リリアナ学園に転校してきた。；そんなある日、自分たちのクラスに美少女・小森久美子が転校してくる。；ソウルから地方の高校に転校してきて、いじめにあっていたイ・ユジン。；父親の仕事柄転勤が多く、高校までに16回もの転校を余儀無くされる。；同じ日に、永森やまとという少女も主人公と同じクラスへ転校してくる。；転校が多かった為に小学校では臨海学校や林間学校に行くことがなかった。；転校する先々で一癖も二癖もありそうな人物に出会いながら事件を解決する。；母親の意向で一年後に呉第一中学の編入試験を受け2年から転校した。；陶芸家の父の仕事の都合で日本の高校へ転校することになったミン。；以後、転校した美浜学園やバイト先で様々な出会いを経験することとなる。；そこへ九州から転校してきたばかりの泊桃太がメンバーに加えられてしまった。；転校した中学では、「朝鮮学校から来た生徒」と特別な目で見られた。；こうした状況に加えて両親の流浪癖もあり、転校の多い少年時代を送った。；転校するたびにその都市の主要駅の時刻表を暗記して人気者になっていたという。；高校は東京の私立女子高校・藤沢高校に転校し、1967年に卒業した。；本作では最後の敵となる、不滅が本当に転校するつもりだった学校。；子供の頃は両親の離婚と父親の仕事で転校を繰り返した。；物語は不思議な力を持つ主人公が舞台となる真神学園に転校したところから始まる。；小学校時代は、父の仕事の都合で転校が多く、よくいじめの対象にされた。；ミシガン州の高校2校に通った後、イリノイ州シカゴの高校に転校した。；上海から数えて6回目の転校をし、中学の途中から高校卒業まで住む。</t>
        </is>
      </c>
      <c r="J5837">
        <f>HYPERLINK("https://www.weblio.jp/content/転校", "词义详情")</f>
        <v/>
      </c>
      <c r="K5837">
        <f>HYPERLINK("https://yourei.jp/転校", "查看例句")</f>
        <v/>
      </c>
    </row>
    <row r="5838">
      <c r="A5838" t="inlineStr">
        <is>
          <t>伝言</t>
        </is>
      </c>
      <c r="B5838" t="inlineStr">
        <is>
          <t>成功</t>
        </is>
      </c>
      <c r="C5838" t="inlineStr">
        <is>
          <t>読み方：つてこと
言い伝える言葉。ことづて。でんごん。また、うわさ。
「赤駒のい行きはばかるま葛原(くずはら)何の—直(ただ)にし良(よ)けむ」〈万・三〇六九〉</t>
        </is>
      </c>
      <c r="D5838" t="inlineStr">
        <is>
          <t>伝言メモ；伝言役；伝言サービス；伝言係</t>
        </is>
      </c>
      <c r="E5838" t="inlineStr">
        <is>
          <t>情報；報告；案内；報道；ニュース</t>
        </is>
      </c>
      <c r="F5838" t="inlineStr">
        <is>
          <t>御伝言；重要な伝言；要請する伝言</t>
        </is>
      </c>
      <c r="G5838" t="inlineStr">
        <is>
          <t>伝言ダイヤル；伝言ゲーム</t>
        </is>
      </c>
      <c r="H5838" t="n">
        <v>29</v>
      </c>
      <c r="I5838" t="inlineStr">
        <is>
          <t>にせの伝言を伝えるのに使った女は待合茶屋の女主人だったに違いない。；父にも母にももはや相談することはなく、伝言ひとつさえ残さなかった。；もし大坂で百に会ったらもっと遠くに逃げろと伝言するように頼まれる。；あんな気障な伝言をたのんで置いた以上行くよりほかに仕様があるまい。；テーブルの上に、女たちからかかってきた電話の伝言が二つあってね。；妻の伝言は、やはり手術しなければならないらしいというものだった。；クラークはこの島にいる間にピッツバーグから重要な伝言を受け取った。；もし都合が悪ければ私の自宅に電話をしてほしい、という伝言を残した。；うーむ、伝言が後ろへ伝わるに連れて劣化していっているような感じだ。；ロープの、わたしの頭の辺の高さに、二番目の伝言が結んであったのだ。；だが彼は後に聖職者たちに対して秘密の伝言を伝えるような引用をした。；自分の命令を手下に伝える時には、いつも伝言という形式を使うんです。；最近あまり机にいないせいか、伝言メモがいくつも貼りつけられている。；伝言屋がやって来て、オメール街の仕出し屋で人が待っていると伝えた。；聞いて安心したのは、伝言を書いて指示通り無事に渡したとのこと。；朝会社に来ると雛子の姿は見えなかったので、伝言は伝わったようだった。；オリオ夫人からの伝言で、自宅へ会いに来てほしいということであった。；彼の家と事務所に電話して、すぐこっちへくるように伝言を頼んだ。；もどってきたらすぐ、あたしに電話をかけるように伝言を残しておきました。；私は、仕事に遅刻してしまう伝言を、家にいる佐藤さんに電話で頼んだ。；事務所にもどってみると、ディック・フォリーからの伝言が待っていた。；実際には、彼の伝言の後半の部分はまったく、彼自身の創作だったのだ。；とにかく呼び返すのは不可能だとなって、さっきの伝言になったのだ。；昨夜女中から聞いた伝言が、気にかかってならなかったからである。；一件目は午後六時九分に掛かってきたもので、伝言は残されていなかった。；それからしばらくしてポルおばさんの部屋へ来るようにとの伝言があった。；老婆さんからよろしくとの伝言をしたが、彼はにっこりともしなかった。；一番情けなく思ったのは、ポワロに何の伝言も残す術のないことだった。；僕があの女中にどんな伝言だったかと聞いたのを覚えてるね?</t>
        </is>
      </c>
      <c r="J5838">
        <f>HYPERLINK("https://www.weblio.jp/content/伝言", "词义详情")</f>
        <v/>
      </c>
      <c r="K5838">
        <f>HYPERLINK("https://yourei.jp/伝言", "查看例句")</f>
        <v/>
      </c>
    </row>
    <row r="5839">
      <c r="A5839" t="inlineStr">
        <is>
          <t>天才</t>
        </is>
      </c>
      <c r="B5839" t="inlineStr">
        <is>
          <t>成功</t>
        </is>
      </c>
      <c r="C5839" t="inlineStr">
        <is>
          <t>読み方：てんさい
生まれつき備わっている、並み外れてすぐれた才能。また、そういう才能をもった人。「数学の—」「—肌のプレーヤー」
[補説]2015年に実施した「あなたの言葉を辞書に載せよう。2015」キャンペーンでの「天才」への投稿から選ばれた優秀作品。◆普通の人が見過ごしていることに、敏感に気付く人のこと。ハーレー頭巾さん◆人知れず、地道に努力を続ける人。luciernagaさん◆努力しないで才能を発揮している人、又はそう見える人。みかん+りんごさん◆間違える方法を知っている人。Kahnさん◆他者とは異なる見方をする。はじめは異質に思われることも多いが、長期的な目で見ると着眼点の違いや先見の明があることに気づく。年月を重ねることで周囲に認められる人。ラディニックさん◆他人とは違う物の見方をして、それが、運良く、大発見や大発明に繋がった人。繋がらなければ、ただの変人。umakoさん◆天から頂いた才能を、自身の努力で引き出した人。のりおさん◆褒め言葉。自分より秀でた部分のある人に対して、その部分を褒め称える。その裏には劣った部分があるとの認識がある場合も多い。だいだらぼっちさん◆凡人が努力や練習を積み重ねた末にできることを、すぐにしてしまう人のこと。トナカイさん◆天から授かりしものを苦も無く表現できる能力。ルナさん</t>
        </is>
      </c>
      <c r="D5839" t="inlineStr">
        <is>
          <t>天才的(11%)；天才少女；天才児；天才少年；天才科学者</t>
        </is>
      </c>
      <c r="E5839" t="inlineStr">
        <is>
          <t>魔法；才能；頭脳；才人；才</t>
        </is>
      </c>
      <c r="F5839" t="inlineStr">
        <is>
          <t>若き天才；天才詩人；天才型；軍事的天才；天才子役</t>
        </is>
      </c>
      <c r="G5839" t="inlineStr">
        <is>
          <t>天才肌；天才バカボン；天才てれびくん；天才ピアニスト；天才てれびくんmax</t>
        </is>
      </c>
      <c r="H5839" t="n">
        <v>29</v>
      </c>
      <c r="I5839" t="inlineStr">
        <is>
          <t>このころは天才型の彼らの中にあって彼の芸術は二番手に甘んじていた。；成績も優れていたが、天才と言えるほどの飛び抜けたものではなかった。；しかし彼の能力が成人した後もなお天才的であったことは事実である。；しかし彼の天才性を真に示すのは写真における抽象表現の分野であった。；おれは天才ではないので、致命的な怪我はしないだろうと思っている。；天才たちにより行われる政治が理想的な政治であるとする思想に基づいている。；語学の天才と言われ、独・英・蘭・仏・露・中の6か国語に通じていた。；ゲスト的な形で、天才の紹介の取材をした女性アナウンサーが出演していた。；彼は一流の映画監督を目指しており、周りからは天才少年と呼ばれていた。；このころ既に漫画業界で「宮城県に天才がいる」と評判になっている。；アルゼンチンの天才少年のビデオを手に入れた彼はそれをバルサに送っていた。；そこで彼らは狂気の天才画家・葛城繁が残した怪奇な数枚の絵を目にする。；デュラントは販売の天才で一契約の契約規模をより大きくし常に大量の注文をとった。；彼は明らかに天才だったし、人と違ったことをしようと努力して、それに成功していた。；このような奇行はしばしば信長の天才性の象徴とされてきた。；元同事務所のPENICILLINからは隠れた天才と言われていたバンドである。；幼い頃から科学に接して育ち、自らも様々な機械を開発する天才的な発明家である。；怪我でタイトルやキャリアを棒に振ったことでも知られるが晩年になっても打撃の天才であることは認められていた。；特にスポーツの天才の思考・行動パターン分析のエキスパートで知られる。；ごく少数の天才と何十億の凡人から成る数世紀先の未来を描いている。；別の人間はカジンスキーが寡黙でこそあったが、天才だったと証言している。；このゲームの主人公で、航空機に関しては天才的な才能を持つ科学者兄弟。；それが、天才児の出現によって大正の盛時を作り上げていったのである。；天才少女として注目を集め、14歳の時にプロ歌手としてデビューする。；優れた技術を持っており、パールスピンができるほどの 天才である。；天才を自称しており、コナンが使用している道具の製作者でもある。；数学の天才で頭が良すぎた兄・ヒサシはホームレスになっていた。；天才ヤーノは航空エンジン開発との二足のわらじ状態で混乱していた。；彼らを「天才」と位置づけ、彼らの優れた能力を様々な形で紹介する。</t>
        </is>
      </c>
      <c r="J5839">
        <f>HYPERLINK("https://www.weblio.jp/content/天才", "词义详情")</f>
        <v/>
      </c>
      <c r="K5839">
        <f>HYPERLINK("https://yourei.jp/天才", "查看例句")</f>
        <v/>
      </c>
    </row>
    <row r="5840">
      <c r="A5840" t="inlineStr">
        <is>
          <t>天災</t>
        </is>
      </c>
      <c r="B5840" t="inlineStr">
        <is>
          <t>成功</t>
        </is>
      </c>
      <c r="C5840" t="inlineStr">
        <is>
          <t>読み方：てんさい
地震・台風・雷・洪水など自然現象によってもたらされる災難。「—に見舞われる」⇔人災。</t>
        </is>
      </c>
      <c r="D5840" t="inlineStr">
        <is>
          <t>天災地変(5%)；天災地妖；天災地變</t>
        </is>
      </c>
      <c r="E5840" t="inlineStr">
        <is>
          <t>不幸；悲劇；難；壊滅；災害</t>
        </is>
      </c>
      <c r="F5840" t="inlineStr">
        <is>
          <t>大きな天災；うけて天災</t>
        </is>
      </c>
      <c r="G5840" t="inlineStr">
        <is>
          <t>天災は忘れた頃来る；天災は忘れられたる頃来る</t>
        </is>
      </c>
      <c r="H5840" t="n">
        <v>29</v>
      </c>
      <c r="I5840" t="inlineStr">
        <is>
          <t>天災が天の意思の現れだと言う思想もこの時期に形成されたようである。；と言うのはこのオヤジも一過性の天災のように扱われていることである。；起こったことを確かめて我が身の天災ぶりを受け入れなくてはならない。；涼子の存在は天災であるからして、人力で避けられるものではないのだ。；まるでその天災が彼女一人のためにのみ起ったかのような口ぶりで話した。；天災を予知する小動物の本能に似たものが、工藤のなかで働いたようだ。；本戦争では天災による被害も含めて約2000万人の死傷者が発生した。；新聞に書いてあるように、天災と簡単に片づけてしまうべき事件だろうか。；かつて、この地には山のように巨大な体と天災級の力を有する獣達が生きていた。；この豪雨は町の歴史上おそらく最も甚大な被害をもたらした天災であった。；住民は周辺集落と盛んに行き来をしており、特に天災や紛争の際には多い。；天災とは云え二人でここへ泊った言訳をどうしたものだろうと考えた。；聖武天皇が彷徨五年を開始する前の数年間は天災や疫病が多発していた。；そのために天災、不幸な事故、悪疫の流行をもたらすと考えられている。；このように大きな天災は明らかに影響の大きいものであった。；もっとすさまじい天災がすぐに追いかけてきて東京を破壊するはずだ。；どこかで起こしてやろうと場所をさがしている天災みたいなようすをしてるわ。；地震・台風等の天災や、事故・事件等の人災にあった人が含まれる。；こういう天災のときは、敵も味方も戦争どころではなくなるのだ。；どんなに正直に慎ましく暮らしていても、天災であっさり死ぬことがある。；環境を無視した耕地化を原因とする、天災というよりは人災に近い現象である。；また、ハリケーンなどの天災が発生した場合には、救援を行うことがある。；思うにそれは天災で萎縮していた心が反撥し抵抗する叫び声であった。；それと同時にかれらは天災にあい、不死にもかかわらず、消滅した。；それから、天災や戦乱で流離常ならぬ農民のことが、新たに頭に浮んだ。；また、この頃、岡山藩は大洪水などの天災が発生して多難を極めていた。；その後の兵乱や天災により記録を失ったため、詳細な由来は不明となっている。；白刃の来ることと、天災の来ることとはあらかじめ測ることができません。；しかし大洪水や風水害などの天災が相次いで、藩財政はさらに悪化した。</t>
        </is>
      </c>
      <c r="J5840">
        <f>HYPERLINK("https://www.weblio.jp/content/天災", "词义详情")</f>
        <v/>
      </c>
      <c r="K5840">
        <f>HYPERLINK("https://yourei.jp/天災", "查看例句")</f>
        <v/>
      </c>
    </row>
    <row r="5841">
      <c r="A5841" t="inlineStr">
        <is>
          <t>添削</t>
        </is>
      </c>
      <c r="B5841" t="inlineStr">
        <is>
          <t>成功</t>
        </is>
      </c>
      <c r="C5841" t="inlineStr">
        <is>
          <t>読み方：てんさく
［名］(スル)他人の詩歌・文章・答案などを、書き加えたり削ったりして、改め直すこと。「生徒の作文を—する」</t>
        </is>
      </c>
      <c r="D5841" t="inlineStr">
        <is>
          <t>添削問題；添削例；添削型</t>
        </is>
      </c>
      <c r="E5841" t="inlineStr">
        <is>
          <t>変更；改善；改正；修正；直し</t>
        </is>
      </c>
      <c r="F5841" t="inlineStr">
        <is>
          <t>文章添削</t>
        </is>
      </c>
      <c r="H5841" t="n">
        <v>29</v>
      </c>
      <c r="I5841" t="inlineStr">
        <is>
          <t>学生たちが書いた文章を読み、それを添削するのも私の重要な仕事である。；しかも一字も添削されていなかったので、わたしはまた急に気が強くなった。；これがきっかけとなって、急に朱筆の添削が気にならなくなってきた。；授業の中で書いた歌詞を、その場で谷村新司教授に添削してもらった。；そこでは法律関係の出版者のもとで、校正・添削の仕事を行っていた。；卒業間際の添削会で出版社からスカウトされ、漫画家デビューを果たす。；すると大変感心したといって二三所一二字添削して返した。；学習中の言語で日記を書くと、その言語を母国語とする人が添削をしてくれる。；添削しているうちに連絡が来なくなり、結局そっちも読んでない。；彼の添削が入ると見違えるようにその文章がひきしまり、よくなった。；また、添削課題制度がなく、全国各地で会員を集めた学習会を開いている。；趣旨の変わらない範囲で担当記者が規定の行数に整理・添削して掲載する場合がある。；山南は平素、酒井兵庫に自作の歌の添削をたのんだりしていた仲である。；母親は元教師で、子供の宿題に適切な添削までしてくれたという。；義直の邸で講義に出席したのを機に、林羅山に詩の添削を頼んだのもそのためだ。；補習用などの目的で、添削型の補助学習材があり現在も有効に機能している。；大正二年巡礼詩社を興したが、これは詩と歌の添削がおもだったらしい。；そして、十八の年、承元三年、三十首の歌を京へ送って添削を求めた。；カセットテープに声を吹き込み、校長の勝田久に添削してもらっていた。；北条氏康が和歌の添削を依頼するほど、和歌の造詣が深かったとされる。；口羽は把山の号で詩作に通じていたので、丹念に目を通し添削してやっている。；答辞は教授の添削を受けたが、「生還を期せず」は自ら考えたものだった。；かなり頻繁に、光國に添削を請うたり、貴重書の貸し借りをしていた。；添削のポイントなどもそのものズバリを指摘し、論理的でもあった。；彼女の手を支配したと同じ気分が、彼女の眼を支配しているので、彼女は訂正や添削の必要をどこにも認めなかった。；ラヴクラフトは、自分の小説を執筆する傍らで、他人の小説の文章添削の仕事も行っていた。；さらに毎回の授業で課題を課して添削を行うなど、きめ細かい指導を行った。；このレポートは司会者、助言者の添削を受けて一旦参加者に返却される。；また、自分の母国語を学習する人の日記を添削することも出来る。</t>
        </is>
      </c>
      <c r="J5841">
        <f>HYPERLINK("https://www.weblio.jp/content/添削", "词义详情")</f>
        <v/>
      </c>
      <c r="K5841">
        <f>HYPERLINK("https://yourei.jp/添削", "查看例句")</f>
        <v/>
      </c>
    </row>
    <row r="5842">
      <c r="A5842" t="inlineStr">
        <is>
          <t>展示</t>
        </is>
      </c>
      <c r="B5842" t="inlineStr">
        <is>
          <t>成功</t>
        </is>
      </c>
      <c r="C5842" t="inlineStr">
        <is>
          <t>読み方：てんじ
［名］(スル)美術品・商品などを並べて一般に公開すること。「作品を—する」「—即売会」</t>
        </is>
      </c>
      <c r="D5842" t="inlineStr">
        <is>
          <t>展示室(6%)；展示品(3%)；展示館；展示施設；展示会</t>
        </is>
      </c>
      <c r="E5842" t="inlineStr">
        <is>
          <t>発表；示す；表示；見せる；表す</t>
        </is>
      </c>
      <c r="F5842" t="inlineStr">
        <is>
          <t>企画展示；保存展示；屋外展示；資料展示；作品展示</t>
        </is>
      </c>
      <c r="G5842" t="inlineStr">
        <is>
          <t>展示場；展示物；展示スペース；展示飛行；展示ホール</t>
        </is>
      </c>
      <c r="H5842" t="n">
        <v>29</v>
      </c>
      <c r="I5842" t="inlineStr">
        <is>
          <t>彼は壁に自分の作品だけを展示し他人の絵を並べてほしくないと望んだ。；博物館には歴史的な飛行機や自動車、機械、装置などが展示されている。；また展示作品の販売は行わないのが普通で、禁止している場合もある。；閉館後も、展示品などは時期を見て公開する予定であるとされている。；また、センター建物では、施設関係の事故などの展示を行っているという。；展示だけではあったものの当時は珍しかった外車も並べられ話題を呼んだ。；切断された木の一部は、駅コンコースに紹介文とともに展示されている。；余裕のある空間を活かしてニューシャトルに関連した展示がなされている。；この車両は同年の第43回東京モーターショー2013でも展示された。；ロンドンの科学博物館が展示したいとオーヴィルに希望を寄せてきた。；展覧会などによる展示を中心とした施設にはギャラリーや彫刻館がある。；レプリカも複数作られておりさまざまな博物館に展示されている。；また、外壁にJR東日本の保有車両の写真と解説パネルを展示している。；常設展示されていない実物資料は企画展示で公開される場合がある。；刀剣が収蔵されていることで著名な展示施設の一部を以下に挙げる。；退役後はロサンゼルスのカリフォルニア科学センターに展示されている。；この他、空港にはウクライナ空軍の使用機等を展示するも併設されている。；内部で展示されている調度品の多くは鹿鳴館や赤坂離宮で使用されたもの。；これらを保存、展示する施設として博物館の建設が仙台市の課題となった。；車両は動態保存されているものがあり、定期的に展示運転が実施されている。；そこでは、ワットの工房が完全に再現され、何年間も展示公開された。；車内には0系風の転換座席を2脚設置したほか鉄道模型も展示されている。；駅舎内には、在りし日のマロン駅長に纏わる写真などが展示されている。；建物は主に3フロアから構成され、中間階に絵画が展示されている。；現在見られるのは後者の方で に展示されている。；ドイツでは動物園に水族展示施設や昆虫展示施設を併設していることも多い。；また、大阪電気軌道開業時の車両デボ1形電車も保存展示されていた。；警察博物館に高速道路交通警察隊で運用されていた1台が展示されている。；現在ではヘントにあるフランドル伯の城にギロチンが展示されている。</t>
        </is>
      </c>
      <c r="J5842">
        <f>HYPERLINK("https://www.weblio.jp/content/展示", "词义详情")</f>
        <v/>
      </c>
      <c r="K5842">
        <f>HYPERLINK("https://yourei.jp/展示", "查看例句")</f>
        <v/>
      </c>
    </row>
    <row r="5843">
      <c r="A5843" t="inlineStr">
        <is>
          <t>電子辞書</t>
        </is>
      </c>
      <c r="B5843" t="inlineStr">
        <is>
          <t>成功</t>
        </is>
      </c>
      <c r="C5843" t="inlineStr">
        <is>
          <t>読み方：でんしじしょ
《electronic dictionary》辞書のデジタルデータを内蔵した携帯型の電子機器の総称。高機能のものでは、カラー液晶ディスプレーなどの表示装置やスタイラスペンなどの入力装置、音声出力機能などを備え、見出し語検索のほかに、全文検索、部分一致検索、複数辞書の一括検索といった多様な検索方法を選択することができる。また、同様の機能を提供するアプリケーションソフトやインターネット上のサービスを指すこともある。</t>
        </is>
      </c>
      <c r="D5843" t="inlineStr">
        <is>
          <t>電子辞書機能(5%)；電子辞書市場(4%)；電子辞書ソフト(2%)</t>
        </is>
      </c>
      <c r="H5843" t="n">
        <v>29</v>
      </c>
      <c r="I5843" t="inlineStr">
        <is>
          <t>BBeBは当時発売されていたソニー製の電子辞書にも採用されていた。；また、英語のプロ向けと銘打った電子辞書に採用されていることもある。；電子辞書でも聴き取りなど英語学習機能が強化されたものも出ている。；現代では各種の電子辞書も様々なメーカーから出されている。；Papyrusはかつて発売されていたシャープの電子辞書の名称。；中には教科書・腕時計・電子辞書などが入っていたが、青のジャージが失われていた。；電子辞書などにも積極的にコンテンツを提供している。；最近では電子辞書の類がすでにいくつか商品としてでているが、こいつには通常の大きさのCDをかける。；電子書籍より一歩先に印刷物から電子媒体へと変化して普及しつつあるのが電子辞書である。；さらに、ふたの付いた小さな電卓のような電子辞書版が出ると、それも買いました。；先駆けとなる変化は、すでに電子辞書で体験していました。；また、電子辞書やインターネット辞書も、近年利用者を増やしている。；出版社のこうした販売政策は、本来ならどんどん進んで当然の電子辞書の普及にブレーキをかけてきました。；また電子辞書などでは手書き入力が可能なものもある。；日本で一般に「電子辞書」といえば、最初に挙げた携帯型の電子辞書専用機を指す。；時間が経ち、友人の声がしなくなったところで電子辞書を借りに行くと、そこには兄ではなく友人の柿本健が居た。；だが、年配の古文の女性教師は自分が取り上げたものが何なのかよくわかっていない様子なので、これは電子辞書ですよと適当に誤魔化して生徒に返してやった。；このうち電子辞書については、一般的にフラッグシップモデルに収録されていることが多い。；正解者の中から抽選で、高級電子辞書が10名に視聴者プレゼントされる。；カシオやキヤノンなどの電子辞書にも収録されている。；和英辞典は、ほとんどの電子辞書にも搭載されている。；こうした電子辞書もどきの小道具を作るとなれば、一から専用の仕立てを用意したってよさそうなものだ。；そこで当時の中国ではそれまでの10年ほどの期間に電子辞書の普及が進んでいたが、外国産である電子辞書は中国の人民にはかなり高価だった。；また、電子辞書をコンピュータに備え、辞書引きをコンピュータに行わせつつ、人間が行う翻訳は、コンピュータ支援翻訳と呼ばれる。；電子辞書では、特に学生向けの製品にて、この電子単語帳機能を備えるものも見られる。；後に高機能化が進み、時計を内蔵して予定時間になったらアラームを鳴らすスケジューラーが標準的な機能になった他、外部メモリーや機能カードを追加・交換する事で、電子辞書機能やゲーム・鉄道乗換え案内といった機能を利用する事ができた。；もちろん電子辞書を使おうとする際にも、先ずマシンを用意しなければならないという敷居は付いて回ります。；たしかに電子辞書は、これは革命ですよ。；電子辞書の需要が増し、買い求める客層も拡大したが、この頃の電子辞書市場で主流を占めていたのは安価なスタンダード型だった。</t>
        </is>
      </c>
      <c r="J5843">
        <f>HYPERLINK("https://www.weblio.jp/content/電子辞書", "词义详情")</f>
        <v/>
      </c>
      <c r="K5843">
        <f>HYPERLINK("https://yourei.jp/電子辞書", "查看例句")</f>
        <v/>
      </c>
    </row>
    <row r="5844">
      <c r="A5844" t="inlineStr">
        <is>
          <t>電車</t>
        </is>
      </c>
      <c r="B5844" t="inlineStr">
        <is>
          <t>成功</t>
        </is>
      </c>
      <c r="C5844" t="inlineStr">
        <is>
          <t>読み方：でんしゃ
駆動用電動機を装置し、架線あるいは軌道から得る電気を動力源として走行する鉄道車両。駆動用電動機を装置しない車両を連結したものもいう。「急行—」「路面—」</t>
        </is>
      </c>
      <c r="D5844" t="inlineStr">
        <is>
          <t>電車内；電車化；電車用；電車特急；電車運転</t>
        </is>
      </c>
      <c r="E5844" t="inlineStr">
        <is>
          <t>列車；汽車；機関車；市電；都電</t>
        </is>
      </c>
      <c r="F5844" t="inlineStr">
        <is>
          <t>型電車；用電車；系電車；近郊電車；線電車</t>
        </is>
      </c>
      <c r="G5844" t="inlineStr">
        <is>
          <t>電車線；電車賃；電車道；電車男；電車区</t>
        </is>
      </c>
      <c r="H5844" t="n">
        <v>29</v>
      </c>
      <c r="I5844" t="inlineStr">
        <is>
          <t>これらの電車はすべて中央・総武緩行線専用の車両を用いて運行される。；現在運用されている電車の制御装置はほぼすべてが日立製作所製である。；大日本軌道側も電車化を受け入れたが、結局実現はみることはなかった。；一般的な電車への採用例もあり、JR東日本E127系電車が該当する。；ホームの信濃町寄りは曲線区間にあり、電車との隙間が広く開いている。；ホームはカーブしており、電車とホームの間が開いている箇所がある。；これは当時すでに開発中であった189系電車の計画を反映させたものである。；色の違いによってどちらの路線の電車なのかを見分けることができる。；ライブ開催当日には西武鉄道による特別電車も運行されたほどである。；なお日本の電車そのものの発展の概略は、日本の電車史を参照されたい。；列車は電気機関車による牽引でのみ運行され、電車は製作されなかった。；当駅を始発・終点とする電車が朝と夕方ラッシュ時以降に設定されている。；ほとんどの定期電車は1番線を使うが、一部の電車のみが2番線を使う。；電車緊急特別改造工事の実施項目と施行両数、実施内容は以下の通り。；日中は当駅で上りと下りの電車が交換するダイヤになっている。；この系統の電車群は1937年までに合計48両が製造されている。；また、かつては本線からの直通電車が年末年始に運転されることがあった。；これを記念して一部電車にヘッドマークをつけ、同年9月まで運行された。；このホームは現行の銀座線電車の床面より15センチ程高くなっている。；この試験結果も合わせ、電車による長距離高速運転を行う準備が確立した。；これに伴い前者は、日比谷線直通電車だけで運用されるようになった。；箱根駅伝では選手の通過時にこの踏切の手前で電車を停車させる。；多くは太平洋戦争中に輸送力確保のため、通常型電車に改造されて消滅した。；かつては途中駅で折り返す電車の設定もあったが、現在は設定されていない。；全列車が吹田総合車両所日根野支所に所属する電車で運転されている。；ところがこの頃から、市民の間からは電車市営の要望が出されるようになる。；初期の半鋼製車では窓の高さが客車や従来の電車よりも若干高い位置とされた。；一方で電車と同じように膨大な地上設備を必要としている。；現存する区間は全列車が電車で運行されている。</t>
        </is>
      </c>
      <c r="J5844">
        <f>HYPERLINK("https://www.weblio.jp/content/電車", "词义详情")</f>
        <v/>
      </c>
      <c r="K5844">
        <f>HYPERLINK("https://yourei.jp/電車", "查看例句")</f>
        <v/>
      </c>
    </row>
    <row r="5845">
      <c r="A5845" t="inlineStr">
        <is>
          <t>天井</t>
        </is>
      </c>
      <c r="B5845" t="inlineStr">
        <is>
          <t>成功</t>
        </is>
      </c>
      <c r="C5845" t="inlineStr">
        <is>
          <t>読み方：てんじょう
１屋根裏を隠し、また保温などのため、部屋の上部の板を張った部分。組み入れ天井・格(ごう)天井・鏡天井などがある。
２物の内部の一番高い所。
３物価や相場の最高値。「相場が—を打つ」⇔底。
４成長や発展を阻むもの。「ガラスの—」</t>
        </is>
      </c>
      <c r="D5845" t="inlineStr">
        <is>
          <t>天井近く；天井石；天井部分；天井高；天井付近</t>
        </is>
      </c>
      <c r="E5845" t="inlineStr">
        <is>
          <t>屋根；ルーフ；内張り；シーリング；裏板</t>
        </is>
      </c>
      <c r="F5845" t="inlineStr">
        <is>
          <t>天井部；低い天井；白い天井；暗い天井；床や天井</t>
        </is>
      </c>
      <c r="G5845" t="inlineStr">
        <is>
          <t>天井板；天井画；天井川；天井の下；天井桟敷</t>
        </is>
      </c>
      <c r="H5845" t="n">
        <v>29</v>
      </c>
      <c r="I5845" t="inlineStr">
        <is>
          <t>一般に天井が高い設計になっており、柱のない広い空間が作られている。；天井は開放されていたが砲手の観測しうる周囲の視界は限定されている。；天井の形状や、荷棚形状に多少の差異はあっても基本的には同じである。；この技法で描いた絵画は壁や天井と一体化し、ほぼ永続的に保存される。；製造当初は天井に扇風機が設置され、冷房装置は搭載されていなかった。；駅舎は木造のログハウス風であり、高い天井が駅舎の特徴となっている。；紙に文字を書き表すのみならず、モスクの壁や天井などにも用いられる。；天井部の壁面にはラーマ1世から5世に関連する出来事が描かれている。；天井高を大きくとったり、屋根裏部屋を設置したりするのに適している。；改造後は冷房装置のみとなり、装置の関係で天井がいくぶん低くなった。；天井付近に仕掛け時計が設置されており、時間になると人形が動く。；後述する内部モード・天井ゲーム数は解析値をもとに記載している。；大きな墓壙の場合は、天井の構造が複雑になり、羨道を伴うものもある。；柱と門は赤い花崗岩で作られており、天井の石は白い石灰岩であった。；戦後から高度経済成長までの期間、いわゆる国際収支の天井が存在した。；改修前には、天井の建材にアスベストが使われていることも問題となった。；奥の北壁には四神のうちの玄武が描かれ、天井には星辰が描かれている。；内部の廊下と部屋は磨き上げられた花崗岩の壁と天井を持っている。；チャンピオン決定の際には、天井から大量の紙吹雪が舞う演出があった。；客室内は天井・側面・妻面など白色系の化粧板で明るくまとめられている。；屋根の下にある天井部分は「天」と呼ばれ、雲や空が描かれていた。；この窟の天井の高いホールに入ると、奥にあるストゥーパが目に入る。；部屋のドアは溶接されているため天井からのブランコを使わないと出られない。；ネズミから逃げるためには電灯に上ったり、天井に張り付くこともある。；天井にギリシア神たるその名が刻み込まれた場所があるためである。；天井は板に紙貼り、床は廊下と広間をリノリウムとするほか板敷である。；LED式案内表示器は、客室端部に天井から吊るす形で設置されている。；さらに蒲団に入ると天井に向かってボールを投げて回転を確かめる。；力は線の両側に等しくかかり、その一方は天井に固定されている。</t>
        </is>
      </c>
      <c r="J5845">
        <f>HYPERLINK("https://www.weblio.jp/content/天井", "词义详情")</f>
        <v/>
      </c>
      <c r="K5845">
        <f>HYPERLINK("https://yourei.jp/天井", "查看例句")</f>
        <v/>
      </c>
    </row>
    <row r="5846">
      <c r="A5846" t="inlineStr">
        <is>
          <t>伝承</t>
        </is>
      </c>
      <c r="B5846" t="inlineStr">
        <is>
          <t>成功</t>
        </is>
      </c>
      <c r="C5846" t="inlineStr">
        <is>
          <t>読み方：でんしょう
［名］(スル)
１伝え聞くこと。人づてに聞くこと。
「浪士数百名島津泉州に就(つき)て暴挙の企あるの趣、疾くも—為(し)たりしかば」〈染崎延房・近世紀聞〉
２ある集団の中で、古くからあるしきたり・信仰・風習・言い伝えなどを受け継いで後世に伝えていくこと。また、そのようにして伝えられた事柄。「郷土芸能を—する」</t>
        </is>
      </c>
      <c r="D5846" t="inlineStr">
        <is>
          <t>伝承者(2%)；伝承される；伝承地；伝承せら；伝承文化</t>
        </is>
      </c>
      <c r="E5846" t="inlineStr">
        <is>
          <t>伝え；物語；継承；伝説；神話</t>
        </is>
      </c>
      <c r="F5846" t="inlineStr">
        <is>
          <t>神話伝承；こうした伝承；民俗伝承；口承伝承；古伝承</t>
        </is>
      </c>
      <c r="G5846" t="inlineStr">
        <is>
          <t>伝承文学；伝承筆者；伝承園；伝承歌劇団</t>
        </is>
      </c>
      <c r="H5846" t="n">
        <v>29</v>
      </c>
      <c r="I5846" t="inlineStr">
        <is>
          <t>埋葬地は明らかではないが、各地に伝承として残されているものがある。；また、この俗解が基になって更にさまざまな伝承を生じることになった。；これらは伝承や遺跡の解釈の問題でもあり、すぐには事実と認定できない。；地元の伝承ではラボックの一人当たりの教会の数では国内最大と言われる。；これは多数の伝承をまとめて一つの話にしたためとする説もある。；現代においてこのような伝承、古代の証言を支持するのは少数派である。；この立春のない年を盲年と呼び、結婚には不向きであるとの伝承がある。；海上での伝承が多いが、海のない地方でも河、湖、沼に現れたともいう。；このことは崇神天皇を初代天皇とする伝承がかつて存在したことを予想させる。；また、地方の神社や地方誌の中にも上記の文献群には見られない伝承を残している。；また、御産の後に鯉を食べると母乳がよく出ると言う伝承も見られる。；韓非が旧来の制度にしがみついている者を批判するのに使った伝承である。；戦国時代には狼煙として使われ、江戸時代に入ると各地で伝承されてきた。；既に年長大であり、夫はいない、弟がいて彼女を助けていたとの伝承がある。；群馬県側の永井宿の伝承では空海も巡錫の折に三国峠を訪れたとされる。；さまざまな地域に隕石のことを語ったと思われる伝承や記録が数多く残されている。；これはエジプト人自身が常に伝承してきたクフの矛盾した伝統を無視している。；しかしその一方では以下のような伝承も残されている。；またローマからスペインにまで伝道旅行をしたとの伝承もある。；ペルー太平洋岸の民族にはポリネシアとの交流を示唆する伝承が存在する。；詩法は口承文化においてテクストのよりよい伝承を確保する手段でもある。；説話は、広義には、古くより伝承されて来た話・物語一般を意味する。；この特徴は、他の地域に伝承され発展した仏教には見受けにくい。；諸伝承は大伝承との照合を受け、教会の教導権の指導のもと、伝えられる。；古来の伝承によれば、易の成立は以下のようなものであったという。；伝承によれば、福田寺は法皇の小倉殿を浄土宗寺院に改めたものという。；また古来からの伝承では平安時代から始まっていたとされている。；畿内では松や海をモチーフとした伝承が古くから広く知られていたと考えられている。；伝承によれば、神には二つの証明があり、これを通じて人間は神の意志を知る。</t>
        </is>
      </c>
      <c r="J5846">
        <f>HYPERLINK("https://www.weblio.jp/content/伝承", "词义详情")</f>
        <v/>
      </c>
      <c r="K5846">
        <f>HYPERLINK("https://yourei.jp/伝承", "查看例句")</f>
        <v/>
      </c>
    </row>
    <row r="5847">
      <c r="A5847" t="inlineStr">
        <is>
          <t>転職</t>
        </is>
      </c>
      <c r="B5847" t="inlineStr">
        <is>
          <t>成功</t>
        </is>
      </c>
      <c r="C5847" t="inlineStr">
        <is>
          <t>読み方：てんしょく
［名］(スル)他の職に変わること。「会社員が自営業に—する」</t>
        </is>
      </c>
      <c r="D5847" t="inlineStr">
        <is>
          <t>転職する(11%)；転職支援；転職先；転職後；転職できる</t>
        </is>
      </c>
      <c r="E5847" t="inlineStr">
        <is>
          <t>転身；鞍替え；転業；商売替え；トラバーユ</t>
        </is>
      </c>
      <c r="F5847" t="inlineStr">
        <is>
          <t>次転職；離転職；転職可能；転職システム；転職クエスト</t>
        </is>
      </c>
      <c r="G5847" t="inlineStr">
        <is>
          <t>転職エージェント；転職情報；転職サイト；転職情報サイト；転職会議</t>
        </is>
      </c>
      <c r="H5847" t="n">
        <v>29</v>
      </c>
      <c r="I5847" t="inlineStr">
        <is>
          <t>同一分野又は別分野の技能試験に合格した場合は転職が認められている。；武器には転職段階制限とキャラクターレベル制限が設けられている。；転職するとレベルが1に戻るが、前作とは違いステータスは低下しない。；本作の上級職への転職条件は特定のクエストをクリアすることとなった。；しかも転職先では、ムソルグスキーの音楽熱が寛大に扱われたのである。；最高レベルは45までであり、それ以降は上位職に転職する必要がある。；成長時に別のクラスへ転職する「クラスチェンジ」のルールが加わった。；告発者は業者に転職しているものの元外務省のノンキャリの出身だった。；帰国後は、本田技研工業に転職して、本社で法務の業務に従事していた。；キャラクターレベル20以上で特定の上級クラスから転職できるクラス。；本作では仲間モンスターも人間のキャラクターと同様、転職が可能である。；その後は一旦美容師の職に就いたが、結婚・出産後に声優への転職を決意。；転職した後カバンを使用できなくなる代わりにマドナグを武器とする。；このシーズン限りで現役を引退し、製紙会社のセールスマンに転職した。；また、地下4階にある特別な回復の泉では上級職に転職することができる。；IT産業から離れる現象は新卒だけではなく、転職市場でも起きている。；ジョブレベルが一定のレベルまで上昇すると一次職へと転職できるようになる。；ジョブレベルが一定のレベルまで上昇すると二次職へと転職できるようになる。；そうした習慣が癖となって、男の学校に転職した時、ひどく困った。；キャラクターレベル10以上で特定のメインクラスから転職できるクラス。；テーマ毎に、ある職業から別の職業に転職をした人をVTRで紹介。；前作『ドラゴンクエストVI』で採用された転職システムが継承された。；男の側は控訴せず、大型二種免許を取得してトラック運転手に転職した。；主に女性の就職・転職希望者を対象とした求人情報を掲載している。；転職とは異なり、初めてこれらの職業になる者の肉体には他職業の癖がついていない。；また、転職する職業は一長一短なので、無理に使わないという手もある。；リストラで不利な転職を余儀なくされていることも妻の佳菜子にバレる。；基本的なサブ職業であれば該当職をもつ大地人から転職用アイテム購入が可能。；自分探しと称して転職を繰り返すため色々な仕事・作業の経験はしている。</t>
        </is>
      </c>
      <c r="J5847">
        <f>HYPERLINK("https://www.weblio.jp/content/転職", "词义详情")</f>
        <v/>
      </c>
      <c r="K5847">
        <f>HYPERLINK("https://yourei.jp/転職", "查看例句")</f>
        <v/>
      </c>
    </row>
    <row r="5848">
      <c r="A5848" t="inlineStr">
        <is>
          <t>転じる</t>
        </is>
      </c>
      <c r="B5848" t="inlineStr">
        <is>
          <t>成功</t>
        </is>
      </c>
      <c r="C5848" t="inlineStr">
        <is>
          <t>読み方：てんじる
［動ザ上一］「てん（転）ずる」（サ変）の上一段化。「攻勢に—・じる」</t>
        </is>
      </c>
      <c r="D5848" t="inlineStr">
        <is>
          <t>転じるとともに華族</t>
        </is>
      </c>
      <c r="E5848" t="inlineStr">
        <is>
          <t>なる；進出；化する；動く；広がる</t>
        </is>
      </c>
      <c r="H5848" t="n">
        <v>29</v>
      </c>
      <c r="I5848" t="inlineStr">
        <is>
          <t>しかし各戦線ともすでに防衛のみの姿勢に転じざるを得なくなっていた。；また、ここから転じて中国全土や中国の主要民族を指す名称ともなった。；しかし場所が場所であり、元帥は話題を転じる必要を感じたようだった。；転じて、生物が住みやすいように環境を改変することを指すこともある。；転じて、様々な地域や団体を渡り歩く者を比喩する言葉ともなっている。；そこから転じて、2桁以上の数の全桁が同じ数字で構成されていること。；これ以後人口は減少に転じたが、21世紀に入って再び増加傾向にある。；転じて、北海道生まれの人や、北海道の事物にしばしば用いられる呼称。；本来の意味から転じて、何らかの物の勢いが最も盛んな時期のことを峠という。；転じて評判や人気などの意味にも用いられる場合があった。；転じて交通や通信を監視 / 管理する人及び装置のことを指す。；天皇の成人を機に摂政が関白に転じた確実な事例はこれが最初である。；西尾の小泉への評価は第二次訪朝あたりから批判的なものに転じた。；再び視線を転じるとそこには同じ弓道部に所属している神田川さんがいた。；湘南台延伸後は一旦減少に転じた時期があったが、再度増加に転じている。；また、そこから転じて、この日に行われる宗教行事を指す場合もある。；その後は外国人観光客の増加への対応など攻めの経営へと転じた。；これが転じて、池や築山のある日本庭園のことを島と呼ぶこともある。；美雨に視線を転じると、彼女はちょっと困ったような笑みを浮かべていた。；本来の意味から転じて、なんでもありの状態を、闇鍋と称することがある。；リズムとは本来音楽用語であるが、転じて様々な時間の動きを表すものを表す。；以上の意味より転じて、異性や趣味などの好みの範囲を指す場合にも使われる。；小河内沢は西へ向かっていくつかの沢を集めた後、南東へ向きを転じる。；第一次世界大戦が勃発した直後には参戦に反対していたが、まもなく参戦派に転じた。；その後わずかに減少に転じてはいるものの、なお高止まりしている。；目を転じると、通りを挟んだ反対側にも、似たような建物が連なっている。；変化する主人公と転じる場が主たる筋となって進んでいくわけです。；転じて、スポーツやビジネスの分野での世代交代を意味する言葉でもある。；近年は人口減少傾向にあったが、2013年から連続で増加に転じている。</t>
        </is>
      </c>
      <c r="J5848">
        <f>HYPERLINK("https://www.weblio.jp/content/転じる", "词义详情")</f>
        <v/>
      </c>
      <c r="K5848">
        <f>HYPERLINK("https://yourei.jp/転じる", "查看例句")</f>
        <v/>
      </c>
    </row>
    <row r="5849">
      <c r="A5849" t="inlineStr">
        <is>
          <t>電子レンジ</t>
        </is>
      </c>
      <c r="B5849" t="inlineStr">
        <is>
          <t>成功</t>
        </is>
      </c>
      <c r="C5849" t="inlineStr">
        <is>
          <t>読み方：でんしれんじ
マイクロ波によって分子が振動して発熱する現象を利用して、食品を短時間に加熱する調理器。</t>
        </is>
      </c>
      <c r="D5849" t="inlineStr">
        <is>
          <t>電子レンジ調理；電子レンジ用；電子レンジ加熱；電子レンジ機能；電子レンジで温めれ</t>
        </is>
      </c>
      <c r="H5849" t="n">
        <v>29</v>
      </c>
      <c r="I5849" t="inlineStr">
        <is>
          <t>やがて電子レンジとそっくり同じ音がしてエレベーターの扉が開いた。；視線は、電子レンジの表示パネルについている時計のところで止まった。；昔は電子レンジだって、どの家にもあるってわけじゃなかったんだよ。；台所には電子レンジが一つとシンクの中に汚れたままの皿が漬けられていた。；電子レンジのない世界がどんな世界なのか、うまく想像がつかないようだった。；また、気になる電子レンジ問題を解決してくれそうな商品のあることもわかった。；水を容器に注いで電子レンジで煮込んで調理することを可能にしたもの。；そのあと鶏肉を電子レンジで解凍していると、また電話のベルが鳴った。；実験では、電子レンジを使用するとその増加量をかなり抑えられる結果となった。；彼らの前に転がっていた電子レンジが、ちーんと甲高い音を一つ立てた。；カウンター内には電子レンジや冷蔵庫を備え、簡単な調理が可能である。；たとえば、君らは電子レンジを使うよね、冷蔵庫がなくちゃ困るよね。；なお破裂する恐れがあるため、電子レンジでの過熱は禁止されている。；電子レンジに、他の機能を付加した製品も多く登場してきている。；見ると小型の電子レンジが机の上に置かれ、その中で電球が光を発しているのだった。；単純な安全スイッチを騙せば、扉を開けたままでも電子レンジは作動する。；電子レンジは基本構造上、商用電源周波数にその能力や出力が影響されうる。；しかし、電子レンジに対応したレトルトパウチ食品が一般化している。；そうだこれは電子レンジの音だと彼が気づくのとほぼ同時に、すぐ目の前に炎が出現した。；それ以外のものは電子レンジ調理不可とパッケージに記載されている。；一方、電子レンジのお蔭でオーブントースターを置く場所がなくなった。；他にも電子レンジとラップを用いた方法など、調理方法は多様である。；それを電子レンジで空茄でにし、その間に明太子の皮をほぐしておく。；さらにのちには、箱に入れたまま電子レンジで温めることができる商品も開発されている。；私の台所との違いはガス・オーヴンがなく、そのかわりに電子レンジがあることだった。；原因は電子レンジの内部に、電気毛布が密航していたからであった。；チクワを電子レンジで焼いて、山葵漬をつけて食べようと言うのである。；電子レンジを使うんじゃなくて、ちゃんとミルクパンで温めたミルクだ。；冷凍のままでオーブンで焼くものと、電子レンジで解凍するものがある。</t>
        </is>
      </c>
      <c r="J5849">
        <f>HYPERLINK("https://www.weblio.jp/content/電子レンジ", "词义详情")</f>
        <v/>
      </c>
      <c r="K5849">
        <f>HYPERLINK("https://yourei.jp/電子レンジ", "查看例句")</f>
        <v/>
      </c>
    </row>
    <row r="5850">
      <c r="A5850" t="inlineStr">
        <is>
          <t>点数</t>
        </is>
      </c>
      <c r="B5850" t="inlineStr">
        <is>
          <t>成功</t>
        </is>
      </c>
      <c r="C5850" t="inlineStr">
        <is>
          <t>読み方：てんすう
１評点、または得点の数。「国語の—が悪い」
２品物の数。「出荷品の—を確かめる」</t>
        </is>
      </c>
      <c r="D5850" t="inlineStr">
        <is>
          <t>点数化；点数制；点数稼ぎ；点数補充；点数以上</t>
        </is>
      </c>
      <c r="E5850" t="inlineStr">
        <is>
          <t>等；位置；点；程度；評価</t>
        </is>
      </c>
      <c r="F5850" t="inlineStr">
        <is>
          <t>合計点数；出版点数；獲得点数；高い点数；貸出点数</t>
        </is>
      </c>
      <c r="G5850" t="inlineStr">
        <is>
          <t>点数制度；点数操作</t>
        </is>
      </c>
      <c r="H5850" t="n">
        <v>29</v>
      </c>
      <c r="I5850" t="inlineStr">
        <is>
          <t>制限時間が決められていて、その時間内に獲得できた点数が成績になる。；日本語がわかる人がいないために点数が辛くなったこともあったという。；この考えをさらに進めたのが1970年に発表された4群点数法である。；その作品点数の多さゆえに、自宅の床が抜けたというエピソードもある。；各面をクリアすると獲得した点数に応じて装備できる武器が増えていく。；実際に来た女性のカップ数で点数が定められており、その合計点を競う。；また点数制を導入したことなどから、内容の面でも飛躍的発展を遂げる。；点数は加盟店の一部又は全部の商品やサービスなどに付けられていた。；大三と小三の点数は、ここに書いてあるのとは逆になっていることが多い。；このゲームは制限時間内に出来るだけ多くの点数を獲得することが目的になる。；ゲーム終了時になるべく多くの点数を持つことがゲームの目的となる。；ただし、テストの点数など多い方がいい数字までも割引対象になりえる。；試験前にレポート提出が課せられ、試験点数に反映されるケースもある。；和了の際に他のプレイヤーが負担する点数は次のように決定される。；敵に技をヒットさせたときだけではなく、ガードさせたときにも点数が入る。；絵札は10点、それ以外のカードは表記されたランクと同じ点数である。；なお、前出の診断群分類番号は以下のような包括範囲点数となっている。；点数ではなく順位によるその評価法は、競技麻雀に新たな一面を開いた。；ワームの長さに応じた点数が与えられ、画面の左上に点数が表示される。；一部のボードには点数とは別に勝ったゲーム数を記録する場所があるものもある。；後者はマニュアル版では非常に複雑だった点数化を自動で行うことが可能である。；だが点数が思ったほど伸びなかったため、会場からブーイングが起こった。；ゲームの目的は色のついたボールを同じ色の穴に落とし点数を獲得することである。；他に、点数の表示色が赤から緑になるなど、目立たない修正があった。；また正答と一致した数値を記述した場合には2倍の点数の獲得となる。；損傷を受けたキャラクターは、その点数だけ一時的にVITが減少する。；だれかが15点以上になったらゲームを終了し、点数の多い者の勝ちになる。；料理を完成した時点で、それまでのミニゲームの点数に応じて評価が変わる。；これは同年の試験では足切り点数が緩和されたことが影響している。</t>
        </is>
      </c>
      <c r="J5850">
        <f>HYPERLINK("https://www.weblio.jp/content/点数", "词义详情")</f>
        <v/>
      </c>
      <c r="K5850">
        <f>HYPERLINK("https://yourei.jp/点数", "查看例句")</f>
        <v/>
      </c>
    </row>
    <row r="5851">
      <c r="A5851" t="inlineStr">
        <is>
          <t>点線</t>
        </is>
      </c>
      <c r="B5851" t="inlineStr">
        <is>
          <t>成功</t>
        </is>
      </c>
      <c r="C5851" t="inlineStr">
        <is>
          <t>読み方：てんせん
点を線状に連ねたもの。また、その線。</t>
        </is>
      </c>
      <c r="D5851" t="inlineStr">
        <is>
          <t>点線県道(3%)；点線状(3%)；点線部；点線ブロック</t>
        </is>
      </c>
      <c r="F5851" t="inlineStr">
        <is>
          <t>青い点線；白い点線；対点線；赤い点線</t>
        </is>
      </c>
      <c r="H5851" t="n">
        <v>29</v>
      </c>
      <c r="I5851" t="inlineStr">
        <is>
          <t>まるで点線のように、三行のダルマが同じ方向へいそいそと急いでいる。；点線で書かれているところを見ると、これも本当の子供じゃなく養子らしい。；闇の中に、銀の点線が無数に入り乱れて、茫とした明るみを作っていた。；鋏脚は左右が同じ大きさで、小さないぼ状突起が点線状にたくさん並ぶ。；ここまではとにかく地図の点線の道とほぼ一致した処をたどって来たに相違ないと思う。；点線は、線を表現するために一定間隔で点を表示したものである。；解円は2つの与えられた円と接するためには点線の円と交わらなくてはいけない。；点線で記された通りは、1793年から1846年にかけて設けられた。；スペルが間違っていると思われる単語の下に赤い点線が表示される。；体側には線状に赤い斑点が並ぶが、オスは点線状、メスが破線状である。；気になるのは、重一郎のとなりに並んだもう一本の点線だ。；片隅に黒い点線のように見えているものに向かってカメラは一気にズームアップした。；仙台市電の長町線はこの時は未開業で、予定路線として点線で示されている。；いまのところ、それは横軸に沿って切れ切れに続く点線でしかない。；点線ブロックはこちらの画面で実体化している時、相手の画面では点線になっている。；ところが日本は、かねてより噂されているように、のような点線の輪郭線をもつ民族である。；thumb| パラトープが見られる部分を点線の円で囲った抗体の図。；灰色点線の矢印経路にはJNKシグナル伝達の複数段階が介在している。；人混みの中から私の喉まで点線を描いて病原菌が飛んで来る経路が見えるような時がある。；軍服の胸から腰にかけての6対、肩の部分に3対の黒の点線がある。；受け座は花形で8弁、花弁は花形の透かしと点線彫で縁取りされている。；主役は下着一枚の裸の女、全身白塗りで身体のあちこちに灰色の点線が描かれていた。；つぎに、この短冊の文字面の右端側から、縦点線を山折り谷折りします。；実は紙の四隅が点線に仕切られて、単語が閉じ込められているのです。；祐巳はみんながそうしているように、紙を半分に折って点線部を爪でしごいて筋を入れた。；建設前である仙台市電の北仙台線は予定線として点線で記されている。；四 点線咬 肌の一部を全部の歯で咬んだものを〈点線咬〉という。；縦の点線はフレームの中心を示しているが、これは記譜法そのものには含まれない。；地図に三繋平から南へ尾根を絡んだ一条の点線で示してあるものが其路の上部と思われる。</t>
        </is>
      </c>
      <c r="J5851">
        <f>HYPERLINK("https://www.weblio.jp/content/点線", "词义详情")</f>
        <v/>
      </c>
      <c r="K5851">
        <f>HYPERLINK("https://yourei.jp/点線", "查看例句")</f>
        <v/>
      </c>
    </row>
    <row r="5852">
      <c r="A5852" t="inlineStr">
        <is>
          <t>電線</t>
        </is>
      </c>
      <c r="B5852" t="inlineStr">
        <is>
          <t>成功</t>
        </is>
      </c>
      <c r="C5852" t="inlineStr">
        <is>
          <t>読み方：でんせん
電気を導く金属線。電気を通しやすい銅が主に使われる。単線と縒(よ)り線、裸線と被覆線などがある。</t>
        </is>
      </c>
      <c r="D5852" t="inlineStr">
        <is>
          <t>電線類；電線製造；電線等；電線被覆；電線会社</t>
        </is>
      </c>
      <c r="E5852" t="inlineStr">
        <is>
          <t>線；ケーブル；回線；電話線；電纜</t>
        </is>
      </c>
      <c r="F5852" t="inlineStr">
        <is>
          <t>用電線；住友電線；太い電線；黒い電線；横浜電線</t>
        </is>
      </c>
      <c r="G5852" t="inlineStr">
        <is>
          <t>電線地中化；電線類地中化；電線管；電線共同溝；電線メーカー</t>
        </is>
      </c>
      <c r="H5852" t="n">
        <v>29</v>
      </c>
      <c r="I5852" t="inlineStr">
        <is>
          <t>そうすれば、電線が電気を伝えるように壁が声を伝える働きをするのだ。；地下室の方の電線はうまく隠してあるから、君なんかに気はつかないよ。；炉はもちろん消えてしまっておりますし、電線も全てやられております。；最初に出てきたのは小さな黒い箱といくつかの輪にした電線だった。；電気を食べて生きており、電線に取り付いて電気を吸収することがある。；健は或る日その男が運転するトラックで、草加の近くまで電線を運んだ。；昔は博多系岩山笠がでていたそうだが、電線の関係で今の直方系に至る。；その僅かな路の間も電線に注意したり、右側の簷の瓦に注意したりした。；外ではこの物語に誘われて、風や電線が長い悲しい唸り声を立てていた。；前の電線に雀がチユチユツと飛んで来て交んだかと思ふとパツと別れた。；従って街路樹が電線の高さを乗り超え得るように工夫してやるべきである。；電線と周囲との距離をとることで空気を絶縁体として利用することも多い。；道の両側の電線がなぜかいつまでも目の高さにあるような気がした。；フェライトコアに情報を記録し、中に通した電線で情報を読み書きした。；犯人は電話機を持ってにげたが、電線は、そのままにしておいたのです。；朝から書きつづけだったので、神経が古電線のように錆びついていた。；子機から親機に電波が飛んで、そこから細い電線で祥子さまのお宅まで。；この円盤には電線がついていて、それは小さな金属の箱につながれていた。；電柱の一番上の電線には、胸の白い小さな鳥たちが並んでとまっています。；電線関連製造事業に携わるおよそ約3万人の労働者で組織されている。；電線で数メートル、光ファイバーで数十メートルまで通信可能としている。；この器械の電線は耳の背後などに隠せば少しも目に立たぬそうである。；電線が高くなったり低くなったり、跳るようにして跡へ消えて行く。；映画の八つ墓村には電線がなかったが、私の八つ墓村には電線があった。；広い実験台の上に、互いに電線で結んだ黒い箱が幾つか乗っていた。；それにしても、その電線のもう一方の端はどこにあったのだろう?；小型電気製品に電力を供給する目的で用いられる電線をコードと呼ぶ。；ベッドに寝ている人形の頭と機械は電線でつながっている。；なんでも、あたしの部屋の電線工事にぐあいの悪いところがあるとかいって。</t>
        </is>
      </c>
      <c r="J5852">
        <f>HYPERLINK("https://www.weblio.jp/content/電線", "词义详情")</f>
        <v/>
      </c>
      <c r="K5852">
        <f>HYPERLINK("https://yourei.jp/電線", "查看例句")</f>
        <v/>
      </c>
    </row>
    <row r="5853">
      <c r="A5853" t="inlineStr">
        <is>
          <t>伝染</t>
        </is>
      </c>
      <c r="B5853" t="inlineStr">
        <is>
          <t>成功</t>
        </is>
      </c>
      <c r="C5853" t="inlineStr">
        <is>
          <t>読み方：でんせん
［名］(スル)
１病原体が他の生物体に入り、増殖して病気になること。感染。「はしかが—する」
２物事の状態・傾向などが他に移って同じような状態が起こること。「あくびが—する」</t>
        </is>
      </c>
      <c r="D5853" t="inlineStr">
        <is>
          <t>伝染病(48%)；伝染する(10%)；伝染性(8%)；伝染力；伝染源</t>
        </is>
      </c>
      <c r="E5853" t="inlineStr">
        <is>
          <t>普及；感染；流通；伝わる；浸透</t>
        </is>
      </c>
      <c r="F5853" t="inlineStr">
        <is>
          <t>接触伝染；にも伝染；伝染病菌；伝染病患；伝染性疾患</t>
        </is>
      </c>
      <c r="G5853" t="inlineStr">
        <is>
          <t>伝染性単核球症；伝染病；伝染病予防法；伝染性疾病；伝染性喉頭気管炎</t>
        </is>
      </c>
      <c r="H5853" t="n">
        <v>29</v>
      </c>
      <c r="I5853" t="inlineStr">
        <is>
          <t>つまり氏は自分の病気をそれらの人々に伝染させまいとされたのである。；最初に考えた例では病気は伝染性のものであろうし、次のは違うだろう。；この頃にはまだ瘴気と接触伝染源のあいだに伝統的な区別がされていた。；あの女中から伝染されたのだと思ったが、どうすることもできなかった。；殆ど言う必要は無いだろうが古代から伝染病は特別に注目されてきた。；伝染の形式とか流行発生の原因とか衰退の理由は何も知られていない。；それを知れば知るだけ伝染の広がるのを抑止する方法が有効になった。；伝染性の物質はこのように生きている小動物からなるのだろうか?；有性世代が形成される場合があり、生じる子嚢胞子も伝染源となりうる。；しかしペットが沢山いて、どれも襲われて伝染する恐怖が広がっている。；伝染性の病気であるいぼは非常によく暗示に反応することが知られている。；心理伝染とは範囲に限定されない噂やデマゴーグに影響された行動である。；皮膚感染症のうち最も表面に近い部分に起こるのが伝染性膿痂疹である。；医術に関しては伝染病の原因の発見が19世紀後半の特徴となっている。；社会基盤に打撃を与えるほどの被害を及ぼした伝染病は疫病と呼ばれる。；しかし、現在のところトコジラミが媒介する伝染病は確認されていない。；これは上に指摘した伝染様式によってのみ説明できると信じている。；これはHIVを含む多くの病気の伝染リスクが低いことを示している。；それらは感染した根を常食とすることでウイルスを獲得し、伝染させる。；彼はまた、ほとんどの伝染病は家畜の同様の病気から進化したと述べている。；こんどは町人のひとりが、三年まえ流行した伝染病の話をしだしました。；不幸にして腕に種えたと思ったのが、いつの間にか顔へ伝染していたのである。；貧民窟に住んでいるのはこの連中で、そこは犯罪と伝染病の巣でもあった。；水によって伝染した病例の数はどの地域も同じであるべきだった。；伝染病の蔓延を防ぐために到着した者の誰もが検疫所に収容された。；ある患者から他の患者への伝染の証拠が無かったからである。；従って彼の病気は伝染病の類ではなかったと考えられている。；もちろん、これはニワトリからニワトリへの伝染と考えることができた。；このため埋葬されない遺体が墓地に並べられ、伝染病が流行した。</t>
        </is>
      </c>
      <c r="J5853">
        <f>HYPERLINK("https://www.weblio.jp/content/伝染", "词义详情")</f>
        <v/>
      </c>
      <c r="K5853">
        <f>HYPERLINK("https://yourei.jp/伝染", "查看例句")</f>
        <v/>
      </c>
    </row>
    <row r="5854">
      <c r="A5854" t="inlineStr">
        <is>
          <t>転送</t>
        </is>
      </c>
      <c r="B5854" t="inlineStr">
        <is>
          <t>成功</t>
        </is>
      </c>
      <c r="C5854" t="inlineStr">
        <is>
          <t>読み方：てんそう
［名］(スル)
１送られてきたものを、さらに他へ送ること。「手紙を転居先へ—する」
２情報を他へ送ること。「電話回線を使ってデータを—する」</t>
        </is>
      </c>
      <c r="D5854" t="inlineStr">
        <is>
          <t>転送する(16%)；転送される(7%)；転送機(5%)；転送室(3%)；転送台(2%)</t>
        </is>
      </c>
      <c r="E5854" t="inlineStr">
        <is>
          <t>移転；伝える；渡す；伝達；移す</t>
        </is>
      </c>
      <c r="F5854" t="inlineStr">
        <is>
          <t>ビーム転送；転送ビーム；転送量；転送用；転送収容</t>
        </is>
      </c>
      <c r="G5854" t="inlineStr">
        <is>
          <t>転送速度；転送電話；転送作用素；転送不要</t>
        </is>
      </c>
      <c r="H5854" t="n">
        <v>29</v>
      </c>
      <c r="I5854" t="inlineStr">
        <is>
          <t>GREなどで転送された通信を管理されたハニーポットで集め監視する。；従って、通信路容量を超えて意味のある情報を転送することはできない。；パラレルATAはその長い歴史を反映して数々の転送モードが存在する。；ブロックの先頭から転送を要求した場合、順番に転送されるだけである。；転送元と転送先の中間に位置し、データ内容の一部とその参照を保持する。；このようなプロトコルパケットはその他のネットワークに転送されない。；言語の研究者たちはDurazzoが転送されたのではないかと示唆している。；これは、信頼できる転送機構を提供することを第一目的としている。；これで商品を注文すると、たちまち商品が転送されて手元に出現する。；さらにはそうした情報を別のサイトに転送する事も可能である。；そのような形式のデータをHTTP、FTPなど適当な転送機構で送る。；これらのプロトコルは転送されるデータが秘匿されていることを保証する。；そのため、最大転送時間を考慮したネットワーク設計が重要となる。；転送された先は、これまで探索してきた場所とは異なるようだった。；転送リングで脱出した者などが生き残ったがその数はわずか6名であった。；データの転送にはBを押すだけと、操作法も非常に簡単になっている。；これは大量のデータを転送する際には大きな障害となりうる。；転送は情報やデータを表す電気信号などその形式を変えずにそのまま移動する。；二次的な仕様ではあるが音声信号や汎用データの転送も可能である。；これらは受信側が文字の転送の開始と終了を検出するのに使われる。；OSCは様々なプロトコル上で転送可能だが、一般にUDPが使われる。；暗号化するため転送に時間がかかりやすく、転送ソフトの負荷が大きい。；しかし、未完の装置であるために失敗、異なる時代に転送してしまう。；テキストのみの電話回線等の経路を使って転送する目的で開発された。；各ストリームは通例先勝ちで非同期に転送されるパケットに分割される。；パソコンやスマートフォンと接続してデータを転送できるものもある。；ビデオ転送をサポートした以外は前バージョンと見た目はほとんど変わっていない。；ESB は標準ベースで柔軟であり、各種転送媒体をサポートしている。；そうすることで、その値がサービスとクライアント間で転送される。</t>
        </is>
      </c>
      <c r="J5854">
        <f>HYPERLINK("https://www.weblio.jp/content/転送", "词义详情")</f>
        <v/>
      </c>
      <c r="K5854">
        <f>HYPERLINK("https://yourei.jp/転送", "查看例句")</f>
        <v/>
      </c>
    </row>
    <row r="5855">
      <c r="A5855" t="inlineStr">
        <is>
          <t>天体</t>
        </is>
      </c>
      <c r="B5855" t="inlineStr">
        <is>
          <t>成功</t>
        </is>
      </c>
      <c r="C5855" t="inlineStr">
        <is>
          <t>読み方：てんたい
太陽・恒星・惑星・衛星・彗星(すいせい)・星団・星雲など、宇宙に存在する物体の総称。</t>
        </is>
      </c>
      <c r="D5855" t="inlineStr">
        <is>
          <t>天体図；天体発見；天体物理；天体群；天体同士</t>
        </is>
      </c>
      <c r="F5855" t="inlineStr">
        <is>
          <t>大きな天体；小さな天体；候補天体；暗い天体；新天体</t>
        </is>
      </c>
      <c r="G5855" t="inlineStr">
        <is>
          <t>天体望遠鏡；天体物理学；天体力学；天体写真；天体物理学者</t>
        </is>
      </c>
      <c r="H5855" t="n">
        <v>29</v>
      </c>
      <c r="I5855" t="inlineStr">
        <is>
          <t>最も単純な方法は、観測できた天体の等高度円を地球上に描くことである。；天体物理現象を研究するのに必要な装置や手法には様々なものがある。；これは1916年の作曲当時にはこの天体は未発見だったためである。；このような天体では原子や電子が非常に高いエネルギーを持っている。；こうした比だけからは天体までの具体的な距離を知ることはできない。；はじめ小天体とのニアミスが一度あったことを除けば飛行は順調に進む。；試験プログラムが終了に近づいた頃、地球では接近する小天体が話題となる。；これらの法則は、天体の運行などの観測結果をよく説明することができた。；これらは恒星のような天体でありながら人体と同程度の温度を持っている。；クランクを回転させると機構が太陽、月やその他の天体の位置を計算する。；この速度は銀河系の内部に属する他のどんな天体よりも速いものであった。；プトレマイオスは地球の運動を他の天体の運動と分離したのである。；中性子星とは、質量の大きな恒星が進化した最晩年の天体の一種である。；非常に珍しい軌道を持ついくつかの天体は黄色で示されている。；クレメントはジョージ・リチャードの名で天体などの絵画も描いていた。；地球以外の天体に生物が発見された事例は記録されていない。；林忠四郎が教授を務める天体核研究室に入り星の進化の研究に従事。；これはペガスス座51番星が太陽と比べて大きな天体であることを意味する。；このスペクトル型の範囲内にある天体は分類分けを行うのが難しい。；たとえば異なる天体の表面重力を比較する際には注意が必要である。；星野光は銀河系内の天体が主な源であるため、天の川の近くで強くなる。；木星へは、地球以上に多くの天体が衝突していると考えられている。；中心の天体は典型的には恒星であり、この場合は星周円盤とも呼ばれる。；ロッシュ限界の内側では小天体は成長せず、入ってきた天体は破壊される。；占星術で最も頻繁に言及される天体は月であり、大半を占めている。；太歳とは天球上で木星の線対称点に存在するとされた架空の天体である。；このような天体は、発見当時の惑星形成理論では説明がつかない異常な惑星であった。；ハウメアは、外縁天体で最初に発見された族の中で最大の天体である。；ある天体の絶対等級が低くなればなるほど、その天体の輝度は高くなる。</t>
        </is>
      </c>
      <c r="J5855">
        <f>HYPERLINK("https://www.weblio.jp/content/天体", "词义详情")</f>
        <v/>
      </c>
      <c r="K5855">
        <f>HYPERLINK("https://yourei.jp/天体", "查看例句")</f>
        <v/>
      </c>
    </row>
    <row r="5856">
      <c r="A5856" t="inlineStr">
        <is>
          <t>電卓</t>
        </is>
      </c>
      <c r="B5856" t="inlineStr">
        <is>
          <t>成功</t>
        </is>
      </c>
      <c r="C5856" t="inlineStr">
        <is>
          <t>読み方：でんたく
《「電子式卓上計算機」の略》集積回路を使い、四則計算などを行う小型の計算機。</t>
        </is>
      </c>
      <c r="D5856" t="inlineStr">
        <is>
          <t>電卓用(2%)；電卓市場；電卓メーカー；電卓型；電卓機能</t>
        </is>
      </c>
      <c r="E5856" t="inlineStr">
        <is>
          <t>計算器</t>
        </is>
      </c>
      <c r="F5856" t="inlineStr">
        <is>
          <t>hp社電卓；金融電卓；用電卓；普通電卓；可能な電卓</t>
        </is>
      </c>
      <c r="G5856" t="inlineStr">
        <is>
          <t>電卓付き腕時計</t>
        </is>
      </c>
      <c r="H5856" t="n">
        <v>29</v>
      </c>
      <c r="I5856" t="inlineStr">
        <is>
          <t>どちらの電卓もプログラミングユニットで制御できるようになっていた。；私は、涼子が手に小さな電卓みたいなものを持っていることに気づいた。；二人がホームに到着したときにちょうど、停車した電卓の扉が開いた。；この機能は特定の時間の間、電卓の各種機能を選択的に使用不可能にする。；その後、性能の向上とともに電卓以外の用途も想定されるようになった。；販売面では成功したとは言えず、同様の電卓は他社からも登場しなかった。；ラジオだけでなくテレビや電卓など、総合家電メーカーへの道へと進む。；この方法は電卓なしでもできるほど単純であるが、問題がないわけではない。；マシンは成功したが、電卓のような小さなキーボードには不満が集中した。；さらには近年、オペレーティングシステムを持つ電卓も販売されている。；この電卓のプログラムのための説明書は非常に完全なものであった。；一方、日本では質問に答えるだけで計算できる金融電卓が主流である。；HP-35 は一連の似たような形状の電卓製品群の最初の製品となった。；教育向けに開発され、HP社の電卓の特徴であるRPNを搭載していない。；各フラグはこの電卓の動作を決定するためにユーザーによって設定される。；上の例では電卓のようにその場で値を求めることはできる。；店の奥で四十歳ぐらいの女性が、立ったまま電卓を叩いていた。；私はたまに、電卓で、その日から過ぎた時間を数えてみることがある。；エレクトロニカの電卓は多様な大きさと機能のものが製造された。；大量の事務計算を素早く正確に行うことを目的とした電卓であった。；初期のマイクロプロセッサは、主に電卓などに使われることを意図していた。；試験ではプログラム機能のない電卓を使用することができる。；このARM搭載電卓は限定的ではあるものの科学技術関数を搭載している。；この形にすれば、ほとんどの人は電卓等を使わなくても簡単に解くことができる。；HP 49Gは本体に伝統的な色を採用しなかった初のHP社の電卓である。；本機の開発にあたり採用したチップは電卓で使われているものだった。；そして、電卓を叩きながら、ひと月かけて一区間の必要時間を出した。；大きな一般電卓からより小型の学校向けに特化した独特の操作の機種まであった。；こうなると日本国内では、電卓はブラックボックス化してしまったと言える。</t>
        </is>
      </c>
      <c r="J5856">
        <f>HYPERLINK("https://www.weblio.jp/content/電卓", "词义详情")</f>
        <v/>
      </c>
      <c r="K5856">
        <f>HYPERLINK("https://yourei.jp/電卓", "查看例句")</f>
        <v/>
      </c>
    </row>
    <row r="5857">
      <c r="A5857" t="inlineStr">
        <is>
          <t>伝達</t>
        </is>
      </c>
      <c r="B5857" t="inlineStr">
        <is>
          <t>成功</t>
        </is>
      </c>
      <c r="C5857" t="inlineStr">
        <is>
          <t>読み方：でんたつ
［名］(スル)
１命令・意思・情報などを口頭または書類で相手に伝えること。「決定事項を—する」
２生物学で、神経線維の興奮がシナプスを介してニューロン（神経細胞）または筋肉・分泌腺などに伝えられること。興奮伝達。</t>
        </is>
      </c>
      <c r="D5857" t="inlineStr">
        <is>
          <t>伝達する(19%)；伝達される(7%)；伝達手段；伝達できる；伝達効率</t>
        </is>
      </c>
      <c r="E5857" t="inlineStr">
        <is>
          <t>発表；連絡；案内；移転；宣言</t>
        </is>
      </c>
      <c r="F5857" t="inlineStr">
        <is>
          <t>動力伝達；神経伝達；電子伝達；信号伝達；意思伝達</t>
        </is>
      </c>
      <c r="G5857" t="inlineStr">
        <is>
          <t>伝達式；伝達軸；伝達媒体；伝達性海綿状脳症；伝達情報量</t>
        </is>
      </c>
      <c r="H5857" t="n">
        <v>29</v>
      </c>
      <c r="I5857" t="inlineStr">
        <is>
          <t>これはメッセージをあちこちに素早く伝達するために重要な役割をする。；そのため点字だけではなく音声案内など他の情報伝達手段も重要である。；しかし、この技術を超光速の情報伝達のために使うことは不可能である。；彼等の果たす主要な役割は、神から人間へのメッセージの伝達である。；また発射管への情報伝達は伝声管をやめ、電話が使われるようになった。；男性は、問題解決を目的とした機能的な情報伝達を上から下へ行っている。；ゾウの足の裏は非常に繊細であり、そこからの刺激が耳まで伝達される。；言葉・言語を伝達し記録するために線や点を使って形作られた記号のこと。；その意味で、いわゆる臭いによる情報伝達とはまた異なったものである。；言語はこういった情報伝達形式の一つである限りで研究される。；インターネットのグローバル性を利用して外国人への情報伝達に利用される。；これによって命令の迅速な伝達と確実な理解を期待することができた。；ただ幼い竜は話すのが苦手なので、心言で相手へ意思を伝達をする。；例えば、言語の助けなしには記念碑や彫像は自身の持つ意味を伝達できない。；さらに、感情を表し、個体間の情報伝達のために尻尾が使われる例も多い。；このような電子の伝達やATPの産生にはプロトンポンプが用いられる。；社会を形成する上で、そこには一定の情報伝達の必要性が出てくる。；動力機構で発生させた動力を車輪に伝達する機構は様々なものがある。；観察結果を分析し伝達するため、どちらも数学や分類基準を使う。；表現の自由には思想の表明のみならず事実の伝達の自由をも含む。；秘密が外に漏れるのを防ぐためメンバー間の伝達手段が巧妙化した。；この星では文字や言葉は発達せず、離れた場所にいる人への意思の伝達に音楽が使われていた。；大気中には蒸気が含まれているが、これは音の伝達にはほとんど関与しない。；テレビ・ラジオなどの番組をその地域以外で放送する場合には、伝達手段が必要となる。；短期間で様々な層のターゲットに伝達することができるCM方式とされる。；視神経の伝達誤差を利用したもので、立体感の感じ方には個人差がある。；細胞の遺伝情報の保存と伝達を行い、ほぼすべての細胞に存在する。；振動を伝達する物体として何を採用するかで、音の聞こえ方が違ってくる。；日常的に人間は複数の非言語的手がかりを使いメッセージを伝達しあっている。</t>
        </is>
      </c>
      <c r="J5857">
        <f>HYPERLINK("https://www.weblio.jp/content/伝達", "词义详情")</f>
        <v/>
      </c>
      <c r="K5857">
        <f>HYPERLINK("https://yourei.jp/伝達", "查看例句")</f>
        <v/>
      </c>
    </row>
    <row r="5858">
      <c r="A5858" t="inlineStr">
        <is>
          <t>天地</t>
        </is>
      </c>
      <c r="B5858" t="inlineStr">
        <is>
          <t>成功</t>
        </is>
      </c>
      <c r="C5858" t="inlineStr">
        <is>
          <t>読み方：あめつち
１天と地。全世界。てんち。
「—は広しといへど、我(あ)がためは狭(さ)くやなりぬる」〈万・八九二〉
２天地の神々。
「いざ子ども狂(たは)わざなせそ—の堅めし国そ大和島根は」〈万・四四八七〉</t>
        </is>
      </c>
      <c r="D5858" t="inlineStr">
        <is>
          <t>天地間；天地自然；天地寸法；天地方向；天地戦争</t>
        </is>
      </c>
      <c r="E5858" t="inlineStr">
        <is>
          <t>分野；球；万物；コスモス；コスモ</t>
        </is>
      </c>
      <c r="F5858" t="inlineStr">
        <is>
          <t>新しい天地；たる天地；広い天地；狭い天地；広大な天地</t>
        </is>
      </c>
      <c r="G5858" t="inlineStr">
        <is>
          <t>天地開闢；天地人；天地会；天地真理；天地万物</t>
        </is>
      </c>
      <c r="H5858" t="n">
        <v>29</v>
      </c>
      <c r="I5858" t="inlineStr">
        <is>
          <t>天地開闢とは天地に代表される世界が初めて生まれたときのことを示す。；側面窓は従来車に比べて天地方向に大幅に拡大され、高さ1mとなった。；またどの番組も、天地の相手役となる人形キャラクターを用意していた。；天地と自分と一枚の肉体となって、そこに金剛不壊の自己を打ち樹てる。；また、都市の名前は全て1000年前の天地戦争時代と同じものである。；僕は君から完全に解放されて、自由の天地に大きな呼吸を吐きたいんだ。；血腥い噂が天地をこめて人の心を狂わせるのが戦国時代の有様であった。；本作では天地など地球出身者以外の人物に名字が設定されていない。；人に器非器を假に別つが如く天地宇宙に器と非器とを別つことは奇に過ぎる。；客用ドアが1000形と同じものに変更され、窓の天地寸法が拡大された。；今日は天地の間に何かよろこびのやうなものを見ることが出来た。；不幸にして軍が敗れたとはいえ、その誠の心は天地にただして疑いは一切ない。；この手には天地の必然のみあって、人間の学問の勝負はありません。；ある日、あいの元に天地操の夫が亡くなったと友人から電話が入る。；第一の一書によれば、天地に生成されたものの形は不明である。；この天地が不朽だとするその理由がまたよほど特別なものである。；欧羅巴の天地は夜に入れり、これにて一時の休戦を許されたる形なり。；その日もバイトに明け暮れる天地のために弁当を差し入れに行っていた。；カンヴァスの上だけの自由は普通人の夢にも与えられていない天地なのである。；この神は天地の主ですから、手で造った神殿などにはお住みになりません。；現在は主に天地戦争時代の遺跡やモンスターの体内から発見・採取される。；天地戦争時代に有機体とレンズを結合させる研究の一部として開発された。；天地戦争時代と性格や口調が変わっているらしく、ディムロスに指摘された。；ここばかりが自分の天地でないことは、重太郎も流石に知らぬでは無かった。；これが彼女が天地の間でははじめて見た笑いであった。；また、2004年には天地寸法が若干広いものに再度交換されている。；暗い夜の天地は、さながら雨と風と草木との戦場のように思われた。；悠久なる天地の間にいかに自己が小なものかということを強く強く考えて見たまえ。；拘束のない自由の天地を喜ぶ人は広い詩壇にはいるのがよいではありませんか。</t>
        </is>
      </c>
      <c r="J5858">
        <f>HYPERLINK("https://www.weblio.jp/content/天地", "词义详情")</f>
        <v/>
      </c>
      <c r="K5858">
        <f>HYPERLINK("https://yourei.jp/天地", "查看例句")</f>
        <v/>
      </c>
    </row>
    <row r="5859">
      <c r="A5859" t="inlineStr">
        <is>
          <t>電池</t>
        </is>
      </c>
      <c r="B5859" t="inlineStr">
        <is>
          <t>成功</t>
        </is>
      </c>
      <c r="C5859" t="inlineStr">
        <is>
          <t>読み方：でんち
物質の化学反応または物理反応によって放出されるエネルギーを電気エネルギーに変換する装置。ふつうは化学電池をさし、充電できない一次電池、充電できる二次電池、燃料電池などがある。物理電池には光電池・太陽電池などがある。</t>
        </is>
      </c>
      <c r="D5859" t="inlineStr">
        <is>
          <t>電池式(4%)；電池交換(3%)；電池残量；電池ボックス；電池メーカー</t>
        </is>
      </c>
      <c r="E5859" t="inlineStr">
        <is>
          <t>細胞；バッテリー；セル；蓄電池；乾電池</t>
        </is>
      </c>
      <c r="F5859" t="inlineStr">
        <is>
          <t>内蔵電池；水素燃料電池；新しい電池；型電池；電池技術</t>
        </is>
      </c>
      <c r="G5859" t="inlineStr">
        <is>
          <t>電池自動車；電池切れ；電池板；電池が切れるまで；電池工業会</t>
        </is>
      </c>
      <c r="H5859" t="n">
        <v>29</v>
      </c>
      <c r="I5859" t="inlineStr">
        <is>
          <t>色のついた岩を破壊すると出てくる電池はロボットを一時的に強化する。；電池式のものは古くは夜間のスポーツ目的に装備されることが多かった。；最も知られた功績はダニエルの電池を1836年に発明したことである。；電池の充電は燃料の給油と比較して長い時間がかかることも欠点である。；その後、電池式のものが主流になり、次いでクオーツ式のものが増えた。；標準となった電池は電流がそこから流れない方法で適応される必要がある。；標準電池は電流がそこから出ないような方法で適応されなければならない。；迅速な電池交換を簡単にできるように車両と電池の両方が改造された。；この現象は電池内部に電気抵抗 rが存在すると仮定すれば説明出来る。；電池ではギブズエネルギー変化が負の値を取る向きに起電力が発生する。；ソニーは電池事業に進出を計画していたが、そのノウハウが不足していた。；これにより、待受け・通信時ともに電池はより長持ちするとされていた。；最初の月の夜に電池の損傷が起こり、その後通信は散発的になった。；後に、この電池と同じ化学反応を用いて乾電池が製造されるようになった。；効率の向上によりCIGSは代替電池材料の中で確立した技術となった。；電池が切れてもゲームの起動は可能だが、設定を変更できなくなる。；一定の通風速度が必要なので、電池・ぜんまいの切れに注意が必要である。；いかなる電池を充電する場合でも保護めがねを着用することが望ましい。；電池の性能がヨーヨーの回転数に影響するので電池の選定が重要である。；さらに、ゼニスの営業担当者は電池を必要としないリモコンを要求した。；電池は製造中および廃棄時に汚染を発生させるが、これを回避できる。；電池を交換してリセットしたときは最初に自動で強制受信を開始する。；積層電池は高電圧を得るために内部で複数の電池が直列に接続されている。；この機能がないと、電池を入れ替えたときなどにプログラムが消えてしまう。；しかし、各内部電池は非常に小型のもので容量は小さいものが多い。；ボルタはガルヴァーニの実験からさらに研究を進めて電池を発明した。；電池の内部抵抗は一般に大きなサイズのものほど小さいと考えてよい。；当時は加入者宅を巡回して電池交換が必要かどうかをチェックする職業もあった。；「甲標的」で電池爆発が発生し、八巻は負傷、松本が死亡したのである。</t>
        </is>
      </c>
      <c r="J5859">
        <f>HYPERLINK("https://www.weblio.jp/content/電池", "词义详情")</f>
        <v/>
      </c>
      <c r="K5859">
        <f>HYPERLINK("https://yourei.jp/電池", "查看例句")</f>
        <v/>
      </c>
    </row>
    <row r="5860">
      <c r="A5860" t="inlineStr">
        <is>
          <t>電柱</t>
        </is>
      </c>
      <c r="B5860" t="inlineStr">
        <is>
          <t>成功</t>
        </is>
      </c>
      <c r="C5860" t="inlineStr">
        <is>
          <t>読み方：でんちゅう
空中に張った電線を支えるための柱。電信柱。</t>
        </is>
      </c>
      <c r="D5860" t="inlineStr">
        <is>
          <t>電柱組；電柱や信号標；電柱共用；電柱巣</t>
        </is>
      </c>
      <c r="E5860" t="inlineStr">
        <is>
          <t>電信柱</t>
        </is>
      </c>
      <c r="F5860" t="inlineStr">
        <is>
          <t>無電柱；太い電柱</t>
        </is>
      </c>
      <c r="G5860" t="inlineStr">
        <is>
          <t>電柱地中化；電柱棒；電柱敷地料</t>
        </is>
      </c>
      <c r="H5860" t="n">
        <v>29</v>
      </c>
      <c r="I5860" t="inlineStr">
        <is>
          <t>道の途中でサンドイッチの具になった女が電柱に隠れかけて、中止した。；東京みたいに電柱が立っていて、所番地が表示してあるわけじゃないわ。；伏見は昔、電柱の陰に隠れて僕が妹に殴られるのを遠くから眺めていた。；ビルや電柱のあちこちに諺文が見られるが、それを読むことができない。；もっとも適当な位置にあると当たりをつけて、この電柱に登ったのである。；あわてて行ってみると、日本軍の通信隊が電柱を一本立てていったのだった。；家やら小さなビルやら電柱やら看板が四角い窓の中をびゅんびゅん通る。；また後者は電柱所有者と道路管理者の使用許可を得なければならない。；特に背景では精密度の高い電柱の作画で業界とファンたちの注目を集めた。；フェブラリーは電柱の上で誰にも邪魔されずに黙々と食事をしていた。；電柱に繋がれて飼い主を待つ犬も、寒さに身をすくめているようだった。；ふと、雄吉は停留所の電柱の時計を見ると、ちょうど三時を示していた。；明夫はそばのコンクリートの電柱の陰に立って、マンションを見上げた。；電柱の陰にも、向こう側の路地の中にも、人の隠れている様子はなかった。；本体である建物モデルに人形や電柱などの小物のモデルが付属する。；しかし崖に樹った電柱の処で崩壊の伝播が喰い止められているように見える。；電柱の一番上の電線には、胸の白い小さな鳥たちが並んでとまっています。；橙色の電燈の灯った電柱の根本に、制服を着た少女がへたり込んでいた。；つまりリンゴの木よりすこし大きいくらいで、電柱までいかない高さです。；彼はいつも区役所通りの下総屋の前の電柱の根ッこにあぐらをかいてゐた。；そうして、日本は、機械と煙突それに電柱の影を見て驚いたのである。；何で電柱の上なんかにとぼやきながらも素早く下り、適当な線を探した。；その夜のこと、或るさびしい町の電柱の下に、一人の紳士が、倒れていた。；なぜか、店の女たちが電柱のしたに立つおれをまっ先に見るのが不思議だった。；今のところ、僕は電柱や小鳥と差のない風景に扱われているらしい。；いつか見た街灯の下までくると、電柱の下に立ってそれを見上げた。；駅はホームといえる代物は何もなく電柱が目印となっていたという。；設置が必要な場所に電柱が存在する場合はその電柱に取り付けられることがある。；奇妙なことに電柱のほとんどは高さが一米ぐらいで、とても低い。</t>
        </is>
      </c>
      <c r="J5860">
        <f>HYPERLINK("https://www.weblio.jp/content/電柱", "词义详情")</f>
        <v/>
      </c>
      <c r="K5860">
        <f>HYPERLINK("https://yourei.jp/電柱", "查看例句")</f>
        <v/>
      </c>
    </row>
    <row r="5861">
      <c r="A5861" t="inlineStr">
        <is>
          <t>てんで</t>
        </is>
      </c>
      <c r="B5861" t="inlineStr">
        <is>
          <t>成功</t>
        </is>
      </c>
      <c r="C5861" t="inlineStr">
        <is>
          <t>［副］
１（打消しの表現や否定的な意味をもつ語を伴って）まるっきり。まったく。てんから。「—相手にしてくれない」「—やる気がない」「—だめだ」
２（打消しの表現を伴わないで）非常に。とても。「この店の料理は—うまい」</t>
        </is>
      </c>
      <c r="D5861" t="inlineStr">
        <is>
          <t>てんでわからない；てんで受けつけ；てんでバラバラ；てんで分ら；てんでそんな</t>
        </is>
      </c>
      <c r="F5861" t="inlineStr">
        <is>
          <t>なんかてんで；てんで間抜けなズボラ；てんで聞こ；てんで解ら；てんでわかり</t>
        </is>
      </c>
      <c r="G5861" t="inlineStr">
        <is>
          <t>てんでんばらばら；てんでん</t>
        </is>
      </c>
      <c r="H5861" t="n">
        <v>29</v>
      </c>
      <c r="I5861" t="inlineStr">
        <is>
          <t>なにかせずにはおれないが、夫はてんで力にも相談にも乗ってくれない。；皆が、てんでばらばらに好き勝手なことをしているだけのようなのです。；君たちがなぜ死者の世界のことなんか考えたのか、てんでわからないね。；けれども村の人たちはてんでこちらをふり向いて見ようともしなかった。；病氣になつたり死んだりするものはてんでないやうになつてしまうた。；ざっくばらんに言うが、事件はまだわれわれにはてんでわかっていない。；夜を徹して机に向っていることはできても、肉体労働はてんでできない。；中等学校で習ふ英語がてんでなんの役にも立たぬとおなじだからである。；しかし、ぶとのいったような世間は、てんで見えなかったのであります。；ともかくわたしのほうは、そんなものはてんで当てにしてはいなかった。；大なり小なりおんなじのが数万からいて、行動も意志もてんでばらばら。；追いついた連中、ふうふう呼吸をしててんでで女のからだに手を掛けた。；この懐疑的な人物は、てんで花のいうことを信用していなかったのだ。；おれはお前の作品なんか、てんで問題にしていやしないのだからな。；お世辞でもいいからはげましてくれたらいいのに、てんで気がつかない。；主任も警官も、昼間の手紙のことなんかてんで問題にしていないのです。；私の考えでは、あの人はてんでここへ寄りつきもしまいと思いますわ。；こういう昔ふうな年の数え方は今ではてんで相手にしない人が多い。；「てんでわからない」 やけのように首を振り、彼はそこへ横になった。；家の中に人気の音、あるいは声、そんなものがてんで感じられません。；私はてんでそういうことを考えもせず、それを見すごしておりました。；君は日本人がどんな国民であるか、てんで知っていないじゃないか。；わしは、これまで商ばいをしたこともないし、てんであてがつかないよ。；私には、あの方が何故お怒りになったのか、てんで見当がつかないんですの。；いったいどうしてそんな妄想が起きたのか、私にはてんで判らなかった。；てんでの姿で仮装行列のようだったというが、笑うものとてなかった。；人生はぼくたちを完全なものにしようだなんて、てんで考えてやしなかったんだ。；何が何やら、もう私は女の言う事は、てんで信用しない事にしました。；私の眼の前にいる人も亦私の想像した人とはてんで違っていた。</t>
        </is>
      </c>
      <c r="J5861">
        <f>HYPERLINK("https://www.weblio.jp/content/てんで", "词义详情")</f>
        <v/>
      </c>
      <c r="K5861">
        <f>HYPERLINK("https://yourei.jp/てんで", "查看例句")</f>
        <v/>
      </c>
    </row>
    <row r="5862">
      <c r="A5862" t="inlineStr">
        <is>
          <t>点々</t>
        </is>
      </c>
      <c r="B5862" t="inlineStr">
        <is>
          <t>成功</t>
        </is>
      </c>
      <c r="C5862" t="inlineStr">
        <is>
          <t>読み方：てんてん
［名］(スル)
１複数の点をいう語。「—を打つ」
２点線。
３あちこちに点在していること。
「其間此処彼処に無数の山百合の—したるは」〈蘆花・自然と人生〉
［ト・タル］［文］［形動タリ］
１あちこちに散らばってあるさま。また、途切れながら続いているさま。「町の明かりが—と見える」「足跡が—と続く」
「—たる星の空の下に」〈長与・青銅の基督〉
２しずくがしたたりおちるさま。「—としたたる血」</t>
        </is>
      </c>
      <c r="D5862" t="inlineStr">
        <is>
          <t>点々とつい；点々と赤い；点々と白い；点々と黒い；点々と浮かん</t>
        </is>
      </c>
      <c r="E5862" t="inlineStr">
        <is>
          <t>スポット；斑；斑点；斑紋；まだら</t>
        </is>
      </c>
      <c r="F5862" t="inlineStr">
        <is>
          <t>黒い点々；赤い点々；白い点々</t>
        </is>
      </c>
      <c r="H5862" t="n">
        <v>29</v>
      </c>
      <c r="I5862" t="inlineStr">
        <is>
          <t>すると、遠い丘の上に、点々と白い子供たちの浮かんでいるのが見えた。；なるほどどの葉にも、いままで見たことのない赤い点々がついていました。；小さな建物が点々と見えてきて、やがて港の周囲の集落の中に入った。；そこからでさえ、さらに西や南に、点々と黄色の幟を望むことができた。；その灯のほうへすべって行くと、前方の空に星が点々とちらばっていた。；扉の前のコンクリートから地面へかけて、真白なものが点々としていた。；敷物もない松板の床のうえに、点々と血の足跡が見えてきたからである。；顔はべったりと血に汚れ、シャツにも点々と黒ずんだ血のあとが見えた。；マップに点々と置かれ、それぞれで異なるアイテムを作ることができる。；床には飲みかけのボトルが置き去られ、蝋燭の燃え跡が点々としていた。；そこに奇妙なものが、点々と落ちていることに気づいたからだった。；これを広い地域へそこここと一本一本分散して点々と栽えたのではダメだ。；君はこうした農家の点々としている景色を見て、美しいと感嘆している。；そして森がまばらになる頃、あたりに点々と畑らしいものが見えはじめた。；その後は定収入を得られる職につけないまま、各地を点々としている。；その漠地の遠くにも小さい島のように、点々と緑の固まりが置かれている。；固定した星の光が点々と灯る暗黒の中を疾風よりも早く運ばれていた。；低い丘が点々としている地帯、それをぬけると、見晴かす砂の海になる。；再度キューバを追われたマルティは海外で各地を点々とする事になる。；眼をゆっくりと開けると、眼の前のルースの躯に点々と影がおちていた。；ひろびろとした夜空は、点々とした星の光に濡れているが地面は暗い。；その球体にあいた穴からさしている光が天井に点々を描いている。；およそ五十戸かそこらの住居単位が、点々とつらなっている村落である。；死ぬ八日前まで日記をつけているが、最後の所は震えて点々になって読めない。；ひとつには、点のひとつが他の点々よりも、かなり前を飛んでいる。；点々とした血の跡を残しながら、間桐慎二は森の出口を目指していた。；道路には、ぼくたちと同方向へ走る人々の姿が、点々と見受けられる。；小男は点々と並んだ街灯の列の下を、かなりのスピードで逃げている。；あとには、泥の上に、点々と彼の足跡だけが印されてゆくばかりであった。</t>
        </is>
      </c>
      <c r="J5862">
        <f>HYPERLINK("https://www.weblio.jp/content/点々", "词义详情")</f>
        <v/>
      </c>
      <c r="K5862">
        <f>HYPERLINK("https://yourei.jp/点々", "查看例句")</f>
        <v/>
      </c>
    </row>
    <row r="5863">
      <c r="A5863" t="inlineStr">
        <is>
          <t>転々</t>
        </is>
      </c>
      <c r="B5863" t="inlineStr">
        <is>
          <t>成功</t>
        </is>
      </c>
      <c r="C5863" t="inlineStr">
        <is>
          <t>読み方：てんてん
［副］(スル)
１次々と移りかわるさま。「—と各地を巡業する」
「由良はそうした小屋から小屋を—した」〈万太郎・春泥〉
２ころがっていくさま。「ボールは外野を—とする」</t>
        </is>
      </c>
      <c r="D5863" t="inlineStr">
        <is>
          <t>転々と移さ；転々流通；転々堂</t>
        </is>
      </c>
      <c r="E5863" t="inlineStr">
        <is>
          <t>散歩；わたる；放浪；漂流；彷徨</t>
        </is>
      </c>
      <c r="H5863" t="n">
        <v>29</v>
      </c>
      <c r="I5863" t="inlineStr">
        <is>
          <t>その後、自動車工場や東京のホテルのドアボーイなどの職を転々とした。；子供の頃は各地を転々とし、母親と母親のガールフレンドに育てられた。；やがて10代半ばでロンドンに移住し、さまざまなバンドを転々とする。；井上はその後、中国から日本へ帰国し、その後も転々とした生活を送る。；フランスに渡った後、ステュアート一家はヨーロッパ各地を転々とした。；その後も移籍してはトラブルを繰り返し、各クラブを転々としていた。；その父親の仕事の都合でベイルートやアテネなどの各地を転々とした。；その美貌のせいで争いが起こり、親戚縁者の間を転々とする生活が続く。；その後はインディ団体を転々として、ヨーロッパや日本でも試合を行う。；パリでは劇場の検札係などの職を転々とする困窮した生活を送った。；様々な職を転々としながら小説を書き始め、各雑誌・出版社に投稿を行う。；彼はミラノからの誘いを断り、いくつかの都市の職を転々と巡っていた。；奇跡的に母の妹に対面し、父に連れ戻されないように親戚を転々とした。；その後も各地の基地を転々としながら狙撃手としての能力を高めていった。；父親が外交官であったため、幼少期から家族と共に世界中を転々とした。；しかし、メジャー昇格することもなく、マイナー球団を転々としていた。；住まいを転々としているのは自衛官である父親の仕事の影響である。；本国に帰ってから病院を転々としながら合計23回の手術を行った。；医療現場では改善しにくい患者の親がいろんな医師を転々とすることが良くある疾患。；さらにその一部は被差別民問題も絡みつつ大阪各地を転々とすることになる。；諸外国を転々とし、1814年の王政復古の頃にイギリスから帰国した。；両親が教員で転勤族であったため、愛媛県内外を転々としながら育った。；俘虜の一人に好意で逃亡を勧められ、姓名を変えて各地を転々とした。；ファニーは出産後、夫の任務にしたがってヨーロッパ各地を転々とした。；父親の軍務の関係で、オランダやイギリスなどヨーロッパ各地を転々とする。；CMLLやAAAを渡り歩いたが現在はローカル団体を転々としている。；退役後に店舗等に利用されたものの、解体処分を受けずに日本各地を転々としていた。；その後も1シーズンごとにセグンダ・ディビシオンのチームを転々とした。；その後、シムノンは奇妙な職業を転々としながら働くことになった。</t>
        </is>
      </c>
      <c r="J5863">
        <f>HYPERLINK("https://www.weblio.jp/content/転々", "词义详情")</f>
        <v/>
      </c>
      <c r="K5863">
        <f>HYPERLINK("https://yourei.jp/転々", "查看例句")</f>
        <v/>
      </c>
    </row>
    <row r="5864">
      <c r="A5864" t="inlineStr">
        <is>
          <t>電灯</t>
        </is>
      </c>
      <c r="B5864" t="inlineStr">
        <is>
          <t>成功</t>
        </is>
      </c>
      <c r="C5864" t="inlineStr">
        <is>
          <t>読み方：でんとう
電気エネルギーを利用した灯火。電気。「—がつく」「—を消す」「懐中—」</t>
        </is>
      </c>
      <c r="D5864" t="inlineStr">
        <is>
          <t>電灯供給(2%)；電灯数；電灯会社；電灯料金；電灯線</t>
        </is>
      </c>
      <c r="E5864" t="inlineStr">
        <is>
          <t>明；灯；ライト；明かり；ライター</t>
        </is>
      </c>
      <c r="F5864" t="inlineStr">
        <is>
          <t>明るい電灯；松本電灯；薄暗い電灯；懐中電灯；小さな電灯</t>
        </is>
      </c>
      <c r="H5864" t="n">
        <v>29</v>
      </c>
      <c r="I5864" t="inlineStr">
        <is>
          <t>これはすでに電灯供給を開始している地域のみで、未開業地域は含まない。；彼らは新たに電灯会社を立ち上げて名古屋電灯に対抗しようと動き始める。；火災の原因は電灯の故障のため使われていた石油ランプと推測されている。；電灯の光も見えないほどに頭の中が暗い渦巻きでいっぱいになった。；一般的に電灯であるが、レトロ感覚からガス灯が採用されることもある。；緑色の笠のかかった、電灯の光は海の底のように部屋の中を思わせた。；同じ年に電灯が設置され、それまで使われていた石油ランプは撤廃された。；電灯需要地に近いエリアへ直流送電するため都市内に建設されたものである。；特に混雑した駅では後に、サーチライト式の電灯信号機が導入された。；また、電灯電力の供給事業や六甲山の開発にも積極的な経営姿勢を示した。；道路照明灯とは、主に道路を照らす為に立てられている電灯のことである。；さらにその後社長の菅野伝右衛門が没したことから電灯事業は頓挫した。；屋根は茶色で支柱は緑色となっており、ホーム端には黒い電灯がある。；当時、小田原や箱根には、どこにも電灯は設置されていなかったのである。；次いで小倉電灯の事業も買収し、同年12月1日付で事業を継承している。；ペンキと電灯とをもって広告と称する下等なる装飾を試みることでもない。；この時期より従来の電灯供給に加え電動機利用のための電力供給も始まった。；これにより一切の動力が停止して行動不能となり、艦内の電灯は消えた。；開店は16時半からで、常連客は入口の電灯が灯ったことを確認し入る。；また1906年より電灯供給に加えて動力用電力の供給も追加された。；業績回復を待って1937年に信濃電気と長野電灯の合併が決定される。；「電灯」はランプよりはるかに明るく、彼はその存在に驚き恐れを抱く。；山陰電気の事業は電灯需要家約2000戸・灯数4000灯余りで始まる。；長野電灯の営業報告書によると、これ以降に供給区域へ編入された町村はない。；僕は食事をすませた後、薄暗い船室の電灯の下に僕の滞在費を計算し出した。；桐生電灯会社の経営権を引き継いだのが、渡良瀬水力電気会社であった。；石動電気の電灯取付数は1916年に1万灯を超え、その後も拡大した。；以後会社では電灯を積極的に宣伝するなど需要の開拓に努め、供給灯数を伸ばしていく。；京都市街に電灯や都市ガスが普及し、薪・柴の需要が減ったためである。</t>
        </is>
      </c>
      <c r="J5864">
        <f>HYPERLINK("https://www.weblio.jp/content/電灯", "词义详情")</f>
        <v/>
      </c>
      <c r="K5864">
        <f>HYPERLINK("https://yourei.jp/電灯", "查看例句")</f>
        <v/>
      </c>
    </row>
    <row r="5865">
      <c r="A5865" t="inlineStr">
        <is>
          <t>伝統</t>
        </is>
      </c>
      <c r="B5865" t="inlineStr">
        <is>
          <t>成功</t>
        </is>
      </c>
      <c r="C5865" t="inlineStr">
        <is>
          <t>読み方：でんとう
ある民族・社会・集団の中で、思想・風俗・習慣・様式・技術・しきたりなど、規範的なものとして古くから受け継がれてきた事柄。また、それらを受け伝えること。「歌舞伎の—を守る」「—芸能」</t>
        </is>
      </c>
      <c r="D5865" t="inlineStr">
        <is>
          <t>伝統的(43%)；伝統工芸品；伝統校；伝統漢訳経典；伝統楽器</t>
        </is>
      </c>
      <c r="E5865" t="inlineStr">
        <is>
          <t>習慣；慣習；風習；慣例；恒例</t>
        </is>
      </c>
      <c r="F5865" t="inlineStr">
        <is>
          <t>古い伝統；文化的伝統；中国伝統；こうした伝統；伝統技法</t>
        </is>
      </c>
      <c r="G5865" t="inlineStr">
        <is>
          <t>伝統文化；伝統芸能；伝統音楽；伝統行事；伝統工芸</t>
        </is>
      </c>
      <c r="H5865" t="n">
        <v>29</v>
      </c>
      <c r="I5865" t="inlineStr">
        <is>
          <t>家族の存続を重視する朝鮮の伝統社会では、結婚が成人の指標とされた。；江戸時代以前に成立した伝統的なものを人形芝居と呼んで区別することも。；しかし、幕末までは民族の伝統に即した命名のもとに人生を送っていた。；日本にはピック社が伝統的な製法で作られたサラミなどを輸出している。；東ヨーロッパではスラブ宗教の古代の伝統が一神教の要素を含んでいた。；この問題を回避する伝統的な方法として、以下のようなものがある。；こちらは8番と11番のカードの位置は伝統的な配置のままである。；これはフランス刑法の影響だけでなく律の伝統によるものであるとされる。；伝統的なリンネの分類体系では、鳥類は爬虫類と別の区分とされている。；この点は、物理化学研究の伝統を持つ欧米とは大きく異なった状況にある。；当時は地域によって異なる伝統が行われ、東部と西部では読みが異なっていた。；英国は行政システムと法制度を設置した上で伝統的な首長制を通じたを行った。；これらの現象は伝統的な身分体制の崩壊も表している。；それらは、部族社会のイラクでは伝統的な和解方法に則ったものだった。；ジャマイカの芸術は先住民であるタイノ族の伝統芸術を源流としている。；一般的に東アジアの伝統では、首都の名前をこのようにつけることが多かった。；なお、N800形まで伝統的に車外側面の車番の前に社章をつけていた。；インドの宗教、哲学はこのような伝統の中で磨かれたものと思われる。；伝統的な美と新しい感性がその作品の中で融合し、調和しているといえる。；現在は市の施策などで伝統的な名産品の復興などに力が注がれている。；こうして、いくつかの古代ゲームが各地で発展して様々な伝統ゲームが生まれていった。；これは、ローテーション式が多い歌劇場管弦楽団の伝統も影響している。；現在では伝統的な技法を継承する鍛冶は非常に少なくなっている。；なお、現在行われている繋駕速歩競走はこの伝統を引き継いだものである。；アカデミーは伝統的なフランス絵画のスタンダードを継承していた。；そのうちいくつかは特に古く、医療の伝統は中世にまでさかのぼる。；したがって同連邦の州4ヶ所にはそれぞれ独自の文化と伝統が存在している。；儒教が朝鮮民族の伝統を育んでおり、その食文化にも影響を与えている。；アーミッシュの日常生活では近代以前の伝統的な技術しか使わない。</t>
        </is>
      </c>
      <c r="J5865">
        <f>HYPERLINK("https://www.weblio.jp/content/伝統", "词义详情")</f>
        <v/>
      </c>
      <c r="K5865">
        <f>HYPERLINK("https://yourei.jp/伝統", "查看例句")</f>
        <v/>
      </c>
    </row>
    <row r="5866">
      <c r="A5866" t="inlineStr">
        <is>
          <t>転任</t>
        </is>
      </c>
      <c r="B5866" t="inlineStr">
        <is>
          <t>成功</t>
        </is>
      </c>
      <c r="C5866" t="inlineStr">
        <is>
          <t>読み方：てんにん
［名］(スル)同じ組織の中で他の職務または任地にかわること。「新設校に—する」</t>
        </is>
      </c>
      <c r="D5866" t="inlineStr">
        <is>
          <t>転任する(13%)；転任先；転任希望</t>
        </is>
      </c>
      <c r="H5866" t="n">
        <v>29</v>
      </c>
      <c r="I5866" t="inlineStr">
        <is>
          <t>それは児島君が東京へ転任して来てから後のことであったように記憶する。；当人が本省からの転任を希望したといわれるだけにたいそう元気だった。；しかしある事故をきっかけに最前線に送ってもらうよう転任を願い出る。；妹さん夫婦が転任になって来たので近くに一軒もってその二階に鶴さんがいます。；遡っていうが、私が東京へ転任した翌年に次男を挙げて、惟行と命けた。；小学校に入学して間もなく父の転任で京都に転居、9歳で木琴を始める。；この際、司馬懿は長男の司馬師を中護軍に転任させるよう依頼している。；部隊の将校は全国から転任してくるが、兵卒は地元出身者からなる。；森先生は、私たちが二年になると千葉の木更津中学へ転任してゆかれた。；「幸太郎君は転任しましたね」 と父が話の中に叔父の問題に触れた。；ベロミルスキイに転任されたのはほとんど亡くなられる直前でしたね。；彼の転任の話に、私はなぜ目先が真っ暗になるような思いをしたか。；この中央党校の幹部が次々と地方中央に転任して要職に就いている。；まだ着任していないので、銭七虎は西安工程兵工学院に転任されました。；この世的に言えば、世光教会への転任は破格の栄転というべき話であった。；シーズンからはジャイアンツのベンチコーチに転任となり、まで務めた。；この転任は、弘仁・天長期に行われていた御牧整備との関連が指摘されている。；明治二十年になって、父は静岡に転任し、私も父のもとに呼び戻されました。；その後、西部方面軍への転任を受けてヴァンデの反乱鎮圧に派遣された。；四月、教師二十人程退職・転任、生徒側に犠牲者はなく、無事解決した。；彼の転任に、わたしはなぜ目の前がまっくらになるような思いがしたのだろうか。；来年の春、東京に転任できるかどうか、和倉に聞いてみたいと思った。；それから一年程たつて東京から転任してきた若い会社員がやはりおなじ事を云つた。；に一軍打撃コーチに転任したが、チームの打撃不振のため解任された。；この小学校は耕作の家から近いので、今年の春転任の話も出た。；役人が景宗に上訴したため、まもなく盆奴は馬群太保に転任させられた。；そしてインドへ転任してビルマの戦いを指揮することになった。；早苗は結婚後、夫が松本に転任して、もうその村にはいない筈だった。；そうして離れを借りていた小学校長の転任を幸い、新妻とそこへ移って来た。</t>
        </is>
      </c>
      <c r="J5866">
        <f>HYPERLINK("https://www.weblio.jp/content/転任", "词义详情")</f>
        <v/>
      </c>
      <c r="K5866">
        <f>HYPERLINK("https://yourei.jp/転任", "查看例句")</f>
        <v/>
      </c>
    </row>
    <row r="5867">
      <c r="A5867" t="inlineStr">
        <is>
          <t>天然</t>
        </is>
      </c>
      <c r="B5867" t="inlineStr">
        <is>
          <t>成功</t>
        </is>
      </c>
      <c r="C5867" t="inlineStr">
        <is>
          <t>読み方：てんねん
［名・形動］
１人為が加わっていないこと。自然のままであること。また、そのさま。「—の良港」⇔人工。
「栄養不足で—に立枯になった朴の木の様なもので」〈啄木・雲は天才である〉
２うまれつき。天性。「—の美声」
３《「天然ぼけ」から》意図せずとぼけた言動をすること。また、そのような人。「—な人」</t>
        </is>
      </c>
      <c r="D5867" t="inlineStr">
        <is>
          <t>天然自然；天然色；天然木；天然由来；天然記念物</t>
        </is>
      </c>
      <c r="E5867" t="inlineStr">
        <is>
          <t>自然；元来；野生；自然に；生まれつき</t>
        </is>
      </c>
      <c r="F5867" t="inlineStr">
        <is>
          <t>非天然；天然染料；天然秋田杉；天然鉱物；天然香料</t>
        </is>
      </c>
      <c r="G5867" t="inlineStr">
        <is>
          <t>天然ガス；天然痘；天然資源；天然芝；天然物</t>
        </is>
      </c>
      <c r="H5867" t="n">
        <v>29</v>
      </c>
      <c r="I5867" t="inlineStr">
        <is>
          <t>しっかり者の外見からは想像もつかない天然ぶりをしばしば発揮している。；北部を流れる那珂川と南部に広がっていた千波湖を天然の堀としていた。；非常に多様な種類があり、天然に存在する有機化合物の中で量が最も多い。；天然に存在するもの以外にも数十種の放射性同位体が同定されている。；超重元素はすべて天然には存在しないため、2種類の方法で合成される。；日本では琉球列島の海岸線で、石灰岩の上で天然の芝生が成立している。；放射性が非常に強いため研究室でしか作られず天然には観察されない。；クールアイランドの効果は、天然のものでも人工のものでも同じである。；かつて、天然の炭酸水を利用していたことから泉のマークが用いられている。；その目的のために新設したり、天然の池沼を改築したりした池を指す。；他の天然プロテアーゼ阻害剤は、生物の防衛機構として使用されている。；このため人造湖でありながら天然の湖に近いたたずまいを見せている。；褒められるのが苦手な天然だが、急にハイテンションになることがある。；僕かて、見てへんかったら『何言うてんねん』って言うとったと思うわ。；文明が発達する以前から、天然の洞窟は往々にしてヒトの住居となっていた。；宇宙規模では天然存在しうるとする説もあり、フィクションにも登場している。；この他にも天然に合成される有名なものにクエン酸や酒石酸がある。；前述の通り天然な一面があり、物の名前を間違えて憶えてしまうことが多い。；内部に特有の傷が無数にあり、これが天然ものの標識ともなっている。；天然石で製造されたネックレスの中には、開運目的で販売されるものもある。；青森県との県境である矢立峠近くの天然秋田杉の林の中に位置する一軒宿。；会計士はあなたの収入の計算をして、それで金儲けをしてんねんもん。；天然では分布域は重ならないものの、交雑可能であることが確認されている。；天然の状態では起こらない方法で改良処理されたものをトリートメントという。；天然には、日本国内には生息しないが、琵琶湖などでの生息が確認されている。；例えば、これらは天然あるいは合成有機分子の複合体中に存在している。；炭素12が選ばれたのは、これが天然の炭素の大部分を占めているためである。；終点側は天然の良港舞鶴湾に面し、南下しながら海岸沿いの集落を結ぶ。；有機JAS規格では、以下のような天然に存在する物質の使用が許可されている。</t>
        </is>
      </c>
      <c r="J5867">
        <f>HYPERLINK("https://www.weblio.jp/content/天然", "词义详情")</f>
        <v/>
      </c>
      <c r="K5867">
        <f>HYPERLINK("https://yourei.jp/天然", "查看例句")</f>
        <v/>
      </c>
    </row>
    <row r="5868">
      <c r="A5868" t="inlineStr">
        <is>
          <t>天皇</t>
        </is>
      </c>
      <c r="B5868" t="inlineStr">
        <is>
          <t>成功</t>
        </is>
      </c>
      <c r="C5868" t="inlineStr">
        <is>
          <t>読み方：すべらぎ
《「すべらき」とも》「すめらぎ」に同じ。
「—の天の下知ろしめすこと」〈古今・仮名序〉</t>
        </is>
      </c>
      <c r="D5868" t="inlineStr">
        <is>
          <t>天皇杯(4%)；天皇崇拝；天皇皇后；天皇賞；天皇自身</t>
        </is>
      </c>
      <c r="E5868" t="inlineStr">
        <is>
          <t>公家；主上；天皇陛下；至尊</t>
        </is>
      </c>
      <c r="F5868" t="inlineStr">
        <is>
          <t>後水尾天皇；継体天皇；斉明天皇；後村上天皇；後陽成天皇</t>
        </is>
      </c>
      <c r="G5868" t="inlineStr">
        <is>
          <t>天皇制；天皇陛下；天皇杯；天皇家；天皇陵</t>
        </is>
      </c>
      <c r="H5868" t="n">
        <v>29</v>
      </c>
      <c r="I5868" t="inlineStr">
        <is>
          <t>天皇の称号が実際に用いられ始めたのもこの時代だと言われている。；歴代天皇の厳密な確定が要請されたのは、明治時代になってからである。；古代的な牧歌的天皇像を当てはめることで近代天皇像への批判となる。；このことは崇神天皇を初代天皇とする伝承がかつて存在したことを予想させる。；道後湯岡碑についてはこれまで推古天皇四年に建てたものとされてきた。；以下に示すのは笠井倭人がまとめた天皇の系譜まとめからの抜粋である。；天皇の成人を機に摂政が関白に転じた確実な事例はこれが最初である。；天皇の地位に関してはいわれるほど差があるものではなかったとする意見がある。；日本の天叢雲剣は三種の神器の中では天皇の持つ武力の象徴とされている。；第十一代天皇の活目入彦は諸国に多くの池溝を開いて農業を盛んにした。；一方で天皇と道長・彰子の関係が決して良好ではなかったと見る説もある。；ゼムノヴィッチ体制初の大会となった天皇杯は2大会ぶりに決勝に進出した。；これで天皇杯決勝は東洋工業時代を含めて9連敗となってしまった。；この時期には、天皇の即位と近い時期に立太子が行われていることが特徴である。；天皇の行政大権の行使に国務大臣の輔弼を必要とする体制を定めたこと。；もし天皇を裁判に付せば、裁判の法廷で天皇はそのように主張するであろう。；天皇の決定をうけて吉田善吾海軍大臣は「第一号艦」を大和と命名した。；このため、現在に至る天皇の総数は129人と数えられることもある。；大本営と海軍は天皇の勅許まで取り付けて方針を変更するよう促した。；しかし蘇我馬子と不和になった天皇は592年に暗殺されてしまった。；このため、天皇との関係次第によってその権限は左右される性質のものであった。；歴代天皇の在位期間の問題は、初期の天皇の不自然な長寿についてである。；新政府は天皇の官制大権を前提として近代的な官僚制の構築を目指した。；この事件の際に道長は天皇の失踪を関白・頼忠に報告する役割を果たした。；歴代天皇を確定するための基準が定まったのは、大正時代末期のことである。；天皇が暗殺されたのは、確定している例では唯一である。；天皇杯でも東京ガス時代の1997年以来となるベスト4へ進出した。；さらには、六女の嬉子を後の後朱雀天皇となる敦良親王に入侍させた。；天皇の譲位は現皇室典範においては規定がなく、想定がされていなかった。</t>
        </is>
      </c>
      <c r="J5868">
        <f>HYPERLINK("https://www.weblio.jp/content/天皇", "词义详情")</f>
        <v/>
      </c>
      <c r="K5868">
        <f>HYPERLINK("https://yourei.jp/天皇", "查看例句")</f>
        <v/>
      </c>
    </row>
    <row r="5869">
      <c r="A5869" t="inlineStr">
        <is>
          <t>電波</t>
        </is>
      </c>
      <c r="B5869" t="inlineStr">
        <is>
          <t>成功</t>
        </is>
      </c>
      <c r="C5869" t="inlineStr">
        <is>
          <t>昭和47年（1972）8月に打ち上げられた科学衛星REXSの愛称。東京大学宇宙航空研究所（現JAXA(ジャクサ)）により開発。打ち上げ後3日目に電源回路に異常が生じ、運用を断念した。通信が途絶するまで電離層および磁気圏のプラズマの観測を行った。</t>
        </is>
      </c>
      <c r="D5869" t="inlineStr">
        <is>
          <t>電波探知装置；電波観測；電波発信；電波信号；電波状況</t>
        </is>
      </c>
      <c r="E5869" t="inlineStr">
        <is>
          <t>電磁波</t>
        </is>
      </c>
      <c r="F5869" t="inlineStr">
        <is>
          <t>誘導電波；無線電波；テレビ電波；強力な電波；怪電波</t>
        </is>
      </c>
      <c r="G5869" t="inlineStr">
        <is>
          <t>電波望遠鏡；電波塔；電波法施行規則；電波天文；電波障害</t>
        </is>
      </c>
      <c r="H5869" t="n">
        <v>29</v>
      </c>
      <c r="I5869" t="inlineStr">
        <is>
          <t>同観測所の廃止後、一部の観測機器が宇宙電波観測所に移行されている。；ラジオ・テレビという電波を受信のみで利用している物を除外している。；基本的にコミュニティFMの電波で放送されるものと同じものが放送される。；以上の利用形態を根拠に設けられた電波行政上の区分が短波帯である。；電波の放送では送信局は一回送信しているだけで、それと同様である。；コンピュータによる電波干渉に対してやっと法が対応し始めたのである。；高層住宅等で使用した場合、数km先まで電波が到達することもありうる。；これら翼部品には、電波吸収材を用いたステルス翼も用意されている。；戦後はキャベンディッシュ研究所で、初め太陽からの電波の研究を行った。；畑中武夫の弟子で、日本の宇宙電波研究の定着に努力したことで知られている。；これは、これらの機器が動作原理上、電波の質に影響を与えないためである。；大戦期は陸軍の無線機を一手に引き受け、電波警戒機の開発も行っていた。；全てのクエーサーが強い電波を放射しているわけではないことが分かっている。；ただし両者は電波の送信場所が異なるため、受信可能な区域も当然異なる。；電波における同様の現象は偏波と呼び、アンテナの形状などと関係する。；また高層マンションの一部も携帯電話の電波問題が存在している。；また、波長が長い電波を観測する場合には金網のような鏡面でも問題ない。；各国ともこのような電波塔の設置権利は地方ごとに存在する放送局に付与される。；さらに翌年10月、郵政省は北海道に4局目の電波割り当てを公にした。；ただし近年は赤外線など電波以外の無線方式による物も含まれている。；最近は複数の国の電波に対応している機種や腕時計型の機種も製品化されている。；一定の地域の人々をクルクルパーにしたうえ運動神経も低下させてしまう電波。；これは、電波のほうが赤外線よりも大気圏内での透過性が高いためである。；この円錐と交差すると、地球では太陽からの電波よりも高い出力が観測される。；隣の佐賀県に電波が漏れないよう、南と西を中心に指向性が設定されている。；これまで通信用に使われてきた電線や電波による通信に比べ、以下の特徴がある。；有意信号の可能性が指摘されたが、その後の観測では同様の電波は受信されていない。；今日では電気・電波だけでなくコンピュータ関係者や電気通信事業者からも信仰を集めている。；いくつかの波長で観測を行うことでどのような機構で放射された電波かを知ることができる。</t>
        </is>
      </c>
      <c r="J5869">
        <f>HYPERLINK("https://www.weblio.jp/content/電波", "词义详情")</f>
        <v/>
      </c>
      <c r="K5869">
        <f>HYPERLINK("https://yourei.jp/電波", "查看例句")</f>
        <v/>
      </c>
    </row>
    <row r="5870">
      <c r="A5870" t="inlineStr">
        <is>
          <t>伝票</t>
        </is>
      </c>
      <c r="B5870" t="inlineStr">
        <is>
          <t>成功</t>
        </is>
      </c>
      <c r="C5870" t="inlineStr">
        <is>
          <t>読み方：でんぴょう
会社・商店などで、金銭の出入や取引内容などを記入する一定の様式を備えた紙片。取引に関する責任を明らかにし、後日の証拠ともなる。入金伝票・出金伝票・振替伝票・仕入伝票・売上伝票など。</t>
        </is>
      </c>
      <c r="D5870" t="inlineStr">
        <is>
          <t>伝票をつかん(2%)；伝票整理；伝票類；伝票処理；伝票番号</t>
        </is>
      </c>
      <c r="E5870" t="inlineStr">
        <is>
          <t>勘定；愛想；お愛想；あいそ；勘定書</t>
        </is>
      </c>
      <c r="F5870" t="inlineStr">
        <is>
          <t>売上伝票；出荷伝票；給与伝票；納品伝票；起票する伝票</t>
        </is>
      </c>
      <c r="H5870" t="n">
        <v>29</v>
      </c>
      <c r="I5870" t="inlineStr">
        <is>
          <t>伝票を取り上げて立ち上がったときに、ふと思ったことを質問してみた。；まさか社長が伝票を切ったり、コピーを取ったりするわけにもいくまい。；まさか伝票を持って出るのを忘れて配達に行ってしまったのだろうか。；伝票に残った三人も、連中は、危険とみて、消してしまうかも知れない。；それに、出納箱や伝票箱を使っとる銀行がどこにあるか、わしは知らん。；指定問屋以外の間屋から商品をとり、伝票操作でごまかすこともやった。；レジに知らない顔の女の子がいて、伝票整理のようなことをしている。；おれから数メートル離れたところで、テーブルからやつが伝票を取っていた。；かつては手書き簿記を前提とした帳簿問題や伝票問題が出題されていた。；このため当時の作業記録をした伝票は保存期間を終え既に処分されているからである。；頭に花飾りをつけた少女は伝票を持ってレジへ向かうと、こんな事を言った。；英司は伝票の数字を計上機に打っていて、見るともなしに顔をあげた。；伝票には数字ではなく、懐かしい小野寺香代の字でこう書かれてあった。；テーブルの伝票をみると、三つも四つも注文して食べていたことが判った。；取引の伝票を調べてみてやっとそれを思い出したのであった。；後になりましたが、私が店に行った目的は、その伝票をとりに行くことでした。；酒屋は車まで三往復ほどしたあと、伝票にサインをもらって帰って行った。；荷物を受け、伝票に記載された番号とコンテナに記されたそれを照合する。；そして伝票をひったくるようにして取ると、大股で喫茶店を出ていった。；宅配便の伝票には押しつぶされた蟻のような小さい字が散らばっていた。；出て来たマスターに伝票の様なものを渡しながら何か楽しそうに話をしている。；お店の人が、伝票だかレシートの控えだかわからない紙片を手に戻ってきた。；おれのタバコは無くなっていたが、伝票だけはテーブルに残っていた。；軽やかに立ち上がり、テーブルの上に置かれていた伝票を手に取った。；テーブルに件の伝票類を並べながら、営業部長は強い語調で言った。；飯塚の捜していた伝票は、ぼくの座っていた椅子の背にかけてある。；彼はそこで郵便物を出したり伝票整理をしたりと、主に雑用仕事をしている。；伊沢はコーヒーを半分ほど飲み残したまま、伝票を掴んで立ちあがった。；彼がいなくなったあとで、私は、伝票がテーブルの隅に置かれたままなのに気づいた。</t>
        </is>
      </c>
      <c r="J5870">
        <f>HYPERLINK("https://www.weblio.jp/content/伝票", "词义详情")</f>
        <v/>
      </c>
      <c r="K5870">
        <f>HYPERLINK("https://yourei.jp/伝票", "查看例句")</f>
        <v/>
      </c>
    </row>
    <row r="5871">
      <c r="A5871" t="inlineStr">
        <is>
          <t>添付</t>
        </is>
      </c>
      <c r="B5871" t="inlineStr">
        <is>
          <t>成功</t>
        </is>
      </c>
      <c r="C5871" t="inlineStr">
        <is>
          <t>読み方：てんぷ
［名］(スル)
１書類などに、付け添えること。「領収書を—する」
２民法上、所有者の異なる2個以上の物が結合した場合に、所有権の得喪を生じること。付合・混和・加工の総称。</t>
        </is>
      </c>
      <c r="D5871" t="inlineStr">
        <is>
          <t>添付文書(29%)；添付情報(7%)；添付書類(4%)；添付資料；添付品</t>
        </is>
      </c>
      <c r="E5871" t="inlineStr">
        <is>
          <t>増加；追加；つける；添；付ける</t>
        </is>
      </c>
      <c r="F5871" t="inlineStr">
        <is>
          <t>標準添付</t>
        </is>
      </c>
      <c r="H5871" t="n">
        <v>29</v>
      </c>
      <c r="I5871" t="inlineStr">
        <is>
          <t>女性の生首の画像が添付されたメールが送られてくることもあるという。；おまけにエイミーが数ヶ月前に米国にいた時の写真まで添付されている。；ボーカルはないが、添付の歌詞ブックレットには歌詞が掲載されている。；なおこれとは別に原作単行本第6巻限定版にもドラマCDが添付される。；また、利害関係人が存在するときはその承諾証明情報が添付情報となる。；ヨーロッパ版のパッケージのまま日本語のシールが添付されて販売された。；調査票に回答と収入や居住状態の立証書類を添付して保険者に提出する。；その時のメールに〝あずさが首を吊っている写真〟が添付されていた話。；そこには幸せな笑顔を見せるクラリスの姿を撮した動画が添付されていた。；したがって、添付が生じた場合の旧所有者からの復旧請求は封じられる。；返却時には詳細を記した報告書が担当者の名前入りで添付されていた。；重大な副作用として添付文書に記載されているものは、下記の項目である。；電撃文庫および同文庫の姉妹レーベルに添付される形で配布されていた。；インストール時に添付されている利用許諾条件に同意しなければならない。；には、証拠の標目および添付の図面を除く、判決全文が掲載されている。；なお、通常は側近である侍臣による副状が添付されるのが慣例であった。；エディタは添付のものもあるが、JSPを知っていれば独自に作成できる。；更新の際に写真やイラストなどの画像ファイルを添付することも可能になっていた。；これには、本人の捜索に必要な人相書と写真を添付し、若干の説明をした。；大袈裟の写真を添付した上で「彼の要求を無視してください」と呼びかけた。；現在の品と交換したい品の写真をメールで添付し、交換していく。；電話後すぐに送られてきたメールに添付されていた美夏ちゃんマップとやら。；串が入っていない物は、爪楊枝を添付して販売されている事もある。；本に添付されていたハガキで注文することができたもので、市販されていない。；開くと、本文は一文字も無かったが、かわりに写真が一枚添付されていた。；配布ファイルへの添付は別条件となっていたが、後に条件つきで自由となった。；内はLDメモリアルボックス添付のブックレットに記載されていた名称。；ただし、当該場合に該当することを証する情報を添付しなければならない。；重大な副作用として添付文書に記載されているものは、心房細動である。</t>
        </is>
      </c>
      <c r="J5871">
        <f>HYPERLINK("https://www.weblio.jp/content/添付", "词义详情")</f>
        <v/>
      </c>
      <c r="K5871">
        <f>HYPERLINK("https://yourei.jp/添付", "查看例句")</f>
        <v/>
      </c>
    </row>
    <row r="5872">
      <c r="A5872" t="inlineStr">
        <is>
          <t>天ぷら</t>
        </is>
      </c>
      <c r="B5872" t="inlineStr">
        <is>
          <t>成功</t>
        </is>
      </c>
      <c r="C5872" t="inlineStr">
        <is>
          <t>１魚・貝・野菜などに小麦粉を卵・水で溶いた衣をつけ、植物油で揚げた日本料理。野菜類のものを精進揚げといって区別することもある。また西日本では、薩摩揚げをいう所もある。
２《うわべを作るところから》
㋐めっきしたもの。「—の金時計」
㋑にせもの。「—学生」
３《「テンプラを揚げる」に掛けたもの》ゴルフのティーショットでボールを空高く打ち上げ、飛距離の出ないミスショットのこと。
[補説]語源は、ポルトガル語のtempero; têmporasまたは、スペイン語のtemploからなどの諸説がある。「天麩羅」とも書く。</t>
        </is>
      </c>
      <c r="D5872" t="inlineStr">
        <is>
          <t>天ぷら屋(10%)；天ぷら蕎麦(2%)；天ぷら定食；天ぷら店；天ぷら専門店</t>
        </is>
      </c>
      <c r="F5872" t="inlineStr">
        <is>
          <t>お座敷天ぷら；江戸前天ぷら</t>
        </is>
      </c>
      <c r="G5872" t="inlineStr">
        <is>
          <t>天ぷらそば；天ぷらうどん；天ぷら粉；天ぷら銀河</t>
        </is>
      </c>
      <c r="H5872" t="n">
        <v>29</v>
      </c>
      <c r="I5872" t="inlineStr">
        <is>
          <t>天ぷらは突然貴重でなくなりゴハンのほうが貴重になってきたのである。；明治から太平洋戦争前までは東京で一番有名と言われた天ぷら屋である。；現代の天ぷらは衣をつける際に卵を使うため、その意味で衣が異なる。；天ぷら三個で丼一杯のゴハンをまかなうのはかなりの困難が予想された。；いつか江戸前の天ぷら屋で天ぷらを喰った時に主人から聞いた話である。；ある日佐智が学校から帰ってくると、家中に天ぷらの匂いが漂っていた。；唐揚げは天ぷらと同様に1個単位で販売し、店内で食べることもできる。；その晩は桂木と近所の天ぷら屋で食事を共にする約束をしていた。；仕方がないので、その近所へ出来たばかりの天プラ屋へはいつた。；いぜんにはよく天ぷら屋の鍋台の横では、揚ゲ玉というのを売っていた。；過去の作品は全て公開停止されたので、正式に入手できる唯一の天ぷら作品になる。；天ぷらもうまかったが、かくやのお香々の素晴らしさは今でも忘れない。；ただし、通常の天ぷらのように小麦粉と卵を使った衣が使われるわけではない。；現在の調理方法は通常の天ぷらと類似しているが、歴史的には別の料理である。；彼自身はエビの天ぷらが大好物で、一度に130匹食べたこともあった。；味や香りが薄いため、サラダや天ぷら、炒め物などの料理に適している。；三日前の夜、玲子は全員の夕食にありあわせの材料で天ぷらを作ってくれた。；夕食のときに食べた天ぷらの油が少し口に残っている。；このドラマがきっかけで、ブロッコリーの天ぷらがポピュラーとなった。；普通の天ぷらとは異なり、動物性の食材を使わないことに特徴がある。；「ご苦労さま」 蓋を取ってみると注文通り丼に天ぷらが盛上っていた。；では、天ぷらだけではなんだからと八田英吉はいってビールをとった。；すると運のいいことに、その天ぷら屋にいて、大名行列をみることができた。；東京でいう天ぷらをおでんに入れてしまうのかと思ったのだ。；日本では刺身、天ぷら、ムニエル等で食べられるが、流通量は多くない。；だけど一緒にえびの天ぷらを食って尻っぽまで食べる人は殆どいない。；蕎麦屋と天ぷら屋では、天ぷら用の粉に違うものが用いられることがある。；揚げている通常の天ぷらに衣の元を箸などで散らすことで衣を増やす。；花は砂糖漬けにしたり、薄く衣をつけて天ぷらに調理されたりもする。</t>
        </is>
      </c>
      <c r="J5872">
        <f>HYPERLINK("https://www.weblio.jp/content/天ぷら", "词义详情")</f>
        <v/>
      </c>
      <c r="K5872">
        <f>HYPERLINK("https://yourei.jp/天ぷら", "查看例句")</f>
        <v/>
      </c>
    </row>
    <row r="5873">
      <c r="A5873" t="inlineStr">
        <is>
          <t>展望</t>
        </is>
      </c>
      <c r="B5873" t="inlineStr">
        <is>
          <t>成功</t>
        </is>
      </c>
      <c r="C5873" t="inlineStr">
        <is>
          <t>読み方：てんぼう
［名］(スル)
１遠くまで見渡すこと。また、そのながめ。見晴らし。「—がきく」「屋上から市街を—する」
２社会の動き、人生の行く末などを見渡すこと。見通すこと。見通し。「将来に対する—がない」
[補説]書名別項。→展望</t>
        </is>
      </c>
      <c r="D5873" t="inlineStr">
        <is>
          <t>展望室(9%)；展望台(7%)；展望窓(3%)；展望できる(2%)；展望席</t>
        </is>
      </c>
      <c r="E5873" t="inlineStr">
        <is>
          <t>可能性；眺め；光景；風景；視界</t>
        </is>
      </c>
      <c r="F5873" t="inlineStr">
        <is>
          <t>大展望；展望スペース；展望地；展望スクリーン；展望ラウンジ</t>
        </is>
      </c>
      <c r="G5873" t="inlineStr">
        <is>
          <t>展望車；展望塔；展望デッキ；展望所；展望フロア</t>
        </is>
      </c>
      <c r="H5873" t="n">
        <v>29</v>
      </c>
      <c r="I5873" t="inlineStr">
        <is>
          <t>香港一の高さを誇るビルではあるが、展望施設などは設置されていない。；海側に大きな展望窓を備え、床固定式のテーブルが備え付けられていた。；大村湾の展望を考慮して、通常のエリアとは逆向きに設置されている。；しかし孔融は誰とも同盟しようとせず、加えて何の展望・策略も無かった。；新道コースは展望も優れ、急登がないので、最も一般的なコースである。；このほかではプレヴェン展望台はプレヴェン包囲の記念日に開設された。；世界各国の美しい景観が展望できる数々の高速道路が舞台となっている。；なお番組の性質上、関東で行われるレースについての展望が主となっていた。；この情報紙は市のできごとや今後の展望について解説するものである。；並行する晴海大橋と同様、展望部分が歩道上の4箇所に設置されている。；夜8時以降展望台は閉鎖されるが、周辺から夜景を楽しむことができる。；UNICEはアースが1969年から発達させてきた未来の展望である。；また中央の乗降扉を廃止し、一枚窓の展望スペースを設置している。；「将来そこで何かをすることなども計画している」と将来的な展望もあるという。；全レース終了後はダイジェストや明日の展望を場外発売所を中心に放送する。；特に春季号ではその年のシーズンの展望や選手名鑑を掲載していた。；これは彼の死が事故ではなく自殺だったかもしれないという議論に新たな展望を与えた。；よって港を展望するための遊歩道のたぐいは一切設置されていない。；四大観の山が観光の中心地から遠いので、近くの丘に展望の地を設けたものである。；また運転席の後ろが展望席になっていて、前面展望を楽しむことが可能。；後者にはプレヴェン展望台があり、この場所は露土戦争中の戦場跡である。；客室は展望性を重視して高床式とし、中間には2階建て車両も連結した。；地上50メートルにある展望室からの風景は絶景であり、人気が高い。；城の鐘楼にある城館博物館では250年以上の宮廷の暮らしを展望できる。；中継対象となる競馬場で行われるレースの展望や解説を重点に放送。；展望はほとんど無く、ベンチが数台設置されているだけの静かな山頂である。；伊豆半島ジオパークはこの付近からの優れた展望をジオサイトとしている。；峠の頂上には笹薮の草原が大きく広がり、南側に広い展望が開けている。；Y字型の床は、ペルシア湾の展望が最大限に見えるように設計されている。</t>
        </is>
      </c>
      <c r="J5873">
        <f>HYPERLINK("https://www.weblio.jp/content/展望", "词义详情")</f>
        <v/>
      </c>
      <c r="K5873">
        <f>HYPERLINK("https://yourei.jp/展望", "查看例句")</f>
        <v/>
      </c>
    </row>
    <row r="5874">
      <c r="A5874" t="inlineStr">
        <is>
          <t>電報</t>
        </is>
      </c>
      <c r="B5874" t="inlineStr">
        <is>
          <t>成功</t>
        </is>
      </c>
      <c r="C5874" t="inlineStr">
        <is>
          <t>読み方：でんぽう
発信者の原文を電信で送り、先方で再現して受信者に配達する通信。「—を打つ」</t>
        </is>
      </c>
      <c r="D5874" t="inlineStr">
        <is>
          <t>電報局；電報用紙；電報配達；電報為替；電報サービス</t>
        </is>
      </c>
      <c r="E5874" t="inlineStr">
        <is>
          <t>電文</t>
        </is>
      </c>
      <c r="F5874" t="inlineStr">
        <is>
          <t>無線電報；気象電報；緊急電報；国際電報；新聞電報</t>
        </is>
      </c>
      <c r="G5874" t="inlineStr">
        <is>
          <t>電報電話局；電報通信社</t>
        </is>
      </c>
      <c r="H5874" t="n">
        <v>29</v>
      </c>
      <c r="I5874" t="inlineStr">
        <is>
          <t>電報を読んだ彼の顔は青ざめ、しばらく考えこんだ様子であったという。；この電報のニュースはアメリカ・メキシコの間の緊迫した対立を悪化させた。；こんな電報を打つたものは小樽市始まつて以来なかつたのかも知れない。；当時、自宅に電話を引いてなかったため受賞連絡は電報で知らされた。；この家に来るようにとの夫宛の電報を見て、急いでやってきたのだ。；偶然、電報を翻訳していたそれだけの理由で、それから免かれている。；そこへレストレードから「決定的な証拠を見つけた」との電報が入った。；有本は同年6月頃に日本へ帰国する予定の電報を実家に送っている。；すぐに電報によって所属先決定の知らせを受けた喜代治は準備のために上京。；予約新聞電報は発信人の希望した時刻に送られ、かつ料金も低廉である。；その電報事務所では世界中のどこでも電報を送るために5ドルを徴収した。；悶々としていると故郷から電報が届き、彼の妻の突然の死を告げられる。；業務で電報を多用していた企業や団体では独自の略号を考案して使用していた。；対局者は東京と大阪の産経新聞本社にいて、電報で手順をやり取りした。；ときどき電信室の方から、取次が眠そうな眼をして電報を持って来た。；電報サービスを提供する側と利用する側のそれぞれで発案され、利用されている。；この際にビルマ方面軍宛に、 などの激しい司令部批判の電報を送った。；という電報が村の巡査へ来たとき、彼はもはや消えていたのである。；目的の家には日が暮れたころに到着し、電報を届けることができた。；ヤキ1カ電は電報自体の受電記録は、参加各部隊の何処にも記録はない。；晩年の彼女は電報を送る権利さえ奪われそうになった。；午後1時半に1人の公園保護官が走って到着し、1通の電報をもたらした。；真相は不明だが、現在もこの電報の現物が行方不明なのは事実である。；園は手紙と電報とを机の上に戻しながら始めて座についた。；その死を知らせて来た電報を外骨は生涯手元に置いていた。；一方でジョージは銀行から家にいることを要求する電報を受け取る。；その翌年の4月、佐山は民子が死んだという電報を雪子から受け取った。；フランスがこの電報を入手したのもスイスのベルンを通じてだった。；間もなくリッチモンドの自宅が爆撃されたことを知らせる電報が届いた。</t>
        </is>
      </c>
      <c r="J5874">
        <f>HYPERLINK("https://www.weblio.jp/content/電報", "词义详情")</f>
        <v/>
      </c>
      <c r="K5874">
        <f>HYPERLINK("https://yourei.jp/電報", "查看例句")</f>
        <v/>
      </c>
    </row>
    <row r="5875">
      <c r="A5875" t="inlineStr">
        <is>
          <t>天文</t>
        </is>
      </c>
      <c r="B5875" t="inlineStr">
        <is>
          <t>成功</t>
        </is>
      </c>
      <c r="C5875" t="inlineStr">
        <is>
          <t>読み方：てんぶん
戦国時代、後奈良天皇の時の年号。1532年7月29日〜1555年10月23日。てんもん。</t>
        </is>
      </c>
      <c r="D5875" t="inlineStr">
        <is>
          <t>天文年間(5%)；天文観測(2%)；天文元年(2%)；天文十(2%)；天文二十</t>
        </is>
      </c>
      <c r="F5875" t="inlineStr">
        <is>
          <t>周天文；天文同好会；天文機器；天文図；天文研究所</t>
        </is>
      </c>
      <c r="G5875" t="inlineStr">
        <is>
          <t>天文学；天文台；天文学的；天文単位；天文現象</t>
        </is>
      </c>
      <c r="H5875" t="n">
        <v>29</v>
      </c>
      <c r="I5875" t="inlineStr">
        <is>
          <t>天文撮影や科学機器では冷却機構が最初から設計に含まれているものもある。；神保長職の名が確実な史料に現れるのは天文年間になってからである。；準会員は天文学会の目的に賛同し協力する会員であり、資格を問わない。；天文14年に父・義総が死去すると、家督を継いで第8代当主となる。；天文9年の信虎の信濃国佐久郡侵攻の際に敵城十数を落とす活躍をした。；その他に兼永本とは異系統の一本である天文11年の卜部兼右本がある。；天文19年に父・晴綱が戦死したため、わずか2歳で家督を継承した。；それは今川氏の東三河進出が天文12年以降のことであることによる。；これが享禄年間から天文年間前半の晴久の対外遠征の主たる要因である。；IAUの2009年天文定数によると、A の値は と与えられている。；しかし、天文18年の政長の戦死と前後して兄弟は記録から姿を消してしまう。；そして同年の秋分が天文計算上9月23日となり、同日が秋分の日となる。；当時の月齢を天文知識に基づいて計算すると、この日は天文上の朔に当たる。；家督を継いだのは天文10年、父長棟が出家したときと思われる。；弟子の海部宣男とは飲み友達であるが、いつも天文談義をしていた。；考古学者たちは、当時の人々がすぐれた天文観測能力を有していたと考えている。；天文10年の信玄の信虎追放計画に参加していたといわれている。；天文9年には安祥城を攻略して支配下に置き、長男の織田信広を置いた。；天文19年には今川義元の室になっている娘が死去している。；天文11年頃に家督を継承していると考えられている。；これは天文観測の途中で日付が変わるのは不便だからである。；紀元前150 - 100年に製作されたと考えられている天文計算機械。；史料上に安宅船の名が現われるのは、16世紀中葉の天文年間頃である。；同書はこの後、天文12年と同14年の計4回の安祥合戦を記している。；それに対し天文18年の三好長慶の上洛になると様相が変わってしまう。；天文6年には多賀谷氏と同盟して結城政勝と戦ったが敗れている。；ケプラーは後にティコの天文観測データを使用してケプラーの法則を発見した。；シリウスは最も初期の天文記録にも記録されている。；父が紀州藩で天文係を務めていたこともあり、幼少の頃から機械いじりが得意であった。</t>
        </is>
      </c>
      <c r="J5875">
        <f>HYPERLINK("https://www.weblio.jp/content/天文", "词义详情")</f>
        <v/>
      </c>
      <c r="K5875">
        <f>HYPERLINK("https://yourei.jp/天文", "查看例句")</f>
        <v/>
      </c>
    </row>
    <row r="5876">
      <c r="A5876" t="inlineStr">
        <is>
          <t>伝来</t>
        </is>
      </c>
      <c r="B5876" t="inlineStr">
        <is>
          <t>成功</t>
        </is>
      </c>
      <c r="C5876" t="inlineStr">
        <is>
          <t>読み方：でんらい
［名］(スル)
１外国から伝わってくること。渡来。「仏教は六世紀に日本に—した」
２代々受け継いでくること。「先祖—の土地」</t>
        </is>
      </c>
      <c r="D5876" t="inlineStr">
        <is>
          <t>伝来品；伝来以前；伝来説；伝来当時；伝来以降</t>
        </is>
      </c>
      <c r="F5876" t="inlineStr">
        <is>
          <t>中国伝来；キリスト教伝来；インド伝来；シナ伝来；江戸伝来</t>
        </is>
      </c>
      <c r="H5876" t="n">
        <v>29</v>
      </c>
      <c r="I5876" t="inlineStr">
        <is>
          <t>仏教も伝来以来日本人の死生観に最も影響を与えたものの一つであった。；明帝の時代に仏教が正式に伝来したと伝えられるが、詳細は不明である。；元々はそちらの料理であったとされ日本へは伝来したものと見られている。；その後別ルートでヨーロッパ本国製のものも日本に伝来した可能性はある。；民間ベースではそれ以前にも色々な種類のものが伝来していた可能性がある。；しかし彼は川の上流にある伝来の古いプランテーションに身を隠した。；宗教面では、中国から様々な仏教が伝来し、貴族たちの信仰を集めた。；日本には中国を経て伝来しており、そのため日本でもコショウと呼ばれる。；恐らく最も古いものはヒトの伝来にまで溯らねばならない可能性がある。；その他はインドより伝来のイスラム教やヒンドゥー教などとなっている。；漢字の宮名は西洋から伝来した当初に意訳された占星術用語と思われる。；この頃から、欧米から伝来した写真術に興味を持ち、写真を撮影している。；仏教が伝来した際にそれをいち早く取り入れたのも蘇我氏であったとされる。；しかしながら、日本にはこの書が伝来しており、数奇な運命をたどった。；上杉本は次のような経緯を経て上杉家に伝来したと推定されている。；日本に伝来した麦類は最初は米と同じようには普及しなかった。；イングランド伝来のラグビーリーグは最も人気の高いスポーツである。；瓦の伝来に伴い、飛鳥時代に大陸から日本へ伝えられたと考えられている。；中国にも同様の食品があるので中国から伝来した可能性も高い。；ただし、日本に伝来した理論では、扱える変数の数は一つに限られていた。；中国では古くから天蓋式の傘が発達し、日本へは百済を通じ伝来した。；またモンゴル帝国の遠征に伴って東欧にも伝来したと言われている。；現存する流派は伝来した古文書などを解読して後世再興したものである。；日本へは室町時代中期に伝来し、茶人を中心に香入れとして愛用された。；先住民の多くが、スペイン統治時代に伝来したカトリックを信仰している。；また、心平寺の旧本尊と伝える地蔵菩薩像は今も建長寺に伝来している。；ただ、その技術が日本にどのように伝来したかについては、定かではない。；日本でも奈良時代に中国から伝来したばかりの蝋燭は蜜蝋燭であった。；日本にも伝来年代は不明であるものの、古くから伝来していたものと推定されている。</t>
        </is>
      </c>
      <c r="J5876">
        <f>HYPERLINK("https://www.weblio.jp/content/伝来", "词义详情")</f>
        <v/>
      </c>
      <c r="K5876">
        <f>HYPERLINK("https://yourei.jp/伝来", "查看例句")</f>
        <v/>
      </c>
    </row>
    <row r="5877">
      <c r="A5877" t="inlineStr">
        <is>
          <t>転落</t>
        </is>
      </c>
      <c r="B5877" t="inlineStr">
        <is>
          <t>成功</t>
        </is>
      </c>
      <c r="C5877" t="inlineStr">
        <is>
          <t>読み方：てんらく
［名］(スル)
１ころげ落ちること。「岩場から—する」「—死」
２上位から下位に一挙に落ちること。急激に落ちぶれること。「—の一途をたどる」「幕下に—する」
３堕落すること。身をもちくずすこと。「悪の道に—する」</t>
        </is>
      </c>
      <c r="D5877" t="inlineStr">
        <is>
          <t>転落する(13%)；転落死(3%)；転落防止柵；転落防止用；転落し死亡</t>
        </is>
      </c>
      <c r="E5877" t="inlineStr">
        <is>
          <t>減少；落ちる；滅亡；降下；墜落</t>
        </is>
      </c>
      <c r="F5877" t="inlineStr">
        <is>
          <t>誤って転落；王座転落；最下位転落；野党転落；転落検知マット</t>
        </is>
      </c>
      <c r="G5877" t="inlineStr">
        <is>
          <t>転落防止幌；転落死；転落の詩集</t>
        </is>
      </c>
      <c r="H5877" t="n">
        <v>29</v>
      </c>
      <c r="I5877" t="inlineStr">
        <is>
          <t>当時、現地は濃い霧がかかっており、崖から転落したと推測されている。；渡ることさえ危険なときもあり、橋から転落し命を落とした者さえいる。；思わぬ事故で川に転落し、命を落としてしまった夏己には未練があった。；ロレンスが破壊した列車は、今でも転落地点に転がっているのが見える。；再出場しなければ11月場所での十両転落が確実となる状況に立たされた。；しかし、梁山泊の中でも最も激しい転落人生を送った人物の一人でもある。；以下の状態となった場合、クライマーがビルから転落してミスとなる。；捕鯨船内では、自殺したとか悪天候で船から転落したらしいと言っていた。；ロンドンで強盗に襲われたために窓から転落したと言う説もある。；また、説得に向かった市民や警官が転落死する事故も起きている。；人が自由な決断をすると、現にあるものは本来あるべきものから転落する。；翌年からは赤字に転落し、一般会計に繰り出しのできない時期が続いた。；火山灰で滑りやすくなるため屋根の清掃中に転落する事故も発生している。；いくつかの企業ではニクソン・ショック以降赤字に転落したと証言している。；つまり、ここでいう女性店員とは転落死した高層階の店員のことではない。；皆川故障の影響は大きく、同年、南海は戦後初の最下位に転落している。；・おい、こういう甘い物を食べるところから格闘家の転落は始まるんだぞ。；プロレスのレギュラー放送はゴールデン枠から転落することになった。；エリはこの知らせを聞くと、椅子から転落し、首の骨を折って死んだ。；この試合ではリキシが天井から場外のトラックの荷台に転落している。；罪人は焼けた丸太を必死の形相で渡るが、油で滑って転落しそうになる。；過去にはすれ違いに失敗してバスが転落する事故も発生した。；こうして安城松平氏は全三河の大名から西三河の小大名に転落したのだった。；また、この近辺は崖が非常に高く、転落すれば命の保証は全く無い。；チョウさんは転落死した巡査から奪った拳銃を吉川ひろしの父に与える。；チームが早くから最下位に転落してベテラン優遇から若返りに方針転換。；第9節終了時には最下位に転落し、目標のJ2昇格が厳しい状況となった。；ここに平氏は賊軍に転落することになり、味方を集める事が困難となった。；後、舟遊びの際に水に転落し、それが元で病気を発して死去した。</t>
        </is>
      </c>
      <c r="J5877">
        <f>HYPERLINK("https://www.weblio.jp/content/転落", "词义详情")</f>
        <v/>
      </c>
      <c r="K5877">
        <f>HYPERLINK("https://yourei.jp/転落", "查看例句")</f>
        <v/>
      </c>
    </row>
    <row r="5878">
      <c r="A5878" t="inlineStr">
        <is>
          <t>展覧会</t>
        </is>
      </c>
      <c r="B5878" t="inlineStr">
        <is>
          <t>成功</t>
        </is>
      </c>
      <c r="C5878" t="inlineStr">
        <is>
          <t>読み方：てんらんかい
美術品などを陳列して一般に公開する会。</t>
        </is>
      </c>
      <c r="D5878" t="inlineStr">
        <is>
          <t>展覧会場；展覧会カタログ；展覧会開催；展覧会等；展覧会企画</t>
        </is>
      </c>
      <c r="E5878" t="inlineStr">
        <is>
          <t>露出；照射；見本市；博覧会；感光</t>
        </is>
      </c>
      <c r="F5878" t="inlineStr">
        <is>
          <t>開かれる展覧会；紹介する展覧会；品展覧会；各種展覧会；記念展覧会</t>
        </is>
      </c>
      <c r="G5878" t="inlineStr">
        <is>
          <t>展覧会における美術品損害の補償に関する法律</t>
        </is>
      </c>
      <c r="H5878" t="n">
        <v>29</v>
      </c>
      <c r="I5878" t="inlineStr">
        <is>
          <t>そのキャリアの多くを展覧会の会場構成や既存の建物の改修が占める。；現在ここでは、たとえば展覧会のような公共のイベントが行われている。；日本では、書籍や展覧会においてまとまった形で紹介されたことはない。；今後は、ヨーロッパでも屈指の展覧会設備となることが目指されている。；春と秋に各約1ヶ月間の展覧会開催の他に、出版物刊行も手掛けている。；上記の常設展示の他、地元に関係する展覧会などの会場となることもある。；これらの文化財は世界各地の博物館を巡回する展覧会で公開されている。；大学では主に現代美術の展覧会企画やアートイベントの企画運営等を学ぶ。；当時この展覧会は社会に全く受け入れられず、批判的な反応がいろいろあった。；今回の展覧会では、31人の芸術家による115点の作品が展示された。；この展覧会は、女性参政権運動を強める効果をもたらしたとされている。；と言うのも、この展覧会で外国人がこの賞を獲る事は難しかったのである。；日本においては、大きく取り上げた展覧会の開催も文献の刊行もない。；当時すでにマニフェストの表明としての展覧会の開催を計画していた。；また、オーストラリアとイタリアにおいても、共同展覧会が開催された。；各都市でも市民に対し展覧会を見るよう大規模な宣伝がなされた。；そこに現代的な美しい庭園もあり、絵の展覧会のための屋外エリアもある。；日本だけでなく、世界の美術館でも数多くの展覧会を主催している。；元来は開催中および過去の展覧会カタログを販売するスペースであった。；同博物館の展覧会としては最大の成功を収め、8万人以上が訪れたという。；「言葉を超えて」と題されたその展覧会は、現在も継続して行われている。；現在、敷地内の旧オランジュリーでは定期的に展覧会が開催されている。；この美術館は、特別なテーマを設定した展覧会を頻繁に開いている。；この展覧会は日本でも1937年から1938年にかけて開かれている。；分離派建築会が主催して開催した展覧会を、以下に開催日順に列挙する。；尚、フランスの展覧会と酷似した名称ではあるが、実際には一切関係は無い。；クマノヴォや周囲の村では毎年、複数の展覧会などが行われている。；画家としても知られ、自らの作品の展覧会を度々開催することもある。；新館では、企画展が開催され、全国的な注目を集める展覧会も行われる。</t>
        </is>
      </c>
      <c r="J5878">
        <f>HYPERLINK("https://www.weblio.jp/content/展覧会", "词义详情")</f>
        <v/>
      </c>
      <c r="K5878">
        <f>HYPERLINK("https://yourei.jp/展覧会", "查看例句")</f>
        <v/>
      </c>
    </row>
    <row r="5879">
      <c r="A5879" t="inlineStr">
        <is>
          <t>電流</t>
        </is>
      </c>
      <c r="B5879" t="inlineStr">
        <is>
          <t>成功</t>
        </is>
      </c>
      <c r="C5879" t="inlineStr">
        <is>
          <t>読み方：でんりゅう
電気が導体の中を流れる現象。電位の高い方から低い方へ流れる。その大きさは、単位時間に単位断面を通過する電気量で表す。単位はアンペア。</t>
        </is>
      </c>
      <c r="D5879" t="inlineStr">
        <is>
          <t>電流値；電流i；電流爆破；電流量；電流制御</t>
        </is>
      </c>
      <c r="F5879" t="inlineStr">
        <is>
          <t>大きな電流；過電流；信号電流；電機子電流；微弱な電流</t>
        </is>
      </c>
      <c r="G5879" t="inlineStr">
        <is>
          <t>電流計；電流源；電流が走る；電流戦争；電流丸</t>
        </is>
      </c>
      <c r="H5879" t="n">
        <v>29</v>
      </c>
      <c r="I5879" t="inlineStr">
        <is>
          <t>入力がLOのときの電流の制御の考え方がこの構成でも適用されている。；太陽の回転に伴って太陽内部には数十億アンペアの電流が発生している。；温度が高くなれば飛び出す電子の量が増え、すなわち電流が大きくなる。；同様に、を用いた計算式で電流利得を計算する場合、以下のようになる。；終端を開放すれば電流は流れないので安全、と考えるのは適切ではない。；そこで、電流の測定精度をあげるために、次のような機器が用いられる。；実際の素子では、逆バイアス状態でもごくわずかに逆方向電流が流れる。；磁針の振れる方向が電流の流れている方向に関係することを発見した。；電流経路を短くすることが可能で高周波特性が良いなどの特徴がある。；交流電力の計算に使用される電圧・電流は、通常は実効値で表示される。；例えば円形電流の中心付近に発生する磁場を求める場合がそうである。；ベクトルの向きは電流に垂直で電流が右ねじの向きに流れるようにとる。；また、磁石を固定して導線の方を動かしても電流が流れることを発見。；高圧の直流電圧を発生させることができる一方、電流は低く抑えられる。；一方で、リレーに流れる電流量が変わるため、リレーの動作が変化する。；このようにして小さな電流の糸は互いに引き寄せ合う傾向がある。；そこからベルは音波と同じ波形の電流を生成できるかもしれないと考えた。；生物分野では生きた生物の神経に電流や針など刺激を与え一時的に麻痺させることを指す。；電流が冷たい端から熱い端へ流れるならばエネルギーを解放する。；電流が冷たい端から熱い端へ流れるならばエネルギーを吸収する。；このため短期間に大電流を消費するデジタル機器や照明用途などに向く。；また、ヘルムホルツが発明した検流計を改良して電流力計を製作した。；内部抵抗の影響により、大電流で使用すれば使用時間が著しく短くなる。；よって考えるべき電流はドレインからソースへ流れる電流 のみである。；一部または全部が影に入ったり、夜になると電流の逆流が起きることがある。；ある基準電流が流れるときバリスタの両端子間に発生する電圧で定義する。；これは、短絡特性では界磁電流と電機子電流がほぼ比例することによる。；後者の場合には、暗電流等の問題があるため、通常は用いられない。；この目的で回路に挿入される抵抗器を「電流制限抵抗」などと呼称する。</t>
        </is>
      </c>
      <c r="J5879">
        <f>HYPERLINK("https://www.weblio.jp/content/電流", "词义详情")</f>
        <v/>
      </c>
      <c r="K5879">
        <f>HYPERLINK("https://yourei.jp/電流", "查看例句")</f>
        <v/>
      </c>
    </row>
    <row r="5880">
      <c r="A5880" t="inlineStr">
        <is>
          <t>電力</t>
        </is>
      </c>
      <c r="B5880" t="inlineStr">
        <is>
          <t>成功</t>
        </is>
      </c>
      <c r="C5880" t="inlineStr">
        <is>
          <t>読み方：でんりょく
電流が単位時間にする仕事量。直流では電圧と電流の積に等しい。単位はワット。</t>
        </is>
      </c>
      <c r="D5880" t="inlineStr">
        <is>
          <t>電力不足(3%)；電力事業；電力国家管理；電力開発；電力料金</t>
        </is>
      </c>
      <c r="E5880" t="inlineStr">
        <is>
          <t>電気；電源；エレキ；エレキテル；ワット数</t>
        </is>
      </c>
      <c r="F5880" t="inlineStr">
        <is>
          <t>電力国家；大電力；用電力；キロワットの電力；必要な電力</t>
        </is>
      </c>
      <c r="G5880" t="inlineStr">
        <is>
          <t>電力供給；電力需要；電力消費；電力系統；電力網</t>
        </is>
      </c>
      <c r="H5880" t="n">
        <v>29</v>
      </c>
      <c r="I5880" t="inlineStr">
        <is>
          <t>日本では第二次世界大戦前に、電力の供給を独占する体制が形成された。；現在でも北陸電力は全国でもトップクラスの安さで電力を供給している。；電力は日本では国内産業であるがヨーロッパでは国際取引されている。；電力を表示しているワットが、光や熱の単位のように扱われることがある。；電力の供給がより一般的になると、この手段では不十分であると判明した。；運動以外のエネルギーを電力に変換する発電には以下のようなものがある。；狼男となったヴェルカンの力をもってしても電力が足りなかったのだ。；交流電力の計算に使用される電圧・電流は、通常は実効値で表示される。；また電力不要で動作するのでコンセントのないエリアにも配置可能である。；ただし電気式の場合は発電してその電力で電気車と同様の機構を駆動する。；小型電気製品に電力を供給する目的で用いられる電線をコードと呼ぶ。；その試験とは、信号調整装置に電力が送られなくなった状況を再現するものであった。；電力を消費して熱を移動させる機能を持ち、冷却装置に使用される。；かつては電力も水道も供給が不安定で、停電や断水が頻繁に起きていた。；この発明によって、産業と家庭に経済的に電力を供給することが可能となった。；無駄な電力を消費することになるが、品質保持のためには必要な措置である。；現在でも大電力品や特殊な用途の抵抗器では、このタイプのものが使われている。；PSEはこれをクラスに分類し、その要求電力に合わせて給電を開始する。；日本の商用電力のほとんどはこの巨大な電力系統に接続されている。；日本の電力各社は海外の転換工場からこの状態のウランを買いつけている。；この他、風力発電で得られた電力から水素を製造する手法も研究されている。；これは、電力の普及の遅れによって薪炭を燃料とせざるを得ないためである。；小電力であれば「マトリクスコンバータ」などとして製品化されている。；上下水道と電力の供給は、国家レベルでは国営のジラマ社が担っている。；電力も制限されていき、ろうそくを明かりの代わりに使用するようになった。；このため水力発電所の建設が相次ぎ、タイなどに電力を輸出している。；電力を分配したい多くの地域では非同期ネットワークをもっている。；パラグアイは世界でもっとも多く電力を輸出している国である。；また、き電区間が長いため、発生した電力を他の車両が消費する機会も多い。</t>
        </is>
      </c>
      <c r="J5880">
        <f>HYPERLINK("https://www.weblio.jp/content/電力", "词义详情")</f>
        <v/>
      </c>
      <c r="K5880">
        <f>HYPERLINK("https://yourei.jp/電力", "查看例句")</f>
        <v/>
      </c>
    </row>
    <row r="5881">
      <c r="A5881" t="inlineStr">
        <is>
          <t>電話</t>
        </is>
      </c>
      <c r="B5881" t="inlineStr">
        <is>
          <t>成功</t>
        </is>
      </c>
      <c r="C5881" t="inlineStr">
        <is>
          <t>読み方：でんわ
［名］(スル)
１電話機を用いて通話すること。「—をかける」「—に出る」「自宅に—する」
２電話機。また、電話回線。「—を引く」「公衆—」「携帯—」</t>
        </is>
      </c>
      <c r="D5881" t="inlineStr">
        <is>
          <t>電話口；電話連絡；電話室；電話器；電話番</t>
        </is>
      </c>
      <c r="E5881" t="inlineStr">
        <is>
          <t>番号；ナンバー；コール；通話；電話機</t>
        </is>
      </c>
      <c r="F5881" t="inlineStr">
        <is>
          <t>直接電話；電話越し；電話送稿；電話リレーサービス；電話番号案内</t>
        </is>
      </c>
      <c r="G5881" t="inlineStr">
        <is>
          <t>電話機；電話帳；電話ボックス；電話回線；電話線</t>
        </is>
      </c>
      <c r="H5881" t="n">
        <v>29</v>
      </c>
      <c r="I5881" t="inlineStr">
        <is>
          <t>また、乗車の場合は両駅のホームに設置されている連絡電話を使用する。；相手が何らかの理由で電話が通じない場合にはCM明けに再連絡となる。；母は対局が行われたNHKのスタジオから、すぐに二上に電話を入れた。；自宅に帰ると三上から「愛しているからやらせろ」と何度も電話が入る。；部屋に入ると電話が鳴っており、それは三上とさとみからの誘いだった。；これらの実験で、電話が長距離でも作動することをはっきりと証明した。；基本的には、大量の電話が短時間に集中することで輻輳状態が発生する。；手紙や電話は検閲を受け、英語以外の言語で電話をすることは禁止された。；通常は全員が電話による出演だが、まれにスタジオ出演することもある。；またうつ病を抱えており、友人からの電話に出ないことも多かったと言う。；電話やインターネットでの予約も可能だが換券は駅などで行う必要がある。；またSNSの普及で電子メールや電話からSNSへの移行も起きている。；当時はまだ電話そのものが珍しく、加入者が集まらずに苦労した時代。；電話通信には目に見えないところで大きな変化も起きている。；これらの電話の会話はほとんどが機体の破壊の時まで続いた。；リハビリテーション後は、電話での会話も出来るほどに回復する例も多い。；音声データであれば電話となり、映像データであればテレビ電話となる。；企業向けの電話機器、情報通信機器の製造販売事業を主に手がけている。；オリックスとはこの電話交渉のみでテーブルにつくことはなかった。；電話については、その前に電電公社に分社されたためそのままにされた。；受かるはずがないと自身は思っていたのに合格の電話をもらった。；百貨店に電話すると仁は十日前に退職しており、消息不明になっていた。；見学は完全予約制で、数日前に予め電話をするかチケットの入手が必要。；移動式電話は、かつての自動車電話やその後に登場した携帯電話などである。；東京で働いていた弟は、「死亡」情報を姉の一人から電話で受けた。；このホテル滞在中にダイアナはウィリアム王子から電話を受けている。；なお、選挙期間中の電話による投票依頼は公職選挙法で認められている。；当時、自宅に電話を引いてなかったため受賞連絡は電報で知らされた。；ただし、ガソリンの価格や電話の価格などの計算には引き続き使用されている。</t>
        </is>
      </c>
      <c r="J5881">
        <f>HYPERLINK("https://www.weblio.jp/content/電話", "词义详情")</f>
        <v/>
      </c>
      <c r="K5881">
        <f>HYPERLINK("https://yourei.jp/電話", "查看例句")</f>
        <v/>
      </c>
    </row>
    <row r="5882">
      <c r="A5882" t="inlineStr">
        <is>
          <t>すっきり</t>
        </is>
      </c>
      <c r="B5882" t="inlineStr">
        <is>
          <t>成功</t>
        </is>
      </c>
      <c r="C5882" t="inlineStr">
        <is>
          <t>［副］(スル)
１わだかまりがなく、気持ちのよいさま。また、よけいなものがないさま。さっぱり。「—（と）した文章」「頭が—する」「気分が—する」
２服装・姿勢などが洗練されていて、人に好感を与えるさま。「和服を—（と）着こなす」
３残るものが何もないさま。すっかり。全部。
「身代を—助六に入り上げる」〈伎・助六〉
４（あとに打消しの語を伴って用いる）ちっとも。まったく。全然。
「—通はぬ事となりて二世の約束あだとなり行く」〈浮・敗毒散・二〉</t>
        </is>
      </c>
      <c r="D5882" t="inlineStr">
        <is>
          <t>すっきりするだろ；すっきりと伸び；すっきりと晴れ；すっきりと整理；すっきりとした味</t>
        </is>
      </c>
      <c r="E5882" t="inlineStr">
        <is>
          <t>拘らず；快感；思い切って；痛快；潔く</t>
        </is>
      </c>
      <c r="F5882" t="inlineStr">
        <is>
          <t>頭をすっきり；どうもすっきり；非常にすっきり；ほうがすっきり；もっとすっきり</t>
        </is>
      </c>
      <c r="G5882" t="inlineStr">
        <is>
          <t>すっきりソング</t>
        </is>
      </c>
      <c r="H5882" t="n">
        <v>29</v>
      </c>
      <c r="I5882" t="inlineStr">
        <is>
          <t>じっと見るとどこか間が抜けていて、すっきりとはしていないのである。；テーブルの上にはなにもなく、汚れた部分もなしにすっきりとしていた。；好きだと伝えて、すっきりさせるだけでもずいぶん楽になるはずである。；自分がなにを口にしたのかはおぼえていず、すっきりした気分だけが残る。；彼のものを読むと、なにしろすっきりしていると思わずにはいられない。；複雑な装飾はこの中心部に集中し、他はすっきりした線で構成されている。；頭のなかがすっきり整理された気分で、つぎの試験にはいい成績がとれた。；自分がすっきりと戻ってきたのは、自宅の玄関ドアを開けた時だった。；といって、ほかの作家たちのが、すっきりしていないというのではない。；背丈のすっきりと伸びた美しい女性なのに、挙動にどこか隙があるのだ。；きれいに膝ののびる、すっきりとした彼女の歩きかたが、ぼくは好きだ。；そのせいもあって離婚に当たっての財産分与はすっきりしたものでした。；すっきりと白い天井の上で、それはもう無視できないくらいに成長していた。；さてこれで疑問がきれいすっきりぽんと解消されたかというとそうではなく。；コーヒーでも一杯やったら頭がすっきりするだろうと思いました。；その後に、そうした問題がようやくすっきりと解消されることになる。；頭がすっきりして、気持もこの三日ほどのうちでいちばん落ち着いていた。；すっきりしなかったけれど、どうすればいいのか僕にはよくわからなかった。；まあ止めておくんですねと正直に言えたなら、どんなにすっきりするだろう。；この毒は、すっきりした解決を与えてくれる「水没」と表現されている。；きめられたスペースのなかに、すっきりした形でまとめなくてはならない。；豪奢でありながらあれほどすっきりした趣味を僕は見たことがない。；従って視線をある高さより上に向けると、すっきり何も目に入らなかった。；泣いてすっきりする時もあるし、泣いたくらいでは治らない時もある。；年は二十七、江戸の水で洗い上げたような、すっきりした二枚目である。；彼女と自分の関係を、ここですっきりと明らかにしておきたかったからだった。；やや甘口で酸味もあるすっきりとした飲み口がパラダイスを感じさせる。；俺もそれを目的でいやらしく言ってやっただけに、ちょっとすっきりした。；ここで ちゃんとしておけば やっぱり すっきりしますからね。</t>
        </is>
      </c>
      <c r="J5882">
        <f>HYPERLINK("https://www.weblio.jp/content/すっきり", "词义详情")</f>
        <v/>
      </c>
      <c r="K5882">
        <f>HYPERLINK("https://yourei.jp/すっきり", "查看例句")</f>
        <v/>
      </c>
    </row>
    <row r="5883">
      <c r="A5883" t="inlineStr">
        <is>
          <t>都</t>
        </is>
      </c>
      <c r="B5883" t="inlineStr">
        <is>
          <t>成功</t>
        </is>
      </c>
      <c r="C5883" t="inlineStr">
        <is>
          <t>読み方：つ
⇒と</t>
        </is>
      </c>
      <c r="D5883" t="inlineStr">
        <is>
          <t>都宮城；都會；都宮駅；都督；都指揮</t>
        </is>
      </c>
      <c r="F5883" t="inlineStr">
        <is>
          <t>主都；郡都；遷都；県都；軍都</t>
        </is>
      </c>
      <c r="G5883" t="inlineStr">
        <is>
          <t>都合；都会；都道府県；都内；都市計画</t>
        </is>
      </c>
      <c r="H5883" t="n">
        <v>29</v>
      </c>
      <c r="I5883" t="inlineStr">
        <is>
          <t>なお、現段階で都ハエ所属でも宮ハエ表記をしている車両が大半である。；長政軍が稷山に至ると漢城では恐れ戦いた多くの人々が都から逃亡した。；等伯の作品には都でもあまり見られないほど良質の顔料が使われている。；なお首都のブダペスト都はいずれにも属さない、独立した自治体である。；都の機関でありながら、その全区域を担当しない特殊な機関である。；僧は都の漢陽に入ることを禁止された上、賎民階級に身分を落とされた。；軍都熊本の名前もあるように、太平洋戦争終戦前は陸軍が使用していた。；しばらくして都の外れにある家にたいへん見事な紅梅が見つかった。；運ばれた物資は都の中にある大きな2つの市に送り、人々の生活を支えた。；紀元前606年には兵を周の都・洛邑の郊外にまで進めそこに駐屯した。；頼盛は都に戻るが、すでに池殿は全焼しており後白河院に保護を求めた。；彼らは京都鴨川河原に小屋住まいをし、都の民のために賤業に従事した。；抵抗した中には、浙江を都にして王を名乗った壮息という人物もいた。；朱元璋の軍は、即位するや大規模な北伐を開始して元の都・大都に迫った。；そのため呉の使者が都に派遣されると、朝廷から尋問を受けて抑留された。；しかし1943年7月1日には東京市が都制に移行して消滅している。；パリは「光の都」と呼ばれ、ロンドンに匹敵する経済都市に成長した。；例えばエメラルドの都の門や住宅を描く際、文章には登場しない国民の姿も描いた。；また、明治に入ると付近に陸軍基地が置かれ、軍都として発展した。；恐れをなした洪信は、皆にこの事を固く口止めして山を降り、都へ戻った。；中央官であり、通常は都に居住して神宮関係の行政に従事した。；また、以下のように国力による分類と都からの距離による分類が行われた。；時代や統治形態などにもよるが都は現在のチエンマイとしていた。；最大の都市は首都で、グランドコモロ島の主都でもあるモロニである。；そして都で散楽を見た地方出身者らによって、日本各地に広まっていった。；マーニヤケータに都が定められたのは彼の治世だとする説もある。；北京遷都前の都であった盛京は奉天府と改称されて副都として扱われた。；都は現役の学生小説家としてデビューし、さらに小説を書き続けていくことになる。；駅名は奈良時代の都である平城京の南端に位置することが由来とされている。</t>
        </is>
      </c>
      <c r="J5883">
        <f>HYPERLINK("https://www.weblio.jp/content/都", "词义详情")</f>
        <v/>
      </c>
      <c r="K5883">
        <f>HYPERLINK("https://yourei.jp/都", "查看例句")</f>
        <v/>
      </c>
    </row>
    <row r="5884">
      <c r="A5884" t="inlineStr">
        <is>
          <t>戸</t>
        </is>
      </c>
      <c r="B5884" t="inlineStr">
        <is>
          <t>成功</t>
        </is>
      </c>
      <c r="C5884" t="inlineStr">
        <is>
          <t>読み方：こ
［音］コ（漢）　［訓］とへ
［学習漢字］2年
〈コ〉
１と。とびら。「戸外／門戸」
２家。「戸主・戸数・戸籍・戸別訪問」
３酒を飲む量。「下戸(げこ)・上戸(じょうご)」
〈と（ど）〉「戸口・戸棚・戸袋／雨戸・網戸・井戸」
［名のり］いえ・かど・ひろ・もり
［難読］破落戸(ごろつき)・鳴戸(なると)・八戸(はちのへ)</t>
        </is>
      </c>
      <c r="D5884" t="inlineStr">
        <is>
          <t>戸越し；戸閉；戸以上；戸を叩く音；戸余り</t>
        </is>
      </c>
      <c r="E5884" t="inlineStr">
        <is>
          <t>家；ドア；門；屋；扉</t>
        </is>
      </c>
      <c r="F5884" t="inlineStr">
        <is>
          <t>硝子戸；一戸；万戸；千戸；三戸</t>
        </is>
      </c>
      <c r="G5884" t="inlineStr">
        <is>
          <t>戸棚；戸籍；戸外；戸惑い；戸田</t>
        </is>
      </c>
      <c r="H5884" t="n">
        <v>29</v>
      </c>
      <c r="I5884" t="inlineStr">
        <is>
          <t>宗光の父は伝承によると、正親町三条家からの養子といわれる戸田実光。；戻ってきた伯爵夫妻が戸を開けると出てきたのは当然スザンナである。；一戸営業所の高速車2台が専属で使用され、検査時のみ車両交換を行う。；同駅周辺にはもともと10戸ほどの集落が存在するのみの駅であった。；中の間の床脇の地袋の戸に描かれた鸚鵡と果物籠の図は呉春の筆である。；郡の下の単位が県であり、その長は一万戸以上の場合は令・万戸以下は長と呼ばれる。；戸99は往路のみが夕方以降運行され、平日は深夜便も設定されている。；段戸会は幸田町や豊川市など岡崎市近隣の自治体でも結成されている。；イスラエルはで、先の1600戸を合わせ5万戸の入植を計画している。；同年のうちに曹叡が即位すると、楽亭侯・衛尉になり千戸の所領を得た。；案浦姓は福岡県糟屋郡にしか存在しない100戸余りの少ない姓である。；生産に用する資産を持たず、自律的に生産しない戸は客戸とされた。；吊戸は側構の外部で扉を吊って、横にスライドして開閉する構造である。；あくまで戸幅であるので、同じ43-20でも全体幅・奥行きは異なる。；以前は、戸閉半減を用いて停車中の電車の一部ドアを閉鎖していた。；その負担は非常に重いもので、上等戸といえどもしばしば破産するに至った。；天平10年3月28日には山階寺に食封千戸が朝廷から施入されている。；は数軒の家により構成されており、たいていは5戸 - 7戸から成る。；シュトライヒャーの足元の落とし戸が開き、彼の体がその下へ消えた。；戸とあるから、蔀ではなく大陸様式の開き戸であったと考えられる。；古いものでは手動式もあり、国によってはかご戸のないものも少なくない。；小規模地方工業が発達しており、とくに窓戸紙・陶磁器が知られる。；これをきっかけに魏では戸単位で布帛を課す戸調制が導入されることになる。；このことから口は戸の内、丁のみの数字である可能性もある。；また、開口部の下部にはガラス戸を設置し、さらに開放感を高めている。；両税を納める戸を主戸といい、納税する能力のない戸を客戸と呼ぶ。；なお二戸・久慈地域は当該地域への郵便物を除き八戸貨物駅の担当である。；天王台駅が開業するまでは下ヶ戸・岡発戸地域で唯一の駅であった。；かつては七戸文化村という愛称が使用されていたが、現在は愛称を制定していない。</t>
        </is>
      </c>
      <c r="J5884">
        <f>HYPERLINK("https://www.weblio.jp/content/戸", "词义详情")</f>
        <v/>
      </c>
      <c r="K5884">
        <f>HYPERLINK("https://yourei.jp/戸", "查看例句")</f>
        <v/>
      </c>
    </row>
    <row r="5885">
      <c r="A5885" t="inlineStr">
        <is>
          <t>問い</t>
        </is>
      </c>
      <c r="B5885" t="inlineStr">
        <is>
          <t>成功</t>
        </is>
      </c>
      <c r="C5885" t="inlineStr">
        <is>
          <t>読み方：とい
１問うこと。質問。「—を発する」
２試験などの問題。設問。「左記の—に答えよ」</t>
        </is>
      </c>
      <c r="D5885" t="inlineStr">
        <is>
          <t>問いたげ(4%)；問いたい；問い直す；問いかえし；問い続け</t>
        </is>
      </c>
      <c r="E5885" t="inlineStr">
        <is>
          <t>問題；質問；課題；問；悩み</t>
        </is>
      </c>
      <c r="F5885" t="inlineStr">
        <is>
          <t>同じ問い；問い糺す；妻問い；こういう問い；問いかえす</t>
        </is>
      </c>
      <c r="G5885" t="inlineStr">
        <is>
          <t>問い合わせ；問いかける；問いただし；問い詰め；問いつめ</t>
        </is>
      </c>
      <c r="H5885" t="n">
        <v>29</v>
      </c>
      <c r="I5885" t="inlineStr">
        <is>
          <t>そして彼の後期の営みこそ、後者の問いに答える哲学であるとしている。；しかし死体解剖は行われず、そのためこの問いは答えのないままである。；また、BLAST は次のような問いを考えるときに使うことができる。；まったく事情に暗い人だけがあなたの問いのようなのを出せるのです。；その問い自体、未だかつて問われたことがほとんどなかったからである。；情報とは何かという問いに、ただひとつの答えを与えることは困難である。；という問いは、そもそも問題の前提が破綻しており答えは定義できない。；彼は今が何年の何月何日であるかを問い、近くに時計屋がないかと尋ねる。；そこでもまた同じ問いをくり返したが、やはりいい結果は得られなかった。；犬を見て、犬がいいのか飼い主がいいのかという不思議な問いをしてくる。；お前はあれをやったことがあるのかとお問いになるのですか。；彼は私の問いに対しても正確に答え、よく考えてものを言っているのである。；この問いは、主人公の行動のきっかけという観点から構成する必要がある。；と言う問い掛けを提示するような感じは珍しいことでしたね。；そして様々に問い試みたのですが、女中は何事も知らないのです。；わたしは今ここで、将門に娘があったか無かったかを問いたくない。；哲学者永井均は、この問いには、おそらく答えがないだろうとしている。；問いを直接分析するのではなく、「なぜ」とは何なのか、を分析した。；それは男がこれまで門番に一度も訊いたことのない問いだった。；つまり、問いの主題と答えの主題が何らかの関連を持っているものが好まれる。；武帝は怒りを静めてその場では許したものの、後に罪に問い免職した。；さらに奥深く問い進んでゆくと、彼女の答えはいよいよ鮮かになった。；脚本は、戦後日本のあり方を問い続けてきたジェームス三木が担当した。；逆にこの問いは「小説とは何か」という問いにも関わってくるだろう。；そして、その影が見えなくなると、やっと安心して、洋子の問いに答えた。；その中で彼は自分が何者か、どう生きるのかという問いに答えを出していくのだった。；それは自分が今生きていることの意味合いを、正面から問い直すものだった。；だから、この王さまのお問いになったのも無理はないことでした。；時間と空間の哲学では以下のような問いが考察されている。</t>
        </is>
      </c>
      <c r="J5885">
        <f>HYPERLINK("https://www.weblio.jp/content/問い", "词义详情")</f>
        <v/>
      </c>
      <c r="K5885">
        <f>HYPERLINK("https://yourei.jp/問い", "查看例句")</f>
        <v/>
      </c>
    </row>
    <row r="5886">
      <c r="A5886" t="inlineStr">
        <is>
          <t>問い合わせ</t>
        </is>
      </c>
      <c r="B5886" t="inlineStr">
        <is>
          <t>成功</t>
        </is>
      </c>
      <c r="C5886" t="inlineStr">
        <is>
          <t>読み方：といあわせ
問い合わせること。照会。「—が殺到する」</t>
        </is>
      </c>
      <c r="D5886" t="inlineStr">
        <is>
          <t>問い合わせ先；問い合わせ窓口；問い合わせたら；問い合わせ電話；問い合わせ対応</t>
        </is>
      </c>
      <c r="E5886" t="inlineStr">
        <is>
          <t>調査；質問；問い；問いかけ；うかがい</t>
        </is>
      </c>
      <c r="F5886" t="inlineStr">
        <is>
          <t>どうか問い合わせ；各種問い合わせ；電話問い合わせ；簡単な問い合わせ；あちこち問い合わせ</t>
        </is>
      </c>
      <c r="G5886" t="inlineStr">
        <is>
          <t>問い合わせれ；問い合わせ言語；問い合わせよ；問い合わせ文字</t>
        </is>
      </c>
      <c r="H5886" t="n">
        <v>29</v>
      </c>
      <c r="I5886" t="inlineStr">
        <is>
          <t>窓もついでに問い合わせたが、人間の通れるほどの大きさはないという。；しかし警察に問い合わせても、誰も少年の目撃者のことは知らなかった。；家族が午後7時過ぎになって学校へ問い合わせ、教師が遺体を発見した。；一部番地は小学校区が未設定となっているため問い合わせが必要である。；なかには、誰もが知るグローバル企業からの問い合わせもあったという。；おそらく友人が問い合わせをするだろうが、いずれにせよリスクはある。；問い合わせにはすべて書面で答えることになっていると彼女は言った。；自然文の問い合わせをAIが解釈し、質問と回答から適切な情報を表示。；異議や不明な部分があった場合は、ノートで問い合わせてみてください。；その試みでは火災のたびに出火場所の問い合わせばかりが一時に集中した。；あたしの父はもう連邦基地へ問い合わせを出してるかもしれません。；この例の問い合わせは関係論理では次のような宣言的に定式化できる。；あれは放送局から問合わせの電話があったので放送延期を頼んでおいたよ。；問い合わせ、感想、意見など話題は多彩だったが現在は使われていない。；OLAPを実装する際に困難なのは問い合わせを作成することである。；日本語での問い合わせをしたい場合は、代理店に依頼するのが一般的である。；「電話で問い合わせてみよう」 なに、この田舎宿には電話まであるのか。；公式ホームページ、もしくは本部に直接問い合わせ参加することが可能。；旅順から電話がかかってこっちへはいつ来るかという問合わせである。；もう一つ問い合わせの返事はまだですが、いずれこの次までには。；問い合わせ先などもこの部分に記載されていることが多い。；この価格でユーザーからの問い合わせに丁寧に答える体制が作れるか。；井伏は斎藤氏に誰か良い相手はいないかと手紙で問い合わせをする。；先に殺してしまってから、あとでその人のことを問い合わせたりすることがよくあるわ。；この方針は広く知られなかったらしく、後に陸軍も同内容の問い合わせを行っている。；ペンタゴンにはこの件で問い合わせが殺到し回線はパンク状態になった。；ミルズは、何年にも渡ってその話についての問い合わせを受け続けた。；しかし東流事務局に問い合わせても彼女とは連絡が取れない状態だという。；月末か、そうでなくても来月のうちには、家に問合わせがくるに違いない。</t>
        </is>
      </c>
      <c r="J5886">
        <f>HYPERLINK("https://www.weblio.jp/content/問い合わせ", "词义详情")</f>
        <v/>
      </c>
      <c r="K5886">
        <f>HYPERLINK("https://yourei.jp/問い合わせ", "查看例句")</f>
        <v/>
      </c>
    </row>
    <row r="5887">
      <c r="A5887" t="inlineStr">
        <is>
          <t>問い合わせる</t>
        </is>
      </c>
      <c r="B5887" t="inlineStr">
        <is>
          <t>成功</t>
        </is>
      </c>
      <c r="C5887" t="inlineStr">
        <is>
          <t>読み方：といあわせる
［動サ下一］［文］とひあは・す［サ下二］不明の点を聞いて確かめる。照会する。「試験の合否を—・せる」</t>
        </is>
      </c>
      <c r="D5887" t="inlineStr">
        <is>
          <t>聞く；質問；問う；尋ねる；聴く</t>
        </is>
      </c>
      <c r="H5887" t="n">
        <v>29</v>
      </c>
      <c r="I5887" t="inlineStr">
        <is>
          <t>しかしあの様子からすると、家主に問い合わせることはなさそうだった。；詳細は各社へ問い合わせるか実際に試験をして動作を確認する必要がある。；あたしが出ているのを見つけたら養父はテレビ局に問い合わせるだろう。；私の同僚がこのことでわざわざフランスに電話で問い合わせるとは思えません。；仲間が失踪したと聞けば、真っ先に家族に問い合わせるのが普通ですよ。；クラス会の同行者の名を聞いて問い合わせることは絶対になかった。；それを調べるため、陣内は作った会社に問い合わせることにしたのだ。；妻が勤務していた出版社に問い合わせると、そんな出張はしていないと言う。；田舎には住所を知らせてあるが、彼女がそんなことを問い合わせるはずがない。；それにいまは行事にかかっていて、いちいち他人に問い合わせる暇もない。；それがまた、もう一つの事情を問い合わせる一番の早道でもあった。；警察に問い合わせることになっていた検察官からの回答がまだないことが幸いだ。；一度問い合わせると何度断ってもいやがらせのように電話営業をしてくる。；そのためアンケートや試験後に問い合わせるための用紙が配布された。；あなたがどうなったかを問い合わせる勇気もなかった。；食堂について問い合わせると、それもシーズンまでは閉まっているという。；そういえば、さっき天幕の世界のことを問い合わせるとか三世が言っていたっけ。；とにかく、四人の人間が旅行係官に問い合わせるほど、関心を持っているのだ。；それ以前のものは事務局に問い合わせることで入手ができる。；ちらしの下に書かれた連絡先に問い合わせるほどの勇気はもちろんなかったわけだし。；講習のスケジュールや内容の詳細は最寄りの保健所に問い合わせること。；京都のホテルに問い合わせると、晋吉の供述にほぼ間違いないことが分かった。；会場に次のライブを問い合わせる電話が殺到したという。；そこで団に問い合わせると、たしかに滝本という友人がいることがわかった。；テレビ局に問い合わせることも考えたが、それは大袈裟なので、やめにした。；主に経営者、従業員や外部の関係者に直接問い合わせることである。；事前の申し込みや入場料が必要な場合があるので、詳細は各施設に問い合わせること。；彼によると、移民官は中国領事館に彼の身元を問い合わせるなど非協力的な態度をした。；正しい注意事項について知るためには製造者に問い合わせるのが良い。</t>
        </is>
      </c>
      <c r="J5887">
        <f>HYPERLINK("https://www.weblio.jp/content/問い合わせる", "词义详情")</f>
        <v/>
      </c>
      <c r="K5887">
        <f>HYPERLINK("https://yourei.jp/問い合わせる", "查看例句")</f>
        <v/>
      </c>
    </row>
    <row r="5888">
      <c r="A5888" t="inlineStr">
        <is>
          <t>問いただす</t>
        </is>
      </c>
      <c r="B5888" t="inlineStr">
        <is>
          <t>成功</t>
        </is>
      </c>
      <c r="C5888" t="inlineStr">
        <is>
          <t>読み方：といただす
［動サ五（四）］疑問・不審の点について、納得するまで質問し、明らかにする。また、真実を言わせようと厳しく追及する。「事実関係を—・す」「問いつめ—・す」</t>
        </is>
      </c>
      <c r="D5888" t="inlineStr">
        <is>
          <t>問いただすべき；問いただすような視線</t>
        </is>
      </c>
      <c r="E5888" t="inlineStr">
        <is>
          <t>聞く；質問；問う；疑う；尋ねる</t>
        </is>
      </c>
      <c r="H5888" t="n">
        <v>29</v>
      </c>
      <c r="I5888" t="inlineStr">
        <is>
          <t>わたしにその疑問を問いただそうとしないわけが、きみにあるだろうか?；別れたいといい出した妻に、彼は、その理由を問いただしたことがある。；そしてそのあとではっきり汲みとれなかった点をいくつか問いただした。；フォーブスに問いただしてみたが、彼はそれを言うことができなかった。；そこで男は売り主にこの馬にはどんな欠点があるのかと問いただします。；しかし村人たちは老人と女房に面とむかって問いただすことはしなかった。；私は石ならあり得そうな事だと思い、彼女を問いただすも、石は否定する。；それを聞いた家康は黒い大きな目を輝かせながら、天海に問いただした。；何のつもりで人の荷馬車で寝ているのか、と問いたださなければならない。；頭にまだつけているヘッドランプがなんなのかを問いただす元気もなかった。；二人が何をしたのか、意気地なしのわたしには問いただす勇気はなかった。；帰るとアズィーザは病にふせっており、あの詩は伝えたかと問いただす。；その間の事情を問いただしても、口をつぐんで頑として答えてくれない。；また製作者に向けては、映画の制作意図を問いただす質問状が送りつけられた。；ちょっと様子が変だからといって、何か問いただすこともできない。；その武装にどんな意味が込められていたのか、問いただすまでもない。；問いただす勇気はなかったし、証拠もないのに疑うのは悪いと思った。；なぜといって、ぼくは夏川に問いたださなくてはならないことがある。；もしできることなら、彼女は月に向かって問いただしてみたかった。；噂の主が帰ってきて周囲の人間がどうするかというと、噂を問いただしに来る訳だ。；彼は患者の治療で満足せず病気の状態と原因を問いただした。；そのことを問いたださねば、と思いながら、由紀子は別の質問をしていた。；百余年もむかしのこととなれば、茫々としてだれも問いただす者もない。；どうして私は、姉が生きているうちに勇気を出して問いたださなかったのだろう。；彼がだれであるか、なんのためにきたのか、それは問いただすまでもなかった。；女は犬の遺骸をどこに埋めたのかと問いただしたが、男は決して答えなかった。；顔色を変えて理由を問いただすと、ようやく運転手は口を開いた。；気になって問いただしてみると、息子はじっと彼の目を覗きこんだ。；何を言うなというのか問いただそうとして、ふりむいた彼は言葉を忘れた。</t>
        </is>
      </c>
      <c r="J5888">
        <f>HYPERLINK("https://www.weblio.jp/content/問いただす", "词义详情")</f>
        <v/>
      </c>
      <c r="K5888">
        <f>HYPERLINK("https://yourei.jp/問いただす", "查看例句")</f>
        <v/>
      </c>
    </row>
    <row r="5889">
      <c r="A5889" t="inlineStr">
        <is>
          <t>棟</t>
        </is>
      </c>
      <c r="B5889" t="inlineStr">
        <is>
          <t>成功</t>
        </is>
      </c>
      <c r="C5889" t="inlineStr">
        <is>
          <t>読み方：とう
［常用漢字］　［音］トウ（漢）　［訓］むね　むな
〈トウ〉
１家屋の頂上を横に突き通す木。むな木。「上棟式・汗牛充棟」
２長いむねの建物。「病棟・研究棟」
３頭に立つ人。「棟梁(とうりょう)」
〈むね〉「別棟」
〈むな〉「棟木」
［名のり］すけ・たか・みね</t>
        </is>
      </c>
      <c r="D5889" t="inlineStr">
        <is>
          <t>棟以上；棟札；棟続き；棟並ん；棟つづき</t>
        </is>
      </c>
      <c r="E5889" t="inlineStr">
        <is>
          <t>棟木</t>
        </is>
      </c>
      <c r="F5889" t="inlineStr">
        <is>
          <t>二棟；三棟；研究棟；a棟；b棟</t>
        </is>
      </c>
      <c r="G5889" t="inlineStr">
        <is>
          <t>棟梁；棟札；棟方；棟方志功；棟木</t>
        </is>
      </c>
      <c r="H5889" t="n">
        <v>29</v>
      </c>
      <c r="I5889" t="inlineStr">
        <is>
          <t>このシステムは現在主に共通教育棟で学んでいる学生に使用されている。；ここでは、戦争を切り抜けた数棟の建物の他は近代的な目的建築が多い。；駅舎はなく、ホーム入口横にトイレを備えた待合室棟が設けられている。；交流棟の前には巨大な日時計モニュメントを含む広場が設置されている。；その結果、小学校の平面は片廊下の棟を数棟並べた形式に収斂していく。；駅舎にトイレが設置されているが、駅舎に隣接してトイレ棟がある。；同年11月には商業棟が公売にかけられていたことが明らかとなった。；平入だが、軒先と棟は道に平行させ軒高さに統一された景観が見られる。；破壊されたにもかかわらず、両翼棟の一部は復元され保存されている。；南棟で死亡した民間人は計630人であり、北棟の半分以下の数字だった。；最高部で156mであり、2つの事務所棟の間は連絡橋でつながっている。；このビルをはじめ周囲には十数棟の高級超高層アパートメントがある。；城壁にはガラス窓が取り付けられ、中庭には新たな翼棟が建設された。；たとえば化学の授業を受けるには理科棟に移動して授業を受けることになる。；新設されたシネマ館はイオン棟2階西側からの連絡通路で行くことが可能。；地形の関係でトイレ棟は待合所より一段高い場所に設置されていた。；ヴォーリズの手になる別荘も数棟残っており、現在も使用されている。；教室棟にはI・II棟合わせて4基のエレベーターが設置されている。；ちなみに、上記の事情から本棟には演芸場の受付を設けていなかった。；総門は三つ棟造りであり、脇間の前後に四天王像を安置する珍しいもの。；家族持ちはパタリロ山に立てられた賃貸コテージ群の一棟に居住する。；この校舎は北棟と西棟がL字に結びつく形の平屋のバラック建てだった。；ほとんどの棟が接続されており一つの建物群となっているが、以下の建物で構成されている。；このリニューアル時点で東棟と新館合わせて151のテナントとなった。；一部残った軍の施設も引き続き教育学部の校舎やサークル棟等に利用されていた。；現校舎ではトイレ用スリッパの着用は体育館棟1階トイレのみである。；そのほか、上りホームには独立した待合所が一棟設けられている。；店舗棟の東棟・西棟・北棟、駐車場棟の南棟で構成されている。；王宮の東棟の階段を上っている際に不意に力を失い、近くの椅子に据えられる。</t>
        </is>
      </c>
      <c r="J5889">
        <f>HYPERLINK("https://www.weblio.jp/content/棟", "词义详情")</f>
        <v/>
      </c>
      <c r="K5889">
        <f>HYPERLINK("https://yourei.jp/棟", "查看例句")</f>
        <v/>
      </c>
    </row>
    <row r="5890">
      <c r="A5890" t="inlineStr">
        <is>
          <t>塔</t>
        </is>
      </c>
      <c r="B5890" t="inlineStr">
        <is>
          <t>成功</t>
        </is>
      </c>
      <c r="C5890" t="inlineStr">
        <is>
          <t>読み方：あららぎ
斎宮でいう、「仏塔」の忌み詞。</t>
        </is>
      </c>
      <c r="D5890" t="inlineStr">
        <is>
          <t>塔九郎；塔型；塔ロケット；塔門；塔跡</t>
        </is>
      </c>
      <c r="E5890" t="inlineStr">
        <is>
          <t>台；柱；楼；タワー；櫓</t>
        </is>
      </c>
      <c r="F5890" t="inlineStr">
        <is>
          <t>五輪塔；主塔；高い塔；怪塔；銃塔</t>
        </is>
      </c>
      <c r="G5890" t="inlineStr">
        <is>
          <t>塔馬；塔屋；塔内；塔婆；塔子</t>
        </is>
      </c>
      <c r="H5890" t="n">
        <v>29</v>
      </c>
      <c r="I5890" t="inlineStr">
        <is>
          <t>左右の塔は建設された時代の違いにより異なった建築様式になっている。；この棒の一群に主塔にあけられた穴がかみ合うことで両者は連結される。；これは主に塔などに幽閉された人物などがこっそり使うためのものだった。；帝国は王国の男たちを奴隷にして天高くそびえる塔の建設を始めた。；一般的に発射台の構造は発射塔と発射炎を避けるための堀から構成される。；またこの時期、ヨーロッパ各地で教会の塔の高さを競う争いも生じた。；艦橋構造物は他の艦と違い、大和型戦艦と似た塔型構造を採用している。；当時は防衛や監視のためイタリアの他の都市でもこういった塔の建設が行われていた。；後に小型の機関銃塔を設置し、クレーンなどの整備機材を搭載している。；内戦前と現在のカンボジア王国では、五段の上に白い三本の塔を描いている。；この塔は200名の歩兵が人力で動かし、内部が9層に分割されていた。；近現代の塔は宗教塔や記念塔を除いて実用的な目的を帯びるようになった。；このタイプでは上甲板の単装メガ粒子砲塔を撤去しているのが特徴である。；この塔はとイェルク・シュライヒの設計に基づき1975年に建設された。；また、世界遺産に登録されている乙女の塔の名をとったワインもある。；塔はおおむね職業を限定せずに、体力のある男性のグループで構成される。；造立されてのちの塔の歴史についてもまた、ほとんど何も分かっていない。；頂部には「相輪」と呼ばれる銅または鉄でできた小塔が取り付けられた。；建物を十字に交差させ、その交点上に塔を持つ形式のものも登場している。；この集会室の西側に面して3層吹き抜けで設けられているのが霊塔殿である。；したがって、現在の「塔」の用法に厳密な定義が存在するわけではない。；教会の塔は高さ92mで、マンハイムで一番高い塔を持つ教会である。；彼は塔の中に入り保護されたが、そこの物を盗み出そうと画策した。；かつては駅舎の中央上部に塔があったが撤去された。；この塔はテージョ川の右側の小さな島に建っていて、周囲は水辺である。；その塔からは、ゾンネンベルクの大部分が現存する市壁を見ることができる。；パリのアルビ大聖堂はその一例であるが、ここでも高い塔が確認できる。；エルフ王の前ではモルゴスの姿はまるで塔のようであったという。；高い塔や門、テラス、高い建物のような建築要素は、十分ここに伝わった。</t>
        </is>
      </c>
      <c r="J5890">
        <f>HYPERLINK("https://www.weblio.jp/content/塔", "词义详情")</f>
        <v/>
      </c>
      <c r="K5890">
        <f>HYPERLINK("https://yourei.jp/塔", "查看例句")</f>
        <v/>
      </c>
    </row>
    <row r="5891">
      <c r="A5891" t="inlineStr">
        <is>
          <t>問う</t>
        </is>
      </c>
      <c r="B5891" t="inlineStr">
        <is>
          <t>成功</t>
        </is>
      </c>
      <c r="C5891" t="inlineStr">
        <is>
          <t>読み方：とう
［動ワ五（ハ四）］
１わからないことやはっきりしないことを人に聞く。また、相手の考えを知ろうとして、ある事をたずねる。多くの人に判断を求める。質問する。「安否を—・う」「真意を—・う」「選挙で民意を—・う」
２（多く受身の形で）人の能力や物事の価値などを改めて試す。「指導力が—・われる」「真価が—・われる」
３責任の所在や犯罪の事実などを追及する。「責任を—・う」「殺人罪に—・われる」
４（下に打消しの語を伴って）ある資格や条件を問題として取り上げる。「年齢・性別は—・わない」「過去は—・わない」
５話しかける。もの言う。
「さねさし相模の小野に燃ゆる火の火中(ほなか)に立ちて—・ひし君はも」〈記・中・歌謡〉
６占いをして結果を求める。
「夕占(ゆふうら)を我が—・ひしかば」〈万・三三一八〉
７求婚する。
「一人もちたる姫をも—・ふ人もなし」〈伽・鉢かづき〉
[可能]とえる</t>
        </is>
      </c>
      <c r="D5891" t="inlineStr">
        <is>
          <t>問うべき；問うべく；問うまい；問う住民投票条例案；問う住民投票実施</t>
        </is>
      </c>
      <c r="E5891" t="inlineStr">
        <is>
          <t>攻撃；聞く；質問；頼む；疑う</t>
        </is>
      </c>
      <c r="F5891" t="inlineStr">
        <is>
          <t>改めて問う；何かと問う</t>
        </is>
      </c>
      <c r="H5891" t="n">
        <v>29</v>
      </c>
      <c r="I5891" t="inlineStr">
        <is>
          <t>美がよいものとされる限りにおいて、他のよいものとの関係が問われる。；どんな対象でもそれが4に属するかどうかを問うことは意味をなさない。；登場人物は男女を問わず手袋・眼鏡を着用しているキャラクターが多い。；動物、植物を問わず、更には人間の社会生活にまで広く応用されている。；年齢設定を問わず、勝利後には跳び上がってはしゃぐ一面も持っている。；これらは語源的には男性を意味する語だが、男女を問わず使うことが多い。；広義には男女を問わず性行為をしたことがない人や状態のことを指す。；このために気体の状態では物質の種類を問わずに共通の性質が表れやすい。；しかし、問われるたびに違った答えを話したため、今なお混乱がある。；八重はびっくりしてなぜ今まで出てこなかったのかと桜丸に問う。；演劇を始め、テレビドラマ・映画とジャンル問わず幅広く活躍している。；このため山に城を築く行為は、地域や時代を問わず普遍的に行われている。；しかし、なんの益なきことを、わたしはどうして問おうとしているのか。；私たちは何のために来たものか問おうともせず、並んで腰かけていた。；近隣には国公私立問わず、中学校・高等学校・専門学校が多く所在する。；女性、男性を問わず幅広いファンに、時代を超えて今も支持されています。；当時の関係者や生育した人物を取材し、家族の形を問う内容となっている。；彼らはこの闘争に中立であり、両組織に種類を問わず機械を供給している。；通信販売の場合、購入者が女性であるか男性であるかを問うことはない。；手に汗握る展開の中、真の幸福とは何かを問うエンターテイメント作品。；このとき天皇は無端事を問うので正しく答えれば褒美を与えると言った。；ペットが人に被害を与えた場合、刑事・民事の責任を問われることがある。；名誉殺人も存在しているとされ、認められれば罪に問われないことが多い。；なぜ嘆いているのかを問うと故郷の父母が恋しいからだと兄媛は答えた。；主だった将が戦死することもなく、戦後罪に問われる守護もなかった。；同性・異性を問わず性的な接触をした証拠は見つかっていないという。；消毒用など、純度がそれほど問われない場合は混合物のまま使用される。；ブエノスアイレスと他地域とを問わずエンパナーダも広く食べられている。；学歴を問わず、18歳以上を対象とした、知的・表現的学びの場である。</t>
        </is>
      </c>
      <c r="J5891">
        <f>HYPERLINK("https://www.weblio.jp/content/問う", "词义详情")</f>
        <v/>
      </c>
      <c r="K5891">
        <f>HYPERLINK("https://yourei.jp/問う", "查看例句")</f>
        <v/>
      </c>
    </row>
    <row r="5892">
      <c r="A5892" t="inlineStr">
        <is>
          <t>どう</t>
        </is>
      </c>
      <c r="B5892" t="inlineStr">
        <is>
          <t>成功</t>
        </is>
      </c>
      <c r="C5892" t="inlineStr">
        <is>
          <t>［感］馬を制止するときに発するかけ声。「はい—、—」</t>
        </is>
      </c>
      <c r="D5892" t="inlineStr">
        <is>
          <t>どうなる(4%)；どうしよう(3%)；どうすれ；どう見；どうです</t>
        </is>
      </c>
      <c r="F5892" t="inlineStr">
        <is>
          <t>どうでもいい；いったいどう；これからどう；もうどう；べきかどう</t>
        </is>
      </c>
      <c r="G5892" t="inlineStr">
        <is>
          <t>どういう；どうしても；どうも；どうやら；どうか</t>
        </is>
      </c>
      <c r="H5892" t="n">
        <v>29</v>
      </c>
      <c r="I5892" t="inlineStr">
        <is>
          <t>教会自体が政治的活動に関わるかどうかは、教会それぞれ異なっている。；ループは、繰り返しを継続するかどうかを判断するための条件式を持つ。；当選した場合、タレント活動を継続するかどうかはその者の判断による。；この論文では、どうやってそれらの値に到達したのかは説明されていない。；ここでペレルマンが本賞を受賞するのかどうかが一部の関心を呼んでいた。；また環境条件が相手国にとって有利かどうかも重要な判断材料となる。；ポリアモリーを性的少数者に含むかどうかは様々な意見が存在している。；そのようなクレーターがどうやってできるのかも実験で研究している。；しかし、表面上どうであれ、その後も互いに意識はしていたようである。；とは、位相空間上の性質がZFCと独立かどうかを主題する分野である。；彼らが前述の強化細胞を移植しているかどうかは作中では語られていない。；この理論はまた、気体系が変化に対してどう反応するかを説明している。；角関係とは面と面とが互いに見えているかどうかを表す係数である。；なお、当時からコンコースとしての計画があったかどうかは不明である。；トールキンがどちらかのシリーズを聞いたことがあるかどうかはわからない。；やつらは我々がパンツを下ろしているところをどうやって捕まえたんです?；しかし、平穏が達成されたかどうかは、イスラエル側が判断するとした。；しかし、このことをもってイギリスが発生源であるかどうかは分からない。；この各々の段階の信仰内容はどうであったのかを分析・研究し、明確にする。；シュルツは、アビーの襲撃者が自分かどうか調べたらどうかと挑発した。；孔子と孟子が日本に攻めてきたとしたら、孔孟を学ぶ者はどうすべきか。；この時の悪臭の程度を以って基準をクリアしているかどうかが判断される。；ただし、実際に部族同士の争いがあったかどうかについては論争がある。；実施するかどうかは有資格年のワールドコン実行委員会の判断による。；非補給下にあるかどうかは普通、プレイヤーターンの開始時に判定する。；鮑叔との関係が実際にどうであったか同時代の資料には残っていない。；この際に群臣が自分のいうことを聞くかどうかで、ある事を試みた。；ここに政府と軍隊の関係がどうあるべきかについての問題がある。；この場合タンクや飛行機などをどう扱うかなどは地域によって異なる。</t>
        </is>
      </c>
      <c r="J5892">
        <f>HYPERLINK("https://www.weblio.jp/content/どう", "词义详情")</f>
        <v/>
      </c>
      <c r="K5892">
        <f>HYPERLINK("https://yourei.jp/どう", "查看例句")</f>
        <v/>
      </c>
    </row>
    <row r="5893">
      <c r="A5893" t="inlineStr">
        <is>
          <t>胴</t>
        </is>
      </c>
      <c r="B5893" t="inlineStr">
        <is>
          <t>成功</t>
        </is>
      </c>
      <c r="C5893" t="inlineStr">
        <is>
          <t>読み方：どう
１双六(すごろく)やばくちで、さいころを入れて振るつつ。また、それを振る役。
２（「胴」とも書く）ばくちで、親になること。筒元(どうもと)。
３「轂(こしき)」に同じ。
４「胴5」に同じ。</t>
        </is>
      </c>
      <c r="D5893" t="inlineStr">
        <is>
          <t>胴部(8%)；胴節(3%)；胴椎；胴型；胴ぶるい</t>
        </is>
      </c>
      <c r="E5893" t="inlineStr">
        <is>
          <t>腰；腹；胴体；ボディ；腹部</t>
        </is>
      </c>
      <c r="F5893" t="inlineStr">
        <is>
          <t>各胴；共鳴胴；輪胴；七胴；鏡胴</t>
        </is>
      </c>
      <c r="G5893" t="inlineStr">
        <is>
          <t>胴着；胴上げ；胴衣；胴の間；胴元</t>
        </is>
      </c>
      <c r="H5893" t="n">
        <v>29</v>
      </c>
      <c r="I5893" t="inlineStr">
        <is>
          <t>例えば胴部の生殖口は尾端にあるものや腹面の前半部にあるものがある。；各鱗の中心に黒っぽい点があり、胴に黒い点が並んでいるように見える。；双胴部は上下に湾曲して艦底の甲板から発進するスペースを作っている。；胴部の左右には11対の鰭と、各鰭の腹側に並んだ11対の葉足がある。；韓国では胴張りの柱を用いた仏堂が現代に至るまで建築されている。；腰や胴に相当する部分は慣例的にロボットでも胴体と言うことが多い。；その他の種でも胴や尾を含めた長さと同じくらいのものが多かった。；胴部と頭部の2つの定規がTの形を成す様に固定されている定規である。；双胴を思わせる外観と、後方に寄せられた上部構造物群が特徴的である。；トロルを例に顔や胴、手足を分割して制作している画面が紹介されている。；胴の切れ目は右脇で閉じ合わせるものが多く、これは胴丸と同様である。；また、長い胴は乗馬時にも、牧場での作業時にも石やトゲから脚を守る。；現場からはフルートを構成する3つの部品の1つ、胴部管が発見された。；また頭部は胴部へ引き込むことができ、その際には頸部が蓋の役割をする。；各胴節の両腹側からは1対の丸みを帯びた三角形の鰭が張り出している。；よく発達した胴、胸幅は厚く広い、いかり肩で腰から下は比較的小さい。；またエンジンを2機搭載するため、側胴の前部はやや延長されていた。；また保護する箇所が大きい胴周りには左右別々の板金を合わせて構成された。；この非常に厳しい要求に対して考案されたのが双胴推進式の機体であった。；一方、胴挽きは水車など装置の設置が大掛かりになるため減少している。；胴部分が晒やフランネルでできているため、洗濯がしやすくなっている。；この胴部は真鋏角類における前体最終2節と後体第1節に対応とされる。；しかし元々尾部は胴部に比べて非常に短いのであまり問題はない。；形として胴への突き技があるが、試合競技においては禁止されている。；実猟タイプのものはマズルが長く先が尖っていて、耳と胴が短く脚が長い。；ただし、その胴部がはっきりした甲羅を構成する点が最大の特徴となっている。；海外では、胴板を平らに伸ばしてトタン板代わりにして建築に使う例もある。；アンタエウスオオクワガタを小型にして、胴を長くしたような姿をしている。；それによって、胴の部分が短くなったものを一般に宮太鼓と呼んでいる。</t>
        </is>
      </c>
      <c r="J5893">
        <f>HYPERLINK("https://www.weblio.jp/content/胴", "词义详情")</f>
        <v/>
      </c>
      <c r="K5893">
        <f>HYPERLINK("https://yourei.jp/胴", "查看例句")</f>
        <v/>
      </c>
    </row>
    <row r="5894">
      <c r="A5894" t="inlineStr">
        <is>
          <t>銅</t>
        </is>
      </c>
      <c r="B5894" t="inlineStr">
        <is>
          <t>成功</t>
        </is>
      </c>
      <c r="C5894" t="inlineStr">
        <is>
          <t>読み方：あかがね
《赤金の意》銅。あか。→こがね →くろがね→しろがね</t>
        </is>
      </c>
      <c r="D5894" t="inlineStr">
        <is>
          <t>銅製(7%)；銅伯(3%)；銅板葺；銅造；銅壺</t>
        </is>
      </c>
      <c r="E5894" t="inlineStr">
        <is>
          <t>あかがね；赤金</t>
        </is>
      </c>
      <c r="F5894" t="inlineStr">
        <is>
          <t>金銀銅；銅鐘；産銅；銅鉄；銅精錬</t>
        </is>
      </c>
      <c r="G5894" t="inlineStr">
        <is>
          <t>銅像；銅貨；銅版画；銅山；銅鑼</t>
        </is>
      </c>
      <c r="H5894" t="n">
        <v>29</v>
      </c>
      <c r="I5894" t="inlineStr">
        <is>
          <t>彼は銅や鉄の採鉱および鉄道を含む様々な産業に積極的な投資を行った。；また、銀や銅、鉄なども金の場合と同様現在ではほとんど払底している。；金および隕鉄だけが、人類が銅より前に使用していたという証拠がある。；商業の増加とともに銅は不足して、日本からの銅の輸入が重要となった。；この貿易において、日本の銅は国内よりも非常に高値で明に輸出された。；これまで合成された金の化合物の種類は同族の銀や銅と比べて少ない。；熱濃硫酸と銅とを反応させると、二酸化硫黄を発生させることができる。；頂部には「相輪」と呼ばれる銅または鉄でできた小塔が取り付けられた。；紀元前3000年頃には銅製のカミソリを用いていたともされている。；反射炉はもともと融点の低い銅や鉛などの金属の融解に利用されていた。；明治期には、銅の生産で繁栄した吹屋地区に関係する交通網も発達した。；幕府は、江戸時代中期以降に、米・箔・石灰・銅などの専売を実施した。；なかでも石瓦や銅瓦は歴史的にも古くから用いられてきたものである。；子供たちは魔よけのために普段、銅の鏡をかけ、帽子にホラ貝をつける。；寛永通宝は大別すると銅一文銭・鉄一文銭・真鍮四文銭・鉄四文銭となる。；配下に銅馬軍が多かったために他の勢力からは銅馬帝と呼ばれた。；例えば反磁性の性質を示す代表的な物質として水や銅、木などがある。；彼らは液体の水の存在下で生成される鉄や銅の硫化物を確認した。；銅は他の金属と同様に、他の金属と接触することでを起こす。；続く銅時代には、人類はついに武器を手にして争うようになった。；転炉は、製鉄所等の設備の1つで鉄や銅などの金属精錬専用の炉である。；自然銅が枯渇した後は銅を含む黄銅鉱から銅を抽出する技術が生まれた。；ボイラーの材質は鋼鉄が一般的だったが、イギリス等では銅も使用された。；日本では、1916年に住友伸銅所でジュラルミンの研究が開始された。；覆い方式のモデルでは、銅製の誘導ケーブルが鉄心の中を通されていた。；酸化銅は高温で炭素と反応させると酸素が奪われて元の銅に変化する。；おおよそ亜鉛と同程度に豊富であり、いくぶんか銅よりも普遍的である。；銅の利用は、通貨に限られたものではなく、芸術においても利用されていた。；結局、銅は主要な川を使って大陸中で売買されるようになった。</t>
        </is>
      </c>
      <c r="J5894">
        <f>HYPERLINK("https://www.weblio.jp/content/銅", "词义详情")</f>
        <v/>
      </c>
      <c r="K5894">
        <f>HYPERLINK("https://yourei.jp/銅", "查看例句")</f>
        <v/>
      </c>
    </row>
    <row r="5895">
      <c r="A5895" t="inlineStr">
        <is>
          <t>当～</t>
        </is>
      </c>
      <c r="B5895" t="inlineStr">
        <is>
          <t>成功</t>
        </is>
      </c>
      <c r="C5895" t="inlineStr">
        <is>
          <t>読み方：はた
［副］
１あるいは。それとも。はたまた。「夢か、—幻か」
２さらにまた。そのうえまた。「野越え、山越え、—海を越え」
「かくては生けるかいもなし。—如何にして病の牀のつれづれを慰めてんや」〈子規・墨汁一滴〉
３ひょっとすると。
「さ雄鹿(をしか)の鳴くなる山を越え行かむ日だにや君が—逢はざらむ」〈万・九三五〉
４それはそれとして。こちらはこちらで。
「男破(わ)れて、逢はむ、と言ふ。女も—、いと逢はじ、とも思へらず」〈伊勢・六九〉
５そうはいっても。とはいえ。
「しばし休らふべきに、—侍らねば」〈源・帚木〉
６いうまでもなく。まして。
「女房共、いまいましきまで泣きあひたり。若君の乳母、—言ふべきやうなし」〈今昔・一九・九〉
７思ったとおり。やはり。
「ひとへに魔王となるべく大願を誓ひしが、—平治の乱ぞ出で来ぬる」〈読・雨月・白峯〉
８否定・疑問・感動などの表現を強める語。まったく。いったい。
「家のうちに足らぬことなど—無かめるままに」〈源・帚木〉
「いで、あな悲し。かく—おぼしなりにけるよ」〈源・帚木〉</t>
        </is>
      </c>
      <c r="H5895" t="n">
        <v>0</v>
      </c>
      <c r="J5895">
        <f>HYPERLINK("https://www.weblio.jp/content/当～", "词义详情")</f>
        <v/>
      </c>
      <c r="K5895">
        <f>HYPERLINK("https://yourei.jp/当～", "查看例句")</f>
        <v/>
      </c>
    </row>
    <row r="5896">
      <c r="A5896" t="inlineStr">
        <is>
          <t>同～</t>
        </is>
      </c>
      <c r="B5896" t="inlineStr">
        <is>
          <t>成功</t>
        </is>
      </c>
      <c r="C5896" t="inlineStr">
        <is>
          <t>読み方：どう
［音］ドウ（慣）　［訓］おなじ
［学習漢字］2年
１おなじ。「同一・同音・同時・同然・同等・同様／異同・混同」
２ともにする。いっしょに。「同居・同乗・同情・同封・同盟／共同・協同・帯同」
３集まる。仲間になる。「一同・会同・合同・大同団結」
４他人と考えや調子を合わせる。「賛同・雷同」
５当の。その。「同校」
[補説] 「仝」は俗字。
［名のり］あつ・あつむ・とも・のぶ・ひとし
［難読］同胞(はらから)</t>
        </is>
      </c>
      <c r="H5896" t="n">
        <v>0</v>
      </c>
      <c r="J5896">
        <f>HYPERLINK("https://www.weblio.jp/content/同～", "词义详情")</f>
        <v/>
      </c>
      <c r="K5896">
        <f>HYPERLINK("https://yourei.jp/同～", "查看例句")</f>
        <v/>
      </c>
    </row>
    <row r="5897">
      <c r="A5897" t="inlineStr">
        <is>
          <t>答案</t>
        </is>
      </c>
      <c r="B5897" t="inlineStr">
        <is>
          <t>成功</t>
        </is>
      </c>
      <c r="C5897" t="inlineStr">
        <is>
          <t>読み方：とうあん
出された問題に対して書いた答え。また、それの書かれた用紙。</t>
        </is>
      </c>
      <c r="D5897" t="inlineStr">
        <is>
          <t>答案練習会；答案作成；答案調べ；答案紙</t>
        </is>
      </c>
      <c r="F5897" t="inlineStr">
        <is>
          <t>白紙答案；模範答案</t>
        </is>
      </c>
      <c r="H5897" t="n">
        <v>29</v>
      </c>
      <c r="I5897" t="inlineStr">
        <is>
          <t>なるほど先生の疑いが当然であるかのように、答案の文句は同じであった。；ある時何かの試験の時に余の隣に居た人は答案を英文で書いて居たのを見た。；夜になって、彼は初めて我に返ったように、試験答案の調べにかかった。；答案を提出して試験場を出ると、彼はすぐその足で便所に走っていった。；このページに書いた問題と、そして答案はどこへいってしまったのか!；そのあとから提出した答案は一束に没籠にほうり込まれてしまったのだ。；分らぬ答案ばかり陸続と出て来るうちに車は旧港の桟橋にかかって来た。；今度も前と同じように、最後の一回前で中止して答案を募集するつもりだ。；彼の頭の中は、答案と同じように真っ白で、何も浮かばなくなっていた。；小学生時代からの学校での試験答案や作文などが、いくつか残っている。；試験の答案には、ほとんどに90点以上の点をつけたとも伝えられている。；後は終業式まで、答案の返却などはあるにしても、形だけの授業が続く。；何とか立派な答案を述べたいと、試験官の前に出た若い学生のように興奮した。；答案の上を見ると文字は一つも書いてなくて、女の靴の絵が画いてあった。；彼は静粛な受験場で答案に向きあっている受験生たちの姿を想像した。；だが、手渡された答案には、確かに赤い字で一〇〇と点数が記されていた。；その答案のことが食卓で話題になったのは、それから一週間もしてからだった。；君の答案の、弑逆の二文字にフラフラと眼がくらんだためだけではない。；そんなわけで、試験の時には、まともな答案を出すわけにはいかない。；而もその一週間は、僕は学校の方の答案調べやなんかでとても隙がありません。；それは彼が夏の試驗に答案を出すのを忘れたと云ふことであつた。；彼がどういう答案を出していたかを、いちいち覚えているんですね。；彼はこの答案を稲妻のごとく頭の奥に閃めかして、得意の余り踴躍した。；にもかかわらず川上は、その答案を読んで、そのみごとさに舌を巻いた。；小学校で生徒に試験の答案を書かせるやうな藁半紙に、鉛筆で書いてある。；ついさっき、やっと採点が終わって渡されたばかりの追試の答案だった。；前方の席に坐るならば、思うがままに答案を書けまいと懸念しているのだ。；前方の席に坐るならば、思ふがままに答案を書けまいと懸念してゐるのだ。；ああ、他の人はみんなこんなに正確な答案を書いて居ると思つていやな氣がした。</t>
        </is>
      </c>
      <c r="J5897">
        <f>HYPERLINK("https://www.weblio.jp/content/答案", "词义详情")</f>
        <v/>
      </c>
      <c r="K5897">
        <f>HYPERLINK("https://yourei.jp/答案", "查看例句")</f>
        <v/>
      </c>
    </row>
    <row r="5898">
      <c r="A5898" t="inlineStr">
        <is>
          <t>同意</t>
        </is>
      </c>
      <c r="B5898" t="inlineStr">
        <is>
          <t>成功</t>
        </is>
      </c>
      <c r="C5898" t="inlineStr">
        <is>
          <t>読み方：どうい
［名］(スル)
１他人の意見などに対して、賛成すること。「—を得る」「提案に—する」
２同じ意見。同じ考え。「—の士を募る」
３同じ意味。同義。</t>
        </is>
      </c>
      <c r="D5898" t="inlineStr">
        <is>
          <t>同意する(10%)；同意でき；同意なし；同意すれ；同意書</t>
        </is>
      </c>
      <c r="E5898" t="inlineStr">
        <is>
          <t>認め；理解；契約；約束；許可</t>
        </is>
      </c>
      <c r="F5898" t="inlineStr">
        <is>
          <t>ご同意；うなずいて同意；同意事項；同意権付与；同意する旨</t>
        </is>
      </c>
      <c r="G5898" t="inlineStr">
        <is>
          <t>同意語；同意殺人罪；同意手続；同意審決；同意殺</t>
        </is>
      </c>
      <c r="H5898" t="n">
        <v>29</v>
      </c>
      <c r="I5898" t="inlineStr">
        <is>
          <t>しかしもしミサイル基地の撤去に同意しなかった場合は意見が分かれた。；朕はこれに同意したこともなければ、今後も決して同意しないであろう。；しかし和平のために活動している井上がこれに同意するはずがなかった。；その内の3割程度しか事前に同意が得られなかったと推定されている。；ただし、この時点でもまだ日本指導者の国際裁判には同意していなかった。；起訴側と同意して彼女が後悔を表明することで彼女の記録は消去された。；自分を神と主張したことのない昭和天皇は、占領当局の意向に同意した。；さらにエドワードの資金確保のために最初の人頭税の導入にまで同意した。；また、同意を求める文や無言でいる場合の疑問の気持ちを表すのに用いられる。；大統領は首相その他の大臣の任命・指名に関して議会の同意を得る必要がある。；彼が作品に書いていることには全く同意できないが、そんなことは問題ではない。；専門家の間で完全に同意を得られるような種の定義はない。；戦争によって勝ち得た権利を放棄することをアメリカは決して同意しない。；山縣もこれに同意したが、清浦は海軍の協力が得られず組閣を断念した。；原首相も同意し、一部の経済権益を残して還付することが決定された。；彼が存命だったなら、最近の研究に基づいた改訂に同意しなかっただろう。；女性は養育費月額10万円を支払ってもらうことにして離婚に同意した。；これはスタッフのスペクターが主張してウォーレンも同意した見解であった。；チャーチルは自分が常に海軍の専門家から同意を得て作戦を実行したことを強調した。；イギリスは同意したが、ソ連は日本が条件をつけようとしていることを非難した。；当初、ルイ13世はこれを拒否していたものの、結局は説得されて同意した。；叔母は結婚こそしていないが、真と同い歳の娘がいると聞いている。；ここで彼らは憲法を制定するまで解散しないことに同意した。；両国共に戦争前の状態に戻すことに同意したので、領地の獲得は無かった。；後の研究者の奥はこれに同意せず、本種をヘスペロルニス属に分類している。；スペインは莫大な持参金の支払いに同意したが、結局支払われなかった。；この案はソ連側に提示され、8月16日にソ連はこれに同意する。；四元は、同様に日召からこれまでの経緯を聞かされ、計画変更に同意した。；以下は同意の得られたものですが、もちろん疑問点があれば議論を再開することができます。</t>
        </is>
      </c>
      <c r="J5898">
        <f>HYPERLINK("https://www.weblio.jp/content/同意", "词义详情")</f>
        <v/>
      </c>
      <c r="K5898">
        <f>HYPERLINK("https://yourei.jp/同意", "查看例句")</f>
        <v/>
      </c>
    </row>
    <row r="5899">
      <c r="A5899" t="inlineStr">
        <is>
          <t>統一</t>
        </is>
      </c>
      <c r="B5899" t="inlineStr">
        <is>
          <t>成功</t>
        </is>
      </c>
      <c r="C5899" t="inlineStr">
        <is>
          <t>読み方：とういつ
［名］(スル)一つにまとめること。一つにまとめて組織化・系統化すること。また、そのまとまり。「—がとれる」「—を欠く」「国内を—する」</t>
        </is>
      </c>
      <c r="D5899" t="inlineStr">
        <is>
          <t>統一する(7%)；統一的(4%)；統一感；統一戦；統一化</t>
        </is>
      </c>
      <c r="E5899" t="inlineStr">
        <is>
          <t>強化；合併；統合；総合；調整</t>
        </is>
      </c>
      <c r="F5899" t="inlineStr">
        <is>
          <t>王座統一；規格統一；再統一；アフリカ統一；統一政府</t>
        </is>
      </c>
      <c r="G5899" t="inlineStr">
        <is>
          <t>統一性；統一的；統一地方選挙；統一国家；統一戦線</t>
        </is>
      </c>
      <c r="H5899" t="n">
        <v>29</v>
      </c>
      <c r="I5899" t="inlineStr">
        <is>
          <t>これも統一された用語というわけではないが標準的なものを示しておく。；この統一的な状態を破壊したものが、近代的な国民国家の成立と言える。；左側眼・右側眼の両方の種類がいて、種の中では向きが統一されている。；ただし、それ以外決めごとはなくお店で出されているものに統一感がない。；コンピュータが普及し、統一的な管理番号が求められたことが背景にある。；この編成以降は扉と主電動機の出力、台車などの設計は統一されている。；形式の与え方は鉄道事業者によって様々であり、統一されたものはない。；なお、最終節は基本的に全試合の開催日と試合開始時間を統一している。；これら表記の不統一が、コンピュータで検索する際などには障害ともなる。；軍事力は中央政府に統一されたが、連隊以下は民族別編成とされている。；建物を画一的にするために材料を統一するという意図がしばしば見られた。；南大阪線の現存する全車両の制御器は日立製作所製で統一されている。；統一の動きが何度かあったが、いまのところ実現に至っていない。；統一された明確な定義は無く団体や機関による様々な定義がある。；中国は統一されたが、始皇帝はすべての敵を殲滅できたわけではなかった。；アニメでは、父親の顔や形が統一されていなかった時期がある。；このように、現在ではほぼ使われなくなって、モル濃度に統一されている。；業団体の意思の統一が図られることが、現状ではかなり難しいと思われる。；この年にドイツが統一されたため、世界史の大きな転換点となった。；課税の対象になる財貨・サービスは特定的で税率も統一されていない。；吉備国は畿内勢力と同盟関係を築いて日本列島の統一期に影響を与えた。；ラテン文字に転写するにはいくつかの方法があり、統一されていない。；ただし、305番については西行き・東行き双方で番号統一を行っている。；郵便番号はその性質上、全国的に統一されたコード体系が用いられている。；最初のインド統一を果たしたアショーカ王は仏教の興隆にも力を尽くした。；なお、中央線・青梅線系統どちらも名称は通勤快速に統一されている。；従って 本記事の中での用語を以下のように統一する。；これら個性的な声優陣によって作品の雰囲気に統一感が与えられた。；その後は規格の統一化や細かい改善が続けられたりしながら現在に至っている。</t>
        </is>
      </c>
      <c r="J5899">
        <f>HYPERLINK("https://www.weblio.jp/content/統一", "词义详情")</f>
        <v/>
      </c>
      <c r="K5899">
        <f>HYPERLINK("https://yourei.jp/統一", "查看例句")</f>
        <v/>
      </c>
    </row>
    <row r="5900">
      <c r="A5900" t="inlineStr">
        <is>
          <t>同一</t>
        </is>
      </c>
      <c r="B5900" t="inlineStr">
        <is>
          <t>成功</t>
        </is>
      </c>
      <c r="C5900" t="inlineStr">
        <is>
          <t>読み方：どういつ
［名・形動］同じであること。一つのものであること。差のないこと。また、そのさま。「成人と—に扱う」「—犯人」</t>
        </is>
      </c>
      <c r="D5900" t="inlineStr">
        <is>
          <t>同一である(14%)；同一であり(2%)；同一性；同一仕様；同一経路</t>
        </is>
      </c>
      <c r="E5900" t="inlineStr">
        <is>
          <t>同じ；同様；一緒；同等；等しい</t>
        </is>
      </c>
      <c r="F5900" t="inlineStr">
        <is>
          <t>自己同一的；全て同一；すべて同一；同一の専用種別；同一又は類似</t>
        </is>
      </c>
      <c r="G5900" t="inlineStr">
        <is>
          <t>同一視；同一性；同一化；同一性保持権；同一労働同一賃金</t>
        </is>
      </c>
      <c r="H5900" t="n">
        <v>29</v>
      </c>
      <c r="I5900" t="inlineStr">
        <is>
          <t>写真はジョンのものとほぼ同一の仕様だがテールピースの形状が異なる。；両者は基本的に同一の内容を記しているが、一部に相違点がみられる。；奴国は2回記されているが同一の国とする説と別の国とする説がある。；また第2義には、二人あるいは二つのものが同一の行動をすることをいう。；方法論的には哲学とほぼ同一であり、哲学の部門視されることもある。；日本以外でも分類は異なる場合もあるものの用途は概ね同一である。；登録番号の数字部分は山口ナンバー時代と同一の番号を取得している。；同一の区間で設備と運賃に格差をつけた複数の便が運行されている例がある。；本作における進化とは生物のそれと同一ではなく成長や強化に当たるものである。；カタログスペックはほぼ同一ながら、細かな改良が多数加えられている。；両者は通貨としての価値は同一であるが、相互には用いられていない。；このサービス地域内では、すべての旅客路線に同一の料金表が適用される。；製品タイトルと同一の内容のものはそれぞれの項にて記載。；いずれも開始当初からアナログ放送と同一の番組のサイマル放送であった。；また多くの場合に他の格と同一の形態を取るものの、呼格も存在する。；同一の線路上の複数の車両を個別に制御する方式の総称である。；同一のデザインが世界中に現れ、バス製造は次第にグローバル化されている。；しかし、2013年現在の公式設定ではそれらは同一とされている。；同一の組織あるいは細胞に由来するものから同一の細胞株が得られるわけではない。；押韻とは、同一または類似の韻をもった語を一定の箇所に用いることをいう。；法人税は納税義務者と担税者が同一であることから直接税に分類される。；各形式とも同一編成中で下2桁は同番号または同番号+50となっている。；また双方の主張者がすべて同一であるわけではない。；大多数が昭和40年代に設計されたときと基本的に同一の設備で運行されていた。；内容は同一であるため、どちらをご参照して頂いても構わないと考えられる。；これらの表示器は2000系と同一で、書体はすべてゴシック体である。；一般的に伽耶と同一、または重複する地域を指す用語として用いられる。；このためこの区間のルートは現在の京葉線とほぼ同一である。；両者は共に同一の原典から訳されたもので一定の対応関係がある。</t>
        </is>
      </c>
      <c r="J5900">
        <f>HYPERLINK("https://www.weblio.jp/content/同一", "词义详情")</f>
        <v/>
      </c>
      <c r="K5900">
        <f>HYPERLINK("https://yourei.jp/同一", "查看例句")</f>
        <v/>
      </c>
    </row>
    <row r="5901">
      <c r="A5901" t="inlineStr">
        <is>
          <t>動員</t>
        </is>
      </c>
      <c r="B5901" t="inlineStr">
        <is>
          <t>成功</t>
        </is>
      </c>
      <c r="C5901" t="inlineStr">
        <is>
          <t>読み方：どういん
［名］(スル)
１軍隊を平時の編制から戦時の編制に切り替えること。また、そのため兵士を召集すること。「—されて戦地に赴く」
２戦争遂行のために、国内の資源・工場・人員などを政府の管理下におくこと。「学徒—」
３ある目的のために、多くの人や物を集めること。「観客を—する」</t>
        </is>
      </c>
      <c r="D5901" t="inlineStr">
        <is>
          <t>動員数(3%)；動員される(3%)；動員令(2%)；動員できる；動員力</t>
        </is>
      </c>
      <c r="E5901" t="inlineStr">
        <is>
          <t>招集；召集；呼び出す；呼び寄せる；呼びよせる</t>
        </is>
      </c>
      <c r="F5901" t="inlineStr">
        <is>
          <t>戦時動員；大量動員；勤労動員；動員解除；動員記録</t>
        </is>
      </c>
      <c r="H5901" t="n">
        <v>29</v>
      </c>
      <c r="I5901" t="inlineStr">
        <is>
          <t>石高に応じて人数を動員し、藩主は大坂に居住しなければならなかった。；しかし、これらの廃止後もなお多くの国家動員法に基づく勅令があった。；プロイセン軍の動員はフランス側の予測よりも遥かに急速に進んでいた。；准尉・曹長複数あるのは動員部隊用に幹部を増員したことがあったため。；長野県では、まだ警察が動員されていないと思われていたためである。；だが、しばらくして同軍は動員体制に入っていないことが確認された。；このような悪い環境にもかかわらず、ドジャースは多くの観客を動員した。；軍人のほかに地元住民なども動員して、塹壕や飛行場の構築が行われた。；大衆の動員において用いられるところの社会的神話はそれで問題である。；この他にも兵器展示会や国際観艦式などに頻繁に動員されている。；動員されていたフランス兵は武装解除され、武器はドイツに引き渡された。；またこれはカナダ国内でのサッカーの最大動員記録となった。；事態を危険視した社民党政権のノスケ国防相は軍や義勇軍の動員を決定。；一領一匹については、藩側は実際に動員するつもりはなかったと見られている。；この後も伊勢国からは兵力が動員され、軍の一翼を担ったと考えられる。；また作業に動員された軍人や民間人からも疑問に感じたという証言が多く得られている。；フランスとイギリスは、必ずその同盟インディアンを戦争に動員して戦った。；このことからも、信長の動員力は非常に限られたものだった。；そこで大海人皇子は東海道と東山道に兵の動員を命じる使者を派遣した。；それらによって細菌類の感染には大量の好中球が動員されることになる。；しかしこれらの改革は劇場やテレビでもウケが悪く動員は苦戦する。；知事の佐藤は企画開発部を動員して綿密な科学的調査を実施させた。；動員解除を適切に行わねば大変な事態に進展する可能性があった。；周囲の交通アクセスの問題は、シャトルバスを大量動員することで解決された。；日本はすでに多くの兵力を動員していたため、国力を蓄える必要があった。；動員数は番組単独のイベントとしては最大級の約52万人を記録した。；演習中と動員時にのみ貸与され、兵士の自宅には備えられなかった。；それらの工事には、日本国内から送られた囚人たちが動員された。；この頃には大量に動員された徒歩の足軽が戦場で大きな役割を果たすようになっていた。</t>
        </is>
      </c>
      <c r="J5901">
        <f>HYPERLINK("https://www.weblio.jp/content/動員", "词义详情")</f>
        <v/>
      </c>
      <c r="K5901">
        <f>HYPERLINK("https://yourei.jp/動員", "查看例句")</f>
        <v/>
      </c>
    </row>
    <row r="5902">
      <c r="A5902" t="inlineStr">
        <is>
          <t>投下</t>
        </is>
      </c>
      <c r="B5902" t="inlineStr">
        <is>
          <t>成功</t>
        </is>
      </c>
      <c r="C5902" t="inlineStr">
        <is>
          <t>読み方：とうか
［名］(スル)
１高い所から物を投げ落とすこと。投げ下ろすこと。「救援物資を—する」
２事業に資本を投入すること。「設備資金を—する」</t>
        </is>
      </c>
      <c r="D5902" t="inlineStr">
        <is>
          <t>投下する(9%)；投下される(4%)；投下領(3%)；投下後；投下軌条</t>
        </is>
      </c>
      <c r="E5902" t="inlineStr">
        <is>
          <t>低下；投入；投資；降下；下がり</t>
        </is>
      </c>
      <c r="F5902" t="inlineStr">
        <is>
          <t>爆雷投下；資本投下；機雷投下；物資投下；魚雷投下</t>
        </is>
      </c>
      <c r="H5902" t="n">
        <v>29</v>
      </c>
      <c r="I5902" t="inlineStr">
        <is>
          <t>また第28号型ではあるが第43号では左右舷に投下台を装備している。；広島に原爆が投下された後の写真を撮影し調査・研究活動などをした。；母機も投下後に目標に対して設定された一定のコースを飛行し続ける。；弾頭を上にして搭載されていた爆弾が、投下後に弾頭が下を向いている。；また一部の排システムの汚泥は下水道に再投下されるケースもあります。；赤松の部隊らも投下、反転離脱の訓練に取り組んでいたとの証言もある。；これは横浜大空襲よりも多い機数で多くの爆弾を投下したことになる。；原子爆弾が投下された際、指定の区域で直接被爆した人とその人の胎児。；この爆弾投下による被害は部分的で、それほど大きなものではなかった。；以前の艦も同時期に投下軌道に変更されたものと思われる。；原爆の投下は目視が厳命されており、上空の視界の情報が重要であった。；次に別の1機が10mに設定した爆雷2発を潜水艦の司令塔後方に投下。；福井県は機雷投下のために多数の米機が6月ごろより頻繁に進入していた。；また、初期の核爆弾は、航空機から投下するのみの無誘導爆弾であった。；この他の操作は緊急回避用にボムを投下し敵を全滅させるボタンがあるのみ。；また、航空機から爆撃で投下する爆弾も効果の上では榴弾にほぼ等しい。；潜水艦がいたと思われる地点へ爆雷が投下されたが、それ以上の接触は行われなかった。；価値は、原理的には、どのような投下生産物を用いても説明できる。；それほど高度な技術や多額な資本投下無しに製造できることが推測できる。；次に多かったのはM17集束焼夷弾であり合計4525個が投下された。；当初の投下目標は相生橋であったが、風の影響により流されたとされている。；原子爆弾は目標を目視してからの投下が厳命されていたからである。；大その半は投下高度が低すぎたため装甲甲板を貫通できなかった。；大規模に外資を投下された民間企業による経済活動は極めて盛んである。；ヴァリアントは唯一、イギリスの核実験の一部として核の投下を行った。；日本側は約100発の爆雷を投下したが、ガーナードはこれを回避した。；航空機からの発射では、第二次世界大戦時は飛行する航空機から投下する方法が主であった。；初期の核兵器はいずれも航空機から投下される航空爆弾として運用された。；アメリカ軍の資料によると仙台空襲で投下された焼夷弾は、 である。</t>
        </is>
      </c>
      <c r="J5902">
        <f>HYPERLINK("https://www.weblio.jp/content/投下", "词义详情")</f>
        <v/>
      </c>
      <c r="K5902">
        <f>HYPERLINK("https://yourei.jp/投下", "查看例句")</f>
        <v/>
      </c>
    </row>
    <row r="5903">
      <c r="A5903" t="inlineStr">
        <is>
          <t>どうか</t>
        </is>
      </c>
      <c r="B5903" t="inlineStr">
        <is>
          <t>成功</t>
        </is>
      </c>
      <c r="C5903" t="inlineStr">
        <is>
          <t>［副］
１心から丁重に頼み込む気持ちを表す。どうぞ。なにとぞ。「頼むから—見逃してくれ」
２具体的な方法はともかくとして、ある問題の解決を望む気持ちを表す。なんとか。どうにか。「小遣いぐらいは自分で—する」
３物事が普通とは異なる状態を表す。多く、変だ、あまり感心しない、などの気持ちを表す。どうにか。「今日のお前は—したんじゃないか」「暑くて—なってしまいそうだ」
４判断に自信がない、迷っているといった気持ちを表す。「本当か—わからない」「—な、難しいところだ」
５確かな根拠はなくても、たぶんそうであろう、という気持ちを表す。どうも。どうやら。
「あなたがたは、—、年来のお交際(つきあい)らしく思われますが」〈里見弴・今年竹〉
[用法]どうか・どうぞ——「どうか（どうぞ）お願いします」「どうか（どうぞ）奥の方にお入りください」など、依頼の表現では相通じて用いられる。◇「どうか」は無理を承知で頼む意が強い。「どうかご承諾ください」◇「どうぞ」は勧誘の気持ちが強く、そのことをするかどうかは相手しだいになる。「どうぞお出かけください」また、「どうぞ」のあとを省略して、「どうぞ」だけで使うことができる。「どうぞ（お召し上がりください）」◇「どうかしたのか」「うまくできるかどうか」のように、異常な状態、自信のなさを表す用法は「どうぞ」にはない。◇「なにとぞ」は、やや古風ないい方だが、丁寧な気持ちは「どうか」「どうぞ」より強い。手紙文などに多く使われる。「時節がら、なにとぞご自愛ください」</t>
        </is>
      </c>
      <c r="D5903" t="inlineStr">
        <is>
          <t>どうかわから(2%)；どうか確かめ；どうか分から；どうか疑わしい；どうか分ら</t>
        </is>
      </c>
      <c r="E5903" t="inlineStr">
        <is>
          <t>どうぞ；是非；くれぐれも；願わくは；何とぞ</t>
        </is>
      </c>
      <c r="F5903" t="inlineStr">
        <is>
          <t>どうかお願い；どうか定か；どうかたしかめ；どうかアッラー；どうかチェック</t>
        </is>
      </c>
      <c r="H5903" t="n">
        <v>29</v>
      </c>
      <c r="I5903" t="inlineStr">
        <is>
          <t>教会自体が政治的活動に関わるかどうかは、教会それぞれ異なっている。；実際どうかしているのですね、奥さんにお逢いして知らずにいるなんて。；ループは、繰り返しを継続するかどうかを判断するための条件式を持つ。；当選した場合、タレント活動を継続するかどうかはその者の判断による。；どうか十分に努力され、今少し身体を大きくし強くするように願いたい。；ここでペレルマンが本賞を受賞するのかどうかが一部の関心を呼んでいた。；ただし証拠を示していないため、事実かどうかを確認できないままにある。；使用する文字は同言語かどうかの判断基準としてはあまり用いられない。；むしろどうか一度でもよいから花前のような生活がしてみたくなってくる。；どうかすると、剣を抜いて道に立てて、その倒れる方へ行ったりもした。；特別にその矛盾や缺陷をどうかしようとしたりしてゐるところがない。；また環境条件が相手国にとって有利かどうかも重要な判断材料となる。；ポリアモリーを性的少数者に含むかどうかは様々な意見が存在している。；名前は須藤と申していましたが、それさえ本当の名かどうか分りません。；この男は、発熱のために頭がどうかしたのではないかと思われて来た。；とは、位相空間上の性質がZFCと独立かどうかを主題する分野である。；彼らが前述の強化細胞を移植しているかどうかは作中では語られていない。；嘘をつく人の言うことが信用できるかどうかは、ややこしい問題を生む。；だが一方では、崩壊をどうかして止めようとする願いも否定出来かねる。；角関係とは面と面とが互いに見えているかどうかを表す係数である。；水晶球が本物であるかどうか判断する場合は、複屈折を確認するとよい。；なお、当時からコンコースとしての計画があったかどうかは不明である。；君も向こうを見ないでいる方がいい、あいつどうかしているんだよ。；よくよく考えてみれば、これはふしぎに思う方がどうかしているのだ。；どうかすると、母親さへも彼女には極めつけられて困ることがあつた。；トールキンがどちらかのシリーズを聞いたことがあるかどうかはわからない。；そしてそれにつけてもどうかして私は必要な勉強だけはしてゆきたいと思いました。；伯母がいなかったら、今日のような私ができたかどうかわかりません。；しかし、平穏が達成されたかどうかは、イスラエル側が判断するとした。</t>
        </is>
      </c>
      <c r="J5903">
        <f>HYPERLINK("https://www.weblio.jp/content/どうか", "词义详情")</f>
        <v/>
      </c>
      <c r="K5903">
        <f>HYPERLINK("https://yourei.jp/どうか", "查看例句")</f>
        <v/>
      </c>
    </row>
    <row r="5904">
      <c r="A5904" t="inlineStr">
        <is>
          <t>同格</t>
        </is>
      </c>
      <c r="B5904" t="inlineStr">
        <is>
          <t>成功</t>
        </is>
      </c>
      <c r="C5904" t="inlineStr">
        <is>
          <t>読み方：どうかく
１資格・格式・地位などが同じであること。「課長職と—に扱う」
２文法で、一つの文の中において、語あるいは文節が他の語あるいは文節と、文の構成上の機能が同一の関係にあること。</t>
        </is>
      </c>
      <c r="D5904" t="inlineStr">
        <is>
          <t>同格扱い；同格以上；同格句；同格語；同格の修剣士</t>
        </is>
      </c>
      <c r="E5904" t="inlineStr">
        <is>
          <t>同等；同一；平等；均一；均等</t>
        </is>
      </c>
      <c r="H5904" t="n">
        <v>29</v>
      </c>
      <c r="I5904" t="inlineStr">
        <is>
          <t>彼と同格の三公の誰かがそこにいても、彼は驚きはしなかったであろう。；いわゆる攘夷家も蝙蝠安や与三郎と同格に認められるようになって来た。；それは捉えがたい何かであり、意識それ自体とだけ同格でありうる。；時臣の直弟子である自分と比較しても、せいぜいが同格の立場であろう。；これは巡査長が階級的職位にすぎず、階級上は巡査と同格だからである。；防禦戦闘が攻撃戦闘と全く同格に重要であることが認識されていないようであった。；信長の上洛後は両者は同格であったが、守護となったことで立場が変化した。；そうでない場合でも局長と同格とされるのが普通で、それより上位とはされない。；実際、当時は彼らにあてがわれた地位や職はほとんど同格であった。；県や、それと同格に扱われる市 は、いくつかの郡に分割される。；此は、上位の人と、下の者とが、同格になる時があつたのである。；なお、これらと同格で一軍種からなる特定軍も同様の指揮系統とされている。；正之にその衣装を与えることで、将軍と同格であることを周りに知らしめた。；すべての制限的な節が同格語であるわけというわけではない。；その結果、中世に入る頃には郷は郡とほぼ同格の位置づけとなった。；その点からすれば、早百合も目の前の女と同格だと言われても仕方ないではないか。；そうしてそれがだんだんに固定し現実化してしまって今ではもう一つの体験の記憶とほとんど同格になってしまっている。；天王は、皇帝よりわずか一歩低いもののほぼ同格という称号であった。；処が両者を終局に於て同格だというのでは、果して夫が両者の総合だろうか。；つまり、同格の他のものがあるような一つのものではない。；農民階級に信仰された神であり、元来はオーディンと同格以上の地位があった。；ただし、州の下の郡と同格の自治体にも同じ呼び名の市がある。；前述のように武衛家は将軍家と同格の家柄を誇る名門中の名門であった。；ただし現在のアジア、アフリカに相当する地域では、その他の神と同格に扱われている。；また、「悪魔将軍と同格」という設定を意識したデザインとなっている。；四日市港発展のために、名古屋港と同格の運用組織を理想とする。；知り合いに結界作りのエキスパートがいたが、そいつと同格の作り手かな。；他の2つの同格の部門と同じく行政は権力が制限される。；私はたしかにタイタニアの伯爵だが、同格の者は、そう、一〇〇人近くいる。</t>
        </is>
      </c>
      <c r="J5904">
        <f>HYPERLINK("https://www.weblio.jp/content/同格", "词义详情")</f>
        <v/>
      </c>
      <c r="K5904">
        <f>HYPERLINK("https://yourei.jp/同格", "查看例句")</f>
        <v/>
      </c>
    </row>
    <row r="5905">
      <c r="A5905" t="inlineStr">
        <is>
          <t>どうかすると</t>
        </is>
      </c>
      <c r="B5905" t="inlineStr">
        <is>
          <t>成功</t>
        </is>
      </c>
      <c r="C5905" t="inlineStr">
        <is>
          <t>１場合によると。「—春のような暖かい日がある」
２ややもすると。「—安易な方法を選びがちだ」</t>
        </is>
      </c>
      <c r="D5905" t="inlineStr">
        <is>
          <t>どうかするとある</t>
        </is>
      </c>
      <c r="E5905" t="inlineStr">
        <is>
          <t>拡大する；固定する；定着する；吸収される；融合する</t>
        </is>
      </c>
      <c r="H5905" t="n">
        <v>29</v>
      </c>
      <c r="I5905" t="inlineStr">
        <is>
          <t>私と会っている時でもどうかするとすぐ説教のような堅い話になるのよ。；ぼくなんかはどうかすると此節、月に十幅は欠かさず岸田を見るだらう。；床屋はたいていは大人だがどうかすると若い男の子みたいなのもいる。；私はどうかすると彼から人形のように操られているような気もする。；お茶をのみながら、男はどうかすると、ふっと黙ってしまうことがある。；副司教なんてのにはどうかするととてもよろしくないのがいるわねえ?；人間というものはどうかすると、子供みたいなことをやるものである。；ただ眠りがどうかして、猫がどうかするというような言葉だけが耳に残った。；だからどうかするとちつとも実際に適合しない方針を取ることになる。；それはどうかすると怨念にまで上昇しそうな性質のものであった。；しかし、先生はどうかすると、まるで矛盾したことを云われるんだからね。；何故かといふに、赤い色はどうかすると見物の注意を乱すからである。；男女の間にはどうかするとこうした場合があるものである。；あなたはどうかすると、恐ろしく陰気な眼つきをするようになりましたね。；いまにも気をうしなって私たちの上に倒れかかるかどうかするのではないかと思われた。；これはどうかすると皮肉になりさうだが、そんな氣持ちで云つてゐるのではない。；午後にはどうかすると町へ行って餅菓子を買って来て茶をいれてくれることなどもある。；人というものはどうかすると自分の幸福を忘れている事がある。；お島はどうかすると、蟇口を開けて、銭を投げつつ急いで通過ぎた。；もし、この約束をたがえたら、この男はきっと自分をどうかするでしょう。；そんな気にも私はどうかするとなり兼ねないのだった。；そして、サラリーマンはどうかすると、それを当然のように思ってしまう。；しかし、ただそれだけの出来事では、まだ私がどうかする時期でないように思う。；が、彼はどうかすると、全然何の理由もないのに、その時の彼を思ひ出す事がある。；さう云へば、梨枝子つていふ娘はどうかすると冷たく見えることがありますね。；もしできなければ家のものが、どうかするだろうと思った。；その声はどうかすると「ルウベンスの偽画」の声にそっくりになった。；油を商う主 それでも天狗はどうかすると、仏に化けると言うじゃないか?；戦争はどうかすると一国の人を殺してしまい、一つの国を亡ぼしてしまうことがございます。</t>
        </is>
      </c>
      <c r="J5905">
        <f>HYPERLINK("https://www.weblio.jp/content/どうかすると", "词义详情")</f>
        <v/>
      </c>
      <c r="K5905">
        <f>HYPERLINK("https://yourei.jp/どうかすると", "查看例句")</f>
        <v/>
      </c>
    </row>
    <row r="5906">
      <c r="A5906" t="inlineStr">
        <is>
          <t>唐辛子</t>
        </is>
      </c>
      <c r="B5906" t="inlineStr">
        <is>
          <t>成功</t>
        </is>
      </c>
      <c r="C5906" t="inlineStr">
        <is>
          <t>読み方：とうがらし
ナス科の一年草。枝を多く出し、葉は長卵形。夏、葉の付け根に白色の5弁花をつける。実は細長く、初め緑色で秋に熟すと深紅色になる。ふつう果皮や種子の辛味が強く、香辛料や薬用にする。南アメリカの原産。日本には16世紀に伝来。南蛮船がもたらしたという。変種が多い。南蛮がらし。《季秋 花＝夏》「青くてもあるべきものを—／芭蕉」</t>
        </is>
      </c>
      <c r="D5906" t="inlineStr">
        <is>
          <t>唐辛子入り；唐辛子等；唐辛子ソース；唐辛子ベース；唐辛子ペースト</t>
        </is>
      </c>
      <c r="E5906" t="inlineStr">
        <is>
          <t>トウガラシ</t>
        </is>
      </c>
      <c r="F5906" t="inlineStr">
        <is>
          <t>生唐辛子；カシミール唐辛子</t>
        </is>
      </c>
      <c r="G5906" t="inlineStr">
        <is>
          <t>唐辛子粉；唐辛子スプレー；唐辛子ひでゆ</t>
        </is>
      </c>
      <c r="H5906" t="n">
        <v>29</v>
      </c>
      <c r="I5906" t="inlineStr">
        <is>
          <t>料理に唐辛子が多く使われるようになったのは比較的最近のことである。；昔生産が盛んだった唐辛子の栃木三鷹を使っての町おこしも行っている。；唐辛子を先にいれると辛さと香りが強く出たソースを作ることができる。；極端な例では唐辛子から抽出したカプサイシンの結晶も販売されている。；それでだねえ、もし唐辛子と蕎麦といっしょに入ってきたときはどうする?；ただそれとは別に一つ気になっているのは唐辛子類なんです。；唐辛子のような猛妻にひきずられて張源徳はしおしおと店を出ていった。；元来唐辛子の辛さに慣れていたことから日本のものよりは中国のものに近い。；状況に応じてスパイシーな緑唐辛子やニンニクなどを加えることもある。；唐辛子の含有量が多く防腐作用を持っている為、保存料を必要としない。；唐辛子が多く含まれているためとても辛いが、加熱すると香りが加わる。；その脇差の目貫は、鼠が赤い唐辛子を引いて行く彫刻で出来上っていた。；唐辛子の形も好きで唐辛子型のアクセサリーを身に着けているという。；彼は農園に残っていた唐辛子を使い、タバスコを生産し資産をふやした。；各店舗の内外装は唐辛子の色である赤を基調としてまとめられている。；主にアルカネットの花か根と、カシミール唐辛子を使って色や味をつける。；タバスコソースで使用されることで有名なほか、唐辛子酢でも使用される。；女はこの赤いものが、唐辛子であると見分けのつくところまで来て留まった。；となると辛くない唐辛子は薬効があまりないということになりますか?；七味唐辛子に対して、唐辛子のみで構成されていることからこの名がある。；そうして入ってきた唐辛子に虫は急いで逃げ込もうと、一目散に腹を下る。；例えばこの辛くない唐辛子が花粉の影響で突然ほどほどに辛くなったとする。；ナスを水に付けて色を抜いた後に、塩と唐辛子でナスを本漬けしたものである。；それから例のごとくやはり麦焦しの団子に唐辛子と塩とを付けて喰ったです。；だからシスターちゃんの鼻に唐辛子を押し込もうとしないで下さい!；公道に止まっている自動車は、いつものあの唐辛子みたいな赤い車じゃなかった。；実は他の種類の唐辛子と比べて小さく、先がとがった紡錘形である。；そこで、美緒は、唐辛子のかわりに熱い豆腐を彼の小鉢に取ってやった。；実が出来始めて初期は緑色だが日が経つにつれて赤くなっていく所は一般的な唐辛子と同じである。</t>
        </is>
      </c>
      <c r="J5906">
        <f>HYPERLINK("https://www.weblio.jp/content/唐辛子", "词义详情")</f>
        <v/>
      </c>
      <c r="K5906">
        <f>HYPERLINK("https://yourei.jp/唐辛子", "查看例句")</f>
        <v/>
      </c>
    </row>
    <row r="5907">
      <c r="A5907" t="inlineStr">
        <is>
          <t>同感</t>
        </is>
      </c>
      <c r="B5907" t="inlineStr">
        <is>
          <t>成功</t>
        </is>
      </c>
      <c r="C5907" t="inlineStr">
        <is>
          <t>読み方：どうかん
［名］(スル)同じように感じること。その意見や考えに賛成であること。また、そのような意見や考え。「私も—だ」「彼の説に—する」</t>
        </is>
      </c>
      <c r="D5907" t="inlineStr">
        <is>
          <t>同感できる；同感出来る；同感いたし</t>
        </is>
      </c>
      <c r="E5907" t="inlineStr">
        <is>
          <t>理解；契約；わかる；約束；一致</t>
        </is>
      </c>
      <c r="F5907" t="inlineStr">
        <is>
          <t>少しも同感；ご同感</t>
        </is>
      </c>
      <c r="H5907" t="n">
        <v>29</v>
      </c>
      <c r="I5907" t="inlineStr">
        <is>
          <t>私は初めから小説などに描かれた恋愛に同感できるのはほとんど無かった。；これには、ストライキ反対派の中に同感の意を表したものも多少あった。；この本が、同情と同感のためばかりによまれるべきだとは考えられない。；これは僕の方ばかりではあるまい、千代子もおそらく同感だろうと思う。；それは雄二と結託して試験召喚戦争を起こそうとした僕でさえも同感だ。；私はやはり私の同感した周囲の中に動く自分を見出して行く性だと思います。；民衆の生活雰囲気から同感を持たれない者は、常に一種の異邦人である。；二人とも、熱心に弁じ立てているこの元気な娘に思わず同感したのである。；この特殊な社会の事情は全然我々の同感を呼び得べきものでない。；少しはお慰めになりましょうが、おっしゃることは全く同感であります。；この結婚が適当なものでないというお説には、私も同感でございます。；悲とは、仏教の概念で人々に苦しみをともにする同感の心を持つこと。；「ばれてるわよ」 すぐ後ろで、ゆきもおれと同感であることを示した。；彼の発言の内容は、心ある人だったら、ひそかに同感できるはずです。；こんどは答えられないのではなく、実は大膳も同感するところがある。；「誰もこんな所で死にたくはないからなア」 それは浜野も同感だった。；しかし全く神を持たない降旗も、そうした声には全く同感なのである。；かれはマッコイに同感の意を表するために自分の両手を握って見せた。；しかし、わたしは彼の個性から強い、それでも同感できる印象を受けた。；僕は、僕に同感でき、眼で眼に答えてくれる人間を、仲間にほしいのです。；そして理解してもらいたい人々からは同感を寄せられなかった。；あんた方だつてあいつが大男ですぐ目につくことは同感でしよう。；私が折々感じて書いたりしていること御同感の節もあるでしょう?；カークは一瞬ためらったが、実のところかれもその気持には同感だった。；彼女の言葉に同感の意を表して、やはり自分のあれは本当なんだなと思ったのである。；僕だって、心の中ではお母さんに同感していなかったとは云えない。；僕は今その気持をはっきり説明することは出来ないが、君にも同感は出来るだろう。；しかし、あの老紳士に変化が必要だということには、おれだっても同感だ。；農民たちは田中の根本にあるそういう考え方に同感したのである。</t>
        </is>
      </c>
      <c r="J5907">
        <f>HYPERLINK("https://www.weblio.jp/content/同感", "词义详情")</f>
        <v/>
      </c>
      <c r="K5907">
        <f>HYPERLINK("https://yourei.jp/同感", "查看例句")</f>
        <v/>
      </c>
    </row>
    <row r="5908">
      <c r="A5908" t="inlineStr">
        <is>
          <t>陶器</t>
        </is>
      </c>
      <c r="B5908" t="inlineStr">
        <is>
          <t>成功</t>
        </is>
      </c>
      <c r="C5908" t="inlineStr">
        <is>
          <t>読み方：とうき
１陶磁器のうち、素地(きじ)の焼き締まりが中程度で吸水性があり、釉(うわぐすり)を施した非透光性のもの。土器よりもかたいが、磁器にくらべてやわらかい。
２陶磁器類の総称。焼き物。せともの。</t>
        </is>
      </c>
      <c r="D5908" t="inlineStr">
        <is>
          <t>陶器製(4%)；陶器師(2%)；陶器類；陶器店；陶器生産</t>
        </is>
      </c>
      <c r="E5908" t="inlineStr">
        <is>
          <t>土器；陶磁器；磁器；陶芸；セラミック</t>
        </is>
      </c>
      <c r="F5908" t="inlineStr">
        <is>
          <t>釉陶器；焼かれる陶器；小さな陶器；大きな陶器；古陶器</t>
        </is>
      </c>
      <c r="G5908" t="inlineStr">
        <is>
          <t>陶器藩；陶器車；陶器瓦；陶器神社；陶器千塚古墳群</t>
        </is>
      </c>
      <c r="H5908" t="n">
        <v>29</v>
      </c>
      <c r="I5908" t="inlineStr">
        <is>
          <t>江戸時代に入ると木や陶器製の張り形が販売され一般にも使われ始めた。；その場合は単に陶器を安価に販売するだけのイベントである場合が多い。；この時代の末期にはギリシア神話を描いた陶器が見られるようになった。；人類は木・石・銅・青銅・陶器などを使ってさまざまな像を作ってきた。；素材として主に用いられたのは獣角・金属・石・木・陶器などである。；彼らはカルタジローネの陶器製造に新たな技術を導入したとみられている。；この町は陶器製造で重要な土地で、ローマ帝国中に製品が輸出されていた。；この間に焼かれた製品はすべて陶器であり、各種の日用品が主体である。；古代ギリシアの陶器の絵に金属の装飾を先端につけた長い杖が描かれている。；青銅器時代にも高度な文化が存在し、陶器や剣を含む多くの出土品がある。；陶器の丸い表面の中でその部分が最も鑑賞者の目に近いところに来る。；かつてはピッツハンガー・マナーの一室が陶器展示室に当てられていた。；金属製のものが主流ではあるが、磁器、陶器などで作られたものもある。；実家は祖父の代からフランスの陶器やガラス器の輸入業をしていた。；しかし実際の陶器の時代的特徴と矛盾するため誤伝といわれている。；陶器は雪や氷などをイメージした北国らしい作風に大きな特徴がある。；土の中をくり抜いて陶器釜と鍛冶施設が一体化している火竜術士の家。；多くは青銅製であるが、木・石・陶器などを素材とした作品もある。；レンガ工場では陶器製品や要求度の高い建築用セラミックが生産されていた。；そこで彼はこの都市を有名にした多くの陶器デザインを創造した。；これらの都市群は、陶器・ガラス・紫の染料の生産の中心地であった。；ただし、年代は海外に輸出された年代推定可能な形で出土した陶器に基づいている。；この他にも市内各所から埴輪片や須恵器・中世陶器などが発見されている。；いくつかの陶器はジアの鳥のシンボルが描かれた薄い壁のある陶器である。；殷代には陶器、石、骨で作られ、多くは底が平らな卵形に作られている。；茶壷には材質には、主に陶器製・磁器製・ガラス製の三種類が使われる。；イズニク陶器の発達には、このことが大きく寄与していると言われている。；さらに陶器と磁器の両方の長所をもつストーン・ウェアの開発にも成功。；行われたのは金属製出土品と、出土陶器および周辺岩石の分析である。</t>
        </is>
      </c>
      <c r="J5908">
        <f>HYPERLINK("https://www.weblio.jp/content/陶器", "词义详情")</f>
        <v/>
      </c>
      <c r="K5908">
        <f>HYPERLINK("https://yourei.jp/陶器", "查看例句")</f>
        <v/>
      </c>
    </row>
    <row r="5909">
      <c r="A5909" t="inlineStr">
        <is>
          <t>討議</t>
        </is>
      </c>
      <c r="B5909" t="inlineStr">
        <is>
          <t>成功</t>
        </is>
      </c>
      <c r="C5909" t="inlineStr">
        <is>
          <t>読み方：とうぎ
［名］(スル)ある事柄について意見を述べ合うこと。「—を重ねる」「対策案を—する」</t>
        </is>
      </c>
      <c r="D5909" t="inlineStr">
        <is>
          <t>討議する(9%)；討議される(2%)；討議内容；討議会；討議しよ</t>
        </is>
      </c>
      <c r="E5909" t="inlineStr">
        <is>
          <t>議論；論；相談；講義；論争</t>
        </is>
      </c>
      <c r="F5909" t="inlineStr">
        <is>
          <t>公開討議；真剣な討議；韓国問題討議；政治討議；大衆討議</t>
        </is>
      </c>
      <c r="H5909" t="n">
        <v>29</v>
      </c>
      <c r="I5909" t="inlineStr">
        <is>
          <t>討議の結果どれかが採択決定されたということにはなっていないらしい。；エルサレムでは、ローマの役人たちが近づく祭りのことを討議していた。；以上のような点が刑事課長から報告されると、つづいて討議に移った。；捜査本部では一課長を中心に事件についての討議が活発になされていた。；大衆討議の場を持ったりパンフレットや請願書を発行して運動を続けた。；すべての決定は、自由討議と自由な秘密投票にもとづいて行われている。；わが国近年の最大の不幸は、この公開的討議の場が失われていたことにある。；「これはどういうことか」 捜査会議で市川と渋川の関係が討議された。；そして、抽出された住民の中から参加応諾した人により討議が行われる。；この討議のため、2月にヤルタ会談が開催され、ソ連参戦が議論された。；この討議は列国議会同盟会議の機会を利用して開かれたものである。；常に主を敬っているならば、道理を用いて討議をするのが当然である。；またこの運動を受けて、教師側は1泊2日の集中討議を秩父で実施した。；そこには皆が集まり、食事をともにし、様々な議題が討議・裁決された。；すべての問題が全員で討議され、決定も同じようにしてくだされた。；施設がほぼ決定したところで、運営や事業の具体的な内容について討議された。；その討議まで完了するのは試験日の約2週間前であり、試験問題が印刷に入る。；このほかにも二人の討議を必要とする 国の問題がある。；この日の捜査会議では、当然、インターネットのことが、討議された。；国連安保理はこの決議案を討議し、文言の修正・変更を経て採択された。；そうした問題を討議するために、われわれは君を招いたのではない。；慎重な討議が重ねられたが、残ることを望むものがないのでは選択の余地はない。；討議がある段階まで進んだとき、ズールーがジョウに訴えて支持を求めた。；これにつづく討議の間、僕は関係者のさまざまな態度を興味をもって眺めていた。；余計な討議をするまでもなく、三人は一致して陸軍の今後の進路を決定する。；総会は、全加盟国で構成され、国連の関与するすべての問題を討議する。；連合軍側は、サイパン占領後の攻略目標について、三案を討議していた。；これらの要求は他の代表の沈黙および討議打ち切り宣言により黙殺された。；またパキスタンも積極的な討議への参加を避けるようになった。</t>
        </is>
      </c>
      <c r="J5909">
        <f>HYPERLINK("https://www.weblio.jp/content/討議", "词义详情")</f>
        <v/>
      </c>
      <c r="K5909">
        <f>HYPERLINK("https://yourei.jp/討議", "查看例句")</f>
        <v/>
      </c>
    </row>
    <row r="5910">
      <c r="A5910" t="inlineStr">
        <is>
          <t>動機</t>
        </is>
      </c>
      <c r="B5910" t="inlineStr">
        <is>
          <t>成功</t>
        </is>
      </c>
      <c r="C5910" t="inlineStr">
        <is>
          <t>読み方：どうき
１人が意志を決めたり、行動を起こしたりする直接の原因。「犯行の—」「タバコをやめた—」
２《motive》心理学で、人間や動物に行動を引き起こし、その行動に持続性を与える内的原因。
３倫理学で、行為をなすべく意志する際、その意志を規定する根拠。義務・欲望・衝動など。
４⇒モチーフ2</t>
        </is>
      </c>
      <c r="D5910" t="inlineStr">
        <is>
          <t>動機付け；動機b；動機なき殺人；動機そのもの；動機c</t>
        </is>
      </c>
      <c r="E5910" t="inlineStr">
        <is>
          <t>意志；モチーフ；野心；意気；生気</t>
        </is>
      </c>
      <c r="F5910" t="inlineStr">
        <is>
          <t>強い動機；どんな動機；政治的な動機；不純な動機；大きな動機</t>
        </is>
      </c>
      <c r="G5910" t="inlineStr">
        <is>
          <t>動機付け；動機付ける；動機の錯誤；動機づけ面接法；動機づけ面接</t>
        </is>
      </c>
      <c r="H5910" t="n">
        <v>29</v>
      </c>
      <c r="I5910" t="inlineStr">
        <is>
          <t>直接その行動を引き起こす動機と、その機能は区別しなければならない。；金載圭が大統領の殺害に至る動機についてははっきりしない部分もある。；このことが地球外知的生命体探査を行うための強力な動機付けとなった。；怒りが動機ではなく、金銭など利益の取得を目的としたクレームもある。；安易に人を茶かした歌をつくって当てようなんざ、動機が不純なんだよ。；政治将校は共産党による軍の動機付けを支配し改善する為に設立された。；また、第一主題と第二主題の間に動機的関連を持たせるものも多い。；問答法の現代的な利用の動機は、ソクラテスの時代と同じとは限らない。；イデオロギーは彼が協力しようとしている本当の動機ではないかもしれない。；その際には、現天皇の系譜を正統化しようという動機もあったであろう。；展開部で最初に扱われるのは第1主題だが、やがて三連音動機も加わる。；終楽章と同様に、数々の動機を複雑に組み合わせた構成をとっている。；展開部では第1主題の動機が拡大して展開し再び第7動機で頂点を迎える。；量だけを求める練習を良しとせず、現実的な動機付けと目標設定を重視した。；金管が第1主題の動機を繰り返して再び激しくなるところから展開部。；これらの要素が空気亜鉛電池を自動車に使用する動機となっている。；他人の作品などの動機やテーマなどを出して自己の作品との関係を強化する為に用いる。；一方、左手のバスの動きはLebewohl動機の反行形となっている。；その後の警察の捜査では動機も犯人の見当も付かないままである。；歴代の皇帝たちは、政治的および個人的な動機で仏教を保護した。；また、彼の動機が合理的でも純粋でもないという指摘には強く苛立った。；この動機を一貫して追ってゆくと、交響曲的な統一が保証されるのだ。；行為者の動機よりも行為そのものの善悪を判断すべきである、と言明した。；自殺の直接の動機は、このような政治的背景によるものとする説もみられる。；この年の録音の4ヶ月前にハリーは動機不詳の拳銃自殺を遂げている。；なお、暗殺した動機や、海外へ逃亡した資金源などはわかっていない。；動機は、朝鮮出兵への反発とも、秀吉の支配に対する反発ともいわれる。；その一つの動機は、三次や四次の相互法則を証明することにあった。；このテーマも音程的に1楽章で出てきた統一動機の音程的特徴を備える。</t>
        </is>
      </c>
      <c r="J5910">
        <f>HYPERLINK("https://www.weblio.jp/content/動機", "词义详情")</f>
        <v/>
      </c>
      <c r="K5910">
        <f>HYPERLINK("https://yourei.jp/動機", "查看例句")</f>
        <v/>
      </c>
    </row>
    <row r="5911">
      <c r="A5911" t="inlineStr">
        <is>
          <t>同期</t>
        </is>
      </c>
      <c r="B5911" t="inlineStr">
        <is>
          <t>成功</t>
        </is>
      </c>
      <c r="C5911" t="inlineStr">
        <is>
          <t>読み方：どうき
［名］(スル)
１同じ時期。「前年の—の生産高をうわまわる」
２入学・卒業・入社などの年度が同じであること。「会社の—」「—会」
３作動の時間を一致させること。内容や情報を一致させること。シンクロナイズさせること。「画面と音声とを—する」「—を取る」</t>
        </is>
      </c>
      <c r="D5911" t="inlineStr">
        <is>
          <t>同期入社(4%)；同期入団(3%)；同期に元同；同期入省；同期デビュー</t>
        </is>
      </c>
      <c r="E5911" t="inlineStr">
        <is>
          <t>同調；同時性；同時発生；同期式</t>
        </is>
      </c>
      <c r="F5911" t="inlineStr">
        <is>
          <t>高校同期；入省同期；当選同期；海兵同期；時空同期</t>
        </is>
      </c>
      <c r="G5911" t="inlineStr">
        <is>
          <t>同期会；同期電動機；同期信号；同期発電機；同期軌道</t>
        </is>
      </c>
      <c r="H5911" t="n">
        <v>29</v>
      </c>
      <c r="I5911" t="inlineStr">
        <is>
          <t>同期の友人の証言では、英雄は大学ではボート部に所属していたという。；初期のシステムは同期式コード設計だったが、機械の同期が難しかった。；文字コードではない一般的なビット列での同期を取るために用いられる。；また、彼は本来非同期なはずの音を同期させるという実験も行っている。；同期は河村孝らがいたが森保は入団当初はその中で最下位の評価だった。；正確な同期化は、往路と復路の通信時間がほぼ等しい場合に達成される。；水島新司とは、ほとんど同じ時期にデビューした同期みたいな存在だった。；京都一中の同期には学者の子供が多く、後に学者になった者も多かったという。；既存の技術よりも高速に信号を同期させることができた。；また、より高速な伝送を行うためにはより正確な同期が求められる。；同期は石田一洋で、入社当時は仕事や番組の担当を共にすることも多かった。；録音時に映像と音声がしっかり同期していれば、確実に再生時にも同期できる。；これに同期するかのようにマルコーニ社のCQDの使用は終了した。；これにより既存データへのアクセスリソースを抑えながら同期が可能になる。；同期に引っ込み思案で根暗な性格を直したいと声優になりたいと思ったという。；ただし、培養物内の細胞は、全てが同期的に複製されるわけではない。；少年らしい悪戯や失敗の逸話も残されており、同期の団結の中心となった。；は春季キャンプで同期の前田智徳の打撃技術の高さに衝撃を受けた。；同期化の性能を向上させるため、スレッド化された割り込みが実装された。；冬季の低温を、生活史を季節と同期させるために利用しているわけである。；よって、RTCの時刻は機器間で互いに同期していることが望ましい。；同年の自由民主党総裁選挙では自身の当選同期である安倍晋三を支持した。；この装置により、分岐器の開通方向と信号機の現示は絶対に同期している。；ここ最近では、上記の方法を混合させた音楽の同期という方法が可能となった。；この時の同期には、後に光GENJIでも一緒になる山本淳一がいた。；特に通信量が多くなるものや同期が必要なものは適さない。；厳しい練習で多くの同期が脱落する中、2年生から試合に出場した。；このときの同期放電が十分に強いと、隣接領域へ同期発火が伝播する。；各局が可変周波数の発信器と網同期網で互いに同期をとる方式である。</t>
        </is>
      </c>
      <c r="J5911">
        <f>HYPERLINK("https://www.weblio.jp/content/同期", "词义详情")</f>
        <v/>
      </c>
      <c r="K5911">
        <f>HYPERLINK("https://yourei.jp/同期", "查看例句")</f>
        <v/>
      </c>
    </row>
    <row r="5912">
      <c r="A5912" t="inlineStr">
        <is>
          <t>等級</t>
        </is>
      </c>
      <c r="B5912" t="inlineStr">
        <is>
          <t>成功</t>
        </is>
      </c>
      <c r="C5912" t="inlineStr">
        <is>
          <t>読み方：とうきゅう
１上下・優劣の順位を表す段階。くらい。階級。「五つの等級に分ける」「等級を付ける」
２天体の光度を示す階級。光度が2.512倍になるごとに一等級減少する。→等星
３自動車保険の保険料の割引率・割増率を算出するための階級。→ノンフリート等級</t>
        </is>
      </c>
      <c r="D5912" t="inlineStr">
        <is>
          <t>等級表(4%)；等級制(3%)；等級区分；等級別；等級付け</t>
        </is>
      </c>
      <c r="E5912" t="inlineStr">
        <is>
          <t>等；位置；点；程度；評価</t>
        </is>
      </c>
      <c r="F5912" t="inlineStr">
        <is>
          <t>各等級；三等級；二等級；肉質等級；障害等級</t>
        </is>
      </c>
      <c r="H5912" t="n">
        <v>29</v>
      </c>
      <c r="I5912" t="inlineStr">
        <is>
          <t>この等級は基本的な考え方を変えることなく現代でも使われている。；下記はグアテマラ式の7段階の等級分けで上からの順で良い等級である。；イギリスに存在する主な勲章と、ナイトが授与される等級を以下に示す。；鉄道の場合、かつての運賃に差を付けた等級制度からきているものが多い。；この等級には騎士団の階級に由来する名称が付けられ、現在に至っている。；当時の学校は、同じ等級に属していても年齢はかなり隔たりがあった。；各級は正式には功一級金鵄勲章のように等級+金鵄勲章の形で呼ばれる。；このタイプの星は通常はほぼ一定光度で輝いているが時々数等級ほど暗くなる。；もっとも、種族等級がそのまま魔王軍での階級と一致するわけではない。；特に言及なく見かけの等級が示される場合、通常はV等級を示している。；その他随行の関係者等にも、その役職に応じた等級の勲章が授与される。；日本では、安全剃刀の替刃を等級別に分けた上で公定価格が設定された。；この等級を製品等に表記するには、規定に従った試験を通過しなければならない。；Vバンドは、人間の肉眼で見たときの等級に非常によく対応している。；この版は、写真板に基づいた位置の決定と等級に依存する誤差を減らした。；時期により以下のとおり三等級制および二等級制の時代の二つに分類される。；等級に使用される砲の数はしばしば実際とは異なっていた。；ただし、距離分類は今度は等級ではなく赤方偏移で定義されることになった。；仏が入滅した後、この「機根」に様々な等級がつけられるようになった。；その他の等級に関しても、現在は男女ともに共通の綬をもって授与される。；日本においては、国鉄などが定めた旅客列車の車両にあった等級の一つ。；属は録が改編され位階とは分離されてできた等級と考えるとわかりやすい。；郡は、郷の数によって大・上・中・下・小の五等級に分かれていた。；この、観測者から見たときの明るさで示された等級を見かけの等級と呼ぶ。；そして、欠けていた一つの区域は小さい等級のペイロードだったのである。；一般的には、等級がかなり近い既知の恒星をいくつか観測することとなる。；ボールは等級は存在せず、チャレンジモードで取得すればすぐに使用できる。；メンバーの名声を上げることによってファミリーの等級が上がっていく。；この時代では、道路の管轄により一義的に等級の区分をすることとしていた。</t>
        </is>
      </c>
      <c r="J5912">
        <f>HYPERLINK("https://www.weblio.jp/content/等級", "词义详情")</f>
        <v/>
      </c>
      <c r="K5912">
        <f>HYPERLINK("https://yourei.jp/等級", "查看例句")</f>
        <v/>
      </c>
    </row>
    <row r="5913">
      <c r="A5913" t="inlineStr">
        <is>
          <t>投球</t>
        </is>
      </c>
      <c r="B5913" t="inlineStr">
        <is>
          <t>成功</t>
        </is>
      </c>
      <c r="C5913" t="inlineStr">
        <is>
          <t>読み方：とうきゅう
［名］(スル)ボールを投げること。また、投げたボール。特に、野球でいう。ピッチング。「全力で—する」「—フォーム」</t>
        </is>
      </c>
      <c r="D5913" t="inlineStr">
        <is>
          <t>投球内容(5%)；投球スタイル(4%)；投球動作(3%)；投球術(3%)；投球イニング(2%)</t>
        </is>
      </c>
      <c r="E5913" t="inlineStr">
        <is>
          <t>起こす；立てる；投げる；ピッチ；投じる</t>
        </is>
      </c>
      <c r="F5913" t="inlineStr">
        <is>
          <t>全力投球；反則投球；全投球；苦しい投球；通算投球</t>
        </is>
      </c>
      <c r="G5913" t="inlineStr">
        <is>
          <t>投球回数；投球練習；投球回；投球当時；投球王国ガシャーン</t>
        </is>
      </c>
      <c r="H5913" t="n">
        <v>29</v>
      </c>
      <c r="I5913" t="inlineStr">
        <is>
          <t>投球動作から来る衝撃は腰にかかる形となり、やがて故障をもたらした。；また、投手の投球の性格によって投手の調子が判断できたと語っている。；シーズン当初は敗戦処理での登板が多かったが、安定した投球を続けた。；東尾はこれを了承して以降、そのような投球をしてこなくなったという。；投球術や駆け引きが無視されるほどの絶対的な武器であることも多い。；最も一般的なものは、投手の投球時に走者が次塁に向けてスタートする。；この事からも、当時から卓越した投球術の持ち主であったことが分かる。；最後まで入団を誘ってくれたオリックス相手に無様な投球はしたくない。；また、野球部分で自チームが投球時は、投手側からの目線となっている。；のオープン戦で霧雨の中で投球を続けたところ、右肩の肩板を損傷した。；悪球はバントが難しいので、ボールになる投球であれば打たずに待つ。；ラジコンを操作する時の構えは投球前の構えとほとんど同じである。；従来の球速よりキレで勝負する投球法に変更したことで被打率が向上した。；また、自身が反則投球に使用したワセリンを販売する会社を経営している。；野球ならすべての打者が同じようにバットを振ったり投球をしていたのである。；しかし、リプレイを観る限り投球は加藤ではなくバットに当たっていた。；も同じような投球で11勝は挙げたが、シーズン25敗の韓国記録を作る。；同年はこの1勝のみに終わったものの、投球には自信を持てたという。；この一連の動作は投球時の腕の角度により以下の4種類に分類される。；そこで一本足で立って、巧妙な投球であっても対応できる訓練を王に課した。；投手は投球が役割の中心となるため、打撃に関しては期待されないことが多い。；でも故意とバレるような投球はしていません、こっちもプロですから。；また、投球のリズムが良く、野手から非常に守りやすいとの声があった。；小林が安定した投球を見せる一方、以降も復調の気配がなく退団となった。；カージナルスのボブ・ボウマン投手の投球を頭部に受けてしまったのである。；こうして、現在の左腕での投球がなされるようになったのである。；また、自然条件の影響を受けやすく、投球内容に大きく差が出てしまうこともある。；川上は投球後に打席の左右を変わるという秘策で殺人L字ボールを攻略。；特にスライダーの出し入れで内と外を使い分ける投球術が持ち味だった。</t>
        </is>
      </c>
      <c r="J5913">
        <f>HYPERLINK("https://www.weblio.jp/content/投球", "词义详情")</f>
        <v/>
      </c>
      <c r="K5913">
        <f>HYPERLINK("https://yourei.jp/投球", "查看例句")</f>
        <v/>
      </c>
    </row>
    <row r="5914">
      <c r="A5914" t="inlineStr">
        <is>
          <t>同級</t>
        </is>
      </c>
      <c r="B5914" t="inlineStr">
        <is>
          <t>成功</t>
        </is>
      </c>
      <c r="C5914" t="inlineStr">
        <is>
          <t>読み方：どうきゅう
１学級が同じであること。同じ学級。「—生」
２階級・等級が同じであること。</t>
        </is>
      </c>
      <c r="D5914" t="inlineStr">
        <is>
          <t>同級王者(4%)；同級王座；同級艦；同級機；同級暫定王者</t>
        </is>
      </c>
      <c r="E5914" t="inlineStr">
        <is>
          <t>同等；同程度；互角；同格；同列</t>
        </is>
      </c>
      <c r="F5914" t="inlineStr">
        <is>
          <t>東洋太平洋同級；日本同級；wba同級；opbf同級；同級世界</t>
        </is>
      </c>
      <c r="G5914" t="inlineStr">
        <is>
          <t>同級会；同級生交歓</t>
        </is>
      </c>
      <c r="H5914" t="n">
        <v>29</v>
      </c>
      <c r="I5914" t="inlineStr">
        <is>
          <t>同級の学生でそこへ出席する連中は誰と誰とであろうなどと思いやった。；中学へ遅れて入学した私と、早く入学した弟とは同級だったのです。；相手は小学校から高校まで同級だった男で、おじさんの甥の次男である。；私は知らなかったが、その人は私の弟と小学校で同級だったという。；同級機関の来文を引用した後、自己の意見を述べるときなどに用いる。；しかし、同級の仲間がみんな同じような姿をしていたので、一面安心もした。；機体の形を決めるに当っては、同級機・類似機などの資料が不可欠である。；俳優の小沢仁志とは同じ中学の同級で1年生の時は同じクラスだった。；あのときは大学に入ったばかりで、高校のときに同級だった女の子と一緒だった。；どんどん汗くさくなり、それは同級の女の子たちの匂いとはまったく違う。；中学の三年でも同じクラスだったし、小学校では五年と六年が同級だった。；この船はガソールの小さな海軍において、同級の艦の中での誇りだった。；当初の計画では同級艦6隻の建造が予定されていたが、計画は大幅に修正された。；同級はイギリスのLR5型DSRVの設計を元にしていると言われている。；同級とは言っても学生時代にほとんど口をきいたこともなかった。；それにしても亜里沙さんが流山さんと大学の同級だなんて信じられないな。；本級は同級の発展型として開発されたもので、主に対潜戦能力が強化された。；翌日体操の時間の始まる前、私は同級の両三名と運動場で遊んでいた。；次の日中学に行ったとき、同級の美しい少年が一人欠席していた。；中学のとき同級で、海軍兵学校に入つてゐるうちに肺炎か何かで死んだ男だ。；本級は年に1隻ずつ建造されたため、同級艦ながら細かな部分で艦影が異なる。；菊太郎君と又同級になっても仕方がないと思っていたら、二人とも合格した。；大学ではギタリストの塚本功と同級で、軽音楽部でバンドを組んでいた。；小学校では人間国宝15代目杵屋喜三郎と同級で仲の良い友人であった。；なお、解説は劇中の描写を元にしており、現実の同級艦とは異なる場合がある。；大学では李栄と同級であったが、2年間休学して1945年に卒業した。；現在の同級機体の定義と仕様制限は以下の通りである。；これとあわせて、インド海軍でも同級に準じた艦が建造されることになった。；また同級の他の2隻と異なるターボ・エレクトリック方式を採用した。</t>
        </is>
      </c>
      <c r="J5914">
        <f>HYPERLINK("https://www.weblio.jp/content/同級", "词义详情")</f>
        <v/>
      </c>
      <c r="K5914">
        <f>HYPERLINK("https://yourei.jp/同級", "查看例句")</f>
        <v/>
      </c>
    </row>
    <row r="5915">
      <c r="A5915" t="inlineStr">
        <is>
          <t>同居</t>
        </is>
      </c>
      <c r="B5915" t="inlineStr">
        <is>
          <t>成功</t>
        </is>
      </c>
      <c r="C5915" t="inlineStr">
        <is>
          <t>読み方：どうきょ
［名］(スル)
１家族が一つの家で一緒に生活すること。「三世代が—している家族」⇔別居。
２家族以外の人が同じ家に住むこと。「伯父の家に—する」
３本来あるはずでないものがともに存在すること。「常に危険と—している都会生活」</t>
        </is>
      </c>
      <c r="D5915" t="inlineStr">
        <is>
          <t>同居すること(6%)；同居者；同居生活；同居家族；同居親</t>
        </is>
      </c>
      <c r="E5915" t="inlineStr">
        <is>
          <t>同棲；共同生活</t>
        </is>
      </c>
      <c r="F5915" t="inlineStr">
        <is>
          <t>非同居；妻妾同居；世代同居；校同居；世帯同居</t>
        </is>
      </c>
      <c r="G5915" t="inlineStr">
        <is>
          <t>同居生活</t>
        </is>
      </c>
      <c r="H5915" t="n">
        <v>29</v>
      </c>
      <c r="I5915" t="inlineStr">
        <is>
          <t>本人は頭が良いのだが学校には通っておらず、普段は社と同居している。；これは通常店舗とアウトレットが同一施設に同居する初のケースである。；しかし同居できなかったときは洞窟のような場所で生活したという。；さらに悪いことにそれぞれの家族が一つ屋根の下に同居することになった。；事務所は文藝春秋ビル内にある日本文藝家協会の事務所に同居していた。；ある日の昼飯の時、ランティエが戻ってきて三人が奇妙な同居を始める。；多くの非同居の親は、監督付きでない面会を許可する命令を得ている。；母が看護に出かけてしまった事もあり、奇妙な同居生活をする羽目になる。；結婚相手や結婚していない自分の子供は自宅で同居することになる。；また執筆は師匠の庵に同居して内弟子兼雑用を務めるのが通例であった。；大学で法医学を学んでいる野々宮雄作は、姉の家へ同居することになる。；同居していた女が短い手紙を残して家を出ていってしまった。；その後、同じく母親が研究所詰めであるアスカも同居することとなった。；幕張新都心移転後になって、ようやく研究所と同居できるようになった。；特に同時期に新制と旧制の学生が同居した寮では事実上の継承も行われた。；落語も好んでいるようで、かつて同居していた弟の影響があると言う。；住居には竈が複数ある場合もあり、多世帯が同居していたと思われる。；好学者が会員として同居していてもそれは観客にすぎなくなった。；このためミシャー婚を行った女性は家族と同居している場合が多い。；町の中心部にある町役場にはザムトゲマインデの行政機能が同居している。；両親の離婚後は母親側に引き取られ、祖母やおばと同居する生活を送った。；通常は単独で生活するが、同じ巣穴に2匹-3匹が同居することもある。；現在は、ニューヨークでモデル仲間数人と同居しながら活動している。；このことで伊藤と同居の妻と見られる30代女性の感染が確認されている。；現役時代は幕下暮らしが多かったが結婚しており部屋の外で妻と同居していた。；毎日新聞に入ってからもしばらくはこの家で両親と同居していた。；キッドはこれを、一時同居していたマーロウのものであると主張した。；その後、元妻との同居を続けていた息子は36歳で焼身自殺に至った。；二人の少女は治療と研究のために、そして事件に関わった人物も同居することになる。</t>
        </is>
      </c>
      <c r="J5915">
        <f>HYPERLINK("https://www.weblio.jp/content/同居", "词义详情")</f>
        <v/>
      </c>
      <c r="K5915">
        <f>HYPERLINK("https://yourei.jp/同居", "查看例句")</f>
        <v/>
      </c>
    </row>
    <row r="5916">
      <c r="A5916" t="inlineStr">
        <is>
          <t>道具</t>
        </is>
      </c>
      <c r="B5916" t="inlineStr">
        <is>
          <t>成功</t>
        </is>
      </c>
      <c r="C5916" t="inlineStr">
        <is>
          <t>読み方：どうぐ
１物を作ったり、何かをしたりするために用いる器具の総称。「大工—」「家財—」
２他の目的のために利用されるもの。また、他人に利用される人。手段。「取引の—にする」
３身体に備わっている種々の部分。
「身体中の—が一時に動作(はたらき)を止めて」〈藤村・破戒〉
４芝居の大道具、小道具。
５武家で、槍その他の武具。
６三衣一鉢(さんえいっぱつ)などの、仏道修行のための必要品。
[用法]道具・器具・用具——「道具（器具・用具）は全部そろっている」のように、あることを行うために使用する物の意では相通じて用いられる。◇「道具」は「大工道具」「台所道具」「勉強道具」など、主に日常生活で、多くは手に持って使う物を指す。◇「器具」は家庭電化用品、ガスこんろ、ストーブなど、構造・操作の簡単な機器を指すほか、試験管やビーカーを「実験用の器具」というように、あることを行う種々の道具類についてもいう。◇「用具」は実質的には「道具」「器具」と重なる場合が多いが、用途を限定した場合に用いる。「スキー用具」「運動用具」「筆記用具」</t>
        </is>
      </c>
      <c r="D5916" t="inlineStr">
        <is>
          <t>道具類(3%)；道具小屋；道具袋；道具屋；道具係</t>
        </is>
      </c>
      <c r="E5916" t="inlineStr">
        <is>
          <t>装備；手段；設備；機器；具</t>
        </is>
      </c>
      <c r="F5916" t="inlineStr">
        <is>
          <t>嫁入り道具；遊び道具；諸道具；釣り道具；世帯道具</t>
        </is>
      </c>
      <c r="G5916" t="inlineStr">
        <is>
          <t>道具立て；道具箱；道具一式；道具方；道具だて</t>
        </is>
      </c>
      <c r="H5916" t="n">
        <v>29</v>
      </c>
      <c r="I5916" t="inlineStr">
        <is>
          <t>道具を作り利用する能力が他の生物よりも長けていることも挙げられる。；ナイフは人類が使う道具類の中でも特に基本的なもののひとつである。；音具とは音を出す道具のうち、音が出るが楽器とは言いにくい物のこと。；また、装備品を道具として使ったときの効果を設定できるようになった。；機械や道具では、各種能力の特性を大きさで表したものが性能である。；彼は仲間を利用し、利用される道具であり、同時にその使い手でもある。；道具にはその使用する目的・分野に応じて様々なものが存在する。；この道具を使うと、土の中や床の中に埋まっている物を見ることができる。；さらに頻繁には、機械やこの目的のために設計された道具を使って行われる。；自分が戻りたい頃の日を設定して、その頃に戻ることができるという道具。；反面、手に入れた道具・覚えた技や術などは全キャラクターで共有される。；工芸は貴族の生活道具や、仏教儀式に使われる道具などを中心に発展した。；各発明道具の詳細については、発明道具名からのリンク先を参照のこと。；的中と矢の威力を高めるため、技術の発展と道具の改良がなされてきた。；武器に限らず、道具が効果を発揮するにはエネルギーが必要である。；この道具から出される商品や人はどこから仕入れているのかは不明。；文書を書いたり、手紙を読み書きするのに必要な道具類のことである。；運動や道具、ルールの種類の数だけ競技があると言ってもさしつかえない。；毎話新しい発明道具が必ず登場し、一度出た道具の再登場はほとんどない。；筆とは、毛の束を軸の先端に付けた、字や絵を書くための道具である。；材木も同義だが、これは建材や道具類の材料などに限定する場合もある。；普段ドラえもんが出す当道具は無味だが、味付きバージョンも存在する。；何か作業をしているとき、本人に代わってその作業の続きをやってくれる道具。；わたくしのこういった道ぐさ癖は、これからもしばしば出てきそうである。；魔法の道具である花の鍵は、途中機能アップが図られたものに変更された。；この道具を使うとその周りだけ現在の季節と違う環境を作り出すことができる。；稽古道具や試合方法が共通化していき、後の現代武道へと繋がっていく。；この道具を使って20世紀の道具を進化させた物を以下に挙げる。；この道具を力づくで外そうとすると、加えた力の3倍の力で反撃される。</t>
        </is>
      </c>
      <c r="J5916">
        <f>HYPERLINK("https://www.weblio.jp/content/道具", "词义详情")</f>
        <v/>
      </c>
      <c r="K5916">
        <f>HYPERLINK("https://yourei.jp/道具", "查看例句")</f>
        <v/>
      </c>
    </row>
    <row r="5917">
      <c r="A5917" t="inlineStr">
        <is>
          <t>峠</t>
        </is>
      </c>
      <c r="B5917" t="inlineStr">
        <is>
          <t>成功</t>
        </is>
      </c>
      <c r="C5917" t="inlineStr">
        <is>
          <t>読み方：とうげ
《「たむ（手向）け」の音変化。頂上で通行者が道祖神に手向けをしたことからいう》
１山道をのぼりつめて、下りにかかる所。山の上り下りの境目。「—道」
２物事の勢いの最も盛んな時。絶頂。「病気は今夜が—だ」「選挙戦が—にさしかかる」
[補説] 「峠」は国字。</t>
        </is>
      </c>
      <c r="D5917" t="inlineStr">
        <is>
          <t>峠道(5%)；峠付近；峠路；峠名；峠近く</t>
        </is>
      </c>
      <c r="F5917" t="inlineStr">
        <is>
          <t>和田峠；鳥居峠；人形峠；地蔵峠；当峠</t>
        </is>
      </c>
      <c r="G5917" t="inlineStr">
        <is>
          <t>峠下；峠三吉；峠口；峠の釜めし；峠村</t>
        </is>
      </c>
      <c r="H5917" t="n">
        <v>29</v>
      </c>
      <c r="I5917" t="inlineStr">
        <is>
          <t>当時の峠は少し離れた地点で、そこには1336年建立の五輪塔が立つ。；本来の意味から転じて、何らかの物の勢いが最も盛んな時期のことを峠という。；山に囲まれる地勢だが、東には平地続き、他の方向にも低い峠で通じる。；各主要都市の間にはたいてい峠があり、交通の難所としても知られている。；峠の茶屋は那須岳の登山口であり自動車で行くことができ駐車場がある。；なお、現在でもNTTの通信線はこの明神峠超えのルートが取られている。；そこはタカシだけが走破することが出来たと言われる峠道であった。；ヴィピテーノ方面のペンネス峠は雪や雪崩の危険が無い夏が安全である。；峠の両側には、案内図や峠の歴史が記された標識が設置されている。；山麓部や中間部よりも、峠を前後する区間のほうがアップダウンは少ない。；両町の境界線には天橋立十景のひとつで一字観の見られる大内峠がある。；名は峠の金山町側にかつてあった主寝坂地区に由来している。；この舟を旅人も利用できたが、ほとんどの参詣者は果無峠を越えたという。；現在では、この峠の名物でもある「笹子餅」にもこの絵が描かれている。；鉄鉱石の大規模な鉱床はカーブルの西のハージガク峠の近くで見られる。；舞台は前作の峠から町へと大きく広がり、登場する人物なども大幅に増加。；ここから先は標高は低いものの軽い峠越えであり、山を周り込むように走る。；山塊の稜線は複雑に連なっていて、いくつかの峠の名称が付けられている。；峠までのアクセスは既存の生活道路であり、拡幅等の整備が計画されている。；その結果、一部若干緑が残るものの、峠の周囲はほぼ開発された。；この時の薩軍は和田峠を中心に左翼から以下のように配置していた。；山中湖村側は峠から数百メートルのところまで別荘地になっている。；現在でも鏡峠の工事は進んでおらず行き止まりとなっている。；この後ヘルフ戦闘団は英軍からハルファヤ峠を防衛するのに活躍した。；近代以降は国道157号がこの峠を抜けて岐阜県から福井県に通った。；古来イタリアと北東ヨーロッパを繋ぐ重要な峠として利用されている。；桜峠下に向かう24系統はごくわずかな本数のみ運行されている。；峠から大阪側へ進む際には転がり落ちるような感覚となる。；片峠の存在は、その地域で河川争奪が発生していた可能性が高いことを物語る。</t>
        </is>
      </c>
      <c r="J5917">
        <f>HYPERLINK("https://www.weblio.jp/content/峠", "词义详情")</f>
        <v/>
      </c>
      <c r="K5917">
        <f>HYPERLINK("https://yourei.jp/峠", "查看例句")</f>
        <v/>
      </c>
    </row>
    <row r="5918">
      <c r="A5918" t="inlineStr">
        <is>
          <t>統計</t>
        </is>
      </c>
      <c r="B5918" t="inlineStr">
        <is>
          <t>成功</t>
        </is>
      </c>
      <c r="C5918" t="inlineStr">
        <is>
          <t>読み方：とうけい
［名］(スル)集団の個々の構成要素の分布を調べ、その集団の属性を数量的に把握すること。また、その結果を数値や図表で表現したもの。「—をとる」「—を出す」「就業人口を—する」</t>
        </is>
      </c>
      <c r="D5918" t="inlineStr">
        <is>
          <t>統計的(7%)；統計上(5%)；統計書(3%)；統計資料(2%)；統計年鑑</t>
        </is>
      </c>
      <c r="E5918" t="inlineStr">
        <is>
          <t>統計学；統計値；統計量</t>
        </is>
      </c>
      <c r="F5918" t="inlineStr">
        <is>
          <t>統計開始；統計解析；統計値；統計地域；統計史上</t>
        </is>
      </c>
      <c r="G5918" t="inlineStr">
        <is>
          <t>統計学；統計力学；統計学者；統計調査；統計データ</t>
        </is>
      </c>
      <c r="H5918" t="n">
        <v>29</v>
      </c>
      <c r="I5918" t="inlineStr">
        <is>
          <t>黒人生徒の点は標本数が少ないために信頼できる統計とはなっていない。；日本国は民族別の統計を詳細に取っていないため厳密には不明である。；宗教法人は統計上、神道系・仏教系・キリスト教系・諸教に分類される。；彼は測定される単位が測定結果にどのような影響を与えるかを統計的に推測した。；しかし政府の統計ではこの年に大きなインフレーションは起こっていない。；数々の統計資料を作成し、改革のためにつくられた各種委員会に提出した。；これはデータの値から算術的に計算して得られる統計指標値の一つである。；人種別統計は長くとられておらず、そうした調査も実施されていない。；統計によると20の共通する国の出身者がロンドンに居住している。；例えば、ある測定データを統計的に説明するモデルを作成することを考える。；政府の統計では少なく見積もられているが実際はロマ人もかなり含まれる。；成果を上げているシステムでは、「字句」統計をとっていることが多い。；昨今の日本語や英語などの形態素解析では統計的な手法が利用される。；これは、その統計量の性質をよりよく反映するためとされている。；以下の情報は、広島市統計書及び広島市勢要覧に基づいたデータである。；それは種の遺伝を記述するために新たな複雑な統計モデルを発達させたものである。；学校基本調査では高校入学者のうち過年度中学校卒業者の数の統計がある。；「三重県統計書」によると、一日の平均乗車人員は下の表の通りである。；なお、高砂市統計書よる各年度ごとの利用状況は、以下のとおりである。；市の機関や委員会も、犯罪統計に解説を付けた公報を発行している。；これは以下に示す JFA、IFFHS 両者の統計方法の違いによる。；交換日については、統計上、年間で最も輸送需要が少ない時期が選ばれた。；品詞付与はルールに基づくものから統計に基づくものまで利用される。；なお、戦前の統計によると、現在とは逆に東高西低の傾向が顕著であった。；かつて兄弟二人は協力して確率と統計の分野の研究を行なった。；統計等で県が単位とされる際には、便宜的に州が県を兼ねている。；この死亡統計の研究はエドモンド・ハレーなども行うようになった。；統計からは農業は減少傾向にあるが流通、豊富な水には恵まれている。；こうした傾向が統計上で現れ、「テレビ離れ」と呼ばれるようになった。</t>
        </is>
      </c>
      <c r="J5918">
        <f>HYPERLINK("https://www.weblio.jp/content/統計", "词义详情")</f>
        <v/>
      </c>
      <c r="K5918">
        <f>HYPERLINK("https://yourei.jp/統計", "查看例句")</f>
        <v/>
      </c>
    </row>
    <row r="5919">
      <c r="A5919" t="inlineStr">
        <is>
          <t>登校</t>
        </is>
      </c>
      <c r="B5919" t="inlineStr">
        <is>
          <t>成功</t>
        </is>
      </c>
      <c r="C5919" t="inlineStr">
        <is>
          <t>読み方：とうこう
［名］(スル)授業を受けるために、または勤務するために学校へ行くこと。「小学生が集団で—する」⇔下校(げこう)。</t>
        </is>
      </c>
      <c r="D5919" t="inlineStr">
        <is>
          <t>登校する(18%)；登校日(4%)；登校中(3%)；登校時間(2%)；登校前</t>
        </is>
      </c>
      <c r="F5919" t="inlineStr">
        <is>
          <t>早く登校；私服登校；初登校；自由登校；着て登校</t>
        </is>
      </c>
      <c r="G5919" t="inlineStr">
        <is>
          <t>登校拒否児；登校拒否文化医学研究所</t>
        </is>
      </c>
      <c r="H5919" t="n">
        <v>29</v>
      </c>
      <c r="I5919" t="inlineStr">
        <is>
          <t>登校してきて教室がこんな状態になっていたら普通は誰でも驚くだろう。；祖父母の家から一週間ぶりに帰ってきた次の日は小学校の登校日だった。；ちょっと周り道になるけど、寄っていって一緒に登校するのも悪くない。；断ったものの、十は勝手に愛の制服を着て愛の学校へと登校してしまう。；彼は小学校を卒業した後、6km離れた村の中学校まで歩いて登校した。；雨の日は絶対に登校をせず、小学校ではカメハメハ大王と呼ばれていた。；朝になって登校しなくてはいけない時間が近づくと吐き気や頭痛がする。；確かに俺が気絶したあとに登校してきたのであれば、完全に遅刻だろう。；そんな彼など気にとめず、蓬莱学園はいつもと変わらぬ朝の登校風景だ。；登校したばかりの一年E組の教室は、雑然とした雰囲気に包まれていた。；さっき初音ちゃんを送って家へ戻った時にはもう登校していたはずだ。；各地域に登校班が編成されており、学校へ登校する際は集団で移動する。；大会前から朝早く学校に登校し練習する姿も多く見られるほど気合が入る。；これを利用して不登校や別室登校の生徒にも遠隔授業が提供されている。；幸いこの高校は私服登校だったので、私は着物のまま過ごす事が出来た。；学校では、生徒のほぼ全員が物体を額につけたまま登校してきていた。；彼女が死んでから、私服の高校だというのに彼はそれを着て登校している。；彼にできることは精々登校を拒否して詩集の中に埋没するくらいである。；その他の生徒は学校の近くに住んでいて歩いて登校するか、バスを使用する。；廊下の先には、予想よりかなり早く登校してきた志摩子さんの姿が見えた。；そのまま一緒に登校することもなく、達也たち二人は先に改札を抜けた。；朝登校の際にはまだ寝ているらしく戸が閉まっていることもあった。；小学校2年生のときから週に1回のペースで登校を拒否するようになる。；そのかいがあって、学校が見えてくるころには登校中の生徒の姿が増えてくる。；あれほどわくわくしながら登校したことは、後にも先にも一度もない。；今日は朝早くに登校したのは良いものの、そこで力尽きてしまったようだ。；余裕をもって登校するのなら、もう屋敷を出ないといけない時間だ。；暴れたり登校拒否されたりするよかマシだと思ってるんじゃないかな。；登校の途中、遊歩は東京の高校に進学すると国夫とカイに話すのだった。</t>
        </is>
      </c>
      <c r="J5919">
        <f>HYPERLINK("https://www.weblio.jp/content/登校", "词义详情")</f>
        <v/>
      </c>
      <c r="K5919">
        <f>HYPERLINK("https://yourei.jp/登校", "查看例句")</f>
        <v/>
      </c>
    </row>
    <row r="5920">
      <c r="A5920" t="inlineStr">
        <is>
          <t>統合</t>
        </is>
      </c>
      <c r="B5920" t="inlineStr">
        <is>
          <t>成功</t>
        </is>
      </c>
      <c r="C5920" t="inlineStr">
        <is>
          <t>読み方：とうごう
［名］(スル)二つ以上のものを合わせて一つにすること。「二つの部署を—する」</t>
        </is>
      </c>
      <c r="D5920" t="inlineStr">
        <is>
          <t>統合する(7%)；統合失調症(3%)；統合される(3%)；統合後；統合型</t>
        </is>
      </c>
      <c r="E5920" t="inlineStr">
        <is>
          <t>含む；接続；合併；統一；合流</t>
        </is>
      </c>
      <c r="F5920" t="inlineStr">
        <is>
          <t>経営統合；整理統合；人種統合；統合再編；組織統合</t>
        </is>
      </c>
      <c r="G5920" t="inlineStr">
        <is>
          <t>統合軍；統合作戦；統合開発環境；統合体；統合幕僚長</t>
        </is>
      </c>
      <c r="H5920" t="n">
        <v>29</v>
      </c>
      <c r="I5920" t="inlineStr">
        <is>
          <t>今後、受け入れた人々の社会統合をより成功させるためにも重要なこと。；犯則調査の際は黙秘権が存在する企業統合の際の事前相談制度等がある。；重要な技術革新は統合型制御装置がエンジン自体に含まれることである。；さまざまな考え方を反映するために一部が統合または分割される。；かつては地方振興局が設置されていたが統合・再編されて現在に至る。；そして1927年に分裂していたリーグが統合されることになった。；この地区は広範囲におよぶ開発やコミュニティの統合が行なわれている。；こうして生まれたのが急行電車と準急電車を統合した直行列車であった。；この際に統合された旧県の旧県庁所在地などに支庁を置く例が多く見られた。；EJBコンテナはWEBコンテナと統合されて提供されている事が多い。；さらに、通常はの段階でテーマの分割、整理統合が行われる場合がよくある。；この称号は元首としての意味は持たないが、統合の象徴となっている。；しかし、これが第一勧銀・興銀との統合へとつながったことは否めない。；加盟の過程はヨーロッパの統合と表現されることもある。；これは戦前の交通統合が関東・関西地区と比べて先行したことが影響している。；当時は「統合によってサービスが大きく変わることはない」と発表された。；田園部人口の減少によって多くの学校は統合を余儀なくされている。；ユーリヒ・クレーフェ・ベルク州からへと編入され統合されていく。；このことについては現代進化学の統合の流れの中で概観されるだろう。；赤・白・緑の汎アラブ色を使用し、アラブ民族の統合を象徴している。；地方派の軍は改編ないしは解体され、中央軍の指揮下に統合されていった。；連邦崩壊後も何度か再統合が試みられたが成功していない。；豪徳寺前駅は宮ノ坂駅との間に開業した現在の宮の坂駅に統合された。；現在では決済システムの統合のためにほとんどなくなっている。；統合・合併で誕生した巨大銀行を指す場合もある。；これは従来の分類法と異なる点が多く、従来の科が解体または統合された例も多い。；その他の場面は、最も重要な話の詳細だけが含まれるように短縮、統合された。；これを受けて県と旧建設省は統合移転地の検討を開始した。；この際、四郡あった多禰国の郡は二郡に統合され、結果大隅国は八郡となる。</t>
        </is>
      </c>
      <c r="J5920">
        <f>HYPERLINK("https://www.weblio.jp/content/統合", "词义详情")</f>
        <v/>
      </c>
      <c r="K5920">
        <f>HYPERLINK("https://yourei.jp/統合", "查看例句")</f>
        <v/>
      </c>
    </row>
    <row r="5921">
      <c r="A5921" t="inlineStr">
        <is>
          <t>動向</t>
        </is>
      </c>
      <c r="B5921" t="inlineStr">
        <is>
          <t>成功</t>
        </is>
      </c>
      <c r="C5921" t="inlineStr">
        <is>
          <t>読み方：どうこう
個人・社会などが、現在および将来において、動いていく方向や傾向。「卒業後の—を知る」「景気の—を探る」</t>
        </is>
      </c>
      <c r="D5921" t="inlineStr">
        <is>
          <t>動向指数；動向調査；動向を逐一；動向を知る上；動向分析</t>
        </is>
      </c>
      <c r="E5921" t="inlineStr">
        <is>
          <t>流れ；傾向；流；好み；傾斜</t>
        </is>
      </c>
      <c r="F5921" t="inlineStr">
        <is>
          <t>経済動向；投票動向；政治動向；こうした動向；研究動向</t>
        </is>
      </c>
      <c r="H5921" t="n">
        <v>29</v>
      </c>
      <c r="I5921" t="inlineStr">
        <is>
          <t>それは重太郎が手を拡げた他の事業の動向に深く関係するものであった。；どちらか特定の方向へ動こうとするのではなく、尾を海にたたきつけた。；ふたりが同時に動こうとした瞬間、少女がふたりの間に割り込んできた。；当時の政治状況や社会・経済の動向を知る上での貴重な史料となっている。；何が起こったのかわからないはずだけれど、誰も動こうとしなかった。；いまや彼らは、歌謡界の動向を支配するほどまでになったといっていい。；他プレイヤーの動向を気にしながら重要な路線を押さえる必要がある。；海野棟綱はこれ以降の動向が不明で、上野で死去したと考えられている。；現在の動向は不明だが、ネットによる情報にて死去していると思われる。；すなわち、官職が政治動向や個人の個性から完全に独立したものとなる。；翌1970年には市場動向の変化から、さらに三種の計画が追加された。；だがこれ見よがしな不満の表明にも、二人は全く動こうとしなかった。；パロアルト市の経済は一般的にシリコンバレーの経済動向に左右される。；この頃の住人動向といえば、固定に比べ匿名が隆盛してきたころである。；その後の動向は不明だが、書籍によっては命を失ったと記述している。；このまま動こうものなら、都市上での人間たちの活動に支障が出るだろう。；いつもはすぐに命令を遵守する部下達が、一人も動こうとしなかった。；ひとの部屋に勝手に入りこみ、彼のベッドに坐りこんで動こうとしない。；明るい未来へ向けて、大きな歯車が動こうとしている場面のようだった。；そうでもしないとお前は棚の前から動こうとしなかったからな。；しかし彼女はいわれたことは素直にやるが、自分から動こうとしない。；動こうとしないゆきを背中に回し、おれはもう一度死体に眼をやった。；動こうとする意志はあるのだが、それが動作に結びつかないのである。；一応同意の返事を深夜さんは返したけれど、やはり、動こうとしなかった。；紀霊は約束により止むを得ず兵を引いたが、その後の動向は不明である。；それに私の気がついた時には、もう彼はそこから動こうとはしなかったのでした。；ボツワナにとっては西に接するドイツの植民地の動向が暗示的であった。；愛する夫が行方不明になったというのに、妻が、家から動こうとしない。；当時ロシアは露土戦争を始めており、清軍の動向に対応できなかった。</t>
        </is>
      </c>
      <c r="J5921">
        <f>HYPERLINK("https://www.weblio.jp/content/動向", "词义详情")</f>
        <v/>
      </c>
      <c r="K5921">
        <f>HYPERLINK("https://yourei.jp/動向", "查看例句")</f>
        <v/>
      </c>
    </row>
    <row r="5922">
      <c r="A5922" t="inlineStr">
        <is>
          <t>同行</t>
        </is>
      </c>
      <c r="B5922" t="inlineStr">
        <is>
          <t>成功</t>
        </is>
      </c>
      <c r="C5922" t="inlineStr">
        <is>
          <t>読み方：どうぎょう
１連れ立って行くこと。また、その人。どうこう。
２連れ立って神仏に参詣する人々。
３心を同じくしてともに仏道を修める人々。真宗ではその信者をいう。禅宗では「どうあん」という。
４文章などの同じ行。</t>
        </is>
      </c>
      <c r="D5922" t="inlineStr">
        <is>
          <t>同行する(14%)；同行者(5%)；同行しよ；同行取材；同行室</t>
        </is>
      </c>
      <c r="E5922" t="inlineStr">
        <is>
          <t>伴う；従う；導く；連行；沿う</t>
        </is>
      </c>
      <c r="F5922" t="inlineStr">
        <is>
          <t>任意同行；御同行；北海道同行会；同行願え；同行取締役</t>
        </is>
      </c>
      <c r="G5922" t="inlineStr">
        <is>
          <t>同行避難</t>
        </is>
      </c>
      <c r="H5922" t="n">
        <v>29</v>
      </c>
      <c r="I5922" t="inlineStr">
        <is>
          <t>友人たちのバンドに同行してスタジオに通いつめたりもしていたという。；大公夫妻に同行していた者たちは、次に何をすべきかについて議論した。；フランツは馬に乗り、一族の馬車に付き添うようにしてこれに同行した。；この時点で同行とその関連会社だけを傘下に持つ形となっていた。；彼女は一人で帰国しようとしたが、この際に皇太子も同行を希望した。；その後リウィッラは夫がパンノニアに派遣された際にこれに同行している。；ホームズたちはロンドン警視庁に行き、警部と刑事に同行してもらった。；同行する空母3隻のうち対潜哨戒機を搭載していたのは神鷹のみである。；秀吉が伊勢長島城に移った織田信雄を祝いに赴いた際にも同行している。；この項目では同行の前身である安田財閥の安田銀行についても説明する。；まずは同行に集中されていた各種金融機能が専門銀行に分割された。；このとき同じく弟子だったザノビ・ストロッツィも同行したと考えられている。；更に彼女に同行してイギリスやフランスで演奏旅行を行う。；また、いかなる案であってもジュンだけは不動の同行者となっていた。；チームは優勝した毎日の選手を中心に編成されたが、大下も選ばれて同行する。；ちなみにチームメイトであった小田幸平も自主トレに必ず同行していた。；インド脱出同様、同行する側近以外の弟子たちには何も知らされなかった。；羽仁のアフリカ長期撮影旅行に同行する中での出来事であった。；同行している作家仲間を驚かせることもしばしばだったという。；旧・日本興業銀行系とされ、歴代トップは同行出身者が就任する例が多かった。；金沢では同行していた双葉山を帰すために警察が乗り込む騒動もあった。；高校野球県大会での実況中継や甲子園出場校への同行取材も経験している。；また戦時に必要な文書を発給するための右筆が戦にも同行するようになった。；この時に食客の一人の毛遂と言う者が同行したいと名乗り出てきた。；鎮圧された後の10月、信長・信忠が伊賀国を検分した際にも同行した。；海外の映画賞を取材する番組に、内田が通訳として同行したこともある。；翌天正10年の本能寺の変発生後の家康の伊賀越えにも同行している。；この医学生が岡山にあった被差別部落を支援救済する活動にも同行した。；なお、介護者・付き添い人の割引は同行する最大3名までが適用である。</t>
        </is>
      </c>
      <c r="J5922">
        <f>HYPERLINK("https://www.weblio.jp/content/同行", "词义详情")</f>
        <v/>
      </c>
      <c r="K5922">
        <f>HYPERLINK("https://yourei.jp/同行", "查看例句")</f>
        <v/>
      </c>
    </row>
    <row r="5923">
      <c r="A5923" t="inlineStr">
        <is>
          <t>動作</t>
        </is>
      </c>
      <c r="B5923" t="inlineStr">
        <is>
          <t>成功</t>
        </is>
      </c>
      <c r="C5923" t="inlineStr">
        <is>
          <t>読み方：どうさ
［名］(スル)
１何かをしようとして、からだを動かすこと。また、そのときのからだの動き。「合図の—」「きびきびとした—」
２機械類が作動すること。「工作機が複雑に—する」</t>
        </is>
      </c>
      <c r="D5923" t="inlineStr">
        <is>
          <t>動作する(13%)；動作原理；動作可能；動作周波数；動作速度</t>
        </is>
      </c>
      <c r="E5923" t="inlineStr">
        <is>
          <t>機能；動き；運動；態度；性能</t>
        </is>
      </c>
      <c r="F5923" t="inlineStr">
        <is>
          <t>基本動作；投球動作；緩慢な動作；予備動作；a動作</t>
        </is>
      </c>
      <c r="G5923" t="inlineStr">
        <is>
          <t>動作環境；動作主；動作指導；動作量；動作係数</t>
        </is>
      </c>
      <c r="H5923" t="n">
        <v>29</v>
      </c>
      <c r="I5923" t="inlineStr">
        <is>
          <t>剣術では一連の動作をまとめた形の習得から開始するのが一般的である。；対して、動作・運用可能な状態で保存されている場合は動態保存と言う。；その場合はX1のBASICを用いる事で動作させることが可能である。；毎日の生活に必要で基本的な一連の身体的動作群を日常生活活動という。；JavaScript が動作しない環境でも動作するため脅威となる。；話題中の動作や状態の主体が話者よりも上位である場合に使われる。；いくつかのアプリケーション・プログラムを動作させるための仮想機械。；ユーザーから見れば、複数のプログラムが同時に動作しているように見える。；このため、同時に複数のOSを動作させることが出来るようになった。；動作中の他のソフトウェアからは、仮想記憶機構の内部の動きは見えない。；ダーツは様々なゲームが存在するが大半のゲームでは基本動作は共通している。；真鍮時計を分解して木でその複製を作ると、それが十分に動作したという。；基本教練とは個人および部隊の基本動作を統制する一定の動作様式である。；静態保存の状態から動作・運用可能な状態に復元することも行われる。；多くのプラットフォームで動作し、日本語を含む多くの言語が利用できる。；動作速度がより向上し、細かい部分の使い勝手に多くの改良が施された。；ただ個体レベルでは動作の種類に応じて左右のどちらかの手足を使う傾向がある。；対して、複数のスレッドが同時に動作することをマルチスレッドという。；これはメモリからデータを取ってきながら計算するよりもずっと高速に動作した。；インタプリタは、およそ次のいずれかの動作をするプログラムである。；またクリアの内部動作に差があると正しくリセットされない段が生じる。；動作させるOSにいくらかの変更を加えることが必要な場合もある。；目撃者の1人が搭乗者に向かい手をふると 搭乗者達も同じ動作をした。；個別の方式の構成や動作についてはそれぞれの見出し項目を参照されたい。；機器の動作モードによって色を変えられるなど、機器の小型化に貢献した。；次のような例は名前渡しに特徴的な動作と言われる。；電話交換機からの給電のみで動作する基本的な機能として次があげられる。；踏切動作反応灯は一般的なデザインのものが使用されている。；これによって他のプロセスのことを気にせずに動作できる環境が提供されている。</t>
        </is>
      </c>
      <c r="J5923">
        <f>HYPERLINK("https://www.weblio.jp/content/動作", "词义详情")</f>
        <v/>
      </c>
      <c r="K5923">
        <f>HYPERLINK("https://yourei.jp/動作", "查看例句")</f>
        <v/>
      </c>
    </row>
    <row r="5924">
      <c r="A5924" t="inlineStr">
        <is>
          <t>東西</t>
        </is>
      </c>
      <c r="B5924" t="inlineStr">
        <is>
          <t>成功</t>
        </is>
      </c>
      <c r="C5924" t="inlineStr">
        <is>
          <t>読み方：とうざい
［名］
１東と西。また、その方向。「—に走る道路」
２東洋と西洋、関東と関西、東側諸国と西側諸国などの意。「—の文化」「洋の—を問わない」「古今—」
３世間。また、世間の事柄や事情。「—もわきまえない青二才」
４《東や西の意から》あちこち。方々。
「何を見るぞと思ひて、—を見廻らせば」〈今昔・二八・七〉
［感］「東西東西」に同じ。
「『—、黙って』と笑顔をお千世に向けて」〈鏡花・日本橋〉</t>
        </is>
      </c>
      <c r="D5924" t="inlineStr">
        <is>
          <t>東西方向(6%)；東西約(3%)；東西両(2%)；東西に長い；東西線</t>
        </is>
      </c>
      <c r="F5924" t="inlineStr">
        <is>
          <t>東西軸；東西交通；東西比利亞；東西兩洋；東西お笑い他流試合</t>
        </is>
      </c>
      <c r="G5924" t="inlineStr">
        <is>
          <t>東西線；東西対抗；東西冷戦；東西ドイツ；東西分裂</t>
        </is>
      </c>
      <c r="H5924" t="n">
        <v>29</v>
      </c>
      <c r="I5924" t="inlineStr">
        <is>
          <t>かつての南北に走る道路にかわり、東西に走る道路が中心となっていく。；東西方向に広がるJRの駅舎に南から直角に接する形で設置されている。；南北が絶対的な位置関係にあるのに対して東西は相対な位置関係にある。；また、東西お互いに相手を非難するプロパガンダ放送を流し合っていた。；この理由は、「東西分離問題」が影響したものであると指摘されている。；構内は東西改札それぞれにトイレおよびエレベーターが設置されている。；周王室の領土は東西に分裂し、狭い範囲で互いに争い合う有様であった。；なお1989年の国勢調査時は現在とは異なり、東西に分割されていた。；これは東西線の西端駅でJR東日本と共同使用する中野駅も同様である。；ドイツが東西に分割されていた当時の境界などがその例である。；東西が相対的な位置関係にあるのに対して南北は絶対的な位置関係にある。；南北が絶対的な位置関係にあるのに対して東西は相対的な位置関係にある。；東西の幅が狭いのは、すぐ東にトンガ海溝が南北に伸びているためである。；この工事によってJR東海とJR西日本の駅舎が東西に並ぶ形になった。；駅舎は谷に蓋をするように作られたので、東西からは谷と見てとることが難しい。；同大会の開催に合わせ、東西方向の鉄道路線として京江線が建設された。；地下鉄は南北方向にのみ建設されており東西方向には存在しない。；特に動物に関する体系的な研究は古代世界では東西に類を見ない。；地下道は一部が仕切られていて東西の自由連絡通路として使用されていた。；駅の東西自由通路は、東側の開発にあわせて設置されたものである。；西口が新設され、東西に分断された街の一体化と交通渋滞の緩和を図る。；このことからも東西の弾道ミサイル思想の違いがはっきり表れている。；駅東西および南には線路と平行に走る道があり、商店街となっている。；この時の東西自由通路の規模は幅6メートル、延長90メートルだった。；東西緊張緩和の背景には東ドイツが外貨を獲得しようとしたことも大きい。；鈴鹿山脈から琵琶湖まで愛知川に沿って東西に細長い地域を占めていた。；イギリスとソ連も特徴ある機体を多数製作し、ドイツを東西から締め付けた。；東西に広い形をしており、東西を山に囲まれ、中央には最上川が北に流れる。；この東西両壁は現在の故宮の東西両壁とほぼ同じ位置にあたる。</t>
        </is>
      </c>
      <c r="J5924">
        <f>HYPERLINK("https://www.weblio.jp/content/東西", "词义详情")</f>
        <v/>
      </c>
      <c r="K5924">
        <f>HYPERLINK("https://yourei.jp/東西", "查看例句")</f>
        <v/>
      </c>
    </row>
    <row r="5925">
      <c r="A5925" t="inlineStr">
        <is>
          <t>盗作</t>
        </is>
      </c>
      <c r="B5925" t="inlineStr">
        <is>
          <t>成功</t>
        </is>
      </c>
      <c r="C5925" t="inlineStr">
        <is>
          <t>読み方：とうさく
［名］(スル)他人の作品の全部または一部を、そのまま自分のものとして無断で使うこと。また、その作品。剽窃(ひょうせつ)。「論文を—される」</t>
        </is>
      </c>
      <c r="D5925" t="inlineStr">
        <is>
          <t>盗作問題(6%)；盗作者(2%)；盗作騒動(2%)；盗作画像；盗作騒ぎ</t>
        </is>
      </c>
      <c r="H5925" t="n">
        <v>29</v>
      </c>
      <c r="I5925" t="inlineStr">
        <is>
          <t>彼女のほうが盗作者であることは、誰よりもこのわたしが知っているのだ。；場合によれば、盗作とまで言われなければならないおそれがあります。；常識から考えても、あなたが盗作したとみなすのが自然ではないですか。；この件について、バンドは盗作を否定した上でコメントを発表している。；洋楽からポピュラー音楽への楽曲の盗作を具体例をあげて紹介している。；では、わたしの盗作の件に関して世間の人々はどう考えているのであろうか。；壇は、北宮の盗作について映画雑誌にでも書くつもりだったんだろうな。；tvNがライアーゲームをリメイクしたが盗作問題は解決されなかった。；しかしどのように盗作されているかをはっきり見せられると、印象は変わってくる。；依然としてわたしは恥ずべき盗作行為をした張本人とされているのである。；つまるところ、それがわたしの盗作問題を解決することにもなるからである。；ただし、本人および編集部は謝罪文の中では、盗作とは明言していない。；わざわざ盗作するまでもなく、作者本人を売り出せばいいだけの話なんだから。；この男のいうように、計画的な盗作なら、登場人物の名前ぐらいは変えるはずだ。；入道の思惑通りに、北宮がシナリオを盗作したのだと伊戸は信じたのさ。；はっきりと言いますが、それは〝盗作〟の出版をさせていることになりませんか?；しかし1727年に作曲したマドリガルに盗作の疑いがかけられた。；小説の盗作問題はよく話題になるが芸能界は盗作なしではその歴史が書けない。；マキューアンはアンドルーズへの恩義を認めながらも、盗作は否定した。；最後の作品はトーマス・アトウッドが自分の曲の盗作だと訴え、議論の的となった。；不思議なことにブラウン学説をドイツに広げたのは盗作者によるものであった。；他の連載は人気のある現代文学をオマージュないし盗作したものが多かった。；それとも、まだほかに盗作がバレそうな人がいるのでしょうか?；盗作ではないのだから、まもなくおさまったが、ご本人はいやな気分だったろうな。；しかし、ミッシーはトロスの演技が盗作なのではないかと指摘する。；これなどは、記者個人ではなく、組織ぐるみで行っていた、深刻な盗作である。；花岡の発言によると、25点の論文の中には盗作の疑いが含まれる論文が存在したという。；ライトの設計内容を知った下田は盗作と主張し、帝国ホテルに抗議を行った。；盗作を証明するものが、なに一つ残ってないのだった。</t>
        </is>
      </c>
      <c r="J5925">
        <f>HYPERLINK("https://www.weblio.jp/content/盗作", "词义详情")</f>
        <v/>
      </c>
      <c r="K5925">
        <f>HYPERLINK("https://yourei.jp/盗作", "查看例句")</f>
        <v/>
      </c>
    </row>
    <row r="5926">
      <c r="A5926" t="inlineStr">
        <is>
          <t>倒産</t>
        </is>
      </c>
      <c r="B5926" t="inlineStr">
        <is>
          <t>成功</t>
        </is>
      </c>
      <c r="C5926" t="inlineStr">
        <is>
          <t>読み方：とうさん
［名］(スル)
１企業が経営資金のやりくりがつかなくなってつぶれること。企業が不渡手形などを出して銀行から取引停止を受け、営業困難に陥ること。「不況で—する」
２赤ん坊が逆子(さかご)で生まれること。</t>
        </is>
      </c>
      <c r="D5926" t="inlineStr">
        <is>
          <t>倒産後(6%)；倒産寸前(3%)；倒産手続；倒産裁判所；倒産直前</t>
        </is>
      </c>
      <c r="F5926" t="inlineStr">
        <is>
          <t>大映倒産；抱えて倒産；同社倒産；申請し倒産；出して倒産</t>
        </is>
      </c>
      <c r="G5926" t="inlineStr">
        <is>
          <t>倒産処理手続；倒産隔離；倒産法制；倒産確率</t>
        </is>
      </c>
      <c r="H5926" t="n">
        <v>29</v>
      </c>
      <c r="I5926" t="inlineStr">
        <is>
          <t>家業が倒産したり、親や兄弟を失っていたり、病気になっていたりする。；この倒産劇は政治家としての河本の評価にも影響を与えることとなった。；倒産することが多く、現存している会社は上記の通りとなっている。；他にも工場などを経営していたが、北が小学校2年生の時に父の会社が倒産。；国内に金融機関が11あり、国内で過去に倒産したことが一度もない。；プロピアが倒産したことは、その後の番組の放送にも多大な影響を残した。；倒産後しばらくはADK作品を基にした新作や続編は出てこなかった。；この倒産劇自体はそれほど世間の注目を浴びたわけではなかった。；この倒産から新社設立までの間に、多くのスタッフは他のスタジオへと移籍していった。；このため開発費を回収できなかったベルは一時倒産の危機に陥った。；発行元が倒産した場合のポイントの扱いも現時点では不明瞭である。；これは、倒産事件を取り扱う倒産裁判所判事で構成される裁判所である。；その後別の店に引き抜かれて業績を上げたが、同店はその翌年に倒産した。；その後は幾人かのオーナーに引き継がれたが倒産が繰り返されている。；Amigaは倒産まで廉価版とハイエンド版の二本柱でリリースされた。；北浜銀行で岩下の鞭撻を受けて昇進し8年間勤めたが、銀行は倒産した。；しかし後発の起業だったのも影響して軌道に乗れず、会社は倒産した。；出版社が倒産した1978年を除き、1986年まで刊行が続けられた。；そしてその翌年には会社が倒産するという憂き目に会うことになる。；プラムの一部スタッフはグレイト倒産後にTriangleを設立した。；なお、現在は発売元のヒューマンが倒産しているため交換は出来ない。；その市場では最も成功した企業であり、倒産までに650システムを製造販売した。；コンサートツアーが決まっていたが全て中止になる等もあり会社の経営状況が悪くなり倒産。；関西では、倒産の危機がない大学同士が合併しマンモス化する事例もみられる。；いくつかのゲームソフトは倒産後に他の会社に買収され、続編が開発されている。；広告費は1億円近くかかり、もし本が売れなければ会社は即倒産となる。；その後倒産した為、従業員は仕事と退職金の両方を失う事態となった。；創業した開作惇は、1978年に倒産した以前の県紙・防長新聞の出身。；業績が急速に悪化したスクウェアは、倒産寸前までに追い込まれていた。</t>
        </is>
      </c>
      <c r="J5926">
        <f>HYPERLINK("https://www.weblio.jp/content/倒産", "词义详情")</f>
        <v/>
      </c>
      <c r="K5926">
        <f>HYPERLINK("https://yourei.jp/倒産", "查看例句")</f>
        <v/>
      </c>
    </row>
    <row r="5927">
      <c r="A5927" t="inlineStr">
        <is>
          <t>投資</t>
        </is>
      </c>
      <c r="B5927" t="inlineStr">
        <is>
          <t>成功</t>
        </is>
      </c>
      <c r="C5927" t="inlineStr">
        <is>
          <t>読み方：とうし
［名］(スル)
１利益を得る目的で、事業・不動産・証券などに資金を投下すること。転じて、その将来を見込んで金銭や力をつぎ込むこと。「土地に—する」「若いピアニストに—する」
２経済学で、一定期間における実物資本の増加分。</t>
        </is>
      </c>
      <c r="D5927" t="inlineStr">
        <is>
          <t>投資家(3%)；投資先；投資対象；投資者；投資計画</t>
        </is>
      </c>
      <c r="E5927" t="inlineStr">
        <is>
          <t>投入；出資；投下；資本金；投じる</t>
        </is>
      </c>
      <c r="F5927" t="inlineStr">
        <is>
          <t>再投資；設備投資；外国投資；大規模な投資；過剰投資</t>
        </is>
      </c>
      <c r="G5927" t="inlineStr">
        <is>
          <t>投資信託；投資銀行；投資会社；投資ファンド；投資額</t>
        </is>
      </c>
      <c r="H5927" t="n">
        <v>29</v>
      </c>
      <c r="I5927" t="inlineStr">
        <is>
          <t>将来自分の利益になるようにお金をかける教育投資はその一例である。；彼は銅や鉄の採鉱および鉄道を含む様々な産業に積極的な投資を行った。；そうした取引は、企業と適格投資家の間で個人的に交渉がなされている。；発足した時期にはドイツからアメリカ合衆国へ盛んに投資が行われた。；株式会社の株式に相当する投資口を時価で市場で購入することができる。；より高い給料はイケア社員への主要な投資であるとイケアは述べている。；息子が科学者になれると知った父は息子のために投資の準備を始めた。；彼はそうして得た資金を鉄道関連の会社に再投資していった。；この元本は全てではないもののほとんどがアラスカ州外に投資されている。；投資面からは既存の路線バスなどを活用するほうが合理的であるとしていた。；解放されたユダヤ人は盛んな投資活動を行いさまざまな商工業分野で成功した。；百年余の歴史を持ち、重点大学・国家重点投資建設校に指定されている。；この二側面に共通して重要な影響を与えるのが設備投資に代表される投資である。；これは株式を発行して国民から資金を集め、産業企業に投資する銀行だった。；川崎の新工場は稼働せぬままに終わり、機を逸した無益な投資となった。；パラマウントのデュモント・ラボラトリーズで長年の投資の役割は何か?；この時期の投機熱を象徴するものの一つに、中小投資家の増加がある。；鉄道事業法に適合させるためには多額の投資が必要となるとの指摘もある。；資金投資がしにくいことは、質の高い番組を作るのが困難ということにもなる。；兵器開発工場への生産割当や開発投資などの概念も付加されている。；また、さらに投資により、社の利益を共有する計画なども提供された。；ヤニアスは後に投資運用に戻ったが、ブリタニカの役員ではあり続けた。；すなわち、最初に行われた投資Xの1/倍分だけ消費が拡大する事になる。；中国の製造業への投資が近年鈍化傾向となった要因の一つとして指摘されている。；逆に利子率 が減少すれば投資 は増加し、従って計画支出 も増加する。；この開発に投資していたApollo社にとっては大打撃となった。；これらは安田商店の店舗用や自身の住居用のほか投資用であった。；私から他の方に投資を勧めたという事実は一切ございません。；カーネギーは戦前から製鉄業に投資しており、それが富の源泉となった。</t>
        </is>
      </c>
      <c r="J5927">
        <f>HYPERLINK("https://www.weblio.jp/content/投資", "词义详情")</f>
        <v/>
      </c>
      <c r="K5927">
        <f>HYPERLINK("https://yourei.jp/投資", "查看例句")</f>
        <v/>
      </c>
    </row>
    <row r="5928">
      <c r="A5928" t="inlineStr">
        <is>
          <t>当時</t>
        </is>
      </c>
      <c r="B5928" t="inlineStr">
        <is>
          <t>成功</t>
        </is>
      </c>
      <c r="C5928" t="inlineStr">
        <is>
          <t>読み方：とうじ
１過去のある時点、ある時期。その時。そのころ。「—を思い出す」「—はやった曲」「終戦—」
２現在。いま。
「—人心の未だ一致せざるを匡済するに」〈陸羯南・近時政論考〉</t>
        </is>
      </c>
      <c r="D5928" t="inlineStr">
        <is>
          <t>当時まだ；当時流行；当時すでに；当時既に；当時人気</t>
        </is>
      </c>
      <c r="E5928" t="inlineStr">
        <is>
          <t>そのとき；その時；その頃；其時；その折</t>
        </is>
      </c>
      <c r="F5928" t="inlineStr">
        <is>
          <t>事件当時；開業当時；放送当時；建設当時；発表当時</t>
        </is>
      </c>
      <c r="G5928" t="inlineStr">
        <is>
          <t>当時盛</t>
        </is>
      </c>
      <c r="H5928" t="n">
        <v>29</v>
      </c>
      <c r="I5928" t="inlineStr">
        <is>
          <t>現在はオーストリアの都市であるが、当時は神聖ローマ帝国領であった。；当時の担当編集者とは、よく映画や漫画以外の本についての話をしていた。；当時、ワープロ専用機でもテレビ出力へ対応したものはわずかに存在した。；当時の技術ではCPUとは別にROMを置く方がコストが掛かっていた。；は当時実現していた他のハイパーテキストシステムとはいくつかの点で異なる。；当時の日本人としては、そして俳優としても、かなり背が高い方だった。；当時は常時接続が一般的ではなかったのが原因だといわれている。；それは深刻な人種問題を抱えていた当時のアメリカでは画期的なことであった。；この当時に描いた漫画の一部は今でも記念館に保存されている。；現代と比べて娯楽が少ない当時、旅の持つ意味ははるかに大きかった。；また、当時と同じ条件なら再びイラク侵攻をするだろうとも述べた。；被害額は当時にして約2億ドル、家を失った人は10万人に上ったという。；これらは実効支配が無いと、当時のアメリカとソ連が認めなかった。；この事からVHSは当時としては十分なビデオ規格であったと言える。；当時CMOS版のMC68000を生産していたのは日立だけだった。；撤退の際も当時の現地の住民であるマッロイ人の征服が行われた。；さらにその中の10ステージは当時のアスキー編集部の人間の投稿だった。；ただし当時はこうした狭軌鉄道では蒸気機関車を用いることはできなかった。；したがって当時の量子化学は定性的な予測をするのにとどまっていた。；当時のさいとうは手塚の影響を受け、柔らかなタッチの絵を描いていた。；当時多くの人が16ビット機でもCP/Mが標準になるだろうと考えていた。；シュレーディンガー方程式の解からは当時は予想できなかった結論が得られた。；当時のアメリカは徴兵制を施行しており、陸軍の徴兵期間は2年間である。；これらの枕文化は当時の加工技術を知る上でも重要な考古学資料となっている。；撮影当時、現地を南南西の風が吹いていたことがこの写真から見て取れる。；クライマックスとなる戦場には公開当時に話題となった名所が選ばれることが多い。；しかし当時の任天堂は従来通りソフト毎に開発者が独自にプログラムを組んでいた。；カードの構成は当時のアラブのカードのデザインを襲用している。；この当時、アタリ社は発売されているゲームの内容は一切把握していなかった。</t>
        </is>
      </c>
      <c r="J5928">
        <f>HYPERLINK("https://www.weblio.jp/content/当時", "词义详情")</f>
        <v/>
      </c>
      <c r="K5928">
        <f>HYPERLINK("https://yourei.jp/当時", "查看例句")</f>
        <v/>
      </c>
    </row>
    <row r="5929">
      <c r="A5929" t="inlineStr">
        <is>
          <t>同時</t>
        </is>
      </c>
      <c r="B5929" t="inlineStr">
        <is>
          <t>成功</t>
        </is>
      </c>
      <c r="C5929" t="inlineStr">
        <is>
          <t>読み方：どうじ
１時を同じにすること。同じ時に行われること。「到着はほとんど—だ」「—進行」
２同じ時代。同じ年代。</t>
        </is>
      </c>
      <c r="D5929" t="inlineStr">
        <is>
          <t>同時発売(13%)；同時進行(7%)；同時並行(3%)；同時上映(3%)；同時配信(3%)</t>
        </is>
      </c>
      <c r="E5929" t="inlineStr">
        <is>
          <t>一緒</t>
        </is>
      </c>
      <c r="F5929" t="inlineStr">
        <is>
          <t>同時接続；同時開発；世界同時；同時使用；同時発表</t>
        </is>
      </c>
      <c r="G5929" t="inlineStr">
        <is>
          <t>同時代；同時多発テロ事件；同時ネット；同時放送；同時プレイ</t>
        </is>
      </c>
      <c r="H5929" t="n">
        <v>29</v>
      </c>
      <c r="I5929" t="inlineStr">
        <is>
          <t>映画公開後に発表された小説は、脚本と同時進行で書かれた部分もある。；これはすなわち、複数の状態を同時並行的に計算できることを意味する。；また従来画面内に一発だったミサイルも、4発同時発射が可能となった。；ただしそれは絶対ではなく、適切な理由があれば複数同時提案も認められる。；この空港でのニクソン到着の模様はテレビで全世界に同時中継された。；また一部の形式では複数ファイルの同時インポートにも対応している。；漫画作品での日本人の選出は、伊藤と同時受賞した浦沢直樹が初となる。；その最期もまた父と同時であり、義朝の子源頼朝の命で処刑されたという。；複数の会議が同時進行する場合も、同数の配信枠で同時配信している。；多くのレース場において、発売締切はレースの発走と同時となっている。；殺人事件の謎を中心に据えつつ、様々な物語が同時進行するのである。；国内ではPS2版のみの販売だが、国外ではXbox版も同時発売された。；また、開発事業費約500億円規模に及ぶ居住区域の同時開発も中止となった。；当事者双方に返還義務を生じる場合には両者は同時履行の関係に立つ。；発着点の実況・各中継所通過時の音声はテレビと同時音声となっていた。；また車体全体を黒く塗装したスペシャルエディションも同時発売される。；このタイプのコンピュータは各CPUが同時並行して動作して初めて効果を発揮する。；原作であるジュウレンジャーの制作と同時進行状態で本作品の制作作業は進んでいた。；この時点で登録された協会全メンバーは、同時ではないが両方の指定を使用することができる。；ただし、ケネス・アローと同時受賞と知ると一気に落胆したとされている。；これは雷撃隊が同時攻撃をかけたため、戦果を誤認したものと考えられる。；過去には同時連載として複数の漫画が掲載されたこともある。；本体と同時、または同時期に発売されたソフトは以下の通り。；リアルタイム制と言っても完全に同時進行であることは少ない。；これは実験技術の問題ではなく、原理的に同時測定不可能である。；番組と同時進行で開催されるイベント、会場は日本各地、屋内外を問わない。；なおこの際の光子魚雷は1発ではなく3発ほど同時発射していることが多い。；大規模なものでは数日がかりで開催したり、複数の会場で演奏を同時進行させたりする。；また堀内一史は同時進行でソロ・アルバムを制作していたため本作にはあまり参加していない。</t>
        </is>
      </c>
      <c r="J5929">
        <f>HYPERLINK("https://www.weblio.jp/content/同時", "词义详情")</f>
        <v/>
      </c>
      <c r="K5929">
        <f>HYPERLINK("https://yourei.jp/同時", "查看例句")</f>
        <v/>
      </c>
    </row>
    <row r="5930">
      <c r="A5930" t="inlineStr">
        <is>
          <t>当日</t>
        </is>
      </c>
      <c r="B5930" t="inlineStr">
        <is>
          <t>成功</t>
        </is>
      </c>
      <c r="C5930" t="inlineStr">
        <is>
          <t>読み方：とうじつ
その日。そのことがある日、またあった日。「詳細は—知らせる」「大会—」</t>
        </is>
      </c>
      <c r="D5930" t="inlineStr">
        <is>
          <t>当日夜；当日深夜；当日エントリー変更；当日限り；当日会場</t>
        </is>
      </c>
      <c r="F5930" t="inlineStr">
        <is>
          <t>放送当日；発売当日；レース当日；日当日；開催当日</t>
        </is>
      </c>
      <c r="G5930" t="inlineStr">
        <is>
          <t>当日版権システム；当日配達；当日お急ぎ便；当日版権制度</t>
        </is>
      </c>
      <c r="H5930" t="n">
        <v>29</v>
      </c>
      <c r="I5930" t="inlineStr">
        <is>
          <t>当日に予定していた放送分は3月26日に再編集した上で振替放送された。；当日の日記には日本の芸術について深い印象を覚えた旨が記された。；しかし、作業開始当日になって解体の方針は凍結されることになった。；そのため、乗車当日になると目的の列車の座席が無い場合もあり得る。；なお、ウェブでの準備数が完売となった場合は当日園内での販売はない。；ライブ開催当日には西武鉄道による特別電車も運行されたほどである。；申請を法定代理人や任意依頼人に委任する場合は、当日発行はされない。；気象情報コーナーは原則、当日の中継コーナーと同じ場所から伝えていた。；死亡した当日に葬ったことと、陵地・陵戸がないことは、他に例が無い。；祭りの当日には地元の人々が針やはさみを手にしない習わしがある。；放送日当日の昼か夕方に収録が行われ、編集作業を終えた後に放送されていた。；これは、新嘗祭当日の午後に掌典長以下が奉仕して用意するものである。；当日に放送を予定している企画から、当該試合に関する内容を伝えている。；開催当日のイベント映像やアニメ映像の一部を公開した。；当日は午前から雨となり、前年に続き重馬場で行われることになった。；当日現場を通行する列車は線路内に人が立ち入る危険があるため徐行する。；また、BS2での放送も2003年度からは当日中継録画に変更された。；定員に達するか入場時間になった時点で当日分の販売は打ち切られる。；商店などでは祭り当日まで他人に飾りを見せないしきたりになっているという。；番組は原則として放送当日の土曜日の夕方以降に完パケ収録していた。；そのため、以降のレースでは当日の早朝に打ち替えが行われるようになった。；日付のうち月名は、制作当日に河原が滞在している国の言語で表記される。；これにはRKB毎日放送が関与し、当日深夜にRKBテレビで放送される。；しかし本番当日、ジュリエット役の俳優が上演の直前に変声期を起こす。；また、当日の朝刊は放送終了後の午後に配達される特別措置がとられた。；結婚式当日の様子を描いたものではないかと言われている。；これに合わせて、大手紙は、発売日当日の夜のレースの予想に力を入れている。；発生当日の生放送は地震関連のニュースに全面変更して放送した。；この予告内では主として当日伝える話題の紹介を山本・渡辺が行っていた。</t>
        </is>
      </c>
      <c r="J5930">
        <f>HYPERLINK("https://www.weblio.jp/content/当日", "词义详情")</f>
        <v/>
      </c>
      <c r="K5930">
        <f>HYPERLINK("https://yourei.jp/当日", "查看例句")</f>
        <v/>
      </c>
    </row>
    <row r="5931">
      <c r="A5931" t="inlineStr">
        <is>
          <t>どうして</t>
        </is>
      </c>
      <c r="B5931" t="inlineStr">
        <is>
          <t>成功</t>
        </is>
      </c>
      <c r="C5931" t="inlineStr">
        <is>
          <t>［副］
１方法についての疑問を表す。どのようにして。どうやって。「—時間をつぶそうか」
２原因・理由についての疑問を表す。なぜ。「—そんなにのろいのか」「—話を聞かないのだろう」
３強い否定の気持ちを表す。決して…ない。…はずがない。「これが—黙っていられよう」
４前の言葉を、予想外であるという意をこめて強く否定する気持ちを表す。それどころか。「見かけは子供っぽいが、—なかなかしっかりしている」
［感］
１感動をこめて強調する気持ちを表す。なんともはや。いやはや。「—、大層な人出でした」
２強く否定する気持ちを表す。とんでもない。いやいや。「—、—、私などの及ぶところではない」</t>
        </is>
      </c>
      <c r="D5931" t="inlineStr">
        <is>
          <t>どうしてこんな(4%)；どうしてそんな(4%)；どうしていい(3%)；どうしてこう；どうしてあんな</t>
        </is>
      </c>
      <c r="E5931" t="inlineStr">
        <is>
          <t>どうやって</t>
        </is>
      </c>
      <c r="F5931" t="inlineStr">
        <is>
          <t>いったいどうして；一体どうして；なかなかどうして；どうして信じられよ；どうしてもじぶん</t>
        </is>
      </c>
      <c r="G5931" t="inlineStr">
        <is>
          <t>どうしてだろう；どうしてこうなった；どうしてますか；どうして僕らにはやる気がないのか；どうして好きといってくれないの</t>
        </is>
      </c>
      <c r="H5931" t="n">
        <v>29</v>
      </c>
      <c r="I5931" t="inlineStr">
        <is>
          <t>この地形がもともとどうして形成されたのかは今だはっきりしていない。；むろん僕の心をもってしては、君の心裏がまたどうしてもわからぬのだ。；もし敵にその隙があるのであれば、どうして見逃してよいものでしょう。；こんな事のあるはずだったのをどうしてまた忘れていたものだろう。；どうして自分がこんな状態になったか、その原因がはっきりしている。；蜘蛛はどうして此の危険な生餌を少しもおそれないでゐられるのでせう?；どうしてあれだけの速いボールが投げられるのか不思議な部分がある。；と幹事も何か急込んで、と云ったが、どうして、あの娘が動き得ますか。；ノラ そんなことはありませんわ、どうしてそんな風にお考へなすつて?；けれどもこんな両親がどうして子供の幸福の対象になりましょう。；どうして2つの部分に分けられたのか、その正確な理由は不明である。；どうして彼等にとつては余計な女王達の出て行くのを防ぐのだらう?；病気をしたというのに、どうして仕事など始めてしまったのだろう。；もしそうでなかったならば、我にどうして今日があったであろうか。；どうしてみんな普通に自分達の名前をバンド名にしないのかな?；まあ本当にどうしてあれでいい気になつてゐたかと思ふのです。；どうして神が何の素材もなくこの世界が創造できるということがあろうか?；死者は追う事が出来ぬというのに、どうしてまた殺し合っているのか!；それは自分も同じことで、ぼくはどうしていいのかわからなかった。；彼は興奮しきつて、どうして再び馬に乘つたかも知らない位であつた。；が、心配そうな妻の顔を見ては、どうして、これが打明けられましょう。；どうして護がこの機に乗じて都に接近し、殺戮しないと言えましょうか。；それにしても、死んだ筈の機関大尉が、どうして生きていたのだろう。；いくら酔っぱらったとはいえ、どうしてあんな馬鹿な目にあったのだろう。；チャックの脚本にはどうしていいかわからないシーンがあって悩まされた。；人間がどうしてか程優れた娘を生み出したかと私は驚くばかりだ。；父がどうしてこんなになったのか、どう思ってみようもなかった。；それならどうして私に、時と処とを超越した美の存在などが信じられやう。；このような状態でどうして新たな技術の発展が望めるのだろうか。</t>
        </is>
      </c>
      <c r="J5931">
        <f>HYPERLINK("https://www.weblio.jp/content/どうして", "词义详情")</f>
        <v/>
      </c>
      <c r="K5931">
        <f>HYPERLINK("https://yourei.jp/どうして", "查看例句")</f>
        <v/>
      </c>
    </row>
    <row r="5932">
      <c r="A5932" t="inlineStr">
        <is>
          <t>どうしても</t>
        </is>
      </c>
      <c r="B5932" t="inlineStr">
        <is>
          <t>成功</t>
        </is>
      </c>
      <c r="C5932" t="inlineStr">
        <is>
          <t>［副］
１どう努力してみても。どんな径路をたどっても。「—納得できない」「駅までは—一時間はかかる」「—話題がそこにいく」
２強い決意・願望を表す。どのようにしてでも。ぜひとも。絶対に。「—成功させたい」「—負けたくない」</t>
        </is>
      </c>
      <c r="D5932" t="inlineStr">
        <is>
          <t>どうしてもでき；どうしても思い出せ；どうしても信じられ；どうしてもなれ；どうしても理解でき</t>
        </is>
      </c>
      <c r="E5932" t="inlineStr">
        <is>
          <t>必ず；絶対に；勢；何でも；なんでも</t>
        </is>
      </c>
      <c r="F5932" t="inlineStr">
        <is>
          <t>どうしても信じ；どうしてもいや；もしどうしても；どうしても思ひ出せ；どうしても思出せ</t>
        </is>
      </c>
      <c r="H5932" t="n">
        <v>29</v>
      </c>
      <c r="I5932" t="inlineStr">
        <is>
          <t>しかし、彩色の作業がどうしても公開までに完了しないことが判明する。；しかしどうしても宇宙用の部品を使用せねばならないものもあった。；小室が僕に書くものはどうしてもそういう歌になってしまうんでしょうね。；どうしてもここで、陸軍に対応する政策担当者を作らなければならぬ。；他の来訪者はヒトラーがどうしても直接会う必要がある者だけに限られた。；しかし彼女には、どうしても寮に入らなければならない事情があった。；西尾もやはり横文字で書いたレシピをどうしても見せてはくれなかった。；帰りに送って行こうとしたものの、どうしても途中で見失ってしまう。；そのため専門家などに発見されるまでにはどうしても一定の分析時間が掛かる。；我々は、その艦を降伏させることがどうしてもできなかったのだ!；どうしてもビブラートが入らず硬い感じになる場合は練習する場合がある。；しかし商品購入先が少ないこともあってどうしても買いだめ傾向が強くなった。；家人たちは水をかけて洗ってやったが、臭いはどうしてもとれなかった。；彼らはなぜアメリカがこの戦いを支援しないのか、どうしても理解できなかった。；しかし、どうしても皮をむく必要があるなら、決して生のうちにむくな。；これによって地上ではどうしても燃料類が漏れ出てしまう仕様となっていた。；どうしてもテストに集中することができなかったのである。；どうしても直せないものだけがメーカーに送られ専門の修理スタッフが対応した。；霞をどうしても手に入れたいと伊織は思い、冬の一日に二人は身体を重ねた。；この考えは彼らにはどうしても理解できないものだった。；余った農民は日本の国では入れないんだからどうしても海外に行かなければならない。；仕事の都合でどうしても1週間ほどロンドンに行かなくてはならないとのことだった。；しかし、妊娠自体はしてもどうしても流産してしまう不育症も存在する。；団子坂ではどうしてもあの食べる「団子」をイメージしてしまうからだ。；どうしても死ぬ前に先生に会いたがっているんです。；柔道をやっていて足腰がいいから、どうしても投げに頼っちゃうのかな。；どうしても、そういう演出が出来ないというなら断ってくれていい。；しかし、森宗意軒にはもう一人、どうしても魔界転生させたい男がいた。；この自伝的な内容の脚本はどうしても他人にやらせたくなかったと告白している。</t>
        </is>
      </c>
      <c r="J5932">
        <f>HYPERLINK("https://www.weblio.jp/content/どうしても", "词义详情")</f>
        <v/>
      </c>
      <c r="K5932">
        <f>HYPERLINK("https://yourei.jp/どうしても", "查看例句")</f>
        <v/>
      </c>
    </row>
    <row r="5933">
      <c r="A5933" t="inlineStr">
        <is>
          <t>踏襲</t>
        </is>
      </c>
      <c r="B5933" t="inlineStr">
        <is>
          <t>成功</t>
        </is>
      </c>
      <c r="C5933" t="inlineStr">
        <is>
          <t>読み方：とうしゅう
［名］(スル)前人のやり方などをそのまま受け継ぐこと。「前社長の方針を—する」</t>
        </is>
      </c>
      <c r="D5933" t="inlineStr">
        <is>
          <t>踏襲する(8%)；踏襲し戊辰戦争終結；踏襲せら；踏襲し外装</t>
        </is>
      </c>
      <c r="E5933" t="inlineStr">
        <is>
          <t>従う；準拠；準じる；倣う；則る</t>
        </is>
      </c>
      <c r="F5933" t="inlineStr">
        <is>
          <t>長く踏襲；広く踏襲；前例踏襲；みを踏襲；踏襲する形</t>
        </is>
      </c>
      <c r="H5933" t="n">
        <v>29</v>
      </c>
      <c r="I5933" t="inlineStr">
        <is>
          <t>これらの要素は本作で初めて導入され、以降の作品でも踏襲されている。；この基本構成は以後の第二次世界大戦型ジープに踏襲されることになる。；これはスバル・1500で行われた開発手法を踏襲したものであった。；また、男子の年齢区分を踏襲した形での年代別大会も行われている。；目と口はセブンのタイプを踏襲しているが、鼻が明確に造型されている。；従来の特急形車両の基本を踏襲しながら以下に示す機構が新規採用された。；反対にネルケ制作版のミュージカルは、基本的に原作版を踏襲している。；この地位にある間は独自の政策を行うことを避け、兄王の従来の政策を踏襲した。；江戸時代の東海道が見附宿から南に折れていたルートをほぼ踏襲している。；映画は、嶽本野ばらの原作の内容ほぼ踏襲しているが、少し違いがある。；これは、上述のケンブリッジ大学のモデルを大きく踏襲したものである。；初代駅舎のデザインを踏襲し、一部には解体された資材を再使用している。；建設計画はイギリスが検討した5つの案の内の一つを踏襲している。；この書も類書の形態を踏襲しており、日本における類書の一つと言える。；主要キャラクターのグラフィック及び一部の武器は、前作を踏襲している。；そこから起点に向かい左に折れ、約200mの区間は街道を踏襲している。；創業時から運行していた大町回り本線の系統を踏襲するものであった。；この配置は、以後のアメリカ空母でも踏襲されていくことになった。；これらは以降のMATE Xにも踏襲され、ひとつの転換点となっている。；後任の小丸成洋も、就任会見で古森路線を基本的に踏襲する方針を表明。；このため基本構成は踏襲するものの以下の点で250 ccモデルと異なる。；アニメでも基本的にこれを踏襲した描写がなされている。；本形式の基本構造を踏襲した形式は以下のとおりである。；信濃国も前から美濃按察使の下にあったので、それを踏襲したものである。；これは旧ヘラクレス市場の形式をそのまま系譜・踏襲したものである。；古くから宮古街道または閉伊街道と呼ばれてきた道路を踏襲している。；これらは今大会の暫定的な処置のみならず以降の大会でも踏襲されるようになる。；初代編集長の田中の意向が強く反映した内容を踏襲してきた。；後年の『雷電』などの本作を踏襲した多くのフォロワーが登場している。</t>
        </is>
      </c>
      <c r="J5933">
        <f>HYPERLINK("https://www.weblio.jp/content/踏襲", "词义详情")</f>
        <v/>
      </c>
      <c r="K5933">
        <f>HYPERLINK("https://yourei.jp/踏襲", "查看例句")</f>
        <v/>
      </c>
    </row>
    <row r="5934">
      <c r="A5934" t="inlineStr">
        <is>
          <t>投書</t>
        </is>
      </c>
      <c r="B5934" t="inlineStr">
        <is>
          <t>成功</t>
        </is>
      </c>
      <c r="C5934" t="inlineStr">
        <is>
          <t>読み方：とうしょ
［名］(スル)
１意見・希望・苦情などの書状を関係機関などに送ること。また、その書状。「役所に—する」
２「投稿」に同じ。</t>
        </is>
      </c>
      <c r="D5934" t="inlineStr">
        <is>
          <t>投書家(3%)；投書箱</t>
        </is>
      </c>
      <c r="E5934" t="inlineStr">
        <is>
          <t>手紙；状；書；文；便</t>
        </is>
      </c>
      <c r="F5934" t="inlineStr">
        <is>
          <t>こんな投書；批判的な投書</t>
        </is>
      </c>
      <c r="H5934" t="n">
        <v>29</v>
      </c>
      <c r="I5934" t="inlineStr">
        <is>
          <t>投書をするぐらいの人間であるから、しばしば手紙を書くにちがいない。；十八九の青年が投書しているのだが、自分は何とかして東京に出たい。；他のラジオ局にも、犯人は投書したのだが、選ばれなかっただけなのか。；さらに「感動した」という内容の投書が新聞に複数寄せられ掲載された。；これらはすべてお取り上げにならないで、その投書は焼き捨ててしまう。；ついさき頃の新聞でさえ内申書問題にからんで教員の投書をのせていた。；顔写真入りのもあるし、中には、水着姿で、投書している女性もあった。；書き出しは編集部に寄せられた投書で、その内容は以下の通りであった。；だから気がつかぬふりをしていると、いつかこういう投書がくるであろうと。；そこで、間もなく町の人たちから、不平の投書がくるようになりました。；そもそも今回の件で発端となった投書の差出人について尋ねたのである。；最初の一年はぼくは無我夢中で訳の分らぬ小説を書き、投書しました。；何だか三人は新聞社への投書のことを、知っているみたいに思えるの。；会員からの手紙やイラストの投書が掲載されているものもある。；日本では僅に一年七・八千通の投書が協会へ送られるにすぎない。；たまたま、その現場を見ていた者がいて、部長あてに投書したのだ。；しかしその投書はガンちゃんの身にまったく覚えのないことだった。；不満や意見を投書の形で発散させる方法を、ユリアンは採用したのだった。；竹野は投書仲間の女と最初は文通に始り、間もなく話は結婚まで進んだ。；もっと、不謹慎だとかヤメサセロだとかどんどん投書をしてもらいたい。；また、番組に投書されるハガキの内容も独特なものが寄せられ話題を呼んだ。；しかし投書の主が殺人事件を計画しているかどうか不明ですがね。；あなたみたいに学問のある人は、新聞か何かにそう書いて投書しておやりなさいよ。；そのため目安箱への投書のほとんどは黙殺され、焼き捨てられていった。；真次郎は最近多報新聞社に、数多の投書が寄せられている件も口にした。；最近の新聞に掲載された一学生の投書が私の目についた。；しかし企画の裏には、投書主・多島通子の隠された意図がひそんでいた。；その頃は作者の外に投書家というものがあって、各新聞に原稿を投じていた。；商売敵が投書した可能性もあるが、一応は覗いてみなければならない。</t>
        </is>
      </c>
      <c r="J5934">
        <f>HYPERLINK("https://www.weblio.jp/content/投書", "词义详情")</f>
        <v/>
      </c>
      <c r="K5934">
        <f>HYPERLINK("https://yourei.jp/投書", "查看例句")</f>
        <v/>
      </c>
    </row>
    <row r="5935">
      <c r="A5935" t="inlineStr">
        <is>
          <t>搭乗</t>
        </is>
      </c>
      <c r="B5935" t="inlineStr">
        <is>
          <t>成功</t>
        </is>
      </c>
      <c r="C5935" t="inlineStr">
        <is>
          <t>読み方：とうじょう
［名］(スル)船舶や航空機などに乗り込むこと。「宇宙船に—する」「—員」⇔降機。</t>
        </is>
      </c>
      <c r="D5935" t="inlineStr">
        <is>
          <t>搭乗する(16%)；搭乗者(9%)；搭乗員(7%)；搭乗機(5%)；搭乗口(3%)</t>
        </is>
      </c>
      <c r="E5935" t="inlineStr">
        <is>
          <t>乗る；乗車；乗船；乗り込む；乗艦</t>
        </is>
      </c>
      <c r="F5935" t="inlineStr">
        <is>
          <t>予備搭乗；搭乗予定；戦闘機搭乗；主な搭乗；飛行機搭乗</t>
        </is>
      </c>
      <c r="G5935" t="inlineStr">
        <is>
          <t>搭乗手続き；搭乗券；搭乗率；搭乗橋；搭乗手続</t>
        </is>
      </c>
      <c r="H5935" t="n">
        <v>29</v>
      </c>
      <c r="I5935" t="inlineStr">
        <is>
          <t>護衛戦闘機搭乗員には他の任務がある都合上、途中までの護衛となった。；これにより、搭乗者は安全に時間の流れの中を進むことができるという。；同年11月に所有者である日本人実業家自身が搭乗し飛行が行われた。；目撃者の1人が搭乗者に向かい手をふると 搭乗者達も同じ動作をした。；座席は少年の体格に合わせて作られているため、大人は搭乗できない。；最終的に大破した機体は基地へ放棄されるが、搭乗者は無事脱出に成功する。；本作に登場する人間が搭乗する人型ロボットは、SPTと呼ばれている。；パイロットはシートごと搭乗・脱出が可能であり、生存性を高めている。；また全高が低いため、背の高いパイロットなら地上から直接搭乗することができた。；また、同作では後に一般の連合兵が搭乗する機体も登場した。；機体にはそれぞれ搭乗者の個人のマークが描かれている。；事故機の搭乗者187人全員と地上で巻き込まれた12人が死亡した。；各個体は基本的に初めて搭乗した者の名を付けて「〜ブレン」と呼ばれる。；頭部が存在せず、そこに搭乗用のスペースが設けられている。；しかし、実際に大統領がこの航空機に搭乗したというレポートはない。；ただし、基本的にはタイムマシン搭乗者以外の記憶は時間改変後に変わる。；搭乗者は機体を持ち上げたまま滑空角より大きな斜面等を駆け下りる。；作中ではアポリーが搭乗するが、登場はわずか3コマのみとなっている。；スカイチームに非加盟の航空会社用のターミナルで29の搭乗口がある。；股間部前面に搭乗口があり、扉内側の昇降ケーブルを使用して搭乗する。；その後、搭乗予定であった飛行機が墜落して搭乗者全員が死亡した。；計画の準備は主搭乗員と予備搭乗員の選抜よりも1ヶ月先行して行われた。；あ号・捷号・天号作戦期間中の海軍搭乗員の戦死者数を下表 に挙げる。；本機の特筆すべき点は、搭乗者の感情や状態が機体性能に反映されることである。；通常は一般乗客は搭乗しないが副務機に搭乗させる事例もある。；衝突により爆発炎上し、搭乗者64人全員と地上の125人が死亡した。；また、2013年の上半期に限ると搭乗客は過去3年間で最も多かった。；後にミュージィが搭乗した際にはダークブルーに塗り替えられている。；さらに搭乗していた人々の殺戮と空間歪曲によるワープの実行を試みる。</t>
        </is>
      </c>
      <c r="J5935">
        <f>HYPERLINK("https://www.weblio.jp/content/搭乗", "词义详情")</f>
        <v/>
      </c>
      <c r="K5935">
        <f>HYPERLINK("https://yourei.jp/搭乗", "查看例句")</f>
        <v/>
      </c>
    </row>
    <row r="5936">
      <c r="A5936" t="inlineStr">
        <is>
          <t>登場</t>
        </is>
      </c>
      <c r="B5936" t="inlineStr">
        <is>
          <t>成功</t>
        </is>
      </c>
      <c r="C5936" t="inlineStr">
        <is>
          <t>読み方：とうじょう
［名］(スル)
１演技者として舞台などに現れること。「上手(かみて)から—する」「真打ち—」⇔退場。
２小説や戯曲などに、ある役をもって現れること。「—人物」
３ある事柄の関係者として表面に出ること。「汚職事件の第三の人物として—する」
４新しい人物・製品などが世間に現れ出ること。「新型車の—」</t>
        </is>
      </c>
      <c r="D5936" t="inlineStr">
        <is>
          <t>登場する架空；登場するキャラクター；登場人物；登場当初；登場以前</t>
        </is>
      </c>
      <c r="E5936" t="inlineStr">
        <is>
          <t>出現</t>
        </is>
      </c>
      <c r="F5936" t="inlineStr">
        <is>
          <t>再登場；多数登場；未登場；一切登場；数多く登場</t>
        </is>
      </c>
      <c r="G5936" t="inlineStr">
        <is>
          <t>登場キャラクター；登場する人物；登場シーン；登場曲</t>
        </is>
      </c>
      <c r="H5936" t="n">
        <v>29</v>
      </c>
      <c r="I5936" t="inlineStr">
        <is>
          <t>これらの概念を複数搭載するオペレーティングシステムも登場していた。；多数の人物が登場するが、ここでは複数の話に登場する人物を解説する。；AIに自然言語で指定したイラスト生成させるサービスも登場している。；コピーコントロールCDでは、登場当初から多くの問題点を抱えていた。；本作に登場する神怪的なモチーフの多くはそれぞれ元となる説話がある。；またTVアニメ版でも西武鉄道の配色に似た黄色の車両が登場している。；紀元前1400年頃には初期のマンカラが登場してアフリカに伝播した。；自然主義と象徴主義の登場をもって古典的近代と言われる時代が始まる。；またタイトルや歌詞に犬が頻繁に登場することも特徴である。；コンピュータが登場するまでは、通信にはテレタイプが使われていた。；その一部は日本にも輸入された他、日本国産のものも各種登場した。；登場当初は確定したジャンルが存在しなかったものも多い。；これは様々な伝説に繰り返し登場するテーマとなっている。；また、原作・アニメ版には登場しないオリジナルの魔法や技が複数登場する。；型付けは動的型付けに分類できるが、言語仕様の中に型概念は登場しない。；フランドルではリュベンスの登場により新しい絵画の様式が確立される。；本シリーズに登場するアイテムは、主に次のように分類される。；また、特定の小説や映画などの世界を再現するものも登場する。；移動式電話は、かつての自動車電話やその後に登場した携帯電話などである。；別の作品に同一キャラクターを登場させることが多い。；長崎県平戸の風土をこよなく愛し、作品の中にも数多く登場させていた。；老犬などを世話する老犬ホームなどのサービスが登場してきている。；鉄道が登場するまで、旅行は多くの危険を伴う行為であった。；兵庫県とその周辺が舞台となっており、具体的な地名が登場する。；また同時期に学術雑誌が登場し、ジャーナル・アカデミズムが確立した。；この時期に登場したミニモーグのような機能と外観を持つ楽器もその一例である。；Windowsでは新たなバージョンが登場するたびにGUIを変更してきた。；作者本人が登場して自虐ギャグ的に理不尽な婿いびりをすることもある。；登場人物以外にも頻繁に登場するテーマまたはアイデアがある。</t>
        </is>
      </c>
      <c r="J5936">
        <f>HYPERLINK("https://www.weblio.jp/content/登場", "词义详情")</f>
        <v/>
      </c>
      <c r="K5936">
        <f>HYPERLINK("https://yourei.jp/登場", "查看例句")</f>
        <v/>
      </c>
    </row>
    <row r="5937">
      <c r="A5937" t="inlineStr">
        <is>
          <t>道場</t>
        </is>
      </c>
      <c r="B5937" t="inlineStr">
        <is>
          <t>成功</t>
        </is>
      </c>
      <c r="C5937" t="inlineStr">
        <is>
          <t>読み方：どうじょう
１武芸の修練を行う場所。また、広く心身の鍛錬などを行う場所。「剣道の—」「断食—」
２《(梵)bodhi-maṇḍa の訳「菩提(ぼだい)道場」の略》
㋐釈迦(しゃか)が悟りを開いた菩提樹下の場所。
㋑仏道修行の場所。
㋒浄土真宗・時宗の寺院。
㋓信徒が集まって念仏を唱える集会所。</t>
        </is>
      </c>
      <c r="D5937" t="inlineStr">
        <is>
          <t>道場主；道場生；道場内；道場長；道場所属</t>
        </is>
      </c>
      <c r="F5937" t="inlineStr">
        <is>
          <t>本部道場；秋山道場；館道場；吉岡道場；辻道場</t>
        </is>
      </c>
      <c r="G5937" t="inlineStr">
        <is>
          <t>道場訓；道場寺；道場村；道場六三郎；道場三室線</t>
        </is>
      </c>
      <c r="H5937" t="n">
        <v>29</v>
      </c>
      <c r="I5937" t="inlineStr">
        <is>
          <t>自分の道場を日本一に発展させていくことがこのゲームの目標である。；全国の各支部・各道場で開催される初心者から中級者を対象にした大会。；そもそも当時の道場に看板が掲げられていたかについても疑問視されている。；小学校4年の時に父親の影響を受けて、近所の松島道場で柔道を始めた。；普段は下ろしているが、道場などではやや上のほうで束ねることも。；中世以降、日光系の修験道場となって、関東各地の武将の崇敬を受けた。；中国の江蘇省南通には勢至菩薩の道場である狼山があることで有名である。；道場や教室に入門する場合、指導役のトップの地位にいる人が自分の師匠になる。；奉仕会は本部を飯田橋に置く全国組織であったが、道場はここだけであった。；しかし、田中光顕は聖蹟記念館を精神修養の道場にしようと考えていた。；当時は道場などはなく、師匠がとる弟子の数も少数であった。；本人談によれば、このヨガ道場での修行で腰痛が快癒したと語っている。；通常は道場で行われているが出張プロレス教室も実施されている。；武田惣角は道場を持たず、講習会形式で各地の警察署などを廻っていた。；道場などでの練習中に死亡した事例も何例か発生している。；流派の命名は、本部朝基が大阪に道場を開いていた大正時代とされる。；この大きな原因は道場の畳にあると考えられている。；空手道場を経営していた父親の影響で幼少より空手や少林寺拳法を学んだ。；公式道場は、必ず道場登録がなされており証明書が発行されている。；故郷である香港に道場が置かれ、弟子もそれなりに集まっている。；道場では師範を務め、道場主である父の剛・ハヤテを超える実力を持つ。；現役引退後には年寄・時津風を襲名して道場名を時津風部屋に改称する。；この頃より全国各地の道場を盛平が訪れ指導を行うようになった。；主道場の床は板張りのものが多く、柔道等の場合は畳を敷き詰めて使用する。；試衛館は小さな道場であったため、土佐藩邸での試合に参加できなかった。；腕を上げた伊良子は道場随一の剣士となり、虎眼流の後継者と目されていた。；日本は山がちの地形で山岳信仰もあった為修験道の道場としても発達した。；杉浦は週1回、自衛隊とは別にレスリング道場に通って体を鍛えていた。；道場が使われていないときは近所のお年寄りが集まる老人ホームとなっていた。</t>
        </is>
      </c>
      <c r="J5937">
        <f>HYPERLINK("https://www.weblio.jp/content/道場", "词义详情")</f>
        <v/>
      </c>
      <c r="K5937">
        <f>HYPERLINK("https://yourei.jp/道場", "查看例句")</f>
        <v/>
      </c>
    </row>
    <row r="5938">
      <c r="A5938" t="inlineStr">
        <is>
          <t>同情</t>
        </is>
      </c>
      <c r="B5938" t="inlineStr">
        <is>
          <t>成功</t>
        </is>
      </c>
      <c r="C5938" t="inlineStr">
        <is>
          <t>読み方：どうじょう
［名］(スル)他人の身の上になって、その感情をともにすること。特に他人の不幸や苦悩を、自分のことのように思いやっていたわること。「—を寄せる」「—を引く」「被害者に—する」</t>
        </is>
      </c>
      <c r="D5938" t="inlineStr">
        <is>
          <t>同情的(7%)；同情する(7%)；同情心(3%)；同情者；同情論</t>
        </is>
      </c>
      <c r="E5938" t="inlineStr">
        <is>
          <t>理解；わかる；分かる；配慮；情</t>
        </is>
      </c>
      <c r="F5938" t="inlineStr">
        <is>
          <t>深く同情；御同情；同情なんか；ご同情；ひどく同情</t>
        </is>
      </c>
      <c r="G5938" t="inlineStr">
        <is>
          <t>同情論証；同情融和大会</t>
        </is>
      </c>
      <c r="H5938" t="n">
        <v>29</v>
      </c>
      <c r="I5938" t="inlineStr">
        <is>
          <t>フランス革命が起こると、初めは革命側の市民たちに同情を寄せていた。；後になって戦争が終ってから、彼女は同情の気持ちを伝えることができた。；エジプト側は、当初は住民への同情もあり、非武装である限り容認した。；中国に来てからは中国の情況に非常に強い同情心を抱くようになった。；ド・ゴールはさらに父プロスペール・モケに繰り返し同情の意を表した。；この間、イギリスの国内世論もだんだんトルコに同情的になっていった。；公職に就いてもしばらくはKKKに同情的であったことは確かである。；敗北したヴァル・ファスクに同情することもなく、ゴミとしか思わない。；イスラエルに同情的な人の割合は一貫して最も大きな割合を占めている。；また同じく親を早くに亡くした鴨長明に同情的に接していたことが知られる。；そしてこのような同情心が捜査員の一部を翻意させることにもなり兼ねない。；この感情は、最近処刑された国王ルイ16世に同情した人々にまで及んだ。；すると女性は彼に同情し、ダニーは見事彼女と一晩過ごせることになった。；「香典票」と呼ばれた同情票も自民党有利に働いたとされることもある。；そのため彼の死後にはそのことについての同情の論評が多くなった。；最愛の妻を失って悲嘆に暮れる姿はロシア国民から広く同情を集めた。；誰もが皆、この偉大な制度が消滅することへの同情を示していた。；観客が主人公の男性に同情しなくなると思ったからだ。；紛争の両者に同情する何百人もの武装した地元住民が砦に行ったと言われている。；彼女は病気と偽って男の同情を誘い、金を巻き上げる常習犯だったのだ。；それは周辺の人々の同情を集め、やがて王の心に届くこととなる。；原作も映画も、以前よりも同情的な視線でスコットを描いていた。；すると同情した民衆たちが劉自然の妻の周りに集まり始めた。；鈴木は河野に同情的であったが、巨人の意向を絶対視していたものと思われる。；この事件でも母親に同情的な立場から減刑や無罪を嘆願する運動が起こった。；批評家のあいだでもバートラムに同情的な者と批判的な者に分かれる。；彼女は二作目では同じような姿で同情的な敵として現れる。；ほとんどのユダヤ人は、ユダヤ人に同情している人々の助けにより助けられた。；売春婦に同情したジョンは、エドに賄賂を渡して彼女を町から脱出させる。</t>
        </is>
      </c>
      <c r="J5938">
        <f>HYPERLINK("https://www.weblio.jp/content/同情", "词义详情")</f>
        <v/>
      </c>
      <c r="K5938">
        <f>HYPERLINK("https://yourei.jp/同情", "查看例句")</f>
        <v/>
      </c>
    </row>
    <row r="5939">
      <c r="A5939" t="inlineStr">
        <is>
          <t>投じる</t>
        </is>
      </c>
      <c r="B5939" t="inlineStr">
        <is>
          <t>成功</t>
        </is>
      </c>
      <c r="C5939" t="inlineStr">
        <is>
          <t>読み方：とうじる
［動ザ上一］「とう（投）ずる」（サ変）の上一段化。「土地の買収に大金を—・じる」</t>
        </is>
      </c>
      <c r="D5939" t="inlineStr">
        <is>
          <t>投じるべく；投じるよう呼びかけ；投じる決意を固め</t>
        </is>
      </c>
      <c r="E5939" t="inlineStr">
        <is>
          <t>発射；投入；投資；振る；投げる</t>
        </is>
      </c>
      <c r="H5939" t="n">
        <v>29</v>
      </c>
      <c r="I5939" t="inlineStr">
        <is>
          <t>そのためアメリカは巨費を投じてアジアやアフリカの専門家を育成した。；それよりこの村から日本農業に一石を投じるというのも面白いかな、と。；戦場での装備や軍服改良など土佐の近代的兵制導入へ一石を投じている。；さらに彼は、レースの世界に身を投じたことで、更に著名な人物となった。；依頼を受けた万次は、凜と共に逸刀流との戦いに身を投じることになる。；だから、自宅へ電話をするために十円を投じるのはきっと間違っている。；ただ一戦に敗れたからといって、海に身を投じる必要があろうか。；多額の私財を投じて東洲斎写楽の研究を行っていたことでも有名である。；そこですべて写真が優先するグラフ雑誌に身を投じる決心をしたのだった。；総事業費173億円が投じられた事業は1988年3月に完成を迎えた。；さらに私財を投じて川に橋をかけることで、河岸を拡張することもあった。；もしその通りであれば、これまた研究に一石を投じるものとなる。；議会ではの弾劾に反対票を投じるなどトーリー党の一員として行動した。；公開時、韓国で最も高額な製作費が投じられた作品といわれている。；外交代替役の経験は羅を伝染病予防分野に身を投じることを決心させた。；その最中で、8人の戦士はそれぞれの思いを胸に戦いに身を投じるのであった。；運良く水中に身を投じることができた連中は出口に向って泳いで行く。；いずれも設計当時最新の技術を投じて設計された高速台車であった。；生きていく術を無くした彼女は徐々に自分の身を男達に投じていくようになる。；EEC離脱に賛成票を投じるなど過去の言動からもそれは明らかである。；家康はこの接待のために莫大な私財を投じて街道を整備し宿館を造営した。；ガブリエルもまた永遠の死のために再び戦いに身を投じるのだった。；一度火を投じると、外から見ただけでは燃えさかる炎しか見えない。；両作とも巨費を投じた意欲作であったが、興行的には全くの失敗であった。；DVDの解説によれば、特撮に当時の金額で1億円を投じているという。；ギルバートはこれらの研究に5000ポンドもの私財を投じたとされる。；そもそも会議は、時間や人件費など、貴重なリソースを投じて行われる。；しかし、悲劇に光を投じるようなものはなにひとつ見出されなかった。；晩年は不遇で神田水道橋から身を投じ自殺未遂をしその数日後に死去した。</t>
        </is>
      </c>
      <c r="J5939">
        <f>HYPERLINK("https://www.weblio.jp/content/投じる", "词义详情")</f>
        <v/>
      </c>
      <c r="K5939">
        <f>HYPERLINK("https://yourei.jp/投じる", "查看例句")</f>
        <v/>
      </c>
    </row>
    <row r="5940">
      <c r="A5940" t="inlineStr">
        <is>
          <t>どうせ</t>
        </is>
      </c>
      <c r="B5940" t="inlineStr">
        <is>
          <t>成功</t>
        </is>
      </c>
      <c r="C5940" t="inlineStr">
        <is>
          <t>［副］《副詞「どう」＋動詞「す」の命令形「せよ」の音変化から》
１経過がどうであろうと、結果は明らかだと認める気持ちを表す語。いずれにせよ。結局は。「—勝つんだ、気楽にやろう」「—やるなら、はでにやろう」
２あきらめや、すてばちな気持ちを表す語。所詮(しょせん)。「—私は下っ端(ぱ)ですよ」</t>
        </is>
      </c>
      <c r="D5940" t="inlineStr">
        <is>
          <t>どうせなら(4%)；どうせ死ぬ；どうせすぐ；どうせこんな；どうせやる</t>
        </is>
      </c>
      <c r="E5940" t="inlineStr">
        <is>
          <t>とにかく；又；合わせて；ともかく；あわせて</t>
        </is>
      </c>
      <c r="F5940" t="inlineStr">
        <is>
          <t>どうせやるなら；どうせ買うなら；どうせ永く；どうせ知れる；どうせ負ける</t>
        </is>
      </c>
      <c r="H5940" t="n">
        <v>29</v>
      </c>
      <c r="I5940" t="inlineStr">
        <is>
          <t>どうせ戦争になる心配なしに幕は目出たし目出たしで下りるだろうから。；どうせ法律にはその欲するところすべてをすることはできないのだから。；どうせこわされるものなら、自分の卵より他人の卵のほうを望んでいた。；どうせ自分一人の世の中じゃなし、そう自分の思うように人はならないさ。；どうせ死ぬのならば、金をかけずに早く死んだ方がいいかも知れない。；どうせ二月の船で帰るのだから、あとの写真は送らずに僕がもって帰る。；どうせ金が足りなければ僕の小さな本の版権でも売つて払ひをするから。；私は弥陀の本願がないならば、どうせ地獄のほかに行く所は無い身です。；どうせ非難するでしょうし、どのみちお父さんも認めないでしょうから。；とにかくどうせ食器棚などの中に、忘れられて転がつてゐたものである。；どうせ結果は決まってるんだから、なら裁判で遊んじゃえ、っていうか。；どうせ死ぬのなら我が家でと、自分の家を目指して出て行く者もいた。；どうせ留年するのだから、取得した単位を持って他の学校に移ったら?；「どうせ人は一度は死ぬんだ」 こう思ったかれの頬には涙がこぼれた。；どうせこの島にいるくらいなら、もっと奥の方へ行ってみたいなあ。；義姉もどうせ金の無心にでも来たのだろうと仮病をつかって出てこない。；いよいよおとよさんがおれを思ってるに違いなけりゃ、どうせばよいか。；ソーニャ どうせお好きなものなら、ご自分だけでお飲みになるといいわ。；ふらふら出て来てみたところでどうせいいことはないに決まっているんだから。；なにわたしは用があるから、どうせちょっと行かなければならない。；目的が達しられなければ、どうせストライキと決まっているんじゃないか。；僕等はどうせ、人に決して喜ばれることの出来ない職業をしているのだから。；どうせ遠い道を逃げ果せる事の出来ないのが、胸に分かつてゐたのでせう。；どうせその日のご飯にありつくために、なんかかんかするんじやないの。；それはどうせ無駄かも知れないが、一度は、普通の女になるといふことだ。；仕事をしてもどうせ煙になるんだから、しない方がましだろう。；どうせこの世の中に、はじめから理想的なものがあるわけがない。；どうせなんにもすることはなく、退屈しきつてゐるところだと云つてみた。；金があったとて、どうせあんたは酒を飲んでしまうにきまってるわ。</t>
        </is>
      </c>
      <c r="J5940">
        <f>HYPERLINK("https://www.weblio.jp/content/どうせ", "词义详情")</f>
        <v/>
      </c>
      <c r="K5940">
        <f>HYPERLINK("https://yourei.jp/どうせ", "查看例句")</f>
        <v/>
      </c>
    </row>
    <row r="5941">
      <c r="A5941" t="inlineStr">
        <is>
          <t>統制</t>
        </is>
      </c>
      <c r="B5941" t="inlineStr">
        <is>
          <t>成功</t>
        </is>
      </c>
      <c r="C5941" t="inlineStr">
        <is>
          <t>読み方：とうせい
［名］(スル)
１多くの物事を一つにまとめておさめること。「—のとれたチーム」
２国家などが一定の計画や方針に従って指導・制限すること。「物資の—」「言論を—する」</t>
        </is>
      </c>
      <c r="D5941" t="inlineStr">
        <is>
          <t>統制下(6%)；統制力；統制事業；統制会；統制組合</t>
        </is>
      </c>
      <c r="E5941" t="inlineStr">
        <is>
          <t>含む；管理；規定；左右；操作</t>
        </is>
      </c>
      <c r="F5941" t="inlineStr">
        <is>
          <t>経済統制；河水統制；文化統制；配電統制；配給統制</t>
        </is>
      </c>
      <c r="G5941" t="inlineStr">
        <is>
          <t>統制経済；統制会社；統制権；統制型乗用車；統制語彙</t>
        </is>
      </c>
      <c r="H5941" t="n">
        <v>29</v>
      </c>
      <c r="I5941" t="inlineStr">
        <is>
          <t>しかしこの政府でも政権は安定せず、統制を失った経済は再び崩壊した。；しかし政府の統制下にある事には変わりなくメディアの規制も強化されている。；基本教練とは個人および部隊の基本動作を統制する一定の動作様式である。；改正毎に法律の統制範囲は拡大し、以後日本の敗戦まで威力を発揮した。；この統制のもとで、ロシア教会は精神的に荒廃したとしばしばいわれる。；また神女を聞得大君の元に組織化し、各地のノロをその統制下においた。；ただし、一部の官途名に特例を設けるなどして大名統制に利用している。；多くの県で同業組合が設立されたものの、戦時中は統制が敷かれていた。；それによって各個体はリーダーの意のままに行動が出来、完全に統制される。；行動委員会が十分な統制と平和的な運動を強調した後、教師達も行進を支援した。；第二次世界大戦後の日本では、戦後復興のための経済統制が必要とされた。；ロシアにおいて、政府が芸術を統制したのはソビエト政権が最初ではない。；軍はテレビ・ラジオを統制し、マスメディアから市民への情報を遮断した。；多くは第二次世界大戦下の「一県一紙」統制時に多数の新聞を統合して成立した。；そして現地調査で移動を統制するための地標を設置して現地で線引きする。；この時もエリザベスは海外へ赴いた司令官を統制することができなかった。；統制価格とは政策上の必要から国家によって統制される価格である。；上級理性能力のひとつである判断力の統制的使用の批判を主題とする。；昭和に入り宗教統制が行われる中、宗教団体法が1940年に施行された。；それと並行して、守護は領国内の武士の統制・支配も進めていった。；国家が統制する事業には様々な役人が関与していた。；外国との貿易は条約の締結と皇帝の勅書によって統制されていた。；如何に統制された戦争といえども、そこにはある種の空白地帯が現れるという。；江戸時代、米を原料とする酒造は幕府や領主の厳重な統制下に置かれていた。；鎌倉時代には幕府の保護と統制を受け、関東御祈祷所となり寺は栄えた。；日本全国で昭和初期から推進された河水統制事業と関係のある地を通過する。；田畑勝手作禁止令は、江戸時代に幕府が出した農民統制の為の法令の一つ。；堤はこの交通統制に懲りて西武鉄道の都心乗り入れを一切止めたという。；直後、ウイスキーは統制品となり、日果の工場は海軍監督工場となる。</t>
        </is>
      </c>
      <c r="J5941">
        <f>HYPERLINK("https://www.weblio.jp/content/統制", "词义详情")</f>
        <v/>
      </c>
      <c r="K5941">
        <f>HYPERLINK("https://yourei.jp/統制", "查看例句")</f>
        <v/>
      </c>
    </row>
    <row r="5942">
      <c r="A5942" t="inlineStr">
        <is>
          <t>同棲</t>
        </is>
      </c>
      <c r="B5942" t="inlineStr">
        <is>
          <t>成功</t>
        </is>
      </c>
      <c r="C5942" t="inlineStr">
        <is>
          <t>読み方：どうせい
［名］(スル)一緒に住むこと。特に、正式に結婚しないまま同じ家で一緒に暮らすこと。「入籍せずに—する」</t>
        </is>
      </c>
      <c r="D5942" t="inlineStr">
        <is>
          <t>同棲する(12%)；同棲中(4%)；同棲相手(3%)；同棲者；同棲してる</t>
        </is>
      </c>
      <c r="E5942" t="inlineStr">
        <is>
          <t>コアビタシオン</t>
        </is>
      </c>
      <c r="F5942" t="inlineStr">
        <is>
          <t>野合同棲；同棲するよう</t>
        </is>
      </c>
      <c r="G5942" t="inlineStr">
        <is>
          <t>同棲カップル；同棲時代</t>
        </is>
      </c>
      <c r="H5942" t="n">
        <v>29</v>
      </c>
      <c r="I5942" t="inlineStr">
        <is>
          <t>やがて肉体は女性でも自身を男性として愛してくれる女性と同棲に至る。；その家はもと質屋だった蔵のある家で、そこに一人の男と同棲していた。；同棲してから買った物のなかで所有権を主張できる物があるだろうか?；今はもう誰に憚るところもなく、一軒の家を借り同棲することとなった。；第三に、以前は人の女房と同棲することは人眼を避けてやったものだ。；殺害された当時はイプスウィッチで男性と同棲していると考えられていた。；貴族的な感情と民衆的な精神とが一つの身体に同棲してゐるのだ。；最初はホテルに呼んだのだが、意気投合した彼らは、そのまま同棲した。；そのうちに傷がなおって退院しますと、また同棲することになりまして。；「同棲したら子供が出来ると云ふ事を知らなかつたか」 と云んですもの。；「同棲してあげてもいいわよ」穏やかな目をしたアジア系の娘がいった。；川合は後に、結婚する1年程前から中野と同棲をしていたと語っている。；小説家になるために彼女が上京するまで、同棲して呉れると言うのかい?；彼とは同棲中で、別れたほうがいいのかどうか聞きたいというのです。；美由紀と別れてから、次の女と同棲してたときに生まれた息子がいる。；三上のマンションを訪ねた完治は三上とさとみが同棲を始めたことを知る。；そう言えば、この部屋で同棲していた絵美里にも同じような話がある。；その間に自分は最初に同棲した女と別れて二度目の女と家を持つことになつた。；歌詞は氷室京介がかつて同棲していた女性との失恋がテーマとなっている。；同棲のことは承知していましたが、聞いてみますと十五年にもなるのだそうです。；犯人の男と被害者の女は1916年1月頃から同棲を始めるようになった。；同棲相手の男性がいたが、何らかの結婚できない理由があったと見られている。；女が、つまり女と同棲することが、彼の生活の幸福であり目的であるのです。；彼女はそれほど驚かず「私も同棲している彼がいるのよ」と笑顔で答えた。；五年以来彼は今二十五になる恋人と幸福な同棲生活を続けて来た。；君がすでに疑惑を抱いている通り、確かに僕は今ある女性と同棲しています。；次に木戸六段の件ですが、茶店の娘は現在若い男と同棲しているそうです。；マギーと親密になったバッグスは彼女のアパートで同棲するようになる。；ラジオとテレビを除けば、彼と外界とのつながりは同棲の女だけである。</t>
        </is>
      </c>
      <c r="J5942">
        <f>HYPERLINK("https://www.weblio.jp/content/同棲", "词义详情")</f>
        <v/>
      </c>
      <c r="K5942">
        <f>HYPERLINK("https://yourei.jp/同棲", "查看例句")</f>
        <v/>
      </c>
    </row>
    <row r="5943">
      <c r="A5943" t="inlineStr">
        <is>
          <t>当選</t>
        </is>
      </c>
      <c r="B5943" t="inlineStr">
        <is>
          <t>成功</t>
        </is>
      </c>
      <c r="C5943" t="inlineStr">
        <is>
          <t>読み方：とうせん
［名］(スル)
１選にあたること。選び出されること。「二等に—する」
２選挙によって選び出されること。「市会議員に—する」⇔落選。</t>
        </is>
      </c>
      <c r="D5943" t="inlineStr">
        <is>
          <t>当選する(8%)；当選者；当選回数；当選無効；当選直後</t>
        </is>
      </c>
      <c r="E5943" t="inlineStr">
        <is>
          <t>白羽の矢；大当たり；貧乏くじを引く</t>
        </is>
      </c>
      <c r="F5943" t="inlineStr">
        <is>
          <t>連続当選；立候補し当選；出馬し当選；トップ当選；破って当選</t>
        </is>
      </c>
      <c r="G5943" t="inlineStr">
        <is>
          <t>当選後；当選確実；当選番号；当選確定；当選商法</t>
        </is>
      </c>
      <c r="H5943" t="n">
        <v>29</v>
      </c>
      <c r="I5943" t="inlineStr">
        <is>
          <t>当選した場合、タレント活動を継続するかどうかはその者の判断による。；原は同選挙での最高齢当選者となり、この選挙が最後の立候補となった。；その選挙では当初ウィリアム・S・テイラーが当選したと見られていた。；議員当選以前から選択的夫婦別姓制度導入のための活動を行っている。；政治は男性中心で、女性議員はこれまで数えるほどしか当選していない。；この選挙で、自身も「黒・白・赤」から出馬して国会議員に初当選した。；初代村長は同一自治体としては全国最多の12期連続当選の記録を持つ。；彼は1847年に初当選したが、結局この時まで議会に登院できなかった。；第2回以降は欠員補充のため下位当選の何人かが半期議員となっている。；選定基準が同一の場合には抽選が行われ、抽選で当選した馬が出走できる。；他に青森を中心に地方議員に推薦を出しており、推薦候補の複数が当選した。；種繁の息子で子爵位を継承した種英は貴族院の子爵議員に当選して務めた。；応募者の年齢・性別・居住地域などにより当選内容が異なるものもある。；同年の自由民主党総裁選挙では自身の当選同期である安倍晋三を支持した。；くじなどを利用して、立候補者毎に等しい確率で当選者を選出する方式。；この選挙では三木がトップ当選を果たし、福家は最下位で落選している。；のちに民主党・北海道選出初の首相となる鳩山由紀夫が初当選した選挙でもある。；この選挙で彼は現職のジョン・スウェインソンを破り、当選を果たした。；オバマは11月5日に行われた本選挙では大統領当選を果たした。；通常時にいきなりBIGに当選した場合は状態突入が確定となる。；地方選挙においてもタレント政治家が当選を果たすことも少なくない。；この論文は翌年に懸賞当選論文として採用されたが、反対意見も多かった。；そこでこの選挙には急遽、妻の広川シズエが夫に代わって出馬して当選した。；そしてこの翼賛選挙非推薦での当選は戦後、三木の勲章となっていく。；複雑な選挙システムによって当選結果が出るまでに時間がかかったと言われている。；再統合推進派のフリストフィアスの当選で、再統合交渉が推進されると期待されている。；この選挙では中道左派のフランコ・チェックッツィが当選している。；若い頃から保守党青年活動に参加しており、21歳の時には選挙で当選を果たした。；同年の上院議員選挙で当選を果たし、以後4回連続当選を果たした。</t>
        </is>
      </c>
      <c r="J5943">
        <f>HYPERLINK("https://www.weblio.jp/content/当選", "词义详情")</f>
        <v/>
      </c>
      <c r="K5943">
        <f>HYPERLINK("https://yourei.jp/当選", "查看例句")</f>
        <v/>
      </c>
    </row>
    <row r="5944">
      <c r="A5944" t="inlineStr">
        <is>
          <t>当然</t>
        </is>
      </c>
      <c r="B5944" t="inlineStr">
        <is>
          <t>成功</t>
        </is>
      </c>
      <c r="C5944" t="inlineStr">
        <is>
          <t>読み方：とうぜん
［名・形動］そうなるのがあたりまえであること、道理にかなっていること。また、そのさま。「—の帰結」「罪人が報いを受けるのは—だ」「至極—」
［副］それがあたりまえであるさま。「—自分で行くべきだ」
[補説] 「当前」と当てて書くこともある。これを訓読して「あたりまえ」という語が生じたという。→当たり前</t>
        </is>
      </c>
      <c r="D5944" t="inlineStr">
        <is>
          <t>当然だろ；当然でしょ；当然すぎる；当然予想される；当然起る</t>
        </is>
      </c>
      <c r="E5944" t="inlineStr">
        <is>
          <t>明らか；勿論；もち；無論；明白</t>
        </is>
      </c>
      <c r="F5944" t="inlineStr">
        <is>
          <t>当然かもしれ；いえば当然；至極当然；ごく当然；みれば当然</t>
        </is>
      </c>
      <c r="G5944" t="inlineStr">
        <is>
          <t>当然の法理</t>
        </is>
      </c>
      <c r="H5944" t="n">
        <v>29</v>
      </c>
      <c r="I5944" t="inlineStr">
        <is>
          <t>軍としては衛生管理のために何らかの形で関わるのは当然と思っている。；当然のことながらスピーカーの左右バランスを調整しても解決はしない。；当然ながら、どの組み合わせを選んだかは最終的な仕上がりに影響する。；さらにこの財政状況で吉良家を援助しているので、当然非難の的となる。；こうなると当然最終戦も稲尾との雰囲気になり稲尾自身もその気になる。；当然ながら標的の生命反応の有無を確認するセンサーも搭載されている。；当然のことながら当団体とWWEの資本・人材関係は現在のところない。；戻ってきた伯爵夫妻が戸を開けると出てきたのは当然スザンナである。；この名称は、当然の事ながら運動の発起者であるアーノルドに由来する。；当然のことながら彼らに統治能力はなく、摂政が置かれることになった。；当然、その途中の段階では自然分類ではない分類法が取られることになる。；当時の報道を見ると、捕虜処刑を当然視する考えや論調は見られない。；A型肝炎ではTTTが上昇するがIgMは上昇するのだから当然である。；当然の事ながら、リサイクル素材の再利用にはエネルギーが必要である。；日本語ベースのため、当然変数名には日本語を使用することができる。；この場合は当然ながら、通常砲弾に比べて威力の面では妥協する事になる。；亡父卿が歌を作られた様子こそ誠に秀逸な歌も生まれて当然だと思われる。；ボーマルシェがこの措置に不満を抱くのも、当然といえば当然であろう。；種の判断がしっかりしていることは分類学の基礎であるから、当然ではある。；これは開発のコストや期間を削減するには当然と考えられた方策であった。；当然のことであるが、これらの個人は、大統領に支援者になる傾向がある。；それらはすべて成功したとはいえ、上官たちからは当然不興を買っていた。；これに東国の有力御家人の北条氏らが強い反発を示したのは当然であろう。；ただし、それらは当然ながら個人、あるいは家族に属するものである。；なお、道徳的であることの当然の前提として理性保持義務も考えられる。；次のいずれかに該当する者は、当然に精神保健福祉士となる資格を有しない。；当然多くの行政施設の管轄や公立中学校の学区も日本橋に属している。。；当然ながら、電力やインターネット・携帯電話等の使用可能地域である。；美容を業にするのであれば、美容師免許は持っていて当然というもの。</t>
        </is>
      </c>
      <c r="J5944">
        <f>HYPERLINK("https://www.weblio.jp/content/当然", "词义详情")</f>
        <v/>
      </c>
      <c r="K5944">
        <f>HYPERLINK("https://yourei.jp/当然", "查看例句")</f>
        <v/>
      </c>
    </row>
    <row r="5945">
      <c r="A5945" t="inlineStr">
        <is>
          <t>どうぞ</t>
        </is>
      </c>
      <c r="B5945" t="inlineStr">
        <is>
          <t>成功</t>
        </is>
      </c>
      <c r="C5945" t="inlineStr">
        <is>
          <t>［副］《副詞「どう」＋助詞「ぞ」から》
１丁重に頼んだり、心から願ったりする気持ちを表す。どうか。なにとぞ。「—お許しください」「—大学に入れますように」
２相手に物事を勧めたり、承知・許可を与えたりする気持ちを表す。「—お召し上がりください」「はい、—」
３ある状態や行為を実現させたいという気持ちを表す。なんとか。どうにか。「—して産みの母にめぐりあいたい」
「—身を粉(こ)にしても父上の御為にと」〈蘆花・不如帰〉
→どうか［用法］</t>
        </is>
      </c>
      <c r="D5945" t="inlineStr">
        <is>
          <t>どうぞ御；どうぞよろしく；どうぞごゆっくり；どうぞお入り；どうぞご自由</t>
        </is>
      </c>
      <c r="E5945" t="inlineStr">
        <is>
          <t>どうしても；何でも；なんでも；どうでも；是非</t>
        </is>
      </c>
      <c r="F5945" t="inlineStr">
        <is>
          <t>こちらへどうぞ；いつでもどうぞ；どうぞこれから；どうぞおはいりに；どうぞ御心配</t>
        </is>
      </c>
      <c r="G5945" t="inlineStr">
        <is>
          <t>どうぞこのまま；どうぞー；どうぞ〜；どうぞご利用ください</t>
        </is>
      </c>
      <c r="H5945" t="n">
        <v>29</v>
      </c>
      <c r="I5945" t="inlineStr">
        <is>
          <t>どうぞお好きなところへ、奥の席もございます、などと言うこともある。；おまえもどうぞ、魂だけはいつまでも、あたしの傍にいておくんなさい。；一生のおねがいでございますから、どうぞその魚を一度みせてください。；テレビなどで自身を紹介された時は必ず「よろしくどうぞ」と挨拶する。；一応頭をさげて 「さあどうぞあれへ」と向うの云う通りを繰り返した。；じつはお願いの筋がありますんですが、どうぞお聞きになってください!；そこでどうぞここ二三日の内お糸をお借り申す訳には行きますまいか。；どうぞ私が悪魔に乗ぜられることのないように神様にお祈りして下さい。；お父さまはどうぞお身体を大切にして、達者にお暮らしくださいませ。；彼は例のごとく両手を膝の上に正しく置いたまま、どうぞと低い声で云った。；おそれながらお顔蔽いをとって一度だけどうぞお顔をお見せくださいませ。；推理にはっきりしないところがありましたら、どうぞ口を出してください。；どうぞ私に世の中の生活を話して下さい、何か珍らしいことでも無いですか。；自分たちの音楽に政治を持ち込みたい奴がいるなら、どうぞご勝手に。；どうぞわたくしがお胸の中に 所を得ますようにお極下さいまし。；私の小説は、どうぞ、こんな目に会いませんようにと思ったものだ。；あの方の体がどんなになっていても、どうぞそれを言って聞かせないで下さいまし。；囲い者の相談だけはどうぞ断わってくれと、彼女は母にすがって頼んだ。；きっとこの人も出てゆきますから、どうぞもう引き取って下さいまし。；そのようにしていいかと訊かれて、僕は軽率にもどうぞと答えたに違いない。；私はあなたを打ったことを思うと、どうぞ私を打ってくださいといいたい気がします。；どうぞ我慢なすって、一生にせめて一度でも善いことをして下さいまし。；どうぞ深い真実な生活のできるようになりたいと思います。；どうぞ おすきなだけ そこに おすわりになって かまわないのです。；その栄光の日をどうぞ一日も長くこの世でお続けになりますように。；どうぞあなたは今どうして日を暮してお出だか、それをわたくしに教へて下さい。；その金がないと僕は詐欺になるんです、どうぞもう一度だけ助けて下さい。；プロジェクトに参加していない方もどうぞ御投票ください!；「すこし話していいですか」 レスブリッジがどうぞと言って、訊いた。</t>
        </is>
      </c>
      <c r="J5945">
        <f>HYPERLINK("https://www.weblio.jp/content/どうぞ", "词义详情")</f>
        <v/>
      </c>
      <c r="K5945">
        <f>HYPERLINK("https://yourei.jp/どうぞ", "查看例句")</f>
        <v/>
      </c>
    </row>
    <row r="5946">
      <c r="A5946" t="inlineStr">
        <is>
          <t>逃走</t>
        </is>
      </c>
      <c r="B5946" t="inlineStr">
        <is>
          <t>成功</t>
        </is>
      </c>
      <c r="C5946" t="inlineStr">
        <is>
          <t>読み方：とうそう
［名］(スル)にげること。にげ去ること。遁走(とんそう)。「その場から—する」</t>
        </is>
      </c>
      <c r="D5946" t="inlineStr">
        <is>
          <t>逃走する(15%)；逃走しよ；逃走経路；逃走者；逃走劇</t>
        </is>
      </c>
      <c r="E5946" t="inlineStr">
        <is>
          <t>逃げ；脱出；逃げる；逃亡；抜ける</t>
        </is>
      </c>
      <c r="F5946" t="inlineStr">
        <is>
          <t>捨てて逃走；棄てて逃走；乗って逃走；逃走手段；盗んで逃走</t>
        </is>
      </c>
      <c r="G5946" t="inlineStr">
        <is>
          <t>逃走車；逃走星；逃走罪；逃走の罪；逃走迷路</t>
        </is>
      </c>
      <c r="H5946" t="n">
        <v>29</v>
      </c>
      <c r="I5946" t="inlineStr">
        <is>
          <t>遅れて別ルートで逃走していたランボーたち三人でも、サラが足を負傷。；逃走する場合と比べ罪が重くなってしまうという不合理な点が発生する。；白純は珍品や宝物を持って逃走し、王侯で降伏した者は三十国を越えた。；結局、ペルシア軍はこの戦いでも敗れてダレイオス3世は再び逃走した。；ユルチュクに限っては確保されるまでは逃走経路は全くわかっていない。；予想通り姜維は為翅に出現したが、郭淮の軍が来たことを見て逃走した。；次に建造された2号機の初仕事は、逃走したキングコングの追跡となる。；銀剣持ちの多くは、戸有で内乱が起こった時に逃走し行方不明である。；ヴィンセントは警告を無視して逃走しようとしたので、砲撃を開始する。；収容所の脱走に成功した捕虜達は、様々な手段で逃走を続けていった。；相談では敵と自分の強さの差と逃走できる確率をアドバイスしてもらえる。；その為、長広山に逃走して身を隠し、以降は盗賊として活動を継続した。；李憲は城を脱出して逃走したが、途中で部下の帛意に裏切られて殺された。；これに慌てたグレンデルは逃走し、自分の母にこのことを報告した。；Iが周囲を眺め回していたことから逃走を考えていると森は断定的に追及。；しかし同年に追放され、1090年に逃走中のところを殺害された。；また死刑判決を受けた死刑囚が生命の危険を感じて逃走するケースもある。；また、刑務所以外の刑事施設からの逃走が含まれていないことに注意する。；身の危険を感じたマーティンは、その場から逃走し管理室を目指す。；本罪の行為は「逃走」であり、看守者の実力的支配を脱した状態をいう。；戦闘に勝利するか逃走に成功することで戦闘は終了する。；客室乗務員が機外へ緊急脱出スライドを開いて逃走する事件が発生した。；苻広・苻崇は廃橋での敗戦を聞き、みな城を放棄して逃走してしまった。；大村は三方に兵を配備し、根岸方面に敵の退路を残して逃走予定路とした。；テリーと一緒に脱出したが、またしても誘拐されそうになりテリーと逃走。；Oに逃走され自殺を許した警察の失敗は、社会の批判を浴びた。；配置されている敵と遭遇した場合、逃走コマンドは確実に失敗する。；子の毌丘甸は在京していたため、逃走を図ったが捕らえられ誅殺された。；アキラは研究所外に逃走し、発見されたのは翌日近くの瑞泉寺別院であった。</t>
        </is>
      </c>
      <c r="J5946">
        <f>HYPERLINK("https://www.weblio.jp/content/逃走", "词义详情")</f>
        <v/>
      </c>
      <c r="K5946">
        <f>HYPERLINK("https://yourei.jp/逃走", "查看例句")</f>
        <v/>
      </c>
    </row>
    <row r="5947">
      <c r="A5947" t="inlineStr">
        <is>
          <t>統率</t>
        </is>
      </c>
      <c r="B5947" t="inlineStr">
        <is>
          <t>成功</t>
        </is>
      </c>
      <c r="C5947" t="inlineStr">
        <is>
          <t>読み方：とうそつ
［名］(スル)多くの人々をまとめてひきいること。「部員を—する」「—力」</t>
        </is>
      </c>
      <c r="D5947" t="inlineStr">
        <is>
          <t>統率する(24%)；統率力(2%)；統率者；統率下；統率される</t>
        </is>
      </c>
      <c r="E5947" t="inlineStr">
        <is>
          <t>指揮；指導；率いる；主導；リード</t>
        </is>
      </c>
      <c r="F5947" t="inlineStr">
        <is>
          <t>強力な統率；一糸乱れぬ統率；部下統率；統率せら；統率し給ふ所</t>
        </is>
      </c>
      <c r="G5947" t="inlineStr">
        <is>
          <t>統率者；統率者戦</t>
        </is>
      </c>
      <c r="H5947" t="n">
        <v>29</v>
      </c>
      <c r="I5947" t="inlineStr">
        <is>
          <t>それにもかかわらず、彼らの指導者たちはこの軍隊をよく統率している。；多くの場合、兵からの昇進者であり、士官との間に入って兵を統率する。；自分の代わりに神に言わせて部下を統率しようとしているんでしょ。；また軍隊は各藩から派遣された藩兵で構成されており、統率性を欠いた。；この時期の初め、ポーランド民族は一連の強力な統治者に統率された。；そこは、生徒らを規律する指導者を任命した藩主の統率の下にありました。；信長公を措いて誰か時代の混乱をここまで統率して来ることができましょう。；もう少し馬鹿になって人に隙を見せないと部下の統率はできない。；戦士たちは個人の集団であって、誰かの統率下で動くものではない。；彼らを指揮統率する上級騎士達も、こうなると頭を抱えざるを得ない。；プロジェクト全体のリーダーとして、若いメンバーたちを統率し続けた。；その引き方は、風が木々を通り抜けるように、統率された流れがあった。；郡長官の一人によると、兵力は足りているのに統率する人が居ないと言う。；代表の議長には、文民部門を含めて、機構を統率することが求められた。；彼が統率する護衛車列がドイツ空軍に襲われ、彼の側近の妻が殺された。；帝国軍は統率を失ったが、夜に紛れてブリュッセルを通過して撤退した。；巫女の中で最も年取った者が巫女王となって、巫女たちを統率していた。；これは非常に厳しい訓練と規律、そして完全に専門的な統率力を必要とする。；マクスウェル将軍はワシントンの多くの部下からその統率力を批判された。；勝敗は敵の戦闘ユニットを統率する第一部隊を壊滅させた側の勝利となる。；心配性の父が山行を許してくれたのも、このおいさんの統率だつたからである。；救助隊と顧問医は鉱夫たちが非常に統率のとれた集団だったとしている。；惣領はその他の男子や女子を統率して幕府や荘園領主に奉仕していた。；ハインラト王国が地域全体を統率しているが、規模はそれほど大きくない。；また武将ごとに設定された出身国では合戦の間だけ統率が高くなる。；仕置役の下に各部署が設置されて職務を分担し、奉行がこれを統率した。；守備を統率する能力はフランツ・ベッケンバウアーと比較されることもある。；これは、ナポレオンの統率とフランスの地位を理想化することを意図していた。；昭和22年の時点で日本国民食糧株式会社など20数社を統率していた。</t>
        </is>
      </c>
      <c r="J5947">
        <f>HYPERLINK("https://www.weblio.jp/content/統率", "词义详情")</f>
        <v/>
      </c>
      <c r="K5947">
        <f>HYPERLINK("https://yourei.jp/統率", "查看例句")</f>
        <v/>
      </c>
    </row>
    <row r="5948">
      <c r="A5948" t="inlineStr">
        <is>
          <t>灯台</t>
        </is>
      </c>
      <c r="B5948" t="inlineStr">
        <is>
          <t>成功</t>
        </is>
      </c>
      <c r="C5948" t="inlineStr">
        <is>
          <t>読み方：とうだい
１昔の室内照明器具。上に油皿をのせ、灯心を立て火をともす木製の台。切り灯台・結び灯台など。
２航路標識の一。港口・岬・島など航路の要衝に築き、主として灯光を用いて、航行中の船舶にその所在などを明示する塔状の施設。灯明台。</t>
        </is>
      </c>
      <c r="D5948" t="inlineStr">
        <is>
          <t>灯台建設；灯台戦争；灯台付近；灯台局；灯台周辺</t>
        </is>
      </c>
      <c r="E5948" t="inlineStr">
        <is>
          <t>燈台</t>
        </is>
      </c>
      <c r="F5948" t="inlineStr">
        <is>
          <t>白い灯台；無人灯台；岬灯台；樫野埼灯台；大灯台</t>
        </is>
      </c>
      <c r="G5948" t="inlineStr">
        <is>
          <t>灯台船；灯台もと暗し；灯台下暗し；灯台見回り船；灯台社</t>
        </is>
      </c>
      <c r="H5948" t="n">
        <v>29</v>
      </c>
      <c r="I5948" t="inlineStr">
        <is>
          <t>この灯台はアメリカ国内で現在を使われている灯台で最も古いものである。；過去には灯台博物館も設置されていたが、昭和40年代に廃館となった。；戦時中、灯台は再建されることはなく、戦後になっても放棄され続けた。；ここには砂漠を進む商隊の灯台として使われたと推定されているが残る。；その裏手には大燈籠の跡があり、灯台の役目をしていたと言われている。；地元では、設置されている町の名前から「狼煙の灯台」と呼ばれている。；灯台は1903年に建てられ、40秒毎に光って海の安全を守っている。；この町は1878年に灯台と鉄道が建設されたときにこの名前が付けられた。；日本国内の灯台で世界灯台100選に選ばれたのは、以下の5つである。；近代的な灯台である長太夫礁灯標が設置されたのは明治27年の事になる。；外側に螺旋階段が設置されており、このような灯台は日本唯一である。；日本が立てた灯台はアメリカ合衆国国家歴史登録財に登録されている。；邪魔されて頭にきたペリカンは灯台までやって来て灯りの火を消してしまう。；このとき米軍は灯台の背後の山にある、無線電信所を目標としていた。；光は周囲を照らし、灯台のように道しるべとなって進むべき道を照らす。；日本の西洋式灯台では5番目で、最も古い時代に設置された灯台の1つ。；牛の倒れている写真の隅には、ネブラスカ州にあるはずのない灯台が見える。；灯台は最高水位線から49メートル上にあり、戦略上重要な位置にある。；その近くの沖合には歴史あるニューポイント・コンフォート灯台がある。；ローマ時代のものとしては現存する唯一の灯台で、現在も利用されている。；回転式の第1等フレネル式レンズが日本で初めて使用された灯台でもある。；カリフォルニア灯台は、アルバ島の北西の先端の近隣にある灯台である。；また、この灯台を目指し東京湾に入る大型船の列が遠望できることもある。；この灯台はメノルカ島の周囲に設置された7本の灯台のひとつである。；海図に記される灯台や島の高さは、その地の平均水面からの高さで表示する。；それと同時期、別行動を取っていた矢頼たちは、不思議な灯台を発見する。；この時、灯台をフランス軍艦が通り過ぎる姿をタイ兵が確認している。；現役の航路標識として使われている灯台としては日本最古のものである。；灯台は海上保安庁が管理しているが、こちらは尾道市が管理している。</t>
        </is>
      </c>
      <c r="J5948">
        <f>HYPERLINK("https://www.weblio.jp/content/灯台", "词义详情")</f>
        <v/>
      </c>
      <c r="K5948">
        <f>HYPERLINK("https://yourei.jp/灯台", "查看例句")</f>
        <v/>
      </c>
    </row>
    <row r="5949">
      <c r="A5949" t="inlineStr">
        <is>
          <t>到達</t>
        </is>
      </c>
      <c r="B5949" t="inlineStr">
        <is>
          <t>成功</t>
        </is>
      </c>
      <c r="C5949" t="inlineStr">
        <is>
          <t>読み方：とうたつ
［名］(スル)ある状態・目的に行きつくこと。「山頂に—する」「同じ結論に—する」</t>
        </is>
      </c>
      <c r="D5949" t="inlineStr">
        <is>
          <t>到達する(26%)；到達できる(3%)；到達点(3%)；到達可能；到達しよ</t>
        </is>
      </c>
      <c r="E5949" t="inlineStr">
        <is>
          <t>くる；行く；来る；着；至る</t>
        </is>
      </c>
      <c r="F5949" t="inlineStr">
        <is>
          <t>最高到達；規定投球回到達；到達しうる；到達範囲；到達目標</t>
        </is>
      </c>
      <c r="G5949" t="inlineStr">
        <is>
          <t>到達不能コード；到達不能基数；到達不能極基地；到達度評価；到達度テスト</t>
        </is>
      </c>
      <c r="H5949" t="n">
        <v>29</v>
      </c>
      <c r="I5949" t="inlineStr">
        <is>
          <t>この論文では、どうやってそれらの値に到達したのかは説明されていない。；おそらく、一番早く人口が20万人に到達した都市であったと思われる。；音の移動はオクターブではなく、7音目までしか到達しないことが多い。；名前リストの最後に到達した場合に、次のリストの最初に戻って命名される。；回転運動をする砂は発生地周辺のみに到達し、移動する砂丘を構成する。；入り口が幾つかあっても、最終的に到達する場所は同じ一つの場所なのだ。；その後、S波が到達した後は主要動と呼ばれる比較的大きい揺れとなる。；本人によれば、そこまで到達できたのは祖父の残した型があったからだという。；発射から軌道到達に至るまでの過程では、深刻なトラブルが発生した。；従って、種子が好適な場所に到達する何らかの手段がなければならない。；根まで到達して根が分割された場合は、木の高さが1段増加することになる。；現生の有袋類は北アメリカに到達したグループが起源であるとされる。；この構想は、まだ正式な概念研究を行う段階には到達していない。；先発が好投していても100球に到達する前に交代させる事もあった。；惑星Eから追放された悪の天才科学者・宇宙猿人ゴリは地球に到達した。；この仕様では軌道へ到達するために上段ロケットが必要とされた。；そこに到達するためには、強力なロケットを使用する以外に手段はなかった。；大気圏外に到達する時にはエンジンは停止して慣性で放物線状に飛行した。；これは陽明学の「良知」を発展させた先に李卓吾が到達したものである。；そのために設計速度域へ到達させるための推進系が別途必要となる。；成っていない状態では何手かけても盤面の一部のマス目にしか到達できない。；これを、違う目的に到達できる別々の道がある、と考えるのは誤りなのだ。；一方で、平行ダイヤの導入前よりも到達時間の増加を招くことがある。；だが、ヘーゲルは哲学者としてまだスタート地点に到達していなかった。；ロケットによる打ち上げは現代でも宇宙に到達する最も主要な手段である。；しかしシーズンではこの年も100安打に到達することなくシーズンを終えた。；これにより砂塵は発生地の東側の地域への到達が多い傾向にある。；しかし、最終的に整合のとれたモデルとデータの組に到達できる人は少数である。；地上に到達したエネルギーは直接的、間接的に人間の生活に利用されている。</t>
        </is>
      </c>
      <c r="J5949">
        <f>HYPERLINK("https://www.weblio.jp/content/到達", "词义详情")</f>
        <v/>
      </c>
      <c r="K5949">
        <f>HYPERLINK("https://yourei.jp/到達", "查看例句")</f>
        <v/>
      </c>
    </row>
    <row r="5950">
      <c r="A5950" t="inlineStr">
        <is>
          <t>統治</t>
        </is>
      </c>
      <c r="B5950" t="inlineStr">
        <is>
          <t>成功</t>
        </is>
      </c>
      <c r="C5950" t="inlineStr">
        <is>
          <t>読み方：とうじ
［名］(スル)⇒とうち（統治）</t>
        </is>
      </c>
      <c r="D5950" t="inlineStr">
        <is>
          <t>統治下(13%)；統治する(11%)；統治時代(4%)；統治者；統治体制</t>
        </is>
      </c>
      <c r="E5950" t="inlineStr">
        <is>
          <t>総督；制覇；司る；治める；所轄</t>
        </is>
      </c>
      <c r="F5950" t="inlineStr">
        <is>
          <t>イギリス統治；植民地統治；スペイン統治；共同統治；分割統治</t>
        </is>
      </c>
      <c r="G5950" t="inlineStr">
        <is>
          <t>統治権；統治機構；統治機関；統治能力；統治形態</t>
        </is>
      </c>
      <c r="H5950" t="n">
        <v>29</v>
      </c>
      <c r="I5950" t="inlineStr">
        <is>
          <t>英雄が独裁的統治者となったこの出来事は多方面に様々な衝撃を与えた。；この法律はヴィシー政権の統治下にあるフランスの植民地にも適用された。；かれの統治およびかれの子孫の統治のもとで、人間が主要な種族になった。；伯はフランク王国の地方統治において重要な役割を果たした存在である。；これらの領土は次のような地方行政区画に区分され統治されている。；その中で中国国民党批判と共に日本の統治政策の再評価を訴えている。；スペインの統治下にあったキューバ、プエルトリコなどに多くみられる。；当時、広大なローマ帝国の統治と防衛を単独で行うのは困難だと考えられた。；旧明領の漢人以外の民族には有力者に土司の地位を与え統治させた。；江戸時代は山間部の一部を津和野藩が、他地域を浜田藩が統治していた。；周王が天下を統治する権限は天からの命令を背景にしているとされたのである。；日本統治下の私鉄路線は、韓国ではアメリカ占領時期に国有化された。；植民地を獲得したあとは、その植民地を統治・経営することになる。；ナジャフに入り、アメリカ主導の暫定統治政権に協力的な姿勢を見せた。；この反乱を受けて、ドイツは統治政策の見直しを行うこととなった。；しかし、およそ25年間、統治の舵をとる指導者となることはなかった。；また、以下のとおりアフリカのナミビア他海外植民地を統治していた。；米国は、第二次世界大戦の結果としてイランの統治への干渉を開始した。；日本の国家統治と太陽の結びつきはますます強くなった。；これはステュアート家の後継者たちが理解するのに失敗した統治様式である。；極端な場合、実際には統治していない場所を政治的理由から首都と主張することもある。；日本統治の終了直後の混乱期に結成された朝鮮民主党を母体とする。；が、ウェールズ公国は、同じ世紀の末にイングランドの統治下に入った。；各地域は地域統治委員会などと呼ばれる管理主体を持っている。；ポーランドはハーリチ地方とポジーリャ地方からなる西部を統治した。；母の斉明天皇が亡くなってから、中大兄皇子は即位せずに称制で統治した。；その名の通り、銀河系をあまねく支配・統治している帝国を指すことが多い。；固有の意味の憲法とは、国の統治の基本に関する国家の基礎法をいう。；最初に公式に使われたのはテオドシウス2世統治下であったことが実証されている。</t>
        </is>
      </c>
      <c r="J5950">
        <f>HYPERLINK("https://www.weblio.jp/content/統治", "词义详情")</f>
        <v/>
      </c>
      <c r="K5950">
        <f>HYPERLINK("https://yourei.jp/統治", "查看例句")</f>
        <v/>
      </c>
    </row>
    <row r="5951">
      <c r="A5951" t="inlineStr">
        <is>
          <t>到着</t>
        </is>
      </c>
      <c r="B5951" t="inlineStr">
        <is>
          <t>成功</t>
        </is>
      </c>
      <c r="C5951" t="inlineStr">
        <is>
          <t>読み方：とうちゃく
［名］(スル)目的地などに行きつくこと。到達。「取材先に—する」「—時刻」</t>
        </is>
      </c>
      <c r="D5951" t="inlineStr">
        <is>
          <t>到着する(19%)；到着後(3%)；到着時刻；到着ロビー；到着便</t>
        </is>
      </c>
      <c r="E5951" t="inlineStr">
        <is>
          <t>くる；行く；来る；着；至る</t>
        </is>
      </c>
      <c r="F5951" t="inlineStr">
        <is>
          <t>早く到着；ここに到着；無事到着；ご到着；列車到着</t>
        </is>
      </c>
      <c r="G5951" t="inlineStr">
        <is>
          <t>到着率；到着メロディー；到着過程</t>
        </is>
      </c>
      <c r="H5951" t="n">
        <v>29</v>
      </c>
      <c r="I5951" t="inlineStr">
        <is>
          <t>ちなみにこのパターンでは、まもなく列車が到着することを表している。；現地の政治情勢に到着したばかりのマゼランが首を突っ込んでしまった。；どんな場所だろうと、私が到着するまで決して始めさせることはなかったのだ。；パリに到着したが、このときはまだこの地に居を構えるか迷っていた。；他にも、駅到着時の接続列車の案内などは従来通り肉声放送で行われている。；現在はこの列車は廃止されており、0時40分前の到着となっている。；投入される路線に到着した新しい車両は、入念な検査と試運転が行われる。；カッシーニが到着する前は、これが炭化水素の海であると考えられていた。；当駅の集札は列車到着直後のみ改札口に係員が立つ仕組みとなっている。；この軍団が洛陽に到着した際、付き従っていた父・司馬談が病に倒れた。；到着時間は最後のチームを基準とし、1分早いごとに1Pが加算される。；更にその残りの半分にも同様、と到着すべき地点が限りなく前に続く故に到着しない。；列車が接近すると、到着・通過を知らせる接近表示が点滅するものもある。；乗車時に運転手に依頼すれば、特定の目的地に到着した際に教えてはくれる。；目的点の半分の点まで到着するには、その前の半分の半分に着いていなければならない。；最も西側の線路が到着線で、その東隣が出発線となっている。；再び地上に下り左手より国道3号が並走し始めると、八幡駅に到着する。；大幅なダイヤ乱れ時には次の列車が到着するまでの時間が表示されることもある。；また、通過運転を行う区間では、到着放送の結びに到着駅名の再案内を行う。；京方の使者である押松はその少し後に到着し、警戒していた幕府方に捕らえられた。；ただし、自動放送が未更新の車両は到着時の放送を車掌が肉声で行っている。；カイロに到着するとまた別の汽車に乗ってアレキサンドリアに向かった。；こうしてザビエルはインドを離れ、1549年に念願の日本に到着した。；やがて線路は東葉高速鉄道線との乗換駅である北習志野駅へと到着する。；結局この議論は第三軍司令部が現地に到着する7月ごろまで持ち越される。；志津駅を出た後は小さいS字カーブを描いてユーカリが丘駅に到着する。；最初の町に到着するも早くも事件が起きてしまう。；ボーマルシェは、ロンドンに到着すると早速モランドとの交渉に入った。；そのほかにも秋田駅到着後に行先を変更して実質的に直通する列車がある。</t>
        </is>
      </c>
      <c r="J5951">
        <f>HYPERLINK("https://www.weblio.jp/content/到着", "词义详情")</f>
        <v/>
      </c>
      <c r="K5951">
        <f>HYPERLINK("https://yourei.jp/到着", "查看例句")</f>
        <v/>
      </c>
    </row>
    <row r="5952">
      <c r="A5952" t="inlineStr">
        <is>
          <t>同調</t>
        </is>
      </c>
      <c r="B5952" t="inlineStr">
        <is>
          <t>成功</t>
        </is>
      </c>
      <c r="C5952" t="inlineStr">
        <is>
          <t>読み方：どうちょう
［名］(スル)
１調子が同じであること。同じ調子。
２他に調子を合わせること。他人の意見・主張などに賛同すること。「彼の提案に—する」
３受信機などで、特定の周波数に共振するように固有振動数を合わせること。</t>
        </is>
      </c>
      <c r="D5952" t="inlineStr">
        <is>
          <t>同調する(18%)；同調者(8%)；同調でき；同調しよ；同調式</t>
        </is>
      </c>
      <c r="E5952" t="inlineStr">
        <is>
          <t>理解；一致；承認；同意；同期</t>
        </is>
      </c>
      <c r="F5952" t="inlineStr">
        <is>
          <t>非同調；南軍同調；南部同調；北軍同調；過剰同調</t>
        </is>
      </c>
      <c r="G5952" t="inlineStr">
        <is>
          <t>同調回路；同調装置；同調現象；同調体</t>
        </is>
      </c>
      <c r="H5952" t="n">
        <v>29</v>
      </c>
      <c r="I5952" t="inlineStr">
        <is>
          <t>対象を女性に限らず、そのような価値観に同調する男性を指す場合もある。；そこで組合を作ろうにも同調者がいれば良いが、そうでない場合もある。；戦争が始まったとき、州議会は民主党と南部同調者が多数を占めていた。；その隣に座っている少年も同調して「あいつがやった」と繰り返した。；また分裂後に細胞が成長する、分裂が同調しなくなるなどの変化も起きる。；子供の物の考え方に所属集団への同調が見られるようになる。；トルコはこれに反発し、アメリカ合衆国・イギリスもトルコに同調した。；ソ連は同委員会を国際的組織に発展させるよう求め、米国もこれに同調した。；もともとのスキーマを新しい目的に合うように変形することを同調という。；同調者は非常に多かったが、実際に戦闘に参加した構成員の数は多くなかった。；同調した大橋巨泉などの協力者を得て、第1回大会は開催にこぎ着ける。；また、結婚飛行は数県の範囲でほぼ同調しているともいわれている。；ダーウィン家はホイッグ党の急進的でリベラルな考え方に同調していた。；掲げられたテーマに同調する者が集まり、掲示板などを利用する仕組み。；小さいころは、人についていくタイプであり、強い立場の人の意見に同調していた。；しかしすべての数学者がラングの意見に同調しているわけではない。；他の原住民議員は2人の先走りへの反発のために同調しなかった。；同調していた召喚士はその衝撃に耐え切れず命を失うこととなる。；同じく山口誓子も新時代感覚による主知的構成を唱えてこれに同調した。；この段階ではさらにいくつかの連隊が同調して反乱軍に合流した。；ばねが無く固有振動数が存在しないため同調の必要がない利点がある。；彼はクランに同調しており、自分で数千人を集めることができると言った。；所有者の妖力残量が減少すると、同調率が低下する為声を出して会話する。；つまみを操作し、エネルギーと同調すると指先の感覚が変化するとされる。；さらに全国の地方紙など48社も同調して宣言を紙面に掲げた。；前後のエンジンのクランクシャフトはギアトレーンで同調させている。；また、神への感謝を表し季節や自然と同調し溶け合おうとする目的にも使用されたらしい。；阿武松も同調するかのように、突っ張りが減ったことを指摘している。；左右の転換アクチュエーターは、左右共に角度が同調するようになっている。</t>
        </is>
      </c>
      <c r="J5952">
        <f>HYPERLINK("https://www.weblio.jp/content/同調", "词义详情")</f>
        <v/>
      </c>
      <c r="K5952">
        <f>HYPERLINK("https://yourei.jp/同調", "查看例句")</f>
        <v/>
      </c>
    </row>
    <row r="5953">
      <c r="A5953" t="inlineStr">
        <is>
          <t>到底</t>
        </is>
      </c>
      <c r="B5953" t="inlineStr">
        <is>
          <t>成功</t>
        </is>
      </c>
      <c r="C5953" t="inlineStr">
        <is>
          <t>読み方：とうてい
［副］
１（あとに打消しの語を伴って）どうやってみても。どうしても。「—相手にならない」「—できない」
２つまるところ。つまり。
「—人間として、生存する為には」〈漱石・それから〉</t>
        </is>
      </c>
      <c r="D5953" t="inlineStr">
        <is>
          <t>到底でき(3%)；到底考えられ(2%)；到底信じ；到底及ばない；到底出来ない</t>
        </is>
      </c>
      <c r="E5953" t="inlineStr">
        <is>
          <t>結局；最後に；ついに；最終的に；末に</t>
        </is>
      </c>
      <c r="F5953" t="inlineStr">
        <is>
          <t>到底及ば；到底言え；到底覚束；到底信じ難い；到底実現不可能</t>
        </is>
      </c>
      <c r="H5953" t="n">
        <v>29</v>
      </c>
      <c r="I5953" t="inlineStr">
        <is>
          <t>だが秀吉の条件は明にも朝鮮にも到底受け入れられるものではなかった。；それより以外のものは到底理解する事の出来ない外国の音楽だと思います。；まだ恋愛を知らない私は彼女の気持を理解することは到底出来ないでいた。；しかし私は、もう到底理解を望む事は出来ないと断念しかかつてゐます。；それは経験のある方でなくては到底お解りになるものではございますまい。；この点は到底教育の力の及ばざるところにして、宗教の専売特許である。；しかしこの船はすでに人間を満載しており、到底馬を乗せる余裕はない。；私には到底当時の私の位置を、再現するだけの勇気がございません。；統計を見る限り、ブラジル経済は安定的に成長したとは到底言い得ない。；しかしそれだけでは、到底限りなく殖える人口を養うことができません。；そうしてこの鼻を滅ぼさなければ、到底自分は生きて居られないと思った。；この作業は到底一人や少ない人数で出来るものではありません。；かつ鉛筆の色はどんなに巧みに書いても到底チョークの色には及ばない。；運が良いとは到底実現しそうもないことを、偶然実現させてしまうことなどを指す。；欧州諸国もある程度までその術が進歩したとはいえ、到底米国に及ばぬ。；日に二時間三時間ずつ教師を聘して学んだところが到底本当の事は出来ない。；して見ると今の世は渾然たる調和を望む事は到底不可能の時世である。；都々逸詩人を以て任じてゐては到底北原氏などに追ひつくものではない。；それに平地では勿論低い山では到底見ることの出来ない幾多の特色がある。；人間が人間を教育すると云ふことの到底不可能なことを染々思ひます。；何故かというと、私のスケッチは到底これ等の建物の大さを現わさぬからである。；「いやに傲慢な男です」などと云う非難は到底受けそうもない気がしていた。；同情なくては真の解放は、到底できうべきものではありません。；殺人者が自分の犯行を広告するというのは、到底考えられないことです。；そしてそれは形の上の教育では到底不可能なことである。；かかる話は小学校の教育を受けたならば、到底信ずることができぬはずである。；先生は矢張り到底社会に対抗して活きて行ける方ではなかつたのです。；人生は到底逃れられない一種の係蹄であると思ふ外はなかつた。；幾百萬の人の多少活溌な支持と協力とがなければ、革命は到底不可能である。</t>
        </is>
      </c>
      <c r="J5953">
        <f>HYPERLINK("https://www.weblio.jp/content/到底", "词义详情")</f>
        <v/>
      </c>
      <c r="K5953">
        <f>HYPERLINK("https://yourei.jp/到底", "查看例句")</f>
        <v/>
      </c>
    </row>
    <row r="5954">
      <c r="A5954" t="inlineStr">
        <is>
          <t>動的</t>
        </is>
      </c>
      <c r="B5954" t="inlineStr">
        <is>
          <t>成功</t>
        </is>
      </c>
      <c r="C5954" t="inlineStr">
        <is>
          <t>読み方：どうてき
［形動］動きがあって、いきいきしているさま。「文化史の—な把握」⇔静的。</t>
        </is>
      </c>
      <c r="D5954" t="inlineStr">
        <is>
          <t>動的表現；動的解析；動的単一モード；動的核；動的コンテンツ</t>
        </is>
      </c>
      <c r="F5954" t="inlineStr">
        <is>
          <t>応じて動的；動的要素；動的状態；動的構造；動的思考</t>
        </is>
      </c>
      <c r="G5954" t="inlineStr">
        <is>
          <t>動的計画法；動的リンク；動的言語；動的システム；動的平衡</t>
        </is>
      </c>
      <c r="H5954" t="n">
        <v>29</v>
      </c>
      <c r="I5954" t="inlineStr">
        <is>
          <t>これによりHTMLでは表現できない装飾や動的なページが表現される。；動的プログラミングの概念を密接な関連のある機構がいくつか存在する。；代数的グラフ理論は動的系や複雑性を含む多くの分野に応用されている。；一部の国では、PSを使用して放送局が他の情報を動的に送信している。；ほとんどは北部で定住するが、南部に少数存在するものは遊動的である。；はマイクロソフトが開発したウェブページを動的に作成する技術である。；掲示板など動的に内容が変化するサイトのフィルタリングが可能である。；アロケーションテーブルは他の図から動的に導き出すことが可能である。；動的誘発作用が広がっていく過程が確認されたのは初めてとされる。；柔軟に形成されたスコープ内で動的に接続や通信ができるようになる。；存在が動的に作られたことを重んじることは存在の限界設定つまり特定である。；日本で一般に動的ハフマン符号と呼ばれているとは異なるので注意。；動的電子相関は正確なエネルギーを議論しなければならない場合に要求される。；このためより動的な見た目になったり、逆にゆったりした見た目になる。；ヒト型モデルは動的バランスを取るために足首トルクが必要なのである。；上述の通り、改良された動的モデルを推定するいくつかの方法が知られている。；ストア派にとって哲学とは常に実践と反省を行う動的な過程なのである。；どの程度のサイズのバイナリコードが変換されるかは動的に変化する。；これはシステムの運用中に鍵を動的に変更するプロトコルである。；動的最適性予想には、以下のような証明されていない系が存在する。；従来のセンサでは載荷速度の情報を動的にセンシングすることは難しい。；外部APIと簡易に連携し、動的な情報を取得・表示することが可能。；Grails では、クラスの種類に基づいて動的メソッドを提供する。；次の例はC言語で書かれた簡単なプログラムを動的ループ展開したものである。；しかし、動的ディスパッチの意味でこれらの用語が使われていることもある。；動的に考える男がこの問題にかかわるのは自然なことであった。；ECMAScriptのいくつかの動的な機能はオプションにされている。；古典的な図式は身体構造の動的状態を説明するもので置換えなければならない。；一般的には映像や音楽など動的コンテンツを含むイメージで捉えられることが多い。</t>
        </is>
      </c>
      <c r="J5954">
        <f>HYPERLINK("https://www.weblio.jp/content/動的", "词义详情")</f>
        <v/>
      </c>
      <c r="K5954">
        <f>HYPERLINK("https://yourei.jp/動的", "查看例句")</f>
        <v/>
      </c>
    </row>
    <row r="5955">
      <c r="A5955" t="inlineStr">
        <is>
          <t>尊い/貴い</t>
        </is>
      </c>
      <c r="B5955" t="inlineStr">
        <is>
          <t>无结果</t>
        </is>
      </c>
      <c r="H5955" t="n">
        <v>0</v>
      </c>
      <c r="J5955">
        <f>HYPERLINK("https://www.weblio.jp/content/尊い/貴い", "词义详情")</f>
        <v/>
      </c>
      <c r="K5955">
        <f>HYPERLINK("https://yourei.jp/尊い/貴い", "查看例句")</f>
        <v/>
      </c>
    </row>
    <row r="5956">
      <c r="A5956" t="inlineStr">
        <is>
          <t>とうとう</t>
        </is>
      </c>
      <c r="B5956" t="inlineStr">
        <is>
          <t>成功</t>
        </is>
      </c>
      <c r="C5956" t="inlineStr">
        <is>
          <t>［副］物を打ちたたいたり、板を踏み鳴らしたりする音を表す語。とんとん。
「縁—と踏みならし」〈義経記・二〉</t>
        </is>
      </c>
      <c r="D5956" t="inlineStr">
        <is>
          <t>とうとうしまいに；とうとう死ん；とうとうこんな；とうとうたまりかね；とうとうやって来</t>
        </is>
      </c>
      <c r="E5956" t="inlineStr">
        <is>
          <t>結果；最後に；最終的に；その結果；末に</t>
        </is>
      </c>
      <c r="F5956" t="inlineStr">
        <is>
          <t>とうとう見つけ；とうとう諦め；とうとう業を煮やし；とうとうしびれをきらし；とうとうしびれを切らし</t>
        </is>
      </c>
      <c r="H5956" t="n">
        <v>29</v>
      </c>
      <c r="I5956" t="inlineStr">
        <is>
          <t>わたしはとうとう夜に入つた後、やつとその人の家を辞することにした。；わしがいくらとめても、主人は耳にもかけず、とうとう建ててしまった。；さすがに怒った伯父はとうとうファマーをこの家から追放してしまった。；薬の量が増えていくのに疑問を感じたローリは、とうとう行動にでた。；しかし、とうとう彼の寿命の全てを使い切ってしまう時が訪れてしまう。；しばらくしてまた隣人がやって来て、母親がとうとう亡くなったと言った。；そして重い腰を上げ、とうとうレース活動に本気で取り組むようになった。；そしてとうとう見つかった運命の男性は別件ですでに投獄されていた。；こんな風にして、兄はとうとう赤耀館の悪魔の手に懸ってしまったのです。；彼は娘に直接に願ったが拒否され、とうとう娘をさらって家を飛び出した。；そしてとうとう博士に行き会いまして、こんな嬉しいことはございません。；想いが募りとうとう付き合うことになるが、二人の今後はどうなるのか。；とうとう大岩は横だおしになり、あの深い谷の上によこたわったのです。；この手紙には脚本の場面ごとの批判などがとうとうと続く。；と毎日考えているうちにとうとう死んでしまったものです。；画策が失敗したドナルドは、とうとう頭を抱えて倒れてしまったのだった。；僕の身体は四五日前からだんだん小さくなって、とうとう元のようになったんです。；だからとうとうこのアルバムを発売する心の準備ができた。；そしてとうとう妾は永久に故郷の所在を父の口から聞く術を失ったのであった。；とうとう、今までに一度も来たことのない、遠いところまで来てしまいました。；そしてとうとう一本だけ渡してある小さな板橋の所に来て動かなくなってしまった。；そこでとうとうその事については、誰にも打ち明けて話さずにしまった。；勢力は拮抗していて、とうとう幕閣の評定で次代を決めることになった。；夜のしじまが支配するころ、男はとうとう悲鳴を上げそれを破った。；とうとうにおいを見つけた、と思ったら、すぐに見失ってしまいました。；君はとうとう秘密のお仕事を始めからすっかり見せてくれたね。；とにかく己はそう云ういろいろな動機で、とうとう袈裟と関係した。；とうとうこなかったじゃないか、金むくの豹はまだちゃんとここにあるよ。；それでも何度も2人を止めようとするが、とうとう力尽き倒れてしまう。</t>
        </is>
      </c>
      <c r="J5956">
        <f>HYPERLINK("https://www.weblio.jp/content/とうとう", "词义详情")</f>
        <v/>
      </c>
      <c r="K5956">
        <f>HYPERLINK("https://yourei.jp/とうとう", "查看例句")</f>
        <v/>
      </c>
    </row>
    <row r="5957">
      <c r="A5957" t="inlineStr">
        <is>
          <t>同等</t>
        </is>
      </c>
      <c r="B5957" t="inlineStr">
        <is>
          <t>成功</t>
        </is>
      </c>
      <c r="C5957" t="inlineStr">
        <is>
          <t>読み方：どうとう
［名・形動］
１程度・等級などが同じであること。また、そのさま。「—な（の）資格」「—に扱う」
２⇒同値(どうち)</t>
        </is>
      </c>
      <c r="D5957" t="inlineStr">
        <is>
          <t>同等以上(3%)；同等品；同等性；同等程度；同等レベル</t>
        </is>
      </c>
      <c r="E5957" t="inlineStr">
        <is>
          <t>同じ；同様；比べ；比較；同一</t>
        </is>
      </c>
      <c r="F5957" t="inlineStr">
        <is>
          <t>同等の機動性；同等またはそれ以上；同等あるいはそれ以上；同等水準；同等もしくはそれ以上</t>
        </is>
      </c>
      <c r="H5957" t="n">
        <v>29</v>
      </c>
      <c r="I5957" t="inlineStr">
        <is>
          <t>しかし現在は他領域の市民権保持者とほぼ同等の権利は与えられている。；女性が妥当な教育を受け、男性と同等な立場で労働する社会を描写した。；これらはヨーロッパで古くに使用されていた割符と同等の物であった。；すべての他の事物や世界の状態が同等に知覚・表象されるわけではない。；両性愛の人々は必ずしもそれぞれの性に同等に魅力を感じるとは限らない。；他の機種ではソフトウェアでのエミュレーションで同等機能を提供する。；行政的には「首都特別区」と呼ばれ、県と同等の地位を与えられている。；このことは、複素平面上の直線と円はほぼ同等であることを表している。；ゆえに製品発見のために市場投入と同等のコストがかかっては意味がない。；一部の学校種では、同等学校の既卒者が再び入学できない場合がある。；しかし、独立した存在ではなく、本性的に同等であると主張していた。；動物においてRdDMと同等の機能があるかについては判明していない。；この結果から、海外の2/3の用量で同等の効果が得られると報告した。；ただ、行政が私人と同等の立場で行う取引は通常の司法裁判所が担当した。；この改正によって他の著作物と同等の扱いを受けるようになった。；これを機に航空機を利用し始めた他国の軍でも同等の早期育成制度を創設した。；その実態はさまざまであり、中には無治療と同等のものが存在する。；大豆は、牛乳や卵と同等の良質なタンパク質であるとの評価を得ている。；この命令はループを使った同等機能のプログラムコードよりも遅かった。；最高出力などのスペックに関しては一般仕様のエンジンと同等である。；結び目の合成は 連結和、バンド和と呼ばれる操作と同等なものである。；入学し得るのは、師範学校卒業者またはこれと同等以上の学力を有する者。；微生物の分解可能性と人へのリスク評価を同等に考えてはならない。；回転中心を原点とする座標系を考えると、これらの定義は同等である。；師匠の稽古は厳しく、夕方にも朝稽古と同等の稽古を行ったほどである。；テンソルの定義・表示と取り扱いには、いくつかの同等な方法がある。；例えば、社会保険はオランダと同等のレベルでは提供されていない。；戦闘中に同等の効果を持つ武器を使用しても同様の色に点滅する。；慣習国際法は、不文ではあるが、条約と同等の効力を有する法源である。</t>
        </is>
      </c>
      <c r="J5957">
        <f>HYPERLINK("https://www.weblio.jp/content/同等", "词义详情")</f>
        <v/>
      </c>
      <c r="K5957">
        <f>HYPERLINK("https://yourei.jp/同等", "查看例句")</f>
        <v/>
      </c>
    </row>
    <row r="5958">
      <c r="A5958" t="inlineStr">
        <is>
          <t>堂々</t>
        </is>
      </c>
      <c r="B5958" t="inlineStr">
        <is>
          <t>成功</t>
        </is>
      </c>
      <c r="C5958" t="inlineStr">
        <is>
          <t>読み方：どうどう
［ト・タル］［文］［形動タリ］
１りっぱで威厳のあるさま。「—たる邸宅」「—とした態度」
２なんの隠しだてもないさま。こそこそしないさま。「正面切って—と戦う」「白昼—」</t>
        </is>
      </c>
      <c r="D5958" t="inlineStr">
        <is>
          <t>堂々と胸；堂々と歩い；堂々巡り；堂々と宣言；堂々と正面</t>
        </is>
      </c>
      <c r="E5958" t="inlineStr">
        <is>
          <t>明るい；厳しい；正直；直；偉大</t>
        </is>
      </c>
      <c r="F5958" t="inlineStr">
        <is>
          <t>威風堂々；実に堂々；正面から堂々；もっと堂々；あまりに堂々</t>
        </is>
      </c>
      <c r="G5958" t="inlineStr">
        <is>
          <t>堂々めぐり；堂々巡り；堂々川；堂々日本史；堂々川砂留群</t>
        </is>
      </c>
      <c r="H5958" t="n">
        <v>29</v>
      </c>
      <c r="I5958" t="inlineStr">
        <is>
          <t>一大名が堂々と幕府批判を行うということは、前代未聞の行動であった。；許されて出たものなら、堂々と町を歩いていてもいいはずではないか。；向こうとしては隠れていたつもりさえなく、むしろ堂々と生活していた。；もっとも、その余り堂々とし過ぎている点が可笑しいのには違いないが。；階段塔はガラス窓のがつき、内部には堂々とした新しい階段が設けられた。；誰に遠慮することもひいきすることもなく、堂々と自分の意見を述べた。；ところが、宗廟や朝廷にお出になると、いうべきことは堂々といわれる。；底野 いくら言ふことが堂々としてゝも、その扮りぢや人が信用しないよ。；幼い頃より背が高く堂々としている様子で、成人のような志を持っていた。；主体的な姿を表現するため、拳を握り堂々と顔を上げた姿に作られている。；あまり堂々とやっていたので、その筋の盲点にはいったわけでしょう。；また寝技にも長じ、相手の寝技への誘いにも逃げる事なく堂々と応じた。；また、体の芯が異常に強く、常に軸がぶれずに堂々とした相撲を取った。；朝子は堂々と応援をせず、陰から見ているだけで十分だと考えていた。；相手は例のいつに変わらぬ微笑を浮かべて、彼のほうへ堂々と進み出て来た。；バーテンダーは別に大きくもないし、ちつとも堂々としていなかつた。；雰囲気から東洋人のようだが、英語は話せるし、態度も堂々としている。；かれの堂々としていて親切な態度のことを、ピピンは初めから好きだった。；あれぐらいのことをするなら、なぜ堂々と女と一緒にねないのだ。；そして私はその翌日乙女を私の馬車に乗せて堂々と王宮からつれ出しました。；彼女達は十年来、この私をまるで女王様のように堂々と操ってきたんだ。；彼はそれが自分の傍へ来た時、その精霊の背が高く堂々としていることを感じた。；ハ長調で第2主題を回顧した後、第1主題が軽く扱われて堂々と終わる。；この場合、科学は本来の姿のままで、堂々と乗り出して良いのである。；もっとそれが、旗印のように広く、堂々としているほうがいいと思う。；僕はもつと、それが、旗印のやうに広く、堂々としてゐる方がいいと思ふ。；最大の重要な変更点はより堂々とした構図になったことである。；それが今、如意輪堂に行くと、堂々と此の歌を書きつけた扉が残って居る。；ピッチに立ったときに堂々としていられる準備はしていきたい。</t>
        </is>
      </c>
      <c r="J5958">
        <f>HYPERLINK("https://www.weblio.jp/content/堂々", "词义详情")</f>
        <v/>
      </c>
      <c r="K5958">
        <f>HYPERLINK("https://yourei.jp/堂々", "查看例句")</f>
        <v/>
      </c>
    </row>
    <row r="5959">
      <c r="A5959" t="inlineStr">
        <is>
          <t>道徳</t>
        </is>
      </c>
      <c r="B5959" t="inlineStr">
        <is>
          <t>成功</t>
        </is>
      </c>
      <c r="C5959" t="inlineStr">
        <is>
          <t>読み方：どうとく
１人々が、善悪をわきまえて正しい行為をなすために、守り従わねばならない規範の総体。外面的・物理的強制を伴う法律と異なり、自発的に正しい行為へと促す内面的原理として働く。
２小・中学校の教科の一。生命を大切にする心や善悪の判断などを学ぶもの。昭和33年（1958）に教科外活動の一つとして教育課程に設けられ、平成27年（2015）学習指導要領の改正に伴い「特別の教科」となった。
３《道と徳を説くところから》老子の学。</t>
        </is>
      </c>
      <c r="D5959" t="inlineStr">
        <is>
          <t>道徳的(35%)；道徳上(2%)；道徳家；道徳論；道徳意識</t>
        </is>
      </c>
      <c r="E5959" t="inlineStr">
        <is>
          <t>義；徳；善；仁；倫理</t>
        </is>
      </c>
      <c r="F5959" t="inlineStr">
        <is>
          <t>国民道徳；社会道徳；反道徳；道徳的価値；倫理道徳</t>
        </is>
      </c>
      <c r="G5959" t="inlineStr">
        <is>
          <t>道徳教育；道徳性；道徳律；道徳心；道徳的</t>
        </is>
      </c>
      <c r="H5959" t="n">
        <v>29</v>
      </c>
      <c r="I5959" t="inlineStr">
        <is>
          <t>そしてどのような要因が非道徳的と判断されるのかを次の3つにまとめた。；この商売道徳が現在まで富山売薬を発展させてきた一因であるとされる。；この道徳的判断の背後にある原理は次のようなものであると彼は言う。；中立という立場には、道徳的責任を回避した存在と見られる側面もある。；カントは宗教を、道徳の基礎の上に成り立つべきものであるとしている。；デュルケームによれば、道徳は命令の体系ではなく、禁止の体系である。；なお、道徳的であることの当然の前提として理性保持義務も考えられる。；あるいは類義語の倫理はいくつかの意味をもち、道徳を表すことが多い。；しかし彼らは同じ法律、宗教、道徳の規範に従うことを期待されていた。；幼児はこのような道徳と慣習の領域を区分することができるとされる。；イギリスでは王が道徳的に高潔な時にのみ国民から支持が得られるからである。；そのため神の存在は道徳的実践的見地から要請されねばならない、とした。；ここでいう善悪とは、法的な問題や道徳的な問題をさしているのではない。；軍人は誰でも自分の行為の道徳的側面を多少は考えるものだ。；この問題を解決するために生まれた道徳理論が必要となった。；現730条道徳上の家族制度も廃止されるべきとの主張も戦後は有力である。；しかし自由と正義、そして道徳の力が究極的には勝利をおさめるだろう。；道徳的規範は、成文化された規則である法律と一致しない場合もある。；この本義は海外にも発揮宣揚して世界の道徳文化に貢献しなければならない。；これら二つの相異なる道徳様式は、それぞれ一対の対立概念に対応している。；文章は賞賛するが、道徳的な理由でこの小説を非難する批評家もいた。；普通の人が実際に従うべきは、天の道ではなく、聖人が教えた道徳である。；ところで、多くの人は、道徳的責任は自由意志を前提とすると信じている。；帝政は彼らを政治的に抑圧し、また宴会騒ぎで彼らを道徳的に怒らせた。；しかし、父が満足するほど、従順で道徳的になることはできなかった。；政治においては常に道徳的に正しい手段がとられなければならなかったわけである。；他のどのスペインの劇作家より、アラルコンは道徳的目的を気に掛けた。；ストア派の最大の特徴は個人の道徳的・倫理的幸福を追求することにある。；道徳的合意は、社会の殆どの人々が同じ価値を共有している場合に見いだせる。</t>
        </is>
      </c>
      <c r="J5959">
        <f>HYPERLINK("https://www.weblio.jp/content/道徳", "词义详情")</f>
        <v/>
      </c>
      <c r="K5959">
        <f>HYPERLINK("https://yourei.jp/道徳", "查看例句")</f>
        <v/>
      </c>
    </row>
    <row r="5960">
      <c r="A5960" t="inlineStr">
        <is>
          <t>唐突</t>
        </is>
      </c>
      <c r="B5960" t="inlineStr">
        <is>
          <t>成功</t>
        </is>
      </c>
      <c r="C5960" t="inlineStr">
        <is>
          <t>読み方：とうとつ
［名・形動］だしぬけであること。また、そのさま。突然。不意。「—の感は免れない」「—な発言」
[派生]とうとつさ［名］</t>
        </is>
      </c>
      <c r="D5960" t="inlineStr">
        <is>
          <t>唐突な質問；唐突すぎる；唐突な話；唐突な言葉；唐突な感じ</t>
        </is>
      </c>
      <c r="E5960" t="inlineStr">
        <is>
          <t>急；突然；意外；不意；異様</t>
        </is>
      </c>
      <c r="F5960" t="inlineStr">
        <is>
          <t>唐突な問い；唐突な申し出；唐突な終わり方；唐突な出現；唐突な印象</t>
        </is>
      </c>
      <c r="H5960" t="n">
        <v>29</v>
      </c>
      <c r="I5960" t="inlineStr">
        <is>
          <t>それは本気で信じられるにはあまりに唐突なばかばかしい話に思われた。；その最中に運悪くおれは革命的性質をおびた唐突な身振りをやったのだ。；そんな中で唐突に大介の口から飛び出した組の解散に子分一同は混乱した。；それがなにか唐突な動きだったので、また地震かと声を上げそうになった。；やがて、きわめて唐突にふたりの周囲にひとりの敵の姿も見えなくなった。；目覚めている首の呼びかけに応じて、眠っていた首が唐突に目を覚ます。；八人の女性の名のなかに、国の名と町の名が唐突にまじりあっている。；唐突に自分が目にしているのがただの虫ではないことに気づいた。；このままでは凍死するしかないと考えはじめたとき、唐突に風がやんだ。；と思ったら、今度は唐突に腹の底から何かがせりあがってくるのを感じた。；先日、友人と電話で話してたら、話の途中で彼女が唐突に、こう尋ねた。；ぼくは、あまり唐突にならないように話を切りだそうと、思案していた。；そして、唐突にあの男とこの女の関係が見えたような気がしたのです。；日記を書いていたのだが、唐突に今の季節の美しさを紙に写したいと思った。；彼はその唐突な出立にびっくりして、どう言っていいかもわからなかった。；そのとき唐突にサーヴィックは、ここに留まっていてよかったと感じた。；自分は看護人なにがしの唐突な言葉をきいても敢て驚くことはなかつた。；だがその直前、ふとなにかを思いついたかのように、唐突に手を離した。；まるで音楽を奏でていたスピーカーの電源を唐突に落とした時のように。；するとボビーは唐突に妻を拳銃で射殺、続いて入ってきた母も射殺する。；この解散はあまりに唐突で、関西のスポーツ新聞には大きく報道された。；その時は誰も理解しなかったが、彼の研究者としての人生は唐突に終わった。；彼は誓紙を手にとると唐突に亢奮して膝をたて感動のためにふるへてゐた。；八は自分では全く唐突にかう思つたやうに感じてゐるが、実はさうではない。；但しそう云う説明は一切なかったため実に唐突な語り出しになった。；ただし放送期間短縮を受けて唐突に物語が打ち切られたわけではない。；あまりに唐突で理解がいまいち付いてこないが、それ以外に考えられない。；この部分は生の高揚から死の絶望へと唐突の転落があり、物語が終わる。；唐突に参加していたパーティの解散を宣告された大剣使いの少年ライガ。</t>
        </is>
      </c>
      <c r="J5960">
        <f>HYPERLINK("https://www.weblio.jp/content/唐突", "词义详情")</f>
        <v/>
      </c>
      <c r="K5960">
        <f>HYPERLINK("https://yourei.jp/唐突", "查看例句")</f>
        <v/>
      </c>
    </row>
    <row r="5961">
      <c r="A5961" t="inlineStr">
        <is>
          <t>尊ぶ</t>
        </is>
      </c>
      <c r="B5961" t="inlineStr">
        <is>
          <t>成功</t>
        </is>
      </c>
      <c r="C5961" t="inlineStr">
        <is>
          <t>読み方：たっとぶ
［動バ五（四）］《「たふとぶ」の音変化》「とうとぶ」に同じ。「人の命を—・ぶ」</t>
        </is>
      </c>
      <c r="D5961" t="inlineStr">
        <is>
          <t>尊ぶべき(16%)</t>
        </is>
      </c>
      <c r="E5961" t="inlineStr">
        <is>
          <t>評価；認める；尊敬；尊重；崇拝</t>
        </is>
      </c>
      <c r="F5961" t="inlineStr">
        <is>
          <t>崇め尊ぶ；もっとも尊ぶ；おお尊ぶ</t>
        </is>
      </c>
      <c r="H5961" t="n">
        <v>29</v>
      </c>
      <c r="I5961" t="inlineStr">
        <is>
          <t>今は自身の経験から見た特徴の最も尊ぶべきを二、三述べたいと思う。；それにどんな過程があるかは問わない、ただその結果を尊び、感謝する。；これらの事から地の一族の男性には女性を尊び大切にする風潮がある。；彼は彼女のなかに籠つてゐる何かしら目に見えない或るものを尊んだ。；川は小さいといいながら興津川の鮎が尊ばれるのは、このせいであろう。；イギリスで盛んに入れているのは、習慣を尊ぶ国の惰性でもあろうか。；何にかぎらず芸術と云うものを私は一通りでなく愛し又尊んで居る。；すべてがそうであるように、快楽においてもスピードが尊ばれています。；ある藩では武芸を尊んで数学など修めることは極端に抑えた所もある。；また商人としての信用が尊ばれ、破産に陥った者は士官の階級を失った。；昔は甘いものは普段なかなか食べられなかったため、非常に尊ばれた。；吾々が伝統を尊ぶのはむしろそれを更に育てて名木とさせるためであります。；こういう風こそはどの世界においても尊ばれてよいことと思います。；さうして山の神が次第に尊ばれて来て、常世神の性格が授けられて来る。；それではどんな性質の美しさを一番尊んだらよいのでしょうか。；これは尊ぶべき建物で、かつてはきわめて壮麗であったにちがいない。；おれには学はねえが、それでも衛生を尊ぶ事だけは、知っているのだ。；特に白鼠と書いていないが、多分その頃既に白鼠を尊んだものと察する。；私が小説製作上實在を尊ぶのは、決して消極的ではない、積極的である。；そしてこの尊ぶべき偉大な魂に、永世への門を開いてやったのだった。；そんな無駄な説明を書くには、私は文章に簡潔を尊びすぎるのである。；友もなくすべてから離れてるこの老人は、友情を非常に尊んでいた。；決して死んでから生きている時以上に人に愛せられ尊ばれようとは思いません。；こういう気持こそは、もっと尊んでよいことではないでしょうか。；かく忌み嫌わるるもの故諸獣を神とし尊ぶ例多きも鼠を拝む例は少ない。；フリードリヒ大王時代は寡兵をもって衆を破る事が特に尊ばれたのである。；簡約を尊んではいたが、その性格は度を超えて奢侈であったという。；子供は世の人々が言い尊ぶように無邪気なものと逸作もかの女も思っては居なかった。；この制限は最初西方でも尊ばれていたが、その後あまり省みられなくなった。</t>
        </is>
      </c>
      <c r="J5961">
        <f>HYPERLINK("https://www.weblio.jp/content/尊ぶ", "词义详情")</f>
        <v/>
      </c>
      <c r="K5961">
        <f>HYPERLINK("https://yourei.jp/尊ぶ", "查看例句")</f>
        <v/>
      </c>
    </row>
    <row r="5962">
      <c r="A5962" t="inlineStr">
        <is>
          <t>盗難</t>
        </is>
      </c>
      <c r="B5962" t="inlineStr">
        <is>
          <t>成功</t>
        </is>
      </c>
      <c r="C5962" t="inlineStr">
        <is>
          <t>読み方：とうなん
金品を盗まれること。また、その災難。「—にあう」</t>
        </is>
      </c>
      <c r="D5962" t="inlineStr">
        <is>
          <t>盗難防止(6%)；盗難品(2%)；盗難対策；盗難カード；盗難保険</t>
        </is>
      </c>
      <c r="E5962" t="inlineStr">
        <is>
          <t>強盗；切り取り；切取り</t>
        </is>
      </c>
      <c r="F5962" t="inlineStr">
        <is>
          <t>車両盗難；盗難除け；自動車盗難；盗難美術品；盗難発生</t>
        </is>
      </c>
      <c r="G5962" t="inlineStr">
        <is>
          <t>盗難車；盗難届；盗難被害；盗難防止アラーム；盗難絵画</t>
        </is>
      </c>
      <c r="H5962" t="n">
        <v>29</v>
      </c>
      <c r="I5962" t="inlineStr">
        <is>
          <t>たまたま、盗難にあったと同じ金額の金を持っていたというだけである。；コンピュータの盗難を理由にページは事務所の仕事をすべて停止した。；また、盗難などで満月会の外に出たものが、販売されていることもある。；ここで盗難にあったと思われる彼女の帳簿の意味が重大になってきた。；同様に確かなのは深夜までに盗難書類をあなたが自発的に返してくれます。；そのためにはこの盗難をどこまでも隠しておかなければなりません。；イギリス警察はメールの盗難がどのように行われたかを調査している。；工場警察の役割は、サボタージュや盗難から工場施設を守ることにある。；ザルトータンが心臓の盗難に気づいていないのは奇妙なことであった。；盗難発生時には、店の警備体制のどこにも穴はなかったことが確認された。；盗難・紛失カードのリストが配られる前に悪用されるのを防ぐためです。；今では、お家は盗難に会った前の日とまったく同じになっております。；盗難は多発していて、署でも取り合ってくれないことを知っていたのだ。；耕地には前にも増して屡々多量ずつの盗難が起るようになったのである。；かといって、家の中にしまっておいたのでは、盗難や火災のおそれがある。；近隣で盗難が続いていたため、安全のため二人ともそれぞれ銃を用意していた。；紛失・盗難時の取り扱いにも制限があったり取り扱いのない場合もある。；隣郡の富豪は財物を南清河郡の領内に置いて盗難を避けるようになった。；アパートの横の空地は外部から自由に入れるから盗難よけのつもりなのだろう。；ただし、フランス革命期には多くの城が破壊され、盗難にも見舞われた。；また盗難防止のため、オーディオには開閉式のカバーが設置されていた。；これはトイレ部分の方向幕の盗難やいたずらが頻繁に起こったためである。；実を言うと、その解決とミイラの盗難がどう関わってくるのか自信はねえよ。；盗難に遭って、喜んでいるのは変だと思って訊いたら、こう返事した。；マレク・アデリの盗難を、ユダヤ人が夢にも知らなかったことが判明した。；ベン・プライスは盗難の現場を調査して、つぎのように意見を述べた。；なのに盗難届けが出されたこともなければ、警察が調べに来たこともない。；Rooseもまた、この機能は盗難を防ぐためのものだと述べている。；しまいの自動車盗難以外は、全部そのアパートで実際に起こった被害なのである。</t>
        </is>
      </c>
      <c r="J5962">
        <f>HYPERLINK("https://www.weblio.jp/content/盗難", "词义详情")</f>
        <v/>
      </c>
      <c r="K5962">
        <f>HYPERLINK("https://yourei.jp/盗難", "查看例句")</f>
        <v/>
      </c>
    </row>
    <row r="5963">
      <c r="A5963" t="inlineStr">
        <is>
          <t>どうにか</t>
        </is>
      </c>
      <c r="B5963" t="inlineStr">
        <is>
          <t>成功</t>
        </is>
      </c>
      <c r="C5963" t="inlineStr">
        <is>
          <t>［副］(スル)
１まがりなりにも。なんとか。「論文を—形にしようとがんばる」
２かろうじて。やっとのことで。「—助かった」</t>
        </is>
      </c>
      <c r="D5963" t="inlineStr">
        <is>
          <t>どうにかなる(6%)；どうにかなら；どうにかできる；どうにかしなけれ；どうにかなり</t>
        </is>
      </c>
      <c r="E5963" t="inlineStr">
        <is>
          <t>やっと；どうやら；何とか；如何に；漸く</t>
        </is>
      </c>
      <c r="F5963" t="inlineStr">
        <is>
          <t>どうにかうまく；まあどうにか；やっとどうにか；どうにかすれ；どうにかかう</t>
        </is>
      </c>
      <c r="G5963" t="inlineStr">
        <is>
          <t>どうにかなる日々</t>
        </is>
      </c>
      <c r="H5963" t="n">
        <v>29</v>
      </c>
      <c r="I5963" t="inlineStr">
        <is>
          <t>何故なら動詞の形をどうにかして言ひ表はさなければならぬからである。；けれど二人は働いて、どうにかその日を暮らしてゆくことができました。；いかにその中身が少ないときでも、どうにかして多少の金を取り出した。；どうにかしてパンの食へる間だけは、乞食をしても東京を離れたくない。；さうしてぶつ続けの徹夜を八日あまりして、どうにか一先原稿ができた。；私はどうにかせずにはいられないところまでいっていたのである。；どうにかして夫を自分の考え通りの夫にしなくては生きている甲斐がない。；そこで娘を働きに出すとか、内職的にやるとかしてどうにかやっている。；どうにか倒した二人はティディルでライと合流し謎の建造物へ辿り着く。；この筆記の整理にはずいぶんひどい目にあったが、どうにか胡麻化した。；張はどうにか文字の書ける男であるので、その通りに書き残して死んだ。；愈々自分がどうにかされるのだなと覚悟を決めざるを得なくなった。；どうにか我慢して余生を東京の町の路地裏に送った方がよいであろう。；きょう一日がどうにか過ごされさえすればいいと思うことにしたのよ。；かくて思想感情をどうにか手つ取り早く言ひ表はし得るやうになる。；彼らの体系は彼らが考えたとはどうにか違ったふうにして実現されなければならない。；そうした話の全体から、やっとどうにかこうにか次のことが察せられた。；私はともかく大阪まで行けば、あとはどうにかなるだろうと思った。；それから、その不思議な珠をどうにかして手に入れたいと思いました。；そしてどうにか高校には入ったものの1ヶ月近く通ったところで中退した。；書いてある事は、どうにか書き切れる所まで、書き切つてゐる筈だから。；玉太郎は、どうにかして早くラツール氏といっしょになりたいと思った。；捕えようと望んでいる物がどうにか、捕え得らるるような気分になった。；春仙は店の件がどうにかならないかと相談したが、どうにもならないという。；どうにか人間らしく物を考える事が出来るようになってきたのです。；分かるでしょう、我々はどうにかして距離を縮めなければなりません。；二人が逢つたところで、どうにかなる理由は何処にもない筈だつた。；お母さんがあれだけ、もう少しどうにか善くしたらよさそうなもんだのに。；そういう志願者たちは、今から手をうてば、どうにかなると思うんです。</t>
        </is>
      </c>
      <c r="J5963">
        <f>HYPERLINK("https://www.weblio.jp/content/どうにか", "词义详情")</f>
        <v/>
      </c>
      <c r="K5963">
        <f>HYPERLINK("https://yourei.jp/どうにか", "查看例句")</f>
        <v/>
      </c>
    </row>
    <row r="5964">
      <c r="A5964" t="inlineStr">
        <is>
          <t>どうにかこうにか</t>
        </is>
      </c>
      <c r="B5964" t="inlineStr">
        <is>
          <t>成功</t>
        </is>
      </c>
      <c r="C5964" t="inlineStr">
        <is>
          <t>［連語］「どうにか」を強めた言い方。「—合格しました」</t>
        </is>
      </c>
      <c r="D5964" t="inlineStr">
        <is>
          <t>やっと；何とか；どうにか；漸く；かろうじて</t>
        </is>
      </c>
      <c r="H5964" t="n">
        <v>29</v>
      </c>
      <c r="I5964" t="inlineStr">
        <is>
          <t>そうした話の全体から、やっとどうにかこうにか次のことが察せられた。；金のある三、四か月の間は、どうにかこうにか夫婦らしい生活が続いた。；それによってどうにかこうにか私の妻は一つの踊りをやることができました。；どうにかこうにかまわりに誰もいない一角を見つけ、私たちは席に座った。；それでもどうにかこうにか、彼の警戒心をとかせると、彼はこういった。；けれども、私はどうにかこうにか山越えの道の最高地点まで登りきった。；僕はこのために勇気を得てどうにかこうにか書き上げる事が出来た。；クマの死体に背を預けて、どうにかこうにか上体を起こすことができた。；しかも若い娘の大部分は、どうにかこうにか見られる程度にすら至らない。；それでも屈せずに、選んだ問題だけは、どうにかこうにか解決を附けた。；脚の一本でどうにかこうにかできるような相手でないのは、もうはっきりしている。；しかしアンはどうにかこうにかそれをやりとげて、ふとんを平らにした。；新しい持主は当時一人の給仕に店をどうにかこうにか仕切らせていた。；さてそこで、どうにかこうにか傷口を塞いだ後に、彼の家へ運んで行った。；それでも、彼はどうにかこうにか森の外へたどり出ることができた。；と云うような訳で、どうにかこうにか収まりが付いたのであった。；半ば美琴に肩を支えられる格好で、どうにかこうにか上条も起き上がる。；生の女が、男たちに揉まれながら、どうにかこうにか生きてるんだ。；どうにかこうにかこの生活も堪えられるものとはなっていた。；二人は涙を流して一晌あまりも意見して、どうにかこうにか主人の決心をにぶらせた。；その中をあまり馬力の強くない機関車がどうにかこうにか進んで行ったが、それもだんだん困難になるらしい。；どうにかこうにか進んでいるうちに、麦が風雨で倒れてしまっているところへ出ました。；この人の優しい翼の下に守られて、どうにかこうにか生きている。；彼はまだどうにかこうにか彼らを追い払おうとしていた。；私は鍵穴越しに、どうにかこうにかわけを説明してきかせました。；妾ら、おっ母が余所の子供を殺す金でどうにかこうにか生きとった。；なんだかんだで一二年に及んでしまった長い旅が、どうにかこうにか終わりました。；お前の思いつきストーリーをどうにかこうにか繋がるように編集しただけでもう限界だっての。；どうにかこうにか書いた十枚分だけ持って会社に行った。</t>
        </is>
      </c>
      <c r="J5964">
        <f>HYPERLINK("https://www.weblio.jp/content/どうにかこうにか", "词义详情")</f>
        <v/>
      </c>
      <c r="K5964">
        <f>HYPERLINK("https://yourei.jp/どうにかこうにか", "查看例句")</f>
        <v/>
      </c>
    </row>
    <row r="5965">
      <c r="A5965" t="inlineStr">
        <is>
          <t>どうにも</t>
        </is>
      </c>
      <c r="B5965" t="inlineStr">
        <is>
          <t>成功</t>
        </is>
      </c>
      <c r="C5965" t="inlineStr">
        <is>
          <t>［副］
１（あとに打消しの語を伴って用いる）どのようにしても。どうやっても。どうしても。「—がまんできない」
２なんとも。まったく。「—弱ったものだ」</t>
        </is>
      </c>
      <c r="D5965" t="inlineStr">
        <is>
          <t>どうにも手(49%)；どうにも力(3%)；どうにも目(3%)；どうにも間(3%)；どうにも口(2%)</t>
        </is>
      </c>
      <c r="E5965" t="inlineStr">
        <is>
          <t>まったく；まさに；正に；将に；当に</t>
        </is>
      </c>
      <c r="F5965" t="inlineStr">
        <is>
          <t>もはやどうにも</t>
        </is>
      </c>
      <c r="H5965" t="n">
        <v>29</v>
      </c>
      <c r="I5965" t="inlineStr">
        <is>
          <t>だがそれにもかかわらず私はもうどうにもこうにもならなくなっていた。；私もここにきてからは覚えようと思ったのだけど、どうにも手が出ない。；日常の生活を少し意志的に規律することでどうにもなると思つてゐます。；それを気付く時にはもうどうにも出来ないほどその根が深くなっている。；長崎屋の面々は、どうにも表から見える顔とは違う者が多いようだった。；煩っておりませんと、もっと以前にどうにもしたいのでございますッて。；王〓はどうにも手のつけようがなく、勝手にさせておくよりほかなかった。；エンジンは無制御状態で作動していて、どうにも手のつけようがない。；本当に現実の場合になってみれば、どうにも手がつけられないのではないのか?；その間、虎三は顔をゆがめて、どうにもさまにならない表情をしていた。；はっきりとも、ぼんやりとも、どうにもそれを理解することができない。；行く手の地形にどうにも越えられない障害が存在する可能性は多分にある。；外のことならかまわんが、身体のことだけはどうにも俺には堪えられん。；まるで夢のような話なので、どうにも手のつけようがないんだね。；まだまだ今のうちは、手をつないでなきやどうにもならないんぢやない?；このようなものはこれ天の数であって人力ではどうにもできないものである。；どうにもならなくなって、マリイは花売りになろうと決心したのでした。；彼人がどうかしてくれないうちは、御前の方をどうにもする事が出来ない。；心の中には、どうにもじぶんでこたえることのできないものがありました。；だが、死んでしまった戦友は、もはやどうにも手のほどこしようが無い。；岸に揚げてある船は大きすぎてどうにもならないことがわかつたのである。；あの小舎の中へ這入つてみたところでどうにもなるものではないのだ。；二合五勺配給のわれわれはどうにも信じようがなくなるのは無理もない。；お銀様が武者振りついたとて、それでどうにもなるものではありません。；その窓が、また、女の力でどうにもならぬほど、締めにくいと来ている。；血の匂いがこびりついているようで、どうにも口に持っていきかねたのである。；もし只の一つでもさう云ふ例があると、どうにも工夫が付きませうがな。；しかもそういうときの彼は、どうにも手のつけようのないことが間々あるのだ。；状況だけでは、どうにも判断がつかないし、つけるわけにもいかない。</t>
        </is>
      </c>
      <c r="J5965">
        <f>HYPERLINK("https://www.weblio.jp/content/どうにも", "词义详情")</f>
        <v/>
      </c>
      <c r="K5965">
        <f>HYPERLINK("https://yourei.jp/どうにも", "查看例句")</f>
        <v/>
      </c>
    </row>
    <row r="5966">
      <c r="A5966" t="inlineStr">
        <is>
          <t>投入</t>
        </is>
      </c>
      <c r="B5966" t="inlineStr">
        <is>
          <t>成功</t>
        </is>
      </c>
      <c r="C5966" t="inlineStr">
        <is>
          <t>読み方：とうにゅう
［名］(スル)
１物を投げいれること。投げこむこと。「火中に—する」
２事業などに資金・労力などを注ぎこむこと。「主力を—する」
３心理学で、他人の望ましいものを自分のものとすること。→同一視2</t>
        </is>
      </c>
      <c r="D5966" t="inlineStr">
        <is>
          <t>投入する(11%)；投入される(6%)；投入口；投入できる；投入可能</t>
        </is>
      </c>
      <c r="E5966" t="inlineStr">
        <is>
          <t>投資；投下；投じる</t>
        </is>
      </c>
      <c r="F5966" t="inlineStr">
        <is>
          <t>軌道投入；電源投入；市場投入；新製投入；大量投入</t>
        </is>
      </c>
      <c r="G5966" t="inlineStr">
        <is>
          <t>投入れ；投入財貿易</t>
        </is>
      </c>
      <c r="H5966" t="n">
        <v>29</v>
      </c>
      <c r="I5966" t="inlineStr">
        <is>
          <t>衛星をこの軌道に投入する際には次のような手順をとるのが普通である。；この考えで、日本人は多くの航空機とパイロットを片道攻撃に投入した。；近年ではAndroidを搭載したウォークマンなども投入されている。；初めて戦車が各国から実戦投入された戦争は第一次世界大戦であった。；新規に投入された冷暖房車には、黄色地に赤帯の専用塗装が採用された。；そのために、ヨーク公が必要としていた兵も物資も追加投入を拒否された。；CNGバスも導入されており、近年では一部の郊外路線にも投入されている。；当初は座席車のみの落成となったが、後に寝台車も改造され投入された。；変更の対象になったのは既存の6編成と2009年夏に投入された1編成。；日本語版は1997年に発表された第8版を最後に投入されていない。；リカードが考えていたのは、財の生産に財が投入される循環構造である。；帝政末期にはその鎮圧のために軍隊が投入される騒動も発生している。；投入される路線に到着した新しい車両は、入念な検査と試運転が行われる。；経営判断としての投入なのであるが、それ自体に疑問を投げかけられた。；ゆえに製品発見のために市場投入と同等のコストがかかっては意味がない。；これは200kmの高度に装置類を投入することを目的とした。；この問題は、オランダがバス船と呼ばれる大型漁船を投入することで解決した。；連合国が戦争に投入できる資金は中央同盟国のそれよりもはるかに多かった。；戦車は第一次世界大戦にイギリス陸軍によって初めて実戦に投入された。；それでも鉄道の維持を選択する場合は、公的資金の投入が必要となることがある。；これに伴い新造車6600系の投入など、車両の全面的な更新が行われた。；新製投入直後は初期故障を中心としたトラブルも多かった。；朝鮮人民軍の通常戦装備は、全軍事予算の1/4しか投入されていない。；しかしこの設定は保存されず、電源を投入するたびに大に戻る。；その後は321系を予定より3編成21両多く投入して車両不足を補った。；このうち12月の発射では光明星3号2号機を軌道に投入することに成功している。；特におよびの戦争の際に投入が行われた。；広島地区投入車との相違点を以下に示す。；デザインベビーにナノマシンを投入していることが作中の台詞に出てくる。</t>
        </is>
      </c>
      <c r="J5966">
        <f>HYPERLINK("https://www.weblio.jp/content/投入", "词义详情")</f>
        <v/>
      </c>
      <c r="K5966">
        <f>HYPERLINK("https://yourei.jp/投入", "查看例句")</f>
        <v/>
      </c>
    </row>
    <row r="5967">
      <c r="A5967" t="inlineStr">
        <is>
          <t>導入</t>
        </is>
      </c>
      <c r="B5967" t="inlineStr">
        <is>
          <t>成功</t>
        </is>
      </c>
      <c r="C5967" t="inlineStr">
        <is>
          <t>読み方：どうにゅう
［名］(スル)
１外部から導き入れること。引き入れること。「新型機器を—する」「外資—」
２小説や音楽などで、主題に入る前のはじまりの部分。「—部」
３学習を始めるにあたり、児童・生徒に関心・興味をよびおこさせるための準備的段階。</t>
        </is>
      </c>
      <c r="D5967" t="inlineStr">
        <is>
          <t>導入する(8%)；導入される(4%)；導入後；導入当初；導入以降</t>
        </is>
      </c>
      <c r="E5967" t="inlineStr">
        <is>
          <t>採用；紹介；掲載；用いる；冒頭</t>
        </is>
      </c>
      <c r="F5967" t="inlineStr">
        <is>
          <t>技術導入；制度導入；台導入；制導入；ユーロ導入</t>
        </is>
      </c>
      <c r="G5967" t="inlineStr">
        <is>
          <t>導入事例</t>
        </is>
      </c>
      <c r="H5967" t="n">
        <v>29</v>
      </c>
      <c r="I5967" t="inlineStr">
        <is>
          <t>これらの要素は本作で初めて導入され、以降の作品でも踏襲されている。；これら二つの問題を解決する装置として導入されたのが変換規則である。；これは中国の唐令の規定をそのまま日本に導入したものと考えられる。；資格制度においてもイギリスの制度設計が導入されていることが多い。；光伝送技術の導入に積極的なインテル社は、将来の採用を構想している。；この奇妙な性質の原因が解明されるのは量子力学が導入されてからである。；その結果、小学校への導入は当初の予定どおりには実現しなかった。；これを防ぐためにICカード化や生体認証の導入などの対策が図られる。；なお以下は一度も導入経験がない社局を記載し、三重県の一部を含めている。；そのため、車両導入の予算区分には独特の用語が使用されている。；この方式は1989年の消費税導入時に総額表示が行われるまで続いた。；一時的に使用される型を簡単に定義するための匿名型が導入された。；近年の店舗ではマイクの下に注文を表示するディスプレイが導入されている。；イギリスは近代的な地税制度を導入してインドの民衆を困窮させた。；ウィンドウサイズ・フィールドは拡張できないので、が導入されている。；ローマにはその技術がなかったので、王の故郷エトルリアから技術導入した。；太平洋戦争以前には、フィジーへの日本人移民の導入が試みられていた。；Itaniumのサポートは一度は計画されたが、市場導入には至っていない。；時を同じくしてシネマスコープの導入にともない映画は大型化。；ただし、一部の国や地域では、独自の観点から広軌を導入したところもある。；最終的には、16世紀にヨーロッパに導入された法に置き換えられた。；ただし導入状況は学校によるので、MSXを全然知らない人も多い。；コピーレフトの考えが導入されているライセンスには以下のようなものがある。；バスカード導入で補助対象になったのはこれらが日本初の事例である。；フィリピンのとある刑務所では、囚人達の教育の一環で導入されている。；後述するように乗り入れ対応の車両である6500形の導入計画を有している。；少し遅れてペトラルカ的恋愛詩や牧歌などもドイツ文学に導入された。；このようにして導入される距離はユークリッド距離と呼ばれる。；日本に初めて自動車が導入されたのは、1903年のことである。</t>
        </is>
      </c>
      <c r="J5967">
        <f>HYPERLINK("https://www.weblio.jp/content/導入", "词义详情")</f>
        <v/>
      </c>
      <c r="K5967">
        <f>HYPERLINK("https://yourei.jp/導入", "查看例句")</f>
        <v/>
      </c>
    </row>
    <row r="5968">
      <c r="A5968" t="inlineStr">
        <is>
          <t>当人</t>
        </is>
      </c>
      <c r="B5968" t="inlineStr">
        <is>
          <t>成功</t>
        </is>
      </c>
      <c r="C5968" t="inlineStr">
        <is>
          <t>読み方：とうにん
そのことに直接関係する人。本人。</t>
        </is>
      </c>
      <c r="D5968" t="inlineStr">
        <is>
          <t>当人たち(4%)；当人同士；当人達；当人自身；当人以外</t>
        </is>
      </c>
      <c r="E5968" t="inlineStr">
        <is>
          <t>本人；当事者；同一人物；対象者；張本人</t>
        </is>
      </c>
      <c r="F5968" t="inlineStr">
        <is>
          <t>ご当人；受験者当人；使用者当人；当人達自身</t>
        </is>
      </c>
      <c r="H5968" t="n">
        <v>29</v>
      </c>
      <c r="I5968" t="inlineStr">
        <is>
          <t>またその結果発生する責任をどう果たすかも当人の自由に任されている。；どうしたはずみか顔がよく似たので、当人よりは両親のほうが大喜びだ。；それから、ちょっと念を押しておくが、これは主に当人の希望だからな。；当人同士の恋愛から始まり、男が女の家に通って夫婦関係を発生させる。；今日では休場した当人以外はほぼ勝ちと負けのみになるようになった。；壺を隠した当人がネダをみんなあげるようなムダなことをするものかえ。；離婚された当人がなんとかして元の巣へ帰りたくてやった非常手段と違う。；他者から認識されやすく、当人の行動の邪魔にならない箇所に装着する。；当人にしてみれば、それらに対して欲望を感じていないケースまである。；当人の話に聞いたが、 妙なわけで半分世に出て来たのだそうだ。；受けている当人がそう思うのですから、これは間違いはありません。；当人もそれを否定しませんし、それらしく振舞っている傾向さえあります。；当人は包丁を手にしたことは認めたが、殺すと脅したことは否定した。；占った当人の張は、もうそんなことはきれいに忘れてしまったらしい。；後でその話を梅沢君にしたところがその当人が梅沢君だったのには驚いた。；交渉成立後は当人の家及び実家に行き、家族との交流やパーティを開催する。；もっとも当人同士の関係は、伴馬の子の弓川によれば極めて良好だった。；当人自身に救ひがなきや、人を救ふ御利益のでてくる道理はねえからな。；なお、オーストラリアへの渡航は当人の希望や成績などの条件がある。；それから被害者の弟の亀之介ですが、当人は帰宅したといっています。；以下は、月刊競輪で当人がコラムを連載していた頃の話を中心にまとめた。；当人はただ可哀そうだと思っており、よいことをしている気持でいるらしい。；それがまた当人の為にもなると、喜んでいる親もあるのでした。；永静軍東光県の人であるが、当人は鄆州を根拠地としていたとみられる。；当人同士は、そうした周囲の対比をさほど気にもかけていない様子である。；わしの作った神経瓦斯は、全然当人に自覚がないような性質のものだ。；当人もよほど注意して、他人に覚られないように努めていたに相違ありません。；そして当人はそれを無理に努めているようにも見えません。；よって、論文を読む側が当人の分析や主張のみですべてが理解できるとは限らない。</t>
        </is>
      </c>
      <c r="J5968">
        <f>HYPERLINK("https://www.weblio.jp/content/当人", "词义详情")</f>
        <v/>
      </c>
      <c r="K5968">
        <f>HYPERLINK("https://yourei.jp/当人", "查看例句")</f>
        <v/>
      </c>
    </row>
    <row r="5969">
      <c r="A5969" t="inlineStr">
        <is>
          <t>どうのこうの</t>
        </is>
      </c>
      <c r="B5969" t="inlineStr">
        <is>
          <t>成功</t>
        </is>
      </c>
      <c r="C5969" t="inlineStr">
        <is>
          <t>［副］いろいろ言い立てるさま。なんのかの。どうこう。「—言ってもはじまらない」</t>
        </is>
      </c>
      <c r="D5969" t="inlineStr">
        <is>
          <t>どうのこうの言う(2%)；どうのこうのと言う；どうのこうのと云う；どうのこうのいう</t>
        </is>
      </c>
      <c r="E5969" t="inlineStr">
        <is>
          <t>何やかや；何だかんだ；ああだこうだ；何のかんの；何のかんのと</t>
        </is>
      </c>
      <c r="H5969" t="n">
        <v>29</v>
      </c>
      <c r="I5969" t="inlineStr">
        <is>
          <t>きみはありそうな事を考えてどうのこうのいってるんじゃないんだな。；犯人をどうのこうのと言っているが、彼は全く状況を把握してはいない。；今のところあいつだっておれたちとどうのこうのって暇なんかないさ。；今となってどうのこうのと解釈しようと、いずれにしても大事件であった。；だから手術をした女優さんをどうのこうのいう気はまるでないの。；プライバシーがどうのこうのという理由で載せないのかもしれなかった。；どうのこうの云ってもいざ出掛けてみるとそれなりの気分になるものだ。；そうなったら、けちな銀行もコストがどうのこうのいうてる場合やない。；年齢がどうのこうのではなく、一人の人間としての強さが滞っていた。；リアリティがどうのこうのと、理窟を僕は言おうとしているんじゃ無い。；私はお母さんのように、あなたが男のひととどうのこうのなんて思ってないんですよ。；彼は覚悟していたらしく、特に不平を越してどうのこうのする気配もなかった。；だいたい、もとは、酒をどうのこうのてなことから喧嘩になったんか?；為替管理がどうのこうのと云ったところで、何んともならぬらしい。；道化方 後の世がどうのこうのと云うことだけはわたくしは聞きたくありませんな。；だとしたらさっき冬華が利益がどうのこうのとか言ってたのもそのことに関連してるのか?；学校がどうのこうのと云ったって、正しい文の道はただ一つさ。；この家の中に転がっている死体がどうのこうのより、まず公開写真の一件が先なんだ。；戦争勃発と同時に志願したんですが、年齢がどうのこうのといって拒否されましてね。；それを思えば、芸術がどうのこうのと自分の美学を展開するどころでは無い。；このように混雑しているのであれば、パンの好みがどうのこうのと言ってはいられない。；どうのこうのと批判的なことを言うのが、キリスト者と称する連中。；医者へ行ってどうのこうのというほどの話ではない。；文明を破壊する殺人鬼がどうのこうのと狂ったように喚き立てている!；ノラ 心配事がどうのこうのと申しているのではありません。；それをどうのこうのと云うほど男には落ついた心がなかった。；テレビ画面は、そろそろ夏の気配がどうのこうのと、興味のない話題を伝えている。；着物が欲しいと思っても、柄がどうのこうのという問題ではない。；周囲がどうのこうの言う問題ではないのであります。</t>
        </is>
      </c>
      <c r="J5969">
        <f>HYPERLINK("https://www.weblio.jp/content/どうのこうの", "词义详情")</f>
        <v/>
      </c>
      <c r="K5969">
        <f>HYPERLINK("https://yourei.jp/どうのこうの", "查看例句")</f>
        <v/>
      </c>
    </row>
    <row r="5970">
      <c r="A5970" t="inlineStr">
        <is>
          <t>当番</t>
        </is>
      </c>
      <c r="B5970" t="inlineStr">
        <is>
          <t>成功</t>
        </is>
      </c>
      <c r="C5970" t="inlineStr">
        <is>
          <t>読み方：とうばん
順送りに仕事の番に当たること。また、その番に当たる人。「炊事—」</t>
        </is>
      </c>
      <c r="D5970" t="inlineStr">
        <is>
          <t>当番組(2%)；当番町；当番兵；当番日；当番法被</t>
        </is>
      </c>
      <c r="E5970" t="inlineStr">
        <is>
          <t>番；順番</t>
        </is>
      </c>
      <c r="F5970" t="inlineStr">
        <is>
          <t>s当番；炊事当番；食事当番；弁当当番；料理当番</t>
        </is>
      </c>
      <c r="G5970" t="inlineStr">
        <is>
          <t>当番弁護士制度；当番医；当番弁護士；当番回</t>
        </is>
      </c>
      <c r="H5970" t="n">
        <v>29</v>
      </c>
      <c r="I5970" t="inlineStr">
        <is>
          <t>今夜は本来なら当番日ではないのだが、部下に頼まれて代わったらしい。；彼女は、六時に自分の当番がきて、二階へ持って行ったのを覚えていた。；今一つ気ばらしになったことは、四五日ぶりに一度ずつ食事当番がある。；「当番は明日です」 さっきの男とは、ちょっと声が違うんじゃないか?；いかに掃除当番とは言え、これはさすがに遅すぎるのではないだろうか。；炊き出しの当番が回ってきても、周りの人が物凄い勢いで作ってくれる。；当番にあたる人は前の日に会社の鍵を持って出ることになっている。；「いいんだ、この前いったし、今度の当番はぼくだから」ぼくは答える。；あいつは自分の見張り当番をすませた上におれの分までやってくれた。；いや大尉が行けば当番の僕は、どうして行かずにおられるでしょう。；当番にあたっていたため、それは籠り堂への見廻りに出た明け方だった。；あと十五分で朝の当番のひととおりの仕事を終えなくてはならない時間だった。；しかし見送りなら当番兵を一人つけるだけでよいじゃありませんか。；番制度によって勤務に当たることを当番と呼び、現在でも用いられている。；生憎今日はクラス単位のパン当番がなかったので、事前に注文はできない。；ただし、地域の輪番制で当番となっている場合などでは休日加算される。；弁当当番の件は、一度因縁をつけたことで彼らも満足したのかもしれない。；現在の当番町は正式には「世話当番町」であり、本来の当番町ではない。；S当番が辿り着こうとしている結論が何なのか、薄々わかり始めたのだ。；昼当番の女子職員や葛西も、息をひそめるようにしているのが感じられた。；みんな教室の掃除当番だったが掃除するのはいつもわたしだけだった。；駅の業務の他、花輪線などでの蒸気機関車運転士や炊事当番も経験した。；とにかく週に一回、当番が二人ずつ選ばれて、その実家行きを命じられる。；郵便物当番も、もうむろんそのころには帰って来て、仲間に加わっていた。；彼の性格からして罰当番に素直に参加する筈が無いのは最初から分かっていた。；三〇分ほど前にアメダスセンターの当番者が言ったのと、同じ台詞だった。；彼らは音比古に命令されるまま、掃除当番も宿題も代わりにやっている。；平常から文学科の世話係たる任務に、当番としてあたっていたからである。；時刻からすると、今日はこのお民がその当番なのだろうと思う。</t>
        </is>
      </c>
      <c r="J5970">
        <f>HYPERLINK("https://www.weblio.jp/content/当番", "词义详情")</f>
        <v/>
      </c>
      <c r="K5970">
        <f>HYPERLINK("https://yourei.jp/当番", "查看例句")</f>
        <v/>
      </c>
    </row>
    <row r="5971">
      <c r="A5971" t="inlineStr">
        <is>
          <t>同伴</t>
        </is>
      </c>
      <c r="B5971" t="inlineStr">
        <is>
          <t>成功</t>
        </is>
      </c>
      <c r="C5971" t="inlineStr">
        <is>
          <t>読み方：どうはん
［名］(スル)一緒に連れ立って行くこと。特に、男女が連れ立つこと。「父兄—」「夫に—する」</t>
        </is>
      </c>
      <c r="D5971" t="inlineStr">
        <is>
          <t>同伴する(9%)；同伴者(3%)；同伴出勤；同伴喫茶；同伴ホテル</t>
        </is>
      </c>
      <c r="E5971" t="inlineStr">
        <is>
          <t>伴う；護衛；同行；警護；随行</t>
        </is>
      </c>
      <c r="F5971" t="inlineStr">
        <is>
          <t>保護者同伴；家族同伴；ペット同伴；御同伴；女性同伴</t>
        </is>
      </c>
      <c r="G5971" t="inlineStr">
        <is>
          <t>同伴者作家；同伴者文学；同伴行列</t>
        </is>
      </c>
      <c r="H5971" t="n">
        <v>29</v>
      </c>
      <c r="I5971" t="inlineStr">
        <is>
          <t>のみならず同伴の外国人の男女と愉快そうに笑ったり話したりし出した。；登場時はしずかと同伴している場面がほとんどで、単独の描写は少ない。；そうして先に行った私の同伴はすでに参詣を済まして帰って行きました。；小学校6年生までの子供とその保護者の同伴での利用を呼び掛けている。；ちなみにその時、もう一人の同室者である中年さんも隣に同伴していた。；この時には企画の際に総裁からプレゼントされたウサギも同伴していた。；さうしてたまたま東京に来て居つたといふ安積叡子さんを同伴して来た。；この本の取材旅行に同伴し、それらの鉛筆画がこの本で挿絵に使われた。；小学校3年生以下の子供は、水着を着用した大人が同伴する必要がある。；学生一名につき、ひとりまで執事を同伴しての入学が許可されている。；彼等の相手をしているのは同伴の女とホステスが半々のように見えた。；とんぼが一匹飛んで来て自分の帽子の上に止まったのを同伴の子供が注意した。；同伴の場合、少なくとも店にやって来る前に、どこかで夕食を共にする。；イギリスから帰国の度に、笑顔バスに同伴して幼稚園などを訪問している。；プレーするには、会員になるか、会員の同伴または紹介が必要である。；ホテル側にしてみれば、同伴の男女はすべて夫婦として扱うのである。；まだ他人の戸籍に入っている女を、ロンドンへ同伴できるわけはない。；もともとこの二人を同伴して帰国したのは、そのためだったのだ。；このイタリア旅行でベラスケスに同伴したのが本作に描かれているである。；一日に一件の同伴をしていたのではとうていノルマなど達成できやしない。；大人は連れて来た子供の同伴のみが可能で、仕事体験はできない。；看板には今風のカップル喫茶ではなくちゃんと同伴喫茶と記されている。；六本木のディスコやライブは必ず女性を同伴しなければ中へ入れない。；愛欲関係で、当然男と同伴だったと思われるが、その男も不明である。；少くともかう云ふ生活者にずつと同伴してゐなければならぬ筈である。；彼女は、市川に、同伴出勤をしてくれないかと頼みこんできたのである。；それでもだめなら、兄でも妹でも同伴してかっこうつけるしかないのである。；その反応を見たジャクソンはアリーを自身のツアーに同伴させることにした。；鮫川の最後の同伴女性にも待っていた男がいたとすれば、彼はその後どうしたか。</t>
        </is>
      </c>
      <c r="J5971">
        <f>HYPERLINK("https://www.weblio.jp/content/同伴", "词义详情")</f>
        <v/>
      </c>
      <c r="K5971">
        <f>HYPERLINK("https://yourei.jp/同伴", "查看例句")</f>
        <v/>
      </c>
    </row>
    <row r="5972">
      <c r="A5972" t="inlineStr">
        <is>
          <t>逃避</t>
        </is>
      </c>
      <c r="B5972" t="inlineStr">
        <is>
          <t>成功</t>
        </is>
      </c>
      <c r="C5972" t="inlineStr">
        <is>
          <t>読み方：とうひ
［名］(スル)困難などに直面したとき逃げたり、意識しないようにしたりして、それを避けること。「現実から—する」</t>
        </is>
      </c>
      <c r="D5972" t="inlineStr">
        <is>
          <t>逃避する(13%)；逃避的(4%)；逃避しよ(2%)；逃避行動；逃避所</t>
        </is>
      </c>
      <c r="E5972" t="inlineStr">
        <is>
          <t>逃げ；脱出；逃れ；回避；逃げる</t>
        </is>
      </c>
      <c r="F5972" t="inlineStr">
        <is>
          <t>資本逃避；エジプト逃避；逃避場；逃避地；逃避資本</t>
        </is>
      </c>
      <c r="G5972" t="inlineStr">
        <is>
          <t>逃避型抑うつ</t>
        </is>
      </c>
      <c r="H5972" t="n">
        <v>29</v>
      </c>
      <c r="I5972" t="inlineStr">
        <is>
          <t>しかしながら心の技術は社会から逃避するための技術となってはならぬ。；彼は子供の時から自分だけの夢の世界に逃避しよう、しようとしていた。；でもあたしはできることならこの悲しみから逃避しようとは思いませんの。；私も逃避のための小説を書こうと思い立ってこの物語を書いたのだった。；逃避するあまり二人組の怒鳴っていなかったほうに意識を集中してみた。；私を現実から逃避させようとしている悪魔の見せる幻影なのだろうか。；いや、誰とも話したくなかったから本に逃避していたのかもしれない。；多少欲を殺し逃避的の性質のあるものには誰でも出来るのであります。；こういうことを考えるのは現実からの逃避だっていうの、よく判ってる。；その理由は、現実の生活からの逃避であり解放なのではないかと、考える。；その全体の結果として、文学は実生活からの逃避所となる傾向にあった。；男なら、こういう場合にはどこへ行って寂しさから逃避するのだろうか。；どうやら辛い現実から逃避した精神は幻の世界へ迷い込んでいたようだ。；こうして一時的にせよ、現実を逃避し童心に戻るのも悪いものではない。；しかし在野で活躍していた人が修道院へ入るのは必ずしも逃避とはいえない。；ヤンはそう思いたかったが、それは一時の逃避でしかないようだった。；そしてそれを決行すると同時に、海外に逃避しようと考えたのである。；そうやっていつまでも現実逃避してるうち、敵に先制されてしまうわ。；今までのように現実を回避することも逃避することもできない。；逃避のなかでそれがもっとも有効であると判断したからだった。；第二に、狂熱的国民性が一人たりとも同胞のかかる逃避を許さざるべし。；さまざまな抗原は、さまざまな機構で免疫系から逃避することができる。；一瞬でもいいから犬から逃避したいとなると、これぐらいしかない。；私が当時の父に逃避者を認めて内心に父を責めてゐたのは実は間ちがつてゐた。；人は、嫌なものを考えたくない時や恐怖から逃避したい時、思考を放棄する。；しかしこれは戦争からの逃避であって、けっして戦争の否定ではない。；シカはこれを聞いて早く逃避体制に入れるので明らかに利益がある。；どちらを見ても運命の放棄と、あたたかい大衆の身辺への逃避があった。；逃避のための読書であったが、これが彼の精神をあやうく支えたのである。</t>
        </is>
      </c>
      <c r="J5972">
        <f>HYPERLINK("https://www.weblio.jp/content/逃避", "词义详情")</f>
        <v/>
      </c>
      <c r="K5972">
        <f>HYPERLINK("https://yourei.jp/逃避", "查看例句")</f>
        <v/>
      </c>
    </row>
    <row r="5973">
      <c r="A5973" t="inlineStr">
        <is>
          <t>投票</t>
        </is>
      </c>
      <c r="B5973" t="inlineStr">
        <is>
          <t>成功</t>
        </is>
      </c>
      <c r="C5973" t="inlineStr">
        <is>
          <t>読み方：とうひょう
［名］(スル)
１選挙や採決のとき、各人の意思表示のため、氏名や賛否などを規定の用紙に記し、一定の場所に提出すること。「支持政党に—する」「不在者—」
２競馬・競輪などで、馬券・車券を買い求めること。「勝馬—券」</t>
        </is>
      </c>
      <c r="D5973" t="inlineStr">
        <is>
          <t>投票できる；投票総数；投票権；投票システム；投票企画</t>
        </is>
      </c>
      <c r="E5973" t="inlineStr">
        <is>
          <t>票；決議；議決；採決；票決</t>
        </is>
      </c>
      <c r="F5973" t="inlineStr">
        <is>
          <t>一般投票；読者投票；視聴者投票；mvp投票；インターネット投票</t>
        </is>
      </c>
      <c r="G5973" t="inlineStr">
        <is>
          <t>投票日；投票結果；投票者；投票用紙；投票率</t>
        </is>
      </c>
      <c r="H5973" t="n">
        <v>29</v>
      </c>
      <c r="I5973" t="inlineStr">
        <is>
          <t>選考は毎年1月に新聞・放送の競馬担当記者の投票を元に行われている。；また南部のドイツ支持が明確な地区では投票自体行われなかった。；また、重要な点はこの投票システムが暗号技術に依存していない点である。；どこの政党を支持し投票をするかについては会員の自由となっている。；また侵攻エリアに関しても、ユーザーたちに投票が求められることがある。；新文展に改組するの当たり、審査は投票で行われるよう改められている。；この選挙では、公明支持者の8割以上が翁長に投票したと見られている。；また、投票は男性には義務化されているが女性は任意である。；この指定された競走以外への出走投票は認められない。；投票の結果第二次投票で過半数を制したラウが第8代大統領に選出された。；なお、選挙期間中の電話による投票依頼は公職選挙法で認められている。；投票が行われるべき指定時間があり、その後で票数集計が行われます。；アマチュア野球担当記者たちの投票によりベストナインを選出している。；なお実際の放送では、投票理由を述べるシーンは一部のメンバーの分のみが放送される。；彼は南アフリカ人の投票を促すポスターに彼の顔を使用することを許可した。；このように選挙人の投票が実際に割れたのは初めてのことだった。；本賞はハリウッド外国人映画研究協会の会員の投票により選定される。；枠を対象とした投票法は、上記の内では連勝単式および連勝複式のみである。；反対投票をした者はその場で逮捕、強制収容所への送致処分となることがある。；賛成票の多くは北部パンハンドル部周辺の16郡で投票されたものだった。；名前は全157件に及ぶご応募の中からSNS投票などで選ばれた。；一方、選挙投票所の立会人に対してもウォッチャーと称することがある。；なお、無投票当選となり投票が行われない場合には政見放送は実施されない。；また、2014年からは来校者のみの投票で選出する特別賞が設定された。；反対投票の6割は被投票資格を緩めることに反対するものであった。；なぜならあの人はマジでいい曲、巧い歌手に投票してしまうからだ。；選挙は、複数投票制と比例代表制を組み合わせた直接選挙で行われる。；結果的にこの問題は庶民院の投票と国民投票を経てEEC残留が決定する。；過去のニューハンプシャー州は共和党員に投票することが多かった。</t>
        </is>
      </c>
      <c r="J5973">
        <f>HYPERLINK("https://www.weblio.jp/content/投票", "词义详情")</f>
        <v/>
      </c>
      <c r="K5973">
        <f>HYPERLINK("https://yourei.jp/投票", "查看例句")</f>
        <v/>
      </c>
    </row>
    <row r="5974">
      <c r="A5974" t="inlineStr">
        <is>
          <t>同封</t>
        </is>
      </c>
      <c r="B5974" t="inlineStr">
        <is>
          <t>成功</t>
        </is>
      </c>
      <c r="C5974" t="inlineStr">
        <is>
          <t>読み方：どうふう
［名］(スル)封筒の中に手紙と一緒にほかのものを入れること。「返信用の切手を—する」</t>
        </is>
      </c>
      <c r="D5974" t="inlineStr">
        <is>
          <t>同封いたし(3%)；同封致し</t>
        </is>
      </c>
      <c r="E5974" t="inlineStr">
        <is>
          <t>組み合わせ；付属；同梱；セット販売</t>
        </is>
      </c>
      <c r="F5974" t="inlineStr">
        <is>
          <t>写真同封；一緒に同封</t>
        </is>
      </c>
      <c r="H5974" t="n">
        <v>29</v>
      </c>
      <c r="I5974" t="inlineStr">
        <is>
          <t>もし自分が死んだらここに同封する手紙を木部の所に持って行くがいい。；商品にはこれまでの本バンドのグッズの販売のチラシも同封されている。；ついでにわたし自身の描いた地図の写しを二部、同封しておきましょう。；同封のパンフレットには市民文化ホールでのコンサートが案内されていた。；手紙が同封されてい、鳩二羽の面倒を見て欲しい旨が認められていた。；もし自分が死んだらここに同封する手紙を木部のところに持って行くがいい。；初回限定盤には小冊子が同封されており、現在では希少品となっている。；彼女はなかに、もう一通同封されている英軍測量部の手紙をとりあげた。；一家が家の前で並んでポーズをとっている写真が同封してあった。；この手紙に同封されている書類の束が、失敗の詳細を説明していた。；それからすぐに、彼からは自分が写した私の写真を同封した手紙が届いた。；その中には次のような特別な手紙と書類が同封してあった。；同封の手紙には大意以下のようなことがドイツ語で書いてあった。；手紙の中に同封して、何かのお役に立てば、と、写真が一枚はいっていた。；手紙にはそのとき描かれたとされる絵も同封されていた。；手紙の理解に多少とも役立つかと考えて、旅の略図をここに同封する。；なお、後者の場合は朝鮮総連の紹介状を出願書類に同封する必要がある。；彼が自ら記した三つの条件は、この手紙と一緒に同封しておく。；同封の手紙をご覧になれば、きっと事情がおわかりのことと存じます。；しばらくして送られてきた由起子からの手紙には、千人針が同封されていた。；被害者の鈴木様へのお詫び状を同封致しますからおとどけして下さいね。；お雪は名倉の母へ宛てた手紙の中へこの妹に書かせたものを同封して送ることにした。；CD限定の撮り下ろし番組が同封され、それぞれで特別企画が行われた。；ベリカードの発行には140円相当の返信用切手を同封する必要がある。；日本版では歌詞対訳・解説訳の付いたブックレットが同封されている。；教師は驚きながらも手紙に返事を書き、その際教師の妻が短歌を3首同封した。；第一その手紙の中には、不思議な写真がいちまい同封してあった。；そしてウージェーヌあての簡単な手紙も、一緒に同封されてあった。；また、内容品の栽植又は繁殖に関する説明を同封することが可能である。</t>
        </is>
      </c>
      <c r="J5974">
        <f>HYPERLINK("https://www.weblio.jp/content/同封", "词义详情")</f>
        <v/>
      </c>
      <c r="K5974">
        <f>HYPERLINK("https://yourei.jp/同封", "查看例句")</f>
        <v/>
      </c>
    </row>
    <row r="5975">
      <c r="A5975" t="inlineStr">
        <is>
          <t>動物</t>
        </is>
      </c>
      <c r="B5975" t="inlineStr">
        <is>
          <t>成功</t>
        </is>
      </c>
      <c r="C5975" t="inlineStr">
        <is>
          <t>読み方：どうぶつ
１生物を二大別したときに、植物に対する一群。多くは自由に移動することができ、植物などの作り出した有機物を栄養として摂取する。細胞壁がなく、種々の器官が分化し、神経系・感覚器官・排出器官・呼吸器官などをもつ。原生動物に分類されるものではほとんど植物と区別できないものもある。生態分布として、水生動物と陸生動物とに分けられる。
２人類以外の動物。特に、哺乳類をいう。獣類。</t>
        </is>
      </c>
      <c r="D5975" t="inlineStr">
        <is>
          <t>動物たち(5%)；動物的(2%)；動物園；動物界；動物種</t>
        </is>
      </c>
      <c r="E5975" t="inlineStr">
        <is>
          <t>生物；獣；生き物；生体；鳥獣</t>
        </is>
      </c>
      <c r="F5975" t="inlineStr">
        <is>
          <t>軟体動物；大型動物；様々な動物；小さな動物；大きな動物</t>
        </is>
      </c>
      <c r="G5975" t="inlineStr">
        <is>
          <t>動物学；動物実験；動物学者；動物食；動物性</t>
        </is>
      </c>
      <c r="H5975" t="n">
        <v>29</v>
      </c>
      <c r="I5975" t="inlineStr">
        <is>
          <t>彼の研究の殆どは、動物の行動を研究する比較心理学的なものであった。；ビスケットの中には子供向けに文字や動物の形をしたものも作られている。；学校では勉強をしながらも、動物や自然などの様々な絵を描いていた。；これには神々も驚き、動物に姿を変えてエジプトの方へと逃げてしまった。；冬には、多くの動物が凍結しない場所で活動を停止しじっとしている。；人間以外の動物でも利き手やそれに相当する概念が研究されている。；また、動物の成長速度や寿命、NGの多さで撮影は大変といわれている。；砂丘独特の植物・動物が自生・生息しており研究の対象となっている。；神が十二支の動物を決める際、家の門の前に来た順番に決めることにした。；上記のように主な動物は日本本土と共通、あるいは関係が深いものである。；動物分類学や植物分類学だけを指すためにこの言葉が用いられることもある。；多くの地域社会では、乳の生産は動物を飼育する目的の一部でしかない。；動物によって特に大きく異なっている機能は、皮膚の物質透過性である。；飼育する動物が水棲生物である場合は、養殖と呼ぶことが一般的である。；植物や動物から絞り出す成分そのものを指してエキスと言う場合もある。；動物の眼には、人間の眼と構造や機能が大きく異なるものがある。；工具は、人類を地球上の全ての他の動物から分離した決定的な象徴である。；特に動物に関する体系的な研究は古代世界では東西に類を見ない。；動物が使うことがない言語によって特徴づけるようになったのである。；海綿動物などの例外はあるが、動物は特化した組織で構成される体を持つ。；中世には悪魔でなく動物の姿で表しているものも見られる。；他の動物では骨性ラチリスムと呼ばれる骨格異常が生じることがある。；ただし、動物の行動や発生といった限定的なものはいくつか実験されている。；ほかの話として、候補の動物たちが順番を投票で決められることとなった。；よく、汚れた雪男と誤称され、背の高い白い毛皮の動物とされてしまう。；動物の細胞は、全ての真核生物の細胞に共通した以下の構造を持つ。；人類以外の動物が道具を使用する例も多く知られている。；様々な動物の持っている皮膚の主な機能を以下に挙げる。；動物媒の受粉様式は動物と植物の共進化の例として研究がなされている。</t>
        </is>
      </c>
      <c r="J5975">
        <f>HYPERLINK("https://www.weblio.jp/content/動物", "词义详情")</f>
        <v/>
      </c>
      <c r="K5975">
        <f>HYPERLINK("https://yourei.jp/動物", "查看例句")</f>
        <v/>
      </c>
    </row>
    <row r="5976">
      <c r="A5976" t="inlineStr">
        <is>
          <t>動物園</t>
        </is>
      </c>
      <c r="B5976" t="inlineStr">
        <is>
          <t>成功</t>
        </is>
      </c>
      <c r="C5976" t="inlineStr">
        <is>
          <t>読み方：どうぶつえん
世界各地から集めた種々の動物を飼育し、調査や保護、教育、娯楽などを目的に広く一般に見せる施設。
[補説]日本では、明治15年（1882）開園の上野動物園が最初。</t>
        </is>
      </c>
      <c r="D5976" t="inlineStr">
        <is>
          <t>動物園水族館協会；動物園内；動物園側；動物園線；動物園調査</t>
        </is>
      </c>
      <c r="F5976" t="inlineStr">
        <is>
          <t>日本動物園水族館；野毛山動物園；自然動物園；小動物園；子供動物園</t>
        </is>
      </c>
      <c r="G5976" t="inlineStr">
        <is>
          <t>動物園前駅；動物園にて；動物園へ行こう；動物園仮説；動物園は大変だ</t>
        </is>
      </c>
      <c r="H5976" t="n">
        <v>29</v>
      </c>
      <c r="I5976" t="inlineStr">
        <is>
          <t>子供を主人公にして、動物園へ行ってから帰るまでの様子を歌っている。；かつて動物園はこういった珍しい動物を可能なかぎり集めていたのである。；例えばカラスを含む数十種類の動物を飼っている動物園があったとする。；テレビで動物園にいる両親の姿を目にし、故郷を目指す事をあきらめる。；また自然や動物を好み、動物園や動物実験を批判する歌詞も残している。；この橋は世界の動物園で最初の高所からの展示だった可能性がある。；絶滅危惧種である一方で、日本の動物園では増えすぎが問題となっている。；殺処分せずに、安全な地域の動物園へ避難させることも一部では行われた。；ドイツでは動物園に水族展示施設や昆虫展示施設を併設していることも多い。；北海道北部に位置する動物園のため、北方系の動物の展示が多い傾向にある。；今では多くの大規模動物園が彼の展示方式を採用している。；ドゥシット動物園はタイで一番初めに創設された動物園と公園である。；これらは動物が死なないと手に入らないため、動物園ではタブー視される。；動物園で飼育する場合、飼料に色素を添加する事で羽色を維持している。；その個人が動物園の動物にいかなる感情を持つのかによる。；そのうちの 3 つにはビーチがあり、州で唯一の動物園があります。；動物園では全世界で約100匹ほど飼育されていると言う情報がある。；その後、ぼくは靴やネクタイに反抗され時間に遅れて動物園についた。；日本動物園水族館協会非加盟施設で飼育されているのは以下の3箇所。；ドイツ国内では400以上の動物園が運営されており、世界最多とされる。；動物園の園長を祖父に持つ前川一家は、全員動物の名前で呼びあっていた。；また、さまざまな動物園とのネットワーク形成も目的としている。；三の丸の東部と東側に位置する出丸は姫路動物園の一部になっている。；珍獣の展示は浅草の花屋敷で常設化され、今の動物園につながっていく。；全国の動物園や水族館をまわって人気者の動物たちを紹介する。；地球は宇宙人から見れば動物園のような観察対象に過ぎないという意味である。；ゴールディの帰還後しばらくは、動物園の来園者が倍近くに増加した。；日本動物園水族館協会の繁殖賞を受賞した生物は以下の通りである。；動物園に水族展示施設や昆虫展示施設を併設していることも多い。</t>
        </is>
      </c>
      <c r="J5976">
        <f>HYPERLINK("https://www.weblio.jp/content/動物園", "词义详情")</f>
        <v/>
      </c>
      <c r="K5976">
        <f>HYPERLINK("https://yourei.jp/動物園", "查看例句")</f>
        <v/>
      </c>
    </row>
    <row r="5977">
      <c r="A5977" t="inlineStr">
        <is>
          <t>当分</t>
        </is>
      </c>
      <c r="B5977" t="inlineStr">
        <is>
          <t>成功</t>
        </is>
      </c>
      <c r="C5977" t="inlineStr">
        <is>
          <t>読み方：とうぶん
１あることが起こった、その当座。時分。ころ。
「当時クリミヤ戦争の—ではあるし」〈福沢・福翁自伝〉
２（副詞的にも用いる）現在のところ。ここしばらく。さしあたり。「—は間に合う」「—練習を休む」
３割り当てられた分。担当分。
「—ツカマツッタ」〈日葡〉
→当座［用法］</t>
        </is>
      </c>
      <c r="D5977" t="inlineStr">
        <is>
          <t>当分ここ；当分先；当分続く；当分東京；当分延期</t>
        </is>
      </c>
      <c r="F5977" t="inlineStr">
        <is>
          <t>少くとも当分；当分無理；当分助郷；当分休業；当分つづく</t>
        </is>
      </c>
      <c r="H5977" t="n">
        <v>29</v>
      </c>
      <c r="I5977" t="inlineStr">
        <is>
          <t>そうして二人は当分鎌倉の舞台を動き得ないものと信じていたのである。；また当分の間輸入された畜犬は、競技に出場できないことになっていた。；私は父に向かって当分今まで通り学資を送ってくれるようにと頼んだ。；もしあの女が浩さんと同藩でないとするとこの事件は当分埓があかない。；製造終了後も、自動車の使用期間の長いインドでは当分見ることができる。；もしお身体にお差障りないようでしたら当分こちらへ来てみませんか。；それが当分の間、手伝いのために田舎から私の家に来ていたことがあった。；彼女は当分そこで、ほんとうの一人きりになって、勉強する覚悟だった。；奴らは俺をうまく監禁していると思ってるから、当分安心しきっている。；それから当分のあいだ三四郎は毎日学校へ通って、律義に講義を聞いた。；君のお父さんにも、当分お出で下さらんように言っておいてくれたまえ。；菊千代にも当分の生活に困らないだけのことをしておいてくれました。；きのうも簡単にお話したとおり、私は当分このままの生活をつづけます。；不快のことなどは当分タナあげにして置くつもりに私はなっているのです。；それも当分と言うんですから、改革はそこまで及んで行くかもしれません。；今のありさまではわたしも当分は古巣へ戻ることを許されぬであろう。；この命題を前提とするすべての思想を私らは当分放擲しなければならない。；そういう話になって、当分はじっとしているよりほかないのだった。；本級では、3基の連装砲塔が前・中・後部にほぼ当分に配置されている。；幸ひ家は潰れなかつたので、家のなかで彼は当分蒼くなつて震へてゐた。；医師は、当分の間は激しい運動をしてはいけないと彼女に告げた。；結局、当分の間は総裁を置かず、集団指導体制で乗り切ることになった。；しかし空気も食料も幾ばくかは余裕があり、当分は生存が可能ではある。；当分のあいだ、家のなかはそのままにしておきたい、と舞子は言っていた。；かかる記録は多くの人の手を経るので、当分の間は皇帝の手許に達しない。；五百は家に帰って、父に当分紋を隠して奉公することの可否を相談した。；そしてあの用箪笥の上から、当分脚本は降りないのだと、心の中で思った。；これから当分火・金であるとすれば、こうしましょうではないの。；只これで当分海へ出られないと思うとそれが残念でならなかった。</t>
        </is>
      </c>
      <c r="J5977">
        <f>HYPERLINK("https://www.weblio.jp/content/当分", "词义详情")</f>
        <v/>
      </c>
      <c r="K5977">
        <f>HYPERLINK("https://yourei.jp/当分", "查看例句")</f>
        <v/>
      </c>
    </row>
    <row r="5978">
      <c r="A5978" t="inlineStr">
        <is>
          <t>等分</t>
        </is>
      </c>
      <c r="B5978" t="inlineStr">
        <is>
          <t>成功</t>
        </is>
      </c>
      <c r="C5978" t="inlineStr">
        <is>
          <t>読み方：とうぶん
［名］(スル)等しい分量に分けること。また、その分量や割合。「残りを三人で—する」
「五十嵐と細君の顔を—に見る」〈虚子・俳諧師〉</t>
        </is>
      </c>
      <c r="D5978" t="inlineStr">
        <is>
          <t>等分する(15%)；等分される(2%)；等分に見くらべ；等分に分け；等分点</t>
        </is>
      </c>
      <c r="E5978" t="inlineStr">
        <is>
          <t>同じ；同等；等しい；半々；トントン</t>
        </is>
      </c>
      <c r="F5978" t="inlineStr">
        <is>
          <t>三等分；四等分；九等分；六等分；八等分</t>
        </is>
      </c>
      <c r="G5978" t="inlineStr">
        <is>
          <t>等分散</t>
        </is>
      </c>
      <c r="H5978" t="n">
        <v>29</v>
      </c>
      <c r="I5978" t="inlineStr">
        <is>
          <t>若しこれ三等分すれば、三人とも一家を立つることが出来ないのである。；一人の将校は急に起ち上つて部隊長と私とを等分に見比べながら云つた。；涙でくしゃくしゃになった目で両親の顔を等分にながめながら飲んでいる。；二人の様子を等分に眺めやりながら、真奈はソファの隅に小さくなった。；そうして自分の鼻から出る青い煙と兄の顔とを等分に眺めていた。；この二つの点の間を百等分して、その一つ一つを一度と云ふのだ。；葉介は二つに切った林檎をまた二つに切り、それを神経質に五等分した。；島の生活は共同体であり、耕作地や漁獲は等分に分けられていたという。；心の中では、まだ一心に、その妹の顔と兄の顔とを等分に考えながら。；正確には四人を一つグループに等分に見て、最後に一人へ眼をむけたのだった。；よって、底角を2等分することで新しい黄金三角形を作ることができる。；一匹のサンマを十一等分すればもう懐石料理みたいになってしまうんだから。；次にわしはそのもうけを兄と私とのあいだで等分したのでした。；などと、新子は去った夫人と残っているご良人とのことを等分に考えていた。；心の中では、まだ一心に、その妹の顔と兄の顔とを等分に考へながら。；火村は気がすんだのか、今度は相対している三人を等分に見ながら尋ねた。；石室内部を三等分するように2本の石柱が立つ形式は日本唯一である。；もうひとつのよくある制限は、各区間の等分割を用いるものである。；また古代では、しばしば日の出や日の入りの間を等分する方法もとられた。；黒と白が等分に入り交じったそれは陰陽対極図と呼ばれるものだった。；お前たちが今うけつつあるそのお前たちの存在は、等分に生と死とに属している。；番台の前からひとつの境界線がのび、男女の間は完全に二等分されている。；その様子に気付かぬふりを装って、雪江は二人を等分に見る位置に座った。；四等分された輪のしるしが、痛々しく赤く、皮膚に焼きつけられていた。；六枚の羽は時計の文字盤のように、正確に円を六等分する形で配置されていく。；先端側の細胞は、その中間で隔壁を生じてほぼ等分の二つの細胞に分かれる。；其夜からわしの性質は、或意味に於て二等分されたやうに思はれる。；彼は妹と采女との顔を等分に見くらべたままで、つかつかと表へ出て行った。；「好きにやってみるさ」 全員の持っている金が集められ、等分にわけられた。</t>
        </is>
      </c>
      <c r="J5978">
        <f>HYPERLINK("https://www.weblio.jp/content/等分", "词义详情")</f>
        <v/>
      </c>
      <c r="K5978">
        <f>HYPERLINK("https://yourei.jp/等分", "查看例句")</f>
        <v/>
      </c>
    </row>
    <row r="5979">
      <c r="A5979" t="inlineStr">
        <is>
          <t>当方</t>
        </is>
      </c>
      <c r="B5979" t="inlineStr">
        <is>
          <t>成功</t>
        </is>
      </c>
      <c r="C5979" t="inlineStr">
        <is>
          <t>読み方：とうほう
自分の属している方。自分の方。こちら。「—は皆無事です」⇔先方。</t>
        </is>
      </c>
      <c r="D5979" t="inlineStr">
        <is>
          <t>当方いささか事情</t>
        </is>
      </c>
      <c r="E5979" t="inlineStr">
        <is>
          <t>私；自分；わたし；僕；俺</t>
        </is>
      </c>
      <c r="H5979" t="n">
        <v>29</v>
      </c>
      <c r="I5979" t="inlineStr">
        <is>
          <t>先生の証言で裁判の流れは、当方にかなり有利に展開するものと思います。；御承知の通り、当方にお客さんが見えることは滅多にありませんのでね。；お蔭で当方は身を守るために何人かの兵士を殺さざるを得なかった。；相手はこう言っています、当方はこう判断し、こうしたいと思います。；江戸藩邸にはしばしば、当方から使いをやって京都の事情を報告してきた。；しかし、当方はもう一時間はビールを飲んでいるので酔ってきている。；実は昨日お渡ししたバルブの一部が、当方の手違いで間違っていまして。；おたくの、こわれた古女房と、当方の古女房の交換をいたしております。；当方の対応は必ずしもエミリー・ポストの作法どおりにはいかなかった。；ただし、当方が本を読みながら歩いていても、相手はたいてい読んでいない。；それにもかかわらず、申告書が当方に提出されることはほとんどありません。；それには入院費用の支払いは当方負担という枠がはめられてあったからだ。；当方の艦長であるサイズモアは、この件に関して無干渉を決めたようだ。；以前にも書きましたが、当方いささか事情あって、返信ができません。；当方はボルゴ峠までお迎えの馬車をさしだし、それにて御案内をします。；少年靴みがきにひっかかった件も、当方にすきがなかったわけでもない。；しかし当方にも差し迫った事情があるから、ともかくも半金で負けておく。；当方への3つの道は、それぞれ別の地へ進み、それぞれに特色がある。；そこでこの国際連盟を出た代りに国際文化局を当方で造ろうというのである。；殊にですな、解剖の結果、益々当方の過ちでない事が証明されましたよ。；もちろんその遺書もまだその筋の手にあって当方へは来ない。；当方の事情を大方察してくれていることだろうと、安心はしている。；当方が懸命に雄のテレパシーを発しつづけてもまったく反応がない。；当方も警戒して控え目にしているのだが、つい口にしてしまう。；そんな瑣末事まで報告する義務があるとは、当方は夢にも思っていなかった。；江戸の吉良どのも上杉家も、当方の知らせを受くるのみで、何も言って来ぬ。；サウアベリ君、これは新年の朝、委員会が当方にくださったもんなんだ。；先方が欺いたのでなく、当方が不注意のために知らなかったに過ぎぬ。；これは当方で保管するカードですので、見合いの相手の方の目には触れません。</t>
        </is>
      </c>
      <c r="J5979">
        <f>HYPERLINK("https://www.weblio.jp/content/当方", "词义详情")</f>
        <v/>
      </c>
      <c r="K5979">
        <f>HYPERLINK("https://yourei.jp/当方", "查看例句")</f>
        <v/>
      </c>
    </row>
    <row r="5980">
      <c r="A5980" t="inlineStr">
        <is>
          <t>逃亡</t>
        </is>
      </c>
      <c r="B5980" t="inlineStr">
        <is>
          <t>成功</t>
        </is>
      </c>
      <c r="C5980" t="inlineStr">
        <is>
          <t>読み方：とうぼう
［名］(スル)
１逃げて身を隠すこと。「犯人が—する」「敵前—」
２律令制で、本籍地・任地から他郷へかってに離れること。</t>
        </is>
      </c>
      <c r="D5980" t="inlineStr">
        <is>
          <t>逃亡する(12%)；逃亡しよ；逃亡生活；逃亡先；逃亡兵</t>
        </is>
      </c>
      <c r="E5980" t="inlineStr">
        <is>
          <t>逃げ；脱出；逃げる；逃走；抜ける</t>
        </is>
      </c>
      <c r="F5980" t="inlineStr">
        <is>
          <t>捨てて逃亡；海外逃亡；連れて逃亡；敵前逃亡；頼って逃亡</t>
        </is>
      </c>
      <c r="G5980" t="inlineStr">
        <is>
          <t>逃亡中；逃亡奴隷；逃亡者たち；逃亡奴隷法；逃亡罪</t>
        </is>
      </c>
      <c r="H5980" t="n">
        <v>29</v>
      </c>
      <c r="I5980" t="inlineStr">
        <is>
          <t>クングールの労働収容所に入れられたのち、列車に乗った際に逃亡した。；長政軍が稷山に至ると漢城では恐れ戦いた多くの人々が都から逃亡した。；何らかの理由で逃亡した個体が発見された例があるが、日本には分布しない。；こうした飼育個体の逃亡や遺棄は他の地域でも起こっていた可能性が高い。；逃亡を防ぐ目的および督戦のための処置ではないかとの証言であった。；大抵は保釈される被告人の逃亡のおそれがないような金額が設定される。；同年には再び議会との対立が激化したが、政府は釜山に逃亡していた。；犯人とみられる人物はその後ろから来た車で逃亡している。；ジョンが逃亡したことでルイがロンドンとウィンチェスターを占領できた。；一度は坂戸の実家に戻るが、大正楼からの追っ手が来たため大阪に逃亡。；なお、暗殺した動機や、海外へ逃亡した資金源などはわかっていない。；結局二人は逃亡途中の混乱で別れてしまうこととなった。；サイゴン陥落時、自宅から大量の金塊を運んで逃亡しようとしたとされる。；しかし、民衆は激しく抵抗してより豊かな南部などへの逃亡を図るものも多かった。；氐族の王の千万は馬超の元に逃亡し、その部下たちは夏侯淵に降伏した。；直前に逃亡したチャールズ1世も降伏、内戦は王党派の敗北に終わった。；公妃はヴァレンヌ事件の逃亡計画については何も聞かされていなかった。；オクタビアスが気を失っている間に医師達を虐殺し逃亡してしまう。；しかし送り主は遠い逃亡先のホテルにさえも手紙を送ってくる。；宗二は秀吉の勘気に触れて逃亡し、北条氏に世話になっていた身であった。；この年の10月、廃帝は逃亡を図るが捕まり、翌日に院中で亡くなった。；本作は自殺を恋愛から逃亡する手段にすぎないとして批判する。；ウィルクスは後にで起訴されたが、彼はフランスへ逃亡して懲罰を逃れた。；負担の厳しさから死亡したり逃亡したりする衛士も少なくなかった。；この結果の原因の一部はエラム軍部隊が逃亡したことによる。；なおこの頃身を隠していた辻政信に会い、逃亡資金を渡している。；後に馬台も「臣には逃亡する道義は無い」と言って温恢の元に出頭した。；だが関羽には打ち負けて、逃亡時に追撃を受け背後から斬殺されてしまう。；対策として民兵制を廃止したところ、農民は土地から逃亡することとなった。</t>
        </is>
      </c>
      <c r="J5980">
        <f>HYPERLINK("https://www.weblio.jp/content/逃亡", "词义详情")</f>
        <v/>
      </c>
      <c r="K5980">
        <f>HYPERLINK("https://yourei.jp/逃亡", "查看例句")</f>
        <v/>
      </c>
    </row>
    <row r="5981">
      <c r="A5981" t="inlineStr">
        <is>
          <t>冬眠</t>
        </is>
      </c>
      <c r="B5981" t="inlineStr">
        <is>
          <t>成功</t>
        </is>
      </c>
      <c r="C5981" t="inlineStr">
        <is>
          <t>読み方：とうみん
［名］(スル)季節的な低温に対して動物がとる生活を休止した状態。カエル・イモリ・蛇などの陸生の変温動物や、ハリネズミ・ヤマネ・コウモリなどの恒温動物にみられる。クマなどの冬ごもりは体温低下がわずかで、睡眠状態に近い。《季冬》「金色の蛇の—心足る／楸邨」</t>
        </is>
      </c>
      <c r="D5981" t="inlineStr">
        <is>
          <t>冬眠する(13%)；冬眠中(7%)；冬眠状態(7%)；冬眠穴(5%)；冬眠前</t>
        </is>
      </c>
      <c r="F5981" t="inlineStr">
        <is>
          <t>冬眠ポッド；冬眠管理</t>
        </is>
      </c>
      <c r="H5981" t="n">
        <v>29</v>
      </c>
      <c r="I5981" t="inlineStr">
        <is>
          <t>そうなればすべての活動は停止して冬眠の状態に陥ってしまうであろう。；多分それは冬眠状態からまだすっかり抜け切らないためだったのだろう。；ここは冬眠をよそおって石垣の穴から首を出すまいとしているのだろう。；窓がなく暖かい部屋ではまるで穴蔵で冬眠するような気分だっただろう。；すでにあのシーラカンスの婆さまは冬眠の時間に入っているはずである。；でもどうすれば冬眠できるのかわからないから仕方がなかったのだ。；王族用冬眠穴の隣にある掩蔽壕では、約五十人がまだ目を覚ましていた。；こんな調子では本当に冬眠しなければ乗り切れなくなるのではないか。；二度の冬眠の間にどれほどの時間が経ったのか、それは定かではない。；また冬眠をすることでも知られ、冬眠した個体は以前よりも暗い色になる。；一時的に寒くなったときには、冬眠に近い状態になることもあるらしい。；季節を間違えて、予定より早く目を覚ましてしまった冬眠動物のように。；これまでの世代なら、兵士以外の住民はとうに冬眠穴にはいっている頃だ。；次の新生期までにはその巨大冬眠穴のようすを調べられると思うわ。；もしも、戦争がはじまっていなければ、冬眠しつづけていたのだろうか。；冬眠すると考えられるが、冬眠する時期や場所はよくわかっていない。；また役に立つ動物や虫も、安全なところで冬眠させておかなくてはならない。；この過程は冬眠しない哺乳動物と非冬眠時のシマリスと同じように働く。；コウモリを冬眠ではなく凍死させてしまったため、試験は失敗に終わった。；冬眠に備えて、夢を見ることができるようになったのだろうか。；冬眠以降、海の世界との交流が断絶した陸の世界では寒冷化が進んでいた。；それが電気衝撃や冬眠治療などの結果かどうかは分らない。；しかし新たに現れた人類に敗れ、また冬眠に入ったのだという。；実は恐竜から進化した爬虫人類には冬眠の時期が来ていたのである。；そして国民は、いま戦わなければ冬眠中にみんな虐殺されると思っている。；ディアナ様は、冬眠をされて数百年もの時を渡ってこられたお方だ。；ねぐらや冬眠場所である洞窟の減少等により、生息数は減少している。；実際には、それが冬眠であろうが死亡であろうが、私にはどうでもいいことだった。；飼育下では冬眠中の個体がワラジムシに食われたケースもあるという。</t>
        </is>
      </c>
      <c r="J5981">
        <f>HYPERLINK("https://www.weblio.jp/content/冬眠", "词义详情")</f>
        <v/>
      </c>
      <c r="K5981">
        <f>HYPERLINK("https://yourei.jp/冬眠", "查看例句")</f>
        <v/>
      </c>
    </row>
    <row r="5982">
      <c r="A5982" t="inlineStr">
        <is>
          <t>透明</t>
        </is>
      </c>
      <c r="B5982" t="inlineStr">
        <is>
          <t>成功</t>
        </is>
      </c>
      <c r="C5982" t="inlineStr">
        <is>
          <t>読み方：とうめい
［名・形動］
１
㋐すきとおって向こうがよく見えること。また、そのさま。「—なガラス」
㋑すきとおって、にごりのないこと。また、そのさま。「—な音」「—な空」
２物体が光をよく通すこと。光が物質中を通過するとき、吸収される度合いが小さいこと。
[派生]とうめいさ［名］</t>
        </is>
      </c>
      <c r="D5982" t="inlineStr">
        <is>
          <t>透明感(7%)；透明な液体；透明マント；透明な水；透明なガラス</t>
        </is>
      </c>
      <c r="E5982" t="inlineStr">
        <is>
          <t>クリア；明瞭；明快；清澄；輝度</t>
        </is>
      </c>
      <c r="F5982" t="inlineStr">
        <is>
          <t>無色透明；透明プラスチック；透明釉；透明性；透明アクリル板</t>
        </is>
      </c>
      <c r="G5982" t="inlineStr">
        <is>
          <t>透明人間；透明性；透明化；透明さ；透明帯</t>
        </is>
      </c>
      <c r="H5982" t="n">
        <v>29</v>
      </c>
      <c r="I5982" t="inlineStr">
        <is>
          <t>惑星もそれぞれ透明な球体の上にあって運動していると考えられていた。；当初は両方の窓ともに透明ガラスとされ、ともに遮光幕を設置していた。；固体にはガラスのように透明なものと金属のように不透明なものがある。；するとさっきの金色の生物がアメーバ状の透明な姿に変えて迫ってきた。；これらの層のいくつかは色がついていたが、他の層は透明であった。；操作パネルをフタ上面に配置した関係で透明窓は設けられていなかった。；普段は地球人に存在が悟られないように体を透明あるいは擬態している。；同時に、これらの岩の混じりけのなさは川が透明に透き通るほどである。；透明色も使えないためキャラクター絵の周囲に背景も一緒に描く必要がある。；ガラス製であるため、ペン先が透明になってくるとインク切れが分かる。；また、ボールが透明なため水中を観察する環境体験にも活躍している。；ベースとなるガラスには、透明のガラスか黒の色ガラスが使われる。；透明な樹脂性の物が一般的だが、オフロード車両には不透明な物もある。；CD内容に変更は無く、新たに透明のスリーブケースに収められている。；自分の姿を透明にできる帽子を被っていて、これがないと透明になれない。；この方法を用いると癖の全くない、透明感のある味や香りになる。；死んだ生物の標本や組織を薬品で透明化しての観察も行われている。；透明というのは物質が密になり内部や外部の反射がなくなることである。；純粋なものは透明か白だが、不純物を含み色のついているものもある。；鳥類や爬虫類以外の動物では白や黒、卵が小さいと透明のものもある。；または透明カプセルを使用した状態で端に到着しても勝利となる。；透明なドラムが4個一体となっており、中にプランジャーが入っている。；それらを融合させた、キャッチーかつ透明感に溢れた楽曲が魅力である。；日本で発売されたものの中では最初の透明なコーラ飲料であった。；さらに後述のワンマン化改造時には透明ガラスで電磁鎖錠付扉へ交換された。；中でも特に無色透明なものを水晶と呼び、古くはと呼ばれて珍重された。；アピアランスの要素や透明など効果の機能が付き大幅にパワーアップした。；透明ということは、物質が特に密になっているもので、内部反射もない。；これが蒸気雲と呼ばれ、透明なガスが間接的に人の目に触れることになる。</t>
        </is>
      </c>
      <c r="J5982">
        <f>HYPERLINK("https://www.weblio.jp/content/透明", "词义详情")</f>
        <v/>
      </c>
      <c r="K5982">
        <f>HYPERLINK("https://yourei.jp/透明", "查看例句")</f>
        <v/>
      </c>
    </row>
    <row r="5983">
      <c r="A5983" t="inlineStr">
        <is>
          <t>同盟</t>
        </is>
      </c>
      <c r="B5983" t="inlineStr">
        <is>
          <t>成功</t>
        </is>
      </c>
      <c r="C5983" t="inlineStr">
        <is>
          <t>読み方：どうめい
［名］(スル)個人・団体または国家などが、互いに共通の目的を達成するために同一の行動をとることを約束すること。また、それによって成立した関係。「—を結ぶ」「—してストライキを打つ」
《「全日本労働総同盟」の略称》昭和39年（1964）全労会議と総同盟とが統合して結成された労働組合の全国組織。総評に対抗し、民間産業が中心。昭和62年（1987）、連合の発足により解散。
《(イタリア)Lega》イタリアの政党。北部の富が南部に再配分されているとの不満をもとに1991年に北部同盟として結党。一時は北部の独立を訴えたが支持を得られず、連邦制を目指す穏健路線に転じた。たびたび自由の人民などとの連立で与党となる。2018年に党名変更。</t>
        </is>
      </c>
      <c r="D5983" t="inlineStr">
        <is>
          <t>同盟者(5%)；同盟会(3%)；同盟国(2%)；同盟軍；同盟員</t>
        </is>
      </c>
      <c r="E5983" t="inlineStr">
        <is>
          <t>協会；共同；接続；合併；統合</t>
        </is>
      </c>
      <c r="F5983" t="inlineStr">
        <is>
          <t>部落解放同盟；期成同盟；自由惑星同盟；反対同盟；同盟諸国</t>
        </is>
      </c>
      <c r="G5983" t="inlineStr">
        <is>
          <t>同盟国；同盟関係；同盟都市；同盟通信社；同盟市戦争</t>
        </is>
      </c>
      <c r="H5983" t="n">
        <v>29</v>
      </c>
      <c r="I5983" t="inlineStr">
        <is>
          <t>これは、日本およびその同盟国との戦争を想定してなされたものである。；オランダとも防御・通商同盟を結び来たるべき対スペイン戦争に備えた。；こうした各国との同盟の背景にはナポレオン・ボナパルトの存在があった。；やがて王は、ローマよりずっと強大だったエトルリアとの同盟を結んだ。；カルタゴと同様に対等の同盟を宣言していたが、事実上は従属であった。；サヴォイアは遅れて同盟に加わったため、大きな役割は果たさなかった。；戦後は全金同盟の委員長に就任するとともに日本社会党の結成に参加。；ブルガール人はおそらくフン族の民族同盟の主要構成員であったであろう。；カウニッツは数年間フランスとオーストリアの同盟を推進していた。；輝元と信長は先の軍事衝突後、同盟を維持する方向で話を進めていた。；海江田が東京に上陸し、日本と同盟を結んだ会談上で提唱された概念。；アメリカではこの日22日の午前から重要な同盟各国への通知が行われた。；同盟諸藩で最後まで抵抗した庄内藩が降伏したのはその2日後である。；また、日本との同盟や日本軍将校の招聘を求める声も上がっていた。；しかしフランスやイギリスなどの同盟諸国はこの布告を無視した。；同盟にはその作戦目標から侵略的な場合と防衛的な場合がある。；彼はソ連の突然の措置にも西側同盟国の対応姿勢にもひどくショックを受けた。；この流れは、現在の日本バプテスト同盟・教団新生会につながっている。；そのため、必要があれば在日米軍などの同盟軍とそれらを共用できる。；マルチーニ人はローマに敗北し、その後はその忠実な同盟者となった。；この状況を見てドイツはアメリカ・清と反日同盟を結ぼうとした。；同盟が成立すれば両国間の具体的な軍事的、経済的な協力関係が形成される。；降伏に際しても同盟としての降伏は行われず、各藩が個々に降伏している。；この時に著者名がつけられていないのは同盟の方針である。；しかし同盟を結んでも軍勢は100人程度だったと言われている。；南ドイツ諸国は攻守同盟に基づいて自国軍をプロイセン王の下に送った。；こうして、1970年には部落解放同盟正常化全国連絡会議が発足した。；エンゲルスはこれを徹底的に批判、同盟より新草案の作成を一任される。；この戦争ではシチリア島とその周辺の海上で同盟軍とスペインとの戦闘が展開された。</t>
        </is>
      </c>
      <c r="J5983">
        <f>HYPERLINK("https://www.weblio.jp/content/同盟", "词义详情")</f>
        <v/>
      </c>
      <c r="K5983">
        <f>HYPERLINK("https://yourei.jp/同盟", "查看例句")</f>
        <v/>
      </c>
    </row>
    <row r="5984">
      <c r="A5984" t="inlineStr">
        <is>
          <t>当面</t>
        </is>
      </c>
      <c r="B5984" t="inlineStr">
        <is>
          <t>成功</t>
        </is>
      </c>
      <c r="C5984" t="inlineStr">
        <is>
          <t>読み方：とうめん
［名］(スル)
１じかに向き合うこと。まのあたりにすること。直面。「難局に—する」
２（副詞的にも用いる）さし迫っていること。さしあたり。「—の急務」「—問題はない」
→当座［用法］</t>
        </is>
      </c>
      <c r="D5984" t="inlineStr">
        <is>
          <t>当面見合わせる；当面休止；当面のあいだ；当面見送る；当面継続</t>
        </is>
      </c>
      <c r="F5984" t="inlineStr">
        <is>
          <t>当面不可能</t>
        </is>
      </c>
      <c r="H5984" t="n">
        <v>29</v>
      </c>
      <c r="I5984" t="inlineStr">
        <is>
          <t>結果は反対多数だったため当面は合併をせず自立を目指すことになった。；こうした経営努力の結果、同年8月6日に鉄道の当面の存続が決定した。；当面使う予定の無いものや、雑多なものを保管しておく場所の事である。；原発を安全に使う準備のために研究活動は当面続けなければならない。；当面は2045年までの予定とされるが、さらに延長される可能性もある。；このことは、黒海においては当面の敵はないということを意味していた。；当面の区の財政状況なども勘案し、現段階での整備は困難としている。；ただし当面はイオンリテールなどへの企業統合は予定されていない。；当面の間は二升石小学校に在籍するせざるを得ない状況となった。；糧食不足は、平壌で清軍のものを確保したことにより、当面解消された。；当面の問題は航空軍への志願者およびパイロットの不足であった。；今後の対策は具体化しておらず、立入禁止は当面継続される見込みである。；当面はフリーランスとして活動するが、団体への所属を希望している。。；現在のお肉と同等の価格まで下げることが当面の目標となっている。；その後、当面の護衛任務を完了後に横須賀で本格的に修理するよう命じられる。；当面の間は基地の拡張は無く現行施設の活用をするとされる。；当面は同時に揃えたプレーヤー以外に対しては一方的な攻撃が可能になる。；この後セリヌス軍は退却したため、当面の間セゲスタの安全は確保された。；当面は、セルフプロデュースと言う形で自分達を表現していく場所。；選挙後、存続か解散かが議論され、当面存続することが確認された。；当面は合併の予定はなく、単独町政を継続する方向を示している。；いずれの合併に関しても成立には至らず、当面は単独での町政運営となる。；当面の目標は自身の全ての力を取り戻してダンジョンを抜け地上に出ることである。；端末には当面の間はDoJa実行環境も並行して搭載される予定。；当面の目的は世界征服だが、最終目標はその更に先にあるらしい。；当面の予定は10年間といわれているが、2022年時点でも利用されている。；しかし、それ以降はナンバリングタイトルの製作が当面の間停止となった。；女子大会はV3リーグが当面開催されないため、V2リーグへの参戦となった。；街の特性を知った上で自分のプレイスタイルや当面の目標に即した拠点を選ぶ戦略性も重要な要素となっている。</t>
        </is>
      </c>
      <c r="J5984">
        <f>HYPERLINK("https://www.weblio.jp/content/当面", "词义详情")</f>
        <v/>
      </c>
      <c r="K5984">
        <f>HYPERLINK("https://yourei.jp/当面", "查看例句")</f>
        <v/>
      </c>
    </row>
    <row r="5985">
      <c r="A5985" t="inlineStr">
        <is>
          <t>どうも</t>
        </is>
      </c>
      <c r="B5985" t="inlineStr">
        <is>
          <t>成功</t>
        </is>
      </c>
      <c r="C5985" t="inlineStr">
        <is>
          <t>［副］
１あれこれ考えたり試したりしてもなかなか満足できない気持ちを表す。「何度やっても—うまくいかない」「あの判決には—納得できない」
２物事の原因や理由がはっきりわからない気持ちを表す。「—調子がおかしい」「理数系は—苦手だ」
３根拠や理由がはっきりしないまま漠然と推測する気持ちを表す。「明日は—雨になりそうだ」「—無事らしい」
４あいさつに用いて、深く感謝したり謝罪したりする気持ちを表す。「—ありがとう」「—失礼しました」
［感］気楽なあいさつや、気楽に謝意を表すときに用いる語。「やあ、—」「—。いつもすいませんね」</t>
        </is>
      </c>
      <c r="D5985" t="inlineStr">
        <is>
          <t>どうもありがとう；どうもおかしい；どうもうまく；どうもよく；どうもすみません</t>
        </is>
      </c>
      <c r="E5985" t="inlineStr">
        <is>
          <t>らしい；ども；どうやら；一見；ありがと</t>
        </is>
      </c>
      <c r="F5985" t="inlineStr">
        <is>
          <t>実にどうも；どうも有難う；どうもどうも；どうも巧く行；どうも薄気味</t>
        </is>
      </c>
      <c r="G5985" t="inlineStr">
        <is>
          <t>どうもう；どうもり</t>
        </is>
      </c>
      <c r="H5985" t="n">
        <v>29</v>
      </c>
      <c r="I5985" t="inlineStr">
        <is>
          <t>おまえの妻はいったいどういう人間だか知らないが、どうも不思議だな。；だからお伽噺の作者にとつては、どうも舞台を今にするのは具合が悪い。；それも従来ある場合までは社会の制裁を加えていたがどうも十分ではない。；いや、今夜も少し気が急いていましたので、どうも失礼をいたしました。；どうもウィリアムはひそかに主人ふたりをあの夜つけたようなのです。；しかしどうもこの解釈だけでは十分に説明がつかないようである。；どうも飛んだことが起ったのではないかと非常に心を痛めている次第です。；それは今から考えてみますと、どうも事務室の入口のように思われました。；しかし彼の伸縮している心臓だけは、どうも停めることが出来なかった。；はじめは蛙だろう、梟だろうなどといっていたが、どうもそうではない。；こうなると、騒ぎがいよいよ大きくなって、これはどうも唯事ではない。；考えて見るとどうも蚊針なるものを深淵に沈めて魚をつるとは変である。；どうもやつは指示したとおりのホテルへ着いたと思ったようで。；すぐに警察にとどけましたが、どうもそれだけでは安心ができません。；犬かしらとおもいましたが、どうも犬やなんかではなさそうなのです。；本人は若い時の写真だって云ってましたが、どうもおかしいですよ。；それがどうも盜人の言葉に、聞き入つてゐるやうに見えるではないか?；私は老人には、その時に会つたきりですけど、どうも気になつてなりません。；が、猫に似た女の為に魂を悪魔に売り渡すのはどうも少し考へものである。；私はいよいよ痛切に「どうも困ります」を感じずにはいられなくなった。；どうもそうらしい、翼の生えたうつくしい人はどうも母様であるらしい。；それがどうも不思議で、いつの間にか二人の姿が消えてしまいました。；それを見ると、どうもこれが本当のドクトルらしく思えるのであった。；僕はどうもあとの考えかたの方が本当らしく思われるのです。；しかし彼の期待は外れた、どうも現代に関係のありそうなものが出てこなかった。；李中行 いつも云うことだが、年寄りと若い者とはどうも話が合わない。；しかし、この第一の文句と、第二の文句とが、どうもうまくつづかない。；どうも、この不運な男はニュー・ヨークへ戻ろうとしていたようですな。；けれども、警察はどうも、事件の多い中のことで、余り当にもなりません。</t>
        </is>
      </c>
      <c r="J5985">
        <f>HYPERLINK("https://www.weblio.jp/content/どうも", "词义详情")</f>
        <v/>
      </c>
      <c r="K5985">
        <f>HYPERLINK("https://yourei.jp/どうも", "查看例句")</f>
        <v/>
      </c>
    </row>
    <row r="5986">
      <c r="A5986" t="inlineStr">
        <is>
          <t>どうやって</t>
        </is>
      </c>
      <c r="B5986" t="inlineStr">
        <is>
          <t>成功</t>
        </is>
      </c>
      <c r="D5986" t="inlineStr">
        <is>
          <t>どうやって見分ける；どうやって戦え；どうやって生きのび；どうやって生きてゆく；どうやって切り抜け</t>
        </is>
      </c>
      <c r="H5986" t="n">
        <v>29</v>
      </c>
      <c r="I5986" t="inlineStr">
        <is>
          <t>大きな事を言ったはいいが、どうやって安定した生活を見せられるのか。；ヴェーバーは前者から後者がどうやって生じて来るかを説明していない。；ここからどうやってうちに帰ったらいいのか、だれかわかってるのかい?；そんな呼吸の仕方でどうやってうたえばよいのかわからなかったからだ。；あなたがどうやって市から連れ出してくれるのかわからないんですもの。；メノリは女長に油を見せ、どうやってそれを作ったか説明したのだった。；そして彼はそれをどうやって私から取り上げていいかわからないのだ。；そうなると、困っちゃったね、どうやってここの入口まで犯人が来たか?；だが、機械にどうやってオプセリア人と他の人間の区別がつくのだろう?；多くの子供たちは発育が遅れ、どうやって生きていくかを知らなかった。；彼の車に乗ってから、どうやって彼がそれを達成したのかきいてみた。；この論文では、どうやってそれらの値に到達したのかは説明されていない。；このような時刻に、どうやってここまで入ってくることができたのだろう。；祖先達の残してくれた機械をどうやって修理してよいかさえ忘れてしまう。；このわたしに理解出来ない代物を、一体どうやって認めることが出来る?；この犯罪を誰がどうやってジュリアに疑いがかかるように仕組めたんだ?；まだ現実に存在したことのない時間を、どうやって示すことができる?；問題は、六〇〇キロの上空にあるそこへ、どうやって到着するかだった。；目下のところぼくにもどうやってだかはっきり分かっていませんがね。；大臣はなんとかして布を見ようとしましたが、どうやっても見えません。；彼はこの作品を「どうやって面白くするかを教えてくれた」と評価する。；だって、どうやっておっぱじめたらいいのかも知っちゃいないからなあ。；そのようなクレーターがどうやってできるのかも実験で研究している。；この2楽章をどのような順序でどうやって出版すべきかも問題であった。；だって、前にビシッと言ったように、お金なしでどうやって逃げるのか。；僚の頭の中は、どうやって自分の裸を見るかでいっぱいになっていた。；よってこの干渉をどうやって防ぐかもこのモードの難しさの1つである。；そうでなくとも此処でむざむざ死んではならぬ、どうやって脱出するか。；だが目をあけてもいられない状態で、どうやって作業ができるというのか?</t>
        </is>
      </c>
      <c r="J5986">
        <f>HYPERLINK("https://www.weblio.jp/content/どうやって", "词义详情")</f>
        <v/>
      </c>
      <c r="K5986">
        <f>HYPERLINK("https://yourei.jp/どうやって", "查看例句")</f>
        <v/>
      </c>
    </row>
    <row r="5987">
      <c r="A5987" t="inlineStr">
        <is>
          <t>どうやら</t>
        </is>
      </c>
      <c r="B5987" t="inlineStr">
        <is>
          <t>成功</t>
        </is>
      </c>
      <c r="C5987" t="inlineStr">
        <is>
          <t>［副］
１十分また完全ではないが、なんとか。どうにか。「—完成までこぎつけた」
２確実ではないが、なんとなく。「—明日は雨らしい」</t>
        </is>
      </c>
      <c r="D5987" t="inlineStr">
        <is>
          <t>どうやら本当に；どうやらうまく；どうやら違う；どうやらやっと；どうやら本当らしい</t>
        </is>
      </c>
      <c r="E5987" t="inlineStr">
        <is>
          <t>らしい；どうも；何とか；一見；どうにか</t>
        </is>
      </c>
      <c r="F5987" t="inlineStr">
        <is>
          <t>やっとどうやら；どうやら巫女子；どうやら違うらしい；どうやら本物らしい；どうやら本気らしい</t>
        </is>
      </c>
      <c r="H5987" t="n">
        <v>29</v>
      </c>
      <c r="I5987" t="inlineStr">
        <is>
          <t>足をとめてきいていると声は、どうやら右手の障子の中からするらしい。；聞くともなしに聞いていると、どうやら、こっちへ近づいて来るらしい。；この単純な化合物は2009年時点ではまだどうやら観測されていない。；しかしどうやらどの蛇も思いあたるような大きな腹をしたのは居なかった。；ヨーロッパではどうやら生息環境の悪化から数を減らしているようである。；住民はどうやらホテル関係者とその周りの者たちだけで構成されているようだ。；床板が揚げ蓋になっていて、その下にどうやら階段がついているらしい。；どうやら、明美は本気で私との交わりに入れ込んでいるようなのだった。；しかし気が付くと、どうやらこれが眉唾のもののようにも思われてくる。；どうやら父の世界では母は死に、母の世界では父は死んでいるらしかった。；その彼の祖国印度もどうやら長年の英国の鉄鎖から解放されそうである。；うす暗いのでよくわかりませんが、どうやら人の顔のようにも思われます。；私は多分一人きりになれば、その方はどうやらやつて行ける事と思ひます。；どうやらこれなどもあらかじめ用意しておいた計画の一つであったのだろう。；どうやら彼は妾の胸の中にある全てのプログラムを知らぬ様だった。；彼の心配していた年の点もどうやら説明のつくらしい所がある。；完全に失敗するものもあつたが、どうやら恰好をつけてゐるものもあつた。；しかし鴨下ドクトルは、どうやら大事なことを忘れていたようであった。；どうやら彼らの霊子が少ないのが原因で形態逆行現象が起きてしまうらしい。；その結果、どうやら、たった一つの解決法を見つけた様に思うのだけれど。；私は此の頃ではどうやらこの事件の本当の内容が判って来たように思うんです。；そこで眼には動くといふ事が有つて、どうやら四方八方が見えるのである。；どうやら壊れた食器を掃除しているうちに、眠って夢を見ていたらしい。；深く侵された両の肺は、どうやら彼女の生命を脅かすようになって来た。；どうやら今はどこの局でも同じ臨時ニュースをやっているのだろう。；そればかりではない、門番小屋の窓にはどうやら人影が動いて見える。；これはどうやら元々この種の生育地が多分に限定的であったと言うことらしい。；二三日ぶらぶらしているうちに、私にも、どうやら落ちつきが出て来た。；当初は敵と考えられていたが、どうやら彼もまた力を与えられた。</t>
        </is>
      </c>
      <c r="J5987">
        <f>HYPERLINK("https://www.weblio.jp/content/どうやら", "词义详情")</f>
        <v/>
      </c>
      <c r="K5987">
        <f>HYPERLINK("https://yourei.jp/どうやら", "查看例句")</f>
        <v/>
      </c>
    </row>
    <row r="5988">
      <c r="A5988" t="inlineStr">
        <is>
          <t>灯油</t>
        </is>
      </c>
      <c r="B5988" t="inlineStr">
        <is>
          <t>成功</t>
        </is>
      </c>
      <c r="C5988" t="inlineStr">
        <is>
          <t>読み方：とうゆ
１灯火用の油。ともしあぶら。
２原油を蒸留したとき、セ氏150〜250度で留出する油。精製度の高いものは灯火・暖房用に、低いものは発動機燃料・塗料用溶剤などに使用。ケロシン。</t>
        </is>
      </c>
      <c r="D5988" t="inlineStr">
        <is>
          <t>灯油ランプ(4%)；灯油用；灯油タンク；灯油価格；灯油バーナー</t>
        </is>
      </c>
      <c r="E5988" t="inlineStr">
        <is>
          <t>ケロシン；燈油；膏油</t>
        </is>
      </c>
      <c r="F5988" t="inlineStr">
        <is>
          <t>不良灯油</t>
        </is>
      </c>
      <c r="G5988" t="inlineStr">
        <is>
          <t>灯油缶；灯油ポンプ；灯油取り</t>
        </is>
      </c>
      <c r="H5988" t="n">
        <v>29</v>
      </c>
      <c r="I5988" t="inlineStr">
        <is>
          <t>当初は石炭ガスを燃料としたが、後には灯油等の石油系燃料を使用した。；灯油で加熱された幅がありすぎて、割れ目が整然としていないのである。；それを忘れると「灯油代は何処が持つんだ」とあとで揉めることになる。；これを書いている昨日、ガソリンスタンドに灯油を買いに行ったんですよ。；灯油を十分に吸った白い着物は一瞬で炎に包まれ、炎を大きく膨らませた。；最初にこの部屋の調査をしたとき、補給用の灯油罐に目をつけておいたのだ。；灯油は半分以上残っていたが何度点滅器を押しても着火しなかった。；先生が生きていらっしゃる頃など、毎週灯油を届けにいったもんですよ。；逆にこのようにして灯油が混合したガソリンを故意に販売したケースもある。；髪からパジャマから全身灯油まみれになって、日美香は茫然としていた。；そこには、全身を灯油まみれにされてガタガタと震えている日美香がいた。；窓の外に目をやると、灯油のポリタンクを運んでいる翼が見えた。；妻の返り血をまともに浴びた聖二の方も全身灯油と鮮血にまみれている。；「この灯油のかんをみんな外へ出してくれないか」 私はいわれたようにした。；大壷に指示された幹部数名が施設の周囲に灯油をまき、火を放った。；最も多かったのは、灯油の配給制度に反対する主婦たちの群れだった。；えいやっとばかり箱にふたをし、空地に運んで灯油をかけ、火をつけた。；日本では江戸時代に平戸周辺の捕鯨業者に灯油用に捕獲されることもあった。；それが灯油まみれになっていた寝室中に瞬く間に引火したに違いない。；燃焼器具では通常灯油が使用されるが、以前は練炭を使用していた時代もあった。；そこで軽油に灯油を添加することで、始動性を高める効果が期待できる。；灯油でもかけて火をつけたらしく、瞬時のうちに燃えあがった。；自ら灯油を被っていて、しかも、こいつの使っていた部屋が火元と思われる。；特に灯油分の多い「寒冷地用軽油」を使用する機会の多い車両に多い。；灯油で濡れた床に、火のついたマッチを落とし、彼女はようやく満足げに笑った。；それはたしかに灯油を入れるためのポリタンクのようだった。；灯油などの入手難で、ガス暖房を使う家庭が増加していたのだ。；それに灯油が入っていたと思われるということなんだ。；亀井は、灯油を探して歩き、二缶見つけて、十津川のところへ、運んだ。</t>
        </is>
      </c>
      <c r="J5988">
        <f>HYPERLINK("https://www.weblio.jp/content/灯油", "词义详情")</f>
        <v/>
      </c>
      <c r="K5988">
        <f>HYPERLINK("https://yourei.jp/灯油", "查看例句")</f>
        <v/>
      </c>
    </row>
    <row r="5989">
      <c r="A5989" t="inlineStr">
        <is>
          <t>東洋</t>
        </is>
      </c>
      <c r="B5989" t="inlineStr">
        <is>
          <t>成功</t>
        </is>
      </c>
      <c r="C5989" t="inlineStr">
        <is>
          <t>読み方：とうよう
１アジア諸国の総称。特に、日本・中国・インドなどアジアの東部・南部をさす。⇔西洋。
２中国で、日本をさしていう語。</t>
        </is>
      </c>
      <c r="D5989" t="inlineStr">
        <is>
          <t>東洋的(7%)；東洋一(3%)；東洋風(2%)；東洋系(2%)；東洋大学教授</t>
        </is>
      </c>
      <c r="E5989" t="inlineStr">
        <is>
          <t>オリエント</t>
        </is>
      </c>
      <c r="F5989" t="inlineStr">
        <is>
          <t>東洋最大；東洋テレビ；東洋言語；東洋軒；東洋城</t>
        </is>
      </c>
      <c r="G5989" t="inlineStr">
        <is>
          <t>東洋大学；東洋電機製造；東洋太平洋；東洋工業；東洋医学</t>
        </is>
      </c>
      <c r="H5989" t="n">
        <v>29</v>
      </c>
      <c r="I5989" t="inlineStr">
        <is>
          <t>西洋の方は順当な方向を辿って今日に到達したが、東洋はそうではない。；キャスティングの問題点としては東洋系の俳優が不足しているとされる。；父のは、チュラーロンコーン大学で東洋の宗教と哲学の講師をしていた。；この路線は成田街道の部分を除き、ほとんどが東洋単独の運行であった。；現代中国では東洋は東アジアを意味する場合もあるが主に日本を指す。；日本では東洋のいわゆる気のエネルギーと同じモノと考える者がいる。；まず、ロシアを表す主題が呈示され、次に東洋風の主題がこれに答える。；なお、日本など東洋諸国では、瞑想研究はほとんど行われてこなかった。；ヨーロッパと同様以上に、軍隊音楽は東洋での伝統として確立されていた。；主に東洋で行われるシャッフルで、日本人が最もよく使う混ぜ方である。；その姿は、純粋な水魔神であれば人間界での東洋の龍が多いようである。；このような違いは西洋と東洋の文明の違いにも影響を及ぼしたといわれている。；以上のように、東洋の思想を哲学と呼称する例はしばしばみられる。；東洋や中南米では古くから人気が高い宝石であり、金以上に珍重された。；とりわけインドは東洋に大帝国を建設する上で重要な存在となった。；当時は東洋一と呼ばれる施設を有し、優秀な生徒が集まっていた。；中国北部で形成された東洋系の品種群には、ウメとの交雑の痕跡がある。；東洋車・日立車の最終的な製造数および内容は下記の通りである。；なお、現代中国では東洋は東アジアを意味する場合もあるが主に日本を指す。；東洋にも哲学はありインドと中国は大きな影響を持っている。；女性モデルがメインであり、日本人モデルなど東洋の出身は少ない傾向にある。；欧米文明を西洋としこれ以外の文明を全て東洋とすることなどはその一例とされる。；日本は東洋の尊厳をロシアに勝利したことで高めた唯一の国である。；葉柄は幅が広く多肉質になるが、東洋種は一般に幅が狭い傾向にある。；なお、ここで記述する東洋とはオスマン帝国のオリエンタル文化である。；倍は、数学上の概念であるが、その定義は東洋数学と西洋数学では異なっている。；収集品は主に日本・東洋の古美術で、その高い質と幅の広さに特色がある。；本部は当時の東京の麹町区内山下町1丁目1番地の東洋ビルに置かれた。；南北を先にする表し方は西洋からの習慣で、東西を先にする表し方は東洋からの習慣である。</t>
        </is>
      </c>
      <c r="J5989">
        <f>HYPERLINK("https://www.weblio.jp/content/東洋", "词义详情")</f>
        <v/>
      </c>
      <c r="K5989">
        <f>HYPERLINK("https://yourei.jp/東洋", "查看例句")</f>
        <v/>
      </c>
    </row>
    <row r="5990">
      <c r="A5990" t="inlineStr">
        <is>
          <t>動揺</t>
        </is>
      </c>
      <c r="B5990" t="inlineStr">
        <is>
          <t>成功</t>
        </is>
      </c>
      <c r="C5990" t="inlineStr">
        <is>
          <t>読み方：どうよう
［名］(スル)
１ゆれ動くこと。「強風で船体が—する」
２心や気持ちがゆれ動くこと。平静を失うこと。「事故の知らせに—する」
３社会などが秩序を失い乱れること。「政界が—する」</t>
        </is>
      </c>
      <c r="D5990" t="inlineStr">
        <is>
          <t>動揺する(9%)；動揺ぶり；動揺防止；動揺めき；動揺性能</t>
        </is>
      </c>
      <c r="E5990" t="inlineStr">
        <is>
          <t>不安；混乱；興奮；震え；揺れ</t>
        </is>
      </c>
      <c r="F5990" t="inlineStr">
        <is>
          <t>ひどく動揺；激しい動揺；大きく動揺；大きな動揺；かなり動揺</t>
        </is>
      </c>
      <c r="H5990" t="n">
        <v>29</v>
      </c>
      <c r="I5990" t="inlineStr">
        <is>
          <t>事情を知らない人々は動揺していたため、彼らを集めるとこう説明した。；まるで中世の武器のフレイルのように肋骨が動揺するさまから来ている。；すずは以前に自分が言った一言が幸を傷つけてしまっていたと動揺する。；直立姿勢では常にわずかな動揺を繰り返しながら動的平衡が維持される。；ほかにもワタルが愛歌のことを美人と口にした時にはかなり動揺を見せた。；考えが顔や目に出やすい性質らしく、他人に動揺を見抜かれることが多い。；その時王は動揺し、芝居を止めよと命じ、芝居の幕はすぐに降ろされる。；多くの者が袁紹と内通するなか、李通の郡だけが動揺しなかったという。；一部隊は玄武門の突破に成功したが、乙密台の敵は動揺を示さなかった。；動揺から動くことが出来ず宗介との再会を目前にして再び諦めてしまう。；この結果、これまで晴信の信濃侵攻で平定されていた地域で動揺が走る。；これらの偶像崇拝と宗教弾圧への動揺は今日では自己批判されている。；新たな新連邦条約に調印する予定だった他の共和国は動揺し、混乱した。；この噂は、アラビアと正反対の国境に位置するガリアにも動揺を与えた。；大学の授業で木の市を訪れたユイは、偶然タカシに出会いなぜか動揺する。；この年の異常に多い数の落選作品は、フランスのアーティストを動揺させた。；動揺したところを殴打され自らも気を失い、拳銃を奪われてしまう。；しかし、トラウマが苦手になった時や動揺したときは口調が元に戻る。；初期のデータではライカが動揺しつつも食事を取る様子が窺われた。；真琴の気持ちに気づいていた友梨は一瞬動揺するが、親友の背中を押す。；自分以外の誰かが地球を破壊しようとするとひどく動揺し怯える。；彼の妻や他の親族からの手紙はラファイエットを心理的に動揺させた。；また、こうした義昭の動きは、信長の傘下に入っていた勢力に動揺を与えた。；そのとき、別の彼女と一緒にいるアツシの姿を目にして動揺する。；当初は動揺する哲夫だったが、それでも征子への愛は変わらなかった。；このため、西軍の中で動揺が起こり、一部の兵士の中には逃亡する者も現れた。；なお国民に動揺を与える不安から、事故の事実は6日後になって初めて公表された。；続いて母がチフスで倒れた際は母を深く愛していたエンゲルスも強い動揺に襲われた。；しかしこちらもクルルと同様に、本当に危険な時は人並みに動揺する。</t>
        </is>
      </c>
      <c r="J5990">
        <f>HYPERLINK("https://www.weblio.jp/content/動揺", "词义详情")</f>
        <v/>
      </c>
      <c r="K5990">
        <f>HYPERLINK("https://yourei.jp/動揺", "查看例句")</f>
        <v/>
      </c>
    </row>
    <row r="5991">
      <c r="A5991" t="inlineStr">
        <is>
          <t>同様</t>
        </is>
      </c>
      <c r="B5991" t="inlineStr">
        <is>
          <t>成功</t>
        </is>
      </c>
      <c r="C5991" t="inlineStr">
        <is>
          <t>読み方：どうよう
［名・形動］同じであること。ほとんど同じであること。また、そのさま。「前の事件と—な（の）手口」「兄弟—に育てられる」</t>
        </is>
      </c>
      <c r="D5991" t="inlineStr">
        <is>
          <t>同様に扱われる；同様に可愛；同様に公法上；同様に抵抗制御方式；同様スカイメール</t>
        </is>
      </c>
      <c r="E5991" t="inlineStr">
        <is>
          <t>同じ；近い；同様に；同じく；同じよう</t>
        </is>
      </c>
      <c r="F5991" t="inlineStr">
        <is>
          <t>前年同様；前回同様；シリーズ同様；原作同様；新品同様</t>
        </is>
      </c>
      <c r="H5991" t="n">
        <v>29</v>
      </c>
      <c r="I5991" t="inlineStr">
        <is>
          <t>他のソ連国民同様、第二次世界大戦は一家に大きな苦しみをもたらした。；ただし、と同様に、現在のは初期のものから非常に大きく変化している。；若干画面が湾曲したテレビも一時流行したが同様にあまり普及しなかった。；同様の手法は システムで使われている コードでも使われている。；アメリカに続いて、ヨーロッパ各国でも同様のサービスが次々と始まった。；驚くべきことに、この子マウスは父親マウスと同様に異常行動を示した。；また、フランス語の影響を大きく受けた英語でも、同様の読み方をする。；また、銀や銅、鉄なども金の場合と同様現在ではほとんど払底している。；日本では他の古典小説同様に江戸時代に輸入されたがあまり注目されたとは言えない。；多民族国家であるため、言語と同様、宗教にも地理的な分布が存在する。；頻繁に操作しているデータも同様の方法でそこに格納されている。；生命を定義することが難しいのと同様に、死を定義することも困難な問題である。；映画同様東京に比較的近いという理由からロケ地撮影されるドラマが多い。；あとは全く同様の議論を繰り返すことで次の偏微分方程式が得られる。；これと同様の事がコソボのアルバニア人にも行われる事が懸念されていた。；この電子の流れは、低い を増加させ、同様に高い を低下させる。；米軍も同様に爆撃を行ったが地下要塞を破壊することは出来なかった。；インド脱出同様、同行する側近以外の弟子たちには何も知らされなかった。；チェスと同様端から二列が自陣となり、先手からその中に駒を配置する。；霧のかかるような所では種類が多いことも同様である。；同様に古典的な方法論も最新の量子論的手法と同じくらい高い価値を持つ。；フィンランド語では度量単位と同様に部分格が用いられ、 や となる。；これ以外のC言語の標準文字列処理関数の多くにも同様の問題がある。；公式ツイッターにも同様の内容を発信したがその日のうちに削除されている。；これらのビールは古代エジプトのビールと同様、ストローを使って飲む。；後続列車を先に発車させてしまった場合も同様の対応がとられる。；これは沿岸部でも同様で、海岸のすぐそばまで山が迫っている場所も珍しくない。；周辺機器の一つであるスーパーゲームボーイもほぼ同様の特徴である。；他のディスクメディアと基本的には同様であるが、簡単に説明する。</t>
        </is>
      </c>
      <c r="J5991">
        <f>HYPERLINK("https://www.weblio.jp/content/同様", "词义详情")</f>
        <v/>
      </c>
      <c r="K5991">
        <f>HYPERLINK("https://yourei.jp/同様", "查看例句")</f>
        <v/>
      </c>
    </row>
    <row r="5992">
      <c r="A5992" t="inlineStr">
        <is>
          <t>童謡</t>
        </is>
      </c>
      <c r="B5992" t="inlineStr">
        <is>
          <t>成功</t>
        </is>
      </c>
      <c r="C5992" t="inlineStr">
        <is>
          <t>読み方：どうよう
１子供が口ずさむ歌。また、子供が作った詩歌。
２民間に伝承されてきたわらべ歌。
３大正期以降、子供のために作られた歌。代表的な作詞家に北原白秋・野口雨情ら、作曲家に山田耕筰・中山晋平らがいる。創作童謡。</t>
        </is>
      </c>
      <c r="D5992" t="inlineStr">
        <is>
          <t>童謡集(3%)；童謡詩人；童謡賞；童謡運動；童謡作家</t>
        </is>
      </c>
      <c r="F5992" t="inlineStr">
        <is>
          <t>古い童謡；レコード童謡；伝承童謡；新しい童謡；童謡部門</t>
        </is>
      </c>
      <c r="G5992" t="inlineStr">
        <is>
          <t>童謡殺人；童謡の小径；童謡の小道；童謡詩人金子みすゞ；童謡こどもの歌コンクール</t>
        </is>
      </c>
      <c r="H5992" t="n">
        <v>29</v>
      </c>
      <c r="I5992" t="inlineStr">
        <is>
          <t>伝説か童謡かを選んで、それらに本来の意味と正反対なことを語らした。；この時期の少女歌手が歌った新作童謡には後々に残る曲がいくつもある。；それから少し変つてゐるのに、一寸西洋の童謡見たやうなのがあります。；赤・黄・緑など様々な色合いを持つ為、童謡では色を錦と表現している。；が1842年に出版した童謡集では以下の形のものが収録されている。；それは大正八年に発表された童謡集『とんぼの眼玉』に収録されていた。；英和辞典でも童謡の総称としてよりもこちらの説明を載せている例がある。；戦前からレコードが複数発売されており時代を越えて歌われている童謡である。；また、元々は童謡ではなくホームソングを作るつもりで書いたという。；本編中で表示される童謡には、金子みすゞ自筆のものが使用されている。；このところ連載で日本の童謡と、その周辺のエピソードを書いてもらっている。；お聞きになって、残酷な童謡だとお思いになったかもしれませんが。；この曲の発表以降、童謡詩に曲を付けて歌われることが一般化した。；私の童謡はただ美しいとか上品とか云ふばかりを主にして居ますのではありません。；日本では童謡として知られ、小学校の音楽の教科書などにも載っている。；日本の場合、シングル盤では童謡やアニメ主題歌に使われることが多い。；数年前から童謡の学習や周囲の豊かな自然を利用した学習も行われている。；これと似たような経緯で後半部を削除された童謡に、てるてる坊主がある。；それは例の有名な童謡〈こがね虫〉の一部をアレインジしたものである。；童謡詩人の男・月風は、女優である妻・千絵子の稼ぎで暮らしている。；私がかういふ心から童謡に興味を持ち出したのも随分と古い事でした。；またこの年は「日本郷土童謡名曲集」をはじめ精力的に著書も出版した。；また当時はテレビでこうした思想を言わず童謡のように押し通したとも述べている。；童謡のとおりに殺してるんだから、異常な人間のすることだわ。；いわゆる少女童謡歌手の人気も手伝って、童謡は国民的愛唱歌となった。；勘ちがいとはべつだが、童謡の文句もなかなか正確には覚えていない。；成功した女優の妻と貧しい童謡詩人の夫の暮らしをコミカルに描く。；金子みすゞという優れた童謡詩人も、その意味では表現しすぎた人だろう。；フランスの童謡「嫌な天気だから、もう森へは行かない」が使われている。</t>
        </is>
      </c>
      <c r="J5992">
        <f>HYPERLINK("https://www.weblio.jp/content/童謡", "词义详情")</f>
        <v/>
      </c>
      <c r="K5992">
        <f>HYPERLINK("https://yourei.jp/童謡", "查看例句")</f>
        <v/>
      </c>
    </row>
    <row r="5993">
      <c r="A5993" t="inlineStr">
        <is>
          <t>道理で</t>
        </is>
      </c>
      <c r="B5993" t="inlineStr">
        <is>
          <t>成功</t>
        </is>
      </c>
      <c r="C5993" t="inlineStr">
        <is>
          <t>読み方：どうりで
［副］そうなる、またそうである道理がわかって納得するさま。なるほど。「海抜二〇〇〇メートルですか、—涼しいわけだ」</t>
        </is>
      </c>
      <c r="D5993" t="inlineStr">
        <is>
          <t>なるほど</t>
        </is>
      </c>
      <c r="H5993" t="n">
        <v>29</v>
      </c>
      <c r="I5993" t="inlineStr">
        <is>
          <t>寺へ上っていったのが、道理でいつまでもおりてこねえと思っていた。；それに奇妙な足音だと思ったのも道理で、片脚は義足らしいのである。；道理でお前さんは妙な顔をしちゃあ、こないだッから私を見ていたんだわ。；したがつて他人に見られるための化粧がうまくなるのも道理であらう。；道理で妙に体の調子が良いと思ったらここまで夜が遅かったのか。；道理ですべての感覚が切られながらも、この少女とだけは話ができるわけだ。；それも道理で、先生の家は、「家」ではなく「小屋」だったからである。；表から見て住宅と思ったのも道理で、中は住居を店舗に改造していることが分った。；道理で汚ない風姿はしていても、いつも髪だけはきれいに撫でつけていた。；道理で、ピーレゴーデンに日本人が一人で来ていると思いましたよ。；絵の持主が好きになれないと言うのも道理で、かなり病的なんです。；道理で養老院だてのに若えおッかねえ野郎ばかりゾロゾロいると思いましたよ。；道理で書類を提出して三日で返事が来るわけです。；それも道理で、ジュリアはいま舞台に出て喜歌劇を演じているところだった。；道理で、行きにも帰りにも、指輪なんかはめている人はいなかったよ。；似ていないのも道理で、この二人は決して姉妹ではない。；それも道理で、幾次郎は最初から一緒に駈け落ちをする気はない。；道理で声に聞き覚えがあると思ったら、あれは電話の声なのだ。；道理で、インターネットでバイオリンの図案ばっかり出てきたわけだよ。；それも道理で、彼らは白人や馬を曾て見たことがないのであった。；それも道理で、彼らは白人や馬を曽て見たことがないのであった。；道理であそこのオヤジがおれにいい顔をしなかったわけだ。；道理でスタンレーヴィルに着いたときヘリコプターがきてなかったわけだ。；道理でその若さにもかかわらずしっかりしている。；道理で最初から、どこかで聞き憶えのある声だと思ったのだ。；道理で立派な身体をされていると思いました。；道理でお茶一杯にもありつけなかったのだな。；道理でどこかでお見かけした顔だとおもっていました。；道理で新聞やテレビに取り上げられなかったわけだ。</t>
        </is>
      </c>
      <c r="J5993">
        <f>HYPERLINK("https://www.weblio.jp/content/道理で", "词义详情")</f>
        <v/>
      </c>
      <c r="K5993">
        <f>HYPERLINK("https://yourei.jp/道理で", "查看例句")</f>
        <v/>
      </c>
    </row>
    <row r="5994">
      <c r="A5994" t="inlineStr">
        <is>
          <t>登竜門</t>
        </is>
      </c>
      <c r="B5994" t="inlineStr">
        <is>
          <t>成功</t>
        </is>
      </c>
      <c r="C5994" t="inlineStr">
        <is>
          <t>読み方：とうりゅうもん
《「竜門」は中国黄河の中流にある急流で、ここをさかのぼることのできる鯉(こい)は竜になるという「後漢書」李膺(りよう)伝の故事から》立身出世の関門。「芥川賞は文壇への—だ」</t>
        </is>
      </c>
      <c r="D5994" t="inlineStr">
        <is>
          <t>登竜門的存在(2%)；登竜門と言われる；登竜門的な位置づけ；登竜門的な役割；登竜門的大会</t>
        </is>
      </c>
      <c r="H5994" t="n">
        <v>29</v>
      </c>
      <c r="I5994" t="inlineStr">
        <is>
          <t>本試験は情報処理技術者試験の論文区分の登竜門と言われることもある。；出場バンドは主に県内出身者が多く若手の登竜門的な役割を担っている。；中国の故事である登竜門を基とした山で、室町時代には存在したとされる。；むしろ中堅・若手選手が出場する一種の登竜門的な位置づけがなされた。；したがって当時の芸人にとっては登竜門のような存在の番組でもある。；マドンナには若手女優が多く起用され、出演する事は女優の登竜門とされた。；ブグローはこの作品で若手芸術家の登竜門とされるローマ大賞を受賞した。；HBC内では出演者・アナウンサー・プロデューサーの登竜門とされている。；若手作曲家の登竜門とされ、受賞そのものが作曲家のキャリアとなる場合が多い。；後にこのシモンズのおかげで文壇への登竜門が開かれたのである。；動画投稿パフォーマーたちの登竜門的位置づけになっているとの声もある。；四輪車への登竜門は、何といっても排気量三六〇ccの軽自動車である。；新進作家の激励を目的とした登竜門的な賞で部門はフランス語作品部門と翻訳作品部門がある。；民間のスポーツ栄養を学ぶ資格として、登竜門的扱いとされている。；歴史的に、この仕事は新人ホテルマンの登竜門であるとされている。；新人登竜門といわれているA賞の候補にこれまで五回挙げられたというのがそれである。；この場所は深圳で画家を目指す者の登竜門となっている。；同年、女性がF1レーサーを目指すための登竜門であるWシリーズに出場。；しかし、環境技術者としての登竜門的な性格もあり、大変人気が高い。；かつては世界を目指す若手ライダーの登竜門的な存在であった。；大会の中でもスケーター達の登竜門であるとされる。；日系企業に就職するための登竜門のような存在になっている。；新人劇作家の登竜門といわれる岸田國士戯曲賞を主催していることでも知られる。；ベトナム由来のクオイの妻の物語の他に、嫦娥や登竜門の伝説も広く語られる。；若手の登竜門と呼ばれるツール・ド・ラブニールにて総合優勝を果たす。；そのため、バウホールでの主演は若手スターの登竜門の役割も担っている。；当時はより上位のフォーミュラへ進出するための登竜門として位置づけられていた。；私は二十九歳になった時、画家への登竜門として有名な、ある権威ある美術界の賞を受賞した。；プロへの登竜門であるNHK邦楽オーディションで、初出場にて合格。</t>
        </is>
      </c>
      <c r="J5994">
        <f>HYPERLINK("https://www.weblio.jp/content/登竜門", "词义详情")</f>
        <v/>
      </c>
      <c r="K5994">
        <f>HYPERLINK("https://yourei.jp/登竜門", "查看例句")</f>
        <v/>
      </c>
    </row>
    <row r="5995">
      <c r="A5995" t="inlineStr">
        <is>
          <t>同僚</t>
        </is>
      </c>
      <c r="B5995" t="inlineStr">
        <is>
          <t>成功</t>
        </is>
      </c>
      <c r="C5995" t="inlineStr">
        <is>
          <t>読み方：どうりょう
職場が同じである人。また、地位・役目が同じである人。</t>
        </is>
      </c>
      <c r="D5995" t="inlineStr">
        <is>
          <t>同僚たち(8%)；同僚執政官(2%)；同僚達；同僚議員；同僚教師</t>
        </is>
      </c>
      <c r="E5995" t="inlineStr">
        <is>
          <t>仲間；同士；友達；友；パートナー</t>
        </is>
      </c>
      <c r="F5995" t="inlineStr">
        <is>
          <t>親しい同僚；上役や同僚；同僚諸氏；同僚法務官；同僚執政官</t>
        </is>
      </c>
      <c r="H5995" t="n">
        <v>29</v>
      </c>
      <c r="I5995" t="inlineStr">
        <is>
          <t>かつて馬鹿にしていた元同僚が食堂のテレビの中で歌っていた。；また、同僚の松永友幸アナらとバンドを組んで活動していたこともある。；この性格は彼自身の研究だけでなく、同僚の仕事に対しても発揮された。；しかし今のミタニ捜査官にはバックアップをしてくれる同僚がいない。；その後、KGBの同僚に売却したが、大統領再就任後に返却されている。；彼は論文を執筆するよりも同僚との間で長い手紙をやり取りするのを好んだ。；同僚や学生がドイツを離れ、あるいは戦死する中、彼はボンに留まった。；彼は世界中の科学会議、大学、そして同僚の家庭の間を旅していた。；彼の能力は同僚にも直ちに認められ、翌1825年には教授へと昇進した。；後に大統領に就任してからは、当時の学生や同僚の中から閣僚を指名している。；ヴァイマル共和国の黒・赤・金の旗を嘲る同僚があれば反論を行っていた。；事務所へはいってみると、場長はじめ同僚までに一種の目で自分は見られるような気がする。；幸い、本庁の捜査一課長も父の元同僚で、何度か会ったことがあった。；分担闘争でクタクタになっている同僚や知人を嫌というほど見て来たから。；一度か二度、帰って来ると同僚から香奠を頂いて赤面したことがある。；同僚だった杉原洋の紹介で知り合った女性と2012年1月に結婚した。；下手をすると、同期入社の仲のいい同僚を失うことになってしまう。；佐藤は関係者やファンに感謝を伝えると、最後は同僚に胴上げされた。；あなたのご同僚が名古屋に到着したそうで、今、車でこちらへ向かっているそうです。；彼は実はその靴を同僚から借りてきたのだ。；だが、その場にかつての同僚でヨーロッパの研修から帰国したタレと遭遇。；他の政務官同様に、同僚の拒否権を再び拒否することはできなかった。；同僚で親友でもあるヴィッキーはクレアに正式な離婚を勧めてきた。；ベルナドットの高い評判は他の同僚たちと対照をなすものであった。；また学生のみならず、彼を知る同僚からの評価も常に高かった。；美容外科から出たところを同僚に見つかり店の噂になってしまった。；脱出に成功した同僚は8名いたが、その後の消息は分からなくなったとされる。；今夜同僚二人とボウリングにゆく、そこで偶然らしく会うことにしようといってきたのだ。；彼女が慌てて制御を取り戻すと、通信用霊装の方からも同僚の驚いた声が飛んできた。</t>
        </is>
      </c>
      <c r="J5995">
        <f>HYPERLINK("https://www.weblio.jp/content/同僚", "词义详情")</f>
        <v/>
      </c>
      <c r="K5995">
        <f>HYPERLINK("https://yourei.jp/同僚", "查看例句")</f>
        <v/>
      </c>
    </row>
    <row r="5996">
      <c r="A5996" t="inlineStr">
        <is>
          <t>動力</t>
        </is>
      </c>
      <c r="B5996" t="inlineStr">
        <is>
          <t>成功</t>
        </is>
      </c>
      <c r="C5996" t="inlineStr">
        <is>
          <t>読み方：どうりょく
水力・電力など、天然に存在するエネルギーを原動機によって機械を動かす力に変えたもの。原動力。</t>
        </is>
      </c>
      <c r="D5996" t="inlineStr">
        <is>
          <t>動力台車(3%)；動力伝達(3%)；動力装置(2%)；動力炉(2%)；動力性能</t>
        </is>
      </c>
      <c r="F5996" t="inlineStr">
        <is>
          <t>蒸気動力；な行動力；動力船；動力バー；動力付き</t>
        </is>
      </c>
      <c r="G5996" t="inlineStr">
        <is>
          <t>動力車；動力学；動力分散方式；動力集中方式；動力近代化</t>
        </is>
      </c>
      <c r="H5996" t="n">
        <v>29</v>
      </c>
      <c r="I5996" t="inlineStr">
        <is>
          <t>そのほか、地球以外の惑星でも類似の動力による飛行が検討されている。；動力飛行の定義のひとつである継続的な飛行とはかけ離れたものであった。；ある意味では通常動力型と核動力型の過渡期的・例外的な存在と言える。；なお、格闘モードで動力スイッチを入れていない時には首が固定されない。；なお、以下の通常型潜水艦にはAIP動力潜水艦は含まれないものとする。；はじめて風の力を利用して動力を取り出したのは船の帆であると考えられている。；後にセントアンソニー滝は製粉所の動力を供給するために活用された。；その後の産業革命の動力を担った蒸気機関の実質的な発明とされている。；動力水車の本格的な使用は江戸時代になってからといわれている。；後にエンドウ製の動力ユニットを改良し、自社製品としたものが登場した。；動力機構で発生させた動力を車輪に伝達する機構は様々なものがある。；グラーデ単葉機は、日本初の動力飛行に使われた飛行機のひとつである。；原子力動力との対比のために通常動力での潜水艦の特徴を以下に示す。；狭軌の機関車の動力に内燃機関を初めて使用したのは1902年であった。；しかし、動力を用いた農業機械の導入が本格化するのは戦後になってからである。；小型の動力を使用した、2軸の小さな車両を題材としたシリーズ。；平行ではなく角度がついた軸の間で動力を伝達する際に用いられる。；新幹線では、複数の車両に動力を備えた「動力分散方式」が採用される。；車体支持方式は空気ばね、動力伝達はリンクを介した低心皿方式である。；電化された路線では、動力に電気を使用する電気機関車や電車が用いられる。；両運転台をもつが、制御車であり動力装置は持たず単独運転することはない。；カルノーはまず、熱から動力を生み出すのには温度差が必要だと論じた。；動力を何から得るかによって以下のように様々な種類がある。；出力などの動力性能での大きな変更点はなかったが、完成度は確実に上がっていた。；動力のない付随車を引いて走ることもあったが、一両だけで走ることのほうが多かった。；動力用によく使われることから、「工業用」と呼ばれることもある。；動力を有している車両と有していない車両がある。；有人機では電動機を動力とする電動ヘリコプターの試作が行われている。；キュニョーが蒸気動力による車両を可能にできた背景には以下の要因がある。</t>
        </is>
      </c>
      <c r="J5996">
        <f>HYPERLINK("https://www.weblio.jp/content/動力", "词义详情")</f>
        <v/>
      </c>
      <c r="K5996">
        <f>HYPERLINK("https://yourei.jp/動力", "查看例句")</f>
        <v/>
      </c>
    </row>
    <row r="5997">
      <c r="A5997" t="inlineStr">
        <is>
          <t>道路</t>
        </is>
      </c>
      <c r="B5997" t="inlineStr">
        <is>
          <t>成功</t>
        </is>
      </c>
      <c r="C5997" t="inlineStr">
        <is>
          <t>読み方：どうろ
人や車などの通行するみち。往来。</t>
        </is>
      </c>
      <c r="D5997" t="inlineStr">
        <is>
          <t>道路上；道路沿い；道路網；道路事情；道路用地</t>
        </is>
      </c>
      <c r="E5997" t="inlineStr">
        <is>
          <t>通り；道；路線；路；コース</t>
        </is>
      </c>
      <c r="F5997" t="inlineStr">
        <is>
          <t>主要道路；アクセス道路；車線道路；周辺道路；広い道路</t>
        </is>
      </c>
      <c r="G5997" t="inlineStr">
        <is>
          <t>道路整備；道路交通；道路法；道路標識；道路建設</t>
        </is>
      </c>
      <c r="H5997" t="n">
        <v>29</v>
      </c>
      <c r="I5997" t="inlineStr">
        <is>
          <t>かつての南北に走る道路にかわり、東西に走る道路が中心となっていく。；また、道路の建設やバス・モノレールの運行ができるようになっている。；道路の記事からも得られる情報しか持たないような記事は作成しないで下さい。；また、道路も敷設出来ず、バスやトラックを走行させることも出来ない。；道路の状況およびインターチェンジなどについては両道路の項目を参照。；貨物輸送量減少の原因は道路網の整備によるトラック輸送への転換である。；最下級の道路は三級国道で、地域にとって重要な区間に設けられている。；再開発前から駅と行幸道路の間では、駅行と駅発のバスが別の道路を通る。；バブル景気の時代に入ると道路の開発ラッシュで整備がさらに進んだ。；また、将来の道路のアンダーパス計画の設置スペースを確保している。；整備を進めやすいために道路よりも鉄道を優先して建設された。；このような道路の制度は日本独自のもので通行権の制限がある。；競技が可能な道路幅と路面状況であることが開催の条件となる。；道路は経路の説明のためのもので予定地や廃線跡が転用されたものではない。；各道路ごとの沿革は、#事業区間ごとの概要にある各道路の沿革を参照。；駅前は南から北に向かう一方通行の道路で、全体的にマンションが多い。；道路記事ではスタブテンプレートは原則としてのみを使用してください。；ホームは駅舎や道路より高いところにあり、駅舎との間を地下道が結んでいる。；亡霊となった彼は夜な夜なその道路を猛スピードでさまよい続けている。；放射方向の道路が環状道路の一部にもなっており、それらと連絡する。；高速道路や主要道路を中心に、ラジオの再送信を行っているケースもある。；サンフランシスコは水路に遮られているために、通過する道路は少ない。；なお二層通路橋は上下層で方向を別にしたり、道路と鉄道の併用にしたりするもの。；このことは、重量のある車が2級道路しか利用できないことを意味している。；停留場は浦上駅前を走る併用軌道上にあり、ホームは道路上に置かれる。；それだけの金があれば他にもっと緊急を要する道路問題はいくらでもある。；この規制が適用される時間帯と適用道路は以下の通りである。；カッコ内の名称は、一般的な地図や道路上の標識に記載してある名称。；国道2号から桟橋までの道路は広島県道43号厳島公園線の一部である。</t>
        </is>
      </c>
      <c r="J5997">
        <f>HYPERLINK("https://www.weblio.jp/content/道路", "词义详情")</f>
        <v/>
      </c>
      <c r="K5997">
        <f>HYPERLINK("https://yourei.jp/道路", "查看例句")</f>
        <v/>
      </c>
    </row>
    <row r="5998">
      <c r="A5998" t="inlineStr">
        <is>
          <t>登録</t>
        </is>
      </c>
      <c r="B5998" t="inlineStr">
        <is>
          <t>成功</t>
        </is>
      </c>
      <c r="C5998" t="inlineStr">
        <is>
          <t>読み方：とうろく
［名］(スル)
１帳簿や原簿に記し載せること。「メンバーとして—する」
２一定の事項を公証するために、行政官庁などに備えてある公簿に記載すること。</t>
        </is>
      </c>
      <c r="D5998" t="inlineStr">
        <is>
          <t>登録抹消(2%)；登録番号；登録制度；登録できる；登録メンバー</t>
        </is>
      </c>
      <c r="F5998" t="inlineStr">
        <is>
          <t>商標登録；一軍登録；再登録；新規登録；予備登録</t>
        </is>
      </c>
      <c r="G5998" t="inlineStr">
        <is>
          <t>登録有形文化財；登録商標；登録者；登録制；登録対象</t>
        </is>
      </c>
      <c r="H5998" t="n">
        <v>29</v>
      </c>
      <c r="I5998" t="inlineStr">
        <is>
          <t>登録を希望する者は最初に認定大学レベルの建築学校で勉強する必要がある。；実験の結果はかつての結果と一致しており、 元素の登録が申請された。；新車登録時のみに適用され、中古車および使用過程車には適用されない。；またリアル志向の結果1球団に30名もの選手が登録される事となった。；登録サービスは建築の程度を提供する機関の認定も提供している。；なお、亀山方面は登録されず通常形態のサービスエリアで運営している。；また、ユーザーもこの領域に独自に文字を登録できることが一般的になった。；車載器には、あらかじめ設置する車両の情報を登録しなければならない。；RNCPに登録される資格には無条件登録資格と申請後登録資格がある。；これにより前田家には相続税の納付に向けて全財産の登録が要求された。；現存する最古の都市とされるサナア旧市街は世界遺産に登録されている。；また、世界遺産に登録されている乙女の塔の名をとったワインもある。；所有するコンテナや機関車に使用しており、こちらも商標登録されている。；手始めに、まずはこの宿に所属する冒険者の登録作業を行うこととなる。；オンラインで登録したメールアドレスにはメールマガジンが配信された。；各神社は国家が管理する台帳の一種である神社明細帳に登録された。；いわゆる「拡大登録」がこれにあたるが、逆に縮小登録にも適用される。；IANAに登録されているスキームで、利用が続いている一部を掲載する。；たとえば、国内外の図書館で、日本語の書籍名を登録する際に用いられる。；したがって、それ以前に日本の馬名登録を受けた輸入競走馬が対象となる。；各リーグ所属校の当該試合出場校以外の登録された野球部員が務める。；しかしながら国民登録においては4つの名の記載を求める国が多い。；なお、株式会社設置のものについては学校登録されていないため不可能である。；また、前年怪我でシーズン途中に登録抹消されたパウリーニョも復帰した。；IEEEではOUIの登録データをWebで検索できるようにしている。；物品税は購入価格あるいは州で登録された飛行機の市場価値で課税される。；そのため車載器にはあらかじめ設置する車両の情報を登録しなければならない。；ただし、友達を30人以上登録しようとすると、出会った順に忘れてしまう。；なお、所属先がない選手は登録先の陸上競技協会が所属先として記載される。</t>
        </is>
      </c>
      <c r="J5998">
        <f>HYPERLINK("https://www.weblio.jp/content/登録", "词义详情")</f>
        <v/>
      </c>
      <c r="K5998">
        <f>HYPERLINK("https://yourei.jp/登録", "查看例句")</f>
        <v/>
      </c>
    </row>
    <row r="5999">
      <c r="A5999" t="inlineStr">
        <is>
          <t>討論</t>
        </is>
      </c>
      <c r="B5999" t="inlineStr">
        <is>
          <t>成功</t>
        </is>
      </c>
      <c r="C5999" t="inlineStr">
        <is>
          <t>読み方：とうろん
［名］(スル)ある事柄について意見を出し合って議論をたたかわせること。「—会」</t>
        </is>
      </c>
      <c r="D5999" t="inlineStr">
        <is>
          <t>討論会(5%)；討論形式；討論クラブ；討論テーマ；討論演説</t>
        </is>
      </c>
      <c r="E5999" t="inlineStr">
        <is>
          <t>議論；論；相談；講義；論争</t>
        </is>
      </c>
      <c r="F5999" t="inlineStr">
        <is>
          <t>テレビ討論；自由討論；激しい討論；自由な討論；徹底討論</t>
        </is>
      </c>
      <c r="G5999" t="inlineStr">
        <is>
          <t>討論番組；討論型世論調査；討論部</t>
        </is>
      </c>
      <c r="H5999" t="n">
        <v>29</v>
      </c>
      <c r="I5999" t="inlineStr">
        <is>
          <t>外国青年と日本青年との交流を主軸とし、討論などの活動も取り入れた。；理想的なモデルでは議論的討論に適用される10の規則が規定されている。；この討論は賞金をかけた戦いの雰囲気があり、多数の聴衆を引きつけた。；総合の授業の一部ではエンカウンターにおいて生徒が討論する場がある。；候補者はテレビ討論会にも参加し、自分の目標についての質問に答えた。；彼は何度も討論に引きずりこもうとしたものの、彼女は彼を無視した。；そして首脳部の人々は、脱出方法について熱心な討論をつづけていった。；およそ討論の主題でないものはなく、学者のあいだに反対説のないものはない。；この装置の前で二人が討論し、感情がたかぶったときに装置の表面が光った。；一方で、相手に勝つことを目的とする討論・論争もまた議論の一種である。；彼は研究者の中から選ばれて女王の前で公開討論を行った。；まったく討論において皆の意見が一致したらそれこそ退屈千万である。；私はこの反対およびベイリー博士の反対を相互討論に残すことにする。；一方で、これらの討論などは法律などによって規制されているわけではない。；公開された激しい討論の中には彼らが交わした書状の多くの出版も含まれていた。；インターネットの商用利用への関心は、熱く討論される話題となってきた。；しかし、今日なおこの区分けが適切かどうかには多くの討論がある。；そのため同じ法案に緑風会から賛成・反対両方の討論を行ったこともある。；また、金は積極的にテレビ討論に出席し、反台湾論論者と討論を行なう。；彼はイスラームの教えを研究し、討論者として知られるようになった。；先生がまた中に入って指導しかつ討論の相手にもなる。；費用講習の内容 講習は講義が主体であるが、数時限は討論が行われる。；同年9月に平壌市で開催された国際ジャガイモ科学討論会に参加した。；ガッツ石松、やくとの公開討論を行い判定の批判への不満を露わにした。；このあと三つの分科会に分かれて、それぞれに研究発表と討論が行われた。；そしてそれに米国の学者たちの討論までがついていた。；この問題は我々仲間で討論されたことがあるので、わたしはすぐ彼女に伝えてやったわけです。；そして三面紅旗政策の失敗を討論する場となるのは明白であった。；フリーリングハイゼンは議会討論や委員会業務で重要な役割を担った。</t>
        </is>
      </c>
      <c r="J5999">
        <f>HYPERLINK("https://www.weblio.jp/content/討論", "词义详情")</f>
        <v/>
      </c>
      <c r="K5999">
        <f>HYPERLINK("https://yourei.jp/討論", "查看例句")</f>
        <v/>
      </c>
    </row>
    <row r="6000">
      <c r="A6000" t="inlineStr">
        <is>
          <t>童話</t>
        </is>
      </c>
      <c r="B6000" t="inlineStr">
        <is>
          <t>成功</t>
        </is>
      </c>
      <c r="C6000" t="inlineStr">
        <is>
          <t>読み方：どうわ
子供のために作られた話。昔から語り伝えられてきたおとぎ話や伝説・寓話(ぐうわ)などを含む。狭義には特に創作された物語をさし、日本では鈴木三重吉・小川未明らによって発展した。
[補説]書名別項。→童話</t>
        </is>
      </c>
      <c r="D6000" t="inlineStr">
        <is>
          <t>童話全集(7%)；童話的(2%)；童話会；童話風；童話作品</t>
        </is>
      </c>
      <c r="F6000" t="inlineStr">
        <is>
          <t>定本小川未明童話；創作童話；口演童話；有名な童話；短編童話</t>
        </is>
      </c>
      <c r="G6000" t="inlineStr">
        <is>
          <t>童話集；童話王国；童話館；童話物語；童話迷宮</t>
        </is>
      </c>
      <c r="H6000" t="n">
        <v>29</v>
      </c>
      <c r="I6000" t="inlineStr">
        <is>
          <t>まさかそんな書物の間に西洋の童話がはさまっていたとも思われませぬ。；また、この時代にはフランスのシャルル・ペローが童話の基礎を築いた。；童話を書いていた経験から、初期作品は少女の夢想のような物語性が濃い。；子供役は主にたけし軍団で、話は実在の童話を改変して笑いにしていた。；大人にはない子供の温かくて純粋な心が童話のように描かれている。；韓国の童話の村であり、住民はヘリオス塔図書館にある本の影響を受ける。；桃太郎など童話をベースにした本を読み進め、現れる敵を倒してゆく。；絵ではなく写真を使った童話も掲載し、創刊号は20万部を売り上げた。；キリスト教精神と欧米の童話を基盤に、伝承童話の研究の基礎を築いた。；お母さん、いま私の胸のうちに一つの童話の構想が生れています。；毎回、声優が交代制で童話や昔話などの作品を朗読していくプログラム。；学校に慣れず、親に隠れて童話や神話を耽読するような子供であった。；まるで童話のさしえでも見ているような夢のようなけしきでした。；高木敏雄が童話『長い名前』を新聞に掲載したのも同1913年である。；幼少期より童話に興味を持っており、12歳の頃から演技と歌を勉強する。；また、ロシア童話に登場する擬人化された熊のほとんどがこの名前である。；その後も死去するまでの間に多くの童話を発表しつづけた。；戦争中も筆を置くことはなかったが、この時期は童話よりも随筆を書いている。；童話の世界に私らしいものを導入したいと思っています。；テレホン童話以外にも絵本の制作や人形劇の上演などの活動を行っている。；人生の如何なる高い理想も、希望も、童話の世界では実現が可能であるのだ。；わたくしはすべての童話のやうな世界が好きなのである。；まるで、童話の国の王さまの前にでも、出たような気がするのです。；まず妻の美しさに感激するが、娘ケイは童話の姫のように美しかった。；私はその童話の中にこういう数行を入れたいと思っています。；結局、童話的な期待を裏切るために、巨人は画面の外で殺されることになった。；したがって、彼女たちがペローの童話を読んでいた可能性は充分ある。；代表的な作品は、細かく描きこまれた童話の中にいるような世界観のお部屋の絵。；花をテーマにした童話を公募し、全国から1040編の応募があった。</t>
        </is>
      </c>
      <c r="J6000">
        <f>HYPERLINK("https://www.weblio.jp/content/童話", "词义详情")</f>
        <v/>
      </c>
      <c r="K6000">
        <f>HYPERLINK("https://yourei.jp/童話", "查看例句")</f>
        <v/>
      </c>
    </row>
    <row r="6001">
      <c r="A6001" t="inlineStr">
        <is>
          <t>遠い</t>
        </is>
      </c>
      <c r="B6001" t="inlineStr">
        <is>
          <t>成功</t>
        </is>
      </c>
      <c r="C6001" t="inlineStr">
        <is>
          <t>読み方：とおい
［形］［文］とほ・し［ク］二つのものが空間的、時間的に、また心理的に離れているさま。
１場所が非常に離れている。距離が十分にある。「—・い国」「—・くまで歩く」⇔近い。
２時間が非常に離れている。間に多くの時間が流れている。「—・い将来」「完成には—・い」⇔近い。
３関係が薄い。気持ちの隔たりが大きい。親密でない。関心が薄い。「—・い間柄」「足が—・くなる」⇔近い。
４血のつながりが密接でない。「—・い親類」⇔近い。
５性質・内容・程度などの隔たりが大きい。似ていない。大きな差がある。「理想から—・い生活」「秀才というにはあまりに—・い」⇔近い。
６はっきり聞こえない。音が小さく聞こえる。「耳が—・い」「電話が—・い」
７（「気が遠くなる」の形で）意識が薄れる。「気が—・くなるほどの数字」
８（「目が遠い」の形で）遠視である。「目が—・くて本が読みにくい」⇔近い。
[派生]とおさ［名］
[下接句]話が遠い・耳が遠い・当たらずと雖(いえど)も遠からず・殷鑑(いんかん)遠からず・生(お)い先遠し・言(げん)近くして意遠し・任重くして道遠し・日暮れて道遠し</t>
        </is>
      </c>
      <c r="D6001" t="inlineStr">
        <is>
          <t>遠い昔(7%)；遠いところ(7%)；遠い所(2%)；遠い過去(2%)；遠い国</t>
        </is>
      </c>
      <c r="E6001" t="inlineStr">
        <is>
          <t>離れた；はるか；遥か；遥；ほど遠い</t>
        </is>
      </c>
      <c r="F6001" t="inlineStr">
        <is>
          <t>最も遠い；遠い存在；遠い日；一番遠い；まだ遠い</t>
        </is>
      </c>
      <c r="G6001" t="inlineStr">
        <is>
          <t>遠い道のり；遠い夢；遠い雷鳴；遠い雲；遠い世界に</t>
        </is>
      </c>
      <c r="H6001" t="n">
        <v>29</v>
      </c>
      <c r="I6001" t="inlineStr">
        <is>
          <t>緑が濃いほど平和なことを示し、赤が濃いほど平和から遠いことを示す。；この駅からのバスサービスはほどの遠い場所まで接続し、まで運行する。；対して寒冷な夏は、その季節中に地球が太陽から最も遠いときに起こる。；でも、あまり遠かったので声をかけることはもちろんできませんでした。；機に乗っていたときには手が届きそうだったのに、ここからは遠かった。；色の並ぶ順序も暈と同様に太陽に近い側が赤、遠い側が紫となっている。；駅から彼女の家まではかなり遠かったが、話の途切れることはなかった。；この地震波は小規模の地震に比べて距離が遠いほど卓越する性質がある。；しかし同じ東京にいても地上と第六層の距離は見た目以上に遠かった。；指定の場所とは、覚えておられよう、第二の入口から最も遠き角である。；遠い宇宙にいるこのチェシャ猫の正体であるが、以下のようなことである。；特に送信所から遠い場所、一部の家電品の近くや雷発生時に起きやすい。；江戸川の終点まで電車で乗って行くだけでもなかなか遠かったと話した。；そのためには遠いドイツでの家庭教師の仕事を引き受けざるを得なかった。；また、馬匹の多くも糧秣の関係で戦線から遠い後方地区に送られていた。；この未来史が描く範囲は比較的近い未来から数万年先の遠未来である。；また、明日では近すぎて未来では遠すぎるという意味が込められている。；その内容は、遠い昔に死んだと思っていた妻が生きているというものだった。；奴隷用の墓地は通常牧場主により指定され、奴隷の住居からは遠かった。；同じ薩摩藩出身の黒田清隆との直接の血縁は遠いが、あるとされている。；いかなる人もいと高く遠きところに向かって願いを立てねばならない。；アア日暮れて途いよいよ遠しの感に打たれざるを得ない次第であります。；CPUから見て一番遠いキャッシュメモリの事をLLCと呼ぶ事もある。；それまで遠かった祖国の文化に、この手で接してみたいと思ったのである。；あとで考えると、たぶん『遠い崖』の出版の打ち合わせだったのだろう。；しかし、本大会での出場機会は無く、同大会以降は同代表から遠かった。；pseudomammaは足のような乳腺堤から遠い場所にも発生する。；湖水あるいは流れが遠からぬところにあることはきわめて明らかであった。；私が通っていた私立の男子高校で、一番家が遠かったのが、若井だった。</t>
        </is>
      </c>
      <c r="J6001">
        <f>HYPERLINK("https://www.weblio.jp/content/遠い", "词义详情")</f>
        <v/>
      </c>
      <c r="K6001">
        <f>HYPERLINK("https://yourei.jp/遠い", "查看例句")</f>
        <v/>
      </c>
    </row>
    <row r="6002">
      <c r="A6002" t="inlineStr">
        <is>
          <t>遠く</t>
        </is>
      </c>
      <c r="B6002" t="inlineStr">
        <is>
          <t>成功</t>
        </is>
      </c>
      <c r="C6002" t="inlineStr">
        <is>
          <t>読み方：とおく
《形容詞「とおい」の連用形から》
［名］遠いところ。遠方。「—の町」「—へ行く」
［副］隔たりが大きいさま。はるかに。「先達には—及ばない」「—一〇〇〇年の昔から行われている」</t>
        </is>
      </c>
      <c r="D6002" t="inlineStr">
        <is>
          <t>遠く離れ(8%)；遠くなる(3%)；遠くまで(3%)；遠く及ばない；遠くなりそう</t>
        </is>
      </c>
      <c r="E6002" t="inlineStr">
        <is>
          <t>遠方；碧落</t>
        </is>
      </c>
      <c r="F6002" t="inlineStr">
        <is>
          <t>そう遠く；どこか遠く；はるか遠く；遠く及ば；あまり遠く</t>
        </is>
      </c>
      <c r="G6002" t="inlineStr">
        <is>
          <t>遠くの空；遠く遠く；遠くても；遠くへ行きたい；遠くにいても</t>
        </is>
      </c>
      <c r="H6002" t="n">
        <v>29</v>
      </c>
      <c r="I6002" t="inlineStr">
        <is>
          <t>遠く離れたルパートが戻ってきた時には、国王軍は総崩れとなっていた。；これは最外殻電子の主量子数が増加しより遠くの軌道となるためである。；また遠くには月が見えていて、計画の最終的な目標を象徴している。；遠くに届くものは聞こえが大きく、遠く届かないものは聞こえが小さい。；でも数年前から私の耳が遠くなったのと元々人の話をよく聞かない所かあるの。；さらには、支倉常長などのように遠くヨーロッパにも渡った者もいた。；木簡は最初に字が書かれたところから遠く離れた場所で捨てられることがある。；歴史的には、ヨーロッパからみて最も遠くにある地域として名付けられた。；そしてその哲朗をそれぞれ遠くから見つめる二人の少女の姿があった。；そのため遠くへ行くことは少なかったが、東海岸の各地で講演を行った。；遠く日本からも都市行政関係者などが多数ストラスブールを視察している。；毎年6千人超の入場者数を数え、遠くは都内や他県からの来校者もある。；このため、同一地域内ではなく遠く離れた地域への移住が推進されるようになった。；さらに遠く離れたパリ南部のバンリューは2つのエリアに分けられる。；遠く離れた相手の様子をひそかに探ることができる道具のセット。；遠くを見るため眼の上に手をかざす所作を取り入れたものという説がある。；悪意に満ちたその叫びを遠くから聞くだけで、人の意志はくじけてしまう。；この教会は市内中央部、ハイデルベルク城からも遠くない場所に位置する。；このため2021年現在、人間が地球から最も遠く離れた記録となっている。；この試合は自分のいる場所ではなくもっと遠くから自分を見ているような感じであったという。；近視の症状は、遠くをはっきり見ることができないことが主である。；山上駅は寺の浄域から離れたところとし線路は遠くから見えないようにする。；大聖堂からそう遠くない場所にアイルランド国立大学の元の中庭がある。；ある日、彼は遠くから見知らぬ男が自分を見つめていることに気づく。；所定の高度で飛行する航空機が、どれだけ遠くのレーダーを攻撃できるか。；反対にドニエプル川は彼らの言葉で「はるか遠くの川」の意味である。；初期の大型兵器は石などを遠くに飛ばす為この力を利用した。；実際はフウチョウ科とは別系統だが、そう遠くない系統位置にある。；遠くない未来に、このようなアーティストが台頭していくでしょう。</t>
        </is>
      </c>
      <c r="J6002">
        <f>HYPERLINK("https://www.weblio.jp/content/遠く", "词义详情")</f>
        <v/>
      </c>
      <c r="K6002">
        <f>HYPERLINK("https://yourei.jp/遠く", "查看例句")</f>
        <v/>
      </c>
    </row>
    <row r="6003">
      <c r="A6003" t="inlineStr">
        <is>
          <t>遠ざかる</t>
        </is>
      </c>
      <c r="B6003" t="inlineStr">
        <is>
          <t>成功</t>
        </is>
      </c>
      <c r="C6003" t="inlineStr">
        <is>
          <t>読み方：とおざかる
［動ラ五（四）］
１遠くに離れてゆく。遠のく。「足音が—・る」
２疎遠になる。うとくなる。「書物から—・る」</t>
        </is>
      </c>
      <c r="D6003" t="inlineStr">
        <is>
          <t>遠ざかるべく；遠ざかるべし；遠ざかる速さ；遠ざかる黒い</t>
        </is>
      </c>
      <c r="E6003" t="inlineStr">
        <is>
          <t>引く；去る；離れる；外す；退く</t>
        </is>
      </c>
      <c r="F6003" t="inlineStr">
        <is>
          <t>遠ざかれば遠ざかる；どんどん遠ざかる；だんだん遠ざかる；みるみる遠ざかる；表舞台から遠ざかる</t>
        </is>
      </c>
      <c r="H6003" t="n">
        <v>29</v>
      </c>
      <c r="I6003" t="inlineStr">
        <is>
          <t>こんな風にあの人を遠ざからせてしまったのはお母さんだって悪いんだ。；君が僕から遠ざかるその瞬間から、僕はこの世にただ一人とり残される。；砲火の音がほんの少し遠ざかるとすぐに商人たちはこうして渡って来る。；その話を興味深げに聞いている周囲の人間からも遠ざかりたいと思った。；地球は信じられないような速さで遠ざかり、一分たらずで見えなくなる。；彼の周囲に座っていた人々は悲鳴をあげて彼から遠ざかろうとした。；距離が段々と遠ざかるうちに愛の声も二人の姿も小さくなっていった。；そうしてこんな風に私たちから遠ざからせてしまったのにちがいない。；昔の記憶と比較するには、昔の記憶が遠ざかりすぎているようである。；間もなく馬車の音が遠ざかってゆき、彼らの立ち去ったことがわかった。；四人は細い横町を三分の二ほど広い通りの方へ遠ざかったところである。；また不知火に決して近づくことはできず、近づくと火が遠ざかって行く。；私どもは美しさと静かさからだんだんに遠ざかつて来てしまつた。；疎略なことはするわけもないがかえってはなはだ遠ざかる気分があった。；毎日来ていた愛子の足は二日おきになり三日おきになりだんだん遠ざかった。；それらから少しでも遠ざかるために、歩き続けなければならなかった。；船の汽笛が鳴って、その眼に見えない怪物は重々しく遠ざかっていった。；これらの病気から遠ざかるかまたは用心深い能力をもって近づきなさい。；人は理解できないものを排斥しようとしたり遠ざかろうとしたりするものだ。；映画解説を中心とする文筆活動も行っていたが、最近は遠ざかっている。；地球は信じられないような速さで遠ざかり、一分たらずで見えなくなった。；彼女の後ろ姿が駅方向へ遠ざかるのを確認してから助手席のドアを開けた。；こうしている間も味沢は北野の手の及ぶ範囲の外へ遠ざかりつつある。；いいや、安房から一足でも遠ざかりたいだけでこうして歩いているんだ。；うつつともなし・現実の意識を遠ざからしむるごとき思ありといふこと。；ふたたび歩きだした毛毛の足音が遠ざかり、すぐになにも聞こえなくなった。；それが遠ざかるまで、減敬は草の中におろされた乗物の外に立っていた。；とにかく二人は表面だけは立派に遠ざかって四五日を経過した。；それがまた見る間に遠ざかっていって、かすかな音ばかりになった。</t>
        </is>
      </c>
      <c r="J6003">
        <f>HYPERLINK("https://www.weblio.jp/content/遠ざかる", "词义详情")</f>
        <v/>
      </c>
      <c r="K6003">
        <f>HYPERLINK("https://yourei.jp/遠ざかる", "查看例句")</f>
        <v/>
      </c>
    </row>
    <row r="6004">
      <c r="A6004" t="inlineStr">
        <is>
          <t>遠ざける</t>
        </is>
      </c>
      <c r="B6004" t="inlineStr">
        <is>
          <t>成功</t>
        </is>
      </c>
      <c r="C6004" t="inlineStr">
        <is>
          <t>読み方：とおざける
［動カ下一］［文］とほざ・く［カ下二］
１遠くへ離れさせる。近くへ寄せない。「人を—・けて密談する」
２親しまない。うとんじる。「仲間を—・ける」「甘い物を—・ける」</t>
        </is>
      </c>
      <c r="D6004" t="inlineStr">
        <is>
          <t>遠ざけるべき；遠ざけるよう進言；遠ざけるべく</t>
        </is>
      </c>
      <c r="E6004" t="inlineStr">
        <is>
          <t>避ける；回避；忌避；免れる；躱す</t>
        </is>
      </c>
      <c r="F6004" t="inlineStr">
        <is>
          <t>さらに遠ざける</t>
        </is>
      </c>
      <c r="H6004" t="n">
        <v>29</v>
      </c>
      <c r="I6004" t="inlineStr">
        <is>
          <t>なぜなら、そうしていればほかの考えを遠ざけておくことができたから。；私はこの子を遠ざけるためにできる限りのことをしたのに、やって来た。；かれらを多くの望ましい財産と楽しみから遠ざけるだけのものであった。；眼を遠ざけると、その黒い線は消えて、赤い雲の幾つもの塊だけが残る。；ところがこの二つから彼を遠ざけておくことはだれにもできなかった。；お話の約束ぐらいでは、少女を池から遠ざけておくことはできなかった。；光が見え始めた中学の頃から自分は恋愛というものを遠ざけてきたことを。；ああ主よ、あまりにすみやかに到達できるような幸福から遠ざけたまえ!；自分より遠ざけて、自分の目より離さんと工夫するのが人間の心である。；かといって、人を遠ざけ、一人になることは別の危険を意味していた。；いかに着ぐるみを人間の体型から遠ざけるかをテーマにデザインされた。；しかし、あの人は我々の力をそうした危険から遠ざけてくれるだろう。；それがいよいよ辺境星区を惑星間経営機構から遠ざける結果となった。；いや、初めから気づいていて、それを必死に遠ざけていただけだったのか。；違いすぎる髪と瞳の色は、同じ年齢の人間を遠ざけるのに十分な理由だった。；わたくしには、あの人の名を唇から遠ざけることができないのでございます。；人を遠ざけて、室内には一郎と捜査課長と明智探偵の三人だけであった。；人は闇を遠ざけるために、手に入れた財産のほとんどを食いつぶしてきた。；父が決して、子らを嫌って遠ざけたわけではないという点も救いになる。；もはや、その苦痛を遠ざけたままにしておくことはできなくなった。；以降女王はバーティを疎むようになり、公務から遠ざけるようになった。；たとえ最初の結婚生活でさえ、彼の性格が彼を不幸から遠ざけていた。；彼らはわが眼をわが友より遠ざけて、わが心を情熱の火をもて焼きたり。；斥力とは物質同士が遠ざけあう力のことであり、引力の反対の力である。；それとも繁殖者を遠ざけておくべつの何かがあったのかもしれないわ。；それ以外に、自分がリディアを遠ざけることはあり得ないと心に決めた。；少しでもガソリンから遠ざけるためか、握りしめた手を高く掲げていた。；今まで何かに惹かれた事がなかったから、私はこの矛盾を遠ざけていられた。；とにかく子供たちだけは、ああいうものから遠ざけておきたいものですねえ!</t>
        </is>
      </c>
      <c r="J6004">
        <f>HYPERLINK("https://www.weblio.jp/content/遠ざける", "词义详情")</f>
        <v/>
      </c>
      <c r="K6004">
        <f>HYPERLINK("https://yourei.jp/遠ざける", "查看例句")</f>
        <v/>
      </c>
    </row>
    <row r="6005">
      <c r="A6005" t="inlineStr">
        <is>
          <t>通す</t>
        </is>
      </c>
      <c r="B6005" t="inlineStr">
        <is>
          <t>成功</t>
        </is>
      </c>
      <c r="C6005" t="inlineStr">
        <is>
          <t>読み方：とおす
［動サ五（四）］
１
㋐一方から他方へ突き抜けさせる。「針に糸を—・す」
㋑まんべんなくゆきわたらせる。「中まで十分に火を—・す」
㋒二点間を結ぶ道筋をつくる。「バイパスを—・す」
㋓正しい筋目をつける。「話の筋を—・す」
２
㋐ある点を過ぎて行かせる。「車を止めて人を—・す」
㋑（人を）屋内や室内に導き入れる。「客間に—・す」
㋒人を仲立ちとして、また、物を隔ててそのことをする。「先生を—・して頼む」「レンズを—・して見る」
㋓料理店などで、客の注文を帳場に取り次ぐ。
３
㋐審査して成り立たせる。「法案を—・す」
㋑無理やりに受け入れさせる。「我を—・す」
４
㋐最後までその状態を続ける。「独身で—・す」
㋑全期間、また、全体にわたってする。「夜を—・して話す」「書類に目を—・す」
５（動詞の連用形について）最後まで…続ける。「遂にやり—・した」
[可能]とおせる
[下接句]一念岩をも通す・牛は願いから鼻を通す・思う念力岩をも通す・女の一念岩をも通す・我を通す・気を通す・錐(きり)嚢(ふくろ)を通す・袖(そで)を通す・手を通す・念力岩を徹(とお)す・火を通す・目を通す</t>
        </is>
      </c>
      <c r="D6005" t="inlineStr">
        <is>
          <t>通すべき；通すまい；通すつもりなら；通す加熱管；通すつもりです</t>
        </is>
      </c>
      <c r="F6005" t="inlineStr">
        <is>
          <t>隠し通す；やり通す；引き通す；切り通す；つき通す</t>
        </is>
      </c>
      <c r="H6005" t="n">
        <v>29</v>
      </c>
      <c r="I6005" t="inlineStr">
        <is>
          <t>彼女はナポレオンの部屋に通されるのを朝から夜までずっと待っていた。；これらの間でデータを交換するには変換プログラムを通す必要があった。；事によったら馬鹿な下女奴が、奥へ通さずにしまったのではないかしら。；これは形を維持したまま固化し、光を通すので形状の観察も容易である。；これからはどうしようかと少し迷い、このままの調子を通そうと決めた。；このつぎは、きみに必要なだけの光以外には何も通さないやつを使う。；しかし、案内を知って来た男は奥や二階に通されるという仕かけである。；Sから電話で頼んでもあったので、すぐ明るい日本室の画室へ通された。；こういうものまでも一と通りは眼を通さなければ気が済まなかったらしい。；堅い板に穴を開けて、電気が流れるケーブルをその穴に通すことがある。；それは最初から予想していたので、わたしは二階へ通されて奥さんに会った。；また、自身が打たれた翌日の新聞には目を通さない主義であると語っている。；門衛たちがノアクの許可がないからといって、通そうとしなかったのだ。；さらに砂の層が電磁波を通さないために、無線連絡することもできない。；アデーレは、世間に知られたくない夫の側面を隠し通そうとしたのである。；軍の研究を外部に委託するときは航空技術研究所を通すのが通例であった。；射線を通さない地形があり壁越しに敵を撃つことができないのも特徴。；弁護士が彼の友人の邸宅のこの部分に通されたのは初めてであった。；私はその混雑の中を鞄をさげた女中の後に跟いて二階の一室に通された。；街道整備の中で最大の事業は、県境を通す関山トンネルの建設であった。；脂瞼が特定の波長の光を通さないような構造を持つ例も知られている。；倭建はそれを知っているが故に我意を通そうとしているのかもしれない。；金属チップに通す毛量に制限があるため一本あたりの太さは細くなる。；彼等は到底其の土に苦しみ通さねばならぬ運命を持つて居るのである。；例えば黒鉛筆を使用して書いた部分はわずかではあるが電気を通す。；入口の三畳、それに隣る六畳は、いつかガラッ八と一緒に通された部屋。；その頃は人口の多くはヤクーツクまでの道路を通すための工事に従事していた。；染井の須永先生の書斎に通されたのは、もう九時を廻っていたのでした。；視線を落とし、無理に淡々とした口調で通そうとしているようだった。</t>
        </is>
      </c>
      <c r="J6005">
        <f>HYPERLINK("https://www.weblio.jp/content/通す", "词义详情")</f>
        <v/>
      </c>
      <c r="K6005">
        <f>HYPERLINK("https://yourei.jp/通す", "查看例句")</f>
        <v/>
      </c>
    </row>
    <row r="6006">
      <c r="A6006" t="inlineStr">
        <is>
          <t>遠回り</t>
        </is>
      </c>
      <c r="B6006" t="inlineStr">
        <is>
          <t>成功</t>
        </is>
      </c>
      <c r="C6006" t="inlineStr">
        <is>
          <t>読み方：とおまわり
［名・形動］(スル)
１遠い道を回って行くこと。まわり道をして行くこと。迂回(うかい)。「—して帰る」
２かけなくてもいい手数をかけること。また、そのさま。迂遠(うえん)。「—な方法」</t>
        </is>
      </c>
      <c r="D6006" t="inlineStr">
        <is>
          <t>遠回り経路；遠回り路線</t>
        </is>
      </c>
      <c r="E6006" t="inlineStr">
        <is>
          <t>迂回；寄り道；回り道</t>
        </is>
      </c>
      <c r="F6006" t="inlineStr">
        <is>
          <t>大きく遠回り</t>
        </is>
      </c>
      <c r="H6006" t="n">
        <v>29</v>
      </c>
      <c r="I6006" t="inlineStr">
        <is>
          <t>西側の初沢町とは接しているものの車では遠回りをしなければならない。；そしてわざと、そっちへ行くのに遠回りをしていた 前とは少し違うな。；きのうと同じように遠回りし、周囲のようすに目をやりながら移動した。；若夫婦は彼らを回避するために、よけいな遠回りをしなければならない。；中学から駅に向かう途中、私は少し遠回りをして前の家を見に行った。；これほど単純なことを理解するのに、腹が立つほど思考が遠回りするのだ。；そして劉敞のときにも同じようにわざわざ遠回りをしてみせたのであった。；必要な路線を取られてしまうと遠回りの路線を引かねばならなくなる。；そうすれば目的も容易く達成できるのに何故遠回りなことをするのだ?；遠回りすることなく路線同士を結ぶためのものは短絡線とも呼ばれる。；俺は自分の気力を鞭打ち、大きく遠回りしてから会社のビルに近づいた。；たまたまいつも通る道が工事中だったので、少し遠回りをすることになった。；事件の全貌を明らかにするためには、いささか遠回りな方法だからである。；遠回りみたいに思えるかもしれないけど、それが結局は一番の近道なんだ。；坂を下り切っても時速十キロを保ってしばらく遠回りすることにした。；今度からは遠回りな事はやめて、直接打撃をくわえる事にしますから。；何とか穏便に回避しようと遠回りに試みたが、面倒になってきたのも事実だ。；他の道はないものかと地図で確認すると、広い道はあるがかなりの遠回りになる。；横断歩道は二十メートル先にあるのだが、遠回りをしたくないらしい。；特に私は、カタギの男で苦労を重ねて、二十年も遠回りしちゃったから。；次の日、往診の帰りに少し遠回りをして再び講義所の前を通って見る。；そういう目的で、ぼくは館までわざわざかなり遠回りをしていった。；位置的・構造的には近いが、行くには遠回りしなければならない。；彼はわざと遠回りをしていくつかの廊下を通り、午後の散歩に抜けだしてみたのだ。；そこからは斜面を降りられないので遠回りしてくるのである。；北口からの方が、遠回りだけど道は分かりやすかったかもしれませんね。；可能ならば遠回りをするし、それが出来ない場合は仕事自体を断ってしまう。；でも本当に人生を知った大人は、恋の成就までわざと遠回りをしようとする。；JR西日本線からJR東日本線へ直接入れる遠回りのルートを取っていた。</t>
        </is>
      </c>
      <c r="J6006">
        <f>HYPERLINK("https://www.weblio.jp/content/遠回り", "词义详情")</f>
        <v/>
      </c>
      <c r="K6006">
        <f>HYPERLINK("https://yourei.jp/遠回り", "查看例句")</f>
        <v/>
      </c>
    </row>
    <row r="6007">
      <c r="A6007" t="inlineStr">
        <is>
          <t>通り</t>
        </is>
      </c>
      <c r="B6007" t="inlineStr">
        <is>
          <t>成功</t>
        </is>
      </c>
      <c r="C6007" t="inlineStr">
        <is>
          <t>読み方：とおり
［名］
１
㋐人や車のとおるところ。道路。往来。「にぎやかな—」
㋑（「…どおり」の形で）地名・場所などを表す名詞の下に付いて、その道筋・道路である意を表す。「銀座—」「裏町—」
２人や車が行ったり来たりすること。通行。ゆきき。往来。「車の—が激しい道」
３気体や液体が流れかようこと。流通。「風の—がいい」「下水の—が悪い」
４声や音などがよく伝わること。「声の—がいい」
５広く知れわたっていること。評判。「彼の名は—がよい」
６同じ状態・方法であること。「予想した—の成果が出た」「私の言った—だ」「今までの—に行う」
７理解。のみこみ。「—のよい説明」
［接尾］助数詞。
１組になっているものを数えるのに用いる。「道具を二—そろえる」
２種類を数えるのに用いる。「やり方が三—ある」
[下接語] （どおり）裏通り・大通り・御目(おめ)通り・表通り・河岸(かし)通り・上(かみ)通り・下(しも)通り・素通り・中通り・人通り・目通り・目抜き通り</t>
        </is>
      </c>
      <c r="D6007" t="inlineStr">
        <is>
          <t>通りすぎ(2%)；通りぬけ；通り沿い；通りこし；通り商店街</t>
        </is>
      </c>
      <c r="E6007" t="inlineStr">
        <is>
          <t>道；道路；住民；路；ルート</t>
        </is>
      </c>
      <c r="F6007" t="inlineStr">
        <is>
          <t>従来通り；約束通り；通常通り；中央通り；指示通り</t>
        </is>
      </c>
      <c r="G6007" t="inlineStr">
        <is>
          <t>通り抜け；通り過ぎる；通り越し；通り抜ける；通りすがり</t>
        </is>
      </c>
      <c r="H6007" t="n">
        <v>29</v>
      </c>
      <c r="I6007" t="inlineStr">
        <is>
          <t>イギリスのいずれの通りよりもより多くのバーやレストランが林立する。；ローカル番組を除いてカスタム表示を採用していない番組は以下の通り。；この記事によれば、このバージョンが含む大幅な強化は以下の通りである。；定められた時刻通りに列車を運行することは鉄道事業の出発点である。；前述の通り型番変更が発表されたため、旧型番最後のシリーズとなった。；上の地図で不明瞭、または省略されている主な離島の所属は以下の通り。；明治三十一年勅令第九十号これは、現代の表記に直すと次の通りである。；南武線の北側はかつての屋敷分村で、上記の通り旧駅名の由来となった。；午前6時頃には全指揮官から任務は指示された通り実行されたとの報告を受けた。；本拠地の変遷は先述の通りであるが、他に下記のような移転計画があった。；他にも、駅到着時の接続列車の案内などは従来通り肉声放送で行われている。；合併により2004年以降に廃止になった自治体は下記の通りである。；父親が驚いて計算をやり直したところ、息子が指摘した通りであったという。；作用線 とは作用点を通り、力の向きに対して平行な直線のことである。；それぞれの職業の特徴は一般的なRPGのものに準ずるが下記の通りである。；ただし上洛の際は定めの通り、役目は身分にふさわしいものにすること。；これまで通りの選択も可能であるが、その場合婚前に手続きが必要となる。；電車緊急特別改造工事の実施項目と施行両数、実施内容は以下の通り。；タイトルの通り、遠野秋葉を主軸とする遠野屋敷での物語が展開される。；tarコマンドはその名の通り磁気テープの操作が念頭に置かれていた。；設備改良の主な内容の始まった駅とその年は次の通り。；一般的に採用されている露出モードは以下の通りのものがある。；日本の国有鉄道に在籍した蒸気機関車の弁装置の種類は次の通りであった。；一般的な区分は何通りかあるが、ここではその一例を挙げる。；可視光では前述の通り非常に暗い為に、輪が明瞭に撮影される事はまず無い。；また、猫じゃらしの名の通り、これを用いて猫をじゃらすことができる。；標準軌鉄道の存在する国・地域とその路線長、同国内での割合は以下の通り。；自己の意思以外での引退の規定は下記の通りである。；ラリー・ウォールによれば、プログラマの三大美徳とは次の通りである。</t>
        </is>
      </c>
      <c r="J6007">
        <f>HYPERLINK("https://www.weblio.jp/content/通り", "词义详情")</f>
        <v/>
      </c>
      <c r="K6007">
        <f>HYPERLINK("https://yourei.jp/通り", "查看例句")</f>
        <v/>
      </c>
    </row>
    <row r="6008">
      <c r="A6008" t="inlineStr">
        <is>
          <t>通りかかる</t>
        </is>
      </c>
      <c r="B6008" t="inlineStr">
        <is>
          <t>成功</t>
        </is>
      </c>
      <c r="C6008" t="inlineStr">
        <is>
          <t>読み方：とおりかかる
［動ラ五（四）］ちょうどそこを通る。「—・った船に救助される」</t>
        </is>
      </c>
      <c r="D6008" t="inlineStr">
        <is>
          <t>通りかかる人(2%)；通りかかるたび(2%)；通りかかるとき；通りかかると素早く襲いかかり</t>
        </is>
      </c>
      <c r="F6008" t="inlineStr">
        <is>
          <t>通りかかる人々</t>
        </is>
      </c>
      <c r="H6008" t="n">
        <v>29</v>
      </c>
      <c r="I6008" t="inlineStr">
        <is>
          <t>抽選が終わって人々が帰り始めた頃、散歩していた件の男が通りかかる。；通りかかりの人でも何時たるを問わず、ただそれを押せば開くのだった。；とりあえず上の道まで戻ってみて、他の車が通りかかるのを期待するか。；誰かが近くを通りかかるまで、被害者はここで血を流し続けていたらしい。；いくら深夜といっても、タクシー一台通りかからないはずはないのだ。；そこへ偶然、退学してトラックの運転手になっていた市野が通りかかる。；なぜかは知らないけど、ここを通りかかると、つい中をのぞいてしまう。；ある日のこと、彼はその美女が住んでいる家の前を通りかかりました。；ある夜、一人の商人が通りかかると若い女がしゃがみこんで泣いていた。；そのうちに僕等は火かげのさした、小さい窓の前を通りかかりました。；偶然にも、ミショーンが一人で会話しているところに通りかかるリック。；そんなことをしているうちに、誰かそこの通りを通りかかるだろう。；帰りに同じ所を通りかかると、また鍛冶屋が槌を打つ音が聞こえてきた。；だから流れに達するまえに多くの食物のそばを通りかかることになるだろう。；その夜、トイレにいくのにお風呂場を通りかかると電気がついている。；ところが、そこをそのとき、さいほうへ行く娘さんが通りかかりました。；通りかかりの大佐を呼びとめ、かたことまじりのドイツ語で訊いてみた。；家令に命じて屋敷の前を通りかかる物売りをかたはしから呼びとめてね。；しかしそのそばを通りかかると、手を差し出さずにはいられなかった。；このとき、あちらの道を子供が、馬の上にまたがって通りかかりました。；また目を血走らせて、 また誰か通りかからないか待っているらしい。；しかし血を提供する動物は、ダニの下をそう頻繁に通りかかるわけではない。；そこへたまたまローマの奉行が通りかかり騒ぎを聞きつけて原因を尋ねた。；こんな山の中をたまたま通りかかる制服姿の男子高校生ってのは何者だ。；ずいぶんまえからそこにあり、私は通りかかるたびにそれを見た。；もし誰かが通りかかれば、いやでも影を、その線の上に刻まざるを得まい。；すると、そこに服を着た白ウサギが、人の言葉を喋りながら通りかかる。；ある晩、用があって入口の近くを通りかかると、その兵隊が僕に声をかけた。；眼をじっと伏せたまま通りかかると、足が自然に小走りになってしまった。</t>
        </is>
      </c>
      <c r="J6008">
        <f>HYPERLINK("https://www.weblio.jp/content/通りかかる", "词义详情")</f>
        <v/>
      </c>
      <c r="K6008">
        <f>HYPERLINK("https://yourei.jp/通りかかる", "查看例句")</f>
        <v/>
      </c>
    </row>
    <row r="6009">
      <c r="A6009" t="inlineStr">
        <is>
          <t>通り過ぎる</t>
        </is>
      </c>
      <c r="B6009" t="inlineStr">
        <is>
          <t>成功</t>
        </is>
      </c>
      <c r="C6009" t="inlineStr">
        <is>
          <t>読み方：とおりすぎる
［動ガ上一］［文］とほりす・ぐ［ガ上二］ある所を通って向こうへ行く。通りこす。「足早に—・ぎる」「夕立が—・ぎる」</t>
        </is>
      </c>
      <c r="D6009" t="inlineStr">
        <is>
          <t>与える；通過；通る；経過；超える</t>
        </is>
      </c>
      <c r="F6009" t="inlineStr">
        <is>
          <t>ゆっくりと通り過ぎる；黙って通り過ぎる；あわただしく通り過ぎる</t>
        </is>
      </c>
      <c r="H6009" t="n">
        <v>29</v>
      </c>
      <c r="I6009" t="inlineStr">
        <is>
          <t>ようやくそこを通り過ぎると今度は石が落ちて来るというふうであった。；私たちは、彼女のそばを通り過ぎても、彼女には眼もくれませんでした。；わたしは、食堂へ続く扉の傍を、ふたりの男の通り過ぎるのを見ました。；宝探しをしている者も何度か見かけたが、一行は何事もなく通り過ぎた。；しかし通り過ぎながらブラウン神父は一度だけ青年のほうへ顔を向けた。；何日も前から由希子が自分の目の前を通り過ぎるのを見ていたという。；しかも通り過ぎる男も女も、まるでそれを見向きもしないことであった。；そうやって彼女は昨日の電話での出来事を通り過ぎるつもりだったのだろう。；何万人もの弔問客が静かに通り過ぎる中、軍人たちが見張りをしていた。；和服姿の男性が何度か病室を出たり入ったりして遊馬の前を通り過ぎる。；一瞬間、不屈の決意が、通り過ぎる影のように彼の顔に現われて消えた。；もうとっくにお目当てのものの前を通り過ぎちゃったかもしれないのよ。；わたしたちが最初の村を通り過ぎると、大きな百姓家の門の前へ出た。；まずこれなどは生活の安定を少し通り過ぎた時代だったに違いない。；自分の行くべき家は通り過ぎてしまったけれども気もつかなかった。；市の方から塔へ来て、塔から市の方へ帰る車が、己の前を通り過ぎる。；通り過ぎる人々も、吸い寄せられるように目を奪われながら歩いていく。；雪子は、祈るような思いで足音がこの部屋の前を通り過ぎるのを待った。；そのまま千早館の前を通り過ぎた二人は、やがて同じ道を引返して来た。；思い出した苦痛が通り過ぎるのを待ちながら、彼女はようやく声を出した。；林のなかに隠れて待っていると、ときどき車がやってきて通り過ぎる。；だが、彼らが通り過ぎた後では、何があったか全くわからなくなっていた。；まるで犯人は風みたいに、僕等の前を通り過ぎては鼻を明かしているんだ。；パリを出て東へ一直線に駈けらせると三十分ほどでモーの町を通り過ぎた。；彼がそばまで行くと、彼女は冷やかに挨拶をして、そのまま通り過ぎた。；するとその白い物は、前とは反対の方向へ、もう一度咄嗟に通り過ぎた。；先刻ちらりと見た西洋人の夫妻たちが通り過ぎているのだろうと思った。；先刻ちらりと見た西洋人の夫妻たちが通り過ぎてゐるのだらうと思つた。；哲朗は家の前を通り過ぎる荷車の列をいつもニヤニヤしながら見ていた。</t>
        </is>
      </c>
      <c r="J6009">
        <f>HYPERLINK("https://www.weblio.jp/content/通り過ぎる", "词义详情")</f>
        <v/>
      </c>
      <c r="K6009">
        <f>HYPERLINK("https://yourei.jp/通り過ぎる", "查看例句")</f>
        <v/>
      </c>
    </row>
    <row r="6010">
      <c r="A6010" t="inlineStr">
        <is>
          <t>通り抜ける</t>
        </is>
      </c>
      <c r="B6010" t="inlineStr">
        <is>
          <t>成功</t>
        </is>
      </c>
      <c r="C6010" t="inlineStr">
        <is>
          <t>読み方：とおりぬける
［動カ下一］［文］とほりぬ・く［カ下二］ある所を通ってその先へ出る。「トンネルを—・ける」</t>
        </is>
      </c>
      <c r="D6010" t="inlineStr">
        <is>
          <t>通過；通る；経過；渡る；過ぎる</t>
        </is>
      </c>
      <c r="F6010" t="inlineStr">
        <is>
          <t>そっと通り抜ける</t>
        </is>
      </c>
      <c r="H6010" t="n">
        <v>29</v>
      </c>
      <c r="I6010" t="inlineStr">
        <is>
          <t>彼女は木小屋の内にある中央の土間を通り抜けて裏口の方へも出て見た。；この二つがここを我々が通り抜けるに非常な困難を感じたわけである。；頭はそこをうまく通り抜けたので、弟は兄に石を投げるように知らせた。；馬でも牛でも熊でも狼でも自分の腹の内を通り抜けさせてやる気がある。；あの辺を旨く通り抜ける事が出来たら、運がよかったのだと思いなさい。；暗い穴の中を通り抜けるのは、もう一度生まれ直すことを意味している。；洞窟を通り抜けると性格が逆になる魔法がかけられているのだった。；短い町の通りを十分で通り抜けると、更にスピードを上げて走り出した。；集落が離れた場所に位置していることもあり、通り抜け車両は少ない。；それは近づくと音もなく開き、彼らが通り抜けると、閉じて後を塞いだ。；破砕部に触れずに通り抜けるのは、さほど困難なことではないと思えた。；実際はこれらの丘を一つ残らず通り抜けて谷の向こう側に出て来たのだった。；通り抜ける際、衣が獣に触れざるを得ぬ程の近さだったのにも拘らず。；あの辺を旨く通り抜ける事が出来たら、運が好かつたのだと思ひなさい。；その百姓家の前を通り抜けるとあまり大きくない枯木の森があります。；このとき13号線のホームは南北方向に通り抜ける構造に変更された。；入口の庭が広く取ってあって、台所の側から直に裏口へ通り抜けられる。；橋石にぶつかって二三尺退いたが、すぐまた前に進んで橋を通り抜けた。；大げさな言葉を操る言葉は低く、どこまでも通り抜けていきそうだった。；市の境界とはいえ、住宅地の中を通り抜ける小さな目立たない川である。；だから家もきものも、空気が通り抜けるような工夫をいろいろしてきた。；開け放したままのドアを通り抜けると、家の端から端まで続く廊下に出た。；己の肉体を非物質化して再構成することで、壁を通り抜けることができる。；そこを通り抜けると、中央に東西五間に南北六間くらいの庭がある。；コヨーテが行こうとすると何故か彼は通り抜けることができず岩に激突。；野牛の大群のあいだを通り抜けるときも、雄に襲われたことはなかった。；駅のすぐ北側は丘であり、愛知環状鉄道線はトンネルで通り抜けている。；馬車が古い昔の町を通り抜けると馬鈴薯畑の中の大道を走って行った。；そうして双方の家の間を通り抜けて裏へ出られるように三尺ほどの路を付けた。</t>
        </is>
      </c>
      <c r="J6010">
        <f>HYPERLINK("https://www.weblio.jp/content/通り抜ける", "词义详情")</f>
        <v/>
      </c>
      <c r="K6010">
        <f>HYPERLINK("https://yourei.jp/通り抜ける", "查看例句")</f>
        <v/>
      </c>
    </row>
    <row r="6011">
      <c r="A6011" t="inlineStr">
        <is>
          <t>通る</t>
        </is>
      </c>
      <c r="B6011" t="inlineStr">
        <is>
          <t>成功</t>
        </is>
      </c>
      <c r="C6011" t="inlineStr">
        <is>
          <t>読み方：とおる
［動ラ五（四）］
１
㋐物を貫いて反対側に至る。「串が—・る」
㋑一方の口から差し入れて他方の口に出る。「袖に手が—・る」
㋒まんべんなくゆきわたる。「肉に火が—・る」
㋓二点間を結ぶ道筋ができる。「高速道路が—・る」
㋔まっすぐな筋目が立つ。「柾目(まさめ)が—・る」
２人や車が行き来する。「絶え間なく車が—・る」
３
㋐ある場所を過ぎる。「海辺を—・る」「東京を—・って仙台に行く」
㋑（人が）屋内や室内に進み入る。「座敷に—・る」
㋒料理店などで、客の注文が帳場に取り次がれる。
４
㋐認められて成り立つ。「法案が—・る」「願いが—・る」
㋑矛盾がなくて内容が理解できる。「理屈が—・っている」
㋒とがめられずに受け入れられる。「無理が—・る」
㋓それなりに通用する。「頑固者で—・る」
㋔遠くまで伝わる。「よく—・る声」
㋕評判になる。「名の—・った店」
５相手に通ずる。
「おのづから本意—・らぬこと多かるべし」〈徒然・一四一〉
[可能]とおれる</t>
        </is>
      </c>
      <c r="D6011" t="inlineStr">
        <is>
          <t>通る旧；通る州道；通るまい；通る道道</t>
        </is>
      </c>
      <c r="F6011" t="inlineStr">
        <is>
          <t>避けて通る；通るバイパス道路；通る併用橋；通る公共交通機関；通る州間高速道路</t>
        </is>
      </c>
      <c r="H6011" t="n">
        <v>29</v>
      </c>
      <c r="I6011" t="inlineStr">
        <is>
          <t>巡査はしばらく前からここにいるが、通ったのは一人の女だけと答える。；ただ無理が通ろうとする場合に引っ込んでいて出て来ないのであります。；北部は瀬戸内海国立公園の指定地内を通るが、道沿いに住宅などは無い。；上陸の際は、歩いて通ることのできる地形であればどこにでも上陸できる。；力業で通ろうとしたら百万の兵をもって三年かかっても難しいであろう。；同様の現象は諏訪湖でも観察されており、神が通った跡と説明されている。；阪急バスの路線も通っているが、この駅に接続するバス停は存在しない。；戦国時代までは、幹線道路である東山道がこの地域を南北に通っていた。；しかし役人の道を進むとすれば、勤めながら高文を通らねばならない。；この二つの施設を挟む様にして国道58号と国道330号が通っている。；どれだけ地位のあるものでも馬を降りて通らなければいけなかった。；快速千葉方面行きの線路のさらに北には越中島支線の線路が通っている。；故福沢諭吉氏も一度ここを通られて、何か土産話を置いて行かれたとか。；JR側駅舎の前を国道208号が鹿児島本線に並行する形で通っている。；また、この城は市とトイトブルクの森を通る街道を護るものでもあった。；客は中央の焚き火と他の客の間を通らずに、座っている人の後ろ側を通る。；よけて通ろうと思ったが、深夜でほかに車もないようなので、車をとめた。；しかし主要な交通路が通らなかったため、その後はあまり発展しなかった。；上記以外にも光ファイバの通っていない離島や陸の孤島は多数存在する。；ホームが地平より少しだけ高いのでホームから地上へは階段を通る。；これは委員会のスタッフからは全く筋が通らないという思いであった。；トイレとホームの屋根は繋がっておらず一旦屋根のない部分を通る必要がある。；再開発前から駅と行幸道路の間では、駅行と駅発のバスが別の道路を通る。；駅のすぐ西側を市境が通っており、大阪大学や附属病院は吹田市にある。；この問題を解決するために幾つかの試みがなされたが、どれも通らなかった。；漫画家が絵だけの権利を主張しても通らないのが業界の常識になっている。；中山道が駅の東を通っていたため、出口はこの東に向けて設けられた。；その板には2本のスリットがあり、電子はここを通らなければならない。；普通なら通らない場所にパスを通してしまう剛速球が最大の武器である。</t>
        </is>
      </c>
      <c r="J6011">
        <f>HYPERLINK("https://www.weblio.jp/content/通る", "词义详情")</f>
        <v/>
      </c>
      <c r="K6011">
        <f>HYPERLINK("https://yourei.jp/通る", "查看例句")</f>
        <v/>
      </c>
    </row>
    <row r="6012">
      <c r="A6012" t="inlineStr">
        <is>
          <t>都会</t>
        </is>
      </c>
      <c r="B6012" t="inlineStr">
        <is>
          <t>成功</t>
        </is>
      </c>
      <c r="C6012" t="inlineStr">
        <is>
          <t>読み方：とかい
１人が多数住み、行政府があったり、商工業や文化が発達していたりする土地。都市。みやこ。
２「都議会」の略。「—議員」</t>
        </is>
      </c>
      <c r="D6012" t="inlineStr">
        <is>
          <t>都会的(7%)；都会生活(2%)；都会風；都会育ち；都会化</t>
        </is>
      </c>
      <c r="F6012" t="inlineStr">
        <is>
          <t>大きな都会；美しい都会；都会文化；都会趣味；都会的センス</t>
        </is>
      </c>
      <c r="G6012" t="inlineStr">
        <is>
          <t>都会暮らし；都会のオアシス；都会の憂鬱；都会議員；都会交響楽</t>
        </is>
      </c>
      <c r="H6012" t="n">
        <v>29</v>
      </c>
      <c r="I6012" t="inlineStr">
        <is>
          <t>アフリカの沙漠に都会の出来る頃には僕等の子孫の祖先になるのである。；地区と比べより都会の雰囲気があり、東西と北は地区に囲まれている。；彼らが住みつくことで町は都会的・国際的な魅力を持つようになった。；しかし、青年の都会での生活は期待していたこととは全く違ったものだった。；一般に、都会ではない場所、人口や住宅の少ない地域が田舎とされている。；組織の品を盗む可能性が低く、都会の生活に慣れていないためだった。；東部はより郊外的で伝統を重んじ、西部はより都会的で近代風に見られる。；北軍の初期騎兵連隊の多くが結成された都会では馬車が使われていた。；創成川を渡ると町の姿が変ってきゅうに小さな都会の町らしくなっていた。；かつての農業の町は商業・産業が盛んな都会風の町に発展した。；この都会的なスタイルは、飲酒を伴うためにバーで頻繁に演奏された。；当初は彼の好んだコラージュを媒介に, 都会の壁をテーマにしていた。；エドワード・ホッパーの都会のヴィジョンに影響を与えたとも言われる。；ボヘミアの中でも裕福な地方であり都会の流行がよく取り入れられている。；スウェーデンに帰国後は海などの風景画を描き、都会の風景も描いた。；都会が遠ざかり小さくなるほど、彼の心の中で一つの少女の顔が膨大した。；この宮殿は市の外面を占め、市の都会計画化側面を完全に改革した。；怪物達を妨害しているのは、真夜中の都会に現れたあの少女であった。；シカゴという都会で普通に育ったレンはその異様な状況に困惑していく。；変化の激しい都会 僕に東京の印象を話せといふのは無理である。；都会で一人暮らしをする彼女と、偶然彼女に拾われた一匹の猫の物語。；なお、都会の人々は日頃から肉が手に入る為、特別なものではないとされる。；都会をうす汚れた海と呼び、故郷へ帰ると言うエリを残して田村は去る。；より高い安全性が保証される場所を選択して、人々が都会から移り住んだ。；東通村側から、都会で生きることの意味など現代社会を洞察していった。；ジョニーとタニーは人生の意味を探し、自由や都会の興奮を求めていた。；自営農業では家族全体を支えられず、多くの者が職を求めて都会に移動した。；しかし1935年頃に再建して後には都会派コメディーに力を入れて復活した。；ジョニーは都会の街をぶらつき、アパートの窓に見た女性に恋をする。</t>
        </is>
      </c>
      <c r="J6012">
        <f>HYPERLINK("https://www.weblio.jp/content/都会", "词义详情")</f>
        <v/>
      </c>
      <c r="K6012">
        <f>HYPERLINK("https://yourei.jp/都会", "查看例句")</f>
        <v/>
      </c>
    </row>
    <row r="6013">
      <c r="A6013" t="inlineStr">
        <is>
          <t>度外視</t>
        </is>
      </c>
      <c r="B6013" t="inlineStr">
        <is>
          <t>成功</t>
        </is>
      </c>
      <c r="C6013" t="inlineStr">
        <is>
          <t>読み方：どがいし
［名］(スル)問題にしないこと。無視すること。「採算を—した商法」</t>
        </is>
      </c>
      <c r="D6013" t="inlineStr">
        <is>
          <t>度外視する(9%)；度外視すれ(3%)</t>
        </is>
      </c>
      <c r="E6013" t="inlineStr">
        <is>
          <t>無視；軽視；放っておく；黙殺；閑却</t>
        </is>
      </c>
      <c r="F6013" t="inlineStr">
        <is>
          <t>コスト度外視</t>
        </is>
      </c>
      <c r="H6013" t="n">
        <v>29</v>
      </c>
      <c r="I6013" t="inlineStr">
        <is>
          <t>しかし俺はあのクレハを度外視してこの劇場をやって行く気は絶対にない。；利潤を度外視し売上高を最大化することを目指す企業もかつて多かった。；そのため江川は人気獲得度外視で好き勝手なストーリーを展開させる。；例えば、二つの町の間の道の長さを幅を度外視して考えられるのと同様である。；だが小柄であることを度外視しても、やはりその人物は『子供』だった。；人のあいだ、つまり社会の組織の問題を度外視すれば、事実、そうだろう。；採算を度外視した執念といったものがなければ、やれないようなことだ。；初期から中期にかけては、採算を度外視した特別企画も多く行っていた。；極限の性能を発揮するため、開発費や整備費を度外視している印象すらあった。；然し前者には社会が、後者には個性が、少しも度外視されていはしない。；コスト度外視の研究開発型で会社を運営したことが結果をもたらしたとされる。；量産性や営業運転への転用が度外視されている場合がほとんどである。；また事実を度外視した思弁的推理のみで成り立つものでもむろんない。；だが程度問題を度外視さえすれば、当たらずも遠からずと言ったところだ。；女の身として生活問題を度外視するのは女の恥辱と申さなければなりません。；「ああ」 丈自身の希望を度外視しても、その言葉は真実のように思える。；大抵、この手のゲームは採算度外視で大学の研究チームが作ったりしている。；抽象作用を度外視して世界を認識することは徹頭徹尾不可能である。；これでは国語調査会が小説家や新聞記者を度外視するのも無理はないと思ふ。；軽い仕事は採算を度外視するくらいなつもりで、外注したほうがいいんです。；この博士達は時間などは度外視してゐたのでせう。；そうすれば民衆も貴族たちもお前を度外視はできん。；心の秩序を度外視してどのように外面の秩序を整えたにしても空疎である。；列車を最初から度外視していたが、一度時刻表を徹底的に検討する必要がある。；いくらお母さんのためやからいうても、その責任を度外視していうわけにいかへん。；そんなに大勢必要なら成績に関係なく、卒業序列を度外視して選ぶほかありません。；彼らにとって任務の達成あるのみであり、生死は度外視されている。；このレースは法律を度外視したものだけに警察のあらゆる難関を突破することが第一条件だった。；宗哲は、名利を度外視して患者を診るし、医者としての腕もたつそうな。</t>
        </is>
      </c>
      <c r="J6013">
        <f>HYPERLINK("https://www.weblio.jp/content/度外視", "词义详情")</f>
        <v/>
      </c>
      <c r="K6013">
        <f>HYPERLINK("https://yourei.jp/度外視", "查看例句")</f>
        <v/>
      </c>
    </row>
    <row r="6014">
      <c r="A6014" t="inlineStr">
        <is>
          <t>とかく</t>
        </is>
      </c>
      <c r="B6014" t="inlineStr">
        <is>
          <t>成功</t>
        </is>
      </c>
      <c r="C6014" t="inlineStr">
        <is>
          <t>読み方：とかく
兎(うさぎ)の角(つの)。現実に存在しないもののたとえ。「亀毛(きもう)—」</t>
        </is>
      </c>
      <c r="D6014" t="inlineStr">
        <is>
          <t>とかく忘れ；とかくそういう；とかくこんな；とかくこういう；とかくいろいろ</t>
        </is>
      </c>
      <c r="E6014" t="inlineStr">
        <is>
          <t>かなり；ちょっと；相当；なかなか；とにかく</t>
        </is>
      </c>
      <c r="H6014" t="n">
        <v>29</v>
      </c>
      <c r="I6014" t="inlineStr">
        <is>
          <t>ただ一人でいると、とかく国家の問題や宇宙のことなどを考えてしまう。；ようやくわたしの習慣は、とかく病気のことに気をとられがちになった。；ところが我々の習慣的な思考は、とかく事件に意味をもたせがちなのだ。；いかにもこの協定は近所の頭のよい連中からとかくの批評を受けはした。；読者もすでに御承知の通り、半七老人の話はとかくに芝居がかりである。；とかく夜は眠れず、昼は時を問わず、疲れるとすぐ横になる高時だった。；夏から秋、秋から冬の変わり目はとかく病人の身体にようないものじゃ。；正月の記憶もなく、とかくして半年ほどは夢中で過ぎていたのだろう。；ただ従来とかくそういうふうに思われ勝ちであったことは事実である。；こういう人はとかくに案内書や人の話を無視し、あるいはわざと避けたがる。；このことは美しさにおいて今のものがとかく劣ることのあるのを告げる。；そこを合点した方でも、とかくは波風騒ぐ世の例はどこにもございます。；僕は学校へ行ってからも、とかく民子のことばかり思われて仕方がない。；私は庭に向いた部屋の障子をあけて、とかく気になる自分の爪を切っていた。；ニコライのことに至っては、とかくの判断に取りかからないことにした。；世のこと人のことは、とかく円満にばかりはいかないものとみえます。；しかしその声はとかく早過ぎて生徒の耳にとまらぬところが多かった。；但し、それらの心構えは覚悟はしていても、人間とかく忘れがちである。；しかしそういう時はまたそういう時で、とかく切り棄てにくいのであった。；とかく文部省はやかましい事を言うが、私はその下駄論者だったと言う。；かくしてこやつはもうわれわれのすることにとかく言うこともない。；ここでも用は二の次になって、とかく軟弱な病的なものに流れがちです。；そこで子供の方でも、とかく耳だけできいておくということになりがちです。；とかくするうちに、もっとよい機会と思われるものが前に現れた。；わたしも同じような二つの仕事を見ると、とかく自分の仕事の方を悪く見がちなのだ。；とかくにあいまいの返事をつづけているのが、半七らの注意をひいた。；文学絵画の品評にまでとかく作家の等級をつけたがるは何たる謬見ぞや。；古い女をとかく笑うが、男の中にもおかしなものがまだ生きている。；自分達の外出にはとかく食うことが重要な目的の一つになっているようである。</t>
        </is>
      </c>
      <c r="J6014">
        <f>HYPERLINK("https://www.weblio.jp/content/とかく", "词义详情")</f>
        <v/>
      </c>
      <c r="K6014">
        <f>HYPERLINK("https://yourei.jp/とかく", "查看例句")</f>
        <v/>
      </c>
    </row>
    <row r="6015">
      <c r="A6015" t="inlineStr">
        <is>
          <t>溶かす</t>
        </is>
      </c>
      <c r="B6015" t="inlineStr">
        <is>
          <t>成功</t>
        </is>
      </c>
      <c r="C6015" t="inlineStr">
        <is>
          <t>読み方：とかす
［動サ五（四）］
１薬品や熱を加えて、固形物を液状にする。「鉄を—・す」「バターを—・す」
２固形物に液体を加えてまぜあわせる。また、まぜあわせて均一の液体にする。とく。「絵の具を—・す」「砂糖を水に—・す」
３俗に、資産運用に失敗し、元本が減る。
[補説]1で、特に金属の場合は「鎔かす」「熔かす」とも書く。
[可能]とかせる</t>
        </is>
      </c>
      <c r="D6015" t="inlineStr">
        <is>
          <t>かける；捧げる；溶解；溶ける；費やす</t>
        </is>
      </c>
      <c r="H6015" t="n">
        <v>29</v>
      </c>
      <c r="I6015" t="inlineStr">
        <is>
          <t>その言葉は三人のわだかまりを溶かすのに充分過ぎるほどのものだった。；このようなとき、彼の血管には氷を溶かした水が流れているかに見える。；春の夜に降る雨のように、人の心を溶かしてしまうようなところがある。；室内で溶かした雪のなかに手と顔をつっこむには相当の勇気が必要だった。；湯気はその切れ端をも溶かそうとしているかのように、次々と発生した。；また、同じ理由から以前生産されたものは全て溶かされたとも言われている。；なぜなら、かつてその眼差しは欲望に燃えて私の心を溶かしたのだから。；それはティム・ハムナーを溶かすはずだったが、実際はそうでなかった。；その風を女が吹き立て、今日一日の殻を溶かし去っているようだった。；悪臭をたてながら広がった血が、砂と塩とを混ぜた方陣の線を溶かした。；越えられなかった僚犬は、薬に溶かされ針に貫かれて苦悶しつつ死んだ。；その皮膚細胞と結合し、見たものを溶かす能力を持っていたが、破壊された。；煙が風に散らされて消えるように、霧が夜明けの光に溶かされるように。；翌1924年には、一個の母材を溶かして製造する球の特許を取得した。；本来なら脳髄まで溶かされているのはおれの方だったかもしれない。；その骨を溶かすほどの熱に触れたとき、自分の命を映す鏡を得た気分になる。；生活の中に、行動の中に、血液の中にそれらを溶かしこんでいたのだ。；その光が、夜の間に学校に積もっていた薄い停滞を音もなく溶かしていく。；液体を入れておいたり、加熱したり、物を溶かしたりするのに使用する。；わたしもこの繭の中に、こうして精神の一部を溶かしてしまったから。；これらを水に溶かした際に示す性質がアルカリという概念の始まりである。；この時期に行けば、雪を溶かした水を動物に飲ませることができるのである。；彼は火にあぶってその手を溶かそうとしているようにも見られた。；それが発散するとぼしい熱でも、凍ったガスを溶かすのには充分だった。；濃フッ化水素酸は一般にガラスと反応して溶かすことがよく知られている。；淋しい心ばかり集めて溶かしたから、繭の核は空になってしもうたんや。；甲羅酒の際に甲羅の中で酒にカニミソを溶かし出し飲まれることもある。；まさか、生の脳に侵入してコンピューターを溶かすわけにもいくまい。；白ワインがベースで、何か薬草を溶かし込んだような独特な風味がある。</t>
        </is>
      </c>
      <c r="J6015">
        <f>HYPERLINK("https://www.weblio.jp/content/溶かす", "词义详情")</f>
        <v/>
      </c>
      <c r="K6015">
        <f>HYPERLINK("https://yourei.jp/溶かす", "查看例句")</f>
        <v/>
      </c>
    </row>
    <row r="6016">
      <c r="A6016" t="inlineStr">
        <is>
          <t>梳かす</t>
        </is>
      </c>
      <c r="B6016" t="inlineStr">
        <is>
          <t>成功</t>
        </is>
      </c>
      <c r="C6016" t="inlineStr">
        <is>
          <t>読み方：とかす
［動サ五（四）］《「溶かす」と同語源》櫛(くし)やブラシで髪の毛のもつれをととのえる。くしけずる。「髪を—・す」
[可能]とかせる</t>
        </is>
      </c>
      <c r="H6016" t="n">
        <v>29</v>
      </c>
      <c r="I6016" t="inlineStr">
        <is>
          <t>ポニーテールにしようと、右手で梳かしながら左手に髪をたばねてゆく。；そう、重要なのは髪を梳かしていた櫛が唐突に折れてしまったことだ。；ケンの指が梳かすものが眼の端に見えて、アナはアッと息を呑みました。；癖っ毛だった私がいつまでも髪を梳かしているといって母が癇癪を起こしたこともあった。；鏡の前で髪を梳かすマリアベルに、俺は今まであったことを話す。；名称は周波数特性図が髪を梳かす櫛に似ているというところに由来している。；彼女の顔にはもう引っ掻き傷はなく髪も梳かされていた。；女性は髪を梳かしているとする文献もある一方で、髪をシニョンに結んでいるとする文献もある。；槍を持つ若者も、小屋の前で髪を梳かす老婆も、機織りの男たちも。；髪を梳かして後ろでひとつにまとめると、彼女は部屋を出た。；あの時も鏡の前で髪を梳かしていた。；そして不機嫌な顔で、髪を梳かしたり、煙草をふかしたりしている。；食器を片づけ、茶の間の鏡台の前で髪を梳かしていると、もう八時四十分だ。；額はせまく、髪の生えぎわがそこからうしろに梳かされていた。；そして、怒っているような勢いでくいぐいと髪を梳かし始めた。；下着と昔から持っている服を何着かと、タビの毛を梳かすステンレスの櫛ぐらいだ。；以前、私が洗った髪をそのままブラシで梳かして自然乾燥させていたのを見て、彼が勝手にやりだしたことだ。；傍らでは、浅黒い色の肌をもった使用人の女性が、ヴィーナスの髪を梳かしている。；ママの髪は梳かしてくれたことなんかないのに。；そして数分後に夕日が再び屋敷を照らし出すと、金色の髪を梳かしてもらう少女の姿が、その窓の中に見えたという。；昔のように玉子の白身と蒸留酒で洗ったりしない、梳かすことすらあまりない髪だ。；そのあとでヘアブラシを使って明るく染めた髪を入念に梳かす。；女の子たちが、洗面台の鏡に向かってリップクリームを引いたり、髪を梳かしたりしている。；手の指で髪を梳かして、後ろでひとつに束ねた。；ベッドに座って漆黒の髪を梳かしていた。；髪を荒っぽく梳かしつけて、ツーピースを着て、出かける支度をしている。；鏡を見てざっと髪を梳かし、日焼け止めクリームだけ大急ぎで顔に塗った。；だが、青年の艶のない白髪は丁寧に梳かしつけられ、清潔に清められていた。；髭を剃り、髪を梳かしたが、服は着られる状態でなかった。</t>
        </is>
      </c>
      <c r="J6016">
        <f>HYPERLINK("https://www.weblio.jp/content/梳かす", "词义详情")</f>
        <v/>
      </c>
      <c r="K6016">
        <f>HYPERLINK("https://yourei.jp/梳かす", "查看例句")</f>
        <v/>
      </c>
    </row>
    <row r="6017">
      <c r="A6017" t="inlineStr">
        <is>
          <t>咎める</t>
        </is>
      </c>
      <c r="B6017" t="inlineStr">
        <is>
          <t>成功</t>
        </is>
      </c>
      <c r="C6017" t="inlineStr">
        <is>
          <t>読み方：とがめる
［動マ下一］［文］とが・む［マ下二］
１悪いことをしたと心を痛める。「気が—・める」「良心が—・める」
２傷やはれものをいじって悪くする。また、悪くなる。「膿(う)んで傷が—・める」
３過ちや罪・欠点などを取り上げて責める。非難する。「過失を—・める」
４怪しんで問いただす。「挙動不審で警官に—・められる」</t>
        </is>
      </c>
      <c r="D6017" t="inlineStr">
        <is>
          <t>咎めるような視線；咎めるような眼；咎めるべき；咎めるような口調；咎めることなく</t>
        </is>
      </c>
      <c r="E6017" t="inlineStr">
        <is>
          <t>批判；非難；批評；批判する；非難する</t>
        </is>
      </c>
      <c r="F6017" t="inlineStr">
        <is>
          <t>深く咎める；特に咎める</t>
        </is>
      </c>
      <c r="H6017" t="n">
        <v>29</v>
      </c>
      <c r="I6017" t="inlineStr">
        <is>
          <t>気がつくと道を行くひとがみな咎めるような眼つきでこちらを見ている。；岸の道は暮れかけていて、十太夫のすることを見咎める者はいなかった。；何か気の咎める所があつて、自分の書いて居る所は、昔に拠り所がない。；こんなときに、咎めるような目で見られなければいけないのはなぜだろう。；そして、表道を歩くのが怎やら気が咎める様で、裏路伝ひに家へ帰つた。；自分の心に咎めるような事をした後では、きっとそこへ入って念仏を云う。；しかし、誰がこの四国の医師の我田引水を咎めることができるだろうか。；「何よ、やーらしい笑いしちゃって」 俺の視線を、彼女が軽く咎める。；絶望させて置きながら、絶望しておれば、貴様等はまた、それで咎める。；女たちは疲労の滲む声で幾度となく、逃げる人を咎める言葉を口にする。；偶然の戯れが産んだ三つ児を二組紹介しても別に誰も咎める者はないだろう。；それを咎める資格のないことは、かれ自身いちばんよく知っていた。；少し気が咎めるが、絵が巧く出来たのだから、まあ我慢することにしよう。；「槍で刺すと爆発することがありますよ」咎めるように慶次郎を見た。；それ位の事を咎めるやうでは、此家庭の水面が平かでゐる時はない。；「美人をみていたんでしょう」といったが、口調に咎める響きはない。；そこで王は、ベルが大量の食料を消費しているのを認めないのかと咎める。；彼女の会話相手は咎めるのではなく疑問に答えただけだった。；おそらく僕の眼は、咎めるような、強い色になっていたのであろう。；人間ではない女を性の奴隷にしても咎める者はいなかった。；そのため、天武天皇を咎めるような事実を記さなかった可能性が高い。；まるで、彼女を怒らせた全責任はおまえにあるのだろう、と咎めるように。；声にならない声を上げ、由希のほうを咎めるように見てぎくりとした。；「いつどこで戦争が起こるんです」 本村は咎めるような口調で質問した。；気の咎めることをするのは、したくないことを、しておるからじゃ。；人情紙の如く薄い奥さんもさすがに捨て犬は気が咎めるものと見える。；気が咎めるとは、その上にこちらから済まぬ事をした場合に用いる。；ただ存在しない者を咎めるのは意味がないから黙っていた。；ヴェラは、それを咎めるおまえの内なる声が、形になったものだった。</t>
        </is>
      </c>
      <c r="J6017">
        <f>HYPERLINK("https://www.weblio.jp/content/咎める", "词义详情")</f>
        <v/>
      </c>
      <c r="K6017">
        <f>HYPERLINK("https://yourei.jp/咎める", "查看例句")</f>
        <v/>
      </c>
    </row>
    <row r="6018">
      <c r="A6018" t="inlineStr">
        <is>
          <t>尖る</t>
        </is>
      </c>
      <c r="B6018" t="inlineStr">
        <is>
          <t>成功</t>
        </is>
      </c>
      <c r="C6018" t="inlineStr">
        <is>
          <t>読み方：とがる
［動ラ五（四）］
１物の先端が細く鋭くなっている。「先の—・った鉛筆」
２敏感になる。「神経が—・る」
３声などが興奮などのために高く鋭い調子になる。とげとげしくなる。「—・った声でなじる」「待たされた相手の目が—・る」
４（比喩的に）他よりも突出している。過激である。または、相手の弱点を容赦なく突いている。「—・った意見の持ち主」</t>
        </is>
      </c>
      <c r="D6018" t="inlineStr">
        <is>
          <t>尖るか丸く；尖るか鈍く尖り；尖るか短い芒；尖るか鋭く尖る；尖るかやや</t>
        </is>
      </c>
      <c r="E6018" t="inlineStr">
        <is>
          <t>穂先；尖端；尖り；尖頭</t>
        </is>
      </c>
      <c r="F6018" t="inlineStr">
        <is>
          <t>鈍く尖る；やや尖る；弱く尖る；細く尖る；突き出して尖る</t>
        </is>
      </c>
      <c r="H6018" t="n">
        <v>29</v>
      </c>
      <c r="I6018" t="inlineStr">
        <is>
          <t>ずっと神経を尖らせていた男は、少しのことで気が変わるおそれがある。；なぜなら、のちにわかったことだが彼の心尖部に小さな穴があいていた。；口を尖らせていたミロクも食事が運ばれてきたらたちまち笑顔になった。；「花は一本の枝にしかつかぬ」と深い声を緊張のあまり尖らせて言った。；作品には元々異なる尖頭部分と裾絵があったが、現在では失われている。；尖った山になっている外側の旋回性能の限界線は旋回能力の限界を示す。；信用問題だから当然だろうが、彼はひどく不満そうに口を尖らせている。；形状は一見すると裁縫用の針に似ているが、先端は鋭く尖ってはいない。；互いに全身を神経の塊のように尖らせて、相手のことを意識しながら。；尖ったこうもり耳で、尾は中ぐらいの長さだが断尾するのが普通である。；脚は短く、長く先の尖った翼とツバメのように二股に分かれた尾を持つ。；人々の気持が緊張して尖っているのが、その顔付にありあり見えていた。；だがそのときには、おれは剣の尖先で、望むものを得ることにしている。；例の山々は裸岩の尖峯をなして植物帯の上にくっきりと聳え立っていた。；われはおのれより穉き子供二三人と向ひなる尖帽僧の寺の前にて遊びき。；クラスは槍のように構えていた杖に目をやって、唇を少し尖らせる。；おれは山井が技術の時間に得物の先をグラインダーで尖らせるのを見た。；耳を塞ぎたい思いでいながら、針が落ちてもわかるほど神経が尖っていた。；赤柳がこちらを見て、口を尖らせたので、山吹は彼のところへ近づいた。；それは男性の大きな足跡で、とりわけつま先の尖った靴のものであった。；各歯は垂直に立った錐状の尖頭を持ち、その横には2対の小尖頭が並ぶ。；それはちゃんと聞こえたらしく、香子の唇が闇の中でわずかに固く尖る。；また、閣僚や国家の指導者をはじめ人間たちは耳が尖った形になっている。；先端は急に尖って、若い葉の中心部が赤茶色になっていることがある。；どの顔にもどの顔にも不安と、驚きと、尖つた感情の色が浮んで居た。；「尖石」の名称は遺跡の南側にあった三角錐状の巨石の通称に由来する。；これらの統計量はともに分布の理論的な歪度と尖度の推定量となりうる。；そこには角のある鬼や、口の尖つてゐる狐などの影は決して見られなかつた。；両顎歯は同形で主尖頭のみの歯を持ち、縁はナイフ状で鋸歯縁を持たない。</t>
        </is>
      </c>
      <c r="J6018">
        <f>HYPERLINK("https://www.weblio.jp/content/尖る", "词义详情")</f>
        <v/>
      </c>
      <c r="K6018">
        <f>HYPERLINK("https://yourei.jp/尖る", "查看例句")</f>
        <v/>
      </c>
    </row>
    <row r="6019">
      <c r="A6019" t="inlineStr">
        <is>
          <t>時</t>
        </is>
      </c>
      <c r="B6019" t="inlineStr">
        <is>
          <t>成功</t>
        </is>
      </c>
      <c r="C6019" t="inlineStr">
        <is>
          <t>読み方：さだ
時機。また、盛りの年齢。→時(さだ)過ぐ</t>
        </is>
      </c>
      <c r="D6019" t="inlineStr">
        <is>
          <t>時頃；時ごろ；時過ぎ；時すぎ；時以来</t>
        </is>
      </c>
      <c r="E6019" t="inlineStr">
        <is>
          <t>とき；間；場合；頃；時代</t>
        </is>
      </c>
      <c r="F6019" t="inlineStr">
        <is>
          <t>九時；八時；臨時；七時；五時</t>
        </is>
      </c>
      <c r="G6019" t="inlineStr">
        <is>
          <t>時間；時期；時点；時々；時計</t>
        </is>
      </c>
      <c r="H6019" t="n">
        <v>29</v>
      </c>
      <c r="I6019" t="inlineStr">
        <is>
          <t>緊張の高い時のほか、何かに夢中になっているときにも笑いは生じない。；この情報の移動は水素結合が共有結合性を含んでいる時にしか起きない。；いくつかの刺激がある時、同種のもの同士がひとまとまりになりやすい。；中国国内の孔子廟の多くは文化大革命時に破壊されたり損傷を受けている。；稀に一度は中止にされた作品が時を経て再起動するケースもある。；交流は現在でも続いており時々スポーツニュースでも放送されている。；記憶にある瞬間瞬間と現在瞬間が比較される時、時間概念が誕生するわけである。；幼少時から非常に凶暴で喧嘩っ早く目立ちたがり屋な気質が現れていた。；この時に配られた旗が現在の氷旗のデザインの元になっている。；この時、 の が無限大に発散してしまうので、 でなければならない。；先の不正会計事件は世界金融危機時の状況までさかのぼって調べられた。；発見の時には実際に手を触れないと駄目だとするルールもある。；アプレット実行時にはアプレット用のランタイム環境が用意されている。；オスマン帝国時代に、この地方を呼ぶ時に使ったことが国名の由来である。；また、通常時には入場券のような同一駅での入・出場はできない。；高校一年生の時にサッカー部を辞め、漫画一本に集中することに決める。；初回放送時のフィルムは経年劣化が著しい上に所在が不明となっている。；時を同じくしてシネマスコープの導入にともない映画は大型化。；その他、連載時との時代相違を考慮した変更が行われている。；あるアスペリティですべり欠損が破壊強度を超えた時に地震が発生する。；大幅なダイヤ乱れ時には次の列車が到着するまでの時間が表示されることもある。；これにより、待受け・通信時ともに電池はより長持ちするとされていた。；その時に一塁ベース上で会話をしたことをイチローは覚えていた。；秀子は、一緒に住むことになった時のことについて以下のように語っている。；発射時のシャトルの構成は、おおまかに の三つの部分から構成されていた。；戦後も長らく解決を見なかった中国残留孤児問題は、この時に生じた。；これは後のヤマト王権で女性が即位する時と同じ状況である。；その後大人の書物をよみ出す時に文字に対する抵抗は全くなかった。；時の経過とともに、INGRESは新しい標準SQLに移行していった。</t>
        </is>
      </c>
      <c r="J6019">
        <f>HYPERLINK("https://www.weblio.jp/content/時", "词义详情")</f>
        <v/>
      </c>
      <c r="K6019">
        <f>HYPERLINK("https://yourei.jp/時", "查看例句")</f>
        <v/>
      </c>
    </row>
    <row r="6020">
      <c r="A6020" t="inlineStr">
        <is>
          <t>時折</t>
        </is>
      </c>
      <c r="B6020" t="inlineStr">
        <is>
          <t>成功</t>
        </is>
      </c>
      <c r="C6020" t="inlineStr">
        <is>
          <t>読み方：ときおり
［副］ときどき。ときたま。「—薄日がもれる」</t>
        </is>
      </c>
      <c r="D6020" t="inlineStr">
        <is>
          <t>時折見られる；時折見せる；時折登場；時折出演；時折出場</t>
        </is>
      </c>
      <c r="E6020" t="inlineStr">
        <is>
          <t>まま；時々；ときどき；時に；ときおり</t>
        </is>
      </c>
      <c r="F6020" t="inlineStr">
        <is>
          <t>時折使わ；時折テレビ；時折吹く；時折聞こえ；時折放映</t>
        </is>
      </c>
      <c r="H6020" t="n">
        <v>29</v>
      </c>
      <c r="I6020" t="inlineStr">
        <is>
          <t>時折、赤い炎、もしくは青い炎がセットになって落ちてくることがある。；なお生活の拠点は自分の地所でありパリへは時折訪れる程度であった。；時折前方から流れてくるコンテナを破壊すると様々なアイテムが出現する。；上位に掲載されていることが多く、時折表紙にも大きく描かれている。；他方、他のソフトウェアと相性的な問題が発生することも時折見られる。；ジラントは時折混乱しながら湖のそば丘の近くを飛んでいたという。；旅に出ていることが多く、家には闖入者のように時折帰ってくるだけだった。；イベントスペースも用意されており、ダンスショーなどが時折開催される。；時折は、一人の射手が自動小銃を扱うかのようにブレンガンを使用した。；このため、時折北高校線をトランジットバスの車両が走ることもある。；以降はシフト勤務のニュースをテレビ・ラジオとも時折担当することがある。；近年はほとんど使用する機会が無かったが、現在も時折使用しているようである。；蘭にだけはすべて話した方が良いとコナンに勧める発言も、時折見せる。；一方、演出や番組内で発した冗談が時折誤解や批判を生んだこともあった。；彼は時折、この地域の自治体の道路整備や脱穀作業の仕事に従事していた。；この子はNanaと呼ばれていて、ナズの作品の歌詞で時折出てくる。；この時期からテレビ界にも進出し、テレビドラマにも時折ゲストで出演した。；しかし時折、仲間を守ろうとする姉御肌的な一面を見せることもある。；時折、普段使用することのない投げ技を突如として繰り出すこともある。；これらの化石化した巣の中に、時折雌雄の化石が同時に発見されている。；以後、時折日本へ帰国はするものの、制作の拠点は国外に移している。；駅舎側には旧貨物側線が残っており、時折保守車両の留置に使われている。；時折、飲料水が不足しやすくなり、その状態が何日も続く場合もある。；家を出た瑞季は、時折会う母から兄の様子を聞かされ、兄に会いに行く。；また時折コリィに求められてデスヴォイスを披露する場面も見られた。；その後も息子のマネージャーとなって活動、試合にも時折出場した。；またMotoGPのテレビ中継に時折ゲスト解説者として出演している。；山法師、奈良法師ほどの勢力ではなかったが、史上に時折登場している。；その後も自身のブログなどで時折「Go on」の名を出すことがある。</t>
        </is>
      </c>
      <c r="J6020">
        <f>HYPERLINK("https://www.weblio.jp/content/時折", "词义详情")</f>
        <v/>
      </c>
      <c r="K6020">
        <f>HYPERLINK("https://yourei.jp/時折", "查看例句")</f>
        <v/>
      </c>
    </row>
    <row r="6021">
      <c r="A6021" t="inlineStr">
        <is>
          <t>時々</t>
        </is>
      </c>
      <c r="B6021" t="inlineStr">
        <is>
          <t>成功</t>
        </is>
      </c>
      <c r="C6021" t="inlineStr">
        <is>
          <t>読み方：よりより
［副］《「より（度）」を重ねたもの》ときどき。ときおり。
「彼等は—秘密に相語らい」〈秋声・縮図〉</t>
        </is>
      </c>
      <c r="D6021" t="inlineStr">
        <is>
          <t>時々思い出し；時々刻々；時々こんな；時々こういう；時々考える</t>
        </is>
      </c>
      <c r="E6021" t="inlineStr">
        <is>
          <t>まま；ときどき；時に；時折；ときおり</t>
        </is>
      </c>
      <c r="F6021" t="inlineStr">
        <is>
          <t>時々現れる；時々起る；ほんの時々；時々起こる；時々やって来</t>
        </is>
      </c>
      <c r="G6021" t="inlineStr">
        <is>
          <t>時々迷々；時々輪</t>
        </is>
      </c>
      <c r="H6021" t="n">
        <v>29</v>
      </c>
      <c r="I6021" t="inlineStr">
        <is>
          <t>そして使われなくなったブレーキは時々動かなくなって作業が停止した。；現在も時々イベント等の宣伝でCBCラジオの番組に出演する事がある。；時々どこかに電話をかけるが、相手が出ても何も話さずに切ってしまう。；場所の違いを表したり、何かの場所を示す際に、時々地図が用いられる。；母は本編未登場で時々存在を言及されるくらいで詳細な人物像は不明。；火山そのものの大きさではなく、その時々の爆発の大きさの指標である。；美術批評の出版も時々だが続けていたが、それ以外の著作にも手を広げた。；ロンドンの西側の地区は時々と呼ばれており、東側の地区はと呼ばれている。；時々ここにはアダムがいた当時のバンド活動中のビデオも投稿している。；白ふんで覆われたようになっており、時々灰色の胞子の粉がついている。；これらの中には、背景が銀色でなく金色になっているものも、時々ある。；時々雑なプレーも見せたが、強い腕を持つ遊撃手として評価されていた。；ケロロが時々言う正論には悔しい表情を見せながらも認める部分はある。；母親は、ヨーロッパに残ったため時々しか会うことができなかった。；片手だけで行うこともあれば両手を用いて行うこともあり、その時々で異なる。；スレンダーな体型をしているが、本人は貧乳を時々気にする場面がある。；時々、そのような報告が大きな足跡、または他の証拠と共にされている。；それらは、その時々の中国王朝に朝貢しつつも韓族の統治が続いていた。；ゲストが出演することは稀で、時々キリングセンスが参加する程度だった。；台詞が時々、第二次世界大戦前を思わせるものになるのも特徴の一つである。；仕事部屋にはピアノを置き、時々仕事の気分転換に弾いていたといわれる。；磨耗したり溶けたりするので時々交換できるようにネジが切られている。；それはイディッシュ語でも稀ではなく、ドイツ語でも時々見られた。；契約を結んだ人は時々悪魔の裏をかこうとするが、最終的には負ける。；時々ポリバケツですくっては、まだ広がっていない部分に撒いていった。；これは時々ニュージーランドの他の部分からの人々を混乱させる。；姉と一緒に過ごし、ロブサンや母が時々通ってくる、という生活を送る。；時々仲間のDJシャドウとともに、いくつかのアルバムを発表している。；また、時々大会も開催されていて、プレイヤーは自由に参加できる。</t>
        </is>
      </c>
      <c r="J6021">
        <f>HYPERLINK("https://www.weblio.jp/content/時々", "词义详情")</f>
        <v/>
      </c>
      <c r="K6021">
        <f>HYPERLINK("https://yourei.jp/時々", "查看例句")</f>
        <v/>
      </c>
    </row>
    <row r="6022">
      <c r="A6022" t="inlineStr">
        <is>
          <t>どきどき</t>
        </is>
      </c>
      <c r="B6022" t="inlineStr">
        <is>
          <t>成功</t>
        </is>
      </c>
      <c r="C6022" t="inlineStr">
        <is>
          <t>［副］(スル)激しい運動、または不安・恐怖・驚きなどで心臓の動悸(どうき)が速くなるさま。名詞的にも用いる。「階段を上るだけで—する」「面接を控えて胸が—する」「胸の—が止まらない」</t>
        </is>
      </c>
      <c r="D6022" t="inlineStr">
        <is>
          <t>どきどきする(14%)；どきどきし始め；どきどきしはじめ；どきどきしてる；どきどきしちゃう</t>
        </is>
      </c>
      <c r="E6022" t="inlineStr">
        <is>
          <t>脈；鼓動；パルス；ビート；ドキドキ</t>
        </is>
      </c>
      <c r="F6022" t="inlineStr">
        <is>
          <t>どきどきする胸；どきどきするよう</t>
        </is>
      </c>
      <c r="G6022" t="inlineStr">
        <is>
          <t>どきどきしちゃうどっきどき；どきどきポヤッチオ</t>
        </is>
      </c>
      <c r="H6022" t="n">
        <v>29</v>
      </c>
      <c r="I6022" t="inlineStr">
        <is>
          <t>階段をのぼるとき、彼はまるで青年のように心臓をどきどきさせていた。；胸がどきどきして、まるで十五トンもの重い物をかついで運んだみたい。；さきほどの激しい踊りのせいで、モレタの心臓もまだどきどきしていた。；いやまあしかしよく出てこられたものだと、まだ胸はどきどきしている。；二人はそこで胸をどきどきさせて、まるで風のようにかけ上りました。；中国の最後の夜には、もっとどきどきするようなことが起こってもいい。；私は土間に入るときよりも、裏口から出るときの方が胸がどきどきした。；舎利弗はどきどきしながら、男たちと会話している藍の背を眺めていた。；アタシは校舎の角からはじめにーちゃんが来るのをどきどきしながら待つ。；たくさんの物語に触れ、わくわくどきどきするのが最大の楽しみでした。；まだ少し心臓がどきどきいっているが、これくらいならなんでもない。；父は私に心臓を与えてくれたけれど、貴方はそれをどきどきさせてくれた。；胸がどきどきして、声を出すとため息みたいな大きな息が一緒に出てきた。；この頃は胸がわくわくして、女を見ただけでも心臓がどきどきするんだよ。；めくらましであるにせよ、そうでないにせよ、胸がどきどきする光景だ。；どきどきしながら待っていたのに、父はうんともすんとも言わなかった。；喉の奥で脈が強く打っているのが感じられ、心臓はどきどきしている。；ついさっきまで彼がここに入っていたと思うと、胸がどきどきした。；人に見つけられはしないかと、心臓がどきどきして来てなりません。；彼女は、息子の言葉に含まれた寂しさと苦渋に、胸がどきどきし始めた。；いらしているとは聞いていたけれど、本当となるとどきどきするわね。；いったい何がどんなふうにはじまるのかとあたしはどきどきしてそこにいた。；キッチンでチャーハンをつくっていたわたしは、急にどきどきしてきた。；中学の服を着て、クツをはいてと思うと、なんだか胸がどきどきしてきた。；何気ないふりを装って歩くうちに、自分の幸運に胸がどきどきしてきた。；心臓の音が聞こえてしまうのではないかというくらいどきどきする。；ちょっとだけどきどきしたが、すぐにおだやかな気持ちになってきた。；何だかあの人のことを思い出すと今でも胸がどきどきしてしまいます。；つかんだものをしっかりと握りしめ、心臓がどきどきするのを感じながら。</t>
        </is>
      </c>
      <c r="J6022">
        <f>HYPERLINK("https://www.weblio.jp/content/どきどき", "词义详情")</f>
        <v/>
      </c>
      <c r="K6022">
        <f>HYPERLINK("https://yourei.jp/どきどき", "查看例句")</f>
        <v/>
      </c>
    </row>
    <row r="6023">
      <c r="A6023" t="inlineStr">
        <is>
          <t>途切れる</t>
        </is>
      </c>
      <c r="B6023" t="inlineStr">
        <is>
          <t>成功</t>
        </is>
      </c>
      <c r="C6023" t="inlineStr">
        <is>
          <t>読み方：とぎれる
［動ラ下一］［文］とぎ・る［ラ下二］続いていたものが途中で切れる。「—・れることのない人波」「会話が—・れる」</t>
        </is>
      </c>
      <c r="D6023" t="inlineStr">
        <is>
          <t>途切れることなく続い(2%)；途切れることなく続く；途切れることなく続行；途切れることなく継続；途切れることなく続き</t>
        </is>
      </c>
      <c r="E6023" t="inlineStr">
        <is>
          <t>停止；中断；休止；休息；休む</t>
        </is>
      </c>
      <c r="F6023" t="inlineStr">
        <is>
          <t>一旦途切れる；ほとんど途切れること；いったん途切れる；再び途切れる</t>
        </is>
      </c>
      <c r="H6023" t="n">
        <v>29</v>
      </c>
      <c r="I6023" t="inlineStr">
        <is>
          <t>ドラマTVへ局名が変更される頃まで途切れることなく放送されていた。；ちょっと疲れてしまったみたいで、急に意識が途切れてしまったんです。；したがって昔の戦争では冬の間にいったん進行がブツリと途切れている。；駅から彼女の家まではかなり遠かったが、話の途切れることはなかった。；自分たちに向けられていた意識が、急に途切れるのを感じたのである。；DOTSは薬の使用期間が長くなるため、時々途切れる時に利用される。；ふいに南の空に雲の途切れた箇所があって、そこから星がひとつ覗いた。；北から続いてきたパン・アメリカン・ハイウェイもここで途切れている。；家の前までくると途切れるためこの家が行き止まりなのだとわかった。；途切れのない再生のためにはパソコンにはある程度処理能力が求められる。；収録されている時間も短く曲が途中で途切れているものもあった。；しかしこんないたずらめいた事のために話はちょっと途切れてしまった。；その後は途切れることなく多くの映画やテレビドラマに出演し続けている。；つきあいがときどき途切れることがあるからね、知らないこともあるよ。；私は最も近くに席を占めて居たので、途切れ途切れにその話を聞いた。；このとき中庭に、菓子を下げた人が顔を出してきて、話が一旦途切れる。；なんだか心細くなりながら先へと進むと、明かりが途切れた場所に出た。；脳は集めたサンプルを使って途切れることのない鮮明な視覚を構成する。；しかもページの途中で文章が途切れているなど、校正上のミスも存在した。；さらに、踊りの流れを途切れさせないための適切な呼吸にも重きを置いた。；この途切れることのない攻撃動作の連続こそが、彼女の強さだった。；客足もなかなか途切れず、仕事が一段落した時には日が傾き始めていた。；雨とは違う水分が、途切れることなく色をなくした頬を伝い落ちていた。；この記録は翌5月10日の同カードで三盗に失敗して記録は途切れた。；このトラック道中は僅か十分足らずで、道路崩壊のためにまた途切れた。；後方に控えたメイジ隊が途切れることなく回復魔法を詠唱しているせいだ。；足音が途切れたことに気づいた男性が、振り返り「おい」と声をかけた。；かすかに動いている唇から、途切れ途切れの小さな声が聞こえてきた。；ぼくたちの来たほうから、車の途切れた道路を乗用車が一台、走ってくる。</t>
        </is>
      </c>
      <c r="J6023">
        <f>HYPERLINK("https://www.weblio.jp/content/途切れる", "词义详情")</f>
        <v/>
      </c>
      <c r="K6023">
        <f>HYPERLINK("https://yourei.jp/途切れる", "查看例句")</f>
        <v/>
      </c>
    </row>
    <row r="6024">
      <c r="A6024" t="inlineStr">
        <is>
          <t>得</t>
        </is>
      </c>
      <c r="B6024" t="inlineStr">
        <is>
          <t>成功</t>
        </is>
      </c>
      <c r="C6024" t="inlineStr">
        <is>
          <t>読み方：う
［動ア下二］「え（得）る」の文語形。</t>
        </is>
      </c>
      <c r="D6024" t="inlineStr">
        <is>
          <t>得られる(10%)；得ない(10%)；得なく(2%)；得ざる；得べき</t>
        </is>
      </c>
      <c r="E6024" t="inlineStr">
        <is>
          <t>有利；利；プラス；益；便宜</t>
        </is>
      </c>
      <c r="F6024" t="inlineStr">
        <is>
          <t>止むを得；知り得；禁じ得；得ル目途ナキ；得たり賢し</t>
        </is>
      </c>
      <c r="G6024" t="inlineStr">
        <is>
          <t>得意；得点；得よ；得体；得票</t>
        </is>
      </c>
      <c r="H6024" t="n">
        <v>29</v>
      </c>
      <c r="I6024" t="inlineStr">
        <is>
          <t>ここから得られるアルゴリズムを、日本語で記述すると次のようになる。；また住民の協力も得られないため攻撃を強行しても成果が出なかった。；しかしここで知遇を得たジョセフ・ベル教授からは大きな影響を受けた。；が単射であることを見るのは容易であるから、定義により が得られる。；そして息子の漂白された骨の形から、最初のウードの着想を得たという。；究極的には、真の文法が得られた場合に限り文法性の評価が可能となる。；しかし、これ以降の時代には主に民衆から支持を得る形で小説が人気を得ていく。；江戸時代に創作材料として盛んに利用されたことで、高い知名度を得た。；シティは女王の承認を得ていない唯一の自治体であり、独自の警察を有する。；あとは全く同様の議論を繰り返すことで次の偏微分方程式が得られる。；パズルの作成だけで収入を得ている純粋なプロはあまり多くない。；敵から逃げることに成功した場合も戦闘終了となるが、この場合は何も得られない。；鉛フリーはんだを使うことにより、以下の効果が得られると考えられる。；数世紀前の実験で得られた基礎的なデータですら重要性を失わない。；明治大学漫画研究会に在籍し、在学中から漫画を描いて収入を得ていた。；成果を得たのはニュートンが先だが、出版はライプニッツが先だった。；比較的容易に低温が得られるため多くの産業で利用されている。；それは、職業上高い地位を得た者だけが享受しているのではない。；戦闘で得た経験値は、戦闘に参加したキャラクターのみが獲得する。；たとえばフェルミ気体中の電子の運動エネルギーは以下のように得られる。；これは当時マスコミがその写真しか得られなかったためである。；ここで彼は黄帝などいにしえの著作に触れる機会を多く得たと伝わる。；メモリ管理やDOSとの互換性の改善も複数の雑誌で良い評価を得た。；移住せざるを得なかったセルビア人は20万人以上と言われている。；いずれにしても、そうした機関で教育を受けたからといって仕事が得られるとは限らない。；軌道の種類の名前は分光法で得られたその軌道のスペクトルの形に由来している。；パウロ書簡以外の書物の著者の問題についても結論は得られていない。；どちらも極論ではあるが、この両者は明確な境界が存在し得ないほど類似している。；ここで得られた色や明るさを平均してその点の色とする。</t>
        </is>
      </c>
      <c r="J6024">
        <f>HYPERLINK("https://www.weblio.jp/content/得", "词义详情")</f>
        <v/>
      </c>
      <c r="K6024">
        <f>HYPERLINK("https://yourei.jp/得", "查看例句")</f>
        <v/>
      </c>
    </row>
    <row r="6025">
      <c r="A6025" t="inlineStr">
        <is>
          <t>解く</t>
        </is>
      </c>
      <c r="B6025" t="inlineStr">
        <is>
          <t>成功</t>
        </is>
      </c>
      <c r="C6025" t="inlineStr">
        <is>
          <t>読み方：とく
［動カ五（四）］
１結んだりしばったりしてあるものをゆるめて分け離す。ほどく。「帯を—・く」「包みを—・く」
２縫い合わせてあるものの糸を抜き取って離す。また、編んであるものをほどく。「着物を—・く」「セーターを—・く」
３
㋐もつれたものをもとに戻す。ほぐす。「からまった釣り糸を—・く」
㋑（「梳く」とも書く）もつれた髪に櫛(くし)を入れて整える。とかす。すく。「乱れた髪を—・く」
４着ていたもの、身に取り付けたものをはずす。「旅装を—・く」
５命令・束縛・制約などから解放する。「鎖を—・く」「統制を—・く」「契約を—・く」
６任務・職をやめさせる。免じる。「任を—・く」
７拘束していた態勢を崩してもとの状態に戻す。「警備を—・く」「武装を—・く」
８心のわだかまりや緊張状態をほぐす。ふさがっていた気持ちをすっきりさせる。「怒りを—・く」「疑いを—・く」「誤解を—・く」
９筋道をたどって解答を出す。「問題を—・く」「なぞを—・く」
[可能]とける
［動カ下二］「と（解）ける」の文語形。
[用法]とく・ほどく——「帯を解く（ほどく）」「もつれた糸を解く（ほどく）」「着物を解く（ほどく）」など、ばらばらにする意では相通じて用いられるが、「ほどく」の方が口語的である。◇「問題を解く」「謎を解く」「誤解を解く」「禁止を解く」「武装を解く」「警戒を解く」「緊張を解く」など、結び目、縫い目をばらばらにする意以外の場合は「解く」だけを用いる。◇類似の語に「ほぐす」がある。解けた状態、ほどけた状態にする意で、「からんだ糸をほぐす」のほか、「緊張をほぐす」「肩の凝(こ)りをほぐす」などと用いる。
[下接句]印綬(いんじゅ)を解く・頤(おとがい)を解く・帯を解く・帯紐(おびひも)を解く・褐(かつ)を釈(と)く・産(さん)の紐を解く・綬(じゅ)を解く・刃(じん)を迎えて解く・謎(なぞ)を解く</t>
        </is>
      </c>
      <c r="D6025" t="inlineStr">
        <is>
          <t>解くべき；解くべく；解くべから；解く間もなく；解くプログラムh</t>
        </is>
      </c>
      <c r="E6025" t="inlineStr">
        <is>
          <t>解決；答える；解答；外す；離す</t>
        </is>
      </c>
      <c r="F6025" t="inlineStr">
        <is>
          <t>言い解く</t>
        </is>
      </c>
      <c r="H6025" t="n">
        <v>29</v>
      </c>
      <c r="I6025" t="inlineStr">
        <is>
          <t>この強力なマシンの前では、多くの問題が簡単に解かれるようであった。；過去に解いたことのある問題によく似た問題に出会うことは珍しくない。；このポータルを使って様々な仕掛けを解いていくのが本作の目的である。；ここに解きがたい混乱が生じてしまったとマルクスは批判するのである。；この草稿は現存していて血液運動の謎を解いていたことが示されている。；効果を発揮するには、手に入れた次のステージで封印を解く必要がある。；私はこれだけの結果を用いて次に空間に就いての一つの問題を解こうと思う。；このような状況が改められたのは戒厳が解かれた1987年からである。；シリーズの中で定着していった変装を解くパターンは次のような順である。；様々なところでアイテムを入手し、それらを使って障害や謎を解いていく。；ヒメがそれを行う時まで、ヒメの心は全ての人に解きがたい謎であろう。；次の三つの条件を式にすることで、あらゆる構造を解くことができる。；これを解いて得られるを用いてパラメータベクトルの推定値を更新する。；なんと1ヶ月以内に魔法を解かないと本物の猫になってしまうという。；これは PP に属する問題を解くのがいかに困難であるかの証拠である。；物語上に配置された謎を解くことが主なゲームプレイとなるジャンル。；何よりも大事なのは、あの人がもう自分の人生の問題を解いていることだわ。；観察を続けながら、彼女の体の動きの美しさの謎を、彼は解こうと試みた。；傍にいた女の一人が傍へ寄って創を捲いている布をそろそろと解いた。；彼が日本に帰国できない事由を両者で話し合い、誤解を解く事が出来た。；ソーマキューブを解く上で、パリティの考え方が必要になることがある。；それはその數學に得意な友人さへ、解き得ずに苦しんでゐたものだつた。；さうして忘却の錨を解き 記録のだんだんと消えさる港を訪ねて行かう。；地上や迷宮にて敵を倒し、様々な人物から得た情報を基に謎を解いていく。；稼ぎの者が坑口から出る際には、出口の小屋で帯を解き裸で検査された。；怪しんでその束を解いてみると、緡になっている銭一万五千を発見した。；謎を解こうとでもするかのように、重大な秘密を見破ったかのように。；入手したシールはコースで仕掛けを解いたり、敵とのバトルで使用する。；この方法は今、偏微分方程式を数量的に解く最重要な方法となっている。</t>
        </is>
      </c>
      <c r="J6025">
        <f>HYPERLINK("https://www.weblio.jp/content/解く", "词义详情")</f>
        <v/>
      </c>
      <c r="K6025">
        <f>HYPERLINK("https://yourei.jp/解く", "查看例句")</f>
        <v/>
      </c>
    </row>
    <row r="6026">
      <c r="A6026" t="inlineStr">
        <is>
          <t>溶く</t>
        </is>
      </c>
      <c r="B6026" t="inlineStr">
        <is>
          <t>成功</t>
        </is>
      </c>
      <c r="C6026" t="inlineStr">
        <is>
          <t>読み方：とく
《「解く」と同語源》
［動カ五（四）］
１液体に他の固形物や粉末をまぜて、また、分離しているものをまぜて均質な液状にする。とかす。「絵の具を—・く」「卵を—・く」
２（「鎔く」「熔く」とも書く）固体に熱を加えて、液状にする。
[可能]とける
［動カ下二］「と（溶）ける」の文語形。</t>
        </is>
      </c>
      <c r="D6026" t="inlineStr">
        <is>
          <t>溶解；溶かす；解かす</t>
        </is>
      </c>
      <c r="H6026" t="n">
        <v>29</v>
      </c>
      <c r="I6026" t="inlineStr">
        <is>
          <t>グリンダは魔法を溶くため雪を降らせ、4人は旅を続けることができる。；長野県開田村地方には松脂を油で溶いて、あかぎれ薬にする伝統がある。；それとも、獣に与える滋養を溶いた水は、すべて特滋水と呼ぶのだろうか。；お茶に似た香りではあるけれど、正式なお茶の香りではないような香りが湯に溶いてあるもののように、彼には思えた。；カバとは胡椒科の植物で、これを粉にして水に溶き、飲用としている。；だから僕は、深い皿に水を入れ、そこに大量の合成洗剤を溶き入れて男の前に置いてやった。；中にはメリケン粉だろうか、水で溶いたものが入っていた。；イケベ記者がいうように、針ショウガも合うし、溶きガラシもまた合う。；この白粉が家にも取子の娘たちにもなかった頃には、米の粉を水で溶いてつけることもあった。；勿論日本画家のあるものは今もなお絵具の溶き方にかなりの修練をやっているようであるが。；やけにプルシァン・ブルーを筆の先に溶いて、海の沖の部分を厚く塗った。；彼は生乾きの漆喰の上に水で溶いた顔料を用いて、広い色面を塗る。；一口、口に含んで、それが黒蜜を水で溶いたようなものであることに戸井田は気づいた。；それにしては粉を溶く湯も用意されていない。；庭の中心に池が設けられ、鯉の群れが華やかな色彩を溶いている。；巻き止めるための接着剤には水に溶いたポリビニルアルコールが用いられる。；母がやっとひねり出したメリケン粉を溶いて作った糊は考えて使わなければならない。；どんどん焼きは、水に溶いた小麦粉を主体とする日本の鉄板焼き料理である。；江戸期に入ると、長崎に輸入された品々の中に、石鹸の溶き水が記されている。；インスタントの粉を卵と牛乳で溶いただけだが、味に文句をつけるほど元気な者がいるとも思えない。；苦くって、ピリピリして、猫いらずを溶いた水を飲んでいるような気がする。；一般的な流通形態としては紙パックなどの容器に溶き卵のような状態で封入されて販売されている。；椀内で最中を半分に割ったり穴を開けたりして、湯をかけて溶くと即席の汁粉になる。；いつでも簡単にからしの風味が利用できるように、粉末や油に溶いた状態で保存する技術が発達した。；降りかかる雨水がその色を溶いて、岩の上に流した。；魚に付ける衣は小麦粉を卵や水で溶いたものである。；マユミが左手に持っていたスプーンが転がり、水で溶いた麻薬が畳の上に広がった。；よく噛みくだいて唾で溶く、というのは、粘着力を持たせるためであろう。；文字は一つずつ、炭を砕いて葡萄酒で溶いた墨ではっきりと書いた。</t>
        </is>
      </c>
      <c r="J6026">
        <f>HYPERLINK("https://www.weblio.jp/content/溶く", "词义详情")</f>
        <v/>
      </c>
      <c r="K6026">
        <f>HYPERLINK("https://yourei.jp/溶く", "查看例句")</f>
        <v/>
      </c>
    </row>
    <row r="6027">
      <c r="A6027" t="inlineStr">
        <is>
          <t>説く</t>
        </is>
      </c>
      <c r="B6027" t="inlineStr">
        <is>
          <t>成功</t>
        </is>
      </c>
      <c r="C6027" t="inlineStr">
        <is>
          <t>読み方：とく
［動カ五（四）］《「解く」と同語源》
１物事の道理や筋道をよくわかるように話す。さとす。「人の道を—・く」「仏の教えを—・く」
２物事の事情や成り行きを説明する。「開発の必要性を—・く」
３解説する。講義する。「孟子を—・く」
[可能]とける</t>
        </is>
      </c>
      <c r="D6027" t="inlineStr">
        <is>
          <t>説くべき；説く如く；説くべし；説くがごとき；説くごとく</t>
        </is>
      </c>
      <c r="E6027" t="inlineStr">
        <is>
          <t>説明</t>
        </is>
      </c>
      <c r="F6027" t="inlineStr">
        <is>
          <t>詳しく説く</t>
        </is>
      </c>
      <c r="H6027" t="n">
        <v>29</v>
      </c>
      <c r="I6027" t="inlineStr">
        <is>
          <t>実際のペラギウスが説いた教えはどのようなものかは分かってはいない。；それが利権を私しようとする動機から出た説か否かは自分には解らない。；そして獄吏にも自らの教えを説き、また執筆活動も行っていたとされる。；彼らは、企業にとって重要な能力を理解することが重要であると説いた。；彼の倫理学では人間は独立した存在ではなく関係的存在であると説かれる。；横田君は一と息ついて、さらにその龍馬の池の秘密を説きはじめました。；そんな彼を3人の元戦士たちは励まし、希望を失ってはならないと説く。；これは敵に態勢を整える時間を与えぬことの必要性を説いたものである。；その結果、知的創作物を誰でも自由に利用できると説かれることが多い。；教会のリーダーは男性であるべきと主張し、結婚は苦難を招くと説いた。；雑草の豊富な種類とその各々が持つ特殊の美しさとは十分に説かれている。；常に流れ動く心の状態がよいと説き、隙がない状態・物事を説明した記述。；日本当局は、彼等をして安んじてその教義を説き道を行はしめるがよい。；仏がこの世に現れて説法を開始する時、まず内容の高度なものを説く。；「円教」では当然、妙に象徴される完全な教えを説いたとされている。；私は尤も、まだ真の道徳なるものに就いて積極的には何も説かなかった。；マズダクの教えは、一切の平等を説く社会的抗議運動だったと思われる。；そこに説かれてあるものは運動による方法概念の衰微であるであろう。；張騫は大月氏王に漢との同盟を説いたが、王はこれを受け入れなかった。；おまえがどれだけの理想を説こうと、この国の民が変わることはない。；そこでつまずくと選手らからの信頼を得ることが難しくなると説いている。；しかも、天皇であっても女性の政治介入は避けるべきだとも説かれる。；栄一はこんな人々を掴まへてイエスの福音を説かねばならぬのであつた。；秀吉は信長の事情がよくわかっているのだが、やはり説かずにはいられなかった。；ヘラクレイトスは世界の本性であるアルケーは火また戦にあると説いた。；特に、過去・現在・未来の三世の因縁果を説くかが最大の違いである。；田丸はさういふ趣旨を村から村へ、芝居の前に、またあとに説き廻つた。；ヨシュアは死の床で民の代表者たちに神への信頼を説き、この世を去った。；しかし刀匠は剣とは混ぜものの塊であり、それが強さであると説いた。</t>
        </is>
      </c>
      <c r="J6027">
        <f>HYPERLINK("https://www.weblio.jp/content/説く", "词义详情")</f>
        <v/>
      </c>
      <c r="K6027">
        <f>HYPERLINK("https://yourei.jp/説く", "查看例句")</f>
        <v/>
      </c>
    </row>
    <row r="6028">
      <c r="A6028" t="inlineStr">
        <is>
          <t>研ぐ</t>
        </is>
      </c>
      <c r="B6028" t="inlineStr">
        <is>
          <t>成功</t>
        </is>
      </c>
      <c r="C6028" t="inlineStr">
        <is>
          <t>読み方：とぐ
［動ガ五（四）］
１刃物を砥石(といし)や皮でこすってよく切れるようにする。「刀を—・ぐ」
２米などを水の中でこするようにして洗う。「米を—・ぐ」
３みがいてつやを出したり、汚れを取ったりする。「鏡を—・ぐ」
[可能]とげる</t>
        </is>
      </c>
      <c r="D6028" t="inlineStr">
        <is>
          <t>洗濯；洗う；洗浄；磨く；研磨</t>
        </is>
      </c>
      <c r="H6028" t="n">
        <v>29</v>
      </c>
      <c r="I6028" t="inlineStr">
        <is>
          <t>そこから研ぎ颪されて来る風は春とも思えない針の冷たさを含んでいる。；自分の本質がそこまで研ぎ込まれないうちは生きることをやめられない。；そう思った瞬間から僕の眼も耳も、五感のすべてが研ぎすまされていく。；道具の刃一つ研ぐのも、実作業で切れ具合を試してみなければできない。；そんなことを考えながらも、橋爪は敵の気配に神経を研ぎすましていた。；みんなはそれを知っているので、敵の四、五名もそのナイフを研ぎだした。；神社の御予算に研ぎ料が組んでおありなさらないなら、ようございます。；研ぎ屋のそばを通るとき私はその鳥打帽の下をのぞいてみようとした。；ただしどちらも水に浮くので慎重に米研ぎをすれば気づくことがある。；一般的には歯を研ぐためだと言われているが、その本当の目的は分かっていない。；日本で否定されていたエッジの機械研ぎを導入したのも佐藤である。；道具を家で研ぎすましておいて仕事場に来る大工があってたまるものか。；しかし満足な成果が出ず、手研ぎによる研磨を行うという結論に達した。；グロリム僧たちが、研ぎたてのナイフを手にまた姿をあらわしはじめた。；現地民がナイフを使って何度か彼を刺し、笑いながら砥石でナイフを研ぐ。；ペテルバーはモレタの声にびくっとしたが、刃を研ぐ作業は続けていた。；百造が持って来た刀は、抜いてみるまでもなく白研ぎにしてある。；安雄さんは刃の研ぎ方ををぢさんに教はつてゐるらしいのです。；今度も、異常に研ぎすまされた予知本能が危難を教えてくれたのである。；さっき鏡で自分の顔を眺めていたと思ったら、今は爪研ぎよ。；それに倣うようにして隣に腰を下ろしながら、真九郎は感覚を研ぎ澄ませる。；はじめにお値段を決めておいてよろしかったらお研ぎいたしましょう。；仕方なく研ぎ石を探して、特別記念ポーチに入れられたものが売られていた。；「なんと、黒の大きくなったこと」 親方は剃刀を研ぎながら黒を見た。；不自由なからだでどうしたものか、研ぎ台も水盥もちゃんと揃えてあった。；趣味にはエレキギターと包丁研ぎ、特技には料理をそれぞれ挙げている。；しかしその瞳は、研ぎすまされた刃のように鋭く、相手を射抜いている。；オヤジさんは何度か布砥で刃を研ぎ直しては丁寧に剃りあげてくれた。；沼地の死体を目撃して以来、その感覚がますます研ぎすまされている。</t>
        </is>
      </c>
      <c r="J6028">
        <f>HYPERLINK("https://www.weblio.jp/content/研ぐ", "词义详情")</f>
        <v/>
      </c>
      <c r="K6028">
        <f>HYPERLINK("https://yourei.jp/研ぐ", "查看例句")</f>
        <v/>
      </c>
    </row>
    <row r="6029">
      <c r="A6029" t="inlineStr">
        <is>
          <t>毒</t>
        </is>
      </c>
      <c r="B6029" t="inlineStr">
        <is>
          <t>成功</t>
        </is>
      </c>
      <c r="C6029" t="inlineStr">
        <is>
          <t>読み方：どく
［音］ドク（呉）
［学習漢字］5年
１生命や健康を害するもの。「毒殺・毒蛇・毒素・毒薬／煙毒・解毒(げどく)・鉱毒・消毒・胎毒・丹毒・中毒・病毒・服毒・防毒・猛毒・有毒」
２害を与える。ひどくそこなう。「毒手・毒舌・毒婦／害毒」</t>
        </is>
      </c>
      <c r="D6029" t="inlineStr">
        <is>
          <t>毒入り(3%)；毒瓦斯；毒酒；毒成分；毒を飲まさ</t>
        </is>
      </c>
      <c r="E6029" t="inlineStr">
        <is>
          <t>毒物；毒薬；毒素；毒気；毒液</t>
        </is>
      </c>
      <c r="F6029" t="inlineStr">
        <is>
          <t>矢毒；身毒；酒毒；強毒；強い毒</t>
        </is>
      </c>
      <c r="G6029" t="inlineStr">
        <is>
          <t>毒殺；毒物；毒薬；毒素；毒ガス</t>
        </is>
      </c>
      <c r="H6029" t="n">
        <v>29</v>
      </c>
      <c r="I6029" t="inlineStr">
        <is>
          <t>ただしこれ以外の種ではそこまで強毒を持つ種は少なく、無毒種もいる。；黒澤は本作を毒を持った人間が一人も出ない映画を基本に考えていた。；食性から肉に毒が含まれることもあり、食べた人が中毒死した例もある。；毒と併用して暗殺などにも使用されたという伝承もあるが定かではない。；また浜辺で死んでいるエイにも、毒は残っているので注意が必要である。；また仏が毒龍を降伏させたり盲竜を治癒させるなどの多くの説話がある。；石灰は別に毒ではないが、投げ込んだ箇所で魚が窒息死することがある。；最も強い毒をもつのはオーストラリアに生息するナイリクタイパンである。；つまり、暴走する毒蝮に極力制限を加えない路線を選択したわけである。；この毒が生態学的にどのような意味をもつのかは、ほとんどわかっていない。；他の女と一緒に住むと、そのうちに怒りだし、毒を吐いてしまうでしょう。；毒である認識がないまま工業的に大量生産され公害となった例は多い。；そのため、毒は強くないとは言えども、一刻も早い治療が必要である。；毒は有していないが、巨象をも絞め殺してしまう強力な尾を具えている。；これらのシステムは、長命の毒と短命の解毒剤の両方を同時に生成する。；彼は毒竜の話を聞き「よし、私が助けてあげましょう」と出掛けていった。；強毒型はさらにアジア型とアメリカ強毒型に分けられる。；しかし実際には危険な毒を持つものは知られていない。；また、毒見役も兼ねていたため毒の知識が豊富であり、毒を使った技を使う。；フグの仲間ながら毒は持っていないとされているものの、未解明の点も多い。；というのはウマの角もロバの角も毒を解毒する力があるからだそうだ。；ただし、毒を持たない未知の類似種の存在が複数確認されており。；他にもフグ毒などの海産毒も調査をしていたが、資料不足のため断念。；当時の雑誌の図解などでは、体内に毒袋を持つとされる場合もある。；その後、胡亥からの自殺命令が届くとやむを得ず、毒を飲んで自殺した。；それが他の生物などに触れると、収められた針が飛び出し、毒を注入する。；ただし毒が弱く、魚の皮膚で防御されてしまうため、魚は捕まえられない。；葉に毒があるので、舐めると舌が割れるという伝承によるものとされる。；この毒を制するため、強い作用をもつ峻剤を用いる攻撃的な治療を行った。</t>
        </is>
      </c>
      <c r="J6029">
        <f>HYPERLINK("https://www.weblio.jp/content/毒", "词义详情")</f>
        <v/>
      </c>
      <c r="K6029">
        <f>HYPERLINK("https://yourei.jp/毒", "查看例句")</f>
        <v/>
      </c>
    </row>
    <row r="6030">
      <c r="A6030" t="inlineStr">
        <is>
          <t>退く</t>
        </is>
      </c>
      <c r="B6030" t="inlineStr">
        <is>
          <t>成功</t>
        </is>
      </c>
      <c r="C6030" t="inlineStr">
        <is>
          <t>読み方：ひく
［動カ五（四）］
１物の端を持って手近の所に寄らせる。手前に引き寄せる。
㋐たぐり寄せる。「網を—・く」
㋑手前に動かす。「サイドブレーキを—・く」
㋒矢を射放つ。「弓を—・く」
㋓（根差したものを）抜き取る。「草を—・く」
㋔（勝運などを託して）一つを選んで手もとに取る。「くじを—・く」「花を—・く」
㋕除き去る。減ずる。「三から二を—・く」「一割—・いて安く売る」
㋖こっそり盗み去る。「猫に魚を—・かれた」
㋗（ふつう「弾く」と書く）弦楽器や鍵盤楽器を鳴らす。弾じる。「ピアノを—・く」
２引き寄せ操って目ざす所に伴う。
㋐（引き綱を取って）連れ出す。「犬を—・いて散歩する」
㋑連行する。引き立てる。「警察に—・かれる」
㋒（手を取って）導き行く。「子供の手を—・く」
㋓（長い物が）地面などに触れたまま従い動く。引きずる。「裾が—・いている」「たもとを—・く」
㋔後ろに連結して運ぶ。「犬ぞりを—・く」「荷車を—・く」
㋕誘い込む。「客を—・く」「—・く手あまた」
㋖（「惹く」とも書く）人の注意や関心を向けさせる。「同情を—・く」「気を—・くしぐさ」「目を—・く広告」
㋗書物を繰って求める語を探し出す。「辞書を—・いて調べる」「電話帳を—・く」
㋘例としてあげる。引き合いに出す。「証拠を—・く」「故事を—・く」
㋙肩をもつ。ひいきにする。「派閥で—・いて三役に据える」
３線状に伸ばし延べる。
㋐線で描く。また線を描く。「設計図を—・く」「罫(けい)を—・く」
㋑張り広げる。「カーテンを—・く」
㋒塗り延べる。「油を—・く」「唇に紅を—・く」
㋓延べ広げる。「砂利を—・く」「なだらかな山裾を—・く」
㋔長く伸ばす。「声を—・いて歌う」
㋕糸状のものを生じさせる。「納豆が糸を—・く」
㋖特定の道筋を通じさせる。「バス路線を—・く」「ガスを—・く」「田に水を—・く」
㋗受け継いで伝わり及ぶ。「血筋を—・く」「学統を—・く」
㋘あとに余波が続く。「航跡を—・く」「わだかまりが尾を—・く」
㋙贈り物をする。
「布施に馬を—・き給へりける」〈今鏡・七〉
４出ているものを近づけ寄せる。
㋐自分の側に動かす。「あごを—・く」「右手を先に—・く」
㋑吸いつけようとする働きをもつ。「磁石は鉄を—・く」
㋒体内に吸い込む。「風邪を—・く」「大きく息を—・く」
㋓取りのけて後方にかたづける。「膳を—・く」
㋔後方に退かせる。「敗れて兵を—・く」
㋕（湯をくんで）浴びる。
「御湯—・かせ奉る」〈平家・一〇〉
５（「退く」とも書く）出ているものが遠くへ去る。しりぞく。
㋐向こうへ離れる。「潮が—・く」
㋑元のような状態にもどる。「水が—・く」「熱が—・く」
㋒うせる。なくなる。「痛みが—・く」「血の気が—・く」
㋓縁を切る。関係を断つ。「事件から手を—・く」
㋔引退する。「現役を—・く」「舞台を—・く」
㋕（俗語）相手に関心や興味を持たなくなる。相手から気持ちが離れる。「これを口にすると女性が—・く」→どん引き
６強く押し当てたものでこする。
㋐（ふつう「挽く」と書く）のこぎりや鉋(かんな)で切ったり削ったりする。「のこを—・く」「ろくろで—・く」
㋑（ふつう「碾く」と書く）ひき臼(うす)を回して穀類をすり砕く。「豆を—・く」
㋒（ふつう「轢く」と書く）車輪が人や動物を押しつけて通る。「自動車に—・かれる」
[可能]ひける
［動カ下二］「ひける」の文語形。
[下接句] 後(あと)に引けない・後を引く・一髪千鈞(せんきん)を引く・糸を引く・尾を引く・陰で糸を引く・気を引く・心を引く・潮が引く・袖(そで)を引く・体(たい)を引く・血を引く・血の気(け)が引く・杖(つえ)を曳(ひ)く・手を引く・手薬煉(てぐすね)引く・鼠(ねずみ)が塩を引く・人目を引く・棒を引く・幕を引く・満を引く・身を退(ひ)く・三度(みたび)諫(いさ)めて身を退く・目を引く・湯を引く・弓を引く・我が田へ水を引く</t>
        </is>
      </c>
      <c r="D6030" t="inlineStr">
        <is>
          <t>退くべき；退くしかない；退くまい；退くよう命じ；退くべし</t>
        </is>
      </c>
      <c r="E6030" t="inlineStr">
        <is>
          <t>引退；撤退；非難；辞任；去る</t>
        </is>
      </c>
      <c r="F6030" t="inlineStr">
        <is>
          <t>一歩退く；退くまで国際aマッチ；跳び退く；引き退く；退くしか</t>
        </is>
      </c>
      <c r="H6030" t="n">
        <v>29</v>
      </c>
      <c r="I6030" t="inlineStr">
        <is>
          <t>官職から退いた後は、友人の経済的な援助を支えに生活していたという。；味方が残らず討たれて最後の一人になるまでも決して後へは退きません。；また女優業からは一線を退き、映画やドラマでの復帰はないとしている。；これはお前だけに言っておくが、私は秋の株主総会を最後に社長を退く。；が殆どその時の店の中心であつた彼は単純に身を退くわけには行かなかつた。；どっちかやってもらうまでは、おれはこの部屋を退くわけにはいかない。；二人のまえで霧のようには退かず、間近に寄っても不透明なままだった。；そのために大佐の時に軍を退かなければならなくなつたと言います。；後ろからは教師を前にして一歩も退かない勇士たちの怒号が響いてきた。；進むか退くかどちらかに決定しなければならない問題が其処にあった。；しかし馬車の列の間にはさまれて進むことも退くこともできなかった。；これがわれわれの作戦で、わが軍をわざと退かせておいたわけである。；大榎を背中にして米友はこれより後ろへは一歩も退くことはできぬ。；ペンバートンは最後の抵抗を試みた後、町の周りの塹壕の内側に退いた。；だが、この戦いで木村政彦は謎のKO負けとなり一線を退くこととなる。；ついさっきまで戦っていた日本軍には、一歩も退かない決意が漲っていた。；担当番組の終了により退いた人物や現在も他番組に出演している人物は除く。；その代わり、自分が正しいと思ったら、相手がだれであろうと後へ退くな。；このとき彼等は上からの射撃を浴び、進むも退くも明確な作戦は無かった。；弟であるサー・アーサーもこれを機にインドでの職を退くことにした。；契約延長の際に、2020年限りで現役を退くことを明らかにしている。；六〇・〇五フランでの買手となり得ない所の六〇フランの買い手は退く。；その瞳は恐怖に怯えながらも、一歩も退かないぞ、という意思が見えた。；穏やかな、しかし退かない熱を秘めた声が続き、急に視界が暗くなった。；この戦はそう長くは続かず、いずれどちらかが島から退く外あるまい。；この際、現役を退いていたかつてのエース・パイロットの一部も復帰した。；現在では現役を退いてはいるが、最近までバージニア大学の教授であった。；しかしアカマースを攻撃して戦場から退かせ、また木馬作戦に参加した。；父王がブラジルに戻れば、彼は父を支持して帝位から退こうと考えていた。</t>
        </is>
      </c>
      <c r="J6030">
        <f>HYPERLINK("https://www.weblio.jp/content/退く", "词义详情")</f>
        <v/>
      </c>
      <c r="K6030">
        <f>HYPERLINK("https://yourei.jp/退く", "查看例句")</f>
        <v/>
      </c>
    </row>
    <row r="6031">
      <c r="A6031" t="inlineStr">
        <is>
          <t>得意</t>
        </is>
      </c>
      <c r="B6031" t="inlineStr">
        <is>
          <t>成功</t>
        </is>
      </c>
      <c r="C6031" t="inlineStr">
        <is>
          <t>読み方：とくい
［名・形動］
１自分の思いどおりになって満足していること。「—の絶頂」⇔失意。
２誇らしげなこと。また、そのさま。「—な顔」「—になる」
３最も手なれていて自信があり、じょうずであること。また、そのさま。得手(えて)。「—な競技種目」「—中の—」
４いつも商品を買ってもらったり取引したりする相手。顧客(こかく)。お得意。
５親しい友。
「東山の辺にぞ—はある。いでさらば文をやらう」〈平家・五〉
[派生]とくいがる［動ラ五］とくいげ［形動］とくいさ［名］</t>
        </is>
      </c>
      <c r="D6031" t="inlineStr">
        <is>
          <t>得意そう(3%)；得意先(3%)；得意手；得意様；得意ネタ</t>
        </is>
      </c>
      <c r="E6031" t="inlineStr">
        <is>
          <t>客；誇り；自慢；顧客；お客</t>
        </is>
      </c>
      <c r="F6031" t="inlineStr">
        <is>
          <t>大得意；一番得意；内心得意；不得意；得意がる</t>
        </is>
      </c>
      <c r="G6031" t="inlineStr">
        <is>
          <t>得意げ；得意分野；得意気；得意満面；得意料理</t>
        </is>
      </c>
      <c r="H6031" t="n">
        <v>29</v>
      </c>
      <c r="I6031" t="inlineStr">
        <is>
          <t>それぞれ得意技能や初期の強さが異なり、仲間になる条件も多彩である。；かつては里中が得意とするスカイフォークの習得に挑戦したこともある。；設定上は地上や空中よりも海中で戦うことの方が得意とされている。；本人自らやる作品は派手なミスが多く、決して得意というわけではない。；絵が得意で個展を開いたり、かつて経営していたカフェにも飾っていた。；英語以外にも、手芸が得意であり、娘のおもちゃも自ら作るほどである。；南名義では少年向け冒険小説を多数執筆、特に秘境冒険物を得意とした。；他にジャイアント馬場直伝の抱え式バックドロップも得意技としていた。；運動も得意であり、学校の外では「広場の王様」とあだ名されたという。；スピード戦を得意とし、鎖でつながれた2本のトマホークを武器とする。；アクロバティックなプレーが得意で当時のブラジルの最高の人気選手となった。；道具を探すのが得意で見つけにくい所でも簡単に見つけてしまう。；編集でも、過去の映像素材を効果的に挿入することも得意としている。；本人によるとピローニの事故に遭遇するまでは、雨の方が得意だった。；魔法をテーマとした子ども向けのファンタジー小説を得意とした。；しかしこの王は策略と戦争は得意で、ローマはさらに領土を広げた。；今ではある程度得意であるが、意外にもデビュー当時は英語が苦手だった。；またアフォリズムの制作も得意としており、漢文などにも通じていた。；やり投を得意としていたがクレメンテ本人によると母親譲りだという。；また日常の不安を形にしたような寓意的な作品も得意とする。；水辺の生活に適応しており、泳ぎが得意で5分以上潜水することもある。；得意とする早口言葉は9歳のころに祖父に教わったものと語っている。；フランス語が得意で、全編フランス語の映画に出演したこともある。；初代と異なり光線は発射できないが、角を使った突進攻撃などを得意とする。；兄がB級ライセンスを所持していた影響から自動車の運転を得意としている。；奇襲や夜襲など少ない兵力を有効に活用するゲリラ的戦術を得意とした。；イラストが得意なため、趣味・特技にこれを挙げている程である。；グールドは、複雑なものを複雑なまま説明することを得意とした。；猛烈な攻めの棋風の若き日の塚田泰明九段が得意にしていた形でもあった。</t>
        </is>
      </c>
      <c r="J6031">
        <f>HYPERLINK("https://www.weblio.jp/content/得意", "词义详情")</f>
        <v/>
      </c>
      <c r="K6031">
        <f>HYPERLINK("https://yourei.jp/得意", "查看例句")</f>
        <v/>
      </c>
    </row>
    <row r="6032">
      <c r="A6032" t="inlineStr">
        <is>
          <t>得意先</t>
        </is>
      </c>
      <c r="B6032" t="inlineStr">
        <is>
          <t>成功</t>
        </is>
      </c>
      <c r="C6032" t="inlineStr">
        <is>
          <t>読み方：とくいさき
いつも品物を買ってくれる客。また、ふだん取引する相手。取引先。顧客(こかく)。「—をまわる」</t>
        </is>
      </c>
      <c r="D6032" t="inlineStr">
        <is>
          <t>得意先係；得意先勘定</t>
        </is>
      </c>
      <c r="E6032" t="inlineStr">
        <is>
          <t>客；得意；顧客；お客；クライアント</t>
        </is>
      </c>
      <c r="F6032" t="inlineStr">
        <is>
          <t>大得意先</t>
        </is>
      </c>
      <c r="H6032" t="n">
        <v>29</v>
      </c>
      <c r="I6032" t="inlineStr">
        <is>
          <t>すぐ近くの別の得意先にいてはってんけど、携帯鳴らして連絡とったよ。；販売網も特に戦前からの得意先が復興し全国的な販売網も完成しつつあった。；百五十軒の得意先を得ることなど、すぐに出来るような予感がいたします。；得意先の社員のつまらない冗談を聞いて、愛想笑いを返したりする時だ。；これは相手が上司だけに限らず、同僚や部下、得意先でも同じことです。；その様子を満足そうに眺めていたのは、弥吉の得意先である蘇我屋だった。；川崎造船所は得意先の海軍の要望だからと、注文通り地下道を建設した。；彼のほうも、私をただの得意先の事務員以上にはみなしていなかった。；昼食代は外まわりの仕事が多いので、得意先でご馳走になることもある。；たいていは得意先が存在し、ある特定のコミュニティにのみ依頼されている。；わては、これから得意先へ植木を持って行て、ちょっとかかりまんね。；仕事の得意先に行くついでとか言ってっけど、あれは絶対、嘘っすね。；おまえさん、もう他人にとられた得意先を取り返すだけの腕ァないのかい?；唯一の得意先であった足尾の方へ荷物を運ぶ馬も今は何ほども立たなかった。；何度か得意先と喧嘩した末に、細工場をこわして庭にしてしまった。；たぶん、お得意先の人の全部が、いまのことで適当に驚いてくれたにちがいない。；武器輸出の得意先であるインドから不興を買うのを恐れたためといわれている。；得意先が出来ると毎日御用聴きに廻るところは、院外の商売と似てゐる。；寒河江よりは米沢のほうが人口もはるかに上だし、得意先も多いはずである。；わしは得意先へ植木を持って行くような顔して、ポイと表へ出るわ。；どうやら、やつは同様のお得意先を何人も持っているらしい。；その日彼は得意先の課長の家に小用があって、新宿から私鉄に乗った。；世間の例によらない商売の仕様をするので、お得意先に御不便なこともあろう。；川野さんはよく働くので、彼女を指名してくる得意先が多かった。；得意先の所思を気にする様子が不安そうな目の色に見えた。；得意先のゴキゲンとりに、山へついていったのがきっかけでした。；得意先の業務部長が入院していて、その病気見舞いが目的でした。；得意先も増えて、先行きを心配する必要もないといったところらしい。；得意先の小母さんが集金に行った保郎をからかって言ったこともある。</t>
        </is>
      </c>
      <c r="J6032">
        <f>HYPERLINK("https://www.weblio.jp/content/得意先", "词义详情")</f>
        <v/>
      </c>
      <c r="K6032">
        <f>HYPERLINK("https://yourei.jp/得意先", "查看例句")</f>
        <v/>
      </c>
    </row>
    <row r="6033">
      <c r="A6033" t="inlineStr">
        <is>
          <t>特技</t>
        </is>
      </c>
      <c r="B6033" t="inlineStr">
        <is>
          <t>成功</t>
        </is>
      </c>
      <c r="C6033" t="inlineStr">
        <is>
          <t>読み方：とくぎ
特別の技能。「—を生かす」</t>
        </is>
      </c>
      <c r="D6033" t="inlineStr">
        <is>
          <t>特技プロ</t>
        </is>
      </c>
      <c r="E6033" t="inlineStr">
        <is>
          <t>長所；特長；強み；取り柄；得手</t>
        </is>
      </c>
      <c r="G6033" t="inlineStr">
        <is>
          <t>特技兵；特技発動</t>
        </is>
      </c>
      <c r="H6033" t="n">
        <v>29</v>
      </c>
      <c r="I6033" t="inlineStr">
        <is>
          <t>クラシック・バレエを特技としており、映画の中でもその姿が見られる。；特技は第3版以降において登場する要素で、古いルールには見られない。；特技拡大を受けた場合以前の職種は順次技術レベルを格下げされていく。；作曲が特技であり、趣味で作った歌を自身のサイトで公開している。；味方ユニットの中では主人公のみが使うことの出来る特殊な特技。；多彩な趣味・特技を持ちいろいろなことにチャレンジしている女性である。；また、覚えた特技を使うことでも各教科の経験値が増えるようになった。；TBSはかなり早い段階で、4つの条件を円谷特技プロに提示している。；通常の特技と違い、フィールド単位であり味方ユニット全てに効果がある。；近藤同様に口に拳を入れる特技を持っており、各作品で披露している。；この他上記特技を保有しながら電子戦や映像写真業務に特化した隊員もいる。；運動神経の良さは父親譲りで、スポーツ全般を自身の特技に挙げている。；イラストが得意なため、趣味・特技にこれを挙げている程である。；特技は野球で、2006年には千葉熱血MAKINGにも所属していた。；趣味は探し中、特技は驚くほど寝つきがいいことを挙げている。；性格については、特技以前にハンデを必ずもっているように設定している。；さらにカードによっては、戦闘を有利に進められる「特技」が存在する。；特に海曹士はこの主特技を軸に自衛官として勤務していくこととなる。；音楽、美術などの特技に優れた実績を上げた学生のための特技者選考がある。；趣味・特技としてサッカーやフットサル、ダンスをそれぞれ挙げている。；特技には料理とイラスト、趣味には観劇と読書をそれぞれ挙げている。；特技は童歌が歌えることで、かなりのレパートリーをもっているという。；また達成値も特技によって上昇させる事が可能となっている。；戦闘で主人公達は魔法の代わりに特技を使って戦う。；趣味・特技のひとつに料理があり、プロ級の腕前を持っていた。；後述する特技の中には、これらの状態を解除できるものや直接攻撃できるものがある。；後に一部の呪文や特技がゲーム作品にフィードバックするものも生まれた。；しかしスズムシのようにこの特技を持ち合わせていないものもいる。；特技はその場で披露できるものは、その時に見せたりする。</t>
        </is>
      </c>
      <c r="J6033">
        <f>HYPERLINK("https://www.weblio.jp/content/特技", "词义详情")</f>
        <v/>
      </c>
      <c r="K6033">
        <f>HYPERLINK("https://yourei.jp/特技", "查看例句")</f>
        <v/>
      </c>
    </row>
    <row r="6034">
      <c r="A6034" t="inlineStr">
        <is>
          <t>独裁</t>
        </is>
      </c>
      <c r="B6034" t="inlineStr">
        <is>
          <t>成功</t>
        </is>
      </c>
      <c r="C6034" t="inlineStr">
        <is>
          <t>読み方：どくさい
［名］(スル)
１独断で物事を決めること。「社長が—する」
２特定の個人・集団または階級が全権力を握り、支配すること。「—者」</t>
        </is>
      </c>
      <c r="D6034" t="inlineStr">
        <is>
          <t>独裁的(13%)；独裁者(10%)；独裁権力(3%)；独裁化(2%)；独裁色</t>
        </is>
      </c>
      <c r="F6034" t="inlineStr">
        <is>
          <t>独裁政治；フランコ独裁；個人独裁；独裁支配；完全な独裁</t>
        </is>
      </c>
      <c r="G6034" t="inlineStr">
        <is>
          <t>独裁政；独裁官；独裁体制；独裁政治；独裁的</t>
        </is>
      </c>
      <c r="H6034" t="n">
        <v>29</v>
      </c>
      <c r="I6034" t="inlineStr">
        <is>
          <t>この概念は、この上位に強力で独裁的な国家が存在することを主張した。；ヒトラーは政権を握った際、自らに独裁権を与えることを主張していた。；新しい議会は独裁的な指導者に強く反対する信条の人々で構成されていた。；さぶちゃんは村の子供達の総大将となって学校への往復を独裁していた。；今日の世界の不幸は独裁政治であるというよりも政治の独裁である。；戦争の危機を前にして政治の独裁は強化されるばかりである。；そのため、ラナ家による独裁を維持しようとする弟たちと軋轢が生じた。；国内政策では幕府独裁の継続、外交政策では開国路線の継続を指向した。；どちらか一方だけだと、小独裁者の専制になってかえって結果は良いのだが。；必ず当時の支配階級の文化が、独裁的な形態をとって現れるのが常である。；同時に、独裁的なアルベルト・フジモリ政権への評価や批判を発信した。；敵は法律に基づいて独裁機関に捕らえられるかもしれないし、そうすべきだ。；長期に亘る独裁に反対していた多くの人々はこの出来事を歓迎した。；ここに出てくるシランは将来現れる世界的な独裁者と解釈されることがままあった。；なぜ、ヒットラーはこれほどにも強大な独裁者となりえたのだろうか?；洪武帝は独裁権力の確立を目指し中書省を廃止して六部を直属とした。；これらには独裁の犠牲者を悼み、犯行者を処罰することも含まれていた。；この夫人に近づいた者が、みな彼女の独裁下におかれるのも、無理のないことだ。；このときのサンタ・アナの政権は彼の初めての政権よりもいっそう独裁的であった。；ロングの社会改革は大きな人気を集めたが、独裁の傾向にあることを批判された。；同年にチャベスが自らの独裁権強化を狙って実施したの際にも反対運動を行った。；民意が国民党の独裁に反対し、民主化を求めていることが明瞭になった。；落ちた家は、マンチキンたちを独裁していた東の悪い魔女を圧死させる。；司法面では最高裁判所や高等裁判所を設置することで総督の独裁を制限した。；非独裁性が成り立つのは超フィルター が自由になるちょうどその時である。；ポンペイウスを倒して独裁権力を揮ったが、ブルートゥスに暗殺された。；川淵の運営手腕は独裁的であるとの批判が週刊誌などでなされることがある。；彼は理想をロマンチックな社会主義からより独裁的な政策に変えた。；独裁がこの具体的例外性をうしなえば、専制政治に転化することになる。</t>
        </is>
      </c>
      <c r="J6034">
        <f>HYPERLINK("https://www.weblio.jp/content/独裁", "词义详情")</f>
        <v/>
      </c>
      <c r="K6034">
        <f>HYPERLINK("https://yourei.jp/独裁", "查看例句")</f>
        <v/>
      </c>
    </row>
    <row r="6035">
      <c r="A6035" t="inlineStr">
        <is>
          <t>特産</t>
        </is>
      </c>
      <c r="B6035" t="inlineStr">
        <is>
          <t>成功</t>
        </is>
      </c>
      <c r="C6035" t="inlineStr">
        <is>
          <t>読み方：とくさん
特にその土地や地方で産出すること。また、その産物。「—品」</t>
        </is>
      </c>
      <c r="D6035" t="inlineStr">
        <is>
          <t>特産野菜；特産化；特産品等；特産館；特産課長</t>
        </is>
      </c>
      <c r="F6035" t="inlineStr">
        <is>
          <t>日本特産；地元特産；地方特産；地域特産；殖産局特産</t>
        </is>
      </c>
      <c r="G6035" t="inlineStr">
        <is>
          <t>特産物；特産種；特産松阪牛</t>
        </is>
      </c>
      <c r="H6035" t="n">
        <v>29</v>
      </c>
      <c r="I6035" t="inlineStr">
        <is>
          <t>その地方の特産の酒等の消費拡大と文化の発展を目的とした条例である。；なぜなれば日本のカエデは日本の特産で絶えて中国にはないからである。；各国の料理は、それぞれの国特産の酒が合うというのが私の持論である。；主要な登場人物は全員とも香川県の特産であるうどんを好物としている。；イチゴ狩り体験や特産の松阪牛を提供するレストラン等の施設を有する。；高級なものにはしばしばハワイ特産のコアの木が材料として用いられる。；ロビーの床には特産の本小松石を用いるなど建物自体の設計もシンプル。；特産の生薬である天麻もスープなどの料理に取り入れられる場合がある。；そんなある日、彼は議場にカルタゴの特産であるイチジクを持ってきた。；夜光杯は、玉で作られた杯であり、中国甘粛省酒泉の特産の一つである。；キャンプ用の建物には岐阜県郡上市特産である木が使用されている。；代表的な物にフランスのシャンパーニュ地方特産のシャンパンがある。。；いわゆる「麦藁手」といわれるものの一つで、品野の特産でありました。；天栄村は、ヤーコンが特産で、東京等でPR活動を実施したりしている。；一地方の特産を持つ人は誰しも初めはこの考えを持つらしい。；私はここで出来る特産のものを語らねばなりません。；桜桃は中国の特産で日本にはない一つの果樹であって花木ではない。；地方特産の在来種の数も多く、小カブ以外は周年生産されていない。；インド特産の白いチーズ菓子に点々とゴマのようなものがまぶしてある。；この品種は東京特産の伝統野菜として、江戸東京野菜に認定されている。；積雪量の多い日本海側の山地に広く分布する日本の特産で、変種が多い。；これに比較さるべき唯一の芸術形式は東洋日本の特産たる俳諧連句である。；そして日本のヒルガオは日本の特産で大陸にはなく、したがって中国にも産しない。；使いよい品なので、この町の特産として名を広めたのは当然であるといえましょう。；ベルギーでは様々な特産のエールが生産され、簡単に分類することは困難である。；これはオスナブリュック地域特産の小さなパンで、この地域でのみ提供されている。；アンプルダではこの時期から両品種を用いた甘口ワインが特産だった。；これは中国の特産であって、日本には見ることがない。；町の特産であるサトウキビと、伝統文化である闘牛がデザインされている。</t>
        </is>
      </c>
      <c r="J6035">
        <f>HYPERLINK("https://www.weblio.jp/content/特産", "词义详情")</f>
        <v/>
      </c>
      <c r="K6035">
        <f>HYPERLINK("https://yourei.jp/特産", "查看例句")</f>
        <v/>
      </c>
    </row>
    <row r="6036">
      <c r="A6036" t="inlineStr">
        <is>
          <t>独自</t>
        </is>
      </c>
      <c r="B6036" t="inlineStr">
        <is>
          <t>成功</t>
        </is>
      </c>
      <c r="C6036" t="inlineStr">
        <is>
          <t>読み方：どくじ
［名・形動］
１他とは関係なく自分ひとりであること。また、そのさま。「—に開発した技術」
２他と違って、そのものだけにあること。また、そのさま。独特。特有。「—な（の）文体」</t>
        </is>
      </c>
      <c r="D6036" t="inlineStr">
        <is>
          <t>独自開発；独自路線；独自色；独自候補；独自仕様</t>
        </is>
      </c>
      <c r="E6036" t="inlineStr">
        <is>
          <t>特別；特定；特殊；オリジナル；独特</t>
        </is>
      </c>
      <c r="F6036" t="inlineStr">
        <is>
          <t>それぞれ独自；本作独自；番組独自；独自の改良型；独自候補擁立</t>
        </is>
      </c>
      <c r="G6036" t="inlineStr">
        <is>
          <t>独自の研究；独自規格；独自調査；独自研究；独自取材</t>
        </is>
      </c>
      <c r="H6036" t="n">
        <v>29</v>
      </c>
      <c r="I6036" t="inlineStr">
        <is>
          <t>しばらくはソ連との結びつきの強い高崗が独自の地方運営を行っていた。；形状が日本列島に似ており、独自の文化が発達しているといわれている。；周が混乱の時代を迎えると、漢字は各地で独自の発展をすることになる。；特に後者の件はソビエト連邦のも独自に発見しており、と呼ばれている。；このようにして、独自アーキテクチャの維持に次第に限界が見えてきた。；このプログラムはアフリカ人・中国人学者の独自基準で定義されている。；小説では原作ゲームとは異なる、独自の展開・設定がなされている。；しかし、後には独自の拡張・工夫が、特に効率の面で多くなされている。；民俗学が独自の領域と主張を持つための下準備を着々と進めていった。；本作品では、過去のシリーズとは異なる独自の要素が多く見られる。；平成時代に日本は独自で軍事的に再び海外に進出するようになった。；一般的な用語もあるが、燃料電池だけの独自の意味を持つものもある。；製品としては各メーカーが独自の名称、ランク付けを用いて表記される。；その他、北部や南部には独自の文化を持つ少数民族の存在が確認されている。；シティは女王の承認を得ていない唯一の自治体であり、独自の警察を有する。；教育用には独自に簡易ネットワークシステムまで構築して利用していた例もある。；このような道路の制度は日本独自のもので通行権の制限がある。；アーミッシュでは独自の農業を行いほぼ完全な自給自足の生活を送っている。；ロンドンの特別区は独自に世界の地域と姉妹都市の関係を結んでいる。；しかし江戸時代後期以降、これらにも独自の文字を割当てる動きが見られた。；その他、その医師の独自の考え方により特殊な治療法が実施されることもある。；軍人将棋には様々なバリエーションがあり、独自の駒を含むものも多い。；それまでは各藩ごとに独自の教育制度があったが地域差が大きかった。；ただし、一部の国や地域では、独自の観点から広軌を導入したところもある。；地方には独自のブランドをもった味付けジンギスカンのメーカーが存在する。；PCM音源は楽器メーカーによって独自の名称が用いられることがある。；ここでは本作オリジナルや独自色の強いものについて記述する。；西武鉄道では一部の駅をのぞいて独自の発車メロディを使用している。；それら日本独自とも言える特徴は以下の通りである。</t>
        </is>
      </c>
      <c r="J6036">
        <f>HYPERLINK("https://www.weblio.jp/content/独自", "词义详情")</f>
        <v/>
      </c>
      <c r="K6036">
        <f>HYPERLINK("https://yourei.jp/独自", "查看例句")</f>
        <v/>
      </c>
    </row>
    <row r="6037">
      <c r="A6037" t="inlineStr">
        <is>
          <t>読者</t>
        </is>
      </c>
      <c r="B6037" t="inlineStr">
        <is>
          <t>成功</t>
        </is>
      </c>
      <c r="C6037" t="inlineStr">
        <is>
          <t>読み方：どくしゃ
新聞・雑誌・書物などを購読する人。読み手。「—欄」</t>
        </is>
      </c>
      <c r="D6037" t="inlineStr">
        <is>
          <t>読者諸君(3%)；読者投票；読者諸氏；読者コーナー；読者諸賢</t>
        </is>
      </c>
      <c r="F6037" t="inlineStr">
        <is>
          <t>一般読者；若い読者；女性読者；男性読者；熱心な読者</t>
        </is>
      </c>
      <c r="H6037" t="n">
        <v>29</v>
      </c>
      <c r="I6037" t="inlineStr">
        <is>
          <t>が、自分はただこの書を読者諸君に推薦し得たことに満足して筆を擱く。；日本では教養・思想面の著作翻訳が多く出版され、広く読者を得ている。；また、読者からの手紙・質問にはほとんど返答を出すことでも知られる。；少女小説とは、少女を読者対象として想定して書かれた小説作品のこと。；ウェブスターの悲劇作品は人間の恐ろしいまでの像を読者に示している。；主に読者から公募された詰将棋の問題と解答・解説から構成されている。；百座のうち自分がいくつ登ったか増えていくのを楽しみにしている読者もいる。；著書は企業内の抗争を解き明かしたものが多く、多くの読者を獲得した。；十代の読者を対象に書かれた著者の唯一のファンタジー・ノベルである。；それらに影響された読者がサークルを作って活動している者も多くみられる。；週刊ベースボール内の読者に技術指導をするコーナーを担当していた。；そして、この記事を直接見た読者の声が紙面に掲載されることもある。；このような小説もまた若い読者たちによろこばれるのだと思っているからである。；それまでに僕は必ずしも堀辰雄のいい読者であったとは言えない。；光が新たに生まれた国の名付けを読者に委ねるシーンで物語は幕を閉じる。；若い読者たちのあいだでは『赤と黒』を取る人のほうが多いかもしれない。；私はあなたの一番いい読者になりたいと思っております。；それが、彼の読者の多くにこれらの分野に関心を持たせるきっかけともなった。；これは、読者より寄せられた告白体験をまとめたと称する書籍である。；江口も何人かの読者が本作に影響され女装を始めたと報告している。；私は、いまの世の中の若い読者たちが、案外に老人であることを知っている。；しかし実際には少女読者の人気を獲得していくこととなった。；初めて掲載された時は、このキャラクターを考えた読者の氏名が発表された。；項目読者のために、メディアなどが使用している代表的な読み方を掲載した。；対象年齢別に種類がわかれており、読者の成長に合わせた内容が選べる。；そのためか漢詩にある種の優美さを求める日本の読者にはあまり人気がない。；一つだけ言っておくが、新聞は読者なんか信用してないんだ。；選考年の前年に発行され、読者・選考委員から推薦された単行本が対象。；しかし、次第に『サファイア』の読者からは批判の声が上がっていった。</t>
        </is>
      </c>
      <c r="J6037">
        <f>HYPERLINK("https://www.weblio.jp/content/読者", "词义详情")</f>
        <v/>
      </c>
      <c r="K6037">
        <f>HYPERLINK("https://yourei.jp/読者", "查看例句")</f>
        <v/>
      </c>
    </row>
    <row r="6038">
      <c r="A6038" t="inlineStr">
        <is>
          <t>特殊</t>
        </is>
      </c>
      <c r="B6038" t="inlineStr">
        <is>
          <t>成功</t>
        </is>
      </c>
      <c r="C6038" t="inlineStr">
        <is>
          <t>読み方：とくしゅ
［名・形動］
１性質・内容などが、他と著しく異なること。また、そのさま。特異。「—な細菌」「—な事件」
２機能・用途・目的などが限られること。専門・専用であること。また、そのさま。特別。「—な技能」「—な装置」
３限られた範囲のものにしかあてはまらないこと。また、そのさま。「—な原理」⇔普遍。
４論理学で、個別を下位に、普遍を上位にもつ概念。例えば、「ソクラテス」（個別）と「人類」（普遍）に対する「ギリシャ人」。</t>
        </is>
      </c>
      <c r="D6038" t="inlineStr">
        <is>
          <t>特殊化；特殊な能力；特殊な例；特殊任務；特殊潜航艇</t>
        </is>
      </c>
      <c r="E6038" t="inlineStr">
        <is>
          <t>特別；独自；特定；異常；独特</t>
        </is>
      </c>
      <c r="F6038" t="inlineStr">
        <is>
          <t>特殊武器；特殊事情；特殊用途；特殊兵器；特殊鋳鉄制輪子</t>
        </is>
      </c>
      <c r="G6038" t="inlineStr">
        <is>
          <t>特殊能力；特殊効果；特殊性；特殊鋼；特殊法人</t>
        </is>
      </c>
      <c r="H6038" t="n">
        <v>29</v>
      </c>
      <c r="I6038" t="inlineStr">
        <is>
          <t>超能力は、通常の人間にはできないことを実現できる特殊な能力のこと。；古代王国の後期には、魔法に力により幾多の特殊な都市が作られている。；やや特殊ながら、ほとんど全人類に共通の好意的な挨拶を紹介しておく。；これらの多くはリモートセンシングなど特殊な分野で利用されている。；また、特殊な形をした数に対してはより高速なアルゴリズムも存在する。；回転靴製法は現代でもダンス用など一部の特殊な靴に使われている。；灰皿は陶製の物であるが、木枠に入っているなど特殊な形状をしている。；また、男性用の貞操帯は陰茎を覆うための特殊な構造をもつ場合がある。；この傾向は先進国においては報告されておらず、世界的には特殊である。；これらの資金はメフォ手形などの手形を利用する特殊なものであった。；彼らの中には、特殊な戦闘技術を発達させ、忍者集団となったものもいる。；ドイツの特殊潜航艇は日本のそれよりも小型で、一人乗りのものが多かった。；そのためにウイルスのみを特別に扱う特殊な実験系が必要となる。；特殊なものでは、燃焼によって発生する光や煙を利用するものがある。；泥や砂の上で暮らすものは、やや特殊な形の腹足を持つ例がある。；なお、門跡寺院の歴史の中で特殊な地位を占める存在に本願寺がある。；物語性が非常に強く、擬音を用いるなど地歌では特殊なジャンルと言える。；さらにそれらに加えて搭載機の用途に応じた特殊な装置・機構が付随することもある。；特殊な高信頼真空管が使えるようになったのは1948年のことである。；その他、その医師の独自の考え方により特殊な治療法が実施されることもある。；筋細胞と呼ばれる特殊な細胞からできた組織である。；このほかに特別大図や特別小図、特別地域図などといった特殊な地図も存在する。；これにより、新たな操作が可能となり、特殊ケースの関数が不要になる。；そのため円は楕円の特殊な場合であると考えることもできる。；他にも幾つかの管理裁判所や特殊目的裁判所がある。；滑空時に揚力を得るため、特殊素材のだぶだぶの全身スーツを着ている。；ジェットマン各戦士の特性が反映された5機の特殊戦闘機で鳥の頭部を持つ。；データの中には特殊な形式もあって区別される。；これらは、神と人間への愛を完全にするという特殊な慣習的意味を持っている。</t>
        </is>
      </c>
      <c r="J6038">
        <f>HYPERLINK("https://www.weblio.jp/content/特殊", "词义详情")</f>
        <v/>
      </c>
      <c r="K6038">
        <f>HYPERLINK("https://yourei.jp/特殊", "查看例句")</f>
        <v/>
      </c>
    </row>
    <row r="6039">
      <c r="A6039" t="inlineStr">
        <is>
          <t>特集</t>
        </is>
      </c>
      <c r="B6039" t="inlineStr">
        <is>
          <t>成功</t>
        </is>
      </c>
      <c r="C6039" t="inlineStr">
        <is>
          <t>読み方：とくしゅう
［名］(スル)新聞・雑誌やラジオ・テレビなどで、特定の事件や問題をとりあげて編集したり放送したりすること。また、その記事・番組など。「核の問題を—する」</t>
        </is>
      </c>
      <c r="D6039" t="inlineStr">
        <is>
          <t>特集号(5%)；特集コーナー(2%)；特集上映(2%)；特集企画；特集ページ</t>
        </is>
      </c>
      <c r="E6039" t="inlineStr">
        <is>
          <t>カバーストーリー；特集記事</t>
        </is>
      </c>
      <c r="F6039" t="inlineStr">
        <is>
          <t>巻頭特集；大特集；監督特集；記念特集；セックス特集</t>
        </is>
      </c>
      <c r="G6039" t="inlineStr">
        <is>
          <t>特集番組；特集みんなのうた</t>
        </is>
      </c>
      <c r="H6039" t="n">
        <v>29</v>
      </c>
      <c r="I6039" t="inlineStr">
        <is>
          <t>近年では、作家・作品論を総特集した臨時増刊号も多く発行されている。；山梨県の1日の様々な出来事を記者リポートや特集を中心に伝えている。；美容整形を受け、人生が変わったという女性達を特集する番組さえある。；春先に人気企画である日本酒関連、夏にはカレー特集を組むことが多い。；主に滋賀県内で起きた出来事に関するニュースや特集を中心に放送される。；転じて新聞などの「特集」、映画などの「主演」を意味することもある。；特集企画の場合は、関東以外の地域でも出演することがあった。；紙面の特集項目に存在する刊行書籍の書評を、高く評価する人がいる。；また、近年は関係の論文誌で論文特集号が組まれるようになっている。；特集として放送される場合もレギュラー放送と同様の時間となる。；また、基本的にその号の特集に関連した場所で撮影していた。；雑誌の特集が殺到し、テレビ、ラジオ出演の他、雑誌、新聞の連載多数。；また新宿を特集した際、取材中に自殺事件の現場に遭遇したこともあった。；番組は岐阜県内のニュースを伝えていたほか、日替わりで特集を放送。；そのため特集など一部のコーナーが放送されなくなった。；また県内各地の風土や地域文化を取り上げた特集も多数制作していた。；特集などの内容次第では時間が変更になる場合がある。；また、夕方の報道番組の中でも、十数分程度の特集を不定期に行っている。；又、大きなニュースや特集がある時は各曜日のコーナーを放送しない場合もある。；また特集で放送された項目は一部がTBSニュースバード経由でも全国配信されている。；また週1回には雑誌・ストライカー編集部を結んでの特集を放送したこともあった。；月曜特集は企業経営者へのインタビューで、2004年9月まで続いた。；月替わりだが、同じ作家の特集号が年に何度も組まれることもある。；この頃は特集だけでなく、土曜日夕方のストレートニュースも伝えていた。；近年は雑誌などの特集により、その膨大な作品群を再評価する動きが出ている。；このコーナーで特集した小島よしおがブームとなり、初回から連続出場。；第1期の終わりに刊行されたCOM特集号はとりわけ力のこもった号となった。；後にアームズマガジンなどでは本作の武器特集が組まれる事となる。；当時は中学2年生であり、子供向け雑誌で特集され話題を呼んだ。</t>
        </is>
      </c>
      <c r="J6039">
        <f>HYPERLINK("https://www.weblio.jp/content/特集", "词义详情")</f>
        <v/>
      </c>
      <c r="K6039">
        <f>HYPERLINK("https://yourei.jp/特集", "查看例句")</f>
        <v/>
      </c>
    </row>
    <row r="6040">
      <c r="A6040" t="inlineStr">
        <is>
          <t>読書</t>
        </is>
      </c>
      <c r="B6040" t="inlineStr">
        <is>
          <t>成功</t>
        </is>
      </c>
      <c r="C6040" t="inlineStr">
        <is>
          <t>読み方：どくしょ
［名］(スル)《古くは「とくしょ」》本を読むこと。「日がな一日—する」「—家」
[補説]作品名別項。→読書</t>
        </is>
      </c>
      <c r="D6040" t="inlineStr">
        <is>
          <t>読書好き(2%)；読書室(2%)；読書界；読書力；読書家</t>
        </is>
      </c>
      <c r="E6040" t="inlineStr">
        <is>
          <t>読；閲覧；読むこと；拝見；リーディング</t>
        </is>
      </c>
      <c r="F6040" t="inlineStr">
        <is>
          <t>読書欲；読書体験；読書推進；読書グループ；読書指導</t>
        </is>
      </c>
      <c r="G6040" t="inlineStr">
        <is>
          <t>読書家；読書感想文；読書人；読書の時間；読書三昧</t>
        </is>
      </c>
      <c r="H6040" t="n">
        <v>29</v>
      </c>
      <c r="I6040" t="inlineStr">
        <is>
          <t>屋外に出ることはなく、子供時代は読書と絵を描くことに関心があった。；このような絵は読書をよくし、しかも画をよくする者でないと描けない。；小さいころから科学へ興味を抱き、多くのことを読書により学んでいた。；これらの本が語るものが、私が読書に求めているものではないことが。；子供のころは、大の読書好きで、特に菊池寛の小説が好きだったという。；授業は小規模で読書室を利用していた生徒と知り合うように努力した。；今日では、この装置は読書速度の向上や視力検査のために用いられている。；読書活動推進にも力を入れていて、ビブリオバトルにも取り組んでいる。；多くの読書経験のある人は当然としてやっていることである。；子供の頃から絵を描くことが好きで、絵画と読書が趣味であった。；読書室は腰の高さからなるガラスの壁によってよく見えるように分けられている。；この日には各地で、本や読書に関連したイベントが開催される。；長じてからも数学書や歴史書を好み、車を運転しながら読書することもあった。；両親が本を読むことを習慣にしていたため、子供の頃から自然と読書をするようになった。；父親の為吉は商人には珍しく読書好きな人物で、熱心な仏教徒だった。；若い頃より読書を好み六書を中心に経学を博く学び、その文才を示した。；大変な読書家であり、部屋の棚には世界中にある難解な本が数多く置かれている。；読書のために光が44のベネチア様式の窓から入って来るように設計されている。；特技には料理とイラスト、趣味には観劇と読書をそれぞれ挙げている。；若い頃から読書が一番の楽しみであったので大きな決断だった。；この子は親から何も言われなくても、読書、宿題、ピアノの練習をしていた。；ただ彼は読書好きであり、様々な職に身を投じながらも学業に励んだ。；読書にも運動にも興味がない子供だったが、10代になると突然活発になった。；ベッドでのふたりは、口論を繰り返し、それぞれ読書をするのだった。；彼は大変な読書家で、兵法書や軍事史の知識をことごとく習得したという。；普通の高校生であるデイヴィッドは、読書好きの目立たない青年だった。；この読書発電所は日本発送電を経て1951年に関西電力へ継承された。；幼少時代は読書に否定的な両親のもとで、横溝正史などを隠れて読み育った。；兵役の間に読書に目覚め、自身でも小説を書いて雑誌に投稿し始める。</t>
        </is>
      </c>
      <c r="J6040">
        <f>HYPERLINK("https://www.weblio.jp/content/読書", "词义详情")</f>
        <v/>
      </c>
      <c r="K6040">
        <f>HYPERLINK("https://yourei.jp/読書", "查看例句")</f>
        <v/>
      </c>
    </row>
    <row r="6041">
      <c r="A6041" t="inlineStr">
        <is>
          <t>特色</t>
        </is>
      </c>
      <c r="B6041" t="inlineStr">
        <is>
          <t>成功</t>
        </is>
      </c>
      <c r="C6041" t="inlineStr">
        <is>
          <t>読み方：とくしょく
１他と特に異なっているところ。他のものよりすぐれて目立つ点。「—のある大学」「地方の—を出す」
２⇒スポットカラー
→特長［用法］</t>
        </is>
      </c>
      <c r="D6041" t="inlineStr">
        <is>
          <t>特色づける；特色づけられ；特色づくり；特色選抜；特色印刷</t>
        </is>
      </c>
      <c r="E6041" t="inlineStr">
        <is>
          <t>性；特徴；性格；性質；特性</t>
        </is>
      </c>
      <c r="F6041" t="inlineStr">
        <is>
          <t>特色づけ；それぞれ特色；著しい特色；根本特色；顕著な特色</t>
        </is>
      </c>
      <c r="G6041" t="inlineStr">
        <is>
          <t>特色化選抜</t>
        </is>
      </c>
      <c r="H6041" t="n">
        <v>29</v>
      </c>
      <c r="I6041" t="inlineStr">
        <is>
          <t>こうした建築理論が書物によって広く普及したことも大きな特色である。；また、特色が多い場合には 更に小節にして説明することも可能である。；よって、一般的な原則や特色の一覧として定義されることが通常である。；一羽一羽の鳥が実物大の大きさで描かれているのも大きな特色である。；特色はなんと言っても、ほぼ全ての操作をタッチペンで行うことである。；クインジーはいくつかの地区に分けられ、それぞれに歴史や特色がある。；このような気候の特色の点で北海道東部の太平洋側に近い気候と言える。；このように異民族が侵入・支配が続くものの、ローマ人の特色は残った。；宋代話本の特色は白話小説と呼ばれ、白話を用いて描写される点にある。；世界には様々な巡礼があるが、その特色で様々に分類することも可能である。；この頃の忠臣蔵の特色は、天皇制の問題が色濃く反映している事である。；留学や海外経験のある教員が多いことは南山学園の著しい特色と言える。；専用列車の設定が多く、その使用車両にバラエティーがあるのが特色。；雑誌のロゴや吊広告などでよく使用される蛍光ピンクなどは特色である。；なお、全国で唯一練習船を保有しているのが当刑務所の特色である。；日本各地に見られる文化であり、地域の特色の現れた様々な形式のそばが存在する。；郊外型の大型店が増える中、商店街がそのまま残っているのも特色である。；さまざまな毒も存在し、使用を許されているというのも特色である。；この地方の人々はポケモンと自然をとても大切にしているという特色がある。；このような特色と価格帯から、日本車で唯一のスーパーカーと評された。；コース・学年の枠を超えた交流を出来るところが他の高専にはない特色である。；本作品は、他のアドバンスド大戦略シリーズとは異なる以下の特色がある。；ドイツではこの選挙を選帝侯に限定していたことに特色がある。；開業時に蒸気機関車や客車にドイツ製の車両を導入したことが特色である。；土地保有の特色としては自作農が多く、大土地所有は発達していない。；この学校の特色と言えるのは生徒の創意工夫が発揮される校内行事である。；収集品は主に日本・東洋の古美術で、その高い質と幅の広さに特色がある。；この時代の特色は庭に関する著作がたくさん現われたことである。；番組の特色は、当時の歌をオリジナルの歌手で歌わせようとしていることである。</t>
        </is>
      </c>
      <c r="J6041">
        <f>HYPERLINK("https://www.weblio.jp/content/特色", "词义详情")</f>
        <v/>
      </c>
      <c r="K6041">
        <f>HYPERLINK("https://yourei.jp/特色", "查看例句")</f>
        <v/>
      </c>
    </row>
    <row r="6042">
      <c r="A6042" t="inlineStr">
        <is>
          <t>独身</t>
        </is>
      </c>
      <c r="B6042" t="inlineStr">
        <is>
          <t>成功</t>
        </is>
      </c>
      <c r="C6042" t="inlineStr">
        <is>
          <t>読み方：どくしん
１配偶者のいないこと。ひとりもの。ひとりみ。
２ただ一人であること。単独。単身。
「にはかに—の遠行を企つ」〈海道記〉</t>
        </is>
      </c>
      <c r="D6042" t="inlineStr">
        <is>
          <t>独身寮(4%)；独身時代(4%)；独身男(3%)；独身主義；独身女</t>
        </is>
      </c>
      <c r="E6042" t="inlineStr">
        <is>
          <t>独身者；独り身；独り者；バチェラー；チョンガー</t>
        </is>
      </c>
      <c r="F6042" t="inlineStr">
        <is>
          <t>若い独身；長く独身；独身将校；独身最後の夜；独身主義者</t>
        </is>
      </c>
      <c r="G6042" t="inlineStr">
        <is>
          <t>独身生活；独身女性；独身男性；独身貴族；独身制</t>
        </is>
      </c>
      <c r="H6042" t="n">
        <v>29</v>
      </c>
      <c r="I6042" t="inlineStr">
        <is>
          <t>また二階には6つの部屋がある大きなアパートと独身用の部屋があった。；男は著名な会社に務めて地位も上り、今も独身でゐるといふ噂であつた。；独身男から、奥さんが病気だと、電話がかかって来るのもないと限らぬ。；すなわち結婚は、独身のままでいる状態よりも優先されるべきとされる。；軽蔑する所へ行かなければ独身で暮らすよりほかに方法はないんだから。；彼は心中をやりそこねるまでは独身だつたが、その後女房を五人かへた。；独身ならば毎夜のように遊びに行っても一向不審はないと云う事になる。；独身つていふ条件があつたのを、つい、先生にいつとくのを忘れたんだ。；二十八の齢にまでなって夫もなく子供もない独身の身が顧みられました。；一方、郊外では女性が不足していたため農民の一部が独身を強いられていた。；この女が独身の自由な身だったら、彼はこんな女に恋しただろうと思った。；厳格な独身状態にある女子はおそらくほとんどまたは全くいないであろう。；出家者は独身で、財産を持たず、ひとところに居住し続けることもない。；独身を通し、子供がいない彼女は猫とお茶とケーキを愛した生涯を終えた。；一生独身だつた彼の伯母はもう彼の二十歳の時にも六十に近い年よりだつた。；雄は群れを率いて、他の雌が独身の雄に奪われないように群れを守っている。；音子は近年、名の知れた日本画家となっていたが、今も独身のままだった。；子息は、離婚したペソア国家行政相との間に長男がおり、その後は独身。；独身で通してきたが、親密な仲になった女性がいないわけではない。；彼はまだ独身のアパート住いであったが、恋を知らぬ木念仁ではなかった。；若く独身で子どもがいない男性にはこの手術はあまり勧められない。；ほとんどが独身の社会であり、初期中国人は子孫を多く残さなかった。；独身で、現在もノースカロライナ州の小さな町で実家の近くに住んでいる。；一つの意志さへあつたら、結婚しようが独身だらうがさう問題ぢやないと思ふのだ。；生涯を独身で過ごし、財産の大半を30年間仕えた召使に遺したという。；独身でも結婚していても女性の肩には多くの家事負担がのしかかっている。；東京の一等地の超高級マンションに住み、独身だが恋人と同棲している。；そんな折、町に独身の青年資産家ビングリーが別荘を借りて越してきた。；三年近い岸本の独身は決して彼の心を静かにさせては置かなかった。</t>
        </is>
      </c>
      <c r="J6042">
        <f>HYPERLINK("https://www.weblio.jp/content/独身", "词义详情")</f>
        <v/>
      </c>
      <c r="K6042">
        <f>HYPERLINK("https://yourei.jp/独身", "查看例句")</f>
        <v/>
      </c>
    </row>
    <row r="6043">
      <c r="A6043" t="inlineStr">
        <is>
          <t>独占</t>
        </is>
      </c>
      <c r="B6043" t="inlineStr">
        <is>
          <t>成功</t>
        </is>
      </c>
      <c r="C6043" t="inlineStr">
        <is>
          <t>読み方：どくせん
［名］(スル)
１自分ひとりだけのものにすること。ひとりじめ。「人気を—する」
２特定の資本が他の競争者を排除し、生産と市場を支配している状態。</t>
        </is>
      </c>
      <c r="D6043" t="inlineStr">
        <is>
          <t>独占的(12%)；独占する(11%)；独占権(4%)；独占しよ(2%)；独占契約</t>
        </is>
      </c>
      <c r="E6043" t="inlineStr">
        <is>
          <t>専売；独り占め；寡占；壟断；一人占め</t>
        </is>
      </c>
      <c r="F6043" t="inlineStr">
        <is>
          <t>独占供給；除いて独占；貿易独占；独占交渉；独占体制</t>
        </is>
      </c>
      <c r="G6043" t="inlineStr">
        <is>
          <t>独占配信；独占欲；独占資本；独占販売；独占禁止法違反</t>
        </is>
      </c>
      <c r="H6043" t="n">
        <v>29</v>
      </c>
      <c r="I6043" t="inlineStr">
        <is>
          <t>日本では第二次世界大戦前に、電力の供給を独占する体制が形成された。；それまで湖上交通を独占していた駿豆鉄道はこれに反対の立場をとった。；ERPIは大手5スタジオと契約することで市場を独占しようと考えた。；ある地域内における市場占有率を向上させて独占状況を目指す経営手法。；TBSテレビが制作に参加していないライブを独占生中継することもある。；しかし、間もなく兄弟は分割された遺領を独占するために争い始めた。；また、男が独占して焼肉奉行をするなど、食卓には変わった伝統がある。；それまで全ての形態の米の輸入はインド食料公社によって独占されていた。；一方でこの独占は、国からも目をつけられる程のものであった。；無論、企業だけがシャドウランナーの能力を独占しているわけではない。；首里バスとの統合により誕生した同社はその後、長く那覇市内線を独占。；結局は国内の電信企業がイギリスの通信利権を奪い取り独占力を強化した。；マルコーニは明らかにこのことを知っていたが、独占的な特許権を主張した。；集英社との独占契約で約14年執筆した後、他社の雑誌でも活動している。；やImageNetなどAIの世界的な大会でも中国勢が上位を独占している。；一方で高価格帯の市場はヨーロッパがほぼ独占している。；この時期、コーエンは協奏曲の演奏を独占する権利を与えられていた。；そこで事実上の独占を発見する二つの方法が1960年代末に考え出された。；本作からは最多の17作品が選定された他、上位作品もほぼ独占している。；特に後楽園スタヂアムと同社施設の独占中継権を掌握していたのが有利に働いた。；ヴィッカース社は仕事を独占しなければならない理由があった。；頒暦商社は、日本の明治時代初期に官暦の発行を独占的に行っていた組織。；政府は、独占とカルテルの創造を防止する目的で法律を実施してきた。；一年戦争終結後は、その開発者を確保した南洋同盟の独占技術となっている。；これ以降は60数年に渡り特定の一族が政治を独占する時代が続き、士林勢力は消滅する。；高速バスも産交がほぼ独占し、一般道経由の長距離路線もいくつかある。；専用球場の設定、およびそれが所在する都市での営業権の独占が試みられた。；修道士はだんだんに発言権を増していき、高位聖職位を独占するに至る。；英語のmonopolyは一般的な単語であり、独占という意味である。</t>
        </is>
      </c>
      <c r="J6043">
        <f>HYPERLINK("https://www.weblio.jp/content/独占", "词义详情")</f>
        <v/>
      </c>
      <c r="K6043">
        <f>HYPERLINK("https://yourei.jp/独占", "查看例句")</f>
        <v/>
      </c>
    </row>
    <row r="6044">
      <c r="A6044" t="inlineStr">
        <is>
          <t>独創</t>
        </is>
      </c>
      <c r="B6044" t="inlineStr">
        <is>
          <t>成功</t>
        </is>
      </c>
      <c r="C6044" t="inlineStr">
        <is>
          <t>読み方：どくそう
［名］(スル)模倣によらないで、独自の発想でつくりだすこと。また、そのもの。「絣(かすり)の意匠を—する」</t>
        </is>
      </c>
      <c r="D6044" t="inlineStr">
        <is>
          <t>独創的(69%)；独創性(5%)；独創力(3%)</t>
        </is>
      </c>
      <c r="E6044" t="inlineStr">
        <is>
          <t>設置；建設；設立；制作；設定</t>
        </is>
      </c>
      <c r="G6044" t="inlineStr">
        <is>
          <t>独創的；独創性を拓く先端技術大賞</t>
        </is>
      </c>
      <c r="H6044" t="n">
        <v>29</v>
      </c>
      <c r="I6044" t="inlineStr">
        <is>
          <t>題材の取り扱いの上に作者の独創があるか無いかが問題になるのである。；それでその描かれるものが何処か若々しい独創的なところがありました。；おそらくそれらは独創的な味を醸し出すのであろう事は想像に難くない。；即ち個人というものを離れると独創なるものは考えられないようである。；私のような独創的な者だけは、庭を見晴らす位置に腰かけておりました。；彼の中に、ささやかながらもある明確な独創性を見て取ることができた。；一方で、川上音二郎の壮士芝居のような独創的な活動を起こす者もいた。；プレイアビリティに影響するこのような設計は非常に独創的であった。；このようにいずれも個人の独創とすることは中国文化史の特異な点である。；ベトレンはその生きた時代の最も魅力的かつ独創的な人物の1人だった。；鈴木英春が考案した独創的な戦法であり、直接指導を受けて身につけた。；独創的な企画意図をもって制作・企画が面白いと思われた等の楽曲。；が、それというのも、全く独創的たろうとする欲望から来るものである。；その規模の大きさに加え、自由で独創的な表現方法が注目された。；彼は私が見た中で最も驚くべき、独創的な戦闘パイロットだった。；よほど独創的な想像力がないとこんな変化は出来んのである。；そういう時に彼の頭には色々の独創的な考えの胚子が浮んで来るのらしい。；彼が優れた独創家でない、ということは或いは当っているかも知れない。；ところが学生のなかには、教官より独創的な回答を考えつく者もあった。；戸坂によると三木は独創家では無く優れた解釈家であると批判した。；パチンコ業界の中でも、独創的な試みを数多く行っているメーカーである。；こんな独創的な人物がいるかしら、と、そう考えたかもしれたものじゃない!；充分な確実さと、充分な自由と、充分な独創とがここに発見される。；ところが西洋では東洋人の独創などはよほどなものでないと見遁されやすい。；しかもその形の変化多く独創的なことにおいて類を見ないのです。；その独創的な学説が伝わるのは、弟子が彼の原稿・理論をまとめたことによる。；独創的で世界的な研究 坂上の研究は当初から独創的であり、世界的であった。；ブーム終息以後も様々な音楽性を横断しながら独創的な活動を行っている。；神と人間の関係は非常に独創的な概念で形成されている。</t>
        </is>
      </c>
      <c r="J6044">
        <f>HYPERLINK("https://www.weblio.jp/content/独創", "词义详情")</f>
        <v/>
      </c>
      <c r="K6044">
        <f>HYPERLINK("https://yourei.jp/独創", "查看例句")</f>
        <v/>
      </c>
    </row>
    <row r="6045">
      <c r="A6045" t="inlineStr">
        <is>
          <t>特長</t>
        </is>
      </c>
      <c r="B6045" t="inlineStr">
        <is>
          <t>成功</t>
        </is>
      </c>
      <c r="C6045" t="inlineStr">
        <is>
          <t>読み方：とくちょう
他よりも特にすぐれている点。特別の長所。「—を生かす」「この機種の—は操作しやすいことだ」「水に強く軽いのがこの生地の—だ」
[用法]特長・特徴・特色——「各人がそれぞれに特長（特徴・特色）を発揮できる職場」のように、他と異って目立つ点の意では相通じて用いられる。◇「特徴」は、「顔の特徴を覚える」のように、そのものが持っている、特に他と違って目立つ点をいい、そのことのよしあしには関係はない。◇「特色」は、「日本語の特色の一つに敬語がある」「手先が器用という特色を生かして仕事をする」のように、他と特に異なっている点を指すほか、他と比べてすぐれている点の意でも使う。◇「特長」は、「このカメラは扱いが簡単で、軽いという特長がある」のように、他よりすぐれている点を表すことが多い。</t>
        </is>
      </c>
      <c r="D6045" t="inlineStr">
        <is>
          <t>特長づけられる；特長づける</t>
        </is>
      </c>
      <c r="E6045" t="inlineStr">
        <is>
          <t>武器；価値；値；特性；売り</t>
        </is>
      </c>
      <c r="F6045" t="inlineStr">
        <is>
          <t>特長づけ；それぞれ特長；主な特長；こうした特長；新しい特長</t>
        </is>
      </c>
      <c r="H6045" t="n">
        <v>29</v>
      </c>
      <c r="I6045" t="inlineStr">
        <is>
          <t>私は自分の国の特長を愛しない人間の偉大さというものを想像出来ない。；今度の旅の特長は、良い気分が長続きしないことにあると言えるだろう。；広い額と引きしまった顎の線が、かろうじてその特長と言えるだろうか。；顧客が単一の価格であらゆるサイズを購入できることを特長としている。；これが彼らの特長なると同時に、方向を誤ることもまたこれより起こる。；これらの焼物は一見して他の国のものと違うほどその特長を示します。；キリスト教の自由と愛の精神をモットーにしており、自由な校風が特長。；従来のシットコムのように笑い声のSEが入っていないのも特長である。；実際、彼は中心たるすべての特長、丸みと喜色とを持っていたのである。；彼の作品は、いずれも起承転結がはっきりしているのが一つの特長である。；どんなに馬鹿と見えても必ず誰にも代表されない特長を持つてゐるものであります。；山水・人物を得意とし、人物の形影が寂寥としていることを特長とする。；人間もしくは人間的生物の特長をなすものが、かれらには欠けている。；きりつとした割烹着の姿は彼女の伸びやかな身体の特長をよく現はしてゐた。；この定義は、プロセスが所有しなければならないある種の特長を含む。；従って彼女等をしてその特長の新感覚に広く磨きをかけさせたく思う。；別に特長のある町ではないが、関西は何処へ行っても壁の色がうつくしい。；酒の味や雰囲気よりも、ホステスのサービスが店の特長となったわけである。；左のカードの傷は、俺が暗記するほんの何枚かのカードの特長とは一致しない。；それぞれ特長があったが、何といっても最初にドラマ化された番組は人気があった。；まず大阪の町は暗いのが特長だといっていいかも知れない。；どちらもU25Bの特長をそのまま採用したかのような設計であった。；このレストランはサヴァンナの店舗と同様、南部料理を特長としている。；けれど、こうして意識して見ないことには特長が伝わってこない。；その外にも特長があったが、ここではいちいち述べないことにする。；人間は他人の手前自分の特長を考えない工夫を急いでする要はない。；芸術家というものの正体と特長との謎を解けるものがいるだろうか。；この特長は他のゲームサイト、エミュレーターには無いものであった。；あとでごらんになればわかりますが、ちょっと特長のある水着なんですね。</t>
        </is>
      </c>
      <c r="J6045">
        <f>HYPERLINK("https://www.weblio.jp/content/特長", "词义详情")</f>
        <v/>
      </c>
      <c r="K6045">
        <f>HYPERLINK("https://yourei.jp/特長", "查看例句")</f>
        <v/>
      </c>
    </row>
    <row r="6046">
      <c r="A6046" t="inlineStr">
        <is>
          <t>特徴</t>
        </is>
      </c>
      <c r="B6046" t="inlineStr">
        <is>
          <t>成功</t>
        </is>
      </c>
      <c r="C6046" t="inlineStr">
        <is>
          <t>読み方：とくちょう
他と比べて特に目立つ点。きわだったしるし。「—のある声」
→特長［用法］</t>
        </is>
      </c>
      <c r="D6046" t="inlineStr">
        <is>
          <t>特徴的(12%)；特徴として挙げられる；特徴付け；特徴量；特徴としてあげられる</t>
        </is>
      </c>
      <c r="E6046" t="inlineStr">
        <is>
          <t>性；性格；性質；特性；特有</t>
        </is>
      </c>
      <c r="F6046" t="inlineStr">
        <is>
          <t>共通する特徴；身体的特徴；主な特徴；重要な特徴；顕著な特徴</t>
        </is>
      </c>
      <c r="G6046" t="inlineStr">
        <is>
          <t>特徴的；特徴付け；特徴づける；特徴付ける；特徴選択</t>
        </is>
      </c>
      <c r="H6046" t="n">
        <v>29</v>
      </c>
      <c r="I6046" t="inlineStr">
        <is>
          <t>こうした呼称からはある程度その種の特徴を窺い知ることが可能である。；他のノーベル賞と異なり、団体も授与対象となっているのが特徴である。；それによってこれらの特徴の大きさと形を容易に追跡することができる。；一般に、音声の音響的な特徴と言語的な特徴を分離して扱うことが多い。；高山地帯は島の他の地域よりも涼しく湿っている点が特徴となっている。；異なる言語同士が接触し、双方の特徴を保ったまま複雑に混合した言語。；ファイルシステムでは長いファイル名がサポートされたのが最大の特徴。；コロイドが持つ特徴的な性質を理解する分野はコロイド化学と呼ばれる。；山はそれぞれ特徴のある形状であり、それにちなんだ山名のものもある。；人工張りは環境の変化に強い反面、高く鋭い音になりやすい特徴がある。；以下に、ルールの詳細に立ち入らない範囲で各色の特徴の一部を述べる。；また、印刷された文字にマージナルゾーンが見られるなどの特徴がある。；しかし、生命の定義で常にこれらの特徴が必須とされるわけではない。；上に記した官僚制の基本的な特徴もヴェーバーの定義に基づいている。；一切の処理をコンピューター同士が対等に通信を行うのが特徴である。；またタイトルや歌詞に犬が頻繁に登場することも特徴である。；キャラクターには必要に応じて外見的特徴や内面的特徴が設定される。；以下は特定の部位に存在し、特徴的な機能・形態を持つ分類である。；簡単な管理、無制限のユーザー数、無制限のデータサイズなどを特徴とする。；それぞれの職業の特徴は一般的なRPGのものに準ずるが下記の通りである。；このような響板装飾はイタリアの楽器には見られない特徴である。；この様な特徴を持つチェンバロは北ヨーロッパの広い地域で製作されていた。；これは同じ読みの漢字がたくさん存在するという日本語の特徴のためである。；構造の違いなどによる、両者の主な特徴をまとめると次のようになる。；最後まで残った冥王星の特徴的な点は、巨大な衛星カロンと大気である。；このように、MDLPは従来仕様との互換性が比較的高いのが特徴である。；一部の哲学は、理知的な学問以外の領域とも深く関わっている点に特徴がある。；ベースにしたPOWERの特徴に、さらにいくつかの変更を加えた。；電流経路を短くすることが可能で高周波特性が良いなどの特徴がある。</t>
        </is>
      </c>
      <c r="J6046">
        <f>HYPERLINK("https://www.weblio.jp/content/特徴", "词义详情")</f>
        <v/>
      </c>
      <c r="K6046">
        <f>HYPERLINK("https://yourei.jp/特徴", "查看例句")</f>
        <v/>
      </c>
    </row>
    <row r="6047">
      <c r="A6047" t="inlineStr">
        <is>
          <t>特定</t>
        </is>
      </c>
      <c r="B6047" t="inlineStr">
        <is>
          <t>成功</t>
        </is>
      </c>
      <c r="C6047" t="inlineStr">
        <is>
          <t>読み方：とくてい
［名］(スル)特にそれと指定すること。また、特にそれと定まっていること。「—のボーイフレンドはいない」「大ぜいの中から—する」</t>
        </is>
      </c>
      <c r="D6047" t="inlineStr">
        <is>
          <t>特定でき(2%)；特定地上基幹放送事業者；特定地域；特定分野；特定利水</t>
        </is>
      </c>
      <c r="E6047" t="inlineStr">
        <is>
          <t>指定；特別；独自；規定；特殊</t>
        </is>
      </c>
      <c r="F6047" t="inlineStr">
        <is>
          <t>超短波放送をする特定；特定建設工事共同企業体；特定受給資格者；特定農林水産物；特定家畜伝染病防疫</t>
        </is>
      </c>
      <c r="G6047" t="inlineStr">
        <is>
          <t>特定地方交通線；特定外来生物；特定多目的ダム；特定都区市内制度；特定区間</t>
        </is>
      </c>
      <c r="H6047" t="n">
        <v>29</v>
      </c>
      <c r="I6047" t="inlineStr">
        <is>
          <t>特定の地域のみの資料を扱うものと地域を越えて資料を扱うものがある。；いくつかの自治体は自治体間の特定の地域の中心地の役割を果たしている。；そのため、旧来からの名称の使用範囲を特定するのは困難になっている。；このように真理概念は特定の言語に相対的に定義されなければならない。；安定したルテチウムの他に放射性同位体にもいくつか特定の用途がある。；これは特定のIPアドレスからのアクセスを禁止することで果たされる。；また、特定の月の特定の週の月曜日と定められている国民の祝日もある。；同賞では、戦法でも囲いでもない特定の一手に対する初の授与であった。；プレーヤーの特定の趣味嗜好に合うか合わないかで分類する場合もある。；これは、錠前が特定の形状の鍵のみしか受け入れないことに例えられる。；その最も一般的な方法は、ある特定のユーザの編集を禁止することである。；また、ラウンド前に特定のキャラクター同士での掛け合いが追加された。；同じ穀醤の中でも特定地域に集中している醤油製造との違いでもある。；このような多細胞構造は、しばしば特定の条件でのみ見られることがある。；そして、沈黙破りが起こる時に、特定の時と場所を告げることがあった。；特定アルコールは許可を受けずに誰でも購入して自由に使用することができる。；代わりに、アルゴリズムを使用して最も可能性の高い候補を特定する。；文字を特定の符号で扱う手段はコンピュータが誕生するよりも昔から存在した。；秋には雨がやや増えるが夕立など特定の時刻に集中的に降ることが多い。；G8サミット国や招待国以外でも、特定の分野で参加することができる。；しかし、特定の現象が特によく発達しているものを選ぶ、と云う場合もある。；関東とは、日本の中の、特定の地域・地方を指す言葉・概念である。；特定の正規の有名な学校で学んだわけではないという意味で独学であった。；これは、分子内の結合や官能基の種類を特定するために一般に使用される。；以下は特定の部位に存在し、特徴的な機能・形態を持つ分類である。；個人間で行うものから組合やギルド等の特定のグループ内で行うものがある。；通常は王、皇帝などの君主号を伴うが、特定の称号を持たないものもある。；また、漢字で書かれた氏名から正しい読み方が特定できない場合もある。；ある特定地域の文化が他地域へと拡大することを文化伝播と呼ぶ。</t>
        </is>
      </c>
      <c r="J6047">
        <f>HYPERLINK("https://www.weblio.jp/content/特定", "词义详情")</f>
        <v/>
      </c>
      <c r="K6047">
        <f>HYPERLINK("https://yourei.jp/特定", "查看例句")</f>
        <v/>
      </c>
    </row>
    <row r="6048">
      <c r="A6048" t="inlineStr">
        <is>
          <t>得点</t>
        </is>
      </c>
      <c r="B6048" t="inlineStr">
        <is>
          <t>成功</t>
        </is>
      </c>
      <c r="C6048" t="inlineStr">
        <is>
          <t>読み方：とくてん
［名］(スル)競技・試験などで、点をとること。また、その点数。「大量に—する」⇔失点。</t>
        </is>
      </c>
      <c r="D6048" t="inlineStr">
        <is>
          <t>得点王(7%)；得点ランキング；得点記録；得点能力；得点差</t>
        </is>
      </c>
      <c r="E6048" t="inlineStr">
        <is>
          <t>点；勝利；得る；取る；ポイント</t>
        </is>
      </c>
      <c r="F6048" t="inlineStr">
        <is>
          <t>総得点；最高得点；合計得点；桁得点；リーグ得点</t>
        </is>
      </c>
      <c r="G6048" t="inlineStr">
        <is>
          <t>得点力；得点数；得点力不足；得点源；得点圏</t>
        </is>
      </c>
      <c r="H6048" t="n">
        <v>29</v>
      </c>
      <c r="I6048" t="inlineStr">
        <is>
          <t>最後に総合得点を発表し、ゲストが中央に移動して、歌コーナーとなる。；再開試合の鹿島・岩政のゴールは再開後最初のプレーからの得点だった。；出場機会は後半からの途中出場が多かったが何度も重要な得点を挙げた。；大会に参加すると競技ごとの参加得点として10ポイントが与えられる。；色による能力差はないが、同色でも倒した時の得点が異なる場合はある。；得点の低いチームから指名し、どちらか4人出た時点で打ち切りとなる。；一本による勝利の他、一定のポイントを得点するとその時点で勝利となる。；内容は通常と同じで、最終的な最高得点チームがドレミファ大賞となる。；何回か遊戯を行って、最終的にもっとも得点の多いものを勝ちとする。；複数の敵をまとめて蹴り落とすと、敵の数に応じて得点に倍率がかかる。；記録員はボールの得点を記録表と呼ばれる紙に記録してゆく。；浦和ではデビュー2戦目の横浜フリューゲルス戦でプロ初得点を挙げた。；公式競技は屋内で行われ、時間内に多くの得点を挙げたチームが勝利となる。；得点を決めた際にバク転のゴールパフォーマンスをすることで知られる。；しかしその試合では得点を挙げることができず、チームも敗れた。；装備している色と同じ色のアイテムを取るとボーナス得点が入る。；いずれにしろ主審が得点を認めた判断が尊重され、記録に残ることになる。；このときに、コートの広さや得点方法など、さまざまなルールが決められた。；試合は1-2で敗れたが、ペレ自身は唯一の得点を決める活躍を見せた。；なお、アイテムを出現させずに直接取った場合は得点が加算される。；最終結果は、その合計得点でチーム賞と個人賞を決定していた。；競走得点は着順が良いほど、また格の高いレースほど高く設定されている。；こうして最高得点を稼いだチームが優勝、松下製品の中から一品貰える。；得点を得られるものには以下のようなものが挙げられる。；この得点はスーパーファミコン全ソフトの中で198位となっている。；通算で6得点を挙げたケンペスは優勝国から出た初の単独得点王となった。；続く八木裕が四球で追加点のチャンスだったがアリアスが倒れて無得点。；またアルゼンチン代表にも選抜され、歴代2位の得点記録保持者である。；いずれにせよ、得点がより高くなるほうを選択することになる。</t>
        </is>
      </c>
      <c r="J6048">
        <f>HYPERLINK("https://www.weblio.jp/content/得点", "词义详情")</f>
        <v/>
      </c>
      <c r="K6048">
        <f>HYPERLINK("https://yourei.jp/得点", "查看例句")</f>
        <v/>
      </c>
    </row>
    <row r="6049">
      <c r="A6049" t="inlineStr">
        <is>
          <t>独特</t>
        </is>
      </c>
      <c r="B6049" t="inlineStr">
        <is>
          <t>成功</t>
        </is>
      </c>
      <c r="C6049" t="inlineStr">
        <is>
          <t>読み方：どくとく
［名・形動］
１そのものだけが特別にもっていること。また、そのさま。「—な（の）雰囲気」
２（独得）その人だけが会得していて、他の人には及ぶことができないこと。また、そのさま。
「自家—の曲乗のままで」〈漱石・自転車日記〉</t>
        </is>
      </c>
      <c r="D6049" t="inlineStr">
        <is>
          <t>独特な形状；独特な世界；独特な雰囲気；独特の臭い；独特なスタイル</t>
        </is>
      </c>
      <c r="E6049" t="inlineStr">
        <is>
          <t>特別；独自；特定；特殊；オリジナル</t>
        </is>
      </c>
      <c r="F6049" t="inlineStr">
        <is>
          <t>呼ばれる独特；一種独特；地方独特；独特のギャグセンス；独特の浮遊</t>
        </is>
      </c>
      <c r="H6049" t="n">
        <v>29</v>
      </c>
      <c r="I6049" t="inlineStr">
        <is>
          <t>これにより車体外観を含めて本系列の独特のスタイルが形成されている。；日本独特の文化であるニュースキャスターの先駆けであるとされている。；非常に多作な作家でありながら、作品ごとに独特な設定が為されている。；水の色は普通の川のように緑色ではなく青色で独特の色をしている。；歌うときのスタイルは左手を上下に振る独特な方法で音程をとっている。；この為に赤道ギニアの文学はアフリカ諸国の中でも独特なものとなっている。；砂丘独特の植物・動物が自生・生息しており研究の対象となっている。；つまり、バスタードソードは独特の重心と使用法を持った剣なのである。；足を前後に開き右手を挙げている独特のポーズで表されることが多い。；このため、片方の側面にのみコルゲートがある独特のスタイルとなった。；これに江戸時代に入ると日本独特と云われる大筒抱え打ちの業が加わった。；ENIACの設計は一種独特であり、決して他では採用されなかった。；用語については、独特の用語を用いて、軍事色を薄めているものがある。；そのため、車両導入の予算区分には独特の用語が使用されている。；そのため、インド独特の歴史叙述とも言えるような特徴が見られるのである。；シリーズにおけるほかの作品に見られない独特のカテゴリ区分がある。；体色はグレーで、口吻の形状が豚の鼻のような独特なものとなっている。；実家が漬物屋だったことで、独特の臭いが影響し、大の漬物嫌いだった。；独特な文化と同様にウェールズの景観は多くの観光客を惹きつけている。；現在では中国大陸・香港・台湾それぞれに独特の発展が見られる。；移動式屋台は、独特の掛け声や鍋・椀・竹を叩いて販売料理を宣伝する。；その後まもなくエーリヒ1世と市との関係は独特の穏やかさが特徴となった。；葉が持っている独特の香気を活かすために、調理の最後に加えるとよい。；独特の丸い形状の家はハインライン自身が妻と共同で設計したものである()。；それぞれの板ごとに独特の表現を用いて参加者を呼んでいた。；これは他の競技には見られない独特なものである。；また、番組に投書されるハガキの内容も独特なものが寄せられ話題を呼んだ。；決勝戦は他のカップ戦では見られない独特の演出が行われている。；自分の強さがわからないため、読み合いも関連しブラフに独特の味がでる。</t>
        </is>
      </c>
      <c r="J6049">
        <f>HYPERLINK("https://www.weblio.jp/content/独特", "词义详情")</f>
        <v/>
      </c>
      <c r="K6049">
        <f>HYPERLINK("https://yourei.jp/独特", "查看例句")</f>
        <v/>
      </c>
    </row>
    <row r="6050">
      <c r="A6050" t="inlineStr">
        <is>
          <t>特に</t>
        </is>
      </c>
      <c r="B6050" t="inlineStr">
        <is>
          <t>成功</t>
        </is>
      </c>
      <c r="C6050" t="inlineStr">
        <is>
          <t>読み方：とくに
［副］普通と違って際立っているさま。他からはっきりと区別されるさま。特別。とりわけ。格別。「この夏は—暑かった」「大ぜいの中から—彼を選んだ」「—用事はない」
[用法]特に・殊(こと)に——「今年の夏は特に（殊に）暑かった」など、取り立てていう意では相通じて用いられる。◇「特に」は、「大事なレコードだけど、特にあなたにだけ貸してあげる」のように、他と区別して特別に扱う意であり、この場合「殊に」は用いない。◇「殊に」は「小さい子供は活発なものだが、殊にこの子はよく動く」のように物事の程度が他と比べて一段と高い、という意で用いられる。◇類似の語に「とりわけ」があるが、全般にそうだが中でも、という意で「特に」「殊に」と同じように使われる。</t>
        </is>
      </c>
      <c r="D6050" t="inlineStr">
        <is>
          <t>特に断り；特に優れ；特に強く；特に目立つ；特に大きい</t>
        </is>
      </c>
      <c r="E6050" t="inlineStr">
        <is>
          <t>こそ；非常に；主に；中心に；特別</t>
        </is>
      </c>
      <c r="F6050" t="inlineStr">
        <is>
          <t>特にリン酸モノ；特に近縁；特にキリスト教；特にイネ科；特に中流域</t>
        </is>
      </c>
      <c r="H6050" t="n">
        <v>29</v>
      </c>
      <c r="I6050" t="inlineStr">
        <is>
          <t>特に は のオブジェクト概念を一般化したものだと言うことができる。；同じく、一部の衣服のデザインが保護されることが特に定められている。；国内では西海岸の人口密度が高く、特に首都周辺に人口が集中している。；アルタイ諸語に属するとする説は、明治時代末から特に注目されてきた。；しかし、後には独自の拡張・工夫が、特に効率の面で多くなされている。；特に南部のサラーラには経済特区や大きなコンテナ港が設置されている。；その後世界各国で書かれているが、アメリカと日本で特に盛んである。；大気汚染は深刻で特に首都北京は風次第でしばしばスモッグに覆われる。；大の軍事ファンであり、その中でも特に戦車が好きなようである。；しかし、特定の現象が特によく発達しているものを選ぶ、と云う場合もある。；専門料理は技術であり、また特に高度なものは芸術の一種と捉えられることもある。；これが特に発達した動物の細胞では、細胞骨格が各細胞の形を決定づける。；グリッドの場合、特に複数のOSが参加できるようにしている場合が多い。；この頃は特にピアノが好きではなく、むしろ苦痛だったという。；以下に挙げるのはそのなかでも特に広く用いられている分類、専門分野の名称である。；壁状のものは特に銀河ウォールもしくはグレートウォールなどとも呼ぶ。；公共交通機関の発達していない田舎などでは特に一人当たりの所有率が一般的に高い。；ここでは特に英語のケースを例に、この問題を考えてみたい。；ここでは特に断りのない限り、エポック社製のものを中心に記述する。；特にプロの公式戦では完全に詰むまで指すことはきわめて稀である。；特に必要があると判断された場合、特別委員会を設けることができる。；この傾向はコンピューターRPGにおいて特に顕著なものとなっている。；ホラー映画は、日本・韓国・イタリア・タイなどの映画撮影で特に普及である。；影響については、特に一つを選ぶのが難しいくらい様々な人や作品に受けている。；特に問題とされたのは伝統的字体から簡略字体に変更されたものであった。；特に落雷が起きる可能性がある場合には、シャトルは絶対に発射されない。；多数の本を読むうちに科学への興味が強まり、特に電気に興味を持つようになった。；また豊富な水資源自体も工業、特に半導体産業等に有利となっている。；そのうちいくつかは特に古く、医療の伝統は中世にまでさかのぼる。</t>
        </is>
      </c>
      <c r="J6050">
        <f>HYPERLINK("https://www.weblio.jp/content/特に", "词义详情")</f>
        <v/>
      </c>
      <c r="K6050">
        <f>HYPERLINK("https://yourei.jp/特に", "查看例句")</f>
        <v/>
      </c>
    </row>
    <row r="6051">
      <c r="A6051" t="inlineStr">
        <is>
          <t>特売</t>
        </is>
      </c>
      <c r="B6051" t="inlineStr">
        <is>
          <t>成功</t>
        </is>
      </c>
      <c r="C6051" t="inlineStr">
        <is>
          <t>読み方：とくばい
［名］(スル)
１期間を限り、特別に安い値段で品物を売ること。「冬物衣類を—する」「—場」
２入札によらず、随意契約によって特定の人に売り渡すこと。</t>
        </is>
      </c>
      <c r="D6051" t="inlineStr">
        <is>
          <t>特売品(12%)；特売場(9%)；特売日(8%)；特売セール(2%)；特売デー(2%)</t>
        </is>
      </c>
      <c r="E6051" t="inlineStr">
        <is>
          <t>売り出し；セール；安売り；バーゲンセール；大売り出し</t>
        </is>
      </c>
      <c r="H6051" t="n">
        <v>29</v>
      </c>
      <c r="I6051" t="inlineStr">
        <is>
          <t>すぐ横のスーパーマーケットの前で、くず餅の特売を行っていたからだ。；知る人ぞ知る名品の数々が無造作に置かれ、特売の値札が付いている。；この数年来新潟の地酒宣伝特売といふやうなものが時々東京で行はれる。；この火曜特売は、のちにユニーグループ全体で行われるようになった。；その子どもに馬鹿にされる私は、特売級の馬鹿である。；カップライスの隣でラーメン5個100円の特売をしている店舗もあった。；スマイルが牛肉の特売日だったので、ついでに買って帰ったのだ。；一生に一度、お会いになるかどうかの大特売です。；二人を含めた何人かは、控室で特売品の袋詰めをしていた。；東京へ持ちだして一円七十銭の安値で特売店をひらいても、味が悪くては話にならない。；これは店の特売日であり、商品が安くなり通常では置いていないレアなアイテムを購入できる。；特売をはじめとするサービス内容は企業ごとに異なり、クーポン券などの相互利用はできない。；特売券を販売するカウンターの前に長蛇の列ができ、ある所では二重三重になっている。；日本のスーパーでは普通である特売や、チラシの作成、配布をしない。；活気のない果物屋が一軒あり、いちごの特売をしていたが、買う気がしなかった。；この広告には、この町の靴屋が新型のブーツの特売をやっている、と書かれていた。；そんなある日、特売場の監視にあたっている江原のところへ、電話だと同僚が告げにきてくれた。；いずれも六月中旬に前後して特売を開始するという。；大手スーパーでは特売日が実施されることがある。；このため、市場単価が低い時は特売品になるなど、商品価値が不安定である。；「ちょっと寒いかもしれないけど」 三軒目の店で特売品になっていたスキャナーを買った。；何をするのかと見守っていた崇が、特売の広告じゃねーかとがっかりしたような声を上げた。；私は、一旦、デパートへ足を運んで、三十分ばかり、特売場を眺めて歩いた。；特売日とかポイントセールの日なんかはよく会うね。；特売の下着なんか、なんのためにかっぱらうのかよくわからない。；近畿地方では、スーパー玉出やサンディなどで特売の際に販売されていたことがある。；「家の女中たちの着物は、あたしがいつも自分で特売場で買うことにしているんですよ」公爵夫人は、先ほどの話をつづけながらいった。；ブランドや企業は顧客に対し「見逃してはいけない」体験や特売をよく広告する。；当時の同社工場ではスーパーからの特売対応に追われており、通常の2倍の量の野菜の漬込作業を行なっていた。</t>
        </is>
      </c>
      <c r="J6051">
        <f>HYPERLINK("https://www.weblio.jp/content/特売", "词义详情")</f>
        <v/>
      </c>
      <c r="K6051">
        <f>HYPERLINK("https://yourei.jp/特売", "查看例句")</f>
        <v/>
      </c>
    </row>
    <row r="6052">
      <c r="A6052" t="inlineStr">
        <is>
          <t>特別</t>
        </is>
      </c>
      <c r="B6052" t="inlineStr">
        <is>
          <t>成功</t>
        </is>
      </c>
      <c r="C6052" t="inlineStr">
        <is>
          <t>読み方：とくべつ
［名・形動］他との間に、はっきりした区別があること。他と、はっきり区別して扱うこと。また、そのさま。格別。「—な（の）準備」「—な（の）感情は持っていない」「—に許可する」「—サービス」
［副］
１他と、はっきり区別されるさま。物事の状態・性質などの度合いが群を抜いているさま。格別。とりわけ。特に。「今日は—暑い」
２（下に打消しを伴って）これといって。それほど。「—することもない」</t>
        </is>
      </c>
      <c r="D6052" t="inlineStr">
        <is>
          <t>特別支援学校(2%)；特別な場合；特別版；特別室；特別な意味</t>
        </is>
      </c>
      <c r="E6052" t="inlineStr">
        <is>
          <t>特に；非常；非常に；不思議；独自</t>
        </is>
      </c>
      <c r="F6052" t="inlineStr">
        <is>
          <t>オープン特別；特別地域；特別企画乗車券；特別出演；特別講師</t>
        </is>
      </c>
      <c r="G6052" t="inlineStr">
        <is>
          <t>特別賞；特別委員会；特別編；特別区；特別顧問</t>
        </is>
      </c>
      <c r="H6052" t="n">
        <v>29</v>
      </c>
      <c r="I6052" t="inlineStr">
        <is>
          <t>また、ベラルーシ内の地域ごとに特別なデザインの模様が発達している。；彼は自分のメッセージが西洋世界に特別な意味を持っていると信じていた。；下記のように、特に有名なものは特別な呼称が付けられる場合がある。；特別部門の例は数多いが、年に1部門より多かったことは数回しかない。；武器はその能力以外に民族や権力の象徴のような特別な意味を持つ場合がある。；基本的には怪事件調査のための組織で、怪獣との戦闘は特別任務である。；それらは特別な名前で呼ぶ事もあるが単に「から揚げ」と呼ぶ事もある。；現在は生産されていないが、航空機用の六分儀は特別な機能を持っていた。；上の分類とは別に、火山体周辺で起こるものを特別に分ける場合がある。；寄宿舎と呼ばれることもあり、特に特別支援学校などで用いられている。；リストは で極めて頻繁に用いられるため、特別な構文が用意されている。；終電同士以外では駅や指令から特別な指示がない限り接続を取らない。；ただし特別な処理を行なわなくても発芽する種類がほとんどである。；一方、「キーワード」は言語仕様上特別な意味を持った語のことである。；南極隕石は同じ地点で大量に発見されるため、特別な命名がなされる。；司はゲームの世界でも現実同様の五感を得、他にも特別な力を与えられる。；ライブ開催当日には西武鉄道による特別電車も運行されたほどである。；さらに狩った首の数が多ければ、特別な衣服や装飾をつける権利を得る。；しかしこの特徴はボールペンやサインペンが登場して以降は特別ではない。；山頂部は仏の世界と考えられるようになり、特別な意味を持つようになった。；ハードウェアの製作やメンテナンスに特別な部品や技術を使う必要はない。；これらの定義は実際にはもっと一般の有向点族の概念の特別の場合になっている。；エクソシスムは秘蹟ではないが、特別な権能が必要であると考えられた。；電車緊急特別改造工事の実施項目と施行両数、実施内容は以下の通り。；特別産業区には、以下の5区があり、共に国内外の企業を誘致している。；合併経緯からか泉区は仙台市の他区と比べて特別的扱いが多いと見られている。；XMLでは、空要素を表現するために特別な構文を使うことができる。；当時、通りや建物の特別なレイアウトのおかげで完璧な都市であった。；また、写像の概念を特別な種類の二項関係として定義することもできる。</t>
        </is>
      </c>
      <c r="J6052">
        <f>HYPERLINK("https://www.weblio.jp/content/特別", "词义详情")</f>
        <v/>
      </c>
      <c r="K6052">
        <f>HYPERLINK("https://yourei.jp/特別", "查看例句")</f>
        <v/>
      </c>
    </row>
    <row r="6053">
      <c r="A6053" t="inlineStr">
        <is>
          <t>特有</t>
        </is>
      </c>
      <c r="B6053" t="inlineStr">
        <is>
          <t>成功</t>
        </is>
      </c>
      <c r="C6053" t="inlineStr">
        <is>
          <t>読み方：とくゆう
［名・形動］そのものだけが特にもっていること。また、そのさま。「日本に—な（の）社会現象」</t>
        </is>
      </c>
      <c r="D6053" t="inlineStr">
        <is>
          <t>特有の臭い；特有の鋭い；特有の甲高い；特有な性質；特有なイデオロギー</t>
        </is>
      </c>
      <c r="E6053" t="inlineStr">
        <is>
          <t>性；特徴；特別；独自；特定</t>
        </is>
      </c>
      <c r="F6053" t="inlineStr">
        <is>
          <t>地方特有；地域特有；日本人特有；人間特有；女特有</t>
        </is>
      </c>
      <c r="H6053" t="n">
        <v>29</v>
      </c>
      <c r="I6053" t="inlineStr">
        <is>
          <t>ここではあまり他の言語では見られない 特有の機能を中心に解説する。；スイスの至る所でハイキングし歩くことに利用出来る特有な地図がある。；羊毛と布産業のための単位は、単位をそれらの商品に特有なものにした。；日本特有のある物を外国人に見せ、その反応を見てそれが何かを当てる。；その他にも特有の性質により自動車一般とは異なる危険性を持っている。；ステップはその後の新造車には採用されず、本系列特有の構造となった。；特有の黒い線が前足にあり、名前の由来となる先端が黒い短い尾を持つ。；縄文は普通の斜状縄文のほかにこの時期特有の羽状縄文が特徴的である。；FTタイプ特有の中央部に丸窓が4つ接近して並んでいるのがわかる。；これは実際に観測され得ることであり、量子力学に特有な現象である。；本記事ではこれら調理操作のうち特に食肉に特有な内容について述べる。；会話の際の挨拶を使うことも可能であるが、手紙特有の挨拶の語がある例も多い。；これは言語特有の相違点を持たないただ一つの表を提供する。；ロシア建築、特にロシアの伝統的な教会・宮殿建築特有の屋根形状である。；この時期のロシア特有の建築様式の多くはプスコフでまず導入された。；名称が特有のもので重複することがなければ必要ではありません。；これらの地域はその地域に特有の言葉によって同定することができる。；スクアリン酸やクロコン酸の塩類は特有の色を持つことが特徴的である。；顔が専用デザインになりマツダ車特有のファイブポイントグリルとなる。；また、一般に特有のアルカロイドを含むために、多様な生理作用をもつ。；献立には中国料理特有の薬膳思想が組み込まれていると考えられている。；心中は古くから世界中にその類例があり、決して日本特有の現象ではない。；スーパーマーケットは各地域ごとに特有のものが多く、関東も例外ではない。；内部に特有の傷が無数にあり、これが天然ものの標識ともなっている。；映画監督としては日本人特有の民族性・風土をテーマにした作品で有名。；マルクスは戦争を資本主義社会や階級社会に特有の付随現象と見ていた。；動物や植物のほかほぼ全ての生物に特有のウイルスが存在する。；ただし、日本に特有なのは、加入対象となるメディアが限定されていることである。；いずれの選手もアフリカ特有の身体能力と、爆発的なスピードを武器にしている。</t>
        </is>
      </c>
      <c r="J6053">
        <f>HYPERLINK("https://www.weblio.jp/content/特有", "词义详情")</f>
        <v/>
      </c>
      <c r="K6053">
        <f>HYPERLINK("https://yourei.jp/特有", "查看例句")</f>
        <v/>
      </c>
    </row>
    <row r="6054">
      <c r="A6054" t="inlineStr">
        <is>
          <t>独立</t>
        </is>
      </c>
      <c r="B6054" t="inlineStr">
        <is>
          <t>成功</t>
        </is>
      </c>
      <c r="C6054" t="inlineStr">
        <is>
          <t>読み方：どくりつ
［名］(スル)
１他のものから離れて別になっていること。「母屋から—した離れ」
２他からの束縛や支配を受けないで、自分の意志で行動すること。「—の精神」「—した一個の人間」
３自分の力で生計を営むこと。また、自分で事業を営むこと。「親から—して一家を構える」「—して自分の店をもつ」
４（法律の拘束を受けるが）他からの干渉・拘束を受けずに、単独にその権限を行使できること。「司法の—」「政府から—した機関」
５一国または一団体が完全にその主権を行使できる状態になること。「—を宣言する」「—したての若い国」「—国家」</t>
        </is>
      </c>
      <c r="D6054" t="inlineStr">
        <is>
          <t>独立後(4%)；独立心；独立種；独立混成；独立記念</t>
        </is>
      </c>
      <c r="E6054" t="inlineStr">
        <is>
          <t>自立；自治；自主；フリーランス；自給自足</t>
        </is>
      </c>
      <c r="F6054" t="inlineStr">
        <is>
          <t>分離独立；半独立；自主独立；完全独立；インド独立</t>
        </is>
      </c>
      <c r="G6054" t="inlineStr">
        <is>
          <t>独立戦争；独立性；独立行政法人；独立リーグ；独立系</t>
        </is>
      </c>
      <c r="H6054" t="n">
        <v>29</v>
      </c>
      <c r="I6054" t="inlineStr">
        <is>
          <t>これらの国家・地域の他にも、いくつかの独立した集落が存在している。；したがって独立して何度かの地衣類化が起こったのだと考えられている。；独立後は世代間で使用できる言語が異なっていることが問題となっている。；国王は名称の利用を認めただけで学会の運営は国王とは独立していた。；それぞれが原作を元にしたほぼ独立したストーリーで設定もそれぞれ異なる。；また、独立にまつわる建物を設定して国民の啓発を行っている国もある。；もともと独立していた状態の国家が、その独立を奪われてしまうことがある。；通常目にすることはできず、謀叛などで独立しないと見ることができない。；なお首都のブダペスト都はいずれにも属さない、独立した自治体である。；植民地にされて独立を失ってしまった土地の人々は、とてもみじめである。；これをベクトル空間の公理に独立した条件として加えている文献もある。；非貫通型と初期の貫通型も後に貫通型・独立方向幕窓に改造されている。；徳間書店から分離・独立した2005年からは、再び株式会社となった。；独立記事がある作品の書誌情報の詳細はそれぞれの作品記事を参照。；すなわち、官職が政治動向や個人の個性から完全に独立したものとなる。；これを機に信長は今川氏の支配から独立した徳川家康と手を結ぶことになる。；そのため、独立した複数の色を合成する事で人間に別の色を感じさせる事ができる。；過去独立して存在していたジャスダックも株式会社形態であった。；そして、兄弟は長船派から独立して、新しく鵜飼派を立てたのだという。；だがともかく、ピエールはこうして父親のもとから完全に独立したのである。；独立宣言とは、独立の際に発せられる、自国が独立した旨の宣言である。；人間と異なり、天使らは自由意志はなく独立的行為をすることができない。；大手証券会社の野村證券は大和銀行の証券部が分離・独立して誕生した。；政治的に独立していた各ポリス間では戦争が絶え間なく繰り返された。；従来は独立して設置していた機器類は共通機器箱に集約した。；現在の生物学では、独立した種や品種は、独立した種の数に含めない。；これらは独立したものではなく、それぞれが関連し合って一連の研究を形作る。；独立後、キリスト教とイスラム教が対立する宗教間紛争が多く起こった。；独立の経緯以来、インドとの間では緊張関係が継続している。</t>
        </is>
      </c>
      <c r="J6054">
        <f>HYPERLINK("https://www.weblio.jp/content/独立", "词义详情")</f>
        <v/>
      </c>
      <c r="K6054">
        <f>HYPERLINK("https://yourei.jp/独立", "查看例句")</f>
        <v/>
      </c>
    </row>
    <row r="6055">
      <c r="A6055" t="inlineStr">
        <is>
          <t>とげ</t>
        </is>
      </c>
      <c r="B6055" t="inlineStr">
        <is>
          <t>成功</t>
        </is>
      </c>
      <c r="C6055" t="inlineStr">
        <is>
          <t>読み方：とげ
１体表にある、堅くて先のとがった突起物。植物では、表皮が変化したもの（バラ）や葉・茎・托葉・根が変化した葉針（サボテン）・茎針（サイカチ）・托葉針（カラタチ）・根針（シュロ）などがある。動物では、ハリネズミ、ゴンズイやアカエイ、ウニなどにみられる。
２木・竹・骨などの、細くとがった小片。「—を抜く」
３言葉に含まれた、相手の感情を傷つける皮肉や悪意。「—のある言葉」</t>
        </is>
      </c>
      <c r="D6055" t="inlineStr">
        <is>
          <t>とげられ(4%)；とげさせ；とげ針；とげだらけ；とげ状</t>
        </is>
      </c>
      <c r="E6055" t="inlineStr">
        <is>
          <t>棘；刺；拍車；トゲ；茨</t>
        </is>
      </c>
      <c r="F6055" t="inlineStr">
        <is>
          <t>名とげ；とげなけれ；小さなとげ；とげられる</t>
        </is>
      </c>
      <c r="G6055" t="inlineStr">
        <is>
          <t>とげとげしい；とげとげし；とげとげしく；とげよ；とげぬき地蔵</t>
        </is>
      </c>
      <c r="H6055" t="n">
        <v>29</v>
      </c>
      <c r="I6055" t="inlineStr">
        <is>
          <t>椅子を調べてみると、同じようにさかとげがついていることがわかった。；しかしお常の心には、刺されたとげの抜けないような痛みが残っていた。；かわいそうにヒヨコどもは一羽また一羽と無惨な最後をとげたのである。；これこそメープル・ホワイトと非業な死をとげた仲間が登った口なのだ。；植民地からの独立をとげたのちは、アフリカやアジアでの生産が増えている。；もしそれを成しとげていたら、そのまま丘を守ることができたろうよ。；とげのある猪口にはいったのと、二つの猪口なしと、まだ若い細いのと。；とげというか、針というか、あのくちゃくちゃと突き出た奴がないのだ。；ぼくがメゾン・ロングを始めることで成しとげたのは、その重要な点さ。；もと第十惑星には高度の発展をとげた生物がすみ、いまその跡は何もない。；草食性だが、切歯の他に臼歯も一生伸び続けるような進化をとげている。；王さまが森を出ようとしたとき、足にとげがささり、そこへ娘が言った。；機会を得て、この冬か来春に私のこの希望をとげたいと思つてゐる。；この種は、葉の面積あたりのとげの数が多いことから好まれている。；心をひきしめて、過去と未来の一つになった死をとげたものだった。；二人は捜査が大進展をとげたといって、すばらしい元気ぶりを見せた。；ところが彼が奪った血が、彼の胎外へ流れでて変な生長をとげていたのだ。；しかし私のこの希望は容易のことではとげられそうもない。；「そんなことわかってるわよ」彼女の声にはかすかにとげがあった。；母が私の代りに思いをとげてくれましたのでうれしくてなりません。；社会はこの人々が生きて通った傍らで旺な文化と生活をとげた。；いずれにせよ、辺境星区はこの数年間めざましい進歩をとげているもの。；土地ごとに発展をとげてきたチーズづくりの伝統や種類が反映されるのである。；だが、いろいろな面で大きな変化をとげていることは間違いない。；幼魚では頭部の眼前に強大なとげがあるが、成魚ではあまりみられない。；このとげには毒があると言われることがあるが、これまで深刻な怪我は報告されていない。；私は自分の望みがとげられないじゃないかと思うのです。；そして彼女が最近不思議な死をとげたのもそこであった。；その名前はまだその地に見ることが出来る厚いとげのある低木に由来している。</t>
        </is>
      </c>
      <c r="J6055">
        <f>HYPERLINK("https://www.weblio.jp/content/とげ", "词义详情")</f>
        <v/>
      </c>
      <c r="K6055">
        <f>HYPERLINK("https://yourei.jp/とげ", "查看例句")</f>
        <v/>
      </c>
    </row>
    <row r="6056">
      <c r="A6056" t="inlineStr">
        <is>
          <t>時計</t>
        </is>
      </c>
      <c r="B6056" t="inlineStr">
        <is>
          <t>成功</t>
        </is>
      </c>
      <c r="C6056" t="inlineStr">
        <is>
          <t>読み方：とけい
時刻を知り、また時間を計るのに使う器機。日時計・砂時計・水時計などがあるが、現在一般的には、おもり・ばね・電気・原子などを動力とし、振り子または天桴(てんぷ)や水晶の振動の等時性を利用した機械時計をいう。表示装置には、文字盤と針によるアナログ式とローマ字や数字によるデジタル式とがある。「—が進む」「—が止まる」
[補説] 「時計」は当て字。「土圭」は、昔、中国で方角・日影を測る磁針を称した語。曲名別項。→時計</t>
        </is>
      </c>
      <c r="D6056" t="inlineStr">
        <is>
          <t>時計屋；時計店；時計職人；時計メーカー；時計製造</t>
        </is>
      </c>
      <c r="E6056" t="inlineStr">
        <is>
          <t>クロック；時辰儀</t>
        </is>
      </c>
      <c r="F6056" t="inlineStr">
        <is>
          <t>勝ち時計；大きな時計；夜光時計；目覚時計；壁時計</t>
        </is>
      </c>
      <c r="G6056" t="inlineStr">
        <is>
          <t>時計塔；時計台；時計師；時計仕掛け；時計じかけのオレンジ</t>
        </is>
      </c>
      <c r="H6056" t="n">
        <v>29</v>
      </c>
      <c r="I6056" t="inlineStr">
        <is>
          <t>ただし時計機能はなく、実時間よりも早いゲーム内の時間で育成を行う。；部屋に戻ると五郎が来ており、シュウが待つ北時計に行くように勧める。；時刻の指示だけでなく時間の測定もできる時計にクロノグラフがある。；ある日、弟が病死するとそれまで正確に動いていた時計が遅れ出した。；残り時間は時計を取ると、中に書かれている数字の分だけ回復する。；天井付近に仕掛け時計が設置されており、時間になると人形が動く。；以前は時計本来の目的である計時機能が重要な役割を果たしていた。；そのあとを追うように兄も世を去るとついに時計は止まってしまった。；なお、最近では親時計にプログラムタイマーの機能の付いた物もある。；この工場では後に16mmという小さな時計を製作するようになった。；真鍮時計を分解して木でその複製を作ると、それが十分に動作したという。；そのほか校庭にはサッカーゴール、掲揚台、時計などが設置されている。；駅舎の屋根の上には亀の頭が設置され、目の部分が時計になっている。；その時にジョンソンは時計を確認し、時刻は10時44分だったという。；この際は時計には島の時間と実時間の両方が表示される。；マルサとして2つの道路が同時計画されたのはこうした理由からである。；時計が秒単位を表示するようになった初期の例は、16世紀後半に現れる。；正確な時計を用いることを提案したゲンマ・フリシウスの方法を信じなかった。；画面上部には制限時間を表す時計と白いマスが表示されている。；その時計を見たのが5時台であるとき、時刻は何時何分であるか。；東京近郊の時計坂という町にある木造2階建ての建物で、本作の主な舞台。；新校舎正面の屋上には、LEDで発光する校章と時計が設置されている。；中世末期には歯車や脱進機の性能が向上し各地に大規模な時計が作られた。；藩士たちの一部から福岡県で最初の時計屋や写真館を開く者が現れた。；結果として、観測者に対して相対運動する時計は進み方が遅れて見える。；真の北極は428日の周期で反時計まわりに回っていることが分かる。；宋は17歳の時に山西省太谷県に移住してこの地で時計店を生業とする。；または競艇場およびオートレース場に設置されている巨大な時計を指す通称。；このため、いつしか時計の仕事だけで生計が立てられるようになった。</t>
        </is>
      </c>
      <c r="J6056">
        <f>HYPERLINK("https://www.weblio.jp/content/時計", "词义详情")</f>
        <v/>
      </c>
      <c r="K6056">
        <f>HYPERLINK("https://yourei.jp/時計", "查看例句")</f>
        <v/>
      </c>
    </row>
    <row r="6057">
      <c r="A6057" t="inlineStr">
        <is>
          <t>溶け込む</t>
        </is>
      </c>
      <c r="B6057" t="inlineStr">
        <is>
          <t>成功</t>
        </is>
      </c>
      <c r="C6057" t="inlineStr">
        <is>
          <t>読み方：とけこむ
［動マ五（四）］
１液体や気体の中に他の物質が溶けてまじる。「有毒物質が—・む」
２まわりの雰囲気や気分になじむ。また、同化して一体となる。「職場に—・む」「姿が闇に—・む」</t>
        </is>
      </c>
      <c r="D6057" t="inlineStr">
        <is>
          <t>拡大する；固定する；定着する；適応する；くっつく</t>
        </is>
      </c>
      <c r="H6057" t="n">
        <v>29</v>
      </c>
      <c r="I6057" t="inlineStr">
        <is>
          <t>まるで自分の存在が空気に溶け込み、完全に消えてしまったかのように。；ヴァンツァーの体が闇の中に溶け込んでしまいそうな程の時間がたった。；そんな中で、ひとりだけ色を感じさせずに美鎖は背景へと溶け込んでいる。；しかし現在ではこの美術館は県民の生活に完全に溶け込んでいるという。；何か特別のことではなく、生活の一部に溶け込んでしまっているのだ。；一家は日本と日本人を愛し、社会に溶け込むための努力を続けていた。；近隣の地区に溶け込むよう、地上にある駅舎は風のデザインとなっている。；去ったのではなく、文字通り姿を、空に溶け込ませるように消したのだ。；どうにか自分なりに、新しい博物館の概念に溶け込もうと努めています。；野上さんの立場をすっかり自分の気持の中に溶け込ませている婦人だ。；と、魔の影はフィルムのなかに溶け込んで、彼の眼の前を流れて行った。；またユダヤ人作家の活動によりアメリカでの生活に溶け込むことができた。；これから先は砂漠の中に溶け込んで山脈の形は我々の視界から消えている。；彼の頬にあてたヨルダの手は、まるで溶け込んでしまったかのようだ。；ホームから歩き去る従兄弟の姿がパリの郊外の夕闇に溶け込んでいった。；そこに溶け込むように見える少女も緑の髪に陽光を受けて、輝いて見える。；あれあれ私の霊はあなたの魂の中に溶け込んでゆくのが見えますよ。；白い息を吐き、景色の中に溶け込んで、どこへ向かって走っているのだ。；妨害側の人物の姿は、薄暗い闇に溶け込んでおり、誰なのかわからない。；式と織はお互いを守るために握手をして、うまく常識に溶け込んでいた。；私は喜んでこの幻影の中に私の魂を溶け込ませることを続けたかった。；社会に溶け込むなんて、愉快なことだとはとうてい思えなかったからだ。；闇の中に溶け込みそうな影の部分で、奴がニヤリと笑ったような気配がする。；仮面が顔に溶け込むことで、役者はその役になりきると考えられていた。；静かな音楽が流れていて、それは自己主張もなく空気の中に溶け込んでいた。；弓子は窓際に座って、雲の下に溶け込んでゆくパリの風景を見つめていた。；読み返す限り自分の文章に間違いはなく、自然に物語に溶け込んでいる。；残った二艘はエンジンをフル回転させて港外の闇へ溶け込もうとしている。；それはもう遠い昔に失われた風景のようで見ているだけでそこに溶け込んでしまいたくなる。</t>
        </is>
      </c>
      <c r="J6057">
        <f>HYPERLINK("https://www.weblio.jp/content/溶け込む", "词义详情")</f>
        <v/>
      </c>
      <c r="K6057">
        <f>HYPERLINK("https://yourei.jp/溶け込む", "查看例句")</f>
        <v/>
      </c>
    </row>
    <row r="6058">
      <c r="A6058" t="inlineStr">
        <is>
          <t>解ける</t>
        </is>
      </c>
      <c r="B6058" t="inlineStr">
        <is>
          <t>成功</t>
        </is>
      </c>
      <c r="C6058" t="inlineStr">
        <is>
          <t>読み方：とける
［動カ下一］［文］と・く［カ下二］《「と（解）ける」と同語源》
１固体が、熱や薬品などによって、液状になる。「氷が—・ける」「暑さでアスファルトが—・ける」
２ある物質が液体の中に平均にまじって、液体と一体になる。「砂糖が水に—・ける」「油は水に—・けない」
[補説]1で、特に金属の場合は「鎔ける」「熔ける」とも書く。</t>
        </is>
      </c>
      <c r="D6058" t="inlineStr">
        <is>
          <t>解けるだろ</t>
        </is>
      </c>
      <c r="E6058" t="inlineStr">
        <is>
          <t>弛緩；緩む；弛む；ほぐれる；だれる</t>
        </is>
      </c>
      <c r="F6058" t="inlineStr">
        <is>
          <t>解けるかもしれ；使って解ける；すぐに解ける；早く解ける</t>
        </is>
      </c>
      <c r="H6058" t="n">
        <v>29</v>
      </c>
      <c r="I6058" t="inlineStr">
        <is>
          <t>そうしなければ主体の問題は少なくとも具体性に於ては解けないからだ。；けれど、一晩中いっしょにいたところで謎が解けるわけでもないだろう。；宗教も芸術も何も彼もその中に解けて入つて行つてしまつてゐるのである。；本位田又八がここにいさえすれば明らかに解けることではないかと思う。；しかし雪竜の存在が消えても、それが与えた災厄が解けるわけではない。；だがどちらか一方が明らかにならない限り謎が解けるわけもなかった。；一一一 このようにして多数の商品の間の交換の問題は解けたように見える。；このような単純な問題でも、正しく解けない方法ばかりだったのである。；僧三 しかし今のままではとても御勘気の解ける見込みはありませんね。；あの男はまるで雪達磨が解けるように、床の上に倒れてしまったのです。；それで夫人の怒りもすぐ解けて元豊を敲くことをやめていってしまった。；最後は完現術が解け元に戻ったが、月島のことは一切覚えていなかった。；色の青白い顔に根の弛んだ髪は解けて肩のあたりまで散りかかっている。；筆者はその謎が解けるまでこの物語を続けなければならないのである。；誘導形式が多く、解けない問題があると、その先はできないことがある。；を満たすので、この式を解けば4周期点の の値を求めることができる。；その内容は暗号のようなものだったが、天才児ならば解けるはずである。；この謎が解けたら、それこそ、濡れずに水の中から出て来るようなものだ。；夏に氷が解けた後も、道路の影響を上空からの窓越しに見ることができる。；それに人生を聞いてるんだから、ちょっとやそっとじゃ解けるわけがない。；あの事件を解けるのはホータローをおいて他にない、って言われたんだ。；今まで解けたところを穴に入れて書いてみると上のとおりになる。；激しい運動後や緊張が解けてほっとした時、休日などにも起こりやすい。；それに、今すぐやっておいたほうが石の呪いが 早く解けるから・・・。；ただマキの心を自分のものにすれば謎は自然に解けると思っている。；急に解けそうもないものを、いまにも解けるようにいうとるのはおかしい。；かかる意味での概念を用いては問題が解けないことをその場合明らかにしておいた。；これを子細に検討すれば、あの家に関する謎もきっと解けるに違いない。；張り詰めた緊張が解けると同時に、圧倒的な勝利感が湧き上がってきた。</t>
        </is>
      </c>
      <c r="J6058">
        <f>HYPERLINK("https://www.weblio.jp/content/解ける", "词义详情")</f>
        <v/>
      </c>
      <c r="K6058">
        <f>HYPERLINK("https://yourei.jp/解ける", "查看例句")</f>
        <v/>
      </c>
    </row>
    <row r="6059">
      <c r="A6059" t="inlineStr">
        <is>
          <t>溶ける</t>
        </is>
      </c>
      <c r="B6059" t="inlineStr">
        <is>
          <t>成功</t>
        </is>
      </c>
      <c r="C6059" t="inlineStr">
        <is>
          <t>読み方：とける
［動カ下一］［文］と・く［カ下二］《「と（解）ける」と同語源》
１固体が、熱や薬品などによって、液状になる。「氷が—・ける」「暑さでアスファルトが—・ける」
２ある物質が液体の中に平均にまじって、液体と一体になる。「砂糖が水に—・ける」「油は水に—・けない」
[補説]1で、特に金属の場合は「鎔ける」「熔ける」とも書く。</t>
        </is>
      </c>
      <c r="D6059" t="inlineStr">
        <is>
          <t>溶ける様な笑顔</t>
        </is>
      </c>
      <c r="E6059" t="inlineStr">
        <is>
          <t>混合；混同；溶解；交錯；混成</t>
        </is>
      </c>
      <c r="F6059" t="inlineStr">
        <is>
          <t>良く溶ける；少し溶ける</t>
        </is>
      </c>
      <c r="H6059" t="n">
        <v>29</v>
      </c>
      <c r="I6059" t="inlineStr">
        <is>
          <t>彼女の手の中にあった禍々しい白い光が空気に溶けるように消えていく。；それはいつかなにかで見たガラスや金属が溶ける光景によく似ている。；来ている客も老人が多くコーヒーに入れた砂糖の溶ける音までよく聞えた。；この室内の寒さでは、溶けるのにかなりの時間がかかったに違いない。；白いテールランプがしばらく見えていたが、それも溶けるように消えた。；その翼端と、長い尾の先端は、すでに光に溶けるように消滅を始めている。；その背中にある一対の翼が、音もなく空気に溶けるように消えていた。；ただし、雪が溶ける前に先んじて成長を開始する可能性も指摘されている。；虫に覆われた死体は、まるで氷が溶けるように小さくなっていった。；最後に覚えているのは、すべての光景が水に溶けるように崩れていったことだ。；ほとんど味のない菓子は、口に入ると溶けるのですぐに食べる必要がある。；その瞬間に空間の捩れが消え、影も一緒に溶けるように消えしまった。；馬は呻き声をあげて床に爪をたてたが、その姿は溶けるように消えうせた。；中には霜に打たれて、口へ入れると溶けるような味のするもあった。；それにどれだけの意味があったのか、獣面は溶けるように視界から消えていった。；しかし、この雪は彼の生涯には決して溶けることのない雪なのだ。；三〇とは糸の太さのこと、吸収糸とは抜糸の必要のない溶ける糸のことを言う。；僕等二人は実際、溶けるような気持になって、その間をぶらぶらと行った。；体温が上昇して油が溶けることで翼が開き、飛行体勢に入ることができる。；工場のなかには大溶鉱炉が二つ、ガラスの溶ける強いガスを発散していた。；普通の意味で水に溶ける物質即ち塩とか色々の化学薬品のようなものを云う。；しかし、その土の上には昨夜の先代たちが溶けることなく厚く残っている。；熱で脳髄が溶けるのではないかと、不安になった途端、男は地面に倒れた。；溶ける途中のようなどんよりとした薄い闇の中に、階段が上へと延びていた。；床へ落ちた球体は、まるで空気に溶けるようにそのまま消えていってしまう。；触れたところから溶けるような感触と、うっすらと甘いような味も知る。；その痛みは次第に形を変えて、日に溶けるように鋭さを失っていく。；交渉が成り、それでお胸も溶けると、宮はからからと打笑うのであった。；それは、白い光に溶けることを望む、不幸な恋人たちのようであった。</t>
        </is>
      </c>
      <c r="J6059">
        <f>HYPERLINK("https://www.weblio.jp/content/溶ける", "词义详情")</f>
        <v/>
      </c>
      <c r="K6059">
        <f>HYPERLINK("https://yourei.jp/溶ける", "查看例句")</f>
        <v/>
      </c>
    </row>
    <row r="6060">
      <c r="A6060" t="inlineStr">
        <is>
          <t>遂げる</t>
        </is>
      </c>
      <c r="B6060" t="inlineStr">
        <is>
          <t>成功</t>
        </is>
      </c>
      <c r="C6060" t="inlineStr">
        <is>
          <t>読み方：とげる
［動ガ下一］［文］と・ぐ［ガ下二］
１目的を達する。果たす。なしおえる。「志を—・げる」「思いを—・げる」
２最後にそのような結果となる。「非業の死を—・げる」「急成長を—・げる」</t>
        </is>
      </c>
      <c r="D6060" t="inlineStr">
        <is>
          <t>遂げるべき；遂げるべく；遂げる事件が発生</t>
        </is>
      </c>
      <c r="E6060" t="inlineStr">
        <is>
          <t>する；行う；やる；完成；実行</t>
        </is>
      </c>
      <c r="F6060" t="inlineStr">
        <is>
          <t>仕遂げる；聞き遂げる</t>
        </is>
      </c>
      <c r="H6060" t="n">
        <v>29</v>
      </c>
      <c r="I6060" t="inlineStr">
        <is>
          <t>己の目的を遂げるために、今度は罪のない娘まで利用するつもりじゃな?；その時彼らは彼ら自らではなし得ない異常な仕事をなし遂げるであろう。；それでなくては一国の文明は完全なる進歩と発達を遂げることが出来ない。；それを遂げるに方法は一つしかないのも実は、ちゃんとわかっていたのだ。；尾の短い鳥翼類の系統のうち、最初に多様化を遂げたのが反鳥類である。；人間は普通以上の何事かを爲し遂げるには自分自身に打克たねばならぬ。；彼は仕事で訪れた神戸で、乗っていた自動車が電車と衝突して死を遂げる。；お前が私の全要求に応じた時に於てのみ私は生長を遂げるであろう。；我々地球上生命の形態は、地球の環境に適応して進化を遂げた結果である。；二人の逮捕は、その目的を遂げることが可能な唯一の道なのだった。；昭和十二年のある日、彼女がこの館で不可解な死を遂げることになる。；そこで彼のライフワークである自己実現の達成を遂げるよう働き続けた。；誰だって同じ旅行が出来たら、あの男よりは有利にそれをし遂げるだろうに。；しゞまを守り遂げることの外には神の語の威力を逸らす方法がなかつた。；人は成長するものだし、成長するというのは変化を遂げることなのだ。；この年の録音の4ヶ月前にハリーは動機不詳の拳銃自殺を遂げている。；複雑な環境に適応し日本列島にて独自の進化を遂げた生物を解説している。；国際的な労働者運動は1860年代の国際危機に刺激され復活を遂げていく。；また内部外部の法執行機関への告発者が不審な死を遂げるケースも多い。；新名称は、周辺で目覚しい成長を遂げていた新興住宅地から付けられた。；その結果、それぞれの土地で動物たちは別々の進化を遂げることになった。；かくて事実上、立場の批評なるものは目的を遂げることが出来なくなる。；この男は自分の目的を遂げるために必要な時だけ、一本腕になっているのである。；いったいなぜ、このような大変化を遂げることができるのだろうか。；一般には狸の置物が著名であるが、後述のように多様な発展を遂げている。；この後に勃発した第一次世界大戦では、航空機が劇的な進化を遂げた。；この年は30試合に登板して防御率3点台前半と、見事に復活を遂げた。；こうしてポワンタピートルは都市的発展を遂げることが可能となった。；主催者のギースが謎の死を遂げて以来、一度も開催されていないはず。</t>
        </is>
      </c>
      <c r="J6060">
        <f>HYPERLINK("https://www.weblio.jp/content/遂げる", "词义详情")</f>
        <v/>
      </c>
      <c r="K6060">
        <f>HYPERLINK("https://yourei.jp/遂げる", "查看例句")</f>
        <v/>
      </c>
    </row>
    <row r="6061">
      <c r="A6061" t="inlineStr">
        <is>
          <t>退ける</t>
        </is>
      </c>
      <c r="B6061" t="inlineStr">
        <is>
          <t>成功</t>
        </is>
      </c>
      <c r="C6061" t="inlineStr">
        <is>
          <t>読み方：ひける
［動カ下一］［文］ひ・く［カ下二］
１引いた状態になる。「内角の球に腰が—・ける」
２
㋐（「退ける」とも書く）その日の勤め・授業などが終わる。仕事などが終わってひきあげる。「会社は五時に—・ける」「学校が—・ける」
㋑その日の相場が、ある値段で終わる。「1050円で—・けた」
３ひるんで積極的にふるまうことができなくなる。気おくれがする。「気が—・ける」
４「引け四つ」になる。
「少し前に廓は—・けて了ったので」〈荷風・夢の女〉
５見劣りがする。
「せんどはいかう—・けた脇差にて笑はれさんした」〈仮・名女情比・五〉
６衣服などが破れる。
「肩が—・けると通用がきかねえわい」〈洒・卯地臭意〉</t>
        </is>
      </c>
      <c r="D6061" t="inlineStr">
        <is>
          <t>できない；取る；拒否；難しい；避ける</t>
        </is>
      </c>
      <c r="F6061" t="inlineStr">
        <is>
          <t>追い退ける；撥ね退ける；ひ退ける；辛うじて退ける；かき退ける</t>
        </is>
      </c>
      <c r="H6061" t="n">
        <v>29</v>
      </c>
      <c r="I6061" t="inlineStr">
        <is>
          <t>これが本当であれば、第一次世界大戦で負傷したという噂は退けられる。；退けようと思えば、退けることもできたし、いままでならそうしていた。；あれはそもそもヴェネツィア海軍全体を退けるために用意された大艦隊だ。；襲撃者たちを退けたことを機に急接近した二人は肉体関係に至った。；そのとき予想される敵の追撃を退けるため、二、三千の兵を率いていた。；更に俗人・僧侶・竜が現れては、その一つ一つを池の主ではないと退けた。；いつも学校が三時に退けると、此処まで来る時間が二十分ばかりかかる。；そして、社が退けると走るようにして帰り、母のそばにいったのであります。；暫くして隊長は縁に進んで女の子を追ひ退けると五六人の家来が皆従ふ。；他の州の会議では連合主義者が支配的であり、脱退案を投票で退けた。；彼らを退けるものではなく、むしろ入ってきた者を保護する力だ。；スペイン・ハプスブルク家のポルトガル支配を退ける際にも利用された。；それはお互いをあたかも一枚の窓ガラスのように退け合うのだという。；私は昨日一日その厭やな感じを払い退ける事が出来ないでゐました。；王国政府側はベトナム軍が駐留するかぎりありえないとこれを退けた。；夏ちゃんの声を、予言者の声を払い退ける、天使の声と聞いたのである。；その資金を用いて朝廷の文武官を抱き込み、国王を退ける計画を企てた。；政府からは好意見も聞こえたが、法制局の反対にあいこの計画は退けられる。；己は負けない気だが、こんな物はまだ見たことが ないと云って退けるより外ないぞ。；器には毒を退ける力があるとされる銀が多く用いられる。；また、島の男性によるイギリスの法律の適用外だという主張は退けられた。；彼女はさう決心すると其の要求をはじめて退ける気になりました。；羽生の挑戦を退けてタイトルを防衛したのは谷川に続き2人目である。；その上告審では、以下のように判旨され、女子労働者の訴えは退けられた。；警察や地方検事局の捜査官たちは目撃したという主張を全て退けた。；初代市長には、旧象潟町長だった横山が元県職員の候補を退けて就任した。；学校側からの、そのような主張は、 といった理由で退けられている。；また朝廷から退けられた後も、神宗から「資治通鑑」の名を受けている。；翌1917年6月22日に出されたのは控訴を退ける棄却判決であった。</t>
        </is>
      </c>
      <c r="J6061">
        <f>HYPERLINK("https://www.weblio.jp/content/退ける", "词义详情")</f>
        <v/>
      </c>
      <c r="K6061">
        <f>HYPERLINK("https://yourei.jp/退ける", "查看例句")</f>
        <v/>
      </c>
    </row>
    <row r="6062">
      <c r="A6062" t="inlineStr">
        <is>
          <t>どこ</t>
        </is>
      </c>
      <c r="B6062" t="inlineStr">
        <is>
          <t>成功</t>
        </is>
      </c>
      <c r="C6062" t="inlineStr">
        <is>
          <t>読み方：どこ
［代］《「いづこ」の音変化「いどこ」がさらに変化した語》不定称の指示代名詞。はっきりと指示できない場所や状況などをさす。
１どの場所。どの部分。どんなところ。「—へ行こうか」「—が悪かったのか」
２どのような程度。どのような段階。どれ程。「—まで本気なのか」「仕事は—まで進んでいるのか」「—も痛くない」</t>
        </is>
      </c>
      <c r="D6062" t="inlineStr">
        <is>
          <t>どこか遠く；どこかへ消え；どこか遠い；どこ吹く風；どこかへ出かけ</t>
        </is>
      </c>
      <c r="E6062" t="inlineStr">
        <is>
          <t>どちら；どっち</t>
        </is>
      </c>
      <c r="F6062" t="inlineStr">
        <is>
          <t>いつどこ；どこでもいい；どこからどう；どこ吹く；どこまでも続い</t>
        </is>
      </c>
      <c r="G6062" t="inlineStr">
        <is>
          <t>どころ；どことなく；どこぞ；どこでもドア；どこら</t>
        </is>
      </c>
      <c r="H6062" t="n">
        <v>29</v>
      </c>
      <c r="I6062" t="inlineStr">
        <is>
          <t>なお、この制度はどこの大学にでもあるようなごく一般的な制度である。；その後はどこでライカを製造しているのかよく分からない状態が続いた。；目覚めるとそこはどこかの基地の内部で、一家は事の経緯を説明される。；これは中央海嶺にできており、過去にどこかの大陸に属したことはない。；履歴書と写真を番組に送ることが条件であり、住む場所はどこでも可能。；しかし、シューマン自身がこのように説明している記述はどこにもない。；北側の体制や指導者の批判は板門店に限らず北側のどこでも厳禁である。；彼は、そのような多くの石はどこからやって来たのだろうかと考え始めた。；上陸の際は、歩いて通ることのできる地形であればどこにでも上陸できる。；左之助が江戸に出た時期も、どこに住んでいたのかも詳しいことは不明。；またベトリアという町もどこにあったのか特定することができていない。；警察はどこにも存在しないし、犯罪を抑圧する手段は極めて限られている。；脚本も同様に、どこからストーリーを始めてどこに向かって進んでいくのか。；観客がどこで笑いを感じるかに視点を定め科学的な分類を実現した。；揚力が生じているとき周囲の空気にはどこかで必ず逆向きの運動が起きる。；誰が見てもどこから見ても今のエンタープライズの方が優れている。；しかし、この場合にどこの国の法が適用されるかについては問題が生じる。；発砲したところ、弾は翼膜を貫通したがそのままどこかへ消えたという。；どこの政党を支持し投票をするかについては会員の自由となっている。；どこか捨てがたい魅力ある競技の進歩発展を阻害してきたものと思う。；かつて地球と呼ばれた惑星ゾラはどこまでも砂漠が広がる星となっていた。；半影だけが地球にかかって、地上のどこからも中心食が見られないこともある。；雨と雷が去ったのち、兵たちが玉座を見ると、王の姿はどこにもなかった。；ヤマヨモギとサボテンのいくつかの種と草の多くの種はどこでも見られる。；すなわちムスリムであれば世界のどこへ行ってもシャリーアが適用される。；彼女はどこもすぐに暇を出されるので、奉公先に縁がないとのことだった。；スターンバックは艦の構造やどこに何があるかといった考証を担当した。；ただしインバータ式安定器は日本国内であればどこでも使用できる。；ポケットに入る大きさであり、どこでもパンチカードを作ることができる。</t>
        </is>
      </c>
      <c r="J6062">
        <f>HYPERLINK("https://www.weblio.jp/content/どこ", "词义详情")</f>
        <v/>
      </c>
      <c r="K6062">
        <f>HYPERLINK("https://yourei.jp/どこ", "查看例句")</f>
        <v/>
      </c>
    </row>
    <row r="6063">
      <c r="A6063" t="inlineStr">
        <is>
          <t>どこか</t>
        </is>
      </c>
      <c r="B6063" t="inlineStr">
        <is>
          <t>成功</t>
        </is>
      </c>
      <c r="C6063" t="inlineStr">
        <is>
          <t>読み方：どこか
［連語］《「か」は副助詞》（副詞的にも用いる）
１はっきりと指示できない場所を示す。「—で聞いた文句だ」「—遠くへ行きたい」
２はっきりとは示せないが、そのようであるという気持ちを表す。何となく。どこやら。「—変だ」</t>
        </is>
      </c>
      <c r="D6063" t="inlineStr">
        <is>
          <t>どこか遠く；どこかへ消え；どこか遠い；どこかへ出かけ；どこかおかしい</t>
        </is>
      </c>
      <c r="E6063" t="inlineStr">
        <is>
          <t>どちらか；ぼんやりと；何となく；何処か；どことなく</t>
        </is>
      </c>
      <c r="F6063" t="inlineStr">
        <is>
          <t>どこかへ遊び；どこか悲し；どこか楽し；どこかへ飛び；どこかのんびり</t>
        </is>
      </c>
      <c r="H6063" t="n">
        <v>29</v>
      </c>
      <c r="I6063" t="inlineStr">
        <is>
          <t>時々どこかに電話をかけるが、相手が出ても何も話さずに切ってしまう。；目覚めるとそこはどこかの基地の内部で、一家は事の経緯を説明される。；そこで彼はどこかで会ったことがあるような気がする少女エミと出会う。；これは中央海嶺にできており、過去にどこかの大陸に属したことはない。；客たちは二人をよそ者扱いしているのかどこか馬鹿にした風に二人を扱う。；バスを待っているうちに突然、別のバスで女の子はどこかへ行ってしまう。；産まれた子は焼き殺されそうとしていたところ、どこかへ消えたという。；単為生殖の子どもはどこかに異常があるか、早死してしまう場合が多い。；魍鬼八大将軍がどこか死に急いでいるようにミロク帝が感じたのはこの為。；この場合でも食事を準備するためのスペースが列車内のどこかに用意されている。；数字から見ても、どこか記念的な意味が隠されているようにも思える。；揚力が生じているとき周囲の空気にはどこかで必ず逆向きの運動が起きる。；したがって一般的にはその生物のどこかを調べて年齢を判断しなければならない。；発砲したところ、弾は翼膜を貫通したがそのままどこかへ消えたという。；どこか捨てがたい魅力ある競技の進歩発展を阻害してきたものと思う。；夜になり、どこか泊まる場所を探していると、一軒の家にたどりついた。；犯人役である場合は必ずどこかに犯人にちなんだ星形の物を身に着けている。；栗田が「もうどこかへいってしまいたい」と発言していたとする本もある。；損益を計算するためには、どこかで時間的な区切りを設ける必要がある。；どこかに移転されたものと考えられるが、場所は分かっていない。；その際に、どこかで聞いたことのある声がしたとも言っていた。；だが、バスの乗客は皆どこかで見たような何か訳ありの人達ばかり。；クリア戦が終わった後はわずかな笑顔を見せてまたどこかへ旅立って行った。；スペンサーの頭はステージの床に落ちた後、どこかの道路の上に落下する。；実際にドナルドとの共演作品では一緒にどこかへ出かけている設定のものが多い。；死の床でどこか遠くの風景が見えていたのかもしれない。；基本的にマシンが爆発すると、どこかに新しいマシンが出現する。；二人が再会した時も「どこかで会ったことがある」程度にしか覚えていない。；怒った兄が妹を打ち据えたところ、妹は悲しみどこかへ消え去ったと言う。</t>
        </is>
      </c>
      <c r="J6063">
        <f>HYPERLINK("https://www.weblio.jp/content/どこか", "词义详情")</f>
        <v/>
      </c>
      <c r="K6063">
        <f>HYPERLINK("https://yourei.jp/どこか", "查看例句")</f>
        <v/>
      </c>
    </row>
    <row r="6064">
      <c r="A6064" t="inlineStr">
        <is>
          <t>どことなく</t>
        </is>
      </c>
      <c r="B6064" t="inlineStr">
        <is>
          <t>成功</t>
        </is>
      </c>
      <c r="C6064" t="inlineStr">
        <is>
          <t>読み方：どことなく
［副］
１どことはっきり言えないが、なんとなく。「—似ている」
２どこと定まった場所もなく。
「—地にはふ蔦のあはれなり／越水」〈曠野〉</t>
        </is>
      </c>
      <c r="D6064" t="inlineStr">
        <is>
          <t>どことなく似(2%)；どことなく嬉しそう；どことなくおかしい；どことなく落ち着かない；どことなく暗い</t>
        </is>
      </c>
      <c r="E6064" t="inlineStr">
        <is>
          <t>どこか；ぼんやりと；何となく；何処か；心なしか</t>
        </is>
      </c>
      <c r="F6064" t="inlineStr">
        <is>
          <t>まだどことなく；どことなく冷たい；どことなくぎこちない；どことなく野暮ったい；どことなく荒ん</t>
        </is>
      </c>
      <c r="H6064" t="n">
        <v>29</v>
      </c>
      <c r="I6064" t="inlineStr">
        <is>
          <t>彼はどことなく気分が悪くなり、坐りこんだほうがよさそうだと思った。；それぞれ、どことなく自分の家に帰ってきたような気楽な雰囲気がある。；顔のどことなく伊香保の三階に見し人に似たりと思うもそのはずなるべし。；どことなく不安そうに見えるのは、武器を身につけていないからだろうか。；その表情は、前よりもどことなく心を許したものになった風に見える。；どことなく品があって、やっぱりテレビに出てくるタレントのようだった。；死ぬ以外にゴールのない戦いは、どことなく人生そのものに似ていた。；その眺めは発光インキで描いた様式化された旭日にどことなく似ていた。；そうして、どことなく元気がないように感じられる校舎へ足を向けた。；どことなく頭がぼーっとしているのは、昨日少し遅かったせいだろうか。；黒ずんだ色をして立っている山の林がどことなく灰色になって来た。；風体のどことなくみやびた風からして、このあたりのものではあるまい。；その顔はいつもと変わらない無表情だが、どことなく眠そうにも見えた。；そしてどことなくイブセンの描いたのに似たような強い女も出て来た。；さっきの春香変装の一件から美夏の様子がどことなくおかしいんだよな。；一つだけ言うとすれば、彼の絵は線がきれいでどことなく上品である。；部屋の中に、昨夜私が寝た時とはどことなく変った所がある様な気がするのです。；水夫らしくもないが、しかしまたどことなく海臭いところがあったのだ。；しゃがれた、どことなく人を嘲笑するような響きを感じさせる声だった。；かれらの顔つきには、どことなくびっくりしているようなところがあった。；どことなく強気な表情に戻ると、目の前の露店から、あるものを取った。；他の運転手たちが出て行くのをどことなくいらいらして待っているようだった。；その写真の女性がどことなく自分に似ているような気がした。；言われてみれば、娘は、どことなくお喜和に似ているような気がした。；あまり好い男と云うでもないがどことなく味のある顔をしていた。；朋江の様子がまたどことなくおかしいことにも、気付くはずもなかった。；ベルガラスが話し終えたとき、皇帝の表情はどことなく疑わしげだった。；そういえば目のまえにいる男は、どことなくあの文章と似ている。；河原の石のつやつやしたしかしどことなく寂しい色をした山の暁である。</t>
        </is>
      </c>
      <c r="J6064">
        <f>HYPERLINK("https://www.weblio.jp/content/どことなく", "词义详情")</f>
        <v/>
      </c>
      <c r="K6064">
        <f>HYPERLINK("https://yourei.jp/どことなく", "查看例句")</f>
        <v/>
      </c>
    </row>
    <row r="6065">
      <c r="A6065" t="inlineStr">
        <is>
          <t>とことんまで</t>
        </is>
      </c>
      <c r="B6065" t="inlineStr">
        <is>
          <t>成功</t>
        </is>
      </c>
      <c r="D6065" t="inlineStr">
        <is>
          <t>最後まで；とことん；終わるまで；終わりまで；極限まで</t>
        </is>
      </c>
      <c r="H6065" t="n">
        <v>29</v>
      </c>
      <c r="I6065" t="inlineStr">
        <is>
          <t>ここまで来てしまったんだから、とことんまでやらなくちゃいけないわ。；その答えを見つけるためにも今日はとことんまでやることはやってみる。；こいつはとことんまで解決しておく価値のある事件の一つなんですよ。；変った男にはちがいないが、とことんまで、この男のことはつかんでいる。；最初は送るつもりがなく、とことんまで好き勝手してたんですから当然です。；男たるもの戦いをはじめた以上、とことんまでやらねばならないと。；道のこと、川のこと、山のけわしさなど、とことんまで調べて置きます。；勝負をしているからとにかくみんなとことんまでやっていたい。；彼の功績と言えば、とことんまで怪物になりきれなかったことくらいだったのだ。；あんたには、今夜はとことんまでつきあえっていわれて社を出てきたんだ。；だが、どうせとことんまで行くならもう一枚引いてからにするがいいじゃないか。；しかも、とことんまでついていないことには、火薬が濡れてしまったのだ。；わたくしたちが、とことんまで彼に信頼をよせていることは否定できません。；とことんまで追跡していったら、もう就寝の時間はとっくに過ぎていた。；非常に投げやりな言葉でございますが、とことんまでいく決意でございます。；魚をとことんまで知っている人への信頼感に、いよいよフグは美味になった。；だから、碁以外に、これはと思ったものには、とことんまで打ちこんだ。；しかし、まもなくわしを完全に、とことんまで信用する時がくるさ。；真の事実をとことんまで無視することで満足するのだ。；それにしても、かれは、自分の夢をとことんまで実現することはできなかった。；追いつめられている際ではあり、これをとことんまで利用せずにはおかないだろう。；会社に電話して、もし連絡が入っていなければ、とことんまでドアの前で待ってやる。；もしどちらか一方とだけの勝負なら、カクさんもとことんまで来たにちがいない。；そして、ただそれをとことんまで理解しようと努めてみさえすれば、分かるんです。；そのために彼女はひどくやせたが、それでもとことんまでやりぬいた。；もし彼女が殺されたのだとしたら、私はとことんまで調べて犯人を処罰するつもりです!；練習をしなくてもある程度の成績を残せるから、とことんまで落ちることはない。；わたしは、とことんまで服従してついて来てくれる人間でなければ使うわけにはいかん。；その自由をとことんまでつきつめていくと、アナーキズムになるんですよ。</t>
        </is>
      </c>
      <c r="J6065">
        <f>HYPERLINK("https://www.weblio.jp/content/とことんまで", "词义详情")</f>
        <v/>
      </c>
      <c r="K6065">
        <f>HYPERLINK("https://yourei.jp/とことんまで", "查看例句")</f>
        <v/>
      </c>
    </row>
    <row r="6066">
      <c r="A6066" t="inlineStr">
        <is>
          <t>床の間</t>
        </is>
      </c>
      <c r="B6066" t="inlineStr">
        <is>
          <t>成功</t>
        </is>
      </c>
      <c r="C6066" t="inlineStr">
        <is>
          <t>読み方：とこのま
日本建築で、座敷の床を一段高くし、掛け軸・置物・花などを飾る所。中世、書院造りの発達とともに形成され、近世以後の重要な座敷飾りとなった。</t>
        </is>
      </c>
      <c r="D6066" t="inlineStr">
        <is>
          <t>床の間つき；床の間付き；床の間寄り；床の間に置並べ；床の間侍</t>
        </is>
      </c>
      <c r="F6066" t="inlineStr">
        <is>
          <t>暗い床の間；小さな床の間</t>
        </is>
      </c>
      <c r="H6066" t="n">
        <v>29</v>
      </c>
      <c r="I6066" t="inlineStr">
        <is>
          <t>私のいる第一の部屋には二つのベッドがある広い床の間が付いています。；建物のはずれの室で二方に大きい窓が開いた床の間つきの六畳であった。；座敷中にはこの床の間の軸と花瓶の外は全く何一つ置いてないのである。；床の間に続いている部屋へ、もう一つベッドをおくことにしましょう。；何よりもさきに床の間を見た彼は、自分の眼を疑わずにはいられなかった。；すると種床の間の小さな小路に奴ぁ立って紙の袋をかかえているのです。；床の間にのせられてる机の上には、真白な布巾の下に薬瓶が並んでいた。；不意のことであったため小楠は床の間に置いた大小を手に取れなかった。；王子はその玉をおうちへ持って帰って、床の間に置いておきました。；美雨は門弟達の前を横切り、床の間と反対側の壁の前にそっと移動した。；日本では床の間などに掛けて鑑賞し、「床掛け」と言われることもある。；生花は江戸時代に床の間を飾る為に成立した古典様式のいけばなである。；海の上にはいくつかの島がまるで床の間に並んだ置物のように整列していた。；先生が出て来て、黙って床の間の本棚から算術の例題集を出してくれる。；前の日に片づけたのだと母が云つた雛の箱が床の間に載せてあつた。；意識してはいたのだけれど、僕は床の間に飾られた花を見なかった。；その右手の床の間にはガラスの箱に入ったお人形が飾ってあった。；時々眼を開けて見ると、例のごとく洋灯が暗くして床の間の上に載せてあった。；母の部屋へも、先生の床の間へも、ちゃんと活けるように言って来ました。；西宮は床の間を背に胡座を組み、平田は窓を背にして膝も崩さずにいた。；床の間に香炉が置いてあったが、いつもの香炉とは違うようであった。；あの原稿を書いてゐる部屋へはもう床の間の風なども吹きこんで来ないことであらう。；床の間のようなところへいき、立てかけてあった二本の日本刀をつかんだ。；床の間の雪舟の枯山水の軸が茶室の静寂さをより幽玄なものにしている。；壁のすこし崩れている床の間には、山水の掛物もかかっていなかった。；炉に燻る香の匂いと床の間の花の籠った匂いでおまえは頭が痛いといった。；その部屋の、床の間のような一段高くなった場所に、その女性は座っていた。；奥は、それを床の間へ持って行って、この鹿の角の刀かけに掛けた。；余の寝ている八畳に付いた床の間は、余の足の方にあった。</t>
        </is>
      </c>
      <c r="J6066">
        <f>HYPERLINK("https://www.weblio.jp/content/床の間", "词义详情")</f>
        <v/>
      </c>
      <c r="K6066">
        <f>HYPERLINK("https://yourei.jp/床の間", "查看例句")</f>
        <v/>
      </c>
    </row>
    <row r="6067">
      <c r="A6067" t="inlineStr">
        <is>
          <t>どこまでも</t>
        </is>
      </c>
      <c r="B6067" t="inlineStr">
        <is>
          <t>成功</t>
        </is>
      </c>
      <c r="C6067" t="inlineStr">
        <is>
          <t>読み方：どこまでも
［連語］とどまることなく続くさま。徹底して。とことん。「—歩き続ける」「—しらを切る」</t>
        </is>
      </c>
      <c r="D6067" t="inlineStr">
        <is>
          <t>どこまでも続い(3%)；どこまでも続く(3%)；どこまでもつづい；どこまでもつづく；どこまでも追いかけ</t>
        </is>
      </c>
      <c r="E6067" t="inlineStr">
        <is>
          <t>あくまで；あくまでも；徹底的に；心底；限りなく</t>
        </is>
      </c>
      <c r="F6067" t="inlineStr">
        <is>
          <t>どこまでもつづき；どこまでも追っかけ；どこまでも連なる；どこまでも真直ぐ；どこまでも青い空</t>
        </is>
      </c>
      <c r="H6067" t="n">
        <v>29</v>
      </c>
      <c r="I6067" t="inlineStr">
        <is>
          <t>自己の身体すらもどこまでも自由に取扱うことができるとはいわれない。；いわゆる種が実となり実が種となってどこまでも継続して行くものである。；趣味にしても人の好悪にしても祖母はどこまでも現世的であったと思う。；人間の感性はどこまでも人間的であって、単に動物的であるのではない。；あの甲良のようにしっかりと、どこまでも走って行くことが出来るよと。；どこまでも秘密から秘密へと落ち込んで消えていく筋合のものであった。；本当に生きる者にとっては、自分の生活はどこまでも自分のものである。；頭が、どこまでも考えることをしないように癖のついて居ることを感じる。；人形はやはりどこまでも人形として可愛がってやらなければなりません。；しかしそれはどこまでも自分中心でなく、神中心でなければならない。；私たちはどこまでもこのことを信じて、しばらくも忘れてはならない。；一旦は不思議に思われるとも、この言葉はどこまでも信じられてよい。；雪に包まれ、地平線がどこまでも続く世界で少年は一人で生活していた。；私はお前のソヴェト権力と一緒に正しいところはどこまでも突っ張るよ。；しかしどこまでも信用の出来る案内者はあり得べからざるものである。；余は日本青年会のどこまでも実着に真面目にあることを願ふばかりである。；私有関係の外に向けて、どこまでも出ていくための経路は、なになのか。；ゆえにわたしらはどこまでも料理等の事をもって婦人の天職と思うなりと。；必死になって逃げ行くあとを必死になって、どこまでも追うていった。；暗い夜がどこまでもこめているばかりで、その闇を劈く例の音はなかった。；しかしその晩は私にとって、どこまでも運悪く出来上っていたのでしょう。；どこまでも澄んでゐて、しかも底の知れないものが、眞に深いのである。；彼女はやはりどこまでも女性的な小さいものが好でありました。；ロシアの仲間の為なら俺は決して諦めないし、どこまでもついていく。；即ち、個人的生命はどこまでも維持発展することのできるものであろうか。；先生のためならばこれから先どこまでも力になるつもりでいる。；どこまでも自分の人生を語りつづけて行く貴方の声がききたいのです。；それで僕は正三がどこまでも男子の意気を失わない決心なら賛成です。；その間にどこまでも意地の悪い霧はいつかほのぼのと晴れかかりました。</t>
        </is>
      </c>
      <c r="J6067">
        <f>HYPERLINK("https://www.weblio.jp/content/どこまでも", "词义详情")</f>
        <v/>
      </c>
      <c r="K6067">
        <f>HYPERLINK("https://yourei.jp/どこまでも", "查看例句")</f>
        <v/>
      </c>
    </row>
    <row r="6068">
      <c r="A6068" t="inlineStr">
        <is>
          <t>床屋</t>
        </is>
      </c>
      <c r="B6068" t="inlineStr">
        <is>
          <t>成功</t>
        </is>
      </c>
      <c r="C6068" t="inlineStr">
        <is>
          <t>読み方：とこや
《江戸時代、髪結いが床店(とこみせ)で仕事をしていたところから》髪結い床。また、理髪店。</t>
        </is>
      </c>
      <c r="D6068" t="inlineStr">
        <is>
          <t>床屋さん(3%)；床屋外科；床屋アブー・シール；床屋政談；床屋代</t>
        </is>
      </c>
      <c r="E6068" t="inlineStr">
        <is>
          <t>散髪屋；理髪店；美容院；理容室；ヘアサロン</t>
        </is>
      </c>
      <c r="F6068" t="inlineStr">
        <is>
          <t>床屋外科医</t>
        </is>
      </c>
      <c r="G6068" t="inlineStr">
        <is>
          <t>床屋のパラドックス</t>
        </is>
      </c>
      <c r="H6068" t="n">
        <v>29</v>
      </c>
      <c r="I6068" t="inlineStr">
        <is>
          <t>それが彼の床屋に行って味わう不思議な楽しみの唯一つのものであった。；「床屋に行くほど髪はのびてないわ」と娘が私の頭に光をあてて言った。；あとで知ったことだが人口五千の町なのに床屋は九軒もあるという。；同時に、彼は母親のために立派な床屋にならなくてはとも思っていた。；近所の床屋に唖者が来てゐると云ふので、正三は兄と一緒に見に行った。；いま、こうして床屋に来る気になったのは、彼なりの向上心からだった。；彼女は巻毛をも少し高くしたいといって、床屋に種々注文をしていた。；髪を短くしたので床屋の外に出るとさすがに海からの風が冷たい。；わしだつて町の床屋や、トチ婆さんのところへ行く気にはならないもの。；床屋はたいていは大人だがどうかすると若い男の子みたいなのもいる。；トンガで有名な最初の日本人中尾さんは、はじめ床屋をやって成功した。；彼等は曾つて床屋で顏を合した四人の青年、その友人の四五人であつた。；寺へまっすぐかえるつもりなら、床屋を出てから、左へ行くべきだった。；対するテレビは、床屋を始めた女性が店の中を目まぐるしく移動していた。；そういうことが何回か続いたあと、ついにぼくは床屋との縁を切ったのである。；會の始まるまで、と皆の散歩に出たあと、私は近くの床屋で髮を刈つた。；床屋の女房がもとは辰巳芸者だったという触れ込みは評判にもなろうさ。；さて金曜、青年は娘を訪れる前に床屋を呼んで身なりを整える事にした。；床屋を生業としている母に患者の伸びた髪を切ってくれないかと頼んだのである。；君のいないあいだに、今の床屋の口から大変なことが露れたのだ。；とにかく明日は床屋に行こうと、また声に出して、おれは一人ごとを言った。；そのかしげた首を、床屋がうしろからちょっと邪慳にまっすぐにさせる。；すると床屋が、いったいこの男は何国人だろう、というような顔をした。；床屋に行っても気づかれないぐらいに馴染ませたい、それだけなのだ。；そして「玄関口に散髪用の椅子と鏡があったから床屋かもしれない」と。；床屋がきれいに散髪してくれて「すこし若返りましたね」といいました。；私は弟をつれていろんな所へいかされたが床屋につれていくのが一番好きだった。；私はカラファさんに礼をいわなければならないと思い、床屋に案内させた。；そこで腫物に口をつけるため、床屋を呼んでくると、彼は頬を切りました。</t>
        </is>
      </c>
      <c r="J6068">
        <f>HYPERLINK("https://www.weblio.jp/content/床屋", "词义详情")</f>
        <v/>
      </c>
      <c r="K6068">
        <f>HYPERLINK("https://yourei.jp/床屋", "查看例句")</f>
        <v/>
      </c>
    </row>
    <row r="6069">
      <c r="A6069" t="inlineStr">
        <is>
          <t>所</t>
        </is>
      </c>
      <c r="B6069" t="inlineStr">
        <is>
          <t>成功</t>
        </is>
      </c>
      <c r="C6069" t="inlineStr">
        <is>
          <t>読み方：く
［語素］名詞、または、それに準じるもの、動詞の連用形に付いて、場所の意を表す。「いず—」「こもり—」
[補説] 「すみか」の「か」、「どこ」の「こ」と同語源と考えられる。</t>
        </is>
      </c>
      <c r="D6069" t="inlineStr">
        <is>
          <t>所有地；所持金；所所長；所跡；所なき</t>
        </is>
      </c>
      <c r="E6069" t="inlineStr">
        <is>
          <t>ところ；場所；位置；地；点</t>
        </is>
      </c>
      <c r="F6069" t="inlineStr">
        <is>
          <t>洗面所；強制収容所；発電所；法律事務所；こんな所</t>
        </is>
      </c>
      <c r="G6069" t="inlineStr">
        <is>
          <t>所有；所在；所蔵；所在地；所領</t>
        </is>
      </c>
      <c r="H6069" t="n">
        <v>29</v>
      </c>
      <c r="I6069" t="inlineStr">
        <is>
          <t>そして各需要家に発電所から電気を供給するためのシステムを構築した。；島内の至る所で猫が無防備な姿でいるため、猫好きの人間もよく訪れる。；各藩の城下町だった地域には、現在も武家屋敷等が残っている所が多い。；競馬場の馬場の内側にも来場者用の駐車場を設置している所も見られる。；中でも浅草は江戸で最も人が集中する所で人・物・金が集まってきた。；杣川から北へ少し離れた所にあり、駅付近は細い路地が入り組んでいる。；道具を探すのが得意で見つけにくい所でも簡単に見つけてしまう。；広義には、天文台や「農業試験所」なども含めて指している場合もある。；雪や雨は一時的な現象なので、川の持続的な水源は地下水である所が多い。；駅舎解体前までは地元住民の集会所やイベント広場として利用されていた。；霧のかかるような所では種類が多いことも同様である。；大辞泉には「住んでいる所を離れて、よその土地を訪れること」とある。；そして、ガス領域の至る所で新しい星の生成を連鎖反応的に起こす。；何でもないからと一人部屋に残った彼女の所にアルフレードが来る。；また、テナントとして有名ホテルがレストランを出店している所もある。；この礼拝所にはその日だけで2000人を超える人が足を運んだ。；全列車が吹田総合車両所日根野支所に所属する電車で運転されている。；それは結局の所、自身への反乱と内戦への危機を作り出してしまったのである。；パタリロのいい所も悪い所も同時に理解して受け入れている。；上項と同じ単位を用いながら、その内容の示す所は異なる。；待合室は旧信号テコ扱い所であったため、その形跡がよく分かる駅だった。；何度かの修正が加わったが、譲れない所にはヴェルディは強硬だった。；新駅舎は、隣接の東浜駅のような待合所を備えた簡易的な駅舎である。；また奥行きが大きいことから、搬入経路や置き場所の考慮も必要である。；ここの所非常に大きなニュースが続いています。；これは1830年代に収容所や自由放任経済が正当化されるのに用いられた。；フランス国境に近く、最も近い所で街の中心から約10キロ程度。；芋を掘るには深い穴を掘らねばならないので、なるべく斜面の所を探す。；黒が2の所に打つと隅の白4子が取れて大きな黒地ができる得をする。</t>
        </is>
      </c>
      <c r="J6069">
        <f>HYPERLINK("https://www.weblio.jp/content/所", "词义详情")</f>
        <v/>
      </c>
      <c r="K6069">
        <f>HYPERLINK("https://yourei.jp/所", "查看例句")</f>
        <v/>
      </c>
    </row>
    <row r="6070">
      <c r="A6070" t="inlineStr">
        <is>
          <t>ところが</t>
        </is>
      </c>
      <c r="B6070" t="inlineStr">
        <is>
          <t>成功</t>
        </is>
      </c>
      <c r="C6070" t="inlineStr">
        <is>
          <t>［接］《接続助詞「ところが」から》前の事柄から予想されるものと相反する内容を導く。そうであるのに。しかるに。「評判はあまりよくなかったんだ。—見ると聞くとでは大違いだったよ」</t>
        </is>
      </c>
      <c r="D6070" t="inlineStr">
        <is>
          <t>ところが今；ところが実際；ところがいま；ところが最近；ところが突然</t>
        </is>
      </c>
      <c r="E6070" t="inlineStr">
        <is>
          <t>しかし；だが；けれど；それでも；けれども</t>
        </is>
      </c>
      <c r="F6070" t="inlineStr">
        <is>
          <t>コロコロところが；ところがステファン卿；ところが運悪く；ところがどっこい；ところが或る晩</t>
        </is>
      </c>
      <c r="G6070" t="inlineStr">
        <is>
          <t>ところがぎっちょん</t>
        </is>
      </c>
      <c r="H6070" t="n">
        <v>29</v>
      </c>
      <c r="I6070" t="inlineStr">
        <is>
          <t>ところが球団が聞く耳を持たなかったから水原さんは去っていくわけです。；ところが、今度は燕と三条のどちらを先にするかで新たな議論が生じた。；ところが喉の病気が原因で、思い切り歌うことが出来ない身体であった。；ところが直線に入ったとたん突然の猛スパートをかけ、見事に優勝した。；ところがとされ、現在ではイスラエル人口の過半を占めるに至っている。；ところが1911年に会社は設立したが一向に工事は行われなかった。；ところが、日本軍の占領が始まってから二日で、この見込みは一変した。；ところがそれがなされていないため問題となる場合がある。；ところが7月7日になってインタビューの延期を示唆し始めたという。；ところが、哲学の場合は名前を聞いただけでは何を研究する学問なのか分からない。；ところがもはや、このような中間領域は認められなくなってしまった。；ところが、会社を一歩出るとラジオの話なんか誰もしていない。；ところが、方法に間違いがあったことから失敗し、不具の子であった。；ところがヒトラーは6月29日にふたたびソ連との接触停止を命じた。；ところが周りの者が、お菊がわざと皿を割った瞬間を目撃していた。；ところが、ある日出勤したところ、なぜか全員退職したことになっていた。；ところが、日本軍が占領してみると降伏兵は全くいなかった。；ところが給料袋を運んでいる時に山賊に奪われギャリスが殺害される。；ところが、その時の日本は幕府使節団が予想もしていない状況に一変していた。；ところがこの頃から、市民の間からは電車市営の要望が出されるようになる。；ところが、卑しい欲張りがいて、壟断に登って左右を見まわしたのです。；ところが3月に入ると、氏親は病に倒れ、わずか16歳で死去してしまう。；ところが、一定の範囲に2本のブナが双子のように生えている場合がある。；ところが敵役は背中に刀が当たるものと思っていたが当たらない。；ところが、目一杯炉の火を焚き続けたため、燃料がなくなってしまう。；ところが父が病気で倒れてしまったのだった。；ところがこの「保護国法」をどのように解釈するかで学説が分かれている。；ところが、甘寧はこの料理人を樹に縛りつけた上で射殺してしまった。；ところが直後に鳩山・三木以下幹部の多くが公職追放の対象となってしまう。</t>
        </is>
      </c>
      <c r="J6070">
        <f>HYPERLINK("https://www.weblio.jp/content/ところが", "词义详情")</f>
        <v/>
      </c>
      <c r="K6070">
        <f>HYPERLINK("https://yourei.jp/ところが", "查看例句")</f>
        <v/>
      </c>
    </row>
    <row r="6071">
      <c r="A6071" t="inlineStr">
        <is>
          <t>ところで</t>
        </is>
      </c>
      <c r="B6071" t="inlineStr">
        <is>
          <t>成功</t>
        </is>
      </c>
      <c r="C6071" t="inlineStr">
        <is>
          <t>［接］《接続助詞「ところで」から》
１いったん言葉を切って、話題を変えるとき用いる。ときに。それはそれとして。「—あなたはどうします」
２
㋐それで。ゆえに。
「其のくじに一くじが出たぞ。—臣下共が、今年ばかり代を御もちあらうかと」〈蒙求抄・一〉
㋑けれども。だが。
「こなたへは参り候ふまいといふぞ。—三度まで行かれたぞ」〈蒙求抄・一〉</t>
        </is>
      </c>
      <c r="D6071" t="inlineStr">
        <is>
          <t>ところであなた；ところで君；ところで僕；ところで今日；ところできみ</t>
        </is>
      </c>
      <c r="E6071" t="inlineStr">
        <is>
          <t>ちなみに；ついでに；因みに；ついでながら；余談ですが</t>
        </is>
      </c>
      <c r="F6071" t="inlineStr">
        <is>
          <t>ところで読者諸君；ところでワトスン君；ところで警部さん；ところでその頃；ところでお前さん</t>
        </is>
      </c>
      <c r="H6071" t="n">
        <v>29</v>
      </c>
      <c r="I6071" t="inlineStr">
        <is>
          <t>ところでどのような条件の下でログローリングが成立するのであろうか?；ところで此度の革命と申しまするものは之と全く違つたものであります。；ところでエディソンはそうしている中にうまい考えを実行に移しました。；ところで、僕が日本へ帰つて来て、一番驚いたことはなんだと思います?；ところでこの国学は清朝考証学がそのまま拡大し成立したものではない。；ところで、わたくしがそれが四億年でないといふことを発見したですな。；ところで僕は、あの怪物が岩の上で消えてなくなるところを見たんだ。；ところで関西といっても京都と大阪とでは名前がころりと変っている。；ところで、さういふ作家の一群が存在しはじめた理由はどこにあるか。；ところで、それがまた慣れて来る時分には、別な危険が身にせまつてゐた。；ところであなたは顔が広いようですからグレイ氏の名前をご存じでは?；ところで主人が居なくなった東京の故宅には、一小事変が起ったのである。；ところでその時は疲労がだんだん烈しくなって仕方がなくなって来たです。；ところで、コッピが現役最後となったチームの監督はバルタリであった。；ところでその人物は写真を使ってどうするつもりなのですか?；ところで商人もおそらくそれについて何か意見があるかもしれない。；ところで教えてくれないか、どうやって途中で情報を取ったんだ?；ところで、食事と食事とのあいだの時間にも、同じ話題が語られるのだった。；ところで、さういふ状態にある僕たちの前に、不幸な事件が起つたんです。；ところで彼を秀吉へ誰が推薦したかというと、千利休だということである。；ところで、弟は困ったことにときどき身を犠牲にする用意があるように見えます。；ところで、今度は牧田の方の問題だが、これもやっぱり女出入りなのだ。；ところで、私はまだ彼をこの眼で見ることはできないでいます。；ところで、第二のふしぎな事件は、あなたがたも、ぼくも見ていません。；ところでこんな長い報告書がまったく意味のないものであるはずがありませんわ。；ところで、考へてみると、この十年、二人で楽しい旅をしたこともない。；ところで博士は、その中の、どこの人間だか知らないといっている。；ところで、名古屋港には海底トンネルが少なくとも2本設けられている。；ところで日本では申年はウメが不作になることが多いと言われてきた。</t>
        </is>
      </c>
      <c r="J6071">
        <f>HYPERLINK("https://www.weblio.jp/content/ところで", "词义详情")</f>
        <v/>
      </c>
      <c r="K6071">
        <f>HYPERLINK("https://yourei.jp/ところで", "查看例句")</f>
        <v/>
      </c>
    </row>
    <row r="6072">
      <c r="A6072" t="inlineStr">
        <is>
          <t>所々</t>
        </is>
      </c>
      <c r="B6072" t="inlineStr">
        <is>
          <t>成功</t>
        </is>
      </c>
      <c r="C6072" t="inlineStr">
        <is>
          <t>読み方：しょしょ
あちらこちら。ここかしこ。「—に人が立っている」</t>
        </is>
      </c>
      <c r="D6072" t="inlineStr">
        <is>
          <t>所々方々；所々に小さな；所々裂け；所々破れ；所々火消</t>
        </is>
      </c>
      <c r="E6072" t="inlineStr">
        <is>
          <t>各地；あちこち；あちらこちら；そこかしこ；そこらじゅう</t>
        </is>
      </c>
      <c r="F6072" t="inlineStr">
        <is>
          <t>在所々；ほんの所々</t>
        </is>
      </c>
      <c r="H6072" t="n">
        <v>29</v>
      </c>
      <c r="I6072" t="inlineStr">
        <is>
          <t>なお列車内や所々には、会社に属する一種の警備兵が配置されている。；玄白は、所々を押したり引いたりしてみたが、口は一分も開かなかった。；実際には両者は所々でつながっており完全に独立したものではない。；所々に往来の傍に立っている一軒家の前を通るごとに、彼は自ら言った。；オムニバス形式でありながら、所々シリーズ化されている作品でもある。；院が繰り返しの所々で声をお添えになるのが非常に全体を美しいものにした。；現在も所々で街道筋が周囲より若干高い場所にあることが見て取れる。；これらの間には所々で横の連絡があって、その全体はややハシゴ型をなす。；これが模範となって十二世紀以後には西欧の所々に大学が作られ始める。；施設には所々にアイテムが落ちていて、それを有効に活用していく。；所々上の岩のために かくれているが足裏の皺まではっきりわかるのだ。；所々上の岩のために かくれてゐるが足裏の皺まではっきりわかるのだ。；そして所々に見える農家のほうへと、田の人影も水牛の影も戻って行く。；所々に白い星のあるのとか、絵の下に一つ一つ細かい字で説明がしてあった。；ダーマが使っている描写は作中には無いが、所々にロゴが描かれている。；変体仮名のまじった佐枝の手紙を、祖父は所々声を出して読んでくれた。；所々に壺穴の痕があって、その中には小さな円い砂利が入っていました。；所々に壺穴の痕があって、その中には小さな円い砂利が入ってゐました。；台地面の所々には幅が広く浅い谷があり、台地面の縁に段丘が見られる。；また、風で運ばれた細かい砂の層で覆われている箇所も所々にある。；片隅の枸杞の枝に、小さな実が所々残っていて、赤く艶々と光っていた。；桜の枝に一杯蕾がついていて、所々には花を開いてるのもあった。；そのすぐ側で、お文が所々裏の赤いのが剥げてゐる鏡に向つて坐つてゐた。；特に急な場所では凹凸のある岩の上を水が流れ下る状態で、所々は滝となる。；又夜更まで所々をうろついて珍らしい光明面と闇黒面とを味ふのである。；久保田藩も所々に役所を建て、同じようなことをしているではないか。；森に林に丘に池、所々に建物が立っていて、到る所にベンチがあった。；実際に1958年の西洋への旅の際には、所々で介添えが必要だった。；所々雲海の無い場所も存在するが、放電の危険があり近づく事もできない。</t>
        </is>
      </c>
      <c r="J6072">
        <f>HYPERLINK("https://www.weblio.jp/content/所々", "词义详情")</f>
        <v/>
      </c>
      <c r="K6072">
        <f>HYPERLINK("https://yourei.jp/所々", "查看例句")</f>
        <v/>
      </c>
    </row>
    <row r="6073">
      <c r="A6073" t="inlineStr">
        <is>
          <t>登山</t>
        </is>
      </c>
      <c r="B6073" t="inlineStr">
        <is>
          <t>成功</t>
        </is>
      </c>
      <c r="C6073" t="inlineStr">
        <is>
          <t>読み方：とざん
［名］(スル)
１山に登ること。山登り。「家族連れで—する」「—家」《季夏》⇔下山。
２山上の寺社に参詣すること。</t>
        </is>
      </c>
      <c r="D6073" t="inlineStr">
        <is>
          <t>登山客(5%)；登山道(5%)；登山口(3%)；登山ルート(3%)；登山家(2%)</t>
        </is>
      </c>
      <c r="E6073" t="inlineStr">
        <is>
          <t>山登り</t>
        </is>
      </c>
      <c r="F6073" t="inlineStr">
        <is>
          <t>単独登山；登山シーズン；登山ガイド；登山基地；登山部</t>
        </is>
      </c>
      <c r="G6073" t="inlineStr">
        <is>
          <t>登山者；登山口；登山家；登山隊；登山靴</t>
        </is>
      </c>
      <c r="H6073" t="n">
        <v>29</v>
      </c>
      <c r="I6073" t="inlineStr">
        <is>
          <t>今日ではそれは最後の60mを除いて簡単な登山だったと考えられている。；ただし、バス運行は正式路線区間に限らず登山口を中心に実施された。；荒川の源流となる上流部は、明確な登山道はなくアクセスは困難である。；こうしたことも、扇ノ山の夏季登山が行われなかった理由になっていた。；また登山も趣味にしており、テレビ番組の企画等で山に登ることも多い。；キナバル山登山ツアーとのセットでこの温泉に訪れるトレッカーも多い。；なお、この男性は参加していないが歩行訓練の数日後には登山の訓練もあった。；これが、山頂からの眺望を得るために登山をした最初の記録とされる。；また晩秋の新雪期には登山経験のない人は訪問を見合わせることが妥当。；本格的な登山道と山小屋が開設されたのは明治末期から大正中期以降であった。；登山は、山に登ることに楽しみを求め、登ること自体を目的とすること。；初めて女性が登ったのは、1914年に講中登山として記録されている。；登山ルートは複数存在するが整備された登山道は1本も存在しない。；主に林業の仕事道やバイクのツーリングや車で登山する人などが通る。；家臣を伴っていたが、自らが先頭に立って登山したと伝わる。；唐から戻った際、無事帰国できたことを感謝すべく、再び登山し修行した。；日本では時計製品と並んで登山用に広く知られている。；この登山道ができるまでは、大海川の中を歩いて行くしかなかった。；迷い込んだ登山客が硫化水素により中毒死した事故も複数起こっている。；地形図では登山ルートが複数書かれているが、現場には明瞭なルートはない。；ヨーロッパで盛んな山スキーも雪山を登ることから登山競技の一種である。；登山道が存在せず、無雪期の登山が極めて困難なことで知られる。；登山道は西側に表登山道と裏登山道が、東側に花緑公園側登山道がある。；中国が正式に登山許可を出し、規制を強化したのは1987年になってからである。；なお、剱岳に関しては、近年まで登山してはならない山とされていた。；登山中であれば遭難など深刻な状況に発展する可能性もある。；立山山麓には、岩峅寺や芦峅寺をはじめとした信仰登山の拠点があった。；登山に対する精神と劇的な生涯から、小説やドラマのモデルとなった。；商業登山や公募隊が盛んになり、登山者数はますます増加する傾向にある。</t>
        </is>
      </c>
      <c r="J6073">
        <f>HYPERLINK("https://www.weblio.jp/content/登山", "词义详情")</f>
        <v/>
      </c>
      <c r="K6073">
        <f>HYPERLINK("https://yourei.jp/登山", "查看例句")</f>
        <v/>
      </c>
    </row>
    <row r="6074">
      <c r="A6074" t="inlineStr">
        <is>
          <t>都市</t>
        </is>
      </c>
      <c r="B6074" t="inlineStr">
        <is>
          <t>成功</t>
        </is>
      </c>
      <c r="C6074" t="inlineStr">
        <is>
          <t>読み方：とし
多数の人口が比較的狭い区域に集中し、その地方の政治・経済・文化の中心となっている地域。「商業—」「学園—」</t>
        </is>
      </c>
      <c r="D6074" t="inlineStr">
        <is>
          <t>都市名；都市内；都市化；都市整備；都市生活</t>
        </is>
      </c>
      <c r="F6074" t="inlineStr">
        <is>
          <t>学園都市；各都市；諸都市；小都市；位置する都市</t>
        </is>
      </c>
      <c r="G6074" t="inlineStr">
        <is>
          <t>都市部；都市圏；都市化；都市公園；都市国家</t>
        </is>
      </c>
      <c r="H6074" t="n">
        <v>29</v>
      </c>
      <c r="I6074" t="inlineStr">
        <is>
          <t>ほとんど全郡でバス路線を運行しており、多くの都市にもバス便がある。；古代のアテネであるアテナイは強力な都市国家であったことで知られる。；誰もこの王国やその都シャタイルのことを聞いたことがないようだった。；区の長期基本計画によると、都市核と指定された地域は下の6つである。；ロシア国内ではこのほかの多くの都市でもトロリーバスが運行されている。；古代王国の後期には、魔法に力により幾多の特殊な都市が作られている。；ニューヨークはアメリカのみならず、世界で最も重要な都市となっている。；何百万人もの農民が工業化された都市に移動し、国は急速に発展した。；現在両都市を結んでいるイラワヤ線はおよそ2時間で運行されている。；産業はそれほど存在せず、政治の中心としての性格が強い都市である。；首都ローマにも都市を守る城壁であるセルウィウス城壁が築かれていた。；世界の諸都市のうち人口は25番目に多く、都市圏では18番目に多い。；イギリス国内およびヨーロッパのいくつかの都市を結んでいる。；現存する最古の都市とされるサナア旧市街は世界遺産に登録されている。；イラクは鉄道が発達しており、国内の主要都市すべてが鉄道で結ばれている。；中小私鉄は主にJRの駅から離れた都市とJR駅を結ぶ役割のものが多い。；東部の主要都市サンタクルスが開発されたのも第二次世界大戦前後からである。；ロンドンは世界のどの都市よりも多い480の海外の銀行がある。；州経済の発展は都市スプロール現象とそれに付随する兆候を生んできた。；ただしこの作品は他の都市ではあまり評価されなかった。；大会後には同一都市では初となるパラリンピックも開催された。；更に狭い地域や都市を一括りにして九州経済、大阪経済などと呼ぶこともある。；この4つの都市はいずれも人口の集中するメキシコの中央高原に位置している。；経済建設を重視し、穏健な改革を訴え、都市市民らの支持を集めたとされる。；こののちローマは領域を拡大させ、七つの丘を都市の領域とした。；カトイキアもまた、しばしば既存の都市を利用して建設されたといわれている。；パリは「光の都」と呼ばれ、ロンドンに匹敵する経済都市に成長した。；現在では農業人口は減少し都市近郊農業型へと転換している。；三権分立の観点から、国家の中枢機能を複数の都市に分割している国がある。</t>
        </is>
      </c>
      <c r="J6074">
        <f>HYPERLINK("https://www.weblio.jp/content/都市", "词义详情")</f>
        <v/>
      </c>
      <c r="K6074">
        <f>HYPERLINK("https://yourei.jp/都市", "查看例句")</f>
        <v/>
      </c>
    </row>
    <row r="6075">
      <c r="A6075" t="inlineStr">
        <is>
          <t>年</t>
        </is>
      </c>
      <c r="B6075" t="inlineStr">
        <is>
          <t>成功</t>
        </is>
      </c>
      <c r="C6075" t="inlineStr">
        <is>
          <t>読み方：とし
１時の単位。1月1日で始まり、12月31日に終わる12か月間。陽暦では、地球が太陽の周囲を1周する時間、365.2422日を1年とする。陰暦では、月が地球を12周する時間を1年とする。
２多くの歳月。年月。「—を経た神木」
３
㋐年齢。「—を取る」「—のわりには元気だ」
㋑人生の盛りを過ぎた年齢。老齢。「—を感じる」
４穀物、特に稲。また、稲が実ること。
「我が欲(ほ)りし雨は降り来(き)ぬかくしあらば言挙(ことあ)げせずとも—は栄えむ」〈万・四一二四〉
５季節。時節。
「今年はあやしく—急ぎて（＝早ク春ガ来テ）」〈宇津保・春日詣〉
[補説] 「とし」は元来穀物を意味し、1回の収穫に1年かかるので「年」を意味するようになったという。
[下接語]明くる年・好(い)い年・大年・一昨(おと)年・騎竹の年・来る年・犬馬の年・今(こ)年・半年・旧(ふる)年・毎年・耳順(みみしたが)う年・行く年・翌年（どし）相(あい)年・当たり年・いけ年・生まれ年・裏年・閏(うるう)年・御陰(おかげ)年・同い年・数え年・困窮年・年年・生(な)り年・貰(もら)い年・厄(やく)年</t>
        </is>
      </c>
      <c r="D6075" t="inlineStr">
        <is>
          <t>年前(4%)；年以上；年三月；年ぶり；年四月</t>
        </is>
      </c>
      <c r="E6075" t="inlineStr">
        <is>
          <t>年間；歳；年齢；年代；一年</t>
        </is>
      </c>
      <c r="F6075" t="inlineStr">
        <is>
          <t>二年；三年；一年；何年；五年</t>
        </is>
      </c>
      <c r="G6075" t="inlineStr">
        <is>
          <t>年齢；年代；年上；年度；年月</t>
        </is>
      </c>
      <c r="H6075" t="n">
        <v>29</v>
      </c>
      <c r="I6075" t="inlineStr">
        <is>
          <t>またこの事件の直後の6億年前には最後の大規模な陸地形成が起こった。；グレゴリオ暦はその後数百年かけて各国で採用され、現在に至っている。；またこの年の初夏、初めてフランスを中心とするヨーロッパに旅行した。；デザインが年数回更新され、古いデザインのカードは新たに入手できない。；地球上の生命は、およそ37億年前には存在していたという証拠がある。；これ以後、木星を観測して、その位置で年を記録することはなくなった。；アフガニスタンの環境問題は過去数十年の政治的混乱より以前からある。；したがって、閏秒が実施される年であってもその年を閏年とはいわない。；それ以外は、制定された年によって次のような通称で呼ばれることもある。；XMLを使用すべきかとの議論が何年も続けられているが、進展は遅い。；数百万年前、アフリカの小型のサルが二本足で直立する能力を獲得した。；少なくとも5万年前には現在のアフガニスタンには人間が住んでいた。；年をとるにつれて音楽の好みが変わる可能性があることを示す証拠が出ている。；この年以降の数年間は、年に一度は撮影現場を見学に来ていたという。；これが現在の日本将棋連盟の前身で、連盟はこの年を創立の年としている。；しかし政府の統計ではこの年に大きなインフレーションは起こっていない。；以下は、国産品の発売年が分かるものについては発売年を参考に分けた。；モジュタヘドになるためには、通常何十年もの年月を要したからである。；そのほとんどは1年から長くて十数年の非常に短い期間しか持続しなかった。；この年は永い作家生活の中で、初めて小説の発表が一編もなかった。；ロンドンの夏の平均気温は で、年に7日は を超え2日は を超える。；この年のリーグ戦は、前後半の区分がない1シーズン制で開催された。；両絵画共に制作年は明確ではないが、1482年頃であろうと想定されている。；この年にドイツが統一されたため、世界史の大きな転換点となった。；その年前半の僅かな時間でアルバムを作成し、ツアーのリハーサルを行った。；この年開催されたアテネ五輪には黒河貴矢がメンバー入りを果たした。；この年には彼の生涯で初となる名誉博士号がジュネーヴ大学より授与された。；約20万年前から活動を行い、約4万年前頃に現在の形に近い物となった。；設備改良の主な内容の始まった駅とその年は次の通り。</t>
        </is>
      </c>
      <c r="J6075">
        <f>HYPERLINK("https://www.weblio.jp/content/年", "词义详情")</f>
        <v/>
      </c>
      <c r="K6075">
        <f>HYPERLINK("https://yourei.jp/年", "查看例句")</f>
        <v/>
      </c>
    </row>
    <row r="6076">
      <c r="A6076" t="inlineStr">
        <is>
          <t>年上</t>
        </is>
      </c>
      <c r="B6076" t="inlineStr">
        <is>
          <t>成功</t>
        </is>
      </c>
      <c r="C6076" t="inlineStr">
        <is>
          <t>読み方：としうえ
年齢が上であること。また、その人。年長。年嵩(としかさ)。⇔年下。</t>
        </is>
      </c>
      <c r="D6076" t="inlineStr">
        <is>
          <t>年上男性；年上の兄弟たち</t>
        </is>
      </c>
      <c r="E6076" t="inlineStr">
        <is>
          <t>上；先輩；シニア；年長；目上</t>
        </is>
      </c>
      <c r="F6076" t="inlineStr">
        <is>
          <t>一つ年上；三つ年上；歳年上；四つ年上；一番年上</t>
        </is>
      </c>
      <c r="H6076" t="n">
        <v>29</v>
      </c>
      <c r="I6076" t="inlineStr">
        <is>
          <t>研修医時代に大学からの派遣で来ていた7歳年上の医師と出会い、結婚。；メソポタミアでは女神たちの方が男神より年上であると考えられている。；年上の魅力的な女性から愛の手ほどきを受けた少年の初体験と成長を描く。；初体験は、高校1年の時に当時付き合っていた一つ年上の彼と彼の家で。；これを動機にしましたが、この思考はボクよりちょっと年上の人の感覚です。；作品のタイトルを見ても分かるように、どの作も年上の女性との恋愛を描いている。；しかしエステ家は公女を年上の男性と結婚させようとし、対立が深まる。；年齢は阿久のほうが年上だったが、デビューはなかにしの方が早かった。；のちには6歳年上の実業家の男性と交際関係にあることを同誌上にて報告。；女性が年上の男性と結婚することは少なくなってきている。；近所に住む8歳年上の友人に手ほどきを受け、ギターの基礎と歌を学んだ。；心配した母親のベシーは、5歳年上の兄であるゾーイーに助けを求める。；年上の女性たちが志願することで、若い女性が助かった事例もあった。；声の年齢感が上がったら、今よりも年上の役、大人の役ができるようになるので。；このレースで年上の馬たちを相手にして1 1/4馬身差をつけて快勝。；近所の子供の間では一番年上だったため、ガキ大将のような存在だったとのこと。；また、5歳年上の叔父一郎が、兄のように英一を助け、可愛がっていた。；このため会の運営はやや年上の戦中派世代の知識人・著名文化人が中心となった。；小学校2年生の時に2歳年上の兄の影響を受けてサッカーを始めた。；年上の男の子とともに実の兄妹のように育てられ、娘は美しく育った。；夫は以前に結婚したことがあったが死別しており、20歳以上も年上であった。；野球は中学生の頃、野球をしていた3歳年上の兄に影響され、好きになった。；また、きょうだい関係でなくても、先輩の者や年上の者をさす場合もある。；事務所の先輩で、土田より年上の上島竜兵を呼び捨てで呼ぶときがある。；また、過去2作に存在した下級生と年上のヒロインが本作には登場しない。；年齢は、飛影はおろか蔵馬や黄泉よりも年上であることが知られている。；彼女は、ネブカドネザルの他のどの息子よりもかなり年上だった可能性がある。；また、親の養子や親の再婚相手の連れ子が年上だった場合も義兄にあたる。；K大学での聞き込みでは、角筈には年上の恋人がいるとの情報を得る。</t>
        </is>
      </c>
      <c r="J6076">
        <f>HYPERLINK("https://www.weblio.jp/content/年上", "词义详情")</f>
        <v/>
      </c>
      <c r="K6076">
        <f>HYPERLINK("https://yourei.jp/年上", "查看例句")</f>
        <v/>
      </c>
    </row>
    <row r="6077">
      <c r="A6077" t="inlineStr">
        <is>
          <t>閉じこもる</t>
        </is>
      </c>
      <c r="B6077" t="inlineStr">
        <is>
          <t>成功</t>
        </is>
      </c>
      <c r="C6077" t="inlineStr">
        <is>
          <t>読み方：とじこもる
［動ラ五（四）］家や部屋などに入ったまま、外へ出ないでいる。籠居(ろうきょ)する。「風邪で一日—・る」「自分の殻に—・る」</t>
        </is>
      </c>
      <c r="D6077" t="inlineStr">
        <is>
          <t>こもる；籠る；籠もる；引きこもる；篭る</t>
        </is>
      </c>
      <c r="H6077" t="n">
        <v>29</v>
      </c>
      <c r="I6077" t="inlineStr">
        <is>
          <t>彼女はその隠れ場所に一人で閉じこもって、一日何をしているのだろう?；しばらく家の中に閉じこもっていたが、少しずつ町を歩くようにもした。；教会に閉じこもっていたが、食料が底をついたため出てきたのだという。；やつらはああして閉じこもっていては外から何も吸収できないだろう。；自分の部屋に閉じこもった犯人が自殺することを恐れているのですよ。；三ヵ月家に閉じこもって毎日十二時間ずつ犯罪記録を読破していくのだ。；でもね、ずっと閉じこもってばかりいるのも、いいとは思いませんのよ。；ところがオリヴィエは自分の家に閉じこもってることしか知らなかった。；部屋に閉じこもっていて、ホテルの者に訝られるのを避けるためだった。；祥子は閉じこもっているらしく、ドアの中からはなんの音も聞こえない。；僕は二学期から学校に行かなくなって、部屋に閉じこもるようになった。；部屋の中に閉じこもっているばかりでは、身体によくないと思ったのです。；客が来たというのに、自室に閉じこもって挨拶にも出ようとしないのか。；彼は朝から晩まで大抵は自分の部屋に閉じこもって本の裡に暮して居た。；お金を使いたくないのならじっと家に閉じこもっているしかないじゃないか。；いつもなら部屋で閉じこもってるのに、今日は1階に降りていきました。；どの家でも昼間から表を閉じて中に閉じこもっていたにちがいない。；閉じこもって泣いているだけでは何も解決しない、と気がついたのだ。；だから私は部屋に閉じこもり、読書をするかテレビを見るしかなかった。；家に帰ってきて何をしているかといえばずっと自分の部屋に閉じこもっている。；部屋に閉じこもって勉強したり先の準備をしたりするためじゃない。；長らく下宿の二階に閉じこもっていた私には目の眩むような光景だった。；それはまるで自分だけの陰気な世界へ閉じこもってしまったように見えた。；それから鍵を取り出し部屋に戻って、中に閉じこもってしまったのである。；ホテルにじっと閉じこもってテレビを見ていれば満足だというのだろうか。；あんなコンテナみたいな狭いところに閉じこもって、どこが健康的なの?；私には、そんな山の中へ閉じこもって何がいいのか、さっぱり分らない。；あの人は何週間も顔も出さぬかと思うと、朝から夜まで閉じこもる人でね。；少なくともこのまま自宅に閉じこもっていれば私たちはいずれ必ず殺される!</t>
        </is>
      </c>
      <c r="J6077">
        <f>HYPERLINK("https://www.weblio.jp/content/閉じこもる", "词义详情")</f>
        <v/>
      </c>
      <c r="K6077">
        <f>HYPERLINK("https://yourei.jp/閉じこもる", "查看例句")</f>
        <v/>
      </c>
    </row>
    <row r="6078">
      <c r="A6078" t="inlineStr">
        <is>
          <t>年頃</t>
        </is>
      </c>
      <c r="B6078" t="inlineStr">
        <is>
          <t>成功</t>
        </is>
      </c>
      <c r="C6078" t="inlineStr">
        <is>
          <t>読み方：としごろ
《古くは「としころ」》
１外見から判断した、だいたいの年齢。年のころ。「—は四〇歳くらいの男性でした」
２一人前の年齢。特に、女性の結婚するのにふさわしい年齢。妙齢。「長女が—を迎える」
３そのことにふさわしい年齢。また、一般的にある傾向になりやすい年齢。「働き盛りの—」「悩みの多い—」
４ここ数年の間。年来。副詞的にも用いる。
「—彼の世話をしてきた藤井夫婦に取っては」〈漱石・明暗〉</t>
        </is>
      </c>
      <c r="D6078" t="inlineStr">
        <is>
          <t>年頃の若い；年頃二十；年頃の娘らしく；年頃ゆえ；年頃成立</t>
        </is>
      </c>
      <c r="E6078" t="inlineStr">
        <is>
          <t>年；歳；年齢；齢；年令</t>
        </is>
      </c>
      <c r="F6078" t="inlineStr">
        <is>
          <t>元年頃；お年頃；初年頃；同年頃；末年頃</t>
        </is>
      </c>
      <c r="H6078" t="n">
        <v>29</v>
      </c>
      <c r="I6078" t="inlineStr">
        <is>
          <t>年がもっと違っていればよかった、同じ年頃だと女のほうがませている。；彼等はその感受性の最も強い年頃に於て同一の指導的な諸影響を受ける。；いや親の眼からは年頃と思ふが、世間では万年娘といふかも知れぬてや。；父はこの騒ぎの間に愛する妻を失い、年頃前後の子供三人を失っている。；子供もようやく独立し、親の手を離れたくらいの年ごろではなかろうか。；ぼくもあの年ごろにはケンブリッジにいて、同じような経験があるもの。；見ればその年ごろではないような、なかなか才ばしった顔をした少年だ。；僕がはじめてこの母親を知った頃の彼女と、ほとんど同じ年頃に相違ない。；ここにいる同じ年ごろの五人の人生にもたいへんな関係のある問題だった。；彼女は二十二であったが、その顔はまさしくその年ごろに相応していた。；だが、自分を子供扱いする心配性の母をちょっと鬱陶しく感じるお年頃。；その門口には私くらゐの年頃の少年が沢山来てゐて、二列に並んでゐた。；たとえば、どこかに自分が下宿して、そこに年ごろの娘でもいるとする。；広子は年ごろの妹に恋愛問題の起ったことは格別意外にも思わなかった。；世間の年頃の息子を持った父親の心というものはどんなものなのでしょうね。；みんな同じ年ごろだが、その侍はいちばん老けていて二十七八にみえる。；どの女も三十前後の年ごろだったが、襟首に濃い目の白粉をぬっていた。；しかしコゼットが相当な年頃の娘になると、彼にはそれができなくなった。；たしか十三の時の秋で、そういうことをやりたい年ごろだったのであろう。；ルーシーの年頃のときにしておけばよかったと思うことを、全部やるのだ。；君たちくらいの中学校から出たての年頃が一ばん英語を覚えているものです。；この年から翌年頃へかけてが、私どもの俳句に熱狂していた盛りである。；奥さんは知性型の上品な人で、あとは年ごろの綺麗な娘さんが二人いる。；わたしだってあの娘の年頃には軍人さんがたいへん好きでしたわ。；そこへ美しい夫人がわたしと同じ年ごろの子どもを連れて現れた。；自分と同じ年頃の少年よりも、たくさんの女を持ったんですからね。；もう一度ああいう年ごろになってみたいといったような気もするのであった。；この人には、奥さんとのあいだに大変美人で年頃の一人娘がございました。；やがて、明治末年ごろから学問的な本文研究の努力が本格的に始まった。</t>
        </is>
      </c>
      <c r="J6078">
        <f>HYPERLINK("https://www.weblio.jp/content/年頃", "词义详情")</f>
        <v/>
      </c>
      <c r="K6078">
        <f>HYPERLINK("https://yourei.jp/年頃", "查看例句")</f>
        <v/>
      </c>
    </row>
    <row r="6079">
      <c r="A6079" t="inlineStr">
        <is>
          <t>年下</t>
        </is>
      </c>
      <c r="B6079" t="inlineStr">
        <is>
          <t>成功</t>
        </is>
      </c>
      <c r="C6079" t="inlineStr">
        <is>
          <t>読み方：としした
年齢が他の人よりも少ないこと。また、その人。年少。⇔年上。</t>
        </is>
      </c>
      <c r="D6079" t="inlineStr">
        <is>
          <t>年下の若い；年下の一般人女性；年下の同母弟</t>
        </is>
      </c>
      <c r="E6079" t="inlineStr">
        <is>
          <t>後輩</t>
        </is>
      </c>
      <c r="F6079" t="inlineStr">
        <is>
          <t>二つ年下；三つ年下；一番年下；二歳年下；ひとつ年下</t>
        </is>
      </c>
      <c r="G6079" t="inlineStr">
        <is>
          <t>年下の男の子；年下のひと</t>
        </is>
      </c>
      <c r="H6079" t="n">
        <v>29</v>
      </c>
      <c r="I6079" t="inlineStr">
        <is>
          <t>これは西以降のパートナーがすべて桜井より年下であることに由来する。；一般的に年下が行う傾向にあるが、上位者が行うのが正式な作法である。；それから二人の年齢を比べてみると、茂夫の方が十一月余り年下だった。；見かけたところ年下らしい男から、ここで杓子定規の説教をされるのか?；もっと早く気づいていれば、たとえ年下だろうと私は反対しません。；去り際に老婆は年下の少女に、山で間もなく異変が起こることを告げた。；自分よりも二つの年下であるので、半九郎は源三郎を弟のようにも思っていた。；私がずっと年下の後添いの妻であるだけに、それが一層あってよい筈でした。；この頃9歳年下のまだ幼い立原杏所に絵筆を握らせ画の指導をしている。；同地で年下の女性と関係を持ち、1960年の夏には結婚もしている。；井山裕太より年下で井山から七大タイトルを奪取した初の棋士でもある。；彼女はすでに48歳になっており、新しい夫は8歳年下の40歳だった。；その男は母よりも七、八つも年下で、その頃何でも二十六、七だったろう。；それにこの戦争はまた最も年下の弟ジェッシーが世に出るための原因ともなった。；特に年下の男性は身構えてしまい、自分から心を開くことはなかったという。；単純な女子供は信じるが、やっぱりいい年した大人はなかなか信じない。；同期入社のアナウンサーには岡本栄がいたが、馬場より1歳年下である。；氏は僕より三歳年下だのに三歳年上のような所があるのだ。；大学の飲み会で口数の少ない年下男子・和泉と出会った主人公・あかり。；お花さんは僕とおない年か、あるいは一つくらい年下だった。；このメンバーの中では、生まれ順でいえば一番の年下だった。；また、親の養子や親の再婚相手の連れ子が年下だった場合も義弟にあたる。；自分よりはずっと年下であったが、清麿には、忘れ得ない人のひとりであった。；年下なのにいろいろと意見したことが気にいらなかったんだろ。；彼には自身よりかなり年下の女性に魅かれる傾向が明確にあった。；でも現実は自分より年下の先輩修道女の下で修道生活を送ることを余儀なくされた。；父親は彼が5歳のときに彼と彼の母親と3歳年下の妹の3人を残して家庭を捨てた。；四人のうちの一人は一番年下なので若い娘と呼ばれてい、そのうちの一人は年増と呼ばれていた。；彼女はスペインとイギリスの混血の美しい娘で、彼より20歳も年下だった。</t>
        </is>
      </c>
      <c r="J6079">
        <f>HYPERLINK("https://www.weblio.jp/content/年下", "词义详情")</f>
        <v/>
      </c>
      <c r="K6079">
        <f>HYPERLINK("https://yourei.jp/年下", "查看例句")</f>
        <v/>
      </c>
    </row>
    <row r="6080">
      <c r="A6080" t="inlineStr">
        <is>
          <t>年月</t>
        </is>
      </c>
      <c r="B6080" t="inlineStr">
        <is>
          <t>成功</t>
        </is>
      </c>
      <c r="C6080" t="inlineStr">
        <is>
          <t>読み方：としつき
１年と月。ねんげつ。
２長い歳月。つきひ。ねんげつ。「—を経る」「—を重ねる」
３年来。としごろ。副詞的にも用いる。「—願いつづけていたことがかなう」</t>
        </is>
      </c>
      <c r="D6080" t="inlineStr">
        <is>
          <t>年月をすごし；年月順；年月日時；年月経過；年月苦心</t>
        </is>
      </c>
      <c r="E6080" t="inlineStr">
        <is>
          <t>時；とき；日；時間；長年</t>
        </is>
      </c>
      <c r="F6080" t="inlineStr">
        <is>
          <t>長年月；永い年月；ながい年月；近い年月；幾年月</t>
        </is>
      </c>
      <c r="H6080" t="n">
        <v>29</v>
      </c>
      <c r="I6080" t="inlineStr">
        <is>
          <t>しかし別れて生きた長い年月の間、母はすでに新しい家族を持っていた。；ほとんどの場合は発生から年月が経過してからまとめの形で掲載している。；この絵はその後の年月で巡礼の中心となり、近隣の町の成長に貢献した。；それは即ち、長い年月をかけた進化発展を今も続けているからである。；一方で 非常に長い年月 を意味する単語として用いられることもある。；開業からかなりの年月が経過しており、順次改装工事が実施されている。；エイキンは長い年月の間に多くの有名人が冬の家を構える場所となった。；しかし、建造された厳密な正確な年月についてはいくつかの相違がある。；干拓事業は結果が出るまで長い年月を要するため、清は良い顔をしない。；モジュタヘドになるためには、通常何十年もの年月を要したからである。；この独特のギター・サウンドはその後年月を経て改良されていくことになる。；すべての戦争犯罪人の裁判が終わるには長い年月がかかると予想されている。；また、経験の無い人に本格的な訓練を行うのには、日数・年月がかかる。；またグレゴリウスの記した年月は別の件での整合性の問題を解決している。；創建の年月は詳らかではないが、室町時代には既にあったとされている。；中学高校の年月は、現在の音楽活動に大きな影響を与える6年間となる。；としつきに焦げたこのちひさな鍵も またつかひみちがわかるだらう。；特に結婚から年月を経てなお、妻への愛情覚めやらぬ様子を指す傾向がある。；長い年月をかけたそれらの研究の結果、テロワールの概念が確立した。；彼女の最後の年月にはしばしば及び親友のリルー・マルカンがそばにいた。；最終巻の出版を作中の決着の年月に合わせるという手法がとられている。；登場人物たちは実際の年月の進みに合わせて年をとっていく。；制度運用の開始から年月を経て、そのストックは着実に蓄積しつつある。；やがて年月が過ぎ、兄は王子として何不自由ない暮らしを満喫していた。；これらの要因は長い年月の間に形成されてきたものである。；また警察の目撃者の証言記録も、長い年月の内に散逸してしまっている。；その後の年月この人物の姓が出てくる結婚、死亡、出生の記録は無い。；長い年月共に仕事をしてきた親友が、彼とは血はつながっていないが兄弟だった。；政府の文化行政は現在の形に至るまでに長い年月をかけて改善と刷新を行われてきた。</t>
        </is>
      </c>
      <c r="J6080">
        <f>HYPERLINK("https://www.weblio.jp/content/年月", "词义详情")</f>
        <v/>
      </c>
      <c r="K6080">
        <f>HYPERLINK("https://yourei.jp/年月", "查看例句")</f>
        <v/>
      </c>
    </row>
    <row r="6081">
      <c r="A6081" t="inlineStr">
        <is>
          <t>戸締り</t>
        </is>
      </c>
      <c r="B6081" t="inlineStr">
        <is>
          <t>成功</t>
        </is>
      </c>
      <c r="C6081" t="inlineStr">
        <is>
          <t>読み方：とじまり
［名］(スル)家の戸・窓を閉め、錠などをかけること。「外出の前に—する」</t>
        </is>
      </c>
      <c r="D6081" t="inlineStr">
        <is>
          <t>戸締りをよく</t>
        </is>
      </c>
      <c r="F6081" t="inlineStr">
        <is>
          <t>戸締りなんか</t>
        </is>
      </c>
      <c r="H6081" t="n">
        <v>29</v>
      </c>
      <c r="I6081" t="inlineStr">
        <is>
          <t>家の人達はいつも寝てしまっているので、私は自分で表の戸締りをした。；彼はその界隈の家やアパートや宿屋の戸締りを受けもっているのである。；一時すぎから三時すぎまでの間にも戸締りのなかった二時間の空白がある。；このとき気づいたのだが、この家の戸締りがまだそのままなのである。；彼は裏口から入ったのですが、この裏口は戸締りしてありませんでした。；明日の朝学校の時刻までに帰って来なかったら、戸締りをして出かけていい。；それが内側から戸締りをしてあるものだから、侍が手をかけても開かないのだ。；わたしたちは戸締りに時間をとられないように適当に片づけてから出発した。；与五郎は、もう外へ出る用もないと見え、内側で戸締りの音をさせていた。；やがて老婆が帰って来て表の戸締りをしている様子だったので、声をかけた。；太郎はその次の次の日に、黒谷と二人で家に戸締りをして引き上げた。；有里は夫に言われたように、その夜は早目に戸締りをして床についた。；厳しい表庭の戸締も掛金だけ掛けずに置いたは、可愛い子の為であった。；建築を商売にしている人に完全な戸締りが出来なくちゃ仕方がないじゃないか?；そうかも知れませぬが、跛の門八が戸締を忘れたんかも知れませぬ。；離室は戸締りがなかったので、案内知った者なら誰でも自由に入れたのです。；私は別に返事を聴く気もなしに後の戸締りをしている石を残して茶の間へ来た。；「ここは戸締りが甘いのよねえ」 婆さんはあたりを見まわして言った。；しかし、横川道場の表も裏も、戸締りがしてあり、人の気配もなかった。；やがて、内から戸締りがしてないことがわかったので、押しあけてはいった。；そこは電燈も消えており、真暗で、その先方は戸締りがしてあるはずだ。；近所の人の話では、老人は、外出する時、戸締りをしないんだそうだ。；もう別荘番の人達は寝たらしいわ、ちゃんと戸締りがしてありますの。；戸締りや火の元の用心、毎日の小遣いのことなどがきっと書いてあった。；妹は紙片に自分の印を押し、それを錠に貼りつけて、戸締りをしました。；それまではあの家もちゃんと戸締りがしてあったのです。；客を帰し、女中さんが戸締りして帰って行ってから、女将は湯に入ります。；それ以上は何も考えず、おひろは家の戸締りもせずに駈け出した。；周さんは家の戸を引き開け、俺がはいると、戸締りをしてしまった。</t>
        </is>
      </c>
      <c r="J6081">
        <f>HYPERLINK("https://www.weblio.jp/content/戸締り", "词义详情")</f>
        <v/>
      </c>
      <c r="K6081">
        <f>HYPERLINK("https://yourei.jp/戸締り", "查看例句")</f>
        <v/>
      </c>
    </row>
    <row r="6082">
      <c r="A6082" t="inlineStr">
        <is>
          <t>土砂</t>
        </is>
      </c>
      <c r="B6082" t="inlineStr">
        <is>
          <t>成功</t>
        </is>
      </c>
      <c r="C6082" t="inlineStr">
        <is>
          <t>読み方：どしゃ
１つちと、すな。「—崩れ」
２土砂加持を行った砂。種々の功徳があるとする。お土砂。</t>
        </is>
      </c>
      <c r="D6082" t="inlineStr">
        <is>
          <t>土砂流出(2%)；土砂堆積；土砂流入；土砂運搬；土砂等</t>
        </is>
      </c>
      <c r="F6082" t="inlineStr">
        <is>
          <t>浚渫土砂；流入する土砂；流出土砂；流出する土砂；堆積する土砂</t>
        </is>
      </c>
      <c r="G6082" t="inlineStr">
        <is>
          <t>土砂災害；土砂降り；土砂災害警戒情報；土砂災害警戒区域；土砂崩</t>
        </is>
      </c>
      <c r="H6082" t="n">
        <v>29</v>
      </c>
      <c r="I6082" t="inlineStr">
        <is>
          <t>特に当駅前後の被害が最も激しく土砂は線路を超えて県道付近まで達した。；どしゃぶりの夜の闇に吸い込まれていくように、男たちの顔が消えていく。；自分は、こんなドシャ降りの雨の中に立って何をしているのだろう。；動かした土砂は当時、パナマ運河建設に次いで史上2番目の量であった。；店の中にいるうちに、どうやら外はどしゃぶりになっているらしい。；シーズンが終わると小屋を撤去し、浴槽は土砂などで自然に埋められる。；この間、福山藩は船運の航路確保のため積極的に堆積土砂対策に務めた。；山地崩壊による土砂は濁流が流れていた河川を塞き止め新湖が発生した。；埋め戻しに使われた土は、他の2つのトンネルから出た土砂である。；一方で、土砂供給量の少ない河川では、扇状地が発達しない場合がある。；沈砂池は、流水中の土砂などを沈殿させて流れから除くための池である。；地表や海底では、年代の進行に伴って上へ上へと土砂などが堆積していく。；また、外部から埃や土砂が機械内部へ侵入するのを防ぐ機能もある。；それもどしゃぶりの日に重が得意の二頭を買ってである。；こうした土砂の流出および蓄積を防ぐためにさまざまな対策が取られている。；その作業中、失われていた頭部は中央広場で掘り起こした土砂の中から発見された。；これらの川が谷幅が広がった地域に出ると土砂を堆積させ、扇状地を形成した。；その後、日野川が運搬してきた土砂が堆積した結果、半島が形成された。；地層はおよそ1500万年前頃、河川の土砂の堆積によって形成された。；自動車は使用に伴い、空気中の埃や土砂等によって車体が次第に汚れてくる。；気がついた時は、どしゃぶりの雨のジャングルの中で倒れていた。；河川からの土砂の供給量が十分でないときは、三角江を形成することがある。；残された部分は崩した土砂を補い昭和48年に市の史跡に指定された。；宵のどしゃぶりがはじまるのと同時に、三人はベースキャンプに戻った。；土砂などを投入する場所に着いたらドアが開けられる。；土砂の不適正な処理と埋立てに伴う災害の発生防止を目的としている。；このドアは船が移動している時には、投入する土砂などを運べるように閉じられている。；そこで南派川の土砂を取り除く工事が行われ、1980年代に完成した。；可部線でも当駅付近から上八木駅付近に至る区間で線路上に土砂が流入した。</t>
        </is>
      </c>
      <c r="J6082">
        <f>HYPERLINK("https://www.weblio.jp/content/土砂", "词义详情")</f>
        <v/>
      </c>
      <c r="K6082">
        <f>HYPERLINK("https://yourei.jp/土砂", "查看例句")</f>
        <v/>
      </c>
    </row>
    <row r="6083">
      <c r="A6083" t="inlineStr">
        <is>
          <t>図書</t>
        </is>
      </c>
      <c r="B6083" t="inlineStr">
        <is>
          <t>成功</t>
        </is>
      </c>
      <c r="C6083" t="inlineStr">
        <is>
          <t>読み方：ずしょ
⇒としょ（図書）</t>
        </is>
      </c>
      <c r="D6083" t="inlineStr">
        <is>
          <t>図書委員(4%)；図書部(2%)；図書助；図書コーナー；図書資料</t>
        </is>
      </c>
      <c r="E6083" t="inlineStr">
        <is>
          <t>本；書；著作；著書；巻</t>
        </is>
      </c>
      <c r="F6083" t="inlineStr">
        <is>
          <t>関連図書；推薦図書；図書館蔵；関係図書；図書隊</t>
        </is>
      </c>
      <c r="G6083" t="inlineStr">
        <is>
          <t>図書室；図書館員；図書館司書；図書館法；図書館サービス</t>
        </is>
      </c>
      <c r="H6083" t="n">
        <v>29</v>
      </c>
      <c r="I6083" t="inlineStr">
        <is>
          <t>統一した図書分類法作成の動きが登場するのは近代に入ってからとなる。；図書の貸出等には図書館利用者カードの発行を受けることが必要である。；ハングル図書・雑誌・新聞などを集めた韓国・朝鮮図書コーナーがある。；重要図書や備品は疎開させていたため無事であったが、校舎は焼失した。；また、図書館が発展したことで、図書分類法も変化、多様化していった。；また教会には、それらの図書を維持し、他に貸し出す専門の神品がいた。；それらの成果は、研究図書または普及図書として出版されることになる。；主に中学校・高等学校向け図書教材の出版事業が中心の企業である。；日本十進分類法は、日本の図書館で広く使われている図書分類法である。；図書隊は以下のように全国10区に区分され、各基地が機動的に対応する。；公式サイトによれば、以下の分野・領域の図書刊行にも意欲的だとされる。；この移転の過程で図書・器材・教員の大半が失われる羽目になったという。；併設施設の特性にあわせて児童書や子育て世代向けの図書に重点を置く。；図書委員をしており、「旧図書準備室の主」ほどにまで入り浸って居る。；以下では、具体的な不健全指定につき、図書類を例として説明を加える。；これに伴い、浅草観光連盟が文庫のうちの図書資料を台東区に寄贈した。；主に、社会・政治・人文・思想などを中心とした図書を刊行する。；続いて2009年2月10日に貴重図書のインターネット公開を開始した。；また後者はモンゴル国立中央図書館蔵を写真版で紹介したものである。；現在においても英国内で哲学を学ぶ際には、重要な図書として扱われている。；戦争の罪滅ぼしの念からアジア諸国に図書を寄贈するなどの活動も行った。；渡辺は図書館学科の学生であったことで、図書の分類などで大きく貢献した。；貞享4年に父が死去したため家督を相続して図書家の当主となった。；ただし、月末は図書整理日とされ、閉館されているので注意されたい。；設計図書とは、工事を実施するために必要な図書で、設計の内容を示す書類。；年間の経費は544円であり、うち350円を図書購入費に充てていた。；また今まで出版された関係図書が整備されている。；主に日本・中国の古典・学術図書の出版、販売を行っていた中国関係書店である。；関連図書である『全国大学受験案内』が非常に分厚い図書になっている。</t>
        </is>
      </c>
      <c r="J6083">
        <f>HYPERLINK("https://www.weblio.jp/content/図書", "词义详情")</f>
        <v/>
      </c>
      <c r="K6083">
        <f>HYPERLINK("https://yourei.jp/図書", "查看例句")</f>
        <v/>
      </c>
    </row>
    <row r="6084">
      <c r="A6084" t="inlineStr">
        <is>
          <t>途上</t>
        </is>
      </c>
      <c r="B6084" t="inlineStr">
        <is>
          <t>成功</t>
        </is>
      </c>
      <c r="C6084" t="inlineStr">
        <is>
          <t>読み方：とじょう
１目的地に行く途中。「帰宅の—に雨にあう」
２事業・計画などが目的に従って進行している途中。「発展の—にある」
[補説]書名別項。→途上</t>
        </is>
      </c>
      <c r="D6084" t="inlineStr">
        <is>
          <t>途上国；途上地域；途上段階；途上死者</t>
        </is>
      </c>
      <c r="E6084" t="inlineStr">
        <is>
          <t>途中；道中；行く途中；行きがかり；通過点</t>
        </is>
      </c>
      <c r="F6084" t="inlineStr">
        <is>
          <t>開発途上；研究途上；建設途上；帰国途上；成長途上</t>
        </is>
      </c>
      <c r="G6084" t="inlineStr">
        <is>
          <t>途上国支援</t>
        </is>
      </c>
      <c r="H6084" t="n">
        <v>29</v>
      </c>
      <c r="I6084" t="inlineStr">
        <is>
          <t>これは二次的に四足歩行へと移行する途上の形態であると推定されている。；これらの運用途上では153系電車と連結して運用されることもあった。；これには当時発達途上にあった航空機の製造技術が応用されている。；風力発電機のリサイクル技術は数が多くないこともあり開発途上である。；また、書かれていても未編成であったり、途上であったりするものもある。；しかしその多くは途上国への特恵関税であるとか、一時的な措置である。；近年、40以上の施設が完成または改善されており完成途上のものもある。；後に父方の祖母が韓国人であることを執筆のための取材の途上で知る。；しかし、制作途上で2人の関係が悪化したために、制作が一時頓挫した。；ハノイから昆明に走る鉄道の途上にあり、交通と軍事上の要地であった。；イギリス軍はノーフォークに向かう途上にある土地を守る砦を持っていた。；それらの鳥は越冬する場所に渡る途上で、この地域にも飛来するのである。；発展途上にあった帯広の町で、商売熱心であった豊作の魚屋は繁盛した。；サイトカインのホルモンとの明確な違いについては現在研究途上にある。；こうした語法の混乱は、この概念がまさに研究の途上であることを意味する。；翌1306年のポーランド遠征に向かう途上、オロモウツで暗殺された。；分類については、まだ発展・整理の途上であり、正式なものではない。；翻訳家で独身の姉とその妹、妹の幼い息子の3人が列車の旅の途上にある。；地域研究や途上国の開発問題に関する資料の収集と公開を目的としている。；また、発展途上にあるブラジル国家の問題に強く結びついたテーマを描いた。；まだ発展途上であり、新しい定石が次々と登場している分野である。；しかし、これらの要求は交渉の途上で修正が加えられることがある程度期待できる。；また、研究開発の途上において以下に挙げるような問題が先送りされた。；これらの目的で開発された、もしくは開発途上の機器を新世代ガス機器と呼ぶ。；シリア遠征で負傷して、ハットゥシャに帰還する途上だったとも言われる。；仲のよいふたり連れの男が旅の途上、船に乗り込むことになった。；計画は改造途上で変更が行われたため、一部の車両で改造後に再改番が行われている。；移住途上で命を落とした人々の数については見解が分かれている。；旅の途上二人目を知っているという女が現れ、彼女の案内で三人はその場所へ向かう。</t>
        </is>
      </c>
      <c r="J6084">
        <f>HYPERLINK("https://www.weblio.jp/content/途上", "词义详情")</f>
        <v/>
      </c>
      <c r="K6084">
        <f>HYPERLINK("https://yourei.jp/途上", "查看例句")</f>
        <v/>
      </c>
    </row>
    <row r="6085">
      <c r="A6085" t="inlineStr">
        <is>
          <t>図書館</t>
        </is>
      </c>
      <c r="B6085" t="inlineStr">
        <is>
          <t>成功</t>
        </is>
      </c>
      <c r="C6085" t="inlineStr">
        <is>
          <t>読み方：としょかん
図書・記録その他の資料を集め、整理・保管して、利用者の閲覧に供するための施設。公共図書館・学校図書館・専門図書館などがある。</t>
        </is>
      </c>
      <c r="D6085" t="inlineStr">
        <is>
          <t>図書館長；図書館建設；図書館内；図書館システム；図書館利用</t>
        </is>
      </c>
      <c r="E6085" t="inlineStr">
        <is>
          <t>文庫；ライブラリ；ライブラリー；文殿</t>
        </is>
      </c>
      <c r="F6085" t="inlineStr">
        <is>
          <t>附属図書館；大英図書館；新図書館；付属図書館；大図書館</t>
        </is>
      </c>
      <c r="G6085" t="inlineStr">
        <is>
          <t>図書館司書；図書館法；図書館サービス；図書館学；図書館情報学</t>
        </is>
      </c>
      <c r="H6085" t="n">
        <v>29</v>
      </c>
      <c r="I6085" t="inlineStr">
        <is>
          <t>こうした専門的な活動は当然のことながら図書館の予算内で執行される。；近代的な欧米の図書館制度を日本に最初に紹介したのは福沢諭吉である。；こうした習慣は多くの図書館や修道院で17世紀末ごろまで継続していた。；有名なアッシュルバニパル王の図書館が作られたのもこの時代である。；上野千鶴子の書籍を、図書館から排除させようとする動きなどが存在した。；図書館の所蔵している資料の一部は小田原文学館に常設展示されている。；主人公が島の図書館を探索すると別々の場所に赤と青の2冊の本があった。；二人はそれからテーブルから立ち去って、図書館のカウンターに向った。；しばらくして彼らは図書館通路へ向け西エントランスの方へ戻った。；しかし歴代の図書館長の完全なリストを再構築することはできない。；市の中心地は徳島小松島港付近であり、市役所や図書館などが位置する。；図書館・資料館では閲覧コーナーに投影機が備えられているケースが多い。；また、これらの下に雇や嘱託の身分で図書館専門の仕事を行う職員がいた。；そして、図書館に収められる本の1つ1つが通常の宇宙を含む世界である。；もっとも、過去の版を継続して使用している図書館も少なくない。；ことに王立図書館はゴットフリート・ライプニッツも関心を寄せている。；ハリスとクレボルドが図書館に入ってきたのはその4分10秒後だった。；人口50万人以上の都市・郡という分野では次の図書館がランク入りした。；また将来的には映画図書館にまで発展させようと映画ライブラリーを設けた。；これらの作品は、警察署や役所・図書館などで貸し出しを行なっている。；中には52人の学生、2人の教師、2人の図書館スタッフが隠れていた。；CD店、図書館、音楽関連書籍ではしばしば以下のように分類される。；たとえば、国内外の図書館で、日本語の書籍名を登録する際に用いられる。；図書館への出入りおよび貸出は平日及び土曜日の日中に限られている。；大学側が運営する食堂があるほか、多くの図書館・ホールにカフェが入る。；同課程の単位取得者は全国規模で各図書館等で活躍している。；図書館の書籍量、各研究機関など、世界でも屈指の規模とレベルを誇る。；図書館は、学外の人々にも開放されていて、誰でも利用することができる。；アレクサンドリア図書館はこの種の図書館の初めての例ではない。</t>
        </is>
      </c>
      <c r="J6085">
        <f>HYPERLINK("https://www.weblio.jp/content/図書館", "词义详情")</f>
        <v/>
      </c>
      <c r="K6085">
        <f>HYPERLINK("https://yourei.jp/図書館", "查看例句")</f>
        <v/>
      </c>
    </row>
    <row r="6086">
      <c r="A6086" t="inlineStr">
        <is>
          <t>年寄り</t>
        </is>
      </c>
      <c r="B6086" t="inlineStr">
        <is>
          <t>成功</t>
        </is>
      </c>
      <c r="C6086" t="inlineStr">
        <is>
          <t>読み方：としより
１年をとった人。高齢の人。老人。
２武家時代、政務に参与した重臣。室町幕府の評定衆・引付衆、江戸幕府の老中、大名家の家老など。
３江戸幕府の、大奥の取り締まりをつかさどった女中の重職。
４江戸時代、町村の行政にあたった指導的立場の人。
５大相撲の関取以上の力士で、引退して年寄名跡を襲名・継承した者。日本相撲協会の運営や各部屋の力士養成に当たる。
→老人［用法］</t>
        </is>
      </c>
      <c r="D6086" t="inlineStr">
        <is>
          <t>年寄りたち(3%)；年寄りじみ；年寄り連中；年寄りども；年寄り夫婦</t>
        </is>
      </c>
      <c r="E6086" t="inlineStr">
        <is>
          <t>老人；老；老い；長老；年寄</t>
        </is>
      </c>
      <c r="F6086" t="inlineStr">
        <is>
          <t>そんな年寄り；みたいな年寄り；ひどく年寄り；あんな年寄り；若年寄り</t>
        </is>
      </c>
      <c r="G6086" t="inlineStr">
        <is>
          <t>年寄り臭い；年寄り臭く；年寄りの昔話</t>
        </is>
      </c>
      <c r="H6086" t="n">
        <v>29</v>
      </c>
      <c r="I6086" t="inlineStr">
        <is>
          <t>男のひとか女のひとか、若いのか年寄りなのか、全然区別ができません。；これは非常に楽な仕事だったので、主に年寄りの従業員が担当していた。；彼はその樹を年寄りになってそれが入用になるときにと茂らせておいた。；彼は、あまり年寄りでなければ、他の女といっしょになることができる。；そのとき、あの年寄りの医者がやって来て、様子を見てからこう言った。；年寄りになってみると、今までとは違った目で相手を見ることができます。；最近でも時々、風の噂でどこそこの年寄りが山に消えたと聞くことがある。；子供と年寄りが居ない家の中は、何だか空家のような感じに変っていた。；わたしみたいな年寄りは、こういうことをしなきゃいけない時があるの。；それにあなたには年寄りに見えるだろうが、私はまだ若いつもりでいる。；長年勤めてゐる年寄りの女中に、そろそろ暇を出さうかと思つてゐる。；年寄り相手の料理なので、味が薄いのだろう、とタバサは見当をつけた。；ところが、いざその日がきてみると、わたしはもう年寄りになっていた。；メグレは、この年寄りが思い出だけに生きているのではないかと思った。；かれは年寄りのくせに路を急いだのも、それがためであったのかも知れない。；物心がつき始めたとき、親が年寄りなのはおかしいなと薄々感じ始めた。；年寄りといわれる身分で、髪も白くなって、一家の父となっているくせに!；実際、あの年寄りならあなたにしたって愛せずにはいられないでしょう。；李中行 いつも云うことだが、年寄りと若い者とはどうも話が合わない。；私はすぐにこれに近寄ると、この女は年寄りで、その髪は白いのを見た。；廊下番の年寄りのボーイが来て、寝床の敷き布を持っているかと尋ねた。；年寄りは、子どもとおなじように、ひとりぼっちではいられないのだよ。；こったら年寄りが、こうしてみんなに、大事に大事にしてもらってねえ。；ただわたしは修羅場の連続する中で、年寄りといわれる年齢になってきた。；よく似たことに、年寄り夫婦の仲ではもう何も話すことなんかない。；最初から十五名の年寄りどもは、自分と同じ人間であるような気がしなかった。；それは年寄りの男と、若い二人の男と、一人の若い女らでありました。；教授は年寄り連中と、小一時間もゲートボールをやってたというのにさ。；だのにどうしてだか、連中は年寄りのわしよりずっと頭がかたいのだ。</t>
        </is>
      </c>
      <c r="J6086">
        <f>HYPERLINK("https://www.weblio.jp/content/年寄り", "词义详情")</f>
        <v/>
      </c>
      <c r="K6086">
        <f>HYPERLINK("https://yourei.jp/年寄り", "查看例句")</f>
        <v/>
      </c>
    </row>
    <row r="6087">
      <c r="A6087" t="inlineStr">
        <is>
          <t>閉じる</t>
        </is>
      </c>
      <c r="B6087" t="inlineStr">
        <is>
          <t>成功</t>
        </is>
      </c>
      <c r="C6087" t="inlineStr">
        <is>
          <t>読み方：とじる
［動ザ上一］［文］と・づ［ダ上二］
１
㋐あけてあったもの、あいていたものがしまる。両端を合わせた状態になる。ふさがる。「水門が—・じる」「ドアが—・じる」「貝のふたが—・じる」
㋑続いていた物事が終わりになる。「会議が—・じる」
２
㋐あいていたもの・部分をふさいでしまう。「本を—・じる」「まぶたを—・じる」「心を—・じる」
㋑今まで続いたものを終わりにする。「店を—・じる」「会を—・じる」
㋒原稿の、文章中のかなを漢字に書きなおす。→開く
３とじこめる。こもらせる。
「葎(むぐら)の門に、思ひのほかにらうたげならむ人の—・ぢられたらむこそ」〈源・帚木〉
[用法]とじる・しめる——「門を閉じる（閉める）」「店を閉じる（閉める）」「ふたを閉じる（閉める）」など、開いていたものの空間を埋める意では相通じて用いられる。◇「戸が閉じる」「貝のふたが閉じる」のように「〜が閉じる」の形では「閉める」は使えない。「〜が閉まる」の形になる。◇「閉じる」と「閉める」の使い分けは慣用による。目・口や本・傘などは「閉じる」、引き出・し・門などは「閉める」を使うことが多い。◇「店を閉じる」は廃業する意で多く使うが、「店を閉める」は、1日の営業を終わる、または廃業するのどちらにも使う。</t>
        </is>
      </c>
      <c r="D6087" t="inlineStr">
        <is>
          <t>閉じると同時に；閉じると瞼</t>
        </is>
      </c>
      <c r="E6087" t="inlineStr">
        <is>
          <t>結ぶ；終わる；閉鎖；終る；終える</t>
        </is>
      </c>
      <c r="H6087" t="n">
        <v>29</v>
      </c>
      <c r="I6087" t="inlineStr">
        <is>
          <t>ラバウル航空隊は事実上その幕を閉じてトラックに撤退する事となった。；一般的には、この時点でスプリームスの歴史は幕を閉じたとされている。；閉じた軌道の場合には物体の速度は常に各位置での脱出速度より小さい。；回転2軸ヒンジ方式のため、画面を外にして閉じた状態での操作も可能。；一般に外部に対して閉じており、特定のユーザーしかアクセスできない。；翼部は元々は閉じることができたが、現在では中央部分に固定されている。；今聞いても目を閉じると江原さんの声でトム・ハンクスが見えてきます。；この事件は信に大きな精神的打撃を与え、以後門を閉じて篭居していた。；しかし1992年の第8回大会をもって大会の幕が閉じることとなった。；著作権などの問題も生じ、この活動は1970年代半ばには幕を閉じた。；竹内康晃は自身の優勝で幕を閉じたブロレス終了後も更新を続けている。；NGN内に閉じたサービスのためインターネットからはアクセスできない。；そして壁と扉に覆われた閉じた室でその内部に間仕切りが無かった。；眼は、いつでも思った時にすぐ閉じることができるようにできている。；社内食堂など、閉じられた空間で利用できるカードの券売機も存在する。；目はあるが瞼を閉じることができないため、寝る時でも目は開けたまま。；番組は1990年春の改編を機に終了し、14年半の放送に幕を閉じた。；夜になると小葉が閉じて垂れ下がる就眠運動を行うことが知られている。；口を閉じた状態のときに前方からオトガイ部に衝撃を受け発生する。；これは水圧が扉を押し付けて閉じられるようになっているからである。；このページを閉じる前に、もう少しだけご検討いただけないでしょうか。；ただし打ち始める時点で左足を閉じオーソドックスな体勢になっていた。；優美でいささか感動的な響きのある命題によってこの書物は閉じられる。；ここは野球界から引退した後の彼が生活し、その生涯を閉じた場所でもある。；ずっと伝えられずにいた彼女への想いを口にして、物語は幕を閉じる。；また、本体を完全に閉じた状態で音楽プレーヤーの操作も可能である。；哲学は閉じた体系ではなくてどこまでも閉じることのない方法でなければならぬ。；心皮の発生は二つ折り状ではなく嚢状であり、完全には閉じていない。；口蓋骨は顎を閉じた際に下顎の歯が収まることのできる小さな孔を有した。</t>
        </is>
      </c>
      <c r="J6087">
        <f>HYPERLINK("https://www.weblio.jp/content/閉じる", "词义详情")</f>
        <v/>
      </c>
      <c r="K6087">
        <f>HYPERLINK("https://yourei.jp/閉じる", "查看例句")</f>
        <v/>
      </c>
    </row>
    <row r="6088">
      <c r="A6088" t="inlineStr">
        <is>
          <t>綴じる</t>
        </is>
      </c>
      <c r="B6088" t="inlineStr">
        <is>
          <t>成功</t>
        </is>
      </c>
      <c r="C6088" t="inlineStr">
        <is>
          <t>読み方：とじる
［動ザ上一］［文］と・づ［ダ上二］
１重ね合わせた紙などに糸を通したりして、一つにまとめる。「原稿を—・じる」
２縫い合わせる。「破れを—・じる」
３汁の多い煮物で、かきまぜた卵などをかけ、具がまとまるようにする。「卵で—・じる」</t>
        </is>
      </c>
      <c r="H6088" t="n">
        <v>29</v>
      </c>
      <c r="I6088" t="inlineStr">
        <is>
          <t>専用バインダーも発売され、1冊に本誌約20冊を綴じることができる。；複数のペーンを綴じる場合には糸ないしホチキス針で表紙に留めていた。；全部で五十ページほどあるが、筆者は綴じる作業をしていない。；全号を綴じるための専用バインダーも販売されている。；書類を綴じる目的で決められた直径の丸型の穴を開けるパンチャーなどと機構は同じである。；寺の名や説明を書いたページを紐で綴じる方式で、参加寺院の入れ替えに柔軟に対応できる。；紙や書類を綴じるためのステープラーには、板ばねとコイルばねが使われている。；連載された小説を切り取って綴じることで一冊の本にすることも可能であり、書籍の購入が出来ない人にも小説を読む楽しみを与えた。；ふつう、文書などは封泥といって特殊な泥で封じ、その上から印を押して綴じる。；丹前は綿を入れてところどころを糸で綴じるが、「どてら」は綴じない。；また過去のMDPを綴じるバインダーも発売されている。；ガチャ玉単体では書類を綴じることが困難であるために使用する専用の器具がガチャックである。；また他にシングルワイヤで綴じるものもある。；また、そのような紙を加除式バインダーで綴じるような柔軟な製本システムのことも指す。；それぞれの朝刊と夕刊を、穴あけパンチで穴をあけて、ホルダーに綴じる。；なお、50冊全部を綴じるためには4個必要である。；また、本を綴じる部分の意味もある。；もっともラルボーのこの洒落れた題名は、実は原稿を綴じるのに黄と青と白とのリボンを使ったというだけのことである。；紙に穴を開ける機能とリングを綴じる機能を備えた卓上の製本機があれば、誰でも簡単に製本ができることもリング綴じの特徴の一つである。；棒針編みは編み目が横1列編みかけの状態で針にかかっており、最後の段は、伏せて綴じる必要がある。；ユニットを組み合わせる時には、紙の摩擦のみで全体を支えるものが理想であるが、場合により糊付けや糸で綴じるケースもある。；どうするのかと聞いたら、田舎の親に見せるのだといったそうですが、また器用な人で、表紙を附けて綴じるのなどが楽しみでもあるらしく、「そんなことはよしたらよかろう」と、何度いってもやめなかったとの事です。；大体、ホッチキスは結ぶものではなく綴じるものだし。；糞玉は初めは球形で、その上面に部屋を作り、産卵して部屋を綴じるので洋梨型か卵形になる。；綴じるのはあなたである。；別売りで専用のバインダーも発売されており、バインダー1冊につき13号分を綴じることが可能となっていた。；従来のペーパーバックとは異なり、兵隊文庫は基本的に短辺を綴じる横長の装丁である。；ユニットを組み合わせる方法には、糊付けを必要とするもの、糸で綴じるものなどもあるが、多くの場合紙を折って生じる重なりの隙間に継ぎ手を差し込み、全体を紙の摩擦力で支えることが多い。；これは「魚尾」と呼び、古くから和本の折り目に付けられていた飾りを模したもので、もともと原稿用紙が二つ折りにして綴じるためのものであったことの名残である。</t>
        </is>
      </c>
      <c r="J6088">
        <f>HYPERLINK("https://www.weblio.jp/content/綴じる", "词义详情")</f>
        <v/>
      </c>
      <c r="K6088">
        <f>HYPERLINK("https://yourei.jp/綴じる", "查看例句")</f>
        <v/>
      </c>
    </row>
    <row r="6089">
      <c r="A6089" t="inlineStr">
        <is>
          <t>都心</t>
        </is>
      </c>
      <c r="B6089" t="inlineStr">
        <is>
          <t>成功</t>
        </is>
      </c>
      <c r="C6089" t="inlineStr">
        <is>
          <t>読み方：としん
大都会の中心部。特に、東京都の中心部。「副—」</t>
        </is>
      </c>
      <c r="D6089" t="inlineStr">
        <is>
          <t>都心方面(3%)；都心部(3%)；都心側；都心型；都心方向</t>
        </is>
      </c>
      <c r="E6089" t="inlineStr">
        <is>
          <t>中心街；核都市</t>
        </is>
      </c>
      <c r="F6089" t="inlineStr">
        <is>
          <t>札幌都心；福岡都心；都心地区；都心から約；ロンドン都心</t>
        </is>
      </c>
      <c r="G6089" t="inlineStr">
        <is>
          <t>都心線；都心環状；都心回帰；都心の荒廃；都心等拠点地区</t>
        </is>
      </c>
      <c r="H6089" t="n">
        <v>29</v>
      </c>
      <c r="I6089" t="inlineStr">
        <is>
          <t>近年は狩猟や採集だけの生活ではなく、都心へ働きに出る者などもいる。；人口の大きな集中が都心にあり、重要なものは近年成長している観光である。；こうした都心部と郊外の関係を率直に反映した作品作りも行われた。；都心近くにありながら古民家も残り、下町の雰囲気があるとも称される。；名古屋高速の路線は都心との交通往来が激しい地域間に建設されている。；都心の中にもかかわらず、景福宮などをモデルとした王宮が建っている。；都心へ鉄道でアクセスするには野田線と接続する各路線の駅を経由する形となる。；いずれも都心への近さのわりに割安だったので、販売は好調に推移した。；敷地は狭く、都心に位置するだけあって周囲をビルに囲まれている。；ホーボーケンはアメリカの都心隣接生活再発見の焦点になり続けている。；一方、住民らは都心で車がもてないため、郊外に共同で車を所有しはじめた。；近年では200m級の超高層ビルが都心に置いて2棟計画されている。；それ以前からも東京銀座地区など都心の一部ではリヤカーで配達している。；鉄道開通後は駅を中心に東京都の都心のベッドタウンとして住宅開発が進む。；都心には闇市があり、影の商人団からアイテムや装備を購入できる。；公園・神社等があるため都心としては自然が多く残されている。；途中には大同広場と呼ばれる大ロータリーが建設されて新京の都心とされた。；このことから路線選定のコンセプトを都心と市街地周辺との連絡に置いた。；そのため、名古屋都心部への乗り入れを並行して進める必要があった。；都心から電車で30分ほど離れたところにある郊外の町である。；都心では敵が少ないため、全身が目立つ白や黒であることもある。；都心に住む女性たちが今何に関心を寄せているのかをランキング形式で紹介していたミニ番組。；東京23区への進出を視野に入れた都心向け小型店と位置付けている。；都心の公園や緑地、臨海の埋め立て地等でも飛行中の姿が盛んにみられる。；イギリスで唯一、島嶼部に位置する都市で、ポートシー島に都心がある。；この点、東京や大阪は本社機能があって都心の移動は少なく済むなど事情が異なる。；当時は、ドーナツ化現象により都心から郊外へと人が移ってきた年であった。；天神の約1km南西に位置しており、福岡市の都心を形成する地域である。；民間都心開発推進機構からの支援を受け事業展開する。</t>
        </is>
      </c>
      <c r="J6089">
        <f>HYPERLINK("https://www.weblio.jp/content/都心", "词义详情")</f>
        <v/>
      </c>
      <c r="K6089">
        <f>HYPERLINK("https://yourei.jp/都心", "查看例句")</f>
        <v/>
      </c>
    </row>
    <row r="6090">
      <c r="A6090" t="inlineStr">
        <is>
          <t>土台</t>
        </is>
      </c>
      <c r="B6090" t="inlineStr">
        <is>
          <t>成功</t>
        </is>
      </c>
      <c r="C6090" t="inlineStr">
        <is>
          <t>読み方：どだい
［名］
１木造建築の骨組みの最下部にあって、柱を受け、その根本をつなぐ横材。建物の荷重を基礎に伝える。
２建築物の最下部にあって、上の重みを支えるもの。基礎。「—石」
３物事の基礎。物事の根本。「信頼関係を—から揺るがす事件」
［副］根本から。はじめから。もともと。「—無理な相談だ」「—勝てるはずがない」</t>
        </is>
      </c>
      <c r="D6090" t="inlineStr">
        <is>
          <t>土台石(3%)；土台部分；土台作り；土台無理な話；土台柱</t>
        </is>
      </c>
      <c r="E6090" t="inlineStr">
        <is>
          <t>本；元；中心；地；台</t>
        </is>
      </c>
      <c r="F6090" t="inlineStr">
        <is>
          <t>コンクリート土台；社会的土台；世界観を土台</t>
        </is>
      </c>
      <c r="H6090" t="n">
        <v>29</v>
      </c>
      <c r="I6090" t="inlineStr">
        <is>
          <t>この精神が現在でもヨーロッパの各大学の文化の土台となっている。；本作はウィゾー自身の人生に起きた幾つかの出来事を土台としている。；東京周辺の古い駅ホームでは大谷石のホーム土台を広く見ることができる。；その代わりに、糸が土台に付着する部分の狭い範囲に粘液がついている。；そこには3箇所の土台または低い丸天井があり、それらは壁の側にある。；現存しているものも多く、古代の土台を発掘して保存しているものも多い。；この条約の土台となったのは、ラル神父戦争後に署名された条約だった。；ただし、駅舎の土台部分はそのまま残っており、駅の面影を伝えている。；教会は などの条件がそろっていたため、国勢調査を行う土台となった。；東と西の隣接した地面は、この古代都市の範囲を示す土台に覆われている。；他にも現在の太陽物理学の土台となる様々な理論的アイデアを創出した。；コンクリートの土台や鉄骨などは、今も当時の場所に残されている()。；それらの合併を経て、1945年に現クラブの土台となるものが成立した。；一生懸命できる唯一のことが絵であり、昔から絵が自分の土台になる。；これは、土台の部分を歩く虫がくっつくようになっているものである。；土台の石だけで家一軒の価格に匹敵するなど贅の限りが尽くされている。；現代的演劇の基礎を土台とし、常に現代を俯瞰した作品には定評がある。；校舎はかろうじて残った土台の上に、新しく積み上げて作り変えられた。；この主張の哲学的土台となっているのは、ルネ・デカルトの主張である。；免震化のためには建屋の横から穴を掘削して土台を構築する必要があった。；まだエレポップって言葉も知らない頃に感じたものが、土台になってる。；それを土台にベートーヴェンがさらに豊かにその様式を発展させた。；まずは、幹線道路とさまざまな土地の改良を土台とした政策に着手した。；土台を強くするため、土台には多くの株を投入し締め付けるようにする。；柱の土台部分にあたる亀腹石には、倒壊した鳥居の石が用いられている。；胸像の土台部分には日本語と英語で次のような言葉が刻まれている。；これが、彼の最初の有名な数学の功績の土台となったのである。；かつての建物の輪郭がフェンスで囲まれているが、土台すら残っていない。；ショーモン条約はその後数十年間のヨーロッパ同盟の土台となった。</t>
        </is>
      </c>
      <c r="J6090">
        <f>HYPERLINK("https://www.weblio.jp/content/土台", "词义详情")</f>
        <v/>
      </c>
      <c r="K6090">
        <f>HYPERLINK("https://yourei.jp/土台", "查看例句")</f>
        <v/>
      </c>
    </row>
    <row r="6091">
      <c r="A6091" t="inlineStr">
        <is>
          <t>途絶える</t>
        </is>
      </c>
      <c r="B6091" t="inlineStr">
        <is>
          <t>成功</t>
        </is>
      </c>
      <c r="C6091" t="inlineStr">
        <is>
          <t>読み方：とだえる
［動ア下一］［文］とだ・ゆ［ヤ下二］
１続いていたものが、途中で切れてなくなる。「便りが—・えて久しい」
２人の行き来がなくなる。特に、男女の間が疎遠になる。
「久しく—・え給はむは、心細からむ」〈源・総角〉</t>
        </is>
      </c>
      <c r="D6091" t="inlineStr">
        <is>
          <t>途絶えることなく(5%)</t>
        </is>
      </c>
      <c r="E6091" t="inlineStr">
        <is>
          <t>切れる；尽きる；途切れる；繋がらなくなる</t>
        </is>
      </c>
      <c r="F6091" t="inlineStr">
        <is>
          <t>一旦途絶える；いったん途絶える；しばらく途絶える；ぱったり途絶える；ばったり途絶える</t>
        </is>
      </c>
      <c r="H6091" t="n">
        <v>29</v>
      </c>
      <c r="I6091" t="inlineStr">
        <is>
          <t>ツアー終了後は一時的に活動が休止され、ライブや作品発表が途絶える。；その技法は形を変えつつも途絶えることなく以降の現代へ続いている。；第二次世界大戦時には一時国交が途絶えるものの、戦後にすぐ回復した。；初出場以来続いていた43年連続出場の記録も途絶える結果となった。；明治以来の日本のコーヒー文化は、ここでいったん途絶えることになった。；同作を最後に映画出演は途絶え、テレビへの出演記録が僅かに残っていた。；それからしばらくはノアへ継続参戦していたが、後に参戦は途絶えている。；鍼灸の伝統が途絶えていた中国は、日本に大きな刺激と影響を受けた。；途絶えることの無い強力な防御に、八高のオフェンス選手が攻撃を止めた。；江戸時代に入って一家が生まれたが、それを最後に源氏賜与は途絶えた。；その後数ヶ月、墓地への何百人もの訪問客も途絶えることはなかった。；ただ出場が途絶えているとは言え、正式な引退宣言はしていない。；ちなみに彼の直系の子孫は1945年に途絶えて存在しないとされる。；事故の報道をされることで、客足が途絶えることを恐れたとも考えられます。；この前後に成長の活動が途絶えるのもその結果だと思われる。；しかし、犯人は受け渡しの場所には姿を現さず、連絡も途絶えてしまう。；しかしブランドフォードを経由しない産駒の系統は次々と途絶えていった。；春が過ぎると囃子の音は途絶え、ついに正体はわからないままだったという。；明以降の青花は輸入が途絶えたために色合いが元代とは変ってゆく。；この人物はポー・トースターと呼ばれていたが、現在は途絶えている。；やがてファビアンからの連絡は途絶え、そのまま燃料の限界時間が訪れた。；そうすれば、基地からの信号が途絶え共和国艦隊が異変に気づくからだ。；しかし全日本が武藤新体制となってからは現在まで参戦が殆ど途絶えている。；各自治体へ伝えられていた環境放射線の測定データも地震直後から途絶えていた。；都筑が教授室の子機を取ったらしく、呼び出し音は二コールで途絶える。；その作業をきっかけに、途絶えていた伝統が復活した例も多い。；この技法は写真術の発達に伴って長く途絶えていたものである。；以後は国内リーグでは活躍していたが、国際大会への出場は途絶えた。；その後、原稿依頼を断っているうちに注文が来なくなり、発表が途絶える。</t>
        </is>
      </c>
      <c r="J6091">
        <f>HYPERLINK("https://www.weblio.jp/content/途絶える", "词义详情")</f>
        <v/>
      </c>
      <c r="K6091">
        <f>HYPERLINK("https://yourei.jp/途絶える", "查看例句")</f>
        <v/>
      </c>
    </row>
    <row r="6092">
      <c r="A6092" t="inlineStr">
        <is>
          <t>戸棚</t>
        </is>
      </c>
      <c r="B6092" t="inlineStr">
        <is>
          <t>成功</t>
        </is>
      </c>
      <c r="C6092" t="inlineStr">
        <is>
          <t>読み方：とだな
天地・左右・背面を板などで囲い、中に収納用の棚を設け、前面に戸をつけた家具。背面も戸にして、両側から物を出し入れできるものもある。キャビネット・サイドボードなど。</t>
        </is>
      </c>
      <c r="D6092" t="inlineStr">
        <is>
          <t>戸棚風呂；戸棚みたい</t>
        </is>
      </c>
      <c r="E6092" t="inlineStr">
        <is>
          <t>押入れ；押し入れ；キャビネット；押し込み；クローゼット</t>
        </is>
      </c>
      <c r="F6092" t="inlineStr">
        <is>
          <t>食器戸棚；隠し戸棚；ガラス戸棚；衣装戸棚；書類戸棚</t>
        </is>
      </c>
      <c r="H6092" t="n">
        <v>29</v>
      </c>
      <c r="I6092" t="inlineStr">
        <is>
          <t>お二人はたぶん この戸棚の中で ひるねをしてゐらつしやるんでせう。；ところが城砦の自分用の戸棚にその靴をぜんぶ置いてきてしまったのだ。；この戸棚が服でいっぱいなのを見たら、あなたはなんていうでしょうね?；彼は音を立てないように注意してできるだけ静かに戸棚からおりた。；さ、そのあとで、帽子戸棚を明けようとしたら鍵がかかっていたのです!；大きな暖炉が奥の壁の大部分を占め、様々な戸棚や容器で囲まれている。；つぎに井戸のまわりの壁を見ると、そこは戸棚や本棚がいっぱいでした。；しばらくすると彼は、戸棚が開かれてまたしめらるるような音を聞いた。；しかし戸棚の奥から編物を取出して見ると、左右の腕はもう出来ている。；その時は、彼女が部屋に入ってくるまで、戸棚の中に隠れていました。；三時までは戸棚の中にでも匿れようかと考えていたら、お島が入って来た。；どうかこれを僕だと思つて、あの戸棚の中にしまつて置いて下さい。；その他の日少年は朝戸棚のふとんの中に潜り込んで舎監の眼を逃れた。；そして、何かを期待するかのように、洗面台の上の戸棚を見守っていた。；そのまえに戸棚のドアを開けた音がごくかすかに聞こえていた。；が、先方からは戸棚の陰がわたしを隠しているので見えることはない。；そして、国王からその卵をもらって、自分の部屋の戸棚に飾りました。；彼は前もって戸棚から出しておいた古い葉巻入れをテーブルの上に置いた。；次に、井戸の周囲を見ると、戸棚や本棚がいっぱいに並んでいるのです。；戸棚の上には、大きなソーダ・サイフォンが、二列になって光っている。；戸棚の中の物や梁から下がっている物も全部下ろして、きれいにしました。；どつか、そのへんに、戸棚の後ろかなんかに隠れてさうな気がするわ。；扉はしまったままだし、鏡付の戸棚が冷く並んでいるばかりだった。；戸棚は、しばしば道徳的な象徴性を持つ象徴的な人物によって飾られた。；それから戸棚をあけてセロファンで包んだ大きな箱を持ちだしてきた。；戸棚のうごいていった後には、意外にも、一つの扉があらわれました。；隅のところに、上から見ると三角形になっている隅の飾戸棚があった。；銀の食器を入れる小さな金庫のような箱は、台所の戸棚の中にあった。；その時、彼等はスワデシの光で彼等の衣類戸棚を檢査し始めるであらう。</t>
        </is>
      </c>
      <c r="J6092">
        <f>HYPERLINK("https://www.weblio.jp/content/戸棚", "词义详情")</f>
        <v/>
      </c>
      <c r="K6092">
        <f>HYPERLINK("https://yourei.jp/戸棚", "查看例句")</f>
        <v/>
      </c>
    </row>
    <row r="6093">
      <c r="A6093" t="inlineStr">
        <is>
          <t>土壇場</t>
        </is>
      </c>
      <c r="B6093" t="inlineStr">
        <is>
          <t>成功</t>
        </is>
      </c>
      <c r="C6093" t="inlineStr">
        <is>
          <t>読み方：どたんば
１近世、首切りの刑を行うために築いた土の壇。前に穴を掘る。土壇(どだん)。
２決断をせまられる、最後の場面。進退きわまった状態。「—で話がひっくりかえる」「—に立たされる」</t>
        </is>
      </c>
      <c r="D6093" t="inlineStr">
        <is>
          <t>瀬戸際；土俵際；どたん場；泥縄式；土俵ぎわ</t>
        </is>
      </c>
      <c r="H6093" t="n">
        <v>29</v>
      </c>
      <c r="I6093" t="inlineStr">
        <is>
          <t>この土壇場の強さがミリガン運送を支えてきたことは認めざるを得ない。；友達に誘われた旅行を理由もなく土壇場でキャンセルしたこともあった。；確かに見えざる力が土壇場で働き、きっとこの不思議な力が助けてくれる。；多くは、見つかった土壇場でやる遁走法だが、今夜の場合はそうでない。；柏木 友達と話をするっていうけど、土壇場では友達じゃないんですよ。；GMの三人のミッションメンバーは土壇場で来日の目的を一つ達成した。；どたんばになって彼女がある牧師のところに行ったのを考えてごらん。；最後の土壇場で相手に逃げられて、彼は地団駄踏んで口惜しがったのだ。；三人一緒だったかもしれないし、どたんばになって気が変わったかもしれない。；なかなか味もそっけもないタイトルだが、かなりの土壇場までこれだった。；驚異的な勝負強さを誇り、土壇場でチームを救うプレーが数多くあった。；ラルフが夕食に来ることを多少期待していたが、土壇場で断ってきた。；空中戦での体当たりは、すべての作戦が失敗した際の土壇場の作戦である。；危機に際して生死を分けるのは、土壇場で覚悟を決められるかどうかだ。；殺すか殺されるかの土壇場に立って血を流して果たし合いをする。；どたんばになってきみが嫌になったんでも、欲望がなえたわけでもないんだ。；戦争を防ぐためカラー・アドの幹部と土壇場の会議を開催する気よ。；お店も売れ残さないように土壇場では安くしてくれるってわけなんですのよ!；ジョン、この最後の土壇場に来て私はあなたにそれを言うことができるのです。；計器に異常は出なくても、土壇場でどんなエラーが出るかわからない。；しかし、夫の土壇場を、彼の貞節な妻が見逃がしておきませんでした。；あとをつけてきた連中は、土壇場でもう一度罵声を浴びせかけてきた。；なんのためにあいつは、あの土壇場でおれに嘘をついたのだ?；土壇場で吉兵衛が優勢に立ったのはむろん豆狸の功労を抜きに語れない。；土壇場になって彼に堕ろしてほしいと懇願される絶望を想像したことはあるだろうか?；だってどたんばになって行くのをやめたりしたら疑われるにきまってますもの。；土壇場での中央の考え方が、ムシがいいというべきか、浅薄というべきか。；最後の土壇場に据えられたとき、そこでは人間の罪も罰ももはや問題ではない。；しかし土壇場になって、どうしても行かねばならない窮地に追い込まれた。</t>
        </is>
      </c>
      <c r="J6093">
        <f>HYPERLINK("https://www.weblio.jp/content/土壇場", "词义详情")</f>
        <v/>
      </c>
      <c r="K6093">
        <f>HYPERLINK("https://yourei.jp/土壇場", "查看例句")</f>
        <v/>
      </c>
    </row>
    <row r="6094">
      <c r="A6094" t="inlineStr">
        <is>
          <t>土地</t>
        </is>
      </c>
      <c r="B6094" t="inlineStr">
        <is>
          <t>成功</t>
        </is>
      </c>
      <c r="C6094" t="inlineStr">
        <is>
          <t>読み方：とち
１陸地。大地。地。「人跡未踏の—」
２植物・作物などが育つ土壌。土。「肥沃な—」「—を耕す」
３耕地や宅地など、さまざまに利用する地面。地所。「—を買う」「—を開発する」
４その地域。地方。「—の習慣」「—の人」「風光明媚(めいび)な—」
５領土。「—割譲」</t>
        </is>
      </c>
      <c r="D6094" t="inlineStr">
        <is>
          <t>土地所有；土地建物；土地柄；土地買収；土地台帳</t>
        </is>
      </c>
      <c r="E6094" t="inlineStr">
        <is>
          <t>地；地面；土；農業；泥</t>
        </is>
      </c>
      <c r="F6094" t="inlineStr">
        <is>
          <t>肥沃な土地；広い土地；新しい土地；平坦な土地；見知らぬ土地</t>
        </is>
      </c>
      <c r="G6094" t="inlineStr">
        <is>
          <t>土地利用；土地所有者；土地柄；土地改良；土地開発</t>
        </is>
      </c>
      <c r="H6094" t="n">
        <v>29</v>
      </c>
      <c r="I6094" t="inlineStr">
        <is>
          <t>それ以外は大陸や島であり、人間が居住する土地の多くは北半球にある。；この王は戦争に勝利しても、土地の住民をローマに移住させなかった。；植民地にされて独立を失ってしまった土地の人々は、とてもみじめである。；没収された不動産は後に市民に売却されて、土地の流動化につながった。；広辞苑によると、旅とは、住む土地を離れて、一時他の土地に行くこと。；むしろ、その料理を作る土地やそこにいる人間にストーリー性を持たせている。；現在までに売却あるいは売却予定の土地は以下の通りである。；これらの階級の土地の1つが「マワット」または人気のない土地である。；貸した土地に茶店等を設ける時は寺の許可とし茶店での宿泊はさせない。；また、すべての荘園が前述3種類の土地から構成されていたわけではない。；宙に浮いていた教会土地財産の売却を一気に進めることもできるはずだった。；大辞泉には「住んでいる所を離れて、よその土地を訪れること」とある。；雨に弱いので秋に雨がほとんど降らない土地に栽培は限られる。；結局政府は土地の私有を認めざるを得なくなり、律令制度は崩壊した。；ホームの西側には線路一本分の土地があり、飯能短絡線との合流用とされていた。；現在中東と呼ばれている地域は地球上でもっとも古くから文明の発達した土地である。；人口が多く広大な土地を持つ中国における生産高は世界1位である。；この不平等さはエリートと土地なし農民の間に強い緊張状態をもたらしている。；ネイティブ・アメリカンの去った土地には、鉄道を敷く余地が残された。；一般に調査の前に使用する土地の使用許可をとる。；国内ではメガソーラーなどの大規模発電に適した土地が少なくなっている。；二の丸は本丸と同じく広瀬川の内側にあるが、土地は平坦な場所である。；その爵位により、土地の保有量や奴婢数など生活水準が決められていた。；このとき旧大蔵省管轄の土地が池状に埋め立てられずに残された。；土地ブローカーが町内に事務所を構え、土地を買いあさる事態となった。；また、特定の歴史的事件を土地の環境から記すこともしなかった。；なお、この住民協約は土地の分筆制限や家屋建築上の制限も含まれている。；つまり、死後、墓とした土地を永久に占有できるかどうかで区別する。；この要因として、まず1995年に新土地法が施行されたことが挙げられる。</t>
        </is>
      </c>
      <c r="J6094">
        <f>HYPERLINK("https://www.weblio.jp/content/土地", "词义详情")</f>
        <v/>
      </c>
      <c r="K6094">
        <f>HYPERLINK("https://yourei.jp/土地", "查看例句")</f>
        <v/>
      </c>
    </row>
    <row r="6095">
      <c r="A6095" t="inlineStr">
        <is>
          <t>途中</t>
        </is>
      </c>
      <c r="B6095" t="inlineStr">
        <is>
          <t>成功</t>
        </is>
      </c>
      <c r="C6095" t="inlineStr">
        <is>
          <t>読み方：とちゅう
１出発してから目的地に着くまでの間。まだ目的地に到着しないうち。「出勤—の事故」「—で引き返す」
２物事を始めてから終わるまでの間。まだ終わらないうち。中途。「食事の—で席を立つ」「—をとばして読む」
[用法]途中・中途——「坂の途中（中途）に花子の家があった」「仕事を途中（中途）で投げ出してはいけない」のように、空間的な場合でも、時間的な場合でも、相通じて用いられる。◇「出張の途中に立ち寄る」「旅の途中で引き返す」「途中下車」のように、目的地に着く前にの意味では、「途中」が適切である。◇「父の死で、兄は大学を中途で退学した」「視聴率不振で、番組は中途で打ち切られた」「中途採用」のように、続けてきた物事の半ばの意味では、「中途」がふさわしい。◇類似語に「中ごろ」がある。「試合の中ごろ（途中・中途）に雨が降りだした」のように、時間的な場合には「途中」「中途」と相通じて用いられるが、空間的な意では「中ごろ」はあまり用いない。</t>
        </is>
      </c>
      <c r="D6095" t="inlineStr">
        <is>
          <t>途中出場；途中棄権；途中休場；途中加入；途中停車駅</t>
        </is>
      </c>
      <c r="E6095" t="inlineStr">
        <is>
          <t>している；中；最中；道中；途上</t>
        </is>
      </c>
      <c r="F6095" t="inlineStr">
        <is>
          <t>来る途中；帰宅途中；任期途中；試合途中；建設途中</t>
        </is>
      </c>
      <c r="G6095" t="inlineStr">
        <is>
          <t>途中駅；途中下車；途中交代；途中経過；途中解約</t>
        </is>
      </c>
      <c r="H6095" t="n">
        <v>29</v>
      </c>
      <c r="I6095" t="inlineStr">
        <is>
          <t>ツアーの途中でトイレに隠れてバスが去ってからスタジオ内を探索した。；この場合の移動に要する時間には、途中で停止している時間も含まれる。；最終章は戯曲になっており、途中のいくつかの章は長い詩になっている。；この段階を通過するとほとんどの細胞は細胞周期を途中で停止しない。；後継の写譜師達からは仕事を断る者、途中放棄する者が出たほどである。；長期にわたり大量に製造されたため、途中で様々な改良が加えられている。；特に毎年の主演女優は必ずと言ってよいほど途中で体調を崩していた。；しかし浮浪の徒らがこのことを知って、途中で襲撃するとの報が入った。；一度職業を決めると4種類の職業から違う種類に途中変更は効かない。；現在の駅はその先の上り勾配の途中にあり、駅のすぐ西側はトンネルである。；かつては途中に西小川信号所があったが、1991年に廃止されている。；組が違うキャラクターは、途中で出会ったり仲間に加わったりすることはない。；歴史は古く、戦前から運転を開始し、途中中断したものの戦後になり再開。；途中で打ち切られた局や、しばらくの間放送する他系列ネットの局がある。；また、この機種では文字の間隔をタイピングの途中でも変更可能だった。；途中で巨人の長が変わったため、はっきりとした良い成果が出たわけではないという。；途中の駅はすべて無人駅であるが、ホーム側のすべてのドアが開く。；この場合には途中で急停止するので、かご内に閉じ込められることになる。；改札からホームへ向かう階段の途中にトイレが設置されていた。；製造が長期にわたったため、途中大きな設計変更が何回か行われている。；途中まではコンクリートで被覆されているが、その奥は素掘りであった。；このように途中から漫画内でタイアップしたホビーが変わるケースは珍しい。；また、前年怪我でシーズン途中に登録抹消されたパウリーニョも復帰した。；また、湖を形成する前に砂漠の途中で消滅してしまいワジとなる河川も多い。；ステージの途中にいくつもの分岐地点が存在するPS版オリジナルステージ。；途中停車駅はなかったが、のちに八坂駅・武蔵大和駅にも停車していた。；なお、引退後に後藤はコーチを務めていたがシーズン途中に現役に復帰した。；両ルートとも、途中の山小屋に一泊して、翌日山頂を目指すのが一般的。；森の向こうに住んでいる祖母の家へ向かう途中、カーバンクルと遭遇。</t>
        </is>
      </c>
      <c r="J6095">
        <f>HYPERLINK("https://www.weblio.jp/content/途中", "词义详情")</f>
        <v/>
      </c>
      <c r="K6095">
        <f>HYPERLINK("https://yourei.jp/途中", "查看例句")</f>
        <v/>
      </c>
    </row>
    <row r="6096">
      <c r="A6096" t="inlineStr">
        <is>
          <t>どちら</t>
        </is>
      </c>
      <c r="B6096" t="inlineStr">
        <is>
          <t>成功</t>
        </is>
      </c>
      <c r="C6096" t="inlineStr">
        <is>
          <t>読み方：どちら
［代］
１不定称の指示代名詞。
㋐不明または不特定の方向・場所をさす。「—へおいでですか」「お住まいは—ですか」
㋑複数の中から一つだけを、限定しないまま、取り立ててさす。「—がお好きですか」「—とも言えません」「私には—も必要です」
２不定称の人代名詞。
㋐（多く「どちらさま」の形で）不明または不特定の人をさす。「失礼ですが、—さまですか」「—さまもお忘れ物のないように願います」
㋑複数の中から一人だけを、限定しないまま、取り立ててさす。「—がお姉様ですか」「テニスをなさるのは—ですか」「—も存じ上げません」</t>
        </is>
      </c>
      <c r="D6096" t="inlineStr">
        <is>
          <t>どちらか一方；どちら側；どちらも同じ；どちら様；どちらさまでしょ</t>
        </is>
      </c>
      <c r="E6096" t="inlineStr">
        <is>
          <t>どっち；どこ</t>
        </is>
      </c>
      <c r="F6096" t="inlineStr">
        <is>
          <t>うちどちら；どちらでもいい；どちらさま；男女どちら；どちらでも同じ</t>
        </is>
      </c>
      <c r="G6096" t="inlineStr">
        <is>
          <t>どちらかが彼女を殺した</t>
        </is>
      </c>
      <c r="H6096" t="n">
        <v>29</v>
      </c>
      <c r="I6096" t="inlineStr">
        <is>
          <t>このため、競走がどちらの意味で用いられているか注意する必要がある。；しかしながら費用の理由から、どちらの提案も成功することはなかった。；ドア扱いは運転士もしくは車掌のどちらかがその場の状況に応じて行う。；どちらの大会を目指すかの選択は各チームの任意により成り立っている。；どちらもバルキリーが発売元を表示する機能を有していないためである。；どちらの場合も、物質や情報が光速を超えて伝播しているわけではない。；ドイツなどでは、かなり若いころに2つの経路のうちどちらを選ばせる。；どちらが皇帝で、どちらがその共同皇帝かは民衆の間ですら明らかであった。；どちらも、新世界の農業の発展を制限する鋤を引くほど強くはなかった。；そのどちらの研究も反証実験が行われており、結果は否定されている。；利用者は東京本社版もしくは大阪本社版のどちらかが選択することができる。；トールキンがどちらかのシリーズを聞いたことがあるかどうかはわからない。；どちらを選ぶかは関連する文章やその言語の習慣によるものとする。；どちらも一長一短があり、両者の違いは論文などで議論されることもある。；皮と内部はどちらも生のままあるいは調理して食べることができる。；どちらもホーム難波寄りにあり、お互いのホーム移動は構内踏切を使う。；しかしながら、これらはどちらとも決めにくい場合には妥協を必要とする。；これから、どちらがシリーズ全体の公式な設定となるかは現状は不明。；色の違いによってどちらの路線の電車なのかを見分けることができる。；どちらもサイレントで配給ルートも得られずまったく相手にされなかった。；この表記がアラビア数字と算木のどちらに由来するのかは不明である。；elseに対応するifがどちらかはっきりしないことからその名がある。；ただ個体レベルでは動作の種類に応じて左右のどちらかの手足を使う傾向がある。；基本的に棒のどちらか一端のみが食べ物に接触することが前提となっている。；どちらも国際連合に加盟し、半島唯一の主権国家であると主張している。；どちらも機械工学では広く使用されたが、電気工学では使用されなかった。；どちらも一般に長方形で鍵盤が窪んだ場所に位置し本体から突き出ない。；今日ではどちらの路線もイスタンブールからの直接の運行はない。；この場合、どちらが正しいか、間違っているかの議論はあまり意味がない。</t>
        </is>
      </c>
      <c r="J6096">
        <f>HYPERLINK("https://www.weblio.jp/content/どちら", "词义详情")</f>
        <v/>
      </c>
      <c r="K6096">
        <f>HYPERLINK("https://yourei.jp/どちら", "查看例句")</f>
        <v/>
      </c>
    </row>
    <row r="6097">
      <c r="A6097" t="inlineStr">
        <is>
          <t>読解</t>
        </is>
      </c>
      <c r="B6097" t="inlineStr">
        <is>
          <t>成功</t>
        </is>
      </c>
      <c r="C6097" t="inlineStr">
        <is>
          <t>読み方：どっかい
［名］(スル)文章を読んで、その内容を理解すること。「古典を—する」「—力」</t>
        </is>
      </c>
      <c r="D6097" t="inlineStr">
        <is>
          <t>読解する(8%)；読解能力(4%)；読解力(2%)；読解できる；読解問題</t>
        </is>
      </c>
      <c r="E6097" t="inlineStr">
        <is>
          <t>納得；分かる；把握；分る；了解</t>
        </is>
      </c>
      <c r="F6097" t="inlineStr">
        <is>
          <t>文章読解；英文読解；漢文読解；読解すること</t>
        </is>
      </c>
      <c r="H6097" t="n">
        <v>29</v>
      </c>
      <c r="I6097" t="inlineStr">
        <is>
          <t>しかも、詩の読解というものは偉い先生の解説だけが絶対ではないはず。；それを読解するただひとつの方法は、相手の言うことを知るより手がないわ。；自然哲学の分野でも、ヘーゲルの今日的読解を進めているケースがある。；ここにぶつかったところで作品の読解は佇ち尽すべきかもしれないのだ。；ところが、そのサインが読解されているとしか思えないことがあった。；家族の社会問題に関連して、学生の教育成果は標準的な読解テストでは低い。；また別のよく用いられている実験課題は文の読解である。；特に午後問題では、さまざまな組織の業務過程を知っていないと問題文の読解も困難となる。；後にヘルダーリンの読解においては、「神的なるものたち」が語られた。；漢文訓読の形にして読解したものを漢文訓読語あるいは単に訓読語と呼ぶ。；簡単なテストでの成績は良く、以前は能力の範囲外に見えた数学と読解のタスクを完了した。；そのため、断片性をきわだたせたり読解を困難にしそうなものはみな排除された。；その式は、文章を読者の読解レベルに合わせるためによく使われる。；一般向けの漢文読解を主な目的とした辞典では1万字以上を収録しているのが普通である。；日本の英語教育が文法や読解中心であると批判され、英会話が盛んになった。；コーヒーをブラックのまま啜り、もう一度、英文の読解問題に挑戦した。；実在した高天原 それでは記紀を音表で読解すると、いったいどうなるか。；ヒエログリフの科学的研究と読解に取り組んだパイオニアとしても有名。；聞き取りの終了と同時に読解の試験が開始され、読解の開始の指示は特になされない。；まともな読解力のある大多数の読者は、オレの作品に投票するはずだ。；その後に学校に復帰して英語教師・読解専門家の仕事と情緒障害の学生を指導する活動を再開した。；そのようにしてわたしは、時間単位当たり最も大量かつ容易に読解可能なのが日本語テキストなのに気づかされたのである。；執筆文は教科書会社を通じ受験読解文にも採用されている。；幼くして聡明であり、大学で学び、史漢を読解し属文を得意とした。；また、CRT表示がカラー化され、読解が行いやすくもなっている。；フランス語も著作での引用から、多数の文献を読みこなすに十分な読解力があったと評価してよい。；彼の読解は次のようなものである。；等々、それぞれが自分なりの読解を楽しめる銘だとも言えるだろう。；英語の他、ロシア語を流暢に話し、フランス語も読解が可能である。</t>
        </is>
      </c>
      <c r="J6097">
        <f>HYPERLINK("https://www.weblio.jp/content/読解", "词义详情")</f>
        <v/>
      </c>
      <c r="K6097">
        <f>HYPERLINK("https://yourei.jp/読解", "查看例句")</f>
        <v/>
      </c>
    </row>
    <row r="6098">
      <c r="A6098" t="inlineStr">
        <is>
          <t>特急</t>
        </is>
      </c>
      <c r="B6098" t="inlineStr">
        <is>
          <t>成功</t>
        </is>
      </c>
      <c r="C6098" t="inlineStr">
        <is>
          <t>読み方：とっきゅう
１特に急を要すること。大急ぎ。「礼服を—で仕上げる」
２「特別急行」の略。</t>
        </is>
      </c>
      <c r="D6098" t="inlineStr">
        <is>
          <t>特急停車駅(3%)；特急用(2%)；特急運用(2%)；特急専用；特急以外</t>
        </is>
      </c>
      <c r="E6098" t="inlineStr">
        <is>
          <t>急行；早期；大急ぎ；早急；至急</t>
        </is>
      </c>
      <c r="F6098" t="inlineStr">
        <is>
          <t>電車特急；観光特急；特別車特急；定期特急；連絡特急</t>
        </is>
      </c>
      <c r="G6098" t="inlineStr">
        <is>
          <t>特急券；特急料金；特急形；特急車；特急車両</t>
        </is>
      </c>
      <c r="H6098" t="n">
        <v>29</v>
      </c>
      <c r="I6098" t="inlineStr">
        <is>
          <t>ただし、臨時で運転される特急は例外として当駅に停車することがある。；中書島駅では京阪本線の特急や快速急行などとの接続が考慮されている。；京都市と北近畿方面とを結ぶ特急のほか、快速・普通が運転されている。；ホーム有効長は特急の発着を考慮して10両編成分を確保されている。；ただし、一部の列車は、これらの駅以外で特急などを待避するものもある。；このため特急の停車する宍道駅からタクシーなどを利用して町を訪れる人も多い。；臨時列車が運転される場合のみ特急の通過待ちをすることがある。；南海本線・高野線とも特別料金が必要な特急を含めて全ての列車が停車する。；名古屋本線は快速特急・特急・急行停車駅であるが待避線は存在しない。；しかし、初代は列車種別整理のため「特急」に統合される形で廃止された。；停車駅は特急とほぼ同じで、名鉄3400系電車等で運用されていた。；堺東駅には特急泉北ライナーを除く全列車が停車し、緩急接続している。；これは特急と急行列車特急とも区別しようとする日本独特の表現とも考えられる。；この辺りは特急がスピードを最も上げる区間でもある。；快速特急・特急も含めすべての優等種別列車は線内の各駅に停車する。；また特急「南紀」も場合によっては対向待ちのため停車することがある。；またこの際特急はすべて7両編成に統一され、輸送力が強化された。；山陽電気鉄道本線のように特急が運行されているが急行が運行されていない路線もある。；滝川駅は、滝川を経由する臨時・季節・定期列車の特急が全て停車する。；これは工事や輸送障害発生時等の特急臨時停車に対応するためである。；特急の案内などでは、当線内も池袋線とする表記が見られる。；かつて特急が通過する際は名古屋方面行きの場合速度制限を受けて低速で通過していた。；このときから全ての特急が十三駅に停車するようになった。；時間調整や特急の待ち合わせなどのため行き違い可能駅で長時間停車する列車が多い。；現在、京都・大阪からの特急はほとんどが電車であり城崎温泉駅までの運転である。；なお、上記のほかに類似する形態をもちながら定期の特急を利用するツアーも開催されている。；特急ではなく急行のため、機関車にヘッドマークは装着されなかった。；北総線の列車は普通列車が主体であるが、平日に限り特急が運転されている。；現在運転されている営業列車は特急を除き、必ず綾瀬駅を通る。</t>
        </is>
      </c>
      <c r="J6098">
        <f>HYPERLINK("https://www.weblio.jp/content/特急", "词义详情")</f>
        <v/>
      </c>
      <c r="K6098">
        <f>HYPERLINK("https://yourei.jp/特急", "查看例句")</f>
        <v/>
      </c>
    </row>
    <row r="6099">
      <c r="A6099" t="inlineStr">
        <is>
          <t>特許</t>
        </is>
      </c>
      <c r="B6099" t="inlineStr">
        <is>
          <t>成功</t>
        </is>
      </c>
      <c r="C6099" t="inlineStr">
        <is>
          <t>読み方：とっきょ
１国が特定の個人または法人に対して、特定の権利を与える行政行為。「専売—」
２特許法の定めにより、特許権を与える行政行為。
３特許権のこと。「—を申請する」</t>
        </is>
      </c>
      <c r="D6099" t="inlineStr">
        <is>
          <t>特許取得(2%)；特許申請；特許料；特許技術；特許権者</t>
        </is>
      </c>
      <c r="E6099" t="inlineStr">
        <is>
          <t>許可；免許；ライセンス；認可；パテント</t>
        </is>
      </c>
      <c r="F6099" t="inlineStr">
        <is>
          <t>土地特許；特許発明；路線特許；特許問題；特許紛争</t>
        </is>
      </c>
      <c r="G6099" t="inlineStr">
        <is>
          <t>特許庁；特許状；特許出願；特許法；特許局</t>
        </is>
      </c>
      <c r="H6099" t="n">
        <v>29</v>
      </c>
      <c r="I6099" t="inlineStr">
        <is>
          <t>ワットの特許を回避するために蒸気機関に変更を加えたものを製作した。；しかし彼の家族は、特許収入で以後安定した生活を送ることができた。；また資金の多くは数々の特許取得のためにも費やされることとなった。；熊本市は以下の区間の特許も保有していたが1937年に失効している。；第二次世界大戦前のアメリカでは特許が取られたが、普及しなかった。；このトムソンの特許の重要性は、社会に認められないまま時間が過ぎた。；一方アメリカでは1932から1979年の間に9件の特許が成立した。；このことから、近代特許制度はヴェネツィアで誕生したとされている。；その後もリンデで働き、数々の特許をフランスとドイツで取得していった。；また、八木単名でイギリスで特許を取得した後、その権利をに譲渡した。；特許とは異なり、行政が意図的に認可を行わないことが認められていない。；特許出願されたが、審査の請求をしなかったために権利化はされていない。；この特許で作られたエアブラシがどういう形状だったのかはよく分かっていない。；赤字が続いたが、特許のライセンス収入がかろうじて会社を支えていた。；大学は、特許に対する商業的権利も持つように契約を変更したいと考えていた。；また、のちに地球連邦軍と特許問題が発生するのではないかとも言われている。；当初はそれぞれが国王から独自に特許を取り預り証を発行していた。；大学院での研究からいくつか特許を取得することになった。；調停の結果、西川籐吉の名義で登録し特許は共有とすることとなった。；第二に実際に製品化されたマウスは彼の特許に記載されていたのとは異なる機構を使用していた。；サウジアラビア人の特許が初めて認められたのは1996年のことである。；マルコーニは明らかにこのことを知っていたが、独占的な特許権を主張した。；彼は改良を重ね後に2番目の特許を1878年8月16日に取得した。；その他大正の初めまでに合わせて17件の海外特許と契約を結んだ。；研究経費旧帝国大学は、研究成果の一部を特許として多数公開している。；これはゲームの仕様を保護するはじめての特許となった。；この特許にはモルクラム社の開始・終了技法の改良版が含まれていた。；蒸気圧を大きく高めて使う時代がきたのはワットの特許が切れてからである。；これには映写機と蓄音機を電気的に接続する特許が使われていた。</t>
        </is>
      </c>
      <c r="J6099">
        <f>HYPERLINK("https://www.weblio.jp/content/特許", "词义详情")</f>
        <v/>
      </c>
      <c r="K6099">
        <f>HYPERLINK("https://yourei.jp/特許", "查看例句")</f>
        <v/>
      </c>
    </row>
    <row r="6100">
      <c r="A6100" t="inlineStr">
        <is>
          <t>とっくに</t>
        </is>
      </c>
      <c r="B6100" t="inlineStr">
        <is>
          <t>成功</t>
        </is>
      </c>
      <c r="D6100" t="inlineStr">
        <is>
          <t>とっくに死ん(3%)；とっくに忘れ；とっくに気づい；とっくに消え；とっくに起き</t>
        </is>
      </c>
      <c r="F6100" t="inlineStr">
        <is>
          <t>なんかとっくに；とっくに済ん；とっくに沈ん；とっくに越え；とっくに超え</t>
        </is>
      </c>
      <c r="H6100" t="n">
        <v>29</v>
      </c>
      <c r="I6100" t="inlineStr">
        <is>
          <t>事務所や家にいたとしたら、とっくに逮捕されていたに違いありません。；あれは二匹ともとっくに死んで住居の近くにわたしの手で葬られていた。；そんな方法があれば、とっくにわしが連合と連絡をとったと思わんかね?；そうでなかったら、私はとっくにここから去ってしまったことでしょう。；いまごろはとっくにどこかから電波信号を受け取っていると思ったから。；彼はもうとっくに、瀕死の人からとり残されてしまったような気がした。；しかし、そこにいた人間は、もうとっくにどこかへ逃げてしまっていた。；どこの家の幼いものも、とっくに母の胸を求めて眠っているころである。；あなたは、まず第一に、もうとっくに空気を変える必要があったのです。；どうして私は杏じゃないんだろう、と考えることはとっくにやめていた。；出たのが四時であったなら、とっくに駅に着いていていいはずだった。；彼の心づもりでは、もうとっくに着いている頃でなければならなかった。；敵にビンクを殺す気があったなら、とっくに矢を射かけてきていたろう。；われわれ二種族のことなど、とっくに忘れてしまっていることだろうよ。；もうとっくにお目当てのものの前を通り過ぎちゃったかもしれないのよ。；そして、艦の執務室でいつも飲むコーヒーの時間はとっくに過ぎている。；あの男がこの寺院跡にいるのなら、もうとっくに出会ってもいい頃だった。；約束の時間をとっくに過ぎてまだ現われない夫人のことも心配です。；彼はとっくに死んだのだし、誰がどう見てもすっかり完全に死んでいるのだ。；僕の眼さえかすんでいなければ、とっくに看破できていたはずのことだ。；そしてすぐ傍らの板石の上に、二人はとっくに錆びている鍵を見つけた。；死を恐れていなかったのなら、志貴はとっくに死んでいたはずなのだから。；病気だって、身をいれてかかっていたら、とっくに治っているだろうに。；彼といっしょに腰をおろしていた老人は、もうとっくに家へ帰ってしまった。；新聞社の連中が抗議の声を上げるころにはとっくにどこかへ姿を消している。；答えはとっくに知っているが、自分が口にすべきではないという顔だった。；コップは、もうとっくに前線に着いていなくちゃならないはずなのです。；天気が悪くなると、帰る人たちは急いで、とっくに帰ってしまいました。；かれの方では、そんなことをとっくに忘れてしまっているにちがいないのに。</t>
        </is>
      </c>
      <c r="J6100">
        <f>HYPERLINK("https://www.weblio.jp/content/とっくに", "词义详情")</f>
        <v/>
      </c>
      <c r="K6100">
        <f>HYPERLINK("https://yourei.jp/とっくに", "查看例句")</f>
        <v/>
      </c>
    </row>
    <row r="6101">
      <c r="A6101" t="inlineStr">
        <is>
          <t>特権</t>
        </is>
      </c>
      <c r="B6101" t="inlineStr">
        <is>
          <t>成功</t>
        </is>
      </c>
      <c r="C6101" t="inlineStr">
        <is>
          <t>読み方：とっけん
特定の身分や地位の人がもつ、他に優越した権利。「外交官—」</t>
        </is>
      </c>
      <c r="D6101" t="inlineStr">
        <is>
          <t>特権的(5%)；特権を与えられ(3%)；特権意識；特権商人；特権化</t>
        </is>
      </c>
      <c r="E6101" t="inlineStr">
        <is>
          <t>担当；専門；権利；特典；利権</t>
        </is>
      </c>
      <c r="F6101" t="inlineStr">
        <is>
          <t>様々な特権；諸特権；封建的特権；都市特権；貿易特権</t>
        </is>
      </c>
      <c r="G6101" t="inlineStr">
        <is>
          <t>特権的；特権レベル；特権者；特権モード；特権委員会</t>
        </is>
      </c>
      <c r="H6101" t="n">
        <v>29</v>
      </c>
      <c r="I6101" t="inlineStr">
        <is>
          <t>学生と教授には多くの特権が与えられたが、それらはすぐに濫用された。；のちには任官試験を経ずに地方官に任命される特権を朝廷から認められた。；この特権は極めて名誉なものと考えられ、爵位の上下よりも重視された。；大学や議会、ローマ時代から維持していた自治特権はすべて廃止された。；かつて重要な役割を持っていた騎士団員の特権も失われたのである。；しかし、それでも賄いきれなくなった領主は特権収入に頼るようになる。；特権を剥奪されたグループのための子供たちと家族原因、環境と原因。；これは楽市場での交通の自由や種々の特権を認めたものであった。；皇室は戦前より特権が減り義務は重くなり、我慢と犠牲の人生となった。；蔭位により、貴族は子孫へ各種特権を世襲することが容易となっていた。；そもそもノビレスも他の元老院議員と違う特権を持っていたわけではない。；その特権も失われた明治時代以降も、毎日魚の市が立つ魚屋の町であった。；内容は特権的で、他の国立銀行の準備金を預かる立場となったのである。；韓国では当時、高等学校への入学は限られた少数の特権であった。；そして皇帝は王を無視して諸侯に様々な特権を与えて懐柔していた。；ローマ帝国の時代には単なるコロニアであったが、自治特権を得ていた。；鶯宿は江戸時代にも中世以来の諸役免許の特権を持ち、商業活動を行った。；ベネディクトゥス6世は在任中に多くの修道院や教会に特権を付与した。；宗教的にはカトリック教会の特権を保護し、教会と協調する道を選んだ。；これは別のサーバからの信号が届く前に特権を与えてしまうことから発生した。；宋代は科挙至上主義であったので、これはかなりの特権だったといえる。；このような特権はそれぞれの地域の武家権力から獲得していた。；また、行政と司法の改革をして貴族の特権を廃止して弱体化させた。；近世に入ると夙とかわたの間で特権などを巡って争いが生じてきた。；さらに大王は、必要な原料への無税の特権と競争相手の排除を保証した。；特権を持つ子どもたちは、教師がそうであるように、この行動を学んできた。；さらに商人は、平民ではあるが特別な法や神殿を持つ特権集団を形成していた。；ドイツの都市ヴァルデンブルクは15世紀に都市の特権を認められた。；最小特権の手法により、プログラムは正しい動作以外は何もできなくなる。</t>
        </is>
      </c>
      <c r="J6101">
        <f>HYPERLINK("https://www.weblio.jp/content/特権", "词义详情")</f>
        <v/>
      </c>
      <c r="K6101">
        <f>HYPERLINK("https://yourei.jp/特権", "查看例句")</f>
        <v/>
      </c>
    </row>
    <row r="6102">
      <c r="A6102" t="inlineStr">
        <is>
          <t>とっさ</t>
        </is>
      </c>
      <c r="B6102" t="inlineStr">
        <is>
          <t>成功</t>
        </is>
      </c>
      <c r="C6102" t="inlineStr">
        <is>
          <t>読み方：とっさ
ごくわずかな時間。「—の判断」「—の行動」</t>
        </is>
      </c>
      <c r="D6102" t="inlineStr">
        <is>
          <t>とっさに浮かん；とっさに反応でき；とっさに避けよ；とっさに楯板</t>
        </is>
      </c>
      <c r="E6102" t="inlineStr">
        <is>
          <t>瞬間；一瞬；刹那；瞬時；咄嗟</t>
        </is>
      </c>
      <c r="H6102" t="n">
        <v>29</v>
      </c>
      <c r="I6102" t="inlineStr">
        <is>
          <t>これはとっさに私が彼女のために緩衝器の役をつとめてやったからだった。；しかしどっちが成功するかそこはとっさの際にきめる訳に行かなかった。；一息ついた自分は、とっさに戸の上部のガラスまどをやぶろうと考えた。；また3つ以上のボタンを要求する場合は、とっさの判断に注意を要する。；私はくるりと後ろを向きましたが、とっさに、涙が出てきて困りました。；私はとっさに情欲よりも、もっと高い愛情にうちのめされた気になった。；インディアの番まで来ると、彼女はとっさに手話で自分の名前を告げた。；とっさに頭に浮かんだ考えは、これまでのと全然別のものであった。；けれど、どういうわけだったか、わたしにも、とっさには言えなかった。；ジュリアンは廊下に物音がするのを聞いてとっさにランプを吹き消した。；彼がとっさに思ったことは、 〝この街の破壊は、こいつがやったのか?；とっさに教授は手をのばしてその脚をつかもうとしたが、及ばなかった。；そのとき彼は、なにが起こったかをとっさに知ることができなかったのだろう。；とっさに決心をすると、もどかしげに服を着かえ、通りへおりていった。；ボクはなぜだかとっさにエロ本で顔を隠し、ふたりの行方を目で追った。；細君のほうはとっさに、檻へ逃げこんで中からドアを閉めようと思った。；どのように答えればいいのか、とっさには判断がつかなかったからだ。；一度も会ったことはないのだが、とっさにそれと私にはわかった。；なにかあった時にはとっさに身構えることができるというしるしなのだ。；とっさにおれはせつない労働をやめてしまって、ほっとして振り返った。；とっさに、これを利用すれば逃げるチャンスのあることに思いあたった。；とっさに二人は自分たちの見た未来がどこかで繋がっていることを確かめた。；とっさに回避した僕の代わりに、彼女は数本の髪の毛を消し飛ばします。；とっさのことにまずそういう考えと希望とをもったのである。；何も言えなくなった健二はとっさにその場から立ち去り工場に向かう。；優勝を手にした彼らは、とっさにバンド名を考える必要に迫られた。；あの台詞は、鴎座の試験の、とっさの場合に僕が直感で見つけたものだ。；学生はとっさにその1000円札を拾うと自宅へ逃げるように帰った。；ガブリエルはとっさにあたりを見まわしたが、悲鳴の主は中庭にはいない。</t>
        </is>
      </c>
      <c r="J6102">
        <f>HYPERLINK("https://www.weblio.jp/content/とっさ", "词义详情")</f>
        <v/>
      </c>
      <c r="K6102">
        <f>HYPERLINK("https://yourei.jp/とっさ", "查看例句")</f>
        <v/>
      </c>
    </row>
    <row r="6103">
      <c r="A6103" t="inlineStr">
        <is>
          <t>とっさに</t>
        </is>
      </c>
      <c r="B6103" t="inlineStr">
        <is>
          <t>成功</t>
        </is>
      </c>
      <c r="C6103" t="inlineStr">
        <is>
          <t>読み方：とっさに
［副］その瞬間に。たちどころに。「—ブレーキをふむ」</t>
        </is>
      </c>
      <c r="D6103" t="inlineStr">
        <is>
          <t>とっさに浮かん；とっさに反応でき；とっさに避けよ；とっさに楯板</t>
        </is>
      </c>
      <c r="E6103" t="inlineStr">
        <is>
          <t>瞬間；一瞬；刹那；瞬時；咄嗟</t>
        </is>
      </c>
      <c r="H6103" t="n">
        <v>29</v>
      </c>
      <c r="I6103" t="inlineStr">
        <is>
          <t>これはとっさに私が彼女のために緩衝器の役をつとめてやったからだった。；しかしどっちが成功するかそこはとっさの際にきめる訳に行かなかった。；一息ついた自分は、とっさに戸の上部のガラスまどをやぶろうと考えた。；また3つ以上のボタンを要求する場合は、とっさの判断に注意を要する。；私はくるりと後ろを向きましたが、とっさに、涙が出てきて困りました。；私はとっさに情欲よりも、もっと高い愛情にうちのめされた気になった。；インディアの番まで来ると、彼女はとっさに手話で自分の名前を告げた。；とっさに頭に浮かんだ考えは、これまでのと全然別のものであった。；けれど、どういうわけだったか、わたしにも、とっさには言えなかった。；ジュリアンは廊下に物音がするのを聞いてとっさにランプを吹き消した。；彼がとっさに思ったことは、 〝この街の破壊は、こいつがやったのか?；とっさに教授は手をのばしてその脚をつかもうとしたが、及ばなかった。；そのとき彼は、なにが起こったかをとっさに知ることができなかったのだろう。；とっさに決心をすると、もどかしげに服を着かえ、通りへおりていった。；ボクはなぜだかとっさにエロ本で顔を隠し、ふたりの行方を目で追った。；細君のほうはとっさに、檻へ逃げこんで中からドアを閉めようと思った。；どのように答えればいいのか、とっさには判断がつかなかったからだ。；一度も会ったことはないのだが、とっさにそれと私にはわかった。；なにかあった時にはとっさに身構えることができるというしるしなのだ。；とっさにおれはせつない労働をやめてしまって、ほっとして振り返った。；とっさに、これを利用すれば逃げるチャンスのあることに思いあたった。；とっさに二人は自分たちの見た未来がどこかで繋がっていることを確かめた。；とっさに回避した僕の代わりに、彼女は数本の髪の毛を消し飛ばします。；とっさのことにまずそういう考えと希望とをもったのである。；何も言えなくなった健二はとっさにその場から立ち去り工場に向かう。；優勝を手にした彼らは、とっさにバンド名を考える必要に迫られた。；あの台詞は、鴎座の試験の、とっさの場合に僕が直感で見つけたものだ。；学生はとっさにその1000円札を拾うと自宅へ逃げるように帰った。；ガブリエルはとっさにあたりを見まわしたが、悲鳴の主は中庭にはいない。</t>
        </is>
      </c>
      <c r="J6103">
        <f>HYPERLINK("https://www.weblio.jp/content/とっさに", "词义详情")</f>
        <v/>
      </c>
      <c r="K6103">
        <f>HYPERLINK("https://yourei.jp/とっさに", "查看例句")</f>
        <v/>
      </c>
    </row>
    <row r="6104">
      <c r="A6104" t="inlineStr">
        <is>
          <t>突如</t>
        </is>
      </c>
      <c r="B6104" t="inlineStr">
        <is>
          <t>成功</t>
        </is>
      </c>
      <c r="C6104" t="inlineStr">
        <is>
          <t>読み方：とつじょ
［ト・タル］［文］［形動タリ］何の前触れもなく物事が起こるさま。だしぬけであるさま。突然。「—として人々が騒ぎだす」
［副］に同じ。「—ガス爆発が起こる」</t>
        </is>
      </c>
      <c r="D6104" t="inlineStr">
        <is>
          <t>突如現れる；突如現われ；突如姿を消し；突如たる；突如姿を現し</t>
        </is>
      </c>
      <c r="E6104" t="inlineStr">
        <is>
          <t>急；突然；急に；いきなり；急速に</t>
        </is>
      </c>
      <c r="F6104" t="inlineStr">
        <is>
          <t>最中に突如；直後に突如；突如体調を崩し；突如現役引退を表明；突如舞い降り</t>
        </is>
      </c>
      <c r="H6104" t="n">
        <v>29</v>
      </c>
      <c r="I6104" t="inlineStr">
        <is>
          <t>突如強い光に覆われた彼の前からは敵機の姿が消え無数の翼竜が現れた。；本の最初のページには島の地図の絵があり、突如として動きはじめる。；さらには突如として炎が噴出し、一気にその場は火の海となってしまう。；しかし突如として現われた少女によってその日常は奪われてしまった。；突如行われたこれらの応援は新聞や雑誌などに次のように報じられた。；戦争はもうしばらく続くかと思われたが、その終わりは突如訪れた。；今日も喧嘩に明け暮れていた彼は、突如現れた巨乳の女生徒に襲われる。；突如空中に現れたクジラは自分が何者かを認識しようと努力しているうちに死ぬ。；東京は突如として核の炎に焼かれ、同時に日本の情報システムも崩壊した。；DG内を調べていたヴィンセントは、突如謎の闇に飲み込まれてしまう。；ところがその平和な日常の中に突如として昔の彼女、黒須カナタが現れた!；ところが、突如未知の惑星で作業を行っていたロボットたちが反乱を起こす。；時折、普段使用することのない投げ技を突如として繰り出すこともある。；ある日、いつも口喧嘩が絶えなかった中年男の妻が突如として姿を消す。；しかし、突如謎のヴァンパイアが出現、戦闘の末太陽銃を奪われてしまう。；稲田のライブでは既に何度か披露されていたが、突如として主題歌に選ばれた。；クラックブームの終焉は、その始まりと同じように、突如として訪れた。；時空の歪みにより敷地外へ出られなくなった降星小学校に突如として出現。；低確率ながら、突如けがをしてしまいその場で1回休みになってしまう。；決勝では21周目に突如ピットインを命じられ、その場でリタイヤした。；このように大活躍をしたシーズンであったが、6月8日に突如引退宣言をしている。；突如出現した全く新しいフロンティアに多くのハイロードは目をつけている。；だが3年後、殆どのテレビ番組がカラー化された中で突如日の目を見た。；人気面ではなく編成の都合で突如打ち切りとなる場合も多い。；ところが数十年後、突如竜が村や町を攻撃、貢物を要求してきた。；伝承はロームルスが突如として豪雨の中にその姿を隠した事で終わりを告げる。；だが、街で子供の葬列に出くわした日から、突如、葉の態度が豹変する。；突如として現れ短時間で消えてしまうため、正確な予測は難しい。；活動停止状態を経て1994年に突如復活し、新曲発売やツアーを行う。</t>
        </is>
      </c>
      <c r="J6104">
        <f>HYPERLINK("https://www.weblio.jp/content/突如", "词义详情")</f>
        <v/>
      </c>
      <c r="K6104">
        <f>HYPERLINK("https://yourei.jp/突如", "查看例句")</f>
        <v/>
      </c>
    </row>
    <row r="6105">
      <c r="A6105" t="inlineStr">
        <is>
          <t>突然</t>
        </is>
      </c>
      <c r="B6105" t="inlineStr">
        <is>
          <t>成功</t>
        </is>
      </c>
      <c r="C6105" t="inlineStr">
        <is>
          <t>読み方：とつぜん
［ト・タル］［文］［形動タリ］予期しないことが急に起こるさま。だしぬけであるさま。突如。
「—として平野次郎が大変ありと言出(いいいず)るにぞ」〈染崎延房・近世紀聞〉
［副］に同じ。「—大声を出す」「—訪問する」
[用法]突然・不意に——「突然（不意に）電車が急停車した」「笛の音が突然（不意に）やんだ」など、急に事が起こる意では相通じて用いられる。◇「突然」は、前触れなしに急に何かが起こるさまに意味の重点がある。「突然大音響が聞こえた」「突然のお話で戸惑っております」◇「不意に」は、思ってもいなかったことが起きて驚き、当惑する気持ちに意味の重点がある。「不意にけいれんが起こった」「不意に飛び出してきた」◇類似の語に「いきなり」がある。「いきなり殴るとはひどい」「初出場でいきなり優勝した」のように、一足飛びに何かをするさまの意で、上の二例では「突然」「不意に」とは置き換えられない。</t>
        </is>
      </c>
      <c r="D6105" t="inlineStr">
        <is>
          <t>突然変異；突然倒れ；突然消え；突然現われ；突然やってき</t>
        </is>
      </c>
      <c r="E6105" t="inlineStr">
        <is>
          <t>急；急に；いきなり；意外；急速に</t>
        </is>
      </c>
      <c r="F6105" t="inlineStr">
        <is>
          <t>あまりに突然；まったく突然；あまりにも突然；突然思い出し；なぜ突然</t>
        </is>
      </c>
      <c r="G6105" t="inlineStr">
        <is>
          <t>突然の死；突然死；突然変異体；突然確変；突然の恐怖</t>
        </is>
      </c>
      <c r="H6105" t="n">
        <v>29</v>
      </c>
      <c r="I6105" t="inlineStr">
        <is>
          <t>ところが直線に入ったとたん突然の猛スパートをかけ、見事に優勝した。；しばらく前に突然麻痺の症状が出たというが、原因は分かっていない。；突然一人の僧が現れ、手に持っていた梨の実を私に与えて食べさせてくれた。；また着陸の際に減速中に突然失速し転覆したりなどする事故も発生した。；軍が突然に政治の表舞台に踊り出たことは多くの人々を驚かせた。；そして波の音が何分か流れた後、間を置かずに突然休止するパターンだった。；靳準がこれの対処にあたったが、その最中二人の子が突然死亡したという。；突然の行動であり、宮中内部でも特に議論にはならなかったとみられている。；しかし、連載の終了は4週間前に通告されるという突然なものであった。；一方、東京では若い女性が突然昏倒し、やがて死亡する事件が多発する。；突然に激しい様から以下のように固有名称としてよく用いられている。；その夜、開かずの間の扉が突然開き、清四の前に死んだはずの淵男が現れる。；建物内には突然殴りつけてくる者や潜伏中の犯罪者が住んでいる事がある。；彼はソ連の突然の措置にも西側同盟国の対応姿勢にもひどくショックを受けた。；反強磁性体の一種で、磁化の特性が突然進んで突然飽和してしまうもの。；そんな中、長年アメリカへ留学していた長女・富貴子が突然帰国した。；シンバは言われた通りに吠える練習をすると、突然地面が揺れ出した。；そのため、レースに劇的な展開が突然起きることも起きたことがある。；すると突然、空中に大声が響き渡ったかと思うと、鬼神達はみな姿を消した。；昨日まで元気であったが突然の事であったとのこと。；しばらく姿を見せていなかったバカ王子が突然、雪隆の部屋を訪れた。；これを俊介が非常識だと断ると和音は腹痛を訴えて突然倒れてしまった。；このプロジェクトは第二次世界大戦へのアメリカの完全参戦と共に突然終了した。；地元ではハリケーンはないがトルネードは突然来ると言われている。；また大正13年には黒麹から突然変異した白麹の分離培養にも成功した。；復帰を確信していた番組関係者らは、突然の訃報に悲しみにくれたといわれている。；そのため、敵の出現する地域で移動中に突然遭遇することになる。；と突然清に聞かれ、欲しいと言うと、程なく庭にプールが出来ていた。；ボニーとクライドの突然の最期はダラスだけで50万部の新聞を売った。</t>
        </is>
      </c>
      <c r="J6105">
        <f>HYPERLINK("https://www.weblio.jp/content/突然", "词义详情")</f>
        <v/>
      </c>
      <c r="K6105">
        <f>HYPERLINK("https://yourei.jp/突然", "查看例句")</f>
        <v/>
      </c>
    </row>
    <row r="6106">
      <c r="A6106" t="inlineStr">
        <is>
          <t>どっち</t>
        </is>
      </c>
      <c r="B6106" t="inlineStr">
        <is>
          <t>成功</t>
        </is>
      </c>
      <c r="C6106" t="inlineStr">
        <is>
          <t>読み方：どっち
［代］《「どち」の促音添加》
１不定称の指示代名詞。「どちら」よりもややくだけた感じの語。
㋐「どちら1㋐」に同じ。「交番は—ですか」
㋑「どちら1㋑」に同じ。「—でもいい方を買ってやるよ」
２不定称の人代名詞。「どちら2㋑」に同じ。「—が年上ですか」</t>
        </is>
      </c>
      <c r="D6106" t="inlineStr">
        <is>
          <t>どっちでもいい(3%)；どっちだっていい；どっち側；どっちも同じ；どっちでも同じ</t>
        </is>
      </c>
      <c r="F6106" t="inlineStr">
        <is>
          <t>どっちかって言う；どっちかっていえ；結局どっち；どっちかって言え；さあどっち</t>
        </is>
      </c>
      <c r="G6106" t="inlineStr">
        <is>
          <t>どっちつかず；どっちがどっち；どっちもどっち；どっち道；どっちの料理ショー</t>
        </is>
      </c>
      <c r="H6106" t="n">
        <v>29</v>
      </c>
      <c r="I6106" t="inlineStr">
        <is>
          <t>だからどっちへ向けても人の魂と触れた感じはしなくなってしまったのね。；どっちにしても叔父が女に夢中になっていることだけは確かであった。；よく相当の家では、どっちかというと下の家から来た嫁がよいというが。；そんな風でとうとう十日ばかりの間どっちともはっきりしませんでしたよ。；いずれにしても庭には出られるから、どっちになってもかまわなくてよ!；しかしどっちが成功するかそこはとっさの際にきめる訳に行かなかった。；結局どっちでもいいという放任した気持ちにまでならなくてはだめです。；さて、どっちの姿が真実に近いのか、ピュロンは何も知らないのである。；どっちか確めるのは、自分で一度二階へ上って様子を見なければ分らない。；したがって自分はどっちの感じで重吉に対してよいかわからなかった。；そのどっちにしたところで、自分とあまり交渉のない事もよく心得ていた。；どっちが本当のお勢なのか、こうなると平次も見当がつかなくなるくらい。；そうだとすればその責任がどっちにどれだけあるか、それもよく分からない。；どっちを離れても、自分というものはこの世に存在しないように思われた。；それというのも、どっちもヒューマニズムに対立しているがためなのだ。；そこまで行ってしまえば、もはやどっちの方向へ下ろうとも勝手なのだ。；どっちかといえば、わたしが破産する方がまだいくらかましであろう。；私にはどっちが正しいのか、それとも両方とも間違っているのか分らない。；どうやら我々の知識は、どっちをむいても足りないのではあるまいか。；そして二人はどっちからもかけ寄って、ちょうど畑の堺で会いました。；実をいうと自分にはどっちがいいかまるでわからないのである。；しかし今の私にとってはそんな理屈なぞはどっちでもいいことであった。；私の方が病気なのか、お父さんの方が酔っているのか、どっちかだね。；もし強いて先へ出ようとすれば、どっちかで手を出さなければならなかった。；どっちも或る第三者を計算にいれてものを言っているのだからな。；日本の社会は、どっちを向いても、あんまりコンプレックスが多すぎる。；しかしどっちが先へ死ぬと判然分っていたならば、先生はどうするだろう。；靴を穿いた以上彼は、敬太郎の意志通りどっちへでも動く人であった。；これではいよいよどっちがほんものの針目博士だかわからなくなった。</t>
        </is>
      </c>
      <c r="J6106">
        <f>HYPERLINK("https://www.weblio.jp/content/どっち", "词义详情")</f>
        <v/>
      </c>
      <c r="K6106">
        <f>HYPERLINK("https://yourei.jp/どっち", "查看例句")</f>
        <v/>
      </c>
    </row>
    <row r="6107">
      <c r="A6107" t="inlineStr">
        <is>
          <t>とっておき</t>
        </is>
      </c>
      <c r="B6107" t="inlineStr">
        <is>
          <t>成功</t>
        </is>
      </c>
      <c r="C6107" t="inlineStr">
        <is>
          <t>読み方：とっておき
いざという時のために、大切にしまっておくこと。また、そのもの。とっとき。「—のウイスキー」「—のいい話」</t>
        </is>
      </c>
      <c r="D6107" t="inlineStr">
        <is>
          <t>とっておくべき(6%)；とっておくつもり(4%)</t>
        </is>
      </c>
      <c r="E6107" t="inlineStr">
        <is>
          <t>切り札；決め手；ワイルドカード；ジョーカー；ババ</t>
        </is>
      </c>
      <c r="H6107" t="n">
        <v>29</v>
      </c>
      <c r="I6107" t="inlineStr">
        <is>
          <t>首相はこの時点ですでにこのとっておきの方策を考えていたことになる。；第一たいがいのことをするのに必ず証拠をとっておかなければならない。；その幸福は、女神があんたのために大事にとっておいてくれたものだよ。；僕はパンを半分だけ食べて、残りを獣たちのためにとっておくことにした。；ぼくは彼のとっておいてくれた屋根にわたしてある木の座席に腰をおろした。；城砦で必要になったときのために、もうひとつ大壜に入れてとっておく。；彼はこの帽子を日本の母の形見として二十数年間、大切にとっておいた。；今もぼんに頼んで、店の奥からとっておきを何本か出させたばかりである。；お店の人とも顔なじみになって、父のために特別品をとっておいてくれた。；しかし人類の進歩の輝かしい頂点だけはとっておいてもいいではないか。；どうせなら最初に負けたときに責任をとっておけばよかったのに。；一通は自分でとっておき、二部は友人に意見を求めるために送るつもりです。；私は、それを、何かの機会にあけるつもりで、大事にとっておいたのだ。；この場の記録をとっておけば、最上の研究資料になることがわかっておる。；できることなら、自分の時間は自分ひとりだけのためにとっておきたかった。；ああいう芸術的にさえ失敗している仕事をとっておく意味なんてどこにある?；ときどき目が合うから、何回目かに、俺のとっておきの笑顔で合図した。；シルビナは部屋のなかへ入るまで待ってから、とっておきのことをいった。；このように、今回の作品群は各作者のとっておきが表に出てきたものたちです。；してみれば自分が自分の父親からもらった金はとっておくのが正しいのではないか?；アランはとっておきの笑顔で答えながらも彼女の身体にはノンだった。；何となく、不安な予感に駆られて私はその写真をとっておいたのだった。；そして大事にとっておいて、あたしたちの子供にも読んでやることにするのよ。；こうすれば珠芽には重みをかけずに、乾燥したままとっておけますから。；それから、あの男は事件の経過を一々記録にとっておいてくれました。；たぶん、この瞬間のために父がとっておいてくれた涙なのだろう。；彼がその穂軸を燃料にするためにとっておこうとすると、阿藍が言った。；しかし、どういう状況が生まれるかわからぬからこの梯子はとっておいた。；心の苦悶は後回しにして、自分一人になった時のためにとっておいた。</t>
        </is>
      </c>
      <c r="J6107">
        <f>HYPERLINK("https://www.weblio.jp/content/とっておき", "词义详情")</f>
        <v/>
      </c>
      <c r="K6107">
        <f>HYPERLINK("https://yourei.jp/とっておき", "查看例句")</f>
        <v/>
      </c>
    </row>
    <row r="6108">
      <c r="A6108" t="inlineStr">
        <is>
          <t>どっと</t>
        </is>
      </c>
      <c r="B6108" t="inlineStr">
        <is>
          <t>成功</t>
        </is>
      </c>
      <c r="C6108" t="inlineStr">
        <is>
          <t>［副］
１大ぜいがいっせいに声をあげるさま。「観客が—はやしたてる」
２たくさんの人や物が一時に押し寄せるさま。「注文が—舞い込む」
３病気が急に重くなるさま。「—病の床につく」</t>
        </is>
      </c>
      <c r="D6108" t="inlineStr">
        <is>
          <t>どっと押し寄せ(2%)；どっと倒れ；どっと歓声；どっと笑う；どっと溢れ</t>
        </is>
      </c>
      <c r="E6108" t="inlineStr">
        <is>
          <t>一斉に；一挙に；どいつもこいつも；続出する；猫も杓子も</t>
        </is>
      </c>
      <c r="F6108" t="inlineStr">
        <is>
          <t>どっと押しよ；どっとどよみ；どっと冷たい汗；どっとおし寄せ；どっと流れこみ</t>
        </is>
      </c>
      <c r="H6108" t="n">
        <v>29</v>
      </c>
      <c r="I6108" t="inlineStr">
        <is>
          <t>まったくのところ、そうした事実が彼にむかってどっと押しよせてきた。；集まっている友人たちもおくれをとらない連中なのでどっと笑い出した。；午前中の活動が私の健康には過ぎたらしく、午後にはどっと疲れがでた。；自分の力で支えきれないような不安がどっと胸にこみあげてきたのである。；その場で食事をしていたほかの連中がそれでどっと笑いやがった。；そのころ内地の商人たちが北海道の鮭や昆布を求めてどっと入ってきた。；遊部夫妻の過去のいきさつを知っているものらは一瞬どっと笑い出した。；風を切る刃の音と女の叫び声とが聞こえ、頭のない胴体がどっと倒れた。；私がよほどびっくりした顔をしたのだろう、ロレンスはどっと笑いだした。；そこへ西洋人が、この国の仏教的平和を破って、どっと流れこんできた。；国王のすわっているテーブルの遠い端では、どっと笑う声がよく起こった。；敵はどっと崖っ縁に押し寄せてわたしの後から武器を投げつけたのだ。；顔から肩から足から腕から、順序も無くどっと粘液と化して床に広がる。；しかし激しい悲しみがどっと胸を襲ってきたのを彼は感じていた。；急に全身の血がどっと心臓へ押しよせてゆくような気持を覚えた。；わたしたちを甲板に引き揚げようと、多くの手がどっとさしのべられた。；すぐにも自分の番がまわってくるのだと思うと、冷汗がどっと吹き出した。；彼の内部にしこっていたものが一時に柔らいで、どっと涙があふれ出た。；けれどもやっぱり底まで届かずに浮いてきたのでみんなはどっと笑いました。；だから、たぶん今日中にどっと門から飛び出して来るに違いない。；あの人はよろめいて倒れ、その上に敵の群れがどっと押し寄せました。；ロンバードのからだが空中でとまって、それから、どっと地面に落ちた。；あんな事をしていて、どっと寝つきでもしたら、どうしたらいいのかしら。；撮影が終わり、みんなが帰ったあと、私の体はどっと疲れていた。；それから急に下から脚を蹴られ、私はみんなの下敷きになってどっと倒れた。；先生がはいってきたとき、みんなはどっと大かっさいで迎えました。；あの雪の壁が一度にどっと崩れてきたらどうしよう。；心の枠におさまっていた銀河が、どっと彼にむかって押しよせてきた。；この時二階下で大勢が一度にどっと笑う声がした。</t>
        </is>
      </c>
      <c r="J6108">
        <f>HYPERLINK("https://www.weblio.jp/content/どっと", "词义详情")</f>
        <v/>
      </c>
      <c r="K6108">
        <f>HYPERLINK("https://yourei.jp/どっと", "查看例句")</f>
        <v/>
      </c>
    </row>
    <row r="6109">
      <c r="A6109" t="inlineStr">
        <is>
          <t>突破</t>
        </is>
      </c>
      <c r="B6109" t="inlineStr">
        <is>
          <t>成功</t>
        </is>
      </c>
      <c r="C6109" t="inlineStr">
        <is>
          <t>読み方：とっぱ
［名］(スル)
１突き破ること。困難や障害などを克服すること。「包囲網を—する」「難関を—する」
２ある目標・数量を超えること。「目標額を—する」「人口が一億人を—する」</t>
        </is>
      </c>
      <c r="D6109" t="inlineStr">
        <is>
          <t>突破する(13%)；突破でき(2%)；突破しよ；突破力；突破すれ</t>
        </is>
      </c>
      <c r="E6109" t="inlineStr">
        <is>
          <t>突き抜ける；突き破る；つき破る；突きやぶる；突破る</t>
        </is>
      </c>
      <c r="F6109" t="inlineStr">
        <is>
          <t>グループリーグ突破；限界突破；枚突破；正面突破；部突破</t>
        </is>
      </c>
      <c r="G6109" t="inlineStr">
        <is>
          <t>突破る；突破無電；突破ら</t>
        </is>
      </c>
      <c r="H6109" t="n">
        <v>29</v>
      </c>
      <c r="I6109" t="inlineStr">
        <is>
          <t>総攻撃を突破した後にボスが出現するという構成を取るステージが多い。；音速を突破する成果を挙げたものの複数のパイロットを事故で失っている。；本大会は予選を突破した7カ国と開催国であるスウェーデンで争われた。；本大会では、グループリーグ突破が決まった後の3戦目のみに出場した。；天皇杯へは、2015年度から3年連続で県予選を突破し出場している。；死ぬべきであるとは思いましたが、御命令に接しまして敵を突破して帰りました。；また重巡洋艦の火力で、敵警戒部隊を突破するのは困難と考えられていた。；翌々日にはソ連7個軍の攻勢が始まり、陣地は次々に突破されていった。；川を潜ることで武田軍の警戒の目をくらまし、無事に包囲網を突破した。；A3J1は高速力で敵防空網を突破するために野心的な設計となっていた。；わずかに開いた隙間を左右の馬に接触しながら突破した。；なお、この年にはMLBで初めて観客動員で400万人を突破している。；織田勢の三重柵の二重まで突破したが、一斉射撃を受け戦死したという。；アメリカでは売り上げ700万枚を突破し、前作以上の大ヒットとなった。；コロナ禍で始めて10億ドルを突破し、アメリカでは社会現象となった。；戦車の登場は第一次世界大戦中のことであり、塹壕線突破などが主目的であった。；日本人女子としてはじめて1m90の壁を突破した選手として知られる。；また、力士級の大柄の男2人が体当たりしても突破できない強度を持つ。；ただ、数の違いは明らかであり、ついに新田軍は生田の森を突破され敗れた。；信者数が1000万人を突破したと公表されたのは1995年7月である。；第101SS重戦車大隊は迂回突破を阻止することに成功したのである。；各地を転戦し、平安道で敵の包囲を突破して父を救ったことがある。；年間訪韓者数でも初めて300万人を突破し305万3千人となった。；難関を突破した被差別民こそ本当の実力があると考えていたのがその理由だった。；新政府軍は橋を占領し復旧させるとこれを突破し、夜には戸の口原に進出した。；運転手となるには難関の試験を突破しなければならない。；右での突破を選択肢に持つことによって得意の左足シュートを活かした。；スターと言っても何ら遜色もない活躍でシリーズを第5戦で突破した。；特に側面攻撃から守られることは、戦車の敵陣突破を容易にすると考えられていた。</t>
        </is>
      </c>
      <c r="J6109">
        <f>HYPERLINK("https://www.weblio.jp/content/突破", "词义详情")</f>
        <v/>
      </c>
      <c r="K6109">
        <f>HYPERLINK("https://yourei.jp/突破", "查看例句")</f>
        <v/>
      </c>
    </row>
    <row r="6110">
      <c r="A6110" t="inlineStr">
        <is>
          <t>突発的</t>
        </is>
      </c>
      <c r="B6110" t="inlineStr">
        <is>
          <t>成功</t>
        </is>
      </c>
      <c r="C6110" t="inlineStr">
        <is>
          <t>読み方：とっぱつてき
［形動］事件などが突然起こるさま。「—な事故」</t>
        </is>
      </c>
      <c r="D6110" t="inlineStr">
        <is>
          <t>突発的な出来事；突発的な事故；突発的な事態；突発的な犯行；突発的なアクシデント</t>
        </is>
      </c>
      <c r="E6110" t="inlineStr">
        <is>
          <t>急；突然；不意；急激；唐突</t>
        </is>
      </c>
      <c r="H6110" t="n">
        <v>29</v>
      </c>
      <c r="I6110" t="inlineStr">
        <is>
          <t>事前に具体的な殺害方法・場所も決めておらず、殺害は突発的なものだ。；その血の色が突発的に一人の男の中に色濃く現われることもあるだろう。；突発的な仕事の発生で、自分のペースで仕事ができないことがよくある。；進行と安全の最終的な責任を持ち、突発的な様々なトラブルに対応する。；それにきみが不安学の専門家になりだしたのは極めて突発的なことなんだぞ。；前の場合が突発的問題に、後の場合が既成的問題に、相当するであろう。；凶器を持った相手の突発的攻撃から身を守ることが基本体系となっている。；どう考えても、何か突発的なことがあったらしいとしか思えなかった。；突発的な事件に対応しやすいことが、この施設が選ばれた理由だった。；なお、突発的なニュースが入ってきた場合は内容が変わることがある。；けれど、あれが突発的に起こってしまった殺人だったとすればどうか。；そのため突発的な事態が起こるとつい弱気になってしまう一面がある。；作者も突発的な代原に対応するため、本作の描き貯めをしていたという。；突発的な犯行だとすると、どうしてもその点の説明が曖昧になるからだ。；突発的な事態にも対応が利くように、やや前かがみな姿勢を取っている。；少なくともこれは突発的な事態ではなく、ある程度予期された症状なのだ。；少なくともそういう突発的な殺人に走るような人物はおりません。；今まで死を覚悟したことは何度かあったが、それらはすべて突発的なものだった。；その場の流れで突発的にあなたの家に泊まろうとしたら勇気を出して断って。；逆に突発的問題とは立場を経ない問題を意味するわけである。；私のこの突発的な感情を今によく理解させさへすればいゝのだ。；私は何か突発的な災難でも起きたのではないかと心配しました。；戦の現場では、突発的に、様々なものを建設することが要求される。；かくて突発的に起こった嵐はすでに去り、その勢いも今は衰えつつある。；突発的なできごとに大人達は対処できなくて、すぐには追ってこなかった。；殆ど突発的に私は自分の力がなくなってしまったことに気付いた。；いやそれは突発的、偶発的なものではなく起こるべきとされていたものだった。；しかし公園で寝ていた被害者を見ての突発的な行動で、殺意は無かったと話す。；ひと思ひに自分を投げ棄ててしまふだけの突発的な勇気だけが問題であつた。</t>
        </is>
      </c>
      <c r="J6110">
        <f>HYPERLINK("https://www.weblio.jp/content/突発的", "词义详情")</f>
        <v/>
      </c>
      <c r="K6110">
        <f>HYPERLINK("https://yourei.jp/突発的", "查看例句")</f>
        <v/>
      </c>
    </row>
    <row r="6111">
      <c r="A6111" t="inlineStr">
        <is>
          <t>突拍子もない</t>
        </is>
      </c>
      <c r="B6111" t="inlineStr">
        <is>
          <t>成功</t>
        </is>
      </c>
      <c r="C6111" t="inlineStr">
        <is>
          <t>読み方：とっぴょうしもない
とんでもなく調子はずれである。突飛である。「—・いことを言い出す」</t>
        </is>
      </c>
      <c r="D6111" t="inlineStr">
        <is>
          <t>突拍子もない行動(3%)；突拍子もない質問；突拍子もない冗談；突拍子もない大声；突拍子もない言動</t>
        </is>
      </c>
      <c r="E6111" t="inlineStr">
        <is>
          <t>信じられない；とんでもない；飛んだ；思いがけない；奇抜な</t>
        </is>
      </c>
      <c r="H6111" t="n">
        <v>29</v>
      </c>
      <c r="I6111" t="inlineStr">
        <is>
          <t>我ながら突拍子もないことだと思ったが、関連してることは間違いない。；状況の変化が声の変化を促した、と見るのは突拍子もないことだろうか。；突拍子もないことをする人だが、あの男と付き合っていたとは思えない。；我々は、彼の考えをあまりに突拍子もないものとして支持はしなかった。；私は今となってみれば彼の突拍子もない主張を認めたくなっている。；なかにはこの例のように突拍子もなく攻撃的行動に出ることも少なくない。；倉野はこの時、後から考えると、全く突拍子もないことを決心していた。；弟が照れかくしに突拍子もないことをいい出したのに気がついている。；こんな突拍子もない考えを持った少年に、どうして賞を与えられよう?；これは突拍子もない学者で、私がこの世で出会った中では最大の学者だった。；子どもの話ですから、きっと突拍子もないものも多く含まれていたでしょう。；どんな突拍子もないことをしたって、ぼくは安心しきっていたんです。；あまりにも突拍子もない考えだったので、最初は否定しようとした。；錢形平次もこんな突拍子もない事件に出つくはしたことはありません。；田楽が盛んになつてから、とりわけ突拍子もない風をする様になつた。；そいつの顔は恐ろしいどころか、実に突拍子もない滑稽なものであった。；言っていることが突拍子もなくて、どう反応して良いかまるで分からないのだ。；ふと突拍子もない家の崩壊がねつけない頭に描かれることもあった。；苛立っているから、あんな突拍子もない行動に出てしまったのだろう。；俺の仲間は決してあんな突拍子もない陰謀の片棒なんか担がないはずだ。；あの男は次から次へと、一見まるで突拍子もないところへ目を付ける。；どんな突拍子もないものを出してくるのか興味があったから。；銭形平次もこんな突拍子もない事件に出っくわしたことはありません。；これから、どんな突拍子もないことが起こるか知れたもんじゃねえ。；心臓をくれるという突拍子もない彼の言葉も、なぜか嘘には聞こえなかった。；颯子が話しはじめたことが、あまりにも突拍子もないことだったからである。；若い娘にしては突拍子もない質問をするという意識と誇りがあった。；そしてしまいに突拍子もないののしり方をして笑ってしまうことがあります。；それよりも私がまたどんな突拍子もないことを云ひ出すかを不安に感じたらしかつた。</t>
        </is>
      </c>
      <c r="J6111">
        <f>HYPERLINK("https://www.weblio.jp/content/突拍子もない", "词义详情")</f>
        <v/>
      </c>
      <c r="K6111">
        <f>HYPERLINK("https://yourei.jp/突拍子もない", "查看例句")</f>
        <v/>
      </c>
    </row>
    <row r="6112">
      <c r="A6112" t="inlineStr">
        <is>
          <t>土手</t>
        </is>
      </c>
      <c r="B6112" t="inlineStr">
        <is>
          <t>成功</t>
        </is>
      </c>
      <c r="C6112" t="inlineStr">
        <is>
          <t>読み方：どて
１風水害を防ぐために、川岸に土を積み上げて築いた堤。
２平地より一段と高く築いた、道路・軌道用の堤。
３城郭の土塀。土居(どい)。築地(ついじ)。
４カツオ・マグロなどの背側の身。
５歯の抜け落ちたあとの、歯ぐき。
６陰阜(いんぷ)。
江戸新吉原の手前の堤のこと。日本堤。吉原土手。</t>
        </is>
      </c>
      <c r="D6112" t="inlineStr">
        <is>
          <t>土手沿い；土手下；土手道；土手跡；土手状</t>
        </is>
      </c>
      <c r="E6112" t="inlineStr">
        <is>
          <t>岸；ダム；斜面；堤；堤防</t>
        </is>
      </c>
      <c r="F6112" t="inlineStr">
        <is>
          <t>高い土手；野馬土手；草土手；野馬除土手；荒川土手</t>
        </is>
      </c>
      <c r="G6112" t="inlineStr">
        <is>
          <t>土手町；土手下；土手っ腹；土手三番町；土手鍋</t>
        </is>
      </c>
      <c r="H6112" t="n">
        <v>29</v>
      </c>
      <c r="I6112" t="inlineStr">
        <is>
          <t>近隣住民が線路脇の土手を階段状にして上り下りしているケースもある。；二人は話しながら、いい音のする方へ、土手を上って近づいてきました。；そのとき土手の上で、この一部始終を見物していた数名の武士があった。；明智に呼ばれて、土手の下から、ひとりの警官がかけあがってきました。；塾の庭へ出ると、桜の若樹が低い土手の上にも教室の周囲にもあった。；袖の撓うを胸へ取った、前抱きにぬっと立ち、腰を張って土手を下りた。；大地と家は手入れが行き届いていて、川の土手沿いに住居が並んでいた。；川の土手にある宮殿の柱の列は壊れ、上層階からは炎が吹き出している。；住宅地のなかを道なりにまっすぐいくと、やがて川の土手が正面に見えた。；インダス文明期には洪水期前になると川に沿って低い土手が作られた。；河原の土手で大声を出して練習していたため、ハスキーボイスになった。；背中で土手をすべりながら、わたしは老人を探しに水の中にはいった。；それから向うの土手の上には何か椎らしい木が一本斜めに枝を伸ばしていた。；そのうち老人もやっとわかったとみえて、やはり土手に登って来た。；土手の下まで降りて見ると、沼の中には道らしいものは何にもない。；その後も囲い土手は延長され、最終的には7940間にまで及んている。；日あたりのよい田圃わきの土手は谷間のいたるところに彼を待っている。；フイヨワとの間には、土手沿いに木を植えた整備されている池がある。；後が水をふくんだ土手のせいか、どこよりも早く夜が訪れたように辺りは暗い。；この辺はちょっと家がありますが、また両側に何もない長い長い土手が続くのです。；下の方は横一文字の鉄道線路の土手で遮られているから見えません。；下の方は横一文字に鉄道線路の土手で遮られているから見えません。；綾瀬を越して行くと向島の土手になって、梅若や白髭の辺に出るのです。；土手の枯れ草の上は見るみるうちに真っ白になり、風景が変わっていった。；ちょうどその下には汽車の線路があって、土手がつづいていました。；信濃川の左岸に位置し、中州の周りを土手で囲まれた島を山田島という。；通りの名の「土手」とは、豊臣秀吉が京都に築いた御土居のことである。；北側の境界は国道4号であり、この道路が通る東跨線橋の高い土手がある。；なんでもその土手へは、近所の人々が涼みにきているように、思われました。</t>
        </is>
      </c>
      <c r="J6112">
        <f>HYPERLINK("https://www.weblio.jp/content/土手", "词义详情")</f>
        <v/>
      </c>
      <c r="K6112">
        <f>HYPERLINK("https://yourei.jp/土手", "查看例句")</f>
        <v/>
      </c>
    </row>
    <row r="6113">
      <c r="A6113" t="inlineStr">
        <is>
          <t>とても</t>
        </is>
      </c>
      <c r="B6113" t="inlineStr">
        <is>
          <t>成功</t>
        </is>
      </c>
      <c r="C6113" t="inlineStr">
        <is>
          <t>［連語］
《格助詞「とて」＋係助詞「も」》「とて」を強調する。
１…と言っても。
「げにこそ、心細き夕べに侍れ—、泣き給ひぬ」〈源・葵〉
２…という際にも。…にも。
「朝(あした)に起きさせ給ふ—、明くるも知らで」〈源・桐壺〉
《係助詞「とて」＋係助詞「も」》…も。…でも。
「これが他人の妻であったら彼—美しいと感ずるであろう」〈谷崎・蓼喰ふ虫〉
「けふ—何の用あるまじ」〈浮・胸算用・五〉
《接続助詞「とて」＋係助詞「も」》…としても。…ても。
「土に食ひ付き死ぬる—、こんな事はせぬものぢゃ」〈浄・曽根崎〉</t>
        </is>
      </c>
      <c r="D6113" t="inlineStr">
        <is>
          <t>とてもいい；とてもよく；とてもでき；とても信じられ；とてもそんな</t>
        </is>
      </c>
      <c r="E6113" t="inlineStr">
        <is>
          <t>よく；最も；大きく；非常；非常に</t>
        </is>
      </c>
      <c r="F6113" t="inlineStr">
        <is>
          <t>とても楽しい；とても言え；とても勇敢；とても覚束；とても優しい人</t>
        </is>
      </c>
      <c r="G6113" t="inlineStr">
        <is>
          <t>とても安い；とてもかくても</t>
        </is>
      </c>
      <c r="H6113" t="n">
        <v>29</v>
      </c>
      <c r="I6113" t="inlineStr">
        <is>
          <t>我が国の国民がこのようなゲームを買うなどとはとても信じられません。；曲の内容は、自分を捨てた恋人に電話するとても切ない物となっている。；ピローニはそれを自分の持ち物で最も大切なものだととても大切にした。；売り物ではないため、外国人が目にしたり購入することはとても難しい。；もう父に会うことはできないけれど、私にとってとても良い父親でした。；インド出身とからかうととても嫌そうにしていたと友人が語っている。；構成といい、絵といい、とても質の高いもので、こんなの見たこと無い。；それはまるでメクラグモのようにとても足の長い虫のような姿だった。；とても価値のある作品なのに、観客が正当に評価しているように見えない。；植民地にされて独立を失ってしまった土地の人々は、とてもみじめである。；このワインは新鮮なうちに飲むべきで、その味はとても特別なものである。；パロディ・ミサはルネッサンス時代にはとても人気のある様式であった。；だれもがとてもよくしてくれ、通訳さんや近所の人も色々と助けてくれた。；彼はとても才能あるパイロットだったが信頼はできなかった。；同番組ではとても明るいキャラクターで知られ、鶏のような声を出していた。；その光景はそばで見ていてショックを受けたし、とても学ぶことが多かった。；さらに駅舎や軌道の状態は、とても現役路線とは思えないほど荒廃していた。；この移行期間はそれほど長くはないが、この間の人口増加はとても激しい。；とても優しく、のび太が泣いていると必ずどこにいても飛んで来てくれた。；彼が亡くなったことはとても寂しいが、彼はとても豊かな人生だったと思う。；分解中に形成されたクロロヒドラジンはとても不安定で自然分解する。；私がディフェンス重視の選手だったことにとても感謝をしている。；それでもやっぱり、とても主観的なレベルで僕はキリストを愛してる。；国体など数々の大会に使われた中上級者向けコースがとても充実している。；これは人びとがとても忙しそうに動いている場所や状況を指して用いられる。；それぐらいでないとあのエネルギー、とてもじゃないが出ないよ。；花だけが拡大された写真では、この両者の区別がとても難しい。；人気俳優陣の出演もあり、今なおとても人気の高いラブ・ストーリー。；クンマーの理想数の理論は非常に形式的で、とても難解なものであった。</t>
        </is>
      </c>
      <c r="J6113">
        <f>HYPERLINK("https://www.weblio.jp/content/とても", "词义详情")</f>
        <v/>
      </c>
      <c r="K6113">
        <f>HYPERLINK("https://yourei.jp/とても", "查看例句")</f>
        <v/>
      </c>
    </row>
    <row r="6114">
      <c r="A6114" t="inlineStr">
        <is>
          <t>届く</t>
        </is>
      </c>
      <c r="B6114" t="inlineStr">
        <is>
          <t>成功</t>
        </is>
      </c>
      <c r="C6114" t="inlineStr">
        <is>
          <t>読み方：とずく
［動カ四］「とどく」に同じ。
「海は艫櫂(ろかい)の—・かん程せめゆくべし」〈平家・一一〉
［動カ下二］「とどける」に同じ。
「形見を—・くる音づれは」〈謡・柏崎〉</t>
        </is>
      </c>
      <c r="D6114" t="inlineStr">
        <is>
          <t>届くだろ；届くわけ；届くまい；届く範囲内；届く長い</t>
        </is>
      </c>
      <c r="E6114" t="inlineStr">
        <is>
          <t>行く；来る；至る；到着；到達</t>
        </is>
      </c>
      <c r="F6114" t="inlineStr">
        <is>
          <t>届くかもしれ；届く長い髪；届くほど長く；届くほど長い；届くところまで近づい</t>
        </is>
      </c>
      <c r="H6114" t="n">
        <v>29</v>
      </c>
      <c r="I6114" t="inlineStr">
        <is>
          <t>彼女はニューヨークで死んだと言われており、届くはずのない物だった。；たまたま私に声が届き、たまたま私にしか姿を見ることができなかった。；万にも届こうかという数の彼等の放つ光で辺り一帯は昼間の様に明るい。；月も日も忘れたが、大学から一の書面が私の郷里に届き私の手に入った。；おまえのさしている三尺の刀を通してすら届きうるほど近くにあるのだ。；そしてその白い刃ものが、為のうしろへ届きそうに見えたからであった。；そんなブーンの声が届き始め、選手達は徐々にお互いに心を開き始める。；一方で設備は法で定められている基準にはるかに届いていなかった。；遠くに届くものは聞こえが大きく、遠く届かないものは聞こえが小さい。；声に相当する通信も少ない情報のみで届くことすら保障されていない。；あなたのところへも御自分の名で刷られたものがやがて届きましょう。；夢千代が上村の居室を訪れると一日違いで届いていた自分の手紙があった。；また別の手紙が彼の元に届き、同じように釈放すべしと書かれていた。；翌日、会議の席へ妻の手紙が届き、わたしはすぐその場で読んで見ました。；どちらも天に届くような建築物をれんがで作ろうとした点が共通している。；これまでにないほど高度は下っていて、もう、手も届きそうな感じだった。；また、試合後には全国の柔道ファンから抗議の手紙も多く届いたようだ。；プロジェクト開始からすぐに世界中の人々から何百枚ものメッセージが届いた。；大学時代は高校在籍時から伸ばした髪が、腰まで届くほどの長髪になる。；地上に採光窓があり、地下のホームまで自然光が届く設計となっている。；自分のことばが、ようやく無影の胸に届きはじめたことを、彼女は知った。；背後では、大きな口が開き、もうすこしで足の指に届きそうになった。；せめて先に江戸に送った建議書が幕府に届くことを期待したのである。；価格帯はインドのような開発途上国の顧客に手の届くを予定している。；それから何か叫んだようでしたが声がかすれてこっちまで届きませんでした。；三段壁では約50メートルの高さにある崖にも波が届き、崩落も起きた。；その家はどのみちここから直ぐに手の届きそうな近所であったに違いない。；コーヒーと一緒に手紙が数通ウォルタ卿に届き、開けて慎重に眺めていた。；月も日も忘れたが、大学から一つの書面が私の郷里に届き私の手に入った。</t>
        </is>
      </c>
      <c r="J6114">
        <f>HYPERLINK("https://www.weblio.jp/content/届く", "词义详情")</f>
        <v/>
      </c>
      <c r="K6114">
        <f>HYPERLINK("https://yourei.jp/届く", "查看例句")</f>
        <v/>
      </c>
    </row>
    <row r="6115">
      <c r="A6115" t="inlineStr">
        <is>
          <t>届ける</t>
        </is>
      </c>
      <c r="B6115" t="inlineStr">
        <is>
          <t>成功</t>
        </is>
      </c>
      <c r="C6115" t="inlineStr">
        <is>
          <t>読み方：とどける
［動カ下一］［文］とど・く［カ下二］
１物を持っていき、先方へ渡す。「お歳暮を—・ける」
２学校・役所や会社の上役などに申し出る。届けを出す。「拾得物を—・ける」
３受け入れる。承知する。
「其外の事ならば何事にてもうけ給はり、—・けてくれんとある詞に」〈浮・妾気質〉
４終わりまでやりとげる。
「御掟ヲタモチ—・クル」〈日葡〉</t>
        </is>
      </c>
      <c r="D6115" t="inlineStr">
        <is>
          <t>届けるべき；届けるべく；届けるよう頼ま；届けるよう命じられる</t>
        </is>
      </c>
      <c r="E6115" t="inlineStr">
        <is>
          <t>出す；送る；発する；発信；寄せる</t>
        </is>
      </c>
      <c r="F6115" t="inlineStr">
        <is>
          <t>届けるよう命じ</t>
        </is>
      </c>
      <c r="H6115" t="n">
        <v>29</v>
      </c>
      <c r="I6115" t="inlineStr">
        <is>
          <t>この手紙を召使ひは彼女に届けると約束したがそれを医者の手に渡した。；これは、有効な薬をより早く患者の元へ届けることを狙ったものである。；自分からの1つの視点だけでは全ての人の心には届けることはできない。；と云つて亭主と相談して交番へ届けるなり何んなりする事も出来ません。；何と云っても、警察へ届けるのが一番だけれども、それは出来なかった。；そこには指定された金額を指定された場所に届けるようにと書かれていた。；世界中の悲しんでいる人に笑顔と希望を届けるため終止符を求めている。；しばらくあとにして、ロンドンへ帰ってから警察へ届けることにしました。；そこで私は、金を送るのではなくて、自分で届ける気になったのです。；とすると、さしずめこの仮面を江戸表へ届ける使いはない事になります。；それからこの前の例もあることだから、この金はお上へ届けるに及ぶまい。；大きな青い封筒を手にしているのは、きっと誰かの手紙でも届けるのだろう。；盗みはいかんと教えねばならぬし、その金は奉行所へ届けろとも言えない。；責任を感じた市は、女の赤ん坊を宇之助に届けるために宮木村に向かう。；拳銃は検問対策のために林の妻ら女性たちが届けることになった。；買物を家へ届ける様に頼んで置いて、一階へとエレベーターに這入った。；ある有害で不潔な動物を殺して祭司に届けるのは役に立つ行為であった。；源右衛門の行方が知れないと知ったら、加賀屋では官へ届けるであろう。；いつも手紙を届けるだけであるから、その用向きは知らないと云った。；そのため最速のスピードで物流サービスを台湾全国に届けることが出来る。；番組では、毎日の生活を豊かにする情報を届けることを狙いとする。；紳士たるものが、帽子を盗られたぐらいで、警察へ届けるやつもあるまい。；すべては、二人に情報を与えてわれわれの手中に届けるためなのだ。；他素材の小道具などを取り付け、厳重に梱包して店や顧客の下に届ける。；かれらが家族に宛てて書いた手紙はかならず届けるという約束がなされた。；商人たちは翌日が日曜だったにもかかわらず、あす届けると約束した。；これはネットワークがパケットを適切に届けることを保証しないことを意味する。；手先は心臓を取り出し悪い女王の元へ届ける指令を与えられていた。；人々に夢や希望を届けるサンタクロースのような存在を目指している。</t>
        </is>
      </c>
      <c r="J6115">
        <f>HYPERLINK("https://www.weblio.jp/content/届ける", "词义详情")</f>
        <v/>
      </c>
      <c r="K6115">
        <f>HYPERLINK("https://yourei.jp/届ける", "查看例句")</f>
        <v/>
      </c>
    </row>
    <row r="6116">
      <c r="A6116" t="inlineStr">
        <is>
          <t>滞る</t>
        </is>
      </c>
      <c r="B6116" t="inlineStr">
        <is>
          <t>成功</t>
        </is>
      </c>
      <c r="C6116" t="inlineStr">
        <is>
          <t>読み方：とどこおる
［動ラ五（四）］
１物事が順調に運ばない。はかどらない。つかえる。「仕事が—・る」
２金を支払うべき期限になっても支払わない。「家賃が三月分—・る」
３流れがとまる。停滞する。「交通が—・る」
４ためらう。ぐずぐずする。
「何ごとにかは—・り給はむ」〈源・賢木〉</t>
        </is>
      </c>
      <c r="D6116" t="inlineStr">
        <is>
          <t>滞ることなく</t>
        </is>
      </c>
      <c r="E6116" t="inlineStr">
        <is>
          <t>止まる；留まる；停止する；極まる；中断する</t>
        </is>
      </c>
      <c r="H6116" t="n">
        <v>29</v>
      </c>
      <c r="I6116" t="inlineStr">
        <is>
          <t>年とった女中は幾度となく、滞りがちな収入の問題に話を持っていった。；再び返済が滞れば今度はどんな目に遭わされるか分かったものじゃない。；船は滞りなく君が生まれ君が育てられたその土の上に引き上げられた。；利子の支払も滞り株主の中には鉄道売却の意見もでてくるようになった。；二人は定期検診が滞りなく終わったので、予定より早く帰ってきたのだ。；の3つの流れをバランスよく滞りない状態にするのが治療目標になる。；橋の上でのパニックを鎮めたうえに、滞りなく人を逃がしたわけだろう?；下剤をかけようかとも思つたが、それにしては腹に少しの滞りもなかつた。；そして穂積には三ヶ月分の俸給、六弥には四ヶ月分の俸給が滞つて居る。；また、小惑星センター側の作業上の都合で登録手続きが滞ることもある。；そうすればわしのほうも感謝と恩賞を滞りなく 支払えるというものよ!；それはさて置き、当日の葬儀は、極めて盛大に滞りなく行われて行った。；お互いに気が乗らず、声を掛け合うこともなく、作業は滞りがちだった。；長い儀式がすべて滞りなくすんだのを見て、貴婦人は彼を許したのだった。；仕事のペースも元に戻り、今は滞っていた作業を急ピッチで進めています。；税の払いは滞っているし、今年の降臨祭にも、宮殿に顔を出さなかった。；支払いが滞ったこともなければ、使用限度額をオーバーしたこともない。；そして冴子は、この悪魔のような人物の遣り方を滞りなく知っているのだ。；自らの力で滞っていた水の流れを変え、新しく歴史を築いていかなければならない。；彼は、画面の隅から隅までが豊かに息づいて滞らないことをのぞんでいる。；今朝も滞りなく二人を送り出せた事だし、次にやるべき事は決まっている。；年齢がどうのこうのではなく、一人の人間としての強さが滞っていた。；最初にその徴候に気がついたのは、深田との連絡が滞り始めたときだ。；滞りなく終えられたごようすで、六時まえにはお帰りになりました。；僕は命令が滞りなく実行されているかどうか、常に自分で確かめねばならんのか?；われわれはこの前の滞在ちゅう牢獄でもありまた食堂でもあった部屋で寝た。；女はかれのそばへ走り寄ってきたが、急に恥じらいを感じてか足を滞らせた。；入院して以来、先生と病院で会話してなかったから、補給が滞っていたのか。；他の作家の日記更新が滞る中で、中崎の日記は更新が頻繁で長期の連載となった。</t>
        </is>
      </c>
      <c r="J6116">
        <f>HYPERLINK("https://www.weblio.jp/content/滞る", "词义详情")</f>
        <v/>
      </c>
      <c r="K6116">
        <f>HYPERLINK("https://yourei.jp/滞る", "查看例句")</f>
        <v/>
      </c>
    </row>
    <row r="6117">
      <c r="A6117" t="inlineStr">
        <is>
          <t>整う</t>
        </is>
      </c>
      <c r="B6117" t="inlineStr">
        <is>
          <t>成功</t>
        </is>
      </c>
      <c r="C6117" t="inlineStr">
        <is>
          <t>読み方：ととのう
［動ワ五（ハ四）］
１必要なものがすべてそろう。「材料が—・う」「準備が—・う」
２きちんとまとまった状態や形になる。調和がとれる。「体裁が—・う」「—・った顔だち」
３交渉や相談がまとまる。「縁談が—・う」「契約が—・う」
［動ハ下二］「ととのえる」の文語形。
[補説]多く、2は「整う」、1・3は「調う」と書く。</t>
        </is>
      </c>
      <c r="D6117" t="inlineStr">
        <is>
          <t>予定；配置；約束；協定；配列</t>
        </is>
      </c>
      <c r="F6117" t="inlineStr">
        <is>
          <t>ほぼ整う</t>
        </is>
      </c>
      <c r="H6117" t="n">
        <v>29</v>
      </c>
      <c r="I6117" t="inlineStr">
        <is>
          <t>どうもその絵はそれで或程度まではチャンと整うてはいないと思います。；枝は少なく、ほとんどの個体はまっすぐ伸びて美しく整った樹形になる。；形が整っていないために二級品扱いで安価ではあるが、味は変わらない。；ジャンヌは戦場にいたときも監禁されていたときも髪を短く整えていた。；暗室専用として設計された部屋には以下のような設備が整えられている。；城というにはあまりに小さいが、屋敷と呼ぶには形が整いすぎていた。；さらに彼は工場にて火災を起こす準備が整っていると示唆したという。；そして新たなローカル番組の制作体制が整ったことから、当番組が開始。；江戸時代後期の文化年間にはすでに体裁が整っていたものと思われる。；だが既に皇帝の処刑の準備は整い、もはやどうする事もできなかった。；次は、起承転結が整っているという意味で完成度が高い話になっている。；歩くと自分の体や気持ちが整うのを、邦子はこれまでの体験で知っていた。；やがて自己資金で開発できる環境が整うと、本社を埼玉県上尾市へ移転。；美容整形手術によって耳を小さくしたり形を整えたりすることはと言う。；ホテルは大規模なものが多く、様々な設備を整えたリゾートスパが主流。；しかし屍蝋なんてものはかなり条件が整わないとできないんだがねえ。；各大隊は勝利のため部隊をさまざまなパートに分けて態勢を整えている。；そしてノートの新しいページを開いて、老婆の呼吸が整うのを待つのだ。；生後1歳以上になると腸内環境が整う時期となるので避ける必要はない。；ようやく呼吸が整うと、エラは姉のベッドの上にあおむけに倒れこんだ。；そこで急速に法律制定のための研究体制が整えられることとなる。；既存の校舎を利用しているため新しく設置された学校ではあるが設備は整っている。；なお派遣は、GE側の受け入れ体制が整うのを待ってから実施された。；データ受け入れ準備が整うとスレーブは対応する信号線をアサートする。；大陸の制度を模して部民制も整えられたが、これは世襲制の形になった。；この頃から中国では漫画の形式が整い始め、1927年には完成した。；ここでコーヒーを飲みながら、準備の整うのを待っているのである。；しかも今回の場合、条件が整うのが昼間であるというのもポイントが高い。；そんな事をやろうと思った時、なんとまあ都合良く舞台が整うことか。</t>
        </is>
      </c>
      <c r="J6117">
        <f>HYPERLINK("https://www.weblio.jp/content/整う", "词义详情")</f>
        <v/>
      </c>
      <c r="K6117">
        <f>HYPERLINK("https://yourei.jp/整う", "查看例句")</f>
        <v/>
      </c>
    </row>
    <row r="6118">
      <c r="A6118" t="inlineStr">
        <is>
          <t>整える</t>
        </is>
      </c>
      <c r="B6118" t="inlineStr">
        <is>
          <t>成功</t>
        </is>
      </c>
      <c r="C6118" t="inlineStr">
        <is>
          <t>読み方：ととのえる
［動ア下一］［文］ととの・ふ［ハ下二］
１必要なものをすべてそろえる。間に合うように用意する。また、買ったりしてとりそろえる。「支度を—・える」「夕食を—・える」
２乱れのないように形をきちんとする。「服装を—・える」「隊列を—・える」「体勢を—・える」
３交渉・相談を成立させる。まとめる。「縁談を—・える」「商談を—・える」
４点検して望ましい状態にしておく。調整する。「楽器の音程を—・える」「味を—・える」
[補説]多く、2は「整える」、1・3・4は「調える」と書く。</t>
        </is>
      </c>
      <c r="D6118" t="inlineStr">
        <is>
          <t>整えるべき；整えるべく</t>
        </is>
      </c>
      <c r="E6118" t="inlineStr">
        <is>
          <t>構成；組織；配置；準備；調整</t>
        </is>
      </c>
      <c r="H6118" t="n">
        <v>29</v>
      </c>
      <c r="I6118" t="inlineStr">
        <is>
          <t>つまり何時私が家にいなくなってもよいように手筈を整えることである。；計画の細部が決定したら、今度は実際に準備を整える段階に進んでみた。；そして呼吸を整える妻に、もうひとつの確信に近い予想を聞いてみた。；これは敵に態勢を整える時間を与えぬことの必要性を説いたものである。；一度は倒れ、乱れた息を整えるためにしばらくの間じっと横になっていた。；それは身体を整えるために日常的に行われる行為のひとつであるらしかった。；ヒトが健康に生活していくのに必要不可欠な物質で、腸内環境を整える。；さて金曜、青年は娘を訪れる前に床屋を呼んで身なりを整える事にした。；午後になればきっとご面会の手はずを整えることができると思うのですが。；彼は人間の自発的な成長を促すための環境を整えるのが教育の役割だとした。；捜査官は報告を整えると、しかるべき場所に持っていってほうりこんだ。；杯土を回転台の上に乗せ、回転させながら形を整える方法である。；最近は、男も眉毛を整える時代、とどの雑誌でも書かれていますよね?；その空白に、もうすぐ立つことになる男への態勢を整える必要があった。；彼は、大人数の裸の人々が芸術的な編成で姿勢を整える姿が特徴の写真で有名である。；行くところまで行かなければ、身支度を整えることもできそうにない。；自分では息を整えるためだと思ったけれど、ほんとうは違っていた。；息を整えるために少しうつむき加減になって、はあはあやっていました。；こうして動物の体は、戦うなり逃げるなりの準備を整えるわけだ。；手本の執筆の際や、一日の腕の調子を整える際に、よく執筆していたとされる。；俺は呼吸を整えると、体重を右足に移しながらテイクバックを開始した。；しかし朝廷の討伐軍が態勢を整えると、黄巾軍は敗北し広宗に籠城した。；その伝承の中にも境界で「身だしなみを整える」と解釈出来るものがある。；ゲームバランスを整えるのが目的で、小さな変更から大きな変更まである。；今はただ、体が倒れないように全力でバランスを整えるしかできない。；そのあとで寝床を整える段になると、そうやすやすとはいかなかった。；私は別に、男でも女でも服装をきちんと整えることがよくないと申しているのではありません。；初期アイテムに含まれる千コルで、必要な装備を整えるために市場へ向ったのだ。；この計画の援助先にドイツも含まれていたが、ドイツの受け入れ体制を整える必要があった。</t>
        </is>
      </c>
      <c r="J6118">
        <f>HYPERLINK("https://www.weblio.jp/content/整える", "词义详情")</f>
        <v/>
      </c>
      <c r="K6118">
        <f>HYPERLINK("https://yourei.jp/整える", "查看例句")</f>
        <v/>
      </c>
    </row>
    <row r="6119">
      <c r="A6119" t="inlineStr">
        <is>
          <t>止まる/留まる</t>
        </is>
      </c>
      <c r="B6119" t="inlineStr">
        <is>
          <t>无结果</t>
        </is>
      </c>
      <c r="H6119" t="n">
        <v>0</v>
      </c>
      <c r="J6119">
        <f>HYPERLINK("https://www.weblio.jp/content/止まる/留まる", "词义详情")</f>
        <v/>
      </c>
      <c r="K6119">
        <f>HYPERLINK("https://yourei.jp/止まる/留まる", "查看例句")</f>
        <v/>
      </c>
    </row>
    <row r="6120">
      <c r="A6120" t="inlineStr">
        <is>
          <t>留める</t>
        </is>
      </c>
      <c r="B6120" t="inlineStr">
        <is>
          <t>成功</t>
        </is>
      </c>
      <c r="C6120" t="inlineStr">
        <is>
          <t>読み方：とどめる
［動マ下一］［文］とど・む［マ下二］
１移動させないで、元の所にいさせる。おさえて行かせないようにする。さしとめる。「帰ろうとする客を—・める」「足を—・める」
２元の形のままで、あとに残す。元の状態を保つ。「記録に—・める」「昔の姿を—・める」「原形を—・めない」
３その程度・段階・範囲内におさめて、それから出ないようにする。「会費は一万円に—・める」「意見を聞くだけに—・める」
４注意をそこに向ける。
「目をし—・めつれば…必ず癖は見つけらるるわざに侍る」〈紫式部日記〉
５しとめる。
「日の暮れ方に至るまで、鹿一頭も—・めずして」〈曽我・八〉</t>
        </is>
      </c>
      <c r="D6120" t="inlineStr">
        <is>
          <t>留めるべき(2%)</t>
        </is>
      </c>
      <c r="E6120" t="inlineStr">
        <is>
          <t>置く；結ぶ；停止；中止；固定</t>
        </is>
      </c>
      <c r="F6120" t="inlineStr">
        <is>
          <t>繋ぎ留める；受け留める；呼び留める；突留める</t>
        </is>
      </c>
      <c r="H6120" t="n">
        <v>29</v>
      </c>
      <c r="I6120" t="inlineStr">
        <is>
          <t>一体何が起こったのか、目に留めることのできた者はこの場にはいない。；もうひとりの方と一緒の時に彼に目を留めるひとがいるでしょうか。；私も往来だからわざわざ立ち留まって底まで突き留める訳にいきません。；外部の人間が知るはずはないし、内部の人間も気に留めることはない。；ここでは特にストーリーについては述べず、重要な要素の解説に留める。；そしてこれから二人が何處へ行くのか、それを突き留めることを欲した。；子供には甘過ぎるお國は、それでもと留めるほどの母親ではありません。；この都市はドイツ植民地の建築様式を最も良く留める都市の一つである。；完全に作業を放棄した形だったが、誰も気に留める者はいなかった。；そんなことを十何遍も繰り返しているが、誰も気に留める者はいなかった。；子供には甘すぎるお国は、それでもと留めるほどの母親ではありません。；弟は目でわたくしのそばへ寄るのを留めるようにして口をききました。；よって必要な場合は、独立した記事を立ててここでは簡便な記述に留める。；そんな風であるから、どうして外の人の事に気を留める隙があろう。；もっともその瞬間、わたしはほとんど何ひとつ目に留める余裕がなかった。；おい逃げちゃいかんよ、と留める服部の手を振り払って、僕は表へ出た。；現在行われているものも、原形を留めるものは少ないといわれている。；ひとたび始まったその動きを、押し留めることができる者はいないだろう。；無事だったブレザーのボタンを留めると、何とか見られる恰好になった。；借りてから五日目に、ようやく自分の駐車場に車を留めることができた。；二人の出発が遅れたことに目を留める者もいないようだった。；そこに、誰かが現れたとしても、今の夏妃は気にも留める気はなかった。；一方で、レインビアが他人に嫌われることを気に留める様子はなかった。；弟は目でわたくしの傍へ寄るのを留めるやうにして口をあきました。；弟は目でわたくしの傍へ寄るのを留めるようにして口を利きました。；弟は目でわたくしの傍へ寄るのを留めるやうにして口を利きました。；なお、ここでは漫画版、アニメ版ともに登場した者の紹介のみに留める。；さて、授業の内容を確実に脳細胞に留めるコツを俺から一つ伝授しよう。；わたしもそれに手をふれ、今でも散歩の途中ほとんど毎日それに目を留める。</t>
        </is>
      </c>
      <c r="J6120">
        <f>HYPERLINK("https://www.weblio.jp/content/留める", "词义详情")</f>
        <v/>
      </c>
      <c r="K6120">
        <f>HYPERLINK("https://yourei.jp/留める", "查看例句")</f>
        <v/>
      </c>
    </row>
    <row r="6121">
      <c r="A6121" t="inlineStr">
        <is>
          <t>都内</t>
        </is>
      </c>
      <c r="B6121" t="inlineStr">
        <is>
          <t>成功</t>
        </is>
      </c>
      <c r="C6121" t="inlineStr">
        <is>
          <t>読み方：とない
東京都の中。特に、東京都の23区のうち。</t>
        </is>
      </c>
      <c r="D6121" t="inlineStr">
        <is>
          <t>都内有数；都内各所；都内ライブハウス；都内各地；都内近郊</t>
        </is>
      </c>
      <c r="F6121" t="inlineStr">
        <is>
          <t>バンコク都内；都内区間；都内ホテル；都内一日乗車券；都内近県</t>
        </is>
      </c>
      <c r="H6121" t="n">
        <v>29</v>
      </c>
      <c r="I6121" t="inlineStr">
        <is>
          <t>東京都民の場合、特徴的なのは都内で移動している人が多いことである。；会場は最初両国国技館での開催を希望したが、都内のホテルで行われた。；台湾TOUR等海外へも活動の場を広げ、 都内を中心に一線で活動中。；都内での選挙では発明家のドクター中松を出馬させていたことがあった。；毎年6千人超の入場者数を数え、遠くは都内や他県からの来校者もある。；仕事の度に地元である大阪と都内・地方各所を往復する日々を送る。；東京都シルバーパスはタウンバス運行便のみ都内区間で利用可能である。；母が都内で働いていたときに父と出会って結婚し、明菜ら子供をもうけた。；地区内の古書店には都内の古書の約三分の一が集約していると言われる。；同月16日に都内の病院へ入院、19日には手術を受けることとなった。；倉本はFICTIONの都内での公演にも北海道から見に来てくれたという。；西武入団後は、都内から本拠地である西武ドームまで電車通勤していた。；その後、イベントは毎月一回のペースで都内各地の公園で開催された。；小学生の時から都内のコンクールに学校代表で出場していたという。；都立中高一貫教育校の運動能力は他の都内公立高校より高い傾向にある。；湘南ひらつか七夕まつりと同年から開催され、都内では古い歴史を誇る。；車体価格の安さから、都内の一部の個人タクシーで採用されている。；その後、狭心症の発作の兆候を感じたため、都内の病院に検査入院した。；翌1952年に東京都へ本拠地を移転し、都内を中心に店舗網を開拓。；都内の道路・河川・公園等の整備・管理を行っている。；ピアノ弾き語りスタイルで都内のライブハウスを中心に活動している。；都内を中心に活動しているが地方公演も定期的に行っている。；東京都発行のシルバーパスは都内の停留所で降りる場合のみ使用できる。；都内にある落語定席の一つであり、落語を中心に色物芸も多数上演する。；住所を推測できる描写は少ないが、以下のシーンから都内である事を示唆している。；翌年、都内2箇所で再演された同作品にもレギュラーとして出演している。；また都内を中心に200を超えるビルを保有・運営している。；PVは外国人のエキストラを集めて、都内のとあるプールで撮影された。；都内の2店舗で2年間勤務しながら、楽曲制作や歌のレッスンを重ねた。</t>
        </is>
      </c>
      <c r="J6121">
        <f>HYPERLINK("https://www.weblio.jp/content/都内", "词义详情")</f>
        <v/>
      </c>
      <c r="K6121">
        <f>HYPERLINK("https://yourei.jp/都内", "查看例句")</f>
        <v/>
      </c>
    </row>
    <row r="6122">
      <c r="A6122" t="inlineStr">
        <is>
          <t>唱える</t>
        </is>
      </c>
      <c r="B6122" t="inlineStr">
        <is>
          <t>成功</t>
        </is>
      </c>
      <c r="C6122" t="inlineStr">
        <is>
          <t>読み方：となえる
［動ア下一］［文］とな・ふ［ハ下二］
１声に出して言う。声を立てて読む。「お題目を—・える」「呪文を—・える」
２大声で言う。さけぶ。「万歳を—・える」
３人に先んじて言いだす。首唱する。主張する。「新学説を—・える」「異議を—・える」
４（称える）名づけていう。呼ぶ。称する。「みずから救世主と—・える」</t>
        </is>
      </c>
      <c r="D6122" t="inlineStr">
        <is>
          <t>唱える研究者；唱えるべき</t>
        </is>
      </c>
      <c r="E6122" t="inlineStr">
        <is>
          <t>歌う；歌唱；唄う；謡う；朗唱</t>
        </is>
      </c>
      <c r="F6122" t="inlineStr">
        <is>
          <t>繰り返し唱える</t>
        </is>
      </c>
      <c r="H6122" t="n">
        <v>29</v>
      </c>
      <c r="I6122" t="inlineStr">
        <is>
          <t>人類や文明の起源は宇宙人であるとする古代宇宙飛行士説も唱えられた。；その他に、次のような民間語源などいくつかの語源説が唱えられている。；その由来には下記のように様々な説が唱えられているが定説はない。；しかし一般には人気が高く、学者の一部にも本物説を唱える人がいる。；この2014年のイブラヒムの説には指摘や反論も多く唱えられている。；晩年は文明と人間、技術と社会の調和を唱える開明的発言で注目された。；戦争の反対者はボルティモアで反対を声に出して唱えることを止めた。；これは呪を唱え目、鼻、口から水では消えない火や煙を出す術である。；アングリマーラがそのとおりに母親に唱えると、無事に子供が生まれた。；現代の学者はローマが戦争を強く望んだ理由についていくつかの説を唱えている。；従来の使徒信条を唱えることもできるが、略式の信仰宣言は廃止された。；かつては、アイヌ語由来説も唱えられたが、現在では否定されている。；陳光誠の事件に反発した中国政府の意向が影響してると唱える者もいる。；著書が現存せず、どのような説を唱えたのかははっきりしない。；長らく彼の死亡の原因は専門家の間でも様々な説が唱えられた。；念仏を唱えると去るといい、灯火のある部屋には入ってこないともいう。；よって一部では鯉城の由来は明治期に考えられたと唱えるものもいる。；入祭の歌は義務ではないが、歌わない場合は入祭唱を唱えなければならない。；これらの問題については、以下のように様々な仮説が唱えられている。；実際チャイコフスキーの死の直後にもこのような説を唱える者がいたという。；彼らは上陸する際に船上からテティスの讃歌を唱えなければならなかった。；さらに国民皆兵路線を唱えて西洋近代兵器の国産化を推進していた。；ここで彼らの唱えた芸術理論が「新造形主義」と呼ばれるものである。；それも国の財政難と架橋反対を唱える船舶関係者への対応が原因であった。；準備が出来たら、背景公式〜第1公式〜第6公式までを心の中で唱える。；また、プログラマの三大美徳を唱え始めたのもラリー・ウォールである。；しかしマックイーンは異議を唱え、それは脚本の中で最高の場面だと語った。；創立者は小原國芳であり、彼の唱えた全人教育を教育信条に掲げている。；もし、それが岩に向かって唱えられれば岩は動き出し、叫び出すであろう。</t>
        </is>
      </c>
      <c r="J6122">
        <f>HYPERLINK("https://www.weblio.jp/content/唱える", "词义详情")</f>
        <v/>
      </c>
      <c r="K6122">
        <f>HYPERLINK("https://yourei.jp/唱える", "查看例句")</f>
        <v/>
      </c>
    </row>
    <row r="6123">
      <c r="A6123" t="inlineStr">
        <is>
          <t>どなた</t>
        </is>
      </c>
      <c r="B6123" t="inlineStr">
        <is>
          <t>成功</t>
        </is>
      </c>
      <c r="C6123" t="inlineStr">
        <is>
          <t>読み方：どなた
［代］
１不定称の人代名詞。「だれ」の意の尊敬語。「あの方は—ですか」「—かおいででしょうか」
２不定称の指示代名詞。どの方向。どちら。
「—へ参らうずると」〈虎明狂・東西迷〉</t>
        </is>
      </c>
      <c r="D6123" t="inlineStr">
        <is>
          <t>どなた様(3%)；どなたさま(2%)；どなたさん；どなたも御；どなたか存じませ</t>
        </is>
      </c>
      <c r="E6123" t="inlineStr">
        <is>
          <t>誰；何者；どちら様；何奴</t>
        </is>
      </c>
      <c r="F6123" t="inlineStr">
        <is>
          <t>どなたでもご参加；どなたさんです</t>
        </is>
      </c>
      <c r="H6123" t="n">
        <v>29</v>
      </c>
      <c r="I6123" t="inlineStr">
        <is>
          <t>そのほかにあの部屋の鍵をかけたり外したりできるのはどなたでしょう。；一体あなたはどこのどなたでいらせられますかと不思議そうに姫が聞く。；どなたも私のすることに、言葉や身ぶりで邪魔しないようにして下さい。；少佐が本艦にいられることはどなたにもご披露なきようにとのことです。；それでその日から今まで、お知り合いのどなたにも話しませんでしたの。；それはどんな女の方にも捧げたこともなくどなたにもあげられません。；ご家族のどなたともその後一度もお会いになったことはないんですか?；あの会のどなたかがそんなことをしたなんて、今でも信じられないの。；どなたか知りませんが、どうしてこのことがおわかりになったのでしょう?；今までどなたも心よく応じてくれましたからお坊様も遠慮は無用ですよ。；無断で使わせていただいたが、どなたが書いたものなのかもわからない。；どなたか娯楽委員としての才能があるとお思いのかた、おられませんか?；ですから警察の方にも、どなたにも会わせることはできなかったのです。；二階におりますと、どなたかいらしても気がつかないことがありますの。；そしてその話をいちばんよく閣下にするかたはいったいどなたでしょうか?；あなた方のどなたとも同じように、わたしは罪を犯してはいませんよ。；あなたには前にどなたか恋人がおありになったことを、お覚えでしょうね?；こう申しておりますうちにどなたぞいらっしゃるかもわかりませんよ。；わたしがその便に乗っているのをどなたもご存じないのはあきらかだった。；もちろん、ご家族のどなたたが過去に書かれたものではありません。；あなたがどなたかぼくは知りません、お会いしたこともありません。；「あれはどなたが持っていらしったんです」 津田は失敗ったと思った。；まだ外藩の王達はおられますが、 どなたもそれを我事とはなさりませぬ。；それでどなたかに大急ぎで叔父を連れてきていただかねばなりません。；おそらくどなたからも異論が出ない程度のことは、できると思います。；ぼくがいま話している相手の方がどなたか、おっしゃっていただけませんか?；わたくし金がないのですが、どなたか旅費を出してくれる人はありませんか。；けれど、わたしを裏切らせたのは、連判のうちのどなたかでございます。；それは、俗界の人でしたらどなたにも一段と興味のあることと存じます。</t>
        </is>
      </c>
      <c r="J6123">
        <f>HYPERLINK("https://www.weblio.jp/content/どなた", "词义详情")</f>
        <v/>
      </c>
      <c r="K6123">
        <f>HYPERLINK("https://yourei.jp/どなた", "查看例句")</f>
        <v/>
      </c>
    </row>
    <row r="6124">
      <c r="A6124" t="inlineStr">
        <is>
          <t>隣</t>
        </is>
      </c>
      <c r="B6124" t="inlineStr">
        <is>
          <t>成功</t>
        </is>
      </c>
      <c r="C6124" t="inlineStr">
        <is>
          <t>読み方：となり
１並んで続いているもののうち、最も近くにあること。また、そのもの。「—の席」「—町」
２左右両側にある家。また、その家の人。「—に留守をたのむ」</t>
        </is>
      </c>
      <c r="D6124" t="inlineStr">
        <is>
          <t>隣近所；隣同士；隣駅；隣座敷；隣藩</t>
        </is>
      </c>
      <c r="F6124" t="inlineStr">
        <is>
          <t>東隣；北隣；隣宿妻籠；隣宿落合；隣のタカシくん</t>
        </is>
      </c>
      <c r="G6124" t="inlineStr">
        <is>
          <t>隣り；隣人；隣国；隣室；隣家</t>
        </is>
      </c>
      <c r="H6124" t="n">
        <v>29</v>
      </c>
      <c r="I6124" t="inlineStr">
        <is>
          <t>こちらの座席では隣にほかの客が来ることがなく、安心して利用できる。；同じ人物が縦横の隣に記述されている時はセルを結合して記述できます。；隣にあるモダンなは第二次世界大戦以前にを収蔵した建物に建てられた。；この場合で当駅より先に向かう場合は、隣のホームに移動する必要がある。；実家の隣に住む7歳上の女の子が持つ電子オルガンを見たのがきっかけ。；実務のほとんどは旧市庁舎のすぐ隣に位置する新市庁舎で行われている。；盛岡市には実家が保存されており、隣には原敬記念館が開設されている。；また、セブンイレブンが駅舎北隣と駅舎内に各一店舗ずつ設けられている。；奇数段目の中央の数字からその2つ隣の数を引くと、カタラン数になる。；その字面からこの日に建築事を行うと三軒隣まで亡ぼすとされたためである。；この区間は互いに隣同士の駅が見えるほど駅間距離が短い。；また、座席の隣に通路が用意されているのも大きな特徴である。；隣にある高梁市文化交流館の中ホールとは使用目的や規模で使い分けられる。；以前は、曲線の手前にホームがあったが、その西隣に現ホームが建設された。；エリーザベトの希望で、遺体は故郷レッケンの教会で父の隣に埋葬された。；自動券売機の隣には過去に発売された記念乗車券が展示されている。；同時に多くの人が聞いた例もあれば、隣同士にいて一方にしか聞こえなかった例もある。；最も西側の線路が到着線で、その東隣が出発線となっている。；作曲家の古賀政男とは家が隣同士であったことから家族ぐるみで交流があった。；さらにママ・オクリョは太陽の島ではなく隣の月の島に現れたともいわれる。；また、以前は箱根町の彫刻の森美術館の隣で温泉ホテルも営業していた。；皇太子に怪我は無かったが、隣に座っていた侍従長が顔に負傷した。；地下通路を通って隣駅の三宮・花時計前駅までまっすぐ歩くこともできる。；例えば、大規模な工場の隣に社員寮やスーパーがあるような状態など。；当駅改札外から隣の新開地駅まではメトロこうべを介して連絡している。；この柱は墓の隣に安置され、死後や先祖の世界と関連付けられている。；トイレはホーム内の駅事務所隣に設置されている。；PLA隣駅の地区センター駅までは約600メートルの距離に位置する。；近鉄のりばは鳥羽線建設前のJR線南東側から現在の北隣に移動している。</t>
        </is>
      </c>
      <c r="J6124">
        <f>HYPERLINK("https://www.weblio.jp/content/隣", "词义详情")</f>
        <v/>
      </c>
      <c r="K6124">
        <f>HYPERLINK("https://yourei.jp/隣", "查看例句")</f>
        <v/>
      </c>
    </row>
    <row r="6125">
      <c r="A6125" t="inlineStr">
        <is>
          <t>怒鳴る</t>
        </is>
      </c>
      <c r="B6125" t="inlineStr">
        <is>
          <t>成功</t>
        </is>
      </c>
      <c r="C6125" t="inlineStr">
        <is>
          <t>読み方：どなる
［動ラ五（四）］《「ど」は擬声語》
１大きな声を出して呼ぶ。「声をかぎりに—・る」
２声高にしかりつける。「わるさをして—・られる」
[可能]どなれる</t>
        </is>
      </c>
      <c r="D6125" t="inlineStr">
        <is>
          <t>怒鳴るような声</t>
        </is>
      </c>
      <c r="E6125" t="inlineStr">
        <is>
          <t>呼ぶ；悲鳴；叫ぶ；絶叫；咆哮</t>
        </is>
      </c>
      <c r="F6125" t="inlineStr">
        <is>
          <t>そう怒鳴る；出して怒鳴る</t>
        </is>
      </c>
      <c r="H6125" t="n">
        <v>29</v>
      </c>
      <c r="I6125" t="inlineStr">
        <is>
          <t>のみならずそれは聞え出したと思うと、急にこう云う怒鳴り声に変った。；まあ、たぶん僕が里香に怒鳴られる方向に持っていけばいいんだろうな。；何が原因で怒鳴りあっていたのかさえ思い出せなくなってしまうんです。；のみならずそれは聞え出したと思ふと、急にかう云ふ怒鳴り声に変つた。；床へ投げ捨てようとしたとき、隣の席の女が彼の背中を叩いて怒鳴った。；私にしてみたら、そこで怒鳴られる方が、どんなに気が楽になることか。；見せないと言ったら泣いても 怒鳴っても絶対見せてくれないと思う。；私は思わず変なことを怒鳴りそうになっては、慌てて口をつぐみました。；怒鳴り声はぼくへむけられてまるで自分が罵られているようにも思えた。；逃避するあまり二人組の怒鳴っていなかったほうに意識を集中してみた。；ことに男と女の間で怒鳴り合いの喧嘩をするのは耐えられないのである。；怒鳴る大和田の前で妻が笑っていたことなど今まで一度もないからだ。；自分達の活動の足を引っ張るあんたの態度こそ問題だと怒鳴り散らした。；あのときは、怒りにまかせた怒鳴り声だと思っていたが、いまは違った。；坂田は自分の怒鳴り声に興奮したのか、一呼吸おいてまた言葉を連ねた。；エレベーターホールに向かう女の耳に、飛岡の怒鳴り声が聞こえてきた。；日本語の怒鳴り声も聞こえたので、日本人もからんでいるみたいだった。；怒鳴られて腹が立つようではまだまだ人間ができていない証拠である。；怒鳴るというほどの大声ではなかったが、部屋の隅まで通る声だった。；電話でなにか話してると思ったら、急に怒鳴ったり大声出したりしてる人。；こんなに怒鳴られたり、体に手を掛けられたりしたことはなかったが。；仕事でこんなことをしてと、ぼくに怒鳴り飛ばされるのを、恐れている。；だが、情報部将校は、まるで怒鳴られたかのようにさっと場所をあけた。；カッとして人を怒鳴りつけたこともあるし、逆に怒鳴られたこともある。；これだけ大暴れしていれば、きっと怒鳴る声でも耳にしていただろうから。；とうとう我慢ができなくなって、ぼくは大声で怒鳴ってしまいました。；樺山さんが彼処で大きな声で怒鳴りながら指図していたのを覚えている。；北側に坐っていた方の男が顔をあげたが、少年を見つけると怒鳴った。；言い訳の為に僕が口を開くより先に坊主先輩が怒鳴り声をあげていた。</t>
        </is>
      </c>
      <c r="J6125">
        <f>HYPERLINK("https://www.weblio.jp/content/怒鳴る", "词义详情")</f>
        <v/>
      </c>
      <c r="K6125">
        <f>HYPERLINK("https://yourei.jp/怒鳴る", "查看例句")</f>
        <v/>
      </c>
    </row>
    <row r="6126">
      <c r="A6126" t="inlineStr">
        <is>
          <t>とにかく</t>
        </is>
      </c>
      <c r="B6126" t="inlineStr">
        <is>
          <t>成功</t>
        </is>
      </c>
      <c r="C6126" t="inlineStr">
        <is>
          <t>［副］
１他の事柄は別問題としてという気持ちを表す。何はともあれ。いずれにしても。ともかく。「—話すだけ話してみよう」「間に合うかどうか、—行ってみよう」
２（「…はとにかく」の形で）上の事柄にはかかわらないという気持ちを表す。さておき。ともかく。「結果は—、努力が大切だ」
[補説] 「兎に角」とも当てて書く。
[用法]とにかく・なにしろ——「彼はとにかく（なにしろ）まじめな人だから」「このごろ、とにかく（なにしろ）忙しくってね」のように、取り上げた事柄をまず強調しようとする意では相通じて用いられる。◇「時間だから、とにかく出発しよう」「とにかく現場を見てください」のように、細かいことはさて置いて、まず行動をという場合は、「とにかく」しか使えない。「私はとにかく、あなたまで行くことはない」のような「…は別として」の意の用法も、「とにかく」に限られる。◇「なにしろ」は「なにしろあの人の言うことだから」「なにしろ暑いので」のように「から」「ので」と結び付いて、その事柄を理由・原因として強調する用法が多い。</t>
        </is>
      </c>
      <c r="D6126" t="inlineStr">
        <is>
          <t>とにかくそういう；とにかく早く；とにかくまず；とにかくこういう；とにかく一応</t>
        </is>
      </c>
      <c r="E6126" t="inlineStr">
        <is>
          <t>少なくとも；ともかく；どうせ；先ず；まずは</t>
        </is>
      </c>
      <c r="F6126" t="inlineStr">
        <is>
          <t>とにかく急い；とにかくもう一度；とにかくそういうわけ；とにかくおれたち；とにかく眠ること</t>
        </is>
      </c>
      <c r="G6126" t="inlineStr">
        <is>
          <t>とにかく明るい安村</t>
        </is>
      </c>
      <c r="H6126" t="n">
        <v>29</v>
      </c>
      <c r="I6126" t="inlineStr">
        <is>
          <t>とにかく、私とその人は、一時も離れたくないと思うほど好き同士でね。；彼らにはとにかくそういう生活をする事がそのまま生きる事なのだ。；しかしとにかく初めての貧乏にずいぶんつらい思いをしたのは本当です。；キミは、とにかく反対なら反対のようにちゃんと言うてくれるからいい。；とにかく大人にならねばならなかった、希望にならねばならなかった。；前もって食糧を蔵い込んであるのかしらんがとにかく食いに出て来ない。；それを今ここで説明しているひまはないが、とにかくわしは君に保証する。；統一した色があるんじゃなくて、とにかく先見の明で先へ先へ行くという。；とにかくそれがサッカニーの世界戦略につながったことは確かである。；とにかく彼はこれまでの日本人が持っていない物を持っている。；とにかく、機械な力や温度が高くそれらが何度も繰り返し起こる環境である。；とにかくあんなに親切に指導してくれる人は僕の生涯でほかにいなかった。；とにかく航空機が制作できるようになったのは1914年夏ごろからだった。；マイケル とにかく近所の人じゃないらしい、上着を顔にかぶっている。；が、とにかく戸沢さんが来たら、電話をかけてくれって云っていました。；とにかく君は妙に力強い印象を私に残して、私から姿を消してしまったのだ。；とにかく芝居の幕間に一寸会つた丈けですから、この位にして置きます。；とにかくそういって杉田は泣いて私に見張を頼んだのであります。；とにかく二三日中にはっきりした返事をすると約束しておせいはようやく父の宿を出た。；たとえば、私のような外科医には、とにかく手術の結果が求められます。；N先生は『とにかく出たら保護はしてやらねばなりますまい』といった。；とにかくさまざまな事業に興味を示し、手を出した人物であった。；子どもの頃からとにかく歌うことが好きでヒマさえあれば歌っていたという。；とにかくぼんやりと気のついたとき、僕はしきりに口から水を吐いていた。；その後、何をしたら良いのか判らなくなったが、とにかく曲を書き始める。；とにかく俺がすべきなのは、頭をはっきりさせておくことだな。；場所後には珍しく実家に帰省し、3日間程度はとにかく寝て過ごしていた。；とにかくわたしの十一二歳のこの一年のその日はみるみるうちに到著した。；本種とはとにかくよく似ていて区別するのが困難な場合もある。</t>
        </is>
      </c>
      <c r="J6126">
        <f>HYPERLINK("https://www.weblio.jp/content/とにかく", "词义详情")</f>
        <v/>
      </c>
      <c r="K6126">
        <f>HYPERLINK("https://yourei.jp/とにかく", "查看例句")</f>
        <v/>
      </c>
    </row>
    <row r="6127">
      <c r="A6127" t="inlineStr">
        <is>
          <t>どの</t>
        </is>
      </c>
      <c r="B6127" t="inlineStr">
        <is>
          <t>成功</t>
        </is>
      </c>
      <c r="C6127" t="inlineStr">
        <is>
          <t>読み方：どの
［連体］はっきりと限定できないもの、明らかでないものをさす。「—子と—子が仲良しなのかわからない」「—問題から手をつけようか」</t>
        </is>
      </c>
      <c r="D6127" t="inlineStr">
        <is>
          <t>どのよう(34%)；どの程度(4%)；どの家；どの位；どの国</t>
        </is>
      </c>
      <c r="F6127" t="inlineStr">
        <is>
          <t>どのあたり；どの様；どの店；どの作品；どのやう</t>
        </is>
      </c>
      <c r="G6127" t="inlineStr">
        <is>
          <t>どの人；どの道；どのこと；どのもの；どのひと</t>
        </is>
      </c>
      <c r="H6127" t="n">
        <v>29</v>
      </c>
      <c r="I6127" t="inlineStr">
        <is>
          <t>世界はどのようにも解釈される可能性があり、世界は無数の意味を持つ。；しかし、それがどのような料理であったのか具体的にはわかっていない。；それぞれの部族がどの地方に居住していたのかも多くの場合不明である。；また、どのくらい広く用いられていた装置なのかもよくわかっていない。；どのカードをどの位置に置くのかはプレイヤーが自由に決める事ができる。；それでは、その法規範はどのようにして存在するようになるのだろうか。；どの解釈がチューリングの意図したものなのかについては議論があった。；神と神の使徒の御助けなくしてどのようにこれを獲得できるだろうか?；しかし、いつどのように活動が変化するかを予測することは非常に難しい。；当然ながら、どの組み合わせを選んだかは最終的な仕上がりに影響する。；世界のどのアメリカ軍基地でも撤去を求められているとは承知していない。；今後インカレポイントがどのように活用されていくのかは不明である。；このヒルベルト空間が実際にどのようなものになるかは系に依存する。；しかし、原料のひとつである酵母をどの様に表示するのかの規定は無い。；しかしながらそれが具体的にどのような関係にあるのかはまだ明らかではない。；これは生物の性質のどのような側面に注目するかの違いでもある。；リハビリに専念するため、どのチームにも所属していない状態が続いた。；この変化を観察することである生物種がどのように分化したかを調べる。；日本で最初の土器がどのようにして出現したのかははっきり分かっていない。；人間にはどのような感情があるのかについては古来様々に議論されてきた。；どのような車両を新製するかの方針が決まると、具体的な設計が行われる。；二つの小宗教はアブラハムの宗教のどの区分にもまったく該当しない。；現在カタリ派がどのような思想をもっていたのかを正確に知ることは難しい。；どのメーカーも効果を示すための実証データを示していないと指摘している。；また変異がどのように誕生するのかを説明することもできなかった。；実際に彼らがどのような状況において職務を行ったのかも不明である。；目撃例は常に水中のため、どのような姿、形をしているのかは不明である。；人の利き手がどのように発達するかについてはいくつかの理論がある。；どのプログラミング言語が最もよく使われているかを判断することは難しい。</t>
        </is>
      </c>
      <c r="J6127">
        <f>HYPERLINK("https://www.weblio.jp/content/どの", "词义详情")</f>
        <v/>
      </c>
      <c r="K6127">
        <f>HYPERLINK("https://yourei.jp/どの", "查看例句")</f>
        <v/>
      </c>
    </row>
    <row r="6128">
      <c r="A6128" t="inlineStr">
        <is>
          <t>どのぐらい</t>
        </is>
      </c>
      <c r="B6128" t="inlineStr">
        <is>
          <t>成功</t>
        </is>
      </c>
      <c r="D6128" t="inlineStr">
        <is>
          <t>どのぐらい時間(3%)；どのぐらいかかる；どのぐらい偉い</t>
        </is>
      </c>
      <c r="E6128" t="inlineStr">
        <is>
          <t>どれだけ；いくらか；どれほど；如何に；どのくらい</t>
        </is>
      </c>
      <c r="H6128" t="n">
        <v>29</v>
      </c>
      <c r="I6128" t="inlineStr">
        <is>
          <t>では、どのぐらいの高度で我々や航空機の運航に影響が出てくるだろう。；君たちの田んぼがどのぐらい広くても我々の貴重な命とは交換できない。；考えごとに熱中していて、どのぐらい登ったのか気づいてなかったのだ。；今までにもう、どのぐらいの時間このエレベーターに乗っているのだろうか?；広がっていくとすれば、どのぐらいの速度でどう広がっていくのか。；それがどのぐらいの高さから始まっているかを確かめるのが重要なことだった。；この言葉をその通りだと思う人が、今時どのぐらいいるのかはわかりません。；どのぐらい話を聞かれたのかわかりませんが、反論する用意はできていました。；一度眠ったが、それがどのぐらいの間であったかはわからない。；これはどのぐらいの広さの土地を、燃やし尽くすことができるのだね?；ここにはどのぐらいご滞在のおつもりか、伺ってもよろしいでしょうか?；幅は二町ばかりですけれどその深さは青みがかってどのぐらい深いか分らない。；どのぐらいのあいだ乗っていたものかはわからない。；君たちの妻子のためにしたことがどのぐらい多くても軍に必要なものとはならない。；どのぐらいそうやってそこに座っていたのだろう?；このとき、どのぐらいの量の書物や原稿や書類が始末されたかは、不明である。；どのぐらい時がたったのか、男具那は羽女と腕を絡ませたまま仰向いていた。；そこでだよ、君はあの姪ごさんをどのぐらい愛しているのかね?；彼がどのぐらいそのつもりだったのかわからない。；戦闘がどのぐらい続いたのか誰にもわかるまい。；ぼくは消防士ではないので、現状がどのぐらいまずいのか、わからない。；鏡がありますから、どのぐらい小さくなったか、わかるでしょう。；どのぐらいまで伸びているかはわかりませんが。；ラベルがどのぐらい具体的であるかに応じて50点から150点が得られる。；どのぐらいそうしていたのかはわからない。；あの事件を忘れるには、あとどのぐらい時間が必要なのだろう?；ここからあそこまでどのぐらいあるんだろう、ガリオンはそんなことを想像してみた。；おれがどのぐらいその金がほしいか、かあさんならわかるだろう?；どのぐらい時がたったろうか、老人は微風に誘われたように微かに頷いた。</t>
        </is>
      </c>
      <c r="J6128">
        <f>HYPERLINK("https://www.weblio.jp/content/どのぐらい", "词义详情")</f>
        <v/>
      </c>
      <c r="K6128">
        <f>HYPERLINK("https://yourei.jp/どのぐらい", "查看例句")</f>
        <v/>
      </c>
    </row>
    <row r="6129">
      <c r="A6129" t="inlineStr">
        <is>
          <t>どのよう</t>
        </is>
      </c>
      <c r="B6129" t="inlineStr">
        <is>
          <t>成功</t>
        </is>
      </c>
      <c r="C6129" t="inlineStr">
        <is>
          <t>読み方：どのよう
［形動］［文］［ナリ］どんなふう。「—なぐあいですか」「—に致しましょうか」</t>
        </is>
      </c>
      <c r="D6129" t="inlineStr">
        <is>
          <t>どのような経緯；どのようなメカニズム；どのような条件下；どのような政治体制；どのようなご用</t>
        </is>
      </c>
      <c r="F6129" t="inlineStr">
        <is>
          <t>具体的にどのよう；一体どのよう；いつどのよう；たとえどのよう；今後どのよう</t>
        </is>
      </c>
      <c r="H6129" t="n">
        <v>29</v>
      </c>
      <c r="I6129" t="inlineStr">
        <is>
          <t>世界はどのようにも解釈される可能性があり、世界は無数の意味を持つ。；しかし、それがどのような料理であったのか具体的にはわかっていない。；どのような数の範囲で冪根を考えているかは意識しておかねばならない。；右に述べた以外のどのような解釈も、この条約を無効にするものである。；それでは、その法規範はどのようにして存在するようになるのだろうか。；神と神の使徒の御助けなくしてどのようにこれを獲得できるだろうか?；しかし、いつどのように活動が変化するかを予測することは非常に難しい。；作品が世間にどのように受け入れられたのかを出典を基に記述します。；今後インカレポイントがどのように活用されていくのかは不明である。；これを満たしていれば、自分の手牌がどのような形であるかは関係ない。；このヒルベルト空間が実際にどのようなものになるかは系に依存する。；しかしながらそれが具体的にどのような関係にあるのかはまだ明らかではない。；これは生物の性質のどのような側面に注目するかの違いでもある。；神と世界の間には、両者を媒介するどのような領域も存在しないのである。；残念なことに、どのように施療院が運営されていたか全くわかっていない。；この変化を観察することである生物種がどのように分化したかを調べる。；日本で最初の土器がどのようにして出現したのかははっきり分かっていない。；人間にはどのような感情があるのかについては古来様々に議論されてきた。；どのような車両を新製するかの方針が決まると、具体的な設計が行われる。；団体で利用する場合はどのような小屋でも、基本的には予約を必要とする。；現在カタリ派がどのような思想をもっていたのかを正確に知ることは難しい。；この関係分解により冗長性がどのように除去されるのかに注意すること。；どんな素材をどのように加工するかで、さらに幾つかの種類に分類される。；また変異がどのように誕生するのかを説明することもできなかった。；生物個体のどのような特徴を判断の基準とするかがあいまいである。；実際に彼らがどのような状況において職務を行ったのかも不明である。；一方で勉強した後にどのような職業に就くかはあまり考えていなかったという。；目撃例は常に水中のため、どのような姿、形をしているのかは不明である。；人の利き手がどのように発達するかについてはいくつかの理論がある。</t>
        </is>
      </c>
      <c r="J6129">
        <f>HYPERLINK("https://www.weblio.jp/content/どのよう", "词义详情")</f>
        <v/>
      </c>
      <c r="K6129">
        <f>HYPERLINK("https://yourei.jp/どのよう", "查看例句")</f>
        <v/>
      </c>
    </row>
    <row r="6130">
      <c r="A6130" t="inlineStr">
        <is>
          <t>飛ばす</t>
        </is>
      </c>
      <c r="B6130" t="inlineStr">
        <is>
          <t>成功</t>
        </is>
      </c>
      <c r="C6130" t="inlineStr">
        <is>
          <t>読み方：とばす
［動サ五（四）］
１空中を飛ぶようにする。「模型飛行機を—・す」「風船を—・す」
２何かをめがけて、手元から勢いよく放つ。「ボールを—・す」「矢を—・す」
３強く吹いて、空中に舞い上がらせる。「台風で屋根が—・される」「帽子を—・す」
４空中に散るようにする。はね散らす。飛散させる。「自動車が泥水を—・して通る」
５手や足で攻撃やわざをすばやくしかける。「内掛けを—・す」
６乗り物を速く走らせる。また、スピードを出して速く進む。「時速一〇〇キロで—・す」「前半をハイペースで—・す」
７勢いよく、また、遠慮なく言う。「やじを—・す」「皮肉を—・す」
８命令などが早く伝わるようにする。うわさなどが広まるようにする。「檄(げき)を—・す」「デマを—・す」
９急いで派遣する。「急便を—・す」「記者を現場に—・す」
10途中を抜かして先へ進む。間をぬく。「—・して読む」
11中央から地方へ、または都会から辺地へ転任させる。左遷する。「地方の出張所へ—・された」
12水分などを除く。「強火で鍋のアルコール分を—・す」「炊飯器の蓋を開けて余分な水分を—・す」
13（動詞の連用形に付いて）その動詞の意味を強める。勢いよく…する。乱暴に…する。「しかり—・す」「売り—・す」「突き—・す」
14手の届かない所へ飛び去らせる。死なせる。
「手に持てる我(あ)が子—・しつ」〈万・九〇四〉
[可能]とばせる
[下接句]羽觴(うしょう)を飛ばす・檄(げき)を飛ばす・口角沫(あわ)を飛ばす・錫(しゃく)を飛ばす・魂を飛ばす・与太を飛ばす</t>
        </is>
      </c>
      <c r="D6130" t="inlineStr">
        <is>
          <t>飛ばすような勢い；飛ばすべく</t>
        </is>
      </c>
      <c r="E6130" t="inlineStr">
        <is>
          <t>言う；云う；表す；発射；述べる</t>
        </is>
      </c>
      <c r="F6130" t="inlineStr">
        <is>
          <t>蹴り飛ばす；叱り飛ばす；はね飛ばす；跳ね飛ばす；読み飛ばす</t>
        </is>
      </c>
      <c r="H6130" t="n">
        <v>29</v>
      </c>
      <c r="I6130" t="inlineStr">
        <is>
          <t>このために私はもう少しのことで海の中へはね飛ばされるところだった。；どちらかが僅かにでも力を抜けばその瞬間弾き飛ばされるのは明らかだ。；航空移動などで都市を飛ばしていったり横切ったりすることはできない。；遊んでいた女の子が飛ばした玩具の飛行機が戸田のところに飛んでくる。；誕生経緯は不明だが、いろんな経緯を得て各並行世界に飛ばされている。；おれは地面に権利書を置き、風で飛ばされぬように、石の重しを載せた。；入団会見時には「貢献したから選ばれたのかな」と冗談を飛ばしている。；全国大会では、相手コートにボールを飛ばして送るロボットが多かった。；仕事でこんなことをしてと、ぼくに怒鳴り飛ばされるのを、恐れている。；その時になってようやく、風が頬の涙を飛ばそうとしていることに気づいた。；彼は風により飛ばされた砂や土が雲の原因となっていると提唱した。；逆に、途中のステップを飛ばして急激に進行してしまう場合もあり得る。；一般的に表面の水分を飛ばして内側を加熱するために二度揚げがされる。；通常攻撃では玉を飛ばすので、強攻撃で飛び道具のようにリーチが長い。；第一移動する王さまの意向も聞かないで勝手に飛ばすのはどうかと思うぜ。；彼がこれから飛ばすぞと言った時、私はそれを話すべきだったのだ。；彼の言葉のスピードに私の言葉は弾ね飛ばされもしたのだった。；そして、そのような人物を叱り飛ばすとは私も人を見る目が無かった。；黒のページに入った事で境界に飛ばされ、やがて死亡した者達である。；いくら獣化したとはいえ、人間の重さを飛ばすには筋肉の力だけでは無理だ。；荷物は一頭の馬を雇ってこれにのせ、四人は身軽になって鉄脚を飛ばす。；しかし、入社直後に上司と喧嘩したことから企画から制作部に飛ばされる。；嵐で一六〇キロぐらい北へ飛ばされるかもしれんが、またもどってくるよ!；バラバラと車から飛び出してきた連中をクラウンではね飛ばすのである。；すると、世界は光に包まれ、女神たちはいずこかへと飛ばされていた。；歌手としてもヒットを飛ばし戦後の日本を代表する大スターとなっていく。；そこへ嵐がやってきて、アランが飛ばされていってしまうのが見える。；その意味では明らかに旧世代に属する私は、興味津々で質問を飛ばす。；初期の大型兵器は石などを遠くに飛ばす為この力を利用した。</t>
        </is>
      </c>
      <c r="J6130">
        <f>HYPERLINK("https://www.weblio.jp/content/飛ばす", "词义详情")</f>
        <v/>
      </c>
      <c r="K6130">
        <f>HYPERLINK("https://yourei.jp/飛ばす", "查看例句")</f>
        <v/>
      </c>
    </row>
    <row r="6131">
      <c r="A6131" t="inlineStr">
        <is>
          <t>飛び上がる</t>
        </is>
      </c>
      <c r="B6131" t="inlineStr">
        <is>
          <t>成功</t>
        </is>
      </c>
      <c r="C6131" t="inlineStr">
        <is>
          <t>読み方：とびあがる
［動ラ五（四）］
１（「跳び上がる」とも書く）跳ねて上にあがる。跳ね上がる。「岩の上に—・る」
２飛んで空へ上がる。空中へ舞いあがる。「飛行機が—・る」
３（「跳び上がる」とも書く）喜びや驚きのために、思わず飛びはねる。「—・って喜ぶ」
４順番を飛びこして進む。「二階級—・って師範になる」</t>
        </is>
      </c>
      <c r="D6131" t="inlineStr">
        <is>
          <t>飛び上がるほど驚い；飛び上がるほど嬉しい；飛び上がるほどびっくり</t>
        </is>
      </c>
      <c r="E6131" t="inlineStr">
        <is>
          <t>飛ぶ；飛躍；一躍；跳ねる；躍る</t>
        </is>
      </c>
      <c r="H6131" t="n">
        <v>29</v>
      </c>
      <c r="I6131" t="inlineStr">
        <is>
          <t>羽をつけて空に飛び上がる犬の像はまさに鳥と犬が合体したような姿だ。；それは足へ煮えたぎった湯でもかかった時のように飛び上がるのだった。；もう一段上に飛び上がるためには、矢張りそのままの姿勢じゃならんと。；王子の像の肩まで飛び上がるだけの力しか、もう残っていなかったのです。；科学関係者は技術的な点で興味は感じても、飛び上がったりはしまい。；その時、彼自身が大声を出していたし、ボートは飛び上がっていたから。；ひょいと飛び上がって塀の上に上がると、とてとて走り始めたのである。；通常のスパイクよりも前方に飛び上がって攻撃を行う点に特徴がある。；ふたりの子供は声を立てて、金網がはずれかけたほど急に飛び上がった。；ジゼルは飛び上がって出窓に立ち、そこから広がる街の光景を目にした。；ハリーは心臓が飛び上がって喉仏のあたりまで上がってきたような気がした。；その下の細道を行く人、たちまち林の表へ飛び上がる事幾人と知れず。；ですから飛び上がったり、あたりを見まわしたりなさらないでください。；ウッドが飛び上がらんばかりに驚いたのを見て、一同から笑いがもれる。；僕は飛行機を見た子どものように実際飛び上がって喜びました。；あの二人以外に飛び上がった蚊がいたかどうかを確認してほしい。；部屋にその大きな音が響き、コニーは実際に飛び上がるほどびっくりした。；飛び上がった男は硝子戸の内へ半分身体を入れながら失敬しましたと云った。；ガラスの砕ける音に、ちょうど朝の仕度をしていた邦子は飛び上がった。；私がどうしようかと考えているうちにジーナが飛び上がっていた。；クリストフは水から出た魚のように飛び上がって、その続きを大声に歌った。；六メートル上といえば、地球でなら、とてもそんなに飛び上がれっこない。；しかし飛び上がった時、少年は手にやけどをして、棒を落としてしまった。；私の船室の扉は開かれて、二、三段飛び上がるともう私は甲板に出ていた。；彼の眼をもしその時だれかが見たなら、その人はきっと飛び上がって叫んだであろう。；騒ぎに気づいて顔を上げた一弥は、人形を見てなぜか飛び上がった。；私は腰掛けから飛び上がって林に向いている銃眼から声のする方を眺めて見た。；「又来たのか」 文字春は飛び上がって、兼吉の手をしっかりと掴んだ。；いまは見る間に石が飛び上がって上に戻り、下に溜まった量が減っていった。</t>
        </is>
      </c>
      <c r="J6131">
        <f>HYPERLINK("https://www.weblio.jp/content/飛び上がる", "词义详情")</f>
        <v/>
      </c>
      <c r="K6131">
        <f>HYPERLINK("https://yourei.jp/飛び上がる", "查看例句")</f>
        <v/>
      </c>
    </row>
    <row r="6132">
      <c r="A6132" t="inlineStr">
        <is>
          <t>飛び入り</t>
        </is>
      </c>
      <c r="B6132" t="inlineStr">
        <is>
          <t>成功</t>
        </is>
      </c>
      <c r="C6132" t="inlineStr">
        <is>
          <t>読み方：とびいり
１ほかから不意に入りまじること。約束や予定なしに不意に参加すること。また、その人。「—で演説する」
２草木の花の色に、他の色が入って斑(ふ)になったもの。「—つばき」</t>
        </is>
      </c>
      <c r="D6132" t="inlineStr">
        <is>
          <t>飛び入り出演(6%)；飛び入りゲスト(3%)；飛び入り試験</t>
        </is>
      </c>
      <c r="E6132" t="inlineStr">
        <is>
          <t>飛び込み；飛び入り参加</t>
        </is>
      </c>
      <c r="H6132" t="n">
        <v>29</v>
      </c>
      <c r="I6132" t="inlineStr">
        <is>
          <t>試合が終わると「誰か挑戦する人はいませんか」と観客の飛び入りを求めた。；ところが、この争いは舞台上まで続き、観客も争いに飛び入りする騒ぎに。；ひとつには、飛び入りの人間は、舞台で稽古衣を着せられることもある。；下記以外にもコーナーや飛び入りでゲスト出演する人もいる。；三人で向き合い、位置を変えているうちに、飛び入り女性が二人加わった。；スティーヴィー・レイは彼らのステージに飛び入りすることもあったという。；踊りへの参加は完全に自由で、飛び入りや離脱に規制はない。；一度だけ、飛び入りでえのきどいちろうが参加するイベントもあった。；五対五だったゲームに、二人が飛び入りすることになった。；そんな奴が飛び入りで、こんな地味な催しに参加していたのだった。；公式には関係者だけで行うことになっているが、実際には一般人の飛び入りが見られる。；ステージには山下智久が飛び入りし、MCに参加する模様も収録されている。；買った者のなかには、その日のステージで、飛び入りでギターを弾いた者がいる。；来賓の方が飛び入りで参加するってどうよ、まぁイケメンだったから可!；こんな邪魔が飛び入りしたら、もうおれは気が抜けてしもたよ。；それ以外の連への飛び入りは各連のバックアップスタッフに声をかけてからの方が無難である。；とんだ飛び入りがあったために、評判の奇術がいよいよ面白くなってきた。；今回は飛び入りではなく予定されていたもの。；下駄総踊りは、個人での参加が中心であり、飛び入りでの参加も可能である。；このライブでは、しばしば有名ミュージシャンが飛び入りで参加することがあった。；また、飛び入りのような形での参加も認められている。；岐阜県内では勅使川原の父が飛び入りで参加し、一緒に歩いた日もあった。；また現地のライブハウスにて飛び入りでスタンダード・ジャズを演奏した。；また、宮川は試食時に飛び入り一般審議委員の後ろに付きサポートも行った。；事前募集だけでなく、会場の観客から選ばれる「飛び入り出演」も人気を集めた。；その発売ライブはロンドンで行われ、飛び入りでリチャード・ベイリーが参加した。；リニューアル前は、目的の人物やグループを捜索中にその地に関連する人物が飛び入り出演した事例もある。；ああして一銭も要らずに誰れでもが飛び入りで踊って遊べるというのは何といいことであろう。；ある公演では、ボブ・ディランの飛び入りも確認されている。</t>
        </is>
      </c>
      <c r="J6132">
        <f>HYPERLINK("https://www.weblio.jp/content/飛び入り", "词义详情")</f>
        <v/>
      </c>
      <c r="K6132">
        <f>HYPERLINK("https://yourei.jp/飛び入り", "查看例句")</f>
        <v/>
      </c>
    </row>
    <row r="6133">
      <c r="A6133" t="inlineStr">
        <is>
          <t>飛び越える</t>
        </is>
      </c>
      <c r="B6133" t="inlineStr">
        <is>
          <t>成功</t>
        </is>
      </c>
      <c r="C6133" t="inlineStr">
        <is>
          <t>読み方：とびこえる
［動ア下一］［文］とびこ・ゆ［ヤ下二］
１物の上を飛んで越える。飛び越す。「小川を—・える」「海を—・えて渡り鳥が来る」
２順序を越えて先へ進む。「先輩を—・えて出世する」</t>
        </is>
      </c>
      <c r="D6133" t="inlineStr">
        <is>
          <t>飛ぶ；飛躍；一躍；飛び上がる；転読</t>
        </is>
      </c>
      <c r="H6133" t="n">
        <v>29</v>
      </c>
      <c r="I6133" t="inlineStr">
        <is>
          <t>これを飛び越えることのできる種類の鳥はほとんどないだろうと思う。；飛び越えるためには、九〇〇メートル以上のぼらなければならなかった。；人の足じゃ無理だろうってところもひょいひょい飛び越えていきやがる。；わずかに前方から注意がそれた一瞬、馬が大きな水たまりを飛び越えた。；ところがその雄羊が一匹小溝を飛び越えて道のまん中にやって来ました。；少年はあわてて彼女の吐き出した血だまりを飛び越えて窓に駆け寄った。；彼がそれさえまっ先に飛び越えたら、第一着は疑いないところであろう。；作品内では登場人物たちがしばしば第四の壁を飛び越えた発言をする。；一つは森の中に落ちて、一つは目の前の城壁を飛び越え、国の中に落ちる。；しかし次の瞬間、彼女の体もフェンスのこちら側へと飛び越えていた。；声と同時に母馬は背丈より高い柵を飛び越えて、わが仔のもとに走った。；それ以来失敗した8台目を飛び越えることが出来なくなってしまう。；仰向けに落ちて床に横たわるあたしの上を黒い影が飛び越えていった。；さらに、走行速度次第では川をジャンプして飛び越えることも可能である。；隣りの国の背後に世界があるのであり、隣りの国を飛び越えた世界はない。；間の襞を飛び越えない限り、南へ南へとモクスーンは飛ばざるをえない。；人力車夫は門の上を飛び越えて以前に第七房舎があった場所に墜落した。；ゴール直後にあまりの喜びで看板を飛び越えてしまい警告を受けた。；彼が見事に障害を飛び越えたとき、絶対者は彼を賞でて頭をなでてくれる。；それを飛び越え、この世界そのものへの守護の念などわかりはしない。；おれは足音を殺しながらも急いで駆け出し、かれを飛び越えて進んだ。；肉塊を持ったまま、カイルロッドの上を飛び越え、森の中に入って行った。；槍を携帯し、野犬と強盗から身を守る他に濠を飛び越えるのにも使った。；それはもしかしたら、現実をはるかに飛び越えて美しいのではないか。；どうしてあんな小さい体でその恐怖を軽く飛び越えられるのか。；彼女の兄などは人類の常識範囲を光年単位で飛び越えている人物だし。；砲弾は唸りながら彼等の頭上を飛び越え、なんの損害をも与えなかった。；同じように死体を飛び越えながら、ガリオンは新鮮な血の匂いを嗅いだ。；この術を使えば、数百メートルの距離なら一〇秒ほどで飛び越えられる。</t>
        </is>
      </c>
      <c r="J6133">
        <f>HYPERLINK("https://www.weblio.jp/content/飛び越える", "词义详情")</f>
        <v/>
      </c>
      <c r="K6133">
        <f>HYPERLINK("https://yourei.jp/飛び越える", "查看例句")</f>
        <v/>
      </c>
    </row>
    <row r="6134">
      <c r="A6134" t="inlineStr">
        <is>
          <t>飛び込む</t>
        </is>
      </c>
      <c r="B6134" t="inlineStr">
        <is>
          <t>成功</t>
        </is>
      </c>
      <c r="C6134" t="inlineStr">
        <is>
          <t>読み方：とびこむ
［動マ五（四）］
１身をおどらせて中へはいる。はずみをつけて勢いよくはいる。「プールに—・む」
２進行してくる列車などの前に身を投げ出す。「電車に—・んで死ぬ」
３突然はいり込む。急いではいる。かけこむ。「財布を落として交番に—・む」
４積極的に仕事や事件にとりくむ。「渦中に—・む」「実社会に—・む」
５思いもよらない物事が突然やって来る。急にはいって来る。舞い込む。「うれしいニュースが—・む」「仕事が—・む」</t>
        </is>
      </c>
      <c r="D6134" t="inlineStr">
        <is>
          <t>飛び込む形</t>
        </is>
      </c>
      <c r="E6134" t="inlineStr">
        <is>
          <t>入る；乗り入れる；飛び出す；突入する；乗り出す</t>
        </is>
      </c>
      <c r="F6134" t="inlineStr">
        <is>
          <t>頭から飛び込む</t>
        </is>
      </c>
      <c r="H6134" t="n">
        <v>29</v>
      </c>
      <c r="I6134" t="inlineStr">
        <is>
          <t>私はあの中へ飛び込んだ細田氏が出て来ないのが不思議に思われました。；世間によくある奴で、女は夫婦喧嘩でもして飛び込んだのかも知れねえ。；半蔵はこんな内部の動揺しているところへ飛び込んで行ったのであった。；ドームの上から湖へ飛び込んだ現地の大学生のことがよく話題になった。；冷たい水に飛び込むように覚悟を決め、正午過ぎから机に向かっていた。；女給達がやっと目を覚ましたばかりのところへ飛び込んで行ったのです。；もう一つは上の観瀑台の手すりを越えて、崖下に飛び込むタイプである。；だがいざそこに飛び込むとなったら、やはりもう少し時間が必要だった。；罠が仕掛けられている事を承知で、その中に飛び込んでゆく結衣ら兄弟。；こうしてアニメも声優のことも知らないまま声優の世界に飛び込んだ真琴。；教経は一人を海に蹴り落とすと、二人を組み抱えたまま海に飛び込んだ。；暗闇に目が慣れた時、一条の光が向うの扉の下から、視界に飛び込んだ。；とっさに制動をかけたため、ビルの中に飛び込むことだけは避けられた。；その時窓が開いていれば、そいつは窓から室内へ飛び込むことが出来るのだ。；ウージェーヌは法律の中に飛び込む前にしばらくじっと考え込んでいた。；清が落ちたのは天罰だが、助公もまたよく飛び込んだものじゃないか。；確かに何か重大な理由があって、火中に飛び込んだのに相違ないと思った。；口の中に飛び込まなくても、レナさんがお持ち帰りしそうな形状ですわ。；そうして汽車が着くや否や寛一君と二人で飛び込んでその通り計らった。；教室に入ると壁にかけられた「やればできる」が目に飛び込んで来る。；振り返ったリロイの視界に、先程まではいなかったはずの影が飛び込む。；いきなり喧嘩するとか、いきなり川に飛び込むというふうではなかった。；そのときに目に飛び込んできた光景を描いたものが本作である。；秋をとうとう見ることなしに夏から冬に飛び込まうとは思ひも掛けないことでした。；私たちは、希望と夢を抱いて新しい土地に飛び込んだ多くの家族の一人でした。；ガラスを破って内部に飛び込むには、充分にはずみをつける必要があった。；わたしは彼女を助けるために海に飛び込むことはできませんでした。；彼らの群へ飛び込んで行って人猿どもと格闘して彼らの群から脱しようか?；通常、車は水の中へ飛び込んでも窓さえ閉まっていれば数分は浮かんでいる。</t>
        </is>
      </c>
      <c r="J6134">
        <f>HYPERLINK("https://www.weblio.jp/content/飛び込む", "词义详情")</f>
        <v/>
      </c>
      <c r="K6134">
        <f>HYPERLINK("https://yourei.jp/飛び込む", "查看例句")</f>
        <v/>
      </c>
    </row>
    <row r="6135">
      <c r="A6135" t="inlineStr">
        <is>
          <t>飛び出す</t>
        </is>
      </c>
      <c r="B6135" t="inlineStr">
        <is>
          <t>成功</t>
        </is>
      </c>
      <c r="C6135" t="inlineStr">
        <is>
          <t>読み方：とびだす
［動サ五（四）］
１急に勢いよく飛んで出る。勢いよく外や前へ出る。また、勢いよく他を抜いて前へ出る。「箱を開けると人形が—・す」「ゴール直前に—・す」
２思いがけないものがその場へ突然現れる。「車の前に急に—・す」「隠し芸が—・す」
３外の方へ突き出る。「目玉が—・す」
４そこからあわただしく出て行く。「遅刻しそうになって家を—・す」
５よくない事情などが生じて、職場や本拠とする所から急に外部へ出る。「会社を—・す」「親とけんかして家を—・す」
６飛び始める。「今日から新空港で飛行機が—・した」</t>
        </is>
      </c>
      <c r="D6135" t="inlineStr">
        <is>
          <t>飛び出すような眼</t>
        </is>
      </c>
      <c r="E6135" t="inlineStr">
        <is>
          <t>走る；率いる；現れる；飛ぶ；突起</t>
        </is>
      </c>
      <c r="F6135" t="inlineStr">
        <is>
          <t>勢いよく飛び出す</t>
        </is>
      </c>
      <c r="H6135" t="n">
        <v>29</v>
      </c>
      <c r="I6135" t="inlineStr">
        <is>
          <t>番組では不定期にスタジオを飛び出して外から番組を放送する事がある。；ドロシーがアメリカを飛び出して海外に行ったのは今回が初めてである。；これで太陽系に飛び出すことを卵がかえって鳥になることにかけている。；これで紙に絵を描くと、その絵が紙から飛び出して本物と同じように動く。；北西から南東に連なる山々は両県にそれぞれ飛び出している部分である。；そして隠れていた茂みから飛び出すと、彼の背中に向かって声を上げた。；家に帰り、玄関のところでネリーが飛び出して来て叫び声を上げていた。；みんな飛び出すような眼をして、中には舌なめずりしているやつがある。；額全体の皮膚が、ナイフの刃の面に向って飛び出すような感じがするのだ。；そんな中で唐突に大介の口から飛び出した組の解散に子分一同は混乱した。；そして、日本人が内側にたどり着く前に、銃を持って飛び出して行った。；これを見た忠兵衛は飛び出して助けたいと思っても出て行くことはできない。；一方竹子は家を飛び出したものの、行くあてがなくて家に戻っていた。；すべての救いは思いきってその中から飛び出すほかにはないのでしょう。；その姿に驚き、恐れを抱いた怪物は、主人の部屋を飛び出してしまう。；温度が高くなれば飛び出す電子の量が増え、すなわち電流が大きくなる。；メスの背中から飛び出してくる頃には小さなカエルの姿になっている。；また、不定期で東京のスタジオを飛び出して地方発で行うことがあった。；その結果松井に本塁打が飛び出し、二人の関係はより密になっていった。；あるいはそのまま屋敷のなかを走り抜け、玄関を探して表に飛び出すか。；転じて想定しないものが飛び出してくる容器もこのように呼ばれることがある。；驚かされて飛び出しても高くは飛ばず、すぐに植生の中に隠れてしまう。；その特性を生かしてスタジオを飛び出して屋外での収録も行なわれた。；翅を鳴らして宙を滑り、床に一度も足を着かずに窓から外へと飛び出す。；その話を数時間後に聞いた北原は、自分も夕暮れの街に飛び出していった。；彼は娘に直接に願ったが拒否され、とうとう娘をさらって家を飛び出した。；あいつの髪に火をつけて、連中が驚いているあいだにここから飛び出すのだ。；そしてその上へ、外へ飛び出すような無数の白線が入った画像が重なる。；鳩小舎の中にいるものは飛び出すし、屋根の上にいるものは小舎に戻る。</t>
        </is>
      </c>
      <c r="J6135">
        <f>HYPERLINK("https://www.weblio.jp/content/飛び出す", "词义详情")</f>
        <v/>
      </c>
      <c r="K6135">
        <f>HYPERLINK("https://yourei.jp/飛び出す", "查看例句")</f>
        <v/>
      </c>
    </row>
    <row r="6136">
      <c r="A6136" t="inlineStr">
        <is>
          <t>土俵</t>
        </is>
      </c>
      <c r="B6136" t="inlineStr">
        <is>
          <t>成功</t>
        </is>
      </c>
      <c r="C6136" t="inlineStr">
        <is>
          <t>読み方：どひょう
１土をつめた俵(たわら)。
２「土俵場(ば)」の略。「—を割る」
３議論・交渉などが行われる場。「相手の—に乗って話し合う」</t>
        </is>
      </c>
      <c r="D6136" t="inlineStr">
        <is>
          <t>土俵上(8%)；土俵外；土俵中央；土俵態度；土俵人生</t>
        </is>
      </c>
      <c r="E6136" t="inlineStr">
        <is>
          <t>リング</t>
        </is>
      </c>
      <c r="F6136" t="inlineStr">
        <is>
          <t>稽古土俵；靖国神社奉納大相撲土俵；奉納大相撲土俵入り；長く土俵；重土俵</t>
        </is>
      </c>
      <c r="G6136" t="inlineStr">
        <is>
          <t>土俵際；土俵下；土俵入；土俵祭；土俵の鬼</t>
        </is>
      </c>
      <c r="H6136" t="n">
        <v>29</v>
      </c>
      <c r="I6136" t="inlineStr">
        <is>
          <t>その土俵から一歩でも出るか、足の裏以外が地についたほうが負けとなる。；土俵から出たときと、足の裏以外が地面についたときには負けになる。；私はむしろ受身の態度で毎日の土俵を眺めていたと言い得るであろう。；土俵に上がる機会が少なくなればそれだけ出世が遅くなることになった。；対決があるとしたら、ハリーが自分で選んだ土俵で対決させてやりたい。；受け側が土俵中央付近で構え相手はそこに向かって当たって突進する。；ファンのために一日でも長く土俵に上がる姿勢には感動していた。；本作品では男性力士に扮してではあるが女性が土俵に上がるシーンがある。；その心の弛緩が取組に出て、一方的に土俵外へ持っていかれたのである。；土俵が二重であったことには、それなりの存在理由がなければなるまい。；なお、土俵上は女人禁制であるため、授与する人物は男性に限定される。；確かに、いったん土俵を降りなければその高さはわからないものなのだった。；これは馴染まないものではないかもしれないが、同じ土俵には立ち得ない。；日本相撲協会主催の大相撲は土俵上への女性の立ち入りを認めていない。；土俵に復帰することはできずにこの場所限りで現役を引退した。；なお四角い土俵は各地の神社や南部相撲などに現存し使用されている。；彼は風船屋の後側を通つて、神社の裏にある土俵の方へ行かうとした。；これを機に女性も鋏を入れる例が増えたが土俵には上がらないことが続いた。；引退の動機のひとつとして、16尺土俵の問題があったと言われている。；自分では分からないけど、土俵に上がると違う白鵬がいるようだった。；力士が土俵で呼吸をはかるやうに、彼は何だか計つてゐるやうであつた。；僕は君の師匠で、さっきは僕の得意な土俵で組手をしていたんだから。；いつも土俵の上で横になつた事はない、いつも立ちつづけだから竜公さまだ。；その後亡くなるまで番付に名を残したものの土俵に上がることはなかった。；お相撲の土俵史を書くことにして、資料その他で歴史は調べたのです。；マウンドに急ごしらえの土俵をつくったと当時の関係者の証言が残る。；イベントでは特設土俵での相撲の他、質問コーナーや餅つきなどを行う。；清水川が引退したとき尠くとも土俵に対する私の興味と魅力は半減した。；負けても土俵の上に頑張つてゐて動かない、小緑といふヘンな男がゐた。</t>
        </is>
      </c>
      <c r="J6136">
        <f>HYPERLINK("https://www.weblio.jp/content/土俵", "词义详情")</f>
        <v/>
      </c>
      <c r="K6136">
        <f>HYPERLINK("https://yourei.jp/土俵", "查看例句")</f>
        <v/>
      </c>
    </row>
    <row r="6137">
      <c r="A6137" t="inlineStr">
        <is>
          <t>扉</t>
        </is>
      </c>
      <c r="B6137" t="inlineStr">
        <is>
          <t>成功</t>
        </is>
      </c>
      <c r="C6137" t="inlineStr">
        <is>
          <t>読み方：とびら
１《「戸(と)片(ひら)」の意》窓・出入り口・戸棚などにつける開き戸の戸。
２書物の見返しの次にある、書名・著者名などを記したページ。
３雑誌で、本文にはいる前の第1ページ。
４（比喩的に）ある物事への入り口。「宇宙時代の—が開く」「学問の—」</t>
        </is>
      </c>
      <c r="D6137" t="inlineStr">
        <is>
          <t>扉口；扉間；扉付近；扉車；扉上部</t>
        </is>
      </c>
      <c r="E6137" t="inlineStr">
        <is>
          <t>ドア；門；玄関；戸；入口</t>
        </is>
      </c>
      <c r="F6137" t="inlineStr">
        <is>
          <t>乗降扉；乗務員扉；大扉；ガラス扉；側扉</t>
        </is>
      </c>
      <c r="G6137" t="inlineStr">
        <is>
          <t>扉の外；扉をあけて；扉絵；扉ページ；扉座</t>
        </is>
      </c>
      <c r="H6137" t="n">
        <v>29</v>
      </c>
      <c r="I6137" t="inlineStr">
        <is>
          <t>非常口の扉は内側からは開き、外側からは開けられない構造にしてある。；特に特定の人だけ出入りできるようにする場合は扉に錠がつけられる。；客室扉の窓は従来車と同様の縦長形状であるが上下を丸くデザインした。；この編成以降は扉と主電動機の出力、台車などの設計は統一されている。；線路の両側にホームがあり、停車したケーブルカーは両側の扉を開ける。；駅舎は扉のない構造でバリアフリーとするためスロープが設置されている。；また、すべてのストーリー連載作品の扉がカラー扉だったことがある。；引戸は扉が横にスライドして開閉する構造であり、広く用いられている。；また、扉付近だけではなく座席の中間部にも枕木方向に吊手棒を設置した。；さらに次駅の開くドア方向を予告する「次駅開扉予告灯」が設置された。；車外の荷物扉は連結面に設置された専用のドアスイッチにより開閉する。；本書で建設的思考のある相について扉は閉ざされたと作者は信じている。；特定のステージにあるカギ穴つき扉を開けるとプレイできるミニゲーム。；キハ80系から特急気動車に装備されていた外開きの非常扉は廃止された。；このため、客用扉付近と扉間で吊り革の引き通し棒が分離している。；このため、車両番号は正面非常扉の白色部の下に4桁表示で記載された。；なかでもの扉は、さまざまな扉と比較しても特に頑丈に作られている。；このため客室と出入台はすべて仕切り扉で分離され居住性が向上した。；この地上口は扉こそ閉じられているが、休止前と変わらない佇まいである。；一度クリアしたフロアは鍵が無くても扉を破って進むことができる。；中型車は前後扉車だったが、ワンステップバス以降は前中扉車になった。；外野スタンドの最前列にはそれに使用するための扉が設置されている。；堂童子の童子は扉の開閉を担当し、他の5人の練行衆は入口を警備する。；客扉は折戸式を採用し、各車とも車端部の片側1か所に配置されている。；乗務員室は完全な半室構造となり、乗務員室扉はホーム側にのみ設置。；これは3扉化工事とは別件で実施されたため、2扉車にも施工されていた。；建物の扉では単に「扉」と言えば基本的には手動の扉を指している。；ホームに隣接した扉のほか、地上へ続く通路にもう1枚扉がある。；扉の向うから現れた妻は、別人かと思われるほど、変り果てた姿であった。</t>
        </is>
      </c>
      <c r="J6137">
        <f>HYPERLINK("https://www.weblio.jp/content/扉", "词义详情")</f>
        <v/>
      </c>
      <c r="K6137">
        <f>HYPERLINK("https://yourei.jp/扉", "查看例句")</f>
        <v/>
      </c>
    </row>
    <row r="6138">
      <c r="A6138" t="inlineStr">
        <is>
          <t>飛ぶ</t>
        </is>
      </c>
      <c r="B6138" t="inlineStr">
        <is>
          <t>成功</t>
        </is>
      </c>
      <c r="C6138" t="inlineStr">
        <is>
          <t>読み方：とぶ
［動バ五（四）］
１空中を移動する。飛行する。「鳥が—・ぶ」
２吹かれて空中に舞う。「木の葉が—・ぶ」
３飛行機に乗って目的地へ行く。「外相がワシントンヘ—・ぶ」
４何かをめがけて勢いよく放たれる。「つぶてが—・ぶ」
５はねて空中へ散る。飛散する。「火花が—・ぶ」「しぶきが—・ぶ」
６（「跳ぶ」と書くことが多い）はずみをつけて、地面・床などをけり、からだが空中にあがるようにする。強く踏みきって遠くへ行く。また、はねて越える。「ジャンプ競技でK点まで—・ぶ」「溝を—・ぶ」「飛び箱を—・ぶ」
７大急ぎで、また、あわててある所へ行く。急行する。かけつける。「事故現場へ—・ぶ」「おっとり刀で—・んでいく」
８一気に遠くまで至る。「心は故国に—・んでいる」
９犯人などが遠くへ逃げる。逃亡する。「犯人は海外へ—・んだらしい」
10すばやくある行為がなされたり、急に勢いよく言葉がかけられたりする。「びんたが—・ぶ」「声が—・ぶ」
11うわさ・命令などがたちまちひろがる。つたわる。「デマが—・ぶ」
12あったものが消えてしまう。一時になくなる。「染めが—・ぶ」「ローンの返済でボーナスの半分が—・ぶ」
13つながっていたものが急に切れる。元から離れる。「ヒューズが—・ぶ」「地震計の針が—・ぶ」
14間を抜かして先へ移る。途中が欠けてあとへ続く。「ページが—・ぶ」「縫い目が—・ぶ」
15（「飛んで」の形で）数字を読みあげる際、ある位の数字が零のとき、その零を読むかわりにいう語。例えば、「五〇六円」を「五百飛んで六円」というなど。飛び。
16写真などで、明るい部分の階調が失われて真っ白になる。→白飛び
[可能]とべる</t>
        </is>
      </c>
      <c r="D6138" t="inlineStr">
        <is>
          <t>飛ぶ事；飛ぶごとく；飛ぶボール；飛ぶがごとくに；飛ぶ鳥おとす</t>
        </is>
      </c>
      <c r="E6138" t="inlineStr">
        <is>
          <t>かける；走る；到達；達する；届く</t>
        </is>
      </c>
      <c r="F6138" t="inlineStr">
        <is>
          <t>吹けば飛ぶ；弾け飛ぶ；よく飛ぶ；高く飛ぶ；はじけ飛ぶ</t>
        </is>
      </c>
      <c r="G6138" t="inlineStr">
        <is>
          <t>飛ぶ鳥を落とす勢い；飛ぶ教室；飛ぶボール；飛ぶ鳥を落とす；飛ぶ火</t>
        </is>
      </c>
      <c r="H6138" t="n">
        <v>29</v>
      </c>
      <c r="I6138" t="inlineStr">
        <is>
          <t>他のシロチョウに比べて直線的な飛び方なので飛んでいても区別は容易。；他のシロチョウに比べて直線的な飛び方なので飛んでいても区別は容易。；飛ばないボールの時代に得点が劇的に低下した要因には次のものがある。；こちらへ進み出ていたひとりが、戻りきれずにドアの方へ飛ぼうとした。；一見ただの木馬のようだが、その名の通り乗って空を飛ぶことができる。；サポテコ族初の首長は、空から鳥になって飛んできたとも言われている。；飛翔力はあるがあまり飛ぶことはなく、危険を感じた時は走って逃げる。；飛行時には背中のロケットが体から離れて支柱でつながった状態で飛ぶ。；翼は短く、植物の周囲や地表に近い所を飛んでいたと推定されている。；フーズムの乗員も今夜は十機を飛ばせる分くらいしかいないんだそうだ。；晩年は鳥の飛び方の研究を行い、飛行技術の発展に役立てようとしていた。；なお中央の機は敵の視線を僚機から逸らすためにあえて高く飛んでいる。；この星座は天の川の上に翼を広げ、北から南に向けて飛ぶ形をしている。；この機体はただ飛んだだけではなく、下記の技術的特徴を備えていた。；たとえ的と反対方向にボールを投げても、必ず標的に向かって飛んでいく。；猫が空を飛ばない以上、何者かが部屋に侵入して誘拐したということだ。；宮崎駿が空飛ぶ映像が好きなことから本作には数多くの飛行機が登場する。；それを見たチュロは大きな耳で空を飛びみんなを驚かせることを提案する。；変幻自在の体はその大きさや姿を自在に変えられ、空も飛ぶ事ができる。；すると、北から鳥の群れが飛んできて、蝗を食べ尽くしてしまいました。；空を飛ぼうと思えば、最終的には飛行機からパラグライダーまで作った。；翼で空中に飛びあがって姿勢をコントロールし、相手の頭上から攻撃する。；自分が芸術的に一つ飛ばなければならない処に来て居ることを感じる。；ヨーロッパ・アメリカ間の北極の氷冠を初めて飛び超えた航空機でもある。；空を飛んだという話も存在するが写真などで確認された例はない。；射撃後、飛んでいく間に発光することで軌跡がわかるようになっている。；その物体は森の中を動き回っていたが、やがて猛スピードで飛び去った。；驚かされて飛び出しても高くは飛ばず、すぐに植生の中に隠れてしまう。；戦場を調査するためにヘイグはヘリコプターに乗って接触点に飛んだ。</t>
        </is>
      </c>
      <c r="J6138">
        <f>HYPERLINK("https://www.weblio.jp/content/飛ぶ", "词义详情")</f>
        <v/>
      </c>
      <c r="K6138">
        <f>HYPERLINK("https://yourei.jp/飛ぶ", "查看例句")</f>
        <v/>
      </c>
    </row>
    <row r="6139">
      <c r="A6139" t="inlineStr">
        <is>
          <t>跳ぶ</t>
        </is>
      </c>
      <c r="B6139" t="inlineStr">
        <is>
          <t>成功</t>
        </is>
      </c>
      <c r="C6139" t="inlineStr">
        <is>
          <t>読み方：とぶ
［動バ五（四）］
１空中を移動する。飛行する。「鳥が—・ぶ」
２吹かれて空中に舞う。「木の葉が—・ぶ」
３飛行機に乗って目的地へ行く。「外相がワシントンヘ—・ぶ」
４何かをめがけて勢いよく放たれる。「つぶてが—・ぶ」
５はねて空中へ散る。飛散する。「火花が—・ぶ」「しぶきが—・ぶ」
６（「跳ぶ」と書くことが多い）はずみをつけて、地面・床などをけり、からだが空中にあがるようにする。強く踏みきって遠くへ行く。また、はねて越える。「ジャンプ競技でK点まで—・ぶ」「溝を—・ぶ」「飛び箱を—・ぶ」
７大急ぎで、また、あわててある所へ行く。急行する。かけつける。「事故現場へ—・ぶ」「おっとり刀で—・んでいく」
８一気に遠くまで至る。「心は故国に—・んでいる」
９犯人などが遠くへ逃げる。逃亡する。「犯人は海外へ—・んだらしい」
10すばやくある行為がなされたり、急に勢いよく言葉がかけられたりする。「びんたが—・ぶ」「声が—・ぶ」
11うわさ・命令などがたちまちひろがる。つたわる。「デマが—・ぶ」
12あったものが消えてしまう。一時になくなる。「染めが—・ぶ」「ローンの返済でボーナスの半分が—・ぶ」
13つながっていたものが急に切れる。元から離れる。「ヒューズが—・ぶ」「地震計の針が—・ぶ」
14間を抜かして先へ移る。途中が欠けてあとへ続く。「ページが—・ぶ」「縫い目が—・ぶ」
15（「飛んで」の形で）数字を読みあげる際、ある位の数字が零のとき、その零を読むかわりにいう語。例えば、「五〇六円」を「五百飛んで六円」というなど。飛び。
16写真などで、明るい部分の階調が失われて真っ白になる。→白飛び
[可能]とべる</t>
        </is>
      </c>
      <c r="D6139" t="inlineStr">
        <is>
          <t>跳ぶ能力を競う；跳ぶつもり</t>
        </is>
      </c>
      <c r="E6139" t="inlineStr">
        <is>
          <t>飛躍；跳ねる；躍る；弾む；飛び上がる</t>
        </is>
      </c>
      <c r="F6139" t="inlineStr">
        <is>
          <t>向かって跳ぶ；再び跳ぶ；もう跳ぶ；はね跳ぶ</t>
        </is>
      </c>
      <c r="H6139" t="n">
        <v>29</v>
      </c>
      <c r="I6139" t="inlineStr">
        <is>
          <t>神がもう一度跳ぶ機会を与えてくれた今大会で競技生活を終わりたい。；都市旗の前まで跳んだその一人は斜面を転がって尖塔から落ちていった。；年齢設定を問わず、勝利後には跳び上がってはしゃぐ一面も持っている。；彼の一撃を避けるために、わたしは急いで後ろへ跳ばねばならなかった。；少なくとも俺は未来に跳んでいくよう朝比奈さんに指示した覚えはない。；教卓の上に立ったオティヌスが、誰もいない机の一つへ跳んだ音だった。；それと同じ瞬間に彼は前へ躍りかかり、私は船首の方へ横さまに跳んだ。；ここで眠ったりしたら、またどこかへ跳んでしまうかもしれないのだ。；そっちへ行かなくては、と思いながら、おれの身体は後方へ跳んでいた。；私はもう一目散に海岸へ逃げて帰ると、舟に跳び乗って漕ぎ出しました。；男は信号が赤になっているのを無視して、跳ぶように車道を渡って行った。；リハビリで体の可動域が広がったため、跳び方を調整する必要があった。；船からひとが跳びおりてくるのを、かれは夢をもう一度見るように見ていた。；そのため、やらされている感が強く、跳ぶ練習は本当に嫌だったという。；由佳理は空を跳んでいることすら忘れ、ひたすら兄の姿を探しもとめた。；地両に倒れ込んだ直後の不安定な姿勢では、続けて跳ぶ事など不可能だ。；そして彼は、二十歳の若者のような勢でナイフを抜いて、跳び立った。；跳んだりはねたりのプロだけに、メイにはそれがはっきりとわかるのだ。；馬の脚を狙ってそれが銀光を引いたとき、青い騎士は月へ向かって跳んだ。；どこからともなく、一条の黒い鞭が跳んできたのは、その瞬間であった。；ワータネン彗星に到着した後は接近して着陸し、その後別の場所に跳ぶ。；俺は剣を引き、軽く後ろに跳んでヒースクリフとの間に距離を取った。；夕方戸をひらくとかれらはキイキイ鳴いて跳びながら逃げるのであった。；私は跳び起きて後を追いたい衝動を抑えて、闇の中で息を殺していた。；娘たちの声は大きくなり、ステージから次々と床へ跳び降り始めた。；ダイアンのそばにいた二頭も、雷鳴のような咆哮をあげて跳びかかった。；しばらく四辺を見まわしていたが、やがてひらりと通りへ跳びおりた。；それと見るなり、岸から一人の若侍が、身を躍らせて舟へ跳び移った。；といっても、それは攻めてきた連中が坂道の左右へ跳んで逃げたためだった。</t>
        </is>
      </c>
      <c r="J6139">
        <f>HYPERLINK("https://www.weblio.jp/content/跳ぶ", "词义详情")</f>
        <v/>
      </c>
      <c r="K6139">
        <f>HYPERLINK("https://yourei.jp/跳ぶ", "查看例句")</f>
        <v/>
      </c>
    </row>
    <row r="6140">
      <c r="A6140" t="inlineStr">
        <is>
          <t>溝</t>
        </is>
      </c>
      <c r="B6140" t="inlineStr">
        <is>
          <t>成功</t>
        </is>
      </c>
      <c r="C6140" t="inlineStr">
        <is>
          <t>読み方：うなて
田や畑に水を引くみぞ。
「神田(みとしろ)に潤(つ)けむと欲(おもほ)して—を掘る」〈神功紀〉</t>
        </is>
      </c>
      <c r="D6140" t="inlineStr">
        <is>
          <t>溝状；溝板；溝口；溝墓；溝跡</t>
        </is>
      </c>
      <c r="E6140" t="inlineStr">
        <is>
          <t>違い；差；開き；隙間；違</t>
        </is>
      </c>
      <c r="F6140" t="inlineStr">
        <is>
          <t>深い溝；大溝；縦溝；岡溝；下水溝</t>
        </is>
      </c>
      <c r="G6140" t="inlineStr">
        <is>
          <t>溝口健二；溝渠；溝川；溝辺町；溝呂木</t>
        </is>
      </c>
      <c r="H6140" t="n">
        <v>29</v>
      </c>
      <c r="I6140" t="inlineStr">
        <is>
          <t>原型は中国にもあるが多数の溝を付けたすり鉢は日本の備前焼に始まる。；しかし、彼らは晩年、お互いに大きな溝を作り、距離を置くようになる。；そのほかには寺域区画線と見られる溝が寺域東辺・南辺で見つかっている。；僕は、その溝を使って移動し、他にも閉じ込められている人を見つける。；しかし、建物や区画のための溝は、室町時代以降まで発見されていない。；地下に流雪溝を設けて道路脇の穴から雪を落とすようにしている場所もある。；大溝を中心とした近江国の植物図鑑であったとされるが、現存していない。；全体の構造は巨大な顎のようで、酸性のDNAをくわえる深い溝がある。；また歩脚の隙間に向かって溝が走ることも多く、これを放射溝という。；道路や歩道の溝蓋や工場やプラントなどの足場など広範囲に使用される。；またカズマ地形と呼ばれる溝状の地形やトラフも多数発見されている。；この大溝の発掘調査の際には、円筒埴輪のほか形象埴輪が出土している。；全身の皮膚には細い溝が走っており、これは全て口へ繋がっている。；歌っていないときには、他の人々のように採掘灌漑溝での労働を要求された。；階段にはジッグラトからの排水に使用された溝が並行に走っていた。；大きなクレーターに関連して、いくつかの崖や溝、谷も存在している。；これを機に、それまで良好な関係を築いていたセナとの間に溝が出来始める。；砲口用と照準器用とで分かれた開口部や、車輪用の溝が設けられている。；稲荷塚古墳の全長は38メートルで周囲には幅2メートルの周溝がある。；牙は後牙類と同じく溝状であるが、完全に管状になっている種も多い。；条件は極めて限られ、音溝に対し同一形状の針先を用いた場合にのみ可能となる。；錠島は腹を立て、一度は通じた二人の心に溝が生まれ錠島は美月を捨てる。；簡単に言えば上部に渡されているレールや溝の付いた水平材のことである。；基本はオープンサイトと同じだが、照門が溝ではなく穴になっている。；溝の多い地形はそれよりもいくらか若いが、どの程度若いのかは分かっていない。；斜長石はその抱合的な双晶か「レコードの溝効果」の観察で特定される。；口側の中央に口があり、そこから腕の先端に向けて歩帯溝と呼ばれる溝が伸びる。；この時の観測では溝の多い地形も発見されている。；前4000年頃にろくろの使用が見られる仰韶廟底溝類型文化が現れた。</t>
        </is>
      </c>
      <c r="J6140">
        <f>HYPERLINK("https://www.weblio.jp/content/溝", "词义详情")</f>
        <v/>
      </c>
      <c r="K6140">
        <f>HYPERLINK("https://yourei.jp/溝", "查看例句")</f>
        <v/>
      </c>
    </row>
    <row r="6141">
      <c r="A6141" t="inlineStr">
        <is>
          <t>徒歩</t>
        </is>
      </c>
      <c r="B6141" t="inlineStr">
        <is>
          <t>成功</t>
        </is>
      </c>
      <c r="C6141" t="inlineStr">
        <is>
          <t>読み方：かち
１乗り物を使わないで歩くこと。徒歩(とほ)。
「—で山へ登りました」〈二葉亭訳・片恋〉
２（「徒士」とも書く）
㋐江戸時代、武士の身分の一。騎乗を許されない下級の武士。おかち。
㋑「徒侍(かちざむらい)」に同じ。
㋒「徒組(かちぐみ)」の略。</t>
        </is>
      </c>
      <c r="D6141" t="inlineStr">
        <is>
          <t>徒歩約(7%)；徒歩で約(2%)；徒歩連絡；徒歩数；徒歩圏</t>
        </is>
      </c>
      <c r="E6141" t="inlineStr">
        <is>
          <t>歩き；歩；歩み；徒；歩行</t>
        </is>
      </c>
      <c r="F6141" t="inlineStr">
        <is>
          <t>徒歩道；徒歩利用可能圏；徒歩五分の；徒歩数分の；徒歩または自転車</t>
        </is>
      </c>
      <c r="G6141" t="inlineStr">
        <is>
          <t>徒歩旅行；徒歩暴走族；徒歩所要時間</t>
        </is>
      </c>
      <c r="H6141" t="n">
        <v>29</v>
      </c>
      <c r="I6141" t="inlineStr">
        <is>
          <t>僕は候補作品も全部は目をとほしてゐない不熱心であつたかも知れない。；したがって、アーネムの橋を確保するただ一つの可能性は徒歩であった。；また駅から徒歩15分程の国道342号線沿いにも店舗が集中している。；橋も掛けられたが洪水の度に流失し、船や徒歩で渡るのが専らであった。；駅から徒歩数分の場所には路線名の由来ともなった貴志川が流れている。；乗客は建物から徒歩で飛行機に向かい、タラップを使って乗降していた。；自転車は所持しているようであるが学校へは基本的に徒歩で通学している。；基本的に乗っている間は徒歩での倍の速さで移動でき、戦闘も回避できる。；橋には歩道も設置されており、徒歩で空港と対岸の行き来も可能である。；すると自ら徒歩で彼らのもとへ趣き、両者と語り合って大いに満足した。；したがって当然、人間に戻ったちなにも身につけて とほよノ いない。；あのかたの詩といい散文といい、あたくしほとほと閉口しておりますわ。；ウェルカムゲートを経由して徒歩にて施設内に出入りすることができる。；この血液は何千年、肉身から肉身をとほつて來たものであるといふことを。；次の朝のこと、学校へ行く途中、太郎さんは鎮守さまをとほつて見ました。；現在でも地元の人や徒歩の旅行者にはこちらの橋が使われている。；このため、徒歩あるいは馬で西に向かう人はこのルートを用いたとみられている。；教室や図書館にはバスや自転車ではなく徒歩で行けるカレッジも多い。；木を運ぶための林道があり、徒歩や自転車を押して進むことは可能である。；設定上は空を飛ぶことが可能だが、戦闘終了後は徒歩で去っていく描写が多い。；それに植物はものを言へないなどと言つたが立派にこのとほり口が利ける。；誰かが何かを叫ぼうとしたとたん、パッとほの白いフラッシュが走った。；上記のほか、同儀保駅も比較的近隣にあり、徒歩で至ることが可能である。；しひていふならばこれもすこし縁のとほい「舶來品」くらゐに思つてゐた。；JRの駅舎とは直接つながっておらず、両駅間は徒歩で数分を要する。；以下の施設は当停留場より西へ徒歩10 - 15分ほどの距離にある。；隣の伊那北駅とは徒歩15分ほどの距離にあり、市街地が連続している。；なお、バスの運行期間外は自家用車・タクシー・徒歩等でしか行けなくなる。；進学した理由は自宅から高校まで徒歩5分という立地条件であったという。</t>
        </is>
      </c>
      <c r="J6141">
        <f>HYPERLINK("https://www.weblio.jp/content/徒歩", "词义详情")</f>
        <v/>
      </c>
      <c r="K6141">
        <f>HYPERLINK("https://yourei.jp/徒歩", "查看例句")</f>
        <v/>
      </c>
    </row>
    <row r="6142">
      <c r="A6142" t="inlineStr">
        <is>
          <t>途方もない</t>
        </is>
      </c>
      <c r="B6142" t="inlineStr">
        <is>
          <t>成功</t>
        </is>
      </c>
      <c r="C6142" t="inlineStr">
        <is>
          <t>読み方：とほうもない
１道理に合わない。とんでもない。途方途轍(とてつ)もない。「一枚の絵に—・い高値がつく」
２並々でない。ずぬけている。途方途轍もない。「—・い大酒飲み」
３手段が尽きて困り果てる。途方に暮れる。
「葬らんと思ひて北原へ連れては行けども、なにとも—・いなり」〈中華若木詩抄・上〉</t>
        </is>
      </c>
      <c r="D6142" t="inlineStr">
        <is>
          <t>途方もない大き；途方もない金額；途方もない大声；途方もない空想；途方もない妄想</t>
        </is>
      </c>
      <c r="E6142" t="inlineStr">
        <is>
          <t>非常；特別；巨大な；立派；異常</t>
        </is>
      </c>
      <c r="F6142" t="inlineStr">
        <is>
          <t>途方もない出鱈目</t>
        </is>
      </c>
      <c r="H6142" t="n">
        <v>29</v>
      </c>
      <c r="I6142" t="inlineStr">
        <is>
          <t>この途方もない外国人にイギリスの若い娘のことなど何がわかるものか。；どこから始めるべきかも不明だから、途方もない仕事になりそうだった。；途方もない努力の結果、完全に破壊された街はわずか数年で再建された。；電車は混んでいるし、家に戻りつくまでに途方もなく長い時間がかかる。；金で買える以上の、途方もない力を手に入れて、ぼくは戻ってきたんだ。；あまりに大きすぎる建物で、分身の彼女には途方もない大建築に思えた。；空はとほうもなく暗く、ほとんど黒といってもいいほど暗い青空でした。；女が放ったものとは思えない、途方もない力がそこには加わっていた。；あの人は何事につけてもとほうもないそれは突飛な考えをもっていますの。；誰がこんな途方もないことをしてみようと思いつくことができたのだろう。；途方もない音だがそれがあのおばあさんと何か関係を持っているのだ。；すると、ネモ艦長が途方もない巨大な超人のように私には思われてきた。；近代小説家のとほうもない作品は、かれにはほとんど理解できなかった。；いつか、この中尉との間に途方もないことが起きそうだという気がした。；ファンダレルにはこのように途方もない寸法は理解しがたいものだった。；つまり、途方もなく気を使って、自分のいいところを台なしにしていた。；何しろ離れているのでわれわれが聞くのは途方もない話ばかりなのだ。；このとほうもなく大きな建造物のほとんど全長にわたっていたからである。；しかし、狂っているにしても、それはあまりに途方もない行為であった。；今度は彼は、それに輪をかけた、実に途方もない事を始めたのである。；あんたは彼女を愛しているのよ、あんたは途方もない夢に酔っていたのよ。；途方もない事をしてしまつたと云ふ後悔を教へる東の遠い空が見える。；自分の身体のどこからそんなとほうもない力が出たのか信じられなかった。；きみはこの途方もない判断の根拠をどこにおいているのだろうか。；途方もない話と思われるかもしれませんが、ありえないことではないのです。；このためにイアンブリコスは途方もない尊敬を持って見られたようだ。；彼の手紙には途方もない部分がたくさんあったに違いありません。；この老人の推量は途方もないことであったが、あり得ないことではない。；浜から見れば海は途方もなく広い暗黒の存在だということがわかります。</t>
        </is>
      </c>
      <c r="J6142">
        <f>HYPERLINK("https://www.weblio.jp/content/途方もない", "词义详情")</f>
        <v/>
      </c>
      <c r="K6142">
        <f>HYPERLINK("https://yourei.jp/途方もない", "查看例句")</f>
        <v/>
      </c>
    </row>
    <row r="6143">
      <c r="A6143" t="inlineStr">
        <is>
          <t>土木</t>
        </is>
      </c>
      <c r="B6143" t="inlineStr">
        <is>
          <t>成功</t>
        </is>
      </c>
      <c r="C6143" t="inlineStr">
        <is>
          <t>読み方：どぼく
１土と木。
２土石・木材・鉄材などを使って、道路・鉄道・河川・橋梁(きょうりょう)・港湾などを造る建設工事。土木工事。また、それら建築物を造る産業。
３《「土木工学」の略》土木2に関する理論と実際を研究する工学の一部門。「大学で—を専攻する」</t>
        </is>
      </c>
      <c r="D6143" t="inlineStr">
        <is>
          <t>土木建築(7%)；土木局(5%)；土木事務所(4%)；土木部(4%)；土木作業(4%)</t>
        </is>
      </c>
      <c r="F6143" t="inlineStr">
        <is>
          <t>内務省土木；土木関係；土木請負業；首都土木；土木施設</t>
        </is>
      </c>
      <c r="G6143" t="inlineStr">
        <is>
          <t>土木学会；土木工学；土木工学科；土木技師；土木技術</t>
        </is>
      </c>
      <c r="H6143" t="n">
        <v>29</v>
      </c>
      <c r="I6143" t="inlineStr">
        <is>
          <t>これらの土木施設は大きな輸送量に対応する高水準の設備を有している。；その他にも研究・開発、土木・建設の業界向けの製品も取り扱っている。；また、中国国内では土木建設や軍事防衛プロジェクトにも携わっている。；CSCSの対象とする建築・土木とそれに関連する職には次のものがある。；土木作業車のような、名前通り旧世代のロボットを思わせるデザイン。；そして翌日の11月1日に管理事務所を土木部監理課の所属機関とした。；法律・建築・土木・電気・設備・一般の各分野の委員がいる。；その野生体は中央大陸の砂族が運搬・土木・戦闘用に使用してきたものとなる。；本来は土木工作用だが、地球征服のための攻撃を目的として使用される。；土木等の戦闘補助任務に終始して、教育を全く受けられなかった者もいる。；行政管轄として軌道は土木行政に属する道路行政で、鉄道は鉄道行政となる。；元々は土木作業用だったが、その高い戦闘力から戦闘へも転用される。；高潮、津波対策としては土木的には下記の2種の方法が挙げられている。；主に土木・工学やモータースポーツ関連の雑誌や書籍を得意とした。；この他、土木教室の大学院生の所属は国際都市・まちづくり研究室にも。；土木・建築技術の進歩に伴い、現代は地下の利用範囲・目的が急速に広がっている。；近年では建設・土木資材としての積極的な活用が進められている。；土木建築会社に勤務しながら、第二次再審請求に向けて活動した。；土木構造工学には、建築環境にも関連するすべての構造物が含まれる。；環状土木遺構は、防御用というよりは儀式的な意味を持つ遺構である。；彼が受けた教育は、現在のイタリアの土木学科の学生が受けるものとほぼ同じである。；このリフトアップ方法は一般に橋梁等の土木現場でしか採用されない方法である。；府道標識も設置されており、管理は地元の土木事務所管轄で行われる。；これは鳶の者が土木作業をする際に、手棍を使って木や石を動かしたことによる。；氷を主要な土木材として用いるには、特殊な建築技術が必要となる。；阿倍正之は秀忠・家光の代によく土木関係の役職に就いていたという。；土木系の副市長は歴代必ずいたが、私は建築系の人に変えた。；現在は環境地質や土木地質・災害地質などが研究の中心となっている。；住宅部門、建設・土木部門を軸とした総合建設業への指針を示した。</t>
        </is>
      </c>
      <c r="J6143">
        <f>HYPERLINK("https://www.weblio.jp/content/土木", "词义详情")</f>
        <v/>
      </c>
      <c r="K6143">
        <f>HYPERLINK("https://yourei.jp/土木", "查看例句")</f>
        <v/>
      </c>
    </row>
    <row r="6144">
      <c r="A6144" t="inlineStr">
        <is>
          <t>とぼける</t>
        </is>
      </c>
      <c r="B6144" t="inlineStr">
        <is>
          <t>成功</t>
        </is>
      </c>
      <c r="C6144" t="inlineStr">
        <is>
          <t>読み方：とぼける
［動カ下一］［文］とぼ・く［カ下二］
１聞かれたことに対して、わざと知らないふりをする。しらばくれる。「肝心の点になると—・ける」
２どことなく間のぬけたこっけいな表情やしぐさをする。「—・けた味がある」
３老いて頭の働きが鈍くなる。ぼける。
「—・ケテ我ガ子ノ顔モ知ラヌ」〈和英語林集成〉</t>
        </is>
      </c>
      <c r="D6144" t="inlineStr">
        <is>
          <t>シラを切る；しらばっくれる；しらばくれる；そらとぼける；知らん顔を決め込む</t>
        </is>
      </c>
      <c r="H6144" t="n">
        <v>29</v>
      </c>
      <c r="I6144" t="inlineStr">
        <is>
          <t>それをとぼけるとはさては自分を裏切り鎌倉に静を渡したのに違いない。；驚くか、それともとぼけるかもしれないと思っていたが、それは意外なくらい自然な反応だった。；それ以上とぼけることは私には不可能であった。；あたしがとぼける分には問題ないと思ったから。；とぼけるつもりだな、と思った彼はつづけて口早に先手を打った。；キラシャンドラがとぼけるべきか考えている間に、青年のほうが先に気を取りなおした。；言えないことがあるとき、言いたくないことがあるときの花屋は、こんな風にとぼけるのだ。；とぼけるのは、あたしに喧嘩の現場を見られたから?；「村山さんがどうかしたんですか」 啓子は最初からとぼける気だ。；しかし、黄鶴は、そのような声をわたくしが耳にしたと言っても、知らぬと言ってとぼけることでしょう。；当然吸血鬼だなんだと細部まで説明する必要はないだろうが、このままとぼけるには限度があるような気がした。；まさかとぼけるわけにもいかないしね。；「とぼけるな」 決して大声ではなかったが、それがかえって彼の怒りをよく物語っていた。；大屋の逆上している理由はわかっているが、とぼけられるだけとぼけるつもりである。；ここで、大とぼけにとぼけるとすれば、留美の相手は誰だろうという話になるはずであった。；そこでとぼける意味がわからないけれど。；「小杉が起こした事件のことも」 ここで下手にとぼけるのは得策とは思えなかった。；もし訊かれてもこちらはとぼけるだけである。；しびれを切らして催促すると次の節季にしてくれといわれたり、そんなはずがないととぼける人さえあった。；女の子たちが集金に行ってもすぐに払ってくれるのが大部分だが、休みや出張でいなかった人、中には初めからとぼける気でいる人もある。；倉田にとぼける理由などないことを思い覚ったからだ。；こいつの死体を隠してスッとぼけるしかねぇんだッ!!；ま、広告回しておいて、後でとぼけるような奴もいるからな。；だからとりあえず、危険は承知で才人はとぼけることにした。；そう考えると、演じるってことはとぼけるってことだったりして。；とぼけるならもっとうまくとぼけろと、私は内心むかむかしていた。；とぼけるならもっとうまくとぼけろと、私は内心むかむかしていた。；それをこのおっさんは、本当にどこまでとぼける気だ。；外れた場合は知らんふりをし、後刻出くわしてしまったときには「買ったのはあなたの自己責任だ」などといってとぼける。</t>
        </is>
      </c>
      <c r="J6144">
        <f>HYPERLINK("https://www.weblio.jp/content/とぼける", "词义详情")</f>
        <v/>
      </c>
      <c r="K6144">
        <f>HYPERLINK("https://yourei.jp/とぼける", "查看例句")</f>
        <v/>
      </c>
    </row>
    <row r="6145">
      <c r="A6145" t="inlineStr">
        <is>
          <t>乏しい</t>
        </is>
      </c>
      <c r="B6145" t="inlineStr">
        <is>
          <t>成功</t>
        </is>
      </c>
      <c r="C6145" t="inlineStr">
        <is>
          <t>読み方：とぼしい
［形］［文］とぼ・し［シク］《「ともしい」の音変化》
１十分でない。足りない。「人材が—・い」「—・い経験」
２経済的に貧しい。「—・い生活」
[派生]とぼしげ［形動］とぼしさ［名］</t>
        </is>
      </c>
      <c r="D6145" t="inlineStr">
        <is>
          <t>乏しいため(4%)；乏しいもの(3%)；乏しい地域；乏しい光；乏しい知識</t>
        </is>
      </c>
      <c r="E6145" t="inlineStr">
        <is>
          <t>ない；薄い；貧しい；足りない；貧乏</t>
        </is>
      </c>
      <c r="F6145" t="inlineStr">
        <is>
          <t>非常に乏しい；きわめて乏しい；甚だ乏しい；乏しい土地；乏しい経験</t>
        </is>
      </c>
      <c r="H6145" t="n">
        <v>29</v>
      </c>
      <c r="I6145" t="inlineStr">
        <is>
          <t>実際にはわざとではなく、いつもどおり表情に乏しかったというだけで。；自分の周りで起きたことだと頭ではわかっていても、実感は乏しかった。；この設問に答えるには、ぼくの経験や知識が乏しかったのかも知れない。；使用されている地域が限られているため、使用のための証拠が乏しい。；戦闘は双方の艦から開始されたが、初めはどちらも効果に乏しかった。；信頼性は非常に乏しく、マシンを完全に動作させることは不可能であった。；国際性の乏しかった時代だから、これもまた単純な比較は不可能といってよい。；この記載は情報に乏しく、正確な類縁関係を決定することは出来ない。；根拠に乏しいが、褚遂良の作品だといわれているものは主に次の通りである。；チャコ地方は高温で水の乏しい地域であり、戦闘は過酷なものであった。；源泉開発の技術が乏しかった時代、温泉は自然湧出源泉に限られていた。；開発途中の製品を扱うことが多く、実用化されてヒットした実績には乏しい。；研究費が乏しかった初期には理論を主体にした研究を行った。；その後も、新たな情報に乏しいことなどからあまり大きくは報道されなかった。；しかしその信頼性は乏しく、現在では資料としてはそれほど価値がない。；パラリティタンついての情報は乏しく、正確な大きさの推定は困難である。；食料の乏しいこの村では老いても揃っている歯は恥ずかしいことだった。；カーソンは物資に乏しくなり始めたので、午後には部隊に退却を命じた。；コールドヘブンがもう一度相手の説得を試みたが、迫力には乏しかった。；また心事高尚にして働きに乏しき者は、人に厭われて孤立することあり。；この為、ただ時間を無駄に浪費するだけになることが多く実用性に乏しい。；子に大谷吉継がいるとされるが、史料の記述が乏しく不明な点が多い。；彼によればこの事は当時大宋国においても理解する人が乏しかった。；ミュラーが埋葬されたといういくつかの情報は矛盾し、信頼性に乏しい。；構造にあたるのは、社会システムの中でも変化に乏しい安定的な部分である。；タカグア沢沿いは平地に乏しいので、道路は山の斜面に造成されている。；これらの説はいずれも根拠に乏しく、眉唾物であることには注意が必要である。；資源と収入に関しても乏しいためゲーム開始直後は厳しい展開となる。；非常に文献の乏しい時代であり、史実から大幅な脚色がなされている。</t>
        </is>
      </c>
      <c r="J6145">
        <f>HYPERLINK("https://www.weblio.jp/content/乏しい", "词义详情")</f>
        <v/>
      </c>
      <c r="K6145">
        <f>HYPERLINK("https://yourei.jp/乏しい", "查看例句")</f>
        <v/>
      </c>
    </row>
    <row r="6146">
      <c r="A6146" t="inlineStr">
        <is>
          <t>戸惑う</t>
        </is>
      </c>
      <c r="B6146" t="inlineStr">
        <is>
          <t>成功</t>
        </is>
      </c>
      <c r="C6146" t="inlineStr">
        <is>
          <t>読み方：とまどう
［動ワ五（ハ四）］どう対処してよいかわからず、まごまごする。まごつく。「突然の申し出に—・う」</t>
        </is>
      </c>
      <c r="D6146" t="inlineStr">
        <is>
          <t>戸惑うことなく；戸惑う真九郎</t>
        </is>
      </c>
      <c r="E6146" t="inlineStr">
        <is>
          <t>迷う；躊躇する；困惑する；渋る；当惑する</t>
        </is>
      </c>
      <c r="F6146" t="inlineStr">
        <is>
          <t>少し戸惑う；一瞬戸惑う；戸惑うしかない</t>
        </is>
      </c>
      <c r="H6146" t="n">
        <v>29</v>
      </c>
      <c r="I6146" t="inlineStr">
        <is>
          <t>車に乗るときこそ戸惑っていたが、部屋に入ってからは迷うことはない。；それで再会すれば、どの部分を愛していたか忘れているので戸惑うのだ。；さっきまでの戸惑った態度ではなく、口元には薄い笑みを浮かべていた。；しかし、あまりに話が大きすぎて戸惑っていたのか翼は俯いてしまった。；だが、声しか聞こえないにもかかわらず、いつもの彼との違いに戸惑う。；初めは慣れない仕事に戸惑っていたサリーも、徐々に仕事に慣れていく。；そのことに頭では納得しているが、心はまだ戸惑っているようにも見える。；病室のベッドで横になっている元気のない様子を想像していたから戸惑う。；五十ちかい年になってはじめて子ができるというのは戸惑うものである。；切符売り場の前に来たぼくは、しかし戸惑わないわけには行かなかった。；それだけの縁だったから、会社に電話がかかってきた時は本当に戸惑った。；感動にも、また恐れにも似た気持ちを抱きながら、法廷は戸惑っていた。；夏の道で戸惑うように立っていたカズオの傷ついた顔が脳裏に浮かんだ。；今までずっと忘れていたことだったから、雄治自身、戸惑っていたのだ。；二人が入口で戸惑っていると、中からサラとは別の少女に声をかけられた。；ふたりとも戸惑っているようだったが、やがて直子が小さくうなずいた。；世間では二人の仲は既に公然のものとなっており、その状況に宮は戸惑う。；ここ数日桜に触れる機会が多すぎて、桜の体の成長に戸惑ってばかりいた。；初めての宇宙に戸惑う蒼生であったが、そこである一人の少女と出会う。；父は車の窓から顔を出し、少し戸惑ったような顔つきで私を見つめました。；それから近藤に電話をしようとしたら、電話に出た女の声が一瞬戸惑った。；いまは「好き」と答えながら、そのなかで少し戸惑っているものがある。；イリスは二人と一頭の中心で、戸惑ったような顔でカメラを見ている。；ただし、当時NHKでは、あまりにも異常な人気に戸惑っていたという。；戸惑っているのですらなく、なにを言われたのかわからなかった様子だった。；私が家を出たと同時に始まった新たな習慣に、私は初めは戸惑った。；無関心なふりをしてきっちり戸惑っている、いつもの彼女の顔が見たい。；聞いた事はあるが、見た事はなかった種別の相手に戸惑ったのだろう。；スフィアラボの住人が銃を手に、向かっていることに戸惑っているのだ。</t>
        </is>
      </c>
      <c r="J6146">
        <f>HYPERLINK("https://www.weblio.jp/content/戸惑う", "词义详情")</f>
        <v/>
      </c>
      <c r="K6146">
        <f>HYPERLINK("https://yourei.jp/戸惑う", "查看例句")</f>
        <v/>
      </c>
    </row>
    <row r="6147">
      <c r="A6147" t="inlineStr">
        <is>
          <t>留まる</t>
        </is>
      </c>
      <c r="B6147" t="inlineStr">
        <is>
          <t>成功</t>
        </is>
      </c>
      <c r="C6147" t="inlineStr">
        <is>
          <t>読み方：とどまる
［動ラ五（四）］
１進行していたものが停止する。立ちどまる。「—・ることなく水が流れる」
「車は…家の入口に—・りぬ」〈鴎外・舞姫〉
２同じところ・地位にそのままいて動かないでいる。「現職に—・る」「首位に—・る」
３滞在する。「当地には、一〇日—・る予定」
４行かないで、あとに残る。「現地に—・って指導にあたる」「責任者は本部に—・る」
５その範囲・限度を越えないでいる。「期待されたが、平凡な記録に—・った」「問題点を指摘するに—・る」
６中止になる。
「まうのぼり給ふことも—・り」〈大鏡・兼通〉
７しとめられる。
「鹿(しし)は少しもはたらかず、二つの矢にてぞ—・りける」〈曽我・八〉
８最上である。それが一番すぐれている。
「狂歌といふものはおそらく江戸に—・ったね」〈滑・浮世風呂・四〉</t>
        </is>
      </c>
      <c r="D6147" t="inlineStr">
        <is>
          <t>留まるべき；留まるよう説得；留まるよう命じ；留まるよう指示；留まるよう命令</t>
        </is>
      </c>
      <c r="E6147" t="inlineStr">
        <is>
          <t>いる；居る；残る；停止；滞在</t>
        </is>
      </c>
      <c r="F6147" t="inlineStr">
        <is>
          <t>思い留まる；踏み留まる；しばらく留まる；立ち留まる</t>
        </is>
      </c>
      <c r="H6147" t="n">
        <v>29</v>
      </c>
      <c r="I6147" t="inlineStr">
        <is>
          <t>三型は機体重量が増したことから上昇力は一型と同程度に留まっている。；彼らはこのまま留まれば船がすべて失われてしまうと考え、島を離れた。；このように、自動車は単に人や物資を輸送するだけの存在に留まらない。；選択せずにダイスを振った場合は留まる選択をしたものとして扱われる。；側面の行先表示機の設置も行われたが、その対象は一部に留まっている。；生産は日本国内で行い、日本国内に留まらず海外にも販路を広げている。；なんとかその場に留まれたことだけでも、幸運であったと思うほかない。；女房でも無い女と何をたのしみにしてあの小屋に留まろうとするのか。；その小さな動作の内に、美穂の手はなお抗って元に留まろうとしていた。；だが、人間に愛の印しがつくと、それはここに留まれということなのさ。；いずれも業務の集積は少なく商業中心としての発達程度に留まっている。；孫暠が会稽郡を占領しようとしたときは、説得しそれを思い留まらせた。；最後まで留まっていたユダヤ人もカダフィ政権下で全員国外追放された。；自身は音楽面だけに留まらず、社会面でも自らをよそ者だと感じていた。；カールの宮廷そのものが、1箇所に留まらずに常に国内を移動していた。；その活動範囲もドイツに留まらず、ヨーロッパ中へと広がっていった。；自軍勢力下のVPがある拠点・都市等に将軍が留まることで補充される。；コーヒーやソフトドリンクも存在しているが限られた範囲に留まっている。；少なくともそれが人の目に留まれば不審に思われることは間違いない。；不死者がひとつところに留まろうということ自体に元から無理がある。；翌1939年に第二次世界大戦が勃発したが帰国せずにパリに留まる。；ただし同時に扱える目標数は1つに留まり、攻撃能力には課題を残した。；また活動の場はロンドンに留まらずパリにも及び、国際的な女性でもあった。；スイス国内に留まらず、ヨーロッパ諸国やアメリカでも演奏活動を行う。；溺れ死んだと思わせてニューヨークへ逃走し、そこに留まることにした。；残留を望んだ人々は留まることを許可され、彼らの州で市民になった。；しかしこの群の人々に、この岩畳な老人が目に留まらなかったのではない。；このマシンはあくまで実験車に留まり、レースを走ることはなかった。；トンボは、空中の一点に留まる事ができ、宙返りが観察された種もある。</t>
        </is>
      </c>
      <c r="J6147">
        <f>HYPERLINK("https://www.weblio.jp/content/留まる", "词义详情")</f>
        <v/>
      </c>
      <c r="K6147">
        <f>HYPERLINK("https://yourei.jp/留まる", "查看例句")</f>
        <v/>
      </c>
    </row>
    <row r="6148">
      <c r="A6148" t="inlineStr">
        <is>
          <t>泊まる</t>
        </is>
      </c>
      <c r="B6148" t="inlineStr">
        <is>
          <t>成功</t>
        </is>
      </c>
      <c r="C6148" t="inlineStr">
        <is>
          <t>読み方：とまる
［動ラ五（四）］《「止まる」と同語源》
１旅先・外出先・勤務先などで夜を過ごす。宿泊する。やどる。「親戚に—・る」「ホテルに—・る」
２船が港にとどまっている。停泊する。「港内に—・っている豪華客船」
[可能]とまれる</t>
        </is>
      </c>
      <c r="D6148" t="inlineStr">
        <is>
          <t>泊まるんです；泊まるんだろ</t>
        </is>
      </c>
      <c r="E6148" t="inlineStr">
        <is>
          <t>宿泊；逗留；宿る；泊る；寝泊まり</t>
        </is>
      </c>
      <c r="F6148" t="inlineStr">
        <is>
          <t>今夜泊まる</t>
        </is>
      </c>
      <c r="H6148" t="n">
        <v>29</v>
      </c>
      <c r="I6148" t="inlineStr">
        <is>
          <t>それには殺人のあった夜、あなたが彼の家に泊まると書かれていました。；そのために千花が同じホテルに泊まる時も、必ず別の部屋をとらされた。；毎日ここまで通ってきてたって、ホテルに泊まったことはないんだから。；今日は、彼女と一緒にちゃんとしたホテルに泊まるつもりだったのだが。；どこに泊まっているか、名は何んというか、今どんな商売をしているか?；客を招いたり子供の様子を見るときだけ小石川に泊まっていたのである。；いくあてがなくて、ここに泊まるのは、なにもきみがはじめてじゃない。；その後で、娘の父親を俺のカジノのホテルに泊まらせることになってる。；寺の息子が寺に泊まってる時に墓場の話をするとは思いませんでした。；それを確認してわたしはおに〜さんがうちで泊まっている部屋へと向かう。；村で一晩休むよりも、少し離れた街の宿屋に泊まる方を選んだのである。；私たちの家族が泊まった部屋は、江戸時代に大名が泊まった部屋でした。；家族の留守中に彼の家に泊まるという、してはいけないこともしました。；「原じゃないんだ」 ぼくたちは彼の泊まっていた家の地下室に帰った。；N君の泊まっている家はこの芸術に浸り込んだような形勝の地にあった。；夜になり、どこか泊まる場所を探していると、一軒の家にたどりついた。；あの客の泊まっている「馬車宿」のおかみと最近結婚したばかりの男だ。；こんな枯淡なところに心ならずも泊まることになったのには事情がある。；ぼくとしては、旅館に泊まることになろうとは思わずに来たものだから。；ある日、その夜はこちらに泊まるつもりで、ぼくらはパリの部屋にいた。；一行は毎夜街道沿いの宿屋に泊まって、三日のあいだ東に進みつづけた。；そういえば、昨夜の話では康祐と入れ違いで泊まることになっていたのだ。；もしかしたら泊まらずに帰ってくるかもしれないなどと考えてしまうのだ。；それでも次にあたしの部屋に泊まったときの彼の進歩はめざましかった。；その日から諸井が遅番の日にここに泊まってゆくのが当たり前になった。；一緒に邸に泊まった 客達が、若い二人連れの顔を覚えていたのだ。；他の士官たちは酋長や他の有力者たちの家に泊まることになっていた。；しかし厄介なことに、中隊員にはこのホテルに泊まると言ってしまった。；私はその晩は父の大納言の家へ行って泊まろうと思っていたのです。</t>
        </is>
      </c>
      <c r="J6148">
        <f>HYPERLINK("https://www.weblio.jp/content/泊まる", "词义详情")</f>
        <v/>
      </c>
      <c r="K6148">
        <f>HYPERLINK("https://yourei.jp/泊まる", "查看例句")</f>
        <v/>
      </c>
    </row>
    <row r="6149">
      <c r="A6149" t="inlineStr">
        <is>
          <t>止まる</t>
        </is>
      </c>
      <c r="B6149" t="inlineStr">
        <is>
          <t>成功</t>
        </is>
      </c>
      <c r="C6149" t="inlineStr">
        <is>
          <t>読み方：とどまる
［動ラ五（四）］
１進行していたものが停止する。立ちどまる。「—・ることなく水が流れる」
「車は…家の入口に—・りぬ」〈鴎外・舞姫〉
２同じところ・地位にそのままいて動かないでいる。「現職に—・る」「首位に—・る」
３滞在する。「当地には、一〇日—・る予定」
４行かないで、あとに残る。「現地に—・って指導にあたる」「責任者は本部に—・る」
５その範囲・限度を越えないでいる。「期待されたが、平凡な記録に—・った」「問題点を指摘するに—・る」
６中止になる。
「まうのぼり給ふことも—・り」〈大鏡・兼通〉
７しとめられる。
「鹿(しし)は少しもはたらかず、二つの矢にてぞ—・りける」〈曽我・八〉
８最上である。それが一番すぐれている。
「狂歌といふものはおそらく江戸に—・ったね」〈滑・浮世風呂・四〉</t>
        </is>
      </c>
      <c r="D6149" t="inlineStr">
        <is>
          <t>止まることなく；止まるべき；止まる確率；止まるまい；止まる事でしょ</t>
        </is>
      </c>
      <c r="E6149" t="inlineStr">
        <is>
          <t>いる；居る；残る；停止；終わる</t>
        </is>
      </c>
      <c r="F6149" t="inlineStr">
        <is>
          <t>ピタリと止まる；一瞬止まる；ようやく止まる；立止まる；ぶつかって止まる</t>
        </is>
      </c>
      <c r="H6149" t="n">
        <v>29</v>
      </c>
      <c r="I6149" t="inlineStr">
        <is>
          <t>タイムアウトを取ることができるのはプレイが止まったときだけである。；彼の心臓は止まらんばかりであったが、それは何を見たからであろうか?；彼等はその船を使って他の船を襲ったので、川の交通は事実上止まった。；開発評議会を正式な開発局とする案はあるが、提案のまま止まっている。；キリスト教は何処までも現世界を灰色に染なければ止まないであらうか。；この時ゴールしてから半時間も拍手が止まらなかったと伝えられている。；つまり模品だといふことを承知しただけに止まつて、返しはし無かつた。；過去の自分が目の前に現れたり、自分以外の時間が止まって見えたり。；夜はもう何時位であつたか知れなかつたが秋雨が止まず降り注いで居る。；余は新旧両様の芸術のためにその境界を区別するの必要を感じて止まず。；少しでも遅れていば、全国への感染は止まらなかったと考えられている。；俳優としては、自身の作品に止まらず他の監督の映画やドラマにも出演。；何らかの理由でボールの動きが止まった時にチームは点を失った。；兄の家についてみると、2人を乗せた美しい車がすでに止まっていた。；しかもその震動の影響は、なかなかこれ位のことに止まらないのである。；煙突から煙を出しながら走り、勢いがつくと止まることができなくなる。；何んでもその時の状態は三分間も彼の記憶に止まらなかったのである。；彼の名を思つても涙がにじむ程の思慕が、いつになつても止まなかつた。；これは決して一握りの机上の空論家の反対には止まらなかったのである。；かりに王にあるのではないとすれば、動きは止まってしまうであろう。；ときに周りの一座の笑いが止まらないほどになることもあったようである。；処がこの後の場合の文化危機はもはや思想水準の低下だけには止まらない。；この際に止まっていた宿で暖炉が彼の足の上に落ちてきて片足を骨折した。；時間が止まったような感じもあったが、不安とか怖さは全くなかった。；また、爆発の直前は体が光ったり、行動が止まったりすることが多い。；そのあとを追うように兄も世を去るとついに時計は止まってしまった。；しかしながら、これらのイメージは情動的には分離されているに止まる。；しかし農民たちの不満はこのような陰性的なことにだけに止まらなかった。；また、22時台には今までと同様に当駅止まりの快速が設定されている。</t>
        </is>
      </c>
      <c r="J6149">
        <f>HYPERLINK("https://www.weblio.jp/content/止まる", "词义详情")</f>
        <v/>
      </c>
      <c r="K6149">
        <f>HYPERLINK("https://yourei.jp/止まる", "查看例句")</f>
        <v/>
      </c>
    </row>
    <row r="6150">
      <c r="A6150" t="inlineStr">
        <is>
          <t>富</t>
        </is>
      </c>
      <c r="B6150" t="inlineStr">
        <is>
          <t>成功</t>
        </is>
      </c>
      <c r="C6150" t="inlineStr">
        <is>
          <t>読み方：ふう
〈夫〉⇒ふ
〈富〉⇒ふ</t>
        </is>
      </c>
      <c r="D6150" t="inlineStr">
        <is>
          <t>富桑銀行；富田城；富さん；富興；富正</t>
        </is>
      </c>
      <c r="E6150" t="inlineStr">
        <is>
          <t>財産；資産；宝；栄；盛</t>
        </is>
      </c>
      <c r="F6150" t="inlineStr">
        <is>
          <t>莫大な富；大きな富；社会的富；巨大な富；寿し富</t>
        </is>
      </c>
      <c r="G6150" t="inlineStr">
        <is>
          <t>富士；富士山；富山県；富山；富豪</t>
        </is>
      </c>
      <c r="H6150" t="n">
        <v>29</v>
      </c>
      <c r="I6150" t="inlineStr">
        <is>
          <t>従って、政府が債務を拡大させれば民間の富も拡大していくことになる。；増大する富はかつてないほど大規模で洗練された食事へとつながった。；一富は住民は自らの意志で軍に協力し、また自決したと確信していると述べた。；父王から相続した豊かな富は、宮廷での奢侈と豪奢な建築に費やされた。；商人の子として生まれ、若い頃より各国を渡り歩き、商売で富を築いた。；ちょうどその日は富の当日で、境内は大勢の人でごった返していた。；このことから富と権力の象徴でもあったとされている。；のちに富正と成重は茶臼山の家康本陣に呼ばれ、家康から叱責を受けた。；しかしその富を惜しげもなく人に与えていたので、民衆からの支持は拡大していた。；絹取引で富を築いた鑓水商人たちの屋敷が、街道に沿って軒を連ねた。；その人を得ても役さず、その地を得ても富を加えません。；ラムセス3世はこの安定の下で獲られた富をテーベでの建築活動に投入した。；プランタジネット家の諸王の富は巨大であると明確に見做されている。；ヘリコプターにおける革新は、彼の通風器の商売で築いた富を元にした。；もともと富雄川は「富の小川」とよばれ、村の東側を流れていたという。；カーネギーは戦前から製鉄業に投資しており、それが富の源泉となった。；富正は家康の重臣・本多重次の養子で秀康付きの家老となった人物である。；ショックレー自身は自らの能力にふさわしい富と権力を望んでいた。；神后の称号を持ち、この称号によって多くの富を授けられたとされる。；富は現在どこでも生み出され、同時にどこにも存在せず、外にあると主張する。；数々の塔は都市内での権力争いの名残りであり、最も力と富を持つ者が最も高い塔を建てた。；また、富の分配が最も進んでいる国家はベルギーであるとしている。；鉱物の富を首都に集めている国家は、アフリカや中東の産油国に多い。；しかし石油の富が一般市民に利益を与えていない、との批判もある。；その結果、富を求め近隣諸国を侵略していったとされるものである。；この言葉にも彼の独特の富の概念が現れている。；機械や環境も含む包括的な人間観に立って、富や価値の生産を見直すべきである。；資本主義社会では富を持った者はより大きなステータスと見られる。；市の中の巡礼教会であり、商業港に入ってくる富を祝福する教会なのである。</t>
        </is>
      </c>
      <c r="J6150">
        <f>HYPERLINK("https://www.weblio.jp/content/富", "词义详情")</f>
        <v/>
      </c>
      <c r="K6150">
        <f>HYPERLINK("https://yourei.jp/富", "查看例句")</f>
        <v/>
      </c>
    </row>
    <row r="6151">
      <c r="A6151" t="inlineStr">
        <is>
          <t>富む</t>
        </is>
      </c>
      <c r="B6151" t="inlineStr">
        <is>
          <t>成功</t>
        </is>
      </c>
      <c r="C6151" t="inlineStr">
        <is>
          <t>読み方：とむ
［動マ五（四）］
１財産が多くある。金持ちである。「—・んだ家」
２豊富にある。多くそなえている。「才知に—・む」「起伏に—・んだ土地」</t>
        </is>
      </c>
      <c r="H6151" t="n">
        <v>29</v>
      </c>
      <c r="I6151" t="inlineStr">
        <is>
          <t>世界中から優秀な学生や学者を集め、多様性に富んだ教育を行っている。；それは逆の場合よりも説得力に富み、合理的な説明であるように思えた。；波乱に富んだ歴史を持つこの市場町には多くの建造物が保存されている。；バラエティに富んでおり様々なタイプのユニットを生産することが出来る。；公園内は起伏に富んでおり、西側と比べて東側の方が高くなっている。；しかし、それらは太陽系の衛星のように変化に富んでいると考えられる。；その自由は何に由って得られるかというと智力に富むことが必要です。；山と海とで起伏に富む日本国に一本の鉄の棒を差し渡したようなものである。；迫力があり、政治性に富み、部下の面倒見が良い好人物であったという。；阿蘇の峰や谷の変化に富む地勢を落合直文によく説明してやったとある。；前よりも富むのでもなく前よりも知識があるのでもなくしておいて上げよう。；このため非常に狭い範囲でありながら、現れる地形は多様性に富んでいる。；起伏に富む地形での戦闘はイタリア半島での戦闘に近いものであった。；厚くデイサイトに富む溶岩流が山の北側と南側の斜面から広がっている。；浅海十六山・浅海十六谷と称されるほど、変化に富んだ地形をしている。；ここから、王はオシリスとなって再生復活し、永遠に富むと考えられた。；全体的に市が設置した建物はデザインに富んでおりかつ新しい物が多いのも特徴。；信長の感情に富むところと、彼のそれとは、理解しあうことができた。；結合パートナーのプロリンに富むペプチドへ結合するのが一般的である。；これが機知に富むこの国民の目にはなみなみならぬことと映ったのである。；武蔵野台地の端に位置するため起伏に富み、緑豊かな閑静な地域にある。；頭脳明晰にして覇気に富み事ある毎に第一線に立って活動する人であった。；コース全体の特徴は、地形の変化が激しく、起伏に富んでいることである。；また移籍車も採用されており、仕様的にはバラエティに富んでいる。；脱出系のゲームとしては珍しく、ストーリー性にも富んだ内容となっている。；一般に公開されている庭園内は緩やかな起伏に富み、水路が走っている。；「特に思索推理の能力に富む」と評されたのを、彼は今でも覚えていた。；その下に黄金に富むミュケーナイの財宝が隠されているのかもしれない。；彼女達に幸運だったのは、この女性が機知に富み趣味も良かったことだ。</t>
        </is>
      </c>
      <c r="J6151">
        <f>HYPERLINK("https://www.weblio.jp/content/富む", "词义详情")</f>
        <v/>
      </c>
      <c r="K6151">
        <f>HYPERLINK("https://yourei.jp/富む", "查看例句")</f>
        <v/>
      </c>
    </row>
    <row r="6152">
      <c r="A6152" t="inlineStr">
        <is>
          <t>留める</t>
        </is>
      </c>
      <c r="B6152" t="inlineStr">
        <is>
          <t>成功</t>
        </is>
      </c>
      <c r="C6152" t="inlineStr">
        <is>
          <t>読み方：とどめる
［動マ下一］［文］とど・む［マ下二］
１移動させないで、元の所にいさせる。おさえて行かせないようにする。さしとめる。「帰ろうとする客を—・める」「足を—・める」
２元の形のままで、あとに残す。元の状態を保つ。「記録に—・める」「昔の姿を—・める」「原形を—・めない」
３その程度・段階・範囲内におさめて、それから出ないようにする。「会費は一万円に—・める」「意見を聞くだけに—・める」
４注意をそこに向ける。
「目をし—・めつれば…必ず癖は見つけらるるわざに侍る」〈紫式部日記〉
５しとめる。
「日の暮れ方に至るまで、鹿一頭も—・めずして」〈曽我・八〉</t>
        </is>
      </c>
      <c r="D6152" t="inlineStr">
        <is>
          <t>留めるべき(2%)</t>
        </is>
      </c>
      <c r="E6152" t="inlineStr">
        <is>
          <t>置く；結ぶ；停止；中止；固定</t>
        </is>
      </c>
      <c r="F6152" t="inlineStr">
        <is>
          <t>繋ぎ留める；受け留める；呼び留める；突留める</t>
        </is>
      </c>
      <c r="H6152" t="n">
        <v>29</v>
      </c>
      <c r="I6152" t="inlineStr">
        <is>
          <t>一体何が起こったのか、目に留めることのできた者はこの場にはいない。；もうひとりの方と一緒の時に彼に目を留めるひとがいるでしょうか。；私も往来だからわざわざ立ち留まって底まで突き留める訳にいきません。；外部の人間が知るはずはないし、内部の人間も気に留めることはない。；ここでは特にストーリーについては述べず、重要な要素の解説に留める。；そしてこれから二人が何處へ行くのか、それを突き留めることを欲した。；子供には甘過ぎるお國は、それでもと留めるほどの母親ではありません。；この都市はドイツ植民地の建築様式を最も良く留める都市の一つである。；完全に作業を放棄した形だったが、誰も気に留める者はいなかった。；そんなことを十何遍も繰り返しているが、誰も気に留める者はいなかった。；子供には甘すぎるお国は、それでもと留めるほどの母親ではありません。；弟は目でわたくしのそばへ寄るのを留めるようにして口をききました。；よって必要な場合は、独立した記事を立ててここでは簡便な記述に留める。；そんな風であるから、どうして外の人の事に気を留める隙があろう。；もっともその瞬間、わたしはほとんど何ひとつ目に留める余裕がなかった。；おい逃げちゃいかんよ、と留める服部の手を振り払って、僕は表へ出た。；現在行われているものも、原形を留めるものは少ないといわれている。；ひとたび始まったその動きを、押し留めることができる者はいないだろう。；無事だったブレザーのボタンを留めると、何とか見られる恰好になった。；借りてから五日目に、ようやく自分の駐車場に車を留めることができた。；二人の出発が遅れたことに目を留める者もいないようだった。；そこに、誰かが現れたとしても、今の夏妃は気にも留める気はなかった。；一方で、レインビアが他人に嫌われることを気に留める様子はなかった。；弟は目でわたくしの傍へ寄るのを留めるやうにして口をあきました。；弟は目でわたくしの傍へ寄るのを留めるようにして口を利きました。；弟は目でわたくしの傍へ寄るのを留めるやうにして口を利きました。；なお、ここでは漫画版、アニメ版ともに登場した者の紹介のみに留める。；さて、授業の内容を確実に脳細胞に留めるコツを俺から一つ伝授しよう。；わたしもそれに手をふれ、今でも散歩の途中ほとんど毎日それに目を留める。</t>
        </is>
      </c>
      <c r="J6152">
        <f>HYPERLINK("https://www.weblio.jp/content/留める", "词义详情")</f>
        <v/>
      </c>
      <c r="K6152">
        <f>HYPERLINK("https://yourei.jp/留める", "查看例句")</f>
        <v/>
      </c>
    </row>
    <row r="6153">
      <c r="A6153" t="inlineStr">
        <is>
          <t>泊める</t>
        </is>
      </c>
      <c r="B6153" t="inlineStr">
        <is>
          <t>成功</t>
        </is>
      </c>
      <c r="C6153" t="inlineStr">
        <is>
          <t>読み方：とめる
［動マ下一］［文］と・む［マ下二］《「止める」と同語源》
１宿泊させる。「ひと晩—・めてもらう」
２船を停泊させる。「湾内にヨットを—・める」</t>
        </is>
      </c>
      <c r="D6153" t="inlineStr">
        <is>
          <t>収容；持ち込む；宿る</t>
        </is>
      </c>
      <c r="H6153" t="n">
        <v>29</v>
      </c>
      <c r="I6153" t="inlineStr">
        <is>
          <t>何日も何日も行ったところで、一軒のりっぱな家へ泊めてもらいました。；学生や一般向けの富士屋旅館は三食つきで五十銭から一円で泊めている。；ナビゲーターの家に船の方をお泊めするのは、よくあることなんですよ。；貴族の客をお泊めすると言うので、村長までが挨拶にくる騒ぎになった。；年が改まってからも今までのとおり時々お宮を呼んで加藤の家に泊めた。；その晩は泊めてもらい、翌日になつて僕は東京へもどつて來たのです。；たまにはナンパもされたかったろうし、男を部屋にも泊めてみたかった。；だれだって困ったときには、寺に泊めてもらうことができるはずではないか。；そうするために二人のモデルは、前夜から杵島スタジオに泊めておいた。；しばらく泊めてもらうんですから靴と同じように借りておけばいいと思いますが。；旅の人のひとりや二人を泊めてくれるに不自由のない家もあります。；念のため離して泊めておいた船へ渡る小船は向うにいったままだった。；また、夜になって親切に泊めてくれた美しい女は、実は人食い鬼だった。；わたしは二日だけ泊めて貰うことにしてすぐ働き口をみつけようと思つた。；どうも樣子が變なので、それまで二人を泊めて、返事を待つことにした。；その一方で名のある料理屋では、客の求めに応じて泊める場合がある。；すでに窓の外は暗く、わたしはもちろんこの家に泊めてもらうつもりだった。；しかしその女房が息子にいいつけてもてなさせ、その夜は泊めてくれた。；そして彼女のアパートに泊めてもらったときのことを思い出した。；男は感謝して泊めてもらうことにしたのだが、着いてみて驚いた。；お兼 でも困っていらっしゃるのだから泊めてあげようではありませんか。；その夜、わたしはこの娘をここに泊めてやり、次の朝早く外に出してやった。；四、五日パリにいて、お友達の家に泊めて頂こうと思っておりますの。；外人を泊めるために建てたのか、ここだけは洋館二階だてになっている。；友達のところに二晩ほど泊めてもらって、それからナポリにまいります。；男は別に泊めてくれなくてもいいが、部屋に冷房はあるか、と尋ねた。；すると田舎から友だちがでてきたときにも、泊めてあげられるでしょ。；また春の休みには、子供を一週間ほど泊めてもらうことなど依頼する。；しかも、現在は料亭であるのだから、めったな人は泊めないはずである。</t>
        </is>
      </c>
      <c r="J6153">
        <f>HYPERLINK("https://www.weblio.jp/content/泊める", "词义详情")</f>
        <v/>
      </c>
      <c r="K6153">
        <f>HYPERLINK("https://yourei.jp/泊める", "查看例句")</f>
        <v/>
      </c>
    </row>
    <row r="6154">
      <c r="A6154" t="inlineStr">
        <is>
          <t>止める</t>
        </is>
      </c>
      <c r="B6154" t="inlineStr">
        <is>
          <t>成功</t>
        </is>
      </c>
      <c r="C6154" t="inlineStr">
        <is>
          <t>読み方：とどめる
［動マ下一］［文］とど・む［マ下二］
１移動させないで、元の所にいさせる。おさえて行かせないようにする。さしとめる。「帰ろうとする客を—・める」「足を—・める」
２元の形のままで、あとに残す。元の状態を保つ。「記録に—・める」「昔の姿を—・める」「原形を—・めない」
３その程度・段階・範囲内におさめて、それから出ないようにする。「会費は一万円に—・める」「意見を聞くだけに—・める」
４注意をそこに向ける。
「目をし—・めつれば…必ず癖は見つけらるるわざに侍る」〈紫式部日記〉
５しとめる。
「日の暮れ方に至るまで、鹿一頭も—・めずして」〈曽我・八〉</t>
        </is>
      </c>
      <c r="D6154" t="inlineStr">
        <is>
          <t>止めるべき；止めるべく；止める間もなく；止めるよう説得；止めるよう命じ</t>
        </is>
      </c>
      <c r="E6154" t="inlineStr">
        <is>
          <t>置く；停止；中止；固定；防ぐ</t>
        </is>
      </c>
      <c r="F6154" t="inlineStr">
        <is>
          <t>仕止める；堰き止める；喰い止める；抱き止める；止めるよう懇願</t>
        </is>
      </c>
      <c r="H6154" t="n">
        <v>29</v>
      </c>
      <c r="I6154" t="inlineStr">
        <is>
          <t>未来の記憶を持つ彼らは地球の消滅を止めるために原因を探しはじめる。；しかし、結局基地の扉の破壊を止めることが出来ずに攻撃隊は撤退する。；それでも止めることを選択できない場合、それを続けるのが苦痛になる。；そのほか、手を震わせる動きをしながら自分でその手を止める癖も持つ。；また後に登場したときには、相手の時間も止めることができるようになった。；特に浮上中に息を止めることは例え一瞬であっても非常に危険である。；サンタ・アナの進軍を止めることができたのは水かさを増した川だった。；その死体は川を堰き止めるほど大きく、そのせいで湖ができたという。；私はグローバリゼーションを止めろ、旅行を禁止しろなんて言ってない。；理由はこの先の危険な戦いに進もうとするナコルルを止める為である。；すると自然と、精米歩合はその前で止める数字となっていくのである。；最も激しい動きの不随意運動であり自分では止めることはできない。；典型的な初期症状は、運動中の痛みで運動を止めると消失する特徴がある。；その頃には、帯は上衣を止めるものでしかなく、段級位は関係なかった。；標的となるタンパク質に結合して働きを止めることで薬の効果が発揮される。；そして、世界の終焉を止めるため力の復活を阻止しようとする・・・。；戦争を利用して金儲けしようとしている兄を止めるようにジュドーに頼む。；そのすぐ後、あるトラブルでケビンマスク消滅を止めることに失敗する。；またライフゲージの下に攻撃を止めるキャンセルゲージが存在している。；無暗と賤しいとか悪いから止めろと云ふやうな事を日本でも盛んに云つてゐる。；貴族の勢力が強大化し、これを押し止めることが出来なくなっていったのである。；一度刀を抜いたら相手を斬り殺すまで攻撃を止めることはない。；機械に向かって声で命令すると、特定の相手の体全体の動きを完全に止めることができる。；止めろと言われて止められるかどうかわからなかったけど。；これに腹を立てたプラ・ルワンは、父に貢ぎ物を止めるように言った。；左のスピーカの音を止めると右側のスピーカーの位置から音が聞こえる。；本来は危険であるため、病変部以外塗布することは止めるべきである。；昆虫標本は針で止めるのを標準とし、専用の針も販売されている。；最初に片頭痛が始まったとき、これを止めるのに最も効果的である。</t>
        </is>
      </c>
      <c r="J6154">
        <f>HYPERLINK("https://www.weblio.jp/content/止める", "词义详情")</f>
        <v/>
      </c>
      <c r="K6154">
        <f>HYPERLINK("https://yourei.jp/止める", "查看例句")</f>
        <v/>
      </c>
    </row>
    <row r="6155">
      <c r="A6155" t="inlineStr">
        <is>
          <t>共</t>
        </is>
      </c>
      <c r="B6155" t="inlineStr">
        <is>
          <t>成功</t>
        </is>
      </c>
      <c r="C6155" t="inlineStr">
        <is>
          <t>読み方：むた
名詞または代名詞に格助詞「の」「が」が付いた形に接続して、…とともに、…のままに、の意の副詞句をつくる。
「波の—か寄りかく寄る」〈万・一三一〉</t>
        </is>
      </c>
      <c r="D6155" t="inlineStr">
        <is>
          <t>共ニ；共創；共変；共伴；共治</t>
        </is>
      </c>
      <c r="F6155" t="inlineStr">
        <is>
          <t>名実共；わたくし共；男女共；心身共；双方共</t>
        </is>
      </c>
      <c r="G6155" t="inlineStr">
        <is>
          <t>共同；共に；共有；共演；共産党</t>
        </is>
      </c>
      <c r="H6155" t="n">
        <v>29</v>
      </c>
      <c r="I6155" t="inlineStr">
        <is>
          <t>対して幸四郎はやや反身になって、杖は両手共に下から持つ姿勢だった。；地下と各ホームを結ぶ階段から京都側は、各ホーム共に幅員がかなり狭い。；ただし、ロシア語・オランダ語・中国語・日本語共に有効な条約である。；このように最高速度・加速力共に優秀ではあったが、最高ではなかった。；放射性炭素年代を解釈する上で鍵となる概念は考古学でいう共伴である。；Eテレ版では楽曲および映像をOP・ED共に新規作成したものとなる。；テレビ・ラジオ共にインターネットでストリーミング放送が実施されている。；日中はあ27系統あ29系統共に基本的に長尺車と標準尺車が充当する。；両親共に役者で、彼女が幼いときはアトランタで演技学校を経営していた。；両絵画共に制作年は明確ではないが、1482年頃であろうと想定されている。；男女共に命名されるユニセックスな名前ではあるが、男性の方がかなり多い。；上下線共に待避線を新設する計画があったと推測される痕跡が残っている。；これにより両ホーム共にエレベーターの直接利用が可能となった。；原因を占ってみたところ二人の神官を共葬したためでないかと出た。；これからは双方共に浅井企画に所属のまま個々に活動を続けていく。；ただし、試験、営業列車共に九州方面への直通列車が設定された実績はない。；機能上の関係はなくとも強い共伴関係が存在する場合もある。；左右それぞれ1本の管となっているが、左右共に管の途中で性質が変わる。；後期型では両車共にクリアーとなったため、違いはエンブレム色のみである。；さらにその粒子の大きさ、質量共に気体の体積に比べてはるかに小さい。；アレクサンドルとナポレオンは再び共には天を戴かぬ関係へと戻った。；第40話以降、オープニング・エンディング共に映像が変更されている。；アーケード版のリリースは一旦終了したものの国内・海外共に家庭用ではリリースが続いた。；人気・実力共にアメリカを代表する役者の地位を不動のものとした。；プロジェクトから昭和生まれのメンバーは名実共に姿を消すこととなった。；隣国であるインドとの結びつきが強く、輸出・輸入共にインドが最大の相手国である。；共形群の生成子は以下のように定義される。；両ホーム共に階段側に向かってホーム柵が設置されている。；NHKは総合・教育共に基本的には深夜放送と無縁だった時代が長かった。</t>
        </is>
      </c>
      <c r="J6155">
        <f>HYPERLINK("https://www.weblio.jp/content/共", "词义详情")</f>
        <v/>
      </c>
      <c r="K6155">
        <f>HYPERLINK("https://yourei.jp/共", "查看例句")</f>
        <v/>
      </c>
    </row>
    <row r="6156">
      <c r="A6156" t="inlineStr">
        <is>
          <t>友</t>
        </is>
      </c>
      <c r="B6156" t="inlineStr">
        <is>
          <t>成功</t>
        </is>
      </c>
      <c r="C6156" t="inlineStr">
        <is>
          <t>読み方：とも
《「共」と同語源》
１いつも親しく交わっている相手。友人。朋友(ほうゆう)。ともだち。「良き—に恵まれる」
２志や目的を同じくする人。仲間。同志。「学問の—」「類は—を呼ぶ」
３ふだん好んで親しんでいるもの。「音楽を—とする」</t>
        </is>
      </c>
      <c r="D6156" t="inlineStr">
        <is>
          <t>友会(3%)；友忠；友さん；友ちゃん；友協会</t>
        </is>
      </c>
      <c r="E6156" t="inlineStr">
        <is>
          <t>友人；仲間；同士；友達；味方</t>
        </is>
      </c>
      <c r="F6156" t="inlineStr">
        <is>
          <t>わが友；親しい友；教友；よき友；剣友</t>
        </is>
      </c>
      <c r="G6156" t="inlineStr">
        <is>
          <t>友達；友だち；友情；友好；友軍</t>
        </is>
      </c>
      <c r="H6156" t="n">
        <v>29</v>
      </c>
      <c r="I6156" t="inlineStr">
        <is>
          <t>こうして世話人を務めた同期の仲間は固い絆で結ばれ一生涯の友となる。；なおこの幕友には浙江省、特に紹興出身者が多かったことで有名である。；これは神学の分野で、彼が教友の一人モファッザルに教えたものである。；しかし両者は敵対していたわけではなく交流もありよき友でもあった。；この証言は非会徒との関係で正直で公平であることを友会徒に求めてきた。；友駿は、クリプトシチーの弟を日本に導入したことを佐々木に報告した。；これを理由に、アマランサスを「人々の冬の友」と呼ぶことがあります。；当初は体育教師を志望していたが、剣友会の仕事に触れ入会を決断した。；イギリスでは友会の歴史を通じて高度の組織的な結合が見られる。；会名は「文を以って、友を会する」の意味で命名されたとされている。；たとえば『平和の王国』が友会徒の「平和の証言」の反映であるように。；イマームたちが存命中その近くにいた教友たちの意見の一致である。；友会徒は聖書に関連する内なる光に完全に同意しているわけではない。；友会徒は全ての人は神から見て平等に作られていると考えている。；歴史的にみると、すべて友会徒がすべての証言に同時に一致したわけではない。；平和主義ゆえにたびたび友会は歴史上平和教会のひとつとみなされてきた。；それを獅子の子の仕業と考え名を友切と改められ、源義朝へと譲られた。；亡き友の絵を見て歩く作曲者自身を表したとも言われるが、定かではない。；そして、かつての友であるサスケはナルトたちの前から再び消えてしまう。；この頃は、故郷に近い鹿門山に籠居し、酒と詩を友とする生活を送っていた。；家族が遺体を認めながら葬式を拒否したため、軍友が再び動いた。；丸友観光の社長である友兼は、モスラの卵を日本へ輸送することを決定する。；このため、農友会を中心にリーダー部でなくてもエールをきる機会が多い。；銀次もとても知的な男なので、当時は大滝さんのお茶の友っていうかね。；友会徒は伝統的に贅沢をするより生活に必要なものの所有に制限を加えてきた。；友は次々と自分達をかばって、あるいは数に押されて倒れていった。；預言者ムハンマドの教友には、アラブ人以外の人々も何人か確認されている。；助六は、源氏の宝刀・友切丸が紛失したままになっていることを指摘した。；その旅の内容は『雲を友として こころと感動の旅』にまとめている。</t>
        </is>
      </c>
      <c r="J6156">
        <f>HYPERLINK("https://www.weblio.jp/content/友", "词义详情")</f>
        <v/>
      </c>
      <c r="K6156">
        <f>HYPERLINK("https://yourei.jp/友", "查看例句")</f>
        <v/>
      </c>
    </row>
    <row r="6157">
      <c r="A6157" t="inlineStr">
        <is>
          <t>ともあれ</t>
        </is>
      </c>
      <c r="B6157" t="inlineStr">
        <is>
          <t>成功</t>
        </is>
      </c>
      <c r="C6157" t="inlineStr">
        <is>
          <t>［副］
１いずれにせよ。とにかく。とまれ。「—今年も無事に終わった」
２（「…はともあれ」の形で）上の事柄は別にして、一応の判断を述べるときに用いる。さておき。ともかく。とにかく。「成績は—、よく努力した」</t>
        </is>
      </c>
      <c r="D6157" t="inlineStr">
        <is>
          <t>ともあれこうして；ともあれホンダ</t>
        </is>
      </c>
      <c r="E6157" t="inlineStr">
        <is>
          <t>とにかく；少なくとも；ともかく；どうせ；先ず</t>
        </is>
      </c>
      <c r="H6157" t="n">
        <v>29</v>
      </c>
      <c r="I6157" t="inlineStr">
        <is>
          <t>ともあれここにいっさいを述べて、君自身の正しい判断に待つとしよう。；ともあれおれは次のような内容のつもりの返事をでたらめの英語で書いた。；ともあれ、出ていったまま一本のたよりもなく、その翌年も半ばすぎた。；ともあれこの種の困難は、美学の他の多くの領域においても強いものだ。；そして、なにはともあれボローニャへ行く方法を考えなければいけない。；ともあれ日本はすでにアメリカからたくさんの食糧を輸入しています。；ともあれ、女主人も専属メイドもそれぞれに納得のいく結果が出た直後。；ともあれ、架山の心の中で、みはるは次第に変ったものとなって行った。；ともあれ、家の中は彼女のためにほとんど小さな地獄の観を呈しはじめた。；なにしろ、なにはともあれ三カ月はあの子と一緒にいられるんですから。；ともあれ、それでようやく春香の緊張も少しは解けてくれたようだった。；それはともあれ、水を手に入れるためどこかに上陸はしなければならなかった。；ともあれ自分の目で見、耳で聞いた証拠を否定する頑固者はいるだろうけど。；妹の部屋で爆発があったら、なにはともあれ助けに来るのが兄の務めじゃないの?；ともあれまあそういうわけで牧場へと向かうことになったわけだが。；ともあれお二人はすでに運命の歯車のスイッチが止まった状態です。；ともあれ、われわれはアルコン人のため、一星系を確保してやったんだ。；あとはともあれ、この場では一応承知したと言わなければならないように思われた。；ともあれしばらくの間はそんな感じで他愛もない立ち話を続けていたのだが。；ともあれ他校を知らぬ私には、こうした場はよい刺激を受ける機会となった。；ともあれ、これはあとになってから人々が認めあったことである。；なにはともあれお知らせしておかなくてはと思って、と彼は言った。；ともあれ、綾子は一九七二年の夏頃には、この小説を書き始めたようである。；ともあれ、自分の背後では何一つ変化が起っていないことを見て取った。；なにはともあれ、私は有無を言わさず野営地の警備係に出頭させられた。；ともあれ、わたしはその日一日中死んだように眠っていました。；それでなにはともあれ、少年は今でも元気で、家族を持って暮らしていますよ!；ともあれ、どうせ先へ進んでも新たな敵が待ち構えているのである。；ともあれこの詩篇の内容とスタイルとは、私にしては分離できない事情である。</t>
        </is>
      </c>
      <c r="J6157">
        <f>HYPERLINK("https://www.weblio.jp/content/ともあれ", "词义详情")</f>
        <v/>
      </c>
      <c r="K6157">
        <f>HYPERLINK("https://yourei.jp/ともあれ", "查看例句")</f>
        <v/>
      </c>
    </row>
    <row r="6158">
      <c r="A6158" t="inlineStr">
        <is>
          <t>ともかく</t>
        </is>
      </c>
      <c r="B6158" t="inlineStr">
        <is>
          <t>成功</t>
        </is>
      </c>
      <c r="C6158" t="inlineStr">
        <is>
          <t>［副］
１とにかく。ともかくも。「うまくいくかどうか、—やってみよう」
２（「…はともかく」の形で）…は別として。…はさておき。「交通の便は—、閑静でいい」
[補説] 「兎も角」とも当てて書く。</t>
        </is>
      </c>
      <c r="D6158" t="inlineStr">
        <is>
          <t>ともかく一応；ともかくも無事；ともかくも一応；ともかくもお；ともかくもさあ</t>
        </is>
      </c>
      <c r="E6158" t="inlineStr">
        <is>
          <t>とにかく；どうせ；先ず；まずは；ともあれ</t>
        </is>
      </c>
      <c r="F6158" t="inlineStr">
        <is>
          <t>まあともかく；やったらともかく；くらいならともかく；言うならともかく；普段ならともかく</t>
        </is>
      </c>
      <c r="H6158" t="n">
        <v>29</v>
      </c>
      <c r="I6158" t="inlineStr">
        <is>
          <t>世の中は、みんなが思うようなものではないが、ともかく世の中なんだ。；新たな戦争を目的としたかはともかく、ドイツはスイスとも接近していた。；もちろん、よくないとはわかっていましたが、ともかくそうしたのです。；ともかくも武士の林之助を相手にして喧嘩をしては面倒だと思ったらしい。；これには何か相当の理由があるかも知れねど、ともかくも事実はそうである。；ともかく閣議決定はなされ、これにより計画は実行されることになった。；ガブリ左四つになればともかく、その他の格好だったら絶対に負けない。；消防官からは危険な時はともかく逃げてくださいとの指示があった。；それはともかく、かれの研究は生命誕生の可能性にまで達していると思われる。；女子更衣室はともかく男子更衣室は通常余り用いられていないようである。；ともかく一刻も早くレベルの高い全日本選手権で戦っておきたいと思った。；ともかくもその清七という男に二十両ばかりの金を持たせて来いと教えた。；それはともかく私はチベット行きができなくて残念でたまらなかった。；ともかくも、捕虜になったなと気がついたときは、今から十日ほど前のことだ。；ともかく彼はそんなことにはあまり患はされずに歩いて行つた。；だがともかく、ピエールはこうして父親のもとから完全に独立したのである。；したがって、デモや冗談ならともかく、実用には絶対使ってはいけない。；このふたりのもとに、幼いころはともかくも幸せな日々を送ることができたのである。；けわしい眼をした残忍の相ではあるが、ともかくも若い顔になったのである。；画期的な発明ではあったが、民間はともかく軍での採用は遅れた。；こっちでも困っている所なので、ともかくも承知して使ってみるとなかなかよく働く。；この当時には、多くの日本人は感情面はともかく、事実を知るようになっていた。；ともかくも悪いようにはしねえから、この一件はわたしに任せて置きなせえ。；しかしこの制度は決戦戦争ではともかく、持久戦争では問題が生じる。；髪はともかく、産毛の手入れに刃物ではなく紐を使う地域も少なくない。；どの道をえらぶか、ともかく、壁を伝って一まわりしてみようじゃないか。；ともかくも僕はすぐに帰郷することにして東京を出発した。；ともかく、少しでも広いほうへ進むことにしようじゃないか。；着想がいつだったかはともかく、絵が完成したのは1787年のパリであった。</t>
        </is>
      </c>
      <c r="J6158">
        <f>HYPERLINK("https://www.weblio.jp/content/ともかく", "词义详情")</f>
        <v/>
      </c>
      <c r="K6158">
        <f>HYPERLINK("https://yourei.jp/ともかく", "查看例句")</f>
        <v/>
      </c>
    </row>
    <row r="6159">
      <c r="A6159" t="inlineStr">
        <is>
          <t>共稼ぎ</t>
        </is>
      </c>
      <c r="B6159" t="inlineStr">
        <is>
          <t>成功</t>
        </is>
      </c>
      <c r="C6159" t="inlineStr">
        <is>
          <t>読み方：ともかせぎ
［名］(スル)
１ともに働いてそれぞれかせぐこと。
「千両役者もとったりもなくてかなわぬ—」〈蘆花・思出の記〉
２夫婦がそろって勤めに出て生計を立てること。共働き。「子供ができるまで—する」</t>
        </is>
      </c>
      <c r="D6159" t="inlineStr">
        <is>
          <t>共稼ぎ夫婦</t>
        </is>
      </c>
      <c r="H6159" t="n">
        <v>29</v>
      </c>
      <c r="I6159" t="inlineStr">
        <is>
          <t>夫婦共稼ぎで、少しでもたくさんの収入を得ようとしているらしかった。；山際の考えでは、共かせぎしても、生活の安定に自信がない、のである。；他国から働きに出てきた近所の夫婦者たちは、みな共稼ぎの生活をしていた。；近頃は共稼ぎの夫婦が増えて、母親たちも子供と話をする機会がないという。；朝は共かせぎ夫婦には戦場なので、妻はモノをいうひまもなさそうだった。；ただ一つの例外は、便所のすぐ左側の部屋にいた共稼ぎの夫婦だろう。；共稼ぎのときも損な立場だなあって思ったけど今はもっとひどいわ。；その時は末子は、一番遠い部屋の共稼ぎ夫婦の妻のほうが怖くなったのであった。；親子三人で共稼ぎなら、少なくとも二、三十万円の貯金はあるはずだよ。；両親が共稼ぎしていて、もう出勤してしまったのかもしれない。；妻の方では共稼ぎもあえて辞しないという心組みでいてほしいものだ。；共稼ぎであったから日曜くらいはのんびりしようと思ったのが、まずあてが外れた。；否夫婦共稼ぎは、昔から今日に至るまで我が国の大部分で盛んに遣っているのである。；つまり夫婦は共稼ぎをしているのであった。；親が共稼ぎで忙しかったから、小三の頃からわたしが夕御飯を作ってました。；秋山さんの今の月給じゃ、共稼ぎでもしなくちゃ、食べられないわ。；知らない人が見たら、少し年齢が離れているが、共稼ぎ夫婦の出勤と思うかもしれない。；若い両親は共稼ぎで暮らしも楽ではなかった。；会社の方は子供でも出来るまでは当分、共稼ぎという事になった。；夫婦共稼ぎで溜めているのなら、ゆすりがいがあるということなのだろう。；共稼ぎの普通ん家の一人っ娘でさ。；男子が独力で妻子を養うことができないための共稼ぎの必要によるものである。；家にジッとしていられないので共稼ぎに出て時間をつぶす。；相手の人格と才能とをたのみ自分も共稼ぎする覚悟でなくては選択の範囲がせまくなってしまう。；そして、学問をする人と結婚して共かせぎをするという将来の方針をも、はっきり語っているのである。；城戸は共かせぎの妻のおかげで、二十年、自分のことは自分でする癖をつけているのだ。；ここでは月給が安いので、娘も共稼ぎをしていますが、本当は娘は家にいたいのです。；しかし、このアパートに住むわかい夫婦ものの、ほとんど全部が共稼ぎであった。；それに六号室の両隣りとも、ともかせぎのお勤人だから、昼はいつもあいている。</t>
        </is>
      </c>
      <c r="J6159">
        <f>HYPERLINK("https://www.weblio.jp/content/共稼ぎ", "词义详情")</f>
        <v/>
      </c>
      <c r="K6159">
        <f>HYPERLINK("https://yourei.jp/共稼ぎ", "查看例句")</f>
        <v/>
      </c>
    </row>
    <row r="6160">
      <c r="A6160" t="inlineStr">
        <is>
          <t>友達</t>
        </is>
      </c>
      <c r="B6160" t="inlineStr">
        <is>
          <t>成功</t>
        </is>
      </c>
      <c r="C6160" t="inlineStr">
        <is>
          <t>読み方：ともだち
互いに心を許し合って、対等に交わっている人。一緒に遊んだりしゃべったりする親しい人。友人。朋友(ほうゆう)。友。「—になる」「遊び—」「飲み—」
[補説]作品名別項。→友達
[補説]2013年10月に実施した「あなたの言葉を辞書に載せよう。」キャンペーンでの「友だち」への投稿から選ばれた優秀作品。◆何年ぶりかに会っても、昨日も会ってても、その距離が変わらない存在。mine-zouさん◆遊びに行ったとき、「あいつもくればよかったのにな」と思い出す人。kawatoさん◆お金も肩も貸してくれる人。Synさん◆一緒にいて楽しいのが普通の友達。一緒にいるとお互いを高めあえるのが良い友達。一緒にいると足を引っ張るのが悪い友達。みちこさん◆無理して話さずとも沈黙が苦しくならない人。本当の自分をさらけ出し会話・相談できる心のよりどころ。かんなチャムさん◆恋人は体を裸にするが、友達は心を裸にする存在。ほーがさん◆自分の過ちをそっと指摘してくれる人。つらい時には傍で支え、喜びは共に分かち合える人。わきさん◆孤独から救ってくれる人。SACHIさん◆大人になってもあだ名で呼びあえる関係。やまけんさん◆100人作ろうと意気込むものの、10人いれば幸せな人生が送れると気づく、かけがえのないもの。だいじさんさん◆「元カレ」にも「ちょっと親しい知り合い程度の人」にも使える曖昧で都合のいい言葉。KOさん◆一般的には大事なものだが、好きな女性には言われたくない一言。「あなたとはこれからも—でいましょうね」高雄さん◆「親が知らない自分」を知っている人。kaitoさん◆自分の人生を映画にした時、エンドロールで極めて最初の方に名前が出てくる人たち。JUGENDさん◆思い込みの可能性あり。確認の取り方もよく分からない。ゆうちくさん◆一生のお願いをしてくる人。980yenさん◆夫より大事な人。おみつさん◆最近では「申請」して「承認」されなければなれない関係。smzRUMIさん</t>
        </is>
      </c>
      <c r="D6160" t="inlineStr">
        <is>
          <t>友達同士；友達づきあい；友達甲斐；友達みたい；友達仲間</t>
        </is>
      </c>
      <c r="E6160" t="inlineStr">
        <is>
          <t>友人；仲間；同士；味方；友</t>
        </is>
      </c>
      <c r="F6160" t="inlineStr">
        <is>
          <t>男友達；親しい友達；いい友達；新しい友達；幼な友達</t>
        </is>
      </c>
      <c r="G6160" t="inlineStr">
        <is>
          <t>友達の友達；友達以上恋人未満；友達登録；友達の恋人；友達でいいから</t>
        </is>
      </c>
      <c r="H6160" t="n">
        <v>29</v>
      </c>
      <c r="I6160" t="inlineStr">
        <is>
          <t>友達の家族と何家族かでバス旅行に行ったバスの中で歌った記憶がある。；周りの友達・日常を守るため、彼女はその力を受け入れていくのだった。；ペア旅行であったが、夫は仕事で都合がつかず女友達と行くことにする。；ユダヤ人の子どもにとって友達と遊ぶのに大きな影響がある命令だった。；そのため入退院の繰り返しだったことから友達はあまりいなかったという。；子役をしていた小学生時代は友達と遊ぶ機会もほとんど無かったという。；小学校の時は、女子の友達は少なく、男子とドッジボールをして遊んだ。；子供時代は友達と脚本を書いたり、衣装を作ったりして遊んだという。；何よりもラグビーを通じ沢山の友達が世界中に出来た事が一番の財産です。；かつて共に一朝に教えを受けた元弟弟子林家彦六とは喧嘩友達であった。；中学時代には単なる友達だった中山手線にある日特別な感情を持ち始める。；用意された様々なパーツを組み合わせて家族や友達などに似せて作る。；紹介される魚はその筐体で最後にプレイした時に友達にした後半の5匹のみ。；喫茶店に出入りしていた共通の友達が、三上を松村の家に連れてきた。；普段は両親と何人かのきょうだいや友達と森の中で暮らしている。；友達と遊ぶのと違い、公園・自宅前での一人遊びは放置子に見られやすい。；その人の援助を受けて友達と店を始めるが、その友達と大喧嘩して店は解散。；青年時代に多くの映画を見て、その粗筋を学校の友達に語るのを楽しんだ。；山村付近に住んでおり、近くに引っ越してきた少女サクラと友達になる。；ある日、父の友達が尋ねて来て、彼に経書の一句節に対して質問をした。；二人は、泣き出し、カーチャはこれから友達になりましょう、と言った。；友達もそういうことを言った人はいないと信じております。；friendは友達としてのメンバーのことを思って作ったとのこと。；アメリカの雑誌なんか読んでると、友達と話できないんですよね。；主人公の住む街に、前作で友達になった3人組が遊びに来ることに。；それらのカードを使い友達の魚たちを増やしていくゲームである。；中国伝統楽器を始めたきっかけはメンバーのほとんどが友達や周囲の影響だと答えている。；その後、千桜の紹介で直接会い、趣味の一致から友達兼ライバルとなった。；子供の頃は負けず嫌いな性格で友達と揉めた時に引かない所があった。</t>
        </is>
      </c>
      <c r="J6160">
        <f>HYPERLINK("https://www.weblio.jp/content/友達", "词义详情")</f>
        <v/>
      </c>
      <c r="K6160">
        <f>HYPERLINK("https://yourei.jp/友達", "查看例句")</f>
        <v/>
      </c>
    </row>
    <row r="6161">
      <c r="A6161" t="inlineStr">
        <is>
          <t>伴う</t>
        </is>
      </c>
      <c r="B6161" t="inlineStr">
        <is>
          <t>成功</t>
        </is>
      </c>
      <c r="C6161" t="inlineStr">
        <is>
          <t>読み方：ともなう
《「なう」は接尾語》
［動ワ五（ハ四）］
１
㋐一緒に行く。ついていく。「父の出張に—・って外国へ行く」
㋑ある物事に付随して別の物事が起こる。「科学技術の進歩に—・って生活が簡略化する」「危険が—・う冬山」
㋒釣り合いがとれる。「収入に—・った生活」
２
㋐一緒に連れていく。引き連れる。「妹を—・って外出する」
㋑ある物事が同時に別の物事を併せ持つ。「困難を—・う仕事」
［動ハ下二］連れていく。
「島つ鳥鵜養(うかひ)—・へ篝(かがり)さしなづさひ行けば」〈万・四一五六〉</t>
        </is>
      </c>
      <c r="D6161" t="inlineStr">
        <is>
          <t>伴う知事選挙；伴う路線再編成；伴う激しい；伴う児童数</t>
        </is>
      </c>
      <c r="E6161" t="inlineStr">
        <is>
          <t>伴い；沿って；伴って；添えて；引き連れて</t>
        </is>
      </c>
      <c r="F6161" t="inlineStr">
        <is>
          <t>伴う微小電流；伴う輸送力増強；伴う線路移設；伴う経過措置；伴う町域再編</t>
        </is>
      </c>
      <c r="H6161" t="n">
        <v>29</v>
      </c>
      <c r="I6161" t="inlineStr">
        <is>
          <t>このような元素の増加に伴い、特性に応じた分類や系統立てが行われた。；人間がタンタルを利用していることに伴う汚染が発見されたことはない。；それに伴い、この時点で本系列の運用区間は以下のように変更された。；責任とは、社会的に見て自由があることに伴って発生する概念である。；これから市場の拡大に伴って、いかに市場を握っていくかが勝負でしょう。；太陽の回転に伴って太陽内部には数十億アンペアの電流が発生している。；宇宙開発に伴ってその数は年々増え続け、対策が必要となってきている。；ページの遷移を伴わずにサーバと通信を行う技術には様々なものがある。；温度の増加に伴う種種の性質の変化は螺旋構造の崩壊の進行に比例する。；またそれに伴って精神的にも周期的に変動すると指摘されることもある。；この雪は悪臭を伴っており、通常の雪の4倍の鉄分を含んでいたという。；多くは小説の進行に伴って、主人公およびその周辺の人物の成長が描かれる。；自由な行為・選択があることに伴い、それに応じた責任が発生する。；前484年説がしばしば採用されるが、明確な根拠を伴ったものではない。；大東諸島の村制施行に伴って沖大東島は北大東村に属することになった。；会が発展するに伴ってイエズス会の活動分野は三つに絞られていった。；これらの用具を用いることで、燃焼を伴う製品ながら安全に使用できる。；証拠を伴わない散文的な意見であるが、他書でしばしば引用されている。；また、災害やその復旧に伴う線形改良で旧線が廃止となる例も存在する。；発熱や痛みは伴わないのが通例であるが、若干の痛みを伴う場合もある。；出土物を伴わない場合、土坑の用途を決めることは実はたいへん難しい。；この問題はサイトの成長に伴って発生するスケーラビリティの問題でもある。；さらに、成長に伴い使われる子供向けの楽器類なども玩具に相当する。；曲が形になればアルバムを出したいと考えていたが、実力が伴わずにいた。；これは世界の理解に一定の限界を認めることであり、不可知論を伴う。；また、子音を伴わない母音単独音を表記するための独立した文字もある。；また、近年はそれに伴う迷惑行為や犯罪、ゴミの問題が指摘されている。；番号の変更を伴わない主な改造工事には以下のようなものがある。；明治初期に行われた分割や新設に伴い、全国の令制国の数は84となった。</t>
        </is>
      </c>
      <c r="J6161">
        <f>HYPERLINK("https://www.weblio.jp/content/伴う", "词义详情")</f>
        <v/>
      </c>
      <c r="K6161">
        <f>HYPERLINK("https://yourei.jp/伴う", "查看例句")</f>
        <v/>
      </c>
    </row>
    <row r="6162">
      <c r="A6162" t="inlineStr">
        <is>
          <t>共に</t>
        </is>
      </c>
      <c r="B6162" t="inlineStr">
        <is>
          <t>成功</t>
        </is>
      </c>
      <c r="C6162" t="inlineStr">
        <is>
          <t>読み方：ともに
［連語］
１一緒にあることをするさま。また、そろって同じ状態であるさま。「父と—行く」「私も兄も—健康だ」
２あることに伴って、別のことが同時に起こるさま。「雪解けと—草木が芽吹く」</t>
        </is>
      </c>
      <c r="D6162" t="inlineStr">
        <is>
          <t>共にすること(2%)；共に過ごし；共に戦う；共に過ごす；共にしよ</t>
        </is>
      </c>
      <c r="F6162" t="inlineStr">
        <is>
          <t>食事を共に；苦楽を共に；夕食を共に；寝食を共に；仕事を共に</t>
        </is>
      </c>
      <c r="G6162" t="inlineStr">
        <is>
          <t>共に生きて；共に市民党；共に歩く；共にイエス</t>
        </is>
      </c>
      <c r="H6162" t="n">
        <v>29</v>
      </c>
      <c r="I6162" t="inlineStr">
        <is>
          <t>心臓と小腸は共に中国の五行でいうと火に属するため密接な関係を持つ。；この方向の違いを共に取り入れたのが現代の日本の花火技術である。；トヨタもヤマハもいろいろなことを共に学んだといえるのではないか。；やがて悪魔がゴルムの前に現れ、共に訪れる町を破壊するよう命じた。；肝臓と胆嚢は共に中国の五行でいうと木に属するため密接な関係を持つ。；イラストリアス級航空母艦で編成された第一空母戦隊と行動を共にした。；こういう人相の人は苦難を共にできても、歓楽はともにできないのです。；中には長さ・太さ共に1〜2cmに至る大きな陰核を持つ女性もいる。；当時は主に先輩や先生のモノマネなどで、共に校内の人気者だったという。；特に音夢に懐いており、同じ風紀委員会の中で常に行動を共にしている。；戦病死者の割合が作戦を共にした日本軍人よりも高かったといわれている。；三社線共に発着列車本数は少ないが、特に接続は考慮されていない。；しかし中国書と日本は共に尺貫法を使っていたが、単位の大きさは違っていた。；特別産業区には、以下の5区があり、共に国内外の企業を誘致している。；知り合ったホステラー同士で次の日に観光などの行動を共にすることもある。；海兵隊は海軍の艦船で共に勤務するなど、連携した活動を行っている。；女神はアンキーセースを見るとたちまち恋に落ち、彼と臥所を共にした。；哲学と宗教は共に神の存在に関連している分野である。；他のプレイヤー協力プレイをすることで、共に強い敵を倒したりすることも出来る。；二人はしばしばお互いのライブにゲスト出演し、共に演奏した。；新宿ロフトプラスワンへは共に主催・ゲストとして多数出演していた。；ただし、三人は常に行動を共にしているわけではなく、別行動を取ることも多い。；これはYost規格では2つのピンに見られるが、共に同じ信号である。；さらに翌1977年には共にブレイクし、人気を不動のものにしていく。；両者は共に同一の原典から訳されたもので一定の対応関係がある。；その頃の幼馴染に盧綰と樊噲がおり、共に後の反秦活動に参加している。；共に放送内容はNHKを中心に、民放の番組も放送している共通点がある。；その中からさらに信心業だけでなく全生活を共に行うようになるグループが生まれていった。；肺と大腸は共に中国の五行でいうと金に属するため密接な関係を持つ。</t>
        </is>
      </c>
      <c r="J6162">
        <f>HYPERLINK("https://www.weblio.jp/content/共に", "词义详情")</f>
        <v/>
      </c>
      <c r="K6162">
        <f>HYPERLINK("https://yourei.jp/共に", "查看例句")</f>
        <v/>
      </c>
    </row>
    <row r="6163">
      <c r="A6163" t="inlineStr">
        <is>
          <t>共働き</t>
        </is>
      </c>
      <c r="B6163" t="inlineStr">
        <is>
          <t>成功</t>
        </is>
      </c>
      <c r="C6163" t="inlineStr">
        <is>
          <t>読み方：ともばたらき
［名］(スル)夫婦がともに働きに出て生計を立てること。「共稼ぎ」の語感をきらってできた語。→片働き</t>
        </is>
      </c>
      <c r="D6163" t="inlineStr">
        <is>
          <t>共働き家庭(6%)；共働き世帯(5%)；共働き子育てしやすい</t>
        </is>
      </c>
      <c r="H6163" t="n">
        <v>29</v>
      </c>
      <c r="I6163" t="inlineStr">
        <is>
          <t>共働きだと思うが、最近は、ご主人をほとんど見かけたことがなかった。；大家族の長男として、共働きの両親の代わりに弟たちの世話をしていた。；両親が共働きで日曜日も働いていたため、あまり親との接点はなかった。；共働きをしたいと思ったが、支店長からの圧力で辞めざるを得なかった。；共働き生活の中でもっとも出来なかったのが長期の旅行だった。；私たちは子どもがないし、ずっと共働きできたから、この点では不足がない。；彼女たちの両親は共働きであり、多くの時間を家から離れてすごしていた。；しかしこれとて、共働きの妻なら、みなやっていることではないか。；夫より一分でも早く家に帰ろうと、駅から走って玄関に灯をつける共働きの妻。；その一方で、共働きしていたのでは出来ないことをやろうとする心の動きもあった。；両親が共働きであった為、子役時代も現場へは一人で通っていた。；子供たちが家を出て、残った夫婦が共働きをしている家庭だ。；共働きの女性が、いちばん問われているのはここのところです。；会社にも共働きの先輩はいるけれど、いずれも転勤のない職業の人を夫にしている。；共働きをしている両親は、当時からまったくの放任主義に徹していた。；共働きの近所づきあいで、いちばん重要なのは、鍵っ子がいる場合です。；当時は両親と祖母が一緒に暮らしており、共働きの両親よりも祖母になついていた。；洋子は妊娠するまで共働きをしていたが、今はずっとこの家にいる。；リサの家は共働きだったので親がいないことが多く、私はよく泊まりに行った。；共働きの両親はいつもの通りに出勤し、真奈は自宅のマンションで一人で寝ていた。；人間は神との共働によって生活し成長し信仰し救われると正教会は教える。；大家族であり、ファーディナンドの両親は共働きで家族を支えていた。；問題は、結婚後も共働きをするかどうかだったのだが、どうやら結論が出たようだ。；共働きであることは、仕事のレベルを下げることの、なんの理由にもなりません。；結婚後三年間は共働きをしたが、長男が生れると、孝子は家庭に入った。；両親が共働きだった関係で幼少期から留守番中に多くの映画やドラマを観て育つ。；共働きの意志があっても、継続出来ない場合も多々みられます。；和が何よりも重大であるがその実現は礼の共働をまたねばならぬ。；家庭の事情はほとんど聞いたことはなかったけれど、共働きということだけは聞いていた。</t>
        </is>
      </c>
      <c r="J6163">
        <f>HYPERLINK("https://www.weblio.jp/content/共働き", "词义详情")</f>
        <v/>
      </c>
      <c r="K6163">
        <f>HYPERLINK("https://yourei.jp/共働き", "查看例句")</f>
        <v/>
      </c>
    </row>
    <row r="6164">
      <c r="A6164" t="inlineStr">
        <is>
          <t>土曜日</t>
        </is>
      </c>
      <c r="B6164" t="inlineStr">
        <is>
          <t>成功</t>
        </is>
      </c>
      <c r="C6164" t="inlineStr">
        <is>
          <t>読み方：どようび
「土曜」に同じ。</t>
        </is>
      </c>
      <c r="D6164" t="inlineStr">
        <is>
          <t>土曜日午後；土曜日夜；土曜日深夜；土曜日版；土曜日ごと</t>
        </is>
      </c>
      <c r="F6164" t="inlineStr">
        <is>
          <t>最終土曜日；第一土曜日；毎土曜日；翌土曜日；隔週土曜日</t>
        </is>
      </c>
      <c r="G6164" t="inlineStr">
        <is>
          <t>土曜日の夜の虐殺；土曜日のタマネギ；土曜日の恋人；土曜日から始まる閏年；土曜日の生たまご</t>
        </is>
      </c>
      <c r="H6164" t="n">
        <v>29</v>
      </c>
      <c r="I6164" t="inlineStr">
        <is>
          <t>路線によっては現在も土曜日を独立したダイヤにしているところもある。；また、土曜日放送の回には徳永家で料理を食べるシーンが恒例になった。；平日・土曜日のみ新津駅と当駅を結ぶ区間列車も1往復設定されている。；大斎の期間中の主日および一部の土曜日には特別の名がつけられている。；その日に予定がなければ毎週土曜日夜8時から30分ほど行われている。；図書館への出入りおよび貸出は平日及び土曜日の日中に限られている。；番組は原則として放送当日の土曜日の夕方以降に完パケ収録していた。；この作品から、土曜日の再放送が放映されるようになり、以後定着した。；当興行開催の初期には、放送日が12月の第2土曜日に固定されていた。；伎楽面の展示は、作品保護のため、金曜日・土曜日のみ公開されている。；当時、ラグビーの試合はほとんど土曜日に開催されることが多かった。；これは土曜日のABCスポーツJAMの新設に伴うものとも考えられている。；とスタジオは青森放送テレビで土曜日の朝に放送されていた情報番組である。；更に生放送番組であることから小堺は毎週土曜日は大阪で朝を迎えていた。；土曜日版を始めてから3月で丸6年、アナウンサー生活が58年になる。；イベントは毎年10月の第2土曜日に開催されることになっている。；また戦前と同様の毎水曜日に加え、毎土曜日にも衛兵交代式が催された。；平日・土曜日の朝には主要駅停車の快速列車が福井行きのみ運転されている。；かつて、日本の多くの官公庁・企業・学校で土曜日は半ドンであった。；毎年11月の第一土曜日と翌日の日曜日の2日間にわたって開催される。；日本経済新聞の土曜日版に付属するNIKKEIプラス1に連載されていた。；土曜マスターコース 土曜日に1週間分の授業をこの日1日で実施する。；この頃は特集だけでなく、土曜日夕方のストレートニュースも伝えていた。；しかし、伝統的には週の最初の日は日曜日、最後の日は土曜日である。；また土曜日に大手進学塾と提携し講師を招き特別の受験指導を行っている。；土曜日の各場メイン競走を中心に中継放送している。；本作は通常の水曜日ではなく土曜日のリリースとなっている。；その後、2003年4月5日から土曜日昼13時からの放送に移動した。；土曜日の午後、恋人の純一郎が両親を連れて結婚の挨拶に訪れる。</t>
        </is>
      </c>
      <c r="J6164">
        <f>HYPERLINK("https://www.weblio.jp/content/土曜日", "词义详情")</f>
        <v/>
      </c>
      <c r="K6164">
        <f>HYPERLINK("https://yourei.jp/土曜日", "查看例句")</f>
        <v/>
      </c>
    </row>
    <row r="6165">
      <c r="A6165" t="inlineStr">
        <is>
          <t>虎</t>
        </is>
      </c>
      <c r="B6165" t="inlineStr">
        <is>
          <t>成功</t>
        </is>
      </c>
      <c r="C6165" t="inlineStr">
        <is>
          <t>読み方：こ
［常用漢字］　［音］コ（漢）　［訓］とら
〈コ〉トラ。「虎穴・虎口／騎虎・白虎(びゃっこ)・猛虎・竜虎」
〈とら〉「虎斑(とらふ)」
［名のり］たけ
［難読］虎杖(いたどり)・御虎子(おまる)・虎列剌(コレラ)・虎落(もがり)・猟虎(らっこ)</t>
        </is>
      </c>
      <c r="D6165" t="inlineStr">
        <is>
          <t>虎千代(2%)；虎嘯；虎牢；虎三；虎狩り</t>
        </is>
      </c>
      <c r="E6165" t="inlineStr">
        <is>
          <t>トラ；タイガー</t>
        </is>
      </c>
      <c r="F6165" t="inlineStr">
        <is>
          <t>政虎；高虎；剣牙虎；虎藩；剣虎</t>
        </is>
      </c>
      <c r="G6165" t="inlineStr">
        <is>
          <t>虎ノ門；虎之助；虎口；虎の子；虎視眈々</t>
        </is>
      </c>
      <c r="H6165" t="n">
        <v>29</v>
      </c>
      <c r="I6165" t="inlineStr">
        <is>
          <t>また、少し後に虎の四肢も入手し、やはり詳細な観察記録が残っている。；アニメでは童虎、春麗と共に家族のように食事をとるシーンも描かれた。；予想もしなかった政虎の出現に武田勢は驚愕し、部隊は大混乱に陥った。；ある時父と山に行った際に虎が躍り出て、今にも2人を食べようとした。；虎賁郎は本人が死んだら子が代わりに就任することとなっていた。；虎の兄弟のように、技によっては他の兄弟達が出現することもある。；はるか昔、地上は火の力を持つカジン率いる虎族に支配されていた。；事態の収拾ができず、帰国を認める代わりに親兵衛に虎退治をさせる。；過去には育児放棄された虎の仔を雌犬が保育することもあり話題となった。；高虎は城の大改修に着手し輪郭式の城郭に変貌させ、城下町を整備した。；虎の毛を描くため、刷毛に似た筆を自作するほどのこだわりようであった。；キッド達は虎フグと戦いながら、世界の海を旅していくのであった。；彼女は阪神タイガースのファンで着物に虎をあしらうなど熱狂的である。；その姿は大きな体で虎に似て、九つある首は全て人間の顔だという。；当時の人々は虎を見たことがない為、虎を1匹の大猫と看做していた。；首を元に戻せなくなった虎力大仙は命を落とし、死体も元の虎の姿に戻った。；他に虎の強さのイメージを利用した例として、虎皮を材料に利用した鎧がある。；殺し屋の一人である銅虎と対決し、自滅もあったとはいえ何とか退ける。；すると獣は一行の姿を見て逃げ出したが、それは狐ではなく虎を恐れたためである。；さらに虎月を殺すため赴いた千里邸で虎月とその孫娘・麻耶に対面する。；当初に設けられた本殿東西の蒼龍池と百虎池の二つが最も古い。；その姿は虎の体に九つの尾、顔は人間で爪は虎のものだという。；曽我物語の語り部でもあった晩年の虎女は高麗寺の近くに住んだといわれている。；道虎溝層は明らかに熱河層群よりも時代が古く、前熱河生物相と言われている。；韓国遠征では虎柄の覆面を被り、タイガーマスクを名乗ったこともあった。；腕を上げた伊良子は道場随一の剣士となり、虎眼流の後継者と目されていた。；他の古典園芸植物に見られるような覆輪や中斑、虎といったものはない。；高虎が伏見に滞在中、遊びで家を破産させた5人の家臣が出たとの報告を受ける。；また、虎斑と呼ばれる虎の斑紋を連想させる模様が現れることも特徴。</t>
        </is>
      </c>
      <c r="J6165">
        <f>HYPERLINK("https://www.weblio.jp/content/虎", "词义详情")</f>
        <v/>
      </c>
      <c r="K6165">
        <f>HYPERLINK("https://yourei.jp/虎", "查看例句")</f>
        <v/>
      </c>
    </row>
    <row r="6166">
      <c r="A6166" t="inlineStr">
        <is>
          <t>捕える</t>
        </is>
      </c>
      <c r="B6166" t="inlineStr">
        <is>
          <t>成功</t>
        </is>
      </c>
      <c r="C6166" t="inlineStr">
        <is>
          <t>読み方：とらえる
［動ア下一］［文］とら・ふ［ハ下二］
１
㋐生き物をつかまえる。捕獲する。「珍獣を—・える」「魚を—・える」
㋑逃げる人をとりおさえる。「犯人を—・える」
２離すまいと手でしっかりつかむ。「逃げる男の腕を—・える」
３
㋐ある物事を確実に自分のものとする。手に入れる。「チャンスを—・える」
㋑物事の本質・内容などを理解して自分のものとする。把握する。「意味を的確に—・える」「特徴をうまく—・える」
４感覚にはっきりと感じとる。「微妙な音の差を—・える」「レーダーが機影を—・える」
５ある部分を特にとりたてて問題とする。それにこだわる。「言葉じりを—・える」
６（「心をとらえる」「人をとらえる」などの形で）強く関心を引く。自分に引きつけて影響を与える。「若者の心を—・える」</t>
        </is>
      </c>
      <c r="D6166" t="inlineStr">
        <is>
          <t>捕えるべく；捕えるよう命じ</t>
        </is>
      </c>
      <c r="E6166" t="inlineStr">
        <is>
          <t>認識；挙げる；把握；気づく；抑える</t>
        </is>
      </c>
      <c r="F6166" t="inlineStr">
        <is>
          <t>引捕える；追い捕える</t>
        </is>
      </c>
      <c r="H6166" t="n">
        <v>29</v>
      </c>
      <c r="I6166" t="inlineStr">
        <is>
          <t>西国の海では、海で死んだ者が仲間を捕えるために現れるものだという。；自分の領土を守るためには、時の流れを鋭敏に捕える能力が必要だった。；私の心を捕えることのできる女性など、誰一人としてありませんでした。；警察は犯人を捕えることは出来ても、彼らの幸せを取り戻してやれない。；小さい魚などが知らずに近づいてくると、急に跳ね出してこれを捕える。；未熟のものにはお姿を見る事も捕える事も焼く事もぬらす事も出来ない。；伏兵は少数であったが、森の中へ逃げこむと捕えることはできなかった。；盗賊を捕えるのに、別の盗賊にやらせるほど適切なものがあるだろうか?；何とかして大佐を捕える機会がないものかと気をつけていたのだ。；この男を捕えるということは、もう僕たちの仕事の領域を越えるのです。；どうか、私の証人になって、私を襲った獣を捕えるのに協力して下さい。；軍はこういうことになれており、女を捕えるのは時間の問題だけだ。；犯人を捕えるために、彼女が何を話したかったのか知りたいんです。；ほかの青年たちと同じように、あなたも女の視線を捕える力を持っているのよ。；町の人々が彼の罪を知っており、叫びあって彼を捕えるのではないかと思われた。；が、その後のあの騒ぎのために、とうとう捕えることができなかったのだ。；町方でも苦心して捕えようとしたが、捕えることが出来なかったそうだ。；残念ながら私は現在の法律ではあなたを捕えることは出来ない。；何しろ獰猛なので捕えるために穴にはいっていくこともできなかった。；けれど、あの男はますます怒って、今度はあなたを捕えると言ってました。；きゃつを殺すか捕えるかしたやつには、間歩の二つや三つ、必ず与えるぞ!；ティリオンの娼婦を捕えており、息子の安全のために人質にすると言う。；賊を捕えるよりも、先ず君にその大仏の秘密を信じさせる必要があった。；鶏といえば、私はどの一羽にまでも近づいて行って、捕えることが出来る。；捕えられた者はすべて江戸に送られて処刑され、笹川一家はここに崩壊した。；しかし残念ながら、われわれはこの二人を捕えることはできませぬ。；あの少女ははじめから敵を大隊長と見て、殺さずに捕えるつもりだったのだ。；捕えたモンスターにアークを宿らせると特殊アイテムになったりもする。；いったい野球その他のスポーツがどうしてこれほどまでに人の心を捕えるのであろうか。</t>
        </is>
      </c>
      <c r="J6166">
        <f>HYPERLINK("https://www.weblio.jp/content/捕える", "词义详情")</f>
        <v/>
      </c>
      <c r="K6166">
        <f>HYPERLINK("https://yourei.jp/捕える", "查看例句")</f>
        <v/>
      </c>
    </row>
    <row r="6167">
      <c r="A6167" t="inlineStr">
        <is>
          <t>捉える</t>
        </is>
      </c>
      <c r="B6167" t="inlineStr">
        <is>
          <t>成功</t>
        </is>
      </c>
      <c r="C6167" t="inlineStr">
        <is>
          <t>読み方：とらえる
［動ア下一］［文］とら・ふ［ハ下二］
１
㋐生き物をつかまえる。捕獲する。「珍獣を—・える」「魚を—・える」
㋑逃げる人をとりおさえる。「犯人を—・える」
２離すまいと手でしっかりつかむ。「逃げる男の腕を—・える」
３
㋐ある物事を確実に自分のものとする。手に入れる。「チャンスを—・える」
㋑物事の本質・内容などを理解して自分のものとする。把握する。「意味を的確に—・える」「特徴をうまく—・える」
４感覚にはっきりと感じとる。「微妙な音の差を—・える」「レーダーが機影を—・える」
５ある部分を特にとりたてて問題とする。それにこだわる。「言葉じりを—・える」
６（「心をとらえる」「人をとらえる」などの形で）強く関心を引く。自分に引きつけて影響を与える。「若者の心を—・える」</t>
        </is>
      </c>
      <c r="D6167" t="inlineStr">
        <is>
          <t>捉えるべき(3%)；捉えるべく；捉える認識</t>
        </is>
      </c>
      <c r="E6167" t="inlineStr">
        <is>
          <t>納得；分かる；把握；命中；抑える</t>
        </is>
      </c>
      <c r="F6167" t="inlineStr">
        <is>
          <t>広く捉える</t>
        </is>
      </c>
      <c r="H6167" t="n">
        <v>29</v>
      </c>
      <c r="I6167" t="inlineStr">
        <is>
          <t>それら例外については文系的と捉えられることが多い学問を参照のこと。；色を捉える機器や色を表示する機器にはそれぞれのプロファイルがある。；制度的保障として捉えられることがある制度には次のようなものがある。；全ての大学に入れる共通一次試験と考えたほうがよりその姿を捉えている。；そのような実験は超光速宇宙粒子の存在を直接捉えることが可能である。；これは日本政府の、台湾を国内の一地方として捉えていたことが窺える。；戦いをゲームと捉えている節があり、チェスのようなもので作戦を指揮する。；真偽のほどは定かではないが、いかにも三人の性格をよく捉えた話である。；ただ計算物理学を、理論、実験以外の第三の分野と捉える考え方もある。；しかし、三者がそれをどう捉えているのかは不明のままである。；時間と空間の捉え方も2人の見解が大幅に相違しており、互いに衝突していた。；これは患者と分析家を一つのユニットとして捉えているという事を意味する。；このように、古代では火は物質であるとする捉え方が多かった。；専門料理は技術であり、また特に高度なものは芸術の一種と捉えられることもある。；M0クラスになると、日本の地震計観測網でも捉えられない場合がある。；一枚の絵で、若い女性と年老いた女性の二通りに捉えることができる。；スキュタレー暗号では棒の太さが鍵になっているとも捉えることもできる。；この過程を段階的に捉える試みは数多くあり、多様な説明がなされている。；主に動物や人体など動きのあるものを素早く捉える訓練として行われる。；これはちょうど映画の撮影と似ており、動きを捉えることもできる。；歴史の中での民衆の動きを捉え、アナール学派にも影響を与えているとされる。；事故の様子はカメラが捉えており、証拠はいっさい存在しなかった。；遠田はさらに、これらを番組戦略と捉え、捨て企画の放送について言及。；歴史的文脈で宗教書を捉えた時には、その来歴は当然検証の対象となる。；この「道」は言葉によって客観的に捉えることができないとされている。；一つの政治体制が放棄されたときには支配-服従関係の変化とも捉えられる。；現代では、代数学とは代数系を研究する学問のことであると捉えられている。；太陽活動の変化を捉える最も古くから続く記録は太陽黒点数の変化である。；彼の研究をそもそも一種の科学哲学の領域に属するものと捉えることもできる。</t>
        </is>
      </c>
      <c r="J6167">
        <f>HYPERLINK("https://www.weblio.jp/content/捉える", "词义详情")</f>
        <v/>
      </c>
      <c r="K6167">
        <f>HYPERLINK("https://yourei.jp/捉える", "查看例句")</f>
        <v/>
      </c>
    </row>
    <row r="6168">
      <c r="A6168" t="inlineStr">
        <is>
          <t>捕らわれる</t>
        </is>
      </c>
      <c r="B6168" t="inlineStr">
        <is>
          <t>成功</t>
        </is>
      </c>
      <c r="C6168" t="inlineStr">
        <is>
          <t>読み方：とらわれる
［動ラ下一］［文］とらは・る［ラ下二］
１つかまえられる。とらえられる。「敵に—・れる」
２固定した価値観や考え方などに拘束される。「先入観に—・れる」「目先のことに—・れる」</t>
        </is>
      </c>
      <c r="H6168" t="n">
        <v>29</v>
      </c>
      <c r="I6168" t="inlineStr">
        <is>
          <t>お生命を狙った者が捕らわれるまで、何人といえども村を出てはならん。；捕らわれているのは彼女はひとりではない、恋人も一緒にいるだろう?；この付近まで敵が来ているのなら、もう捕らわれてしまったかもしれない。；その際にしばしば地球の重力に捕らわれ、地球周辺を数周するのである。；捕らわれた多くの信徒は師の教えを否認することを拒否し火刑にされた。；ところがそれすらもできないほど、心は別のことに捕らわれていた。；「逃げろ」と言われたところで、鬼手に捕らわれた兵が聞くはずがない。；どうも疑心暗鬼に捕らわれているだけである可能性のほうが高いでしょうね。；招かれざる客人と同じで、自分たちも捕らわれた囚人ではないだろうか。；あんまり規則に捕らわれるなって言いたかったんじゃないかな、切嗣は。；それを助けたのは、一足先に来てドームに捕らわれたベルベラであった。；愛する妻の死体の傍で嘆いていたオルノーコは植民地政府に捕らわれる。；はフアン1世が解放するまでの数ヶ月間カイロで捕らわれの身となる。；結局、彼女がこの不思議な生物の手に捕らわれたことは幸運だったのだろう。；身体の奥底から突き上げてくるように性に対する興味に捕らわれる頃だ。；それを見ているうちに浅倉も口の中が乾いてゆく感覚に捕らわれた。；何もいわないでも、同じ気持ちに捕らわれていることがわかった。；誰よりも想定したくなかった最悪の敵の手に、愛する女が捕らわれている。；まるでもう捕らわれることはしまいと防御しているようにだ。；しかし、結局は失敗して捕らわれ、降参しなかったため再び釈放される。；もし、振り返れば、己の影に捕らわれてしまう、そんな気持ちさえした。；ジャンルという枠に捕らわれることがない、多彩な音楽スタイルを持つ。；彼の目はメイベルを見つめていたが、その心はもっと別のものに捕らわれていた。；ジャンルやスタイルに捕らわれない自由な音楽をクリエイトする事を好む。；それよりあんな物騒な連中に捕らわれた彼の身はどうなるのか。；弥介が大岡越前の手に捕らわれ、この中山道に放たれたのを知っていた。；パリへ戻ると、ドミニクは小さい弟がボスに捕らわれているのを知る。；危険を伴う任務が多く、敵に捕らわれたら長期間の拘束や処刑される場合がある。；しかし町を支配していたガルフという男に彼女は捕らわれてしまう。</t>
        </is>
      </c>
      <c r="J6168">
        <f>HYPERLINK("https://www.weblio.jp/content/捕らわれる", "词义详情")</f>
        <v/>
      </c>
      <c r="K6168">
        <f>HYPERLINK("https://yourei.jp/捕らわれる", "查看例句")</f>
        <v/>
      </c>
    </row>
    <row r="6169">
      <c r="A6169" t="inlineStr">
        <is>
          <t>鳥</t>
        </is>
      </c>
      <c r="B6169" t="inlineStr">
        <is>
          <t>成功</t>
        </is>
      </c>
      <c r="C6169" t="inlineStr">
        <is>
          <t>読み方：ちょう
［音］チョウ（テウ）（呉）（漢）　［訓］とり
［学習漢字］2年
〈チョウ〉とり。「鳥獣・鳥類／益鳥・花鳥・窮鳥・禽鳥(きんちょう)・禁鳥・候鳥・白鳥・飛鳥(ひちょう)・放鳥・野鳥」
〈とり（どり）〉「鳥居・鳥肌／小鳥・水鳥・椋鳥(むくどり)」
［難読］飛鳥(あすか)・善知鳥(うとう)・啄木鳥(きつつき)・鳥渡(ちょっと)・玄鳥(つばくらめ)・鳥座(とぐら)・鳥屋(とや)・時鳥(ほととぎす)・霍公鳥(ほととぎす)</t>
        </is>
      </c>
      <c r="D6169" t="inlineStr">
        <is>
          <t>鳥たち(4%)；鳥綱；鳥羽；鳥呼；鳥ども</t>
        </is>
      </c>
      <c r="E6169" t="inlineStr">
        <is>
          <t>鶏；鳥類；小鳥；ニワトリ；バード</t>
        </is>
      </c>
      <c r="F6169" t="inlineStr">
        <is>
          <t>大きな鳥；黒い鳥；巨鳥；白い鳥；鳰鳥</t>
        </is>
      </c>
      <c r="G6169" t="inlineStr">
        <is>
          <t>鳥居；鳥取県；鳥取；鳥羽；鳥肌</t>
        </is>
      </c>
      <c r="H6169" t="n">
        <v>29</v>
      </c>
      <c r="I6169" t="inlineStr">
        <is>
          <t>これは顔を鳥や魚につつかれないようにするためだったとみられている。；この鳥は、台湾に特徴的な鳥として多くの日本人には強い印象を与えた。；これで太陽系に飛び出すことを卵がかえって鳥になることにかけている。；そこで鳥の声のレコードを買ってきて、自宅で一日中流し続けていた。；旗揚げ当初から階級名には鳥の名前を冠した独得の名称が使われていた。；さらに船首には鳥の頭や怪獣の絵を描き、川の神への魔よけとしている。；ユリカモメの雛は小さく、他の鳥がひとのみにできてしまうほどである。；それゆえ、人間や鳥ではあまり行われていない歩行と考えられている。；ただし、この鳥は目もよく発達しており、夜に洞窟外に出て果実を食う。；尾の短い鳥翼類の系統のうち、最初に多様化を遂げたのが反鳥類である。；これは雁足の意味で、株の様子が鳥のガンの足のようであるからという。；くちばしは、使うことで磨耗しても、鳥が生きている限り再生していく。；すると、北から鳥の群れが飛んできて、蝗を食べ尽くしてしまいました。；好きなものは鉄道と鳥で、後者の方は特に文鳥がお気に入り、とのこと。；するとその鳥はまた群れに戻って旅を続けていったのである。；子供には・若木がおり、いずれも鳥と縁のある一族であると伝えられている。；そのインコは、例の僧が肩に乗せていたインコの弟に当たる鳥だった。；太陽を用いる鳥は、体内時計を利用して日中の太陽の移動を補正している。；さだとは赤い鳥時代にグレープが同じ事務所であったことから親しくなった。；日本では古くから知られている鳥で、古事記・日本書紀にも登場する。；鳥などがこの花床を食べるときに種子散布が起こると考えられる。；老夫婦はオオヤマツミの子で、出雲国の肥河の上流、鳥髪に住んでいた。；またペルシャの伝説に登場する巨鳥、シームルグとも近縁のものである。；一部の大規模な流行では100万羽以上の鳥が死ぬ場合もある。；神権を象徴する美しい冠をかぶった荘厳な姿で描かれ、孔雀がその聖鳥。；州鳥はコウライキジであり、中国から輸入されて地域に適応している。；平成の大合併で誕生した新しい自治体の多くが区市町村の鳥に採用している。；ハルピュイアイはタウマースの娘たちで、女の頭部に鳥の体を持っていた。；蝶番で接続された翼と尾を使って鳥のように飛ぶとされている。</t>
        </is>
      </c>
      <c r="J6169">
        <f>HYPERLINK("https://www.weblio.jp/content/鳥", "词义详情")</f>
        <v/>
      </c>
      <c r="K6169">
        <f>HYPERLINK("https://yourei.jp/鳥", "查看例句")</f>
        <v/>
      </c>
    </row>
    <row r="6170">
      <c r="A6170" t="inlineStr">
        <is>
          <t>とりあえず</t>
        </is>
      </c>
      <c r="B6170" t="inlineStr">
        <is>
          <t>成功</t>
        </is>
      </c>
      <c r="C6170" t="inlineStr">
        <is>
          <t>読み方：とりあえず
［副］
１ほかのことはさしおいて、まず第一に。なにはさておき。「—母に合格を知らせる」「—お礼まで」
２何する間もなく。すぐに。「—応急処置をして、病院へ運ぶ」
[補説] 「取り敢えずの」の形で、名詞を修飾することがある。「粘土を練って—の形にする」</t>
        </is>
      </c>
      <c r="D6170" t="inlineStr">
        <is>
          <t>とりあえずほっと；とりあえずホッ；とりあえず落ち着い；とりあえず駆けつけ；とりあえず帰る</t>
        </is>
      </c>
      <c r="E6170" t="inlineStr">
        <is>
          <t>第一；いったん；一旦；先ず；当分</t>
        </is>
      </c>
      <c r="G6170" t="inlineStr">
        <is>
          <t>とりあえず生</t>
        </is>
      </c>
      <c r="H6170" t="n">
        <v>29</v>
      </c>
      <c r="I6170" t="inlineStr">
        <is>
          <t>とりあえずだいたいのメッセージがわかったところで飛んできたんです。；警察は家族のみに面会を許したため、この日はとりあえず解散となった。；ま、とりあえずしばらくはわたしを降参させたと思わせておきましょう。；とりあえず、あの調子だと尋常じゃないことが起きたのは 確からしい。；とるものもとりあえずにぼくは服を脱ぎ、調子上々の姿を彼女に見せた。；とりあえず車を使い捨てにしないといけないのはどういうことだろう。；理由も経過も概略わかっていたが、彼はとりあえず熟慮にとりかかった。；そこで教授は、とりあえずその説明をするために出むいて来たのであった。；それから邸を出るや、とるものもとりあえず母国に向けて汽車に乗った。；その日も、どんどんとドアが叩かれたのでタバサはとりあえず無視した。；とりあえず、そこからの行動について本当のことを聞かせてもらおうか。；とりあえず自宅につれて帰り事情を聞いてみるが、記憶が失われているという。；とりあえず馬籠まで行こう、二人して半蔵を驚かそうと言うのは香蔵だ。；急に二人の力を借りねばならぬことが起り、とりあえず使いをだした次第だ。；とりあえず釣った魚を保管しておくことにし、その夜の釣りは終わった。；全部が小さいんだけど、とりあえず胸以外は妙なヴォリュームがあるんだ。；私のつもりでは別の一組は外出用と思って居たのですが、とりあえず。；とりあえず以下を設定しますが誰でも自由に変更してください。；彼らはとりあえず夏の間だけ一緒に活動しようということになった。；とりあえずフランクはゲーリングを処刑せずに監禁を続けることにした。；投稿作品の質や面白さよりも、とりあえず絵を描くことが重要視される。；とりあえず女子たちが探している間は、ここでやり過ごそうと思った。；とりあえず、いろんなことを考えてはそれを頭の中で弄びながら席についた。；自分は原稿を頼まれたのを機会に、とりあえずこの話を書いて見ることにした。；とりあえず いまのところ ちゃんと いえるのは これだけだ。；他にもっと不思議に思うことがあるような気がしたが、とりあえずの疑問が口をつく。；それでも、地方義勇兵と同程度の防御体制の構築をとりあえずは可能にした。；もちろん一同は彼の姿に驚くが、彼はとりあえず挨拶して祝いの言葉を述べた。；専用のそれでなく、とりあえずで蓋をする場合には板やお皿なども利用することがある。</t>
        </is>
      </c>
      <c r="J6170">
        <f>HYPERLINK("https://www.weblio.jp/content/とりあえず", "词义详情")</f>
        <v/>
      </c>
      <c r="K6170">
        <f>HYPERLINK("https://yourei.jp/とりあえず", "查看例句")</f>
        <v/>
      </c>
    </row>
    <row r="6171">
      <c r="A6171" t="inlineStr">
        <is>
          <t>取り上げる</t>
        </is>
      </c>
      <c r="B6171" t="inlineStr">
        <is>
          <t>成功</t>
        </is>
      </c>
      <c r="C6171" t="inlineStr">
        <is>
          <t>読み方：とりあげる
［動ガ下一］［文］とりあ・ぐ［ガ下二］
１置かれているものを手に取って持ち上げる。手に取る。「受話器を—・げる」
２申し出や意見を受け入れる。採用する。「緊急動議を—・げる」
３相手のもっているものを無理に奪う。
㋐財産・地位などを奪い取る。没収する。「田畑を—・げる」「免許を—・げる」
㋑相手の持ち物を一方的に奪う。おさえ取る。「賊の凶器を—・げる」
４税金などを取り立てる。徴収する。「会費の滞納分を—・げる」
５産婦を助けて子を産ませる。「産院で—・げてもらう」
６問題として扱う。「訴えを—・げる」
７髪を結いあげる。
「内儀さんの背後へまわって髪を—・げてやったりした」〈秋声・あらくれ〉</t>
        </is>
      </c>
      <c r="D6171" t="inlineStr">
        <is>
          <t>取り上げるべき</t>
        </is>
      </c>
      <c r="E6171" t="inlineStr">
        <is>
          <t>採用；導入；出す；使う；用いる</t>
        </is>
      </c>
      <c r="F6171" t="inlineStr">
        <is>
          <t>併せて取り上げる；幅広く取り上げる</t>
        </is>
      </c>
      <c r="H6171" t="n">
        <v>29</v>
      </c>
      <c r="I6171" t="inlineStr">
        <is>
          <t>主に地方の人々が登場するが、東京など都市部を取り上げることもある。；木造住宅において起こることが多いとされる一例をここでは取り上げる。；毎年いくつもの試みがなされているが、ここでは代表的なものを取り上げる。；こうしたことから、特集番組ではアジアの話題を取り上げることも多い。；以下に取り上げる曲でもこの手法が有効に用いられるものがある。；この項目では混乱を避けるために、作戦・戦闘のための教義を取り上げる。；ここでは、現在に至るまでの間に特に目立った動きについて取り上げる。；メンバーが一人も来日せずに日本国外で収録されたものを取り上げる。；で取り上げるすべてのリーグの予定を他局衛星波も含めて告知している。；ただし開始当初は月1回だったがその後不定期に取り上げるようになった。；輸入車も取り上げるが、扱うページ数は日本車よりも少ないことが多い。；これには相互にも開催を取り上げることで、さらに効果をあげた。；本項目では、日本語で同様の意味の名称を持つ日本国外の駅も取り上げる。；スタジオには、その回でテーマに取り上げる町の在住者たちを招いていた。；同じ病気を手術方法や治療法の違いから複数回取り上げる場合がある。；ここでは同じ区間で南を並行している下珠数屋町通についても取り上げる。；近年では交響曲をプログラムに取り上げることも増えてきている。；その時期に行かなければ見る事のできない絶景や特別な瞬間を待つ人々を取り上げる。；番組は取り上げるテーマを週替わりで定め、それに基づいた情報を伝えていた。；内容は出版関係の他に、神奈川の歴史・文化に関する事などを取り上げる。；地番整理施行地区と未施行地区があるが、本項目では両方取り上げる。；本路線は関越道・上信越道経由で運行されているが、本節で取り上げる。；小さな改修点が多いが、ここでは重要な部分のみを取り上げる。；次の州は提案された修正を取り上げることが無かった。；この題材は、その後何度かに渡ってアルボが取り上げることになる。；ただし後年には、自分たちが作った楽曲も取り上げるようになった。；本作では、ドラマで大きく取り上げることはなかった法廷劇が描かれている。；この二つの場合はハンデキャッパーはすべての金貨を帽子から取り上げる。；また1980年代からはバスに関する情報も取り上げるようになった。</t>
        </is>
      </c>
      <c r="J6171">
        <f>HYPERLINK("https://www.weblio.jp/content/取り上げる", "词义详情")</f>
        <v/>
      </c>
      <c r="K6171">
        <f>HYPERLINK("https://yourei.jp/取り上げる", "查看例句")</f>
        <v/>
      </c>
    </row>
    <row r="6172">
      <c r="A6172" t="inlineStr">
        <is>
          <t>取り扱い</t>
        </is>
      </c>
      <c r="B6172" t="inlineStr">
        <is>
          <t>成功</t>
        </is>
      </c>
      <c r="C6172" t="inlineStr">
        <is>
          <t>読み方：とりあつかい
取り扱うこと。「公平な—を受ける」「—注意」</t>
        </is>
      </c>
      <c r="D6172" t="inlineStr">
        <is>
          <t>取り扱い商品；取り扱い品目；取り扱い方法；取り扱い量；取り扱い駅</t>
        </is>
      </c>
      <c r="E6172" t="inlineStr">
        <is>
          <t>対応；サービス；扱い；操作；対処</t>
        </is>
      </c>
      <c r="F6172" t="inlineStr">
        <is>
          <t>運転取り扱い；コンテナ取り扱い；慎重な取り扱い；取り扱い店；差別的取り扱い</t>
        </is>
      </c>
      <c r="G6172" t="inlineStr">
        <is>
          <t>取り扱いマニュアル</t>
        </is>
      </c>
      <c r="H6172" t="n">
        <v>29</v>
      </c>
      <c r="I6172" t="inlineStr">
        <is>
          <t>発行終了後の取り扱いなどの詳細は、項目があるものは該当項目を参照。；ルイスは彼の取り扱いを以下の式に適用し、実験値とのよい一致を得た。；ただし、かつて力を入れていた釣り道具、楽器は取り扱いを止めている。；日本の古代生活は、此まであまりに放漫な研究態度でとり扱はれて来た。；販売は、ルノー全国ディーラー網の中での特定店舗での取り扱いとなる。；このようなディスパージョンは純粋な固体よりも取り扱いが安全である。；また、かつて同様の取り扱いをしていた事例として以下の地域がある。；このほか、指定券を購入した列車に乗り遅れた場合の取り扱いも異なる。；このため、一般国民とは異なる取り扱いがなされている面が多くある。；実際の爆発事故は製造上の欠陥か取り扱い上の問題がほとんどである。；宗教をとり扱ったくだらぬ話は世間知らずが書いたのではないかと思われた。；昔は取り扱い方法が確立していなかったため、さまざまな爆発事故が発生していた。；カトリック教徒のポーランド人らは後に対抗して異なった取り扱いをした。；仕事のほとんどは訴訟事務の取り扱いであり、味気のない日々が続いた。；ただし府中店など、建て替えをした一部店舗では取り扱いをしていない。；日本国内での取り扱いは三井物産エアロスペース株式会社が担当している。；この例外は、東京メトロの駅では、当駅と綾瀬駅のみ取り扱いであった。；取り扱い廃止後はこれらの内の南側2本に、新たに車庫が設けられた。；やはり後半の経済・金融・企業や市場関連のニュースは特に取り扱いが厚い。；日本人を動物以下に取り扱い、われわれは文明のために戦っているのだと主張している。；だから彼等はその子等を大切な人形のやうに取り扱つた。；水機関の性質上、やはり舞台で水を奇術風にとり扱ふことになるのは当然である。；旅客案内上ののりばと運転取り扱い上の番線は、北側から順に次の通り。；テンソルの定義・表示と取り扱いには、いくつかの同等な方法がある。；バックナンバーが注文できる版も、取り扱いが限定されているケースもある。；これらの中には新規発行が停止されているか、取り扱いを終了しているものもある。；桂坂地域では路線が並行する京都市営バスも同様の取り扱いを行っている。；しかし、それなら映画の場合もこれと同様に取り扱つたらいいではないか。；以上のように圧力鍋の取り扱いには特に注意すべき事項が存在する。</t>
        </is>
      </c>
      <c r="J6172">
        <f>HYPERLINK("https://www.weblio.jp/content/取り扱い", "词义详情")</f>
        <v/>
      </c>
      <c r="K6172">
        <f>HYPERLINK("https://yourei.jp/取り扱い", "查看例句")</f>
        <v/>
      </c>
    </row>
    <row r="6173">
      <c r="A6173" t="inlineStr">
        <is>
          <t>取り扱う</t>
        </is>
      </c>
      <c r="B6173" t="inlineStr">
        <is>
          <t>成功</t>
        </is>
      </c>
      <c r="C6173" t="inlineStr">
        <is>
          <t>読み方：とりあつかう
［動ワ五（ハ四）］
１物を動かしたり操作したりする。「機械を—・う」「乱暴に—・う」
２物事を処理する。とりはからう。担当する。さばく。「事務を—・う」「輸入品を—・う」
３人を世話する。もてなす。接待する。「正客として—・う」「丁重に—・う」</t>
        </is>
      </c>
      <c r="D6173" t="inlineStr">
        <is>
          <t>取り扱う専門学術団体；取り扱うべき；取り扱う自動車販売会社</t>
        </is>
      </c>
      <c r="F6173" t="inlineStr">
        <is>
          <t>幅広く取り扱う；一括して取り扱う</t>
        </is>
      </c>
      <c r="H6173" t="n">
        <v>29</v>
      </c>
      <c r="I6173" t="inlineStr">
        <is>
          <t>私はこの要素を取り扱わない作品からほとんど感動することはできない。；心や身体の病気が取り扱われているが決して本格的には描かれていない。；この時の裁判で取り扱われた事件内容であるが概要は下記の通りである。；こういう重大なことは割に小さく取り扱われるので気をつけねばならぬ。；実際に対象物を取り扱わず計算で結果を予測する手法を指して と呼ぶ。；漫画やゲームなどのキャラクターとの恋愛を取り扱った二次創作が多い。；その他にも研究・開発、土木・建設の業界向けの製品も取り扱っている。；だが私はこんな民俗学者の問題をここに取り扱おうとするのではない。；前作同様ソフトウェアを取り扱っている店舗のみでの発売となった。；これはDMMが以前からプレステージ作品を取り扱っていたからである。；この分野の概念で重要なことは、知識と教育は次のようにして取り扱われる。；また上記の通り、翌22日までに海外ではいくつかの媒体が取り扱った。；注意して読むと、ずいぶん高度な問題が取り扱われており、示唆に富む。；また直接触れないように常にゴム手袋を着用して取り扱う必要がある。；また当初はパンも取り扱っていたものの半年ほどで撤退している。；海外旅行と日本国内旅行の両方を取り扱っている日本の旅行業者である。；同じものを取り扱っている模型ではあるが、スケールが異なるのである。；近年では多数のテレビ局も中継や収録に取り扱われているイベントになった。；数百本の作品が執筆される中で、主要に取り扱われる基本的なテーマがあった。；このため当駅ではサッポロビール発着のコンテナのみを取り扱っている。；これは、少年が現実に成人と同様に取り扱われることを意味している。；まるで砂漠に一輪咲いた真紅のバラの花のように取り扱われているのだ。；しかも人類の教師の伝記は常に個人の生涯の記録として取り扱われて来た。；航空交通管制で取り扱う航空機の機数が多い空港で行われている業務である。；同社書籍だけでなく、他社商品含め広く漫画一般を取り扱う書店だった。；この項では洋画に関する記録を取り扱っていないことに注意されたい。；この2者には取り扱っている文書に差異があり、本文も多少違っている。；王たちはいつの世にあっても神々と同じように取り扱われてきた。；ブリタニカでは全ての項目が詳細に取り扱われているわけではない。</t>
        </is>
      </c>
      <c r="J6173">
        <f>HYPERLINK("https://www.weblio.jp/content/取り扱う", "词义详情")</f>
        <v/>
      </c>
      <c r="K6173">
        <f>HYPERLINK("https://yourei.jp/取り扱う", "查看例句")</f>
        <v/>
      </c>
    </row>
    <row r="6174">
      <c r="A6174" t="inlineStr">
        <is>
          <t>鳥居</t>
        </is>
      </c>
      <c r="B6174" t="inlineStr">
        <is>
          <t>成功</t>
        </is>
      </c>
      <c r="C6174" t="inlineStr">
        <is>
          <t>読み方：とりい
神社の神域を象徴する一種の門。2本の柱の上に笠木(かさぎ)を渡し、その下に貫(ぬき)を入れて柱を連結したもの。笠木の下に島木(しまぎ)のある明神鳥居の系統と、島木のない神明(しんめい)鳥居の系統に大別される。</t>
        </is>
      </c>
      <c r="D6174" t="inlineStr">
        <is>
          <t>鳥居峠；鳥居派；鳥居家；鳥居清長；鳥居看守</t>
        </is>
      </c>
      <c r="F6174" t="inlineStr">
        <is>
          <t>大鳥居；小さな鳥居；大きな鳥居；千本鳥居；赤鳥居</t>
        </is>
      </c>
      <c r="G6174" t="inlineStr">
        <is>
          <t>鳥居元忠；鳥居耀蔵；鳥居龍蔵；鳥居氏；鳥居前町</t>
        </is>
      </c>
      <c r="H6174" t="n">
        <v>29</v>
      </c>
      <c r="I6174" t="inlineStr">
        <is>
          <t>外にはかつて駅舎に掲げられていた駅名看板が鳥居状に設置されている。；これにより、補強作業に入る予定だった脇鳥居の再建も余儀なくされた。；本殿に向かって正面にある赤い鳥居はよく見ると変わった様式となっている。；玉垣には、第一殿・第五殿・第八殿の前の3箇所に鳥居を設けていた。；このため、二の鳥居は神社に立った状態で現存する唯一の鳥居である。；その下に貫を入れて柱を固定したのが一般的な鳥居の構造である。；この鳥居は空襲の被害を免れており、国の重要文化財に指定されている。；この離れ岩は八幡奈多宮の元宮であり、小さな鳥居が設置されている。；塔門は日本の鳥居に似ているが、二本の方柱に三本の横梁が渡されている。；戸隠奥社の鳥居のそばを流れ下るので、この名前が付いたといわれている。；単に木と木を縄で結んだものが鳥居の起こりであると考えられる。；この鳥居は建造されて日が浅いもので花崗岩の一本石で作られていた。；現存の靖国神社の全4基の鳥居の内では最も古いものであり、またである。；柱の土台部分にあたる亀腹石には、倒壊した鳥居の石が用いられている。；廃仏毀釈が起こる前の仏教系寺院でも鳥居が建てられ、現存する寺院もある。；当神社にある文化5年の石造りの鳥居は杉並区内では最古のものである。；再び元の参道に戻り、さらに上に上がったところに奥の院への鳥居がある。；境内まで数多くの鳥居が連なっている独特の景観が特徴の稲荷神社である。；駅の西側は海山道稲荷神社の参道があり、ホームから赤い鳥居が見える。；鳥居が遼東半島へ調査に行くチャンスを得たのは、まったくの偶然だった。；しかし境内は激しい沖縄戦の中で鳥居を残し全てが灰燼に帰してしまった。；また二の鳥居には、明治移転の際の記念碑が建てられている。；病気の友人に完走を約束していた鳥居はゴールの直後に号泣した。；ちなみに、神社の鳥居は女性の生殖器を象徴しているという説もある。；境内にはいると時間貸しの駐車場があり、その先に三の鳥居と御神門がある。；儀式の際、数千の兵はすべて鳥居の外に控えており、その場に武装した者はいなかった。；鳥居峠の戦いで敗れた後、織田軍に捕らえられて処刑されたという。；原作とは異なり、京都が舞台となっているほか鳥居のキャラクターなどにも違いが見られる。；鳥居の創作するコントは、安部公房が作品の原点だと本人は書いている。</t>
        </is>
      </c>
      <c r="J6174">
        <f>HYPERLINK("https://www.weblio.jp/content/鳥居", "词义详情")</f>
        <v/>
      </c>
      <c r="K6174">
        <f>HYPERLINK("https://yourei.jp/鳥居", "查看例句")</f>
        <v/>
      </c>
    </row>
    <row r="6175">
      <c r="A6175" t="inlineStr">
        <is>
          <t>取り入れる</t>
        </is>
      </c>
      <c r="B6175" t="inlineStr">
        <is>
          <t>成功</t>
        </is>
      </c>
      <c r="C6175" t="inlineStr">
        <is>
          <t>読み方：とりいれる
［動ラ下一］［文］とりい・る［ラ下二］
１外にあるものを取って中に入れる。とりこむ。「養分を体内に—・れる」「洗濯物を—・れる」
２他のよい点を採用する。「外国の文化を—・れる」
３（「穫り入れる」とも書く）農作物を収穫する。とりいれをする。「麦を—・れる」
４物の怪(け)が人の心身を引き入れて悩ます。
「御物の怪(け)の度々—・れ奉りしを」〈源・葵〉</t>
        </is>
      </c>
      <c r="D6175" t="inlineStr">
        <is>
          <t>取り入れるべき；取り入れるべく</t>
        </is>
      </c>
      <c r="E6175" t="inlineStr">
        <is>
          <t>採用；含む；導入；用いる；合併</t>
        </is>
      </c>
      <c r="F6175" t="inlineStr">
        <is>
          <t>いち早く取り入れる</t>
        </is>
      </c>
      <c r="H6175" t="n">
        <v>29</v>
      </c>
      <c r="I6175" t="inlineStr">
        <is>
          <t>女性にも取り組みやすいような踊りを取り入れるなど工夫されたという。；集団の文化が進むと、異なる集団は既存の技術に新しい知識を取り入れる。；彼の演奏の特徴であるスラップ奏法を取り入れるなどの新要素が存在する。；最初に設計されたコロニアルリバイバル様式は後の段階でも取り入れる。；ラットは周囲を子細に観察して作品に取り入れることに関心を持っていた。；積極的に早期教育を取り入れるのは以下のような動機が背景にある。；また音韻パターンの分析そのものに実験を取り入れるなどの試みも行っている。；フランスやドイツもLinuxを取り入れる方向で歩を進めている。；唯一の課題は社会主義的な政策をどれほど取り入れるかであった。；初のダンスを取り入れるなど新しい試みも見られたが、映像化はされていない。；中央階段から自然通風を取り入れる自然換気システムを採用している。；これは及川が監督を務める作品の演出に取り入れるギャグ要素の一つである。；環境哲学に近いが、開発の側面を取り入れるかどうかで両者は異なっている。；登場人物の感情の機微を深く描き、社会的なテーマを取り入れることが多い。；やがて文学を題材に取るようになり、晩年には宗教的な主題を取り入れるようになった。；さえずりは複雑で、さまざまな鳥の声を自分の歌に取り入れることもよくする。；近年ではEXILEのNAOTOがダンスに取り入れることで話題になる。；タイトルコールにシーズンを取り入れるようになったのはシーズン3から。；自らがルーツを持つ朝鮮の伝統音楽の要素を作品に取り入れることも多い。；家畜の多くはヨーロッパ文明を取り入れることで力を手に入れていた者達に属するものだった。；音楽を取り入れる過程には批判がなかったわけではない。；主な機能はエンジンに直接空気を取り入れることである。；そして、当時急速に普及しつつあった洋食を取り入れることを思いついた。；これらの生物は他の生物やデトリタスを摂取することで炭素を取り入れる。；従来は排除されていた河原者を取り入れることで支配の効率も上がることになった。；この光庭は周囲の部屋に外光を取り入れるためのものである。；新しいエフェクターを見つけると、何らかの形で取り入れる傾向が強い。；この演技は好評で、他の役者たちもこのスタイルを取り入れるようになった。；デザインには植物のサクション・経年変化を取り入れる試みを実行している。</t>
        </is>
      </c>
      <c r="J6175">
        <f>HYPERLINK("https://www.weblio.jp/content/取り入れる", "词义详情")</f>
        <v/>
      </c>
      <c r="K6175">
        <f>HYPERLINK("https://yourei.jp/取り入れる", "查看例句")</f>
        <v/>
      </c>
    </row>
    <row r="6176">
      <c r="A6176" t="inlineStr">
        <is>
          <t>取り替え</t>
        </is>
      </c>
      <c r="B6176" t="inlineStr">
        <is>
          <t>成功</t>
        </is>
      </c>
      <c r="C6176" t="inlineStr">
        <is>
          <t>読み方：とりかえ
１他のものと替えること。交換。「特売品は—がきかない」
２新しいものに替えること。また、そのもの。予備。「電池の—を用意する」
３立て替え。
「親共から百貫目余の—」〈浄・歌祭文〉</t>
        </is>
      </c>
      <c r="D6176" t="inlineStr">
        <is>
          <t>取り替えるべき</t>
        </is>
      </c>
      <c r="E6176" t="inlineStr">
        <is>
          <t>交換；転換；交代；変換；スイッチ</t>
        </is>
      </c>
      <c r="H6176" t="n">
        <v>29</v>
      </c>
      <c r="I6176" t="inlineStr">
        <is>
          <t>デトレフは服を冗談半分で取り替えた二人の男の話をきいたことがある。；シャツを新しいものに取り替えるとき、裸になって鏡の前に立ってみる。；これらの機器はミッションに応じて容易に取り替えることが可能である。；黒崎は仲間と車を取り替えて使うために、そこをたずねてきたのだった。；途中で何度も水を取り替えたり、稚魚が死んだりして苦労をしたという。；彼等のあるものは、生涯に情夫を何人取り替えるか分らないではないか。；取り替えたばかりの新しい鍵なので、合い鍵は一度も使ったことがない。；鍵の取り替えをしてくれる人が来た時に、そんな顔では出られないと思った。；レールに代表される、安全・安定輸送に必要な取り替え資材も不足した。；妻の留守に父親が子供のおむつを取り替えなくてはならない羽目になる。；中にはそれを捨ててしまったり、他人のものと取り替えたりしている者もいた。；生花のようにそっと取り替えられ、気づけば見たことのない品が現れる。；前方で先導していた船の旗が取り替えられ、敵を見つけた合図にかわる。；理論上はミッションごとにエンジンと燃料を取り替えることもできる。；さらにボタンは前述の日立ビルシステムのものに取り替えられた例がある。；もし取り替えられる心臓があるのだったら、その人達にあげてくれないか?；それにしても、プリンスが何度か肉体を取り替えて生き続けているとはね。；再びタイヤを取り替えるころには慎は結婚のことを忘れがちになった。；駅舎は現在、破損した壁のタイルの取り替えを伴う改装が進行中である。；それを見ていた一人の青年が自分のものと取り替えて上げる。；使用時は汚れの程度にかかわらず、こまめに取り替えることが重要である。；ヨウセイやマモノの子で、人間の子どもと取り替えられた子どものこと。；パンタグラフは当初は菱形であったが、後にZ形に取り替えられている。；代表元は同値なものでありさえすれば、他のものに取り替えることができる。；四人の子供のおむつをただの一度も取り替えたことがなかったという私の父。；いや、だから遺体同士を取り替えるんじゃビジネスにならないんだよ。；そして喉にあった左手で、アサルトライフルの弾倉を取り替えにかかる。；次々に相手を取り替えるので女たちも内心では面白くないに決まってますよ。；注文を間違えたらしく、三宅が取り替えて来いと言い出したからである。</t>
        </is>
      </c>
      <c r="J6176">
        <f>HYPERLINK("https://www.weblio.jp/content/取り替え", "词义详情")</f>
        <v/>
      </c>
      <c r="K6176">
        <f>HYPERLINK("https://yourei.jp/取り替え", "查看例句")</f>
        <v/>
      </c>
    </row>
    <row r="6177">
      <c r="A6177" t="inlineStr">
        <is>
          <t>取り替える</t>
        </is>
      </c>
      <c r="B6177" t="inlineStr">
        <is>
          <t>成功</t>
        </is>
      </c>
      <c r="C6177" t="inlineStr">
        <is>
          <t>読み方：とりかえる
［動ア下一］［文］とりか・ふ［ハ下二］
１互いに替える。相手と別のものに交換する。「友達と時計を—・える」「円をドルに—・える」
２今までのものを別のものに替える。新しいものと交換する。「衣装を—・える」「畳を—・える」
３金などを立て替える。用立てる。
「二三日の間—・へてたもれ」〈伎・壬生大念仏〉</t>
        </is>
      </c>
      <c r="D6177" t="inlineStr">
        <is>
          <t>取り替えるべき</t>
        </is>
      </c>
      <c r="E6177" t="inlineStr">
        <is>
          <t>交換；転換；交代；変換；スイッチ</t>
        </is>
      </c>
      <c r="H6177" t="n">
        <v>29</v>
      </c>
      <c r="I6177" t="inlineStr">
        <is>
          <t>デトレフは服を冗談半分で取り替えた二人の男の話をきいたことがある。；シャツを新しいものに取り替えるとき、裸になって鏡の前に立ってみる。；これらの機器はミッションに応じて容易に取り替えることが可能である。；黒崎は仲間と車を取り替えて使うために、そこをたずねてきたのだった。；途中で何度も水を取り替えたり、稚魚が死んだりして苦労をしたという。；彼等のあるものは、生涯に情夫を何人取り替えるか分らないではないか。；取り替えたばかりの新しい鍵なので、合い鍵は一度も使ったことがない。；鍵の取り替えをしてくれる人が来た時に、そんな顔では出られないと思った。；レールに代表される、安全・安定輸送に必要な取り替え資材も不足した。；妻の留守に父親が子供のおむつを取り替えなくてはならない羽目になる。；中にはそれを捨ててしまったり、他人のものと取り替えたりしている者もいた。；生花のようにそっと取り替えられ、気づけば見たことのない品が現れる。；前方で先導していた船の旗が取り替えられ、敵を見つけた合図にかわる。；理論上はミッションごとにエンジンと燃料を取り替えることもできる。；さらにボタンは前述の日立ビルシステムのものに取り替えられた例がある。；もし取り替えられる心臓があるのだったら、その人達にあげてくれないか?；それにしても、プリンスが何度か肉体を取り替えて生き続けているとはね。；再びタイヤを取り替えるころには慎は結婚のことを忘れがちになった。；駅舎は現在、破損した壁のタイルの取り替えを伴う改装が進行中である。；それを見ていた一人の青年が自分のものと取り替えて上げる。；使用時は汚れの程度にかかわらず、こまめに取り替えることが重要である。；ヨウセイやマモノの子で、人間の子どもと取り替えられた子どものこと。；パンタグラフは当初は菱形であったが、後にZ形に取り替えられている。；代表元は同値なものでありさえすれば、他のものに取り替えることができる。；四人の子供のおむつをただの一度も取り替えたことがなかったという私の父。；いや、だから遺体同士を取り替えるんじゃビジネスにならないんだよ。；そして喉にあった左手で、アサルトライフルの弾倉を取り替えにかかる。；次々に相手を取り替えるので女たちも内心では面白くないに決まってますよ。；注文を間違えたらしく、三宅が取り替えて来いと言い出したからである。</t>
        </is>
      </c>
      <c r="J6177">
        <f>HYPERLINK("https://www.weblio.jp/content/取り替える", "词义详情")</f>
        <v/>
      </c>
      <c r="K6177">
        <f>HYPERLINK("https://yourei.jp/取り替える", "查看例句")</f>
        <v/>
      </c>
    </row>
    <row r="6178">
      <c r="A6178" t="inlineStr">
        <is>
          <t>取り掛かる</t>
        </is>
      </c>
      <c r="B6178" t="inlineStr">
        <is>
          <t>成功</t>
        </is>
      </c>
      <c r="C6178" t="inlineStr">
        <is>
          <t>読み方：とりかかる
［動ラ五（四）］
１手をつける。着手する。「作業に—・る」
２すがりつく。とりすがる。
「手足に—・りて哭(な)き悲しみき」〈記・上〉
３組みつく。うってかかる。
「ものどもに—・りて、つかみこぼし給ふ」〈宇津保・国譲中〉</t>
        </is>
      </c>
      <c r="D6178" t="inlineStr">
        <is>
          <t>開始；始める；始まる；スタート；発足</t>
        </is>
      </c>
      <c r="H6178" t="n">
        <v>29</v>
      </c>
      <c r="I6178" t="inlineStr">
        <is>
          <t>次に取り掛からなければならない仕事にはまだ一日程度の余裕がある。；ジョイスは直ぐに不明となった二人の跡を探す隊の編成に取り掛かった。；パリの撮影現場ではクライマックス・シーンに取り掛かろうとしていた。；彼らは新しいアルバムの製作に取り掛かっていると見られている。；休養後、グループはスタジオに戻り新しいアルバムの制作に取り掛かる。；しかし2010年、彼女は英語アルバムデビューの作業に取り掛かった。；そのことを楽しみにしつつ、次の巻の執筆に取り掛かる準備をしている最中です。；グローヴナーは領地継承の翌年より邸宅の大規模な再建に取り掛かった。；そして、映像化される保証がないまま脚本の執筆に取り掛かった。；これを受け鉄道省は戦時型蒸気機関車の作成に取り掛かることになった。；自分の目的のためには、自分の持つ力を全て使って取り掛かる。；翌年からバンドは次のアルバムを想定した曲作りに取り掛かった。；図書館に戻り参加者の半数がウィキペディアの執筆作業に取り掛かった。；シューマンはこの曲の前にいくつかピアノ協奏曲の作曲に取り掛かっていた。；挙兵と同時に義貞は集まった一族や近隣の諸豪の編成に取り掛かった。；多元宇宙の監視を行っており、問題のある宇宙があれば抹消に取り掛かる。；青年ヘーゲル派を批判することを目指して、この著作の執筆に取り掛かった。；刑事のはずの黒河内は、余裕の表情でその男の証拠隠滅作業に取り掛かる。；新田の小説は緻密で、小説構成表を先に作成してから執筆に取り掛かっていた。；すぐに仕事に取り掛かりたいとの連絡を受けています。；制作を決めると、彼は絵に取り掛かる前に幅広い調査を開始した。；そこで私はこの際奮発して出来得る限り弟子の養成に取り掛かろうと思いました。；最初の創造に関わった人々は別の仕事に取り掛かっていった。；まさに気の遠くなるような面倒であるが、それでも取り掛からない限り一歩も前には進めない。；今度もまた私がすべて製作することに師匠からの話がありましたので、私はそれに取り掛かりました。；この多くの問題を抱えた状況で、ライマンは仕事に取り掛からねばならなかった。；一方でクビライは使節派遣と並行して、再び日本侵攻の準備に取り掛かった。；今取り掛かっているものを片付けたら直ぐに書くと言って適当にごまかした。；ジョルジュが快諾すると、皆は再びパーティーの準備に再び取り掛かる。</t>
        </is>
      </c>
      <c r="J6178">
        <f>HYPERLINK("https://www.weblio.jp/content/取り掛かる", "词义详情")</f>
        <v/>
      </c>
      <c r="K6178">
        <f>HYPERLINK("https://yourei.jp/取り掛かる", "查看例句")</f>
        <v/>
      </c>
    </row>
    <row r="6179">
      <c r="A6179" t="inlineStr">
        <is>
          <t>取り組む</t>
        </is>
      </c>
      <c r="B6179" t="inlineStr">
        <is>
          <t>成功</t>
        </is>
      </c>
      <c r="C6179" t="inlineStr">
        <is>
          <t>読み方：とりくむ
［動マ五（四）］
１互いに組み合う。とっくむ。特に、相撲で、勝負をする。「横綱と—・む」「がっぷり四つに—・む」
２全力で事にあたる。「新しい研究に—・む」
３手を取り合う。
「二人の女房は手に手を—・んで」〈太平記・一一〉</t>
        </is>
      </c>
      <c r="D6179" t="inlineStr">
        <is>
          <t>取り組むべき(3%)；取り組む意向を示し；取り組むべく；取り組む能力；取り組む児童養護施設長</t>
        </is>
      </c>
      <c r="E6179" t="inlineStr">
        <is>
          <t>向かう；対戦；対抗；向う；戦う</t>
        </is>
      </c>
      <c r="H6179" t="n">
        <v>29</v>
      </c>
      <c r="I6179" t="inlineStr">
        <is>
          <t>主人公の一人である楓からの提案で8人で課題を取り組むことになった。；高倉は本作あたりから映画に本腰を入れて取り組むようになったという。；現在は主にビデオゲームの開発と建築学の課題に取り組んでいるという。；宮沢賢治の作品を中心に児童文化活動に取り組むなどの活動を再開した。；この件の影響でバフェットたちは組織の簡略化に取り組むことになった。；蔣介石は将校の教育に熱心に取り組む一方で兵士の養成にも力を注いだ。；授業以外に学校外で取り組む様々な学びも積極的に導入していた。；日本で比較的早くインナーシティ問題に取り組んだのは神戸市であった。；しかし意欲的に治療に取り組んで回復し、ほぼ抑え込むことに成功した。；読書活動推進にも力を入れていて、ビブリオバトルにも取り組んでいる。；同時期に商品化に取り組んだ業者もあったが、販売量は伸びなかった。；何としてもヒースとそのお気に入り連中をこの問題に取り組ませるんだね。；石油会社の中では積極的に環境保護に対して取り組む姿勢を見せている。；反面興味がないことには取り組まないという割り切りの早い部分もある。；第1シーズンは一般的な凶悪犯罪の解決にフランクが取り組む姿を描く。；行財政改革に積極的に取り組んでおり、近年では以下の実績がみられる。；主に、地域と結びつきの強い高等学校とその地域の中学校が連携して取り組む。；数年間取り組んでいた交響曲第8番は彼が自ら焼却してしまっている。；大学では物理学を学び、卒業後はラジオ工場で製品設計に取り組んだ。；この経験はスポーツの振興や人材育成に取り組む上で大きな財産になった。；数値シミュレーションなどを主とした計算技術にも古くから取り組んでいる。；以降、大阪を題材とした創作劇を中心として公演活動に取り組んでいる。；日本ラリー界随一の経験と実績をもとに、後進の育成に取り組んでいる。；常に自己改善を考えるようになり弱点を強さとするように取り組むようになった。；兄がサッカーをしていたため、幼稚園の時代からサッカーに取り組んでいた。；しかしそれにしても、彼らには取り組まねばならぬ問題が多かった。；倒立振子を安定させることは広く取り組まれている工学的課題である。；ヘルバルト哲学の立場から心理学の主要な問題群に取り組む著作であった。；このため市では「つくバス」の導入や駐車場の立体化に取り組んでいる。</t>
        </is>
      </c>
      <c r="J6179">
        <f>HYPERLINK("https://www.weblio.jp/content/取り組む", "词义详情")</f>
        <v/>
      </c>
      <c r="K6179">
        <f>HYPERLINK("https://yourei.jp/取り組む", "查看例句")</f>
        <v/>
      </c>
    </row>
    <row r="6180">
      <c r="A6180" t="inlineStr">
        <is>
          <t>取り消す</t>
        </is>
      </c>
      <c r="B6180" t="inlineStr">
        <is>
          <t>成功</t>
        </is>
      </c>
      <c r="C6180" t="inlineStr">
        <is>
          <t>読み方：とりけす
［動サ五（四）］決定したことや発表したことなどをあとで打ち消す。撤回する。「発言を—・す」「注文を—・す」
[可能]とりけせる</t>
        </is>
      </c>
      <c r="D6180" t="inlineStr">
        <is>
          <t>取り消す可能性</t>
        </is>
      </c>
      <c r="H6180" t="n">
        <v>29</v>
      </c>
      <c r="I6180" t="inlineStr">
        <is>
          <t>共和党は新たな法律を制定してこの規則を取り消すことを計画している。；また、処分を受けた職員からも処分を取り消すように求める動きもある。；私はこの説を取り消す気はなく、西丸さんを唯一の例外とすべきだろう。；一度立てた名を取り消すような評判はだれがしてくれましょう。；これに対し軍はクックへの配属命令そのものを取り消すことで対応した。；誰かがそれを取り消すような命令を出さない限り、変更は出来ない。；これには、いくつかの名前の変更を取り消すことも含まれている。；後に彼女から交通違反を取り消すように頼まれるも応じない姿勢を見せた。；考え込んだガウェインは、自分の考えを取り消す、と静かに口をきいた。；私は少しぐらいの損をしても早く取り消すことを主張しました。；やってしまった事を取り消すわけには行かないんだから。；出走を取り消すべく、おそらくもう電報をロンドンへ打ったかもしれません。；私は何があってもそれは取り消すつもりはありません。；ジャクェンは、彼の名を取り消す条件でアリアを助けることを承知する。；だから今でもその宣言を取り消す気持にはなれなかった。；さっきは六組から一組へ飛んでみろ、といったが、あれは取り消す。；ゴーレムの力を目の当たりにした皇帝は考えを改め、命令を取り消す。；この一件がひとたび表沙汰になったら、顧客は予約を取り消すだろうか?；「勝手に」とありますが、自分の発言を取り消すことに許可が必要でしょうか。；自分の発言に間違いがあったかもしれないとき、その発言を取り消すことのどこが問題なのでしょうか。；政治家が失言を取り消すといった程度のことを期待しているのか。；バルスームでは、いったん約束をしたら取り消すことは許されない。；ただし、表意者に重大な過失があっても以下の場合には取り消すことができる。；同日、Maoyanは本作に付けた評価を取り消すことを発表した。；記事を取り消すというのは、どんな場合でも重大なことなんでね。；保護効果を取り消す薬はないそうなので、かける相手を間違えると大変なことになる。；しかし世界選手権は怪我の為、事前に出場を取り消す形となった。；その後は梅見月杯に登録するが、当日歩様に異常があり取り消す。；もし承知しなければ、 さきほどの赦免は取り消すことにしよう。</t>
        </is>
      </c>
      <c r="J6180">
        <f>HYPERLINK("https://www.weblio.jp/content/取り消す", "词义详情")</f>
        <v/>
      </c>
      <c r="K6180">
        <f>HYPERLINK("https://yourei.jp/取り消す", "查看例句")</f>
        <v/>
      </c>
    </row>
    <row r="6181">
      <c r="A6181" t="inlineStr">
        <is>
          <t>取り込む</t>
        </is>
      </c>
      <c r="B6181" t="inlineStr">
        <is>
          <t>成功</t>
        </is>
      </c>
      <c r="C6181" t="inlineStr">
        <is>
          <t>読み方：とりこむ
［動マ五（四）］
１外に出してある物を取って中に入れる。とりいれる。「洗濯物を—・む」「のれんを—・む」
２
㋐他のいいものを受け入れる。取り入れる。「大和絵の技法を—・む」
㋑不正な方法で金品を自分のものにする。だましとる。「店の金を—・む」
３人をまるめこむ。取り入る。「社長にうまく—・んで専務に収まる」
４不幸など、不意の出来事や急を要することなどで、忙しく落ち着かない状態になる。ごたごたする。「突然の不幸で—・んでいる」「火事騒ぎで—・んでいる」</t>
        </is>
      </c>
      <c r="D6181" t="inlineStr">
        <is>
          <t>取り込む形(3%)；取り込むべく；取り込む能力；取り込む動きも見</t>
        </is>
      </c>
      <c r="E6181" t="inlineStr">
        <is>
          <t>含む；入れる；合併；統合；提出</t>
        </is>
      </c>
      <c r="F6181" t="inlineStr">
        <is>
          <t>そのまま取り込む</t>
        </is>
      </c>
      <c r="H6181" t="n">
        <v>29</v>
      </c>
      <c r="I6181" t="inlineStr">
        <is>
          <t>目的を達成するために用いられる手段は目的の中に取り込まれている。；鉄などの金属系の元素を多数取り込んだため金属質な体表となっている。；異常時には戸袋部から冷却風を取り込むことができるようになっている。；様々な大きさのフラーレンがこのようにして金属原子を取り込んでいる。；図書館は大きく、光を取り込むため壁の多くがガラス張りになっている。；この宗教的な支柱を基盤に、さまざまな音楽を取り込んで発達してきた。；これらの文化はローマ帝国初期の宗教・社会・政治改革に取り込まれた。；映画で使われた映像を背景に取り込んでおり、映画の雰囲気を再現している。；また、文字の中に物語の一場面を取り込んだ装飾文字も現れるようになった。；環境から根へと取り込まれた窒素は導管によって地上部へと輸送される。；一方作る側もそういうものをどう取り込むかを問題にしはじめた。；ベンダー拡張の中には、のちに標準仕様として取り込まれたものもある。；これは山辺が企画立案しそれが計画に取り込まれた経緯をもつ政策である。；ジョリーはキャスト達から戦争時の体験を聞き、映画の中に取り込んだ。；その周辺には、餌を取り込むための筋肉が発達しているのが通例である。；また本作の方も、ラヴクラフトの宇宙年代記を作品内に取り込んでいる。；日本の素材を取り込んだ服作りに挑んだイノベイターといえば三宅である。；正確にいうなら、それらの洗濯物を取り込むことを忘れていたのです。；独特の特徴は、川が町の構成の中に取り込まれていることである。；開墾田を国税の中に取り込んでいくシステムの確立が図られたのである。；郊外電車であるジーベンゲビルクス鉄道を取り込んだ路線の一部である。；このため、露出場面での明るい領域をすべて取り込むことができる。；金属を取り込むことで武具に変化させて武装し、口に咥えた剣で戦う。；無敵兵士はその生命を維持するシステムとして金属を多く取り込んでいる。；ほぼ腹の中央にあり、水穀の気を取り込む働きをするとされている。；レイヨナン式のきわだった特徴は、室内に取り込まれる光の多さである。；動物は、炭素などと同様に窒素を直接生体内に取り込むことはできない。；さらにカミングスは自然や死のイメージを自作に取り込むのが好きだった。；あの刑事があなたの弟であるなら、こちらの側に取り込むことは可能でしょうか?</t>
        </is>
      </c>
      <c r="J6181">
        <f>HYPERLINK("https://www.weblio.jp/content/取り込む", "词义详情")</f>
        <v/>
      </c>
      <c r="K6181">
        <f>HYPERLINK("https://yourei.jp/取り込む", "查看例句")</f>
        <v/>
      </c>
    </row>
    <row r="6182">
      <c r="A6182" t="inlineStr">
        <is>
          <t>取り締まり</t>
        </is>
      </c>
      <c r="B6182" t="inlineStr">
        <is>
          <t>成功</t>
        </is>
      </c>
      <c r="C6182" t="inlineStr">
        <is>
          <t>読み方：とりしまり
１取り締まること。また、その人。「管内の—にあたる」
２（取締）「取締役」の略。</t>
        </is>
      </c>
      <c r="D6182" t="inlineStr">
        <is>
          <t>取り締まり強化(3%)；取り締まり対象；取り締まり等；取り締まり重点；取り締まり作戦</t>
        </is>
      </c>
      <c r="E6182" t="inlineStr">
        <is>
          <t>運営；管理；経営；指導；操作</t>
        </is>
      </c>
      <c r="F6182" t="inlineStr">
        <is>
          <t>交通取り締まり；厳しく取り締まり；麻薬取り締まり；犯罪取り締まり；速度取り締まり</t>
        </is>
      </c>
      <c r="H6182" t="n">
        <v>29</v>
      </c>
      <c r="I6182" t="inlineStr">
        <is>
          <t>取り締まりが、ほとんど行われなかったことも大きな理由の1つである。；オーストリアでも同様の法律があり、取り締まりの対象になっている。；オーストリアでも同様な法律があり、取り締まりの対象になっている。；役人としての地位は、労務者の取り締まり程度のものであったとされる。；当時は売春の取り締まりが社会的な課題となっていた時期であった。；彼は犯罪と取り締まりと両方に属する男だったのであろうか。；法律や条例が制定され警察および法廷によって取り締まりが実施される。；中国側は方針を転換し、白系ロシア人の取り締まり及び追放を開始した。；また職業安定法で取り締まりが行われ、刑事罰の対象となることがある。；彼によれば政府はフランスの病院機能を連日のように取り締まりすぎているという。；こうした中で、役者絵と相撲絵は取り締まりの外に置かれていたのである。；ただしレーダーによる取り締まりは待避場所がある区間のみ行っている。；なぜラブホテルだけが、ここまで取り締まりを受ける対象になるのだろうか。；富裕層はそのような存在を危険視し、取り締まりに警官を利用する。；そのため警察と対峙する形で独立した汚職取り締まり機関が必要とされたのである。；最近は巡回する警察官の数も増えており、取り締まりの姿勢も厳しい。；こんなことを繰り返したらいずれは取り締まりに遭う、とは彼女も思っている。；徳島藩政期には曽江口番所が置かれ出入国の取り締まりが行われていた。；彼女の事件をきっかけに姦通罪の取り締まりを強化していった。；さいたま市大宮区の中でも特に治安が悪く、取り締まりが強化されている。；その監視・取り締まり業務、沿岸海域の密漁監視にも力を入れている。；下記に該当するものは不正軽油に該当し、取り締まりの対象となる。；地方自治体の条例に基づく取り締まりは保健所もしくは警察が実施する。；市民の反発があるため、取り締まりもほとんど行われなかった。；小グループに分散し、取り締まりの網をくぐって走りつづけているのである。；そうした取り締まりは、国内での政治的意見表明や社会的な活動を萎縮させている。；基本的には、武士の取り締まりは町方役人の管轄ではないからだ。；新しい技術や戦術が導入される一方で、軍隊には取り締まりの役割が与えられている。；最近は麻薬の取り締まりも厳しくなったし、慥か法律もできたのでしょう。</t>
        </is>
      </c>
      <c r="J6182">
        <f>HYPERLINK("https://www.weblio.jp/content/取り締まり", "词义详情")</f>
        <v/>
      </c>
      <c r="K6182">
        <f>HYPERLINK("https://yourei.jp/取り締まり", "查看例句")</f>
        <v/>
      </c>
    </row>
    <row r="6183">
      <c r="A6183" t="inlineStr">
        <is>
          <t>取り締まる</t>
        </is>
      </c>
      <c r="B6183" t="inlineStr">
        <is>
          <t>成功</t>
        </is>
      </c>
      <c r="C6183" t="inlineStr">
        <is>
          <t>読み方：とりしまる
［動ラ五（四）］不正や不法が行われないように監視する。管理・監督する。「違法行為を—・る」</t>
        </is>
      </c>
      <c r="D6183" t="inlineStr">
        <is>
          <t>取り締まるべき(3%)；取り締まるべく</t>
        </is>
      </c>
      <c r="E6183" t="inlineStr">
        <is>
          <t>管理；制御；コントロール；管理する；抑える</t>
        </is>
      </c>
      <c r="H6183" t="n">
        <v>29</v>
      </c>
      <c r="I6183" t="inlineStr">
        <is>
          <t>妹分を取り締まらなくてはならない身で不都合だと言っていましたよ。；私はこのままではもう寺にいても若いお弟子たちを取り締まる力はありません。；普通に素直に読んだら個人情報を持ってる業者を取り締まろうみたいな。；でも、ただここに出入りしているというだけじゃ取り締まれないみたいね。；僧三 今あなたに去られては若いお弟子たちをだれが取り締まるのでしょう。；もっとも密貿易者とそれを取り締まる職員には甘いものとなっていた。；学生の暴力を取り締まる警察のつとめをNは立派に果たしたと思っています。；そういえば五月に俺が入院していた頃、海に行くのを取り締まろうとしていたな。；それゆえこの都市では、度量衡が厳しく定められ、取り締まられていた。；第102条は、支配的地位の濫用を取り締まることを目的としている。；そして最終的に医師の個人的な行為を取り締まる細則が存在する。；人の考えを、警察が取り締まるというのも、耕作にはふしぎな気がする。；法で取り締まることができないのは、つまり罪ではないせいだ。；だが、中華人民共和国側は留学生を取り締まろうとしなかったという。；だがこいつらは羊の群れに害をしない、おれが頭で取り締まっているからね。；犯罪行為ではないので警察屋さんも取り締まれない恐るべき男である。；当時、ドイツにおいて男性の同性愛は犯罪であり、取り締まられていた。；ただし、半年たっても改善しない企業は、積極的に取り締まっていた。；しかし認証を受けずに販売している商品が見られるため取り締まることを明らかにした。；明ではこうした偽使の対策として、中国沿岸の密貿易者を取り締まった。；で、自分や他の幹部が、情報もれを厳しく取り締まっているって言った。；恐喝まがいの行為をはじめた人達と、それを逆に取り締まる人達もいて。；しかしながら、それは長く続かず当局は集会を取り締まるようになった。；SIBはアイルランド独立を目指して活動していたを取り締まる為に設立された組織である。；われわれは十分満足しているのにきみを取り締まることのできないやつは道化者にすぎない。；警察官に取り締まられない限り、これは何度も繰り返すことができた。；太平洋戦争直後にも闇市を取り締まるため一時的に鑑札制度が再導入された。；各国の政府は人妖病患者をありとあらゆる方法で取り締まる事となる。；江戸初期にほぼすべての藩において衆道を厳しく取り締まるようになった。</t>
        </is>
      </c>
      <c r="J6183">
        <f>HYPERLINK("https://www.weblio.jp/content/取り締まる", "词义详情")</f>
        <v/>
      </c>
      <c r="K6183">
        <f>HYPERLINK("https://yourei.jp/取り締まる", "查看例句")</f>
        <v/>
      </c>
    </row>
    <row r="6184">
      <c r="A6184" t="inlineStr">
        <is>
          <t>取り調べる</t>
        </is>
      </c>
      <c r="B6184" t="inlineStr">
        <is>
          <t>成功</t>
        </is>
      </c>
      <c r="C6184" t="inlineStr">
        <is>
          <t>読み方：とりしらべる
［動バ下一］［文］とりしら・ぶ［バ下二］調査する。特に、犯罪の容疑に関して、いろいろと調べる。「原因を—・べる」「容疑者を—・べる」</t>
        </is>
      </c>
      <c r="D6184" t="inlineStr">
        <is>
          <t>調査；検査；テスト；審査；調べる</t>
        </is>
      </c>
      <c r="H6184" t="n">
        <v>29</v>
      </c>
      <c r="I6184" t="inlineStr">
        <is>
          <t>君はあとでもう一度よく取り調べるから、そのつもりでいてくれたまえ。；彼は、既に逮捕されている医師たちの取り調べを加速するよう要求した。；警察の方でもいろいろ取り調べた結果、これだけの事情は判明したのです。；これにより「大機構」は取り調べの後に解体されることになるであろう。；罪人が取り調べを受ける時でも、これだけの苦痛はなかろうと思われる。；パッツは何時間も取り調べを受けたが、ついに罪状は挙げられなかった。；彼が警官の取り調べに対して答えたのは、次の一つの事実だけだった。；取り調べを通じて、記憶と違う点や否定したい点ははっきり否定していた。；シナリオには存在した警察の取り調べのシーンは撮影もせずにカットされた。；警察はすぐさま犯人を逮捕し取り調べの結果、薬物依存症だと判明する。；国政誹謗の罪を着せられて逮捕され、厳しい取り調べを受ける事になる。；こうなると近所迷惑で、長屋中のものはみな自身番の取り調べをうけた。；その席には、立ち会いの用人も控えていて、取り調べ役に相槌を打った。；奇怪な死体をはじめて発見したという無総寺の寺男も勿論取り調べられた。；取り調べには手話通訳がついたが、晋一の言い分を警察は信じなかった。；それ以上はどうも個人の秘密に亙っておりますので取り調べかねるのですが。；彼女は取り調べ時に警察の見解と異なる証言を行なったために裁判所に呼ばれなかったのだと主張した。；捜査本部はMの取り調べや、現場捜査を終えた12月22日に解散した。；トマス・クランマーが取り調べにあたり、証拠を集めて王に提示した。；そして、オープンして二日後に警察が来てギャラリーを取り調べた。；ただし、当時の取り調べでは現場に残されていた下駄は瓢亭のものではない。；私を取り調べる気なら、ちゃんとした手続きを踏んでから出直すことだ。；その日の午後にお島さんは警察署へ呼び出されて長時間の取り調べを受けた。；警部らしい鬚男が、取り調べる筋があるから本署へ同行しろといった。；取り調べにあたった武将は田乾真といい、正に夢に見た人物であった。；取り調べを受けたラングはまたしても一切の関与を否定した。；取り調べ後、高齢のため15日おきに出頭することを条件に保釈された。；取り調べと偽って、前方のムシロをまくして一人一人小屋の中に入れた。；ピーターもニールの監督不行で司法省から取り調べを受けるはめとなる。</t>
        </is>
      </c>
      <c r="J6184">
        <f>HYPERLINK("https://www.weblio.jp/content/取り調べる", "词义详情")</f>
        <v/>
      </c>
      <c r="K6184">
        <f>HYPERLINK("https://yourei.jp/取り調べる", "查看例句")</f>
        <v/>
      </c>
    </row>
    <row r="6185">
      <c r="A6185" t="inlineStr">
        <is>
          <t>取り出す</t>
        </is>
      </c>
      <c r="B6185" t="inlineStr">
        <is>
          <t>成功</t>
        </is>
      </c>
      <c r="C6185" t="inlineStr">
        <is>
          <t>読み方：とりだす
［動サ五（四）］
１中から取って、外へ出す。「かばんからノートを—・す」
２多くの中から選び出す。「秀句を—・す」</t>
        </is>
      </c>
      <c r="D6185" t="inlineStr">
        <is>
          <t>取り出すと素早く</t>
        </is>
      </c>
      <c r="E6185" t="inlineStr">
        <is>
          <t>出す；見せる；引く；抜く；引き出す</t>
        </is>
      </c>
      <c r="H6185" t="n">
        <v>29</v>
      </c>
      <c r="I6185" t="inlineStr">
        <is>
          <t>その建物は対象形と新古典主義から取り出された複雑な設計を採用した。；煙草を取り出そうとしたのだが、先ほど盗られていたことを思い出した。；過去に墜落したUFOから取り出された物ではないかと言うことである。；その過程で、思考領域は、取り出された記憶を感覚的に再生するわけだ。；そのうちにようやく、隙間もなく何か書き埋めた一枚の紙が取り出された。；仕事を外部に取り出すとエネルギーを外部から供給する必要ができてしまう。；ほとんどのユーザーがデータを取り出す以前にサイトは閉鎖されてしまった。；そのとき彼女はそれらと一緒に取り出された一枚の紙にふと目がついたのである。；主人公はPHSを取り出すと、遥と二村に電話をかけて協力を要請する。；ポケットから手巾を取り出すことさえ、とてもできそうに思えなかった。；これは、複数の金属の輪の中にある長い金属の輪を取り出すことが目的である。；狭い瓶の首から少数のものを取り出す場合と同じ原理であることからいう。；客が座席にあるボタンを押すとカバーが開き、肉を取り出すことができる。；私は何度か、ミルヴァートンが時計を取り出すところを目にしていた。；技術=手法はそんなに孤立化されて取り出されていいものではなかった。；また、記録したデータを通信等の手段を使って外部に取り出すことはできない。；符号化したビット列から必要な階層のみを容易に取り出すことができる。；茶袋は茶の色が適当に出たときに取り出すが、最後まで入れておいてもよい。；そこで雄は飼育槽から取り出され、ほかの所に移されねばならなかった。；バイクのキーを取り出そうとしていた男が、香澄に気づいて振り返った。；その後、機械から取り出されたばねは、操作者が油の中に入れて冷やす。；取り出すと非常に黴臭いが、確かに女の着物で、是も二三種は有る様だ。；二つの眼球は取り出されて、左右それぞれの手の中に握らされていた。；出力は2段式の自由タービンに接続された3番目の軸から取り出される。；伯爵は胴衣から大きな鉄の鍵を取り出すと、小さなドアの錠をはずした。；でも、彼女が拳銃を取り出そうとしたのかどうかは、判断できない。；そのため通常のFEDより低電圧で電子を取り出すことが可能である。；また、一度泉に落とした物は二度と同じ物を取り出すことはできない。；で君は私が嗅煙草を取り出すのは一度も見たことがないだろう。</t>
        </is>
      </c>
      <c r="J6185">
        <f>HYPERLINK("https://www.weblio.jp/content/取り出す", "词义详情")</f>
        <v/>
      </c>
      <c r="K6185">
        <f>HYPERLINK("https://yourei.jp/取り出す", "查看例句")</f>
        <v/>
      </c>
    </row>
    <row r="6186">
      <c r="A6186" t="inlineStr">
        <is>
          <t>取り立てて</t>
        </is>
      </c>
      <c r="B6186" t="inlineStr">
        <is>
          <t>成功</t>
        </is>
      </c>
      <c r="C6186" t="inlineStr">
        <is>
          <t>読み方：とりたてて
［副］特別のものとして取り上げて。特に問題や話題として。多く、あとに打消しの語を伴って用いる。「—騒ぐほどのことでもない」</t>
        </is>
      </c>
      <c r="D6186" t="inlineStr">
        <is>
          <t>取り立てて目立つ(3%)；取り立てて騒ぐ；取り立てていうべき；取り立てて申し上げる；取り立てて云う</t>
        </is>
      </c>
      <c r="E6186" t="inlineStr">
        <is>
          <t>特に；特別；わざわざ；格別；敢えて</t>
        </is>
      </c>
      <c r="F6186" t="inlineStr">
        <is>
          <t>取り立てていう</t>
        </is>
      </c>
      <c r="H6186" t="n">
        <v>29</v>
      </c>
      <c r="I6186" t="inlineStr">
        <is>
          <t>特に彼の人種の事までも取り立てて考えるほどの事ではないと思われる。；物静かな、というより、取り立てて印象に残ることが何もない人だった。；そのため日常の中でこのことが取り立てて議論されることは、ほとんどない。；興奮しているのは伝わってくるが、取り立てておかしなものではない。；学校での次郎の様子には、表面取り立てて言うほどの変化はなかった。；前口上はこれ位にしておいて、実地の使用法を取り立てて御覧に入れる。；まだ辺りは明るいし、取り立てて一人で行かせられない場所とも思われないのだが。；取り立てて心配することもあるまいと、食事に取りかかることにした。；もっとも統計的には、とくに取り立てて多いわけではないのかもしれない。；薄い物もあれば厚い物もあるが、取り立てて判るほどの素材の違いはない。；今までのところ、手紙に取り立てて書くような出来事は、何も起りません。；彼らは取り立てて心を鬼にしたわけではなく、元々鬼の心を持っていたのだと私は考えている。；以上四曲いずれと言って取り立てて言うほどのものもない。；翌日の学校でも、真は誰かと取り立てて会話することなく放課後まで過ごした。；窓口業務を担当する営業課では、取り立てて変化があるわけではない。；我等の主人公は、取り立ててこれというほど立派な家柄の出ではなかった。；これまでのところ、取り立てて出席者の関心を煽る話題は出ていなかった。；フランス旅行中は取り立てていうべきことは何もなかった。；この二人は以前は取り立てて言うほどの仲ではなかった。；幸い自分には妻も子もなく、取り立てて仲良くしている友人もそんなにはいない。；だからと言って、今更取り立てて自分の寝床が欲しいとは思わないけれど。；その結果、ブラウンの任期中には取り立てて重要な成果が得られなかった。；残されていた稀覯書は、古いが取り立てて興味を惹かれるものではなかった。；どこを取り立てていうことは出来ないが、一種のチャームを持っているのである。；しかしその後は根拠が示されず、これらの意見は取り立てて重要視されなかった。；報道する事件も取り立ててない為か、バレンタイン特集をやっていた。；そのことについちゃ、別にこれと言って、取り立てて話すことなんかもないからね。；理屈がわかってしまえば、取り立てて面白いというほどのことでもなかった。；男子は取り立てて驚くこともなく、ソ連がキューバとポーランドを抑えて優勝した。</t>
        </is>
      </c>
      <c r="J6186">
        <f>HYPERLINK("https://www.weblio.jp/content/取り立てて", "词义详情")</f>
        <v/>
      </c>
      <c r="K6186">
        <f>HYPERLINK("https://yourei.jp/取り立てて", "查看例句")</f>
        <v/>
      </c>
    </row>
    <row r="6187">
      <c r="A6187" t="inlineStr">
        <is>
          <t>取り立てる</t>
        </is>
      </c>
      <c r="B6187" t="inlineStr">
        <is>
          <t>成功</t>
        </is>
      </c>
      <c r="C6187" t="inlineStr">
        <is>
          <t>読み方：とりたてる
［動タ下一］［文］とりた・つ［タ下二］
１多くの中から特別に取り上げる。「一度の失敗を—・てて責める」「—・てて言うこともない」
２大勢の中から特に選び出して用いる。抜擢する。引き立てる。「店長に—・てる」
３催促し徴収する。強制的に取る。「部屋代を—・てる」「税金を—・てる」
４取り扱う。使う。
「弓矢を—・てむとすれども」〈竹取〉
５そろえる。調える。
「しろがね、こがねの馬、さまざま色々—・てて」〈宇津保・蔵開下〉
６築く。建てる。
「金堂はそののち倒れ伏したるままにて—・つるわざもなし」〈徒然・二五〉</t>
        </is>
      </c>
      <c r="D6187" t="inlineStr">
        <is>
          <t>取り立てるべき</t>
        </is>
      </c>
      <c r="E6187" t="inlineStr">
        <is>
          <t>集める；徴収；無心；搾取；回収する</t>
        </is>
      </c>
      <c r="H6187" t="n">
        <v>29</v>
      </c>
      <c r="I6187" t="inlineStr">
        <is>
          <t>実費を取り立てるためにも、山川の所在はつかんでいなければなるまい。；小さな借家が一つついていて、その家賃を取り立てるのが私の仕事だった。；藩鎮・地方官が勝手な名目で税を取り立てることを防ぐ意味もあった。；篤は生まれ変わったのだから、貸しを取り立てる番になっていいはずだ。；警察に言えない金を取り立てる闇組織「取立屋本舗」の活躍を描いている。；主な目的は毛皮などを先住民族からヤサクとして取り立てることである。；そのくせ毎晩わたしから金を取り立てることは忘れなかった。；しかし相手が相手だから、期限を切ってきびしく取り立てるわけにはいかない。；だが、いかに彼の権威でも、理由なく楊志を取り立てるわけにはゆかない。；そして次に続く言葉もさほど、重要なことでも、取り立てることにも聞こえない。；貸した金は厳しく取り立てるが、出すものは汗もいやというほどの吝嗇である。；家の中を見ると破戸漢らしい、家賃を取り立てる男が、畳をめくつて居た。；ソレは小山の上に建てられてある寺で、その寺の端には政府の租税を取り立てる処もある。；諸葛瞻自身が姜維に代わって閻宇を取り立てるよう上奏したともいわれる。；二人ともこうした商売には似ず人のいいところがあって、貸した金もろくに取り立てることのできないような性格であった。；一、忠節を尽す者は取り立てるが、抵抗する者は自害させるか、追放せよ。；飛行場の使用料を取り立てる以外に何の関心もなさそうだ。；それを一軒一軒取り立てるのは、大仕事さね。；他のヤクザから百万円を取り立てる仕事を頼んでも、すぐ相手のほうと談合する。；貸した金はあるが、証文を焼かれたゆえ、取り立てることも出来ん。；船が戻らないか、食糧が手に入らなければ、その日に村から身代金を取り立てる。；混乱の冬木を守るウワサのアイツ、心の税金を取り立てるお金の味方!；これは、田沼も家来もやたらと賄賂を取り立てることを皮肉った歌である。；徴発とは、人が所有する物を強制的に取り立てる行為のこと。；あいつ、金を取り立てるためならなんでもするから。；また戦国大名もしばしば相撲大会を催し、優秀な者は家臣に取り立てることもあった。；これは、臨時に徴収が必要なときに、石高百石に付き、金三両を取り立てる法である。；取税人というのは政府の収税所の下請けをして、税金を取り立てる人です。；また、人を取り立てる時はその才覚を量って適切な任を授け、過ぎた位を与える事は無かった。</t>
        </is>
      </c>
      <c r="J6187">
        <f>HYPERLINK("https://www.weblio.jp/content/取り立てる", "词义详情")</f>
        <v/>
      </c>
      <c r="K6187">
        <f>HYPERLINK("https://yourei.jp/取り立てる", "查看例句")</f>
        <v/>
      </c>
    </row>
    <row r="6188">
      <c r="A6188" t="inlineStr">
        <is>
          <t>取り次ぐ</t>
        </is>
      </c>
      <c r="B6188" t="inlineStr">
        <is>
          <t>无结果</t>
        </is>
      </c>
      <c r="H6188" t="n">
        <v>0</v>
      </c>
      <c r="J6188">
        <f>HYPERLINK("https://www.weblio.jp/content/取り次ぐ", "词义详情")</f>
        <v/>
      </c>
      <c r="K6188">
        <f>HYPERLINK("https://yourei.jp/取り次ぐ", "查看例句")</f>
        <v/>
      </c>
    </row>
    <row r="6189">
      <c r="A6189" t="inlineStr">
        <is>
          <t>取り付ける</t>
        </is>
      </c>
      <c r="B6189" t="inlineStr">
        <is>
          <t>成功</t>
        </is>
      </c>
      <c r="D6189" t="inlineStr">
        <is>
          <t>取り付けるべく</t>
        </is>
      </c>
      <c r="E6189" t="inlineStr">
        <is>
          <t>設置；設定；装備；結ぶ；設備</t>
        </is>
      </c>
      <c r="F6189" t="inlineStr">
        <is>
          <t>介して取り付ける；個取り付ける</t>
        </is>
      </c>
      <c r="H6189" t="n">
        <v>29</v>
      </c>
      <c r="I6189" t="inlineStr">
        <is>
          <t>これを回避するためには小さい鏡をレンズ側に取り付ける方法などがある。；当初は全てのエンジンは発射台に取り付ける前に事前に試験を行った。；大型の設備を取り付けるためのハードポイントもいくつか用意されている。；ただし、N値計算を行った場合は、その計算結果に基づいて取り付ける。；なお、これは既存の壁の上から新たに壁を取り付ける壁面改善工事である。；取り付けた敵に倒した敵を接触させて、さらに敵を取り付ける事も可能である。；周囲には砲脚を取り付けるための八個の穴を有し、上部に砲架を積載する。；また船首像を持っている場合は取り付けることでさまざまな効果を発揮する。；また右胸のポケットに都市章を示すバッジを取り付けることがある。；好みの児童用自転車に取り付けるための後付け製品も数多く出回っている。；手術は成功したが二人は怒り博士に元の身体に戻す手術をさせる約束を取り付ける。；使用時には敵戦車の死角を利用して肉薄し、敵戦車に直接取り付ける。；これを物体に取り付けると、その物が見たことや思い出を話してくれる。；高級オーディオでは省かれたり、必要なときだけ取り付けるなどされる。；一般的には玄関に取り付けられるが、トイレなどの室内に取り付ける製品もある。；ネームプレートを右胸ポケットと平行に取り付けるのも大きな特徴である。；出発線が複数ある場合は線路ごとに取り付ける必要がある。；またバレンと呼ばれる飾りを取り付けるのも周辺の山笠にはあまりない特徴。；ボリバルはイギリスに革命の支持を取り付けるために派遣された。；特に自宅で服を作る際には、共布でボタンを作って取り付けるのが普通であった。；本銃はヘリコプターだけでなく、ボートや車両にも取り付けることができる。；改番工事と同様にブロック状の金属板を車体に取り付ける方法で施工した。；つまり、当スタジアムに屋根を新たに取り付けることを要求しているのである。；ビューアルコを取り付ける際は無限遠で精密に調整しなければならない。；また取り付ける際に強い衝撃を伴うと、その衝撃でスイッチが入ってしまうことがある。；なお椅子に取り付けるためにゴムバンドが一辺に取り付けられた製品も存在している。；エンクロージャーとはスピーカーユニットを取り付ける箱のことである。；その熱意がNBCを動かし、承諾を一気に取り付けることができました。；サプレッサーを取り付けることもできたが、消音効果は限られていた。</t>
        </is>
      </c>
      <c r="J6189">
        <f>HYPERLINK("https://www.weblio.jp/content/取り付ける", "词义详情")</f>
        <v/>
      </c>
      <c r="K6189">
        <f>HYPERLINK("https://yourei.jp/取り付ける", "查看例句")</f>
        <v/>
      </c>
    </row>
    <row r="6190">
      <c r="A6190" t="inlineStr">
        <is>
          <t>鶏肉</t>
        </is>
      </c>
      <c r="B6190" t="inlineStr">
        <is>
          <t>成功</t>
        </is>
      </c>
      <c r="C6190" t="inlineStr">
        <is>
          <t>読み方：とりにく
食用の鳥の肉。特に、鶏(にわとり)の肉。</t>
        </is>
      </c>
      <c r="D6190" t="inlineStr">
        <is>
          <t>鶏肉屋；鶏肉加工；鶏肉入り；鶏肉以外；鶏肉や魚介類</t>
        </is>
      </c>
      <c r="F6190" t="inlineStr">
        <is>
          <t>培養鶏肉</t>
        </is>
      </c>
      <c r="G6190" t="inlineStr">
        <is>
          <t>鶏肉のレモン漬け；鶏肉みたいな味</t>
        </is>
      </c>
      <c r="H6190" t="n">
        <v>29</v>
      </c>
      <c r="I6190" t="inlineStr">
        <is>
          <t>そのため、多くの人々が共通に口にすることができる肉が鶏肉である。；中国や台湾では豚肉を使うことが多いが、鶏肉・牛肉を使うものもある。；これは、卵は食べてもいいが鶏肉は仏教で禁止されていたことの影響だろう。；現在では一般に販売されるスピーディーの中で鶏肉の人気が最も高い。；アメリカ合衆国では1940年代まで鶏肉は牛肉よりも貴重品であった。；大分県などでは鶏肉を煮付けたブロック状のものが載せられたものを指す。；肉は通常仔牛肉を使用することが多いが、鶏肉を使用することもある。；マレーシアでも鶏肉を中心としたサテは代表的な料理のひとつとされている。；決まったレシピはなく、豚肉ではなく牛肉や鶏肉が使われることもある。；そのあと鶏肉を電子レンジで解凍していると、また電話のベルが鳴った。；具材はクリームシチュー同様に鶏肉や魚介類などが使われる場合が多い。；皿の上や油じみた紙片の上に、鶏肉の食いかけといっしょにのっていた。；中国では鶏肉のみで他の具を加えないのが一般的である。；昨日から出かけていたので、冷蔵庫には卵と鶏肉が少し残っているだけである。；日本では「鶏肉のカシューナッツ炒め」のように表記されることが多い。；鶏肉と鶏卵以外を材料とする丼の中にも「親子丼」と称する料理がある。；郡内には大型の鶏肉加工施設があり、州内の鶏肉生産では上位の郡である。；豚肉の代わりに鶏肉が用いられたり、筍などが加えられる場合もある。；鶏肉は骨付きを用いるのが本式であるが、骨付きでなければならないわけでもない。；だが母はなんと、鶏肉を手に入れて戻って来たではないか。；生れて初めて、生の鶏肉を食べた、初めて河豚を食べたときのやうな味だつた。；それ以外にも鶏肉や素食のために大豆製品から作られた素肉鬆などがある。；その他に、カラスの肉は鶏肉と比較して、鉄分が高いことが分かっている。；それでも実際には、名称を変えて鶏肉屋などで堂々と売られていた。；カウンターの奥で、気難しい顔をした男が串に刺した鶏肉を焙っていた。；長丁場のツアーを乗り切る目的で、鶏肉や魚なども口にするようになっていた。；市中で鶏肉を買うと筋が抜いてないから料理するに面倒だ。；多くの場合、魚・牛肉・鶏肉や調理された野菜を副菜にして一緒に食べる。；ショートケーキや鶏肉など、料理のほとんどは母親が作ってくれた。</t>
        </is>
      </c>
      <c r="J6190">
        <f>HYPERLINK("https://www.weblio.jp/content/鶏肉", "词义详情")</f>
        <v/>
      </c>
      <c r="K6190">
        <f>HYPERLINK("https://yourei.jp/鶏肉", "查看例句")</f>
        <v/>
      </c>
    </row>
    <row r="6191">
      <c r="A6191" t="inlineStr">
        <is>
          <t>取り除く</t>
        </is>
      </c>
      <c r="B6191" t="inlineStr">
        <is>
          <t>成功</t>
        </is>
      </c>
      <c r="C6191" t="inlineStr">
        <is>
          <t>読み方：とりのぞく
［動カ五（四）］取ってなくす。とりのける。「不純物を—・く」</t>
        </is>
      </c>
      <c r="D6191" t="inlineStr">
        <is>
          <t>取り除くべき；取り除くべく</t>
        </is>
      </c>
      <c r="E6191" t="inlineStr">
        <is>
          <t>出す；取る；解放；除く；排除</t>
        </is>
      </c>
      <c r="H6191" t="n">
        <v>29</v>
      </c>
      <c r="I6191" t="inlineStr">
        <is>
          <t>急いでやらねばと彼女が思ったのは、とにかく水を取り除くことでした。；何か明確な理由があるのなら、それを一刻も早く取り除かねばならない。；そしてどうかしてその變調子を取り除かうと努めてゐるのがよく解つた。；幸いにしてこの危険は取り除かれたが、すぐそのあとに三国干渉が来た。；今までに取り除いたのは、全部それと同じように傷だらけになっています。；大きな石が取り除かれて視界が急に開かれたような感じさえあった。；依頼理由が解消されたと思われる場合はリストから取り除くことができます。；それらを取り除き、能力を発揮してもらうための様々な事業を行っている。；思い出しながら私は井戸に詰まっている石を一つずつ取り除きはじめた。；この報告では、誤った記章が数ヶ月以内に取り除かれることを約束した。；改めて手術を行うと、取り除いた患部からまた小さな綿の塊が出てきた。；けれども、想起させるきっかけが生じるたびにそれを取り除こうとする。；患者は自身の母親で、実家の台所のテーブルで7つの胆石を取り除いた。；骨格は全て取り除かれているため、残っているのは爪と指骨だけである。；しかし、幹の内部が取り除かれているため、正確な年齢の測定は難しい。；ここでプログラムからデータを取り除きたいという考えが提示されている。；あらゆる方法を使ってその危険を取り除いて、それから人間が踏みこむ。；現代建築の残骸が残る層が取り除かれ、かつての修道院跡の層に至った。；図は略図の目的のためにドナーの細胞核を取り除くさまを描写している。；さほどの時間はかからずに、服の温度が上昇して、湿気が取り除かれた。；全ての苦しみが取り除かれんことを求めて、わたしの前に来たのでしょう?；一枚一枚取り除いて、ひろみはとうとう最後の一枚を残すのみとなった。；また、自宅に入る人には革製品を取り除いてもらうようお願いしている。；しかしそのもさっとした彼が、私の不安を取り除いてくれたのである。；center ここでグラフからいくつかの辺を取り除く場合を考える。；またもしそれが落ちていれば、そのときに取り除かれたはずである。；もとの展示植物の最後の残りで、まだ取り除かれていないものだろうと思った。；睡眠時の緊張や不安を取り除き、寝つきをよくするなどの作用がある。；そして法律的に問題になるといっていた渡り廊下等も簡単に取り除かれた。</t>
        </is>
      </c>
      <c r="J6191">
        <f>HYPERLINK("https://www.weblio.jp/content/取り除く", "词义详情")</f>
        <v/>
      </c>
      <c r="K6191">
        <f>HYPERLINK("https://yourei.jp/取り除く", "查看例句")</f>
        <v/>
      </c>
    </row>
    <row r="6192">
      <c r="A6192" t="inlineStr">
        <is>
          <t>取引</t>
        </is>
      </c>
      <c r="B6192" t="inlineStr">
        <is>
          <t>成功</t>
        </is>
      </c>
      <c r="C6192" t="inlineStr">
        <is>
          <t>読み方：とりひき
［名］(スル)
１商人と商人、または、商人と客との間で行われる経済行為。「外国企業と—する」「—先」
２互いに利益を得られるよう交渉すること。「ライバル会社と裏で—する」</t>
        </is>
      </c>
      <c r="D6192" t="inlineStr">
        <is>
          <t>取引される(3%)；取引所(3%)；取引先；取引銀行；取引関係</t>
        </is>
      </c>
      <c r="E6192" t="inlineStr">
        <is>
          <t>販売；営業；扱う；商売；商</t>
        </is>
      </c>
      <c r="F6192" t="inlineStr">
        <is>
          <t>麻薬取引；東京証券取引；国際取引；裏取引；商品先物取引</t>
        </is>
      </c>
      <c r="G6192" t="inlineStr">
        <is>
          <t>取引先；取引き；取引相手；取引市場；取引コスト</t>
        </is>
      </c>
      <c r="H6192" t="n">
        <v>29</v>
      </c>
      <c r="I6192" t="inlineStr">
        <is>
          <t>したがって、規定された名称以外を取引・証明に使うことは禁止される。；これらの制度は商人との取引が多かった地域などに見ることもできる。；中古車市場では、極端な多走行車であっても取引が行われる事例がある。；尺貫法は現在は廃止されており、取引・証明に使用することはできない。；これに対し国王は適切な取引価格を守ることを求めるのみにとどまった。；以上のようなルールを組み合わせて企業の取引を記述していく。；電力は日本では国内産業であるがヨーロッパでは国際取引されている。；新たな市場となったイギリスはオランダのような取引相手の主体となることは無かった。；希少な人形である場合、数十万円などの高値で取引される場合もある。；また、アメリカの個人や団体が日本の暴力団と取引を行うことは禁止される。；こうした商業取引の決済手段には銀が重要な役割を果たしていた。；美術的、歴史的価値が評価され、評価の高いものは高値で取引される。；ワインの取引の他、そのライン川沿いの景観から観光業も発達している。；神聖ローマ皇帝はユダヤ人への徴税権を担保にして種々の取引を行った。；ここに掲げられている単位以外のものを、取引又は証明に使用することはできない。；実際の国際貿易で取引される商品の国内外価格を比較して決定した。；そのような材を持つオリジナルモデルは現在では非常に高価に取引されている。；また一般発売されなかった商品のシールも非常に高額で取引されることもある。；各国はそれぞれ独自に国内・国際取引を規制している。；現在でもフリマアプリやネットオークションなどで盛んに取引されている。；連鎖販売取引とは、特定商取引法第33条で定義される販売形態のこと。；改造が盛んに行われた背景にはルッカースの楽器が高額で取引されたことがある。；ヤフオクなど、ネットでの個人間取引による入手がもっとも容易である。；他にも、希少度の高いシールを金銭で取引するといった問題も発生した。；これらを取引・証明に用いることは計量法で禁止されている。；もちろん当時は、実際そうやって取引をしていたのである。；これは取引をすることで増えるウレシサを金銭的に評価したものといえる。；国内取引と貿易取引には次のような違いがある。；その取引によって利益が生じたかどうかにかかわらず課税された。</t>
        </is>
      </c>
      <c r="J6192">
        <f>HYPERLINK("https://www.weblio.jp/content/取引", "词义详情")</f>
        <v/>
      </c>
      <c r="K6192">
        <f>HYPERLINK("https://yourei.jp/取引", "查看例句")</f>
        <v/>
      </c>
    </row>
    <row r="6193">
      <c r="A6193" t="inlineStr">
        <is>
          <t>取り巻く</t>
        </is>
      </c>
      <c r="B6193" t="inlineStr">
        <is>
          <t>成功</t>
        </is>
      </c>
      <c r="C6193" t="inlineStr">
        <is>
          <t>読み方：とりまく
［動カ五（四）］
１まわりを囲む。取り囲む。「やじうまに—・かれる」「業界を—・く事情」
２人にまつわりついて、気に入るように振る舞う。「客に—・く」</t>
        </is>
      </c>
      <c r="D6193" t="inlineStr">
        <is>
          <t>取り巻くあらゆる；取り巻く諸；取り巻く環境変化</t>
        </is>
      </c>
      <c r="E6193" t="inlineStr">
        <is>
          <t>包囲；回る；巡る；囲む；廻る</t>
        </is>
      </c>
      <c r="H6193" t="n">
        <v>29</v>
      </c>
      <c r="I6193" t="inlineStr">
        <is>
          <t>山代は急に自分を取り巻いている周囲の闇が深くなったような気がした。；主人公であるレンと彼を取り巻く人間たちとの交流を描いた小説である。；市内線を取り巻く環境の変化には、もう一つ自動車交通の増加もあった。；よく見ると天井に近く壁を取り巻いてさまざまの壁画が描かれてあった。；わたしを取り巻いて寝台のそばに立っている人たちの顔も知らなかった。；得物を持った人影がグルリと岩を取り巻いて五十人余りも集まっている。；ウィスカー一家を取り巻く他の集団もまた各シリーズで取り上げられた。；その名はかつて島を取り巻いていたカナンガの木にちなんで付けられた。；それを取り巻いている数十人の通行人は、誰も手出しをしようとしない。；でも今それが明らかに私たちを取り巻いていることを疑うこともできない。；十人近い少女たちが、池を背に立った裸の少女を半円形に取り巻いていた。；おれを取り巻いているすべての人がこの問題のために力を借してくれていた。；このような場で彼はイタリアを取り巻く政治的な雰囲気を感じ取った。；己を取り巻いてゐる総ての人が此問題のために力を借してくれてゐた。；主演のホイットニー・ポートや彼女を取り巻く環境の変化を描くドラマ。；そして、自分を取り巻いていた者たちも同じだったということを悟った。；そのぼくたちを、いつの間にか多くの人が取り巻いて、眺めていたのだ。；葵の目に、取り巻いている人びとの中の、ひとりの顔が目に入ったのだ。；また、ローマへの道中の巡礼者や商人を取り巻く状況の改善も依頼した。；古代アメリカは実際のインディアン・マウンドを取り巻いて建設された。；中心の点を取り巻くように正八角形の形に点を並べた時の点の総数である。；私が経験者だというので、みんなが私のまわりに垣をつくって取り巻いた。；裁くのはおまえ一人で、皆が朝から晩までおまえを取り巻いて立っている。；中心の点を取り巻くように正七角形の形に点を並べた時の点の総数である。；中世には村を取り巻く城壁が築かれたが、現在壁の痕跡は残っていない。；三〇〇キロ以上はありそうな体躯を、鋼の檻が取り巻いているのだった。；ハタとサニーを取り巻く状況は、物語の終わりに向かって改善していく。；必死な力を出していま自分を取り巻いているものを打ち破らなければならぬ。；鮎太は曽て彼女を取り巻いていた男友達の一人であるに過ぎなかった。</t>
        </is>
      </c>
      <c r="J6193">
        <f>HYPERLINK("https://www.weblio.jp/content/取り巻く", "词义详情")</f>
        <v/>
      </c>
      <c r="K6193">
        <f>HYPERLINK("https://yourei.jp/取り巻く", "查看例句")</f>
        <v/>
      </c>
    </row>
    <row r="6194">
      <c r="A6194" t="inlineStr">
        <is>
          <t>取り混ぜる</t>
        </is>
      </c>
      <c r="B6194" t="inlineStr">
        <is>
          <t>成功</t>
        </is>
      </c>
      <c r="C6194" t="inlineStr">
        <is>
          <t>読み方：とりまぜる
［動ザ下一］［文］とりま・ず［ザ下二］いろいろなものを一つにまぜ合わせる。「大小—・ぜる」</t>
        </is>
      </c>
      <c r="D6194" t="inlineStr">
        <is>
          <t>合併；混合；混同；合体；まとめる</t>
        </is>
      </c>
      <c r="H6194" t="n">
        <v>29</v>
      </c>
      <c r="I6194" t="inlineStr">
        <is>
          <t>市民がそれを知った頃には男女取り混ぜ数人の者が市から姿を失っていた。；七十くらいのおじいさんがひとりと、学校の生徒が男女取り混ぜて六人。；第一の箱には地球の樹木や草花の種がいろいろと取り混ぜておさめられていた。；彼女たちの唯一の持ち物は、虚実を取り混ぜた物語としての記憶だけだ。；その生涯については虚実取り混ぜたエピソードが多く、半ば伝説化している。；また軍事的な対応の限界を認めて、非軍事的な対応を取り混ぜて柔軟に対応することの重要性に言及した。；アメリカを中心とした西側諸国や、中国・ソ連/ロシアの兵器を取り混ぜて運用している。；のんびり歩いたり、急いでるやつがいたり、老若男女取り混ぜ歩いている。；また、科目ごとの試験ではなく、すべての科目を取り混ぜた総合問題形式である。；作家の個展・グループ展や、作家を取り混ぜてテーマ性の濃い展覧会を行ってきた。；様々な建築様式を取り混ぜ趣向を凝らした小建築で、賓客の接待に用いられた。；嘘を取り混ぜるようなことはしなかった。；だが、僕自身の発見など何もなく、医師の受け売りに資料を取り混ぜただけのものである。；もうこれ以上飲めないと思って、バーを切り上げて来たんだから、銀銅貨取り混ぜて七八十銭もあっただろう。；硬軟取り混ぜた曲を演奏するバンドであったにもかかわらず硬派の曲ばかりが注目され、出演を依頼されるのは歌番組ではなく報道番組だった。；地球の進化史あるいは生命の進化史として独立した事象ではなく、地球の環境の変化が生命の進化にどのように影響を与えたか、反対に生命が地球環境にどのように影響を及ぼしたか、相互の関連も取り混ぜて構成している。；校内の悪評だけは事実も噂も取り混ぜて超一流の二人連れ、こんな男女を店に誘ってくれる物好きなどそもそもいるわけがないのだ。；連れていかれた居酒屋には、既にできあがった若者達が男女取り混ぜ、七人ほどいた。；同楽団はこれらのレパートリーを一つの公演で取り混ぜつつ、極めて表情豊かに演ずることで知られている。；それにスペシャルゲストを迎えてのショータイムなどを取り混ぜた歌番組だった。；当初は商業的な作風と趣味を分けていたが、のちに自身の趣向である煙たさやダークさを取り混ぜた作風となっている。；港に停泊中の船は大小取り混ぜておおよそ五十を数え、沖には着岸を待つ船が続々とやって来ていた。；男女取り混ぜ若者十人が日曜の遊園地に揃ったのなら、もっと弾けていいはずだ。；古本と新しい本を取り混ぜて売っている露店がある。；大小取り混ぜた土の盛り上がりが、土地の一角に集まっていた。；香の原料に昔のと今のとを両方取り混ぜて六条院内の夫人たちと、源氏の尊敬する女友だちに送って、二種類ずつの薫香を作られたいと告げた。；装飾士はいくつかの異なる惑星の植物を取り混ぜたようだったが、ホログラムなので植物生態が狂うということもない。；曲はニーロのキャリア終盤のものと、よく知られた曲とソウル・メドレーが取り混ぜられている。；メンバーはメキシコ系アメリカ人で、ロックにメキシコ音楽の要素を取り混ぜたサウンドが特徴。</t>
        </is>
      </c>
      <c r="J6194">
        <f>HYPERLINK("https://www.weblio.jp/content/取り混ぜる", "词义详情")</f>
        <v/>
      </c>
      <c r="K6194">
        <f>HYPERLINK("https://yourei.jp/取り混ぜる", "查看例句")</f>
        <v/>
      </c>
    </row>
    <row r="6195">
      <c r="A6195" t="inlineStr">
        <is>
          <t>取り戻す</t>
        </is>
      </c>
      <c r="B6195" t="inlineStr">
        <is>
          <t>成功</t>
        </is>
      </c>
      <c r="C6195" t="inlineStr">
        <is>
          <t>読み方：とりもどす
［動サ五（四）］一度失ったものや与えたものを再び自分のものとする。取り返す。「陣地を—・す」「往年の元気を—・す」</t>
        </is>
      </c>
      <c r="D6195" t="inlineStr">
        <is>
          <t>取り戻すべく(5%)；取り戻すべき</t>
        </is>
      </c>
      <c r="H6195" t="n">
        <v>29</v>
      </c>
      <c r="I6195" t="inlineStr">
        <is>
          <t>彼は、使用されてしまったあたしのからだを取り戻そうとしているのだ。；しかし、生徒たちが自分を受け入れてくれたと知ると自信を取り戻した。；戦闘後は正気を取り戻すも洗脳されていた頃の記憶は覚えていない様子。；二人は闇子に依頼してペンダントを取り戻すと、車で屋敷跡へと向かう。；自分が失ったばかりのものを、少しずつとはいえ、取り戻させてくれた。；そして、それは彼女に彼女の夫を取り戻すことに決めるように導きます。；いままで楽しんでいた幸せな気分をもう一度取り戻そうと、軽く言った。；しばらく続いたあと、再び葉月の声が取り戻されるように聞こえてきた。；姉の話では少しずつ体の感覚を取り戻さないと効果がないそうです。；本来の力を取り戻せば、彼は護衛など必要ないくらいの戦士になるだろう。；だが、に肩を痛めてからは以前の調子を取り戻せず、に引退を表明した。；カナダに安定を取り戻すことに貢献した優秀な総督と評価されている。；それは、彼の望みが「失われた記憶を取り戻すこと」だったからである。；ハリーに言いくるめられないよう、最初の勢いを取り戻そうとしている。；これは労働者層の支持を取り戻すのにかなり役立ったと見られている。；失った時間は取り戻せないけれど、新たな時間を作っていくことはできる。；そんな風に誰かを批判する事で理性を取り戻そうとしていたのも事実だった。；そしてあなたがなんとしてでも取り戻そうとしているのはカナメさんです。；陽人は月子と協力して、それぞれの失ったものを取り戻そうと奔走する。；この心の余裕を取り戻した家康の姿を見て将兵は皆安堵したとされる。；帰国後、調子を取り戻し16ゴールを記録し、チームの優勝に貢献した。；あのひとはどうして、姉さんに握られた写真を取り戻そうとしないのか。；彼が数時間以内におまえの手に取り戻されるようにしてあげるよ。；ストレッチャーの上で意識を取り戻すが、声は出ないし、体も動かない。；死の間際の描写から、死ぬ直前にいくらか正気を取り戻せたようである。；もともと自分の力なんだから取り戻そうとするのは当然でしょう?；その言葉だけで、香澄は失ったものを取り戻せたような気がしたのだ。；彼女が高度を取り戻そうとしているあいだに、競技は新たな局面を迎えた。；そうすることでリーリンがなにかを取り戻そうとしているのがわかるからだ。</t>
        </is>
      </c>
      <c r="J6195">
        <f>HYPERLINK("https://www.weblio.jp/content/取り戻す", "词义详情")</f>
        <v/>
      </c>
      <c r="K6195">
        <f>HYPERLINK("https://yourei.jp/取り戻す", "查看例句")</f>
        <v/>
      </c>
    </row>
    <row r="6196">
      <c r="A6196" t="inlineStr">
        <is>
          <t>努力</t>
        </is>
      </c>
      <c r="B6196" t="inlineStr">
        <is>
          <t>成功</t>
        </is>
      </c>
      <c r="C6196" t="inlineStr">
        <is>
          <t>［副］《3が原義》
１（あとに禁止を表す語を伴って）決して。必ず。「—油断するな」
２（あとに打消しの語を伴って）少しも。夢にも。「ここで会えるとは—思わなかった」
３つとめて。気をつけて。
「向つ峰(を)に立てる桃の木成らめやと人そささやく汝が心—」〈万・一三五六〉
[補説]潔斎する意の動詞「斎(ゆ)む」の命令形からとされていたが、その「め」は上代特殊仮名遣では甲類の音である。しかし、乙類の仮名が用いられていて、疑問が残る。別に、物事を忌み謹んだ目で見よの意の「忌眼」であるとする説もある。平安時代以降、「夢」と混同して2の意があらわれた。「努」「努力」「勤」などと当てて書くこともある。</t>
        </is>
      </c>
      <c r="D6196" t="inlineStr">
        <is>
          <t>努力すれ；努力しよ；努力次第；努力賞；努力せよ</t>
        </is>
      </c>
      <c r="E6196" t="inlineStr">
        <is>
          <t>見る；務める；試み；苦労；図る</t>
        </is>
      </c>
      <c r="F6196" t="inlineStr">
        <is>
          <t>無駄な努力；こうした努力；多大な努力；地道な努力；外交努力</t>
        </is>
      </c>
      <c r="G6196" t="inlineStr">
        <is>
          <t>努力義務；努力目標；努力義務規定；努力マン；努力しないで出世する方法</t>
        </is>
      </c>
      <c r="H6196" t="n">
        <v>29</v>
      </c>
      <c r="I6196" t="inlineStr">
        <is>
          <t>数千枚の原稿を捨てながら作品の完成度を上げることに努力したという。；こういったイベント時の興奮は、プレイヤーの努力では避けようがない。；しかし実際は、それ以上不可能なほど努力していた結果だったという。；他にも数々の努力が試みられたが、この気性の悪さは生涯直らなかった。；その後も体制維持および財政再建の努力は行なわれるが成功はしなかった。；ドイツの若者よ 私たちの人々の最善の努力は君の中に集約されている。；こうした経営努力の結果、同年8月6日に鉄道の当面の存続が決定した。；かつては代表的な生物には和名をつける方向で努力がなされていた。；でも父は自分が努力したり演技に苦しんだりする姿を誰にも見せませんでした。；だが、そのような努力には確実に150人を超える軍隊を必要とする。；この努力により、カトリーヌはフランスの人々から新たな尊敬を集めた。；ハイデルベルク市は、今後も世界遺産登録に向けて努力するとしている。；販売努力は他企業からの設計を現地で構築することができなかった国で最も成功した。；いろいろ批判はあるだろうけど、一番努力した人だと思いますね。；私たちはこの高貴な努力のために彼に感謝するに違いありません。；努力のかいあって、海蔵は井戸掘りには十分な額を貯めることができた。；その後、甘いメロンが作られるまで数世紀に及ぶ改良の努力が行われた。；動植物の長く継続的な観察から至る所で続く生存のための努力を理解できた。；自分の物にするために日常でも左利きの人のように左手を使うなど必死に努力した。；カーネギーは国際関係での平和維持は人々の努力と意志によると信じていた。；自分で現在認識しておらず、努力しても思い出せない内容を無意識という。；CANDUの開発努力は時間をかけて4つの主要な段階を経てきた。；軍事的努力が東方へ集中している間にイタリアの情勢は悪化していた。；授業は小規模で読書室を利用していた生徒と知り合うように努力した。；この事故は空港周辺の気象監視システムの改善努力をもたらした。；この頃までに近代日本語が多くの文筆家らの努力で形成された。；機能的でフレンドリーな方法で都市を創造する努力がなされてきた。；この努力の結果、アルジェリアへのイメージも改善されてきている。；しかしながら彼らの努力はほとんど亜細亜には向けられなかった。</t>
        </is>
      </c>
      <c r="J6196">
        <f>HYPERLINK("https://www.weblio.jp/content/努力", "词义详情")</f>
        <v/>
      </c>
      <c r="K6196">
        <f>HYPERLINK("https://yourei.jp/努力", "查看例句")</f>
        <v/>
      </c>
    </row>
    <row r="6197">
      <c r="A6197" t="inlineStr">
        <is>
          <t>取り寄せる</t>
        </is>
      </c>
      <c r="B6197" t="inlineStr">
        <is>
          <t>成功</t>
        </is>
      </c>
      <c r="C6197" t="inlineStr">
        <is>
          <t>読み方：とりよせる
［動サ下一］［文］とりよ・す［サ下二］
１注文して送らせたり、持って来させたりする。「資料を郵便で—・せる」「食事を部屋に—・せる」
２手にとって近くに寄せる。手もとへ引き寄せる。「散らかった書類を—・せる」
３人を近くに来させる。引き取る。
「さる天神を…名指して—・する」〈浮・一代男・五〉</t>
        </is>
      </c>
      <c r="H6197" t="n">
        <v>29</v>
      </c>
      <c r="I6197" t="inlineStr">
        <is>
          <t>また、需要がほとんどなく常備がない場合には取り寄せでの対応になる。；この部屋の主はよほど日本から取り寄せた家具を使ってみたかったようだ。；他の業者に掛け合ってなんとか一本取り寄せてやらぬこともないけど。；それぞれのパーツを全部別々のメーカーで取り寄せるような高いやつだ。；サカガミの事務所の壁にも、日本から取り寄せた書の扁額が掛けてある。；太郎は、何とかしてクチンの博物館から、その本を取り寄せたくなった。；着物や装飾品は全部東京の鼈甲屋からわざわざ取り寄せるのですからね。；かなり無理をいって、スイスの本社から取り寄せてもらったんだぞ。；中にはわざわざ外国のものを取り寄せたりしたものもあった。；逆に、ヨーロッパの植物を取り寄せて日本の研究者に提供もした。；新聞を取り寄せて読んでみたのですが、知らない人の名前でした。；実際に輸送する際には容器証明書を製造者から取り寄せる必要がある。；通常の着物の小売店では置いている事が少なく、取り寄せになることが多い。；一部の店舗を除いて、取り寄せ注文を経ない一般への販売はほとんどされていない。；そこでこれはドイツだけのことかと思い、次にスペインのものを取り寄せてみた。；それにまた彼は国からの自分の収入をこっそり取り寄せてもいた。；ここにあるグラフの基礎データより前の時間のも取り寄せたんだ。；彼女はコーヒーを取り寄せるためにボーイを呼ぶのをためらっていた。；酒は世界中から取り寄せた本物で、随時200種類以上が用意されていた。；話というより、よくウナギを一緒に食べようといって取り寄せてくれたな。；アメリカからさまざまな雑誌を取り寄せて、MLBの情報に詳しかった。；彼に問い合わせれば、被害者の顔写真くらい取り寄せてくれるに違いない。；きみは必要に応じて、各専門領域から詳しい情報を取り寄せることができる。；先日も毛がにを食べたいというので北海道からわざわざ取り寄せたのです。；ただ認可はされているので、世界からの個人輸入で取り寄せることは可能。；自分はさらに女中に命じて、念のために新聞を取り寄せさせた。；私は当時記録課長の職分を利用して、これを取り寄せて一年近くもかかって見た。；取り寄せた資料は、指定された閲覧室で閲覧しなければならない場合もある。；それ以来、トラック便で二十本ずつ取り寄せては、大いに愛飲していますよ。</t>
        </is>
      </c>
      <c r="J6197">
        <f>HYPERLINK("https://www.weblio.jp/content/取り寄せる", "词义详情")</f>
        <v/>
      </c>
      <c r="K6197">
        <f>HYPERLINK("https://yourei.jp/取り寄せる", "查看例句")</f>
        <v/>
      </c>
    </row>
    <row r="6198">
      <c r="A6198" t="inlineStr">
        <is>
          <t>とりわけ</t>
        </is>
      </c>
      <c r="B6198" t="inlineStr">
        <is>
          <t>成功</t>
        </is>
      </c>
      <c r="C6198" t="inlineStr">
        <is>
          <t>読み方：とりわけ
［副］《動詞「取り分ける」の連用形から》特に。ことに。とりわけて。「今年の夏は—暑い」</t>
        </is>
      </c>
      <c r="D6198" t="inlineStr">
        <is>
          <t>とりわけ美しい；とりわけ名高い；とりわけひどい；とりわけ好ん；とりわけ厳しい</t>
        </is>
      </c>
      <c r="E6198" t="inlineStr">
        <is>
          <t>特に；非常に；主に；中心に；特別</t>
        </is>
      </c>
      <c r="F6198" t="inlineStr">
        <is>
          <t>中でもとりわけ；なかでもとりわけ；とりわけキリスト教</t>
        </is>
      </c>
      <c r="H6198" t="n">
        <v>29</v>
      </c>
      <c r="I6198" t="inlineStr">
        <is>
          <t>このフランスの金の吸収はとりわけロンドンの金準備への圧力となった。；それらの問題の中で、とりわけ基本的な問題のひとつが人権問題である。；補完性の確保のために、とりわけ加盟国の国内議会の権限が強化された。；山がちな島だが、島の南部はとりわけ平地が多く、人口も集中している。；とりわけスケッチが好きであり、彼女は生涯にわたって絵を描き続けた。；そしてとりわけ田中逮捕に憤りを見せたのが主を逮捕された田中派であった。；その両方を解決できるのがアジア、とりわけ中国への進出だった。；ラッサール派の影響を受けていると思われる部分はとりわけ強い調子で批判した。；とりわけ大きいのがヨハン・ゴットフリート・ヘルダーとの出会いである。；全部で80曲近くあるうち、とりわけよく知られているのは、以下のもの。；とりわけ東ヨーロッパ諸国では各国でいち早く女子チームが作られた。；とりわけ、電気のエネルギーが熱エネルギーに変わることに注目した。；河川、道路事業など関してとりわけ重要となる用地買収・補償等を所管。；とりわけ、世界各国で何度も映画化された、同タイトルの映画は有名。；とりわけインドは東洋に大帝国を建設する上で重要な存在となった。；その中でもとりわけ菊地秀行作品には強く影響を受けたという。；とりわけ汝南袁氏は四代にわたって最高職の三公となる人物を輩出した。；最後の楽曲「フィンランドは目覚める」はとりわけ高い人気を獲得した。；また、小型の Oilis はクモ類の中でもとりわけ美しいものである。；こうした背景もあってとりわけ軍事史に強い関心を向けていた。；とりわけ現在の日本では、ランジェリーの一種の名称となっている。；京都・大阪の文化圏に属し、とりわけ京都方面からの影響が大きい。；区分論において近年とりわけ注目されたのは森博達による分析である。；黒人達の中でも、とりわけ黒人女性達に大きな希望を与えたといわれている。；とりわけ核兵器の問題に精通しており、情報委員会のメンバーでもあった。；とりわけ2007年には次に述べる各国政府への提言活動を行った。；教育に関わる問題、とりわけ教育が社会に関わる問題のことを教育問題という。；とりわけ英連邦諸国内ではサッカーやクリケットと並ぶ人気スポーツである。；とりわけ中期の作品は、かつてないほど調性感が拡張されている。</t>
        </is>
      </c>
      <c r="J6198">
        <f>HYPERLINK("https://www.weblio.jp/content/とりわけ", "词义详情")</f>
        <v/>
      </c>
      <c r="K6198">
        <f>HYPERLINK("https://yourei.jp/とりわけ", "查看例句")</f>
        <v/>
      </c>
    </row>
    <row r="6199">
      <c r="A6199" t="inlineStr">
        <is>
          <t>捕る</t>
        </is>
      </c>
      <c r="B6199" t="inlineStr">
        <is>
          <t>成功</t>
        </is>
      </c>
      <c r="C6199" t="inlineStr">
        <is>
          <t>読み方：とる
［動ラ五（四）］
１手の中におさめる。手に持つ。
㋐手でつかむ。握って持つ。「その本を—・って見てください」「胸ぐらを—・る」
㋑手に持って動かす。手を働かして何かをする。操作する。「舵(かじ)を—・る」
㋒（手を持って）教えたり、導いたりする。「手—・り、足—・りして教える」
㋓（捕る）動物などをつかまえる。「セミを—・る」「銛(もり)で魚を—・る」
㋔（「（作物を）穫る」「（動物を）獲る」とも書く）生きていくための、えものや作物を手に入れる。収穫したり、捕獲したりする。「山菜を—・って暮らしを立てる」
２
㋐（執る）（手で）うまく動かして、事を行う。処理する。「事務を—・る」「指揮を—・る」
㋑そのような考え方を固く守る。主張する。「中立の立場を—・る」「強硬な態度を—・る」
３いろいろな方法で自分のものにする。
㋐相手からもらってこちらのものにする。手に入れる。「金メダルを—・る」「休みを—・る」「免許を—・る」「税金を—・られる」
㋑（その家の者として）人を迎え入れる。「内弟子を—・る」「婿を—・る」
㋒注文して届けさせる。いつもそこで買う。「お昼にすしを—・る」「酒はあの店から—・る」「新聞を—・る」
㋓（「盗る」とも書く）人のものを無理に自分のものとする。盗む。奪う。「力ずくで財布を—・る」「現金だけ—・られた」
㋔召し上げる。没収する。「官職を—・る」
㋕自分のものにすることを前もって約束する。予約する。「芝居の席を—・る」
㋖身にひきうける。「責任を—・る」「正直だという評判を—・る」「父の跡を—・る」
㋗客として相手をする。「芸者が客を—・る」
㋘（年などを）かさねる。「年を—・る」
４
㋐身につけているものをはずしたり、ぬいだりする。（一時的に）からだから離す。「帽子を—・る」「ネクタイを—・る」
㋑（そこにある不用のもの、余分なものを）他へ移す。除き去る。そこからいなくする。「しみを—・る」「痛みを—・る薬」「かたきを—・る」
５
㋐同類のものを広く、多く集める。採取する。「木の実を—・って食糧にする」
㋑（採る）多くの中から選んで、決める。採用したり、選択したりする。「気に入った品を—・る」「新卒者を—・る」
㋒（採る）選んで、どちらかのほうに決める。「可否を—・る」「南に針路を—・る」
㋓（採る）みちびき入れる。「明かりを—・る窓」
㋔（「摂る」とも書く）必要なものとして体内にとり入れる。「栄養を—・る」
㋕材料・原料からとり出したり、作り出したりする。製する。「豆から油を—・る」
６形をまねて作る。（記して）形を残す。「入れ歯の型を—・る」「不動の姿勢を—・る」「メモを—・る」
７数量をはかる。数える。調べる。「統計を—・る」「寸法を—・る」「タイムを—・る」「脈を—・る」
８
㋐（人の心をおしはかったり、要点を押さえたりして）うまくことをすすめる。「ごきげんを—・る」「バランスを—・る」
㋑調子を合わせる。「拍子を—・る」「歩調を—・れ」
９そのことのために場所や時間などを必要とする。「手間を—・る仕事」「大きすぎて場所を—・る」
10そのように解釈したり、判断したりする。解する。「文字どおりに—・る」「悪く—・る」
11相撲やカルタなどの遊びをする。「一番—・ろうか」「花札を—・る」
12
㋐（撮る）写真を写す。「記念写真を—・る」
㋑写しを作る。「コピーを—・る」
㋒（「録る」とも書く）録画する。録音する。「フルハイビジョンカメラで—・る」
13（「…にとって」の形で）…としては。…の立場からは。「彼の死は経済界に—・って大きな痛手だ」
[可能]とれる
［動ラ下二］「とれる」の文語形。
[下接句]揚げ足を取る・当たりを取る・虻蜂(あぶはち)取らず・彝(い)を秉(と)る・暇(いとま・ひま)を取る・裏を取る・猿猴(えんこう)月を取る・後れを取る・鬼の首を取ったよう・音頭を取る・舵(かじ)を取る・気を取られる・機嫌気褄(きづま)を取る・機嫌を取る・牛耳を執る・教鞭(きょうべん)を執る・消し口を取る・堅(けん)を被(こうむ)り鋭(えい)を執る・木盾(こだて)に取る・小褄(こづま)を取る・采(さい)を採る・鞘(さや)を取る・質(しち)に取る・死に水を取る・尺を取る・酌を取る・章を断ち義を取る・陣を取る・先(せん)を取る・損して得取る・大事を取る・盾に取る・短を舎(す)て長を取る・褄(つま)を取る・手に手を取る・手に取るよう・手を取る・手玉に取る・天下を取る・得を取るより名を取れ・年を取る・とっこに取る・鳶(とんび)に油揚(あぶらげ)を取られたよう・名を捨てて実を取る・名を取る・中を取る・鳴く猫は鼠(ねずみ)を捕らぬ・盗人(ぬすびと)の上前(うわまえ)を取る・箸(はし)を取る・引けを取る・庇(ひさし)を貸して母屋を取られる・左褄(ひだりづま)を取る・人の褌(ふんどし)で相撲を取る・暇を取る・不覚を取る・筆を執る・面を取る・股立(ももだち)を取る・涼を取る・労を取る</t>
        </is>
      </c>
      <c r="D6199" t="inlineStr">
        <is>
          <t>捕るべき</t>
        </is>
      </c>
      <c r="E6199" t="inlineStr">
        <is>
          <t>使う；取る；乗る；受け取る；捕獲</t>
        </is>
      </c>
      <c r="F6199" t="inlineStr">
        <is>
          <t>搦め捕る</t>
        </is>
      </c>
      <c r="H6199" t="n">
        <v>29</v>
      </c>
      <c r="I6199" t="inlineStr">
        <is>
          <t>家の中にいる虫を捕るときは必ず困ったような声をあげて利明を呼んだ。；その余のものはみな林冲のために、人も馬もいけ捕りにされてしまった。；広瀬には目に見えるほど濃い緊張が生徒たちを絡め捕ったように見えた。；一千万円の懸賞金を出すと思われる人間は、まだ、捕っていないからだ。；すると鳥捕りが横からちらっとそれを見てあわてたように言いました。；こうだと説明のできる捕どころは両方になかったらしく記憶している。；明日にもどうか分らないものを捕へて、俺をあてにするななんてよく云へた。；私は実際、この世で初めて釣りをした人と同じ必要から魚を捕ったわけだ。；鳥がかわいそうでなりませんから、鳥を捕って売ることはいたしません。；二十頭の群れであっても実際に捕ることができるのは一頭だけ。；事実殺生を悪事とするものは、魚を捕ることもまた悪事とせねばならぬ。；そして母親は、彼女がすべての経過がよく悲しみに捕はれないのを喜んだ。；すると鳥捕りが横からちらっとそれを見てあはてたやうに云ひました。；その頃のアメリカは世界でもっとも盛んに鯨を捕っていた国だった。；一冬中に漁師が捕る数はいったいどれくらいのものになるだろうか。；皇帝は湖面の氷に穴を開けて魚を捕り、その魚を用いて宴会を開いていた。；春にいたれば長じて三寸あまりになる、これをばかならず捕らぬ事とす。；すると鳥捕りが横からちらつとそれを見てあわてたやうに云ひました。；まずばさまに魚の卵をかませて川へいき、ばさまとふたりして魚を捕った。；鯰でも捕って売れば五十銭一円は訳のない腕を彼は持っていたのだ。；冬になると鴨が下りるから、今度は一つ捕ってやろうなどといっていた。；網が見え出すと、多数の人が何が捕れたかを見る為に、集って行った。；忠公は屹度捕るだろうと思っていたら、夕方になって成功して帰って来た。；また水浴びや魚捕りが終って、枯れた葉におおわれている川をながめた。；今は大陸に沿って北上中で、この時期に魚はほとんど捕れないらしい。；鯨を捕る作業と併行して資源情況の調査をやることも充分に可能である。；舟には大きな捕魚網が積まれ、潮が満ちて来て浮き上るのを待っている。；僕は子供のころ郷里の谷川で、岩を玄能で叩いて魚を捕ったものである。；世界の海に鯨は捕っていいだけ棲息しているのかどうか、それだけである。</t>
        </is>
      </c>
      <c r="J6199">
        <f>HYPERLINK("https://www.weblio.jp/content/捕る", "词义详情")</f>
        <v/>
      </c>
      <c r="K6199">
        <f>HYPERLINK("https://yourei.jp/捕る", "查看例句")</f>
        <v/>
      </c>
    </row>
    <row r="6200">
      <c r="A6200" t="inlineStr">
        <is>
          <t>採る</t>
        </is>
      </c>
      <c r="B6200" t="inlineStr">
        <is>
          <t>成功</t>
        </is>
      </c>
      <c r="C6200" t="inlineStr">
        <is>
          <t>読み方：とる
［動ラ五（四）］
１手の中におさめる。手に持つ。
㋐手でつかむ。握って持つ。「その本を—・って見てください」「胸ぐらを—・る」
㋑手に持って動かす。手を働かして何かをする。操作する。「舵(かじ)を—・る」
㋒（手を持って）教えたり、導いたりする。「手—・り、足—・りして教える」
㋓（捕る）動物などをつかまえる。「セミを—・る」「銛(もり)で魚を—・る」
㋔（「（作物を）穫る」「（動物を）獲る」とも書く）生きていくための、えものや作物を手に入れる。収穫したり、捕獲したりする。「山菜を—・って暮らしを立てる」
２
㋐（執る）（手で）うまく動かして、事を行う。処理する。「事務を—・る」「指揮を—・る」
㋑そのような考え方を固く守る。主張する。「中立の立場を—・る」「強硬な態度を—・る」
３いろいろな方法で自分のものにする。
㋐相手からもらってこちらのものにする。手に入れる。「金メダルを—・る」「休みを—・る」「免許を—・る」「税金を—・られる」
㋑（その家の者として）人を迎え入れる。「内弟子を—・る」「婿を—・る」
㋒注文して届けさせる。いつもそこで買う。「お昼にすしを—・る」「酒はあの店から—・る」「新聞を—・る」
㋓（「盗る」とも書く）人のものを無理に自分のものとする。盗む。奪う。「力ずくで財布を—・る」「現金だけ—・られた」
㋔召し上げる。没収する。「官職を—・る」
㋕自分のものにすることを前もって約束する。予約する。「芝居の席を—・る」
㋖身にひきうける。「責任を—・る」「正直だという評判を—・る」「父の跡を—・る」
㋗客として相手をする。「芸者が客を—・る」
㋘（年などを）かさねる。「年を—・る」
４
㋐身につけているものをはずしたり、ぬいだりする。（一時的に）からだから離す。「帽子を—・る」「ネクタイを—・る」
㋑（そこにある不用のもの、余分なものを）他へ移す。除き去る。そこからいなくする。「しみを—・る」「痛みを—・る薬」「かたきを—・る」
５
㋐同類のものを広く、多く集める。採取する。「木の実を—・って食糧にする」
㋑（採る）多くの中から選んで、決める。採用したり、選択したりする。「気に入った品を—・る」「新卒者を—・る」
㋒（採る）選んで、どちらかのほうに決める。「可否を—・る」「南に針路を—・る」
㋓（採る）みちびき入れる。「明かりを—・る窓」
㋔（「摂る」とも書く）必要なものとして体内にとり入れる。「栄養を—・る」
㋕材料・原料からとり出したり、作り出したりする。製する。「豆から油を—・る」
６形をまねて作る。（記して）形を残す。「入れ歯の型を—・る」「不動の姿勢を—・る」「メモを—・る」
７数量をはかる。数える。調べる。「統計を—・る」「寸法を—・る」「タイムを—・る」「脈を—・る」
８
㋐（人の心をおしはかったり、要点を押さえたりして）うまくことをすすめる。「ごきげんを—・る」「バランスを—・る」
㋑調子を合わせる。「拍子を—・る」「歩調を—・れ」
９そのことのために場所や時間などを必要とする。「手間を—・る仕事」「大きすぎて場所を—・る」
10そのように解釈したり、判断したりする。解する。「文字どおりに—・る」「悪く—・る」
11相撲やカルタなどの遊びをする。「一番—・ろうか」「花札を—・る」
12
㋐（撮る）写真を写す。「記念写真を—・る」
㋑写しを作る。「コピーを—・る」
㋒（「録る」とも書く）録画する。録音する。「フルハイビジョンカメラで—・る」
13（「…にとって」の形で）…としては。…の立場からは。「彼の死は経済界に—・って大きな痛手だ」
[可能]とれる
［動ラ下二］「とれる」の文語形。
[下接句]揚げ足を取る・当たりを取る・虻蜂(あぶはち)取らず・彝(い)を秉(と)る・暇(いとま・ひま)を取る・裏を取る・猿猴(えんこう)月を取る・後れを取る・鬼の首を取ったよう・音頭を取る・舵(かじ)を取る・気を取られる・機嫌気褄(きづま)を取る・機嫌を取る・牛耳を執る・教鞭(きょうべん)を執る・消し口を取る・堅(けん)を被(こうむ)り鋭(えい)を執る・木盾(こだて)に取る・小褄(こづま)を取る・采(さい)を採る・鞘(さや)を取る・質(しち)に取る・死に水を取る・尺を取る・酌を取る・章を断ち義を取る・陣を取る・先(せん)を取る・損して得取る・大事を取る・盾に取る・短を舎(す)て長を取る・褄(つま)を取る・手に手を取る・手に取るよう・手を取る・手玉に取る・天下を取る・得を取るより名を取れ・年を取る・とっこに取る・鳶(とんび)に油揚(あぶらげ)を取られたよう・名を捨てて実を取る・名を取る・中を取る・鳴く猫は鼠(ねずみ)を捕らぬ・盗人(ぬすびと)の上前(うわまえ)を取る・箸(はし)を取る・引けを取る・庇(ひさし)を貸して母屋を取られる・左褄(ひだりづま)を取る・人の褌(ふんどし)で相撲を取る・暇を取る・不覚を取る・筆を執る・面を取る・股立(ももだち)を取る・涼を取る・労を取る</t>
        </is>
      </c>
      <c r="D6200" t="inlineStr">
        <is>
          <t>採るべき(8%)；採る自治体も多く；採るべく</t>
        </is>
      </c>
      <c r="E6200" t="inlineStr">
        <is>
          <t>採用；導入；収録；使う；用いる</t>
        </is>
      </c>
      <c r="F6200" t="inlineStr">
        <is>
          <t>採るべき戦争指導</t>
        </is>
      </c>
      <c r="H6200" t="n">
        <v>29</v>
      </c>
      <c r="I6200" t="inlineStr">
        <is>
          <t>それでこれらもすべて現在の確実な事実としての名だけを採る事にする。；最初に単独皇帝となったコンスタンティヌス1世の名を採って呼ばれる。；この時期に建立された建築群を、地名を採ってモラヴァ派と呼んでいる。；前述の調査結果が判明してからは、その内容を採るものが一般的である。；また、本作の登場人物の名前は日本の文人から採られているものが多い。；少女はこの近くの村に住んでいて、苺かキノコを採りに来たのであろう。；山に登って玉を採るものがあれば、海に入って真珠を採るものもいます。；彼らの名はどれも過去のシリーズに登場した科学者の名前が採られている。；必ずすいた電車に乗るために採るべき方法はきわめて平凡で簡単である。；このような形態を採る行政制度や組織の特徴はおおむね次の通りである。；孝行譚自体は数多く、ここに採られたものだけが賞されたわけではない。；そのような採食戦略をとっている場合には、働く必要はほとんどない。；この二つの風習は呉地方の素潜りをして魚を採る民族に見られるという。；自身の作品にも戦国武将の名前から採られたキャラクターが登場している。；ダムによって形成された人造湖は河川名を採って神野瀬湖と命名された。；潜水ガモに分類されるが、採食は主に水面で行い潜水はあまり行わない。；恐らく地表近くの柔らかい植物を選択的に採食していたものと思われる。；当時はどの自動車メーカーも似たり寄ったりの製造方式を採っていた。；おそらく砂採り坑のなかで、何かの作業にいそがしがっているのだろう。；しかし私達の採る方法はこの場合ならば次のようにするのである。；誰もいい点を採ろうとして教えっこしたりしたのではなかったと思える。；あわびはもっと深い方にいるのだし、採るには金挺のようなものがいる。；勿論手記の形式を採つた作品といふものはあり得るがそれは別の話である。；沿道の家との接触を避けるために採られた苦肉の策であったとされている。；今日の東京の劇場の大部は西洋の新らしい近世の劇場の形を採入れました。；もう少し熟さしてからの方がええと思ふやうな葉まで採つてしまふんぢや。；困ったのは自分が何か採ろうと思っても自分の眼に何も入らなかったことであった。；近所の女の子などが通ると、呼びとめてそれを採つてやつたりした。；成立時に合併に参加した二つの村から一文字ずつ採って命名された。</t>
        </is>
      </c>
      <c r="J6200">
        <f>HYPERLINK("https://www.weblio.jp/content/採る", "词义详情")</f>
        <v/>
      </c>
      <c r="K6200">
        <f>HYPERLINK("https://yourei.jp/採る", "查看例句")</f>
        <v/>
      </c>
    </row>
    <row r="6201">
      <c r="A6201" t="inlineStr">
        <is>
          <t>撮る</t>
        </is>
      </c>
      <c r="B6201" t="inlineStr">
        <is>
          <t>成功</t>
        </is>
      </c>
      <c r="C6201" t="inlineStr">
        <is>
          <t>読み方：とる
［動ラ五（四）］
１手の中におさめる。手に持つ。
㋐手でつかむ。握って持つ。「その本を—・って見てください」「胸ぐらを—・る」
㋑手に持って動かす。手を働かして何かをする。操作する。「舵(かじ)を—・る」
㋒（手を持って）教えたり、導いたりする。「手—・り、足—・りして教える」
㋓（捕る）動物などをつかまえる。「セミを—・る」「銛(もり)で魚を—・る」
㋔（「（作物を）穫る」「（動物を）獲る」とも書く）生きていくための、えものや作物を手に入れる。収穫したり、捕獲したりする。「山菜を—・って暮らしを立てる」
２
㋐（執る）（手で）うまく動かして、事を行う。処理する。「事務を—・る」「指揮を—・る」
㋑そのような考え方を固く守る。主張する。「中立の立場を—・る」「強硬な態度を—・る」
３いろいろな方法で自分のものにする。
㋐相手からもらってこちらのものにする。手に入れる。「金メダルを—・る」「休みを—・る」「免許を—・る」「税金を—・られる」
㋑（その家の者として）人を迎え入れる。「内弟子を—・る」「婿を—・る」
㋒注文して届けさせる。いつもそこで買う。「お昼にすしを—・る」「酒はあの店から—・る」「新聞を—・る」
㋓（「盗る」とも書く）人のものを無理に自分のものとする。盗む。奪う。「力ずくで財布を—・る」「現金だけ—・られた」
㋔召し上げる。没収する。「官職を—・る」
㋕自分のものにすることを前もって約束する。予約する。「芝居の席を—・る」
㋖身にひきうける。「責任を—・る」「正直だという評判を—・る」「父の跡を—・る」
㋗客として相手をする。「芸者が客を—・る」
㋘（年などを）かさねる。「年を—・る」
４
㋐身につけているものをはずしたり、ぬいだりする。（一時的に）からだから離す。「帽子を—・る」「ネクタイを—・る」
㋑（そこにある不用のもの、余分なものを）他へ移す。除き去る。そこからいなくする。「しみを—・る」「痛みを—・る薬」「かたきを—・る」
５
㋐同類のものを広く、多く集める。採取する。「木の実を—・って食糧にする」
㋑（採る）多くの中から選んで、決める。採用したり、選択したりする。「気に入った品を—・る」「新卒者を—・る」
㋒（採る）選んで、どちらかのほうに決める。「可否を—・る」「南に針路を—・る」
㋓（採る）みちびき入れる。「明かりを—・る窓」
㋔（「摂る」とも書く）必要なものとして体内にとり入れる。「栄養を—・る」
㋕材料・原料からとり出したり、作り出したりする。製する。「豆から油を—・る」
６形をまねて作る。（記して）形を残す。「入れ歯の型を—・る」「不動の姿勢を—・る」「メモを—・る」
７数量をはかる。数える。調べる。「統計を—・る」「寸法を—・る」「タイムを—・る」「脈を—・る」
８
㋐（人の心をおしはかったり、要点を押さえたりして）うまくことをすすめる。「ごきげんを—・る」「バランスを—・る」
㋑調子を合わせる。「拍子を—・る」「歩調を—・れ」
９そのことのために場所や時間などを必要とする。「手間を—・る仕事」「大きすぎて場所を—・る」
10そのように解釈したり、判断したりする。解する。「文字どおりに—・る」「悪く—・る」
11相撲やカルタなどの遊びをする。「一番—・ろうか」「花札を—・る」
12
㋐（撮る）写真を写す。「記念写真を—・る」
㋑写しを作る。「コピーを—・る」
㋒（「録る」とも書く）録画する。録音する。「フルハイビジョンカメラで—・る」
13（「…にとって」の形で）…としては。…の立場からは。「彼の死は経済界に—・って大きな痛手だ」
[可能]とれる
［動ラ下二］「とれる」の文語形。
[下接句]揚げ足を取る・当たりを取る・虻蜂(あぶはち)取らず・彝(い)を秉(と)る・暇(いとま・ひま)を取る・裏を取る・猿猴(えんこう)月を取る・後れを取る・鬼の首を取ったよう・音頭を取る・舵(かじ)を取る・気を取られる・機嫌気褄(きづま)を取る・機嫌を取る・牛耳を執る・教鞭(きょうべん)を執る・消し口を取る・堅(けん)を被(こうむ)り鋭(えい)を執る・木盾(こだて)に取る・小褄(こづま)を取る・采(さい)を採る・鞘(さや)を取る・質(しち)に取る・死に水を取る・尺を取る・酌を取る・章を断ち義を取る・陣を取る・先(せん)を取る・損して得取る・大事を取る・盾に取る・短を舎(す)て長を取る・褄(つま)を取る・手に手を取る・手に取るよう・手を取る・手玉に取る・天下を取る・得を取るより名を取れ・年を取る・とっこに取る・鳶(とんび)に油揚(あぶらげ)を取られたよう・名を捨てて実を取る・名を取る・中を取る・鳴く猫は鼠(ねずみ)を捕らぬ・盗人(ぬすびと)の上前(うわまえ)を取る・箸(はし)を取る・引けを取る・庇(ひさし)を貸して母屋を取られる・左褄(ひだりづま)を取る・人の褌(ふんどし)で相撲を取る・暇を取る・不覚を取る・筆を執る・面を取る・股立(ももだち)を取る・涼を取る・労を取る</t>
        </is>
      </c>
      <c r="D6201" t="inlineStr">
        <is>
          <t>撮るべき</t>
        </is>
      </c>
      <c r="E6201" t="inlineStr">
        <is>
          <t>撮影；写す</t>
        </is>
      </c>
      <c r="F6201" t="inlineStr">
        <is>
          <t>カット撮る；枚撮る</t>
        </is>
      </c>
      <c r="H6201" t="n">
        <v>29</v>
      </c>
      <c r="I6201" t="inlineStr">
        <is>
          <t>何もないもののその怖さや不安を撮るためには女の裸は邪魔なのだろう。；波の音もなかなかよく撮れていて、いつまでも耳に残るような気がした。；私たちも草の上に新聞をしいて坐っているままのところを撮らせました。；その風景を写真に撮ろうと太陽に背を向けたら背中がポカポカしてきた。；会場の中で演奏する場合は普通、テレビ・カメラで撮って合わせている。；その地方でしか見られないCMをビデオに撮って送ってもらうコーナー。；気楽に写真を撮る時代でも生活でもなかったから、と父は説明してたわ。；アメリカ版のためにムルナウはタイトルと場面を新たに撮り直している。；お前の撮ろうとしている映画が面白くなる確率はどれほどのものなんだ?；他人に注文つけなければ撮れないようなのは、自分には撮れないんです。；医者は聴診器で胸と背中をちょっと視た上、いきなり自分の鼻を撮んだ。；結婚などで人生のステージが変化し、悩みつつも映画を撮り続けている。；ゲーム以外では、時間があるときに他の州に旅行に行き写真を撮っている。；自分のテーブルへやって来たキャラクターと一緒に写真を撮ったりできる。；わたしが撮ったものではありませんが、それはコメントを続けています。；あの人は、私の写真を撮るためになぜあんな行動をとったのだろうか。；この自動車はここで写真に撮るのがいちばんいいようだ、と僕は判断した。；おそらくこれからも僕は人の死んだ場所の写真を撮り続けてしまうのだろう。；DVD用に撮り下ろした映像もふんだんに収録された内容となっている。；大きさは普通のサービスサイズで、横位置に撮られたカラー写真である。；それというのは今まで上から見た写真しか撮られていないからである。；クインと合流していたセルジオはカメラを取り出してその様子を撮った。；撮られるのが苦手な蔦子さまだって、私と同じなのだと思っていたから。；そこにはまさに彼が撮りたいと思っていた映像表現が存在していた為であった。；以下のような様々な撮影機能を使って写真や動画を撮ることができる。；のちに日活ロマンポルノでもこの映画をモチーフにした映画が撮られた。；そこの海辺である男が写真を撮っていると、女性が現れ彼を誘い始める。；自分で撮る写真に添えた文章を、自社の新聞や雑誌に書くようになった。；せめて何を撮ろうとしていたのか、教えてくれてもよさそうなものなのに。</t>
        </is>
      </c>
      <c r="J6201">
        <f>HYPERLINK("https://www.weblio.jp/content/撮る", "词义详情")</f>
        <v/>
      </c>
      <c r="K6201">
        <f>HYPERLINK("https://yourei.jp/撮る", "查看例句")</f>
        <v/>
      </c>
    </row>
    <row r="6202">
      <c r="A6202" t="inlineStr">
        <is>
          <t>取る</t>
        </is>
      </c>
      <c r="B6202" t="inlineStr">
        <is>
          <t>成功</t>
        </is>
      </c>
      <c r="C6202" t="inlineStr">
        <is>
          <t>読み方：とる
［動ラ五（四）］
１手の中におさめる。手に持つ。
㋐手でつかむ。握って持つ。「その本を—・って見てください」「胸ぐらを—・る」
㋑手に持って動かす。手を働かして何かをする。操作する。「舵(かじ)を—・る」
㋒（手を持って）教えたり、導いたりする。「手—・り、足—・りして教える」
㋓（捕る）動物などをつかまえる。「セミを—・る」「銛(もり)で魚を—・る」
㋔（「（作物を）穫る」「（動物を）獲る」とも書く）生きていくための、えものや作物を手に入れる。収穫したり、捕獲したりする。「山菜を—・って暮らしを立てる」
２
㋐（執る）（手で）うまく動かして、事を行う。処理する。「事務を—・る」「指揮を—・る」
㋑そのような考え方を固く守る。主張する。「中立の立場を—・る」「強硬な態度を—・る」
３いろいろな方法で自分のものにする。
㋐相手からもらってこちらのものにする。手に入れる。「金メダルを—・る」「休みを—・る」「免許を—・る」「税金を—・られる」
㋑（その家の者として）人を迎え入れる。「内弟子を—・る」「婿を—・る」
㋒注文して届けさせる。いつもそこで買う。「お昼にすしを—・る」「酒はあの店から—・る」「新聞を—・る」
㋓（「盗る」とも書く）人のものを無理に自分のものとする。盗む。奪う。「力ずくで財布を—・る」「現金だけ—・られた」
㋔召し上げる。没収する。「官職を—・る」
㋕自分のものにすることを前もって約束する。予約する。「芝居の席を—・る」
㋖身にひきうける。「責任を—・る」「正直だという評判を—・る」「父の跡を—・る」
㋗客として相手をする。「芸者が客を—・る」
㋘（年などを）かさねる。「年を—・る」
４
㋐身につけているものをはずしたり、ぬいだりする。（一時的に）からだから離す。「帽子を—・る」「ネクタイを—・る」
㋑（そこにある不用のもの、余分なものを）他へ移す。除き去る。そこからいなくする。「しみを—・る」「痛みを—・る薬」「かたきを—・る」
５
㋐同類のものを広く、多く集める。採取する。「木の実を—・って食糧にする」
㋑（採る）多くの中から選んで、決める。採用したり、選択したりする。「気に入った品を—・る」「新卒者を—・る」
㋒（採る）選んで、どちらかのほうに決める。「可否を—・る」「南に針路を—・る」
㋓（採る）みちびき入れる。「明かりを—・る窓」
㋔（「摂る」とも書く）必要なものとして体内にとり入れる。「栄養を—・る」
㋕材料・原料からとり出したり、作り出したりする。製する。「豆から油を—・る」
６形をまねて作る。（記して）形を残す。「入れ歯の型を—・る」「不動の姿勢を—・る」「メモを—・る」
７数量をはかる。数える。調べる。「統計を—・る」「寸法を—・る」「タイムを—・る」「脈を—・る」
８
㋐（人の心をおしはかったり、要点を押さえたりして）うまくことをすすめる。「ごきげんを—・る」「バランスを—・る」
㋑調子を合わせる。「拍子を—・る」「歩調を—・れ」
９そのことのために場所や時間などを必要とする。「手間を—・る仕事」「大きすぎて場所を—・る」
10そのように解釈したり、判断したりする。解する。「文字どおりに—・る」「悪く—・る」
11相撲やカルタなどの遊びをする。「一番—・ろうか」「花札を—・る」
12
㋐（撮る）写真を写す。「記念写真を—・る」
㋑写しを作る。「コピーを—・る」
㋒（「録る」とも書く）録画する。録音する。「フルハイビジョンカメラで—・る」
13（「…にとって」の形で）…としては。…の立場からは。「彼の死は経済界に—・って大きな痛手だ」
[可能]とれる
［動ラ下二］「とれる」の文語形。
[下接句]揚げ足を取る・当たりを取る・虻蜂(あぶはち)取らず・彝(い)を秉(と)る・暇(いとま・ひま)を取る・裏を取る・猿猴(えんこう)月を取る・後れを取る・鬼の首を取ったよう・音頭を取る・舵(かじ)を取る・気を取られる・機嫌気褄(きづま)を取る・機嫌を取る・牛耳を執る・教鞭(きょうべん)を執る・消し口を取る・堅(けん)を被(こうむ)り鋭(えい)を執る・木盾(こだて)に取る・小褄(こづま)を取る・采(さい)を採る・鞘(さや)を取る・質(しち)に取る・死に水を取る・尺を取る・酌を取る・章を断ち義を取る・陣を取る・先(せん)を取る・損して得取る・大事を取る・盾に取る・短を舎(す)て長を取る・褄(つま)を取る・手に手を取る・手に取るよう・手を取る・手玉に取る・天下を取る・得を取るより名を取れ・年を取る・とっこに取る・鳶(とんび)に油揚(あぶらげ)を取られたよう・名を捨てて実を取る・名を取る・中を取る・鳴く猫は鼠(ねずみ)を捕らぬ・盗人(ぬすびと)の上前(うわまえ)を取る・箸(はし)を取る・引けを取る・庇(ひさし)を貸して母屋を取られる・左褄(ひだりづま)を取る・人の褌(ふんどし)で相撲を取る・暇を取る・不覚を取る・筆を執る・面を取る・股立(ももだち)を取る・涼を取る・労を取る</t>
        </is>
      </c>
      <c r="D6202" t="inlineStr">
        <is>
          <t>取るべき(2%)；取るべく；取るべし；取る如く；取る形で辞任</t>
        </is>
      </c>
      <c r="E6202" t="inlineStr">
        <is>
          <t>利用；受ける；得る；出す；収録</t>
        </is>
      </c>
      <c r="F6202" t="inlineStr">
        <is>
          <t>引取る；剥ぎ取る；掴み取る；取るべから</t>
        </is>
      </c>
      <c r="H6202" t="n">
        <v>29</v>
      </c>
      <c r="I6202" t="inlineStr">
        <is>
          <t>また災害時の場合を考慮して道路が広く取られていることも特徴である。；作戦のパターンとして、以下のような形が取られる事が多いようである。；合議制を取ることで各部屋の意向をある程度反映できるように改善した。；ついで、日本とヨーロッパを結ぶ空路もこのコースを取るようになった。；四人が見守るあいだに、だれも魚を取ろうとしないときが何度かあった。；各砲は独立した砲架に載せられており、異なる仰角を取ることが出来た。；それ故に良い政府はその現実に責任を取らなければならないと考えた。；一方海軍はデータを取りながら慎重に開発を進める安全策を主張した。；取鍋は、上部が開いているものもあればカバーがついているものもある。；この大学で単位を取ろうとしている彼女は、いまボストンへいっている。；人が集まってする場合や講社まつりなどでは数取も使われることが多い。；この制約はすでに確かめられているが、取り得る値は決定できていない。；総攻撃を突破した後にボスが出現するという構成を取るステージが多い。；そこで彼女の手を取ると、テイグリンの渡り瀬に続く道を下っていった。；あんたは、川と網に背を向け、木に登って魚を取ろうとする漁夫ですな!；進行役である舞台監督によって劇が展開されていく手法が取られている。；眼鏡を取った顔は非常に小さい目をしており、この点は母親似である。；このため参宿の距星を別の星に置くなどの措置が取られるようになった。；ところがそれをまた手に取ろうとすると、金入れはもうなくなっていた。；注意すべきは線型写像を表す行列は基底の取り方に依存することである。；刑務所ではラジオを置く・新聞を取る・労働はせずに快適に暮らしていた。；誰もそれに責任を取ろうとはしないし、規制することは不可能に近い。；スタートの姿勢を取ったあとは、出発合図まで静止しなければならない。；が具体的な値を取るいくつかの場合についてはさまざまな証明が与えられた。；新たな参加者の獲得は、主に既存参加者が紹介・宣伝する方法が取られる。；もちろんカルテで分かる内容だが、取り違い防止のために質問している。；伯爵はボヘミア王であると認めてマスクを取り、依頼の内容を語り出す。；驚いた勢夜陀多良比売が矢を取って部屋に戻ると、矢は美男子となった。；多くのメスが首毛を持っており、ある姿勢を取るとそれがはっきりわかる。</t>
        </is>
      </c>
      <c r="J6202">
        <f>HYPERLINK("https://www.weblio.jp/content/取る", "词义详情")</f>
        <v/>
      </c>
      <c r="K6202">
        <f>HYPERLINK("https://yourei.jp/取る", "查看例句")</f>
        <v/>
      </c>
    </row>
    <row r="6203">
      <c r="A6203" t="inlineStr">
        <is>
          <t>どれ</t>
        </is>
      </c>
      <c r="B6203" t="inlineStr">
        <is>
          <t>成功</t>
        </is>
      </c>
      <c r="C6203" t="inlineStr">
        <is>
          <t>１酔っぱらい。
「—に下地の無息力」〈浄・寿の門松〉
２ならず者。どら。
「さてやかましい、皆あいらは—さうな」〈浄・虎が磨〉</t>
        </is>
      </c>
      <c r="D6203" t="inlineStr">
        <is>
          <t>どれ一つ；どれどれ；どれも同じ；どれひとつ；どれ位</t>
        </is>
      </c>
      <c r="E6203" t="inlineStr">
        <is>
          <t>いずれ；どれか；どら；どいつ；どれどれ</t>
        </is>
      </c>
      <c r="F6203" t="inlineStr">
        <is>
          <t>あとどれ；どれでもいい；どれほど深く；どれ一つとっても；どれぐらいなのか</t>
        </is>
      </c>
      <c r="G6203" t="inlineStr">
        <is>
          <t>どれみ；どれい；どれどれ；どれにしようかな；どれす</t>
        </is>
      </c>
      <c r="H6203" t="n">
        <v>29</v>
      </c>
      <c r="I6203" t="inlineStr">
        <is>
          <t>中に星が入っているのは、どれがどの球かわかりやすくしたかったため。；これにより健康な場合に対しどれだけ聞こえが悪くなったかが示される。；なお一方で、のコンピュータの命令セットはその多くはどれも似ている。；軽く振って本塁打にするにはどれだけ時間がかかるか知らん奴が言うこと。；どれか一つが無くても実現しなかったはずだとフィリップスは述べている。；スポーツとは関係ない仕事をいくつもしたがどれも長続きしなかった。；これらのどれが正しいかを尋ねることは意味のないことかもしれない。；たとえば湖のある種の魚がどれだけ生息しているかを考えてみる。；タージ・マハル建設にどれだけの費用がかかったかは明らかではない。；どれほど優れた戦略であっても、その実行には優れた戦術をも必要とする。；どれも原作の戦前ではなく、各作品当時の現代に舞台を変えている。；島はどれも沿岸近くに位置し、湖の中心部近くには全く存在しない。；個人の葛藤や懊悩がどれほど深くとも、すべては小さな物語に過ぎない。；その閾値サイズは格納される文字列がどれだけ複雑であるかに依存する。；そのような既約表現はどれも整数全体の集合上で実現することができる。；チョーサーは自由にスタイルを変え、そのどれにも偏愛を示していない。；たいていの場合は以下の4つの選択肢からどれかを選ぶように依頼される。；当時の私にとってそういった言葉がどれだけ重荷で負担になったことか。；この書簡では他のどれよりもパウロが自分自身について多く語っている。；これらの問題のどれも、初期のヒッピーたちが構想したことではなかった。；このため地方の方言呼称や童謡がどれほど残っているかは疑問である。；今はみんなロボットみたいでどれもこれも顔は違うけど言っていることは同じだわ。；鬱の要因については諸説あり、現在そのどれもが推測の域を出ていない。；佐々木小次郎役を多数の俳優が演じて、どれも美丈夫のイメージである。；心身問題に答えようとするこれらの問題はどれも大きな問題に直面する。；歩脚はどれもほぼ同じ長さで、第四脚は第一脚より少しだけ長い。；純粋戦略ゲーム とは、参加者が必ずどれかの戦略を選ぶゲームである。；しかしどれも失敗に終わり、ゲットーのユダヤ人はほぼ完全に殺害された。；現行の各種の全地球的測地系はどれもこれと同様の考え方を元にしている。</t>
        </is>
      </c>
      <c r="J6203">
        <f>HYPERLINK("https://www.weblio.jp/content/どれ", "词义详情")</f>
        <v/>
      </c>
      <c r="K6203">
        <f>HYPERLINK("https://yourei.jp/どれ", "查看例句")</f>
        <v/>
      </c>
    </row>
    <row r="6204">
      <c r="A6204" t="inlineStr">
        <is>
          <t>どれぐらい</t>
        </is>
      </c>
      <c r="B6204" t="inlineStr">
        <is>
          <t>成功</t>
        </is>
      </c>
      <c r="D6204" t="inlineStr">
        <is>
          <t>どれぐらいなのか；どれぐらい長いあいだ；どれぐらい生きられる</t>
        </is>
      </c>
      <c r="H6204" t="n">
        <v>29</v>
      </c>
      <c r="I6204" t="inlineStr">
        <is>
          <t>それなら私が具体的にどれぐらい本気なのかを証明してあげましょう!!；この前に食べてどれぐらいたっているのか、かれには見当もつかなかった。；どれぐらい価値があるものなのか、見てもらいたかっただけなんです。；宝石類に純金の装飾品にどれぐらいの費用が使われているかを強調する。；実際はどれぐらいの時間だったのかむろんわたしにはわからない。；いったい、実際に人の役に立っている魔法が、どれぐらいあるだろうか?；そこからも、当時の業界の自己評価がどれぐらい低かったかがわかるわ。；友軍に合流するまで、どれぐらい歩き続けねばならないのかは分からない。；一般の人で、あの広告を見て、変だなと感じた人がどれぐらいいたのだろう。；井戸の中の方が、どれぐらい静かで邪魔がなくて、暮しいいか分らない。；どれぐらい気を失っていたか知らないが、何年かの十二月六日だった。；いつかの新聞の事件から始めて、どれぐらいあたし等は迷惑してるか。；どれぐらいの時間、暗い部屋にうずくまっているのかよく思い出せない。；わたしの借金、いまどれぐらい膨れあがってるか想像もつかないでしょ?；マイクから、わたしたちの勝ち目がどれぐらいあるのか聞きましょう。；ところで、日本貿易銀行の総裁だった石黒の懐にはどれぐらい入ったの?；赤くなった顔が元に戻るまで、どれぐらい時間がかかるのか予想もできなかった。；当初は好評だったが、いまやどれぐらいの人が関心を持っているだろうか。；どれぐらい時が過ぎたろう、それは決して長い時間ではなかった。；かれには、どれぐらいかかるものやら見当のつけようもなかった。；これだけの設備を維持してゆくのに、どれぐらいかかるかわかる?；あなたの計算では、部隊の人間は、どれぐらい使い物になると思いますか?；この船には一体どれぐらいの人数が乗っているんだろう?；それがどれぐらいの人数になるのかおれは知らんが、人数は着実に増えている。；おのぶは、これまでどれぐらい兼七の背中をどやしつけて来たことだろう。；どれぐらいのあいだかれが耐えられると母上は考えられるのです?；どれぐらい時間が経ったのか分からなくなった頃、ふと清史が葉に顔を向けた。；かれは、五十ポンドが地球でどれぐらいの重さなのかを忘れてしまっていたのだ。；どれぐらい長いあいだ決められた食事量に従ったのか、そしてなぜそれをやめたのか?</t>
        </is>
      </c>
      <c r="J6204">
        <f>HYPERLINK("https://www.weblio.jp/content/どれぐらい", "词义详情")</f>
        <v/>
      </c>
      <c r="K6204">
        <f>HYPERLINK("https://yourei.jp/どれぐらい", "查看例句")</f>
        <v/>
      </c>
    </row>
    <row r="6205">
      <c r="A6205" t="inlineStr">
        <is>
          <t>どれだけ</t>
        </is>
      </c>
      <c r="B6205" t="inlineStr">
        <is>
          <t>成功</t>
        </is>
      </c>
      <c r="D6205" t="inlineStr">
        <is>
          <t>どれだけ長く；どれだけ速く；どれだけつらい；どれだけすごい；どれだけ耐えられる</t>
        </is>
      </c>
      <c r="E6205" t="inlineStr">
        <is>
          <t>いくらか；どれほど；如何に；どのくらい；どの程度</t>
        </is>
      </c>
      <c r="H6205" t="n">
        <v>29</v>
      </c>
      <c r="I6205" t="inlineStr">
        <is>
          <t>自分のしたことがどれだけ多くの人を傷つけてきたのか分かっていない。；当時は、それぞれがどれだけの数が一緒に働いているのか不明であった。；どれだけの収容者が劣悪な環境のために犠牲になったかは明らかでない。；ブニュエルの脚本が完成した映画にどれだけ残っているかは不明である。；こいつのおかげでどれだけいろんな連中から非難されてきたことだろうか!；自分がどれだけの努力するかは 、他の人の努力によって変わってくる。；しかしそれらの人たちと彼らとの間にはそもそもどれだけの相違があるのか。；残された世界の人々がどれだけ調査を重ねても原因がわかることはなかった。；これにより健康な場合に対しどれだけ聞こえが悪くなったかが示される。；軽く振って本塁打にするにはどれだけ時間がかかるか知らん奴が言うこと。；機体がどれだけの時間宇宙空間に滞在できたかなどは知られていない。；あの姿を見ていると、自分がどれだけ甘かったかと痛感させられました。；じゃあ、いったいどれだけのロボットにその改造をほどこしたんですか?；けれども大変な重い病気だったのでどれだけたってもなおりませんでした。；例えば、人々は与えられた富のもとで、どれだけ消費すべきか判断する。；最終的にドレッドノータスがどれだけ大きく成長したかはわかっていない。；たとえば湖のある種の魚がどれだけ生息しているかを考えてみる。；タージ・マハル建設にどれだけの費用がかかったかは明らかではない。；彼の帰ったのは彼の家にどれだけの不愉快な動揺を与える結果になったか。；それは物質的ではなく道徳的にどれだけ違うかの差別でなければならない。；これらの領域を各プログラムがどれだけ必要とするかはOSには不明である。；そのため、どれだけの基礎票を獲得できるのかが未知数であったという。；その閾値サイズは格納される文字列がどれだけ複雑であるかに依存する。；歌詞では、どれだけ自由だと感じるかや彼女の感情が表現されている。；人々はたった1ドルでもどれだけのことができるか理解していない。；どれだけ地位のあるものでも馬を降りて通らなければいけなかった。；当時の私にとってそういった言葉がどれだけ重荷で負担になったことか。；あいつのために刺青をされた人間がどれだけいるか判りゃしないわよ。；ただし、直営以外の販路でどれだけの台数が販売されたかは不明である。</t>
        </is>
      </c>
      <c r="J6205">
        <f>HYPERLINK("https://www.weblio.jp/content/どれだけ", "词义详情")</f>
        <v/>
      </c>
      <c r="K6205">
        <f>HYPERLINK("https://yourei.jp/どれだけ", "查看例句")</f>
        <v/>
      </c>
    </row>
    <row r="6206">
      <c r="A6206" t="inlineStr">
        <is>
          <t>どれほど</t>
        </is>
      </c>
      <c r="B6206" t="inlineStr">
        <is>
          <t>成功</t>
        </is>
      </c>
      <c r="C6206" t="inlineStr">
        <is>
          <t>読み方：どれほど
１数量・程度などについての疑問を表す。どのくらい。いかほど。「被害の程度は—ですか」
２限度がわからないほど多い量。また、程度の大きさ。どんなにたくさん。多く副詞的に用いる。「—がんばってもたかがしれている」</t>
        </is>
      </c>
      <c r="D6206" t="inlineStr">
        <is>
          <t>どれほど深く；どれほど恐ろしい；どれほど長く；どれほど大きい；どれほど美しく</t>
        </is>
      </c>
      <c r="E6206" t="inlineStr">
        <is>
          <t>いくら；いかに；どれだけ；いくらか；如何に</t>
        </is>
      </c>
      <c r="F6206" t="inlineStr">
        <is>
          <t>どれほど楽しい；どれほど難しい；どれほど苦しい；どれほど悲しい；どれほど速く</t>
        </is>
      </c>
      <c r="H6206" t="n">
        <v>29</v>
      </c>
      <c r="I6206" t="inlineStr">
        <is>
          <t>その相違の程度は、敵がどれほどの時間を持っていたかにかかっている。；装置や武器もなしにどれほどのことができたか、想像もつかないのだが。；彼らの間にどれほどはっきりした約束が結ばれていたのかは不明である。；民衆は、わしがどれほどいい政治をしているかを知らなければいけない。；この短い距離をいくのに、どれほどの時間がかかったかわからなかった。；わたしはその場にいて彼の破滅を目撃したいと、どれほど思ったことか!；それが人間たちにどれほど満足をあたえたかは説明するまでもあるまい。；自己がどれほどに自己の理想を現実にし得るかは自己自身にさえ計られん。；少女かマーティアでいてくれたほうがどれほど安心していられることか。；その為に旅にゐる私はどれほど父の上が気づかはれたか知れなかつた。；この三千二百石を得るためどれほど死ぬような思いをしたことだろう。；けれども親には子に対してどれほど多くのエゴイズムがあるであろうか。；ぼくはどれほど多くの構成部品が送信機に変えられるかを知っているんだ。；いよいよの時には、わたしにもどれほどの力があるか、この瓶が証拠だ。；その危険がどれほど大きいかは、あの厳しい警戒ぶりを見ればわかる。；あなたのおかげでどれほどのひとびとが心を打たれ、心をほだされたか!；どれほど優れた戦略であっても、その実行には優れた戦術をも必要とする。；しかし、実際にどれほどの教師が銃を保持しているのかを示す統計はない。；しかし彼が実際どれほど重要な人物であるかは、後になるまで知らなかった。；しかしどれほど多くの人々が、この作品の僅かな時間に心動かすことか。；元になった地名がどれほど前から使われていたかは分かっていない。；個人の葛藤や懊悩がどれほど深くとも、すべては小さな物語に過ぎない。；あの南のほうから旅人がやって来なくなってからもうどれほどになるだろう?；自分がどれほどのあいだそこに横たわっていたのか、見当もつかなかった。；葉子はまた自分の父がどれほど葉子を溺愛してくれたかをも思ってみた。；企業がどれほどの利益を獲得しているかを分析するものである。；この話が子供たちにどれほどの印象を与えるか、驚くのほかはない。；けれども私たちにどれほどの力があったかを考えて見て下さい。；おわかりにならんのですか、われわれの行動がどれほどあやまっているか?</t>
        </is>
      </c>
      <c r="J6206">
        <f>HYPERLINK("https://www.weblio.jp/content/どれほど", "词义详情")</f>
        <v/>
      </c>
      <c r="K6206">
        <f>HYPERLINK("https://yourei.jp/どれほど", "查看例句")</f>
        <v/>
      </c>
    </row>
    <row r="6207">
      <c r="A6207" t="inlineStr">
        <is>
          <t>取れる</t>
        </is>
      </c>
      <c r="B6207" t="inlineStr">
        <is>
          <t>成功</t>
        </is>
      </c>
      <c r="C6207" t="inlineStr">
        <is>
          <t>読み方：とれる
［動ラ下一］［文］と・る［ラ下二］
１ついていたものが離れ落ちる。はなれる。「ボタンが—・れる」「表紙が—・れる」
２今まであった好ましくない状態が消え去る。「疲れが—・れる」「痛みが—・れる」
３（「穫れる」「獲れる」とも書く）収穫物・捕獲物や資源が得られる。「米が—・れる」「近海で—・れた魚」「良質の鉄鉱石が—・れる」
４そのように解釈できる。理解される。「どちらにも—・れる説明」「皮肉に—・れる」
５調和した状態になる。「釣り合いが—・れる」「栄養のバランスの—・れた食事」
６（撮れる）写真に写る。「よく—・れた写真」
７（「録れる」と書く）録音される。「鳥の声がよく—・れる」
[下接句]肩上げが取れる・角(かど)が取れる・圭角(けいかく)が取れる・採算が取れる</t>
        </is>
      </c>
      <c r="D6207" t="inlineStr">
        <is>
          <t>取れるだろ；取れる可能性；取れる暁凪ぎ</t>
        </is>
      </c>
      <c r="E6207" t="inlineStr">
        <is>
          <t>落ちる；抜ける；剥離；剥落；抜け落ちる</t>
        </is>
      </c>
      <c r="F6207" t="inlineStr">
        <is>
          <t>広く取れる；大きく取れる；取れるかもしれ；に受取れる；長く取れる</t>
        </is>
      </c>
      <c r="H6207" t="n">
        <v>29</v>
      </c>
      <c r="I6207" t="inlineStr">
        <is>
          <t>店の一角に並べられた具を客が取れるようにしているところも見られる。；楽器も手を深く入れた状態で正しい音程が取れるように設計されている。；大量にプリントする場合は枚数にもよるが数年で元が取れる場合がある。；それ以外の価格が付いていれば、裁定取引でリスクなしで利益を取れる。；サトシに好意を寄せているとも取れる描写がなされている場面もある。；登録の際に、管理者がコンタクトを取れる状態にいることを求められる。；また撃破時にアイテムとも取れるような弾を撃ち返してくる敵もいる。；このような味噌玉は、地元で取れる食材や保存食品を利用して作られた。；楽器もベルに手を入れない状態で正しい音程が取れるように設計されている。；自分の番で駒が取れる状態にあれば、必ずその駒を取らなければならない。；また、この時代はエジプトに残された記録との間で同期が取れる。；当時はディランの影響もあって、いろんな意味に取れる表現を使っていたよ。；その音源構成はゲームセンターで聴き取れる音にも大きく変化を与える。；動物は世話をするとなかよし度が上がっていき、質の良い酪農品が取れる。；また、運転士が信号機を確認してから行動を取れるまで3秒程度掛かる。；しかしこの段階では、ペレーはもはや指揮を取れる状態ではなかった。；種子もよく取れるが、根を切って不定芽を出させることでも繁殖させる。；アニアクチャク山の側面から流れだしており、ギンザケが豊富に取れる。；運用に幅が設けられていて抽象的であり、どのようにも取れる内容を含んでいた。；小さい位数の交代群とリー型の群との間にはと呼ばれる対応が取れるものがある。；以降もどのシリーズでも手が取れるように世界観を一新した物が製作されている。；島はパズルと探索、案内物の均衡が上手く取れるように設計されている。；そして2004年、教会の信託を受けて再び採算が取れるようになった。；そして、進んだ所の隣接八路にある敵の駒を一つ動かずに取れる。；その後、彼が時間を取れることと役に対して前向きであることがわかった。；白化した細胞は正常な細胞であり、ブラシ等で擦っても取れることはない。；ちなみに担当の一言は大半が作者に対する嘲りとも取れるものばかりである。；中部や関東では主に取れる堅果類がクリからトチノキに急激に変化した。；プレイの前に自分のチームが何点取れるかを宣言する。</t>
        </is>
      </c>
      <c r="J6207">
        <f>HYPERLINK("https://www.weblio.jp/content/取れる", "词义详情")</f>
        <v/>
      </c>
      <c r="K6207">
        <f>HYPERLINK("https://yourei.jp/取れる", "查看例句")</f>
        <v/>
      </c>
    </row>
    <row r="6208">
      <c r="A6208" t="inlineStr">
        <is>
          <t>泥</t>
        </is>
      </c>
      <c r="B6208" t="inlineStr">
        <is>
          <t>成功</t>
        </is>
      </c>
      <c r="C6208" t="inlineStr">
        <is>
          <t>読み方：うき
泥深い地。沼地。
「数ならぬみくり（＝水草ノ名）や何の筋なれば—にしもかく根をとどめけむ」〈源・玉鬘〉</t>
        </is>
      </c>
      <c r="D6208" t="inlineStr">
        <is>
          <t>泥だらけ(7%)；泥底；泥人形；泥地；泥溝</t>
        </is>
      </c>
      <c r="E6208" t="inlineStr">
        <is>
          <t>地；土地；地面；土；大地</t>
        </is>
      </c>
      <c r="F6208" t="inlineStr">
        <is>
          <t>沈泥；黒い泥；朱泥；黄泥；土子泥</t>
        </is>
      </c>
      <c r="G6208" t="inlineStr">
        <is>
          <t>泥酔；泥沼；泥水；泥濘；泥まみれ</t>
        </is>
      </c>
      <c r="H6208" t="n">
        <v>29</v>
      </c>
      <c r="I6208" t="inlineStr">
        <is>
          <t>泉色が泥水のようなの濁り湯であったことから、温泉名も泥湯となった。；小さな家族で暮らし、草と泥で作られた巣とダムの周りに縄張りを持つ。；洞窟の中の不思議な泉につかり、何にでも化けられる泥の怪物となった。；ただし、海底の砂泥の色に合わせて体色をある程度変えることもできる。；そのような泥に住む動物は、酸素不足の環境に耐えられるものに限られる。；同年11月には地下のパイプラインが泥の圧力で爆発する事故が発生した。；西なぎさには山砂が、東なぎさには浚渫砂泥がそれぞれ投入されている。；関東大会編時の泥門メンバーの髪型がアニメでは全く変わっていない。；同時に砂や泥の表面ではあまり安定しない移動方法でもある。；足の指の間の皮膜は、泥地の歩行や遊泳など水辺での活動を容易にする。；そのために品部である泥部と雑戸である泥戸が付属しており生産にあたった。；多くのものが砂泥中に体を埋め、水管を泥の上に出して生活している。；遊星歯車機構を内部で密封しているために、泥汚れに強く耐久性がある。；泥の海ことマッド・シーにおいて洞窟に集落を作り細々と暮らしている。；その才能は阿含も認めており、わざわざ泥門戦の視察に来ていたほど。；柄の下部は球根状に太くなり、それを深海底の泥に埋めて定着している。；変態した稚ガニは泥地で生活をし、泥の中に穴を掘って棲むようになる。；泥や砂の上で暮らすものは、やや特殊な形の腹足を持つ例がある。；最初に挑戦して泥の犠牲となったのは第2回優勝者であった北川宣浩だった。；これは、このメソジストの学校の庭にある小さな泥レンガの建物であった。；史河流域では小磨盤山・黄泥灘・古仏堂等の七カ所の遺跡が発見された。；日本では北海道以南の浅海から海岸の岩礁から砂泥底に広く生息する。；ここはまた、深森や崖の地、薄明の森、泥地と違った危険を秘めていた。；軟体部が腐敗した後に泥が進入し、生物の形を残すに至ったと考られる。；湖を見渡す村には、泥と棒で作られた伝統的な家屋が残されている。；一方、泥が少ない川では胃にも泥が含まれず、食味も大幅に改善する。；湾の海岸部は塩性沼沢および泥湿地の地域が多く、居住可能地は少ない。；そこで、村の青年たちはこっそり樹幹の下半を切り、泥で木の傷を隠した。；通常は砂や泥の中に棲み、夜明けや夕方などの薄暗い時間帯に活動する。</t>
        </is>
      </c>
      <c r="J6208">
        <f>HYPERLINK("https://www.weblio.jp/content/泥", "词义详情")</f>
        <v/>
      </c>
      <c r="K6208">
        <f>HYPERLINK("https://yourei.jp/泥", "查看例句")</f>
        <v/>
      </c>
    </row>
    <row r="6209">
      <c r="A6209" t="inlineStr">
        <is>
          <t>とろける</t>
        </is>
      </c>
      <c r="B6209" t="inlineStr">
        <is>
          <t>成功</t>
        </is>
      </c>
      <c r="C6209" t="inlineStr">
        <is>
          <t>読み方：とろける
［動カ下一］［文］とろ・く［カ下二］
１固まっていた物が溶けて軟らかくなる。また、液状になる。「バターが—・ける」
２心のしまりがなくなる。「甘美な音楽に心が—・ける」
３心が和らぐ。なごむ。
「御憤り、殊の外に—・けてこそ見え給ひつれ」〈盛衰記・一一〉</t>
        </is>
      </c>
      <c r="D6209" t="inlineStr">
        <is>
          <t>とろけるような笑顔(4%)；とろけるような微笑(2%)；とろけるような甘い(2%)；とろけるような味</t>
        </is>
      </c>
      <c r="E6209" t="inlineStr">
        <is>
          <t>穏やかな；快い；快適な；心地よい；気持ちいい</t>
        </is>
      </c>
      <c r="G6209" t="inlineStr">
        <is>
          <t>とろける鉄工所</t>
        </is>
      </c>
      <c r="H6209" t="n">
        <v>29</v>
      </c>
      <c r="I6209" t="inlineStr">
        <is>
          <t>西隣の男は女が自分に気があると思ったので、心がますますとろけた。；いま怒っていたかと思うと、急にどういうわけかとろけそうな顔になったり。；あの子には疑いや警戒心をとろけさせる不思議な魅力があるのだ。；そんな風に名前を呼ばれると、身体の力が抜けてとろけてしまいそうになる。；最初は気持ち悪いだけだったのに、最後は今と同じようにとろけてしまった。；西洋菓子は、とろけるような味がすると言って、長瀬が唇の端を上げた。；いや、そのおいしいことといったら、口の中がとろけてしまいそうです。；邦子は警戒しながらも、十文字の明るい笑顔にとろけそうになっている。；女の魂がとろけて自分の頭の中へ流れこんで来るかの様に強い感激が思はれた。；あの、とろけるようなブラピの笑顔をこの目で見ることができたのに。；少なくともあと一時間は煮ないと、舌の上でとろけるような味にはならない。；この変わった癖の理由を聞かれると、例の心がとろけるような微笑で応じる。；彼の姿を遠望しただけで、男も女も老人も子供も、とろけてしまうのである。；男という男が、彼女を目にしただけでたちまち理性をとろけさせてしまう。；でたらめに厳しい仕事なのに、とろけるような笑顔を浮かべたままね。；涙を流して口に入れると芋に似た甘い味がして、口の中でとろけた。；るいとのキスだから、 こんなに甘くてとろけるようなんだと信じたい。；アガーフィヤは優しさにとろけそうな顔をして、そのあとからついて来た。；ふしくれだった指さきさえも、とろけかかったような感覚がしたのである。；あの瞬間、頭が沸騰し、心臓がはじけ、体がとろけてしまいそうだった。；少しずつ、石膏につけた泥がズレていくように、人間の肌がとろけている。；その豊満な肉体が、とろけて、ぐにゃぐにゃになってしまいそうだった。；こんなのを数分も聴いていたら脳味噌がとろける杏仁豆腐になってしまう。；おれはその視線のとろけるような丸さに言葉を失った。；すっかり存在を忘れていたが、グレタの眼は憧れと尊敬でとろけそうだった。；腹の立つほど厚かましいその音に、五臓六腑はとろけて行くようであった。；舌の上でとろける肉の味が、麻薬のように意識を支配していた。；ハウルはとろけるような笑みを浮かべながら、マイケルに紙を渡しました。；にもかかわらず、彼をみると、彼女はとろけるような笑顔にならずにはいられなかった。</t>
        </is>
      </c>
      <c r="J6209">
        <f>HYPERLINK("https://www.weblio.jp/content/とろける", "词义详情")</f>
        <v/>
      </c>
      <c r="K6209">
        <f>HYPERLINK("https://yourei.jp/とろける", "查看例句")</f>
        <v/>
      </c>
    </row>
    <row r="6210">
      <c r="A6210" t="inlineStr">
        <is>
          <t>泥仕合</t>
        </is>
      </c>
      <c r="B6210" t="inlineStr">
        <is>
          <t>成功</t>
        </is>
      </c>
      <c r="C6210" t="inlineStr">
        <is>
          <t>読み方：どろじあい
１互いに相手の弱点・秘密などをあばきたててみにくく争うこと。また、その争い。
２歌舞伎で、舞台上に泥田を作り、その中で立ち回りを演じること。また、その立ち回り。
[補説] 「泥試合」と書かないのが一般的。</t>
        </is>
      </c>
      <c r="H6210" t="n">
        <v>29</v>
      </c>
      <c r="I6210" t="inlineStr">
        <is>
          <t>一三〇対一〇とアイルランドがリードして、試合は次第に泥仕合になってきた。；泥仕合にせずにゲームを終わらせるのがわたしの課題というものだ。；よくある境界争いだが、相続が絡んで泥仕合になったケースだった。；けれどこちらが暴けば向こうも暴き立てて、泥仕合になるのは目に見えている。；このような、泥仕合とも言える戦いになると、先行きは分からなくなってくる。；泥仕合を続ける政党政治家の側には、軍部の足音が聞こえていた。；これに対してギリブランド側も再反論し、事態は泥仕合の様相を見せた。；楽壇人同志のあいだに泥仕合が演ぜられて、世間の物嗤いの種になったりした。；神保の人気が下がるのはよいと思うが、子供の喧嘩じみた泥仕合になるのを私は恐れた。；二人の嵐のような関係や離婚の際の泥仕合は新聞やテレビで報道され、夜毎、世間を楽しませたものだ。；この後も論争は泥仕合化して続いたが、第二次世界大戦の激化に伴い下火になった。；彼にすればこれ以上、親子の泥仕合を見るのは御免こうむりたいところなのだろう。；わたしが間違っていなければ、大変な泥仕合がはじまることは請け合いです。；その後、責任の所在について両社は泥仕合を展開することになる。；人権もない、自由もない、人間の尊厳もない、けだもののような泥仕合だ。；わたしは、老人と泥仕合を演じてしまってね。；が、それ以上に島を疲れさせたのは、この事件をめぐり、国鉄内部で演じられた責任回避の泥仕合であった。；見世同士、妓同士、客を取り合って泥仕合になるのを避けるためだ。；もうこうなれば忌でも泥仕合いをするよりほかはない。；そして待ちかまえているのは、鶏が先か、卵が先か的な、ありきたりな泥仕合だけだ。；さて、こうなってしまうともはや泥仕合である。；かつての親友の泥仕合は来るところまで来た。；私は泥仕合が好きなんです。；目下のところは、大隈の改進党と泥仕合をしているのがせいぜいの気勢であった。；これ以上になったら、際限のない泥仕合になるのは必定。；その後は、両社で電池の特許侵害を巡り提訴を起こす泥仕合となった。；何も知らぬ愚かなモノに言わせれば、それはうんざりするような薄着の泥仕合であるのかもしれない。；だが、泥仕合を続けただけで終わった。；払った、払わないじゃあいつまでたっても泥仕合である。</t>
        </is>
      </c>
      <c r="J6210">
        <f>HYPERLINK("https://www.weblio.jp/content/泥仕合", "词义详情")</f>
        <v/>
      </c>
      <c r="K6210">
        <f>HYPERLINK("https://yourei.jp/泥仕合", "查看例句")</f>
        <v/>
      </c>
    </row>
    <row r="6211">
      <c r="A6211" t="inlineStr">
        <is>
          <t>どろどろ</t>
        </is>
      </c>
      <c r="B6211" t="inlineStr">
        <is>
          <t>成功</t>
        </is>
      </c>
      <c r="C6211" t="inlineStr">
        <is>
          <t>［副］
１遠くの方で鳴りわたる雷や大砲などの音を表す語。「遠くで—（と）雷鳴がとどろく」
２大勢の人が一度に騒がしく移動するさま。どやどや。ぞろぞろ。
「紳士の一行が—と此方(こちら)を指して来る容子を見て」〈二葉亭・浮雲〉
［名］歌舞伎下座音楽の一。大太鼓を長ばちで打つもの。幽霊・妖怪などの出現、また、人物が正気を失うとき、夢からさめるときなどの場面に用いる。打ちかたによって、どろどろ・薄どろ・大どろの別がある。どろん。</t>
        </is>
      </c>
      <c r="D6211" t="inlineStr">
        <is>
          <t>どろどろととけ；どろどろと燃え</t>
        </is>
      </c>
      <c r="F6211" t="inlineStr">
        <is>
          <t>黄色いどろどろ；青いどろどろ</t>
        </is>
      </c>
      <c r="H6211" t="n">
        <v>29</v>
      </c>
      <c r="I6211" t="inlineStr">
        <is>
          <t>僕にはどろどろした何かが人間のふりをしているようにしか見えない。；叱るかと思っていた父は大声で笑い、どろどろした油薬をつけてくれた。；どろどろとした感情を抑えきれずにいる獣のような表情が顔に浮かんでいた。；その晩に父はどろどろした油薬のやうなものを拵へて来て塗つて呉れた。；どろどろとした感情の塊が、彼女の行く手をさえぎっているのが見えた。；そして倒れると同時に、その板の間が血でどろどろしているのを感じた。；どこでも、人間は、どろどろした苦しみを抱えて生きているのである。；そしてくずれてどろどろになった肉が血といっしょに流れ出していました。；どろどろの肉塊と化した女たちが、長い髪をふり乱して追いかけてくる。；そういうどろどろの土で穴がいっぱいになるようにするのです。；町の方ではまた猛烈な高射砲の音があがり、穴の土がどろどろとゆれた。；そこに足をふみこんだ自分も、どろどろになってしまうかもしれない。；田の水はどろどろだが、シャツにしみた水はきれいなのに気がついた。；勢いは強く、内容はどろどろと濃密で、その量も日ごとに多くなっていく。；と同時に柳の葉も震えるかと思うほど、どろどろと雷が鳴ったそうです。；心の中は、はっきりしない、どろどろしたものでいっぱいだったのでしょう。；ひゅーどろどろなんてベタな効果音を出された方の身にもなってみなさいよ。；茫漠とした意識野に瑣細な事物がどろどろところがっているだけだった。；悪魔の爪痕とも見えるその時から、どろどろと落下してきたのである。；様々な感情が交錯し、どろどろに渦巻き、真実が見えるようで見えない。；目は真っ赤に燃え、黒いくちびるからどろどろとした炎が流れ出ている。；私はやむをえず、どろどろした蕎麦湯を奥さんの見ている前で飲みました。；戦車どろどろ事件は、その筋をたいへんおどろかしもし、困らせもした。；降りつづいた長雨と積もった落ち葉とで地面はどろどろに黒ずんでいた。；それはもう明代ではなく、もっと得体の知れないどろどろしたものだった。；闇よりもさらに濃い、どろどろと形の定まらない暗黒の影の塊だった。；あるいはどろどろに液状化した大地の中に飲み込まれていいのにと思った。；隆二はそのどろどろした粥のような物を見、それが粟であることを感じた。；今に腐ってどろどろになる、と私を見ている沢山の眼は思っていた。</t>
        </is>
      </c>
      <c r="J6211">
        <f>HYPERLINK("https://www.weblio.jp/content/どろどろ", "词义详情")</f>
        <v/>
      </c>
      <c r="K6211">
        <f>HYPERLINK("https://yourei.jp/どろどろ", "查看例句")</f>
        <v/>
      </c>
    </row>
    <row r="6212">
      <c r="A6212" t="inlineStr">
        <is>
          <t>泥棒</t>
        </is>
      </c>
      <c r="B6212" t="inlineStr">
        <is>
          <t>成功</t>
        </is>
      </c>
      <c r="C6212" t="inlineStr">
        <is>
          <t>読み方：どろぼう
［名］(スル)人の物をぬすむこと。また、その人。ぬすびと。「—に入られる」「人の物を—してはいけない」</t>
        </is>
      </c>
      <c r="D6212" t="inlineStr">
        <is>
          <t>泥棒たち；泥棒みたい；泥棒稼業；泥棒ども；泥棒呼ばわり</t>
        </is>
      </c>
      <c r="E6212" t="inlineStr">
        <is>
          <t>略奪；賊；盗賊；盗み；盗む</t>
        </is>
      </c>
      <c r="F6212" t="inlineStr">
        <is>
          <t>馬泥棒；家畜泥棒；墓泥棒；車泥棒；税金泥棒</t>
        </is>
      </c>
      <c r="G6212" t="inlineStr">
        <is>
          <t>泥棒男爵；泥棒野郎；泥棒根性；泥棒日記；泥棒政治</t>
        </is>
      </c>
      <c r="H6212" t="n">
        <v>29</v>
      </c>
      <c r="I6212" t="inlineStr">
        <is>
          <t>つまり泥棒は普通の出入口から入ることは絶対に不可能だったのである。；誰も書類の事は知らないのに、泥棒はほかのものに目もくれなかった。；しかしながら彼は最初の活動の際に誤解を受けて泥棒だと思われてしまった。；侍女がわたくしを見て、泥棒だと言うまでは、思ってもいませんでした。；村の者は、奴は他国で泥棒してくるのだと蔭口をたたいていたのである。；それを背中に聞きながら、二人の泥棒は夢中で表に逃げて出ました。；雨の日も雪の日も野外で生活し、泥棒や狼から羊を命がけで守っていた。；この巡査が泥棒などを捉えに行く時でも決して旅費を持って行かない。；泥棒がどうすることもできないような財産もありうるであろう。；もし誰かが警察の役になるなら、別の誰かは泥棒の役になります。；泥棒にご飯を食べさせ、どうせなら夫の最後の絵を持っていってくれという。；逮捕されたと言いましても、泥棒なんかで逮捕されるのとはちがいますものねえ。；ところがその木に大きな穴が開いていて、泥棒は深い穴の底まで落ちてしまった。；他の子供達は彼を泥棒だと云つて、彼れを罰することを先生に求めた。；すっかりその気になった泥棒は明日を楽しみにして家を出る。；叔父が秘密を話しているとき、泥棒が聞いていたらと思うと、恐ろしいです。；一ヶ月前は何事もなかったが、数週間前から英国中の泥棒がやってきやがる。；女中はなお入口近くにいたが、泥棒の頭領が傍を通るときに言った。；泥棒をする、そのことが、本当に、彼には、腹が立つものゝようだった。；人を見たら泥棒と思へと昔の人は流石に見るところを見てゐる。；しかしその巨大さの故に彼らの墓泥棒対策も無駄な努力であった。；これについてはイギリス国内でも「泥棒と同じである」との批判があった。；一ヶ月留守にして帰つてきたら、泥棒が住んでゐたといふ次第なのである。；泥棒は女で、伯爵夫人邸へ行ったのは明らかにその書類を盗むためだ。；奇妙なことに、泥棒が食堂から盗んだのはほんの数枚の銀の皿だけであった。；それにまああなたの着物はよし大分荷物も持って居るようだから泥棒が付きますぞ。；数頭でかかれば泥棒だけでなく、狼をも殺すことができるともいわれている。；不二子が自らの目的を達成するため結成した「泥棒会社」ともいえる組織である。；ただしかなりドジな一面もあり、泥棒と客の見分けがつかなかったりする。</t>
        </is>
      </c>
      <c r="J6212">
        <f>HYPERLINK("https://www.weblio.jp/content/泥棒", "词义详情")</f>
        <v/>
      </c>
      <c r="K6212">
        <f>HYPERLINK("https://yourei.jp/泥棒", "查看例句")</f>
        <v/>
      </c>
    </row>
    <row r="6213">
      <c r="A6213" t="inlineStr">
        <is>
          <t>度忘れ</t>
        </is>
      </c>
      <c r="B6213" t="inlineStr">
        <is>
          <t>成功</t>
        </is>
      </c>
      <c r="C6213" t="inlineStr">
        <is>
          <t>読み方：どわすれ
［名］(スル)よく知っているはずの物事をふと忘れてしまって、どうしても思いだせないこと。胴忘れ。「知人の名前を—する」</t>
        </is>
      </c>
      <c r="D6213" t="inlineStr">
        <is>
          <t>忘れ；思い出せない；忘却；失念；健忘</t>
        </is>
      </c>
      <c r="H6213" t="n">
        <v>29</v>
      </c>
      <c r="I6213" t="inlineStr">
        <is>
          <t>度忘れしていた映画俳優の名前がようやく出てきたときのような気分だった。；それを度忘れするような不幸が起ころうとは、夢にも考えられなかった。；このとおり、まるでわざとみたいに、ど忘れしちまっているじゃないか。；それが単なる犯人の度忘れだなんて馬鹿なこととは思えない。；この男にも名前はあるのだが、おれはいつも度忘れしてしまう。；どうやら、度忘れしていたのか、勘違いしていたのを思い出した様子であった。；それとも、酔いのせいで、俺が親友の存在を度忘れしてしまったのか?；ただその点を作者は度忘れしたか思いちがいしたまでだろう。；なによりも、まだ耄碌する歳でもないのに、非常に屡々度忘れをした。；何か欲しいものがあったが、見つけられなかったので、探しに来て、ど忘れした。；なんて、ど忘れにもほどがある呟きをもらしながら学校を後にした。；今の今まで、徳次はそこに渡船場があるといふことを度忘れしてゐたのだつた。；三年だったか二年だったか、それとも一年だったか急に度忘れしてしまったのである。；ある日いつも降りる駅を度忘れをしてベルリンのまわりを二まわりまわったことがあった。；ピアニストの名は度忘れしたが、エロチックな曲はなじみ深いものだった。；おれとしたことが度忘れしてでてこぬぞ。；変な間が空いたので、名前を度忘れしたと思ったのだろう。；話の調子に乗った彼は、そのときまで、ことりとも音立てぬそのものを度忘れしていた。；歳を取ると、何でもないことを度忘れしてしまって。；ついさっき、この店に入りこむために工夫した口実を度忘れしていたのだった。；なぜそのような重大なことを度忘れしていたのだろう?；ほんとに変なんですが、いったい何の話をしているのか、ど忘れすることがよくあるんです。；僕はただお名前をど忘れしちゃったんです。；狂信者なら他の記憶がぼんやりするのはいいが、鈴木天空の名を度忘れするはずがない。；おれともあろうものが、とんだおかたのいらっしゃることを度忘れしていたもんじゃねえか。；どうしたのだろう、度忘れでもしたのだろうか。；ぼくは物理ですが、恭太君は、前におぼえていたはずの簡単なことも度忘れしてるんです。；心をそれに集中しようとすると、それはよく知っているのに度忘れした言葉のように、たちまちすり抜けてしまうのだった。；だが、彼は力場帯の副効果を度忘れしていたのだ。</t>
        </is>
      </c>
      <c r="J6213">
        <f>HYPERLINK("https://www.weblio.jp/content/度忘れ", "词义详情")</f>
        <v/>
      </c>
      <c r="K6213">
        <f>HYPERLINK("https://yourei.jp/度忘れ", "查看例句")</f>
        <v/>
      </c>
    </row>
    <row r="6214">
      <c r="A6214" t="inlineStr">
        <is>
          <t>鈍感</t>
        </is>
      </c>
      <c r="B6214" t="inlineStr">
        <is>
          <t>成功</t>
        </is>
      </c>
      <c r="C6214" t="inlineStr">
        <is>
          <t>読み方：どんかん
［名・形動］感じ方がにぶいこと。気がきかないこと。また、そのさま。「においに—になる」「皮肉の通じない—な人」⇔敏感。</t>
        </is>
      </c>
      <c r="D6214" t="inlineStr">
        <is>
          <t>鈍感な人間(3%)；鈍感な男；鈍感な女；鈍感な俺；鈍感な少年</t>
        </is>
      </c>
      <c r="E6214" t="inlineStr">
        <is>
          <t>平然；無感覚；無神経；禁欲主義；禁慾主義</t>
        </is>
      </c>
      <c r="F6214" t="inlineStr">
        <is>
          <t>どんな鈍感；ないほど鈍感</t>
        </is>
      </c>
      <c r="H6214" t="n">
        <v>29</v>
      </c>
      <c r="I6214" t="inlineStr">
        <is>
          <t>それでもだれかがいることに気づかないほど彼女は鈍感ではないだろう。；それは別の観点から見れば、鈍感で人に利用されやすい性質とも言えた。；雅子と寝てから数時間ほどしかたってないので若林は鈍感になっている。；子供であることを自覚させる会話を始めた母親の鈍感さに腹が立った。；君の友人のウエストン夫人が、これに気づかないほど鈍感だと思うかい?；この人は鈍感なのか敏感なのか、分からなくなるときがあるのである。；目の前の精霊警官は、こちらが期待した以上に鈍感なのかも知れない。；そして女は、こうした男の鈍感をよく知っているのだと思いました。；それを繰り返しているうちに患者の苦痛に対しては鈍感になっていくものだ。；人の心に鈍感な人間が周囲から信頼されるわけがないのである。；要するにこの鈍感な少年は、事態を全く履き違えていたりするのだった。；あの青脹れた鈍感な顔を見ているだけでも、この頃は息が詰りそうなのよ。；鈍感な人間が押しっけてくる善意ほど迷惑なものはない、と思ってきた。；あたし、今まであたしはあの人の鈍感さが嫌いだと思ってたのね。；前から自分の恋愛には、がさつというか大ざっぱというか、鈍感だから。；ようやく、鈍感な私にも、それが二人の痴戯であるのがわかってきた。；私が鈍感なのではなく、それこそ下司の勘ぐりと云う奴ではないのか。；料理はどれも気の抜けた鈍感な味だったけれど、僕にはまったく不満はなかった。；こんなものを「そのまま」とはよほどソニーの技術者の耳は鈍感なのか。；ルーが言っていたように人間はあまりに鈍感になっていますから。；それから非常に鈍感な驢馬のような感じの字もあるのであります。；というのは、醜に鈍感な人間が、美に敏感であるはずがないからである。；気付いてもよさそうなものだが、しかしみいこさんはかなりの鈍感なのだ。；この服装からすると、そう鈍感な神経の持ち主ではなさそうだった。；子供を育てている母親は、子供がしでかすあらゆることに鈍感になっていく。；全体的に温厚で優しそうには見えるが、少し鈍感なところがあるらしい。；と、才人は自分の鈍感さには気づかずに、ルイズにそんな感想を抱いた。；それでも電話してくるほど鈍感な子ではなかったことに、心冷たい私は感謝している。；最初の頃は、牛のように鈍感な男なのかと思ったが、すぐにその誤解は解けた。</t>
        </is>
      </c>
      <c r="J6214">
        <f>HYPERLINK("https://www.weblio.jp/content/鈍感", "词义详情")</f>
        <v/>
      </c>
      <c r="K6214">
        <f>HYPERLINK("https://yourei.jp/鈍感", "查看例句")</f>
        <v/>
      </c>
    </row>
    <row r="6215">
      <c r="A6215" t="inlineStr">
        <is>
          <t>どん底</t>
        </is>
      </c>
      <c r="B6215" t="inlineStr">
        <is>
          <t>成功</t>
        </is>
      </c>
      <c r="C6215" t="inlineStr">
        <is>
          <t>読み方：どんぞこ
いちばん下の底。また、物事の最悪・最低の状態。「貧乏の—」</t>
        </is>
      </c>
      <c r="D6215" t="inlineStr">
        <is>
          <t>どん底生活；どん底に沈ん；どん底状態；どん底に叩きこん；どん底に突きおとさ</t>
        </is>
      </c>
      <c r="E6215" t="inlineStr">
        <is>
          <t>最低；最悪；深み；深海；深淵</t>
        </is>
      </c>
      <c r="H6215" t="n">
        <v>29</v>
      </c>
      <c r="I6215" t="inlineStr">
        <is>
          <t>彼の眼に一人の人をどん底まで軽蔑しきつた嘲りの色がかたまりついた。；いよいよどん底へ落ちるまでは、あくまでも嘘をつき通していたかった。；自分が失意のどん底にいる間、この男は生きていくことを考えていたのだ。；だが、貧乏のどん底に突きおとされても写真のことだけは忘れられない。；こうして絶望のどん底に沈んでいると、一つの手がわたしの手に載せられた。；最後の最後まで、ロレンスはまさしくその空気のどん底にいたのだから。；ドルフは氷のやうな水層を蹴て、河のどん底まで沈んで行つたのである。；苦しみのどん底にいる友人に手を貸してやれないという無力感もあった。；そのせいもあろうが、このときの貞子は、どん底といった顔をしていた。；きちんとはしているが、ひどいどん底生活らしい、と彼は見てとった。；つまり世の中で、貧乏のどん底にいる人の自由になるものは何もない。；彼らはこの家で、同じようなどん底にいるたくさんの連中と親しくなった。；ドルフは氷のような水層を蹴って、河のどん底まで沈んで行ったのである。；この町が貧困のどん底にあることを如実にしめしているのは尖塔だった。；気持ちはどん底まで落ち、試合に出るのが嫌でたまらなかったという。；長者は悲しみのどん底に沈んで、己も死んだ者のようになっていた。；放銃役が自分以外に出てくるのは、自分がどん底を脱した証拠になる。；全世界が危急のどん底にあるなんてことはわからないらしいんですな。；どん底まで落ち込んで、ふたたび起き上がることが出来ないでいるんだ。；しかし、その彼は、またたちまちにして悲嘆のどん底に突き落とされた。；私どもは、どん底の冬の時代を知ってますが、若い人はそれを知らない。；悲惨のどん底にいた彼にとっては、すべてが希望であったからである。；自分自身を極端に惨めな絶望的などん底に置いて、そこから空嘯いてみた。；どん底の今、ぼくがずっと聞きたかった言葉を、一生懸命に言ってくれた。；すると向こうは、言ったな、俺たちはあいつをどん底から拾い上げたんだ。；そして目を開いては、絶望のどん底にまっ暗になって落ち込んでしまった。；人生のどん底を経験した評論家が、そこから学んだことを披露する。；どん底の生活に近いと云ってもいいやうな生活もあった。；君は僕の許婚の女を僕の手から奪って、僕を不幸のどん底におとしいれた。</t>
        </is>
      </c>
      <c r="J6215">
        <f>HYPERLINK("https://www.weblio.jp/content/どん底", "词义详情")</f>
        <v/>
      </c>
      <c r="K6215">
        <f>HYPERLINK("https://yourei.jp/どん底", "查看例句")</f>
        <v/>
      </c>
    </row>
    <row r="6216">
      <c r="A6216" t="inlineStr">
        <is>
          <t>とんだ</t>
        </is>
      </c>
      <c r="B6216" t="inlineStr">
        <is>
          <t>成功</t>
        </is>
      </c>
      <c r="C6216" t="inlineStr">
        <is>
          <t>［連体］話し手の判断の範囲を越えていることをさしていう。
１意外な。思いのほかの。「—長居を致しました」
２とりかえしのつかない。こまった。「—失敗をしでかした」
３道理にはずれた。よくない。「—心得違いというものだ」
［副］たいへん。非常に。
「—可愛らしい、温(おとな)しそうな娘(こ)だったよ」〈柳浪・骨ぬすみ〉</t>
        </is>
      </c>
      <c r="D6216" t="inlineStr">
        <is>
          <t>とんだ御；とんだ迷惑；とんだ恥；とんだ地形；とんだ苦労</t>
        </is>
      </c>
      <c r="E6216" t="inlineStr">
        <is>
          <t>ひどく；大変；ずいぶん；たいへん；至って</t>
        </is>
      </c>
      <c r="H6216" t="n">
        <v>29</v>
      </c>
      <c r="I6216" t="inlineStr">
        <is>
          <t>この中でだれかが殺されたら、とんだ非難をあびせられたことだろうね。；とドブに石を投げ込んだような音がして、灰色の塊が腹から宙へとんだ。；久振りで俳諧の話でもしようと思つたら、とんだ喧嘩になつてしまつた。；台所へ入って茶の仕度をしていると、いきなり洋子の激しい声がとんだ。；この人は派手好きに違いないと思っていたのに、とんだ勘違いのようだ。；そのうち、彼女はそのバイヤーの何かではないかなどという噂もとんだ。；いやとんだ失礼なことを申上げまして、どうか気を悪くしないで下さい。；その頃例の暗殺という噂が乱れとんだ加藤清正の死があったからである。；どういう意味と目的とからにしろ、彼ぐらい計画性にとんだ作家はいません。；そのために、彼女は姫の右手から白い薔薇がとんだのに気がつかなかった。；疲れの全部、ブランデーの効果のほとんどが、一瞬のうちに消しとんだ。；本当のサント・エレーヌ伯爵だったりすると、とんだことですからなあ。；しかし石は波の上を切って、一つ大きくとんだだけで沈んでしまった。；彼は自分の性格を暴露して、とんだ自己紹介をやってのけたわけである。；うちのが我を忘れて頂きすぎたので、とんだ御迷惑をおかけ申しました。；いや、写本の話をしているうちに、とんだところへ先走りしてしまった。；「モーゼもとんだところに奴隷たちを連れてきたものだ」 と彼は思った。；これはこれ、とんだ感違いをいたしたかと、彼はびくつき出したのである。；無形の力がその腕から発せられ、ひとりが胸を打たれて後ろに吹きとんだ。；こんなものが残っていると、とんだ手がかりにならねえとも限らねえ。；あんな小説をおぼえていたばっかりに、とんだことになってしまった。；どうも大佐からは、とんだ邪魔者だというふうに思われているらしい。；そして、三人がはなればなれにならないように、とんだのでありました。；万が一でも、とんだご迷惑をおかけするようなことになってはいけない。；とんだ戦利品を手に入れてしまったものだ、とスパークは途方にくれた。；そう思っていると、橋の半ばを過ぎた提灯がいきなり暗い宙に跳ねとんだ。；だが、生命を失いながらも後にとんだ野坂の血と体重を受けてよろめく。；若者はとんだ拾い物をしたと思って、いわれるままにその家に住みました。；もしそれが採用されていたとしたら、とんだ恥をかくところだった。</t>
        </is>
      </c>
      <c r="J6216">
        <f>HYPERLINK("https://www.weblio.jp/content/とんだ", "词义详情")</f>
        <v/>
      </c>
      <c r="K6216">
        <f>HYPERLINK("https://yourei.jp/とんだ", "查看例句")</f>
        <v/>
      </c>
    </row>
    <row r="6217">
      <c r="A6217" t="inlineStr">
        <is>
          <t>とんでもない</t>
        </is>
      </c>
      <c r="B6217" t="inlineStr">
        <is>
          <t>成功</t>
        </is>
      </c>
      <c r="C6217" t="inlineStr">
        <is>
          <t>［形］《「とでもない」の音変化》
１思いもかけない。意外である。「—・い人にばったり出会う」「—・い発明」
２もってのほかである。「—・い悪さをする」
３まったくそうではない。滅相もない。相手の言葉を強く否定していう。「—・い、私は無関係だ」
[補説] 「とんでも」に「ない」の付いた形だが、「とんでも」が単独で使われた例はなく、「とんでもない」で一語と見るのがよい。とすれば、「ない」を切り離して「ありません」「ございません」と置き換えて丁寧表現とするのは不適切で、丁寧に言うなら「とんでもないことです」「とんでもないことでございます」「とんでものうございます」と言わなければならない。しかし、最近は「とんでもありません」「とんでもございません」と言う人が多くなっている。平成19年（2007）2月文化審議会答申の『敬語の指針』では、相手からのほめ言葉に対して謙遜しながら軽く打ち消す表現として「とんでもございません（とんでもありません）」を使っても、現在では問題ないとしている。なお、「とんでもない」には「もってのほかだ」と強く否定する意味もあり、「とんでもないことでございます」を使う場合は注意が必要と『指針』は述べている。</t>
        </is>
      </c>
      <c r="D6217" t="inlineStr">
        <is>
          <t>とんでもない話(3%)；とんでもない間違い；とんでもない方向；とんでもない事件；とんでもない誤解</t>
        </is>
      </c>
      <c r="E6217" t="inlineStr">
        <is>
          <t>大変；激しい；恐ろしい；ひどい；厳しい</t>
        </is>
      </c>
      <c r="F6217" t="inlineStr">
        <is>
          <t>なにかとんでもない；こんなとんでもない；とんでもない失敗；とんでもない事態；とんでもない量</t>
        </is>
      </c>
      <c r="H6217" t="n">
        <v>29</v>
      </c>
      <c r="I6217" t="inlineStr">
        <is>
          <t>それを見て、自分はとんでもない間違いをしていたんだと反省しました。；とにかくとんでもねえ女でな、オレが着いた頃には人間やめてたんだよ。；私はパリの習俗に無経験だったので、とんでもない誤解をしてしまった。；ぐずぐずしているうちに、とんでもないことにならんとも限らんからね。；だが歩きだしてみて、とんでもない困難に直面しているのに気がついた。；などと過去を思い出していたら、佐紀がとんでもないことを言い始めた。；先生とんでもない方面へ捜査の手をのばしちまっているんですからねえ。；おれたちをとんでもないところへ連れてったら、ただじゃおかんからな。；おまけに、処刑されるのはとんでもない悪党だというではありませんか。；とんでもなく大きな音を立て、彼女の小柄な体が木の扉にぶち当たった。；後に夫人は「とんでもない亭主だった」と笑いながら取材に答えている。；何かとご機嫌をとっているうちに、娘がとんでもないことをいい出した。；これを見たら、彼は私がとんでもない罪をおかしたと思ったかもしれない。；道路をわたるときに、二台の馬車がとんでもない速さで走ってきたのです。；様子がおかしい事に不安を覚えたが、その後の桜はとんでもなく元気だった。；そこに海外からとんでもない大会が開かれたことが聞こえてくる。；第一、腕をむきだしにするなんて、とんでもないことではありませんか。；お前だってこんなとんでもねえ発想を持つ女と会いたくはないだろ!?；美と云ふ奴は妙なもので、とんでもない物が、非常な美と変化する事がある。；すると枕山先生は早速車で寺へ御出でになりまして、とんでもない事だ。；自分では気がつかなかったが、とんでもないことをしてしまったのだった。；振り返ったときの自分の声がとんでもなく大きかったことを自覚していた。；私がお金のためにあんな真似をしたなんて、とんでもないことだわ。；そんなにひとり合点なさいましては、とんでもないことになりましょう。；何かとんでもなく不思議なものを最後に目撃でもしたみたいに。；誰一人として予想しえないような、とんでもなく恐ろしい話であった。；とんでもない事になったが、もはや歌わないわけにはいかないだろう。；そしてとんでもない勝手なところへいってしまうので、ゆだんがならない。；あのひとを疑うなんて、とんでもないことだといわせてもらいたいんです。</t>
        </is>
      </c>
      <c r="J6217">
        <f>HYPERLINK("https://www.weblio.jp/content/とんでもない", "词义详情")</f>
        <v/>
      </c>
      <c r="K6217">
        <f>HYPERLINK("https://yourei.jp/とんでもない", "查看例句")</f>
        <v/>
      </c>
    </row>
    <row r="6218">
      <c r="A6218" t="inlineStr">
        <is>
          <t>どんどん</t>
        </is>
      </c>
      <c r="B6218" t="inlineStr">
        <is>
          <t>成功</t>
        </is>
      </c>
      <c r="C6218" t="inlineStr">
        <is>
          <t>［副］
１物を続けざまに強く打ったり大きく鳴らしたりする音を表す語。「扉を乱暴に—（と）たたく」「花火が—（と）あがる」
２物事が勢いよく進行するさま。また、物事をためらわないでするさま。「仕事が—はかどる」「遠慮しないで—相談に来てください」</t>
        </is>
      </c>
      <c r="D6218" t="inlineStr">
        <is>
          <t>どんどん大きく(2%)；どんどん歩い；どんどん進ん；どんどん近づい；どんどん小さく</t>
        </is>
      </c>
      <c r="E6218" t="inlineStr">
        <is>
          <t>早く；ずっと；続けて；徐々に；いつまでも</t>
        </is>
      </c>
      <c r="F6218" t="inlineStr">
        <is>
          <t>これからどんどん；どんどんふえ；どんどん食べ；どんどん膨らん；どんどん走りつづけ</t>
        </is>
      </c>
      <c r="G6218" t="inlineStr">
        <is>
          <t>どんどん焼き；どんどん焼け；どんどんどん；どんどんどんの森；どんどん亭</t>
        </is>
      </c>
      <c r="H6218" t="n">
        <v>29</v>
      </c>
      <c r="I6218" t="inlineStr">
        <is>
          <t>私の血はどんどんと頭へ逆流して物の判断もつかないようになりました。；そのお庭をどんどん歩いて行くと、このうえもなく美しい森に出ました。；矢をどんどん放ったとき、矢の当たった範囲の大きさが精度に相当する。；ユダヤ人は適格性を欠くとされて文化面からどんどん排除されていった。；デビュー前から期待していた馬で、期待通りどんどん強くなっています。；彼は千早館の前を通りぬけ、どんどん反対の方向へ春部を連れていった。；その声はどんどん大きくなり、やがて観客席全体から響き渡るのだった。；長いものは翌日になって、どんどんと硝子窓をひびかせて爆発していた。；合わせられない場合はそのセクションを捨てて次へどんどん進んでしまう。；「もういいから」 西山さんは手を振りきってどんどん列車の方に行く。；病を患っている設定に合わせて、会うたびにどんどん痩せていくんです。；しかしその後はどんどん子鼠が生まれて、一時は五十ぴき近くになった。；面白いもの、良いものがあれば値段、質に関係なくどんどん使うという。；そういっているうちにも、家も森も川も、どんどん小さくなっていく。；キャラクターのイメージはその開発中にどんどん変わっていった。；彼女の雇い主は『母親』のイメージを維持するためどんどん食べさせた。；舟もいないのに鉄人Qは石段をどんどん、おりていくではありませんか。；語ろうとしなければ問題はどんどん深刻化し消えることはないのです。；ジェンがルシーの手を引いて自宅の方にどんどん歩いていく場面で終わる。；見下ろせば逆に低くなるが、見下ろさない限りどんどん高くなってゆく。；そのうえ肉の味も良いため、イギリス国内でどんどん広がっていった。；以上のような要因で、映画の撮影期間は予定を超えてどんどん延びていった。；しかしドイツ国民にはヒンデンブルク伝説はどんどん影が薄くなっていた。；少女をのせたゾウは、どんどん走って八幡神社の森の中へはいりました。；一緒に仕事をしているうちに、3人はどんどん親密な関係になっていった。；軍を率いる将軍が死ぬと、以後ユニットがどんどん崩壊していく。；彼は本作を一日がどんどん悪くなっていく男の喜劇と表現した。；一家はガソリン不足に苦しみ、状況がどんどん悪化していくように思われた。；そしてこの翼はどんどん彼を前へ前へと進めてくれます。</t>
        </is>
      </c>
      <c r="J6218">
        <f>HYPERLINK("https://www.weblio.jp/content/どんどん", "词义详情")</f>
        <v/>
      </c>
      <c r="K6218">
        <f>HYPERLINK("https://yourei.jp/どんどん", "查看例句")</f>
        <v/>
      </c>
    </row>
    <row r="6219">
      <c r="A6219" t="inlineStr">
        <is>
          <t>とんとん拍子</t>
        </is>
      </c>
      <c r="B6219" t="inlineStr">
        <is>
          <t>成功</t>
        </is>
      </c>
      <c r="C6219" t="inlineStr">
        <is>
          <t>読み方：とんとんびょうし
［名・形動］物事が順調にはかどること。また、そのさま。「交渉が—に運ぶ」</t>
        </is>
      </c>
      <c r="H6219" t="n">
        <v>29</v>
      </c>
      <c r="I6219" t="inlineStr">
        <is>
          <t>が、あとはとんとん拍子に進み、食事をし一緒に酒を飲むようになった。；ここまでは、意外なことであったが、とんとん拍子にはかどっていった。；初めての契約がとれて以来、瑞恵はとんとん拍子に営業成績を上げていた。；若主人とおぼしき男性がたまたまいて、話はとんとん拍子に進んでいった。；一つのことがうまくゆくと、あとは、とんとん拍子にうまくゆくものです。；確かに、制作がそれまでのようにとんとん拍子というわけには行かなかった。；話はとんとん拍子に進み、数日後にはあの鬱蒼とした森に囲まれた石の館の前に立っていた。；攻略ガイド片手にとんとん拍子で話を進めたせいで、レベル上げを忘れていたのだ。；結婚の話はとんとん拍子に進んだが、年寄株のほうは思いどおりにはいかなかった。；定太郎の代になってからも、事業はとんとん拍子に発展し続けた。；彼はこの発言の後銀千両を賜り、位もとんとん拍子に上がった。；とんとん拍子に行っている人が好きなだけの話よ。；当時のことを「自分が思い描いていた以上にとんとん拍子だった」と越野。；とんとん拍子にことが成功する時、人間の希望は際限もなくひろがるものだ。；その打算は当たって、現在の位置までとんとん拍子に進んで来た。；ほんの遊び半分からこの業界に入って、たまたまとんとん拍子にいっただけだ。；挫折らしい挫折をせず、とんとん拍子にエリートの階段を駆け上ってきた。；それがきっかけで意気投合し、結婚して一緒に商売をしようと話がとんとん拍子に進んだのだ。；それからのちのかれはとんとん拍子で、雪だるま式に産をふとらせた。；話はとんとん拍子に進み、わずかの期間で結婚話はまとまった。；しかし、それはとんとん拍子に進む話よりも、むしろ頼もしい感じでもあった。；しかしこの直後の1月中はとんとん拍子に仕事を得ていたものの、徐々に仕事は減っていった。；柴田が首都圏の学校に就職していた仲間を加え、その後はとんとん拍子に昇格した。；結果として、話はとんとん拍子に進みはじめたようであった。；とんとん拍子に、彼が考えている方向へ話がすすんでいくのを加藤はそらおそろしい気持で聞いていた。；高校の近くではじめて話し合ったときに、とんとん拍子に話がまとまってしまいました。；特に英語の語り口は絶妙であり、とんとん拍子に数多くの傑作を自分のものとしていった。；またとんとん拍子で出世して、四年の内には次官にまで昇進した。；そう、とんとん拍子にいっちゃ苦労はありませんや。</t>
        </is>
      </c>
      <c r="J6219">
        <f>HYPERLINK("https://www.weblio.jp/content/とんとん拍子", "词义详情")</f>
        <v/>
      </c>
      <c r="K6219">
        <f>HYPERLINK("https://yourei.jp/とんとん拍子", "查看例句")</f>
        <v/>
      </c>
    </row>
    <row r="6220">
      <c r="A6220" t="inlineStr">
        <is>
          <t>どんな</t>
        </is>
      </c>
      <c r="B6220" t="inlineStr">
        <is>
          <t>成功</t>
        </is>
      </c>
      <c r="C6220" t="inlineStr">
        <is>
          <t>［形動］
１はっきりしないそのものの状態・性質・程度などを想像しようとするさま。「—人が来るのだろう」「—にかうれしかったろう」「—ものをお探しですか」
２物事の状態・性質・程度などに左右されないさま。「—物でも買い取る」「—に悲しくとも泣かない」
[補説]連体形に「どんな」「どんなな」の二形がある。連体形として一般には「どんな」の形が用いられるが、助詞「の」に続くときなどは「どんなな」の形が用いられる。「通信事情が悪いので、今の状況がどんななのか、よくわからない」</t>
        </is>
      </c>
      <c r="D6220" t="inlineStr">
        <is>
          <t>どんなこと(10%)；どんなもの(5%)；どんなふう(3%)；どんな顔；どんな風</t>
        </is>
      </c>
      <c r="E6220" t="inlineStr">
        <is>
          <t>どういう；どのような；如何なる；いかような</t>
        </is>
      </c>
      <c r="F6220" t="inlineStr">
        <is>
          <t>一体どんな；どんな場合；どんな女；どんな話；どんな仕事</t>
        </is>
      </c>
      <c r="G6220" t="inlineStr">
        <is>
          <t>どんなときも；どんな時も；どんないいこと；どんなにどんなに；どんなときもwifi</t>
        </is>
      </c>
      <c r="H6220" t="n">
        <v>29</v>
      </c>
      <c r="I6220" t="inlineStr">
        <is>
          <t>相手がどんな手を出してくるかを考えて出す手を決める事が重要となる。；まことの両親は離婚しており、それが彼にどんな影響を与えたかは不明。；奴らがどんな如何わしい物を読んでいるかを示す目的で集めているのだ。；この靖国神社への公式参拝がどんな形になるか神社界で注目されている。；どんな立場でも自分の能力を最大に発揮していくことのできる人間。；第1は、理想的な科学理論にはどんな要素が必要かということに関わる。；自分が誰よりも早く最終目標を達成する為ならどんな手段を使っても許される。；どんな時代にでも多くの場所に沢山の数の悟りを得た存在に事欠かない。；今まで、どんな男と関係したのかを考えると気が狂ってしまいそうになる。；どんな武器であったか神話中に記載はないが、一般に剣とされている。；また、試合ではどんな状況でも常に同じ機嫌でマウンドに走って向かう。；MSでは中枢神経障害に基づく症候であればどんなものでも出現しうる。；どんな素材をどのように加工するかで、さらに幾つかの種類に分類される。；西川はどんな有機化合物が適当かは仁田が自分で決めるように指示した。；目的は、どんな潜在的政治的反対勢力も物理的に排除することであった。；装置自体は小型であり、どんな機体であっても搭載が容易であるとされている。；しかしどんな夢を見ても思い通りに行かず失敗を繰り返してしまう。；ダイアナとドディがどんなルートを取るかなど誰も知らなかったのだから。；その日はどんな日なのか、どんな出来事があったのかなどを紹介。；どんな場所だろうと、私が到着するまで決して始めさせることはなかったのだ。；どんなキーパーであっても一人でゴールマウスを守ることは不可能である。；だったらベートーヴェンの作品のCDを一枚出すのにどんな額になる?；親父の言葉は業務命令だから、どんなことがあっても反論しちゃいかん。；私は大統領へのどんな敬意も義務で負わされているとは思いません。；過去や未来などを見るためのテレビで、どんな時代や場所でも見ることができる。；エンジニアはアメリカでどんな素晴らしい生活が待っているのか想像する。；しかし、ラムはどんな姿になろうとも必死にあたるを見つけようとする。；どんなものでもバルーンアートで作ることができるが、時間がかかる。；ただ誰も戦いの際にアラモ近辺にどんな旗がはためいたのかは分からない。</t>
        </is>
      </c>
      <c r="J6220">
        <f>HYPERLINK("https://www.weblio.jp/content/どんな", "词义详情")</f>
        <v/>
      </c>
      <c r="K6220">
        <f>HYPERLINK("https://yourei.jp/どんな", "查看例句")</f>
        <v/>
      </c>
    </row>
    <row r="6221">
      <c r="A6221" t="inlineStr">
        <is>
          <t>どんなに</t>
        </is>
      </c>
      <c r="B6221" t="inlineStr">
        <is>
          <t>成功</t>
        </is>
      </c>
      <c r="D6221" t="inlineStr">
        <is>
          <t>どんなにいいだろ；どんなに大きな；どんなにひどい；どんなに辛い；どんなに喜ん</t>
        </is>
      </c>
      <c r="E6221" t="inlineStr">
        <is>
          <t>いくら；いかに；どれだけ；いくらか；どれほど</t>
        </is>
      </c>
      <c r="F6221" t="inlineStr">
        <is>
          <t>たとえどんなに；どんなにすばらしい；どんなに驚い；どんなに長く；どんなに急い</t>
        </is>
      </c>
      <c r="H6221" t="n">
        <v>29</v>
      </c>
      <c r="I6221" t="inlineStr">
        <is>
          <t>僕はそれを聞いていることにどんなに胸を躍らして喜んだことでしょう。；だが、どんなに急いでも慌てても、彼にはどうすることも出来ないのだ。；ああ、一体そこにはどんなに驚くべき事件の正体が暴露していたろうか。；しかしどんなにこうした傾向があろうとも、以下のことは確かである。；誰がどんなに間違っているか、いないかは全級の生徒に一目瞭然である。；彼は、どんなに心の中で楽しみにして、その日を待っていたでしょう。；八っちゃんがどんなになったかと思うと、僕は本当に淋しく悲しかった。；彼はどんなに無害なことでも心にもない口をきくことができなかったから。；船に乗りつけている人々はどんなに気取っても歩きつきで判るのである。；そんなことが流行しては、国民の意気はどんなに沮喪することでしょう。；きみのおうちでは、どんなに心配しているかしれやしないんだからね。；私はあなたがどんなにお怒りになつてもどうおわびしてよいか分りません。；さっきから来るだろうと思って、どんなに待っていたか知れないよ。；しかし本当のことをいったら、母はどんなに心配するかもしれない。；どんなに早まったところで、彼には少しの危険さえなかった筈である。；今度は綾川がどんなに腰を入れても俊光の足は地面から離れなかった。；どんなにわるい悪魔でも、これ以上にひどいことはできなかったでしょう。；この手でやれば、どんなに出来ないやつだって、出来るようになるぜ。；わたしがどんなに感謝しているか、ことばにあらわせないほどですよ。；そんなことがあるやうになれば私はどんなにうれしいかわからない。；そのような展開がどんなに長くなるかも同様に明確になった。；どんなに絶望的な状況になっていってもアンネは最後まで希望を捨てなかった。；神近や宮島には、僕等二人が御宿でどんなに困っているかは分らなかった。；わたしはどんなに愛していた女とでも一時間以上話しているのは退窟だった。；どんなに複雑な機械装置でも、単純な機械要素を組み合わせて構成される。；わたしは、あなたのお帰りをどんなに待っていたかしれませんよ。；主人は、いっさいの話を小僧から聞いて、どんなに喜んだかしれません。；しかし確信は、どんなに弱くとも、決定された事物に自身を固定させる。；それをみずからおさえるのに、どんなにか苦労しなければならなかった。</t>
        </is>
      </c>
      <c r="J6221">
        <f>HYPERLINK("https://www.weblio.jp/content/どんなに", "词义详情")</f>
        <v/>
      </c>
      <c r="K6221">
        <f>HYPERLINK("https://yourei.jp/どんなに", "查看例句")</f>
        <v/>
      </c>
    </row>
    <row r="6222">
      <c r="A6222" t="inlineStr">
        <is>
          <t>丼</t>
        </is>
      </c>
      <c r="B6222" t="inlineStr">
        <is>
          <t>成功</t>
        </is>
      </c>
      <c r="C6222" t="inlineStr">
        <is>
          <t>読み方：どん
「どんぶり」の略。「うな—」「天—」</t>
        </is>
      </c>
      <c r="D6222" t="inlineStr">
        <is>
          <t>丼飯(6%)；丼物；丼いっぱい；丼ぶり；丼めし</t>
        </is>
      </c>
      <c r="E6222" t="inlineStr">
        <is>
          <t>ボール；鉢；椀；ボウル；碗</t>
        </is>
      </c>
      <c r="F6222" t="inlineStr">
        <is>
          <t>唐揚げ丼；大丼；小丼；かき揚げ丼；ラーメン丼</t>
        </is>
      </c>
      <c r="G6222" t="inlineStr">
        <is>
          <t>丼鉢；丼料理；丼池；丼勘定；丼太郎</t>
        </is>
      </c>
      <c r="H6222" t="n">
        <v>29</v>
      </c>
      <c r="I6222" t="inlineStr">
        <is>
          <t>まだ丼に箸はつけていないというのに、どうやら話が始まる様子だった。；僕たちの前にある唐揚げ丼は、手をつけられぬまま冷めようとしていた。；親子丼などの丼もの以外に、うどんにも力を入れているのが特徴である。；天ぷら三個で丼一杯のゴハンをまかなうのはかなりの困難が予想された。；二人はまるで暗くて響きの強い丸天丼の下ででも話しあっている気持がした。；惣菜付の丼一つの価は楽屋の様子から考へて二十銭より以上の筈はない。；一人は盆の上に飯と汁の丼をのせ、一人は大きな茶瓶を持ってきていた。；こうなると日本食でなければ力がつかないだろうということでテンプラ丼。；こんにちのうなぎ丼は、こんな背景のもとに成立した発明品なのである。；安は助けを求めるように厚子を見たが、厚子はだまって丼を洗っていた。；待つことしばらくして、盆で突き出したやつを見ると、丼がたった一つ。；立った椅子にファイルを置き、丼を抱えて、医師は部屋を出て行った。；その控え室では既に二、三の学生が肩をすぼめて丼飯をかきこんで居た。；作られたばかりらしく、丼からはほかほかと温か げな湯気が立っている。；彼れは腹がけの丼の中を探り廻わしてぼろぼろの紙の塊をつかみ出した。；机の下にはからになった中華そばの丼が二つ並べておいてある。；こういう店では、よもやプラスチックの丼を使っているとは誰も思わない。；鶏肉と鶏卵以外を材料とする丼の中にも「親子丼」と称する料理がある。；半分も食べないうちに丼を置き、少女の膝に手をかけて料理の腕前をほめた。；丼物だけだったが、食事は何杯でも只で喰べられるようになっていた。；ただし、丼に直接口をつけてスープを飲むことはあまり行われないようである。；冷房の利いた部屋に戻ると、マユミがテーブルの上に丼や皿を並べていた。；千穂子は猫にも汁飯を少しよそって、あがりっぱなに丼を置いてやった。；都合今夜は丼飯三杯食べたわけで、腹は苦しくって歩くのも大儀になった。；待つことしばらくして盆で突き出したやつを見ると、丼がたった一つ。；店の人間が持って来た丼の中には、ただタレのかかった飯だけが入っていたのだ。；「ご苦労さま」 蓋を取ってみると注文通り丼に天ぷらが盛上っていた。；こうした店で、丼を持ちあげたとたんビクッとしている人をよく見かける。；刑事たちは彼女の向かいの席に座り、丼ひとつを挟んで容疑者と対面した。</t>
        </is>
      </c>
      <c r="J6222">
        <f>HYPERLINK("https://www.weblio.jp/content/丼", "词义详情")</f>
        <v/>
      </c>
      <c r="K6222">
        <f>HYPERLINK("https://yourei.jp/丼", "查看例句")</f>
        <v/>
      </c>
    </row>
    <row r="6223">
      <c r="A6223" t="inlineStr">
        <is>
          <t>問屋</t>
        </is>
      </c>
      <c r="B6223" t="inlineStr">
        <is>
          <t>成功</t>
        </is>
      </c>
      <c r="C6223" t="inlineStr">
        <is>
          <t>読み方：といや
１商法上、自己の名で他人のために物品の販売や買い入れをするのを業とする者。→とんや（問屋）
２江戸時代、荷主から委託された貨物を販売したり、または、商品を仕入れて販売したりした卸売商人。中世の問丸(といまる)が分化・発達したもの。</t>
        </is>
      </c>
      <c r="D6223" t="inlineStr">
        <is>
          <t>問屋仲間；問屋さん；問屋筋；問屋役；問屋業</t>
        </is>
      </c>
      <c r="E6223" t="inlineStr">
        <is>
          <t>仲買人；仲買；卸売業者；卸商；卸問屋</t>
        </is>
      </c>
      <c r="F6223" t="inlineStr">
        <is>
          <t>酒問屋；紙問屋；呉服問屋；卸問屋；魚問屋</t>
        </is>
      </c>
      <c r="G6223" t="inlineStr">
        <is>
          <t>問屋街；問屋町；問屋制家内工業；問屋無用論；問屋営業</t>
        </is>
      </c>
      <c r="H6223" t="n">
        <v>29</v>
      </c>
      <c r="I6223" t="inlineStr">
        <is>
          <t>当初問屋の評価は低かったが、子供の支持を受け大ヒット商品となった。；服は問屋で母が選んでくれて20歳で初めて服を自分で買ったという。；ことなどを挙げ、一つの部門で取引する問屋は一軒に限定していた。；無株の者が荷主と取引すると、問屋から訴えて、その営業を停止させた。；しかし、現在でも海苔問屋が数十社あり、海苔流通の中心となっている。；その店は問屋からガチョウを買ったということなので、問屋も訪問した。；それに伴い、販売を「東京酒問屋組」に依拠する割合は低下していった。；問屋とメーカーの垣根は今後も低くなっていくことが考えられる。；宿役人の問屋や村役人の名主などの居宅が指定されることが多かった。；それまで茶の輸出は横浜の問屋業者がアメリカ合衆国の貿易商社へ卸していた。；問屋街は、問屋が集中して形成された街の一帯を表す言葉である。；菓子問屋の社長だった父と大分県中津市出身の母との間に生まれる。；それに対応する形で、翌5月に会社を立ち上げ問屋業を開始した。；雑喉場問屋は鮒魚仲間から営業範囲侵害について訴えられたこともある。；私は農協や問屋が入らずに、自分で作って自分で売っています。；荷物や人夫の継ぎ立てを行う問屋の業務は半月毎の交代制であった。；株仲間とは、問屋などが一種の座を作り、カルテルを形成することである。；京・大坂では造り酒屋が自分の販売所を各都市に持っているので問屋は存在しなかった。；従来は問屋を介して卸していたプロユースにメーカー直送の流れを作った。；問屋は、日用雑貨や食料品などの流通を製造業と小売業の間で支えている。；小増言人は従来の問屋と対抗しながら徐々に成長していった。；同時にオランダにて日本食品輸入販売、及び日本食問屋業を始める。；そのため、好評を博し、問屋から注文が予想以上に来ることとなった。；その様子を見ていたおもちゃ問屋から、自社で扱いたいと声が掛かる。；慶応年間の城下図には魚問屋の福島屋や魚会所、魚市場が描かれている。；群馬の卸問屋を経て、結婚を機に実家のある新潟県十日町市にUターン。；町を代表するのは五十集問屋の大商人たちで、肴町では毎日魚の市が立った。；油問屋とは、江戸時代に燈油を中心とした油の販売を取り扱った問屋のこと。；製品は愛知県三河地方を中心に、全国の市場・消費地問屋・専門店へ流通。</t>
        </is>
      </c>
      <c r="J6223">
        <f>HYPERLINK("https://www.weblio.jp/content/問屋", "词义详情")</f>
        <v/>
      </c>
      <c r="K6223">
        <f>HYPERLINK("https://yourei.jp/問屋", "查看例句")</f>
        <v/>
      </c>
    </row>
    <row r="6224">
      <c r="A6224" t="inlineStr">
        <is>
          <t>どんより</t>
        </is>
      </c>
      <c r="B6224" t="inlineStr">
        <is>
          <t>成功</t>
        </is>
      </c>
      <c r="C6224" t="inlineStr">
        <is>
          <t>［副］(スル)
１空が曇って重苦しく感じられるさま。空気などが濁って不透明なさま。「—（と）曇った日」「—（と）よどんだ沼の水」
２目が濁って生気が感じられないさま。「—（と）した目つき」</t>
        </is>
      </c>
      <c r="D6224" t="inlineStr">
        <is>
          <t>どんよりと曇り(2%)；どんよりと暗い；どんよりと澱ん；どんよりと暗く；どんよりと重く</t>
        </is>
      </c>
      <c r="F6224" t="inlineStr">
        <is>
          <t>どんよりと淀ん；どんよりと曇つて；あいかわらずどんより；どんより澱ん；どんよりと鈍い</t>
        </is>
      </c>
      <c r="H6224" t="n">
        <v>29</v>
      </c>
      <c r="I6224" t="inlineStr">
        <is>
          <t>火のそばには、どんよりと疲れた目をした若者が震えながら立っていた。；太陽が一時的に霧で隠れたので、海はどんよりとした灰色になっている。；私はじっと彼を見つめ、その目がどんより曇っていることを見てとった。；なにも言わずにただどんよりと濁った眼をこちらに向けるばかりである。；空はどんよりと濁り風は折々高い木の梢に雨のような響きをたてている。；おまけにどんより曇っているらしく、空には月もなければ星もなかった。；君も覚えているだろう、客間にどんより曇った小さな鏡がかかっている。；ついに東の断崖に達したのはどんより曇ったある日の午後のことだった。；早朝には晴れ渡っていた空は、どんよりとした鈍色の雲に覆われていた。；どんよりとくもった空の下に、火はあいかわらず勢いよく燃えています。；汚れたガラスから昼の光が差し込むけれど、外はどんよりとした曇り空。；そのどんよりした目には懶惰と人のよさとから出た平和が見えている。；広い前ガラスには一面ただどんよりとした空があるだけだった。；外はどんよりと曇っていて、夕方には雨になるだろうという予報だった。；城久子が病室へ行ったときは、彼の意識はすでにどんよりと曇っていた。；どんより曇ったキラーパンサーの瞳にふと何かが走り、何かが浮かんだ。；どんよりとした灰色の目は血走り、肉づきのいい大きな鼻は豚のようだ。；それから一週間ほどのちの、どんよりとくもった日の夕方のことでした。；十時すぎには、空はどんよりした雲に覆われ、大粒の雨が降り始めた。；これがあの明るかった娘かと思うほど、どんよりとした顔になっていました。；理不尽な力に抑えつけられて、人も街もどんよりと暗い印象がするのである。；しないまでも、どんよりした目つきで、じッと女だけの場所をみていた。；葉子の心は風のない池か沼の面のようにただどんよりとよどんでいた。；私はその部屋の空気がどんよりと白く濁っているような気がした。；庄左衛門はどんよりと、その腕から女が今感じているものを自分も感じた。；或る黄昏禅僧はお綱と二人でどんよりと澱んだ古沼のふちを通っていた。；或る黄昏禅僧はお綱と二人でどんよりと澱んだ古沼のふちを通つてゐた。；月は暈を持っているせいで、どんよりと濁った光を地上に投げている。；人の頭がどんよりと目を開き、米粒のような歯をのぞかせてなにか言った。</t>
        </is>
      </c>
      <c r="J6224">
        <f>HYPERLINK("https://www.weblio.jp/content/どんより", "词义详情")</f>
        <v/>
      </c>
      <c r="K6224">
        <f>HYPERLINK("https://yourei.jp/どんより", "查看例句")</f>
        <v/>
      </c>
    </row>
    <row r="6225">
      <c r="A6225" t="inlineStr">
        <is>
          <t>名</t>
        </is>
      </c>
      <c r="B6225" t="inlineStr">
        <is>
          <t>成功</t>
        </is>
      </c>
      <c r="C6225" t="inlineStr">
        <is>
          <t>読み方：な
１ある事物を他の事物と区別するために、それに対応するものとして与える、言語による記号。名前。
㋐一般に、その事物の呼び方。「人と—の付く生き物」「花の—」
㋑ただ一つしか存在しないものとしての、その事物の固有の呼び方。「富士という—の山」「—もない島」
㋒その人の、固有の呼び方。氏名。姓名。また、姓に対して、家の中でその人を区別する呼び方。「初対面で—を名乗る」「子に—を付ける」
㋓その集団・組織などの呼び方。「学校の—」
２集団・組織などを代表するものとして、表向きに示される呼び方。名義。「会社の—で登記する」
３
㋐評判。うわさ。「好き者の—が広がる」
㋑名声。名誉。「世に—の聞こえた人物」「家の—を傷つける」
㋒守るべき分際。名分。→名を正す
４
㋐うわべの形式。体裁。「会社とは—ばかりの個人経営」
㋑表向きの理由。名目。「福祉事業の—で営利をむさぼる」
[下接語] 徒(あだ)名・渾(あだ)名・宛(あて)名・家名・一名・浮き名・氏(うじ)名・烏帽子(えぼし)名・大(おお)名・贈り名・幼(おさな)名・男名・替え名・隠し名・仮(か)名・唐(から)名・国名・源氏名・小路(こうじ)名・小(こ)名・醜(しこ)名・通り名・殿名・暖簾(のれん)名・又の名・真(ま)名・物の名・大和(やまと)名・呼び名・童(わらわ)名</t>
        </is>
      </c>
      <c r="D6225" t="inlineStr">
        <is>
          <t>名以上；名程度；名選手；名にちなん；名全員</t>
        </is>
      </c>
      <c r="E6225" t="inlineStr">
        <is>
          <t>名前；有名；名称；呼称；評判</t>
        </is>
      </c>
      <c r="F6225" t="inlineStr">
        <is>
          <t>十名；二名；三名；バンド名；郡名</t>
        </is>
      </c>
      <c r="G6225" t="inlineStr">
        <is>
          <t>名称；名付け；名古屋；名義；名誉</t>
        </is>
      </c>
      <c r="H6225" t="n">
        <v>29</v>
      </c>
      <c r="I6225" t="inlineStr">
        <is>
          <t>彼らの中には稀代のエンターテイナーとして歴史に名を残した者もいる。；is式の構文が拡張され、型の後ろに変数名を宣言できるようになった。；elseに対応するifがどちらかはっきりしないことからその名がある。；ハクもまた名を奪われ、自分が何者であったのかを思い出せずにいた。；もう1名はこの裁判にはもとから批判的な判事だったとされている。；そのイベントで最もポイントを多く獲得した1名がポイント対象。；そして要素内にある属性は、互いに属性名が異なっていなければならない。；数名からなるチームで交代しながら走行するものも多い。；人が互いを呼び合う際には、氏と名の全てを呼ぶことは多くない。；以下のプロジェクト名の中には定訳がないものもあるのに注意。；したがってどの範囲で名を与えるかは人間とそれとの関わりによって変わる。；円盤の中には4名の人影が何らかの作業をしている様子が見えた。；ヨーロッパ諸語で金星をウェヌスに相当する名で呼ぶのはこのためである。；しかしながら国民登録においては4つの名の記載を求める国が多い。；彗星にはその彗星を独立発見した人の名前が先着順で3名までつけられる。；養子の場合にはもとの姓を家族名の後ろにつけた。；主人公名がそのままタイトルになっている作品が多い。；なお、カナダの機械印は局名表示が無く郵便番号しか書かれていない。；かつては規模の大きい加盟国からは欧州委員会委員を2名出していた。；なお、SP2以降では起動画面でエディション名が表示されなくなった。；恩賞を確実に貰えたわけではないが、これによって名を上げた武士もいる。；哲学以外の大抵の学問は、分野名を聞いただけでおおよその内容が察せる。；乗客の何名かは、タイタニックの船体が折れる音を聞いたと証言している。；円筒埴輪の一種で、基台の上に朝顔のような器がついた形状からその名がある。；クラス名が大文字から始まるのは、クラス名が大域変数だからである。；添え名は国家に功績のある場合などに元老院の決議などにより与えられた。；これら以外に、ガガーリンの名を関したものに以下のものがある。；大統領は首相を任命し、その補佐を受けて17名の大臣も任命する。；ブリッジと名はついているが、コントラクトブリッジとは全く関係がない。</t>
        </is>
      </c>
      <c r="J6225">
        <f>HYPERLINK("https://www.weblio.jp/content/名", "词义详情")</f>
        <v/>
      </c>
      <c r="K6225">
        <f>HYPERLINK("https://yourei.jp/名", "查看例句")</f>
        <v/>
      </c>
    </row>
    <row r="6226">
      <c r="A6226" t="inlineStr">
        <is>
          <t>ない</t>
        </is>
      </c>
      <c r="B6226" t="inlineStr">
        <is>
          <t>成功</t>
        </is>
      </c>
      <c r="C6226" t="inlineStr">
        <is>
          <t>《「な」は地、「い」は居の意》
１大地。地盤。「ない震(ふ)る」「ない揺(よ)る」などの形で、地震が起こる意で使われることが多い。
「下動(とよ)み—が揺り来ば破(や)れむ柴垣」〈武烈紀・歌謡〉
２地震。
「恐れのなかに恐るべかりけるはただ—なりけり」〈方丈記〉</t>
        </is>
      </c>
      <c r="D6226" t="inlineStr">
        <is>
          <t>ないだろ；ないまま；ないでしょ；ないはず；ない限り</t>
        </is>
      </c>
      <c r="E6226" t="inlineStr">
        <is>
          <t>ありません；ございません；足りない；乏しい；あらず</t>
        </is>
      </c>
      <c r="F6226" t="inlineStr">
        <is>
          <t>ならない；できない；しれない；られない；わからない</t>
        </is>
      </c>
      <c r="G6226" t="inlineStr">
        <is>
          <t>ないか；ないと；ないしは；ないん；ないがしろ</t>
        </is>
      </c>
      <c r="H6226" t="n">
        <v>29</v>
      </c>
      <c r="I6226" t="inlineStr">
        <is>
          <t>お前さんのような飲んだくれにはその時にならなけりゃあ分らないのさ。；わたしは自分に演技の才能がないってことに早くから気づいていたんだ。；米国では理論だけの研究はほとんどなく理論と実証の往復が重視される。；まだ正式公開されていない上記以外の環境やカーネル版もいくつかある。；レストランでは、これらの全てを注文しなければならないわけではない。；アルゴリズムは最終的に必ず停止しなければならないとする定義もある。；核のない戦略なんてアメリカ軍がするはずないってみんな思ってるわよ。；表面にマグネタイトを形成する方法が一般的だがまったく充分ではない。；母を持たない我子は孤児になる方がましなのではなからうかと思ひます。；俺は俺のそうしたものを窓のなかへ吸いとられているのではなかろうか。；とは言うものの、先にも述べたように味の全く分らぬ者はまずなかろう。；それを自分が事業で成功して、 証明しなきゃならないと思ったんです。；このように真理概念は特定の言語に相対的に定義されなければならない。；そうしてこの矛盾は何とかして融和させねばならぬものではなかろうか。；またあの背の高いお嫌ひな人が君でなくってはならなかったらどうする。；違うのはこいつ自身が別に美夏に特別な興味を持ってないって点である。；子どものときでさえ、あいつはぼくを手ばなさなきゃならなかったんだ。；こっちに結婚の意志がないってことを、なかなか納得してくれないのよ。；でも主人は地位を維持しようと思うなら、我慢しなきゃならないんです。；わたしは彼とでなけりゃ取り引きをするなっていわれてきてるんだから。；いやむしろ、あなたがそれに与えた解釈は真の命題でなければならない。；あたしを慕っているどこかの人からでももらったのかもしれなくってよ。；実際には何度も観測されてはいたが惑星とは認識されていなかった。；生きている張りがなくなって、わたしも長いことはないって言っただけ。；まさかお前さんがそんなことを思うだろうとは、わたし思わなくってよ。；夢であろうとなかろうと、私はかつて知っており、その時も知っていた。；なぜそんな目に会った人たちは、助けを求めなけりゃならないのかしら?；その時僕たちはどうしても北の方に行かなきゃいけないようになるんだ。；賊は一言でも口を利いたら命がないって宣言しているじゃありませんか。</t>
        </is>
      </c>
      <c r="J6226">
        <f>HYPERLINK("https://www.weblio.jp/content/ない", "词义详情")</f>
        <v/>
      </c>
      <c r="K6226">
        <f>HYPERLINK("https://yourei.jp/ない", "查看例句")</f>
        <v/>
      </c>
    </row>
    <row r="6227">
      <c r="A6227" t="inlineStr">
        <is>
          <t>内科</t>
        </is>
      </c>
      <c r="B6227" t="inlineStr">
        <is>
          <t>成功</t>
        </is>
      </c>
      <c r="C6227" t="inlineStr">
        <is>
          <t>読み方：ないか
全身性あるいは内臓などの病気を、主に薬物療法によって治療する医学・医療の分野。呼吸器科・循環器科・消化器科などに分けられ、医療の中で最も広い領域。⇔外科。</t>
        </is>
      </c>
      <c r="D6227" t="inlineStr">
        <is>
          <t>内科的(5%)；内科病棟(4%)；内科学会(3%)；内科部長(2%)；内科医(2%)</t>
        </is>
      </c>
      <c r="F6227" t="inlineStr">
        <is>
          <t>日本内科；第三内科；第二内科；病院内科；青山内科</t>
        </is>
      </c>
      <c r="G6227" t="inlineStr">
        <is>
          <t>内科学；内科画廊</t>
        </is>
      </c>
      <c r="H6227" t="n">
        <v>29</v>
      </c>
      <c r="I6227" t="inlineStr">
        <is>
          <t>こうして彼は、内科を経由して、私のいる病院にやってきたのであった。；彼女は不眠症で、そのために月に二度病院の精神内科に通っているんだ。；だが、内科病棟の実習生では二人が不合格だったことがやがて判明した。；内科病棟で死んだ人は、ほとんど全員が最後の時間を個室で送っている。；太陽を翳らせる巨大な幕のような雲に背中を向け、内科の入院棟へ戻った。；ただ外科の進みかたは内科と全然ちがったテムポをもっているだけです。；これらの疾患がある場合はCEAは内科的治療単独と比較が十分ではない。；眼を覚ましてすぐ、治安官は、そこが内科の検査室であることを知った。；一方で、内科など専門でないことを診察の断りの口実にすることもある。；上原は当時、ある協会の付属病院の副院長兼内科部長をしていたのである。；父は内科及び外科の両方を行う医者で、自然科学に強い関心を持っていた。；優秀な内科医がふたりいるが、開業医のうちのたいていのものは有能だ。；混雑している内科や小児科の待合室などとは違い、ほとんど人気がない。；昨年暮れまで、腹の調子が悪いと偽っては内科で精神安定剤を得ていた。；しかし、内科の医者の電話は、私と違って人命に関わるかもしれない。；同病院は、福岡県福津市に存在し、主に内科系・心療内科をおいている。；内科は外側から患者を診察して、中の病気を予測し、治療をするので難しい。；その後は同大学第一内科に勤務し、稲田教授と共に研究活動を始める。；五官にも、そして恐らく内科系にもまったく障害はないように見えた。；内科的治療の効果が認められない場合は外科手術の適応を検討する。；私はいつのまにか内科病棟三号室で最も古株の患者になってしまった。；外科・内科・歯科・耳鼻科のほか、入院室・事務所で構成されていた。；内科のお医者で今戦争に行っている人はしっかりしていると思っているのですが、どうかしら。；だから専門は内科などの臨床医であって、決して法医学の専門家ではない。；よって内科などでも充分な治療が受けられることがある。；第二内科出身者が、第三内科の教授に就任することは異例であった。；今日、パスした者は明日、精密な内科検査を受けることになっていた。；最初の内科部長となったオスラーは研修医制度を始めた人物と考えられている。；ホテル内の旅行者やこの界隈のオフィスマンを相手にした内科診療所だ。</t>
        </is>
      </c>
      <c r="J6227">
        <f>HYPERLINK("https://www.weblio.jp/content/内科", "词义详情")</f>
        <v/>
      </c>
      <c r="K6227">
        <f>HYPERLINK("https://yourei.jp/内科", "查看例句")</f>
        <v/>
      </c>
    </row>
    <row r="6228">
      <c r="A6228" t="inlineStr">
        <is>
          <t>内閣</t>
        </is>
      </c>
      <c r="B6228" t="inlineStr">
        <is>
          <t>成功</t>
        </is>
      </c>
      <c r="C6228" t="inlineStr">
        <is>
          <t>読み方：ないかく
１国家の行政権を担当する最高の合議機関。首長である内閣総理大臣およびその他の国務大臣で組織され、行政権の行使について国会に対して連帯して責任を負う。また、天皇の国事行為に助言と承認を与え、その責任を負う。職務として、一般行政事務、外交関係の処理、条約の締結、予算の作成、政令の制定などの事務を行う。日本では明治18年（1885）太政官制を廃止して設置。
２中国、明・清代の国政の最高機関。明初、中書省を廃止したのち、宰相の職として明の永楽帝が殿閣大学士（のち内閣大学士と改称）を置き、内閣と称したのに始まる。清代に軍機処が設置されたのち、しだいに実権を失った。</t>
        </is>
      </c>
      <c r="D6228" t="inlineStr">
        <is>
          <t>内閣告示；内閣発足；内閣総理大臣秘書官；内閣総理大臣賞；内閣大学士</t>
        </is>
      </c>
      <c r="F6228" t="inlineStr">
        <is>
          <t>同内閣；前内閣；現内閣；岸田内閣；後継内閣</t>
        </is>
      </c>
      <c r="G6228" t="inlineStr">
        <is>
          <t>内閣府；内閣官房；内閣官房長官；内閣府特命担当大臣；内閣改造</t>
        </is>
      </c>
      <c r="H6228" t="n">
        <v>29</v>
      </c>
      <c r="I6228" t="inlineStr">
        <is>
          <t>原は不満であったが、内閣崩壊を防ぐためこの役割を果たすこととなった。；そこで人心を新たにするために、内閣に参与制度を作ることにしました。；そのような行為が時の内閣を支援するためになるという発言である。；州の内閣はコミッショナーと呼ばれる各種州機関の長で構成される。；これらの権限は内閣の助言に基づき行使され、内閣の承認を必要とする。；他州と同様に知事の内閣を構成する州役人の多くも州民の選挙で選ばれている。；内閣は取り下げには同意したが、二度と提案しない約束には拒否した。；ただ天皇は内閣の存続等に関する問題を全て元老に下問したわけではない。；内閣に相当する閣僚評議会のメンバーは、首相が大統領に推薦し任命される。；日本では国会法により、国会議員は内閣に質問することができるとする。；この頃チェコスロヴァキアでは政変が発生し、民族戦線内閣が崩壊した。；事件の翌日に内閣は総辞職し、次の総理には軍人出身の齋藤實が就任した。；議院内閣制を採用しており、内閣は議会の信任を得なければならない。；しかし戦時内閣は全員一致でイタリアを含めた無条件降伏要求方針を求めた。；アンティル政府は態度をはっきりさせず、スリナムの内閣も同様であった。；その方法の一つとして内閣の一員に最高司令官を加えることを挙げている。；またフランス最初の近代的な内閣制の運営が始まった。；内閣に設置された「成長力底上げ戦略推進円卓会議」の委員にも就任した。；公安委員会全体としては実際的には通常の国家での内閣の性格を持っていた。；選挙後の第二次内閣の組閣に当たった時にブラントは入院していた。；首相と内閣に相当する閣僚評議会のメンバーは、大統領が任命する。；ちょうどその頃、ニューカッスル公爵内閣は外交面で失態を続けていた。；なお、この場合によらず、内閣は任意に衆議院を解散できると解釈される。；政治の実権は行政府たる内閣にあり、その長である首相は総督が任命する。；内閣は議会の明示的、あるいは暗黙的な多数派に依拠しなければならない。；以後しばらくの間、純然たるブルジョア内閣の時代が続くことになる。；この結果、再びボールドウィン保守党内閣に政権交代されることとなった。；内閣に相当する閣僚評議会のメンバーは首相の指名に基づき、大統領が任命する。；内閣に相当する閣僚評議会のメンバーは、首相の推薦に基づき大統領が任命する。</t>
        </is>
      </c>
      <c r="J6228">
        <f>HYPERLINK("https://www.weblio.jp/content/内閣", "词义详情")</f>
        <v/>
      </c>
      <c r="K6228">
        <f>HYPERLINK("https://yourei.jp/内閣", "查看例句")</f>
        <v/>
      </c>
    </row>
    <row r="6229">
      <c r="A6229" t="inlineStr">
        <is>
          <t>乃至</t>
        </is>
      </c>
      <c r="B6229" t="inlineStr">
        <is>
          <t>成功</t>
        </is>
      </c>
      <c r="C6229" t="inlineStr">
        <is>
          <t>読み方：ないし
［接］
１あるいは。または。「電話—手紙で知らせる」
２数量などの上下・前後の限界を示して、その中間を省略するときに用いる語。「三年—五年かかる」</t>
        </is>
      </c>
      <c r="D6229" t="inlineStr">
        <is>
          <t>乃至科学(2%)；乃至技術；乃至哲学；乃至歴史科学；乃至文化</t>
        </is>
      </c>
      <c r="F6229" t="inlineStr">
        <is>
          <t>理論乃至科学；性乃至；哲学乃至；技術乃至；文学乃至</t>
        </is>
      </c>
      <c r="H6229" t="n">
        <v>29</v>
      </c>
      <c r="I6229" t="inlineStr">
        <is>
          <t>理論的乃至論理的なことをそれだけで科学的だと考えている人もいる。；芸術の内で最も複雑に理論乃至科学と交渉しているものは文芸である。；文学に於ける思想なるものは理論乃至科学に於ける夫とは別な形態なのだ。；技術学の第一の対象が道具乃至機械であることは云うまでもない。；人々はその時、旧力学乃至旧物理学の破産をさえ口にしたものであった。；そういう用語・範疇・を使う処の民衆乃至国民の日常常識にあるのである。；学問乃至科学一般はその理想から云って唯一で単一な統一物でなくてはならぬ。；この判断の領域を通じて人々は存在乃至真理に通達し得ると考えられる。；どれも公的乃至半公的なグループが曖昧に私的化した場合に他ならない。；それは我々の希望や乃至其他の理由によるのではない、実に必至である。；自然的形成過程も一種の人文的形成過程、即ち教育乃至教養と見られた。；人間精神の発展が政治的乃至政治学的に把握されていたのであった。；旅におけるかような解放乃至脱出の感情にはつねに或る他の感情が伴っている。；一頃新聞乃至ジャーナリズムに関する書物を買うことにしたこともある。；これは既にあった用水乃至自然の小川が注いだためと考えられている。；さて現在日本に於て行われている批評乃至評論はどういう性質のものであるか。；なる程官吏乃至一般にお役人位い社会的に優遇されているものはない。；第二の道は弁証法を理解するために、思惟乃至論理自身の限界を指摘する。；夫は無論群衆乃至集団の心理学である、併し実はただそれだけではない。；処が部分は運動し得る筈であったからこの接触乃至付着も変化し得るものでなくてはならぬ。；処がそのことと軍部の支配機構に於ける地位乃至有力さとは別だ。；元来は社会的乃至歴史的原因によって発生した虚偽な意識の意味であった。；芸術乃至文学の社会的批評が科学的批評であるかのように考えられたこともある。；こゝ二三カ月乃至半年の間に、それは自分にも明らかになるだろう。；知覚乃至感覚が発生する実際上の条件そのものが、この経験組織だったのである。；彼等の書くものは、もはや、歌舞伎乃至新派俳優の手におへぬものである。；俺の犯罪は、俺の個人的利害、職業、感情、乃至財産との関係ではない。；従ってそれだけこの電子の運動量乃至速度の測定は不精密にならざるを得ない。；科学は知識乃至認識の或る特別な組み合わせの場合に他ならないだろうからである。</t>
        </is>
      </c>
      <c r="J6229">
        <f>HYPERLINK("https://www.weblio.jp/content/乃至", "词义详情")</f>
        <v/>
      </c>
      <c r="K6229">
        <f>HYPERLINK("https://yourei.jp/乃至", "查看例句")</f>
        <v/>
      </c>
    </row>
    <row r="6230">
      <c r="A6230" t="inlineStr">
        <is>
          <t>内緒</t>
        </is>
      </c>
      <c r="B6230" t="inlineStr">
        <is>
          <t>成功</t>
        </is>
      </c>
      <c r="C6230" t="inlineStr">
        <is>
          <t>読み方：ないしょ
《「ないしょう（内証）」の音変化》
１「ないしょう（内証）2」に同じ。「—の話」「—にする」
２「ないしょう（内証）3」に同じ。
３「ないしょう（内証）4」に同じ。
「ですがね、花魁、余り我儘ばかりなさると、私が御—で𠮟られますよ」〈柳浪・今戸心中〉</t>
        </is>
      </c>
      <c r="D6230" t="inlineStr">
        <is>
          <t>内緒話(10%)；内緒事；内緒ごと；内緒ばなし；内緒でこっそり</t>
        </is>
      </c>
      <c r="E6230" t="inlineStr">
        <is>
          <t>秘密；言えない；非公式；プライベート；極秘</t>
        </is>
      </c>
      <c r="H6230" t="n">
        <v>29</v>
      </c>
      <c r="I6230" t="inlineStr">
        <is>
          <t>してみると、その内緒話というのは大変な秘密を持っていたと思われる。；ある日、長男が留学先から家族に内緒で結婚した妻を伴って帰国してきた。；従って学校の帰りに映画館の看板を見てくるのも親には内緒だった。；俺にこんなことを依頼することは、もちろん上の方には内緒なんだろう?；しかしその日は内緒でバッティング投手をやってくれないかと頼まれた。；そこで彼女には内緒でエディーはある拳闘試合に出場する契約を結んだ。；私は、自分一人の意志で、誰にも内緒で電話をしているのだと言った。；そこで、母には内緒で大塚の病院を訪ねてみよう、と決心いたしました。；な、もし内緒にしてくれるんなら、おれが狙ってるヤマが二つ三つある。；そして、後から一人で内緒で練習するのに、その印画紙を使うのだった。；その時を待っていた私は、ようやく誰にも内緒で母に連絡を取った。；唯円 私もいつまでもいたいのですが、お師匠様に内緒で来たのですから。；君がいくら内緒にと頼んでも、僕の耳にはいらないわけはないじゃないか。；そのくせ妻に内緒で若い彼女に小さなバーをやらせていたりする。；祥子さまは、小笠原家男性陣にはこのことを内緒にしておきたいらしい。；そんなことは分かっていて、それでも俺は、この話を内緒にしていた。；また、松山千春のコンサートには、内緒で先輩に袖幕に入れてもらった。；お嬢様が、あなたの妻だということは、皆に内緒の時に知っていました。；でも、有哉にはしばらく前から周りには内緒にしている秘密があった。；叔母に頼んで両親に内緒にしておいてもらうというのはまず不可能だった。；けど多喜二はわだしが心配すると思って、しばらく内緒にしていたの。；残りは倒産した時の債務の一部にあてたが、病妻には内緒にしていた。；母は娘に内緒で、生田川に見える鳥を射た方に娘をやると約束してしまう。；もちろん、香凜がもうひとつのメデューサを持っているのは内緒だった。；母には内緒で、父の手に矧かれ、少女は何度も老人の店に足を運んだ。；モデルクラブに入っていて、時々学校に内緒で仕事をしているとのことだった。；「あなたが内緒にしておいてくれるなら」と、男は口に指をあてて言った。；二人はさきほどから内緒話のように息を殺して小声で話していた。；この事は当時の家族に内緒であったが、妻はすべてお見通しであったという。</t>
        </is>
      </c>
      <c r="J6230">
        <f>HYPERLINK("https://www.weblio.jp/content/内緒", "词义详情")</f>
        <v/>
      </c>
      <c r="K6230">
        <f>HYPERLINK("https://yourei.jp/内緒", "查看例句")</f>
        <v/>
      </c>
    </row>
    <row r="6231">
      <c r="A6231" t="inlineStr">
        <is>
          <t>内職</t>
        </is>
      </c>
      <c r="B6231" t="inlineStr">
        <is>
          <t>成功</t>
        </is>
      </c>
      <c r="C6231" t="inlineStr">
        <is>
          <t>読み方：ないしょく
［名］(スル)
１本職とは別に、収入を得るためにする仕事。副業。
２家庭の主婦などが家計の助けに主として自宅でする賃仕事。
３授業中などにこっそり別の勉強などをすること。</t>
        </is>
      </c>
      <c r="D6231" t="inlineStr">
        <is>
          <t>内職仕事</t>
        </is>
      </c>
      <c r="E6231" t="inlineStr">
        <is>
          <t>アルバイト；副業；サイドビジネス；サイドワーク；サイドジョブ</t>
        </is>
      </c>
      <c r="H6231" t="n">
        <v>29</v>
      </c>
      <c r="I6231" t="inlineStr">
        <is>
          <t>残り一畳半のスペースには、母親の内職材料が山のように積んであった。；それは、一年ほど前に、妻が自分からいい出してはじめた内職であった。；足袋生産の多くを下請け工場や内職従事者に依存した生産体制であった。；半分は楽しみであったろうが半分は内職にしているらしいという事であった。；以前は授業を聞いていた者も、受験のために内職をするようになっていた。；夫婦二人きりの家庭で、母とは針仕事の内職から知り合ったものらしい。；侍の内職などいうものがそろそろはじまったのもこのころからのことである。；そしてその横ではいつも暗い目をして母親が内職をしていた。；幼い時は早くして父を亡くしたため貧しく、母が内職をして生活を支えた。；今日明日の小口の金に困っている人間は多く、内職はけっこう繁盛した。；その母親は、子供を背中にくくりつけ、髪ふりみだして内職をしていた。；あの二人は内職みたいなことから始めて、会社をここまでにした。；庄兵衛のいわばそれが内職で、非番の遊びは実益を兼ねているのである。；それから一年程もすると、僕は雑誌編輯者の内職にありつくことが出来た。；以前にもそんな内職をしたことがあったからでございます。；店の一隅に事務机があり、その人はそこでタイプの内職をしているのである。；だから道場に通う間があったら内職でも何でもしなくちゃならねえ。；女房が子供の世話をみながら内職してどうやらその日その日をくらすことができた。；表向きは知らぬ振りをしているが、勿論私の内職のことを承知しているのである。；わたしが夜も昼も内職に精を出して、あなた一人くらい養ってあげます。；妻は洋裁が得意で、高木の無名時代には、妻が内職をして家計を支えた。；まだ名前も聞いていないその女は、翌日になると縫物の内職を仕入れてきた。；吟子は何か内職をと考えたが、勉強に追われてする暇もなかった。；そんな花を内職で簡単に生み出せるのなら、貧乏はしておらぬそうだ。；おれのうちじゃ、いつの代でも、そんな内職をした女房はひとりもいないぞ。；ただ座っていればいい授業ならいくらでも内職できるが、体育は駄目だ。；それでこの家が最も大きく、内職に旅籠屋もやれるというわけであった。；で、はじめて百蔵老は、実に驚くべき内職話を披露したのである。；軍談師が内職に糸を縒つて居るので軍談師だから聲が變なのだと思つた。</t>
        </is>
      </c>
      <c r="J6231">
        <f>HYPERLINK("https://www.weblio.jp/content/内職", "词义详情")</f>
        <v/>
      </c>
      <c r="K6231">
        <f>HYPERLINK("https://yourei.jp/内職", "查看例句")</f>
        <v/>
      </c>
    </row>
    <row r="6232">
      <c r="A6232" t="inlineStr">
        <is>
          <t>内心</t>
        </is>
      </c>
      <c r="B6232" t="inlineStr">
        <is>
          <t>成功</t>
        </is>
      </c>
      <c r="C6232" t="inlineStr">
        <is>
          <t>読み方：ないしん
１表に出さない気持ち。心のうち。心中。副詞的にも用いる。「—を打ち明ける」「—びくびくだった」
２三角形の内接円の中心。三つの内角それぞれの二等分線が交わる点に一致する。⇔外心。</t>
        </is>
      </c>
      <c r="D6232" t="inlineStr">
        <is>
          <t>内心ほっと；内心ひそか；内心大いに；内心得意；内心苦笑</t>
        </is>
      </c>
      <c r="E6232" t="inlineStr">
        <is>
          <t>考え；心；胸；つもり；腹</t>
        </is>
      </c>
      <c r="F6232" t="inlineStr">
        <is>
          <t>内心穏やか；内心ほくそ笑ん；内心ひどく；内心忸怩；内心不満</t>
        </is>
      </c>
      <c r="G6232" t="inlineStr">
        <is>
          <t>内心的効果意思</t>
        </is>
      </c>
      <c r="H6232" t="n">
        <v>29</v>
      </c>
      <c r="I6232" t="inlineStr">
        <is>
          <t>それでも彼は、内心の或る恐れと不安とをどうすることも出来なかった。；兄の内心の考えもそこにあったに違いないように私には思われました。；僕は彼の内心では僕の秘密を知る為に絶えず僕を注意しているのを感じた。；僕は彼の内心では僕の秘密を知る為に絶えず僕を注意してゐるのを感じた。；それは僕がまだ一度も触れたことのない心の領域へと僕を誘うものだった。；そして、彼女の方でも私を愛し続けてることと、内心では自惚れていた。；このことを聞くと、私は、何とも云へない心の寒さを感じはじめてゐた。；私は彼女の表情のうちに内心を押隠した努力の影を見ることが出来た。；愛妻と、それから研究と内心の喜びとの生活だけで、彼には十分だった。；自分は本当に拘りない心になって千鶴子を迎えることが出来るだろうか。；この先も、亮子以外の人間とは経験できそうにない心弾むことに思えた。；その様子には清まで笑い出したが然し彼女は内心ひどく慴えきっていた。；人間のことは自分たちを養うための存在と見ているが内心では怖れている。；実現して眼のあたり見た上でない以上やはり内心不安であり、空虚である。；向うも内心ジタバタしているが、別の意味でこちらもジタバタしている。；所が大違ひ外部こそ同じだが内心はどんな人の前でも何とも思はない。；そして内心では、彼女が私を引きとめてくれるものと期待していた。；それゆえ池田を内心では尊敬していなかったのが大きな理由だといわれていた。；曹操は内心撤退したいと思ったが、見栄を張り撤退の指示をしなかった。；書物も紙も机も灰になつてしまつたのだが、私の内心の昂揚を感じた。；というと私も大変強そうだが内心もう船が出なければ幸いだろうと考えて見たりした。；私はそんなことが果して出来るかどうかを内心大に疑っておりました。；わたしが内心大いに煩悶しているところを見て、やがて彼女は言いました。；書物も紙も机も灰になってしまったのだが、私は内心の昂揚を感じた。；私はこの時両先生が、何故こんなに大喜びをするのか、内心妙に思っていた。；私は内心事件の成行きに未練があったけれど、一人居残る訳にも行かぬ。；私が当時の父に逃避者を認めて内心に父を責めてゐたのは実は間ちがつてゐた。；彼が黙っていればいるほど、兼子の眼は益々彼の内心へ向けられていった。；これを聞いた英布も漢への帰順を了承したが、内心では決めかねていた。</t>
        </is>
      </c>
      <c r="J6232">
        <f>HYPERLINK("https://www.weblio.jp/content/内心", "词义详情")</f>
        <v/>
      </c>
      <c r="K6232">
        <f>HYPERLINK("https://yourei.jp/内心", "查看例句")</f>
        <v/>
      </c>
    </row>
    <row r="6233">
      <c r="A6233" t="inlineStr">
        <is>
          <t>内線</t>
        </is>
      </c>
      <c r="B6233" t="inlineStr">
        <is>
          <t>成功</t>
        </is>
      </c>
      <c r="C6233" t="inlineStr">
        <is>
          <t>読み方：ないせん
１屋内の電線。⇔外線。
２会社などで、内部相互間の電話線。「—番号」⇔外線。
３内側の線。⇔外線。</t>
        </is>
      </c>
      <c r="D6233" t="inlineStr">
        <is>
          <t>内線番号(9%)；内線作戦(5%)；内線突破(2%)；内線通話(2%)；内線ボタンを押し</t>
        </is>
      </c>
      <c r="E6233" t="inlineStr">
        <is>
          <t>親子電話；ホームテレホン；ホームテレフォン</t>
        </is>
      </c>
      <c r="F6233" t="inlineStr">
        <is>
          <t>廓内線；米国内線；内線電話交換</t>
        </is>
      </c>
      <c r="G6233" t="inlineStr">
        <is>
          <t>内線規程；内線および外線作戦</t>
        </is>
      </c>
      <c r="H6233" t="n">
        <v>29</v>
      </c>
      <c r="I6233" t="inlineStr">
        <is>
          <t>当初全国型内線サービスと呼ばれていたが、現在はこの名前になっている。；俺は、電話の置かれていたデスクにあったリストを見ながら内線をかけた。；彼と私との間を一本のみえない線がだんだん距りをみじかくしてくる。；なのに見えない線は消えずに残っていて、やっぱりそこから先へ進めない。；なぜなら、内線番号には外部から直接電話をかけることができないからである。；壁に電話があるけれど、どうやらあれは内線にしか通じていない。；すぐ内線がかかってきて一階の第二会議室で待つことになった。；家を出る前にふと思いつき、内線を操作して診療室の諒子を呼び出した。；秋穂は一礼して営業の部屋に戻ると、すぐに川瀬の机に内線をかけた。；そう思って、空港での私の内線番号をお礼の言葉と一緒にメモ用紙に残した。；国鉄全線に乗ったといっても一回しか乗ったことのない線も多い。；見えない線がすぐそこまで伸びてきていそうであった。；交換手に詰所の内線番号を言って、出た誰かに弁当を買ったと伝える。；そう感じると、松岡はすぐ受話器を取り上げて内線番号をプッシュする。；拠点間の内線網を構成する場合に、制御装置を社内に設置せずに済む。；それらは完全に一様で、切れ目のない線となって、丘を越え谷に入っていた。；国共内線の敗北に伴って、1952年に台湾に渡り、青年時代を過ごす。；容貌に美醜があるように、からだの動きにも品のない線というものがある。；この年齢では、何を描いてもわけのわからない線しか描けない。；大岩は机のところへ行くと電話を取りあげ、内線のボタンを押した。；そのほか、企業や家庭の内線でコードレス電話の子機として利用可能である。；それほど明確ではない線が他にも何本も走っていて、それらはすべて平行だった。；大倉は内線でその部屋へ電話をし、自分たちの到着を知らせた。；医療用は出力160mW以下に限られ、内線専用のものが主流である。；それまでは、総理府の内線の電話番号を教えられているだけだった。；その番号情報により特定の内線に着信させることが可能となる。；内線のほかの電話を使うか、外の電話に行ってくれ。；熊本要塞の戦闘は内線遊撃ゆえそのような戦闘パターンが多かっただけだ。；商売にも道楽にも強いと言われた又左衛門は、町人らしくない線の太い男です。</t>
        </is>
      </c>
      <c r="J6233">
        <f>HYPERLINK("https://www.weblio.jp/content/内線", "词义详情")</f>
        <v/>
      </c>
      <c r="K6233">
        <f>HYPERLINK("https://yourei.jp/内線", "查看例句")</f>
        <v/>
      </c>
    </row>
    <row r="6234">
      <c r="A6234" t="inlineStr">
        <is>
          <t>内臓</t>
        </is>
      </c>
      <c r="B6234" t="inlineStr">
        <is>
          <t>成功</t>
        </is>
      </c>
      <c r="C6234" t="inlineStr">
        <is>
          <t>読み方：ないぞう
動物の内腔にある器官の総称。消化器・呼吸器・泌尿器・生殖器・内分泌器をいう。</t>
        </is>
      </c>
      <c r="D6234" t="inlineStr">
        <is>
          <t>内臓疾患(2%)；内臓器官；内臓料理；内臓全体；内臓神経</t>
        </is>
      </c>
      <c r="F6234" t="inlineStr">
        <is>
          <t>内臓脂肪率；腹部内臓；内臓障害；内臓反射；内臓類</t>
        </is>
      </c>
      <c r="G6234" t="inlineStr">
        <is>
          <t>内臓脂肪；内臓肉；内臓逆位；内臓幼虫移行症；内臓食</t>
        </is>
      </c>
      <c r="H6234" t="n">
        <v>29</v>
      </c>
      <c r="I6234" t="inlineStr">
        <is>
          <t>体は主に前方 の足と頭部が一体化した頭足塊と後方 の内臓塊からなる。；テレビ放送版では修正されていた内臓等の描写がそのまま収録されている。；したがって、それぞれの節には一通りの内臓を備えていることになる。；遺体は頭・顔・胸・両手足の殆どと内臓の一部がかなり腐乱していた。；このためミイラ作りで他の内臓を取り出した際にも心臓だけは残しておいた。；内臓を反応させるのは、音楽と言葉の総合的なイメージだったわけ。；内臓はより狭い概念で、体の内部に位置するものだけを指した呼び方。；ただ干乾びた内臓を正確に判別することは困難であり、不明な点は多い。；内臓などを除かず魚を丸ごと用いたり、大型の魚は切断する場合もある。；手指や足への負傷が最も多いが、他の部位や内臓を損傷する例もある。；重症の場合、内臓の損傷が起こり、場合によっては死に至ることもある。；じゃがここの爬虫類の巨大な内臓のことに思いついて、問題は解決した。；それを受けて同年、2回目は、腹袋が充実した内臓の強い仔を目指した。；殻の外に出る部分は、頭部と足であり、内臓はほとんど殻の中に収まる。；外套膜の中央部、内臓を覆う組織の中に生じるものは一般は小形である。；内臓が死に気づかずに、消化という機械的な仕事をつづけているのだ。；その後病院に運ばれたものの内臓損傷により数時間後に死亡した。；大量に処理する場合は、棒状のへらを回転させる機械を使って内臓を処理する。；首から下の神経が切断され内臓・臓器の筋肉が緩むのが原因とされている。；ポルトガルでは、伝統的に全動物の内臓が多くの料理に使われている。；人は自分の内臓を引き裂くと、自分自身に対して心を安んじ得るものです。；左右両巻きの種では内臓の配置も左右逆になっている。；角は腹部まで達していたが、内臓に穴があいたかどうかはまだはっきりしなかった。；馬の内臓は青いかたまりとなって垂れさがり、走りだすと前後に揺れた。；その他、内臓の配置異常等の広範囲の異常を引き起こしているものもある。；そしてそんなある日、オリバーが内臓に異変をきたして病院に運ばれる。；彼女の内臓と心臓はそれぞれパリとジョアンヴィルへ埋葬された。；内臓を除去した魚はその後の料理に合わせた身の加工が行われる。；静脈系の主体は体壁系から内臓系に移行し皮静脈系とリンパ管系が発達する。</t>
        </is>
      </c>
      <c r="J6234">
        <f>HYPERLINK("https://www.weblio.jp/content/内臓", "词义详情")</f>
        <v/>
      </c>
      <c r="K6234">
        <f>HYPERLINK("https://yourei.jp/内臓", "查看例句")</f>
        <v/>
      </c>
    </row>
    <row r="6235">
      <c r="A6235" t="inlineStr">
        <is>
          <t>ナイター</t>
        </is>
      </c>
      <c r="B6235" t="inlineStr">
        <is>
          <t>成功</t>
        </is>
      </c>
      <c r="C6235" t="inlineStr">
        <is>
          <t>《(和)night＋er》夜間に行われる、野球・サッカーなどの試合。ナイトゲーム。《季夏》</t>
        </is>
      </c>
      <c r="D6235" t="inlineStr">
        <is>
          <t>ナイター開催(9%)；ナイター設備(9%)；ナイターシーズン(4%)；ナイター営業(3%)；ナイター照明設備</t>
        </is>
      </c>
      <c r="E6235" t="inlineStr">
        <is>
          <t>ナイトゲーム</t>
        </is>
      </c>
      <c r="F6235" t="inlineStr">
        <is>
          <t>jrnナイター；ナイター照明；日曜ナイター；平日ナイター；プロ野球ナイター</t>
        </is>
      </c>
      <c r="G6235" t="inlineStr">
        <is>
          <t>ナイター中継；ナイター競走；ナイターイン；ナイターレース；ナイタースペシャル</t>
        </is>
      </c>
      <c r="H6235" t="n">
        <v>29</v>
      </c>
      <c r="I6235" t="inlineStr">
        <is>
          <t>この結果、平日のナイターでも多くの観客を動員するまでに至っている。；また翌1880年には、世界初の野球のナイター試合が開催されている。；球場で、ナイターを見ながら弁当を食べるときがまさにそれなのである。；使用コースも特番では大井競馬場、それもナイターを使った時もあった。；なお月曜日はその地域のチームがナイターである場合のみ放送する局がある。；ただし、過去にもナイター黎明期のころは午後7時開始が多く存在した。；なぜナイターばかりが行われ、なぜ地方都市でのゲームがすくないのか。；ナイターシーズン中とナイターオフとでは、一部放送構成が違っていた。；ナイターカードに巨人が絡まない場合、野球中継を行わない場合がある。；幾度かナイター設備導入が検討されているが現在のところ実現には至っていない。；なお日本にはナイター競走開催のためにナイター設備が設置されている場もある。；しかし、実際は昼間はファームのゲームに行って、夜は一軍のナイター。；高知はナイター設備がなかったため、主催試合はデーゲームのみだった。；直子が指摘しているように、ナイターが終わったらすぐに入るようにしている。；付近に人混みはないから、今日はナイターをやらない日なのだろう。；ナイター開催もあり、この模様は地元のKBS京都で放送されることもある。；ナイター・ホールはアメリカ合衆国国家歴史登録財に指定されている。；その後はナイター施設の新設や座席、スコアボードの改修がなされていった。；グラウンドにはナイター設備があり、地域のスポーツチームが利用する。；かつてのナイターシーズン限定番組で、ナイター中継直前に放送されていた。；以前放送されていた土・日曜の中継はJRNナイターのネット受けであった。；高知競馬のナイター開催時は、福山の中継終了後にリレー中継を行った。；この年の7月5日の大映戦では、ナイターでの第1号本塁打を記録する。；また2006年に照明設備が追加設置され、ナイターが可能になった。；この年の日本シリーズは初めて全試合がナイターで開催された。；その後、新潟県内の競技場としては初めて本格的なナイター設備を設置。；屋外でナイター照明も設置されており、U字型の巨大な観客席を備えていた。；親父が帰ってきたのは八時前だったが、残念ながら今日はナイターをやっていなかった。；昼間開催2場、ナイター2場と、一日で最大8場96レースを発売する。</t>
        </is>
      </c>
      <c r="J6235">
        <f>HYPERLINK("https://www.weblio.jp/content/ナイター", "词义详情")</f>
        <v/>
      </c>
      <c r="K6235">
        <f>HYPERLINK("https://yourei.jp/ナイター", "查看例句")</f>
        <v/>
      </c>
    </row>
    <row r="6236">
      <c r="A6236" t="inlineStr">
        <is>
          <t>内定</t>
        </is>
      </c>
      <c r="B6236" t="inlineStr">
        <is>
          <t>成功</t>
        </is>
      </c>
      <c r="C6236" t="inlineStr">
        <is>
          <t>読み方：ないてい
［名］(スル)正式の発表の前に内々で定まること。また、その決定。「就任が—する」</t>
        </is>
      </c>
      <c r="D6236" t="inlineStr">
        <is>
          <t>内定先；内定通知；内定発表；内定条件；内定取消し</t>
        </is>
      </c>
      <c r="F6236" t="inlineStr">
        <is>
          <t>加入内定；婚約内定；代表内定；採用内定；入団内定</t>
        </is>
      </c>
      <c r="G6236" t="inlineStr">
        <is>
          <t>内定取り消し；内定率；内定辞退；内定式；内定辞退率</t>
        </is>
      </c>
      <c r="H6236" t="n">
        <v>29</v>
      </c>
      <c r="I6236" t="inlineStr">
        <is>
          <t>しかしバブル景気の時期だったことから最初に内定を得た銀行に就職した。；特定の条件下で頭内定位を確認したのはヴェーバーが初めてであった。；しかし友人が次々と内定を決める中、はるかは取り残されつつあった。；その他 翌年度に入社する選手が内定選手として出場することがある。；ヤマハの製品は、複数のメーカーで採用の内定を得ているとのこと。；また、GSSPに内定した千葉セクションが所在することでも知られる。；タイガの行動に勇気付けられた早紀も内定を辞退せず戦う決意をする。；今大会で3位にとどまったことで、世界選手権代表内定はならなかった。；高体連加盟チームの選手ではこの年のJリーグ内定第一号となった。；それでも10月には、2013シーズンからの鳥栖への加入が内定した。；体重別はすでに世界選手権代表が内定していたため出場しなかった。；福岡戦の翌日に加入内定の磐田へ特別指定選手に承認された事が発表された。；翌日付で昇格が内定していた副会長の桂歌丸が後任の会長に就任した。；同年4月に2016年シーズンからの松本への加入内定が発表された。；クリアした者がいない場合はMGC2枠に入らなかった次点が内定となる。；何も考えていないように見えて、着実に内定に近づいていく光太郎。；学生本人に入社への意思があっても、親の反対で内定後に入社を辞退するケースもある。；翌年春からはアナウンサーとして、FNN系列局の内定を報告している。；この活躍が認められ、バンクーバーオリンピックの代表選手に内定した。；スポーツ報知がこの年8月8日付で綾瀬と嵐の両組司会が内定したと報道。；後藤はこれで合格が内定していたが、テスト二日目に事件が起こる。；鈴木は日立建機に就職が内定していたにもかかわらず、それを蹴った。；このような、正式な内定の前に出される実質的な内定を内々定という。；WBCオーストラリア代表に内定していたものの手術後であるために辞退。；そして、2月の同大会で全勝優勝を果たし、昇格内定の条件を満たした。；札幌への入団内定後に出場した高3冬の全国選手権ではベスト8に進出した。；その7人の中で最も早く入門の内定を受けるなど当初の期待度は高かった。；また、この提案はIOCと調整済みなので追加種目内定とも言われた。；ディープスカイは、これまでと同様に山内厩舎に入ることが内定していた。</t>
        </is>
      </c>
      <c r="J6236">
        <f>HYPERLINK("https://www.weblio.jp/content/内定", "词义详情")</f>
        <v/>
      </c>
      <c r="K6236">
        <f>HYPERLINK("https://yourei.jp/内定", "查看例句")</f>
        <v/>
      </c>
    </row>
    <row r="6237">
      <c r="A6237" t="inlineStr">
        <is>
          <t>内部</t>
        </is>
      </c>
      <c r="B6237" t="inlineStr">
        <is>
          <t>成功</t>
        </is>
      </c>
      <c r="C6237" t="inlineStr">
        <is>
          <t>読み方：ないぶ
１物の内側の部分。「—のようすをうかがう」⇔外部。
２組織などに属する範囲内。「会社の—で対立がある」⇔外部。</t>
        </is>
      </c>
      <c r="D6237" t="inlineStr">
        <is>
          <t>内部的；内部分裂；内部対立；内部事情；内部機構</t>
        </is>
      </c>
      <c r="E6237" t="inlineStr">
        <is>
          <t>中；内；内部的；内側；インナー</t>
        </is>
      </c>
      <c r="F6237" t="inlineStr">
        <is>
          <t>建物内部；地球内部；警察内部；教会内部；組織内部</t>
        </is>
      </c>
      <c r="G6237" t="inlineStr">
        <is>
          <t>内部部局；内部進学；内部抗争；内部告発；内部組織</t>
        </is>
      </c>
      <c r="H6237" t="n">
        <v>29</v>
      </c>
      <c r="I6237" t="inlineStr">
        <is>
          <t>画像はこの時代に再建がなされたローマのサン・ピエトロ大聖堂の内部。；また、社会内部の様々な利益を集約し、政治へと反映させる機能がある。；この交渉に関してボリシェヴィキの内部に三つのグループが形成された。；レーガン政権内部では中国の激しい抗議に対する対応で意見が分かれた。；水の雲は惑星内部から供給される熱を受けて、雷のエネルギーを蓄積する。；通常は露出しない内部の機構を見せて、同館の展示物の一つとしている。；動作中の他のソフトウェアからは、仮想記憶機構の内部の動きは見えない。；の内部は に含まれる開集合すべての合併をとることで構成できる。；金属と半金属ではフェルミ準位 は少くとも一つのバンドの内部にある。；この塔は200名の歩兵が人力で動かし、内部が9層に分割されていた。；帝国内部での自由な移動と居住の保証が大英帝国隆盛の大きな要因となった。；ただし、これは内部の呼称とされ、公式には用いられていなかった。；これらの配線・配管や内部機器・発電装置は、作品ごとに若干変化する。；このようなことから、木星は内部から熱を発していると考えられる。；内部レジスタは超音波を結晶中で反射させその遅延時間を利用していた。；見習い期間が終了し、内部審査を経て、認められた者だけが正所属となる。；有人宇宙船の内部は無重量状態であり、人間が生活するための空間も狭い。；温度低下時は潤滑油は再び軸受内部へ戻るため、長期的な使用が可能となる。；葉は結球の外側は緑色をしているが、結球の内部へいくほど黄白色になる。；透明というのは物質が密になり内部や外部の反射がなくなることである。；このエネルギーの散逸はエウロパの内部海での主要な熱源となりうる。；機器内部に封入された気体で冷却するもので、主に大型機器に用いられる。；板倉は「新理論は旧理論の内部矛盾の検討を通して誕生する」と主張した。；またインド系商人も南アフリカ内部の流通業に進出、現地経済を支えた。；本技術は軍の機密事項であり、詳細な情報は軍内部で隠蔽されたままとされる。；惑星内部にも液体状の構造が存在する可能性が示唆される。；木星内部の温度と圧力は、内部に向かうほどにどちらも高くなる。；事実、内部データからはその関連と見られる物がかなりの数見つかっている。；したがって、使用する前にペン軸の内部にインクを入れる必要がある。</t>
        </is>
      </c>
      <c r="J6237">
        <f>HYPERLINK("https://www.weblio.jp/content/内部", "词义详情")</f>
        <v/>
      </c>
      <c r="K6237">
        <f>HYPERLINK("https://yourei.jp/内部", "查看例句")</f>
        <v/>
      </c>
    </row>
    <row r="6238">
      <c r="A6238" t="inlineStr">
        <is>
          <t>内密</t>
        </is>
      </c>
      <c r="B6238" t="inlineStr">
        <is>
          <t>成功</t>
        </is>
      </c>
      <c r="C6238" t="inlineStr">
        <is>
          <t>読み方：ないみつ
［名・形動］表沙汰にしないこと。また、そのさま。内緒。「—に事を運ぶ」</t>
        </is>
      </c>
      <c r="D6238" t="inlineStr">
        <is>
          <t>内密話；内密に話したい；内密に願います</t>
        </is>
      </c>
      <c r="E6238" t="inlineStr">
        <is>
          <t>秘密；言えない；密か；密；秘</t>
        </is>
      </c>
      <c r="H6238" t="n">
        <v>29</v>
      </c>
      <c r="I6238" t="inlineStr">
        <is>
          <t>思えば、性は生物の基本であるのに、なぜ内密でなければならないのか。；あなたたちには内密でと念を押された上でようやく聞き出したことなの。；この家の庭でも稽古はできるが、半七に内密でというわけにはいかない。；もちろん、この旅はなんが何でも内密に行われなければなりませんでした。；自分がボートを借りだしたことは内密にしてほしいと頼みこんだのだろう。；そして、父へは勿論誰にも内密にして、自分で薬を買いに出かけて行った。；家族に内密にして進めていた経緯があるため、作者の主観で描かれている。；だから、召使いの一人と内密なつながりを持っているに違いありません。；内密の相談を終えて事務所を去った時間についても、即答は得られない。；女たちがそっと外出をする時とか、内密の人の訪れるところとなっている。；おぬしがためにも、おれがためにも、ごく内密に事を運ぶ必要があるのだ。；あまりにも内密のことをしゃべりすぎたので恥じているかのようであった。；そこで先ず僕は、内密に君が僕に与えようとした毒を分析してもらったよ。；川村は内密の相談にその社を訪ねたとですけん、人に見られたら困るとです。；今夜のことは内密に、と言ってはおいたが、一般人には無理な相談だろう。；それにまた、三人だけこうして離れていれば、内密に計画の検討ができる。；政府は、あの連中の主張していることを、内密に調査していたんだ。；その結果、これはまだ内密の話なんだが、大変な発見をしたんです。；二人の間には、既にある内密の了解のようなものが出来上っていた。；そうでなければヒンドリーが結婚を父親に内密にしておくはずがございません。；これを知った田狭は、新羅と内密に通じて帰国しなかったというのです。；その時新平は、これは同志の間にも内密にしてほしいと条件をつけた。；五十燭光の電球を買ってきて内密につけてみても、やはりそうだった。；あの方は恐らく、誰にも内密にと念を押した上であなたを呼び出した。；これはごく内密になっているが、内裏のうちにだって、こんな事があった。；ビクターがVHSを開発していることは、まだ松下に内密にして下さい。；新潮社でも、幹部級の間に内密にそういう話が出ている気配を昨日私は感じた。；戸塚部長と内密の連絡のある二、三の組合幹部が激烈に大木を批判した。；内密裏の行動はいろいろあるんだが、いますぐ表面化してきそうな問題はなさそうだ。</t>
        </is>
      </c>
      <c r="J6238">
        <f>HYPERLINK("https://www.weblio.jp/content/内密", "词义详情")</f>
        <v/>
      </c>
      <c r="K6238">
        <f>HYPERLINK("https://yourei.jp/内密", "查看例句")</f>
        <v/>
      </c>
    </row>
    <row r="6239">
      <c r="A6239" t="inlineStr">
        <is>
          <t>内容</t>
        </is>
      </c>
      <c r="B6239" t="inlineStr">
        <is>
          <t>成功</t>
        </is>
      </c>
      <c r="C6239" t="inlineStr">
        <is>
          <t>読み方：ないよう
１容器や包みなどの、中に入っているもの。なかみ。「手荷物の—を申告する」
２物事を成り立たせているなかみ。実体。実質。「試合の—に不満が残る」
３文章や話などの中で伝えようとしている事柄。意味。「手紙の—」「—のない番組」
４哲学で、事物や事象を成立させ、また、表面に現れている実質・意味。⇔形式。</t>
        </is>
      </c>
      <c r="D6239" t="inlineStr">
        <is>
          <t>内容自体；内容そのもの；内容次第；内容如何；内容充実</t>
        </is>
      </c>
      <c r="E6239" t="inlineStr">
        <is>
          <t>意味；意；メッセージ；中身；意義</t>
        </is>
      </c>
      <c r="F6239" t="inlineStr">
        <is>
          <t>放送内容；事業内容；主な内容；教育内容；同内容</t>
        </is>
      </c>
      <c r="G6239" t="inlineStr">
        <is>
          <t>内容量；内容証明；内容証明郵便；内容分析；内容語</t>
        </is>
      </c>
      <c r="H6239" t="n">
        <v>29</v>
      </c>
      <c r="I6239" t="inlineStr">
        <is>
          <t>内容の大部分は後半に放送するいくつかの小さなコーナーで占められる。；しかし今回は、漫画の内容が恋愛ものばかりであることに不満を抱いた。；このうち第3版が英語へ翻訳され、主な議論はその版の内容で行われた。；文献の内容が法然自身の語った思想であるか否かについては議論がある。；これに続けて攻撃に必要な内容をスクリプト部分に自由に記述可能となる。；攻撃的な音楽性に合わせ、歌詞の内容もやはり攻撃的なものが目立つ。；そのページが変更されている場合、その内容をスワップ領域に書き出す。；データの内容に依存しないデータ構造とリスト操作コードを形成可能である。；しかし講師の指導内容に納得が行かず、従わない事がしばしばあった。；映画化の折には、作品内容に踏み込んで、熱心なファン活動も見られた。；電源を切っても記憶内容が保持される不揮発性メモリの一種でもある。；作品の舞台や内容も、より「現実の過酷さ」に近付いた形となっている。；ただし、漫画の中での内容と実際の高校は、ほぼ無関係といってよい。；装飾の内容や装飾の続く期間はバージョンや年度ごとに若干違う。；製品タイトルと同一の内容のものはそれぞれの項にて記載。；どのような内容の表現物が発禁とされるかは、時代や地域によって異なる。；いずれも他馬とのスピードの違いに任せて逃げきるという内容であった。；そのため、政府もその報道された内容が政府案と異なるとする声明を発表した。；電車緊急特別改造工事の実施項目と施行両数、実施内容は以下の通り。；これは特に教育段階が上がるにつれて教育内容が学問の体系に近づく。；設備改良の主な内容の始まった駅とその年は次の通り。；次に卦辞が続き卦の名前と卦全体の内容を様々な象徴的な言葉で説明する。；ブロックの内容を実行してから、決められた後処理を行うメソッドもある。；公式ツイッターにも同様の内容を発信したがその日のうちに削除されている。；テレビ広告でも同じような内容のものが放送された。；しかし、その原稿は1300ページもあり二人が知っている内容ではなかった。；歌詞の内容を反映した作品もあれば、ほとんどタイトルだけという作品もある。；東洋車・日立車の最終的な製造数および内容は下記の通りである。；このため、それぞれの測定内容に適した測定法や機器の選択や設定が検討される。</t>
        </is>
      </c>
      <c r="J6239">
        <f>HYPERLINK("https://www.weblio.jp/content/内容", "词义详情")</f>
        <v/>
      </c>
      <c r="K6239">
        <f>HYPERLINK("https://yourei.jp/内容", "查看例句")</f>
        <v/>
      </c>
    </row>
    <row r="6240">
      <c r="A6240" t="inlineStr">
        <is>
          <t>内乱</t>
        </is>
      </c>
      <c r="B6240" t="inlineStr">
        <is>
          <t>成功</t>
        </is>
      </c>
      <c r="C6240" t="inlineStr">
        <is>
          <t>読み方：ないらん
１国内の騒乱。
２一国内において、政府の転覆を目的とする反政府勢力と政府側とによって行われる武力闘争。
[補説]作品名別項。→内乱</t>
        </is>
      </c>
      <c r="D6240" t="inlineStr">
        <is>
          <t>内乱状態(4%)；内乱期；内乱鎮圧；内乱終結；内乱時代</t>
        </is>
      </c>
      <c r="E6240" t="inlineStr">
        <is>
          <t>内戦；市民戦争</t>
        </is>
      </c>
      <c r="F6240" t="inlineStr">
        <is>
          <t>大規模な内乱；第一次内乱；パロ内乱；激しい内乱；南北朝内乱</t>
        </is>
      </c>
      <c r="G6240" t="inlineStr">
        <is>
          <t>内乱の一世紀；内乱予備罪；内乱に関する罪；内乱陰謀罪；内乱記</t>
        </is>
      </c>
      <c r="H6240" t="n">
        <v>29</v>
      </c>
      <c r="I6240" t="inlineStr">
        <is>
          <t>帰国後は内乱が続き分裂状態であったファン王国を剣の腕で鎮圧していく。；ただし、この事例は最終的に衝突を避けることができず内乱に至っている。；しかも今、その戦場は街路であり、なさんとする戦いは内乱なのである!；遺跡の存在が明らかになった後も30年にも及ぶ内乱の間放置されていた。；しかし納得がいかない選手がリリースを要求するなど、内乱が起きた。；誰か、いままでコーンウォール地方で暴動や内乱を聞いたことがあるか。；このため、帝国の内乱期には常にクビライ側に立って行動を起こしている。；この内乱は、斉の混乱といくつかの外部勢力の介入を招くこととなった。；これが能島で作った子供達との間で家督争いを行い、能島の内乱となる。；また内乱の源を尋ぬれば、もと人の不人情を悪みて起こしたるものなり。；彼が生存していると、親衛隊と陸軍の間で内乱になる恐れがあったからだ。；その中には後に四皇帝内乱の時代に皇帝になるウィテリウスの父親もいた。；フランスが勝利したが内乱が発生し、イギリスでは薔薇戦争へ続いた。；銀剣持ちの多くは、戸有で内乱が起こった時に逃走し行方不明である。；それに反発した一族の浦上村国が則宗と対立し、播磨で内乱が始まった。；原因はある星系による内乱といわれているが、詳しくは分かっていない。；ですから兵士は僅かでもそんなに多く内乱も起らずに治まって居るです。；彼は貴族の反乱や、同じ一族の者の反乱といった一連の内乱に見舞われた。；ゲーム開始時および後述の内乱で死者が発生した場合に発生。；ピッタコスが指導した反乱の期間、レスボス島に激しい内乱が勃発した。；そして世界が統一した後も内乱的戦争は絶滅しないだろうと考えらるるだろう。；そのため内乱罪と大逆罪は1853年改正法でも一括りにされていた。；一連の内乱で台頭したカールサーと呼ばれると強力な軍団が政権を握った。；英国に内乱干渉の意志があればこのときほどいい機会はなかった。；最終的に反乱貴族と和睦して内乱を終結させたのは1227年である。；在位中に貴族の内乱が頻発し、王自身も乱の中で殺害されるに至った。；この内乱はビザンツ帝国の歴史において極めて重要な転換点となった。；司馬衷の時代、八王の乱と呼ばれる皇族同士の大規模な内乱が勃発した。；この王国では内乱・暴動・王の追放が非常に一般的であった。</t>
        </is>
      </c>
      <c r="J6240">
        <f>HYPERLINK("https://www.weblio.jp/content/内乱", "词义详情")</f>
        <v/>
      </c>
      <c r="K6240">
        <f>HYPERLINK("https://yourei.jp/内乱", "查看例句")</f>
        <v/>
      </c>
    </row>
    <row r="6241">
      <c r="A6241" t="inlineStr">
        <is>
          <t>内陸</t>
        </is>
      </c>
      <c r="B6241" t="inlineStr">
        <is>
          <t>成功</t>
        </is>
      </c>
      <c r="C6241" t="inlineStr">
        <is>
          <t>読み方：ないりく
陸地の、海から遠く離れた地域。「東北地方—部」</t>
        </is>
      </c>
      <c r="D6241" t="inlineStr">
        <is>
          <t>内陸部(5%)；内陸性；内陸水路；内陸型；内陸地域</t>
        </is>
      </c>
      <c r="F6241" t="inlineStr">
        <is>
          <t>内陸国；位置する内陸；マイル内陸；内陸盆地；内陸交通</t>
        </is>
      </c>
      <c r="G6241" t="inlineStr">
        <is>
          <t>内陸国；内陸性気候；内陸県；内陸湖；内陸河川</t>
        </is>
      </c>
      <c r="H6241" t="n">
        <v>29</v>
      </c>
      <c r="I6241" t="inlineStr">
        <is>
          <t>さらに、内陸の地域にあっても辺り一帯で洪水被害が出るおそれがある。；これは、海岸沿いでなく内陸にマーテロー塔が作られた特別の例である。；沿岸の地域は特に内陸の地域に比べて熱帯低気圧の影響を受けやすい。；海岸での争いに没頭してきた現地諸侯は内陸からの攻撃に虚を突かれた。；内陸の部族は狩猟採集が基本であり、何らかの形態の農業も行っていた。；県北部に位置し、能登半島では唯一海に面していない内陸の村であった。；内陸性で比較的雨量が少なく、一日の温度変化や季節の温度変化が大きい。；北部中央には「魔女の海」と呼ばれる大きな湾が内陸に食い込んでいる。；イギリスは、アシャンティ王国との四次に渡るを経て内陸まで支配した。；このように同じ市内であっても海側と内陸では積雪量が大きく異なっている。；夏の熱帯嵐とハリケーンが、内陸への移動に影響を与えたと見られる。；内陸にあり攻撃されにくいので兵器工場も多いようである。；また、和泉市は泉州の市では唯一、大阪湾に面していない内陸の市である。；なお、内陸水運であっても、複数の国をまたがって航行する場合がある。；県西部は関東平野の中央部にあたる農業を中心とした内陸の地域となっている。；夏は冬に比べ地域差が少なく、内陸地方は京畿湾付近より高いほうである。；リベリア内陸の北東部コートジボワールと国境を接した場所に位置する。；内陸に位置するため海沿いの街と比較して冬の寒さが厳しい。；これらの内陸水路は比較的大きな船舶が通ることができるよう設計されている。；西部はさらに乾燥しており、島の南西部と南部の内陸は半砂漠気候が広がる。；イタリアの州で海にも国境にも接していない、唯一の「内陸」の州である。；多くの機銃座と地雷原が海岸から内陸に続く道に沿い設置された。；内陸の湖沼などでも楽しめ、海でも「波待ち」の必要がない利点がある。；北部は1776年に再構成されて、内陸諸地方総司令官府の管轄とされた。；また、内陸の森林内でもよく見掛け、特に大きい個体は内陸で見られる。；彼らがヨーロッパ中世に海岸や内陸の集落を襲った際に用いたのがこの船であった。；州内には中央低地と内陸低台地という2つの国の指定する自然地域がある。；北ブラバント州はオランダの南端の内陸に設置されている州である。；内陸には世界遺産にも登録されているスプリングブルック国立公園がある。</t>
        </is>
      </c>
      <c r="J6241">
        <f>HYPERLINK("https://www.weblio.jp/content/内陸", "词义详情")</f>
        <v/>
      </c>
      <c r="K6241">
        <f>HYPERLINK("https://yourei.jp/内陸", "查看例句")</f>
        <v/>
      </c>
    </row>
    <row r="6242">
      <c r="A6242" t="inlineStr">
        <is>
          <t>苗</t>
        </is>
      </c>
      <c r="B6242" t="inlineStr">
        <is>
          <t>成功</t>
        </is>
      </c>
      <c r="C6242" t="inlineStr">
        <is>
          <t>読み方：なえ
１種から芽を出して間のない草や木。定植前の草木。
２稲の苗。さなえ。</t>
        </is>
      </c>
      <c r="D6242" t="inlineStr">
        <is>
          <t>苗族(3%)；苗さん；苗売り；苗青；苗傅</t>
        </is>
      </c>
      <c r="F6242" t="inlineStr">
        <is>
          <t>杉苗；若苗；義苗；幼苗；ポット苗</t>
        </is>
      </c>
      <c r="G6242" t="inlineStr">
        <is>
          <t>苗木；苗床；苗代；苗字帯刀；苗穂工場</t>
        </is>
      </c>
      <c r="H6242" t="n">
        <v>29</v>
      </c>
      <c r="I6242" t="inlineStr">
        <is>
          <t>その九黎の一族から分かれて生き残ったのが三苗であるともされている。；また、苗族と布依族を対象にした調査では食事前後の挨拶はないという。；苗数は二百二十五本だから一二ケ月の補食になる分はあるのであろう。；父の跡は孫苗が継ぎ、その弟の孫旅や叔父らもしかるべき官職に就いた。；隣の金さんが苗をくれた南瓜の成長を見に来たついでに、斯様な話をした。；しかし周囲のものはもちろん、苗の人間すら誰も手を叩いていない。；初夏の陽は縁側から落ちて、どこからともなく苗屋の呼び声が聞えます。；かつては田に長い糸を張り、糸に沿って手で稲の苗を一本ずつ植えていた。；本種は根本から地上に長い匍匐茎を出し、その先端に新たな苗を生じる。；現在まで伝わる苗刀の技法は、この二書の内容がもとになっている。；折角伸びて來た苗を間引くことが、彼には惜しいことのやうに思はれた。；秋に球根で入手するか、ポリポットに植えられた苗でも流通している。。；種子や苗の発育を制御し、植物体から花の咲く時期への切り替えを行う。；接ぎ木苗では年間2300万本生産し国内トップの生産量を誇っている。；そしてこの苗の生長を楽しみにしておられた博士は不幸にして夭折されたのである。；その後さらに数年を経過した現在のこの楊梅の苗の運命がどうなっているか。；基本的に秋に種をまいて、苗の状態で越冬させてから春に収穫をする。；これは無性的な子苗が幾つかの葉の基部から出ることで行われる。；流月の一件以来、苗の元には縁談が持ち込まれる事が無くなってしまった。；この苗を地面に植えるとたちまち成長し、わずか10分で成長が完了する。；ほかの教会は創立いうても苗から育てたようなもんやないの。；大きな株の移植は非常に困難で、ごく小型の苗から栽培するしかないと言う。；諱ははじめ父・毛利元平の名前より字を取って匡平、のち政苗に改めた。；造林のときは苗や何かを一杯つけた馬がぞろぞろここを行くんだぞ。；また、下流の高田平野の水田に水を供給する事から苗名となったともいう。；そしてそれと相前後して、五月の初めには、煙草の苗を本畑に移植した。；伯爵が苗作や苗床のことを話しだすと、私は全身を耳にして聞きいりました。；そのネズミは家を出て、庭にある苗小屋みたいなところに引越していたのです。；特に苗の幼いうちに被害を受けると影響が大きくなる。</t>
        </is>
      </c>
      <c r="J6242">
        <f>HYPERLINK("https://www.weblio.jp/content/苗", "词义详情")</f>
        <v/>
      </c>
      <c r="K6242">
        <f>HYPERLINK("https://yourei.jp/苗", "查看例句")</f>
        <v/>
      </c>
    </row>
    <row r="6243">
      <c r="A6243" t="inlineStr">
        <is>
          <t>尚</t>
        </is>
      </c>
      <c r="B6243" t="inlineStr">
        <is>
          <t>成功</t>
        </is>
      </c>
      <c r="C6243" t="inlineStr">
        <is>
          <t>読み方：しょう
［常用漢字］　［音］ショウ（シャウ）（漢）　［訓］たっとぶとうとぶなお
１重んじる。たっとぶ。「尚古・尚歯・尚武／好尚」
２格が高い。「高尚」
３久しい。「尚書」
４まだ。なお。「尚早」
［名のり］さね・たか・たかし・なか・なり・ひさ・ひさし・まさ・まし・ます・よし・より
［難読］和尚(おしょう)</t>
        </is>
      </c>
      <c r="D6243" t="inlineStr">
        <is>
          <t>尚巴志；尚一層；尚長；尚更に；尚綱</t>
        </is>
      </c>
      <c r="E6243" t="inlineStr">
        <is>
          <t>さらに；なお；もっと；更に；加えて</t>
        </is>
      </c>
      <c r="F6243" t="inlineStr">
        <is>
          <t>砥尚；羅尚；椿宗和尚；慶尚；全尚</t>
        </is>
      </c>
      <c r="G6243" t="inlineStr">
        <is>
          <t>尚も；尚早；尚更；尚子；尚顕</t>
        </is>
      </c>
      <c r="H6243" t="n">
        <v>29</v>
      </c>
      <c r="I6243" t="inlineStr">
        <is>
          <t>尚、この回より番組当初から演出を担当していたタカハタ秀太が去った。；軍事長官である師の職に就いていたことから、「師尚父」とも呼ばれる。；尚、この時連載中に突然名前を現在のペンネームの山花典之に改名した。；尚、1987年導入車より深緑の帯と窓枠の間には赤い線が入っている。；尚、師事する弟子の機体として専用のハンマーロックも用意されている。；今後は冬尚の誕生年が大幅に繰り上がる可能性があり、議論の余地が残る。；尚、子の経兼から以後は、祖父以前からの姓である「諏訪氏」を称した。；尚、その中に入るにはプレイヤーは動物の仮装をして入らなければならない。；尚、血中のヘモグロビンに含まれる鉄分は磁気に反応しない性質を持つ。；羅尚の兵で敗れて帰還できた者は10人のうち1、2人に過ぎなかった。；墓所は父と同じ綿竹に存在し、武侯祠には諸葛尚の像も建てられている。；尚、開湯当初の泉源は既に涸渇しており、現在は別の泉源を利用している。；尚、店舗は巨人がグラウンド使用を終了した後も営業を続けている。；尚宮をはじめとする正五品以下は職務に従事する女官たちであった。；尚、再開に合わせてタイトルが『喧嘩稼業』に変更されることになった。；尚、ブラジルから渡ってきた同期の中で最後まで現役を勤めた。；尚、実現はしなかったもののMUSEによる有料放送も計画されていた。；清代の医学者である呉尚先によれば、主なものとして以下の方法がある。；尚、これに関してはLG化学のものであると報じられている場合がある。；尚、以下の項目では九州本島ではなく、九州地方に属するものを挙げる。；尚、画面の手前にはかつて5000系の入替車があったが現在はない。；同時に弟・尚長も1万石を分け与えられており、大和柳本藩を設立した。；尚、現在では一種とされるシャチであるが、複数の種に分割する見解もある。；尚、この大学ならではの生物を扱った実験のイベントも行われている。；尚、アニメ用の画稿は重田敦司の手でクリーンナップされたものとなる。；尚、モデルとなった大多自身もフジテレビ入社当時は報道記者であった。；尚、同作品では京都ロケにも参加し、劇中では日本語も披露している。；尚、八王子市単独の判断で実施可能な工事は先行して段階的な整備中である。；尚、これは調査後にも進行していることが確認されている。</t>
        </is>
      </c>
      <c r="J6243">
        <f>HYPERLINK("https://www.weblio.jp/content/尚", "词义详情")</f>
        <v/>
      </c>
      <c r="K6243">
        <f>HYPERLINK("https://yourei.jp/尚", "查看例句")</f>
        <v/>
      </c>
    </row>
    <row r="6244">
      <c r="A6244" t="inlineStr">
        <is>
          <t>尚更</t>
        </is>
      </c>
      <c r="B6244" t="inlineStr">
        <is>
          <t>成功</t>
        </is>
      </c>
      <c r="C6244" t="inlineStr">
        <is>
          <t>読み方：なおさら
［副］物事の程度が前よりいっそう進むさま。ますます。いちだんと。「風がないので、—暑く感じる」</t>
        </is>
      </c>
      <c r="D6244" t="inlineStr">
        <is>
          <t>さらに；なお；いよいよ；ますます；一層</t>
        </is>
      </c>
      <c r="F6244" t="inlineStr">
        <is>
          <t>であれば尚更；ならば尚更；すれば尚更；たら尚更；尚更あの</t>
        </is>
      </c>
      <c r="H6244" t="n">
        <v>29</v>
      </c>
      <c r="I6244" t="inlineStr">
        <is>
          <t>まして自殺するためにアパートへ戻って来たのだとすれば尚更であろう。；特にあたしみたいな人間の世界もろくに知らないようなのなら尚更だよ。；背中をもむのが商売でもあったから、尚更、他人の背中が気にかかった。；そこへ持って来て病人が出来、医者を呼んだりするのでは尚更である。；自分にその値打ちがよくわかっていないような今回の場合は、尚更である。；大人から信用を得るのはそんな難しいことではない、相手が老人ならば尚更だ。；自分で見ても、腹が立つくらい似ているのだから、他人が見れば尚更らしい。；まったくのところ女性は苦手だったが、小さな女の子となると尚更だった。；私の発する警告が無駄になるかもしれないと思うと、尚更気が進まない。；それも前述のように屋根屋左官屋の業の跡に過ぎないのですから尚更の驚きです。；電車にでも乗って多くの人の前へ出ると尚更街頭の気分とでも云うものに襲われる。；松明は庭に配置された灯籠に火を点ずるためのものだったから尚更である。；次に「特にそれを君が言うと尚更奇怪である」と言うのを説明しよう。；私の述べた案が贊成を得ないこととなれば安藤の案は尚更いけないこととなる。；おぼろげながら事件の輪郭が見えてきた今となっては、尚更のことだ。；倍率五百万倍となれば尚更、現実の肉体のことなど考える必要が無くなる。；アパートに電話されては染千代の耳があるし、歌川では尚更、都合が悪い。；尚更、愛の事が心配でいてもたってもいられなくなってきた。；何れも人格者として我々が手本にすべき程の人であるとは尚更言ひ難い。；お前は無感動状態が基本仕様だから尚更だったんだろう。；それがまたとても美しいのですから尚更のことであります。；まして、その疲労が徒労だったかもしれないと言うのであれば、尚更だ。；変な格好だな、と鏡を見るたびに自分でも思うのだから、他人が見れば尚更であろう。；四人は腕に覚えのある者たちばかりで、だから尚更この敗北はショックだった。；離婚する者たちはもっと少ないだろうし、その理由が片方の死亡となれば尚更だ。；私達が今見てもそうだけれど、昔は尚更そういう感じが強かったに違いない。；しかも杏子さんは三時から本郷の店で俺と逢ってたんだから尚更だ。；ましてやそれが、異能の力を持つとまでいわれる一族であれば尚更のことだ。；それ自体としても奇怪であるし、特にそれを君が言うのは尚更奇怪である。</t>
        </is>
      </c>
      <c r="J6244">
        <f>HYPERLINK("https://www.weblio.jp/content/尚更", "词义详情")</f>
        <v/>
      </c>
      <c r="K6244">
        <f>HYPERLINK("https://yourei.jp/尚更", "查看例句")</f>
        <v/>
      </c>
    </row>
    <row r="6245">
      <c r="A6245" t="inlineStr">
        <is>
          <t>直す</t>
        </is>
      </c>
      <c r="B6245" t="inlineStr">
        <is>
          <t>成功</t>
        </is>
      </c>
      <c r="C6245" t="inlineStr">
        <is>
          <t>読み方：なおす
［動サ五（四）］
１もとの良好な状態に戻す。
㋐もとのようすに復させる。「気分を—・す」「化粧を—・す」
㋑もとどおりに役立つようにする。修復する。「故障を—・す」「雨漏りの箇所を—・す」
㋒（ふつう「治す」と書く）病気やけがを回復させる。治療する。「頭痛を—・す薬」「虫歯を—・す」
㋓（近畿・九州などで）物をかたづける。しまう。「ふとんを—・す」
２良好な状態に改める。
㋐好ましいようすに整える。「枝ぶりを—・す」「姿勢を—・す」
㋑適切なものに改める。正す。「誤記を—・す」「条文を—・す」
㋒より上位の位置に移し据える。「下座から上座に—・す」
３別の状態に変える。
㋐対応するものと置き換える。「英文を和文に—・す」「新字体に—・す」「メートル法に—・す」
㋑別様のものに整えかえる。「コートをジャンパーに—・す」「進路に沿って向きを—・す」
４
㋐能の型で、横に向いた位置から、正面に向き直る。
㋑浄瑠璃で、他の音曲から取り入れた節（謡・歌など）を浄瑠璃本来の節に戻す。また、二上りや三下りを本調子に戻す。
㋒歌舞伎で、開幕の合図に狂言方が拍子木を二つ打つ。これをきっかけに開幕の下座音楽が始まる。
５（動詞の連用形に付いて）もっとよくなるように、改めてもう一度する意を表す。「何度も見—・す」「やり—・す」
[可能]なおせる
[用法]なおす・あらためる——「英文を日本語に直す（改める）」のように、ある状態を他の状態に変える意では相通じて用いられる。◇「なおす」は異常な状態にあるものを正常な状態に戻すことで、「故障を直す」「病気を治す」などと使う。◇「改める」は、「規則を改める」「態度を改める」のように、今までとは違う新しい状態に変えること。「尺貫法をメートル法に直す」は換算するの意であるが、「尺貫法をメートル法に改める」といえば制度を変える意になる。◇類似の語「正す」は、誤りを正しくする意では「直す」と、きちんとするの意では「あらためる」と相通じる。「誤字を直す（正す）」「姿勢をあらためる（正す）」</t>
        </is>
      </c>
      <c r="D6245" t="inlineStr">
        <is>
          <t>直すべき；直すべく</t>
        </is>
      </c>
      <c r="E6245" t="inlineStr">
        <is>
          <t>変更；変化；改造；改善；改良</t>
        </is>
      </c>
      <c r="F6245" t="inlineStr">
        <is>
          <t>かけ直す；座り直す；握り直す；問い直す；構え直す</t>
        </is>
      </c>
      <c r="H6245" t="n">
        <v>29</v>
      </c>
      <c r="I6245" t="inlineStr">
        <is>
          <t>直しにやったが、非常管制で穴を直すことができなかったらどうだろう。；この失われた機会を非難し直すことが直ぐに盛んに行われるようになった。；花に於ては花自体の物体色が取りも直さず太陽の光線が映す色光である。；啓次郎はそういう息子に何を言いどうやって直そうとしたのだろうか。；小学校や中学校で学ぶ基礎的な学習を再度学び直すことを目的とした番組。；明治三十一年勅令第九十号これは、現代の表記に直すと次の通りである。；本人は様々な仕事を経験し、自分自身を見つめ直す時間が多くなった。；だから夫は、とりも直さず、固有に歴史的なるものの科学に外ならない。；女はすぐに男に電話を掛け直すが、使用人が出て彼は今いないと言う。；およそ物の曲ったのを直すには、反対の側へ曲げる位にせねば効がない。；とりも直さず、彼等の必要はもう過去のものとなっていることを語っている。；そしてそれが最も徹底した純粋な場合がとりも直さず新聞の編集なのである。；ウルフはそれを知っていたが、かれらの性質を直そうとはしなかった。；尋常よりは二年遅れてそうして二度目の三学年を学び直すわけであった。；取も直さず物を見るべき要点を沙翁が我々に教えてくれたのであります。；土によってのみ規定される水とは取りも直さず川ではありませんか。；初代の橋の老朽化が顕著になってきたため、橋を架け直すこととなった。；やがて店をしめる時間がきたので、女が待合で飲み直さうと言ひだした。；きっとメガネを直そうとして、かけていないことを思い出したのだろう。；自身の開発した教育方法で不登校を直す全国の親の会が開かれている。；橋の大半は第二次世界大戦で破壊された後架け直されたものである。；分解した部分は好きなようにつけ直すことも、他人の身体を使うこともできる。；最終的に二人は再会するが、それまでの経緯が愛を育み直す妨げとなる。；これらは1980年代に舗装し直す際に行った発掘調査で判明している。；ですます調は直されていますがGoogle翻訳と一致箇所が多いです。；私は自分たち女の生活の中にある伝統の力の強さを感じ直させられるような感じがした。；改札口から外に出るためには階段を一旦下ってから上り直す構造となっている。；必要なことはばらばらになってしまった自分自身をもう一度集め直すことだ。；基本的な操作はそのままに、世界観はほぼ新しく構築し直されている。</t>
        </is>
      </c>
      <c r="J6245">
        <f>HYPERLINK("https://www.weblio.jp/content/直す", "词义详情")</f>
        <v/>
      </c>
      <c r="K6245">
        <f>HYPERLINK("https://yourei.jp/直す", "查看例句")</f>
        <v/>
      </c>
    </row>
    <row r="6246">
      <c r="A6246" t="inlineStr">
        <is>
          <t>治す</t>
        </is>
      </c>
      <c r="B6246" t="inlineStr">
        <is>
          <t>成功</t>
        </is>
      </c>
      <c r="C6246" t="inlineStr">
        <is>
          <t>読み方：なおす
［動サ五（四）］
１もとの良好な状態に戻す。
㋐もとのようすに復させる。「気分を—・す」「化粧を—・す」
㋑もとどおりに役立つようにする。修復する。「故障を—・す」「雨漏りの箇所を—・す」
㋒（ふつう「治す」と書く）病気やけがを回復させる。治療する。「頭痛を—・す薬」「虫歯を—・す」
㋓（近畿・九州などで）物をかたづける。しまう。「ふとんを—・す」
２良好な状態に改める。
㋐好ましいようすに整える。「枝ぶりを—・す」「姿勢を—・す」
㋑適切なものに改める。正す。「誤記を—・す」「条文を—・す」
㋒より上位の位置に移し据える。「下座から上座に—・す」
３別の状態に変える。
㋐対応するものと置き換える。「英文を和文に—・す」「新字体に—・す」「メートル法に—・す」
㋑別様のものに整えかえる。「コートをジャンパーに—・す」「進路に沿って向きを—・す」
４
㋐能の型で、横に向いた位置から、正面に向き直る。
㋑浄瑠璃で、他の音曲から取り入れた節（謡・歌など）を浄瑠璃本来の節に戻す。また、二上りや三下りを本調子に戻す。
㋒歌舞伎で、開幕の合図に狂言方が拍子木を二つ打つ。これをきっかけに開幕の下座音楽が始まる。
５（動詞の連用形に付いて）もっとよくなるように、改めてもう一度する意を表す。「何度も見—・す」「やり—・す」
[可能]なおせる
[用法]なおす・あらためる——「英文を日本語に直す（改める）」のように、ある状態を他の状態に変える意では相通じて用いられる。◇「なおす」は異常な状態にあるものを正常な状態に戻すことで、「故障を直す」「病気を治す」などと使う。◇「改める」は、「規則を改める」「態度を改める」のように、今までとは違う新しい状態に変えること。「尺貫法をメートル法に直す」は換算するの意であるが、「尺貫法をメートル法に改める」といえば制度を変える意になる。◇類似の語「正す」は、誤りを正しくする意では「直す」と、きちんとするの意では「あらためる」と相通じる。「誤字を直す（正す）」「姿勢をあらためる（正す）」</t>
        </is>
      </c>
      <c r="D6246" t="inlineStr">
        <is>
          <t>治すべき</t>
        </is>
      </c>
      <c r="E6246" t="inlineStr">
        <is>
          <t>直す；慰める；治る；癒す；正す</t>
        </is>
      </c>
      <c r="H6246" t="n">
        <v>29</v>
      </c>
      <c r="I6246" t="inlineStr">
        <is>
          <t>ほとんど死んでた状態の俺を、いったいどんな魔法を使って治したんだ?；きっとまだ医務室で歯を治してもらっているのだろうとハリーは思った。；病を治そうとしてやったのであろうが、医療とは程遠い出来事であった。；彼女はエジプト王の病を治すために沼の中の花を取りに来たのだった。；「ぼくはどんな病気もこれ一本で治す」 こういう人は確かによくいる。；絶対にそれを治すためには、その本当の原因に触れなくてはならない。；お前たちのような病人を治すものは世界中におれ一人しか居ないのだ。；だったら、その病気を治してくれるのが先生の務めじゃないんですか?；どうか弟の病気を治して、家族皆で食事ができるようにしてください。；さらに痙攣やてんかんなどのあらゆる病気を治す力を持っているという。；医者っていうのは完治してない病人を自由にはさせない人たちなんだぞ。；何をしているか自分でも分からないまま、壊れた自動操縦を治してみた。；睡眠が回復してくれるのは疲れだけで、傷や病気は治してくれないだろ。；今から救急車を呼び、自分が持てる全部の力を使ってあなたを治すから。；平均的な武芸者の回復能力ならもう完治していてもおかしくないのでは?；たとえどんな方法を使って傷を治したって、人間はここまで変質しない。；重い病を治したい、子供を得たいというのは万人に共通した願いです。；昔は、すべての人間たちがこういう薬で病気やケガを治していたんだ。；貴様らはここへ、傷を治しに来たんで、扁平足の手術に来たんじゃねえ。；青木などに相談したところ「医師も薬も病気を治すもの」と黙認された。；病んだ耳を治し、せめて普通の健康な状態をとり戻そうとはしないのか。；早く手術をお受けになって、さっぱり病気を治しておしまいなさいまし。；こっちは心配してるのに、あなたに病気治す気がないんじゃ意味ないよ。；ぼくだって嫌なおねしょは治したいから、夜は水を飲むのを我慢する。；しかしどんな薬も、どんな医者も彼の症状を治すことは出来なかったのである。；この男は病気を治してもらおうと、診察を受けに私をたずねてきたのです。；由希の母親は、彼女を治すためにあらゆる病院やカウンセラーを訪ねた。；治したいって思いは、わたしたち全員の心のなかにあったはずです。；それも重病のものほど歓迎し、それを治すことに生き甲斐を感じたのだ。</t>
        </is>
      </c>
      <c r="J6246">
        <f>HYPERLINK("https://www.weblio.jp/content/治す", "词义详情")</f>
        <v/>
      </c>
      <c r="K6246">
        <f>HYPERLINK("https://yourei.jp/治す", "查看例句")</f>
        <v/>
      </c>
    </row>
    <row r="6247">
      <c r="A6247" t="inlineStr">
        <is>
          <t>直る</t>
        </is>
      </c>
      <c r="B6247" t="inlineStr">
        <is>
          <t>成功</t>
        </is>
      </c>
      <c r="C6247" t="inlineStr">
        <is>
          <t>読み方：なおる
［動ラ五（四）］
１もとの良好な状態に戻る。
㋐もとのようすに復する。「機嫌が—・る」「天候が—・る」「仲たがいが—・る」
㋑もとどおり役立つようになる。修復される。「機械の調子が—・る」「橋が—・って渡れる」
㋒（ふつう「治る」と書く）病気やけがが回復する。治癒する。「大病が—・る」「傷口がふさがって—・る」
２良好な状態に改まる。
㋐好ましいようすに整う。「ばらばらの人達が一列に—・る」「姿勢が—・る」
㋑適切なものに改められる。正される。「上がり性が—・る」「誤りが—・る」
㋒より上位の位置に移る。「上座に—・る」「あとがまに—・る」「指定席に—・る」
㋓指定の場にきちんと座る。「そこに—・れ」
３罪が許される。
「こと—・りて都に帰りけるに」〈月詣集・九・詞書〉
４「死ぬ」ことをいう斎宮の忌み詞。</t>
        </is>
      </c>
      <c r="D6247" t="inlineStr">
        <is>
          <t>直るだろ(5%)；直るでしょ</t>
        </is>
      </c>
      <c r="F6247" t="inlineStr">
        <is>
          <t>すぐ直る；立て直る；向直る；ひらき直る；たら直る</t>
        </is>
      </c>
      <c r="H6247" t="n">
        <v>29</v>
      </c>
      <c r="I6247" t="inlineStr">
        <is>
          <t>下性の悪いのは少し気をつけて習慣をつけてやれば直るだろうと思った。；実はただ直りそうな様子を見て、難有く感じていただけではあるまいか。；やつの顔から笑いは消えたがそれでおれの気持が直ったわけではなかった。；他にも数々の努力が試みられたが、この気性の悪さは生涯直らなかった。；そのため左からの攻めを早くする型を指導されたが右半身が直らなかった。；あの子のそそっかしいやり方はとても直らないかと気にしたもんですよ。；じっとしていれば直るものはひとりで直るようにできているものらしい。；水で冷えたのだから折返して温めさえすれば直ると思っているのだろう。；娘たちの苦痛の悲鳴を聞くと、彼女自身の痛みはふしぎに直るのだった。；テロンがいなくなりさえすれば、どんな悪いところだって直ってしまう。；礼の軽い咳、この四五日吸入をしていて、ややよいがまだ直らぬ故なり。；「女の癖になんだ」 何度父がどなっても、母のこの癖は直らなかった。；これがすっかり直って、すっかり軽くなったらどんないい心持でしょう。；今ではどうも一日一日直る方に向いて行くのがたしかなようである。；そして次の日には二たびそこに結痂するといふ具合でなかなか直らない。；それから放してやったら、まっすぐに走るようになって、直ったんじゃ。；これから南部へ行けば暑熱で体が直るだろうと、わたしは考えていた。；しかしこれはザカーズの機嫌が直るまで待てるような問題ではないのだ。；もう何年も同じことを言われてるくせに、ぜんぜん直っていなかった。；雌二羽は片目をやられて中々直らない模様だが、死ぬことはないらしい。；駆動音に異音が混じってたから、まだ完全に直っていないみたいだった。；自分が男の事を、たしかに直ると思ったというのは嘘ではなかっただろうか。；そこに集まった子供は不登校が直ったが、家庭に戻れば不登校に戻った。；このことは性の別がはつきりと意識される日に直ることであらうと思ひます。；気のやさしい男だが、そんな素行が直らないのでお時は気に病んでいる。；わたしはときどき健康がこんなに速く立て直って来たことに驚いた。；手術しても直るかどうか分らないって医者がいってたじゃないか。；直ったらあの嘉義へ来る途中の田の中にいた白鷺を取って上げますからね。；朝は病気が直ったと思うほどいつも気持ちがいいが、午後からはきっと熱が出る。</t>
        </is>
      </c>
      <c r="J6247">
        <f>HYPERLINK("https://www.weblio.jp/content/直る", "词义详情")</f>
        <v/>
      </c>
      <c r="K6247">
        <f>HYPERLINK("https://yourei.jp/直る", "查看例句")</f>
        <v/>
      </c>
    </row>
    <row r="6248">
      <c r="A6248" t="inlineStr">
        <is>
          <t>治る</t>
        </is>
      </c>
      <c r="B6248" t="inlineStr">
        <is>
          <t>成功</t>
        </is>
      </c>
      <c r="C6248" t="inlineStr">
        <is>
          <t>読み方：なおる
［動ラ五（四）］
１もとの良好な状態に戻る。
㋐もとのようすに復する。「機嫌が—・る」「天候が—・る」「仲たがいが—・る」
㋑もとどおり役立つようになる。修復される。「機械の調子が—・る」「橋が—・って渡れる」
㋒（ふつう「治る」と書く）病気やけがが回復する。治癒する。「大病が—・る」「傷口がふさがって—・る」
２良好な状態に改まる。
㋐好ましいようすに整う。「ばらばらの人達が一列に—・る」「姿勢が—・る」
㋑適切なものに改められる。正される。「上がり性が—・る」「誤りが—・る」
㋒より上位の位置に移る。「上座に—・る」「あとがまに—・る」「指定席に—・る」
㋓指定の場にきちんと座る。「そこに—・れ」
３罪が許される。
「こと—・りて都に帰りけるに」〈月詣集・九・詞書〉
４「死ぬ」ことをいう斎宮の忌み詞。</t>
        </is>
      </c>
      <c r="D6248" t="inlineStr">
        <is>
          <t>治るだろ(3%)；治るかも知れ；治るまい；治る可能性；治るらしい</t>
        </is>
      </c>
      <c r="E6248" t="inlineStr">
        <is>
          <t>回復；直す；回復する；軽快；治癒</t>
        </is>
      </c>
      <c r="F6248" t="inlineStr">
        <is>
          <t>すぐ治る；たら治る；自然に治る；早く治る；必ず治る</t>
        </is>
      </c>
      <c r="H6248" t="n">
        <v>29</v>
      </c>
      <c r="I6248" t="inlineStr">
        <is>
          <t>治ることを期待されないまま、死に至る肉体だけが維持されてしまった。；というより、通常は原因がわかる前に治ってしまうものなのだそうです。；傷がしばしば化膿しないで治ることがあるのは古くから認められてきた。；だがその体は痛みを感じず、傷もすぐに治る異質なものに変化していた。；多少、気分が良くなったからと言って、勝手に治ったと思わないように。；麻痺が完全に治っていない唇は不器用に彼の顎のあたりを動きまわった。；茂次の体はまだ完全に治ってはいなかったが、必死になって看護をした。；最初のうち、もう一人の怪我が治れば、すぐに家から出すつもりだった。；病気が完全には治っていなかったことを、ほどなく彼女は知るのだった。；自信がなくて起こった病だから、治ったあとは、たいへんな自信である。；これでは治ったというより、困った患者は早く帰せということでしょう。；病気自体は治ったのだが、手術は彼女に重大な障害を残してしまった。；ある日時が来るとまだ治っていない者までごっそり連れて行ってしまう。；完全に治っているわけではないが痛みを無視できるぐらいには和らいだ。；しかしいっておくがそれで病気が完全に治ると思ってはいけないよ。；治る保証なんてないだろうし、戻ったところで俺には何も残ってない。；彼女はもう治ったといってますが、門番の女はそのことを疑っています。；ただの風邪か何かのように、いつか自然に治るのだろうと想像していた。；むしろゆっくりと時間をかけて出すので痔の方は治っているように見える。；しかし、彼の脚の傷がなぜ急に治ったのかは、誰にも説明がつかなかった。；馬鹿は死んでも治らないというが、馬鹿は死なないと治らないともいう。；長い袖をめくると、白い肌に、治りかけや、跡になった傷が残っていた。；弱い子供を助けてくれ、病気で寝ている子はアンモを拝むと治るという。；潰瘍になりかかってはいるが入院の必要はなく、薬で治ると請け合った。；今度は治ることがあつてもいつか一度はわかれて行かなければならない涙が。；つまり無意識の中にかかって、無意識の中に治ってしまっているのです。；病気だって、身をいれてかかっていたら、とっくに治っているだろうに。；車で酔ったときも、車から降りてしばらく寝ころがっていたら治るだろ?；けがが治ったからには、今までみたいに世話してもらう必要はないんだ。</t>
        </is>
      </c>
      <c r="J6248">
        <f>HYPERLINK("https://www.weblio.jp/content/治る", "词义详情")</f>
        <v/>
      </c>
      <c r="K6248">
        <f>HYPERLINK("https://yourei.jp/治る", "查看例句")</f>
        <v/>
      </c>
    </row>
    <row r="6249">
      <c r="A6249" t="inlineStr">
        <is>
          <t>中</t>
        </is>
      </c>
      <c r="B6249" t="inlineStr">
        <is>
          <t>成功</t>
        </is>
      </c>
      <c r="C6249" t="inlineStr">
        <is>
          <t>読み方：じゅう
⇒ちゅう</t>
        </is>
      </c>
      <c r="D6249" t="inlineStr">
        <is>
          <t>中でも(2%)；中で最も；中年男；中でもっとも；中学校時代</t>
        </is>
      </c>
      <c r="E6249" t="inlineStr">
        <is>
          <t>内；中心；中央；内部；センター</t>
        </is>
      </c>
      <c r="F6249" t="inlineStr">
        <is>
          <t>在学中；そんな中；戦争中；滞在中；ゲーム中</t>
        </is>
      </c>
      <c r="G6249" t="inlineStr">
        <is>
          <t>中国；中央；中止；中世；中学校</t>
        </is>
      </c>
      <c r="H6249" t="n">
        <v>29</v>
      </c>
      <c r="I6249" t="inlineStr">
        <is>
          <t>そこで鳥の声のレコードを買ってきて、自宅で一日中流し続けていた。；ニュートン力学の主要な点はすべてこの中に含まれていると言ってもよい。；用語「ヨーロッパ」は、歴史が展開する中で使われ方が様々に発展した。；このあたりの事情は2冊の著作の中で徹底的かつ詳細に検証されている。；作品の中で自身の画力を自虐的に扱うシーンを入れる事も度々であった。；彼らの中には稀代のエンターテイナーとして歴史に名を残した者もいる。；アラビアの自然哲学者らの中にはピロポノスの考えを継承する者もいた。；中にはゴローニンや高田屋嘉兵衛のように相手国の捕虜になった人もいた。；動作中の他のソフトウェアからは、仮想記憶機構の内部の動きは見えない。；大の軍事ファンであり、その中でも特に戦車が好きなようである。；この場合は中にいる人間が主役となるので、個人の差の問題までも考慮する。；このメンバーの中にはそのままオールナイターズと結婚したメンバーもいる。；気象学の研究の中では、人工降雨などの気象制御の試みも行われてきた。；舞楽が演じられる際には、その中にさらに3間四方の敷舞台が置かれた。；また近年ではコース中でゴミを捨てて良い区間が一部に限定されている場合もある。；作者自身の自主避難体験を描くことを決意していたことも連載の中で描かれている。；型付けは動的型付けに分類できるが、言語仕様の中に型概念は登場しない。；以下のプロジェクト名の中には定訳がないものもあるのに注意。；これは金属中の電子を記述するのに良いモデルとなる。；また、公演旅行はプレスリーの評判をテネシー中に広げることとなった。；この中からは地球化学で と呼ばれる、地球上には存在しない岩種が発見された。；これはいずれも日本人メジャーリーガーの中ではトップの数値である。；文はソビエト連邦で進行中の政治的・経済的変革への支持を表明した。；たとえばフェルミ気体中の電子の運動エネルギーは以下のように得られる。；長崎県平戸の風土をこよなく愛し、作品の中にも数多く登場させていた。；操作中のプレイヤーがミスした場合は、操作者が交代となる。；はその中でも上部に位置する領域で、水深1000mまでが該当する。；とは違い、熱平衡状態においてもパラメータ は物質中で一定ではない。；外観は飛行訓練中の高い空気力学的荷重に耐えられるように改造されていた。</t>
        </is>
      </c>
      <c r="J6249">
        <f>HYPERLINK("https://www.weblio.jp/content/中", "词义详情")</f>
        <v/>
      </c>
      <c r="K6249">
        <f>HYPERLINK("https://yourei.jp/中", "查看例句")</f>
        <v/>
      </c>
    </row>
    <row r="6250">
      <c r="A6250" t="inlineStr">
        <is>
          <t>仲</t>
        </is>
      </c>
      <c r="B6250" t="inlineStr">
        <is>
          <t>成功</t>
        </is>
      </c>
      <c r="C6250" t="inlineStr">
        <is>
          <t>読み方：ちゅう
［音］チュウ（漢）　［訓］なか
［学習漢字］4年
〈チュウ〉
１人と人との間に立ってとりつぐこと。なかだち。「仲介・仲裁」
２兄弟の二番目。「仲兄／伯仲」
３まんなか。「仲秋・仲春」
〈なか〉「仲間・仲買人／恋仲」
［難読］仲人(なこうど)</t>
        </is>
      </c>
      <c r="D6250" t="inlineStr">
        <is>
          <t>仲が良く(4%)；仲が良い(3%)；仲がいい(2%)；仲が悪い；仲が悪く</t>
        </is>
      </c>
      <c r="E6250" t="inlineStr">
        <is>
          <t>関係；間柄；折り合い；関係性；間がら</t>
        </is>
      </c>
      <c r="F6250" t="inlineStr">
        <is>
          <t>深い仲；親しい仲；お仲；いい仲；親密な仲</t>
        </is>
      </c>
      <c r="G6250" t="inlineStr">
        <is>
          <t>仲間たち；仲介；仲良く；仲裁；仲よく</t>
        </is>
      </c>
      <c r="H6250" t="n">
        <v>29</v>
      </c>
      <c r="I6250" t="inlineStr">
        <is>
          <t>また、安彦とは以前は彼のスタジオによく遊びに行っていた仲でもある。；吉村などが提唱する一説によると、彼女との夫婦仲は良かったとされる。；先輩と後輩の関係だったが仲がよく、2人でユニットなどを組んでいた。；その後も公の場でツーショット写真が撮影されるなど仲は良いようである。；しかし夫婦仲は良好であり、子に恵まれ家庭生活は幸せなものであった。；久しぶりに会っても目を合わせただけで、すべてが分かる仲だったという。；スッポンタケ城と仲が良いが、向こうは一時的に組んでいるだけである。；その中には深い仲になった女性もいたが、結婚してからは一転して妻一筋。；ゲームの設定では他の四天王と仲が悪いが、本作ではそのような描写はない。；世間では二人の仲は既に公然のものとなっており、その状況に宮は戸惑う。；ジャックと別れた後は、部下であるアルメイダ捜査官と親密な仲となる。；春麗と紫龍が成長してからは二人の仲を後押しするような描写も見られる。；中国の家族は一般に絆が非常に強く、仲が良くても問題にする気配は全くない。；ショウとはかなり仲が良く、作中でよく言葉の掛け合いなども見られる。；一時的にせよ夫婦仲がこじれたことがあったことは事実であるといえよう。；世間ではふたりの仲は良くないって言われてますけど、そうではないんですよ。；当然モリエールはこの行為に激怒し、ラシーヌとの仲は一気に悪化した。；夫婦仲はあまりよくなく出かけるときはいつも父親とだけだった。；暁星小学校時代はクラスメイトであり、互いの家に遊びに行く仲だった。；政略結婚であったが、夫婦仲は睦まじく歳を追う毎に愛情を深めていた。；本作では通常出現する悪魔、仲魔となる悪魔は以下の種族に分類されている。；仲睦まじかったのはごく短い間で、国王は夫の義務を果たさなくなる。；速水の機転によって無事帰還し、これを期に二人の仲は急接近していった。；家督は長男の正仲への相続が許されるが、屋敷地や所領は移転されている。；姉妹仲は非常に良く、好きな時代劇をよく一緒に見たりしている。；独身で通してきたが、親密な仲になった女性がいないわけではない。；しかし彼女の父は最後まで二人の仲を認めなかった。；子どもは生まれたが、しかしダーンリー卿との仲は冷え切ったままだった。；夫婦仲は悪くなかったが、夫婦の間に男子は生まれなかった。</t>
        </is>
      </c>
      <c r="J6250">
        <f>HYPERLINK("https://www.weblio.jp/content/仲", "词义详情")</f>
        <v/>
      </c>
      <c r="K6250">
        <f>HYPERLINK("https://yourei.jp/仲", "查看例句")</f>
        <v/>
      </c>
    </row>
    <row r="6251">
      <c r="A6251" t="inlineStr">
        <is>
          <t>長～</t>
        </is>
      </c>
      <c r="B6251" t="inlineStr">
        <is>
          <t>成功</t>
        </is>
      </c>
      <c r="C6251" t="inlineStr">
        <is>
          <t>読み方：たき
「たけ（丈）」に同じ。
「身—一丈(ひとつゑ)」〈景行紀〉</t>
        </is>
      </c>
      <c r="H6251" t="n">
        <v>0</v>
      </c>
      <c r="J6251">
        <f>HYPERLINK("https://www.weblio.jp/content/長～", "词义详情")</f>
        <v/>
      </c>
      <c r="K6251">
        <f>HYPERLINK("https://yourei.jp/長～", "查看例句")</f>
        <v/>
      </c>
    </row>
    <row r="6252">
      <c r="A6252" t="inlineStr">
        <is>
          <t>長い</t>
        </is>
      </c>
      <c r="B6252" t="inlineStr">
        <is>
          <t>成功</t>
        </is>
      </c>
      <c r="C6252" t="inlineStr">
        <is>
          <t>読み方：ながい
［形］［文］なが・し［ク］
１（長い）はしからはしまでの隔たりが大きい。「—・い橋」「—・いひも」「手足が—・い」⇔短い。
２ある時点までの間隔が大きい。久しい。また、永久である。「—・い年月」「—・い旅に出る」「—・い時間話し合う」⇔短い。
３のんびりしている。また、辛抱強い。「気が—・い」「息の—・い研究」⇔短い。
[派生]ながげ［形動］ながさ［名］
[下接句]舌が長い・尻(しり)が長い・鼻毛が長い・鼻の下が長い・細く長く・帯に短し襷(たすき)に長し・山高く水長し</t>
        </is>
      </c>
      <c r="D6252" t="inlineStr">
        <is>
          <t>長いこと(7%)；長い時間(4%)；長いあいだ(4%)；長い髪(3%)；長い年月(2%)</t>
        </is>
      </c>
      <c r="E6252" t="inlineStr">
        <is>
          <t>細長い；永い；長大な；久しい；長期的</t>
        </is>
      </c>
      <c r="F6252" t="inlineStr">
        <is>
          <t>より長い；かなり長い；非常に長い；ずいぶん長い；長い脚</t>
        </is>
      </c>
      <c r="G6252" t="inlineStr">
        <is>
          <t>長い夜；長い尻尾；長いす；長い直線；長い草</t>
        </is>
      </c>
      <c r="H6252" t="n">
        <v>29</v>
      </c>
      <c r="I6252" t="inlineStr">
        <is>
          <t>後にシューマンは長い手紙を書いてリストに送ってこの件を水に流した。；このような短波長の波を集束できるような材料は存在しないからである。；そこでわしの帰りを首を長うして待っておったのも不思議ではなかった。；馬歯は一生を通じて硬い草を食べ続けるため上下に長い形状をしている。；こうした学校創設以来の長い伝統を有し、現在の理学部へと続いている。；実際に長い進化の時間の中で生きたり死んだりするのは個体である。；プログラムが大きくなると、ビルドの完了を待っている時間が長くなる。；長かったシーズンもいよいよ最終場面を迎えようとしているころである。；以後は詩女個人の所有で国家には属しておらず、長きに渡り封印される。；文子のためにはその長からぬ余命のすべてを犠牲にしてもいい彼だつた。；今はあっというまに一日が過ぎてゆくが、当時は一日がいやに長かった。；最終章は戯曲になっており、途中のいくつかの章は長い詩になっている。；その人生は王として在位したよりもそうでなかった時期の方が長かった。；ファイルシステムでは長いファイル名がサポートされたのが最大の特徴。；座席についた者は短くて一時間、長ければほとんど一日をそこで費した。；このため、腹膜透析を施行するのは長くても8年程度までとされている。；長く使用していると磨り減るので、そのときは交換しなければならない。；月の都にいた時間も長ければ、月の都では賢者として重要な立場にいた。；本作は大ヒットとなり、以後シリーズ化されて長きに渡り人気を博する。；地歌は非常に曲数が多く、歴史も長いため実に様々な傾向の曲が存在する。；長い黒い髪をとかしている姿が目撃されるというが、近づいてはならない。；鉄鎖も使っていくうちに摩耗するため、間棹で毎日長さを確認していた。；ロイヤル・オペラ・ハウスは長い歴史を持ちよく知られている存在である。；女性側の泣き寝入りの時代が長かったことを考えると全面勝利だと思う。；そうなった原因はわからないが、おそらく不在期間が長すぎたのであろう。；この寺院はその長い歴史の中で金や宝石など多くの寄進を集めている。；沈黙が長かったので、こっちの言葉が聞えないのかと思ったくらいだった。；この時に決められた諸隊編成および指揮長は以下の通りである。；麻原は髪が長い女性が好きといわれており、当時は知子の髪も長かった。</t>
        </is>
      </c>
      <c r="J6252">
        <f>HYPERLINK("https://www.weblio.jp/content/長い", "词义详情")</f>
        <v/>
      </c>
      <c r="K6252">
        <f>HYPERLINK("https://yourei.jp/長い", "查看例句")</f>
        <v/>
      </c>
    </row>
    <row r="6253">
      <c r="A6253" t="inlineStr">
        <is>
          <t>流し</t>
        </is>
      </c>
      <c r="B6253" t="inlineStr">
        <is>
          <t>成功</t>
        </is>
      </c>
      <c r="C6253" t="inlineStr">
        <is>
          <t>読み方：ながし
１流すこと。流されること。「島—」「灯籠(とうろう)—」
２台所・洗濯場などの、物を洗ったり水を流したりする所。「汚れた食器を—に置く」
３浴場の体を洗う所。流し場。
４銭湯で入浴客の背中などを洗うこと。また、それを職業とする人。「—をとる」
５客を求めて移り動くこと。また、その人。「—のタクシー」「新内—」
６能楽および長唄の囃子(はやし)で、大鼓・小鼓・太鼓を演奏するとき、同種の打音を数多く連続して打つこと。
７「流し枝」の略。
［アクセント］5はナガシ、その他はナガシ。
[下接語] 筏(いかだ)流し・色流し・扇流し・辛皮(からかわ)流し・着流し・経木(きょうぎ)流し・銀流し・管流し・ころ流し・島流し・精霊(しょうりょう)流し・新内流し・州(す)流し・墨流し・外流し・垂れ流し・血流し・灯籠(とうろう)流し・眠り流し・吹き流し・闇(やみ)流し・横流し</t>
        </is>
      </c>
      <c r="D6253" t="inlineStr">
        <is>
          <t>流すべき；流すまい；流すような雨</t>
        </is>
      </c>
      <c r="E6253" t="inlineStr">
        <is>
          <t>掃除；注ぐ；排水；干す；注ぎ込む</t>
        </is>
      </c>
      <c r="F6253" t="inlineStr">
        <is>
          <t>そのまま流す；流すという演出；流すという形</t>
        </is>
      </c>
      <c r="H6253" t="n">
        <v>29</v>
      </c>
      <c r="I6253" t="inlineStr">
        <is>
          <t>後にシューマンは長い手紙を書いてリストに送ってこの件を水に流した。；馬の毛色によっては汗を流した時に血のように見えることがあるようだ。；そこで鳥の声のレコードを買ってきて、自宅で一日中流し続けていた。；また、東西お互いに相手を非難するプロパガンダ放送を流し合っていた。；また幕内の中継では仕切りの際時間一杯の直前までBGMを流している。；とはいうものの、打たれた敵が頭等から血を流していることがある。；植物体に微毛の生えた種が多く、どの種も傷をつけると白い乳液を流す。；この時まで本楽曲の音源が事前にラジオ等で流されることは無かった。；ところが、かつて使っていた情報屋が血を流しながら転がり込んできた。；避けがたい戦争を前にしてナポレオン3世は閣議で涙を流したという。；最終日となるこの日は、19時から各町での町流し・輪踊りがはじまる。；あふれる悲しみを抑え切れず、一人涙を流すブリーの姿がそこにあった。；赤飯はそのまま流すのではなく、直会で住民が食べていたと考えられる。；でもその後聞いたら、我々が帰った後で涙を流して喜んだということでした。；赤は独立闘争で流された血の色を、青は国の豊かさを象徴しているとされる。；これを見て涙を流さぬ者はおらず、石虎はこれにより発病してしまった。；なお、オリジナルバージョンの1番はフルで流されたのも一回しかない。；その他、駅や停車関連のサウンドでは以下のようなサウンドが流される。；こうした用材の搬出は、古くは河川を利用した筏流しが多用されていた。；この合成法の問題点は、正確な電気量を流さないと危険なことである。；痙攣を起こすほど人間に電気を流すことは危険なものと考えていた。；発売前後には、同商品の発売を告知するジングルを特別に流していた。；上映時間の長さからテレビ地上波では全編が流せないことから選ばれた。；出版側は各メッセージをどのトピックに流すのかを定義しなければならない。；翌年完成したが、同年の天明の洪水で堤防などが流され失敗に終わった。；これは、非常に電気を流しやすい金属であっても例外ではない。；彼はベレグを見ると衝撃を受け、涙をはらはらと流しながら駆け寄った。；また、強い南西風によって機体が大きく流された可能性も指摘された。；地域によっては遺体を小さな舟に載せて川や海へ流すところもある。</t>
        </is>
      </c>
      <c r="J6253">
        <f>HYPERLINK("https://www.weblio.jp/content/流し", "词义详情")</f>
        <v/>
      </c>
      <c r="K6253">
        <f>HYPERLINK("https://yourei.jp/流し", "查看例句")</f>
        <v/>
      </c>
    </row>
    <row r="6254">
      <c r="A6254" t="inlineStr">
        <is>
          <t>流す</t>
        </is>
      </c>
      <c r="B6254" t="inlineStr">
        <is>
          <t>成功</t>
        </is>
      </c>
      <c r="C6254" t="inlineStr">
        <is>
          <t>読み方：ながす
［動サ五（四）］
１液体が流れるようにする。
㋐水などを流れさせる。「汚水をどぶに—・す」「トイレの水を—・す」
㋑血・汗・涙などをしたたらせる。「脂汗を—・す」「よだれを—・す」
㋒水流に乗せて他の物を運ばせる。「いかだを—・す」「台風で橋が—・される」
㋓付着物を水や湯などで洗い落とす。「背中を—・す」「シャワーで汗を—・す」
２物を動かして移らせる。
㋐空中に漂わせる。「異臭を—・す」
㋑流罪に処する。配流する。「罪人を離れ島に—・す」
㋒次々にめぐらせる。「電流を—・す」「ムード音楽を—・す」
㋓広く伝わらせる。「デマを—・す」「情報を—・す」
㋔ひそかに売ったり渡したりする。「物資を闇に—・す」
３物事が成立しないようにする。
㋐とりやめにする。中止する。「総会を—・す」「ゲームを—・す」
㋑わきにそらす。その事にこだわらないようにする。「論敵の攻撃を軽く—・す」「柳に風と聞き—・す」
㋒流産させる。「おなかの子を—・す」
㋓一定の期間が過ぎて質物の所有権を失う。「入質したカメラを—・す」
㋔力まないで気楽にする。「ウオーミングアップに一〇〇メートルを軽く—・す」
㋕野球で、流し打ちをする。「ライトに—・す」⇔引っ張る。
４客を求めてあちこち移り動く。「タクシーが盛り場を—・す」「酒場をギターを弾いて—・す」
５遊郭で居つづける。流連する。
「長く居なさんな、息子株ぢゃああるめえし、—・せば迚(とって)も程があらあな」〈滑・浮世床・初〉
[可能]ながせる
[下接句]汗を流す・汗水を流す・油を流したよう・車軸を流す・智(ち)に働けば角(かど)が立つ、情(じょう)に棹(さお)させば流される・水に流す・涎(よだれ)を流す</t>
        </is>
      </c>
      <c r="D6254" t="inlineStr">
        <is>
          <t>流すべき；流すまい；流すような雨</t>
        </is>
      </c>
      <c r="E6254" t="inlineStr">
        <is>
          <t>掃除；注ぐ；排水；干す；注ぎ込む</t>
        </is>
      </c>
      <c r="F6254" t="inlineStr">
        <is>
          <t>そのまま流す；流すという演出；流すという形</t>
        </is>
      </c>
      <c r="H6254" t="n">
        <v>29</v>
      </c>
      <c r="I6254" t="inlineStr">
        <is>
          <t>後にシューマンは長い手紙を書いてリストに送ってこの件を水に流した。；馬の毛色によっては汗を流した時に血のように見えることがあるようだ。；そこで鳥の声のレコードを買ってきて、自宅で一日中流し続けていた。；また、東西お互いに相手を非難するプロパガンダ放送を流し合っていた。；また幕内の中継では仕切りの際時間一杯の直前までBGMを流している。；とはいうものの、打たれた敵が頭等から血を流していることがある。；植物体に微毛の生えた種が多く、どの種も傷をつけると白い乳液を流す。；この時まで本楽曲の音源が事前にラジオ等で流されることは無かった。；ところが、かつて使っていた情報屋が血を流しながら転がり込んできた。；避けがたい戦争を前にしてナポレオン3世は閣議で涙を流したという。；最終日となるこの日は、19時から各町での町流し・輪踊りがはじまる。；あふれる悲しみを抑え切れず、一人涙を流すブリーの姿がそこにあった。；赤飯はそのまま流すのではなく、直会で住民が食べていたと考えられる。；でもその後聞いたら、我々が帰った後で涙を流して喜んだということでした。；赤は独立闘争で流された血の色を、青は国の豊かさを象徴しているとされる。；これを見て涙を流さぬ者はおらず、石虎はこれにより発病してしまった。；なお、オリジナルバージョンの1番はフルで流されたのも一回しかない。；その他、駅や停車関連のサウンドでは以下のようなサウンドが流される。；こうした用材の搬出は、古くは河川を利用した筏流しが多用されていた。；この合成法の問題点は、正確な電気量を流さないと危険なことである。；痙攣を起こすほど人間に電気を流すことは危険なものと考えていた。；発売前後には、同商品の発売を告知するジングルを特別に流していた。；上映時間の長さからテレビ地上波では全編が流せないことから選ばれた。；出版側は各メッセージをどのトピックに流すのかを定義しなければならない。；翌年完成したが、同年の天明の洪水で堤防などが流され失敗に終わった。；これは、非常に電気を流しやすい金属であっても例外ではない。；彼はベレグを見ると衝撃を受け、涙をはらはらと流しながら駆け寄った。；また、強い南西風によって機体が大きく流された可能性も指摘された。；地域によっては遺体を小さな舟に載せて川や海へ流すところもある。</t>
        </is>
      </c>
      <c r="J6254">
        <f>HYPERLINK("https://www.weblio.jp/content/流す", "词义详情")</f>
        <v/>
      </c>
      <c r="K6254">
        <f>HYPERLINK("https://yourei.jp/流す", "查看例句")</f>
        <v/>
      </c>
    </row>
    <row r="6255">
      <c r="A6255" t="inlineStr">
        <is>
          <t>長続き</t>
        </is>
      </c>
      <c r="B6255" t="inlineStr">
        <is>
          <t>成功</t>
        </is>
      </c>
      <c r="C6255" t="inlineStr">
        <is>
          <t>読み方：ながつづき
［名］(スル)一つの物事が途中でとぎれずに長く続くこと。「飽きやすくて—しない性格」</t>
        </is>
      </c>
      <c r="D6255" t="inlineStr">
        <is>
          <t>長続きするはず；長続きするわけ</t>
        </is>
      </c>
      <c r="E6255" t="inlineStr">
        <is>
          <t>継続；存続；持続；永続；ぶっ続け</t>
        </is>
      </c>
      <c r="F6255" t="inlineStr">
        <is>
          <t>たものの長続き</t>
        </is>
      </c>
      <c r="H6255" t="n">
        <v>29</v>
      </c>
      <c r="I6255" t="inlineStr">
        <is>
          <t>何をやっても長続きしない少年ではあったが空手とギターは続けていた。；長つづきしないだろうし、過去にも数日以上つづいた例はなかったのだ。；優れた政治家でもあったレスター伯とのそれが最も愛情深く長続きした。；スポーツとは関係ない仕事をいくつもしたがどれも長続きしなかった。；中学卒業後、父と一緒に仕事をしたりしたが、どれも長続きしなかった。；今度の旅の特長は、良い気分が長続きしないことにあると言えるだろう。；おれには、長つづきしないわけはわかったが、食べるほうを専門にした。；努力すればするほど報われない報酬体系の事業が長続きするはずはない。；そうすれば、わたしたちの幸福は完全に長つづきがしたことになりますわ。；音楽院では本物の笑顔や長つづきする微笑は、ほとんど見かけていない。；小学生の頃に空手教室に入ったが、それは長続きせずすぐに止めている。；勿論女たちにも熱情の瞬間はあるが、然しそれは決して長続きはしない。；こうして我慢していればこそ、あたしたちの愛が長つづきできるのよ。；このような状態のため、幾度かの乗り入れは長続きせずに終わっている。；その後4人の女性と結婚したが、酒癖が悪くいずれも長続きしなかった。；それから毎年この島に出かけたというが、長つづきしなかったらしい。；しかし、その抗議も長続きせず母のとりなしで兄弟は夕食を食べて寝る。；二人がカーモディにいる間に雷雨がやってきたが、長続きはしなかった。；美弥に恋人ができても長続きしないのは、突き詰めればそのせいだった。；このような状況は長続きしないとしても、多くの国民から支持されている。；こちらはあまり長続きはしなかったが、楽譜を読むことをマスターした。；そんなものは長続きのするものではない、何の価もあるものではない。；これまでは、たとえあらわれても、長つづきせず、すぐ消えてしまった。；最初はベコーとともにクラブで歌っていたが、これは長続きしなかった。；当時はここまで番組が長続きするとは思っていなかったという。；ともかくも、歴史はこんなことをする国は長続きしないことを示しているのだ。；あたしにも俊のほかに何人か男がいたが、いつも長続きせずにいた。；もし真剣な恋をするならばそういう女でなければ長続きはするまい。；芸妓であったが気の強さから長続きせず、女道楽の「滝の家連」に加入。</t>
        </is>
      </c>
      <c r="J6255">
        <f>HYPERLINK("https://www.weblio.jp/content/長続き", "词义详情")</f>
        <v/>
      </c>
      <c r="K6255">
        <f>HYPERLINK("https://yourei.jp/長続き", "查看例句")</f>
        <v/>
      </c>
    </row>
    <row r="6256">
      <c r="A6256" t="inlineStr">
        <is>
          <t>仲直り</t>
        </is>
      </c>
      <c r="B6256" t="inlineStr">
        <is>
          <t>成功</t>
        </is>
      </c>
      <c r="C6256" t="inlineStr">
        <is>
          <t>読み方：なかなおり
［名］(スル)
１仲が悪くなっていた人達が、もとのように仲よくなること。和解。和睦(わぼく)。「弟と—する」
２（中直り）死期が近づいたとき、病状が一時的に小康状態になること。</t>
        </is>
      </c>
      <c r="D6256" t="inlineStr">
        <is>
          <t>仲直りする(13%)；仲直りでき(3%)；仲直りしよ；仲直りしろ；仲直りしなさい</t>
        </is>
      </c>
      <c r="F6256" t="inlineStr">
        <is>
          <t>とも仲直り；喧嘩仲直り；話し合って仲直り；仲直りする気</t>
        </is>
      </c>
      <c r="H6256" t="n">
        <v>29</v>
      </c>
      <c r="I6256" t="inlineStr">
        <is>
          <t>うまく言えないけど喧嘩した奴とまた仲直りしたみたいなそんな気分さ。；そのせいか、夫はいつもの喧嘩の後のようにまた私と仲直りしてくれた。；もしおれたちが今夜仲直りしたら森番の連中もみんな仲よくするだろう。；ただ、向こうへ行ってしまうだけだが、あとで仲直りが大変になるんだ。；これから人を仲直りさせようってのに、俺自身が妹と喧嘩してどうする。；自分は事故で両親が死ぬ前に仲直りしなかったことを後悔していると話す。；さて仲直りは、わたしまでがつよく感動させられたほどにうまくいった。；喧嘩の仲直りをした後で損をしたやうな気のした事はまだ一度もありませぬ。；その翌日、ふたりはすっかり仲直りをして、田舎へ向けて発って行った。；芝居にでもありそうなこの仲直りでどんなすばらしい変化が起こるだろう。；高い青天井の下でいろいろなことを討論し、喧嘩してはまた仲直りした。；それにはまず手始めに父に手紙を書いて、父と仲直りしなければいけない。；ぼくも仲直りするならいまが潮時だと感じたので、すぐ声をだして読んだ。；その後、男同志だから仲直りしようと俺に言って部屋に連れ込んだのさ。；だつて、あたしが、嘘をついてさ、あとで、二人が仲直りをして御覧よ。；そして、それで仲直りのできた証拠のように、二人は同時に眼と唇で笑った。；わしの手を接吻しにきて、どうか妻と仲直りをさせてくれと頼むのだ。；ぼくがみんなを仲直りさせます、そしてみんなが幸福になるんです!；私は我が強いから、仲直りしようなんて気にはなかなかなれないのよ。；どうすれば二人を仲直りさせられるか、お梅は知っていたのである。；その後ジュリアはトムに失礼な手紙を送るが、のちに二人は仲直りする。；わたしは喧嘩をしに来たのでも、仲なおりしに来たのでもない。；ちゃんと話せばわかってくれるだろうし仲直りできると信じている。；彼女は、兄が仲直りする気になったのを見て、とても気をよくしたように見えた。；その証拠に、いまからすぐエドガーのところへ行って仲なおりするの。；そして二人は争い、最後には仲直りをするというストーリーで成立している。；そして妻と仲直りするために帰宅し、その夜に35ページを書き上げた。；彼女とは子供の頃から何度も喧嘩したけれど、仲直りできなかったことは一度もない。；「どうやらおれたちは仲なおりしたようだね」 彼女は一言も答えなかった。</t>
        </is>
      </c>
      <c r="J6256">
        <f>HYPERLINK("https://www.weblio.jp/content/仲直り", "词义详情")</f>
        <v/>
      </c>
      <c r="K6256">
        <f>HYPERLINK("https://yourei.jp/仲直り", "查看例句")</f>
        <v/>
      </c>
    </row>
    <row r="6257">
      <c r="A6257" t="inlineStr">
        <is>
          <t>なかなか</t>
        </is>
      </c>
      <c r="B6257" t="inlineStr">
        <is>
          <t>成功</t>
        </is>
      </c>
      <c r="C6257" t="inlineStr">
        <is>
          <t>読み方：なかなか
［形動］［文］［ナリ］
１予想した程度を上回るさま。かなりなさま。「色もいいがデザインも—だ」
「—な技倆者(やりて)だと見えるナ」〈魯庵・社会百面相〉
２物事が予想したようには容易に実現しないさま。「具体化まではまだ—だ」
３中途半端なさま。また、中途半端で、いっそそうでないほうがましなさま。
「げに—ならむよりは、いと良しかし」〈狭衣・三〉
［副］
１予想した以上に。意外に。かなり。「—難しい問題だ」「敵も—やるね」「—の腕前」
２（多くあとに打消しの語を伴って）容易に実現しないさま。「電車が—来ない」「話しても—わかってくれない」
３予想や一般的な状況とは反対の結果になるさま。むしろ。かえって。
「白き紙に捨て書い給へるしもぞ、—をかしげなる」〈源・末摘花〉
４（あとに打消しの語を伴って）とうてい。けっして。
「やれやれ大きになられた、よそで見たらば—見知るまい」〈虎明狂・腰祈〉
［感］相手の言葉に相槌を打つときに発する語。はい。ええ。そうです。
「『いざさらば行かう。おりやれ、おりやれ』『—、参りまらする』」〈虎清狂・猿座頭〉</t>
        </is>
      </c>
      <c r="D6257" t="inlineStr">
        <is>
          <t>なかなかいい(2%)；なかなかうまく；なかなか面白い；なかなか見つから；なかなかよく</t>
        </is>
      </c>
      <c r="E6257" t="inlineStr">
        <is>
          <t>かなり；ちょっと；相当；ずいぶん；ある程度</t>
        </is>
      </c>
      <c r="F6257" t="inlineStr">
        <is>
          <t>なかなか思う；なかなか眠れ；なかなかやる；なかなか良い；なかなか決まら</t>
        </is>
      </c>
      <c r="H6257" t="n">
        <v>29</v>
      </c>
      <c r="I6257" t="inlineStr">
        <is>
          <t>しかし、何度訓練してもなかなか上手く描くことはできなかったという。；このような事柄は生物以外のものではなかなか成立するものではない。；恥ずかしがり屋でありながら初参加にしてなかなかの好成績を収めた。；なかなか出場機会は得られぬまま、限りで現役を引退するが、には復帰。；電気炬燵は大正後期に発売されたが、家庭にはなかなか普及しなかった。；すくみ足とは足がすくんだように一歩目がなかなか出ない状態を示す。；室内で食べると臭気がなかなか消えないので、屋外で食べることが多い。；当初はなかなか上位に進出できず、シード入りが高い壁となっていた。；アニメではなかなか儲からないため雑誌部を設立し漫画を制作した。；そのため非ユダヤ人の間ではなかなか読まれるようにならなかった。；朝なかなか起きない彼を学校に連れて行くのが日課となっている。；これは世界の最新鋭飛行機でもなかなか達成できないものである。；まもなくコントはパリに戻ったものの精神状態はなかなか回復しなかった。；しかし、1860年代まで国内外でなかなか成功しなかったといわれる。；頑固者の父との関係はなかなか難しいものがあったと回想している。；新しい環境になかなかなじめず、友人もなく、家で過ごす日々が続いた。；彼は多数の作品をシンジケートへ送り続けたが、なかなか採用されなかった。；ソレから私が近づきになって、だんだん話をしてみるとナカナカ面白い。；また「なかなかキャラクターに感情移入できなかった」とも語っている。；しかし、幕内にはなかなか定着できず、通算で幕内と十両を8往復した。；本人は移住当初アメリカでの生活になかなか馴染めなかったと述懐している。；私の住んでおったセラ大学の後の山などには、ナカナカ沢山おりました。；それらの飾りはナカナカ立派なもので、容易に言葉に尽すことができない。；Cは自分の相手がどちらなのか、なかなか分からないかもしれない。；日本では劇場未公開となることが多く、なかなか知名度が上がらなかった。；なかなか処女作が実現しない黒澤は、生活のために脚本を書き続けた。；確かな情報はなかなか得られないが、怪しげな情報は決して信じてはならない。；しかし過去のある時点で行われた行為を証明するのはなかなか困難なことである場合が少なくない。；それ以降はなかなか出場機会が与えられずベンチ入りすらできなかった。</t>
        </is>
      </c>
      <c r="J6257">
        <f>HYPERLINK("https://www.weblio.jp/content/なかなか", "词义详情")</f>
        <v/>
      </c>
      <c r="K6257">
        <f>HYPERLINK("https://yourei.jp/なかなか", "查看例句")</f>
        <v/>
      </c>
    </row>
    <row r="6258">
      <c r="A6258" t="inlineStr">
        <is>
          <t>ながなが</t>
        </is>
      </c>
      <c r="B6258" t="inlineStr">
        <is>
          <t>成功</t>
        </is>
      </c>
      <c r="C6258" t="inlineStr">
        <is>
          <t>読み方：ながなが
［副］きわめて長いさま。いかにも長いさま。「—（と）講釈を垂れる」「—（と）お世話になりました」「ソファーに—（と）横たわる」</t>
        </is>
      </c>
      <c r="D6258" t="inlineStr">
        <is>
          <t>ながながと伸び(3%)；ながながとのび(2%)；ながながとつづい；ながながとつづく；ながながと話し</t>
        </is>
      </c>
      <c r="E6258" t="inlineStr">
        <is>
          <t>長々；くどくど；冗長；冗漫；便々</t>
        </is>
      </c>
      <c r="F6258" t="inlineStr">
        <is>
          <t>話をながなが；ながながと書い；ながながと身；ながながと論じ；ながながと語り</t>
        </is>
      </c>
      <c r="H6258" t="n">
        <v>29</v>
      </c>
      <c r="I6258" t="inlineStr">
        <is>
          <t>生まれてもいない子どものことをながながと語るのも変だと思った。；ながながと悲鳴をあげた栄介は、暗い空間の中で幻のようなものを見た。；ながながと前置きしたが、実は最初から、この話をしたかったのである。；ながながと最近読んだあるアメリカの小説の内容紹介をしてきた。；私は堤防の上にながながと寝そべっており、あたりには人影がなかった。；輜重部隊をながながと連れていないぶん、曹仁の兵は早いほうであった。；でもこれ以上あまりながながと続けることも御迷惑であろうと思う。；気がついたときには、彼は地面にながながと伸びていたのである。；張が横になると怪物も其の傍へながながと横になって寝ました。；未央生が花晨にそういうと、花晨はながながとその利用法を説き出した。；だがローダンは、ながながと説明する時間など残っていないことを知っていた。；これがながながと続くのだが、少しも冗漫でもなければくどくもない。；勿論とめられて、その上ながながとお説教までされてそれは実現しないでしまつた。；若い男がひとり、ながながと横になって、タバコをふかしてましたっけ。；ひとのうわさ話をながながやるっていうのは、いいことじゃないわね。；ベッドのうえにながながとそのからだを横たえて眠っている彼女は一本の植物のようにみえた。；デュクロ氏はわたしを相手に、浜辺の事件をながながと話しはじめた。；青年は、彼女をそばにひきよせると、ながながとなにかささやいている。；やがて、何かながながと話していたかと思うと、モートンと握手した。；ここにながながと逗留していたのも、ただ見張られているからばかりではない。；それでなくても私は、すでにながながと事件のあらゆる段階をたどってきたのである。；彼はそんなところで私と会ったのを驚き、ながながと挨拶をして私にしゃべらせようとした。；ジュリヤンに向って、ラヴァレット氏の脱獄の模様をながながと話した。；そして目をあけて見ますと、自分は岩のうえにながながと寝そべっているではありませんか。；そこには地面にながながとのびた綱が彼らを待っていた。；二人のながながしい話が終ると、 「その要はない」と言葉短くいった。；又、以前のように長椅子にながながと横たわって右肘をつき手で頭を支えた。；それをながながと語るのは、私にとっても彼女の苦労に劣らず面倒なことだからだ。；動悸がおさまるまで、しばらくかれは石の上にながながとのびていた。</t>
        </is>
      </c>
      <c r="J6258">
        <f>HYPERLINK("https://www.weblio.jp/content/ながなが", "词义详情")</f>
        <v/>
      </c>
      <c r="K6258">
        <f>HYPERLINK("https://yourei.jp/ながなが", "查看例句")</f>
        <v/>
      </c>
    </row>
    <row r="6259">
      <c r="A6259" t="inlineStr">
        <is>
          <t>長ネギ</t>
        </is>
      </c>
      <c r="B6259" t="inlineStr">
        <is>
          <t>成功</t>
        </is>
      </c>
      <c r="C6259" t="inlineStr">
        <is>
          <t>読み方：ながねぎ
玉葱に対して、細長いいわゆる普通の葱をいう語。</t>
        </is>
      </c>
      <c r="H6259" t="n">
        <v>29</v>
      </c>
      <c r="I6259" t="inlineStr">
        <is>
          <t>このとき、五センチほどに切った長ねぎの白い部分を何本か入れる。；もちろん、カモ肉によく合う長ネギを添えるのを忘れてはならない!；三本手に入れた長ねぎのうち、一本が全て小口切りになりました。；好みで長ねぎ一本ほどザクに切って入れてもよい。；斎藤は長ネギ栽培のほか日系ブラジル人の教育にも関与した。；具としては長ネギではなく玉ネギが用いられることが多い。；袋の口から長ネギが飛び出している。；根深ねぎで商業的に多く栽培されるほとんどのものはF 1 種であるが、日本各地で栽培される長ネギは固定種も多く栽培されている。；長ネギの根は多くの酸素を吸収する性質があり、完全に土に埋めると酸素不足で生育が悪くなる。；長ねぎは薄い輪切りに、もしあれば青ねぎもみじんに切っておく。；使いかけの大根に、長ねぎの青いところがいくらか。；もやしもヒゲと頭を取って、長ねぎは薄くななめ切りにしておく。；長ねぎは三センチくらいの長さに切りそろえ、網で焼いて焦げ目をつけておく。；ほかに、玉ねぎを一個、長ねぎ一本を四センチに切っておく。；次に合わせ調味料を入れ、長ねぎがしんなりするまで火にかける。；当初はキャベツやブロッコリーを栽培したが、出荷時の価格が安定せず、2009年からは価格の安定した長ネギを栽培を開始した。；学生向けに低価格で提供するために麩と長ネギなどの安価な具のみ乗せたラーメンもある。；かまぼこ、ちくわはサイの目に切り、長ねぎはみじん切りにしておく。；贅沢をしたところで長ネギをたっぷり刻んで蕎麦を茹でるくらいだ。；白い長ねぎはつけ合わせにする。；長ねぎは青い部分を取らずに、六等分にする。；下仁田ネギに似た、太くて短い姿で、長ネギのように円筒形の白い部分を食用とする。；長ねぎも一緒につけておく。；上からブラックペッパーをふりかけて、長ねぎも一緒に一〇〜一五分つけこむ。；和寒産農産物は、タマネギやナガネギなども販売し発送も受け付けた。；長ネギとかゴボウとかダイコンとか、とにかくやたらと長い野菜を丸のまま調理しなければならない選手権でもなければ使うことはないんじゃないかと思う。；忍刀の代わりに長ネギを背負った忍者ネギ蔵が、困った子供を助けるために大活躍する姿を描いたラテン音楽風の楽曲。；僕だったら迷わず長ねぎと大根と玉ねぎの炒め物に一直線だけど、摩耶花はそういうことはしないだろう。；南蛮は、かつお節などの出汁を使用し長ネギを入れたカレー風味のつゆを使用したものである。</t>
        </is>
      </c>
      <c r="J6259">
        <f>HYPERLINK("https://www.weblio.jp/content/長ネギ", "词义详情")</f>
        <v/>
      </c>
      <c r="K6259">
        <f>HYPERLINK("https://yourei.jp/長ネギ", "查看例句")</f>
        <v/>
      </c>
    </row>
    <row r="6260">
      <c r="A6260" t="inlineStr">
        <is>
          <t>長年</t>
        </is>
      </c>
      <c r="B6260" t="inlineStr">
        <is>
          <t>成功</t>
        </is>
      </c>
      <c r="C6260" t="inlineStr">
        <is>
          <t>読み方：ちょうねん
［名］(スル)
１長い年月。ながねん。
２ながいき。長寿。長命。「師の—を寿(ことほ)ぐ」
３少壮の年。成年。
「—の今継母に逢へり」〈太平記・一二〉
４年限を重ねて奉公すること。重年(ちょうねん)。
「御婚礼までお着き申さうと存じまして、只今までとうとう—致しましたが」〈滑・浮世風呂・二〉</t>
        </is>
      </c>
      <c r="D6260" t="inlineStr">
        <is>
          <t>長年務め；長年続い；長年使用；長年勤め；長年活躍</t>
        </is>
      </c>
      <c r="E6260" t="inlineStr">
        <is>
          <t>長期；長い間；年月；長期間；歳月</t>
        </is>
      </c>
      <c r="F6260" t="inlineStr">
        <is>
          <t>長年住ん；長年在籍；以来長年；長年放置；長年所属</t>
        </is>
      </c>
      <c r="G6260" t="inlineStr">
        <is>
          <t>長年寺；長年大宝</t>
        </is>
      </c>
      <c r="H6260" t="n">
        <v>29</v>
      </c>
      <c r="I6260" t="inlineStr">
        <is>
          <t>最初に企画されたのは彼の長年の望みであったヴォルフ歌曲集であった。；長年に渡りアメリカである研究をしていたが、数年前に日本へ帰国した。；こうして長年にわたり何度も頓挫してきた新たな選挙制度を実現させた。；しかし、両者の長年の対立は深刻ですぐに和睦できるものではなかった。；ただ言い添えるならば長年に渡る文学的伝統はクフの人気を証明しない。；いずれもムスリムであるが、両者の関係は長年緊張を伴うものだった。；このような評議会の設立は、王国国策会議によって長年主張されてきた。；もはや用済みとなった後藤新平像は、長年神社の境内に放置され続けた。；圓生との対立による長年の心労が最大の原因になったと見ている者は多い。；それと同時に長年続いていた終了時のエンドカードも廃止された。；長年にわたって自己保有の車を持たなかったのもその影響による。；作品の全ては長年、演出家の森田雄三と打ち合わせながら作られてきた。；有事法制の研究は戦後、防衛庁が設置されて以来、長年の懸案であった。；彼が長年に亘って付けていた日記が2000年に出版されている。；玄田本人は「長年担当していたため次にどう動くかが分かる」と語っている。；しかし、そのような玉軸受はその後も長年作ることができなかった。；また、現場でも長年の主従意識は容易に解消できるものではない。；これにより吉澤一彦も長年続けてきた朝番組の担当にピリオドを打った。；また、ドラマなどで共演した児玉清とも長年の親交があった事が知られていた。；これは長年に渡って保護されてきたからであり、保護されていない地域にいる個体は警戒心が強い。；過去には長年にわたってサンミュージックプロダクションに所属していた。；南ドイツ放送が長年維持管理してきた地方スタジオがマンハイムに存在する。；また、バックスクリーンには長年、フコク生命の広告が掛けられていた。；長年、トリケラトプスの標本は一頭ずつ単独の個体だけで産出されていた。；コンパイラ研究者が長年に渡って研究しているが、限定的な成果しか得られていない。；これがきっかけで以後長年、各誌に文芸批評を書き続けることになる。；長年巨人の宮崎キャンプを取材した縁で2003年宮崎県宮崎市に移住。；長年同じ映像だったが、近年新しいバージョンが放映されている。；これは長年にわたって行われてきたワイン造りの伝統のなかで継承されてきたのである。</t>
        </is>
      </c>
      <c r="J6260">
        <f>HYPERLINK("https://www.weblio.jp/content/長年", "词义详情")</f>
        <v/>
      </c>
      <c r="K6260">
        <f>HYPERLINK("https://yourei.jp/長年", "查看例句")</f>
        <v/>
      </c>
    </row>
    <row r="6261">
      <c r="A6261" t="inlineStr">
        <is>
          <t>半ば</t>
        </is>
      </c>
      <c r="B6261" t="inlineStr">
        <is>
          <t>成功</t>
        </is>
      </c>
      <c r="C6261" t="inlineStr">
        <is>
          <t>読み方：なかば
［名］
１全体を二つに分けた、その一方。半分。「敷地の—を人手に渡す」
２一定の距離・期間などの中間のあたり。「枝を—から切り落とす」「五月の—」「人生の—」
３ある物事の途中。ある物事をしている最中。「式典の—で退席する」「志—で挫折する」
［副］
１半分ほど、ある状態になっているさま。「—あきれ、—感心する」
２完全にではないが、かなりの程度。ほとんど。「—観念している」</t>
        </is>
      </c>
      <c r="D6261" t="inlineStr">
        <is>
          <t>半ば頃(2%)；半ば以降；半ば強引；半ば開い；半ば以上</t>
        </is>
      </c>
      <c r="E6261" t="inlineStr">
        <is>
          <t>半；半分；中間；中部；真ん中</t>
        </is>
      </c>
      <c r="F6261" t="inlineStr">
        <is>
          <t>三十代半ば；志半ば；二十代半ば；直線半ば；シーズン半ば</t>
        </is>
      </c>
      <c r="H6261" t="n">
        <v>29</v>
      </c>
      <c r="I6261" t="inlineStr">
        <is>
          <t>シーズン半ばにある雑誌のインタビューに次のように語っている。；また1970年代半ばから大型方向幕が採用され、低床化も進められた。；日本沿岸でも、1980年代半ば以降では大きな上昇率が観測されている。；しかし15世紀半ばにはシア・ロック式とスナッピング式が発明された。；イギリスのロンドンでは9世紀半ばに既に「空気の悪さ」が知られていた。；富士通は1985年半ばにこの方針を転換したが、既に手遅れであった。；グラナドスは大きな目を半ば閉じ加減にして夢見るような抑揚で話した。；また、17世紀半ばにはムスリムの農民集団が目につくようになっている。；小学校半ばからお笑いが好きで、当時は前述の通りお笑いスター誕生!!；頼朝は他の女性とも通じたが、政子を恐れて半ば隠れるように通っている。；しかし、作者の死により全体の半ばほどを残してついに未完に終わった。；しかし、以下に述べるように、このような区別が定着したのは江戸時代半ばである。；この町にヨーロッパ系移民が移り住んだのは1800年代半ば頃である。；STR解析は1990年代半ば以降普及してきた比較的新しい技術である。；ディリは半ば戦場と化し、住民のほとんどは難民となって郊外へ脱出した。；古代ローマの建設年については、半ば伝説であることに注意する必要がある。；明治20年代半ば過ぎ頃からはコーヒーを飲むようになった。；このような絶縁体、金属の分類の描像は20世紀の半ばには確立されていた。；最初にレオナルドの性的指向が話題になったのは16世紀半ばのことだった。；一方のカースィム・シャー派が姿を現すのは15世紀半ばころからである。；写真の注釈によれば手前で半ば寝そべった人物が水野遵となっている。；梅雨の半ばには一旦天気が回復する期間が出現することがある。；スウェーデンでは1960年代の半ばから人口が希薄な地域への対策が実施されてきた。；日本では80年代半ばのラップをミドル・スクールと表現することがある。；中国における二足歩行ロボットの開発は1980年代半ばから始まった。；ウィスコンシン州は20世紀半ばに政治的な極論に関わることが数度あった。；鉄道は19世紀半ば以来州内交通で重要な役割を果たしてきた。；たとえばダバオ付近がスペインに征服されたのは19世紀も半ばのことである。；スペインはカタルーニャ州の都市リェイダにて2000年代半ばに撮影。</t>
        </is>
      </c>
      <c r="J6261">
        <f>HYPERLINK("https://www.weblio.jp/content/半ば", "词义详情")</f>
        <v/>
      </c>
      <c r="K6261">
        <f>HYPERLINK("https://yourei.jp/半ば", "查看例句")</f>
        <v/>
      </c>
    </row>
    <row r="6262">
      <c r="A6262" t="inlineStr">
        <is>
          <t>長引く</t>
        </is>
      </c>
      <c r="B6262" t="inlineStr">
        <is>
          <t>成功</t>
        </is>
      </c>
      <c r="C6262" t="inlineStr">
        <is>
          <t>読み方：ながびく
［動カ五（四）］はかどらないで、時間が長くかかる。終了までの時間が延びる。「紛争の終結が—・く」「病気が—・く」</t>
        </is>
      </c>
      <c r="D6262" t="inlineStr">
        <is>
          <t>変わらない；繰り返される；悪化する；終わらない；絶たない</t>
        </is>
      </c>
      <c r="F6262" t="inlineStr">
        <is>
          <t>さらに長引く；長引くかもしれ</t>
        </is>
      </c>
      <c r="H6262" t="n">
        <v>29</v>
      </c>
      <c r="I6262" t="inlineStr">
        <is>
          <t>これ以上長引くのもなんだし、もう我慢できないから連絡を入れたんだ。；沈黙が長引けば、それだけ敗北を認めてしまうような気がしたのである。；ただ以降は怪我が長引きプレーできず、これが原因となり現役引退した。；もしかするとこれが二人の関係を長引かせる原因のひとつかもしれない。；しかしこのダムも移転交渉等が長引き2012年にようやく完成となる。；全員別のクラスなのだから、ホームルームが長引いたわけでもあるまい。；そのため、長引く場合は48時間程度も苦しみ続けて死んだと言われる。；いやな事と云うものは、する時間が長引くだけいやになるからである。；以上のようなわけで、戦勝は勝利を第一とするが、長引くのはよくない。；ジョン・カーマックによれば、開発は予想していたより長引いたという。；作業なり滞在なりを長引かせるのは、あらゆる意味で危険なのだった。；それはつまり、実際に戦争が起きれば泥沼のように長引いてしまうのだ。；この暴風が長引いたら出発が遅れはしないかとグレナヴァンは心配した。；艦長達は戦闘を長引かせても何も善いことは行らないことで合意した。；戦争は長引き、女王率いる軍が無事勝利を収めた頃には十数年が経過していた。；また、一つの罪を長引かせておくと、他の罪を惹き起すことになります。；新田さんから電話があって、仕事が長引きそうで何時になるかわからない。；長引いた会議が終わって、準備室へ向かう途中で、私は君を見かけた。；戦争を長引かせたくない金は、新たに傀儡国家である大斉を建国させた。；カルデラも仕事が予定以上に長引いて、午後九時になって夕食に座った。；そしてその様子が長引くほど、躊躇していることが明らかになっていった。；本当なら二時には終わる予定だった撮影が、思いのほか長引いてしまったのだ。；そしてこの男は、それを長引かせようと決心してゐるやうに思はれる。；更に相手は遠征軍であり、長引かせるだけで有利となるからである。；後は彼らの配置が終わるまで、浜面は会話を長引かせる必要があった。；失敗するとここに居る時間がまた長引きそうだから、慎重に計画立てないとね。；この怪我が撮影期間を長引かせた上に、後の奇行の原因になったといわれる。；長引かせる理由はどこにもない、というのが中尉の一貫した主張だった。；そのため、毎年のサナトリウムでの生活も次第に長引くようになってきた。</t>
        </is>
      </c>
      <c r="J6262">
        <f>HYPERLINK("https://www.weblio.jp/content/長引く", "词义详情")</f>
        <v/>
      </c>
      <c r="K6262">
        <f>HYPERLINK("https://yourei.jp/長引く", "查看例句")</f>
        <v/>
      </c>
    </row>
    <row r="6263">
      <c r="A6263" t="inlineStr">
        <is>
          <t>なかほど</t>
        </is>
      </c>
      <c r="B6263" t="inlineStr">
        <is>
          <t>成功</t>
        </is>
      </c>
      <c r="C6263" t="inlineStr">
        <is>
          <t>読み方：なかほど
１ある期間・時期のまんなかのあたり。なかごろ。なかば。「来月の—までには参ります」「宴会の—で呼び出される」
２物の位置や距離のまん中のあたり。「車両の—までお詰めください」
３程度の中くらい。「クラスで—の成績」</t>
        </is>
      </c>
      <c r="D6263" t="inlineStr">
        <is>
          <t>関係；交流；仲；関わり；つながり</t>
        </is>
      </c>
      <c r="H6263" t="n">
        <v>29</v>
      </c>
      <c r="I6263" t="inlineStr">
        <is>
          <t>この広場で行った演説は彼の政治活動のなかで最も成功したものだった。；患者のなかにはこのエピソードの時に仕事で成功することが多い。；自動車はその歴史のなかで様々な構造が現れ、変遷を繰り返してきた。；今日でも高年齢層のなかにはペンシルベニアドイツ語を話す人々が多い。；推理小説のなかではもっとも一般的でかつ古典的なジャンルである。；釈迦は自分の教説のなかで輪廻を超越する唯一神の存在を認めなかった。；これにより炭素は星のなかで無尽蔵に作られる性質があることが判った。；楽曲のなかには英国よりも先にリリースされた作品もある。；しかし、ジャンヌが受けた重要な支援のなかには女性から受けたものもある。；う蝕とは、歯の実質欠損のなかで、生物的要因が原因であるものである。；その後行われた梅原猛との対談のなかでも、歴史の話がなされている。；帝国東部地域の開発が進むなか、多くの解放農民がシベリアへと移住した。；多くの者が袁紹と内通するなか、李通の郡だけが動揺しなかったという。；曹操の楽府「歩出夏門行」の第四章は楽府のなかでもその代表作である。；以下に挙げるのはそのなかでも特に広く用いられている分類、専門分野の名称である。；ヨーロッパにおける東洋学のなかで、日本語活字が製造されもしている。；ある溶液のなかでこれら全ての価数で平衡して存在することも珍しくない。；「レキシントン」はエセックス級のなかで最も長く運用された艦である。；これは回答用紙にある選択肢のなかでドイツ語が一番近いためである。；なかにはまったく広告表示もなくて無料のものもある。；FOFが増えてゆくなか、日本では投資信託が証券不況の原因となった。；西洋の博物学の歴史のなかでは、どのような分類が正しいのかが検討され続けた。；死につつあったギリシア思想は教会の神学と祈祷書のなかで再生した。；ここでは、、第一段階の思をも業のなかに含めて理解している。；彼は中国の民間信仰のなかで最も活躍する英雄の一人である。；一見安定した現実は両者の対立のなかでのみ生じる。；オートバイの構造は、その歴史のなかで様々な形態が現れ、変遷してきた。；また、厳格派のなかのいくつかの主張は異端としてしりぞけられてきた。；動物は遊びのなかで狩りやコミュニケーションの方法を学んでゆく。</t>
        </is>
      </c>
      <c r="J6263">
        <f>HYPERLINK("https://www.weblio.jp/content/なかほど", "词义详情")</f>
        <v/>
      </c>
      <c r="K6263">
        <f>HYPERLINK("https://yourei.jp/なかほど", "查看例句")</f>
        <v/>
      </c>
    </row>
    <row r="6264">
      <c r="A6264" t="inlineStr">
        <is>
          <t>仲間</t>
        </is>
      </c>
      <c r="B6264" t="inlineStr">
        <is>
          <t>成功</t>
        </is>
      </c>
      <c r="C6264" t="inlineStr">
        <is>
          <t>読み方：ちゅうげん
［名］（「仲間」とも書く）
１
㋐昔、公家・寺院などに召し使われた男。身分は侍と小者との間に位する。中間男。
㋑江戸時代、武士に仕えて雑務に従った者の称。
２江戸幕府の職名。江戸城内の部署の警備やその他の雑事に従事した。
［名・形動ナリ］
１時間的、空間的に、ものとものとの間。なかほど。ちゅうかん。
「彼の両国の—に舎衛国(しゃゑこく)有り」〈今昔・五・二二〉
２どっちつかずなこと。中途半端なこと。また、そのさま。
「夕潮ただ満ちに満ちてこよひ宿らむも—に潮満ち来なばここをも過ぎじと」〈更級〉
３二つのものの間にあるものや状態。仏教で、有と無の間、前仏と後仏の間などをいう。
「二仏の—闇ふかく」〈発心集・五〉</t>
        </is>
      </c>
      <c r="D6264" t="inlineStr">
        <is>
          <t>仲間内；仲間うち；仲間達；仲間同志；仲間キャラクター</t>
        </is>
      </c>
      <c r="E6264" t="inlineStr">
        <is>
          <t>相手；メンバー；連れ；グループ；友人</t>
        </is>
      </c>
      <c r="F6264" t="inlineStr">
        <is>
          <t>遊び仲間；仕事仲間；バンド仲間；音楽仲間；芸人仲間</t>
        </is>
      </c>
      <c r="G6264" t="inlineStr">
        <is>
          <t>仲間入り；仲間達；仲間同士；仲間割れ；仲間意識</t>
        </is>
      </c>
      <c r="H6264" t="n">
        <v>29</v>
      </c>
      <c r="I6264" t="inlineStr">
        <is>
          <t>主人公の違いや特定の手段などでしか仲間にする事が出来ない場合もある。；一年先輩である浜崎忠治と仲間になったことがきっかけで野球を始める。；共通の趣味・興味を持つ仲間が定期的に集まって形成する団体をいう。；分裂をする種の中でも最も再生力が強い種がホウキボシの仲間である。；また仲間会話システムの導入によりキャラクターの性格が鮮明になった。；また、群れの仲間が死んだ場合に葬式ともとれる行動をとることがある。；ベレグは彼への愛情に負け、彼もトゥーリンの仲間になることになった。；それぞれ得意技能や初期の強さが異なり、仲間になる条件も多彩である。；逆に子の側には、仲間を助ける際の瞬間的な判断と勇気が求められる。；子供に兄や姉がいる場合、彼らが初期の仲間関係をつくる相手となる。；観賞用に飼育されているこの仲間のうちでは、ごく小型の部類にはいる。；他の男性と交際していたが、不良仲間とは肉体関係は持っていなかった。；ラティ以外の仲間は戦闘に参加していない控えのメンバーと交代が可能である。；組が違うキャラクターは、途中で出会ったり仲間に加わったりすることはない。；着任早々に功績を挙げ、やがて仲間からの信頼も得るようになった亮子。；スライムを操作して仲間を助けていくアクションアドベンチャーゲーム。；元々身軽だった彼女は父親や仲間との修行にも引けを取ることがなかった。；近縁種も含めサバ科の仲間でも特に前後に細長い体型で、左右に平たい。；ミミズクと呼ばれるものも同じ仲間で、はっきりとした区別はない。；リンは幼い頃、両親や部族の仲間を山賊の襲撃で失い一人で暮らしていた。；同行している作家仲間を驚かせることもしばしばだったという。；フロドはこれをきっかけに仲間とは別に行動することを選んだ。；形状はビューゲルに類似しているが、構造上はパンタグラフの仲間である。；日本でも最近認識されてきた緑色のロマネスコ等も仲間である。；他に、仲間以外に知られないようにするために作られる隠語的な略語もある。；また、特定の出現場所でしか仲間に出来ないモンスターも存在する。；これに対して、これまで説明したような葉を持つ仲間を大葉類という。；本作では仲間モンスターも人間のキャラクターと同様、転職が可能である。；それらは全員逮捕されたのだが、うち1人が仲間を裏切って自白した。</t>
        </is>
      </c>
      <c r="J6264">
        <f>HYPERLINK("https://www.weblio.jp/content/仲間", "词义详情")</f>
        <v/>
      </c>
      <c r="K6264">
        <f>HYPERLINK("https://yourei.jp/仲間", "查看例句")</f>
        <v/>
      </c>
    </row>
    <row r="6265">
      <c r="A6265" t="inlineStr">
        <is>
          <t>中身</t>
        </is>
      </c>
      <c r="B6265" t="inlineStr">
        <is>
          <t>成功</t>
        </is>
      </c>
      <c r="C6265" t="inlineStr">
        <is>
          <t>読み方：ちゅうしん
武士の位・身分・禄高などが中位であること。また、その人。
「大身、—、小身によらず、色を好むとてもくるしからざる」〈甲陽軍鑑・一二〉</t>
        </is>
      </c>
      <c r="D6265" t="inlineStr">
        <is>
          <t>中身を一気に；中身ごと；中身をそっくり</t>
        </is>
      </c>
      <c r="E6265" t="inlineStr">
        <is>
          <t>内容；メッセージ；刃；見出し；中味</t>
        </is>
      </c>
      <c r="F6265" t="inlineStr">
        <is>
          <t>中身を一気に飲み干し；中身を覗き込む；中身をとりだし；中身をちらりと</t>
        </is>
      </c>
      <c r="G6265" t="inlineStr">
        <is>
          <t>中身の詰まったトーラス</t>
        </is>
      </c>
      <c r="H6265" t="n">
        <v>29</v>
      </c>
      <c r="I6265" t="inlineStr">
        <is>
          <t>それより、中身を知りながらメールの公開を決めた人のほうが気になる。；カプセル本体は透明で中身が見えるようになっているものが大半である。；人が仕事をする意味は、本来仕事の中身そのものにあるべきだからである。；人間のキャラクターは全て、あえて顔の中身がほとんど描かれていない。；一通り話し終えた女は、男に中身を見せようとするが、容器が空だった。；ただ一般に「パトライト」と呼ばれているものと中身は同じものである。；体裁や構成は伝統にしたがってはいるものの、その中身は大きく異なる。；また箱を買った時には、最初に値段を表示してから中身を公開した。；実際に中身は前半分がゴルフ、後半分がパサートのものを流用している。；回ごとに、ばらし人と呼ばれる人を呼び、ある物の中身を見る番組である。；毎回ひとつは中身が隠されており秘密のマウスケツールと呼ばれている。；枠内をコピーして記事に貼り付け、中身を自由に変更してお使いください。；梅の形をした最中の皮の中身には、よく練った小倉餡が詰められている。；太郎は道で出会った見知らぬ学生に手紙を読んでもらい、手紙の中身を知る。；多くの研究者は、この文書の具体的な中身については詳しく述べていない。；条約の中身は負けた側の立場から見れば穏やかなものであった。；サトシがよそ見をしている隙にリュックの中身をあさるシーンがあった。；その中身は人間や動物から、建物や職業に至るまで多種多様である。；伝統分類と系統分類では、同じ名前の上科でも中身はかなり異なる。；缶詰を見つけたときは開け方を知らないままに石や木の枝で中身を取り出したりしている。；中身は価格帯が同じものであるが、店舗によって異なる場合もある。；そして荷の中身に間違いが無いかどうか、互いに改めることになった。；しかしその中身は複雑化と柔軟化に向けて20世紀に大きく様変わりした。；また、小説や映画などの中身だけでなくタイトルにも同一性保持はおよぶ。；コントの中身もそれぞれの楽器を使った音楽がらみの物が多かった。；更に事務所には消火器の中身を噴出させられたり看板を破られていたりもした。；貴族たちは、衰退する帝国との交渉には何も中身がないとみなした。；蓋と貝殻や貝殻同士の隙間に下嘴を突っ込み、中身を取り出して食べる。；どちらのカルテルにも日本勢が多数参加しているが、中身は多少違っている。</t>
        </is>
      </c>
      <c r="J6265">
        <f>HYPERLINK("https://www.weblio.jp/content/中身", "词义详情")</f>
        <v/>
      </c>
      <c r="K6265">
        <f>HYPERLINK("https://yourei.jp/中身", "查看例句")</f>
        <v/>
      </c>
    </row>
    <row r="6266">
      <c r="A6266" t="inlineStr">
        <is>
          <t>眺め</t>
        </is>
      </c>
      <c r="B6266" t="inlineStr">
        <is>
          <t>成功</t>
        </is>
      </c>
      <c r="C6266" t="inlineStr">
        <is>
          <t>読み方：ながめ
１見渡すこと。遠くまで見ること。また、その風景。眺望。「—のきく場所」「—が良い」
２物思いにふけりながら見ること。和歌では多く「長雨(ながめ)」と掛けて用いる。
「花の色は移りにけりないたづらに我身世にふる—せしまに」〈古今・春下〉</t>
        </is>
      </c>
      <c r="D6266" t="inlineStr">
        <is>
          <t>眺められる；眺めまわし；眺めてゐる；眺めてみる；眺め回し</t>
        </is>
      </c>
      <c r="E6266" t="inlineStr">
        <is>
          <t>観察；見ること；光景；風景；景色</t>
        </is>
      </c>
      <c r="F6266" t="inlineStr">
        <is>
          <t>じろじろと眺め；眺め入つた；眺め入つて；眺められる展望；眺めながら景虎</t>
        </is>
      </c>
      <c r="G6266" t="inlineStr">
        <is>
          <t>眺めれ；眺めよ；眺めのいい部屋；眺めん；眺めろ</t>
        </is>
      </c>
      <c r="H6266" t="n">
        <v>29</v>
      </c>
      <c r="I6266" t="inlineStr">
        <is>
          <t>妻は夫の顔を見て、彼が泣いていたことに感づいて黙って天井を眺めた。；どの方向から眺めても眉の姿に見えることからその名がついたといわれる。；これらの状況をふまえてイギリス・アメリカは困惑を含めて眺めていた。；君を悩ませているものをテーブルの上に並べてそれを眺めてみるんだ。；ライバルがどんどんデビューして、またヒットしていく様を眺めていく。；一定時間、ゲーム画面を眺めていることから、広告表示との相性が良い。；路線の大半が瀬戸内海に沿っており、眺めはよいものの狭隘箇所が多い。；もちろん中にはただ天体を眺めていた時に偶然発見された彗星もある。；家の中からの眺めは実に素晴らしい、相当な大きさの庭があるのです。；道を歩きながらあちこち眺め、虫のいそうなところを見て回る方法である。；現在でも眺めは美しいが、別府観光の中に含まれることはなくなっている。；ジャケットには、リアンノンが月を眺めているイラストが描かれている。；ユーザーはしばらく画面を眺めていて、ある程度の変化があったら操作を行う。；実際に、村の家々は、眺めの美しい湖の方向に窓や玄関が向いている。；両軍は橋の構造が川に落ちていく雄大な眺めを畏敬の念で眺めていた。；町の一部は瀬戸内海国立公園内にあり景観もよく瀬戸大橋を眺められる。；そしてその眺めは、人々を驚かせ、芸術的とも言える印象をもたらした。；最近は、歴史的な運河に沿って眺めのよい道を完成させる努力が進行中である。；その家から「なんと長い眺めだ」と言ったとされ、それが町の名前になった。；扉には小さなガラス窓が付いており、中の様子を外から眺められるようになっていた。；その場所から、次第に変化してゆく工場の風景を黙って眺めた。；中世の頃はキンセンカを眺めているだけで視力が強化されると考えられていた。；町の縁に位置し、胸を打つような浜辺と町の眺めを見わたすことができる。；助けを求めるジョージだったが、一行はその様子を呆然と眺めていた。；眺めがなく少し薄暗いものの、山側の部屋に案内してもらうこともできる。；それら共同墓地はどのような場所かというと陽当たりが良くて眺めの良い場所が多い。；いずれもこの地からの月の眺めを称賛して名付けたとされる。；若い刑事ショーンは仕事が終わったら家まで星を眺めながら散歩するのが趣味だった。；歴史はその時代人の立場で眺めなければなりません。</t>
        </is>
      </c>
      <c r="J6266">
        <f>HYPERLINK("https://www.weblio.jp/content/眺め", "词义详情")</f>
        <v/>
      </c>
      <c r="K6266">
        <f>HYPERLINK("https://yourei.jp/眺め", "查看例句")</f>
        <v/>
      </c>
    </row>
    <row r="6267">
      <c r="A6267" t="inlineStr">
        <is>
          <t>眺める</t>
        </is>
      </c>
      <c r="B6267" t="inlineStr">
        <is>
          <t>成功</t>
        </is>
      </c>
      <c r="C6267" t="inlineStr">
        <is>
          <t>読み方：ながめる
［動マ下一］［文］なが・む［マ下二］
１視野に入ってくるもの全体を見る。のんびりと遠くを見る。広く見渡す。「星を—・める」「田園風景を—・める」
２じっと見つめる。感情をこめて、つくづくと見る。「しげしげと人の顔を—・める」
３かたわらで成り行きを見る。静観する。「状況を—・める」
４物思いにふけりながら、見るともなくぼんやり見る。
「夕月夜のをかしきほどに出だし立てさせ給ひて、やがて—・めおはします」〈源・桐壺〉</t>
        </is>
      </c>
      <c r="D6267" t="inlineStr">
        <is>
          <t>眺めるともなく；眺めることしかでき；眺めるような眼；眺めるような心持；眺めるような目つき</t>
        </is>
      </c>
      <c r="E6267" t="inlineStr">
        <is>
          <t>見る；みる；検討；検査；望む</t>
        </is>
      </c>
      <c r="F6267" t="inlineStr">
        <is>
          <t>しげしげと眺める；ぼんやり眺める；げに眺める；眺めれば眺める；まじまじと眺める</t>
        </is>
      </c>
      <c r="H6267" t="n">
        <v>29</v>
      </c>
      <c r="I6267" t="inlineStr">
        <is>
          <t>彼らを自然に眺めるにはやはり渓へ行かなくてはならなかったのである。；幅三間を室内のタタミの上で眺めるとずいぶん長い距離のように見える。；知らず知らずのうちに東京から日本を眺めることに慣れきっています。；弥勒磨崖仏を見るための道には石仏のようなものを眺めることができる。；小山の上に望遠鏡が設置されていて、さらに詳細に眺めることもできる。；円形の窓から眺めるような星の光りが、だんだん小さくなっていきます。；丘の上の多くの住宅からは、ミシシッピ川を一望に眺めることが出来る。；画面右には大きな窓があり、部屋の外の風景を眺めることができる。；その名が示すとおり、島を沖から眺めると、蛇が伏せた様な形をしている。；ここから北にある橋の方向を眺めると、橋が多いことから未来都市を思わせる。；次郎笈から眺めると一ノ森と連続した山並みで独立した山には見えない。；朝霧はその光を柔げて、まともにそれを眺める事を出来るやうにします。；鉄道の研究を趣味に挙げており、路線図を眺めることが好きだという。；また、トンネル通路もあり、より自然な環境で展示を眺めることができる。；さっきの橋の上から眺めた時、眺めるだけの眼で、彼は山を眺めていたのだが。；その模様をスタジオでレギュラーメンバー全員で眺める内容であった。；それを遠くから眺めると、秋の白い光を受けてそれが雲母のように光った。；人間は広い芝生を眺めるだけで、定められた道を歩くことしかできなかった。；そして、人間の村を遠くから眺めることができるようになったのは夜のことだった。；まっすぐに上を向いてそれを眺めると、なんだかそれが動いているような気がした。；私は研究をその当時の研究者の観点から眺めるために年代順に取り扱うことにした。；そうして、言わば自分で自分の背中を眺めることができるわけである。；ただし郊外のフィリップスルーエ城は川から直接眺めることができる。；滝の直下には橋が架けられており、ここから滝を眺めることが出来る。；朝は晴れていることが多いため、遠方にキューバを眺めることができる。；首都の名を冠するこの城は、近隣の丘の上から眺めることができる。；多数の観客がサーカス・ゲームを見ているのを宮殿から眺めるのが彼の習慣であった。；書棚や机の上で眺めるときとは書物といふものがまるで別な感じで眺められた。；半七は小屋の前に立って眺めると、庵看板の端に市川照之助の名が見えた。</t>
        </is>
      </c>
      <c r="J6267">
        <f>HYPERLINK("https://www.weblio.jp/content/眺める", "词义详情")</f>
        <v/>
      </c>
      <c r="K6267">
        <f>HYPERLINK("https://yourei.jp/眺める", "查看例句")</f>
        <v/>
      </c>
    </row>
    <row r="6268">
      <c r="A6268" t="inlineStr">
        <is>
          <t>中指</t>
        </is>
      </c>
      <c r="B6268" t="inlineStr">
        <is>
          <t>成功</t>
        </is>
      </c>
      <c r="C6268" t="inlineStr">
        <is>
          <t>読み方：ちゅうし
なかゆび。</t>
        </is>
      </c>
      <c r="D6268" t="inlineStr">
        <is>
          <t>中指骨；中指シフト</t>
        </is>
      </c>
      <c r="F6268" t="inlineStr">
        <is>
          <t>左手中指；左中指；右中指；向かって中指；長い中指</t>
        </is>
      </c>
      <c r="H6268" t="n">
        <v>29</v>
      </c>
      <c r="I6268" t="inlineStr">
        <is>
          <t>特定の対象に向かって指を指す時は人差し指ではなく中指で指す癖がある。；すると、上げた右の人差し指と中指の間から、一つのものが生えていた。；しかも、胴の一部とも言うべき左手の中指にペンダコがありましたわね。；ピッチを後にする際にもタイ王国サポーターに向けて中指を立てていた。；北麿はそれを見て慌てて両手で顔を覆い、親指で耳を中指で目を塞いだ。；彼女の匂いが立ちのぼり、僕は興奮して中指を入れたり出したりする。；それを中指に巻き付け、近隣の地図の上で揺らしていたエリカが言った。；キュビットは、肘から中指の先までの間の長さに由来する身体尺である。；肢端には3本の趾があり、中央の中指に重心がかかるようになっていた。；頭部と右の乳房と、左手の中指と三箇処に、拳銃の貫通傷を受けている。；やはり点穴を狙おうと、男の右人差し指と中指はつき立てられたままだ。；俺はもう片方の手をズボンに突っ込んでその中指を出して見せたのだった。；私はあらためて自分の掌を見たが、ほぼ一センチほど中指のほうが長い。；一般に膣に中指を全て入れて第二関節を曲げた周辺にある場合が多い。；そしてつばさの手に重ねていた手を放し、その中指を軽く眉にあてた。；これは、手のひらを広げて親指の先と中指の先をくっつけるものである。；喧嘩の際、どこかの角にぶつけた左手の中指が、その夜、ひどく痛んだ。；銀河の平手打ちは、中指の先が女の鼻先を軽く弾いた程度で空を切った。；右手の中指に長い時間書きものをした時のような軽いしびれが残っていた。；四郎の頭部を襲ってきたのは、中指骨の折れている右の拳であった。；怖ず怖ずと暗い穴に右手を近付けると、人差し指と中指が一緒に入った。；人形の左の手の中指に、どうやら傷でもついたらしく、そこを三人は調べ出した。；「でもあの子にはこっちの指を立てた方がいいよ」 中指だった。；ただ、人差し指と中指が切断されていて、それはまだ所在不明なのだった。；コリー犬ほどの大きさで、三本指で歩きますが、中指が非常に発達しています。；そしてその置かれた手の人差し指と中指の間にロングサイズの煙草。；フォークは高校の練習で試していたが中指が短いという理由で諦めていた。；軍刀を握った左手の白手袋は、人差指と中指のところが糸でくけてある。；支点の中指は完全に玉が手を離れるまで、地面から外してはいけない。</t>
        </is>
      </c>
      <c r="J6268">
        <f>HYPERLINK("https://www.weblio.jp/content/中指", "词义详情")</f>
        <v/>
      </c>
      <c r="K6268">
        <f>HYPERLINK("https://yourei.jp/中指", "查看例句")</f>
        <v/>
      </c>
    </row>
    <row r="6269">
      <c r="A6269" t="inlineStr">
        <is>
          <t>仲良し</t>
        </is>
      </c>
      <c r="B6269" t="inlineStr">
        <is>
          <t>成功</t>
        </is>
      </c>
      <c r="C6269" t="inlineStr">
        <is>
          <t>読み方：なかよし
仲のよいこと。また、その間柄の人。</t>
        </is>
      </c>
      <c r="D6269" t="inlineStr">
        <is>
          <t>仲良しグループ(6%)；仲良しさん；仲良し度；仲良しクラブ；仲良し三人組</t>
        </is>
      </c>
      <c r="E6269" t="inlineStr">
        <is>
          <t>友人；仲間；友達；味方；友</t>
        </is>
      </c>
      <c r="F6269" t="inlineStr">
        <is>
          <t>すぐに仲良し；ずっと仲良し</t>
        </is>
      </c>
      <c r="H6269" t="n">
        <v>29</v>
      </c>
      <c r="I6269" t="inlineStr">
        <is>
          <t>私たちの仲良しグループは、それから間もなく自然に解散してしまった。；男たちも女と同じように仲良しグループが形成されていくのが不思議だった。；短大時代は仲良しグループがあっただけで緊張とも興奮とも無縁だった。；こんな風にしていると、わたしたちは生まれたての仲良しの卵みたいだ。；世界中の人々が皆仲良しでいられるようにとのコンセプトで作られた。；彼女も仲良しの一人で、今はB市で洋品店を営んでいると教えてくれた。；それに、おれはあの青蛇団と留置場の中ですっかり仲良しになったんだよ。；いっしょに大きくなるうちに、子供の仲良しの気持が愛に変わったのである。；その日、幼稚園から帰宅して、近所の仲良しの少年の家に遊びに行った。；レイフォンと仲良しだなんて言って彼女の気を引こうとした自分にだ。；物理好きで友達の少ない律とは性格が反対ながらも大の仲良しになっていた。；その時のファイナリストの1人だった中鉢明子とは今でも仲良しである。；傍目にも二人は年齢の垣根を越え、すっかり仲良しになったように見えた。；仲良しもなにも、わたしたちは幼稚園のときからのくされ縁じゃないか。；私はこれまで仲良しの運転手、タムの車でずいぶんデルタ地方を旅行した。；国と国との仲良しなんて、ちつともあてにならないのですつて。；藤純子は、鈴木が仲良しで監督になったら主演映画を作ると約束していた。；それは、怪物ではなく、ごく普通の仲良しの女の子同士のやりとりだった。；それが縁で仲良しになり、2人は中学3年間を通じて同じクラスだった。；お互い意識していたわけではなかったが、ずっと仲良しでいつもそばにいた。；キャシーちゃんとその子はもうすっかり仲良しになっていました。；昔は仲良しだった二人も、高校三年生になった今では疎遠になってしまった。；なんかすっかり仲良しになっちゃってる雰囲気もあるけれども。；私もたくさん知ってますし、今いちばん仲良しな人もそうです。；友達なんかつくったことのない弓子だけれど、彼女とは絶対に仲良しになるのだ。；俺の生まれた国は、馬鹿みたいに治安がよくて、アホみたいに皆仲良しだ。；その設立目的は謎に包まれているが、案外ただの仲良しグループだと言う人もいる。；クリストルとは、最初に隣の席に座ったことがきっかけで、仲良しになった。；ゆかりとは今でも仲良しですし、お互い、人気のあるなしは関係ありません。</t>
        </is>
      </c>
      <c r="J6269">
        <f>HYPERLINK("https://www.weblio.jp/content/仲良し", "词义详情")</f>
        <v/>
      </c>
      <c r="K6269">
        <f>HYPERLINK("https://yourei.jp/仲良し", "查看例句")</f>
        <v/>
      </c>
    </row>
    <row r="6270">
      <c r="A6270" t="inlineStr">
        <is>
          <t>ながら</t>
        </is>
      </c>
      <c r="B6270" t="inlineStr">
        <is>
          <t>成功</t>
        </is>
      </c>
      <c r="C6270" t="inlineStr">
        <is>
          <t>読み方：ながら
［接助］
１動詞・動詞型活用語の連用形に付く。二つの動作・状態が並行して行われる意を表す。「ラジオを聞き—勉強する」「左右を見—横断する」
「いといたうなげき—出(い)で給ひぬ」〈落窪・三〉
２名詞、動詞型活用語の連用形、形容詞型活用語の連体形などに付く。内容の矛盾する二つの事柄をつなぐ意を表す。…にもかかわらず。…ではあるが。「学生—読書もしない」「知ってい—答えない」「狭い—も楽しく暮らす」
「我が宿の物なり—桜花散るをばえこそとどめざりけれ」〈新古今・春下〉
３体言、副詞、動詞型活用語の連用形などに付く。ある状態のままにある意を表す。…のまま。…のとおり。「昔—の街道」「い—にして手に取るようにわかる」
「源氏の五十余巻、ひつに入り—、…得て帰る心地のうれしさぞいみじきや」〈更級〉
４体言・副詞などに付く。そろってそのまま、同じ状態にある意を表す。全部。…とも。それごと。「兄弟—技師になる」「三回—失敗した」
[補説]種々の語に付くが、概して、活用語に付くものは接続助詞、名詞・副詞などに付くものは「…の本質において」「…として」「…のまま」の意を表す。接尾語、または、副助詞と考えることもできる。中でも接尾語としての用法が古く、後に接続助詞としての用法が現れたという。同類の接続助詞に「つつ」があるが、近世以降は「ながら」が優位に立つようになった。</t>
        </is>
      </c>
      <c r="D6270" t="inlineStr">
        <is>
          <t>ながら歩い；ながら答え；ながら進ん；ながらゆっくり；ながら近づい</t>
        </is>
      </c>
      <c r="E6270" t="inlineStr">
        <is>
          <t>しつつ；しながら</t>
        </is>
      </c>
      <c r="F6270" t="inlineStr">
        <is>
          <t>考えながら歩い；見ながら歩い；笑いながら言う；話しながら歩い；笑いながら話し</t>
        </is>
      </c>
      <c r="G6270" t="inlineStr">
        <is>
          <t>ながらえ；ながらみ；ながら運転；ながら見；ながらえる</t>
        </is>
      </c>
      <c r="H6270" t="n">
        <v>29</v>
      </c>
      <c r="I6270" t="inlineStr">
        <is>
          <t>歴史は短いながら車両規定の変遷が激しく、廃止と復活も経験している。；当然のことながらスピーカーの左右バランスを調整しても解決はしない。；当然ながら、どの組み合わせを選んだかは最終的な仕上がりに影響する。；少ないながらも存在していた記事はウィキペディアの方へ吸収された。；インドでは少数派でありながら社会的に影響力のある宗教集団である。；非常に多作な作家でありながら、作品ごとに独特な設定が為されている。；初連載ながらも1999年にはアニメ化され、国民的人気作品となった。；この氷床はわずかながらも崩壊する可能性が指摘され、注目を集めている。；一部にはノート型でありながらバッテリーを搭載しない機種も存在する。；この王国は中王国時代のエジプトの影響を受けながら勢力を拡大していった。；カトリックでありながら反英でもある新たな国民性の精神が芽生えた。；カタログスペックはほぼ同一ながら、細かな改良が多数加えられている。；これはメモリからデータを取ってきながら計算するよりもずっと高速に動作した。；資料を手にとって見ることができ、実際の本を見ながら探すことができる。；数名からなるチームで交代しながら走行するものも多い。；そのまま大阪に住み、アルバイトをしながら漫画の執筆・投稿を続けた。；瞑想しながら体の感覚がなくなるような不思議な感覚や不思議な色や光を見る。；連載期間16年の長編ドラマは吾郎の成長を描きながら終局へ向かった。；作品の全ては長年、演出家の森田雄三と打ち合わせながら作られてきた。；その後は規格の統一化や細かい改善が続けられたりしながら現在に至っている。；当然ながら、地域の分割は様々な文明論・文化論で示されている区分とかなり似てくる。；大幅なリニューアルが行われながらも現在まで続く長寿アニメとなる。；石膏デッサンや油絵など本格的な絵の勉強をしながら連載を続けた。；互いに死活がはっきりしていない弱い石を意識しながら打ち進める。；このような高温に晒されながら、水星には氷の存在が確認されている。；連合国軍は小さいながら戦略的に脅威であるへの攻撃も試みたが失敗に終わった。；明るい領域は嵐の頭部で、尾を引きながら左方向に移動している。；その後もVHSの基本規格を維持しながら、新たな規格を開発していった。；残された「暁の星」はフェルキンの下で数々の混乱を経ながら続いた。</t>
        </is>
      </c>
      <c r="J6270">
        <f>HYPERLINK("https://www.weblio.jp/content/ながら", "词义详情")</f>
        <v/>
      </c>
      <c r="K6270">
        <f>HYPERLINK("https://yourei.jp/ながら", "查看例句")</f>
        <v/>
      </c>
    </row>
    <row r="6271">
      <c r="A6271" t="inlineStr">
        <is>
          <t>流れ</t>
        </is>
      </c>
      <c r="B6271" t="inlineStr">
        <is>
          <t>成功</t>
        </is>
      </c>
      <c r="C6271" t="inlineStr">
        <is>
          <t>読み方：ながれ
［名］
１液体や気体が流れること。また、その状態や、そのもの。「潮の—が速い」「空気の—が悪い」「川の—をせき止める」
２流れるように連なって動くもの。また、その動き。「人の—に逆らって歩く」「車の—がとどこおる」
３目上の人などから、杯を順にめぐらせること。また、杯の飲み残しのしずく。「お—を頂戴する」→お流れ2
「—の御かはらけ給はらばや」〈宇津保・蔵開上〉
４時間の経過や物事の移り変わり。「時代の—に乗る」「試合の—を読む」
５血筋。また、流派。系譜。「菅家の—」「印象派の—」
６集会などから人が一斉に移動すること。「卒業式の—」
７予定・計画などが中止になること。→お流れ1
８質物を受け出す期限が過ぎて、所有権がなくなること。また、その質物。「質—」
９屋根などの傾斜。また、その度合い。「片—」
10人が当て所もなく歩くこと。また、定めのない境遇。遊女の身の上などにいう。「—の者」
「つらさ果てなき—の苦しみ」〈浄・用明天王〉
［接尾］助数詞。旗・幟(のぼり)など、細長いものを数えるのに用いる。
「白旗二十余—」〈平治・中〉
[下接語]枝流れ・御(お)流れ・片流れ・川流れ・里流れ・質流れ・四方流れ・注文流れ・抵当直(じき)流れ・抵当流れ・手付(てつけ)流れ・横流れ</t>
        </is>
      </c>
      <c r="D6271" t="inlineStr">
        <is>
          <t>流れている(10%)；流れてくる；流れていく；流れこん；流れており</t>
        </is>
      </c>
      <c r="E6271" t="inlineStr">
        <is>
          <t>連続；傾向；コース；流；次第</t>
        </is>
      </c>
      <c r="F6271" t="inlineStr">
        <is>
          <t>向かって流れ；流れ始め；流れてゐる；流れこみ；流れ去る</t>
        </is>
      </c>
      <c r="G6271" t="inlineStr">
        <is>
          <t>流れ込ん；流れ出し；流れ出；流れ込む；流れ落ち</t>
        </is>
      </c>
      <c r="H6271" t="n">
        <v>29</v>
      </c>
      <c r="I6271" t="inlineStr">
        <is>
          <t>また、同時期にケーブルテレビが普及し始めたこともこの流れを助けた。；このシステムはペルシアからヨーロッパに流れてきたといわれている。；川や河川の流れてくる方向や風の吹いてくる方向を表すときにも用いられる。；このドラマでは、金ら実行犯側から見た事件の流れを追ったものであった。；人間界と花魔法界での時間の流れの違いなどについての言及は特に無い。；テレビ会社が映画を制作すると、上述のようなお金の流れは生じない。；想像されたような激しい競り合いもなく淡々とレースは流れ直線を迎えた。；Factoid型質問応答の基本的な処理の流れは、以下のようになる。；この電子の流れは、低い を増加させ、同様に高い を低下させる。；その他にも複数の小さな川が町やその郊外を流れている。；また、その流れを汲む合理主義的・機能主義的な芸術を指すこともある。；前作はほとんどストーリーの流れに沿った順番でしかゲームを進行できなかった。；こうした流れが決定的に変化したのは第一次世界大戦によってである。；時期により水の流れない場合があるものもあるが、それも含めて川と呼ばれる。；河川の上流から流れてきた砂などが堆積することにより形成される。；の3つの流れをバランスよく滞りない状態にするのが治療目標になる。；維摩経は明らかに般若経典群の流れを引いているが、大きく違う点もある。；ここでは地球の影響による時間の流れの変化は無視するとする。；この流れは、現在の日本バプテスト同盟・教団新生会につながっている。；部品事業部が展開していた主にホビー向けの流れを受けたシリーズ。；そのほかにも市内を南北に河川が幾筋か流れている。；このころから、中小商店から大型店への人の流れが急速に移行しつつあった。；しかしこの曲がラジオで流れてヒットすると、別の作曲家が自作曲だと主張した。；しかし、時流は完全に廃仏に流れており、仏教の復権は失敗に終わった。；その代わりにあるのは連続した音楽の流れである。；Xバー理論はこのような流れの中で提案された理論である。；これ以降、セントラルドグマの時代までの研究は大きく2つの流れがある。；時間は心と無関係に外部で流れているようなものではない。；また、国土の東部にはドリナ川が流れ、セルビアとの国境となっている。</t>
        </is>
      </c>
      <c r="J6271">
        <f>HYPERLINK("https://www.weblio.jp/content/流れ", "词义详情")</f>
        <v/>
      </c>
      <c r="K6271">
        <f>HYPERLINK("https://yourei.jp/流れ", "查看例句")</f>
        <v/>
      </c>
    </row>
    <row r="6272">
      <c r="A6272" t="inlineStr">
        <is>
          <t>流れる</t>
        </is>
      </c>
      <c r="B6272" t="inlineStr">
        <is>
          <t>成功</t>
        </is>
      </c>
      <c r="C6272" t="inlineStr">
        <is>
          <t>読み方：ながれる
幸田文の小説。昭和30年（1955）発表。花柳界で生きる女性たちの姿を描く。
を原作とする映画。成瀬巳喜男監督、昭和31年（1956）公開。出演、田中絹代、山田五十鈴、高峰秀子ほか。第11回毎日映画コンクール美術賞受賞。</t>
        </is>
      </c>
      <c r="D6272" t="inlineStr">
        <is>
          <t>流れる河川名称；流れる雲；流れるような動作；流れるような動き；流れる支流</t>
        </is>
      </c>
      <c r="E6272" t="inlineStr">
        <is>
          <t>行く；経過；過ぎる；去る；移る</t>
        </is>
      </c>
      <c r="F6272" t="inlineStr">
        <is>
          <t>沿って流れる；流れる阿久比川；流れる河川の一覧；流れるロワール川；流れる一級水系阿武隈川水系</t>
        </is>
      </c>
      <c r="G6272" t="inlineStr">
        <is>
          <t>流れる星は生きている</t>
        </is>
      </c>
      <c r="H6272" t="n">
        <v>29</v>
      </c>
      <c r="I6272" t="inlineStr">
        <is>
          <t>駅の周辺は帷子川の流れる谷の底で南北ともに丘陵地帯となっている。；上記の反応の方向性は、酸化還元電位が低いほうから高いほうに流れる。；川は流れるので星も流れる、足が流れるというので好まれなくなったという。；実際の素子では、逆バイアス状態でもごくわずかに逆方向電流が流れる。；東西に広い形をしており、東西を山に囲まれ、中央には最上川が北に流れる。；生活の中でのわかりやすい例としては水道の蛇口から流れる水がある。；蒸気は常に吸気口から排気口へ一方方向へ流れるのでこの名称で呼ばれる。；また、ワジではなく通年流水のある河川が砂漠の中を流れることがある。；全体でみると、これは電子がカソードからアノード側に流れることになる。；北西から南東に流れる川に対して、橋は北東から南西方向にかかる。；どんたくの時に流れるこの歌の1番はしりとり歌の形式となっている。；双方のホームともに列車入線時・発車時には注意アナウンスが流れる。；ベクトルの向きは電流に垂直で電流が右ねじの向きに流れるようにとる。；始終着駅や主要駅ではこれに続いて乗り換え案内などの放送が流れる。；市内西部から市内中心部を通り、東部に流れる東川を指しているとする説もある。；また、磁石を固定して導線の方を動かしても電流が流れることを発見。；枕に顔を押し付け、止め処も無く流れる涙を堪えるほか無かったとのこと。；この他テレビ東京系の深夜アニメが当局では夕方枠で流れるケースもある。；テレビCM冒頭に流れるサウンドロゴは現在30秒版のみになっている。；市の東西は山地であり、市内を南から北に向けて阿武隈川が流れる。；左上に新横浜駅周辺のビル群があり、競技場との間には鳥山川が流れる。；区の中央から西に流れる麻生川沿いは標高がやや低くなっている。；このため、2社の番組が同時間帯に同時にNRN経由で流れることはない。；以下は、ゲーム中では各キャラクターの登場時に曲のみBGMとして流れる。；解像度の違いにより画面が横に長く、両端は流れる雲で覆われている。；当駅の対岸を流れる現在の伊野川に由来するアイヌ語地名と考えられている。；山口県道15号線沿いにあり、駅裏側から少し離れた所を錦川が流れる。；平安京の東部を流れることから、古くは東河あるいは朱雀川とも呼ばれた。；このため、関東・関西ローカルのCMがそのまま流れる事態も起きた。</t>
        </is>
      </c>
      <c r="J6272">
        <f>HYPERLINK("https://www.weblio.jp/content/流れる", "词义详情")</f>
        <v/>
      </c>
      <c r="K6272">
        <f>HYPERLINK("https://yourei.jp/流れる", "查看例句")</f>
        <v/>
      </c>
    </row>
    <row r="6273">
      <c r="A6273" t="inlineStr">
        <is>
          <t>鳴き声</t>
        </is>
      </c>
      <c r="B6273" t="inlineStr">
        <is>
          <t>成功</t>
        </is>
      </c>
      <c r="C6273" t="inlineStr">
        <is>
          <t>読み方：なきごえ
１（泣き声）
㋐泣く声。「赤ん坊の元気な—」
㋑泣きながら話す声。また、泣きそうな声。涙声。「—で抗議する」
２（鳴き声）鳥獣・虫などの鳴く声。「鳥の—」</t>
        </is>
      </c>
      <c r="D6273" t="inlineStr">
        <is>
          <t>鳴き声みたい；鳴き声が聞かれる；鳴き声が遠く；鳴き声を聞きつけ；鳴き声がやん</t>
        </is>
      </c>
      <c r="E6273" t="inlineStr">
        <is>
          <t>叫び；叫び声；一声；人声；号泣</t>
        </is>
      </c>
      <c r="F6273" t="inlineStr">
        <is>
          <t>鋭い鳴き声；大きな鳴き声；けたたましい鳴き声；げな鳴き声；低い鳴き声</t>
        </is>
      </c>
      <c r="H6273" t="n">
        <v>29</v>
      </c>
      <c r="I6273" t="inlineStr">
        <is>
          <t>中くらいの高さの鳴き声はそれほど差し迫っていない危険に使用される。；例えば、ショゴスの鳴き声は同作に登場する巨大な鳥が元になっている。；彼は頻繁に鳥の鳴き声や、その他の好きなものを何でも利用している。；近年の研究で、その鳴き声が複雑で様々な情報を持つことがわかった。；いつものいい小鳥の鳴き声が耳に聞こえてこないかと思ったからです。；鳴き声をあげたりして、暗い夜道を歩いている人などを脅かすともいう。；さらに、彼らは自分のなわばりを主張するために大きな鳴き声を上げる。；しかし、この語は単に犬の鳴き声の擬声語から作られたという説もある。；音楽に夢中の群集達は、鋭い獣の鳴き声に注意しようともしなかった。；収集の対象は娘のオルガの臨終の床での言葉や動物の鳴き声にも及んだ。；夜に鳴き声がしたので、調べてきいても、その所在が分からなかった。；鳴き声など、設定や特徴の多くは、さんまへの交代後に付加されている。；姿は本物と全く同じだが、戦闘の際はガルベロスに似た鳴き声を出す。；それらの声はときにオウチュウ類など他の鳥の鳴き声を真似るともされる。；もし鳴き声がひとつの音だけでできていたとしたら魅力は減じていたことだろう。；この突起は嗅覚の発達や鳴き声の増大などに寄与したと考えられている。；外見はリュウグウノツカイなどの長魚のような姿であり、鳴き声が長い。；私は瑠璃の鳴き声を聞くといつもその話を思い出しそれをもっともだと思った。；インストゥルメンタルではイルカの鳴き声を表現した音が収録されている。；各フレンズを入手することで、鳴き声や動物解説を聞くことができる。；捜索の際はネコが近くにいると鳴き声が聞こえるのでそれが目印となる。；種類によって鳴き声に特徴があり、昼に鳴くものと夜に鳴くものがいる。；鳴き声は、喉をゴロゴロ震わせるような、二音から構成される声である。；独特の鳴き声を放ち、戦闘の際には頭部が引っ込んで別の頭部が出現する。；そこに本物のさよなきどりが再びやってきて皇帝に鳴き声を聞かせる。；大陸産のツクツクボウシの鳴き声は、日本産のものと比べて少し異なる。；あの鳴き声を聞くと、いかにも北海らしい気持ちが起こって来ますよ。；また、鳴き声が非常に大きいので、よく環境を調べてから飼った方が良い。；歌詞は猫へのメッセージで構成されており、曲中に猫の鳴き声が聞こえる。</t>
        </is>
      </c>
      <c r="J6273">
        <f>HYPERLINK("https://www.weblio.jp/content/鳴き声", "词义详情")</f>
        <v/>
      </c>
      <c r="K6273">
        <f>HYPERLINK("https://yourei.jp/鳴き声", "查看例句")</f>
        <v/>
      </c>
    </row>
    <row r="6274">
      <c r="A6274" t="inlineStr">
        <is>
          <t>泣き声</t>
        </is>
      </c>
      <c r="B6274" t="inlineStr">
        <is>
          <t>成功</t>
        </is>
      </c>
      <c r="C6274" t="inlineStr">
        <is>
          <t>読み方：なきごえ
１（泣き声）
㋐泣く声。「赤ん坊の元気な—」
㋑泣きながら話す声。また、泣きそうな声。涙声。「—で抗議する」
２（鳴き声）鳥獣・虫などの鳴く声。「鳥の—」</t>
        </is>
      </c>
      <c r="D6274" t="inlineStr">
        <is>
          <t>泣き声ひとつ；泣き声がやん；泣き声みたい；泣き声がうるさく；泣き声まじり</t>
        </is>
      </c>
      <c r="E6274" t="inlineStr">
        <is>
          <t>悲鳴；叫び；叫び声；絶叫；喚声</t>
        </is>
      </c>
      <c r="F6274" t="inlineStr">
        <is>
          <t>激しい泣き声；悲痛な泣き声；弱々しい泣き声；かすかな泣き声；小さな泣き声</t>
        </is>
      </c>
      <c r="H6274" t="n">
        <v>29</v>
      </c>
      <c r="I6274" t="inlineStr">
        <is>
          <t>どこが泣き声をほとばしらせている口なのかわからなかったからだった。；二人の泣き声があまりに大きいので、昨日のお猫さんがやつてきました。；ベッドではセ・ネドラが力ない泣き声をあげながら寝返りを打っていた。；そちらの通路のどこからか、奇妙な弱々しい泣き声が聞こえてきたのだ。；小さな黒い顔と黒い手が見えたが、動きもせず、泣き声もしなかった。；彼は膝を立てて入口の方を見てゐると三重子の泣き声が激しく聞えた。；どこかで子どもの泣き声が聞こえたが、それは単に爆発に驚いただけらしい。；ちょうどこのとき、父の耳に赤ん坊の泣き声が聞えたのだと思います。；「父親の姿が見えなくなったみたいなんです」母が泣き声で男の人に言った。；その音と、生徒たちの泣き声を聞いて、近所の人は、こんなことを言った。；彼がそこに触れるや否や、彼女は泣き声を立てて言ってくれるなと願った。；煙が少なくなるのを待つ間、処刑部隊は室内の呻き声と泣き声を聞いた。。；ベッキイは泣き声を出すまいと耐えていたので、真紅な顔をしていました。；自分の泣き声でびっくりして目を覚ましたのだが、目尻が濡れていた。；セシル夫人は泣き声をあげてそれに反対したが、フロラは動じなかった。；よく知っているあの小さい鋭い泣き声が聞こえてくるのを、彼は熱心に待っていた。；道の方で子供の泣き声がする、それがどうやら妹の千浪の声らしい。；叔父の部屋まで母の泣き声が、しばらくの間、聞こえてきたそうだ。；その泣き声も、ただ崖の底に横たわる闇に落ちていっただけだった。；シンヤの体の上で、一人でもだえ狂っていた女が、泣き声を上げはじめた。；泣き声が聞こえなくなるように、彼は石の獅子のある営門へと急いだ。；「いったいだれがその泣き声をきいたのさ」 信夫はおちついていった。；「いったいだれがその泣き声をきいたのさ」 信夫はおちついて言った。；父親の背に背負われて、身体の具合が悪いような泣き声で眼が赤い小さい子供。；泣き声を上げることもできないほどの、ひどい状態やったのです。；末子のカロラインはすぐ泣き声になってどうしてもするのだと言い張る。；私の泣き声は、向こうの部屋で眠る雄一に聞こえてしまっただろうか。；ただ、朦朧とする意識の片隅で父親の声と母の泣き声だけが響き渡っていた。；どこかから、女の泣き声が聞こえたような気がしたのである。</t>
        </is>
      </c>
      <c r="J6274">
        <f>HYPERLINK("https://www.weblio.jp/content/泣き声", "词义详情")</f>
        <v/>
      </c>
      <c r="K6274">
        <f>HYPERLINK("https://yourei.jp/泣き声", "查看例句")</f>
        <v/>
      </c>
    </row>
    <row r="6275">
      <c r="A6275" t="inlineStr">
        <is>
          <t>渚</t>
        </is>
      </c>
      <c r="B6275" t="inlineStr">
        <is>
          <t>成功</t>
        </is>
      </c>
      <c r="C6275" t="inlineStr">
        <is>
          <t>読み方：みぎわ
海・湖などの水の、陸地と接している所。みずぎわ。なぎさ。</t>
        </is>
      </c>
      <c r="D6275" t="inlineStr">
        <is>
          <t>渚さん(3%)；渚ちゃん；渚橋；渚づたいに；渚ねえさん</t>
        </is>
      </c>
      <c r="F6275" t="inlineStr">
        <is>
          <t>牛渚；藤並渚；あい渚；白い渚；長い渚</t>
        </is>
      </c>
      <c r="G6275" t="inlineStr">
        <is>
          <t>渚カヲル；渚にて；渚滑線；渚滑；渚砂</t>
        </is>
      </c>
      <c r="H6275" t="n">
        <v>29</v>
      </c>
      <c r="I6275" t="inlineStr">
        <is>
          <t>渚のように、人を殺しておいて平気で笑っていられるほうが異常なのだ。；彼はほかの日々を過ごしたと同じように、その日を渚で、森で過ごした。；舟に近い逆側の長い渚にはぽつぽつと灯がともって影を水に映している。；ここで初めて渚は、自分らの実力計画の内容を奥宮に話したのであった。；渚のほうに小さな船を寄せて、二、三人が源氏の家のほうへ歩いて来た。；そこは入洲みたいになっていて、細い水路で渚から海につながっている。；そこの砂山を越えて遠い長い渚を歩いたりして荒い日本海をも紹介した。；江戸時代には白板村を形成し、現在の大手や渚の一部も含まれていた。；弁護士は、ゆっくりと時間をかけて、あい渚から聞いた話を伝えていった。；中継地点を銀行のすぐそばに設けておくのがミソだと渚は言っていた。；ひとり渚にいる私の影は、だんだん伸びて、砂丘の上にまで届きました。；適当に玖渚の肩をもんでやってから、ぼくは洗面台を借りることにする。；いい夢でも見ていたのだろうか、玖渚は妙に幸せそうな表情だった。；静子の涙顔は、人に行会うたら異様に思われるだろう、と渚を避けた。；横に座ってた渚さんがゆっくりと立ち上がり「僕」の背後に回りました。；ややあってはるかかなたの渚近くの空地に小屋らしいものが目にはいった。；成長した渚は、沖縄へ渡り自分のアニマルセラピーチームを作っていく。；しのぶの車には渚と明日美が乗り、明日美が運転することになっている。；そんなことができないように、ぼくは玖渚を一階に置いてきたというのに。；渚に当たるかもしれないと思ったのだろう、史郎としのぶの銃が沈黙した。；倉成竜渚の歿したのは前年文化九年十二月十日で、齢は六十五であつた。；少年の名は郡山渚、なぜかここに流れ着くまでの一切の記憶を失っていた。；ほどなく到着した渚ビルは、海岸通りからちょっと入ったところだった。；渚のデートの後に見たような、人に言えない、楽しい夢ではなかった。；その会話に参加してこない渚は肩を抱いて、ベンチに座り込んでいた。；だから今撃たれたら、その弾丸を避けることなど玖渚には不可能である。；と確認し、渚の前の席に腰を下ろしながら、佐和子は笑顔でたずねた。；赤く濁つた満月が低く空にかゝつてゐて、暗い波は渚まで打寄せてゐる。；この中身は、そう言えば、玖渚に渡すための雑誌が入っているのだった。</t>
        </is>
      </c>
      <c r="J6275">
        <f>HYPERLINK("https://www.weblio.jp/content/渚", "词义详情")</f>
        <v/>
      </c>
      <c r="K6275">
        <f>HYPERLINK("https://yourei.jp/渚", "查看例句")</f>
        <v/>
      </c>
    </row>
    <row r="6276">
      <c r="A6276" t="inlineStr">
        <is>
          <t>泣き出す</t>
        </is>
      </c>
      <c r="B6276" t="inlineStr">
        <is>
          <t>成功</t>
        </is>
      </c>
      <c r="C6276" t="inlineStr">
        <is>
          <t>読み方：なきだす
［動サ五（四）］
１（泣き出す）泣きはじめる。「こらえきれずに—・す」
２（鳴き出す）鳴きはじめる。「鳥が—・す」</t>
        </is>
      </c>
      <c r="D6276" t="inlineStr">
        <is>
          <t>泣き出す寸前(2%)；泣き出す子供；泣き出す始末</t>
        </is>
      </c>
      <c r="F6276" t="inlineStr">
        <is>
          <t>大声で泣き出す；急に泣き出す；あまり泣き出す；おいおい泣き出す；めそめそ泣き出す</t>
        </is>
      </c>
      <c r="H6276" t="n">
        <v>29</v>
      </c>
      <c r="I6276" t="inlineStr">
        <is>
          <t>ただ例の女中だけが声を高くして、今では大きな声を出して泣き出した。；女たちは黙って聞いていたが、そのうち急に二人とも泣き出してしまう。；人の事じゃ直きに泣き出す人が、自分の事では泣いてる暇も無えのづら。；兄の子が火のつくやうに泣き出したのは、やや暫時経つてからであつた。；現れた敵を見て、自分でも分からない理由で、泣き出す一歩手前だった。；ところが妙にそう云う時眠った筈のお嬢さんが眼を覚して泣き出すのだ。；おふくろがなぜ突然泣き出したのか、その理由は誰にもわからなかった。；私は教へてゐる子供たちを叱らうとすると自分の方が先きに泣き出します。；自分は返事ができないで、いきなりわっとその場に泣き出してしまった。；そのくせ、笑いながら話をしている途中ではらはら泣き出すことがある。；恐怖や畏怖、悲しみのため一気に泣き出してしまいそうな表情であった。；私が精神上のことで妻に厳しい言葉をかけていると、よく泣き出した。；子供たちの反応は様々で、それを笑う者もいれば本気で泣き出す者もいる。；それにまた、もし一言言いかけたら、すぐに泣き出すかもしれなかった。；それが雨の下でいやが上にも不景気な泣き出しそうな外貌を呈している。；硯箱を持って廊下へ退出するなり、米内は声を殺して泣き出したという。；そのうち必ずといっていいほど、けんかをはじめてどちらかが泣き出す。；子牛のように声を挙げて泣き出しそうになっている自分を、彼は感じた。；しかし子供はもうすっかり疲れきっていたので、泣き出してしまった。；一人が女優らしく胸を張ってバイロンの大洋の歌を独吟しては泣き出す。；あまりの恐ろしさに二人は身体が震え、何も言えずに泣き出してしまう。；体を起こした妹は、いまにも泣き出しそうな顔で口を固く引き結んでいた。；アニイが駈け寄って来て、悲鳴を上げて、それから大泣きに泣き出した。；少年はまだ少女二をこづいてゐるが、庭のはづれで自分まで泣き出した。；ほかの子供だったらもうよほど前から大声に泣き出していたろう。；誰か止めてくれと泣き出しそうになりながら、とうとう、引金が動いた。；そのグライダーを取り上げた時の、泣き出しそうな勇太の顔も浮かんだ。；伸子は恐ろしい絶望的な寂寥に打たれて、激しく泣き出すことがあった。；その中に姉の膝の上で眠入つて居た赤坊が突然けたゝましく泣き出した。</t>
        </is>
      </c>
      <c r="J6276">
        <f>HYPERLINK("https://www.weblio.jp/content/泣き出す", "词义详情")</f>
        <v/>
      </c>
      <c r="K6276">
        <f>HYPERLINK("https://yourei.jp/泣き出す", "查看例句")</f>
        <v/>
      </c>
    </row>
    <row r="6277">
      <c r="A6277" t="inlineStr">
        <is>
          <t>鳴く</t>
        </is>
      </c>
      <c r="B6277" t="inlineStr">
        <is>
          <t>成功</t>
        </is>
      </c>
      <c r="C6277" t="inlineStr">
        <is>
          <t>読み方：なく
［動カ五（四）］
１（泣く）
㋐悲しみ・苦しみ・喜びや痛さなどをおさえることができず、声をあげたり、涙を出したりする。「うれし泣きに—・く」「大声をあげて—・く」「話に感動して—・く」
㋑身にしみて、つらい思いをする。苦労を経験する。「悲運に—・く」「悪天候に—・く」
㋒無理や損を知りつつ承知する。権利をあきらめたり、しかたなく身をひいたりする。「ここは一つ君に—・いてもらおう」
㋓実際の内容と隔たりが大きく、それと名乗るのがはばかられる思いがする。「看板が—・く」「名門校の名が—・く」
㋔染色や加工のとき染料が隣の色や白地の部分に浸出する。
２（鳴く・啼く）鳥・虫・獣などが声を出す。「虫が—・く」「蛙がやかましく—・く」「雉(きじ)も—・かずば撃たれまい」
３（鳴く）物がきしんで音を立てる。「急カーブでタイヤが—・く」「砂が—・く浜」
４（鳴く）マージャンで、他の人の捨てた牌(パイ)を碰(ポン)、槓(カン)する。または、左隣の人の捨てた牌を吃(チー)する。
[可能]なける</t>
        </is>
      </c>
      <c r="D6277" t="inlineStr">
        <is>
          <t>鳴くような声(4%)；鳴くような音；鳴くような笑い声；鳴くような細い；鳴く虫文化</t>
        </is>
      </c>
      <c r="E6277" t="inlineStr">
        <is>
          <t>吠える；啼く；吼える</t>
        </is>
      </c>
      <c r="F6277" t="inlineStr">
        <is>
          <t>しきりに鳴く；オウム鳴く；げに鳴く；一声鳴く；鶯鳴く</t>
        </is>
      </c>
      <c r="H6277" t="n">
        <v>29</v>
      </c>
      <c r="I6277" t="inlineStr">
        <is>
          <t>第一にちょっと周囲を見まわしても鳶など一羽も鳴いていないでないか。；ちょうど野に自然の花が咲き、森に自然の鳥が鳴くようなものに見える。；侍五 昨夜のあの厠の裏で狐の鳴くような奇怪な声がしておりましたが。；しかし鳴いているのはたしかに二匹であることを知っている場合であります。；また、鶏の鳴いていろいろなことを話すのも、星にはよくわかりました。；あたりはひつそりしてゐて、人の物を言ふ声も、犬の鳴く声も聞えない。；竹か何かで猫を打つのであるか猫はニャーニャーと細い悲しい声で鳴く。；その鳴く声は笛の音のようであったが、時おり座上へ入って来て鳴いた。；その鳴く声は笛の音のようであったが、時おり座上へ入って来て鳴いた。；ブタの周りを飛び動いて鳴いている場合は彼らの世話をしているといわれた。；鳴く虫は秋のものと考えられがちだが、キリギリスも夏が最盛期である。；「わしは今まで一度も話さなかった」老人は蚊の鳴くような声でいった。；ひざの上に抱いてはいたが、鳴くにまかせて耳にもはいらないのだった。；自分のくちばしで身をついては、少しもやめないで鳴いているのである。；鶴は矢のように飛びながら、心を誘うような悲しげな声で鳴いて行った。；だが、わしがこいつをもらってから、一度も鳴いたためしがないのです。；そのつばめの鳴く声は故郷の海岸の岩鼻でなくつばめの声を思わせました。；鶏は籠の中でけたたましく鳴いているか、そのへんを歩きまわっている。；梟は大人に教わったようにほうほうと鳴くわけではないことに気づいた。；よほど早くから鳴くと見え、私の来た時には既にその声が聞えていた。；こおろぎが草のなかで鳴いていて、草は水ぎわでは細い葦になっている。；夕方戸をひらくとかれらはキイキイ鳴いて跳びながら逃げるのであった。；なぜと言えば、持って来ても長くは野にいた調子には鳴いていないのですからね。；昔は、私がまだ生れぬ頃、そのあたりで夜にはよく狐が鳴いたそうである。；ヨーロッパの伝承で、白鳥は死ぬ時に美しい声で鳴くと言われている。；丘の上で鳴いていたはとは、ずっと兄弟の子ばとよりはきれいでありました。；月あかりに鳴くかすかな蟲の聲さへ聞えて來るやうな、そんな良い晩だ。；寝台の上に肱をついて半身起き上って居る自分に向ってニャーと鳴いた。；そういう場合にどこかで鹿の鳴く声を聞いた、と解してもよさそうである。</t>
        </is>
      </c>
      <c r="J6277">
        <f>HYPERLINK("https://www.weblio.jp/content/鳴く", "词义详情")</f>
        <v/>
      </c>
      <c r="K6277">
        <f>HYPERLINK("https://yourei.jp/鳴く", "查看例句")</f>
        <v/>
      </c>
    </row>
    <row r="6278">
      <c r="A6278" t="inlineStr">
        <is>
          <t>泣く</t>
        </is>
      </c>
      <c r="B6278" t="inlineStr">
        <is>
          <t>成功</t>
        </is>
      </c>
      <c r="C6278" t="inlineStr">
        <is>
          <t>読み方：なく
［動カ五（四）］
１（泣く）
㋐悲しみ・苦しみ・喜びや痛さなどをおさえることができず、声をあげたり、涙を出したりする。「うれし泣きに—・く」「大声をあげて—・く」「話に感動して—・く」
㋑身にしみて、つらい思いをする。苦労を経験する。「悲運に—・く」「悪天候に—・く」
㋒無理や損を知りつつ承知する。権利をあきらめたり、しかたなく身をひいたりする。「ここは一つ君に—・いてもらおう」
㋓実際の内容と隔たりが大きく、それと名乗るのがはばかられる思いがする。「看板が—・く」「名門校の名が—・く」
㋔染色や加工のとき染料が隣の色や白地の部分に浸出する。
２（鳴く・啼く）鳥・虫・獣などが声を出す。「虫が—・く」「蛙がやかましく—・く」「雉(きじ)も—・かずば撃たれまい」
３（鳴く）物がきしんで音を立てる。「急カーブでタイヤが—・く」「砂が—・く浜」
４（鳴く）マージャンで、他の人の捨てた牌(パイ)を碰(ポン)、槓(カン)する。または、左隣の人の捨てた牌を吃(チー)する。
[可能]なける</t>
        </is>
      </c>
      <c r="D6278" t="inlineStr">
        <is>
          <t>泣くまい；泣くような声；泣くだろ；泣くしか；泣くべき</t>
        </is>
      </c>
      <c r="E6278" t="inlineStr">
        <is>
          <t>弔う；泣き叫ぶ；涙する；涕泣；流涕</t>
        </is>
      </c>
      <c r="F6278" t="inlineStr">
        <is>
          <t>よく泣く；なぜ泣く；さめざめと泣く；あげて泣く；上げて泣く</t>
        </is>
      </c>
      <c r="G6278" t="inlineStr">
        <is>
          <t>泣く子も黙る；泣く女；泣く木；泣く子と地頭には勝てぬ；泣くことはないよ</t>
        </is>
      </c>
      <c r="H6278" t="n">
        <v>29</v>
      </c>
      <c r="I6278" t="inlineStr">
        <is>
          <t>妻は夫の顔を見て、彼が泣いていたことに感づいて黙って天井を眺めた。；三毛が殺されたらどうしようつて、泣き通しに泣いてゐるんぢやないか?；東京で名を上げるために泣いて反対する母を振り切っての入門であった。；長い苦しみに一人で耐えぬいた婦人だけがこのように泣くことができる。；泣いている様子を表わす言葉でできたタイトル名から後年話題になった。；そこで声の方を尋ねると、老夫婦がきれいな少女を間にして泣いていた。；秋は鈴虫や松虫などがそばへきて、いっしょに泣いてくれたともされる。；母親の目は涙で濡れていたが、いくら泣こうと彼女はいつも美しかった。；自分より小さい女の子が泣いていると傍に行って歌ってあげるアニー。；女の可愛いさが伝わってくるナオコの歌に中年男は泣いてしまうのでは。；・幼稚園に行くのが嫌いで、いつもバス停で行きたくないと泣いていた。；一行は故郷の事を思い出して、成すすべなく日々を泣いて過ごしていた。；これはさ程痛かったためではないが、余り不意であったために泣いたのだ。；同時に又僕の泣かれない以上、僕の母の死ぬことは必ずないと信じていた。；両親を失ってから一度も泣いたことはなく、強がって生きてきたのだった。；現場ではできないことだらけで、アフレコ後は毎回泣いて帰ったという。；小学校で委員に選ばれたのが嫌でずっと泣いているような内気な性格だった。；姉から妹への手紙の朗読の場面では感動して本当に泣いたと振り返っている。；父親は店を継いでほしいと泣いたが、母の強い勧めが助けとなった。；お金もらうところじゃないんだもん、映ってないところで泣くんだから。；純潔な男女がある異常な鋭い接触をしたために感動して泣くのである。；また本人曰く、涙もろく感動するとすぐに泣いてしまうとも話している。；けどもいましがたもう泣かないと約束したばかりだからそれをこらえる。；それが、泣くのが自然であるかもしれないが、私は非常に好かないのだ。；だれかの前でさめざめと泣いてみたいような気分にさえなっていた。；代助の告白は平岡と結婚する前の3年前に聞きたかったと三千代は泣く。；そこには若い女性の遺体と、その脇で泣いている若い男の姿があった。；私の家で飼っていた犬が死んだ時、私の家の人間は誰も泣かなかった。；何んでまたこんなことで母が泣くのか、とそれが文吾には解らなかつた。</t>
        </is>
      </c>
      <c r="J6278">
        <f>HYPERLINK("https://www.weblio.jp/content/泣く", "词义详情")</f>
        <v/>
      </c>
      <c r="K6278">
        <f>HYPERLINK("https://yourei.jp/泣く", "查看例句")</f>
        <v/>
      </c>
    </row>
    <row r="6279">
      <c r="A6279" t="inlineStr">
        <is>
          <t>慰める</t>
        </is>
      </c>
      <c r="B6279" t="inlineStr">
        <is>
          <t>成功</t>
        </is>
      </c>
      <c r="C6279" t="inlineStr">
        <is>
          <t>読み方：なぐさめる
［動マ下一］［文］なぐさ・む［マ下二］
１何かをして、一時の悲しみや苦しみをまぎらせる。心を楽しませる。心をなごやかに静める。「失意の友を—・める」「音楽に—・められる」
２労をねぎらう。いたわってやる。
「下向には京へ寄りて、四、五日も—・め」〈浮・五人女・二〉
３なだめる。すかして落ち着かせる。
「とかく—・めて、とく来(こ)といひやりたるに」〈枕・二五〉
[用法]なぐさめる・いたわる——「病人を慰める（いたわる）」「老母を慰める（いたわる）」など、やさしく接する意では相通じて用いられる。◇「なぐさめる」「いたわる」ともに、相手を大切にして元気づけることだが、心の悩みについては「なぐさめる」、肉体の苦しみについては「いたわる」を使う傾向がある。「心（寂しさ）をなぐさめる」「病身をいたわる」◇類似の語「ねぎらう」は、仕事や労苦に対して感謝の気持ちを示すことであり、多く目下に対して使う。「徹夜した部下をねぎらう」は「いたわる」でもよいが、「病身の老母をいたわる」に「ねぎらう」は使えない。</t>
        </is>
      </c>
      <c r="D6279" t="inlineStr">
        <is>
          <t>慰めるべく；慰めるべき；慰める言葉もなく</t>
        </is>
      </c>
      <c r="E6279" t="inlineStr">
        <is>
          <t>治す；癒す；回復させる；慰安；慰撫</t>
        </is>
      </c>
      <c r="F6279" t="inlineStr">
        <is>
          <t>優しく慰める；みずから慰める</t>
        </is>
      </c>
      <c r="H6279" t="n">
        <v>29</v>
      </c>
      <c r="I6279" t="inlineStr">
        <is>
          <t>それから今度は有本が何かもにやもにや云っておれを慰めるやうにした。；みんな自分の涙で精一杯で、誰かの肩を抱いて慰める余裕すらなかった。；高巳と光稀は何も慰める声をかけず、その襲われた無関心さが心地良く。；性格は明るくイジメを受けた亜弓を家に連れていき慰めるなどしている。；あとからいくことになっている夫人が、大統領の背中を軽く叩いて慰める。；手術を怖がって泣く私を慰めるために声をかけ、姉妹の約束をしたのだ。；死んだお父さんの霊を慰めるためには、すべてを明らかにする以外はない。；そこまで考えるのは、あまりに考えすぎだと友人たちは慰めるのだが。；もしそうなったら、何と言って慰めるべきか、さんざん考えてきたのだ。；そうしてぼくを慰めるためなら、どんなことでもしようと思っていた。；来世の幸福を仮定して現実のつまらなさを慰めるのは一つの宗教である。；自分の三年間は無駄ではなかったと、達也は自分を慰めることができた。；彼は彼女がただ自分を慰める新らしい方法を用いだしただけだと気がついたのだ。；ありきたりの言葉で、彼女を慰めることはできないと思ったからでもある。；失恋し絶望した人に向って、これを慰めることは出来ないものである。；際どい遊びをさせるバーに行くか、自分の身体を自分で慰めるかした。；味方がエラーをしても怒らずに慰めるなど、冷静な投手であったという。；夫人は王虎からの手紙をすでに読んでいたので、慰めるように言った。；實際その時には全くわたくしにはソレを慰める言葉がなかつたのです。；それから夫人は自分の心を慰めるためのように、こんなことをつけ加えた。；捜査を担当するヴィック刑事は、自身の体験を話してデビッドを慰める。；そして彼を慰めるように近づいてきて、やさしい手をその腕にのせた。；古本屋で見つけた方の名所集が、少し今の心を慰めるだけのものであつた。；先生はあたしを慰めるために、あんなことをおっしゃったのだろうか。；絶望に際したジョンを慰めるため、ケイトは二人で旅に出ることを提案する。；僕は自分の芸術で人を慰めることができる、力と喜びとを人に伝えることができる。；年とった運転手がうしろをふりむいて慰めるように何かを言った。；老人の夢に賛成することが、老人を慰めるいちばんいい方法だと思ったから。；どんなことが私のこの悲しみを慰めるようになるのでしょう。</t>
        </is>
      </c>
      <c r="J6279">
        <f>HYPERLINK("https://www.weblio.jp/content/慰める", "词义详情")</f>
        <v/>
      </c>
      <c r="K6279">
        <f>HYPERLINK("https://yourei.jp/慰める", "查看例句")</f>
        <v/>
      </c>
    </row>
    <row r="6280">
      <c r="A6280" t="inlineStr">
        <is>
          <t>亡くす</t>
        </is>
      </c>
      <c r="B6280" t="inlineStr">
        <is>
          <t>成功</t>
        </is>
      </c>
      <c r="C6280" t="inlineStr">
        <is>
          <t>読み方：なくす
［動サ五］
１（無くす）
㋐今まであったもの、持っていたものを失う。無くする。「財布を—・す」「やる気を—・す」
㋑努めて、ない状態にする。「むだを—・す」
２（亡くす）死なれて失う。死なせる。亡くする。「一人息子を—・す」
[可能]なくせる
［動サ変］「なくする」の文語形。</t>
        </is>
      </c>
      <c r="D6280" t="inlineStr">
        <is>
          <t>失う；落とす；忘れる；紛失；落す</t>
        </is>
      </c>
      <c r="H6280" t="n">
        <v>29</v>
      </c>
      <c r="I6280" t="inlineStr">
        <is>
          <t>妻を亡くしてからはかつてのような気力を失っていったと言われている。；その狂人の若者は、幼い頃に両親を亡くし、近所の人に育てられていた。；子どもが親を亡くすのが自然の掟で、親が子どもを亡くすのではないぞ。；また、自身と酷似した犬を亡くした病気持ちの女性を慰めたこともある。；最愛の女性を亡くしたのち、コントの思想と行動に変化が生じていった。；父親を亡くした後、7人の兄弟ために農業や動物の世話をして働いた。；幼い頃に母を亡くし、そのことが自身の精神面に強い影響を与えたという。；また同じく親を早くに亡くした鴨長明に同情的に接していたことが知られる。；若くして母を亡くしており、デビュー作にはその体験が反映されている。；子供のない伯爵夫妻は、母親を亡くした姪孫を引き取って養育していた。；また同時期に母親を亡くしていたことから人生観が変わったという。；早くに母を亡くしたこともあって、大阪で、厳格な祖父の下で育てられた。；幼い頃に父を亡くしていたため、母の領地であるボルドーで生活していた。；中学時代に父を亡くし、篤志家の援助もあって第一高等学校に進学する。；幼い時は早くして父を亡くしたため貧しく、母が内職をして生活を支えた。；幼いころに父を亡くし、祖父や叔父の世話になりながら、勉学に励んだ。；幼い頃に母親を亡くし、彼女の将来を案じて再婚した父親も病で死去する。；主人公・仁歳チトセは、小さい頃に父母を亡くし施設で育てられていた。；宗悦は幼い頃に母を亡くしており、柔子は母代わり的存在であったという。；夫を亡くすということは、生活がすっかり変わってしまうということだ。；この間、13歳の時に父親を亡くし、以後、母親がレース活動を支えた。；両親を亡くしたり、憧れていた先輩や友達が離れて孤独を感じている。；彼はロシア滞在中に結婚するが、1年も経たずに妻を亡くしてしまう。；同作は彼女にとって初のトーキーであり、その撮影中に夫を亡くしている。；幼くして父を亡くし、母と黄氏のもとに身を寄せていた時の名が黄巌であった。；幼くして母親を亡くしたヒックスを育てた一家はクェーカー教徒だった。；夫を亡くしたシュレーダー夫人と3人の子供たちのために建てられた。；既に母も亡くしていたすずは父の再々婚相手の家族と暮らしていた。；しかし敗戦で引き揚げを余儀なくされ、帰国途中で父、祖母らを亡くす。</t>
        </is>
      </c>
      <c r="J6280">
        <f>HYPERLINK("https://www.weblio.jp/content/亡くす", "词义详情")</f>
        <v/>
      </c>
      <c r="K6280">
        <f>HYPERLINK("https://yourei.jp/亡くす", "查看例句")</f>
        <v/>
      </c>
    </row>
    <row r="6281">
      <c r="A6281" t="inlineStr">
        <is>
          <t>無くす</t>
        </is>
      </c>
      <c r="B6281" t="inlineStr">
        <is>
          <t>成功</t>
        </is>
      </c>
      <c r="C6281" t="inlineStr">
        <is>
          <t>読み方：なくす
［動サ五］
１（無くす）
㋐今まであったもの、持っていたものを失う。無くする。「財布を—・す」「やる気を—・す」
㋑努めて、ない状態にする。「むだを—・す」
２（亡くす）死なれて失う。死なせる。亡くする。「一人息子を—・す」
[可能]なくせる
［動サ変］「なくする」の文語形。</t>
        </is>
      </c>
      <c r="D6281" t="inlineStr">
        <is>
          <t>無くすべき</t>
        </is>
      </c>
      <c r="E6281" t="inlineStr">
        <is>
          <t>廃止；失う；止める；喪失；落とす</t>
        </is>
      </c>
      <c r="H6281" t="n">
        <v>29</v>
      </c>
      <c r="I6281" t="inlineStr">
        <is>
          <t>彼女は意識を無くして運ばれた入院先で半日ももたずに死んだそうです。；戦う目的を無くしてしまった青年の心に入ってきた城ヶ崎は籠絡に成功。；ユーザーが負担する費用を無くした情報配信メディアであるといえる。；そんな人を無くしてしまうように、みなさんは学問をしなければならぬ。；機体コンセプトは可能な限りの空気抵抗を無くすことを目的としていた。；すべてを失い生きる望みも無くした彼は、不思議な老人に声をかけられる。；彼はあんな風にして杖を無くした事を、妻には内所にして居るのであつた。；程無くしてゴヴの活動は露見し、その正体が明かにされることとなった。；しかし詳細な議論が無くしてはその後の研究の基礎を置くことはできなかった。；これは情熱を失い自由な精神を無くす人々を見た彼の気持ちを反映している。；それは十字軍がここを回復して、拠点とするおそれを無くすためであった。；泣菫の方は、どういふものか、僕にとつて昔の魅力を無くしてしまつた。；命を無くすとはいえ、王はその時点で既に十分な時間を生きている。；それを無くしてしまい、わしのところに泣きついて来てもはじまらんよ。；勝てずに帰ったといえども、併呑の志は無くすことはありませんでした。；その多くは不名誉除隊の知らせが家族に届いていたため帰る家を無くした。；はやく無くしてしまいたかったが、その相手を見付けることができない。；両親を幼い頃に無くし、彼女は幸せというものをあまり知らずに育ってきた。；今、目の前に座っている男を本当に無くした時、私は何を思うのだろう、と。；目は、開いていても閉じていても無くしてしまっても、嫌な物を見てしまうのだ。；しかし、光化学処理プロセスでも完全に熱影響を無くすことはできない。；今まで鍵を握り締めていた指は鍵を無くしそのまま拳となっていた。；あんまり驚いてどなってしまったから、聞くきっかけを無くしたのだ。；あの戦争で住居までも無くしていたら、寒さと飢えで死んでいたかもしれない。；感情を消し、表情を無くした眼の底にはかすかな妥協さえも残っていなかった。；生きていく術を無くした彼女は徐々に自分の身を男達に投じていくようになる。；人がたまに表情を無くして、ぼんやりしているというのはよくあることだ。；額の所へ擦り傷の出来た彼の顔色は、凡ての血の色を無くしていた。；チェスは死体への興味を無くすと、再び車掌室に向かって歩き始めた。</t>
        </is>
      </c>
      <c r="J6281">
        <f>HYPERLINK("https://www.weblio.jp/content/無くす", "词义详情")</f>
        <v/>
      </c>
      <c r="K6281">
        <f>HYPERLINK("https://yourei.jp/無くす", "查看例句")</f>
        <v/>
      </c>
    </row>
    <row r="6282">
      <c r="A6282" t="inlineStr">
        <is>
          <t>亡くなる</t>
        </is>
      </c>
      <c r="B6282" t="inlineStr">
        <is>
          <t>成功</t>
        </is>
      </c>
      <c r="C6282" t="inlineStr">
        <is>
          <t>読み方：なくなる
［動ラ五（四）］
１（無くなる）
㋐今まであったもの、持っていたものがない状態になる。「夢が—・る」「痛みが—・る」
㋑盗まれたり、紛れたりして、見当たらなくなる。「網棚の荷物が—・る」
㋒使ったり、減ったりして、尽きる。「資金が—・る」
２（亡くなる）「人が死ぬ」の婉曲的な言い方。「恩師が—・られた」</t>
        </is>
      </c>
      <c r="D6282" t="inlineStr">
        <is>
          <t>亡くなる少し前；亡くなる数日前；亡くなる約；亡くなる数時間前；亡くなると家督</t>
        </is>
      </c>
      <c r="E6282" t="inlineStr">
        <is>
          <t>死去；死亡；死ぬ；消える；急死</t>
        </is>
      </c>
      <c r="F6282" t="inlineStr">
        <is>
          <t>若くして亡くなる；亡くなるまで務め；相次いで亡くなる；亡くなるまで一緒；亡くなるまで過ごし</t>
        </is>
      </c>
      <c r="H6282" t="n">
        <v>29</v>
      </c>
      <c r="I6282" t="inlineStr">
        <is>
          <t>戦争で亡くなった人々を偲んで戦争記念碑がフランス各地に建立された。；節子が亡くなったあとの部屋でレコードが回っているシーンを担当した。；妻の荘月明は既に亡くなっているが、自殺ではないかとも噂されている。；あなたの偉大な夫が亡くなったことが世界の損失であることを表明する。；母が亡くなり姉が結婚して家を出て行った後、父と2人で暮らしている。；彼女は父の亡くなる1598年まで、そうやって父のそばで仕えていた。；その車にはラジオがついていなかったが、彼は亡くなるまで所有していた。；しかしマリーはこの受賞を見ることなく、前年の7月に亡くなっていた。；こういうことを思いついたのは、先生が亡くなられた直後のことである。；彼の母親は彼が12歳の頃に亡くなり、また父親は他の女性と再婚した。；早く亡くなられた先生の最初の奥さんのことを書かれたものである。；泉は両親が何歳で亡くなったかは知らないと言うが、両親の名前は知っていた。；時にはすでに亡くなった子供のところにまで送られてくる例もある。；近さんはその数年後に亡くなられたが、まだ四十にもなつてゐなかつた。；しかしこの研究が完成を見ないうちに、先生は亡くなられてしまった。；その年に亡くなった国内・海外の政治家・著名人・芸能人を紹介する。；それまでハルキスさんが亡くなられたことをちっとも知りませんでした。；だからお父上が病気かなにかで亡くなられるのを極端に恐れていたそうです。；彼が亡くなったことはとても寂しいが、彼はとても豊かな人生だったと思う。；寛先生の亡くなられたのは全く偶然の結果であつて罪は旅行にある。；母親はビルが10歳の時に亡くなり、その6年後には父親も亡くなった。；彼が初代の館長に就任し、1985年に亡くなるまでその地位にあった。；このお姑さんは、わだしが数えで三十二歳の時、七十八で亡くなられた。；ベルリン学派の主要な4人は全員米国へ渡り、その地で亡くなっている。；その秘蔵の場所を知っていたのは、亡くなられた大納言忠長殿であった。；立派な方から先に亡くなっていくと私は感じたものです。；事業が面白くないところへ、マラリヤ熱に襲われて亡くなられたのです。；時には複数の家族が自分たちの亡くなった家族を一緒に埋葬した。；嫡母が既に亡くなった場合だけ皇帝の生母は皇太后の称号を授けられた。</t>
        </is>
      </c>
      <c r="J6282">
        <f>HYPERLINK("https://www.weblio.jp/content/亡くなる", "词义详情")</f>
        <v/>
      </c>
      <c r="K6282">
        <f>HYPERLINK("https://yourei.jp/亡くなる", "查看例句")</f>
        <v/>
      </c>
    </row>
    <row r="6283">
      <c r="A6283" t="inlineStr">
        <is>
          <t>無くなる</t>
        </is>
      </c>
      <c r="B6283" t="inlineStr">
        <is>
          <t>成功</t>
        </is>
      </c>
      <c r="C6283" t="inlineStr">
        <is>
          <t>読み方：なくなる
［動ラ五（四）］
１（無くなる）
㋐今まであったもの、持っていたものがない状態になる。「夢が—・る」「痛みが—・る」
㋑盗まれたり、紛れたりして、見当たらなくなる。「網棚の荷物が—・る」
㋒使ったり、減ったりして、尽きる。「資金が—・る」
２（亡くなる）「人が死ぬ」の婉曲的な言い方。「恩師が—・られた」</t>
        </is>
      </c>
      <c r="D6283" t="inlineStr">
        <is>
          <t>無くなるとゲームオーバー(5%)；無くなるだろ(2%)；無くなるかも知れ；無くなるだら</t>
        </is>
      </c>
      <c r="E6283" t="inlineStr">
        <is>
          <t>死ぬ；消滅；去る；消える；失踪</t>
        </is>
      </c>
      <c r="F6283" t="inlineStr">
        <is>
          <t>消えて無くなる；ほとんど無くなる；ほぼ無くなる；全部無くなる</t>
        </is>
      </c>
      <c r="H6283" t="n">
        <v>29</v>
      </c>
      <c r="I6283" t="inlineStr">
        <is>
          <t>進化後は完全に涙を見せる一面は無くなり、紳士的な性格になっている。；しかし現在では大半を占めるLED車では両者の区別が無くなっている。；そうでなければ人と他の動物とは何の区別するところも無くなるのである。；ヨーロッパでは次第に無くなり東と北の数カ所に残っているだけである。；これに失敗したら、もう僕は他に、どこへも行くところが無くなるのだ。；そこでそれを受取つてくれるから、もう君には少しも面倒は無くなるよ。；幸福や不幸になれてしまって、幸福感や不幸感が無くなる現象をと呼ぶ。；この経験がそろそろ我々から無くなろうとするのはむしろ当然である。；対決企画は無くなってしまったので数十人の女性も登場しなくなった。；一度購入した武器は、弾切れや破壊などの理由で無くなることはない。；しかしこれまで目の敵にされたこれらの施設が無くなるのは結構だと思う。；その語ることが真実でなければ、そこから学ぼうとする意味が無くなる。；私は春子さんの前に出ると、何の力も無くなるような気がするのであった。；店主の中にはワインが無くなると次の収穫まで店じまいをする者もいた。；それに伴い、生バンドでの演奏は無くなりステージセットも新しくなった。；この二つの月は水が無くなれば一緒に消え去って、本当の月ではないのだ。；これを中央の山が無くなるかゲームオーバーカードが出されるまで続ける。；日本では、製造を止めても在庫が無くなるまで販売されることが多かった。；明日という日が無くならない限りはだめだと、御自分で笑ってるんですよ。；この結果コネチカットでは先住民の恐れがほとんど無くなってしまった。；やり損ったら生命が無くなるのだと思ってステージに立たねばならぬ。；一般的には、呼吸が停止し、脈拍が無くなると、死の過程が開始される。；ほんとに死が何も無くなるものであるということが確かめられているか。；では物質自身は無くならないまでも、物質の概念が無くなったのであるか。；生まれたときには産室に「黒気」が満ち、数日無くならなかったという。；人間が一日に一升の水を飲んだとしても、この水は無くなるわけではない。；また、ネット局での放送は無くなり再びRKBのみの放送となっている。；これももう無くなるというので三本もっているから重かったのです。；ハリーの家に行くも現在は無くなっており、彼がどこにいるのか分からずにいた。</t>
        </is>
      </c>
      <c r="J6283">
        <f>HYPERLINK("https://www.weblio.jp/content/無くなる", "词义详情")</f>
        <v/>
      </c>
      <c r="K6283">
        <f>HYPERLINK("https://yourei.jp/無くなる", "查看例句")</f>
        <v/>
      </c>
    </row>
    <row r="6284">
      <c r="A6284" t="inlineStr">
        <is>
          <t>殴る</t>
        </is>
      </c>
      <c r="B6284" t="inlineStr">
        <is>
          <t>成功</t>
        </is>
      </c>
      <c r="C6284" t="inlineStr">
        <is>
          <t>読み方：なぐる
［動ラ五（四）］
１（こぶしや棒などで）相手を乱暴に強く打つ。「—・る蹴るの暴行」
２乱暴に物事をする。また、なげやりにする。補助動詞的にも用いる。「書き—・る」
「ええ加減に—・って早くしまはうねえ」〈黄・艶気樺焼〉
[可能]なぐれる</t>
        </is>
      </c>
      <c r="D6284" t="inlineStr">
        <is>
          <t>殴る蹴る(14%)；殴るんです；殴るんなら</t>
        </is>
      </c>
      <c r="E6284" t="inlineStr">
        <is>
          <t>ヒット；打つ；一撃；叩く；ノック</t>
        </is>
      </c>
      <c r="F6284" t="inlineStr">
        <is>
          <t>いきなり殴る；書き殴る</t>
        </is>
      </c>
      <c r="G6284" t="inlineStr">
        <is>
          <t>殴る女</t>
        </is>
      </c>
      <c r="H6284" t="n">
        <v>29</v>
      </c>
      <c r="I6284" t="inlineStr">
        <is>
          <t>たいていはあの娘のほうで殴られるようなことをしてるわけなんだけど。；それで、お前が必ず俺を殴るにちがいないようなことを云ってみたんだ。；私はそれまで、殴り合う喧嘩などほとんどしたことがありませんでした。；アザミを殴っておいてなんでそんな顔をできるのか不思議に思いました。；私が韓国にいたころも、夫が妻を殴る姿は日常茶飯事のように見られた。；生れてから棍棒で殴られたことはなかったので、わけがわからなかった。；生れてから棍棒で殴られたことはなかつたので、わけがわからなかつた。；このタイプは拳部分に相手を殴るためのスパイクをつけたものもあった。；彼はそんなに近くまで来ていても、ポオルを実際に殴る勇気がなかった。；頭を殴られた直後、大きな荷物が下へ運ばれるのを見たことは間違いない。；凶器はまだ特定されていないが、金槌のようなもので頭を殴られている。；それらがよくできてないなどの理由で、よく彼らは監視の軍人に殴られた。；怒ったり殴ったりするほど、自分のことを気にかけてくれる人がいた?；嫌なら蹴るか殴るか爆発するか頭突きするか逃げるかなにかするだろう。；O先生が私を殴ったのは当然であり、私は、それをすっかり許している。；自分の頭を殴って即死した人間が、凶器を処分するのは不可能だからだ。；いったい何人殴り倒して、何人にめった打ちにされたのか憶えていない。；顔に傷がついているが、ダンプとけんか別れして殴られたものだという。；どうして彼を殴るなんてバカな真似をしてしまったのだろうと思った。；だけどこういうときは少し、女を殴る男の気持ちがわかるような気がする。；彼らは、わたしを殴った裸の男のことを、あなたがたに話したでしょう。；だれかが動くたびに、腕をあげて、殴られるのを防ぐような恰好をする。；いずれにしても仲間に加わってそこに居た私は殴ったことと変わりはなかった。；それに向こうだって、明日になれば殴られたことも覚えていないだろう。；妻は性交しながら、愛しているなら自分を殴って欲しいと夫に懇願する。；大きな石で鼻の頭を殴ったのだから、鼻には大きな傷が残っていた。；田宮はいつも俊夫に殴られ慣れているためか、まだ失敗の連続であった。；踊り場に倒れたまま目を見開いて広瀬を見上げている顔を左手で殴った。；彼等は最初にカザンに殴りこんで、門を閉めて民衆に抵抗を呼びかけた。</t>
        </is>
      </c>
      <c r="J6284">
        <f>HYPERLINK("https://www.weblio.jp/content/殴る", "词义详情")</f>
        <v/>
      </c>
      <c r="K6284">
        <f>HYPERLINK("https://yourei.jp/殴る", "查看例句")</f>
        <v/>
      </c>
    </row>
    <row r="6285">
      <c r="A6285" t="inlineStr">
        <is>
          <t>嘆かわしい</t>
        </is>
      </c>
      <c r="B6285" t="inlineStr">
        <is>
          <t>成功</t>
        </is>
      </c>
      <c r="C6285" t="inlineStr">
        <is>
          <t>読み方：なげかわしい
［形］［文］なげかは・し［シク］悲しく情けなく感じられる。残念に思う。「—・い事件が起こる」
[派生]なげかわしげ［形動］なげかわしさ［名］</t>
        </is>
      </c>
      <c r="D6285" t="inlineStr">
        <is>
          <t>嘆かわしいこと(21%)；嘆かわしい状態(2%)；嘆かわしい事態；嘆かわしい限り；嘆かわしい話</t>
        </is>
      </c>
      <c r="E6285" t="inlineStr">
        <is>
          <t>哀れ；惨め；情けない；みすぼらしい；憐れ</t>
        </is>
      </c>
      <c r="F6285" t="inlineStr">
        <is>
          <t>まったく嘆かわしい</t>
        </is>
      </c>
      <c r="H6285" t="n">
        <v>29</v>
      </c>
      <c r="I6285" t="inlineStr">
        <is>
          <t>これはこの時代の人々には嘆かわしい現実であったかも知れない。；男の学生でもそうなのだから、大人たちから見れば、嘆かわしいに違いない。；ああ、日中の出来事のみに終わりしとは思えず、嘆かわしきことなり。；今の将校は軍人の精神ちゅうものを持っちょらん、嘆かわしいことじゃ。；このように懈怠の風の起こるのは実に嘆かわしいことと思います。；これを混同して誤解している人が多いのが嘆かわしいわね。；尻と偽尻の見分けもつかないのは、寝惚けていたとはいえ嘆かわしい。；嘆かわしいことに、私はそれを楽しむようにさえなったのだった。；この時点における哲学者たちは、非常に嘆かわしい状態にあるようである。；それが女の慎みだと教えられたせいかもしれないが、非常に嘆かわしい現状だ。；むしろそれらの画工は、かかるものを描かねばならぬ身を嘆かわしく感じたであろう。；あなたが発見されたとき、嘆かわしい状況のもとにおられたということは知っております。；何となく、嘆かわしいというようなことばかり言っていたようである。；嘆かわしいのは、倒産するとなっただけで、スペンサが逃げたことだ。；彼女は何にでも溜息をつく癖があり、冗談を言った時でも嘆かわしい調子になってしまうのだった。；そして非常に多数の醸造者が告訴され有罪の判決を受けていることは嘆かわしい。；政策が善より悪をなす方が大きい場合、それは非効率であり嘆かわしいことである。；世界が不意にその表情を変えたとするなら、その嘆かわしい変化の原因は向うにあって、こちらにはない。；おやじにこの嘆かわしい話を議会でしようと思ったんだが、わかってくれようとしない。；しかし私は、かれらの嘆かわしいドグマはけっして受け入れなかった。；といちばん年かさの男が、いかにも嘆かわしげな顔をして、一歩前に進み出た。；嘆かわしいことだが、剣道の試合でこういうことは間々あるものだ。；しかし探偵小説の流行は私等から云うと嘆かわしいですな。；およそ崩壊の中でも、高潔な心の壊れるほど嘆かわしいものはない。；こういうのが最近著しく増えてきているのは嘆かわしい。；しかし里志は、嘆かわしいと言わんばかりに大きく、かぶりを振った。；スターリンの後の背信行為は、嘆かわしいが、驚くことではなかった。；この強力な尾のことを考えれば考えるほど、自分の表現のまずさが嘆かわしくなる。；嘆かわしいことに、かれのもっとも有能な手下の一人はガリオン少年だった。</t>
        </is>
      </c>
      <c r="J6285">
        <f>HYPERLINK("https://www.weblio.jp/content/嘆かわしい", "词义详情")</f>
        <v/>
      </c>
      <c r="K6285">
        <f>HYPERLINK("https://yourei.jp/嘆かわしい", "查看例句")</f>
        <v/>
      </c>
    </row>
    <row r="6286">
      <c r="A6286" t="inlineStr">
        <is>
          <t>嘆く</t>
        </is>
      </c>
      <c r="B6286" t="inlineStr">
        <is>
          <t>成功</t>
        </is>
      </c>
      <c r="C6286" t="inlineStr">
        <is>
          <t>読み方：なげく
［動カ五（四）］
１ひどく悲しむ。悲しんで泣く。悲嘆にくれる。「身の薄幸を—・く」「友の死を—・く」
２世の風潮などを憂えて憤る。慨嘆する。「現今の世相を—・く」「倫理観の喪失を—・く」
３心にかなわぬことがあって、ため息をつく。嘆息する。
「君が行く海辺の宿に霧立たば我(あ)が立ち—・く息と知りませ」〈万・三五八〇〉
４心から切に願う。哀願する。
「世の中にさらぬ別れのなくもがな千代もと—・く人の子のため」〈古今・雑上〉</t>
        </is>
      </c>
      <c r="D6286" t="inlineStr">
        <is>
          <t>嘆くべき；嘆くだろ；嘆くことしきり；嘆くことだろ；嘆くような声</t>
        </is>
      </c>
      <c r="E6286" t="inlineStr">
        <is>
          <t>吐息；悲嘆；嘆息；惜しむ；弔う</t>
        </is>
      </c>
      <c r="F6286" t="inlineStr">
        <is>
          <t>悲しみ嘆く；思い嘆く</t>
        </is>
      </c>
      <c r="H6286" t="n">
        <v>29</v>
      </c>
      <c r="I6286" t="inlineStr">
        <is>
          <t>もう得られることが出来ないものを嘆くほど今の私は不幸ではなかった。；そのくせ老衰を嘆いて幽霊になるほどの実のある生活もしたことがない。；夏が早く終りすぎていたことを嘆いていた秋の日が、つい昨日のようだ。；彼は不幸にもだれひとり自分の死を嘆くものがいないことを知った。；気の遠くなるような作業だけれど、そんなことを嘆いている暇はなかった。；妻や姉妹たちなどは、家の中にとじ籠ってただ泣き嘆くばかりであった。；かげろうが若くして生涯を閉じたからといって、それを嘆く者はいない。；後々になっても、私は、この間の時間不足を嘆かないわけにはいかない。；だからそんなに困ることはないし、自分を不幸だと嘆いたこともない。；エフタには彼女以外に子がいなかったので、彼は衣を引き裂いて嘆いた。；それをしないのはいい女の条件とも言えるのだから、そう嘆くものでもない。；天に躍り地に伏して嘆いても、誰一人己の気持を分ってくれる者はない。；その失恋が心の傷になって残り、今でも彼を嘆かせているのだろうか。；悲しむのは、忠五郎の心がこの島にとどまっていないのを嘆くのである。；帰還した彼は、婚約者の死を嘆いてローマを罵しる妹の言葉を耳にする。；生きる屍となって親を嘆かせるような女に、わたしをしないでくださいな。；なぜ嘆いているのかを問うと故郷の父母が恋しいからだと兄媛は答えた。；と論じて、熊沢の米遣いの説が実際には行なわれなかったことを嘆いた。；私が地球から出て行ってしまうことを、大変な損失だって嘆いてましたね。；彼は後年、レースから楽しみが消えて久しいことをしばしば嘆いていた。；後者を嘆く者は数多くいたが、それもさして長く続いたわけではない。；それとも又それを嘆いて子を抱いて死んだ女がわるいのであらうか。；井崎は女たちがすっかり変ってしまったことを安江に嘆いたことがあった。；と嘆くのであつた、玄関を出て玄関から訪れないことを非常な不満にしてゐた。；正しい道を歩いてきたことを嘆くような人間に不幸あれですわ!；持っていないものを嘆くより、持っているものを輝かせるべきだろう?；近年ではこの唄づけができない奏者が増えており、これを嘆く声も多い。；いつまでこの暗闇は続くのだろうと嘆くだけで、一日が終わるんです。；食べるものも与えられないほどであったが、怨み嘆く声もなかったという。</t>
        </is>
      </c>
      <c r="J6286">
        <f>HYPERLINK("https://www.weblio.jp/content/嘆く", "词义详情")</f>
        <v/>
      </c>
      <c r="K6286">
        <f>HYPERLINK("https://yourei.jp/嘆く", "查看例句")</f>
        <v/>
      </c>
    </row>
    <row r="6287">
      <c r="A6287" t="inlineStr">
        <is>
          <t>投げ出す</t>
        </is>
      </c>
      <c r="B6287" t="inlineStr">
        <is>
          <t>成功</t>
        </is>
      </c>
      <c r="C6287" t="inlineStr">
        <is>
          <t>読み方：なげだす
［動サ五（四）］
１投げて外へ出す。ほうりだす。「がらくたを外へ—・す」
２投げるように乱暴につきだす。また、無造作に置く。「床に足を—・す」「本を机の上に—・す」
３物事を成就しないうちにあきらめて止める。放棄する。「試合を—・す」「学業を中途で—・す」
４大切なものや財産などを惜しげもなく差し出す。「命を—・す」「全財産を孤児救済に—・す」
５投げ始める。「仕上がりが早く、変化球を—・す」</t>
        </is>
      </c>
      <c r="D6287" t="inlineStr">
        <is>
          <t>投げ出すだろ</t>
        </is>
      </c>
      <c r="E6287" t="inlineStr">
        <is>
          <t>降りる；投げる；逃げ出す；捧げる；差し出す</t>
        </is>
      </c>
      <c r="H6287" t="n">
        <v>29</v>
      </c>
      <c r="I6287" t="inlineStr">
        <is>
          <t>その大きなベッドの上に投げ出されたコートは、奇妙な形をとっている。；見ると家の前の広場には、太い薪が山のように投げ出されてありました。；それというのも自分の全体をすっかり投げ出すことができたからなんだ。；前に足を投げ出してゐる梨枝子のうしろに、一人の若い男が立つてゐる。；銃はまだ手の中にあるが、細い腕はぐったりと地面に投げ出されていた。；だれがだれの身を投げ出すのだ、自分の意志で自分の身を投げ出すのか?；まぐろのように投げ出された体は光に串刺しにされているように見えた。；徳のある自分になろうとすれば、生活を投げ出さなければならなかった。；そしてそれは、酔狂で投げ出すことが許されるようなものじゃないんだ。；そしてたちまち一本の灌木に足をつかまれて投げ出すように倒れました。；かれは入ってくると、椅子に体を投げ出すようにしておれを見つめた。；床にはまだ半分ほどしか整理していないトランクが二つ投げ出されていた。；主演している仕事を中途で投げ出す勇気が彼にあるだろうかと思った。；傘が遠くに投げ出されているところを見ると、車にはねられたのだろう。；離れた草原で女たちが真上から日に照らされながら足を投げ出していた。；決死的な計画を実行するために、一瞬、身を投げ出すだけでいいのです。；しかも閑子は投げ出された自分の羽目に、今もって納得できないでいる。；俺は思考を失い、ベットが割れた勢いで投げ出されるままになっていた。；或る屍体の傍に投げ出されてあった、大きな薪割りがその証拠であった。；彼は一種の喜びをこめてお金をテーブルの上に投げ出していたわ。；いったん、はこうとしたらしいズボンが、また地上に投げ出されていた。；そして、自分の身を、この音と光と熱との過度の狂乱の中に投げ出した。；一方で、エドガーには命を投げ出すのも当然と思っているくらい忠実だ。；投げ出された荷物はおれ自身だと、気付くまでにかなりの時間を要した。；隙間から毛布が投げ出されるのを見て、そっと視線を廊下のほうへ戻す。；それを知るためなら、ツィマーマン夫人はなんだって投げ出しただろう。；テーブルに小銭を投げ出す音と、ばたばたと店を出てゆく足音が続いた。；平らな岩に腰を下ろしていた落合が、上体を前方に投げ出すようにした。；共通の趣味となった音楽に嵌まり、仕事を半年余りで投げ出してしまう。</t>
        </is>
      </c>
      <c r="J6287">
        <f>HYPERLINK("https://www.weblio.jp/content/投げ出す", "词义详情")</f>
        <v/>
      </c>
      <c r="K6287">
        <f>HYPERLINK("https://yourei.jp/投げ出す", "查看例句")</f>
        <v/>
      </c>
    </row>
    <row r="6288">
      <c r="A6288" t="inlineStr">
        <is>
          <t>投げる</t>
        </is>
      </c>
      <c r="B6288" t="inlineStr">
        <is>
          <t>成功</t>
        </is>
      </c>
      <c r="C6288" t="inlineStr">
        <is>
          <t>読み方：なげる
［動ガ下一］［文］な・ぐ［ガ下二］
１空中へほうる。手にとって遠くへ飛ばす。また、ほうり出す。「池に小石を—・げる」
[補説]カーリングでは、ストーンを持ち上げずに氷上を滑らせる動作を「投げる」という。
２かかえたり、つかんだりして転ばす。「首をつかんで地面に—・げる」
３倒れるように体をほうり出す。また、体をほうり出して自殺する。身投げをする。「いすに身を—・げる」「ビルの屋上から身を—・げる」
４あきらめる。途中でやめる。放棄する。「最初から—・げてかかる」「やりかけた仕事を—・げるようなことはしない」
５ある方向、方面に向ける。「視線を—・げる」「自分に—・げられた言葉」
[用法]なげる・ほうる——「石を投げる（ほうる）」など、手に取って空中へ飛ばす意では相通じて用いる。◇「なげる」は、力を入れて速く遠くまで飛ばす場合に多く使う。「ボールをなげる」「逃げる犯人に棒をなげる」◇「ほうる」は、それほど力を入れずに軽く飛ばす場合に多く使う。「そこにあるかぎをほうっておくれ」◇「仕事をなげる」は続けられずに止めにすることだが、「仕事をほうって遊ぶ」は、あとまわしにすることである。◇類似の語「投ずる」は「なげる」の文章語で、「千金（一石・一票）を投ずる」は慣用として固定しており、「投げる」には言い換えられない。◇「社会運動に身を投ずる」は「なげる」に言い換えられないが、「海に身を投ずる」は「投げる」でもよい。</t>
        </is>
      </c>
      <c r="D6288" t="inlineStr">
        <is>
          <t>投げるべき；投げる平均球速約</t>
        </is>
      </c>
      <c r="E6288" t="inlineStr">
        <is>
          <t>放つ；降りる；振る；捨てる；シュート</t>
        </is>
      </c>
      <c r="F6288" t="inlineStr">
        <is>
          <t>ほうり投げる；向かって投げる；反り投げる</t>
        </is>
      </c>
      <c r="H6288" t="n">
        <v>29</v>
      </c>
      <c r="I6288" t="inlineStr">
        <is>
          <t>脚を使って投げたり相手が特殊な状況下にある時を利用して投げる技。；彼がラジオの解説で「俺が投げたほうがましだ」と言ったからである。；遊戯として雪を投げ合うことは古くから行われていたものとみられている。；カウントダウン中の爆弾を投げずに地面に置くには、この方法しかない。；父親は厳しいなんてものじゃなく、自転車ごと投げられたこともあると語る。；投げる際、通常の投球フォームとは異なるゆっくりした腕の振りになる。；柔道など投げ技がきれいに決まることが勝利条件の一つであるものも多い。；例えば、人を狙って石を投げたがたまたま当たらなかった場合である。；当の若乃花は「最後の投げは心を鬼にして決めた」と後に述懐している。；投げ手はポイント確定後に7の目を出して負けた時に左隣の客と交替する。；好調時にはストライクゾーンの中でコースの投げ分けができたという。；一方、他のファンはガラスのドアに岩や瓶を投げて入場しようとした。；相手の後ろ帯を釣り上げ、後ろ腰に乗せて大腰のように投げる技である。；それには女性らしき人物が複数の球を空中に投げ上げている様子が描かれている。；怪我せず、一年間投げ抜くための基礎はその3年間で作ったと思うから。；ただし、離陸して数十分飛行しなければマーカーを投げる事はできない。；ポイント確定前の負けの場合には、基本的には投げ手を交替することはない。；投げられるプーチンの姿は印象的で、その写真や映像は世界中に報道された。；そんなボールは投げたことがなかったから、投げ方を知りません、と答えた。；その頃から140kmの球を投げる投手として、地元では有名であった。；一般に小さいものが大きい体の相手を投げるのに適した技であるとされる。；また、投げられて背中を着かないようにブリッジをすると一本負けとなる。；投げ縄で獣を捕らえるようにして虫を捕らえることが名の由来である。；子どもの頃から左右で投げてきた事がバランスのいい体作りにもつながったと語る。；投げ槍や投げ矢の技術が弓矢の発明につながったとされている。；そのそれぞれについて、右投げ用・左投げ用・両投げ用が存在する。；投げて落ちたものや置いたものはあとで回収することもできる。；説明するのは難しいのですが、とにかくあんな投げ方はできっこありません。；その時のギプスはツアーファイナルの仙台公演の際に客席に投げている。</t>
        </is>
      </c>
      <c r="J6288">
        <f>HYPERLINK("https://www.weblio.jp/content/投げる", "词义详情")</f>
        <v/>
      </c>
      <c r="K6288">
        <f>HYPERLINK("https://yourei.jp/投げる", "查看例句")</f>
        <v/>
      </c>
    </row>
    <row r="6289">
      <c r="A6289" t="inlineStr">
        <is>
          <t>仲人</t>
        </is>
      </c>
      <c r="B6289" t="inlineStr">
        <is>
          <t>成功</t>
        </is>
      </c>
      <c r="C6289" t="inlineStr">
        <is>
          <t>読み方：ちゅうにん
１争いなどの仲裁をする人。仲裁人。
「問答の中に、馴合の—が段々取持つような風をして」〈福沢・福翁自伝〉
２なこうど。媒酌人。「—を立てる」</t>
        </is>
      </c>
      <c r="D6289" t="inlineStr">
        <is>
          <t>仲人役(4%)；仲人さん(2%)；仲人様；仲人夫婦；仲人結婚</t>
        </is>
      </c>
      <c r="E6289" t="inlineStr">
        <is>
          <t>代理；仲介；代行；エージェント；架橋</t>
        </is>
      </c>
      <c r="F6289" t="inlineStr">
        <is>
          <t>御仲人様；頼まれ仲人；神維仲人</t>
        </is>
      </c>
      <c r="H6289" t="n">
        <v>29</v>
      </c>
      <c r="I6289" t="inlineStr">
        <is>
          <t>だから私は自分が仲人をした若い夫婦に夫婦喧嘩を大いにすすめている。；仲人のあとは、新郎の勤めている会社の直属の部長が立って挨拶をした。；今では彼の店の客ではなく、両家の仲人としてのつき合いになっていた。；もちろん貴士はあらゆる手で、仲人の役を自分のものにしようとしました。；三十六の年に宿六に死なれ、ひとりのせがれを大きくしたのも仲人商売。；いずれ結婚ということにでもなれば、仲人になってもらうべき存在だった。；知り人は小学校の先生で、女の再縁する折には仲人役をつとめたものである。；麻太郎の仲人ぶりが心配でやって来たのだとわかって、東吾は苦笑した。；近く仲人に決まった水田三喜男氏と一緒に相手の家へ行くことになったという。；やがて準備が進められ、伯父の知りあいの人が仲人になり、式をあげる。；仲人は年に十件ぐらいだが、不幸の方は月に幾つも重なることがある。；坂部先生がこの日を選んでくれて、仲人の労を取ってくれる筈だった。；仲人の佐藤氏が頭の中にあったから、僕は先ず隣りの家の前に歩を止めた。；仲人とは言うもののおれはまだ結婚していないではないか。；そしてあの女を仲人に立てて先妻とのよりを戻そうとしているに決まっている。；仲人ももう一押し押せば十に一つは動く振りもおたかには充分あったところだ。；仲人はただ形式的な存在に過ぎなかったことを示している。；仲人参上の節は供一人、右へ御料理がましいことは御無用に願いたし。；大沢は僕と由里子が通っていた大学のゼミの先生で、二人の仲人でもある。；溝淵閣下は元来僕を推薦してくれた仲人だから事情をよく知っている。；自分は二人の仲人みたいな気持ちが、ふっとわびしく胸を走ることがある。；また仲人を立てる場合であっても形だけの仲人を設定するケースが大半である。；仲人は、去年の秋になくなり、いまさらだれも仲にはいってくれません。；あの仲人押しつけの一幕を見ても、彼の演出の腕のほどは推して知られる。；そのお膳立てをしてくれた上司の本多捜査一課長は、仲人もしてくれた。；俺は仲人だって、だれかに相方頼んで、仲人してやってもよかったんだよ。；父が受取つた金の高、仲人がそのうち幾許はねたかといふやうな事まで。；私は重役の仲人でいずれあなたと正式に結婚する予定であった女ですと挨拶をしてあげるわ。；結婚式の仲人を務めたのは長渕の師匠である吉田拓郎と浅田美代子夫妻。</t>
        </is>
      </c>
      <c r="J6289">
        <f>HYPERLINK("https://www.weblio.jp/content/仲人", "词义详情")</f>
        <v/>
      </c>
      <c r="K6289">
        <f>HYPERLINK("https://yourei.jp/仲人", "查看例句")</f>
        <v/>
      </c>
    </row>
    <row r="6290">
      <c r="A6290" t="inlineStr">
        <is>
          <t>和やか</t>
        </is>
      </c>
      <c r="B6290" t="inlineStr">
        <is>
          <t>成功</t>
        </is>
      </c>
      <c r="C6290" t="inlineStr">
        <is>
          <t>読み方：なごやか
［形動］［文］［ナリ］ものやわらかなさま。穏やかなさま。「—な家庭」「話し合いは—に進んだ」</t>
        </is>
      </c>
      <c r="D6290" t="inlineStr">
        <is>
          <t>和やかな雰囲気(9%)；和やかな空気(2%)；和やかなムード；和やかな微笑；和やかな表情</t>
        </is>
      </c>
      <c r="E6290" t="inlineStr">
        <is>
          <t>暖かい；温かい；暖か；温和；温か</t>
        </is>
      </c>
      <c r="F6290" t="inlineStr">
        <is>
          <t>和やかな会話</t>
        </is>
      </c>
      <c r="H6290" t="n">
        <v>29</v>
      </c>
      <c r="I6290" t="inlineStr">
        <is>
          <t>夕方には母が来て私と二人で夕飯を作り、それを三人で和やかに食べた。；急になごやかさを減少させた父親の顔を、娘は不思議そうに見あげた。；彼らを無視して幹部たちの表面は和やかだが緊張した話し合いが始まった。；つまり、それが常になごやかで・誠実で・愉快で・あるかどうかによる。；彼は幾倍も、もう一人のやさしみのあるなごやかな顔が好きであった。；キッチンでコーヒーを淹れ、少しは和やかな雰囲気になるかと安心した。；一気に場が和やかになったかと思うと、男たちが大声で話し始めた。；二週間前とは打って変わって、ホールは和やかな空気に包まれていた。；初めのほうはそれは和やかなムードで、感謝の言葉すらもらった気がする。；窓の外には和やかな秋の日がさしていて、郊外散歩には理想的な日和だった。；対峙と言うにはあまりにも和やかなものと傍目には見えていただろう。；しかし、この交渉が和やかな雰囲気で進められていることは間違いなかった。；しかし終始和やかな雰囲気で会談は進められていたのを確認している。；千草は、少女の無邪気な笑顔に和やかな笑顔で返し、その前に皿を置く。；ふたり旅とは言え、私とのあいだにはあまりなごやかな会話はつづかない。；買い物袋を抱えた子供と、和やかに笑う父親と母親が駐車場に入ってくる。；出戻ってからの両親との暮らしは、大人三人猫一匹の静かで和やかなものだった。；和やかに笑い合っていた春香や俺たちを少し遠巻きから見ていた一人の女子。；これで和やかに時が過ぎれば感動的なのだがやはりここは森写歩朗である。；今夜は、私はいつになく不安もなく、和やかな、おちついた気分でいる。；美和子に言われたせいかもしれないが、確かにその目は和やかになっていた。；このなごやかでむつまじい関係さえあれば、他のことはどうでもよかった。；そして二人は商人に礼を言って、夕食会が和やかに始まりました。；なごやかな気分で読んでいくうちに、まんまと乗せられてしまうのだ。；みなさんなごやかで、それこそ本物の地域間交流をやっていますでしょ?；ここで無理に会話などをしても、一見和やかな白けた雰囲気が広がるだけだ。；「もちろんでございますよ」 控えていた朝倉老人が、和やかに告げた。；そんな意識が日本人旅行者の心をなごやかにさせるのだろう。；和やかな眼だけが恐ろしい、何を見られてゐるかわからぬからだ。</t>
        </is>
      </c>
      <c r="J6290">
        <f>HYPERLINK("https://www.weblio.jp/content/和やか", "词义详情")</f>
        <v/>
      </c>
      <c r="K6290">
        <f>HYPERLINK("https://yourei.jp/和やか", "查看例句")</f>
        <v/>
      </c>
    </row>
    <row r="6291">
      <c r="A6291" t="inlineStr">
        <is>
          <t>名残</t>
        </is>
      </c>
      <c r="B6291" t="inlineStr">
        <is>
          <t>成功</t>
        </is>
      </c>
      <c r="C6291" t="inlineStr">
        <is>
          <t>読み方：なごり
《「余波(なごり)」から》
１ある事柄が過ぎ去ったあとに、なおその気配や影響が残っていること。また、その気配や影響。余波(よは)。「台風の—の高波」「古都の—をとどめる」
２人と別れるときに思い切れない気持ちが残ること。また、その気持ち。「尽きない—」
３物事の最後。終わり。「この世の—」
「一期(いちご)の—ぢゃと思うて清水へ参って」〈狂言記・武悪〉
４亡くなった人をしのぶよすがとなるもの。忘れ形見。子孫。
「かの維時(これとき)が—は、ひたすら民となりて」〈増鏡・新島守〉
５病後のからだに残る影響。
「いと重くわづらひ給へれど、ことなる—残らず」〈源・夕顔〉
６残り。残余。
「弥生中の六日なれば花はいまだ—あり」〈平家・三〉
７「名残の折」「名残の茶」などの略。</t>
        </is>
      </c>
      <c r="D6291" t="inlineStr">
        <is>
          <t>名残である(18%)；名残惜しげ；名残おしげ；名残峠</t>
        </is>
      </c>
      <c r="E6291" t="inlineStr">
        <is>
          <t>影；面影；片影</t>
        </is>
      </c>
      <c r="G6291" t="inlineStr">
        <is>
          <t>名残惜し；名残惜しい；名残惜しく；名残狂言</t>
        </is>
      </c>
      <c r="H6291" t="n">
        <v>29</v>
      </c>
      <c r="I6291" t="inlineStr">
        <is>
          <t>また、教室棟の西側1階外にそれらの名残と思われる構造が残っている。；これもかつて化学的分離や抽出が困難であった時代の名称の名残である。；近代測量が始められた明治初期に河川ごとに定められたものの名残である。；これは機械人形のパイロットたちが飛行機乗りから転身した名残である。；南大手門の「馬出し」からの道がかつての城内の路の名残を留めている。；これは東武鉄道が複数の路線からなる広大な路線網を持つ前の名残でもある。；現在でも先物取引の契約単位を「枚」と呼ぶなどその名残が残っている。；現在は駅のすぐ横を流れる草道川にその名残を留めているのみである。；人吉藩は薩摩藩とよく似た中世の名残を残した行政機構となっていた。；ホームから駅舎へはこの名残で線路のない構内踏切を通って至った。；現在でも、街道沿いにはその名残を感じさせる街並みが広がっている。；ルメートルは宇宙線こそが宇宙初期の爆発の名残であると考えていた。；これは以前駅舎とホームの間に側線や専用線が敷設されていた名残である。；旧市街は中世の市壁の大部分と、ローマ時代の市壁の名残を保存している。；原子核と電子の構造を表す絵が描かれているのはその名残である。；これらは戦前に日本人が命名使用していた名残として、現在も使われている。；を冠する場合があったため、この形で名残を残している店舗が一部存在する。；これはフェンシングの練習に制限のある防具を使用していた頃の名残である。；また、完全な終着駅だった名残で平安通側には片渡り線も残されている。；軍馬の育成を目的に設計されており、極端な高低差はその名残である。；日94系統はかつて運行されていた日吉駅 - 川崎駅間の名残である。；御幣島・姫島などの地名は、この地が島だったことの名残だとされる。；第一次世界大戦まで統治していたドイツの名称の名残である。；大物駅 - 千鳥橋駅間がほぼ直線で建設されたのは、その名残である。；この設定は、当時の放映されたCMにその名残と思しき演出がされている。；これはかつての製図ペンのナンバリング表記を意識した名残とされる。；再び姿を現した主題は名残を惜しむかのように、拡大されて歌われていく。；後に形成された北アメリカのアパラチア山脈にもいくつかの名残が見られる。；公園中央部の白鳥池はかつて鹿沼と呼ばれていた湿地帯の名残である。</t>
        </is>
      </c>
      <c r="J6291">
        <f>HYPERLINK("https://www.weblio.jp/content/名残", "词义详情")</f>
        <v/>
      </c>
      <c r="K6291">
        <f>HYPERLINK("https://yourei.jp/名残", "查看例句")</f>
        <v/>
      </c>
    </row>
    <row r="6292">
      <c r="A6292" t="inlineStr">
        <is>
          <t>名残惜しい</t>
        </is>
      </c>
      <c r="B6292" t="inlineStr">
        <is>
          <t>成功</t>
        </is>
      </c>
      <c r="C6292" t="inlineStr">
        <is>
          <t>読み方：なごりおしい
［形］［文］なごりを・し［シク］別れがつらく、心残りのするさま。「親友との別れはことさら—・い」</t>
        </is>
      </c>
      <c r="D6292" t="inlineStr">
        <is>
          <t>名残惜しいよう(13%)；名残惜しい気(5%)；名残惜しいです(4%)</t>
        </is>
      </c>
      <c r="H6292" t="n">
        <v>29</v>
      </c>
      <c r="I6292" t="inlineStr">
        <is>
          <t>小さな人影は何度も俺にお辞儀をしながら、名残惜しそうに去っていく。；と名残惜しそうに、しかしほとんど同時に二人は再び歩き出し、そして。；日程を終える頃には、激しく名残惜しさを感じるようにさえなっていた。；それを名残惜しいと思っているうちに、彼女は音もなく俺のすぐそばに座った。；それだのに自分はそれをさえさほどに名残惜しいとも思わない。；これまで一緒に暮らしてきた偉大な医師たちに別れを告げるのは名残惜しい。；丑松は机と机との間を歩いて、名残惜しそうに一同の監督をした。；星はさも名残惜しそうにして、西の空に没してゆくのでありました。；コーヒーが終わって、秋穂は名残惜しい気持ちになりながらその部屋を出た。；すると彼は名残惜しそうに帰ってゆくのでありました。；祥子さまは一度名残惜しそうに振り返ったが、祐巳は振り返らなかった。；その後シャワーを名残惜しそうに浴びて、名残惜しそうに朝食を取った。；そうやってしばらく歩いていると、黒猫が名残惜しそうに切り出した。；薄い木の棒を名残惜しそうに見つめながら、クーは不意に尋ねた。；丑松は机と机との間を歩いて、名残惜しさうに一同の監督をした。；ほとんどの客が名残惜しがるので、追い出すのに時間がかかるのはいつものことだ。；色の褪めた海老茶袴を眺めてすら、直に名残惜しさが湧上ったのである。；名残惜しい気がしたが、青木はいわれるままに部屋を暗くした。；膝の上に居た素雪は、名残惜しそうな声を上げたが、彼女は気にかける様子も無かった。；そして、そのわけをいってから、彼は名残惜しそうについにこの村を離れたのであります。；慶三はお千代の行方が知れなくなったかと思うと急に名残惜しいような気がし出した。；喜八が戻って来たので名残惜しいようなおせいを急かして表庭に戻ろうとした時だった。；眩しいもの、手の届かなくなったものを名残惜しむように、目を細めて。；さてさてお名残惜しいですが、これにて全てのプログラムを終了させていただきます〜。；お名残惜しいのですが、今日のところはこれで失礼しなければ。；涙目で微笑んだメリエルを名残惜しそうに見て、車両内部へと消えた。；引上げてゲッチンゲンへ移るときはさすがに名残惜しい気がするのであった。；もし自分が関係を断つような事があっても女の方では別に名残惜しいとも何とも思わないように見える事である。；神殿の前で、ラックシードは一度だけ名残惜しそうに森の方を振り向いた。</t>
        </is>
      </c>
      <c r="J6292">
        <f>HYPERLINK("https://www.weblio.jp/content/名残惜しい", "词义详情")</f>
        <v/>
      </c>
      <c r="K6292">
        <f>HYPERLINK("https://yourei.jp/名残惜しい", "查看例句")</f>
        <v/>
      </c>
    </row>
    <row r="6293">
      <c r="A6293" t="inlineStr">
        <is>
          <t>情け</t>
        </is>
      </c>
      <c r="B6293" t="inlineStr">
        <is>
          <t>成功</t>
        </is>
      </c>
      <c r="C6293" t="inlineStr">
        <is>
          <t>読み方：なさけ
１人間味のある心。他人をいたわる心。人情。情愛。思いやり。「武士の—」「浮き世の—」→御情(おなさ)け
２男女の情愛。恋情。また、情事。いろごと。「深—」「薄—」
３風情。おもむき。あじわい。
「落花啼鳥の—も心に浮かばぬ」〈漱石・草枕〉
４もののあわれを知る心。風雅を解する心。風流心。
「—ある人にて、かめに花をさせり」〈伊勢・一〇一〉</t>
        </is>
      </c>
      <c r="D6293" t="inlineStr">
        <is>
          <t>情け容赦なく(8%)；情け容赦もなく(5%)；情け知らず(3%)；情け無い；情け容赦なく</t>
        </is>
      </c>
      <c r="E6293" t="inlineStr">
        <is>
          <t>同情；情；容赦；慈悲；人情</t>
        </is>
      </c>
      <c r="F6293" t="inlineStr">
        <is>
          <t>お情け；せめてもの情け；情け無く</t>
        </is>
      </c>
      <c r="G6293" t="inlineStr">
        <is>
          <t>情けなく；情けな；情け深い；情けねえ；情け深く</t>
        </is>
      </c>
      <c r="H6293" t="n">
        <v>29</v>
      </c>
      <c r="I6293" t="inlineStr">
        <is>
          <t>お前は死を望むようになるが、死すらもお前に情けをかけることはない。；住居の方もある牛乳屋の二階にお情けで置いてもらっている状態であった。；実際、そのときほど、私はひとの情けに飢えていたことはなかったのだ。；避妊手術をしても、情けをかけているうちに猫はこうして増殖していく。；まことにその通りだと僕は自分の無力を情け無く思いながら同意した。；そうなる前に、私が殺してあげるのが、情けというものじゃないかしら?；自分自身の銀色の指が、情け容赦なく、自分の喉の方に動いていたのだ。；川上 おれなんかヘタだから、お情けで入れてもらったと思ってるんだ。；一度も会ったことのないような人間までも情け容赦もなく迫害するんです。；心の中でそう言って、「武士の情け」で、見て見ぬフリをしたのだった。；奴め、わしがやられたと判断して去ったが、つまらぬ情けを敵にかける奴。；何の布を使用したのかは、追及しないでおくのが武士の情けだろう。；とりわけ、死にかけていたのに情けをかけられたことが納得いかなかった。；情けにあらずしてそれを手当てする侍たちには、無論荒々しく扱われた。；その他一物たりとも何か世間の人の情けの籠った物でない物はない。；情け容赦もなく、まったく残忍な殺し方をしたということも知っている。；この商売で情けをかける対象を持つのは致命的な欠点につながるんだがね。；それが今日はその〈仲間〉に殺されかけ、〈人間〉の情けを受けるとは。；どこかで大きな手が情けもなく容赦もなく冷然と自分の運命を操っている。；そしてそのあとは、男を情け容赦もなく、崖のうえから突き落とすのだ。；情けを乞われたというだけの理由でそれを汚わしそうに拒む良だった。；旦那の御慈悲にいゝお報いがありますよう、お情けは一生忘れませんよ。；なにも弱気になっているわけでも、情けを感じているわけでもない。；大勢の人の情けに支えられて、きょうまで生きてくることができたのだと思う。；いや、人の情けでなかったにしろ、新三郎の気持には変わりないのだ。；だがこの情けを知らぬ組織の構成がどうなっているのかは、知る手だてがない。；なまじ情けをかけたためにこちらがやられてしまうこともすくなくないのだ。；どうしてあなたは自分にも少しは情けをかけてやらないの?；おまえにとっては不快でも、そんな事はないと言ってやるのが情けだろう。</t>
        </is>
      </c>
      <c r="J6293">
        <f>HYPERLINK("https://www.weblio.jp/content/情け", "词义详情")</f>
        <v/>
      </c>
      <c r="K6293">
        <f>HYPERLINK("https://yourei.jp/情け", "查看例句")</f>
        <v/>
      </c>
    </row>
    <row r="6294">
      <c r="A6294" t="inlineStr">
        <is>
          <t>情けない</t>
        </is>
      </c>
      <c r="B6294" t="inlineStr">
        <is>
          <t>成功</t>
        </is>
      </c>
      <c r="C6294" t="inlineStr">
        <is>
          <t>読み方：なさけない
［形］［文］なさけな・し［ク］
１思いやりがない。無情である。すげない。
「随分—・い、苛酷な事もためらわずにする」〈鴎外・山椒大夫〉
２同情の余地がない。嘆かわしい。「—・い成績に終わる」「優柔不断な自分が—・い」
３みじめである。見るにしのびない。「ずぶぬれの—・い姿」「—・い声で訴える」
４無風流である。風情がない。
「白き単衣(ひとへ)の—・くあざやぎたる」〈源・手習〉</t>
        </is>
      </c>
      <c r="D6294" t="inlineStr">
        <is>
          <t>情けないこと(10%)；情けない声(5%)；情けない顔(4%)；情けない話(3%)；情けない姿</t>
        </is>
      </c>
      <c r="E6294" t="inlineStr">
        <is>
          <t>哀れ；惨め；みすぼらしい；憐れ；けち</t>
        </is>
      </c>
      <c r="F6294" t="inlineStr">
        <is>
          <t>そんな情けない；我ながら情けない；なんとも情けない；なんて情けない；情けない音</t>
        </is>
      </c>
      <c r="H6294" t="n">
        <v>29</v>
      </c>
      <c r="I6294" t="inlineStr">
        <is>
          <t>父親に言われるまでもなく、情けないのは自分が誰よりよく知っている。；自分を情けない状態に置くためには、そのことを思うだけで充分だった。；わずか一年ばかりのうちに、こうも変ってしまうのかと情けなくなった。；今腰に下げているのがそれらしく、庄蔵は情けなさそうな顔をしている。；どうしてこういうことがわかんないのだろうかと自分が情けなくなった。；そんな男に惚れていた時期があったのだと思うと、自分が情けなかった。；現代の陶器が情けない状態の下に作られているというのはこのことです。；たとえどんなに情けないことをしようとも、奇跡的なことをしようとも。；恋の終わりとはそういうものだと分かっていても自分で自分が情けなくなる。；そのことに気づいて、ミディアムは情けなさそうに自分の手を見つめた。；そんなことすら自分が忘れていたのかと思うと情けなくなってきた。；ここまで自分の姿が情けなく、女子たちに見えていたとは気づかなかった。；こんな情けない運命だと知ったら、いっそ生まれて来ない方がよかった!；元はといえば海軍が情けないから、こんなことになっとるんだろうが!!!；彼には悪いが、私はどうしていつもこうなのだろうと情けなくなった。；これだから近頃の男ときたらカワウソよりも情けないと言われるのです。；むしろ本家からの電話とすぐ気づかなかった自分を貢は情けなく思った。；我ながらあまりにも情けないではないかと天を仰いで泣いたかもしれない。；これはただの自己満足なのかもしれない、と少し情けなく思いながらも。；自分でも情けないとは思うが、ただ泣いてやることしかできなかった。；情けないことに、こんな形でしか私は現実を拒否することができない。；先生といったら、本当に情けない格好で子供のように泣いているのだ。；その声は、まったくわれながら情けない響きを闇の中へ伝えていった。；観終わった後には手に汗を握った自分が情けなくなる、そんな映画であった。；そんな情けない暮らしに今まで耐えていたのは子供がいたからだ。；私もどうしてこんな人が自分の親なんだろうかと、情けなくなることもある。；これが幼馴染みにされる仕打ちかと思うと、情けなくて涙がでそうです!；だが目と鼻と唇が目一杯腫れているので、とっても情けなかったりする。；それとも、僕のあまりの情けなさに、三人とも呆れ返ってしまったのか?</t>
        </is>
      </c>
      <c r="J6294">
        <f>HYPERLINK("https://www.weblio.jp/content/情けない", "词义详情")</f>
        <v/>
      </c>
      <c r="K6294">
        <f>HYPERLINK("https://yourei.jp/情けない", "查看例句")</f>
        <v/>
      </c>
    </row>
    <row r="6295">
      <c r="A6295" t="inlineStr">
        <is>
          <t>情け深い</t>
        </is>
      </c>
      <c r="B6295" t="inlineStr">
        <is>
          <t>成功</t>
        </is>
      </c>
      <c r="C6295" t="inlineStr">
        <is>
          <t>読み方：なさけぶかい
［形］［文］なさけぶか・し［ク］
１思いやりの心が強い。「—・い人」
２情趣を理解する心が深い。
「日ごろの御ありさまけはひのなつかしく—・う」〈源・総角〉</t>
        </is>
      </c>
      <c r="D6295" t="inlineStr">
        <is>
          <t>情け深い人(10%)；情け深いお方(2%)；情け深い性格(2%)</t>
        </is>
      </c>
      <c r="E6295" t="inlineStr">
        <is>
          <t>良い；優しい；暖かい；温かい；寛大</t>
        </is>
      </c>
      <c r="H6295" t="n">
        <v>29</v>
      </c>
      <c r="I6295" t="inlineStr">
        <is>
          <t>しかし私の心は今は情け深い地上の神への感謝で一杯なのだ。；最後に情け深い大臣ドン・フェルナンドが現れ、全ての問題を解決する。；たしかに、このふたりの行いはなんの私心もない情け深いものだった。；ただ造り酒屋の主人は情け深い人だったから、その後も随分世話になった。；ある情け深い人がいて、私を逃がそうという気になってくれました。；私は、ショー・ビジネスの人たちは情け深い人たちと聞いています。；彼らを殺すのは情け深いことだし、防衛行為なんだわ。；おお、情け深き天なる神よ、私たちを憐れみ、私たちを助けてください!；王子太陽がバタの皿に口附けするのを見た事があるか、おお、情け深い太陽!；その次のときは、綱は情け深くて彼を支えていた。；ほんとうにこの老人は世界じゅうでいちばんいい人でいちばん情け深い人だと思われた。；彼女は中年になって、ますます人の善い情け深い女になったろう。；しかしそれをもって、私が見知らぬ誰かを助ける情け深い人間になったと言えるだろうか。；頑固で意志が強く情け深い性格であったが、一方で粗野で率直過ぎる面もあった。；思いやりがあって情け深い性格で、多くの人を抜擢したという。；それは神の知恵によって世界の始まりから定められた情け深く賢明な社会的状態である。；そしていつも情け深く彼女を覚えていた。；むやみに情け深くなって、家畜にまで哀れみをかけるようになった。；誰もが弟を情け深い人格者として慕い、弟の存在は彼を含め、弟に関わる全ての人々を幸福にした。；ただしこのことはヨセフが神を深く信じ、情け深かったからであり、義人でなかったことを意味するものではない。；彼らはまた、屠殺された動物は輪廻転生で高貴な再生を得られるであろうから、そのような殺害は実際には情け深い行為であると提唱する。；ナンセンは、西ヨーロッパには情け深い援助を行う人々がいることをロシアの民衆が知れば、共産党だけが力を持つような事態にはならないであろうと言った。；進んだ文化は情け深いに違いないという意見もよくいわれるが、そのチャンスに賭けることはむろんできないのだ。；話をつづけるにあたって、彼は声までが情け深くなってきた。；こうした家屋は頻繁に夢を見るにちがいないので、とりこわすのが情け深いことだという思いにさせられることもある。；この馬車を船を遣わした郷長は、どれほど情け深い人柄だろうか、と。；アゼトブルは父親に似て道理をわきまえているし、情け深く、知性もある。；彼の言語はどの世代にも明瞭に、直接的に、情け深く語られる。；親に捨てられた当座は子供たちも嘆き悲しむかもしれないが、情け深い人に拾われてすぐに親のことなんか忘れてしまうだろう。</t>
        </is>
      </c>
      <c r="J6295">
        <f>HYPERLINK("https://www.weblio.jp/content/情け深い", "词义详情")</f>
        <v/>
      </c>
      <c r="K6295">
        <f>HYPERLINK("https://yourei.jp/情け深い", "查看例句")</f>
        <v/>
      </c>
    </row>
    <row r="6296">
      <c r="A6296" t="inlineStr">
        <is>
          <t>なさる</t>
        </is>
      </c>
      <c r="B6296" t="inlineStr">
        <is>
          <t>成功</t>
        </is>
      </c>
      <c r="C6296" t="inlineStr">
        <is>
          <t>読み方：なさる
［動ラ五（四）］
１「する」「なす」の尊敬語。あそばす。「研究を—・る」
２（補助動詞）他の動詞の連用形や動作性の漢語名詞に付いて敬意を添える。「お…なさる」「御(ご)…なさる」の形でも用いる。…あそばす。「連絡—・ったほうが、いいでしょう」「お見舞い—・る」「御旅行—・る」
[補説] 丁寧の助動詞「ます」が付くときは、「なさります」よりも「なさいます」の形をとるのが普通。また、命令形には二つの形があるが、「なさい」が普通で、「なされ」は古風な言い方。
［動ラ下二］「なされる」の文語形。</t>
        </is>
      </c>
      <c r="D6296" t="inlineStr">
        <is>
          <t>なさるんです(3%)；なさるでしょ(2%)；なさるだろ；なさるなら；なさるまい</t>
        </is>
      </c>
      <c r="E6296" t="inlineStr">
        <is>
          <t>される；あそばす；遊ばす</t>
        </is>
      </c>
      <c r="F6296" t="inlineStr">
        <is>
          <t>どうなさる；心配なさる；結婚なさる；行きなさる；びっくりなさる</t>
        </is>
      </c>
      <c r="H6296" t="n">
        <v>29</v>
      </c>
      <c r="I6296" t="inlineStr">
        <is>
          <t>常に信頼と愛で聖母に助けを求めなければならないと彼らに話しなさい。；自殺ではないか、それを知りたくておいでなさったのではないですかね。；洗吉さんはまだこれから一人起きてゐて試験の調べをなさるのであつた。；昨日のお手紙だって私が訊かなければ黙っていなさるじゃありませんか?；「もっとお打ちなさい」といってやりたかったけれども声は出なかった。；僕はもう先生のなさっている仕事なぞに、何の興味も覚えていないんだ!；彼が岩を登ることが出来ないと言うと、女は私に背負われなさいと言う。；私のつもりではそんな大きい声を出しなさるなというつもりであった。；たまにはあなたが優勝して、誰かに優勝旗を持たせるようにしなさいよ!；わたしとおなじ経験をなさったら、あなただってそうなることでしょう。；危険だから近寄らんようになさい、何をするか分らんから、あんな奴は。；亡者の案内をなさる ヘルメス様が先に立っておいでなさりはしないの。；訊問をなさっている最中も、この事実をどうかお忘れにならないように。；お兼 まあ、あなたのような一概な考え方をなさる人もないものですわ。；「父はこのような顔をしていなさったのであろうか」 そう呟くために。；その教師は誰かということではなく、私が教えていることを理解しなさい。；わたしのことなど気にもしないという顔つきをなぜなさったのでしょう?；あんたがこの写真をみせて、その女がこの中にいるかどうか聞きなさった。；なぜあなたはほんとうに優れた男を私の前に連れて来たりなさったのです?；あなたが私に、弱いと知っていらっしゃる私に助けをお求めなさるなら。；この春には絵を描きなさるそうですがぜひ私にも見せてほしいと思います。；またひどい目に会うのは嫌ですから、誰かほかのものにお頼みなさい。；古藤さんも一度お尋ねしなければいけないんだがといっていなさいました。；あなたも世の中に文句があり戦う学者 ならば、選挙に出て戦いなさいよ!!；あなたは今すべての希望を失った男を目のあたりになさっているのですよ。；大事なお仕事をなさっておいでですからあなた様も大変だろうと思います。；あなたが見たイメージを見本にして、絵を描き、次の言葉を添えなさい。；あなたたち皆がキリストの苦しみを考慮できるようにしなさい。；でも国王がなさるべきことは何事も無かったように続けることです。</t>
        </is>
      </c>
      <c r="J6296">
        <f>HYPERLINK("https://www.weblio.jp/content/なさる", "词义详情")</f>
        <v/>
      </c>
      <c r="K6296">
        <f>HYPERLINK("https://yourei.jp/なさる", "查看例句")</f>
        <v/>
      </c>
    </row>
    <row r="6297">
      <c r="A6297" t="inlineStr">
        <is>
          <t>無し</t>
        </is>
      </c>
      <c r="B6297" t="inlineStr">
        <is>
          <t>成功</t>
        </is>
      </c>
      <c r="C6297" t="inlineStr">
        <is>
          <t>読み方：なし
１無いこと。無(む)。「抜け駆けは—にしよう」
２名詞などに付いて複合語をつくり、…のないこと、…ない人、の意を表す。「芸—」「人で—」「待った—」</t>
        </is>
      </c>
      <c r="D6297" t="inlineStr">
        <is>
          <t>無し羽織；無し帽；無し蟹；無しバージョン；無し整数</t>
        </is>
      </c>
      <c r="E6297" t="inlineStr">
        <is>
          <t>無；ゼロ；零；皆無；絶無</t>
        </is>
      </c>
      <c r="F6297" t="inlineStr">
        <is>
          <t>袖無し；負け無し；有る無し；縁無し；敵無し</t>
        </is>
      </c>
      <c r="H6297" t="n">
        <v>29</v>
      </c>
      <c r="I6297" t="inlineStr">
        <is>
          <t>それ以前には孫庇まである対・脇殿は内裏以外には無かったことになる。；この無料航空券は、特に区間の指定が無く全路線に有効なものであった。；元々大阪プール側のホームには窓は無く、反対側のホームと同じだった。；これがきっかけでシーズンを棒に振り、同年のスタメン出場は無かった。；構成といい、絵といい、とても質の高いもので、こんなの見たこと無い。；この長い兵役さえ無ければ、もっと早くに十両へ昇進していた筈である。；君と一所に居る時ほど、人生が僕にとつて明るく見えることは無かつた。；競馬も行われているが、他のギャンブルの陰に隠れてあまり人気が無い。；しかし、原料のひとつである酵母をどの様に表示するのかの規定は無い。；晩に船積から帰つて来て肉を食ふのでも無ければ、酒を飲むのでも無い。；この頃に奴隷が導入されたが、奴隷所有を合法化する法の記録は無かった。；凍結に際して第三社が審査するシステムが無いことも問題視されている。；子役をしていた小学生時代は友達と遊ぶ機会もほとんど無かったという。；その時その刹那ばかり恐ろしい気持のしたことは後にも前にも無かつた。；以下はこの節では特に断りが無い限り、地方自治法は条数のみ記載する。；暫くの間は手のつけやうもなく、平次も眺めて居る外は無かつたのです。；舞台で稽古をする暇が無かつたので自分の宅でほんの型丈の稽古をした。；ただし、肝心の英国側にはそのような作戦を行った証拠となる記録は無い。；それも、その時はなんかもう私には済まなそうな感じはまるで無くって。；職も探せば無かったわけではないので、何とかなるだろうと思ったという。；彼は実際稽古場へは出ても、今度は他人と白を合はせる必要も無かつた。；プレイの順番は無く、誰でも思いついた順にカードを出すことができる。；人間界と花魔法界での時間の流れの違いなどについての言及は特に無い。；しかし無ければ無いで困る区間でもあり、路線の維持は行われてきた。；ゲルはモンゴルの建築文化を語る上で無くてはならないものとなっている。；二つの存在が無ければ、今ある場所から相互に排除し合うことはできない。；意識的な精神は、それを生じる脳過程が無ければ存在することが出来ない。；こちらは特に会員制度を取っている訳でも無く、通常の酒屋と変わらない。；だますつもりは無かったが、契約を得るための唯一の手段だったと語った。</t>
        </is>
      </c>
      <c r="J6297">
        <f>HYPERLINK("https://www.weblio.jp/content/無し", "词义详情")</f>
        <v/>
      </c>
      <c r="K6297">
        <f>HYPERLINK("https://yourei.jp/無し", "查看例句")</f>
        <v/>
      </c>
    </row>
    <row r="6298">
      <c r="A6298" t="inlineStr">
        <is>
          <t>成し遂げる</t>
        </is>
      </c>
      <c r="B6298" t="inlineStr">
        <is>
          <t>成功</t>
        </is>
      </c>
      <c r="C6298" t="inlineStr">
        <is>
          <t>読み方：なしとげる
［動ガ下一］［文］なしと・ぐ［ガ下二］物事を最後までやりとげる。また、みごとにやってのける。「研究を—・げる」「新記録樹立の快挙を—・げる」</t>
        </is>
      </c>
      <c r="D6298" t="inlineStr">
        <is>
          <t>する；行う；やる；完成；実行</t>
        </is>
      </c>
      <c r="H6298" t="n">
        <v>29</v>
      </c>
      <c r="I6298" t="inlineStr">
        <is>
          <t>そして、不幸にしてこいつにそれを成し遂げるだけの力がないとしたら。；ただそれだけのことを成し遂げるのに、どれくらいの時間が必要なのか。；地元バンドがこれまでに成し遂げたことの無い記録を初めて打ち立てた。；学ぶもの自らの負担においてこれを成し遂げるよりほかに道はないのです。；兼用法は似た結果を成し遂げるために慣用句を伴って使うこともできる。；父が成し遂げられなかった経蔵の建立や、大谷本廟の再建を行っている。；アマチュアの中には非常に多数の発見を成し遂げているものもいる。；彼らが築いたものは、いつか私たちが成し遂げるものじゃないのかってね。；私は成功を喜び、そのようなことを成し遂げることができた自分自身に喜んだ。；その一方で、労働者保護のための社会保障政策の拡充も成し遂げられる。；それは自分の一人の力で成し遂げたことではないことを自戒するためだったという。；野心家であったといわれるが、多くは成し遂げられることはなかった。；科学の上ですぐれた仕事を成し遂げることは容易ではありません。；彼女は自分に与えられた仕事を成し遂げるべく部屋を出た。；日本の近代化が驚異的な速度で成し遂げられたことはほぼ定着した見解である。；以来、当キャンペーンは大きな成功を成し遂げた活動を数々立ち上げてきた。；シャーマン軍が追いつく前にこれら全てを成し遂げることを期待した。；彼女がこの偉業を成し遂げるには想像もつかない葛藤と涙があったに違いない。；この奇跡を成し遂げた英雄の正体は現在でも謎に包まれている。；しかも、それを成し遂げるだけの道具を、彼らははじめて持っていたのである。；化学の分野において重要な発見あるいは改良を成し遂げた人物に授与される。；そのたびに様々な迷いに邪魔され、成し遂げることができなかった。；私は女性が様々なことを成し遂げる環境で育ってきた。；だが、おれの右足は完全な回転を成し遂げるまえにベクトルを変えた。；事はあなたの案じなさるよりも、ずっと成し遂げるにかたくありませぬ。；にもかかわらず、チームはオランダやドイツを倒して奇跡の優勝を成し遂げる。；サムライの娘はこれら一連の事を見事に成し遂げるものである。；遂行機能は目的を持った一連の行動を自立して有効に成し遂げるための機能である。；部隊は輸送船団の護衛に従事し、大西洋の戦いで大きな貢献を成し遂げた。</t>
        </is>
      </c>
      <c r="J6298">
        <f>HYPERLINK("https://www.weblio.jp/content/成し遂げる", "词义详情")</f>
        <v/>
      </c>
      <c r="K6298">
        <f>HYPERLINK("https://yourei.jp/成し遂げる", "查看例句")</f>
        <v/>
      </c>
    </row>
    <row r="6299">
      <c r="A6299" t="inlineStr">
        <is>
          <t>馴染む</t>
        </is>
      </c>
      <c r="B6299" t="inlineStr">
        <is>
          <t>成功</t>
        </is>
      </c>
      <c r="C6299" t="inlineStr">
        <is>
          <t>読み方：なじむ
［動マ五（四）］
１人になれて親しくなる。また、物事や場所になれて親しみをもつ。「都会の生活に—・む」「土地の言葉に—・む」
２味わいや調子などが一つに溶けあう。ほどよく調和する。「家風に—・む」「足に—・んだ靴」
３同じ遊女のもとに通いなれる。なじみになる。
「はや四年も殿とは—・みまゐらせ」〈浮・一代女・三〉
[可能]なじめる</t>
        </is>
      </c>
      <c r="D6299" t="inlineStr">
        <is>
          <t>普及する；好まれる；広まる；親しむ；適応する</t>
        </is>
      </c>
      <c r="H6299" t="n">
        <v>29</v>
      </c>
      <c r="I6299" t="inlineStr">
        <is>
          <t>やはり、人間は幼い頃から馴染んだものに帰っていくものなのだろうか。；街あるきは地方から出て来た青年が東京に馴染んでいく方法でもあった。；初めて手にした武器でありながら、それは違和感なく俺の手に馴染んだ。；だがそれは、すでに死相のような彼の面におよそ馴染まない笑みだった。；腕に馴染んでいたあの重ささえ実現してくれたら、後はどうでもいい。；そこに載せられていたのはアヌア侯爵がもっともよく馴染んでいるもの。；類似の種の幾つかも同様に普通種であり、広く馴染まれたものである。；まるで生まれたときから持っていたかのように手に馴染んだナイフ。；西納の家の中の仕事は、どれもこれもが香苗の身に馴染んだものばかり。；彼らは馴染むと平気となるが、彼らを怖れると重大なものとなって来る。；霧矢さんの言葉では、前もって服に馴染んでおく必要があるのだそうだ。；彼女のそんな様子の内に治夫はまた、彼にとって馴染まぬ何かを感じた。；多くの彼らと常に馴染んでいるとあまり邪魔にはならないものとなってしまう。；だがそれは借りた衣装を着ているようで、まだ身に馴染んではいなかった。；最初のショックが過ぎてからは、船内の暮らしにもうまく馴染んできた。；中学のときはそのせいでクラスに馴染むのに少し時間がかかったりもしたのだが。；しかし、私は幼い時から馴染んで来た田舎の海を思い出して気持がよかった。；チェスの不死の体は、頭部が破壊される事に随分と馴染んでいたようだ。；宮司の古くから馴染んでいるものたちばかりが、寂しそうに仕えている。；これは馴染まないものではないかもしれないが、同じ土俵には立ち得ない。；また、かき氷を堪能するなど地球の文化に馴染んでいる場面も見られる。；真百美は小さいころからごく自然に、松宮家の生活に馴染んでいった。；ロックを返して欲しい一家だが、ロックはすでに里親の家に馴染んでいた。；新しい物よりも手に馴染んだ物に惹かれるタイプなのかもしれない。；しばらくしてそれが彼女の環境に馴染んだ頃、ようやく袖を通すのよ。；逆に右翼の方からの目が続いて、客がとりやすいのを、目が馴染むという。；寝ていた寝台の下に籠があり、記憶に馴染んだ赤い布が丸めて入っている。；学者の息子で、酒がのめず、あまり女にも馴染まぬタイプの男であった。；それに、燿のそばにいると、いつよりも周囲の事柄が自然と耳に馴染む。</t>
        </is>
      </c>
      <c r="J6299">
        <f>HYPERLINK("https://www.weblio.jp/content/馴染む", "词义详情")</f>
        <v/>
      </c>
      <c r="K6299">
        <f>HYPERLINK("https://yourei.jp/馴染む", "查看例句")</f>
        <v/>
      </c>
    </row>
    <row r="6300">
      <c r="A6300" t="inlineStr">
        <is>
          <t>詰る</t>
        </is>
      </c>
      <c r="B6300" t="inlineStr">
        <is>
          <t>成功</t>
        </is>
      </c>
      <c r="C6300" t="inlineStr">
        <is>
          <t>読み方：つまる
［動ラ五（四）］
１すきまもなく入って、いっぱいになる。「立錐(りっすい)の余地もなく—・った聴衆」「予定がびっしり—・っている」
２途中がふさがって通路・管などが通じなくなる。「排水管が—・る」「鼻が—・る」
３
㋐長さ・幅や間隔などが短くなる。ちぢまる。「洗濯したら、丈(たけ)が—・った」「日が—・る」「差が—・る」
㋑変化して語形が短くなる。つづまる。「『わがいも（吾妹）』が—・って『わぎも』になる」
４うまい対応のしようがなくて苦しむ。窮する。行きづまる。また、気分的に窮屈である。「生活に—・る」「返答に—・る」「気の—・る思い」
５最後のところまでいく。行きつく。→詰まるところ
６促音で発音される。「—・る音(おん)」
７野球で、ピッチャーの投げた球がバットの芯からはずれた、手もとに近い所に当たる。「シュートで—・らせる」「—・った当たり」
[下接句]息が詰まる・気が詰まる・鐺(こじり)が詰まる・寸が詰まる・世間が詰まる・理に詰まる</t>
        </is>
      </c>
      <c r="D6300" t="inlineStr">
        <is>
          <t>詰るかも知れ</t>
        </is>
      </c>
      <c r="E6300" t="inlineStr">
        <is>
          <t>批判；非難；批評；批判する；非難する</t>
        </is>
      </c>
      <c r="H6300" t="n">
        <v>29</v>
      </c>
      <c r="I6300" t="inlineStr">
        <is>
          <t>会社のトイレに流さなかったのは詰ったりしたときのことを考えたのだ。；われ等の虔譲なる生命までも彼が拒否しようとすることを詰るのである。；松風 この詰らぬ身には、そのような事には興味も関心もございません。；詰り、地獄中探してもあれだけの悪魔は手に入らなかつたといふ訳だな?；その後そこの景色を思い出して詰らぬ歌を詠んで記念にしておきました。；多分金に詰っていたか、古い借金を払おうとしていたのかもしれません。；どんな詰らない事でも全気全念で秀吉は之を取り行ったに違いない。；私が咽喉に言葉を詰らせていると、彼は揶揄するような調子でつづけた。；アルは右の冠動脈が一本完全に詰っているので、心臓の薬を飲んでいる。；小さな交番のなかに人がいっぱい詰って死んでいるのがあったという。；今はもう同じ文を眼の前にして、そんな詰らぬ事しか考えられないのである。；いいトリックや面白いプロットが頭のなかにいっぱい詰っているんです。；詰らなければそれは自分の責任で、提灯を持った批評家のせいではない。；病気で寝たきりになっている夫は、チルーが戻るなりきつい言葉で詰る。；長いことわしみたいな老人が詰らん話をして先生にも難儀だったでしょうな。；しかし私にとっては決して詰らぬものでも、下らぬことでもないのです。；その目がロバートの卑怯な振舞いを知っていると詰っているようである。；宿と宿とが、二階の縁から縁へ跨ぎ越えられるほどに建て詰んでいる。；自分が雨を気にするのを見て、彼女はかえって不思議そうに詰った。；ただ御飯を食べるだけでも詰らないからと私共は或る相談をしたのだ。；プラトンの哲学は詩的であるなどと言ってみたところで詰らない事だろう。；その気持で二科を見に行って、いい加減なのでいかにも詰りませんでした。；彼女は静かに、詰るでもなく激昂するでもなくおれを見つめつづけている。；わたしがここに来たのは何もひかりさんを詰るためじゃないんです。；顔が赭くなっているのは、返答に詰って、血が逆流してきたからである。；声を高くして夫を詰るような態度を自分がとったことを、洋子は後悔した。；母の私が子供のために何事も為しえずに、と思って私は胸が詰った。；あの青脹れた鈍感な顔を見ているだけでも、この頃は息が詰りそうなのよ。；私はどうして、もう少し早くそれを言ってくれなかったのかと彼を詰りました。</t>
        </is>
      </c>
      <c r="J6300">
        <f>HYPERLINK("https://www.weblio.jp/content/詰る", "词义详情")</f>
        <v/>
      </c>
      <c r="K6300">
        <f>HYPERLINK("https://yourei.jp/詰る", "查看例句")</f>
        <v/>
      </c>
    </row>
    <row r="6301">
      <c r="A6301" t="inlineStr">
        <is>
          <t>成す</t>
        </is>
      </c>
      <c r="B6301" t="inlineStr">
        <is>
          <t>成功</t>
        </is>
      </c>
      <c r="C6301" t="inlineStr">
        <is>
          <t>読み方：なす
［動サ五（四）］
１（「為す」とも書く）ある行為をする。「無益の事を—・す」「—・すすべもなく敗れる」
「国のこといとよく—・したりければ」〈落窪・四〉
２物を作りあげる。仕上げる。また、事をしとげる。「一代にして産を—・す」
３ある形・状態などをしている。「組織の体を—・していない」「球状を—・す」「門前市を—・す」
４他の物に変える。他の状態にする。「新しい技法を自己のものと—・す」
「思はむ子を法師に—・したらむこそ心苦しけれ」〈枕・七〉
５役や位につかせる。任命する。
「強ひて帥(そち)に—・し奉りて」〈かげろふ・中〉
６高貴な方のお出ましを仰ぐ。お出ましのあるようにする。
「主上を扶(たす)け乗せ進(まゐら)せて陽明門より—・し奉る」〈太平記・二〉
７（他の動詞の連用形に付いて）意識してそのようにする。わざと…する。「敵と見—・す」
「中の宮をなむいかで人めかしくも扱ひ—・したてまつらむ」〈源・総角〉
[可能]なせる</t>
        </is>
      </c>
      <c r="D6301" t="inlineStr">
        <is>
          <t>成すべき；成す集合上；成す術もなく；成す集合r；成すすべもなく</t>
        </is>
      </c>
      <c r="E6301" t="inlineStr">
        <is>
          <t>する；行う；構成；組織；やる</t>
        </is>
      </c>
      <c r="H6301" t="n">
        <v>29</v>
      </c>
      <c r="I6301" t="inlineStr">
        <is>
          <t>小穂は軸の節ごとに柄のあるものとないものが一つずつ対を成している。；その損傷の多くは白旗が揚げられている間に成されたと考える者がいた。；並んでいるだけに見える書架も、側面を見ると内容区分が成されている。；何事かを成さんとすれば、他の事を犠牲にせねばならぬ場合もあらう。；単にそのまま女性化するだけではなく、様々なアレンジが成されている。；座礁の状況からの推測では比較的小さな群を成して行動すると考えられる。；古い城壁の一部を成す、彼が出発した門には記念の飾り額が置かれてある。；これらの物は利用を有するが一般に稀少ではなく、社会的富を成さない。；今の私にはどこを目指せばいいのか、何を成せばいいのかすらわからない!；今日までの私の生活は、何の意味も成さないことになりはしないか?；また、同時期に母娘の双方を妾とし、同時期に双方に男子を成している。；物語らしい物語はほとんどなく、妄想の描写が作品の主幹を成している。；例えば以下の図では、閉じた括弧同士がグループを成すように認識される。；登場人物の一部は非常に漫画的な表現が成された顔立ちをしている。；結成時点で既に名を成していても、会に参加しなかった人物は数多く存在する。；胴部と頭部の2つの定規がTの形を成す様に固定されている定規である。；また北西側には東急池上線があり、西五反田地区との境界を成している。；これには松井山手駅周辺の開発が功を成しているが結果の設置である。；その後各軍区の名称変更が成され、司令部の設置されている都市名となった。；これは3つの手法、すなわち銃尾式が考案した手法のいずれかで成された。；それは電脳化していない人間には何の意味も成さない記号の羅列であった。；ある体上の同じサイズの正則行列の全体は一般線型群と呼ばれる群を成す。；孤独なソシアリストなどというものは意味を成さぬと言ってはならない。；そしてこの職業的作家廃止論と関連して、文学突撃隊の召集が成された。；一般の群 の中心 は の任意の元と交換する の元全体の成す部分群であった。；サウスカロライナ州では、不必要な対立を避ける試みが成されていた。；著者は無名の作者で、彼をよく理解した別の人物が今の形に成したとされる。；もともと短歌で名の成したいと願っていたふみ子自身も乗り気であった。；このことからも鹿浜地区が湿地帯の一角を成していたことが推察できる。</t>
        </is>
      </c>
      <c r="J6301">
        <f>HYPERLINK("https://www.weblio.jp/content/成す", "词义详情")</f>
        <v/>
      </c>
      <c r="K6301">
        <f>HYPERLINK("https://yourei.jp/成す", "查看例句")</f>
        <v/>
      </c>
    </row>
    <row r="6302">
      <c r="A6302" t="inlineStr">
        <is>
          <t>為す</t>
        </is>
      </c>
      <c r="B6302" t="inlineStr">
        <is>
          <t>成功</t>
        </is>
      </c>
      <c r="C6302" t="inlineStr">
        <is>
          <t>読み方：なす
［動サ五（四）］
１（「為す」とも書く）ある行為をする。「無益の事を—・す」「—・すすべもなく敗れる」
「国のこといとよく—・したりければ」〈落窪・四〉
２物を作りあげる。仕上げる。また、事をしとげる。「一代にして産を—・す」
３ある形・状態などをしている。「組織の体を—・していない」「球状を—・す」「門前市を—・す」
４他の物に変える。他の状態にする。「新しい技法を自己のものと—・す」
「思はむ子を法師に—・したらむこそ心苦しけれ」〈枕・七〉
５役や位につかせる。任命する。
「強ひて帥(そち)に—・し奉りて」〈かげろふ・中〉
６高貴な方のお出ましを仰ぐ。お出ましのあるようにする。
「主上を扶(たす)け乗せ進(まゐら)せて陽明門より—・し奉る」〈太平記・二〉
７（他の動詞の連用形に付いて）意識してそのようにする。わざと…する。「敵と見—・す」
「中の宮をなむいかで人めかしくも扱ひ—・したてまつらむ」〈源・総角〉
[可能]なせる</t>
        </is>
      </c>
      <c r="D6302" t="inlineStr">
        <is>
          <t>為すべき(14%)；為す術もなく(7%)；為す術なく；為すべし；為すすべもなく</t>
        </is>
      </c>
      <c r="E6302" t="inlineStr">
        <is>
          <t>する；行う；やる；受ける；作る</t>
        </is>
      </c>
      <c r="F6302" t="inlineStr">
        <is>
          <t>為すすべなく；為すものあり</t>
        </is>
      </c>
      <c r="H6302" t="n">
        <v>29</v>
      </c>
      <c r="I6302" t="inlineStr">
        <is>
          <t>これだけは人力ではいかんとも為しがたい自然の力のようなものだった。；エッゲはそのような操作が為された理由を長年疑問に思っていたという。；現在の日本ほど為すべき事の多くしてしかも容易な国は恐らくあるまい。；もっとも事前に為し得る手段の、それが全てであったことも確かだった。；即ち人間の考え得ることで為し得ざることはないのだという確信ですね。；お為さんがうちのあとへ来て、そして足下が二階へ行ったのだそうだね。；日本の幾度にもわたる条約改訂交渉はそのために為されたものであった。；非常に多作な作家でありながら、作品ごとに独特な設定が為されている。；日の下に人の労して為すところの諸の動作は、その身に何の益かあらん。；私は自分の為すべきものが、もう何にも残っていないような気がした。；故に、形のある物が価値を持つのは、形のない物が用を為すからである。；私たちはこの新しい領域で、今までに類のない仕事を為し得るのを感じた。；その道の専門家は機を見て為すべき計画は常に胸中になければならないね。；ただこれを為しうる者は神はその有てる全部を一切を奪うでありましょう。；武士と名のつくものには、腫れものに触るようにして為すがままにした。；そういうことを防ぐのが、あなたが為さねばならないことではなかったの?；再びバーサーク状態に陥ってしまう前に、為さねばならないことがある。；我より古を為すといふことが一番よいのであるが、誰にでもは望めない。；棘針の配置は非常に規則的で、ミュラー列と呼ばれる配置を為している。；即ち大本の教へは国家的思想が経典の基礎を為してゐるといつてもよい。；意志して悪を為そうとした者、国を滅ぼそうとした者などひとりもいない。；それは各個人的なそして全身的な事柄であって、抽象論は用を為すまい。；血相の変つた青年の顔を見て医師が恐れを為したのも尤もな次第であつた。；こうして自身で相手に為し得ぬ奉仕を自分の贈物にしてもらおうとする。；戸や窓を開けて部屋を作るが、中に空間があるので、部屋は用を為す。；もともと自分ひとりの力だけで何かを為したことのない男だった。；人間が何事を行うにも必らず二の動機の何れか一によりて為すものである。；しかし、いかな現実も理想と未来を否定する理由にしない、為させない。；単体ではなにも為し得ない、きっと言葉も持ちようがない不定形な存在。</t>
        </is>
      </c>
      <c r="J6302">
        <f>HYPERLINK("https://www.weblio.jp/content/為す", "词义详情")</f>
        <v/>
      </c>
      <c r="K6302">
        <f>HYPERLINK("https://yourei.jp/為す", "查看例句")</f>
        <v/>
      </c>
    </row>
    <row r="6303">
      <c r="A6303" t="inlineStr">
        <is>
          <t>なぜ</t>
        </is>
      </c>
      <c r="B6303" t="inlineStr">
        <is>
          <t>成功</t>
        </is>
      </c>
      <c r="C6303" t="inlineStr">
        <is>
          <t>読み方：なぜ
［副］理由・原因などを問うのに用いる。どうして。なにゆえ。どういうわけで。「空は—青いの」「—怒られたのかわからない」</t>
        </is>
      </c>
      <c r="D6303" t="inlineStr">
        <is>
          <t>なぜそんな；なぜこんな；なぜだろ；なぜそう；なぜこう</t>
        </is>
      </c>
      <c r="E6303" t="inlineStr">
        <is>
          <t>何故；何ゆえ；何でまた</t>
        </is>
      </c>
      <c r="F6303" t="inlineStr">
        <is>
          <t>いったいなぜ；のになぜ；なぜあんなに；なぜいけない；なぜ殺さ</t>
        </is>
      </c>
      <c r="G6303" t="inlineStr">
        <is>
          <t>なぜならば；なぜだか；なぜか今日は；なぜか；なぜる</t>
        </is>
      </c>
      <c r="H6303" t="n">
        <v>29</v>
      </c>
      <c r="I6303" t="inlineStr">
        <is>
          <t>なぜ継続的なキャビテーションが発生してしまうのかは分かっていない。；なぜ鉄道廃止から10年も経過してから廃止されたのかは定かではない。；なぜ日本人の中に、これほどまでに中国におもねる人が多いのだろうか。；ところが学生寮に向かってみるとなぜか女子寮に部屋が用意されていた。；ベストタイムを叩き出すも、なぜか選出してもらうことができなかった。；式が終了して教室に入ると、なぜかさっきの2人組が教室の中にいた。；なぜって僕たちには常に問題と向き合い、解決することが必要だからね。；人種あるいは地域によるこのような差がなぜ生じたのかは不明である。；それほど大事な業務であればソフトをもう1本買うことをなぜ惜しむのか。；この日の審議がなぜ中断されたのか議会議事録には何も記録されていない。；なぜこのような現象が起こるのか完全には理解されていない。；八重はびっくりしてなぜ今まで出てこなかったのかと桜丸に問う。；なぜ、このような物語が旧辞に取り入れられたのかははっきりしない。；なぜ上位の4姓以外が運用されなかったのかについて記録は残されていない。；現段階では、このような発光周期の差がなぜ生じたかはっきりしていない。；なお、なぜ日本語ではなくわざわざ中国語にしているのかは不明。；なぜ人間は人種に敏感なのかを説明する仮説は大きく分けると三つある。；あるものを他と違っていとしく思うことができるのはなぜなのか。；なぜ監督が二人になったのか、今となっては分からないという。；なぜこのような人物像が作られたかというと、その方がわかりやすいからだという。；本名は敬三だが、少年のころからなぜか「ケンちゃん」と呼ばれていた。；ではなぜ当時価値がないと考えられたものが現代では大騒ぎされているのだろうか?；あきらかにNGのはずなのだが、なぜかそのまま放送されてしまった。；なぜ嘆いているのかを問うと故郷の父母が恋しいからだと兄媛は答えた。；彼らはなぜアメリカがこの戦いを支援しないのか、どうしても理解できなかった。；なお、タマネギ隊員の横顔が描かれるときはなぜか普通の口の形状になる。；リリースが出るまでは、なぜならチームやスタッフがいるからだ。；日本の人口が増えていったのに、映画人口が減っていったのはなぜか。；理解できないのは、こんなに多くの者がなぜ日本好きなのかということである。</t>
        </is>
      </c>
      <c r="J6303">
        <f>HYPERLINK("https://www.weblio.jp/content/なぜ", "词义详情")</f>
        <v/>
      </c>
      <c r="K6303">
        <f>HYPERLINK("https://yourei.jp/なぜ", "查看例句")</f>
        <v/>
      </c>
    </row>
    <row r="6304">
      <c r="A6304" t="inlineStr">
        <is>
          <t>なぜならば</t>
        </is>
      </c>
      <c r="B6304" t="inlineStr">
        <is>
          <t>成功</t>
        </is>
      </c>
      <c r="C6304" t="inlineStr">
        <is>
          <t>読み方：なぜならば
［接］事柄の原因・理由の説明をみちびくのに用いる。なぜかというと。なぜなれば。なぜなら。「今は何とも言えない。—まだ協議中だから」</t>
        </is>
      </c>
      <c r="D6304" t="inlineStr">
        <is>
          <t>なぜならば彼ら；なぜならばそれら；なぜならば詩；なぜならば光秀</t>
        </is>
      </c>
      <c r="E6304" t="inlineStr">
        <is>
          <t>何故なら；何故ならば</t>
        </is>
      </c>
      <c r="H6304" t="n">
        <v>29</v>
      </c>
      <c r="I6304" t="inlineStr">
        <is>
          <t>なぜならば再現できない流動しているものが時間なのであるからである。；なぜならば彼らは自分の力によって取るだけのものは会社から取るから。；なぜならば、それはとても奇妙なふうにわたくしに聞こえたからである。；なぜならば端点の具体的計算は困難もしくは不可能な場合があるからだ。；なぜならば、このことを考えたとき、すぐ父のことを考えたからである。；なぜならばわたくしは、金にならなくても描いたでありましょうから。；なぜならば家計と違って政府はお金を創り出すことができるからである。；なぜならば才能があったところでかえって邪魔になる位のものです。；なぜならば初期の翼竜もまた跳躍移動への適応を示していたからである。；なぜならばそれはよいことも悪いこともはっきりわかっているのですから。；なぜならば、人類の歴史は常に個人の限界をこえて前進するものである。；なぜならばだれがいったい媾合と恋愛の喜びを知らないであろうか?；なぜならば、ひとつひとつが他の要因のスケールされた版であるからだ。；なぜならばこの葬儀のために特別な領地が設けられていたからである。；なぜならばそれまでピサ侯が既に権力から閉め出されていたからである。；なぜならば将軍こそ乱世の秩序を回復する政治的中心だとみたからである。；なぜならば私と同じように、あのひともまた、このお茶の会が嫌だったのだ。；なぜならば世界は全部を与えることをば能くしないからであります。；なぜならば彼女が私と会っている瞬間、彼女はいつも私を愛していたのですから。；なぜならば私の詩は、彼の指摘によつて實際缺點だらけの物に見えたから。；なぜならば、それ以前にふじから名を尋ねられてはいなかったからである。；なぜならば、左利き族の暮らしには角から骨までが利用されていたからです。；なぜならば、不必要な疲労や危険を招くことは、許されないからである。；なぜならば会社は規定にないことまでは決して実行しないから。；なぜならば彼らの名は906年の文書史料には言及されていないからである。；なぜならば、私がそれを認めるときにだけ手続きだと言えるからです。；なぜならばそれはあくまで演劇的技法によっての対決であるからである。；なぜならば、そのような者はこれまでに無く、これからも無いであろうから。；なぜならば個人とは、分割できない存在である、と彼が考えていたことによる。</t>
        </is>
      </c>
      <c r="J6304">
        <f>HYPERLINK("https://www.weblio.jp/content/なぜならば", "词义详情")</f>
        <v/>
      </c>
      <c r="K6304">
        <f>HYPERLINK("https://yourei.jp/なぜならば", "查看例句")</f>
        <v/>
      </c>
    </row>
    <row r="6305">
      <c r="A6305" t="inlineStr">
        <is>
          <t>謎</t>
        </is>
      </c>
      <c r="B6305" t="inlineStr">
        <is>
          <t>成功</t>
        </is>
      </c>
      <c r="C6305" t="inlineStr">
        <is>
          <t>読み方：なぞ
《「何(な)ぞ」の意から》
１「なぞなぞ」に同じ。
２遠回しに言ってそれとなくさとらせようとすること。
３内容・正体などがはっきりわからない事柄。「宇宙の—を解く」「—に包まれた事件」</t>
        </is>
      </c>
      <c r="D6305" t="inlineStr">
        <is>
          <t>謎めい；謎の多い；謎多き；謎だらけ；謎の飛行物体</t>
        </is>
      </c>
      <c r="E6305" t="inlineStr">
        <is>
          <t>パズル；難問；考えもの；ジグソーパズル；エニグマ</t>
        </is>
      </c>
      <c r="F6305" t="inlineStr">
        <is>
          <t>不可解な謎；深い謎；謎化物名鑑；謎の伝染病；謎めかす</t>
        </is>
      </c>
      <c r="G6305" t="inlineStr">
        <is>
          <t>謎の少女；謎の生物；謎々；謎とき；謎の少年</t>
        </is>
      </c>
      <c r="H6305" t="n">
        <v>29</v>
      </c>
      <c r="I6305" t="inlineStr">
        <is>
          <t>古くから哲学の分野で様々な研究がなされているが大きな謎のままである。；謎と見ると放っておかれず、仕事抜きで事件に関わっていくことも多い。；今度はフジを気絶させた後、謎の銃を使って基地の機器を破壊していく。；しかし、これらの原因が何であるのか、約100年近く謎とされていた。；多くの謎を残したまま終了した前作の続編であり、本シリーズの完結編。；三つ目族の謎編の漫画原稿を撮影した映像に声と効果音をつけたもの。；引退後の姿はまったく謎に包まれており、人々の興味の対象となった。；この作戦の詳細は一切公表されていないため謎に包まれている。；その世界でその名を知らぬ者はいないが、その存在は謎に包まれているという。；地上に出ると防衛軍と謎の戦闘機部隊とが激しい戦闘を始めていた。；高校3年生のときに父が謎の自殺をしたので、母の郷里の名古屋に移る。；邪鬼王の死から一年が経った頃、リュウは再び謎の軍団に襲撃を受けた。；女性の声だが、謎の声はエンシャントなのか、明らかにされていない。；これらの言語がどの時代にどこから入ってきてどのように発達したのかは大きな謎である。；そのような彼がヒトラーの後継者に指名されたのは謎多きことだった。；事件が万事解決するとは限らず、謎を残したまま終わることも多い。；それがすべての謎を説明できたとき、このパズルは解けたことになる。；謎の恋人とペトラルカは、実際には交際を持たなかった可能性が強い。；にもかかわらず二酸化炭素量の上昇が見られないのは謎だった。；アヴァールの起源は謎に包まれており、いくつかの仮説が立てられた。；無顎類内部の互いの系統関係は現在でも謎が多く、議論が続いている。；塩土老翁神は謎の多い神であるが、海や塩の神格化と考えられている。；その生涯は、本人がいくつかの理由から隠していたと思われ、謎に包まれている。；彼は謎とパズルを考案し、それを普及することを自分の義務だと考えている。；それから40年後、ベーリング海沖を漂流している謎の船が発見される。；移動ルートには謎が残るが、海路を使ったとする説が有力である。；時を同じくして、マクロス7に対し謎の敵バロータ軍が攻撃を開始する。；主催者のギースが謎の死を遂げて以来、一度も開催されていないはず。；トマノ老人が持つ謎の扉のカードの中にある思い出の世界に住む怪獣。</t>
        </is>
      </c>
      <c r="J6305">
        <f>HYPERLINK("https://www.weblio.jp/content/謎", "词义详情")</f>
        <v/>
      </c>
      <c r="K6305">
        <f>HYPERLINK("https://yourei.jp/謎", "查看例句")</f>
        <v/>
      </c>
    </row>
    <row r="6306">
      <c r="A6306" t="inlineStr">
        <is>
          <t>謎々</t>
        </is>
      </c>
      <c r="B6306" t="inlineStr">
        <is>
          <t>成功</t>
        </is>
      </c>
      <c r="C6306" t="inlineStr">
        <is>
          <t>読み方：なぞなぞ
《「何(な)ぞ何(な)ぞ」の意から》
１とんちが必要な問題を出し、相手に答えさせるクイズ、言葉遊び。
２⇒謎掛け
３遠回しに言うこと。それとなくさとらせること。また、その言葉。</t>
        </is>
      </c>
      <c r="D6306" t="inlineStr">
        <is>
          <t>謎；パズル；考えもの；ジグソーパズル；判じ物</t>
        </is>
      </c>
      <c r="H6306" t="n">
        <v>29</v>
      </c>
      <c r="I6306" t="inlineStr">
        <is>
          <t>わたしが持っている謎々の全部、三千二百七個を分析してみました。；単なる謎々の筋書のみを守って行く所謂本格に生きて行かねばならないのだ。；しめがね系は技術を、いと系は謎々を、みず系は人間のことを覚えている。；謎々を書いた紙を福松の死骸から奪つたが、さてこれを解きやうはない。；どうかすると謎々のようなものを持って来るのもある。；或る人は探偵小説の魅力を、謎々の魅力と同一のものだという。；それは、月、水、金の万朝報に出る三回の謎々の文字を解けばわかります。；謎々ではあるまいし、明智は一体何を云おうとしているのだろう。；その永遠の謎々が、予想もしなかった答えを見せようとしていた。；むずか 「難しい謎々だな」 考えこんでいると、急に目の前が暗くなった。；この、意味も脈絡もなく放たれる、冗談とも謎々ともつかぬ言葉は。；どんな理論を述べあって、これらの謎々の絵を入選させたり、落選させたりするか。；その上、ラベルが英語だかフランス語だかで、まるで謎々ですよ。；出身が清元であることから音曲噺や楽曲噺や四題噺や謎々を得意としていた。；そして、芸術家として他の分野に残った人も、この謎々のような画論には固執しなかったようである。；その文字合せの謎々を、詩人は次のように述べました。；「僕の謎々はもう終つた」 谷村はその体内から言葉を押しあげてくる力を覚えた。；謎々を読みますが、考えてみようというご希望の方々には写しを差し上げます。；それも解答のない謎々を出題されたような気がする。；「謎々を解こうともしたし、書いてあるとおりにやってもみたんです」マイケルは説明しました。；一度前に答えを教えられたのに、それを忘れてしまい、思い出しそうでいて、口まで出かかっているような、ややこしい謎々を考えているような気持だった。；「謎々みたいな感じだわ」 それと同時に、ヒー星側のリーダーが、厳しい声で少女にいった。；謎々もトリックも、名探偵も名犯人も不必要なら捨ててよろしい。；そこで彼女たちに謎々を問いかけたところ、アルヴァただ一人が答えることができた。；私たちの話題は、やはり金博士と、そして博士よりロッセ氏に与えられた奇怪なる謎々とに執着していた。；謎々の考案者に聞かれるのをおそれるかのように。；すくなくとも吾々が所謂探偵小説なるものの中に感じ得る魅力の中には謎々以外の沢山のものがある事は否定出来ない。；南町で晩飯の御馳走になって、久米と謎々論をやっていたら、たちまち九時になった。；謎々やってる時間はないんだ。</t>
        </is>
      </c>
      <c r="J6306">
        <f>HYPERLINK("https://www.weblio.jp/content/謎々", "词义详情")</f>
        <v/>
      </c>
      <c r="K6306">
        <f>HYPERLINK("https://yourei.jp/謎々", "查看例句")</f>
        <v/>
      </c>
    </row>
    <row r="6307">
      <c r="A6307" t="inlineStr">
        <is>
          <t>名高い</t>
        </is>
      </c>
      <c r="B6307" t="inlineStr">
        <is>
          <t>成功</t>
        </is>
      </c>
      <c r="C6307" t="inlineStr">
        <is>
          <t>読み方：なだかい
［形］［文］なだか・し［ク］広く世間に名が知られている。有名である。「歴史に—・い寺院」</t>
        </is>
      </c>
      <c r="D6307" t="inlineStr">
        <is>
          <t>名高い話；名高い人物；名高い寺；名高い詩人；名高い学者</t>
        </is>
      </c>
      <c r="E6307" t="inlineStr">
        <is>
          <t>有名；著名；高名；知名</t>
        </is>
      </c>
      <c r="F6307" t="inlineStr">
        <is>
          <t>世に名高い；者として名高い；特に名高い；傑作として名高い；産地として名高い</t>
        </is>
      </c>
      <c r="H6307" t="n">
        <v>29</v>
      </c>
      <c r="I6307" t="inlineStr">
        <is>
          <t>この時期には、ヨーロッパでももっとも名高い作曲家の一人となっていた。；クリストフはほんの出たてだったし、向こうはすでに名高くなっていた。；この前奏曲はオペラ中でも特に名高く、独立して演奏されることも多い。；監督には社会派ドラマの製作で名高いシドニー・ルメットが起用された。；彼の作品は10点ほどが現存し、その中でも本作は一番の作と言われ名高い。；当時の名高い文人たちからも、絶賛されるほどのそのレベルは高かった。；街周辺の海岸には名高いプライベート・ビーチやリゾートが数多くある。；史上名高いギーザの大ピラミッドが建造されたのがこの王朝の時代である。；こっちがここで名高くなれば、あいつも内で名高くなってくれなくてはならん。；彼の著名な組織的才能とは別に、クーラントは数学の業績でも名高い。；個性的な白ワインとして名高いプイィ・フュメなどを生産する村である。；また、デビューして間もない頃からマダムキラーとしても名高いという。；加えてイタリアやドイツには及ばないにせよ、ロシアはオペラでも名高い。；後者の、雪に覆われたツンドラの中で馬に乗った死神の図像は特に名高い。；西部でも名高い銅山ブームに沸いた町で、かつては州内最大の都市だった。；この銃が広汎に使用された戦争として名高いのがアメリカ独立戦争である。；そのためか山崎の戦いといった歴史に名高い戦いが本郡で行われた。；ヘンリー王は武勇の誉れ高いばかりでなく、気前のよさでも名高かった。；主に抒情詩を書き、スウェーデンに於ける最初の近代詩人として名高い。；外祖父である三条西実隆の影響を強く受け、古典研究者としても名高い。；寺島町であった当時は農業が盛んな地域であり、特にナスの生産で名高かった。；二人共知らぬ者がない位名高かったのですから、どちらがえらいかわかりませんでした。；この駅は世界初の地下鉄の最初の開業区間の東側の終点の駅として名高い。；これが現在でもタイ古典楽曲として名高いカメーン・サイヨークである。；河原にある三波石で名高く、国の名勝及び天然記念物に指定されている。；こつちがこゝで名高くなれば、あいつも内で名高くなつてくれなくてはならん。；彼は1971年に発見された武寧王陵から多様な副葬品が出土した事で名高い。；この突撃は軍事史上名高い出来事の一つではあるが、具体的にどの部隊が参加したのかは不明確である。；主にバレエ音楽の分野で活躍し、舞台の指揮やバレエ音楽の編曲で名高い。</t>
        </is>
      </c>
      <c r="J6307">
        <f>HYPERLINK("https://www.weblio.jp/content/名高い", "词义详情")</f>
        <v/>
      </c>
      <c r="K6307">
        <f>HYPERLINK("https://yourei.jp/名高い", "查看例句")</f>
        <v/>
      </c>
    </row>
    <row r="6308">
      <c r="A6308" t="inlineStr">
        <is>
          <t>宥める</t>
        </is>
      </c>
      <c r="B6308" t="inlineStr">
        <is>
          <t>成功</t>
        </is>
      </c>
      <c r="C6308" t="inlineStr">
        <is>
          <t>読み方：なだめる
［動マ下一］［文］なだ・む［マ下二］
１怒りや不満などをやわらげ静める。事が荒だたないようにとりなす。「泣く子を—・める」「—・めてもすかしても聞き入れない」
２罪などに対して寛大な処置をとる。
「死罪を—・めて」〈曽我・一〇〉</t>
        </is>
      </c>
      <c r="D6308" t="inlineStr">
        <is>
          <t>収める；慰める；納める；鎮める；鎮静</t>
        </is>
      </c>
      <c r="H6308" t="n">
        <v>29</v>
      </c>
      <c r="I6308" t="inlineStr">
        <is>
          <t>その上、こうまで激しくなった教授たちを宥めることも不可能になった。；床に手をついて涙目になってしまった埜々香を宥めるのも一苦労だった。；俺一人でなら、何とかこの状態のアルクェイドを宥める事も出来るだろう。；けれどそれを宥める身寄りもあり、女たちもいて、口を極めて抑えている。；承政院日記には、高宗が保護条約反対派の大臣を宥める記述が残っている。；ジャックは宥めるようにゆっくり背中を叩きながら耳元で繰り返した。；宥荘寺の名の由来は、その名の通り、「荘氏を宥めるための寺」である。；なだ 宥められる方も、宥める方も、その言葉が気休めだとわかっていた。；その時に隣りの部屋から細い啜り泣きの声と、いなみの宥める声を聞いた。；負傷したモルダーだったが、何とかソフィーを宥めることに成功した。；あんたがあたしの名前なんか出すから、あいつら宥めるのに大変だったのよ!!；「今本膳が出てる処だからな」母屋の方を見ながら一人が辰さんを宥める。；サイレンは宥めるようにそっとフェアリイの身体を揺すり、胸に抱いた。；「まあ、そう言うな」 呆れが怒りに変化する前に、達也が妹を宥める。；そうなったミランシャを宥めるのも大変だろうと思ったので、と。；「まあ、そんな冗談はともかくとしてだ」 兄は弟を宥めるような口調になった。；アガメムノーンはアテーナーの怒りを宥めるためにトローイアに残った。；彼女はひきつった音を立てている呼吸を意識で宥めると、片手で髪を掻き上げた。；話のうちにも老主人は時々神経痛を宥めるらしい妙な臭いの巻煙草を喫った。；どうせお呼びがかかるまでのことと軽く考え、相手を宥めるため石を一つ手に取ってみせた。；「私も連れていってください」と言う佐和を宥めるのに、浅見は苦労した。；学校から帰ってきたばかりらしく、制服のままの娘は大川を宥めるように微笑む。；御簾の奥にいた人物が、王を宥めるべく中央まで進み出たからだ。；「誰が審査したって文句は出るもんだ」 採鉱科担当の加藤が宥める。；彼はすぐ彼女を宥めるような口調で云った。；ドアの向こうからしばらく、少年の声とそれを宥めるような夫人の声が洩れていた。；彼女の声は1部屋の女性教師を宥める効果があった。；母から云わせて福子を宥める目算でいたのが、すっかり外れてしまったのである。；岩棚のニメンスが低く、宥めるように鳴いたので、レサはかれらを見あげた。</t>
        </is>
      </c>
      <c r="J6308">
        <f>HYPERLINK("https://www.weblio.jp/content/宥める", "词义详情")</f>
        <v/>
      </c>
      <c r="K6308">
        <f>HYPERLINK("https://yourei.jp/宥める", "查看例句")</f>
        <v/>
      </c>
    </row>
    <row r="6309">
      <c r="A6309" t="inlineStr">
        <is>
          <t>なだらか</t>
        </is>
      </c>
      <c r="B6309" t="inlineStr">
        <is>
          <t>成功</t>
        </is>
      </c>
      <c r="C6309" t="inlineStr">
        <is>
          <t>［形動］［文］［ナリ］
１傾斜の度合いがゆるやかなさま。「—な坂」
２物の表面が角ばっていないさま。滑らか。
「鏡という道具は…—に人の顔を写さなくては義理が立たぬ」〈漱石・草枕〉
「—なる石、角(かど)ある岩など」〈宇津保・祭の使〉
３物事が滞ることなく進むさま。円滑なさま。滑らか。「—な口調」
「若き人々の—に物聞こゆべきもなく」〈源・橋姫〉
４何も変わったことのないさま。平穏。無事。
「—にて世の中を過ぐさむことを願ふなり」〈源・東屋〉
５人の性格・態度などが、穏やかなさま。角立たないさま。
「我も人も心得て、—にもてなし過ぐし給はば」〈源・若菜上〉
[派生]なだらかさ［名］</t>
        </is>
      </c>
      <c r="D6309" t="inlineStr">
        <is>
          <t>なだらかな丘陵(7%)；なだらかな斜面(5%)；なだらかな傾斜(3%)；なだらかな山(3%)；なだらかな起伏(2%)</t>
        </is>
      </c>
      <c r="E6309" t="inlineStr">
        <is>
          <t>滑らか；平ら；なめらか；円滑；スムーズ</t>
        </is>
      </c>
      <c r="F6309" t="inlineStr">
        <is>
          <t>なだらかな道；なだらかな肩；なだらかな線；低くなだらか；なだらかな下り坂</t>
        </is>
      </c>
      <c r="H6309" t="n">
        <v>29</v>
      </c>
      <c r="I6309" t="inlineStr">
        <is>
          <t>崖の上から五マイル先の外側の海岸まで、島はなだらかにくだっている。；道路はなだらかな上り坂になり、両側には畑と民家が交互に見えてくる。；都市は、遠い昔に海に面していた山麓のなだらかな斜面に建設されていた。；周壁の外側は放射状の構造をしており、なだらかな斜面を形成している。；それほど何げのない、なだらかな、当たり前の形をしているからである。；町もなければ、人影もなく、なだらかに上がる丘が行く手にあるだけだ。；眼の下五十ヤードほどの底まで周囲の地面がなだらかに傾斜している。；海がこのあたりにひろがっており、なだらかな山の麓を波が洗っていた。；だがこれを平均してなだらかなものにするという作業はまったくしなかった。；やがて一週間ほどすると、崖は低くなり、道もいくらかなだらかになった。；二つの体は転げるようになだらかな斜面を二間ほどすべり落ちて止まった。；やがて海岸線のけわしい断崖は、低いなだらかな土地に変わっていった。；なん度か同じ言葉をくり返した人の、なだらかさで、彼女は証言をした。；最高地点は太古代の岩石で出来たなだらかな形状のモンタルト山である。；楢山のなだらかな斜面に、背中を鉤に引き裂かれた親馬が斃されていた。；ウルフは1時間遅れで一行に続き、なだらかな道を通って平原に上った。；なだらかな丘と広いモンゴルの平野と盆地が広大な草原を形成している。；排水を考慮し、端部はなだらかに道路面へ近付くような設計になっている。；島の北東と南西に山地があるが、中央部東西は比較的なだらかな地形である。；山頂はなだらかな広場となっていて、テーブルとベンチが設置されている。；だがやがてなだらかな丘の斜面に、やっと小さな村が見えてきた。；女性は後ろ姿で描かれ、彼女の前には丘陵地帯がなだらかに広がっている。；一見なだらかな感じを受けるが高低差が4-50メートルの場所もある。；施設はなだらかな山の斜面にあるため房総丘陵を見渡すことができる。；山頂はなだらかな高原状となっていて 遠方から同定しにくい山である。；海岸は遠浅でなだらかな形状であり海水浴に適したビーチになっている。；塩塚峰の北西に比較的なだらかな地があり、畑地や茶園が開かれている。；なだらかな山腹が芝に覆われており、奈良を代表する景観の一つである。；近づいて来る島は、低いなだらかな丘のある、何の変てつもない島だ。</t>
        </is>
      </c>
      <c r="J6309">
        <f>HYPERLINK("https://www.weblio.jp/content/なだらか", "词义详情")</f>
        <v/>
      </c>
      <c r="K6309">
        <f>HYPERLINK("https://yourei.jp/なだらか", "查看例句")</f>
        <v/>
      </c>
    </row>
    <row r="6310">
      <c r="A6310" t="inlineStr">
        <is>
          <t>雪崩</t>
        </is>
      </c>
      <c r="B6310" t="inlineStr">
        <is>
          <t>成功</t>
        </is>
      </c>
      <c r="C6310" t="inlineStr">
        <is>
          <t>読み方：なだれ
《動詞「なだる」の連用形から》
１（雪崩）山の斜面に積もった大量の雪が、急激にくずれ落ちる現象。表層雪崩・全層雪崩に分けられる。《季春》「夜半さめて—をさそふ風聞けり／秋桜子」
２斜めにかたむくこと。傾斜。
「これから近道を杉山の間の処から—を通って」〈円朝・真景累ヶ淵〉
３押しくずれること。くずれ落ちること。
４（頽れ）陶器で、釉(うわぐすり)が溶けて上方から流れ下がったもの。やきなだれ。</t>
        </is>
      </c>
      <c r="D6310" t="inlineStr">
        <is>
          <t>雪崩発生；雪崩事故；雪崩防止；雪崩落ち；雪崩対策</t>
        </is>
      </c>
      <c r="E6310" t="inlineStr">
        <is>
          <t>地滑り；地辷り</t>
        </is>
      </c>
      <c r="F6310" t="inlineStr">
        <is>
          <t>大規模な雪崩；小さな雪崩；次雪崩；底雪崩；大きな雪崩</t>
        </is>
      </c>
      <c r="G6310" t="inlineStr">
        <is>
          <t>雪崩ビーコン；雪崩込ん；雪崩式ブレーンバスター；雪崩込み；雪崩込む</t>
        </is>
      </c>
      <c r="H6310" t="n">
        <v>29</v>
      </c>
      <c r="I6310" t="inlineStr">
        <is>
          <t>しかもその辺にはまるで雪崩の跡もなくほんとに不思議でならなかった。；すると雪崩を起こすように彼らはそれぞれ理由をつけて逃げ出し始める。；少しでも雪崩に遭いそうな場所があると、どんなに大変でも避けて通る。；多くは晴天後のことなので全く雪崩から解放されているといってよい。；雪崩にやられた剣沢小屋あとから遺体が見つかったという記事であった。；彼らはあそこで第二次雪崩の危険のなくなるまで待っているつもりか?；しかし踏んだそばから雪は崩れ、小さな雪崩になって崖下に零れていく。；見張り全員が、雪崩の発生した時期に危険地帯に移動していたことになる。；視線を上げる間もなく、目の前に路門の瓦が雪崩を打って振ってきた。；この事故はアメリカ合衆国における雪崩事故被害の最悪のものとなった。；雪崩が起きそうもないところに雪崩が起きたような白昼夢を見たのである。；全く警戒していなかった虎藩は雪崩のように落ちたに違いなかった。；仕掛けを放った反町すらびっくりするような、大きな雪崩が誘発された。；ここまではなんとか除雪されているが、どうせ途中は雪崩で通行止めだ。；ヴィピテーノ方面のペンネス峠は雪や雪崩の危険が無い夏が安全である。；藤橋から少し下ったところは雪崩の跡で道が殊に悪くなっていました。；雪崩に就いて科学的研究をなし冬季登山者の貴重なる生命を保証せよ。；一言口をきいたために自分の上に恐ろしい雪崩を招いたこともしばしばあった。；今年は積雪量が少ないためかあまり大きな雪崩は出ていないようだ。；屏風岩から塵雪崩が盛んに落ちて、昨日の新雪は黒い岩に変ってしまう。；あの時書斎に雪崩れこんだのが九人も十人も居たとしたらどうかしら。；雪崩部分の上に積雪が重なって二メートル以上の壁が道を塞いでいた。；だが、敵の攻撃は、その瞬間から雪崩を打ったように勢いを増した。；火薬を爆発させて雪崩を起こしたのは、前嗣らの退路を断つためだった。；その脇から他の棟の住民が逆走する雪崩となって階段を昇っていく。；この部分は横に広いのでルートは豊富にありそうだが、雪崩の巣となっている。；この鉄拳を一つ揮へば百千万の敵は一度に雪崩を打つて、ガラガラガラ。；そして雪崩を打ったように難侵入地域の外、人間たちの世界を目指すのである。；工事に伴う殉職者は44名で内17名は雪崩や凍死によるものであった。</t>
        </is>
      </c>
      <c r="J6310">
        <f>HYPERLINK("https://www.weblio.jp/content/雪崩", "词义详情")</f>
        <v/>
      </c>
      <c r="K6310">
        <f>HYPERLINK("https://yourei.jp/雪崩", "查看例句")</f>
        <v/>
      </c>
    </row>
    <row r="6311">
      <c r="A6311" t="inlineStr">
        <is>
          <t>夏</t>
        </is>
      </c>
      <c r="B6311" t="inlineStr">
        <is>
          <t>成功</t>
        </is>
      </c>
      <c r="C6311" t="inlineStr">
        <is>
          <t>読み方：げ
〈下〉⇒か
〈夏〉⇒か
〈華〉⇒か</t>
        </is>
      </c>
      <c r="D6311" t="inlineStr">
        <is>
          <t>夏留；夏頃；夏希；夏ごろ；夏陽子</t>
        </is>
      </c>
      <c r="E6311" t="inlineStr">
        <is>
          <t>夏季；夏場；夏期；サマー；朱夏</t>
        </is>
      </c>
      <c r="F6311" t="inlineStr">
        <is>
          <t>比夏；毎年夏；お夏；暑い夏；ひと夏</t>
        </is>
      </c>
      <c r="G6311" t="inlineStr">
        <is>
          <t>夏季；夏枝；夏場；夏子；夏の甲子園</t>
        </is>
      </c>
      <c r="H6311" t="n">
        <v>29</v>
      </c>
      <c r="I6311" t="inlineStr">
        <is>
          <t>夏には全州の半分以上に何らかの反乱がおき、首都でも衝突が発生した。；夏障害でも多くの競走が施行され、一部でグレード競走も行われている。；そのため、通常の管理をしていれば、日本の夏でも耐えることができる。；夏にはシューベルトが熱望していた北オーストリアへの休暇旅行をした。；また、夏に新曲の制作のためスタジオ入りすることを公式サイトで発表。；短編小説を書くのは1943年夏ごろから夢中になった彼女の趣味だった。；しかし、夏の会期後のもの以外は基本的に郵送申込にも利用可能である。；逆に暑さには強く、夏が近づくと水を大量に飲み、大量に汗をかいた。；鳴く虫は秋のものと考えられがちだが、キリギリスも夏が最盛期である。；変更の対象になったのは既存の6編成と2009年夏に投入された1編成。；主に休息の時期であるが、それ以外の意味を夏に持たせる例も多い。；春から夏にかけて海霧が発生しやすく、秋から冬にかけては晴天が続く。；顕著な雨季は見られないものの、降雨のほとんどは夏の数ヶ月に起こる。；また、畑栽培は落葉樹下の夏は日陰で、冬は日が当たる場所が選ばれる。；この夏には、スタンダールやアンドレ・ジッドなどの作品を多く読んだ。；ロンドンの夏の平均気温は で、年に7日は を超え2日は を超える。；夏には激しい雷雨が発生しやすく、特に州の中央と南部で見られる。；夏の陣図は1枚で、冬の陣の中心図と対になる構成になっている。；日本の夏の気候に大きく影響する北太平洋高気圧もそのひとつである。；夏は30を超す日も多くある一方、冬は気温が氷点下となることも多い。；舞台は夏の午後のパフォーマンスで陰になるよう、建物の南東側にあった。；曹操の楽府「歩出夏門行」の第四章は楽府のなかでもその代表作である。；日本のような季節のある地域において、積乱雲は比較的夏に発生しやすい。；高さ3mくらいまで成長し、夏から秋にかなり大きな黄色の花を咲かせる。；しかし、国民政府や大学の再三の要請を受け、同年夏に就任を受諾した。；気温の変化は次第に北上していき、冬から春、春から夏へと移り変わる。；一般家庭では長期保存、特に夏を越しての保存は考えないほうがよい。；貿易風の最も強い部分で、夏を中心に対流圏界面くらいに出現する。；翌年の夏にもグリエールはソンツォフカを訪ねて更なる指導を行っている。</t>
        </is>
      </c>
      <c r="J6311">
        <f>HYPERLINK("https://www.weblio.jp/content/夏", "词义详情")</f>
        <v/>
      </c>
      <c r="K6311">
        <f>HYPERLINK("https://yourei.jp/夏", "查看例句")</f>
        <v/>
      </c>
    </row>
    <row r="6312">
      <c r="A6312" t="inlineStr">
        <is>
          <t>捺印</t>
        </is>
      </c>
      <c r="B6312" t="inlineStr">
        <is>
          <t>成功</t>
        </is>
      </c>
      <c r="C6312" t="inlineStr">
        <is>
          <t>読み方：なついん
［名］(スル)印判をおすこと。また、おした印影。押印。「契約書に—する」</t>
        </is>
      </c>
      <c r="D6312" t="inlineStr">
        <is>
          <t>捺印する(9%)；捺印証書または約因</t>
        </is>
      </c>
      <c r="E6312" t="inlineStr">
        <is>
          <t>押印；押捺</t>
        </is>
      </c>
      <c r="F6312" t="inlineStr">
        <is>
          <t>捺印証書；信託捺印；担保捺印；捺印証書または；捺印するよう</t>
        </is>
      </c>
      <c r="H6312" t="n">
        <v>29</v>
      </c>
      <c r="I6312" t="inlineStr">
        <is>
          <t>拒むべきことでもないし、李の笑顔に信頼して、正枝は捺印してやった。；大切な証文に捺印がしてないのに己の権利があると、そんな馬鹿な話はない。；彼は明智の驚くべき推理をも、あわせて承認する意味で、署名捺印した。；この要求の理由は、国璽が捺印されたことで法案が有効になるからであった。；契約時に署名・捺印させられる書類は主なものだけでも、 などが挙げられる。；また北斉の文献に紙に朱印で捺印したという最も古い記録がみられる。；波田、おまえは自分から進んで、この要求書に捺印したんじゃないだろうな。；英米契約法では契約には捺印証書または約因がなければ有効とならない。；通常は、合の字の書かれた小さな印で、転記等を防ぐために捺印する。；私は借用書を書いて捺印してから、ジュラルミンケースを受け取った。；妻の名で、署名、捺印された離婚届の用紙は、二、三日前に届いていた。；志功は出来上がった作品に、署名し、捺印してから、最後にこういった。；得体の知れない書類がたくさん出てきたが、泉はままよとばかりに捺印した。；腹に沸き起こった怒りを抑え、書類に捺印すると黙って富山に突き返した。；和月の作品にはすべて、自分の名前が入った捺印を押している。；しかし最近では水を吸うユポや捺印適性のあるユポも開発されている。；やつが弁護士に連絡して、弁護士が銀行に条件付捺印証書用の預金口座を開いた。；金額といくつかの数字を書き込み、署名捺印すればいいだけのものだ。；担保捺印証書は当該土地の所在する郡において記録されなければならない。；いま二人は一枚の契約書に捺印したばかりではないか。；親の同意書はあるし、カワイ娘ちゃんの署名捺印した契約書もあるんだよ。；署名者の大半は印鑑による捺印で、血判は数えるほどしかなかったのだ。；こうして農民グループ全員が売却契約に捺印した。；出来あがった位記は天皇の奏覧を経て御璽を捺印した上で覆奏される。；ふたりが領収書に捺印すると、農夫は、ため息をついて帰って行った。；これは当時、印章が「封泥」に捺印するために使われていたことに由来する。；本人の血で捺印されたこの盟約書がある限り、告発された者は逃れることが出来ない。；受領証は受取人が受領日と時刻を分単位で記入、捺印の上で官吏に渡す。；五年目から、署名捺印した離婚届をお互いが持ち、自由な関係にしておいた。</t>
        </is>
      </c>
      <c r="J6312">
        <f>HYPERLINK("https://www.weblio.jp/content/捺印", "词义详情")</f>
        <v/>
      </c>
      <c r="K6312">
        <f>HYPERLINK("https://yourei.jp/捺印", "查看例句")</f>
        <v/>
      </c>
    </row>
    <row r="6313">
      <c r="A6313" t="inlineStr">
        <is>
          <t>懐かしい</t>
        </is>
      </c>
      <c r="B6313" t="inlineStr">
        <is>
          <t>成功</t>
        </is>
      </c>
      <c r="C6313" t="inlineStr">
        <is>
          <t>読み方：なつかしい
［形］［文］なつか・し［シク］《動詞「なつ（懐）く」の形容詞化》
１心がひかれて離れがたい。
㋐魅力的である。すぐそばに身を置きたい。
「三蔵は少し葉蔭になっている他の（牡丹ノ）一輪を—・く見る」〈虚子・俳諧師〉
「霞立つ長き春日をかざせれどいや—・しき梅の花かも」〈万・八四六〉
㋑好感がもてて近付きになりたい。親しくしたい。
「目鼻立の好い男は、…、利いた風で—・くない」〈鴎外・雁〉
２かつて慣れ親しんだ人や事物を思い出して、昔にもどったようで楽しい。「30年振りに—・い顔ぶれがそろった」「遠い昔が—・く思い出される」
３引き寄せたいほどかわいい。いとおしい。
「気配、姿、みめありさま、かうばしく—・しき事限りなし」〈宇治拾遺・六〉
４衣服などがなじんで着ごこちがよい。
「—・しき程の直衣に」〈源・夕霧〉
[派生]なつかしがる［動五］なつかしげ［形動］なつかしさ［名］</t>
        </is>
      </c>
      <c r="D6313" t="inlineStr">
        <is>
          <t>懐かしいもの(4%)；懐かしい声(3%)；懐かしい思い出(2%)；懐かしい匂い；懐かしい顔</t>
        </is>
      </c>
      <c r="E6313" t="inlineStr">
        <is>
          <t>懐かし；古き良き；ノスタルジックな；懐古的；どこか懐かしい</t>
        </is>
      </c>
      <c r="F6313" t="inlineStr">
        <is>
          <t>昔懐かしい；とても懐かしい；懐かしい香り；懐かしい響き；懐かしい故郷</t>
        </is>
      </c>
      <c r="G6313" t="inlineStr">
        <is>
          <t>懐かしい物；懐かしい月は新しい月；懐かしい未来</t>
        </is>
      </c>
      <c r="H6313" t="n">
        <v>29</v>
      </c>
      <c r="I6313" t="inlineStr">
        <is>
          <t>ずっと昔に一度来たことがあるだけなのにその光景が不思議と懐かしい。；どうやら見ている人は、当時のことが出てくると懐かしいみたいですね。；集まったり映画を見たりすることで懐かしさを湧かしているのではない。；見たことも行ったこともないはずなのに、なんだかとても懐かしい風景。；何か懐かしい匂いを嗅いだ時に、過去の風景が目の前に広がったことは?；何故「希望の世界」に懐かしさを感じてしまうのか私にはわかりません。；彼は和歌子のを繰り返し読んでいると泉のように懐かしさが湧いて来た。；戦争の数々の暗い話の中では、これなどが懐かしい思い出の一つである。；劇場の前でじっと待っているルイズの前に、懐かしい人影が姿を見せた。；その道はスパーホークが隠れ住んでいた、懐かしい店の前を通っていた。；懐かしさすら覚えるその声からは、何の感情も感じることはできません。；昔が懐かしくなったわけじゃないとしたら、何か他に理由があるんだろう?；当時はそんなものには何の興味も示さなかったが、今となっては懐かしい。；死んだ友に出会ったかのような、奇妙な懐かしさが頭の芯を締め上げた。；二人はその手紙を読みながら懐かしの高校時代に思いを馳せるのだった。；考えも浅かったし馬鹿だったけど、やっぱり過ぎた日は懐かしいのです。；いやな男だと思っていたのに、久吉の胸に懐かしいような思いが湧いた。；ある一軒の家の扉の前でネロは立ち止まり、懐かしそうに中を見ました。；翼の視線を感じる事無く愛は何だか懐かしそうな表情で校舎を眺めている。；この感覚は、ほんの何日かぶりなのにとても懐かしいような気がした。；わたしは懐かしいパリをまた見たんですが、たったひと目だけでした。；それらは京一が子供のころに父親の周囲で見た懐かしいものばかりだ。；なんでもないことだけれど、過ぎてしまうとやけに懐かしく思える風景。；景色に見覚えはあるのに、懐かしさを感じるほどには心に迫ってこない。；彼女は、少女の姿でこの坂を下った今朝の自分を、懐かしく思い出した。；何年も来なかった懐かしい道を歩きながらこの気持を散らしたかった。；あなたの顔を見た瞬間にジョンのことを思い出して、懐かしくってね。；しかし会った記憶がなくても、彼らもまたソラ達に懐かしさを感じていた。；いまにも頭を撫でられそうな、昔からずっと側にある、懐かしい雰囲気。</t>
        </is>
      </c>
      <c r="J6313">
        <f>HYPERLINK("https://www.weblio.jp/content/懐かしい", "词义详情")</f>
        <v/>
      </c>
      <c r="K6313">
        <f>HYPERLINK("https://yourei.jp/懐かしい", "查看例句")</f>
        <v/>
      </c>
    </row>
    <row r="6314">
      <c r="A6314" t="inlineStr">
        <is>
          <t>懐く</t>
        </is>
      </c>
      <c r="B6314" t="inlineStr">
        <is>
          <t>成功</t>
        </is>
      </c>
      <c r="C6314" t="inlineStr">
        <is>
          <t>読み方：なずく
［動カ五（四）］⇒なつく</t>
        </is>
      </c>
      <c r="D6314" t="inlineStr">
        <is>
          <t>懐くことなく(2%)；懐くべき</t>
        </is>
      </c>
      <c r="E6314" t="inlineStr">
        <is>
          <t>持つ；抱く；宿す；抱懐；懐抱</t>
        </is>
      </c>
      <c r="F6314" t="inlineStr">
        <is>
          <t>よく懐く</t>
        </is>
      </c>
      <c r="H6314" t="n">
        <v>29</v>
      </c>
      <c r="I6314" t="inlineStr">
        <is>
          <t>いつまでも消えない悲しみを胸に懐くようなことになるかも知れない。；そのせいかどうかは知らないが、ピスは決して俺に懐こうとしなかった。；彼は苛立ってくる心持を懐いて、二階の室に逃げて行くの外はなかった。；人間によく懐く性質であり、初期は登場人物らと行動を共にしていた。；あの表情を見、あの声を聞いた者だけが、心に懐くことのできる設問だ。；そのくせ葉子は露ほどもその兇器に怖れを懐いているわけではなかった。；李子夫人の方では決して、至にさうした蔑みを懐いてゐたわけではない。；特に音夢に懐いており、同じ風紀委員会の中で常に行動を共にしている。；若干十七歳にして「将軍格」のこの少女は、随分と兄に懐いているのだ。；なるほどそれは左門のかねて懐いてゐた偽らぬ思ひのひとつであつた。；野生下では臆病で人間から逃げるが、飼育下では人間に懐くこともある。；インデックスが異常に上条を庇ったり懐いたりする理由も分かってきた。；また幼いうちから飼い始めたからといって懐きやすいとは限らない。；山の懐いている秘密のいくかつを知ることができたのも本を読んだからであった。；だけど俺には初めて会った時から不思議と懐いてくれていた。；あれだけメリーに懐いていた子供たちも、やはり本当の父と母が一番だった。；見たところ、商売は繁盛し、店の者たちもあなたに懐いているようだ。；しかし表面は全く悪感情を懐いて居るように見えてあるです。；幼いイエズスは音楽や文学に興味を懐くにはまだあんまり幼な過ぎる。；彼らはその美しい羽毛のために珍重され、その飼い主に非常によく懐く。；時臣は、父である自分に対して娘が懐いている敬意と憧憬を知っていた。；そんな不遜な気持を懐いているなら、あんな謙譲な文を贈るわけはない。；彼は彼女に愛情を懐いてはいましたが、彼女の方のことは更に見当がつきませんでした。；彼女の懐いた懸念に対する回答はすぐに彼女の女主人からもたらされた。；けれどもこれ以来、忘れられぬ恨みを懐いたのは投げられた方の人であります。；彼はテッジーが助手を使って実験を行うのに不安を懐いたのである。；現実に対して不満を感じ疑いを懐くところから私たちの哲学も始るのである。；葉子に懐いている幼い子が先きへ乗ったところで、長女がそれに引かれた。；米友が竜之助に疑いを懐きはじめたのは、蓋しこの時からのことであります。</t>
        </is>
      </c>
      <c r="J6314">
        <f>HYPERLINK("https://www.weblio.jp/content/懐く", "词义详情")</f>
        <v/>
      </c>
      <c r="K6314">
        <f>HYPERLINK("https://yourei.jp/懐く", "查看例句")</f>
        <v/>
      </c>
    </row>
    <row r="6315">
      <c r="A6315" t="inlineStr">
        <is>
          <t>名付ける</t>
        </is>
      </c>
      <c r="B6315" t="inlineStr">
        <is>
          <t>成功</t>
        </is>
      </c>
      <c r="C6315" t="inlineStr">
        <is>
          <t>読み方：なづける
［動カ下一］［文］なづ・く［カ下二］名をつける。命名する。また、呼びならわす。称する。呼称する。「子犬をシロと—・ける」「天気雨のことを—・けて狐の嫁入りという」</t>
        </is>
      </c>
      <c r="D6315" t="inlineStr">
        <is>
          <t>名付けるべき</t>
        </is>
      </c>
      <c r="E6315" t="inlineStr">
        <is>
          <t>いう；言う；呼ぶ；と呼ぶ；命名</t>
        </is>
      </c>
      <c r="H6315" t="n">
        <v>29</v>
      </c>
      <c r="I6315" t="inlineStr">
        <is>
          <t>これらの化合物を名付けるときは、その構成を考慮しなければならない。；モンゴル人は縁起の良い言葉や仏教的な言葉を選んで子供を名付ける。；これにはF興奮と名付けるべきものが、極めて著しく出ているではないか。；近頃こつちではこんな小説を高等探偵小説と名付けることになつてゐる。；自分専用のサポートプログラムを作り、ティエラと名付けるほど愛していた。；これは両親が病気に罹らないよう願いを込めて名付ける名前である。；我が子や自作の作品中のキャラクターに頭韻法で名付けることもよくある。；近ごろこっちではこんな小説を高等探偵小説と名付けることになっている。；この縁で、最晩年に生まれた長男の名前に小さんの本名と同じ盛夫と名付ける。；植樹式では、この小惑星に「愛」と名付ける「命名式」が行われている。；月満ちて、故郷の病院で無事に男の子を出産し「宗夫」と名付ける雪子。；そうしてそれには調和と名付ける一定の厳密な法則が存在している。；マスコミが『一卵性母娘』と名付けるほどとても母思いで仲がよかった。；しかし、現段階でこのものに名付けるのは愚行でしかなかった。；それでもその中に自分の居間だけは作る事が出来たのであるが住家と名付けるだけの部屋を作る事は出来なかった。；それぞれ保守的方法と革命的方法と名付けることにしよう。；すなわち六四年に夫婦の間に長男が生まれると代父の役を買って出て、子供に自分の名、ルイと名付けることを許した。；樹枝状の一番簡単なものは中心から六本の枝が伸び出ただけのもので、それを星状と名付けることにする。；パラオ地方では痴情にからむ女同志の喧嘩のことをヘルリスと名付ける。；基本語は技の基本形態を名付けるためのベースを示す名称で、立・座・支持などの姿勢基本語と回転・ひねりなどの運動基本語がある。；そう祈るからこそ、胸の中で大きく、大きく育っていく気持ちを名付けることができないでいる。；規則では基地の名称を最寄りの町の名前にするようになっていたので、ロビンズと名付けることができなかった。；金髪や赤髪の子供が生まれた場合、比較的稀なケースであることから名前に反映させて名付ける場合がある。；かりに名付けるなら精神作用による遠隔移送法とでも言いましょうか。；また、当時の芸能人や有名人の名前を一部変更してキャラクターに名付けることが多かった。；このことは、時代名を個人や支配的な王朝名に因んで名付けるときに強く当てはまる。；草暦を知った天子はこれを賞賛し春を一年の最初とし、春節と名付けることを命じた。；ライオンと名付けることで、怪物への恐怖感がなくなったという。；これを人格と名付けるならば善とは人格の要求の実現である。</t>
        </is>
      </c>
      <c r="J6315">
        <f>HYPERLINK("https://www.weblio.jp/content/名付ける", "词义详情")</f>
        <v/>
      </c>
      <c r="K6315">
        <f>HYPERLINK("https://yourei.jp/名付ける", "查看例句")</f>
        <v/>
      </c>
    </row>
    <row r="6316">
      <c r="A6316" t="inlineStr">
        <is>
          <t>納豆</t>
        </is>
      </c>
      <c r="B6316" t="inlineStr">
        <is>
          <t>成功</t>
        </is>
      </c>
      <c r="C6316" t="inlineStr">
        <is>
          <t>読み方：なっとう
１よく蒸した大豆に納豆菌を加え、適温の中で発酵させた食品。粘って糸を引くので糸引き納豆ともいい、関東以北でよく用いる。《季冬》「—の糸引張って遊びけり／一茶」
２蒸した大豆に麹(こうじ)を加え、塩水に漬けて発酵させてから乾燥させた食品。浜納豆・大徳寺納豆・寺納豆などがある。《季冬》
３（関西地方で）甘納豆のこと。</t>
        </is>
      </c>
      <c r="D6316" t="inlineStr">
        <is>
          <t>納豆売り(5%)；納豆メーカー；納豆ご飯；納豆製造；納豆巻き</t>
        </is>
      </c>
      <c r="F6316" t="inlineStr">
        <is>
          <t>塩辛納豆；納豆賣；納豆用；瞬間納豆；海洋ミネラル納豆</t>
        </is>
      </c>
      <c r="G6316" t="inlineStr">
        <is>
          <t>納豆汁；納豆ダイエット；納豆の日；納豆昆布</t>
        </is>
      </c>
      <c r="H6316" t="n">
        <v>29</v>
      </c>
      <c r="I6316" t="inlineStr">
        <is>
          <t>納豆売りをしていて、八時までに来ることができなかったのではないか。；適度な温度や十分な時間や酸素がないと納豆にならず煮豆のままとなる。；納豆製造業者とそれに関わる業者との橋渡し的存在となる組織である。；また、納豆も平気で食べられるなど日本食にも初めから適応できていた。；吉公は、昨日と同じようにして、一銭で二銭の納豆を騙して取りました。；あたしは視線てものが納豆と同じに糸引くものだって、その時初めて知ったわ。；納豆は叩いたものを使用するが、店によっては粒のまま巻くものもある。；おそらく納豆民族というのは関東から北に棲息しているのではないだろうか。；みんなも坂部先生の言葉で、芳子から納豆を買ってやった思い出がある。；子供の頃にしばしば、ご飯に乗せて納豆のように食べていたという。；当初は納豆にネギなどで食べられておりサバ缶は一般に使われていなかった。；あづま食品株式会社は栃木県宇都宮市に本社を置く納豆を製造する企業。；納豆の日本一を決定する全国納豆鑑評会を主催している事でも有名である。；父はその時から命のをはるまで納豆を食はずにしまつただらうと僕はおもふ。；矢部は、日本で初めて納豆を微生物学的に研究したことでも知られる。；世界中の人々に納豆を好きになってもらうためにこの世に誕生した納豆の妖精。；「おやこの納豆やさん、こないだの子だね」 などと云うことがあった。；とにかく気がついたら私は納豆民族に帰化していたのであった。；見てる内に、瞬間納豆製造機MARK・IIのLEDが勝手に点灯した。；茶漬けであってもなくても、納豆はこうして食べるべきものである。；中から甘納豆と思いのほか本物の納豆が出てきたから大さわぎになってしまった。；以前は略称を全納連としていたが、2013年に納豆連に変更された。；また、この地には神社仏閣が多数現存しており、納豆が名産となっている。；自分の身体ん中に危機回避の装置がなくなっとうってことやろうが!；私は少年時代九州に住んでいたこともあって、納豆は幻の食べ物だった。；そのため、納豆という食品の形で食べた場合とは作用が異なると考えられる。；納豆売の来る頃には、娘もおきて来て、少し迷惑のやうに、働きはじめた。；山下とサトルは、テーブルの上に吐き出された納豆を、無言で見つめた。；いわゆる納豆にも豆を使わなかった時代があるのではなかろうか。</t>
        </is>
      </c>
      <c r="J6316">
        <f>HYPERLINK("https://www.weblio.jp/content/納豆", "词义详情")</f>
        <v/>
      </c>
      <c r="K6316">
        <f>HYPERLINK("https://yourei.jp/納豆", "查看例句")</f>
        <v/>
      </c>
    </row>
    <row r="6317">
      <c r="A6317" t="inlineStr">
        <is>
          <t>納得</t>
        </is>
      </c>
      <c r="B6317" t="inlineStr">
        <is>
          <t>成功</t>
        </is>
      </c>
      <c r="C6317" t="inlineStr">
        <is>
          <t>読み方：なっとく
［名］(スル)他人の考えや行動などを十分に理解して得心すること。「—のいかない話」「説明を聞いて—する」</t>
        </is>
      </c>
      <c r="D6317" t="inlineStr">
        <is>
          <t>納得でき(10%)；納得する(8%)；納得させる(7%)；納得いか；納得させよ</t>
        </is>
      </c>
      <c r="E6317" t="inlineStr">
        <is>
          <t>やはり；契約；約束；範囲；確かに</t>
        </is>
      </c>
      <c r="F6317" t="inlineStr">
        <is>
          <t>納得せしめる；納得させれ；納得しがたい；納得できよ；納得できる</t>
        </is>
      </c>
      <c r="H6317" t="n">
        <v>29</v>
      </c>
      <c r="I6317" t="inlineStr">
        <is>
          <t>それにハイデッガーが何に典拠を求めていたかを知ればやや納得もいく。；しかしその点を考慮してもこの成績はチームを納得させるに至らなかった。；文字を心の中で音声化していては速く読めないことは容易に納得できる。；なぜ国技かとなると説明はしにくいが、だれもがなっとくしているのだ。；住民が納得し補償交渉が再開したのは翌1954年4月のことであった。；しかし一人一人の目を見つめながらの女王の強い意思に、国民も納得した。；しかし、それに納得できない兄弟らは全員自害し義綱は為義に投降した。；この方法の利点は、プレイヤーが結果に納得し理解しやすい点である。；しかし講師の指導内容に納得が行かず、従わない事がしばしばあった。；最終的には、面談を重ねそれぞれが納得いくように考慮して決定する。；何回も書き直して最後に納得がいったものをスタッフに渡したという。；教室よりは、自分で本を読んで納得がゆくまで考えるのが性に合っていたという。；誰もが納得できるそうした存在が、それまでのアメリカにはなかったのである。；ハルヒの納得するゲームを作らなければまた4週間前に戻ってしまう。；誰かに虚偽を納得させるのは、現実には詐欺と明白な虚偽の言葉である。；自分ひとりが説明を聞いて納得しても我々の気持ちは収まらんよ。；いざと言う時に自分を守る制度であるから納得するまで説明を受けたほうが良い。；陽子は真介の意見に納得し、派遣したスタッフを採用することを決意する。；言葉はちがうが意味は同じだといっても、なっとくされないであろう。；北野自身も「この成績では僕が監督でも首にしますよ」と納得の引退だった。；実際にそれらが同じことを指していることを納得するには、多少の慣れが必要である。；その上で相手が納得したら、その時点で修正を行ってください。；しかしそれも、大石先生にはまだなっとくのいかぬ、赴任二日めである。；巨人や五輪代表で、抑えとして起用されたことに本人は納得していなかった。；納得せずにはいられなかった泉は、父親に一言別れの挨拶を告げ、立ち去る。；まとめ買いをする前に味見をし、納得してから購入することも出来る。；これまで理解できなかった多くのことがそれでなっとくできたといっていましたからね。；何を書いても、どんな曲を作っても、自分で納得できないそんな状況が続いていた。；作詞にも携わった中山は今作が初めて納得のいく曲になったと語っている。</t>
        </is>
      </c>
      <c r="J6317">
        <f>HYPERLINK("https://www.weblio.jp/content/納得", "词义详情")</f>
        <v/>
      </c>
      <c r="K6317">
        <f>HYPERLINK("https://yourei.jp/納得", "查看例句")</f>
        <v/>
      </c>
    </row>
    <row r="6318">
      <c r="A6318" t="inlineStr">
        <is>
          <t>夏休み</t>
        </is>
      </c>
      <c r="B6318" t="inlineStr">
        <is>
          <t>成功</t>
        </is>
      </c>
      <c r="C6318" t="inlineStr">
        <is>
          <t>読み方：なつやすみ
学校・会社などで、夏季に設けられた休暇。暑中休暇。夏期休暇。《季夏》</t>
        </is>
      </c>
      <c r="D6318" t="inlineStr">
        <is>
          <t>夏休み中(4%)；夏休み前(2%)；夏休み期間中；夏休み明け；夏休み最後</t>
        </is>
      </c>
      <c r="F6318" t="inlineStr">
        <is>
          <t>長い夏休み；夏休み最終日；夏休み後半；夏休み限定；夏休み初日</t>
        </is>
      </c>
      <c r="G6318" t="inlineStr">
        <is>
          <t>夏休み帳；夏休み子ども科学電話相談；夏休みの友；夏休みだけのサイドシート</t>
        </is>
      </c>
      <c r="H6318" t="n">
        <v>29</v>
      </c>
      <c r="I6318" t="inlineStr">
        <is>
          <t>そんな時学校が夏休みとなり、両親は仕事の都合で海外に行ってしまう。；学校の帰りや夏休みなどに、現場のそばに行ってじっと見ていました。；特に何事も無かった夏休みも終わり、再び学園生活が始まったある日。；学校に通う子供がいる家庭にとっては、夏休み最後の旅行の機会となる。；夏休みに機械工場で働き始めたのが技術者としての経歴の始まりである。；そもそも播磨と会話を交わすようになったのは夏休みの途中のことである。；映画は夏休みの恋をテーマにした、以下の4つの物語が並行して進んでいく。；夏休みと冬休みの2回、ゲームの舞台となる北海道を訪れることになる。；主人公のクラスメイトたちは夏休みが始まるのを楽しみにしていた。；プールの方は世間一般的に夏休みと呼ばれる期間にのみ利用できる。；夏休みを迎え、ロンドン郊外の自宅へ帰ると、両親が荷造りをしていた。；好きな食べ物はそばで、夏休みがあれば全国そばめぐりをしたいと語る。；家族が帰国後も父はまだ日本にいたため、夏休みになると東京へ遊びに来ていたという。；街は学園都市としての性格が強く、夏休みの時期には人口が激減する。；この他にも「夏休み」は様々なアルバムに様々なバージョンが収録されている。；兄好きな5人の妹たちと主人公が過ごす夏休みを描いた物語である。；基本的に生徒たちは夏休みの終わりから2週間かけて準備をすることになっている。；一部の回によっては高校野球や夏休みの影響で再放送がなかったりもした。；その年の夏休みから露伴による生活技術の教育を受けるようになる。；その後は東京都で生活するが、夏休みや冬休みは水沢で過ごしていた。；メンバーの殆どは協調性があり、全員で夏休みの旅行に出掛ける事もある。；大学院への進学を期待されながらもどこに進学するか決めないでうつろな夏休みが始まる。；夏休みの期間は、日本では7月下旬から8月下旬までが一般的である。；さぁ、夏休みまでの一ヶ月、短い夏の準備を、恋の物語をはじめましょう。；NHKBS2で夏休みなどに朝のアニメスペシャルで一時期放送された。；また、同作品は2006年BS夏休みアニメ特選枠内にて一部放送した。；ほとんどの競技は夏休み中に行われるが、一部競技は9月に秋季開催される。；合格後、高校1年生の夏休みに秋田県から東京都の高等学校へ転校した。；夏休みなど学校休みの時期になると、女子高校生大会なども企画されていた。</t>
        </is>
      </c>
      <c r="J6318">
        <f>HYPERLINK("https://www.weblio.jp/content/夏休み", "词义详情")</f>
        <v/>
      </c>
      <c r="K6318">
        <f>HYPERLINK("https://yourei.jp/夏休み", "查看例句")</f>
        <v/>
      </c>
    </row>
    <row r="6319">
      <c r="A6319" t="inlineStr">
        <is>
          <t>撫でる</t>
        </is>
      </c>
      <c r="B6319" t="inlineStr">
        <is>
          <t>成功</t>
        </is>
      </c>
      <c r="C6319" t="inlineStr">
        <is>
          <t>読み方：なでる
［動ダ下一］［文］な・づ［ダ下二］
１てのひらで軽くさわり、さする。「犬の頭を—・でる」
２物や風などが軽く触れる。「高原の風が頰を—・でる」
３髪に櫛(くし)を入れる。
「化粧鏡を取出し鬢を—・でて」〈荷風・腕くらべ〉
４大切にする。いたわる。いつくしむ。
「善を—・で悪を罪するは天なり」〈読・雨月・貧福論〉</t>
        </is>
      </c>
      <c r="D6319" t="inlineStr">
        <is>
          <t>撫でるような仕草</t>
        </is>
      </c>
      <c r="E6319" t="inlineStr">
        <is>
          <t>愛撫；こする；擦る；なでる；さする</t>
        </is>
      </c>
      <c r="F6319" t="inlineStr">
        <is>
          <t>優しく撫でる；軽く撫でる；ゆっくりと撫でる；やさしく撫でる；逆撫でる</t>
        </is>
      </c>
      <c r="H6319" t="n">
        <v>29</v>
      </c>
      <c r="I6319" t="inlineStr">
        <is>
          <t>やがてその灰色の幕は森の頭を撫でて、後方から前へと持って来られた。；彼は気味の悪い感じを彼の全身に伝えるこの塊を軽く指頭で撫でて見た。；だが彼に撫でられる間ですら彼の背後にいる不可視の何かを見ていた。；幽霊の冷たい手で一度ぐらい顔を撫でられても驚くのではありません。；それを視ているとたちまち悲しみが彼の顔を撫でまくるような気持がした。；カヌーの上にいるトモを撫でて通過していき、どの風もどこかへ消えた。；彼の肩や背中を撫でる左手は、まるで姉のごとく慈愛の方に傾いている。；切り傷ができて固くなった指の皮膚で、写真の彼女の顔をそっと撫でる。；案山子と言われたのが不足らしく、そっぽを向いて顎を撫でております。；次いで、ああ飛んでもないことを言はなくつてよかつたと胸を撫でおろした。；すぐ側で少女は震えて泣いているのに、彼はその頭を撫でる事すらできない。；父は最後に頭を撫でるでもなく言葉を交わすでもなく、突然いなくなった。；祖父は孫の姿に一瞬は驚くも、その頭を撫でて光円の名を聞き、涙を流す。；却ってその傍に居た婆さんが、私の頭を撫でたり、抱いたりしてくれた。；また、岸によると、山中は照れるとすぐ顎を撫でるのが癖だったという。；自分の体の悪い所と同じ部分を撫でると病気が治ると言い伝えられている。；単に、子どもの頭を撫でるようにおだててくれていただけなのに違いない。；何か言うのかと思うと、手を口のところへ持って行って、口びるを撫でた。；首を振ったのがレイフォンのかけた制服を撫でる髪の音でわかった。；彼は自分の手がスウと持上って、孫火庭の身体を撫でているのを見た。；この北極風が労農共和国の氷原を撫でて来るために現在の寒さであると。；と、心持寒い風が、彼のその帽子を被つてない頭を撫でてゆくのだつた。；七郎は真の目の前に両掌を向け、暗闇で壁でも撫でるような恰好をした。；私は変わったものを、目で見るかわりに、撫でてみるのが楽しみなのである。；彼は腕組みを、つぎに右手で顎を撫でながら、二三歩いったり来たりした。；頭の上には落葉松の枝が黒々と広がり、それを実のある樅が撫でていた。；いつまでも平の続く地平線を撫で移って行く感覚は退屈なものである。；濡れた体を撫でるその風のどこかに、音楽を聞いたように思った。；男の指先がうっかりと触れてしまったかのように、ゆるみの奥を撫でる。</t>
        </is>
      </c>
      <c r="J6319">
        <f>HYPERLINK("https://www.weblio.jp/content/撫でる", "词义详情")</f>
        <v/>
      </c>
      <c r="K6319">
        <f>HYPERLINK("https://yourei.jp/撫でる", "查看例句")</f>
        <v/>
      </c>
    </row>
    <row r="6320">
      <c r="A6320" t="inlineStr">
        <is>
          <t>など</t>
        </is>
      </c>
      <c r="B6320" t="inlineStr">
        <is>
          <t>成功</t>
        </is>
      </c>
      <c r="C6320" t="inlineStr">
        <is>
          <t>読み方：など
［副］《「なにと」の音変化》なぜ。どうして。
「—かくはするぞ」〈宇治拾遺・一〇〉</t>
        </is>
      </c>
      <c r="D6320" t="inlineStr">
        <is>
          <t>など様々；など多数；などさまざま；など多岐；など複数</t>
        </is>
      </c>
      <c r="E6320" t="inlineStr">
        <is>
          <t>とか；その他；云々；等々；エトセトラ</t>
        </is>
      </c>
      <c r="F6320" t="inlineStr">
        <is>
          <t>余裕などない；放つなど活躍；獲得するなど活躍；狩猟などにより生息；試合結果などについて記載</t>
        </is>
      </c>
      <c r="G6320" t="inlineStr">
        <is>
          <t>などて</t>
        </is>
      </c>
      <c r="H6320" t="n">
        <v>29</v>
      </c>
      <c r="I6320" t="inlineStr">
        <is>
          <t>物語の舞台は大阪などに移り、次は気象予報士になるための勉強を開始。；印刷物には文字だけでなく挿し絵などの図版も必要とされることが多い。；また、印刷された文字にマージナルゾーンが見られるなどの特徴がある。；その一方で、メーカー側などでは80年前後保存が可能とする指摘もある。；小山力也などは別の大学を卒業してからこれらの大学に進学した。；簡単な管理、無制限のユーザー数、無制限のデータサイズなどを特徴とする。；これらの法則は、天体の運行などの観測結果をよく説明することができた。；その分野の歴史や他の学問への影響、方法論などはさまざまである。；同時に城下町も碁盤目状に整備され、家臣や商人・職人などが定住した。；これらの数字は、カスピ海など外洋と接続していない海は含まれない。；パイロットのみならず、劇場版や最終巻などの主要回の演出を全て務め上げた。；ホラー映画は、日本・韓国・イタリア・タイなどの映画撮影で特に普及である。；呪術などに用いられたものではないかとする説などもある。；これらの照明現象はデザイナーなどにより調整されなくてはならない。；また、よしもとばなななどの作家も、彼女に大きな影響を受けている。；葉の色・空の色・顔色などをいずれも「アオ」と表現するのはここに理由がある。；は、栽培品種名などの名称を登録し、管理する責任を負う機関である。；また、現代でも中将棋などにはわずかではあるが愛好家が存在する。；機能を持たせる化学合成の例は医薬品製造やナノテクノロジーなどである。；集合の予定時間に自宅を出発する人がいるなど、時間設定の個人間のずれを指す。；石嶺は「私は議会が選んだ議員ではない」などとして辞職を拒否している。；都市部などでは現地化した標準イタリア語に取って代わられている。；画像処理などへの応用を意図されており、非ノイマン型として言及がある。；古典教養の涵養や芸術品の蒐集なども兼ねて上流階級の旅行が盛んになった。；タイヤなどの部品メーカーの場合も含まれることがある。；この様子はテレビなどで報道され売り上げに貢献した。；不定称を除いた場合、3系列をなす言語は日本語や朝鮮語などがある。；メディチ家などの文化支援活動に支えられてルネサンス文化が花開いた。；画面の再描画などを抑止するほか、高速実行するための仕組みを備えている。</t>
        </is>
      </c>
      <c r="J6320">
        <f>HYPERLINK("https://www.weblio.jp/content/など", "词义详情")</f>
        <v/>
      </c>
      <c r="K6320">
        <f>HYPERLINK("https://yourei.jp/など", "查看例句")</f>
        <v/>
      </c>
    </row>
    <row r="6321">
      <c r="A6321" t="inlineStr">
        <is>
          <t>斜め</t>
        </is>
      </c>
      <c r="B6321" t="inlineStr">
        <is>
          <t>成功</t>
        </is>
      </c>
      <c r="C6321" t="inlineStr">
        <is>
          <t>読み方：ななめ
［名・形動］《「なのめ」の音変化》
１垂直・水平面や正面に対し、方向がずれていること。また、そのさま。はす。はすかい。「少し—を向く」「帽子を—にかぶる」
２日や月が中天を過ぎること。「日ざしが—になった」
３普通とは違っているさま。正常でないさま。「ご機嫌が—だ」「世間を—に見る」
４普通。ひととおり。世間なみ。
「げに—にかたほなるだに、人の親の習ひ、いかが思ふめるに」〈浮・男色大鑑・三〉
５ひととおりでないさま。甚だしいさま。
「西行—に喜びて」〈仮・薄雪〉</t>
        </is>
      </c>
      <c r="D6321" t="inlineStr">
        <is>
          <t>斜め前(4%)；斜め後ろ(3%)；斜め下(3%)；斜め向かい；斜め後方</t>
        </is>
      </c>
      <c r="E6321" t="inlineStr">
        <is>
          <t>斜；曲がった</t>
        </is>
      </c>
      <c r="F6321" t="inlineStr">
        <is>
          <t>左斜め；斜め右；向かって斜め；斜め向い；斜め向き</t>
        </is>
      </c>
      <c r="G6321" t="inlineStr">
        <is>
          <t>斜め十字；斜め読み；斜め一文字；斜め棒銀；斜め屋敷の犯罪</t>
        </is>
      </c>
      <c r="H6321" t="n">
        <v>29</v>
      </c>
      <c r="I6321" t="inlineStr">
        <is>
          <t>人が近づいたり植物が揺れたりすると、後脚を斜めに挙げる動作をとる。；斜めだと大気の薄い高度の高い所で光っている時間が長くなるからである。；前の節までのパターンは縦か横に動くが、これは斜め45度方向に動く。；それには上の表の一番下の斜めのマスに入っている数値群を使用する。；橋脚内部にはエレベータがあり、斜めに上がっていくようになっている。；左側は銀色逆向き斜め帯の下に赤い爪と舌を持った左右逆向きの黒い獅子。；後方から真下を超えて斜め前方にまで角度変更が可能なことがわかる。；簡便なものは中心機構のみが可動で、それぞれの穂は紙に斜めに接する。；画像左上から右下へかけ斜めに線状に見えるのが、上の棒道である。；駅周辺の線路には堤防への勾配があるため、駅ホームも斜めになっている。；鳥の雁が斜めに並んで飛ぶ様子が階段の形に見えるため、このように呼ぶ。；そのため水底ではなく水の中層に頭を少し斜め下にして静止している。；左右の裂片は中心となる葉ほどは長くならず、左右やや斜め先端方向に出る。；本来は非常に弱い駒で斜めに一歩ずつ進むことしかできなかった。；面積は広くなったが、斜め前方に角があり視界が悪い欠点もあった。；頭を下げた斜めの状態で泳ぐ種類が多く、英語名の由来となっている。；ちなみにこの時、サイドワインダーは斜め横を向いた状態にセットされる。；この沿岸流と汀線に斜めに入射してくる波によって沿岸漂砂が発生する。；その関係は斜めの関係と呼ばれている関係の一例である。；上部の字は肩幅、下部の字は袖があり、前襟を斜めに合わせた形に象る。；向かって右は、右を向いた獅子の頭部で銀の斜め帯がその上に書かれている。；球面ころ軸受は斜め方向の荷重であっても自動的に調整して支持できる。；描かれている人物たちが地表に投げかけている斜めの影はごく短い。；頭部には頭頂から目を通り上顎に達する黒褐色の帯模様が斜めに走る。；磁場の方向に伝播する傾向にあるが、磁場と斜めの向きにも伝わりうる。；再び県道に出て右の高台に池が見えてきたら左斜めに分岐する細道に入る。；テーブル型筐体はモニターが斜めに突出する特殊な形状となっていた。；テクスチャを張った面が斜めだった場合、ボケたように見えてしまう。；この斜めストライプのデザインは1260年から既に用いられていた。</t>
        </is>
      </c>
      <c r="J6321">
        <f>HYPERLINK("https://www.weblio.jp/content/斜め", "词义详情")</f>
        <v/>
      </c>
      <c r="K6321">
        <f>HYPERLINK("https://yourei.jp/斜め", "查看例句")</f>
        <v/>
      </c>
    </row>
    <row r="6322">
      <c r="A6322" t="inlineStr">
        <is>
          <t>何</t>
        </is>
      </c>
      <c r="B6322" t="inlineStr">
        <is>
          <t>成功</t>
        </is>
      </c>
      <c r="C6322" t="inlineStr">
        <is>
          <t>読み方：いず
［代］不定称の指示代名詞。どこ。上代東国方言という。
「多由比潟(たゆひがた)潮満ち渡る—ゆかもかなしき背ろが我がり通はむ」〈万・三五四九〉
[補説]接尾語などを伴って、「いずく」「いずち」「いずれ」などの不定称代名詞をつくる。</t>
        </is>
      </c>
      <c r="D6322" t="inlineStr">
        <is>
          <t>何人(4%)；何度(3%)；何年；何より；何十</t>
        </is>
      </c>
      <c r="F6322" t="inlineStr">
        <is>
          <t>何回；何處；何万；何世紀；何倍</t>
        </is>
      </c>
      <c r="G6322" t="inlineStr">
        <is>
          <t>何とか；何らかの；何処；何事；何故</t>
        </is>
      </c>
      <c r="H6322" t="n">
        <v>29</v>
      </c>
      <c r="I6322" t="inlineStr">
        <is>
          <t>緊張の高い時のほか、何かに夢中になっているときにも笑いは生じない。；したがって独立して何度かの地衣類化が起こったのだと考えられている。；これらの名前が何の意味かは色々な解釈があるが明確には分からない。；しかし、これらの原因が何であるのか、約100年近く謎とされていた。；自分が何かを完成させることができたのはこれが初めてではないかと思います。；何百万人もの農民が工業化された都市に移動し、国は急速に発展した。；抽象的なイメージよりも具体的な何かがあった方が理解しやすいためである。；ただし、彼らがこれを使って何か意味のある観察をしたという記録はない。；このことは壁そのものに対して西側からは何も出来ないことを意味していた。；時代が何周もしてようやくラジオに追いついたというか、戻ったというか。；XMLを使用すべきかとの議論が何年も続けられているが、進展は遅い。；ビールのデンプン源に何を使用するかで、その濃さや風味が左右される。；統一の動きが何度かあったが、いまのところ実現に至っていない。；この演説に感動した一高生の何人かは荷物をまとめて一高を去ったという。；もちろん死刑の廃止と復活は、世界中で史上何度も行われてきている。；したがって月が出てさえいれば、その日が何日であるか暦がなくてもわかる。；技術的な面では何も問題は無く、単純な採算性の問題となっている。；昭和天皇は「佐藤は何を考えているんだろうね」と困惑していたという。；モジュタヘドになるためには、通常何十年もの年月を要したからである。；タングラムを遊んでいたとされる19世紀の欧米の著名人は何人かいる。；微分係数 とは何であるか直観的に説明するには、いくつかの方法がある。；ばねの設計上でまず重要となるのは、何の用途に使うかを明確にする点である。；類が極度に広いと、存在・もの・何かなどの語を使わざるを得ないことになる。；敵から逃げることに成功した場合も戦闘終了となるが、この場合は何も得られない。；最初の新聞は1873年に発行され、今日では何百もの印刷所がある。；その後も秋葉原などでユーザー主催のイベントが何回か開かれた。；ところが、哲学の場合は名前を聞いただけでは何を研究する学問なのか分からない。；しかし、駅開設直後は駅周辺には何もない更地ばかりの状況だった。；それを見つけたフィガロは何をしているのかと上機嫌で声をかける。</t>
        </is>
      </c>
      <c r="J6322">
        <f>HYPERLINK("https://www.weblio.jp/content/何", "词义详情")</f>
        <v/>
      </c>
      <c r="K6322">
        <f>HYPERLINK("https://yourei.jp/何", "查看例句")</f>
        <v/>
      </c>
    </row>
    <row r="6323">
      <c r="A6323" t="inlineStr">
        <is>
          <t>何か</t>
        </is>
      </c>
      <c r="B6323" t="inlineStr">
        <is>
          <t>成功</t>
        </is>
      </c>
      <c r="C6323" t="inlineStr">
        <is>
          <t>読み方：なにか
［連語］
《代名詞「なに」＋助詞「か」》
１《「か」は副助詞》感覚・願望などの内容がはっきりしない事物をさす。「—がありそうだ」「お茶か—飲みたい」
２《「か」は係助詞。感動詞的に用いる》
㋐相手の言葉・気持ちを確認しようとする意を表す。「それなら—、君のほうが正しいというのだな」
㋑今まで述べてきたことや相手の言葉などを否定して、それとは反対の趣旨を述べるときに用いる。いやいや。とんでもない。
「—。この歌よみ侍らじとなむ思ひ侍るを」〈枕・九九〉
《副詞「なに」＋助詞「か」》
１《「か」は副助詞》はっきりした訳もなく、ある感情が起こるさま。どことなく。なんだか。「—気味が悪い」
２《「か」は係助詞》
㋐疑問の意を表す。なぜ…か。どうして…か。
「あしひきの山も近きをほととぎす月立つまでに—来鳴かぬ」〈万・三九八三〉
㋑反語の意を表す。どうして…か、いやそんなことはない。
「命だに心にかなふものならば—別れの悲しからまし」〈古今・離別〉</t>
        </is>
      </c>
      <c r="D6323" t="inlineStr">
        <is>
          <t>何か恐ろしい；何か面白い；何かいおう；何かしきりに；何か言いたげ</t>
        </is>
      </c>
      <c r="E6323" t="inlineStr">
        <is>
          <t>なんだか；何だか；何となく；どういうわけか；何かしら</t>
        </is>
      </c>
      <c r="F6323" t="inlineStr">
        <is>
          <t>何かにとり憑かれ；何か云いたそう；何か喋舌；何か云いたげ；何か用事ありげ</t>
        </is>
      </c>
      <c r="H6323" t="n">
        <v>29</v>
      </c>
      <c r="I6323" t="inlineStr">
        <is>
          <t>赤の本と青の本があった場所には、何かが燃えた跡だけが残されていた。；緊張の高い時のほか、何かに夢中になっているときにも笑いは生じない。；政治と軍事の正しい関係とは何か、これを達成するにはどうすればよいか。；物語全体で他の何かを暗示するように構成されたものは寓喩と呼ばれる。；そこで中尉は様々なことを体験し、真の軍人とは何かということを知る。；目的は主に何かを盗む事であり、そのほとんどがバナナに関係している。；これを狸踊りと呼ぶのは、何かの勘違いから発生したものと考えられる。；自分が何かを完成させることができたのはこれが初めてではないかと思います。；撒き餌とは、敵が見つけて拾うように何か物を落としておくことである。；彼はこの根拠を求めるために、美を定義するのに必要な性質は何かを探る。；これは原子が電荷を持つ何かを内部に持っていることを示唆していた。；抽象的なイメージよりも具体的な何かがあった方が理解しやすいためである。；ただし、彼らがこれを使って何か意味のある観察をしたという記録はない。；人々が何かを作り上げる楽しみを知る機会を得ることに影響を与えたと思う。；この世界の魔術は何かを媒体としなければ発生させることができない。；だから私は何か新しいことをするためにニューヨークに行った。；並びに何か事故が発生した場合は、発走前に告知するようになっている。；自発的に何かを繰り返すようにすることを指して使われることもある。；何か作業をしているとき、本人に代わってその作業の続きをやってくれる道具。；表に出ずに他人をそそのかして何かをさせることを「さしがね」という。；本を開くと、ページの枠内が動き始め、何かを喋っている男の顔が現れる。；しかし、彼はそんな日々の生活に何か足りないものを感じていた。；家を留守にする際、家に何かが起きても出先で知ることのできる機械。；これは何か複雑なことのように聞こえるかもしれないが、実際は単純である。；特に、その過程で何か他のものを失う可能性がある場合はなおさらである。；この場合、何か特定の指示を表す1ないし数文字を後ろに伴って使われる。；その代わりに何かやれと命令されたらその通りにやります。；特に何かを強制させようとするとそれが顕著に現れ極めて攻撃的になった。；政治に関わることはなかったが、何か問題が起こるたびに助言を求められた。</t>
        </is>
      </c>
      <c r="J6323">
        <f>HYPERLINK("https://www.weblio.jp/content/何か", "词义详情")</f>
        <v/>
      </c>
      <c r="K6323">
        <f>HYPERLINK("https://yourei.jp/何か", "查看例句")</f>
        <v/>
      </c>
    </row>
    <row r="6324">
      <c r="A6324" t="inlineStr">
        <is>
          <t>何気ない</t>
        </is>
      </c>
      <c r="B6324" t="inlineStr">
        <is>
          <t>成功</t>
        </is>
      </c>
      <c r="C6324" t="inlineStr">
        <is>
          <t>読み方：なにげない
［形］［文］なにげな・し［ク］はっきりした考えや意図がなくて行動するさま。また、そのように見えるさま。さりげない。「—・いふうを装う」「—・く近づく」
[補説] 「何気に」は「何気ない」の「ない」を取り、形容動詞活用語尾「に」を付けて副詞化した語。似た語に「さりげない」から派生した「さりげに」がある。
[派生]なにげなさ［名］</t>
        </is>
      </c>
      <c r="D6324" t="inlineStr">
        <is>
          <t>何気ない風(8%)；何気ない様子(6%)；何気ない日常(5%)；何気ない口調(4%)；何気ない調子(4%)</t>
        </is>
      </c>
      <c r="E6324" t="inlineStr">
        <is>
          <t>偶発的；偶然的；平然たる；無頓着；無造作</t>
        </is>
      </c>
      <c r="F6324" t="inlineStr">
        <is>
          <t>何気ないふり；何気ない体；何気ない素振り；何気ない動作；何気ない振り</t>
        </is>
      </c>
      <c r="H6324" t="n">
        <v>29</v>
      </c>
      <c r="I6324" t="inlineStr">
        <is>
          <t>何気なく見ていると、その人たちに共通していることに未羽は気づいた。；何気なく罫紙を取り上げて裏を返して見ると三四行の英語が書いてある。；何気ない日常に戻っただけで、何も変わったことはないのかもしれない。；何気なく身をよじったところで胸ポケットの中の携帯電話が目に入った。；姉が髪を染めた時、私もそんな感じにしようかしらと何気なく口にした。；何気なしに手にしたものの、だれと一緒に飲んだのか思い出せなかった。；夫人の何気ない言葉の中にある種の意味が含まれているようにも感じられた。；が、棚の一つに何気なく指を走らせていたウィルは意外な品を発見した。；それは、普段と全然変わらない会話をするような、何気ない口調だった。；何気なくホームを歩いていたわたしの眼が、一枚のポスターに止まった。；いくつかの曲の歌詞は、彼女と中田の何気ない会話を基に生み出された。；このように、生活上での何気ない部分で工夫をすることを得意としていた。；彼女は何気なく、自分の教え子が書いた日記のことを岩崎さんに話した。；「少し汗になったから着がえをしよう」 と何気ない調子でいい出した。；その時彼は何気なく上を見ると、電柱の中ほどに何か青い物を認めた。；何気ない振りをするために一日の大半のエネルギーを使い果たしてしまう。；大学の友人たちに相談した際、その一人が何気なしにしてくれた噂話。；そして何気なく擦れ違おうとすると、何か自分の手に触れる物を感じた。；「どこか、都市の外れに近い所だと思うわ」と、彼女は何気なく答えた。；整備班が客車へと向かおうとした時、百翼長は何気ない顔でつぶやいた。；そのとき私は何気なく柱を見た覚えがありますから、間違いはございません。；久保田さんは何気なくそれに眼を止めたが、次には一心に見つめ初めた。；河野は非常な努力をもって、何気ないふうをよそおいつづけていました。；何気ない風をして、きっと妙子にあって自分のことをきいたのだろう。；おれは何気ない風に交差点を左へ折れ、二〇メートルほど進んで右折した。；私は彼方から肥った女の人を乗せた一台の俥の来るのを何気なく見ていた。；何気なく首を上げた彼女は見るともなしにこちら側の窓を見た。；それは何気ない意見に過ぎなかったのだろうが、私以外の全員が青褪めた。；何気なく前を見ると、通りを渡った正面に大きなグッズショップあった。</t>
        </is>
      </c>
      <c r="J6324">
        <f>HYPERLINK("https://www.weblio.jp/content/何気ない", "词义详情")</f>
        <v/>
      </c>
      <c r="K6324">
        <f>HYPERLINK("https://yourei.jp/何気ない", "查看例句")</f>
        <v/>
      </c>
    </row>
    <row r="6325">
      <c r="A6325" t="inlineStr">
        <is>
          <t>何事</t>
        </is>
      </c>
      <c r="B6325" t="inlineStr">
        <is>
          <t>成功</t>
        </is>
      </c>
      <c r="C6325" t="inlineStr">
        <is>
          <t>読み方：なにごと
１どのような事柄。どんなこと。「—によらず命令に従う」「突然の銃声は—か」
２（多く「も」を伴って）あらゆること。万事。「—も辞さない」「—も運を天にまかせる」
３（相手をとがめる気持ちで）どうしたこと。なんということ。「こんなことで弱音を吐くとは—だ」
４不定の事柄をさしていう語。なになに。
「—の式といふ事は、後嵯峨の御代までは言はざりけるを」〈徒然・一六九〉</t>
        </is>
      </c>
      <c r="D6325" t="inlineStr">
        <is>
          <t>何事もなく(6%)；何事もなかったよう(4%)；何事も無く；何事もなし；何事も起らなかつ</t>
        </is>
      </c>
      <c r="E6325" t="inlineStr">
        <is>
          <t>何もかも；万事；何ごと</t>
        </is>
      </c>
      <c r="F6325" t="inlineStr">
        <is>
          <t>何事カ成；何事もなかりし；何事も無か；何事も起こりませ；何事もなく済ん</t>
        </is>
      </c>
      <c r="H6325" t="n">
        <v>29</v>
      </c>
      <c r="I6325" t="inlineStr">
        <is>
          <t>戦闘終了後は周囲の被害がすべて何事もなかったかのように修復される。；わたしは今まで何事に限らずこんなに我慢して待ったことはなかった。；が、別に何事もなかったものと見え、車はまた静かに進行を続け始めた。；また何事かあると面倒だから、鎌倉をまわって帰る方がいいでしょうよ。；博物館から帽子やオーバーを借出さねばならぬとは一体何事であろうか。；官僚派は資本家の援助がなければ何事もできないことはよく知っている。；しかもその晩は何事もなく、わたしは先生と一時間あまり話して帰った。；係官たちは帆村にそういわれて何事かを思い出そうと努めたが為である。；同日は何事もなかったが次の日寝たままの姿勢から立ち上がれなくなった。；小さい頃から和漢の書物に親しみ、何事にも積極的な娘であったという。；黒い影は祠の前で何事をしているのか、半七らの眼には見えなかった。；超人気の歌手だが、何事にも興味のないような冷めた性格をしている。；真理の前には何事を犠牲にしても、微笑していられるだけの熱情を持て。；ジャンは帰宅すると何事もなかったかのようにいつも通りに妻と接する。；女は夫の収入以外に夫に就いては何事をも知る必要がないのだ。；船を降りたときに二度の身体検査が行われたが何事もなく通過した。；自分は今自らこの事に就いて何事をも云ふ資格のないものであることを感じてゐる。；音楽だけでなく、何事に対してもドイツ的なものを強調する傾向にあった。；光った棒のようなものが、下のほうからこっちへ伸びてくるとは何事であろう。；ただしその次の回には何事も無かったかのように再登場する。；特に何事も無かった夏休みも終わり、再び学園生活が始まったある日。；何事かとたまげて、躊躇している間に、先方の車は矢の様に走りだした。；近所の人たちは、何事が起こったのかと思って、外に出てみました。；そうかと思えばまた、まるで無邪気に何事も気づいていない様でもあります。；その抜群の才能により、何事をなしても人より勝っていたのであろう。；彼は何事も知らないのであろうか、あるいは何かの秘密を知っているのであろうか。；明智ほどの人物をこんなに興奮させる発見とは、そもそも何事であったのか。；何事にも驚かずに、眼を大きくして正面にその問題に立向ひたいと思ふ。；しかし、夜が明けると辺りは何事もなかったかのように静まり返っていた。</t>
        </is>
      </c>
      <c r="J6325">
        <f>HYPERLINK("https://www.weblio.jp/content/何事", "词义详情")</f>
        <v/>
      </c>
      <c r="K6325">
        <f>HYPERLINK("https://yourei.jp/何事", "查看例句")</f>
        <v/>
      </c>
    </row>
    <row r="6326">
      <c r="A6326" t="inlineStr">
        <is>
          <t>何しろ</t>
        </is>
      </c>
      <c r="B6326" t="inlineStr">
        <is>
          <t>成功</t>
        </is>
      </c>
      <c r="C6326" t="inlineStr">
        <is>
          <t>読み方：なにしろ
［副］《代名詞「なに」＋動詞「する」の命令形「しろ」から》どんな事実や事情があっても、という気持ちを表す。なんにせよ。とにかく。「—今日中に終わらせなければ」「—この大雪では出かけられない」
→とにかく［用法］</t>
        </is>
      </c>
      <c r="D6326" t="inlineStr">
        <is>
          <t>何しろこんな；何しろ狭い；何しろ古い；何しろ向う；何しろ暑い</t>
        </is>
      </c>
      <c r="F6326" t="inlineStr">
        <is>
          <t>何しろあの人</t>
        </is>
      </c>
      <c r="H6326" t="n">
        <v>29</v>
      </c>
      <c r="I6326" t="inlineStr">
        <is>
          <t>何しろ自分の命を犠牲にして一種の社会政策をやっているんですからね。；何しろ、誰一人として殿のご無事なお姿を見たものはないのですからね。；が、何しろこの上ぐずぐずしていては大変なことになるかもしれません。；何しろ銀座の事を書くとなると、思ったより書く事が多くなってしまう。；何しろ僕は家内が死んで間もないことだし、ゆっくり考えてみましょう。；何しろまだ年端も行かぬ女のことだ、身が持てなかったのも無理はない。；何しろ、見たところは、私の子供のころとちっとも変っていないからね。；何しろ私の一生にあれほど意味深い年はありませんでしたからね。；それまでは何しろ往来に近い手狭な家で、患者が来ますと困るからです。；何しろ相手が魚で、水を離れては瞬時も生きていられないものである。；何しろ大変に神経をお使いになったのであんなことになったのでございましょう。；何しろ僕も矢張り詩にある恋を現実にしようと思つた、馬鹿だからね。；そうかも知れないが、何しろバットの上につけられた靴の跡のことだ。；何しろ行ったらばなかなか帰れないだろうとそれを心配している位ですから。；何しろ馬車の足には信頼できても、馬の足には信頼できませんからね。；何しろ何十万ともわからない魚群の中心で破裂するんだからタマラない。；何しろ夫婦の間で或事の隔てがあると云ふことが一番の禁物なんだからねえ。；何しろ水道新設ができなくては建築をやるものはないわけですから。；何しろ糸状菌の研究が本格的に始まった時期でもあり、混乱は多かった。；何しろ、あのかたたちのやさしい気持というのは限りがないものなのだ。；何しろこんな時は気を落ちつけて寝るのが肝心だと堅く眼を閉じて見る。；何しろ、斯う云ふ事になつて来ると、またあなたが一番お骨折りですよ。；何しろわたしのところでは、犬の毛を刈るのさえ、抱えの者がやるからな。；何しろ外じゃ立っているんだからね、せめてうちの中でぐらい権利があるよ。；何しろ十何年のあひだ僕は緑らしい緑を見ずにゐたのだからね。；何しろグングン大きくなってゆくので、こんなことになってしまったのだ。；何しろ、その娘のために毎日毎日一年あまりも煙草を買いに通ったんですからなあ。；何しろ自由の身だったといっても、みじめな暮らしをして来たんですからねえ。；何しろ修身の無え学校の生徒さんでゲスから油断も隙もあれあしません。</t>
        </is>
      </c>
      <c r="J6326">
        <f>HYPERLINK("https://www.weblio.jp/content/何しろ", "词义详情")</f>
        <v/>
      </c>
      <c r="K6326">
        <f>HYPERLINK("https://yourei.jp/何しろ", "查看例句")</f>
        <v/>
      </c>
    </row>
    <row r="6327">
      <c r="A6327" t="inlineStr">
        <is>
          <t>なにとぞ</t>
        </is>
      </c>
      <c r="B6327" t="inlineStr">
        <is>
          <t>成功</t>
        </is>
      </c>
      <c r="C6327" t="inlineStr">
        <is>
          <t>読み方：なにとぞ
［副］《代名詞「なに」＋格助詞「と」＋係助詞「ぞ」から》
１相手に強く願う気持ちを表す。どうぞ。どうか。「—お許しください」
２手段を尽くそうとする意志を表す。なんとかして。ぜひとも。
「拙老より篤と本人へ申聴かせ—して料簡を入替えさせ度」〈谷崎・蓼喰ふ虫〉</t>
        </is>
      </c>
      <c r="D6327" t="inlineStr">
        <is>
          <t>なにとぞ御(4%)；なにとぞよろしくお願い；なにとぞご容赦；なにとぞお守りください；なにとぞお許しください</t>
        </is>
      </c>
      <c r="H6327" t="n">
        <v>29</v>
      </c>
      <c r="I6327" t="inlineStr">
        <is>
          <t>なにとぞからだを大切にして、頭を使い過ぎないように注意して下さい。；これからは命をかけて働きますから、なにとぞ官軍の中に加えて下さい。；眠っているときも、起きているときも、なにとぞ私めをお守りください!；どんなに感謝しているか知れません、なにとぞいつまでも愛して下さいまし。；これからはなにとぞ、お心を安らかになされて、養生なさいますように。；なにとぞ、その晩は、銀座、日本橋方面の空に気をつけていてください。；なにとぞあなたはいつまでも私を憐れみ愛して助けて下さいまし。；私どもが死んでるのを見たあれは、どう云う人間だか、なにとぞ教えて下さいませ。；わたしの罪なき妻と哀れな子供たちは、なにとぞご容赦くださいますよう!；「なにとぞ栄太郎をお助けください」 大声で繰り返し唱えて息が切れた。；ただわたくしの評判につきましてはなにとぞ御放念くださいませ。；その時はなにとぞ私のことを思い出して話して下さい。；なにとぞお怒りの鉄の棒をわが軍にお与えください!；そしてそれにて姉および王子たちは、 なにとぞおこらえくださいますよう!；なにとぞ私の家を訪れたような不祥があなたの家庭に起こらぬように祈ります。；なにとぞ、俊寛殿をもわれわれといっしょに都へ連れ帰っていただきたい。；そしてあとの天下はなにとぞ私めに掻き回させてくださいますよう!；ともかく御病気のお世話をさせて頂くこと、なにとぞお許し願えませぬか。；なにとぞ私に多くを期待せずに愛して下さいまし。；なにとぞ今のようにして成長していって下さい。；この件に関しましては、 なにとぞもうこれ以上ご詮索なさいませんよう。；みなさん、なにとぞ、兄のために、私の意見をきいてやってください。；なにとぞわし一人をこの島に残さないでください。；なにとぞ静かに大きくふくらむように成長していって下さい。；おおこの血を造りたもうた神よ、なにとぞ王の死に復讐あらんことを!；父上の愛情をあまりに慌てて信じていたかもしれませんが、なにとぞお許し下さい。；なにとぞ私が自らの安逸のために煩わしき世よりのがるるものと思って下さいますな。；なにとぞ、人間のさだめない宿命の汚れをおいとい下さいませぬよう。；なにとぞこうした婦人に神の御恵みがありますように!</t>
        </is>
      </c>
      <c r="J6327">
        <f>HYPERLINK("https://www.weblio.jp/content/なにとぞ", "词义详情")</f>
        <v/>
      </c>
      <c r="K6327">
        <f>HYPERLINK("https://yourei.jp/なにとぞ", "查看例句")</f>
        <v/>
      </c>
    </row>
    <row r="6328">
      <c r="A6328" t="inlineStr">
        <is>
          <t>何分</t>
        </is>
      </c>
      <c r="B6328" t="inlineStr">
        <is>
          <t>成功</t>
        </is>
      </c>
      <c r="C6328" t="inlineStr">
        <is>
          <t>読み方：なにぶん
［名］
１はっきりしない内容を漠然と表す。なんらか。「いずれ—の沙汰があるだろう」
２あまり多くない数量を漠然と表す。いくらか。なにがし。「—の御寄付をお願いいたします」
［副］
１適切な処置を依頼するときに用いる。どうぞ。何とぞ。「—よろしくお願いします」
２どんな事情よりも優先する事柄を述べて、弁解などをするときに用いる。何しろ。何せ。「—この天気ですので、船は出せません」</t>
        </is>
      </c>
      <c r="D6328" t="inlineStr">
        <is>
          <t>何分にも(7%)；何分よろしく(3%)；何分かかる；何分宜しく；何分かする</t>
        </is>
      </c>
      <c r="F6328" t="inlineStr">
        <is>
          <t>何分よろしく頼む；何分よろしくお願い</t>
        </is>
      </c>
      <c r="H6328" t="n">
        <v>29</v>
      </c>
      <c r="I6328" t="inlineStr">
        <is>
          <t>何分規模の大きな世界ですから、そういう性質の技術が中心になります。；何分当時はまだ十六歳の小娘でしたから思いもかけなかったのであろう。；何秒、いや何分くらいだろうか、誰も口を開かない静かな時間が流れた。；棚から必要な品だけ取って来るのに、何分もかかるわけじゃないんだから。；その内通いにするように部屋を探そうと思うが、何分出る事も出来ない。；自分の別荘だから安くて静かなことは間違いないが、何分にも寒すぎる。；中学校舎の職員室に行って事情を話して、ここに戻るまで何分かかるか。；しかし、何分にも日中の襲撃であるから、長い時間をかけてはいられない。；しかし彼女が何分台所にいたかということは誰にも証明が出来ない。；何分くらいしていたのか分からないけど 離れた時にはなんかぐったりしてた。；これと全く同じことが、何分前だか、何時間前だか、あったような気がした。；唯のそのそと付いて来るだけのことであるが、何分にも気味がよくない。；何分くらいこの状態が続いたか分らないが自分には恐ろしく長いものに思われた。；数秒のことだったかもしれないし、何分も経っていたかもしれない。；一秒が何分にも感じられるとかそんな話ではなく、本当に時間が過ぎていく。；何分、多くの名を使っておりますもので、今一つ覚えきれませんでね。；帰る時にも彼は何分お願い申しますと、幾たびか繰り返して頼んで行った。；何分相手は有名なスターのこと、どのクラスかなど、調べるまでもない。；何分過ぎたか、何時間たったのか、もちろん、佐々木は、覚えていない。；たったひとつの単語が、僕にとっての何分にも引き伸ばされているのだ。；何分少少は落付いた気分で描かなければ公開すべき大作などは出来ません。；しかしまだ何分ものあいだ、心臓は抑えつけられたような音を打ちつづけていました。；最初にやるぞと決心したのは何分前のことだったのか。；何分こっちは素人だからさ、衛宮みたいに馴れてるって訳じゃないんだ。；そのほか、日時とか、何分ぐらい話せばいいのかをお訊きになりました。；平次殿、その言葉は一応尤もだが、これは何分にも大事の上の大事だ。；何分、帥の殿のお都入りまでは何としても、此儘で置くので御座りませう。；何分、帥の殿のお都入りまでは、何としても此儘で置くので御座りませう。；ほんの数十秒の出来事だったような気もするし、何分も続いたようにも感じられた。</t>
        </is>
      </c>
      <c r="J6328">
        <f>HYPERLINK("https://www.weblio.jp/content/何分", "词义详情")</f>
        <v/>
      </c>
      <c r="K6328">
        <f>HYPERLINK("https://yourei.jp/何分", "查看例句")</f>
        <v/>
      </c>
    </row>
    <row r="6329">
      <c r="A6329" t="inlineStr">
        <is>
          <t>なにもかも</t>
        </is>
      </c>
      <c r="B6329" t="inlineStr">
        <is>
          <t>成功</t>
        </is>
      </c>
      <c r="C6329" t="inlineStr">
        <is>
          <t>読み方：なにもかも
どれもこれも。すべて。「—失った」</t>
        </is>
      </c>
      <c r="D6329" t="inlineStr">
        <is>
          <t>なにもかも忘れ(3%)；なにもかもうまく(2%)；なにもかもすっかり；なにもかも話し；なにもかもわから</t>
        </is>
      </c>
      <c r="E6329" t="inlineStr">
        <is>
          <t>何事；何もかも；万事；何ごと</t>
        </is>
      </c>
      <c r="F6329" t="inlineStr">
        <is>
          <t>なにもかも知り；なにもかも打ち明け；なにもかもいや；なにもかもすん；なにもかもわかりまし</t>
        </is>
      </c>
      <c r="H6329" t="n">
        <v>29</v>
      </c>
      <c r="I6329" t="inlineStr">
        <is>
          <t>それはなにもかもよかったはずなのに、一つだけよくないことがあった。；スメルジャコーフに会うまでなにもかも取っておくことにしたのである。；ぼくがなにもかもうまくやってみせるよ、きみの気がつかないようにね。；母はなにもかもわかっていたので、彼の秘密を守ってくれたのだった。；なにもかも先輩のせいにして、もし他の人が犯人だったらどうするの?；なんと、わたくしとの関係を、なにもかもそのまま小説に書いたのです。；どうせぼくは行ってしまいます、しかしその前になにもかもお話します。；パリでの留美のことは、その森瑛子がなにもかも知っているだろうから。；空気も水もなにもかも企業はタダで使ってよい、その費用は環境が払う。；なにもかも古いこの学校へ、新らしいものがやってきはじめたからだ。；正直、それを想像するだけでなにもかも嫌になってくるほど強い恐怖だった。；なにもかも古いこの学校へ、あたらしいものがやってきはじめたからだ。；大事にしていた人形も、本も、アルバムもなにもかもなくなってしまった。；その背中は、なにもかも理解したうえでわたしを許してくれていた。；空の星は、なにもかもじっと見て知っているといわぬばかりに輝いていました。；おれにはよくわからないんだ、なにもかもすごくこみ入っているからな。；わたしたちがずっとそれをなにもかも見ていなかったと思うかね?；ぼくが彼の中にもどったときのことも含めて、なにもかも忘れてしまっている。；時間もなにもかも東京に置いてきてしまったけど、この絵だけはおれのものだ。；彼女になにもかも、なにからなにまで世話になっているという感じがした。；ああ、あたしはなにもかも失ってしまうわ、あの子も取りもどせないわ。；そのようすを見ると、奥さまは、なにもかも忘れて、感動されたのです。；なにもかも知ったような顔をしなければならぬのが、いっそう苦しかった。；自分はもう絶望だ、なにもかもトオル名義で残して首をくくるつもりだ。；しかし、彼はきょうこそなにもかもすっかり話してしまおうと決心した。；そのとき、アンナにはなにもかも話してしまったような気がしたのであった。；だがそのなつかしい声は、なにもかも忘れたように数を数えつづけている。；この伯爵令嬢は処女ではなかったが、なにもかも新しいように思われた。；今では、四、五日前から急に、なにもかもすっかりだめになってしまった。</t>
        </is>
      </c>
      <c r="J6329">
        <f>HYPERLINK("https://www.weblio.jp/content/なにもかも", "词义详情")</f>
        <v/>
      </c>
      <c r="K6329">
        <f>HYPERLINK("https://yourei.jp/なにもかも", "查看例句")</f>
        <v/>
      </c>
    </row>
    <row r="6330">
      <c r="A6330" t="inlineStr">
        <is>
          <t>何より</t>
        </is>
      </c>
      <c r="B6330" t="inlineStr">
        <is>
          <t>成功</t>
        </is>
      </c>
      <c r="C6330" t="inlineStr">
        <is>
          <t>読み方：なにより
［連語］
１抜きんでていること。それよりほかにないこと。副詞的にも用いる。「お目にかかれて—うれしい」「ここにいるのが—の証拠」
２最上・最良であること。「贈り物として—の品」「お元気で—です」</t>
        </is>
      </c>
      <c r="D6330" t="inlineStr">
        <is>
          <t>何よりです；何よりまず；何よりでし；何より嫌い；何より結構</t>
        </is>
      </c>
      <c r="E6330" t="inlineStr">
        <is>
          <t>よく；最も；非常；非常に；かなり</t>
        </is>
      </c>
      <c r="F6330" t="inlineStr">
        <is>
          <t>まず何より；先ず何より；何より心強い；何より有難い；何よりもお</t>
        </is>
      </c>
      <c r="H6330" t="n">
        <v>29</v>
      </c>
      <c r="I6330" t="inlineStr">
        <is>
          <t>遠く離れた母の手紙を読むことは、お雪に取って何よりの楽みであった。；一週間のうちにお目にかかれることと何より楽しみにして待っています。；何より君はこの部屋に残され、出て行く際、扉に鍵を掛けたに違いない。；そして何よりユダヤ人はソヴィエト政権に協力していると見られていた。；馬鹿な話さ、保養に来ていながら働くことを考えるのが何よりの楽みだ。；その為に学校に上れなかったが、それが当時の私には何より残念だった。；そういう機関があって、やってくれると、それが何よりなのでしょうね。；だが、彼の名を高からしめたのは何よりベートーヴェンの演奏であった。；私はラジオの音が何より仕事の邪魔だが、ここではその心配が完全にない。；将来社会に出て戦うべき生活の自信を得たのは何より感謝するところである。；ただ 承りまするだけで、それがしかし何より私には結構でございます。；その子供たち全員と一緒にいることが、今何よりハッピーなことだから。；それは何より先に謙遜なる心の回復を意味するのでなければならない。；なにより一大事はミルクをはじめ食いものが入ってこなくなったことだ。；その腕が手もとに残っているのが、何よりのしょうこではありませんか。；それは寒く沈黙の支配する馬の上では、なによりの暇潰しになるだろう。；そして又何より大事なのは、之が二・二六事件と関係があるということだ。；良人の帰りを待ってジッと家の中でねているのが何より好きなんだよ。；ただ旅に疲れた時、そこに温泉があれば何よりの事と思ふ丈けである。；ほかのなによりも身につけたい技術が、なぜわたしには身につかないのです?；今までに一つとして纏った仕事をして来なかったのが何よりの証拠である。；さういふことが何より先にその作品の価値を決定的にして了ふやうである。；いわば主人は心が平かだったので、それが保健上何よりの条件と思います。；墓地も広大だが、なにより五十人からなる修行僧が生活している小世界だ。；中途求職のものにあっては前の会社をやめた理由が何より重大問題になる。；老婆は勝野老人に逢って、町の方の話を聞くのが何よりの楽しみだった。；旬の歌手が勢いよく成長していく時期を共有できたのが何より幸せ。；ほかのなによりも問題なのは、超ウラン元素が緊急に必要なことだった。；なにより運転中に話しかけられるだけでもパニックを起こしそうになる。</t>
        </is>
      </c>
      <c r="J6330">
        <f>HYPERLINK("https://www.weblio.jp/content/何より", "词义详情")</f>
        <v/>
      </c>
      <c r="K6330">
        <f>HYPERLINK("https://yourei.jp/何より", "查看例句")</f>
        <v/>
      </c>
    </row>
    <row r="6331">
      <c r="A6331" t="inlineStr">
        <is>
          <t>名札</t>
        </is>
      </c>
      <c r="B6331" t="inlineStr">
        <is>
          <t>成功</t>
        </is>
      </c>
      <c r="C6331" t="inlineStr">
        <is>
          <t>読み方：なふだ
姓名を書いた札。また、名刺。</t>
        </is>
      </c>
      <c r="D6331" t="inlineStr">
        <is>
          <t>名札掛け</t>
        </is>
      </c>
      <c r="F6331" t="inlineStr">
        <is>
          <t>区名札</t>
        </is>
      </c>
      <c r="H6331" t="n">
        <v>29</v>
      </c>
      <c r="I6331" t="inlineStr">
        <is>
          <t>ところがそこはスライドの装置が置かれていた関係で名札は僕一人だけ。；それまでつけていた二級の赤い名札の枠は四級の白に変っていました。；僕の名前を思い出したわけではなく、これも胸の名札を見たのだろう。；本当をいうと、少年はもうその名札をつけている必要はなかったのだ。；一方アメリカ軍等では所属軍章・名札・階級章・技能章以外着用しない。；来賓席はその最前列で、わたしの名札のある席は中央のテーブルだった。；事務所でぼくがまず第一にしたことは、受付の名札を見ることでした。；エプロンに名札や、ラインをつけたのは彼女なのだと、冬子は確信した。；そして、その像のひとつひとつに、名札みたいなものがついていました。；名札を見ないでも、たいていの植物の名をいい当てることができたという。；各出演者には名札が貼り付けされており、ファーストネームで呼び合う。；改めて死体の目の前に立った輝は、胸についている学校の名札に目をつけた。；交竹院の荷物も、百合たちの目の前で叺に入れられ、名札が附けられた。；小さな名札の下のボタンを押すと、呼吸ひとつくらいですぐドアがあいた。；各学年には色があり、生徒はその色の線が入ったついた名札を3年間使う。；各部屋の入口は名札でなく、ホテルの部屋のような番号札が出ているだけだ。；修子はいま一度名札を見上げてから、ナースセンターのほうへ移動する。；運転席後ろに運転士の所属基地と氏名を表記した名札が掲示されている。；私は、これはパイちゃん一代限りの名札にしてやりたいと思っているのよ。；そのひとは体操服についたわたしの名札を見て、わたしの名前を口にした。；病室へ入るとオカンのベッドがあった場所には荷物も名札もなくなっている。；私は彼女の巨大な胸に付いた名札を見てその名を呼んだ。；番卒の一人がこの名札を第二の門の鍵をあずかっている門番尼僧に渡す。；果して、番号が書かれた各フラットの玄関のドアには名札も出ている。；で、そのときのあの子の水着にはまだ名札がついてなかったわけね。；車の前に名札で『高橋ヨシオ』と書かれていたことからそう呼ばれている。；私は各部屋の名札を横目で流し見ながら、さらに階段を二つのぼった。；その婦人がエミリーということを伊佐はその部屋に入る前に名札で知った。；産地熊本県と名札にかいてあるのにも郷愁に似たものをそゝられました。</t>
        </is>
      </c>
      <c r="J6331">
        <f>HYPERLINK("https://www.weblio.jp/content/名札", "词义详情")</f>
        <v/>
      </c>
      <c r="K6331">
        <f>HYPERLINK("https://yourei.jp/名札", "查看例句")</f>
        <v/>
      </c>
    </row>
    <row r="6332">
      <c r="A6332" t="inlineStr">
        <is>
          <t>鍋</t>
        </is>
      </c>
      <c r="B6332" t="inlineStr">
        <is>
          <t>成功</t>
        </is>
      </c>
      <c r="C6332" t="inlineStr">
        <is>
          <t>読み方：なべ
《肴(な)を煮る瓮(へ)の意》
１食物を煮る、揚げる、ゆでる、蒸すなどの加熱調理をする器。金属製・陶器製などで、ふた・つる・取っ手などが付き、用途別に多くの種類がある。
２鍋料理のこと。鍋物。「—をつつく」「牛—」
[下接語]胡坐(あぐら)鍋・揚げ鍋・圧力鍋・石狩鍋・煎(い)り鍋・御(お)鍋・親子鍋・牡蠣(かき)鍋・燗(かん)鍋・牛(ぎゅう)鍋・薬鍋・小鍋・桜鍋・猪(しし)鍋・慈善鍋・社会鍋・塩汁(しょっつる)鍋・成吉思(ジンギス)汗鍋・鋤(すき)鍋・楽しみ鍋・中華鍋・ちり鍋・弦(つる)鍋・手鍋・泥鰌(どじょう)鍋・土手鍋・土鍋・鳥鍋・生臭鍋・肉鍋・蛤(はま)鍋・平鍋・牡丹(ぼたん)鍋・蒸し鍋・焼き鍋・柳川(やながわ)鍋・行平(ゆきひら)鍋・寄せ鍋・割れ鍋</t>
        </is>
      </c>
      <c r="D6332" t="inlineStr">
        <is>
          <t>鍋屋(5%)；鍋松；鍋町；鍋久；鍋類</t>
        </is>
      </c>
      <c r="E6332" t="inlineStr">
        <is>
          <t>大鍋；手鍋；平鍋；火鍋子；浅鍋</t>
        </is>
      </c>
      <c r="F6332" t="inlineStr">
        <is>
          <t>鉄鍋；大きな鍋；小鍋；深鍋；シチュー鍋</t>
        </is>
      </c>
      <c r="G6332" t="inlineStr">
        <is>
          <t>鍋料理；鍋島家；鍋島直茂；鍋島氏；鍋物</t>
        </is>
      </c>
      <c r="H6332" t="n">
        <v>29</v>
      </c>
      <c r="I6332" t="inlineStr">
        <is>
          <t>取鍋は、上部が開いているものもあればカバーがついているものもある。；数多くの移動店舗の他にここでは、鍋やその他の生活用品の市場がある。；粘土から作られて、親指鍋は底部と上部に親指穴に小さな穴があります。；屠った犬は大鍋に入れられて煮られ、参加者全員でこの犬の肉を食べる。；移動式屋台は、独特の掛け声や鍋・椀・竹を叩いて販売料理を宣伝する。；結局その晩は複雑な気持ちを抱いた4人が一緒に鍋を囲むことになる。；岩の名称は、鉄鍋の弓型の取っ手であるに形状が似ていることに由来する。；学園長室はさくらの趣味を反映してか和室であり、鍋をすることもある。；土かまどはかけ口に合った大きさの鍋でないと効果を発揮しない。；鍋をかぶっている本体が肉であるということから、鍋に肉は乗っていない。；鍋や包丁を備えた機械だが、作中では使用していないため詳細は不明。；ストーブのかけ口に合った大きさの鍋でないと効果を発揮しない。；このほかにも、槍や鍋といったものを供給する職人たちが多く居を構えた。；地区内には農地、山地などが広がっているほか、地区内には鍋沼がある。；一人用の鍋を使う場合は、鍋の中で味を調整し鍋から直接食べる場合もある。；火が通ってジュウジュウと音がしたら鍋を下ろし、よく混ぜてから食す。；鍋や炒め物に使われる他、サンナクチのように生で食べるのも人気が高い。；黒豚バーベキュー・鍋など地元の食材を利用した夕食・朝食も提供する。；揚げ物には専用鍋が付属していて、それ以外使用禁止としている機種もある。；の北端に面した町で、鍋の製造など金属加工業が盛んなことで知られている。；鍋は四次元ポケットのように大きな物でも中に入れる事が出来る。；どんぶりに移して食べていることもあれば、鍋から直接食べていることもある。；ふたりが鍋を前に途方にくれていると、男の妻が座敷に入ってくる。；すなわち魔法の大鍋等の魔法の器の影響が聖杯へと収束されたとも考えるのである。；これらの鍋が付く山の名称は、鍋に似た山体に由来することが多い。；サバネクルが岩に鍋を掛けた、ないし鍋の形をした岩があったという。；ところが盗人は金を置いていき、にかわの入った鍋を持っていこうとする。；この鍋は取り外し可能で、取り外すことで素早く動くことが可能になる。；石油ストーブでも上部に鍋を置いて調理ができるようになっているものは多い。</t>
        </is>
      </c>
      <c r="J6332">
        <f>HYPERLINK("https://www.weblio.jp/content/鍋", "词义详情")</f>
        <v/>
      </c>
      <c r="K6332">
        <f>HYPERLINK("https://yourei.jp/鍋", "查看例句")</f>
        <v/>
      </c>
    </row>
    <row r="6333">
      <c r="A6333" t="inlineStr">
        <is>
          <t>生</t>
        </is>
      </c>
      <c r="B6333" t="inlineStr">
        <is>
          <t>成功</t>
        </is>
      </c>
      <c r="C6333" t="inlineStr">
        <is>
          <t>読み方：しょう
〈井〉⇒せい
〈正〉⇒せい
〈生〉⇒せい
〈声〉⇒せい
〈姓〉⇒せい
〈性〉⇒せい
〈青〉⇒せい
〈政〉⇒せい
〈星〉⇒せい
〈省〉⇒せい
〈清〉⇒せい
〈聖〉⇒せい
〈精〉⇒せい
〈請〉⇒せい</t>
        </is>
      </c>
      <c r="D6333" t="inlineStr">
        <is>
          <t>生と死；生中継；生種；生放送番組；生没年</t>
        </is>
      </c>
      <c r="E6333" t="inlineStr">
        <is>
          <t>生まれ；門；命；生命；系統</t>
        </is>
      </c>
      <c r="F6333" t="inlineStr">
        <is>
          <t>研究生；志ん生；學生；底生；練習生</t>
        </is>
      </c>
      <c r="G6333" t="inlineStr">
        <is>
          <t>生活；生き；生産；生徒；生じ</t>
        </is>
      </c>
      <c r="H6333" t="n">
        <v>29</v>
      </c>
      <c r="I6333" t="inlineStr">
        <is>
          <t>単位生協での存続は厳しいため、多くの生協は事業連合に加盟している。；皮と内部はどちらも生のままあるいは調理して食べることができる。；現生の有袋類は北アメリカに到達したグループが起源であるとされる。；この演説に感動した一高生の何人かは荷物をまとめて一高を去ったという。；日本で初めて工場で作った生の餃子を販売したのは株式会社紀文食品。；合格した者だけが、博士号候補生として博士課程に残ることを許される。；カリフォルニア州では例外的に非認定校の修了生にも受験を認めている。；また、キャンプに練習生として参加していた西村卓朗と契約を締結した。；この新しい生は物質性を捨て、人類史から神の世界に逃れることではない。；高校の高学年生は州のランニングスタート・プログラム利用を選択できる。；現生カメ類の種の大部分を含む潜頸類が発展したのは、ジュラ紀である。；階生大会と呼ばれる階ごとの話し合いが必要に応じて行われる。；貨幣委員会の作業報告会にはフリードマンも参加しゼミ生の指導を行った。；日本に分布するニホンザルは現生種の霊長類では最も北に分布する。；歯舌は現生のと比較して小型であり、同様に7列で構成されていた。；寄生虫や微生物など病原体の問題もあるが、生でも食べることができる。；ただし、現在の人生の結果によっては次の生で高いカーストに上がれる。；この系統樹からこれら2つを除いたもののうち現生種が「爬虫類」となる。；スマトラサイは他の現生種との関係よりケブカサイとの関係が密接だった。；生後間もない個体では、白色部分が薄い茶色やオレンジ色を帯びている。；次いで現れたのが、現生に近い、歯を失い鯨髭を持つグループである。；性は最も重要な現象のひとつであり、実際には、人間の生でいちばん重要な現象だ。；彼らは主に魚や肉を煮込んで食べており、時には魚を生で食べることもあった。；現生の海棲のグループでは、その食性もあって裂肉歯は失われている。；冷奴など生で食されることも多いが、調理される料理も非常に多い。；一面整備された草の緑に覆われ、神大生のみならず地元民に開放されている。；しかし四肢動物を除く多くの現生の硬骨魚類では肺は鰾へと進化している。；しかしその一方で、現生種に至るまで肢端は四本の趾を保持したままである。；コンサートの模様はUstreamでも生配信され、多数の視聴が行われた。</t>
        </is>
      </c>
      <c r="J6333">
        <f>HYPERLINK("https://www.weblio.jp/content/生", "词义详情")</f>
        <v/>
      </c>
      <c r="K6333">
        <f>HYPERLINK("https://yourei.jp/生", "查看例句")</f>
        <v/>
      </c>
    </row>
    <row r="6334">
      <c r="A6334" t="inlineStr">
        <is>
          <t>生意気</t>
        </is>
      </c>
      <c r="B6334" t="inlineStr">
        <is>
          <t>成功</t>
        </is>
      </c>
      <c r="C6334" t="inlineStr">
        <is>
          <t>読み方：なまいき
［名・形動］自分の年齢や能力を考えず、出すぎた言動をすること。また、そのさま。「—な口をきく」</t>
        </is>
      </c>
      <c r="D6334" t="inlineStr">
        <is>
          <t>生意気そう(3%)；生意気な口(2%)；生意気盛り；生意気な女；生意気な態度</t>
        </is>
      </c>
      <c r="E6334" t="inlineStr">
        <is>
          <t>太い；失礼；大柄；傲慢；無礼</t>
        </is>
      </c>
      <c r="F6334" t="inlineStr">
        <is>
          <t>そんな生意気；あんな生意気；こんな生意気；生意気千万；生意気な小娘</t>
        </is>
      </c>
      <c r="H6334" t="n">
        <v>29</v>
      </c>
      <c r="I6334" t="inlineStr">
        <is>
          <t>少しは甘えてやった方がいい、などと生意気なことを考えていましたよ。；鍵蔵は、二十歳そこそこのその青年の生意気なもののいいように驚いた。；最近の優美子ったら、ちょっと元気が出てきたみたいで生意気なのよね。；生意気に杖を持って立っているのが、目くるめくばかりに思われました。；二三年間ぐらいは都会で生意気な生活をしてきたような感じであった。；若いときからそうであって、生意気だと言われるのはそのためである。；云うことはずいぶん生意気だけれども僕は悪い気がしなかったねえ。；彼女の生意気には私ももうずいぶんと我慢してきたんですからね。；しかし相性はともかく、あんな生意気で胸の薄い女の、どこがいいのだ。；どこか生意気だが、西目は倉馬の態度を不快に思ったことが一度もない。；南ノ大陸のことなどもちだすような生意気なことをしたのが悔やまれる。；それどころか、少し生意気になると、子供でさえ鼻の先で笑ったりする。；事情も知らず、その立場になったこともないくせに、生意気をいうな。；胸のうちの感情をそっくりそのままこの生意気な狼娘に言うことはできない。；犬の癖に人間の言葉が分るなんて生意気だから一つ頭を撲ってくれた。；祐巳なんて呼ぶのは、最近生意気になってきた弟くらいなものだった。；人気絶頂でそれだけわがままで、生意気な態度に見えたんやと思います。；今思い出しても、アメリカの大学で生意気という英語を聞いたことがない。；自分達より幼い癖に仲間入りをしたがるなんて生意気だと思ひます。；思えば、今度の事件のことでも、ずいぶん父に生意気を言ったりしたものだ。；誰も知つてるものがないと思つて、いやに生意気な面をしてゐるな。；だが、自信たっぷりで生意気な口調には、少しかちんときたのも事実だ。；生意気だけどまあまあ可愛いし、ガールフレンドができたと思えばいい。；口ではああ生意気言っても、心の底じゃあ俺に征服されたがってる。；世の中には野だみたように生意気な、出ないで済む所へ必ず顔を出す奴もいる。；生意気だったかもしれないが、私はそれをよく批判したものです。；しかしその顔はどう云うものか、前に思ったほど生意気ではない。；「生意気な口をお利きでないよ」 と母親はそんな思想を認めてくれない。；十八歳の生意気盛り、勧められるまま、いい気になって酒を飲みすぎた。</t>
        </is>
      </c>
      <c r="J6334">
        <f>HYPERLINK("https://www.weblio.jp/content/生意気", "词义详情")</f>
        <v/>
      </c>
      <c r="K6334">
        <f>HYPERLINK("https://yourei.jp/生意気", "查看例句")</f>
        <v/>
      </c>
    </row>
    <row r="6335">
      <c r="A6335" t="inlineStr">
        <is>
          <t>名前</t>
        </is>
      </c>
      <c r="B6335" t="inlineStr">
        <is>
          <t>成功</t>
        </is>
      </c>
      <c r="C6335" t="inlineStr">
        <is>
          <t>読み方：なまえ
１
㋐人の氏名。姓名。「新入社員の—をおぼえる」
㋑姓に対しての、名。「子に—を付ける」
２事物の名称。
㋐一般の名称。「草木の—」
㋑固有の名称。「山の—」</t>
        </is>
      </c>
      <c r="D6335" t="inlineStr">
        <is>
          <t>名前にちなん；名前自体；名前付き；名前どおり；名前欄</t>
        </is>
      </c>
      <c r="E6335" t="inlineStr">
        <is>
          <t>名；名称；呼称；称号；名目</t>
        </is>
      </c>
      <c r="F6335" t="inlineStr">
        <is>
          <t>お名前；新しい名前；正式な名前；変な名前；珍しい名前</t>
        </is>
      </c>
      <c r="G6335" t="inlineStr">
        <is>
          <t>名前空間；名前解決；名前付きパイプ；名前負け；名前修飾</t>
        </is>
      </c>
      <c r="H6335" t="n">
        <v>29</v>
      </c>
      <c r="I6335" t="inlineStr">
        <is>
          <t>これこれの国の名まえはそのあたりの地方から来たのではなかろうかな?；その名前は古来からいろいろな表記がされていて確かなことが分からない。；これらの名前が何の意味かは色々な解釈があるが明確には分からない。；フランスでは子供に付けられる名前が少なく、同じ名前の人物が多数いる。；なお、実在の人物の名前の発言はピー音で規制されていたこともあった。；技の名前に、それを最初に成功させた選手の名前が付くことも特徴である。；いずれも雷に関連する名前であり、雷の精だったのではないかといわれる。；そしてこれは子供の名前をつけるときなどの重要な要素にもなる。；当初は漫画の主人公の名前だったが、後にペンネームもそれへと改める。；特に複数のチームで開発を行っていると名前の衝突が起きやすい。；いったい、どこからきたのか、また名まえさえだれも知りませんでした。；この段階では名前はついておらず、後から情報を集めて思いついて行った。；この改訂は表示だけのもので、名前の発音まで変えるものではなかった。；名まえだけを聞いたならば、純粋の日本人だと誰もが思うことだろう。；なお、半順序空間と名前の似たは別概念であるので注意が必要である。；いったいだれがこれを書いたか、名まえがわかったような気がするな。；一つの新聞に名まえが二度も出たのはこの校長先生がはじめてだったろう。；舞台はブロッキングを容易にするために、エリアに名まえがついている。；それから、若者の名まえをきこうとしたが、相手は話をとってしまった。；山岳会には山または歩くことにちなんだ名前が付けられることが多い。；なお、名前を変える際はシルバードも含めて同じ名前にする事はできない。；アメリカ大陸の先住民族など、個人を指す名前のみを用いる文化もある。；それは「注目」で名まえを書かれるのと同じぐらい、いやなことだった。；名前のとおり机の上で使うのに適した大きさの小型計算機である。；コンゴの名前はコンゴ川と植民地以前に存在したコンゴ王国に由来する。；しかもそこには自分の名まえだけでなく、学校の名まで書いてあるのである。；不思議の国には、たくさんの人間がいますが、だれも名まえはないのです。；それに抵抗して戦ったマルタ騎士団がこの地の名前を有名にした。；もともとの創業者であったマクドナルド兄弟の名前が残っているのである。</t>
        </is>
      </c>
      <c r="J6335">
        <f>HYPERLINK("https://www.weblio.jp/content/名前", "词义详情")</f>
        <v/>
      </c>
      <c r="K6335">
        <f>HYPERLINK("https://yourei.jp/名前", "查看例句")</f>
        <v/>
      </c>
    </row>
    <row r="6336">
      <c r="A6336" t="inlineStr">
        <is>
          <t>生臭い</t>
        </is>
      </c>
      <c r="B6336" t="inlineStr">
        <is>
          <t>成功</t>
        </is>
      </c>
      <c r="C6336" t="inlineStr">
        <is>
          <t>読み方：なまぐさい
［形］［文］なまぐさ・し［ク］
１生の魚や肉のにおいがする。「魚を料理して手が—・くなる」
２気持ちの悪いにおいがする。また、血のにおいがする。「—・い風が吹く」
３僧が戒律を守らず堕落している。俗臭が鼻につくさま。「—・い坊主」
４欲望・利害などがからんでいるさま。「政界と財界との—・い癒着」
５生意気である。こしゃくである。
「—・い男呼ばり、置け置け、置いてくれ」〈浄・寿の門松〉
[派生]なまぐささ［名］</t>
        </is>
      </c>
      <c r="D6336" t="inlineStr">
        <is>
          <t>生臭い匂い(11%)；生臭い息(5%)；生臭い風(5%)；生臭いもの(3%)；生臭いにおい(3%)</t>
        </is>
      </c>
      <c r="E6336" t="inlineStr">
        <is>
          <t>臭い；臭う；いやな臭い；血生臭い；悪臭漂う</t>
        </is>
      </c>
      <c r="F6336" t="inlineStr">
        <is>
          <t>生臭い欲望；妙に生臭い；ひどく生臭い</t>
        </is>
      </c>
      <c r="H6336" t="n">
        <v>29</v>
      </c>
      <c r="I6336" t="inlineStr">
        <is>
          <t>知っているからこそ平和な時間にはその生臭さを持ち込みたくないのだ。；生臭い獣の匂いが顔に迫ってきたとき、ムカタは若者が笑う声を聞いた。；生臭料理か精進料理かわからないような味は、食べない方がましなのよ。；これをそのまま煮込んでいたのだから生臭くもなろうというものである。；しかし思いとは別に、戦場では血生臭い風がすでに吹きはじめていた。；そんな話を生臭くなく書くためには、舞台設定は大きなポイントになった。；汗と皮の匂いがないまぜになり、ジムには獣の檻のような生臭さがある。；汽水域の特に排水口付近を好んで生息しているために生臭い個体が多い。；それは暗い空に走った最初の稲妻のように、生臭く、怖いものであった。；寝ている地面も濡れていて、コンクリートのようだがなんとなく生臭い。；でも今夜は、いつもと違った生臭さがして、蠅の羽音が漂っていました。；吐き気のするような生臭い臭気がその方向から風に流れて鼻についてきます。；死んでしまって初めて人間から生臭さがとれて重みが出てくるの。；きうち君から見れば、不良の生臭さが足りないと感じていたんじゃないですか。；村人たちはダム計画と戦うためならどんな血生臭い手段もいとわない。；しかし翌年、この血生臭い歌を書いたとされる奴が突然ぞろぞろと現れたんだ!；タイ国から遊びにきた知人は、「日本の卵は生臭い」といって食べない。；男具那は身体にこびりついた血と、生臭い匂いを早く取り払いたかった。；その粗暴な外見とは反対に、徳次はさういふ血生臭いことが嫌ひだつた。；相変わらず生臭さが消えていないからこそ、今度のような画策をした。；そこには指導者たる司祭たちがおり、血生臭い儀式が行われている。；ほおばっていた蟹が一瞬にして生臭いスクランブル・エッグに変わった。；部屋中にたちこめている、この饐えたような生臭いような厭な臭いは何?；下僕は李黄が生臭くなっていることに気づいたが、言われるままに帰宅した。；時々來る生臭いにほひは、その網の目を通して來る風のやうな氣がする。；楽しい記憶が残る思い入れの強い場所で、血生臭い殺人事件が起きたのだ。；どうやら隣の建物は小料理屋か何からしく魚特有の生臭い香りが少し鼻をついた。；草をかき分けるようにして池の前に立つと、鼻をつく生臭さは一気に勢いを増した。；氷の息吹を含んだ風は、生臭く温まって、血に濡れた聖地を奔り抜けた。</t>
        </is>
      </c>
      <c r="J6336">
        <f>HYPERLINK("https://www.weblio.jp/content/生臭い", "词义详情")</f>
        <v/>
      </c>
      <c r="K6336">
        <f>HYPERLINK("https://yourei.jp/生臭い", "查看例句")</f>
        <v/>
      </c>
    </row>
    <row r="6337">
      <c r="A6337" t="inlineStr">
        <is>
          <t>怠け者</t>
        </is>
      </c>
      <c r="B6337" t="inlineStr">
        <is>
          <t>成功</t>
        </is>
      </c>
      <c r="C6337" t="inlineStr">
        <is>
          <t>読み方：なまけもの
怠ける人。怠けてばかりいる人。</t>
        </is>
      </c>
      <c r="D6337" t="inlineStr">
        <is>
          <t>怠け者ども</t>
        </is>
      </c>
      <c r="E6337" t="inlineStr">
        <is>
          <t>ぐうたら；ものぐさ；ずぼら；横着者；不精者</t>
        </is>
      </c>
      <c r="F6337" t="inlineStr">
        <is>
          <t>たいへんな怠け者</t>
        </is>
      </c>
      <c r="H6337" t="n">
        <v>29</v>
      </c>
      <c r="I6337" t="inlineStr">
        <is>
          <t>己はそんなに勉強家と言われないかも知れないが、決して怠け者でない。；もっとも、そのために彼らは、すっかり怠け者になってしまったのだが。；ここに一人の怠け者があって、それが口を上手にして縋って来たとする。；聯合海運会社に怠け者の社員を置くことも、何かの役には立つのだった。；切れ者だが怠け者でもあるため、興味のないことには関わろうとしない。；だから、決して怠け者なんかじゃないし、根気がないわけでもないのよ。；私は根っからの怠け者だから、死んだら少しは楽になりたいと思っている。；やはり怠け者のいけない人もいるのかな、というふうに子供は考えた。；わたしは小さい頃から自分の好きなものしか読まない、という怠け者だ。；怠け者の兄のフェリックスが、やっとこさ学校を卒業したところである。；したがってよく誤解されるように、怠け者が得をするわけではない。；わたしは怠け者ではないが、つねに精神が緊張するような仕事が好きなのだ。；無愛想で、怠け者で、たぶん無能なやつだろうとしか思っていなかった。；また、家が豊かになったので怠け者の叔父一家の面倒を見なくてはいけなくなった。；一年後、働き者の方の男は村へ帰ろうと言ったが、怠け者の男は金がない。；家族や近所の者の中には彼が怠け者だと考える者もいた。；あの怠け者どものために、大切な補給物資をおいておくことはありません。；その男は、彼とその他の怠け者を滑稽なことばで諷刺したのですから。；フアン・タマッドは怠け者の男で、猿たちによって土の下に埋葬された。；彼は父を意識しすぎたのかもしれないけれど怠け者で、晩年はみじめでしたね。；女中たちは怠け者だし、僕はまたどう言ってきちんとさせていいかわからないんです。；だからどんな怠け者の学生も、希望に燃えて勉強しないわけにはいきませんでしたね。；二人とも、自分が怠け者なのは、母が好き勝手にさせすぎたからだと思っています。；本来怠け者だから、先生の所へ茶の湯を習いに行ったりする気はない。；アロアのお父さんは、ぼくがアロアを怠け者にすると思っているんだよ。；どうせ僕は怠け者だし、それに何かの中から何かを選ぶ作業が大の苦手なんだから。；怠け者の酒呑みのお父っつぁんでも、少しは手助けになっていたんだべさ。；だつて余り馬鹿馬鹿しいんですもの、一体兄さんは横着で怠け者なのよ。；怠け者のわたくしと違って、杉本さんは実によく働かれましたからね。</t>
        </is>
      </c>
      <c r="J6337">
        <f>HYPERLINK("https://www.weblio.jp/content/怠け者", "词义详情")</f>
        <v/>
      </c>
      <c r="K6337">
        <f>HYPERLINK("https://yourei.jp/怠け者", "查看例句")</f>
        <v/>
      </c>
    </row>
    <row r="6338">
      <c r="A6338" t="inlineStr">
        <is>
          <t>怠ける</t>
        </is>
      </c>
      <c r="B6338" t="inlineStr">
        <is>
          <t>成功</t>
        </is>
      </c>
      <c r="C6338" t="inlineStr">
        <is>
          <t>読み方：なまける
［動カ下一］［文］なま・く［カ下二］
１なすべきことをしない。働かない。ずるける。「仕事を—・ける」
２元気がなくなる。力がなくなる。
「旅人を乗せたる馬士(まご)—・けたる声にて」〈滑・膝栗毛・初〉
３なまやさしくなる。鈍くなる。
「京の詞は—・けて悪い」〈浄・矢口渡〉</t>
        </is>
      </c>
      <c r="D6338" t="inlineStr">
        <is>
          <t>怠る；サボる</t>
        </is>
      </c>
      <c r="H6338" t="n">
        <v>29</v>
      </c>
      <c r="I6338" t="inlineStr">
        <is>
          <t>監督が来る時だけやっていればいい仕事のようにみんな怠けあっていた。；だからどうしても何もしないで怠けていると云う訳には行かないのである。；不健康な、病人を提供するようなことでは仕事を怠けていることになる。；ところが母はそれを無視して、ただ怠けてグズグズしているのだと思う。；といっても学校を怠けて行くところといえばやはり映画館しかない。；わたしはいまこの怠け癖から抜け出しつつあるが、なかなか具合がよい。；元旦から日記を書いていたが、200日目以降で怠けて書かなくなった。；でも怠けたりしないで、いいことをして、みんなからかわいがられたい。；そうかと言って怠けていれば、その制限の所在さえ知らずにしまう。；彼らは一日でも体をうごかすのを怠けると頭が白くにごるのだそうである。；結婚したこのころはまじめに勤めに出ていたが、次第に怠けはじめる。；きみがうちの屋敷の床を磨くのを怠けていても、もう私は驚かないよ。；それを人類がこれまで怠けていて取り出して利用するところまで至っておらないのだ。；それは学校を怠け、朝から映画ばかり見に行っていた時期である。；私が仕事をしてゐる間いつも彼女が怠けてゐるのは事實だつた。；その頃しきりに怠け始めてゐた彼は、突然學校に姿を見せなくなつた。；怠けてはいけないね、君のような若い会員が出品しないなんて困りますね。；私は叱られどおし、怠けたり笑ったりするもんだから可愛がられないの。；しかも彼は怠けたいように怠けて、なにごとも為さずして生きてきた。；仰せられる通り、これには弾正様の怠け心も大いにあるに相違ござらぬ。；足掛六七年になるが、これも怠けて居るから、どれ程の上達もして居ない。；しかしここは暖かく、彼はこうして怠けている自分自身に満足だった。；僕は怠ける方じゃないし、学校の勉強をきちんとやれば時間もつぶれるしね。；おまえはおれがおまえを気楽に怠けさせるとでも思っているのか?；私の店子はおまえも知っての通りたくさんあるが、一人も怠けている者はない。；あたしがちょっと遅れていくと、すぐにその真似をして怠けるの。；やがてかなり一杯お腹につまってから、おれたちは怠けてごろごろした。；私は、怠けがこうじて、なんとか機械で眼が作れないか、と思っている。；天国の子らが楽に怠けて生きているなどとは思ってはならぬ。</t>
        </is>
      </c>
      <c r="J6338">
        <f>HYPERLINK("https://www.weblio.jp/content/怠ける", "词义详情")</f>
        <v/>
      </c>
      <c r="K6338">
        <f>HYPERLINK("https://yourei.jp/怠ける", "查看例句")</f>
        <v/>
      </c>
    </row>
    <row r="6339">
      <c r="A6339" t="inlineStr">
        <is>
          <t>生々しい</t>
        </is>
      </c>
      <c r="B6339" t="inlineStr">
        <is>
          <t>成功</t>
        </is>
      </c>
      <c r="C6339" t="inlineStr">
        <is>
          <t>読み方：なまなましい
［形］［文］なまなま・し［シク］
１今できたばかりのようである。真新しい感じがする。「—・い傷あと」「—・い事件の現場」
２目の前に見ているような感じである。「記憶に—・い」「—・い体験談」
３生身である。生きている。
「神よりもきみは消たなむ誰により—・し身の燃ゆる思ひぞ」〈平中・一一〉
[派生]なまなましさ［名］</t>
        </is>
      </c>
      <c r="D6339" t="inlineStr">
        <is>
          <t>生々しいもの(3%)；生々しい血(2%)；生々しい匂い(2%)；生々しい現実(2%)；生々しい記憶</t>
        </is>
      </c>
      <c r="E6339" t="inlineStr">
        <is>
          <t>鮮やか；鮮明；ありあり；鮮烈；ビビッド</t>
        </is>
      </c>
      <c r="F6339" t="inlineStr">
        <is>
          <t>妙に生々しい；もっと生々しい；生々しい感触；生々しい傷；あまりにも生々しい</t>
        </is>
      </c>
      <c r="H6339" t="n">
        <v>29</v>
      </c>
      <c r="I6339" t="inlineStr">
        <is>
          <t>これまでただの一度も、そのような生々しい形で感じたことはなかった。；夢があまりにも生々しかったので一瞬理解できず、ベッドに座っていた。；鏡を介することで、実際に見ているのとは違った生々しさが感じられた。；それでもまだ生活していると思えるほど生活用品が生々しく残っている。；血は空気に触れて黒ずんではいるが、やはり一種異様な生々しさがある。；背中には殺した獣から切りとったばかりの生々しい肉を背負っています。；その言葉に、他巳吉の毒のすべてが、生々しく語られてゐるではないか。；肌に浸みる冬の感覚ももはや生々しく記憶の上に再現することが不可能だ。；肌に浸みる冬の感覺も最早生々しく記憶の上に再現することが不可能だ。；そうしてその血で書いたのだろう、生々しく赤くこう書かれてあった。；だが、活字になってみると重々しさも生々しさも口の端とは違いすぎる。；まだその感覚が躰のその部分に生々しく残ってるようにさえ感じられる。；彼女が高ぶっている時に漂ってくる甘さの濃い生々しい匂いに包まれた。；あなた何か希望を持ちだしたように顔の表情まで生々して来たわ。；興奮させられる生々しい夢を見ていて、その途中で目覚めたときのように。；要するにそこに演奏会場の音の生々しさを盗んで来ているからではないか。；昨夜のことで、最も生々しく残っている感覚は恐怖でも後悔でもなかった。；が、生活の中からせり出して来る生々しい建造物の規模はもっていない。；ただ、あまりに生々しい口喧嘩だったので記憶に刻まれていたのである。；屋敷の中が緊張していることは、電話越しにも生々しく感じられた。；蔵の中で姉の最後の時を想像すればするほど、その存在を生々しく感じた。；現在の社会が抱えている諸課題が、現代史には生々しく反映されてしまう。；そして文子の肉体を最も婬らな生々しさで意識せずにゐられなかつた。；妙に生々しくて、しかも、そのひびきには、何か金属的なものがあった。；はじめて彼が求めてきたときの感覚もまた、生々しいものであった。；しかし、女たちは彼が背負って来た生々しい肉のことをいい立てます。；そこまで考えたとき、僕の脳裏に新聞の生々しい一面が広がってくる。；その夜、中央放送でおこった出来事を生々しく語ることは私にはできない。；この眼で視た生々しい光景こそは死んでも描きとめておきたかつた。</t>
        </is>
      </c>
      <c r="J6339">
        <f>HYPERLINK("https://www.weblio.jp/content/生々しい", "词义详情")</f>
        <v/>
      </c>
      <c r="K6339">
        <f>HYPERLINK("https://yourei.jp/生々しい", "查看例句")</f>
        <v/>
      </c>
    </row>
    <row r="6340">
      <c r="A6340" t="inlineStr">
        <is>
          <t>生温い</t>
        </is>
      </c>
      <c r="B6340" t="inlineStr">
        <is>
          <t>成功</t>
        </is>
      </c>
      <c r="C6340" t="inlineStr">
        <is>
          <t>読み方：なまぬるい
［形］［文］なまぬる・し［ク］
１少しあたたかい。中途半端にあたたかい。また、変にあたたかい。なまあたたかい。「—・いふろ」「—・い春風」
２きびしさがない。手ぬるい。「—・い処置」「しつけ方が—・い」
３気力が感じられない。情熱が足りない。
「—・き、色の白きひな男なり」〈仮・東海道名所記・一〉
[派生]なまぬるさ［名］</t>
        </is>
      </c>
      <c r="D6340" t="inlineStr">
        <is>
          <t>生温い風(12%)；生温い水(7%)；生温いもの(4%)；生温い空気(3%)；生温い湯(2%)</t>
        </is>
      </c>
      <c r="H6340" t="n">
        <v>29</v>
      </c>
      <c r="I6340" t="inlineStr">
        <is>
          <t>つい昨日の同じ時刻には、水はまだ夏の生温かさを残していたというのに。；どこか生温い不穏な風が吹いていますが、雨が降りそうでもありません。；生温い糊のようなものは頭にも浸透して来て、そこに灰色の靄をかける。；生温い糊のやうなものは頭にも浸透して来て、そこに灰色の靄をかける。；生温い糊のやうなものは頭にも浸透して來て、そこに灰色の靄をかける。；かといって温泉のような気味の悪い生温かさがあるわけでもない。；俺の心は白け生温くなり、人を殺すには最も不適当な状態になってしまッた。；失踪なぞと生温いことせずに、俺が死んだことにしてしまおうと思うのだ。；それは彼の指を、ずっと細い、生温い、熱に震えている指を包んでくれた。；血が生温く手を濡らすが、傷口が動脈から遠いことに彼はやや安堵した。；寝ている間もずっと手に持っていたのか、随分と生温い金属の塊。；僕はその生温いよごれた着物を一枚一枚と脱ぎ棄てながら歩いたのだ。；バイトの女の子が持ってきた紙コップのコーヒーはどれも生温くなっている。；「父を売る子」は勿論、この生温い小説すら彼には続ける力が消えた。；生温い風に吹かれながら、ただ兄の後ろにいるものを凝視していた。；腕から胸へと手を伸ばして行くと、たちまち生温い液体を感じた。；その光景は、もう豪奢な宮殿とか荘厳なお城とか、そんな言葉では生温い。；現在私を取り囲む生温いものとは、つまり私の子どもたちと夫のことである。；手を伸して額に触ってみたが、生温いだけで、熱はなさそうだった。；冷や汗で湿ったその生温かさの中に、詩乃は誰か他人の気配を感じる。；子供はその生温い異臭を髪や首や手足から発散させてひたおしに迫ってくる。；裁判長があんな生温い訊問の仕方をするから何にもならないのだ。；そして歯と唇を巧みに使って強く吸うと、生温いワインが口の中に流れこんできた。；生温い液体が背中に入ったとき、それが自分の血だと気づいた。；軍隊毛布は生温く、私は寒さと危険をおかす気持をまったく持っていなかった。；真暗に曇つた晩で海岸の方からすこし風が吹いてゐたが生温い気持の悪い風でした。；生温い汗がおれの肌の上を流れ滴っているのが分かった。；生温るいものがこみ上って来たかと思うと、ドロッと口の中に咳出された。；急な姿勢の変化で膀胱が圧迫されたのか、股間に生温い感覚がひろがった。</t>
        </is>
      </c>
      <c r="J6340">
        <f>HYPERLINK("https://www.weblio.jp/content/生温い", "词义详情")</f>
        <v/>
      </c>
      <c r="K6340">
        <f>HYPERLINK("https://yourei.jp/生温い", "查看例句")</f>
        <v/>
      </c>
    </row>
    <row r="6341">
      <c r="A6341" t="inlineStr">
        <is>
          <t>生身</t>
        </is>
      </c>
      <c r="B6341" t="inlineStr">
        <is>
          <t>成功</t>
        </is>
      </c>
      <c r="C6341" t="inlineStr">
        <is>
          <t>読み方：しょうじん
仏語。
１仏・菩薩(ぼさつ)が、衆生済度(しゅじょうさいど)のため、父母の体内に宿ってこの世に生まれ出ること。また、その身。仏の化身。
２父母より生まれた身体。生まれながらの身体。</t>
        </is>
      </c>
      <c r="D6341" t="inlineStr">
        <is>
          <t>生身の人間どうし；生身のからだ；生身入定</t>
        </is>
      </c>
      <c r="E6341" t="inlineStr">
        <is>
          <t>身；体；身体；肉体；ボディ</t>
        </is>
      </c>
      <c r="G6341" t="inlineStr">
        <is>
          <t>生身供</t>
        </is>
      </c>
      <c r="H6341" t="n">
        <v>29</v>
      </c>
      <c r="I6341" t="inlineStr">
        <is>
          <t>簡単に言えば、生身の人間に出来ないことが出来てはいけない決まりだ。；いいかげん疲れているだろうに、まるで生身のものではないかのように。；そういう意味では肉のついた生身の人間を理解する方がよほど楽だ。；いくら何でも生身の人間がこんなに長く海に潜っていられるだろうか。；その囲いの奥から、一人の生身の人間を引っ張り出さなくてはならない。；今の彼は、観察し、分析し、記録する、生身の身体で構成されたマシン。；しかしもちろん、もう生身でこんな真似をすることは絶対にできない。；この二首は、親の生身の霊を分割する信仰から出てゐると言へます。；生身のテューリアン人に会うのは本当にこれがはじめてのことだった。；それに生身の身体なのだから、いつ何時健康を害さないとも限らない。；生身の体と人形との違いとは、いったいどれほどのものなのだろう。；星たちに旅を命じられていたが、生身の体ではそれ以上進めないように思った。；信じられないようなことだが、ここへ彼の生身の身体が現われるのだ。；生身の人間のする仕事だから結果はすぐ表われ、客もそれにすぐ反応する。；幸い相手は生身の人間ではないから、つきまとわれても怒ったりはしない。；雷は、生身であった頃の無意識な反応で、大きく息を吸い込もうとした。；生身の女をかたわらにして、その性を意識したのは初めてのことではないか。；生身の体ではないため、いかなる衝撃を受けようとも死ぬことはない。；一体どのような執念が、生身の人間をここまでの凶器に錬磨しうるのか。；それは気がするだけで、そこに丹翁の生身がいたわけではないことを。；お新さんの歳月には、生身には、こんな傷はつかなかったものであろうか。；少しでも危険が残っているうちは生身の人間は決して入れない。；だけど、彼女らも生身の体だってことを知ってなければいけないのよ。；生身の人間と、人間の形をした何かとの区別がつかないのが、不安なのだろう。；ただし生身の肉体に加えられた暴力とは、明らかに次元を異にしている。；は、生身の上によりも紙の上にこそ、より深く刻みつけられるのである。；低い階級の働き蜂は要するに生身の体を持ったロボットにすぎないからだ。；本作では華撃団の各隊員が霊子甲冑に乗らず生身で戦うのも特徴である。；それで生身の人間のチームと連携して行動しているのだろう。</t>
        </is>
      </c>
      <c r="J6341">
        <f>HYPERLINK("https://www.weblio.jp/content/生身", "词义详情")</f>
        <v/>
      </c>
      <c r="K6341">
        <f>HYPERLINK("https://yourei.jp/生身", "查看例句")</f>
        <v/>
      </c>
    </row>
    <row r="6342">
      <c r="A6342" t="inlineStr">
        <is>
          <t>訛り</t>
        </is>
      </c>
      <c r="B6342" t="inlineStr">
        <is>
          <t>成功</t>
        </is>
      </c>
      <c r="C6342" t="inlineStr">
        <is>
          <t>読み方：なまり
ある地方特有の発音。標準語・共通語とは異なった発音。「言葉に—がある」</t>
        </is>
      </c>
      <c r="D6342" t="inlineStr">
        <is>
          <t>訛りが強い；訛りが強く；訛りがひどく；訛りがひどい；訛り丸出し</t>
        </is>
      </c>
      <c r="E6342" t="inlineStr">
        <is>
          <t>方言；アクセント；抑揚；訛；訛音</t>
        </is>
      </c>
      <c r="F6342" t="inlineStr">
        <is>
          <t>南部訛り；強い訛り；語訛り；イタリア訛り；コックニー訛り</t>
        </is>
      </c>
      <c r="H6342" t="n">
        <v>29</v>
      </c>
      <c r="I6342" t="inlineStr">
        <is>
          <t>あなたは知っているんだと思うが、俺は本当にこの訛りを練習したんだ。；DVDの解説によると、カナダ訛りなども使ってみたことがあるそうだ。；かすかな訛りはあったが、おれはそれを方言の名残だと思っていたのだ。；その広東語訛りの口調が魅力となり、日本での芸能活動の中で定着した。；目撃者によると、クーパーの英語に独特の訛りは見られなかったという。；訛りが強いだけではなく、グラスウィージャンの方言も使用されている。；帆村はドクトルのその声の隅に、何処か聞き覚えのある訛りを発見した。；解説者としては独特の名古屋訛りと詳細かつ正確な技術論が特徴であった。；これは、現地語であるプカプカ語の訛りがひどいことが理由とされている。；そういえば、たしかに夫人の言葉だって土地の訛りはそんなに感じられない。；いってしまってから、少しぐらい訛りが残っていた方がいいですよといい直した。；そして言語には尾張の国訛りがなく純然たる江戸弁であったそうである。；かすかに訛りはあるが、長く旅を続けてきたらしい慣れた英語だ。；「どこから連れてこりゃあたの」 日本のどこかの地方の訛りが出た。；「邪魔立てすると、その分には捨ておかぬぞ」 言葉に訛りがあった。；ドイツ人役も英語であるが、ドイツ語訛りの英語で差別化を図っている。；これはインディアンが使用する西部訛りの英語を意識していると解説されている。；「あの訛りは九州のF市の言葉なんだね」と私は妻に教えてやった。；それというのが上海氏の言葉を聞いているとどこか関東訛りがある。；訛りの抜けきれない庄内の受け答えに、忘れていた故郷を思い出していた。；わずかな東洋訛りが残っているものの、すべらかな発音のフランス語だ。；口調は一人称が「ワシ」と訛りが見られ、原作初期のものとなっている。；ぼくは彼らのイングランド訛りに気づいて、聞くともなく彼らの会話を聞いていた。；彼らはロシア訛りでいくつか主語と目的語を反転させたジョークを言う。；それが私にはなんだか解りにくい田舎訛りで喋舌られているかのように思えた。；部下の兵士に比べて、言葉に訛りがないのは、この出稼ぎのせいなのである。；機械通訳に頼っているぐらいだから、こちらの訛りには気づかないだろう。；「あなたの安全のためです」導師はフランス語訛りの英語で言ったものだ。；彼女は船員や男性乗客らにフランス訛りの英語で気さくに話しかけていた。</t>
        </is>
      </c>
      <c r="J6342">
        <f>HYPERLINK("https://www.weblio.jp/content/訛り", "词义详情")</f>
        <v/>
      </c>
      <c r="K6342">
        <f>HYPERLINK("https://yourei.jp/訛り", "查看例句")</f>
        <v/>
      </c>
    </row>
    <row r="6343">
      <c r="A6343" t="inlineStr">
        <is>
          <t>鉛</t>
        </is>
      </c>
      <c r="B6343" t="inlineStr">
        <is>
          <t>成功</t>
        </is>
      </c>
      <c r="C6343" t="inlineStr">
        <is>
          <t>読み方：えん
［常用漢字］　［音］エン（呉）（漢）　［訓］なまり
１なまり。「鉛管・鉛錘・鉛毒・鉛版」
２おしろい。「鉛白・鉛粉」
３なまりに似た物質。「鉛筆／亜鉛・黒鉛・蒼鉛(そうえん)」</t>
        </is>
      </c>
      <c r="D6343" t="inlineStr">
        <is>
          <t>鉛玉(3%)；鉛製；鉛板；鉛弾；鉛いろ</t>
        </is>
      </c>
      <c r="F6343" t="inlineStr">
        <is>
          <t>有鉛；小さな鉛；鉛塩；鉛球；鉛同位体</t>
        </is>
      </c>
      <c r="G6343" t="inlineStr">
        <is>
          <t>鉛色；鉛直；鉛管；鉛直方向；鉛蓄電池</t>
        </is>
      </c>
      <c r="H6343" t="n">
        <v>29</v>
      </c>
      <c r="I6343" t="inlineStr">
        <is>
          <t>朝廷の鋳造した銭の質はこの頃より低下し、鉛分が多くなってきている。；鉛と錫の合金は大気中でも安定しているため特別な処理は必要なかった。；そこで、霧箱中に鉛の板を入れて観測する方法がとられることがある。；反射炉はもともと融点の低い銅や鉛などの金属の融解に利用されていた。；パックには中心部が鉛で周囲をプラスチックでカバーされたものを用いる。；また鉛やビスマスなどの金属イオンが触媒毒となることも知られている。；しかし、藩政の最後まで大量の鉛を産出したのは太良鉱山だけであった。；当時の顔料には多くの鉛が含まれ、鉛中毒はいわば画家の職業病だった。；この日はチニオンダイスタ川の河口に鉛板を置き、木に王の武器を付けた。；また、釣りなどで用いられるおもりの材料としても鉛は用いられている。；代わりにシアン酸鉛とアンモニアを使っても反応を行うことができる。；港湾のほか、1930年に建設された鉛の精錬所が町の主要産業である。；は、光線の通り道の一方を、巨大な鉛ブロックの間に通したものであった。；その他のヒ素や鉛のような高い毒性を持つ金属イオンにも有効である。；天使はゴミ溜めから王子の鉛の心臓を、そしてツバメの骸を持ってくる。；なお、過去には鉛製のものが広く使用された時期もあった。；内側の一部には鉛釉が変化を起こしたことによる銀化も見られる。；それぞれの部屋は鉛で覆われていたが、第一次世界大戦の時に取り払われている。；彼らは重騎兵が主体だったが、鉛弾や石弾を発射する射石砲も持っていた。；頭の重さと同等の金と交換する条件だったため、頭には鉛が詰められていたという。；格子には鉛または亜鉛を含む部品や塗料が使われていてはならない。；鉄、銅、鉛などの金属素材を用いて自然をモチーフとした彫刻を制作した。；ガソリンエンジンなどの場合には硫黄分が多いと加鉛効果の低下がみられる。；タコマ市は長い間金、銀、銅および鉛を扱う大規模精錬所で注目された。；これに対し、重い反射素材である鉛やは中性子速度減速の効果が小さい。；ビスマスを研究し、ビスマスが鉛とは別の金属であることを示した。；噴水は彫刻家のBrian Turnerが制作した鉛製のものである。；某大学の植物学教室では鉛の塊が用意してあるとの噂もある。；たとえば、濃色ガラスは日光を、鉛はX線を、水は光と音を減衰させる。</t>
        </is>
      </c>
      <c r="J6343">
        <f>HYPERLINK("https://www.weblio.jp/content/鉛", "词义详情")</f>
        <v/>
      </c>
      <c r="K6343">
        <f>HYPERLINK("https://yourei.jp/鉛", "查看例句")</f>
        <v/>
      </c>
    </row>
    <row r="6344">
      <c r="A6344" t="inlineStr">
        <is>
          <t>波</t>
        </is>
      </c>
      <c r="B6344" t="inlineStr">
        <is>
          <t>成功</t>
        </is>
      </c>
      <c r="C6344" t="inlineStr">
        <is>
          <t>読み方：なみ
１風や震動によって起こる海や川の水面の高低運動。波浪。「—が寄せてくる」「—が砕ける」「逆巻く—」
２空間や物体の一部における振動や変化が、周囲の部分に次々に伝わっていく現象。波動。「光の—」「音の—」
３押し寄せるように揺れ動くものの動き。「人の—」
４個人ではどうしようもない変化が、かわるがわる生じること。「歴史の—」「国際化の—」
５形状や有様などが、波の形や動きを思わせるもの。「いらかの—」「雲の—」「稲穂の—が揺れる」
６物事の動向にでこぼこ・高低・出来不出来などがあって、一定しないこと。むら。「調子に—がある」「成績に—がある」「感情の—が激しい」
７老いて皮膚にできるしわ。「老いの—」「額の—」
８海水の流れ。うしお・潮流。
「はやき—ありて、はなはだはやきに会ひぬ」〈神武紀〉
９世の乱れ。騒ぎ。ごたごた。
「四海の—も静かにて」〈謡・内外詣〉
10はかないもの、消えやすいものをたとえていう語。
「—と消えにし跡なれや」〈謡・江口〉
11紋所の名。1を図案化したもの。
[補説]書名別項。→波
[下接語] 徒(あだ)波・荒波・磯(いそ)波・浮き世の波・卯(う)波・大波・男(お)波・風(かざ)波・川波・黄金(こがね)の波・小波・逆(さか)波・細(さざ)波・細(ささら)波・細(さざれ)波・三角波・白(しら)波・高波・縦波・津波・年波・土用波・早波・人波・藤(ふじ)波・穂波・女(め)波・夕波・横波</t>
        </is>
      </c>
      <c r="D6344" t="inlineStr">
        <is>
          <t>波帯；波性；波さん；波型；波スクリーン</t>
        </is>
      </c>
      <c r="E6344" t="inlineStr">
        <is>
          <t>浪；波動；浦波；海波</t>
        </is>
      </c>
      <c r="F6344" t="inlineStr">
        <is>
          <t>三波；那波；大きな波；第二波；思考波</t>
        </is>
      </c>
      <c r="G6344" t="inlineStr">
        <is>
          <t>波動；波及；波紋；波止場；波形</t>
        </is>
      </c>
      <c r="H6344" t="n">
        <v>29</v>
      </c>
      <c r="I6344" t="inlineStr">
        <is>
          <t>このような短波長の波を集束できるような材料は存在しないからである。；奥尻島西部では第一波到達の10分後に最大波となる第二波が到達した。；海水はその表面に波が立っていることが多く、これは主に風の作用である。；このように波ができる原因はいくつもあるが、最も一般的な原因は風である。；三波にとってはこの番組が初めての本格的な歌謡番組での司会であった。；その他の状態では波が干渉して破壊され、確率密度が0となってしまう。；干渉波ではなく運動単位が観察しやすい程度の力を入れた状態で行う。；そして波の音が何分か流れた後、間を置かずに突然休止するパターンだった。；超音波とは人間の耳には聞こえない高い振動数をもつ弾性振動波である。；そして一般の方向に進む波はその知識を基礎にして考える。；くだけた表現やより長い音を表すため、波型の長音符を使用する事もある。；これらの植民地も第二次世界大戦後民族独立の波に乗って次々に独立していった。；湾では減速しながら海岸に接近した先行波に後続波が重なりやすいため。；あくまで要因による定義の違いであり、波の性質で区別しているわけではない。；これは界面である明瞭な表面を進む波となるため表面波とも呼ばれる。；体の波の形でガッツポーズをつくっており、明るく元気な性格を表現している。；波がないとサーフィンは出来ないため、大会の開催日程に特徴がある。；直感的には、波数は単位長さの直線に何波長分の波が入るかを表している。；車体デザインは海の波を描いた日本画風のものとなっていた。；多方向からの波が合成されてできるピラミッド状の波を三角波と言う。；珊瑚礁のある海岸など地形によっては波群津波が発生することもある。；この結果、荒天時にはしばしば飛行甲板まで波が達することとなった。；有義波の高さでみると、世界の観測史上最高の波は以下のようになっている。；そのまま高度経済成長の波に乗り、ミカン栽培は飛躍的な伸びを見せる。；感応波を受けて稼働状態となったサイコフレームは高い強度を発揮する。；他の海域で風によって起こされた波が伝わってきた波はうねりと呼ばれる。；移住者の最初の波だけで州昇格を申請するだけの人口が集まった。；これは光が干渉という、波に特徴的な性質を持っているためである。；作戦準備のため、信じられないほどの人と資材の波がイギリスに流れ込んだ。</t>
        </is>
      </c>
      <c r="J6344">
        <f>HYPERLINK("https://www.weblio.jp/content/波", "词义详情")</f>
        <v/>
      </c>
      <c r="K6344">
        <f>HYPERLINK("https://yourei.jp/波", "查看例句")</f>
        <v/>
      </c>
    </row>
    <row r="6345">
      <c r="A6345" t="inlineStr">
        <is>
          <t>並木</t>
        </is>
      </c>
      <c r="B6345" t="inlineStr">
        <is>
          <t>成功</t>
        </is>
      </c>
      <c r="C6345" t="inlineStr">
        <is>
          <t>読み方：なみき
並んで立っている樹木。また、街路の両側などに1列に並べて植えた木。街路樹。「—道」「桜—」</t>
        </is>
      </c>
      <c r="D6345" t="inlineStr">
        <is>
          <t>並木路(3%)；並木さん；並木街；並木先生；並木地区</t>
        </is>
      </c>
      <c r="F6345" t="inlineStr">
        <is>
          <t>銀杏並木；ケヤキ並木；イチョウ並木；柳並木；欅並木</t>
        </is>
      </c>
      <c r="G6345" t="inlineStr">
        <is>
          <t>並木通り；並木町；並木五瓶；並木橋；並木路子</t>
        </is>
      </c>
      <c r="H6345" t="n">
        <v>29</v>
      </c>
      <c r="I6345" t="inlineStr">
        <is>
          <t>改築後の駐車場周辺および建物外は、基本的に桜の並木林となっていた。；目黒川沿いの桜並木は有名であり、桜のシーズンには多くの人が訪れる。；公園の所在している旧堤防上には桜をはじめとする並木が設けられている。；しかし既婚者だった並木は夫の海外への突然の転勤を理由に番組を降板。；住宅が多いベッドタウンで、北口の前を通る道路は桜並木になっている。；街の中に歩道があつて、そこに香柏樹の並木が遙か向うまで続いてゐる。；自然豊かな地区となっており、春の桜、秋のいちょう並木は見物である。；公園敷地の南側では、針葉樹の並木の中を江川堀が東へと流下している。；その芦や蒲の向うには、背の高い白楊の並木が、品よく風に戦いでゐる。；桜並木が有名で、春が近くなると雑誌等に掲載されることも多い。；橋の北側には並木があり、主にオリーブとアーモンドが植えられていた。；公園中央の通りはケヤキ並木、南の通りはサクラ並木が整備されている。；並木は、道以外の河川などに沿って、あるいは単に列に並んでいる木もいう。；渇水期には、かつて街道の並木だった松の切り株が水面に現れるという。；校地のすぐ脇を流れる岸渡川の桜並木は、桜の名所として知られている。；ラチエンがこの道筋に桜並木を作ったことから、当時は桜道とも呼ばれた。；地元住民の手で川岸に桜並木が作られ、今でもその一部が残っている。；この証言が正しいとすると、並木が4列ではなかった可能性がある。；亭号は両師匠の亭号の並木の木に宮田の田を一字ずつ取り掛け合わせた。；旧吉野川に面した公園で、桜並木や人口の大きな池で知られている。；自動車道路沿いの桜並木は春には桜の名所として地元では有名である。；避難解除後、施設は解体されたが、メタセコイア並木は保存されている。；また、浜の近くには桜並木があり、春にはこれらを楽しむことができる。；家主の並木さんがいつもこれを買ってそこに置いてあったので。；一般用の橋を渡ってから、我々は広い並木路を登って行った。；川沿いには桜が植えられており、春先には美しい桜並木を見ることができる。；秋の日を受けて、あかあかとして、松の並木が見えたのでありました。；廃線跡はヘルスロードとして整備され、道沿いには桜並木が続いている。；美しい桜並木の大通り「恋咲き通り」と学園の巨大な桜で有名な田舎町。</t>
        </is>
      </c>
      <c r="J6345">
        <f>HYPERLINK("https://www.weblio.jp/content/並木", "词义详情")</f>
        <v/>
      </c>
      <c r="K6345">
        <f>HYPERLINK("https://yourei.jp/並木", "查看例句")</f>
        <v/>
      </c>
    </row>
    <row r="6346">
      <c r="A6346" t="inlineStr">
        <is>
          <t>涙</t>
        </is>
      </c>
      <c r="B6346" t="inlineStr">
        <is>
          <t>成功</t>
        </is>
      </c>
      <c r="C6346" t="inlineStr">
        <is>
          <t>読み方：なだ
なみだ。江戸時代、奴(やっこ)などの間で用いられた語。
「心中がうれしくて、うら、—がこぼるる」〈浄・加増曽我〉</t>
        </is>
      </c>
      <c r="D6346" t="inlineStr">
        <is>
          <t>涙が出そう；涙を流さ；涙滴；涙が浮かん；涙をながし</t>
        </is>
      </c>
      <c r="E6346" t="inlineStr">
        <is>
          <t>泣き；露；嗚咽；泪；泣くこと</t>
        </is>
      </c>
      <c r="F6346" t="inlineStr">
        <is>
          <t>涙滴型船型；涙さしぐみ；涙小管；涙をポロポロこぼし；涙を一杯溜め</t>
        </is>
      </c>
      <c r="G6346" t="inlineStr">
        <is>
          <t>涙ながらに；涙し；涙声；涙目；涙ぐましい</t>
        </is>
      </c>
      <c r="H6346" t="n">
        <v>29</v>
      </c>
      <c r="I6346" t="inlineStr">
        <is>
          <t>ある日鯤淵の池で、王の乗っていた馬が岩を見て立ち止まり涙を流した。；この目の他のグループではほとんど退化している涙骨がまだ存在している。；涙ありと書いてあるが、感動的な話はあまり無く、殆どがギャグである。；晩年はさすがに覚えていても忘れて、それを涙をこぼして歯がゆがった。；その様子をガラス越しに聞いていた永は思わず涙を流したという。；避けがたい戦争を前にしてナポレオン3世は閣議で涙を流したという。；あふれる悲しみを抑え切れず、一人涙を流すブリーの姿がそこにあった。；目の前の涙骨には卓越した粗いクレストが存在し、後方に突出していた。；生徒は目に涙を浮かべて助けを求めたが、ロムニーは髪を切り続けたという。；有罪判決を獲得するためには手段を選ばない、血も涙も無い鬼のような人物。；この角は涙骨が延長したもので、標本によって形や大きさが異なっている。；結婚式には鈴木も出席したが、その祝辞は涙で言葉にならなかったという。；インタビューの際には、いつものように冗談をいいつつも涙を見せた。；本当に、すべての死を取り消し、すべての涙を鎮めてくれるのだろうか。；でもその後聞いたら、我々が帰った後で涙を流して喜んだということでした。；また涙も単に眼を洗浄する役割以上に感情と強い結びつきを持つ。；鼻毛を抜いた時に涙が出ることがあるが、必ず抜いた鼻の穴の側の目から出る。；そして彼女は涙ながら、セント・ヘレナ島に連れて行って欲しいと言った。；露香が描いた一茶像は「笑いの中に涙を湛える飄逸なる詩人」であった。；これを見て涙を流さぬ者はおらず、石虎はこれにより発病してしまった。；この場面は世界中の人々の涙を誘い、長く記憶されることとなった。；前半終了間際で交代をしたときは目に涙を浮かべながらベンチに下がった。；彼はベレグを見ると衝撃を受け、涙をはらはらと流しながら駆け寄った。；その日は酷寒であり、哭する人々の涙が氷となって頭髪に散ったという。；特にマイナーリーグ時代は貧乏な生活と寂しさで何度も涙を流したという。；レティシアの目には涙が光っていたが、口元はうっすらと微笑んでいた。；よく見るとそれは、雪舟が流した涙を足の親指で描いたものであったという。；当時の関係者は朗廬のことを話すときには感動して涙を流していたと語っている。；倒れた翌日に見舞いに行った際は、竜助の手を握ったまま涙を流したという。</t>
        </is>
      </c>
      <c r="J6346">
        <f>HYPERLINK("https://www.weblio.jp/content/涙", "词义详情")</f>
        <v/>
      </c>
      <c r="K6346">
        <f>HYPERLINK("https://yourei.jp/涙", "查看例句")</f>
        <v/>
      </c>
    </row>
    <row r="6347">
      <c r="A6347" t="inlineStr">
        <is>
          <t>並大抵</t>
        </is>
      </c>
      <c r="B6347" t="inlineStr">
        <is>
          <t>成功</t>
        </is>
      </c>
      <c r="C6347" t="inlineStr">
        <is>
          <t>読み方：なみたいてい
［名・形動］普通に考えられる程度であること。また、そのさま。ひととおり。多く打消しの語を伴って用いる。「この悪天候に出航するとは—でない」</t>
        </is>
      </c>
      <c r="D6347" t="inlineStr">
        <is>
          <t>並大抵じゃない(3%)</t>
        </is>
      </c>
      <c r="E6347" t="inlineStr">
        <is>
          <t>一方；一般的；正常；平凡；当たり前</t>
        </is>
      </c>
      <c r="H6347" t="n">
        <v>29</v>
      </c>
      <c r="I6347" t="inlineStr">
        <is>
          <t>意識がしっかりしているだけに、その恐怖は並大抵のものではなかった。；その中で主人公になるのは並大抵のことではないことくらいわかっている。；並大抵のやつじゃないとはわかっていたが、この手紙を見ると想像以上だ。；ところが、今夜の来島は並大抵の覚悟ではないものを持っているらしい。；だが、それが並大抵の苦労ではなかったことくらい僕にも想像できた。；それを毎日、何年も続けるっていうことは、並大抵のことじゃないのよ。；その中で頭角をあらわそうとすれば、それは並大抵のことではなかった。；護衛方の課長を務めるということは、剣の腕も並大抵ではないはずだ。；約一時間四十分をたった一人で演ずるというのは並大抵のことではない。；目や口や耳や首や手や足を動くようにするので、作る技は並大抵ではありません。；もはや並大抵の男では、この問題を解決できそうにないからだった。；その憎悪は並大抵のものではなく、他人が制止しても、まず無駄だろう。；これでは教師はまだしも、教えを受ける生徒の負担は並大抵ではなかった。；人間の脳細胞の動きを一つ残らず監視しているなんて並大抵の事ではない。；着の身着のままで逃げてきた人々の苦痛は、並大抵のものではないだろう。；俺が今の地位を得るまでの苦労は並大抵のことではなかった。；しかし、わざわざここまでお出掛けくださるのは並大抵のことぢやない。；地下三十階に捨子をするために支払ふ社会税だつて並大抵なものではない。；やさしさは風の調べ なみたいてい 並大抵の人間にできることではない。；しかし、昼間はともかく、夜中や明け方の寒さは並大抵のものではない。；あのような地位にあられる方として、これは並大抵のことではございませぬ。；ドアには鍵がかけられており、並大抵の攻撃では壊される事はない。；その策を放棄したのは、他の二人の連れが並大抵の者でないことが判ったからだ。；しかしこの任務は、当時の国内情勢の下では、並大抵のことではなかった。；あの人を説得するのは並大抵の努力じゃ不可能みたいだな、とぼくは心の中で思った。；これは彼女が自負するように並大抵の攻撃では揺るぎもしない守りだろう。；伊豆の先端の小さな島とはいえ、そんなことができるのは並大抵の男ではない。；小さいと言ってもSAOで一軒家を買うのは並大抵の金額では済まない。；やはり、この連鎖には並大抵の量の黄鉄鉱では太刀打ちできそうもない。</t>
        </is>
      </c>
      <c r="J6347">
        <f>HYPERLINK("https://www.weblio.jp/content/並大抵", "词义详情")</f>
        <v/>
      </c>
      <c r="K6347">
        <f>HYPERLINK("https://yourei.jp/並大抵", "查看例句")</f>
        <v/>
      </c>
    </row>
    <row r="6348">
      <c r="A6348" t="inlineStr">
        <is>
          <t>滑らか</t>
        </is>
      </c>
      <c r="B6348" t="inlineStr">
        <is>
          <t>成功</t>
        </is>
      </c>
      <c r="C6348" t="inlineStr">
        <is>
          <t>読み方：すべらか
［形動］［文］［ナリ］すべすべしているさま。なめらか。「—な肌」</t>
        </is>
      </c>
      <c r="D6348" t="inlineStr">
        <is>
          <t>滑らかな動き；滑らかな表面；滑らかな肌；滑らかな頬；滑らかな動作</t>
        </is>
      </c>
      <c r="E6348" t="inlineStr">
        <is>
          <t>ソフト；柔らかい；柔らか；平ら；なめらか</t>
        </is>
      </c>
      <c r="F6348" t="inlineStr">
        <is>
          <t>滑らかな皮膚；滑らかな白い；滑らかな写像；滑らかな構造；滑らかな食感</t>
        </is>
      </c>
      <c r="G6348" t="inlineStr">
        <is>
          <t>滑らかな多様体；滑らかな曲線；滑らかな函数；滑らかな関数；滑らかな無限小解析</t>
        </is>
      </c>
      <c r="H6348" t="n">
        <v>29</v>
      </c>
      <c r="I6348" t="inlineStr">
        <is>
          <t>本級から艦首に衝角を装備するのを廃止し、滑らかな艦首形状となった。；彼らは協調して働いてアルフの動きを滑らかでそれらしいものにした。；台となるスキームが滑らかならばこの二つの構成は同じ群を与える。；全体的な外観は伝統的中国様式であり、滑らかな金山石で覆われている。；それらは現生の両生類のような滑らかな皮膚をしていたのだろう。；これは航空機が滑らかな飛行を維持する上で問題を起こした。；口の前半部の歯は長くとがり、表面は滑らかで内側に向けて曲がっている。；葉質は薄くて草質、表面は滑らかかあるいは短い毛が立っていてざらつく。；幼体では後部縁甲板が鋸状に尖る種もいるが、成長に伴い滑らかになる。；有声時のピッチ周波数の変化を補間し滑らかにする機能も強化された。；これは「滑らかにする」という特徴を比喩的に意味するものでもあった。；頭部の他の部分から滑らかに続くものもあるが、鳥類ではその間に区別がある。；Q が奇であれば、2つのは滑らかな構造を持たない多様体が存在する。；表面は滑らかで縦に筋が入っており、色は不透明な淡黄色で縁は黄色い。；さらに、一般の測度は連続であったり、滑らかであったりする必要もない。；側裂片の縁は滑らかなものが多いが、縁が櫛の歯状に裂ける例がある。；パレネやアイガイオンも同様に滑らかな表面を持つと考えられている。；正則性は他の座標系ではその点の計量が滑らかであることから分かる。；一次のスティーフェル・ホイットニー類は滑らかな実直線束を分類する。；ボールドウィンは飛んでいるように滑らかだったと描写している。；実際、単独の滑らかな 4次元多様体で、答えが知られているものはない。；体は左右に扁平で表面は滑らかで、頭部として区別出来る部分はない。；以前はゴキブリ型が滑らかな先端からパネルにつながる物がより成功した。；表面は最初は綿毛状であるが、その後滑らかになり、湿ると粘りが出る。；きちんと作ればまったく分離しない滑らかでクリーミーなソースになる。；先端部の強度を高め滑らかな表面にするために桜皮を編み込んだものもある。；体は一般に滑らかだが、頭部の皮膚の下に埋没した骨板をもつ。；葉は形3cm程度で表面は滑らかでややつやがあり、縁は鋭い鋸歯が並ぶ。；この接続ではハイライトは繋がっているが滑らかでないことがある。</t>
        </is>
      </c>
      <c r="J6348">
        <f>HYPERLINK("https://www.weblio.jp/content/滑らか", "词义详情")</f>
        <v/>
      </c>
      <c r="K6348">
        <f>HYPERLINK("https://yourei.jp/滑らか", "查看例句")</f>
        <v/>
      </c>
    </row>
    <row r="6349">
      <c r="A6349" t="inlineStr">
        <is>
          <t>嘗める</t>
        </is>
      </c>
      <c r="B6349" t="inlineStr">
        <is>
          <t>成功</t>
        </is>
      </c>
      <c r="C6349" t="inlineStr">
        <is>
          <t>読み方：なめる
［動マ下一］［文］な・む［マ下二］
１舌の先でなでるように触れる。「切手を—・めてはる」「猫が毛を—・める」
２舌の先で味をみる。また、そのようにして酒を少しずつ飲む。口に含んだものを舌で味わう。「砂糖を—・める」「ウイスキーを—・める」
３つらいことや苦しいことを経験する。「辛酸を—・める」
４（炎の動きを舌の動きに見たてて）炎がはうようにして燃え広がる。「炎が家並みを—・める」
５映画・テレビなどの撮影技法の一。主となる被写体の手前に、他の人や物を置いて撮影する。
６《形容詞「なめし」の動詞化かともいう》かるく見なす。甘く見る。みくびる。「若造に—・められる」「—・めたことを言うな」
[下接句] 肝(きも)を嘗める・苦汁を嘗める・苦杯を嘗める・辛酸を嘗める・糟粕(そうはく)を嘗める</t>
        </is>
      </c>
      <c r="D6349" t="inlineStr">
        <is>
          <t>吸う；舐める；おっぱい；喫う；しゃぶる</t>
        </is>
      </c>
      <c r="H6349" t="n">
        <v>29</v>
      </c>
      <c r="I6349" t="inlineStr">
        <is>
          <t>それからこの薬は一滴程嘗めておくと一週間眠り続ける事が出来る薬だ。；その為に、この頃誰よりも辛い思ひを嘗めさせられるのは彼の妻だつた。；少年は心に感じ得る限りの苦しみを想像の中で嘗めていたのだから。；俺たちは多分、互いの傷を嘗め合う野良猫のようなものだったのだろう。；そして私などは、その点ではポーの爪の垢を嘗める資格さえありません。；丸吉は豚に真珠を嘗めさせるような気で、それを眺めていたに違いない。；またそれを嘗めてみるのが私にとってなんともいえない享楽だったのだ。；お冬はうなずいて眺めていたが、やがてその刀の血を嘗めさせてくれと言った。；姉妹二人十何年も死の苦しみを嘗めさせられて、その上姉が首を吊ったんだ。；言われるままにその男の尻をほじって嘗めたところ、甘い柿の味がした。；具合の良いときは、嘗めるように可愛がるのに、突然手を上げたりする。；私を初め姉妹たちは父が甘いので嘗めていたが、父を尊敬していた。；一つの蛾が朱筆の穂のような火先に、素早く嘗められて畳の上へ落ちた。；いざ寝床に入ったところ、娘は若者の頭から足先まで全身を嘗め始めた。；冷たい風が顔を嘗めるように身に浸みて、ふと目を醒まして見ると驚いた。；汗を拭いたり、唇を嘗めるなどして、気持ちを落ち着けようとしている。；どこに、敗北の苦味を嘗めないで、大事をなした者がありましょうや。；両足に穿いたストッキングが浅倉の脚を嘗めるようにして燃えていった。；どうかして之を助けたいと思つて艱難辛苦を嘗めて居るのである。；一歩一歩意識して歩かねばならぬ不自由と困難とを嘗めるでしょう。；突然の社長就任だったため、当時はかなりの辛酸を嘗める日々だったという。；嘗められた客であるとしても、これほどの嘗められ方があるだろうか。；今は御時世が違ふ、人形と遊んだり、脣の嘗めつこをしてはゐられない。；まるで、目だけで翠を嘗めまわそうとでもしているような感じがする。；あなたが私のどこに触れてどこを嘗めたかもおぼえている。；それがいま眺めると、その原のうえを嘗めるように火焔が渡っていた。；作家は誰でも必ず芸術と生活の間に横る痛苦を嘗めて来ないものはあるまいと私は思ふ。；こうなるのだったら、けちけちせずに、もっと贅沢に嘗めたらよかった!；そのたびに一種の心苦しさを嘗めた私は、とうとう帰る決心をした。</t>
        </is>
      </c>
      <c r="J6349">
        <f>HYPERLINK("https://www.weblio.jp/content/嘗める", "词义详情")</f>
        <v/>
      </c>
      <c r="K6349">
        <f>HYPERLINK("https://yourei.jp/嘗める", "查看例句")</f>
        <v/>
      </c>
    </row>
    <row r="6350">
      <c r="A6350" t="inlineStr">
        <is>
          <t>悩ましい</t>
        </is>
      </c>
      <c r="B6350" t="inlineStr">
        <is>
          <t>成功</t>
        </is>
      </c>
      <c r="C6350" t="inlineStr">
        <is>
          <t>読み方：なやましい
［形］［文］なやま・し［シク］《動詞「なや（悩）む」の形容詞化》
１悩むことがあって苦しい。難儀である。「焦りと苛立ちの—・い日々を送る」
２官能が刺激されて、心が平静でいられない。「—・い姿態」「—・い調べに誘われる」
３病気などで気分が悪い。
「—・しく侍りて、内へも参らず」〈宇津保・忠こそ〉
[派生]なやましがる［動五］なやましげ［形動］なやましさ［名］</t>
        </is>
      </c>
      <c r="D6350" t="inlineStr">
        <is>
          <t>悩ましいもの(4%)；悩ましい思い(3%)；悩ましい問題(3%)；悩ましい声；悩ましい姿</t>
        </is>
      </c>
      <c r="E6350" t="inlineStr">
        <is>
          <t>心配；不安；気がかり；後ろめたい；心許ない</t>
        </is>
      </c>
      <c r="H6350" t="n">
        <v>29</v>
      </c>
      <c r="I6350" t="inlineStr">
        <is>
          <t>あなたや隆吉のことで、それがなお変な風に私の心を悩ましてきました。；かつてはわたしを悩ましたものも、みな甘美の姿となって現われたのだ。；それどころか、何かでたいへん頭を悩ましておられたことも聞きました。；なぜ父母がそんなに心を悩ましているか、私にははっきり分らなかった。；それでいて心の中では、すべてがなんと悩ましくさわだっていることか。；おげんはそんな夫婦の間の不思議な結びつきを考えて悩ましく思った。；しかし彼の心を悩ましたものはその美貌ではなく、何か他のことであった。；彼の表情があまりに悩ましげに見えたので、ジュヌヴィエーヴが叫んだ。；やつらの捕獲方法を考えはじめて以来、ぼくを悩ましている難問なんだ。；この間、栖方の家庭上にはこの若者を悩ましている一つの悲劇があった。；その頬から頭への肉付を見ていると、何か悩ましいものに襲われた。；そう思うと、宗教上のさまざまな不安が、彼女の良心を悩ましはじめた。；伯父は毎日悩ましげな顔をして私一人を相手に寂しい留守を守つて居た。；それにしてもあの女は、なんだってあんな悩ましい写真をとったのだろう。；彼が悩ましげに空を見つめて捜しているのは、本当に空飛ぶ円盤だった。；それからべネレクはどんなものであろうと頭を悩まして考えるだろう。；ぼくが頭を悩ましているのは、四次元の世界に行く方法じゃないんだ。；彼女は全身を押し揉むような悩ましさを抱いて、静かにそこを歩き出した。；中の君はこの五月ごろから普通でない身体の悩ましさを覚えていた。；だが彼女の顔を見たとたん、再びあの悩ましげな表情が戻ってきた。；その、部屋の中の沈黙が、いうにいえないほどかれの神経を悩ました。；またあるものは、その島についてからのことなどを研究して頭を悩ましました。；もうずいぶん前から、そこのところがわからないで頭を悩ましていたのでした。；これで、帰国以来部将達の心を悩ました上洛の軍編成の儀は落着をみた。；月面にあったにちがいない事件はながいことわれわれを悩ましてきました。；かつて私は同じような試みに悩ましいいく日かを送ったことがある。；彼女の顔には何か当惑したような、悩ましげな表情が浮かんでいた。；芳夫さんは職業の問題で頭を悩ましている時の外は顔を見せない。；でもやはり青年をいつかの午後のように悩まして置きたかった。</t>
        </is>
      </c>
      <c r="J6350">
        <f>HYPERLINK("https://www.weblio.jp/content/悩ましい", "词义详情")</f>
        <v/>
      </c>
      <c r="K6350">
        <f>HYPERLINK("https://yourei.jp/悩ましい", "查看例句")</f>
        <v/>
      </c>
    </row>
    <row r="6351">
      <c r="A6351" t="inlineStr">
        <is>
          <t>悩ます</t>
        </is>
      </c>
      <c r="B6351" t="inlineStr">
        <is>
          <t>成功</t>
        </is>
      </c>
      <c r="C6351" t="inlineStr">
        <is>
          <t>読み方：なやます
［動サ五（四）］悩むようにする。苦しめる。「頭を—・す」「腰痛に—・される」</t>
        </is>
      </c>
      <c r="D6351" t="inlineStr">
        <is>
          <t>苦労；苦心；傷つける；責める；苦しめる</t>
        </is>
      </c>
      <c r="F6351" t="inlineStr">
        <is>
          <t>心悩ます</t>
        </is>
      </c>
      <c r="H6351" t="n">
        <v>29</v>
      </c>
      <c r="I6351" t="inlineStr">
        <is>
          <t>いずれにしても、それが此の頃のわたしを悩ますことはひと通りでない。；それともどこか撃たれでもして、鋭い槍の先がひどくきみを悩ますのか。；よほどの理由がないかぎり、人はこまかい事に心を悩ますものではない。；そのためにわたしが頭を悩まそうとまで思うほどのものは、何一つない。；いずれにしても、それがこの頃のわたしを悩ますことは一通りでない。；あの男はわたしを悩ますようなことや邪魔するようなことは一つもしなかった。；私とベッドをともにしても、一度も私をひどく悩ますようなことはなかった。；頭を悩ますにしても手を動かしながらの方がしっくりくる男である。；ツアーは大きな収益を上げたが、ステージ外の問題に悩まされていた。；デジタルホログラフィーを利用すればこの問題に悩まされることはない。；見なかった美しい山水や、失われた可能と希望との思いが彼を悩ます。；正直いって、おれにはこの件で頭を悩ます前に大事な仕事がある。；後のワープロソフトのようにフォーマットに悩まされることはなかった。；しかし、キャリアを通して足や手首の故障に悩まされることも多かった。；しかし度重なる怪我に悩まされ、満足なプレーをすることは出来なかった。；そこまで行けばアンガラク軍どもも、かれを悩ますほど近づけなくなる。；国事を揺るがすほどじゃない問題に頭を悩ますのはなかなか楽しいことよ。；松平忠吉が病に悩まされていた時、富部神社に祈願したところ回復した。；今はもうあなたはここにいる目的について考えることも心を悩ますこともしない。；日本の現場の記者らは、その微妙なバランス取りに悩まされる事となった。；健康であれば手ごわい打者であったが、背中の怪我に悩まされていた。；毎日放送も例外ではなく、テレビスポットの需要低迷に悩まされていた。；当時の日産は「人の余剰」と「金の不足」に悩まされていたからである。；翌年以降は肩やひじの故障に悩まされて満足な成績が残せなかった。；現役時代には足首や膝の関節炎に悩まされ、7度の手術を経験している。；右京用のシャーシが製作されたシーズン中盤までこの現象に悩まされた。；異星起源の生命体にたいする哲学的な倫理問題に頭を悩ます必要もない。；恐怖に悩まされる毎日の中で、主人公は掲示板を通じてある人物と出会う。；自分のことを不安にし悩ますような話を、なぜ、胸におさめておかないんだ?</t>
        </is>
      </c>
      <c r="J6351">
        <f>HYPERLINK("https://www.weblio.jp/content/悩ます", "词义详情")</f>
        <v/>
      </c>
      <c r="K6351">
        <f>HYPERLINK("https://yourei.jp/悩ます", "查看例句")</f>
        <v/>
      </c>
    </row>
    <row r="6352">
      <c r="A6352" t="inlineStr">
        <is>
          <t>悩み</t>
        </is>
      </c>
      <c r="B6352" t="inlineStr">
        <is>
          <t>成功</t>
        </is>
      </c>
      <c r="C6352" t="inlineStr">
        <is>
          <t>読み方：なやみ
１思いわずらうこと。心の苦しみ。「—の種が絶えない」
２やまい。病気。
「御目の—さへ、この頃重くならせ給ひて」〈源・明石〉</t>
        </is>
      </c>
      <c r="D6352" t="inlineStr">
        <is>
          <t>悩み事(2%)；悩み続け；悩み苦しん；悩みつづけ；悩みぬい</t>
        </is>
      </c>
      <c r="E6352" t="inlineStr">
        <is>
          <t>問題；心配；困難；痛み；苦痛</t>
        </is>
      </c>
      <c r="F6352" t="inlineStr">
        <is>
          <t>同じ悩み；大きな悩み；深刻な悩み；様々な悩み；深い悩み</t>
        </is>
      </c>
      <c r="G6352" t="inlineStr">
        <is>
          <t>悩みごと；悩み抜い；悩み抜き；悩み多き者よ；悩み抜か</t>
        </is>
      </c>
      <c r="H6352" t="n">
        <v>29</v>
      </c>
      <c r="I6352" t="inlineStr">
        <is>
          <t>足が発達した代わりに羽が退化して空を飛べなくなったことが悩みの種。；上記のように、日本国内では商業的にある種の伸び悩みを見せていた。；それぞれに違った環境でそれぞれの悩みを抱えつつ夜間に通う生徒たち。；しかし、後に心の大切さが失われ、人々はさまざまな悩みを持っていた。；母親、教師それぞれの立場から悩みや意見を聞きながら相談に答えていく。；またこのころから教会に出入りし、神や信仰、罪などの問題に悩み始める。；晩年には、音楽や生活への悩みから来るノイローゼの傾向があったという。；大多は悩みながらも、小田が気分を害するのを覚悟で別の曲を依頼した。；また会話することで相手の悩みを他人が理解する助けにもなる。；教授は学生達が酒と女の誘惑に負ける事を深く悩み、心配するのであった。；異邦人と特殊人の存在はピルグリムにとってはかなりの悩みの種だった。；晩年は子供たちの不幸にも悩み続けるなど、孤独な生活だったという。；しかし芸術性と商業性との矛盾に悩み失敗と試行錯誤を繰り返した。；また、悩みや不安を度々一人で抱え込み、自分だけで解決しようとする。；反対に裁判資料を持ち込み悩みながら熟読し判断を下した大臣もいた。；解決した悩みの種類に応じて街が変化していくという趣向が施されている。；年頃の娘2人を持った母親の喜びと悩み、そしてその娘たちの生活を描く。；各出演者が今の悩みを打ち明け、他のメンバーが解決策を提案しあった。；引退の理由は、理想と現実のギャップに悩み自信を喪失したからだという。；店の経営が軌道に乗った白石の、今度の悩みの種は人手不足であった。；そんな彼の悩みは、自分の境遇があまりに他の子供と違いすぎることだった。；その事が彼女にとって最大の不幸であり、最大の悩みなのだ・・・。；その感情が異常で許されないということに悩み、苦しむ日々を送っていた。；毎回母娘が出場し、悩みや不満をエピソードをしたりしていく番組である。；彼らは家庭環境は違うもののそれぞれに悩みを抱えていた。；東京の空の下で悩みや不安を抱えながら日常を生きる6人の女性の姿を描く。；目の前に見える教会に彼は悩み、苦しむが、その教会と彼は連帯している。；今までそれぞれの悩みを抱えつつも、4人の家族の形を維持してきた望月家。；そんな悩みを抱える中、彼の子供に奇妙なカメラを持ち込む男がいた。</t>
        </is>
      </c>
      <c r="J6352">
        <f>HYPERLINK("https://www.weblio.jp/content/悩み", "词义详情")</f>
        <v/>
      </c>
      <c r="K6352">
        <f>HYPERLINK("https://yourei.jp/悩み", "查看例句")</f>
        <v/>
      </c>
    </row>
    <row r="6353">
      <c r="A6353" t="inlineStr">
        <is>
          <t>悩む</t>
        </is>
      </c>
      <c r="B6353" t="inlineStr">
        <is>
          <t>成功</t>
        </is>
      </c>
      <c r="C6353" t="inlineStr">
        <is>
          <t>読み方：なやむ
［動マ五（四）］
１決めかねたり解決の方法が見いだせなかったりして、心を痛める。思いわずらう。「進学か就職かで—・む」「恋に—・む若者」「人生に—・む」
２対応や処理がむずかしくて苦しむ。困る。「騒音に—・む」「人材不足に—・む企業」
３からだの痛みなどに苦しむ。また、病気になる。「頭痛に—・む」「持病のぜんそくに—・む」
４とやかく言う。非難する。
「御子もおはせぬ女御の后にゐ給ひぬる事、安からぬ事に世の人—・み申して」〈栄花・花山尋ぬる中納言〉
５（動詞の連用形に付いて）その動作が思うようにはかどらない意を表す。「伸び—・む」「行き—・む」
［動マ下二］「なやめる」の文語形。</t>
        </is>
      </c>
      <c r="D6353" t="inlineStr">
        <is>
          <t>悩むべき；悩む女性たち；悩むまい</t>
        </is>
      </c>
      <c r="E6353" t="inlineStr">
        <is>
          <t>苦しむ；苦しんでいる；悩まされる；喘ぐ；悲鳴を上げる</t>
        </is>
      </c>
      <c r="F6353" t="inlineStr">
        <is>
          <t>べきか悩む；あれこれ悩む；迷い悩む；深く悩む；そんなに悩む</t>
        </is>
      </c>
      <c r="H6353" t="n">
        <v>29</v>
      </c>
      <c r="I6353" t="inlineStr">
        <is>
          <t>そして誰一人暗い思ひに悩む者がないやうに取計らはねばならないこと。；将来を期待される優秀な学生だったのだから、悩まなかったはずはない。；君を悩ませているものをテーブルの上に並べてそれを眺めてみるんだ。；あの眼はたしかにずっとじぶんを悩ませた氷のような眼ではなかった。；その夜、どのようにすればいいか悩んでいた彼女の前に流れ星が落ちる。；だが、そのほかにも何か頭を悩ませるような問題が存在するらしかった。；しかし、幸いにしてか不幸にしてか、それほど長く悩む必要は無かった。；多いにつれて、どれだけ無数の人々が暗い陰に悩まねばならぬであろう。；線路でどうすればいいか悩んでいた彼の前にリーナという少女が現れる。；ラサ島での事業開始直後から頭を悩ませた問題のひとつが脚気であった。；家を選ぶことよりも、マクドナルドに行った時の方がまだ悩むくらいだ。；もっと早く知っていれば、どう誘ったらいいか悩むこともなかったのに。；いかに自分に有利で他人に不利な状況を作るかで頭を悩ませることになる。；悩む母親が立てた心を打たれる次のように書かれた銘板が残っている。；合計6000万円をどうやって集めたことかと近隣住民は頭を悩ませた。；と深く悩むようになり、二人の男はそれぞれの選択をすることになる。；自宅には遺書も発見されており、健康状態で悩んでいたと記されている。；この話を聞いた「悩める人」がこれを実行すると噂どおり天使が現れる。；みんな、アウトサイダー人がつぎにどう出るか、頭を悩ませてきたんだ。；旅行の途中で小説の校正刷りを受けとった彼はタイトルに頭を悩ませた。；張が悩んでいることを知ると「囲碁、やめてもいいよ」と言ってくれた。；それも曖昧な理由でなく委員長として本人なりに悩んだ末の結論である。；それにこの大重量の砲身を支える砲架の問題にも彼は頭を悩ませていた。；もう彼女の神経症的な性格や、あの厳しい母親のことで悩まないで済む。；ジントはふたたび苦い静寂をどうしようかと頭を悩ませることになった。；なんでわたしがこんな非生産的なことで頭を悩ませなくちゃならないんだよ。；悩める後輩に親身になって相談にのってくれる先輩ではなかったようだ。；六 うるわしい人に微笑の唇を授ける運命は、悩む人には苦痛を与える。；遠くの物を、多くの不必要な些細なものまでを見せて悩ませてくれる。</t>
        </is>
      </c>
      <c r="J6353">
        <f>HYPERLINK("https://www.weblio.jp/content/悩む", "词义详情")</f>
        <v/>
      </c>
      <c r="K6353">
        <f>HYPERLINK("https://yourei.jp/悩む", "查看例句")</f>
        <v/>
      </c>
    </row>
    <row r="6354">
      <c r="A6354" t="inlineStr">
        <is>
          <t>倣う</t>
        </is>
      </c>
      <c r="B6354" t="inlineStr">
        <is>
          <t>成功</t>
        </is>
      </c>
      <c r="C6354" t="inlineStr">
        <is>
          <t>読み方：ならう
［動ワ五（ハ四）］《「習う」と同語源》すでにあるやり方、例をまねて、そのとおりにする。手本としてまねをする。「前例に—・う」</t>
        </is>
      </c>
      <c r="D6354" t="inlineStr">
        <is>
          <t>倣うべき(3%)</t>
        </is>
      </c>
      <c r="E6354" t="inlineStr">
        <is>
          <t>従う；踏襲；重ねる；準拠；追随</t>
        </is>
      </c>
      <c r="H6354" t="n">
        <v>29</v>
      </c>
      <c r="I6354" t="inlineStr">
        <is>
          <t>オセロでは一般に樹脂製のものが使われるが囲碁に倣って石と呼ばれる。；弟もそれに倣い、それから二人して掘っただけの土を穴の中に埋めた。；砂人たちもそれに倣い、砂丘の向こうから近づいてくる騎影を目撃した。；一つの州が独立すれば、他州もこれに倣い、次々と独立を表明しかねない。；以前より東京巨人軍が「巨人」と呼ばれていたことに倣ったものである。；特殊な編成ではあるが、この作品に倣い同じ編成で下記の曲が作曲されている。；しかし、このばあい、そのひそやかな楽しみに倣うことも危険であった。；過去には祖先に倣い医師を目指すよう家族に勧められていたという。；日本では他の競走に倣ってBCダートマイルと簡略化されることが多い。；以降これに倣って、二世王への賜姓が競って行われるようになったという。；Pもそれに倣うことにしたが、首相が素早く近づいてきて目くばせした。；日本では他の競走に倣ってBCマラソンと簡略化されることが多かった。；アンヘルが彼らに倣い若くしてレースを始めたのは自然なことだった。；然れどもこの論派は西洋に倣いたる法典編纂をもって至当のこととなす。；ハイチクレオールでの文学は少ないがモリソの例に倣い増えてきている。；それぞれの割合は収穫高の割合に倣い係りの者とよくよく調整してくれ。；第13回からは他の競技に倣い地区ブロック持ち回り制に変更された。；私もそれに倣い、ずっと後方の席に空席を見つけ、そこで煙草を吸った。；この王のもと吐蕃はチベットを統一し唐に倣った律令体制を発展させた。；名前は、弼基と斉敬から1字ずつとったもので読みもこれに倣っている。；後に州刺史も節度使に倣い、その下に幕職官・曹官を抱えるようになる。；これは、鳥羽法皇と藤原忠実が同日に受戒した例に倣ったものであった。；スポックもそれに倣い、二人はその手を相手の顔に当てがい合った。；師の文晁に倣って南画のみならず様々な系統の画派を広く吸収した。；これに倣い中華料理の分野では日本語でも「ジャン」と読むことが多い。；ドイツ法に倣い、第一編に実体規定、第二編に手続規定が置かれている。；明代は宋代の制度に倣って知府事を回復させ、その名称を知府に改めた。；帰国後、ロシアの題材を元にリストの交響詩に倣って作られたのが本作である。；権勢を誇った藤原氏などは中国に倣って船を浮かべたりしたともいう。</t>
        </is>
      </c>
      <c r="J6354">
        <f>HYPERLINK("https://www.weblio.jp/content/倣う", "词义详情")</f>
        <v/>
      </c>
      <c r="K6354">
        <f>HYPERLINK("https://yourei.jp/倣う", "查看例句")</f>
        <v/>
      </c>
    </row>
    <row r="6355">
      <c r="A6355" t="inlineStr">
        <is>
          <t>習う</t>
        </is>
      </c>
      <c r="B6355" t="inlineStr">
        <is>
          <t>成功</t>
        </is>
      </c>
      <c r="C6355" t="inlineStr">
        <is>
          <t>読み方：ならう
［動ワ五（ハ四）］
１教わったことを繰り返し練習して身につける。けいこする。「夜ふけに一人でダンスのステップを—・う」
２知識や技術などの教えを受ける。教わる。学ぶ。「父から将棋を—・う」「中学で—・った先生」
３経験を積んで、なれる。習慣となる。
「心ざしはいたしけれど、さるいやしきわざも—・はざりければ」〈伊勢・四一〉
４慣れ親しむ。
「かく久しく遊び聞こえて—・ひ奉れり」〈竹取〉
[可能]ならえる</t>
        </is>
      </c>
      <c r="D6355" t="inlineStr">
        <is>
          <t>習うべき</t>
        </is>
      </c>
      <c r="E6355" t="inlineStr">
        <is>
          <t>学ぶ；学習；習得；修得；修学</t>
        </is>
      </c>
      <c r="H6355" t="n">
        <v>29</v>
      </c>
      <c r="I6355" t="inlineStr">
        <is>
          <t>どちらも教育機関で習う問題を記憶されているかが大きな基準とされる。；彼にもピアノを習わせたものの、小学校の時にやめ声楽の道へと進んだ。；少しでも彼女に近づけないかと、そう思って剣を習うことすらしてみた。；幼い頃からバレエを習い、将来は舞台に立つ仕事がしたいと思っていた。；その生活のさ中で、ある日突然に私はダンスを習う決心をしたのである。；僕でさえも忘れたままの方がいいと思っている英語を何故習うのか。；お君さんとその弟の正ちゃんとが毎日午後時間を定めて習いに来た。；子供の頃からピアノを習っていたのがきっかけで、音楽の道へと進む。；そこで彼はフランス語を習い、学校新聞で詩や記事を書くことを覚えた。；法則が作られ方法が確立されて容易に習うことができるようになった。；東の教えるダンスは、今まで松尾が習っていたものとは全く違っていた。；片輪という言葉を覚えたのは、助八さんに歌を習う様になってからです。；それだけしか習わない文章だから実用以外の文章の飾りは何も知らぬ。；そこに至るには、どうしても良い書を余計に見ることで、眼で見て習う。；自然と接触して成長し観察方法を習い幼い子供のときから病気と接触してきた。；その後周辺の集落もこれに習い、周辺地域には数十の輪中が形成された。；他の家は必ず剣を習わなければならない定めになっていたのです。；お母さんは昔ピアノを習っていて最近また練習しはじめたという設定。；彼女は横浜でフレデリックから英語を習っていた生徒のひとりだった。；が、正式に画を習い初めたのは淡島屋の養子となってから後であった。；スポーツ以外にはチェンバロやギターなどの楽器の演奏も習っていた。；歌や踊りもそうであったが、お経も学校では習わないものであった。；俺等は、俺等が、本当に生れ出る日のために、市街戦を習っておくのだ。；子供の頃から各種ダンスを習っておりダンスの才能を有していた。；理由は、ピアノを習わせてもらえないことと、よいピアノがないことだ。；わたしは本を読むことを習うのがどんなにむずかしいか知らなかった。；実際には藩士でなくとも奉公人が習い覚えて持ち込んだ可能性もあろう。；私は中学で初めて習う英語や漢文に、容易になれることができなかった。；将来は必ず英語が必要になると考え、小学生の時に英会話を習い始める。</t>
        </is>
      </c>
      <c r="J6355">
        <f>HYPERLINK("https://www.weblio.jp/content/習う", "词义详情")</f>
        <v/>
      </c>
      <c r="K6355">
        <f>HYPERLINK("https://yourei.jp/習う", "查看例句")</f>
        <v/>
      </c>
    </row>
    <row r="6356">
      <c r="A6356" t="inlineStr">
        <is>
          <t>慣らす</t>
        </is>
      </c>
      <c r="B6356" t="inlineStr">
        <is>
          <t>成功</t>
        </is>
      </c>
      <c r="C6356" t="inlineStr">
        <is>
          <t>読み方：ならす
［動サ五（四）］
１ある状態・環境になれさせる。少しずつ何度も試みて、そのことが当然のことになるようにする。また、うまくやれるかどうか前もって調子をためしたり整えたりする。なじませる。順応させる。「準備運動をして体を—・す」「水に—・す」「履き—・した靴」
２動物を訓練して、なつかせる。人になじみ親しむようにする。「鷹(たか)を—・す」「野生の馬を飼い—・す」
３技芸などを習わせる。練習させる。
「舞ども—・し、殿の内ゆすりてののしる」〈源・若菜下〉
４なれすぎてあなどる。横柄になる。
「すべて人の振る舞ひは重らかに言葉少なにて、人をも—・さず、人にも—・されず」〈十訓抄・一〉</t>
        </is>
      </c>
      <c r="D6356" t="inlineStr">
        <is>
          <t>風；性；習慣；慣習；風俗</t>
        </is>
      </c>
      <c r="H6356" t="n">
        <v>29</v>
      </c>
      <c r="I6356" t="inlineStr">
        <is>
          <t>子供等もまた次第に父と四人だけの簡素な生活に慣らされて来たからで。；外の寒さはこんなものじゃないだろうから、少しは慣らしておかないと。；早く目を慣らしてしまい、正体が何なのか自分自身が一番知りたかった。；邪魔されずに、自分の皮膚を殴られるのに慣らすわけにはいかんのかね。；強い酒を紙めているうちに、闇への恐怖は少しずつ慣らされていった。；暗さに目を慣らしているとはいっても、やはり、ほとんど何も見えない。；少しずつ熱さに身体を慣らしながらだれもいない広い湯船の中を進んでいく。；これは今年の冬は圭ちゃんを寒さに慣らすための強化合宿が必要だねぇ!；そういうことの出来ないように、いつか『慣らされ』てしまったからだ。；ああどうして、ここは湯が強いんだから、そろそろ体を慣らさんけりゃ。；彼等は又、少年の時からそういう労働の手助けによく慣らされている。；親鸞 あなたは自分を悪に慣らそうとつとめているとおっしゃいましたね。；暗い場所で目を慣らすと、より多くの星が見えてくるようになる。；と言って、かれらは踏み慣らされた道をたどっているわけではないらしい。；これは幕府時代からの正銀の使用に慣らされて来たためでもある。；このひとは若いときから、苦汁をのむことに慣らされてきたにちがいない。；無論それは、『黒い部屋』に慣らされていたために起こった錯覚だった。；すでに自殺を決意し、体を睡眠薬に徐々に慣らしていたのだろうと推測される。；最初に煮汁で胃袋を慣らし、それから数ヵ月ぶりの肉が全員に配られた。；彼は軍隊全体をこのおぞましい習慣に慣らしてしまったのである。；けれど、私にはゆっくり伊央を慣らしてやる時間も、気持ちの余裕もない。；身近に強烈な個性の人間がいたせいで、自然と慣らされていたわけだ。；そして市民達は国境の風雲を想ふことに慣らされてゐたのであつた。；かれはあそこにある戦闘シミュレーターで腕慣らしをしています。；でも、いったん体が薬に慣らされちゃうと、どうしてもやめられないのよ。；デッキが、エンジンに無理を言うのには、彼は慣らされて来ていた。；科学を専攻する彼等は、合理的な考え方や処置に慣らされてきていた。；部屋のなかは闇に包まれていたが、目を慣らしておいたので、行動に支障はない。；シャーニッドはゆっくりと目を光に慣らしながら、その時を待った。</t>
        </is>
      </c>
      <c r="J6356">
        <f>HYPERLINK("https://www.weblio.jp/content/慣らす", "词义详情")</f>
        <v/>
      </c>
      <c r="K6356">
        <f>HYPERLINK("https://yourei.jp/慣らす", "查看例句")</f>
        <v/>
      </c>
    </row>
    <row r="6357">
      <c r="A6357" t="inlineStr">
        <is>
          <t>鳴らす</t>
        </is>
      </c>
      <c r="B6357" t="inlineStr">
        <is>
          <t>成功</t>
        </is>
      </c>
      <c r="C6357" t="inlineStr">
        <is>
          <t>読み方：ならす
［動サ五（四）］
１音を出すようにする。音をひびかせる。「鐘を—・す」「ブザーを—・す」「指を—・す」
２そのことで大変世間の評判をとる。「昔は名投手で—・したものだ」
３やかましく言いたてる。「不平を—・す」「非を—・す」
４音を出して放屁する。おならをする。
「誤りていと高く—・してけり」〈今昔・二八・一〇〉
[可能]ならせる</t>
        </is>
      </c>
      <c r="D6357" t="inlineStr">
        <is>
          <t>鳴らすような音；鳴らすような声；鳴らすよう命じ；鳴らすような笑い声；鳴らす低い</t>
        </is>
      </c>
      <c r="E6357" t="inlineStr">
        <is>
          <t>発する；鳴る；弾く；クリック；響かせる</t>
        </is>
      </c>
      <c r="F6357" t="inlineStr">
        <is>
          <t>同時に鳴らす</t>
        </is>
      </c>
      <c r="H6357" t="n">
        <v>29</v>
      </c>
      <c r="I6357" t="inlineStr">
        <is>
          <t>片手で指の間に挟んで持ち、一度に数回連続して打ち鳴らすことが多い。；部屋に入ると床を鳴らしながら彼は壁にかけた拳銃を手におろした。；鐸は柄を持ちもう一方の手にもった打器で鐸を打ち鳴らして音をだした。；彼は鼻を鳴らしながら、しばらくはただぼんやりと岩の天井を眺めていた。；この動きが行われている間に町の民に見つかり、民衆は警鐘を鳴らした。；マムは夕食の席へかれを案内しながら咽喉を鳴らさんばかりにしていた。；すぐ近くの別の得意先にいてはってんけど、携帯鳴らして連絡とったよ。；私が呼び鈴を鳴らすと、以前は私も同居していたあの部屋に案内された。；それは真っ暗なトンネルの中でたくさんの鐘を鳴らすようなものである。；ただ世間で流行しているジョブ型論には誤解が多いと警鐘を鳴らしている。；偶然の体験が疑似科学に陥るきっかけになってしまうと警鐘を鳴らした。；また、法令で規定されている場面以外では鳴らしてはならないとされている。；その戦闘中に新政府軍は鈴を鳴らし、包囲したと思わせる戦術をとった。；各踊り手が歌をうたいつつ腹に下げた太鼓を打ち鳴らして踊るのが特徴。；日本では、カチンコを手に持ち、手を伸ばした状態で鳴らすことが多い。；ハッとしてブザーを鳴らそうとしたとき、男があたしに気づいて訴えた。；日本神話の天岩戸の場面でも桶を伏せて音を鳴らしたと伝えられている。；やがて音を鳴らしているうちに、即興で曲を作るようになっていったという。；ようやく近づき見れば、一頭の老貉が月に向かって腹鼓を鳴らしている。；それからちいさなベルを鳴らすと、例の若い男の人がはいって来ました。；さらに上陸後は楯を激しく打ち鳴らし、大音響を上げて鳥を追い払った。；若いころは酒豪で鳴らしたものの、晩年には酒量を控えるようになった。；そして周囲の空間は、馬は牛の群れの鳴らす鈴の音でその広さがわかった。；鐘を鳴らす基準となる時間は、江戸城からの太鼓の音を基準にしていた。；犬がフンと鼻を鳴らすたびに、体の下で絨毯が揺れるのが感じられます。；思わず喉を鳴らすが、むしろ俺の感覚は 下半身の方に集中していた。；彼の片方の掌についている口が、猫が喉を鳴らすような異様な音をたてた。；エマの耳には、玄関の呼び鈴を鳴らされる音はまったく聞こえなかった。；かつてドイツでストライカーとして鳴らした車範根が監督を務めていた。</t>
        </is>
      </c>
      <c r="J6357">
        <f>HYPERLINK("https://www.weblio.jp/content/鳴らす", "词义详情")</f>
        <v/>
      </c>
      <c r="K6357">
        <f>HYPERLINK("https://yourei.jp/鳴らす", "查看例句")</f>
        <v/>
      </c>
    </row>
    <row r="6358">
      <c r="A6358" t="inlineStr">
        <is>
          <t>馴らす</t>
        </is>
      </c>
      <c r="B6358" t="inlineStr">
        <is>
          <t>成功</t>
        </is>
      </c>
      <c r="C6358" t="inlineStr">
        <is>
          <t>読み方：ならす
［動サ五（四）］
１ある状態・環境になれさせる。少しずつ何度も試みて、そのことが当然のことになるようにする。また、うまくやれるかどうか前もって調子をためしたり整えたりする。なじませる。順応させる。「準備運動をして体を—・す」「水に—・す」「履き—・した靴」
２動物を訓練して、なつかせる。人になじみ親しむようにする。「鷹(たか)を—・す」「野生の馬を飼い—・す」
３技芸などを習わせる。練習させる。
「舞ども—・し、殿の内ゆすりてののしる」〈源・若菜下〉
４なれすぎてあなどる。横柄になる。
「すべて人の振る舞ひは重らかに言葉少なにて、人をも—・さず、人にも—・されず」〈十訓抄・一〉</t>
        </is>
      </c>
      <c r="D6358" t="inlineStr">
        <is>
          <t>馴らすトロイア方(3%)</t>
        </is>
      </c>
      <c r="E6358" t="inlineStr">
        <is>
          <t>馴致；馴染ませる；馴れさせる</t>
        </is>
      </c>
      <c r="H6358" t="n">
        <v>29</v>
      </c>
      <c r="I6358" t="inlineStr">
        <is>
          <t>馴らしてあるものと見えて、その炭のような目で己をじっと見ている。；我々が猫・犬・兎・などを一緒に馴らすのは日常普通のことである。；だが回復を進めるためには、少しずつ病躯を運動に馴らす必要もあった。；大坊主頭の五十六、七、金を塵埃のごとく見るように馴らされた男です。；和歌に馴らされた人が俳句を見る場合は、味のない叙景というであろう。；あのじゃじゃ馬をこういう柔順な妻に飼い馴らしたのは自分ではないか。；珍しくはないが貴女の手に使い馴らされた跡がなんとなく残っていた。；そこで彼女はそれを飼い馴らし、王たちの宮殿へ連れて行くのである。；彼は捕虜となり、鷹を馴らしているうちに、回教王の知るところとなる。；それほどギメーシたちは悲しいまでの従順さに馴らされてきたのである。；と、やはり雀は馴らせばどんなにでも馴れるものとあったので安心した。；昔、馴らすことのできなかった猪を彼がランドに逃がしてやったように。；これは確にこちらの耳がよく馴らされてゐないせゐもあるだらう。；犬は二人して外に出る時はいつも家の中に閉ぢ籠められておくことに馴らされてゐた。；そして彼等の眼は大きな海鳥の眼のやうにそれに馴らされてゐた。；どうして彼等を馴らして使うことなどできるのか、そこのところがわからない。；かれらが馬具に馴らされるのもそう遠い先のことではないとわたしは確信している。；彼はその不眠と熱のためであるらしい幻聴に彼自身を馴らそうとした。；戦闘の訓練を受けているうちに、死っていうものに馴らされていたんだと思うよ。；もともと、警察官の習性は現場至上主義に馴らされているといっていい。；大坊主頭の五十六、七、金を塵埃の如く見るやうに馴らされた男です。；そんな時にも蕙子は永年の間に馴らされた心と云うものを考えずには居られなかった。；おれは少しのあいだ眼を閉じ、闇に馴らしてから前進を開始した。；わたしはこの新しい服を着馴らすために室内を歩き廻りました。；彼はその不眠と熱のためであるらしい幻聽に彼自身を馴らさうとした。；そしてその動物たちが、実によく馴らされているのにまた感心する。；それでも少しずつ身体を馴らして行くと、案外耐えられるのである。；経文を入れる箱は、母君が朝夕、お手馴らしになった螺鈿の箱であった。；選手らは朝八時ごろに一度手馴らしに艇を出して、一と漕ぎして来るはずであった。</t>
        </is>
      </c>
      <c r="J6358">
        <f>HYPERLINK("https://www.weblio.jp/content/馴らす", "词义详情")</f>
        <v/>
      </c>
      <c r="K6358">
        <f>HYPERLINK("https://yourei.jp/馴らす", "查看例句")</f>
        <v/>
      </c>
    </row>
    <row r="6359">
      <c r="A6359" t="inlineStr">
        <is>
          <t>ならびに</t>
        </is>
      </c>
      <c r="B6359" t="inlineStr">
        <is>
          <t>成功</t>
        </is>
      </c>
      <c r="C6359" t="inlineStr">
        <is>
          <t>読み方：ならびに
［接］前後二つの事柄をつなぐのに用いる語。および。また。と。「氏名—電話番号を明記のこと」
→及(およ)び［用法］</t>
        </is>
      </c>
      <c r="D6359" t="inlineStr">
        <is>
          <t>ならびに同；ならびに各；ならびに関連；ならびにそれら；ならびに国内</t>
        </is>
      </c>
      <c r="F6359" t="inlineStr">
        <is>
          <t>exoならびにexo；ならびにソルトレイクシティ・オグデン・クリアフィールド広域都市圏；ならびに各地方選挙；ならびに同社写真部；ならびに任務および所掌</t>
        </is>
      </c>
      <c r="H6359" t="n">
        <v>29</v>
      </c>
      <c r="I6359" t="inlineStr">
        <is>
          <t>決定戦での勝率ならびに決定戦での優勝回数はそれぞれ最高記録保持者。；台湾ならびに香港においては中華思想への反発といえるものが起きている。；なお、駅舎ならびにホーム上に売店や自動販売機の類は設置されていない。；のちに旧1番線ホームならびにホーム間を連絡していた構内踏切が撤去された。；翌1998年に日本国内ならびにヨーロッパ市場で販売開始された。；詳細ならびにJR東海が所有しない形式については各車両記事を参照のこと。；埋立の主な理由は博多港の港湾機能の強化ならびに宅地等の造成である。；また、前述の伝承ならびに事績はその大半が日本書紀に拠ったものである。；そのため中型車ならびに左記の例外を除き2列乗車制度が採用されている。；こうして、作品の上演ならびに出版は禁止されてしまった。；以降は本形式ならびに同様の下降式窓を採用したキロ28形の一部車両へ施工された。；東京の六本木に東京事務所ならびに国際大学GLOCOM研究所が所在する。；真卿の曾祖父の顔勤礼の墓碑で、真卿の撰ならびに書の楷書碑である。；また特殊部隊としてならびにが結成されており、この部隊は陸軍が管轄している。；バクーはカスピ海沿岸唯一の首都、ならびに唯一の100万都市である。；音楽大学は、音楽ならびに音楽学の教育研究を専門とする高等教育機関。；以下、導入後に施工された主な改造項目ならびに変遷について述べる。；改造内容は台枠ならびに機器類のみ再利用し、車両構体は新たに製造したものである。；レスター伯ならびに前年に創設されたチェスター伯の称号も剥奪されている。；営業運転終了に至るまでの経緯ならびに記念行事の内容は概ね以下の通りである。；箕輪村は神奈川宿ならびに保土ヶ谷宿の助郷村になっていた時期がある。；なお、小田急線内ならびに箱根登山鉄道線内のみの利用は可能である。；詳細は当該路線の記事ならびに広島電鉄サイト及び備北交通サイトを参照。；これは純粋理性ならびに実践理性から引き出される明確な判断を意味している。；第十戦隊の任務は、第十一戦隊直衛ならびに敵警戒艦艇の排除であった。；これより名刺および投票の計算ならびに投票の点検を命じます。；中継にはTXN系列のアナウンサーが実況ならびに中継リポートに参加していた。；三重交通の路線バスならびに亀山市コミュニティバスが運行されている。；当駅は京急電鉄ならびに関東地方の大手私鉄では最南端の駅でもある。</t>
        </is>
      </c>
      <c r="J6359">
        <f>HYPERLINK("https://www.weblio.jp/content/ならびに", "词义详情")</f>
        <v/>
      </c>
      <c r="K6359">
        <f>HYPERLINK("https://yourei.jp/ならびに", "查看例句")</f>
        <v/>
      </c>
    </row>
    <row r="6360">
      <c r="A6360" t="inlineStr">
        <is>
          <t>並ぶ</t>
        </is>
      </c>
      <c r="B6360" t="inlineStr">
        <is>
          <t>成功</t>
        </is>
      </c>
      <c r="C6360" t="inlineStr">
        <is>
          <t>読み方：なぶ
［動バ下二］ならべる。→並(な)べて
「日々(かが)—・べて、夜には九夜、日には十日を」〈記・中・歌謡〉</t>
        </is>
      </c>
      <c r="D6360" t="inlineStr">
        <is>
          <t>並ぶ最；並ぶ者なき；並ぶ者なし；並ぶ歴代最多</t>
        </is>
      </c>
      <c r="E6360" t="inlineStr">
        <is>
          <t>及ぶ；行列；匹敵；匹敵する；立ち並ぶ</t>
        </is>
      </c>
      <c r="F6360" t="inlineStr">
        <is>
          <t>整然と並ぶ；沿いに並ぶ；沿って並ぶ；並ぶ最多タイ記録；並ぶ有力プレブス</t>
        </is>
      </c>
      <c r="H6360" t="n">
        <v>29</v>
      </c>
      <c r="I6360" t="inlineStr">
        <is>
          <t>顎に並ぶナイフ状の短い歯は、ほとんどが同じ長さで生えそろっていた。；J1リーグや天皇杯と並ぶ日本の国内三大タイトルの1つとされている。；それぞれの枝の先にフィアライドと呼ばれる分生子形成細胞が数個並ぶ。；日本と並ぶ主要市場であるアメリカ合衆国では、現地生産を行っている。；北側から見てホーム、線路、ホーム、線路の順に並ぶ構造となっている。；ビールはパンと並んで主要な食物とされており、大量に生産・消費された。；ただし4基のコロニーが近接して並ぶ光景は同作品以外には見られない。；細胞が単列に並んでいるものが多いが、多列に並んでいるものもいる。；かつてはアブラナと並ぶ油用植物であったが、現代では利用されていない。；「あんまりきちんと並ばない方がいいや」 どこかの息子の意見がでる。；またロシアに並ぶ輸出相手国であった中国の需要が減少するなど経済環境が悪化。；人々が食べ物を買うために列に並ぶのは、よく見られる光景となった。；清子との間には尊氏と並んで両将軍と呼ばれた足利直義ももうけている。；ただし中央通路で両側にそれぞれコンパートメントが並ぶ形態もある。；ビーチとほぼ並行に道路がありその東側にはホテル・売店などが並ぶ。；この工事によってJR東海とJR西日本の駅舎が東西に並ぶ形になった。；また、バルト海東岸に南北に並ぶバルト三国の中で最も北の国でもある。；ホームの脇には夜間滞泊に使用される、車両留置用の側線が並んでいる。；複数の名が並ぶ表示形式の場合、線を引いて区別する場合もある。；発見されたとき、ベッドに並んで手を繋いだ状態で横たわっていたという。；駅の敷地のすぐ横には線路に沿った形で住宅が並んでいる。；ここはビル内方式ではなくて、ビルの低層階に路面店が並んでいるようだ。；しかし近年は個別の設備が並んで設置されるのがほとんどである。；秋と並んで一年の中では最も気候の良い穏やかな季節とも言われる。；若旦那は、もうあの女と馬を並ばせ話をしたり、笑いあったりしている。；当時の名門家では文武両道を旨とし知的教育と並んで体育も奨励された。；中線が撤去されたため、ホームと線路が交互に並ぶ構造となっている。；農業と並んで、靴の製造などの手工業も発展を見せるようになった。；また、同ショッピングセンター周辺には大手家電量販店等も並んでいる。</t>
        </is>
      </c>
      <c r="J6360">
        <f>HYPERLINK("https://www.weblio.jp/content/並ぶ", "词义详情")</f>
        <v/>
      </c>
      <c r="K6360">
        <f>HYPERLINK("https://yourei.jp/並ぶ", "查看例句")</f>
        <v/>
      </c>
    </row>
    <row r="6361">
      <c r="A6361" t="inlineStr">
        <is>
          <t>並べる</t>
        </is>
      </c>
      <c r="B6361" t="inlineStr">
        <is>
          <t>成功</t>
        </is>
      </c>
      <c r="C6361" t="inlineStr">
        <is>
          <t>読み方：ならべる
［動バ下一］［文］なら・ぶ［バ下二］
１並んだ状態に位置させる。列をなすように位置させる。また、隣り合わせに置く。「二列に—・べる」「肩を—・べて歩く」「机を—・べて勉強した間柄」
２ひきあててその優劣を比べる。「芭蕉と蕪村を—・べて論じる」
「花のさかりに—・べて見ばや」〈源・若菜上〉
３いくつも、またいろいろなものを次々と置く。「碁石を—・べる」「食卓に料理を—・べる」
４次々といくつもあげて言う。「欠点を—・べる」
５時間的に続ける。連続させる。
「夜(よ)—・べて君を来ませとちはやぶる神の社を祈(の)まぬ日はなし」〈万・二六六〇〉
[用法]ならべる・つらねる——「美辞麗句を並べる（連ねる）」「軒を並べる（連ねる）」など、列にして位置させる意では相通じて用いられる。◇「並べる」は、列を作って位置させること。「机を五列に並べる」「机の上に開いた本を並べて調べる」◇「連ねる」は縦でも横でも1列に位置させること。ばらばらの状態には使わない。「車を連ねて行進する」「名簿に名を連ねる」など。◇類似の語に「配列する」「羅列する」がある。「配列する」は、ある基準に従ってきちんと並べること。「五十音順に配列する」「メーカー別に商品を配列する」など。「羅列する」は、やたらに、またずらりと並べること。「無意味な文字を羅列してもしようがない」
[下接句]肩を並べる・轡(くつわ)を並べる・机を並べる・軒を並べる・不平を並べる・枕(まくら)を並べる</t>
        </is>
      </c>
      <c r="D6361" t="inlineStr">
        <is>
          <t>列挙；整列；枚挙；並べ立てる；数え上げる</t>
        </is>
      </c>
      <c r="F6361" t="inlineStr">
        <is>
          <t>順に並べる；書き並べる</t>
        </is>
      </c>
      <c r="H6361" t="n">
        <v>29</v>
      </c>
      <c r="I6361" t="inlineStr">
        <is>
          <t>彼は壁に自分の作品だけを展示し他人の絵を並べてほしくないと望んだ。；次に、第一層の上でもっとも低い位置に球を並べていって第二層を作る。；例えば は一辺に点を個並べたときに該当するので三角数の一つである。；店の一角に並べられた具を客が取れるようにしているところも見られる。；君を悩ませているものをテーブルの上に並べてそれを眺めてみるんだ。；使用色は単色の物、黒・赤・修正用の白の複数色を数段に並べた物もある。；平方根の計算を行う場合は、これ以外に平方数を並べた棒が必要になる。；中には計器類の写真を貼った板の前に椅子を並べただけの装置もある。；これらの店には、営業開始年代に並べると以下のようなものがあった。；瞑想する部屋には、家具など不要な物を並べない方がよいとされている。；カラフルな椅子が並べられており、特徴のあるテーブルが配置されていた。；日本語で記述された基本的な文献を出版年の新しい順に並べた。；以下の一覧は、デル・レイ社が出版した小説を年代順に並べたものである。；また、複数の文字を並べてより複雑な意味を表そうとするものもある。；「君は此頃何處にゐるんだ」 と自分が彼に肩を並べるとY君が聞いた。；組曲は、いくつかの楽曲を連続して演奏するように組み合わせ並べたもの。；なお、ここに並べた序列は、形式の発展順序を示しているわけではない。；展示だけではあったものの当時は珍しかった外車も並べられ話題を呼んだ。；必要なときは、毎年年初に就任する2名の執政官の名前を並べて呼んだ。；また、重ね合わせるだけではなく横などに並べて表示するシステムもある。；フォーク、ナイフは籠に入れられずに一本一本テーブルに並べられる。；整数の桁を並べ替えて、最大にしたものと最小にしたものとの差を取る。；このモジュールを複数並べて、いろいろな幅のバーやスペースを表現する。；良い男の仲間に入つて、その長んがい顎を並べるのも洒落れてゐるだらう。；これらを並べると延長30キロメートルを超える長さになる計算であった。；日本では視覚障害者向けに黄色い点字ブロックを並べていることが多い。；小穂は節ごとにひとつずつつき、多数の小穂を軸の左右に交互に並べる。；ビデオのレンタルを行う店には、様々なジャンルのビデオが並べられている。；場合によっては、店舗がなくても路地にテーブルを並べただけで成立する。</t>
        </is>
      </c>
      <c r="J6361">
        <f>HYPERLINK("https://www.weblio.jp/content/並べる", "词义详情")</f>
        <v/>
      </c>
      <c r="K6361">
        <f>HYPERLINK("https://yourei.jp/並べる", "查看例句")</f>
        <v/>
      </c>
    </row>
    <row r="6362">
      <c r="A6362" t="inlineStr">
        <is>
          <t>成り立つ</t>
        </is>
      </c>
      <c r="B6362" t="inlineStr">
        <is>
          <t>成功</t>
        </is>
      </c>
      <c r="C6362" t="inlineStr">
        <is>
          <t>読み方：なりたつ
［動タ五（四）］
１ある物事ができ上がる。すっかりある状態になる。成立する。「交渉が—・つ」
２いくつかの要素が組み合わさってでき上がる。「限られたメンバーによって—・つ」
３採算がとれて経営・生活などを続けていくことができる。「商売が—・つ」「暮らしが—・つ」
４一人前の人間に成長する。
「おのづから宿世宿世に人と—・ちぬれば」〈源・少女〉</t>
        </is>
      </c>
      <c r="D6362" t="inlineStr">
        <is>
          <t>成り立つまい；成り立つわけです；成り立つまじく</t>
        </is>
      </c>
      <c r="E6362" t="inlineStr">
        <is>
          <t>なる；発生；発展；立つ；成長</t>
        </is>
      </c>
      <c r="F6362" t="inlineStr">
        <is>
          <t>初めて成り立つ；はじめて成り立つ；成り立つかも知れ；成り立つかもしれ</t>
        </is>
      </c>
      <c r="H6362" t="n">
        <v>29</v>
      </c>
      <c r="I6362" t="inlineStr">
        <is>
          <t>数世代に渡って町は繊維産業ひとつで成り立っていると言ってよかった。；また市内の多くの企業が同社となんらかの関係をもって成り立っている。；どちらの大会を目指すかの選択は各チームの任意により成り立っている。；鍵は意味のある文だから、得られた仮の鍵は文章の一部として成り立つ。；その様な体上では、完備体で得られた多くの結果が成り立つことになる。；カントは宗教を、道徳の基礎の上に成り立つべきものであるとしている。；これが成り立つことは両辺が微分方程式 を満足することを見ればよい。；インターネットはコンピュータ間のメッセージ交換で成り立っている。；室内における残響は次の2つの部分から成り立っているといわれている。；美や芸術も、農民や労働者からの搾取の上に成り立っていると否定される。；基礎技術 徒手格闘の型は下記の基礎技術の組み合わせで成り立っている。；ある条件や操作の下で、同じ種類の量の間に加法性が成り立つことがある。；第二次世界大戦までシュマハテンベルクは完全に農業で成り立っていた。；ブルックスによれば、この法則が成り立つ主な理由は以下の通りである。；この世界は一つの大陸で成り立っているために、大陸の名でもある。；結婚に乗り気でない娘とそれを諭す母親との会話により成り立っている。；病気も飢餓も戦争もないユートピア都市は秘密と虚偽で成り立っていた。；大仁田とはライバルの様な兄弟の様な不思議な関係が今も成り立っている。；そして多くの動物ではこの予測がおおむね成り立っている事がわかっている。；しかしその分より小さい を適当に取ることで、 が成り立つようにできる。；これらの町はアメリカ軍人の便益に役立つ事業と娯楽で成り立っている。；宮殿は生活空間と公共の広場などを含む複数の中庭から成り立っている。；以上の4つの義務によって日本の義務教育が成り立っているとされる。；彼らは資本主義は人種主義のみならず性差別の上に成り立つとしている。；等比数列の連続する3項を小さい順から とすると、常に が成り立つ。；また、聴覚野は構造的にも機能的にも異なる領域から成り立っている。；トルキスタン総督府が置かれていた時代は4つの地区から成り立っていた。；こちらも繁殖から育成、供給に至る一貫生産システムが成り立っている。；イタリアを征服したランゴバルド王国は2つの地域から成り立っていた。</t>
        </is>
      </c>
      <c r="J6362">
        <f>HYPERLINK("https://www.weblio.jp/content/成り立つ", "词义详情")</f>
        <v/>
      </c>
      <c r="K6362">
        <f>HYPERLINK("https://yourei.jp/成り立つ", "查看例句")</f>
        <v/>
      </c>
    </row>
    <row r="6363">
      <c r="A6363" t="inlineStr">
        <is>
          <t>鳴り物入り</t>
        </is>
      </c>
      <c r="B6363" t="inlineStr">
        <is>
          <t>成功</t>
        </is>
      </c>
      <c r="C6363" t="inlineStr">
        <is>
          <t>読み方：なりものいり
１鳴り物を入れて、にぎやかにはやしたてること。「—の応援」
２おおげさに宣伝すること。「—で入団した選手」</t>
        </is>
      </c>
      <c r="H6363" t="n">
        <v>29</v>
      </c>
      <c r="I6363" t="inlineStr">
        <is>
          <t>鳴り物入りでオープンしたが、結局経営に失敗し、閉鎖されてしまった。；その一方で鳴り物入りで加入してきた選手達の態度は傲岸不遜だった。；今の人たちの多くは鳴物入りでないとそこに何も存在していないと考えるのである。；鳴り物入りで入団しただけあって、のシーズンが開幕当初より活躍を見せる。；その四人は逮捕されたのち有罪を宣告され、鳴物入りで首をはねられた。；山本の恐れていた、鳴物入りの嘘の報道が始まったのは、この時からである。；お前の言い草を真似するようだが、一字一字鳴り物入りで所作事をしているよ。；鳴り物入りで入団しただけあって剛速球も投げ、球の切れもあった。；鳴り物入りで始めた無料給食所が、一ヵ月後のいまでは半分以上閉鎖されている。；鳴り物入りで始まったが、初日から特別な事情がないのにもかかわらず録音で始まった。；当初は鳴り物入りで開発されたPDWだが、暫くの間は各国軍での普及は進んでいなかった。；窓のすぐ近くに隣家の金属板の屋根が迫っていて、雨の様子が鳴り物入りでよくわかる。；それまで鳴り物入りでの連勝を続けていた中、4試合にしてプロ初黒星となった。；当時の軍隊は、その勢いを誇示するために、鳴り物入りで行軍したものである。；鳴り物入りで前にむかってつきすすんでいけばよいのだ。；しかしそれがウソでなかった証拠に私が帰って来た半年後、例の下着メーカーが鳴物入りで日本に上陸してきた。；ああいう鳴りもの入りのわざとらしさっていうのか、僕は嫌いだね。；新聞紙が、この絶好の社会種を、鳴物入りで書き立てたのは云うまでもない。；交通事故簡易見分システムとは、警察庁が鳴り物入りで導入した機器。；その駈け出した方向というのが、鳴物入りで群衆を集めている雨乞踊りの祭の庭であります。；あわれな舌先でとうの昔の罪深い行ないを鳴りもの入りで吹聴したりするのも無理はない。；こうして鳴り物入りで制作された本作ではあるが、実際に完成した映画は、車田の構想とはほど遠いものとなった。；市会議員の舌の鳴物入りの忠言なんかはこの道で苦労している彼等には真面目に対手になってはいられなかった。；鳴り物入りで公開したものの興行的には惨敗に終わった。；今度は文字通り鳴り物入りの登場と云う奴である。；主演である池の妹役で、宣伝ポスターにも大きく写る鳴り物入りのデビューであった。；芝居の部分はすべて鳴り物入りでやる。；大阪放送局から毎月鳴り物入りの自作や西洋種の噺を放送しだしたのがその翌年あたりから。；Powers は強引に作業を進め、IBM も事前に鳴り物入りで新製品を発表することで発売するころまでに新たな市場を作ってきたではないかと主張した。</t>
        </is>
      </c>
      <c r="J6363">
        <f>HYPERLINK("https://www.weblio.jp/content/鳴り物入り", "词义详情")</f>
        <v/>
      </c>
      <c r="K6363">
        <f>HYPERLINK("https://yourei.jp/鳴り物入り", "查看例句")</f>
        <v/>
      </c>
    </row>
    <row r="6364">
      <c r="A6364" t="inlineStr">
        <is>
          <t>成り行き</t>
        </is>
      </c>
      <c r="B6364" t="inlineStr">
        <is>
          <t>成功</t>
        </is>
      </c>
      <c r="C6364" t="inlineStr">
        <is>
          <t>読み方：なりゆき
１物事が次第に変化していくようすや過程。また、その結果。「事態の—を見守る」「—にまかせる」
２「成り行き注文」の略。</t>
        </is>
      </c>
      <c r="D6364" t="inlineStr">
        <is>
          <t>成り行き上(2%)；成り行き次第；成り行きまかせ；成り行き任せ；成り行きいかに</t>
        </is>
      </c>
      <c r="E6364" t="inlineStr">
        <is>
          <t>結果；影響；流れ；効果；傾向</t>
        </is>
      </c>
      <c r="F6364" t="inlineStr">
        <is>
          <t>意外な成り行き；黙って成り行き；必然的な成り行き；奇妙な成り行き；呑んで成り行き</t>
        </is>
      </c>
      <c r="H6364" t="n">
        <v>29</v>
      </c>
      <c r="I6364" t="inlineStr">
        <is>
          <t>成り行きでしーのが説得することになったが、しーのは意外な事を知る。；入ったと言うよりも、入らざるを得ない成り行きになってしまったのだ。；連中が分のいいほうに力を入れるのは当然の成り行きというものだろう。；前者は自分の意志だが、後者はわたしの意志というより成り行きだった。；そこには他人には分からない深い理由や成り行きがいろいろあったんです。；自然な成り行きのような気もするし、勇気を振り絞った結果な気もする。；彼以上に、ことの成り行きを説明できる最適な人物はいないはずだった。；いまの成り行きだと、どうやらほかのなにかが得られそうな気がする。；また翌日には成り行きで彼女からバレンタインチョコをもらってしまう。；勿論それまでの成り行きは決してどの様な特別な形式も取られては居なかった。；次の二、三日グライドは何もすることがなく、じっと成り行きを待った。；今や手の打ちようがなく、ただじっとして事の成り行きを見守るだけだ。；本来は無関係なはずの三人が、奇妙な成り行きでその場に取り残された。；ずっと黙って成り行きを見守っていた黒猫が、ここで初めて口を開いた。；北陸での戦いの成り行きは全国の大名、小名の注目するところとなった。；人生は成り行き任せであり、偶然と運が世界を支配していると信じている。；伊坂は別に不満のあるような顔も見せず、黙って成り行きを見ていた。；話の成り行き次第では、自分だけこの宿を出て、他の旅館に泊ればよい。；成り行き上仕方なく、私は電車に乗ってそいつを家に連れて帰った。；結局口をつぐみ、事の成り行きにまかせるよりほかはありませんでした。；勝手な成り行きに桃次郎が怒ったため、両者はレースの日取りを決めた。；ストーリーは占領の成り行きを記録する日記の形式で進んでいく。；ただし指揮官が戦死した部隊を成り行きで指揮したことは数度ある。；同作品では成り行きで殺人を犯してしまった主役の少年を演じている。；成り行きまかせとはいえ、一緒に茶をしばく必要などどこにあったのか。；稲沢は一宮側に寄った状態で、壁に沿って事の成り行きを見守っている。；成り行きから彼は地球を守る戦いへと巻き込まれていくことになる。；シエスタは唇をきゅっと一文字に結んでことの成り行きを見つめていた。；君は、私がこの戦争の成り行きに満足しているとでも思うのかね?</t>
        </is>
      </c>
      <c r="J6364">
        <f>HYPERLINK("https://www.weblio.jp/content/成り行き", "词义详情")</f>
        <v/>
      </c>
      <c r="K6364">
        <f>HYPERLINK("https://yourei.jp/成り行き", "查看例句")</f>
        <v/>
      </c>
    </row>
    <row r="6365">
      <c r="A6365" t="inlineStr">
        <is>
          <t>なる</t>
        </is>
      </c>
      <c r="B6365" t="inlineStr">
        <is>
          <t>成功</t>
        </is>
      </c>
      <c r="C6365" t="inlineStr">
        <is>
          <t>読み方：なる
《National Aerospace Laboratory of Japan》航空宇宙技術研究所。昭和30年（1955）設立。平成15年（2003）に、宇宙科学研究所（ISAS(アイサス)）、宇宙開発事業団（NASDA(ナスダ)）と統合され、独立行政法人宇宙航空研究開発機構（JAXA(ジャクサ)）となる。</t>
        </is>
      </c>
      <c r="D6365" t="inlineStr">
        <is>
          <t>なるだろ；なるほど；なるまい；なる可能性；なるでしょ</t>
        </is>
      </c>
      <c r="E6365" t="inlineStr">
        <is>
          <t>行く；発生；形成；発展；至る</t>
        </is>
      </c>
      <c r="F6365" t="inlineStr">
        <is>
          <t>たくなる；大きくなる；こうなる；なるかもしれ；高くなる</t>
        </is>
      </c>
      <c r="G6365" t="inlineStr">
        <is>
          <t>なるべく；なるか；なる程；なるとも；なるたけ</t>
        </is>
      </c>
      <c r="H6365" t="n">
        <v>29</v>
      </c>
      <c r="I6365" t="inlineStr">
        <is>
          <t>声優になろうと思ったきっかけはアニメや漫画が大好きだったことから。；声優になろうと思ったことはなく、気付いたらなっていたと言っている。；多くのRPGには全ての攻撃技の基本となる通常攻撃が実装されている。；ジュネーヴの数学の教授になろうとしたが、その地位は得られなかった。；師匠と俺がどういう仲になろうと、てめえたちには関係ないだろうが!!；異化とは二つの音が隣接している場合に別な音になろうとすることを言う。；若い頃はプロテスタントの聖職者になろうと考えたこともあったという。；選手になろうとする時、父は反対したが母親が賛成し、支援してくれた。；当然春になれば自分たちの作った米も同じように高く売れると考えていた。；ここから得られるアルゴリズムを、日本語で記述すると次のようになる。；不幸の上にさらなる不幸の連続で読み終わっても幸せな気分にはなれない。；日本だってみんながその気になれば、あのくらいのものは出来ると思うの。；斉信は時間になっても辞去する気になれず、二人して泣き続けたという。；お前も大きくなったら、必ず他人が見なくても働くような人間になれ。；手段を選ばずに楽して有名になろうと思って、喜んで私を攻撃するんだ。；この段階になればもはや事態を収拾しようとすることは極めて困難となる。；この段階になればもはや事態を収拾しようとすることは極めて困難となる。；声優になろうと思ったきっかけは平野綾の出演作品が好きだったことから。；皆既日食が起こると空がかなり暗くなり星の観測も可能な状態になる。；そうなりゃ千年後ぐらいに発掘されて案外貴重な資料になったりしてな。；失望から学校に行かなくなり、近所の森や山で時間を潰す日々を送った。；かわりに主流となっていたものが電子ゲームと呼ばれるものであった。；このコンサートは第31回G8サミットと同時になるように計画された。；初期は少年誌で活動していたが、後に青年誌でも執筆するようになった。；エンジンは近年では珍しい存在となりつつあるOHVを使用している。；物語の舞台は大阪などに移り、次は気象予報士になるための勉強を開始。；プロ野球選手にはなれなかったが、彼がつけていた背番号も31だった。；絵と歌は子供の頃から得意で、将来は画家になろうとも思っていた。；ほぼ完成していたとされるが、それを発売中止にしての正式発売となった。</t>
        </is>
      </c>
      <c r="J6365">
        <f>HYPERLINK("https://www.weblio.jp/content/なる", "词义详情")</f>
        <v/>
      </c>
      <c r="K6365">
        <f>HYPERLINK("https://yourei.jp/なる", "查看例句")</f>
        <v/>
      </c>
    </row>
    <row r="6366">
      <c r="A6366" t="inlineStr">
        <is>
          <t>成る</t>
        </is>
      </c>
      <c r="B6366" t="inlineStr">
        <is>
          <t>成功</t>
        </is>
      </c>
      <c r="C6366" t="inlineStr">
        <is>
          <t>読み方：なる
［動ラ五（四）］
１物事ができ上がる。実現する。成就する。「ついに五連覇が—・る」「念願—・って一人立ちする」
２今までと違った状態・形に変わる。「氷が水に—・る」「血と—・り肉と—・る」
３
㋐ある時分・時期などに至る。「夜に—・る」「結婚して一〇年に—・る」
㋑ある数値に達する。「積み上げると三メートルにも—・る」「全部で千円に—・る」
４ある働きをする。作用する。「不用意な発言が紛糾のもとと—・る」「将来のために—・る話」
５許すことができる。許して、よいとする。「負けて—・るものか」「勘弁—・らない」→ならない2
６（「手になる」「筆になる」などの形で）その人によってつくられる。「名工の手に—・る茶碗」「空海の筆に—・る書」
７（「…からなる」の形で）全体がそれによって構成される。「前編と後編とから—・る」「組織は三部門から—・る」
８（「人の…になる」の形で）他からその恩恵を受ける。「先輩の世話に—・って就職する」「出先でごちそうに—・る」
９将棋で、王将・金将以外の駒が、敵陣三段目以内に入ったとき、また、そこに打ったそれらの駒が動いたとき、裏返しになり、飛車・角行(かくぎょう)は本来の働きのほかに金将・銀将の働きをあわせもち、他の駒はすべて金将と同じ働きをするようになる。
10役や位につく。任命される。
「四位にも—・るべき年にあたりければ」〈大和・四〉
11落ちぶれる。なれの果てになる。
「入道かたぶけうどする奴が—・れる姿よ」〈平家・二〉
12酒が飲める。上戸である。
「さて、この鬼も酒が一つ—・るいやい」〈虎寛狂・伯母が酒〉
13（「お…になる」「ご…になる」の形で）尊敬の意を表す。…なさる。「お休みに—・る」「ご訪問に—・る」
14（中世以降、動作を表す名詞に付いて）非常に高い敬意を表す。…なさる。…になる。
「法皇、夜を籠(こ)めて、大原の奥へぞ御幸—・る」〈平家・灌頂〉
[可能]なれる
[下接句]足が棒になる・朝(あした)には紅顔ありて夕べには白骨となる・後の雁(かり)が先になる・後は野となれ山となれ・打って一丸(いちがん)となる・絵になる・男になる・女になる・陰になり日向(ひなた)になり・江南(こうなん)の橘(たちばな)、江北の枳(からたち)となる・様(さま)になる・杓子(しゃくし)は耳掻(みみか)きにならず・朱に交われば赤くなる・相撲にならない・泉下の客となる・滄海(そうかい)変じて桑田(そうでん)となる・塵(ちり)も積もれば山となる・土になる・毒にも薬にもならない・虎(とら)になる・習い性(せい)となる・根葉(ねは)になる・灰になる・馬鹿(ばか)にならない・馬鹿になる・白玉楼中の人となる・話にならない・人となる・身二つになる・ミイラ取りがミイラになる・水になる・目頭が熱くなる・物になる</t>
        </is>
      </c>
      <c r="D6366" t="inlineStr">
        <is>
          <t>成るべく(5%)；成るべき；成るまい；成る太平洋上；成るべし</t>
        </is>
      </c>
      <c r="E6366" t="inlineStr">
        <is>
          <t>なる；くる；来る；発生；成功</t>
        </is>
      </c>
      <c r="G6366" t="inlineStr">
        <is>
          <t>成る可く；成る丈</t>
        </is>
      </c>
      <c r="H6366" t="n">
        <v>29</v>
      </c>
      <c r="I6366" t="inlineStr">
        <is>
          <t>それを想うと彼はもっとよく自分の心に聞いて見なければ成らなかった。；この世のさまざまな物を、そう成らしめている力を確かに感じるのです。；国内で独自に作られた電子製品群は近年の増加の重要な要因に成っている。；彼は今まで知らなかった自分の妻の傍に居ることを知るように成った。；私は今度の戦争の中で、自分の思ひ立つた仕事を急がなければ成らない。；字に成らなかったといわれるが、むしろその方がよかったような気がする。；結果的にこの大阪国際女子が、田中の現役最後のフルマラソンと成った。；丁度宿の前あたりで野外の画作を終って帰って来る牧野と一緒に成った。；宮廷での栄達を望んで各方面に運動したが、こちらは一生成らなかった。；それを見て居なければ成らぬお品の苦心は容易なものではなかつたのである。；斯の刑罰は子供心にも甘んじて受けなければ成らないやうなものでした。；私は戦争を外に見て、全く自分の製作に耽るほど静かな気分には成れない。；僕は其時限り逢はぬやうに成らうと思つて別れはしなかつたのである。；芝居の方に関係し始めてから、それが一つの癖のように成っている。；レイテ島に敵が上陸した時、これこそ敵撃滅の神機だと称して、成らず。；それを解決させる為に、渾天儀は複雑な道具に成らざるを得なかったのだ。；長い長い留守居の後で、お俊姉妹は漸く父の実と一緒に成れたのである。；葉が薄く見えるのは、葉身の細胞層が一層から成っているためである。；父の最後を思う度におげんは何処までも気を確かに持たねば成らないと考えた。；ベートーヴェンはパリへトレモンに同行する気持にもかなり成っていた。；今日の元気の好い所を見ると、大した事件には成らずに済んだのだらう。；しかしこれにより皇帝はその名目を利用されるだけの存在に成り果てた。；それ以前は国内の船団は貴族によって所有し管理される船から成っていた。；夫人よ、私共の要求が何であるかと云ふ事をお知りに成らうとお望みですか。；彼の旅も、これから先の方針を定めねば成らないところまで行った。；それと同時に若者の爲には彼は蝮蛇の毒牙の如きものでなければ成らぬ。；そのため、地球と同じように岩石から成る岩石惑星だと考えられている。；国勢調査はこれとは別の区画が設定されており、合計11の区から成る。；連隊は複数の部隊から成り、部隊ごとに独自の制服が定められている。</t>
        </is>
      </c>
      <c r="J6366">
        <f>HYPERLINK("https://www.weblio.jp/content/成る", "词义详情")</f>
        <v/>
      </c>
      <c r="K6366">
        <f>HYPERLINK("https://yourei.jp/成る", "查看例句")</f>
        <v/>
      </c>
    </row>
    <row r="6367">
      <c r="A6367" t="inlineStr">
        <is>
          <t>鳴る</t>
        </is>
      </c>
      <c r="B6367" t="inlineStr">
        <is>
          <t>成功</t>
        </is>
      </c>
      <c r="C6367" t="inlineStr">
        <is>
          <t>読み方：なる
［動ラ五（四）］
１音が出る。音を発する。「鐘が—・る」「雷が—・る」
２名声などが、広く世間に知れわたる。「策士をもって—・る人物」</t>
        </is>
      </c>
      <c r="D6367" t="inlineStr">
        <is>
          <t>鳴るような音；鳴るような声；鳴るような気；鳴る拳を持つ</t>
        </is>
      </c>
      <c r="E6367" t="inlineStr">
        <is>
          <t>なる；響く；鳴らす；響き渡る；鳴りひびく</t>
        </is>
      </c>
      <c r="F6367" t="inlineStr">
        <is>
          <t>もって鳴る；よく鳴る；ぎしぎし鳴る；高く鳴る；ガチャガチャ鳴る</t>
        </is>
      </c>
      <c r="H6367" t="n">
        <v>29</v>
      </c>
      <c r="I6367" t="inlineStr">
        <is>
          <t>台所のテーブルの前に座って一週間分の日記をつけていると電話が鳴った。；接近表示機が設置され、列車の接近時に駅舎内で音が鳴るようになった。；あんな時刻になぜラジオが鳴ってたのか、僕には見当がつきませんよ。；こうして彼女は時計が一時を打つのを待ち、更に二時が鳴るのを待った。；部屋に入ると電話が鳴っており、それは三上とさとみからの誘いだった。；なお、書き問題で正解者がいた場合にも同様のファンファーレが鳴った。；それで鳴る鳴子が親爺の方にも娘の方にも、両方の室にあるのですから。；花の下では風がないのにゴウゴウ風が鳴っているような気がしました。；こうして立っていると、遠くのほうでかすかに海の鳴るような音を聞いた。；何故と言ふに、それを行つた日に限つて、不思議に雷が鳴るからである。；ですからあれは母牛の乳をまだ飲たがって鳴のでしょうと男等は云った。；草の葉が風に鳴って、モスコウ行きの自動車が砂をまいて通りすぎた。；そうしてその電信柱も、あの波の音と同じようにゴウゴウと鳴って居る。；自分で考えて行動できるよう、チャイムが鳴らないところも特徴である。；いかにも鐘鳴器室で気を失いました際には、鎧通しを握っておりました。；呼出し音が一回鳴るか鳴らないかのうちに向うで受話器を取る音がした。；こんなことをしているのも全ては目覚ましが鳴らなかったせいである。；庶民院での採決が行われるときに鳴るベルも建物全体に設置されている。；ここ竜鳴館ではこんな風に空気を読むことも 教えてくれるのである。；お父さんは火を見ながらじっと何か考へ、鍋はことこと鳴ってゐました。；頭の中でこういう音が鳴っているんだけど、これを形にして言えないわけですね。；説明中に空襲警報が鳴ったので天幕で参謀達を集めて状況を再確認した。；ルルを湖の底へ呼ぶために、私はルルが作った鐘を鳴らないようにした。；松の梢にかすかに風が鳴っているのが、雲の音のように遠くきこえる。；ある時はいとしい恋人の側で神鳴の夜の物語して居る処を夢見て居る。；するともう一方の部屋にいる人には出入口の所で音が鳴ったように聞こえる。；今日と明日だけは、授業が始まる時刻になっても、チャイムは鳴らない。；冬になり再び別荘を訪れた家族のもとに、オリヴァーからの電話が鳴る。；それと入れかえのように、まるで連動しているかのように電話が鳴った。</t>
        </is>
      </c>
      <c r="J6367">
        <f>HYPERLINK("https://www.weblio.jp/content/鳴る", "词义详情")</f>
        <v/>
      </c>
      <c r="K6367">
        <f>HYPERLINK("https://yourei.jp/鳴る", "查看例句")</f>
        <v/>
      </c>
    </row>
    <row r="6368">
      <c r="A6368" t="inlineStr">
        <is>
          <t>生る</t>
        </is>
      </c>
      <c r="B6368" t="inlineStr">
        <is>
          <t>成功</t>
        </is>
      </c>
      <c r="C6368" t="inlineStr">
        <is>
          <t>読み方：ある
［動ラ下二］神など神聖なものが出現する。天皇の御子などが生まれる。
「橿原(かしはら)の日知(ひじり)の御代ゆ—・れましし神のことごと」〈万・二九〉</t>
        </is>
      </c>
      <c r="D6368" t="inlineStr">
        <is>
          <t>生るべき(5%)；生るべく</t>
        </is>
      </c>
      <c r="H6368" t="n">
        <v>29</v>
      </c>
      <c r="I6368" t="inlineStr">
        <is>
          <t>良くも悪くも、メキシコが生んだその時代を代表する英雄の一人である。；その繁った葉がくれに、かなり大きくなった実の生っているのが見えた。；州内の豊富な歴史と南北戦争後の雰囲気が多くの文学作品を生んできた。；そのため、レースは思わぬ展開や抜きつ抜かれつのドラマを生んでいる。；林に生っていたわずかの果物を口に入れただけで、夜の間走り続けた。；おいよ 柿の実ならば、おまえのお寺にも沢山に生っているではないか。；いずれにしても、常盤が清盛の娘を生んだ事は伝説の域を出ないのである。；州経済の発展は都市スプロール現象とそれに付随する兆候を生んできた。；この男の死ぬ前の日もこの赤い実の生っている木に水をやっていたのを見たものがある。；これが1960年代からの社会防衛的入院から外来治療への転換を生んだ。；干瓢に造っても可い程の青い大きなのが最早裏の畠には沢山生っていた。；今日でも大きく成長を続けてはいるが、依然として一向に実が生らない。；「先生っ」 側に寄ったが、どうやって火を消したらいいのか分からない。；雨が降ることが多い場所であり、それがマンチェスターの歴史を生んだ。；黄庭堅の詩風は多くの追従者を生み、後に江西詩派と呼ぶ流れを生んだ。；彼は継母オデと彼女が生んだ異母弟たちを追放して国家の統一を維持した。；一方、演出や番組内で発した冗談が時折誤解や批判を生んだこともあった。；一年生っていや友達百人できるかなだけど、まさか子供はできねえだろ!?；本人が実家へ、この奥の柿生ってとこなんですが、帰るって言うんです。；ガイアはウーラノスを夫とし、数多くの巨人や神々を次々に生んでいく。；そこで、以下のような内容と形式が求められたが、これは多くの効果を生んだ。；火中出産の時に「熱を避りて居たるときに生り出ずる児」であるという。；ロザリオを生んだ時母親は16歳で、父親である男性とは結婚しなかった。；観測されたデータからそれを生んだ母集団を説明しようとする際に広く用いられる。；このほかにも南部は、多数の有名な政治家と政治運動を生んでいる。；ここに生えている巨大な界樹に生る木の実から芯人が生まれてくる。；マルクス主義の理論の解釈の違いが、党派の違いを生んでいるからである。；ああ、それと前川さんは今後も俺のことを転校生って呼ぶことにしたそうだ。；東京を出た事のないものには蜜柑の生っているところはすこぶる珍しいものだ。</t>
        </is>
      </c>
      <c r="J6368">
        <f>HYPERLINK("https://www.weblio.jp/content/生る", "词义详情")</f>
        <v/>
      </c>
      <c r="K6368">
        <f>HYPERLINK("https://yourei.jp/生る", "查看例句")</f>
        <v/>
      </c>
    </row>
    <row r="6369">
      <c r="A6369" t="inlineStr">
        <is>
          <t>なるたけ</t>
        </is>
      </c>
      <c r="B6369" t="inlineStr">
        <is>
          <t>成功</t>
        </is>
      </c>
      <c r="C6369" t="inlineStr">
        <is>
          <t>読み方：なるたけ
［副］《動詞「な（成）る」に限度の意を表す名詞「たけ（丈）」の付いた語から。「なるだけ」とも》できる限り。できるだけ。なるべく。「—早く来てください」</t>
        </is>
      </c>
      <c r="D6369" t="inlineStr">
        <is>
          <t>なるたけ早く(7%)；なるたけ多く；なるたけ遠く；なるたけ大きく；なるたけ大きな</t>
        </is>
      </c>
      <c r="E6369" t="inlineStr">
        <is>
          <t>なるべく；できれば；出来るだけ；極力；可能な限り</t>
        </is>
      </c>
      <c r="H6369" t="n">
        <v>29</v>
      </c>
      <c r="I6369" t="inlineStr">
        <is>
          <t>それが面白いのでお蘭はなるたけ気がつかぬ振りをしてうつ向いている。；私はなるたけわかりそうなはなしをえらんで自分からさきに口をきいた。；男は折々窓の外を眺めて、なるたけ女と目を見合せないようにしている。；なるたけ今の時代が求めるものをと心掛けないと、仕事には破滅が来る。；なるたけ人通りのすくないところへ行ってから声をかけるつもりだった。；だからなるたけ無理はしないで倹約してやって行くのが一番自然でいいのです。；外国にいるからには、なるたけ外国にいるんだと感じたいんだからな。；彼はなるたけ最後の時まで判断を下さないでおくのが好きなのだ。；だが、こっちもなるたけ利用されないように用心しなければならない。；だから、僕、これからなるたけお祖母さんのそばにいないようにするよ。；ではまたいずれ、というより、なるたけ早くお会いしたいシェーラより。；京子は着物の色も模様もなるたけ千世子の心にかなった様にして居た。；残された三人は、なるたけ快適な場所で、作戦会議を開くことにした。；しかし一方に実在の名前をなるたけ使おうとすると困る問題が一つ出て来る。；それにしても、なるたけ、遠いところへ送られてゆきたいものですね。；どうしても出かけなくちゃならないなら、なるたけ森のなかだけにしたほうがよい。；ざっとこう云うような事を、なるたけお母様に分るように説明して見た。；なるたけこの際自分の顔を見せない方がいいと考えた。；私は地方の伝説をなるたけ有名にするために、詳しく土地の名を書いて置きました。；父の前からはなるたけ離れているように家族は心懸けている。；その途中でもなるたけ蓋を取らないようにしないと豆へ空気が触れて皮が裂けます。；彼女は、食事がすめば、なるたけ早く寝室へ引き取りたいと思っていた。；オルロフのいるうちに、なるたけ彼の部屋は掃除しなければならない。；船も私の心をなるたけ動かすまいとするように音も無くすべった。；なるたけ麻川氏の部屋に客の居るとき、私は自分の存在を隠して遠慮して居る。；湯へもなるたけ人のいない刻限を見はからってはいるくらいに心をつかった。；言語文章は意思を伝える道具だからなるたけ透明で解りやすくなければならん。；きょうはもうこれでおやめね、なるたけ疲れさせない方がいいと思うから。；僕も晩の大御馳走をお招伴しますからなるたけ腹を減らしておきます。</t>
        </is>
      </c>
      <c r="J6369">
        <f>HYPERLINK("https://www.weblio.jp/content/なるたけ", "词义详情")</f>
        <v/>
      </c>
      <c r="K6369">
        <f>HYPERLINK("https://yourei.jp/なるたけ", "查看例句")</f>
        <v/>
      </c>
    </row>
    <row r="6370">
      <c r="A6370" t="inlineStr">
        <is>
          <t>なるべく</t>
        </is>
      </c>
      <c r="B6370" t="inlineStr">
        <is>
          <t>成功</t>
        </is>
      </c>
      <c r="C6370" t="inlineStr">
        <is>
          <t>読み方：なるべく
［副］《動詞「な（成）る」の終止形＋可能の助動詞「べし」の連用形から》できる限り。できるだけ。なるたけ。「—早く行く」「—残さずに食べなさい」</t>
        </is>
      </c>
      <c r="D6370" t="inlineStr">
        <is>
          <t>なるべく早く(6%)；なるべくなら(3%)；なるべく多く；なるべく避け；なるべく早い</t>
        </is>
      </c>
      <c r="E6370" t="inlineStr">
        <is>
          <t>できれば；出来るだけ；極力；可能な限り；できる限り</t>
        </is>
      </c>
      <c r="F6370" t="inlineStr">
        <is>
          <t>なるべく小さく；なるべく離れ；なるべく長く；なるべく近い；なるべく少ない</t>
        </is>
      </c>
      <c r="H6370" t="n">
        <v>29</v>
      </c>
      <c r="I6370" t="inlineStr">
        <is>
          <t>目が傷つかないように角のあるものはなるべく使わないようにすること。；遺言を方式上なるべく有効にしようとする立場に立脚し制定されている。；通常、人間はこの前提をなるべく変更しないように思考する習性がある。；既存の鉄道・バス路線となるべく重複しないような路線網となっている。；劇中ではほぼ戦時下であったが、なるべく平和的な解決を目指していた。；また、内容が似たような作品にはなるべく連続で出演しないようにしている。；江戸時代の江戸に住む青年・磯部磯兵衛は立派な武士になるべく修業中。；生まれた時から暗殺者となるべくして組織に育てられたキラーマシーン。；なるべく負担を小さくしつつ、勝利を挙げるという両立を目指していた。；ダイアナはなるべく二人の王子を普通の子供のように育てたかった。；したがって、高眼圧の期間をなるべく短くするように注意が必要とされる。；東部の国は、赤十字が捕虜を支援する助けとなるべく、戦いを続けていた。；各クラスは、ゲームに限らずなるべく独立して使えるように設計されている。；これをなるべく容易にするためにいくつかのプログラミング言語が開発された。；設定する値を選ぶとき、多くの実装ではなるべく他の値を制限しない値を選ぶ。；実はこれも剣や杖と同じく、ある存在の器となるべく造られたもの。；また、共通語として公式の場ではなるべく英語を使うことが奨励される。；工場の向きがまちまちなのは、なるべく移植する木を減らすためである。；これは将来のモーリタニアの首都となるべく都市を準備するための計画であった。；プロデューサーの多くは大学で映画やテレビのプロデューサーになるべく勉強している。；芋を掘るには深い穴を掘らねばならないので、なるべく斜面の所を探す。；なるべく多く生産するためには、農園は大量の水および肥料を必要とする。；体系と核分裂性物質の位置形状をなるべく保守的かつ悲観的に記述する。；ループ展開をしたり、なるべく小さいデータ型を使うようにしたりする。；将来はベネズエラの中央鉄道システム線の一環となるべく建設された。；下山後も同様で、なるべく早く使用した靴を洗うべきであるとのことである。；なるべくならどの作品も自分で絵コンテを描きたいと思っている。；彼はそこで見た騎士に憧れ、騎士になるべくアーサー王の下へ向かう。；より正確な測定値を得るには、なるべくアンテナに近い位置に接続した方がよい。</t>
        </is>
      </c>
      <c r="J6370">
        <f>HYPERLINK("https://www.weblio.jp/content/なるべく", "词义详情")</f>
        <v/>
      </c>
      <c r="K6370">
        <f>HYPERLINK("https://yourei.jp/なるべく", "查看例句")</f>
        <v/>
      </c>
    </row>
    <row r="6371">
      <c r="A6371" t="inlineStr">
        <is>
          <t>なるほど</t>
        </is>
      </c>
      <c r="B6371" t="inlineStr">
        <is>
          <t>成功</t>
        </is>
      </c>
      <c r="C6371" t="inlineStr">
        <is>
          <t>読み方：なるほど
［副］
１他人の言葉を受け入れて、自分も同意見であることを示す。たしかに。まことに。「—それはいい」
２その範囲でできるだけのことをする意を示す。なるべく。
「そのやうに言うて皆様が召すものか。—慇懃に売れ」〈狂言記外篇・昆布売〉
［感］相手の言葉に対して、その通りであると同意する気持ちを表す。「—。おっしゃる通りですね」</t>
        </is>
      </c>
      <c r="D6371" t="inlineStr">
        <is>
          <t>なるほどそう；なるほどねえ；なるほどなるほど；なるほどさう；なるほどお前</t>
        </is>
      </c>
      <c r="E6371" t="inlineStr">
        <is>
          <t>やはり；確かに；納得；思ったとおり；道理で</t>
        </is>
      </c>
      <c r="F6371" t="inlineStr">
        <is>
          <t>ああなるほど；遠くなるほど；高くなるほど；痛くなるほど；なるほどたしかに</t>
        </is>
      </c>
      <c r="G6371" t="inlineStr">
        <is>
          <t>なるほどザ・ワールド</t>
        </is>
      </c>
      <c r="H6371" t="n">
        <v>29</v>
      </c>
      <c r="I6371" t="inlineStr">
        <is>
          <t>なるほどこの二つをもってすれば、あらゆるものは逆立ちする筈である。；生前に「なるほどそうだったのかと思えるのが死の瞬間」と語っていた。；なるほどお島さんが不思議がるのも無理はない、僕も実は初めて見た。；なるほど人にいわれてみると、私はバカの仕放題をしてきたようである。；しかし、デザインも絵の筆致も、なるほど楽に出来ているところがある。；なるほどぼんやり耳を貸していると、ああ云う風にも聞えないことはない。；なるほど、これが戦場の跡に早くも種蒔かれた伸び行く日本の生活である。；左右の胸を調べるとなると、なるほど土から掘り出さなければならない。；なるほど民子は私にそう云われて見れば自分の身を諦める外はない訣だ。；それを聞いてよく眼をつけて居るとなるほどその言葉通りの事も分る。；水が液体である温度の範囲は、一般的に圧力が低くなるほど低下する。；スマイルは3段階までつけることができ右になればなるほど高評価である。；なるほど当時の佐藤栄作氏はその立場上まずいことも相当あったであろう。；なるほど、おめえの云ふ通り、こんなことが聞えたら好くねえだらうね。；なるほど云われて見れば、写真で見るニューヨーク市街そっくりである。；家へ帰る途中でいろいろ考えてみると、なるほど思い当ることがある。；なるほど少し行くと鍛冶場があったので、一同はその鍛冶場も見物した。；なるほどここは三条の宰相殿といって、羽ぶりのいい大臣のお屋敷でした。；なるほど野菜は地震にも被害はなく、しかも需用者は大いに減じたのだ。；と説明を施しており、なるほど、通過したのであるかと思ったりする。；小さな正二くんも、なるほどなと、うなずくことができたのであります。；なるほどお前の容貌ならば、廓へ身をしづめて相當の金にもなるだらう。；なるほど、あなたは時として他人に笑顔をお見せになることがあるでしょう。；刑事課でやりたい放題の青島でさえも彼らの前ではおとなしくなるほど。；なるほど、民衆が半睡眠状態にある間は或はそうであるかも知れない。；なるほどそこはすこし壁がひっこんでいて、から井戸らしいものがあった。；なるほど、おれは九等官だが、どういう理由で九等官なのだらう?；なるほど、それは私もちょっと眺めておいたらよかったと思う。；なるほど、ふたりのいったとおりにちがいはありませんでした。</t>
        </is>
      </c>
      <c r="J6371">
        <f>HYPERLINK("https://www.weblio.jp/content/なるほど", "词义详情")</f>
        <v/>
      </c>
      <c r="K6371">
        <f>HYPERLINK("https://yourei.jp/なるほど", "查看例句")</f>
        <v/>
      </c>
    </row>
    <row r="6372">
      <c r="A6372" t="inlineStr">
        <is>
          <t>慣れ</t>
        </is>
      </c>
      <c r="B6372" t="inlineStr">
        <is>
          <t>成功</t>
        </is>
      </c>
      <c r="C6372" t="inlineStr">
        <is>
          <t>読み方：なれ
慣れること。習熟。習慣。「—からくる油断」「場—」</t>
        </is>
      </c>
      <c r="D6372" t="inlineStr">
        <is>
          <t>慣れるだろ；慣れるべき</t>
        </is>
      </c>
      <c r="E6372" t="inlineStr">
        <is>
          <t>把握する；慣熟；馴れっこ；こなれる；耐性を得る</t>
        </is>
      </c>
      <c r="F6372" t="inlineStr">
        <is>
          <t>すぐ慣れる；そのうち慣れる；少し慣れる；なかなか慣れる；未だに慣れる</t>
        </is>
      </c>
      <c r="H6372" t="n">
        <v>29</v>
      </c>
      <c r="I6372" t="inlineStr">
        <is>
          <t>長くそこに住んでいれば、人はそういう匂いにも慣れるのかもしれない。；引越してきたばかりで一家が新しい居住環境に慣れるのに苦労したこと。；世界のアナウンサーが、慣れない日本語で何と言っているのかを当てる。；そのため、楽譜を読み慣れない人でも などを容易に行うことが出来る。；しかし何度経験したところで、容易に慣れることはできそうになかった。；それまで歌やダンスの経験はなかったため当初は慣れるのに苦労した。；沢村君には悪いけれども、あのくらいの球には慣れてたんだよ、ぼくは。；目が慣れると暗い物まで見えるようになるため正確な測定ができない。；これは何度見ても、何年たっても、なかなか慣れることができなかった。；彼は嘲笑されることに慣れておらず、慣れることを望んでもいなかった。；しばらくしてスピードと音に体が慣れると、鬼ケンの声が聞こえてきた。；これには独特のにおいがあり、慣れていない場合は飲みづらいとされる。；特に月経の処置に慣れていない初経を迎えた直後の女子に多く見られる。；鈴鹿と似ているなら、慣れるのにずいぶん時間がかかるだろうと思った。；亘の周りでは不幸な事故が多く、周囲の人間もそれに慣れきっていた。；だから、もちろん、いつになってもこの土地に慣れることはあるまいよ。；それに慣れるにはしばらく時間がかかるだろうが、たのしみではあった。；すこし慣れるまで、他の方を向いていようなどと言って、お種も笑った。；当初は慣れない環境ゆえに順応出来ずにいたが徐々に適応していった。；コースに慣れるために、試合の一週間ほど前からそこに滞在していた。；またシステムに慣れさせるため教育目的のコンピュータまで導入した。；居住性やキャンプに慣れていない人でも設営できることが重視される。；アヒルのひなが水に慣れるように、私はワインに慣れていったのである。；パリミュチュエル方式に慣れた日本人にはデシマル表示を選ぶ人が多い。；人間は慣れる動物だから、そのうちに何も感じなくなるかも知れない。；これらヨーロッパ人集団の大半は海上生活に慣れた海岸地域から来ていた。；キャプチャーした敵を回転させるのに慣れていない初心者向けの設定。；穂の形はオヒシバに非常によく似ており、慣れないと見誤ることがある。；初めのうちは不気味であったが、それも慣れると、気にならなくなった。</t>
        </is>
      </c>
      <c r="J6372">
        <f>HYPERLINK("https://www.weblio.jp/content/慣れ", "词义详情")</f>
        <v/>
      </c>
      <c r="K6372">
        <f>HYPERLINK("https://yourei.jp/慣れ", "查看例句")</f>
        <v/>
      </c>
    </row>
    <row r="6373">
      <c r="A6373" t="inlineStr">
        <is>
          <t>馴れ初め</t>
        </is>
      </c>
      <c r="B6373" t="inlineStr">
        <is>
          <t>成功</t>
        </is>
      </c>
      <c r="C6373" t="inlineStr">
        <is>
          <t>読み方：なれそめ
恋仲の者が知り合ったはじめ。恋のきっかけ。</t>
        </is>
      </c>
      <c r="H6373" t="n">
        <v>29</v>
      </c>
      <c r="I6373" t="inlineStr">
        <is>
          <t>まずは夫婦の出身・年齢・夫の職業を確認し、妻に2人の馴れ初めを聞く。；かつて東京で仕事があった際にファンレターを貰ったことが妻との馴れ初め。；父親は医者で、母親との馴れ初めも父親が受け持った患者とのこと。；おやじに彼女との馴れ初めを訊くなんて、照れるなって、笑ってました。；わたしのことを話しますから、その後であなたがたの馴れ初めも教えてください。；店の中に入ると店主と馴れ初めや店の特徴などをいつもの寺門の口調でトークを行う。；妻との馴れ初めは、飛行機でたまたま隣に座った事が切っ掛け。；光が胃潰瘍で入院した時に世話をしたのが馴れ初めで、退院後には彼が彼女の面倒をみるようになる。；妻・大島美幸との馴れ初めを描いた著書『ブスの瞳に恋してる』を出版。；馴れ初めはどうあれ、国王夫妻が二十二年間も夫婦だったという事実は大きい。；そして一時帰国の際に会う約束を取り付け、一緒に写真を撮ったのが馴れ初めである。；二人が結婚に至る「馴れ初め」は具体的には何一つ描かれない。；以後、文字通り切っても切れない関係になる、地下室の悪魔との馴れ初めだった。；二人の関係はカップルであるが、馴れ初めなどは非公開である。；一般には2場面のうちの前半部分のみが演じられ、お花半七馴れ初めあるいはお花半七という演題となることもある。；うちの人との馴れ初めも似たようなものだから。；引っ越しを手伝いに来たその人の親戚らしき男が、聞きもしないのに父とその女の馴れ初めを教えてくれた。；馴れ初めは同番組がきっかけである。；モノをほぼ返し終わったジーンのところに、結婚するという友人から馴れ初めの写真を欲しいと電話がかかってくる。；夫との馴れ初めもそれだった。；火鉢の他には暖房もない寺で経文を聞きながら、私はふと、どうして彼が妙子さんと結ばれることになったのか馴れ初めを知らないことに気がついた。；二人の馴れ初めは、春の森だった。；「仲人は大久保先生御夫妻にお願いしましょう」 二人の馴れ初めの経過から見て、それが一番適切だと思えた。；同年19号・20号に掲載したリリアの両親テオとソフィアの馴れ初め話が最後になった。；オーウェンとダーウィンの馴れ初めは、後に不倶戴天の敵となることが信じられないくらい非常に友好的な物だった。；夫婦はスペシャルゲストとしての参加で、司会者を相手に自分たちの馴れ初めなどを語った。；それもそのはずで、「上」のお花半七馴れ初めの場面で通常は切り、「下」の部分はめったに上演されない。；馴れ初めは、シベリアに抑留されていた広瀬の兄の帰還を北野天満宮に祈願していたことからだった。；馴れ初めは作品ごとに多少異なる。</t>
        </is>
      </c>
      <c r="J6373">
        <f>HYPERLINK("https://www.weblio.jp/content/馴れ初め", "词义详情")</f>
        <v/>
      </c>
      <c r="K6373">
        <f>HYPERLINK("https://yourei.jp/馴れ初め", "查看例句")</f>
        <v/>
      </c>
    </row>
    <row r="6374">
      <c r="A6374" t="inlineStr">
        <is>
          <t>馴れ馴れしい</t>
        </is>
      </c>
      <c r="B6374" t="inlineStr">
        <is>
          <t>成功</t>
        </is>
      </c>
      <c r="C6374" t="inlineStr">
        <is>
          <t>読み方：なれなれしい
［形］［文］なれなれ・し［シク］
１非常に親しいようすである。「—・く軽口を交わす」
２ぶしつけである。遠慮がなさすぎる。「上司に—・い口をきく」
[派生]なれなれしげ［形動］なれなれしさ［名］</t>
        </is>
      </c>
      <c r="D6374" t="inlineStr">
        <is>
          <t>馴れ馴れしい態度(13%)；馴れ馴れしい口調(5%)；馴れ馴れしい調子(4%)；馴れ馴れしい様子</t>
        </is>
      </c>
      <c r="E6374" t="inlineStr">
        <is>
          <t>親しみやすい；軽薄な；開放的な；人懐っこい；フレンドリーな</t>
        </is>
      </c>
      <c r="H6374" t="n">
        <v>29</v>
      </c>
      <c r="I6374" t="inlineStr">
        <is>
          <t>すると男はそれに勇気を得たようで、さらに馴れ馴れしい質問を始めた。；私は、あなたを変に馴れ馴れしい方だと思わないではいられませんでしたよ。；私は相手を知らないが、相手は私の過去を知っていて、妙に馴れ馴れしい。；馴れ馴れしく出入りしている銀次という若い男の存在を知ったからだ。；でもサーンス伯爵夫人とも、とても馴れ馴れしかったのを知っています。；この時から洋の馴れ馴れしさは変わっていないのだが、洋は何かを感じていた。；このときこそ、先輩の異様な距離ナシと馴れ馴れしさを警戒するべきだったのだ。；彼女は少しの遠慮もなく、非常に馴れ馴れしい答え方をしていた。；そのうち、相手は図に乗って馴れ馴れしくもなってくるだろう。；気を遣いすぎてもいけないし、馴れ馴れしく振る舞うのもどうかと思うのだ。；中傷の材料になるような馴れ馴れしい素振りをも、知らず知らずやっていた。；滅多に聞かれぬ準竜師の馴れ馴れしい呼びかけにウィチタは肩を緊張させた。；彼らは林水を取り囲み、必要以上に馴れ馴れしい態度で話しかけてきた。；むかしパリで遊んだこともあるが、馴れ馴れしくするのはやめてもらいましょう。；ところが美保子さんの場合は、最初から馴れ馴れしい呼びかけになっている。；躯の関係に入ると、賢明な女は、人眼につかぬ社長室で馴れ馴れしさを出した。；いったい、この男とこんなに馴れ馴れしく口を利くのはその時がはじめてだった。；二三分だまっていたが、やがてひどく馴れ馴れしく世間話をして帰って行った。；彼の明るい馴れ馴れしさの度が、すこし進んだようだった。；なんだか、馴れ馴れしい口の利き方をしてたぢやありませんか。；「どうも」運転席のドアを叩いて、警備員が馴れ馴れしい口調で言った。；ロケを見物に来ていた地元の人々の中には、馴れ馴れしく声をかける者も少なくない。；一面会にして私金を共有するようないやに馴れ馴れしい関係になっていたとしか解することができない。；呼ばれたのは何のためかと思って、いやに馴れ馴れしい九郎兵衛の笑顔を盗み見た。；私とナオミとは、あれから直きに馴れ馴れしく口を利くようにはなりました。；その妙に馴れ馴れしい調子が一寸気にはなったが、私は約束してその晩悪尉氏と会うことにした。；てるのことを馴れ馴れしく「なおこくめんごなられて」などといったから。；男子社員のなかで村越だけが馴れ馴れしく「陽子さん」と呼んでいる。；制度を身に纏った召使いポリカルプは男爵を尊大な馴れ馴れしさで扱う。</t>
        </is>
      </c>
      <c r="J6374">
        <f>HYPERLINK("https://www.weblio.jp/content/馴れ馴れしい", "词义详情")</f>
        <v/>
      </c>
      <c r="K6374">
        <f>HYPERLINK("https://yourei.jp/馴れ馴れしい", "查看例句")</f>
        <v/>
      </c>
    </row>
    <row r="6375">
      <c r="A6375" t="inlineStr">
        <is>
          <t>慣れる</t>
        </is>
      </c>
      <c r="B6375" t="inlineStr">
        <is>
          <t>成功</t>
        </is>
      </c>
      <c r="C6375" t="inlineStr">
        <is>
          <t>読み方：なれる
［動ラ下一］［文］な・る［ラ下二］
１その状態に長く置かれたり、たびたびそれを経験したりして、違和感がなくなる。通常のこととして受け入れられるようになる。「その土地の気候に—・れる」「移動する車中での睡眠に—・れる」「彼女の気まぐれにはもう—・れた」「住み—・れる」
２経験を重ねて、そのことがうまくできるようになる。習熟する。「患者の扱いに—・れる」「—・れた手つき」「旅—・れる」
３道具などが、からだになじむ。「—・れた靴で出かける」「—・れた万年筆で書く」
４（馴れる）
㋐その人に対して、違和感がなくなる。その人に親しみの気持ちをもつようになる。「子供が家庭教師に—・れる」「新しい上司に—・れる」
㋑動物が、人間に対して、警戒心などを抱かなくなる。「人に—・れない馬」</t>
        </is>
      </c>
      <c r="D6375" t="inlineStr">
        <is>
          <t>慣れるだろ；慣れるべき</t>
        </is>
      </c>
      <c r="E6375" t="inlineStr">
        <is>
          <t>把握する；慣熟；馴れっこ；こなれる；耐性を得る</t>
        </is>
      </c>
      <c r="F6375" t="inlineStr">
        <is>
          <t>すぐ慣れる；そのうち慣れる；少し慣れる；なかなか慣れる；未だに慣れる</t>
        </is>
      </c>
      <c r="H6375" t="n">
        <v>29</v>
      </c>
      <c r="I6375" t="inlineStr">
        <is>
          <t>長くそこに住んでいれば、人はそういう匂いにも慣れるのかもしれない。；引越してきたばかりで一家が新しい居住環境に慣れるのに苦労したこと。；世界のアナウンサーが、慣れない日本語で何と言っているのかを当てる。；そのため、楽譜を読み慣れない人でも などを容易に行うことが出来る。；しかし何度経験したところで、容易に慣れることはできそうになかった。；それまで歌やダンスの経験はなかったため当初は慣れるのに苦労した。；沢村君には悪いけれども、あのくらいの球には慣れてたんだよ、ぼくは。；目が慣れると暗い物まで見えるようになるため正確な測定ができない。；これは何度見ても、何年たっても、なかなか慣れることができなかった。；彼は嘲笑されることに慣れておらず、慣れることを望んでもいなかった。；しばらくしてスピードと音に体が慣れると、鬼ケンの声が聞こえてきた。；これには独特のにおいがあり、慣れていない場合は飲みづらいとされる。；特に月経の処置に慣れていない初経を迎えた直後の女子に多く見られる。；鈴鹿と似ているなら、慣れるのにずいぶん時間がかかるだろうと思った。；亘の周りでは不幸な事故が多く、周囲の人間もそれに慣れきっていた。；だから、もちろん、いつになってもこの土地に慣れることはあるまいよ。；それに慣れるにはしばらく時間がかかるだろうが、たのしみではあった。；すこし慣れるまで、他の方を向いていようなどと言って、お種も笑った。；当初は慣れない環境ゆえに順応出来ずにいたが徐々に適応していった。；コースに慣れるために、試合の一週間ほど前からそこに滞在していた。；またシステムに慣れさせるため教育目的のコンピュータまで導入した。；居住性やキャンプに慣れていない人でも設営できることが重視される。；アヒルのひなが水に慣れるように、私はワインに慣れていったのである。；パリミュチュエル方式に慣れた日本人にはデシマル表示を選ぶ人が多い。；人間は慣れる動物だから、そのうちに何も感じなくなるかも知れない。；これらヨーロッパ人集団の大半は海上生活に慣れた海岸地域から来ていた。；キャプチャーした敵を回転させるのに慣れていない初心者向けの設定。；穂の形はオヒシバに非常によく似ており、慣れないと見誤ることがある。；初めのうちは不気味であったが、それも慣れると、気にならなくなった。</t>
        </is>
      </c>
      <c r="J6375">
        <f>HYPERLINK("https://www.weblio.jp/content/慣れる", "词义详情")</f>
        <v/>
      </c>
      <c r="K6375">
        <f>HYPERLINK("https://yourei.jp/慣れる", "查看例句")</f>
        <v/>
      </c>
    </row>
    <row r="6376">
      <c r="A6376" t="inlineStr">
        <is>
          <t>馴れる</t>
        </is>
      </c>
      <c r="B6376" t="inlineStr">
        <is>
          <t>成功</t>
        </is>
      </c>
      <c r="C6376" t="inlineStr">
        <is>
          <t>読み方：なれる
［動ラ下一］［文］な・る［ラ下二］
１その状態に長く置かれたり、たびたびそれを経験したりして、違和感がなくなる。通常のこととして受け入れられるようになる。「その土地の気候に—・れる」「移動する車中での睡眠に—・れる」「彼女の気まぐれにはもう—・れた」「住み—・れる」
２経験を重ねて、そのことがうまくできるようになる。習熟する。「患者の扱いに—・れる」「—・れた手つき」「旅—・れる」
３道具などが、からだになじむ。「—・れた靴で出かける」「—・れた万年筆で書く」
４（馴れる）
㋐その人に対して、違和感がなくなる。その人に親しみの気持ちをもつようになる。「子供が家庭教師に—・れる」「新しい上司に—・れる」
㋑動物が、人間に対して、警戒心などを抱かなくなる。「人に—・れない馬」</t>
        </is>
      </c>
      <c r="D6376" t="inlineStr">
        <is>
          <t>馴れるということ(3%)</t>
        </is>
      </c>
      <c r="H6376" t="n">
        <v>29</v>
      </c>
      <c r="I6376" t="inlineStr">
        <is>
          <t>その中に私は彼にも馴れて来たし彼の素性もほぼ理解することが出来た。；しかし重吉は既に馴れて初めほどにはやきもきしないようになっていた。；おかしなことに、トイレを使わせてもらった後はその友達に急に馴れる。；又答えようとしても、こう言う時に使う語には、馴れて居ぬ人であった。；彼は三四年も此の佐世保の土地へ居馴れてゐるので何かとくはしかつた。；もう私は彼等の言葉を聞いたり、話したりすることに馴れていました。；私は幽霊にも馴れてしまったので、もう三四回目から平気になりました。；さうしたことに馴れるに従つて生活は荒廃してゆくのは私にもよく分る。；馴れたのと、また一つはそんなことばかりやっておられないのである。；家へ帰ってきょうの話をすると、あきないに馴れた叔父の大六は言った。；泉がいれば暮らしには便利だし、それに馴れると別れる気にはなれない。；彼はその文章に少し馴れるために、三日もかかってざっと通読してみた。；だが、おそらく、われわれのほうから馴れる必要があるのかも知れない。；それが聞いてみたいだけまだ馴れずおじおじとしたところがあるのですね。；兵舎の内部は、目が馴れるまでは物の形もとらえることができなかった。；そのまぶしい光に眼も馴れると、私はひどく力強くなった気がしました。；船に弱い私も幾分馴れてきたので、そろそろ食堂に出てみようかと思った。；そのうちに、私は次第にそれに馴れてきて、いろんな理由を推測し初めた。；旅行馴れない旅人に見る一々の山の名前が気になるやうなものだつた。；馬琴はいつまでもこういうもめごとの状態に馴れることができなかった。；綱持ちの要求に応じて敏活に船をさばく両者の馴れが必要なのである。；あたし、弱いから、周囲の空気に、すぐ影響されて、馴れてしまうのね。；それでも物に馴れているので、かれは倒れながら相手の足を取った。；海に馴れない人が見ると、よくそれを不思議がるものでございます。；彼等は人間を食い馴れているのだからわたしを食わないとも限らない。；こういう事に馴れ切っているらしい監督はきわめて愛想よく事件を処理した。；夜道に馴れない私はただ霊媒の後姿を唯一の頼りにしているだけである。；それでずるずるにやっぱり居馴れた喜久井町の家に腐れ着いていたのだ。；それから徑は又少し上つて今迄通り馴れたOへの道に出ることが出來た。</t>
        </is>
      </c>
      <c r="J6376">
        <f>HYPERLINK("https://www.weblio.jp/content/馴れる", "词义详情")</f>
        <v/>
      </c>
      <c r="K6376">
        <f>HYPERLINK("https://yourei.jp/馴れる", "查看例句")</f>
        <v/>
      </c>
    </row>
    <row r="6377">
      <c r="A6377" t="inlineStr">
        <is>
          <t>縄</t>
        </is>
      </c>
      <c r="B6377" t="inlineStr">
        <is>
          <t>成功</t>
        </is>
      </c>
      <c r="C6377" t="inlineStr">
        <is>
          <t>読み方：じょう
［音］ジョウ（呉）　［訓］なわ
［学習漢字］4年
〈ジョウ〉
１なわ。「縄文／結縄・捕縄」
２大工道具の一。すみなわ。また、正しさの規準。「縄尺／準縄」
〈なわ〉「腰縄・泥縄」
［名のり］ただ・つぐ・つな・なお・のり・まさ</t>
        </is>
      </c>
      <c r="D6377" t="inlineStr">
        <is>
          <t>縄尻；縄を解か；縄掛突起；縄状；縄坊</t>
        </is>
      </c>
      <c r="E6377" t="inlineStr">
        <is>
          <t>ロープ；索；ザイル；索条；荷縄</t>
        </is>
      </c>
      <c r="F6377" t="inlineStr">
        <is>
          <t>首に縄；信縄；藁縄；太い縄；輪縄</t>
        </is>
      </c>
      <c r="G6377" t="inlineStr">
        <is>
          <t>縄張り；縄文；縄文人；縄文土器；縄梯子</t>
        </is>
      </c>
      <c r="H6377" t="n">
        <v>29</v>
      </c>
      <c r="I6377" t="inlineStr">
        <is>
          <t>現代のような登攀器具がない時代だったため、投げ縄を用いて挑戦した。；本体の木の板には長い縄をつけて、家や樹木の陰などまで引いてくる。；副収入として絞首刑に使用した縄を売っていたが、後に禁止されている。；投げ縄で獣を捕らえるようにして虫を捕らえることが名の由来である。；インカ帝国ではキープと呼ばれる縄の道具を記録や行政管理に用いていた。；またこの当時の仮設橋は艀を縄で繋いで板を渡しかけたものであった。；単に木と木を縄で結んだものが鳥居の起こりであると考えられる。；アメリカのインカ帝国では、キープと呼ばれる縄で財政が行われていた。；また観賞用に栽培されることや、縄などの材料とされることもある。；そのままでは持ちにくいので柄の部分に縄を巻きつけて使用した。；数日前一人の学生と一本の縄で縛られ法廷に出頭したことがあった。；特に武術の腕と投げ縄の腕は並ぶものなどいないほどとされる。；人間の男を縄で絞め殺したりする一方で、番ったりすることもある。；船は両岸より縄等を張り、それを手繰りしていた繰船を運行していた。；しかし縄が切れてしまったため、河に落ちて溺れ死んだと見られる。；その時、口を縄で覆われて喋れないようにしてから斬られたという。；現在も祈願する時は縄を縛り、成就した時は縄を解くことになっている。；縄につかまり穴から脱出すると、妻をはじめ悲嘆にくれた家族の顔があった。；戦後になって、山内は戦前から温めていた縄文原体の研究をまとめ始めた。；だからお前に縄をかけて、どうしようと云うような事はない。；日が高くなつてから、盗人たちは二人の俘の縄を解いて岩の陰に坐らせた。；文字は持たないため、書物記録は木に縄をかけて行っていた。；沈光は口に縄をくわえると、竿を取って上っていき、龍頭まで到着した。；場所は廃止直前は現在の橋のやや上流寄りに位置し、縄等を用いた繰船を運行していた。；季縄の家に到着すると、門の前がひどく騒がしく門は閉ざされている。；その縄を辿っていくと、大きな石に巻きつけられていた縄は急に重くなった。；また甘縄明神門前を東に過ぎたあたりで、無名の川を水抜で通している。；籠状の道具の中から縄が飛び出し、標的物をぐるぐる巻きにして捕らえる。；縄手とは、城下町で縄のようにひとすじに伸びた道路のことを指した。</t>
        </is>
      </c>
      <c r="J6377">
        <f>HYPERLINK("https://www.weblio.jp/content/縄", "词义详情")</f>
        <v/>
      </c>
      <c r="K6377">
        <f>HYPERLINK("https://yourei.jp/縄", "查看例句")</f>
        <v/>
      </c>
    </row>
    <row r="6378">
      <c r="A6378" t="inlineStr">
        <is>
          <t>何</t>
        </is>
      </c>
      <c r="B6378" t="inlineStr">
        <is>
          <t>成功</t>
        </is>
      </c>
      <c r="C6378" t="inlineStr">
        <is>
          <t>読み方：いず
［代］不定称の指示代名詞。どこ。上代東国方言という。
「多由比潟(たゆひがた)潮満ち渡る—ゆかもかなしき背ろが我がり通はむ」〈万・三五四九〉
[補説]接尾語などを伴って、「いずく」「いずち」「いずれ」などの不定称代名詞をつくる。</t>
        </is>
      </c>
      <c r="D6378" t="inlineStr">
        <is>
          <t>何人(4%)；何度(3%)；何年；何より；何十</t>
        </is>
      </c>
      <c r="F6378" t="inlineStr">
        <is>
          <t>何回；何處；何万；何世紀；何倍</t>
        </is>
      </c>
      <c r="G6378" t="inlineStr">
        <is>
          <t>何とか；何らかの；何処；何事；何故</t>
        </is>
      </c>
      <c r="H6378" t="n">
        <v>29</v>
      </c>
      <c r="I6378" t="inlineStr">
        <is>
          <t>緊張の高い時のほか、何かに夢中になっているときにも笑いは生じない。；したがって独立して何度かの地衣類化が起こったのだと考えられている。；これらの名前が何の意味かは色々な解釈があるが明確には分からない。；しかし、これらの原因が何であるのか、約100年近く謎とされていた。；自分が何かを完成させることができたのはこれが初めてではないかと思います。；何百万人もの農民が工業化された都市に移動し、国は急速に発展した。；抽象的なイメージよりも具体的な何かがあった方が理解しやすいためである。；ただし、彼らがこれを使って何か意味のある観察をしたという記録はない。；このことは壁そのものに対して西側からは何も出来ないことを意味していた。；時代が何周もしてようやくラジオに追いついたというか、戻ったというか。；XMLを使用すべきかとの議論が何年も続けられているが、進展は遅い。；ビールのデンプン源に何を使用するかで、その濃さや風味が左右される。；統一の動きが何度かあったが、いまのところ実現に至っていない。；この演説に感動した一高生の何人かは荷物をまとめて一高を去ったという。；もちろん死刑の廃止と復活は、世界中で史上何度も行われてきている。；したがって月が出てさえいれば、その日が何日であるか暦がなくてもわかる。；技術的な面では何も問題は無く、単純な採算性の問題となっている。；昭和天皇は「佐藤は何を考えているんだろうね」と困惑していたという。；モジュタヘドになるためには、通常何十年もの年月を要したからである。；タングラムを遊んでいたとされる19世紀の欧米の著名人は何人かいる。；微分係数 とは何であるか直観的に説明するには、いくつかの方法がある。；ばねの設計上でまず重要となるのは、何の用途に使うかを明確にする点である。；類が極度に広いと、存在・もの・何かなどの語を使わざるを得ないことになる。；敵から逃げることに成功した場合も戦闘終了となるが、この場合は何も得られない。；最初の新聞は1873年に発行され、今日では何百もの印刷所がある。；その後も秋葉原などでユーザー主催のイベントが何回か開かれた。；ところが、哲学の場合は名前を聞いただけでは何を研究する学問なのか分からない。；しかし、駅開設直後は駅周辺には何もない更地ばかりの状況だった。；それを見つけたフィガロは何をしているのかと上機嫌で声をかける。</t>
        </is>
      </c>
      <c r="J6378">
        <f>HYPERLINK("https://www.weblio.jp/content/何", "词义详情")</f>
        <v/>
      </c>
      <c r="K6378">
        <f>HYPERLINK("https://yourei.jp/何", "查看例句")</f>
        <v/>
      </c>
    </row>
    <row r="6379">
      <c r="A6379" t="inlineStr">
        <is>
          <t>なんか</t>
        </is>
      </c>
      <c r="B6379" t="inlineStr">
        <is>
          <t>成功</t>
        </is>
      </c>
      <c r="C6379" t="inlineStr">
        <is>
          <t>［副助］《代名詞「なに」に副助詞「か」の付いた「なにか」の音変化から》名詞、名詞に準じる語、活用語の連用形、一部の助詞などに付く。
１一例を挙げて示す。…など。「この着物—お似合いです」「映画—よく行く」
２ある事物を例示し、それを軽んじていう意を表す。…など。「彼の言うこと—聞くな」「君に—わからない」</t>
        </is>
      </c>
      <c r="D6379" t="inlineStr">
        <is>
          <t>なんかじゃない；なんかより；なんかいらない；なんかありゃ；なんか全然</t>
        </is>
      </c>
      <c r="E6379" t="inlineStr">
        <is>
          <t>レベルアップ；複雑化；難易度上昇</t>
        </is>
      </c>
      <c r="F6379" t="inlineStr">
        <is>
          <t>なんかどう；僕なんか；話なんか；俺なんか；あんたなんか</t>
        </is>
      </c>
      <c r="G6379" t="inlineStr">
        <is>
          <t>なんかいnews</t>
        </is>
      </c>
      <c r="H6379" t="n">
        <v>29</v>
      </c>
      <c r="I6379" t="inlineStr">
        <is>
          <t>おめえの腹なんかいくら減つたつてそんな事をお取り上げになるもんか。；あまり恐ろしい夢のことなんか、ベッドの上で考え続けていないように。；九時といふと、僕なんかまだ床の中で新聞を讀んでゐる時間だからねえ。；それと同じ物置きべやにあった古服なんかを持ってあのへやにはいった。；おれもう神さんのことなんか忘れて、すぐ電話で社長に連絡とったんや。；ところがここには空気があるばかりで、海水なんかどこにも見えないよ。；つまり日本の昔の絵草紙なんかに出ていた人間と同じような姿なんだ。；秘密の通路なんかどこにもないことが、いっそう確かになったばかりです。；しかし、市場の人々はお前なんかにクレレットはやれないと反発される。；もう一人の男の所へ行くのを急いで、己のいうことなんか聞きもしなかった。；では、食事なんかはどうしているかというと、すべて外食らしいのです。；平気で、おれのことなんか気に留めずに、好きな本でも読んでゐるのだ。；なかには、わしのことなんかなかったことにする薄情な奴もおるからなあ。；自分なんかはまるで苦労の固まりでもってできたような人間である。；こんな相手のご機嫌取りをしてるのなんか真の友人関係って言えない!；どんなことがあっても恐ろしい目になんか、あわせないようにする。；共産主義を信奉していて、あがないの日なんか気にしていないのである。；とも子 まあいやだ、誰がひとの食べかいたものなんか食べるもんですか。；子どもたちのいうことなんか、あてにならないと思っているのですよ。；君は、歯型なんかよりは、ずっと有力な、この事実を認めないのですか。；「僕です」私はもう叱られることなんか何でもないと思って返事しました。；ぼくは渋谷駅で、映画のロケーションなんか見たことは、一度もないぞ。；僕は薬を飲むのが大嫌ひですから、滅多に病気なんかする気になりません。；ぼくなんか彼らと付き合わなきゃ仕事が成立しない部分もあるからな。；アメリカの雑誌なんか読んでると、友達と話できないんですよね。；その中にオーバーなんかがはいっているとは考えられないのです。；また、常々「俺は道長なんかと酒は飲みたくない」と語っていたという。；一応ベースいないからさ、ベースなんか弾いたことなかったんだけど。；市民栄誉賞が決まって彼にメールしたら、ぼくなんかでほんとにいいの?</t>
        </is>
      </c>
      <c r="J6379">
        <f>HYPERLINK("https://www.weblio.jp/content/なんか", "词义详情")</f>
        <v/>
      </c>
      <c r="K6379">
        <f>HYPERLINK("https://yourei.jp/なんか", "查看例句")</f>
        <v/>
      </c>
    </row>
    <row r="6380">
      <c r="A6380" t="inlineStr">
        <is>
          <t>南極</t>
        </is>
      </c>
      <c r="B6380" t="inlineStr">
        <is>
          <t>成功</t>
        </is>
      </c>
      <c r="C6380" t="inlineStr">
        <is>
          <t>読み方：なんきょく
１地軸が南半球で地表と交わる点。南極点。
２地軸の延長線が南側で天球と交わる点。天の南極。
３地磁気の南の極。磁南極。南磁極。
南極大陸および南極圏の略称。</t>
        </is>
      </c>
      <c r="D6380" t="inlineStr">
        <is>
          <t>南極探検(6%)；南極観測(3%)；南極地域(2%)；南極遠征；南極氷床</t>
        </is>
      </c>
      <c r="F6380" t="inlineStr">
        <is>
          <t>南極観光；国営南極；南極大陸横断；イギリス南極；南極以外</t>
        </is>
      </c>
      <c r="G6380" t="inlineStr">
        <is>
          <t>南極海；南極点；南極半島；南極条約；南極圏</t>
        </is>
      </c>
      <c r="H6380" t="n">
        <v>29</v>
      </c>
      <c r="I6380" t="inlineStr">
        <is>
          <t>下甲板乗り組みとなった者達の中には南極のベテランになった者もいた。；基地の名は、南極探検に従事して死亡した海軍士官の名に由来するもの。；南極を訪れるには南極条約で定められている許可をとらなければならない。；当時の関心は間近に迫っていたスコットの国営南極遠征に集まっていた。；加えて南極観測への関心も薄れ、南極海はかつてほど注目されていない。；しかしこの時の観測では、内部海は南極領域に局在していると考えられた。；この時期、大陸は南極域にあり、短い期間であるが大陸氷河が発達した。；ハンソンは妻がおり、また南極に向かった後に生まれた娘が残された。；北極でもオゾンホールの存在は確認されているが、南極ほど大きくない。；南極研究計画にはいくつかの連邦政府の大学や機関が参加している。；国家によって領有権が主張されている南極の領域の中では最大である。；深海底や南極の氷の中からも見つかっており、研究が続けられている。；ケープアデアを本拠にして大規模に南極遠征を誘導する計画を説明した。；南極語で冗談を言ったり議論をしたり歌を歌ったりしている。；亜南極とは、地球の南半球の地域のひとつで、南極地域のすぐ北にある。；また、オーストラリアを飛び立って南極に着陸せず帰る観光飛行もある。；一方で、南極の存在を認識していることを確認することもできる。；このように南極の領有権を巡って20世紀前半には各国の主張が衝突した。；南極の近くでは謎めいた暗い地形が確認され、オンタリオ湖と命名された。；ヒナが充分に成長する頃にはクレイシも海岸に到達し、南極も夏を迎える。；何よりも、スコットとアムンセンは南極探検の動機が全く異なっていた。；これがドイツが南極研究に関わるようになった動機である。；しかし「私」の語る言葉は南極に住む人たちにはひとことも理解できない。；南極とオーストラリアの海岸の近くだけが唯一沈み込み帯ではないところである。；その第一の目的は、「南極地域は、平和的利用のみに利用する」にある。；クレメンタイン計画のデータは南極付近に水や氷が存在することを示唆している。；南極を除く全ての大陸に分布し、およそ476属13860種を擁する。；オーロラは北極と南極で同時に同じような形態で発生することが知られている。；南極地域のその他の変化は、低い雲の層の変化によって説明できる。</t>
        </is>
      </c>
      <c r="J6380">
        <f>HYPERLINK("https://www.weblio.jp/content/南極", "词义详情")</f>
        <v/>
      </c>
      <c r="K6380">
        <f>HYPERLINK("https://yourei.jp/南極", "查看例句")</f>
        <v/>
      </c>
    </row>
    <row r="6381">
      <c r="A6381" t="inlineStr">
        <is>
          <t>難航</t>
        </is>
      </c>
      <c r="B6381" t="inlineStr">
        <is>
          <t>成功</t>
        </is>
      </c>
      <c r="C6381" t="inlineStr">
        <is>
          <t>読み方：なんこう
［名］(スル)
１暴風雨などのために、航行が困難になること。「時化(しけ)で船が—する」
２障害が多く、物事がはかどらないこと。「労使の話し合いが—する」</t>
        </is>
      </c>
      <c r="D6381" t="inlineStr">
        <is>
          <t>難航する中；難航するなか</t>
        </is>
      </c>
      <c r="F6381" t="inlineStr">
        <is>
          <t>かなり難航；交渉難航；得られず難航；ひどく難航</t>
        </is>
      </c>
      <c r="H6381" t="n">
        <v>29</v>
      </c>
      <c r="I6381" t="inlineStr">
        <is>
          <t>それまで防衛戦の相手探しが難航したため1年近くのブランクが開いた。；しかしながら土地買収が難航し、開通は1895年になってからである。；当初は2015年公開予定であったが、様々な難航を経て公開に至った。；ヨーロッパ各地での活動に駆け回ったが、新録音の契約は難航を極めた。；翌年には難航していた作曲権の問題も片付き、本格的に制作に着手した。；しかし、そうした捜査陣の努力とは裏腹に捜査は予想以上に難航した。；しかしこの計画は地元の有力者黒沢睦之助の協力が得られず難航した。；地中設置式に改造するために工事は難航し、1945年8月に完成した。；だがトゥーロンはイギリス軍の支援を受けていたため攻略に難航する。；これは弟との交渉が難航していたからであると考えられる。；後に明らかにされた情報によると、アメリカでのレコード契約が難航した事が原因。；映画版の企画が難航したため、DC社はテレビシリーズ化に目を転じた。；関連技術の標準化の難航も普及の妨げになっているといわれている。；しかし、プロデューサーのジャニー喜多川が納得せず、制作は難航した。；地理的に隔絶された地域への食料の輸送作業は悪天候のため、難航した。；メディアでは、あまりにも多い計画地の地権者達との調整の難航が指摘された。；調整は難航したものの'、ひと月ほど後に椎名からのゴーサインが出た。；この選定はかなり難航したため、建造は一時中断されることになった。；しかし、この構想は途中の事業者との調整が難航し、実現しなかった。；それでもなお生産は難航し、日30個の生産がやっとだったと伝えられている。；しかし、関連会社と山一との関係が不明確であるため作業は難航した。；大規模な移動を行う事から生息数の調査は難航している。；LE-7の開発が難航したため予定より2年遅れての打ち上げであった。；しかし晩年は場所探しの難航から、これらの原則は守ることが徐々に困難となっていた。；当初は2008年の運用が予定されていたが、開発の難航から計画は再検討された。；同様の交渉難航によるルート変更の事例は愛知県でもあったという。；南軽井沢は平坦な土地であったが湿地の改良整備が難航し、開発は遅れた。；それが、同地区の用地買収が難航したことから、是川地区に変更となった。；しかしベネトン側が資金の持ち込みを要求したことから交渉が難航。</t>
        </is>
      </c>
      <c r="J6381">
        <f>HYPERLINK("https://www.weblio.jp/content/難航", "词义详情")</f>
        <v/>
      </c>
      <c r="K6381">
        <f>HYPERLINK("https://yourei.jp/難航", "查看例句")</f>
        <v/>
      </c>
    </row>
    <row r="6382">
      <c r="A6382" t="inlineStr">
        <is>
          <t>軟弱</t>
        </is>
      </c>
      <c r="B6382" t="inlineStr">
        <is>
          <t>成功</t>
        </is>
      </c>
      <c r="C6382" t="inlineStr">
        <is>
          <t>読み方：なんじゃく
［名・形動］
１質がやわらかく弱いこと。また、そのさま。「—な地盤」
２意志・態度などがしっかりしていないこと。相手の言いなりになりやすいこと。また、そのさま。「—な態度」</t>
        </is>
      </c>
      <c r="D6382" t="inlineStr">
        <is>
          <t>軟弱な地盤(9%)；軟弱者(4%)；軟弱化；軟弱地；軟弱な粘土</t>
        </is>
      </c>
      <c r="E6382" t="inlineStr">
        <is>
          <t>弱い；ソフト；柔らかい；滑らか；柔らか</t>
        </is>
      </c>
      <c r="G6382" t="inlineStr">
        <is>
          <t>軟弱外交；軟弱野菜；軟弱層</t>
        </is>
      </c>
      <c r="H6382" t="n">
        <v>29</v>
      </c>
      <c r="I6382" t="inlineStr">
        <is>
          <t>君だけはそう云う軟弱な知識階級の若様連中と同列に置きたくないんだ。；女や子供ならともかく、今の世にあっても男の涙は人に軟弱な印象を与える。；なぜ柔和や軟弱を備えているキリスト教でなければならなかったのだろうか?；そのためには、今の軟弱な政財界人を、一掃しなければならないんだよ。；里香に出会ってからというもの、僕はどんどん軟弱になってる気がする。；心あるものたちは、おそらく俺を改革派に屈服した軟弱者と罵るだろう。；これは軟弱な地面で各坐しそこを狙い撃ちにされる危険性を孕んでいた。；自分が死ぬことで、幣原外交の軟弱さを変えようとしたと後に語っている。；まことに軟弱なところのない勇ましい恰好で、きかぬ気の顔をしている。；われわれの立っている地点の土壌が意外に軟弱であるのに気がついているからだ。；ここでも用は二の次になって、とかく軟弱な病的なものに流れがちです。；車両の平均接地圧が低いため軟弱地や傾斜地でも荷役作業が可能である。；それに、あんな軟弱そうな騎士には負けたくないという気持ちもある。；涼子はそんな軟弱な行為はしなかったが、わずかに息を吐き出したようだ。；なぜ自分を捨て、あんな軟弱な男の下へ行ったのか、まるで理解できなかった。；軟弱を嫌い、無能を軽蔑し、まるで自分を特別の人間のように思っていた。；ことさらに目立った格好をするのは軟弱だと、本人が信じているせいである。；そうして、いつの時代もこのテの音楽は軟弱な音楽と決めつけられる。；男性はそれを軟弱で女々しいとみなし、女性はそれに乳母車を連想した。；軟弱な者なら、彼らの眼光を受けただけで気死したかもしれぬ。；そんな軟弱者のくせに、物語の中では登場人物たちに過酷なことをさせてしまってます。；この辺りは路盤も軟弱である上に冬場は霧が発生するというネックがある。；このため特に基礎地盤が軟弱であるため膨大な掘削量が予測された。；この軟弱な時代がああいうソフトタッチを受け入れたわけです。；そうして軟弱なプレイヤーはそのゲームの真の攻略を目指すこともなく作品に飽きてしまうのだ!；降雨が続くと地盤のうち土の部分は次第に水を含み、軟弱化する傾向がある。；光と突起物と軟弱な壁と床の世界を三〇分もさ迷った頃、宮本がダウンした。；鍋島の藍絵等は軟弱であって支那の染附に向っては太刀打ちができない。；引いてはフランスの伝統の精神の世界における訓練は、そのように軟弱なものであったのか。</t>
        </is>
      </c>
      <c r="J6382">
        <f>HYPERLINK("https://www.weblio.jp/content/軟弱", "词义详情")</f>
        <v/>
      </c>
      <c r="K6382">
        <f>HYPERLINK("https://yourei.jp/軟弱", "查看例句")</f>
        <v/>
      </c>
    </row>
    <row r="6383">
      <c r="A6383" t="inlineStr">
        <is>
          <t>難色</t>
        </is>
      </c>
      <c r="B6383" t="inlineStr">
        <is>
          <t>成功</t>
        </is>
      </c>
      <c r="C6383" t="inlineStr">
        <is>
          <t>読み方：なんしょく
不承知らしいようす。また、非難するような顔つき。「—を示す」</t>
        </is>
      </c>
      <c r="D6383" t="inlineStr">
        <is>
          <t>難色を示す意見</t>
        </is>
      </c>
      <c r="E6383" t="inlineStr">
        <is>
          <t>不満；非難；不服；異存；不許可</t>
        </is>
      </c>
      <c r="F6383" t="inlineStr">
        <is>
          <t>強い難色</t>
        </is>
      </c>
      <c r="H6383" t="n">
        <v>29</v>
      </c>
      <c r="I6383" t="inlineStr">
        <is>
          <t>一方で自衛隊は脚本に難色を示し、上記以外の協力・支援はしていない。；評価の理由にキャラクターを挙げているが、結末には難色を示している。；流動する情勢下にあって小藩は兵を出すことに難色を示しはじめていた。；近所の苦情が出たとなれば、不動産屋が難色を示す可能性は大いにある。；しかしドルパダはドラウパディーが複数の夫を持つことに難色を示した。；相手は、仲裁に形ばかりの難色を示したが、最後には態度をやわらげた。；しかし現状では行政の予算が厳しいことから市は難色を示している。；進の行動に難色を示している一方で九条鎌治の事はその才能を認めている。；実際、エスカレートしすぎていたベッドや装置に難色を示す意見もあった。；両者がイエホック移籍に難色を示していたのが理由といわれている。；島宇宙説のほうも、聴く人が興味を示さないのではないかと難色を示した。；彼は難色を示し、経済的なことを考えるとそれは無駄だ、と言った。；なぜか、彼女の持ち出した条件に難色を示したのはレインだけだった。；女王はリポン卿を重要ポストに就ける人事案にはしばしば難色を示した。；ちょっと前までコンピュータ研への一時レンタルにも難色を示していたのに。；リィの話だと誰かが難色を示しているらしいが、どういうことかな?；ところが脚本が原作から大きく離れたものだったため、スタジオが難色を示していた。；フランスは当初難色を示したが、アメリカが直接援助を行わないと言うことで承認した。；それは別として、なぜ井深が、盛田のアメリカ移住に難色を示したのか。；しかし、ドイツとイタリアは、この声明に難色を示しているとされる。；整備の際には公園が溜まり場化する懸念から、隣接地の住民が難色を示した。；当初は旭化成が番組構成に難色を示したが、最終的に王の熱意に押された。；有力者夫人たちは協力的だったが、軍や行政機関は難色を示すところが多かった。；当時の台北県県長だった蘇貞昌は長生線案を放棄することに難色を示した。；貴族層はこの法令に難色を示したが、結局のところこれを認めた。；それとなく母ににおわせてみると、強くではないが、難色をしめされた。；涼介達は広い展示場所を求めて旧館の使用を申請するも難色を示される。；また、IAUはこのような商用命名サービスについて難色を示している。；一緒に行きたいと彼女がいった時には難色を示した彼だったが、今日はなぜか優しかった。</t>
        </is>
      </c>
      <c r="J6383">
        <f>HYPERLINK("https://www.weblio.jp/content/難色", "词义详情")</f>
        <v/>
      </c>
      <c r="K6383">
        <f>HYPERLINK("https://yourei.jp/難色", "查看例句")</f>
        <v/>
      </c>
    </row>
    <row r="6384">
      <c r="A6384" t="inlineStr">
        <is>
          <t>何だか</t>
        </is>
      </c>
      <c r="B6384" t="inlineStr">
        <is>
          <t>成功</t>
        </is>
      </c>
      <c r="C6384" t="inlineStr">
        <is>
          <t>読み方：なんだか
［副］物事がはっきりしないさま。原因・理由などがよくわからないさま。「—雲行きが怪しい」「—悲しい気分だ」</t>
        </is>
      </c>
      <c r="D6384" t="inlineStr">
        <is>
          <t>何だかわからない(2%)；何だかよく；何だか分ら；何だか分から；何だかひどく</t>
        </is>
      </c>
      <c r="E6384" t="inlineStr">
        <is>
          <t>何か；なんだか；何となく；どういうわけか；何かしら</t>
        </is>
      </c>
      <c r="F6384" t="inlineStr">
        <is>
          <t>何だかいや；何だかこう；何だか解ら；何だか薄気味；何だか良く分から</t>
        </is>
      </c>
      <c r="H6384" t="n">
        <v>29</v>
      </c>
      <c r="I6384" t="inlineStr">
        <is>
          <t>彼は気が遠くなって、何だか自分が死んででも行くような気がし出した。；私は何だか引きずられてしまいそうな気がする、ふとこんな事を思った。；何だかあの下には、生物が住んでいるような気がしてならないのです。；そうして私は、何だかわけのわからぬ力に引きつけられて行くのであった。；でも、何だか変だから、立っていって廊下の方をすかして見たんですの。；それに白鳥会だけだと、何だか白鳥会のためにやっているようで変だよ。；あたし、さっき、あなたが何だか、まるで別の人の様に見えましたのよ。；何だか見たことのある車台だと云ふ気がしたのも、無理ではなかつた。；僕は自分の腕をさすって見たが、何だか自分の物でないようであった。；要するに奴めも全然何が何だか今度ばかりは手の施し様がないのであろう。；出迎えた息子にそう言い、ふと見ると何だか難しそうな本を読んでいる。；二人の火星人は、何だかエレベーターのようなものに乗っていたのである。；父が赤ン坊を抱き上げてあやした時には何が何だか分らなかったそうだ。；それが平尾と全く同じ目的ではないにしても、何だかいやな気がする。；何だか自分の最後の姿を見せ附けられたようで彼は一目散に走って行った。；何だか見たことのある車台だと云う気がしたのも、無理ではなかった。；そうは思ったが、道夫は何だかその灯のことが気になって仕方がなかった。；私はよくも見つけ当てたというよりは、何だか当然のような気がした。；今でも寺子屋の芝居をみると、何だか昔がなつかしいように思われます。；その時は何だかわけの判らんキャスティングを五社君が組んできていてね。；あの女は、何だかモスコウにいるような気がするといっていましたよ。；何だか、ここは東京ではなくて、火星国の中のような気がするのであった。；何だかわたしはあなたのためなら、死んでも好いような気がしますよ。；まだはっきりはしないが、何だか森林が直線状に続いているように見える。；しばらくすると二人で何だか重そうな電気の機械みたいなものを抱えて下りて来たわ。；本体が何だかわからぬ神様であるが、そんなことはどうでもよかった。；妙なところだなと思っていると、何だか俺のからだの節々が痛み出して来た。；僕が入つて行つた時は何だか長い芝居物をやつてゐて、眞暗なんだよ。；ちょうどその時、樽の中にいる私に何だか明るい光がぱっと射して来た。</t>
        </is>
      </c>
      <c r="J6384">
        <f>HYPERLINK("https://www.weblio.jp/content/何だか", "词义详情")</f>
        <v/>
      </c>
      <c r="K6384">
        <f>HYPERLINK("https://yourei.jp/何だか", "查看例句")</f>
        <v/>
      </c>
    </row>
    <row r="6385">
      <c r="A6385" t="inlineStr">
        <is>
          <t>なんだかんだ</t>
        </is>
      </c>
      <c r="B6385" t="inlineStr">
        <is>
          <t>成功</t>
        </is>
      </c>
      <c r="C6385" t="inlineStr">
        <is>
          <t>読み方：なんだかんだ
ああだこうだ。あれやこれや。なんのかの。なんだかだ。「—と難癖をつける」</t>
        </is>
      </c>
      <c r="D6385" t="inlineStr">
        <is>
          <t>なんだかんだと理由；なんだかんだ理由をつけ；なんだかんだと言い；なんだかんだとうまく；なんだかんだ言う</t>
        </is>
      </c>
      <c r="E6385" t="inlineStr">
        <is>
          <t>あれこれ；色々と；ごたごた；すったもんだ</t>
        </is>
      </c>
      <c r="F6385" t="inlineStr">
        <is>
          <t>なんだかんだいい</t>
        </is>
      </c>
      <c r="H6385" t="n">
        <v>29</v>
      </c>
      <c r="I6385" t="inlineStr">
        <is>
          <t>なんだかんだで、帰るつもりになってから、かなりの時間が経っていた。；なんだかんだ言っても、縁あって同じ学校にいた子達だったんだから。；なんだかんだ言いながらも結局は飛込みが好きで、水から離れられない。；やっぱりなんだかんだいって女の子を書くのが好きなのでしょうか?；それに彼のことだから、なんだかんだで遅刻はしていないような気もする。；改めて、本を買い込み、なんだかんだで五十冊以上は読んだでしょうか。；なんだかんだ言いながらもかわいい格好が出来るので喜んでいるのだ。；でも、なんだかんだ言っても一人前のロンドンっ子になりつつあるのだ。；しかし、なんだかんだで一種の刺激を与えたことにはなるのだった。；なんだかんだ言っても、家族思いの男であることを、よく知っている。；なんだかんだ言いながらも、ちょっとばかり期待もしてはいたのだ。；なんだかんだいっても人は自分の利得を考えて日々を暮らしているものである。；けど、なんだかんだでこれからどうするのかとかの話は全然進まなかった。；そのかわりまだ佐山となんだかんだやってる間にさっさと他の男を作った。；しかし二人に恩義がある為になんだかんだ言いながらも修繕している。；イリスはなんだかんだ言って、ナギの命を救おうと方法を探してくれた。；なんだかんだいって、俺はこの奇妙な生物がそれほど嫌いじゃない。；あの女がおれのことをなんだかんだと言いふらしているに違いない。；オンナ好きのするこういうなんだかんだを売ってる店のうちでだぞ。；なんだかんだ言って最初っから助ける気まんまんだったんじゃないですか?；俺はなんだかんだ言いながら今までの暮らしがけっこう好きだたんだな。；でもなんだかんだ言って、あなたはいつも逃げてしまってたでしょ?；そしてすごい戦いが始まってなんだかんだあって文香はピンチになった。；ところが、なんだかんだと理由をつけて自分では行こうとしない。；もう関係ないのに、なんだかんだ理由をつけて手紙や電話が来た。；なんだかんだと能書をいったところで、目が出れば、すべて偶然である。；適当に驚き、適当に尊敬し、なんだかんだとあいづちをうてばいいのだ。；なんだかんだ言って、瓦礫の撤去も一番真剣にやっているように見えたし。；・・・なんだかんだと言っても、 僕達も・・・いやだったから・・・ね・・・。</t>
        </is>
      </c>
      <c r="J6385">
        <f>HYPERLINK("https://www.weblio.jp/content/なんだかんだ", "词义详情")</f>
        <v/>
      </c>
      <c r="K6385">
        <f>HYPERLINK("https://yourei.jp/なんだかんだ", "查看例句")</f>
        <v/>
      </c>
    </row>
    <row r="6386">
      <c r="A6386" t="inlineStr">
        <is>
          <t>なんで</t>
        </is>
      </c>
      <c r="B6386" t="inlineStr">
        <is>
          <t>成功</t>
        </is>
      </c>
      <c r="C6386" t="inlineStr">
        <is>
          <t>読み方：なんで
［副］
１どういうわけで。どうして。なぜ。「—けんかなんかしたのだ」
２反語表現に用いて、強く否定する意を表す。どうして。「—泣かずにいられようか」</t>
        </is>
      </c>
      <c r="D6386" t="inlineStr">
        <is>
          <t>なんでこんな(7%)；なんでそんな(6%)；なんでまた(2%)；なんであんな(2%)；なんであんた</t>
        </is>
      </c>
      <c r="F6386" t="inlineStr">
        <is>
          <t>なんでたまろ；なんでござり；なんでもうまく；なんで今ごろ；なんでわかん</t>
        </is>
      </c>
      <c r="G6386" t="inlineStr">
        <is>
          <t>なんでか；なんでも屋；なんでだろう；なんでも鑑定団；なんでん</t>
        </is>
      </c>
      <c r="H6386" t="n">
        <v>29</v>
      </c>
      <c r="I6386" t="inlineStr">
        <is>
          <t>いままでは、なんで先生がそれを自分に言つてゐたのかわからなかつた。；なんでいまになってそう気むずかしいことをいわなくちゃならないんだ?；なんでこんなにやりたいと思う相手が目の前からいなくなるんだよ!?；あの子たちは何を待っているのかしら、なんでお嫁に行かないのかしら?；それを、なんでこのわしがあの男の心配をする必要があるってえのかい?；なんでまた、ファーのところなんかに出かけて行くことになったんだね?；そして、なんで自分はすずめに生まれてこなかったろうかと思いました。；みんなに見られるのが嫌なら、なんでテーブルの上に立ったりするものか。；なんでアメリカのものは肌に合わないのか全然わかんないんだけれども。；「なんで早く気がつかなかったんだろう」と彼は妻をかえりみて叫んだ。；そんな非人間的な我慢や二人のあいだの事務的な調整が、なんで美徳だ。；僕がジャンソン高等学校の生徒であることが、なんでいけないんですか?；なんでこのわたしが、あんなやつのこと好きにならなくちゃならないのよ。；なんでやつらにそんなことができるものか、われわれ人間を敵にまわして。；なんでホテル経営者がウイスキーをただで提供しなければならないんだ?；いったことの意味は、思い出されても、なんで太陽がものをいうものか。；なんであなたを残して帰る江戸表にうれしい微笑が待っていましょう。；なんで君は百八十度の転換をして、あの婦人の逮捕に踏みきったんだね?；わしとしたことが、なんでおまえさまを宿へひとり残しておいたんでしょう。；なんでまたマクベスどのは そんなにぼんやりして立っていなさるのだ?；なんであんなお母さんなのに、ああいう娘に なっちまったんだろうな。；そしてなんでドクロちゃんはこういう時に僕の味方をしてくれないの!?；なんでこの尊氏の命を狙うなどの不敵を抱いてここへ忍んできたものか。；なんでいまさらそんなことを注意されなきゃいけないんだよ、この俺が。；彼らは、なんで殺されるのかも知らず、死んでいくことさえ知らなかった。；なんでわれわれに害を加えたこともない者と、戦争をしたがるのです?；なんであの魚はまだ生を有していながら、死なねばならないのだろう。；おとといの朝と今日の晩とでは、なんでこんなにも差があるのだろう。；なんで、こんなつまらない石ッころに深い愛惜を感じて居るのでせうか。</t>
        </is>
      </c>
      <c r="J6386">
        <f>HYPERLINK("https://www.weblio.jp/content/なんで", "词义详情")</f>
        <v/>
      </c>
      <c r="K6386">
        <f>HYPERLINK("https://yourei.jp/なんで", "查看例句")</f>
        <v/>
      </c>
    </row>
    <row r="6387">
      <c r="A6387" t="inlineStr">
        <is>
          <t>何でも</t>
        </is>
      </c>
      <c r="B6387" t="inlineStr">
        <is>
          <t>成功</t>
        </is>
      </c>
      <c r="C6387" t="inlineStr">
        <is>
          <t>読み方：なんでも
《代名詞「なに」に副助詞「でも」が付いた「なにでも」の音変化》
［副］
１よくはわからないが。どうやら。「—近く結婚するらしい」
２どうしても。ぜひ。「何が—やりぬこう」
「あれは世間に重宝する三光とやらいふ鳥であらう。—刺いてくれう」〈続狂言記・鶯〉
［連語］どういうものでも。どういうことでも。「生活用品なら—ある」「頼まれたことは—する」</t>
        </is>
      </c>
      <c r="D6387" t="inlineStr">
        <is>
          <t>どうしても；なんでも；どうぞ；どうでも；是非</t>
        </is>
      </c>
      <c r="H6387" t="n">
        <v>29</v>
      </c>
      <c r="I6387" t="inlineStr">
        <is>
          <t>その日は別に何でもなかった人が、何でもないままに東京に戻って来た。；隊員は基本的に生活に関することは何でも自分で行わなければならない。；もう一つの言い訳は、この大人は子供向けの本でも何でも理解できます。；何でもそんなことをいったんで、ほんとうに私そう思っていましたから。；だが方法は何でもいいというので姉妹を自分の好きなようにできる。；またその期間何でも思うままにあらゆる災害を起こす力を持っている。；その中には願いを何でも叶えてくれる悪魔、ジーニーの像が入っていた。；アコヤガイの形をしていて、このケースに入れた物は何でも真珠になる。；そして、彼女のことは、何でも全部知っていなければならなかったのだ。；物を何でもラジコンにして操縦機で操ることができることができる道具。；小さい時から思ったことは何でも口にする歯に衣きせぬ毒舌だったという。；これは乾燥地帯で生活していたために何でも食べるようになったと言われる。；私は殆ど餓死せんばかりに腹が空いていたので、何でも食う気であった。；老人は王子に「彼の望みは何でも叶うようになる」と言って祝福をした。；彼は頻繁に鳥の鳴き声や、その他の好きなものを何でも利用している。；この連中は赤とか黄とか温い色の野菜ならば、何でも及第させるのです。；いくら何でも生身の人間がこんなに長く海に潜っていられるだろうか。；彼は15歳から21歳まで菜食を行ったが、それ以外では何でも食べた。；興味のあることには何でも挑戦してみようと思い、配信を始めた。；ね、隠れて五日ばかり対向いで居るあいだに、何でもその女が惚れたんだ。；テーマは何でもよいが、インターネットをテーマとする作品が多い。；だからもう途中で何でもいいっていう風になって、完全に放棄した感じ。；この場合、次の番の人は何でも好きなカードを出すことができる。；外に出て行かなくてもここには必要なものは何でもそろっている。；硬い棒のようなものを持っており、現れるものは何でも殺してしまうという。；私どもでは何でもありやしませんけれども、世間じゃ夜の二時過ぎでしょう。；が、あの女と別れるくらいは、何でもありませんといっているじゃないか?；イカロスは特殊な能力を持ち、智樹の願いを何でも叶えてくれるという。；そのために何でも父の話じゃ、禁治産か何かになりそうなんですって。</t>
        </is>
      </c>
      <c r="J6387">
        <f>HYPERLINK("https://www.weblio.jp/content/何でも", "词义详情")</f>
        <v/>
      </c>
      <c r="K6387">
        <f>HYPERLINK("https://yourei.jp/何でも", "查看例句")</f>
        <v/>
      </c>
    </row>
    <row r="6388">
      <c r="A6388" t="inlineStr">
        <is>
          <t>なんと</t>
        </is>
      </c>
      <c r="B6388" t="inlineStr">
        <is>
          <t>成功</t>
        </is>
      </c>
      <c r="C6388" t="inlineStr">
        <is>
          <t>［副助］《副助詞「など」に格助詞「と」が付いた「などと」の音変化》引用文を受けて、おおよそのところを示す。
「『あたいが馬になってやろう』—いうこともあったが」〈中勘助・銀の匙〉</t>
        </is>
      </c>
      <c r="D6388" t="inlineStr">
        <is>
          <t>なんという(21%)；なんとなく(2%)；なんとなれ；なんとはなし；なんといふ</t>
        </is>
      </c>
      <c r="F6388" t="inlineStr">
        <is>
          <t>なんと申し；なんと言わ；なんといわ；なんといったら；まあなんと</t>
        </is>
      </c>
      <c r="G6388" t="inlineStr">
        <is>
          <t>なんとなく；なんとも；なんとかなる；なんということでしょう；なんともはや</t>
        </is>
      </c>
      <c r="H6388" t="n">
        <v>29</v>
      </c>
      <c r="I6388" t="inlineStr">
        <is>
          <t>葉子はしかしなんといっても自分が望みうる幸福の絶頂に近い所にいた。；そのため20世紀のクラシック音楽をなんと呼ぶかは難しい問題である。；やっと分かったころにはもう終わりに近い、というのではなんともはや。；なんと先程会った男性が、自分が書いた詞に曲をつけて歌っていたのだ。；大臣はなんとかして布を見ようとしましたが、どうやっても見えません。；とにかく彼は、だれからなんと言われても、一向気にしないたちだった。；そのため、なんと彼は自分の結婚式を二度もスッポかしてしまっていた。；視線の先には、なんと数十枚もの黄色いハンカチが風にたなびいていた。；というよりは、なんという強い自信であろうといった方がいいかもしれない。；それを見ると一同はただなんという事もなく思いやりのない笑いかたをした。；特色はなんと言っても、ほぼ全ての操作をタッチペンで行うことである。；なんと肝心のホバーバージが移動途中に氷の穴に落下してしまったのだ。；なんとそれは、翼長10メートル以上はある巨大な鳥だったのである。；なんと1ヶ月以内に魔法を解かないと本物の猫になってしまうという。；なんとなれば、この出来事は必ずかの女子のおりしときに限ればなり。；逆探知の結果、なんとその電話は家の中からかかっていることが判明する。；CDジャケットは、なんと日本では初となる拡張現実が採用されている。；なんと12年間も一人の女ともキスさえしていないのだと愚痴をこぼす。；それにしても、博士は、なんというへんな服装をしているのでしょう。；お前がなんと思おうと俺しは俺しだけのことはして行くつもりだ。；一体なんということだ、バティストが音頭を取らなければならないのに!；なんと、警備陣の一瞬の隙をついて信子夫人が誘拐されてしまったのだ!!；正反対の二人が、なんと一緒にゲームの開発をすることになった。；もしこの書を昔の友人たちに見せたらなんというだろうか。；なんと夢で見たものと同じ世界が広がっていたのである。；まず一番勢力のあるものはなんといっても近代教でしょう。；するとなんと彼らは地球から遠く離れているはずのスカイランドにいたのだ。；彼はなんとまろんの隣の部屋に入居したばかりか同じ高校へ編入してきた。；その家から「なんと長い眺めだ」と言ったとされ、それが町の名前になった。</t>
        </is>
      </c>
      <c r="J6388">
        <f>HYPERLINK("https://www.weblio.jp/content/なんと", "词义详情")</f>
        <v/>
      </c>
      <c r="K6388">
        <f>HYPERLINK("https://yourei.jp/なんと", "查看例句")</f>
        <v/>
      </c>
    </row>
    <row r="6389">
      <c r="A6389" t="inlineStr">
        <is>
          <t>何と言っても</t>
        </is>
      </c>
      <c r="B6389" t="inlineStr">
        <is>
          <t>成功</t>
        </is>
      </c>
      <c r="C6389" t="inlineStr">
        <is>
          <t>読み方：なんといっても
他の一切に対して、その事柄が優先される意を表す。どう言おうとも。どう考えても。なんてったって。「—命だけは大事だ」</t>
        </is>
      </c>
      <c r="D6389" t="inlineStr">
        <is>
          <t>やはり；結局；やっぱり；矢張り；なんといっても</t>
        </is>
      </c>
      <c r="H6389" t="n">
        <v>29</v>
      </c>
      <c r="I6389" t="inlineStr">
        <is>
          <t>これは、占領後の軍施設に使用することを想定していたと言われている。；緊張の高い時のほか、何かに夢中になっているときにも笑いは生じない。；したがって独立して何度かの地衣類化が起こったのだと考えられている。；特に は のオブジェクト概念を一般化したものだと言うことができる。；私は私で次ぎのように考えざるを得なかったと言おうとしているだけだ。；二人は、何か言おうとしたが、もう既に毒の力で舌が自由を失っていた。；ルベーグは を素数だと考えた最後の専門的な数学者だと言われている。；音具とは音を出す道具のうち、音が出るが楽器とは言いにくい物のこと。；対して、動作・運用可能な状態で保存されている場合は動態保存と言う。；なにを言おうとしているのか、理解できるまでしばらく時間がかかった。；そのバイオマスは真核生物の数倍から数十倍に達するとも言われている。；が、彼が何を言おうとしているのか、それを理解することは困難だった。；製作される映画は英語のものと現地語のものがほぼ半分ずつと言われている。；そして後にライフル銃を持つとこれほど似合う俳優はいないと言われた。；天皇の称号が実際に用いられ始めたのもこの時代だと言われている。；こちらの言っていることは全て理解しているし、会話するには十分だ。；これらの名前が何の意味かは色々な解釈があるが明確には分からない。；地元の伝承ではラボックの一人当たりの教会の数では国内最大と言われる。；しかし、これらの原因が何であるのか、約100年近く謎とされていた。；彼は何か言おうとしたが、歯を食いしばっているため言葉が出なかった。；ニュートン力学の主要な点はすべてこの中に含まれていると言ってもよい。；国家あるいは地域ごとに決められていることから、単に国番号とも言う。；キミは、とにかく反対なら反対のようにちゃんと言うてくれるからいい。；自分が何かを完成させることができたのはこれが初めてではないかと思います。；文化大革命による犠牲者の合計数は数百万から数千万とも言われている。；君が何を言おうとしているのか、よくわからないんだ、どうしたの一體?；吉野作造は「何を言ってよいか分からなかったためだ」と批判している。；すぐに戦場の同志たる連合国のために、と言い直しその場を乗り切った。；彼が私と二人きりで何を言おうとしているのか想像がつかなかった。</t>
        </is>
      </c>
      <c r="J6389">
        <f>HYPERLINK("https://www.weblio.jp/content/何と言っても", "词义详情")</f>
        <v/>
      </c>
      <c r="K6389">
        <f>HYPERLINK("https://yourei.jp/何と言っても", "查看例句")</f>
        <v/>
      </c>
    </row>
    <row r="6390">
      <c r="A6390" t="inlineStr">
        <is>
          <t>何とか</t>
        </is>
      </c>
      <c r="B6390" t="inlineStr">
        <is>
          <t>成功</t>
        </is>
      </c>
      <c r="C6390" t="inlineStr">
        <is>
          <t>読み方：なんとか
［副］(スル)
１あれこれ工夫や努力をするさま。どうにか。「そこを—頼む」「—しよう」
２完全・十分とはいえないが、条件・要求などに一応かなうさま。かろうじて。どうにか。「—暮らしていける」「—間に合う」
［連語］
１名称・内容などのはっきりしないものをさす。「銀座の—という店」「—言ってみろよ」
２あるものの名称などをはっきり言わないで、それをさす。「—の一つおぼえ」
３（「…とか何とか」の形で）それを含めて、あれこれ。「病気だとか—言って休めばよい」</t>
        </is>
      </c>
      <c r="D6390" t="inlineStr">
        <is>
          <t>何とかなる(4%)；何とかいう；何とかしなけれ；何とかしよ；何とかうまく</t>
        </is>
      </c>
      <c r="F6390" t="inlineStr">
        <is>
          <t>早く何とか；まあ何とか；何とか言い；もう少し何とか；何とか生き</t>
        </is>
      </c>
      <c r="H6390" t="n">
        <v>29</v>
      </c>
      <c r="I6390" t="inlineStr">
        <is>
          <t>外国人たちに言いたいことを何とか英語で言ってみても外国人に通じない。；それを低予算で、人間の動きだけで何とかしようと思ったのが間違い。；泣いた日から数日後の日曜日、私はナントカさんの家に行ったのである。；各地でフィッシャーを支持する人々がこの状況を何とかしようとした。；任氏は方角が悪いといって辞退したが、鄭六は何とか説得して旅に出た。；何とか少年と合流し、四人となった一行は南にある鉄道の貨物駅を目指す。；それでもこれまでの調査時に設営した小屋まで何とか物資を運び込んだ。；これを何とかしたいと、名倉太郎馬は家庭生活と村の改革に取り組んだ。；その日に、僕が行くと、ちょうどナニがナントカしたので五日後と言う。；既存のチームを合併させ、チームを何とか存続させるような活動も見えてきた。；あんたのカミさんがいうには、自分は犬のナントカ連盟の総裁様だとよ。；ピアノの作音楽器に劣後する特性を何とか克服しようとするものである。；展開後に何とか見える程度まで水などで薄めて使うのがコツであるとされる。；前年の撮影現場では病気を隠して役を演じきり、何とか無事に撮影を終えた。；夫人は伯爵が来たら計画がぶち壊しなので何とかやりすごそうとする。；そのナントカ連合のメンバーはあなた一人しかいないんですよね。；処刑のことを知ったランスロットと家族は何とかそれを止めさせようとした。；あまりにもダメージが大きすぎるため、相手は何とかして回避しようとする。；蓼食う虫もナントカというし、彼女が誰を食べようが知ったことではない。；碑は表面の磨耗が激しいが、現在も何とか全文読むことが可能である。；何とか書き上げてパリの出版社に持っていったが採用されなかった。；やがて二人は、ちひろのために何とかしなければならないと和解する。；これにはソフトウェアの複雑化を伴ったが、数年間はこれで何とか間に合った。；それぞれの系統で独立して眼が何とかして作られた。；何とか人とかぶらない商売をと考え、近所の隠居のところへ相談しに来た男。；だが何とか口に含むことを我慢し撮影に臨んだと語っている。；マァ、何とかせりふは覚えたが、問題なのが男が笑い上戸だと言うこと。；だから、そのあたりが何とかならないのかなと思うんですね。；そのため何とか砲力を維持ないし向上するための方策に迫られた。</t>
        </is>
      </c>
      <c r="J6390">
        <f>HYPERLINK("https://www.weblio.jp/content/何とか", "词义详情")</f>
        <v/>
      </c>
      <c r="K6390">
        <f>HYPERLINK("https://yourei.jp/何とか", "查看例句")</f>
        <v/>
      </c>
    </row>
    <row r="6391">
      <c r="A6391" t="inlineStr">
        <is>
          <t>何となく</t>
        </is>
      </c>
      <c r="B6391" t="inlineStr">
        <is>
          <t>成功</t>
        </is>
      </c>
      <c r="C6391" t="inlineStr">
        <is>
          <t>読み方：なんとなく
［副］言動などに、はっきりとした理由・目的がないさま。なんとはなしに。「—心が引かれる」「—日々を送る」</t>
        </is>
      </c>
      <c r="D6391" t="inlineStr">
        <is>
          <t>何となくわかる；何となくほっと；何となく分かる；何となく物足りない；何となく淋しい</t>
        </is>
      </c>
      <c r="E6391" t="inlineStr">
        <is>
          <t>つい；何か；どこか；ふと；偶然</t>
        </is>
      </c>
      <c r="F6391" t="inlineStr">
        <is>
          <t>何となく憂欝；何となく薄気味；何となく奥床しく；何となく物足らない；何となく奥床しい</t>
        </is>
      </c>
      <c r="H6391" t="n">
        <v>29</v>
      </c>
      <c r="I6391" t="inlineStr">
        <is>
          <t>その人は初め事務所を借りに来た時から、何となく印象的な人物でした。；「写真を一瞬見た時に何となく感じた印象を大事にしている」とのこと。；何となく彼は隣の家を出て、自分の家へ移って来たような思いをした。；何となく画家のうちにもおおよその見当を自分で発見して来た如くである。；決して宏壮ではなかったけれど、何となく豊かな感じを与える邸だった。；それも悲しい晩方の空の色に、何となく一家の不幸を語っているようだ。；私は何となく不安になりましたので、家の外へ二三度出てみました。；それが彼には何となく、その高麗剣を抜けと云う相図のように感じられた。；会社に行けば何となく上の方の人に神経も使わなければならない。；そこは因幡國のうちだと思ふだけでも、何となく旅の氣分を改めさせた。；岸本と節子との変って来た関係は何となく兄弟の関係までも変えて見せた。；つまり偶然の出來事には相違ないのだが、私は何となく異樣に感じたよ。；そして何となく熱と痛みの去つた後に来る恍惚状態の中に、眼を閉ぢた。；しかし、何となく私はこんなところに長くゐられないやうな氣もして來た。；私はこの石の國に來て、何となくそれらの關係を讀み得るやうに思つた。；ただわしにそういう不安な気が何となくするというのにすぎない。；唯何となく二人の間に解決のつかぬ問題があるやうに思ふ事のあるだけである。；その眼が一層輝いたので、私は何となく身体がぞくぞくして来ました。；レイモンドは勇気のある少女であったが、何となく恐ろしくなってきた。；たまに行って見ても子供達も何となくよそよそしい眼をするやうだった。；直ぐ眉の下に見えたから、何となく顔立ちの面長らしいのも想像された。；皆な出発するという前の晩のことで、何となく家の内は混雑していた。；山から郊外へ、郊外から町へ、何となく彼の心は響のする方へ動いた。；その晩は何となく暗い思いがしたが、明る朝になって絵具皿を探し始めた。；してみれば、ただ、門燈が何となく消えたというに過ぎなかったのだ。；一つは警戒の気持で、一つは何となく人をなつかしむ気持であります。；液体を掻きまわしている腕が気のせいか、何となく利かなくなるようだ。；それから何となく私は、主人のためになるように思うことが生活の中心となった。；何となく雨の近いことを感じる、梅雨の前の大気とでもいふのであらう。</t>
        </is>
      </c>
      <c r="J6391">
        <f>HYPERLINK("https://www.weblio.jp/content/何となく", "词义详情")</f>
        <v/>
      </c>
      <c r="K6391">
        <f>HYPERLINK("https://yourei.jp/何となく", "查看例句")</f>
        <v/>
      </c>
    </row>
    <row r="6392">
      <c r="A6392" t="inlineStr">
        <is>
          <t>何とも</t>
        </is>
      </c>
      <c r="B6392" t="inlineStr">
        <is>
          <t>成功</t>
        </is>
      </c>
      <c r="C6392" t="inlineStr">
        <is>
          <t>読み方：なにとも
［副］
１（あとに打消しの語を伴って用いる）
㋐特別の感情を催さないさまを表す。別に大したものとも。物の数とも。
「いにしへは—見ざりし衣裳の紋、今は目にたちて」〈曽我・三〉
㋑行動を特定できないさまを表す。どうとも。
「—言ひ出でじ」〈紫式部日記〉
２いろいろに手段をつくすさまを表す。あらゆる方法で。なんとかして。
「—風体を巧みて」〈能作書〉
３他に表現のしようがないという気持ちを表す。いかにも。なんとも。
「—迷惑ニゴザル」〈日葡〉</t>
        </is>
      </c>
      <c r="D6392" t="inlineStr">
        <is>
          <t>何ともいえ(13%)；何とも言えない(6%)；何とも云え(5%)；何とも知れ；何とも言いよう</t>
        </is>
      </c>
      <c r="E6392" t="inlineStr">
        <is>
          <t>まるで；まったく；全く；完全に；すっかり</t>
        </is>
      </c>
      <c r="F6392" t="inlineStr">
        <is>
          <t>何ともいえん；何とも云えない心持；何とも言いがたい；何とも名状し難い；何とも言え</t>
        </is>
      </c>
      <c r="H6392" t="n">
        <v>29</v>
      </c>
      <c r="I6392" t="inlineStr">
        <is>
          <t>私はその時何とも言はれぬ気がしたことを今でもはつきりと覚えてゐる。；この新らしい方面での彼の生活は、殆ど何とも言へない程のものだつた。；実際、彼は私のことなんかは何とも思っていなかったのでしょうかしら。；部下のものが飲みに行く位のことは何とも思ってやしないんでしょう。；こんな変った生活をしている人なのだから、そう話せば何とも言うまい。；母も叔母も何とも言つてくれぬだけ媒介者との話の発落が気にかかつた。；何か言っては笑い合うその声に、何とも言えないいやな響きがあった。；あたしあなたが只の遊び女と出来たのかなんかなら何とも思いませんの。；どうかすると御自分を全く何とも思つて居られない方かもしれないのである。；このことを聞くと、私は、何とも云へない心の寒さを感じはじめてゐた。；あんなに約束しておきながら、どうして何とも云つて来てくれないのか。；私は子供のころ、この遊びに、何ともいえぬ面白さを感じたものである。；成程人は夫婦とも申しませうが私の気では何とも思つてをりは致しません。；愛ちやんもこれには何とも抗辯し兼て、今度は他の事を聞き初めました。；君が早く来ないと言ってそれを何とも言ってやしないじゃないか。；その飛立つた時の白い翼の一斉のきらめきが何とも言はれず美しかつた。；私は何とも言はれないやうな悲哀の胸に一杯になつて来るのを感じた。；最う死骸に成つてる、と言つたやうな、奴の言種が何とも以て可忌しい。；所が大違ひ外部こそ同じだが内心はどんな人の前でも何とも思はない。；皆は私のことを人を苦しめておいて何とも思はないなんて云ひます。；晦堂は客の言が耳に入らなかつたもののやうに何とも答えなかつた。；それは何ともいえない馬鹿らしい、しかも悲痛なことのような気がした。；また昨夜狼が來をつたなどと言つて何とも思はぬやうになるものぢや。；私は何とも云へぬ興奮に燃え立ちながら、その暗い中をずんずん歩いた。；そうした町を歩いている時に何とも知れぬ不思議な匂いがした。；私は寧ろ少年のそういう姿が何とも云えない程いじらしいものに思えた。；見られることも見ることも何とも思っちゃいられぬ風景である。；自分はかれの運命を思って何とも言えずあわれになって来た。；だが、不思議に私は、その時の私は、その話をきいて何とも感じなかった。</t>
        </is>
      </c>
      <c r="J6392">
        <f>HYPERLINK("https://www.weblio.jp/content/何とも", "词义详情")</f>
        <v/>
      </c>
      <c r="K6392">
        <f>HYPERLINK("https://yourei.jp/何とも", "查看例句")</f>
        <v/>
      </c>
    </row>
    <row r="6393">
      <c r="A6393" t="inlineStr">
        <is>
          <t>何なりと</t>
        </is>
      </c>
      <c r="B6393" t="inlineStr">
        <is>
          <t>成功</t>
        </is>
      </c>
      <c r="D6393" t="inlineStr">
        <is>
          <t>何なりと御(2%)；何なりとお申しつけください；何なりとお望み</t>
        </is>
      </c>
      <c r="H6393" t="n">
        <v>29</v>
      </c>
      <c r="I6393" t="inlineStr">
        <is>
          <t>それにこの上とも何か私がしてあげられると思うなら、何なりと言うがよい。；ここ二三日の間の命だ、喰ひたいものがあるなら何なりと言へ。；おれの生きていたころは 欲しいものは何なりと手に入ったが、 いまはこのざまだ!；俺たちの見えないところで何なりとやっておいてくれ。；お兄さまは何なりと自由におできになる方じゃありませんか?；君の数学的公式を作るのに必要なデータは、何なりと提供しよう。；その方の余に求むるところは、何なりと即座に授けとらするであろう。；わからないことがありましたら何なりとご質問ください。；わが生命にかけて、私はあなたにお望みのものを何なりと差し上げる。；「わたくしにできますことならば、何なりと」かれは用心するように答えた。；だからわからないことがあったら何なりと質問してみてくれ。；その代りにこれで何なりと商売をして、もう此先はこんな恐い商売は廃めなさい。；さっきも申し上げた通り、何かご用があったら何なりと申しつけて下さい。；末妹は市場で買った壷を持っており、姉らはそれを馬鹿にしていたが、それは望みのものを何なりと出してくれる魔法の壷だった。；今私たちは、お礼に、お前さんの望むことは何なりと叶えてあげるつもりです。；さて金銀が欲しいとあれば、予はその方どもに何なりと望み次第の褒美を取らすであろう。；されば、この袋を持って行って、お望みの馳走を何なりと取り出しなされよ。；お疑いがござりましたら、あのときのことを何なりとお尋ねください。；でもあなたのご捜査の上で、私にできることがありましたら、どうか何なりとお申しつけください。；あなたもこんな所に座ってないで、何なりとアトラクションを体験してごらんなさいな。；おまえはそこにはいって、何なりと好きなものを、かってに出して来てさしつかえない。；だからこの商売のことをよくお考えになって、とりわけ掛け引きのとき、何なりとあの人の気に逆らわないように、よく気をつけて下さい。；「何なりとどうぞお尋ねください、ホームズさん」と彼は熱心にいった。；それが済めば、この少女と、何なりとお望みのことをなさることができまする。；きみの思いついた反対呪文や呪い返しを何なりと使ってよいぞ。；そして身を任すなら何なりと望みをかなえようと約束した。；何なりと余のものを御所望なされたにせよ、かならず叶えられたことでござろう。；何なりと答えてくれるんじゃなかったの?；この霊妙なる品を少しも損ぜずに、それをなし得た者あらば、その者は何なりと望みのものを所望するがよい。</t>
        </is>
      </c>
      <c r="J6393">
        <f>HYPERLINK("https://www.weblio.jp/content/何なりと", "词义详情")</f>
        <v/>
      </c>
      <c r="K6393">
        <f>HYPERLINK("https://yourei.jp/何なりと", "查看例句")</f>
        <v/>
      </c>
    </row>
    <row r="6394">
      <c r="A6394" t="inlineStr">
        <is>
          <t>南米</t>
        </is>
      </c>
      <c r="B6394" t="inlineStr">
        <is>
          <t>成功</t>
        </is>
      </c>
      <c r="C6394" t="inlineStr">
        <is>
          <t>読み方：なんべい
南アメリカの略称。</t>
        </is>
      </c>
      <c r="D6394" t="inlineStr">
        <is>
          <t>南米航路；南米産；南米出身；南米各国；南米u</t>
        </is>
      </c>
      <c r="F6394" t="inlineStr">
        <is>
          <t>南米最大；南米ブラジル；南米系；南米南部；南米コロンビア</t>
        </is>
      </c>
      <c r="G6394" t="inlineStr">
        <is>
          <t>南米予選；南米諸国；南米選手権；南米ユース選手権；南米サッカー連盟</t>
        </is>
      </c>
      <c r="H6394" t="n">
        <v>29</v>
      </c>
      <c r="I6394" t="inlineStr">
        <is>
          <t>こうしてウルグアイは南米のスイスとまで呼ばれるようになるのである。；JICAの南米での事業の大きな柱の一つは日系人移住者の支援にある。；試験には合格したが、失敗したら南米へ行こうと思っていたという。；北海道の寒さを利用した製造過程は、南米のチューニョと酷似している。；南米のブラジルでは、墓地自体を高層ビル化したというような例もある。；両社はアジア、南米市場でも相互の販売網を活用すると発表していた。；ヨーロッパや北米では種類数が少ないが、南米に大型種が見当たらない。；この島にはもともと、南米を起源とする先住民族タイノ族が住んでいた。；南米およびブラジル各地に通信員がいるほか、日本には東京支社がある。；ツアー中には南米各地の教会などでアルバム収録を行っている。；元来男性用の帽子だが、ボリビアなど南米の一部では女性も被っている。；南米での社会主義政権成立はアメリカを強く刺激することになった。；そしてイタリアに戻り国内の歌劇場や欧州および南米の歌劇場で歌った。；また、南米を中心としてさまざまな国の選手とのネットワークがある。；進化した有力な肉食性哺乳類が南米に進出できていなかったためと思われる。；南米の伝説で知られており、レッドキングに襲われた人を匿う小型怪獣。；南米のものは、チチカカ湖沿岸や南海岸のものが有名で、形態も複数ある。；南米の音楽文化にかなり詳しく、現地で公演を行ったこともあった。；このほか、単に首のない亡霊の例は南米の首なし女など、枚挙に暇が無い。；南米のロック・アーティストとして、世界的な成功を収めたグループの一つ。；インディファティガブルは1815年の南米での任務を最後に退役した。；また防衛施設かは、不明であるが南米のマチュピチュも広く知られている。；特に旧南米州では治安悪化や反政府活動が慢性的な問題となっている。；南米での栽培では、これにより壊滅的な打撃が発生したことがある。；ほかに日本やオセアニア、南米、東欧にも土着の系統が僅かに存在する。；南米で知り合った太極拳の達人との交流がヒントになり考案したという。；紀元前1000年以前から南米で植物を粉末にして吸引されていたとされる。；これはおそらく外国人選手との契約制限が取り除かれた後に複数の南米選手と契約したことによる。；世界選手権には1954年と1967年のいずれも南米の大会で出場した。</t>
        </is>
      </c>
      <c r="J6394">
        <f>HYPERLINK("https://www.weblio.jp/content/南米", "词义详情")</f>
        <v/>
      </c>
      <c r="K6394">
        <f>HYPERLINK("https://yourei.jp/南米", "查看例句")</f>
        <v/>
      </c>
    </row>
    <row r="6395">
      <c r="A6395" t="inlineStr">
        <is>
          <t>南北</t>
        </is>
      </c>
      <c r="B6395" t="inlineStr">
        <is>
          <t>成功</t>
        </is>
      </c>
      <c r="C6395" t="inlineStr">
        <is>
          <t>読み方：なんぼく
南と北。また、南と北との間。「—に縦断する道」</t>
        </is>
      </c>
      <c r="D6395" t="inlineStr">
        <is>
          <t>南北方向(6%)；南北約(3%)；南北線；南北に長い；南北に細長い</t>
        </is>
      </c>
      <c r="F6395" t="inlineStr">
        <is>
          <t>南北軸；沿って南北；南北分断；南北秦八州；南北両朝併立</t>
        </is>
      </c>
      <c r="G6395" t="inlineStr">
        <is>
          <t>南北朝時代；南北朝；南北アメリカ；南北朝期；南北アメリカ大陸</t>
        </is>
      </c>
      <c r="H6395" t="n">
        <v>29</v>
      </c>
      <c r="I6395" t="inlineStr">
        <is>
          <t>そして現在に至るまで南北の線路は分断されたままの状態が続いている。；かつての南北に走る道路にかわり、東西に走る道路が中心となっていく。；南北が絶対的な位置関係にあるのに対して東西は相対な位置関係にある。；駅は、東西方向に走る五条通と南北方向の千本通の交差点の南側にある。；移転前の駅は現行の駅よりも南側の像がある広場付近に南北に建っていた。；戦国時代までは、幹線道路である東山道がこの地域を南北に通っていた。；東西が相対的な位置関係にあるのに対して南北は絶対的な位置関係にある。；南北が絶対的な位置関係にあるのに対して東西は相対的な位置関係にある。；旧西ドイツ側の高速新線に南北方向の路線が多いのは、このためである。；東西の幅が狭いのは、すぐ東にトンガ海溝が南北に伸びているためである。；駅の周辺は帷子川の流れる谷の底で南北ともに丘陵地帯となっている。；バスターミナルは駅の南北両方に位置し、多数のバスが発着している。；南北に伸びるホームの西側を下り列車が、東側を上り列車が使用する。；西部は南北に広く東部は狭くなっているため、町はL字型の形をしている。；地下西口は、駅の南北を縦断する地下道に面した地下に設けられている。；また、バルト海東岸に南北に並ぶバルト三国の中で最も北の国でもある。；地下鉄は南北方向にのみ建設されており東西方向には存在しない。；町の東部を南北に国道350号が走り、平野部は良好な道路網を持った。；丸ノ内線と南北線とは長いエスカレータおよび階段で接続されている。；各展示ホールごとに南北それぞれ幅12mの出入り口が設けられている。；各ホームへの移動は、地下道を通る階段が南北に2箇所設置してある。；赤道付近の南北に位置することから、赤道アフリカと呼ばれることもある。；駅舎の西側には、南北連絡用の自由通路トンネルが設けられている。；駅東口の国道28号上の南北両方に、タクシー乗り場が設置されている。；軌道制御には東西方向の制御と南北方向の制御がある。；そのほかにも市内を南北に河川が幾筋か流れている。；また90万年ほど前には、現在の北湖中央を南北に横切る山地があった。；つまり南北900メートルほどの間に都合4箇所の出入口が存在している。；出入口は南北双方に設けられており、南側にはバスロータリーがある。</t>
        </is>
      </c>
      <c r="J6395">
        <f>HYPERLINK("https://www.weblio.jp/content/南北", "词义详情")</f>
        <v/>
      </c>
      <c r="K6395">
        <f>HYPERLINK("https://yourei.jp/南北", "查看例句")</f>
        <v/>
      </c>
    </row>
    <row r="6396">
      <c r="A6396" t="inlineStr">
        <is>
          <t>難問</t>
        </is>
      </c>
      <c r="B6396" t="inlineStr">
        <is>
          <t>成功</t>
        </is>
      </c>
      <c r="C6396" t="inlineStr">
        <is>
          <t>読み方：なんもん
１解決・回答などのむずかしい問題。「—に挑戦する」「—をかかえる」
２非難して返答を迫ること。
「諸宗こぞって—し」〈浄・大原問答〉</t>
        </is>
      </c>
      <c r="D6396" t="inlineStr">
        <is>
          <t>難問排除；難問解決</t>
        </is>
      </c>
      <c r="E6396" t="inlineStr">
        <is>
          <t>謎；パズル；エニグマ</t>
        </is>
      </c>
      <c r="F6396" t="inlineStr">
        <is>
          <t>大きな難問；どんな難問</t>
        </is>
      </c>
      <c r="H6396" t="n">
        <v>29</v>
      </c>
      <c r="I6396" t="inlineStr">
        <is>
          <t>そして彼は自分の難問に答えるためにソクラテス式問答法を使い始めた。；やつらの捕獲方法を考えはじめて以来、ぼくを悩ましている難問なんだ。；死体検案書を書いた医師も、おそらく同じ難問に直面したのではないか。；顔色は寒さのせいばかりではなく、抱えているらしい難問のせいなのだろう。；「これは、容易ならぬ難問だった」と、中央計算機の静かな声がいった。；しかし、破壊のあとにどう建設すればいいかとなると、これは難問である。；自分は女ではないし、自分だっていろいろ難問を抱えていると言いたかった。；民衆伝説の研究にははじめからこのような難問がつきまとっているのである。；ところで、いまそなたには 目の前に別の難問があらわれていますね。；この年代の娘を持つ親は、かつてなかった新たな難問を抱えている。；彼は、難問に迫られて、人生に処するはっきりした態度を取るのである。；一旦、家が開かれてしまうと、屍鬼を撃退することは非常な難問だった。；私は難問を提出された時のようにたゞ眉根を寄せただけだったにちがいない。；このうち、最初の難問が片づいたのは、ホテルへ戻って三十分後だった。；第四行は難問が生じたときにそれを解決するためのものです。；文学や歌と同様に、歌詞は多くの翻訳の問題・難問を抱えている。；枚挙にいとまがないほど幸之助から出された難問を具体化させてきた。；できるならばこうした難問をだして、彼女を苦しめたくないと思った。；自分は将来の学者の研究が、当然に何とかこの難問を解決することを信じている。；しかし、その眺めも、彼の頭を占める難問を忘れさせることはできなかった。；我々の感覚だけによって、この難問を解決することは決してできない。；アメリカ農業が抱えている最大の難問は、トウモロコシだと思います。；ヘネラル・ベルグラノを追跡していたコンカラーには別の難問があった。；世界のはじまり以来、このような難問に直面した人間がいただろうか?；タイトルが示す通り、普通では決して正解できない難問が出題されていた。；とうてい解決は不可能な難問の解決を、どちらの陣営も交互に約束する。；世界規模での公共性は、いまの人類にとっての最大の課題であり難問だ。；ある数学の難問について、彼が何年間も取り組んできた成果の一部だ。；話はドイツ語の事を離れぬが、別に私に難問をするでもない。</t>
        </is>
      </c>
      <c r="J6396">
        <f>HYPERLINK("https://www.weblio.jp/content/難問", "词义详情")</f>
        <v/>
      </c>
      <c r="K6396">
        <f>HYPERLINK("https://yourei.jp/難問", "查看例句")</f>
        <v/>
      </c>
    </row>
    <row r="6397">
      <c r="A6397" t="inlineStr">
        <is>
          <t>何ら</t>
        </is>
      </c>
      <c r="B6397" t="inlineStr">
        <is>
          <t>成功</t>
        </is>
      </c>
      <c r="C6397" t="inlineStr">
        <is>
          <t>読み方：いずら
［代］
１不定称の指示代名詞。どこ。どこいら。いずこ。
「石田野(いはたの)に宿りする君家人の—と我を問はばいかに言はむ」〈万・三六八九〉
２（感動詞的に用いて）相手を促したり、問いかけたりするときに用いる語。さあさあ。
「—今日の菖蒲(さうぶ)はなどか遅うはつかうまつる」〈かげろふ・下〉</t>
        </is>
      </c>
      <c r="D6397" t="inlineStr">
        <is>
          <t>何ら変わら(3%)；何ら変わり(2%)；何ら変わるところ；何ら変わること；何ら得る</t>
        </is>
      </c>
      <c r="F6397" t="inlineStr">
        <is>
          <t>べき何ら；ほとんど何ら；もはや何ら；何ら違法性；何ら為すところ</t>
        </is>
      </c>
      <c r="H6397" t="n">
        <v>29</v>
      </c>
      <c r="I6397" t="inlineStr">
        <is>
          <t>IBMはこの領域では何ら新しいことを提供できないと結論付けられた。；また一人の青年があって何らか重要なる発明をなさむとしているとする。；相手はだが何らの感動をも示さないでぼんやりした表情できいてゐる。；小泉は何らの相剋するものを自分の内部に感じてはゐないのであらうか?；前に言ったように、何ら害はないし、誰もこれ以上悪くなりませんから。；ハンデ師をしていたので情報を覚える事は何ら苦にならなかったという。；牽引装置を装備しても、日常の使用は一般的な自動車と何ら変わりがない。；一方で、未洗礼の幼児は何らの責めも与えられないと主張する者もいた。；セットの下に緩衝材を設置するなどの安全対策は何らとられていなかった。；しかしそこに何らか軽薄な気持が動いていることを認めることができなかった。；なお、通常の命題論理にこれらの規則を適用することは何ら問題ない。；抗議の意思表示であったが、清国側には何らダメージとはならなかった。；ただ、胃が下がっているだけで何ら自覚症状がない場合は病気ではない。；この報告を受けた連合艦隊は、計画が崩れたことに何ら対策を取らなかった。；他の全ての側面に関して他の種類の体上の射影直線と何ら変わることはない。；なお外観では通常の路線車と何ら変わりないので区別はつかない。；結局法廷からは何ら罪に問われることなく1948年5月に釈放された。；一般には彼らは世界の始まりについて何らの考えをも構成しなかったように見える。；国民が何ら近代的な考えも教わらず、古い伝統も失ったことを示すものである。；ユダヤ人はキリスト教徒の法廷で判事の前で何らの証言もしてはならない。；ただし、これがマトリクスの起源であるとは何ら説明されていない。；これは何ら他の物から成立ったのではなくそれ自身に永遠の物である。；「知」には何ら確かな判断はないのだから、考えたところで仕方がない。；手紙の中で、自分はその人たちに何ら劣っていないとパウロは表明している。；しかし政府はこのことについて何ら公式なコメントを出さず、黙殺した。；気まぐれは何ら人格に道徳的な価値を与えず、自己への確信を強めない。；彼はまたドイツの軍服を着用する事にも何ら抵抗を示さなかった。；しかし乗員は何ら緊急事態は報告せず、指示には全て肯定応答していた。；一見さんは、あるお店に何らの面識なく初めて訪れた人のことである。</t>
        </is>
      </c>
      <c r="J6397">
        <f>HYPERLINK("https://www.weblio.jp/content/何ら", "词义详情")</f>
        <v/>
      </c>
      <c r="K6397">
        <f>HYPERLINK("https://yourei.jp/何ら", "查看例句")</f>
        <v/>
      </c>
    </row>
    <row r="6398">
      <c r="A6398" t="inlineStr">
        <is>
          <t>何らか</t>
        </is>
      </c>
      <c r="B6398" t="inlineStr">
        <is>
          <t>成功</t>
        </is>
      </c>
      <c r="C6398" t="inlineStr">
        <is>
          <t>読み方：なんらか
［副］
１なにか。なにがしか。「—の参考にはなるだろう」
２いくらか。「—の可能性はある」</t>
        </is>
      </c>
      <c r="D6398" t="inlineStr">
        <is>
          <t>少し；ちょっと；やや；多少；若干</t>
        </is>
      </c>
      <c r="H6398" t="n">
        <v>0</v>
      </c>
      <c r="J6398">
        <f>HYPERLINK("https://www.weblio.jp/content/何らか", "词义详情")</f>
        <v/>
      </c>
      <c r="K6398">
        <f>HYPERLINK("https://yourei.jp/何らか", "查看例句")</f>
        <v/>
      </c>
    </row>
    <row r="6399">
      <c r="A6399" t="inlineStr">
        <is>
          <t>荷</t>
        </is>
      </c>
      <c r="B6399" t="inlineStr">
        <is>
          <t>成功</t>
        </is>
      </c>
      <c r="C6399" t="inlineStr">
        <is>
          <t>読み方：か
［音］カ（漢）　［訓］にになう
［学習漢字］3年
〈カ〉
１植物の名。ハス。「荷葉」
２にもつをかつぐ。になう。「荷重・荷担／負荷」
３にもつ。「在荷・集荷・出荷・入荷」
〈に〉「荷主・荷札・荷物・荷役／重荷・倉荷・初荷・船荷」
［名のり］もち
［難読］稲荷(いなり)・荷前(のさき)・薄荷(はっか)・歩荷(ぼっか)・茗荷(みょうが)</t>
        </is>
      </c>
      <c r="D6399" t="inlineStr">
        <is>
          <t>荷室(5%)；荷棚(3%)；荷箱(2%)；荷物置き場；荷下ろし</t>
        </is>
      </c>
      <c r="E6399" t="inlineStr">
        <is>
          <t>荷物；障害；故障；邪魔；貨物</t>
        </is>
      </c>
      <c r="F6399" t="inlineStr">
        <is>
          <t>荷物置き；一荷；空荷；大きな荷；底荷</t>
        </is>
      </c>
      <c r="G6399" t="inlineStr">
        <is>
          <t>荷台；荷車；荷重；荷馬車；荷役</t>
        </is>
      </c>
      <c r="H6399" t="n">
        <v>29</v>
      </c>
      <c r="I6399" t="inlineStr">
        <is>
          <t>天井の形状や、荷棚形状に多少の差異はあっても基本的には同じである。；通常、荷が軽いときは砂を入れる三層構造の最下層に入れられたという。；車内天井部にはつり革を設け、客用扉間の側窓上部には荷棚を設置した。；荷棚の形状も一次車・二次車・三次車以降でそれぞれ異なっている。；あわせて東京 - 大阪間に小荷物専用列車を新設し客荷分離を試みた。；袖仕切りは01系に準じた仕切りと荷棚の端が一体になったものである。；E351系にあった大型の荷物置き場は本系列では当初設置されなかった。；荷室に海水を入れる場合と、専用のバラストタンクを持つ場合とがある。；そして自分は大きな荷を軽々と背負い上げてその上に馬の皮を乗せた。；卒業記念誌に「荷」を発表したのが、公表された作品のはじめである。；以上の諸制限の外で貿易を行おうとするために抜け荷が発生した。；設置場所は荷棚の座席番号表示の横およびサロンカーは窓柱部である。；こうして彼らは荷の来るのをぼんやりして二時間あまりも待ち暮した。；基本的に座席・荷棚が設置されていないほか、吊り革の高さが高くされている。；荷棚は、採光確保や荷物への傷付け防止を考慮し、ガラス式としている。；また、車上装置後方のクロスシート上部の荷棚にも機器が搭載されている。；辻野は、新人には荷が重いので会社が気を遣ってくれていたと述べている。；今も荷下しに使われた船着場からの階段が川沿いに残っている。；これは船の荷のほんの一部だけを強奪するという手口に由来している。；従来のセンサでは載荷速度の情報を動的にセンシングすることは難しい。；妻はその暇にようやく追いついて背の荷をゆすり上げながら溜息をついた。；また、座席側面には座席ごとに荷棚と一体化した大型側面パネルを配置している。；ただし荷物置き場とは別に荷物室を新たに設けたため定員は少ない。；特に女性専用車両となる1号車は荷棚とつり革の高さを低くしている。；荷棚の高さは扉間、車端部とも同一とされ、0番台の車端部よりも若干低い。；痩馬は荷が軽るくなると鬱積した怒りを一時にぶちまけるように嘶いた。；商用車では立ったままの姿勢で荷室まで移動できるものもある。；重い荷を下したやうな、 気持なりき、 この寝台の上に来ていねしとき。；不定貫とは流通などにおける一荷口の重量や形状がその都度異なる商品。</t>
        </is>
      </c>
      <c r="J6399">
        <f>HYPERLINK("https://www.weblio.jp/content/荷", "词义详情")</f>
        <v/>
      </c>
      <c r="K6399">
        <f>HYPERLINK("https://yourei.jp/荷", "查看例句")</f>
        <v/>
      </c>
    </row>
    <row r="6400">
      <c r="A6400" t="inlineStr">
        <is>
          <t>似合う</t>
        </is>
      </c>
      <c r="B6400" t="inlineStr">
        <is>
          <t>成功</t>
        </is>
      </c>
      <c r="C6400" t="inlineStr">
        <is>
          <t>読み方：にあう
［動ワ五（ハ四）］ちょうどよくつりあう。調和する。「着物がよく—・う人」「年に—・わず行動的だ」</t>
        </is>
      </c>
      <c r="D6400" t="inlineStr">
        <is>
          <t>似合うだろ(3%)；似合うような気；似合うって；似合う似合わない；似合うでしょ</t>
        </is>
      </c>
      <c r="E6400" t="inlineStr">
        <is>
          <t>一致；合う；マッチ；調和；沿う</t>
        </is>
      </c>
      <c r="F6400" t="inlineStr">
        <is>
          <t>一番似合う；良く似合う；なかなか似合う；きっと似合う；とても似合う</t>
        </is>
      </c>
      <c r="H6400" t="n">
        <v>29</v>
      </c>
      <c r="I6400" t="inlineStr">
        <is>
          <t>ささやかな英雄であってもそれが自分には似合っているようにも思えた。；彼女は過ごし慣れた場所にいるように、とてもこの部屋に似合っている。；そして後にライフル銃を持つとこれほど似合う俳優はいないと言われた。；もともと客の前ではそれが似合うと彼女は自分でも思っているようだった。；彼女はぼくをそばに呼んで、同じようによく似合う巻毛で飾ってくれた。；川島はいままで、これほどに緑の服の似合う少女を見たことがなかった。；そういえば英子自身の印象がいつも、その年齢に似合っているかどうか。；千花が案外着慣れていること、とても似合っていることは認めるはずだ。；見た目と服のイメージが逆なので、あまり似合っていないように思える。；顔を変えることはわけなくできたし、この顔もなかなか似合うのであった。；大きさに似合わぬ重さと細工の見事さで、どうも、本物のように思えた。；大言壮語して村人を辟易させていた男には似合わない静かな死であった。；深く考えたことはないが、もうどんな旗も似合わないような気がする。；そしてそのまとめかたが、これしかないほどに彼女には良く似合っていた。；推理小説は本来がそんな風にして作られるのが一番似合っているのだ。；ところが君に似合う人は、どんなに立派な人でもまだ足りないぐらいだよ。；私の心の中で、母には似合わないと思っていたから、よしたので安心した。；彼は、その顔と、いつも彼女によく似合う衣装の美しさを残りなく見た。；その人は、これが似合うと思ったんだがね、と残念がっていましたよ。；舞子には絶対できない色の組み合わせだが、寛順にはよく似合っている。；いつもの自分にも似合わないトンチンカンな頭の使い方ばかりしている。；年寄りには散歩がいちばん似合っていると思っているらしいのである。；城というよりは、館と呼ぶ方が似合う三つの建物で構成されていた。；普通の婦人にも時々見かけるが、よく似合っているのは十人に一人もない。；正三君の努力を理解して、顔に似合わぬやさしいことばをかけてくれる。；どれが似合うかっていったって、あの体では判断不可能のような気がした。；複雑そうな顔してるけど、今の姐さんは本当に良く似合っているッスよ。；美しい人だと、どんな風をしてもよく似合うのはそこだろうとも思います。；こんなに似合わない二人を見たのは、生まれてはじめてのように思いました。</t>
        </is>
      </c>
      <c r="J6400">
        <f>HYPERLINK("https://www.weblio.jp/content/似合う", "词义详情")</f>
        <v/>
      </c>
      <c r="K6400">
        <f>HYPERLINK("https://yourei.jp/似合う", "查看例句")</f>
        <v/>
      </c>
    </row>
    <row r="6401">
      <c r="A6401" t="inlineStr">
        <is>
          <t>ニート</t>
        </is>
      </c>
      <c r="B6401" t="inlineStr">
        <is>
          <t>成功</t>
        </is>
      </c>
      <c r="C6401" t="inlineStr">
        <is>
          <t>読み方：にーと
《nonexercise activity thermogenesis》意識的に行う運動によるものではなく、家事や通勤・通学など日常生活における動作で無意識に消費される熱量。非運動性熱産生。
[補説]エスカレーターでなく階段を使う、散歩の距離を伸ばすなど、NEATの量を増やすことが生活習慣病の予防につながるとされる。</t>
        </is>
      </c>
      <c r="D6401" t="inlineStr">
        <is>
          <t>ニート生活(3%)；ニート予備軍；ニート男性；ニート問題；ニート率</t>
        </is>
      </c>
      <c r="E6401" t="inlineStr">
        <is>
          <t>パラサイト；無為徒食；被扶養者；親がかり；穀潰し</t>
        </is>
      </c>
      <c r="G6401" t="inlineStr">
        <is>
          <t>ニートヴァルデン；ニートヴェルダー；ニート・ニート・ニート；ニートバッシング；ニートコイン</t>
        </is>
      </c>
      <c r="H6401" t="n">
        <v>29</v>
      </c>
      <c r="I6401" t="inlineStr">
        <is>
          <t>ニートという言葉が日本に登場した最初期の頃から開催してきた計算になる。；男性の方が女性よりニートになる割合が高い順に赤&gt;黄&gt;緑&gt;青である。；そのため、ニート株式会社専用のSNSの立ち上げが強く望まれていた。；もへ太は一時ニート系アイドルとして注目されていたこともあった。；その初代怪異殺しの登場で、お前のニート生活に、多少の変化は生じるのか?；カーター、ニートなどの他の資料では、これとは異なる名称が提示されている。；ニートというより、それは噂に聞くヒモという奴のような気もする。；とっくに成人しているのに、親のスネをかじるニート暮らしをしている。；デビュー後のインタビューでも「今もニートです」と語っている。；設立時にはひきこもり・不登校・ニートの状態にある者を対象にした練習コースを設けていた。；また同時に盛んに報じられるようになった言葉に「ニート」がある。；なお秋さんと静子さんはニートなので、サキ自身は彼女達の方を心配している。；イベント出演やモデルなどの仕事をしても肩書きはニート。；ニートや引きこもりとは異なり、実家で暮らしていても就労はしていることもある。；青年の自立支援事業を実施していた人々の間でニートのいる家庭の駆け込み寺となることが期待されていた。；喫茶店を営む実家に母と姉と住む25歳ニートの男の毎日を描くギャグ漫画。；ほかにも、いじめが日常化し深刻になっていましたし、ニート予備軍も大勢いました。；風呂は、ニートの特権いつでも風呂を活用して起きてから好きな時間に入ればいい。；高校卒業後、アルバイトもせず2年間ニートの生活を送りながら釣りをしていた。；また、ニートだと定義されていない35歳以上の中年の無業者も問題になっている。；若者に農業に就かせる『徴農』を実施すれば、ニート問題は解決する。；そんなニート兄妹と家族や友人、お隣さんたちとの日常を描く。；日本におけるニートの定義は若年失業者を除外するため、注意が必要である。；いま見てきたように、フリーターやニートの急増にはマクロな構造的要因があることは明らかである。；Neetcoinは、ニートの支援を目的として作成された暗号通貨である。；NEAT1は数多くの非神経組織および細胞系において構成的に発現している。；一般には、労働者であるためニートではないが、仕事がないため社内でほとんど働いていない労働者のことをさして言う。；大学も仕事も辞めたニートのノアは、母親サンディと二人暮らし。；そろそろ決めないと、ニート以外のなにものでもなくなる。</t>
        </is>
      </c>
      <c r="J6401">
        <f>HYPERLINK("https://www.weblio.jp/content/ニート", "词义详情")</f>
        <v/>
      </c>
      <c r="K6401">
        <f>HYPERLINK("https://yourei.jp/ニート", "查看例句")</f>
        <v/>
      </c>
    </row>
    <row r="6402">
      <c r="A6402" t="inlineStr">
        <is>
          <t>煮え切らない</t>
        </is>
      </c>
      <c r="B6402" t="inlineStr">
        <is>
          <t>成功</t>
        </is>
      </c>
      <c r="C6402" t="inlineStr">
        <is>
          <t>読み方：にえきらない
［連語］態度がはっきりしない。ぐずぐずしている。「—◦ない返事」</t>
        </is>
      </c>
      <c r="D6402" t="inlineStr">
        <is>
          <t>煮え切らない態度(21%)；煮え切らない返事(6%)；煮え切らない性格</t>
        </is>
      </c>
      <c r="E6402" t="inlineStr">
        <is>
          <t>はっきりしない；ごまかす；優柔不断；誤魔化す；優柔不断な</t>
        </is>
      </c>
      <c r="H6402" t="n">
        <v>29</v>
      </c>
      <c r="I6402" t="inlineStr">
        <is>
          <t>想像の中の父はいつも不機嫌な煮え切らない態度でむっつりとしている。；そういう煮え切らないとき、かの女はわたしの胸に取付いて必死に言う。；というより、端から見ていてイライラするほどに煮え切らない性格だった。；この男自身がもともときわめて煮え切らない性質だからであった。；そんな煮え切らない日々がしばらくつづいた、ある日のことである。；反對にこんな煮え切らないことなんて、見てろ、と思つてさへゐた。；そんな俺の煮え切らない思考を、俺の中のもうひとりが罵倒した。；このような種類の戦争は、何と煮え切らないものなのだろう!；それにしても、三造というのは何という煮え切らない男でありましょう。；このまま、煮え切らない関係を続けるのも地獄には違いない。；しかし、現実には、POUMの指導者たちの態度は煮え切らないものだった。；そこへ来ると私はいつも今が今まで私の心を占めていた煮え切らない考えを振るい落としてしまったように感じるのだ。；おそらく彼女は俺の煮え切らない言葉と態度で、俺が彼女に伝えるべきではない何かを知っていると悟った。；これだけ葉の気持ちははっきりしているのに、一緒に住んでいるのに裕生の態度が煮え切らない。；然し、お上は例の通り煮え切らないでいるし、奸党には幕府がついている。；然し、お上は例の通り煮え切らないでいるし、奸党には幕府が付いている。；昔もやはり彼は煮え切らない様子のまま、それでも言いなりに彼女の遊び相手をつとめていた。；そこへもって来て父は穏やかにして置こうと思うので、煮え切らない態度を取るようになる。；丸顔というではなし、さりとて長い顔でもなし、ひどく煮え切らない。；どこか煮え切らない表情でかぶりを振ってから、沙耶はふたたび僕に笑顔を向けた。；デンマークの対スウェーデン政策は煮え切らないものであった。；口では煮え切らないことを云っていたけれども、内心は雪子ちゃんに気があったのに違いない。；喧嘩相手であったせきは、煮え切らない様子であとに残った。；おげんに言わせると、この弟達の煮え切らない態度は姉を侮辱するにも等しかった。；あなたの心はまだグズグズと決めかねてるんですか、なんか、煮え切らないように見えますよ!；グラントには煮え切らない答えを入れた伝言を送っており、降伏した場合にどのような条件になるかを単に心配しており、そのための時が来たわけではないと言っていた。；煮え切らないっても彼のこと嫌いじゃないしさ、今一緒に生きてく相手選ぶとすればやっぱり彼しかいなかった。；彼は細面の美男子だったというが、内気で煮え切らない性格の持ち主だった。；年の離れた恋人が、どうにも煮え切らないと嘆いていたものだ。</t>
        </is>
      </c>
      <c r="J6402">
        <f>HYPERLINK("https://www.weblio.jp/content/煮え切らない", "词义详情")</f>
        <v/>
      </c>
      <c r="K6402">
        <f>HYPERLINK("https://yourei.jp/煮え切らない", "查看例句")</f>
        <v/>
      </c>
    </row>
    <row r="6403">
      <c r="A6403" t="inlineStr">
        <is>
          <t>煮える</t>
        </is>
      </c>
      <c r="B6403" t="inlineStr">
        <is>
          <t>成功</t>
        </is>
      </c>
      <c r="C6403" t="inlineStr">
        <is>
          <t>読み方：にえる
［動ア下一］［文］に・ゆ［ヤ下二］
１鍋(なべ)などの水や汁が十分に熱せられ、中に入れた食物によく熱が通って食べられるようになる。「芋が—・える」
２
㋐水に熱が加えられて熱い湯になる。沸騰する。「—・えた湯で殺菌する」
㋑固体が、熱が加えられたために、熱い液状になる。「コールタールが—・える」
３はげしく怒る。怒りのために心の平静を失う。「業(ごう)が—・える」「—・える腹をこらえる」
４話がまとまる。手を打つ。
「サァ話しが段々—・えて来た」〈露伴・日ぐらし物語〉
５あわてふためいて混乱する。大騒ぎをする。
「勝二郎は追放で八幡は—・える」〈浄・淀鯉〉</t>
        </is>
      </c>
      <c r="D6403" t="inlineStr">
        <is>
          <t>沸騰；湧く；煮る；沸く；煮えたぎる</t>
        </is>
      </c>
      <c r="H6403" t="n">
        <v>29</v>
      </c>
      <c r="I6403" t="inlineStr">
        <is>
          <t>今この瞬間にだってまだ腹の底ではぐらぐらと怒りが煮えているはずだ。；あんな意志の弱い煮えきらない者をおかれても、碌なことはありません。；やがて芋が煮えたというので、姉もおとよさんといっしょに降りてくる。；そういう煮え切らぬ気分のうちに、早くも日がたって初七日の晩のこと。；この混ぜ方が悪いと玉子がダマになったり煮え過ぎたりしていけません。；雪が水になってやがて湯気が立ち昇り、甘い米の煮える匂いがしてきた。；おかげで、私のスパゲッティが煮えすぎてしまったではありませんか。；晩飯は鍋で煮えているから、まあこっちへきて火に当たりなさるがいい。；しかし、ここを逃れてどこに行くつもりであったかと思うと、肝が煮えた。；真九郎は闇絵の器にも煮えた具を入れ、それに白ゴマをかけてから渡した。；そういう煮え切らないとき、かの女はわたしの胸に取付いて必死に言う。；畑の中に南瓜の煮える火を囲んで、私たちは小さな輪をつくっていた。；というより、端から見ていてイライラするほどに煮え切らない性格だった。；立て続けに聞かれるのは、自分の態度が煮えきらないからだろうと思った。；こいつはいい味がでるんだが、あんまり煮えすぎると、苦味がでるからな。；口を利く張合いも抜けてしまうのだが、胸の中はやっぱり煮えている。；ゆき子は一切が判つたものの胸のなかは煮えるやうな腹立たしさであつた。；悩みでもおありなのであろうか、煮え切らなさを感じさせる表情だった。；煮え上がるまで、みんなはぐるりと二つのかまどを囲んで腰をおろした。；二人がそこで何をしていたか、想像しただけでわたしは今も胸が煮えかえる思いだ。；カッと火がついたようになり、喉から煮えた油が出てくるんじゃないかと思った。；その際にはアース神の橋が炎を上げること、川の水が煮えることが語られている。；この男自身がもともときわめて煮え切らない性質だからであった。；心地よい熱を放つ大きなかまどがあり、いつでも鍋で何かが煮えていた。；そこだけが煮えているように見えるが、むろん、そうではなかった。；なぜこんなことになったのか、と幕暮は脳が煮えるほど考えたが答えはでなかった。；力を角して負けたのではないことが、胸の煮えかえるほどに無念であった。；村の中央路は今、祭りに興奮する老若男女で煮えこぼれるようだった。；ふいに滝は全身を煮えるような激しいものに侵されていきなりつっ立った。</t>
        </is>
      </c>
      <c r="J6403">
        <f>HYPERLINK("https://www.weblio.jp/content/煮える", "词义详情")</f>
        <v/>
      </c>
      <c r="K6403">
        <f>HYPERLINK("https://yourei.jp/煮える", "查看例句")</f>
        <v/>
      </c>
    </row>
    <row r="6404">
      <c r="A6404" t="inlineStr">
        <is>
          <t>匂い</t>
        </is>
      </c>
      <c r="B6404" t="inlineStr">
        <is>
          <t>成功</t>
        </is>
      </c>
      <c r="C6404" t="inlineStr">
        <is>
          <t>読み方：におい
１そのものから漂ってきて、嗅覚を刺激するもの。「香水の—」「サンマを焼く—」→臭(にお)い1
２いかにもそれらしい感じ・趣。「都会の—」「生活の—」→臭(にお)い2
３芸能や文芸で、表現の内にどことなくただよう情趣・気分・余情。
４日本刀の刃と地肌との境に現れた、白くかすんだように見える部分。→沸(にえ)
５染め色、襲(かさね)の色目や鎧(よろい)の威(おどし)の配色で、濃い色からしだいに薄くなっていくもの。ぼかし。
６「匂い威(おどし)」の略。
７視覚を通して見られる、鮮やかに美しい色合い。特に、赤色についていう。
「もみち葉の—は繁し然れども妻梨の木を手折りかざさむ」〈万・二一八八〉
８人の内部から立ち現れる、豊かで生き生きした美しさ。
「—多く見えて、さるかたにいとをかしき人ざまなり」〈源・空蝉〉
９はなやかで、見栄えのすること。威光。栄華。
「官(つかさ)、位、世の中の—も、何ともおぼえずなむ」〈源・椎本〉
10声が豊かで、つやのあること。
「答へたる声も、いみじう—あり」〈とりかへばや・一〉
[補説]1、2について、ふつう、好ましいものは「匂い」、好ましくないものは「臭い」と書く。
[用法]におい・かおり——「バラの甘いにおい（香り）が漂う」のように、鼻に感じるここちよい刺激については相通じて用いられる。◇「におい」は良い・悪い・好ましい・不快など、鼻で感じるものすべてについていう。「いいにおい」「アンモニアのにおい」「魚の腐ったようなにおい」◇また、そのもののうちに漂う雰囲気についてもいう。「生活のにおいの漂う文章」◇「香り」は鼻に好ましく感じられるものに限って使われる。「馥郁(ふくいく)たる香り」「香(こう)の香り（薫り）を楽しむ」。また、そのものからおのずから出てくる感じについてもいう。「芸術の香りに満ちた町」</t>
        </is>
      </c>
      <c r="D6404" t="inlineStr">
        <is>
          <t>匂い立つ；匂いが強く；匂いがぷんぷん；匂いたつ；匂いがかすか</t>
        </is>
      </c>
      <c r="E6404" t="inlineStr">
        <is>
          <t>感じ；様子；気分；味；雰囲気</t>
        </is>
      </c>
      <c r="F6404" t="inlineStr">
        <is>
          <t>甘い匂い；香ばしい匂い；強い匂い；臭い匂い；いやな匂い</t>
        </is>
      </c>
      <c r="G6404" t="inlineStr">
        <is>
          <t>匂いフェチ</t>
        </is>
      </c>
      <c r="H6404" t="n">
        <v>29</v>
      </c>
      <c r="I6404" t="inlineStr">
        <is>
          <t>本当に国民の生活を考えている政治家からは土の匂いがするものです。；パチョリ油や香が持つ強い匂いは、他の匂いを消すためにも用いられた。；異なる種またはクローンに由来するドリアンはかなり異なる匂いを持つ。；乗客達は激しい機体の揺れとゴムが焦げたような匂いを報告していた。；スギの葉から作られる線香は匂いよりも煙の量を重視したものである。；大きな魚がどこから近づいても、すばらしい匂いと味を感じられるはずだ。；その時には、犯人が匂いのことまで、まだ気をくばっていなかったのだよ。；ホテルに着くと、洗剤の匂いが気になるからとシーツの張り替えを指示。；フリルがついたような形の、毛が生えた、良い匂いのする葉が特徴である。；ついさっきまで、これと全く同じ匂いをかいでいた様な気がする。；想像した物が食べ物であれば本物と同じ味や匂いもし、食べることもできる。；水洗となったため匂いの問題も解消することまでも可能となった。；両手から血の匂いがするが、水中に広がってる匂いと比べれば何でもない。；危険を感じると、四肢の基部にある臭腺から匂いを出す防御行動を取る。；根茎は黒コショウや松葉を思わせる鼻にツンとくる匂いと強い味を持つ。；両者に共通するのはドアが開いたときに外に漏れてくる大麻の煙の匂いである。；遺伝的に普通の人とは異なってある種の物質の匂いを感じられないヒトがいる。；実際その当時はまだまだ不純物も多く、色や匂いも良いとは言えなかった。；彼は陸の匂いを後にして、朝の海の清々しい匂いの中を漕いで行った。；くさやの匂いや味は島ごとはもちろんだが店ごとにも差がある。；他人や自分の息に匂いが感じられることがあるが、これは様々なことが原因で起きうる。；優れた嗅覚を持つが、毒草や血の匂いなどを嗅ぎ分けることはできない。；若い女性の体臭にのみ含まれ、若い女性特有の良い匂いの原因となる。；この場合食べ物の匂いがしても動かないものには反応しない。；中山の行きつけの店で、匂いの強い酒をコップに五六杯飲んだと記憶する。；乗員の一人がゴムの焼ける匂いがすると報告したので一同で火元を探した。；しかもぬかの中に浸かる為、体にぬかの匂いが染み込んでしまうのも難点。；まだ、あなたの身体の匂いを知る前に、ふたりで桜を見に行ったことがありました。；昨日、女から返された本から漂ってきた匂いと同じ匂いがしました。</t>
        </is>
      </c>
      <c r="J6404">
        <f>HYPERLINK("https://www.weblio.jp/content/匂い", "词义详情")</f>
        <v/>
      </c>
      <c r="K6404">
        <f>HYPERLINK("https://yourei.jp/匂い", "查看例句")</f>
        <v/>
      </c>
    </row>
    <row r="6405">
      <c r="A6405" t="inlineStr">
        <is>
          <t>匂う</t>
        </is>
      </c>
      <c r="B6405" t="inlineStr">
        <is>
          <t>成功</t>
        </is>
      </c>
      <c r="C6405" t="inlineStr">
        <is>
          <t>読み方：におう
［動ワ五（ハ四）］《「丹(に)秀(ほ)」を活用した語で、赤色が際立つ意》
１よいにおいを鼻に感じる。かおりがただよう。「百合の花が—・う」「石鹸がほのかに—・う」→臭う1
２鮮やかに色づく。特に、赤く色づく。また、色が美しく輝く。照り映える。「紅に—・う梅の花」「朝日に—・う山桜」
３内面の美しさなどがあふれ出て、生き生きと輝く。
「純な、朗らかな、恵みに—・うた相が」〈倉田・愛と認識との出発〉
４おかげをこうむって、栄える。引き立てられる。
「思ひかしづかれ給へる御宿世をぞ、わが家までは—・ひ来ねど」〈源・少女〉
５染め色または襲(かさね)の色目などで、濃い色合いからしだいに薄くぼかしてある。
「五節の折着たりし黄なるより紅まで—・ひたりし紅葉どもに」〈讃岐典侍日記・下〉
［動ハ下二］美しく色を染める。
「住吉(すみのえ)の岸野の榛(はり)に—・ふれどにほはぬ我やにほひて居らむ」〈万・三八〇一〉</t>
        </is>
      </c>
      <c r="D6405" t="inlineStr">
        <is>
          <t>匂うような美し；匂うような艶</t>
        </is>
      </c>
      <c r="E6405" t="inlineStr">
        <is>
          <t>嗅ぐ；臭う</t>
        </is>
      </c>
      <c r="F6405" t="inlineStr">
        <is>
          <t>強く匂う；ぷんと匂う；白く匂う；プンプン匂う；よく匂う</t>
        </is>
      </c>
      <c r="H6405" t="n">
        <v>29</v>
      </c>
      <c r="I6405" t="inlineStr">
        <is>
          <t>そのときになって、はじめて道之助から酒の香が匂うのに気づいていた。；室内では強烈に匂うあの匂いも、外ではあまり感じないのかも知れない。；それは房枝を、抱えおこしている婦人の服から匂ってくるものであった。；部屋の中に酒の香が立ち籠め、火鉢の火に蒸れて異様に濃く匂っている。；もう、すでに五十は越している筈だのに、匂うばかりの女らしさである。；例のつめたいあざけりを含んだ微笑が、静かに唇に匂っていたのである。；はっきりした言葉は届かなかったが、不満と怒りの香りが匂ってきた。；取りすましてはいるが、その奥にはどうやら照れ臭そうな雰囲気も匂う。；はっきり言ってあんたたちに所属するものもかすかに匂ってるわ。；階段の上のところにくると、湿った強い香水の匂いが彼の鼻に匂ってきた。；財布だけはじゃこうの匂いがするが、ほかのものはすこしも匂わない。；彼の左の頬にふれて、じー、じーっとおしてくるのは彼女の匂う右の頬。；彼はそっと私に頬を寄せ、香草の匂う息を吹きかけてきたのだったと思う。；若さが匂うような、この明るい日射しの下でいかにも快げな二人である。；どの木が放つのかわからなかったが、バニラの芳香が何度となく匂った。；男子の尻にも、犬の尻同様、持ち主のデータが匂っているといえるだろう。；それは父の優しい性格がそのまま味い沁みて匂うているようなものであった。；ほんの僅かに見える頬の緊張と、意を決したような声に、覚悟が匂う。；そして微笑を湛えた芳子の匂うような美しさに、人々は目を瞠っていた。；まだ子供だと思っていたのに、女らしい体臭がその部屋に匂っていた。；凋れた花の甘い匂いや仏に捧げた香の香りが、微風に紛れて匂って来た。；黒と白だけに統一した服装に包んだ体に、年増盛りの女が匂うようだった。；父祖の汗の匂うこの土地が、文彦らの世代の新しい仕事を待っている。；その拍子に女の体にしみた香水の香が省三の魂をこそぐるように匂うた。；青年の若い肉体の香りが、ごくかすかに、しかし鋭くまだ匂っていた。；屋根がひくく狭い船房へ入ると、其角の口に酒が匂っているのがわかった。；そしてそれはアップヘヤも似合い、全体が匂うように娘々して来ていた。；十六、七の少女は人間のなかで一番生命力と美とが花のように匂う短い期間である。；匂わせる以上の悪口を喋れば彼女は良妻でなくなってしまうのだから。</t>
        </is>
      </c>
      <c r="J6405">
        <f>HYPERLINK("https://www.weblio.jp/content/匂う", "词义详情")</f>
        <v/>
      </c>
      <c r="K6405">
        <f>HYPERLINK("https://yourei.jp/匂う", "查看例句")</f>
        <v/>
      </c>
    </row>
    <row r="6406">
      <c r="A6406" t="inlineStr">
        <is>
          <t>苦い</t>
        </is>
      </c>
      <c r="B6406" t="inlineStr">
        <is>
          <t>成功</t>
        </is>
      </c>
      <c r="C6406" t="inlineStr">
        <is>
          <t>読み方：にがい
［形］［文］にが・し［ク］
１舌を刺激し、口がゆがむような嫌な味である。「餅が黒焦げになって—・い」「—・いコーヒー」→五味(ごみ)
２不快である。おもしろくない。にがにがしい。「交渉決裂の報に—・い顔をする」
３つらくて苦しい。その事を考えたり思い出したりするのも嫌である。「—・い思い」「—・い経験」
[派生]にがさ［名］にがみ［名］</t>
        </is>
      </c>
      <c r="D6406" t="inlineStr">
        <is>
          <t>苦い顔(18%)；苦いもの(7%)；苦い思い(5%)；苦い味(4%)；苦い表情(2%)</t>
        </is>
      </c>
      <c r="E6406" t="inlineStr">
        <is>
          <t>ひどい；苦しい；痛い；辛い；つらい</t>
        </is>
      </c>
      <c r="F6406" t="inlineStr">
        <is>
          <t>苦いコーヒー；苦い体験；苦い顏；苦い後悔；ホロ苦い</t>
        </is>
      </c>
      <c r="G6406" t="inlineStr">
        <is>
          <t>苦い涙</t>
        </is>
      </c>
      <c r="H6406" t="n">
        <v>29</v>
      </c>
      <c r="I6406" t="inlineStr">
        <is>
          <t>こうなってはさすがのアインシュタインも苦い顔をしている事であろう。；実際的な、又は肉体的な苦しさは、あまり無かったのではないだろうか?；やはり、苦い薬も自分にまわってくれば飲まなければなりませんからね。；そして西日に向う熱そうなこわい大きい顔に苦しそうな汗が流れている。；昨日は例外に終日起きていたせいか夫人は苦しがって横になっていた。；二人は、過去の苦い記憶を悉く忘れて、本当の姉妹のやうに愛し合つた。；と考えると、祐亨は口のなかに苦い味がひろがってきたような気がした。；実際又その質に於て、ああいう苦しさは初めてであるのも実際ですが。；どんな仕事でも人殺しの苦い味がつくとたちまち趣味が下落してしまう。；私の廿代はこうした苦い空白のうちに過ぎて行ってしまうのでしょうか。；しかしいくら理由が通っていても、殺される者の苦しさは同じである。；前者は少し苦い味であるが後者は長いあいだ保存されたものである。；おせんが本当に生きる苦しさを経験したのはそれからのちのことであった。；女は、警部の腕にもたれかかつているが苦しそうに身体をもがいている。；夕食後に、妻の入れてくれたコーヒーが、妙に、苦かったことがあった。；苦い後悔と一緒に、その気持ちはずっと残っていくのかもしれなかった。；当時の球団経営の苦しさを物語るエピソードとしては以下のものがある。；冗談をいうときには、きっとそれが、皮肉な、苦い冗談になってるだよ。；警部はまだ苦い顔をしたまま、ハッター家のひとたちと食事をしていた。；父が苦しそうに、それでもかなりの大きい声を出して怒っております。；お前は労働者と農民の苦しさを知らぬのだと人々は云うであろう。；そして二人の男は、怒りに顔を紅潮させ、苦い想いを心に抱いて別れた。；彼はこう云ってそこへ倒れ、頭をぐらぐらさせながら苦しそうに喘いだ。；あまり心浮き立つ夢ではなかったためだろう、吉住は口の中が苦かった。；同じように苦しさの故に労働を避けるなら、真に労働しているのではない。；と樹くんの顔を見ると、かれは口元に苦い笑みを浮かべているだけだった。；それは苦し気の呼吸の中に私の耳にそう聞えた響きに過ぎなかったかも知れない。；補祭は興奮していて、苦しそうに息をし、相手の眼を見るのを避けていた。；むしろ弟の立場の苦しさをもっともよく理解しているのは兄ひとりだともいえる。</t>
        </is>
      </c>
      <c r="J6406">
        <f>HYPERLINK("https://www.weblio.jp/content/苦い", "词义详情")</f>
        <v/>
      </c>
      <c r="K6406">
        <f>HYPERLINK("https://yourei.jp/苦い", "查看例句")</f>
        <v/>
      </c>
    </row>
    <row r="6407">
      <c r="A6407" t="inlineStr">
        <is>
          <t>逃がす</t>
        </is>
      </c>
      <c r="B6407" t="inlineStr">
        <is>
          <t>成功</t>
        </is>
      </c>
      <c r="C6407" t="inlineStr">
        <is>
          <t>読み方：にがす
［動サ五（四）］
１捕らえていたものを放してやる。また、逃げさせる。「つかまえた蝉(せみ)を—・す」「かくまっていた人を—・す」
２捕らえようとしたものをつかまえそこねる。「獲物を—・す」「チャンスを—・す」
[可能]にがせる</t>
        </is>
      </c>
      <c r="D6407" t="inlineStr">
        <is>
          <t>逃がすまい(4%)；逃がすべく；逃がすべき；逃がす算段をつける；逃がすまじ</t>
        </is>
      </c>
      <c r="E6407" t="inlineStr">
        <is>
          <t>放つ；逃す；ふける；放す</t>
        </is>
      </c>
      <c r="F6407" t="inlineStr">
        <is>
          <t>とり逃がす；逃がすなッ；取逃がす</t>
        </is>
      </c>
      <c r="H6407" t="n">
        <v>29</v>
      </c>
      <c r="I6407" t="inlineStr">
        <is>
          <t>ところがそうはしないで本気でかれらを逃がしてやることを考えている。；ただ自分の立場と自分の身とを安全なところへ逃がすというだけのことだ。；しかし口のうるさい世間の人がそれをそのままに見逃がす筈がなかった。；一方、恒温になると逆に熱を逃がす手段が問題となると考えられている。；この偶然の好機を逃がしてなるものかと、両手を挙げたい気持であった。；この四人の者と子供を逃がさないようにして、いっしょに連れて行こう!；遠くへ逃がすために鬼の話をでっち上げたと見ればすべてに辻褄が合う。；それを知る機会をここで逃がしては、何のために来たのかわからない。；この次に買い手が現われたとき、きみを逃がさないようにするためにね。；そのため組織から追われて家族を逃がした後バハマへ行き逃亡生活をした。；地上にいた頃のセドナが逃がしたとも、自ら船を造って去ったとも言う。；イヌなどが走るときに舌を出すのは、体温を逃がすためと言われている。；頭の中が鬱血して爆発しそうになるのを、うめき声で少しずつ逃がした。；疲れ切っているならライフルの反動をうまく逃がすことができなくなる。；「女を逃がしてやれ」人々はそれに応ずるように身体を左右に動かした。；眠ってる間に、どれだけ生活をとり逃がしてしまうかわからないもの。；その腰のあたりが、ムギの爪で切り裂かれているのも見逃がさなかった。；新留さんは窓を開け、煙草の煙を外に逃がしながら片手で運転していた。；彼の才能を認めていたペリクレスは、彼を獄舎から逃がしてやりました。；こんなわけだからモデルになった者は優遇して逃がさぬようにしたのである。；彼は神のような心を抱きながら、或機会をとり逃がそうとしていた。；このチャンスを逃がすようであれば、男であることを辞めたほうがよい。；最初の頃のように驚くこともなく、窓を開けて外に逃がしてやった。；自分を犠牲にして私を逃がしてくれた文子の心も無になってしまう。；お前を助け出したときに、ガリア国境で俺たちを逃がしてくれたやつだ!；外国へ逃がしたほうが、事件が表ざたになったとき、はるかに有利です。；その報酬として逃がしてやったというのに、もう一度戻ってくるとはな。；男は、この大きさまで育つのは大変だったろうと、蛤を逃がしてやった。；ところがあなたは、そのために二、三人の友達を取逃がすかもしれない。</t>
        </is>
      </c>
      <c r="J6407">
        <f>HYPERLINK("https://www.weblio.jp/content/逃がす", "词义详情")</f>
        <v/>
      </c>
      <c r="K6407">
        <f>HYPERLINK("https://yourei.jp/逃がす", "查看例句")</f>
        <v/>
      </c>
    </row>
    <row r="6408">
      <c r="A6408" t="inlineStr">
        <is>
          <t>苦手</t>
        </is>
      </c>
      <c r="B6408" t="inlineStr">
        <is>
          <t>成功</t>
        </is>
      </c>
      <c r="C6408" t="inlineStr">
        <is>
          <t>読み方：にがて
［名・形動］
１扱いにくく、いやな相手。なかなか勝てなくて、いやな相手。また、そのようなさま。「あいつはどうも—だ」
２得意でないこと。また、そのさま。不得手。「数学の—な人」
３不思議な力をもつ手。その手で押さえると、腹の痛みはおさまり、蛇は動けなくなって捕らえられるなどという。
「天性—といふものにて、小児の虫つかへをさするに妙を得て」〈浮・娘気質・三〉</t>
        </is>
      </c>
      <c r="D6408" t="inlineStr">
        <is>
          <t>苦手意識(2%)；苦手な人；苦手な食べ物；苦手なんです；苦手科目</t>
        </is>
      </c>
      <c r="E6408" t="inlineStr">
        <is>
          <t>非；傷；嫌い；欠点；足元</t>
        </is>
      </c>
      <c r="F6408" t="inlineStr">
        <is>
          <t>いちばん苦手；唯一苦手；苦手な教科；苦手な部類；苦手なユーザー</t>
        </is>
      </c>
      <c r="H6408" t="n">
        <v>29</v>
      </c>
      <c r="I6408" t="inlineStr">
        <is>
          <t>ただし、決して嫌っている訳では無く、単に苦手にしているだけである。；プロストは雨のレースを極端に苦手としている、と評されることが多い。；本来、人前に出るのが苦手でモデル初期は撮影に大変苦労したという。；本人曰く守備が好きで打撃は苦手、投手を務めるのも嫌だったと言う。；しかし業界に入ったときはかなり体が硬かったそうで、踊りは苦手だった。；しかし最大の苦手北天佑には初顔以来6連敗を喫するなど壁も多かった。；おれや宮下は段取りを考えることはできても実行を指揮するのはにが手だ。；今ではある程度得意であるが、意外にもデビュー当時は英語が苦手だった。；根本的に対人関係を苦手・苦痛としている者が起こるのが前提である。；マヨネーズは苦手で、皿に付着しているものを洗うのもできないという。；詩は小学生頃から書き始めたが、これは話すことが苦手であったためである。；特にアガシを苦手としており、6連敗と一度も勝つことができなかった。；京とは対照的に機械が苦手という設定があったが、そのような描写が無い。；なお、心・技・体の全てを兼ね備えているが、自動車の運転は苦手である。；ますの教育の方法もあり、後に人に反論できない論戦の苦手な青年となる。；その理由とは・・・女の子のトラウマがあり、女の子がニガテである。；また、ハードロック・ヘヴィメタルは苦手な音楽であるとも語っている。；ただ幼い竜は話すのが苦手なので、心言で相手へ意思を伝達をする。；そのため、英語が苦手だと、実験を作成するうえでの自由度が制限される。；この頃すでにモンテプリンスは重馬場が苦手であることが明白になった。；・「降らせ物」が苦手で、大量に物が降ってくるとすぐに泣いてしまう。；苦手な作文が入試科目になかったのも、浦高を受けた大きな理由だった。；以上のように不死身で弱点などなさそうであるが、苦手なものはある。；しかし、トラウマが苦手になった時や動揺したときは口調が元に戻る。；加えて直接地上が見える状態であるため、高所が苦手な人は注意を要する。；隣接系統の放出系・変化系では放出系寄りとされ、変化系はやや苦手とする。；褒められるのが苦手な天然だが、急にハイテンションになることがある。；本人曰く「あまり萌えないので男の子を描くのは比較的苦手」とのこと。；運動は苦手分野の一つとなっていて、テニスやカポエラなどの描写はない。</t>
        </is>
      </c>
      <c r="J6408">
        <f>HYPERLINK("https://www.weblio.jp/content/苦手", "词义详情")</f>
        <v/>
      </c>
      <c r="K6408">
        <f>HYPERLINK("https://yourei.jp/苦手", "查看例句")</f>
        <v/>
      </c>
    </row>
    <row r="6409">
      <c r="A6409" t="inlineStr">
        <is>
          <t>似通う</t>
        </is>
      </c>
      <c r="B6409" t="inlineStr">
        <is>
          <t>成功</t>
        </is>
      </c>
      <c r="C6409" t="inlineStr">
        <is>
          <t>読み方：にかよう
［動ワ五（ハ四）］互いによく似ている。「—・った顔立ち」</t>
        </is>
      </c>
      <c r="D6409" t="inlineStr">
        <is>
          <t>近づく；寄ってくる</t>
        </is>
      </c>
      <c r="H6409" t="n">
        <v>29</v>
      </c>
      <c r="I6409" t="inlineStr">
        <is>
          <t>旧方式では似通った二つの方式での記述があり、混乱の元となっている。；現在の彼女の中には、以前のあの女に似通ったところは少しもなかった。；それほどまでに、男から受ける印象は姿を消した魔術師と似通っていた。；実際に逮捕された木村の風貌は、この女性の証言とかなり似通っていた。；しかし驚くべきことに、どちらも非常に似通った結果を出したという。；基本的なことを言えば、様々な科学的学問は次のような点では似通っている。；二人は互いにその身に着いた雰囲気に似通ったものを持っていた。；あなたたち全ての人間がどれも似通っているのは奇妙なことだわ。；これらは非常に似通っていたが、一方で内部設計には差異が見られた。；彼らの性格や嗜好は様々だが、不思議と目だけは似通っているように思う。；計算の大半の過程はプランクの法則における計算と非常に似通っている。；ただこれと似通った別の奇妙な話を一つ記憶している人がいる。；過剰消費の議論は、人口規模とその増加・人間開発のそれと似通っている。；御兄弟のことで、さすがに亡き君によくぞ似通わせられたお姿である。；それはさっきの目的を見いだした目に似通っていたが、光がなかった。；すると敵人も隣人に亦あまりにもよく似通ってはいないでありましょうか。；その中で特に軌道要素が似通ったもの同士を族と呼ぶようになった。；これは同時代に流行していたやヒッピーのムーブメントに似通っている。；性質が開明獣と似通っていることから、両者は同一視されることがある。；しかし軍帽の下の顔は、同じ型にはめられて作られたように似通っていた。；その印象は外国人が日本人の微笑を不気味に思うのと似通っている。；一方、70年代は比較的似通っていた彼らの音楽形態も次第に多様化する。；あの時の式と昨夜の電話の式が似通っていたって事もわかってる。；でも似通ったアルバムとも思われたくないし、急いで作ったとも思われたくない。；共通しているものや、内容が似通っているが名前や外見が異なるものがある。；その時彼は、雷王の表情に、自分と非常に似通ったところがあるのを発見した。；どの石も似通った形をしているが、中央にある刻印が異なっていた。；第三書は言語的には第二書とも、他のヨハネ文書とも似通っている。；民族移動時代の後、西バルト語群はいくつかの似通った言語に分裂した。</t>
        </is>
      </c>
      <c r="J6409">
        <f>HYPERLINK("https://www.weblio.jp/content/似通う", "词义详情")</f>
        <v/>
      </c>
      <c r="K6409">
        <f>HYPERLINK("https://yourei.jp/似通う", "查看例句")</f>
        <v/>
      </c>
    </row>
    <row r="6410">
      <c r="A6410" t="inlineStr">
        <is>
          <t>にきび</t>
        </is>
      </c>
      <c r="B6410" t="inlineStr">
        <is>
          <t>成功</t>
        </is>
      </c>
      <c r="C6410" t="inlineStr">
        <is>
          <t>読み方：にきび
思春期の男女の顔・胸・背の毛包に生じる小さな丘疹(きゅうしん)や膿疱(のうほう)。皮脂の分泌が増えて毛穴に詰まり、炎症を起こしたもの。尋常性痤瘡(じんじょうせいざそう)。面皰(めんぽう)。アクネ。
[補説]毛穴が詰まり、分泌された皮脂が毛穴の奥にたまって膨らんだものを白にきび、たまった皮脂が毛穴を押し広げて空気に触れ、酸化して黒く見えるものを黒にきびという。そこから移行して、細菌が増殖し毛穴やその周囲に炎症が起きたものを赤にきびという。膿が出たり痛みを伴うことが多い。</t>
        </is>
      </c>
      <c r="D6410" t="inlineStr">
        <is>
          <t>にきび面(14%)；にきびだらけ(10%)；にきび治療薬；にきび治療薬</t>
        </is>
      </c>
      <c r="H6410" t="n">
        <v>29</v>
      </c>
      <c r="I6410" t="inlineStr">
        <is>
          <t>くせっ毛で、目が大きくてにきび面の、芯のある低い声をした子だった。；彼女の行動を見れば、そのわけは太陽の下のにきびほど明らかだった。；もともと目が笑っているので、愛敬はあるが、にきびのできた赤ら顔だ。；舌をだしてみたり、眼をむいてみたり、にきびをつぶしたりしていた。；昨夜、自分の鼻の頭に吹き出したにきびを見ようと思ったのである。；にきびができたとでもいってるような口調だった。；顔にいっぱいにきびの跡があって、目も鼻も小さくて、口だけがとても大きかった。；しかし、わたしはにきびも出さず、頭痛も起こさず、嘔吐もしなかった。；現在ではにきび、気管支炎、痛風などの治療に用いられることがある。；ただ変化と言えば、にきびが熟して黒くなったり、穴があいたりしただけだった。；十七八の、まだ少年といってよいほどの幼い顔だが、額や頬のあたりには、もう大きなにきびがいくつも出来ていた。；黒い水にはにきびのように盛大に空気の粒があがっている。；干物屋の娘のせいか、いつもにきびがどこかに出来ている。；だれがあんなにきびだらけの河野なんかと接吻するもんですか。；それにこの年齢の青年たちでわたしにはいやなことだが吹き出たにきび、動いている血のしるしが嫌だった。；肌にはにきびの痕が一面に深く残っています。；他の治療に抵抗を示す、耐性にきびに推奨できる証拠はなかった。；もちろん、右の手では、赤く頬に膿を持った大きなにきびを気にしながら、聞いているのである。；この男は一度も、にきび顔の役人のほうを向いたことがなく、初めから公爵にだけ話を持ちかけていたのである。；「きみの趣味は別の方面に向いているそうじゃないか」 扉が開いて、にきび面の若者が入ってきた。；紺絣の着物に、短い小倉の袴をはいた、にきびだらけの青年なのだ。；まだ顔ににきびの跡が残る、二十そこそこの青年だった。；「いずみ」 彼女は足を止め、同僚のにきびの吹き出た顔を見つめた。；別れるときにさかんだった顔のにきびはもう見えなかった。；まだ若いらしく、首筋の粗い皮膚には、大きなにきびが吹き出ている。；片方のにきび面の男と二人きりになったとき、そいつはあたしに「チューして」と言った。；そして本物の戦争の挿話を幾つか話したが、それはにきびの多い中学生たちの興味をそそるに充分なものであった。；半年前に見たときより、また上背ものび、にきび面も赤らんでいる。；提灯の光にうかぶにきびに赤らんだその顔は無邪気そうで、知っていて何かを隠しているとも見えなかった。</t>
        </is>
      </c>
      <c r="J6410">
        <f>HYPERLINK("https://www.weblio.jp/content/にきび", "词义详情")</f>
        <v/>
      </c>
      <c r="K6410">
        <f>HYPERLINK("https://yourei.jp/にきび", "查看例句")</f>
        <v/>
      </c>
    </row>
    <row r="6411">
      <c r="A6411" t="inlineStr">
        <is>
          <t>賑やか</t>
        </is>
      </c>
      <c r="B6411" t="inlineStr">
        <is>
          <t>成功</t>
        </is>
      </c>
      <c r="C6411" t="inlineStr">
        <is>
          <t>読み方：にぎやか
［形動］［文］［ナリ］
１人などが多く集まって活気のあるさま。「—な会合」「店がたくさんできて—になる」
２物音や人声などが盛んに聞こえるさま。よくしゃべったりして陽気なさま。「—な笑い声」「—な人」
[派生]にぎやかさ［名］</t>
        </is>
      </c>
      <c r="D6411" t="inlineStr">
        <is>
          <t>賑やかな通り；賑やかな声；賑やかな街；賑やかな場所；賑やかな町</t>
        </is>
      </c>
      <c r="E6411" t="inlineStr">
        <is>
          <t>面白い；楽しい；活発；陽気；うるさい</t>
        </is>
      </c>
      <c r="F6411" t="inlineStr">
        <is>
          <t>明るく賑やか；賑やかな話し声；賑やかな食事；賑やかな日々；ひどく賑やか</t>
        </is>
      </c>
      <c r="G6411" t="inlineStr">
        <is>
          <t>賑やかす；賑やかそ；賑やかさ</t>
        </is>
      </c>
      <c r="H6411" t="n">
        <v>29</v>
      </c>
      <c r="I6411" t="inlineStr">
        <is>
          <t>人の住んでいる街道、家並のある道、それは何と賑やかなものでしょう。；大分陽気も暖かになりましたから広島も賑やかになつてゆくことでせう。；あの明るい賑やかなところはいったいどこのあたりにあるのだろう。；もちろん、私の家にも面白い時も賑やかな折も随分あるにはあります。；そこからは幅三尺ばかりの露地で、抜けると広くて賑やかな通りへ出た。；彼等は家を出、賑やかな町並とは反対に、小石川台の奥へ入って行った。；どちらまでと訊かれたので、賑やかなところでおろしてくれと答えた。；なぜこんな賑やかな酒宴をはじめたのか、彼女にはまるでわからなかった。；物静かな兄と比べ賑やかな性格で、名古屋ではムードメーカー的な役割。；そこへ塩野は気軽に二人の傍へ近より板についた賑やかな握手をした。；宿へ歸つて晝飯を食つてゐる頃から、宿が又昨日に増して賑やかになつた。；この頃は常に参拝する人もいて、祭りには接待もあって特に賑やかだった。；かれは奥の部屋の賑やかな談笑の声を聞きながら独り侘しく箸をとった。；我々は桜の森に花がさけば、いつも賑やかな花見の風景を考えなれている。；あたりは、そんなに静かなのに、彼の住居では賑やかに人声が聞えていた。；と、そのとき平作は警察の奥から賑やかな音が起っているのに気がついた。；賑やかな音楽につれて波立った人の心は皆楽しくにぎやかにゆれて居る。；その翌日の晩もまた、お囃子の音が賑やかに宵のうちから響き出しました。；塩釜の町ほどの賑やかさはなく、もつと古代のにほひがするやうに感じた。；そして何となくもの足りないような心持で、賑やかな前の町へ帰って来た。；相談ごとが終わると円陣の人々は、手を高くあげて賑やかに拍手した。；立山町の中心部にある駅で、特に駅の東側が賑やかな市街地となっている。；この様に多くの繁華街を抱える鐘路区は昼夜を問わず賑やかな街である。；死んだら加賀の人達は喜び、賑やかに野辺送りをしてくれるに違いない。；人を大勢使うという人相ではないが、賑やかなことが大好きな人である。；蘭子の家を出て、細い通りを半丁ほど行くと、賑やかな電車通りがある。；少くとも次郎には、何かしら、いつもより賑やかなように感じられた。；暗い家の中はその小さいものゝ出現によつて、急に賑やかに、明るくなつた。；この家の賑やかな空気が、もう十分に、彼の心を幸福にしてしまっていたのである。</t>
        </is>
      </c>
      <c r="J6411">
        <f>HYPERLINK("https://www.weblio.jp/content/賑やか", "词义详情")</f>
        <v/>
      </c>
      <c r="K6411">
        <f>HYPERLINK("https://yourei.jp/賑やか", "查看例句")</f>
        <v/>
      </c>
    </row>
    <row r="6412">
      <c r="A6412" t="inlineStr">
        <is>
          <t>握る</t>
        </is>
      </c>
      <c r="B6412" t="inlineStr">
        <is>
          <t>成功</t>
        </is>
      </c>
      <c r="C6412" t="inlineStr">
        <is>
          <t>読み方：にぎる
［動ラ五（四）］
１手の指全部を内側へ曲げる。また、そのようにして、物をつかんだり、持ったりする。「こぶしを—・る」「ペンを—・る」「車のハンドルを—・る」
２物事をとらえて自分のものとする。手中に収める。「実権を—・る」「政権を—・る」「大金を—・る」
３重要な事柄を確実につかむ。「相手の弱みを—・る」「秘密を—・る」「証拠を—・る」
４握り飯や握りずしを作る。「好みのねたを—・ってもらう」
５ゴルフなどの勝負事で、金品を賭ける。
→掴(つか)む［用法］
[可能]にぎれる
[下接句]キャスティングボートを握る・采柄(さいづか)を握る・財布の紐(ひも)を握る・手に汗を握る・手を握る</t>
        </is>
      </c>
      <c r="D6412" t="inlineStr">
        <is>
          <t>握るべく；握るべき；握る曹操</t>
        </is>
      </c>
      <c r="E6412" t="inlineStr">
        <is>
          <t>得る；把握；獲得する；所有する；つかむ</t>
        </is>
      </c>
      <c r="F6412" t="inlineStr">
        <is>
          <t>強く握る</t>
        </is>
      </c>
      <c r="H6412" t="n">
        <v>29</v>
      </c>
      <c r="I6412" t="inlineStr">
        <is>
          <t>ヒルカノスは彼が権力を握った時に選んだ名前であると考えられている。；マヨラナがドイツに到着したのと時を同じくしてナチスが権力を握った。；権力を握ったヌルハチの自分への態度が尊大になることに不満を覚えた。；手に握られた石から、まるで何かの力が流れ込んでくるかのよう・・・。；特に本作の敵は炎を弱点とするため、これらを利用した戦略が鍵を握る。；そして医師が言葉をつづけるときも、二人の手は握られたままであった。；ポケットからその手が出されたとき、それには紙マッチが握られていた。；ヒトラーは政権を握った際、自らに独裁権を与えることを主張していた。；そして、そこにエリーが現れ彼に手を握らせて自身の記憶を彼に見せる。；しかし一度自然と結合する時、驚くべき創造が彼らの手に握られてくる。；三船は両手で刀を握って八双の構えをとり、膝だけで馬を制御している。；これには連合の結成において同盟が主導権を握っていたことに起因する。；見ると、石になっている彼女が小さな紙切れを握っていることに気付く。；私は此自己本位といふ言葉を自分の手に握つてから大変強くなりました。；しかし強大な権限を握っていた政治工作系統は蔣経国の指示に抵抗した。；「まあそれより何かお飲みなさいよ」と言って徒弟の手に何か握らせた。；その上、僕の詩の鍵を握った連中は、概して僕を外界から守ってくれた。；すると小間使は、伸びてゐた私の腕の先に木刀を握らせて引きさがつた。；これを握つて物も言はず五六杯お酒をひつかけて新聞社へ駈けて行つた。；この時代メソポタミアの政治的な主導権を握ったのはアムル人であった。；すると、またさっきの男が金貨を出して、少年の手に握らせようとする。；首が命とつながって考えられる理由は、個体の命を頭が握っているためである。；誰が権力を握るのか分からなくなったポーランド国家は混乱状態となった。；手は胸に寄せて握られており、閉じられた左手は右手の内側に置かれている。；このとき東彦命はその竹槍を右手にグツと握つたとたんに右方へ押した。；彼の時計を持って居る手は、後から出て来た頑丈な手にしっかり握られた。；双系制社会でも男性が指導権を握っていることに変わりはなかった。；老優の手は軽く膝の上で握られ、白い整った顔は動こうともしなかった。；各名が先に網のついた長い棒を手に持ち、先を川に沈めて棒の端を握っている。</t>
        </is>
      </c>
      <c r="J6412">
        <f>HYPERLINK("https://www.weblio.jp/content/握る", "词义详情")</f>
        <v/>
      </c>
      <c r="K6412">
        <f>HYPERLINK("https://yourei.jp/握る", "查看例句")</f>
        <v/>
      </c>
    </row>
    <row r="6413">
      <c r="A6413" t="inlineStr">
        <is>
          <t>賑わう</t>
        </is>
      </c>
      <c r="B6413" t="inlineStr">
        <is>
          <t>成功</t>
        </is>
      </c>
      <c r="C6413" t="inlineStr">
        <is>
          <t>読み方：にぎわう
［動ワ五（ハ四）］《「わう」は接尾語》
１人が集まるなどしてにぎやかになる。「行楽客で—・う」
２豊かになる。繁盛する。「一門が—・う」「店が—・う」</t>
        </is>
      </c>
      <c r="D6413" t="inlineStr">
        <is>
          <t>成功；発展；繁栄；振興；横行</t>
        </is>
      </c>
      <c r="F6413" t="inlineStr">
        <is>
          <t>大いに賑わう；大変賑わう；訪れ賑わう</t>
        </is>
      </c>
      <c r="H6413" t="n">
        <v>29</v>
      </c>
      <c r="I6413" t="inlineStr">
        <is>
          <t>ちょうどモーターショーが開催されていて、大勢の人々で賑わっていた。；閉店直後も写真を撮影したりオリジナルの紙袋をもらう客らで賑わった。；ホテルの廊下がこれほど賑わっているとは双見は思ってもみなかった。；側面の増築部分には飲食店が多数入居しており大勢の人で賑わっている。；女の人はお尻の埃を払うと、まだ撤収で賑わう境内の方へ去っていった。；祭りは年数回不定期で開催され、市場とミニコンサートで賑わっている。；古くから庶民の信仰の対象となり、季節を問わず参拝客で賑わっている。；ちょうど昼食の時間ということもあって、食堂内はとても賑わっていた。；現在は境内の中だけになったが、それでも多くの人で賑わっている。；移転前の当社は鎮守の森に覆われ、例祭の時は大変賑わっていたという。；通りはレイフォンたちと同様に昼食を済ませた学生たちで賑わっている。；発着する列車本数が上田駅よりも多かったために当駅周辺は賑わっていた。；十階はレストラン街で、昼時ということもあり、どの店も賑わっていた。；東へ向かう乗り合い馬車の発着所まで、賑わう街なみを見ながら歩いた。；夏になっても特に賑わうこともないある田舎の海辺の町を舞台にしたストーリー。；偶然にも平野町へ来ると六の日とみえて、ここも夜店で賑わっていた。；この日は運賃不要で乗車できたことから多くの人で列車が賑わったという。；稲荷付近の商店街を過ぎると、大駐車場などがある賑わった通りになる。；この日は全国の木材関係者をはじめ、多くの崇敬者で境内は賑わうという。；花の季節がもうそこに迫っている日曜日のせいか、町は人で賑わっていた。；他に乗客がいなかったので、車中は先生たちの歌や踊りで賑わった。；その話をすると、ひとしきりオールドコースの話題でテーブルが賑わう。；どのテーブルも歌声と議論で賑わっているらしく、騒音が渦巻いていた。；海岸線が美しい観光地であり、夏になると海水浴を楽しむ人々で賑わう。；綿流しが近付くと会合も多くなるから、自転車もまた賑わうことになる。；休日や連休になると連日車の渋滞が起きるなど多くの客で賑わっていた。；A市は祭りで賑わっていたが、かえってこれが人目を欺く死角になった。；好景気で賑わっている他の店とは違う趣がボードウォークの売りだった。；また、小中高生も参加し、他の集落からも参加するため賑わっている。</t>
        </is>
      </c>
      <c r="J6413">
        <f>HYPERLINK("https://www.weblio.jp/content/賑わう", "词义详情")</f>
        <v/>
      </c>
      <c r="K6413">
        <f>HYPERLINK("https://yourei.jp/賑わう", "查看例句")</f>
        <v/>
      </c>
    </row>
    <row r="6414">
      <c r="A6414" t="inlineStr">
        <is>
          <t>肉</t>
        </is>
      </c>
      <c r="B6414" t="inlineStr">
        <is>
          <t>成功</t>
        </is>
      </c>
      <c r="C6414" t="inlineStr">
        <is>
          <t>読み方：しし
１人のからだの肉。
「身(せい)は短(ひく)き方にて、—肥満(こえ)たり」〈柳浪・黒蜥蜴〉
２猪(いのしし)・鹿(しか)などの食用肉。
「猪(ゐ)の—、鹿(か)の—はしらず」〈平家・一一〉</t>
        </is>
      </c>
      <c r="D6414" t="inlineStr">
        <is>
          <t>肉塊(3%)；肉づき(2%)；肉體；肉身；肉切り</t>
        </is>
      </c>
      <c r="E6414" t="inlineStr">
        <is>
          <t>食肉；果肉；肉類；ミート；獣肉</t>
        </is>
      </c>
      <c r="F6414" t="inlineStr">
        <is>
          <t>白い肉；赤い肉；犬肉；新鮮な肉；乾肉</t>
        </is>
      </c>
      <c r="G6414" t="inlineStr">
        <is>
          <t>肉体的；肉親；肉眼；肉食；肉屋</t>
        </is>
      </c>
      <c r="H6414" t="n">
        <v>29</v>
      </c>
      <c r="I6414" t="inlineStr">
        <is>
          <t>そのような文化もあり、生物の和名には肉の色が採用されることが多い。；このことは血と肉によってでなく天におられる父によって示されている。；食性から肉に毒が含まれることもあり、食べた人が中毒死した例もある。；脂肪が多い肉を食べるようにすると、2日以内に身体は完全に回復した。；韓国には患者の手術後の回復のために犬肉を差し入れる習慣がある。；食肉市場で取引された枝肉は食肉加工場で大分割されブロック肉となる。；彼の影響で、イギリスの農民は主に肉用に家畜を繁殖させるようになった。；ラバ肉は、中国で特に生産され、次いでスペインで少量生産されている。；肉を食べることもあるが、儀式などの特別な時以外はあまり食べられてはいない。；肩肉のチョップはたいていロインよりも質が落ちると考えられている。；古くからクジラから採取した肉や皮を食べる習慣がある国や地域が存在する。；牛乳やチーズは一般的な製品で、肉や卵のために鶏や鳩が飼われていた。；地上で肉身を持つ場合、ある者は男、またある者は女の姿を取る。；日本の解体法とは異なるため、輸入肉のみに存在するカットである。；この際には、この新発見された島で得たラッコの毛皮や肉も持ち帰られた。；日本でもその肉が、流通量こそ多くないものの食用とされている。；塩が足りないと、肉面に黒点ができて肉が軟らかすぎて形が整わなくなる。；カルニチン同様、肉と魚に多く含まれ、植物にはほとんど含まれない。；赤ワインは、肉であれば何であれ、食事の味の濃さに応じて使われる。；例えばメイラード反応で糖と反応させると肉の香りを持つ成分が生成する。；スイス国内での犬肉の流通は禁止されているが、消費する事自体は黙認されている。；ただし、いくつかの病気の治療に肉をあげる記述も存在する。；罠にかかった動物の肉や、餌として用いられていれば魚の肉も食べる。；肉のみを食料とする種も多く、ほとんどの地域で食物連鎖の頂点にいる。；また、アヒルの肉を柔らかくするため、腹の中には湯が入れられている。；マグロの肉以外でも、脂が乗っている状態の肉をトロと言う事がある。；男性の去勢を行う宮刑は当時の概念では肉刑には入っていなかった。；イギリスでは伝統的に、高級料理としてハクチョウの肉が供されていた。；流通している肉は、牛肉が最も多く安価であり、豚肉の方が高価である。</t>
        </is>
      </c>
      <c r="J6414">
        <f>HYPERLINK("https://www.weblio.jp/content/肉", "词义详情")</f>
        <v/>
      </c>
      <c r="K6414">
        <f>HYPERLINK("https://yourei.jp/肉", "查看例句")</f>
        <v/>
      </c>
    </row>
    <row r="6415">
      <c r="A6415" t="inlineStr">
        <is>
          <t>憎い</t>
        </is>
      </c>
      <c r="B6415" t="inlineStr">
        <is>
          <t>成功</t>
        </is>
      </c>
      <c r="C6415" t="inlineStr">
        <is>
          <t>読み方：にくい
［形］［文］にく・し［ク］
１そのものに強い抵抗感・不快感を抱くさま。許しがたく思って嫌うさま。にくらしい。「冷酷な犯人が—・い」「不正を許す社会が—・い」
２（しゃくにさわるほどすぐれている、の意で反語的に）感心すべきである。たいそう好ましい。「なかなか—・い趣向だ」「—・いことを言うね」「三拍子そろった—・い選手」
３見苦しい。みっともない。
「—・き顔を鼻などうち赤めつつ」〈源・松風〉
４気がひける。はしたない。
「我ながら—・き心かなと」〈源・宿木〉
[派生]にくがる［動ラ五］にくげ［形動］にくさ［名］</t>
        </is>
      </c>
      <c r="D6415" t="inlineStr">
        <is>
          <t>憎い奴(4%)；憎い敵(3%)；憎い相手(3%)；憎い男(3%)；憎い女(2%)</t>
        </is>
      </c>
      <c r="E6415" t="inlineStr">
        <is>
          <t>大嫌い；いまいましい；忌まわしい；忌わしい；憎らしい</t>
        </is>
      </c>
      <c r="F6415" t="inlineStr">
        <is>
          <t>憎いはず；心から憎い；奪った憎い；ほんに憎い；そんなに憎い</t>
        </is>
      </c>
      <c r="H6415" t="n">
        <v>29</v>
      </c>
      <c r="I6415" t="inlineStr">
        <is>
          <t>彼とて、実は黒所の中で憎からず思っている女子がいないわけではない。；東京に夢を寄せ上京して来たばかりの少女を殺した犯人が憎くはないのか。；あの子供たちを見ながら、あの子供たちの親が憎くて仕方がなかったわ。；私だって娘や孫を殺した犯人は憎い、一日も早く捕まってほしいと思う。；その憎気ないいぐさといったら、通常の耳をもって聞くことができない。；あれだけ大勢を殺した憎き犯人を見つけ出したいとは思わねぇのかよ?!；もう二度とこの二人を憎いやつと思うことはできないような気がした。；もし社長が正しいとするなら、そういう正しさのある世の中が憎かった。；自分の愛を振り切って、他の男のもとに去った憎っくき女のはずである。；今なにかをしたから憎いんじゃなくて、これまでの記憶が憎いんじゃろ。；そう思うと自分を尻目に陽の高い今も悠々と眠っている志方が憎くなる。；小野の小町 あなたはそんなにわたしたちを憎いと思っているのですか?；その後、村人は憎が村から出て行った姿を見たものがいないと噂しあった。；以前のように、そう憎いとは思わないが、愛しているとは絶対にいえない。；ただし、自分とオウムが似ているのを絵にかいた奴が憎いのではない。；意地の悪いのを憎いと思う者もあれば、醜い格好を嫌っている者もいた。；それほど私が憎いのなら、と故意に別れを拒否してやろうかとも考える。；それを用いた謙信の手際も敵ながら小憎いほどこんどは鮮やかであった。；おれはこの女が憎いが、そんなにまでして傷つけようとは思わないんだ。；あたしはこれまでついぞ一度も、これほど人を憎いと思ったことはないわ!；俊郎のことを憎いとは思っていたが、殺すことなど考えたこともない。；取られたものが大切であればあるだけ、取った奴のことが憎くなる。；それはどうみてもイタズラ小憎がそのまま大きくなったような笑い方だった。；婆は憎いが、この翁にむかっては彼は喧嘩を売るわけにはいかなかった。；おれも事件を早く片づけたいし、君も友達を殺したやつが憎いだろう。；私のことが憎くって、それで今度は自分が救い主になれると思っている。；知らない人には取り敢えず愛想を振ってしまう自分の外面のよさが憎い。；いくらお侍が憎くても、知らんふりしていれば帰国はのびるばかりだ。；その大尽の襟もとに付いて、浪人者の自分を袖にした女の心が憎かった。</t>
        </is>
      </c>
      <c r="J6415">
        <f>HYPERLINK("https://www.weblio.jp/content/憎い", "词义详情")</f>
        <v/>
      </c>
      <c r="K6415">
        <f>HYPERLINK("https://yourei.jp/憎い", "查看例句")</f>
        <v/>
      </c>
    </row>
    <row r="6416">
      <c r="A6416" t="inlineStr">
        <is>
          <t>肉眼</t>
        </is>
      </c>
      <c r="B6416" t="inlineStr">
        <is>
          <t>成功</t>
        </is>
      </c>
      <c r="C6416" t="inlineStr">
        <is>
          <t>読み方：にくがん
１肉体にそなわっている目。望遠鏡・顕微鏡などを用いない生来の視力。「—では見えない星」
２⇒にくげん（肉眼）</t>
        </is>
      </c>
      <c r="D6416" t="inlineStr">
        <is>
          <t>肉眼的(7%)；肉眼で確認(2%)；肉眼で確認；肉眼ではっきり；肉眼観察</t>
        </is>
      </c>
      <c r="F6416" t="inlineStr">
        <is>
          <t>肉眼的血尿；肉眼視できる；肉眼観測；肉眼で視認できる；肉眼で観察できる</t>
        </is>
      </c>
      <c r="H6416" t="n">
        <v>29</v>
      </c>
      <c r="I6416" t="inlineStr">
        <is>
          <t>温泉などである程度塊になっていると肉眼でも観察できる場合がある。；明るい薄明中の空でも肉眼で見え、明るくなっていく様子が捉えられた。；肉眼では見たくても見えんもんを、居ながらにして監視できるんだからな。；翌1974年には地球に接近し、肉眼でも観測できるほど明るくなった。；この時点で日中でも肉眼で観察できるほどに彗星は明るくなっていた。；大変視力が鋭い人が25個もの星を肉眼で見たとする記録が残されている。；今見ている倍の高さが目の前にあるはずなのに、肉眼が追いつかないのだ。；いずれもよく似ており、しかも小さいから肉眼ではまず判断できない。；これを手でもちあげれば、肉眼では見えないが、指の跡がつくものです。；悪魔にしか見えない何かの変化があるのだろうが、肉眼では特別なことはない。；だから肉眼で見えるものに、本気になって注意を払っているとはいえない。；天と地を結ぶ巨大な柱となるアトラスを肉眼で全て捉えるのは不可能だ。；従って、どこに生えているか、人間が肉眼で発見することはできない。；月がない晴れた夜には肉眼でもぼんやりとかすんで見ることができる。；肉眼では十分見分けられぬけれど、二つとも横に流れた蹄状紋であった。；肉眼での観測は、日の出前にすでに判明していたことを確認しただけだった。；症状は肉眼で確認できない場合もあり、集団発生の場合は急死例が多い。；そこで、肉眼による観察以外の新しい地層分析の技術が求められている。；それらは肉眼で見る事が出来るものもあり、より小さなものもある。；この倍率にすると、それは肉眼で見た月の一〇倍の大きさに見える。；また肉眼では見えん惑星をこの天体力学の力で探しあてたこともある。；この性質は他の白金族鉱物と類似しており、肉眼的判別は不可能である。；老優のおだやかな瞳には、肉眼で見える世界以上のものが見えていたのだ。；奇形とは、主に生物が先天的に肉眼形態上の異常を持っていることを指す。；肉眼では星雲状に見えるが、目の良い人は幾つかの星を分離できる。；後退して肉眼では見えなくなった後も天文学者によって追跡が行われた。；どちらも小さく暗い赤色矮星のため、地球から肉眼で見ることはできない。；しかし月の世界の秘密は肉眼で見る以上に、わからなかったのでした。；Vバンドは、人間の肉眼で見たときの等級に非常によく対応している。</t>
        </is>
      </c>
      <c r="J6416">
        <f>HYPERLINK("https://www.weblio.jp/content/肉眼", "词义详情")</f>
        <v/>
      </c>
      <c r="K6416">
        <f>HYPERLINK("https://yourei.jp/肉眼", "查看例句")</f>
        <v/>
      </c>
    </row>
    <row r="6417">
      <c r="A6417" t="inlineStr">
        <is>
          <t>憎しみ</t>
        </is>
      </c>
      <c r="B6417" t="inlineStr">
        <is>
          <t>成功</t>
        </is>
      </c>
      <c r="C6417" t="inlineStr">
        <is>
          <t>読み方：にくしみ
憎いと思うこと。憎悪の気持ち。「—に満ちたまなざし」「周囲の—を買う」</t>
        </is>
      </c>
      <c r="D6417" t="inlineStr">
        <is>
          <t>憎しみ合う；憎しみあう；憎しみあい；憎しみゆえ</t>
        </is>
      </c>
      <c r="E6417" t="inlineStr">
        <is>
          <t>怒り；憎悪；恨み；嫌悪；悪意</t>
        </is>
      </c>
      <c r="F6417" t="inlineStr">
        <is>
          <t>強い憎しみ；お憎しみ；深い憎しみ；はげしい憎しみ；烈しい憎しみ</t>
        </is>
      </c>
      <c r="H6417" t="n">
        <v>29</v>
      </c>
      <c r="I6417" t="inlineStr">
        <is>
          <t>閣下やわたくしなどには想像もつかぬような怒りと憎しみをもってです。；その一人は恋のために、もう一人は憎しみのために夫を毒殺したのです。；他にも一人の者が、この愛と憎しみとの競技を寛大な眼で見守っていた。；私だってあの人に対して憎しみの感情を抱くだけの十分な理由があるわ。；右の河は貪りや執着の心を表し、左の河は怒りや憎しみをそれぞれ表す。；頭にきたニコラスは、これまでの支えだった憎しみを思い出そうとした。；何ものかの心がここに出て、かかる憎しみを自然な愛に戻さねばならぬ。；あなたの憎しみの言葉は、鉛のようにわたくしの心のうちに残っています。；こんなに辛い目にあってもお前は怒りや憎しみの言葉を口にしない。；わたしは、なにもある一部の人たちにかぎって憎しみがあるのではない。；肌の白い眉の濃い女が来ると、伊代の心の中には何とない憎しみが湧いた。；そしてそれらのものから僕等三人は一種の憎しみの的となった。；憎しみと抵抗は彼女の中ですっかり溶けてしまったかのようだった。；愛のおわるところには、もうきっと憎しみがはじまっているものだから。；兄の顔に憎しみ以外の表情が浮かぶのを見たのは、いったい何年ぶりだろう?；憎しみや心の闇を糧に成長するが、復活には母体となる人間が必要となる。；肉にまで押し進んでも更に悔いと憎しみとを醸さない恋こそは真の恋である。；私に憎しみはありませぬ、このお願ひ、この身のみならず敵の為にも。；その質子まで殺されたほどの憎しみをうけたままでいる臣である。；その土地は脅威あるいは憎しみの異常な反応を引き起こすように見られた。；見ただけでわたしは、さっきの管理人のおびえや、憎しみが理解できた。；その結果は多くの場合互いの心を堅くし、憎しみを育てることに終わる。；彼は嫉妬や憎しみを抱いた者に対してはどんな嘘や中傷も平気で用いる。；かつて味わった事のないこの憎しみの心を葉子はどうする事もできなかった。；その眼は憎しみの石であり、然し概ねあきらめの澱みの底に沈んでゐた。；わたしは憎しみの故にやったのではない、すべては栄誉のためにやったことだ。；全身の血を憎しみに染め、復讐だけが唯一の喜びとなってしまった兄。；だがもし、その愛と同じ程度の、憎しみが傍にあるとしたらどうなりましょう。；新しい意味に於いて憎しみと嘲りと怒りとの自由をとりかへしたい。</t>
        </is>
      </c>
      <c r="J6417">
        <f>HYPERLINK("https://www.weblio.jp/content/憎しみ", "词义详情")</f>
        <v/>
      </c>
      <c r="K6417">
        <f>HYPERLINK("https://yourei.jp/憎しみ", "查看例句")</f>
        <v/>
      </c>
    </row>
    <row r="6418">
      <c r="A6418" t="inlineStr">
        <is>
          <t>肉親</t>
        </is>
      </c>
      <c r="B6418" t="inlineStr">
        <is>
          <t>成功</t>
        </is>
      </c>
      <c r="C6418" t="inlineStr">
        <is>
          <t>読み方：にくしん
親子・兄弟など、非常に近い血縁関係にある人。</t>
        </is>
      </c>
      <c r="D6418" t="inlineStr">
        <is>
          <t>肉親たち(2%)；肉親以上；肉親同士；肉親愛；肉親以外</t>
        </is>
      </c>
      <c r="E6418" t="inlineStr">
        <is>
          <t>家族；一族；親戚；親族；ファミリー</t>
        </is>
      </c>
      <c r="F6418" t="inlineStr">
        <is>
          <t>親しい肉親；身近な肉親</t>
        </is>
      </c>
      <c r="H6418" t="n">
        <v>29</v>
      </c>
      <c r="I6418" t="inlineStr">
        <is>
          <t>肉親を失った人間が、あの娘の気持ちをわからないはずがないだろうが!；肉親の顔を見るのも、いまではさして魅力のある事ではなくなつてゐる。；何年も前に失ったと思っていた肉親が、ここにひとり残っていたのだ。；私は二人の肉親である妹たちの顔を見る時に一層強くその不如意を感じた。；これは宇宙飛行士の軌道滞在中に肉親が死去した初のケースとなった。；肉親と男友達の情愛に、見送られているぼくは幸福には違いありません。；彼らを待ちわびている肉親たちの元に無事に連れて帰るのが私の任務なのだ。；どんな小さながらくたでも肉親のものには限りない思いがつながっている。；こんなにも心を籠める人は、肉親のほかはめったにいないように思われた。；母や妹とも、肉親の絆でしっかり結ばれていると信じきっていたのだ。；反いた性格であって、二人の友情は肉親も及ばないほど濃密なのである。；ジャクソンの肉親は戦争の間に全て死亡し、彼はイギリス軍を非難した。；肉親には会ったことがなく、私の育ての親を本当の親だと思うことにしました。；高知にいる成岡の肉親たちも、心配していたという点では同様であった。；彼女は、母がなくなったので、唯一の肉親の父親のもとに向かうところだ。；それが肉親のものであっても、いつまでも死に拘泥してはいられない。；安心させるようないいかげんな文句で肉親の者や友達を、寄せつけない。；今までなら、肉親の事を考えて、胸が苦しくなる事など、なかったのだ。；藤吉郎の家庭にはまた、三人の肉親が来て、ひとつに暮すことになった。；あの、一年の半分を雪に覆われた美しい城と、その中に待つ唯一の肉親とに。；こうなると、お妙の唯一の肉親である弟の静馬もだまってはいられない。；真のプロフェッショナルとは、肉親にもそうと気付かせないものですよ。；肉親の兄弟、姉妹が、自分にその夫と妻とを選ぶことができるのだそうです。；殊に父と不和になつてから、肉親の愛を換し得るのはたゞ妹だけだつた。；女は恋をすると、肉親や世間へ嘘をつかねばならなくなるらしい。；伊勢に住んでいる何人かの肉親や親しい者の顔が眼に浮かんで来た。；また肉親を次々と癌で失った経験から、医療関係に題材を取った小説も多い。；母といい、兄といい肉親の愛情のまえでは、ひとことの文句も言えません。；上京を希望した後も、肉親への愛情を断ちがたいことに苦悩していた。</t>
        </is>
      </c>
      <c r="J6418">
        <f>HYPERLINK("https://www.weblio.jp/content/肉親", "词义详情")</f>
        <v/>
      </c>
      <c r="K6418">
        <f>HYPERLINK("https://yourei.jp/肉親", "查看例句")</f>
        <v/>
      </c>
    </row>
    <row r="6419">
      <c r="A6419" t="inlineStr">
        <is>
          <t>肉体</t>
        </is>
      </c>
      <c r="B6419" t="inlineStr">
        <is>
          <t>成功</t>
        </is>
      </c>
      <c r="C6419" t="inlineStr">
        <is>
          <t>読み方：にくたい
生身のからだ。生きている人間のからだ。肉身。</t>
        </is>
      </c>
      <c r="D6419" t="inlineStr">
        <is>
          <t>肉体的(7%)；肉体そのもの；肉体面；肉体強化；肉体年齢</t>
        </is>
      </c>
      <c r="E6419" t="inlineStr">
        <is>
          <t>身；体；身体；ボディ；体躯</t>
        </is>
      </c>
      <c r="F6419" t="inlineStr">
        <is>
          <t>美しい肉体；若い肉体；白い肉体；豊満な肉体；健康な肉体</t>
        </is>
      </c>
      <c r="G6419" t="inlineStr">
        <is>
          <t>肉体関係；肉体労働；肉体改造；肉体美；肉体労働者</t>
        </is>
      </c>
      <c r="H6419" t="n">
        <v>29</v>
      </c>
      <c r="I6419" t="inlineStr">
        <is>
          <t>一方で交換されて別の肉体に閉じ込められた相手からも知識を引き出す。；やがて肉体は女性でも自身を男性として愛してくれる女性と同棲に至る。；しかし、乗ってくれば肉体的な疲れは感じさせない盛り上がりを見せる。；高度な進化の末に肉体を失った種族とされ、宇宙アメーバとも呼ばれる。；年齢に反して未だに魅力的な肉体と長いブルネットの髪を維持している。；海上では、肉体鍛錬と同時に写真を撮ることを趣味とするようになった。；体の肉体部分と機械部分が完全なバランスの元で調整されている。；人類種もその一種だったが、肉体の弱い人類はこの宇宙で滅亡しつつあった。；恋愛至上主義は、精神的な恋愛を神聖視して、肉体的な恋愛は否定する。；象徴的に黄色は霊や直感などを表し、赤は肉体や人間的感情を表している。；主人公は廃ビルへと連れ込まれ、不思議な力で魂と肉体を分離させられる。；自分の肉体を周囲の大気やエネルギーに変化・同化させることが可能である。；その肉体は不老不死に近く、鬼を食べなくても飢えるだけで死にはしない。；太古より存在するその思念体は、現在の香港である男の肉体を手に入れた。；欲や煩悩は無いが、物質や肉体の束縛からは脱却していない世界である。；精神の力をもって肉体の限界を超越することを基本としている。；また、聖皇学園では選手たちの肉体を改造する人体実験を行っていた。；多重人格といわれてもひとつの肉体に複数の人格が宿った訳ではない。；そのような意味で、肉体がそのまま精神であり、精神は肉体である。；この世に人として現れた仏の肉体の死を指すこともある。；肉体から離れた霊魂を脱魂とか遊離魂などと呼ぶことは行われている。；そのため肉体はユイのコピー的なものとは言えるがクローンとは言えない。；彼女は自分の肉体維持のためにオリジナルの富江の鮮血を求めていたのだった。；負の生命の精霊力で活動しており、肉体のみ、霊体のみであるものもいる。；この両者の関係は情熱的なものではなく肉体的なものだった。；甲賀・伊賀とも選ばれた10人は皆、驚くべき肉体や技を持った者ばかり。；肉体がないと意識は生まれないが、意識は肉体には還元されない。；肉体を共有しているため、バーディーの負傷はつとむの負傷にもなる。；こうして肉体に宿って無事地上に出て来たこと自体が奇蹟なのだ。</t>
        </is>
      </c>
      <c r="J6419">
        <f>HYPERLINK("https://www.weblio.jp/content/肉体", "词义详情")</f>
        <v/>
      </c>
      <c r="K6419">
        <f>HYPERLINK("https://yourei.jp/肉体", "查看例句")</f>
        <v/>
      </c>
    </row>
    <row r="6420">
      <c r="A6420" t="inlineStr">
        <is>
          <t>憎たらしい</t>
        </is>
      </c>
      <c r="B6420" t="inlineStr">
        <is>
          <t>成功</t>
        </is>
      </c>
      <c r="C6420" t="inlineStr">
        <is>
          <t>読み方：にくたらしい
［形］［文］にくたら・し［シク］いかにも憎らしい。なんとも憎らしい。にくったらしい。「—・い口をきく」
[派生]にくたらしげ［形動］にくたらしさ［名］</t>
        </is>
      </c>
      <c r="D6420" t="inlineStr">
        <is>
          <t>憎たらしい顔(3%)；憎たらしい相手；憎たらしい表情</t>
        </is>
      </c>
      <c r="E6420" t="inlineStr">
        <is>
          <t>大嫌い；憎い；いまいましい；腹立たしい；憎らしい</t>
        </is>
      </c>
      <c r="H6420" t="n">
        <v>29</v>
      </c>
      <c r="I6420" t="inlineStr">
        <is>
          <t>私は野菜の間を元気に憎たらしく駆けまわっていた兎の姿を思い出した。；ああいうことを彼にやらせて、うっとりとしている奥さんも憎たらしい。；誰だって憎たらしい子よりは、かわいい子のほうが好きに決まっている。；俺はただ、あの憎たらしい、頭の悪い母親を殺したいって言っただけだよ。；どれだけ憎たらしい相手であっても、引き金を引く事ができなかったのだ。；憎たらしい姿だったが、頬を膨らませる貴子は心の中で彼女に礼を言った。；沙都子の憎たらしいような笑顔を見て、それらがどうして想像できよう。；そう思い至ってしまった自分が、上条当麻は憎たらしくて仕方がなかった。；九死に一生を得て立ち上がった三十郎の憎たらしい顔は忘れもせぬよ。；何事もなかったかのように、北村の顔は憎たらしいほどさっぱりしている。；横木が五段もある憎たらしい門をとびこえる時に怪我をしたもので。；おりた睫毛が長くて揃っててなんて憎たらしい、と秀麗はぼんやり思う。；私が訪ねていったことへのあの憎たらしいあてこすりといったら!；世間的に見て、そんなに悪い良人でもなく、憎たらしい父親でもない。；くああもうこの何もしないでぴちぴちしてる一〇代が憎たらしい!!；実際会ってみるとジェーンは憎たらしくなるほど落ち着き払っていた。；おかげで気兼ねなくこいつを憎たらしく思うことができるってもんだ。；父はいっこうにこたえない母を見て、ますます憎たらしくなったのだろう。；この憎たらしいマクシムの、邪魔立てしていることは、百も承知の彼だった。；そこへあの憎たらしい警察がやってきて、彼を逮捕したのよ。；わたしは彼に返事もしなかったけれど、彼は小憎たらしいほど平気な顔で離れていった。；それにしても、少女をとらえている大男の憎たらしいことはどうであろう。；想像をすればするほど、憎たらしくなってくるのに、私は想像せずにはいられなかった。；目の前にいる奈美子が、あの瞬間、とてつもなく憎たらしくなったのだ。；どんなに憎たらしい役でも、どこか憎めない可愛らしさを感じてしまうのだ。；スピードが速いわけではないが簡単に捕まえることができない憎たらしい奴である。；あたしも心の中であの子のせいで井上は変わっちゃったんだって、憎たらしく思ってたから。；憎たらしいとか恐ろしいとかを可愛いと言うのかもしれない。；身体の中に残っているアルコールが、憎たらしい臭いを放っている。</t>
        </is>
      </c>
      <c r="J6420">
        <f>HYPERLINK("https://www.weblio.jp/content/憎たらしい", "词义详情")</f>
        <v/>
      </c>
      <c r="K6420">
        <f>HYPERLINK("https://yourei.jp/憎たらしい", "查看例句")</f>
        <v/>
      </c>
    </row>
    <row r="6421">
      <c r="A6421" t="inlineStr">
        <is>
          <t>憎む</t>
        </is>
      </c>
      <c r="B6421" t="inlineStr">
        <is>
          <t>成功</t>
        </is>
      </c>
      <c r="C6421" t="inlineStr">
        <is>
          <t>読み方：にくむ
［動マ五（四）］
１よくないこと、本来あってはいけないこととして許しがたく思って嫌う。他人の言動などに強い不快の感情をいだく。憎いと思う。「不正を—・む」「戦争を—・む」「—・むべき犯罪」
２自分に不利益をもたらすものとして嫌う。「恋敵を—・む」
３非難する。なじる。
「人の—・むをよしと言ひ、ほむるをも悪(あ)しと言ふ人は」〈枕・三一九〉
[可能]にくめる</t>
        </is>
      </c>
      <c r="D6421" t="inlineStr">
        <is>
          <t>憎むべき(27%)；憎むだろ；憎むべく；憎むべし；憎むまい</t>
        </is>
      </c>
      <c r="E6421" t="inlineStr">
        <is>
          <t>嫌；嫌い；憎悪；嫌悪；嫌う</t>
        </is>
      </c>
      <c r="F6421" t="inlineStr">
        <is>
          <t>激しく憎む；もっとも憎む；かの憎む；実に憎む；憎むべき蛸博士</t>
        </is>
      </c>
      <c r="H6421" t="n">
        <v>29</v>
      </c>
      <c r="I6421" t="inlineStr">
        <is>
          <t>そして生きているかぎりきっとその女を憎みつづけてやるのだと思った。；だれよりも憎んでいる男の手に自分の娘の命をまかせたことも知らずに。；お前達はまだわたしがお前達を仇のように憎んで居ると思って居るのか。；銀行のなかで働いている者が、みんな銀行のやることを憎んでいるんだ。；あなたにかれらを憎む個人的な理由があるとは、わたし知らなかったの。；この見解の相違のためにずいぶん議論をし、憎みあったものであります。；金がないものですから私は憎むべき田舎にしばりつけられていたのです。；警察の連中はみんな私のことは知ってるし、私のことを憎んでやしない。；実にいい人たちだった彼らが、如何にして全宇宙を憎むようになったか。；御弟子になった上でこんなことでは仏様も未練をお憎みになるでしょう。；あなたが受けられた危害は、敵があなたを憎んだことから生れたのです。；彼はわたしを憎む以外には何もせずに、大半の時間を過ごしていたと思う。；僞善の特に憎むべきはその矛盾が詐欺によつて成立してゐるからである。；かつての政敵の中でも特に彼を憎む連中が権力の座についていたのだ。；家族を殺した憎むべき相手に関して、彼が知り得たのはそれだけだった。；憎みたくても、その対象が亡くなっているのだから憎みようもなかった。；犬はお角になついていたが、お角はよっぽど犬を憎んでいたのでしょう。；彼は私を理解していなかったし、私のことを、いくぶん憎んでさえいた。；だがモンテーニュはそういう習慣を一切憎み避けるわけでは決してない。；今まで彼女を愛していたのと同じくらい、ぼくは彼女を憎むだろうね。；彼のつもりではずっと前からかれらを憎んでいたような気がしていた。；そうしないとあんたたちが手に入らないし、敵を憎ませることができない。；そのあげくついには、わたしも彼女を憎まなくてはならなくなるだろう。；おそらくまた彼女はあの男を未来の夫と見て憎んでもいるんだろう。；忘れてはいけないよ、あの女はブラウンリーを仇にして憎んでいたのだ。；あたしがサイモンを憎んでいるふりをするのは何でもないことでした。；もし短い時間に人を憎むことができるなら、愛することもできるわけだ。；人の宿命の悲しさに思いいたれば、憎むべきなにものもあるはずはない。；それきりあいつ、丁重に構えて表には出さないが、ぼくを憎んでるんだ。</t>
        </is>
      </c>
      <c r="J6421">
        <f>HYPERLINK("https://www.weblio.jp/content/憎む", "词义详情")</f>
        <v/>
      </c>
      <c r="K6421">
        <f>HYPERLINK("https://yourei.jp/憎む", "查看例句")</f>
        <v/>
      </c>
    </row>
    <row r="6422">
      <c r="A6422" t="inlineStr">
        <is>
          <t>憎らしい</t>
        </is>
      </c>
      <c r="B6422" t="inlineStr">
        <is>
          <t>成功</t>
        </is>
      </c>
      <c r="C6422" t="inlineStr">
        <is>
          <t>読み方：にくらしい
［形］［文］にくら・し［シク］
１気にさわって許しがたく思うさま。ひどくしゃくにさわるさま。にくい。「言い方がいちいち—・い」「私を捨てたあの人が—・い」
２気にさわるほどすばらしい。にくい。「—・い心配り」
[派生]にくらしがる［動ラ五］にくらしげ［形動］にくらしさ［名］</t>
        </is>
      </c>
      <c r="D6422" t="inlineStr">
        <is>
          <t>憎らしい奴；憎らしい顔；憎らしい女；憎らしい気</t>
        </is>
      </c>
      <c r="E6422" t="inlineStr">
        <is>
          <t>大嫌い；憎い；いまいましい；忌まわしい；忌わしい</t>
        </is>
      </c>
      <c r="F6422" t="inlineStr">
        <is>
          <t>本当に憎らしい</t>
        </is>
      </c>
      <c r="H6422" t="n">
        <v>29</v>
      </c>
      <c r="I6422" t="inlineStr">
        <is>
          <t>今度の奥さんがこんな趣味をもっているのかと思うと、すこし憎らしい。；この状況でも嘘をついてしまう自分の舌がこのときばかりは憎らしかった。；馬鹿なことを言ってしまったと思い、そのためにヒスイが憎らしかった。；現在私がかうして今死なうとしてゐてさへ誰も憎らしい人はないのです。；この男ほど私が生涯で憎らしく思った奴はおそらく一人もあるまい。；あの料理店とうぐいすがわたしには倍も憎らしいものになったからだ。；運転してた若い男は、かすり傷程度でピンピンしてたのが憎らしくてね。；そういうところが、親からすると憎らしいくらいに見えるんだそうだ。；そうして終いには殺してしまいたいくらい憎らしくなって来るんです。；お前はもう死んでるのよ、そう、学校の生活なんて、憎らしい日なんて。；それをいいことにして、気まま勝手な生活を始めてしまった夫が憎らしい。；出て来てからそのときの話をきくと、まあ何と憎らしいことでしょう!；けど、そんな平和で単純なあの子が、自分は憎らしくもあったのです。；賢そうに不動の陀羅尼を読んで印を組んでいるようなのも憎らしいがね。；その敵を相手に商売をして、憎らしい人たちからお金をむしりとってやる。；今までにも、ちょっとしたことでルーンを憎らしく思ったことはあった。；憎らしくない悪妻を何組かの夫婦を登場させ様々なパターンで描く。；それが憎らしいと言って、姫の側もいよいよ攻撃の仕方がむごくなる。；山チイだけがひどく悠然としているので憎らしくなっていってやった。；目の前にある京都産の松茸が、急に憎らしく思えて仕方がなかったのである。；あの憎らしい隣のクソジジイの家に置いて来たらどうなるんだろう?；この憎らしい性格設定したの、わたしだから文句言いようがないわね。；それに男の何でもないやうな顔をしてゐるのが憎らしかつた。；今頃、マージャンをしているに違いない夫が、急に憎らしくなりました。；そう思う事が『悪』になってしまう今の状況が、この上なく憎らしかった。；やはりきっかけを作った人を目の前にして、憎らしく思わないわけはないのだから。；それを憎らしがつて私はよく茶色の籠をかぶせてやつたものだつた。；そしてこの友人等の敵になる石川県人が訳もなく憎らしくなった。；ただ一人、有彦だけがにやにやとこっちを見ているのが何とも憎らしい。</t>
        </is>
      </c>
      <c r="J6422">
        <f>HYPERLINK("https://www.weblio.jp/content/憎らしい", "词义详情")</f>
        <v/>
      </c>
      <c r="K6422">
        <f>HYPERLINK("https://yourei.jp/憎らしい", "查看例句")</f>
        <v/>
      </c>
    </row>
    <row r="6423">
      <c r="A6423" t="inlineStr">
        <is>
          <t>逃げ出す</t>
        </is>
      </c>
      <c r="B6423" t="inlineStr">
        <is>
          <t>成功</t>
        </is>
      </c>
      <c r="C6423" t="inlineStr">
        <is>
          <t>読み方：にげだす
［動サ五（四）］
１逃げてその場から立ち去る。「—・したい気分」
２逃げはじめる。「敗色濃厚になって兵が—・す」</t>
        </is>
      </c>
      <c r="D6423" t="inlineStr">
        <is>
          <t>逃げ出すだろ；逃げ出すべき；逃げ出すかもしれ；逃げ出すような真似</t>
        </is>
      </c>
      <c r="E6423" t="inlineStr">
        <is>
          <t>脱出；逃げる；逃亡；降りる；逃走</t>
        </is>
      </c>
      <c r="F6423" t="inlineStr">
        <is>
          <t>逃げ出すかも；あわてて逃げ出す；巻いて逃げ出す；何とか逃げ出す；さっさと逃げ出す</t>
        </is>
      </c>
      <c r="H6423" t="n">
        <v>29</v>
      </c>
      <c r="I6423" t="inlineStr">
        <is>
          <t>つまり、犯人は姉の部屋の窓からも逃げ出すことはできなかったのです。；この場から、悲鳴を上げて逃げ出さないでいるだけで限界だというのに。；しかし、夏になって、彼女は彼の正式な許可を得ずにそこを逃げ出した。；どうしても逃げ出さなくちゃならない、どこかでひとりにならなくちゃ。；彼はどうかして逃げ出さうと思つて窓を離れて暗い中を反対の方へと歩いた。；彼はどうかして逃げ出そうと窓を離れて暗い中を反対の方へ歩いた。；他の兵士らは村から追い出されて、逃げ出すよりほかに仕方がなかった。；両親を捨てて、身ひとつで逃げ出さなくてはならなかったようなことが。；しかも、その最中に子が「悪魔」を見て逃げ出すように家を出たという。；逃げ出されては困ると心配して、あんな真似をするのではあるまいか。；啓太の家から逃げ出そうとしていたともはねは、玄関の前で足を止めた。；その場に立っていることもできず、その場から逃げ出すこともできず!；慌てて友人達は逃げ出そうとするがどういうわけかドアが開かない。；逼塞したこの生活を、死の世界へとはいえ飛んで逃げ出そうとしたのだ。；さて終わってみますと、こんどはいかにその場から逃げ出すかが問題です。；おい君、君が逃げ出す時に、シャツやなんかに火をつけてきたと言ったね。；犯人はどうしても邸内から外へ逃げ出すわけはないということになった。；ならば、一刻も早く学園都市から逃げ出そうとするのが筋てはないのか。；三人一緒に逃げ出すのが不可能なら、自分ひとりだけでも脱出しなければ。；彼はあわててそれを口に押しこみながら、座敷の方に逃げ出そうとした。；それで兄は、こうして遠くに逃げ出さざるをえないことになりました。；わたしは床に倒れたままの格好でこの家を逃げ出そうと決心した。；この腕を見せた段階で逃げ出されでもしていたら、話はできなかったからな。；逃げ出さなければならぬ、これと言ってはっきりした理由はなかった。；僕はまた、逃げ出す機会がなくつて君がジリジリしてゐるんぢやないか?；自分で決めて住んだにもかかわらず、何度も青梅から逃げ出そうとした。；養殖池や釣り場から逃げ出すなどして野外に定着したと考えられている。；だが、同時に静信が何かから逃げ出そうとしたことも事実なのだった。；金で縛られてるもんだから、女のほうも逃げ出そうにも逃げられなくてさ。</t>
        </is>
      </c>
      <c r="J6423">
        <f>HYPERLINK("https://www.weblio.jp/content/逃げ出す", "词义详情")</f>
        <v/>
      </c>
      <c r="K6423">
        <f>HYPERLINK("https://yourei.jp/逃げ出す", "查看例句")</f>
        <v/>
      </c>
    </row>
    <row r="6424">
      <c r="A6424" t="inlineStr">
        <is>
          <t>逃げる</t>
        </is>
      </c>
      <c r="B6424" t="inlineStr">
        <is>
          <t>成功</t>
        </is>
      </c>
      <c r="C6424" t="inlineStr">
        <is>
          <t>読み方：にげる
［動ガ下一］［文］に・ぐ［ガ下二］
１捕まらないように、追って来るものの力の及ばない所に身を置く。「犯人は盗難車で—・げたらしい」「一目散に—・げる」
２自由のきかない所や危険から抜け出して、去る。「ライオンが檻(おり)から—・げる」「命からがら—・げる」
３面倒なこと、いやなことから積極的に遠ざかろうとする。直面するのを回避する。「やっかいな仕事から—・げる」「—・げないで真っ向から勝負する」
４運動競技で、首位を行く者が、後続する者に追いつかれないで勝つ。「先行したままゴールまで—・げる」
５からだが望ましい構えから後方へ引いた状態になる。ひける。「腰が—・げている」
６室内・容器の中の気体や味などが、そのまま保たれないで外へ出てしまう。「熱が—・げる」「土鍋はさめにくい上に風味も—・げない」
[用法]にげる・のがれる——「命からがら逃げる（のがれる）」のように、好ましくない事物から遠ざかる意の場合は相通じて用いられる。◇「逃げる」には、相手につかまらないように、またつかまっている場から抜け出して去る意がある。「警官の姿を見てスリは逃げた」「手錠のまま逃げた犯人」◇「のがれる」は「逃げる」の文章語であり、危険な状態や不快な思いから離れる意がある。「都会の騒音からのがれる」「危うく難をのがれる」◇「逃げる」「のがれる」はともに面倒なことにかかわらないで避けようとする意がある。どちらを使うかは慣用により固定しており、「責任をのがれる」「災いをのがれる」などと使う。</t>
        </is>
      </c>
      <c r="D6424" t="inlineStr">
        <is>
          <t>逃げるしかない；逃げるべき；逃げるんです；逃げる間もなく</t>
        </is>
      </c>
      <c r="E6424" t="inlineStr">
        <is>
          <t>脱出；避ける；回避；逃亡；去る</t>
        </is>
      </c>
      <c r="F6424" t="inlineStr">
        <is>
          <t>もう逃げる；連れて逃げる；奪って逃げる；逃げるよう促す；逃げるいと</t>
        </is>
      </c>
      <c r="G6424" t="inlineStr">
        <is>
          <t>逃げる女；逃げるが勝ち；逃げる天使</t>
        </is>
      </c>
      <c r="H6424" t="n">
        <v>29</v>
      </c>
      <c r="I6424" t="inlineStr">
        <is>
          <t>ツアー参加者にサラがもう一度警告しホールから逃げるように指示する。；これは敵に襲われたときにすぐに逃げることができるためであると考えられる。；飛翔力はあるがあまり飛ぶことはなく、危険を感じた時は走って逃げる。；だが男は、尋ねるべき家は隣だったと気付き逃げるように去っていった。；非常に気性が荒い一方、大変なスピードで逃げるのが一族の特徴である。；もし大坂で百に会ったらもっと遠くに逃げろと伝言するように頼まれる。；現場から逃げるように出てきた美女は、その後どこかへ姿を消してしまう。；危険を感じると走って逃げるが、短距離であれば飛翔することもできる。；火が上がってきたら山の上から向こう側へ逃げろと夫に言われていた。；やがて一緒に逃げることを断念したパトリシアが警察に通報してしまう。；スタートから逃げる形で直線を迎えるものの、粘りきれず9着に敗れた。；障害のある所では簡単に当てる場合や地の利で逃げる事も可能である。；しかし、袋に入ることなく網石の下をくぐり抜けて逃げる魚も少なくない。；一部には戦車や装甲車を乗り捨てて逃げるソ連兵もいたほどであった。；マイケル・ジョンソンは、銃撃を受けたが走って逃げることに成功した。；そう思って周囲を見まわせば逃げろと言わんばかりに店の入口はすぐ右横だ。；同時に迎えが来るので嵐が起きる、広瀬は逃げるように伝えて姿を消す。；あそこに、市川が来たことがわかったから、おれが逃げろといったんだ。；すると近所で火事があり、自分の首を提灯のように持ってその場を逃げる。；アニタが現れ、トニーはドックの店で会うことを約束して窓から逃げる。；特にカマキリが有名だが、野外では大半の雄が無事に逃げるとも言われる。；敵から逃げることに成功した場合も戦闘終了となるが、この場合は何も得られない。；そのためチェックを受けた側は、キングが逃げる以外に対処方法はない。；彼はドアを押さえて犯人の侵入を防ぎ、学生に逃げるように指示した。；「逃げろ」と言われたところで、鬼手に捕らわれた兵が聞くはずがない。；「弟ッ、弟ッ」 十九の弟にそれを渡してお首を持って逃げろという。；また、この説は英語の歌詞で主人公が逃げろと言われる理由と近い。；なお、敵に襲われた場合には普通の魚のように体を横にして高速で逃げることも出来る。；飛んで逃げるので大型肉食性哺乳類もこの鳥を基本的には襲おうとしない。</t>
        </is>
      </c>
      <c r="J6424">
        <f>HYPERLINK("https://www.weblio.jp/content/逃げる", "词义详情")</f>
        <v/>
      </c>
      <c r="K6424">
        <f>HYPERLINK("https://yourei.jp/逃げる", "查看例句")</f>
        <v/>
      </c>
    </row>
    <row r="6425">
      <c r="A6425" t="inlineStr">
        <is>
          <t>にこにこ</t>
        </is>
      </c>
      <c r="B6425" t="inlineStr">
        <is>
          <t>成功</t>
        </is>
      </c>
      <c r="C6425" t="inlineStr">
        <is>
          <t>［副］(スル)楽しそうにほほえみを浮かべるさま。にっこり。「—（と）笑う」「—して話しかける」</t>
        </is>
      </c>
      <c r="D6425" t="inlineStr">
        <is>
          <t>にこにこ顔(4%)；にこにこしてる；にこにこ笑う；にこにこ笑つて；にこにこ微笑ん</t>
        </is>
      </c>
      <c r="E6425" t="inlineStr">
        <is>
          <t>笑顔で；微笑んで；ニコニコ；ニヤリ；ニッコリ</t>
        </is>
      </c>
      <c r="F6425" t="inlineStr">
        <is>
          <t>黙ってにこにこ；見ながらにこにこ；皆にこにこ</t>
        </is>
      </c>
      <c r="G6425" t="inlineStr">
        <is>
          <t>にこにこっと</t>
        </is>
      </c>
      <c r="H6425" t="n">
        <v>29</v>
      </c>
      <c r="I6425" t="inlineStr">
        <is>
          <t>自然にはなんと多くの虫がいることかと、にこにこしていたものである。；彼は笑いながら光った傷を見せて、にこにこして血の流れるのを眺めた。；にこにこと笑みを浮かべながら楽しそうに台所の中で手を動かしている。；にこにこして立っているのを、先ほどの男が椅子を持って来て坐らせた。；と言い、にこにこして紙を切って箱を作ったり、絵を描いていたりする。；呼ぶとさっそくに返事をして、いつでもにこにことすぐ出てきてくれる。；すると約束どおり、俊夫君がにこにこして私たちの室に入ってきました。；そうしたあと、少年はにこにこして店の前に立って何かを待つ様子である。；ローランドは幸福な子供みたいににこにこしながら、自分の金をいれた。；一人だけにこにこと笑みを浮かべているのは記憶を失っているここの主である。；かえって向こうでもにこにこして「たいへん大きくなった」などという。；にこにこ笑いながら、それを見ていた警部は、また線路に注意をむけた。；この上なく楽しそうに笑いながらにこにこまったりとこっちを見ている。；僕の勤めている商事会社の社長が、にこにこした顔で前に立っているのだ。；振向いて見ればその白髪の老人で、やはりにこにこと笑って立っている。；さっきの大きな木の下に、林さんがにこにこわらってたっていたのです。；僕は急に勇気が出て来て顔中がにこにこ笑いになりかけて来ました。；その美しい顔は病気のために少し痩せてはいるけれど、にこにこしていた。；開かれた先にあったのは、当然のごとくにこにこ笑顔の店員さんの姿。；そこには、いつもの通りの、にこにこと屈託無く笑う少女の姿があった。；「これが私の書いたものです」相変らずにこにこしながら、彼は言った。；もとから、あまり口をきかないで、眼を細くしてにこにこしてゐました。；「お目にかけないつもりですわ」私はにこにこしてみせながらいった。；そのおれをにこにこして眺めながら、キングは次のような話を始めた。；太陽は、にこにことはちのおかしそうなようすを見て、笑っていました。；そのそばで五歳ぐらいの女の子が、オーバーも着ないでにこにこしている。；私は、どんなに辛い時だってにこにこしている事なんかやめようと思う。；こんなに馬鹿にされてまで、にこにこ笑って居れるほどの大人物じゃないんだ。；御隠居は二人の話をにこにこして聞いていましたが、やがてこう言いました。</t>
        </is>
      </c>
      <c r="J6425">
        <f>HYPERLINK("https://www.weblio.jp/content/にこにこ", "词义详情")</f>
        <v/>
      </c>
      <c r="K6425">
        <f>HYPERLINK("https://yourei.jp/にこにこ", "查看例句")</f>
        <v/>
      </c>
    </row>
    <row r="6426">
      <c r="A6426" t="inlineStr">
        <is>
          <t>濁る</t>
        </is>
      </c>
      <c r="B6426" t="inlineStr">
        <is>
          <t>成功</t>
        </is>
      </c>
      <c r="C6426" t="inlineStr">
        <is>
          <t>読み方：にごる
［動ラ五（四）］
１液体・気体などに他の物質がまじりこんで透明でなくなる。「水が—・る」「煙で空気が—・る」⇔澄む。
２色・音声などが鮮明でなくなる。「—・った声」⇔澄む。
３精神などが健全でなくなる。けがれる。「欲望で—・った心」
４濁音になる。濁点を打つ。「この字は—・って読む」⇔澄む。</t>
        </is>
      </c>
      <c r="D6426" t="inlineStr">
        <is>
          <t>悪；不正；不当；不法；邪</t>
        </is>
      </c>
      <c r="H6426" t="n">
        <v>29</v>
      </c>
      <c r="I6426" t="inlineStr">
        <is>
          <t>白い濁った空がふと彼に頬笑みかけてくれるのではないかと思われた。；温泉はミルクのように白く濁っているし、これなら何も見えないはずだ。；そしてあなたの眼は輝いてきましたが、瞳は複雑に濁っていましたよ。；なにも言わずにただどんよりと濁った眼をこちらに向けるばかりである。；あのひどく濁った水が飲用になるのだろうかと、ふたりは首をかしげた。；この世に誰でも光を持って生まれてくるが、玉も磨かざれば濁ってくる。；けれども空が濁ったという言葉を聞いたのはこの時がはじめてである。；次の袋は大きく、青く濁った水のなかに、二つの胎児が死の色に見えた。；間もなく、反絵の片眼は赤銅のような顔の中で、一つ朦朧と濁って来た。；しかし今は誰もいず、濁った色の背景が延々と続いているだけだった。；市に近づくに従って空気の濁って来るのが目にも鼻にも感じられた。；白く濁った視界のなかを、なにか巨大な蛇に似たものがくねっていた。；温泉というと濁ったところが多いが、壁湯は岩清水を温泉にした感じ。；このとき、特に水の濁度が高く視界が悪い時には小さい群れを作る。；核の密度の高い構造部は、光を散乱させ目の中心部が白く濁ってみえる。；濁っていて底のみえない水もあるが、ここのは澄んでいて底のしれない水だ。；小川といふよりもいつも濁つてゐたので溝といつた方が適当と思はれた。；暗らい濁つた重い心が自らこれもひとつの貪慾な警戒の鬼と化してゐる。；市に近づくに從つて空氣の濁つて來るのが眼にも鼻にも感じられた。；純粋を追うて、窒息するよりは、私は濁っても大きくなりたいのである。；国会議員は素知らぬ顔で窓の外の濁った空に目をやり、煙草をふかした。；米沢の山も野も町も埋めた雪の世界に、毎日空は灰色に濁っていた。；濁った緑の川面では、アメンボ風の虫がやはり群れをなして滑っている。；左のほうに川が見える、赤い砂石の川岸にはさまれた濁った大きな川が。；しかし、まぶたの内側には、ドロンと白く濁った眼があるだけであった。；その豹の右の目は、病気にでもかかったように瞳がなく濁っていた。；海岸の入口に来て見ますと水はひどく濁ってゐましたし、雨も少し降りさうでした。；欄干には彫像が立っていて、下には水が濁ってゆっくりと流れている。；うす濁ったような仕事べやに、青白い火が、強度の熱で燃えていました。</t>
        </is>
      </c>
      <c r="J6426">
        <f>HYPERLINK("https://www.weblio.jp/content/濁る", "词义详情")</f>
        <v/>
      </c>
      <c r="K6426">
        <f>HYPERLINK("https://yourei.jp/濁る", "查看例句")</f>
        <v/>
      </c>
    </row>
    <row r="6427">
      <c r="A6427" t="inlineStr">
        <is>
          <t>西</t>
        </is>
      </c>
      <c r="B6427" t="inlineStr">
        <is>
          <t>成功</t>
        </is>
      </c>
      <c r="C6427" t="inlineStr">
        <is>
          <t>読み方：さい
〈西〉⇒せい
〈斉〉⇒せい</t>
        </is>
      </c>
      <c r="D6427" t="inlineStr">
        <is>
          <t>西洋人(4%)；西隣；西半分；西約；西線</t>
        </is>
      </c>
      <c r="E6427" t="inlineStr">
        <is>
          <t>西方；ウエスト；ウェスト；酉；真西</t>
        </is>
      </c>
      <c r="F6427" t="inlineStr">
        <is>
          <t>西へ約；西行き；西縁；西高；西軍</t>
        </is>
      </c>
      <c r="G6427" t="inlineStr">
        <is>
          <t>西側；西洋；西方；西日本；西欧</t>
        </is>
      </c>
      <c r="H6427" t="n">
        <v>29</v>
      </c>
      <c r="I6427" t="inlineStr">
        <is>
          <t>彼は自分のメッセージが西洋世界に特別な意味を持っていると信じていた。；その後2つの路線はそれぞれ北と西とに進路を変え、当市内を横断する。；日没時刻は、太陽の縁が西の地平線の下に沈んだ瞬間として定義される。；東と西にある2つの山は、太陽がドゥアトに出入りする場所を示している。；また現在の南千住駅の西に江戸の三大刑場の一つ、小塚原刑場があった。；市の中央部西寄りに位置し、区域は旧与野市の範囲にほぼ相当する。；ただし、305番については西行き・東行き双方で番号統一を行っている。；前線の通過にともない、南よりの風から北または西よりの風に変わる。；あるいは南を下、北を上とした時、東の方向が右、西の方向が左となる。；さらに各リーグに所属するチームは地図上で東中西の3つの地区に分割される。；鉄鉱石の大規模な鉱床はカーブルの西のハージガク峠の近くで見られる。；北と西と南西の境界は海だが、陸続きである南東と東の境界は曖昧である。；そこへ西からは十字軍の残党やノルマン人・セルビア王国に攻撃された。；更にその後西の方にも現れたことが記録されている。；周囲は、西北東の3方をメヒコ州に囲まれ、南にモレロス州と隣接する。；この駅から西へ向かって運行が再開されたのは、1989年になってからである。；北半球において南を向いて星空を観察すると星は東から昇り西へと沈む。；また、貿易を巡って西ヨーロッパ諸国と対立するようになっていった。；仙台駅前から西方向へは中央通・一番町のアーケード街が形成されている。；性格はかなり激しかったらしく、西以外は誰も乗りこなせなかったという。；その西にはルーカスがあり、カンザス州では大衆芸術の首都とされている。；それは東西に分裂したローマ帝国の西の帝国の領域で著しかった。；警備員はこれまで誰も西の悪い魔女を倒したことがないと警告する。；戦前の図上研究では平坦な地形の多い西正面からの攻略が有利であると考えられていた。；峠を越えると宮城県に入り、蔵王連峰を西に見ながら白石駅に到着する。；南を相模湾、東・西・北の三方を山に囲まれた地形である。；三重県の北部に位置し、東は伊勢湾に面し西は鈴鹿山脈まで広がっている。；東から西へ、または南から北へ進むにつれて数字は増えていく。；駅の西側には高津川が流れており、さらにその西隣を国道9号線が通っている。</t>
        </is>
      </c>
      <c r="J6427">
        <f>HYPERLINK("https://www.weblio.jp/content/西", "词义详情")</f>
        <v/>
      </c>
      <c r="K6427">
        <f>HYPERLINK("https://yourei.jp/西", "查看例句")</f>
        <v/>
      </c>
    </row>
    <row r="6428">
      <c r="A6428" t="inlineStr">
        <is>
          <t>虹</t>
        </is>
      </c>
      <c r="B6428" t="inlineStr">
        <is>
          <t>成功</t>
        </is>
      </c>
      <c r="C6428" t="inlineStr">
        <is>
          <t>読み方：こう
［常用漢字］　［音］コウ（漢）　［訓］にじ
１にじ。「虹霓(こうげい)／白虹」
２にじのような。「虹彩」</t>
        </is>
      </c>
      <c r="D6428" t="inlineStr">
        <is>
          <t>虹七郎(4%)；虹梁(2%)；虹ヶ；虹橋；虹霓</t>
        </is>
      </c>
      <c r="E6428" t="inlineStr">
        <is>
          <t>レインボー；虹霓</t>
        </is>
      </c>
      <c r="F6428" t="inlineStr">
        <is>
          <t>紫虹；黒虹；美しい虹；大きな虹；小さな虹</t>
        </is>
      </c>
      <c r="G6428" t="inlineStr">
        <is>
          <t>虹彩；虹子；虹の橋；虹の松原；虹鱒</t>
        </is>
      </c>
      <c r="H6428" t="n">
        <v>29</v>
      </c>
      <c r="I6428" t="inlineStr">
        <is>
          <t>私は虹を背景にして、人物を組立てることに、ほぼ案が立ったわけです。；それこそ本当に渡って行けそうなほど、はっきりした虹でございます。；これらの色は虹の色と考えられ、また、それぞれ次の意味があるとされる。；独学で地震を学び、虹と地震との関係などを主張したことで知られる。；対日点は、観察者から見れば地平線の下にあるので、虹は半円に見える。；この場合、虹は春に発生して秋に姿を消す虫や蛇のように考えられていた。；内部は大虹梁が縦横に架され、中柱のない広々とした空間となっている。；つまり、色を表す言葉の数によって、虹の色の区切り方が違うのである。；虹01系統と同様に、昔使用されていた系統番号の再利用となっている。；全体を覆っていたのは銀色から青を経て緑に至る虹のような光沢です。；此の貝殻は、虹が色をつけてやつたやうに、あらゆる色で輝いてゐる。；本作に登場する神々や洪水や虹などは偶然にも『指環』と共通していた。；火も水も、火は虹となり、水は滝となって、彼の生命を飾ったのです。；また国や地域の旗に虹の色を用いて同性愛者のシンボルにするケースもある。；東向きに落ちていることから、午前中に日が差すと虹がかかることがある。；虹は古代では珍しい色彩と理由が不明なことからよく神話に取り上げられた。；実際に地上で活動するロボットは虹が自らの分身として建造したものである。；翅の表は虹青色をしているが、裏は地味な黒と茶色の色合いをしている。；その時達スサノオ達を祝福するかのように空に美しい虹がかかるのだった。；帽子を振っている白髪交じりの男性は、虹のほうに視線を向けている。；色は前作同様の白から虹に加えて最高は黒になっている。；第二に、緑は七色の虹の中央に位置することから、右にも左にも傾いていない。；各塔には「虹」をイメージして、7色のいずれかが振り分けられている。；彩虹邨は複数のブロックや施設から構成される複合的な住宅地である。；厳密には、虹はプリズムの分光と同じではなく、より複雑な現象である。；美しい彩画は、七色八色の虹のやうに、郎女の目の前に輝き増して行く。；ジャケットは一見モノクロに見えるが、虹の部分はカラーとなっている。；それは非常に美しい島で、虹を空から持って来たように種々の花が咲いている。；天体からの光を波長ごとの要素の色に分解すると、虹に似た画像が生成される。</t>
        </is>
      </c>
      <c r="J6428">
        <f>HYPERLINK("https://www.weblio.jp/content/虹", "词义详情")</f>
        <v/>
      </c>
      <c r="K6428">
        <f>HYPERLINK("https://yourei.jp/虹", "查看例句")</f>
        <v/>
      </c>
    </row>
    <row r="6429">
      <c r="A6429" t="inlineStr">
        <is>
          <t>西日</t>
        </is>
      </c>
      <c r="B6429" t="inlineStr">
        <is>
          <t>成功</t>
        </is>
      </c>
      <c r="C6429" t="inlineStr">
        <is>
          <t>読み方：にしび
西に傾いた太陽。また、その日ざし。遅い午後の日ざし。《季夏》「—照りいのち無惨にありにけり／秀野」</t>
        </is>
      </c>
      <c r="D6429" t="inlineStr">
        <is>
          <t>西日本放送及び；西日がさして；西日が強く；西日本放送役員</t>
        </is>
      </c>
      <c r="F6429" t="inlineStr">
        <is>
          <t>強い西日；かつて西日本放送；元西日本放送；赤い西日；西日本放送</t>
        </is>
      </c>
      <c r="G6429" t="inlineStr">
        <is>
          <t>西日本旅客鉄道；西日本新聞；西日本車体；西日本jrバス；西日本高速道路</t>
        </is>
      </c>
      <c r="H6429" t="n">
        <v>29</v>
      </c>
      <c r="I6429" t="inlineStr">
        <is>
          <t>そして西日に向う熱そうなこわい大きい顔に苦しそうな汗が流れている。；それが西日の照り返しだと気がついたのはあとになってからのことである。；西日に背中をまっすぐ向けて、じっと目を閉じているのが好きだった。；西日を受けた野の上に山の影が次第に拡ってゆくのが見えるようであった。；西日が古い石造りの建物が並ぶ街かどを海のほうから照らしだしていた。；西日を避けてか、長屋は三軒とも表戸を閉め、無人の家のようにみえた。；芋畑には真横から西日があたり、芋の葉が土の上に長い影を落していた。；それでも黄昏の西日に包まれて、この人は細い手で草木に水をやっている。；境内には、一日の最後の西日が暖かそうに金色の触手をさしのべていた。；胡麻ほどに縮んだかと思うと、西日の中で小豆粒ほどになって反転する。；見ると音楽室のドアが少し開いていて、窓からの西日がこぼれている。；はじめてこの部屋を入り口に立って眺めたとき窓から西日が差し込んでいた。；私は段々畑の僅かに西日だけが当る西垣家の墓を見た時のことを覚えている。；初めて体を交えたのは、西日の射し込む彼のアパートだったかもしれない。；やがて西日に包まれた駅のホームに、ゆっくりと滑りこんでくる電車が見えた。；西日をよけて今坐っているところは灯からは遠いところ。；眺めはよいが、午後になると、西日を受けて、校舎で最も暑い教室になる。；富沢家の門を開けて庭に入ると、柔らかな西日を浴びた海が見えた。；森に差す西日の中、何か巨大な影が、身を左右に振りながら近づいてきている。；その髪に西日があたっているのを、バルサはぼんやりと見ていた。；西日が一パイに這入るような店だと背皮がミンナ離れちゃいますからね。；そんな話を前置きにして、現場を見直すと、窓から西日がさしていた。；傘なしに西日を受けていた為めかも知れないが、とにかくそれは醜い顔だった。；年長者を窓ぎわの上席にしたいのだが、冬はあたたかいが西日があたる。；傘なしに西日を受けていたためかも知れないが、とにかくそれは醜い顔だった。；若葉の山腹が西日を受けて、野の只中に、金屏風を建てたように見える。；もっともまだ夏ではないから、今のところ西日代というのも可笑しな話ですが。；センターの建て物は、赤紫の西日に包まれて、忽然と静まり返っている。；窓の外では、庭の垣根に西日が当たって白っぽく葉が光っていた。</t>
        </is>
      </c>
      <c r="J6429">
        <f>HYPERLINK("https://www.weblio.jp/content/西日", "词义详情")</f>
        <v/>
      </c>
      <c r="K6429">
        <f>HYPERLINK("https://yourei.jp/西日", "查看例句")</f>
        <v/>
      </c>
    </row>
    <row r="6430">
      <c r="A6430" t="inlineStr">
        <is>
          <t>滲む</t>
        </is>
      </c>
      <c r="B6430" t="inlineStr">
        <is>
          <t>成功</t>
        </is>
      </c>
      <c r="C6430" t="inlineStr">
        <is>
          <t>読み方：しむ
［動マ五（四）］
１「染みる」に同じ。「寒さが身に—・む」
「花の香は散りにし枝にとまらねどうつらむ袖にあさく—・まめや」〈源・梅枝〉
「吹きくる風も身に—・まず」〈平家・五〉
２色などに染まる。
「蓮葉(はちすば)のにごりに—・まぬ心もてなにかは露を玉とあざむく」〈古今・夏〉
３深く心を寄せる。
「我心ながら、いとかく人に—・む事はなきを」〈源・夕顔〉
［動マ上二］「し（染）みる」の文語形。
［動マ下二］「し（染）める」の文語形。</t>
        </is>
      </c>
      <c r="D6430" t="inlineStr">
        <is>
          <t>滲むような努力</t>
        </is>
      </c>
      <c r="E6430" t="inlineStr">
        <is>
          <t>漏出；にじみ出る；滲出；滲み出る；染み出る</t>
        </is>
      </c>
      <c r="H6430" t="n">
        <v>29</v>
      </c>
      <c r="I6430" t="inlineStr">
        <is>
          <t>一生の遺恨、また一生の満足の多くのものはこの建物に滲んでゐるのだ。；これほどの傷でありながら、滲む程度にしか出血が見られないのである。；口の中に滲んだ血の味と、右手と腹部の痛みが恐怖に拍車をかけていた。；性格ばかりではなく外貌にすらそれが滲んでゐないとは言へないのである。；「そんな、おかしいだろ」 血が滲んでいるはずの右頬にも触れてみた。；彼女は欠伸を噛み殺したせいで眼に滲んだ涙をそっと指の背でぬぐった。；警官の放った拳銃弾に千切られた皮ジャンパーの袖から血が滲んでいる。；わずかだったが、青木にだけわかるような困惑の色が表情に滲んでいる。；そんなことを考えながら店に入った彼女の眼には涙が滲んでいた。；力を入れるほどに女が喜ぶので、つい血が滲むほどに傷つけてしまった。；先生の体の輪郭は、窓の外の雨景色に包まれて、ぼんやりと滲んでいた。；手の指にも、さっき戸を叩いたときの怪我とみえて血が滲んでいた。；自慢の髪はざんばらに顔に打ちかかり、その頬からは血まで滲んでいる。；俺は多少額に汗を滲ませたりしながらも、剣を抜いて異常が無いか確認する。；こんな寒い日なのに、竃の火のせいかお妙の額には汗の玉が滲んでいる。；何事にも皮肉を滲ませずにはいられないその声が耳許に残っていた。；朝の光が射し込んできたときのみなの顔には、疲労が色濃く滲んでいた。；目に滲むようだった緑も闇に閉ざされ、あっという間に残り日も消えた。；恐怖が伝染したのか、その額にも脂汗が滲んでいるのがキエルに見えた。；その横で伊原が、これも馬鹿にしたような色を滲ませ、ぼそりと言った。；小兵衛の右頬に、赤い糸くずを貼りつけたような血が滲んでいたからだ。；僅かな呻吟のあと、開かれた瞳には、敵対心のようなものが滲んでいた。；廊下の先の明かり取りの窓から、白い光が滲むように入ってきている。；淡々とした言葉の奥に怒りのようなものが滲んでいるのがわかったんだと思う。；肉がむき出しになった赤い断面は、しかし一滴の血も滲ませてはいない。；じっと眺めていると、その滲んだ瞳が少しずつはっきりとしてきた。；そこにはインキの滲んだような門燈の点いている昔風な屋敷門があった。；逆に、一旦乾くと水に浸けても滲まないことで保存に適した方法だった。；滲んでくる涙を白い指で拭いてお新さんは小さく淋しく笑うのだった。</t>
        </is>
      </c>
      <c r="J6430">
        <f>HYPERLINK("https://www.weblio.jp/content/滲む", "词义详情")</f>
        <v/>
      </c>
      <c r="K6430">
        <f>HYPERLINK("https://yourei.jp/滲む", "查看例句")</f>
        <v/>
      </c>
    </row>
    <row r="6431">
      <c r="A6431" t="inlineStr">
        <is>
          <t>偽物</t>
        </is>
      </c>
      <c r="B6431" t="inlineStr">
        <is>
          <t>成功</t>
        </is>
      </c>
      <c r="C6431" t="inlineStr">
        <is>
          <t>読み方：にせもん
松井今朝子の短編の時代小説。歌舞伎役者坂田藤十郎によく似た人物をめぐる物語。平成13年（2001）、雑誌「小説現代」に掲載。同作を表題作とする小説集は翌年刊行で、第128回直木賞候補作となった。</t>
        </is>
      </c>
      <c r="D6431" t="inlineStr">
        <is>
          <t>偽物作り；偽物だったら；偽物くさい；偽物じみ；偽物扱い</t>
        </is>
      </c>
      <c r="E6431" t="inlineStr">
        <is>
          <t>コピー；偽；写し；複製；偽造</t>
        </is>
      </c>
      <c r="F6431" t="inlineStr">
        <is>
          <t>みんな偽物；真赤な偽物；真っ赤な偽物；全部偽物</t>
        </is>
      </c>
      <c r="H6431" t="n">
        <v>29</v>
      </c>
      <c r="I6431" t="inlineStr">
        <is>
          <t>しかしながら、証拠が報告された全ての例が偽物であると指摘している。；今度は僕の方から君を呼ぶことになったが、一昨日の様な偽物じゃない。；まさか弟のものを失敬してきたはずはないから、あれも偽物なのだろう。；それを買う時、これは偽物ではないかという疑いを持たれたに違いない。；彼らが偽物であるかないかは、彼のなす業の能力によって時が制定する。；放浪の旅の間に、かれは本物と偽物とを識別する能力を身につけていた。；じぶんの刀を偽物だ、などというと許さないぞといわんばかりの目だ。；この自動車が偽物だなどとは、神様だって想像も出来なかったであろう。；あんただけが偽物の地獄を経由して、本物の地獄に行くことになるんです。；その絵が本物か偽物かなんて、たしかに、描いた本人にしか分からない。；やっぱり俺は、ほかの連中と同じようにだらだらと生きるだけの偽物だ。；しばらくしてやっと気づいたが、それは本物ではなく偽物の脚だった。；これは海外で大量に流通していた偽物MOORIへの対策でもあった。；偽物と知ってのうえで何かの目的があって持っていたのだろうか。；お前は偽物だと言い当てられた気がして、私は慌てて表情を取り繕った。；現物が存在しない限り、コピーが偽物か本物かは決めようがないからな。；実際のところは偽物だったのだが、その購入に至る経緯などが記されていた。；私が狸であるから本物と偽物の区別がつかないのだと無茶なことを言った。；後に到着した本物のヨシヒコらは逆に偽物として牢に入れられてしまう。；偽物を真物だと言って売るような詐欺師でなかったことだけは確かですわ。；偽物であろうが本物以上の力があれば、真偽など問わないと言いたいのか。；今日では、偽物を避けるために、クリームのパターンが統一されている。；あの道具は大金を出して買ったらしいが、気の毒なことにみんな偽物だ。；と約束した間の山の会盟は、結局、自分以外は、みんな偽物だったのだ。；この頃ルシアが偽物に置き換えられたのではないかという噂が存在する。；あれが偽物だというなら、本物の感情なんて、世界にはない気がする。；それは偽物の方が本物よりも本物ぶれる分だけ本物らしいということだろう。；このカラム・レポートが偽物ではないという証拠はどこにもありません。；そのため、一時は同社の製品の偽物やコピー商品が出回る事態となった。</t>
        </is>
      </c>
      <c r="J6431">
        <f>HYPERLINK("https://www.weblio.jp/content/偽物", "词义详情")</f>
        <v/>
      </c>
      <c r="K6431">
        <f>HYPERLINK("https://yourei.jp/偽物", "查看例句")</f>
        <v/>
      </c>
    </row>
    <row r="6432">
      <c r="A6432" t="inlineStr">
        <is>
          <t>似たり寄ったり</t>
        </is>
      </c>
      <c r="B6432" t="inlineStr">
        <is>
          <t>成功</t>
        </is>
      </c>
      <c r="C6432" t="inlineStr">
        <is>
          <t>読み方：にたりよったり
［名・形動］互いに優劣・差異などがほとんどないこと。また、そのさま。大同小異。どっこいどっこい。「—な（の）出来ばえ」</t>
        </is>
      </c>
      <c r="D6432" t="inlineStr">
        <is>
          <t>同様；類似；一様；近似；酷似</t>
        </is>
      </c>
      <c r="H6432" t="n">
        <v>29</v>
      </c>
      <c r="I6432" t="inlineStr">
        <is>
          <t>どうせ似たり寄ったりの場所を歩いて、今この辺に来てるに違いないや。；おそらくこちらも彼女と似たり寄ったりの顔をしているのだろう。；内容はいずれも似たり寄ったりで他の作品同様ギャングたちとの争いである。；どちらも似たり寄ったりという意見もありますが僕は気にしません。；実のところ、その頃の聖だって似たり寄ったりの知識しかなかったのだから。；バルスームのホテルはどこへ行っても似たり寄ったりのものだった。；こういうことは似たり寄ったりで、どこの奥さんの愬えも同じである。；あんた達だって似たり寄ったりの考えだっ たんじゃないの!?；一五歳程度の年齢で、やはり格好は前述の二人と似たり寄ったり。；当時はどの自動車メーカーも似たり寄ったりの製造方式を採っていた。；ここにいる連中は、みんな似たり寄ったりの経験をしてきている。；似たり寄ったりでこれまでずっと続いてきて、おそらくこれからもずっと続く。；この前に出されたアン放送原稿というのも、似たり寄ったりの内容である。；おそらくわたしも似たり寄ったりの表情をしていたはずだ。；あとでわかったことだが、B紙もD紙もE紙も、似たり寄ったりだった。；言って見れば、どちらも鼻持ちがならない点では似たり寄ったりだ。；どこも反応は似たり寄ったりで、ことわるのが当然といった様子であった。；この他には、すべてこれ、三文小説的な似たり寄ったりの例しかない。；誰もが似たり寄ったりの返事をして、それ以上は語ろうとしない。；考えることはクローンでも普通の人間でも、似たり寄ったりらしい。；内心は塚原だって妻と似たり寄ったりで、かなり「あがって」いるのだ。；どのチームも似たり寄ったりで、慣れないナンパに悪戦苦闘していた。；学校の体育のサッカーなんて、一部の人を除いて似たり寄ったりだからね。；その前に住んでいた部屋も、似たり寄ったりのものだった。；三番目の部屋も似たり寄ったりで、壁のパネルまでも同じに見えた。；われわれが思っている以上に、猫の関心も杓子の関心もみな似たり寄ったりである。；まあ、俺もハルヒと似たり寄ったりの顔をしていることだろう。；父の反応も母と似たり寄ったりのものだった。；一緒に入った十数名も似たり寄ったりだった。</t>
        </is>
      </c>
      <c r="J6432">
        <f>HYPERLINK("https://www.weblio.jp/content/似たり寄ったり", "词义详情")</f>
        <v/>
      </c>
      <c r="K6432">
        <f>HYPERLINK("https://yourei.jp/似たり寄ったり", "查看例句")</f>
        <v/>
      </c>
    </row>
    <row r="6433">
      <c r="A6433" t="inlineStr">
        <is>
          <t>日時</t>
        </is>
      </c>
      <c r="B6433" t="inlineStr">
        <is>
          <t>成功</t>
        </is>
      </c>
      <c r="C6433" t="inlineStr">
        <is>
          <t>読み方：じつじ
⇒にちじ（日時）</t>
        </is>
      </c>
      <c r="D6433" t="inlineStr">
        <is>
          <t>日時表記；日時不明；日時指定；日時場所；日時等</t>
        </is>
      </c>
      <c r="E6433" t="inlineStr">
        <is>
          <t>日；年代；年月；デート；月日</t>
        </is>
      </c>
      <c r="F6433" t="inlineStr">
        <is>
          <t>死亡日時；発生日時；死亡推定日時；撮影日時；遅い日時</t>
        </is>
      </c>
      <c r="H6433" t="n">
        <v>29</v>
      </c>
      <c r="I6433" t="inlineStr">
        <is>
          <t>成立した日時は不明であるが、1622年以前であることは確実である。；なお、日時は、実際の実験時期と発表時期が異なる場合が多いので注意。；福音書や種々の資料からイエスの死の日時を特定するのは簡単ではない。；電話をかけてきた日時が問題となるのは、死亡推定時間との関連からだった。；日時・場所を明らかにすることは、事の経過や状況を知るための基本である。；執筆に1ヶ月以上かかるようであれば、末尾の日時を更新してください。；翻訳に1ヶ月以上かかるようであれば、末尾の日時を更新してください。；このプールは夏の指定された日時以外は警備会社により警備されている。；これだけ離れた敵と同じ出発点にたつまででも、相当の日時がかかる。；輻射エネルギーの測定から、到着日時はおよそ四八〇年前だと推定される。；しかしながらこの遠征の日時はもやはり正確には伝わっていない。；日時はたちまち過ぎて、竜太の入隊の期限まで二日を残すのみとなった。；もうひとつ、日時と場所を決めて参加者が集まって開催される競技もある。；発売を記念した「握手会イベント」が、以下の日時・場所で実施された。；だが小兵衛は、平山のさだめた日時と場所へ出向くことにしたのである。；このケースには日時別、テーマ別のメモ帖を入れておくというのである。；バスを利用した場合、その時点ではバス利用区間や日時などが印字されない。；子門'zもやはり瀧勝同様、予定した日時に死亡したことになっている。；正確な日時は不明だが2013年8月28日以前に死去したとされる。；なお、実行する日時などまで明確化した計画表をスケジュールと言う。；正確な日時は不明であるが、その後公国はこの2人の間で分割された。；でもあなたの場合は向こうから日時を指定してくると思うわ。；日時は不明であるが、ミトリダテス4世は姉妹のラオディケと結婚した。；しかし日時を確認すると、一月十三日になっているじゃありませんか。；フィリップ六世もそれを受け、会戦の日時を指定した返事を送り返した。；発売記念イベントを兼ねたミニライブを、以下の日時・場所で実施した。；発売記念イベント兼ねたミニライブが、以下の日時・場所で実施された。；発売記念イベントも兼ねたミニライブを、下記の日時・場所で実施した。；発売記念イベント兼ねたミニライブが、下記の日時・場所で実施された。</t>
        </is>
      </c>
      <c r="J6433">
        <f>HYPERLINK("https://www.weblio.jp/content/日時", "词义详情")</f>
        <v/>
      </c>
      <c r="K6433">
        <f>HYPERLINK("https://yourei.jp/日時", "查看例句")</f>
        <v/>
      </c>
    </row>
    <row r="6434">
      <c r="A6434" t="inlineStr">
        <is>
          <t>日常</t>
        </is>
      </c>
      <c r="B6434" t="inlineStr">
        <is>
          <t>成功</t>
        </is>
      </c>
      <c r="C6434" t="inlineStr">
        <is>
          <t>読み方：にちじょう
つねひごろ。ふだん。平生。「—用いる道具」「—会話」「—性」
[補説]書名別項。→日常</t>
        </is>
      </c>
      <c r="D6434" t="inlineStr">
        <is>
          <t>日常的(14%)；日常会話(3%)；日常性(2%)；日常語；日常業務</t>
        </is>
      </c>
      <c r="E6434" t="inlineStr">
        <is>
          <t>定番；日常茶飯事；お決まり；世の常；めずらしくない</t>
        </is>
      </c>
      <c r="F6434" t="inlineStr">
        <is>
          <t>平凡な日常；平穏な日常；平和な日常；日常世界；退屈な日常</t>
        </is>
      </c>
      <c r="G6434" t="inlineStr">
        <is>
          <t>日常的；日常茶飯事；日常茶飯；日常系；日常品</t>
        </is>
      </c>
      <c r="H6434" t="n">
        <v>29</v>
      </c>
      <c r="I6434" t="inlineStr">
        <is>
          <t>その中で、日常で使っている速度を越えた時の感情が表現されている。；パリは瞬間的に新勢力に占拠され、またもとの日常へともどっていった。；最近はいわゆる俳優というものが日常のドラマからいなくなっている。；日常語ではこれらの全身が黒いカラスを通常は区別することはない。；あらゆる種類の繊維を用いて、日常的な用途に使用されるものが多い。；ソビエト連邦では、ボルシチは最も人気のある日常の料理の一つだった。；そこでどこでもドアのダイヤルを戻して、日常へと戻っていくのだった。；言語の通常の使い方ではなく、日常的なコミュニケーションとも異なる。；インドだけでなくかつては日本においてもそれは普通の日常的な光景であった。；歌や音楽に合わせて、日常的な動きやしぐさを舞踊として表現するもの。；日常会話や文章などでは両者は区別されるのが普通である。；テキストエディタの利用目的のひとつに、日常的な文書の編集がある。；型には一般的、日常的な動作から離れた身体運動を要求してくる部分がある。；自分の物にするために日常でも左利きの人のように左手を使うなど必死に努力した。；日常聞かれる様々な効果音を、音効の人が技術を駆使して発している。；それにより、日常言語の使用法の記述による哲学的問題の解決を行った。；沖縄では泡盛は日常だけでなく旧暦行事や祝いの席の酒にもなっている。；「住居」は、人が起臥寝食のために日常的に使用する場所と定義される。；それは日常のなにものでもないから、否定の接頭辞の無で語られる。；国民はいくつかの種類のブッシュティーを消費する生活が日常となっている。；電気生理学的検査の代表的なものであり、日常診療で広く利用されている。；また、国民の中にはフランス語で日常会話をしている者もいる。；現在では、日常における同様の行為をも指す言葉として広く使われている。；そのため、学校で食事やテレビ鑑賞などの日常生活することも多い。；日常語で「体の具合はどうですか」と聞く時には、健康状態を尋ねている。；また日常の不安を形にしたような寓意的な作品も得意とする。；現在でも中近東地域ではこのようなアイラインを日常に行っている。；しかし日常会話では厳密さを問題としないため、そのことが忘れられがちになる。；日常的な問題や工学的問題の多くをグラフとして考えることができる。</t>
        </is>
      </c>
      <c r="J6434">
        <f>HYPERLINK("https://www.weblio.jp/content/日常", "词义详情")</f>
        <v/>
      </c>
      <c r="K6434">
        <f>HYPERLINK("https://yourei.jp/日常", "查看例句")</f>
        <v/>
      </c>
    </row>
    <row r="6435">
      <c r="A6435" t="inlineStr">
        <is>
          <t>日夜</t>
        </is>
      </c>
      <c r="B6435" t="inlineStr">
        <is>
          <t>成功</t>
        </is>
      </c>
      <c r="C6435" t="inlineStr">
        <is>
          <t>読み方：にちや
１昼と夜。昼夜。
２（副詞的に用いて）昼も夜も。いつも。「—研究に励む」</t>
        </is>
      </c>
      <c r="D6435" t="inlineStr">
        <is>
          <t>日夜研究；日夜心；日夜努力；日夜奔走；日夜悶</t>
        </is>
      </c>
      <c r="E6435" t="inlineStr">
        <is>
          <t>いつも；常に；いつでも；普段は；朝夕</t>
        </is>
      </c>
      <c r="F6435" t="inlineStr">
        <is>
          <t>日夜煩悶；日夜酒宴</t>
        </is>
      </c>
      <c r="H6435" t="n">
        <v>29</v>
      </c>
      <c r="I6435" t="inlineStr">
        <is>
          <t>自分ばかりは、これからこの病院でいつまでどんな日夜を見るのだらう。；日夜の過労の間に彼女の精神と肉体を支えている力は何であったろう。；そしてついに米塩の資を得るために母は日夜機を織らねばならなかった。；文学とは何か人生とは何かという素朴な疑問が、日夜僕を苦しめました。；男に対する苦痛と罪悪とに日夜虐まれ通しで生きて来たかの女であつた。；私は亡父のために日夜憂悶して、学問に思を潜めることが出来なかつた。；二流の情報を得るために一ダースもの刑事が日夜働くことだってある。；王龍は日夜この息子のことが気にかかったが、どうすることもできなかった。；現場の彫刻スタジオには日夜人が出入りしており、犯人は特定できなかった。；別にそれは、緋奈子が日夜私をうるさく散歩に誘ふからではないのです。；士卒の中にも日夜調練を受け、洋式兵器の操作に熟達した者が多かった。；司令部のあるところにも、日夜、遠雷のような砲撃の音が聞こえてきた。；邸内で日夜おこなわれていた、あやしい修法のことも耳にはいってきた。；それ故に日夜心を痛め、どうしたらよいかと迷うて居る次第で厶います。；そういう猫の中に尾を短く切られたのが一匹おって、日夜狂奔しつつある。；人は常に浄玻璃の鏡に日夜自分の振舞いが映っていると思いなさい、と。；現場では日夜作業が進められ、最上階にある5層目も順調に完成した。；いかに自分の研究資料であろうと、日夜変化する植物資料を同定するのは難しい。；そして私には死んだ人々の怨霊が日夜憑ついていて安らかな眠りを妨げる。；この都市はヴォビス・カンの軍隊の戦士に、日夜巡視されているのだ。；諸君はこの困難な苦しい日夜を、勇敢に疲れも見せずに行軍してくれた。；国民のために日夜、現場で苦労してくれているんだからな。；財貨を満載した船が、家から見えるところを日夜通過していくのだ。；人間は日夜たえず戦闘にのみ従事しておられるものではない。；この気難かしい老人は、日夜、どんな風景を眺めているのであろうか?；それらの聖教の文句や発句を日夜黙読し暗誦しながら療養生活を送った。；日夜彼のいる限り彼の暗室へ忍び込むのを一番注意して眺めていたのは私ではなかったか。；そこでは、時代劇をはじめ、様々な作品の撮影が日夜行われている。；日夜背中のどこかに力が入っていて、心にゆとりがなくて、実にひどかった。</t>
        </is>
      </c>
      <c r="J6435">
        <f>HYPERLINK("https://www.weblio.jp/content/日夜", "词义详情")</f>
        <v/>
      </c>
      <c r="K6435">
        <f>HYPERLINK("https://yourei.jp/日夜", "查看例句")</f>
        <v/>
      </c>
    </row>
    <row r="6436">
      <c r="A6436" t="inlineStr">
        <is>
          <t>日曜日</t>
        </is>
      </c>
      <c r="B6436" t="inlineStr">
        <is>
          <t>成功</t>
        </is>
      </c>
      <c r="C6436" t="inlineStr">
        <is>
          <t>読み方：にちようび
「日曜」に同じ。</t>
        </is>
      </c>
      <c r="D6436" t="inlineStr">
        <is>
          <t>日曜日ごと；日曜日以外；日曜日深夜；日曜日午後；日曜日夕方</t>
        </is>
      </c>
      <c r="E6436" t="inlineStr">
        <is>
          <t>日；日曜；主日</t>
        </is>
      </c>
      <c r="F6436" t="inlineStr">
        <is>
          <t>最終日曜日；第一日曜日；毎日曜日；第二日曜日；或る日曜日</t>
        </is>
      </c>
      <c r="G6436" t="inlineStr">
        <is>
          <t>日曜日よりの使者；日曜日に雨；日曜日は別れの時；日曜日から始まる平年；日曜日のミツバチ</t>
        </is>
      </c>
      <c r="H6436" t="n">
        <v>29</v>
      </c>
      <c r="I6436" t="inlineStr">
        <is>
          <t>なお、10号は金・土・日曜日を中心とした指定日には京都行きとなる。；そのため通勤・通学などへの影響が少ない日曜日に行われることが多い。；両親が共働きで日曜日も働いていたため、あまり親との接点はなかった。；かつて日曜日のパドック担当は蔵内担当の週と永井担当の週とがあった。；選挙の期日は、現在ではほぼすべての選挙で日曜日に設定されている。；元日が日曜日にあたる時などには、翌日以降に実施される場合がある。；第三土・日曜日に、本軌道上での2人乗りトロッコ乗車体験が行われる。；古代、太陽神が広く信仰されていた時代は日曜日が礼拝日であったという。；毎年9月第一日曜日に行われる青森県民駅伝のルートの一部となっている。；また体力如何に関係なくイベントがない限り毎週日曜日は取材出来ない。；運行区間は仙台駅 - 新庄駅間で金・土・日曜日を中心に運転していた。；この関係から、日曜日のスポーツニュースは番組の前半に集中して伝える。；ヨーロッパ諸国とは異なり、日曜日でも比較的多くの店が開いている。；逆に、設定日の半分を日曜日以外の祝日に実施された年もあった。；行事の関係で日曜日に出校日や休日出勤だった場合は、振替休業となる。；その年の日並びによっては、設定日をすべて日曜日に実施された年もあった。；これらの他に日曜日で固定された祝日の翌日は常に振替休日となる。；学校のない日曜日などはそんな練習が朝6時から夕方の6時まで続いたという。；これは通常労働日ではない日曜日にEMIスタジオを使用した初の例となった。；それからお盆の終わり頃の日曜日に犀川は大学の図書館で四季に出会う。；これと同時に日曜日の放送も月曜から土曜と同じ番組名に統一された。；当時の有権者の多くは農民で日曜日はキリスト教の安息日に当たっていた。；日曜日付けで毎週発行される、タブロイド版の通常36面の新聞である。；かつては日曜日以外の毎日放送されていたことがある。；この他、テレ朝チャンネルでも毎週金・土・日曜日に放送されている。；毎年11月の第一土曜日と翌日の日曜日の2日間にわたって開催される。；彼は新しいタレントを求めて、毎週日曜日の晩にオーディションを行った。；これ以降2012年度上半期までは全ての放送局で日曜日の放送となった。；武道専門コースは、ほぼ各都道府県で月に1度日曜日に開講されている。</t>
        </is>
      </c>
      <c r="J6436">
        <f>HYPERLINK("https://www.weblio.jp/content/日曜日", "词义详情")</f>
        <v/>
      </c>
      <c r="K6436">
        <f>HYPERLINK("https://yourei.jp/日曜日", "查看例句")</f>
        <v/>
      </c>
    </row>
    <row r="6437">
      <c r="A6437" t="inlineStr">
        <is>
          <t>日用品</t>
        </is>
      </c>
      <c r="B6437" t="inlineStr">
        <is>
          <t>成功</t>
        </is>
      </c>
      <c r="C6437" t="inlineStr">
        <is>
          <t>読み方：にちようひん
日常生活に使用する品物。</t>
        </is>
      </c>
      <c r="D6437" t="inlineStr">
        <is>
          <t>日用品店；日用品メーカー；日用品販売；日用品製造；日用品類</t>
        </is>
      </c>
      <c r="E6437" t="inlineStr">
        <is>
          <t>雑貨；小間物；生活必需品；日用雑貨；家庭用品</t>
        </is>
      </c>
      <c r="H6437" t="n">
        <v>29</v>
      </c>
      <c r="I6437" t="inlineStr">
        <is>
          <t>この年の終わりには、彼の会社はさまざまな日用品も扱うようになった。；閉じたカーテンは、揺れもせず、私のまわりの日用品も飛んだりしない。；この間に焼かれた製品はすべて陶器であり、各種の日用品が主体である。；それらは数多くの新発明、今日では欠かせない日用品などの元にもなった。；楽器や声以外に日用品や環境音など多様なものが使用されうる。；その場合の芸術は日用品と見分けがつかないので特別な展示空間が必要となる。；東翼に、この修道院のかつての住民たちの日用品や贅沢品が展示されている。；二キロ先の雑貨店で日用品や米を買ってくるのもヨシノブの仕事になった。；また、レールや車輪等を除いて、部品は日用品から作られるものが多い。；食べものは許されなかったが、着るものや日用品や本などは届けられた。；そんなある日、エミリーの家にドイツ兵が食料や日用品の徴発に現れた。；食料品を中心とした日用品が多いので、生活の本拠の近くの店で買う。；日用品を買って帰り、正巳が帰ったときの食事を用意して冷蔵庫へしまう。；日用品が高いうえに運送が困難なので、この島では生活が高くつく。；また、売店も設置されており、学生が日用品を購入することができる。；笹塚駅付近に商業施設が集中しており、日用品購入の便は良好といえる。；うちいくつかは地位や権威の象徴として作られ、他は日用品である。；大きさは小形のものが一般的で、日用品や家電製品などで利用される。；中には懐中電灯や携帯電話などの日用品に似せて作られた物もある。；一週間に一度、食料や日用品が届けられるのは便利といえば便利である。；そもそも自ら商店に赴いて日用品を手に入れてくるなどは初めての経験である。；この様式は時計製造業、建築から日用品などに広く適用されている。；母は地主で同時に村の日用品を一手に商ふ本家の伯父の家に寄食してゐた。；持物の整理にしても、いずれ移動生活用の日用品だし、たかが知れている。；軽さや衝撃強さなどが評価され、日用品や包装容器などに採用された。；彼の抱えている風呂敷包みには、どうやら日用品が入ってるらしい。；当時、チベットはイギリス製の日用品を主にインドから輸入していた。；ゲーム時代には存在しなかった類の日用品をはじめ、新しい効果を発揮する物なども存在する。；食品を模した日用品にはフレーバーではなくフレグランスが用いられる。</t>
        </is>
      </c>
      <c r="J6437">
        <f>HYPERLINK("https://www.weblio.jp/content/日用品", "词义详情")</f>
        <v/>
      </c>
      <c r="K6437">
        <f>HYPERLINK("https://yourei.jp/日用品", "查看例句")</f>
        <v/>
      </c>
    </row>
    <row r="6438">
      <c r="A6438" t="inlineStr">
        <is>
          <t>日課</t>
        </is>
      </c>
      <c r="B6438" t="inlineStr">
        <is>
          <t>成功</t>
        </is>
      </c>
      <c r="C6438" t="inlineStr">
        <is>
          <t>読み方：にっか
毎日決めてする仕事。また、毎日割り当ててすること。「朝の体操を—とする」</t>
        </is>
      </c>
      <c r="D6438" t="inlineStr">
        <is>
          <t>日課表；日課念仏；日課文殊；日課みたい</t>
        </is>
      </c>
      <c r="E6438" t="inlineStr">
        <is>
          <t>お決まり；ルーチン；ルーティン</t>
        </is>
      </c>
      <c r="F6438" t="inlineStr">
        <is>
          <t>楽しい日課；b日課</t>
        </is>
      </c>
      <c r="H6438" t="n">
        <v>29</v>
      </c>
      <c r="I6438" t="inlineStr">
        <is>
          <t>これは兄となった私の当然しなければならぬ、面倒な日課の一つでした。；日課はロードワークでこの習慣は日本に帰国していたときも続けていた。；人々は小舎や住居や工房などで日課に従事している最中だったのだろう。；母が夜に家にいるようになると、養父は晩酌を日課とするようになった。；それらの計算式と格闘するのが、学校から帰宅した後の彼の日課だった。；また、家の周りを散歩したり、ピアノを弾いたりするのが日課であった。；学校の日課は、午前中が授業時間、午後は自由な活動と分けられていた。；仕事の前に浩を早苗の家に連れていくのが、奈津子の日課になっていた。；結局山名は日課のように仕事帰りにふみ子の病室に顔を出すようになる。；夕方一定の時間に勤めから帰って来る父を迎えに行くのが棟居の日課である。；朝なかなか起きない彼を学校に連れて行くのが日課となっている。；毎日の日課に定めてあるソネットの、今日の分を読まなければならない。；で、午後になると必ず私のところへ訪ねて来るのを日課のようにしていました。；そのために、すくなくとも毎日のランニングを日課にしていたのである。；規則通りの日課になれている私は、自分の家にいることが大好きです。；この日からしばらくの間、シュリルは馬で出かけることが日課になった。；艦隊指揮所に陣取っていたが、それは日々の日課みたいなものだった。；これはいかなる厳冬といえども一度も休んだことのないかれの日課である。；ひげなど、どうでもいいことだが、日課みたいになってしまっている。；その夕方、日課を読むのが彼の番になり、じつにみごとにそれを読んだ。；そうして、一呼吸おいてから起こしにくるのが彼女の日課だからだ。；おかげで、僕は夏中、この早朝の日課を欠かさず実行することができた。；でも、ぼくは一日一冊の読書をする日課は、欠かしたわけではなかった。；すでに日課になっているこの作業に、それほどの手間はかからなかった。；利一郎さんは朝は七時に起きて、朝刊を読むというのが日課でしたから。；トランプや花も好きであったが、本を読むことも彼女の日課の一つであった。；このことからも、侵入者たちはあの男の日課をよく知らなかったと見える。；これが一年中押つ通して小文さんの日課のやうになつてゐる。；何の変化がなくても、それは練習から帰ってくる時の日課だった。</t>
        </is>
      </c>
      <c r="J6438">
        <f>HYPERLINK("https://www.weblio.jp/content/日課", "词义详情")</f>
        <v/>
      </c>
      <c r="K6438">
        <f>HYPERLINK("https://yourei.jp/日課", "查看例句")</f>
        <v/>
      </c>
    </row>
    <row r="6439">
      <c r="A6439" t="inlineStr">
        <is>
          <t>日記</t>
        </is>
      </c>
      <c r="B6439" t="inlineStr">
        <is>
          <t>成功</t>
        </is>
      </c>
      <c r="C6439" t="inlineStr">
        <is>
          <t>読み方：にき
「にっき」の促音の無表記。
「をとこもすなる—といふものを」〈土佐〉</t>
        </is>
      </c>
      <c r="D6439" t="inlineStr">
        <is>
          <t>日記風；日記類；日記抄；日記形式；日記作家</t>
        </is>
      </c>
      <c r="E6439" t="inlineStr">
        <is>
          <t>ジャーナル；日誌；ログ；日録；日乗</t>
        </is>
      </c>
      <c r="F6439" t="inlineStr">
        <is>
          <t>家忠日記；観察日記；詳細な日記；獄中日記；朝顔日記</t>
        </is>
      </c>
      <c r="G6439" t="inlineStr">
        <is>
          <t>日記文学；日記の家；日記才人；日記サイト；日記体小説</t>
        </is>
      </c>
      <c r="H6439" t="n">
        <v>29</v>
      </c>
      <c r="I6439" t="inlineStr">
        <is>
          <t>この訪問は静子の日記を借り受けることが主目的だったと言われている。；関東大震災以前には日記数十冊が確認されているが現在残るのはこの年のみ。；さらに、本人の意思に関係なく、未来のことも日記に書くことができる。；当日の日記には日本の芸術について深い印象を覚えた旨が記された。；しかし、死去するまで手紙や日記では反ユダヤ主義的な発言を繰り返した。；当時の年中行事を記した日記的な記述が多くみられる点も特徴のひとつである。；彼は自分の精神を維持するために「朝の星の詩」という日記をつけた。；実資の残した日記『小右記』はこの時代を知る貴重な資料となっている。；元旦から日記を書いていたが、200日目以降で怠けて書かなくなった。；患者は日記をつけ、それを元に治療者と行動療法的な話合いがもたれる。；自分のいた世界とプリンプタウンの相違点を日記にまとめていた。；その時のことをゲッベルスは日記の中で次のように書いている。；近代以前の日本の主な日記には次のようなものがある。；村上天皇の日記によると、元は秦河勝の邸宅があった場所であるという。；日記に掲載されているだけでも23作品をこの時期に読破している。；それまでは毎日記していた日記も6月に入ってからは途切れがちになっている。；日記には、営業の記述のあとに「」などとギャラの額が記されている。；そして一茶の日記の中にも各地で体験した出来事のメモ書きが多く残されている。；また、日記の著者が後日になって改めて文書を整理して清書した例もある。；彼が長年に亘って付けていた日記が2000年に出版されている。；Web日記は、主に個人がWWW上で不特定多数に公開する日記の総称。；現存する英語で書かれた日記の最も古いものという。；結婚はしなかったが、恋愛がまったくなかったわけではないことが日記から判明している。；日記はヒムラーの若き日の人格形成についての重要な資料となっている。；一方、中島日記の記述を裏付ける命令書のような物証は発見されていない。；当時の日記には、自殺の念の頻繁に起こることを記しており、死の予感と戦う。；子供の頃から日記を詳細に書き続け、ストーンズの記録係としても知られた。；日記で他者の作について記した言葉にもその姿勢は明らかである。；食事は決まった時間に取り、軽食は避け、自分が食べたものを日記に記録した。</t>
        </is>
      </c>
      <c r="J6439">
        <f>HYPERLINK("https://www.weblio.jp/content/日記", "词义详情")</f>
        <v/>
      </c>
      <c r="K6439">
        <f>HYPERLINK("https://yourei.jp/日記", "查看例句")</f>
        <v/>
      </c>
    </row>
    <row r="6440">
      <c r="A6440" t="inlineStr">
        <is>
          <t>荷造り</t>
        </is>
      </c>
      <c r="B6440" t="inlineStr">
        <is>
          <t>成功</t>
        </is>
      </c>
      <c r="C6440" t="inlineStr">
        <is>
          <t>読み方：にづくり
［名］(スル)品物を運送できるようにひもをかけたり、包んだりすること。「ガラス食器を慎重に—する」</t>
        </is>
      </c>
      <c r="D6440" t="inlineStr">
        <is>
          <t>荷造り用(5%)；荷造り箱</t>
        </is>
      </c>
      <c r="E6440" t="inlineStr">
        <is>
          <t>包装；梱包；パッキング；荷作り；箱詰め</t>
        </is>
      </c>
      <c r="H6440" t="n">
        <v>29</v>
      </c>
      <c r="I6440" t="inlineStr">
        <is>
          <t>そろそろ料理人部屋へ帰って行って荷造りの真似でもやることにしよう。；そして父の指図で、母や弟や妹や女中達は大事な物の荷造りにかかった。；今夜必要な一つ二つの品物を除いて、荷造りはもうすっかり終っていた。；荷造りしたということは、いっしょにイギリスへ行ってくれるんだろう?；卿の話では海岸の都市は荷造りをし・・・海を渡してもらうのを待っているとか。；妻は私がまた荷造りをして津波の地域に戻る時だということを知っていた。；隣には大きな袋が口を開いていて、荷造りをしているように見えた。；すべての荷造りを終えたところで、祥子は父の遺した拳銃を取り出した。；そのおかげで、奥さんは引越し荷造りはプロなみになったと笑っていた。；私が立つてから明日クリスチナさんがきて私の荷物を荷造りしてくれませう。；次郎はそれを厚い紙箱に入れて、旅に提げて行かれるように荷造りした。；僕は仕事をため込んでいたので、出発当日の朝まで荷造りすらしなかった。；マッキントッシュもアパートに持って帰り、すでに荷造りし終えている。；現場の幕や道具類は用がありませんから御随意に荷造りして下さい。；ところが雨宮君が荷造りしたとき、トランクは七個しかなかったそうだ。；松尾が荷造りを終えてすぐに帰るとは思っていなかったのだろう。；別に又た運送屋が来て、海岸へもつて行く夜具などの荷造りを始めてゐた。；それから隊員をひとり、わたしの部屋へよこして荷造りをさせてくれ!；現に、明朝出発するために、荷造りしてるものがいるかもしれないのだ。；帰ってすぐ、自分で荷造りをして、宅配便で田舎に送ったのだそうだ。；夏休みを迎え、ロンドン郊外の自宅へ帰ると、両親が荷造りをしていた。；綱はまず荷造り糸ぐらいの太さ、鉄棒はおよそ編物針ぐらいの長さでした。；僕等が入って来たところは、先に住んだ人が新規に造えた入口だ。；あの時のことにはふれないで、何か荷造りのお手伝いでもしてあげるんだな。；音源はジョー・ストラマーが引越しの荷造りをしていた時に発掘された。；草薙家の二階にある自室で荷造りの最中に、いきなり部屋に入ってきたのだ。；このあいだからの荷造りやなんかで、ちょっとお疲れになっただけのことですから。；深山が荷造りの手伝いなどしてくれるのを、当然のことのように考えていた。；翁は日本の外務省から通知があり次第荷造りをして発送すると云はれた。</t>
        </is>
      </c>
      <c r="J6440">
        <f>HYPERLINK("https://www.weblio.jp/content/荷造り", "词义详情")</f>
        <v/>
      </c>
      <c r="K6440">
        <f>HYPERLINK("https://yourei.jp/荷造り", "查看例句")</f>
        <v/>
      </c>
    </row>
    <row r="6441">
      <c r="A6441" t="inlineStr">
        <is>
          <t>日光</t>
        </is>
      </c>
      <c r="B6441" t="inlineStr">
        <is>
          <t>成功</t>
        </is>
      </c>
      <c r="C6441" t="inlineStr">
        <is>
          <t>読み方：にっこう
日の光。太陽の光線。</t>
        </is>
      </c>
      <c r="D6441" t="inlineStr">
        <is>
          <t>日光線(3%)；日光川；日光祭礼奉行；日光例幣使街道；日光方面</t>
        </is>
      </c>
      <c r="E6441" t="inlineStr">
        <is>
          <t>陽光；太陽の光；陽射し；日差し；太陽光</t>
        </is>
      </c>
      <c r="F6441" t="inlineStr">
        <is>
          <t>明るい日光；強烈な日光；東武鉄道日光；日光火山群；日光廟</t>
        </is>
      </c>
      <c r="G6441" t="inlineStr">
        <is>
          <t>日光東照宮；日光街道；日光山；日光市；日光社参</t>
        </is>
      </c>
      <c r="H6441" t="n">
        <v>29</v>
      </c>
      <c r="I6441" t="inlineStr">
        <is>
          <t>越後口や日光口では藩境あるいは藩外での戦いが続いていたころである。；夜になると地上を徘徊することもあるが、日光が照る所には出てこない。；居住用ではなくイベントなどで雨と日光を防ぐためのものである。；するとすぐに日光が降り注ぎ、再び昼と夜が分かれたということである。；ただし、九州の南側などは、その膜に穴が開いて日光が差す場所もある。；栽培には熱い夏と高い日射量を必要とし、日光不足になると発育が悪い。；花は花弁を使って日光を花の中心に集め、その熱で虫を誘引している。；右の図ではオクルスから入ってきた日光がドームの内面を照らしている。；また日本国内では札幌の他軽井沢・日光なども候補として上がっていた。；背中の色は一様に灰色だが、日光の下では褐色に見えるかもしれない。；この神社には室町時代の様子を描いた日光参詣曼荼羅が伝承している。；丘と山に囲まれた場所のため、夜から朝までは霧が町を覆い、日光を遮る。；家康が日光に祀られることになったのは、家康本人の遺言からである。；また、ビーチやその他強い日光に当たる環境では身に着けてはならない。；最上層は表水層と呼ばれ、日光によって温められた水温の高い層である。；中世以降、日光系の修験道場となって、関東各地の武将の崇敬を受けた。；そのうちにようやく霧も薄れ明るい日光の中、頂に着くことが出来た。；米穀商が多く、八王子千人同心の日光行では往還の際に利用されていた。；「陽」は日光がよく当たる所で、「陰」は影になりやすい所なのである。；日光不足では花がつかず、蔓は固定していないと冬に枯れてしまう。；国道23号の日光川大橋付近は大部分が橋ではなく堤防となっている。；当初の構想であった日光へは東武鉄道が1929年に到達している。；安居院は日光・鹿嶋にもあって、これらとの関連も考慮しなければならない。；日光の強い砂漠地帯の国らしく、住居や人種はエジプトのそれに近い。；この時、宇都宮藩は日光の守備、家臣の山陵派遣などで兵が少なかった。；雲が背景にされ、日光だけではなく、自動車の灯光でも観察できる。；そのほか、日光線日光方面行の修学旅行列車が運転されることがある。；色の濃い服ほど日光の遮断効果が高く、黒い色は最も日光を遮断する。；この姿でいるときは日光を浴びても石像になることはない。</t>
        </is>
      </c>
      <c r="J6441">
        <f>HYPERLINK("https://www.weblio.jp/content/日光", "词义详情")</f>
        <v/>
      </c>
      <c r="K6441">
        <f>HYPERLINK("https://yourei.jp/日光", "查看例句")</f>
        <v/>
      </c>
    </row>
    <row r="6442">
      <c r="A6442" t="inlineStr">
        <is>
          <t>にっこり</t>
        </is>
      </c>
      <c r="B6442" t="inlineStr">
        <is>
          <t>成功</t>
        </is>
      </c>
      <c r="C6442" t="inlineStr">
        <is>
          <t>［副］(スル)「にこり」に同じ。「愛想よく—（と）笑う」「うれしさに思わず—（と）する」</t>
        </is>
      </c>
      <c r="D6442" t="inlineStr">
        <is>
          <t>にっこりと微笑ん(5%)；にっこり笑う(3%)；にっこり微笑ん(3%)；にっこりと笑う；にっこり笑いかけ</t>
        </is>
      </c>
      <c r="E6442" t="inlineStr">
        <is>
          <t>笑い；微笑；笑顔；笑み；笑</t>
        </is>
      </c>
      <c r="F6442" t="inlineStr">
        <is>
          <t>向かってにっこり；にっこり微笑む；にっこりと笑み；思わずにっこり；にっこりとほほえん</t>
        </is>
      </c>
      <c r="H6442" t="n">
        <v>29</v>
      </c>
      <c r="I6442" t="inlineStr">
        <is>
          <t>僕の足音を聞いて娘はふとこの方へ向いたが、僕を見てにっこり笑った。；彼女はにっこり笑い、私の怪我していないほうの腕を叩いて低く言った。；見間違いようもない美しい少女が、人形のような表情でにっこりと笑う。；そして再度箱を拾い上げ、自分の母親を下から見上げてにっこりと笑う。；海賊の船長が腰に抱きついたとき、相手の顔をみて彼女はにっこりした。；ソロはにっこりした彼女を見ながらいやな笑い方をすると思った。；「われわれに解決できないことは何もない」フールはにっこりと笑った。；彼女はにっこりして、もうすこしで父親の肩に手をかけそうになった。；この若いロシア生まれの青年はソロとジェリーのほうを向いてにっこりした。；そういえばこのにっこりメイドさんにも小学生だった頃があったんだよな。；みんなのほうにもそれがわかったのでにっこりして手を振った。；老婆さんからよろしくとの伝言をしたが、彼はにっこりともしなかった。；一人の男が頭を下げ、にっこり笑っているのが、メイスンの目にはいった。；ようやく医師は相手の顔をじっと見ながら、にっこり笑っていった。；かれは、たいてい気にもとめず、目があったときには相手ににっこりした。；彼は突然のことに驚いてわたしを見たが、それからにっこりした。；「そう訊いて下さるのを待ってましたよ」 サザン人はにっこり笑った。；この頃わたしを見覚えて、顔を見ればにっこり笑うようになった。；泥酔状態でいてさえ、クウェスターはにっこりしなければならなかった。；あの判事さまが頭を下げてにっこり笑いなされたんですからねえ!；にっこりしたが、それは一度も見たことのないようなほほえみだった。；店の前に車を止め、やっぱりやめたよと、にっこり笑ってくれるのではないか。；彼女はだしぬけににっこり笑ったが、なかなか感じのよい笑顔だった。；そして、にっこり笑うと、彼の姿は、奥へ消えて見えなくなりました。；ジョウはにっこり笑って、ベスの健康のために飲むわといって飲みました。；唖然としていたシルフィードだったが、にっこりと笑って大きく頷いた。；よく見るために、明るい電灯の光にかざすと、にっこりしてつぶやいた。；かかさまは坊やを見てにっこりしたが、しかし、ものを言おうとしない。；一体何を考えてあのにっこりメイドさんがこんな行動を取ったのかは分からない。</t>
        </is>
      </c>
      <c r="J6442">
        <f>HYPERLINK("https://www.weblio.jp/content/にっこり", "词义详情")</f>
        <v/>
      </c>
      <c r="K6442">
        <f>HYPERLINK("https://yourei.jp/にっこり", "查看例句")</f>
        <v/>
      </c>
    </row>
    <row r="6443">
      <c r="A6443" t="inlineStr">
        <is>
          <t>日数</t>
        </is>
      </c>
      <c r="B6443" t="inlineStr">
        <is>
          <t>成功</t>
        </is>
      </c>
      <c r="C6443" t="inlineStr">
        <is>
          <t>読み方：にっすう
何かをするのに要するひにちの数。ひかず。「出発までの—」「出席—」</t>
        </is>
      </c>
      <c r="D6443" t="inlineStr">
        <is>
          <t>日数分；日数不足；日数制限；日数計算；日数百</t>
        </is>
      </c>
      <c r="F6443" t="inlineStr">
        <is>
          <t>開催日数；撮影日数；抱卵日数；降水日数；毎日数</t>
        </is>
      </c>
      <c r="H6443" t="n">
        <v>29</v>
      </c>
      <c r="I6443" t="inlineStr">
        <is>
          <t>公式サイトに記されているそれぞれの月の名前とその日数は以下の通り。；産み落とされてからの日数の経過に伴って鶏卵には様々な変化が生じる。；ある程度日数が経過しないと発生しないイベントもいくつか用意されている。；節の開催まで日数が有るのであれば、ここに三七日逗留してくださいな。；予算や撮影日数をオーバーする監督を信用しないと著書で述べている。；沿岸部では冬でも晴天日数が多いが北部の一部は豪雪地帯となっている。；また、経験の無い人に本格的な訓練を行うのには、日数・年月がかかる。；さらに稼働日数が経過すると、同じ機体を複数選択することも可能になる。；河川の流量を多い順に日数で並べたもので、河川の管理に重要なものである。；賞金首キャラの入手や育成には進行するのに相当の日数を必要とする。；ただし費用の面から最短日数より長く期間を取る例はほとんどない。；開催日数が3日間に拡大された2016年は7万5978人を記録した。；アイオンでは課金が時間従量制と日数内無制限制の2つに分かれている。；マップ上を歩くと日数が経過し、360日経過すると祝福の日を迎える。；冬至の日を一年の日数の始まりとし、冬至が含まれる月を決めておく。；その為に他の船より1日でも短い日数で着く事が大切であった。；通常開催・特別開催を合わせた競馬場別の開催日数は以下の通り。；降雪日数は10日以内の年が多く、積雪を記録することはほとんどない。；プレーした累計日数や一回でもプレーした連続日数が規定を上回れば獲得。；パーティー会場の一隅でのこの出来事は、人目をひかずにはいなかった。；これにより、音楽や映像のソフトウェアを再生できる日数を制限する。；またあわせて橋本真也の持つ防衛日数の歴代1位の更新を確実とした。；その結果、他の放送局と比べての遅れ日数の差が拡大することが恒常化した。；以下の一覧は、毎年あらかじめ一定の日数の運行が予定される列車に限る。；この回数の違いは正常分娩児の入院日数に関係していると考えられる。；賦役の場合は通常一年のうち一定の日数を賦役として働くことになる。；貞心尼の歌と手毬が置かれて日数があまり立たぬうちに良寛は返歌した。；季和は変なことをするものだと思って眼もひかずに見ていた。；施設名称には365と入っているが、年間営業日数は330日である。</t>
        </is>
      </c>
      <c r="J6443">
        <f>HYPERLINK("https://www.weblio.jp/content/日数", "词义详情")</f>
        <v/>
      </c>
      <c r="K6443">
        <f>HYPERLINK("https://yourei.jp/日数", "查看例句")</f>
        <v/>
      </c>
    </row>
    <row r="6444">
      <c r="A6444" t="inlineStr">
        <is>
          <t>日中</t>
        </is>
      </c>
      <c r="B6444" t="inlineStr">
        <is>
          <t>成功</t>
        </is>
      </c>
      <c r="C6444" t="inlineStr">
        <is>
          <t>読み方：にっちゅう
１日がのぼっている間。ひるま。「—留守にすることが多い」→昼［補説］
２六時の一。まひる。正午。また、その時に行う勤行(ごんぎょう)。</t>
        </is>
      </c>
      <c r="D6444" t="inlineStr">
        <is>
          <t>日中時間帯(3%)；日中戦争終結；日中両国；日中貿易；日中両軍</t>
        </is>
      </c>
      <c r="E6444" t="inlineStr">
        <is>
          <t>昼；昼間；日間；白昼；昼日中</t>
        </is>
      </c>
      <c r="F6444" t="inlineStr">
        <is>
          <t>平日日中；日中寝；日中和平；日中共同；日中合弁</t>
        </is>
      </c>
      <c r="H6444" t="n">
        <v>29</v>
      </c>
      <c r="I6444" t="inlineStr">
        <is>
          <t>日中の1時間ごとの運行本数の平均的なパターンは以下のとおりである。；そこで鳥の声のレコードを買ってきて、自宅で一日中流し続けていた。；日中は30分毎の定時運行を行っており、一部の列車を除き交換を行う。；これは盧溝橋事件の際に日中の外交交渉が行われたという事を意味する。；これは駅間距離の短さも手伝って日中の生活需要も大きいためである。；主に夜行性であり、日中は岩の下や岩の間などに潜んでいることが多い。；今もケーブルテレビ専門のチャンネルがあり、毎日一日中放送している。；特に土休日ダイヤの夕方は日中とほぼ同じダイヤを組んでいることが多い。；日中時は2番線のみ使用しており、1番線はラッシュ時などに使用する。；雨天では日中もしばしば活動し、岸辺に上陸して動き回る姿も見られる。；太陽を用いる鳥は、体内時計を利用して日中の太陽の移動を補正している。；営業担当は平日の日中のみ配置だが、輸送担当は終日配置されている。；州内では冬季でも日中の最高気温が氷点を超えるのはこの地域だけである。；日本の中国への浸透は日中あるいは日ソ間の戦争をもたらすであろう。；日中は当駅で上りと下りの電車が交換するダイヤになっている。；さらにその大半が定期旅客で、日中は空気輸送状態だったようである。；日中の番組を中心にいわゆる「汎用タイプ」が掲載されることが多い。；日中いずれの場合も漢文を自己の属する文化のものと見なしている。；しかし、2013年4月1日のバスダイヤ改正で日中の便が廃止された。；ニューファンドランドでの受信は日中も可能だったと主張していた。；こうして一日を始めた千世子の日はその日中嬉しい事ばっかりであった。；予定のない平日の日中などは市民への個人開放も実施されている。；早朝・日中・深夜の一部時間帯以外は必ず当駅で列車交換が行われる。；琉球は、日中双方の文化や制度を受け入れつつ、独自の文化を育んでいた。；そのため日中は前者で日中毎時2本、後者で同3本程度の運転となる。；日中は土休日の下りを除いて特急と準急との緩急接続が行われている。；早朝・日中と深夜近くから終電までの間は1編成のみの運用である。；各系統とも、列車の運行がない日中や夜間にも運行されている。；日中時間帯を中心に一部列車は2両編成のワンマン運転となっている。</t>
        </is>
      </c>
      <c r="J6444">
        <f>HYPERLINK("https://www.weblio.jp/content/日中", "词义详情")</f>
        <v/>
      </c>
      <c r="K6444">
        <f>HYPERLINK("https://yourei.jp/日中", "查看例句")</f>
        <v/>
      </c>
    </row>
    <row r="6445">
      <c r="A6445" t="inlineStr">
        <is>
          <t>日程</t>
        </is>
      </c>
      <c r="B6445" t="inlineStr">
        <is>
          <t>成功</t>
        </is>
      </c>
      <c r="C6445" t="inlineStr">
        <is>
          <t>読み方：にってい
仕事や行事などの、ある一日の、あるいは毎日の予定。また、日どり。「—をたてる」</t>
        </is>
      </c>
      <c r="D6445" t="inlineStr">
        <is>
          <t>日程表；日程終了；日程変更；日程調整；日程前</t>
        </is>
      </c>
      <c r="E6445" t="inlineStr">
        <is>
          <t>予定；次第；スケジュール；議題；日取り</t>
        </is>
      </c>
      <c r="F6445" t="inlineStr">
        <is>
          <t>開催日程；十日程；競技日程；放送日程；三日程</t>
        </is>
      </c>
      <c r="H6445" t="n">
        <v>29</v>
      </c>
      <c r="I6445" t="inlineStr">
        <is>
          <t>しかし近年では開始・終了の日程が公式に公表されるようになってきている。；その後は日程の都合もあってNPBから選手が派遣されることはなかった。；前年中止になった第5回大会を日程及び出場者を再調整の下で代替開催。；また、2008年 のアメリカ・ヨーロッパの夏のツアーの日程を発表。；以下をはじめとして、複数の日程に亘って特別回を開催することがある。；儀式・法要などが営まれる日は、日程および時間を変更する場合がある。；日程を終える頃には、激しく名残惜しさを感じるようにさえなっていた。；年によっても詳細は異なるが、現在の日程はおおむね以下の通りである。；日程は毎年地区によって開催時期が固定化される傾向となっている。；波がないとサーフィンは出来ないため、大会の開催日程に特徴がある。；ただし、統一日程で実施しない第三級・第四級アマチュア無線技士は除く。；試験日程は、主に偶数月の上旬に設定されており、年6回の開催となる。；以前はそれぞれ別日程であったが、2001年から同日開催となった。；この通知が届いていたときには、アクティブJは既に日程を抑えていた。；秋季の日程は一次試験が11月中旬、二次試験が1月下旬となっている。；進水式の日程は昭和天皇に知らされており、工事を急ざるを得なかった。；現代でも、冠婚葬祭の日程を決める時には六曜を意識して決める人がいる。；その後も日程の問題で中止されたり、1試合のみに削減されたりした。；日程が出産間近に予定されていたコンサートは約半年の延期となった。；準備委員会の主な業務は、各部門の日程・会場の調整等である。；パッケージ内には、それら日程を記載したフライヤーが封入されている。；開催日程および開催会場が変則的な形となった例は以下の通り。；旅行中に行き先や日程を変更することすら可能であろう。；日程的にも第2段階以降のものであり、主な記述は第3段階となる。；後に深夜の再放送には上記日程時に放送されなかったエピソードも初放映された。；しかしながら日程の関係上バラック・オバマ大統領の訪問は実現されなかった。；その日の公演は越したものの、その後の日程がキャンセルとなった。；翌年は出場クラブ間の日程調整がつかず、大会は中止された。；行事は年により変更になることもあるが、概ね以下の日程で行われている。</t>
        </is>
      </c>
      <c r="J6445">
        <f>HYPERLINK("https://www.weblio.jp/content/日程", "词义详情")</f>
        <v/>
      </c>
      <c r="K6445">
        <f>HYPERLINK("https://yourei.jp/日程", "查看例句")</f>
        <v/>
      </c>
    </row>
    <row r="6446">
      <c r="A6446" t="inlineStr">
        <is>
          <t>二度と</t>
        </is>
      </c>
      <c r="B6446" t="inlineStr">
        <is>
          <t>成功</t>
        </is>
      </c>
      <c r="C6446" t="inlineStr">
        <is>
          <t>読み方：にどと
［副］（あとに打消しの語を伴って）同じような状況が重ねて起こるとは、まず考えられないさま。「—行くものか」「—ないチャンス」</t>
        </is>
      </c>
      <c r="D6446" t="inlineStr">
        <is>
          <t>二度とふたたび；二度と再び；二度と会う；二度と会え；二度と同じ</t>
        </is>
      </c>
      <c r="E6446" t="inlineStr">
        <is>
          <t>決して；絶対；絶対に；誓って；金輪際</t>
        </is>
      </c>
      <c r="F6446" t="inlineStr">
        <is>
          <t>もはや二度と；二度とあの；二度とあんな；二度と起こら；二度とくり返す</t>
        </is>
      </c>
      <c r="H6446" t="n">
        <v>29</v>
      </c>
      <c r="I6446" t="inlineStr">
        <is>
          <t>人々は彼のような人物を二度と見ることができないことを分かっていた。；また死んでしまった仲間キャラクターは二度と復活することができない。；ヒュラースは彼が二度と帰って来られない水に入るよう誘惑されている。；私の馬はこのレースで故障してしまったので二度と出走することは無かった。；この二つの岩は船が無事通過した後、もはや二度と動くことはなくなった。；この病気は1578年のイングランドでの発生の後二度と発生していない。；そのようなおぞましい情景は二度と目撃できるようなものではなかった。；無理に加護を我慢し続けると、二度と子供が作れない体になってしまう。；これらは装備すると二度と外せない代わりに能力を上昇させることが出来る。；これに失敗した場合、そのキャラは二度と仲間にならない場合もある。；アラッハ関係の工場は1945年に閉鎖され、二度と再開されなかった。；ミクソリディア旋法の中間部では二度と七度の平行和音が特徴的である。；カカリコの訓練のものは二度と復活しない特別な個体で、かなり貴重。；鬼は逃亡者を攻撃することで二度と動けない状態にすることができる。；すると手は地面の中に戻って二度と出てくることはなかった。；村の数十家はこの言葉に感じ入って、二度と殺生することは無くなった。；ビーマはバカの残された家族に、二度と人間を殺さないように約束させた。；使用できる状態に整備されてはいたが、二度と営業線に復帰させることはなかった。；公爵夫妻は離婚することはなかったが、その後二度と会うことはなかった。；その湖を移動する船「リトル・バロネス号」は二度と戻ってこなかった。；内閣は取り下げには同意したが、二度と提案しない約束には拒否した。；また、一度泉に落とした物は二度と同じ物を取り出すことはできない。；彼の才能は世界で二度と見ることはできないだろうからね。；こうなるとそのユニットは死亡扱いになり、二度と使用することができなくなる。；彼はワッツを去った後、二度と自分の塔を見なかったと考えられる。；娘が心変わりしてしまったと思った妖魔は二度と姿を見せることはなかった。；安楽死させたり見捨てたりすると、そのバディは二度と登場しなくなる。；あの時ほんの少しのつもりで別れたままで結局二度と会う事はかなわなかったのだ。；二度と以前と同じ様にはステージを踏むことができないでしょう。</t>
        </is>
      </c>
      <c r="J6446">
        <f>HYPERLINK("https://www.weblio.jp/content/二度と", "词义详情")</f>
        <v/>
      </c>
      <c r="K6446">
        <f>HYPERLINK("https://yourei.jp/二度と", "查看例句")</f>
        <v/>
      </c>
    </row>
    <row r="6447">
      <c r="A6447" t="inlineStr">
        <is>
          <t>担う</t>
        </is>
      </c>
      <c r="B6447" t="inlineStr">
        <is>
          <t>成功</t>
        </is>
      </c>
      <c r="C6447" t="inlineStr">
        <is>
          <t>読み方：になう
［動ワ五（ハ四）］
１物を肩に支え持って運ぶ。かつぐ。「十字架を—・う」
２ある物事を支え、推し進める。また、自分の責任として身に引き受ける。負担する。「責任の一端を—・う」「地球の未来を—・う」「衆望を—・う」
[可能]になえる</t>
        </is>
      </c>
      <c r="D6447" t="inlineStr">
        <is>
          <t>担うべき；担うべく</t>
        </is>
      </c>
      <c r="E6447" t="inlineStr">
        <is>
          <t>担当する；負う；引き受ける；背負う；かぶる</t>
        </is>
      </c>
      <c r="F6447" t="inlineStr">
        <is>
          <t>担う中核病院</t>
        </is>
      </c>
      <c r="H6447" t="n">
        <v>29</v>
      </c>
      <c r="I6447" t="inlineStr">
        <is>
          <t>機関とは学校や病院等の部隊を維持運営するための業務を担う組織である。；もう何年も前から、ルドガーは町の人々自身に町の防衛を担わせていた。；この時点で祖父母は子供たちに正しい言語使用法を教育する役割を担う。；これは通信主管庁の業務を他の者が担ってはならないとする原則である。；これは国王に承認され、来るべき戦いで決定的な役割を担うこととなる。；このふたつは現代の日本語においてもそれぞれ重要な役割を担っている。；弁護士が中心の調査委員会にあって選手経験者として大きな役割を担う。；この講習会からは、作品のこれからの演奏を担う演奏家が何名も育った。；こうしてインドはいわば帝国の維持機関としての役割を担うことになった。；この運動はとなり、何百人ものボランティアの協力により担われている。；こうした学説では古代とは奴隷が生産の主体を担った発展段階と定義される。；自転車に乗車して移動する以外に押したり担いだりして歩くことも含まれる。；それにもかかわらず、産業労働力の多くを担い続けたのはロシア人である。；日本では一般的には政権を担っている政党を指して用いられている。；競技規則を整備し加盟団体の統括と世界的な競技大会の運営を担う。；この職掌は予算折衝で各省の主張と国策との総合的な調整を担っている。；江戸時代の行商の多くは、この連雀に荷物を担いで各地を往来していた。；複数の正面軍の作戦指導は最高司令官が任命した最高司令官代理が担う。；副都心とのアクセス、および各放射線の中央付近を接続する役割を担う。；そこで同市に多い在日コリアン系の人々がその一翼を担うこととなった。；黄氏は開封で画院の指導的立場を担い、以後の画院では黄氏体が基本とされる。；それにもかかわらず彼らは自治体の経済的負担を担わなければならなかった。；同様に語順が比較的自由な日本語では格助詞がこの役割を担っている。；縁起を担いで、先発した日から次の先発までの間はひげを剃らなかった。；昔はそこまで馬車で兵糧米を運び、そこから城へ人間が担いで運んでいた。；それだけではなく、伸長段階への移行に必要なDNAの巻き戻しも担う。；ルーズベルトはジョージ・マーシャル将軍にその命令の施行を担わせた。；熱帯低気圧は、地球表面の大気の循環の中でも一定の役割を担っている。；仲間の必死の説得にもかかわらず、2人は軽い物資だけを担いで出発した。</t>
        </is>
      </c>
      <c r="J6447">
        <f>HYPERLINK("https://www.weblio.jp/content/担う", "词义详情")</f>
        <v/>
      </c>
      <c r="K6447">
        <f>HYPERLINK("https://yourei.jp/担う", "查看例句")</f>
        <v/>
      </c>
    </row>
    <row r="6448">
      <c r="A6448" t="inlineStr">
        <is>
          <t>鈍い</t>
        </is>
      </c>
      <c r="B6448" t="inlineStr">
        <is>
          <t>成功</t>
        </is>
      </c>
      <c r="C6448" t="inlineStr">
        <is>
          <t>読み方：おそい
［形］［文］おそ・し［ク］
１物事の進む度合いが小さい。動作・進行などに時間がかかる。のろい。「列車の進み方が—・い」「仕事が—・い」「進歩が—・い」「物わかりが—・い」⇔速い。
２（「晩い」とも書く）ある基準より、かなり時がたっている。時期が遅れている。「—・い朝食をとる」「もう—・いから寝よう」「今年は花が—・い」⇔早い。
３時機に遅れている。間に合わない。「悔やんでももう—・い」
[派生]おそさ［名］</t>
        </is>
      </c>
      <c r="D6448" t="inlineStr">
        <is>
          <t>鈍い音(23%)；鈍い痛み(5%)；鈍い光(5%)；鈍い衝撃；鈍い色</t>
        </is>
      </c>
      <c r="E6448" t="inlineStr">
        <is>
          <t>小さい；馬鹿；遅い；間抜け；露骨な</t>
        </is>
      </c>
      <c r="F6448" t="inlineStr">
        <is>
          <t>鈍い鋸歯；鈍い振動；鈍い物音；鈍い爆発音；鈍い動き</t>
        </is>
      </c>
      <c r="G6448" t="inlineStr">
        <is>
          <t>鈍い球音</t>
        </is>
      </c>
      <c r="H6448" t="n">
        <v>29</v>
      </c>
      <c r="I6448" t="inlineStr">
        <is>
          <t>するとはるか前方に、炎が鈍い光を放って燃えているさまが見えてきた。；わたしはこちらの顔にかかる彼の鈍い目玉の重さを感じるように思った。；彼の剣はふたたび空を切って、反対側の壁に鈍い音をたててぶつかった。；彼は紙に書いてある一行の文句を示して、それから鈍い声でつけ加えた。；しかし彼の胸の奥に、鈍い痛みが残っているのは何故だっただろうか。；その顔には、皮肉の代わりに、鈍い、子供のような恐怖が現われました。；アーチの反対側のところにも、同じような丸い物が鈍い光を放っている。；だが鈍重で痴鈍で感じの鈍い、まるで私の趣味には合はないものだつた。；いつか月は深い雲の底にかくれて、鈍い光りを投げてゐるだけであつた。；色は鈍い緑色だが、表面は光沢を帯び、その正体は全く見当がつかない。；もっとも女房に言わせると、鈍くなっただけとしか認めてくれないが。；通常の船舶はあまりに鈍くて目に付きやすく海軍からは逃れられなかった。；その唸り声の間から、重い鈍い声が四方から王子へ呼びかけてきました。；停めてある自動車の濡れた屋根の列が、明かりを受けて鈍く光っていた。；戦後のベビー・ブームで人口が増加し、今日では伸びが鈍くなっている。；組織なんてものは大きくなると決定手続きばかりが増えて動きが鈍くなる。；ここの連中ぐらいひどく鈍くて観察力の乏しいやつもまずないだろう。；頭の上で遠雷のような鈍い地響がするのは、多分電車の轍の音であろう。；リーは、そのいつもは鈍い敵軍がはるか北に動いたことを知らなかった。；天は、灰色の裏に白い光を秘めているように、鈍く膨らんで見えていた。；顔や手に相当する部分が鈍い光沢を放つ金属で作られているのもそのまま。；彼は紙に書いてある一行の文句を示して、それから鈍い声でつけくわえた。；そして次の瞬間、もう目の前には、鈍くうねる黄河の流れが迫っていた。；すると、鈍い音をたてて、そのさびたとびらは暗い奥の方へ開きました。；感覚が鈍くなり、自分の身体ではないような奇妙な違和感がつきまとう。；それ以来頭が鈍くなって日々の稼ぎも計算できなくなってしまったとび助。；頭が足りないというほどでもないんですが、たしかに智力は鈍いようです。；しかし然ういう直接為めになるのには感じが鈍い性分だから仕方がない。；人間の中でも電気に感じ易い人と、感じの鈍い人とあるものだからね。</t>
        </is>
      </c>
      <c r="J6448">
        <f>HYPERLINK("https://www.weblio.jp/content/鈍い", "词义详情")</f>
        <v/>
      </c>
      <c r="K6448">
        <f>HYPERLINK("https://yourei.jp/鈍い", "查看例句")</f>
        <v/>
      </c>
    </row>
    <row r="6449">
      <c r="A6449" t="inlineStr">
        <is>
          <t>鈍る</t>
        </is>
      </c>
      <c r="B6449" t="inlineStr">
        <is>
          <t>成功</t>
        </is>
      </c>
      <c r="C6449" t="inlineStr">
        <is>
          <t>読み方：なまる
［動ラ五（四）］
１刃物の切れ味が悪くなる。「包丁が—・る」
２鋭さが失われる。勢いが弱まる。にぶる。「からだが—・る」
３技量・働きの冴(さ)えがなくなる。にぶる。「腕が—・る」</t>
        </is>
      </c>
      <c r="D6449" t="inlineStr">
        <is>
          <t>鈍るかもしれ</t>
        </is>
      </c>
      <c r="E6449" t="inlineStr">
        <is>
          <t>後退する；衰える；弱まる；減速する；劣化する</t>
        </is>
      </c>
      <c r="H6449" t="n">
        <v>29</v>
      </c>
      <c r="I6449" t="inlineStr">
        <is>
          <t>酒を飲むと決心が鈍るからアルコールは口にするなといわれたのである。；低温で身体の動きが鈍らないうちに安全地点に到達しなければならない。；わたしは、すっかり動きの鈍った精神を、必死で集中させようと試みた。；感覚が鈍るにつれて薬の量を増してゆかなければならないのですからね。；こんな所にいては、復讐の意志は鈍ることはあっても、よい影響はない。；痺れ草は、人間にも竜にもよく効いてその皮膚の感覚を急速に鈍らせる。；これに始まったことじゃあない、ぼくの鼻はそれほど鈍っちゃいないんだ。；そして此予想は真弓の床を離れやうとする気持を鈍らせるのであつた。；期せないとしたら、エレンの活動も鈍らざるを得ないのではあるまいか?；更に此癖は、熟語かどうかと言ふ感じをさへも、鈍らしてゐるのである。；足許に気をつけて歩かなくてはならないため、進行速度は大いに鈍った。；それまでは常に鮮明に、朗々と送られて来ていた声が、妙に鈍っている。；この行動はフランスのイロコイ族との外交関係を鈍らせる効果があった。；最後の第四コーナーで一度トップに立ったものの、スピードが鈍った。；馬車はとぼとぼと進んでいったが、一歩ごとに速度が鈍るように思われた。；彼は人種の感覚を鈍らせた原因としてキリスト教と民主主義を批判した。；しかし、第四回の無踊会の時、彼女の肉体の力はげっそり鈍って見えた。；それまで私は大活躍をしていましたが、そのため思考力が鈍っていたのですね。；しかしやはり、集中化を解除されたせいで観察力が鈍ってしまったようだ。；しかしちょうどそのころ彼は、芸術的なまた人間的な好奇心が鈍っていた。；アイルランド経済は世界規模の景気後退に合わせて成長が鈍っていった。；より確実な一撃を加えられるまで、大型の動きを鈍らせなくてはならない。；ここではお客さま扱いだから、身体も精神も鈍ってしまいそうだったのだ。；そういう致命的な鈍りが生じていることを志賀さんは知っているだろうか。；第二コーナーを抜けるところで、スピードが鈍ってきたふたりをかわす。；そんな考えに至った時、彼は、頭の働きが鈍ってきていることに気付いた。；才人はアンリエッタにそんな風に見つめられ、決心が鈍りそうになった。；感情が鈍り、青年であっても若者らしい生き生きした感情が失われる。；宇宙の混乱が彼女のすばらしい腕を鈍らせていないことを願おうではないか。</t>
        </is>
      </c>
      <c r="J6449">
        <f>HYPERLINK("https://www.weblio.jp/content/鈍る", "词义详情")</f>
        <v/>
      </c>
      <c r="K6449">
        <f>HYPERLINK("https://yourei.jp/鈍る", "查看例句")</f>
        <v/>
      </c>
    </row>
    <row r="6450">
      <c r="A6450" t="inlineStr">
        <is>
          <t>日本</t>
        </is>
      </c>
      <c r="B6450" t="inlineStr">
        <is>
          <t>成功</t>
        </is>
      </c>
      <c r="C6450" t="inlineStr">
        <is>
          <t>読み方：にっぽん
わが国の呼び名。→にほん（日本）
「ヒノマルノハタハ—ノシルシデアリマス」〈尋常小学修身書・第2学年用・明治36年〉〈日葡〉
[補説] 「日本」が「ニホン」か「ニッポン」かについては決定的な説はない。「日」は漢音ジツ、呉音ニチで、ニチホンがニッポンに音変化し、発音の柔らかさを好むところからさらにニホンが生じたものか。ジパング・ジャパンなどはジツホンに基づくものであろう。国の呼称としては、昭和9年（1934）に臨時国語調査会（国語審議会の前身）が国号呼称統一案としてニッポンを決議したが、政府採択には至っていない。日本放送協会は昭和26年（1951）に、正式の国号としてはニッポン、その他の場合はニホンといってもよいとした。日本銀行券（紙幣）や運動競技の国際大会でユニホームのローマ字表記がNipponなのは、先の事情による。平成21年（2009）、麻生内閣は「今後、『日本』の読み方を統一する意向はあるか」の質問に対し、「『にっぽん』又は『にほん』という読み方については、いずれも広く通用しており、どちらか一方に統一する必要はないと考えている」と答弁した。外務省では、英語による名称はジャパン（Japan）を用いている。なお本辞典では、両様に通用する語については、便宜上「にほん」の見出しのもとに集めた。
［名・形動］《安永・天明（1772〜1789）ごろの江戸での流行語》日本一であること。すばらしいこと。また、そのさま。
「この不自由なところが—だとうれしがりけり」〈黄・艶気樺焼〉
[補説]書名別項。→日本</t>
        </is>
      </c>
      <c r="D6450" t="inlineStr">
        <is>
          <t>日本の元；日本各地；日本書紀；日本共産党；日本酒</t>
        </is>
      </c>
      <c r="F6450" t="inlineStr">
        <is>
          <t>日本最古；日本相撲協会；日本名山図会；日本地誌提要；日本ルーテル神学大学</t>
        </is>
      </c>
      <c r="G6450" t="inlineStr">
        <is>
          <t>日本語；日本国内；日本軍；日本代表；日本一</t>
        </is>
      </c>
      <c r="H6450" t="n">
        <v>29</v>
      </c>
      <c r="I6450" t="inlineStr">
        <is>
          <t>近代的な欧米の図書館制度を日本に最初に紹介したのは福沢諭吉である。；日本の近代以前の歴史上の戦争を題材とした場合は通常時代劇と呼ばれる。；これに続くのが国土面積や人口で比較にならないが中国と日本である。；また、日本の学生リーグの場合は各地方毎での総当たり戦が行われる。；日本の勝利と清の敗北により東アジアの冊封体制は崩壊することになる。；その後世界各国で書かれているが、アメリカと日本で特に盛んである。；この頃、日本を訪問したアメリカ人によって日本に野球が伝えられた。；古くからホンダを除く主要日本メーカーのほとんどが参戦、活躍を見せた。；日本は周りを海に囲まれていることもあり、世界有数の魚大国である。；この英国式のカードがイギリスの植民地や明治以降の日本で普及した。；日本でもPlayStationに大きな遅れをとることとなった。；たとえばイギリスや日本は首都の地位を明示する法が存在しない。；日本には多くのトルコ友好協会があり、交流が積極的に行われている。；また、日本国家の形成に影響を与えたとされている宗教である。；日本以外では、子供の役は子供に担当させることが主流である。；江戸時代以前の日本では髷の形を崩さないようにする必要があった。；チャトランガ系のゲームがいつごろ日本に伝わったのかは明らかになっていない。；日本へ逆輸入する際に名前をそのまま残したようである。；この事件は日本内地で治安維持法が適用された最初の事例になった。；ルールが日本のものにかなり近い国と、それなりに異なる国がある。；日本でも、ドイツの動きに刺激されて、民俗学の名称への疑問が起きている。；日本は2009年7月16日に国家標準を光周波数コム装置へ変更した。；画像は1854年に再び日本を訪れて横浜に上陸したペリー一行を描いたもの。；日本では、かき氷を売っている店は氷旗を掲げていることが多い。；近代以前の日本では、中国経由で伝わった仏教に関わる形で、インドが知られた。；この全国紙と地方紙の区分は日本以外にも存在する。；モンゴルは、五音音階を使うことは中国・朝鮮・日本と共通している。；ホラー映画は、日本・韓国・イタリア・タイなどの映画撮影で特に普及である。；は、日本の行政府の長である内閣総理大臣を務めた人物の一覧である。</t>
        </is>
      </c>
      <c r="J6450">
        <f>HYPERLINK("https://www.weblio.jp/content/日本", "词义详情")</f>
        <v/>
      </c>
      <c r="K6450">
        <f>HYPERLINK("https://yourei.jp/日本", "查看例句")</f>
        <v/>
      </c>
    </row>
    <row r="6451">
      <c r="A6451" t="inlineStr">
        <is>
          <t>日本語</t>
        </is>
      </c>
      <c r="B6451" t="inlineStr">
        <is>
          <t>成功</t>
        </is>
      </c>
      <c r="C6451" t="inlineStr">
        <is>
          <t>読み方：にほんご
日本の国語。万葉仮名で書かれた古代日本語からの文献をもつ。敬語、男女の言葉の違いの発達などの複雑な面に比して、音体系の変化は比較的少なく保守的である。アルタイ諸語との同系説、南方の諸言語との同系説があるが、結論は得られていない。</t>
        </is>
      </c>
      <c r="D6451" t="inlineStr">
        <is>
          <t>日本語吹き替え(2%)；日本語詞；日本語文献；日本語吹替；日本語名</t>
        </is>
      </c>
      <c r="F6451" t="inlineStr">
        <is>
          <t>日本語タイトル；日本語メディア；日本語読み；日本語学習；日本語能力</t>
        </is>
      </c>
      <c r="G6451" t="inlineStr">
        <is>
          <t>日本語訳；日本語表記；日本語字幕；日本語教育；日本語学校</t>
        </is>
      </c>
      <c r="H6451" t="n">
        <v>29</v>
      </c>
      <c r="I6451" t="inlineStr">
        <is>
          <t>映画でもしばしば披露する他、来日時には日本語で挨拶することもある。；ここから得られるアルゴリズムを、日本語で記述すると次のようになる。；アルタイ諸語との関係、また日本語との関係もしばしば議論の的となる。；日本語にない音を表記するために、いくつかの専用の文字を使用する。；終章でも時間軸上冒頭の時点で書かれた、日本語の文章が登場している。；韓国では日本語と中国語の名称が混用されたが、日本語の名称が定着した。；現在の日本語で最も基本的な文字であり、主に次のような場面で用いられる。；このような状態で見える水の色を、日本語ではそのまま水色と呼んでいる。；このリリースからは日本語のフォントやインプットメソッドも付属した。；ただし、ロシア語・オランダ語・中国語・日本語共に有効な条約である。；このふたつは現代の日本語においてもそれぞれ重要な役割を担っている。；これらの意味と日本語における「神」は厳密には意味が異なるとされる。；多くのプラットフォームで動作し、日本語を含む多くの言語が利用できる。；日本語諸方言では原則として、同じ類の語は同じ型のアクセントを持つ。；その他、ドイツ語に由来する日本語には以下のようなものがある。；また3世や4世、5世からは日本語しか分からない人が増え続けている。；また、自動放送装置を搭載しており、日本語と英語に対応している。；この説によれば、中国語へも日本語から輸出されたこととなる。；日本語の複合語は、難しい語でも、表記を見れば意味が分かる場合が多い。；また、英語でも特に日本語からのラテン文字化は「」と呼ぶことがある。；これは同じ読みの漢字がたくさん存在するという日本語の特徴のためである。；この頃までに近代日本語が多くの文筆家らの努力で形成された。；当時は日本語の崩した文字に対応するために、木版印刷が広く用いられた。；日本語では相手の意向を直接的に聞くことは失礼に当たるからである。；たとえば、国内外の図書館で、日本語の書籍名を登録する際に用いられる。；なお、日本語のヨーグルトという呼称は直接にはドイツ語のを由来とする。；もっとも、日本語が印欧語との相違点を多く持つことは事実である。；ケンペルは日本語が読めなかったので、参照番号をそれぞれの枠に振った。；日本語の文字を扱えないコンピュータ環境などで日本語を表記する場合にも用いる。</t>
        </is>
      </c>
      <c r="J6451">
        <f>HYPERLINK("https://www.weblio.jp/content/日本語", "词义详情")</f>
        <v/>
      </c>
      <c r="K6451">
        <f>HYPERLINK("https://yourei.jp/日本語", "查看例句")</f>
        <v/>
      </c>
    </row>
    <row r="6452">
      <c r="A6452" t="inlineStr">
        <is>
          <t>にもかかわらず</t>
        </is>
      </c>
      <c r="B6452" t="inlineStr">
        <is>
          <t>成功</t>
        </is>
      </c>
      <c r="C6452" t="inlineStr">
        <is>
          <t>読み方：にもかかわらず
［連語］《連語「にも」＋動詞「かかわる」の未然形＋打消しの助動詞「ず」》
１前述の事柄を受けて、それと相反する行動をとる意を表す。…であるのに。「雨—出かける」「あれほど固く約束した—姿を現さない」
２（接続詞的に用いて）それなのに。しかし。「疲れがひどかった。—、がんばった」</t>
        </is>
      </c>
      <c r="D6452" t="inlineStr">
        <is>
          <t>なおかつ；なお且つ</t>
        </is>
      </c>
      <c r="H6452" t="n">
        <v>16</v>
      </c>
      <c r="I6452" t="inlineStr">
        <is>
          <t>「にもかかわらずわれわれは間違っていたんだ」と少佐は言った。；アリスはやつれて険しい顔つきになってはいたが、にもかかわらず幸せそうだった。；家族を理想化するのとは逆に、それぞれが異なる歴史を生きた個人の群像であり、にもかかわらず「濃厚な家族の関係性」を漂わせる作品である。；こうした音韻論的に不明瞭で統一されていない言語状態が、にもかかわらず独自の言語段階としてカテゴライズされているのは、初期新高ドイツ語の時代がドイツ語の歴史に大きな影響を持った重要な文化的エポックを画しているからに他ならない。；主人公は二人の女性で、どちらも等身大をはるかに越えた超特大型で、中年の初期に属し、しかも自動車の内部構造に精通していて、紙袋のなかのものをよろこんでよく食べるところは、ちょっと雨の日の善良な浮浪人みたいだが、にもかかわらず非常に女性らしくもある、といった御婦人である。；「にもかかわらず私たちの捜索は成功しませんでした」 「こいつはまったく腹が立つし、がっかりさせられる」とグレナヴァンは叫んだ。；拓郎のフォロワーが多く現れた理由としては、拓郎の曲がとっつきやすいといわれるテンションが少なくシンプルなコード進行であり、にもかかわらず非常に個性の強いメロディラインで構成されていることが考えられる。；張り紙などで『便所飯』の禁止を周知し、にもかかわらず『便所飯』が行われた場合は退去を求めたり、それでも出ていかない場合は刑法の不退去罪を適用することも理論上は考えられるという。；亜左美の〈勘〉を軽率に信じたわけではないし、また仮にそれが事実だとしても榊には関係のないことであるが、にもかかわらず微妙な翳りが一瞬よぎったのはまちがいなかった。；フランコの妹ピラールは未亡人で10人の子供の母だったため適度な年金だけが収入源だったが、にもかかわらず膨大な財産を蓄積した。；最初撃った方が絶対得なのだが、にもかかわらず「どうぞどうぞ」と、二〜三回やり直さないと仁義に反するような戦争になった。；たとえ国友鉄算の周到緻密な準備があり、鎌太夫らの手練の技術があったとはいえ、驚くべき突貫作業であり、にもかかわらずみごとな出来栄えであった。；よく手入された芋田と、美しい椰子林とを真昼の眩しい光の下に見ながら、この島の運命を考えた時、あらゆる重大なことは凡て「にもかかわらず《トロッツデム》」起る、といった誰かの言葉を思い出した。；その豪快かつ華麗な振る舞いから、爵位がなかったのにもかかわらず「バロン薩摩」と呼ばれていた。；もともと太田は「尊厳死」の用語を批判していたが、にもかかわらず「尊厳死」を採用したのは、「安楽死」が持つマイナスのイメージを払拭し、語感の良い「尊厳死」に変えることで世間の批判を和らげようとしたからである。；さらに富士通は、FMRシリーズの次世代機として1989年2月にFM-TOWNSを発売していたが、にもかかわらず「反NEC」と言うだけで1990年までBTRONソフトウェア懇談会に参画していた。</t>
        </is>
      </c>
      <c r="J6452">
        <f>HYPERLINK("https://www.weblio.jp/content/にもかかわらず", "词义详情")</f>
        <v/>
      </c>
      <c r="K6452">
        <f>HYPERLINK("https://yourei.jp/にもかかわらず", "查看例句")</f>
        <v/>
      </c>
    </row>
    <row r="6453">
      <c r="A6453" t="inlineStr">
        <is>
          <t>荷物</t>
        </is>
      </c>
      <c r="B6453" t="inlineStr">
        <is>
          <t>成功</t>
        </is>
      </c>
      <c r="C6453" t="inlineStr">
        <is>
          <t>読み方：にもつ
１運搬・運送する品物。
２重荷に感じられるもの。負担となるもの。お荷物。「とんだ—をしょいこむ」「皆のお—にはなりたくない」</t>
        </is>
      </c>
      <c r="D6453" t="inlineStr">
        <is>
          <t>荷物室(2%)；荷物輸送；荷物運び；荷物用；荷物合造</t>
        </is>
      </c>
      <c r="E6453" t="inlineStr">
        <is>
          <t>障害；故障；邪魔；貨物；妨害</t>
        </is>
      </c>
      <c r="F6453" t="inlineStr">
        <is>
          <t>重い荷物；大荷物；小さな荷物；荷物積卸；荷物合造制御電動車</t>
        </is>
      </c>
      <c r="G6453" t="inlineStr">
        <is>
          <t>荷物棚；荷物電車；荷物列車；荷物扱い；荷物検査</t>
        </is>
      </c>
      <c r="H6453" t="n">
        <v>29</v>
      </c>
      <c r="I6453" t="inlineStr">
        <is>
          <t>この問題の場合は各荷物ごとに分割して評価することで適用可能である。；ただし日本ではごく一部を除いて鉄道荷物輸送は既に廃止されている。；紙に書いた手紙や荷物などを、指定した相手のもとまで運んでくれる。；コルコバード国立公園から戻ってきた際に荷物は無事に帰ってきている。；飛行中でも出入り可能な最後尾の荷物室へは後方トイレを通って入る。；フィデリオは、修理したばかりの鎖の重い荷物を運びながら入ってくる。；この昆虫は海外からの荷物に付着して伝わってきたと考えられている。；その他、吾妻鏡には宴会が行われた、荷物が置かれたなどの記述もある。；荷物がまだ全部彼の家にあるので、それを取りに来たのだという。；網棚は座席と天井の間にあり、荷物を置くために意図されて配置されている。；この演説に感動した一高生の何人かは荷物をまとめて一高を去ったという。；その夜、万里は荷物の中からタロウの手紙とお金の入った袋を見つける。；これは従者がいないときには荷物のせにも使用された場所だった。；車外の荷物扉は連結面に設置された専用のドアスイッチにより開閉する。；一度は拒否されるが、叔父の口利きで荷物運びとして同行を認められる。；また、一部の中間駅には旅客用ホームとは別に荷物用のホームが存在した。；また、漁意外にも、日常の荷物運搬等に欠かせない生活の足でもあった。；キャリアには、そうした大量の荷物に耐えうる構造が必要である。；昭和初期までは馬による荷物輸送も行われていたと記録されている。；江戸時代の行商の多くは、この連雀に荷物を担いで各地を往来していた。；同日にはオルリー空港でも荷物が爆発する事件が発生していた。；これは自動ドッキングより大型の荷物の輸送を優先したためである。；館内にはA4サイズ以上の大きさの荷物を持ち込んで入ることはできない。；民間の手紙や荷物を運ぶのが許されたのは、1576年になってからである。；歩荷は人が背中に荷物を背負って歩きで山などの自然の中を運ぶことである。；スタート時、全てのチームに番組から荷物と資金が与えられる。；車内は前位から運転室・荷物室・郵便室・三等室に区分されている。；幼い頃から芝居に興味を持ち荷物持ち・付き人を経て人形浄瑠璃の世界に入る。；各車両一部座席を撤去し、大型の荷物を置くことができる荷物スペースを設置している。</t>
        </is>
      </c>
      <c r="J6453">
        <f>HYPERLINK("https://www.weblio.jp/content/荷物", "词义详情")</f>
        <v/>
      </c>
      <c r="K6453">
        <f>HYPERLINK("https://yourei.jp/荷物", "查看例句")</f>
        <v/>
      </c>
    </row>
    <row r="6454">
      <c r="A6454" t="inlineStr">
        <is>
          <t>にやにや</t>
        </is>
      </c>
      <c r="B6454" t="inlineStr">
        <is>
          <t>成功</t>
        </is>
      </c>
      <c r="C6454" t="inlineStr">
        <is>
          <t>［副］(スル)声を出さないで薄笑いを浮かべるさま。「子供の話となると急に—（と）しはじめる」「意味ありげに—（と）笑う」</t>
        </is>
      </c>
      <c r="D6454" t="inlineStr">
        <is>
          <t>にやにや笑う(2%)；にやにや笑い出し；にやにや笑つて；にやにやしながら答え；にやにや笑いだし</t>
        </is>
      </c>
      <c r="E6454" t="inlineStr">
        <is>
          <t>笑い；微笑；笑顔；笑み；笑</t>
        </is>
      </c>
      <c r="F6454" t="inlineStr">
        <is>
          <t>いつもにやにや；相変らずにやにや；ひとりにやにや；唯にやにや；みんなにやにや</t>
        </is>
      </c>
      <c r="H6454" t="n">
        <v>29</v>
      </c>
      <c r="I6454" t="inlineStr">
        <is>
          <t>向こうに立っていた一人の学生が、この様子を見てにやにや笑い出した。；あばた面は黙って聞いていたが、いかにも満足そうににやにやしていた。；ただあの主計官が窓の外を見ながら、にやにや笑っているばかりだった。；自分でも分かるほど唇の端を吊り上げて、にやにや笑いながらそう思う。；「ぼくはそんな予感がしていたんだ」と彼はにやにや笑いながら言った。；そこへおまえがにやにやしながらこの手紙の注文通りの格好で現われたんだわ。；しかしにやにや笑っている先生の顔を見た時、私は急に極りが悪くなった。；当然、仲間の船乗りたちがいい酒の肴とばかりににやにやと笑っている。；それからまたながいあいだたって、ふたたび彼はにやにやと笑い出した。；あんまりにやにやしないように努めてみた、気にしないようにも心懸けた。；そのとき車の前で五十ぐらいの男がにやにや笑っているのを見て、変に思った。；「それからもう一度あったのですよ」と、彼はにやにやしながら言った。；あとからのつそり入つて来たウムベルト王はにやにや笑ひながら言つた。；手を解いてから、入江と名乗った男はにやにや笑いで秋庭のほうを見た。；すると千ちゃんはまっすぐ顔をポコちゃんの方へ向けてにやにや笑っていた。；ふたたび水面にうかびあがったときは、にやにや歯を見せて笑っていた。；ウィーラー氏はワインを飲んで、しばらく、ひとりでにやにやしていた。；にやにや笑っていいかげんな事を言ったりはしない男に向かってだ。；陰士は細君の寝顔を上から覗き込んで見たが何のためかにやにやと笑った。；にやにや笑いながら、もとの場所につっ立っているではありませんか。；そして僕は三時間労働説なんだとにやにやしておられたものであった。；「前野君と言ったね」 男はわけのわからぬにやにや笑いを浮べている。；そんな材木がどこにあったのかと訊いても、にやにやしていて答えなかった。；彼女のそばで、歯の欠けた、にやにや笑いをしている男が手を振った。；一同にやにやしながら私を見ているうち一人の者は何かしきりに私に云っている。；「さすがに緊張した顔をしているな」倉持は私を見てにやにや笑った。；通り行く生徒たちが、にやにやと楽しそうにそんな様子を眺めている。；英国紳士は相変らずにやにや笑っているが、我々はもう笑ってはいられない。；前川さんがにやにや、事態を面白がっているのが背景として気になった。</t>
        </is>
      </c>
      <c r="J6454">
        <f>HYPERLINK("https://www.weblio.jp/content/にやにや", "词义详情")</f>
        <v/>
      </c>
      <c r="K6454">
        <f>HYPERLINK("https://yourei.jp/にやにや", "查看例句")</f>
        <v/>
      </c>
    </row>
    <row r="6455">
      <c r="A6455" t="inlineStr">
        <is>
          <t>ニュアンス</t>
        </is>
      </c>
      <c r="B6455" t="inlineStr">
        <is>
          <t>成功</t>
        </is>
      </c>
      <c r="C6455" t="inlineStr">
        <is>
          <t>読み方：にゅあんす
１言葉などの微妙な意味合い。また、言外に表された話し手の意図。「発言の—を汲む」
２色彩・音色などの微妙な差異。「細かいグラデーションで—を出す」</t>
        </is>
      </c>
      <c r="D6455" t="inlineStr">
        <is>
          <t>ニュアンスが強い；ニュアンスが込められ；ニュアンスが感じられる；ニュアンス仮説</t>
        </is>
      </c>
      <c r="E6455" t="inlineStr">
        <is>
          <t>色彩；含み；色合い；トーン；色調</t>
        </is>
      </c>
      <c r="F6455" t="inlineStr">
        <is>
          <t>細かいニュアンス；そういうニュアンス；近いニュアンス；複雑なニュアンス；細かなニュアンス</t>
        </is>
      </c>
      <c r="G6455" t="inlineStr">
        <is>
          <t>ニュアンスしましょ；ニュアンスコミュニケーションジャパン</t>
        </is>
      </c>
      <c r="H6455" t="n">
        <v>29</v>
      </c>
      <c r="I6455" t="inlineStr">
        <is>
          <t>それゆえに私は彼の言葉から一種の風刺的な意味のニュアンスを感じる。；人間への愛、それはニュアンスへの愛だと言っても過言でないでしょう。；けれどもほかの女だつたら、また結婚も自らニュアンスが違ふのである。；死の予感をこれほどさまざまなニュアンスにおいて描いた作家も少ない。；なお、日本語のニュアンスなどの観点から、英語への対応は見送られた。；微妙な表現についての微妙なニュアンスを説明しているところだとする。；しかし細かいニュアンスや語法などを英語で説明するのは現実的ではない。；ヒルはどんな新たな事業でも、そのニュアンスをくみ取ることができた。；彼らのする猥談は、小咄的なニュアンスも何の洗練もあるわけではない。；外国の生活と日本の心とのニュアンスを扱おうとしている、彼流に。；由来日本の新劇俳優は、アクチングのニュアンスを無視し勝ちであつた。；その時の言葉の中に含まれるどこか湿っぽいニュアンスが、今は理解できた。；ほんの小さな子供のころからあるニュアンスをもつ空想の世界の中に生きてきた。；男の娘はロリショタと一部が重なるもののニュアンスは異なる概念である。；このニュアンスにプロメテウス的な構想と暗示の自由とが見られたのである。；許婚という語には、結婚を当人以外のものが決定するニュアンスがある。；具体的には『ぷ』と含み笑いをもったニュアンスで語られることが多い。；それは奥深いところにあるだろうし、繊細な気持のニュアンスなのだから。；ぼくをじっと見ている彼女の表情には、いくつかのニュアンスが重なっていた。；でも、ニュアンス的には英語そのものを変えたというわけじゃないんですよ。；それぞれの映画にはそれぞれのニュアンスや解釈があります。；死の後ろに様々な言葉をつなげ、様々なニュアンスを表現している。；だがそれにまつわるいろいろのニュアンスは彼にはわからなかった。；それがどのくらい差別的なニュアンスを持つ表現なのか、ぼくにはわからない。；同じ曲でも毎回ニュアンスを変えており、同じように演奏することはまずない。；一方、この手法の制限は、概念のニュアンスや複雑な言語規則を処理できない。；上に挙げた料理は、独特のアルゼンチンのニュアンスを発展させた。；中国語における疑問符は主に語尾に用いられ、疑問のニュアンスを表す。；特に現象に対して批判的なニュアンスを含まない関連語には社会現象がある。</t>
        </is>
      </c>
      <c r="J6455">
        <f>HYPERLINK("https://www.weblio.jp/content/ニュアンス", "词义详情")</f>
        <v/>
      </c>
      <c r="K6455">
        <f>HYPERLINK("https://yourei.jp/ニュアンス", "查看例句")</f>
        <v/>
      </c>
    </row>
    <row r="6456">
      <c r="A6456" t="inlineStr">
        <is>
          <t>入院</t>
        </is>
      </c>
      <c r="B6456" t="inlineStr">
        <is>
          <t>成功</t>
        </is>
      </c>
      <c r="C6456" t="inlineStr">
        <is>
          <t>読み方：じゅいん
［名］(スル)
１「にゅういん（入院）」に同じ。
「病院に病者—の規則」〈魯文・西洋道中膝栗毛〉
２僧が住職となって寺に入ること。
「本年(ことし)二月の末に帰寂(かくれ)て後住が—せしかば」〈魯文・高橋阿伝夜叉譚〉</t>
        </is>
      </c>
      <c r="D6456" t="inlineStr">
        <is>
          <t>入院中(10%)；入院する(8%)；入院生活(3%)；入院先；入院費</t>
        </is>
      </c>
      <c r="F6456" t="inlineStr">
        <is>
          <t>検査入院；長い入院；倒れて入院；入院以来；入院施設</t>
        </is>
      </c>
      <c r="G6456" t="inlineStr">
        <is>
          <t>入院治療；入院者；入院時食事療養費；入院時生活療養費；入院届</t>
        </is>
      </c>
      <c r="H6456" t="n">
        <v>29</v>
      </c>
      <c r="I6456" t="inlineStr">
        <is>
          <t>近年は入院状態が続いており、国民の前に姿を見せる事はほとんどない。；脚本以外の専門分野で活躍する人への依頼は、全て入院前に済ませていた。；桜庭の入院でセナが書いた手紙を読む際アイシールドの姿になっている。；主に、被告人が病気になった場合に入院させるため用いられる場合が多い。；感染のフォーカスが明らかにならない場合は入院適応となることもある。；ただし正確な診断を行うためには入院して3夜連続で測定を行う必要がある。；紹介経由は連携先の病院からの紹介で入院するものをいう。；これまで何回かにゅういんしたけど、こんなくるしいのははじめてです。；しかし再入院率が高いため連携が今後の課題であるとOECDは評している。；その時に入院した病院の看護師をつとめていたのがレイア・バートンだった。；病院側の発表によると、検査を受け、経過観察のため数日間入院する。；病院からは3週間程度の入院が必要とされていると伝えられた。；施設改修完了後は入院医療に特化したため、外来診療は行っていない。；入院の間は病院から落語会やテレビ収録に行っていたという。；これが1960年代からの社会防衛的入院から外来治療への転換を生んだ。；既に入院している力士のなかに症状がある者・重症者はこの時点では無いという。；精神保健福祉法に定められている入院形態のうちでは最も運用例が少ない。；同月16日に都内の病院へ入院、19日には手術を受けることとなった。；第95歩兵部隊に配属されたが、病気のために入院を余儀なくされた。；関係者によれば、亡くなる数か月前から入院療養していたとのことである。；船員たちは警察に行き軍病院かどこかへの入院を依頼した。；翌日花束を持って田中角栄が入院する東京逓信病院に見舞いに出かけた。；約1年後、再び腹部に強い痛みを覚え検査を受け腸閉塞と診断され入院。；の入院費用とスミス大学へ通うための学費は、作家のが支払ってくれた。；食事の改善などを目的とした教育入院とされる。；舞鶴医療センターに入院して治療生活を送る児童・生徒を主な教育対象とする。；撮影中、小池はすでに入院中であったが病院を抜け出して参加したという。；ヤンキー・スタジアムでの同イベントに参列した後、再び入院生活を送る。；何ヶ月も入院し、その後も健康と視力に問題を抱えるようになった。</t>
        </is>
      </c>
      <c r="J6456">
        <f>HYPERLINK("https://www.weblio.jp/content/入院", "词义详情")</f>
        <v/>
      </c>
      <c r="K6456">
        <f>HYPERLINK("https://yourei.jp/入院", "查看例句")</f>
        <v/>
      </c>
    </row>
    <row r="6457">
      <c r="A6457" t="inlineStr">
        <is>
          <t>入荷</t>
        </is>
      </c>
      <c r="B6457" t="inlineStr">
        <is>
          <t>成功</t>
        </is>
      </c>
      <c r="C6457" t="inlineStr">
        <is>
          <t>読み方：いりに
１送られてきた荷物。
２倉庫などに積み入れられている荷物。</t>
        </is>
      </c>
      <c r="D6457" t="inlineStr">
        <is>
          <t>入荷する(10%)；入荷される(5%)；入荷量(3%)；入荷待ち；入荷でき</t>
        </is>
      </c>
      <c r="F6457" t="inlineStr">
        <is>
          <t>新しく入荷</t>
        </is>
      </c>
      <c r="H6457" t="n">
        <v>29</v>
      </c>
      <c r="I6457" t="inlineStr">
        <is>
          <t>似たような模様のベニオチョウといっしょに入荷されてくることも多い。；なにしろ都合のいい御遺体が毎日入荷されて来るわけではないからだ。；また、入荷を確認したら出来るだけ早くに注文を完了する必要がある。；さまざまな種類が入荷しており、大型種ほど高値で販売される傾向がある。；新しく入荷したと言ってもその品物自体は古く、全体的に薄汚れていた。；注文した専門書が入荷したとの連絡があったので、生協の書籍部へ出かけた。；台湾穂高から一千台の〝ハイライザー〟が入荷したのは三日前のことだ。；入荷したことは絶対に秘密にしておかなくてはならないの。；すでに産地が占領されてしまったからサイゴンへの入荷は絶たれただろう。；市場にあらゆる種類の果物がドッと入荷するや、一時間後には空になった。；特に大型個体ほど美味だが、市場への入荷量が少ないため高級魚とされる。；僕は新しく入荷した不思議な品物を、机の上に置いて眺めていた。；人気商品は入荷と同時に品切れになる可能性が高いからである。；手前どもに何かご用は、本日入荷したばかりの品をお目にかけなれば。；当初はここは、肥料の出荷および石灰岩の入荷地点として機能していた。；カウンターの周囲は新入荷や貸し出しから帰ってきた本のコーナー。；それを十円おいて買い、近く入荷するとのことで一個取っておいてもらうことにする。；しばらく前に注文しておいた本が入荷したと、昼間、本屋から連絡があったのだ。；なぜそんなことになっているのかといえば、入荷してきた資料を劣化から守るためなのだ。；ビル内の店に烏龍茶は入荷しないはずなのに、どこからかわざわざ買ってきたらしい。；私は、何か新しい物が入荷してないか見に来ただけだ。；と思われるだろうそれらの雑誌が入荷されては返品されていくのは彼らを懐かしむからだ。；いずれも日本での正式な扱いはなく、入荷は並行輸入のみである。；新商品が発売されるたびや再入荷されるたびににすぐに品切れ状態になるほどの人気ブランドとなっている。；もし入荷予定があれば、ほしいと思って、而してハガキ出しておきました。；原稿の校内提出日が明日とあっては、購買部の入荷を待ってはいられなかったのだ。；少し前に頼んだ本が入荷したという連絡があったのだ。；店のアイテムは特定の条件を満たすことで新規入荷されていく。；まず、入荷してくるコンテナを管理し、ある規則に従ってそれを開ける。</t>
        </is>
      </c>
      <c r="J6457">
        <f>HYPERLINK("https://www.weblio.jp/content/入荷", "词义详情")</f>
        <v/>
      </c>
      <c r="K6457">
        <f>HYPERLINK("https://yourei.jp/入荷", "查看例句")</f>
        <v/>
      </c>
    </row>
    <row r="6458">
      <c r="A6458" t="inlineStr">
        <is>
          <t>入学</t>
        </is>
      </c>
      <c r="B6458" t="inlineStr">
        <is>
          <t>成功</t>
        </is>
      </c>
      <c r="C6458" t="inlineStr">
        <is>
          <t>読み方：にゅうがく
［名］(スル)
１ある学校の新しい児童・生徒・学生となること。「大学に—する」「—式」《季春》
２弟子入りすること。入門。</t>
        </is>
      </c>
      <c r="D6458" t="inlineStr">
        <is>
          <t>入学する(11%)；入学後(6%)；入学者(2%)；入学時；入学前</t>
        </is>
      </c>
      <c r="E6458" t="inlineStr">
        <is>
          <t>入る；入り込む；入館；入りこむ；はいり込む</t>
        </is>
      </c>
      <c r="F6458" t="inlineStr">
        <is>
          <t>高校入学；小学校入学；中学入学；中学校入学；再入学</t>
        </is>
      </c>
      <c r="G6458" t="inlineStr">
        <is>
          <t>入学式；入学金；入学者選抜；入学祝い；入学料</t>
        </is>
      </c>
      <c r="H6458" t="n">
        <v>29</v>
      </c>
      <c r="I6458" t="inlineStr">
        <is>
          <t>かつて言語を研究していた父にラテン語の準備をしてもらってから入学した。；コミュニティ・カレッジは経済の発展と共に成長し入学者が増えている。；卒業していない場合は入学資格試験を受験しなければならない場合が多い。；大学卒業後に一旦就職し、しばらくたってから大学院に入学する人も多い。；英国の植民地の住民が医師を目指す場合には英国の医大に入学することが多い。；出願人数が一定数を超えた場合のみ入学考査前の抽選を行う学校もある。；入学を許可した大学は、補習を行うことで進級のための指導を行っている。；その後、無線に興味があったことから電気学園福島工業高等学校に入学。；この時点では14歳で、本来の就学年齢より1年早い高校入学となった。；高校卒業後はピッツバーグ大学日本校へ入学するも、俳優の道へ進む。；イスタンブールの他のいくつかの高校は独自の教育や入学条件を特徴としている。；また、大学入学後にはもう一つの趣味であった剣道にも力を入れた。；小学校入学前からの熱烈な野球少年で、将来の夢はプロ野球選手だった。；小学校に入学した希望が早退してもう学校には行かないと言う。；学部を卒業した者などが入学者選考試験を経て、合格したものが入学できる。；このクラスに入学したことがチャイコフスキーに取って大きな転機となった。；これまで、支援教育が必要な生徒は夜間定時制高等学校に入学していた。；ただし、形式的であってもすでに中学校を卒業している場合は入学できない場合もある。；大学院改組に合わせて2016年度入学者からの学生募集は停止している。；また、入学した学校が格別高度な教育をしているように描かれていない場合もある。；小学校に入学して間もなく父の転任で京都に転居、9歳で木琴を始める。；大学院への入学の際に必要とされることがある。；入学前に申し込むタイプと入学後に申し込むタイプとの2種類がある。；入学時は学校のバスケットボールチームに入れなかったエピソードはよく知られている。；傍系入学者は、特に、東京・京都以外の帝大では比較的多くみられた。；次に、大学は、学生に入学の申し出を延長するかどうかを決定する。；小学校に入学するのと同じ時期に地元のに入団。；なお、近年は工学部を除いて入学者の約4割が女子学生となっている。；入学し得るのは、師範学校卒業者またはこれと同等以上の学力を有する者。</t>
        </is>
      </c>
      <c r="J6458">
        <f>HYPERLINK("https://www.weblio.jp/content/入学", "词义详情")</f>
        <v/>
      </c>
      <c r="K6458">
        <f>HYPERLINK("https://yourei.jp/入学", "查看例句")</f>
        <v/>
      </c>
    </row>
    <row r="6459">
      <c r="A6459" t="inlineStr">
        <is>
          <t>入学式</t>
        </is>
      </c>
      <c r="B6459" t="inlineStr">
        <is>
          <t>成功</t>
        </is>
      </c>
      <c r="C6459" t="inlineStr">
        <is>
          <t>読み方：にゅうがくしき
入学に際し、行う儀式。→入学1</t>
        </is>
      </c>
      <c r="D6459" t="inlineStr">
        <is>
          <t>入学式当日(3%)；入学式及び卒業式；入学式会場</t>
        </is>
      </c>
      <c r="H6459" t="n">
        <v>29</v>
      </c>
      <c r="I6459" t="inlineStr">
        <is>
          <t>だって、小学校の入学式に女の子の格好をさせられて出席したんでしょう。；入学式のデータは会場の場所も含めて、入学者全員に配信されている。；入学式の準備ができたので、いまこうして移動しているところだった。；スポーツだけでなくイベント、さらには大学の入学式などにも使用される。；私が入学式のときに彼の姿を見て以来、頭に描いていた夢が現実になったのだ。；一年の頃から溜め込んでいたのか、入学式の時に配布された用紙もある。；代表の焼香まで一通り終えて始まった入学式は、ごく一般的なものである。；しかし入学式の直前に胃潰瘍が発覚し、一ヶ月の入院を余儀なくされる。；もちろん入学式に両親はこなかったし、私の友人たちも同じだった。；中学校の入学式か何かのときに、校長先生からでも聞いたのだろうか?；入学式から数日の間に、クラスにはいくつかのグループが形作られた。；いやそもそも、どうして奴らがこの学校の入学式の写真を持っているのだ?；彼女は入学式の日、女生徒からお金を受け取っている少年を目撃した。；入学式の始まる前に担任教師が教室に顔を出さなかったのが悪かった。；現在も入学式や卒業式の際に唄われ成蹊教育の重要な役割を担っている。；また大阪市では珍しく、入学式などに歌で生徒を送るなどのことをしている。；入学式の日にさえ、付き添いなしでやってくる子も、大勢いたのである。；地元の高校に進学するも、入学式当日に退学届を提出し翌日に中途退学。；地元神戸大学の入学式及び学位記授与式の会場としても毎年使用される。；幼稚園の入学式と小学校の入学式、それと指を切って怪我したとき。；入学式は母に連れられて行ったに違いないが、その記憶はない。；入学式が終って、その帽子をかぶって家に帰ったときには、両親も喜んでくれた。；晴れて迎えた入学式の後には、高校生活最初のホームルームが待っていた。；入学式の乱闘事件の時、メイシェンを守ってくれたのはこの背だった。；姫名子は足を挫いてしまい、入学式に出られなかったことに悲観していた。；入学式の日だけは休みで、翌日からは通常通り、放課後の稽古になった。；学校では入学式があって、季節は寒い冬を越えて春になっている。；高校の入学式のとき、私のすぐ前に座っていた女の子、それがアヤコだった。；だがその新入生を迎える入学式の日、突然校舎内にモンスターが出現した。</t>
        </is>
      </c>
      <c r="J6459">
        <f>HYPERLINK("https://www.weblio.jp/content/入学式", "词义详情")</f>
        <v/>
      </c>
      <c r="K6459">
        <f>HYPERLINK("https://yourei.jp/入学式", "查看例句")</f>
        <v/>
      </c>
    </row>
    <row r="6460">
      <c r="A6460" t="inlineStr">
        <is>
          <t>入居</t>
        </is>
      </c>
      <c r="B6460" t="inlineStr">
        <is>
          <t>成功</t>
        </is>
      </c>
      <c r="C6460" t="inlineStr">
        <is>
          <t>読み方：にゅうきょ
［名］(スル)はいってそこに住むこと。「アパートに—する」</t>
        </is>
      </c>
      <c r="D6460" t="inlineStr">
        <is>
          <t>入居する(20%)；入居者(10%)；入居開始；入居テナント；入居企業</t>
        </is>
      </c>
      <c r="F6460" t="inlineStr">
        <is>
          <t>テナント入居；団地の入居；団地入居；ここに入居；入居者生活介護</t>
        </is>
      </c>
      <c r="H6460" t="n">
        <v>29</v>
      </c>
      <c r="I6460" t="inlineStr">
        <is>
          <t>カジミェシュ宮殿には新たに設立されたワルシャワ大学も入居していた。；彼はなんとまろんの隣の部屋に入居したばかりか同じ高校へ編入してきた。；その際に別に立地していた左京区保健センターも新庁舎に入居している。；居酒屋が入居している駅舎が、ホームに接した形で設けられている。；これらに入居するテナントには京王グループ各社の経営する店舗が多い。；以前はちよれん3社で同じビルに入居していたが、それぞれ移転した。；現在は約200の店舗が入居しており、原則すべて独立業者である。；京阪東ローズタウンで5番目に入居が開始された最も新しい街区である。；スタンレー・ブルース首相は、その数日前に首相公邸であるに入居した。；推薦寮は他大学の学生も入居する寮で、様々な学生と交流することができる。；この建物にはオフィス、市立図書館、広場の管理事務所が入居している。；施設内の店舗スペースは300件以上あるが、現在も入居希望者は多い。；この他神州一味噌などのサッポロHD傘下企業の本社事務所が入居する。；なお、当館が入居していた逓信ビルには、日本電信電話の本社があった。；本部庁舎には、警察庁の地方機関である九州管区警察局も入居している。；各部屋の入居者は以下の通りで、名前に数字が入っている。；また、一般入居は翌年の1972年に同じく中台地区にて開始された。；入居者は最大9人ごとのユニット制をとることになっている。；このマンションの低層部には銀行などの店舗が入居している。；かつては地下三階にもNAMCOのゲームセンターが入居していた。；それらの東京事務所が入居するビルとして建設されたのが都道府県会館である。；岡山店にはかつて地元放送局各社のスタジオや本社が入居していたことがある。；また隣に損保ジャパン本社ビルがある関係で、その系列会社等も入居している。；ニュータウン内では最も新しい住宅地で、1995年の入居開始である。；入居店舗の多くはアトレヴィ移行後も継続して営業している。；駅舎はJR駅舎の東側にあり、2階部分には歯科医院が入居している。；中央バス観光商事が運営する売店が入居していたが撤退している。；イオンシネマズが運営していた劇場では唯一ファッションビルに入居している。；谷汲鉄道時代にはこの駅舎の2階に同社の本社が入居していた。</t>
        </is>
      </c>
      <c r="J6460">
        <f>HYPERLINK("https://www.weblio.jp/content/入居", "词义详情")</f>
        <v/>
      </c>
      <c r="K6460">
        <f>HYPERLINK("https://yourei.jp/入居", "查看例句")</f>
        <v/>
      </c>
    </row>
    <row r="6461">
      <c r="A6461" t="inlineStr">
        <is>
          <t>入国</t>
        </is>
      </c>
      <c r="B6461" t="inlineStr">
        <is>
          <t>成功</t>
        </is>
      </c>
      <c r="C6461" t="inlineStr">
        <is>
          <t>読み方：にゅうこく
［名］(スル)
１他の国にはいること。「不法に—する」⇔出国。
２日本の入国管理制度で、外国人が日本の領域内に入ること。上陸3と区別していう。→領域2
３領主が初めてその領地にはいること。〈日葡〉</t>
        </is>
      </c>
      <c r="D6461" t="inlineStr">
        <is>
          <t>入国する(10%)；入国後(3%)；入国でき(2%)；入国時(2%)；入国手続き(2%)</t>
        </is>
      </c>
      <c r="F6461" t="inlineStr">
        <is>
          <t>関東入国；不法入国；日本入国；初入国；入国拒否</t>
        </is>
      </c>
      <c r="G6461" t="inlineStr">
        <is>
          <t>入国管理局；入国管理；入国審査官；入国許可；入国禁止</t>
        </is>
      </c>
      <c r="H6461" t="n">
        <v>29</v>
      </c>
      <c r="I6461" t="inlineStr">
        <is>
          <t>中国に入国できなかったため、映画の大半はアルゼンチンで撮影された。；観光には事前の予約が必要であり、予約なしで訪問すると入国できない。；また、資金洗浄に関与した外国人がアメリカに入国することは禁止された。；最終的にカナダ当局はルドルフの再入国を認めないという判断を下した。；家康の関東入国の後に伊豆国1万石を与えられて韮山城の城主となった。；その後、他の日本の報道各社も中華人民共和国への再入国を許された。；阿保藩は、徳川家康が関東に入国した際に上野国に置かれたとされる藩。；このように直接に日本に入国しようとするケースは稀である。；日本からはパスポートなしで入国でき、移動にはゴンドラが用いられる。；日本は通常、麻薬犯罪で有罪判決を受けた旅行者の入国を拒否している。；グリーンはこの小説を書いたため、アメリカへの入国を拒否された。；ただし、すべての再入国申請が認められるものでは無いのが問題点とされている。；外国人も例外ではなく、女性の国連職員は入国が許可されなかった。；だが日本人妻の北朝鮮入国や結婚の経緯は必ずしも明らかでない。；中華人民共和国が成立すると中国に再入国できなくなった。；その後、ハプスブルク一族はオーストリア共和国への入国を禁止された。；J-BIS等の処分を受けた外国人の再入国を防ぐ効果を期待され導入された。；カナン入国後の相続地の分配の際もヨシュアと共に民の指導に当たった。；全軍が一度に入国するとビザンツ帝国に圧力を与えてしまいかねないためである。；数百マイルに及ぶ逃避行の末にスイスに入国し、その後帰国した。；入国後にフリーエージェントを宣言し、複数の球団と自由に交渉する権利を得た。；そのため中国からの感染者の入国があり得るものとしている。；キューバは日本人が観光目的で入国する際にビザ免除を認めている。；理由は当時日本での所有が禁止されていた薬を持ち込み、入国できなかったからである。；これらの国の入国条件の簡単な概要は以下のとおりである。；日本共産党から派遣された者、海外から入国した者など入国経緯は様々であった。；はじめ6万石で入国したが間もなく2万石の加増を受け8万石の領主となった。；一旦日本に入国後、千葉県にある妹の自宅に身を寄せ、再び中国への帰国を試みた。；光仲が領国に初入国したのは慶安元年、藩主となって16年を経てからである。</t>
        </is>
      </c>
      <c r="J6461">
        <f>HYPERLINK("https://www.weblio.jp/content/入国", "词义详情")</f>
        <v/>
      </c>
      <c r="K6461">
        <f>HYPERLINK("https://yourei.jp/入国", "查看例句")</f>
        <v/>
      </c>
    </row>
    <row r="6462">
      <c r="A6462" t="inlineStr">
        <is>
          <t>入社</t>
        </is>
      </c>
      <c r="B6462" t="inlineStr">
        <is>
          <t>成功</t>
        </is>
      </c>
      <c r="C6462" t="inlineStr">
        <is>
          <t>読み方：にゅうしゃ
［名］(スル)会社にはいり、その社員となること。「縁故で—する」⇔退社。</t>
        </is>
      </c>
      <c r="D6462" t="inlineStr">
        <is>
          <t>入社後(6%)；入社以来；入社当初；入社直後；入社当時</t>
        </is>
      </c>
      <c r="F6462" t="inlineStr">
        <is>
          <t>中途入社；フジテレビ入社；新卒入社；株式会社入社；日本テレビ入社</t>
        </is>
      </c>
      <c r="G6462" t="inlineStr">
        <is>
          <t>入社式；入社パス</t>
        </is>
      </c>
      <c r="H6462" t="n">
        <v>29</v>
      </c>
      <c r="I6462" t="inlineStr">
        <is>
          <t>入社してすぐに辞めてしまった会社には申し訳なかったとも語っている。；小規模な会社であることから、入社した者は何でもやらなければならない。；他にも元警察官を数人入社させることで沿線の警備を行うこととした。；大津屋入社後、数ヶ月で仕事のシステムを覚え、広告の制作・営業を担当。；入社後にはアナウンス室に所属し、スポーツや報道などを担当した。；半年間休養した後、にっかつ撮影所に入社し、勤務しながら脚本を学ぶ。；尚、モデルとなった大多自身もフジテレビ入社当時は報道記者であった。；ちなみに師の漱石も1907年、同じように朝日新聞社に入社している。；将来への不安を感じてジャーナリストになることを決めて入社1年で上京。；入社後は都市対抗の予選で活躍したものの、本大会への出場に至らなかった。；その後日活に入社して映画女優となり、東宝を経て戦後はフリーとなる。；その後も忙しく、本が読めないのが主な不満で、入社後4年で退職した。；兄も事件の前年に早稲田大学を卒業後に上場企業に入社していた。；大学卒業後は、兄の友人が務めていた富士電機製造株式会社に入社。；しかし、円谷はこの特撮に満足せず、予定していた大映入社を断念した。；大学卒業後、1966年4月に中国放送にアナウンサーとして入社した。；ケンブリッジ大学トリニティ・カレッジで学んだ後、 父の会社に入社。；入社前に瀬島は入社面接を拒否し、その代わりに手紙を送っている。；帰国後、1970年1月に信隆が社長を務めていたニッポン放送に入社。；このときはまだアクアプラスに入社しておらず、友人という立場で協力した。；毎日放送には一般職で採用されたことから、入社当初は営業局に配属。；入社後は、主に報道・情報番組やラジオパーソナリティを中心に担当。；大学卒業後、アサヒビールに入社し、並行してNFLヨーロッパへ参戦。；卒業時にプロへ進む同級生を見て、自分も目指そうと東京ガスへ入社。；入社当初から「FNNスーパーニュース」など報道系の番組を中心に担当。；大学卒業後の1990年に、アナウンサーとしてテレビ朝日に入社した。；大学卒業後の1988年に、アナウンサーとしてテレビ朝日へ入社した。；その後は政治家となることを志して讀賣新聞に入社、政治部記者となった。；帰国後はOOCLに入社し、1982年父親の死に伴いその事業を継承する。</t>
        </is>
      </c>
      <c r="J6462">
        <f>HYPERLINK("https://www.weblio.jp/content/入社", "词义详情")</f>
        <v/>
      </c>
      <c r="K6462">
        <f>HYPERLINK("https://yourei.jp/入社", "查看例句")</f>
        <v/>
      </c>
    </row>
    <row r="6463">
      <c r="A6463" t="inlineStr">
        <is>
          <t>入手</t>
        </is>
      </c>
      <c r="B6463" t="inlineStr">
        <is>
          <t>成功</t>
        </is>
      </c>
      <c r="C6463" t="inlineStr">
        <is>
          <t>読み方：にゅうしゅ
［名］(スル)手にはいること。また、手に入れること。自分のものにすること。「新しい資料を—する」</t>
        </is>
      </c>
      <c r="D6463" t="inlineStr">
        <is>
          <t>入手する(15%)；入手できる(14%)；入手可能(5%)；入手困難(4%)；入手しやすい</t>
        </is>
      </c>
      <c r="E6463" t="inlineStr">
        <is>
          <t>獲得；得る；取得；受け取る；儲ける</t>
        </is>
      </c>
      <c r="F6463" t="inlineStr">
        <is>
          <t>入手しやすく；情報入手；入手可能性；入手できるシリアルコード；入手確率</t>
        </is>
      </c>
      <c r="G6463" t="inlineStr">
        <is>
          <t>入手経路；入手不可能；入手ルート</t>
        </is>
      </c>
      <c r="H6463" t="n">
        <v>29</v>
      </c>
      <c r="I6463" t="inlineStr">
        <is>
          <t>主に中国等から輸入されたものがスーパーマーケットなどで入手できる。；機体の設計は基本となるデータが入手できたため経験で開発を進められた。；デザインが年数回更新され、古いデザインのカードは新たに入手できない。；なお、これ以外にも特定のアイテムによって入手できるものなどもある。；大馬力のエンジンがオランダでは入手できなかった事情も考えられる。；やの場合がそれに該当し、店舗で入手困難な状況が数ヶ月間は続いた。；主に、店近くの出雲崎港で入手した魚介類を食材とした料理を提供する。；一部のものについてはゲーム中に、落ちているものを入手する必要がある。；国史大系本も含め、現在入手できるのはこの輯佚書を含んだものである。；本人以外の使用は禁止されており一般には入手不可能である。；しかし、ドアエンジン装置の入手が困難になっているという問題がある。；さまざまなOSに応じたソフトを開発サイトから無料で入手できる。；同書は大ベストセラーにもかかわらず現存数が少なく入手困難である。；以下に挙げるのは、現在でも入手が可能な単薬を使用した処方である。；もう一つの理由は、調味料として醤油が入手しやすくなったことである。；現代に蘇ったときに持っていた古代の武器が破損したために入手の必要が発生。；以後多数の翻訳があるが、2010年現在は以下収録のものが入手しやすい。；また、当時は不可能であろうと考えられてきた輪転機の入手に成功。；初期の作品のいくつかはペータースから出版され、現在でも入手可能である。；見学は完全予約制で、数日前に予め電話をするかチケットの入手が必要。；また、一部ACE登録を利用しないと入手できない機体も登場した。；酒が入手できた地域でも、ラマダーン期間は入手が困難になることがよくある。；塩には安定なものがあり、ナトリウム塩が市販品として入手可能である。；マシンカードでは入手条件の厳しいマシンや通常では出現しないマシンを追加することができる。；これは主にゲスト軍の機体を入手するために用いる。；一つだけ所持することができ、入手時に手持ちのアイテムと入れ替わる。；各種条件で入手できるアイテムによりキャラクターの強化が可能。；日本国内でソフトが入手可能な主な作品を紹介する。；ヤフオクなど、ネットでの個人間取引による入手がもっとも容易である。</t>
        </is>
      </c>
      <c r="J6463">
        <f>HYPERLINK("https://www.weblio.jp/content/入手", "词义详情")</f>
        <v/>
      </c>
      <c r="K6463">
        <f>HYPERLINK("https://yourei.jp/入手", "查看例句")</f>
        <v/>
      </c>
    </row>
    <row r="6464">
      <c r="A6464" t="inlineStr">
        <is>
          <t>入賞</t>
        </is>
      </c>
      <c r="B6464" t="inlineStr">
        <is>
          <t>成功</t>
        </is>
      </c>
      <c r="C6464" t="inlineStr">
        <is>
          <t>読み方：にゅうしょう
［名］(スル)展覧会や競技会で賞を受ける順位内にはいること。「マラソンで—する」</t>
        </is>
      </c>
      <c r="D6464" t="inlineStr">
        <is>
          <t>入賞者(5%)；入賞圏内；入賞口；入賞圏外；入賞経験</t>
        </is>
      </c>
      <c r="F6464" t="inlineStr">
        <is>
          <t>ダブル入賞；初入賞；連続入賞；v入賞；コンクール入賞</t>
        </is>
      </c>
      <c r="H6464" t="n">
        <v>29</v>
      </c>
      <c r="I6464" t="inlineStr">
        <is>
          <t>日本国内外の大会で個人・団体ともに優勝や上位入賞の成績を残している。；各地区大会で上位に入賞した者にはこの大会へのシード権が与えられる。；男子ほどではないものの、非黒人選手が上位入賞するケースは稀である。；この年は前半戦に2度の入賞を見せたが、翌年のシートは失ってしまう。；結局この年はこれがハイライトとなり、一度も入賞出来ずに終わった。；この年も全てのレースで予選に通過したが、完走は4回で入賞はなし。；逆に入賞率を高くし、予定数を少なめに設定しているホールも僅かだがあった。；チームは末期的な状況で戦闘力の低いマシンであったが、モナコGPで入賞。；他国の国際レースで日本女子が入賞したのは、宮原が初めてであった。；本番のレースでは9位となり、ついに五輪では入賞することなく終わる。；出場できるのは上位入賞者で、出場できることは大変な名誉となる。；運動部は多くの部活で地区大会や都大会上位入賞などの実績を上げている。；自身は9位入賞もしていたが、壮絶なクラッシュが多く話題になっていた。；作曲部門では入賞せず奨励賞の第2席、ピアノ部門では2位であった。；モナコGPでのガショーの6位入賞のみが唯一のポイント獲得であった。；また翌年には同じように雨の中のレースでフォーミュラ・ニッポンで入賞している。；出演資格に違反したときは、出演停止もしくは入賞の取り消しがなされる。；またチームも参戦2年目ながら数回の入賞を果たすこととなる。；近年では過去ドラマ部門で数回全国入賞を果たした東京都・錦城高校があげられる。；コンクールでも入賞するような強豪校でありハーモニーの仕組みを学ぶ。；入賞できなかった場合は保留となり、次の審査まで待たなくてはならない。；織田は自分の力なら十分入賞できることを知って残念がった。；その他の部活動も県大会で上位に入賞するなど活躍している。；この間、他の合唱団でも全日本合唱コンクール等で数多くの入賞に導く。；本屋大賞の入賞作、または投票獲得上位作家の作品を取り上げる事も多い。；また最初のV入賞を1R目とするため、実際のR数はマイナス1となる。；またこの年には、チャイコフスキー国際コンクールでも入賞している。；入賞者に特殊なカスタマイズアイテムなどが配布される場合もある。；しかし第6戦カナダGPでは3位入賞を果たし、初の表彰台を獲得した。</t>
        </is>
      </c>
      <c r="J6464">
        <f>HYPERLINK("https://www.weblio.jp/content/入賞", "词义详情")</f>
        <v/>
      </c>
      <c r="K6464">
        <f>HYPERLINK("https://yourei.jp/入賞", "查看例句")</f>
        <v/>
      </c>
    </row>
    <row r="6465">
      <c r="A6465" t="inlineStr">
        <is>
          <t>入場</t>
        </is>
      </c>
      <c r="B6465" t="inlineStr">
        <is>
          <t>成功</t>
        </is>
      </c>
      <c r="C6465" t="inlineStr">
        <is>
          <t>読み方：にゅうじょう
［名］(スル)会場・競技場・式場などにはいること。「選手団が—する」「—無料」⇔退場。</t>
        </is>
      </c>
      <c r="D6465" t="inlineStr">
        <is>
          <t>入場する(11%)；入場できる(3%)；入場券(3%)；入場行進(2%)；入場口(2%)</t>
        </is>
      </c>
      <c r="E6465" t="inlineStr">
        <is>
          <t>入り；進入；立ち入り；立入；立入り</t>
        </is>
      </c>
      <c r="F6465" t="inlineStr">
        <is>
          <t>入場門；入場時；入場規制；入場後；検査入場</t>
        </is>
      </c>
      <c r="G6465" t="inlineStr">
        <is>
          <t>入場者；入場券；入場時；入場無料；入場曲</t>
        </is>
      </c>
      <c r="H6465" t="n">
        <v>29</v>
      </c>
      <c r="I6465" t="inlineStr">
        <is>
          <t>改札はホームごとに独立しており、入場後のホーム同士の往復は不可能。；駅舎と改札口はホームごとにあるが、入場後のホーム同士の往復は可能。；ゲストは歌の途中で、ゲストを紹介する歌詞に合わせて入場していた。；検査入場までの間オレンジ色で中央・総武緩行線に運用されていた編成。；一方、他のファンはガラスのドアに岩や瓶を投げて入場しようとした。；区域に入場する際に同乗する警備役の兵士の撮影は禁止されている。；非イスラム教徒の入場も許可されているが、入る門は制限されている。；駅舎は下りホーム側にのみ設置されており、西側の改札口は入場のみ可能。；ただし複数人で使用する場合、入場・出場時は集団で行動することになる。；この開会式の観客は全員が招待客のみで一般の人は入場できなかった。；一部の列車運行会社は管轄下にある駅で入場券の発売を中止している。；当駅は通過連絡運輸の適用を入場後にも受けられる稀な例でもある。；中には数週間に渡って全ての競走で過去の馬場入場曲を使用する開催もある。；全て改札内にあるため、入場しなければトイレを使うことができない。；しかし、出場試合の入場直前にトイレにこもっておりその間に試合は開始。；定員に達するか入場時間になった時点で当日分の販売は打ち切られる。；ホール内への観客の入場を条件付きで認めたうえで、有料興行を再開した。；以前は出場専用であったが、その後は入場することもできていた。；これはにその番号を記して混乱せずに入場できるようにするためのものと考えられている。；出演作が劇場で初公開されたとき4歳5ヶ月だった彼女は入場できた。；また多くの入場が見込まれる試合は本球場での開催に変更されることもあった。；以上がDXの入場からのマイクパフォーマンスでのお約束となっている。；ホーム柵も撤去されているため、駅舎を経由しなくてもそのまま入場できる。；改札はホーム毎に独立しており、入場後のホーム間の行き来は不可能。；改札はホームごとに独立しているため、入場後のホーム同士の移動はできない。；タッチしないと入場処理が記録されたままで次回から利用できない。；警備は厳重であるが、観光シーズンには入場待ちの長蛇の列ができる。；入場は2002年までは有料であったが、2003年以降は無料である。；馬場入場の際に動かなくなってしまい「調教注意」の制裁を受けている。</t>
        </is>
      </c>
      <c r="J6465">
        <f>HYPERLINK("https://www.weblio.jp/content/入場", "词义详情")</f>
        <v/>
      </c>
      <c r="K6465">
        <f>HYPERLINK("https://yourei.jp/入場", "查看例句")</f>
        <v/>
      </c>
    </row>
    <row r="6466">
      <c r="A6466" t="inlineStr">
        <is>
          <t>入浴</t>
        </is>
      </c>
      <c r="B6466" t="inlineStr">
        <is>
          <t>成功</t>
        </is>
      </c>
      <c r="C6466" t="inlineStr">
        <is>
          <t>読み方：にゅうよく
［名］(スル)風呂にはいること。ゆあみ。「—剤」</t>
        </is>
      </c>
      <c r="D6466" t="inlineStr">
        <is>
          <t>入浴する(9%)；入浴中(8%)；入浴できる；入浴者；入浴可能</t>
        </is>
      </c>
      <c r="E6466" t="inlineStr">
        <is>
          <t>沐浴；行水；入湯；浴する；湯浴み</t>
        </is>
      </c>
      <c r="F6466" t="inlineStr">
        <is>
          <t>入浴法；終って入浴；温泉入浴；毎日入浴；入浴券</t>
        </is>
      </c>
      <c r="G6466" t="inlineStr">
        <is>
          <t>入浴剤；入浴シーン；入浴料；入浴車；入浴用化粧品</t>
        </is>
      </c>
      <c r="H6466" t="n">
        <v>29</v>
      </c>
      <c r="I6466" t="inlineStr">
        <is>
          <t>この入浴方法が一般化したのは江戸時代に入ってからと考えられている。；入浴中など手や顔がぬれた状態でも使えることを特徴とした製品である。；人が入浴していない時、付近の猿が入浴している姿を見ることもできる。；この入浴方法が、一般化したのは江戸時代に入ってからと考えられている。；不感温度より高くても低くても入浴中に消費されるエネルギーは増加する。；この時に夫妻が入浴したとされる湯船が脇の川沿いに残されている。；サウナ店などに併設されている場合は24時間入浴が可能な施設も多い。；入浴中、彼女はボイラー室から発せられたと思われる奇妙な音を聞いた。；地元の人々はこれを汲んで家に持ち帰り、沸かして入浴していたという。；入浴から戻った金は3名の様子がおかしいのをみて、見られたと思い激怒。；整備された源泉から、利用されないで捨てられているものを集めて入浴する。；この不感温度での入浴した時に消費されるエネルギーが最も少ない。；洞窟の温泉に入浴した際に、「帰るのを忘れるほどである」と賞賛した。；女官の手を借りず一人で着替えをしたり、入浴することも禁止された。；克己は寝床で、入浴しているAが歌を口ずさんでいるのを耳にしている。；時代に関係なく庶民の女性は何も纏わずに入浴するのが通例となっている。；私は東京にいたころから、一日に三度四度ずつ入浴する習慣だった。；文献に見られる中では箱根の温泉に入浴した最初の西洋人とされる。；入浴客の女性のひとりが、化粧をほどこしてくれたのだと姉は言った。；下の登山道脇にも温泉が湧出する場所があり、そこで入浴する人もいる。；十時入浴して座敷に帰ると、桂川も溢れるかと思うような大雨となった。；江戸時代には、勝手に入浴できないように温泉に網が張られていた。；西洋の浴槽は入浴者が横たわれるように、浅く長く作られるものが多い。；彼女は入浴中で、上半身こそ人間だったが下半身は魚に変わっていた。；砂湯が混浴でオープンな環境にある為、女性が入浴しづらい状態である。；私が寐る前に入浴するのはいつも人々の寝しずまった真夜中であった。；入浴後、糞便に接触した後、食事前の注意深い手洗いは予防効果がある。；何とニセモノのひろしと入浴していたしんのすけもニセモノだったのだ。；このような入浴の際の習慣は、江戸時代にも継承されていた。</t>
        </is>
      </c>
      <c r="J6466">
        <f>HYPERLINK("https://www.weblio.jp/content/入浴", "词义详情")</f>
        <v/>
      </c>
      <c r="K6466">
        <f>HYPERLINK("https://yourei.jp/入浴", "查看例句")</f>
        <v/>
      </c>
    </row>
    <row r="6467">
      <c r="A6467" t="inlineStr">
        <is>
          <t>入力</t>
        </is>
      </c>
      <c r="B6467" t="inlineStr">
        <is>
          <t>成功</t>
        </is>
      </c>
      <c r="C6467" t="inlineStr">
        <is>
          <t>読み方：にゅうりょく
［名］(スル)
１機械装置・電気回路などに動力または信号を与えること。
２コンピューターで、処理させる情報を入れること。インプット。「パソコンにデータを—する」⇔出力。</t>
        </is>
      </c>
      <c r="D6467" t="inlineStr">
        <is>
          <t>入力すること(6%)；入力信号(3%)；入力できる；入力端子；入力すれ</t>
        </is>
      </c>
      <c r="E6467" t="inlineStr">
        <is>
          <t>インプット</t>
        </is>
      </c>
      <c r="F6467" t="inlineStr">
        <is>
          <t>キー入力；音声入力；入力側；パスワード入力；直接入力</t>
        </is>
      </c>
      <c r="G6467" t="inlineStr">
        <is>
          <t>入力機器；入力デバイス；入力装置；入力インピーダンス；入力ミス</t>
        </is>
      </c>
      <c r="H6467" t="n">
        <v>29</v>
      </c>
      <c r="I6467" t="inlineStr">
        <is>
          <t>この仕様の中では外部データの入力または計算結果の出力は供給しない。；主に小信号を入力対象にした増幅回路と大信号をそれにしたものである。；入力がLOのときの電流の制御の考え方がこの構成でも適用されている。；送出リストの入力は人の手によったが、あとはすべて全自動で行われた。；被験者の全感覚、すなわち全体野への入力がどれも遮断されるのである。；隠しコマンドを入力することでプレイヤーが豪鬼を使用することが可能。；これは完全な文字認識に比べて処理も軽く、入力もしやすいとされている。；C言語の開発当初に使われた入力端末はであったことが知られている。；ローマ字綴りでは規定されていない特殊音の入力方法も発達している。；表で「禁止」とした状態の入力とした場合の動作は一般に不定である。；例えばキャラクターが右を向いている場合、左に入力するとガードになる。；一次側に入力されるエネルギと二次側から出力されるエネルギーは同じである。；入力画像はタイルと呼ばれる任意サイズの矩形領域に分割可能である。；デジタル入力を時間方向に補完してサンプリング周波数を数十倍にする。；分類タスクの目的は与えられた入力がのいずれに属するかを当てる事である。；基本的には入力するトランザクションごとに処理が行われ結果が返される。；MD5は可変長の入力を処理して、128ビット固定長の値を出力する。；イギリス経験論では、視覚は他の感覚入力との連合によって説明された。；計算機構にも出力バスがあり、いくつかのレジスタの入力と繋がっている。；出力された結果は社会に影響を与えてまた新たな支持や要求などの入力過程をもたらす。；タブレット入力に対応しており、筆圧に応じたスカルプトが可能となる。；「増幅」と言っても、入力エネルギーが単独で勝手に増える訳ではない。；発射に際して弾体を垂直に設置し、燃料を注入し、目標を入力設定する。；その高さは高度計で正確に測定し、データベースに入力することができる。；キーボードのスペースキーから入力でき、語と語の間に空白を表示する。；具体的には、入力は人々の要求と支持であり、出力は政策である。；無属性の中には、入力した文字がそのまま飛んでいく効果もある。；入力した番号とシステム内に格納されている番号が一致した場合のみアクセスが許可される。；隠しコマンドは、ゲーム開始前のタイトル画面が表示されている間に入力する。</t>
        </is>
      </c>
      <c r="J6467">
        <f>HYPERLINK("https://www.weblio.jp/content/入力", "词义详情")</f>
        <v/>
      </c>
      <c r="K6467">
        <f>HYPERLINK("https://yourei.jp/入力", "查看例句")</f>
        <v/>
      </c>
    </row>
    <row r="6468">
      <c r="A6468" t="inlineStr">
        <is>
          <t>女房</t>
        </is>
      </c>
      <c r="B6468" t="inlineStr">
        <is>
          <t>成功</t>
        </is>
      </c>
      <c r="C6468" t="inlineStr">
        <is>
          <t>読み方：にゅうぼう
「にょうぼう」に同じ。
「三十余人の—たちを始めとして」〈仮・恨の介・上〉
[補説] 「にゅうぼう」と書いて「にょうぼう」の発音を表したもの。</t>
        </is>
      </c>
      <c r="D6468" t="inlineStr">
        <is>
          <t>女房たち(5%)；女房子供；女房達；女房持ち；女房ども</t>
        </is>
      </c>
      <c r="E6468" t="inlineStr">
        <is>
          <t>女；女性；妻；室；夫人</t>
        </is>
      </c>
      <c r="F6468" t="inlineStr">
        <is>
          <t>古女房；世話女房；若女房；元女房；美しい女房</t>
        </is>
      </c>
      <c r="G6468" t="inlineStr">
        <is>
          <t>女房奉書；女房名；女房学校；女房言葉；女房装束</t>
        </is>
      </c>
      <c r="H6468" t="n">
        <v>29</v>
      </c>
      <c r="I6468" t="inlineStr">
        <is>
          <t>それだからこの山の見える処に住む女房は、皆なこれを晴雨計にします。；彼は女房と一人の伜とを置き去りにして、どこへか姿を隠してしまった。；池は隣の秋の町へと続いており、女房たちが舟で往来することもあった。；女房の手紙によると、子供は汽車がダディを連れて行ったと思っている。；おかん おまへのやうに女房をいぢめる亭主も世界にたんとあるまいよ。；庇に「畳」と書かれているのは傍に仕える女房達のためのものとされる。；初めてその女房の顔を見た時、彼は意外に思ったことを覚えている。；この時城富にあてがわれたのが、元は三五郎の女房だったおふみである。；女房でも無い女と何をたのしみにしてあの小屋に留まろうとするのか。；声のする方を見ると、いつの間にか女房が私と肩を並べて歩いている。；これはまたどうしたことか、確かな手応えで昏倒した女房が無難な姿で。；たしかに、彼は村じゅうの女房連のあいだにたいへんな人気があった。；菅原は以前の姿に引き換えて武家風の女房のなりで六弥太の館に入った。；お前を立派な女だ、姫様だ、女房さんだと心から思ってしたことだよ。；持参金なんてちょっとの間のものだ、女房はいつまでもいるんだから。；自分は片手片足が利かなくなってから、女房とも相談して飴屋になった。；子供は毎日風呂に入れてやっていたし、女房とも同じ布団で寝ていた。；息はずませて帰ってみれば殺したはずの女房が囲炉裏で朝げを炊いている。；余り酔わないように致せ、これ、女房がまた心配をするそうじゃからな。；あとで女房から証跡を発見されてはいけないと無論考えたのである。；しかし自分の女房に淫売をさせるなぞという悪いことはしたことがない。；それは十兵衛の女房や、ほかの女中二人に油断させる為でございます。；しかもその女房に書かせた文にも観音像のことが書かれている。；この礼に女房衆が大坂へ赴いた際に、国朝との結婚話が出されたものと思われる。；一旦家に帰った私は、考えれば考える程、あの女房の様子が気になり出した。；君達は、俺の女房は家出をした家出をしたと信じ切っているだろう。；女房が一人で袋張りをしたり、子供の玩具の風船をこしらえたりしていた。；そんな甚兵衛が商売を続けられるのも、抜け目ない女房がいるからだった。；で、それで大急ぎで女房や子供等への土産物を買って、船に乗りこんだ。</t>
        </is>
      </c>
      <c r="J6468">
        <f>HYPERLINK("https://www.weblio.jp/content/女房", "词义详情")</f>
        <v/>
      </c>
      <c r="K6468">
        <f>HYPERLINK("https://yourei.jp/女房", "查看例句")</f>
        <v/>
      </c>
    </row>
    <row r="6469">
      <c r="A6469" t="inlineStr">
        <is>
          <t>如実</t>
        </is>
      </c>
      <c r="B6469" t="inlineStr">
        <is>
          <t>成功</t>
        </is>
      </c>
      <c r="C6469" t="inlineStr">
        <is>
          <t>読み方：にょじつ
１現実のままであること。事実のとおりであること。「被災地の惨状を—に物語る写真」
２仏語。
㋐教えの真実や道理にかなっていること。
㋑真如(しんにょ)。</t>
        </is>
      </c>
      <c r="D6469" t="inlineStr">
        <is>
          <t>如実に示し(13%)；如実に現れ(6%)；如実に表れ(5%)；如実に感じ；如実にあらわれ</t>
        </is>
      </c>
      <c r="H6469" t="n">
        <v>29</v>
      </c>
      <c r="I6469" t="inlineStr">
        <is>
          <t>額を肩にあてたまま顔をあげないことで自分の気持ちを如実に表した。；飛行機が流星のように落ちて来たその最後の瞬間を如実に物語っていた。；この画家こそは彼女の面影を如実に写すことができる唯一の人であろう。；何事にも控えめな彼女のおとなしい性格がそこには如実に現われていた。；それが何の解決にもならないことを、堀田の沈黙は如実に物語っていた。；彼がここまで辿り着くまでに潜り抜けて来た地獄を如実に物語っていた。；極端に高い人件費率は、合理化が進んでいないことを如実に示していた。；描かれている女の豊かな暮らしぶりがこれで如実に伝わってくる。；言うまでもなく、その部屋は、その所有者の異常さを如実に表していた。；採点結果は、生徒がいかに私の授業から離れているかを如実に示していた。；雑器に見られる極めて豊かな種類と変化とは、このことを如実に語る。；同作はハリウッドがその手の映画を製作しなくなった理由を如実に示している。；それは物みなすべてかくあるべき光景を如実に現わしておりました。；豪州とのEPA交渉の際の農業関係者の反応 がそれを如実に表している。；しかし、続けて流れた声の響きが、彼女の苛烈な意思を如実に示していた。；それを如実に示す史料が1985年にハットゥシャの遺跡で発見された。；以下の例は、このシステムの問題点が如実に現われている会話である。；この町が貧困のどん底にあることを如実にしめしているのは尖塔だった。；そんな自分に対するもどかしさが少女の表情には如実に浮かんでいた。；同誌の記事は日本のコンピュータの発展の歴史を如実に表わしている。；古寺の運命を如実に語っているような姿に私は心ひかれるのである。；貧乏人の子ダクサンとは、貧民窟に於てこれを如実に見ることができる。；何よりもまず、彼が今までしたことを如実に考えてみることだ。；烈しく上下する肩が、いかに敬が消耗しているかを如実に物語っていた。；歩く速度を上げる度、心臓の鼓動や手首の脈拍の増加を、如実に感じた。；あの小怪物が「唇のない男」の役を、如実に演じて見せたのである。；己はそういうのは嫌いだ、日本人の卑屈なところを如実にあらわしている。；この辺りはユーザー各人の趣味の分野でもあるため、個性が如実に現れる。；自分が女性にもてんことを如実に示されたようなもので辛かろうな。</t>
        </is>
      </c>
      <c r="J6469">
        <f>HYPERLINK("https://www.weblio.jp/content/如実", "词义详情")</f>
        <v/>
      </c>
      <c r="K6469">
        <f>HYPERLINK("https://yourei.jp/如実", "查看例句")</f>
        <v/>
      </c>
    </row>
    <row r="6470">
      <c r="A6470" t="inlineStr">
        <is>
          <t>睨む</t>
        </is>
      </c>
      <c r="B6470" t="inlineStr">
        <is>
          <t>成功</t>
        </is>
      </c>
      <c r="C6470" t="inlineStr">
        <is>
          <t>読み方：にらむ
［動マ五（四）］
１目をいからしてじっと見る。鋭い目つきで見る。「じろりと—・む」
２精神を集中し、視線を動かさずに見つめる。事態を注意してよく見る。「局面を—・む」「情勢を—・む」
３見当や目ぼしをつける。「あやしいと—・む」「共犯者がいると—・んだ」
４（ふつう「にらまれる」の形で）注意を要する人物、好ましくない人物として、目をつける。「ボスに—・まれたらおしまいだ」
５前もって考慮に入れる。計算に入れる。「彼の発言は明らかに総選挙を—・んだものだ」</t>
        </is>
      </c>
      <c r="D6470" t="inlineStr">
        <is>
          <t>見る；思う；考える；推定；推測</t>
        </is>
      </c>
      <c r="F6470" t="inlineStr">
        <is>
          <t>軽く睨む；じっと睨む；キッと睨む；きっと睨む；げに睨む</t>
        </is>
      </c>
      <c r="H6470" t="n">
        <v>29</v>
      </c>
      <c r="I6470" t="inlineStr">
        <is>
          <t>李と同様、兄も拳銃を隠し持っているのではないかと睨まれていたのだ。；それがなんだかとても気にかかってぼくはしばらく洋品屋を睨んでいた。；お前さんの眼は両方を睨んでるが、牛には頭は一つきや無いんだからね。；そうして私を世話する人間も運命から睨まれているような気がします。；坐っていると、なんだか知った顔の人に睨まれているような気がしてきた。；半七はしばらくその顔をじっと睨んでいたが、やがて又にやりと笑った。；「いや、何もしてない」と答えてくれたけど睨むのはやめてくれません。；見ると侍が一人、ぬっとそこに立って、闇の中からこちらを睨んでいた。；嫌な顔をする女房を一つ白睨んでおいて、三次は老爺について家を出た。；睨まれるか、それとも罵られるかと予想していたのに、無視されるとは。；片方の眼だけが出て来てしばらくの間それに睨まれていることもある。；バス・タオルを胸に巻きつけた女が、唇をわななかせて彼を睨んでいる。；睨まれているように感じるのは、彼女の態度からか、自分の心境からか。；試験官たちに睨まれると罪科を問われそうで目を合わせられなかった。；もう一度呼びかけようとしたら、男は睨むような眼で良輔を見て言った。；しかしそこに母の姿はなく、魔物のおぞましい眼がこちらを睨んでいた。；彼女は抗いながら「こんなことだと思ったわ」とぼくを見上げて睨んだ。；彼女はじっと睨むように窓の向こうを見ていて、喋る気配は一向にない。；声のした方で足を細引で結わえられた鴉が五羽、おれたちを睨んでいる。；帯を結びながら、その白衣の男のあとを睨まえて歯噛みをしたのでした。；多少は慣れたといっても、この目に睨まれると自動的に口が動かなくなる。；私は彼と対決するように睨んでいるうち、なにか悲しくなってしまった。；まさか、役場費からでもあるまいと思って睨むと、やはりそうではない。；でもそれが限界に達したのか突然、顔を上げて健一を睨むように見る。；彼女は黙ったまま、過去の自分を睨むように窓の向こうを見ている。；ある男が弥一郎の父親ではないかと睨むが、その男が殺されてしまう。；一人でも天井を睨んでいるあいだは、石は決して落ちないのである。；睨まれはしないだろうが説明する手間が必要になるのも間違いない。；「そうおれを睨んでばかりいるのはよしてくれ」ジェフリーズは言った。</t>
        </is>
      </c>
      <c r="J6470">
        <f>HYPERLINK("https://www.weblio.jp/content/睨む", "词义详情")</f>
        <v/>
      </c>
      <c r="K6470">
        <f>HYPERLINK("https://yourei.jp/睨む", "查看例句")</f>
        <v/>
      </c>
    </row>
    <row r="6471">
      <c r="A6471" t="inlineStr">
        <is>
          <t>似る</t>
        </is>
      </c>
      <c r="B6471" t="inlineStr">
        <is>
          <t>成功</t>
        </is>
      </c>
      <c r="C6471" t="inlineStr">
        <is>
          <t>読み方：たうばる
［動ラ四］⇒とうば（似）る</t>
        </is>
      </c>
      <c r="D6471" t="inlineStr">
        <is>
          <t>似るがやや；似るべく</t>
        </is>
      </c>
      <c r="E6471" t="inlineStr">
        <is>
          <t>見える；似ている；類似；酷似；類する</t>
        </is>
      </c>
      <c r="F6471" t="inlineStr">
        <is>
          <t>やや似る；眞似る；良く似る；相似る</t>
        </is>
      </c>
      <c r="H6471" t="n">
        <v>29</v>
      </c>
      <c r="I6471" t="inlineStr">
        <is>
          <t>形状が日本列島に似ており、独自の文化が発達しているといわれている。；この時期の集落も基本的には弥生以前と似たような場所に築かれている。；データは表に似た構造で管理されるが、関係と呼ぶ概念でモデル化される。；なお一方で、のコンピュータの命令セットはその多くはどれも似ている。；これは地球の中央海嶺で見られるものと似た現象であると考えられる。；またTVアニメ版でも西武鉄道の配色に似た黄色の車両が登場している。；物理的性質の似たアミノ酸はよく似たコドンに対応している傾向がある。；この中心核の構造は地球と似ているが、より濃密な状態になっている。；手にも似たこうした機能を持つ鼻はほぼゾウに限られたものである。；これは、藤堂家の所領である上野に地形が似ていたためと言われている。；最初は緑色をしているが、熟すと黄色になり、ライムにもよく似ている。；なお、半順序空間と名前の似たは別概念であるので注意が必要である。；カタリ派の教義にはボゴミル派のそれと非常によく似ている部分がある。；これらの種類の結合は似た電気陰性度を持つ原子間でのみ安定である。；スカンジナビア半島の白人に似たような姿をしているといわれている。；似たような方法は中国や中央アフリカなどでも行われている。；似たような遊びをする植物にスミレ類やオオバコなどが良く知られる。；その代わりに、海王星の北半球では大暗斑に似た新しい嵐が発見された。；形状が植物のユリに似ていると考えられたことから名付けられた。；いったい二つの顔の似ると似ないを決定すべき要素のようなものはなんであろう。；ピアノはレコードのふしと似るには似るが、しかし完全には一致しない。；その皮膚は総鰭類には似ておらず、体液を保ち乾燥を防ぐ助けになった。；頭部以外は弐号機と同じで、頭部は角が無い以外は初号機と似ている。；聖書にも主に似るように努めなくてはならぬと書いてございますね。；外観が似ているカータルという楽器が直接の祖先とする説が有力である。；儀式は一般的な神道のものに似るが、大本では榊の代わりに松を用いる。；全体的な体型は現生のピューマに似るが、後肢が長い点が特徴とされる。；これは法則が似るように回転運動での量を定義したものだからである。；このような磁化のパターンは地球の海底に見られるものと似ている。</t>
        </is>
      </c>
      <c r="J6471">
        <f>HYPERLINK("https://www.weblio.jp/content/似る", "词义详情")</f>
        <v/>
      </c>
      <c r="K6471">
        <f>HYPERLINK("https://yourei.jp/似る", "查看例句")</f>
        <v/>
      </c>
    </row>
    <row r="6472">
      <c r="A6472" t="inlineStr">
        <is>
          <t>煮る</t>
        </is>
      </c>
      <c r="B6472" t="inlineStr">
        <is>
          <t>成功</t>
        </is>
      </c>
      <c r="C6472" t="inlineStr">
        <is>
          <t>読み方：にる
［動ナ上一］［文］［ナ上一］水などの中に食物を入れ、火にかけて熱を通す。「強火でにる」「魚を甘辛くにる」</t>
        </is>
      </c>
      <c r="D6472" t="inlineStr">
        <is>
          <t>煮るなり焼く</t>
        </is>
      </c>
      <c r="E6472" t="inlineStr">
        <is>
          <t>湧く；ボイル；沸く；炊く；茹でる</t>
        </is>
      </c>
      <c r="F6472" t="inlineStr">
        <is>
          <t>湯煮る；加えて煮る；分煮る；よく煮る；とろ火で煮る</t>
        </is>
      </c>
      <c r="H6472" t="n">
        <v>29</v>
      </c>
      <c r="I6472" t="inlineStr">
        <is>
          <t>で大抵肉は油と塩とで煮るのですがあるいは水と塩とで煮るのもある。；生きのいいのを煮るので、身がしまっていて、とてもおいしいものです。；屠った犬は大鍋に入れられて煮られ、参加者全員でこの犬の肉を食べる。；この方は直ぐ煮る代りに前のよりも時間を長くしなければなりません。；それを煮て食った者もあったが、その味は普通の鳥と変ったこともなかった。；新石器時代になると土器が発明されて、食物を煮ることが可能になった。；私はハデイラ科のある物を煮たのを食ったが、決して不味くはなかった。；元々は旧正月に各家庭の残り物を煮たところから始まったと言われる。；なぜなら、どちらもそれを煮る時一塊の砂糖すら入れられはしないのだから。；その肉は乾肉、生の肉、煮た肉の三種で焼いた肉は礼式には用いません。；生のニンニクを煮たり炒めたりした時の臭いの元となる物質でもある。；これは肉類を煮たときのアクの発生原理を極端にしていることになる。；その米を私に五合ばかりくれたからそれをみな煮て外の人と分けて喰いました。；なお、サラシナはこの植物の若葉を煮て水にさらして食べたことによる。；よく煮ないとチベット人の言いますには毒だと申しますからよく煮るのです。；よく煮ないとチベット人の言いますには毒だと申しますからよく煮るのです。；魚を窯で煮熟したあとに圧搾機で油と水を分離し、乾燥させ粉末にする。；野菜を煮るのは何でもその通りで醤油を早く入れると柔になりません。；伝統的な陶器で煮出すことによって独特の風味がコーヒーに付加される。；薬・茶などを湯で煮出す・煎じるため火にかける道具でもある。；それを漉して醤油で味を付けてまた煮ると我国の人の口によく合うようです。；それは湯煮る時に生きているから湯の中で小さく巻けてしまう。；最終的に濃縮された塩は釜に運ばれてさらに煮出され、大量の木が消費された。；「国を治めるには」 大きな国の政治は、小さな魚を煮るのと同じである。；それをわかってくれたなら、このあたしを煮るなり焼くなり好きにすればいい。；小ぶりのさばをつつ切りにしてね、大根といっしょに味噌で煮るんです。；谷崎潤一郎君は西洋酒で煮てくへば飛び切りに、うまいことは確である。；おせんの爪が、何んで煮る程取れるもんか、おめえも人が好過ぎるぜ。；机の傍に円火鉢引寄せ書を読みながら柚味噌煮る楽しみも十二月である。</t>
        </is>
      </c>
      <c r="J6472">
        <f>HYPERLINK("https://www.weblio.jp/content/煮る", "词义详情")</f>
        <v/>
      </c>
      <c r="K6472">
        <f>HYPERLINK("https://yourei.jp/煮る", "查看例句")</f>
        <v/>
      </c>
    </row>
    <row r="6473">
      <c r="A6473" t="inlineStr">
        <is>
          <t>庭</t>
        </is>
      </c>
      <c r="B6473" t="inlineStr">
        <is>
          <t>成功</t>
        </is>
      </c>
      <c r="C6473" t="inlineStr">
        <is>
          <t>読み方：てい
［音］テイ（漢）　［訓］にわ
［学習漢字］3年
〈テイ〉
１にわ。「庭園・庭前／径庭・校庭・石庭」
２家族の中。「庭訓(ていきん)／家庭」
３宮廷。禁中。「掖庭(えきてい)・禁庭」
〈にわ〉「庭石・庭先／裏庭・中庭・箱庭」
［名のり］なお・ば</t>
        </is>
      </c>
      <c r="D6473" t="inlineStr">
        <is>
          <t>庭番；庭掃除；庭いじり；庭院；庭づたいに</t>
        </is>
      </c>
      <c r="E6473" t="inlineStr">
        <is>
          <t>庭園；園；園地；ガーデン；庭先</t>
        </is>
      </c>
      <c r="F6473" t="inlineStr">
        <is>
          <t>広い庭；小さな庭；狭い庭；作庭；暗い庭</t>
        </is>
      </c>
      <c r="G6473" t="inlineStr">
        <is>
          <t>庭先；庭師；庭木；庭石；庭下駄</t>
        </is>
      </c>
      <c r="H6473" t="n">
        <v>29</v>
      </c>
      <c r="I6473" t="inlineStr">
        <is>
          <t>そしてこれら連続した室の南側には、入り側を介して庭が広がっていた。；説明を必要とする植物の多くは、しばしば庭のカタログに記載されていた。；庭は、住宅などの施設の敷地内に設けられた、建造物のない広場である。；特に装飾芸術・庭のデザイン・建築・文学・演劇や音楽などを指す。；日本では古くから栽培されてきたが、現在ではまれに庭などに植えられる。；主人が庭に出ると、年老いた猫が頭に赤い布をかぶって立っていた。；庭は階段上の層になっており、最も上の層の庭の高さは50キュービット。；また、広い敷地・整備された庭がある寺社や公園にも名所がみられる。；フォッグが困り果てていたところ、屋敷の庭に一人の男が落ちてきた。；また自然分布以外では、日よけ棚などに庭に植えられることもある。；墓庭の入口よりのほうにヒンプンと呼ばれる石垣塀を立てる場合もある。；吉田の日本庭園の好みは石を嫌い、大和絵のような庭を好んだとされる。；大佐の死体はモーニングルームという、庭に出られる部屋で発見された。；初夏に花を下垂させて美しいことから、庭に植えて観賞用に栽培される。；物干し場や庭としての活用、娯楽スペースなどに利用されることがある。；彼はウォードの箱の原則に基づいてクラパムの庭に温室を作ろうとした。；ある修道女が庭仕事中に蜂に刺され、痛みに苦しんでいると騒ぎになる。；バーネットは庭を再生させるため、多くの時間をこの庭で過ごした。；これは、このメソジストの学校の庭にある小さな泥レンガの建物であった。；家を描く時に、庭越しに広いガラス窓を通して室内を見渡す絵を描く。；商業的にはあまり利用されないが庭などに栽培される。；最終的に、典礼劇は教会堂の外、教会堂の庭や市場へ上演の場を移した。；屋敷の主が大臣の場合には先に出てきた正月大饗などの最初に庭での再拝がある。；このため「竹の庭の美術館」とも呼ばれて多くの人に親しまれている。；昨夜バンウエルが履いていた靴は、庭に残されていた足跡と一致した。；そして命の恩人である庭の桜の木が枯れかけている事を非常に気にしていた。；踊りながら初盆の家の間を行進するのではなく、それぞれの家の庭で踊る。；禅師は僧を庭の石の上に座らせ、被っていた青頭巾を僧の頭にのせた。；と突然清に聞かれ、欲しいと言うと、程なく庭にプールが出来ていた。</t>
        </is>
      </c>
      <c r="J6473">
        <f>HYPERLINK("https://www.weblio.jp/content/庭", "词义详情")</f>
        <v/>
      </c>
      <c r="K6473">
        <f>HYPERLINK("https://yourei.jp/庭", "查看例句")</f>
        <v/>
      </c>
    </row>
    <row r="6474">
      <c r="A6474" t="inlineStr">
        <is>
          <t>にわか</t>
        </is>
      </c>
      <c r="B6474" t="inlineStr">
        <is>
          <t>成功</t>
        </is>
      </c>
      <c r="C6474" t="inlineStr">
        <is>
          <t>読み方：にわか
［形動］［文］［ナリ］
１物事が急に起こるさま。突然。「天候が—に変化する」「—には信じがたい噂」
２名詞の上に付いて、急にその状態になる意を表す。「—雨」「—長者」「—ファン」
３病気が急変するさま。
「此の時御病いと—になりぬ」〈記・中〉
４一時的であるさま。かりそめであるさま。
「—にしもあらぬ匂ひ、いとなつかしう住みなしたり」〈徒然・一〇四〉
［名］（「仁輪加」「仁和賀」などとも書く）「俄狂言」に同じ。</t>
        </is>
      </c>
      <c r="D6474" t="inlineStr">
        <is>
          <t>にわか仕立て(7%)；にわかづくり(5%)；にわか作り(3%)；にわか造り(3%)；にわか勉強(2%)</t>
        </is>
      </c>
      <c r="E6474" t="inlineStr">
        <is>
          <t>急；突然；不意；突如；唐突</t>
        </is>
      </c>
      <c r="G6474" t="inlineStr">
        <is>
          <t>にわか雨；にわか雪；にわか仕込み；にわか盲；にわかファン</t>
        </is>
      </c>
      <c r="H6474" t="n">
        <v>29</v>
      </c>
      <c r="I6474" t="inlineStr">
        <is>
          <t>伝説とされた内容が現実のものだというにわかには信じられない話だった。；鋭いにわかの痛みがいきなり全身を走ったと思うと、すぐにまた消えていった。；にわかなことで、あすの十二月十二日には出発しなければならなかった。；こういう場合にわかには自分の非を認めたくないッ、という感情が働く。；などと俺がにわかな悟りを開いている一方で、前川さんが馬鹿になった。；ただ、これはあまりにもにわか仕立てな対策で適切なものとは言えなかった。；そして昭和十七年には萩原朔太郎のにわかな死にぶつからねばならなかつた。；ローマのユース・ホステルは、景気のよいにわか俳優たちで満ちていた。；六列になった武者たちが、縦一列に馬を列ねてにわか造りの城に迫った。；などと、にわか生徒のぼくにはわからぬ専門的な質問がどんどん飛び交うのである。；舞台ではにわかじみた芝居が行われ、お綱がこれに登場して妻君の役をやっている。；にわかの出発だったので、母親が彼のものも荷造りしたからだ。；このことと、彼のにわかな旅立ちとの間に何かのつながりがあることが感じられた。；「つまり、簡単にいえば栄養失調ですね」 にわかには信じられなかった。；だが、この眼ではじめて見るということは、それににわかな現実性を帯びさせた。；しかし、このところのにわか病の流行に、そうした医師たち皆が忙殺され始めた。；毎朝コートの周辺はにわか選手を声援する生徒たちで賑わっていた。；ただわが世の春を誇っているのは、薩長土肥の成上りのにわか高官たちだ。；こうなると、事はにわかで、お獅子の姉弟などは問題のほかである。；舞台ではにわかぢみた芝居が行はれ、お綱がこれに登場して妻君の役をやつてゐる。；それから玉太郎は、にわかの川について、上流の方へもどっていった。；日本語を話すテディベアなんてにわかには信じられず、錯覚だろうなと思っていた。；これ以外にはもう生きる術のないタミエは、にわか霊媒師に甘んじた。；とてもにわかには信じられなかったのである。；接待係がにわか仕立ての婦人社員であるから、後をも見ずに引きあげてしまう。；その期待を持てないのだとすると、このにわか指揮官に必要なものは、考えるための時間であった。；驚いたことに、広々とした河原の中程には、にわか造りの城があった。；しかし神谷のこのにわかな変貌ぶりには、どうしても納得しきれないものがあった。；多くの批評家は、作曲期間の短さから「にわか作り」の失敗作と評価してきた。</t>
        </is>
      </c>
      <c r="J6474">
        <f>HYPERLINK("https://www.weblio.jp/content/にわか", "词义详情")</f>
        <v/>
      </c>
      <c r="K6474">
        <f>HYPERLINK("https://yourei.jp/にわか", "查看例句")</f>
        <v/>
      </c>
    </row>
    <row r="6475">
      <c r="A6475" t="inlineStr">
        <is>
          <t>人気</t>
        </is>
      </c>
      <c r="B6475" t="inlineStr">
        <is>
          <t>成功</t>
        </is>
      </c>
      <c r="C6475" t="inlineStr">
        <is>
          <t>読み方：じんき
１その地域の人々の気風。にんき。「—が荒い」
２人々の受け取りよう。気受け。評判。にんき。
「講釈風のレクチュアが妙に書生の—を集めた」〈魯庵・社会百面相〉
３群集した人々の熱気。また、人々の気配。
「—ハナハダ熱シ」〈日葡〉</t>
        </is>
      </c>
      <c r="D6475" t="inlineStr">
        <is>
          <t>人気者(3%)；人気作家；人気歌手；人気女優；人気商品</t>
        </is>
      </c>
      <c r="E6475" t="inlineStr">
        <is>
          <t>流行；評判；ブーム；好評；花形</t>
        </is>
      </c>
      <c r="F6475" t="inlineStr">
        <is>
          <t>絶大な人気；当時人気；根強い人気；大きな人気；爆発的な人気</t>
        </is>
      </c>
      <c r="G6475" t="inlineStr">
        <is>
          <t>人気番組；人気絶頂；人気シリーズ；人気作品；人気漫画</t>
        </is>
      </c>
      <c r="H6475" t="n">
        <v>29</v>
      </c>
      <c r="I6475" t="inlineStr">
        <is>
          <t>子どもに人気のある物語の中には非常に古い時代に書かれたものもある。；その中でもアメリカ産が非常に人気があり日本にも毎年輸入されている。；日本でも人気は高く、年末になると各地で第九のコンサートが開かれる。；何台かがひとけのないのをいいことに、歩道へ乗りあげて来たのだろう。；野球も米国の強い影響を受けて、人気スポーツのひとつに数えられる。；こうした作品の中には大人にも非常に人気のあるものも含まれる。；アジアでも強い人気を誇り、特に日本には現在でも根強いファンが多い。；他の作戦級に比べると、兵器の個性が出るためか、一般にも人気が高い。；しかしこれらは、いずれも爆発的な人気を得ることはできなかった。；劇画の人気を見てとった他の出版社からも次々と劇画雑誌が創刊される。；日本国内だけではなく、日本国外でも人気があり多く使用されている。；ここはひとけのない山あいの村でもなければ、不気味な森の中でもない。；しかし、これ以降の時代には主に民衆から支持を得る形で小説が人気を得ていく。；ひとけのない学校周辺、門の外のあぜ道に、大勢の人々が集まっている。；トルコ国内ではサッカーが圧倒的に1番人気のスポーツとなっている。；日本や中国でも好評だったが、韓国では特に爆発的な人気を呼んだ。；ラオス国内ではサッカーが圧倒的に1番人気のスポーツとなっている。；当時は主に先輩や先生のモノマネなどで、共に校内の人気者だったという。；増沢は後に、この勝利で失いかけていた人気が急に復活したと振り返っている。；俳優の中には、ある役で高く評価されて人気が出る人もいる。；また、高齢者にも人気があり、老人福祉施設などでもプレイされている。；同シリーズからは衛藤ヒロユキ、柴田亜美などが人気作家になっている。；人気のあるレース・ミーティングはゴールウェイでも開催されている。；人気ソフトウェアは本格的な商売を目指すようになった。；その一方、「人気のある高級ブランド」の意味で使われることがある。；わたしが最初に会ったとき、この老人はただ一人きのこ料理を作っていた。；キス類の多くは食用に利用されるほか、釣りの対象としても人気が高い。；ローマで圧倒的に人気のあるスポーツはサッカーである。；幾つかの作品は広範な人気をもち、今でも頻繁に演奏されている。</t>
        </is>
      </c>
      <c r="J6475">
        <f>HYPERLINK("https://www.weblio.jp/content/人気", "词义详情")</f>
        <v/>
      </c>
      <c r="K6475">
        <f>HYPERLINK("https://yourei.jp/人気", "查看例句")</f>
        <v/>
      </c>
    </row>
    <row r="6476">
      <c r="A6476" t="inlineStr">
        <is>
          <t>人形</t>
        </is>
      </c>
      <c r="B6476" t="inlineStr">
        <is>
          <t>成功</t>
        </is>
      </c>
      <c r="C6476" t="inlineStr">
        <is>
          <t>読み方：にんぎょう
１木や紙、土などで人間の形をまねて作ったもの。古くは信仰の対象であったが、中世以後は愛玩・観賞用として発達。演劇にも用いられる。
２自分の意志では行動できず、他人のなすがままになっている人のたとえ。
３男物の長着で、袂袖(たもとそで)の袖付けどまりから袖下までを縫いふさいだところ。
４人の形を絵にかいたもの。ひとがた。
「見るにまばゆくなって、さながら—とは思はれず」〈浮・一代女・四〉</t>
        </is>
      </c>
      <c r="D6476" t="inlineStr">
        <is>
          <t>人形町；人形師；人形たち；人形みたい；人形佐七</t>
        </is>
      </c>
      <c r="E6476" t="inlineStr">
        <is>
          <t>手先；傀儡；ドール；マリオネット；あやつり人形</t>
        </is>
      </c>
      <c r="F6476" t="inlineStr">
        <is>
          <t>泥人形；小さな人形；武者人形；ゴム人形；紙人形</t>
        </is>
      </c>
      <c r="G6476" t="inlineStr">
        <is>
          <t>人形浄瑠璃；人形芝居；人形の家；人形遣い；人形使い</t>
        </is>
      </c>
      <c r="H6476" t="n">
        <v>29</v>
      </c>
      <c r="I6476" t="inlineStr">
        <is>
          <t>左遣いは差金と呼ばれる棒を用いて人形から少し離れた位置で操作する。；これは人形同様本体との呪術的な関係性をイメージしてと考えられる。；また人形にはもともとの目的が人間の代用であったものも少なくない。；その金は蒙古人がただ物を買いに来るよりかラマに上げに来たのが多い。；中心にお堂があり、前後から観賞できるように、周囲に人形を配置する。；少し先にいた人がたが何人かやられて、手足が千切れて飛ぶのが見えた。；一般には人形遣いが多く住んでいたから人形町と名付けられたとされている。；現在でも人形町のごく一部の店舗ではこの焼き型で製造されている。；天井付近に仕掛け時計が設置されており、時間になると人形が動く。；文楽人形を意識して制作したとされ、制作費は1千万円とされている。；ただし、能力が切れると魂が抜けてしまいただの人形になってしまう。；D坂の通りや建物、一部の登場人物は、ミニチュアと人形で表現された。；しゅごキャラたちは人形で登場し、声はアニメの声優がそのまま担当した。；この人形のモデルはまさに生き別れた両親に違いないと確信した彼はアメリカに逃亡。；まだ着物中心だった時期は、菊人形や見世物人形に着せて展示していた。；ザウルス号以降の企画では精巧な人形を使っての人物の描写を予定していた。；文化13年には神馬と白丁の人形を載せて神馬台と称するようになった。；希少な人形である場合、数十万円などの高値で取引される場合もある。；その中でも、裸人形は人形師のメンテナンスが大変なため、高級とされる。；ポドゴリツァはまた都市劇場を主催し、子供劇場や人形劇場も含まれている。；はドイツ全土で有名で大人にも子供にも人気の人形劇場である。；等身大の女性の形をした人形で、主に男性の擬似性交用として使用する。；成功したゲストにタモリ人形がついた携帯ストラップをプレゼントする。；一般によくいわれる、有職人形はこのような製作手順がとられている。；意志を持たず戦うだけの人形と、それぞれの想いを胸に戦う少年たち。；本体である建物モデルに人形や電柱などの小物のモデルが付属する。；カードイラストにも実際の人形の写真を使用している。；彼は人形を書くのにはあまり現実をよく知っていた。；たった二人のヒトガタが白兵戦を演じているだけで、街が崩壊していくのだ。</t>
        </is>
      </c>
      <c r="J6476">
        <f>HYPERLINK("https://www.weblio.jp/content/人形", "词义详情")</f>
        <v/>
      </c>
      <c r="K6476">
        <f>HYPERLINK("https://yourei.jp/人形", "查看例句")</f>
        <v/>
      </c>
    </row>
    <row r="6477">
      <c r="A6477" t="inlineStr">
        <is>
          <t>人間</t>
        </is>
      </c>
      <c r="B6477" t="inlineStr">
        <is>
          <t>成功</t>
        </is>
      </c>
      <c r="C6477" t="inlineStr">
        <is>
          <t>読み方：じんかん
人の住んでいる世界。世間。にんげん。
「老人に身をやつしまして暫く—に住んでおりました」〈中勘助・鳥の物語〉</t>
        </is>
      </c>
      <c r="D6477" t="inlineStr">
        <is>
          <t>人間的；人間たち；人間ども；人間じゃない；人間生活</t>
        </is>
      </c>
      <c r="E6477" t="inlineStr">
        <is>
          <t>人；者；男；方；個人</t>
        </is>
      </c>
      <c r="F6477" t="inlineStr">
        <is>
          <t>非人間；そういう人間；知らない人間；あらゆる人間；悪い人間</t>
        </is>
      </c>
      <c r="G6477" t="inlineStr">
        <is>
          <t>人間性；人間界；人間らしい；人間社会；人間の顔</t>
        </is>
      </c>
      <c r="H6477" t="n">
        <v>29</v>
      </c>
      <c r="I6477" t="inlineStr">
        <is>
          <t>かつては人間側の用途で分類する方法もしばしば用いられたことがある。；一般的には、様々な意味で人間自身が最も人間の関心を引くようである。；様々な理由から兵役を拒否する人間も増えてきており問題となっている。；それ以外は大陸や島であり、人間が居住する土地の多くは北半球にある。；デカルトは、人間も含めて全ての生物は神が制作した機械だと見なした。；日本で人間化された姿で描写されることがあるのとはかなりイメージが異なる。；恐怖と恐れと共に人の影にいた彼らが人間との戦争を始め、今に至る。；このため、人間の目の残像特性を利用した飛び越し走査方式を採用した。；他人より優れているように振舞いたがる人間は後々見劣りするであろう。；その結果、多くの人間は成長後にラクトースを適切に消化できなくなる。；その他にも、人間行動の心理的要素や制度的側面も重要な研究対象である。；そしてこれらの値は、人間の存在のために都合良く出来過ぎている。；少なくとも5万年前には現在のアフガニスタンには人間が住んでいた。；彼等の果たす主要な役割は、神から人間へのメッセージの伝達である。；月は人間の感情や情緒的気分などの心理的傾向を示すといわれている。；ここまでわたしを追いつめたニンゲンは、いままでひとりしかおらんぞ。；この場合は中にいる人間が主役となるので、個人の差の問題までも考慮する。；本気になって九院家の当主を務め、本気になってニンゲンの男を愛する。；Oshoによれば、人間の究極的な目的は光明を得ることであるという。；人間は、知識だけでなく、自らの精神や心にも注意を向けることができる。；そのため、独立した複数の色を合成する事で人間に別の色を感じさせる事ができる。；人間がお互いにコミュニケーションを行うための自然発生的な言語である。；だが初めて人間を宇宙に送ったのは、またしてもソ連であった。；円滑に社会を営むために人間にはそれぞれ役割が与えられなければならない。；この後、地上の権威が人間のファラオに移ったとエジプト人は信じていた。；このとき人間も機械も人間らしく見えるように対応するのである。；人間と異なり、天使らは自由意志はなく独立的行為をすることができない。；人間の心を扱う研究は古代の占星術が扱うテーマのひとつであったともいわれている。；太陽神が空に舞い戻った後、人間が互いに戦い始めたときに戦争が始まる。</t>
        </is>
      </c>
      <c r="J6477">
        <f>HYPERLINK("https://www.weblio.jp/content/人間", "词义详情")</f>
        <v/>
      </c>
      <c r="K6477">
        <f>HYPERLINK("https://yourei.jp/人間", "查看例句")</f>
        <v/>
      </c>
    </row>
    <row r="6478">
      <c r="A6478" t="inlineStr">
        <is>
          <t>認識</t>
        </is>
      </c>
      <c r="B6478" t="inlineStr">
        <is>
          <t>成功</t>
        </is>
      </c>
      <c r="C6478" t="inlineStr">
        <is>
          <t>読み方：にんしき
［名］(スル)
１ある物事を知り、その本質・意義などを理解すること。また、そういう心の働き。「—が甘い」「—を新たにする」「—を深める」「対象を—する」
２《cognition》哲学で、意欲・情緒とともに意識の基本的なはたらきの一で、事物・事柄の何であるかを知ること。また、知られた内容。</t>
        </is>
      </c>
      <c r="D6478" t="inlineStr">
        <is>
          <t>認識論(5%)；認識でき(3%)；認識不足；認識能力；認識票</t>
        </is>
      </c>
      <c r="E6478" t="inlineStr">
        <is>
          <t>発見；意識；理解；わかる；知る</t>
        </is>
      </c>
      <c r="F6478" t="inlineStr">
        <is>
          <t>再認識；誤った認識；一般に認識；科学的認識；歴史認識</t>
        </is>
      </c>
      <c r="H6478" t="n">
        <v>29</v>
      </c>
      <c r="I6478" t="inlineStr">
        <is>
          <t>ベーメによれば神ですら自己を認識するには神以外のものを必要とする。；実際には何度も観測されてはいたが惑星とは認識されていなかった。；この言語を認識できるプログラムは簡単に書けると思われるかもしれない。；教会の教理では神の恩寵は人間が認識できるものではないとされていた。；認知主義は行動主義のいくつかの問題点を認識して行動主義を否定した。；西部の多くの者は、東部との違いを認識し、長い間別の州を待ち望んだ。；最初のRISCは開発時点ではRISCであるとは認識されていなかった。；初期の人類が時間を認識する基礎は、季節の観念だったと考えられる。；また、現在は上映作品の傾向からミニシアターと認識されることが多い。；当時の政府及び軍関係者はソ連の対日参戦の意思をこの時点で認識していた。；このような認識は少なからざる人々の間で語られるが、数的根拠はない。；干潟の価値が再認識されるにつれ、干潟を再生する試みも行われている。；ティコはより精密な観測がより正確な予測を行うための鍵であると認識した。；他者から認識されやすく、当人の行動の邪魔にならない箇所に装着する。；これは神の顕現において人間が果たす役割を認識していることを表している。；そのため生体を見たことがない人には赤っぽい魚として認識されている。；自分で現在認識しておらず、努力しても思い出せない内容を無意識という。；あるものがあるものとして認識されるためには区別が必要なのである。；後者ではその集団を認識しやすいが、前者では直感的に把握しにくい。；例えば以下の図では、閉じた括弧同士がグループを成すように認識される。；一般的には現代ではには訓読みは存在しないと認識されている。；時間とは、出来事や変化を認識するための基礎的な概念である。；当時の鉄道省では最大速度150キロと認識されていたようである。；人間は、自分の性が何であるかを意思とは無関係に認識している。；彼は時間、空間の直観形式でもって、人間は様々な現象を認識すると考えた。；身近な例では、両の手を合わせ力を入れることで感覚的に認識することができる。；IBMは事業をサービス業と認識しており、カードもマシンの一部だった。；白色矮星の異常な暗さが初めて認識されたのは1910年のことである。；受ける側でもこのことは認識していたと考えられる。</t>
        </is>
      </c>
      <c r="J6478">
        <f>HYPERLINK("https://www.weblio.jp/content/認識", "词义详情")</f>
        <v/>
      </c>
      <c r="K6478">
        <f>HYPERLINK("https://yourei.jp/認識", "查看例句")</f>
        <v/>
      </c>
    </row>
    <row r="6479">
      <c r="A6479" t="inlineStr">
        <is>
          <t>人情</t>
        </is>
      </c>
      <c r="B6479" t="inlineStr">
        <is>
          <t>成功</t>
        </is>
      </c>
      <c r="C6479" t="inlineStr">
        <is>
          <t>読み方：にんじょう
１人間の自然な心の動き。人間のありのままの情感。「やすきにつくは—の常」
２人としての情け。他人への思いやり。「—の厚い人」「—家」</t>
        </is>
      </c>
      <c r="D6479" t="inlineStr">
        <is>
          <t>人情家(2%)；人情的；人情喜劇；人情物；人情ドラマ</t>
        </is>
      </c>
      <c r="E6479" t="inlineStr">
        <is>
          <t>同情；情；仁；慈悲；思いやり</t>
        </is>
      </c>
      <c r="F6479" t="inlineStr">
        <is>
          <t>美しい人情；人情小説；人情ばなし；人情じゃない；人情紙</t>
        </is>
      </c>
      <c r="G6479" t="inlineStr">
        <is>
          <t>人情味；人情本；人情話；人情風俗；人情紙風船</t>
        </is>
      </c>
      <c r="H6479" t="n">
        <v>29</v>
      </c>
      <c r="I6479" t="inlineStr">
        <is>
          <t>人情と義理の程度に留つてそれから先に一歩も出て行かないからである。；それも調べてみると何かの縁につながれた人情を発見するという現象だ。；又市は腹を立って居たが、顔を見ると人情で、間の悪い顔をしている。；この言はやや人情に近きが如くなれども、元来その家とはいかなる家か。；文学の世界にあるものは義理と人情のほかのものと言えばそれの反映である。；何故かというとそれらの句には少しも人情的なところがありません。；どちらかといえば、私は、学問より人情のあるほうを取りますからね。；人間は、魚よりもまた獣物よりも人情があってやさしいと聞いている。；巻七の方ならば人情も自然だが、巻十四の方は稍調子に乗ったところがある。；自分の罪悪は判決を受けるまでは腹のなかで弁護するのが人情である。；人情、と云うものの価値が、日本では独特なものになって居るのではないか。；これはどうも濟みませんと云つて僕はいまさら不思議な人情を感じた。；風来坊登場時、人情避けのルートでは別のオリジナルBGMが使われる。；そこで、自分の国についでその国が好きになるのは自然の人情である。；基本的に1話完結で、ケンカ中心の構成の中に人情ドラマを描いた作品。；情慾が食気にだけ偏ってしまって普通の人情に及ぼさないためかしらん。；そして別の日に、私は同じ公園の古さと広さと長閑さと人情とがわかった。；こんなのをからかうことは、残念ながら人情としてできないことだった。；それはちょっと考えると不愉快なことであり、人情にもとることである。；民衆の真実は何であろうかと思わずにはいられないのが活きた今日の人情なのである。；それに、一度水面に達すると、一時でも早く本船を離れたいのが人情だ。；そこには人生晩年、挫折や出発点に立つ人情溢れる生活をする人々がいた。；その際、同じとるなら代表的な新聞を、と考えるのが人情だと思う。；壁や柱に富山の薬袋がぶらさがっているとつい飲むようになるのは人情だ。；神秘の霊力を備えている非凡人よりも、猿殿の人情に打たれてしまった。；それも調べて見ると何かの縁につながれたる人情を発見すると云う有様である。；時の人情と風俗とは、史書よりもむしろこの方が適当でありますので。；たとえ天寿をまっとうしたものであっても、かわりのない人情でもあろう。；女が苦しんでいれば、お前も手をとって力を添えてやるのが人情じゃないか。</t>
        </is>
      </c>
      <c r="J6479">
        <f>HYPERLINK("https://www.weblio.jp/content/人情", "词义详情")</f>
        <v/>
      </c>
      <c r="K6479">
        <f>HYPERLINK("https://yourei.jp/人情", "查看例句")</f>
        <v/>
      </c>
    </row>
    <row r="6480">
      <c r="A6480" t="inlineStr">
        <is>
          <t>妊娠</t>
        </is>
      </c>
      <c r="B6480" t="inlineStr">
        <is>
          <t>成功</t>
        </is>
      </c>
      <c r="C6480" t="inlineStr">
        <is>
          <t>読み方：にんしん
［名］(スル)女性が身ごもること。受精した卵子を子宮内で発育させること。哺乳類にみられ、受精卵が子宮に着床し、母体と連絡する胎盤を生じて発生が進み、一定の期間を経て胎児が分娩(ぶんべん)される。懐妊。懐胎。妊孕(にんよう)。</t>
        </is>
      </c>
      <c r="D6480" t="inlineStr">
        <is>
          <t>妊娠期間(3%)；妊娠中(2%)；妊娠初期；妊娠してる；妊娠出産</t>
        </is>
      </c>
      <c r="E6480" t="inlineStr">
        <is>
          <t>懐妊；受胎；懐胎；胚胎；おめでた</t>
        </is>
      </c>
      <c r="F6480" t="inlineStr">
        <is>
          <t>妊娠しやすい；妊婦または妊娠；妊娠末期；妊娠七；胎妊娠</t>
        </is>
      </c>
      <c r="G6480" t="inlineStr">
        <is>
          <t>妊娠中絶；妊娠ストール；妊娠検査薬；妊娠後期；妊娠高血圧症候群</t>
        </is>
      </c>
      <c r="H6480" t="n">
        <v>29</v>
      </c>
      <c r="I6480" t="inlineStr">
        <is>
          <t>その後は妊娠することがなく子どもを残していないため、子孫はいない。；すべてが終わった旅の帰り、ダーニクの子供を妊娠していることが判明。；結婚した際はそれを公表していなかったが、妊娠を機に公表した旨も語った。；実習生のため妊娠が発覚したら帰国させられると思った末の犯行だった。；このような場合には、妊娠初期の胎児の大きさから在胎週数を推定する。；大好きな姉が妊娠を機に結婚することになったものの、素直に喜べない。；そして翌1990年6月4日に結婚と妊娠8か月であることを発表した。；ゾルグが家のテーブルに目をやると、そこには妊娠検査の通知書が合った。；私は女房のニンシンの話をきいて、まず病毒のことを考えて、暗くなった。；やがて、七月が嵐との一度きりの関係で妊娠してしまったことが発覚。；中枢性尿崩症は妊娠や脳手術に伴う一過性のものを除いて通常永続する。；妊娠7 - 8週で頭部と体幹の区別が可能になるため測定可能となる。；夫の転勤に伴い函館での生活を始めたふみ子は、第2子を妊娠していた。；アルダートンの家族も警察官から聞かされて初めて妊娠のことを知った。；当初は腫瘍を疑われたが、診断の結果妊娠7か月であることが判明した。；ニンシンしてから、一年近く続いた地味な日々は、はっきりと私を変えた。；ちょうどそのとき妊娠ははるかの勘違いであったことが判明した。；リタも撮影に加わったが、9月頃にリタが妊娠していたことを告げられる。；これにより大阪では未受診妊娠対策医療機関を中心に実施されている。；女房がニンシンしたとき、私は女の子が生れて欲しいと考えた。；その後、妊娠時に連載中だった作品の幾つかは完結を迎えている。；精通を経験後は、女性と性交を行った場合には相手を妊娠させる可能性がある。；またこの際、全豪開幕直前に妊娠が判明したことも明らかにした。；結婚・妊娠、出産に伴いグラビアアイドルとしての活動は卒業している。；同年、妊娠が判明するも流産に終わったことを明らかにしている。；これに比べて雄は妊娠しないため、常に次の繁殖に取りかかることができる。；入籍・妊娠後も弟に会いたいがために週に2回は実家に戻っている。；免疫系が正常でも妊娠している場合には特別な注意が必要になる。；また無事に解放されていたレオナは、救急隊員が検査したところ妊娠していた。</t>
        </is>
      </c>
      <c r="J6480">
        <f>HYPERLINK("https://www.weblio.jp/content/妊娠", "词义详情")</f>
        <v/>
      </c>
      <c r="K6480">
        <f>HYPERLINK("https://yourei.jp/妊娠", "查看例句")</f>
        <v/>
      </c>
    </row>
    <row r="6481">
      <c r="A6481" t="inlineStr">
        <is>
          <t>人参</t>
        </is>
      </c>
      <c r="B6481" t="inlineStr">
        <is>
          <t>成功</t>
        </is>
      </c>
      <c r="C6481" t="inlineStr">
        <is>
          <t>読み方：にんじん
１セリ科の越年草。茎は高さ約1メートルになり、葉は細かく裂ける。根は太く、地中にまっすぐ伸び、黄橙色。カロテンを含む代表的な野菜で、根のほか若葉も食用になる。初夏、白い小花を多数つける。名は、チョウセンニンジンに似ていることに由来。ヨーロッパから西アジアの原産。《季冬》
２チョウセンニンジンの別名。</t>
        </is>
      </c>
      <c r="D6481" t="inlineStr">
        <is>
          <t>人参斎(2%)；人参色；人参公社；人参果；人参畑</t>
        </is>
      </c>
      <c r="F6481" t="inlineStr">
        <is>
          <t>玉葱人参；唐人参；kgc人参；人参斎先生</t>
        </is>
      </c>
      <c r="G6481" t="inlineStr">
        <is>
          <t>人参代往古銀；人参湯；人参座；人参の葉；人参の皮</t>
        </is>
      </c>
      <c r="H6481" t="n">
        <v>29</v>
      </c>
      <c r="I6481" t="inlineStr">
        <is>
          <t>それからも、その人参は手をつけられずにボールに入ったままである。；一円は先頃持って来てやった人参の代として無理に夫人がよこしたもの。；しかも悪いことに、人参を残していたのはわたしだけではなかったのです。；いま出した料理は、はじめのは千年を経た人参で、あとのは枸杞です。；仕方なくいわれた通りにしたが、フランスの人参の頑固さには参った。；今となっては、どうしたってこの長人参を受けとるわけにはゆくまい。；人参を見ると泣きたくなるなんていふことはありませんか。；ええもう人参の微塵切りだろうが大根の桂剥きだろうが何でもやりますよ。；そいつの皮膚はエラッカ剤を飲んでいることを示す人参の色だった。；朝の粥を啜った後で、松枝に馬鈴薯と葱と人参を洗って二階に運ばせた。；木の箱に入れて、母親から人参の尻尾やトウモロコシパンをもらって与えた。；幕府はこの商家を唐人参座に指定し、江戸での唐人参販売を独占させた。；薬といっても、傷に効くといわれている木の葉、草、また人参などだった。；独立世帯での暮らしとなり、人参や薬草を採取して細々と生計を立てた。；きさまはわしの観の人参樹をうち倒し、夜通しここまで逃げて来たのではないか。；まったく今の身のうえで高価の人参などを買いとゝのえる力はありません。；要するにフシグロを人参だと偽って売ったのが名前になって残ったのだという。；そして萎びた人参のような足をつかんで、逆さにして尻を叩いた。；もたらされた薬には、人参や甘草などの重要な生薬も含まれていた。；私は、人参を握りしめたまま、台所と茶の間の境の敷居の上に立った。；玉葱は溶けていったし、人参も肉も時間とともに柔らかさを増していった。；人参取りの仲間がお互いに協力して作り、いつでも自由にそこへ行って泊れるようにしてある小屋であった。；それにさえ気がついていたら、こうまでひどく人参を軽蔑するようなことはしなかったであろう。；想像力が嘘八百で塗り固めた世界にも人参や大根が多少は必要なのである。；玉ねぎ、人参はスライスして、セロリは葉先を切ってから筋をとっておく。；人参やお芋を見物のやる棒のついた板の上に運んでいた。；人参は、火山灰を含んだ黒ぼく土で栽培され全国でも珍しい二期作で栽培されている。；歴代藩主の中では伊達宗村が薬園に関心を寄せ、三度訪れて人参の様子を見た。；と、リメエアが続けて軍馬に新たな人参を与えているのを女王は怪訝な目で見て。</t>
        </is>
      </c>
      <c r="J6481">
        <f>HYPERLINK("https://www.weblio.jp/content/人参", "词义详情")</f>
        <v/>
      </c>
      <c r="K6481">
        <f>HYPERLINK("https://yourei.jp/人参", "查看例句")</f>
        <v/>
      </c>
    </row>
    <row r="6482">
      <c r="A6482" t="inlineStr">
        <is>
          <t>人数</t>
        </is>
      </c>
      <c r="B6482" t="inlineStr">
        <is>
          <t>成功</t>
        </is>
      </c>
      <c r="C6482" t="inlineStr">
        <is>
          <t>読み方：にんじゅ
１「にんずう（人数）1」に同じ。
「舎人、雑色—わづかに十四、五人」〈平家・一二〉
２「にんずう（人数）2」に同じ。
「金谷の宿に—を揃へ」〈浮・武家義理・一〉</t>
        </is>
      </c>
      <c r="D6482" t="inlineStr">
        <is>
          <t>人数分(2%)；人数制限；人数編成；人数合わせ；人数学者</t>
        </is>
      </c>
      <c r="F6482" t="inlineStr">
        <is>
          <t>大人数；小人数；残り人数；経験人数；少ない人数</t>
        </is>
      </c>
      <c r="H6482" t="n">
        <v>29</v>
      </c>
      <c r="I6482" t="inlineStr">
        <is>
          <t>具体的には欠員の数が以下の人数に達したときに補欠選挙が実施される。；各クラスに人数制限があり、年齢とレベル別でクラス編成されている。；どのオーディションにも番組出演枠数とファン獲得人数が設定されている。；石高に応じて人数を動員し、藩主は大坂に居住しなければならなかった。；最初期のころから近隣の村から連行したユダヤ人数千人も収容された。；ただし、以降の放送では、テーマに応じて共通ゲストの人数を変えている。；ただし、その際は人数分のテレビ・GC・LANケーブルが必要となる。；ゲームでの競技者の人数やボールに接触可能な回数も競技別に異なる。；人数が多いチームのほうが理論上は有利になるとされている。；出願人数が一定数を超えた場合のみ入学考査前の抽選を行う学校もある。；海軍部隊も攻撃に出た者はほとんどが倒れ、わずかな人数が領事館に帰った。；予約人数を変更したことが気になって様子を見に来たのだった。；設置した場合の人数には原則として制限はないので、1人以上いればよい。；非常に人数が多く、外見のみならず性格や運勢まで全員が全く同じである。；エアポート急行と普通のみが停車する駅の中では最も人数が多い。；就職を希望している人のうち、どれだけの人数が就職したかという割合。；これは人数が多すぎて収拾がつかなくなるのを防ぐためである。；人数が多数に上ったことについては、強制動員されたという証言もある。；相乗りとは、一台の乗り物に複数人数が一緒に乗り合わせることをいう。；操作するキャラクターの残り人数が0になるとゲームオーバーとなる。；台座や車両を必要としその運用にも複数の人数を必要とした。；幸福の科学の発表では数千人数万人の規模だと報告している。；追加される人数はそのシナリオのステージ数に比例する傾向がある。；具体的な人数は不明だが、数多くの隊員・職員・見習い隊員が常駐している。；単なる人数ばかりでなく、質の点でもオペラ座の合唱は他を凌駕していた。；アメリカの36の州では少人数クラスにする法が制定されている。；はじめにプレイ人数・年数やターンの順番などのルール設定をおこなう。；各パートにおける人数も、厳密に規定されていない楽曲が大多数である。；料金は利用人数と時間帯、利用時間に応じて請求されるのが一般的である。</t>
        </is>
      </c>
      <c r="J6482">
        <f>HYPERLINK("https://www.weblio.jp/content/人数", "词义详情")</f>
        <v/>
      </c>
      <c r="K6482">
        <f>HYPERLINK("https://yourei.jp/人数", "查看例句")</f>
        <v/>
      </c>
    </row>
    <row r="6483">
      <c r="A6483" t="inlineStr">
        <is>
          <t>忍耐力</t>
        </is>
      </c>
      <c r="B6483" t="inlineStr">
        <is>
          <t>成功</t>
        </is>
      </c>
      <c r="C6483" t="inlineStr">
        <is>
          <t>読み方：にんたいりょく
つらいことや苦しみなどをたえしのぶ力。辛抱する力。「—をつける」</t>
        </is>
      </c>
      <c r="D6483" t="inlineStr">
        <is>
          <t>耐久力；持久力；堪え性</t>
        </is>
      </c>
      <c r="F6483" t="inlineStr">
        <is>
          <t>驚くべき忍耐力</t>
        </is>
      </c>
      <c r="H6483" t="n">
        <v>29</v>
      </c>
      <c r="I6483" t="inlineStr">
        <is>
          <t>中大兄皇子が考えられない忍耐力で自分の感情を隠しているからだった。；必要とされるだけの忍耐力をいつも持ち合わせているとは限らなかった。；しかも、そのずれが意図的でない場合はかなりの忍耐力を要求される。；どんな機械も真似できない繊細さと、どんな人間も真似できない忍耐力だ。；通常では考えられない集中力や忍耐力を発揮するのもこんなときだ。；あれを見つけて、壊さずにスルーするのは大変な忍耐力が要求される。；ひとつのものをそんなに長く見ていることは、人間の忍耐力にはできないことだった。；君がこれまで人間のできうる限りの忍耐力で堪へてゐたものも僕にはわかるやうな気がする。；どうやら彼の忍耐力もそろそろ底をつきはじめたようだった。；たぶん、暴虐な父親のせいで強さと忍耐力を育ててきたのだろう。；事実、信長はこの雪をかれの持っている最大限の忍耐力をもって待ちに待っていた。；しかし、その彼の忍耐力もついに底をついてしまったのだった。；単に妻の性格、忍耐力欠如などと妻を批判するだけではすまないことである。；若さ故の意固地な忍耐力を失ってしまった今、言葉は私を疲れさせるだろう。；現代の言葉にないものを明確に表現するだけの能力と忍耐力とをもたなければならなかった。；彼にはマニュアルを勉強する忍耐力がなく、平均より下のパイロットであった。；過酷な稽古で培った忍耐力、いまでも誰にも負けないと思っています。；東京で運転できる技術と忍耐力があったら、世界中どこでも大丈夫と思います。；アヴァール人はこの都市を征服するのに十分な忍耐力と技術を持っていなかった。；彼女の話を最後まで黙って聞いているほどの忍耐力が、ジーニたちにあるはずがない。；私は彼等がこんなに遠くまでついて来る忍耐力に驚いた。；しかし築地の交叉点を過ぎた時、俺の忍耐力も限界に来てしまった。；今ならばこのような本を読む忍耐力のある人はない。；このときほど私は忍耐力を必要としたことはなかった。；博学で忍耐力があり、推理力にも優れ、強い勇気をも持ち合わせている。；私がウンザリしたのが、私の忍耐力の不足のためだとは、普通にいう意味では言えない。；意志力・忍耐力の涵養 や、目標達成の喜びの共有を実施目的としている。；つまり農民の忍耐力がその唯一の根拠であったということだ。；民衆の貧しさだけでなく美しさを、また苦しみだけでなく力強さや忍耐力を描いた。</t>
        </is>
      </c>
      <c r="J6483">
        <f>HYPERLINK("https://www.weblio.jp/content/忍耐力", "词义详情")</f>
        <v/>
      </c>
      <c r="K6483">
        <f>HYPERLINK("https://yourei.jp/忍耐力", "查看例句")</f>
        <v/>
      </c>
    </row>
    <row r="6484">
      <c r="A6484" t="inlineStr">
        <is>
          <t>認知症</t>
        </is>
      </c>
      <c r="B6484" t="inlineStr">
        <is>
          <t>成功</t>
        </is>
      </c>
      <c r="C6484" t="inlineStr">
        <is>
          <t>読み方：にんちしょう
《dementia》成人後に、脳に損傷を受けることによって認知機能が低下する状態。脳血管障害、脳外傷、変性疾患、アルコール中毒などが原因で起こる。原因疾患からアルツハイマー型認知症、脳血管性認知症、レビー小体型認知症などに分類される。→若年性認知症→老人性認知症
[補説] 「痴呆症」「痴呆」の言い換え語。「痴呆」には蔑視の意があるとして厚生労働省が平成16年（2004）12月に報告書を提出し、変更された。</t>
        </is>
      </c>
      <c r="D6484" t="inlineStr">
        <is>
          <t>認知症患者(8%)；認知症高齢者(2%)；認知症治療；認知症症状；認知症専門</t>
        </is>
      </c>
      <c r="F6484" t="inlineStr">
        <is>
          <t>認知症高齢者；認知症薬；認知症改善；認知症対策；抗認知症</t>
        </is>
      </c>
      <c r="G6484" t="inlineStr">
        <is>
          <t>認知症疾患医療センター；認知症高齢者グループホーム；認知症の人と家族の会；認知症カフェ；認知症とは</t>
        </is>
      </c>
      <c r="H6484" t="n">
        <v>29</v>
      </c>
      <c r="I6484" t="inlineStr">
        <is>
          <t>パーキンソン病やその他の認知症関連障害の治療の研究も行われている。；通常は運動症状の出現以降にみられるが、認知症で発症する場合もある。；薬を服用できなくなった入居者たちには、認知症の症状が再発していた。；しかし認知症の老人は名画を隠したことを忘れ、部屋を移動していた。；少しずつ認知症の症状が進み、少女に戻り無邪気な様子を見せるみつえ。；それに対して、ゆっくりと進行して認知症などの形をとるものもある。；一般的に認知症では機能性尿失禁と切迫性尿失禁が多いと言われている。；ベネット自身はそれ以前まで、認知症などには全く関心を持っていなかった。；結果として、あたかも認知症となったかのような印象を与えることがある。；認知症が演技であることをあなた方に告白するだけでよかった。；認知症が始まった老女を中心としたある一家の一日を淡々と描く。；同時期にはアルコール依存症がもとで認知症も発症していたとされる。；認知症は70歳以上人口において2番目に多数を占める障害疾患である。；認知症患者に処方される薬を、興奮系薬剤と抑制系薬剤に大別している。；現在の医学において、認知症を治療する方法はまだ見つかっていない。；ただし認知症の数自体は他と比較して多くはない。；この調査では、8年間に渡って認知症の検査を受けた622人が対象となった。；この男性社員は「認知症だとは知らなかった」などとしている。；認知症の検査法として長谷川式が有名であるが、領域別差異がわからない。；強いていえば認知症の母親が暴れるので困っているという話が印象に残っている程度だ。；幼馴染たちと邂逅する中、清子に認知症の症状が現れていることがわかる。；予想以上に長引いた入院中に、母親の認知症はまた一気に進行してしまったようだった。；認知症のおじいさんの記憶をたどるために、息子のふりをしたりする人もいたわ。；また認知症に似た症状もみられる事から、認知症と混同されてしまう場合もある。；タウの機能異常が神経細胞死および認知症を直接誘導する可能性が示唆された。；それは天吾が認知症について持っている数少ない知識のひとつだった。；認知症の前段階にあたるが、認知機能低下よりも記憶機能低下が主兆候となる。；近年の外来において著しい増加がみられるのは、うつ病と認知症である。；これを認知症という定義で言うならば治療可能な認知症の代表と言う事が出来る。</t>
        </is>
      </c>
      <c r="J6484">
        <f>HYPERLINK("https://www.weblio.jp/content/認知症", "词义详情")</f>
        <v/>
      </c>
      <c r="K6484">
        <f>HYPERLINK("https://yourei.jp/認知症", "查看例句")</f>
        <v/>
      </c>
    </row>
    <row r="6485">
      <c r="A6485" t="inlineStr">
        <is>
          <t>妊婦</t>
        </is>
      </c>
      <c r="B6485" t="inlineStr">
        <is>
          <t>成功</t>
        </is>
      </c>
      <c r="C6485" t="inlineStr">
        <is>
          <t>読み方：にんぷ
妊娠している女性。</t>
        </is>
      </c>
      <c r="D6485" t="inlineStr">
        <is>
          <t>妊婦または妊娠；妊婦用；妊婦や授乳中；妊婦さん；妊婦姿</t>
        </is>
      </c>
      <c r="G6485" t="inlineStr">
        <is>
          <t>妊婦フェティシズム；妊婦健診；妊婦健康診査</t>
        </is>
      </c>
      <c r="H6485" t="n">
        <v>29</v>
      </c>
      <c r="I6485" t="inlineStr">
        <is>
          <t>彼は州内の殆ど全ての子供、妊婦を対象とした医療保険制度を構築した。；栄養価の高いことで知られ、妊婦が食べるのによいとされる植物である。；それも妊婦が夫の支えを一番必要とする妊娠の後期になぜか集中した。；おりから水は上げ潮で河幅一杯に満々と、妊婦の腹のように膨れていた。；妊婦に対して危険であるとは思われていないが、充分に研究されていない。；プラドとトーレスは妊婦を含む20人を捕虜にしたことを記録している。；いきなりボールをシャツの中にねじ込んで、身重な妊婦の真似をしたり。；いずれにせよ、妊婦にそのまま仕事をさせておくわけにはいかない。；あのテの雑誌には妊婦だけに通じ合う、独自の世界が形成されているらしい。；私以外の妊婦は、乳首のマッサージ中に濡れてきたりはしないのだろうか?；妊婦は少し散歩したほうがいいというので街道を一時間ばかり歩いてみるつもりだった。；ヒトの妊婦を対象とした管理された臨床試験は実施された事がない。；妊娠四ヵ月頃までは、妊婦にとって大切な時期であることは知っている。；そのうち腹がふくれてきて、誰の目にも妊婦であることが明らかになってくる。；妊婦は女の子の手をぐいと引いてエスカレーターのほうへ歩き出した。；本当は3Lサイズの服だったのを、妊婦用に自分で手を入れたのだと言う。；妊婦は時々に部屋を歩き回って子供が回転するように勧められた。；横目で妊婦たちを観察していたら、その向こう側にミドリさんを見つけた。；そのあとから四人の妊婦が醜い姿をして苦しさうにしながら散歩してゐる。；ただし、妊婦の服用や過剰摂取、長期の連続使用は避けるべきとされる。；アリはまず妊婦に変装して財布を盗もうとするが、気づかれて失敗する。；ただ妊婦の意志に任せて、妊婦の無事を祈るより外はないのであります。；そのため妊婦は自ら医療側に進言しないと検査は実施されない。；それがビデオに記録されて、まだ出産経験もない妊婦に見せられる。；毎週1人の妊婦や母になったばかりの人にスポットを当て、応援をする。；もう四、五年になるかしら、妊婦だけを撮った写真集を見たことがある。；その頃、ニューヨークでは1人の妊婦が奇妙な痣を持つ娘を出産していた。；「妊婦でもこの国では種痘を受けさせるのでしょうか」 所長は答えた。；富貴は夫の言葉を守り、それらのものを妊婦のように腹に巻いて寝た。</t>
        </is>
      </c>
      <c r="J6485">
        <f>HYPERLINK("https://www.weblio.jp/content/妊婦", "词义详情")</f>
        <v/>
      </c>
      <c r="K6485">
        <f>HYPERLINK("https://yourei.jp/妊婦", "查看例句")</f>
        <v/>
      </c>
    </row>
    <row r="6486">
      <c r="A6486" t="inlineStr">
        <is>
          <t>任務</t>
        </is>
      </c>
      <c r="B6486" t="inlineStr">
        <is>
          <t>成功</t>
        </is>
      </c>
      <c r="C6486" t="inlineStr">
        <is>
          <t>読み方：にんむ
責任をもって果たすべきつとめ。「—を遂行する」</t>
        </is>
      </c>
      <c r="D6486" t="inlineStr">
        <is>
          <t>任務遂行；任務群；任務終了後；任務完了；任務達成</t>
        </is>
      </c>
      <c r="E6486" t="inlineStr">
        <is>
          <t>仕事；務め；目的；事業；役</t>
        </is>
      </c>
      <c r="F6486" t="inlineStr">
        <is>
          <t>主任務；護衛任務；哨戒任務；偵察任務；主な任務</t>
        </is>
      </c>
      <c r="G6486" t="inlineStr">
        <is>
          <t>任務志向防護態勢；任務的</t>
        </is>
      </c>
      <c r="H6486" t="n">
        <v>29</v>
      </c>
      <c r="I6486" t="inlineStr">
        <is>
          <t>これらが全て構築されるとは限らず、任務と地域環境に拠る所が大きい。；幾つかの場所では地区裁判所に代わって市裁判所がその任務を担当してきた。；この法では両親とその居住する教育学区の任務と責任を規定している。；護衛戦闘機搭乗員には他の任務がある都合上、途中までの護衛となった。；基本的には怪事件調査のための組織で、怪獣との戦闘は特別任務である。；任務機に何らかの問題が発生した場合に副務機が代替して乗客を輸送する。；朝鮮十三道には道長官が任命されそれぞれの支所で行政任務に従事した。；大戦中に艦隊の偵察任務は空母搭載の艦上機へと次第に移行していった。；チャージャーで訓練を終えた兵は大西洋での対潜水艦任務に従事した。；独立している国は少なく多くの国では空軍の防空部隊が任務を担当している。；午前6時頃には全指揮官から任務は指示された通り実行されたとの報告を受けた。；これにより百姓らが負担していた兵役の任務はほぼ解消されることとなった。；港長のもとでこれらの任務に当たるのは沿岸警備隊であることが多い。；これは剣などの武器類やさまざまな品物の製作監督や製造技術確立を任務とした。；同部隊がボラユル軍団として再編された際も作戦課長の任務を継続した。；基本的にはプレーヤーの任務達成度がAI機にも影響するようになっている。；戦略爆撃機にはその任務と攻撃目標の性質上、次のような性能が求められる。；任務を成功させたとはいえ、刺領巾の行為は義にもとるものだった。；米国は宇宙船の名前、プロジェクト名、任務番号のいずれかを使用する。；時代により様々な任務や大きさの軍艦に対して使用された名称である。；主教の監督下に司祭が置かれ、主に地域の個教会の牧師の任務に従事する。；指揮隊は、上記のような災害現場での総合指揮・統括の任務を担当している。；相良宗介は命令のままに千鳥かなめの護衛と戦場での任務をこなしていた。；第7艦隊は、任務に応じて編成された複数の「任務部隊」で構成される。；また、宇宙機関などが地球防衛軍と同様の任務を負っている場合もある。；組織の実働部隊は若者ばかりで、階級や任務による上下の区別はない。；白村江の戦いで日本が大敗した後は、3回にわたり交渉が任務となった。；気象業務の健全な発達を図ることを任務とする国土交通省の外局である。；とはいえ拳銃を携行するのは負担になるため必要な任務に限られることが多い。</t>
        </is>
      </c>
      <c r="J6486">
        <f>HYPERLINK("https://www.weblio.jp/content/任務", "词义详情")</f>
        <v/>
      </c>
      <c r="K6486">
        <f>HYPERLINK("https://yourei.jp/任務", "查看例句")</f>
        <v/>
      </c>
    </row>
    <row r="6487">
      <c r="A6487" t="inlineStr">
        <is>
          <t>任命</t>
        </is>
      </c>
      <c r="B6487" t="inlineStr">
        <is>
          <t>成功</t>
        </is>
      </c>
      <c r="C6487" t="inlineStr">
        <is>
          <t>読み方：にんめい
［名］(スル)ある官職や役目に就くよう命じること。「適任者を所長に—する」</t>
        </is>
      </c>
      <c r="D6487" t="inlineStr">
        <is>
          <t>任命される(11%)；任命する(7%)；任命権者；任命制；任命しよ</t>
        </is>
      </c>
      <c r="E6487" t="inlineStr">
        <is>
          <t>指定；指示；指名；予選；配属</t>
        </is>
      </c>
      <c r="F6487" t="inlineStr">
        <is>
          <t>首相任命；新しく任命；官職任命；任命枠；任命する権限</t>
        </is>
      </c>
      <c r="G6487" t="inlineStr">
        <is>
          <t>任命式；任命責任；任命大権；任命ヘーチマン</t>
        </is>
      </c>
      <c r="H6487" t="n">
        <v>29</v>
      </c>
      <c r="I6487" t="inlineStr">
        <is>
          <t>政治家や時には与党の有力支持者である実業家、学者などが任命される。；委員会から任命された建築家たちは市の本来の設計には手を加えなかった。；ウィリアムは議会の意思に関係なく首相を任命した最後の王になった。；当時は地方の有力寺院の住職まで幕府が直接任命する例が少なくなかった。；これに加えて任命される時に名前も同じく付けられる雑号将軍がある。；行政府の長である首相は議会によって選出され大統領により任命される。；大宝令が施行されても、しばらく太政大臣は任命されることがなかった。；パークにはワチラーウットから任命された副王が派遣され行政を行った。；大規模な大学には珍しく教職員組合が無く、役職者は全て任命制である。；彼は5万の傭兵軍を集めて皇帝に提供し、皇帝軍総司令官に任命された。；大統領は首相その他の大臣の任命・指名に関して議会の同意を得る必要がある。；この歴史的な結果を受け、本選に向けての正式に監督に任命される。；このため守護は、家臣の中から代官を任命して実際の政務を代行させた。；中央政府は郡長を任命し、郡にはさらに地区に分かれ、地区長がいる。；同時に大統領選挙の延期を発表したほか、内務大臣を新首相に任命した。；伊藤内閣が成立したのは8月8日であるが、任命は8月23日であった。；ただし、現在までのところ、法曹資格を持たない者が任命された例はない。；ごく初期には大名が任命されていたが、後には旗本が任命された。；そのため、外交官には貴族や軍人などが任命されることが多かった。；最高裁判所長官の任命資格は、最高裁判所判事の任命資格と同じである。；それに当初任命されたのは帝国ミニステリアーレ出身者であった。；ワシントンの任命は戦争が切迫していたフランスに対する警告であった。；複数の正面軍の作戦指導は最高司令官が任命した最高司令官代理が担う。；ドイツの建築家は新しい都市の中心を設計するよう任命された。；地方行政は中央集権体制がとられており、各県知事は大統領が任命する。；今度はジョージを王国守護兼総督に任命せず、摂政委員会を成立させた。；このとき三職に任命されたのは以下の人物である。；朝廷はこれら諸侯を朝廷参預に任命し、朝廷会議に参加させることとした。；巡査のうち一定の条件を満たすものを「巡査長」に任命する制度がある。</t>
        </is>
      </c>
      <c r="J6487">
        <f>HYPERLINK("https://www.weblio.jp/content/任命", "词义详情")</f>
        <v/>
      </c>
      <c r="K6487">
        <f>HYPERLINK("https://yourei.jp/任命", "查看例句")</f>
        <v/>
      </c>
    </row>
    <row r="6488">
      <c r="A6488" t="inlineStr">
        <is>
          <t>縫う</t>
        </is>
      </c>
      <c r="B6488" t="inlineStr">
        <is>
          <t>成功</t>
        </is>
      </c>
      <c r="C6488" t="inlineStr">
        <is>
          <t>読み方：ぬう
［動ワ五（ハ四）］
１糸を通した針を布地などの裏表に交互に刺して進める。また、そのようにして布地などをつなぎ合わせたり、衣服などを作ったりする。「裾のほつれを—・う」「カーテンを—・う」
２（「繍う」とも書く）刺繍(ししゅう)をする。縫い取りをする。
「地獄絵を—・うた襠(うちかけ)の裳を」〈芥川・きりしとほろ上人伝〉
３傷口を針と糸でとじ合わせる。縫合する。「五針も—・う怪我(けが)」
４槍や矢などが刺し貫く。
「白犬が一頭、たかうすびょうの矢に腹を—・われて」〈芥川・偸盗〉
５事物や人々の狭い間を抜けて進む。「雑踏を—・って進む」「間隙を—・う」
[可能]ぬえる</t>
        </is>
      </c>
      <c r="D6488" t="inlineStr">
        <is>
          <t>縫う大怪我</t>
        </is>
      </c>
      <c r="E6488" t="inlineStr">
        <is>
          <t>裁縫；縫合；仕立てる；縫い合わせる；かがる</t>
        </is>
      </c>
      <c r="F6488" t="inlineStr">
        <is>
          <t>着物縫うこと</t>
        </is>
      </c>
      <c r="H6488" t="n">
        <v>29</v>
      </c>
      <c r="I6488" t="inlineStr">
        <is>
          <t>この世ならぬ魔法の調べは、動かぬ空気に乗って朝の中を縫っていった。；お三輪はその音を聞きながら、東京の方にいる新七のために着物を縫った。；車が劇場前の雑踏を縫うようにして走っていると、イリヤが口をあけた。；赤い雲のあいだを縫うように、黒い鳥の影がいくつもいくつも飛んでいる。；着て縫うときはいつでもそういうんですよ、だれかがきいていますからね。；仕事が遅くなりそうな時はその合間を縫って顔を出すという日が続いた。；まるで、ここを止めようと思う、と糸が自分で云って縫っているようよ。；私は窓の下でこの手紙を書き、お絹さんは私の衣物を縫うてくれています。；夜目にはただ長い長い塀の線が果てなく闇を縫っているとしか見えない。；島の南には、島や浅瀬の間を縫うように備讃瀬戸航路が設定されている。；母は自分が一生着ることのない着物を縫う針子仕事で家計を助けていた。；たとえ自分の物にはならなくても、その布を裁断し縫ってみたかったのだ。；街の空には、春の雲を縫って、雁の影が、これも巽の方へ消えて行った。；ハリーとロンはそのあいだを縫って歩き一緒に小さな丸テーブルについた。；その一つの皺の底を線が縫って、こっちに向ってだんだん上ってきている。；袖は腕の形にぴったり合うように着用後に腕に沿って縫われていた。；体の前の部分の襴と体の後ろの部分の襴は、縫わなくても繋がっている。；ぬ 黒煙と黒い鳥の間を縫うように、白い鳥がこちらへ向かってきた。；島山のはまだ縫えないし、あるのは古いから、我慢して寝衣に着て頂戴。；その間を縫うように走りこんできた数台の軍用のエレカがあったのだ。；右手だけで傷を縫うのは思った以上にむずかしい作業で、時間もかかった。；そうしてそこで嫂がお貞さんのために縫っていた嫁入仕度の着物を見た。；ニーナは運動能力を上げるとパイプの隙間を縫うようにして走り出した。；縫っている音が、と彼は思った、炉格子にかけた薬缶の音と似ているな。；物を縫うている女の形を見れば、それが若くとも処女というものはない。；大の旅行好きで、仕事の合間などを縫っては、海外へと駆け出している。；インディアンがカヌーを縫うのに使っていたのは、杉の根だったろうか?；その間を縫うように匂いの道は窪地の中心部に向かって伸びている。；私は石柱のあいだを縫って洞窟のいちばん端まで歩きまわることができた。</t>
        </is>
      </c>
      <c r="J6488">
        <f>HYPERLINK("https://www.weblio.jp/content/縫う", "词义详情")</f>
        <v/>
      </c>
      <c r="K6488">
        <f>HYPERLINK("https://yourei.jp/縫う", "查看例句")</f>
        <v/>
      </c>
    </row>
    <row r="6489">
      <c r="A6489" t="inlineStr">
        <is>
          <t>抜かす</t>
        </is>
      </c>
      <c r="B6489" t="inlineStr">
        <is>
          <t>成功</t>
        </is>
      </c>
      <c r="C6489" t="inlineStr">
        <is>
          <t>読み方：ぬかす
［動サ五（四）］
１入れるべきものを入れない。うっかりして落とす。漏らす。また、間をとばす。「順番を—・す」
２抜けるようにする。力などを失わせる。「びっくりして腰を—・す」「現(うつつ)を—・す」
３（「吐かす」とも書く）言う、しゃべるの意で、相手を卑しめていう語。言いやがる。ほざく。「てめえ何を—・すか」
４ある場所から逃げ出させる。
「権三様をもあの婆が、見ぬやうにそっと—・して往(い)なせませ」〈浄・鑓の権三〉
[可能]ぬかせる</t>
        </is>
      </c>
      <c r="D6489" t="inlineStr">
        <is>
          <t>抜かすだろ(3%)；抜かすかも知れ</t>
        </is>
      </c>
      <c r="E6489" t="inlineStr">
        <is>
          <t>落とす；落す；見逃す；漏らす；見のがす</t>
        </is>
      </c>
      <c r="F6489" t="inlineStr">
        <is>
          <t>抜かすかも</t>
        </is>
      </c>
      <c r="H6489" t="n">
        <v>29</v>
      </c>
      <c r="I6489" t="inlineStr">
        <is>
          <t>いったいなにをしておるのだろうと目を凝らして私は腰を抜かしました。；叫び続ける女と、わけのわからないまま腰を抜かしているおれのもとに。；ここで東と西を代表する米国人とロシア人を抜かすわけにはいきません。；村の人々はそれを見ると、だれでも腰を抜かさずにはいられなかった。；むかしも、過程を何段階も抜かして不意に結論を言ったり、したりした。；まだ、希望の甘い香りにうつつを抜かしていた少年のころのことだった。；またはそこのところだけを抜かして書いているのではあるまいか。；急いで階段を上り、廊下に出て、その光景に腰を抜かしそうになった。；それを蔑ろにして、中身のない勉強ごっこに現を抜かしてきたのだから。；ところが次のような返事が彼女からきて、わたしは雲から落ちて腰を抜かした。；そして向こうを見たとたんに、びっくり仰天して腰を抜かしそうになった。；わたしは腰を抜かしたようによろめいて、畳の上をはって六畳間を出た。；又四郎は恐ろしさのために腰を抜かしたのか立つこともできなかった。；大塩さんは腰を抜かしたように、ちいさな流氷の上でへたりこんでいた。；抜かされるだけ抜かされたのち、やがて二キロ目の表示が見えてきた。；俺は今日の午後、自分の原稿を取り戻しに来たが、社員が嫌だと抜かした。；この世でそんなことができる奴の顔を是非みたいものだと抜かした。；自分の方へ展開してくる船隊の姿に腰を抜かしたのは間違いない。；少し余計に作って明日の弁当にしてくるからそれを見て腰を抜かすがいい!!；人の物を盗む奴はサイテーだと抜かすこそ泥てのは、どんなもんだろう。；それが有月と三衣だとわかったとき、駿美は生まれて初めて腰を抜かした。；痛くも何ともねえかわりに、その分びっくりして腰を抜かしちまったよ。；もし私が医者でなかったら、きっと驚きのあまり腰を抜かしていたかもしれない。；いまも生きているかのようなその姿に、万葉も出目金も腰を抜かした。；多くの細部は抜かしているかも知れないが、重要な形態はすべてここにある。；階段を降りきったとき、彼は腰を抜かさんばかりにびっくりした。；そう思うようになったのは、タイの米屋の店先を見て、腰を抜かしてからだ。；吉三郎は十内に女にうつつを抜かしている場合ではないと怒られる。；私は福士の答えてくれた試合を聞いて、本当のところ腰を抜かした。</t>
        </is>
      </c>
      <c r="J6489">
        <f>HYPERLINK("https://www.weblio.jp/content/抜かす", "词义详情")</f>
        <v/>
      </c>
      <c r="K6489">
        <f>HYPERLINK("https://yourei.jp/抜かす", "查看例句")</f>
        <v/>
      </c>
    </row>
    <row r="6490">
      <c r="A6490" t="inlineStr">
        <is>
          <t>抜き出す</t>
        </is>
      </c>
      <c r="B6490" t="inlineStr">
        <is>
          <t>成功</t>
        </is>
      </c>
      <c r="C6490" t="inlineStr">
        <is>
          <t>読み方：ぬきだす
［動サ五（四）］
１引き抜いて出す。取り出す。「財布からお金を—・す」
２選び出す。「該当部分を—・す」
３突き出す。
「黯黒(くらやみ)の中からヌッと半身を—・して」〈二葉亭・浮雲〉</t>
        </is>
      </c>
      <c r="D6490" t="inlineStr">
        <is>
          <t>引く；抜く；取り出す；引き出す；摘出</t>
        </is>
      </c>
      <c r="H6490" t="n">
        <v>29</v>
      </c>
      <c r="I6490" t="inlineStr">
        <is>
          <t>味をおぼえて次の日もこんどは紙幣の束からそっと幾枚かを抜き出した。；スクラップ・ブックからそのときの発言を抜き出してみると次のようだ。；棚に並んでいる書物の背を眺め、ときおり抜き出して内容を調べてみる。；この中から一枚だけ好きなカードを抜き出して、皆にも見せて下さい。；こういう時にコード実行時間だけ抜き出して比較しても意味はない。；番組の一部分のみを抜き出しての配信は今回が初めてのケースとなる。；より長い本名から一部を抜き出して通称として用いている場合が多い。；レコードを棚に戻し、別の棚から大学ノートを一冊、彼女は抜き出した。；しかしこの写真はすぐに映画の一シーンの抜き出しであることが明らかになった。；結婚式の写真を見て、何の気なしに隣のアルバムも抜き出して見たのよ。；女はカウンターにのせたバッグから一本だけ煙草を抜き出すとくわえた。；私は、折れそうになつた椿の枝を一本雪から抜き出してそこで一休みした。；だれかがわたしの下着のなかに手を入れ、カードを抜き出していった。；特定のパケットを抜き出した後URL単位でブロックする2段階の方式。；それが風船の空気と一緒に抜き出されたので、あんな匂いがしたのでしょう。；また以下のように、一つの筋で通せる部分を抜き出して上演することもある。；八百六十首の中から、新しく百七十首を抜き出したことになる。；彼はシャツの下の自分の拳銃を抜き出す機会を狙っていた。；なにかカードのようなものを抜き出し、無言でぼくの手を取り、握らせた。；主蒸留塔の途中の段のうち2・3か所からも液体の抜き出しがなされる。；最後に一巻の書物を抜き出して、これを開き、手に持ったまま窓際に立った。；彼は部屋の奥まで行き、本棚から大きな百科事典のような本を抜き出した。；いずれのデータも欧米のもので、しかも都合のいい部分だけ抜き出している。；ひょいと床脇の地袋を開け桐の箱を取り出すと、一本の軸を抜き出した。；近ごろは頭を切断せずに全身を抜き出すことができるようになった。；揺れる機体から風の向きだけを抜き出すと、確かにそんなパターンがあった。；ずっ、と重い音を立てて自分自身をシエルのお尻の穴から抜き出した。；長い腕をのばして一冊とると、抜き出して更にくわしくしらべはじめた。；手が左内ポケットの上で止まり、中から白いビニール包みを抜き出した。</t>
        </is>
      </c>
      <c r="J6490">
        <f>HYPERLINK("https://www.weblio.jp/content/抜き出す", "词义详情")</f>
        <v/>
      </c>
      <c r="K6490">
        <f>HYPERLINK("https://yourei.jp/抜き出す", "查看例句")</f>
        <v/>
      </c>
    </row>
    <row r="6491">
      <c r="A6491" t="inlineStr">
        <is>
          <t>抜きん出る</t>
        </is>
      </c>
      <c r="B6491" t="inlineStr">
        <is>
          <t>成功</t>
        </is>
      </c>
      <c r="C6491" t="inlineStr">
        <is>
          <t>読み方：ぬきんでる
［動ダ下一］［文］ぬきん・づ［ダ下二］《「ぬ（抜）きい（出）ず」の音変化》
１ひときわ高く出る。「他に—・でた長身」
２ひときわすぐれる。秀でる。「衆に—・でた才能」
３選び出す。
「成斎は用人格に—・でられ」〈鴎外・渋江抽斎〉
４そのことに人一倍はげむ。
「日夜に丹誠を—・でて」〈芥川・地獄変〉</t>
        </is>
      </c>
      <c r="D6491" t="inlineStr">
        <is>
          <t>率いる；超える；光る；越える；突出</t>
        </is>
      </c>
      <c r="H6491" t="n">
        <v>29</v>
      </c>
      <c r="I6491" t="inlineStr">
        <is>
          <t>それだけ、田辺のテクニックが抜きん出ていたと言うべきかもしれない。；町工場とは言っても、近隣では抜きん出て広いスペースを持っている。；他に抜きん出ていたと思われるのは、中国書画および刀剣の蒐集である。；同期はもちろん前後の同輩の中では抜きん出た存在になっていた。；英和辞典にも「唯一抜きん出て並ぶ者なし」の訳で掲載されたことがある。；そこまで抜きん出た馬鹿で、どうやって世の中渡っていくんだよ。；剣を取っては私とても、戦さ好きなトロイア勢中でも抜きん出ている者だ。；オレは周囲から頭一つ抜きん出た視界で、色眼鏡越しに状況を眺めやった。；当時のバンドの中でも抜きん出た演奏力を持つバンドとも評された。；これらの組織の中で二人の人物が抜きん出ていた。；ザウバー・メルセデスが抜きん出た強さでダブルタイトルを獲得した。；こういう組織に入ってる連中の常で、自分と同じレベルの者より抜きん出て見せたいのだ。；これはプロ野球選手の球速としては、決して抜きん出たものではない。；力の抜きん出た選手がプロをめざすのは当然だが、何も遠くに修業に出る必要はない。；彼は自分でも、人びとの中で抜きん出るのは、そう遠い先のことではないと思っていた。；見わたしてみても抜きん出て高い屋根はなかった。；ある男が別の男に対して優位に立つ、あるいは一人の男が男の集団の中で抜きん出る。；一般の人々の中に入ると、ぼくたちの体力も体格も、やはり一段抜きん出ていた。；身長は一九〇センチメートル近くあるのだろう、抜きん出て高い場所に頭がある。；同級の性能は、当時の同クラスの艦の中で抜きん出ていた。；まえのチームのときなんか、僕はもっと抜きん出ていた。；こと剣力に於いては、十侯にあってシャスターは抜きん出ている、と。；ソニーのビデオに関する技術は、世界の家電業界でも抜きん出ていた。；クラスのほかの生徒達は二人が抜きん出ていることを黙認した形で、二人と争うことなどは考えても見なかった。；まず頭一つ二つのレベルではなく、完全に上半身丸ごと他の人たちより抜きん出ていた。；世界的に見ても使用者が少ない上、演出の緻密さが抜きん出ていることで注目された。；その歌は決して下手ではないものの、抜きん出て優れているとも言いがたいものだった。；純粋な選手としての才能では特別に抜きん出たものを持たない凡才には、こんな努力も必要だったのだ。；伝えられるところによれば、抜きん出た狙撃の名手だったという。</t>
        </is>
      </c>
      <c r="J6491">
        <f>HYPERLINK("https://www.weblio.jp/content/抜きん出る", "词义详情")</f>
        <v/>
      </c>
      <c r="K6491">
        <f>HYPERLINK("https://yourei.jp/抜きん出る", "查看例句")</f>
        <v/>
      </c>
    </row>
    <row r="6492">
      <c r="A6492" t="inlineStr">
        <is>
          <t>抜く</t>
        </is>
      </c>
      <c r="B6492" t="inlineStr">
        <is>
          <t>成功</t>
        </is>
      </c>
      <c r="C6492" t="inlineStr">
        <is>
          <t>読み方：ぬく
［動カ五（四）］
１中にはいっているもの、はまっているもの、刺さっているものを引っ張って取る。「刀を—・く」「歯を—・く」「とげを—・く」
２中に満ちていたり含まれていたりするものを外へ出す。「浮き袋の空気を—・く」「プールの水を—・く」「力を—・いて楽にする」
３中にはいっている金品をこっそり盗み取る。「車中で財布を—・かれた」「積み荷を—・かれる」
４多くのものの中から必要なものを選び取る。全体から一部分を取り出す。「書棚から読みたい本を—・く」「秀歌を—・いて詞華集を編む」
５今まであったもの、付いていたものを除き去る。不要のものとして取り除く。「染みを—・く」「籍を—・く」「不良品を—・く」「さびを—・いたにぎりずし」
６手順などを省く。また、それなしで済ませる。省略する。「仕事の手を—・く」「朝食を—・く」
７前にいる者や上位の者に追いつき、さらにその先に出たり、その上位になったりする。「先頭の走者を一気に—・く」「すでに師匠の芸を—・いている」
８新聞報道やテレビ報道などで、他社に先駆けて特ダネを報道する。すっぱ抜く。「スクープを—・く」「他紙に—・かれる」
９力などが他よりすぐれている。基準よりも上である。「実力が群を—・いている」
10（「貫く」とも書く）突き通して向こう側へ出るようにする。一方から他方へ通じさせる。つらぬく。「山を—・いてトンネルをつくる」「一、二塁間を—・くヒット」
11型にはめて、ある形として取り出す。また、ある部分だけ残して他の部分を染める。「ハート形に—・く」「紫紺の地に白く—・いた紋」
12攻め落とす。「城を—・く」「堅塁を—・く」
13和服の着方で、抜き衣紋にする。「襟を—・く」
14囲碁で、相手の死んだ石を取る。
15（動詞の連用形に付いて）そのことを最後までする。しとおす。また、すっかり…する。しきる。「難工事をやり—・く」「がんばり—・く」「ほとほと困り—・く」
[可能]ぬける
［動カ下二］「ぬける」の文語形。
[下接句]足を抜く・荒肝(あらぎも)を抜く・息を抜く・生き馬の目を抜く・生き肝を抜く・一頭地を抜く・肩を抜く・気を抜く・群を抜く・尻毛(しりげ)を抜く・筋骨(すじぼね)を抜かれたよう・月夜に釜(かま)を抜かれる・手を抜く・度肝を抜く・毒気(どっけ)を抜かれる・鼻毛を抜く・山を抜く</t>
        </is>
      </c>
      <c r="D6492" t="inlineStr">
        <is>
          <t>抜く手も見せ；抜くべから；抜くべき；抜く手もみせ；抜く間もなく</t>
        </is>
      </c>
      <c r="E6492" t="inlineStr">
        <is>
          <t>出す；除く；引く；排除；カット</t>
        </is>
      </c>
      <c r="F6492" t="inlineStr">
        <is>
          <t>ぶち抜く；振り抜く；やり抜く；ひき抜く；掘り抜く</t>
        </is>
      </c>
      <c r="H6492" t="n">
        <v>29</v>
      </c>
      <c r="I6492" t="inlineStr">
        <is>
          <t>この両数は5001形を抜いて普通系車両の中で最大勢力となっている。；他の軍隊組織と比較すればナチス親衛隊の幹部の若さは群を抜いていた。；将軍は自ら剣を抜いて戦ったが、最後には折れた剣を捨てて降伏した。；日本では種子を抜いて乾燥させたものが市場に出回っていることが多い。；当初は下働きが主体だったが、それでも一切手を抜かず仕事をしていた。；石鑑はこれに従ったが、髪を抜かれた長史はこの一件を石虎へ報告した。；特に3年夏は山口県予選から準決勝まで全ての試合を一人で投げ抜いた。；俺達が無理に抜こうとすれば その瞬間に接近戦を仕掛けられて負ける!；わたしはそういう家からかの女を抜くためにどのくらい骨を折ったろう。；女性の場合は眉毛を描くため、全て抜いたり剃り落としている人もいる。；また、この数週間後には治療のため前歯を全て抜くことも決定していた。；さすがにすぐさま腰の剣を抜こうとしたが、王女はそうはさせなかった。；決勝終了後、抜いた敵車の数と完走時は残り時間がスコアに加算される。；又他の者は夕飯を抜く事を強制され、そして或者は、打たれさへもした。；江戸後期以降は眉を剃る、または抜いたあと眉を描かない場合が多い。；の使い方にすっかり度肝を抜かれた形で誰一人声を立てる者もなかった。；手も顔も血の気が引いて、少しでも気を抜こうものなら吐きそうだった。；魚や花等を氷に閉じ込める例があるが、魚の場合は血を抜く必要がある。；騎士は慌てて腰の剣を抜こうとしたが、そこへ三人の集中攻撃が炸裂する。；そのため、レースは思わぬ展開や抜きつ抜かれつのドラマを生んでいる。；それがランニングの競走のような形になり、必死に抜きつ抜かれつする。；もしこれで嘘をついていることが判明した場合、舌を抜かれてしまうという。；男はおれの方に身体を反転させながら腰から銃を抜こうとしていた。；池の水を全て抜く作業の過程では、底から複数の焼夷弾が発見されている。；一番確かなのは水を抜くなりして、間違いなく全個体を確認することである。；「おふざけでないよ」 女の右の手は頭にかかって黒いピンが抜かれた。；怪我せず、一年間投げ抜くための基礎はその3年間で作ったと思うから。；出場する選手もまた、怪我を恐れて手を抜いたプレーが目立つようになった。；そのため少量の炭で要領よく色や味を抜く炭掛けの技術が発達していた。</t>
        </is>
      </c>
      <c r="J6492">
        <f>HYPERLINK("https://www.weblio.jp/content/抜く", "词义详情")</f>
        <v/>
      </c>
      <c r="K6492">
        <f>HYPERLINK("https://yourei.jp/抜く", "查看例句")</f>
        <v/>
      </c>
    </row>
    <row r="6493">
      <c r="A6493" t="inlineStr">
        <is>
          <t>脱ぐ</t>
        </is>
      </c>
      <c r="B6493" t="inlineStr">
        <is>
          <t>成功</t>
        </is>
      </c>
      <c r="C6493" t="inlineStr">
        <is>
          <t>読み方：ぬぐ
［動ガ五（四）］《古くは「ぬく」》
１身につけていたものを取り去る。「コートを—・ぐ」「靴を—・ぐ」「かぶとを—・ぐ」
２（女優などが演技や撮影のために）裸になる。「とうとう—・いだ清純派女優」
[可能]ぬげる
［動ガ下二］「ぬげる」の文語形。
[下接句] 逢(お)うた時に笠を脱げ・兜(かぶと)を脱ぐ・裃(かみしも)を脱ぐ・仮面を脱ぐ・シャッポを脱ぐ・肌を脱ぐ・一肩脱ぐ・一肌脱ぐ・諸肌(もろはだ)を脱ぐ・草鞋(わらじ)を脱ぐ</t>
        </is>
      </c>
      <c r="D6493" t="inlineStr">
        <is>
          <t>脱ぐ間もなく</t>
        </is>
      </c>
      <c r="E6493" t="inlineStr">
        <is>
          <t>脱衣</t>
        </is>
      </c>
      <c r="H6493" t="n">
        <v>29</v>
      </c>
      <c r="I6493" t="inlineStr">
        <is>
          <t>そんなにいろんなものを脱いだところで別段役にも立つまいではないか。；友は先わが衣の汚れたるを脱がしめ、わが旅の汗を風呂に流がさしめぬ。；特に靴が濡れたり泥だらけになったりする雨の季節は靴を脱ぐことが多い。；それだけのことをやった後、脱がせた服を持って、その場を離れました。；しかし靴は、普通ならばあの部屋の入口で脱いで上るようになっている。；だが覆面を脱ぐことはせず、男は手にした剣をまっすぐ影山へと向けた。；靴を脱いで机を叩き、我々の抗議がさらに大きくなるようにしたのだ。；朝になって服を脱ごうとして、清潔な服が用意されているのに気づいた。；彼は外套も脱がないで立ったまま、ポケットからなにか取り出していた。；下着姿になり、脱いだ服を片手に持ち、彼女は奥の階段を駆け上がった。；死体の身元をすぐには知られないように、服を脱がせたのもまずかった。；机の前の小さな椅子に腰をおろすと、和代が服を脱ぐ音が聞こえて来る。；着物を脱ぐ間に、世話に立ったつやに葉子はこうようやくにしていった。；着物を脱ぐ間に、世話に立ったつやに葉子はこうようやくにして言った。；左の腕は寝衣を脱いでいるが右の腕のほうはまだ袖の中にはいっていたのである。；セミョーンが傍へ行って、笑顔を作って帽子を脱いだとき、彼は言った。；ふたりはコートを脱ぎ、さてつぎにはどんなことが起こるかを考えた。；部屋へ上っても、服を脱ぐ元気もなく、ペタッと畳の上に座ってしまう。；「これを脱ぐなという指示を受けている」 役人がわたしの方を向いた。；とるものもとりあえずにぼくは服を脱ぎ、調子上々の姿を彼女に見せた。；それでかれは四十年来着てきた重苦しい服のうちいくつかを脱ぎすてた。；戦さがすめば、脱がせて、また家の宝としてしまっておくのですからね。；服を脱がせるとき、女の一人がわざと隅田の跳ねあがった部分に触れた。；けれども女の着物を脱がせながら、否定の言葉を口にする男はいないだろう。；私は、服を脱ぐときも着るときも娘たちの前でやるわけにはいかない。；脱がせた服はベッドの上に置くか、カウチの上に置くかするところだった。；それをちょっと脱ぐだけで百万なんて言われたら悲しくなってしまう。；彼女は丁度朝の散歩から帰って帽子を脱ぎに室へ上った所であった。；着替えもまだだが、一応は女子がいる前で服を脱ぐわけにもいかない。</t>
        </is>
      </c>
      <c r="J6493">
        <f>HYPERLINK("https://www.weblio.jp/content/脱ぐ", "词义详情")</f>
        <v/>
      </c>
      <c r="K6493">
        <f>HYPERLINK("https://yourei.jp/脱ぐ", "查看例句")</f>
        <v/>
      </c>
    </row>
    <row r="6494">
      <c r="A6494" t="inlineStr">
        <is>
          <t>拭う</t>
        </is>
      </c>
      <c r="B6494" t="inlineStr">
        <is>
          <t>成功</t>
        </is>
      </c>
      <c r="C6494" t="inlineStr">
        <is>
          <t>読み方：ぬぐう
［動ワ五（ハ四）］
１ふいてきれいにする。「汗を—・う」「涙を—・う」
２汚点などを除き去る。また、消し去る。「汚名を—・う」「無責任の感を—・いきれない」
→拭(ふ)く［用法］
[可能]ぬぐえる</t>
        </is>
      </c>
      <c r="D6494" t="inlineStr">
        <is>
          <t>拭うべから</t>
        </is>
      </c>
      <c r="E6494" t="inlineStr">
        <is>
          <t>拭く；拭い去る；拭き掃除；拭き取る；拭きとる</t>
        </is>
      </c>
      <c r="H6494" t="n">
        <v>29</v>
      </c>
      <c r="I6494" t="inlineStr">
        <is>
          <t>涙を、力をこめて拭うと、もう坂を上って来る父と娘の姿は消えていた。；それでも背中から武器が飛んでくるのではないかという恐怖は拭えない。；いつからか浮き出ていた額の汗を拭ってから、食事に集中しようとする。；わたしはグルロウズ師がよくやっていたようにマントの端で額を拭った。；食事の際の口直しや皿のソースを拭って食べるためにパンが提供される。；その涙を両手で拭った時には彼女は既にいつもの調子に戻っていた。；総江はただ何も言はずに、多次郎の泥だらけな足を丁寧に拭いてやつた。；音をたてないように気をつけて、窓についた水滴の曇りを左手で拭った。；君の涙をすぐ拭ってやるなどいうことは、僕などには出来ないだろう。；それを拭おうともせずに彼女は、自分の胸をシッカリと掻き抱いていた。；ぼくは鼻の下が濡れていることに気づいて、それで拭うと黒く染まった。；そして震える手を上げ、やはり震えている指で、汗に濡れた顔を拭った。；僕がそう言うと、姫路さんは目元を拭っていつもの笑顔を見せてくれた。；肉体の憶えている痛みは、人にとっては拭うことのできないものなのか?；真九郎は柱に背を預けると、流れる汗を拭ってから、傷口に手をやった。；しかしもし何かのついでにその血が拭い去られたならば、何にもならない。；充郎と話すたびに、私は彼から拒否されている感じを拭うことができない。；結婚したのは僕の意志もあってのことだが、やはりそういう印象を拭えない。；女中がもってきた新らしいタオルで、濡れた髪と肩とを拭いてやった。；彼女の額に載せた濡れ手拭は自然と彼女の顔の白いものを拭い落した。；ブリッジで三人は、ズールーが涙の流れる目を拭いているのを見つけた。；それでも自分は涙を拭ってそこから立ち上がらなければならないんだ。；たとえば手が涙を拭うように動けば、面はすでに泣いているのである。；彼はまた、お三輪の見ている前で、食堂の内にある食卓の上までも拭いた。；直郎は額の血を拭おうともせずに、水を滴らせる岩の上に座りこんでいた。；頬にひと筋、暖かいものが伝ったのを感じたが、拭うことはしなかった。；その燈火の下で竜之助は、秋の水の流れるような刀を拭うておりました。；しかし夫は苦しそうに額の汗を拭いながら、こう繰り返すばかりである。；ときどき窓や鏡の前に立ちどまって、ゆっくりとハンカチで首を拭いた。</t>
        </is>
      </c>
      <c r="J6494">
        <f>HYPERLINK("https://www.weblio.jp/content/拭う", "词义详情")</f>
        <v/>
      </c>
      <c r="K6494">
        <f>HYPERLINK("https://yourei.jp/拭う", "查看例句")</f>
        <v/>
      </c>
    </row>
    <row r="6495">
      <c r="A6495" t="inlineStr">
        <is>
          <t>抜け出す</t>
        </is>
      </c>
      <c r="B6495" t="inlineStr">
        <is>
          <t>成功</t>
        </is>
      </c>
      <c r="C6495" t="inlineStr">
        <is>
          <t>読み方：ぬけだす
［動サ五（四）］
１こっそりその場を離れて外へ出る。抜け出る。「宴会を—・す」
２競っているものの中から、一つが抜けて先へ行く。「混戦から—・す」
３好ましくない状態から離れ出る。「スランプから—・す」
４抜けはじめる。「毛髪が—・す」</t>
        </is>
      </c>
      <c r="D6495" t="inlineStr">
        <is>
          <t>抜け出すべく</t>
        </is>
      </c>
      <c r="E6495" t="inlineStr">
        <is>
          <t>率いる；脱出；逃げる；逃亡；逃走</t>
        </is>
      </c>
      <c r="F6495" t="inlineStr">
        <is>
          <t>こっそり抜け出す；そっと抜け出す；好位から抜け出す；直線半ばで抜け出す</t>
        </is>
      </c>
      <c r="H6495" t="n">
        <v>29</v>
      </c>
      <c r="I6495" t="inlineStr">
        <is>
          <t>箱型から抜け出したステージ型のものもあり、宗教色のないものもある。；さぼりたいときにクラスを抜け出すのには十分な程度に気分が悪くなる。；これで我々はなんとかやみくろたちの国から抜け出すことができるのだ。；ワッデルは小さい頃から、よく学校を抜け出して野球をしていたという。；女を買って二階へ上がって、何もしないで部屋を抜け出すことになる。；レースでは後方の内に控え、直線もそのまま最内から抜け出して優勝した。；スタートから好位を確保、直線にてスパートして抜け出し先頭に立った。；二人が知らないうちに、虫は巨大化し、ガラス容器から抜け出していた。；あたしが力になれれば良かったんだけど、一人で抜け出すのがやっとで。；その夜、リディアは父に事情を話し、そっと屋敷を抜け出すことにした。；それからはメモの指示どおりに行動して、披露宴を抜け出したのである。；その静寂から抜け出そうとするように、ユミちゃんが最初に声を発した。；クックは最終的に開けた海域に抜け出し、さらに南に行くことができた。；しかし連覇を狙った天皇賞は内から抜け出すことができず3着に敗れた。；戦いで反乱者の多くは死に、ロックは一人抜け出してブランのもとに行く。；その後は進学した日本体育大学ではライン裏への抜け出しを武器に活躍した。；しかし私にはこの地獄から抜け出すことがどうしてもできません。；そうかといって、われわれだけでここを抜け出すわけにもいかない。；でも残念だけれど、私にはこの場所から抜け出すことはできないの。；この二人では上がった部屋を抜け出すなどという芸当ができるわけがない。；夜、闇に紛れて町を抜け出すこと自体はそれほど難しいことではなかった。；魔法が生きている世界、日々の退屈な生活から抜け出す少年達の物語。；ちょうど、相手の男が入口のドアを素早く抜け出そうとするところだった。；直線では最も内に潜って進出して追い上げ、先行馬を捉えて抜け出した。；夕方になるまで待ってそれから基地を抜け出すのがもっとも賢明々方法だ。；もっと違う人生があるんだと教えて、今の環境から抜け出すための手段を教えた。；どうあがいても、そこから抜け出すことができなくなってしまうのだ。；アデイルがいなければ、抜け出す機会もほとんどないに決まっているのだ。；まるであらゆる苦痛が身体から抜け出していくような気がする。</t>
        </is>
      </c>
      <c r="J6495">
        <f>HYPERLINK("https://www.weblio.jp/content/抜け出す", "词义详情")</f>
        <v/>
      </c>
      <c r="K6495">
        <f>HYPERLINK("https://yourei.jp/抜け出す", "查看例句")</f>
        <v/>
      </c>
    </row>
    <row r="6496">
      <c r="A6496" t="inlineStr">
        <is>
          <t>抜ける</t>
        </is>
      </c>
      <c r="B6496" t="inlineStr">
        <is>
          <t>成功</t>
        </is>
      </c>
      <c r="C6496" t="inlineStr">
        <is>
          <t>読み方：ぬける
［動カ下一］［文］ぬ・く［カ下二］
１中にはまっていたものや、ついていたものが離れて取れる。「歯が—・ける」「栓が—・ける」「髪の毛が—・ける」
２中に満ちていたり含まれたりしていたものが外へ出る。「タイヤの空気が—・ける」「気の—・けたビール」「臭みが—・ける」
３押している状態のまま、押す力が消える。「ブレーキが—・けて空走する」
４ある傾向・習慣・くせや力などがなくなる。「怠けぐせが—・けない」「疲れが—・ける」「腰が—・ける」
５本来あるべきもの、必要なものが漏れたり欠けたりしている。「名簿から名前が—・けている」「主語が—・けている」
６（「脱ける」とも書く）
㋐それまでいた場所や、属していた組織・仲間から離れる。「座敷を—・ける」「組合を—・ける」
㋑しばらくの間だけ自分の部署を離れる。「仕事を—・けて人に会いに行く」
㋒ある場所・状況から逃れ出る。脱する。「危ないところを無事に—・ける」「最悪の状況から—・ける」
㋓言いつくろって責任を免れる。言い逃れる。
「左様(そう)—・けてはいけぬ、真実の処を話して聞かせよ」〈一葉・にごりえ〉
７その所を通って向こう側へ出る。一方の側から他方の側へ通って出る。通り抜ける。「打球が右中間を—・ける」「トンネルを—・ける」
８（多く「ぬけた」「ぬけている」の形で）知恵が十分に働かない。気がきかずぼんやりしている。足りない。「あの人はどこか—・けている」「間(ま)の—・けた話」
９（「ぬけるような」「ぬけるように」の形で）隔てがなくなり、どこまでも続いている。透き通っている。「—・けるような青空」「—・けるように白い肌」
10他が及ばないほどすぐれている。ひいでる。抜きんでる。
「官(つかさ)位高くのぼり、世に—・けぬる人の」〈源・絵合〉
[用法]ぬける・おちる——「名簿に君の名が抜けて（落ちて）いたよ」「この記事には大切な部分が抜けて（落ちて）いる」など、あるべきものが欠けている意では相通じて用いられる。◇「抜ける」は、中にあるものがなくなる、外に出る意に重点がある。「くさみが抜ける」「魂が抜けたよう」「気の抜けたサイダー」「歯が抜ける」など。◇「落ちる」は付いていたものが取れる意に重点がある。「洗うと色が落ちる」「憑(つ)き物が落ちる」「がんこな油のしみがきれいに落ちた」などと使う。</t>
        </is>
      </c>
      <c r="D6496" t="inlineStr">
        <is>
          <t>抜けるような青空；抜けるとすぐ；抜けるような白い；抜ける細い；抜けると再び</t>
        </is>
      </c>
      <c r="E6496" t="inlineStr">
        <is>
          <t>出る；通過；通る；脱出；経過</t>
        </is>
      </c>
      <c r="F6496" t="inlineStr">
        <is>
          <t>駈け抜ける；擦り抜ける；言い抜ける；勝ち抜ける；抜ける幹線道</t>
        </is>
      </c>
      <c r="H6496" t="n">
        <v>29</v>
      </c>
      <c r="I6496" t="inlineStr">
        <is>
          <t>音抜けが良く印象に残りやすいことから多用されたことが見受けられる。；つまり上の年齢層が抜けて、新規の若いファンが加わっていたことになる。；古いビルの為に券売機を入れると底が抜けるおそれがあったためとされる。；自分、一度腕挟んでもらったんですけど、何やっても抜けないんです。；ガルシアは「気の抜けたビール」を符牒にして情報入手を依頼していた。；土・風・火・水の四つの精霊界があり、それぞれを抜けて天上界へ至る。；初列風切の内側半分が生え変わると、最も外側の三列風切が抜け始める。；全員がゲームから抜けるか脱落するかした段階でゲームは終了である。；ただし、能力が切れると魂が抜けてしまいただの人形になってしまう。；抜けているものがあったりバランスが悪かったりすれば調整してください。；普段は確実に銃を保持し、使用時には素早く銃を抜けることが要求される。；また腹部に色抜けが見られるため、緑や青の地色のものは存在しない。；歴史的にも現在的にも、最も重要な道は東の仙台平野に抜けるものである。；中央に穴が開き、底が抜けるまで使用されたことがうかがえる資料もある。；開花直後はピンク色をしているが、徐々に色が抜けて白へと変化する。；発射されると気球からは徐々に水素ガスが抜け、気球の高度は低下する。；トンネル抜け前後で粒子のエネルギーは変わらないが確率振幅は減少する。；そこには北部バージニア軍の一部が山を抜ける道を守って待ち構えていた。；この道路はネグロ山付近をトンネルで抜け、東に向かって川沿いから去る。；その後 目の表面を通り、涙道を抜け、鼻をくだって最後に喉で吸収される。；この異常な現象の先のトンネルを抜けると、そこは西部時代のアメリカだった。；モーガンと約700名は森を抜ける細い道を伝って囲みを破って逃げた。；喧嘩っ早い性格である一方で、どこか抜けた所があり、ファンから愛された。；門の向こうの長くない廊下を抜けると一旅が布陣できるほどの広さの広場がある。；勝利を知った境は、腰が抜けて立てなくなっていたという。；そして、目を抜けて再び暴風雨が訪れるときには、風向は逆になっている。；空港は大西洋に面しており、カラカスには間を隔てる山脈を抜けて行く。；ドラマのセリフは全部で4つあるうちの、1つ目と2つ目が抜けている。；但し完全に葉緑素が抜けている物は幽霊葉として鑑賞対象にはならない。</t>
        </is>
      </c>
      <c r="J6496">
        <f>HYPERLINK("https://www.weblio.jp/content/抜ける", "词义详情")</f>
        <v/>
      </c>
      <c r="K6496">
        <f>HYPERLINK("https://yourei.jp/抜ける", "查看例句")</f>
        <v/>
      </c>
    </row>
    <row r="6497">
      <c r="A6497" t="inlineStr">
        <is>
          <t>主</t>
        </is>
      </c>
      <c r="B6497" t="inlineStr">
        <is>
          <t>成功</t>
        </is>
      </c>
      <c r="C6497" t="inlineStr">
        <is>
          <t>読み方：あるじ
１一家の長。主人。「旧家の—」
２集団を統括する人。「一国一城の—」
３持ち主。「部屋の—」
４「饗設(あるじもう)け」に同じ。
「方違(かたたが)へに行きたるに、—せぬ所」〈枕・二五〉</t>
        </is>
      </c>
      <c r="D6497" t="inlineStr">
        <is>
          <t>主な勝ち鞍；主目的；主な目的；主機；主屋</t>
        </is>
      </c>
      <c r="E6497" t="inlineStr">
        <is>
          <t>父；君；先生；主に；神</t>
        </is>
      </c>
      <c r="F6497" t="inlineStr">
        <is>
          <t>事業主；主な産業；主體；主な舞台；主任務</t>
        </is>
      </c>
      <c r="G6497" t="inlineStr">
        <is>
          <t>主要；主人公；主人；主演；主催</t>
        </is>
      </c>
      <c r="H6497" t="n">
        <v>29</v>
      </c>
      <c r="I6497" t="inlineStr">
        <is>
          <t>提供されるサービスは主に計算処理とデータの保存・利用に大別される。；このような新しいアプローチは主にアメリカやイギリスで提唱された。；海水はその表面に波が立っていることが多く、これは主に風の作用である。；この高い金属存在量を説明するために、主に3つの理論が提唱されている。；現在の日本語で最も基本的な文字であり、主に次のような場面で用いられる。；現代では主に自身の性格やそれに基づいた相性を知るために利用する人がいる。；上の地図で不明瞭、または省略されている主な離島の所属は以下の通り。；主な海外で使用されている震度階級としては以下のようなものがある。；これは主に伝説と歴史に対するプラントの関心から生まれたものであった。；主に米国で使用される名称で、後述するテーブル筐体もこの一種とされる。；しかし、これ以降の時代には主に民衆から支持を得る形で小説が人気を得ていく。；主に国内農業で使用されるピックアップトラックや多目的車が製造されている。；第二次世界大戦以降は、主に第一次世界戦争と呼ばれるようになった。；当時は主に先輩や先生のモノマネなどで、共に校内の人気者だったという。；中小私鉄は主にJRの駅から離れた都市とJR駅を結ぶ役割のものが多い。；東京近郊の時計坂という町にある木造2階建ての建物で、本作の主な舞台。；サーバ用に使用される主なオペレーティングシステムには以下がある。；このマシンは主にそのハードウェアを中心に各種雑誌で広くレビューされた。；本シリーズに登場するアイテムは、主に次のように分類される。；部品事業部が展開していた主にホビー向けの流れを受けたシリーズ。；この期間の主な開発のひとつがタイムシェアリングシステムである。；主に宗教儀式やヒーリングのために演奏していたと考えられている。；売買対象は主に漫画や文庫本など大量出版され希少価値の低い書籍である。；現代医学の立場から言えば、女性は主に婦人科系の役割が重要である。；今日はゲール文字の一部として主に装飾的な目的で使用されている。；この氾濫原だけが居住に適しており、主な活動はナイル河畔で行われた。；サーバ機能を提供する主なソフトウェアの種類には以下がある。；主に以下のように分類されるが、厳密に区別できるわけではない。；同学園の生徒は当駅が設置される前までは主に田端駅か日暮里駅を利用していた。</t>
        </is>
      </c>
      <c r="J6497">
        <f>HYPERLINK("https://www.weblio.jp/content/主", "词义详情")</f>
        <v/>
      </c>
      <c r="K6497">
        <f>HYPERLINK("https://yourei.jp/主", "查看例句")</f>
        <v/>
      </c>
    </row>
    <row r="6498">
      <c r="A6498" t="inlineStr">
        <is>
          <t>盗み～</t>
        </is>
      </c>
      <c r="B6498" t="inlineStr">
        <is>
          <t>成功</t>
        </is>
      </c>
      <c r="C6498" t="inlineStr">
        <is>
          <t>読み方：ぬすみ
人の物を盗むこと。「—を働く」</t>
        </is>
      </c>
      <c r="D6498" t="inlineStr">
        <is>
          <t>略奪；泥棒；窃盗；横領；掠奪</t>
        </is>
      </c>
      <c r="H6498" t="n">
        <v>29</v>
      </c>
      <c r="I6498" t="inlineStr">
        <is>
          <t>この異常な犯罪の動機がなんにせよ、盗みの線は外してもいいでしょう。；ターピンは、この馬盗みが原因となって裁判にかけられることになった。；盗みや労働寄生が恒常的に行われるかどうかで四つの段階を区別できる。；捕虜たちはドイツ兵の目を盗みながら手に入れたラジオで戦況を確認していく。；普段は不二子に夢中であり、彼女にだまされて盗みを働くことが非常に多い。；彼が今計画中の盗みを目撃して、それを基に小説を書いてみないかというのだ。；主人公である少年、沖田昇一は盗みや喧嘩等の小悪事を繰り返していた。；先の一度は黄金を盗み、後の一度は人を殺した、ということになるのです。；一体何が起こったのか、神父は二つの盗みがあったことを指摘する。；賊はわしが彼の財宝を盗みとったことを知っているのかも知れない。；こんどはきさまを盗みだすのだ、といっているように思われたのです。；前々夜の盗みについては証拠が無いために栗山はその要求を拒否した。；問題となるのは、どのような方法でサイン盗みが行われるかである。；金を盗みだした後、追う警官隊から逃れタクシーで妻子の待つ家へ向かう。；最初は娘の方がフェンスを越えて盗みに入り、最後には壁に穴を開けて侵入した。；人形がこれを盗みにくるなんて、ばかなことがあるはずはないのだ。；役者のハーマンが盗みを実行したのはきっと金に目がくらんだためだ。；ドバルは名画を盗みとった強盗犯人と手紙のやり取りをしていたのです。；あの時彼は盗みを働いたが、自分じゃそれを知らないんですな。；まさか私が夜中にそっと盗みに来ると思った訳でもないだろう。；盗みや踏み倒しで得た金で佐野は、倉田百三と待合に行って遊んでいた。；誰かが、私の通帳で二百五十円の金を盗み取ったに違いないのである。；人を殺しては死体を盗み、それを蝋で固めて人形にしてしまうのだ。；私も中学時代の親の目の盗み描きが一番幸福で御座いましたといっていいと思う。；その名の通り、主人公たちによる強盗や盗みを主題とする作品を指す。；ここまでくると、盗みの話も一つも不純なことではなくなってしまう。；漁夫二の妻こいつはいつもうろうろして物盗みをするということだよ。；ある日サラとベッキーは盗みの疑いをかけられ、寄宿学校から逃亡する。；その人は彼自身が考えた盗みをするために彼のカフスボタンを盗んだ。</t>
        </is>
      </c>
      <c r="J6498">
        <f>HYPERLINK("https://www.weblio.jp/content/盗み～", "词义详情")</f>
        <v/>
      </c>
      <c r="K6498">
        <f>HYPERLINK("https://yourei.jp/盗み～", "查看例句")</f>
        <v/>
      </c>
    </row>
    <row r="6499">
      <c r="A6499" t="inlineStr">
        <is>
          <t>盗む</t>
        </is>
      </c>
      <c r="B6499" t="inlineStr">
        <is>
          <t>成功</t>
        </is>
      </c>
      <c r="C6499" t="inlineStr">
        <is>
          <t>読み方：ぬすむ
［動マ五（四）］
１ひそかに他人のものを取って自分のものにする。「金品を—・む」
２他人の技・芸や考えなどをひそかに、また無断でまねる。「他人の論文を—・む」
３人に気づかれないように、何かをする。「人目を—・んで会う」
４わずかの時間をやりくりして、何かをする。「暇を—・んで読書する」
５野球で、盗塁をする。「二塁を—・む」
[可能]ぬすめる
[下接句] 生(せい)を偸(ぬす)む・人目を盗む・暇を盗む・骨を盗む・耳を掩(おお)いて鐘を盗む・目を盗む・禄(ろく)を盗む</t>
        </is>
      </c>
      <c r="D6499" t="inlineStr">
        <is>
          <t>盗むべき；盗むべく</t>
        </is>
      </c>
      <c r="E6499" t="inlineStr">
        <is>
          <t>奪取；泥棒；窃盗；失敬；横取り</t>
        </is>
      </c>
      <c r="H6499" t="n">
        <v>29</v>
      </c>
      <c r="I6499" t="inlineStr">
        <is>
          <t>お付きの者の目を盗むようにしなければ、行動の自由が無かったようだ。；それならば君の心臓は盗まれていないと帰納してよいじゃありませんか。；父が母の目を盗むようにして離れに足を運んでいたことを私は知っている。；何か盗もうと部屋の中を探しもしないで、やつが立ち去ったはずがない。；その途中、家族を殺されて牛を盗まれたと男がカルフーンに訴えてきた。；邸内へ不意に忍び入った者にはどうしても壁布を盗むことは出来ません。；しかし彼はこの頃から倉庫の物を盗む不正直な人間と評判だったという。；わたしの部下も、ソプターを盗むときにはこの方法を使ってきたのです。；そんな時間に、どうして盗まれるだろうとお分かりになられたのですか。；偶然通りかかった人からは貨物が見えないため、盗まれる可能性が低い。；浮浪者仲間は寝場所を宣言している段ボールを盗むようなことはしない。；行く当てもないルーは金目のものを盗むべく近くのホテルへと向かった。；室内は物色した形跡が認められたが、何を盗まれたかは判明しなかった。；自分で自分のものを盗む、すなわち被害者と犯人が同一人なのである。；しかし、わたし個人のものを盗む権利はあなたがたにもないはずですよ。；目を皿にして貪欲に盗もうとするときに初めて見えてくるものがある。；盗むにはいろいろ道具もいるし、それに折も見計わなくちゃならない。；単に盗むのではなく、何やら義賊的な行為のような気がしたからである。；もちろん彼も緑を盗むことに失敗したことに気は付いていたに相違ありません。；奇妙に思うかもしれませんが、今晩私の邸宅からある女に盗まれました。；クレイの剣の演技の途中にトラップが薬部屋の鍵を盗む手筈だからして。；敵は書類が盗まれたのを知っていますが、再び紛失したことは知りません。；叔父が盗まれたというと少し語弊があるが、当時の人は皆そういっていた。；そういう立場にあった父の目を盗む必要が、どうして兄にはあったのだろう。；盗む値打ちのあるものが入っていたなら、鍵がかかっていたはずだからね。；彼らは火星の研究所から盗まれた珍獣・ダイムの卵を探しているという。；その結果、韓国は中国がキムチの文化を盗もうとしていると主張している。；組織の品を盗む可能性が低く、都会の生活に慣れていないためだった。；同盟の誰がコンピュータに潜り込んで情報を盗むなんてことを考えつく?</t>
        </is>
      </c>
      <c r="J6499">
        <f>HYPERLINK("https://www.weblio.jp/content/盗む", "词义详情")</f>
        <v/>
      </c>
      <c r="K6499">
        <f>HYPERLINK("https://yourei.jp/盗む", "查看例句")</f>
        <v/>
      </c>
    </row>
    <row r="6500">
      <c r="A6500" t="inlineStr">
        <is>
          <t>布</t>
        </is>
      </c>
      <c r="B6500" t="inlineStr">
        <is>
          <t>成功</t>
        </is>
      </c>
      <c r="C6500" t="inlineStr">
        <is>
          <t>読み方：きれ
［名］
１
㋐物の切れ端。「板の—」「布—」
㋑（「布」「裂」とも書く）織物を切ったもの。また、織物。布(ぬの)。「木綿の—」「余り—(ぎれ)」
㋒書画などの、古人の筆跡の断片。断簡。「高野—(ぎれ)」「古筆—(ぎれ)」
２刃物の切れぐあい。切れ味。「包丁の—がにぶる」
３
㋐頭脳や技術の働きの鋭さ。「頭の—のいい人」「技に—がない」
㋑投げた球の曲がりぐあいの鋭さ。「カーブの—がいい」
㋒さらっとして後に残らない口あたり。「—のいいウイスキー」
４
㋐水気などがなくなること。また、そのぐあい。「油の—がよくないフライ」
㋑付着していたものや残っていたものがなくなること。また、そのぐあい。「泡の—のよい洗剤」「痰(たん)の—をよくする薬」
５目じりの切れ込みのぐあい。「—の長い目」
６石材の体積の単位。一切れは1尺立方で、約0.028立方メートル。
７（「ぎれ」の形で）名詞の下に付き、そのものを使い切っている意を表す。「期限—」「在庫—」
８同類の中の末端の一人。はしくれ。
「望んで軍(いくさ)に立ってこそ男の—ともいふべけれ」〈浄・用明天王〉
［接尾］助数詞。
１切ったものを数えるのに用いる。「たくあん一—」「ようかん二—」
２江戸時代、一分金を数えるのに用いる。
「白銀五百匁二包み、小判二十五両一歩合わせて四十—」〈浄・二枚絵草紙〉
[下接語]板切れ・紙切れ・半切れ・一切れ・棒切れ・襤褸(ぼろ)切れ（ぎれ）当て切れ・有り切れ・歌切れ・裏切れ・恵比須(えびす)切れ・木切れ・錦(きん)切れ・小切れ・古(こ)切れ・古代切れ・古筆切れ・細(こま)切れ・時代切れ・竹切れ・裁ち切れ・継ぎ切れ・出切れ・共切れ・布切れ・端(は)切れ・古(ふる)切れ・名物切れ・寄せ切れ</t>
        </is>
      </c>
      <c r="D6500" t="inlineStr">
        <is>
          <t>布切れ(2%)；布片；布張り；布施；布團</t>
        </is>
      </c>
      <c r="E6500" t="inlineStr">
        <is>
          <t>素；生地；クロス；織物；織り</t>
        </is>
      </c>
      <c r="F6500" t="inlineStr">
        <is>
          <t>黒い布；赤い布；ぼろ布；ボロ布；防水布</t>
        </is>
      </c>
      <c r="G6500" t="inlineStr">
        <is>
          <t>布告；布教；布陣；布地；布施</t>
        </is>
      </c>
      <c r="H6500" t="n">
        <v>29</v>
      </c>
      <c r="I6500" t="inlineStr">
        <is>
          <t>その関係で最近では布・糸ともにカラフルな色合いの物も出てきている。；主に木の板で作られるが、一部にガラスや布・紙などを用いるものもある。；王がかごにかけられた布を取ると、中には赤いバラが入っていたという。；羊毛と布産業のための単位は、単位をそれらの商品に特有なものにした。；多くは着用者の身体を保護する役割が強い丈夫な布や皮革で作られている。；あて布を必要とするものや、まったくアイロン掛けができないものもある。；脚にはたくさんの鈴がついたベルトをつけ、白いハンカチ大の布を持つ。；また、イングランドでは二枚の布を胸に縫い付けることが義務化された。；ある日の夜、二つの布包みを咥えた一羽のコウノトリが飛行していた。；材料は羊毛や麻の繊維を編んだものや皮革や布でできたものなどがある。；なお外側の布がコットンのものは縮んでしまう可能性があり要注意である。；細長い布からなっており、様々なスタイルで体を包み込むようにまとう。；リボン類も布のものばかりでなくプラスチック類のものが登場した。；昭和末期でも地元の人は木綿布を買い求める時に寸模と呼んでいたという。；これらの布製品を洗濯したあと保管するための部屋はリネン室という。；かつて日本から移民が渡った地であり、日本語で布市とも称した。；経済的にも商業的にも非常に重要な地で、繊維業と布が名産であった。；座席表布は木の枝をモチーフとした紫系のジャガード織が採用された。；土地の面積に使われる反と、布の大きさを表す反とがある。；線である経と緯を交差させて面である布にする装置が機である。；一定の間隔ごとに色の異なる布を交互につないで作った幕をあるいはという。；部室には壁一面に布スクリーンが張ってあり、24時間上映可能である。；いくつかのスタイルでは、8m程度の布を必要とする場合もある。；枕は、そのまま用いずに薄い布でできた枕カバーで包んで使うことが多い。；また、古代ローマでは兵士がファカールという細い布を首に結んでいた。；表面に光を反射する加工のされた布のことをスパンコールと呼ぶ場合もある。；多くのアフリカ絵画や布の作品でさえ、3次元的に体験されるよう意図されている。；通常のミシンのような直線縫いはできず、布の端だけを縫うことができる。；絵画は次第に洞窟や建物の壁面から離れ、独立した板や布に描かれるようになった。</t>
        </is>
      </c>
      <c r="J6500">
        <f>HYPERLINK("https://www.weblio.jp/content/布", "词义详情")</f>
        <v/>
      </c>
      <c r="K6500">
        <f>HYPERLINK("https://yourei.jp/布", "查看例句")</f>
        <v/>
      </c>
    </row>
    <row r="6501">
      <c r="A6501" t="inlineStr">
        <is>
          <t>沼</t>
        </is>
      </c>
      <c r="B6501" t="inlineStr">
        <is>
          <t>成功</t>
        </is>
      </c>
      <c r="C6501" t="inlineStr">
        <is>
          <t>読み方：しょう
［常用漢字］　［音］ショウ（セウ）（呉）（漢）　［訓］ぬま
〈ショウ〉ぬま。「沼沢／湖沼」
〈ぬま〉「沼地／泥沼」</t>
        </is>
      </c>
      <c r="D6501" t="inlineStr">
        <is>
          <t>沼家(2%)；沼田城(2%)；沼博士；沼藺；沼津間</t>
        </is>
      </c>
      <c r="E6501" t="inlineStr">
        <is>
          <t>沢；湿地；沼地；湿原；沼沢地</t>
        </is>
      </c>
      <c r="F6501" t="inlineStr">
        <is>
          <t>毛沼；大きな沼；小さな沼；底無し沼；深い沼</t>
        </is>
      </c>
      <c r="G6501" t="inlineStr">
        <is>
          <t>沼田；沼津；沼沢地；沼津市；沼沢</t>
        </is>
      </c>
      <c r="H6501" t="n">
        <v>29</v>
      </c>
      <c r="I6501" t="inlineStr">
        <is>
          <t>彼女はエジプト王の病を治すために沼の中の花を取りに来たのだった。；館山市周辺の沼地区での研究が進んでいたことからその名が付けられた。；沼が赤く見えるのはその時の戦士達の血が多く流れたからだという。；それがセミプロ化への流れを作ったのではないか、と長沼は話している。；周囲の協力により、沼の水質が改善され多くの魚が見られるようになる。；実は鈴木の娘は河童が現れた沼で行方不明になっていた過去があった。；そして1991年には沼とその周辺区域を県の自然環境保全地域に指定。；沼の中から大蛇が臼ほどの大きな顔を出して八郎であることを告げた。；ただ沼や川での無理な採集がたたって、この頃から胸を病むようになる。；シュレックはフィオナと3人の子供たちと幸せに沼の家で暮らしていた。；古沼に対して最近まで沼だった場所であったことを示す地名であるという。；しかし、沼とその周囲の自然を保護しようとする者や自然保護団体が反発。；だが、沼を進む船が座礁し、ツアー客一行は船を捨てて森に上陸する。；熱帯雨林や湿潤林などに生息し、特に河川や沼の周辺に好んで生息する。；稚内市域で最大の沼であることから、俗に大沼と呼ばれるようになった。；このために生まれたのが現在の久喜菖蒲公園中央部に所在する昭和沼である。；世界を見る必要があると考えた両親は、ある日彼を沼から追い出してしまう。；張沼が少年を再び見かけた時、彼は殺人現場でスケッチをしていた。；木立に囲まれた池や沼などに生息し、市街地の公園の池でも見られる。；しかし船は沼の奥地へと絡め取られ、とうとう動けなくなってしまった。；地区内には農地、山地などが広がっているほか、地区内には鍋沼がある。；ここは、以前は飛行場であったが、自然の姿であった塩沼を復元している。；また、限定的ではあるものの、沼や小川などでの浮行能力を備えている。；メドックAOCの一部地域の広大な塩沼は塩の輸出にも貢献していた。；この記述から、同書が書かれた時は沼が祭祀の中心であったとも解される。；東側は樹林、旧集落を抜けた西側は牧草地で、天塩川に沿った沼も多い。；相撲の勝負で負けたことが原因で小文吾と対立関係となり妻の沼藺を離縁。；別説では沼の周辺に多くのウサギが生息していたためその名がつけられたとも伝えられている。；道中、この男は不運にも沼のそばで、突然雷に打たれて死んでしまう。</t>
        </is>
      </c>
      <c r="J6501">
        <f>HYPERLINK("https://www.weblio.jp/content/沼", "词义详情")</f>
        <v/>
      </c>
      <c r="K6501">
        <f>HYPERLINK("https://yourei.jp/沼", "查看例句")</f>
        <v/>
      </c>
    </row>
    <row r="6502">
      <c r="A6502" t="inlineStr">
        <is>
          <t>濡らす</t>
        </is>
      </c>
      <c r="B6502" t="inlineStr">
        <is>
          <t>成功</t>
        </is>
      </c>
      <c r="C6502" t="inlineStr">
        <is>
          <t>読み方：ぬらす
［動サ五（四）］
１ぬれた状態にする。「涙でほおを—・す」
２やっと暮らしを立てる。
「僅に尋中の教師に口は—・しても」〈魯庵・社会百面相〉
３色めかしいそぶりをする。
「威勢でおどし、文で—・し、色かへ品かへ口説きしを」〈浄・女楠〉</t>
        </is>
      </c>
      <c r="D6502" t="inlineStr">
        <is>
          <t>濡らすまい</t>
        </is>
      </c>
      <c r="E6502" t="inlineStr">
        <is>
          <t>浸す；潤す；浸ける；湿す；湿らす</t>
        </is>
      </c>
      <c r="H6502" t="n">
        <v>29</v>
      </c>
      <c r="I6502" t="inlineStr">
        <is>
          <t>上からも下からも熱が押し寄せ、歩いているだけで汗がシャツを濡らす。；夜になって音もなくあたりをびしょびしょに濡らす春の雨が降っていた。；彼女がドアを開けると「涙で顔を濡らした」ジョンがそこに立っていた。；殺される者が涙で頬を濡らしているのを見るくらい悲しいものはない。；子供たちが靴を濡らしてはいって来ると真っ赤になって怒ったものなのに。；髪を濡らして、その髪が自然に乾いても、友達はまだやって来なかった。；静ちゃんが濡らして納屋に掛けたまま持ってくるのを忘れたんですって。；緊張した表情で、水で濡らした指先を、三枚の切手の上へ持って行った。；多くの製品は、使用前に肌を水で良く濡らしておくことで効果が発揮される。；また、苔や敷石などを濡らすことで表情を作り庭を演出する効果もある。；そのために君のお尻を濡らしておいたんだが、気が付かなかったかい。；すると例の青年が私の部屋の前で、雨に髪を濡らしたまま待っているのだ。；しかし肩からの出血は止まるわけもなく、彼女の体を濡らし続けている。；涙は枯れることを知らず、後から後からこぼれ落ちて頬を濡らし続けた。；杯にまだ残っていた酒が、ズボンを濡らしたが浩一は拭こうとはしない。；汗っかきの彼は、それだけの動作で既に禿げ上がった額を濡らしていた。；さらには時の帝も興味を持ち、この茶碗から滴った水は御裾を濡らした。；窓ガラスを濡らしていく冷たい冬の雨を、私は意味もなく眺めている。；何人のボクサーがやられ、何人の空手家がズボンを濡らしたであろうか。；突き蹴り前進の際には、床を濡らす汗で転倒することさえあったほどだ。；細かな霧のようになった水滴が、たちまちイコの腕や脚を濡らし始めた。；波は後から後から押し寄せてきて、海岸の総縁に立つ彼の足を濡らしていく。；事実は大和の女郎花の中にも、袖を濡らしたがっている奴がうんとある。；それといくら汚しても濡らしてもいいから、ちゃんと手袋をつけること。；荷物のなかには、絶対に水に濡らしてはならないものが幾つか混じっていた。；数歩も行かないうちに汗が噴き出してポロシャツの背を濡らしはじめた。；ただ顔の部分から赤い血が流れて、コンクリートの床を濡らしていく。；手術が終わって窓の外を見ると、秋の冷たい雨が湘南の街を濡らしていた。；ソファに腰を下ろし、その人は額を濡らす汗を静かにハンカチで拭った。</t>
        </is>
      </c>
      <c r="J6502">
        <f>HYPERLINK("https://www.weblio.jp/content/濡らす", "词义详情")</f>
        <v/>
      </c>
      <c r="K6502">
        <f>HYPERLINK("https://yourei.jp/濡らす", "查看例句")</f>
        <v/>
      </c>
    </row>
    <row r="6503">
      <c r="A6503" t="inlineStr">
        <is>
          <t>塗り薬</t>
        </is>
      </c>
      <c r="B6503" t="inlineStr">
        <is>
          <t>成功</t>
        </is>
      </c>
      <c r="C6503" t="inlineStr">
        <is>
          <t>読み方：ぬりぐすり
患部の皮膚に塗る薬。塗布剤。</t>
        </is>
      </c>
      <c r="D6503" t="inlineStr">
        <is>
          <t>軟膏；膏；膏薬；軟膏剤；塗布剤</t>
        </is>
      </c>
      <c r="H6503" t="n">
        <v>29</v>
      </c>
      <c r="I6503" t="inlineStr">
        <is>
          <t>それではその塗り薬を持ってきていただいて、それを試みてみましょう。；誠人は子供のころから腹部に病気を抱えていてずっと塗り薬を使っていた。；一般に塗り薬と呼ばれている薬剤で、用途に応じて様々な剤型がある。；そのなかに、あのブラウンという男の持ってきた馬用塗り薬もありました。；塗り薬として使う地方もあるらしいけとど、口にすることはないんだ。；原因は肌荒れ用の塗り薬の可能性が高いと報道されている。；江原の痔がわるいときいて、塗り薬をもってきてくれた者もいた。；彼女は間に合わせの塗り薬を用いて、いくらか痛みを緩和していた。；メリング医師は、この匂いのきつい草木で飲み薬や塗り薬を調合するのだ。；マオリ人は本種の様々な部位を、飲み薬や塗り薬の形で怪我や病気の治療に用いていた。；すると動物たちは、この前に先生に作ってもらった薬をもっとほしいとか、塗り薬ができないかとか私にせがむのでした。；内容は塗り薬らしきチューブや包帯だが、実際には使用されていないために詳細は不明。；それとも、その塗り薬に何かの毒でも混じてありましたか、それはわたくしも存じません。；これに対し、アメリカでは塗り薬、クリーム、ジェルが多く使用される。；ふつうのお医者と同じように、丸薬や塗り薬を処方したり、折れた骨をついだりしていました。；塗り薬入りケーキの一件からはほとんど一ヶ月経っているので、アンがまた何か新たな騒ぎを引き起こしても不思議ではなかった。；このため切り傷などに貼り薬や塗り薬として処方した場合には高い効果を発揮することが期待できる。；アン、お前はあのケーキの香料に痛み止めの塗り薬を使ったんだよ。；おせんの顔の疵も塗り薬などしてだんだんになおって来た。；例えば1作目では塗り薬であることがゲーム内のメッセージで示され、また多くの作品ではガラス状の球体で描かれていることが多く、飲み薬として扱われている作品は少ない。；旅籠のあるじが、黒い塗り薬で冷やしてくれたが、あまり効目はなかった。；その塗り薬の匂いは無臭にも関わらず、誠人は臭い匂いがすると勘違いしていた。；「荷物はどうする」藤村はひどくしみる塗り薬に顔をしかめている。；魔女の塗り薬の成分は、いったいどんなものなのだろうか?；メンデスは自身が使用した乾癬予防の塗り薬が原因だと主張したが、処分が覆ることはなかった。；当時はまた、鯨脳油はごくわずかしかなかったので、灯火には用いずに、塗り薬や医薬にだけ使われていた。；塗り薬を入れるケースみたいだったが、きらきら光るビーズが蓋を飾っている。；楊愔が背腫を患うと、嗣明は練石の塗り薬を処方し、これを治癒させた。；彼女は左手に呪文を書いた札のようなものを持ち、もう一方の手を股間に入れて、塗り薬のようなものを陰部に塗っているのだ。</t>
        </is>
      </c>
      <c r="J6503">
        <f>HYPERLINK("https://www.weblio.jp/content/塗り薬", "词义详情")</f>
        <v/>
      </c>
      <c r="K6503">
        <f>HYPERLINK("https://yourei.jp/塗り薬", "查看例句")</f>
        <v/>
      </c>
    </row>
    <row r="6504">
      <c r="A6504" t="inlineStr">
        <is>
          <t>塗る</t>
        </is>
      </c>
      <c r="B6504" t="inlineStr">
        <is>
          <t>成功</t>
        </is>
      </c>
      <c r="C6504" t="inlineStr">
        <is>
          <t>読み方：ぬる
［動ラ五（四）］
１物の表面に塗料や液状のものなどをこするようにしてつける。「患部に薬を—・る」「パンにジャムを—・る」
２壁土や漆喰(しっくい)などをこすってつけて、壁や塀などをつくりあげる。「壁を—・る」
３おしろいをつけて厚化粧をする。「白くごてごて—・る」
４自分の罪や責任を他人に負わせる。「人の顔に泥を—・る」
「人ニ罪ヲ—・ル」〈和英語林集成〉
[可能]ぬれる</t>
        </is>
      </c>
      <c r="D6504" t="inlineStr">
        <is>
          <t>塗るべき</t>
        </is>
      </c>
      <c r="E6504" t="inlineStr">
        <is>
          <t>つける；塗装；付ける；彩；着色</t>
        </is>
      </c>
      <c r="F6504" t="inlineStr">
        <is>
          <t>赤く塗る；薄く塗る；白く塗る；厚く塗る；直接塗る</t>
        </is>
      </c>
      <c r="H6504" t="n">
        <v>29</v>
      </c>
      <c r="I6504" t="inlineStr">
        <is>
          <t>描かれた人物は多くは男性であり、体を赤く塗った姿で表現されていた。；それはパリでの車両とほとんど同じであったがこの時は赤に塗られていた。；男もそうすればわたしの太刀に、血を塗ることにはならなかったのです。；この頃建てられた家のほとんどは、町の改名に伴って黄色に塗られていた。；駅中央広間の端には金属製の門があり、その奥の壁は青に塗られている。；悲鳴の形そのままに開かれた口から、血泡に塗れた長い舌が垂れていた。；キルクスに作られた舞台が異なる色で塗られたのもこれが初めてであった。；窯の底面には粘土が塗られてその上には砂が二層に渡って敷かれていた。；運動を始める前に少年は油を塗られ、細かい砂または粉末で処理された。；私の目は人よりいいので土に塗れてたってちゃんと黒い種を見つけてみせます。；テープの短いものは、区別のためにキャップの頭部が赤く塗られていた。；歴史上最初に行われた人工処理は、軽くワックスと油を塗ることだった。；この塔は白く塗られ、中ほどに一本の太い赤い水平の帯が付けられている。；ランベス橋は赤く塗られているが、これは貴族院の座席と同じ色である。；同じ石に複数の色を塗ろうとした者もいたが、成果はまちまちだった。；橋は主に緑色で塗られているが、これは庶民院の座席と同じ色である。；人形や船の底部に樟脳を塗ることで水面を動くようにしたものもある。；馬は真実のでなく、紙ばかりでやはり赤や青で塗られたものでした。；男もそうすればわたしの太刀に、血を塗る事にはならなかったのです。；男もさうすればわたしの太刀に、血を塗る事にはならなかつたのです。；釘に毒を塗ってわざと踏むような場所に投げて置いたに違いございません。；各パーツは本来の色のままか、あるいは青・赤・黄色に塗られている。；かつて、血に塗れた拳銃のトリガーを引き、一人の人間の命を奪った手。；この時はバターや外の物をパンの方へ塗らずに肉の方へ煉り合せます。；泥に塗れたかのように獣毛は幾つかの塊になり体にへばりついている。；同国を含む緑色で塗られた諸国が中華人民共和国の国連参加に賛成した。；ただ顔立ちに似気なく厚肉の唇は生の情慾に燃え血を塗ったようだった。；画面の表面に盛り上がりはあまり見られず、比較的平滑に塗られている。；それは泥で拵えたものだそうですけれど立派な金で塗ってあります。</t>
        </is>
      </c>
      <c r="J6504">
        <f>HYPERLINK("https://www.weblio.jp/content/塗る", "词义详情")</f>
        <v/>
      </c>
      <c r="K6504">
        <f>HYPERLINK("https://yourei.jp/塗る", "查看例句")</f>
        <v/>
      </c>
    </row>
    <row r="6505">
      <c r="A6505" t="inlineStr">
        <is>
          <t>温い</t>
        </is>
      </c>
      <c r="B6505" t="inlineStr">
        <is>
          <t>成功</t>
        </is>
      </c>
      <c r="C6505" t="inlineStr">
        <is>
          <t>読み方：ぬくい
［形］［文］ぬく・し［ク］あたたかい。ぬくとい。「布団が—・い」
[派生]ぬくさ［名］</t>
        </is>
      </c>
      <c r="D6505" t="inlineStr">
        <is>
          <t>温いもの(4%)；温い血(3%)；温い心(2%)；温い手；温い水</t>
        </is>
      </c>
      <c r="E6505" t="inlineStr">
        <is>
          <t>甘い；優しい；暖かい；臆病；温</t>
        </is>
      </c>
      <c r="F6505" t="inlineStr">
        <is>
          <t>まだ温い；温い空気；温い情；微温い；ほの温い</t>
        </is>
      </c>
      <c r="H6505" t="n">
        <v>29</v>
      </c>
      <c r="I6505" t="inlineStr">
        <is>
          <t>特に女が二人居ることがその小さな群を妙に温くしてるようであった。；も一つの心は、個人と個人との境界を無視した温い抱擁的なものだった。；彼は大きいさっぱりと温い手で私の手をとり、そこの椅子にかけさせた。；このときになってようやく自分の出自を知り、温家を出ることになった。；道路上などに設置してある気温・路温計でもそれを見ることが出来る。；実際誰よりも温い血が流れて居なくては真の科学者たることは出来ないのだ。；多くは自然対流式であるが、温風ファンを併用している車両も存在する。；温い日の間に溶けた雪が眞つ黒な板となつて甲鐵のやうな道を覆ひます。；ある夜、伸枝は裸の腹に、なま温く濡れたものが触れてくるのを感じた。；私は再び君に見ゆることを得て、君の温なる唇を我手背に受け候ひぬ。；而も昔の人の心は、かうして、二重の師弟関係の温さを持つたのである。；二個の長い食卓には、何かしら温い物の入つてゐる鉢から煙が出てゐた。；あだし野の空を、いつのまにか温い日本の色をした夕焼雲が染めていた。；恐竜たちの大部分は温血であり、体が羽毛や毛に覆われているものも多い。；神様がほんの少しばかりそばへ寄って来たような温い幸福を感じる。；温い感情がさっとその胸に流れ、言うともなしに、と心の中で繰り返す。；俺が温い視線を送っていると、沙織は指を一本立てて身を乗り出した。；温製と冷製のいずれも存在し、オープンサンドイッチにしたものもある。；その湯が温かったことから、湯の子供という意味で湯の児と名付けたという。；後に馬台も「臣には逃亡する道義は無い」と言って温恢の元に出頭した。；だから、温くして出て来たのかどうか聞くと、その積りだって言うんです。；又凍死たるを湯火をもつて温れば助る事あれども武火熱湯を用ふべからず。；博士はどんな人間でも温く迎えて、誰にでも親しみを感じさせる人物だった。；このように温交会は共楽館の運営に深く関与していくことになった。；手は温く、酒のために早くなった脈搏さえ感じられそうに思われた。；浩一は二人の服地を通して伝わって来る柔い温味に、気を奪われていた。；この情報を得た林阿九らが、輸送中の温に会い日本軍に提出するように説得した。；熱電対の測温部分は温度の計測要求に応じて接触型・非接触型で用いる。；昔に習うことは必ずしも優れてはいないが、故を温ねて益の無いことは無い。</t>
        </is>
      </c>
      <c r="J6505">
        <f>HYPERLINK("https://www.weblio.jp/content/温い", "词义详情")</f>
        <v/>
      </c>
      <c r="K6505">
        <f>HYPERLINK("https://yourei.jp/温い", "查看例句")</f>
        <v/>
      </c>
    </row>
    <row r="6506">
      <c r="A6506" t="inlineStr">
        <is>
          <t>濡れる</t>
        </is>
      </c>
      <c r="B6506" t="inlineStr">
        <is>
          <t>成功</t>
        </is>
      </c>
      <c r="C6506" t="inlineStr">
        <is>
          <t>読み方：ぬれる
［動ラ下一］［文］ぬ・る［ラ下二］
１表面に水などがつく。また、水がかかったり水につかったりしてしみ込む。「雨に—・れる」「—・れた瞳」
２男女が情を通じる。情事を行う。「しっぽり—・れる」</t>
        </is>
      </c>
      <c r="D6506" t="inlineStr">
        <is>
          <t>濡れることなく移動</t>
        </is>
      </c>
      <c r="E6506" t="inlineStr">
        <is>
          <t>被る；浸る；浸透する；浸かる；浸潤する</t>
        </is>
      </c>
      <c r="F6506" t="inlineStr">
        <is>
          <t>少し濡れる；ぐっしょり濡れる</t>
        </is>
      </c>
      <c r="H6506" t="n">
        <v>29</v>
      </c>
      <c r="I6506" t="inlineStr">
        <is>
          <t>彼も気づかないうちに二筋の濡れるものが頬を伝わっていたのである。；すると明るい髪の青い眼をした娘が二人、あとから追って来て雨に濡れる。；庄三郎は袴が濡れるのも構わず川の中に入って、折れた枝を手に取った。；いずれも雨に濡れることなく行くことが出来るアクセスの良さを誇る。；ドン・ファンは、よほど濡れるのがいやなのか、少し手前で待っていた。；雨に濡れることなど全く気にする風もなく、涼しげな顔で立っている。；あそこまで歩くと、この雨ではかなり濡れるはずだと、彼女は思った。；掬ひ出された石は、濡れるといふよりも凍つてゐるといふ方が適当である。；乗客が濡れることを防ぐため、床はすのこ状になっていることが多い。；急な雨には対応できず、その場合は一部の座席が濡れる席となる。；東京の雪は湿気が多くてすぐに服が濡れると文句を言うと、檜林が笑った。；明るいこの頃の雨と一しよに濡れるには、ふさはしからぬ友達の一人です。；むしろ、折から降り出した雨に濡れることの方が、彼には気になった。；雨で気温が高くなっているものの、濡れる冷たさがあったせいでしょうか。；そう上段に致しませぬと血が伝って刀の柄が濡れるからでございます。；そして、雨に濡れる大学の門はかれらを静かに迎えいれていた。；降り始めた最初の十秒でこれ以上濡れることはなくなったからだ。；この愛すべき唇が恋愛の嘆きのために濡れるころまで私は生きているであろうか。；やがて雨は本降りになったが、それでも、立って、濡れるに任せていた。；偶然他人が服を着たまま濡れるのを見たり、自分が濡れる経験をしている者が多い。；最近にしては珍しく、舞い落ちてくる雪に頬が濡れることもない。；巨漢の騎士は雨に濡れる中庭に馬を乗り入れ、ゆっくりと鞍から下りた。；下着まですっかり濡れてしまうと、今度は逆に濡れるのが楽しくなってきた。；するとそこへ電話があり、本も濡れるので親友がサラの家に来ることになった。；薄いシャツなどを着て、水に濡れると内部が透けてみえるのはこの理由による。；彼等は濡れるのを惧れるようにそのたびにきっと飛び上った。；雨は大嫌いというわけではないけれど、雨に濡れるのはあまり好きじゃない。；まぁ姫が雨に濡れるなんて似合わないのでこれは これで仕方無いだろう。；水に濡れることを苦手としており、体からは汗の代わりに砂粒が分泌される。</t>
        </is>
      </c>
      <c r="J6506">
        <f>HYPERLINK("https://www.weblio.jp/content/濡れる", "词义详情")</f>
        <v/>
      </c>
      <c r="K6506">
        <f>HYPERLINK("https://yourei.jp/濡れる", "查看例句")</f>
        <v/>
      </c>
    </row>
    <row r="6507">
      <c r="A6507" t="inlineStr">
        <is>
          <t>根</t>
        </is>
      </c>
      <c r="B6507" t="inlineStr">
        <is>
          <t>成功</t>
        </is>
      </c>
      <c r="C6507" t="inlineStr">
        <is>
          <t>読み方：こん
［音］コン（呉）（漢）　［訓］ね
［学習漢字］3年
〈コン〉
１植物のね。物のねもと。「根茎・根菜／塊根・球根・草根・毛根」
２物事のもと。「根拠・根元・根底・根本／禍根・基根・病根・無根」
３物事に耐えうる気力。「根気／性根(しょうこん)・精根」
４方程式の未知数の値。「実根」
５仏教で、知覚を生じさせるもと。「六根」
〈ね〉「根城・根元／垣根・性根(しょうね)・屋根」
［名のり］もと
［難読］根扱(ねこ)ぎ・根刮(ねこそ)ぎ</t>
        </is>
      </c>
      <c r="D6507" t="inlineStr">
        <is>
          <t>根據；根っ子；根ほり葉；根管；根部</t>
        </is>
      </c>
      <c r="E6507" t="inlineStr">
        <is>
          <t>気；地；性；キャラクター；性格</t>
        </is>
      </c>
      <c r="F6507" t="inlineStr">
        <is>
          <t>安重根；深く根；首根；仮根；神経根</t>
        </is>
      </c>
      <c r="G6507" t="inlineStr">
        <is>
          <t>根本；根元；根本的；根源；根性</t>
        </is>
      </c>
      <c r="H6507" t="n">
        <v>29</v>
      </c>
      <c r="I6507" t="inlineStr">
        <is>
          <t>どのような数の範囲で冪根を考えているかは意識しておかねばならない。；そのため、根が伸びた後で幹を切り二年後に期待するという方法がある。；一般的に、このような房状の根をもつ植物は菌根を形成しないとされる。；また、根についても主根がはっきりしない、ひげ根ばかりのものが多い。；川柳はこのことを根に持ち、しばらく高座でこのことばかり話していた。；が のべき根拡大になっているかどうかは群 が可解群になっているかどうか。；根まで到達して根が分割された場合は、木の高さが1段増加することになる。；樹木の上に木の枝や草の茎、樹木の細い根などを組み合わせた巣を作る。；前述のように若い個体は発根率が良いことが知られている。；植物の絵はほとんどが根まで含んだ草本全体を描いたものである。；根つき木に関する用語は、それを家系図に見たてたものが多く使われる。；単一の神経根が障害された場合は感覚鈍麻の範囲は皮膚分節より狭い。；根元からも枝を出し、水に浸ったところからは根を下ろして株が増える。；挿し木とは異なってはじめから根があることが有利な点となる。；それでも根まであるだけに花持ちはよく、一ヶ月程度は鑑賞できる。；江戸時代には高さ60センチ以上あり、「根有り石」とも呼ばれていた。；寄生根と呼ばれる特殊化した根で相手植物の組織と結合して栄養分を吸収する。；これが成長して一次根となり、発達したものは主根になる。；しかし地中部にあってもこれ以外の機能をもつ根も存在する。；表在感覚が優位に障害されるものは偽性神経根型といわれるものも含まれる。；根の力は強いが、切れてしまうと根は再生しないため、移植には向いていない。；不定根は茎の節から生じることが多く、このような根は節根ともよばれる。；怒鳴ったあとはケロリとしているので、誰もそれを根に持つことはなかった。；またイネ科などでは、胚軸から生じた不定根が種子根となることもある。；地上部は冬には枯れるが根は数年生きるため、雪解けと同時に成長を始める。；このように幼根に由来する根、およびそこから生じた根を定根とよぶ。；種子根はふつう幼根であるが、既に幼根から側根が生じている例もある。；砂地を好み根が深くなるため、砂丘などの土壌流出の防止に効果が高い。；一方、高齢化と残存歯の増加に伴い、高齢者の根面う蝕が増加してきた。</t>
        </is>
      </c>
      <c r="J6507">
        <f>HYPERLINK("https://www.weblio.jp/content/根", "词义详情")</f>
        <v/>
      </c>
      <c r="K6507">
        <f>HYPERLINK("https://yourei.jp/根", "查看例句")</f>
        <v/>
      </c>
    </row>
    <row r="6508">
      <c r="A6508" t="inlineStr">
        <is>
          <t>音</t>
        </is>
      </c>
      <c r="B6508" t="inlineStr">
        <is>
          <t>成功</t>
        </is>
      </c>
      <c r="C6508" t="inlineStr">
        <is>
          <t>読み方：いん
⇒おん</t>
        </is>
      </c>
      <c r="D6508" t="inlineStr">
        <is>
          <t>音型；音樂；音作り；音高く；音たて</t>
        </is>
      </c>
      <c r="E6508" t="inlineStr">
        <is>
          <t>声；調子；口調；響き；音声</t>
        </is>
      </c>
      <c r="F6508" t="inlineStr">
        <is>
          <t>鈍い音；金属音；エンジン音；かすかな音；小さな音</t>
        </is>
      </c>
      <c r="G6508" t="inlineStr">
        <is>
          <t>音声；音源；音楽家；音響；音色</t>
        </is>
      </c>
      <c r="H6508" t="n">
        <v>29</v>
      </c>
      <c r="I6508" t="inlineStr">
        <is>
          <t>音具とは音を出す道具のうち、音が出るが楽器とは言いにくい物のこと。；これら具体音の導入は、商業音楽などの分野にも決定的な影響を与えた。；音抜けが良く印象に残りやすいことから多用されたことが見受けられる。；日本語にない音を表記するために、いくつかの専用の文字を使用する。；さらにはより大きな音や激しい音を得るために木や石を叩いた可能性も大きい。；音楽を作る側も再生側もほとんど同じ音を出す時代になっている。；人工張りは環境の変化に強い反面、高く鋭い音になりやすい特徴がある。；主人が練習に疲れて家に帰って来て、もう音は聞きたくないという。；それ以外に既存の字に新たな音とか訓を付けて使用することもある。；一方、彼のピアノからは小さな音しか出なかったという批判もあった。；しかも漢字の音も南北朝までの古い音は、唐代とは大きく異なっていた。；長調の場合、短調の場合ともに主調と必ず異なる音は第三音のみである。；クックが製造したレコードは、鉄道の音から嵐の音まで様々なものがあった。；電位差が発生した雲または大地などの間に発生する光と音を伴う放電現象。；なお表意文字は、一般的に概念と同時に音も表していることが一般的である。；音が存在しないか一般的でない漢字については、訓が代表音訓とされた。；音高や音圧が同じであっても音色の異なる音は異なる聞こえ方をする。；このことで着信音にバリエーションを持たせることが可能となった。；父称は父親の名前にその語尾の音に応じた適切な語尾を付加して作られる。；日本語では古典式またはドイツの音をカタカナ表記するのが慣習となっている。；彼は他の音のオーグメンテーションのようなプロセスを用いる方へ移行する。；携帯電話内のデータを、携帯電話内に搭載された音源が処理し音を鳴らしている。；音楽作りに対する拘りと独自の制作姿勢から「音の職人」とも称される。；音を記録した円盤であるため日本では「音盤」と呼ばれることもある。；音節の音の高低の違いが子音や母音と同じように意味を区別している。；乗客の何名かは、タイタニックの船体が折れる音を聞いたと証言している。；フランス語やイタリア語でこの音を表すには、c や qu を用いる。；耳に聞こえる音もこうしたオーロラからの直接の音波ではないかともされる。；コンサートホールの中と外とを問わず、われわれを取り巻く音である。</t>
        </is>
      </c>
      <c r="J6508">
        <f>HYPERLINK("https://www.weblio.jp/content/音", "词义详情")</f>
        <v/>
      </c>
      <c r="K6508">
        <f>HYPERLINK("https://yourei.jp/音", "查看例句")</f>
        <v/>
      </c>
    </row>
    <row r="6509">
      <c r="A6509" t="inlineStr">
        <is>
          <t>値</t>
        </is>
      </c>
      <c r="B6509" t="inlineStr">
        <is>
          <t>成功</t>
        </is>
      </c>
      <c r="C6509" t="inlineStr">
        <is>
          <t>読み方：あたい
１価格。値段。また、代価。「商品に—をつける」
「質屋の使の…尋ね来(こ)ん折には—を取らすべきに」〈鴎外・舞姫〉
２物の値打ち。価値。「一顧の—もない」
３（値）数学で、文字や式・関数などがとる数値。「比の—」</t>
        </is>
      </c>
      <c r="D6509" t="inlineStr">
        <is>
          <t>値以上；値以下；値ぶみするよう；値そのもの；値渡し</t>
        </is>
      </c>
      <c r="E6509" t="inlineStr">
        <is>
          <t>数；入り；代；額；価値</t>
        </is>
      </c>
      <c r="F6509" t="inlineStr">
        <is>
          <t>推定値；高い値；目標値；同じ値；経験値</t>
        </is>
      </c>
      <c r="G6509" t="inlineStr">
        <is>
          <t>値する；値打ち；値上げ；値下げ；値し</t>
        </is>
      </c>
      <c r="H6509" t="n">
        <v>29</v>
      </c>
      <c r="I6509" t="inlineStr">
        <is>
          <t>これは環境の影響や考え得る測定誤差をはるかに超える値であるとされた。；異なる物質同士の値の大小で単純に害の大小を比較することはできない。；この制約はすでに確かめられているが、取り得る値は決定できていない。；が具体的な値を取るいくつかの場合についてはさまざまな証明が与えられた。；クーメイによれば21世紀に入った後ではその値の成長は鈍化している。；そしてこれらの値は、人間の存在のために都合良く出来過ぎている。；直線 の傾きは だから、微分係数 の値も とすべきだと考えられる。；次に宇宙および地上のプラズマの代表的な例とその特性値をあげる。；この値のことを誤差理論において 真の値または真値 と呼んでいる。；各種のマグニチュードの値の間では差異を持つので注意が必要である。；値型におけるパフォーマンス向上を意図した複数の機能が追加された。；始めの測定結果は、量子論に基づく計算値との間で非常に良い一致を示した。；この値には他線から桑名駅を経由して養老線に乗車する人員は含まない。；biasの値が変わらない範囲であれば、単純に追加するだけでよい。；そのため、理論値と実験値とのずれは解消されたとはいえなかった。；このためディラック定数も定義値となり、不確かさのないものとなった。；しかし例えば「左の値との差」をとると、データは以下のようになる。；光のエネルギー は光子の持つエネルギーの倍数の値のみを取り得る。；これは2番目に傾斜が小さい木星の値に比べてもと非常に小さい値である。；あくまで、検査値で肝機能障害がわかりにくい場合に測定する項目である。；これはデータの値から算術的に計算して得られる統計指標値の一つである。；内はブートストラップ値で、不確実な分岐も図示されていることに注意。；そして水銀柱ミリメートルとトルは同じ値となるよう定義されていた。；標準偏差が であることは、データの値が全て等しいことと同値である。；そのため、異なる天文台で同時刻に求めた UT0 は異なる値になる。；アレルゲンとの接触を続けていれば抗体値も上がり、症状もひどくなる。；ニュートリノの質量が有限値を持つことは理論研究に大きな影響を与える。；CGS単位系を元に電磁気学の単位を作ると、値が大きくなってしまう。；これは m 面のサイコロを同時に n 個振った際の合計値を意味する。</t>
        </is>
      </c>
      <c r="J6509">
        <f>HYPERLINK("https://www.weblio.jp/content/値", "词义详情")</f>
        <v/>
      </c>
      <c r="K6509">
        <f>HYPERLINK("https://yourei.jp/値", "查看例句")</f>
        <v/>
      </c>
    </row>
    <row r="6510">
      <c r="A6510" t="inlineStr">
        <is>
          <t>値上がり</t>
        </is>
      </c>
      <c r="B6510" t="inlineStr">
        <is>
          <t>成功</t>
        </is>
      </c>
      <c r="C6510" t="inlineStr">
        <is>
          <t>読み方：ねあがり
［名］(スル)物の値段や料金が高くなること。「諸物価が—する」</t>
        </is>
      </c>
      <c r="D6510" t="inlineStr">
        <is>
          <t>値上がりする(10%)；値上がり益</t>
        </is>
      </c>
      <c r="E6510" t="inlineStr">
        <is>
          <t>増加；上昇；増し；前進；引き上げ</t>
        </is>
      </c>
      <c r="H6510" t="n">
        <v>29</v>
      </c>
      <c r="I6510" t="inlineStr">
        <is>
          <t>後の値上がりが確実であることから、投資目的での購入も行われている。；さっきの塔池町などの市内中心部では、さらに値上がりは激しいそうやで。；なぜなら、私は少しの値上がりで目標を達成できることになってしまうからです。；したがって、鋼材の値上がりが他の車より収益に響く構造となっている。；一般の国民はパンの値上がりを警戒して保護貿易主義を嫌っていたためである。；東京の土地はいったいどれだけ値上がりするのだろう、この先。；確実に値上がりするマンションや土地を紹介してやるよ。；欧州市場でもドルは強いが、日本円に対するほどの値上がりはなかった。；売れるもんはどんどん売って、次にさらに値上がりしそうなものを買っておく。；三百円の土地をただ寝かしていたら二万円に値上がりしたのではないのです。；それにつけてもハガキの値上がりはとても痛いと言っていました。；マンションは一年後に約三倍に値上がりしたのだ。；どうせ地主が将来の値上がりに備えてそこだけを手放さないでいるに違いなかった。；秋の収穫を終えたばかりの南半球の農業国通貨は記録的な値上がりを示す。；貯えておけば、そのうちまた値上がりすると考えているのだろう。；土地値上がりの激しい最近では、この邸だけでも、売れば大変な金になるだろう。；これは黄鉄鉱が二割五分値上がりするだけで銀貨千枚に達することを意味する。；いかに地価の値上がりが激しいといっても一年間に二十倍というのは極端である。；しかし、ボブ・グリーンが指摘するような値上がりをしているホテルもあるわけだ。；値上がりするとわかっているものを買わないのは馬鹿だ。；いちはやく、朝廷株の値上がりに目をつけたところは、さすがである。；諸物価高騰の折柄だが、理髪代の値上がりは最もこたえるものの一つである。；撥ね上がりのS・Sが事故を知って飛び込んできたのだろうぐらいに思っていた。；発売終了と同時に、1回の乗車料金は $2 に値上がりしている()。；円は急速に値上がりし、輸出するだけで高い利益を得ていた日本経済は大打撃をこうむった。；なにしろ、内地米は秋に入ってまた値上がりし、一〇キロ四千円近くになっていたのだ。；土地を持っている奴は値上がりを期待する。；これらの装備は再購入時の値上がりは無い。；実は、パーマ代と床屋代ほど、戦後になって値上がりしたものは他にあまりない。</t>
        </is>
      </c>
      <c r="J6510">
        <f>HYPERLINK("https://www.weblio.jp/content/値上がり", "词义详情")</f>
        <v/>
      </c>
      <c r="K6510">
        <f>HYPERLINK("https://yourei.jp/値上がり", "查看例句")</f>
        <v/>
      </c>
    </row>
    <row r="6511">
      <c r="A6511" t="inlineStr">
        <is>
          <t>値上げ</t>
        </is>
      </c>
      <c r="B6511" t="inlineStr">
        <is>
          <t>成功</t>
        </is>
      </c>
      <c r="C6511" t="inlineStr">
        <is>
          <t>読み方：ねあげ
［名］(スル)物の値段や料金を高くすること。「家賃を—する」「—幅」</t>
        </is>
      </c>
      <c r="D6511" t="inlineStr">
        <is>
          <t>値上げ反対(3%)；値上げされる；値上げ幅；値上げ交渉；値上げ分</t>
        </is>
      </c>
      <c r="E6511" t="inlineStr">
        <is>
          <t>吊り上げ；騰貴；釣り上げ；値上がり；吊上げ</t>
        </is>
      </c>
      <c r="F6511" t="inlineStr">
        <is>
          <t>料金値上げ；学費値上げ；大幅値上げ；便乗値上げ；授業料値上げ</t>
        </is>
      </c>
      <c r="H6511" t="n">
        <v>29</v>
      </c>
      <c r="I6511" t="inlineStr">
        <is>
          <t>郵便は国でやっているのだから、そんなに値上げすることはないのです。；この時は従来の8セントから10セントに値上げした価格で発売された。；すると開いたはね上げ戸のそばの男のところへ、さらに誰かがやってきた。；物価高騰の影響もあり毎年のように運賃値上げと増資を繰り返していた。；しかし、強気の値上げほど、日本の台所での需要は急増したのかどうか。；私はその頃は大量の酒を飲んでいたので五十円の値上げでも相当に痛かった。；一年間の連載後、あまりの成績のよさにダイヤモンド社が値上げを提示。；このたび、更なる値上げを通告されたので、頭に来て急に来日を決めた。；その後はストライキ・運賃値上げなどの影響を受けて急速に減少した。；しかし、周辺の村の反発にあい、値上げの撤回と払い戻しが命じられた。；そして学生側の会議の結果、最終的にこの値上げ計画は撤回された。；許されるなら首もとをつね上げ、ネコのように窓から放り投げている。；ただし、最終的には各州で決定されるために値上げ時期が異なる可能性がある。；ここで再値上げすれば、販売がさらに落ち込むのは火を見るより明らかである。；七〇年の十二月事件のきっかけとなったのは肉の値上げでした。；原発の再稼働が停滞すると、電気料金の値上げ幅が倍以上になる可能性。；一部の区間では値下げとなったが、ほとんどの区間で値上げされることとなった。；そして、わたしの頭上の重いはね上げ戸をパタンと閉めて、錠をかけた。；メーカーが値上げ交渉に応じてくれない、などと訴えたところでだれも関心を持たないのだ。；その後も、一部商品の値上げがあったが、殆どの商品で価格の変更は行われていない。；しかしもっとも効果を上げたのは、国内市場の消費に値上げを吸収させたことだ。；現在は値上げされてしまったが、それでもワインとしては安価である。；新聞紙のうち、朝日と読売が来月から一円三十銭に値上げされるという。；北陸本線のフリーエリアが拡大された際に100円値上げされている。；漫画の分野をめざす人がふえてきたのは、この値上げのおかげともいえるのだ。；丸公が値上げになったために一般家計が窮迫しはじめたのも昨年中のことです。；ある自動車教習所では値上げの理由を以下のように述べている。；そして相手の農夫が値上げの張本人であるかのやうに凝とその顔を見つめた。；そのうち少し値上げになったと思うが、とにかく入学当時は八円で余裕があった。</t>
        </is>
      </c>
      <c r="J6511">
        <f>HYPERLINK("https://www.weblio.jp/content/値上げ", "词义详情")</f>
        <v/>
      </c>
      <c r="K6511">
        <f>HYPERLINK("https://yourei.jp/値上げ", "查看例句")</f>
        <v/>
      </c>
    </row>
    <row r="6512">
      <c r="A6512" t="inlineStr">
        <is>
          <t>寝入る</t>
        </is>
      </c>
      <c r="B6512" t="inlineStr">
        <is>
          <t>成功</t>
        </is>
      </c>
      <c r="C6512" t="inlineStr">
        <is>
          <t>読み方：ねいる
［動ラ五（四）］
１眠りに入る。「床に入るやすぐに—・る」
２よく眠る。熟睡する。「ぐっすり—・っている」
３活気がなくなる。
「元はあんな—・った子じゃなかったが」〈漱石・門〉</t>
        </is>
      </c>
      <c r="D6512" t="inlineStr">
        <is>
          <t>寝；眠る；寝る；睡眠；居眠り</t>
        </is>
      </c>
      <c r="H6512" t="n">
        <v>29</v>
      </c>
      <c r="I6512" t="inlineStr">
        <is>
          <t>ただ一度、廊下で深く寝入ってしまったのを兄に見つかったことがある。；あとは椅子に掛けたまま雷のような大いびきをかいて寝入ってしまった。；まだ寝入ってしまう時間でもないはずだが、僧侶は夜も早いのだろうか?；彼に起こされるまで寝入っていた自分が生涯にない失策だと考えられた。；今そこではマッシャが赤ん坊を抱いて寝入らせようとしているのである。；目を閉じた次の瞬間にはもう寝入っているなど、まるで子供のようだ。；なんの不安も覚えないで、彼女も同じように横になると、じき寝入った。；病院に入りて初めての夜といふに、 すぐ寝入りしが、 物足らぬかな。；十時過ぎに少し寝入った源氏は枕の所に美しい女がすわっているのを見た。；寝入ったところで、まだ体の方は完全に眠ってしまっていなかったのだろう。；何度も自慢していたとおり、バードは寝入ったようにしか見えなかった。；孫一郎が米屋の娘をかえして一寝入りしてたった今起きたところであった。；しかし、彼等は私に一寝入せよと言って綺麗な部屋へ案内してくれました。；家の中は暗く、大木がすでに寝入ってしまっていることを示していた。；食べ終った媛はよほど疲れていたのか、筵の臥所に横になると寝入った。；こんなところで寝入ってしまうとは、やっぱりずいぶん疲れているらしい。；翌日は製品搬出の日に当り、疲れ切って寝入っていた二人の仲間は焼死。；女たちが完全に寝入ってしまったころになって、シェラは起き上がった。；そして、そのまま雷の音のような鼾をかいて寝入ってしまったのである。；上のような話をしているうち、父親のほうがいつの間にか寝入ってしまう。；だが今夜は声をかけても身じろぎもせず深々と寝入ってしまっている。；そして、食後の薬に安定剤でも入っていたのか、また寝入ってしまった。；うとうとしているという様子ではなく、本当に寝入ってしまったようだ。；昨日寝入る前にいろいろと考えてて、で、そういう結論に達したんだ。；よく寝入っている子供を起こすことはなかなかたいへんであった。；私はそれに満足して、娘が完全に寝入ってしまうまでそばにいた。；やっと二人きりになったのでそのまま横になって一寝入りする。；終わるまで見ていたし、終わった後、男が寝入ってからも見ていた。；そして硬張った神経の疲労のために泥のように寝入ってしまったのである。</t>
        </is>
      </c>
      <c r="J6512">
        <f>HYPERLINK("https://www.weblio.jp/content/寝入る", "词义详情")</f>
        <v/>
      </c>
      <c r="K6512">
        <f>HYPERLINK("https://yourei.jp/寝入る", "查看例句")</f>
        <v/>
      </c>
    </row>
    <row r="6513">
      <c r="A6513" t="inlineStr">
        <is>
          <t>音色</t>
        </is>
      </c>
      <c r="B6513" t="inlineStr">
        <is>
          <t>成功</t>
        </is>
      </c>
      <c r="C6513" t="inlineStr">
        <is>
          <t>読み方：おんしょく
その音のもつ感じ。ねいろ。</t>
        </is>
      </c>
      <c r="D6513" t="inlineStr">
        <is>
          <t>音色データ；音色変化；音色配列；音色そのもの；音色作り</t>
        </is>
      </c>
      <c r="E6513" t="inlineStr">
        <is>
          <t>音；調子；口調；響き；調</t>
        </is>
      </c>
      <c r="F6513" t="inlineStr">
        <is>
          <t>いい音色；多彩な音色；豊かな音色；よい音色；高い音色</t>
        </is>
      </c>
      <c r="H6513" t="n">
        <v>29</v>
      </c>
      <c r="I6513" t="inlineStr">
        <is>
          <t>彼女が重視したのはそれぞれの曲に合った精緻な音色と想像力であった。；演奏する際にはほぼ垂直に構え、左手の指で頻繁に音色の変化をつける。；なお、いずれの曲も下りと上りで同じ部分のアレンジだが音色が異なる。；これらの区分は歌手の声域というよりむしろ声の特性、音色に関係する。；登場人物がさまざまな和楽器の音色を口でまねる特徴的なシーンがある。；ピアノ以外にもチェンバロなどに音色を変えて演奏する事も多かった。；成熟期には高速に波形を更新することで時間的な音色変化を実現している。；現実世界に存在しない楽器のモデルを作り、音色を出すことも可能である。；その音色は相手の脳に直接響き、鼓膜を破っても防ぐことはできない。；ピアノはホールの大きさや音色を考慮して数台設置されている。；音高や音圧が同じであっても音色の異なる音は異なる聞こえ方をする。；彼女はイタリアオペラのように音色を変化させることはしなかった。；人が感じる音高は音の大きさや音域そして音色に影響されるといわれる。；卓越したリズム感とその哀愁をおびた音色は多くのファンの心を捉えた。；しかし木から木へ伝わる音色は今でも好まれ、現在でも使用され続けている。；演奏技術次第で音域を広げたり、音色を豊かにしたりすることが可能である。；さらにドアチャイムの音色も都営地下鉄などと同じタイプに変更された。；しかしながら、いずれにしても彼の生み出す音色は世界的な評価を得ている。；音色への影響もあるが、主に見た目の美しさで選ばれることが多い。；一方で原作初期では美しい音色を出していたこともあった。；そのおかげでハムバッカー搭載機でありながらも独特の抜けの良い音色がする。；酒を飲んでおりましたら、裏手の方で三味線の音色が聞こえましてね。；グランドピアノも製作しており、円形支柱など構造と音色に特徴がある。；フランスやイタリアでは、木管楽器の音色を重視した編成が採られている。；当初はツマミの多い伝統的なデザインで音色メモリー機構はなかった。；中心より離れた平面を叩いても音は鳴るが、はっきりした音色は得られない。；音色はどの曲も鋭い鋸状波に近いもののみで構成されている。；ソウルオリンピック開催後、魅力的な音色感に溢れた傑作を次々と発表。；囃子の音色は独特で重厚感があり地元民は勿論、観客にも最も喜ばれる。</t>
        </is>
      </c>
      <c r="J6513">
        <f>HYPERLINK("https://www.weblio.jp/content/音色", "词义详情")</f>
        <v/>
      </c>
      <c r="K6513">
        <f>HYPERLINK("https://yourei.jp/音色", "查看例句")</f>
        <v/>
      </c>
    </row>
    <row r="6514">
      <c r="A6514" t="inlineStr">
        <is>
          <t>値打ち</t>
        </is>
      </c>
      <c r="B6514" t="inlineStr">
        <is>
          <t>成功</t>
        </is>
      </c>
      <c r="C6514" t="inlineStr">
        <is>
          <t>読み方：ねうち
１その物や事柄がもっている価値。役に立つ程度・度合いや、その物の品位。「—のある本」「やってみる—がある」「人の—は外見では決められない」
２品物の値段。あたい。「一文の—もないがらくた」
３値段を評定すること。ねぶみ。
「あれでも—にしたら今じゃ余っ程するでしょう」〈漱石・道草〉</t>
        </is>
      </c>
      <c r="D6514" t="inlineStr">
        <is>
          <t>値打ちもない(8%)；値打ち物；値打ちもありませ；値打ちがございます</t>
        </is>
      </c>
      <c r="E6514" t="inlineStr">
        <is>
          <t>意味；入り；評価；品；代</t>
        </is>
      </c>
      <c r="F6514" t="inlineStr">
        <is>
          <t>値打ちしかない；そんな値打ち；たいした値打ち；大した値打ち；どんな値打ち</t>
        </is>
      </c>
      <c r="H6514" t="n">
        <v>29</v>
      </c>
      <c r="I6514" t="inlineStr">
        <is>
          <t>昔の物価はよく分からないが、値打ち物にしてはちょっと安すぎないか。；それにかけては、自分は非常に値打ちのある人間だと思っておりました。；それを思うと、自分にとても値打ちがあるように感じられて、安心する。；その午後かれらがごくわずかの値打ちしかない品物を売るところを見た。；あなたがたは二人ともそんなことをして打たれるだけの値打ちがあるんだ!；それだけの代価に相当するほど値打ちのある場所ではなさそうだった。；このガラスのかたまりは、ガラスそのものに値打ちがあるわけではない。；壁に掛かっていた、数点の値打ちものの絵も無事に元の場所にあった。；そういった報告にどれほどの値打ちがあるかわかるといいのですがね。；いま、わしのような老爺が死んでも生きても国のために何の値打ちもない。；次の扉は食堂で、これも小さいが、値打ちものの銀器がたくさんあった。；どちらも蓋があいていたが、値打ちのあるものはひとつも残っていなかった。；だが、値打ちのある決心をしたわけだから、時を失ったわけでもなかった。；盗む値打ちのあるものが入っていたなら、鍵がかかっていたはずだからね。；おら、このおらが持っているんよ、八百ドルの値打ちがあるんだからね。；金や銀をふんだんに使った、その当時から値打ちのある財宝群なのです。；それを聞いてフレンチはこれこそ大いに考える値打ちがあると感じた。；まだかなりの品々が残っていたが、値打ちのなさそうなものばかりだった。；師匠の晴親の方はまだその値打ちを知らんが、そいつに相談してみな。；当時の日本で、そのような良質の毛布は金にも勝る値打ちがあったのだ。；どう見てもマイナーな作品だが、それなりに値打ちがあるかもしれない。；それは三枚で、質の良いグロッシェン小銭二枚の値打ちしかないのです。；自分にその値打ちがよくわかっていないような今回の場合は、尚更である。；グレンダという女が、それほどまでにする値打ちのある女だったのかな?；昇紘が国のために値打ちのある郷長なのかどうか、よく分からねえんだ。；冒険も恋も旅行も、そしてお洒落も、もう彼には何の値打ちもなかった。；それだけの値打ちがある連中には、政府内での地位をあたえてもいい。；かれらはあたしの父を瞞して、数百万ドルの値打ちのある発明を奪ったの。；どんなに脳味噌の重い頭を持った御人も、片脚だけの値打ちしかない。</t>
        </is>
      </c>
      <c r="J6514">
        <f>HYPERLINK("https://www.weblio.jp/content/値打ち", "词义详情")</f>
        <v/>
      </c>
      <c r="K6514">
        <f>HYPERLINK("https://yourei.jp/値打ち", "查看例句")</f>
        <v/>
      </c>
    </row>
    <row r="6515">
      <c r="A6515" t="inlineStr">
        <is>
          <t>ねえ</t>
        </is>
      </c>
      <c r="B6515" t="inlineStr">
        <is>
          <t>成功</t>
        </is>
      </c>
      <c r="C6515" t="inlineStr">
        <is>
          <t>［感］「ね」の長音化した語。「—、あなた」「—、そうでしょう」</t>
        </is>
      </c>
      <c r="D6515" t="inlineStr">
        <is>
          <t>ねえだろ；ねえんです；ねえじゃ；ねえけど；ねえねえ</t>
        </is>
      </c>
      <c r="F6515" t="inlineStr">
        <is>
          <t>ならねえ；いけねえ；知らねえ；じゃあねえ；わからねえ</t>
        </is>
      </c>
      <c r="G6515" t="inlineStr">
        <is>
          <t>ねえさん；ねえちゃん；ねえ・ねえ・ねえ</t>
        </is>
      </c>
      <c r="H6515" t="n">
        <v>29</v>
      </c>
      <c r="I6515" t="inlineStr">
        <is>
          <t>さういふ事は誰でも叔父さんと同じやうに知らなければいけませんねえ。；九時といふと、僕なんかまだ床の中で新聞を讀んでゐる時間だからねえ。；つまり乗組員が家族に送られて艇を出たりはいったりしましたからねえ。；自分の愛する人も好きですけれど、話をして面白い人も好きですわねえ。；しかし突然感じたのは、こいつはいけねえ、首を斬られるんじゃねえか。；向ってきちんと椅子が置いてあるが、役人らしいのは影も見えねえ。；こう私アな、生れてから今日ッて今日ほどものを堪えたことはねえんだ。；へん蓄生、支那の捕虜になるようじゃあとても日本で色の出来ねえ奴だ。；あれは体に傷をつけては二百両にならねえと思ったんです。；わしは二人の娘をなくし、あなたは二人の助手を奪われたのですねえ。；あれはねえ、なんでも六天山のなかに山賊が住んでいたんだそうですよ。；ほんとうに逢いとうてねえ、何年も何年も毎晩夢に見ぬ事はないのです。；狼の野郎共は何んの事はねえ、舌なめずりをして喉をぐびつかせたのよ。；その中からコウモリのはねをもったばけものが、出てきたわけでもねえ。；へむ畜生、支那の捕虜になるやうぢやあとても日本で色の出来ねえ奴だ。；ねえ、生きてゐられて幸福だといふことは何といふ素晴らしいことでせう。；「一体何で骨が名古屋に戻って来るのかねえ」 母親もふしぎがった。；よくねえな、一あれ、あれようぜ、と滅入った声で松公がそういっけえ。；「ねえ、旦那方」と私は論争に夢中になっている刑事たちに呼びかけた。；誰か竹棹でお前さんの髷を打とうとした時は、どうしようかと思ってねえ。；適当なことやってんじゃねえよ、試合で穴空けたこと分かってんだろ?；ねえ、持っておいでなさらねえか、何かの禁厭になろうも知れませんや。；俺ら誰の世話もしたくねえ代りに、ひとの世話にもならねえで気が向いたら死ぬ。；どうもお前たちは、俺のこの気持がわからねえんでいけないよ。；この廊下へきたら、わしの部屋のほかには、いきどころがねえはずだからね。；此方は其處どころぢやねえ、男が立つか立たないかと云ふ羽目なんだぜ。；仕方がねえんで舞戻って例のごとく親方済みません、が呆れたもんです。；この世の中に幽霊なんてありはしないといわれているわねえ。；どこからだか分ンねえ、近いようにも聞えれば、遠いようにも聞えるだ。</t>
        </is>
      </c>
      <c r="J6515">
        <f>HYPERLINK("https://www.weblio.jp/content/ねえ", "词义详情")</f>
        <v/>
      </c>
      <c r="K6515">
        <f>HYPERLINK("https://yourei.jp/ねえ", "查看例句")</f>
        <v/>
      </c>
    </row>
    <row r="6516">
      <c r="A6516" t="inlineStr">
        <is>
          <t>ネームバリュー</t>
        </is>
      </c>
      <c r="B6516" t="inlineStr">
        <is>
          <t>成功</t>
        </is>
      </c>
      <c r="C6516" t="inlineStr">
        <is>
          <t>《(和)name＋value》世間での知名度。名前そのものの価値。「—のある企業」
[補説]英語ではnameだけで名声の意がある。</t>
        </is>
      </c>
      <c r="H6516" t="n">
        <v>29</v>
      </c>
      <c r="I6516" t="inlineStr">
        <is>
          <t>ただネームバリューを利用され、旧来のファンが食い物にされるだけだ。；平時は実際に組織的な活動をしているわけではないようだが、ネームバリューは大きい。；それでも、大企業に入れるだけのネームバリューに欠けるのだという。；業界での信頼やネームバリューが今より大したことなかった。；これは旧作のネームバリューも手伝って、前作同様10万本を超えた。；原作は男の忍者の側から描いているが、映画は女の側から描かれ、女優側にネームバリューのある役者が揃えられている。；佐藤のネームバリューや経験量を考えれば、私は、これを高すぎる金額だとは思わない。；また、有名企業というネームバリューを享受したいだけのタイプの場合は、どんなに指導しても効果がない。；登山家に、よほどのネームバリューと、実績がなければ無理だ。；それから仕事の件ですけれど、あなたよりネームバリューのあるカメラマンが見つかったので、彼に頼むことにしました。；各種紙製品製造業界においては国内随一のネームバリューを持つ。；テレビドラマや邦画の場合は歌詞そのものよりも歌手や制作者のネームバリューに重きが置かれている。；そんな中で、独身では借りられない公団住宅の抽選に当選し相手が必要だったこともあり、大手広告会社と言うネームバリューだけで結婚したがる女性と結婚する。；松田はまだ海のものとも山のものともつかぬ位置付けだったから、ネームバリューのある高倉健をスタッフは推した。；淡谷のり子はまだレコードのヒット曲を持っていて、全国的にネームバリューがあった。；そのネームバリューも重なって全国の受験生の信頼を勝ち得た。；後述の記事にあるように「ビートたけし」のネームバリューでソフトを買った購買者の期待を突き落とす出来となった。；ネームバリューを日本国外へも生かすため、社名を変更しても設立当時からの称号であるJEOLを使用している。；それに、K・Hに比べて彼にはネームバリューもない。；Bennettは博士号を持っており、そのネームバリューも利用して熱心に売り込んだ。；さいとうは業界の大先輩の中に混じり、「キャリアやネームバリューを考えるとありえない経験」をしたという。；自らのネームバリューを生かそうと考え、広告塔であることを積極的、能動的に捉えていた。；コンシューマゲーム機の前に劣勢だったゲームソフトのネームバリューも充実した。；それはつまり、タレント議員としてもネームバリューが失せてきたしるしでもあるわけだよ。；将来的にはスタン・リーのネームバリューが効果的に影響する海外放映も視野に向け調整を続けている。；上記の通り何度も存続の危機に見舞われるが、その都度危機を乗り越え、ネームバリューのある外国人選手の招聘やプロレスリング・ノアを始めとする他団体との交流を行っていた。；ベースとなったグラフィックス・コアが十分なネームバリューを持つ場合は、グラフィックス・コアの名称がそのままチップセット名となることも多かった。；いずれも日本ではエミネムほどのネームバリューこそ無いものの、デトロイトのヒップホップ・シーンでは名の通った実力者たちである。；このような小企業のためには既に有限会社という企業形態も用意されていたが、株式会社というネームバリューのためか、あえて株式会社の形態を採る小規模企業も後を絶たなかった。</t>
        </is>
      </c>
      <c r="J6516">
        <f>HYPERLINK("https://www.weblio.jp/content/ネームバリュー", "词义详情")</f>
        <v/>
      </c>
      <c r="K6516">
        <f>HYPERLINK("https://yourei.jp/ネームバリュー", "查看例句")</f>
        <v/>
      </c>
    </row>
    <row r="6517">
      <c r="A6517" t="inlineStr">
        <is>
          <t>ネガ</t>
        </is>
      </c>
      <c r="B6517" t="inlineStr">
        <is>
          <t>成功</t>
        </is>
      </c>
      <c r="C6517" t="inlineStr">
        <is>
          <t>《「ネガティブ」の略》「ネガティブ2」に同じ。⇔ポジ。</t>
        </is>
      </c>
      <c r="D6517" t="inlineStr">
        <is>
          <t>ネガ型(2%)；ネガ原版；ネガトーン；ネガ編集；ネガ現像</t>
        </is>
      </c>
      <c r="E6517" t="inlineStr">
        <is>
          <t>陰画</t>
        </is>
      </c>
      <c r="F6517" t="inlineStr">
        <is>
          <t>インターネガ；カラーネガ；エッグマンネガ</t>
        </is>
      </c>
      <c r="G6517" t="inlineStr">
        <is>
          <t>ネガフィルム；ネガティヴ；ネガ・ネビュラス；ネガティブ・キャンペーン；ネガティブキャンペーン</t>
        </is>
      </c>
      <c r="H6517" t="n">
        <v>29</v>
      </c>
      <c r="I6517" t="inlineStr">
        <is>
          <t>そう思ってネガを大事にしまっていたんですが紛失してしまいました。；このとき見つかったのは写真だけで、ネガはとうとう見つけられなかった。；キャパはそれを否定し、暗室のせいでネガが台無しになったと主張した。；亀井がその写真を貸してくれた人のところに行き、ネガを借りて来た。；そしてこの意識の存在を証明することがロネガの神の存在証明なんだ。；ネガはそんな顔が出ているようには見えなかったそうです。；およそ150枚ほど作られたが、ネガで残っているのは46枚だけである。；ネガはそれぞれ紙のケースにまとめられ、マジックで日付が書かれていた。；ただ、ネガを輸入する場合でないと採用できないのが難点といえよう。；生産量が増えた現在ではネガ型であるデメリットはかなり低減されている。；パラフィン紙のなかから出てきたのは三枚のネガ・フィルムである。；右手のネガが普通撮影したもの、左手のが逆撮影したやつだ。；心の中に、写真のネガのように、次第に下の風景が浮かんでくる。；オリジナルの型が写真撮影され、そのフィルムのネガから新しい型が作られた。；駒ヶ岳という名前は、馬の形に見える残雪期のネガ型の雪形に由来する。；また第1作同様各シリーズの怪物もネガトーン以外すべて登場する。；映画のオリジナルネガは管理が不十分だったため損傷している。；彼が写っているはずのネガを捜してみたが、どうしても見つからなかった。；しかし、この作品は一度も公開されることなく、現在ではネガも現存していないとされる。；僕がいま見ているプリントは、そのような写真のネガからプリントしたものだ。；視覚のいたずらや、ネガを加工したまがい物でないことはすぐわかった。；そしてその一五枚のカラー写真をネガのまま見せましたねえ。；私自身にはネガと比較して真偽や修正を指摘する能力が全く欠けているのである。；あなたの地位と生活とを奪い、人生から転落させる危険なネガです。；腹を立てたカルジャはそれまでに撮ったランボーの写真のネガを廃棄した。；ただし、家に保管されていたネガは娘が持ち出して無事であった。；様々な姿形をしていて、一般的なネガティは模様の入った黒い体と仮面状の白い顔を持つ。；溝口はメンバーの暴力を受けながらも写真のネガを取り返すことに成功する。；プリントはネガをもとにして行う第二の撮影とも言えるものであり、作家性を発揮する機会でもある。</t>
        </is>
      </c>
      <c r="J6517">
        <f>HYPERLINK("https://www.weblio.jp/content/ネガ", "词义详情")</f>
        <v/>
      </c>
      <c r="K6517">
        <f>HYPERLINK("https://yourei.jp/ネガ", "查看例句")</f>
        <v/>
      </c>
    </row>
    <row r="6518">
      <c r="A6518" t="inlineStr">
        <is>
          <t>願い</t>
        </is>
      </c>
      <c r="B6518" t="inlineStr">
        <is>
          <t>成功</t>
        </is>
      </c>
      <c r="C6518" t="inlineStr">
        <is>
          <t>読み方：ねがい
１願うこと。また、その事柄。「—を聞き入れる」「—が届く」
２手続きを踏んで願い出ること。また、その文書。「—を出す」「退職—」</t>
        </is>
      </c>
      <c r="D6518" t="inlineStr">
        <is>
          <t>願うべき；願う次第です；願うあまりに；願うつもりです</t>
        </is>
      </c>
      <c r="E6518" t="inlineStr">
        <is>
          <t>思う；要求；期待；聞く；希望</t>
        </is>
      </c>
      <c r="F6518" t="inlineStr">
        <is>
          <t>ほしいと願う；欲しいと願う；強く願う；切に願う；心から願う</t>
        </is>
      </c>
      <c r="H6518" t="n">
        <v>29</v>
      </c>
      <c r="I6518" t="inlineStr">
        <is>
          <t>この出来事は彼に平和への願いと将来の夢をはっきりさせるものだった。；願えばその通りの部屋が新たに発生するんじゃないかと思えるくらいだ。；なお、中央に走っているのは未来へ続く道であり平和を願う心でもある。；長年、この地でキリストの仕事をより直接の形でやりたいと願ってきた。；平穏や和合会などの名称は地域の争いが起きないように願いつけられた。；僕は長いキャリアーの中でもっと多くの勝利を達成できることを願うよ。；払い戻し期間があらかじめ決められていることが多いので注意願いたい。；人は、人から幸せを願われないと、なかなか幸せにはなれないものです。；大会名は、新たなヒーローを発掘する願いをこめたことから付けられた。；短編小説を書くのが好きで、いずれはそれらを出版したいと願っている。；トリスはすべての秘密を忘れて、事態がいい方向に向かうことを願った。；そのコンパニオンとやらが一体何者なのか、正確にご説明願えませんか?；そんなことまで想像してしまって、神に願わずにはいられなくなってくる。；女性との接触で回復するのではないかと願う母親にうんざりしている。；その娘たちのサクラサク日の早からんことを願わずにはいられなかった。；彼女はロシアで本格的なロシア・バレエを学びたいと強く願っていた。；大多数の人々はいつかこの権利を行使することを願いながら戦後を生きた。；願いが一つ終わっても、また願いをかなえられるようにすれば良いと。；一回ぐらい一緒に散歩しましょうという願いが叶わなかったのが残念です。；王は妹を城に連れて帰るが、妹の願いで鹿となった兄も連れて行く。；絵をもっとうまく書きたいと願う男性はゲストをモデルにして絵を完成させる。；東西をつなぐ要衝であるがためにこの地は多くの支配者が占領を願った。；ミッターマイヤーとしては皇帝の健康と結婚を願わずにいられなかった。；同年5月31日に一同預り願い届が提出され、正式に部屋は閉鎖された。；親の思いを子が受け継いで末永く事業が続くことを願っての遺書だった。；彼は娘に直接に願ったが拒否され、とうとう娘をさらって家を飛び出した。；彼の三人目の妻にも一目会いたいと願い、妻に宛てて多くの詩を詠んだ。；「あの連中には、勝手に、適当にお帰り願えばいいさ」 二人は去った。；これを機会にお目通り願おうと、何人かはすでに気が気ではない様子。</t>
        </is>
      </c>
      <c r="J6518">
        <f>HYPERLINK("https://www.weblio.jp/content/願い", "词义详情")</f>
        <v/>
      </c>
      <c r="K6518">
        <f>HYPERLINK("https://yourei.jp/願い", "查看例句")</f>
        <v/>
      </c>
    </row>
    <row r="6519">
      <c r="A6519" t="inlineStr">
        <is>
          <t>願う</t>
        </is>
      </c>
      <c r="B6519" t="inlineStr">
        <is>
          <t>成功</t>
        </is>
      </c>
      <c r="C6519" t="inlineStr">
        <is>
          <t>読み方：ねがう
［動ワ五（ハ四）］《「ね（祈）ぐ」の未然形＋反復継続の助動詞「ふ」から》
１神仏に、希望の実現することを祈る。祈請する。願をかける。「神前で合格を—・う」
２望みがかなうように請い求める。望み求める。「成功を心から—・う」
３こうしてほしいことを人に頼む。助力や配慮を求める。「手伝いを—・う」「ご援助を—・う」
４公の機関に希望することを申請する。請願する。「国有林の払い下げを—・う」
５商店で、品物を客に買ってもらう。「お安く—・っております」
６動詞の連用形や動作性のある漢語の名詞などに付いて、「…していただく」などの意を表す。「ぜひともお越し—・います」「ぜひ出席—・いたい」
[可能]ねがえる</t>
        </is>
      </c>
      <c r="D6519" t="inlineStr">
        <is>
          <t>願うべき；願う次第です；願うあまりに；願うつもりです</t>
        </is>
      </c>
      <c r="E6519" t="inlineStr">
        <is>
          <t>思う；要求；期待；聞く；希望</t>
        </is>
      </c>
      <c r="F6519" t="inlineStr">
        <is>
          <t>ほしいと願う；欲しいと願う；強く願う；切に願う；心から願う</t>
        </is>
      </c>
      <c r="H6519" t="n">
        <v>29</v>
      </c>
      <c r="I6519" t="inlineStr">
        <is>
          <t>この出来事は彼に平和への願いと将来の夢をはっきりさせるものだった。；願えばその通りの部屋が新たに発生するんじゃないかと思えるくらいだ。；なお、中央に走っているのは未来へ続く道であり平和を願う心でもある。；長年、この地でキリストの仕事をより直接の形でやりたいと願ってきた。；平穏や和合会などの名称は地域の争いが起きないように願いつけられた。；僕は長いキャリアーの中でもっと多くの勝利を達成できることを願うよ。；払い戻し期間があらかじめ決められていることが多いので注意願いたい。；人は、人から幸せを願われないと、なかなか幸せにはなれないものです。；大会名は、新たなヒーローを発掘する願いをこめたことから付けられた。；短編小説を書くのが好きで、いずれはそれらを出版したいと願っている。；トリスはすべての秘密を忘れて、事態がいい方向に向かうことを願った。；そのコンパニオンとやらが一体何者なのか、正確にご説明願えませんか?；そんなことまで想像してしまって、神に願わずにはいられなくなってくる。；女性との接触で回復するのではないかと願う母親にうんざりしている。；その娘たちのサクラサク日の早からんことを願わずにはいられなかった。；彼女はロシアで本格的なロシア・バレエを学びたいと強く願っていた。；大多数の人々はいつかこの権利を行使することを願いながら戦後を生きた。；願いが一つ終わっても、また願いをかなえられるようにすれば良いと。；一回ぐらい一緒に散歩しましょうという願いが叶わなかったのが残念です。；王は妹を城に連れて帰るが、妹の願いで鹿となった兄も連れて行く。；絵をもっとうまく書きたいと願う男性はゲストをモデルにして絵を完成させる。；東西をつなぐ要衝であるがためにこの地は多くの支配者が占領を願った。；ミッターマイヤーとしては皇帝の健康と結婚を願わずにいられなかった。；同年5月31日に一同預り願い届が提出され、正式に部屋は閉鎖された。；親の思いを子が受け継いで末永く事業が続くことを願っての遺書だった。；彼は娘に直接に願ったが拒否され、とうとう娘をさらって家を飛び出した。；彼の三人目の妻にも一目会いたいと願い、妻に宛てて多くの詩を詠んだ。；「あの連中には、勝手に、適当にお帰り願えばいいさ」 二人は去った。；これを機会にお目通り願おうと、何人かはすでに気が気ではない様子。</t>
        </is>
      </c>
      <c r="J6519">
        <f>HYPERLINK("https://www.weblio.jp/content/願う", "词义详情")</f>
        <v/>
      </c>
      <c r="K6519">
        <f>HYPERLINK("https://yourei.jp/願う", "查看例句")</f>
        <v/>
      </c>
    </row>
    <row r="6520">
      <c r="A6520" t="inlineStr">
        <is>
          <t>寝かす</t>
        </is>
      </c>
      <c r="B6520" t="inlineStr">
        <is>
          <t>成功</t>
        </is>
      </c>
      <c r="C6520" t="inlineStr">
        <is>
          <t>読み方：ねかす
［動サ五（四）］
１眠りにつかせる。寝つくようにする。「赤ん坊を—・す」
２からだを横たえさせる。「患者をベッドに—・す」
３縦のものを横にする。横に倒す。「ロッカーを—・して運び込む」
４品物や金銭などを活用せずに手元にとどめておく。「商品を倉庫に—・しておく」
５発酵・熟成させるために、一定の温度でしばらくそのままにしておく。「みそを—・す」「ワインを—・す」
［動サ下二］「ねかせる」の文語形。</t>
        </is>
      </c>
      <c r="D6520" t="inlineStr">
        <is>
          <t>寝かすなり(3%)</t>
        </is>
      </c>
      <c r="H6520" t="n">
        <v>29</v>
      </c>
      <c r="I6520" t="inlineStr">
        <is>
          <t>わたしは仏間の横の六畳の室に寝かしてある父の遺骸の前に坐っていた。；微笑みながら病院へ行った父親は、長い箱の中に寝かされて帰ってきた。；このベッドに寝かされたときも、身体の文字を拭き取られているときも。；九時ごろに彼女は娘を寝かしに行き、それからまた音もなくもどってきた。；ふたたび気がついたときは、ダムの医務室の中に寝かされておりました。；三本の剣の上に寝かされた真の姿は、シュールな絵を見ているようだった。；警察の検視も終わって帰ってきた遺体は、北に頭を向けて寝かされていた。；事務所か何かのようで制服を着た娘が一人机の止に寝かされていた。；気がついたときにはベッドに寝かされて、両親の心配そうな顔が並んでいた。；父親は移動式のベッドの上に仰向けに寝かされ、白い布をかけられていた。；気がつくと、私はベッドに寝かされて、看護婦が上から覗き込んでいた。；だいぶたって、彼は初めて自分が寝台に寝かされているのに気がついた。；彼女は自分の部屋に寝かされており、じっと眠っているだけのように見えた。；荷物用の船倉に蓆を敷いた上に寿司を並べたように寝かされたのである。；二階には座敷もあるので、たのめば朝まで寝かしてもらうこともできる。；人の好さそうな三十代の男が、肩から胸に包帯をかけた姿で寝かされている。；ベッドに寝かされたままうんともすんとも言わない相馬が気になるのだ。；あを向けに寝かされたまゝ起き上る事の出来ない日が二週間もつゞいた。；押し入れの上の段、辻村は膝を抱えるようにしてそこに寝かされていた。；気がついてみると、まっ暗な中に私はただ一人きりで寝かされている。；そしてその夜は少年を皆寝かして置いて、先生は別な部屋で女中と酒を飲んだ。；この方面の問題だけでも今夜は彼を寝かさぬようにできていた。；意識を回復したキョンは自分がベッドの上に寝かされていることに気づく。；とにかくそのまま静かに寝かしておいておあげになるがいいでしょう。；無菌室のような窓のない部屋で、京一は、ベッドの上に寝かされていた。；私は二階に寝かされたが、夏の朝早く、物売りの声で、眼を覚まされた。；お町等兄弟はその晩早くからいつもの部屋に寝かされてあつた。；子供達は七時に寝かされて、それからモレル夫人は暫く仕事をしていた。；加奈子は、あわてて死体を草原に寝かして、車の方へ駆け上っていった。</t>
        </is>
      </c>
      <c r="J6520">
        <f>HYPERLINK("https://www.weblio.jp/content/寝かす", "词义详情")</f>
        <v/>
      </c>
      <c r="K6520">
        <f>HYPERLINK("https://yourei.jp/寝かす", "查看例句")</f>
        <v/>
      </c>
    </row>
    <row r="6521">
      <c r="A6521" t="inlineStr">
        <is>
          <t>寝かせる</t>
        </is>
      </c>
      <c r="B6521" t="inlineStr">
        <is>
          <t>成功</t>
        </is>
      </c>
      <c r="C6521" t="inlineStr">
        <is>
          <t>読み方：ねかせる
［動サ下一］［文］ねか・す［サ下二］「寝かす」に同じ。「起きるまで—・せておこう」「パンの生地を—・せる」</t>
        </is>
      </c>
      <c r="H6521" t="n">
        <v>29</v>
      </c>
      <c r="I6521" t="inlineStr">
        <is>
          <t>このまま俺の肩で寝かせておいても、それはそれで幸せなんだが・・・。；しかしその時点では彼女は亡くなっておらず、ベッドに寝かせたという。；ぼくらは彼を小屋の中のベッドに寝かせ、それから道路を下って行った。；そして私は着替え室のトタン張りのテーブルの上に彼女を横に寝かせた。；藤原は、車を出す前に、ふと後ろの座席に寝かせた娘の方を振り返った。；その日の夜はマリアは床に寝て、自分のベッドにアレクセイを寝かせた。；ここでお婆さんらを寝かせて、わたし待ってるから、買って乗って来て。；ものを寝かせた状態にすることを「横にする」などと表現することがある。；卜翁は忠蔵の死骸をお袖と一緒に寝かせて置いて自身玄関へ出て行った。；巨大な滝を横に寝かせて上から眺めると、こんなふうに見えるのだろうか。；なにもびっくりすることはないさ、あたしがお前を寝かせてやったんだもの。；あすの夜は必ず一人で寝るやうに、乳母を同じ部屋に寝かせてはならぬ。；対策を立てるためにも、彼女を寝かせている数時間を無駄にできなかった。；一人残った少女は小屋の中に寝かせている伯爵のもとへ戻った。；夕食を終え、幹子がルミを寝かせに二階へ上って行くと、電話が鳴った。；これは台の寝かせなどによるものだったりするが、稀に起こる現象である。；神経の発作をおこされてはと思って、二人がかりで彼女を寝かせました。；馬は耳をまっ平らに寝かせているにもかかわらず、しぶとく歩き続けた。；わたしを溝に寝かせた健くんは、またもとの通りに蓋を閉めようとする。；翌朝になると、病院のベッドに寝かせたはずの彼は姿を消してしまっていた。；「娘が眠る時間だから寝かせて来る」 良介はそう云って男から離れた。；ベッドに彼を寝かせたが、それきり彼は、一度も目を開かなかった。；このまま埋葬もせずに、ここへ寝かせておけば、また狼がくるだろう。；動かしたくは無かったが、こんなところに一人で寝かせておくほうが心配だった。；Kremen氏は当初このドメインに何もサイトを作らずに寝かせていた。；やっと成功したのは、女を皮のベッドに寝かせることだけだった!；眠りこんだ彼女をベッドに寝かせ、剃刀で左手首を切ったのではないか。；太郎を寝かせつけて終った後にようやくリツ子の母が帰って来た。；おれはこの子を町へ連れていって寝かせてやりたいんでな?</t>
        </is>
      </c>
      <c r="J6521">
        <f>HYPERLINK("https://www.weblio.jp/content/寝かせる", "词义详情")</f>
        <v/>
      </c>
      <c r="K6521">
        <f>HYPERLINK("https://yourei.jp/寝かせる", "查看例句")</f>
        <v/>
      </c>
    </row>
    <row r="6522">
      <c r="A6522" t="inlineStr">
        <is>
          <t>値切る</t>
        </is>
      </c>
      <c r="B6522" t="inlineStr">
        <is>
          <t>成功</t>
        </is>
      </c>
      <c r="C6522" t="inlineStr">
        <is>
          <t>読み方：ねぎる
［動ラ五（四）］値段を安くさせる。まけさせる。「傷物を—・って買う」</t>
        </is>
      </c>
      <c r="D6522" t="inlineStr">
        <is>
          <t>叩く；談判；敲く；かけ合う；押し合う</t>
        </is>
      </c>
      <c r="H6522" t="n">
        <v>29</v>
      </c>
      <c r="I6522" t="inlineStr">
        <is>
          <t>この二人のスペイン語でもって値切ろうとするのだから、心臓であった。；ところがこの王は、値切ったばかりに九冊のうちの六冊を失ってしまった。；息をひきとる瞬間まで値切ることを忘れないのが商人魂というものだよ。；交渉相手が誰だろうと、こっちは一円だって値切られてやるつもりはないわ。；わしと同じように、どんなものでもまず値切ってみることを心掛けておる。；女は古道具をながめたり、品物を値切ったり、店の奥にはいったりする。；これは交渉のとっかかりとなり、また値切るためのカードにもなりそうだった。；余り高いから少し値切って話をしようと思うと相手にしない。；八百屋などが来ると自分で台所へ出かけてやかましく値切り小切りをする。；このあいだ飛田遊廓へいったときは学生証をだして値切ったそうである。；なぜ魚屋も女房も値切っている客たちも、みんな何もみえないのか。；余り高いから、少し値切って話をしようと思うと相手にしない。；その値切ってる金額を聞いて、あたしもう、血の道があがっちゃったわ。；そこで二人はタクシーを五十銭に値切って耕作の編集部まで走らせた。；春木夫人は未練たらしく値切るようなことをしないで、承知の旨を答えた。；その卵も行商人が売りに来た奴を値切れるだけ値切って買ったものだ。；高いとも思わなかったし、値切るほど語学がうまくなかったからだ。；服を作るときには市場で値切って買った布を使わせ、さらに一週間同じ服を着続けたと伝えられている。；ある人は五十フランに値切って二つ買ったとか話していた。；だが、値切ったり駈け引きをしたりしなければならないような支払いだけは別である。；君は一人でこのアパートの裏口を出て、田舎者らしく、タクシーを値切るんだね。；或人は五十フランに値切って二つ買ったとか話していた。；円タクを値切って八十銭出した距離に、そのビール会社の雲をつくような高い建物があった。；税が徴収される場所ではお決まりの値切りや哀願の声も聞こえてくる。；損害金を要求されるかもしれないし、次回はさらに値切ってくるかもしれない。；そこで値切ることは止しにして約束の金額を払おうとしたんです。；値段をきくと、たいへん高いことをいうので、負けないかと値切った。；業者は犯人と交渉して身代金の額を値切ったり、金と人質の交換にあたったりする。；同行の女性たちのなかには、みやげ物店で値切るのを楽しんだ人も多かったようだ。</t>
        </is>
      </c>
      <c r="J6522">
        <f>HYPERLINK("https://www.weblio.jp/content/値切る", "词义详情")</f>
        <v/>
      </c>
      <c r="K6522">
        <f>HYPERLINK("https://yourei.jp/値切る", "查看例句")</f>
        <v/>
      </c>
    </row>
    <row r="6523">
      <c r="A6523" t="inlineStr">
        <is>
          <t>猫</t>
        </is>
      </c>
      <c r="B6523" t="inlineStr">
        <is>
          <t>成功</t>
        </is>
      </c>
      <c r="C6523" t="inlineStr">
        <is>
          <t>読み方：ねこ
《「ね」は鳴き声の擬声、「こ」は親愛の気持ちを表す接尾語》
１食肉目ネコ科の哺乳類。体はしなやかで、足裏に肉球があり、爪を鞘に収めることができる。口のまわりや目の上に長いひげがあり、感覚器として重要。舌はとげ状の突起で覆われ、ざらつく。夜行性で、目に反射板状の構造をもち、光って見える。瞳孔は暗所で円形に開き、明所で細く狭くなる。単独で暮らす。家猫はネズミ駆除のためリビアヤマネコやヨーロッパヤマネコなどから馴化(じゅんか)されたもの。起源はエジプト王朝時代にさかのぼり、さまざまな品種がある。日本ネコは中国から渡来したといわれ、毛色により烏猫・虎猫・三毛猫・斑(ぶち)猫などという。ネコ科にはヤマネコ・トラ・ヒョウ・ライオン・チーターなども含まれる。
２《胴を猫の皮で張るところから》三味線のこと。
３《三味線を弾くところから》芸妓のこと。
「—が一枚とびこむと、八右衛門がしらまで、浮気になってがなりだす」〈魯文・安愚楽鍋〉
４「猫火鉢」の略。
５「猫車」の略。
[補説]作品名別項。→猫
[下接語]海猫・飼い猫・烏(からす)猫・唐(から)猫・雉(きじ)猫・恋猫・小猫・麝香(じゃこう)猫・シャム猫・漁(すなど)り猫・虎(とら)猫・どら猫・泥棒猫・盗っ人(と)猫・野猫・野良猫・灰猫・化け猫・ペルシア猫・招き猫・三毛猫・山猫</t>
        </is>
      </c>
      <c r="D6523" t="inlineStr">
        <is>
          <t>猫たち(2%)；猫好き；猫みたい；猫族；猫ども</t>
        </is>
      </c>
      <c r="E6523" t="inlineStr">
        <is>
          <t>ネコ；キャット；ねんねこ；にゃんにゃん</t>
        </is>
      </c>
      <c r="F6523" t="inlineStr">
        <is>
          <t>怪猫；青猫；母猫；大きな猫；チェシャ猫</t>
        </is>
      </c>
      <c r="G6523" t="inlineStr">
        <is>
          <t>猫のように；猫耳；猫又；猫なで声；猫屋敷</t>
        </is>
      </c>
      <c r="H6523" t="n">
        <v>29</v>
      </c>
      <c r="I6523" t="inlineStr">
        <is>
          <t>上記二作品は原作があるが、化猫のストーリーは完全オリジナルである。；人間・猫・犬たちの未来を掛けた戦いはいずれどうなるのであろうか。；明るい茶髪と緑色の大きな目を持つ、相手に猫の様な印象を与える美人。；仮面の犯罪王と黄色い猫が同一の猫なのか、公式には発表されていない。；そこにも猫が生息していたが1936年までには1羽が生き残っていた。；そのため一時期、空き地だった家の裏によく猫が捨てられていたという。；その一方で、穴リスト猫は作画の出来が良くないことについても触れた。；猫に助けてもらってばかりだと、魔女の成長はおそくなるルールである。；家に帰ってみると、あの猫を助けた女性が家にいたので龍之介は驚く。；この猫の数を維持しつつ地域の管理下に置き、猫はそこで一生を送る。；映像作品での猫娘との関係は、各シリーズごとで描写が異なっている。；なんと1ヶ月以内に魔法を解かないと本物の猫になってしまうという。；なぜなら犬や猫といった動物も知覚を持つことは明らかだからである。；直孝がその猫に近づいたところ、先ほど雨宿りをしていた木に雷が落ちた。；かつては多数の猫が生息していたが、2009年に駆除され減少している。；猫耳をはやしていたのは猫である頼子の身体を人間に変化させたため。；そこに、チェシャ猫が空中に頭だけ出して出現し、女王たちを翻弄する。；猫ポイントを引いた残りが魔女の経験値となり、魔女の成長に使用される。；独身を通し、子供がいない彼女は猫とお茶とケーキを愛した生涯を終えた。；そんな二人はある日、猫のような目をした奇妙な少年・猫目小僧と出会う。；宇宙の支配者は雨の降る惑星の小さな小屋に猫と一緒に住んでいた。；人間が一切登場せず、猫や犬が人間のように生活している設定。；当然数多くの猫の句を詠んでおり、生涯300句を超えるとされている。；声優にはノディの声も担当した女優のが猫のフッツォに起用された。；吸血鬼的な性格があるといわれ、猫や鳥などの様々な動物の姿になって現れる。；さてそれは作られ設置され、猫タワーの注文が他にもあるといえば十分あろう。；そこは2本足で立ち人間の言葉を話す進化した猫の世界だった。；大の猫好きで、鎧の中で猫を飼おうとして兄に怒られることもしばしば。；分科会は現在の猫の栄養に関する情報を考慮してそれらの範囲を決定した。</t>
        </is>
      </c>
      <c r="J6523">
        <f>HYPERLINK("https://www.weblio.jp/content/猫", "词义详情")</f>
        <v/>
      </c>
      <c r="K6523">
        <f>HYPERLINK("https://yourei.jp/猫", "查看例句")</f>
        <v/>
      </c>
    </row>
    <row r="6524">
      <c r="A6524" t="inlineStr">
        <is>
          <t>値下がり</t>
        </is>
      </c>
      <c r="B6524" t="inlineStr">
        <is>
          <t>成功</t>
        </is>
      </c>
      <c r="C6524" t="inlineStr">
        <is>
          <t>読み方：ねさがり
［名］(スル)物の値段や料金が安くなること。「野菜が—する」</t>
        </is>
      </c>
      <c r="D6524" t="inlineStr">
        <is>
          <t>値下がりする(14%)</t>
        </is>
      </c>
      <c r="E6524" t="inlineStr">
        <is>
          <t>下落；低落；値崩れ</t>
        </is>
      </c>
      <c r="H6524" t="n">
        <v>29</v>
      </c>
      <c r="I6524" t="inlineStr">
        <is>
          <t>高い価格のまま規格が統一されたら、急速に値下がりすることはない。；わずか三カ月で、私の女としての価値は半分以下に値下がりしていたのだ。；そして、カロッティ通信機の初期のモデルが値下がりしているのを発見したわけです。；しかし、その時、オルレアン鉄道の株式は大幅な値下がりに見舞われた。；あの場所なら、これから値下がりすることは絶対にないもの。；江戸中期には煙草の値下がりと共に庶民への喫煙習慣も広まって行くことになる。；このため極端な例では、指数は上昇しても値下がり銘柄のほうが多いという状況もあり得る。；また年月を経て中古車の価格が値下がりすることで、若者にも手が届きやすい価格になってきている。；しかもアメリカで新たな油田が見つかったことによって原油価格は値下がりしていた。；愛も不動産もエルメスのバッグも、いつかは値下がりするモノなのよ!；株式市場全体の九割以上の銘柄が値を上げた日ですら値下がり。；ドルの値下がりが予想されたため、ヨーロッパは外国為替市場を閉鎖したのちに変動相場制へ移行した。；値下がりすれば先物で利益が出るので、現物の損失と相殺することができる。；周辺の六筆三百五十坪の土地の持ち主でもある玄太郎は、土地の値下がりの懸念を理由に現場へ向かう。；父には年金と貯金があるが、バブルのころに買ったいくつかの土地が値下がりしたせいで借金もあった。；流通価格は一年ごとに半額になり、球根一つが数十万円で取引されていた品種が最終的に数千円まで値下がりした。；工業製品は製造量が増えるほど輸出市場で値下がりの圧力がかかるなど、伸びなやんだ。；日本では、中東などでの海外事業を拡大してきた大手ゼネコンなどを中心に株価が大幅に値下がりした。；高値からの値下がり率は実に九四・七パーセントである。；脚注の産経新聞報道によると、上場後の株価は値下がり傾向にある。；鉄鋼価格の値下がり、既存業者の妨害などが原因だという。；株を空売りして値下がりしたところで買い戻した時に得た利益もキャピタル・ゲインとなる。；かと思うと北海道や東北をはじめ、遠隔地では反対に値下がりする地域が出るなど、アンバランスな現象が起きている。；運賃の高い旅行シーズンを避けて、格安航空券の値下がりする秋に出かける計画だった。；近年は、特に地価の値下がりと相まって、駐車場もマンションに転用されている。；早くしないとスクープ銘柄が値下がりするとか、特別サービス期間が終わってしまうとか、何でもいいから相手を焦らせるようなことをいえ。；現在では数千円から一万円台で購入できるほど値下がりしたが、鑑賞会での入賞の常連になる位いまだに人気がある。；これによって日本の綿花栽培は大打撃を受ける一方で翌年には原料の値下がりに支えられて日本の綿糸輸出量が輸入量を上回り、日本の産業革命達成に大きな影響を与えることとなった。；バブルが弾けて不動産が値下がりしてる今でさえ、十年以上経った物件で六千万以上するんですよ。</t>
        </is>
      </c>
      <c r="J6524">
        <f>HYPERLINK("https://www.weblio.jp/content/値下がり", "词义详情")</f>
        <v/>
      </c>
      <c r="K6524">
        <f>HYPERLINK("https://yourei.jp/値下がり", "查看例句")</f>
        <v/>
      </c>
    </row>
    <row r="6525">
      <c r="A6525" t="inlineStr">
        <is>
          <t>値下げ</t>
        </is>
      </c>
      <c r="B6525" t="inlineStr">
        <is>
          <t>成功</t>
        </is>
      </c>
      <c r="C6525" t="inlineStr">
        <is>
          <t>読み方：ねさげ
［名］(スル)物の値段や料金を安くすること。「売れ残りの商品を—する」</t>
        </is>
      </c>
      <c r="D6525" t="inlineStr">
        <is>
          <t>値下げ競争(4%)；値下げ運動(2%)；値下げされる；値下げ交渉；値下げ幅</t>
        </is>
      </c>
      <c r="E6525" t="inlineStr">
        <is>
          <t>サービス；減少；縮小；削減；短縮</t>
        </is>
      </c>
      <c r="F6525" t="inlineStr">
        <is>
          <t>運賃値下げ；大幅値下げ；大幅な値下げ；賃銀値下げ；ガソリン値下げ</t>
        </is>
      </c>
      <c r="H6525" t="n">
        <v>29</v>
      </c>
      <c r="I6525" t="inlineStr">
        <is>
          <t>新商品だったりするんで、値下げできないのは仕方がないんですけどね。；このマシンはあまり成功せず、全ての機種が1991年に値下げされた。；ただし運賃収入は1932年上期に値下げした影響で一時減少している。；困った市は平米九千円だった価格を八千円に値下げして博士に売ったという。；製本費は値下げされるのに、給料は値下げすることができないといった。；その他のグレード展開は前モデルとほぼ同じだが価格は全体的に値下げされている。；パッケージ版の格についても前のバージョンから大きく値下げがされた。；これは円高の影響で値下げ傾向にあった輸入盤CDなどへの対抗策である。；相手は配船を中止してまで、値下げを迫ってきた本社なのである。；値下げを言ってくる前に、それを考えるのがあんたがた営業マンの仕事だろう。；当時の供給実績で計算すると年額約82万円の減収となる値下げ幅である。；また、サービスを開始してから109回以上の値下げが実施された。；一部の区間では値下げとなったが、ほとんどの区間で値上げされることとなった。；一〇円のものを補助金で八円、七円に値下げして、輸出するわけです。；しかし、1997年にゾーン運賃制が採用されると都タクシーが値下げ。；しかし、従来の契約のままだと値下げにより配収が減少する可能性がある。；ところがGMは決裂したにもかかわらず、一方的に値下げを発表した。；この運動の目的は、国際貿易を行う西アフリカ商人協会に商品の値下げを要求する事だった。；値下げの計画は、発表からわずか2週間で撤回せざるを得なかった。；京都では散髪代の値下げ競争で、六銭から一銭にした店もあり。；そのため、これらの一日乗車券を値下げ、カード化して発売することとなった。；この新しい発売日はニンテンドー3DS本体の大幅値下げと同日となっている。；これは以前の料金制度に比べて77万7千円余りの減収となる値下げ幅である。；入場料は一階席大人五十銭・二階席大人七十銭だったが、間もなく五十銭・三十銭に値下げした。；うんと値下げして、あの男にリンボーを引きとらせることができないだろうか?；今度の値下げについて黙っていろなんぞと、ここの先生は言ってねえ。；電灯供給では値下げのたびに需要家に対する勧誘活動が繰り返された。；これに合わせてダウンロードコンテンツが一部無料化および値下げとなった。；そこでも抗議隊は、地方政府にバスの運賃値下げを要求していた。</t>
        </is>
      </c>
      <c r="J6525">
        <f>HYPERLINK("https://www.weblio.jp/content/値下げ", "词义详情")</f>
        <v/>
      </c>
      <c r="K6525">
        <f>HYPERLINK("https://yourei.jp/値下げ", "查看例句")</f>
        <v/>
      </c>
    </row>
    <row r="6526">
      <c r="A6526" t="inlineStr">
        <is>
          <t>ねじ</t>
        </is>
      </c>
      <c r="B6526" t="inlineStr">
        <is>
          <t>成功</t>
        </is>
      </c>
      <c r="C6526" t="inlineStr">
        <is>
          <t>読み方：ねじ
《動詞「ね（捩）づ」の連用形から》
１円筒や円錐の面に沿って螺旋(らせん)状の溝を切ったもの。溝を外面に切ったものを雄ねじ、それにはまり合うように内面に切ったものを雌ねじという。物を締めつけるのに用いる。
２ぜんまいを巻く装置。また、ぜんまい。</t>
        </is>
      </c>
      <c r="D6526" t="inlineStr">
        <is>
          <t>ねじ山(3%)；ねじ屋敷(2%)；ねじ曲がり(2%)；ねじおじさん；ねじ止め</t>
        </is>
      </c>
      <c r="E6526" t="inlineStr">
        <is>
          <t>釘；ネジ；鋲；クギ；螺子</t>
        </is>
      </c>
      <c r="F6526" t="inlineStr">
        <is>
          <t>左ねじ；メートルねじ；ねじ規格；ねじ切れ；ねじ倒し</t>
        </is>
      </c>
      <c r="G6526" t="inlineStr">
        <is>
          <t>ねじり；ねじ曲げ；ねじ伏せ；ねじる；ねじ込ん</t>
        </is>
      </c>
      <c r="H6526" t="n">
        <v>29</v>
      </c>
      <c r="I6526" t="inlineStr">
        <is>
          <t>先端形状・太さ・長さなどは扱うねじに合わせてさまざまな種類がある。；そんな男が、なぜ玩具の国に出てくるような、ねじ屋敷を建てたと思う?；パイプと三脚は、ねじなどの固定具で希望の高さになるように固定する。；西洋での産業革命期には、締結用のねじが大量に生産されるようになった。；鉄道での採用をきっかけに、このねじ規格は一気に他の分野でも普及した。；物を締結する目的のねじとは、ねじ部の利用方法が異なるものである。；ねじの山と谷の間隔と移動量は以下のようにピッチとリードで表される。；新田は営業への恨みからねじ六への転注の謎を追求しようと動き始めた。；彼はもはやパトロール隊という巨大な機械の中の一個のねじではなかった。；そのため、進みすぎという現象が起きて大きなねじ穴ができることがある。；板はオルガンの本体に四つのねじでとめてあり、どれも簡単にはずれた。；蝶番の基部がねじ切れて、扉がけたたましい音をたてて内側へと倒れた。；がそれでもやはり、父の心全体がお清の方にねじ向いてるのが感じられた。；ねじ屋敷の鉄馬の部屋に通じる道にいることはあるまいと思った。；そしてどうして皿の上のねじがあんなに幸せそうに見えたのだろうと考えてみた。；頭のねじがゆるんだか、将来を捨てる決心をしたと思ったに違いない。；ベクトルの向きは電流に垂直で電流が右ねじの向きに流れるようにとる。；ねじや釘のような締結部も異種金属接触腐食が問題となる箇所である。；最初はまっすぐに打ったつもりでも、途中で妙な方向にねじまがってしまう。；たくさんのねじがサイズにあわせてそれぞれの白いきれいな皿に区分されていた。；見ると、三尺余りもある、何の木で作ったものかわからないねじ棒であった。；卓上に置くもののほかに壁にねじで固定されているものもある。；ねじ回しを持った事のある人には右ねじは良く分かるが、そうでない人も多い。；和時計も特殊なねじがわずかにあるだけで、ほとんどが楔で作られている。；そこでは時間の流れはねじ曲がり、多次元の世界が無限に交錯していた。；それから数日して、小林はまたねじおじさんの姿をみることになった。；身体に絶えず熱を送っていないと、ますます気分だけがねじ曲がっていく。；また香尾里さんが死んだ日、私たちがねじ屋敷に行くことを知らなかった人間。；いきなりしっかりしたねじめの三味線の音が響き始めて、およねの歌。</t>
        </is>
      </c>
      <c r="J6526">
        <f>HYPERLINK("https://www.weblio.jp/content/ねじ", "词义详情")</f>
        <v/>
      </c>
      <c r="K6526">
        <f>HYPERLINK("https://yourei.jp/ねじ", "查看例句")</f>
        <v/>
      </c>
    </row>
    <row r="6527">
      <c r="A6527" t="inlineStr">
        <is>
          <t>ねじ回し</t>
        </is>
      </c>
      <c r="B6527" t="inlineStr">
        <is>
          <t>成功</t>
        </is>
      </c>
      <c r="C6527" t="inlineStr">
        <is>
          <t>読み方：ねじまわし
ねじなどを締めたり抜き取ったりする工具。ドライバー。</t>
        </is>
      </c>
      <c r="D6527" t="inlineStr">
        <is>
          <t>ドライバー；ドライヴァー；スクリュードライバー；螺子回し；ねじ回</t>
        </is>
      </c>
      <c r="H6527" t="n">
        <v>29</v>
      </c>
      <c r="I6527" t="inlineStr">
        <is>
          <t>その中に主人はますます脚をねじまわしたので果して彼れの脚は折れてしまった。；ねじ回しを持った事のある人には右ねじは良く分かるが、そうでない人も多い。；ハンドルの前に小物入れがついていて、ねじ回しが入れてあるらしい。；そこで連れ立って牛丼屋にやってきて、ねじまわしのことを尋ねたのである。；痛みに彼らは上半身をねじまわしたが、からだには縄の影もない。；あのねじまわしも見せられたけど、うちのじゃないよ。；男はゆっくりと首をうしろにねじまわした。；ねじ回しは、18世紀中にはフランスで使用されていた。；ねじとねじ回しはほぼ同時期に開発されている。；あなたはたまたま、かすみさんが置いていった、総務課のねじまわしを手にとっていた。；サービスパネルを専用の鍵で開ければ、ねじ回しなどで簡単に脱着ができるようになっている。；恵子がやってきて佐久間課長と話しているとき、佐久間課長のほうがねじまわしを持ちだした。；「今見せてやりたいんだ」トムは地下室に消えると、ねじ回しを持って戻ってきた。；ねじまわしで枠ごとはずそうとしたが、天井から赤やら青やらのコードがつながっていて、枠はどうにもはずれない仕組みになっている。；彼はねじまわしをつかむと、皮だけになったふとんに腹這いになり、ライターを攻撃にかかった。；古ドイツ語で、ねじ回しをといい、ねじを旋盤で作る作業自体を指して使われていたが、しだいにその道具そのものを指すようになった。；ねじまわしはエアコンの修理屋が置き忘れていったもので、それを預かっていたのが佐久間課長である。；なかには、予備にと大切にしている金槌やねじまわしを、記念にとおいていってくれた人もいた。；つかまれた腕のいたみに、彼の顔は暗紫色にかわり、全身をねじまわして苦悶した。；てこの原理を利用して軸を回転させて使用する工具であり、JIS規格では、ねじ回しという。；そばに人がいないのをさいわい、筒をのぞいたり、螺子回しをなでたりしておる。；そして従来のねじ回しの握りは数百年誰も文句を言わなかったのが不思議なくらいできの悪い代物と指摘し、ここで会場の聴衆に向かって「最良のデザインはどんなもんだろうね」と問い掛けた。；その晩の十時ごろ、リサはねじまわしといくつかの道具を持ってクルージ家の台所に行き、電子レンジに細工をした。；彼は絞めつけられた首をねじまわした。；二人はねじまわしを使った。；ビットンの手が、彼の口を塞いで、ねじまわしで一撃を加えると、相手は音も立てずに倒れました。；彼が安楽椅子の上で無闇に躯をねじまわしたものだから、座褥の表の毛織の布が引き裂けたほどであった。；ねじ回し工具を持ち、成り行きを見つめ、顔面蒼白、唇が震えている。；そのうしろにはデニングとパウルスがレンチを、トランターが大きなねじ回しを手にして立っています。</t>
        </is>
      </c>
      <c r="J6527">
        <f>HYPERLINK("https://www.weblio.jp/content/ねじ回し", "词义详情")</f>
        <v/>
      </c>
      <c r="K6527">
        <f>HYPERLINK("https://yourei.jp/ねじ回し", "查看例句")</f>
        <v/>
      </c>
    </row>
    <row r="6528">
      <c r="A6528" t="inlineStr">
        <is>
          <t>捩る</t>
        </is>
      </c>
      <c r="B6528" t="inlineStr">
        <is>
          <t>成功</t>
        </is>
      </c>
      <c r="C6528" t="inlineStr">
        <is>
          <t>読み方：すじる
［動ラ四］からだをくねらせる。身をよじる。
「黒くきたなき身を肩抜ぎて、目も当てられず—・りたるを」〈徒然・一七五〉</t>
        </is>
      </c>
      <c r="D6528" t="inlineStr">
        <is>
          <t>回転；旋回；回す；回転させる；捻挫</t>
        </is>
      </c>
      <c r="H6528" t="n">
        <v>29</v>
      </c>
      <c r="I6528" t="inlineStr">
        <is>
          <t>犯人が捩れ屋敷の中に入った経験があるかどうかは、私にはわかりません。；名前はチャンピオンに縁の深い漫画家の名前を捩ってつけたものが多い。；女は化銀杏の下で、行きかけた体を斜めに捩ってこっちを見上げている。；腕を掴まれたままの月弥は、身を捩って抵抗を試みたが、敵わなかった。；扉が軽く動いて、咄嗟に死にものぐるいで身を捩って悲鳴を上げていた。；森山の頭を両手に持ち、左に大きく振っておいてから、急激に右に捩る。；いくら上体だけを捩っても、彼女が僕の腰から解放されることはない。；そのあと、身を捩るほどの腹痛があり、近くの医者で胆石だと言われた。；しかし、ふと犬の耳を引張ってみると、それは簡単に捩げさうになった。；かちかちと云はせてあちこちの捩をねぢると、あるだけの灯が皆点いた。；タービンと圧縮機を結合した軸は捩れを防ぐためにできるだけ短くされた。；だがトレイシーは身を捩ってそれを逃れ、その勢いでからだを泳がせた。；この条件は基本的には、下に定義する が捩れなしになることを意味している。；その瞬間に空間の捩れが消え、影も一緒に溶けるように消えしまった。；森は自分を刺した者の顔をたしかめるように、首を捩って当綱を見た。；話のあいまに男が部屋の中のほうへ体を捩れば、ほとんど顔も見えなくなる。；インドのはもっとひどく、ほとんど病的に感ぜられるほどに捩れている。；身動きはしているが、ただ苦しみのあまり、身を捩っているだけのようだ。；息子はくすぐったそうに身を捩って笑い、皆が笑ったし彼も笑った。；足首が捩れ、馬の尻の動きは早くなり、草と岩の凹凸に脚を取られた。；鞣革で張った椅子で、脚は卓と同じように捩れて下の方が細くなっている。；鞣革で張つた椅子で、脚は卓と同じやうに捩れて下の方が細くなつてゐる。；女や子供のどうにもならぬ着ふるしや、 見るかげもなく捩れたレース類。；すんでのところで身をかわし、捩るような姿勢のまま利明は走り続ける。；だがそれは僅かに身を捩ったところで中断せざるを得なかった。；待ってましたとばかりに今回も捩ったのだろうが、なかなか良く出来ているじゃないか。；まるで文字が身を捩って逃げていきたがってる気がする。；代わりに自分が捩れ屋敷を案内する、と犯人は倉知さんを誘いました。；その時、またしても舞の前で空間が捩れはじめ、不気味な影が現れた。</t>
        </is>
      </c>
      <c r="J6528">
        <f>HYPERLINK("https://www.weblio.jp/content/捩る", "词义详情")</f>
        <v/>
      </c>
      <c r="K6528">
        <f>HYPERLINK("https://yourei.jp/捩る", "查看例句")</f>
        <v/>
      </c>
    </row>
    <row r="6529">
      <c r="A6529" t="inlineStr">
        <is>
          <t>捩れる</t>
        </is>
      </c>
      <c r="B6529" t="inlineStr">
        <is>
          <t>成功</t>
        </is>
      </c>
      <c r="C6529" t="inlineStr">
        <is>
          <t>読み方：ねじれる
［動ラ下一］［文］ねぢ・る［ラ下二］
１細長いものが、くねり曲がる。ねじられた状態になる。「コードが—・れる」
２気持ちが素直でなくなる。ひねくれる。素直なやり取りができない状態になる。「性根が—・れている」「あの一言を機に上司との関係が—・れてしまう」
３本来の関係からずれた状態にある。うまく対応せず、ちぐはぐな関係になる。「党本部と県支部が—・れたまま選挙戦に突入」
[補説] 「腹がねじれるほどおかしい」などという表現を見かけるが、「腹の皮が捩(よじ)れる」からの誤用か。</t>
        </is>
      </c>
      <c r="H6529" t="n">
        <v>29</v>
      </c>
      <c r="I6529" t="inlineStr">
        <is>
          <t>苦痛に捩れる心の中で、永遠に帰ることのない恋人の顔が赤く明滅し続けていた。；フランソワの目つきが捩れる間にも、ジョルジュは得意げに語っていた。；口は僕の手を噛んだままなので、当然、首の辺りで、身体が捩れるような形になる。；また先端からは芒が伸びることが多く、芒は膝折れして捩れるものもある。；からだ全体が浮き上り、羽根が左右にギュッと捩れるような恰好になった。；ただ、捩れるに従って壁も床も持ち上がっているため、最初はそれがあまりわからなかった。；その液体の中には、一本の長い、ほとんど透明に近いツル状の物が捩れるようにして浮いているのだ。；次の瞬間、俺は世界が捩れる様を感じ取った。；長い髪が舞い乱れ、すらりとした体が水中の海蛇のように捩れる。；「この部屋の床は十度傾いていることになります」 ぐるりと回りながら、一周で百八十度捩れる。；また翼銃は翼が捩れるなどするため命中率が劣り、命中率の点でも機首への機関銃/機関砲装備は有利なのである。；わざと優しい声で猫の名を呼び、そうするとなお一層身を縮める雄猫の滑稽さを囃したて、また腹が捩れるほど笑いだすのだった。；一瞬なんの形もなく捩れるように動いていたが、やがてそれは、人の手の形になり、 月光のように明るく輝きながら舞い下りて、血を流しているワームテールの手首にはまった。；またしても土蔵の中が捩れるように揺らめきはじめた。；ファクトリーチームも悩まされていた車体が捩れる問題を克服するため、ブルンはモノコックを自製し、それに通常の962の部品を取り付けた車両を作成した。；人は年齢を重ねるほど、理屈から離れ、複雑に捩れる。；「ディックを見せて」と言った彼女が、とにかく格好悪くて、僕は机の間を転げ廻りながら、「俺は外人じゃないっつうの」と、腹が捩れるほど笑っていたのだ。；小男で痩せた父が咳込んで来ると、少し前かがみになつて、何だかお腹の皮でも捩れるやうに咳込むのがいかにも苦しさうであつた。；このうち遺伝的に本種と最も近いのは殻が捩れる中国産のサンガタネジレササノハで、永年混同されてきたササノハガイとは遺伝的に大きく異なるとされる。；空間が歪み捩れる外景が見える亜空穴を走り抜ける者たちは、それぞれの亜空穴から傀儡衆の囲みの裏へと回ると、そこから一斉に姿を現した。；その躯が、油谷の手で椅子に嵌めこまれ押据えられて、醜く捩れる情景が、眼に浮ぶ。；推理が辿り着く先の、重く苦々しい回答に、切嗣は臓腑の捩れる心地だった。；側萼片は水平に出て広線形、先端近くで1回転捩れる。；下肢が持ちあがり、まだ花びらの奥をしどけなく潤わせているすべてがひらかれる羞恥に、シュリルの腰が捩れる。；「つまりそこで、部屋が九十度捩れるわけだね」 「ということは、隣の部屋との角度の差は、五度ですね」ドアの小窓から次の部屋を覗きながら、西之園が言った。；それよりも、捩れることによって、あたかもあつらえた瓦割りの如く晒された、八九寺のボディが、この場合の狙い目だった。；捩れるときは捩れるもんだ。；乗組員全員死亡のため、沈没までの船内状況は不明であったが、たまたま近くで錨泊中の 十勝丸の船員が、激しいピッチングの後、船内消灯、その直後に、左舷から捩れるような形で船首が立ち上がり、船尾から沈む第十一青函丸を目撃していた。；歪み捩れることが、その躯を刺戟し、白くなめらかな皮膚のひろがりが、薄桃色に染まり青い静脈の模様に彩られる。</t>
        </is>
      </c>
      <c r="J6529">
        <f>HYPERLINK("https://www.weblio.jp/content/捩れる", "词义详情")</f>
        <v/>
      </c>
      <c r="K6529">
        <f>HYPERLINK("https://yourei.jp/捩れる", "查看例句")</f>
        <v/>
      </c>
    </row>
    <row r="6530">
      <c r="A6530" t="inlineStr">
        <is>
          <t>鼠</t>
        </is>
      </c>
      <c r="B6530" t="inlineStr">
        <is>
          <t>成功</t>
        </is>
      </c>
      <c r="C6530" t="inlineStr">
        <is>
          <t>読み方：そ
［音］ソ（慣）　［訓］ねずみ
〈ソ〉
１動物の名。ネズミ。「鼠咬症(そこうしょう)／窮鼠・首鼠・田鼠・殺鼠剤」
２こそこそと悪事を働く者のたとえ。「鼠賊」
〈ねずみ〉「鼠色・鼠算／野鼠」
[補説] 「鼡」は俗字。
［難読］鼬鼠(いたち)・金海鼠(きんこ)・海鼠(なまこ)・鼹鼠(もぐら)・鼯鼠(ももんが)・栗鼠(りす)</t>
        </is>
      </c>
      <c r="D6530" t="inlineStr">
        <is>
          <t>鼠捕り；鼠ども；鼠骨；鼠害；鼠取り</t>
        </is>
      </c>
      <c r="E6530" t="inlineStr">
        <is>
          <t>ネズミ；マウス；ラット；ハツカネズミ；二十日鼠</t>
        </is>
      </c>
      <c r="F6530" t="inlineStr">
        <is>
          <t>大鼠；大きな鼠；土鼠；雌鼠；藍鼠</t>
        </is>
      </c>
      <c r="G6530" t="inlineStr">
        <is>
          <t>鼠小僧；鼠径部；鼠蹊部；鼠輸送；鼠いろ</t>
        </is>
      </c>
      <c r="H6530" t="n">
        <v>29</v>
      </c>
      <c r="I6530" t="inlineStr">
        <is>
          <t>そんな遠歩きする鼠の話はこの年になるまで聞いたことがありませんよ。；そのじぶんは今とすっかりちがって、鼠でも靴をはいて歩いていました。；その代り通りの家では商品を鼠にやられないために大低猫を飼っている。；大量発生した鼠と人間たちとの闘いを描く日本を代表するパニック小説。；しかしその後はどんどん子鼠が生まれて、一時は五十ぴき近くになった。；私は、鼠などの入って来ないように、扉に鍵をつけてほしいと言いました。；自分達の立っている前を一匹の大きな白鼠が数疋の鼠を連れて歩いていた。；それが夢でもないことは、今度も七兵衛の耳に鼠の足音を聞いたのである。；その鼠はそのことを伝えるため走って仲間のところに戻りました。；鼠の方ではだんだん図々しくなって、人のいる室にまで進出してきた。；きょうの鼠の一件がお此の口から夫に訴えられたのは言うまでもない。；それは船にいる鼠どもが、私の羊を一頭、引いて行ってしまったことです。；しかし飼育した肥大鼠に従業員と妻子が襲われて死亡する事件が起きた。；この子はこの小屋ん中にいる手前ら鼠野郎を二人一緒にしたよりも以上の人間だ。；蛇は時とすると煤けた屋根裏に白い体を現わして鼠を狙って居ることがある。；猫の肉だけで鼠が育つものかどうか、そんなことはここでは問題にならない。；寝るとね、鼠が来ないか来ないかと思って目を塞いじゃあ待ってるの。；二階の窓硝子から通行人のポケットへ手を突ッこんでいる青鼠服が見えた。；これは鼠を取らないためのお仕置と見せかけるためのごまかしなのです。；余はとにかく近処にいる碧梧桐、鼠骨二君に知らせようと思って門を出た。；その湿った靄の中には、パリーが産んだかと思える鼠の姿が見えている。；が、それよりも今は鼠の糞を他の同僚たちに見られるのをより以上怖れた。；虫が知らせるのか、それがどうも鼠などの音ではない様に思われた。；まず大体似たような条件の鼠を二十匹か三十匹くらいだったか集めて一つの群とする。；追われないままに鼠がその六畳の部屋の食膳の辺まで出て来た。；例の鼠の裸児がそのまま生長して大きくなったような顔の皮膚の薄紅であった。；そうすれば自然願いが通って皆大喜びで鼠泣きするだろう。；思えば鼠志野も随分長いこと不遇な位置に忘れられていたものである。；そして鼠の暴れる台所の方を避けて、それをわざと玄関の方へ釣った。</t>
        </is>
      </c>
      <c r="J6530">
        <f>HYPERLINK("https://www.weblio.jp/content/鼠", "词义详情")</f>
        <v/>
      </c>
      <c r="K6530">
        <f>HYPERLINK("https://yourei.jp/鼠", "查看例句")</f>
        <v/>
      </c>
    </row>
    <row r="6531">
      <c r="A6531" t="inlineStr">
        <is>
          <t>寝相</t>
        </is>
      </c>
      <c r="B6531" t="inlineStr">
        <is>
          <t>成功</t>
        </is>
      </c>
      <c r="C6531" t="inlineStr">
        <is>
          <t>読み方：ねぞう
眠っているときのかっこう。ねざま。ねずまい。「—が悪い」</t>
        </is>
      </c>
      <c r="D6531" t="inlineStr">
        <is>
          <t>寝相が悪く(7%)；寝相が悪い(4%)；寝相がわるい(2%)</t>
        </is>
      </c>
      <c r="H6531" t="n">
        <v>29</v>
      </c>
      <c r="I6531" t="inlineStr">
        <is>
          <t>まるで寝相が悪くてベッドから落ちてしまったかのような格好だった。；そしてその寝相の悪さは、いかにもサキュバス的なそれだったのである。；不幸にも、彼が真由の寝相の悪さを知ったのはこの日が最初であった。；これらの地方では、寝相の悪い女を指して「ねぶとり」と呼ぶともいう。；この教師は寝相がよほどわるいのか、いつもうしろ髪がピンと立っていた。；お父さまのこんな寝相はあとにも先にも見たことがない。；「うぅ、重いよ、瞳ちゃん」 瞳ちゃんは寝相がいいと思っていたのに。；それだけならまだいいんだけど、ルーミィも寝相のいいほうじゃないでしょ。；寝相の悪い者なら夜中に幾度となく落ちてしまいそうな、細い箱型の寝台。；今から思えば単に寝相が悪かっただけなのだが、それでもあの奇妙な気分は忘れられない。；寝相の良い妻にしては珍しいことだと思った。；考えてみれば、あの寝相の悪いヤツと同じ部屋で眠ったんだ。；あいつであったとしても、あいつが果して、どういう寝相をしている。；私みたいに寝相のいい人間が、どこかに頭をぶつけるなんて。；その上窓の横幅と寝台の長さが殆ど同じであるから、その寝相までが手にとる如く見えるのである。；あんたの寝相があんなにひどくなけりゃ、こんなことにはならなかったんだからね!；静と陽子の寝相はあまりに悪く、眠りに落ちて一時間もすれば最初の位置から大きく移動している。；そいつの寝相が悪くて押しつぶされそうとか、そういうことか?；逆さ吊りになる恐れがあったが、それは寝相をよくしておくことで防げるとふんでいた。；また、数分ごとにヒトカゲの寝相が変わるのも特徴の一つ。；それも寝相の悪いことといったら覗いてるおれの顔が赤らむほど。；いつもは獣のように丸まって眠っているので普通の娘のような寝相はなんだか新鮮な感じがした。；手足を大きく放り出した寝相の悪さと、周囲に散らばる酒瓶さえなければ。；正四面体の形をしており、中で寝ている人の寝相に合わせてテント自体が地面を転がってくれる。；しかし、いくら脱水装置があっても、寝相部屋の中にいるよりは、ここのほうがまだましだった。；いかにわが輩寝相がわるいというても、まさか掛けがえの枕じゃあなかろう?；寝相があまりよくないせいか、布団をはねのけてしまっている。；その為全ての行動が寝相である。；母はいつもと同じように右の肩を下に、自分の方を向いて、少し仰向加減に軽く口を結んでいかにも寝相よくすやすやと眠っている。</t>
        </is>
      </c>
      <c r="J6531">
        <f>HYPERLINK("https://www.weblio.jp/content/寝相", "词义详情")</f>
        <v/>
      </c>
      <c r="K6531">
        <f>HYPERLINK("https://yourei.jp/寝相", "查看例句")</f>
        <v/>
      </c>
    </row>
    <row r="6532">
      <c r="A6532" t="inlineStr">
        <is>
          <t>妬ましい</t>
        </is>
      </c>
      <c r="B6532" t="inlineStr">
        <is>
          <t>成功</t>
        </is>
      </c>
      <c r="C6532" t="inlineStr">
        <is>
          <t>読み方：ねたましい
［形］［文］ねたま・し［シク］《動詞「ねた（妬）む」の形容詞化》うらやましくて憎らしい。悔しい。「人気のある新人が—・い」
[派生]ねたましげ［形動］ねたましさ［名］</t>
        </is>
      </c>
      <c r="D6532" t="inlineStr">
        <is>
          <t>妬ましいよう(11%)</t>
        </is>
      </c>
      <c r="E6532" t="inlineStr">
        <is>
          <t>羨ましい；うらやましい；嫉妬深い；嫉妬ぶかい；ねたましい</t>
        </is>
      </c>
      <c r="H6532" t="n">
        <v>29</v>
      </c>
      <c r="I6532" t="inlineStr">
        <is>
          <t>使いたくないのなら、使っている者に妬ましさなど感じる必要はないではないか。；前にも増して天文が妬ましかったが、それを平然と口にすることができた。；村に出かける準備をしているみんなを、ハリーは妬ましい思いで眺めていた。；人目には妬ましく見えそうなこの姿を、お絹が見たらなんと思うであろう。；己はあいつの脣が触れるかと思うと、主の体さえ妬ましくなるのだ。；雄鶏は妬ましげに蹴爪の上に伸び上って、最後の決戦を試みようとする。；その少年の美しい顔に逃亡の記憶の輝きを見た団長は、ある妬ましさも感じた。；古藤の童貞を破る手を他の女に任せるのが妬ましくてたまらなくなった。；こんな美しい都にとゞまつてゐられる事自体が妬ましいのだ。；そう思うと李張は妬ましいような気になって来た。；でもそれでもなお彼を妬ましいと思うのは当然ですよ。；いつでも、強い人間でいられる君が、妬ましいのかも知れないな。；そのため、母のちがう二人の姉は妬ましくてならないのでした。；だが同時に、意識したわけではないが、少女に妬ましい気持ちが湧いたのも事実だ。；恨んでもしかたのないことだと知ってはいるが、かすかな妬ましさを覚えなくもない。；僕がすでに妬ましくならずにはいられないくらい、あの人は熱烈にあなたを愛し切っておりますもの。；着てみると、よくお似合いです、と女店員が半分妬ましそうな眼つきで言った。；妬ましくて、目もくらんでしまうほど、お妃は驚いて真っ青になりました。；そこからも時々に男の使がくると、お浜は妬ましそうに話した。；石山は拳銃をかまえる警官たちの、力と自信に満ちた姿勢を少し妬ましい気持で眺めた。；死んだ兄が、かすかに妬ましく思えて来るようだった。；白い指にルビーの指輪が光つてゐるのを直吉は掠めるやうに眼にとめて妬ましかつた。；それは二羽の山鳩に対する梟の憤った妬ましい目つきでは少しもなかった。；科学を信頼し、物怖じせず医療を実践するあなたが少しばかり妬ましく思えたりもしていた。；あんたもおれが妬ましいんだろう、おれがフロントを任されて悔しいんだろう。；それを主人は妬ましげに見ているらしい。；それを主人は妬ましげに見てゐるらしい。；そして、他の人が楽しさうに遊んでゐるのを羨しげに妬ましい眼でながめてゐたのである。；それは二羽の山鳩にたいする梟のおこった妬ましい眼つきでは少しもなかった。</t>
        </is>
      </c>
      <c r="J6532">
        <f>HYPERLINK("https://www.weblio.jp/content/妬ましい", "词义详情")</f>
        <v/>
      </c>
      <c r="K6532">
        <f>HYPERLINK("https://yourei.jp/妬ましい", "查看例句")</f>
        <v/>
      </c>
    </row>
    <row r="6533">
      <c r="A6533" t="inlineStr">
        <is>
          <t>妬む</t>
        </is>
      </c>
      <c r="B6533" t="inlineStr">
        <is>
          <t>成功</t>
        </is>
      </c>
      <c r="C6533" t="inlineStr">
        <is>
          <t>読み方：ねたむ
［動マ五（四）］
１他人が自分よりすぐれている状態をうらやましく思って憎む。ねたましく思う。そねむ。「同僚の昇進を—・む」
２男女間のことで嫉妬(しっと)する。やきもちをやく。
「妻—・める気色もなくて過ごしけり」〈十訓抄・八〉
３腹を立てる。恨み嘆く。
「いと憂しと思へど、さらに言ひも—・まず」〈大和・一五八〉
[用法]ねたむ・そねむ——「先に昇進した同期生をねたむ（そねむ）」など、うらやみ憎む意では相通じて用いられる。◇「順調な出世をそねみ、ねたまれる」のように重ねて使われることもある。また、「そねむ」の方が「ねたむ」に比べて、憎みうらむ気持ちが強い。</t>
        </is>
      </c>
      <c r="D6533" t="inlineStr">
        <is>
          <t>嫉妬；羨望；憧れる；羨む；嫉視</t>
        </is>
      </c>
      <c r="H6533" t="n">
        <v>29</v>
      </c>
      <c r="I6533" t="inlineStr">
        <is>
          <t>だから俺への妬みや怒りを、今はただ増幅させているに違いないだろう。；「私は決して妬んでいるのではない」と驚いて彼女は自ら強く肯定した。；名人・人気を妬んだ誰かに水銀を飲まされ声が出なくなったことがある。；ただし醜い女は粧飾して渡っても、神が妬まないと見えて無事であった。；この非難は警察から出されているもので、多分に妬みからだと思う。；もし彼らとおなじ立場に居たら、物書きとなった仲間を妬んだだろう。；稲沢は地獄行きではないだろうなと、ハンカチを噛んで妬むふりをした。；俺は人間が出来てるからともかく、妬み嫉みはそりゃああるだろうなあ。；楊家の人々は一方で、楊家を妬む宋内部の奸臣たちとも戦うのであった。；こんな夫婦だからこそ、人の幸福を妬み、人の不幸を望むようになるのです。；だからこちらでは才能ある者を妬み引きずり下ろそうとする人が多すぎる。；しかし父親が実の息子を妬むというようなことが、実際にあるものだろうか?；もし周りが成功を妬んで君を憎んでいるなら、君は正しいことをしてるんだよ!；彼の兄弟は、父が自分たちよりもヨセフを偏愛するのを妬むようになった。；とりわけ妬みはシャーデンフロイデと表裏一体の感情と捉えられている。；復讐の女神ネメジスは人間の幸福を妬んで、之を傷けねばやまぬといふ。；友達だと思ってた奴が自分のことを妬んでたら、それでもう友達じゃなくなるのか!?；しかし、もし、男性に怒りや不信や妬みがあると、逆に不快に感じます。；ラス・サヴァスの施設の中で、わたしが得た権限を妬んでいたのだ。；いつか、シゲルの中にのぞいた彼女への妬みは、跡形もなく消えていた。；あんたはそれに満足していなかった、より一層妬んでいったんだ。；他に走つたからというて、嫉み妬むのならば、それは自己の愛である。；よほど運がよくて、怪我もしないで、妬まれず、綱が渡れたら話だが。；これでは他の子供に妬まれるのも無理はない話だった。；富の所有は名誉を与えるが、それは妬みを起こさせるような栄誉である。；しゃべることにかけてはおれのほうがどうにか巧いので妬んでいるのだ。；心が満たされていない人は、人の幸福を妬み、人の不幸を笑う人たちなのです。；ユダヤ人の商才が妬みの対象とされるのは珍しいことではない。；六、妬むにはあらねど、いかなるわけか、成功者の悪口を言う傾向あり。</t>
        </is>
      </c>
      <c r="J6533">
        <f>HYPERLINK("https://www.weblio.jp/content/妬む", "词义详情")</f>
        <v/>
      </c>
      <c r="K6533">
        <f>HYPERLINK("https://yourei.jp/妬む", "查看例句")</f>
        <v/>
      </c>
    </row>
    <row r="6534">
      <c r="A6534" t="inlineStr">
        <is>
          <t>ねだる</t>
        </is>
      </c>
      <c r="B6534" t="inlineStr">
        <is>
          <t>成功</t>
        </is>
      </c>
      <c r="C6534" t="inlineStr">
        <is>
          <t>読み方：ねだる
［動ラ五（四）］
１甘えたり、無理に頼んだりしてほしいものを請い求める。せがむ。せびる。「小遣いを—・る」「おもちゃを—・る」
２難くせをつけて要求する。ゆする。
「おれを—・って銀取らうとは」〈浄・曽根崎〉
３ぐずぐず文句を言う。ごねる。
「客様さへ紛らかしてくれなさるに、華車様聞こえぬと—・りけるを」〈咄・軽口大黒柱・四〉
［動ラ下二］に同じ。
「たった今給はらんとぞ—・れける」〈浄・百日曽我〉
[用法]ねだる・せがむ——「小遣いをねだる（せがむ）」「公園に連れていってとねだる（せがむ）」など、物や行為を求める意では相通じて用いられる。◇「ねだる」のほうが用いられる範囲が広く、物品に関しても行動に関しても言う。また「無いものねだり」「おねだり」のような名詞的用法も「ねだる」に限られる。◇「せがむ」のほうは、「幼児が母親に抱いてとせがむ（＝だっこをせがむ）」のように、行為を要求する場合に多く用いる。◇類似の語に「せびる」がある。しつこく強要して金や物をもらう意がより強い。「しつこく申し出て、相当の金品をせびり取った」</t>
        </is>
      </c>
      <c r="D6534" t="inlineStr">
        <is>
          <t>せがむ；たかる；せびる；強請る；金をせびる</t>
        </is>
      </c>
      <c r="H6534" t="n">
        <v>29</v>
      </c>
      <c r="I6534" t="inlineStr">
        <is>
          <t>いままでこんなにおねだりしたい気持ちになったことは一度もありません。；だけど自分の物は何もない人は、神さまにそんなにおねだりしないのよ。；まるで散歩をおねだりしたのに連れて行って貰えなかった子犬のようだ。；でも、私は自分が持っているものをおねだりしているようなものですわね。；初めてここへ来た日、私は祖母に若いときの写真を見せてくれとねだった。；それでいながら、二人とも親に本を買ってくれとねだったことがない。；父は母にお金をねだるばかりだったし、家にはほとんど帰ってこない。；警戒心のない無邪気な笑顔で、僕に近づいてきて、僕に物語をねだった。；相手の迷惑をかまわず、記念の写真をねだって成功しただけなのだろう。；それでいながら、猫を飼いたいと浦野にねだったことは一度もなかった。；そのレーンの目には、どこか子供がおねだりをするような色があった。；しかし、何もそのお返しをあなたにおねだりするわけではありませんよ。；わたしはいままで、冴子さんに直接ねだったことはいちどもありません。；きみたちのおとうさんの持っている美術品を、おねだりしたいからだよ。；なにかをねだったり、やってもらったりしたら、必ず交換条件を出された。；そんな疑問調でおねだりされたら、欲しい物は何でも買ってあげてしまう。；弦叔父が、一度、彼たちの家に来て、母に、酒をねだったことがあった。；一度、母にねだってやわらかいパンを皿に入れてもらったことがある。；事実、おまえにねだられたものは、たいてい買ってやっているはずだ。；プールに連れて行って欲しいだなんて、可愛らしいおねだりじゃないか。；それに今度は、ぼくたちに何かをねだったり喧嘩を売ったりする者はいなかった。；自分がおねだりなすつたことなどは、ちつとも書いておありにならないのですもの。；毎朝廊下を通る人影を見ると三尾喙を並べてこっちを向いて餌をねだった。；また、あとを引いて、それ以上ねだるようなことは、けっしてしません。；家は、物をねだってはいけない規則で、おねだりは絶対に成功しない。；家は、物をねだってはいけない規則で、おねだりは絶対に成功しない。；以来、私に会うごとに「本、作って」とねだられるのにはまいっている。；主人も息子には甘くて、何かをねだられるといやと言えないのです。；こちらをじっと見ていた子供が近づいてきて物をねだった。</t>
        </is>
      </c>
      <c r="J6534">
        <f>HYPERLINK("https://www.weblio.jp/content/ねだる", "词义详情")</f>
        <v/>
      </c>
      <c r="K6534">
        <f>HYPERLINK("https://yourei.jp/ねだる", "查看例句")</f>
        <v/>
      </c>
    </row>
    <row r="6535">
      <c r="A6535" t="inlineStr">
        <is>
          <t>値段</t>
        </is>
      </c>
      <c r="B6535" t="inlineStr">
        <is>
          <t>成功</t>
        </is>
      </c>
      <c r="C6535" t="inlineStr">
        <is>
          <t>読み方：ねだん
売買されるときの金額。あたい。価格。「—が安い」「—をつける」</t>
        </is>
      </c>
      <c r="D6535" t="inlineStr">
        <is>
          <t>値段表；値段設定；値段交渉；値段札；値段づけ</t>
        </is>
      </c>
      <c r="E6535" t="inlineStr">
        <is>
          <t>入り；代；値；費用；価格</t>
        </is>
      </c>
      <c r="F6535" t="inlineStr">
        <is>
          <t>安い値段；お値段；同じ値段；法外な値段；手頃な値段</t>
        </is>
      </c>
      <c r="H6535" t="n">
        <v>29</v>
      </c>
      <c r="I6535" t="inlineStr">
        <is>
          <t>権利書は最終的に最も高い値段を提示したプレイヤーが現金で購入する。；一般的にはアラカルトで注文した料理より値段の高い料理が提供される。；しかし外国人に日本人は人をみて値段を変えると思われることになる。；セットのためには、美容師の技術が重要で、値段は十数円だとしている。；貧困層はパンの値段と家族の人数に応じた援助を受け取ると定められた。；そのため、僅かではあるが現存しており、高額な値段で取引されている。；自動車メーカーアウディが製造している自動車の中では最も値段が高い。；全ての街で仲間を生き返らせる費用や宿泊費が一律の値段となっている。；多くの場合書籍の裏、値段の前にCxxxxといった形で記されている。；カメラの値段は、ボディに付いているレンズの種類よって異なっていた。；当時の一般的なブラウン管と比較して値段の割りに画質が良くなかった。；値段により6つの枠に別れており、それぞれ一つずつしか装備出来ない。；こうした同人誌は印刷代のみの値段で、イベント会場で販売されていた。；双方の積荷の値段や価値には大きな差があることもそれに関係する。；グッズはゲストが好きな値段で決めれるなど挑戦的な試みもあった。；その日も雪絵が自分の記憶を売ったところ、それは破格の値段で売れた。；これは当時の絵画作品についた値段としてもかなり低い価格である。；また箱を買った時には、最初に値段を表示してから中身を公開した。；当時の烏梅は収益率がよく、年によっては米や麦の数倍の値段となった。；高い値段設定にもかかわらず1万部を売るなど順調な売り上げであった。；席を増やさなくても、値段を上げる手もあるし、やり方はいろいろある。；この中の一部の種類などはその希少性から、高額の値段が付けられている。；しかし、現在でも値段を言う時にはサンチーム単位で言う習慣である。；「女性の大事なものがその程度の値段で売り渡されていいはずがない」と。；彼女にはその卵の値段にも興味がもてるものだと云うことが解った。；また日本でも中世から近世にかけては新米よりも古米の方が値段が高い。；男子用・女子用と値段は変わらないが、若干ネクタイの長さが異なっている。；竹の太さは同じではなく、竹の太さ分けによりレマンの値段が異なる。；しかも前述のように、A国の方が小麦の値段はB国のそれを下回らない。</t>
        </is>
      </c>
      <c r="J6535">
        <f>HYPERLINK("https://www.weblio.jp/content/値段", "词义详情")</f>
        <v/>
      </c>
      <c r="K6535">
        <f>HYPERLINK("https://yourei.jp/値段", "查看例句")</f>
        <v/>
      </c>
    </row>
    <row r="6536">
      <c r="A6536" t="inlineStr">
        <is>
          <t>熱</t>
        </is>
      </c>
      <c r="B6536" t="inlineStr">
        <is>
          <t>成功</t>
        </is>
      </c>
      <c r="C6536" t="inlineStr">
        <is>
          <t>読み方：ねつ
［音］ネツ（呉）　［訓］あつい
［学習漢字］4年
１温度が高い。あつい。「熱気・熱帯・熱湯・熱風」
２温度を高める力。あつさ。「熱源・熱量／火熱・暑熱・焦熱・耐熱・地熱・電熱・放熱・余熱」
３体温のあつさ。「熱病／解熱(げねつ)・発熱・微熱・平熱」
４ある事に感情を高ぶらせる。「熱愛・熱意・熱演・熱狂・熱中・熱望・熱烈／狂熱・情熱」
５熱病。「産褥熱(さんじょくねつ)・猩紅熱(しょうこうねつ)」
［難読］稲熱病(いもちびょう)</t>
        </is>
      </c>
      <c r="D6536" t="inlineStr">
        <is>
          <t>熱河；熱分解；熱安定性；熱核反応炉；熱病患者</t>
        </is>
      </c>
      <c r="E6536" t="inlineStr">
        <is>
          <t>熱心；真剣；情熱；高温；熱狂</t>
        </is>
      </c>
      <c r="F6536" t="inlineStr">
        <is>
          <t>火熱；発生する熱；ひどい熱；体熱；黒狼熱</t>
        </is>
      </c>
      <c r="G6536" t="inlineStr">
        <is>
          <t>熱い；熱く；熱中；熱帯；熱狂</t>
        </is>
      </c>
      <c r="H6536" t="n">
        <v>29</v>
      </c>
      <c r="I6536" t="inlineStr">
        <is>
          <t>物体間で仕事を通じて移動する以外のエネルギーの移動形態を熱という。；熱を吸収することを利用した黒色のフォイルが、料理に使用されている。；しかし、その単純な対立構図はより理由が鮮明になり熱を帯びていった。；その他の地域ではマントルの熱を直接利用することはほとんど不可能。；水の雲は惑星内部から供給される熱を受けて、雷のエネルギーを蓄積する。；全空気方式は、熱輸送に空気のみを用いるもので中央式の代表的なものである。；過去、熱に関してはその源として熱素なるものの存在が信じられていた。；電力を表示しているワットが、光や熱の単位のように扱われることがある。；かつては温度と熱の概念の区別が明確にされていなかった。；逆に火の勢いが強くなると、周囲のものが熱などによって影響を受けやすい。；そのため強い熱と濃い煙に妨げられ、救助隊員たちの救出活動は遅れた。；前者は太陽であり、後者はその熱と光を受ける月に例えられている。；熱がこもっていたのは明らかで、わずか44日ほどで完成をみている。；一方では、船の推進の摩擦による熱が発生し、船の周りに温水ができる。；放出するエネルギーは熱だけでなく、光、電気などの形をとる場合もある。；この生石灰に水を加えると熱を発しながら水酸化カルシウムを生成する。；この事実は、当時の熱の運動説では説明できないものであった。；この事件はしばらく状況を平穏にし、信仰熱の一時的な高揚につながった。；このとき、蒸発に必要な気化熱は全てその空気塊から奪われるものとする。；これを直接塩素化法と同様に熱分解すればクロロエチレンが得られる。；このようなことから、木星は内部から熱を発していると考えられる。；熱が移動しないようにすれば、吸熱反応により系の温度は低下する。；そして現在では熱は運動であるとされており、カロリック説は否定されている。；全身が毛に覆われているため、体表に汗をかいても熱が逃げにくいためとされる。；特に、力学系からエネルギーが失われて熱へと変化する現象は多い。；温度と熱の違いに初めて気が付いたのはジョゼフ・ブラックであると考えられている。；反応によっては熱でなく電気などの形でエネルギーを与えることで進行するものもある。；この熱が紫外線によって生じるにはあまりにも太陽から離れている。；外部から熱が入ったり出て行かないように断熱容器になっている。</t>
        </is>
      </c>
      <c r="J6536">
        <f>HYPERLINK("https://www.weblio.jp/content/熱", "词义详情")</f>
        <v/>
      </c>
      <c r="K6536">
        <f>HYPERLINK("https://yourei.jp/熱", "查看例句")</f>
        <v/>
      </c>
    </row>
    <row r="6537">
      <c r="A6537" t="inlineStr">
        <is>
          <t>熱意</t>
        </is>
      </c>
      <c r="B6537" t="inlineStr">
        <is>
          <t>成功</t>
        </is>
      </c>
      <c r="C6537" t="inlineStr">
        <is>
          <t>読み方：ねつい
物事に対する意気込み。熱心な気持ち。「—がこもる」「仕事に対する—を買う」</t>
        </is>
      </c>
      <c r="D6537" t="inlineStr">
        <is>
          <t>熱意あふれる；熱意溢れる</t>
        </is>
      </c>
      <c r="E6537" t="inlineStr">
        <is>
          <t>感情；熱；決意；熱心；興奮</t>
        </is>
      </c>
      <c r="F6537" t="inlineStr">
        <is>
          <t>強い熱意；たいという熱意；大きな熱意；宗教的熱意；純粋な熱意</t>
        </is>
      </c>
      <c r="H6537" t="n">
        <v>29</v>
      </c>
      <c r="I6537" t="inlineStr">
        <is>
          <t>当時は俳優という仕事にそれほどの熱意を持っているわけではなかった。；クリスピン・ボイヤーだけが新ステージのデザインへの熱意を表明した。；好きでやつてゐる、熱意さへ持つてやつてゐるとしか見えないもんだから。；第六高等学校以降は地元の誘致の熱意もその設立に大きな影響を与えた。；自分自身に言いきかせるかのように、彼女は熱意をこめてそう言っていた。；それはアングルがこの章にこそ一番つよい熱意をもつてゐたからなのだ。；それは実に又八としては珍しいほどな熱意で追いついて来た目標だった。；そして私のそういう熱意は、今の所では父と母とのことを書く方へ向ってこない。；この、反教会的革命の熱意は、ある一つの有名な詩に顕著に示されている。；彼の熱意および粘り強さはどんなに評価しても高すぎることはない。；本作の開発が始まったそもそものきっかけは池田の熱意であると言われている。；ヨーロッパの水銀鉱山を傘下に収めていくことに熱意を持っていた。；しかし、彼の父親は彼の熱意をまったく共有していませんでした。；知識の幅の広さや信頼できる性質および熱意によって彼は一般に高く評価された。；その後、返信があった中から熱意を持ってくれたチームと直接交渉している。；しかし、編集部の熱意に押され、結局執筆することになった作品である。；また、彼は自国の芸術のために熱意を持って励むということがなかった。；また、ある種の人々の熱意からのみ生れるものだとも信じてゐない。；陽貨は、座につくと、いかにも熱意のこもったような口調で説き出した。；しかし小林の熱意により試みに鉄道敷設が許可されることになったという。；父親は哲学科への進学を歓迎しなかったが、梅原の熱意が強いため許可した。；この抗議の中にはいくぶん信心の熱意が含まれているように見える。；相手の熱意を、わざと外らしている風にも受けとれないことはない。；若しこの仕事への熱意を長く弱めないなら、結果は約束されてゐるのである。；このことが王に熱意を持たせる要因になったとされる。；本プロジェクトに対する熱意が失われたことを原因の一つとして挙げている。；葉子の心の中は倉地の妻の事をいい出そうとする熱意でいっぱいになっていた。；当初は旭化成が番組構成に難色を示したが、最終的に王の熱意に押された。；その日から政府は樺太のことに関する限り全然熱意をうしなったのである。</t>
        </is>
      </c>
      <c r="J6537">
        <f>HYPERLINK("https://www.weblio.jp/content/熱意", "词义详情")</f>
        <v/>
      </c>
      <c r="K6537">
        <f>HYPERLINK("https://yourei.jp/熱意", "查看例句")</f>
        <v/>
      </c>
    </row>
    <row r="6538">
      <c r="A6538" t="inlineStr">
        <is>
          <t>熱心</t>
        </is>
      </c>
      <c r="B6538" t="inlineStr">
        <is>
          <t>成功</t>
        </is>
      </c>
      <c r="C6538" t="inlineStr">
        <is>
          <t>読み方：ねっしん
［名・形動］(スル)ある物事に深く心を打ち込むこと。また、そのさま。「—な仕事ぶり」「—に講義を聞く」
「会社の帰掛け稽古に—している由を」〈荷風・雨瀟瀟〉
[派生]ねっしんさ［名］</t>
        </is>
      </c>
      <c r="D6538" t="inlineStr">
        <is>
          <t>熱心なファン；熱心な信者；熱心な支持者；熱心な読者；熱心なカトリック</t>
        </is>
      </c>
      <c r="E6538" t="inlineStr">
        <is>
          <t>熱；興奮；正直；本気；真剣</t>
        </is>
      </c>
      <c r="F6538" t="inlineStr">
        <is>
          <t>教育熱心；研究熱心；不熱心；勉強熱心；稽古熱心</t>
        </is>
      </c>
      <c r="G6538" t="inlineStr">
        <is>
          <t>熱心党のシモン</t>
        </is>
      </c>
      <c r="H6538" t="n">
        <v>29</v>
      </c>
      <c r="I6538" t="inlineStr">
        <is>
          <t>幼い頃から動物の収集家であっただけでなく、熱心な観察者でもあった。；なお、この時期のロシアは並行して熱心に砕氷船の開発・建造に努めた。；佐佐木行忠によると家達はこの近衛の動きを熱心に支援していたという。；各国の航空機メーカーはこの市場を狙って熱心に新型機の研究を行った。；ハルは国際連合の発案者および熱心な支持者であったことで有名である。；また、父が熱心に勧めた影響で兄の彬も生長の家の熱心な信者になった。；両親は正式な教育をあまり受けてなかったが、母が教育熱心だった。；また、彼は新しい教会を建設し、修道会社会の熱心な擁護者でもあった。；映画化の折には、作品内容に踏み込んで、熱心なファン活動も見られた。；一方で統合教育出身のろう者が熱心なろう文化支持者になる場合もある。；江戸後期の大野藩は、特に西洋の先進技術の研究・摂取に熱心であった。；仏教信仰に熱心だった西夏支配の敦煌では最後の繁栄の時代を迎えていた。；これにはユダヤ人が歴史的に教育熱心であったという背景もある。；小錦は自分がサモア系であることもあって南海龍の面倒を熱心に見ていた。；ヒトラーユーゲントが、他国との交流に熱心な理由は次の3点にあった。；上院では予算委員長などを歴任、環境保護に熱心なことでも知られた。；また彼は、数え切れないほどの生徒を指導した熱心な教師であった。；誰が建造を命じたのかについて今日まで熱心に議論されている。；この作品は「きみキラ」と略称され、その後も長く熱心なファンがいた。；アルバムリリースを重ねるごとに熱心なファンを作り出すことに成功。；教授職引退後もジョセフソンはこのプロジェクトだけは熱心に続けている。；パスカルが少年の時に、教育熱心な父親は一家を引き連れパリに移住する。；しかし、当時の子供たちが振り付けを熱心に覚えて真似をし始めた。；また芸術の熱心な愛好家、パトロンでもあり、様々な芸術家とも交流した。；フリードリヒは優れた詩人であり、同時に文芸の保護にも熱心だった。；三国時代から盛んになり、唐代以後まで熱心にその製造が試みられた。；その芸を邪道とする意見も少なくなかったが、熱心なファンを獲得し続けた。；他の氏族より背が低く、知識の吸収にもあまり熱心ではなかった。；父は子供たちの教育に関心を持ち、幼児のときから熱心に育てた。</t>
        </is>
      </c>
      <c r="J6538">
        <f>HYPERLINK("https://www.weblio.jp/content/熱心", "词义详情")</f>
        <v/>
      </c>
      <c r="K6538">
        <f>HYPERLINK("https://yourei.jp/熱心", "查看例句")</f>
        <v/>
      </c>
    </row>
    <row r="6539">
      <c r="A6539" t="inlineStr">
        <is>
          <t>熱する</t>
        </is>
      </c>
      <c r="B6539" t="inlineStr">
        <is>
          <t>成功</t>
        </is>
      </c>
      <c r="C6539" t="inlineStr">
        <is>
          <t>読み方：ねっする
［動サ変］［文］ねっ・す［サ変］
１熱が生じる。熱くなる。「—・した砂浜」
２熱を加える。熱くする。「フラスコを—・する」
３物事に熱中してのぼせあがる。「議論が—・する」「—・しやすく冷めやすい性格」</t>
        </is>
      </c>
      <c r="D6539" t="inlineStr">
        <is>
          <t>加熱；温める；暖める；加温</t>
        </is>
      </c>
      <c r="H6539" t="n">
        <v>29</v>
      </c>
      <c r="I6539" t="inlineStr">
        <is>
          <t>ぼくたちは時といっしょに地球のまわりを飛んでいさえすりゃいいんだ。；表面にマグネタイトを形成する方法が一般的だがまったく充分ではない。；この病気に襲われた人々の中で、お前ほど楽にすんだ者はあんまりない。；当時、ドイツには新体制を構築しようとする帝国改造が求められていた。；機械学習では、機械がデータを利用してその性能を向上させようとする。；多くの場合、彼は現在の協力者に次にどこを訪問すればよいか尋ねていた。；一人はむかい岸にすんでいる商人で、一人はこの村の百姓の娘であった。；そうすりゃ噂をまいた本人がきっと赤面してしまうにちがいありません。；いずれにしろ幕府が特例を認めなければ現在の八代城は存在しなかった。；あなたがゆっくり横になりながら答えを見出して下すったらと思います。；物体間で仕事を通じて移動する以外のエネルギーの移動形態を熱という。；ぼくは少し先で車をとめ、煙草を一本すってから、急いで船へもどった。；しかし、いつどのように活動が変化するかを予測することは非常に難しい。；そういうところが、異常があったら報告しろと言って頂けるでしょうか?；が、まず猫ほどではないにしろ、勝手の違う気だけは起ったはずである。；この段階になればもはや事態を収拾しようとすることは極めて困難となる。；そうすりゃ手で働くより頭を使った方がどんなに得だかわかるだろう。；演奏がすんで廊下に出ると、一人の貴族がヘンデルの肩を叩いて言った。；いずれにせよ日韓双方の記録が秀吉軍の入城を前に消失したとしている。；そうすりゃ当日はこの男を牡牛のように大奮闘させてお目にかけますよ。；しかしどちらにしろ人生は結局さううまく行くものではないらしい。；いずれにせよ少しでも怪しいと感じたら絶対に借りないことが第一である。；用語「ヨーロッパ」は、歴史が展開する中で使われ方が様々に発展した。；用語「ヨーロッパ」は、歴史が展開する中で使われ方が様々に発展した。；いわゆる電子ガジェット類に機能の一つとして付属している場合もある。；休刊と称していても、実際には復活せずそのまま廃刊となることも多い。；実は、分割の大きさを極限で とすれば積分を定義するのに十分である。；各地でフィッシャーを支持する人々がこの状況を何とかしようとした。；熱を吸収することを利用した黒色のフォイルが、料理に使用されている。</t>
        </is>
      </c>
      <c r="J6539">
        <f>HYPERLINK("https://www.weblio.jp/content/熱する", "词义详情")</f>
        <v/>
      </c>
      <c r="K6539">
        <f>HYPERLINK("https://yourei.jp/熱する", "查看例句")</f>
        <v/>
      </c>
    </row>
    <row r="6540">
      <c r="A6540" t="inlineStr">
        <is>
          <t>熱帯</t>
        </is>
      </c>
      <c r="B6540" t="inlineStr">
        <is>
          <t>成功</t>
        </is>
      </c>
      <c r="C6540" t="inlineStr">
        <is>
          <t>読み方：ねったい
赤道を中心として南北両回帰線に挟まれた地帯。気候的には年平均気温がセ氏20度以上、または最寒月の平均気温がセ氏18度以上の地域をいい、回帰線よりやや広い。</t>
        </is>
      </c>
      <c r="D6540" t="inlineStr">
        <is>
          <t>熱帯魚(5%)；熱帯地域(5%)；熱帯植物(3%)；熱帯アジア(2%)；熱帯モンスーン気候(2%)</t>
        </is>
      </c>
      <c r="F6540" t="inlineStr">
        <is>
          <t>熱帯諸国；熱帯用；熱帯国；熱帯原産；熱帯樹林</t>
        </is>
      </c>
      <c r="G6540" t="inlineStr">
        <is>
          <t>熱帯雨林；熱帯域；熱帯性；熱帯地方；熱帯魚</t>
        </is>
      </c>
      <c r="H6540" t="n">
        <v>29</v>
      </c>
      <c r="I6540" t="inlineStr">
        <is>
          <t>ほとんどが熱帯に分布し日本は分布の北限にあたるため数種のみである。；世界的に水田稲作が行われているのはほとんどが熱帯・温帯地域である。；ハチドリが花の多い熱帯から生息地を広げられないのはこのためである。；この種を含むガンゼキラン属は熱帯アジアを中心に約50種が知られる。；ウリ科の植物の多くは熱帯に分布し、人類の歴史上最も古い作物を含む。；千数百種が世界の熱帯・亜熱帯などに分布し、特にアメリカ大陸に多い。；熱帯植物を主に展示する植物園で、社会科見学の際にもよく利用される。；その後台湾からも発見され、世界の熱帯に広く分布するものと考えられている。；西太平洋沿岸の熱帯・亜熱帯域に広く分布する淡水エビ類の一種である。；ホラシノブ属には世界の熱帯から亜熱帯に十数種があるとされている。；やはり熱帯まで分布があり、アフリカのものも同種とする場合もある。；また熱帯では果実のみならず、葉から繊維を採って利用することがある。；熱帯から亜熱帯の海洋に生息し、20羽以下の群れを形成して生活する。；約50属1200種からなり、熱帯・亜熱帯を中心に世界的に分布する。；熱帯収束帯は地上から見た太陽の位置が南北に動くのにあわせて南北に移動する。；世界中の熱帯から温帯の海域に広く分布し、一部は亜寒帯にも進出する。；寒帯・温帯はスミレ属が圧倒的に多く、熱帯にはその他多数の属がある。；夏の熱帯嵐とハリケーンが、内陸への移動に影響を与えたと見られる。；中庭にあるものを除き、温室にある植物は熱帯産の種類を含んでいる。；一方でフィリピン等の熱帯湿潤な環境では特に何も世話をしないでも育つ。；イギリスの植民地の中で、特に熱帯地域へ人口の移動が促進された。；日本にはそれほど多くないが、特に熱帯に多く、草本から高木まである。；日本では熱帯魚として輸入・飼育されるが、生息地では食用魚でもある。；また、熱帯の海では大型の海藻は少なく、寒い地方に大型の海藻が多い。；ホテイアオイは世界中の熱帯、亜熱帯で大増殖をして問題になっている。；熱帯および亜熱帯を中心に世界に広く分布するが、日本からは知られていない。；ペルーの最高峰でありかつまた地球上の熱帯地域での最高峰でもある。；日本には種類がごく少ないが、熱帯を中心に多くの種がある。；熱帯から亜寒帯まで多くの種類が知られるが、特に熱帯に種類が多い。</t>
        </is>
      </c>
      <c r="J6540">
        <f>HYPERLINK("https://www.weblio.jp/content/熱帯", "词义详情")</f>
        <v/>
      </c>
      <c r="K6540">
        <f>HYPERLINK("https://yourei.jp/熱帯", "查看例句")</f>
        <v/>
      </c>
    </row>
    <row r="6541">
      <c r="A6541" t="inlineStr">
        <is>
          <t>熱中</t>
        </is>
      </c>
      <c r="B6541" t="inlineStr">
        <is>
          <t>成功</t>
        </is>
      </c>
      <c r="C6541" t="inlineStr">
        <is>
          <t>読み方：ねっちゅう
［名］(スル)一つの物事に深く心を傾けること。夢中になること。「勝負事に—する」</t>
        </is>
      </c>
      <c r="D6541" t="inlineStr">
        <is>
          <t>熱中するあまり；熱中できる；熱中ぶり；熱中しすぎ；熱中しはじめ</t>
        </is>
      </c>
      <c r="E6541" t="inlineStr">
        <is>
          <t>熱心；興奮；夢中；情熱；没頭</t>
        </is>
      </c>
      <c r="F6541" t="inlineStr">
        <is>
          <t>熱中出来る；熱中するふり；ひどく熱中；からくり熱中；熱中する癖</t>
        </is>
      </c>
      <c r="G6541" t="inlineStr">
        <is>
          <t>熱中性子；熱中時代；熱中人；熱中症警戒アラート；熱中時代・刑事編</t>
        </is>
      </c>
      <c r="H6541" t="n">
        <v>29</v>
      </c>
      <c r="I6541" t="inlineStr">
        <is>
          <t>以後は政治・軍事共に関わることはなく、科学と植民地事業に熱中した。；かわりに乗馬に熱中し、夜は地元の学校の教師が個人授業を行っていた。；彼らが10代の頃熱中していたプログレッシブ・ロックを意識した作品。；若い頃銃猟にも熱中したが、銃で右指を怪我してからやらなくなった。；少年時代はサッカーに熱中していたが、父の勧めでボクシングを始めた。；小学校から中学校3年生までサッカーに熱中していたサッカー少年だった。；特にビーズアクセサリー制作は自ら店をオープンするほど熱中している。；カゼッラの場合はとりわけ美術に熱中して、重要な美術作品を蒐集した。；稽古に熱中するといつまでも帰ってこないので親が心配したという。；カナダへ高校留学し、現地の友人らとメタルなどのバンド音楽に熱中する。；高校時代はテニスに熱中、コーチを職業にすることを考えるほどだった。；高校3年間は一日に一枚絵を描くほどの勢いで絵に熱中していた。；そしてスポーツに熱中することで次第に色恋沙汰への関心を失っていった。；渠は若い時から文學に熱中し出したのが最初の原因で父と衝突した。；リスナーが熱中しているものや打ち込んでいることを募集するコーナー。；高校では野球とバスケットボールに熱中し、卒業後は建設現場で働いた。；高校からはドラムに熱中し、X Japanなどを演奏していたという。；周りから「バスケしかイメージがない」と言われるほど、熱中していた。；大学在学中は写真部に所属し、写真に熱中し写真雑誌への投稿を始める。；工学を学んでいたが、サッカーに熱中して勉強を放棄してしまった。；やがて麻布小学校に入学するが、芝居好きの父親の影響で芝居に熱中していた。；走ることに熱中しすぎる吉夫を勉学の道に向かわせるための対策であった。；人生で初めて熱中した楽器となり、短期間だがギタースクールにも通った。；同時にまたマルクスやエンゲルスの本に熱中しはじめたのもそれからである。；ジャクソン・ブラウン以降は、そこまで熱中した存在はいないという。；一つの物事に熱中すると、他のことは完全に忘れてしまうことが度々あった。；学校ではボーイスカウト活動や音楽に熱中する子供だったという。；日本人も、王朝の寿命の長短に関する中国との比較論に熱中したという。；しかしいくらスポーツに熱中していても政治への思いは少しも弱まることはなかった。</t>
        </is>
      </c>
      <c r="J6541">
        <f>HYPERLINK("https://www.weblio.jp/content/熱中", "词义详情")</f>
        <v/>
      </c>
      <c r="K6541">
        <f>HYPERLINK("https://yourei.jp/熱中", "查看例句")</f>
        <v/>
      </c>
    </row>
    <row r="6542">
      <c r="A6542" t="inlineStr">
        <is>
          <t>熱湯</t>
        </is>
      </c>
      <c r="B6542" t="inlineStr">
        <is>
          <t>成功</t>
        </is>
      </c>
      <c r="C6542" t="inlineStr">
        <is>
          <t>読み方：あつゆ
普通よりも熱めにわかした風呂。</t>
        </is>
      </c>
      <c r="D6542" t="inlineStr">
        <is>
          <t>熱湯を注ぎこん；熱湯を注ぎ入れ</t>
        </is>
      </c>
      <c r="E6542" t="inlineStr">
        <is>
          <t>湯；お湯；熱い湯；温かいお湯</t>
        </is>
      </c>
      <c r="F6542" t="inlineStr">
        <is>
          <t>加えて熱湯</t>
        </is>
      </c>
      <c r="G6542" t="inlineStr">
        <is>
          <t>熱湯コマーシャル；熱湯消毒；熱湯玉露；熱湯浴</t>
        </is>
      </c>
      <c r="H6542" t="n">
        <v>29</v>
      </c>
      <c r="I6542" t="inlineStr">
        <is>
          <t>あいつの出す茶は味も解らないくらいの色の付いた熱湯でしかないのだ。；湯気が立っていることから、水槽の中には熱湯が入っているようだった。；動かせばその波動から熱湯が近所の人の皮膚を刺すがためであるという。；動かせばその波動から熱湯が近所の人の皮膚を刺すがためであるといふ。；それは他でもなく、雲仙地獄の熱湯で彼等を拷問にかけることであった。；黒い塊は降りかかった熱湯の幕ごと信じられない速度で避けた。；きっと、熱湯に手を入れてケロリとしていた奴がいたに違いないね。；それから全身の皮膚が熱湯を浴びたかのように燃えはじめた。；ところが、突然私らの魂に熱湯を注ぎかけたような事件が勃発した。；又凍死たるを湯火をもつて温れば助る事あれども武火熱湯を用ふべからず。；また半纏は、間違って熱湯などがかかってもすぐに脱げる服装であった。；医師に見せたところ、熱湯かそれに近いものをかけられた痕だと言われました。；それをいつか江戸っ子が馴染んで熱湯好きになったのだとオレは思うのだ。；そうだな、熱湯と氷水がぴったりと向き 合っている感じで変なんだ。；だいたい朝から人の頭に熱湯をかけてくれる様な真似をする奴はこいつ以外にいない。；食事が済んだあと、ちょうど鍋を熱湯で洗うだけの明るさが残っていた。；しかし、その頭の中の冷めた部分もすぐに熱湯によって溶けだしてゆく。；また熱湯や熱い料理を扱っているときに正介に話しかけてはいけない。；銃は熱湯のようなコーヒーの水溜《みずた 》まりの中へと沈んでいった。；お茶漬けには、熱湯を少しずつ注いだ濃い目のものを用いるのがよい。；熱湯に溶かすだけで容易に作ることができる粉末も販売されている。；急ぐ際は、たっぷりの熱湯をかけて蓋をしておけば、すぐにもどります。；小屋の下には大瓶が据えられて、次々と熱湯が送られてくるというわけだ。；他のカップヌードルと同様に基準線まで熱湯を入れ、3分待つと完成する。；「この熱湯の中には、もうこれ以上いられませんね」と、私は艦長に言った。；見れば彼女の指先は熱湯でもかけられたかの様に真っ赤に腫れ上がっていた。；熱湯で消毒しているから平気だというのが、この世代の考え方なのだろう。；洗浄の際に熱湯を使うと万年筆本体を傷めるので絶対に使用してはならない。；捕って来た虫は熱湯や樟脳で殺して菓子折りの標本箱へきれいに並べた。</t>
        </is>
      </c>
      <c r="J6542">
        <f>HYPERLINK("https://www.weblio.jp/content/熱湯", "词义详情")</f>
        <v/>
      </c>
      <c r="K6542">
        <f>HYPERLINK("https://yourei.jp/熱湯", "查看例句")</f>
        <v/>
      </c>
    </row>
    <row r="6543">
      <c r="A6543" t="inlineStr">
        <is>
          <t>熱弁</t>
        </is>
      </c>
      <c r="B6543" t="inlineStr">
        <is>
          <t>成功</t>
        </is>
      </c>
      <c r="C6543" t="inlineStr">
        <is>
          <t>読み方：ねつべん
熱のこもった弁論。熱烈な弁舌。「—を振るう」</t>
        </is>
      </c>
      <c r="D6543" t="inlineStr">
        <is>
          <t>熱弁をふるい(5%)</t>
        </is>
      </c>
      <c r="H6543" t="n">
        <v>29</v>
      </c>
      <c r="I6543" t="inlineStr">
        <is>
          <t>もう一つの世界に気づいた者たちだけだと、笈野は最後に熱弁をふるう。；敵味方双方に死者は出ずデイヴィスの熱弁に動かされ仲間に入る者もいた。；そして相互に使用する武器としては剣を選ぶという言葉でその熱弁を結んだ。；居間を歩き回り、腕を振って熱弁していたが、女はみとめられなかった。；こっちが水を向けもしないのに、あんなに熱弁をふるう人間も珍しい。；彼は容堂・春嶽の説を支持して、徳川氏の弁護に熱弁をふるうのである。；僕はその家の主人にだけ視線を据え、憑かれたような熱弁をふるった。；ホームズが熱弁をふるっているのを目にすると、やんわりとたしなめた。；並居る教授連中も、建部の熱弁と、筋の通った話にまた動揺を来たした。；熱弁をふるう自分を、もう一人の自分が醒めた目でそう観察しているような気がした。；熱弁ぎみに話している間、若い恵は目を丸くしていたが無理はない。；芸術的な感動を味ふのではなく、デマゴオグの熱弁に魅せられてゐたのである。；とたんにいままでの男の熱弁が、ぼくと男の間で急速に鼻白んでいくような気がした。；署長が副署長にむかって熱弁をふるっているその文句が彼の耳にはいったのである。；熱弁もいささか同じ内容の繰り返しになりかけている、加原律子がそこにいた。；しかし彼の熱弁にとって、およそこれほど奇妙な聴衆はなかったのではないか。；いくら浅井祐子が熱弁をふるい、目的は金ではないと主張しても、だ。；このために講師が熱弁を振るい、断食をさせた上で、深夜まで祈祷もさせる。；でも、本当のところ、俺はコーチの熱弁に心を動かされていた。；だが、本人はそれに気づいた様子もなく熱弁をふるい続けた。；しかし僕は白状するが、博士の熱弁を聞くのは、もうそのくらいで沢山だと思った。；いつだったか、テレビで熱弁をふるう死刑廃止論者を冷ややかに眺めていた。；タランスキー作品のファンである彼は、自分なら理想的な女優を提供できると熱弁する。；公孫鞅は自分の弁舌が発揮するのはここぞとばかりに孝公に向かって熱弁した。；入鹿が僧旻の講堂の前で馬から降りた時、僧旻は熱弁をふるっていた。；もう一方の彼はその命題を批判し、同じように熱弁をふるった。；その席には飛入りのかたちで杉本富士雄もあらわれて、熱弁をふるった。；脇で熱弁していた記者の肩をぴしゃりとはたくと、と示した。；この神の名誉を回復することに生命を賭けた男の熱弁は、聴衆を魅了しつづけた。</t>
        </is>
      </c>
      <c r="J6543">
        <f>HYPERLINK("https://www.weblio.jp/content/熱弁", "词义详情")</f>
        <v/>
      </c>
      <c r="K6543">
        <f>HYPERLINK("https://yourei.jp/熱弁", "查看例句")</f>
        <v/>
      </c>
    </row>
    <row r="6544">
      <c r="A6544" t="inlineStr">
        <is>
          <t>熱量</t>
        </is>
      </c>
      <c r="B6544" t="inlineStr">
        <is>
          <t>成功</t>
        </is>
      </c>
      <c r="C6544" t="inlineStr">
        <is>
          <t>読み方：ねつりょう
１熱エネルギーの大きさを表す量。単位はジュール、カロリー、ワット秒など。
２比喩的に、熱気。熱意。情熱。また、その度合い。「会場全体の—が高まる」「監督の並々ならぬ—を感じる作品」</t>
        </is>
      </c>
      <c r="D6544" t="inlineStr">
        <is>
          <t>熱量保存則；熱量不足；熱量素</t>
        </is>
      </c>
      <c r="E6544" t="inlineStr">
        <is>
          <t>エネルギー；熱；温度；体温；エントロピー</t>
        </is>
      </c>
      <c r="F6544" t="inlineStr">
        <is>
          <t>発生する熱量；同じ熱量；膨大な熱量；大きな熱量；伝熱量</t>
        </is>
      </c>
      <c r="G6544" t="inlineStr">
        <is>
          <t>熱量測定；熱量食</t>
        </is>
      </c>
      <c r="H6544" t="n">
        <v>29</v>
      </c>
      <c r="I6544" t="inlineStr">
        <is>
          <t>従ってもしも二個の太陽が衝突するとすれば当然非常な熱量を発生する。；生理的熱量とは、生物の活動に伴って吸収消費される熱量のことを言う。；燃焼熱とは、ある単位量の物質が完全燃焼した時に発生する熱量である。；発熱量は、一定の単位の燃料が完全燃焼するときに発生する熱量のこと。；また、ライブでも同世代のリスナーを中心に熱量の高い支持を獲得する。；日は沈みかけても、地面の発する熱量にはあまり変化がないようだった。；熱量の低い石炭を使用する常磐線用のD51形の一部にも搭載された。；出す熱量だけ取り去ってやらないと変化は進行しないのである。；それは静かな動作形のなかに最大の熱量を加へるといふやり方なのである。；だが、その猛暑はそれすらも、はねのけるほどの熱量をもたらしていた。；単純な熱量の比較だけなら火薬類よりもガソリンなどの方が大きい。；明暗境界線上のここでは、あれらは最大の熱量をこちらに収束できるんです!；熱量検出器の校正は装置性能の要であり、実行には注意が必要である。；時間に対して熱流量を積分することで反応熱の測定と総熱量の算出を行う。；あれだけ暴虐な熱量を誇った炎が、髪の一房を汚すことすらできていない。；しかし、その後大学院に進学するも、周囲の研究への熱量に圧倒されてしまう。；全伝熱量は式を積分すればよいので、これに式を用いて次式のように求まる。；そのために、秋葉の体は足りない分の力を外界からの熱量で補おうとしている。；炎弾とは比べ物にならない膨大な熱量が塊となって少年の背中へと叩き込まれる。；転移熱の単位は質量あたりの熱量または物質量あたりの熱量で示される。；ここでやり取りされる熱量は潜熱と言い、空気塊の温度に付加される。；努力は必ず報われるものだ式の少年漫画理論を熱量に変え、俺は足を動かしていた。；体の中から膨れ上がる熱量が、神経を幾倍にも研ぎ澄ませてくれる。；そしてそれがか完璧にエネルギーへ変換されたら、莫大な熱量になる。；ただその中で無駄に反射されて逃げる熱量を出来るだけ少なくすることが、科学の務めである。；ところで温泉のもってくる熱量くらいは、地熱からみたらそのほんの一部にすぎない。；竜の鱗の熱に対する耐性をものともしない、凄まじいまでの熱量であった。；この二つの海流はいずれも暖流であり、北極海に大きな熱量をもたらす。；原子はまた別に新しい結合を始めそうしてばく大の熱量を使用することになるかも知れない。</t>
        </is>
      </c>
      <c r="J6544">
        <f>HYPERLINK("https://www.weblio.jp/content/熱量", "词义详情")</f>
        <v/>
      </c>
      <c r="K6544">
        <f>HYPERLINK("https://yourei.jp/熱量", "查看例句")</f>
        <v/>
      </c>
    </row>
    <row r="6545">
      <c r="A6545" t="inlineStr">
        <is>
          <t>粘り</t>
        </is>
      </c>
      <c r="B6545" t="inlineStr">
        <is>
          <t>成功</t>
        </is>
      </c>
      <c r="C6545" t="inlineStr">
        <is>
          <t>読み方：ねばり
１粘ること。ねばねばすること。また、その程度や性質。「—のない米」
２がまん強くもちこたえる力。「—のあるチーム」</t>
        </is>
      </c>
      <c r="D6545" t="inlineStr">
        <is>
          <t>粘るインティ；粘るような感じ</t>
        </is>
      </c>
      <c r="E6545" t="inlineStr">
        <is>
          <t>抵抗；反抗；争う；挑む；辛抱</t>
        </is>
      </c>
      <c r="H6545" t="n">
        <v>29</v>
      </c>
      <c r="I6545" t="inlineStr">
        <is>
          <t>誰とも以前のような粘りつきまといつくような関係を持ちたくなかった。；巨人は50年の陣容を育てつつそこまで粘った大変なチームなのである。；みな雨に打たれたためにひどく黴びていて、黴のために粘りついていた。；だが、この異常な事態の連続に、彼らは徹夜で粘ることを決意したのだ。；スタートから逃げる形で直線を迎えるものの、粘りきれず9着に敗れた。；あたしが勝って、続く三人は決定打を打たせないように粘るという作戦。；増援を待って粘ってはいるが、俺達の力は侮れないと思い知っただろう。；それでだめなら、いくら粘っても無理だろうという善次郎の判断だった。；来たる秋に備えた粒の細かい背腹に粘りついている卵巣ではないのである。；耳にひんやりと粘りついてくるような、湿ったあの脅迫者の声であった。；一冊のスケッチブックと小説本があるのですから、半日だって粘れます。；流人くんが、粘り着くような視線でぼくを見ながら、ミウの話を続ける。；面の圧力に対してはかなりの粘りをみせても、点の圧力にはひ弱なものだ。；どうせ台はコンピュータ制御されているのだから、必要なのは粘りと情報だった。；手を動かすのにも足を動かすのにも粘りついたような抵抗を感じた。；大して重要なことを話しているわけでもあるまいに、何時間でも粘っている。；ダンスするアンディの姿を男達は粘りつくような視線で見つめていた・・・。；その水中を歩くような粘った時間は、投げられる瞬間、唐突に終わった。；私たちにそれは出来ないが、しかし、粘るところは、ざらにない力です。；泊っている七階へ行って、廊下のどこかで粘ってみるしかあるまい。；眼の裏に薄い膜でも張ったみたいに疲労と興奮が粘りついています。；せんを水に漬けて戻し、粘りが出るまでこねて、穴の並んだ箱に入れる。；私が粘って考えているのは、この前手紙で云っていたでしょう?；そこで閉店時間まで粘ったやつは、出てくる頃にはもう前後がわかりません。；彼にしてみれば、それを目処に、残された時間を粘り切ればすむのである。；もっとも、パンかなんか持って来ていたからもともと粘るつもりだったようです。；庭に面した縁側には、粘るような湿りけを帯びた夏の空気がこもっていた。；得られたばかりの銑鉄は粘りがなく融点が低いことから鋳物に用いられた。；銀助はそれからもしばらく粘っていたが、ようやく長い臀を上げた。</t>
        </is>
      </c>
      <c r="J6545">
        <f>HYPERLINK("https://www.weblio.jp/content/粘り", "词义详情")</f>
        <v/>
      </c>
      <c r="K6545">
        <f>HYPERLINK("https://yourei.jp/粘り", "查看例句")</f>
        <v/>
      </c>
    </row>
    <row r="6546">
      <c r="A6546" t="inlineStr">
        <is>
          <t>粘り強い</t>
        </is>
      </c>
      <c r="B6546" t="inlineStr">
        <is>
          <t>成功</t>
        </is>
      </c>
      <c r="C6546" t="inlineStr">
        <is>
          <t>読み方：ねばりづよい
［形］［文］ねばりづよ・し［ク］
１粘着力が強い。非常に粘りがある。「—・い餅」
２根気強く最後までやりとおそうとするさま。「—・い性格」「—・く交渉する」
３固体の材質がもろくないさま。「—・い鋼材」</t>
        </is>
      </c>
      <c r="D6546" t="inlineStr">
        <is>
          <t>粘り強い交渉(11%)；粘り強い守備(6%)；粘り強い説得(4%)；粘り強いディフェンス(3%)；粘り強い抵抗(3%)</t>
        </is>
      </c>
      <c r="E6546" t="inlineStr">
        <is>
          <t>勇敢な；しつこい；したたかな；タフな；執念深い</t>
        </is>
      </c>
      <c r="F6546" t="inlineStr">
        <is>
          <t>粘り強い棋風</t>
        </is>
      </c>
      <c r="H6546" t="n">
        <v>29</v>
      </c>
      <c r="I6546" t="inlineStr">
        <is>
          <t>当初から開発を支援していた任天堂も製品の完成を粘り強く待ち続けた。；犯人は、彼女が帰宅するのを粘り強く待っていたものと思われるのです。；ただ粘り強く、仲間が倒れても視界にすら入らないように突進してきた。；しかし最後まで、この男の粘り強い性格は、遺憾なく発揮されたのです。；物的証拠がないと不起訴になることがあるため、粘り強く捜査を続けた。；彼の熱意および粘り強さはどんなに評価しても高すぎることはない。；背は低く軽量だが筋肉質の体で力が強く、腰も重く粘り強かったという。；伊藤は日本案の正当性を粘り強く主張し、改訂に向けた運動を継続した。；厚さも三八センチあり、材質も新発明の粘り強い甲鉄が利用されていた。；死後も趣味にしがみつくような粘り強さは、私にはないものだったのだから。；恐ろしい粘り強さで、ぐんぐんのしかかつて来る力と彼は真剣に闘つた。；ジョンは劣勢な防衛陣を率いて粘り強く戦うが敗北は避けられないように思える。；これは神かけて誓うが、男には絶対にできない粘り強さと度胸である。；材料の破壊に対する粘り強さの特性を意味する靱性の具体的な指標の一種。；だが、デルは「一時もサーラと離れたくない」と粘り強く説得したのだ。；興津はそれは相当に粘り強い努力であったろうと推測している。；息が強く長くできるように鍛えられていると、思考も粘り強くなる。；グルジア人たちはロシア帝国政府に対し粘り強く教会の独立を要求した。；粘り強い守備と的確で効果的な攻撃参加でチームの優勝に貢献した。；彼らの粘り強さで条約の雛形はアメリカの要求の半分も盛りこまれなかった。；しかし一度破堤したことで籠城側は神威を信じ、粘り強く抵抗していた。；こうした生物の生命力がどれほど粘り強いものか知っていたからだ。；世界中の兵士を比較した場合においても日本兵の粘り強さは最高水準にある。；その粘り強さで街の犯罪減少に貢献したが、犯人の怒りは彼女の仲間に向かい仲間が殺される事態にまで発展した。；それでも林は諦めず粘り強く交渉を続けた結果、同年暮れに正式に採用された。；粘り強いディフェンスは外国人であっても嫌がり、効果のある武器である。；我々全員の粘り強い説得でついに水木も航空便輸送に同意した、と思ったのだ。；驚異的なラストスパートと勝負を諦めない粘り強さもレースとなった。；しかし、雨の前半競走での粘り強い走りを見せ、度々高配当を演出していた。</t>
        </is>
      </c>
      <c r="J6546">
        <f>HYPERLINK("https://www.weblio.jp/content/粘り強い", "词义详情")</f>
        <v/>
      </c>
      <c r="K6546">
        <f>HYPERLINK("https://yourei.jp/粘り強い", "查看例句")</f>
        <v/>
      </c>
    </row>
    <row r="6547">
      <c r="A6547" t="inlineStr">
        <is>
          <t>粘る</t>
        </is>
      </c>
      <c r="B6547" t="inlineStr">
        <is>
          <t>成功</t>
        </is>
      </c>
      <c r="C6547" t="inlineStr">
        <is>
          <t>読み方：ねばる
［動ラ五（四）］
１柔らかで、よく物にくっつき、また、よく伸びてちぎれにくい状態にある。「小麦粉を—・るまでこねる」
２長時間根気よくがんばる。「—・って勝利をものにする」「喫茶店で半日—・る」
[可能]ねばれる</t>
        </is>
      </c>
      <c r="D6547" t="inlineStr">
        <is>
          <t>粘るインティ；粘るような感じ</t>
        </is>
      </c>
      <c r="E6547" t="inlineStr">
        <is>
          <t>抵抗；反抗；争う；挑む；辛抱</t>
        </is>
      </c>
      <c r="H6547" t="n">
        <v>29</v>
      </c>
      <c r="I6547" t="inlineStr">
        <is>
          <t>誰とも以前のような粘りつきまといつくような関係を持ちたくなかった。；巨人は50年の陣容を育てつつそこまで粘った大変なチームなのである。；みな雨に打たれたためにひどく黴びていて、黴のために粘りついていた。；だが、この異常な事態の連続に、彼らは徹夜で粘ることを決意したのだ。；スタートから逃げる形で直線を迎えるものの、粘りきれず9着に敗れた。；あたしが勝って、続く三人は決定打を打たせないように粘るという作戦。；増援を待って粘ってはいるが、俺達の力は侮れないと思い知っただろう。；それでだめなら、いくら粘っても無理だろうという善次郎の判断だった。；来たる秋に備えた粒の細かい背腹に粘りついている卵巣ではないのである。；耳にひんやりと粘りついてくるような、湿ったあの脅迫者の声であった。；一冊のスケッチブックと小説本があるのですから、半日だって粘れます。；流人くんが、粘り着くような視線でぼくを見ながら、ミウの話を続ける。；面の圧力に対してはかなりの粘りをみせても、点の圧力にはひ弱なものだ。；どうせ台はコンピュータ制御されているのだから、必要なのは粘りと情報だった。；手を動かすのにも足を動かすのにも粘りついたような抵抗を感じた。；大して重要なことを話しているわけでもあるまいに、何時間でも粘っている。；ダンスするアンディの姿を男達は粘りつくような視線で見つめていた・・・。；その水中を歩くような粘った時間は、投げられる瞬間、唐突に終わった。；私たちにそれは出来ないが、しかし、粘るところは、ざらにない力です。；泊っている七階へ行って、廊下のどこかで粘ってみるしかあるまい。；眼の裏に薄い膜でも張ったみたいに疲労と興奮が粘りついています。；せんを水に漬けて戻し、粘りが出るまでこねて、穴の並んだ箱に入れる。；私が粘って考えているのは、この前手紙で云っていたでしょう?；そこで閉店時間まで粘ったやつは、出てくる頃にはもう前後がわかりません。；彼にしてみれば、それを目処に、残された時間を粘り切ればすむのである。；もっとも、パンかなんか持って来ていたからもともと粘るつもりだったようです。；庭に面した縁側には、粘るような湿りけを帯びた夏の空気がこもっていた。；得られたばかりの銑鉄は粘りがなく融点が低いことから鋳物に用いられた。；銀助はそれからもしばらく粘っていたが、ようやく長い臀を上げた。</t>
        </is>
      </c>
      <c r="J6547">
        <f>HYPERLINK("https://www.weblio.jp/content/粘る", "词义详情")</f>
        <v/>
      </c>
      <c r="K6547">
        <f>HYPERLINK("https://yourei.jp/粘る", "查看例句")</f>
        <v/>
      </c>
    </row>
    <row r="6548">
      <c r="A6548" t="inlineStr">
        <is>
          <t>値引き</t>
        </is>
      </c>
      <c r="B6548" t="inlineStr">
        <is>
          <t>成功</t>
        </is>
      </c>
      <c r="C6548" t="inlineStr">
        <is>
          <t>読み方：ねびき
［名］(スル)定価よりも安くすること。値をまけること。「冬物の衣料を—して売る」</t>
        </is>
      </c>
      <c r="D6548" t="inlineStr">
        <is>
          <t>値引き販売(8%)；値引き交渉(6%)；値引き競争(4%)；値引きされる(2%)；値引きサービス</t>
        </is>
      </c>
      <c r="E6548" t="inlineStr">
        <is>
          <t>サービス；推論；割引；値下げ；控除</t>
        </is>
      </c>
      <c r="H6548" t="n">
        <v>29</v>
      </c>
      <c r="I6548" t="inlineStr">
        <is>
          <t>移行した際にはその回に限り1000円分の値引きが実施されていた。；努力して、やっと息がつけそうになると、すかさず翌年はさらに値引き。；値引き自体が現実を湾曲しているため、その可能性を持たないからである。；五万円値引きすべきかどうか売場主任にでも相談するためのようだった。；そこで一種のおとり作戦で一番奥の別荘を値引きして売ったのである。；細い輪に指を通す方式のもので、値引き後でも、一万四千八百円もした。；彼女が言うには、一流ブランドでも信じられないぐらい値引きするんだそうだ。；おれがそのコンピュータを買おうとしたらケンジがきて値引き交渉をしてくれた。；ユキはプレスの方にかけ合って、幾らか値引きさせると約束してくれた。；ここは全て正規の品で、格安の上に、交渉次第でさらに値引きも可能。；店の横の空き地には大型バイクと値引きした自転車が並べてある。；また、全席指定のため自由席の設定や、それに絡めた値引き制度もない。；三角形に登場する者はすべて、何らかの形で値引きを行っている。；購入時に値引きされたり、ポイント還元率が増加するクーポンが配信される。；値引きに応じなかったので、三万鉢もキャンセルを食らってしまいました。；一方でソフトの値引きを行わず、定価での販売を原則とした。；ベネフィットワンなどの各福利厚生を使用した場合はここから値引きが適用される。；ただし、重複する場合は値引き額が大きい方のみの適用となる。；いい情報は胸の中にたたみこみ、わるい発見は、値引きの材料に使う。；これらは指定再販商品であり値引き販売をすることはできない。；市場に出回る前の製品だったり、大幅な値引きがされている。；この時、定価よりも少額を提示して待つことで微妙な値引き交渉が可能である。；値引きの制限を明確に独禁法違反と認定するのは、これが日本国内初のこととなった。；腕に自信があるし、事実いい腕だから、技術料の値引きもない。；その際、自ら犯人と交渉して身代金を値引きさせたという。；この販売方法では、値引きされた価格での一括払いによって端末を購入する。；しかし、ようやく捕まえたこの客は、執拗に値引きを要求してきた。；わたしが頼んでも、いっさいの値引きをしないんだからな。；店舗は互いの競争に勝つために、店の商品を大幅に値引き、セールを行う。</t>
        </is>
      </c>
      <c r="J6548">
        <f>HYPERLINK("https://www.weblio.jp/content/値引き", "词义详情")</f>
        <v/>
      </c>
      <c r="K6548">
        <f>HYPERLINK("https://yourei.jp/値引き", "查看例句")</f>
        <v/>
      </c>
    </row>
    <row r="6549">
      <c r="A6549" t="inlineStr">
        <is>
          <t>寝坊</t>
        </is>
      </c>
      <c r="B6549" t="inlineStr">
        <is>
          <t>成功</t>
        </is>
      </c>
      <c r="C6549" t="inlineStr">
        <is>
          <t>読み方：ねぼう
［名・形動］(スル)朝おそくまで寝ていること。また、そのさまや、その癖のある人。朝寝坊。「—な（の）人」「—して学校に遅れる」</t>
        </is>
      </c>
      <c r="D6549" t="inlineStr">
        <is>
          <t>寝坊助(2%)；寝坊さん</t>
        </is>
      </c>
      <c r="E6549" t="inlineStr">
        <is>
          <t>朝寝</t>
        </is>
      </c>
      <c r="F6549" t="inlineStr">
        <is>
          <t>大寝坊</t>
        </is>
      </c>
      <c r="H6549" t="n">
        <v>29</v>
      </c>
      <c r="I6549" t="inlineStr">
        <is>
          <t>つまり、近所の人々も、寝坊のぼくのことを知っているわけなのである。；いくら春休みといっても、そうそう毎日寝坊しているわけにはいかない。；私は寝坊をした結果、日本服のまま急いで学校へ出た事があります。；非常に研究熱心だが、そのため徹夜して寝坊で遅刻することもしばしば。；そうだ、わたしは、あそこにいた寝坊の黒クマのことを思い出しますよ。；ようやく寝坊の床から抜け出したのか、細い道にも人の姿が見えはじめた。；庭球大会の日には、彼も見物に行く約束をしたが、寝坊して行き損つた。；ぼくが寝坊していても起こさずに一人で作業を始めるので困った。；「大変、あと三十分しかないわ」 修子がこんなに寝坊したのは珍しい。；と云つてもこの朝、私はめずらしくね坊をしたのでおきて見ると七時だつた。；ただ寝坊して朝ご飯抜きだというだけで、何も起こってないみたいだった。；寝坊の私は、寝床の中で、この長い手紙を枕もとにひろげながら読んだ。；先生は寝坊だからちょうど好いでしょうと大変文鳥に親切を極めている。；寝坊してしまったせいで、みんなとの待ち合わせに遅れそうなのだ。；今朝、寝坊してしまったヘンリエッタはよっぽどあわてていたのだろう。；この朝は、少し寝坊して、家を出たのが十時少し過ぎであった。；よく似た父娘だから、寝坊するときも一緒なのかもしれない。；それで寝坊した時には、自分への罰として女中にお金を渡すと決めた。；私が先に起きて、朝の用意をする役目だったのに寝坊したのだ。；「寝坊助」の由来は自動車の運転中に居眠りをする癖があったためである。；いくら君が寝坊だからって、今日は早くから起き上ってることと思っていた。；私の友人なんかにはそれは大変な寝坊が居るんです。；仕事が忙しくて寝不足がつづいたので、思いきり寝坊するつもりだった。；次の朝彼女は寝坊をしたから、父親はもう会社に出たあとで、姉は自分の部屋で絵を描いていた。；すっかり寝坊して、あわてて先にシャワーを浴び、部屋を出て来た。；休日なので寝坊したのか、特徴のあるゴミ袋が見えないこともある。；本当はもっと早いのにしたいんだけど、あたしたちお寝坊だから。；この人舞台にも寝坊して穴をあけた実績がある。；身体は昨日の騒ぎですっかりくたびれてしまっていたらしく、寝坊してしまったのだ。</t>
        </is>
      </c>
      <c r="J6549">
        <f>HYPERLINK("https://www.weblio.jp/content/寝坊", "词义详情")</f>
        <v/>
      </c>
      <c r="K6549">
        <f>HYPERLINK("https://yourei.jp/寝坊", "查看例句")</f>
        <v/>
      </c>
    </row>
    <row r="6550">
      <c r="A6550" t="inlineStr">
        <is>
          <t>寝巻き/寝間着</t>
        </is>
      </c>
      <c r="B6550" t="inlineStr">
        <is>
          <t>无结果</t>
        </is>
      </c>
      <c r="H6550" t="n">
        <v>0</v>
      </c>
      <c r="J6550">
        <f>HYPERLINK("https://www.weblio.jp/content/寝巻き/寝間着", "词义详情")</f>
        <v/>
      </c>
      <c r="K6550">
        <f>HYPERLINK("https://yourei.jp/寝巻き/寝間着", "查看例句")</f>
        <v/>
      </c>
    </row>
    <row r="6551">
      <c r="A6551" t="inlineStr">
        <is>
          <t>根回し</t>
        </is>
      </c>
      <c r="B6551" t="inlineStr">
        <is>
          <t>成功</t>
        </is>
      </c>
      <c r="C6551" t="inlineStr">
        <is>
          <t>読み方：ねまわし
［名］(スル)
１樹木などの移植の1、2年前に、広がった根を根もとを中心に残して切り、細根の発生を促すこと。
２交渉や会議などで、事をうまく運ぶために、あらかじめ手を打っておくこと。下工作。「しかるべき部署に—する」</t>
        </is>
      </c>
      <c r="D6551" t="inlineStr">
        <is>
          <t>スパイ；工作；駆け引き；ロビー活動；スパイ活動</t>
        </is>
      </c>
      <c r="H6551" t="n">
        <v>29</v>
      </c>
      <c r="I6551" t="inlineStr">
        <is>
          <t>事前に関係者にしっかり根回ししておかないとうまくできないんよ。；こういう根回しの要る事務的なことはこの老刑事に頼むのが一番確実だ。；きちんと根回しをして、どこからも後ろ指をさされないように気を使う。；その根回しがどんな内容を意味するのか、他の人間に知る術はない。；いくら人事異動の根回しであるにせよ、少し豪華すぎはしないだろうか。；よほどいいバックの根回しがないと、なかなかこの方面には回されない。；これは人間に近しい火の神を介して、他の神への根回しを図る行為である。；こうしたアメリカと日本にフランス側も対抗して、根回しを行った。；根回しはかつてはたいへんに重要なものだと思われていた。；すでに根回しは終えているだけに、わざわざ顔を出す必要もない。；寺尾から根回しの電話が入っているので、安東氏はすっかり信用している。；イギリスやアメリカとの間で根回しを十分に行っている。；時には許諾を得るために接待など相当な根回しが行われることもある。；彼らにも東條の決意が伝えられ、そのために根回しを行なうよう命じられた。；根回しもしておいたから、護堂と同じクラスに編入されるはずよ。；根回しなども、規定された手続きではないが、一種の手続きであろう。；グルなら根回しをしとるだろうが、どこかで必ずボロが出るものだからな。；曲尾と大曽根は高野に根回しを要請するが、いつもの調子でドヤされる。；こちらの根回しも複雑になってしまいましたからね。；すでに内部の根回しを終えているので、この時点で発表しても何ら支障はない。；同時に、返還交渉の根回しや親国民党勢力との接触も重要な任務に加わった。；この分では結婚取り消しに備えて教会裁判所まで根回しが行っていてもおかしくない。；根回し要員として会社人生を送った人の数は、合計すると相当なものではないのか。；先輩と交渉する一方、小津は着々と他の組織に根回しをしていた。；根回しに動いたのは鈴木派幹部の田中六助だったと言われている。；同協会は全国的な組織だけに、根回しも行き届いたものだった。；情報収集と根回しと、それに恫喝や懇願も含まれているかもしれない。；根回しといっても、大それたことをしたわけではない。；建物を建てることよりそれ以前の根回しが肝心な業務のようだ。</t>
        </is>
      </c>
      <c r="J6551">
        <f>HYPERLINK("https://www.weblio.jp/content/根回し", "词义详情")</f>
        <v/>
      </c>
      <c r="K6551">
        <f>HYPERLINK("https://yourei.jp/根回し", "查看例句")</f>
        <v/>
      </c>
    </row>
    <row r="6552">
      <c r="A6552" t="inlineStr">
        <is>
          <t>眠い</t>
        </is>
      </c>
      <c r="B6552" t="inlineStr">
        <is>
          <t>成功</t>
        </is>
      </c>
      <c r="C6552" t="inlineStr">
        <is>
          <t>読み方：ねむい
［形］［文］ねむ・し［ク］眠気を催している。眠り入るような気持ちである。ねむたい。「—・い目をこする」「—・くなる講義」
[派生]ねむがる［動ラ五］ねむげ［形動］ねむさ［名］</t>
        </is>
      </c>
      <c r="D6552" t="inlineStr">
        <is>
          <t>眠い目をこすり(7%)；眠いよう(4%)；眠い眼をこすり(2%)；眠い目を擦り；眠いわけ</t>
        </is>
      </c>
      <c r="E6552" t="inlineStr">
        <is>
          <t>眠たげ；眠たい；睡たげ；睡たい；眠げ</t>
        </is>
      </c>
      <c r="F6552" t="inlineStr">
        <is>
          <t>まだ眠い；もう眠い；薄ら眠い；ひどく眠い；本当に眠い</t>
        </is>
      </c>
      <c r="H6552" t="n">
        <v>29</v>
      </c>
      <c r="I6552" t="inlineStr">
        <is>
          <t>たしかに練習の後だから眠くなることもありましたが本当に面白かった。；あまりに眠くてどのように別れてどうやって家まで帰ったか覚えていない。；メンケン氏は眠くなって面倒だったのか、それ以上反対しませんでした。；唯一の欠点は、座っているとすぐに眠くなってしまうことぐらいだった。；眠い時でも八時十五分になるとベッドから這い出し、テレビをつけます。；時間はすでに七時か八時になっていて、あたしは本気で眠かったのだ。；人は眠くもないのに、人が欠伸をしているのを見ると欠伸がしたくなる。；彼らは眠くなるほど疲れ果てながらまた三町ほど歩かねばならなかった。；いくら寝不足でも、とても眠いなどと言っていられる状況ではなかった。；考えてみれば、眠いと思いながらも起きていられるうちは幸せだろう。；エンジンの音を聞いているうちに頭が重くなり、七瀬は眠くなってきた。；「あの時間にやるのは、ぼくだって眠いですよ」 彼はかすかに笑った。；しかしすぐ眠くてたまらなくなり、また雪の孔の中に戻って横になった。；もし笙子が酔って眠いのなら、このままじっとしておいてやってもいい。；おたくで売る薬はみんな眠くなるから嫌なんだけど、何か新しいのない?；それぞれ少しずつ飲んだおかげで眠くなり、おかげでかなり疲れがとれた。；波の音を聞いていれば自然に眠くなるかと思ったが、目は冴えるばかりだ。；そんな事をつらつらと考えているとなんだか不思議と眠くなってきた。；二晩眠っていないから眠いのかもしれないし、話が退屈なのかもしれない。；またしても寝ている間に事件が起こるような気がしたが、とても眠かった。；けれども、しばらく波にゆられているうちに、また眠くなってきました。；しかし昨夜二時まで起きて本を読んでいたので眠くってしかたがない。；まだ眠いといっているようだが、拒否していることだけは即座にわかった。；今流れているのは、聞いているだけで眠くなりそうなピアノの音色である。；どうにも眠くて仕方がないので、その場でうたた寝させてくれと言った。；そうすれば子供が眠くならないうちに、家で夕食をとることもできるだろう。；もっと説明してあげるのが親切なのだろうが、とにかく眠くて面倒だった。；波のリズムに催眠術をかけられたようになり、なんだか眠くなってくる。；眠くなるまで本を読むつもりだったが、眠りについたのは夜明け前だった。</t>
        </is>
      </c>
      <c r="J6552">
        <f>HYPERLINK("https://www.weblio.jp/content/眠い", "词义详情")</f>
        <v/>
      </c>
      <c r="K6552">
        <f>HYPERLINK("https://yourei.jp/眠い", "查看例句")</f>
        <v/>
      </c>
    </row>
    <row r="6553">
      <c r="A6553" t="inlineStr">
        <is>
          <t>眠気</t>
        </is>
      </c>
      <c r="B6553" t="inlineStr">
        <is>
          <t>成功</t>
        </is>
      </c>
      <c r="C6553" t="inlineStr">
        <is>
          <t>読み方：ねむけ
眠りたいという気分。ねむたい感じ。「—を催す」</t>
        </is>
      </c>
      <c r="D6553" t="inlineStr">
        <is>
          <t>眠気がさして(2%)；眠気をさそう；眠気防止；眠気をもよおさせる；眠気がすっかり</t>
        </is>
      </c>
      <c r="E6553" t="inlineStr">
        <is>
          <t>眠け</t>
        </is>
      </c>
      <c r="F6553" t="inlineStr">
        <is>
          <t>強烈な眠気；猛烈な眠気；ひどい眠気</t>
        </is>
      </c>
      <c r="G6553" t="inlineStr">
        <is>
          <t>眠気ざまし；眠気覚し</t>
        </is>
      </c>
      <c r="H6553" t="n">
        <v>29</v>
      </c>
      <c r="I6553" t="inlineStr">
        <is>
          <t>夜中の一時近くなって、やっと眠気の尻っ尾をつかんだような気がした。；まだ九時だというのに、眠気がぼんやりと視界を覆ってくるのを感じた。；自分が電車で頭を打つまえに、眠気みたいなものを感じなかったのか!?；まだ起きたばかりで、眠気の残っている頭の中は霧がかかったように白い。；眠気はとれなかったが、少しだけ、沈んだ気分が晴れたような気がした。；疲れているのか、こうして横になると激しい眠気が体中に浸透していく。；予想以上に緊張していたらしく、ホッとしたら眠気まで押し寄せてきた。；眠気とは、全然違う眠りから、一瞬にしてぱっとわたしの意識は戻った。；グアムの夜、ひどく眠気をおぼえたのは三十日と一日の夜ではなかったか。；自分は腰をおろして休むと眠気が出る、さういふ時にはうたたねをする。；だが、興奮しているためだろうか、疲労も眠気もまったく感じなかった。；浩は不意に眠気が覚め、顔を起こしてその学生の方を見ると隼人だった。；その電話の後、僕はまだ眠気が残っていたのでつい二度寝をしてしまった。；その結果、脳が急速に疲労するため眠気や脱力感に襲われることがある。；その次に眼を開いた時に、意識が再びこの不思議な眠気に集中した。；七時まで寝ていた僕は当然のことながら眠気も起きず、所在なく本を手に取る。；一度外に出て顔を洗ってきたというのにまだ眠気は消えていなかった。；あかりを消して眼をつぶつてみたが、疲れてゐるくせに眠気がささない。；眠気に打ち負かされそうになった直前、向かいの斜面を動くものが見えた。；眠気が身体にへばりつき、水の中を歩いてでもいるかのように感じる。；自分のことを話しているのだと分かって眠気が飛んでいった。；すこし我慢して起きていると眠気で床の上に倒れそうになる。；その煙の影響か、かなり離れた位置にいたはずの神名も軽い眠気に襲われる。；臭い話だが吟子はその下で立って本を読み、眠気の訪れるのを待った。；安心したとたん、背を起こしているのも億劫なくらいの眠気が襲ってきた。；何か悪い薬でも飲んだかのように眠気が吹き飛んでしまっていた。；この居場所を守るために〟 そして、やっとのことで眠気が襲ってきた。；ようやく母親の部屋に辿り着いたころには、少しは眠気が晴れていた。；起きなければならないと思うと、不足していた眠気がどっと襲い掛かる。</t>
        </is>
      </c>
      <c r="J6553">
        <f>HYPERLINK("https://www.weblio.jp/content/眠気", "词义详情")</f>
        <v/>
      </c>
      <c r="K6553">
        <f>HYPERLINK("https://yourei.jp/眠気", "查看例句")</f>
        <v/>
      </c>
    </row>
    <row r="6554">
      <c r="A6554" t="inlineStr">
        <is>
          <t>眠たい</t>
        </is>
      </c>
      <c r="B6554" t="inlineStr">
        <is>
          <t>成功</t>
        </is>
      </c>
      <c r="C6554" t="inlineStr">
        <is>
          <t>読み方：ねぶたい
［形］［文］ねぶた・し［ク］「ねむたい」に同じ。「徹夜明けで—・くてしかたない」
[派生]ねぶたがる［動ラ五］ねぶたげ［形動］ねぶたさ［名］</t>
        </is>
      </c>
      <c r="D6554" t="inlineStr">
        <is>
          <t>眠たい目(7%)</t>
        </is>
      </c>
      <c r="E6554" t="inlineStr">
        <is>
          <t>眠い；眠たげ；睡たげ；睡たい；眠げ</t>
        </is>
      </c>
      <c r="H6554" t="n">
        <v>29</v>
      </c>
      <c r="I6554" t="inlineStr">
        <is>
          <t>まあ、けふはこれだけにして置かう、君ももう眠たくなつただらうから。；その顔から笑みはすでに消えていて、物憂く眠た気な表情が戻っている。；そして彼はそのすべてを自分の疲れと眠たさのせゐにしようとした。；しかしそれはまるでなよっとした女の子が眠たげに言ったような声だった。；眠たげで不機嫌な声が、刑事のことを調べるには時間がかかるといった。；一瞬でも気を抜けば、歩きながらでも眠ってしまいそうなほど眠たい。；秋になって木の葉が黄ばんで来ると、たしかに森は眠たそうに見えるわ。；そして彼はそのすべてを自分の疲れと眠たさのせいにしょうとした。；授業料を払って大教室の眠たい授業に出ていれば人は彼を学生であるという。；その話をするために、眠たいのにわざわざ外へ出てきたのだから。；目が半分閉じた眠たそうな顔をしているが、アニメでは見開くシーンがある。；急患の搬入口に救急車が乗りつけたときには、眠たそうな顔をしていた。；いろんな人たちのことを考えているうちに、ぼくはだんだん眠たくなってきた。；習慣とは恐ろしいもので、子どものように夜九時には自然に眠たくなってしまう。；ソファーの上で父と母にはさまれているとぼくはほっとして眠たくなった。；駈けたり歩いたりしていると、坐っている時ほど眠たくないのだ。；そのときはひどく眠たかったから、忘れてしまっていたんだがね。；夫は眠たいこともあって、声もかけずにそそくさとベッドに戻った。；彼が眠たい頭を働かせていると、ようやく声の主の少女が部屋の奥から現れた。；嘲笑的な眠たそうな恍惚とした様子で、いつまでもぼんやりしていた。；眠たそうな子供の手を引き、大きな瞳で鯨を食い入るように見つめている。；両方をそうされていると、頭がぼうっとして、ちょっと眠たくなる感じ。；立ち尽くして夜の長さに痺れをきらした警察官の眠たい目のようだった。；私は奧の部屋の炬燵にあたりながら、眠たい耳に斯の話を聞いて居ました。；そうして記憶を書き出しているうちに、今度はだんだんと眠たくなってきた。；今夜はやや安定して、疲れが出て眠たく十時頃からぐっすり眠った。；すると僕は、その瞬間まで殆ど感じてゐなかつた眠たさを急に感じだすのである。；この図書館の室はひろくて天井も高いけれども、今は大変眠たいの。；あの眠たさうなプルウストをひとつうろたへさせてやらうぢやないか。</t>
        </is>
      </c>
      <c r="J6554">
        <f>HYPERLINK("https://www.weblio.jp/content/眠たい", "词义详情")</f>
        <v/>
      </c>
      <c r="K6554">
        <f>HYPERLINK("https://yourei.jp/眠たい", "查看例句")</f>
        <v/>
      </c>
    </row>
    <row r="6555">
      <c r="A6555" t="inlineStr">
        <is>
          <t>眠る</t>
        </is>
      </c>
      <c r="B6555" t="inlineStr">
        <is>
          <t>成功</t>
        </is>
      </c>
      <c r="C6555" t="inlineStr">
        <is>
          <t>読み方：ねぶる
［動ラ五（四）］「ねむる」に同じ。
「怒りの疲労(つかれ)に漸(ようや)く夜も—・るを得にき」〈蘆花・不如帰〉
「眼を—・って運を天に任せて居た」〈漱石・吾輩は猫である〉</t>
        </is>
      </c>
      <c r="D6555" t="inlineStr">
        <is>
          <t>眠るまい；眠るべき；眠るべく；眠る朝比奈さん</t>
        </is>
      </c>
      <c r="E6555" t="inlineStr">
        <is>
          <t>寝る；ねね；睡る；就眠；寐る</t>
        </is>
      </c>
      <c r="F6555" t="inlineStr">
        <is>
          <t>ぐっすり眠る；夜眠る；もう眠る；まま眠る；少し眠る</t>
        </is>
      </c>
      <c r="G6555" t="inlineStr">
        <is>
          <t>眠るヴィーナス；眠るジプシー女</t>
        </is>
      </c>
      <c r="H6555" t="n">
        <v>29</v>
      </c>
      <c r="I6555" t="inlineStr">
        <is>
          <t>テレビ状の道具で、近くで眠っている者の夢の内容を見ることができる。；巨大なベッドで常に眠っており、戦闘等は改造されているベッドが行う。；尚、六鬼衆達はかつて眠っていたそうだが、その詳細は語られていない。；眠っている相手を棒で触ると、棒を持っている人の命令を聞いてくれる。；ほんとは眠っているときも片眼を開けて眠らないといけないのですがね!；その上にもし夜が眠られぬと来るとやるせも何もあつたものぢやない。；それがために、私は、安心して木の枝に止まって眠ることができません。；以前も眠られないときはあなたのことをいつも思っておりましたのよ。；未亡人となった彼女は、娘の一人を連れて夫が眠るこの修道院に入った。；実際、絵画に描かれたアンティオペは必ずしも眠っているわけではない。；それは彼が眠れないときの習慣だったようで、彼は不眠症だったのです。；ある公が狩りの後でヴォルガ川沿いの斜面の上で一休みして眠っていた。；彼女は眠っていたが、ゾルグは看護婦からもう家に帰るように言われる。；女が夜部屋で眠ろうとしていると、部屋の隅に奇妙な獣の姿が見えた。；パターソンは緊張して待機していたが、やがて半分眠った状態になった。；どうせ宗吉兄弟も、そこで人の二人や三人は眠らせているにちがいない。；ある者は「ここへ来て以来一晩も平和に眠ったことがない」と記した。；その父を、いつ帰るかいつ帰るかと夜も眠らずに母は待っているのよ。；このまま眠らずにいれば、どこかに答えがある気がしてならないんだ。；女性親は男がすぐに帰ってしまわないよう男の履物を抱いて眠ったという。；先に到着したのはドゥルヨーダナであったが、クリシュナは眠っていた。；夜の眠られない晩が十日もつづいて千世子はとうとう床についてしまった。；いくら眠っても疲れがとれない故、疲れをとる為に眠らざるを得ないのだ。；私は木のうえの冒険で過度に興奮していたから、眠れないように思えた。；しかし、まだ誰にも発見されていない化石が眠っている可能性はある。；常に一本足でコマの様に回転しながら移動し、寝るときも一本足で眠る。；もしこれができなくなったら多くの学者は枕を高くして眠られそうもない。；長いこと眠っていたようだが、記憶喪失で自分の名前すら思い出せない。；昼間は大きな葉っぱの上で眠っているが、夜になると活動を開始する。</t>
        </is>
      </c>
      <c r="J6555">
        <f>HYPERLINK("https://www.weblio.jp/content/眠る", "词义详情")</f>
        <v/>
      </c>
      <c r="K6555">
        <f>HYPERLINK("https://yourei.jp/眠る", "查看例句")</f>
        <v/>
      </c>
    </row>
    <row r="6556">
      <c r="A6556" t="inlineStr">
        <is>
          <t>狙い</t>
        </is>
      </c>
      <c r="B6556" t="inlineStr">
        <is>
          <t>成功</t>
        </is>
      </c>
      <c r="C6556" t="inlineStr">
        <is>
          <t>読み方：ねらい
１弓や鉄砲などで、目標に当てようとねらうこと。「—をつけて撃つ」
２ねらう目標。めざす意図。目当て。「作者の—を読み取る」</t>
        </is>
      </c>
      <c r="D6556" t="inlineStr">
        <is>
          <t>狙い通り(2%)；狙いどおり；狙い定め；狙い撃つ；狙い澄まし</t>
        </is>
      </c>
      <c r="E6556" t="inlineStr">
        <is>
          <t>的；用；目的；機能；対象</t>
        </is>
      </c>
      <c r="F6556" t="inlineStr">
        <is>
          <t>ウケ狙い；狙いどころ；主な狙い；アピールする狙い；狙い過た</t>
        </is>
      </c>
      <c r="G6556" t="inlineStr">
        <is>
          <t>狙い打ち；狙いうち；狙い撃；狙い打つ；狙い打た</t>
        </is>
      </c>
      <c r="H6556" t="n">
        <v>29</v>
      </c>
      <c r="I6556" t="inlineStr">
        <is>
          <t>これはストーリーの内容に合わせた画風にするのが狙いとのことである。；その説によれば、目的として などの狙いがあるものと推測されている。；道路等の公共施設の能力に対応した機能の維持と増進を図る狙いがある。；自分の子たちが同じ事態にならないよう防ぐ狙いがあったのだろう。；また両作で同じスタッフ編成とすることで製作費を節減する狙いもあった。；また、他の2人は政府の狙いを探るために自分達の藩の廃止を願い出た。；国王の権威とローマ教皇制を回復する狙いを持っていたのである。；日米連携を強化することで北朝鮮や中国の脅威に備える狙いがあるという。；アメリカは今度はもう一つの占領された島、キスカに狙いを定めた。；それを狙いとした専業の賞金稼ぎも新商売として出てくるようになる。；つまり多少狙いがそれても核兵器なら相手に被害を与えることが可能となるのである。；これはメディア売り上げで利益を確保する開発元の狙いがあったと言われる。；それで今年はガラリと変えて中学生から小学生の高学年狙いにしました。；京とは微妙な関係を続けながらも、彼の命を執拗に狙い続けている。；試合後のインタビューで「カウンターを狙いすぎてしまった」と語った。；これは民放版全国ニュースネットワークを構築することが狙いであったため。；ハンガリー王国は北部ハンガリーの回復を狙い、領有権を主張していた。；ルーレットは目押しすることである程度狙いのマスに止まることが可能。；これらの新都心は各都市の業務機能および各都市の求心力強化を図る狙いがある。；ムスカの本当の狙いとは、ラピュタの力を手に入れて世界を支配する事だった。；井崎のみ、穴狙いを示す黒三角・白三角の他に「注」マークも使用していた。；約1億年前に母星を失って以来、第二の母星として地球を狙い続けていた。；建物の入口から上へと進むステージで比較的移動が狭いが、階段や通路の奥など狙いにくい場面が多い。；しかし社防隊が手薄となるゴールデンウィークに狙い定め実行するも失敗。；短期間で急速に成長させる狙いで作られた商業用の肉用鶏の専用品種の総称である。；これらから艦爆は狙いが逸れたまま爆弾を投下して上昇するしかなかった。；もちろん郭図の狙いは、単に人質を捕るためのものだったとしている。；打ちに行く球種の狙いは絞り込まれており、早いカウントから勝負に出た。；サイバー戦争で仮想敵国のインフラを破壊することが狙いとみられている。</t>
        </is>
      </c>
      <c r="J6556">
        <f>HYPERLINK("https://www.weblio.jp/content/狙い", "词义详情")</f>
        <v/>
      </c>
      <c r="K6556">
        <f>HYPERLINK("https://yourei.jp/狙い", "查看例句")</f>
        <v/>
      </c>
    </row>
    <row r="6557">
      <c r="A6557" t="inlineStr">
        <is>
          <t>狙う</t>
        </is>
      </c>
      <c r="B6557" t="inlineStr">
        <is>
          <t>成功</t>
        </is>
      </c>
      <c r="C6557" t="inlineStr">
        <is>
          <t>読み方：ねらう
［動ワ五（ハ四）］
１目標に命中させようとして、弓・鉄砲などを構える。照準を定める。また、矢・弾(たま)などを目標物に命中させようとする。「銃で鴨を—・う」「外角低めを—・って投げる」
２あるものを手に入れようとしたり遂行しようとしたりして、その機会をうかがう。「すきを—・う」「命を—・う」
３ある事柄を目標に置く。それを目標としてめざす。「始めから優勝を—・う」「若い女性を—・った企画」
[可能]ねらえる</t>
        </is>
      </c>
      <c r="D6557" t="inlineStr">
        <is>
          <t>狙うべき；狙うべく；狙うしかない；狙う者たち</t>
        </is>
      </c>
      <c r="E6557" t="inlineStr">
        <is>
          <t>計画；予定；考える；企画；意図</t>
        </is>
      </c>
      <c r="H6557" t="n">
        <v>29</v>
      </c>
      <c r="I6557" t="inlineStr">
        <is>
          <t>各国の航空機メーカーはこの市場を狙って熱心に新型機の研究を行った。；また空港周辺に乗り継ぎ客などの利用を狙ったホテルが複数存在している。；また路線や列車の識別を狙って、路線ごとに異なる色を採用する例もある。；まず舵の故障を起こして速度の低下していたエンカウンターが狙われた。；私は共産主義者に命を狙われているし、危険な目には何度も合いました。；自身が狙われた際には酸性の涙を流しながら泣くことで相手を撹乱する。；狙われているのは、その黒板塀の中に宿をとっている大村益次郎だった。；例えば、人を狙って石を投げたがたまたま当たらなかった場合である。；孝武帝は貴族勢力の抑制を狙って税制の改革や寒人層の登用などを行う。；のちにマレー半島進出を狙っていたシャムの援助を受け再び独立した。；その雲は星の宝物である「クリスタル」を狙ってやってきたのであった。；北部同盟の主要メンバーを狙ってジャーナリストを装っていたとされる。；またサッカーに比べピッチが狭いため直接ゴールを狙うことも可能である。；相手は剣が動かせないがこちらはそのまま表刃で相手の顔を狙う。；常に寝てるため、夢を食べるポケモンスリーパーなどに頻繁に狙われる。；これなどの作品はアニメ愛好者よりは子供を中心とした家族を狙った作品が多い。；その彼等に馬を狙えという命令はなんとしても解しかねることであった。；また、日本人観光客を狙った日本のチェーンレストランも存在している。；しかし、ハンニバルはこれを予測し、逆に各個撃破の機会を狙っていた。；銃塔に取り付けられた2つの機銃はそれぞれ別の目標を狙うことが出来た。；甚内は自分が狙われていることに気付き、殺しを阻止しようとしていた。；これは当時から部品共通化の思想からガラス予備品の共通化を狙ったとされている。；そこで矢を放つと「狙わずに中てる」ことが可能になるというのである。；次に狙われる可能性の高いみずほの協力を得、おとり捜査が開始される。；市街地は着々と拡大されたが、すぐにまた海賊に狙われるようになった。；それが原因で、彼らから珍しいポケモンだと認識され狙われるようになる。；そうこうしている間にイヴァシキンという薬屋が狙われる事件が起きる。；犬は、主人が大蛇に狙われていることを知って鳴いていたのであった。；資源は人間の国よりも夜の帝国の方が豊かなため、他国から狙われている。</t>
        </is>
      </c>
      <c r="J6557">
        <f>HYPERLINK("https://www.weblio.jp/content/狙う", "词义详情")</f>
        <v/>
      </c>
      <c r="K6557">
        <f>HYPERLINK("https://yourei.jp/狙う", "查看例句")</f>
        <v/>
      </c>
    </row>
    <row r="6558">
      <c r="A6558" t="inlineStr">
        <is>
          <t>練る</t>
        </is>
      </c>
      <c r="B6558" t="inlineStr">
        <is>
          <t>成功</t>
        </is>
      </c>
      <c r="C6558" t="inlineStr">
        <is>
          <t>読み方：ねる
［動ラ五（四）］
１熱を加えて、むらのないようにこね固める。また、こねまぜて、粘りけが出るようにする。「あんを—・る」「のりを—・る」「粘土を—・る」
２（練る）生絹(きぎぬ)を灰汁(あく)などで煮てしなやかにする。「—・った絹」
３皮類をなめす。なめし革にする。「皮を—・る」
４（「錬る」とも書く）金属に焼きを入れて硬質なものに鍛える。「鉄を—・る」「刀を—・る」
５さらによいものにするために内容を検討したり、手を加えたりする。「計画を—・る」「文章を—・る」
６学問や技芸などを鍛えみがく。修養・経験などを積む。練磨する。「技を—・る」「腕を—・る」
７（「邌る」とも書く）
㋐そろそろと行く。また、行列を整えてゆっくり進む。「楽隊が町を—・っていく」
㋑行きつ戻りつしながら進む。「みこしが—・る」
８木の枝などをたわめて作る。
「かの丘に萩刈るをのこ縄をなみ—・るやねり麻(そ)の砕けてぞ思ふ」〈拾遺・恋三〉
９海水を煮て塩をつくる。精製する。
「潮(うしほ)—・るかまどの煙気(け)をぬるみ雪もたまらぬ海人(あま)のあばら屋」〈夫木・三五〉
[可能]ねれる
［動ラ下二］「ね（練）れる」の文語形。</t>
        </is>
      </c>
      <c r="D6558" t="inlineStr">
        <is>
          <t>練るべき</t>
        </is>
      </c>
      <c r="E6558" t="inlineStr">
        <is>
          <t>練り上げる；捏ねる；煉る；練りあげる；こね上げる</t>
        </is>
      </c>
      <c r="H6558" t="n">
        <v>29</v>
      </c>
      <c r="I6558" t="inlineStr">
        <is>
          <t>話は、前より練られていたが、どこか違うところがあるような気がした。；ただ絵具を油で練って見たりその他雑役をするだけの事であったらしい。；わたしが構想を練ったとしたら、ライラのようには考えなかっただろう。；警察は既に学校に到着しており、事件の対策を練っている様子だった。；でも常にあんたを探してたし、常に計画を練って、破滅させようとした。；ゆっくりと対策を練る時間を与えてやったことに感謝して欲しいね!；いろいろと練った作戦も、すべて医者の襲撃を前提にしたものだった。；しかしその愚鈍ぶりは演技で、裏では近臣たちと暗殺計画を練っていた。；タイプこそまるで違うが、ともに手練れの戦士であることは間違いがない。；いかにも相手を靴のなかまで戦慄させようと、練りに練った文章だった。；しばらくの休息とこれからの計画を練る時間が与えられたわけである。；仕事はむしろ快調に進んでいて、二日に一度は守屋へ行って想を練った。；僕が言いたいのは、彼はもっと前から計画を練っていたということですよ。；秀吉ほど練れた人間がこうだったのだから、よほどのことだったのであろう。；この時、既に対蔣介石クーデターの構想などが練られていたと言われる。；黒井は熱心に現地を歩きまわりながら、移住した場合のプランを練った。；またこの反対の勢力の風波に会わなければ、思想も練ることはできない。；夫とモートンが夜に喫煙室で計画を練っているのをたびたび聞きました。；適切に練られておらず、非常にぞんざいにあつらえられたかのようです。；ただし、昨日のようになんの準備も策も練っていないわけではない。；練られていた見えない 鎖が切れたような、そんな解放感があった。；つまり十中九までこの酒家は手練れの兵によって囲まれている筈である。；この最後のひと突きは、手練れのスマウチ氏が期待していた効果をあげた。；金のことを口にしたところからみると、かねてから計画を練っていた。；そんな計画をひそかに練っていた時、東京から父の死を知らされます。；わしは、この恐ろしい穴にはいってからずっと、慎重に考えを練ってきた。；これはどうしても、僕たちのほうでも団結して対策を練らなければならぬ。；計画を練る対象であると同時に、いっしょに計画を練る仲間になっていた。；彼らの計画は幾世代にもわたって周到に練られたものではなかった。</t>
        </is>
      </c>
      <c r="J6558">
        <f>HYPERLINK("https://www.weblio.jp/content/練る", "词义详情")</f>
        <v/>
      </c>
      <c r="K6558">
        <f>HYPERLINK("https://yourei.jp/練る", "查看例句")</f>
        <v/>
      </c>
    </row>
    <row r="6559">
      <c r="A6559" t="inlineStr">
        <is>
          <t>寝る</t>
        </is>
      </c>
      <c r="B6559" t="inlineStr">
        <is>
          <t>成功</t>
        </is>
      </c>
      <c r="C6559" t="inlineStr">
        <is>
          <t>読み方：ねる
［動ナ下一］［文］ぬ［ナ下二］
１眠りにつく。寝床に入る。睡眠をとる。眠る。「ぐっすりねた」「ねる間も惜しんで働く」
２病気で床につく。寝込む。「風邪で二、三日ねていた」
３からだを横たえる。また、そのような状態で休む。「ねながら本を読む」「大の字にねる」
４本来立っているもの、縦のものが横になる。「髪の毛がねる」「活字がねている」
５共寝をする。同衾(どうきん)する。
６商品が売れずに残っている。また、資金が動かない状態にある。「暖冬で冬物がねている」
７味噌や酒などが仕込まれた状態である。また、麹(こうじ)が熟成する。
「醤油(しょうゆ)ねさせてしばし月見る／猿雖」〈猿蓑〉
→眠る［用法］</t>
        </is>
      </c>
      <c r="D6559" t="inlineStr">
        <is>
          <t>寝る時間；寝る間も惜しん；寝るんです；寝るしかない；寝るとき以外</t>
        </is>
      </c>
      <c r="E6559" t="inlineStr">
        <is>
          <t>寝；抱く；眠る；セックス；睡眠</t>
        </is>
      </c>
      <c r="F6559" t="inlineStr">
        <is>
          <t>もう寝る；早く寝る；寝るまえ；抱いて寝る；帰って寝る</t>
        </is>
      </c>
      <c r="G6559" t="inlineStr">
        <is>
          <t>寝る子は育つ</t>
        </is>
      </c>
      <c r="H6559" t="n">
        <v>29</v>
      </c>
      <c r="I6559" t="inlineStr">
        <is>
          <t>先に寝ろと云つてゐながら彼の鼾声を余が先に耳にすることの方が多い。；枕が変わると寝られなくなってしまうと言っているが、気のせいだった。；寝ていても交感神経系が働いている状態であり常に身体が緊張状態にある。；隣には別れたはずのケイトが寝ており、覚えのない2人の子供までいる。；最晩年の1996年には寝たきりとなり、療養生活を送るようになった。；二度寝とは、目覚めた後に間を置かずにもう一度寝てしまうことである。；家の中は寝ることと食べるだけの用をするところであると言っていいだろう。；それはどうするのだと云ふに、晩に寝る時体中に生肉を食つ付けて置く。；だから私がすっかり仕事を終って寝るのはいつも一時すぎか二時頃であった。；昼間寝て夜起きている、いわゆる夜型のことを夜行性と言うことがある。；こうなると、二人はもう寝ることだけの仕事が残っているようなものです。；常に一本足でコマの様に回転しながら移動し、寝るときも一本足で眠る。；多分、寝る処もない男が絵馬堂の隅にでも一夜の宿を借りたのでしよう。；京はいつも学校へ行くことができず、部屋で寝ているばかりだった。；特に、寝る前には必ず文字を見なければ寝られないというほどだった。；特に、寝る前には必ず文字を見なければ寝られないというほどだった。；老衰で寝たきりになったタムを、私と妻は最後まで見取ろうと決心する。；正吉は家で寝ていたが、なぜか水浴びがしたくなり、川までやって来た。；寝る前にマクスグラジャ大将にお言葉をかけてやらなければなりません。；二時ごろまで寝てて、奥さんが全部ちゃんとやってくれるんだから。；食べることも大好きで、寝る前には次の日の三食を考えてから寝ている。；寝ている人も外が流星で明るいので目覚めるほどだったとも言われる。；ウニの寝ているところに上半身裸の主人がワインを持ってやって来る。；アリックスはほとんど一晩中寝られず、朝になると痛みが強くなった。；目はあるが瞼を閉じることができないため、寝る時でも目は開けたまま。；その夜老夫婦が寝ていると、家の外で何か重たい物が落ちたような音がする。；寝つきが悪いため、ベッドに横たわりながら暗算をすることが多かった。；自宅で寝ると時間を進める事が出来、寝た時間に応じて体力が回復する。；自宅で寝ると時間を進める事が出来、寝た時間に応じて体力が回復する。</t>
        </is>
      </c>
      <c r="J6559">
        <f>HYPERLINK("https://www.weblio.jp/content/寝る", "词义详情")</f>
        <v/>
      </c>
      <c r="K6559">
        <f>HYPERLINK("https://yourei.jp/寝る", "查看例句")</f>
        <v/>
      </c>
    </row>
    <row r="6560">
      <c r="A6560" t="inlineStr">
        <is>
          <t>年</t>
        </is>
      </c>
      <c r="B6560" t="inlineStr">
        <is>
          <t>成功</t>
        </is>
      </c>
      <c r="C6560" t="inlineStr">
        <is>
          <t>読み方：とし
１時の単位。1月1日で始まり、12月31日に終わる12か月間。陽暦では、地球が太陽の周囲を1周する時間、365.2422日を1年とする。陰暦では、月が地球を12周する時間を1年とする。
２多くの歳月。年月。「—を経た神木」
３
㋐年齢。「—を取る」「—のわりには元気だ」
㋑人生の盛りを過ぎた年齢。老齢。「—を感じる」
４穀物、特に稲。また、稲が実ること。
「我が欲(ほ)りし雨は降り来(き)ぬかくしあらば言挙(ことあ)げせずとも—は栄えむ」〈万・四一二四〉
５季節。時節。
「今年はあやしく—急ぎて（＝早ク春ガ来テ）」〈宇津保・春日詣〉
[補説] 「とし」は元来穀物を意味し、1回の収穫に1年かかるので「年」を意味するようになったという。
[下接語]明くる年・好(い)い年・大年・一昨(おと)年・騎竹の年・来る年・犬馬の年・今(こ)年・半年・旧(ふる)年・毎年・耳順(みみしたが)う年・行く年・翌年（どし）相(あい)年・当たり年・いけ年・生まれ年・裏年・閏(うるう)年・御陰(おかげ)年・同い年・数え年・困窮年・年年・生(な)り年・貰(もら)い年・厄(やく)年</t>
        </is>
      </c>
      <c r="D6560" t="inlineStr">
        <is>
          <t>年前(4%)；年以上；年三月；年ぶり；年四月</t>
        </is>
      </c>
      <c r="E6560" t="inlineStr">
        <is>
          <t>年間；歳；年齢；年代；一年</t>
        </is>
      </c>
      <c r="F6560" t="inlineStr">
        <is>
          <t>二年；三年；一年；何年；五年</t>
        </is>
      </c>
      <c r="G6560" t="inlineStr">
        <is>
          <t>年齢；年代；年上；年度；年月</t>
        </is>
      </c>
      <c r="H6560" t="n">
        <v>29</v>
      </c>
      <c r="I6560" t="inlineStr">
        <is>
          <t>またこの事件の直後の6億年前には最後の大規模な陸地形成が起こった。；グレゴリオ暦はその後数百年かけて各国で採用され、現在に至っている。；またこの年の初夏、初めてフランスを中心とするヨーロッパに旅行した。；デザインが年数回更新され、古いデザインのカードは新たに入手できない。；地球上の生命は、およそ37億年前には存在していたという証拠がある。；これ以後、木星を観測して、その位置で年を記録することはなくなった。；アフガニスタンの環境問題は過去数十年の政治的混乱より以前からある。；したがって、閏秒が実施される年であってもその年を閏年とはいわない。；それ以外は、制定された年によって次のような通称で呼ばれることもある。；XMLを使用すべきかとの議論が何年も続けられているが、進展は遅い。；数百万年前、アフリカの小型のサルが二本足で直立する能力を獲得した。；少なくとも5万年前には現在のアフガニスタンには人間が住んでいた。；年をとるにつれて音楽の好みが変わる可能性があることを示す証拠が出ている。；この年以降の数年間は、年に一度は撮影現場を見学に来ていたという。；これが現在の日本将棋連盟の前身で、連盟はこの年を創立の年としている。；しかし政府の統計ではこの年に大きなインフレーションは起こっていない。；以下は、国産品の発売年が分かるものについては発売年を参考に分けた。；モジュタヘドになるためには、通常何十年もの年月を要したからである。；そのほとんどは1年から長くて十数年の非常に短い期間しか持続しなかった。；この年は永い作家生活の中で、初めて小説の発表が一編もなかった。；ロンドンの夏の平均気温は で、年に7日は を超え2日は を超える。；この年のリーグ戦は、前後半の区分がない1シーズン制で開催された。；両絵画共に制作年は明確ではないが、1482年頃であろうと想定されている。；この年にドイツが統一されたため、世界史の大きな転換点となった。；その年前半の僅かな時間でアルバムを作成し、ツアーのリハーサルを行った。；この年開催されたアテネ五輪には黒河貴矢がメンバー入りを果たした。；この年には彼の生涯で初となる名誉博士号がジュネーヴ大学より授与された。；約20万年前から活動を行い、約4万年前頃に現在の形に近い物となった。；設備改良の主な内容の始まった駅とその年は次の通り。</t>
        </is>
      </c>
      <c r="J6560">
        <f>HYPERLINK("https://www.weblio.jp/content/年", "词义详情")</f>
        <v/>
      </c>
      <c r="K6560">
        <f>HYPERLINK("https://yourei.jp/年", "查看例句")</f>
        <v/>
      </c>
    </row>
    <row r="6561">
      <c r="A6561" t="inlineStr">
        <is>
          <t>念</t>
        </is>
      </c>
      <c r="B6561" t="inlineStr">
        <is>
          <t>成功</t>
        </is>
      </c>
      <c r="C6561" t="inlineStr">
        <is>
          <t>読み方：ねん
［音］ネン（呉）　［訓］おもう
［学習漢字］4年
１いちずに思いをこめる。「念願・念力／一念・観念・祈念・思念・専念・想念」
２いつまでも心にとどめる。「念書／記念」
３思い詰めた考えや気持ち。思い。「怨念(おんねん)・疑念・雑念・残念・執念・情念・信念・断念・無念・妄念・理念」
４注意。「丹念・入念」
５含み声で唱える。「念経・念仏」
６きわめて短い時間。「念念／一念」
７「廿(じゅう)（二十）」の代用字。「念日・念六日」
［名のり］むね</t>
        </is>
      </c>
      <c r="D6561" t="inlineStr">
        <is>
          <t>念威(2%)；念糸；念碑；念吉；念鬼</t>
        </is>
      </c>
      <c r="E6561" t="inlineStr">
        <is>
          <t>感じ；意味；思い；気持；気持ち</t>
        </is>
      </c>
      <c r="F6561" t="inlineStr">
        <is>
          <t>紀念；徳念；道徳観念；念威繰；念威端子</t>
        </is>
      </c>
      <c r="G6561" t="inlineStr">
        <is>
          <t>念願；念仏；念入り；念じ；念力</t>
        </is>
      </c>
      <c r="H6561" t="n">
        <v>29</v>
      </c>
      <c r="I6561" t="inlineStr">
        <is>
          <t>念話能力のように同一名称でも原理も同一とは限らない場合が存在する。；また強念者ともいえど死亡しかねないほど魂を吸われる場合もあった。；預かった念金は主宰者が数年間保管した後に返還することになっていた。；輸送中には、このフックは念のための安全上の働きのみをしている。；兄媛は吉備氏の娘であり故郷の方角を見て望郷の念にかられたのだった。；ゲスト コメンティストには梶原を出演させるという念の入れ様だった。；布袋劇の人形が舞台に登場する場合それぞれ固有の四念白を発して登場する。；前者は至ってきびきびした性格を持ち、後者は哀惜の念を含んでいる。；今日でもキクユ人の一部には、不遇の念が強くわだかまっているという。；ウナギイヌを使用する際には、念のため著作権の問題をクリアしたらしい。；復讐の念にかられた彼は、自分の人生を破壊したものどもを罰していく。；多くの念系統を十二分に発揮できるが、念以上の制約や誓約が必要とされる。；さらにこれらの集団ははっきりとした道徳観念と政治的ニーズを共有していた。；地球への復讐の念を受け継ぎ、秘密裏に地球征服計画を進行させていた。；夫に殺されるのではとの疑惑の念に取り憑かれた新妻を描いている。；当時の日記には、自殺の念の頻繁に起こることを記しており、死の予感と戦う。；ヨーロッパでの生活にはあまりなじめず、望郷の念を募らせていたようだ。；著作として「往生論五念門略作法」などがあるが現在は残されていない。；剣は持つというよりも、投擲や念による操作の様な動かし方である。；野外活動を行い自然への感謝の念を養うことは重要な要素である。；そのうちの一人である真念が「四国遍路道指南」を貞享4年に出版した。；ペンネームにはそのことに対する深い感謝の念が込められていたと思われる。；祝は事件の影に念法者・竹林賢法の超能力があるのではないかと睨む。；常に感動と感謝の念を忘れないおおらかな性格をしている。；なお念のためにここで説明しておくが、写真が動くようなものは「映像」と言う。；ムウがジャミールに旅立った少し後にシオンへの念波が届かなくなった。；今でも地元の住民は鹿に愛着の念と共に畏敬の念を併せ持つといわれる。；自我もほとんどないが、一部には強い念が残っている者もいる。；稀に地球人の中に極めて念戦素質の高い者が生まれる事がある。</t>
        </is>
      </c>
      <c r="J6561">
        <f>HYPERLINK("https://www.weblio.jp/content/念", "词义详情")</f>
        <v/>
      </c>
      <c r="K6561">
        <f>HYPERLINK("https://yourei.jp/念", "查看例句")</f>
        <v/>
      </c>
    </row>
    <row r="6562">
      <c r="A6562" t="inlineStr">
        <is>
          <t>念入り</t>
        </is>
      </c>
      <c r="B6562" t="inlineStr">
        <is>
          <t>成功</t>
        </is>
      </c>
      <c r="C6562" t="inlineStr">
        <is>
          <t>読み方：ねんいり
［名・形動］細かい点にまでよく気をつけて物事をすること。また、そのさま。「—な仕上げ」「—に掃除する」</t>
        </is>
      </c>
      <c r="D6562" t="inlineStr">
        <is>
          <t>念入りに調べ始め；念入りな化粧；念入りに化粧した；念入りに調べさせ；念入りな彫刻</t>
        </is>
      </c>
      <c r="E6562" t="inlineStr">
        <is>
          <t>慎重；丁寧；慎重に；丹念；丁重</t>
        </is>
      </c>
      <c r="F6562" t="inlineStr">
        <is>
          <t>特別念入り；恐ろしく念入り；ひどく念入り</t>
        </is>
      </c>
      <c r="H6562" t="n">
        <v>29</v>
      </c>
      <c r="I6562" t="inlineStr">
        <is>
          <t>これはほかの小屋よりかなり大きく、いくらかは念入りに作ってあった。；彼は用心深く側面の小さいドアの所に行き、念入りにそのドアを調べた。；それというのも脱出できないように念入りに手を打ってあったからである。；何人もの手でその部屋を念いりに調べたのに、ついに出てこなかった。；それは最初の時よりはるかに時間をかけた、念入りな読みかただった。；ガガは成功と愛のバランスをとるのに苦労し、歌を更に念入りに作った。；その検討ぶりは、いかにも念入りにしているといっていいほどだった。；侯爵夫人は念いりな考え深さでもって、すべてを計算していたのでした。；彼女は一個一個の土器を念入りに改めながら、唇をわずかに動かしていた。；とくに最後の別れの挨拶ができなかった次姉には念入りに書いた。；したがってブリーフィング後は機体と武装を念入りに選択する必要がある。；インターンはそれを念入りに読むと、廊下をいくつか抜けて彼を案内した。；そこには小さなテーブルの上に念入りに選ばれた病人食が用意されているのだ。；楯林驍は、その女の影が消えた路地の奥をもう一度念いりに調べてみた。；大部分は家具もない部屋だったが、どの部屋も念入りに調べていった。；一字一字、一行一行を念入りに読んではじめて全体がわかるのです。；念入りにひとりずつ叩いて見ましたが、いっこうどうということもない。；かなり念入りに緊縛したから、ちょっとやそっとでは解けるはずがない。；瞳をこらしたり、手探りしたりして、わしは念入りにこの部屋を調べた。；但馬は襲撃者が一人も生きていないか、念入りに又十郎に確認させる。；やはり念入りに装置を点検したうえで、午後一〇時五分、実験を行なった。；しかし、とても暑気がひどくて、念入りに考えることなどできなかった。；で、その文字の刻んである下の床をごく念入りに調べてみたんです。；そのあるものは念入の作で、日本の手技に最も適した品ともいえましょう。；ここでも、ポワロは念入りな捜索をしたが、何も得るところがなかった。；乙女たちの念入りなのに比べると、青年たちの方はお話にならなかった。；パーヴェルは一人残って、今度はとくに念入りにあたりを見まわした。；彼は鑑定といふ仕事がもつと念入りに行はれるものだと思つてゐた。；皮膚に乳液が付着した場合には、石鹸と水で念入りに洗浄すべきである。</t>
        </is>
      </c>
      <c r="J6562">
        <f>HYPERLINK("https://www.weblio.jp/content/念入り", "词义详情")</f>
        <v/>
      </c>
      <c r="K6562">
        <f>HYPERLINK("https://yourei.jp/念入り", "查看例句")</f>
        <v/>
      </c>
    </row>
    <row r="6563">
      <c r="A6563" t="inlineStr">
        <is>
          <t>年賀状</t>
        </is>
      </c>
      <c r="B6563" t="inlineStr">
        <is>
          <t>成功</t>
        </is>
      </c>
      <c r="C6563" t="inlineStr">
        <is>
          <t>読み方：ねんがじょう
年賀の言葉を書いて送る葉書・手紙。年始状。《季新年》</t>
        </is>
      </c>
      <c r="D6563" t="inlineStr">
        <is>
          <t>年賀状用；年賀状を出さ；年賀状印刷；年賀状以外</t>
        </is>
      </c>
      <c r="H6563" t="n">
        <v>29</v>
      </c>
      <c r="I6563" t="inlineStr">
        <is>
          <t>たとえば今では本名宛で年賀状をくれる人も数える程になってしまった。；郵便局や年賀状印刷メーカーによると、以下のような用途で用いられる。；これは年賀状を可能な限り早く差し出してもらうことも意図していた。；特に冬には手軽に手に入れることができるため、年賀状に使うこともある。；あとでわかったことですが、オリジナルの年賀状はとても効果がありました。；十数年前、我が子の写真を年賀状にしたことのある私は黙ってうつむいた。；でもまあ年賀状が何枚か来てたから、友達がいないわけでもない。；仕事の関係で出す年賀状に、会社で作ったハガキを使う人は多いと思います。；年賀状には、あらかじめ印刷してある年賀はがきを利用する場合がある。；この年の年賀状配達は混乱し、4億3千万通もの年賀状が影響を受けた。；何か足りないと思っていたが、真壁からのネタ年賀状がなかったんだ。；普通、年賀状というと絵や写真、あるいは図案化された文字がメインです。；やがて毎年の年賀状に自らの書を印刷して送るようになる。；でも、年賀状を、交わした頃は、暗い感じは、少しも感じませんでした。；その後も、年賀状等でずっと縁はあったが、再会したことはなかった。；おそらく、日本人で年賀状を出す人の割合は、ここまで多くはないだろう。；デザイン書道を最も普及させるきっかけとなったのは、年賀状である。；両親のほうからも連絡はなく、辛うじて年賀状をやりとりしていた程度だ。；いくら遠くにいる友達だって、年賀状くらいやり取りしているだろう。；結婚の時に祝いのカードが送られてきたし、時々年賀状が舞い込む時もある。；また、年賀状を出した/受け取ったなどの履歴を記録する機能もある。；元日は研究室の人々を招いての新年会、翌日は年賀状書きにあてていた。；家庭向け年賀状処理ソフトの隆盛を見れば、これは容易に理解できよう。；この大晦日の晩十二時に日本へ送る年賀状を出しに出ました。；その友達からも年賀状が来ていて、電話番号が書いてあったのよ。；私は、毎年、了介に年賀状を出しているから、それだけでもあるはずです。；年賀状を私宛に書くたびに、あなたは事件のことを思い出している。；二木からの年賀状は、彼が趣味でしているハイキングの写真が使われていた。；会ったやつも、年賀状をもらったやつさえいないんだからな。</t>
        </is>
      </c>
      <c r="J6563">
        <f>HYPERLINK("https://www.weblio.jp/content/年賀状", "词义详情")</f>
        <v/>
      </c>
      <c r="K6563">
        <f>HYPERLINK("https://yourei.jp/年賀状", "查看例句")</f>
        <v/>
      </c>
    </row>
    <row r="6564">
      <c r="A6564" t="inlineStr">
        <is>
          <t>年間</t>
        </is>
      </c>
      <c r="B6564" t="inlineStr">
        <is>
          <t>成功</t>
        </is>
      </c>
      <c r="C6564" t="inlineStr">
        <is>
          <t>読み方：ねんかん
１1年のあいだ。「—計画」「—所得」
２ある年代の間。「元禄—」</t>
        </is>
      </c>
      <c r="D6564" t="inlineStr">
        <is>
          <t>年間約；年間ランキング；年間降水量；年間最優秀；年間頃</t>
        </is>
      </c>
      <c r="E6564" t="inlineStr">
        <is>
          <t>年；歳；一年；年度；年中</t>
        </is>
      </c>
      <c r="F6564" t="inlineStr">
        <is>
          <t>十年間；慶長年間；元禄年間；寛永年間；天保年間</t>
        </is>
      </c>
      <c r="G6564" t="inlineStr">
        <is>
          <t>年間優勝；年間大賞；年間パスポート；年間購読；年間パス</t>
        </is>
      </c>
      <c r="H6564" t="n">
        <v>29</v>
      </c>
      <c r="I6564" t="inlineStr">
        <is>
          <t>その後数年間はSF短編も書いているが、同時に詩にも手を出している。；年間を通じ音楽・演劇などさまざまな分野の公演を開催している。；以下は理論値ではなく、ある期間の観測結果からの年間の回数である。；殻から年齢を推定する信頼できる方法が無いため、年間の成長速度は不明。；制定から数年間はMVPの投票対象から投手を除く規定も設けられていた。；この年以降の数年間は、年に一度は撮影現場を見学に来ていたという。；ナイジェリアの地には過去数千年間に多数の王国や部族国家が存在してきた。；SFファンが選ぶ年間ベスト賞である星雲賞を星は一度も受賞していない。；過去数十年間で死刑の一時停止あるいは完全な撤廃も検討されてきている。；ブラック・マリアはその後数年間、エジソンの映画撮影の中心となった。；「飛驒」と表記されるようになったのは和銅年間以降と考えられている。；戊辰戦争の結果、諸藩の債務は平均で年間収入の3倍程度に達していた。；年間通して最もポイントを獲得したチームがチームズチャンピオンとなる。；天和年間に大和国三輪から伝えられた素麺製造技術が基になっている。；年間降水量は少なく冬季に集中するために雪が多くなる地域も多い。；プレミアリーグの選手は、平均で年間約100万ドルもの収入を得ている。；今川氏の武将としての活動も続き、文亀年間には三河にまで進んでいる。；シンボル的存在であった観覧車は数年間放置されたが解体され廃棄された。；こうした市内の観光名所には、年間約200万人の観光客が訪れている。；数年間取り組んでいた交響曲第8番は彼が自ら焼却してしまっている。；今日では年間300万人が訪れる全米随一の温泉リゾートとなっている。；その発見はイギリス陸軍の作戦行動に活用され、数年間その発見は秘密にされた。；江戸時代に庶民が1日3食を取るようになったのは元禄年間からとされる。；それから数年間はヨーロッパでの映画制作に戻った。；この工場は年間15万台のマシンを製造する能力があった。；数年間、日朝の国交交渉が進展せず、この余波がさまざまな形で現れた。；その後数年間は政治的な混乱の時代が続いた。；年中無休で朝9時から営業しており、年間50万人以上に利用されている。；降水量は年間を通じて規則的に分布しているが、一般的には東部を中心に軽い。</t>
        </is>
      </c>
      <c r="J6564">
        <f>HYPERLINK("https://www.weblio.jp/content/年間", "词义详情")</f>
        <v/>
      </c>
      <c r="K6564">
        <f>HYPERLINK("https://yourei.jp/年間", "查看例句")</f>
        <v/>
      </c>
    </row>
    <row r="6565">
      <c r="A6565" t="inlineStr">
        <is>
          <t>年鑑</t>
        </is>
      </c>
      <c r="B6565" t="inlineStr">
        <is>
          <t>成功</t>
        </is>
      </c>
      <c r="C6565" t="inlineStr">
        <is>
          <t>読み方：ねんかん
ある事柄について、その1年間の展望・調査・統計・解説などを収録して、年1回発行する定期刊行物。イヤーブック。「統計—」</t>
        </is>
      </c>
      <c r="D6565" t="inlineStr">
        <is>
          <t>年鑑昭和；年鑑大正十三</t>
        </is>
      </c>
      <c r="F6565" t="inlineStr">
        <is>
          <t>映画年鑑；写真年鑑；美術年鑑；文芸年鑑；詩神年鑑</t>
        </is>
      </c>
      <c r="H6565" t="n">
        <v>29</v>
      </c>
      <c r="I6565" t="inlineStr">
        <is>
          <t>自動車年鑑では毎年話題になった車両の紹介や新技術の紹介などが解説されている。；これ以外には日本語版2冊と年鑑形式の日本語版2冊が確認されている。；したがって、年鑑といっても、これが最初にして終りというわけである。；大学年鑑用のフットボールの写真のように整列し、健康そうで愉しげだ。；アメリカの学校では卒業アルバムに相当するものを年鑑として作成される。；各期の情報は、各年の年鑑アンソロジー巻末にある「活動報告」による。；紙の都合その他ね、すべてこの順で、年鑑もいつ頃出るでしょう。；紹介順と地区名はタジキスタンの行政地図と地区別の統計年鑑を参考にした。；これは、経度の決定に使われる天文データを掲載した世界初の年鑑だった。；年鑑のデータは、アメリカ海軍天文台からオンラインで入手可能である。；著書は、毎年発行している年鑑も含め15冊以上を数えている。；「七都市中、最大の潜在力」 そして二一八五年の世界年鑑も評した。；絵を売買しようとする者だけが参考にする年鑑なのであろう。；他の情報を組み合わせた商業用年鑑も作られた。；そのついでに女は美術年鑑の浮世絵の項目を開いて見せる。；また、アメリカではファンタジーベースボール用の選手年鑑も出版されている。；労働年鑑や何かで有職婦人の総数をしらべて、それと間違ったわけでした。；また、主要な地区級市の年鑑や統計年鑑も蔵書していることが多い。；公式の経済年鑑によれば、最も強力な部門は建設業、商業、観光業である。；年鑑のデータは、アメリカ海軍天文台からオンラインでも入手可能である。；この年鑑は出版後すぐに高い評価を得て現在も軍艦に関する標準的な参照元であるとされている。；代表的な物に雑誌・新聞・年鑑がある。；千葉県統計年鑑によると、近年の1日平均乗車人員の推移は以下の通り。；いったいどちらの日付が正しいのか、この年鑑の記述だけでは判定の仕様がなかった。；月距は1906年までイギリスの公式の年鑑に掲載され続けていたが、その頃にはそれを使用することは実際には減少していた。；この年より毎年連続でブリタニカ国際年鑑のインドの内政・経済・外交記事を担当。；あたしの名前はどんな年鑑にも出てたわ。；シャルル・ルモニエの観測に基づいて月の運行表を含む海事年鑑を発行した。；文藝年鑑に依つて、君が明治四十二年の六月十九日に誕生した事を知つた。</t>
        </is>
      </c>
      <c r="J6565">
        <f>HYPERLINK("https://www.weblio.jp/content/年鑑", "词义详情")</f>
        <v/>
      </c>
      <c r="K6565">
        <f>HYPERLINK("https://yourei.jp/年鑑", "查看例句")</f>
        <v/>
      </c>
    </row>
    <row r="6566">
      <c r="A6566" t="inlineStr">
        <is>
          <t>念願</t>
        </is>
      </c>
      <c r="B6566" t="inlineStr">
        <is>
          <t>成功</t>
        </is>
      </c>
      <c r="C6566" t="inlineStr">
        <is>
          <t>読み方：ねんがん
［名］(スル)常に心にかけて強く望むこと。また、その望み。「—のタイトルを手に入れる」「—がかなう」「世界の平和を—する」</t>
        </is>
      </c>
      <c r="D6566" t="inlineStr">
        <is>
          <t>念願の初優勝；念願通り；念願叶い；念願どおり；念願のトップチームデビュー</t>
        </is>
      </c>
      <c r="E6566" t="inlineStr">
        <is>
          <t>思う；思い；夢；期待；思</t>
        </is>
      </c>
      <c r="F6566" t="inlineStr">
        <is>
          <t>たい念願；たいという念願；御念願；念願のnbaファイナル；念願の幕内初</t>
        </is>
      </c>
      <c r="H6566" t="n">
        <v>29</v>
      </c>
      <c r="I6566" t="inlineStr">
        <is>
          <t>これが実現すれば、真帝国は念願である大陸西部への進撃が可能となる。；なお同年末には念願だったKEIRINグランプリに初出場も果たした。；再建するに当たりかねてより念願の官学化を幕府に陳情するためである。；鑑真の率いた弟子達がかような効果を当初から念願したのであろうか。；ついに念願のマイホームを手に入れ、まさに順風満帆な時を迎えていた。；高校を卒業して1年後に念願だったブラジルに半年間の格闘技留学をする。；そこで見た応援のすばらしさに念願の初マラソンを北海道と心に決めた。；果たして12月5日に念願の馬を手に入れることができるのだろうか。；プロテスタント教会も、長年の念願であった教会堂を持つことができた。；こうしてザビエルはインドを離れ、1549年に念願の日本に到着した。；大人になった彼は念願であった慶州へ行こうと一人で家を出る。；しかし、様々な条件を与える形で解決し、念願の松山延航を実現させた。；念願だった逆玉を達成したマキシモは喜びで一杯になっていた。；本格的なチーム補強が実り、に念願の都市対抗野球に初出場を果たした。；これが実を結び1976年に念願のリーグ制覇と天皇杯の二冠を達成した。；もともと商魂をもっての経営のみを念願としているからであります。；川崎は終盤まで調子を落とさず、優勝して念願のJ1昇格を確定させた。；乾の念願だったというスペインでのプレーが実現することになった。；デビュー6シーズン目にして念願のワールドチャンピオンを獲得した。；これが容れられ、スーシェはようやく念願の軍団長になることができた。；全国の桃太郎の組織をまとめたいと念願していたが、願いが叶う前に死去した。；農場の契約が切れた後、同年中に念願の気候研究所を自前で設立した。；一兵卒の伝令としての従軍であったが、彼は念願の軍人になれて喜んだ。；冬季オリンピック初出場となる念願のソチオリンピック出場権を獲得した。；さらに9月には常々口にしていた念願の『東京ゲームショウ』にも出演。；翌1928年のオリンピック予選会で優勝して念願の代表の座をつかんだ。；加えて私は母に、なお私に学業を続けさせたいという母の念願を断念させた。；この喜びをプレーで表現して、念願のJ2昇格に少しでも貢献出来たらと思います。；制作の背景には、監督の行定勲の念願がかない制作が決定したとのことである。</t>
        </is>
      </c>
      <c r="J6566">
        <f>HYPERLINK("https://www.weblio.jp/content/念願", "词义详情")</f>
        <v/>
      </c>
      <c r="K6566">
        <f>HYPERLINK("https://yourei.jp/念願", "查看例句")</f>
        <v/>
      </c>
    </row>
    <row r="6567">
      <c r="A6567" t="inlineStr">
        <is>
          <t>年金</t>
        </is>
      </c>
      <c r="B6567" t="inlineStr">
        <is>
          <t>成功</t>
        </is>
      </c>
      <c r="C6567" t="inlineStr">
        <is>
          <t>読み方：ねんきん
終身または一定期間にわたり、毎年定期的に一定の金額を給付する制度のもとで、支給される金銭。また、老齢・障害・死亡などを保険事故とし、被保険者や遺族の生活保障を目的とする年金保険制度のこと。国民年金・厚生年金・共済年金などの公的年金と、企業年金・団体年金、個人年金などの私的年金とがある。→基礎年金番号
[補説]その他、年金に関連する重要語国民年金基金確定拠出年金厚生年金基金適格退職年金確定給付型企業年金企業年金連合会代行返上</t>
        </is>
      </c>
      <c r="D6567" t="inlineStr">
        <is>
          <t>年金額(3%)；年金給付；年金支給；年金受給；年金改革</t>
        </is>
      </c>
      <c r="E6567" t="inlineStr">
        <is>
          <t>恩給；退職年金</t>
        </is>
      </c>
      <c r="F6567" t="inlineStr">
        <is>
          <t>無年金；退職年金；比例年金；役員年金；皆年金</t>
        </is>
      </c>
      <c r="G6567" t="inlineStr">
        <is>
          <t>年金基金；年金生活者；年金受給者；年金機構；年金生活</t>
        </is>
      </c>
      <c r="H6567" t="n">
        <v>29</v>
      </c>
      <c r="I6567" t="inlineStr">
        <is>
          <t>しかしスピノザは貴族の友人らから提供された年金が十分にあった。；同年からメアリーは政府より300ポンドの年金を受けることになった。；なお農業者年金に加入した場合、個人型確定拠出年金には加入できない。；流出した年金情報の一部が、東京都港区の会社のサーバから見つかった。；全体の1割がお金を払いたくないことを理由に年金加入をしないとなっている。；後に判決は撤回され年金の支給が認められたが、財産は返金されなかった。；国家英雄に認定された者の遺族には年金や医療・住宅手当などが支給される。；帰国後はベルリンに滞在し、国王から年金を受けて一生を過ごした。；現在は退職者を対象にした年金事業等を行う法人として存続している。；フランス革命後は年金を失ったため、蔵書を売らなければならなかった。；一方で健康保険や被用者年金などでは、労働時間を通算する規定はない。；先述の経歴のため、年金を一切受けていないと自著では語られている。；地元では未熟練労働者をレイオフしたり、あるいは彼らの年金を整理した。；年金額は特別支給の老齢厚生年金の100分の50に相当する額となる。；ノルウェーの住民は本土の自治体を通じて年金と医療の権利を有している。；年金運用は大正世代までは子供数が4人から6人の複数で黒字化していた。；事故機には兵士3人と年金を届けに来ていた財務省の職員1人を乗せていた。；ロンドンでなくなる直前、何名かの友人が彼にわずかばかりの年金を提供している。；日本では、かつて戦後には無拠出型年金が提唱されていたが、導入はされなかった。；しかし生活には年金だけでは不足で、補充兵の教育を開始した。；政治家の年金未納問題が注目された際には年金の未納が発覚している。；これらのためにグループの従業員らは年金をほぼ失っている。；この当時、年金運用は信託銀行と生命保険会社だけが認められていた。；これは彼の牧師年金だけでは望めなかったような経済的自立をもたらした。；将来の年金額も試算でき、また持ち主不明の記録を検索することもできる。；また、その年金給付を行うための原資となる保有資産の運用を行っている。；レームをはじめとする犠牲者の遺族には年金が贈られ、慰撫が行われた。；さらに10年後からは死亡するまで20万ドルの生涯年金が贈られる。；公的年金では以下が強制加入であり、国民皆年金が達成されている。</t>
        </is>
      </c>
      <c r="J6567">
        <f>HYPERLINK("https://www.weblio.jp/content/年金", "词义详情")</f>
        <v/>
      </c>
      <c r="K6567">
        <f>HYPERLINK("https://yourei.jp/年金", "查看例句")</f>
        <v/>
      </c>
    </row>
    <row r="6568">
      <c r="A6568" t="inlineStr">
        <is>
          <t>年月</t>
        </is>
      </c>
      <c r="B6568" t="inlineStr">
        <is>
          <t>成功</t>
        </is>
      </c>
      <c r="C6568" t="inlineStr">
        <is>
          <t>読み方：としつき
１年と月。ねんげつ。
２長い歳月。つきひ。ねんげつ。「—を経る」「—を重ねる」
３年来。としごろ。副詞的にも用いる。「—願いつづけていたことがかなう」</t>
        </is>
      </c>
      <c r="D6568" t="inlineStr">
        <is>
          <t>年月をすごし；年月順；年月日時；年月経過；年月苦心</t>
        </is>
      </c>
      <c r="E6568" t="inlineStr">
        <is>
          <t>時；とき；日；時間；長年</t>
        </is>
      </c>
      <c r="F6568" t="inlineStr">
        <is>
          <t>長年月；永い年月；ながい年月；近い年月；幾年月</t>
        </is>
      </c>
      <c r="H6568" t="n">
        <v>29</v>
      </c>
      <c r="I6568" t="inlineStr">
        <is>
          <t>しかし別れて生きた長い年月の間、母はすでに新しい家族を持っていた。；ほとんどの場合は発生から年月が経過してからまとめの形で掲載している。；この絵はその後の年月で巡礼の中心となり、近隣の町の成長に貢献した。；それは即ち、長い年月をかけた進化発展を今も続けているからである。；一方で 非常に長い年月 を意味する単語として用いられることもある。；開業からかなりの年月が経過しており、順次改装工事が実施されている。；エイキンは長い年月の間に多くの有名人が冬の家を構える場所となった。；しかし、建造された厳密な正確な年月についてはいくつかの相違がある。；干拓事業は結果が出るまで長い年月を要するため、清は良い顔をしない。；モジュタヘドになるためには、通常何十年もの年月を要したからである。；この独特のギター・サウンドはその後年月を経て改良されていくことになる。；すべての戦争犯罪人の裁判が終わるには長い年月がかかると予想されている。；また、経験の無い人に本格的な訓練を行うのには、日数・年月がかかる。；またグレゴリウスの記した年月は別の件での整合性の問題を解決している。；創建の年月は詳らかではないが、室町時代には既にあったとされている。；中学高校の年月は、現在の音楽活動に大きな影響を与える6年間となる。；としつきに焦げたこのちひさな鍵も またつかひみちがわかるだらう。；特に結婚から年月を経てなお、妻への愛情覚めやらぬ様子を指す傾向がある。；長い年月をかけたそれらの研究の結果、テロワールの概念が確立した。；彼女の最後の年月にはしばしば及び親友のリルー・マルカンがそばにいた。；最終巻の出版を作中の決着の年月に合わせるという手法がとられている。；登場人物たちは実際の年月の進みに合わせて年をとっていく。；制度運用の開始から年月を経て、そのストックは着実に蓄積しつつある。；やがて年月が過ぎ、兄は王子として何不自由ない暮らしを満喫していた。；これらの要因は長い年月の間に形成されてきたものである。；また警察の目撃者の証言記録も、長い年月の内に散逸してしまっている。；その後の年月この人物の姓が出てくる結婚、死亡、出生の記録は無い。；長い年月共に仕事をしてきた親友が、彼とは血はつながっていないが兄弟だった。；政府の文化行政は現在の形に至るまでに長い年月をかけて改善と刷新を行われてきた。</t>
        </is>
      </c>
      <c r="J6568">
        <f>HYPERLINK("https://www.weblio.jp/content/年月", "词义详情")</f>
        <v/>
      </c>
      <c r="K6568">
        <f>HYPERLINK("https://yourei.jp/年月", "查看例句")</f>
        <v/>
      </c>
    </row>
    <row r="6569">
      <c r="A6569" t="inlineStr">
        <is>
          <t>年号</t>
        </is>
      </c>
      <c r="B6569" t="inlineStr">
        <is>
          <t>成功</t>
        </is>
      </c>
      <c r="C6569" t="inlineStr">
        <is>
          <t>読み方：ねんごう
年につける称号。中国の漢の武帝の時の建元を初めとし、日本では645年の大化に始まる。即位・瑞祥(ずいしょう)・災変、また、干支の辛酉(しんゆう)・甲子(かっし)の年に改号した。明治以後は一世一元の制となり、現在は元号法により皇位継承のあったときに限り年号を改めると規定。元号。→私年号</t>
        </is>
      </c>
      <c r="D6569" t="inlineStr">
        <is>
          <t>年号入り；年号銘；年号月日；年号制</t>
        </is>
      </c>
      <c r="F6569" t="inlineStr">
        <is>
          <t>西暦年号；独自年号；記年号；四字年号；皇紀年号</t>
        </is>
      </c>
      <c r="H6569" t="n">
        <v>29</v>
      </c>
      <c r="I6569" t="inlineStr">
        <is>
          <t>日本にも年号を廃止してもよいのではないかという説が出て来ています。；太字の緑色と赤色の年号は、それぞれの建設と破壊の時期を示している。；そして元文の年号のある方を、あるいは静御前のではないかと思います。；仇池が完全な独立体制、独自の年号を持ったのはこの時だけであった。；「確かに、その年号に間違いがなければ、変な話ですね」 僕は言った。；歴史はかなり難しくて、年号がすっかりごちゃまぜになってしまったの。；日本に於て年号が変らないものとすれば天明も十年になる筈であった。；年号をあらためて和銅とした年の前には、文武天皇がなくなっています。；御前衆之次第 年号不知 顕如上人の御時代に以下のように記載がある。；阮朝は一世一元の制を採用したため、治世の年号が皇帝の通称となった。；なんか英単語とか歴史の年号をいくつか忘れたような気もするぞ。；本作では、年号や時間などの時系列が不明確なために、作品の流れ順に記述。；そして、この平和を記念し、年号が新たに太陽元年と改められることになった。；このように年号を書くとき、私はその下に西暦年号を入れることにしている。；戦乱が終結するまでは、年号が明治となってからもなお八カ月を要した。；年号が昭和になったばかりのころ、北村は湯島に左楽の家を新築した。；墓碑に寛延の年号を刻んであるのを見ると、よほど長命であったらしい。；旧連邦の具体的な組織の成り立ちや当時の年号については不明である。；高麗末期の混乱期には、明の年号のほか、北元の宣光年号が確認される。；即位後の647年2月にそれまでの仁平を改元して太和の年号を用いた。；永仁は伏見天皇の年号であるから、今より六百三十四年前のものである。；年号でいえば明治十四年の春から秋にかけてである。；広く庶民にも年号が伝わるようになったのは、江戸時代になってからのことである。；すると、昭和の年号でいって、昭和二十五年にあたるわけである。；年号を変更することに強い反感が示されるのは、無理のないことといわねばならない。；昔の沖縄は中国の年号を使っていたとは聞いていたが、少々奇異な感じがした。；一貫して東晋の臣と称していたが、その年号を用いることはなかった。；原核生物の場合には、命名者と年号を両方記すように推奨されている。；元禄と云う年号が、何時の間にか十余りを重ねたある年の二月の末である。</t>
        </is>
      </c>
      <c r="J6569">
        <f>HYPERLINK("https://www.weblio.jp/content/年号", "词义详情")</f>
        <v/>
      </c>
      <c r="K6569">
        <f>HYPERLINK("https://yourei.jp/年号", "查看例句")</f>
        <v/>
      </c>
    </row>
    <row r="6570">
      <c r="A6570" t="inlineStr">
        <is>
          <t>年功序列</t>
        </is>
      </c>
      <c r="B6570" t="inlineStr">
        <is>
          <t>成功</t>
        </is>
      </c>
      <c r="C6570" t="inlineStr">
        <is>
          <t>読み方：ねんこうじょれつ
勤続年数や年齢が増すに従って地位や賃金が上がること。「—型賃金」</t>
        </is>
      </c>
      <c r="D6570" t="inlineStr">
        <is>
          <t>年功序列的(5%)；年功序列制(4%)；年功序列賃金(2%)</t>
        </is>
      </c>
      <c r="G6570" t="inlineStr">
        <is>
          <t>年功序列型</t>
        </is>
      </c>
      <c r="H6570" t="n">
        <v>29</v>
      </c>
      <c r="I6570" t="inlineStr">
        <is>
          <t>それがただの年功序列の結果ではないことを、一番理解していたのは空々である。；あの顔ぶれには年功序列的なものを感じるし、一種の同窓会じゃないのか。；その中で長岡は、現在いうところの年功序列を「梯子制度」と表現する。；長岡のこのメモは、年功序列を批判する見解として、注目しておきたい。；軍隊や会社じゃあるまいし、年功序列なんてはやらないのよ。；よくよく観察していたらそれは年功序列であった。；年功序列と思われている会社ですらそうなのです。；これらの公位は、当時の継承法に従って、年功序列に従って継承された。；彼らの代表の多くは議会で年功序列の強力な地位を獲得し、重要な議会委員会の議長を彼らに管理させました。；この背景には、経済成長と年功序列による将来的な賃金上昇があった。；基本的にはほぼ年功序列であるが、昇格のときに地位の追い抜きが発生することもある。；その人事は格式を守った年功序列であり、才能があっても特別の昇進をすることはなかった。；年功序列は、日本語のさまざまな文法規則に反映されていく。；ただ、自分の才能とは、いわば遊軍的なものであって、年功序列の社会向きではないと思っていた。；南軍の階級は仕組みや年功序列制においてアメリカ陸軍とほぼ同じだった。；候補には小沢治三郎もいたが、慣例により、年功序列で南雲に決まった。；それは、海軍の年功序列制ではないか、と私は考える。；後は年功序列で、何十年も勤め上げて最上位である諸御用調役まで昇進してゆく。；でもね、大学の唯一の救いは、昇給・昇格が年功序列的だということなんですよ。；高度経済成長期前後までは単純年功序列が主流であった。；ニホンザルの社会は基本的に年功序列制なのである。；年功序列が基本であるから、年老いて引退する者が出て始めて、公職に就ける。；先輩のメンツを重んじて年功序列に頼った国の末路はかくの如きものであった。；会長、理事はプロ棋士であり、選ばれるのも、世間と同じく年功序列がある。；環境は良かったそうだが、年功序列の会社のため、どんなに先輩より頑張っても結果を見てくれない会社だったとのこと。；年功序列が加味されることもあるでしょうが、売れてる作家と売れない作家とでは大きな差があります。；そして、わたしのみるかぎり、年功序列的とよばれる会社のほうが、経営の姿勢のしっかりしたよい会社が多いと思います。；幾人もの先輩歌手がいる年功序列の世界で、彼等に出来ることは、ただ頑張るだけだった。；各等級内での昇格は、ステップの年功序列に従って自動的に行われる。</t>
        </is>
      </c>
      <c r="J6570">
        <f>HYPERLINK("https://www.weblio.jp/content/年功序列", "词义详情")</f>
        <v/>
      </c>
      <c r="K6570">
        <f>HYPERLINK("https://yourei.jp/年功序列", "查看例句")</f>
        <v/>
      </c>
    </row>
    <row r="6571">
      <c r="A6571" t="inlineStr">
        <is>
          <t>年中</t>
        </is>
      </c>
      <c r="B6571" t="inlineStr">
        <is>
          <t>成功</t>
        </is>
      </c>
      <c r="C6571" t="inlineStr">
        <is>
          <t>読み方：ねんじゅう
１《「ねんちゅう」とも》1年の間。年間。「—無休」
２ある年代の間。年間。「宝暦—」
３（副詞的に用いて）いつも。始終。「—働いてばかりいる」</t>
        </is>
      </c>
      <c r="D6571" t="inlineStr">
        <is>
          <t>年中通し；年中行わ；年中雪；年中貧乏；年中高温</t>
        </is>
      </c>
      <c r="E6571" t="inlineStr">
        <is>
          <t>年；いつも；年間；常に；必ず</t>
        </is>
      </c>
      <c r="F6571" t="inlineStr">
        <is>
          <t>元禄年中；同年中；寛文年中；永禄年中；天文年中</t>
        </is>
      </c>
      <c r="G6571" t="inlineStr">
        <is>
          <t>年中無休；年中祭日祝日ノ休暇日ヲ定ム；年中行事歌合；年中組；年中行事障子</t>
        </is>
      </c>
      <c r="H6571" t="n">
        <v>29</v>
      </c>
      <c r="I6571" t="inlineStr">
        <is>
          <t>以下の種は種類や産地を問わなければ、比較的年中安定して供給される。；この夫婦は年中こういう会話だけをして暮しているのではないかと思った。；平然としているのは暑さ寒さを年中ものともしない長門くらいのものさ。；堺といえば若い頃、家庭裁判所へ年中来ていたので庭みたいな所である。；それに鍵は年じゅう私が持っていて、戸締りも自分で厳重にしています。；昔は五月半ばに行商にでて十月には帰ったものだが、今では年中である。；当年中もっとも活躍したとされる旧4歳馬が対象の投票により選出された。；彼の言葉によると、新聞は年じゅう嘘をつき、同じことばかりいっていた。；そして年じゅう、だれかに笑われているのではないかと気をまわしていた。；貰いものでなければ、この年中金欠男が手にできるようなものではない。；これは年中湿気の多い東京の天気に対して全然信用を置かぬからである。；自然は豊かで、山や川では年中通して子供たちが遊ぶ場面が見られる。；眠っている時以外はほとんど酒を口にしているため、年中体がだるい。；どんな人間でも年から年中、異常な感激を持すことは、困難な事である。；年じゅう足が痛うてならんくせ、その足がどこにあるかわかんねえんだ。；二人の先生は、どういうものか何となしに仲が悪く、年中睨合をしていた。；まあそんなわけで彼は年中ウィーンに滞留している暇がなかったでしょう。；いわば年じゅう同じ軌道の上を走っている電車のようなものだ。；私の身は本年じゅうには解決はつくまいと覚悟しております。；赤色人に対してだけでなく自分の仲間うちで年じゅう戦っているのよ。；春から秋にかけて開花するが、暖かい地域では年中花をつける例もある。；年中、公園内で人たちが集合する傾向にあり、特に夏の夜に頻繁である。；これと同じ意味のことは長屋の八さんが年中喋っているのであった。；市内には幾つかの地域公園があり、その多くは年中開放されている。；旧3歳馬が対象の投票により当年中最も活躍したものが選出された。；「おれは年じゅう疲れてるよ」 彼は一週間ずっとこんな様子だった。；羊に限らず年中草を食んでいるような動物は石を飲み込むことが多い。；アメリカから買ったものだが、ほとんど年中、そこに泊ったままだという。；愛情のもつれで、殺人に至るなんて、年じゅう新聞を賑わしている話だ。</t>
        </is>
      </c>
      <c r="J6571">
        <f>HYPERLINK("https://www.weblio.jp/content/年中", "词义详情")</f>
        <v/>
      </c>
      <c r="K6571">
        <f>HYPERLINK("https://yourei.jp/年中", "查看例句")</f>
        <v/>
      </c>
    </row>
    <row r="6572">
      <c r="A6572" t="inlineStr">
        <is>
          <t>捻出</t>
        </is>
      </c>
      <c r="B6572" t="inlineStr">
        <is>
          <t>成功</t>
        </is>
      </c>
      <c r="C6572" t="inlineStr">
        <is>
          <t>読み方：ねんしゅつ
［名］(スル)
１知恵をしぼって考え出すこと。「新しいアイデアを—する」
２やりくりして、金銭・時間などをつくること。「旅費を—する」「時間を—して後輩に会う」</t>
        </is>
      </c>
      <c r="D6572" t="inlineStr">
        <is>
          <t>捻出するため(13%)；捻出できる；捻出しよ；捻出する必要；捻出方法</t>
        </is>
      </c>
      <c r="E6572" t="inlineStr">
        <is>
          <t>発明；考案；案出；考え出す；編み出す</t>
        </is>
      </c>
      <c r="F6572" t="inlineStr">
        <is>
          <t>費用捻出；資金捻出；費捻出；財源捻出；スペース捻出</t>
        </is>
      </c>
      <c r="H6572" t="n">
        <v>29</v>
      </c>
      <c r="I6572" t="inlineStr">
        <is>
          <t>その政策は植民地開発に向けられず、VOCの利益捻出に使われていた。；またこの頃はレース参戦資金捻出のためにホテルでアルバイトをする。；介入する際は、外貨準備から捻出される資金をもって取引が行なわれる。；途方もない額が必要だったが、私的なグループが自腹を切って捻出した。；高杉が同僚に話したことは嘘で、何か別の方法で金を捻出したのではないか。；収録現場がセットも組まず簡素なのは、打ち上げの費用を捻出するため。；しかし彼の最も重要な貢献は必要な労働力の捻出であった。；将来はさらに、多くの自治体が更新費用の増加・捻出に苦労することが予想される。；しかし、彼らを日本に連れて行く費用を捻出するあてはなかった。；それだけの費用を、どこから捻出したと言い訳すれば良いだろうか。；この際、建築費用の捻出のため、神社所有の山林の一部を東京都に売却した。；費用捻出のためにホテルを売却したともいわれている。；植物などに関する第2巻以降は費用が捻出できず出版されなかった。；ホームの設置は、下り方面の線路を移設することでスペースを捻出して行われた。；グァンチュンは娘スミの留学費用捻出のためにチン会長に脅迫状を送る。；米国留学の費用や父の介護費用を捻出するため不動産経営を始める。；児童福祉基金捻出のためカメラの製造を始めたのが始まりとされる。；新路線を運航するためには身を削って発着枠を捻出せねばならない。；沢田と会う時間を捻出するためには、そうしておく必要があった。；宮廷では銀製品を銀貨に変えて資金を捻出し、軍再建に投じられた。；病気で倒れた妻の入院費用を捻出するためでもあった。；設問の準備ではなく、まずそのための時間を捻出せねばならない。；しかし、クラブはスタジアム建設費用を捻出することが出来なかった。；その金を捻出するのに、彼は、自分の仕事を利用したのである。；出版の理由は、麻薬治療のための入院費用を捻出するためだった。；差の3万石は新田開発が1万石、加賀藩からの支援が2万俵で捻出した。；そんな中でどうやってそれだけの大金を捻出したのだろう。；また、建設費用を捻出するために、州は敷地の半分を売却した。；というところから、このくるしい捻出案も即時に可決されたものだった。</t>
        </is>
      </c>
      <c r="J6572">
        <f>HYPERLINK("https://www.weblio.jp/content/捻出", "词义详情")</f>
        <v/>
      </c>
      <c r="K6572">
        <f>HYPERLINK("https://yourei.jp/捻出", "查看例句")</f>
        <v/>
      </c>
    </row>
    <row r="6573">
      <c r="A6573" t="inlineStr">
        <is>
          <t>燃焼</t>
        </is>
      </c>
      <c r="B6573" t="inlineStr">
        <is>
          <t>成功</t>
        </is>
      </c>
      <c r="C6573" t="inlineStr">
        <is>
          <t>読み方：ねんしょう
［名］(スル)
１燃えること。物質が酸素と化合して光や熱を出す現象。広義には、熱や光を伴わない酸化反応や、酸素でなく塩素・弗素(ふっそ)などと反応して光や熱を出す場合にもいう。「ガスが—する」「不完全—」
２力のかぎりを尽くして事に当たること。「全生命を芸術に—させる」</t>
        </is>
      </c>
      <c r="D6573" t="inlineStr">
        <is>
          <t>燃焼する(8%)；燃焼させる(6%)；燃焼効率(3%)；燃焼試験(2%)；燃焼時間</t>
        </is>
      </c>
      <c r="E6573" t="inlineStr">
        <is>
          <t>火；火災；火事；燃える；点火</t>
        </is>
      </c>
      <c r="F6573" t="inlineStr">
        <is>
          <t>異常燃焼；燃焼物；燃焼終了；ヘリウム燃焼；燃焼反応</t>
        </is>
      </c>
      <c r="G6573" t="inlineStr">
        <is>
          <t>燃焼ガス；燃焼器；燃焼熱；燃焼度；燃焼範囲</t>
        </is>
      </c>
      <c r="H6573" t="n">
        <v>29</v>
      </c>
      <c r="I6573" t="inlineStr">
        <is>
          <t>物質が燃焼すると、残った物質が軽くなる場合と重くなる場合とがある。；これらの用具を用いることで、燃焼を伴う製品ながら安全に使用できる。；そのため取り入れられる空気は燃焼に必要な量の2〜3倍に制限される。；高度5mで副エンジンの燃焼も停止され、同時にランダーが分離された。；そして燃焼の際には、そのうちの一方の気体が金属と結合するとした。；発熱量は、一定の単位の燃料が完全燃焼するときに発生する熱量のこと。；特殊なものでは、燃焼によって発生する光や煙を利用するものがある。；実験から彼は燃焼には空気に含まれる何らかの物質が関係していると結論付けていた。；ロケット自体は軌道に乗らないため第二段燃焼途中で指令破壊を行った。；遠隔測定のデータが再び得られるようになり、正確な燃焼時間が計算された。；ガス種にあう焜炉を用いないと適切な燃焼状態を確保することが困難である。；その多くでは何らかの燃料を消費する燃焼式が主流であるが、電熱式もある。；逆に燃焼速度が遅いガスが供給されると、バーナーから離れようとする。；気化装置としては燃焼炎の熱で燃料を気化させるものが一般的である。；しかし燃焼機構などを改良した結果安定した運転が可能になり当初の目的を果たすことができた。；指定されたエリア内では基準を満たさない燃焼機器、燃料の使用が制限される。；一つはエンジンと燃焼プロセスの制御と自身を監視する事である。；日本以外の韓国や中国では練炭の燃焼は今でもこの方式である。；バーナーの燃焼で再生器を直接熱し3段階の熱利用を行うものである。；それは、金属を燃焼させると、その金属の質量が増すという現象である。；専門家は、燃焼による爆発を、さらに次の二つに区別することがある。；燃費や排気ガス成分の改善など、燃焼性能を制御するために用いられる。；燃焼筒の奥に熱の反射板を持ち、機器正面へ集中して熱が放射される。；燃焼用空気を室内から取り入れ、燃焼したガスを室内に排気する方式。；このため、効率的な燃焼のためには使用前に十分に乾燥されている必要がある。；燃焼している物質の種類や含有している物質により、炎の色や強さが変化する。；また、エンジンの燃焼エネルギーの増大に伴い、熱の発生が多くなる。；火薬の燃焼が通常の燃焼と異なる点は空気中の酸素を必要としないことである。；金属自身を燃焼させたり、炎の中に金属の塩を投入すると、炎の色が変化することがある。</t>
        </is>
      </c>
      <c r="J6573">
        <f>HYPERLINK("https://www.weblio.jp/content/燃焼", "词义详情")</f>
        <v/>
      </c>
      <c r="K6573">
        <f>HYPERLINK("https://yourei.jp/燃焼", "查看例句")</f>
        <v/>
      </c>
    </row>
    <row r="6574">
      <c r="A6574" t="inlineStr">
        <is>
          <t>年代</t>
        </is>
      </c>
      <c r="B6574" t="inlineStr">
        <is>
          <t>成功</t>
        </is>
      </c>
      <c r="C6574" t="inlineStr">
        <is>
          <t>読み方：ねんだい
１経過してきた年月。「—を経た樹木」
２時の流れをあるまとまりで区切った期間。「一九五〇—」
３紀元から順に数えた年数。「—順に整理する」
４年齢層。世代。「同じ—の人」「—の差を感じる」</t>
        </is>
      </c>
      <c r="D6574" t="inlineStr">
        <is>
          <t>年代別(4%)；年代順(3%)；年代的；年代物；年代後半</t>
        </is>
      </c>
      <c r="E6574" t="inlineStr">
        <is>
          <t>日；年；時代；時間；時期</t>
        </is>
      </c>
      <c r="F6574" t="inlineStr">
        <is>
          <t>十年代；各年代；創建年代；成立年代；ユース年代</t>
        </is>
      </c>
      <c r="G6574" t="inlineStr">
        <is>
          <t>年代測定；年代層；年代測定法；年代別アニメソング一覧；年代記の書</t>
        </is>
      </c>
      <c r="H6574" t="n">
        <v>29</v>
      </c>
      <c r="I6574" t="inlineStr">
        <is>
          <t>これらの条件は、本級の運用年代には適用することが困難なものだった。；昭和修理時にも松琴軒の正確な建立年代を示す資料は発見されなかった。；年代鑑定を行っていない模様で生前に描かれたものか否かは不明である。；発見年代は不明だが、江戸時代の元禄年間以前であるとも言われている。；大の自動車好きとして知られ、年代を問わず様々な車両を所有している。；発表年代順に収録したつげ作品集の4期に分けての配信が開始される。；民族の違いは若い年代ではあまり意味を持たなくなりつつある。；それほどにローバー年代の若者たちは海を越えて戦いにおもむいていた。；以下はフランス王領に組み込まれた年代順に番号付けしたものである。；娘に沼田朝憲室がいたと伝わるが、朝憲死去の年代から否定されている。；長年声優として活躍したことで、その声は幅広い年代に親しまれていた。；放射性炭素年代を解釈する上で鍵となる概念は考古学でいう共伴である。；現在では制作年代は酒呑童子伝説の時期よりも後なのではないかとの見解もある。；また、男子の年齢区分を踏襲した形での年代別大会も行われている。；年代別代表には招集されたものの、Kリーグでの試合出場は少なかった。；近年の発掘調査などから各年代毎の城史が明らかになりつつある。；ただし年齢の幅が広いため特定の年代を指す用語ではない。；年代順に整理して番号を振ったのは、1605年版の刊行者である。；海山は火山岩で構成されており、北に行くほど形成年代が古くなっている。；しかし、火災や造成の年代は今のところ特定されるには至っていない。；しかし彼がすべての年代のための作者であるという自己像には一致していなかった。；過去の設置・建設のいきさつから、下記の通りの年代別に概要を説明する。；年代識別には特にハブール土器の様式の変化を調べることが有効である。；は現在でも広く使われている年代物の言語の一つである。；ひとつのメーカーでも年代により仕様が異なっていることがある。；また、アニメでは、制作された年代によって顔が全く異なるのが特徴。；兵士の軍装は反乱当時のものではなく描いた年代のものである。；このため20世紀初頭の物体を測定すると見かけの年代が実際より古くなる。；現在知られる内容の『マクベス』の推定執筆年代は1606年頃である。</t>
        </is>
      </c>
      <c r="J6574">
        <f>HYPERLINK("https://www.weblio.jp/content/年代", "词义详情")</f>
        <v/>
      </c>
      <c r="K6574">
        <f>HYPERLINK("https://yourei.jp/年代", "查看例句")</f>
        <v/>
      </c>
    </row>
    <row r="6575">
      <c r="A6575" t="inlineStr">
        <is>
          <t>粘着</t>
        </is>
      </c>
      <c r="B6575" t="inlineStr">
        <is>
          <t>成功</t>
        </is>
      </c>
      <c r="C6575" t="inlineStr">
        <is>
          <t>読み方：ねんちゃく
［名］(スル)ねばりつくこと。「しっかりと—する」「—テープ」</t>
        </is>
      </c>
      <c r="D6575" t="inlineStr">
        <is>
          <t>粘着力(21%)；粘着性(21%)；粘着質(11%)；粘着式(2%)；粘着制御</t>
        </is>
      </c>
      <c r="F6575" t="inlineStr">
        <is>
          <t>非粘着；高い粘着；粘着特性；粘着限界；高粘着</t>
        </is>
      </c>
      <c r="G6575" t="inlineStr">
        <is>
          <t>粘着剤；粘着係数；粘着榴弾；粘着シート；粘着式鉄道</t>
        </is>
      </c>
      <c r="H6575" t="n">
        <v>29</v>
      </c>
      <c r="I6575" t="inlineStr">
        <is>
          <t>これはサイリスタ位相制御の採用で高い粘着性能が得られたことによる。；野外ではここに多くの昆虫が粘着してとらえられているのが観察される。；が、同時に両人ともやはり耳の前後に一本の毛をさしわたして粘着させた。；刀身に仕掛けがあるのではなく、スピードが血の粘着力に勝ったのだ。；すぐ外にトウカイテイオーが粘着している状態で最終コーナーを通過する。；それを四十分後の爆発にセットし、底についた粘着分子を活性化させた。；それは、人間世界にはまだ発見されていない粘着材料で出来ているものらしい。；鋳鉄制輪子は粘着を改善する効果があることが古くから知られてきた。；トルク制御にはベクトル制御方式を採用し、高い粘着性能が確保される。；この機関車は多数の車輪に重量を分散することで粘着力の問題を解決した。；僕は頗る粘着力のない性分で、それは丁度自分の頭髪の性質に似ていた。；勇ましげな破壊と殺戮の機能の下に、粘着する金属愛が隠れているのです。；この理由によりドラッグレース用のタイヤには粘着性を持つものがある。；どちらかといえば粘着気質の、ひとつのことに心をそそぐ型の人間である。；その後粘着走行を一般化させたのはスチーブンソンであるとする説が有力である。；あまりに粘着して、僕の趣味からいえばいささかの俳文のような間がほしい。；粘着力を予測するために粘着現象の理論の発展が行われてきた。；約250種知られている粘着式の食虫植物中では屈指の大型種である。；なるほど、見るからに粘着質にからんできそうな雰囲気を漂わせている。；危険を感じると匂いの強い粘着質を皮膚から分泌して身を守る。；これもまた成功したフランジ付き車輪を用いた粘着式機関車である。；踏面の汚れや異物などを排除して最大粘着力を向上できる利点がある。；先程の様子からして惹かれ会うというか、粘着質に迫っていただけに見えたが。；しかし粘着質な糸はどんなに走っても伸びるばかりで、切れることはない。；背中に無数のウジがわいたような気にさせる粘着質の視線である。；ハエ類が甘みを持った粘着質を舐めに来る際に受粉していると考えられる。；日本語版では粘着性の糸の攻撃はネバネバ攻撃という技になっている。；そうかと思えば、先代の奴は、どんな粘着質な人かと思うくらい詳細だったし。；枝などに塗りつけたあと乾かすと再び強い粘着性を示すようになる。</t>
        </is>
      </c>
      <c r="J6575">
        <f>HYPERLINK("https://www.weblio.jp/content/粘着", "词义详情")</f>
        <v/>
      </c>
      <c r="K6575">
        <f>HYPERLINK("https://yourei.jp/粘着", "查看例句")</f>
        <v/>
      </c>
    </row>
    <row r="6576">
      <c r="A6576" t="inlineStr">
        <is>
          <t>年長</t>
        </is>
      </c>
      <c r="B6576" t="inlineStr">
        <is>
          <t>成功</t>
        </is>
      </c>
      <c r="C6576" t="inlineStr">
        <is>
          <t>読み方：ねんちょう
［名・形動］
１年齢が上であること。また、そのさまや、その人。としうえ。「仲間うちでいちばん—な（の）人」「—者」⇔年少。
２幼稚園・保育園で、最年長の5歳児。「—組」</t>
        </is>
      </c>
      <c r="D6576" t="inlineStr">
        <is>
          <t>年長者(3%)；年長組(3%)；年長記録；年長児；年長少年</t>
        </is>
      </c>
      <c r="E6576" t="inlineStr">
        <is>
          <t>上；先輩；年上；シニア；長寿</t>
        </is>
      </c>
      <c r="F6576" t="inlineStr">
        <is>
          <t>歳年長；いちばん年長；幼稚園年長；以上年長</t>
        </is>
      </c>
      <c r="H6576" t="n">
        <v>29</v>
      </c>
      <c r="I6576" t="inlineStr">
        <is>
          <t>その話をきいて、又別の年長の友達が私に一つの漢方薬を教えてくれた。；現役世界年長となったこのゴールは、海外のメディアも取り上げている。；以前会ったとき、あの年長の子供ふたりはどこに隠れていたのだろう?；彼はこの若い年長の婦人から自分の才能を褒められたことを思出した。；子供が自分の兄以外の年長の若い男性を指して呼ぶ一般語としても用いる。；年長のルフスは実際には全権力を彼の手に集中させていたと考えられている。；生まれ育った地区の年長のユダヤ人たちの腕に数字の入れ墨があった。；遠征に出た時のマクニッシュは40歳であり、隊員の中では年長だった。；レチツィアのイメージを年長の女性に求めたとしても不思議はあるまい。；以下の年長の子供たちは最初の妻との間に生まれたと考えられる。；今の私よりも、ずっと年長だったような気がしてならないのである。；幼稚園の年長くらいだろうか、どれもやんちゃそうな顔をした男の子だ。；プログラムはより幼い子供、より年長の青年に向け部門にも拡大していった。；我々の現代の病院におけると同様に年長の学生は実際の説明をするよう要求された。；艦長の袖章をつけた、カークよりやや年長の男が、司令席で死んでいた。；ブラジル系インディオや年長の奴隷たちの霊は、薬草治療の知識を持つ。；ハツモリは若い婦人が行う地域や、やや年長の婦人が行う地域が有った。；既に年長大であり、夫はいない、弟がいて彼女を助けていたとの伝承がある。；自分は初めてウィルの言葉を年長視野の言葉のように受け入れているのだ。；自分は自分よりも年長の者よりも年少の者に對する時の方が怖ろしい。；子供が、自分の姉以外の年長の若い女性を指して呼ぶ一般語としても用する。；王宇は王光より年長であったが、王莽は二人に同じ日に妻をめとらせた。；年長の学生が建物に入ってくると、外で待つようにと身ぶりで制した。；一人は宮崎より年長のプロのモデル、もう一人は一般の高校生だった。；そのため、後の世代は年長派の論理だけで語ってしまいがちである。；年長のこれらの学生たちは少年にさまざまのことを教えた。；激怒した父を見て年長の二人は逃げ出したが、最も若い息子は逃げなかった。；その際、年長の弟子はみな独立したため治勲が一番の兄弟子となった。；それをいくつかの包みに作って、年長の少年たちに割り当てることにした。</t>
        </is>
      </c>
      <c r="J6576">
        <f>HYPERLINK("https://www.weblio.jp/content/年長", "词义详情")</f>
        <v/>
      </c>
      <c r="K6576">
        <f>HYPERLINK("https://yourei.jp/年長", "查看例句")</f>
        <v/>
      </c>
    </row>
    <row r="6577">
      <c r="A6577" t="inlineStr">
        <is>
          <t>年度</t>
        </is>
      </c>
      <c r="B6577" t="inlineStr">
        <is>
          <t>成功</t>
        </is>
      </c>
      <c r="C6577" t="inlineStr">
        <is>
          <t>読み方：ねんど
暦年とは別に、事務などの便宜のために区分した1年の期間。「—初め」「—末」「会計—」</t>
        </is>
      </c>
      <c r="D6577" t="inlineStr">
        <is>
          <t>年度末(5%)；年度ごと(4%)；年度別(3%)；年度以降；年度予算</t>
        </is>
      </c>
      <c r="F6577" t="inlineStr">
        <is>
          <t>翌年度；各年度；次年度；本年度；単年度</t>
        </is>
      </c>
      <c r="G6577" t="inlineStr">
        <is>
          <t>年度内；年度始め；年度替わり；年度末；年度がわり</t>
        </is>
      </c>
      <c r="H6577" t="n">
        <v>29</v>
      </c>
      <c r="I6577" t="inlineStr">
        <is>
          <t>この山門の建立年度は不明で元々は鐘楼が乗っていたと考えられている。；と付いているのは同年度入学者の募集で学区制が適用されている普通科。；雑誌は発行日ベースで表示のため、発売日と年度が一致しないものもある。；装飾の内容や装飾の続く期間はバージョンや年度ごとに若干違う。；年度ごとの初回購入時に年齢を確認できる公的証明書の提示が必要である。；一般に使用ニーズの高い難関大学になればなるほど収録年度数は増える。；なお、高砂市統計書よる各年度ごとの利用状況は、以下のとおりである。；課税にも毎年度の予算での議会承認を必要とする方式を一年税主義という。；他に、現役競輪選手をその年度のテレビCMに起用するなどの例もあった。；その後、同年度より株式会社チャリ・ロトに民間委託される事になった。；年度別日本公開映画では、日本で商業公開された映画一覧を各年度別に記載。；各年度ごとの大会の詳細についてはそれぞれの記事を参照のこと。；各年度の結果を分析するには通常1年ほどの時間が必要である。；開業翌年度から5年間を見ても増加・横ばいのケースは約6割だった。；この項ではこれらのリーグを発足年度順に整理しておく。；これらは1938年夏に大臣決裁を得て、同年度中に工事を終了したという。；また設立後判明した人々の名前は、判別年度別に追加されている。；同じ日付であっても、決算月や決算日によって何年度となるかは変わる。；補正予算案が可決されれば、両者が共同して同年度中にも調査準備に入る。；以下は、朝日新聞出版が出版する『大学ランキング』各年度を基に作成。；生産自体は同年度導入の東京都交通局納入車などで一部継続された。；日本人のみの経営となった最初の年度、明治9年度には大幅な黒字に転じた。；ゲーム開始時に所属地区や年度などを設定できるが、これらは毎年入学式の日に変更が可能。；大会の開催期間は当該年度12月中と1月中に歴代何度か変更されている。；当駅の利用状況の変遷を下表に示す* 輸送実績の単位は人/年度である。；その後、支那事変が始まると学生を採用しない年度も出てくるようになる。；ABUロボコン開始以後の各大学の出場年度および回数を以下の表に示す。；UECL優勝クラブは翌年度のUELのグループステージ出場権を得る。；増加分の決定方法は年度により異なるので、後述の歴史の年表を参照のこと。</t>
        </is>
      </c>
      <c r="J6577">
        <f>HYPERLINK("https://www.weblio.jp/content/年度", "词义详情")</f>
        <v/>
      </c>
      <c r="K6577">
        <f>HYPERLINK("https://yourei.jp/年度", "查看例句")</f>
        <v/>
      </c>
    </row>
    <row r="6578">
      <c r="A6578" t="inlineStr">
        <is>
          <t>年頭</t>
        </is>
      </c>
      <c r="B6578" t="inlineStr">
        <is>
          <t>成功</t>
        </is>
      </c>
      <c r="C6578" t="inlineStr">
        <is>
          <t>読み方：としがしら
１仲間の中でいちばん年長であること。また、その人。
２年の初め。ねんとう。</t>
        </is>
      </c>
      <c r="D6578" t="inlineStr">
        <is>
          <t>年頭記者会見(3%)；年頭教書(3%)；年頭挨拶(3%)；年頭視閲式；年頭会見</t>
        </is>
      </c>
      <c r="E6578" t="inlineStr">
        <is>
          <t>年始；年初；年度初め</t>
        </is>
      </c>
      <c r="H6578" t="n">
        <v>29</v>
      </c>
      <c r="I6578" t="inlineStr">
        <is>
          <t>しかし、J2加入が確定した2001年年頭ごろから問題が表面化した。；年頭所感は天皇が前年を振り返り人々の幸せを祈る言葉であるといわれる。；今年、一九七七年の年頭は、私にとってもめでたいもののはずであった。；此れこそ僕が多年頭に描いて居た理想の芸術だと信じて居る。；老人のくせになまぐさすぎるが、これがぼくの今年の年頭のことばである。；秀長自身も責任を問われ、秀吉から翌年の年頭の挨拶を拒否された。；秀吉は安土で正月を迎えたが、年頭にはさらに光栄が待ちかまえていた。；前一〇四年の改暦に至るまで、十月が年頭であったのは、そうした事情による。；この年には年頭から、日本国内で新型コロナウイルスへの感染が拡大。；正月の十六日に朝早くお松が年頭に来た時に、自分の喜んだ様子ったら無かったそうである。；日本人は年頭の訪問を遵守するのに当って、非常に形式的である。；このうち、森喜朗は2009年に元朝式に出席し年頭の挨拶を行った。；著衣始というのは年頭に衣を著初るの意、三カ日のうち吉日を選ぶとある。；年頭に京の主上に御祝儀を奏上した儀礼の最後の締めくくりであった。；年頭に、新聞が予想した日本の前途は、決して、明るくはなかった。；大統領が行う重要な演説や、年頭に行われる議会での一般教書演説は中継される。；翌1994年は前年からの好調を維持し、年頭からランキングのトップを占め続けた。；年頭に風都市に入ったんですけど、そこが3月につぶれてね。；年頭の儀式は廃しても春はどこやら春らしくて、突きつまったような心にもいくらかのゆとりができた。；そしてのけぞったまま、年頭のテーマを確立したのである。；いろどりとして、そんな女の、年頭の言葉を入れるのも、面白いではないか。；また、三方楽所の総代は年頭挨拶のため下向することが恒例となった。；これに伴いベースとなったJ'sと年頭に追加されたQ'sSCが廃止される。；四三年末から四四年年頭にかけては、例年にない厳冬であった。；一九三六年の年頭に際して、私は一九三六年度思想界の展望というものを書いたことがある。；大抵の人は年末には感慨嗟嘆し年頭には奮起し祝福するのが常である。；十氏族会議にも顔を連ね、要所を押さえた発言で場をリードした年頭の男である。；一九二四年の年頭から、シュタイナーは病をかかえていた。；年頭からのこの賑いを、九地建は大学さまの挑戦と受け止める。</t>
        </is>
      </c>
      <c r="J6578">
        <f>HYPERLINK("https://www.weblio.jp/content/年頭", "词义详情")</f>
        <v/>
      </c>
      <c r="K6578">
        <f>HYPERLINK("https://yourei.jp/年頭", "查看例句")</f>
        <v/>
      </c>
    </row>
    <row r="6579">
      <c r="A6579" t="inlineStr">
        <is>
          <t>念頭</t>
        </is>
      </c>
      <c r="B6579" t="inlineStr">
        <is>
          <t>成功</t>
        </is>
      </c>
      <c r="C6579" t="inlineStr">
        <is>
          <t>読み方：ねんとう
心の中の思い。胸のうち。「—に浮かぶ」「—にない」</t>
        </is>
      </c>
      <c r="D6579" t="inlineStr">
        <is>
          <t>念頭におか；念頭に浮かん；念頭に置く必要</t>
        </is>
      </c>
      <c r="E6579" t="inlineStr">
        <is>
          <t>考え；思い；気持ち；意見；意</t>
        </is>
      </c>
      <c r="H6579" t="n">
        <v>29</v>
      </c>
      <c r="I6579" t="inlineStr">
        <is>
          <t>日本でもそれを念頭に置いて合法化を目指すべきと考えている者もいる。；取材・編集は、一般メディアが報道する場合の基準を念頭に置いている。；NPBへの復帰を念頭に置いた入団ながら、チームではコーチも務める。；ただし、時代的には治氏ではなく和田高家を念頭にしていたと思われる。；今後の製品の性能向上を念頭に置いてシステムバスの仕様を変更している。；これは将来的な人類の外部太陽系への探査を念頭に置いたものである。；彼のいう生産は農業を念頭においており、その意味で重農主義と呼ばれる。；tarコマンドはその名の通り磁気テープの操作が念頭に置かれていた。；楊子に取って死後の祭祀の問題などは全く念頭に置くに足りなかった。；槍の穂先を模した形の部隊章も、この愛称を念頭に置いたものである。；と呼ばれるようになるが、念頭に置かれているものは同じである。；テレビや新聞のニュースで触れられない情報の存在も常に念頭においておく必要がある。；本型は、建造当初から航空機を運用することを念頭に置いて建造された艦となった。；よって、政府与党は慎重に法制を実施することに念頭がおかれたのである。；パラ馬術競技のための装備品は、このことが念頭に置かれて開発されている。；このときハナの念頭にあったのは脱線トリオのメンバー構成であった。；コードゴルフを念頭に置いたいくつかの新しい言語が作られている。；リガンドを念頭に置いて実施された薬物開発の最初の成功例である。；パイロットは常にこれを念頭に置いて機体を操縦する必要がある。；日本軍は、前述の侵攻予想時期を念頭に部隊の編成を実施した。；あるいはパンチそのものを打たせないことを念頭に置き防御しなければならない。；また建設当初から、将来の複線化を念頭に置いた用地を確保してある。；それぞれの段階によって状況・課題は異なりそれを念頭に置いた対策が必要である。；ソクラテス式問答法が使われるのは、このことを念頭に置いてのことである。；しかし、論理的な可能性としては、常に地動説的な理論は念頭にあった。；一方でバスケでは地域リーグを念頭に新チームを設立する方針を示している。；彼女はその空気を念頭に置いているが、言葉は覚えていない。；ナイフを選ぶ時には念頭に置くべき2つの重要な要素がある。；規則第95条の6はこれら未規制物質を念頭に置いて設けられたものである。</t>
        </is>
      </c>
      <c r="J6579">
        <f>HYPERLINK("https://www.weblio.jp/content/念頭", "词义详情")</f>
        <v/>
      </c>
      <c r="K6579">
        <f>HYPERLINK("https://yourei.jp/念頭", "查看例句")</f>
        <v/>
      </c>
    </row>
    <row r="6580">
      <c r="A6580" t="inlineStr">
        <is>
          <t>年々</t>
        </is>
      </c>
      <c r="B6580" t="inlineStr">
        <is>
          <t>成功</t>
        </is>
      </c>
      <c r="C6580" t="inlineStr">
        <is>
          <t>読み方：としどし
年を追うごと。年ごと。毎年。ねんねん。「—に人口が増える」</t>
        </is>
      </c>
      <c r="D6580" t="inlineStr">
        <is>
          <t>年々増加(10%)；年々減少(6%)；年々増え(3%)；年々拡大；年々厳しく</t>
        </is>
      </c>
      <c r="F6580" t="inlineStr">
        <is>
          <t>年々悪化；年々規模；年々少なく；年々成績；年々減り</t>
        </is>
      </c>
      <c r="H6580" t="n">
        <v>29</v>
      </c>
      <c r="I6580" t="inlineStr">
        <is>
          <t>宇宙開発に伴ってその数は年々増え続け、対策が必要となってきている。；今日、二重承認が実現せず、また台湾を承認する国は年々減少している。；ただし、の件数が年々増加している為に引き続き注意が必要とされている。；年々増加する魔術ならびにまじない・詐欺に対応するために創設された。；オープン直後から人気が高く、年々規模が拡大されるほどであった。；教育に携わる部局は年々このような教育プログラムを拡張していっている。；しかしながら、これらの集団内での話し手の数は年々減少する傾向にある。；リーグトップクラスの選手でありながら、バードの技術は年々向上した。；動画が投稿される速度は年々増加しており、 アップロードされていた。；遺構はかなり残っているが開発のため年々破壊されていっている。；特に、クラシックカーフェステバルは年々展示規模が大きくなっている。；外観は、年々成長し10kgを超える大きさに成長する角が特徴的である。；年々悪化してきており、バイトしながら続ける者や自主制作する者もいる。；進学率は年々上昇し、第二次世界大戦のころにはほとんどが進学した。；年々悪化していった渋滞などの影響により、1982年に廃止となった。；年々放送回数も増えており、2020年は1週間通しての企画となった。；旺盛な建設需要に対応するため、合板の製造量は年々拡大し続けている。；日本では高度経済成長時代を迎え、石油の消費量は年々拡大していった。；捕獲を開始してからは、年々捕獲数、被害相談件数ともに減少している。；実際、百合やボーイズラブも手掛けるなど、年々活動の場を広げている。；平日は大型車の混入率が高いと見られ、全線開通後は年々増加している。；それでも神輿の数は年々減少傾向にあり、祭りの存続が危惧されている。；輸送実績は開業直後の1930年度がピークで、以後は年々低下し続けた。；環境問題は年々複雑化しており、早急に解決すべき課題となっている。；硬式野球部は年々実績を上げており、3期連続ベスト8に進出している。；同社がオセロの販売を開始しその後は年々ファンの数が増えた。；絵柄は年々変更され、期間限定タイプや懸賞で当たるタイプなどもある。；また、年々厳しくなる安全性能に対応すべくさらに装備を充実させた。；しかし年々運転日が減少傾向にあり、具体的には下表の通りであった。</t>
        </is>
      </c>
      <c r="J6580">
        <f>HYPERLINK("https://www.weblio.jp/content/年々", "词义详情")</f>
        <v/>
      </c>
      <c r="K6580">
        <f>HYPERLINK("https://yourei.jp/年々", "查看例句")</f>
        <v/>
      </c>
    </row>
    <row r="6581">
      <c r="A6581" t="inlineStr">
        <is>
          <t>念のために</t>
        </is>
      </c>
      <c r="B6581" t="inlineStr">
        <is>
          <t>成功</t>
        </is>
      </c>
      <c r="D6581" t="inlineStr">
        <is>
          <t>確認；一応；万が一；念の為；石橋を叩いて渡る</t>
        </is>
      </c>
      <c r="H6581" t="n">
        <v>29</v>
      </c>
      <c r="I6581" t="inlineStr">
        <is>
          <t>念話能力のように同一名称でも原理も同一とは限らない場合が存在する。；また強念者ともいえど死亡しかねないほど魂を吸われる場合もあった。；前衛的音楽のためアルバムはあまり売れなかったが、後に再評価された。；物語の舞台は大阪などに移り、次は気象予報士になるための勉強を開始。；預かった念金は主宰者が数年間保管した後に返還することになっていた。；ワードは単独で実行できるため、部分に分けてのデバッグも容易である。；そのため、より多くの機材や医師を病院に配置することが求められている。；動物分類学や植物分類学だけを指すためにこの言葉が用いられることもある。；父は湯浅屋支配人の仕事があるため、東京と松阪を往復する生活をした。；この条件から外れると領海を形成するために有効な領土ではなくなる。；これは魚類の進化の多くが大陸移動以前から起こってきたためである。；なお、宮崎新局のために確保されていた用地はのちに駐車場となっている。；そのため、二人は手塚が使っていた机と同じ机で漫画を描いていた。；しかしながら前述のように解釈の問題が数多いため、実行の壁は高い。；このフェルミエネルギーを計算するために、Nが大きい場合を見てみる。；このためストールマンは移植性のあるソフトウェアが必要だと考えていた。；ここではソクラテスの言動は揶揄のために誇張されていると考えられる。；輸送中には、このフックは念のための安全上の働きのみをしている。；これらは制御方法が異なるため、それぞれ別のドライバが必要である。；これは、本来「自分で気づかなければいけない」とされているためである。；これは、分子内の結合や官能基の種類を特定するために一般に使用される。；兄媛は吉備氏の娘であり故郷の方角を見て望郷の念にかられたのだった。；これは戦争中に多くの戦争協力詩を作ったことへの自省の念から出た行動であった。；ゲームにSFアニメ的なエッセンスを加えるために行った設定といえる。；ゲスト コメンティストには梶原を出演させるという念の入れ様だった。；布袋劇の人形が舞台に登場する場合それぞれ固有の四念白を発して登場する。；集団防衛は防衛的な性格のみを持つために集団安全保障の側面も持つ。；前者は至ってきびきびした性格を持ち、後者は哀惜の念を含んでいる。；今日でもキクユ人の一部には、不遇の念が強くわだかまっているという。</t>
        </is>
      </c>
      <c r="J6581">
        <f>HYPERLINK("https://www.weblio.jp/content/念のために", "词义详情")</f>
        <v/>
      </c>
      <c r="K6581">
        <f>HYPERLINK("https://yourei.jp/念のために", "查看例句")</f>
        <v/>
      </c>
    </row>
    <row r="6582">
      <c r="A6582" t="inlineStr">
        <is>
          <t>年配</t>
        </is>
      </c>
      <c r="B6582" t="inlineStr">
        <is>
          <t>成功</t>
        </is>
      </c>
      <c r="C6582" t="inlineStr">
        <is>
          <t>読み方：ねんぱい
１年齢のほど。としのころ。「同じ—の人」
２世間なれした年ごろ。中年以上の年ごろ。「—の女性」
３年齢が上であること。年上。「彼は私よりいくつか—だ」</t>
        </is>
      </c>
      <c r="D6582" t="inlineStr">
        <is>
          <t>年配者(9%)；年配女性；年配層；年配の看護婦；年配客</t>
        </is>
      </c>
      <c r="E6582" t="inlineStr">
        <is>
          <t>高齢；老齢；老年；高年</t>
        </is>
      </c>
      <c r="F6582" t="inlineStr">
        <is>
          <t>四十年配；同じ年配；ご年配；近い年配；相当な年配</t>
        </is>
      </c>
      <c r="H6582" t="n">
        <v>29</v>
      </c>
      <c r="I6582" t="inlineStr">
        <is>
          <t>そしてそれは多分皆自分と同じ位の年配だろうとばかり思っていました。；よくみると、かなりの年配で、五十をいくつかすぎているようにみえた。；歯が一本しかない年配の女が彼女を見つけ、同情してうめき声をあげた。；年配も国木田より上で、われわれより十も上だったのではないかと思う。；やや年配の看護婦に何か話していたが、その人が窓口のほうへ出てきた。；現在も年配者を中心に商店街の筋を天神橋筋と呼ぶケースが少なくない。；相当の年配と思われる俳優をバカ呼ばわりすることも珍しくないのです。；五〇年配と思われる女と、ひとりの若者が、池を背にして立っていた。；二人がそばへ来てわたしの前で立ち止まると、年配の婦人が話しかけた。；一人の年配の大人を教師として、一ダースかそれ以上の子供たちがいた。；年配から察すると背中の児のほかに一人や二人の子があるであろう。；彼女は私がはじめて会った当時の母親と同じ年配に達しているにちがいなかった。；ですから、わたしと同じくらいの年配の人だけ当ってみればいいんです。；年配の男が、本心からびっくりした表情で彼女を見ながら立っていた。；現在では、特に村落部で、年配の女性が時折着用するだけになっている。；ブライオニ荘の玄関の扉は開いていて、年配の女が踏み段に立っていた。；そして、おれが彼のそばに坐っている間に、年配の人たちが船の用意をした。；一方で風光明媚な海岸線の眺望などの喪失を残念がる年配者の声もある。；傍まで近づいて、年配のほうの男の顔に、見憶えがあることを思いだした。；窓を見上げてみると、扇子で顔を隠した年配の客が踊っているのが見える。；主に年配の女性に限られ、既婚でも若い女性がお歯黒をする例は稀である。；部屋にいた少し年配な女房たちが皆同時に声を放って泣いた。；で、その日は病院に電話をかけて、年配の看護婦みたいなのがやって来た。；みな相当な年配であり、藩でも重要な位置にある者ばかりなのだ。；彼女が家へ入ると、年配の婦人がお茶のテーブルから顔を上げた。；景蔵ももはや杖をそこに置いて馬籠の方のことを語り出すほどの年配である。；父親とジョン伯父と一人の年配の男が壁を背にして坐っていた。；いずれも余と同年配、三十二三の額に小ジワの現れた女性であった。；そして、次第に彼の周囲には、同年配の同性愛者が集まるようになった。</t>
        </is>
      </c>
      <c r="J6582">
        <f>HYPERLINK("https://www.weblio.jp/content/年配", "词义详情")</f>
        <v/>
      </c>
      <c r="K6582">
        <f>HYPERLINK("https://yourei.jp/年配", "查看例句")</f>
        <v/>
      </c>
    </row>
    <row r="6583">
      <c r="A6583" t="inlineStr">
        <is>
          <t>燃費</t>
        </is>
      </c>
      <c r="B6583" t="inlineStr">
        <is>
          <t>成功</t>
        </is>
      </c>
      <c r="C6583" t="inlineStr">
        <is>
          <t>読み方：ねんぴ
１機械がある仕事量をこなすのに必要な燃料の量。自動車では燃料1リットルでの走行キロ数で示す。燃料消費率。「—のよい車」
２あることに使用する燃料の費用。燃料費。「—がかさむ」
[補説]1で、自動車の燃料1リットルでの走行キロ数が大きいほど「燃費のよい車」といえる。→低燃費［補説］</t>
        </is>
      </c>
      <c r="D6583" t="inlineStr">
        <is>
          <t>燃費向上(6%)；燃費基準(4%)；燃費効率(3%)；燃費改善(2%)；燃費規制</t>
        </is>
      </c>
      <c r="F6583" t="inlineStr">
        <is>
          <t>省燃費；平均燃費；実用燃費；高燃費；燃費走行</t>
        </is>
      </c>
      <c r="G6583" t="inlineStr">
        <is>
          <t>燃費向上グッズ；燃費偽装</t>
        </is>
      </c>
      <c r="H6583" t="n">
        <v>29</v>
      </c>
      <c r="I6583" t="inlineStr">
        <is>
          <t>この頃は低燃費の車両を奨励するために、様々な燃料の使用を認めていた。；なお燃費測定に際しては、電装品が消費する燃料分は考慮されていない。；また、燃費規制のある車両規則の下で行なわれた最後の年となった。；欧州では環境規制の強化を受けて、自動車の燃費向上が模索されていた。；燃費が最大になるように建物を設計する方法について明確な示唆を与えました。；このことは、エンジンの燃費の改善に大きく役立つと考えられている。；自動車に求められる機能には燃費向上の他に、運転する機能の向上も重要である。；しかし、どのような条件でこの燃費が得られるのかは不明である。；前世代までに比べ燃費の向上、排出ガスおよび騒音の削減がされている。；これは計画の後期に関連して開発されたが大西洋横断飛行に必要な燃費を確保した。；同社製エンジンの高い静音性と低燃費が高く評価され採用されたと考えられている。；また、燃費が悪いため、燃料補給や整備の負担が大きいとの声もある。；エンジンとモーターの仕様も一部改善され、燃費も改善されている。；最高出力が下がり、燃費を意識した走りが可能になるモードである。；これは限界性能を向上させるためではなく、燃費や静粛性の向上が主目的である。；燃費や排気ガス成分の改善など、燃焼性能を制御するために用いられる。；このエンジンの設計は、低燃費と低騒音の2つの要素に重点を置いていた。；空冷はアター9Kで再導入され更に性能が向上し、特に燃費が向上した。；大会ではEPという単位を用いてガソリン車との燃費比較も行なっている。；更に技術者が作業を進めて燃費を向上して出力を増強した第2世代が出来た。；燃費の良い運転をサポートするエコドライブアシスト照明も備えている。；燃費規制が撤廃され、エアリストリクターを使用して性能調整が行われた。；機関車はより高出力で高容量で出力に余力があり、燃費が妥当だった。；その結果3気筒での動作域の拡大が可能となり燃費アップにつながっている。；Sクラスのデモカーに搭載された際の燃費は以下と報告されている。；高速巡行性能と同時に比較的低燃費ゆえの長い巡航距離が得られる。；発進時にエアコンを停止させる機能をもたせるなどして燃費向上も実現した。；希薄燃焼を行わない場合でも燃費に有効なのは、 によるものである。；シャシダイナモとは、自動車の馬力や燃費を測定する装置の事である。</t>
        </is>
      </c>
      <c r="J6583">
        <f>HYPERLINK("https://www.weblio.jp/content/燃費", "词义详情")</f>
        <v/>
      </c>
      <c r="K6583">
        <f>HYPERLINK("https://yourei.jp/燃費", "查看例句")</f>
        <v/>
      </c>
    </row>
    <row r="6584">
      <c r="A6584" t="inlineStr">
        <is>
          <t>年末</t>
        </is>
      </c>
      <c r="B6584" t="inlineStr">
        <is>
          <t>成功</t>
        </is>
      </c>
      <c r="C6584" t="inlineStr">
        <is>
          <t>読み方：ねんまつ
年の暮れ。歳末。歳暮。「—大売り出し」「—年始」</t>
        </is>
      </c>
      <c r="D6584" t="inlineStr">
        <is>
          <t>年末特番；年末に行われる；年末スペシャル；年末近く；年末開催</t>
        </is>
      </c>
      <c r="E6584" t="inlineStr">
        <is>
          <t>暮れ；年の暮；歳晩；年尾</t>
        </is>
      </c>
      <c r="F6584" t="inlineStr">
        <is>
          <t>同年年末；年末最終；年末ごろ；年末賞取りレース；年末特集</t>
        </is>
      </c>
      <c r="G6584" t="inlineStr">
        <is>
          <t>年末恒例；年末商戦；年末調整；年末進行；年末時代劇スペシャル</t>
        </is>
      </c>
      <c r="H6584" t="n">
        <v>29</v>
      </c>
      <c r="I6584" t="inlineStr">
        <is>
          <t>日本でも人気は高く、年末になると各地で第九のコンサートが開かれる。；年末には通常のコーナーをすべて休止して年間ランキングの発表を行う。；近年はテレビ東京で年末の朝枠に再放送を行う場合もあるようになった。；その年の年末には全米中の街や大学で同団体が見られるようになった。；年末には陸軍法務部長室内に戦争犯罪局が設置され、研究が開始された。；基本的には年末に放送されるが、2005年に限り年に2度放送された。；広告付きのものは2013年の年末発売分までは45円で販売されていた。；楽曲は2007年の年末に行われたライブで先行して披露されている。；年末には1年間の総集編が放送されるが、年明けに放送したこともある。；これは2007年の年末に、商品の供給が追いつかなかったためである。；おまけに藩主の康匡が年末に死去したため、改革は完全な失敗に終わった。；このため年末から2年間イギリスに渡り、イギリス海軍の研究を進めた。；シングルの発売が年末だったこともあり、翌年に渡って売り上げを伸ばした。；さらに年末、1事業が追加で許可され、最終的に64事業が凍結された。；同年年末に開発参加国の国防相会議が開催され従来の計画を維持することを確認した。；毎年春・秋と年末に放送されている『ものまねバトル』の姉妹番組である。；ドラマ30枠では年末に作品が終了するのは今回が初となった。；グループは韓国の年末の様々な音楽賞で、新人賞と楽曲賞を受賞した。；翌年5月にはチームマネージャーへ転身するが、年末にクラブを去った。；このため毎年年末に行われていた花火大会などが中止となった。；只、翌年には年末の拡大版は放送されず別の特別番組が放送された。；明治36年9月26日に大佐へ昇進すると、年末に作戦班長へ昇格した。；冬での開催は稀に年末に行われていたこともあったが、最近では年始に開催されている。；年末のマリブSまでステークス4連勝といよいよ本格化したかに思えた。；また年初の小倉競馬場開催と年末の中京開催を入れ替えることになった。；クリークが2連覇を達成したのは、その年末開催だった時代のことである。；年末の繁忙期に何度も事情聴取されたら商売に影響するという思いもあった。；年末には日本武道館で合同ライブを開催し、歌やコントを観客に届けた。；上記の楽曲はいずれも年末から翌年始にかけて連続1位になっている。</t>
        </is>
      </c>
      <c r="J6584">
        <f>HYPERLINK("https://www.weblio.jp/content/年末", "词义详情")</f>
        <v/>
      </c>
      <c r="K6584">
        <f>HYPERLINK("https://yourei.jp/年末", "查看例句")</f>
        <v/>
      </c>
    </row>
    <row r="6585">
      <c r="A6585" t="inlineStr">
        <is>
          <t>燃料</t>
        </is>
      </c>
      <c r="B6585" t="inlineStr">
        <is>
          <t>成功</t>
        </is>
      </c>
      <c r="C6585" t="inlineStr">
        <is>
          <t>読み方：ねんりょう
燃焼させて熱・光や動力などを得る材料。石炭・薪(まき)・ガソリン・アルコール・ガス・ウランなど。</t>
        </is>
      </c>
      <c r="D6585" t="inlineStr">
        <is>
          <t>燃料不足(2%)；燃料供給(2%)；燃料噴射；燃料消費；燃料切れ</t>
        </is>
      </c>
      <c r="E6585" t="inlineStr">
        <is>
          <t>薪炭；焚物；焚き物</t>
        </is>
      </c>
      <c r="F6585" t="inlineStr">
        <is>
          <t>用燃料；燃料効率；燃料電池自動車；燃料系統；燃料代</t>
        </is>
      </c>
      <c r="G6585" t="inlineStr">
        <is>
          <t>燃料電池；燃料補給；燃料噴射装置；燃料費；燃料ポンプ</t>
        </is>
      </c>
      <c r="H6585" t="n">
        <v>29</v>
      </c>
      <c r="I6585" t="inlineStr">
        <is>
          <t>そのため、当時の日本では航空機用燃料の貯蔵量が底をつきかけていた。；当初は石炭ガスを燃料としたが、後には灯油等の石油系燃料を使用した。；あるいは時間は午後6時30分とし、燃料不足が原因とする意見もある。；だがウェールズも燃料不足になっており、まもなく本隊を離脱している。；そのため自動車用エンジンへの対応はもっぱら燃料の脱硫に頼っている。；内部の床は、燃料が通過できるように金属製の細かい枠組みで作られた。；駅裏右上に撤退した広島燃料興業の工場への専用線が残されている。；中継基地では燃料と食事が支給され、運転手は休息することができた。；これによって地上ではどうしても燃料類が漏れ出てしまう仕様となっていた。；また、2009年には、ブタンを燃料とするエンジンも開発されている。；ハイブリッドロケットは、異なった相の物質を燃料とするエンジンである。；火災も発生したが弾薬や燃料の誘爆はなかったので13分後に鎮火した。；少しの燃料とタワーがあればすぐに焼けるチャパティの方が一般的である。；濃縮の費用を考えると、これは燃料をはるかに安くすることができる。；また冷却水の供給が円滑に行われなかったことで燃料がメルトダウンした。；後に他の基地で燃料が漏れたが閉鎖され死者はいなかった。；本部基地以外にも、レーダー基地や燃料基地などの地上施設を持つ。；その多くでは何らかの燃料を消費する燃焼式が主流であるが、電熱式もある。；最もリサイクル用途が高いのは燃料としてのサーマルリサイクルである。；復活配備の際には技術者はこの燃料漏れ対策に苦心したとも言われる。；また、ドラッグ機動を用いてミサイルの燃料切れを狙うのも有効である。；特に燃料満載状態では護衛するはずの爆撃機に劣る上昇力しか持たなかった。；燃料に高オクタン価のガソリンが指定されている自動車の車種に使用される。；そもそも大型艦を作戦に投入する燃料がなかった。；ところが、目一杯炉の火を焚き続けたため、燃料がなくなってしまう。；燃料としてはウランやプルトニウムなどが用いられる例が通常である。；特に空軍は錬度維持もままならないほど部品や燃料が枯渇しているという。；使用する燃料によってオイルライターやガスライターなどの種類がある。；発射に際して弾体を垂直に設置し、燃料を注入し、目標を入力設定する。</t>
        </is>
      </c>
      <c r="J6585">
        <f>HYPERLINK("https://www.weblio.jp/content/燃料", "词义详情")</f>
        <v/>
      </c>
      <c r="K6585">
        <f>HYPERLINK("https://yourei.jp/燃料", "查看例句")</f>
        <v/>
      </c>
    </row>
    <row r="6586">
      <c r="A6586" t="inlineStr">
        <is>
          <t>年輪</t>
        </is>
      </c>
      <c r="B6586" t="inlineStr">
        <is>
          <t>成功</t>
        </is>
      </c>
      <c r="C6586" t="inlineStr">
        <is>
          <t>読み方：ねんりん
１樹木の横断面にみられるほぼ同心円状の輪。温帯林では形成層の肥大生長が気温で異なり、春から夏にかけて活発に生長し、冬に休止するので、1年の間に粗と密の輪ができる。熱帯降雨林では1年じゅう生長を続けるので、年輪はふつう認められない。
２多年にわたり積み重ねられてきた経験。「人生の—を感じる」</t>
        </is>
      </c>
      <c r="D6586" t="inlineStr">
        <is>
          <t>年輪幅(4%)；年輪曲線(3%)；年輪状；年輪パターン；年輪データ</t>
        </is>
      </c>
      <c r="G6586" t="inlineStr">
        <is>
          <t>年輪年代測定；年輪年代測定法</t>
        </is>
      </c>
      <c r="H6586" t="n">
        <v>29</v>
      </c>
      <c r="I6586" t="inlineStr">
        <is>
          <t>例えば樹木の年輪がそれであり、同様の構造は骨などに現れる例もある。；年輪がないので樹齢を知ることは難しいが、数千年に達するといわれる。；木の年輪のように、丸く何重にもテーブルが配置されているのが特徴的だ。；現在、年輪に基づく推定では過去約1万年程度の気候が推定されている。；なぜならそこから下の部分は中心部の年輪が失われていたためだ。；また雨期と乾期に対応して形成された年輪様の構造は成長輪ともよばれる。；これは年輪だけではなく他の自然科学的年代測定に共通の問題である。；彼は十分に年輪を重ねており、それを考える経験と時間が長かったのだろう。；鉄縁の眼鏡をかけたその顔には初老と言ってもよい程の年輪が刻まれている。；太くなった根茎を切断すると樹木の年輪に似た鮮紅色の輪ができている。；年輪を調べてみると、この現象は急速な寒冷化の時代であったことと一致した。；その顔に刻まれた年輪の数は彼の残した偉業の記念碑でもあった。；この一種の哀感は、作者の年輪が自然に紡ぎ出したものにちがいない。；そのため成長の遅さから年輪の幅が狭く、結果として強度に優れている。；鉄縁の眼鏡をかけたその顔には初老と言ってもよいほどの年輪が刻まれている。；環孔材で肌目は粗いが板目面の光沢と年輪が美しく海外でも人気がある。；それはその年輪が言葉に力を与えているのだろうが。；各段の自然石の配列は階段式のプール壁を年輪状に形成されている。；敷地は半分になってしまっているが、庭の松と槙の樹は齢毎に年輪を増している。；保存状態が良いものは年輪や木の形まで保存される。；そんなひょうたん模様がいくつか、年輪のように外側に拡がっていた。；私のこの一つの年輪は、閲された生活のどんな季節をつたえていることだろう。；色は橙色で、割ると、木本植物の年輪のような鮮紅色の輪ができている。；それがわかるのも〝万年ヒラ〟で終った和多田の年輪のおかげである。；年輪のように、それは大きな円から小さな円へと、内側に向かって連なっていた。；穏やかな風貌の底に、人生の年輪が刻まれているような老練の刑事である。；そのようなシーケンスの最初の例は年輪の研究から見出された。；年輪がないため観察記録などからの推定であるが、樹齢は数百年から千年以上に及ぶものもあるという。；あの時の松の木を切って年輪を数えたら800年が経っていた。</t>
        </is>
      </c>
      <c r="J6586">
        <f>HYPERLINK("https://www.weblio.jp/content/年輪", "词义详情")</f>
        <v/>
      </c>
      <c r="K6586">
        <f>HYPERLINK("https://yourei.jp/年輪", "查看例句")</f>
        <v/>
      </c>
    </row>
    <row r="6587">
      <c r="A6587" t="inlineStr">
        <is>
          <t>年齢</t>
        </is>
      </c>
      <c r="B6587" t="inlineStr">
        <is>
          <t>成功</t>
        </is>
      </c>
      <c r="C6587" t="inlineStr">
        <is>
          <t>読み方：としよわい
ねんれい。とし。
「今はまして難かるべき—になりゆくを」〈かげろふ・下〉</t>
        </is>
      </c>
      <c r="D6587" t="inlineStr">
        <is>
          <t>年齢層(4%)；年齢差；年齢別；年齢相応；年齢設定</t>
        </is>
      </c>
      <c r="E6587" t="inlineStr">
        <is>
          <t>年；歳；年代；齢；年頃</t>
        </is>
      </c>
      <c r="F6587" t="inlineStr">
        <is>
          <t>平均年齢；同年齢；同じ年齢；幅広い年齢；高年齢</t>
        </is>
      </c>
      <c r="G6587" t="inlineStr">
        <is>
          <t>年齢的；年齢主義；年齢不詳；年齢確認；年齢詐称</t>
        </is>
      </c>
      <c r="H6587" t="n">
        <v>29</v>
      </c>
      <c r="I6587" t="inlineStr">
        <is>
          <t>年齢が高い人よりも低い人の方が、症状が重い人は多いと言われている。；このことからタイタンの表面は、年齢と比較して若いと考えられている。；しかし実際にはこの年齢より若くしてその階級に達している者が多い。；現在では従来の方式は、「同年齢」基準よりも使われなくなりつつある。；年齢設定を問わず、勝利後には跳び上がってはしゃぐ一面も持っている。；つまり、年齢ではなく集団に貢献出来る能力を成人の基準にしたのである。；親しい立場にあった漫画家でさえ本当の年齢を知って驚いたほどであった。；これらとは別に以下のような年齢表現が用いられることもある。；このため生涯設計のため生殖可能年齢を早期に理解することも重要である。；殻から年齢を推定する信頼できる方法が無いため、年間の成長速度は不明。；第3のグループでは、性交渉開始時の男女の年齢はより密接に一致した。；おおむね購入時に本人の年齢を確認できる公的証明書の提示を求められる。；若い年齢で肩部、臀部と下背の上にしばしば出現するが健康上に問題はない。；ただし尊重すべき理由があるときはそれ以下の年齢でも認められる場合がある。；学齢とは学校に就学して教育を受けることが適切とされる年齢のことである。；この時点では14歳で、本来の就学年齢より1年早い高校入学となった。；その対策としては、飲酒禁止年齢を用いた対策が効果的といわれている。；これらは、年齢は同程度と考えられるが、その金属の存在量が異なっている。；その一方で、多くの人が描かなくなる年齢を過ぎても活動的に絵を描く人々が居る。；斎藤利三と明智光秀の年齢差を考えると、妹ではなく姉だとする説もある。；なお、オファーを受けた当初は年齢的な問題から当惑していたという。；年度ごとの初回購入時に年齢を確認できる公的証明書の提示が必要である。；成人年齢と参加者の年齢の乖離にそなえ名称を変更する動きも出ている。；年齢層にあわせて、大きさの異なるブロックが用意されている。；しかしプロデューサーはマックイーンの年齢を理由にそれを拒絶した。；ヘンリーは14歳になり結婚できる年齢となったが、結婚に抵抗した。；耳垢の層を数えることにより、ある程度の年齢を推測することができる。；成政の二人の兄や娘の年齢から、没年齢53歳説が有力とされている。；競走馬登録後は年齢にかかわらず、初出走前に1回に限り変更できる。</t>
        </is>
      </c>
      <c r="J6587">
        <f>HYPERLINK("https://www.weblio.jp/content/年齢", "词义详情")</f>
        <v/>
      </c>
      <c r="K6587">
        <f>HYPERLINK("https://yourei.jp/年齢", "查看例句")</f>
        <v/>
      </c>
    </row>
    <row r="6588">
      <c r="A6588" t="inlineStr">
        <is>
          <t>野～</t>
        </is>
      </c>
      <c r="B6588" t="inlineStr">
        <is>
          <t>成功</t>
        </is>
      </c>
      <c r="C6588" t="inlineStr">
        <is>
          <t>読み方：ぬ
１《上代東国方言》「の（野）」に同じ。
「千葉の—の児手柏(このてかしは)の含(ほほ)まれどあやにかなしみ置きて高来ぬ」〈万・四三八七〉
２「の」の甲類音を表す万葉仮名とされる「努」「怒」「弩」などを、主に江戸時代の国学者が「ぬ」と訓(よ)んで、「野(の)」の義に解した語。「野火(ぬび)」「野辺(ぬべ)」など。</t>
        </is>
      </c>
      <c r="D6588" t="inlineStr">
        <is>
          <t>分野；原；畑；民間；野</t>
        </is>
      </c>
      <c r="H6588" t="n">
        <v>29</v>
      </c>
      <c r="I6588" t="inlineStr">
        <is>
          <t>前運動野は行動の計画と感覚情報に基づく運動の最適化に関わっている。；駅裏のヤードには木材が野積みされているが、当線は利用されていない。；唇や顔の一部や手は運動野の細胞の特に大きい領域を占めている。；アダムが作られた時にはエデンの園の外には野の木も草も生えていなかった。；被験者の全感覚、すなわち全体野への入力がどれも遮断されるのである。；上流の支流八手俣川には君が野ダムがあり桜の見所として知られている。；継母は連れ子を溺愛するあまり娘を家から冬の野に追い出してしまった。；一次運動野またはM1は、前運動野と共同して運動の計画、実行を行う。；また、気候システム研究センターは2研究部門6分野で構成されていた。；そんなある日、貞美は姉の誘いで、富良野の家族の元に戻ることになる。；内台劇は豪華な舞台装置と野台劇に比べ大人数による演出が特徴である。；宇陀松山城の西側の地区は古代は阿騎野と呼ばれた宮廷の狩猟場であった。；記されているのは郡・里・村・山・川・原・野の他、墓・井・津・社などである。；実際の普及局面ではその他に含まれる野立てが大半を占めた。；伝説では原初同盟の結成は「リュトリの野」で行われたとされている。；一部の運動野は実際に運動するよりもイメージのほうがよく働くというデータが示されている。；開眼・言語・運動の3分野に分けて記録し、意識状態を記録できる。；江戸時代以前の日本語研究の流れは、大きく分けて3分野あった。；そもそも漢語では「野」という言葉で政府以外の民間部門全体を指した。；これら3分野の製品は継続して開発し、市場投入を行っている。；この4分野は学区内の中学4校のそれぞれにも割り当てられることになる。；女性は、男性よりも脳の嗅覚野が発達しているので、匂いに敏感に反応する。；これは野アユがオトリの尾ビレ付近を狙って体当たりしてくるためである。；この実験では、運動野から脊髄への神経インパルスの伝導が示された。；裸になり城門を出た彼は、太陽に向かって両腕を広げながら野に向かった。；踏切跡付近には干河バス停があり、田之野経由のなんてつ号が停車する。；駅裏はすっかり草生しているが、かつては沢山の木材が野積みされていた。；同年辰野・葛西建築事務所に入り辰野金吾のもとで建築設計に従事した。；野立てや大きな建物の屋上設置など家庭用を上回る規模のものは一般に産業用に分類される。</t>
        </is>
      </c>
      <c r="J6588">
        <f>HYPERLINK("https://www.weblio.jp/content/野～", "词义详情")</f>
        <v/>
      </c>
      <c r="K6588">
        <f>HYPERLINK("https://yourei.jp/野～", "查看例句")</f>
        <v/>
      </c>
    </row>
    <row r="6589">
      <c r="A6589" t="inlineStr">
        <is>
          <t>ノイローゼ</t>
        </is>
      </c>
      <c r="B6589" t="inlineStr">
        <is>
          <t>成功</t>
        </is>
      </c>
      <c r="C6589" t="inlineStr">
        <is>
          <t>読み方：のいろーぜ
神経症。</t>
        </is>
      </c>
      <c r="D6589" t="inlineStr">
        <is>
          <t>ノイローゼ気味(10%)；ノイローゼ状態(3%)；ノイローゼ患者(2%)；ノイローゼになりそう；ノイローゼ症状</t>
        </is>
      </c>
      <c r="E6589" t="inlineStr">
        <is>
          <t>神経症；気の病；精神神経症</t>
        </is>
      </c>
      <c r="F6589" t="inlineStr">
        <is>
          <t>癌ノイローゼ；半ばノイローゼ；完全なノイローゼ</t>
        </is>
      </c>
      <c r="H6589" t="n">
        <v>29</v>
      </c>
      <c r="I6589" t="inlineStr">
        <is>
          <t>このノイローゼ時代にあっては、ぼくらは自分の神経の奴隷なんですね。；この点を考慮して第4章で、ノイローゼに関連した事件を考察してみた。；このことが原因でノイローゼになったパート仲間がいたが、よくわかる。；彼は普段からの激務でノイローゼになるほど神経を痛め付けられていた。；これが実施されてから現実に、はっきりとノイローゼが増えているからだ。；そういうことが続いて、母もわたしもノイローゼになりそうなんです。；村山はそのことで池田がノイローゼ気味になっているのだろうと考えた。；わたしは、このごろすこしノイローゼになっているのかもわかりません。；いわゆるノイローゼ時代になってから、それに対する薬も数多く生れた。；晩年には、音楽や生活への悩みから来るノイローゼの傾向があったという。；その結果に責任を感じた吉岡は自殺まで考え、ノイローゼ寸前になった。；夏子のノイローゼは、不思議なことに湘南方面なら調子がいいのである。；こんな噛み合わない会話が毎日続いたらノイローゼになってしまいそうだ。；一種の根深いノイローゼが原因になる事がよくあるとも話して下さいました。；ノイローゼの老人の世話が面倒なのは経験上よくわかっていた。；以後しばらく、こちらもノイローゼになって、電話に出るのが怖かった。；妻との悶着が続いたことで、ノイローゼは悪化の一途を辿ることになる。；おれはすこしノイローゼになっているのかもしれないと思った。；もともと少しノイローゼ気味でもあったが、気分の変化が大きいんだ。；それで勉強に自信をうしなったらしく、ノイローゼ気味になってました。；しかし病的なものは少数で、大部分はノイローゼのたぐいにちがいない。；救急車で医者へ運ばれていったが、ひどいノイローゼにかかっていたようだ。；結局、ノイローゼのようになり、私もそうだが三歳の娘もくたくたになる。；夫を精神的に頼りにしていたのでは、たちまちノイローゼになってしまう。；だが、ノイローゼ患者というものは、そもそもそういうものなのである。；けたたましい泣き声に朱美はノイローゼにでもなってしまいそうだった。；たしかにやたらに人の顔に見えるとすれば、それはノイローゼの一種だろう。；ノイローゼ患者は内科医などへ行っていたケースが多いであろう。；あの人、高校時代にノイローゼで病院に入っていたことがあるのよ。</t>
        </is>
      </c>
      <c r="J6589">
        <f>HYPERLINK("https://www.weblio.jp/content/ノイローゼ", "词义详情")</f>
        <v/>
      </c>
      <c r="K6589">
        <f>HYPERLINK("https://yourei.jp/ノイローゼ", "查看例句")</f>
        <v/>
      </c>
    </row>
    <row r="6590">
      <c r="A6590" t="inlineStr">
        <is>
          <t>脳</t>
        </is>
      </c>
      <c r="B6590" t="inlineStr">
        <is>
          <t>成功</t>
        </is>
      </c>
      <c r="C6590" t="inlineStr">
        <is>
          <t>読み方：なずき
１脳・脳髄・脳蓋骨(のうがいこつ)などの古名。
「独鈷(とっこ)をもって—をつきくだき」〈平家・八〉
２頭。
「見る人の—も痛む雨夜かな」〈毛吹草・六〉</t>
        </is>
      </c>
      <c r="D6590" t="inlineStr">
        <is>
          <t>脳脊髄液；脳機能；脳組織；脳血管；脳活動</t>
        </is>
      </c>
      <c r="E6590" t="inlineStr">
        <is>
          <t>頭脳；脳髄；大脳；ブレイン；ブレーン</t>
        </is>
      </c>
      <c r="F6590" t="inlineStr">
        <is>
          <t>主脳；ポジトロン脳；脳虚血；ブラジル脳線虫；脳函</t>
        </is>
      </c>
      <c r="G6590" t="inlineStr">
        <is>
          <t>脳裡；脳内；脳髄；脳天；脳波</t>
        </is>
      </c>
      <c r="H6590" t="n">
        <v>29</v>
      </c>
      <c r="I6590" t="inlineStr">
        <is>
          <t>その刺激が神経から脳に伝えられ直線加速度を感じるようになっている。；手で物を触った刺激を整理統合して立体を形成するのも脳の働きである。；男性と女性では刺激を受けている際の脳の変化に違いが認められた。；脳機能の回復と記憶の再構成にはこの状態となることが重要とされている。；あなたの脳をちょうどいい具合に刺激するパズルがあるだけなのです。；そうした遺伝子進化の結果、強い性の衝動と様々な脳の傾向が生まれた。；また、こういう環境で育った子供は、脳の発達具合にまで違いがみられる。；この理論はまた、左利きの人々が脳の分業を逆転させていると予測する。；このため、脳に損傷を受けた患者は注意深く観察しなければならない。；パーキンソン病や脳血管障害では両側性に病変が出現することは少ない。；CTでは症状と関係のない脳の異常がわかってしまうからである。；なお、処刑された後、実際に日本人がチカチーロの脳を買い取っている。；人間は社会を形成すると共に、極めて脳が発達した感情の生き物でもある。；生物の知性は一般的に脳と全体の比率によって知性の高さが予測できる。；中心脳発作という用語自体はてんかん発作国際分類には残されていない。；脳の可塑性というのは、一度できた神経結合を変更する能力のことである。；神経系は中枢神経と末梢神経が区別でき、また頭部には脳が形成される。；しかし基本的に痺れはほとんどの場合は脳血管障害と関係はないとされている。；現代の見解では、脳ではなく、大きい神経の活動領域であったとされている。；さらに侵食が脳まで達すれば理性すら持たないゾンビ兵となってしまう。；トキソプラズマが脳に寄生すると宿主の行動を変えることが知られている。；健康麻将とも呼ばれ、脳のトレーニングや老化防止にも活用されている。；脳は小型で咽頭背壁に接し、腹神経索は腹正中を走り1本で分節しない。；恐竜の中では大きな脳を持ち、高い知能を持ち合わせていた可能性がある。；不快感を不快であると感じることの出来る脳の仕組みも機能しない時がある。；当時は移植過程で、牛の脳の成分を一部利用した薬が使用されていたためである。；それは心臓と脳の両方にとって良いことである。；対称的に、視力に関する神経と脳の構造は小型で発達していなかった。；睡眠中には脳が、過去に見聞きした情報をジャンルごとに整理する。</t>
        </is>
      </c>
      <c r="J6590">
        <f>HYPERLINK("https://www.weblio.jp/content/脳", "词义详情")</f>
        <v/>
      </c>
      <c r="K6590">
        <f>HYPERLINK("https://yourei.jp/脳", "查看例句")</f>
        <v/>
      </c>
    </row>
    <row r="6591">
      <c r="A6591" t="inlineStr">
        <is>
          <t>能</t>
        </is>
      </c>
      <c r="B6591" t="inlineStr">
        <is>
          <t>成功</t>
        </is>
      </c>
      <c r="C6591" t="inlineStr">
        <is>
          <t>読み方：え
［副］《動詞「う（得）」の連用形から》
１（下に打消しの語または反語を伴って）不可能の意を表す。…できない。うまく…できない。
「若者は挨拶の言葉も—言わないような人で」〈有島・溺れかけた兄弟〉
「数ならぬ身は、—聞き候はず」〈徒然・一〇七〉
２可能の意を表す。…できる。うまく…できる。
「面忘れだにも—為(す)やと手(た)握りて打てども懲りず恋といふ奴(やっこ)」〈万・二五七四〉</t>
        </is>
      </c>
      <c r="D6591" t="inlineStr">
        <is>
          <t>能はず(4%)；能装束；能じゃない；能衣裳；能運</t>
        </is>
      </c>
      <c r="E6591" t="inlineStr">
        <is>
          <t>力；技術；腕；能力；才能</t>
        </is>
      </c>
      <c r="F6591" t="inlineStr">
        <is>
          <t>霊能；演能；貞能；事能；全智全能</t>
        </is>
      </c>
      <c r="G6591" t="inlineStr">
        <is>
          <t>能力；能く；能率；能登；能動</t>
        </is>
      </c>
      <c r="H6591" t="n">
        <v>29</v>
      </c>
      <c r="I6591" t="inlineStr">
        <is>
          <t>緑藻の中には、光合成能を二次的に失ったものがわずかに知られている。；これは能の大成者である世阿弥が配流された影響であるといわれている。；この時点での卵胞の分裂能は高く、層が積み重なる程に低くなっていく。；能のほかには当時の学生と同じようによく映画をみ、レコードを買ってきいた。；能との関係はよく知られているが、俳句の様式や精神も浸透している。；多くの国の路線バスの運賃箱には精算機能も両替機能もないことが多い。；一元的汎神論や能産的自然という思想は後の哲学者に強い影響を与えた。；能有の男系の子孫には、後代保元の乱で活躍した源季実などが出ている。；現在能とは、現在進行しているように演じられるドラマのような能である。；より高い飛行性能を得るためにより強力なエンジンが強く求められた。；しかし飛行性能に問題があったため、量産は行われず試験機の扱いになった。；能が好きになったのは両親の影響もあったのだろう。；超自然的なものを題材とした能では面をつけることが多いが、面をつけない直面物もある。；下段の間の左手の広縁の前に、能舞台があり、能を見物するためである。；また、柄を構成する細胞が発芽能をもつ場合と、もたない場合がある。；当時の人々は李のことを老能先生と呼んでいた。；本願寺8世蓮如の最後の妻となった蓮能は双子の姉であったと伝えられる。；ただし、大分県豊後大野市大野町藤北に能直のものと伝えられる墓がある。；また、その高い増殖能から遺伝子に様々な操作を加えることが可能である。；しかしながら、DNA結合能があるため決して無害というわけではない。；さらに翌日の3月13日、将軍主催の能の催しに勅使・院使が招かれた。；能氏が長男であったが、母親の身分により三男であった頼氏が嫡男とされた。；その後ユビキノン酸化能などを獲得していき、現在の形になったと考えられる。；また、親能が鎮西に莫大な所領と権限を有していたのも実証的に支持される。；また水素結合能が高く、近年ではその自己集合性が注目されている。；これらの触媒能にはほとんど差が無いが、臓器の分布に以下の様な違いが知られている。；また大きな都市には能楽堂があり、身近に能に接することができる。；能忍の無師の禅は、法統の師弟相承を伝統とする禅門では異端とされた。；宗盛は都落ちの方針を決定するが、貞能は賛同せず都での決戦を主張した。</t>
        </is>
      </c>
      <c r="J6591">
        <f>HYPERLINK("https://www.weblio.jp/content/能", "词义详情")</f>
        <v/>
      </c>
      <c r="K6591">
        <f>HYPERLINK("https://yourei.jp/能", "查看例句")</f>
        <v/>
      </c>
    </row>
    <row r="6592">
      <c r="A6592" t="inlineStr">
        <is>
          <t>農家</t>
        </is>
      </c>
      <c r="B6592" t="inlineStr">
        <is>
          <t>成功</t>
        </is>
      </c>
      <c r="C6592" t="inlineStr">
        <is>
          <t>読み方：のうか
１農業により生計を立てている世帯。また、その家屋。「専業—」
２中国、戦国時代における諸子百家の一。農耕につとめ、衣食を充足することを主張した。</t>
        </is>
      </c>
      <c r="D6592" t="inlineStr">
        <is>
          <t>農家出身；農家風；農家建築；農家戸数；農家住宅</t>
        </is>
      </c>
      <c r="E6592" t="inlineStr">
        <is>
          <t>農民；百姓；農夫；圃；農場主</t>
        </is>
      </c>
      <c r="F6592" t="inlineStr">
        <is>
          <t>生産農家；栽培農家；養蚕農家；地元農家；古い農家</t>
        </is>
      </c>
      <c r="G6592" t="inlineStr">
        <is>
          <t>農家レストラン；農家の台所；農家資格</t>
        </is>
      </c>
      <c r="H6592" t="n">
        <v>29</v>
      </c>
      <c r="I6592" t="inlineStr">
        <is>
          <t>それは郊外のロベルティの農家に両親や弟が住んでいたからでもあった。；いくつかの商品のラベルには生産農家の名前が自署にて印刷されている。；実家は農家であったが、横山が騎手になった頃には馬も生産していた。；また、小野寺家は農家ではない、と本人が設定に後日不満を語っている。；生体で輸送される場合は、基本的には農家から市場までの輸送である。；農家の二男に生まれ、父の影響で2・3歳位の時から宮相撲に出場した。；加入者の大半が米作農家で、そのためJAは米を中心に活動を行っている。；やがて近所の農家にも栽培技術を伝授してこの辺りでリンゴ栽培が普及した。；現在でも地方の農家などでは、寝室を指して納戸と言うこともあるという。；八朔・二百十日とともに、天候が悪くなる農家の三大厄日とされてきた。；鈴木家は農家であったが、家族の他に下人が3人いる自作地主であった。；明治時代になりその栽培が一般農家にも広がり、販売されるようになった。；農家数は戦後減少を続けており、近年は第一種兼業農家の減少が著しい。；直哉の家の周りは農家だったので、家の中にもハエが飛び回っていた。；このことは恐慌中のアメリカの農家をいくばくか救ったとされている。；家は代々農家であったが、父親が鰻を商売にして成功を収めたと言われている。；また食材は地産地消を行うことで現地の農家の支援にもなっている。；農業は農家戸数や農業人口が減少する中で観光農園への転換などが進んでいる。；生産農家の形態は、おおまかに分類すると以下の3通りに分けられる。；当時の宮面丘は、茅ぶき屋根の農家や畑が校舎の隣にあるほどの農村であった。；多くの農家がタバコを生産し、紙巻きタバコの発明で特に人気が出た。；しかし多くの農家が牛に期待するのは役用で、その観点でははっきりした効果が得られなかった。；しかし先述のように生産農家などではビニール製が大部分を占める。；逃げるようにブラウンの家を出たクリストフは僻地の農家に隠れ住む。；移民の多くは小農家として働き、主に州の一部のでブドウを栽培した。；農業を職業としている人は農家や農民と呼ばれる。；父親ジーモンは小学校の教師で、母親ゲルトルートは農家の出身であった。；この農場はエクスペリメント・ファームと呼ばれ、農家が現存している。；これは資本主義経済とは異なる自給的な農家の経済行動をモデル化したものであった。</t>
        </is>
      </c>
      <c r="J6592">
        <f>HYPERLINK("https://www.weblio.jp/content/農家", "词义详情")</f>
        <v/>
      </c>
      <c r="K6592">
        <f>HYPERLINK("https://yourei.jp/農家", "查看例句")</f>
        <v/>
      </c>
    </row>
    <row r="6593">
      <c r="A6593" t="inlineStr">
        <is>
          <t>納期</t>
        </is>
      </c>
      <c r="B6593" t="inlineStr">
        <is>
          <t>成功</t>
        </is>
      </c>
      <c r="C6593" t="inlineStr">
        <is>
          <t>読み方：のうき
税金や商品などを納める時期。また、その期限。「—が迫る」</t>
        </is>
      </c>
      <c r="D6593" t="inlineStr">
        <is>
          <t>納期遅延(2%)；納期短縮；納期遵守</t>
        </is>
      </c>
      <c r="E6593" t="inlineStr">
        <is>
          <t>デッドライン</t>
        </is>
      </c>
      <c r="H6593" t="n">
        <v>29</v>
      </c>
      <c r="I6593" t="inlineStr">
        <is>
          <t>保険料は、以下の場合は納期前であってもすべて徴収することができる。；このままでは納期に間に合わない恐れがあり、娘も両親も悲嘆に暮れた。；太っちゃんが向かいの席で何度も納期交渉の電話をしていたからそれは知っています。；納期は60日とされていたが、実際に出荷されるまでには何ヶ月もかかった。；納期と価格を事前に合意し、保証するサービスを提供している。；一社に全面的に依拠すれば、納期や価格面で交渉力を失いかねないからだ。；納期に1ヶ月の遅れを生じ、また予定の硬度には達していなかった。；納期の遅れを引き起こした最大の原因は、で発生した火災であった。；私は早番が続いていたし、夫は納期が迫っているらしく会社に泊まり込んでいた。；この頃に妻に宛てた手紙の中で作曲者は、納期までの残り時間の不足を訴えている。；メーカーに新規圧延を依頼する場合、通常では2ヶ月程度の納期がかかる。；納期が設定出来るようなことではありませんから。；会社の仕事に大きなトラブルが発生し、このままでは納期までに仕事が完成しないことが判明したのだという。；三つの納期がいっぺんに終わって、今日はほとんどの社員が休んでいるのだという。；ちょうどストライキが発生したことを理由にすべて6月まで納期が延長されることになった。；すぐに手配し直した代品の納期はなかなか確定しませんでした。；この差異は納期や製造費用との兼ね合いの結果とされている。；正確な数と納期は2012年1月の時点ではまだ不明である。；発売地域は関東・中部・九州地方であり、納期は約3ヶ月であった。；また主機関も、価格および納期を考慮して、標準型のストック・エンジンが用いられた。；しかも相手は契約契約で物事を進め、納期にもきわめて厳しいはずのIBMだった。；完成したら通信で本社に送ってくるはずだったのだが、しかし予定の納期を過ぎても、彼からは一向に通信が来なかった。；通常、商品の配達は3日後となるが、メーカー発注の場合は納期が早くなる。；地方では納期に一週間近くを要するところもあった。；その能力と納期を守ることから彼は常に忙しくしており、スケジュール管理に必死になっていた。；この決断は以前の2014年12月という納期を守らせない可能性が強い。；納期に遅れたとして、数人が違約金の支払いを求めてきたのである。；複数の企業で3Dモデリングを制作している理由はライン数を多くできるほか、1社であれば納期の面から回避してしまうような難しいデザインも再現が可能であるため。；納期に追われ、誰のためかも分からない物を縫い続けていた時とは気持ちが全然違うものだと、その都度、言っていた。</t>
        </is>
      </c>
      <c r="J6593">
        <f>HYPERLINK("https://www.weblio.jp/content/納期", "词义详情")</f>
        <v/>
      </c>
      <c r="K6593">
        <f>HYPERLINK("https://yourei.jp/納期", "查看例句")</f>
        <v/>
      </c>
    </row>
    <row r="6594">
      <c r="A6594" t="inlineStr">
        <is>
          <t>農業</t>
        </is>
      </c>
      <c r="B6594" t="inlineStr">
        <is>
          <t>成功</t>
        </is>
      </c>
      <c r="C6594" t="inlineStr">
        <is>
          <t>読み方：のうぎょう
土地を利用して作物を栽培し、また家畜を飼育して衣食住に必要な資材を生産する産業。広義には農産加工・林業も含む。</t>
        </is>
      </c>
      <c r="D6594" t="inlineStr">
        <is>
          <t>農業生産(4%)；農業用(3%)；農業地帯(2%)；農業地域；農業学校</t>
        </is>
      </c>
      <c r="E6594" t="inlineStr">
        <is>
          <t>土地；耕作；農；農耕；畜産</t>
        </is>
      </c>
      <c r="F6594" t="inlineStr">
        <is>
          <t>農業開発；農業部門；農業改革；農業集団化；農業関連</t>
        </is>
      </c>
      <c r="G6594" t="inlineStr">
        <is>
          <t>農業協同組合；農業機械；農業技術；農業者；農業経営</t>
        </is>
      </c>
      <c r="H6594" t="n">
        <v>29</v>
      </c>
      <c r="I6594" t="inlineStr">
        <is>
          <t>この動きから従来の農業とは異なる様々な農業の形態が生まれた。；東側は木津川沿いの農業地帯、南部と西部は丘陵地にある住宅地である。；現在でも田園風景が多く残っており、市内でも農業が盛んな区の一である。；農業中心の社会ではローマ暦のように春を年初とみなす場合が多かった。；現代でも食料・飲み水・農業・輸送などあらゆる面で国民生活を支えている。；このため、南部メソポタミアでは灌漑なしで農業を行うことはできない。；侯外廬は戦国時代に疲弊する農業共同体の農民思想の代弁だと主張した。；この時は劉邦の父の劉太公の農業を助け、懸命に子供たちを育てていた。；以前に経済の中心をなしていた農業は産業の工業化により重要度が低下した。；主に国内農業で使用されるピックアップトラックや多目的車が製造されている。；内陸の部族は狩猟採集が基本であり、何らかの形態の農業も行っていた。；この中にはポリ袋などの包装用品や各種農業用フィルムが含まれている。；駅周辺は、泥炭地が多い篠路の中でも農業開発が難しかった地域である。；農業版河川総合開発ともいえるこの事業は北上川流域でも強力に実施された。；盆地内の地形は平坦で土壌も肥沃であり、古くから農業が発達してきた。；第十一代天皇の活目入彦は諸国に多くの池溝を開いて農業を盛んにした。；広義には、天文台や「農業試験所」なども含めて指している場合もある。；農業を志向した社会主義経済の非効率性も経済発展の障害となっていた。；このため、農業交通形態の特殊性を考慮した規模構造となっている。；移動して運転する事が出来る蒸気機関で農業などで使用された。；農業はカリフォルニア州経済の大変重要な分野であり続けている。；アーミッシュでは独自の農業を行いほぼ完全な自給自足の生活を送っている。；最近数十年間でサウスダコタ州は農業一本から多様な経済を持つものに変化してきた。；農業も行われているが、州の多くが山岳地形なため限られた量となっている。；主に11月から3月に降雨があり、そこから農業に適している面を持つ。；現代の機械化された農業は2つの意味で化石燃料に依存している。；この高い農業生産力を支えているのは豊富な黄河の水である。；地産地消や安全保障を重視する立場の人は農業界の擁護に回っている。；近縁な中で農業的に栽培されるのはこれら3属であり、この定義は農業分野に多い。</t>
        </is>
      </c>
      <c r="J6594">
        <f>HYPERLINK("https://www.weblio.jp/content/農業", "词义详情")</f>
        <v/>
      </c>
      <c r="K6594">
        <f>HYPERLINK("https://yourei.jp/農業", "查看例句")</f>
        <v/>
      </c>
    </row>
    <row r="6595">
      <c r="A6595" t="inlineStr">
        <is>
          <t>農耕</t>
        </is>
      </c>
      <c r="B6595" t="inlineStr">
        <is>
          <t>成功</t>
        </is>
      </c>
      <c r="C6595" t="inlineStr">
        <is>
          <t>読み方：のうこう
田畑を耕して農作物を作ること。「—生活」</t>
        </is>
      </c>
      <c r="D6595" t="inlineStr">
        <is>
          <t>農耕神(3%)；農耕用(3%)；農耕生活(3%)；農耕技術；農耕儀礼</t>
        </is>
      </c>
      <c r="E6595" t="inlineStr">
        <is>
          <t>土地；農業；耕作；農；畜産</t>
        </is>
      </c>
      <c r="F6595" t="inlineStr">
        <is>
          <t>水稲農耕；焼畑農耕；農耕牧畜；縄文農耕；定住農耕</t>
        </is>
      </c>
      <c r="G6595" t="inlineStr">
        <is>
          <t>農耕民；農耕社会；農耕文化；農耕馬；農耕具</t>
        </is>
      </c>
      <c r="H6595" t="n">
        <v>29</v>
      </c>
      <c r="I6595" t="inlineStr">
        <is>
          <t>島ではゆっくりとした農耕が行われており、交通はバイクが主流である。；農耕が始まると土地に定着し、生産高が増して人口が増えるようになる。；南部と東部は農耕業のための開発に向いた地形であり人口が高くなっている。；農耕は非常に広範に行われていたが、それは持続不可能なものであった。；オッチギンは遊牧と農耕を基盤にこの地で独立的な勢力を形成していた。；日本には中国か朝鮮から古い時代に農耕と共に渡来したと考えられている。；その一方で農耕神もまた祖霊信仰のなかで重要な位置を占めるようになった。；安定した農耕を確立するためには、治水と灌漑の導入が不可欠であった。；このため近世から何度も農耕が試みられては失敗を繰り返してきた。；在地領主は、このように農耕と軍事に必要な物資・施設を集積していた。；しかし、農耕の存在をはっきりと証明する栽培植物が検出されなかった。；この法律はエンジンの出力が19kW以上の農耕用車両も対象となる。；彼は故郷から近い晋陽で、農耕や狩猟で生計を立てながら生活を送った。；中には車両総重量が7トンにも及ぶ巨大な農耕用小型特殊自動車もある。；中国の治水史は最初の段階では河川付近での居住・農耕を避けることから始まった。；祭祀を行なう時期が農耕神と重なることから両者の関係が指摘されている。；紀元前7000年頃、こうした中から本格的な農耕牧畜生活が始まった。；羊祜・劉弘も荊州統治時代は農耕の発展に努めて大いに人心を得ていた。；このことは生業形態が農耕に重点が移っていったことを示している。；基本的に狩猟採集文化と考えられるが、一部は農耕段階であったと思われる。；農耕の始まりは定かではないが、6000年前ごろと考えられている。；農耕暦だったので、畑仕事のない季節に日付は必要なかったとされる。；この変化は男達が狩りをする傍らで農耕に励んでいた女性達に特に影響した。；男子の戦闘的結社の展開と並行して女性集団は農耕的な母権制社会を形成する。；男女共に農業を学び、2年間田園地帯に住んで農耕に従事する義務がある。；農耕の開始から文明の発展に伴い、広い土地が切り開かれて荒廃した。；このような農耕の痕跡はこの他にも数箇所から見つかっている。；幼少期より農耕・ばんえい競走用のペルシュロンの世話をして過ごした。；「数学の起源は人類が農耕を始めたこととの関連が大きい」とも。</t>
        </is>
      </c>
      <c r="J6595">
        <f>HYPERLINK("https://www.weblio.jp/content/農耕", "词义详情")</f>
        <v/>
      </c>
      <c r="K6595">
        <f>HYPERLINK("https://yourei.jp/農耕", "查看例句")</f>
        <v/>
      </c>
    </row>
    <row r="6596">
      <c r="A6596" t="inlineStr">
        <is>
          <t>農産物</t>
        </is>
      </c>
      <c r="B6596" t="inlineStr">
        <is>
          <t>成功</t>
        </is>
      </c>
      <c r="C6596" t="inlineStr">
        <is>
          <t>読み方：のうさんぶつ
農業によって生産される物。穀類・野菜・果物・茶・畜産物など。</t>
        </is>
      </c>
      <c r="D6596" t="inlineStr">
        <is>
          <t>農産物価格(2%)；農産物加工；農産物市場；農産物輸送；農産物販売</t>
        </is>
      </c>
      <c r="E6596" t="inlineStr">
        <is>
          <t>作物；特産品；生産物；名産品；収穫物</t>
        </is>
      </c>
      <c r="F6596" t="inlineStr">
        <is>
          <t>主要農産物；余剰農産物；主要な農産物；地元農産物；新鮮な農産物</t>
        </is>
      </c>
      <c r="G6596" t="inlineStr">
        <is>
          <t>農産物輸出；農産物検査；農産物輸入；農産物輸入自由化；農産物販売所</t>
        </is>
      </c>
      <c r="H6596" t="n">
        <v>29</v>
      </c>
      <c r="I6596" t="inlineStr">
        <is>
          <t>北部には農地もあり、米をはじめ多くの種類の農産物が栽培されている。；これが町の歴史の始まりとされており、農産物の集積地として発展した。；イギリスでは製造物が製造され、アメリカでは農産物が生産される。；特に後2社は北陸新幹線でも農産物および鮮魚輸送を行うようになった。；六 第三号に規定する農産物及び農業専用物品の検査に属すること。；当初は農道離着陸場の本来の目的である農産物の輸送用として計画された。；農産物価格は劇的に下がったものの、米国の農業生産高は増大し続けた。；つまり、社会的・経済的なシステムの中での農産物の流通を研究されてきたのである。；以前はハワイ州の大きな島には鉄道網があり、農産物や乗客を運んでいた。；運河によって、農民はパリまで農産物を売りに行くことが可能になった。；銭票は季節に左右される農産物取引の貨幣受給を調整する役割を果たした。；結果、国内農産物よりも安価な輸入農産物が市場に溢れるようになった。；増加する農産物供給が価格を下げない理由の1つは、無制限に近い需要である。；佐賀市産の農産物を購入することで、市内の農地を守るとする取り組み。；かつては側線を持っており、石材および農産物の積み出しを行っていた。；もともと鉄道はキジャバンバの農産物を海岸沿いに運ぶ目的で建設された。；食品工業が発展しており、農産物の集散地としての役割を果たしている。；ベルネー周辺は農産物が多様で豊かな土地柄であったためである。；他の農法の農産物と比較した有機農産物の味を評価した研究は多い。；この時代、この地域は米やその他の農産物を江戸に供給する農村地帯であった。；周辺は農業地帯で主に農産物の搬出と運転上の列車交換を目的とする駅であった。；全ての家をあさり、探し、ある者は農産物を、ある者は貴重品を見つけた。；この居留地の中では、各部族がそれぞれの集落を持ち、農産物を栽培した。；また、アメリカ軍は日本の農産物に対する有毒兵器の使用も計画していた。；農産物以外にも、柏市の店舗を中心に飲食物、雑貨等の販売が行われる。；また中国第三位の卸売市場や、800以上の農産物工場も作られている。；農場で生産された農産物を本館1階の販売室で一般に販売している。；農産物は全て人民に属するものとされ、パンの取引や調達不達成が罪になった。；農産物の自給ができないので貿易依存度が高く、海運業が発達している。</t>
        </is>
      </c>
      <c r="J6596">
        <f>HYPERLINK("https://www.weblio.jp/content/農産物", "词义详情")</f>
        <v/>
      </c>
      <c r="K6596">
        <f>HYPERLINK("https://yourei.jp/農産物", "查看例句")</f>
        <v/>
      </c>
    </row>
    <row r="6597">
      <c r="A6597" t="inlineStr">
        <is>
          <t>農場</t>
        </is>
      </c>
      <c r="B6597" t="inlineStr">
        <is>
          <t>成功</t>
        </is>
      </c>
      <c r="C6597" t="inlineStr">
        <is>
          <t>読み方：のうじょう
農業を経営するのに必要な設備と広さをもつ一定の場所。「集団—」</t>
        </is>
      </c>
      <c r="D6597" t="inlineStr">
        <is>
          <t>農場経営；農場内；農場労働者；農場労働者；農場甲板</t>
        </is>
      </c>
      <c r="E6597" t="inlineStr">
        <is>
          <t>農園；プランテーション；ファーム；耕園</t>
        </is>
      </c>
      <c r="F6597" t="inlineStr">
        <is>
          <t>小さな農場；孤立農場；大規模農場；試験農場；水耕農場</t>
        </is>
      </c>
      <c r="G6597" t="inlineStr">
        <is>
          <t>農場経営者</t>
        </is>
      </c>
      <c r="H6597" t="n">
        <v>29</v>
      </c>
      <c r="I6597" t="inlineStr">
        <is>
          <t>彼らは農場を購入し、農業を行いながら小説の収入で生活しようとした。；最初に造られた建物は管理事務所とビール醸造所を備えた農場であった。；植物の根や農場の土などから分離される比較的マイナーな放線菌である。；農場はなんとか維持できたが、貯蓄のほとんどを投資で失ったとされる。；このうち小集落や孤立農場などを除く集落はアルテンブーフのみである。；彼らはそこで町外れに小さな農場を購入し、ここに居着くことになった。；ホーフ・ヴィンデルンもその地域も他の農場と合併したと考えられている。；この中に小集落や孤立農場などはなく、いずれも集落を形成している。；この頃に父は病院を一時閉鎖し、北海道十勝国中川郡で農場を経営する。；これら奴隷の一部はイリノイに送られ農場の耕作や鉱山労働に使われた。；中心に市場や行政地区が設けられ、その周囲を農場が取り囲んでいた。；農場を経営する父のもとで生まれ、11歳の時にトランペットを始める。；学校にいる時を除き、エドワードはほとんどの時間をこの農場で過ごした。；父は農場を継いでもらいたかったが、フォードは農作業を軽蔑していた。；家族で農場を経営していたため、幼い頃は家畜の世話を手伝っていた。；このうち小集落や孤立農場などを除く集落は、キュルナッハのみである。；那須では農場も持っており、暇があれば山仕事に従事していたという。；このうち小集落や孤立農場などを除く集落は、首邑のキストのみである。；ロジャー達が購入した農場を手にしようと様々な手を尽くすが、失敗。；ネブラスカ州の住民は、大草原を牧場や農場に科学的な方法で転換した。；・農場に牧草の種が追加され、それを買わないと牧場に牧草が生えない。；農場センターで利用登録をすると、ゲームへの参加が可能になる。；農場から市場への輸送費は市場からの距離および生産物の重量に正比例する。；スージーは農場に生まれた他の猫らと違い、いつまでも耳が立たなかった。；これらはいずれも小集落や孤立農場ではなく、集落を形成している。；これらはいずれも、小集落や孤立農場ではなく集落を形成している。；付属農場の部分も加えると、その北端は北24条駅の辺りにまで達する。；植民地などではプランテーションなど極端に大きな農場も出現した。；この援軍に力を得たイギリス軍は戦場を支配し農場を確保することに成功した。</t>
        </is>
      </c>
      <c r="J6597">
        <f>HYPERLINK("https://www.weblio.jp/content/農場", "词义详情")</f>
        <v/>
      </c>
      <c r="K6597">
        <f>HYPERLINK("https://yourei.jp/農場", "查看例句")</f>
        <v/>
      </c>
    </row>
    <row r="6598">
      <c r="A6598" t="inlineStr">
        <is>
          <t>農村</t>
        </is>
      </c>
      <c r="B6598" t="inlineStr">
        <is>
          <t>成功</t>
        </is>
      </c>
      <c r="C6598" t="inlineStr">
        <is>
          <t>読み方：のうそん
住民の大部分が農業を生業としている村落。「—地帯」</t>
        </is>
      </c>
      <c r="D6598" t="inlineStr">
        <is>
          <t>農村地帯(8%)；農村地域(3%)；農村社会；農村生活；農村風景</t>
        </is>
      </c>
      <c r="F6598" t="inlineStr">
        <is>
          <t>近郊農村；農村開発；農村部；貧しい農村；農村共同体</t>
        </is>
      </c>
      <c r="G6598" t="inlineStr">
        <is>
          <t>農村計画；農村景観；農村文化；農村社会学；農村公園</t>
        </is>
      </c>
      <c r="H6598" t="n">
        <v>29</v>
      </c>
      <c r="I6598" t="inlineStr">
        <is>
          <t>バンコクを除くほとんどの都市とその周辺の農村地帯で運行されている。；ただし女子用や農村用など一般用と少し内容の違う教科書も存在した。；同時に百姓には、生活を安定させることで荒廃した農村を立て直させた。；同様に隣接する北区も農村地帯があるが、当区では近郊農業地帯である。；そのため農村域では学校でも休暇を設定しているのが普通であった。；これらは武蔵野の農村であった調布の近代化を象徴する出来事であった。；江戸初期には近郊農村であった西成郡難波村と西高津村の一部であった。；以前でも銭を払うことで、農村から城市への戸口の移動が可能であった。；県は19世紀半ばに農村からの人口流出で県人口の一部を減少させた。；様々な訴訟を扱う中、特に当時の農村の悲惨な状態に触れることになる。；現在の校区にあたる地域は、従来は一面に農地が広がる農村地帯だった。；坂口安吾は、文化も進歩もない農村精神が敗戦につながったと批判した。；幕府・大名の拠点のある城を中心とした町のほかは基本的に農村と考えられていた。；同じ地域に漁村と農村が共存していると考えたほうが良い島もある。；民俗学では農村や地方で残っているとされた民俗資料が重視された。；商業の拡大は農村にも及び、各地に市鎮と呼ばれる市場町が生まれた。；しかし、この日に合わせてボコ・ハラムが農村を襲撃する事件が発生。；この時期の農村指導者層を中心にした段階の運動を豪農民権という。；またこれと並行して、住宅がさらに郊外のほぼ農村と言える地帯にまで進出している。；また、阪神地域の都市近郊農村地帯になっており、農業が盛んである。；この時代、この地域は米やその他の農産物を江戸に供給する農村地帯であった。；農村地帯であり、伊川に沿って脇・小寺・前開下などの集落が点在する。；このような中で毛沢東は一農村に拠点を置いて活動していた。；農村の住民はこれらを街で購入しなければならなかった。；また農村では方言の影響も強く、子供たちはしばしばスペルを間違えた。；沿線途中は農村地帯で田園風景が広がるが、通勤・通学での利用が多い。；農村の場合は、村の顔役が一席設けてくれるような存在であった。；ジェニー紡績機は小型であることもあり農村工業地帯に広く普及した。；アユタヤの経済は農村社会の余剰生産である米によって成り立っていた。</t>
        </is>
      </c>
      <c r="J6598">
        <f>HYPERLINK("https://www.weblio.jp/content/農村", "词义详情")</f>
        <v/>
      </c>
      <c r="K6598">
        <f>HYPERLINK("https://yourei.jp/農村", "查看例句")</f>
        <v/>
      </c>
    </row>
    <row r="6599">
      <c r="A6599" t="inlineStr">
        <is>
          <t>濃度</t>
        </is>
      </c>
      <c r="B6599" t="inlineStr">
        <is>
          <t>成功</t>
        </is>
      </c>
      <c r="C6599" t="inlineStr">
        <is>
          <t>読み方：のうど
１溶液や混合気体・固溶体などに含まれる組成成分の量の割合。表し方には、質量百分率（重量パーセント）・体積百分率（容量パーセント）・モル濃度・規定度などがある。
２⇒基数3</t>
        </is>
      </c>
      <c r="D6599" t="inlineStr">
        <is>
          <t>濃度勾配(3%)；濃度差；濃度上昇；濃度変化；濃度依存</t>
        </is>
      </c>
      <c r="E6599" t="inlineStr">
        <is>
          <t>密度；濃さ</t>
        </is>
      </c>
      <c r="F6599" t="inlineStr">
        <is>
          <t>低濃度；二酸化炭素濃度；カルシウム濃度；高い濃度；アルコール濃度</t>
        </is>
      </c>
      <c r="G6599" t="inlineStr">
        <is>
          <t>濃度算</t>
        </is>
      </c>
      <c r="H6599" t="n">
        <v>29</v>
      </c>
      <c r="I6599" t="inlineStr">
        <is>
          <t>一方で窒素酸化物の濃度は多くの国で未だ大きな低下は見られていない。；たとえば骨塩と骨コラーゲンはどちらも一般に食餌よりも 濃度が高い。；このようにすることで濃度の定義から真のクラスを追放することができる。；濃度の高いものや長期間使用する場合には、十分な注意が必要となる。；この式から零次反応の速度は反応物の濃度に依存しないことがわかる。；また、環境中の濃度測定結果をもとにしたリスク評価も実施されてきている。；血中のインスリンの濃度が高い状態が続くと、体重が一方的に増加する。；また、この他にも目的に応じて寒天の濃度を変えたものも存在する。；上の節と同じように、一般的には単位体積あたりの濃度を示すのが普通である。；危険濃度になった場合、観光目的での火口周囲への立ち入りが制限される。；ただし選択公理を仮定することなく濃度を定義し取り扱うことはできる。；ガラスフィルターではよく使われる色と濃度のみ発売されている。；エンジンの場合も暖房の場合も、濃度管理は適切に行う必要がある。；中生代の二酸化炭素濃度は現在の10倍以上あったと推定されている。；しかし、動物試験での濃度に比して食品中の濃度はごく微量でしかない。；エンジンでは濃度が高すぎると、高負荷時にオーバーヒートの原因になる。；環境中の濃度は屋外の大気を代表したいくつかの観測地点における値である。；電子は上から下に流れ、各呼吸鎖複合体でプロトン濃度勾配を形成する。；思春期直前には、アンドロゲン濃度の上昇による影響が男女共に現れる。；したがって酸素濃度の低い空気は一呼吸するだけでも死に至る事があり大変危険である。；逆に肝臓の細かい濃度変化を観察する場合、肺は真っ黒となってしまう。；速度式を積分することで時間に対する濃度の関数を得ることができる。；高温や紫外線で分解が加速するため、常温保存では濃度維持が出来ない。；癖を除くため、蒸留でアルコール濃度を高めた後に加水することもある。；温めたりそれ以上の濃度にすると分解して様々な化合物を生じる。；この抑制により、ジベレリン濃度が上昇し、葉の原基が成長を開始する。；CO2濃度は極わずかな濃度でも人体に影響を与えるとわかってきている。；ラドン濃度が地震前に通常の約3倍に増加し、地震後低下したと報告されている。；これは、ペルム紀末の環境変化により酸素濃度が低下したからだとされる。</t>
        </is>
      </c>
      <c r="J6599">
        <f>HYPERLINK("https://www.weblio.jp/content/濃度", "词义详情")</f>
        <v/>
      </c>
      <c r="K6599">
        <f>HYPERLINK("https://yourei.jp/濃度", "查看例句")</f>
        <v/>
      </c>
    </row>
    <row r="6600">
      <c r="A6600" t="inlineStr">
        <is>
          <t>納入</t>
        </is>
      </c>
      <c r="B6600" t="inlineStr">
        <is>
          <t>成功</t>
        </is>
      </c>
      <c r="C6600" t="inlineStr">
        <is>
          <t>読み方：のうにゅう
［名］(スル)品物や金銭を納めること。「授業料を—する」「—期限」</t>
        </is>
      </c>
      <c r="D6600" t="inlineStr">
        <is>
          <t>納入する(8%)；納入される(4%)；納入先(3%)；納入業者(3%)；納入実績</t>
        </is>
      </c>
      <c r="E6600" t="inlineStr">
        <is>
          <t>払い；支払；納める；払；納付</t>
        </is>
      </c>
      <c r="F6600" t="inlineStr">
        <is>
          <t>初納入；内納入；主な納入；会費納入；納入義務</t>
        </is>
      </c>
      <c r="H6600" t="n">
        <v>29</v>
      </c>
      <c r="I6600" t="inlineStr">
        <is>
          <t>最大の納入先は神奈川中央交通グループで、専用品の製作も行っている。；なお、この15両は他の事業者へ納入された車両と異なる車体を有する。；納入実績は5年以上が必要となった他、業者の詳細な報告書が求められた。；生産機数は200機を超え、その半分はイタリア空軍へ納入されている。；なお、この納入は村請により村単位で一括して行われたと言われている。；また、同じ形式でも、納入先により多少の仕様の差異があるものもある。；それによれば2014年末に最初の試作機が納入される予定であるとされた。；その後、世界でもっとも広幅の新聞印刷機をスウェーデンに納入した。；しかし、反対者は税金納入者にとって重大なリスクがあると感じている。；党費納入義務も党活動への参加義務もほとんどないと言ってよい。；この機体は元々エティハド航空に納入予定であった飛行試験2号機であった。；戦後は輸出向けに建造されたことはないため、納入先は海上自衛隊のみである。；新規設定されたL尺は極めて納入例が少なく、この代のみにとどまった。；出資金は入学時など加入の際に納入し、卒業時など脱退の際に返還される。；翌1954年に総合調査を実施した際に納入品が発見された。；オープン以降に納入された機関車は篠ノ井機関区が配置区である。；生産自体は同年度導入の東京都交通局納入車などで一部継続された。；かつては電車の製作をおこない、他の軌道会社にも納入していた。；同社製品は第二次世界大戦のときにごく少数ではあるがアメリカ海軍に納入している。；幸いにも、その技量と経済的な困窮が認められ、学費納入を免除された。；各大名は近くにあった太閤蔵入地の米などの納入の義務があった。；しかしながら納入先はごくわずかで、全国で15台ほどしかいない。；これは関西電力黒部第四発電所に納入され、1975年まで使用された。；これらの改良を取り入れた第一段階の生産機は2012年頃から納入されると考えられている。；結局生粋のピッツバーグ社製は、官設鉄道へは1両も納入されなかった。；グランダー社は事業を継続し、引き続きオーシア軍に武器の納入を続けた。；また海上自衛隊向けの艦載砲を、1990年以来継続して納入している。；それまでの生産機数は19機で、この内海軍に納入されたのはわずか7機であった。；既に学費が納入済みで留年が出来ない三上は試験勉強に追われていた。</t>
        </is>
      </c>
      <c r="J6600">
        <f>HYPERLINK("https://www.weblio.jp/content/納入", "词义详情")</f>
        <v/>
      </c>
      <c r="K6600">
        <f>HYPERLINK("https://yourei.jp/納入", "查看例句")</f>
        <v/>
      </c>
    </row>
    <row r="6601">
      <c r="A6601" t="inlineStr">
        <is>
          <t>納品</t>
        </is>
      </c>
      <c r="B6601" t="inlineStr">
        <is>
          <t>成功</t>
        </is>
      </c>
      <c r="C6601" t="inlineStr">
        <is>
          <t>読み方：のうひん
［名］(スル)品物を納入すること。また、その品物。「注文主に—する」「—書」</t>
        </is>
      </c>
      <c r="D6601" t="inlineStr">
        <is>
          <t>納品する(11%)；納品される(5%)；納品先；納品後；納品日</t>
        </is>
      </c>
      <c r="E6601" t="inlineStr">
        <is>
          <t>納入；お渡し</t>
        </is>
      </c>
      <c r="F6601" t="inlineStr">
        <is>
          <t>献納品；納品用規格</t>
        </is>
      </c>
      <c r="G6601" t="inlineStr">
        <is>
          <t>納品代行</t>
        </is>
      </c>
      <c r="H6601" t="n">
        <v>29</v>
      </c>
      <c r="I6601" t="inlineStr">
        <is>
          <t>高級飲食店の注文に合わせて米穀業者が調整して、納品することもある。；発注は75機まで増加したが、最終的に納品されたのは67機であった。；納品に伴い、アンカーなどで固定するような作業は、別工事に該当する。；自分が椅子の中に入り込んだ時に、その椅子はホテルに納品されてしまう。；これを否定するために、一転して納品の事実を公表することとなった。；だから納品日である月末までに少しでも契約してくれる店を捜すのだと言うのです。；毎日納品されるものもあれば週3回程度納品されるものなどがある。；納品先に到着したら、二人がクスリを持っていき、一人は車に残る。；明や、江戸時代に琉球を支配した薩摩藩への貢納品にも含まれていた。；手掛けた建築作品を、竣工もしくは納品した時期の古い順に記載する。；元は製本職人だったが、納品先に向かう途中に強盗に襲われ腕を負傷。；だから今月の末には納品しなければならないとのことでした。；しかし、印刷物を確認や納品に利用する場面では見切れに注意が必要となる。；第一ロットの230両全てが納品されたのは1946年になってからであった。；なおこのタイプの殆どが、キャビンが無い状態で納品されている。；大手銀行では遣い物に利用され、東京の有名デパートにも納品されている。；そして最終的には、納品させた商品の代金を支払わないまま姿をくらます。；また納品だけではなく、セブンイレブン用のデリカ製造も行っている。；大学を卒業して町工場の納品トラックの運転手になろうとは、自分でも思ってもみなかった。；午後の納品のために仕事を片づけ、また出かけなければならない。；下記のようなシステムを国内を中心に各地に納品。；一般向け販売はされず、最終的に7台のみが製造納品された。；店頭で代金と引き換えに商品を受け取る場合は一般的に納品とは呼ばない。；給料は安くても、そういう意味で納品トラックの運転手はたいへんな仕事なのだ。；会社間取引については納品日は非常に重要な意味を持つ。；しかし、ムブ・ガントリンは、納品日までにクリスを完成できなかった。；加藤さんは公社、公団の社宅用の畳を一手に納品している広尾の畳卸しだ。；数は二百個で納品は午後の三時だった。；掛取引とは、まず納品が行われ、後日代金の決済が行われる取引である。</t>
        </is>
      </c>
      <c r="J6601">
        <f>HYPERLINK("https://www.weblio.jp/content/納品", "词义详情")</f>
        <v/>
      </c>
      <c r="K6601">
        <f>HYPERLINK("https://yourei.jp/納品", "查看例句")</f>
        <v/>
      </c>
    </row>
    <row r="6602">
      <c r="A6602" t="inlineStr">
        <is>
          <t>濃密</t>
        </is>
      </c>
      <c r="B6602" t="inlineStr">
        <is>
          <t>成功</t>
        </is>
      </c>
      <c r="C6602" t="inlineStr">
        <is>
          <t>読み方：のうみつ
［形動］［文］［ナリ］密度が濃くてこまやかなさま。「—な色彩」「—な描写」
[派生]のうみつさ［名］</t>
        </is>
      </c>
      <c r="D6602" t="inlineStr">
        <is>
          <t>濃密な闇(3%)；濃密な霧(2%)；濃密な大気；濃密な時間；濃密な空気</t>
        </is>
      </c>
      <c r="E6602" t="inlineStr">
        <is>
          <t>深い；濃い；厚い；密；濃厚</t>
        </is>
      </c>
      <c r="F6602" t="inlineStr">
        <is>
          <t>濃密な匂い；濃密な人間関係；濃密な香り；濃密な空間；濃密な火網</t>
        </is>
      </c>
      <c r="H6602" t="n">
        <v>29</v>
      </c>
      <c r="I6602" t="inlineStr">
        <is>
          <t>それはおそらく濃密な眠りの中にしか見出すことのできないものだった。；夜は新しい闇の濃密さを持ったように見え、かれらを識別できなかった。；ぼくはかつてそのときほど濃密な感情で太郎を愛したことはなかった。；電気を消してからは、よりいっそう相手の肌の感触が濃密に感じられた。；そのずっと上のほうでは、壁が湾曲して、濃密な霧のなかに消えていた。；夢を見ないと言ったあの女はコードが一番濃密な場所にいるはずだ。；自分達の眼前に濃密な霧の壁が出来ていくのを見て、敵は騒ぎはじめた。；暗い邸町で、いずれの家も濃密な庭樹の奥に灯を消して寝静まっている。；反いた性格であって、二人の友情は肉親も及ばないほど濃密なのである。；女は、その濃密な雨の降りしきる闇の中を傘もささずに走り続けていた。；超えてはいけない一線を超えて、深く濃密になりすぎていたかもしれない。；その障壁は他と同じようなものでありながら、このうえもなく濃密だった。；言葉を同道者として、冷え冷えとした濃密な世界を歩く人・・・・・・。；やがて、二匹の大熊に足跡を辿られるがままに濃密な霧の中にはいった。；なんとか仲間に入れたのはよかったが、関係が濃密すぎるというのである。；あまりにも大量で、あまりにも濃密であるためすぐにはそうと気づけない。；そこから濃密なエーテルが流れてくることは戦士である真壁にもわかった。；濃密な緑の闇を切り裂くように、遠いところで鳥や獣の甲高い声が響く。；コードをたどって、一番濃密なところに行くのがいいのかもしれない。；実際にはカニシカ王は仏教だけではなく、他の宗教との関係も濃密であった。；この歪さは、短い時間を濃密に生きたことによる代償なのかもしれない。；機体の三個所に設けられた小さなノズルから、白い濃密な煙が噴出した。；ツンドラから一部に濃密な森さえ含む豊かな植生に変わったのである。；そのうちに彼女は、自分が濃密な霧の中に置かれているイメージに囚われた。；作日の雨のためか、あたりには森の匂いがひときわ濃密に漂っている。；勢いは強く、内容はどろどろと濃密で、その量も日ごとに多くなっていく。；おそらく今まで警察関係者の誰も経験していない濃密な時間になることだけは間違いなかった。；それ以外のエネルギーがあんまり濃密なんでこの距離まで気づきませんでした。；濃密な蜂の群れの内部へと、光一のからだが崩壊していくように見えるのだった。</t>
        </is>
      </c>
      <c r="J6602">
        <f>HYPERLINK("https://www.weblio.jp/content/濃密", "词义详情")</f>
        <v/>
      </c>
      <c r="K6602">
        <f>HYPERLINK("https://yourei.jp/濃密", "查看例句")</f>
        <v/>
      </c>
    </row>
    <row r="6603">
      <c r="A6603" t="inlineStr">
        <is>
          <t>農民</t>
        </is>
      </c>
      <c r="B6603" t="inlineStr">
        <is>
          <t>成功</t>
        </is>
      </c>
      <c r="C6603" t="inlineStr">
        <is>
          <t>読み方：のうみん
農業生産に従事する人。</t>
        </is>
      </c>
      <c r="D6603" t="inlineStr">
        <is>
          <t>農民たち(9%)；農民達；農民反乱；農民層；農民出身</t>
        </is>
      </c>
      <c r="E6603" t="inlineStr">
        <is>
          <t>百姓；農家；農夫；圃；農場主</t>
        </is>
      </c>
      <c r="F6603" t="inlineStr">
        <is>
          <t>自由農民；農民兵；労働者農民；有力農民；小作農民</t>
        </is>
      </c>
      <c r="G6603" t="inlineStr">
        <is>
          <t>農民組合；農民一揆；農民戦争；農民党；農民工</t>
        </is>
      </c>
      <c r="H6603" t="n">
        <v>29</v>
      </c>
      <c r="I6603" t="inlineStr">
        <is>
          <t>これが農民のみならず、貴族や商人階層の不満をも高める結果となった。；何百万人もの農民が工業化された都市に移動し、国は急速に発展した。；農民たちの生活を多く題材にしたことから「農民画家」とも呼ばれた。；まず一般的に考えられる農民への増税は、一関藩の場合は不可能だった。；貧しい農民たちが間引きを行っていたことが人口抑制の原因とみられる。；元武家の帰農した農民出身であり、幕府で御庭番を務めた役人であった。；この歌は農民を中心とする民衆が権力者に対抗した収穫人戦争に由来する。；彼の影響で、イギリスの農民は主に肉用に家畜を繁殖させるようになった。；かれの思想はまさに農民主義、職人主義そのものと言っていいだろう。；農民との争いを避けるために武士の役目以外では名字・帯刀を禁止された。；大部分の農民の村規模での活動は、教会と祝祭日を中心としていた。；またドイツ農民戦争の際には、1525年の春の数日間農民が支配した。；当時の交通の要点にあたる村落では農民も馬借に参加したと考えられる。；百姓身分の農民を武士身分の役人が支配する郷村制度が確立した。；これは、アラブ人が農民の反乱軍からの防御壁として築いたものである。；もはや、直接農具を表示していないが、クラブは農民の意味で用いられる。；抵抗した農民たちも最終的には工業労働者となったり集団農場に組織されたりした。；また、17世紀半ばにはムスリムの農民集団が目につくようになっている。；帝国東部地域の開発が進むなか、多くの解放農民がシベリアへと移住した。；また彼は新しい居城を建設するために厳しい賦役労働を農民たちに課した。；搾乳を始めたのは中央ヨーロッパブリテン諸島の農民たちと考えられる。；常の形とは町人や農民などその時その場では一般的な人々である。；このように日本における農民の地位は農奴ではなく奴隷とされることがあった。；ユーゴー家はロレーヌの農民の出だが、父親はフランス革命以来の軍人。；また農民の入植、鉱業の発展にも努力し、その結果人口も大幅に増加した。；そのため、農民の家族分割や居住地の強制的な変更が検地の度になされた。；始めは農民の食事だったが、のちに一般に好まれる料理になった。；この不平等さはエリートと土地なし農民の間に強い緊張状態をもたらしている。；このため、清朝ではこれら朝鮮人農民を領民と認め課税することにした。</t>
        </is>
      </c>
      <c r="J6603">
        <f>HYPERLINK("https://www.weblio.jp/content/農民", "词义详情")</f>
        <v/>
      </c>
      <c r="K6603">
        <f>HYPERLINK("https://yourei.jp/農民", "查看例句")</f>
        <v/>
      </c>
    </row>
    <row r="6604">
      <c r="A6604" t="inlineStr">
        <is>
          <t>農薬</t>
        </is>
      </c>
      <c r="B6604" t="inlineStr">
        <is>
          <t>成功</t>
        </is>
      </c>
      <c r="C6604" t="inlineStr">
        <is>
          <t>読み方：のうやく
農業用の薬剤。殺菌剤・殺虫剤・殺鼠(さっそ)剤・除草剤や、植物の生長促進剤・発芽抑制剤など。</t>
        </is>
      </c>
      <c r="D6604" t="inlineStr">
        <is>
          <t>農薬散布(5%)；農薬登録(4%)；農薬使用；農薬等；農薬メーカー</t>
        </is>
      </c>
      <c r="F6604" t="inlineStr">
        <is>
          <t>系農薬；低農薬；強力な農薬；農薬残留；農薬として用いられる</t>
        </is>
      </c>
      <c r="G6604" t="inlineStr">
        <is>
          <t>農薬中毒；農薬検査所；農薬管理指導士</t>
        </is>
      </c>
      <c r="H6604" t="n">
        <v>29</v>
      </c>
      <c r="I6604" t="inlineStr">
        <is>
          <t>農薬もそうだとの説があったようだが、あれはお茶の葉っぱだったかな。；農薬の種類や摂取方法によりさまざまであるが下記のようなことが多い。；農薬を探してきてパラコートを注射してみたが、やはり何の変化もない。；一部の国では農薬の使用が最も一般的に使用される自殺の方法である。；また、アヒルが農薬で死ぬようになったために廃れたとする見解もある。；あの夜、彼女は弟夫婦の部屋へ農薬入りのカップラーメンを届けたんだ。；中には、農薬を使わないで育てているタバコ葉を使用しているものもある。；そこでこれをおさえるには、前よりも強力な農薬が必要になってくる。；これは、農業技術や農薬の技術が非常に進んだことがあるわけですね。；完次は廃屋で農薬を飲もうとしているところをチンタに保護されていた。；外傷がないところをみると、上京の時に用意した農薬でも呑んだのだろう。；農薬のない時代も農業は成立していたため、農薬は農業に必要ないとしている。；カメムシの防除に現在もっとも有効とされているのは、農薬散布である。；他のアプローチは、従来の農薬のような形でのdsRNAの噴霧である。；そしてこれらの農薬は流れ流れて水を台なしにしてしまうのです。；多くのブドウ畑では農薬を用いずに、に資する条件で栽培されている。；殺虫剤用の農薬は人畜に被害を与えるものもあり、そうでないものもある。；他の子供達の飲んだプルミンに、農薬は仕掛けられていなかったのだから。；美栄子の体は年に十数回もリンゴの樹に散布する農薬に蝕まれていたのだ。；たとえていえば、日本の水田は「世界一の農薬の池」になってしまった。；農薬がたくさんかかっている虫も食べないお野菜なんて、恐いわよねぇ。；無登録農薬とは農薬取締法に基づいた登録がされていない農薬のこと。；水飲み場の水は青く淀んでいて、あたりには農薬の袋が散らばっていた。；農薬の種類や摂取方法によりさまざまであるが、下記のようなことが多い。；生物を農薬の代わりにした害虫駆除への利用が研究されている。；第二次世界大戦で使用するために開発された化学物質は合成農薬に昇華した。；そんなある日子供と遊んでいるうちに農薬を被ってしまう陽人。；さらに巻き上げられた塩・農薬による、住民の健康被害も発生している。；毒性が低く性質がよく理解されているため農薬としては理想的である。</t>
        </is>
      </c>
      <c r="J6604">
        <f>HYPERLINK("https://www.weblio.jp/content/農薬", "词义详情")</f>
        <v/>
      </c>
      <c r="K6604">
        <f>HYPERLINK("https://yourei.jp/農薬", "查看例句")</f>
        <v/>
      </c>
    </row>
    <row r="6605">
      <c r="A6605" t="inlineStr">
        <is>
          <t>能率</t>
        </is>
      </c>
      <c r="B6605" t="inlineStr">
        <is>
          <t>成功</t>
        </is>
      </c>
      <c r="C6605" t="inlineStr">
        <is>
          <t>読み方：のうりつ
１一定時間内にできる仕事の割合。仕事のはかどり方。「—が上がる」「—が悪い」
２物理学で、モーメントのこと。</t>
        </is>
      </c>
      <c r="D6605" t="inlineStr">
        <is>
          <t>能率的(23%)；能率化(3%)；能率よく(2%)；能率協会；能率増進</t>
        </is>
      </c>
      <c r="E6605" t="inlineStr">
        <is>
          <t>効率；パフォーマンス；作業効率</t>
        </is>
      </c>
      <c r="F6605" t="inlineStr">
        <is>
          <t>作業能率；高能率；日本能率；生産能率；産業能率</t>
        </is>
      </c>
      <c r="H6605" t="n">
        <v>29</v>
      </c>
      <c r="I6605" t="inlineStr">
        <is>
          <t>日本の農村の生産は現在のままの様式で最高の能率をあげ得るのだろうか。；それは、訓練された部隊を、最も能率的に、完全に配置したものだった。；この際、生産の能率とか生産品の質などは一切問題にしないのである。；最も有利な武器の発見とそれを能率的に使用する兵法の発見とである。；この値は熱の発生と関連してヒトの筋運動の能率を計算するのに用いられた。；営業能率をあげるに最も重要なことは、人一人の能率をあげることである。；かと言って、四人同時に行動することは、機動性が低下し、非能率的だ。；市内に何人か居る商売人も全部馬車か牛車であって能率は捗々しくない。；陽ちゃんは確保できたんだけど、教授と二人じゃ能率悪いでしょう。；これらの測定は筋が使う燃料やその能率を知るのに用いられた。；いつも一生懸命でやっていて、そして彼の能率は中ちょっと以下であった。；人民を不必要にかり立て、非能率な仕事のさせ方をするのが権力ではない。；わたしが指摘したいのはむしろ副長の職務能率に対する影響の問題です。；出版事業は、日本能率協会グループの事業の中でも最も歴史を持つ事業である。；いわゆる純粋の機能、働きの能率によって選択されているのではない。；しかし、操縦席にあるスイッチ類での操作のため能率は悪いとされる。；木星軌道では、木星の反射を利用しても、能率が悪くて話になりません。；飛行機生産の能率は近時ずっと上昇して来ていると政府側でも公言している。；いま、道具は機械化され能率化され、最終的には押しボタン化されている。；能率はあれで十分あがつてゐるし、生徒の方の収入も頃合ひだと思ひます。；排除することで仕事の能率が上がると信じられていたからだ。；能率をあげるには毎日の能率を平均して発揮せしむることが一番よい。；アメリカ人の能率生活の基礎をなしているものは、その食生活である。；非常に能率的な女性で、こうした犯罪を遂行するだけの勇気をもっています。；転換作業は防空戦闘と並行して行なわれるので、能率はきわめて悪い。；まことに能率の悪い話だが、第一稿よりよくなっているのはたしかである。；一定の時間だけ出勤すれば、それで仕事の能率が上ると思うのは間違いだ。；実に人にそういって飽かずに進められたそのことこそ誠に能率的であった。；いや、機関車が牽引するより、電車の方が快適であり、能率的でもある。</t>
        </is>
      </c>
      <c r="J6605">
        <f>HYPERLINK("https://www.weblio.jp/content/能率", "词义详情")</f>
        <v/>
      </c>
      <c r="K6605">
        <f>HYPERLINK("https://yourei.jp/能率", "查看例句")</f>
        <v/>
      </c>
    </row>
    <row r="6606">
      <c r="A6606" t="inlineStr">
        <is>
          <t>能力</t>
        </is>
      </c>
      <c r="B6606" t="inlineStr">
        <is>
          <t>成功</t>
        </is>
      </c>
      <c r="C6606" t="inlineStr">
        <is>
          <t>読み方：のうりき
寺で力仕事をする下級の僧。また、寺男。
「いかに—、はや鐘をば鐘楼へ上げてあるか」〈謡・道成寺〉</t>
        </is>
      </c>
      <c r="D6606" t="inlineStr">
        <is>
          <t>能力向上；能力不足；能力を高く評価；能力強化；能力差</t>
        </is>
      </c>
      <c r="E6606" t="inlineStr">
        <is>
          <t>力；機能；技術；腕；資格</t>
        </is>
      </c>
      <c r="F6606" t="inlineStr">
        <is>
          <t>運動能力；処理能力；飛行能力；運用能力；特殊な能力</t>
        </is>
      </c>
      <c r="G6606" t="inlineStr">
        <is>
          <t>能力値；能力開発；能力的；能力主義；能力試験</t>
        </is>
      </c>
      <c r="H6606" t="n">
        <v>29</v>
      </c>
      <c r="I6606" t="inlineStr">
        <is>
          <t>道具を作り利用する能力が他の生物よりも長けていることも挙げられる。；戦争能力は軍事力だけでなく経済的要素は国力の重要な構成要素である。；これらの生物は遡上能力が高くないため、環境変化の影響を受けやすい。；今日の科学では合理的に説明できない超自然な能力を指すための名称。；色による能力差はないが、同色でも倒した時の得点が異なる場合はある。；つまり、年齢ではなく集団に貢献出来る能力を成人の基準にしたのである。；これは、要求に合わせて強弱を変化させる素晴らしい能力を示している。；数多くの能力が存在し、それらは流派や定義付けなどが行われている。；こうした状況では、優れた指揮能力を持つ者を執政官に選ぶ必要があった。；能力の証明を用いたで代表的なものは、電子署名を用いた方法である。；例えば一般に英日翻訳に比べて日英翻訳の能力は低い段階にあった。；数百万年前、アフリカの小型のサルが二本足で直立する能力を獲得した。；言葉や能力の定義を厳密に定めた総合ルールと呼ばれるものがある。；野球を好んでしている描写はあるが、基本的に運動能力は極めて低い。；それらがなされていれば、居住者の能力に応じての対応がやりやすい。；理性とは、人間に本来的に備わっているとされる知的能力の一つである。；本装置を操作するためには、パイロットに高いNT能力が求められる。；主要な登場者は人間のように描かれながらも超人的な能力をもつ。；第一次世界大戦に入ると溶接能力の大幅な向上が強く求められるようになった。；また作曲をメインとしている者、もしくは作曲能力に秀でた者を中心に記載。；大規模・高速の計算能力を達成することを目的としている。；その人脈の強さは彼の能力の一種ともいえるものになっている。；つまり、それらのモデルの能力は通常のチューリングマシンと同じである。；他にも様々な計算能力を持つパターンが発見されている。；当時この深度の潜水艦を探知・攻撃する能力はどの国にも無かった。；そのため能力を身に着けるならば自身の系統にマッチしたものが良いとされる。；この作戦能力が備わっている戦力として特殊部隊が高く評価されている。；開発能力の高さはITの基礎となる数学教育に力を入れた結果であるとされる。；場は時空間のあらゆるところで定義され、波動を引き起こす能力がある。</t>
        </is>
      </c>
      <c r="J6606">
        <f>HYPERLINK("https://www.weblio.jp/content/能力", "词义详情")</f>
        <v/>
      </c>
      <c r="K6606">
        <f>HYPERLINK("https://yourei.jp/能力", "查看例句")</f>
        <v/>
      </c>
    </row>
    <row r="6607">
      <c r="A6607" t="inlineStr">
        <is>
          <t>ノートパソコン</t>
        </is>
      </c>
      <c r="B6607" t="inlineStr">
        <is>
          <t>成功</t>
        </is>
      </c>
      <c r="C6607" t="inlineStr">
        <is>
          <t>《notebook personal computerから》パソコン本体にキーボード、液晶ディスプレーが一体となったノートの形状をしたパソコン。大きさはA4サイズ程度、重量は3キロ程度のものが一般的。B5サイズ以下の大きさのノートパソコンはサブノートパソコンと位置づけられている。ノートPC。ノートブックPC。</t>
        </is>
      </c>
      <c r="D6607" t="inlineStr">
        <is>
          <t>ノートパソコン用(2%)；ノートパソコン向け；ノートパソコン等；ノートパソコン画面；ノートパソコン製品</t>
        </is>
      </c>
      <c r="E6607" t="inlineStr">
        <is>
          <t>ノート；ノートブック；ノートブックパソコン</t>
        </is>
      </c>
      <c r="F6607" t="inlineStr">
        <is>
          <t>モバイルノートパソコン；薄型ノートパソコン</t>
        </is>
      </c>
      <c r="H6607" t="n">
        <v>29</v>
      </c>
      <c r="I6607" t="inlineStr">
        <is>
          <t>自分用のノートパソコンも買った事だし、あの時の事でも書いてみるか。；ただ当初はノートパソコンに接続して通信することが主流であった。；小さな円テーブルが置かれ、黒いノートパソコンが一台セットされている。；この手記をノートパソコンで書き始めてからもう一ヶ月近くなるのだ。；井上先輩は先に来ていて、薄いノートパソコンを机の上に広げていた。；机には花のささった花瓶があって横にノートパソコンが置いてあった。；若い私服警官がノートパソコンを携えて、室内に入ってきたからだった。；当時はまだノートパソコンは存在せず、主に電子手帳向けの規格だった。；その後、同じような機能を搭載した他社製ノートパソコンも登場している。；ノートパソコンなどの重い荷物も肩にかけているせいもあった。；膝の上にノートパソコンを広げ、背後からそれを二人ほどが覗き込んでいる。；その奥には小さな机があり、上にノートパソコンが蓋を閉じた状態で置かれている。；背中に背負ったリュックにはノートパソコンが入っているに違いなかった。；ノートパソコンを長時間使用する場合人体に与える影響が指摘されている。；すると、窓を背にしてノートパソコンに向かう心葉先輩が見えた。；デスクには閉じられたノートパソコンが置いたままになっていた。；畳の上に置かれたノートパソコンのモニタを、真剣な表情で見つめている。；ノートパソコンを使っているシーンも多く、海外に行ってまで部屋の中で使っていた。；大型のノートパソコンにはテンキーが設置されているものもある。；写真部の部室を訪れたときに、亜沙子先輩が抱えていたノートパソコン。；生徒貸し出し用のノートパソコンが10台用意され、学校内で利用できた。；特番実施時には同社製のノートパソコンなどをプレゼントすることもあった。；ノートパソコンの壁紙も、寝てる間に勝手に書き替えちゃったんだよ。；おれがノートパソコンを閉じたのを、店内の保安カメラで見ていたのだろう。；彼は膝の上にノートパソコンを載せて、キーボードを叩いているところだった。；また、バッテリーの性能向上もノートパソコンの発展に大きく貢献している。；テーブルにはノートパソコンと無線機があり、どちらも電源が入っていた。；ノートパソコンはわたしよりも地位が高いのだと学んだ。；瑞月さんはノートパソコンを抱えたままベランダに出たようだった。</t>
        </is>
      </c>
      <c r="J6607">
        <f>HYPERLINK("https://www.weblio.jp/content/ノートパソコン", "词义详情")</f>
        <v/>
      </c>
      <c r="K6607">
        <f>HYPERLINK("https://yourei.jp/ノートパソコン", "查看例句")</f>
        <v/>
      </c>
    </row>
    <row r="6608">
      <c r="A6608" t="inlineStr">
        <is>
          <t>逃す</t>
        </is>
      </c>
      <c r="B6608" t="inlineStr">
        <is>
          <t>成功</t>
        </is>
      </c>
      <c r="C6608" t="inlineStr">
        <is>
          <t>読み方：のがす
［動サ五（四）］
１にげさせる。にがす。「捕虜を—・す」
２つかみそこなう。失する。逸する。「機会を—・す」
３（動詞の連用形に付いて）…すればできたのに、…しないでしまう意、また、…しそこなう意を表す。「肝心な点を聞き—・す」「見—・してやる」
[可能]のがせる</t>
        </is>
      </c>
      <c r="D6608" t="inlineStr">
        <is>
          <t>逃すまい(7%)；逃すことなく；逃すべき；逃すべく；逃すべから</t>
        </is>
      </c>
      <c r="E6608" t="inlineStr">
        <is>
          <t>失う；放つ；逃がす；放す；逸する</t>
        </is>
      </c>
      <c r="H6608" t="n">
        <v>29</v>
      </c>
      <c r="I6608" t="inlineStr">
        <is>
          <t>ジャクソンのチームが決勝に進んで優勝を逃すのは初めてのことだった。；大きく開いた静かな目が、母親の手の動きを一つ逃さず見まもっていた。；サー・オルヴェンは無理をしてあとで機会を逃すような男ではなかった。；そしてこの娘のこの虚脱には何という人を逃さぬ魅力があることだろう。；授業に追われていても生徒達は楽しむ機会を逃すようなことはしなかった。；それがあまりに普通過ぎて、僕は危うく聞き逃すところだったくらいだ。；この年は3連覇を逃したこともあり、は投手補強を一番の方針に掲げた。；これは餌を捕食する際に接着して逃さない効果があると考えられている。；彼は立ち向ってくる者ならば、郷民であろうと何であろうと逃さなかった。；だからって、今考えられる最高の女を逃す選択肢は俺にはありませんよ。；会が始まる前に五人全員揃う機会は、今を逃すともうないかもしれない。；気が強くて性格の良い美人は、今一歩のところで運を逃すことが多い。；すでに生命を失ったはずなのに仲間を逃そうと必死になっている乗組員たち。；ただし、それを研究するには最初の機会を逃さすに利用することが必要である。；野球が盛んな国には全敗し、五輪では初めてメダルを逃す大会となった。；三人の肩から力が抜けた、この機を逃すまいとハルユキは続けて口を開いた。；雅也の唇が離れた一瞬を逃さず、彼女は彼の唇の端に噛みついていた。；一隻も輸送船を逃さないよう、二〇隻以上の潜水艦を用意していた。；いくら経験が不足しているとはいえ、この機を逃すほど彼女も間が抜けてはいない。；いい出会いは逃さんでさ、じゃないとあっという間にオバサンになるよ。；しかし本大会では9位に終わり、入賞すら逃す史上最悪の結果となった。；結果的にこの距離と時間のロスが致命傷となり、惜しくも優勝を逃した。；チャンスを逃さず、懸案事項を一気に解決してしまいたいと思ったのだ。；杖で足元を探りながら、少しの変化も逃さないような慎重さで彼女は歩く。；脚には太い毛が多く生えていて、捕えた獲物を逃さない役割を果たす。；空気や音を逃さぬように、この建物は帆布で全体を覆っているのです。；逃す事が出来ない為、一度飼うとその間は他の動物は飼うことは出来ない。；男たちは店の中へ入ってこようとはしなかったが、僕の動きを逃さず追っていた。；声を聞き逃さないよう、足音を忍ばせて、苔の生えた裏庭を歩いていく。</t>
        </is>
      </c>
      <c r="J6608">
        <f>HYPERLINK("https://www.weblio.jp/content/逃す", "词义详情")</f>
        <v/>
      </c>
      <c r="K6608">
        <f>HYPERLINK("https://yourei.jp/逃す", "查看例句")</f>
        <v/>
      </c>
    </row>
    <row r="6609">
      <c r="A6609" t="inlineStr">
        <is>
          <t>逃れる</t>
        </is>
      </c>
      <c r="B6609" t="inlineStr">
        <is>
          <t>成功</t>
        </is>
      </c>
      <c r="C6609" t="inlineStr">
        <is>
          <t>読み方：のがれる
［動ラ下一］［文］のが・る［ラ下二］
１危険や不快を避けて遠くに身を置く。「俗世を—・れる」「難を—・れる」
２自分にとって好ましくない状態になるのを回避する。「責任を—・れる」「罪を—・れる」
→逃げる［用法］</t>
        </is>
      </c>
      <c r="D6609" t="inlineStr">
        <is>
          <t>逃れるべく；逃れる可能性；逃れるよう勧め</t>
        </is>
      </c>
      <c r="E6609" t="inlineStr">
        <is>
          <t>脱出；避ける；回避；逃げる；逃亡</t>
        </is>
      </c>
      <c r="H6609" t="n">
        <v>29</v>
      </c>
      <c r="I6609" t="inlineStr">
        <is>
          <t>またドイッチュラント級装甲艦も条約の制限を逃れる形で作られている。；戦火を逃れるために移住した者もいれば、開戦以前に移住した者もいる。；今こそすべての党同志は沈没船から逃れる挑戦をしなければなりません。；これは、光ですら重力から逃れることができなくなる点を表わしている。；フランス経済は世界恐慌の影響を1931年まで逃れることに成功した。；この新しい生は物質性を捨て、人類史から神の世界に逃れることではない。；朝の眩しさから逃れるため、寝る時はいつも黒い目隠しをして寝ていた。；インフルエンザウイルスはこの過程から巧みに逃れるようにできている。；それを自宅の神棚や軒先に吊るしておくと火難を逃れると言われている。；転じて、法律の規制や責任を逃れるための手段を指すこともある。；カナダに移ったのは徴兵制度を逃れるためで、カルガリー大学で学んだ。；戦火から逃れるように何千人ものルバ族の民間人がこの地域から脱出した。；発禁を逃れるために芸名を変えてレコードを販売するなどした時期もあった。；そんな中、補強していた田単の一族は無事に即墨へ逃れることができた。；二人は雨から逃れるためにその洋館へと足を踏み入れるのであった。；按摩師の男の呪縛からは、終戦後もなかなか逃れることができなかった。；それを逃れるために、支配地域の商人や知識人を奴隷として商業に従事させた。；しかし後に、キージーは逮捕を逃れるためにメキシコに去ってしまう。；諫言する者はみな罪を問われたので、人々は禍から逃れるのに必死であった。；俊敏な動きができない後ろ足では、牛の攻撃を逃れることはできない。；人間もまた自然の一部であり、人類も自然の摂理から逃れることはできない。；絵画では彼女はしばしば竜から逃れる姿で描かれている。；ただ、事故の直前に他の車両に移っていたために遭難死を逃れる。；作戦から逃れるようにしてHSBCはブラジルから事業撤退している。；周辺の何千人もの住民がこの山に集まり、難を逃れることができた。；クレイは管理上のわずらわしさから逃れるために本社からこちらに移っていた。；しかし、残りの子供たちは家臣らに守られ、毛利氏の元に逃れるなどした。；また、廃仏毀釈を逃れるため、もとは寺であったものが神社になった例も多い。；住民たちはダダからの支配から逃れるために脱出したという。</t>
        </is>
      </c>
      <c r="J6609">
        <f>HYPERLINK("https://www.weblio.jp/content/逃れる", "词义详情")</f>
        <v/>
      </c>
      <c r="K6609">
        <f>HYPERLINK("https://yourei.jp/逃れる", "查看例句")</f>
        <v/>
      </c>
    </row>
    <row r="6610">
      <c r="A6610" t="inlineStr">
        <is>
          <t>軒</t>
        </is>
      </c>
      <c r="B6610" t="inlineStr">
        <is>
          <t>成功</t>
        </is>
      </c>
      <c r="C6610" t="inlineStr">
        <is>
          <t>読み方：けん
［常用漢字］　［音］ケン（漢）　［訓］のき
〈ケン〉
１轅(ながえ)が高くあがった車。「軒輊(けんち)」
２家の屋根の張り出した部分。のき。ひさし。「軒灯」
３家屋。「軒数」
４高くあがる。「軒昂(けんこう)」
〈のき〉「軒先・軒端(のきば)」</t>
        </is>
      </c>
      <c r="D6610" t="inlineStr">
        <is>
          <t>軒目(2%)；軒宿；軒一軒；軒以上；軒存在</t>
        </is>
      </c>
      <c r="F6610" t="inlineStr">
        <is>
          <t>二軒；三軒；数軒；榛軒；十軒</t>
        </is>
      </c>
      <c r="G6610" t="inlineStr">
        <is>
          <t>軒並み；軒先；軒端；軒丸瓦；軒並</t>
        </is>
      </c>
      <c r="H6610" t="n">
        <v>29</v>
      </c>
      <c r="I6610" t="inlineStr">
        <is>
          <t>昭和修理時にも松琴軒の正確な建立年代を示す資料は発見されなかった。；廃線直前の状況では数十メートル先に鉄道官舎が一軒あっただけであった。；二条から五条にかけて4つのエリアで構成され、90軒余りの店が並ぶ。；焼肉食べ放題の店を一軒か二軒、潰しているんじゃないかと思いますよ。；駅前には商店やトイレ等の施設は全くなく、民家が数軒あるのみである。；その字面からこの日に建築事を行うと三軒隣まで亡ぼすとされたためである。；一軒宿の中に看板を設置するなど、混浴マナーの維持活動が行われている。；これらの建物は、前述の建築指示により軒高が揃うように建設されている。；駅名は近隣に民家が六軒しかなかったことに由来するとされている。；周囲には工場が多いが、駅前には少数の売店や居酒屋なども軒を連ねる。；この時業者は60軒あり、場所取りはくじ引きの上決められたという。；共同浴場も11軒と非常に多く、地元の人たちも盛んに利用している。；南改札口の外はLoop金山の地下2階となっており、店舗が数軒ある。；その母の実家の数軒隣りにジャイアント馬場の実家があったと言う。；駅のすぐ脇に民家が一軒あるが、それ以外は駅の至近に建物はない。；駅前は道路も狭く、食堂などの商店が数軒あるが整備はされていない。；また三間の間口を一軒役として課税したことへの反発した形状とする説もある。；部屋一つに対して屋根も一つあり、この集合体が一軒のトルッロとなる。；その結果、朝6時台から9時台はアニメ番組が軒を並べるようになった。；戦前はすべて宮島島内のみの製造販売で、製造元は全部で12軒だった。；この一軒宿は、映画やドラマの撮影で使われることも多い。；この他には小さな映画館が数軒あるだけである。；現在もある店では大来軒が寺町に1930年に出店したのが一番古い。；一軒宿が出来たのは1990年と温泉郷内では歴史が浅い部類に入る。；は数軒の家により構成されており、たいていは5戸 - 7戸から成る。；駅前の土産物屋は無くなり喫茶店が数軒と酒屋があるのみとなっている。；伊香保温泉ではこのほか数軒が湯の花まんじゅうを製造販売している。；残っていたものといえば港湾施設と3軒の建物ぐらいであった。；貴船口駅から貴船神社に向けて少し歩くと20軒ほどの店が床を並べている。</t>
        </is>
      </c>
      <c r="J6610">
        <f>HYPERLINK("https://www.weblio.jp/content/軒", "词义详情")</f>
        <v/>
      </c>
      <c r="K6610">
        <f>HYPERLINK("https://yourei.jp/軒", "查看例句")</f>
        <v/>
      </c>
    </row>
    <row r="6611">
      <c r="A6611" t="inlineStr">
        <is>
          <t>軒並み</t>
        </is>
      </c>
      <c r="B6611" t="inlineStr">
        <is>
          <t>成功</t>
        </is>
      </c>
      <c r="C6611" t="inlineStr">
        <is>
          <t>読み方：のきなみ
１家が軒を連ねて並び建っていること。家並み。「宿場町の古い—」
２並んでいる家の一軒一軒。家ごと。「刑事が—に聞いてまわる」
３（副詞的に用いて）どこもかしこも。どれもこれも。「不況で企業は—経営不振だ」</t>
        </is>
      </c>
      <c r="D6611" t="inlineStr">
        <is>
          <t>軒並み不振；軒並み不調；軒並み高評価；軒並みヒット；軒並み高い</t>
        </is>
      </c>
      <c r="F6611" t="inlineStr">
        <is>
          <t>軒並み焼失；軒並み大；軒並み赤字；軒並み終了；軒並み成績</t>
        </is>
      </c>
      <c r="H6611" t="n">
        <v>29</v>
      </c>
      <c r="I6611" t="inlineStr">
        <is>
          <t>次から次へと、ほとんど軒並みではないかと思えるほどの検挙率である。；それも軒並みとは云わない、一軒ぐらいそう云う家があってもよかろう。；補強した選手が故障などで軒並み不振でそのままチームは不振に陥った。；また、数学の能力は特に優れ、それ以外の学業成績も軒並み優秀である。；この山塊に直接面している地域では、土地の農業利用率は軒並み低い。；一部の山頂や谷は氷で覆われていないが、それ以外は軒並み氷に覆われている。；主要指導者が軒並み逮捕されたことでスパルタクスの運動は停滞した。；は自己最多の104試合に出場するも、軒並み成績が下降してしまった。；当然の結果として販売会社の経営は軒並み悪化し、危機的な状態に陥った。；これは未遂に終わったが、メンバーが軒並み11月10日に更迭された。；この特別限定版リリースの影響でアルバムのランキングは各国で軒並み上昇した。；主要サイトから軒並み高評価を受け、ウェストバージニア大学へ進学した。；古い建物が軒並み焼け落ちたため、大規模な建築を可能とする広い空間が出来た。；軒並みに沿って緩やかに左に曲がり、道路を横断する為にまた信号を待つ。；門にはもう軒並み竹が立てられて、ざわざわと風に鳴っていた。；ホールクラスで行われた同ツアーは軒並みソールドアウトを記録。；翌2月25日にも市場は開かれたが、株式は侵攻前と比べて軒並み暴落した。；しかし、当の中川智正ら医師や他の共犯者は軒並み井上の新主張を否定。；三人も並んで歩けないほどの細い路地の両側は、殆んど軒並みに飲食店だ。；すると今度は、関連のサイトを軒並み調べてみたくなった。；この頃には出演する番組が軒並み高視聴率を記録している。；ところが、どうも様子を見ていると、告白しに行った奴が軒並み泣いて戻ってくる。；映画産業は60年代に不況となり、ディズニーを除いて軒並み買収された。；娼家が次から次へと軒並み続いているような路地は通りにくい。；テロに対する懸念が軽減したことから各国の株式市場は軒並み上昇した。；その他の主要な工場も軒並み閉鎖されていた。；身を起こすと、ポデブスクを始めとする高官たちは軒並み倒れて気を失っていた。；出場時間のみならず、得点、アシストなどの成績も軒並み上昇した。；成立すればトヨタ、日産はもちろん日本メーカーは軒並み規制の対象となる。</t>
        </is>
      </c>
      <c r="J6611">
        <f>HYPERLINK("https://www.weblio.jp/content/軒並み", "词义详情")</f>
        <v/>
      </c>
      <c r="K6611">
        <f>HYPERLINK("https://yourei.jp/軒並み", "查看例句")</f>
        <v/>
      </c>
    </row>
    <row r="6612">
      <c r="A6612" t="inlineStr">
        <is>
          <t>のこぎり</t>
        </is>
      </c>
      <c r="B6612" t="inlineStr">
        <is>
          <t>成功</t>
        </is>
      </c>
      <c r="C6612" t="inlineStr">
        <is>
          <t>読み方：のこぎり
木材のほか金属・石などを切るのに用いる、薄い鋼板の縁に歯形を刻んで柄をつけた工具。木材の繊維に沿って切るものを縦挽き鋸(のこ)、横断して切るものを横挽き鋸といい、用途により畔挽き鋸・竹挽き鋸・糸鋸や、動力を用いる機械鋸などがある。</t>
        </is>
      </c>
      <c r="D6612" t="inlineStr">
        <is>
          <t>のこぎり状(5%)；のこぎり歯；のこぎりびき</t>
        </is>
      </c>
      <c r="E6612" t="inlineStr">
        <is>
          <t>鋸；引き切り</t>
        </is>
      </c>
      <c r="F6612" t="inlineStr">
        <is>
          <t>回転のこぎり；電気のこぎり</t>
        </is>
      </c>
      <c r="G6612" t="inlineStr">
        <is>
          <t>のこぎり屋根工場；のこぎり山；のこぎり台投影式；のこぎり屋根；のこぎり音楽</t>
        </is>
      </c>
      <c r="H6612" t="n">
        <v>29</v>
      </c>
      <c r="I6612" t="inlineStr">
        <is>
          <t>棚に並んでいる工具の中に、丸い刃を持った小型の回転のこぎりがあった。；のこぎりは数日前に市内のホームセンターで買ったものだという。；アパートの遺体の側には、血まみれの包丁とのこぎりが残されていた。；「君、いくつなの」 おとうさんがのこぎりを持ったままたずねました。；この技術の発展には工具が必要であり、主にのこぎりではなく斧を必要とした。；のこぎり状のものや、槍状のものや、強力だがしなやかな蔓があった。；かくばった口は耳までさけて、のこぎりのような歯が、ならんでいます。；彼は生まれつきの技術者で回転式のこぎりや地下鉄を開発したりした。；のこぎりと梯子があれば、あの扉の上の枠を、あっしが切って取るんだがな。；男は、鉄の扉をのこぎりで切ろうとしているのか、金属の削れる音が響く。；全身で扉を押しながら、のこぎりの刃を、上に動かそうと力をこめる。；部屋の中にあった電動のこぎりの音が、扉にはさまれて小さくなる。；一瞬、コナンは下方ののこぎりの歯のような岩を見下ろしてたたずんだ。；用意されたのは、元々男の自宅にあったのこぎりである。；格子線は三角形でのこぎり型の横断面を有し、これは階段構造作っている。；彼らは立木に、途中までのこぎりを入れて、倒れやすいようにした。；しかし何故か本来歯の治療に必要無いのこぎりまで備え付けてある。；のこぎりで女性の肉体をバラバラに切断することなどは二重の意味で絶対にできないだろう。；この島に、のこぎりの歯のような形をした山がある。；男が使っていた電動のこぎりは、ぼくの背丈の半分ほどもあった。；右眼で見る実物の映像と左眼の映像とが、のこぎりを中心に重なっていた。；その屋根が、はるか先まで、のこぎりの歯のようにつらなっている。；別の方向から見た乗組員によれば、背中にのこぎりの刃のようなひれがあったとの話である。；大地は、途中からのこぎりで断ち切られたように消失してしまっていました。；顔を見ることはできなかったが、手に、激しく音を出している電動のこぎりを持っていた。；うすいのこぎりをひいて、櫛の歯を一枚一枚をつくつていくのです。；クラヤミ入江は、のこぎりのような岩にかこまれたまん中にありました。；のこぎりは歯医者のドリルの音を大きくしたようなすさまじい音をたてる。；口は大きくて、のこぎりのような歯が見えています。</t>
        </is>
      </c>
      <c r="J6612">
        <f>HYPERLINK("https://www.weblio.jp/content/のこぎり", "词义详情")</f>
        <v/>
      </c>
      <c r="K6612">
        <f>HYPERLINK("https://yourei.jp/のこぎり", "查看例句")</f>
        <v/>
      </c>
    </row>
    <row r="6613">
      <c r="A6613" t="inlineStr">
        <is>
          <t>残す</t>
        </is>
      </c>
      <c r="B6613" t="inlineStr">
        <is>
          <t>成功</t>
        </is>
      </c>
      <c r="C6613" t="inlineStr">
        <is>
          <t>読み方：のこす
［動サ五（四）］
１あとにとどめておく。残るようにする。「放課後まで生徒を—・す」「メモを—・して帰る」
２もとのままにしておく。「昔の面影を—・す」「武蔵野の自然を—・す地区」
３全体のうちの一部などに手をつけないでおく。「食べきれずに—・す」「電車賃だけは—・す」
４消さないでそのままにしておく。「証拠を—・す」「誤解を—・す」
５後世に伝える。死後にとどめる。「偉大な足跡を—・す」「名を—・す」
６ためこむ。「小金(こがね)を—・す」
７相撲で、相手の攻めに対して踏みこらえる。「土俵際で—・す」
[可能]のこせる</t>
        </is>
      </c>
      <c r="D6613" t="inlineStr">
        <is>
          <t>残すべき；残すべく；残す可能性；残すまい；残すところあと</t>
        </is>
      </c>
      <c r="E6613" t="inlineStr">
        <is>
          <t>置く；保存；認める；止める；放置</t>
        </is>
      </c>
      <c r="F6613" t="inlineStr">
        <is>
          <t>そのまま残す</t>
        </is>
      </c>
      <c r="H6613" t="n">
        <v>29</v>
      </c>
      <c r="I6613" t="inlineStr">
        <is>
          <t>現在はほとんど利用されなくなったが、室などは残されている所もある。；その後も旧駅舎とされる建物が旧3号線ホームの梅田側に残されている。；その後は妊娠することがなく子どもを残していないため、子孫はいない。；この経験はイギリスに限らず、ヨーロッパ全土に歴史的な影響を残した。；常に私たちは、私たちの子供たちのぶんを残すよう教えられてきました。；この間、子供向けのピアノ曲を作曲するなど教育分野での貢献も残した。；今となっては、敷地の奥手のほうに線路の一部を残すのみとなっている。；その証拠として州東部にはフランス語起源の地名が多く残されている。；南海でプレーした2年間は満足な結果を残すことができなかったという。；しかし、王国の中心部では重要な築城の痕跡はほとんど残されていない。；市は小さな町の雰囲気を残そうと努めたが、急速な成長が今も続いている。；現在でもスポーツや政治などの重大な試合や局面の比喩にその名を残す。；この頃のダーウィン家は父や叔父の残した財産の運用で生計を立てていた。；一方同時に多くの地方人が、料理をしてくれる家族を残してパリに集まった。；功績を残そうとしていると思われては、うまくいかないこともあると。；カメラが普及し始めた時期でもあり、被害の写真が比較的多く残されている。；このように第7回日本選手権は各チーム・関係者に様々な波紋を残した。；これらの実績を残した当時のチームはエル・ドリーム・チームと称された。；彼らの中には稀代のエンターテイナーとして歴史に名を残した者もいる。；しかし、その詳細を文字にして残そうと考える人はほとんどいないはずだ。；それらのグループには後に宇宙開発で著名な功績を残す者も多く含まれた。；このエピソード以外にも、数多の真偽不明なエピソードが残されている。；彼は誰も手にかけず、シュラクサエに多くの優れたものを残したのだ。；建設省が大比較線を残したのはいずれも決っしえなかったためである。；海上交易を保護されたフェニキア人はこの時代にも大きな足跡を残した。；首を取られ残された遺体は、彼を崇める地元の領民によって埋葬された。；また、一部の子会社でも従来の8マークを使用したロゴが残されている。；それで財産を子供のために残そうと考えて分譲住宅を買ったわけです。；しかし、漢民族以外の周辺国家では、その後もこの風習が残されていた。</t>
        </is>
      </c>
      <c r="J6613">
        <f>HYPERLINK("https://www.weblio.jp/content/残す", "词义详情")</f>
        <v/>
      </c>
      <c r="K6613">
        <f>HYPERLINK("https://yourei.jp/残す", "查看例句")</f>
        <v/>
      </c>
    </row>
    <row r="6614">
      <c r="A6614" t="inlineStr">
        <is>
          <t>残らず</t>
        </is>
      </c>
      <c r="B6614" t="inlineStr">
        <is>
          <t>成功</t>
        </is>
      </c>
      <c r="C6614" t="inlineStr">
        <is>
          <t>読み方：のこらず
［副］余すところなく。すべて。「知っていることを—話す」</t>
        </is>
      </c>
      <c r="D6614" t="inlineStr">
        <is>
          <t>残らず死ん；残らず消え；残らず殺さ；残らず話し；残らず食べ</t>
        </is>
      </c>
      <c r="E6614" t="inlineStr">
        <is>
          <t>全て；みんな；完全に；すっかり；皆</t>
        </is>
      </c>
      <c r="F6614" t="inlineStr">
        <is>
          <t>残らず吸い；残らず捜し；残らず打ち明け；残らず斬り；残らず食い</t>
        </is>
      </c>
      <c r="H6614" t="n">
        <v>29</v>
      </c>
      <c r="I6614" t="inlineStr">
        <is>
          <t>私はこれだけのことを残らず手紙に書いて、その日のうちに彼に送った。；残っていたと言うより、残らざるを得なかったと言うべきかもしれない。；一体お前は思つてゐる事を残らず俺に云つてしまはない悪いくせがある。；上から下まで一人残らず、彼らはこの呪われた邸を出て行ったのである。；この時のが日本に正式に一冊残らず全部渡って来た最初であると思います。；味方が残らず討たれて最後の一人になるまでも決して後へは退きません。；わたしはその気になれば、この部屋にいる人間を一人残らず殺せるんだ。；そんな事は三週間ばかり前の東京の各新聞を見てもらえば残らずわかる。；彼らは扉のところまでやって来て、喧嘩の騒ぎを残らず聞き取っていた。；そこでこれまでどんなことが行われてきたか、残らず目にしてきたはずだ。；これまで信じていたものが、残らず音をたてて崩れ去ってゆく感じだった。；彼女は妾の知っていることは残らず知っていて、すべてはよく符合した。；かれは生きて再び還らない覚悟で、家のことなども残らず始末して出た。；その席へ、残らず人が集まっていると言ったほうがいいかもしれない。；娘は家を出るとき、好きな家具を残らず持ち出してもよいことになった。；特に行李の運搬手はわずかしか残らず、彼らもみな荷物を放棄していた。；眠りは跡切れ跡切れで、いつも断片的で曖昧な記憶しか残らぬ夢を見た。；読者はこの回想録で、私の経験した事件を残らず読むわけにはいくまい。；俺の頭の中には既にそのメッセージが一語残らず確かに記憶されているのだから。；夏の緑という緑は木の葉、草の葉一枚残らず姿を消しているではないか?；神の御名を金文字で大きく書いてある部分は残らず叮嚀に切取ってある。；この島は酋長がいて治めていましたが、住民は一人残らず魔法使でした。；この虫を一匹残らず彼女の体にもどさないと、彼女は確実に死ぬのだ。；餅でもつくだろうと思う家が南向きの沢に、一軒も残らず顔を出している。；だが、問題は、すでに一人残らず目が見えなくなっていることだった。；そして、教会へ這入って来る人の顔を一つ残らずじいッと視つめていた。；夫れゆえ家内残らず大阪に引越して居て、私共は皆大阪で生れたのです。；あの声は残らず、おれをいとしがって居る、半泣きの喚き声だったのだ。；私が生きてきた証は何も残らずに どんどん時代が流れていっちゃう。</t>
        </is>
      </c>
      <c r="J6614">
        <f>HYPERLINK("https://www.weblio.jp/content/残らず", "词义详情")</f>
        <v/>
      </c>
      <c r="K6614">
        <f>HYPERLINK("https://yourei.jp/残らず", "查看例句")</f>
        <v/>
      </c>
    </row>
    <row r="6615">
      <c r="A6615" t="inlineStr">
        <is>
          <t>残り</t>
        </is>
      </c>
      <c r="B6615" t="inlineStr">
        <is>
          <t>成功</t>
        </is>
      </c>
      <c r="C6615" t="inlineStr">
        <is>
          <t>読み方：のこり
残ること。また、残ったもの。「—の仕事をかたづける」「金の—を数える」「生き—」「売れ—」</t>
        </is>
      </c>
      <c r="D6615" t="inlineStr">
        <is>
          <t>残り時間；残り半分；残り試合；残り続け；残り期間</t>
        </is>
      </c>
      <c r="E6615" t="inlineStr">
        <is>
          <t>あまり；空間；範囲；余；余り</t>
        </is>
      </c>
      <c r="F6615" t="inlineStr">
        <is>
          <t>シーズン残り；残りにくい；試合時間残り；残りの肢節；残り滓</t>
        </is>
      </c>
      <c r="G6615" t="inlineStr">
        <is>
          <t>残り物；残り火；残り香；残り少なく；残りもの</t>
        </is>
      </c>
      <c r="H6615" t="n">
        <v>29</v>
      </c>
      <c r="I6615" t="inlineStr">
        <is>
          <t>自分の残りの人生はそのためだけに与えられていると思っていたという。；音抜けが良く印象に残りやすいことから多用されたことが見受けられる。；続いてハー・ゴビンド・コラナが残りのコドンを決定することができた。；彼は残りの人生を通して社会改革を訴え続けなければならないと確信していた。；後に、クローヴスはこのシリーズの残りの全作品を執筆するため復帰した。；残りの条件は「この群が 上の加群となる」という条件にまとめられる。；爆発の後には中性子からなる高密度の核が残り、これが中性子星となる。；各都市ごとに発展してきた歴史をもつことから今でもそれぞれの地名が残り使われている。；その際には、食べたキノコの残りがあれば持っていったほうがよい。；残りの1本「なんでもできるよ」はビデオソフトにのみ収録されている。；調理したものの残りや吐いたものの中にも手がかりがある場合がある。；一方、残りの敷地やトイレなどは道路区域として機構に承継されている。；操作するキャラクターの残り人数が0になるとゲームオーバーとなる。；更にその残りの半分にも同様、と到着すべき地点が限りなく前に続く故に到着しない。；残りの生涯をこの城で過ごし、死後は大聖堂に葬られることを望んだ。；先行選手は残り1周半程度から後ろの選手を引き連れてダッシュをする。；最初の10日間は朝に見られたが残りは夕方に見られるようになったとも書かれている。；これと残り二つのグループの分岐順には様々な説が存在した。；バーでピアノを弾いていたなどの証言が多く残り、楽器も達者に演奏できた。；地上部のつるを刈り取っても地下に根茎が残り、すぐにつるが再生する。；コース料理の場合など、最後に食べたものが最も印象に残りやすい。；この後、スメタナは残りの人生のほとんどを作曲に費やすようになる。；残りの17個の単位は人名に由来するので、その記号は大文字で始める。；熊本城を包囲する一方、残りは北上して小倉を強襲することが決定する。；そのために時計が遅くなり、前残りの馬が穴をあける傾向があった。；残りの少数派には、シク教徒や仏教徒、その他の諸宗教が含まれている。；結果多くの人々の記憶に残り、視聴率的にも大成功を収めることとなった。；残り僅かの人生だと覚悟し、これを有意義に使おうと考えるようになったのだ。；なお、一型の生産機数は40機のみで、残り大半機は二型である。</t>
        </is>
      </c>
      <c r="J6615">
        <f>HYPERLINK("https://www.weblio.jp/content/残り", "词义详情")</f>
        <v/>
      </c>
      <c r="K6615">
        <f>HYPERLINK("https://yourei.jp/残り", "查看例句")</f>
        <v/>
      </c>
    </row>
    <row r="6616">
      <c r="A6616" t="inlineStr">
        <is>
          <t>残る</t>
        </is>
      </c>
      <c r="B6616" t="inlineStr">
        <is>
          <t>成功</t>
        </is>
      </c>
      <c r="C6616" t="inlineStr">
        <is>
          <t>読み方：のこる
［動ラ五（四）］
１あとにとどまる。「会社に—・って仕事をかたづける」
２取り去ったり使ったりしたあとに、なくならないである。「弁当が数人分—・る」「まだ時間は—・っている」
３消えないであり続ける。「傷が—・る」「最後の言葉が耳に—・る」
４死に後れる。生き残る。「夫に先立たれ、妻子があとに—・る」
５後世に伝わる。死後消えないである。「歴史に—・る快挙」
６相撲で、相手の攻めを踏みこらえる。「土俵際で—・る」
→余(あま)る［用法］
[可能]のこれる</t>
        </is>
      </c>
      <c r="D6616" t="inlineStr">
        <is>
          <t>残る可能性；残るくまなく；残る数少ない；残る古い；残る隈なく</t>
        </is>
      </c>
      <c r="E6616" t="inlineStr">
        <is>
          <t>いる；居る；滞在；残存；止まる</t>
        </is>
      </c>
      <c r="F6616" t="inlineStr">
        <is>
          <t>そのまま残る；色濃く残る；長く残る；唯一残る；強く残る</t>
        </is>
      </c>
      <c r="H6616" t="n">
        <v>29</v>
      </c>
      <c r="I6616" t="inlineStr">
        <is>
          <t>データが残っていればいくらでも生産が可能だが、少数生産向きである。；これは一つにはそのような環境にも耐えられる生物が残ることで成立する。；この姿が当時の国民に親しまれ、一番印象に残る姿となったといわれる。；なお、世界にはまだ読み方が分かっていない文字がいくつも残っている。；しかし彼らの仕事は孤立して残っているばかりでよく知られていない。；しかし公式記録にこうした妨害をうかがわせる記録は一切残っていない。；攻撃しても、結局残ったミサイルで反撃される可能性があったのである。；各藩の城下町だった地域には、現在も武家屋敷等が残っている所が多い。；キリスト教化された中世以降のヨーロッパでもその傾向は変わらずに残る。；同年中に三国芦原線と勝山永平寺線の残る区間も正式に営業を再開した。；物質が燃焼すると、残った物質が軽くなる場合と重くなる場合とがある。；植物が利用する水の中で、わずかな部分だけしか植物の体内に残らない。；多くの巨人は古い時代の神の信仰が残ったものともいわれている。；現在でも田園風景が多く残っており、市内でも農業が盛んな区の一である。；通行量が増え過ぎて悲鳴を上げる沿道の村々の記録が各地に残っている。；残っている洞窟に実際に西郷が居住していたという記録は存在しない。；彼女は妾の知っていることは残らず知っていて、すべてはよく符合した。；かれは生きて再び還らない覚悟で、家のことなども残らず始末して出た。；インド・ヨーロッパ語族の言語のうちもっとも古い文献の残る言語である。；今日にも残る結婚式などでの忌み言葉も言霊の思想に基づくものである。；なお、現在ターンテーブル式は準競技用モデルが残るのみとなっている。；ここには砂漠を進む商隊の灯台として使われたと推定されているが残る。；特に行李の運搬手はわずかしか残らず、彼らもみな荷物を放棄していた。；廃止後も、駅舎は下津井電鉄の旅行センターとして活用され残っている。；この演説は多くのベルリン市民やドイツ国民の心に残ることとなった。；歴史的にあまり名が残らなかったのは、この晩年の所業が災いしている。；上部だけ残る国会議事堂は、ミニチュアが偶然燃え残ったものであった。；現在も残るイエズス会布教所跡はこのときに建設されたものがほとんどである。；この三つの国は2011年現在もNATOのメンバーとして残っている。</t>
        </is>
      </c>
      <c r="J6616">
        <f>HYPERLINK("https://www.weblio.jp/content/残る", "词义详情")</f>
        <v/>
      </c>
      <c r="K6616">
        <f>HYPERLINK("https://yourei.jp/残る", "查看例句")</f>
        <v/>
      </c>
    </row>
    <row r="6617">
      <c r="A6617" t="inlineStr">
        <is>
          <t>乗せる</t>
        </is>
      </c>
      <c r="B6617" t="inlineStr">
        <is>
          <t>成功</t>
        </is>
      </c>
      <c r="C6617" t="inlineStr">
        <is>
          <t>読み方：のせる
［動サ下一］［文］の・す［サ下二］
１物の上に置く。「荷物を網棚に—・せる」「子供をひざに—・せてあやす」
２乗り物の上、または中に人や物を置く。「客を—・せたタクシー」「トラックに引っ越し荷物を—・せる」
３音や調子に合わせる。「ピアノの調べに—・せて歌う」
４物事が順調にいくようにする。勢いにまかせて進める。「計画を軌道に—・せる」
５仲間として加える。参画する。「その仕事に一口—・せて下さい」
６思惑どおりに相手を動かす。計略にかける。だます。「口車に—・せる」「まんまと—・せられる」
７物事を、ある手段や経路によって運ぶ。「ニュースを電波に—・せる」「午後の便に—・せる」「販売ルートに—・せる」
８（載せる）新聞・雑誌などの刊行物に掲載する。また、帳簿などに記載する。「広告を—・せる」「名簿に—・せる」
[下接句]口に乗せる・口車に乗せる・俎上(そじょう)に載せる・手車に乗せる・俎(まないた)に載せる</t>
        </is>
      </c>
      <c r="D6617" t="inlineStr">
        <is>
          <t>乗せるべく</t>
        </is>
      </c>
      <c r="E6617" t="inlineStr">
        <is>
          <t>搭載；積載；積む；載せる；拾う</t>
        </is>
      </c>
      <c r="H6617" t="n">
        <v>29</v>
      </c>
      <c r="I6617" t="inlineStr">
        <is>
          <t>そいつの受けている命令は、おまえを追放するための船に乗せることだ。；そのコードを逆向きに教えてくれといって、それに乗せて曲を書いた。；彼は軽い外套を彼女の肩にかけてやり、待っている馬車に彼女を乗せる。；あるいは僕だけ馬車へ乗せるのを危険にでも思ったためかもしれない。；カーリーはダラスもリンゴも馬車に乗せて送っていくことにすると言う。；原作ではセルゲーム前に家族を乗せてドライブをしている場面がある。；そのためまるでパイロットを乗せたシートのみが飛行しているように見える。；伊藤はその宣言通り後藤には自厩舎の有力馬には乗せなくなったという。；その物語では、すべての生き物をひとつがいづつ船に乗せた、とされる。；クラッカーの上などにその塊を乗せて食べる場合などに利用される。；同じ職業を持つ人間同士を同じ馬車に乗せると威力や効果が変化する。；相手の頭を取らず畳に乗せるため自分より体の大きな相手には非常に有効である。；しかしこの船はすでに人間を満載しており、到底馬を乗せる余裕はない。；そのインコは、例の僧が肩に乗せていたインコの弟に当たる鳥だった。；・・・おかるの駕籠が行ったあと、おー、まだ乗せるものがあるんだよ。；陸軍部隊を乗せるのは巡洋艦3隻で、第二十一駆逐隊は警戒隊であった。；最大3匹まで仲間を乗せることができ、決められた作戦に従い行動する。；基本的には全車共通だが、乗せることのできる車両が限られているものも。；艦隊はそこで乗客を降ろし、ロシアへ向かう汽車に乗せる予定であった。；それは確かに、まだ人も乗せることのできないような子ろばであった。；遺体は金属製の台に乗せられ、ダフマの近くまで葬列を組んで送られる。；レ・ミル駅からバイヨンヌに向かう列車に乗せる計画を立てたのである。；北海道では蒸かしたジャガイモにイカの塩辛を乗せて食べることもある。；階段脇には自転車を乗せることが可能なスロープが設置されている。；タイムマシンはトラックの荷台に乗せて移動させる静止した物体だった。；形状は、物を乗せる皿状の部分と手で持つための柄で構成される。；若い母親は、きっといろいろと甘いことを言って話に乗せるつもりだろう。；メキシコへの釣り旅行中に謎のヒッチハイカーを乗せる2人の青年の話。；帽子を任意の動物の頭に乗せると、頭の大きさにあわせて帽子の大きさが変わる。</t>
        </is>
      </c>
      <c r="J6617">
        <f>HYPERLINK("https://www.weblio.jp/content/乗せる", "词义详情")</f>
        <v/>
      </c>
      <c r="K6617">
        <f>HYPERLINK("https://yourei.jp/乗せる", "查看例句")</f>
        <v/>
      </c>
    </row>
    <row r="6618">
      <c r="A6618" t="inlineStr">
        <is>
          <t>載せる</t>
        </is>
      </c>
      <c r="B6618" t="inlineStr">
        <is>
          <t>成功</t>
        </is>
      </c>
      <c r="C6618" t="inlineStr">
        <is>
          <t>読み方：のせる
［動サ下一］［文］の・す［サ下二］
１物の上に置く。「荷物を網棚に—・せる」「子供をひざに—・せてあやす」
２乗り物の上、または中に人や物を置く。「客を—・せたタクシー」「トラックに引っ越し荷物を—・せる」
３音や調子に合わせる。「ピアノの調べに—・せて歌う」
４物事が順調にいくようにする。勢いにまかせて進める。「計画を軌道に—・せる」
５仲間として加える。参画する。「その仕事に一口—・せて下さい」
６思惑どおりに相手を動かす。計略にかける。だます。「口車に—・せる」「まんまと—・せられる」
７物事を、ある手段や経路によって運ぶ。「ニュースを電波に—・せる」「午後の便に—・せる」「販売ルートに—・せる」
８（載せる）新聞・雑誌などの刊行物に掲載する。また、帳簿などに記載する。「広告を—・せる」「名簿に—・せる」
[下接句]口に乗せる・口車に乗せる・俎上(そじょう)に載せる・手車に乗せる・俎(まないた)に載せる</t>
        </is>
      </c>
      <c r="D6618" t="inlineStr">
        <is>
          <t>載せるべき；載せる載せない；載せる都合上</t>
        </is>
      </c>
      <c r="E6618" t="inlineStr">
        <is>
          <t>記録；搭載；記載；登録；レコーディング</t>
        </is>
      </c>
      <c r="F6618" t="inlineStr">
        <is>
          <t>そっと載せる；サッと載せる</t>
        </is>
      </c>
      <c r="H6618" t="n">
        <v>29</v>
      </c>
      <c r="I6618" t="inlineStr">
        <is>
          <t>首を載せる台は日本の薪割台ぐらいの大きさで前に鉄の環が着いている。；各砲は独立した砲架に載せられており、異なる仰角を取ることが出来た。；門櫓の上にシャチを載せていた、立派な造りの門であったとされている。；ただし、語学用の書籍では、変化した発音を載せてもよいとされている。；運搬車は大柄な男を載せるのに充分なだけの広さと長さをそなえていた。；急勾配があるため、主にエンジンを2台載せた強力気動車が使用された。；なお、コロで移動させるときも、その上にそりを載せて使うことがある。；同じ時期に、朝鮮で発行されていた雑誌には朝鮮語での創作を載せていた。；しかし、その結果はゲームぎゃざ誌上には一切載せられぬまま終了した。；此作者を知つてこの一篇を載せることになつたのはほんの偶然であつた。；夕暮れ時になれば次は港に集まってきた大量の荷物を船に載せる作業となる。；江戸時代中期に貝柱や芝海老のかき揚げなどを載せたのが始まりという。；正面から見ると、彼は鼻の上に載せるようなごく小さな眼鏡をかけていた。；また輪軸部分のみを載せるようにした小さな車両をロールボックという。；文化13年には神馬と白丁の人形を載せて神馬台と称するようになった。；食べやすい長さに包丁や料理鋏で切って、皿に載せてタレを入れて出す。；かつて引っ越しをした際には書物を30台の車に載せた程であった。；地面に押しつけた丸太のこちら側の端の上に八十キロほどの岩を載せる。；また同社の会報「星のカフェテラス」に漫画を描いて載せたこともある。；また、宗教・民族の少数者を差別した記事を載せた場合の罰則もある。；膝の上に載せる小型のタイプはラップ・スティール・ギターと呼ばれる。；それを新聞紙の上へ取ってよく油を切ってからお皿へ載せるのです。；地名集はしばしば載せる情報のタイプや扱う情報量によって分類される。；収録されている章について、その章の全文を載せているとは限らない。；後には旋回式の台車に載せられ一定の自由度が確保されるようになる。；はしご型フレームにボディーを載せた構造で、両者は分離が可能である。；地域によっては遺体を小さな舟に載せて川や海へ流すところもある。；身長差のせいか、雄二は葉月ちゃんの頭に手を載せるのが好きみたいだ。；ここに載せている作品は、録音もしくは出版されたものである。</t>
        </is>
      </c>
      <c r="J6618">
        <f>HYPERLINK("https://www.weblio.jp/content/載せる", "词义详情")</f>
        <v/>
      </c>
      <c r="K6618">
        <f>HYPERLINK("https://yourei.jp/載せる", "查看例句")</f>
        <v/>
      </c>
    </row>
    <row r="6619">
      <c r="A6619" t="inlineStr">
        <is>
          <t>除く</t>
        </is>
      </c>
      <c r="B6619" t="inlineStr">
        <is>
          <t>成功</t>
        </is>
      </c>
      <c r="C6619" t="inlineStr">
        <is>
          <t>読み方：のぞく
［動カ五（四）］
１取ってなくする。取りのける。除去する。「障害を—・く」「不良品を—・く」「花壇の雑草を—・く」
２その範囲に加えないようにする。除外する。「未経験者は—・く」「母を—・いてみんな賛成した」
３邪魔者などを殺す。「奸臣(かんしん)を—・く」
[可能]のぞける
[用法]のぞく・のける——「障害物を除く（のける）」のように、じゃまな物を取りのける意では相通じて用いられる。◇「除く」はその場からなくすという意に重点がある。「不安を除く」「障害を除く」など、抽象的な事柄については「のける」は使わない。◇「のける」はその場所から他の位置に移すこと。「ちょっと、そこにある椅子(いす)をのけてください」を「除いて」とは言わない。◇類似の語に「どける」がある。「どける」は「のける」とほぼ同じだが、「のける」のほうが古くからの言い方で、話し言葉としては「どける」が一般化している。ただし「ずばりと言ってのける」「見事にやってのける」のような補助動詞としては「どける」は使わない。</t>
        </is>
      </c>
      <c r="D6619" t="inlineStr">
        <is>
          <t>除く全(3%)；除く各；除くほとんど；除くほぼ；除く旧</t>
        </is>
      </c>
      <c r="E6619" t="inlineStr">
        <is>
          <t>出す；取る；排除；撤去；カット</t>
        </is>
      </c>
      <c r="F6619" t="inlineStr">
        <is>
          <t>除く全列車；除く死刑囚；除く民放各局；除くアフリカ；除く各兵科</t>
        </is>
      </c>
      <c r="H6619" t="n">
        <v>29</v>
      </c>
      <c r="I6619" t="inlineStr">
        <is>
          <t>ただし日本ではごく一部を除いて鉄道荷物輸送は既に廃止されている。；この形式は一部の例外を除いて、以降のシリーズにも引き継がれている。；相手国や中継する国に問題がある場合を除いて安定した通話が可能である。；ローカル番組を除いてカスタム表示を採用していない番組は以下の通り。；これらのわずかな例外を除くほとんどの無脊椎動物は赤血球を持たない。；上記のように後期の一部の主題歌を除いて、音楽は平尾昌晃が担当した。；以下に挙げた物は広く使用された物で、試作品の域を出ない物は除く。；なお、番組販売により放送しているものでは一部を除き行われていない。；その一方で車内は冷房風洞の設置を除いて大きな改造は行われなかった。；第三世界の国々で発生した数件を除いて、ほとんど平和的に解決していた。；明治維新直前の領域は、現在の大分県から下記を除いた区域に相当する。；末期には日本国内の店舗は長野県を除き営業エリアが明確に分けられていた。；しかし、日本では現在まで一部の地域を除いて野生化は確認されていない。；この項では臨時便扱いなど一部を除く西日本鉄道直営の路線を掲載する。；これを最後に国鉄の蒸気機関車は保存用を除いてそのすべてが姿を消した。；特急列車や一部普通列車を除く大半の列車が当駅で系統が分離されている。；冒頭の編集句を除いて、言葉が発せられた状況の描写や解説は一切ない。；この記念硬貨は国名と言語が違う点を除いては同じデザインが用いられた。；制定から数年間はMVPの投票対象から投手を除く規定も設けられていた。；競争部門のチャンピオンクラスを除いては誰でも出品することができる。；機体構成は一部がダミーであることを除いてM-4Sとほぼ同じである。；インド国内向けのサイトを除き、基本的にはIAST表記が中心である。；主に冷戦中に多く作られたが、2つの爆弾を除いて実戦での使用は無い。；パーティー用クラッカーなど一部の品目を除き購入や消費に制限がある。；ただしペルシア語を除き、現在はそれぞれ別の文字で表記されている。；古くからホンダを除く主要日本メーカーのほとんどが参戦、活躍を見せた。；一部を除き、基本的には国鉄バスの車両称号をそのまま使用している。；この場合、カード利用者を除いてホーム内の自動改札は使用できない。；デッキとコンパートメント席を除き運転開始当初から禁煙とされていた。</t>
        </is>
      </c>
      <c r="J6619">
        <f>HYPERLINK("https://www.weblio.jp/content/除く", "词义详情")</f>
        <v/>
      </c>
      <c r="K6619">
        <f>HYPERLINK("https://yourei.jp/除く", "查看例句")</f>
        <v/>
      </c>
    </row>
    <row r="6620">
      <c r="A6620" t="inlineStr">
        <is>
          <t>覗く</t>
        </is>
      </c>
      <c r="B6620" t="inlineStr">
        <is>
          <t>成功</t>
        </is>
      </c>
      <c r="C6620" t="inlineStr">
        <is>
          <t>読み方：のぞく
［動カ五（四）］
１物陰やすきま、小さな穴などから見る。「鍵穴から—・く」「部屋を—・く」
２装置を用いて物体を見る。「望遠鏡を—・く」
３高い所から低い所を見る。「谷底を—・く」
４ひそかにようすをうかがう。また、隠しごとや秘密にしている物などをこっそりと見る。「私生活を—・く」「娘の日記を—・く」
５ちょっと見る。また、本格的でなくほんの一部分だけを知る。「大人の世界を—・く」「経済学を—・いたことがある」
６ちょっと立ち寄る。ついでに訪れる。「古本屋を—・く」
７一部分が現れ出る。一部が外から見える。「葉の間から青空が—・く」「襟元からスカーフが—・いている」
８臨む。目の前にする。
「水に—・きたる廊に造りおろしたる橋の」〈源・椎本〉
[可能]のぞける</t>
        </is>
      </c>
      <c r="D6620" t="inlineStr">
        <is>
          <t>覗く白い；覗く細い；覗くような気；覗くような眼；覗く鋭い</t>
        </is>
      </c>
      <c r="E6620" t="inlineStr">
        <is>
          <t>のぞく；顔を出す；垣間見る；ちらつく；見え隠れする</t>
        </is>
      </c>
      <c r="F6620" t="inlineStr">
        <is>
          <t>差覗く；ちらりと覗く；さし覗く；ちょっと覗く；差し覗く</t>
        </is>
      </c>
      <c r="H6620" t="n">
        <v>29</v>
      </c>
      <c r="I6620" t="inlineStr">
        <is>
          <t>女性を眼前にした瞬間から、いつもの自分とは別の自分が顔を覗かせた。；棚の中にある箱と箱のわずかな隙間から向こう側を覗くことができた。；人影くらいは見えるかもしれないが、向こう側から覗かれる心配はない。；文楽座などをちょっと覗いてみてもやはりこの感じがはっきりとします。；独房の壁の高い所に小さな窓があって、わずかばかりの空が覗いていた。；銃のスコープ越しに覗くと、老人の周囲には武器を持った人影が見えた。；そのように、今目の前にいる生徒たちも様々な表情を覗かせいている。；それを言えばそう決心するに至った動機までも覗かれそうであった。；家の薄暗い寝間を覗くたびに、病気の母が眠っている気がしてならない。；足許には小さな階段が一つあって、そこから漆のような闇が覗いている。；ドミック師は自分の書いた曲をひとに覗かれるのはいやかもしれない。；アンタらがアタシに興奮して覗く為に暴動を起こしたのは事実だろうに!；私は車掌台のすぐ近くにいましたから、すぐに窓から外を覗いて見ました。；横にまわって、塀の外から中を覗こうとしたが、塀が高くてだめだった。；最初君が一人で覗いた時に、馬になってはい廻ったのはかく云う僕だ。；口から舌の先を覗かせて軽く喘いでいたが、苦痛の色は全く見えなかった。；時々そっと覗くように彼の方を見る彼女の眼がそれを示していた。；たしかに地面から上半身を覗かせているのは、死んだはずの蟇目だった。；下のホールを覗くと、招待客が部屋から庭園へ出たり入ったりしている。；もう片方の箱を覗いてみると、中にはとても美しい少女が横になっていた。；太陽が顔を覗かせたおかげで、あたりは急に明るく、晴れやかになった。；階段を靜かに上つて來た駒平は、そこに立つて不審さうになかを覗いた。；「鏡作羽葉神社です」 「羽葉ですか」 男は白い歯を覗かせて笑った。；私の魂はこの沈黙のうちに、そっと形態の扉を開いて外面を覗こうとする。；胸ポケットにはこれも彼の発明品であるモンキーレンチが覗いて見える。；今の内に誰か障子の孔から大きな鼻でも覗かせてやらなければならぬ。；彼は歩くのをやめて松の幹の立ち並んだ陰からそっと女の方を覗いた。；門衛の方を覗くと、そこに自分の名前を書いた紙片が貼出されてあった。；もう一度目をつけて覗くと、誰もが裸になっていることが分かったわ。</t>
        </is>
      </c>
      <c r="J6620">
        <f>HYPERLINK("https://www.weblio.jp/content/覗く", "词义详情")</f>
        <v/>
      </c>
      <c r="K6620">
        <f>HYPERLINK("https://yourei.jp/覗く", "查看例句")</f>
        <v/>
      </c>
    </row>
    <row r="6621">
      <c r="A6621" t="inlineStr">
        <is>
          <t>望ましい</t>
        </is>
      </c>
      <c r="B6621" t="inlineStr">
        <is>
          <t>成功</t>
        </is>
      </c>
      <c r="C6621" t="inlineStr">
        <is>
          <t>読み方：のぞましい
［形］［文］のぞま・し［シク］《動詞「のぞ（望）む」の形容詞化》そうあってほしい。願わしい。「全員参加が—・い」
[派生]のぞましさ［名］</t>
        </is>
      </c>
      <c r="D6621" t="inlineStr">
        <is>
          <t>望ましいもの(3%)；望ましい結果；望ましい性質；望ましい特性；望ましい状態</t>
        </is>
      </c>
      <c r="E6621" t="inlineStr">
        <is>
          <t>好ましい；好都合；ちょうどいい；おあつらえ向き；思わしい</t>
        </is>
      </c>
      <c r="F6621" t="inlineStr">
        <is>
          <t>ほうが望ましい；最も望ましい；もっとも望ましい；決して望ましい；一番望ましい</t>
        </is>
      </c>
      <c r="H6621" t="n">
        <v>29</v>
      </c>
      <c r="I6621" t="inlineStr">
        <is>
          <t>また、一つの記事に複数の番組をまとめて書くのは望ましくありません。；車での来訪に際しては事前に駐車場位置を確認しておくことが望ましい。；この鋼板の後塗装は事前にテストを行ってから実施することが望ましい。；かける人間もかけられる人間も事前にトイレに行くことが望ましい。；身体拘束は望ましくないと思われる行動や動作を制するために使われる。；己れを捨てて社会の利益を図るの望ましきことはいうまでもない。；そのため当該目標を達成するには、他の解決策が望ましいと考えられる。；風の強い日は干しているものを洗濯ばさみで留めておくことが望ましい。；どちらの方式であっても製作後に十分な試験を行なうのが望ましい。；安全装置のついた物を使う等、充分に注意して使用する事が望ましい。；これらの問題のため、研究室ではドラフト内で利用することが望ましい。；さらに、機器の増設・入れ替えのための余裕ある空間の確保が望ましい。；食事の前に熱乾性のアペリティフで腹を「開く」のが望ましいとされた。；特に、治療者を介さず自分で自己肯定できるようになることが望ましい。；たとえわずかでも人に見られる危険がある場所は、淳子には望ましくない。；価値ある利益を確保するためにリスクを高めることが望ましい場合もある。；その、いかにも危険な隣人がしばらく席を離れている状況が望ましかった。；よって、RTCの時刻は機器間で互いに同期していることが望ましい。；島の多くの名士は、いかなる変化も必要でも望ましくもないと確信している。；上記のどちらを採用するかは事前に確認することが望ましい。；ファゴットでは、ボーカルを異なる長さのものに変えることが望ましい。；いかなる電池を充電する場合でも保護めがねを着用することが望ましい。；潜水艦は隠れることで真価を発揮するため、浮上しないことが望ましい。；取り付けには専用工具を用いるのが望ましく、基本的には専門店へ依頼する。；そのような実験にはガラス同士を直接密着させることが望ましい。；特にセリエル系の12音列は色を使って表にするのが最も望ましい。；国の方針として、看護基礎教育は大学化が望ましいというのを受けたもの。；この他にも事故発生時の対応のために救急法の講習を受けた者などが望ましい。；その際、割り込みなどを使わずに構造化された方法を使うことが望ましい。</t>
        </is>
      </c>
      <c r="J6621">
        <f>HYPERLINK("https://www.weblio.jp/content/望ましい", "词义详情")</f>
        <v/>
      </c>
      <c r="K6621">
        <f>HYPERLINK("https://yourei.jp/望ましい", "查看例句")</f>
        <v/>
      </c>
    </row>
    <row r="6622">
      <c r="A6622" t="inlineStr">
        <is>
          <t>望み</t>
        </is>
      </c>
      <c r="B6622" t="inlineStr">
        <is>
          <t>成功</t>
        </is>
      </c>
      <c r="C6622" t="inlineStr">
        <is>
          <t>東海道・山陽新幹線で運行されている特別急行列車の愛称。平成4年（1992）に東海道新幹線で、翌年に山陽新幹線でも運行を開始。多くは東京・博多間を結び、「ひかり」「こだま」などより停車駅を減らして所要時間を短縮している。
平成10年（1998）7月に打ち上げられた日本初の火星探査機PLANET-B(プラネットビー)の愛称。宇宙科学研究所（現JAXA(ジャクサ)）が開発。火星上層の大気や磁気圏の調査を目的として、計14種類の観測機器を搭載。電源系統の不具合が生じ、平成15年（2003）7月に通信が途絶。同年12月、火星周回軌道の投入を断念した。</t>
        </is>
      </c>
      <c r="D6622" t="inlineStr">
        <is>
          <t>望みどおり(3%)；望み通り(3%)；望みます；望み得；望み薄</t>
        </is>
      </c>
      <c r="E6622" t="inlineStr">
        <is>
          <t>思い；光；夢；期待；思</t>
        </is>
      </c>
      <c r="F6622" t="inlineStr">
        <is>
          <t>たいという望み；たいと望み；はかない望み；大きな望み；望みなき</t>
        </is>
      </c>
      <c r="H6622" t="n">
        <v>29</v>
      </c>
      <c r="I6622" t="inlineStr">
        <is>
          <t>最初に企画されたのは彼の長年の望みであったヴォルフ歌曲集であった。；耐性がすぐに獲得されるため望みの効果を得るのに必要な量は増加していく。；彼は必要以上に金を持っており、望みのままに女たちを手に入れた。；老人は王子に「彼の望みは何でも叶うようになる」と言って祝福をした。；人類の祖は平和を望み、機械化されていなかった最下級の魔族達である。；すべてを失い生きる望みも無くした彼は、不思議な老人に声をかけられる。；私は将来の国際会議や協議会でエスペラントが採用されることを望みます。；その後クォーターメインは彼の望み通りアフリカの大地に埋葬された。；その時彼女は「私をお望みなら、名前も採用してください」と答えている。；私の行動とふるまいを総統に承認していただく事が私の最高の望みなのだ。；最終戦までプレーオフ進出の望みを残したものの、進出はならなかった。；残されたホフマンは、すべてを失った惨めさにそのまま死を望み倒れる。；もはや果たすべき目的も叶わず、唯一の望みは安全に脱出することしかない。；始まりの剣は所有されることを望み、世界に生命と魂をばらまいた。；あなたこそがわたしの魂の望みで、 あなたを礼拝することを切望します。；しかしこれを開始してもノベルの望みほどには成功しなかった。；だが、誰もが皆同じ望みを抱いている訳ではなかった・・・。；ワーナーは私がコロンビアでヒットレコードを持つことを望みませんでした。；復辟の望みを子供たちに託し、子供たちの多くは日本に留学している。；今自分の望みは達成されたので、あとはこの瓶割刀をお前達に託そうと思う。；医師たちは最後の瞬間まで望みを捨てませんでした。；常により強い敵との戦闘を望み、勝利を信じると同時に死の危険を顧みない。；実装規約と望みの動作が違っている場合だけ、必要な動作を設定すればよい。；腰痛が最初に起こった時の患者の望みは、痛みが完全に無くなることである。；私は1989年以前の映画に関する情報が利用できることを望みませんでした。；北に越後府中こと直江津と日本海を望み、南に高田城下を望む山である。；また、優しい性質を持ち、召喚者の望みをなんでも叶えてくれるという。；また各地金山からの産出はすっかり衰退しており増産は望み薄であった。；お互いの利害が一致した2人は書類だけの結婚をし、望みのものを手に入れた。</t>
        </is>
      </c>
      <c r="J6622">
        <f>HYPERLINK("https://www.weblio.jp/content/望み", "词义详情")</f>
        <v/>
      </c>
      <c r="K6622">
        <f>HYPERLINK("https://yourei.jp/望み", "查看例句")</f>
        <v/>
      </c>
    </row>
    <row r="6623">
      <c r="A6623" t="inlineStr">
        <is>
          <t>臨む</t>
        </is>
      </c>
      <c r="B6623" t="inlineStr">
        <is>
          <t>成功</t>
        </is>
      </c>
      <c r="C6623" t="inlineStr">
        <is>
          <t>読み方：のぞむ
［動マ五（四）］《「望む」と同語源》
１風景・場所などを目の前にする。向かい対する。面する。「海に—・んだ部屋」
２ある事態が起こるようなところに身を置く。そういう時に当たる。出あう。直面する。「危機に—・む」「死に—・む」「終わりに—・んで礼を述べる」
３その場所へ出かけていく。特に、公の、または晴れの場所などに、出席または参加する。「開会式に—・む」「試合に—・む」
４支配者が被支配者に対する。また、予想できる事態に対応した態度で人に対する。「強権の発動をもって—・む」「厳正な態度で—・む」
[可能]のぞめる</t>
        </is>
      </c>
      <c r="D6623" t="inlineStr">
        <is>
          <t>臨むべき；臨むべく；臨むにあたり；臨むべし；臨む断崖</t>
        </is>
      </c>
      <c r="F6623" t="inlineStr">
        <is>
          <t>来り臨む</t>
        </is>
      </c>
      <c r="H6623" t="n">
        <v>29</v>
      </c>
      <c r="I6623" t="inlineStr">
        <is>
          <t>小樽を後にすると道は海を右手に臨み、余市の街に入って二手に分れる。；ただし、一部の作品では制服で式典に臨む演出になっているものもある。；そのため、彼らが途中から偏向した態度で裁判に臨むことが考えられる。；下り坂を利用する場合は前述の特性を充分に理解して臨むべきである。；彼等はまず国内ツアーに臨み、3月下旬からはヨーロッパ公演を始めた。；しかしながら国に幽暗の臨みしときに精神の光が必要になるのであります。；明石海峡大橋を臨む兵庫県神戸市垂水区の海岸線沿いに建築されている。；人の魚を釣るのを見ているような態度で、交際社会に臨みたくはない。；隠居の所へ戻り、もう一度話をしてもらって再び臨むがまた失敗してしまう。；後がないトニーは思い切ったチーム構成で試合に臨むことを決心する。；原作モノは原作を読んでから本番に臨むタイプであることでも知られている。；この中には正式に叙勲されていない騎士や傭兵団を離れ戦場に臨む兵士がいた。；そして主お一人がわたくしの心の上に臨みくださいますよう。；エーレスンド海峡に臨む港は漁港から次第に商業の要衝へ発展を始めた。；水嶺湖に臨むコンサートやイベントなど多目的に利用できる野外ステージ。；西側のカスピ海に臨み、と呼ばれる湿地の多い地形を北東側に伴っている。；実績をあげても決しておごらず、常に自然体で臨む姿勢が高く評価された。；すべて理解し準備した上で試合に臨むことが重要だとね。；ゲームに登場する36人の中から好きな選手を選抜して試合に臨む。；一般に、スポーツの審判員は同じ服装で試合に臨むのが原則である。；また交渉の広報的な影響を重視して外交交渉に臨むこともありうる。；浜に臨み岬の端に立ってまで、ひねくれた松の樹を歌に詠む義理はない。；当日夜は病院で父に付き添い、10月3日の決勝へ臨むこととなった。；彼はまた、ヘルール族の若い兵が盾も持たずに戦いに臨むことを記している。；だが、如何せん、彼等は国家の権力を擁して、我に臨みつつあることを。；なおクルーズ夫妻はこの作品に臨むため、ロンドンへ移住していた。；あるピアノコンテストの決勝に臨む若者らの愛と青春を描いている。；聖書を胸の上に置いた仰臥位で精神統一した後、試合に臨む姿も描かれている。；アクイレイア総大司教はその後長くこの地に領主として臨むことになる。</t>
        </is>
      </c>
      <c r="J6623">
        <f>HYPERLINK("https://www.weblio.jp/content/臨む", "词义详情")</f>
        <v/>
      </c>
      <c r="K6623">
        <f>HYPERLINK("https://yourei.jp/臨む", "查看例句")</f>
        <v/>
      </c>
    </row>
    <row r="6624">
      <c r="A6624" t="inlineStr">
        <is>
          <t>望む</t>
        </is>
      </c>
      <c r="B6624" t="inlineStr">
        <is>
          <t>成功</t>
        </is>
      </c>
      <c r="C6624" t="inlineStr">
        <is>
          <t>読み方：のぞむ
［動マ五（四）］《「臨む」と同語源》
１はるかに隔てて見る。遠くを眺めやる。「富士を—・む展望台」
２
㋐物事がこうであればいい、自分としてはこうしたい、こうなりたい、また、なんとか得られないものかなどと、心に思う。「栄達を—・む」「名声など—・まない」「誰でも幸福を—・んでいる」
㋑特定の相手に対して、こうあってほしい、こうしてもらいたいと思う。注文する。「自重を—・む」「一層の努力が—・まれる」
３自分の所に来てくれるように働きかける。欲しがる。「後妻にと—・まれる」
４したう。仰ぐ。「徳を—・む」
[可能]のぞめる</t>
        </is>
      </c>
      <c r="D6624" t="inlineStr">
        <is>
          <t>望むなら(3%)；望むべく；望むべき；望むまい；望むべから</t>
        </is>
      </c>
      <c r="F6624" t="inlineStr">
        <is>
          <t>強く望む；望む丘陵上；望む者達</t>
        </is>
      </c>
      <c r="H6624" t="n">
        <v>29</v>
      </c>
      <c r="I6624" t="inlineStr">
        <is>
          <t>彼は壁に自分の作品だけを展示し他人の絵を並べてほしくないと望んだ。；魔法少女が特別な力を捨てて普通の女の子に戻ることを望む場合がある。；散骨した場所はポターが秘密とすることを望んだため不明となっている。；皮肉な事に、これが長年彼が心の中で望んでいた朝鮮解放の瞬間であった。；これは恐らく反アッシリアの同盟を結成したいと望んでのものであった。；こんな勝ち方は僕の望んでいるものではないけれど、これもレースなんだ。；そう聞くと驚く人も多いでしょうけれど、それが彼女の望んだことなのよ。；ここで統一されたあるいは統一される生活上の経験を学ぶことが望まれた。；それを聞いた母親は「人が死ぬのを望むのは悪いことだ」とたしなめる。；としては合併を反対しないとの姿勢で、よりよいオファーを望んでいた。；ファンの人たちが僕の決断を理解し、尊重してくれることを望んでいる。；ブリタニカの編集を望む者は、事前に本名と住所を登録する必要がある。；左に進むと本路線であり、線路の向こう側に西新宿超高層ビル群を望む。；新しい線路によって、列車がより時間通りに運行されることが望まれた。；それを望むのであれば、不通になる以前に達成できていたはずである。；アイヴは死んだが、子供たちが母なしの状態になることを望まなかった。；明史の資料的価値は康熙帝が望んだとおり現在でも高い評価を得ている。；また一方で、スペインとの戦争により領土を獲得することも望んではいた。；治療者と患者が協働して、系統的な暴露を展開していくことが望まれる。；国民の多くは安定を望んで強権的なシーシーを支持しているとされる。；第1白ロシア戦線司令官の地位を私が望んだのだと彼は考えたらしい。；しかし、その即位は天皇個人が望んだ皇位継承ではなかったとされている。；また、弟である漢王朱高煦も自らが父の後継者になることを望んでいた。；これに失敗すると、キャラクターはプレイヤーの望んだ行動ができなくなる。；絵画が保存されることを望まれるものである限り、これは変わらない。；こうして対清輸出拡大を望むイギリスの試みは失敗に終わった。；あなたが書かれる記事を助けこそすれ、妨げることは望んでいません。；木星の調査はこれまで多く望まれていたが、一度も承認されていなかった。；多数決に移行する前に投票で決めることを宣言することが望まれます。</t>
        </is>
      </c>
      <c r="J6624">
        <f>HYPERLINK("https://www.weblio.jp/content/望む", "词义详情")</f>
        <v/>
      </c>
      <c r="K6624">
        <f>HYPERLINK("https://yourei.jp/望む", "查看例句")</f>
        <v/>
      </c>
    </row>
    <row r="6625">
      <c r="A6625" t="inlineStr">
        <is>
          <t>後</t>
        </is>
      </c>
      <c r="B6625" t="inlineStr">
        <is>
          <t>成功</t>
        </is>
      </c>
      <c r="C6625" t="inlineStr">
        <is>
          <t>読み方：しり
［名］
１人や動物の胴体の後部で、肛門の付近の肉づきの豊かなところ。けつ。おいど。臀部(でんぶ)。
２動く人や物の後ろ。あと。後方。「行進の—について歩く」
３物事の一番あと。終わりの部分。しまい。最後。「ことばの—」「—から二番目の成績」
４物の、最も後ろの部分。最後部。「—の切れたわらぞうり」
５本・末のある長い物の、末の部分。末端。「縄の—を持つ」
６容器の外側の底の部分。また、果物の底部。「鍋の—」
７着物の裾。
８物事や行為の結果。結果として生じた事態。また、事件の余波。とばっちり。
「その責任を持ち込んで来る—はなかった」〈徳永・太陽のない街〉
[補説]他の語の下に付いて複合語をつくるときは一般に「じり」となる。
［接尾］助数詞。矢羽に用いる鳥の羽を数えるのに用いる。尾羽を用いるところからの語。大鷲(おおわし)は14枚、小鷲は12枚、鷹(たか)は10枚で一尻という。
「鷲の羽百—、よき馬三疋」〈義経記・二〉
[下接語] （じり）脂尻・糸尻・押っ立て尻・織り尻・仮名尻・川尻・為替尻・勘定尻・木尻・口尻・鞍(くら)尻・交換尻・湖尻・言葉尻・賽(さい)尻・財布尻・鞘(さや)尻・地(じ)尻・瀬尻・台尻・檀(だん)尻・帳尻・月尻・出尻・どん尻・長尻・鍋(なべ)尻・沼尻・半尻・貿易尻・幕尻・眉(まゆ)尻・目尻・矢尻</t>
        </is>
      </c>
      <c r="D6625" t="inlineStr">
        <is>
          <t>後円部；後しばらく；後まもなく；後縁；後甲板</t>
        </is>
      </c>
      <c r="E6625" t="inlineStr">
        <is>
          <t>その後；先；以降；のち；以後</t>
        </is>
      </c>
      <c r="F6625" t="inlineStr">
        <is>
          <t>終了後；日後；帰国後；ヶ月後；数年後</t>
        </is>
      </c>
      <c r="G6625" t="inlineStr">
        <is>
          <t>後半；後期；後方；後に；後者</t>
        </is>
      </c>
      <c r="H6625" t="n">
        <v>29</v>
      </c>
      <c r="I6625" t="inlineStr">
        <is>
          <t>前衛的音楽のためアルバムはあまり売れなかったが、後に再評価された。；ここでは、1983年に旧ポピーとの合併後に提供した番組を記載する。；なお、後に商品化したモデルではかな漢字変換は実装されていなかった。；当初は漫画の主人公の名前だったが、後にペンネームもそれへと改める。；総攻撃を突破した後にボスが出現するという構成を取るステージが多い。；しかし、後には独自の拡張・工夫が、特に効率の面で多くなされている。；その後、S波が到達した後は主要動と呼ばれる比較的大きい揺れとなる。；条例は後に廃止されたもののブームは次第に沈静化していくことになる。；春川芽生もニコモになって所属した事務所内で後に声優部へ移動している。；このような作風に高橋留美子は大いに影響を受けたと後に述べている。；水を主成分とする海は地球誕生後まもなく形成され、現在まで継続している。；なお再建後の名称は従来どおり「ワールドトレードセンター」とされた。；これが後500年間にわたってヨーロッパの大学で教えられたという。；後の時代、繰り返し生成・消滅している宇宙という考え方が成立したという。；終局後に反則が判明した場合も、原則として反則をした側の負けとなる。；後に漫画の投稿活動を再開したときから、このペンネームを使用している。；当初は本名での作品発表であったが、後に現在のペンネームに改名。；大会後には同一都市では初となるパラリンピックも開催された。；投稿を続けるうちにプロを意識するようになり、高校卒業後に上京。；当初は後にガロア理論と呼ばれるようになった分野と構成可能性問題が中心だった。；博士号を取得した後、半年の間のソシュールの行動はわかっていない。；よく使われる「五箇条の御誓文」などの呼称は、後の時代の通称である。；このことが後のプレスリーの音楽性に大きな影響を与えたとされる。；後のモデルでは2つの接眼部がより接近するよう改良されている。；後に開発者もこの件については「やりすぎだった」とコメントしている。；妖怪に勝利し、地底界に妖怪大魔王を追放した後は地上を去っていた。；これは後のヤマト王権で女性が即位する時と同じ状況である。；攻撃側で主とならない側のプレイヤーは、最初のリードの後手札を晒す。；SHIELDとJUMPの効果は重複せず、後に使った方が優先される。</t>
        </is>
      </c>
      <c r="J6625">
        <f>HYPERLINK("https://www.weblio.jp/content/後", "词义详情")</f>
        <v/>
      </c>
      <c r="K6625">
        <f>HYPERLINK("https://yourei.jp/後", "查看例句")</f>
        <v/>
      </c>
    </row>
    <row r="6626">
      <c r="A6626" t="inlineStr">
        <is>
          <t>乗っ取る</t>
        </is>
      </c>
      <c r="B6626" t="inlineStr">
        <is>
          <t>成功</t>
        </is>
      </c>
      <c r="C6626" t="inlineStr">
        <is>
          <t>読み方：のっとる
［動ラ五（四）］《「のりとる」の音変化》
１奪い取って自分の支配下におさめる。攻め入って自分のものとする。「敵の本拠を—・る」「会社を—・られる」
２航空機・船などに乗り込んだ者が、乗員を脅して、その乗り物を自分の支配下に置く。「旅客機が—・られる」</t>
        </is>
      </c>
      <c r="D6626" t="inlineStr">
        <is>
          <t>占領；攻略；征服；占拠；捕らえる</t>
        </is>
      </c>
      <c r="H6626" t="n">
        <v>29</v>
      </c>
      <c r="I6626" t="inlineStr">
        <is>
          <t>放っておけばいずれ葉は完全に意識を乗っ取られてしまうはずだった。；南部の報道は黒人が政府を乗っ取ろうとしていると主張し彼らを責めた。；他の話では意識を乗っ取られたおりにも強い超能力を指摘されている。；奴らが首都を乗っ取ろうが撤退しようがこちらには関係のないことだ。；電波で中継している箇所を狙って乗っ取る場合は前述の手段が用いられる。；お前、そういう話だからわざわざ学校を乗っ取ったんじゃなかったのかよ。；このまま侵攻を許せばメインフレームを乗っ取られるのは時間の問題だ。；何と先ほどの腹ペコグマが護送車を乗っ取って運転していたのであった。；事実は地球軍が武器生産のためと称して工場を乗っ取ったからだ。；彼らはエイのような不気味なエイリアンに神経を乗っ取られていたのだ。；しかし、そこに停泊したままでは門徒どもに乗っ取られる恐れがあった。；図面だけで船を乗っ取るつもりでいるとしたら、思い上りもいいとこだ。；いや、彼女が俺を乗っ取ろうとしたら、あれぐらいじゃすまないだろう。；また、乗っ取り先の群れのコドモたちには自分の遺伝子が入っていない。；変わってしまった故に乗っ取ることができたのだ、とも言えるかもしれない。；彼女が経営するニューヨークの日本レストランを乗っ取ろうとする。；以前のように単なる遊びとして「希望の世界」を乗っ取ったんじゃない。；しかし彼らは、デーモンの制御に失敗し、身体を乗っ取られてしまった。；これは彼の本来の目的であるクリスタルと世界の乗っ取りのために使用された。；そう、私はどうやら、誰かに身体をすっかり乗っ取られてしまったらしい。；僕が乗っ取って以来、「希望の世界」は明らかに違うモノになっている。；そして、彼女からドゥルーセンが船を乗っ取った経緯を知らされたのだ。；どうやってこの船を乗っ取ろうなんて考えてるんじゃないのか?；その後、夏油は盤星教を乗っ取り、術師の仲間と共にその活動を始める。；そうして長い時間をかけて、他の神の祭りをそっくり乗っ取ってしまったのだ。；大富豪の財産を乗っ取ろうと双子の姉妹に接近する青年を描いている。；この魔法使いはゴーバッシュの身体を本人の許しも得ずに乗っ取ったんだ。；後者の場合、自分は誰かに乗っ取られている、操られていると感じる訳だ。；僅かな時間で本人が気づいていないとはいえ、他人が勝手に意識を乗っ取るんだ。</t>
        </is>
      </c>
      <c r="J6626">
        <f>HYPERLINK("https://www.weblio.jp/content/乗っ取る", "词义详情")</f>
        <v/>
      </c>
      <c r="K6626">
        <f>HYPERLINK("https://yourei.jp/乗っ取る", "查看例句")</f>
        <v/>
      </c>
    </row>
    <row r="6627">
      <c r="A6627" t="inlineStr">
        <is>
          <t>喉</t>
        </is>
      </c>
      <c r="B6627" t="inlineStr">
        <is>
          <t>成功</t>
        </is>
      </c>
      <c r="C6627" t="inlineStr">
        <is>
          <t>読み方：こう
［常用漢字］　［音］コウ（漢）　［訓］のど
のど。のどぶえ。「喉舌・喉頭／咽喉(いんこう)」</t>
        </is>
      </c>
      <c r="D6627" t="inlineStr">
        <is>
          <t>喉首；喉甲板；喉を押さえ；喉部；喉甲板の間</t>
        </is>
      </c>
      <c r="E6627" t="inlineStr">
        <is>
          <t>渓谷；咽喉；峡谷；咽；咽頭</t>
        </is>
      </c>
      <c r="F6627" t="inlineStr">
        <is>
          <t>喉をからし；喉をぜいぜい；喉を掻き切ら；喉をゴロゴロ鳴らし；喉をかき切ら</t>
        </is>
      </c>
      <c r="G6627" t="inlineStr">
        <is>
          <t>喉頭；喉笛；喉仏；喉もと；喉音</t>
        </is>
      </c>
      <c r="H6627" t="n">
        <v>29</v>
      </c>
      <c r="I6627" t="inlineStr">
        <is>
          <t>喉の調子が悪い状態が続いていたが、様子をみながらツアーを続けていた。；少なくとも1997年まで喉が普通ではない感じだったと彼は述べている。；喉の部分には、小さな骨片で構成された装甲板が存在したようである。；ところが喉の病気が原因で、思い切り歌うことが出来ない身体であった。；肘で喉を攻める様が鉈を振るうさまによく似ていることから命名された。；喉から目の前後に白い帯模様、後頭部から目に向かっても白い帯模様がある。；はそれぞれ と翻字されるいわゆる喉音だが、軟口蓋音 かもしれない。；雄はその名の通り喉が赤い羽毛で覆われるが、この特徴は雌には無い。；メスは頭部と胸部の黒い部分に褐色を帯びて、オスは夏羽の喉部が黒い。；ほぼ喉頭を切断するぐらいの力で自分自身の喉を切り、娘のそばに倒れた。；雌雄ともに腹面は白いが、オスでは喉の部分が少々黄色みがかっている。；喉は回復したが、ドクターストップがかかっていることも同時に公表された。；そのため字形も喉の形から取られ、牙音制字のもととはなっていないとある。；被害者たちは喉を切られた後に、腹部も切られていたことが特徴であった。；実際緑川の喉は通常の男性より明らかに凹凸のない平らなものである。；喉甲板はやや前方へ突出し、先端は背甲の前端よりもやや前部に達する。；あまりに喉が渇くため、トイレの便器の水を飲もうかと迷う程であった。；左右の股甲板の継ぎ目の長さは左右の喉甲板の継ぎ目の長さより短い。；また喉甲板と喉間甲板のシームは喉甲板と肩甲板のシームより長い。；その後 目の表面を通り、涙道を抜け、鼻をくだって最後に喉で吸収される。；これはアダムが知恵の樹の実を喉に詰まらせたとする伝説に由来する。；危険を感じると口を開け喉の皮膚を広げて威嚇する種もいる。；強盗2人の死体は電気を帯びており、喉を内部の圧力で潰されていた。；左右の喉甲板の間にある甲板は大型で、肩甲板に接しないが胸甲板に接する。；菊子の能面に隠れた小さな顔の顎から喉へと涙が伝って流れていた。；各地区を代表する音頭取りの喉の競い合いを聞けるのも注目するところだ。；冬羽では頭と背が灰色で、喉から腹と翼の中ほどが白い。；直接の死因は喉を切り開かれたことで、傷は耳から耳まで及んでいる。；暑さを凌ぐためには、喉に空気を頻繁に入れることで体温調整をする。</t>
        </is>
      </c>
      <c r="J6627">
        <f>HYPERLINK("https://www.weblio.jp/content/喉", "词义详情")</f>
        <v/>
      </c>
      <c r="K6627">
        <f>HYPERLINK("https://yourei.jp/喉", "查看例句")</f>
        <v/>
      </c>
    </row>
    <row r="6628">
      <c r="A6628" t="inlineStr">
        <is>
          <t>長閑</t>
        </is>
      </c>
      <c r="B6628" t="inlineStr">
        <is>
          <t>成功</t>
        </is>
      </c>
      <c r="C6628" t="inlineStr">
        <is>
          <t>読み方：のどか
［形動］［文］［ナリ］
１静かでのんびりとして落ち着いているさま。「—な正月気分」「—な口調」
２空が晴れて、天候が穏やかなさま。うららかなさま。「—な小春日和」《季春》「几巾(いか)白し—過ぎての夕ぐもり／太祇」
３ゆったりとくつろぐさま。急がないで気長に構えるさま。
「その日—に暮らして、またの日帰る」〈かげろふ・中〉
４気にかけないさま。のんき。
「人数なる世もやと待つ方は、いと—に思ひなされて」〈源・帚木〉
[派生]のどかさ［名］</t>
        </is>
      </c>
      <c r="D6628" t="inlineStr">
        <is>
          <t>長閑斎(43%)；長閑そう(17%)</t>
        </is>
      </c>
      <c r="E6628" t="inlineStr">
        <is>
          <t>静か；そっと；そろそろ；穏やか；無事に</t>
        </is>
      </c>
      <c r="H6628" t="n">
        <v>29</v>
      </c>
      <c r="I6628" t="inlineStr">
        <is>
          <t>少くともこの男の態度や顔には、そうとしか思われない長閑さがあった。；そうして健康の時にはとても望めない長閑かな春がその間から湧いて出る。；長閑な空には一羽の鳶が諧調的な叫びを挙げながら大輪を描いてゐた。；そして別の日に、私は同じ公園の古さと広さと長閑さと人情とがわかった。；ただ問題は、現場より手前の海面に、赤い旗が長閑に浮かんでいることだ。；春が来るのは遅かったが、春になると鳥の声が長閑かであった。；長閑で豊かな風景を見て、天皇陛下はきっと満足するにちがいない。；ある年の春の長閑な日のこと、花の下にあめ売りが屋台を下ろしていました。；駅東側の大室地区は斜面林が中心の長閑な地域であり、住宅が点在する。；その長閑なひびきに遥子の緊張がすこし解け、ほっとした気分になった。；そんな長閑な日には、庭の梅の樹に鶯が来て啼くような気持もした。；ベルリンの殺伐とした雰囲気とは異なり、湖畔の街の長閑な空気を感じる。；評定所が阿片事件に追われる一方で、御内原は長閑な光景が広がっていた。；白柳が枝をたれて、陽春の長閑かな水が、橋の下をいういうと流れてゐる。；長閑でユートピアのような過去を掴み直そうとした反動家だと見る者もいる。；天氣の好い日には崖上から眠りを誘ふやうな物賣りの聲が長閑に聞えて來た。；その時、なんとも問の抜けたタイミングで、高階教授の長閑な声がした。；いはば荒涼とした眺めであつたが、それにも拘らず田舎はいつも長閑なものだ。；ここにも緊張の後に来る弛緩の長閑さがあるようである。；若い娘や子供などが田舎風に着飾って歩いているのも、土地に調和した長閑さであった。；妙に皆の心の中に負けおしみのようなこだわりがあって、長閑なところが少ない。；ここにだけは、戦争の風も吹き込んで来ないかのような、朝鮮らしい長閑さである。；おれはこのような長閑な暮らしははじめて知った。；でもそこから感じる長閑な感じは微塵もなく、切迫した緊張感がある。；長閑なるべき田園風景にはちょっと不似合いな、物騒極まる光景だった。；ブリッジから眺めたペルセウスは長閑なリゾート島の姿をしていた。；その妙に静かに取りすましているアパートの長閑さが、私にはいっそう恐ろしいように思えたのだ。；「人形箱なら心配せんでもよい」 と、姉小路卿は長閑そうに云った。；それが皆なそぞろ歩きでもするように、長閑かに履物の音を響かして行った。</t>
        </is>
      </c>
      <c r="J6628">
        <f>HYPERLINK("https://www.weblio.jp/content/長閑", "词义详情")</f>
        <v/>
      </c>
      <c r="K6628">
        <f>HYPERLINK("https://yourei.jp/長閑", "查看例句")</f>
        <v/>
      </c>
    </row>
    <row r="6629">
      <c r="A6629" t="inlineStr">
        <is>
          <t>罵る</t>
        </is>
      </c>
      <c r="B6629" t="inlineStr">
        <is>
          <t>成功</t>
        </is>
      </c>
      <c r="C6629" t="inlineStr">
        <is>
          <t>読み方：ののしる
［動ラ五（四）］
１ひどい言葉で悪口を言う。声高に非難する。罵倒(ばとう)する。「口汚く—・る」
２わめき立てる。大声で言い騒ぐ。
「長い廊下に人が押し合って、がやがやと—・る」〈鴎外・心中〉
３声高く鳴く。やかましく音を立てる。
「犬どもの出で来て—・るもいと恐ろしく」〈源・浮舟〉
４盛んにうわさされる。評判になる。
「六条院の春の殿とて世に—・りし玉の台(うてな)も」〈源・匂宮〉
５権勢が盛んである。はぶりがよい。
「左の大臣(おとど)の北の方にて—・り給ひける時」〈大和・一二四〉</t>
        </is>
      </c>
      <c r="D6629" t="inlineStr">
        <is>
          <t>罵るような声；罵るべき</t>
        </is>
      </c>
      <c r="E6629" t="inlineStr">
        <is>
          <t>吐く；悪口；飛ばす；罵倒；投げつける</t>
        </is>
      </c>
      <c r="F6629" t="inlineStr">
        <is>
          <t>激しく罵る；怒り罵る；喚き罵る</t>
        </is>
      </c>
      <c r="H6629" t="n">
        <v>29</v>
      </c>
      <c r="I6629" t="inlineStr">
        <is>
          <t>わしはすべての人が口を揃えて罵っても当然なことをしてしまったのだ。；それを得意そうに罵ったりするのは作者の不見識を示すものじゃないの?；怒鳴り声はぼくへむけられてまるで自分が罵られているようにも思えた。；今どき百円でさ、人をここまで罵れるなんてことできるところがあるか?；睨まれるか、それとも罵られるかと予想していたのに、無視されるとは。；ちょうど一人の警官が街角に立って、中尉の罵言を聞いていたのである。；口を開けば罵言しか出ないし、神保の正体を見るのが怖い気持もあった。；聞くまいとしても、向うの従者たちの心ない罵り声は耳にはいっていた。；おまつが正にこれと全く同じ表現で夫を罵ったのを思い出したからだ。；こんなふうに全力でもってあいつを罵ってやらなくてはいけないんだ!；手に取ったのがつまらない本だと、母は読みながら作者を小声で罵った。；ローマ旧教の信者である彼女は、僕の仕事を罵らずには居られなかつた。；地獄に堕ちるべきなのは、あなたのほうだ、と罵ってやりたいくらいだ。；夫人は元豊の死んだことを聞いて、泣きさけびながら入って来て罵った。；この意気地なし、と罵りたくなるのを必死に押えねばなりませんでした。；帰還した彼は、婚約者の死を嘆いてローマを罵しる妹の言葉を耳にする。；彼は娘の間の抜けたところを悠々と味いながら叱りもし罵りもできた。；行助は、母を女中と罵られたから刺した、としか答えなかったのである。；里香が僕を必要としてくれるのなら、罵られるくらいなんでもないさ。；対戦相手に攻撃的な言葉を浴びせたり罵ったりすると資格を剥奪される。；少しも熱なんかないじゃない、と佐知子は父親を罵っていたのだった。；話はすぐに言い争いとなり、やがて激しい罵り合いにと変わっていった。；酔ぱらひが互に声を張り上げてその相手を罵つてゐるやうなものである。；彼は怒って総ての人を色々なことで罵り町には1人も友人がいなくなった。；そいつは彼の下を通りすぎながら、ゾッとするような罵り声をあげた。；それとも権利として一度は面と向かってお袋を罵ってみたかったのか。；その顔は真っ赤で、口を極めて相手を罵っている様子が遠目にも窺えた。；愛児の事故死を受けて一茶は妻のことを激しく罵る文章を残している。；私は夫人が我慢し切れなくなって、私を罵りはしないかと思った。</t>
        </is>
      </c>
      <c r="J6629">
        <f>HYPERLINK("https://www.weblio.jp/content/罵る", "词义详情")</f>
        <v/>
      </c>
      <c r="K6629">
        <f>HYPERLINK("https://yourei.jp/罵る", "查看例句")</f>
        <v/>
      </c>
    </row>
    <row r="6630">
      <c r="A6630" t="inlineStr">
        <is>
          <t>伸ばす</t>
        </is>
      </c>
      <c r="B6630" t="inlineStr">
        <is>
          <t>成功</t>
        </is>
      </c>
      <c r="C6630" t="inlineStr">
        <is>
          <t>読み方：のばす
［動サ五（四）］
１空間的に長さを増したり、広さを大きくしたりする。
㋐ある物に続けたり、時間がたったりして長くなる。「路線を—・す」「ひげを—・す」
㋑（伸ばす）ゴム・スプリングなどを、ひっぱって長くする。「ゴムひもを—・す」
㋒（伸ばす）まがったり、ちぢんだりしているものを、まっすぐにする。「曲がった釘を—・す」
㋓（伸ばす）厚みのある物を、押し広げて薄く平たくする。「餅を—・す」
㋔（伸ばす）しわなどをなくして、平らにする。「しわを—・す」
㋕（伸ばす）他のものを加えて、濃度をうすめる。「糊(のり)を水で—・す」
２（延ばす）時間や日時をおくらせる。長びくようにする。「会期を—・す」「返事を—・す」
３（伸ばす）勢力や能力などを大きくしたり、豊かにしたりする。「輸出を—・す」「個性を—・す」
４（伸ばす）相手をなぐり倒す。のす。「一発で—・されてしまった」
５遠くへ逃がす。落ちのびさせる。
「いくばくも—・さずして、捕へたる所に」〈宇治拾遺・一〉
[可能]のばせる
[下接句]足を延ばす・猿臂(えんぴ)を伸ばす・驥足(きそく)を伸ばす・腰を伸ばす・触手を伸ばす・手を延ばす・手足を伸ばす・鼻毛を伸ばす・羽を伸ばす</t>
        </is>
      </c>
      <c r="D6630" t="inlineStr">
        <is>
          <t>伸ばすべき；伸ばすべく；伸ばす腫瘍細胞；伸ばす間もなく</t>
        </is>
      </c>
      <c r="E6630" t="inlineStr">
        <is>
          <t>展開；成長；維持；続ける；延長</t>
        </is>
      </c>
      <c r="F6630" t="inlineStr">
        <is>
          <t>大きく伸ばす；さらに伸ばす</t>
        </is>
      </c>
      <c r="H6630" t="n">
        <v>29</v>
      </c>
      <c r="I6630" t="inlineStr">
        <is>
          <t>スポーツ中以外でも、普通に歩いている時や足を伸ばした時にも起こる。；日本国内で現役のバスが外国まで足を伸ばした大変珍しい事例である。；それを見た黒服が俺たちに向かって手を伸ばそうとしたまさにその瞬間。；中には装飾に耳たぶを伸ばして大きくする目的を持たせた文化圏もある。；各クラスにはタレントと呼ばれる特性を伸ばす仕組みが用意されている。；さらに穴の口からより多くの糸を伸ばしてシート状にするものもある。；恐怖に縛られた体を動かして、 なんとか声の主に手を伸ばそうとする。；その髭を剃るか伸ばすかは個人の選択やその人が住む地域の文化による。；関節はこの状態のまま固定されているので、脚を伸ばすことはできない。；チャイムに手を伸ばそうとした瞬間、向こう側から玄関のドアが開いた。；おそらくバレリーナのように片方の足を後ろに伸ばそうとしたのだろう。；手を伸ばさずに手に入れるとは、ぬしはどんな不思議な手を使いんす?；美千子がそれに手を伸ばそうとした時、小次郎が長い腕を出して止めた。；伸ばされた隻腕は、まっすぐに、壁に掛けられた三本の剣を指していた。；食べ歩きは日本国内を越え、タイや中国にまで足を伸ばすようにもなった。；元々は、両手を左右にいっぱい伸ばしたときの幅に由来する身体尺である。；私が伸ばそうと努力しなくても、あの子は勝手にどんどん伸びていく。；経営者となった後も、踊り子たちに同様に髪を伸ばすことを勧めていた。；南口から北口へ通路を伸ばした形になっているが、メインは南口である。；伸ばされた全長にあわせて屋根のカーブが変わり、全高も増加している。；日本では、カチンコを手に持ち、手を伸ばした状態で鳴らすことが多い。；一本の脚が、震えながら伸ばされ、突っ張るように身体の向きを変えた。；続く数シーズン、マクヘイルは出場時間と個人成績を毎年伸ばしていった。；しかしボーイング777の導入以降再び路線網を伸ばしてきている。；この曲はフランスでの100万枚を含む世界中で売り上げを伸ばした。；多くの植物はこの時期から葉を伸ばし、栄養を蓄えてから繁殖を始める。；大学時代は高校在籍時から伸ばした髪が、腰まで届くほどの長髪になる。；また郊外の大型SCに出店したりして売上を伸ばしている百貨店もある。；戦列は近くの小川と繋がるに至るまで長く伸ばされていたかもしれない。</t>
        </is>
      </c>
      <c r="J6630">
        <f>HYPERLINK("https://www.weblio.jp/content/伸ばす", "词义详情")</f>
        <v/>
      </c>
      <c r="K6630">
        <f>HYPERLINK("https://yourei.jp/伸ばす", "查看例句")</f>
        <v/>
      </c>
    </row>
    <row r="6631">
      <c r="A6631" t="inlineStr">
        <is>
          <t>延ばす</t>
        </is>
      </c>
      <c r="B6631" t="inlineStr">
        <is>
          <t>成功</t>
        </is>
      </c>
      <c r="C6631" t="inlineStr">
        <is>
          <t>読み方：のばす
［動サ五（四）］
１空間的に長さを増したり、広さを大きくしたりする。
㋐ある物に続けたり、時間がたったりして長くなる。「路線を—・す」「ひげを—・す」
㋑（伸ばす）ゴム・スプリングなどを、ひっぱって長くする。「ゴムひもを—・す」
㋒（伸ばす）まがったり、ちぢんだりしているものを、まっすぐにする。「曲がった釘を—・す」
㋓（伸ばす）厚みのある物を、押し広げて薄く平たくする。「餅を—・す」
㋔（伸ばす）しわなどをなくして、平らにする。「しわを—・す」
㋕（伸ばす）他のものを加えて、濃度をうすめる。「糊(のり)を水で—・す」
２（延ばす）時間や日時をおくらせる。長びくようにする。「会期を—・す」「返事を—・す」
３（伸ばす）勢力や能力などを大きくしたり、豊かにしたりする。「輸出を—・す」「個性を—・す」
４（伸ばす）相手をなぐり倒す。のす。「一発で—・されてしまった」
５遠くへ逃がす。落ちのびさせる。
「いくばくも—・さずして、捕へたる所に」〈宇治拾遺・一〉
[可能]のばせる
[下接句]足を延ばす・猿臂(えんぴ)を伸ばす・驥足(きそく)を伸ばす・腰を伸ばす・触手を伸ばす・手を延ばす・手足を伸ばす・鼻毛を伸ばす・羽を伸ばす</t>
        </is>
      </c>
      <c r="D6631" t="inlineStr">
        <is>
          <t>延ばすべき</t>
        </is>
      </c>
      <c r="E6631" t="inlineStr">
        <is>
          <t>展開；維持；続ける；延長；広がる</t>
        </is>
      </c>
      <c r="F6631" t="inlineStr">
        <is>
          <t>長く延ばす；以上延ばす；ひき延ばす；延ばせば延ばす</t>
        </is>
      </c>
      <c r="H6631" t="n">
        <v>29</v>
      </c>
      <c r="I6631" t="inlineStr">
        <is>
          <t>私はその港を中心にして三日ほどもその付近の温泉で帰る日を延ばした。；そして十分延ばした背中をゆっくり運んで、一つの林に入ってしまった。；もしほかの用事でここへ来たのなら、それはまたの機会に延ばしたまえ。；主水は静かに床から出、お妻の方へ膝で進み、手を延ばして鼻へやった。；一日延ばし二日延ばしている間にますます帰るのが億劫になってしまう。；手術患者が手術を少しでも先きに延ばしておきたい気持に似ていた。；日比谷と九段はその二大中心で、青山方面にも手を延ばしているという。；それには、張の生命を五年延ばしてやるという意味の文書が入っていた。；俺はごく自然に、腕を延ばして楓ちゃんのちいさな体を抱き寄せていた。；数万、数十万単位で互いに包囲されまいと戦線を延ばすのはセオリーだ。；五以上の正多角形の各辺を左右に延ばした図形を芒星と呼ぶ場合がある。；なるほど、武装平和がある期間戦争を未来へ押し延ばした事例はある。；だから彼は好んでその苦痛を延ばしたのであると云う議論もあるかも知れぬ。；あと一日か二日滞在を延ばし、労務者を管理できるかどうか確かめたい。；今日こそは読んでやろうと思いながら、一日延ばしにして来た手紙である。；雑誌のほうは断ったのではなく、もっとさきに延ばしてもらったのである。；そうして、彼は漸く砂の上から額を上げると彼女の方へ手を延ばした。；できないというよりも、流れに乗ってその瞬間を先へ先へと延ばす。；松を過ぎても一日延ばしにきょうまで投げやって置いたのであった。；そのことをお知らせするのを、ぎりぎりの時まで延ばしておいたのです。；しかしそれは、彼が計画を後へ延ばす、というだけにしかなりません。；以後、国はこの路線を元に四国各地へ鉄道を延ばしていくことになる。；確かに多くの患者をなおしてやり、その命を延ばしてやったかも知れない。；十分間と決めていたのに、その時間を延ばしたのは代表のほうだった。；恐らくは陽の目のある間は私たちの行動は先に延ばされるであろう。；どこで時間を延ばそうかと思うと、こういう時には知恵の出るものだ。；前もってその結果はわかりすぎていたが、それを延ばそうとつとめていた。；もういずれにしてもこれ以上延ばす権利は、わたしにはありません。；その期間を短くすることは許されても、長く延ばすことはできない。</t>
        </is>
      </c>
      <c r="J6631">
        <f>HYPERLINK("https://www.weblio.jp/content/延ばす", "词义详情")</f>
        <v/>
      </c>
      <c r="K6631">
        <f>HYPERLINK("https://yourei.jp/延ばす", "查看例句")</f>
        <v/>
      </c>
    </row>
    <row r="6632">
      <c r="A6632" t="inlineStr">
        <is>
          <t>伸びる</t>
        </is>
      </c>
      <c r="B6632" t="inlineStr">
        <is>
          <t>成功</t>
        </is>
      </c>
      <c r="C6632" t="inlineStr">
        <is>
          <t>読み方：のびる
［動バ上一］［文］の・ぶ［バ上二］
１ものの長さ・高さ・広がりが増す。
㋐（伸びる）生長して、長くなったり、高くなったりする。「背が—・びる」「すらりと—・びた脚」「枝が—・びる」
㋑（延びる）もとからある物につなげられて長くなる。「バス路線が郊外まで—・びる」
㋒（伸びる）ある段階・範囲にまでおよぶ。達する。「司直の手が—・びる」「つい菓子に手が—・びてしまう」
㋓（伸びる）まがったり、ちぢんだりしていたものがまっすぐになったり、ひろがったりする。「腰が—・びる」「しわが—・びる」
㋔（伸びる）全体にうすく、均質にひろがる。「よく—・びる塗料」
㋕（伸びる）時間がたって、長い状態になったり、しまりなくやわらかくなったりして弾力がなくなる。「そばが—・びる」
㋖（伸びる）さんざんなぐられて動けなくなってしまう。ひどく疲れてぐったりする。グロッキーになる。「過労で—・びる」
２（伸びる）勢いや力が増す。
㋐大きく盛んになる。発展する。「輸出が—・びる」「会社は順調に—・びている」
㋑能力などがつき、向上する。「記録が—・びる」「学力が—・びる」
３（延びる）
㋐時間的に、長くひろがる。「日脚(ひあし)が—・びる」
㋑命などが長く保つ。長生きする。「平均寿命が—・びる」
㋒期日・時刻が、決められたその時よりおくれる。「事故で出発が—・びる」
４危機をのがれて、かろうじて命を長らえる。
「今まで御命の—・びさせ給ひて候ふこそ不思議に覚え候へ」〈平家・三〉
５緊張がとける。のんびりとする。くつろぐ。
「空もうららかにて人の心も—・び」〈源・絵合〉
６女に夢中になって本心を失う。
「ひったり抱き寄せしみじみ囁く…（与兵衛ハ）忝いと—・びた顔付き」〈浄・油地獄〉</t>
        </is>
      </c>
      <c r="D6632" t="inlineStr">
        <is>
          <t>伸びる長い；伸びる細い；伸びる細長い；伸びる可能性；伸びる白い</t>
        </is>
      </c>
      <c r="E6632" t="inlineStr">
        <is>
          <t>なる；発生；成功；展開；発展</t>
        </is>
      </c>
      <c r="F6632" t="inlineStr">
        <is>
          <t>向かって伸びる；よく伸びる；沿って伸びる；まっすぐ伸びる；まっすぐに伸びる</t>
        </is>
      </c>
      <c r="H6632" t="n">
        <v>29</v>
      </c>
      <c r="I6632" t="inlineStr">
        <is>
          <t>南北に伸びる道を中心に人家から墓の位置まで計画的に集落が作られた。；南北に伸びるホームの西側を下り列車が、東側を上り列車が使用する。；ホーム側の屋根はそのままホームに伸びるひさしとなる構造であった。；かつての両島の境界には、両側に細い入り江が伸びるのみとなっている。；ある時期を過ぎると上顎も伸びるようになり、下顎とほぼ同じ長さになる。；これ以上は持続時間が伸びるのみで体験内容に変化が起きることはない。；付近で南西に向きを変え、この町は長く伸びる河口の先端部であるとされる。；基本的には製品の新発売時や製品需要の伸びる時期に広告を入れる。；宮殿は天に向かって伸びる巨大な梯子のような印象を与えるよう意図されていた。；白島線の線路は西方向に伸びる本線下り側の線路とつながっている。；上顎骨の後端が眼の位置よりもずっと後ろまで伸びるため口が大きい。；その際には高輪から南の馬込へ伸びる区間も東京都が建設することになった。；このため各ホームへは、駅舎から各ホームへ伸びる階段を下って行くことになる。；菌糸はその先端部で新たな細胞壁が作られて、先へ伸びることで成長する。；乳首の皮膚神経が刺激されると、平滑筋の作用によりその長さは伸びる。；まっすぐに伸びるものもあるが、途中ではっきりした曲がりを持つ例もある。；体は四放射相称で、口腕の伸びる方向を正軸、その中間の軸を間軸という。；軸は木質化し、主軸はほぼ上に伸びるが、放射状に側面方向に枝を出す。；「蓮池町通」は停留場が置かれている交差点より東に伸びる通りの名前。；蛹になる時に角が伸びるので、その分だけ雌よりも縦に長い蛹室を作る。；かつてはさまざまな線路が放射状に伸びる貨物のターミナル駅であった。；成長のいずれかの段階で、下顎が上顎よりも長く伸びる時期がある。；長春から南に伸びる鉄道の5番目の駅が設置されたことから五站と称された。；技に関しても腕が伸びる攻撃技は機械化した状態となっている。；多くのものは真っすぐに伸びるが、一部には途中で大きく曲がる種がある。；樹皮には幹から垂直に伸びる大小の鋭い棘が多くつくことが特徴である。；力を出すときはこれが伸びる方向に変形するから、軸を回転させることができる。；爪床に接している部分が一番硬く、先端へ伸びるほど割れやすくなる。；着発線からの北部側には300メートルほどの長さを持つ引上線が伸びる。</t>
        </is>
      </c>
      <c r="J6632">
        <f>HYPERLINK("https://www.weblio.jp/content/伸びる", "词义详情")</f>
        <v/>
      </c>
      <c r="K6632">
        <f>HYPERLINK("https://yourei.jp/伸びる", "查看例句")</f>
        <v/>
      </c>
    </row>
    <row r="6633">
      <c r="A6633" t="inlineStr">
        <is>
          <t>延びる</t>
        </is>
      </c>
      <c r="B6633" t="inlineStr">
        <is>
          <t>成功</t>
        </is>
      </c>
      <c r="C6633" t="inlineStr">
        <is>
          <t>読み方：のびる
［動バ上一］［文］の・ぶ［バ上二］
１ものの長さ・高さ・広がりが増す。
㋐（伸びる）生長して、長くなったり、高くなったりする。「背が—・びる」「すらりと—・びた脚」「枝が—・びる」
㋑（延びる）もとからある物につなげられて長くなる。「バス路線が郊外まで—・びる」
㋒（伸びる）ある段階・範囲にまでおよぶ。達する。「司直の手が—・びる」「つい菓子に手が—・びてしまう」
㋓（伸びる）まがったり、ちぢんだりしていたものがまっすぐになったり、ひろがったりする。「腰が—・びる」「しわが—・びる」
㋔（伸びる）全体にうすく、均質にひろがる。「よく—・びる塗料」
㋕（伸びる）時間がたって、長い状態になったり、しまりなくやわらかくなったりして弾力がなくなる。「そばが—・びる」
㋖（伸びる）さんざんなぐられて動けなくなってしまう。ひどく疲れてぐったりする。グロッキーになる。「過労で—・びる」
２（伸びる）勢いや力が増す。
㋐大きく盛んになる。発展する。「輸出が—・びる」「会社は順調に—・びている」
㋑能力などがつき、向上する。「記録が—・びる」「学力が—・びる」
３（延びる）
㋐時間的に、長くひろがる。「日脚(ひあし)が—・びる」
㋑命などが長く保つ。長生きする。「平均寿命が—・びる」
㋒期日・時刻が、決められたその時よりおくれる。「事故で出発が—・びる」
４危機をのがれて、かろうじて命を長らえる。
「今まで御命の—・びさせ給ひて候ふこそ不思議に覚え候へ」〈平家・三〉
５緊張がとける。のんびりとする。くつろぐ。
「空もうららかにて人の心も—・び」〈源・絵合〉
６女に夢中になって本心を失う。
「ひったり抱き寄せしみじみ囁く…（与兵衛ハ）忝いと—・びた顔付き」〈浄・油地獄〉</t>
        </is>
      </c>
      <c r="D6633" t="inlineStr">
        <is>
          <t>延びる尾根上；延びる細長い；延びる枝尾根；延びる支脈；延びる旧</t>
        </is>
      </c>
      <c r="E6633" t="inlineStr">
        <is>
          <t>展開；続く；成長；普及；延長</t>
        </is>
      </c>
      <c r="F6633" t="inlineStr">
        <is>
          <t>長く延びる；沿って延びる</t>
        </is>
      </c>
      <c r="H6633" t="n">
        <v>29</v>
      </c>
      <c r="I6633" t="inlineStr">
        <is>
          <t>最高所から南東および北東に延びる尾根沿いに曲輪群が構えられている。；国見山南斜面を東西に延びる断層に関与して形成された谷と考えられる。；南北に延びる岬の端まで行って見たが、そこにも氷の崖があるばかり。；東京から放射状に延びる鉄道路線を軸に中央部・西部で盛んに建設された。；さうして、それと共に白い縞も、自由に拘束なく、延びる様な気がした。；さて、この次の三本目の触手はどこへ向かって延びるかが気になる。；それは自分の両手をひろげて見ると両側に八本になって延びることでわかりました。；誰もかれも、検挙の手がみんなに延びると思わずにいられなかった。；ペシャーワルに鉄道が延びるようになると商業の面でも発展した。；柄から延びる帯を、握った人間の腕に巻きつけて生気を吸い取ってしまう。；神戸本線の大阪方面行きホームの北側に、甲陽線ホームが垂直に延びる。；そうして、それと共に白い縞も、自由に拘束なく、延びる様な気がした。；地図の東端、アフリカ南部から東に延びる陸地の先端にと書かれている。；サルデーニャ島の中央部から北東方向に延びる形状を持つ県である。；大分駅前から延びる中央通りと国道197号の交差点の角地近くにある。；前殿の両側には南北に長く延びる東西の脇殿が配置されている。；乗員は飛行時間が延びることを想定せずに搭載燃料は不十分なままだった。；DNA鎖がゲル中を移動するには電場の方向に長く延びる必要がある。；ここから延びる道を進むとエレベーターに乗ることができる。；M1の当区間はその大部分が北西方向へ延びるA5のルートと並行している。；東西に延びる商店街のほぼ中央地点を南北に道路が通っている。；あれで博奕が好きでなければ身上が延びるのだと評判されて居る。；ある日、とある離島の墓地の壁から地下へと延びる巨大な空洞が出現した。；最西洋室2間のうち南側の部屋に玄関から延びる西土間廊下が繋がっている。；しかしその時期は少し延びる、おそらく秋になるだろうと思う。；D線は市の中心部から南部方向に延びる路線で、無人運転になる予定である。；城壁の上には、市内から延びる巨大なスロープを使って登ることが出来た。；タツノオトシゴのように上下合わせて筒のように延びる場合には吻という。；先生の口髭は立派な漆黒の八の字で、延びるだけ延ばしてありました。</t>
        </is>
      </c>
      <c r="J6633">
        <f>HYPERLINK("https://www.weblio.jp/content/延びる", "词义详情")</f>
        <v/>
      </c>
      <c r="K6633">
        <f>HYPERLINK("https://yourei.jp/延びる", "查看例句")</f>
        <v/>
      </c>
    </row>
    <row r="6634">
      <c r="A6634" t="inlineStr">
        <is>
          <t>延べ</t>
        </is>
      </c>
      <c r="B6634" t="inlineStr">
        <is>
          <t>成功</t>
        </is>
      </c>
      <c r="C6634" t="inlineStr">
        <is>
          <t>読み方：のべ
１ひらたく延ばされたもの。特に、延べ金・延べ銀をいう。「—の指環」
２同一のものがいくつ重複しても、それぞれ一つとして数え合計すること。「—にすると週に一〇〇人の動員になる」「—二〇〇平方メートルの床面積」「—千時間に及ぶフライト」
３期日・期間を延ばすこと。「日—」
４「延べ取引」の略。
５「延べ紙」の略。
「—の鼻紙ひざ近く置きて」〈浮・一代女・一〉</t>
        </is>
      </c>
      <c r="D6634" t="inlineStr">
        <is>
          <t>延べ棒(5%)；延べ約(5%)；延べ面積(2%)；延べ人数；延べ三</t>
        </is>
      </c>
      <c r="E6634" t="inlineStr">
        <is>
          <t>合計；通算；足掛け</t>
        </is>
      </c>
      <c r="F6634" t="inlineStr">
        <is>
          <t>さし延べ；年間延べ；延べ金；延べ四十</t>
        </is>
      </c>
      <c r="G6634" t="inlineStr">
        <is>
          <t>延べ数；延べ板；延べる；延べ払い；延べ人員</t>
        </is>
      </c>
      <c r="H6634" t="n">
        <v>29</v>
      </c>
      <c r="I6634" t="inlineStr">
        <is>
          <t>延べ一万人以上の女性が訪れていたが、すべてが中絶目的ではなかった。；南側の障子のガラスは手延べガラスという古いガラスが使用されている。；金への投資で最も伝統的な方法は、地金の延べ棒を購入することである。；建物は延べにして三百坪余り、発注すべき設備や機器は四十種を越えた。；そうしながら氏政は隣国徳川家康にそっと手をさし延べていたのである。；地上四階、地下二階の延べ面積は、一一二二五・六一平方メートルになる。；こうした背景もあって、本作は延べ10年半に及ぶ長期連載となった。；警察は、延べ何千人という刑事を動かして、どうにもならなかったんだぞ?；第一期は延べ一万五千人いたらしいけど、最初の頃は私たちも仲良くしてたわ。；製造は日本・中国・韓国・台湾の延べ18社の工場に委託していた。；さてその部屋の中であるが、弁才坊ただ一人、床を延べて伏せっていた。；年間で延べ九〇〇〇万人という数字を支えているゴルファーには特徴がある。；部隊には延べ6万人の男女が参加したが、うち1万人以上が戦死した。；床に延べた布団の上に身を起こして隣のベッドを見ると、すでに高里の姿がない。；延べ三日間の日程のうち私は間の一日をさぼって国会図書館に足を運んだ。；そして、戦士たちの方に腕を延べながらこう言うように見えた。；延べ都合十四人がかりでやっと家の外まわりの片つけだけが出来た。；後に何度か入れ替えがあり、延べ十数名が参加することとなった。；そこに建売り専門の会社が延べ約二十二坪の二階家を二軒建てた。；中高年層を中心に評価が高く、2007年には延べ966人が参加した。；石垣の延べ間数一千七百五十間、坪数四万四千五百三十三坪であった。；ある者は竹の鋸で少しずつ徐々とそのさし延べた背くびをひかれている。；これまで活動に参加した学生ボランティアは延べ1000人を超える。；また観客動員数上昇の結果、公開館数は同日の時点で延べ54館に拡大した。；金が欲しければ、政府に預けてある中から延べ棒の形でいくらでもあげるよ。；それが、四年間の部活動で延べ五百日以上も山を歩きまわることになった。；この川は延べ十数町に渡って東流し、その大きな横堤から横川と呼ばれていた。；さらに、そこまでの元親の延べ人数を計算すると、十数万という数に達します。；また利用者数も1日辺り延べ人数で1000人近く増えることとなった。</t>
        </is>
      </c>
      <c r="J6634">
        <f>HYPERLINK("https://www.weblio.jp/content/延べ", "词义详情")</f>
        <v/>
      </c>
      <c r="K6634">
        <f>HYPERLINK("https://yourei.jp/延べ", "查看例句")</f>
        <v/>
      </c>
    </row>
    <row r="6635">
      <c r="A6635" t="inlineStr">
        <is>
          <t>述べる</t>
        </is>
      </c>
      <c r="B6635" t="inlineStr">
        <is>
          <t>成功</t>
        </is>
      </c>
      <c r="C6635" t="inlineStr">
        <is>
          <t>読み方：のべる
［動バ下一］［文］の・ぶ［バ下二］《「伸べる」と同語源》
１考え・意見などを口に出して言う。「所信を—・べる」「礼を—・べる」
２文章で表す。「前章に—・べたごとく」</t>
        </is>
      </c>
      <c r="D6635" t="inlineStr">
        <is>
          <t>述べるべき；述べるつもりです</t>
        </is>
      </c>
      <c r="E6635" t="inlineStr">
        <is>
          <t>いう；言う；説明；くれる；表現</t>
        </is>
      </c>
      <c r="F6635" t="inlineStr">
        <is>
          <t>詳しく述べる；併せて述べる；これから述べる；後で述べる；くわしく述べる</t>
        </is>
      </c>
      <c r="H6635" t="n">
        <v>29</v>
      </c>
      <c r="I6635" t="inlineStr">
        <is>
          <t>晩年になってもスミスはこの作品が唯一の真のSFだったと述べている。；理論的に明解であり扱いも容易であるため、形式的な説明を先に述べる。；本説は下記に述べる生化学分野からのアプローチからも支持されている。；それは一つの文が別の文の真実性を述べることができる言語である。；以下、意識という言葉の持つ容易に区別できるいくつかの意味を述べる。；中国の剰余定理の最も基本的な形は次のような形式で述べることができる。；そんな二人を五郎は夜景の見える場所に連れ出し、感謝の言葉を述べる。；ただし、以下で述べるよう徳川家康は信長に臣従していたと考えられる。；そして、仮説を述べるときには必ず実験的なデータを準備するようにした。；以下に、ルールの詳細に立ち入らない範囲で各色の特徴の一部を述べる。；本記事では、かつてこの路線を運営していた渥美電鉄についても述べる。；本記事では、かつてこの路線を運営していた多摩鉄道についても述べる。；以上で述べた概念の中で重要なものの一つにパラコンパクトがある。；このような作風に高橋留美子は大いに影響を受けたと後に述べている。；教科書に載っているような半古典近似法に関連した議論は次節で述べる。；またあとに述べるミミックとモデルという非対称的な関係は存在しない。；従ってここではタブラチュアなどに記録されたものを対象に述べることになる。；これほどまでに大当たりするとは思っていなかったと述べている。；歴史家で自らも戦時中に暗号解読に従事していたは次のように述べている。；和平か敗戦か色々な可能性があり、状況を注視して対応したいと述べた。；主に結成された奇兵隊は以下の通りで、順次詳細をこの項にて述べる。；テキストで述べる箇所には番号が振ってあり、図中の番号と対応している。；しかし本人はただ面倒だったからだとのちに述べている。；ここで校長は「これ以上教えられることはない」と述べたようである。；本記事ではすぐ東に隣接していた石巻港本線料金所についても述べる。；何よりも悪いのは何もしないことであると述べている。；例えば、女性は自分のことを述べる頻度が男性よりも多いとされる。；この節ではだいたい戦後使われるようになった新しめの技術について述べる。；武満は黒澤にマーラー風の音楽を求められたことに不満を述べている。</t>
        </is>
      </c>
      <c r="J6635">
        <f>HYPERLINK("https://www.weblio.jp/content/述べる", "词义详情")</f>
        <v/>
      </c>
      <c r="K6635">
        <f>HYPERLINK("https://yourei.jp/述べる", "查看例句")</f>
        <v/>
      </c>
    </row>
    <row r="6636">
      <c r="A6636" t="inlineStr">
        <is>
          <t>上り</t>
        </is>
      </c>
      <c r="B6636" t="inlineStr">
        <is>
          <t>成功</t>
        </is>
      </c>
      <c r="C6636" t="inlineStr">
        <is>
          <t>読み方：のぼり
１下から上へ、低い所から高い所へ移動すること。また、その道や流れ。「山の—はきつい」「角を曲がると急な—になっている」⇔下り。
２鉄道の路線や道路で、各線区ごとの終点から起点への方向。また、その方向に走る列車・バス。「—の電車」「—線ホーム」⇔下り。
３地方から都へ来ること。上京。「お—さん」⇔下り。
４《北に内裏があったところから》京都内で南から北に行くこと。⇔下り。
５電気通信網における、末端から中心に向かう方向。無線・有線通信の端末から基地局、インターネットの利用者のパソコンからプロバイダー、通信機から通信衛星など、各通信網の中心方向を上りと見なす。上り方向の回線または通信経路をアップリンクという。⇔下り。
[下接語]岩登り・鰻(うなぎ)登り・御(お)登り・川上り・木登り・京上り・早(さ)上り・沢登り・滝登り・初(はつ)上り・山登り・葦登(よしのぼり)</t>
        </is>
      </c>
      <c r="D6636" t="inlineStr">
        <is>
          <t>上り列車(4%)；上りホーム(4%)；上り坂(4%)；上り下り(4%)；上りまし(3%)</t>
        </is>
      </c>
      <c r="E6636" t="inlineStr">
        <is>
          <t>入り；上げ；向上；上昇；利益</t>
        </is>
      </c>
      <c r="F6636" t="inlineStr">
        <is>
          <t>上り込ん；盛り上り；上りかけ；上りはじめ；上り方面</t>
        </is>
      </c>
      <c r="G6636" t="inlineStr">
        <is>
          <t>上り詰め；上り口；上り框；上り詰める；上り屋敷</t>
        </is>
      </c>
      <c r="H6636" t="n">
        <v>29</v>
      </c>
      <c r="I6636" t="inlineStr">
        <is>
          <t>近隣住民が線路脇の土手を階段状にして上り下りしているケースもある。；その一方で、上り同士・下り同士の普通の対面接続が終日行われている。；下りホーム側に駅舎があり、島式の上りホームへは跨線橋で連絡している。；上りホーム側に駅舎があり、ホーム西端に下りホームへの跨線橋がある。；上りホーム側に面して駅舎があり、下りホームへは跨線橋で連絡している。；この付近では停止信号でよく特に上りが減速したり停車したりする。；南北に伸びるホームの西側を下り列車が、東側を上り列車が使用する。；駅舎は下りホーム側にあり、上りホームへは構内踏切で連絡している。；下りホーム側に駅舎があり、上りホームへは構内踏切で連絡している。；また上り・下りの運転が可能のため、前作よりボリューム感が増した。；通常は下りの速度が上りの速度よりも高速に設定されている。；下りは15分等間隔で運転されているが、上りは少しずれが生じている。；現在の駅はその先の上り勾配の途中にあり、駅のすぐ西側はトンネルである。；駅舎は下りホーム側にあり、反対側の上りホームへは跨線橋で連絡している。；上りホームの中央部に接して駅舎があり、ホーム間は跨線橋で連絡している。；上り列車は全て3番線に停車し、2番線に停車する列車は存在しない。；貨物列車などの通過列車は基本的に下り1番線、上り2番線を通過する。；以前は改札内および上りホームに売店があったが、現在は廃止されている。；ホームの最も上り方の階段を下ると、コンコース・改札口に通じている。；上り・下りのホームへ降りる階段と、駅の東側・西側に降りる階段がある。；なお、南側の路線に下り列車が、北側の路線に上り列車が停車する。；駅舎反対側の上りホームへの移動は北池野駅側の構内踏切を利用する。；日中は当駅で上りと下りの電車が交換するダイヤになっている。；駅舎は上りホーム側にあり、下りホームへは地下道で連絡している。；駅舎は上りホーム側にあり、下りホームへは跨線橋で連絡している。；駅舎は下りホーム側にあり、上りホームへは跨線橋で連絡している。；下りホーム側に駅舎があり、上りホームへは跨線橋で連絡している。；かつては上り1本のみ会津田島発浅草行きの区間急行が設定されていた。；また、この列車は上り・下りとも高槻市にてスタフの交換が行われていた。</t>
        </is>
      </c>
      <c r="J6636">
        <f>HYPERLINK("https://www.weblio.jp/content/上り", "词义详情")</f>
        <v/>
      </c>
      <c r="K6636">
        <f>HYPERLINK("https://yourei.jp/上り", "查看例句")</f>
        <v/>
      </c>
    </row>
    <row r="6637">
      <c r="A6637" t="inlineStr">
        <is>
          <t>登る</t>
        </is>
      </c>
      <c r="B6637" t="inlineStr">
        <is>
          <t>成功</t>
        </is>
      </c>
      <c r="C6637" t="inlineStr">
        <is>
          <t>読み方：のぼる
［動ラ五（四）］
１下から上へ、低い所から高い所へ移る。⇔下る。
㋐他より一段と高い所へ移り進む。「山に—・る」「演壇に—・る」
㋑そこを通って高い所に行く。「坂道を—・る」
㋒川の上流へ向かって進む。さかのぼる。「川を—・る」
２地方から中央へ行く。都へ向かう。「京へ—・る」「江戸へ—・る」⇔下る。
３高い地位につく。昇進する。「大臣の位に—・る」
４貴人の御座所近くへ参上する。
「御前に人々所もなく居たるに、今—・りたるは少し遠き柱もとなどに居たるを」〈枕・二七六〉
５太陽・月などが空高く現れる。また、上方へすすんで高い所に達する。「日が—・る」「気球が—・る」
６（「頭に血がのぼる」などの形で）のぼせる。夢中になる。「頭に血が—・って見境がなくなる」
７数量が、無視できない相当の程度に達する。「死傷者が数百人に—・る」
８あるところで、取りたてて問題とされる。「世上の口に—・る」「話題に—・る」
→上(あ)がる［用法］
[補説]1㋐は「登る」、3・5は「昇る」、その他は「上る」と書くことが多い。
[可能]のぼれる
[下接句]蟻(あり)の思いも天に登る・口の端(は)に上る・痺(しび)れ京へ上れ・船頭多くして船山に上る・血が上る</t>
        </is>
      </c>
      <c r="D6637" t="inlineStr">
        <is>
          <t>登るべき；登るべし；登る細い；登る緩やかな坂道</t>
        </is>
      </c>
      <c r="E6637" t="inlineStr">
        <is>
          <t>上げる；上がる；上る；昇る；立ち上る</t>
        </is>
      </c>
      <c r="F6637" t="inlineStr">
        <is>
          <t>駆け登る；少し登る；立ち登る；歩いて登る</t>
        </is>
      </c>
      <c r="H6637" t="n">
        <v>29</v>
      </c>
      <c r="I6637" t="inlineStr">
        <is>
          <t>どのルートから登っても犬返しと呼ばれる急斜面を経由することになる。；公園内のその他のものに登ることは認められているが、規制されている。；この属の多くのものが木に登る性質を持つことからつけられたものである。；彼が岩を登ることが出来ないと言うと、女は私に背負われなさいと言う。；その階段は狭い螺旋状になっており、一度に一人しか登れない幅だった。；大手道は金輪院前にある鈎の手から西へ登る道が当時の大手道であった。；敷地はすべて、人など簡単には登れそうにない急な岩壁で囲まれている。；他にも、走ったり、登っているところを発見されてもゲージが上昇する。；大学や高校の山岳部が、より困難なルートの制覇を目指して山を登った。；そのときに人類が到達していなかった最高点まで登ったと主張されることもある。；山に登って玉を採るものがあれば、海に入って真珠を採るものもいます。；また、いずれのタイプも上の段に登る場合には必要移動力が+1される。；山麓から登っていくのは辛い人や施設の整備をする人などが利用する。；自分が登れたからといっても、観光客には一歩も近づけない場所なのだ。；最初は山道を登っているのかと思ったが、尋常じゃない曲がり方だった。；丘の背が霧のように立ち昇るが、頂きに登ればアフリカが見えるだろう。；このクラブで橋を登る探検を行った時点でおそらく最も知られていた。；無人駅で駅舎はなく、階段を登って直接ホームに入る形になっている。；これに反応したアメリカ兵は樹に登って彼らを狙撃できるようにした。；百座のうち自分がいくつ登ったか増えていくのを楽しみにしている読者もいる。；木に登ったり、発達した前肢と爪を使って素早く穴を掘ることもできる。；日がまたかがやきさえすれば、この者は山の上へ登ろうとしているのだ。；私などは六年間の小学校生活中に、一度もその城趾までは登らなかった。；小峰を越して少し登れば大槍、これから上が最も嶮悪の処と聞いていた。；仕方なく崩れ落ちたばかりの断崖絶壁を駆け下り妻良山へ登っていった。；男たちは三度、馬車から降りて、歩いて坂を登らなければならなかった。；自分のことをいうならば、私は登ってもよし、登らなくてもいいのである。；それまでの事を思い出しながら思い出のポニーの丘に登ったキャンディ。；今日は鳳來山へ登らうときめてゐた日なので、一層この音が耳についた。</t>
        </is>
      </c>
      <c r="J6637">
        <f>HYPERLINK("https://www.weblio.jp/content/登る", "词义详情")</f>
        <v/>
      </c>
      <c r="K6637">
        <f>HYPERLINK("https://yourei.jp/登る", "查看例句")</f>
        <v/>
      </c>
    </row>
    <row r="6638">
      <c r="A6638" t="inlineStr">
        <is>
          <t>上る</t>
        </is>
      </c>
      <c r="B6638" t="inlineStr">
        <is>
          <t>成功</t>
        </is>
      </c>
      <c r="C6638" t="inlineStr">
        <is>
          <t>読み方：のぼる
［動ラ五（四）］
１下から上へ、低い所から高い所へ移る。⇔下る。
㋐他より一段と高い所へ移り進む。「山に—・る」「演壇に—・る」
㋑そこを通って高い所に行く。「坂道を—・る」
㋒川の上流へ向かって進む。さかのぼる。「川を—・る」
２地方から中央へ行く。都へ向かう。「京へ—・る」「江戸へ—・る」⇔下る。
３高い地位につく。昇進する。「大臣の位に—・る」
４貴人の御座所近くへ参上する。
「御前に人々所もなく居たるに、今—・りたるは少し遠き柱もとなどに居たるを」〈枕・二七六〉
５太陽・月などが空高く現れる。また、上方へすすんで高い所に達する。「日が—・る」「気球が—・る」
６（「頭に血がのぼる」などの形で）のぼせる。夢中になる。「頭に血が—・って見境がなくなる」
７数量が、無視できない相当の程度に達する。「死傷者が数百人に—・る」
８あるところで、取りたてて問題とされる。「世上の口に—・る」「話題に—・る」
→上(あ)がる［用法］
[補説]1㋐は「登る」、3・5は「昇る」、その他は「上る」と書くことが多い。
[可能]のぼれる
[下接句]蟻(あり)の思いも天に登る・口の端(は)に上る・痺(しび)れ京へ上れ・船頭多くして船山に上る・血が上る</t>
        </is>
      </c>
      <c r="D6638" t="inlineStr">
        <is>
          <t>上るといふこと；上る途上死者；上るべし；上る足音が聞こえ；上るだら</t>
        </is>
      </c>
      <c r="E6638" t="inlineStr">
        <is>
          <t>増加；向上；上昇；上げる；起こす</t>
        </is>
      </c>
      <c r="F6638" t="inlineStr">
        <is>
          <t>出来上る；燃え上る；飛び上る；駆け上る；湧き上る</t>
        </is>
      </c>
      <c r="H6638" t="n">
        <v>29</v>
      </c>
      <c r="I6638" t="inlineStr">
        <is>
          <t>これでは先生、弟子に頭が上らなくなるのも、当然といわねばなるまい。；続くカナダとオーストラリアへの訪問では経済問題が主要議題に上った。；何処までも対等にして置かなければ後日頭が上らないと考えたのである。；その為に学校に上れなかったが、それが当時の私には何より残念だった。；凜子は三歳になる息子・遊真がすべり台に上っているのを見上げていた。；二人の男は飛び上ろうとしたようであったが、それは不可能であった。；このような有利な条件こそ、人の心に本当の火を燃え上らせるものなのだ。；町は、レスカレット峠へ向かって上っていく前の宿場の役割を果たした。；陽が高く上って視界もよくなり、新たな輸送船がやってくるのが見えた。；スト権ストは当時懸案に上っていた国鉄経営問題にも影響を与えている。；五分も経つと、また胸が込みあげて滝は起き上らずには居られなかつた。；愛したいとは思っても、あたしの心はそういうふうには燃え上らなかった。；だが、仕事は彼女に満足した成績では出来上らず、彼女は尚お暗かった。；階段を上ったところにある二基の灯籠は1890年に作られたものである。；国道135号よりやや高い崖上に位置するため、階段を上る必要がある。；あんまが終っても閑子は起き上ろうとはせず、夜についで眠りつづけた。；だから、四日も五日もお上のお耳へ上らずにもいたんでしょうからね。；この話で夕食会は盛り上ったが、その時はパーティの席での冗談であった。；しっかりした足取りで死刑台の階段を上った後、ギロチンで処刑された。；のばした手が起き上ろうとしてもがいている男の体のどこかをつかんだ。；これらの説では武蔵が京に上った後、巖流島の試合が行われたことになる。；その軍事輸送プログラムは特殊プログラムも含め、合計で11にも上った。；宮が起き上られたので、よくなられたのかと、兵部卿の宮も退出された。；ロープばかりでよじ上らねばならんような山の中に陣を築いていたんです。；戸の外で御前の俺を呼ぶ聲は 不思議な生命を俺の心に燃え上らせる。；この頃では悲哀のこともあまり口に上らなくなっていたのであった。；だが、一同の期待を裏切って、少女はなかなか起き上ろうとしなかった。；どんなに気分の上らないときでも、とにかく常に出席してごらんなさい。；日本思想が学術的な考察の対象に上ったのは明治時代以降のことである。</t>
        </is>
      </c>
      <c r="J6638">
        <f>HYPERLINK("https://www.weblio.jp/content/上る", "词义详情")</f>
        <v/>
      </c>
      <c r="K6638">
        <f>HYPERLINK("https://yourei.jp/上る", "查看例句")</f>
        <v/>
      </c>
    </row>
    <row r="6639">
      <c r="A6639" t="inlineStr">
        <is>
          <t>昇る</t>
        </is>
      </c>
      <c r="B6639" t="inlineStr">
        <is>
          <t>成功</t>
        </is>
      </c>
      <c r="C6639" t="inlineStr">
        <is>
          <t>読み方：のぼる
［動ラ五（四）］
１下から上へ、低い所から高い所へ移る。⇔下る。
㋐他より一段と高い所へ移り進む。「山に—・る」「演壇に—・る」
㋑そこを通って高い所に行く。「坂道を—・る」
㋒川の上流へ向かって進む。さかのぼる。「川を—・る」
２地方から中央へ行く。都へ向かう。「京へ—・る」「江戸へ—・る」⇔下る。
３高い地位につく。昇進する。「大臣の位に—・る」
４貴人の御座所近くへ参上する。
「御前に人々所もなく居たるに、今—・りたるは少し遠き柱もとなどに居たるを」〈枕・二七六〉
５太陽・月などが空高く現れる。また、上方へすすんで高い所に達する。「日が—・る」「気球が—・る」
６（「頭に血がのぼる」などの形で）のぼせる。夢中になる。「頭に血が—・って見境がなくなる」
７数量が、無視できない相当の程度に達する。「死傷者が数百人に—・る」
８あるところで、取りたてて問題とされる。「世上の口に—・る」「話題に—・る」
→上(あ)がる［用法］
[補説]1㋐は「登る」、3・5は「昇る」、その他は「上る」と書くことが多い。
[可能]のぼれる
[下接句]蟻(あり)の思いも天に登る・口の端(は)に上る・痺(しび)れ京へ上れ・船頭多くして船山に上る・血が上る</t>
        </is>
      </c>
      <c r="D6639" t="inlineStr">
        <is>
          <t>昇るべき；昇る白い；昇るべく；昇る煙り</t>
        </is>
      </c>
      <c r="E6639" t="inlineStr">
        <is>
          <t>向上；上昇；上げる；昇進；上がる</t>
        </is>
      </c>
      <c r="F6639" t="inlineStr">
        <is>
          <t>高く昇る；立昇る；駆け昇る；よじ昇る</t>
        </is>
      </c>
      <c r="H6639" t="n">
        <v>29</v>
      </c>
      <c r="I6639" t="inlineStr">
        <is>
          <t>屋根に昇ればそこまで迫ってきている敵の姿が見えるんじゃないかな。；日が昇るころには、道が二股に分かれているところまでやってきていた。；しかしどこまで昇っても昇り尽せはしまいと思われるのがこの空である。；月が昇る前に弁当を取りに行って帰って来るだけの時間はあると判断した。；夏などには陽がまだ昇らないうちから庭に立っていることもしばしばだった。；丘の背が霧のように立ち昇るが、頂きに登ればアフリカが見えるだろう。；この土地では冬の六箇月の間気温が零下五度以上に昇ることは殆どない。；来る日も来る日も日は昇らず、いつまで経っても明けない夜に皆大騒ぎ。；ペー族には、天地が離れ始めた頃、天に十個の太陽と一個の月が昇った。；そこから階段を昇ってゆくと、私は友達に教えられた部屋の扉を認めました。；そして彼は、その気持どおり是が非でも天に昇らなければならなかった。；死は穢れであり、火が死者を天に昇らせる唯一の方法とされるからである。；季節季節の背に乗って、あなた方の誰よりもずっと高いところに昇るんだわ。；それはもう明日も太陽が東から昇るのと同じくらいの確信だった。；できることといえば、音を立てないようにそいつより先に階段を昇ることだ。；すなわち、イチゴの収穫時期に昇る月のことを指して呼んだ名称である。；まだ朝日も昇らないそんな時間に起床したのには、もちろん理由がある。；リーリンに抱いていた人物像はどこまでも高みへと昇ろうとしていた。；後には、地下家の廷臣は三位に昇っても昇殿は許されないようになった。；振り返ると、ちょうど嵩原がその階段を昇ろうとしていたところだった。；慶一は、なんだかよくわからなかったが、あとにつづいて階段を昇った。；そして、体を激しく振動させ始めると、たちまち表面から煙が立ち昇る。；このことをよく覚えておけば、われわれは神の境地にも昇ることができる。；立ち昇るこの煙のうしろに、どのような形の物が現われるであろうか?；男の言葉を聞いて、ジ・オンの心は天にも昇るような歓喜で満たされた。；その時刻が過ぎ、陽が高く昇ったのに家の人たちは出て来なかった。；利用の際は正面入口から西友の左手のエレベーターで2階・3階へ昇る。；後に残った物は、微かに立ち昇る煙と、床の上の二摘みの灰だけだった。；この際に逮捕された者は92人、調査された者は2千人以上に昇った。</t>
        </is>
      </c>
      <c r="J6639">
        <f>HYPERLINK("https://www.weblio.jp/content/昇る", "词义详情")</f>
        <v/>
      </c>
      <c r="K6639">
        <f>HYPERLINK("https://yourei.jp/昇る", "查看例句")</f>
        <v/>
      </c>
    </row>
    <row r="6640">
      <c r="A6640" t="inlineStr">
        <is>
          <t>飲み会</t>
        </is>
      </c>
      <c r="B6640" t="inlineStr">
        <is>
          <t>成功</t>
        </is>
      </c>
      <c r="C6640" t="inlineStr">
        <is>
          <t>読み方：のみかい
仲間が集まって酒を飲む会。</t>
        </is>
      </c>
      <c r="D6640" t="inlineStr">
        <is>
          <t>座敷；宴；宴会；パーティ；酒宴</t>
        </is>
      </c>
      <c r="H6640" t="n">
        <v>29</v>
      </c>
      <c r="I6640" t="inlineStr">
        <is>
          <t>と聞かれて、私はこの前の飲み会で先に言われてしまった答えを話した。；可愛がってくれた先輩が早紀と同期で、何度か食事や飲み会をしたのだ。；お互いの家族とよく交流し、飲み会をしたり、祝い事などを一緒にした。；番組の最後には飲み会会場となった店と、実際に集まった人数が紹介される。；僕もちょうどその頃飲み会に顔を出してたけど、そんなのはどうでもいいか。；姫ノ木もそんな一つのグループに入り、友人の家の飲み会に参加していた。；飲み会でのことがあったため、松永のことを避けようとする意識があった。；たしかに残業や飲み会から帰った日は、一時、二時に浴びることがある。；その前もなんかの飲み会で会ったけど、そのときはあんまし話しなかった。；ビールのケースは、神社の集会所で行う飲み会か何かのためだろう。；このページには塩沢との最後の飲み会の写真も掲載されていた。；家族との食事だけでなく、友人や会社での飲み会・食事でも行ってしまう男女もいる。；飲み会とかで盛り上げてくれる面白い女子を半泣きアクメに追い込んだ!；彼のいない飲み会が偶然いくつか続いて予定されていた。；会社の飲み会の帰りに、電車がなくなって困っている彼を部屋に泊めた日からだ。；で、何かの飲み会の帰りに、酔っ払った勢いで公園に来ちゃったんだってさ。；職場にやってきた新しい仲間二人を歓迎する飲み会があったからだ。；大学の飲み会で口数の少ない年下男子・和泉と出会った主人公・あかり。；ただそれが、飲み会の終了時まで保つかどうかは、自分でもわからなかった。；などと考えていた数日後、研究会の飲み会で、先生にお会いすることができた。；だから、行きたくもない飲み会に五千円も六千円も使って行くんでしょう?；十日ほど前、商店街の中でも、年頃の近い連中が集まって飲み会を開いた。；祭りをダシにした、ただのご近所が集まっての飲み会に過ぎない。；あんなに嫌いな岡千波の主催飲み会でも自分が誘えば彼女は来るのだ。；明日のJC予想飲み会が中止になってしまったので、さみしいからだって。；飲み会で酒が入り、気分がよくなって、周りにいた関係者につい言ってしまったという。；三沢が酔い潰れて飲み会をキャンセルしたのはこの時のみだけだったという。；万里と柳澤が彼も誘い、これから一緒に一年生飲み会に出る予定だった。；サークルの飲み会もまたあったみたいだし、二人きりの時間はたっぷりあった。</t>
        </is>
      </c>
      <c r="J6640">
        <f>HYPERLINK("https://www.weblio.jp/content/飲み会", "词义详情")</f>
        <v/>
      </c>
      <c r="K6640">
        <f>HYPERLINK("https://yourei.jp/飲み会", "查看例句")</f>
        <v/>
      </c>
    </row>
    <row r="6641">
      <c r="A6641" t="inlineStr">
        <is>
          <t>飲み込む</t>
        </is>
      </c>
      <c r="B6641" t="inlineStr">
        <is>
          <t>成功</t>
        </is>
      </c>
      <c r="C6641" t="inlineStr">
        <is>
          <t>読み方：のみこむ
［動マ五（四）］
１飲んでのどを通す。また、かまずにまる飲みにする。「生つばを—・む」「錠剤を—・む」
２出そうになった言葉・あくびなどを出さずにおさえる。「口に出そうとした返事をあわてて—・む」
３自然現象や大きな建造物などが、すっかり取り囲んでしまう。中に引き込んで、外に出さないようにする。「大観衆を—・んだスタジアム」「山津波が一瞬のうちに家々を—・む」
４理解する。納得する。「すっかりこつを—・む」「状況を万事—・んでいる」</t>
        </is>
      </c>
      <c r="D6641" t="inlineStr">
        <is>
          <t>飲み込む音(4%)</t>
        </is>
      </c>
      <c r="E6641" t="inlineStr">
        <is>
          <t>理解；わかる；認識；分かる；理解する</t>
        </is>
      </c>
      <c r="F6641" t="inlineStr">
        <is>
          <t>獲物を飲み込む；噛んで飲み込む</t>
        </is>
      </c>
      <c r="H6641" t="n">
        <v>29</v>
      </c>
      <c r="I6641" t="inlineStr">
        <is>
          <t>その、瞬間に残された映像は理解できないまま他の光景に飲み込まれる。；日本各地で戦があり、大大名に小さな家は飲み込まれ消えていっていた。；考え始めると、霧の中に飲み込まれて自分が見えなくなるような気がした。；こうした流れの中で、独立論は本土復帰運動の中に飲み込まれていった。；これを見つけた霊子の軍は攻撃を行ったが一同は大魚に飲み込まれた。；言葉を生み出す意識がすべて闇に飲み込まれていくような感覚だった。；その後は意思を霧から出る黒い手に飲み込まれて二人は死亡した。；グリコはそんな心の叫びを飲み込むとますます気分が悪くなってきた。；だから、その複雑な事情も、さほどの苦労なく、飲み込むことができた。；もうそう遠くないうちに、体練場もまた人の波に飲み込まれることだろう。；しかし北の国のさまざまな騒ぎを飲み込むように、雪はまた強くなり始めた。；こんな幼い少女に、僕は睨みつけられ、飲み込まれそうな恐怖を覚えた。；竜はその餌を飲み込むことはできず、水を飲み続けて死んでしまった。；最初のひと口を飲み込むうちに、彼の張りつめた神経はほぐれはじめた。；口に含んだ後も舌の上で転がすように味わい、そしてゆっくり飲み込む。；彼らが、怒りの感情に飲み込まれているのが、はっきりと色で見える。；洪水が起こり、葦の上部と怪物の頭以外は、すべてが水に飲み込まれた。；結婚をして五年もたてば、夫の性格もすっかり飲み込むことができた。；さらに水を飲むときに一緒に空気を飲み込むと、放屁の原因になった。；勝敗が明らかになったのは、双方の姿が半ば以上光に飲み込まれた時だった。；答えがどこにもないという不安を抱いたら、闇に飲み込まれてしまう。；飲み込むことも出来ずどう したら良いか分からないのだろう。；空からの撮影ならともかく、このままでは溶岩に飲み込まれてしまう。；先ほどみたいに家や人が飲み込まれるなんて、滅多にないことですから。；その時、突然襲ってきた「黒い水」にマンションは飲み込まれてしまう。；無数の黒い影はすぐに雲に飲み込まれ、薄れ、やがて完全に消え去った。；しかし、闇に飲み込まれてしまっては、かつての帝国と同じになってしまう。；唾を飲み込むような音がして、彼は再びゆっくりした口調になった。；DG内を調べていたヴィンセントは、突如謎の闇に飲み込まれてしまう。</t>
        </is>
      </c>
      <c r="J6641">
        <f>HYPERLINK("https://www.weblio.jp/content/飲み込む", "词义详情")</f>
        <v/>
      </c>
      <c r="K6641">
        <f>HYPERLINK("https://yourei.jp/飲み込む", "查看例句")</f>
        <v/>
      </c>
    </row>
    <row r="6642">
      <c r="A6642" t="inlineStr">
        <is>
          <t>飲み物</t>
        </is>
      </c>
      <c r="B6642" t="inlineStr">
        <is>
          <t>成功</t>
        </is>
      </c>
      <c r="C6642" t="inlineStr">
        <is>
          <t>読み方：のみもの
飲むための液体。水・茶・ジュース・酒など。飲料。「冷たい—」</t>
        </is>
      </c>
      <c r="D6642" t="inlineStr">
        <is>
          <t>飲み物なし；飲み物代</t>
        </is>
      </c>
      <c r="E6642" t="inlineStr">
        <is>
          <t>飲料；飲物；水物；水もの；飲み料</t>
        </is>
      </c>
      <c r="F6642" t="inlineStr">
        <is>
          <t>好きな飲み物；温かい飲み物；お飲み物；甘い飲み物；熱い飲み物</t>
        </is>
      </c>
      <c r="H6642" t="n">
        <v>29</v>
      </c>
      <c r="I6642" t="inlineStr">
        <is>
          <t>何もなかった、水が飲みたくても飲み物なんてどこにもなかったときも。；彼女は食事と飲み物を運ばせ、ふたりといっしょに大テーブルについた。；リカが作って来た弁当の中から、飲み物だけを取り出して三人は飲んだ。；おそらく犯人が何かの飲み物の中に麻酔薬を混ぜておいたものであろう。；この挑戦は卵酒のような他の濃厚な飲み物を用いて行われることもある。；相手に言われたものしか食べられないが、飲み物は自由に飲んで良い。；エジプトではお茶は国民的な飲み物で、コーヒーよりも普及している。；三人は食事と飲み物をとりながら、これからどうするかを話しあった。；呼び名が示す通り、当時の人々はこの飲み物を強力な媚薬と考えていた。；なんといっても人間は食べ物と飲み物がなければ生きられませんもの!；五人は電話を終えて元の席でなく注文した飲み物のある席に着いた。；テーブルの上には、飲み物の入ったグラスがきちんと列を作って並んでいる。；また、自分の声のために、ミルクより強い飲み物は決して取らなかった。；おれはここへ飲み物を飲みにきた、だからそのとおりにするまでだ。；額の汗をぬぐうと、飲み物をつぎにいき、メグレにグラスを持ってきた。；もちろん、音楽はありましたし、飲み物や食べ物がたくさんありました。；ハリスはテーブルに残されていた飲み物を一口飲むと火炎瓶を投げた。；地球の飲み物ではハーブティを好み特にカモミールを好んで飲んでいる。；彼は若い男に飲み物を買い、その後彼らはブライヤーのアパートに戻った。；そしてふたたびカウンターの外に出て、三人のテーブルに飲み物を置いた。；ハルシュタット時代の儀式で飲み物を出すのに使われたと思われる。；好きな飲み物はコーラであり、好きな色は黒、好きな季節は夏である。；後になって、このチョコレートは彼の特別好きな飲み物であることを知った。；夫人は出て行き、一杯の飲み物をもってもどってきて、それを彼に飲ました。；またコーヒーなど他の種類の飲み物を提供できる装置もある。；サットンさんが、何か暖かい飲み物を用意しといてくれなかったかしら?；酒醸と違い飲み物なので濃度が薄いが製法的には共通の要素が大きい。；雛壇の前にはテーブルや椅子が用意されており、料理や飲み物の注文ができる。；この飲み物は最も早い記録では中国の西周朝の時代に存在していたことがわかっている。</t>
        </is>
      </c>
      <c r="J6642">
        <f>HYPERLINK("https://www.weblio.jp/content/飲み物", "词义详情")</f>
        <v/>
      </c>
      <c r="K6642">
        <f>HYPERLINK("https://yourei.jp/飲み物", "查看例句")</f>
        <v/>
      </c>
    </row>
    <row r="6643">
      <c r="A6643" t="inlineStr">
        <is>
          <t>飲む</t>
        </is>
      </c>
      <c r="B6643" t="inlineStr">
        <is>
          <t>成功</t>
        </is>
      </c>
      <c r="C6643" t="inlineStr">
        <is>
          <t>読み方：のむ
［動マ五（四）］
１飲食物を口から体内に送りこむ。
㋐液体などをのどへ送りこむ。「水を—・む」「薬を—・む」「—・まず食わずの生活」
㋑酒をからだに入れる。「同僚と—・む」
２吸い込む。吸う。「タバコをうまそうに—・む」
３見くびる。また、圧倒する。「相手を—・んでかかる」「会場の雰囲気に—・まれる」
４受け入れる。妥協する。「条件を—・む」「清濁併せ—・む」
５外に出さないで抑える。こらえる。「息を—・む」「涙を—・む」
６隠し持つ。「懐にどすを—・む」
７呑み行為をする。
[可能]のめる
[用法]のむ・すう——「水を飲む」「薬を飲む」「卵を呑んだ蛇」などのように、「飲む」は液体や小さな固体など、口に入れたものを噛(か)まずに体内に送りこむことを言う。「要求を呑む」「相手を呑んでかかる」のような比喩(ひゆ)的な言い方もある。◇「吸う」は「汁を吸う」「空気を吸う」「タバコを吸う」のように液体や気体を口や鼻から呼吸作用とともに体内に引き入れること。◇「息を吸う」は呼吸することで、「息をのむ」となると驚いた時の形容になる。◇「吸う」は「湿気を吸う」のように物が何かを吸収して含んでいる状態も示す。◇タバコについては「のむ」「すう」どちらも使う。
[下接句] 息を呑(の)む・恨みを飲む・蛙(かえる)は口ゆえ蛇に呑まるる・風を吸い露を飲む・固唾(かたず)を呑む・渇しても盗泉の水を飲まず・気を呑む・声を呑む・言葉を呑む・酒が酒を飲む・蛇(じゃ)が蚊を呑んだよう・蛇は寸にして人を呑む・酢でさいて飲む・清濁併せ呑む・爪(つめ)の垢(あか)を煎(せん)じて飲む・どすを呑む・涙を呑む・熱鉄を飲む</t>
        </is>
      </c>
      <c r="D6643" t="inlineStr">
        <is>
          <t>飲むべき；飲むまい；飲む打つ；飲むべし；飲む量</t>
        </is>
      </c>
      <c r="E6643" t="inlineStr">
        <is>
          <t>取る；上がる；圧倒；仰ぐ；飲酒</t>
        </is>
      </c>
      <c r="F6643" t="inlineStr">
        <is>
          <t>一杯飲む；入れて飲む；よく飲む；飲めば飲む；煎じて飲む</t>
        </is>
      </c>
      <c r="G6643" t="inlineStr">
        <is>
          <t>飲むほどに酔うほどに</t>
        </is>
      </c>
      <c r="H6643" t="n">
        <v>29</v>
      </c>
      <c r="I6643" t="inlineStr">
        <is>
          <t>下戸ゆえに酒の飲み方を知らなかった事から起こったエピソードである。；池谷仙克によると、酒を飲んでも映像論を語るようなことはしなかった。；犬は水を飲む時、舌を裏に巻くようにして水をすくって飲む特徴がある。；カデは今日のフランスでも最もよく飲まれているワインのひとつである。；水を飲もうとしたのか、水瓶に手を伸ばした格好で倒れている女もいる。；就寝前に酒を飲む習慣やそのときに飲む酒自体をナイトキャップという。；下に行って何か軽く飲もうかしらんと、考えたのが過ちのもとであった。；別れたら独りで何処かで飲もうと胸算していた当てが外れたからである。；この時期の座員とは現在も交流があり、来阪時の飲み仲間となっている。；あれ以上美味い水は、どこへ行っても飲めないのではないかと思います。；昼はそばなどを軽く食べ、夜は酒の肴をあてにひたすら酒を飲んでいた。；これには独特のにおいがあり、慣れていない場合は飲みづらいとされる。；私は一つに経済、また一つに愛国心の観点からこれを好んで飲んでいる。；また東谷とは7年ほど前からの知り合いで飲みに行くほどの仲だという。；これを飲むと雨をパワーに変えるため、飲んで雨にぬれると元気になる。；また、酒も以前は毎日欠かさず大量に飲んでいたが現在は量を抑えている。；水があれば飲むものの、水を飲まなくても長期間生活することができる。；水があれば飲むものの、水を飲まなくても長期間生活することができる。；上記のとおり、酒を飲んでいる場面は多いが、酔っぱらった場面はない。；人の家にお邪魔した際に飲むように出されたお茶につかるのが定番化。；阪神百貨店で発売された優勝限定ビールを飲まずに大切に保管している。；二五五 酒飲めば、左右から人々が、酒飲むな、宗教の敵だと反対する。；現代でも食料・飲み水・農業・輸送などあらゆる面で国民生活を支えている。；彼女は二三口飲んだだけで、もうそれ以上飲もうとしなかったからである。；街頭の店には空襲以来一層閉鎖しているものが多く、一杯の茶も飲めぬ。；しかし、別に食後に飲まなければならないと決まっているわけではない。；そんなわけで今、彼女は二人と一緒に朝のコーヒーを飲もうとやってきた。；安全な飲み水を確保することは、古の時代から重要な課題であった。；父は酒が飲めないんで、ほんの少しでも飲むとすぐに寝てしまうんだった。</t>
        </is>
      </c>
      <c r="J6643">
        <f>HYPERLINK("https://www.weblio.jp/content/飲む", "词义详情")</f>
        <v/>
      </c>
      <c r="K6643">
        <f>HYPERLINK("https://yourei.jp/飲む", "查看例句")</f>
        <v/>
      </c>
    </row>
    <row r="6644">
      <c r="A6644" t="inlineStr">
        <is>
          <t>海苔</t>
        </is>
      </c>
      <c r="B6644" t="inlineStr">
        <is>
          <t>成功</t>
        </is>
      </c>
      <c r="C6644" t="inlineStr">
        <is>
          <t>読み方：のり
１ウシケノリ科アマノリ属の紅藻の総称。主に海岸のしぶきのかかる岩上に生え、冬から春に生育。アサクサノリ・スサビノリなどは養殖もされる。また、アオノリなどの緑藻や、スイゼンジノリなどのカワノリも含めていう。食用。
２アサクサノリを、紙と同じようにして漉(す)いて干した食品。《季春》「衰ひや歯に喰ひあてし—の砂／芭蕉」</t>
        </is>
      </c>
      <c r="D6644" t="inlineStr">
        <is>
          <t>海苔養殖(4%)；海苔問屋(2%)；海苔本氏；海苔粗朶；海苔屋</t>
        </is>
      </c>
      <c r="F6644" t="inlineStr">
        <is>
          <t>味つけ海苔；生海苔；大森海苔；黒い海苔；袖志海苔</t>
        </is>
      </c>
      <c r="G6644" t="inlineStr">
        <is>
          <t>海苔巻；海苔弁当；海苔の佃煮；海苔の日；海苔佃煮</t>
        </is>
      </c>
      <c r="H6644" t="n">
        <v>29</v>
      </c>
      <c r="I6644" t="inlineStr">
        <is>
          <t>江戸中期には海苔・カキの養殖が盛んになり村の重要な特産品になった。；海苔の加工シーズンには上水需要量は増加するが安定供給されている。；丁度海苔と沢庵とが残っていましたから、それを子供と二人で食べました。；これは現在も海苔養殖の基本技術の一つとして全国で行なわれている。；しかし、現在でも海苔問屋が数十社あり、海苔流通の中心となっている。；海苔のような布片を杓るようにして、暗い糸を通したりしていた。；かつては味付けされていない海苔も日本に多く輸出されていた。；お海苔が自動車から身を乗り出し、命がけで急行にカメラを向けている。；私が海苔を送ってもらうのも、他の国の人から見れば同じように不思議なことなのだろう。；ここでは、主に海苔養殖が始まってからの岩海苔の利用について述べる。；それを犠牲にして海苔の味のほうを選ぶ、という考えだってあってもいいわけだ。；味つけ海苔は、朝食の健全運営に失敗した人だけが手を出すとは限らない。；私は出来上がった蕎麦の上に海苔を散らばらせた程度のことしかしていない。；海苔を半分に切って直径3センチメートル程度に細巻きにした海苔巻き。；唯海苔の香氣の記憶だけ、しかも鼻の先へ匂つて來るやうに殘つて居ます。；海苔という生物の特徴もあって、産地の近くで創業した会社も少なくない。；全く売れていなかったその家を工場に改装して、トップは海苔の生産を始める。；特に寿司が国際的な料理になったため、海苔も国際的に知られるようになった。；掃除をせずにバイト先でもらった海苔で朝飯一合を食って、新聞を読んだ。；明治ごろには海苔や魚の養殖が盛んになり、愛知海苔の中心生産地となる。；海苔が平べったく、お皿の上などに展開していたのでは食欲はそそられない。；二階の炬燵で少し横になりますから、お一人で、海苔茶漬をあがって下さい。；ただ一つ、味つけ海苔だけが、専用の容器を与えられているのである。；下唇にシミが浮かび上がっていて、海苔が付着しているように見える。；南部の有明海に面する地域では海苔養殖を含めた漁業も行われている。；次に海苔を炙つて食べるときも、両面から炙ると香気が失せて味が悪い。；なお江戸の海苔の代表とされる浅草海苔の始まりに関しては諸説ある。；おひるにあけたのを見ると、自分の頭より大きい海苔を巻いた握り飯だった。；海苔ようかんを売っている若い男は国定忠治の講談本を声高く読んでいたりした。</t>
        </is>
      </c>
      <c r="J6644">
        <f>HYPERLINK("https://www.weblio.jp/content/海苔", "词义详情")</f>
        <v/>
      </c>
      <c r="K6644">
        <f>HYPERLINK("https://yourei.jp/海苔", "查看例句")</f>
        <v/>
      </c>
    </row>
    <row r="6645">
      <c r="A6645" t="inlineStr">
        <is>
          <t>糊</t>
        </is>
      </c>
      <c r="B6645" t="inlineStr">
        <is>
          <t>成功</t>
        </is>
      </c>
      <c r="C6645" t="inlineStr">
        <is>
          <t>読み方：こ
［人名用漢字］　［音］コ（漢）　［訓］のり
１のり。「糊着」
２かゆを食べる。生活する。「糊口」
３うわべをなする。ごまかす。ぼんやりする。「糊塗／含糊・模糊」</t>
        </is>
      </c>
      <c r="D6645" t="inlineStr">
        <is>
          <t>糊化(4%)；糊状(3%)；糊屋；糊紅；糊刷毛</t>
        </is>
      </c>
      <c r="E6645" t="inlineStr">
        <is>
          <t>接着剤</t>
        </is>
      </c>
      <c r="F6645" t="inlineStr">
        <is>
          <t>澱粉糊；米糊；糊みたい；糊つけ；糊面</t>
        </is>
      </c>
      <c r="G6645" t="inlineStr">
        <is>
          <t>糊塗；糊付け；糊づけ；糊する；糊付</t>
        </is>
      </c>
      <c r="H6645" t="n">
        <v>29</v>
      </c>
      <c r="I6645" t="inlineStr">
        <is>
          <t>また脅迫文を作る気持があれば糊もあらかじめ用意してくるに違いない。；彼の糊でごわごわしたワイシャツが首や手首のあたりで音をたてていた。；あとさきになったが、椅子も勿論白い糊の利いたカバーで覆われている。；終戦後の一時期二人はそのようなことをして口に糊したことがあるらしい。；しかし、誰もが膠と糊を駆使するようになると、新たな技が要求される。；生温い糊のやうなものは頭にも浸透して来て、そこに灰色の靄をかける。；生温い糊のやうなものは頭にも浸透して來て、そこに灰色の靄をかける。；おそらく左手の指を折られて、例の糊の秘術を封じられたからであろう。；黒鍵の上には筆を洗った水で一杯の糊の空瓶が危なっかしく乗せてある。；糊の瓶から出て来たような赤ん坊はお世辞にも可愛いとは言えなかった。；糊のきいた襟と飾りたてたシャツの胸は、性格の強さを表すものだった。；この付け鼻はまたは糊で接着され、銀と金で作られていたと言われていた。；彼等は心得たように、工作台の抽出から鋏や糊を出して机の上に並べた。；漆を糊で固定させてぺろりと一度塗りぐらいでごまかしてしまう方法だ。；ビラを貼る糊を作る用意をしろと云ひつけるが、それもすらすら運ばぬ。；売店で糊を買ったり帳場で借りたりすればアシがつくと警戒しているのだ。；それにこうやって糊があるもんだからね、うるさいッちゃないんだもの。；米国と同様、糊は売買されるが、日本人はより多い目的にこれを使用する。；白塗りであり、着物だって終始糊がきいてさっぱりしたものを着ている。；針金綴じしたものは背に糊を付け、最後に表紙を貼り付けて完成となる。；二条種と六条種は皮が実と糊状のもので固着しており、はがすのが難しい。；別のグループは和紙の袋を作り、中へ藻を入れて袋を糊で貼っていた。；彼女から指を引き抜いてみると、まるで糊がいっぱいついたみたいだったわ。；彼女の舌の先に残っているはずの、糊の香りを、ぼくは想像した。；それから何時ともなくわたしは用のない退屈な折々糊仕事をするようになった。；すると、本来糊がついていないはずの部分まで接着されていることがわかった。；通常のものより糊の切れがよいドットタイプも販売されている。；それを我慢しながら、その八本の足の先端へ糊をつけて暗い壁へ貼付けるのである。；糊精子の大きい環境下でも増殖が阻害されないので生もと系に適している。</t>
        </is>
      </c>
      <c r="J6645">
        <f>HYPERLINK("https://www.weblio.jp/content/糊", "词义详情")</f>
        <v/>
      </c>
      <c r="K6645">
        <f>HYPERLINK("https://yourei.jp/糊", "查看例句")</f>
        <v/>
      </c>
    </row>
    <row r="6646">
      <c r="A6646" t="inlineStr">
        <is>
          <t>乗り遅れる</t>
        </is>
      </c>
      <c r="B6646" t="inlineStr">
        <is>
          <t>成功</t>
        </is>
      </c>
      <c r="C6646" t="inlineStr">
        <is>
          <t>読み方：のりおくれる
［動ラ下一］［文］のりおく・る［ラ下二］
１乗り物の出発時刻に遅れて、それに乗りそこなう。「約束の列車に—・れる」
２時代の流れなどに対応できず、取り残される。「流行に—・れる」</t>
        </is>
      </c>
      <c r="D6646" t="inlineStr">
        <is>
          <t>乗りおくれる；乗遅れる</t>
        </is>
      </c>
      <c r="H6646" t="n">
        <v>29</v>
      </c>
      <c r="I6646" t="inlineStr">
        <is>
          <t>病院なんかに行っていたらたぶん間違いなく飛行機には乗り遅れるだろう。；これだけ距離の差があれば汽車に二つくらい乗り遅れるには充分だなどと思う。；でも、この時期時代に乗り遅れるわけにはいかなかったのだろう。；はっきりした良心をもって乗り遅れることができたらどんなにいいだろうと思っている位です。；ぼくを引きとめて、その列車に乗り遅れることがないように。；この七時のバスに乗り遅れると次は九時であるから、午前中の授業二課目流してしまうことになる。；自宅前のバス停は一時間に一本しかとまらないので、乗り遅れると弓子が車で送る。；用を足していたり料理を待っている間に列車の発車ベルが鳴り、乗り遅れることもあったと言われる。；きみたち二人は誰かに追いかけられ、航宙船にもう少しで乗り遅れるところだった。；半日のあいだ町の通りをさまよい歩いていたにもかかわらず、汽車にはもう少しで乗り遅れるところだった。；酒巻の説も基本的には中島と同様で、列強が分割に乗り出した際に乗り遅れることの無い様にすべきとするものであった。；それに乗り遅れると、次の便は一ヵ月後なのだ。；この波に、時事は乗り遅れることとなったのである。；調整員の1人ハリー・ミッチェルはデヴィッドがバスに乗り遅れるように調整しようとしたが失敗し、チャーリーの会社では失敗を取り戻すための再調整が行われていたのだ。；木曜日の晩に漱石山房で話にふけっていれば、終列車に乗り遅れるおそれがあった。；しかし、道草を食い過ぎて乗り遅れるようなことがあっては大変だから、ゆっくり原稿も書いていられない始末だ。；汽車が到着する一時間ほど前になると、もしや乗り遅れるのではないかという不安が頭をもたげ始めるのだ。；人並み外れた成功を夢見るつもりもなく、流行に乗り遅れることに恐れおののくだけの人生。；木曜日の晩に漱石山房で話しにふけっていれば、終列車に乗り遅れるおそれがあった。；いつもより五分早く支度をしたから、歩いても電車に乗り遅れる心配はないが、パンプスが濡れることを考えると少し躊躇してしまう。；これでは汽車の時間にカツカツだ、まずくすると乗り遅れるかも知れない、あの時時計が止まってくれなければよかった、などと思う。；特急の本数が少ないので、一列車乗り遅れると、松山到着は大幅に遅れてしまう。；「お前が好きだったから、お前の目が誰を追っているかわかった」 歩かないと新幹線に乗り遅れるからだとわかっているけれど、それでも胸がドキドキした。；そして今回は海軍の中にも“ヒトラーのバス”に乗り遅れるな、という動きが強かった。；乗り遅れると明朝まで便がないし、大事になる。；極めて低い確率に気をとめて電車に乗り遅れるということは、安西の言う「逃げた」に該るだろうと思った。；再度天候が荒れ八丈島に戻れなくなると、横浜へ戻る定期船に乗り遅れる恐れがある。；後発航期とは、上陸中の艦艇乗員が乗艦の出港に遅刻して乗り遅れることである。；友人たちと旅行する場合でも、彼らは新聞を買いに行ったり、プラットフォームをぶらついたり、この連中きっと乗り遅れると心配してやっているのに、知らない人間と立ち話をしたり、急に電話をかけたくなって駆け出して見えなくなったりで、いつもハラハラしながらひとり憤慨するのが常だった。</t>
        </is>
      </c>
      <c r="J6646">
        <f>HYPERLINK("https://www.weblio.jp/content/乗り遅れる", "词义详情")</f>
        <v/>
      </c>
      <c r="K6646">
        <f>HYPERLINK("https://yourei.jp/乗り遅れる", "查看例句")</f>
        <v/>
      </c>
    </row>
    <row r="6647">
      <c r="A6647" t="inlineStr">
        <is>
          <t>乗り換え</t>
        </is>
      </c>
      <c r="B6647" t="inlineStr">
        <is>
          <t>成功</t>
        </is>
      </c>
      <c r="C6647" t="inlineStr">
        <is>
          <t>読み方：のりかえ
１乗り物を乗り換えること。「電車の—」
２自分に有利な、または好きなものへ移り変わること。「派閥の—をはかる」
３手持ちの株式を売って他の銘柄を買うこと。「有利な株への—」
４信用取引で、決済期限の来た建玉(たてぎょく)を反対先買によっていったん決済し、それと同時に再び同じ銘柄を売買すること。
５「交差2」に同じ。
６予備の乗り物。主に馬にいう。
「畠山—にのってうちあがる」〈平家・九〉
７乗り換え用の馬を預かる侍。
「—一騎うち具し」〈平家・四〉</t>
        </is>
      </c>
      <c r="D6647" t="inlineStr">
        <is>
          <t>乗り換えなし(3%)；乗り換え客(2%)；乗り換え可能；乗り換えられる；乗り換え通路</t>
        </is>
      </c>
      <c r="E6647" t="inlineStr">
        <is>
          <t>連絡；接続；乗換；聯絡；乗換え</t>
        </is>
      </c>
      <c r="F6647" t="inlineStr">
        <is>
          <t>乗り換え無し；乗り換え用；相互乗り換え；改札外乗り換え；乗り換え口</t>
        </is>
      </c>
      <c r="G6647" t="inlineStr">
        <is>
          <t>乗り換え駅；乗り換え案内；乗り換えれ；乗り換えよ；乗り換え券</t>
        </is>
      </c>
      <c r="H6647" t="n">
        <v>29</v>
      </c>
      <c r="I6647" t="inlineStr">
        <is>
          <t>桜通線と東山線との乗り換えは連絡通路を経由することで可能である。；これに伴い、両者の乗り換えは最短経路の場合を除いて不可能となった。；浅草方面ホームのエレベーターは踊り場部分での乗り換えとなっている。；両駅は多少離れており、この駅での乗り換えには多少の時間を要する。；やはり複座の機体からの単座への乗り換えは苦労が伴ったようである。；そのため淡路島・四国方面へ向かう高速バスとの間の乗り換え客が多い。；また、連絡口での降車は紀勢本線への乗り換え客に限る旨看板があった。；在来線と地下鉄とは距離があるため乗り換えの利便性はあまりよくない。；それ以外にも沖縄都市モノレール線の駅で乗り換えられる路線がある。；乗り換えができるようになってからは利用率は増加している。；両線の駅の乗り換えには一旦駅の敷地外に出る必要がある。；JR線との連絡改札はなく、乗り換えの際は一旦改札を出る必要がある。；しかし、この設計のため飛行機の乗り換え経路が長くなってしまった。；鉄道では乗り換えが多くなることから、1日34往復設定されていた。；隣の春日駅・後楽園駅の場合は駅の外に出ることなく乗り換えが可能である。；駅改良工事完成時に西武線とJR線の間に乗り換え専用改札が設けられた。；なお、奥沢・緑が丘寄りには乗り換え用の連絡通路が設置されている。；この時間帯に上郡・岡山方面に行く場合は相生駅で乗り換えが必要である。；当駅から豊橋駅へは直通列車が停車しないため最低1回乗り換えが必要。；乗り換えは片道区間に限り無料であり、乗り換え場所も広く指定してある。；なお、片瀬江ノ島駅とは距離があるため乗り換えにはあまり適していない。；その結果、両線の乗り換えには連絡通路を移動する場合としない場合が存在することになった。；連絡通路を経由して、以下の路線への乗り換えが可能である。；各路線間の乗り換えに際しては、改札内の連絡通路が設けられている。；以下の路線とは連絡運輸がなされており、徒歩連絡で乗り換えが可能である。；従って、名古屋 - 大阪方面間へは伊勢中川駅で乗り換えが必要である。；途中の田舎町で、汽車の乗り換へを間違へたりして、まごまごしてゐた。；高野線と鋼索線の乗り換えのために作られた駅で、周辺には駅以外の建物がない。；JR西日本の垂水駅のすぐ北に隣接しており、乗り換えが可能である。</t>
        </is>
      </c>
      <c r="J6647">
        <f>HYPERLINK("https://www.weblio.jp/content/乗り換え", "词义详情")</f>
        <v/>
      </c>
      <c r="K6647">
        <f>HYPERLINK("https://yourei.jp/乗り換え", "查看例句")</f>
        <v/>
      </c>
    </row>
    <row r="6648">
      <c r="A6648" t="inlineStr">
        <is>
          <t>乗り換える</t>
        </is>
      </c>
      <c r="B6648" t="inlineStr">
        <is>
          <t>成功</t>
        </is>
      </c>
      <c r="C6648" t="inlineStr">
        <is>
          <t>読み方：のりかえる
［動ア下一］［文］のりか・ふ［ハ下二］
１乗っていた乗り物を降りて、別の乗り物に乗る。乗り物をかえる。「各駅停車から急行に—・える」
２今までの立場・考え方・かかわりなどを捨てて、他のものにかえる。「条件のいい仕事に—・える」「新車に—・える」</t>
        </is>
      </c>
      <c r="D6648" t="inlineStr">
        <is>
          <t>交換；動く；変わる；変える；交代</t>
        </is>
      </c>
      <c r="H6648" t="n">
        <v>29</v>
      </c>
      <c r="I6648" t="inlineStr">
        <is>
          <t>その他、連絡通路を経由して以下の路線へ乗り換えることが可能である。；ここからバスを乗り換えるのもいいが、歩いて十分ほどで丸ビルに着く。；途中で船を乗り換えることもできるが、船ごとに消費する燃料も変化する。；逆方向は、ここか日野橋で徹明町駅行きに乗り換えることになっていた。；さらにレベルが上がればG3あたりに乗り換えるつもりだったのだろう。；別に、この駅で乗る人が、みんなそこで乗り換えるというわけではない。；ここで1年以上も使節団の到着を待っていたロアノーク号に乗り換える。；能登路一一号の津幡着は一七時五一分だから乗り換えることができる。；この二つ先の駅で乗り換えるとき、その方が階段に近いのである。；別のタクシーに乗り換えるまえに、今夜の自分はどうすればいいか、考えた。；昨年この石畳で大幅に遅れをとったコンタドールは自転車を乗り換える。；そのこともあり長らく皇帝は新たな弟子に乗り換えることはなかった。；馬や犬を乗り換えるための「駅」が発展して、駅逓制度が普及していった。；この階段を使わずに乗換コンコースを通って乗り換えることもできる。；そこで長万部行きのバスに乗り換えるつもりだったのだがなんとそのバスがない。；より良い筐体があるのならば乗り換えるのは当然ではないのか?；当駅発着の路線バスと東鉄線を相互に乗り換えることは不可能である。；乗り換えるバスがないのと同様、もうこのまま、この道を走るしかない。；姫路方面から乗車してきた乗客の多くがこの駅でJR神戸線に乗り換える。；コース分岐点の途中にあるスーパーマシンへ乗り換えることができる。；自分の新たな目的に向かって走る列車に乗り換えるのだ。；俺も同じ駅で降りたのだが、それは各停に乗り換えるためだった。；加藤君に乗り換えると同時に、マンションでデザイナー事務所を開いたのよ。；駅出口は北側にしかないため、乗り換えるには大回りしていかねばならない。；結婚を決めるまでならば、あるいはそんな人生に乗り換えることができたかもしれない。；それならば一つ手前の広島で乗り換えるべきであった。；横浜から電車に乗り換えるとして、こちらへ帰ってくるのは一時を過ぎるだろう。；CMの間に違う番組に乗り換える視聴者を減らす効果を狙ったためであろう。；日本からの乗客は上海ないし香港で大型船に乗り換える必要があった。</t>
        </is>
      </c>
      <c r="J6648">
        <f>HYPERLINK("https://www.weblio.jp/content/乗り換える", "词义详情")</f>
        <v/>
      </c>
      <c r="K6648">
        <f>HYPERLINK("https://yourei.jp/乗り換える", "查看例句")</f>
        <v/>
      </c>
    </row>
    <row r="6649">
      <c r="A6649" t="inlineStr">
        <is>
          <t>乗り切る</t>
        </is>
      </c>
      <c r="B6649" t="inlineStr">
        <is>
          <t>成功</t>
        </is>
      </c>
      <c r="C6649" t="inlineStr">
        <is>
          <t>読み方：のりきる
［動ラ五（四）］
１乗ったままで向こうまで行ききる。「ヨットで大西洋を—・る」
２困難・危機などを切り抜ける。「難局を—・る」
３残らず乗る。また、十分に乗る。「全員バスに—・るのを待つ」「役者として油の—・った演技」</t>
        </is>
      </c>
      <c r="D6649" t="inlineStr">
        <is>
          <t>乗り切るべく；乗り切るしかない</t>
        </is>
      </c>
      <c r="E6649" t="inlineStr">
        <is>
          <t>持つ；生きる；我慢；生存；残存</t>
        </is>
      </c>
      <c r="F6649" t="inlineStr">
        <is>
          <t>何とか乗り切る</t>
        </is>
      </c>
      <c r="H6649" t="n">
        <v>29</v>
      </c>
      <c r="I6649" t="inlineStr">
        <is>
          <t>同卿が何を恐れたか知らないが、大きな危機を乗り切ったことは確かだ。；この危機を乗り切るためには、祭りと政治を分離するしかなかったのか。；むろん、その後も何度か電話はかかってきたが、同じ態度で乗り切った。；すぐに戦場の同志たる連合国のために、と言い直しその場を乗り切った。；で彼は乗り切るのを止めて、一つの岩の周囲を廻り先へ出ようと考えた。；国内の大半と同様に、コマンチ郡はこの困難な時代を乗り切っていった。；そんな多忙な毎日を『子供を守る母の愛』で明るく乗り切っていきます。；幼生体の集団にでも襲われない限り、これで乗り切ることはできただろう。；大詰めを乗り切る自信があったのも、クリスタルの箱を見るまでだった。；いったいどうやって、それから更に二百年もの時間を乗り切ってきたんだ?；そいつを乗り切る為には誰れもが十年を一年にしてやって来たんです。；もう七八分すると、余の船は全く営口丸を乗り切る事ができそうに思われた。；川を渡るのは、冬の川を渡るのを人生の苦難を乗り切ることに喩えている。；僕はそうして、何とか社会人生活の一週間目を乗り切ることができた。；結局、当分の間は総裁を置かず、集団指導体制で乗り切ることになった。；そうでなければ、この難局を乗り切る事が絶対に出来ないと思います。；映画『謀議』の通り、これは戦争を乗り切った会議の唯一の記録である。；遠征費などを選手全員でかき集め、残りの試合をなんとか乗り切っていた。；馨は多忙な執筆を乗り切るために、この頃よりヒロポンを使用していた。；そのうち、事故発生から18日間は、外部からの援助なしに乗り切った。；これを乗り切ってこそと思ったのだが、二人ともに予想以上の成果を見せてくれた。；この苦戦を乗り切るために出されたのが、こんどの改造要求だったのである。；これによりかれらは低酸素の環境を乗り切ることができたと思われる。；危機を乗り切ったクラブは再び昇格に向けての戦いを始めた。；それをわりと無難に乗り切ることができたので、気が楽になったのだろう。；今回うまく乗り切ったことで、僕の中には新たな自信が湧いてきた。；こうなってしまった以上は仕方がない、何とかして乗り切る他にない。；この極めて微妙な局面を乗り切るために生まれたのが新戦略専門家であった。；高校に進学した弟は、生まれて初めて家族に頼らず八月を乗り切った。</t>
        </is>
      </c>
      <c r="J6649">
        <f>HYPERLINK("https://www.weblio.jp/content/乗り切る", "词义详情")</f>
        <v/>
      </c>
      <c r="K6649">
        <f>HYPERLINK("https://yourei.jp/乗り切る", "查看例句")</f>
        <v/>
      </c>
    </row>
    <row r="6650">
      <c r="A6650" t="inlineStr">
        <is>
          <t>乗り越える</t>
        </is>
      </c>
      <c r="B6650" t="inlineStr">
        <is>
          <t>成功</t>
        </is>
      </c>
      <c r="C6650" t="inlineStr">
        <is>
          <t>読み方：のりこえる
［動ア下一］［文］のりこ・ゆ［ヤ下二］
１物の上を越えて、向こう側へ行く。「塀を—・えて侵入する」
２先人の成しとげた仕事の水準などを追い越す。「師を—・える」
３困難などを切り抜けて進む。「人生の荒波を—・える」</t>
        </is>
      </c>
      <c r="D6650" t="inlineStr">
        <is>
          <t>乗り越えるべき(3%)；乗り越えるべく；乗り越えるしかない</t>
        </is>
      </c>
      <c r="E6650" t="inlineStr">
        <is>
          <t>持つ；生きる；我慢；生存；越える</t>
        </is>
      </c>
      <c r="H6650" t="n">
        <v>29</v>
      </c>
      <c r="I6650" t="inlineStr">
        <is>
          <t>これは個人の中でも変化するため、恐怖を乗り越えることは可能である。；感情の谷を乗り越えるためには、根拠のない自信がどうしても必要です。；あなたはいま、この場を乗り越えることしか考えられないかもしれない。；この危機を乗り越えて米村は巨人相手に初完投勝利を飾ることとなった。；二人の兄弟が、馬車が乗り越えるのを感じたのはその男なのであった。；この危機を乗り越えるために経済力・工業力の充実を指向したのである。；このような肉体的苦痛を精神は本当に乗り越えることができるのだろうか?；そこをどう乗り越えるかが、この組み合わせの課題と言えるでしょう。；運行規則や路線規格の大幅な違いを乗り越えて、1992年に実現した。；迷路内には色々な仕掛けがあり、それらを乗り越えてゴールへと向かう。；しかし、世界へ出ていくにはひとつの大きな問題を乗り越える必要があった。；この後も数々の苦難を乗り越え、日本の銑鉄供給に大きな役割を果たす。；しかし限界があって教会はそれを乗り越えることはできなかった。；今回はそれを乗り越えて自然に解放された感じになれたと思う。；そして、友達に話を聞いてもらって、一緒に乗り越えてもらうんだよ。；苦難を乗り越えて人間の少年へと変化するまでの逸話が書かれている。；それを乗り越えるためには、理解ある教員を巻き込んでいく必要がある。；そこに、近代を美しく乗り越えるためのヒントもまたあるはずなのである。；でも、言い伝えの本当の意味を知ることで乗り越えることが出来たんです。；江川には、その日、その時、その状況を乗り越える何かが足りなかった。；門は閉まっていたが、低い鉄柵だから、簡単に乗り越えることができた。；人間が自分たちの力でその愚かさを乗り越えるのを、何度も見てきたからだ。；我々は様々な問題が起こる社会において多くの困難を乗り越えねばなりません。；さまざまな壁を乗り越えて夢のシンクロ公演実現へと向かってゆく。；それは、アリサを抱いている感動を乗り越えるほどの深い刺激だった。；階段を歩いて上がり、小さな壁を乗り越え、階段を歩いて下るのである。；それは月光の中へ走り出て、すこし先にある塀を乗り越えることだった。；彼の死を乗り越え、影丸はついに若葉城に作られた仕掛けを突き止めた。；しかし、この障害を乗り越える時に私は後に残してきた者のことを考えなくなった。</t>
        </is>
      </c>
      <c r="J6650">
        <f>HYPERLINK("https://www.weblio.jp/content/乗り越える", "词义详情")</f>
        <v/>
      </c>
      <c r="K6650">
        <f>HYPERLINK("https://yourei.jp/乗り越える", "查看例句")</f>
        <v/>
      </c>
    </row>
    <row r="6651">
      <c r="A6651" t="inlineStr">
        <is>
          <t>乗り越し</t>
        </is>
      </c>
      <c r="B6651" t="inlineStr">
        <is>
          <t>成功</t>
        </is>
      </c>
      <c r="C6651" t="inlineStr">
        <is>
          <t>読み方：のりこし
［名］(スル)列車などで、乗り越すこと。「会話に夢中になって—する」「—料金」</t>
        </is>
      </c>
      <c r="D6651" t="inlineStr">
        <is>
          <t>乗り越すと罰金(5%)</t>
        </is>
      </c>
      <c r="E6651" t="inlineStr">
        <is>
          <t>抜く；追い越し；通りすぎる；追い越す；追い抜く</t>
        </is>
      </c>
      <c r="H6651" t="n">
        <v>29</v>
      </c>
      <c r="I6651" t="inlineStr">
        <is>
          <t>舟は波に浮ぶ睡蓮の睡れる中に、音もせず乗り入りては乗り越して行く。；見給え、僕の処へ来た時だつてわざと乗り越さずに手前で下りている。；前述の各路線対象区間外との間で乗り越しての利用はできない。；庭はわけなく乗り越されるくらいのかなり低い白壁で囲まれていた。；座席は指定できるが区間までは指定されないので乗り越しや途中乗車なども可能。；蘭堂がその窓へ駈けつけた時には、ゴリラはもう塀を乗り越していた。；その頃、電車に乗っていた絵里は東京まで乗り越すことを車掌に告げていた。；市役所では乗車したまま乗り越すことが可能で、追加運賃は不要である。；しかし、これで目が覚めなければ乗り越してしまうところだったかもしれない。；それにしきりに考え耽っていて、つい電車を乗り越すことさえありました。；誤解や面倒がる関門を乗り越して四郎の明澄性はそれらの町々の人の心をも捉えた。；駅では、表口へまわらないと郡までの切符はないというので乗り越しにする。；窓を開き、その縁に飛び上がり、それを乗り越すのは、一瞬間の仕事だった。；そのうちに、男の足だものだから、いつの間にか姉妹を乗り越した。；事実の障礙を乗り越して或る要求を具体化しようとする。；今にして一躍のもとに乗り越さずんば、ついに失敗を取らざるを得ざるべきなり。；定期券機能で区間外に乗り越した場合もSF部分で自動精算できた。；以上の区間の相互利用は可能だが乗り越しは不可である。；そしてこの危機がどうやれば乗り越されるか、この困難がどうすれば解決されるかをも見よう。；乗り越して来た客や遠くまで帰る客は、すでに終電車が出てしまっている。；彼女にはそれを乗り越すだけの勇気がなかった。；反対方向の電車に乗って来て、乗り越したので、あそこで降りて、あの車両へ乗って来たわけです。；南口改札はこの崖から低地へ向かって線路群を乗り越す跨線橋に面している。；あやうく乗り越しそうになりながら、新宿の次の次の駅で降りた。；また、乗車券の有効区間外まで乗り越した乗客の不足賃の精算も兼ねている。；自動券売機での乗車券購入や自動精算機での乗り越し精算にも使用できる。；その防壁を乗り越した時、彼らはその小路の中で、まったくふたりきりになった。；学生の頃『射程』に読み耽って、電車の駅を二つ、乗り越したことがある。；ぼくの切符ではもう乗り越してしまっているだろう。</t>
        </is>
      </c>
      <c r="J6651">
        <f>HYPERLINK("https://www.weblio.jp/content/乗り越し", "词义详情")</f>
        <v/>
      </c>
      <c r="K6651">
        <f>HYPERLINK("https://yourei.jp/乗り越し", "查看例句")</f>
        <v/>
      </c>
    </row>
    <row r="6652">
      <c r="A6652" t="inlineStr">
        <is>
          <t>乗り越す</t>
        </is>
      </c>
      <c r="B6652" t="inlineStr">
        <is>
          <t>成功</t>
        </is>
      </c>
      <c r="C6652" t="inlineStr">
        <is>
          <t>読み方：のりこす
［動サ五（四）］
１列車などに乗車したまま下車する予定の場所より先へ行ってしまう。「居眠りして—・す」
２物の上を越して進む。のりこえる。「垣根を—・す」
３乗り物に乗って追い越す。
「前夜自分を—・したあの男が」〈二葉亭訳・めぐりあひ〉</t>
        </is>
      </c>
      <c r="D6652" t="inlineStr">
        <is>
          <t>乗り越すと罰金(5%)</t>
        </is>
      </c>
      <c r="E6652" t="inlineStr">
        <is>
          <t>抜く；追い越し；通りすぎる；追い越す；追い抜く</t>
        </is>
      </c>
      <c r="H6652" t="n">
        <v>29</v>
      </c>
      <c r="I6652" t="inlineStr">
        <is>
          <t>舟は波に浮ぶ睡蓮の睡れる中に、音もせず乗り入りては乗り越して行く。；見給え、僕の処へ来た時だつてわざと乗り越さずに手前で下りている。；前述の各路線対象区間外との間で乗り越しての利用はできない。；庭はわけなく乗り越されるくらいのかなり低い白壁で囲まれていた。；座席は指定できるが区間までは指定されないので乗り越しや途中乗車なども可能。；蘭堂がその窓へ駈けつけた時には、ゴリラはもう塀を乗り越していた。；その頃、電車に乗っていた絵里は東京まで乗り越すことを車掌に告げていた。；市役所では乗車したまま乗り越すことが可能で、追加運賃は不要である。；しかし、これで目が覚めなければ乗り越してしまうところだったかもしれない。；それにしきりに考え耽っていて、つい電車を乗り越すことさえありました。；誤解や面倒がる関門を乗り越して四郎の明澄性はそれらの町々の人の心をも捉えた。；駅では、表口へまわらないと郡までの切符はないというので乗り越しにする。；窓を開き、その縁に飛び上がり、それを乗り越すのは、一瞬間の仕事だった。；そのうちに、男の足だものだから、いつの間にか姉妹を乗り越した。；事実の障礙を乗り越して或る要求を具体化しようとする。；今にして一躍のもとに乗り越さずんば、ついに失敗を取らざるを得ざるべきなり。；定期券機能で区間外に乗り越した場合もSF部分で自動精算できた。；以上の区間の相互利用は可能だが乗り越しは不可である。；そしてこの危機がどうやれば乗り越されるか、この困難がどうすれば解決されるかをも見よう。；乗り越して来た客や遠くまで帰る客は、すでに終電車が出てしまっている。；彼女にはそれを乗り越すだけの勇気がなかった。；反対方向の電車に乗って来て、乗り越したので、あそこで降りて、あの車両へ乗って来たわけです。；南口改札はこの崖から低地へ向かって線路群を乗り越す跨線橋に面している。；あやうく乗り越しそうになりながら、新宿の次の次の駅で降りた。；また、乗車券の有効区間外まで乗り越した乗客の不足賃の精算も兼ねている。；自動券売機での乗車券購入や自動精算機での乗り越し精算にも使用できる。；その防壁を乗り越した時、彼らはその小路の中で、まったくふたりきりになった。；学生の頃『射程』に読み耽って、電車の駅を二つ、乗り越したことがある。；ぼくの切符ではもう乗り越してしまっているだろう。</t>
        </is>
      </c>
      <c r="J6652">
        <f>HYPERLINK("https://www.weblio.jp/content/乗り越す", "词义详情")</f>
        <v/>
      </c>
      <c r="K6652">
        <f>HYPERLINK("https://yourei.jp/乗り越す", "查看例句")</f>
        <v/>
      </c>
    </row>
    <row r="6653">
      <c r="A6653" t="inlineStr">
        <is>
          <t>乗り込む</t>
        </is>
      </c>
      <c r="B6653" t="inlineStr">
        <is>
          <t>成功</t>
        </is>
      </c>
      <c r="C6653" t="inlineStr">
        <is>
          <t>読み方：のりこむ
［動マ五（四）］
１乗り物に乗ってその中へはいる。「車で現地に—・む」
２乗客や乗員が乗り物の中へはいる。「通勤の客がいっせいに電車に—・む」
３敵の領分などに、勇んで入り込む。「大挙して談判に—・む」</t>
        </is>
      </c>
      <c r="D6653" t="inlineStr">
        <is>
          <t>乗る；乗車；搭乗；乗船；入り込む</t>
        </is>
      </c>
      <c r="F6653" t="inlineStr">
        <is>
          <t>単身乗り込む</t>
        </is>
      </c>
      <c r="H6653" t="n">
        <v>29</v>
      </c>
      <c r="I6653" t="inlineStr">
        <is>
          <t>事はさらに悪化し、次から次へと人が家に乗り込んできて家を破壊する。；その瞬間、今まで我慢してきた怒りが爆発して組織に乗り込んで行った。；もはやスペイン艦に乗り込み攻撃をかける以外に何も出来ない状態だった。；その途中で家に隠れていた隊員が追ってきて、オート三輪へ乗り込んだ。；多くの人々はキッドが沈み行く船に乗り込もうとしているように思えた。；われわれは氏が馬車に乗り込む前に、次のような質問をすることができた。；敵の本拠地に乗り込むわけですから、彼らは決死の覚悟だったはずです。；日本人はすべて一室に入れられて、そのほかに一人の英国紳士が乗り込む。；これだけの人数で進んで船に乗り込む勇気があるかと船長に尋ねた。；それから例の政府の役人のことですが、きょうは乗り込まないようです。；しかしどういうふうにして席に乗り込むのかは全然分からなかった。；航空機には乗り込まず地上で送信されたデータを監視することもある。；しかし建造期間は長くはとれず、誰を乗り込ませるのかも問題だった。；その潜水艦にはアーノルドとアンドレが率いる兵士達が乗り込んでいる。；出発の日、スミスはもう一人の州選出議員のペインと列車に乗り込んだ。；いったん船に乗り込むと同時に私はもはや常の心ではなかったものらしい。；ドアを開けて乗り込もうとした時、目の端で何かが動くのを捉えた。；武装した兵などと一緒に乗り込むなど非常識にもほどがありましょう!；乗り込むとき、バッグを手にした数名のゴルファーたちの後ろになった。；一同がテリーの待たせておいたタクシーに乗り込むと、運転手が言った。；博物館からの脱出はうまくいったが、空港での飛行機乗り込みには失敗した。；友人を殺され怒りを抱いたショックリーはバスに乗り込み裁判所に向かう。；彼女らは勤めを終えてマイクロバスに乗り込もうとしていた一団だった。；味方の空戦車の傍で手榴弾ボタンを押せば戦車に乗り込むことができる。；強力な武器を持っていない町の人たちは町を守るために戦艦に乗り込み戦った。；ドアが開いて、乗り込もうとしたとき、坪井は気がついて、足をとめた。；この後、軍の関係で音楽文化協会に乗り込んできたのが山田耕筰だった。；何故乗り込んだかというと、乗り込まない訳にはいかなかったからである。；しかし、乗り込んだタクシーが事故に遭い、一切の記憶を失ってしまう。</t>
        </is>
      </c>
      <c r="J6653">
        <f>HYPERLINK("https://www.weblio.jp/content/乗り込む", "词义详情")</f>
        <v/>
      </c>
      <c r="K6653">
        <f>HYPERLINK("https://yourei.jp/乗り込む", "查看例句")</f>
        <v/>
      </c>
    </row>
    <row r="6654">
      <c r="A6654" t="inlineStr">
        <is>
          <t>乗り過ごす</t>
        </is>
      </c>
      <c r="B6654" t="inlineStr">
        <is>
          <t>成功</t>
        </is>
      </c>
      <c r="C6654" t="inlineStr">
        <is>
          <t>読み方：のりすごす
［動サ五（四）］下車予定の場所より先まで行ってしまう。乗り越す。「うっかりして一駅—・す」</t>
        </is>
      </c>
      <c r="H6654" t="n">
        <v>29</v>
      </c>
      <c r="I6654" t="inlineStr">
        <is>
          <t>雑誌に没頭していたため、もう少しで乗り過ごしてしまうところだった。；ぼんやりして駅を乗り過ごし、乗り換えて戻って来たときには日は暮れていた。；その日も、終バスを乗り過ごしてしまった有馬は、塩見家へやって来た。；まさかあなた、乗り過ごしてここまできたんじゃないでしょうね。；彼らの中には下車駅を乗り過ごす者もいるだろう。；夢とうつつとがないまぜになった頭の中で、もしこれが夢ではないのなら、とんでもないところまで乗り過ごしてしまったのだと思った。；駅を間違えて降りたり、乗り過ごしたり、そういう失敗をしないよう気をつけなくちゃ。；ひどく酔って電車を乗り過ごしたときのようだ。；名古屋で開催したイベントは、有野が新幹線を京都まで乗り過ごしたのが原因でイベントの開始時間が遅れた。；横浜を乗り過ごしてしまっていた。；おかげで危うく乗り過ごしそうになってしまった。；なお、梶浦は渡された脚本を電車の中で読み、降車駅を乗り過ごしてしまうほど夢中で脚本を読んだ末にヒットを確信したといい、企画に乗り気であったという。；すっかり眠り込んでいた彼は、あやうく乗り過ごすところだった。；志村が酒飲み過ぎて寝てたら、乗り過ごした。；何となく毎日を過ごしていた主人公はある日の仕事帰り、乗り過ごした終電車で少年と出会い、異世界に誘われる。；しかし彼は列車を乗り過ごしてしまい、急遽、ケルンにいる妻のもとへ洗濯物を運ぼうとしていたヘーンマンスに便乗する形となった。；ある日、面接を受けた帰りに電車の中で眠ってしまい、終点の駅まで乗り過ごしてしまった楠本は見知らぬ町に迷い込み、そこで一人の少女に出会う。；日高本線をこのまま乗れば目的地、いや仕事でなければどんなにいいだろうと、うっかり乗り過ごすところでした。；当駅1番ホームに到着する列車はすべて車庫に入る為、ワンマン運転開始後車内自動放送が更新され、桜通線で採用されている乗り過ごし防止の為の注意喚起放送が流されるようになった。；乗越精算制度は一切ないため、乗り過ごすと無賃乗車扱いとなって罰金が課される。；あのときいつも降りる歩道橋の手前に警察官の姿を見出したので、乗り過ごしたことをおもいだした。；元は大阪NSCに入ろうとしていたが、夜行バスを乗り過ごして東京まで来てしまい、東京のキラキラに押されて東京NSCへ入った。；福知山線の特急列車内で飲酒後に寝込んで乗り過ごしたことで不審に思った車掌が通報して発覚した。；電車の駅をふたつ乗り過ごし、バスの停留所をみっつ乗り過ごしたので、告別式の時間に一時間近く遅れてしまった。；一方で、「自分の部屋でうとうとと眠っていて、大切な約束の時間に遅れそうになって慌てて着替えて駆けつけた」という体験に伴うクオリアは、「乗り過ごしそうになって、慌てて降りて間に合った時」のクオリアと全く同じであるとは言えないにせよ、かなり近いものであるように感じる。；結局、主に終電を乗り過ごして帰れなくなった人用の深夜お得プランで中型バイクを借りてくると、追加料金を払ってサイドカーをつけてもらう。；急いでいるときにかぎって、と不運を罵っていたら、なんと同じ新幹線にあなたも乗っていて、同じように『つばめ号』を一本乗り過ごした。；そこで井の頭線の急行に乗り換えるつもりが、うっかり新宿まで乗り過ごしてしまったのは、電話帳のことを考えて注意が散漫になっていたせいだ。；降りるべきバスの停留所を四つ乗り過ごし、反対方向のバスに乗ったものの、今度は五つも乗り過ごした。</t>
        </is>
      </c>
      <c r="J6654">
        <f>HYPERLINK("https://www.weblio.jp/content/乗り過ごす", "词义详情")</f>
        <v/>
      </c>
      <c r="K6654">
        <f>HYPERLINK("https://yourei.jp/乗り過ごす", "查看例句")</f>
        <v/>
      </c>
    </row>
    <row r="6655">
      <c r="A6655" t="inlineStr">
        <is>
          <t>乗り出す</t>
        </is>
      </c>
      <c r="B6655" t="inlineStr">
        <is>
          <t>成功</t>
        </is>
      </c>
      <c r="C6655" t="inlineStr">
        <is>
          <t>読み方：のりだす
［動サ五（四）］
１船などに乗って出発する。「大海に—・す」
２進んでその物事に関係する。「資源開発に—・す」「調停に—・す」
３乗ることをしはじめる。「自動車をやめてバイクに—・す」
４からだを前にぐっと出す。「身を—・して演奏を聴く」</t>
        </is>
      </c>
      <c r="D6655" t="inlineStr">
        <is>
          <t>乗り出すべき；乗り出す決意を固め；乗り出す可能性；乗り出すべく</t>
        </is>
      </c>
      <c r="E6655" t="inlineStr">
        <is>
          <t>開始；始める；スタート；発足；図る</t>
        </is>
      </c>
      <c r="H6655" t="n">
        <v>29</v>
      </c>
      <c r="I6655" t="inlineStr">
        <is>
          <t>上の階の教室からは、よほど窓から身を乗り出さないと見えないだろう。；そうなったら、つい近くにいながら乗り出さなんだおぬしの男は下るぞ。；彼がカヌーで乗り出すまで、いっしょにいてやると約束していたからだ。；これは、ヨーロッパで国家が文化財保護に乗り出した最初の事例である。；新聞連載作品『』を単行本化したのようにに乗り出す作家も多くなった。；経営や商業の実務に未熟な軍人が乗り出すことによって経済は混乱した。；男は部屋の中をのぞきこむようにして、それからそろそろと身を乗り出す。；これを機に日本の財閥系企業が対ソ取引に直接乗り出すようになった。；わたくしどもの舟には、荒海に乗り出す勇気も力も残っておりません。；彼はこの計画を名案だと認め、今度眠ったあとで遠征に乗り出そうといった。；女性のようにきれいな手をそろえてテーブルに置き、かすかに乗り出す。；その後、フランス海軍は空母で運用する小型輸送機の開発に乗り出した。；第一次世界大戦中には、ヘンシェルは既に兵器の製造にも乗り出していた。；顔を上げると、見張り台の手すりから身を乗り出す若い相棒が目に入る。；彼は窓から乗り出すようにして繰り現れる景色の一点も見逃すまいとした。；そして彼らは満蒙問題の解決や高度国防国家の建設に乗り出すことになる。；男具那が思わず身体を乗り出そうとすると尾鳴が、王子様と声で制した。；オーストラリアで何曲かのヒットを出した後、世界進出に乗り出した。；そして、わたしが身を乗り出すようにして見ると、その目が動いた。；しかし七花から指摘された点を反省し、改心して自己改革に乗り出す。；プロイセン貴族たちもこの波に乗るべく自ら農業経営に乗り出していった。；次郎が道夢斎の肩から身を乗り出すと、どうだと言わんばかりに胸を張った。；路上に乗り出すと、すぐあとから、セドリックが追ってくるのが見えた。；こうした中、党の分裂を懸念した前首相の鳩山由紀夫が仲介に乗り出す。；ワルサー社が自動拳銃の開発に乗り出したのは1908年のことだった。；一方カラバオでは沖に謎の杭が現れ、アメリカ軍が調査に乗り出していた。；見学者たちがそれを見るためには、いっそう身を乗り出さなくてはならない。；「もうひとつ」 彼女は運転席の中へ身を乗り出すようにして言った。；カウンターの奥から、マスターも乗り出すようにしてその様子を見ていた。</t>
        </is>
      </c>
      <c r="J6655">
        <f>HYPERLINK("https://www.weblio.jp/content/乗り出す", "词义详情")</f>
        <v/>
      </c>
      <c r="K6655">
        <f>HYPERLINK("https://yourei.jp/乗り出す", "查看例句")</f>
        <v/>
      </c>
    </row>
    <row r="6656">
      <c r="A6656" t="inlineStr">
        <is>
          <t>乗り物</t>
        </is>
      </c>
      <c r="B6656" t="inlineStr">
        <is>
          <t>成功</t>
        </is>
      </c>
      <c r="C6656" t="inlineStr">
        <is>
          <t>読み方：のりもの
１人を乗せて移動するもの。汽車・電車・自動車・船・飛行機や、馬・輿(こし)・駕籠(かご)・人力車などの総称。
２乗って遊ぶためのもの。ジェットコースターやゴーカートなど。「遊園地の—」
３特に江戸時代、公卿・門跡・大名・医師などが用いた引き戸のある特製の駕籠。乗り物駕籠。</t>
        </is>
      </c>
      <c r="D6656" t="inlineStr">
        <is>
          <t>乗り物全般；乗り物好き；乗り物用；乗り物類；乗り物キャラクター</t>
        </is>
      </c>
      <c r="E6656" t="inlineStr">
        <is>
          <t>車；車両；車輌；車輛；乗物</t>
        </is>
      </c>
      <c r="F6656" t="inlineStr">
        <is>
          <t>好きな乗り物；危険な乗り物；新しい乗り物；登場する乗り物；移動する乗り物</t>
        </is>
      </c>
      <c r="G6656" t="inlineStr">
        <is>
          <t>乗り物酔い防止薬；乗り物をあらわす記号と絵文字</t>
        </is>
      </c>
      <c r="H6656" t="n">
        <v>29</v>
      </c>
      <c r="I6656" t="inlineStr">
        <is>
          <t>これは水中を移動するための乗り物の製作にも利用されている技術である。；日本では天皇や貴族、大名など身分の高い人物が使用する乗り物であった。；世界を渡り歩くための手段と、そのために必要な乗り物やアイテムなど。；地上を走っているため明るく、比較的安全な乗り物と考えられている。；神社の裏にある小さな洞窟の奥に不思議な卵状の乗り物があった。；ジャケットには、様々な時代の乗り物が木に集まる様子が描かれている。；本作より登場した、乗り物としての役割を果たしてくれるキャラクター。；歩くよりも乗りものに乗っている時間の方が多いかもしれません。；敵の攻撃などを受けると乗り物はダメージを受け、移動速度が遅くなる。；プレイヤーが操作する乗り物がシリアスサム2でシリーズに導入された。；公園内にある交通施設や乗り物等を利用して交通ルールを学ぶことができる。；SFに登場する未来の乗り物のようなとても変わった姿をしている。；相乗りとは、一台の乗り物に複数人数が一緒に乗り合わせることをいう。；また、特定の乗り物に接触することで後述のゴセイマシンに実体化する。；電車・バスなど他の乗り物も好きで、将来の夢はパイロットだった。；一方、日本では三輪の乗り物の法体系がかなり混乱してしまっている。；戦車や他の乗り物のガレージや修理場といった技術部門は解体された。；また、MODを使用することにより乗り物をより多く使うことができる。；他には乗り物のエンジンや人々が暮らして行ける電力もこれに当たる。；なお、自動車や列車内、航空機などの乗り物内での利用はこの限りではない。；マップ上に配置されている乗り物に乗ることも可能となっている。；しかし、機械・乗り物であることから避けるべきであるとの見解がなされている。；必ず酔う訳ではないらしく、乗り物に乗っても平然としている場面もある。；そのため、トゥーンタウン交通運送委員会を設置し乗り物が開発された。；他の乗り物は燃料を補充すれば耐久度を減らさずに使うことが可能となる。；乗り物は馬ではなく車を模様したものが使用されていた。；私は今まで乗りものを使っていたところを歩くことにした。；基本的に空を飛行することが主目的の乗り物だからである。；整備士は、乗り物をはじめとする機械などの点検・整備等を行う人のこと。</t>
        </is>
      </c>
      <c r="J6656">
        <f>HYPERLINK("https://www.weblio.jp/content/乗り物", "词义详情")</f>
        <v/>
      </c>
      <c r="K6656">
        <f>HYPERLINK("https://yourei.jp/乗り物", "查看例句")</f>
        <v/>
      </c>
    </row>
    <row r="6657">
      <c r="A6657" t="inlineStr">
        <is>
          <t>乗る</t>
        </is>
      </c>
      <c r="B6657" t="inlineStr">
        <is>
          <t>成功</t>
        </is>
      </c>
      <c r="C6657" t="inlineStr">
        <is>
          <t>読み方：のる
［動ラ五（四）］
１物の上にあがる。「踏み台の上に—・る」「子が父のひざに—・る」
２乗り物の上、または中に身を置く。乗り物で移動する。「馬に—・る」「汽車に—・る」「船に—・る」⇔おりる。
３調子や動きによく合う。「リズムに—・って踊る」「マイクによく—・る声」
４勢いがついて物事がぐあいよく運ぶ。勢いにまかせてすすむ。「興が—・る」「図に—・る」「ブームに—・る」「仕事が軌道に—・る」
５誘いや持ち掛けに応じて仲間や相手になる。仲間として加わる。参画する。「その話に一口—・る」「相談に—・る」
６相手の思惑どおりに動かされる。引っかかる。だまされる。「おだてに—・る」「口車に—・る」「その手には—・らない」
７うまくつく。十分につく。「おしろいが肌に—・る」「脂が—・った魚」
８風や潮流などによって運ばれる。「電波に—・る」「風に—・って盆唄が聞こえてくる」
９（載る）書かれる。記録される。「新聞に—・る」「台帳に—・る」
10邦楽・能楽で、リズミカルに演奏する。また、テンポを速めて演奏する。符号として、片仮名で「ノル」と記す。
11歌舞伎・舞踊・能楽などで、しぐさや踊りが音楽に合う。双方のリズムがうまく調和する。「三味線に—・ったせりふ」
12道に沿って行く。
「海原の路に—・りてや我(あ)が恋ひをらむ大舟のゆたにあるらむ人の児故に」〈万・二三六七〉
13心にぴったりとついて離れない。心を占めてしまう。のりうつる。
「ももしきの大宮人は多かれど心に—・りて思ほゆる妹」〈万・六九一〉
[可能]のれる
[下接句]油が乗る・石車に乗る・大船に乗ったよう・駕籠舁(かごか)き駕籠に乗らず・気が乗る・軌道に乗る・興に乗る・口に乗る・口車に乗る・尻馬(しりうま)に乗る・図に乗る・玉の輿(こし)に乗る・調子に乗る・手に乗る・波に乗る・一口乗る・飛竜雲に乗る・利が乗る</t>
        </is>
      </c>
      <c r="D6657" t="inlineStr">
        <is>
          <t>乗るべき；乗る宇宙船；乗るべく；乗るまい；乗ること自体</t>
        </is>
      </c>
      <c r="E6657" t="inlineStr">
        <is>
          <t>使う；取る；乗車；搭乗；受け取る</t>
        </is>
      </c>
      <c r="F6657" t="inlineStr">
        <is>
          <t>跳び乗る；乗るつもりらしい</t>
        </is>
      </c>
      <c r="H6657" t="n">
        <v>29</v>
      </c>
      <c r="I6657" t="inlineStr">
        <is>
          <t>肩に乗るなどして操作するが、多少は離れても動かすことはできる模様。；その日、アーサー王は馬に乗って考えているうちに森に入ってしまった。；何処まで行つても娘達は疲れて籃輿に乗らうなどとは言ひ出さなかつた。；列の後ろにいた三、四人の男性が、何が何でもこれに乗ろうとしたのだ。；即ち彼は当日電車に乗らなかったと云う事で殺人を否定しようとしている。；ひみつ道具を調子に乗って使い過ぎたり悪用してしばしば失敗している。；乗るか乗らないかはは君の勝手さ、いちおう説明だけはさせてもらうよ。；小型のサル類ならば流木等に乗って漂着できた可能性も高いためである。；道子と二人だから、どこへ行くにも自動車に乗らなければならなかった。；志乃は織りかけている機のことが気になりながら舟に乗ろうとしていた。；時期的に沙織事件の影響を間接的に受け、流通に乗っていた時期が短い。；環礁は黒潮の流れに乗って、だんだん日本に近づいていると考えられた。；きっかけをつかんで波に乗るか乗れないか、つまり自信をつかむか否か。；その間を、接続列車に乗ろうとする人々があたふたと駈け抜けて行った。；バスにも乗らずに歩いてきた陽子に何の事情もないとは思えなかった。；そして自分も監督や巡査と一緒に後の一台へ乗ろうとした時であった。；私は電車に乗らないのですから、電車は開通していないと思いました。；しかし、自らは自動車や船に乗ることを恐れていたといわれている。；その上に人が乗ろうものなら、たちまち穴の中に落ちてしまうだろう。；しかし中嶋悟はこんどもまた自分が期待していたほどは車に乗れなかった。；エレベーターが到着しても満員で乗れないといった状況も問題であった。；そのせいで商業ベースには乗らず、ほとんどの地域では利用されない。；また、モーターボートに乗っている時には一部の武器に限り発砲できる。；どうやって乗ればいいのかと思っていると、船のクレーンがのびてくる。；エレベーターに乗らなかったのは他人と顔をあわせたくなかったからである。；積極的なこの井川の話に乗れたのも、仕事に絶望していたからであろうか。；バスに乗ろうとした時、朝丘君が走ってこちらにやって来るのが見えた。；手に乗るほどの大きさの柄の付いた中空の球の中に、小さな玉を入れてある。；このモデルでは両国の勢力差が2乗されることによって強調されている。</t>
        </is>
      </c>
      <c r="J6657">
        <f>HYPERLINK("https://www.weblio.jp/content/乗る", "词义详情")</f>
        <v/>
      </c>
      <c r="K6657">
        <f>HYPERLINK("https://yourei.jp/乗る", "查看例句")</f>
        <v/>
      </c>
    </row>
    <row r="6658">
      <c r="A6658" t="inlineStr">
        <is>
          <t>載る</t>
        </is>
      </c>
      <c r="B6658" t="inlineStr">
        <is>
          <t>成功</t>
        </is>
      </c>
      <c r="C6658" t="inlineStr">
        <is>
          <t>読み方：のる
［動ラ五（四）］
１物の上にあがる。「踏み台の上に—・る」「子が父のひざに—・る」
２乗り物の上、または中に身を置く。乗り物で移動する。「馬に—・る」「汽車に—・る」「船に—・る」⇔おりる。
３調子や動きによく合う。「リズムに—・って踊る」「マイクによく—・る声」
４勢いがついて物事がぐあいよく運ぶ。勢いにまかせてすすむ。「興が—・る」「図に—・る」「ブームに—・る」「仕事が軌道に—・る」
５誘いや持ち掛けに応じて仲間や相手になる。仲間として加わる。参画する。「その話に一口—・る」「相談に—・る」
６相手の思惑どおりに動かされる。引っかかる。だまされる。「おだてに—・る」「口車に—・る」「その手には—・らない」
７うまくつく。十分につく。「おしろいが肌に—・る」「脂が—・った魚」
８風や潮流などによって運ばれる。「電波に—・る」「風に—・って盆唄が聞こえてくる」
９（載る）書かれる。記録される。「新聞に—・る」「台帳に—・る」
10邦楽・能楽で、リズミカルに演奏する。また、テンポを速めて演奏する。符号として、片仮名で「ノル」と記す。
11歌舞伎・舞踊・能楽などで、しぐさや踊りが音楽に合う。双方のリズムがうまく調和する。「三味線に—・ったせりふ」
12道に沿って行く。
「海原の路に—・りてや我(あ)が恋ひをらむ大舟のゆたにあるらむ人の児故に」〈万・二三六七〉
13心にぴったりとついて離れない。心を占めてしまう。のりうつる。
「ももしきの大宮人は多かれど心に—・りて思ほゆる妹」〈万・六九一〉
[可能]のれる
[下接句]油が乗る・石車に乗る・大船に乗ったよう・駕籠舁(かごか)き駕籠に乗らず・気が乗る・軌道に乗る・興に乗る・口に乗る・口車に乗る・尻馬(しりうま)に乗る・図に乗る・玉の輿(こし)に乗る・調子に乗る・手に乗る・波に乗る・一口乗る・飛竜雲に乗る・利が乗る</t>
        </is>
      </c>
      <c r="D6658" t="inlineStr">
        <is>
          <t>載るべき；載る大き</t>
        </is>
      </c>
      <c r="E6658" t="inlineStr">
        <is>
          <t>乗る；据えつける；据え付ける</t>
        </is>
      </c>
      <c r="F6658" t="inlineStr">
        <is>
          <t>必ず載る</t>
        </is>
      </c>
      <c r="H6658" t="n">
        <v>29</v>
      </c>
      <c r="I6658" t="inlineStr">
        <is>
          <t>ある朝父の名前と写真が、ドカンとどこかの新聞に載るような気がして。；そして彼女の載った号が売店に出た時点でも18歳に達していなかった。；答えは本にも載ってないし、映画やテレビや討論会を見ても分からない。；まだぼくの「第八支店」はこの時の広告文章の中には数に載つてゐない。；そして、そのへんの事情は人間の子も時載りの子もさして変わりはない。；そんなことがいちいち新聞に載ること自体、日本が平和な証拠でもある。；二匹が載ってもまだもう一匹は十分に載るくらいのスペースは残っている。；額がやや平らになり、そこへ柵外から銭を投げて載れば運がいいという。；それで、私が報告書を完成させて、私の名前が載ることになったのです。；日本の小学校から高等学校で使用されている音楽の教科書にも載っている。；新聞には、早くとも明日以後にならなければこんどのことは載らない。；そんな作品がどこかの雑誌に載りはしないだろうかと待っていた。；そうこうしているうちに、福地の漫画が漫画週刊誌に載るようになった。；教科書に載っているような半古典近似法に関連した議論は次節で述べる。；彼はまた玄武館とも縁が深く、その門弟リストに彼の名前が載っている。；地上階の各店舗の入口はトラバーチン製でその上にアーチが載っている。；彼は確かに、自分の首が載る獄門台が作られるのを見ていたのである。；以下の書籍の該当頁には、類話の一部が載っているので参照されたい。；かつて埜戸と呼ばれていた、現在は地図に載っていない名前のない村。；この「左ページ」に載ることが新人アーティストの目標ともされていた。；幼い頃母は雑誌や新聞に私の記事が載ると、私の目に触れないようにしていた。；そのため、表紙などには同映画の主演俳優・哀川翔が大きく載っている。；ああいう連中は、三面記事に自分の写真や名前が載るのを嫌がるからな。；この花ばかりは町中を通る花屋の車の上に載つてゐてもいかにも秋らしい。；が、彼の小説が雑誌に載つてゐるのを見ると、懐しさは昔と同じであつた。；一、此集に父の写真を載すると共に、記念として母の写真をも載せたり。；だって普通の人はGの言うように彼が時載りだったって知らないわけだろ?；わたしたちはテーブルに載り切らないほどたくさんの料理を注文した。；ジャケット写真に広末の顔写真が載っていない稀有な作品となっている。</t>
        </is>
      </c>
      <c r="J6658">
        <f>HYPERLINK("https://www.weblio.jp/content/載る", "词义详情")</f>
        <v/>
      </c>
      <c r="K6658">
        <f>HYPERLINK("https://yourei.jp/載る", "查看例句")</f>
        <v/>
      </c>
    </row>
    <row r="6659">
      <c r="A6659" t="inlineStr">
        <is>
          <t>ノルマ</t>
        </is>
      </c>
      <c r="B6659" t="inlineStr">
        <is>
          <t>成功</t>
        </is>
      </c>
      <c r="C6659" t="inlineStr">
        <is>
          <t>読み方：のるま
《規範・規準の意》
１一定時間内に果たすよう個人や集団に割り当てられる標準作業量。第二次大戦後のシベリア抑留者が伝えた語。
２各人に課せられる仕事などの量。「—を果たす」
[補説]作品名別項。→ノルマ</t>
        </is>
      </c>
      <c r="D6659" t="inlineStr">
        <is>
          <t>ノルマを達成でき(2%)；ノルマ制；ノルマ以上；ノルマクリア；ノルマ数</t>
        </is>
      </c>
      <c r="E6659" t="inlineStr">
        <is>
          <t>割り当て；割当；割当て；クォータ；クオータ</t>
        </is>
      </c>
      <c r="F6659" t="inlineStr">
        <is>
          <t>ノルマ未；数ノルマ；過剰なノルマ；過酷なノルマ；過大なノルマ</t>
        </is>
      </c>
      <c r="G6659" t="inlineStr">
        <is>
          <t>ノルマン人；ノルマン；ノルマンディー上陸作戦；ノルマンディ；ノルマンディー公</t>
        </is>
      </c>
      <c r="H6659" t="n">
        <v>29</v>
      </c>
      <c r="I6659" t="inlineStr">
        <is>
          <t>プレイヤーは決められた移動回数内でノルマを達成しなくてはならない。；近年では上記のノルマなしでのアイテムの企画・販売と言う形のものも多い。；ノルマは厳密ではないと言っても、さすがにこれでは通用しないだろう。；父親は娘の、娘は父親のノルマを気にしながら労働していたという。；でも考えてみれば、このノルマ査定というのはだれのためのものだろう。；全てのゲームでノルマを達成することで出現する隠し要素も存在する。；ノルマは完全に正気を失い、父であるロベルのことすら分からなくなる。；冬を越し、ノルマを果たすために死亡した率は軍人よりも多かったと思われる。；強制労働はノルマによって労働を強制されたところから出た呼称である。；一日に一件の同伴をしていたのではとうていノルマなど達成できやしない。；売り上げのノルマも無事達成し、以降活動を継続することが決まった。；客から代金を得るごとに画面上部の「ノルマメーター」が上昇していく。；朝は明るい顔でいなければならないと、自分にノルマを課している。；自分は就職して二年目なんですが、ノルマ厳しいんっすよ、うちの会社。；逆に難易度が高い相手の場合はクリアに必要なスコアのノルマも高くなる。；全てノルマ制であるが、一部のゲームを除いてノルマは常に3である。；お互いに同じ男性を愛しているとは知らないノルマは彼女を赦す。；今年はノルマが達成できそうなペースだと指折り数えて自慢していた。；少しでもノルマ以上の仕事を果たし、少しでも給料を上げなくちゃいけない。；しかも前に記した数字はノルマの定量をあげた者に対する量である。；ソ連が再び定量方式に戻したのはノルマ制の持つ悪循環に気づいたからである。；すでに午後一時をまわっていたが、私たちはノルマを果たしていた。；工場勤務も厳しいノルマなどなく、日本人の女工達と楽しく過ごしていた。；新素材の開発が仕事で、地味でも研究者には厳しいノルマがあるんだそうだ。；ただし、視聴者が参加している場合は5人以上でもノルマは9問となる。；これらは報奨金が大きい高級店とノルマが厳しい格安店に見られる傾向である。；目標、または約束という形を取っているが、これは事実上のノルマであった。；言われたとおりにノルマをこなし、いつか羽根を返してもらうために。；もう一日のノルマは果たしたのだが、こういう日には貯金を作っておくに限る。</t>
        </is>
      </c>
      <c r="J6659">
        <f>HYPERLINK("https://www.weblio.jp/content/ノルマ", "词义详情")</f>
        <v/>
      </c>
      <c r="K6659">
        <f>HYPERLINK("https://yourei.jp/ノルマ", "查看例句")</f>
        <v/>
      </c>
    </row>
    <row r="6660">
      <c r="A6660" t="inlineStr">
        <is>
          <t>鈍い</t>
        </is>
      </c>
      <c r="B6660" t="inlineStr">
        <is>
          <t>成功</t>
        </is>
      </c>
      <c r="C6660" t="inlineStr">
        <is>
          <t>読み方：おそい
［形］［文］おそ・し［ク］
１物事の進む度合いが小さい。動作・進行などに時間がかかる。のろい。「列車の進み方が—・い」「仕事が—・い」「進歩が—・い」「物わかりが—・い」⇔速い。
２（「晩い」とも書く）ある基準より、かなり時がたっている。時期が遅れている。「—・い朝食をとる」「もう—・いから寝よう」「今年は花が—・い」⇔早い。
３時機に遅れている。間に合わない。「悔やんでももう—・い」
[派生]おそさ［名］</t>
        </is>
      </c>
      <c r="D6660" t="inlineStr">
        <is>
          <t>鈍い音(23%)；鈍い痛み(5%)；鈍い光(5%)；鈍い衝撃；鈍い色</t>
        </is>
      </c>
      <c r="E6660" t="inlineStr">
        <is>
          <t>小さい；馬鹿；遅い；間抜け；露骨な</t>
        </is>
      </c>
      <c r="F6660" t="inlineStr">
        <is>
          <t>鈍い鋸歯；鈍い振動；鈍い物音；鈍い爆発音；鈍い動き</t>
        </is>
      </c>
      <c r="G6660" t="inlineStr">
        <is>
          <t>鈍い球音</t>
        </is>
      </c>
      <c r="H6660" t="n">
        <v>29</v>
      </c>
      <c r="I6660" t="inlineStr">
        <is>
          <t>するとはるか前方に、炎が鈍い光を放って燃えているさまが見えてきた。；わたしはこちらの顔にかかる彼の鈍い目玉の重さを感じるように思った。；彼の剣はふたたび空を切って、反対側の壁に鈍い音をたててぶつかった。；彼は紙に書いてある一行の文句を示して、それから鈍い声でつけ加えた。；しかし彼の胸の奥に、鈍い痛みが残っているのは何故だっただろうか。；その顔には、皮肉の代わりに、鈍い、子供のような恐怖が現われました。；アーチの反対側のところにも、同じような丸い物が鈍い光を放っている。；だが鈍重で痴鈍で感じの鈍い、まるで私の趣味には合はないものだつた。；いつか月は深い雲の底にかくれて、鈍い光りを投げてゐるだけであつた。；色は鈍い緑色だが、表面は光沢を帯び、その正体は全く見当がつかない。；もっとも女房に言わせると、鈍くなっただけとしか認めてくれないが。；通常の船舶はあまりに鈍くて目に付きやすく海軍からは逃れられなかった。；その唸り声の間から、重い鈍い声が四方から王子へ呼びかけてきました。；停めてある自動車の濡れた屋根の列が、明かりを受けて鈍く光っていた。；戦後のベビー・ブームで人口が増加し、今日では伸びが鈍くなっている。；組織なんてものは大きくなると決定手続きばかりが増えて動きが鈍くなる。；ここの連中ぐらいひどく鈍くて観察力の乏しいやつもまずないだろう。；頭の上で遠雷のような鈍い地響がするのは、多分電車の轍の音であろう。；リーは、そのいつもは鈍い敵軍がはるか北に動いたことを知らなかった。；天は、灰色の裏に白い光を秘めているように、鈍く膨らんで見えていた。；顔や手に相当する部分が鈍い光沢を放つ金属で作られているのもそのまま。；彼は紙に書いてある一行の文句を示して、それから鈍い声でつけくわえた。；そして次の瞬間、もう目の前には、鈍くうねる黄河の流れが迫っていた。；すると、鈍い音をたてて、そのさびたとびらは暗い奥の方へ開きました。；感覚が鈍くなり、自分の身体ではないような奇妙な違和感がつきまとう。；それ以来頭が鈍くなって日々の稼ぎも計算できなくなってしまったとび助。；頭が足りないというほどでもないんですが、たしかに智力は鈍いようです。；しかし然ういう直接為めになるのには感じが鈍い性分だから仕方がない。；人間の中でも電気に感じ易い人と、感じの鈍い人とあるものだからね。</t>
        </is>
      </c>
      <c r="J6660">
        <f>HYPERLINK("https://www.weblio.jp/content/鈍い", "词义详情")</f>
        <v/>
      </c>
      <c r="K6660">
        <f>HYPERLINK("https://yourei.jp/鈍い", "查看例句")</f>
        <v/>
      </c>
    </row>
    <row r="6661">
      <c r="A6661" t="inlineStr">
        <is>
          <t>のろのろ</t>
        </is>
      </c>
      <c r="B6661" t="inlineStr">
        <is>
          <t>成功</t>
        </is>
      </c>
      <c r="C6661" t="inlineStr">
        <is>
          <t>［副］(スル)動きがにぶく、ゆっくりしているさま。「作業が—（と）してはかどらない」「—運転」</t>
        </is>
      </c>
      <c r="D6661" t="inlineStr">
        <is>
          <t>のろのろと歩い(3%)；のろのろと進ん(2%)；のろのろ歩い；のろのろと過ぎ；のろのろと動い</t>
        </is>
      </c>
      <c r="E6661" t="inlineStr">
        <is>
          <t>ゆっくり；徐々に；そろそろ；ゆったり；悠々</t>
        </is>
      </c>
      <c r="F6661" t="inlineStr">
        <is>
          <t>やがてのろのろ；のろのろと立ち上がる；のろのろと腰；のろのろと階段；のろのろと進み</t>
        </is>
      </c>
      <c r="H6661" t="n">
        <v>29</v>
      </c>
      <c r="I6661" t="inlineStr">
        <is>
          <t>考えたことをのろのろと口に出すときには、部下は仕事にかかっている。；そのほとんどは他の大多数の存在に比べずっとのろのろと作業していた。；男は、女の二三歩うしろまではしつて來て、それからのろのろと歩いた。；五分ほど待つと、のろのろと建物の陰から出てくる見張りの姿が見えた。；俺は沈んだ気分で店の前から離れ、駅に向かってのろのろ歩き出した。；なんでも何時間も何時間も長い長いあいだそれはのろのろと歩いた。；ドサリと包みを投げだすと、源太はのろのろと重い家の戸をあけました。；頭ではわかっているのだが、妙にのろのろとしか手が動かないのだ。；ことに昨夜のような雪の晩には、誰でもそうのろのろ歩いているものはない。；二台のクルマは時折砂利道に足をとられながらものろのろと登ってゆく。；その先の斜面になんだかわからないひょろ長い機械がのろのろ動いていた。；その前を赤い腰巻きをしたインド人が赤旗を持ってのろのろ歩いていた。；のろのろと人の動く気配がして、あらわれたのは例のみつ口であった。；人間ののろのろした反応では、この瞬間を利用するのに不足だった。；わたしもおんぼろ車をスタートさせて、のろのろと後から走らせました。；リントンはのろのろと体を引きずるように椅子を離れ、横になりました。；死が訪れるかもしれない二人にとって、時間はのろのろと経過していった。；それから、紙を手にしたままのろのろと向きを変え、再び廊下へ出る。；雅志は困った顔で、そのボールを外野にいる味方に、のろのろと投げた。；二人はさらに待ちつづけ、さらに一時間がのろのろと過ぎていった。；やっと乗り込んでも、バスはのろのろ運転でなかなか先に進まなかった。；で、のろのろと、わたしたちはまるで探しものでもするように歩いてゆく。；スカイラーク号の背後から、奇妙なものがのろのろと動いて出てくる。；そのうちのろのろと内がわへ引っこみ、姿は見えなくなってしまった。；のろのろと私は一人でお風呂を立て、そこから出て、机に向いました。；手がかたつむりのようにのろのろと動いて、望みのボタンに向かった。；のろのろと筆を動かしてゆくうちに、彼の心持は次第に陰鬱になってきた。；男はのろのろと輪に首と片足をかけ、やっと下半身を引き抜くのだった。；百姓女たちが、長い熊手を手に持って、畑の中をのろのろ歩いている。</t>
        </is>
      </c>
      <c r="J6661">
        <f>HYPERLINK("https://www.weblio.jp/content/のろのろ", "词义详情")</f>
        <v/>
      </c>
      <c r="K6661">
        <f>HYPERLINK("https://yourei.jp/のろのろ", "查看例句")</f>
        <v/>
      </c>
    </row>
    <row r="6662">
      <c r="A6662" t="inlineStr">
        <is>
          <t>のんき</t>
        </is>
      </c>
      <c r="B6662" t="inlineStr">
        <is>
          <t>成功</t>
        </is>
      </c>
      <c r="C6662" t="inlineStr">
        <is>
          <t>読み方：のんき
［名・形動］《「のん（暖）」は唐音。「呑気」「暢気」は当て字》
１性格や気分がのんびりとしていること。こせこせしないこと。また、そのさま。「—な人」「—に暮らす」
２気晴らしをすること。気散じをすること。
「ちっとの間—させましょかと」〈浄・浪花鑑〉
[派生]のんきさ［名］</t>
        </is>
      </c>
      <c r="D6662" t="inlineStr">
        <is>
          <t>のんきそう(7%)；のんきな顔(2%)；のんきな声；のんきな話；のんき者</t>
        </is>
      </c>
      <c r="E6662" t="inlineStr">
        <is>
          <t>やすい；楽；軽い；穏やか；気楽</t>
        </is>
      </c>
      <c r="F6662" t="inlineStr">
        <is>
          <t>なんてのんき；いかにものんき；まことにのんき；至極のんき；のんき大将</t>
        </is>
      </c>
      <c r="G6662" t="inlineStr">
        <is>
          <t>のんきな父さん；のんき君；のんきくん</t>
        </is>
      </c>
      <c r="H6662" t="n">
        <v>29</v>
      </c>
      <c r="I6662" t="inlineStr">
        <is>
          <t>のんきな様子で部屋に入る態度は、現状に満足し切っているかのようだ。；のんきなことを考えているが、実は幸平はもう少しで死ぬところだった。；だがソロには、これはそんなのんきな話ではないことはわかっていた。；あの人ものんきね、お前のようなぼんやり者を外国にやるつもりでいたり!；春のせいねーなんてのんきなことを言ってた私はどうすればいいのだ。；彼女は別に驚くでもなくそれを見ながら、のんきに鼻唄など唄っていた。；どうかして髪を剃り落としたいと望みながらのんきなふうを装っている。；しかし私はすでに与えられたものに対してはのんきである事ができません。；今私は健康を回復し、こうやってのんきそうに遊園地などを歩いている。；「あんな話を書いてて、のんきですね」 などと言われることがあった。；アメリカの女たちは、決してこんなに美しくのんきにしてはいないと思う。；しかしただ一人課長の机の前でのんきそうに煙草をふかしている者があった。；これ以上返り血を浴びるのはいやだな、とそんなことをのんきに考えた。；温泉場に来ているからといって、みんなのんきな保養客ばかりではない。；温泉場に来ているからと云って、みんなのんきな保養客ばかりではない。；つまり、何語でも自分の意志を表現できないというのんきなのまでいた。；こののんきさがこの場合の三郎にとってはどんなに心強かったでしょう。；時の経つのは早いものだわとのんきなことを言ってる場合じゃない。；キリギリスは、まだ日が高いと思ってのんきに遊び呆けているのである。；なんだか理想の姿をした女だな、と、万里は妙にのんきに思っていた。；ひとを泥棒にしたままでよくのんきにそういうことが言えるものだ。；彼女は以前のようにのんきで、快活ではなくなったが、落ち着いてきた。；土手の上をのんきそうに散歩しているかれの姿をあたりの人々はつねに見た。；「のんきなことを言っている場合ではないぞ」 男が上を見上げて唸った。；みな、京都のころの衣裳を身につけて、のんきそうな表情をしていた。；さうした粗末な船が、エミリアンにはかへつてのんきでよかつたのです。；保郎は、来年は別な学校に入ろうと、のんきな気持ちで帰って来たのだ。；のんきな声を返してくる琥珀さんを後目に、俺は大慌てで支度を始める。；だが鉄太郎はそれを全く知らず、のんきに妓楼に上り女を抱いて寝たのだ。</t>
        </is>
      </c>
      <c r="J6662">
        <f>HYPERLINK("https://www.weblio.jp/content/のんき", "词义详情")</f>
        <v/>
      </c>
      <c r="K6662">
        <f>HYPERLINK("https://yourei.jp/のんき", "查看例句")</f>
        <v/>
      </c>
    </row>
    <row r="6663">
      <c r="A6663" t="inlineStr">
        <is>
          <t>のんびり</t>
        </is>
      </c>
      <c r="B6663" t="inlineStr">
        <is>
          <t>成功</t>
        </is>
      </c>
      <c r="C6663" t="inlineStr">
        <is>
          <t>［副］(スル)ゆったりとしてくつろいださま。のびのび。「—（と）湯につかる」「—した性格」
→ゆっくり［用法］</t>
        </is>
      </c>
      <c r="D6663" t="inlineStr">
        <is>
          <t>のんびり屋；のんびりと歩い；のんびり歩い；のんびりしてる；のんびり過ごし</t>
        </is>
      </c>
      <c r="E6663" t="inlineStr">
        <is>
          <t>ゆっくり；自由に；楽；ゆったり；気楽</t>
        </is>
      </c>
      <c r="F6663" t="inlineStr">
        <is>
          <t>こんなにのんびり；ひどくのんびり；いかにものんびり；あまりのんびり；のんびりと草</t>
        </is>
      </c>
      <c r="H6663" t="n">
        <v>29</v>
      </c>
      <c r="I6663" t="inlineStr">
        <is>
          <t>どこかのんびりしたものであったが、日本の電車ではこれが許されない。；のんびりしていながらアップテンポで話が進んでいけばと思っています。；関心があるのかないのかノンビリとした口調でそんな風に返してきた。；わたしは珍しくのんびりして食堂のテーブルでこれをかきはじめました。；あなたがたみんなと同じようにのんびりしていられたらと思いますわ!；これはまだ世の中が単純でのんびりした時代に生きていた人間の発想だよ。；芯人は学校のような城で様々なことを学びつつ、のんびり暮らしている。；これを見ても昔の如く優雅なのんびりとした風はなくなってしまった。；今の今まで、のんびりと行綱と話をしていた清盛とは人が違った様だった。；おそらくそうやってのんびりとした気分を味わっていたのではないか?；こいつが守ってくれたお除でこんなノンビリしたこと言えるんだよな。；ところで、田舎でのんびりしてる間に何かいいことはなかったのかい?；他のクラスメイトたちも適当に露店を流しながらノンビリと進んでいる。；のんびりとパンを切っていた時、ふとかすかな物音がしたので眼を上げた。；東京にいるときは、のほほんと、のんびりと何も考えないで生きてきた。；この頃が、彼の生涯で、もっとものんびりした時期であったかもしれない。；そしてそれはいつも、僕の心が愉快にのんびりしてる時のことなんだ。；特に王宮から連絡もなかったので、才人たちはのんびりと過ごしていた。；ほかのマンハッタン内とは違うのんびりとした感じに人気があると言われる。；のんびりしているように見えるが、逃げ足は早く、盛んに飛んで逃げる。；彼は、ある料理店に車をつけ、のんびりと、考えこみながら食事をした。；場所柄ですけれども客のない時で、女ものんびりして打ちあけてくれます。；誰かがよみがえってくるものとのんびり寝て待つわけにはもはやいかぬのだ。；あんなにあわてて求婚しながら、結婚となると急にのんびりしてしまう。；それから才人たちはティファニアの家の庭に出て、のんびりと過ごした。；突っ走っていた船脚は、断崖に保護されてのんびりしたものに変わった。；この勇気がなくてはとても今の世間をのんびりした気持ちでは渡って行かれないらしい。；記代子は彼の前ではノンビリしていたが、内心はやりきれなかったのだ!；あの人の側にいると、自由でのんびりして、心の中が明るくなった。</t>
        </is>
      </c>
      <c r="J6663">
        <f>HYPERLINK("https://www.weblio.jp/content/のんびり", "词义详情")</f>
        <v/>
      </c>
      <c r="K6663">
        <f>HYPERLINK("https://yourei.jp/のんびり", "查看例句")</f>
        <v/>
      </c>
    </row>
    <row r="6664">
      <c r="A6664" t="inlineStr">
        <is>
          <t>歯</t>
        </is>
      </c>
      <c r="B6664" t="inlineStr">
        <is>
          <t>成功</t>
        </is>
      </c>
      <c r="C6664" t="inlineStr">
        <is>
          <t>読み方：し
［音］シ（呉）（漢）　［訓］はよわい
［学習漢字］3年
〈シ〉
１は。「歯科・歯牙(しが)・歯齦(しぎん)／義歯・犬歯・皓歯(こうし)・切歯・乳歯・抜歯・門歯」
２年齢。よわい。「尚歯・年歯」
〈は（ば）〉「歯茎・歯車／奥歯・虫歯」
［名のり］かた・とし</t>
        </is>
      </c>
      <c r="D6664" t="inlineStr">
        <is>
          <t>歯状；歯骨；歯ざわ；歯並み；歯触り</t>
        </is>
      </c>
      <c r="E6664" t="inlineStr">
        <is>
          <t>歯牙；スプロケット；乳歯</t>
        </is>
      </c>
      <c r="F6664" t="inlineStr">
        <is>
          <t>鋭い歯；黄色い歯；皮歯；歯擦摩擦音；歯状核赤核</t>
        </is>
      </c>
      <c r="G6664" t="inlineStr">
        <is>
          <t>歯科；歯止め；歯ぎしり；歯科医師；歯切れ</t>
        </is>
      </c>
      <c r="H6664" t="n">
        <v>29</v>
      </c>
      <c r="I6664" t="inlineStr">
        <is>
          <t>顎に並ぶナイフ状の短い歯は、ほとんどが同じ長さで生えそろっていた。；馬歯は一生を通じて硬い草を食べ続けるため上下に長い形状をしている。；顎の歯は少なくとも一部は分割され、ほとんどの種では外側を向いている。；この独特の歯で樹木の葉を櫛で漉き取るように食べていたと推測される。；さらに正確な歯車の歯数が得られ、新たな歯車の理論展開を可能にした。；多くの歯は抜け落ち、食事や服を着るのにも非常に長い時間がかかった。；直腸と皮膚の境目になる部分には歯状線と呼ばれるギザギザの線がある。；本科の魚の口には毛のような歯が生えており、これを表したものであろう。；小さい時から思ったことは何でも口にする歯に衣きせぬ毒舌だったという。；多くの歯が見つけられるにつれてさらに多くの属が設立される結果になった。；多くの歯を失った老人でも最後まで生えており、その寿命は一番長い。；晩年は目がほとんど見えず、歯も無く、関節炎に苦しんでいたとのこと。；日本語用TeXでも級や歯で文字の寸法などを指定することができる。；しかし、皮肉にもゴルバチョフの鉄の歯はグロムイコ自身にも向かった。；基本的な構造は歯と同じであるため、皮歯と呼ばれることもある。；彼はこれを魚類の歯と判断し、それらを属や種に分類して記載した。；歯が融合して嘴状となっていることが、ベラ科との重要な鑑別点である。；顎と歯の形態もまた、フグ類の系統関係を強く反映する重要な形質である。；口蓋骨は顎を閉じた際に下顎の歯が収まることのできる小さな孔を有した。；最晩年まで入れ歯を用いず、自分の歯であることが自慢のひとつであった。；唇は両方とも歯の上に丸め、上唇がさらに「」に沿っていることが多い。；う蝕とは、歯の実質欠損のなかで、生物的要因が原因であるものである。；硬組織用レーザーは歯や骨を治療するためのレーザーということである。；とくに病巣に歯状核が含まれている時に観察されることが多い。；ここでは音源に金属の櫛歯を使うものをオルゴールと呼ぶこととする。；サイズは各種あるので、歯の状態にあったものを選択すること。；左右の棘は向かい合うように内側に弧を描き、内側には数個の歯もある。；打撃を受ける際には歯を噛み締めて頭部の衝撃に耐えるのが基本だからである。；海面から頭部を出して口を開け、44本ある歯を見せつけることもある。</t>
        </is>
      </c>
      <c r="J6664">
        <f>HYPERLINK("https://www.weblio.jp/content/歯", "词义详情")</f>
        <v/>
      </c>
      <c r="K6664">
        <f>HYPERLINK("https://yourei.jp/歯", "查看例句")</f>
        <v/>
      </c>
    </row>
    <row r="6665">
      <c r="A6665" t="inlineStr">
        <is>
          <t>刃</t>
        </is>
      </c>
      <c r="B6665" t="inlineStr">
        <is>
          <t>成功</t>
        </is>
      </c>
      <c r="C6665" t="inlineStr">
        <is>
          <t>読み方：にん
〈人〉⇒じん
〈刃〉⇒じん
〈仁〉⇒じん</t>
        </is>
      </c>
      <c r="D6665" t="inlineStr">
        <is>
          <t>刃こぼれ；刃部；刃長；刃風；刃状</t>
        </is>
      </c>
      <c r="E6665" t="inlineStr">
        <is>
          <t>中身；中味；物打；剃刃</t>
        </is>
      </c>
      <c r="F6665" t="inlineStr">
        <is>
          <t>刀刃；直刃；広刃；乱刃；焼刃</t>
        </is>
      </c>
      <c r="G6665" t="inlineStr">
        <is>
          <t>刃先；刃傷；刃渡り；刃文；刃傷沙汰</t>
        </is>
      </c>
      <c r="H6665" t="n">
        <v>29</v>
      </c>
      <c r="I6665" t="inlineStr">
        <is>
          <t>刃は、手がわずかに触れただけでも皮膚が切れてしまうほど鋭利である。；柄の中ほどと刃部の上側に穴が設けられ、両者にロープが通してあった。；切断時に刃部と材料ごと厚めのウエス等でカバーしておくと良いだろう。；この切れ刃は中心で交わらず、それぞれの逃げ面が先端で峰を形成する。；先端は剣状になっており、両刃で片側は鋸刃状になっていることが多い。；また同じ用途でも、切れ刃の角度が異なるものなど様々な形状がある。；放射口の中心部分から放出されるエネルギー集合体は刃のように見える。；刀は、武器の一種であり、剣の内でもとくに片側にしか刃のない物を指す。；いずれの物も日本の薙刀に似た大きな刃を持つ形状の長柄武器である。；クリスは柄の幅のある刃以外に、特別に手を保護するようなものが何も無い。；なお、ナイフの刃をモチーフにしたバンドロゴは、本作から採用された。；また、刃は円錐状以外にも「剣」のように平たい形状のものも出てきた。；槍状の刃の下部が袋状になっていて、そこに柄を差し込んで使用する。；相手は剣が動かせないがこちらはそのまま表刃で相手の顔を狙う。；刃の接触点に剪断する力を集中するように、刃はわずかにひねられている。；これを降伏への手配りと捉えて、ハサンに反抗して刃をむける者もいた。；刃の高速回転で生じる摩擦熱により、材料の品質が低下することもある。；刃の部分部分は短く、たいていは柄と同じくらいの長さである。；様々な形があるが、概ね柄から刃にむけて湾曲している形状を有している。；この時、尾を切ると十拳剣の刃が欠け、尾の中から鋭い大刀が出てきた。；数打ちと言われるような大量生産された物の中には最低限の刃しか付いていない物もある。；刃の角度が鋭角であるほど切れ味は良くなるが、刃の耐久性は低下する。；裏刃は剣の主なテクニックであり、角度をつけて相手の裏側を切り込む。；頭部の一方が尖っており他の一方が平刃のものは鉄道鶴嘴と呼ぶ。；帰敬式では、刃の無い儀式用の剃刀で頭をなでるだけで剃髪は行わない。；絵画用ナイフは一般的に刃が付いていない事が多い。；刃物とは、刃がついていて物を切断したり切削したりする道具の総称。；刃を被うためにカバーがあり、削りかすをためるための箱が付いている。；その刀身は黒々としていて大きな力を秘めていたが、今は刃は鈍っていた。</t>
        </is>
      </c>
      <c r="J6665">
        <f>HYPERLINK("https://www.weblio.jp/content/刃", "词义详情")</f>
        <v/>
      </c>
      <c r="K6665">
        <f>HYPERLINK("https://yourei.jp/刃", "查看例句")</f>
        <v/>
      </c>
    </row>
    <row r="6666">
      <c r="A6666" t="inlineStr">
        <is>
          <t>葉</t>
        </is>
      </c>
      <c r="B6666" t="inlineStr">
        <is>
          <t>成功</t>
        </is>
      </c>
      <c r="C6666" t="inlineStr">
        <is>
          <t>読み方：は
植物の茎や枝につき、光合成と蒸散を主な役割とする器官。秋に落葉するものと越冬するものがある。ふつう緑色で、葉身・葉柄・托葉の3部分からなり、葉身の形から単葉と複葉とに分けられる。「青々と—が茂る」「街路樹が—を落とす」
[下接語]麻の葉・斑(いさ)葉・浮き葉・枝葉・枯れ葉・桐(きり)一葉・木(こ)の葉・粗(そ)葉・照り葉・一葉・本(もと)葉・譲(ゆずり)葉（ば）青葉・明日(あした)葉・末(うら)葉・上(うわ)葉・押し葉・落ち葉・飼い葉・貝割り葉・硬(かた)葉・草葉・朽ち葉・言葉・榊(さかき)葉・獅子(しし)葉・慕い葉・下葉・新葉・酸(すい)葉・末(すえ)葉・一つ葉・干(ひ)葉・檜(ひ)葉・二(ふた)葉・古(ふる)葉・本(ほん)葉・松葉・丸葉・三つ葉・紅葉(もみじば)・湯葉・四つ葉・若葉・病(わくら)葉（ぱ）菜っ葉</t>
        </is>
      </c>
      <c r="D6666" t="inlineStr">
        <is>
          <t>葉身(2%)；葉先輩；葉裏；葉くん；葉鞘</t>
        </is>
      </c>
      <c r="E6666" t="inlineStr">
        <is>
          <t>木の葉；葉っぱ；葉身；一葉；木ノ葉</t>
        </is>
      </c>
      <c r="F6666" t="inlineStr">
        <is>
          <t>心葉；お葉；万葉；托葉；小葉</t>
        </is>
      </c>
      <c r="G6666" t="inlineStr">
        <is>
          <t>葉巻；葉書；葉山；葉柄；葉っぱ</t>
        </is>
      </c>
      <c r="H6666" t="n">
        <v>29</v>
      </c>
      <c r="I6666" t="inlineStr">
        <is>
          <t>羽縁が白い羽がササの葉に見え、和名の由来になったと考えられている。；細かく形の特徴を表す時には、葉身の葉柄の側を脚、先端側を頭という。；それ以降の時期で単に葉が茂っている状態の桜を葉桜と呼ぶことはない。；ほかにも特徴的な葉の形になぞらえ、様々なものの命名に用いられてきた。；やつでの葉のような形状と佐世保の文字から古くは「葉港」と呼ばれた。；そのような場合、それが葉であれば、枝との接点に芽があるはずである。；スギの葉から作られる線香は匂いよりも煙の量を重視したものである。；葉ではない各点に対しその点の子の数が常に であるような木を分木という。；脂質二重層は、外側の小葉と内側の小葉の2つの層で構成されている。；多くの植物はこの時期から葉を伸ばし、栄養を蓄えてから繁殖を始める。；托葉が存在しなかったり、存在していてもすぐに脱落することも多い。；また、畑栽培は落葉樹下の夏は日陰で、冬は日が当たる場所が選ばれる。；これは二つ折りにした髻の刷毛先を銀杏の葉のように広げたものである。；大きな花弁に見えるのは苞葉で、果指の部分が本当のバナナの花である。；それからしばらくして、映画の公開にあわせて二葉のコンサートが催された。；葉がやわらかいため、新鮮なうちに使い切るようにするのが基本である。；株立型で草丈は高く葉も柔らかいが頻繁に草刈りをしなければならない。；しかし、三枚の小葉がほとんど同じ形になって、その区別が難しいものもある。；上の歌には万葉らしく、鎌足の二重の喜びが素直に表現されている。；また熱帯では果実のみならず、葉から繊維を採って利用することがある。；葉が持っている独特の香気を活かすために、調理の最後に加えるとよい。；不思議なことに右葉の上下亜区を境界する構造は存在しない。；葉身が葉鞘に至るところで膨らむことがあるがここを葉耳と呼ぶ。；葉の幅が最も広くなる場所が葉の中央付近の場合、楕円形という。；葉は結球の外側は緑色をしているが、結球の内部へいくほど黄白色になる。；これに対して、これまで説明したような葉を持つ仲間を大葉類という。；葉にはたくさんの筋が入っているのが普通である。；落葉広葉樹林は温暖な夏にのみ葉を繁らせるため、夏緑林とも呼ばれる。；ただし17のほうは戦後に笹の葉を含ませていた首の数である。</t>
        </is>
      </c>
      <c r="J6666">
        <f>HYPERLINK("https://www.weblio.jp/content/葉", "词义详情")</f>
        <v/>
      </c>
      <c r="K6666">
        <f>HYPERLINK("https://yourei.jp/葉", "查看例句")</f>
        <v/>
      </c>
    </row>
    <row r="6667">
      <c r="A6667" t="inlineStr">
        <is>
          <t>場</t>
        </is>
      </c>
      <c r="B6667" t="inlineStr">
        <is>
          <t>成功</t>
        </is>
      </c>
      <c r="C6667" t="inlineStr">
        <is>
          <t>読み方：じょう
［音］ジョウ（ヂャウ）（呉）　［訓］ば
［学習漢字］2年
〈ジョウ〉
１何かが行われる所。「場外・場内・場裏／会場・開場・漁場・劇場・式場・出場・戦場・退場・登場・道場・農場・満場・浴場・来場・試験場」
２ひとしきり。一回。「一場」
〈ば〉「場合・場所・場面／足場・市場・急場・職場・相場・立場・墓場・本場」
［難読］弓場(ゆば)</t>
        </is>
      </c>
      <c r="D6667" t="inlineStr">
        <is>
          <t>場処；場長；場限り；場しのぎ；場かぎり</t>
        </is>
      </c>
      <c r="E6667" t="inlineStr">
        <is>
          <t>ところ；場所；位置；地；点</t>
        </is>
      </c>
      <c r="F6667" t="inlineStr">
        <is>
          <t>駐輪場；闘技場；停車場；停留場；競技場</t>
        </is>
      </c>
      <c r="G6667" t="inlineStr">
        <is>
          <t>場所；場面；場内；場外；場末</t>
        </is>
      </c>
      <c r="H6667" t="n">
        <v>29</v>
      </c>
      <c r="I6667" t="inlineStr">
        <is>
          <t>物質はそうした現象や出来事が起こる場や対象のような位置を占めている。；それは家庭でのカルテット演奏会から育って大きくなった社交場だった。；現代でも様々な場で使用されており、鉄に次いで重要な金属材料といえる。；元は曲裾が正式な礼服であり、直裾は公式の場では着てはいけなかった。；日本人スタッフが駐在し、学生間の交流と情報交換の場にもなっている。；作る場である台所は、食べる場である食堂との関係が非常に重要になってくる。；むしろ、司法の場で裁かれるよりも身内だけで解決したいと思っていた。；住区センターには児童館や老人憩いの場などが併設されている例もある。；上記以外は競走場で定められたものを必要に応じて購入する。；更にその他には球団全体の練習場と合宿所が追浜公園内に設けられている。；このような場で彼はイタリアを取り巻く政治的な雰囲気を感じ取った。；上記の各学校においても中等教育以上は男子教育の場でしかなかった。；瀬戸内海は縄文時代から今日に至るまで、多様な漁業の場となってきた。；すっかりその気になって痛みも忘れた新郎と、いそいそとその場を去る。；なお、この建物横の旧改札口のあった場所は現在駐輪場となっている。；また事あるごとに講習会や実地授業などの場で指導し、普及に努めた。；磁力を支配する場の起源と振る舞いはマクスウェル方程式で記述される。；アメリカの競馬場の中ではゴールまでの直線が比較的長い事が特徴とされている。；患者本人は少なくとも場の文脈に応じた行動を取ることが難しい。；競技はドラッグストリップと呼ばれる直線の専用レース場で行われる。；副審が試合場にいないと試合が他の者から見やすいのであった。；また、携帯サイトや新雑誌などのニッチな場での漫画作品の発表を行う。；海外留学生と、共同プログラムに所属する日本人学生の交流の場も提供する。；中には、など、公の場で差別的ともとれる意見が述べられることもあった。；場は時空間のあらゆるところで定義され、波動を引き起こす能力がある。；卒業後に両者はパートナーとなり、1993年に活動の場をパリに移した。；これに伴いGI級競走の桜花賞および宝塚記念を京都競馬場で開催した。；このような場所では商品を売る際にその場にいる労働者が全員で働くことはあまりない。；平成に入って、日本各地でこのような藻場の衰退が聞かれるようになった。</t>
        </is>
      </c>
      <c r="J6667">
        <f>HYPERLINK("https://www.weblio.jp/content/場", "词义详情")</f>
        <v/>
      </c>
      <c r="K6667">
        <f>HYPERLINK("https://yourei.jp/場", "查看例句")</f>
        <v/>
      </c>
    </row>
    <row r="6668">
      <c r="A6668" t="inlineStr">
        <is>
          <t>はあ</t>
        </is>
      </c>
      <c r="B6668" t="inlineStr">
        <is>
          <t>成功</t>
        </is>
      </c>
      <c r="C6668" t="inlineStr">
        <is>
          <t>［感］
１ややかしこまって応答するとき、また、相手の言葉に同調するときに用いる語。「—、わかりました」「—、それは大変でしたね」
２返答に困ったとき、また、相手の言葉に同調できかねるときに用いる語。「—、それはそうですが」「—、そうおっしゃられても」
３ややかしこまって、聞き返すときに用いる語。は。「—、なんでしょうか」
４大声で笑う声。あはは。
「あまた声して—と笑ひて」〈著聞集・一七〉
５失敗などをして困っているときに発する声。しまった。
「—、ひきさいた」〈虎清狂・文荷〉</t>
        </is>
      </c>
      <c r="D6668" t="inlineStr">
        <is>
          <t>はあああああ；はあなるほど；はあはあはあ</t>
        </is>
      </c>
      <c r="F6668" t="inlineStr">
        <is>
          <t>はあああ；はっはあ；えはあ</t>
        </is>
      </c>
      <c r="G6668" t="inlineStr">
        <is>
          <t>はあと；はあく；はあちゅう；はあはあはあ；はあはあはあはあ</t>
        </is>
      </c>
      <c r="H6668" t="n">
        <v>29</v>
      </c>
      <c r="I6668" t="inlineStr">
        <is>
          <t>ははあ、こいつ人間から聞いたことを、そのまま繰り返しているんだな。；はあ、と気の抜けた溜息をついて、ぼんやりと時計の音を聞くこと数分。；そうしていずれも胸に落ちたような「ははあ」というような表情をした。；先生は浅井君の方を向いて 「はあ、そうかい」と気のない返事をした。；あん日からずっと、おるはあねさんよりほかのことは考えもせんやったと。；ははあ、そういうものかな、と聞いている一同は訳もわからずに合点した。；はあ、それならと手を取るように教えてやっけが、お前様用でもないかの。；「はあ、もう近くの病院に着いていると思いますがねえ」 当たり前だ。；ははあ、あいつ、わしがこんどの水曜に式をあげるのを知っていやがる。；自分も一度はあゝいふ風にして人々に送られるのだなと思つた。；はあなるほどというのは取も直さず新らしかったと云う意味であります。；はあ西馬音内から、此だけよいものを発見したのだなと感心しました。；はあ残念なことに皿や何かはもうみんな洗ってしまったのです。；「これ、次に作る予定なんだよね」 「はあ、そうですか」返事に困る。；「はあ」 と新太郎君は何かもっと具体的なものを掴みたかったのである。；「はあ、伊原は自分であります」 と、彼はその老上等兵の前に立った。；何でもはあ、市の富豪が牝牛一匹の画に一万四千弗とか払つたつてこんだ。；景は話の半分も理解できないながら、「ははあ」と感嘆の声を上げていた。；はあ、苦しかったと溜息をついているのはスリップ一枚のようこである。；ははあ、この男は、あの死肉の上の着物を取って来たのだな。；聞いたような声だとも云うし、ははあ、之は佐瀬だと感じたのさ。；安部 ははあ、その時にソ連の銃には安全装置がないことがわかったんですね。；ははあ、あれがディクソンだなと横目で見ながら録音を続けていた。；ははあ、わしがどこから見ているかわからんので、びっくりしているのだろう。；「はあ」 と答えてお里は坐ったが、又直ぐに立つ運命を持っていた。；ははあ、これでおれは眠っていないことがよくわかった。；ははあ、城介はずっとそんなことを考えていたんだな。；不安そうな顔で俺の体を支える翡翠の手を放して、はあ、と深く息をはいた。；一時間待ちましたわ、と本を読むような調子で言うと、はあ、一時間も待ちましたか。</t>
        </is>
      </c>
      <c r="J6668">
        <f>HYPERLINK("https://www.weblio.jp/content/はあ", "词义详情")</f>
        <v/>
      </c>
      <c r="K6668">
        <f>HYPERLINK("https://yourei.jp/はあ", "查看例句")</f>
        <v/>
      </c>
    </row>
    <row r="6669">
      <c r="A6669" t="inlineStr">
        <is>
          <t>場合</t>
        </is>
      </c>
      <c r="B6669" t="inlineStr">
        <is>
          <t>成功</t>
        </is>
      </c>
      <c r="C6669" t="inlineStr">
        <is>
          <t>読み方：ばあい
１物事が行われているときの状態・事情。局面。「—が—だけに慎重な判断が必要だ」「時と—による」「遊んでいる—ではない」
２もし、ある事が起こったとき。そうなった折。「万一の—に備える」
３…に関して。…について言えば。「君の—は合格が難しい」</t>
        </is>
      </c>
      <c r="D6669" t="inlineStr">
        <is>
          <t>場合も多い；場合も少なく；場合もあり得る；場合もありうる；場合も多々</t>
        </is>
      </c>
      <c r="E6669" t="inlineStr">
        <is>
          <t>時；頃；際；事件；例</t>
        </is>
      </c>
      <c r="F6669" t="inlineStr">
        <is>
          <t>必要な場合；無い場合；そういう場合；どんな場合；大きい場合</t>
        </is>
      </c>
      <c r="H6669" t="n">
        <v>29</v>
      </c>
      <c r="I6669" t="inlineStr">
        <is>
          <t>本を読む場合はページをめくる事によって次々と情報を得る事が出来る。；日本の近代以前の歴史上の戦争を題材とした場合は通常時代劇と呼ばれる。；また、日本の学生リーグの場合は各地方毎での総当たり戦が行われる。；いわゆる電子ガジェット類に機能の一つとして付属している場合もある。；ただし、それは毎月作品を採用かつ量産された場合の契約条件であった。；一方で、地盤の特性により思わぬところで揺れが大きくなる場合がある。；この時代のものをオペレーティングシステムとは呼ばない場合もある。；改善が見られない場合はアーミッシュを追放され、家族から絶縁される。；個人用のプリンターで印刷したものの場合、既にこの処理は行われている。；前者は中継用基地局の設置者以外の端末から利用される場合もあった。；また、携帯電話やスマートフォンのカメラにも搭載されている場合が多い。；このフェルミエネルギーを計算するために、Nが大きい場合を見てみる。；ただし尊重すべき理由があるときはそれ以下の年齢でも認められる場合がある。；この場合は中にいる人間が主役となるので、個人の差の問題までも考慮する。；またそれが残っている場合でも、今生きている素材のように扱うことは出来ない。；まれにこの演出すら発生しないまま商品購入状態の初期画面にされる場合もある。；また、宗教・民族の少数者を差別した記事を載せた場合の罰則もある。；地雷が勝った場合は爆発したとみなし撤去されるのが一般的である。；終局後に反則が判明した場合も、原則として反則をした側の負けとなる。；ところが、哲学の場合は名前を聞いただけでは何を研究する学問なのか分からない。；工場などで働く場合、英語との接触がかなり増えることになるケースがある。；これまで通りの選択も可能であるが、その場合婚前に手続きが必要となる。；日本語の複合語は、難しい語でも、表記を見れば意味が分かる場合が多い。；M0クラスになると、日本の地震計観測網でも捉えられない場合がある。；そのような場合、労働条件は以前よりずっと過酷であるのが普通であった。；現実のバンド構造や状態密度が大きく変化する場合には適用できない。；なお、上記の計算は平均太陽年が不変であるとした場合のものである。；この場合、挟んだ石はすべて自分の色に変えなければならない。；これらもほとんどの場合、学問成果をあげるには、現地調査が要求される。</t>
        </is>
      </c>
      <c r="J6669">
        <f>HYPERLINK("https://www.weblio.jp/content/場合", "词义详情")</f>
        <v/>
      </c>
      <c r="K6669">
        <f>HYPERLINK("https://yourei.jp/場合", "查看例句")</f>
        <v/>
      </c>
    </row>
    <row r="6670">
      <c r="A6670" t="inlineStr">
        <is>
          <t>把握</t>
        </is>
      </c>
      <c r="B6670" t="inlineStr">
        <is>
          <t>成功</t>
        </is>
      </c>
      <c r="C6670" t="inlineStr">
        <is>
          <t>読み方：はあく
［名］(スル)
１しっかりとつかむこと。手中におさめること。「政権を—する」
「その堅い—の手を緩めて」〈菊池寛・名君〉
２しっかりと理解すること。「その場の状況を—する」</t>
        </is>
      </c>
      <c r="D6670" t="inlineStr">
        <is>
          <t>把握する(20%)；把握できる(5%)；把握しよ；把握しきれ；把握力</t>
        </is>
      </c>
      <c r="E6670" t="inlineStr">
        <is>
          <t>理解；受け入れ；納得；分かる；鑑賞</t>
        </is>
      </c>
      <c r="F6670" t="inlineStr">
        <is>
          <t>すべて把握；空間把握；実態把握；把握しづらく；把握しづらい</t>
        </is>
      </c>
      <c r="H6670" t="n">
        <v>29</v>
      </c>
      <c r="I6670" t="inlineStr">
        <is>
          <t>市場は商業学上は市場現象のうち特に商品の流通を強調して把握される。；子供らは空間と時間の概念をより論理的で実用的な方法で把握している。；このように特性の把握が困難な会社との取引もクレームの対象となる。；美しいとは言っても中村菊四郎のはあくまでも男が扮した女形であった。；多くのことを一度に把握する必要がある中、孤立状態にあったのです。；自船の船位を把握していることは近代の航海術の基本のひとつである。；現在までに数多くの翻訳書が出版されてきており、全てを把握するのは難しい。；後者ではその集団を認識しやすいが、前者では直感的に把握しにくい。；また同時代の武士の墓も出土しており、埋葬形態を具体的に把握した。；玉音放送を聴く周囲の人々の雰囲気などで事情を把握した人が大半だった。；このような環境から周辺環境の変化を把握するための大型の監視塔が作られた。；この情報をもとに、列車は停止位置までの距離を把握することになる。；今のはあくまでも暗くなってからの話で、昼間は大変な賑わいなんですから。；合衆国当局はかれらの置かれた状況を把握していなかったと言明した。；おむつを着用している段階では、まだ子供は排便感覚を把握できていない。；これは患者の状態を把握するもので不整脈の診断にはそれほど重要ではない。；株主名簿とは、発行会社が株主を把握するために作成される名簿のこと。；どうやったら助けることができるか、かれはあくまでも考えつづけた。；事務室に駅管理表示器があり、列車の入線状況等を把握することができる。；面的把握が可能になったのはマルチビームソナーが実用化されて以降である。；というのも、競走馬の出走状況を把握した上で競走を編成するためである。；人間の眼は前方に向いているので、背中側で起きていることを把握するのは得意ではない。；使用できる範囲も決められている場合があり、それらを把握して使用する必要がある。；一方で、ドリルの方法は観測地点の正確な経度を把握する必要がある。；一連の経緯を把握していなかった一部経営幹部が、日本テレビへの抗議を指示。；さらには観測地点の経度が正確に把握できていなかったことなども悪影響した。；五十戸を単位として行政的に把握する試みが進められていたことを示している。；この当時、アタリ社は発売されているゲームの内容は一切把握していなかった。；特に中国では、統計が公表されていないため、正確な数量は把握できない。</t>
        </is>
      </c>
      <c r="J6670">
        <f>HYPERLINK("https://www.weblio.jp/content/把握", "词义详情")</f>
        <v/>
      </c>
      <c r="K6670">
        <f>HYPERLINK("https://yourei.jp/把握", "查看例句")</f>
        <v/>
      </c>
    </row>
    <row r="6671">
      <c r="A6671" t="inlineStr">
        <is>
          <t>バーゲン</t>
        </is>
      </c>
      <c r="B6671" t="inlineStr">
        <is>
          <t>成功</t>
        </is>
      </c>
      <c r="C6671" t="inlineStr">
        <is>
          <t>読み方：ばーげん
１掘り出し品。見切り品。
２「バーゲンセール」の略。</t>
        </is>
      </c>
      <c r="D6671" t="inlineStr">
        <is>
          <t>バーゲンホルム(15%)；バーゲンセール(15%)；バーゲン品(2%)；バーゲン会場；バーゲンライン</t>
        </is>
      </c>
      <c r="E6671" t="inlineStr">
        <is>
          <t>引き合い；掘り出し物；買い得</t>
        </is>
      </c>
      <c r="F6671" t="inlineStr">
        <is>
          <t>大バーゲン</t>
        </is>
      </c>
      <c r="G6671" t="inlineStr">
        <is>
          <t>バーゲン・ストリート駅；バーゲンブック</t>
        </is>
      </c>
      <c r="H6671" t="n">
        <v>29</v>
      </c>
      <c r="I6671" t="inlineStr">
        <is>
          <t>しばらく前にバーゲンで買ってきたシャルドネが奥の方に見つかった。；バーゲンセールにおけるあたしとは決定的に何かが違うような気がした。；バーゲンセールに出かけて大荷物を抱えて帰ると、いつも言ってたっけ。；私も庶民にまじって、バーゲンとやらに行ってもいいような気がしてきた。；もう何年もバーゲンのために高知市まで出てきたことはなかった。；当初はバーゲン・ストリート側の入口しか使用されていなかった。；情報、写真、記録や出土品は、バーゲンの地区博物館で見ることができる。；こういう人は、間違ってもバーゲンで一本七百円のネクタイなどしていない。；そう思うとバーゲンセールなどに出かけなくてもどうということはなかった。；ゲレンデバーゲンは何事もなかったかのように走り続けている。；招待状がなければ入れないバーゲンだし、ホテルでやるから丸一日かかると思うの。；バーゲンはその後にカミソリを手に持ち、台所の鏡の前に立った。；バーゲンでも一万三千円したけれど、小遣いをはたいて買ってしまった。；バーゲンでもう一枚ワンピースを買うために働くわけではない。；当時の新聞はバーゲンについて「不機嫌かつ無口な男」と記述している。；安価なバーゲン品からデザイナーブランドの高級品まで品質は様々である。；バーゲンホルムに負荷がかかっていなければ、完全な重力がえられます。；「しかし、このバーゲンは、店の自殺みたいなもんです」 田中が言った。；お袋がデパートのバーゲンで買ったとしたら、爪先の向きが逆だろう。；今日は私ひとりで行くはずのバーゲンの初日なのに、こうしてはいられない。；ゲレンデバーゲンとの距離は相変わらず狭まっても広がってもいない。；年に二回のバーゲンは、その一年の私のエネルギーの量を確かめる時でもあった。；同じバーゲンに行ったのに、フミコの方がずっといいものをいっぱいに見つけてきたのだ。；孝史は、妹が今年始めのバーゲンで買ってきた洋服を思い出した。；バーゲンヒルを横切る鉄道や道路のために多くの切土が造られている。；どうみてもバーゲン情報の交換には見えない。；ちょうどバーゲンをやっていたし、やはりこういう大きな買い物は東京でしたかった。；お得意さんとか、プレスの人だけを呼んだ特別のバーゲンだそうだ。；神戸と大阪のバーゲンセールなど漁りあるき五〇銭のネクタイなど買う。</t>
        </is>
      </c>
      <c r="J6671">
        <f>HYPERLINK("https://www.weblio.jp/content/バーゲン", "词义详情")</f>
        <v/>
      </c>
      <c r="K6671">
        <f>HYPERLINK("https://yourei.jp/バーゲン", "查看例句")</f>
        <v/>
      </c>
    </row>
    <row r="6672">
      <c r="A6672" t="inlineStr">
        <is>
          <t>場当たり</t>
        </is>
      </c>
      <c r="B6672" t="inlineStr">
        <is>
          <t>成功</t>
        </is>
      </c>
      <c r="C6672" t="inlineStr">
        <is>
          <t>読み方：ばあたり
［名・形動］
１演劇や集会などで、その場に合わせた機転で人気を得ること。「—をねらった芸」
２物事に計画性がなく、目先の効果だけを考えたその場の思いつきで行うこと。また、そのさま。「—な（の）言動」「—的な政策」</t>
        </is>
      </c>
      <c r="D6672" t="inlineStr">
        <is>
          <t>場当たり的な対応(3%)；場当たり的な行動(2%)；場当たり的行動</t>
        </is>
      </c>
      <c r="H6672" t="n">
        <v>29</v>
      </c>
      <c r="I6672" t="inlineStr">
        <is>
          <t>場当たり的な犯罪の報道があれば、被害者を運の悪い人だとあわれんできた。；あまりにも場当たり的で、科学者として気持ち悪くないんでしょうかねえ?；バンクス軍は6月14日に同じように場当たり的な2回目の攻撃を駆けた。；その侵攻は場当たり的に準備され、作戦内容のほとんどは現地へ行く途上で計画された。；それがいかに場当たり的な処置であるか、おそらく彼もわかっていたことでしょうよ。；場当たり的な対応が、限界に来ていることも明らかだった。；わけのわからぬ場当たり僧を排除するだけではない。；これも一種の場当たりであると言う者もあった。；それらは場当たり的で分析的ではなかったが、実験発生学の先駆ともいえる。；各務夫妻の犯行の中で、そこがいちばん場当たり的なところだった。；多くの長編連載を場当たりで執筆し、筋の展開に行き詰まってしまうことがあった。；しかし、品種名は場当たり的なものであり、また品質にも大きな開きがあった。；なにか場当たり的行動のようにも思えてくる。；結局、政府諸機関は明らかに腰の定まらない、場当たり的な対応を取らざるを得なかった。；どうも場当たり的にやるしかないように感じるのですが、それでもある程度の指針が欲しいと思う次第です。；誤解している仙人が多いが、龍華は決して場当たり的な行動だけに頼る女ではない。；アメリカ軍の攻勢を予測し、そのつど守備隊の派遣を決めるのでは場当たり的な対応をするだけである。；敏夫が静信の手を借りて、場当たり的に対抗して、それで事態を止められるものだろうか。；場当たりというのは、実際の舞台装置の中で自分の動きを確かめることである。；実際政治思想とは何ら無関係の身代金を狙った場当たり的な犯行であった。；舞台・照明・音響が一通り設営されてからは、場当たり稽古を行うことになる。；彼らは東インド会社の場当たり的な運営の拙さを指摘し、より効率的な政府への転換を訴えた。；他の敵機は場当たり的な攻撃を仕掛けるのみだが、この可変機からは明確な圧力を感じる。；何人かは俺の場当たりの射撃に不運にも当たってしまって倒れたが、俺はすっかり取り囲まれてしまっていた。；場当たり的で混沌とした環境であるにもかかわらず、成熟度レベル1の組織は実際に動く成果物とサービスを提供することが少なくない。；しかし、これは路線が補修工事のために閉鎖されているときにのみ可能であるため、時折しか機会がなくしかも場当たり的である。；金が欲しくて、場当たり的に近くの銀行を襲ったんですよ。；現代のように鍵を基盤とした体系的なものとは異なり、多くの暗号は場当たり的に作られ、秘密のアルゴリズムを採用していた。；単純な特徴選択アルゴリズムは場当たり的なものだが、より系統だったアプローチも存在する。</t>
        </is>
      </c>
      <c r="J6672">
        <f>HYPERLINK("https://www.weblio.jp/content/場当たり", "词义详情")</f>
        <v/>
      </c>
      <c r="K6672">
        <f>HYPERLINK("https://yourei.jp/場当たり", "查看例句")</f>
        <v/>
      </c>
    </row>
    <row r="6673">
      <c r="A6673" t="inlineStr">
        <is>
          <t>はい</t>
        </is>
      </c>
      <c r="B6673" t="inlineStr">
        <is>
          <t>成功</t>
        </is>
      </c>
      <c r="C6673" t="inlineStr">
        <is>
          <t>読み方：はい
蓮根(れんこん)の古名。
「蓮には—といふものあり。人の食ふものなり」〈奥義抄・中〉</t>
        </is>
      </c>
      <c r="D6673" t="inlineStr">
        <is>
          <t>はいなかった(24%)；はいます；はいつて；はいまわる；はいッ</t>
        </is>
      </c>
      <c r="E6673" t="inlineStr">
        <is>
          <t>杯；盃；猪口；酒杯；酒盃</t>
        </is>
      </c>
      <c r="F6673" t="inlineStr">
        <is>
          <t>袴をはい；考えてはい；忘れてはい；下駄をはい；草履をはい</t>
        </is>
      </c>
      <c r="G6673" t="inlineStr">
        <is>
          <t>はいら；はいる；はいりこん；はいれ；はいろう</t>
        </is>
      </c>
      <c r="H6673" t="n">
        <v>29</v>
      </c>
      <c r="I6673" t="inlineStr">
        <is>
          <t>経済的に力をつけてもなお自身の育ってきた環境を忘れてはいなかった。；両親のいなかったためと云っても、母だけは死んではいなかったらしい。；そこはレンブラントの住んでいたところとそれほど離れてはいなかった。；この時にはまだこの一族は自らをザーリアー家と名乗ってはいなかった。；あれをはいて川へおりていって、カイちゃんのことをきいてみましょう。；ただしこの時点ではフランス側の作戦計画は察知できてはいなかった。；その窓口と龍子のはいつてゐる箱の間の狭い通路に部長が一人立つてゐた。；すると首斬役人は、赤いくつをはいたカレンの足を切ってしまいました。；その女は一人きりで、誰も連れてはいなかったと言っているのです。；あなたはわたしの様子を見ているだけで、決してわたしを見てはいなかった。；反対もあったと考えられ、堂々と披露されてはいなかったようである。；こんなになってからいくら弱音をはいても、なんにもならないじゃないか。；恐竜は、嵐のような息をはいて、人間どもにおそいかかったのであった。；と、「十四日暁」まではいたが吉良邸にはいかなかったと書いてある。。；犬に靴をもって行かれたままだから、仕方なく下駄をはいて来たのであった。；そこで近藤氏と大和とは残っていたスキーをはいて三時半頃小屋を出た。；ただしこの段階ではまだキリスト教自体は禁止されてはいなかった。；はいている大きなぞうりがじゃまになってぬぎすてたくなるほどだった。；赤い吊りスカートをはいた、おかっぱ頭の女の子の姿が最も有名である。；ローマ時代、この都市はほとんど重要視されてはいなかったようである。；それが大きな虫のように、木の箱のほうへ、はいよっていくのです。；ただし、ティラノサウルスに特徴的な加速成長期を迎えてはいなかった。；またに進学し、プロサッカー選手と大学生の二足のわらじをはいていた。；後述するように階級社会だったが、完全に固定されてはいなかったとされる。；周りからは来年は3つ星と期待されたが、自身はそう考えてはいなかった。；その美しさは理解していたが、彼女はそこに留まってはいなかった。；しかし、その時は赤光が何を意味するかも同席者も分かってはいなかった。；一度は失敗に終わったものの、彼らはボビーの殺害を諦めてはいなかった。；彼らは火の一族に敗れた後もジパング制圧の夢を諦めてはいなかった。</t>
        </is>
      </c>
      <c r="J6673">
        <f>HYPERLINK("https://www.weblio.jp/content/はい", "词义详情")</f>
        <v/>
      </c>
      <c r="K6673">
        <f>HYPERLINK("https://yourei.jp/はい", "查看例句")</f>
        <v/>
      </c>
    </row>
    <row r="6674">
      <c r="A6674" t="inlineStr">
        <is>
          <t>肺</t>
        </is>
      </c>
      <c r="B6674" t="inlineStr">
        <is>
          <t>成功</t>
        </is>
      </c>
      <c r="C6674" t="inlineStr">
        <is>
          <t>読み方：はい
［音］ハイ（漢）
［学習漢字］6年
１五臓の一。呼吸をつかさどる器官。「肺炎・肺臓／心肺・塵肺(じんぱい)」
２心。「肺肝・肺腑(はいふ)」</t>
        </is>
      </c>
      <c r="D6674" t="inlineStr">
        <is>
          <t>肺胞(4%)；肺疾患(2%)；肺病患者；肺いっぱい；肺機能</t>
        </is>
      </c>
      <c r="E6674" t="inlineStr">
        <is>
          <t>胸；胸部；肺臓；ルンゲ</t>
        </is>
      </c>
      <c r="F6674" t="inlineStr">
        <is>
          <t>書肺；左肺；両肺；性肺；肺損傷</t>
        </is>
      </c>
      <c r="G6674" t="inlineStr">
        <is>
          <t>肺病；肺結核；肺癌；肺がん；肺臓</t>
        </is>
      </c>
      <c r="H6674" t="n">
        <v>29</v>
      </c>
      <c r="I6674" t="inlineStr">
        <is>
          <t>肺癌の一種と説明する人がいるが、肺ではなく胸膜にできるものである。；腹面の基部近くに一対の書肺気門があるが、同時に器官気門が一対ある。；肺の構造を理解する上で欠かせない概念が二次小葉といわれるものである。；肺の呼吸面をまんべんなく広くし、肺全体が自由に呼吸することになる。；これを肺まで深く吸引した後に吐き出しても実際の煙草同様に煙が見える。；彼女の肺はまだ動き続け、頭は赤ん坊をうむために呼吸法を行っていた。；人工呼吸はすぐに行われ、大統領の肺に電気ポンプで空気が注入された。；その後、水中生活へ特に適応した系統が肺を鰾へと変えたと考えられる。；特に肺疾患を持つ人は防塵マスクの使用および医師への相談を勧めている。；肺出血を起こした馬は競走能力の低下を起こすという研究結果がある。；次に酸素を豊富に含んだ後気嚢内の空気が後方から肺管に送り込まれる。；皮膚に接触した場合には激しい薬傷を生じ、煙を吸入すると肺を侵す。；この記事によれば、たばこが肺 がんの原因ではない可能性があるという。；例として呼吸に関連する肺やその下にある横隔膜、腹の動きに左右される。；肺鬱血は、肺が左心系の上流に位置することから出現するものである。；数年後、彼は肺の病気のためスウェーデンに帰国することを余儀なくされた。；初期の硬骨魚類の系統には肺が存在し、鰓のガス交換の補助をしていた。；有尾類は四肢動物進化史上、肺の消失が頻繁に起こった唯一の目である。；しかし四肢動物を除く多くの現生の硬骨魚類では肺は鰾へと進化している。；肺と大腸は共に中国の五行でいうと金に属するため密接な関係を持つ。；なお、入院後の検査でかつて癌を患った肺の状態も悪化していたことが判明。；では100分の2の肺が一般的に見られるようになった群れではどうだろうか。；再生医療には他にも肺のような大きな臓器の再生も可能にしている。；急性肺血管反応試験で無反応の場合に以下の肺血管拡張薬が用いられる。；空気を排出しきった後の肺の容量は安静時の機能的残気量より少なくなる。；鼻に水が入るのを防ぐため、肺の空気が鼻から漏れることを防ぐために使用する。；また、この状態で呼吸を行うことによって肺機能を強化することが可能である。；また肺を圧迫するために呼吸が阻害され、長時間の走行を困難にしている。；こうして肺を通過した後の血液は酸素を豊富に含み、動脈血と呼ばれる。</t>
        </is>
      </c>
      <c r="J6674">
        <f>HYPERLINK("https://www.weblio.jp/content/肺", "词义详情")</f>
        <v/>
      </c>
      <c r="K6674">
        <f>HYPERLINK("https://yourei.jp/肺", "查看例句")</f>
        <v/>
      </c>
    </row>
    <row r="6675">
      <c r="A6675" t="inlineStr">
        <is>
          <t>灰</t>
        </is>
      </c>
      <c r="B6675" t="inlineStr">
        <is>
          <t>成功</t>
        </is>
      </c>
      <c r="C6675" t="inlineStr">
        <is>
          <t>読み方：かい
［音］カイ（クヮイ）（漢）　［訓］はい
［学習漢字］6年
〈カイ〉
１はい。「灰燼(かいじん)／降灰・骨灰・塵灰・石灰」
２はい色。「灰白色／鉛灰色」
３生気のないもの。「死灰」
〈はい（ばい）〉「灰色・灰皿／骨灰(こつばい)」
［難読］灰汁(あく)・石灰(しっくい)</t>
        </is>
      </c>
      <c r="D6675" t="inlineStr">
        <is>
          <t>灰褐色(10%)；灰青色；灰黒色；灰白質；灰紫</t>
        </is>
      </c>
      <c r="E6675" t="inlineStr">
        <is>
          <t>アッシュ；木灰；灰分；死灰；灰殻</t>
        </is>
      </c>
      <c r="F6675" t="inlineStr">
        <is>
          <t>黒い灰；熱い灰；淡灰；暗灰；灰連</t>
        </is>
      </c>
      <c r="G6675" t="inlineStr">
        <is>
          <t>灰皿；灰燼；灰白色；灰色の雲；灰汁</t>
        </is>
      </c>
      <c r="H6675" t="n">
        <v>29</v>
      </c>
      <c r="I6675" t="inlineStr">
        <is>
          <t>灰皿とは、主にタバコを喫煙する際に出た灰を入れるためのものである。；一部には灰を受ける皿と香立てが一体化したものも存在する。；ビゴンベが最後にあった時に部下は油や灰を塗って弾や悪霊を避けていた。；全身が暗い灰黒色で、額にはくちばしが延長したような「額板」がある。；四肢や尾の色彩は緑褐色や灰褐色だが、黒に近い灰色になる個体もいる。；遺体は服を全て脱がされ硫酸をかけられた後に灰になるまで焼かれた。；不死鳥は自らを炎の中で燃やし、その灰の中から再生するといわれる。；薪は木炭となって残り、それをそのまま突き固めて木炭と灰の層とする。；公家の間では現代のように手に持つ物ではなく香炉の灰に立てて鑑賞していた。；炭になっても白い灰にならなければクリンカーが底に付くことは無い。；燃えた後の灰の量は少ないといわれているが、使用されている木の種類と部位による。；武器は口から放射する高熱火炎で、浴びせられた人間は一瞬で灰になる。；樹皮は灰褐色で小さな皮目が多く、太いものでも裂け目や割れ目はない。；ヒンドゥー教徒は墓を持たず、遺体は火葬され遺骨や灰は川に流される。；脳のもう1つの主要な構成要素は、神経細胞で構成される灰白質である。；灰の粒子によるタービンブレードの侵食を避ける事が主な問題であった。；このスーバイトは爆発などにより噴出した灰から形成される岩石である。；鶏の子を焼き煮た者が落ちるとされ、熱い灰が川のように流れている。；成鳥冬羽は、体の上面が灰黒褐色で灰色の斑が入るがやや不明瞭である。；遺体は灰になって散り、その場にはみどりの死体が残されていった。；ステージごとに配置された白と灰の石版を全て倒せばステージクリアとなる。；アインシュタインの遺体は焼却され灰は近くのデラウェア川に流された。；全身は灰褐色や暗褐色・黒だが、吻端や顎・喉が黄褐色になる個体もいる。；その炎は、わたしの店だけではなく店員の北原をも灰にしていた。；額から背中、肩羽が灰褐色で、喉から腹にかけての体の下面は白っぽい。；燃え残りの灰などがゴミとして大量に発生することも問題となる。；頭部の色彩は灰褐色や淡黄色で、暗色の斑点や筋模様が入る個体もいる。；外縁天体の色は多様であり、灰青色のものも非常に赤いものもある。；記事によれば、薪灰などの販売でも違反であると示唆されている。</t>
        </is>
      </c>
      <c r="J6675">
        <f>HYPERLINK("https://www.weblio.jp/content/灰", "词义详情")</f>
        <v/>
      </c>
      <c r="K6675">
        <f>HYPERLINK("https://yourei.jp/灰", "查看例句")</f>
        <v/>
      </c>
    </row>
    <row r="6676">
      <c r="A6676" t="inlineStr">
        <is>
          <t>倍</t>
        </is>
      </c>
      <c r="B6676" t="inlineStr">
        <is>
          <t>成功</t>
        </is>
      </c>
      <c r="C6676" t="inlineStr">
        <is>
          <t>読み方：ばい
［音］バイ（呉）
［学習漢字］3年
１同じ数量を重ねること。「倍加・倍増・倍率／数倍・層倍」
２ます。ふやす。「倍旧」
［名のり］ます・やす
［難読］安倍川(あべかわ)・五倍子(ふし)・倍良(べら)</t>
        </is>
      </c>
      <c r="D6676" t="inlineStr">
        <is>
          <t>倍以上(7%)；倍近く；倍近い；倍程度；倍半</t>
        </is>
      </c>
      <c r="E6676" t="inlineStr">
        <is>
          <t>倍増；倍加；二倍；倍する；倍増し</t>
        </is>
      </c>
      <c r="F6676" t="inlineStr">
        <is>
          <t>数倍；何倍；万倍；百倍；二倍</t>
        </is>
      </c>
      <c r="G6676" t="inlineStr">
        <is>
          <t>倍増；倍加；倍数；倍音；倍する</t>
        </is>
      </c>
      <c r="H6676" t="n">
        <v>29</v>
      </c>
      <c r="I6676" t="inlineStr">
        <is>
          <t>これによって書籍の価格も法施行前より十倍から数十倍ほどに高騰した。；そのバイオマスは真核生物の数倍から数十倍に達するとも言われている。；このため、ゲストは通常の倍の待ち時間を覚悟しなければならなかった。；誰かの持ち点が倍になるか誰かの点棒がなくなった時点で終了とする。；人間の手の爪が完全に再生するには半年から1年、足の爪は倍必要となる。；最終号の各投稿作品コーナーでは通常の倍以上の作品が掲載された。；一般の平面角の大きさは、単位となる角の大きさの実数倍で表しうる。；これによって原子中の電子のエネルギーは 倍に軌道半径は 倍になる。；つまり反復のたびに正しい桁数が直前のもののほぼ倍になるのである。；これは、それまでの何十倍の効率で鋼鉄が生産できることを意味していた。；しばしば正のスカラー倍のみを許すように定義を制限することもある。；ここに表記されていないものも含めると倍以上の枚数がリリースされている。；基本的に乗っている間は徒歩での倍の速さで移動でき、戦闘も回避できる。；また「実際の感染規模は政府公表の数百倍を超える」とする専門家もいる。；しかしながら予定価格が X68030の倍近くになると予測されていた。；さらに調査が進めば、倍の種が見つかるであろうと予想されている。；ゲッベルスは他党の何倍にもあたる数の党集会を組織することを心掛けた。；自身を器用ではないと自己評価しており、人の何倍も練習を行っているという。；またこれを倍にした大きさの菊倍判も雑誌等でしばしば使われる。；またクラスチェンジし上級職業になると一部の呪文を除き効果が倍になる。；日本語に翻訳するならばその数倍の字数が必要となることは言うまでもない。；しかし、この穴を通る磁束は の整数倍の値しか取ることが出来ない。；超電子状態での技の使用は従来の10数倍のエネルギーを消費する。；一般の環では、公倍元は定義できるが最小公倍元の存在は必ずしもいえない。；それまで本店だった深井店は閉店されたが、敷地面積は数倍に増えている。；そしてロンドンへの報復空襲を数倍の規模で行うようゲーリングに命じた。；また、2007年までに展示スペースを約二倍にする改修作業が行われた。；アルバム制作費は当時の一般的な制作費の倍に当たる800万円をかけていた。；連続波地中レーダーは一般的な地中レーダよりも数倍の探査深度がある。</t>
        </is>
      </c>
      <c r="J6676">
        <f>HYPERLINK("https://www.weblio.jp/content/倍", "词义详情")</f>
        <v/>
      </c>
      <c r="K6676">
        <f>HYPERLINK("https://yourei.jp/倍", "查看例句")</f>
        <v/>
      </c>
    </row>
    <row r="6677">
      <c r="A6677" t="inlineStr">
        <is>
          <t>灰色</t>
        </is>
      </c>
      <c r="B6677" t="inlineStr">
        <is>
          <t>成功</t>
        </is>
      </c>
      <c r="C6677" t="inlineStr">
        <is>
          <t>読み方：かいしょく
はいいろ。</t>
        </is>
      </c>
      <c r="D6677" t="inlineStr">
        <is>
          <t>灰色海狸；灰色狼；灰色一色；灰色っぽい；灰色ネズミ</t>
        </is>
      </c>
      <c r="E6677" t="inlineStr">
        <is>
          <t>グレー；グレイ；鼠色；薄墨；薄墨色</t>
        </is>
      </c>
      <c r="F6677" t="inlineStr">
        <is>
          <t>暗灰色；濃い灰色；明るい灰色；暗い灰色；薄い灰色</t>
        </is>
      </c>
      <c r="G6677" t="inlineStr">
        <is>
          <t>灰色の瞳；灰色の巨人；灰色の街；灰色熊；灰色の狼</t>
        </is>
      </c>
      <c r="H6677" t="n">
        <v>29</v>
      </c>
      <c r="I6677" t="inlineStr">
        <is>
          <t>老人は毛の内部の色素が失われるため、灰色の毛に発達する傾向がある。；この観測から、表面は灰色にやや赤みがかった色であることが判明した。；また、灰色の男たちと呼ばれるテロネットワークの存在も明確になった。；羽や背など体の上部は緑色で、腹は灰色、尾羽の下の辺りは黄色である。；体色は全体的に灰色であり、背側は濃い灰色、腹側は明るい灰色である。；アニメでは善の人格の時の髪の色は青、悪の人格の時は灰色で描かれる。；体色にはやや個体差があるが、背側の体色は青灰色や緑灰色をしている。；雄の体色は全身が濃い灰色あるいは黒であり、腹側に明るい色を持たない。；イワンが2番目の道を選んで進むと、灰色狼が現れて馬を殺してしまう。；灰色の旧タイプのものでも、生体認証機能付に改造されたものがある。；これで作った雲は灰色になり、先端から電撃を発射することができる。；甲幅は10mmほどで、生きているときは甲羅部分が青灰色をしている。；頭部背面の色彩は灰色で、側頭部には左右に2本ずつ黒い筋模様が入る。；技術系制服も更新され、青ベースの制服から灰色ベースの制服に変更となった。；黒や茶色の髪と灰色の目を持ち、人間の中では最もノルドールに似た一族。；リンドンの地の人影はまばらになり、その多くは灰色港に留まっていた。；ネレイドのスペクトルは灰色であり、表面には水の氷が検出されている。；灰色のウィークブロックはどの色のボールが当たっても一度で壊れる。；また配色も、1970年代のアニメを意識した灰色系が多用されている。；体は一様に緑灰色で、腹面は黄白色をしており、特に目立つ模様はない。；目から胸びれにかけて濃い灰色の模様があり、胸びれも濃い灰色である。；体色は全身が灰色であり、背側は濃い灰色、腹側は明るい灰色である。；灰色の像を黒地の上に置くと、白地の上の同じ像よりも明るく見える。；灰色の男たちはこの戦争がオーシア軍優勢のまま進むことを懸念していた。；彼はゆがんだ皺面を灰いろにして、死んだ者のようにうずくまっていた。；霧は通常白色だが工場地帯では煙と塵埃のために灰色や黄色になることがある。；雌の背は雄よりも明るい灰色であり、生殖器の周囲に白い模様がある。；この編成では床材がそれまでのラベンダー色から灰色に変更された。；ただし成長につれて白・黒が互いに灰色に近くなり、縞が不鮮明になる。</t>
        </is>
      </c>
      <c r="J6677">
        <f>HYPERLINK("https://www.weblio.jp/content/灰色", "词义详情")</f>
        <v/>
      </c>
      <c r="K6677">
        <f>HYPERLINK("https://yourei.jp/灰色", "查看例句")</f>
        <v/>
      </c>
    </row>
    <row r="6678">
      <c r="A6678" t="inlineStr">
        <is>
          <t>梅雨</t>
        </is>
      </c>
      <c r="B6678" t="inlineStr">
        <is>
          <t>成功</t>
        </is>
      </c>
      <c r="C6678" t="inlineStr">
        <is>
          <t>読み方：つゆ
6月ころの長雨の時節。また、その時期に降る長雨。暦の上では入梅・出梅の日が決められているが、実際には必ずしも一定していない。北海道を除く日本、中国の揚子江流域、朝鮮半島南部に特有の現象。五月雨(さみだれ)。ばいう。《季夏》「—ふかし猪口にうきたる泡一つ／万太郎」</t>
        </is>
      </c>
      <c r="D6678" t="inlineStr">
        <is>
          <t>梅雨時(8%)；梅雨明け(7%)；梅雨どき(3%)；梅雨末期；梅雨前</t>
        </is>
      </c>
      <c r="E6678" t="inlineStr">
        <is>
          <t>雨季</t>
        </is>
      </c>
      <c r="F6678" t="inlineStr">
        <is>
          <t>長梅雨；鬱陶しい梅雨；梅雨日和；梅雨時期</t>
        </is>
      </c>
      <c r="G6678" t="inlineStr">
        <is>
          <t>梅雨期；梅雨入り；梅雨空；梅雨あけ；梅雨前線豪雨</t>
        </is>
      </c>
      <c r="H6678" t="n">
        <v>29</v>
      </c>
      <c r="I6678" t="inlineStr">
        <is>
          <t>東京の家に帰ったのは梅雨も過ぎて庭の樹に蝉の声を聞くころであった。；それを窓からながめていると、日本の梅雨もそう悪くないと思えてくる。；これは、梅雨時のために、前後の日も同様に雨や曇りが多いからである。；しばらく雨の夜がつづいたのは、あれは梅雨のせいだったのかもしれない。；梅雨前に一度切り戻しを行うことで多少発生を減らすことが可能である。；三四日梅雨のように降りつづいた雨がひどい地震のあと晴れあがった。；春から夏に移行する過程で雨季である梅雨が一部の地域にて見られる。；おそらく梅雨時か、梅雨が明けてすぐのころだったのではないだろうか。；梅雨の間、外での仕事がなくなった孝夫は何度も原稿用紙を広げてみた。；そして、それは誰の目にも梅雨の扉が見えないのと同じことなのだ。；いずれにしても空の明るさを伴う梅雨時の現象であることは間違ない。；さいわい梅雨にはまだ入っていなかったようで、翌日はきれいに晴れた。；この二三日梅雨があがって暑くなったので非常に客があると聞いた。；このことから北海道には梅雨がないと従来より定義されてきた。；六月、天気が続く、本当に何かしたいと思っていると梅雨の季節に入る。；梅雨のうちですから無やみと蒸暑い事もありますが、何でもありません。；いつもはこんなじゃないんですが、梅雨が明けたばかりだからでしょうか。；また敵の馬塞ぎの柵を破るのは梅雨が上がらないうちがよいと思います。；梅雨時の雲の様に頭の中に居座っているもやもやは、兄が見せたあの魔法。；たぶん、初めて経験する日本の梅雨が悪いのだろうとカズオは考えた。；日本国内での発生時期は、主に梅雨時から8月にかけてであるとされている。；新潟の梅雨は連日の雨続きではなく、末期に集中豪雨になることが多い。；だが九時頃から、また梅雨様の雨となり、空襲がありそうにも思えぬ。；去年の春と梅雨の出来事が、強烈な印象となって残っていたのだろう。；梅雨時だったせいか、客はほとんどおらず、貸切り状態で蕎麦を食べた。；其頃は梅雨に入つて百姓の體が二つあつても足らぬといふ時であつた。；何となく雨の近いことを感じる、梅雨の前の大気とでもいふのであらう。；北海道には梅雨がないというが、これは内地の梅雨とまったく同じ天候。；ヒルがいる山域のため、梅雨時期にはヒルへの対策をする必要がある。</t>
        </is>
      </c>
      <c r="J6678">
        <f>HYPERLINK("https://www.weblio.jp/content/梅雨", "词义详情")</f>
        <v/>
      </c>
      <c r="K6678">
        <f>HYPERLINK("https://yourei.jp/梅雨", "查看例句")</f>
        <v/>
      </c>
    </row>
    <row r="6679">
      <c r="A6679" t="inlineStr">
        <is>
          <t>廃棄</t>
        </is>
      </c>
      <c r="B6679" t="inlineStr">
        <is>
          <t>成功</t>
        </is>
      </c>
      <c r="C6679" t="inlineStr">
        <is>
          <t>読み方：はいき
［名］(スル)
１不用なものとして捨てること。「古い資料を—する」
２条約を当事国の一方の意思によって効力を失わせること。</t>
        </is>
      </c>
      <c r="D6679" t="inlineStr">
        <is>
          <t>廃棄する(9%)；廃棄物(8%)；廃棄される(7%)；廃棄処分(2%)；廃棄処理</t>
        </is>
      </c>
      <c r="E6679" t="inlineStr">
        <is>
          <t>廃止；配置；気分；性質；撤退</t>
        </is>
      </c>
      <c r="F6679" t="inlineStr">
        <is>
          <t>すべて廃棄；食品廃棄；禁止並びに廃棄；大量廃棄；有毒廃棄</t>
        </is>
      </c>
      <c r="G6679" t="inlineStr">
        <is>
          <t>廃棄物処理；廃棄処分；廃棄物処理法；廃棄物処理場；廃棄物の処理及び清掃に関する法律</t>
        </is>
      </c>
      <c r="H6679" t="n">
        <v>29</v>
      </c>
      <c r="I6679" t="inlineStr">
        <is>
          <t>廃棄された本の中には、購入から5か月しか経過していない本もあった。；TATPはいくつかの反応で廃棄物から偶然に形成される可能性がある。；いくつかは現在行方不明で、おそらく廃棄されたものと考えられている。；このため印刷版などは廃棄されずに保管されていることがほとんどである。；こうしてM388は一度も実戦で使用されることなく全てが廃棄された。；だが戦争は終結し、技術を危険視された軍研究所とその成果は廃棄が決定。；作者の名前もなく発見されれば廃棄されることが運命付けられた作品だった。；モルモット扱いされ、用済みになれば廃棄される運命を待つだけの存在。；そのため、多くの道具や衣装などの資料はこの時期に廃棄されている。；この時に一部の職員が廃棄用の酒類を自分の物にしていたとして逮捕された。；料理店では、赤くならない個体を廃棄するため安全だと説明している。；機密情報の保護の観点からは適切な廃棄方法を徹底することが重要になる。；またフランス政庁も反日感情をあおるために保有米を廃棄するなどした。；それらの地域では、日本に輸出を開始する以前は数の子を全て廃棄していた。；シンボル的存在であった観覧車は数年間放置されたが解体され廃棄された。；また、減少傾向にあるものの食料の廃棄の多さが問題とされることが多い。；他の初期のビデオゲーム同様、デモの終了後、このゲームは廃棄された。；結局、多くの機体は訓練部隊でも飛行することなく廃棄処分されたと言われている。；このような判断に基づいて、トラフィックを廃棄する確率を変化させる。；本体を分解せずとも簡単にハードディスクを交換したり廃棄することができる。；競技での成績不振と高価格で、市販車のほとんどは売れ残り廃棄された。；農民たちは田畑の復旧を目指し、焼け砂を回収して砂捨て場に廃棄した。；研究者たちは、その時に多くの書類が廃棄されたと考えている。；大連立構想はいずれの政治派閥からも支持を得ることなく廃棄された。；なお保存とは独立に、同様の手続きで特定の学名を廃棄することもできる。；すなわち、ソ連側が挙げた条約廃棄の理由は次の二点であった。；クラスはバイトの送信元または廃棄先を表現するファイル記述子である。；破壊された物に関しては役目を果たせないことから廃棄される場合が多い。；試作機の飛行も禁止となり、開発研究機材は全て廃棄されてしまった。</t>
        </is>
      </c>
      <c r="J6679">
        <f>HYPERLINK("https://www.weblio.jp/content/廃棄", "词义详情")</f>
        <v/>
      </c>
      <c r="K6679">
        <f>HYPERLINK("https://yourei.jp/廃棄", "查看例句")</f>
        <v/>
      </c>
    </row>
    <row r="6680">
      <c r="A6680" t="inlineStr">
        <is>
          <t>配給</t>
        </is>
      </c>
      <c r="B6680" t="inlineStr">
        <is>
          <t>成功</t>
        </is>
      </c>
      <c r="C6680" t="inlineStr">
        <is>
          <t>読み方：はいきゅう
［名］(スル)
１品物などを一定の割合でめいめいに配ること。「食糧を—する」
２統制経済のもとで、特定商品の一定量を特別の機関や方法によって消費者に公平に売り渡すこと。「—制度」
３一定の商品を一定の地域に配布・販売すること。「洋画の—会社」</t>
        </is>
      </c>
      <c r="D6680" t="inlineStr">
        <is>
          <t>配給権(4%)；配給元(3%)；配給所；配給作品；配給統制</t>
        </is>
      </c>
      <c r="E6680" t="inlineStr">
        <is>
          <t>発行；供給；割り当て；発刊；供与</t>
        </is>
      </c>
      <c r="F6680" t="inlineStr">
        <is>
          <t>食糧配給；すべて配給；東映配給；松竹配給；共同配給</t>
        </is>
      </c>
      <c r="G6680" t="inlineStr">
        <is>
          <t>配給収入；配給制；配給制度；配給列車；配給車</t>
        </is>
      </c>
      <c r="H6680" t="n">
        <v>29</v>
      </c>
      <c r="I6680" t="inlineStr">
        <is>
          <t>製作時期や配給形態で以下に分類されるが、本記事では全て説明する。；また貯倉は飢饉のときには民衆に米を配給する義倉の役割も持っていた。；映画の配給権は完成前から青田買いすることが多く大きなリスクも伴う。；どちらもサイレントで配給ルートも得られずまったく相手にされなかった。；広い意味では、宣伝・配給など監督の権限が及ばない分野の関係者も指す。；以降同社は外国映画社から提供を受けた作品を配給する事に専念した。；ストーンズと新たに契約を結んだCBSの配給下での初の作品である。；そのため地域によっては未配給のため観賞不可能となっている場所もある。；この時期は、配給元がエノキフイルムだったのも理由の一つになっている。；まず、映画の配給元が主演女優を勝手に選んできてしまったのだ。；企画は当初、ワーナー・ブラザースによる制作と配給が予定されていた。；そのため植民地は最小限の食料配給を長期間続けなければならなかった。；欧米向け配給用に、1本にまとめた145分版がフランスで公開された。；これは配給元のソニー・シネマチックが事業から撤退することが理由である。；日本での配給は当初はUIPにするはずだったが、松竹富士に変更された。；インディペンデントで製作・配給した映画としては史上初の受賞となる。；自分のところで作って自分のところで配給して興行してもたかが知れています。；なお、数ある国の中で一番多くの配給権料を払ったのは日本だと言われている。；オライオンは作品の制作のみを行い、作品はワーナーに供給・配給された。；配給品だけで生きていく事は不可能なので食糧は闇市で入手するのが普通だった。；肉は最後まで配給対象品として残され、外れたのは1954年だった。；ここで行われていた業務は兵食ならびに飼料の調達・配給・貯蓄である。；日本ではウエストケープコーポレーションによる配給で劇場公開された。；同様に戦時・戦後に配給と価格統制を行った多くの国で、闇市がみられた。；この頃はウォルト・ディズニー作品の日本での配給権を持っていた。；資金の一部は、日本の配給元でもある日本ヘラルドから支援されたともいわれる。；当時の一般国民への配給が310グラムであったのに比べ優遇されていた。；太平洋戦争直後の食糧難の時期には日本に輸入され配給に用いられたこともある。；それゆえかここの住人は食糧危機の際も食糧配給が正常に行われたという。</t>
        </is>
      </c>
      <c r="J6680">
        <f>HYPERLINK("https://www.weblio.jp/content/配給", "词义详情")</f>
        <v/>
      </c>
      <c r="K6680">
        <f>HYPERLINK("https://yourei.jp/配給", "查看例句")</f>
        <v/>
      </c>
    </row>
    <row r="6681">
      <c r="A6681" t="inlineStr">
        <is>
          <t>黴菌</t>
        </is>
      </c>
      <c r="B6681" t="inlineStr">
        <is>
          <t>成功</t>
        </is>
      </c>
      <c r="C6681" t="inlineStr">
        <is>
          <t>読み方：ばいきん
人体に有害な細菌などの微生物の俗称。転じて、汚いものや厄介もののたとえ。</t>
        </is>
      </c>
      <c r="D6681" t="inlineStr">
        <is>
          <t>黴菌学；黴菌恐怖症；黴菌女</t>
        </is>
      </c>
      <c r="E6681" t="inlineStr">
        <is>
          <t>虫；細菌；微生物；バクテリア；胚芽</t>
        </is>
      </c>
      <c r="H6681" t="n">
        <v>29</v>
      </c>
      <c r="I6681" t="inlineStr">
        <is>
          <t>折角よくなって又黴菌でも入ったら大変だと思って、そう云ったのよ。；だから悪化するといっても黴菌が入ったりはしないはずである。；せっかくよくなってまた黴菌でも入ったら大変だと思って、そう言ったのよ。；その名のとおり、「黴菌なのに恋する乙女」だと紹介されることも多い。；黴菌や虫ケラの力も恐ろしいが、人間の力もこうなるとエライものである。；ことに遊女は性交の際、毛切れをするとそこから黴菌が侵入する心配がある。；然しながら其の身を殺した黴菌がどうして侵入したであつたらうか。；そして黴菌学なんぞの如くに研究者も研究の保護促進をする者も多く無いのである。；自殺菌という黴菌があるんじゃないかって、そう思うときがありますよ。；既に黴菌が居るとなれば、其処で感染するのは偶然ではありません。；部屋には、きっとさまざまの病気の黴菌がみちていたことだろう。；その犬がなにかのはずみでせいに噛みつき、そこから黴菌が入ったのである。；私の身体にも、全身に黴菌が、付着しているだろうと思われます。；ダルマヌタから急いで引き揚げたのも汝らがその黴菌に冒されないためだ。；恐ろしい黴菌の包みを井戸に投げたのを見たというひとたちもあらわれてきた。；黴菌女が三ツ矢をどう思っているのか、三ツ矢が何を書いたのか、愛は知りたい。；光一の負傷は浅かったが、なにかの黴菌にふれて顔が一面にはれあがった。；中学も高校も大学も女子校で、黴菌がうようよしていることを知らずに育ってしまった。；湯は垢と幾分かの小僧たちの小便と、塵埃と黴菌とのポタージュである。；私は連中が手術の口実を作るために傷口に黴菌を植えたことを、誰にも話したことがない。；また、自身も黴菌でありながら風邪をひいたり虫歯になったりすることがある。；お土がすつかり黴菌を吸ひ取つてしまふので、臭気がなくなるのである。；話をきいて見ると、彼は、不潔な空気や塵埃や黴菌などのことを云ってるのではなかった。；夫 何か、日本人の体質を犯す特殊な黴菌が発生したんだね。；次になお不快な現象と見るべきものは、黴菌のために起る化膿です。；タミエにとっては、相談者に憑いているのは黴菌などではなく悪い霊であってほしい。；その手に黴菌がついていたのです。；帰国後は日本女子大学校の師範家政学部で家庭黴菌学などを教えた。；然し黴菌の方では人間を少しも恐怖しなかった。</t>
        </is>
      </c>
      <c r="J6681">
        <f>HYPERLINK("https://www.weblio.jp/content/黴菌", "词义详情")</f>
        <v/>
      </c>
      <c r="K6681">
        <f>HYPERLINK("https://yourei.jp/黴菌", "查看例句")</f>
        <v/>
      </c>
    </row>
    <row r="6682">
      <c r="A6682" t="inlineStr">
        <is>
          <t>俳句</t>
        </is>
      </c>
      <c r="B6682" t="inlineStr">
        <is>
          <t>成功</t>
        </is>
      </c>
      <c r="C6682" t="inlineStr">
        <is>
          <t>読み方：はいく
１《「俳諧の句」の略》発句(ほっく)および連句の句。
２五・七・五の3句17音を定型とする短詩。季語を入れることを原則とする。俳諧の連歌の発句が独立したもので、一般化したのは、明治20年代以降、正岡子規が用い始めたことによる。無季の主張や定型を破った自由律俳句もみられる。</t>
        </is>
      </c>
      <c r="D6682" t="inlineStr">
        <is>
          <t>俳句会(2%)；俳句雑誌；俳句大会；俳句欄；俳句評論</t>
        </is>
      </c>
      <c r="E6682" t="inlineStr">
        <is>
          <t>句；発句；十七文字</t>
        </is>
      </c>
      <c r="F6682" t="inlineStr">
        <is>
          <t>現代俳句；近代俳句；伝統俳句；新俳句；学生俳句</t>
        </is>
      </c>
      <c r="G6682" t="inlineStr">
        <is>
          <t>俳句結社；俳句研究；俳句甲子園；俳句賞；俳句団体</t>
        </is>
      </c>
      <c r="H6682" t="n">
        <v>29</v>
      </c>
      <c r="I6682" t="inlineStr">
        <is>
          <t>近年では俳句のような伝統的な内容が早期に導入される傾向が見られる。；回春病院に入院していた瞳女の影響もあり、俳句にかけるようになる。；お茶の水女子大学・同大学院では近・現代俳句についての研究をしていた。；能との関係はよく知られているが、俳句の様式や精神も浸透している。；俳句の作者のなかには北原白秋が、短歌の作者では若山牧水の名もある。；このような「切れ」は、現代の俳句でも重要なテクニックの一つである。；口調がよいように俳句同様に五七五の型を取るものも多い。；そこにいたのは俳句はズブの素人だがいずれも個性の強いメンバーだった。；この点からも一茶が芭蕉のような俳句を詠むことには大きな無理があった。；多言語時代の俳句の諸活動を推進することを主要目的としている。；この地に住むようになって以後、逍遥は短歌や俳句を作るようになる。；俳句などを多く作って手紙などにしたため、獄中から友人に送った。；月ごとに設けられたテーマに合わせて五・七・五の俳句を募集。；漱石の「自転車日記」やロンドンでの俳句会などの記述が盛り込まれる。；次に、俳句を詠むときで避けるべき八条は以下のようなものである。；年3回ほどの会誌を発行しており、メンバーの「俳句」を掲載している。；また俳句を趣味としており、俳句関連のテレビ番組に出演もしている。；さらに自らも優れた教養人であり、多くの俳句に関する著作を残している。；現在では日本語を母語としない者が日本語で俳句を作っている。；俳句だけでなくもっと広い知識も身につけさせようとの配慮だった。；正岡子規の俳句にもありますが、本当にそうなのか、疑問に思っていました。；などは近代俳句に大きな弊害を与えていると考える向きもある。；これを明治時代に正岡子規らが詩の一形式として独立させたのが俳句である。；俳句は定型詩であり、五・七・五の韻律が重要な要素となっている。；いずれも、「俳句の才能査定ランキング」の放送内容を基に夏井が執筆。；現在、歴史的仮名遣いは古典の文章や俳句・短歌などの表記に用いられる。；中川の俳句に彼は非常に感銘を受け、その後連絡を取り合うようになった。；吉増剛造のドキュメンタリーや俳句・舞踏の番組などの演出の仕事もした。；また、俳句の投稿も別名義で行っていることが公表されている。</t>
        </is>
      </c>
      <c r="J6682">
        <f>HYPERLINK("https://www.weblio.jp/content/俳句", "词义详情")</f>
        <v/>
      </c>
      <c r="K6682">
        <f>HYPERLINK("https://yourei.jp/俳句", "查看例句")</f>
        <v/>
      </c>
    </row>
    <row r="6683">
      <c r="A6683" t="inlineStr">
        <is>
          <t>配偶者</t>
        </is>
      </c>
      <c r="B6683" t="inlineStr">
        <is>
          <t>成功</t>
        </is>
      </c>
      <c r="C6683" t="inlineStr">
        <is>
          <t>読み方：はいぐうしゃ
夫婦の一方からみた他方。配偶者としての身分は、婚姻によって取得し、婚姻の解消によって失う。親族ではあるが、親等はない。</t>
        </is>
      </c>
      <c r="D6683" t="inlineStr">
        <is>
          <t>配偶者以外；配偶者選択；配偶者間；配偶者等；配偶者側</t>
        </is>
      </c>
      <c r="E6683" t="inlineStr">
        <is>
          <t>パートナー；伴侶；夫婦関係；婚姻関係；ベターハーフ</t>
        </is>
      </c>
      <c r="F6683" t="inlineStr">
        <is>
          <t>元配偶者；有配偶者；日本人配偶者；有責配偶者；外国人配偶者</t>
        </is>
      </c>
      <c r="G6683" t="inlineStr">
        <is>
          <t>配偶者からの暴力；配偶者防衛；配偶者暴力；配偶者ビザ；配偶者居住権</t>
        </is>
      </c>
      <c r="H6683" t="n">
        <v>29</v>
      </c>
      <c r="I6683" t="inlineStr">
        <is>
          <t>夫婦であれば配偶者を選ぶことができるが、兄妹は選ぶことができない。；彼女の配偶者は彼女の性格の一点一画をも見逃してはならないのである。；このため、彼の父親は彼女の配偶者であるペピ1世であると考えられる。；これは雌の側に配偶者選択の権利があることを反映していると考えられる。；実はいとこ達とその配偶者にはそれぞれお金を至急必要な動機があった。；配偶者は死亡したものと判断し、司法解剖を行ってしまっていたのだった。；夫婦の間に子供がいなければ、財産のすべては配偶者のものになる。；しかし相当な資金と時間が必要とされ、またこれは配偶者にも及ぶ。；人間に男女がある以上、必ず配偶者を求むべきが当然の道ではないか。；一部の既婚女性は、配偶者の姓を全く使用しないことを選択している。；異なる国籍の者同士で国際結婚を行い、配偶者の子供を養子にする場合。；結婚するのはそのためで、それ以外に配偶者など必要でないのです。；なお後に配偶者となるサンドラ・リブレイグとはこの場所で出会った。；配偶者や子供がいる場合には、家族にまでそれを強要する傾向がある。；両親は互いに離婚歴があり、それぞれに以前の配偶者との子供がいた。；世間は人が年ごろになれば、みんな配偶者を持つものだと考えている。；このほかにも、ネフェリルカラーには1人の配偶者がいた可能性がある。；配偶者が新たに子を有することになったときには増額改定が行われる。；利明はこの三階で、今は故人となってしまった配偶者と暮らしていたのだ。；現在皇位を継承できるのは男子のみであり、その配偶者は女子となる。；この効果は、見られる配偶者の愛の強さ、好み、信頼に関係していた。；それぞれが配偶者を見つけて、自分たちの家族を作っていけばよい。；配偶者はどこにいるかわからないし、見つけても番えるとは限らない。；父は新しい配偶者を求めることなく、私は乳母の手によって養育された。；仕事も配偶者も長いつきあいになってくれば、粗も見えるし飽きもくる。；安田は球団との合意の上で自由契約となり、配偶者のいる日本へ帰国した。；配偶者が死んだら、残ったものはそういうふうにして幾人と結婚してもいいのです。；配偶者の同意を得て養子縁組を結んだ妾のことを妾養子と呼ぶこともある。；E-3保有者の配偶者や子供に発給されるビザは年間枠には含まれない。</t>
        </is>
      </c>
      <c r="J6683">
        <f>HYPERLINK("https://www.weblio.jp/content/配偶者", "词义详情")</f>
        <v/>
      </c>
      <c r="K6683">
        <f>HYPERLINK("https://yourei.jp/配偶者", "查看例句")</f>
        <v/>
      </c>
    </row>
    <row r="6684">
      <c r="A6684" t="inlineStr">
        <is>
          <t>拝啓</t>
        </is>
      </c>
      <c r="B6684" t="inlineStr">
        <is>
          <t>成功</t>
        </is>
      </c>
      <c r="C6684" t="inlineStr">
        <is>
          <t>読み方：はいけい
《つつしんで申し上げます、の意》手紙の初めに書くあいさつの語。文末はふつう「敬具」で結ぶ。謹啓。</t>
        </is>
      </c>
      <c r="D6684" t="inlineStr">
        <is>
          <t>拝啓十五(5%)；拝啓前略</t>
        </is>
      </c>
      <c r="H6684" t="n">
        <v>29</v>
      </c>
      <c r="I6684" t="inlineStr">
        <is>
          <t>こんどは私も、拝啓、と書いただけで途方にくれるような事はないのです。；ついでだからそう云っとくが、御前の書く拝啓の啓の字は間違っている。；拝啓で始まる最初の手紙にはこう書かれている。；「拝啓」で始めて時候の挨拶などを書くのでは、かた苦しい気がする。；拝啓 貴下が小生の行動を追及せられても、結局は徒労に終るでしょう。；引退作のパッケージ写真はデビュー作と同じ拝啓・アングルで撮影した物となっている。；また、2009年5月には「拝啓 十五の君へ 若松島編」が放送された。；それは〈拝啓〉という書き出しによってもすでにはっきりとわかります。；そして在来の拝啓敬具などの文範そのままの手紙を、人は書かなくなってしまった。；拝啓 お前さまにはすこやかに御勉学のことと思ひます。；拝啓 ポッター殿 新学期は九月一日に始まることをお知らせいたします。；拝啓 長谷川照夫様 ぼくの毎日はこのようなものです。；ブダペストにて 拝啓、ホイットビーの駅でお別れしてから、その後いかがお暮らしですか。；テレビ東京自慢したい人がいます〜拝啓 ひねくれ3様〜にて紹介される。；拝啓 私の戦地に於ける歴史も已に三ヶ月を数えるに至った。；翌年には「拝啓天照さーん」を録音したが、直後に卜全が死去したためレコードはほとんど流通しなかった。；拝啓卒爾ながら経験豊かな貴下のご助力を仰ぎたくペンを執った次第です。；拝啓、当方の返事は、確かに、貴殿の代理人に申し上げておきました。；「拝啓、突然のお手紙で失礼致します」 こう始まる手紙は便箋七枚にわたっている。；丸福堂商事株式会社・第3営業部の拝啓の活躍を描く。；知里高吉・浪子宛大正五年十月頃拝啓 しばらく御無沙汰いたしました。；前略よりも拝啓にすべきだったか。；平岡へ手紙を書いて、会見の都合を聞き合せ様として、筆を持ってみたが、急に責任の重いのが苦になって、拝啓以後を書き続ける勇気が出なかった。；平岡へ手紙を書いて、会見の都合を聞き合せ様として、筆を持つて見たが、急に責任の重いのが苦になつて、拝啓以後を書き続ける勇気が出なかつた。；拝啓 まさみ君は、元気にやっているかな。；拝啓 先日パースのE・M・ボイル博士と話をし、また彼から送られてきたばかりの貴方の論文を読んで、私たちの金採掘場の東にあるグレートサンディ沙漠で私が見たあるもののことを貴方に伝えた方がいいのではないかと思いたちました。；拝啓謹みて幾何学の分野における新開拓をご報告いたします。；拝啓 着地のとき小雨が降り、視界が不良のためけっこう不安でしたが、無事、ロンドンに到着することができました。；拝啓 お手紙読みました。</t>
        </is>
      </c>
      <c r="J6684">
        <f>HYPERLINK("https://www.weblio.jp/content/拝啓", "词义详情")</f>
        <v/>
      </c>
      <c r="K6684">
        <f>HYPERLINK("https://yourei.jp/拝啓", "查看例句")</f>
        <v/>
      </c>
    </row>
    <row r="6685">
      <c r="A6685" t="inlineStr">
        <is>
          <t>背景</t>
        </is>
      </c>
      <c r="B6685" t="inlineStr">
        <is>
          <t>成功</t>
        </is>
      </c>
      <c r="C6685" t="inlineStr">
        <is>
          <t>読み方：はいけい
１絵画や写真などで、主要題材を引き立たせる背後の光景。後景。バック。
２舞台の後方を仕切る絵。書き割り。
３物事の背後にある事情。また、裏から支える勢力。「事件の政治的—」</t>
        </is>
      </c>
      <c r="D6685" t="inlineStr">
        <is>
          <t>背景設定；背景美術；背景世界；背景にくっきり；背景映像</t>
        </is>
      </c>
      <c r="E6685" t="inlineStr">
        <is>
          <t>地；環境；事情；背後；範囲</t>
        </is>
      </c>
      <c r="F6685" t="inlineStr">
        <is>
          <t>文化的背景；そうした背景；舞台背景；歴史的な背景；政治的背景</t>
        </is>
      </c>
      <c r="G6685" t="inlineStr">
        <is>
          <t>背景画；背景放射；背景音楽；背景部；背景画家</t>
        </is>
      </c>
      <c r="H6685" t="n">
        <v>29</v>
      </c>
      <c r="I6685" t="inlineStr">
        <is>
          <t>こういった映像表現の発生した背景には、初期の写真技術があげられる。；その背景にはカースト制度に基づくが深く影響している点が挙げられる。；再び化粧が流行した背景にはヨーロッパとイスラーム社会の争いがある。；その結果、漫画を描いた背景には「アニメ化されたから」と答えている。；後の1960年の実験ではこれらが背景効果であることが証明された。；背景にはインターネットでの書籍販売や電子書籍の普及が指摘されている。；舞台背景も重視されず、謎を成立させるために非現実的な設定の作品もある。；歴史的な背景もあり、ソシオの会員はクラブに非常に誇りを持っている。；軍隊において兵站が体系化された背景には作戦や装備の複雑化がある。；これは、メドベージェフ大統領が死刑の廃止を支持していた背景がある。；開業当時、代々木村に駅がなく人口が多かったことが背景と見られる。；未知なるものを「x」と呼ぶことには、このような背景があるとされる。；この背景には1953年より登場したテレビの急速な普及がある。；この変革の背景には社会環境の変化が大きな影響を与えたと考えられている。；これにはユダヤ人が歴史的に教育熱心であったという背景もある。；父・好水が医師という職業を千畝に強く薦めたのにはこうした背景がある。；ブロックがこうした主張を行う背景には一定の経験がある。；東西緊張緩和の背景には東ドイツが外貨を獲得しようとしたことも大きい。；戦後の荒廃した世相を背景とした推理小説を中心に、多数の短編を発表。；こういった背景もあり、一般向けの文書には明らかに誤りを含んだ解説がある。；背景・技などの演出・セリフなどでしか登場しないキャラクターは除外する。；ここでは特に、作品独自の設定である異星人たちの社会背景を中心に解説する。；レイアウトとは、背景や人物などを含めた大まかな画面設計図である。；日本映画が日本映画たりえた背景には当然日本文化の影響が存在している。；彼の民謡への興味と背景知識はデンマーク人に特別共鳴するのである。；この実現には、関空側からの運行要請も背景にあるとされている。；こうした使い分けが行われる背景には、それぞれの方式の特徴が関連している。；こうした背景もあってとりわけ軍事史に強い関心を向けていた。；この背景として、日本やヨーロッパと比較した競争力の低下が挙げられる。</t>
        </is>
      </c>
      <c r="J6685">
        <f>HYPERLINK("https://www.weblio.jp/content/背景", "词义详情")</f>
        <v/>
      </c>
      <c r="K6685">
        <f>HYPERLINK("https://yourei.jp/背景", "查看例句")</f>
        <v/>
      </c>
    </row>
    <row r="6686">
      <c r="A6686" t="inlineStr">
        <is>
          <t>拝見</t>
        </is>
      </c>
      <c r="B6686" t="inlineStr">
        <is>
          <t>成功</t>
        </is>
      </c>
      <c r="C6686" t="inlineStr">
        <is>
          <t>読み方：はいけん
［名］(スル)見ることをへりくだっていう語。謹んで見ること。「お手紙—しました」</t>
        </is>
      </c>
      <c r="D6686" t="inlineStr">
        <is>
          <t>拝見する(11%)；拝見いたし(6%)；拝見しよ(3%)；拝見致し；拝見できる</t>
        </is>
      </c>
      <c r="E6686" t="inlineStr">
        <is>
          <t>見る；みる；眺める；鑑賞；閲覧</t>
        </is>
      </c>
      <c r="F6686" t="inlineStr">
        <is>
          <t>拝見でき；手並拝見；手紙拝見</t>
        </is>
      </c>
      <c r="H6686" t="n">
        <v>29</v>
      </c>
      <c r="I6686" t="inlineStr">
        <is>
          <t>あなたのお顔を拝見しながら、どうしてそんなことを考えたのでしょう。；だって大きすぎて八メートルも頭上にあるお顔まで拝見できないんだもの。；私、あなたの日記を拝見して、あの人にとても興味を持ってしまったの。；と云ったが、どんなことをするつもりか御手並を拝見しようじゃないか。；自分のことが書かれているのも忘れて、とてもおもしろく拝見しました。；だからこれだけでは出さないで、次のを拝見してから出しましょうね。；でも、一目でもあなたのお姿を拝見してから帰ろうと思いましたのでね。；私はあの時程、恐ろしい、厳しいお様子を拝見致した事はございませぬ。；私はその文章を拝見するたびに、いつも抵抗を感じずにはいられないのです。；うちでも、お宅のテレビは毎日のように拝見しておりますんでございますよ。；手前の外には、こう、誰一人拝見をいたしておりますものがございません。；私らでも月の内に一度もお顔を拝見しないことがあるんですよ。；あなたはわたくしを見なかったでしょうが、わたくしは拝見しました。；お手を拝見すると、右のほうがたっぷりひと回りは左より大きいですね。；あのようにすぐれたダンスはなかなか拝見できないものでございます。；拝見する事は不可能だが、年々大きくなっていると言い伝えられている。；じつはあのお写真を拝見しまして、非常に貴重な資料だと感じました。；特にきみがそれを実際に応用するのを拝見してからというものはね。；このとき何冊かの雑誌を拝見しながら、いろいろといい話を聞くことができた。；今度のお手紙を嬉しく拝見したことは、すでに書いたとおり本当です。；私はあなたのあの御本を拝見しながら何処をよんでもさう思ひました。；今日拝見したら、あちらさんもかなり熟れ切ってしまってるようですよ。；お姿を拝見したときに、私はあの詩人の詩句を思ったがゆえでもございます。；お手前は必ず拝見しなければならぬ事になっているのだけど。；ははははは、いや、どうせのことに、ちょっと拝見せずにはおられぬ。；さて、そんな子供騙しの計画がどんなことになるか拝見しようじゃないか。；わたしもあなたを拝見して、あやうく同じまちがいをするところでした。；それについてのお兄さんの非難の、お手紙もたしかに拝見いたしました。；「お顔は一週間に二日は拝見していますし、お声も聞いております」とある。</t>
        </is>
      </c>
      <c r="J6686">
        <f>HYPERLINK("https://www.weblio.jp/content/拝見", "词义详情")</f>
        <v/>
      </c>
      <c r="K6686">
        <f>HYPERLINK("https://yourei.jp/拝見", "查看例句")</f>
        <v/>
      </c>
    </row>
    <row r="6687">
      <c r="A6687" t="inlineStr">
        <is>
          <t>背後</t>
        </is>
      </c>
      <c r="B6687" t="inlineStr">
        <is>
          <t>成功</t>
        </is>
      </c>
      <c r="C6687" t="inlineStr">
        <is>
          <t>読み方：はいご
１後ろ。背中の方。後方。「敵を—から襲う」
２物事の表面に出ない陰の部分。「—に大物が控える」</t>
        </is>
      </c>
      <c r="D6687" t="inlineStr">
        <is>
          <t>背後に回り込ん</t>
        </is>
      </c>
      <c r="E6687" t="inlineStr">
        <is>
          <t>後；地；背；裏；背中</t>
        </is>
      </c>
      <c r="F6687" t="inlineStr">
        <is>
          <t>背後に頂上部；背後に回ろう；背後に回りこむ；背後に回りこみ；背後にせまる</t>
        </is>
      </c>
      <c r="G6687" t="inlineStr">
        <is>
          <t>背後関係；背後の一突き；背後からの一突き；背後連絡線</t>
        </is>
      </c>
      <c r="H6687" t="n">
        <v>29</v>
      </c>
      <c r="I6687" t="inlineStr">
        <is>
          <t>このように解釈する背後には、次のような考え方が存在しているとされる。；背後に見えるモン・ロワイヤル山より高いビルの建設は禁止されている。；警察は小沼の背後に何らかの指導者か関係団体が存在するはずと見ていた。；この伝承の背後に潜む意味を説明するために、多数の説が提出されてきた。；この道徳的判断の背後にある原理は次のようなものであると彼は言う。；また、運転席背後には当初から座席を設けず車椅子スペースとしている。；だがよく見るとその背後に、陳真の名前を大声で呼ぶ民衆の姿がある。；背後の斜面には石垣の一部が残存しており、往時の様子を現在に伝える。；その背後には、筏の離れた区画で、別の3名が作業しているのが見える。；しかし彼ら自身も知らない大きな力がその背後で動いていた。；また、砲台は基本的に双頭であるため、背後から飛んでくることもある。；見せ物に夢中になっている男性の背後から、一番左の男が掏り取っている。；ステージ背後の壁面にはスイスの製パイプオルガンが設置されている。；乗務員室背後の座席は廃止され、この場所側面にあった小窓も廃止された。；背後の九州は範頼に制圧されており、既に平家に退路はなくなっていた。；しかし、死亡したと思われていたアダムが背後からゼップに襲いかかる。；高於磐座神社背後の山には、中世に春日山城と呼ばれる山城が築かれた。；そのような淡々とした記述の背後に、孔子の思想が隠されているとされる。；データの背後に存在する本質的な構造を抽出するために用いられる。；運転席背後に非常用脱出口が設けられたため、仕切部の窓が小型化された。；それは描かれたイメージのそれぞれの部分を、背後から照明することが出来た。；スタートで折り合いを欠いたが、先行馬の背後に収まる好位に位置した。；社会の背後で暗躍する組織や集団を想定する論法も好んで用いられる。；綱が馬から降りて羅城門へ向かうと、背後から現れた鬼に兜をつかまれた。；背後につつじヶ丘崖線・目の前に仙川崖線があり緑が豊かである。；しかし、ヒシミラクルに背後を取られてマークされる展開となった。；背後から捕まえた相手を後方に反り投げるスープレックスの一種である。；脚をかけた状態で腕側から回転して背後に移る方法もある。；だが関羽には打ち負けて、逃亡時に追撃を受け背後から斬殺されてしまう。</t>
        </is>
      </c>
      <c r="J6687">
        <f>HYPERLINK("https://www.weblio.jp/content/背後", "词义详情")</f>
        <v/>
      </c>
      <c r="K6687">
        <f>HYPERLINK("https://yourei.jp/背後", "查看例句")</f>
        <v/>
      </c>
    </row>
    <row r="6688">
      <c r="A6688" t="inlineStr">
        <is>
          <t>灰皿</t>
        </is>
      </c>
      <c r="B6688" t="inlineStr">
        <is>
          <t>成功</t>
        </is>
      </c>
      <c r="C6688" t="inlineStr">
        <is>
          <t>読み方：はいざら
タバコの灰や吸い殻を入れる皿状の容器。</t>
        </is>
      </c>
      <c r="D6688" t="inlineStr">
        <is>
          <t>灰皿代わり；灰皿がわり；灰皿設置場所；灰皿スタンド</t>
        </is>
      </c>
      <c r="E6688" t="inlineStr">
        <is>
          <t>パイプ；ライター；マッチ；煙管；キセル</t>
        </is>
      </c>
      <c r="F6688" t="inlineStr">
        <is>
          <t>新しい灰皿；あわてて灰皿；携帯用灰皿</t>
        </is>
      </c>
      <c r="H6688" t="n">
        <v>29</v>
      </c>
      <c r="I6688" t="inlineStr">
        <is>
          <t>そのうちの一人はビールの空き缶を灰皿代わりにして煙草を吸っていた。；灰皿は陶製の物であるが、木枠に入っているなど特殊な形状をしている。；何度か交換されたにもかかわらず、灰皿の中には吸い殻の山ができていた。；コーヒーカップを手にしている者はいないし、灰皿も伏せたままである。；テーブルに灰皿が出ているのを見て、ハントはポケットの煙草を探った。；灰皿には火のついたままの長いたばこが置かれ、細い煙を上げていた。；天井の電球を反射している白くて丸いテーブルにガラス製の灰皿がある。；巽がかすかに笑って、指を焼いた煙草を見もせずに灰皿にひねり消した。；ケントに火をつけると原杖人が謎めいた眼つきで灰皿を取ってくれた。；灰皿とは、主にタバコを喫煙する際に出た灰を入れるためのものである。；伊沢は目の前に置かれた九谷焼らしい灰皿に視線を移して息をはいた。；新聞記者は煙草を灰皿に押しつぶして消してから、結論のように言った。；テーブルを拭いていたおれは、灰皿を置きにきた安部と顔を見合わせた。；一本目の煙草をいつ灰皿の中でもみ消したのか、一成は覚えていなかった。；悲鳴を無視して、雪子は人の皮膚を灰皿がわりにして煙草を揉み消した。；そして検事の前の席についたが、持って来た灰皿は窓枠のところに置いた。；黙ったまま、目の前の灰皿に落とされていく煙草の灰を見つめている。；道路に近い場所に立つ大きなコンクリートの柱の横に灰皿があった。；机の上には本や硯や煙草や灰皿やその他雑多の品がゴタゴタと並んでいる。；麗子ママの白い指が、半分ほどの長さになった煙草を灰皿に押しつけた。；この区間外では喫煙が可能であったため座席横の灰皿は残された。；灰皿の縁に置かれたまま、煙草のかたちの灰になってしまったものもある。；またこの改正でデッキに設置されていた灰皿が撤去され全面禁煙となった。；一本目の煙草がすっかり短くなると、彼女はそれを灰皿の中で捻り潰した。；お椀が酒で一杯になれば隣りの席のをとりよせ、最後は灰皿を動員する。；彼は我々に灰皿を勧めたが、本人には喫煙の習慣がないようだった。；灰皿に捻じ消したものを手にしたまま、火をつけるのを忘れているのであった。；広瀬んちだって家族みんなが吸わないから灰皿が置いてないんでしょ。；店に戻ったとき、島本さんの座っていた席にはまだグラスと灰皿が残っていた。</t>
        </is>
      </c>
      <c r="J6688">
        <f>HYPERLINK("https://www.weblio.jp/content/灰皿", "词义详情")</f>
        <v/>
      </c>
      <c r="K6688">
        <f>HYPERLINK("https://yourei.jp/灰皿", "查看例句")</f>
        <v/>
      </c>
    </row>
    <row r="6689">
      <c r="A6689" t="inlineStr">
        <is>
          <t>廃止</t>
        </is>
      </c>
      <c r="B6689" t="inlineStr">
        <is>
          <t>成功</t>
        </is>
      </c>
      <c r="C6689" t="inlineStr">
        <is>
          <t>読み方：はいし
［名］(スル)やめて行わないこと。「赤字路線を—する」「虚礼—」</t>
        </is>
      </c>
      <c r="D6689" t="inlineStr">
        <is>
          <t>廃止後(4%)；廃止時点；廃止直前；廃止以降；廃止区間</t>
        </is>
      </c>
      <c r="E6689" t="inlineStr">
        <is>
          <t>撤退；解消；破棄；撤回；廃棄</t>
        </is>
      </c>
      <c r="F6689" t="inlineStr">
        <is>
          <t>全線廃止；すべて廃止；全て廃止；事実上廃止；用途廃止</t>
        </is>
      </c>
      <c r="G6689" t="inlineStr">
        <is>
          <t>廃止論；廃止令；廃止主義；廃止駅；廃止法令</t>
        </is>
      </c>
      <c r="H6689" t="n">
        <v>29</v>
      </c>
      <c r="I6689" t="inlineStr">
        <is>
          <t>尺貫法は現在は廃止されており、取引・証明に使用することはできない。；歴史は短いながら車両規定の変遷が激しく、廃止と復活も経験している。；また1次車で窓かまちに取り付けられていた小形テーブルは廃止された。；ラッキーゾーンが廃止されグラウンド形状が改められた直後のシーズン。；かつての副名称は「雷門前」であったが、現在副名称は廃止されている。；鉄道はほとんどが廃止され、代わりにチューブトレインを開設している。；条例は後に廃止されたもののブームは次第に沈静化していくことになる。；鉄道ではかつてはヒジャーズ鉄道が運行されていたが現在は廃止になっている。；かつては途中に西小川信号所があったが、1991年に廃止されている。；合併により2004年以降に廃止になった自治体は下記の通りである。；一時的であるが、同年3月に廃止されて以来約3か月ぶりに復活した。；乗務員室背後の座席は廃止され、この場所側面にあった小窓も廃止された。；初期の車両は先頭車の正面脇に「ひげ」を入れていたが、後に廃止された。；利用者の利便を図るため、旧システムも即時廃止とはせずに併用された。；しかし2008年の憲法改正により一度廃止され、権限は議会に移った。；第14編成と同様に電動車の床に設置されていたトラップドアは廃止された。；また、1941年に一時廃止されていた三等寝台車が1956年に復活。；三塁寄りが球団ロゴとなっていたがこれもすぐに廃止されている。；現役世代を圧迫するとして廃止や廃止の検討をしている組合が出てきている。；時代的比較では、死刑が廃止された国での廃止前・廃止後を比較する試みがされる。；漢字の習得は非効率であるため漢字を廃止すべきであるとの議論であった。；第一次世界大戦の勃発後にはカピチュレーションの一方的な廃止が宣言されている。；廃止以降も「あいづ」の愛称名で繁忙期を中心に運転が行われていた。；現在では、これらの外国語試験は廃止する大学が増えてきている。；なお死刑制度が廃止されている国の場合には死刑復活問題となる。；ハッピーマンデー制度や適正化規定の廃止によって事情が変わってきた。；また、ソ連時代から用いられ続けていたロシア語を2009年に廃止。；SAPTONシステムの導入と同時にダイヤモンド社は活字を廃止した。；戦争中に一旦廃止となり、戦後1947年に運行を再開している。</t>
        </is>
      </c>
      <c r="J6689">
        <f>HYPERLINK("https://www.weblio.jp/content/廃止", "词义详情")</f>
        <v/>
      </c>
      <c r="K6689">
        <f>HYPERLINK("https://yourei.jp/廃止", "查看例句")</f>
        <v/>
      </c>
    </row>
    <row r="6690">
      <c r="A6690" t="inlineStr">
        <is>
          <t>歯医者</t>
        </is>
      </c>
      <c r="B6690" t="inlineStr">
        <is>
          <t>成功</t>
        </is>
      </c>
      <c r="C6690" t="inlineStr">
        <is>
          <t>読み方：はいしゃ
歯の治療をする医者。歯科医師。</t>
        </is>
      </c>
      <c r="D6690" t="inlineStr">
        <is>
          <t>歯科医；歯科医師</t>
        </is>
      </c>
      <c r="H6690" t="n">
        <v>29</v>
      </c>
      <c r="I6690" t="inlineStr">
        <is>
          <t>だとしたら女はただ、歯医者に行こうとしていただけということになる。；二年半ほど前に歯医者に行ったとき以来、一度も家から出ていなかった。；虫歯が痛んだときに数回だけ歯医者へ行った以外はずっと家の中にいた。；歯医者一家が不幸に陥ったのは単なる偶然ではない、という彼の言葉だ。；その入口にかかっている各種各様の看板の中に歯医者のが一つあった。；その時、私は始めて歯医者とのこれまでの関係を聞きましたのです。；歯医者へ行ったときには、まだ充分決心がついていなかったのかもしれません。；歯医者は目をぱちくりして、反射鏡でぼくの口の中を見まわすといった。；趣味は歯医者と言われるほど歯学の研究と治療に没頭した人生だった。；歯医者のマシンみたいな耳鳴りがして、言っていることが聞き取れない。；倉持が嫉妬した歯医者の息子だと承知していて、あんな話をしたのだ。；これと云うのも皆今の歯医者と云う事に気がつかないばっかりだった。；夕方になり「僕」はとなりの歯医者の受付の女の子と駅まで一緒に帰る。；僕はひとり散歩してゐるうちに歯医者の札を出した家を見つけた。；困り果てたところで、おまえが歯医者になったことを思い出したのだ。；先生は動物の歯医者としても、りっぱな腕をもっておいでになるのです。；それでも旅まわりの歯医者がいたもんだから、それが足を継いでくれただよ。；一年近く通ったからといって、歯医者に慣れるかというとそんなことはない。；歯医者が怖いのであまり大きな声では言わないが、とにかく言いたい。；その日、ぼくは学校の帰りに歯医者へ行かなければならなかった。；その気持は、歯医者のところにいるときのそれに似なくもない。；現地の歯医者が、歯をすべて失っていたベルブノワに総入れ歯を提供した。；お金が足りなかったから、月曜日、歯医者のときとることにしました。；香川教子があの歯医者といた部屋がどのあたりだったか見当をつけながら。；子供のときに虫歯がなかったせいもあるが、私は歯医者に一度も行ったことがない。；と申したような訳で、よく歯医者が黒い鞄を提げてやって参りました。；歯医者の麻酔で、似たような現象を経験した人もあるであろう。；それでいったいどうしたかというと、歯医者に行って、歯を抜いてもらったんですね。；歯医者に行くのを延ばすようなもので、先送りすれば事態が悪化するだけだ。</t>
        </is>
      </c>
      <c r="J6690">
        <f>HYPERLINK("https://www.weblio.jp/content/歯医者", "词义详情")</f>
        <v/>
      </c>
      <c r="K6690">
        <f>HYPERLINK("https://yourei.jp/歯医者", "查看例句")</f>
        <v/>
      </c>
    </row>
    <row r="6691">
      <c r="A6691" t="inlineStr">
        <is>
          <t>拝借</t>
        </is>
      </c>
      <c r="B6691" t="inlineStr">
        <is>
          <t>成功</t>
        </is>
      </c>
      <c r="C6691" t="inlineStr">
        <is>
          <t>読み方：はいしゃく
［名］(スル)借りることをへりくだっていう語。「お知恵を—したい」</t>
        </is>
      </c>
      <c r="D6691" t="inlineStr">
        <is>
          <t>拝借すること(2%)；拝借いたし；拝借しよ；拝借でき；拝借する形</t>
        </is>
      </c>
      <c r="E6691" t="inlineStr">
        <is>
          <t>借り；借金；借りる；借用；貸し出し</t>
        </is>
      </c>
      <c r="F6691" t="inlineStr">
        <is>
          <t>ちょいと拝借；一時拝借；一寸拝借</t>
        </is>
      </c>
      <c r="H6691" t="n">
        <v>29</v>
      </c>
      <c r="I6691" t="inlineStr">
        <is>
          <t>彼の武器といえば、ホテルから拝借した一メートルほどの木の棒だけ。；ただその前にほんの少しばかり、あなたの貴重な時間を拝借したいのです。；ちょうどいいとばかりに、彼らは逃げるついでにそれを拝借してきた。；由来は当時好きだったアニメのキャラクターから拝借したとのこと。；あの人は作食米の拝借の用を兼ねて、福島の方へ立って行きましたよ。；どこかの広葉樹から拝借したとおぼしき楽器を捨てながら、彼は言った。；私は近頃流行する言語を拝借して、人生に触れておらんと申しました。；わたしは今夜は、あんたの本でも拝借して、ここに泊っていて上げよう。；ただ、島へそれを送る時に、皆様のお名前を拝借させてもらいてえんで。；今日は容れものを拝借するのもどうかと思って、私の方で持参しましたよ。；いろいろまた、お智恵を拝借しなければならぬことがあると思いますから。；図書室の学術雑誌に載っていたのを、ひそかに拝借してきたものだった。；本作は1972年に、主人公だけを拝借する形でテレビドラマ化された。；ステージ・ネームは自身の尊敬するチェット・ベイカーから拝借された。；拝借して、私が運転して来た車は、ちゃんと門の内側に駐車してある。；の担当デザイナーの実際の飼い猫の名前から拝借したものであるという。；わたしはあくまで並行して存在する大空洞から魔力を拝借してるだけ。；あのダイヤは私が盗んで、ちょっと奥様のポケットを拝借したんですわ。；誰のバットだかわからないが、文句を言われるまでは拝借させてもらおう。；「僕もちょっとトイレを拝借」 玄関の脇にある山田家のトイレは洋式。；敵の兵器を拝借したその時、一連の事件の黒幕である巨大UFOが現れる。；だから、お父様の収集品のなかから最高の一本を拝借して交換したの。；それは父の書斎から拝借していた『朝鮮騒擾経過概要』だったのである。；それで母と相談をして、お力を拝借に上ったわけなのでございます。；誰の屋敷跡だか、二千坪ぐらいの焼跡をそっくり拝借したものらしい。；これは1874年に解散した同名の歴史的な企業の名前を拝借したものである。；ところへ妻がちょっと時計を拝借と這入って来て、また雪になりましたと云う。；両親の留守をいいことに、父のベンツを拝借して、それで行こうと考えた。；拝借と云て金を借りた以上は此方のもので、返すと云う念は万々ない。</t>
        </is>
      </c>
      <c r="J6691">
        <f>HYPERLINK("https://www.weblio.jp/content/拝借", "词义详情")</f>
        <v/>
      </c>
      <c r="K6691">
        <f>HYPERLINK("https://yourei.jp/拝借", "查看例句")</f>
        <v/>
      </c>
    </row>
    <row r="6692">
      <c r="A6692" t="inlineStr">
        <is>
          <t>廃除</t>
        </is>
      </c>
      <c r="B6692" t="inlineStr">
        <is>
          <t>成功</t>
        </is>
      </c>
      <c r="C6692" t="inlineStr">
        <is>
          <t>読み方：はいじょ
［名］(スル)
１やめて取り除くこと。
「是等無用の挙、断じて之を—するを可とす」〈雪嶺・偽悪醜日本人〉
２法律で、被相続人の意思に基づき、家庭裁判所の審判によって、推定相続人の相続権を失わせること。→廃嫡(はいちゃく)</t>
        </is>
      </c>
      <c r="D6692" t="inlineStr">
        <is>
          <t>廃止；撤廃；無くす；相続廃除</t>
        </is>
      </c>
      <c r="H6692" t="n">
        <v>21</v>
      </c>
      <c r="I6692" t="inlineStr">
        <is>
          <t>廃除の理由となる場合とならない場合としては以下のようなものがある。；呂雉は、劉恢が愛妾のために殉死したと考え、劉恢の封国を廃除した。；それから又もつとひどい世界にゆきますと、力によつて政治を廃除するということが幾多あるような気がいたします。；しかし、憲法上の既定費・法律費・義務費は政府の同意なくして廃除削減することができず、常額以内の皇室費も議会の協賛を要しないとされていた。；彼ら及びその子孫は2005年のレーニエ3世の死去に伴いモナコ公位継承権者の列から廃除されたが、レーニエ3世の直系に次ぐ潜在的な公位継承権を持つとされる。；被相続人の兄弟姉妹も推定相続人となりうるが、これらの者については遺留分が認められていないので、相続人は902条1項により相続分を指定することで相続させないようにすることができることから廃除の対象とはならない。；中国の第二次漢字簡化方案では同音の「占」に書き換えることを推進したため、同方案が廃除された後も「占」のままで定着した人がいる。；それで、「外国人を神としてまつることは許されぬ」ということになり、「琳聖太子一族の神霊はすべてこれを廃除した」にもかかわらず、いまみたようなそういう「神幸の列」が昭和の今日なおつづいているのである。；よく境遇にうち克って云々というとき、何か常識ではその悪条件を廃除しきったようにうけとるけれど、現実にはそうではないのね。；マー伯位は12代マー伯の死後、アースキン家が代々その権利を主張してきた爵位であり、この回復に際して女王は「頑迷な統治者や役人たちによって廃除されてきた正統な継承者に権利を回復させることに良心を動かされた」と宣言している。；この時に高宗の皇后は王皇后であったが、武昭儀は策略によりこれを廃除して、自ら皇后となった。；廃除の対象者は1028条により遺留分が認められている被相続人の兄弟姉妹以外の相続人に限られる。；憲法上の大権に基づく既定の歳出、及び法律の結果により、又は法律上政府の義務に属する歳出は、政府の同意なく帝国議会がこれを廃除又は削減することはできない。；清朝で考証学が勃興し、宋代以来の研究は廃除され、『礼記正義』や鄭玄の注釈が尊経されるようになった。；戦後、高助は出家して嫡男・晴助に家督を譲って許しを乞うが、氏康は高助の娘が生んだ晴氏の嫡男・足利藤氏を廃除して、自分の甥である晴氏の末子義氏への古河公方相続を要求するようになった。；これに対し、不行跡ゆえに父によって相続権者から廃除されていた異母姉のグレイ・オブ・ポウィス男爵夫人が、ブランドン家の相続権を狙って異母妹のフランセスとエリナーは婚外子だと主張したため、姉妹の間で1年にわたる訴訟が起きた。；ドイツ大使は6月にドイツ首相テオバルト・フォン・ベートマン・ホルヴェークに報告を行い、「世界大戦を利用して内部の敵、すなわちキリスト教徒を外国の外交介入なしに廃除する」というタラート・パシャの考えを伝えた。；民法典において、昭和22年改正まで、「推定家督相続人ノ廃除」として以下の条項が定められていた。；廃除された推定相続人は相続権を失う。；被相続人が、民法892条の定めるところにより相続権を持つ人間に著しい非行の事実がある場合に、家庭裁判所に「推定相続人廃除審判申立て」をすることにより推定相続人の持っている遺留分を含む相続権を剥奪する制度である。；英語圏では、遺言者が法定相続人に相続させない旨を明示的に遺言することを「廃除disinheritance」と呼び、遺言者が遺留分権者を受遺者として遺言に記載しないことによって遺留分を侵害することを「法定相続人の脱漏 preterition」と呼ぶ。</t>
        </is>
      </c>
      <c r="J6692">
        <f>HYPERLINK("https://www.weblio.jp/content/廃除", "词义详情")</f>
        <v/>
      </c>
      <c r="K6692">
        <f>HYPERLINK("https://yourei.jp/廃除", "查看例句")</f>
        <v/>
      </c>
    </row>
    <row r="6693">
      <c r="A6693" t="inlineStr">
        <is>
          <t>排除</t>
        </is>
      </c>
      <c r="B6693" t="inlineStr">
        <is>
          <t>成功</t>
        </is>
      </c>
      <c r="C6693" t="inlineStr">
        <is>
          <t>読み方：はいじょ
［名］(スル)おしのけてそこからなくすこと。「バリケードを—する」</t>
        </is>
      </c>
      <c r="D6693" t="inlineStr">
        <is>
          <t>排除すること(6%)；排除される(4%)；排除しよ(4%)；排除するため(4%)；排除できる</t>
        </is>
      </c>
      <c r="E6693" t="inlineStr">
        <is>
          <t>出す；取る；追放；除く；撤去</t>
        </is>
      </c>
      <c r="F6693" t="inlineStr">
        <is>
          <t>すべて排除；強制排除；全て排除；限り排除；排除効</t>
        </is>
      </c>
      <c r="G6693" t="inlineStr">
        <is>
          <t>排除措置命令；排除勧告；排除法則；排除法案；排除の論理</t>
        </is>
      </c>
      <c r="H6693" t="n">
        <v>29</v>
      </c>
      <c r="I6693" t="inlineStr">
        <is>
          <t>権力者の意に従わないかもしれないと少しでも思われた者は排除される。；この課題は宗教を排除できたが政治的な調和を生まなかったからだった。；ユダヤ人は適格性を欠くとされて文化面からどんどん排除されていった。；活動を中止せずにリスクを完全に排除することはめったに不可能である。；これは中世に行われていた極めて不合理な裁判を排除するものである。；第二に、子供の教育に対する教会からの影響を排除することを目的とした。；しかしながら、反対派の活動が徹底的に排除される中での選挙であった。；こうした干渉を排除出来るようになるのは、承久の乱以後のことである。；上野千鶴子の書籍を、図書館から排除させようとする動きなどが存在した。；フランス派は、教会と連携を保ちつつ形式的、儀式的なものは排除した。；一方、黒い蛇の正体は、白い蛇を排除するべく生み出された蛇のコピー。；共同体への忠誠義務を裏切った者は排除するべき種的変質者とされた。；サブスタンダード船の排除を目的に世界中でエリア別に組織が設立されている。；また国際SIL自体も、方言であるとの意見を排除しないと表明している。；この羽根は地上で邪魔にならないように降下時には排除可能である。；フリードマンは、あらゆる市場への制度上の規制は排除されるべきと考えた。；その後、軍隊を分割して、斉軍を完全に排除し、斉国の占領を拡大した。；それぞれが別の著者によるものという理解が排除されているわけではない。；その新たな生命への過程として、従来の人類の排除計画を選択する。；またこれは、他キャラクターとのエンカウント要素を排除したものでもある。；この抵抗を排除するのに近衛機甲師団の数両の戦車と数時間を要した。；秀吉も中世的支配体系・支配勢力の排除・抑制に努め、中世をおわらせた。；つまりルターは正典とそうでない書の区別を明確にしただけで排除はしていない。；ただし、いずれの場合も最悪ケースの可能性を完全に排除できるものではない。；登場人物の名前は日本人風であるが、それ以外に日本を感じさせる要素は排除されている。；そのため、他の社員に歓迎されない者が社員となる可能性を極力排除している。；一方で白ロシアやバルトへの主攻勢の可能性も排除はされていない。；これらは、当事者間の合意で変更したり排除したりすることができない規制である。；もしそこに他の子供がいたら、ぶつかり合ったり排除しようとすることもあり得る。</t>
        </is>
      </c>
      <c r="J6693">
        <f>HYPERLINK("https://www.weblio.jp/content/排除", "词义详情")</f>
        <v/>
      </c>
      <c r="K6693">
        <f>HYPERLINK("https://yourei.jp/排除", "查看例句")</f>
        <v/>
      </c>
    </row>
    <row r="6694">
      <c r="A6694" t="inlineStr">
        <is>
          <t>賠償</t>
        </is>
      </c>
      <c r="B6694" t="inlineStr">
        <is>
          <t>成功</t>
        </is>
      </c>
      <c r="C6694" t="inlineStr">
        <is>
          <t>読み方：ばいしょう
［名］(スル)
１他の人に与えた損害をつぐなうこと。「契約不履行による損害を—させる」
２国際法規違反により他国に与えた損害、また敗戦国が戦勝国に与えた損害の補償として金品その他を提供すること。</t>
        </is>
      </c>
      <c r="D6694" t="inlineStr">
        <is>
          <t>賠償金(9%)；賠償艦(4%)；賠償問題(4%)；賠償支払い(2%)；賠償委員会</t>
        </is>
      </c>
      <c r="E6694" t="inlineStr">
        <is>
          <t>報酬；手当；代償；補償；手当て</t>
        </is>
      </c>
      <c r="F6694" t="inlineStr">
        <is>
          <t>戦後賠償；無賠償；損害賠償；金銭賠償；準賠償</t>
        </is>
      </c>
      <c r="G6694" t="inlineStr">
        <is>
          <t>賠償請求；賠償責任；賠償額；賠償請求権；賠償責任保険</t>
        </is>
      </c>
      <c r="H6694" t="n">
        <v>29</v>
      </c>
      <c r="I6694" t="inlineStr">
        <is>
          <t>ソ連が求めた経常生産物賠償はドイツ工業なくして成立しないのである。；この賠償は、各国の協力に基づく日本の復興なくしては実現しなかった。；この賠償を受ける事ができたのは、以下の2つの条件を満たす国である。；両国政府に調査を求めていた被害者への賠償問題が出る可能性が高いという。；このため、以後タイからイギリスへ賠償の為に多くの米が輸出されていった。；もっとも、オランダ国民の間には、対日個人賠償を求める気運が残った。；前述の自沈の賠償の影響が海軍の艦艇・設備に暗い影響を与えていた。；しかしながら、米国商人は中国人からの保護と損害の賠償を求めてきた。；また、日本は賠償問題も韓国との条約によって解決済みとの立場である。；今後は民事法の賠償制度確立に向けての活動などを行うとしている。；この件に関して複数の原告が個人または集団で賠償訴訟を起こしている。；第二次世界大戦終了後はソビエト連邦へに賠償のために単線化が行われた。；しかし、ドイツの政権を握ったヒトラーは賠償を放棄する宣言を行う。；第二次世界大戦後の外債処理や賠償交渉に道筋をつけたことで知られる。；当項ではこれまでに日本が行ってきた主要な賠償・補償について概観する。；ミレーの息子によると、彼は最終的に少し金額を下げて賠償を受け入れた。；このため国際連盟による援助がいち早く行われ、賠償も免除されている。；植民地はその地域の社会全てに課税することで、彼に賠償することに合意した。；ハンザ代表は領土要求を行わず、戦前の権利承認と戦費賠償が認められた。；この役務賠償の考え方は、捕虜の強制労働を正当化する理由ともなった。；全日本鍼灸マッサージ師会も、賠償保険に加入する治療家が増えてきた。；これは、結果的に女児への賠償は男児よりもはるかに安いものとなった。；もし豚の姿のわしを殺したならば、豚の賠償を払えばよかったものを。；ビルマはこれをもって賠償再検討条項に基づく要求は全て完結している。；アメリカが賠償総額を決めようとした際にもロイド・ジョージは反対した。；戦後は賠償艦に指定されてフランスとイタリアに引き渡された。；使節団の調査目的はSCAPの賠償政策 を検討することであった。；チベット側が最も受け入れに躊躇したのは、その莫大な賠償金額だった。；また、他の罪における金銭での賠償もヴィーラと呼ばれていたものがある。</t>
        </is>
      </c>
      <c r="J6694">
        <f>HYPERLINK("https://www.weblio.jp/content/賠償", "词义详情")</f>
        <v/>
      </c>
      <c r="K6694">
        <f>HYPERLINK("https://yourei.jp/賠償", "查看例句")</f>
        <v/>
      </c>
    </row>
    <row r="6695">
      <c r="A6695" t="inlineStr">
        <is>
          <t>排水</t>
        </is>
      </c>
      <c r="B6695" t="inlineStr">
        <is>
          <t>成功</t>
        </is>
      </c>
      <c r="C6695" t="inlineStr">
        <is>
          <t>読み方：はいすい
［名］(スル)
１不用な水を排出すること。「—孔」
２物体が水に浮かんだとき、水中につかった部分と同体積の水を押しのけること。→排水量</t>
        </is>
      </c>
      <c r="D6695" t="inlineStr">
        <is>
          <t>排水路(5%)；排水孔(2%)；排水システム(2%)；排水事業；排水性</t>
        </is>
      </c>
      <c r="E6695" t="inlineStr">
        <is>
          <t>流す；干す；水抜き；乾す；除水</t>
        </is>
      </c>
      <c r="F6695" t="inlineStr">
        <is>
          <t>工場排水；用排水；工業排水；排水工事；かんがい排水</t>
        </is>
      </c>
      <c r="G6695" t="inlineStr">
        <is>
          <t>排水路；排水溝；排水口；排水管；排水機場</t>
        </is>
      </c>
      <c r="H6695" t="n">
        <v>29</v>
      </c>
      <c r="I6695" t="inlineStr">
        <is>
          <t>これが抵抗となって排水不良の原因となるため日本では禁止されている。；政府は大規模な開拓と排水作業を後援し、農業可能な土地を拡大させた。；これは筑波研究学園都市の建設に伴い都市排水を考慮してのことであった。；耐湿性は強化されていないので従来の品種同様、排水対策は必要である。；谷間の隅には排水トンネルのようなものが存在し、森へと続いていた。；さらに機関を強化している関係上、同排水量の戦艦よりも建造費は嵩んだ。；閘室内の暗渠の口は、給水時にも排水時にも兼用する設計が普通である。；ほとんどの酸性岩由来の排水はこの水がきっかけになることが多い。；しかし、これが逆に排水を困難にさせ被害が増大することもあった。；そのため湖は1893年に排水が開始され、こうして地図上から姿を消した。；当初は現在よりも大きかったが粕川の排水で現在の広さまで縮小している。；これらは主に排水を効率的に促すために作られたと解釈されている。；階段にはジッグラトからの排水に使用された溝が並行に走っていた。；排水方式は分流式や合流式どちらも採用できるが、以下のことに留意する。；このため上流域では農業排水路、下流域では都市排水路の性格を持つ。；乗員達は5時間にも及ぶ消火及び排水作業を懸命に行い、艦を維持した。；病気にかかって球根が腐りやすいため排水のよい清潔な土に植えつける。；十分な排水が行われていなかったため、飛行機が頻繁に泥湿地に沈んだのである。；排水装置の建設と地下鉄の保安対策が最初に実施される予定である。；しかし整備された当初は落ち口があまり良くなく、やや排水不良であった。；機関室で浸水が始まり、排水の必要が生じたが、再び激しい攻撃が行われた。；また、艦内の前部・中部・後部の三箇所に注排水指揮所を設置していた。；日当たりと排水性が良い土壌を好み、夏の暑さや乾燥に弱い性質がある。；この地区は水田地帯だったため、その水田の排水を集めて流す川であった。；排水中和施設の建設後は、失われた緑を取り戻すべく植林が行われている。；同時に区域南部を貫流する妙正寺川を改修拡張して排水を改善した。；特に排水システムは大規模な建築様式を採用していた。；そのため、排水の都合などを考えて西側坑口が掘削の主力とされた。；EPAと州の環境機関は、 浄水法の下で排水基準を設定している。</t>
        </is>
      </c>
      <c r="J6695">
        <f>HYPERLINK("https://www.weblio.jp/content/排水", "词义详情")</f>
        <v/>
      </c>
      <c r="K6695">
        <f>HYPERLINK("https://yourei.jp/排水", "查看例句")</f>
        <v/>
      </c>
    </row>
    <row r="6696">
      <c r="A6696" t="inlineStr">
        <is>
          <t>敗戦</t>
        </is>
      </c>
      <c r="B6696" t="inlineStr">
        <is>
          <t>成功</t>
        </is>
      </c>
      <c r="C6696" t="inlineStr">
        <is>
          <t>読み方：はいせん
［名］(スル)戦争・試合などに負けること。まけいくさ。「一点差で—する」「—国」</t>
        </is>
      </c>
      <c r="D6696" t="inlineStr">
        <is>
          <t>敗戦後(18%)；敗戦直後(3%)；敗戦投手(2%)；敗戦時；敗戦直前</t>
        </is>
      </c>
      <c r="E6696" t="inlineStr">
        <is>
          <t>負け；敗北；陥落；負；敗れる</t>
        </is>
      </c>
      <c r="F6696" t="inlineStr">
        <is>
          <t>第二次世界大戦敗戦；ドイツ敗戦；太平洋戦争敗戦；第一次世界大戦敗戦；桁敗戦</t>
        </is>
      </c>
      <c r="G6696" t="inlineStr">
        <is>
          <t>敗戦国；敗戦処理；敗戦の日；敗戦責任；敗戦日</t>
        </is>
      </c>
      <c r="H6696" t="n">
        <v>29</v>
      </c>
      <c r="I6696" t="inlineStr">
        <is>
          <t>またダムの完成は敗戦の影響を引きずっていた日本国民の注目を浴びた。；ニュースは敗戦・占領下で自信を失っていた日本国民に大きな力を与えた。；ベレッタ社は1945年のイタリア敗戦まで拳銃や機関銃を作り続けた。；和平か敗戦か色々な可能性があり、状況を注視して対応したいと述べた。；街には敵が殺到し、包囲された将軍は敗戦を認めて8月30日に降伏した。；明治から敗戦までの間、政財界に多大な影響力を持っていたとされる。；敗戦となれば戦争によって得た莫大な利益が問題視されることも考えられる。；阪神タイガースがこの球場での敗戦率が極めて高いことでも知られる。；前回の敗戦後、明軍では本国からの増援を得て兵力は約10万となった。；この敗戦のさなか、向寵の守る陣は全く破られることがなかったという。；この取組が、結果的に双葉山が土俵に上がっての最後の敗戦にもなった。；これに対し枢軸側は4発重爆撃機を本格生産できないまま敗戦を迎えた。；ドイツの敗戦が近づく中、同盟国は次々とドイツから離れようとした。；これは決して長篠敗戦が武田家滅亡の要因ではないことを示している。；昭和の敗戦後の混乱期には後南朝の子孫を自称する熊沢寛道が現れた。；一方の南部では敗戦の責任をユダヤ人に転嫁して非難された。；市内には第二次世界大戦の敗戦まで二つの日本陸軍関連施設があった。；この敗戦を聞いた王の側近は皆逃げ出してしまい、王も殺害された。；ポーランドを占領していたドイツ、オーストリアは第一次世界大戦で敗戦国となった。；この敗戦で多くのメディアがペイトリオッツの時代が終わったと書き立てた。；敗戦直後の東京の風景を描いたこの作品は久々の話題作となった。；第一次世界大戦が勃発すると、敗戦を支持したため、逮捕された。；なお、このシーズンは連敗が一度もなく、また敗戦の次の試合は必ず勝っていた。；この敗戦の結果アテネの独立には終止符が打たれることとなった。；敗戦の原因は判明せず、そのまま皐月賞への参戦が予定された。；ドイツ敗戦後、これらの地域はドイツから分離されてポーランドとソ連に併合された。；しかし敗戦後、住井は自らの戦争協力の過去を積極的に偽るようになった。；しかし多くの国民や前線の兵士は敗戦を考えていなかった。；戦争中は息をひそめていたが、日本敗戦後、『青銅の魔人』で復活する。</t>
        </is>
      </c>
      <c r="J6696">
        <f>HYPERLINK("https://www.weblio.jp/content/敗戦", "词义详情")</f>
        <v/>
      </c>
      <c r="K6696">
        <f>HYPERLINK("https://yourei.jp/敗戦", "查看例句")</f>
        <v/>
      </c>
    </row>
    <row r="6697">
      <c r="A6697" t="inlineStr">
        <is>
          <t>配線</t>
        </is>
      </c>
      <c r="B6697" t="inlineStr">
        <is>
          <t>成功</t>
        </is>
      </c>
      <c r="C6697" t="inlineStr">
        <is>
          <t>読み方：はいせん
［名］(スル)
１電気機器・通信装置などを導線で接続して回路を構成すること。また、その導線。「プリント—」
２電気や電話の需要者側に電線や回線を敷設すること。また、その電線や回線。「—工事」「たこ足—」</t>
        </is>
      </c>
      <c r="D6697" t="inlineStr">
        <is>
          <t>配線変更；配線上；配線工事；配線用；配線構造</t>
        </is>
      </c>
      <c r="E6697" t="inlineStr">
        <is>
          <t>ケーブル；ワイヤー；架線；ワイヤ；導線</t>
        </is>
      </c>
      <c r="F6697" t="inlineStr">
        <is>
          <t>線路配線；一線スルー配線；複雑な配線；式配線；国鉄型配線</t>
        </is>
      </c>
      <c r="G6697" t="inlineStr">
        <is>
          <t>配線用差込接続器；配線略図；配線工程；配線部品</t>
        </is>
      </c>
      <c r="H6697" t="n">
        <v>29</v>
      </c>
      <c r="I6697" t="inlineStr">
        <is>
          <t>配線ルートに余裕がない場所に多数の端末を設置する場合に用いられる。；この変更に伴い、翼・機体構造の一部は再設計され、配線は交換された。；撤去する際に上下の配線を接続するだけの端子台に交換される場合もある。；銀は導電率が非常に高い金属だが、高価であるため配線には使われない。；新設駅のため配線は単線時代の従来の線路にもう一線を追加した形である。；運用線区の配線の関係で当時は日ごとに編成の向きが変わっていた。；スライドドアは配線などの問題上パワーウィンドウの装備が遅れていた。；これは両者の電気ケーブルが誤って配線されていたことが原因だった。；ポイント・トゥ・ポイント工法のため、配線が非常に複雑になっている。；これらの配線・配管や内部機器・発電装置は、作品ごとに若干変化する。；残りのローターの配線の解析は相当に簡単にできるようになっていた。；心配せんでええ、わしも、ときどき会うたことがあるでよう知っとる。；これは同線の駅の多くがJR型配線であるためその識別であると思われる。；速度に影響するものはその形の内側の端に置かれ、配線の長さを少しでも短くした。；配線を地中に通し、あとはこの強力なしもべが無言で大仕事をしてくれた。；一方のダイナミック方式は、表示器につながる配線の数を少なくできる。；配線は複数本並んでいて、出力はそれらの任意の線に接続可能である。；また、配線を切ってしまえば神輿は動かずモードも固定されたままである。；通信回線は設置個所に別途電気とともに配線されたものを使用していた。；その間に先生は、航空船の構造と無電の配線のこととを調べておられたらしい。；アルミニウムを使用する配線層に渦巻状のパターンを作って形成する。；弱い明かりが照らしたものはもう一つの受話器、長い配線がついている。；配線を引き通すためトイレ設置工事の際と同様に窓が塞がれている。；究極的には、長さのある配線には、ごくわずかにインダクタンスがある。；配線は金属製の配管の中を通してあったが、実際には煩雑なものであった。；このため、両乗り場とも上下列車いずれも入線が可能な配線となっている。；同じ現象は複数の配線が接近している場合にも発生する。；単式1面1線を並べたホーム・線路・ホーム・線路の順の配線となっている。；テスターを用いて設計図通り回路の配線がなされているかどうか確認する。</t>
        </is>
      </c>
      <c r="J6697">
        <f>HYPERLINK("https://www.weblio.jp/content/配線", "词义详情")</f>
        <v/>
      </c>
      <c r="K6697">
        <f>HYPERLINK("https://yourei.jp/配線", "查看例句")</f>
        <v/>
      </c>
    </row>
    <row r="6698">
      <c r="A6698" t="inlineStr">
        <is>
          <t>配送</t>
        </is>
      </c>
      <c r="B6698" t="inlineStr">
        <is>
          <t>成功</t>
        </is>
      </c>
      <c r="C6698" t="inlineStr">
        <is>
          <t>読み方：はいそう
［名］(スル)配達して届けること。また、配達と発送。「お中元を—する」「—係」</t>
        </is>
      </c>
      <c r="D6698" t="inlineStr">
        <is>
          <t>配送する(11%)；配送される(5%)；配送先(2%)；配送業務(2%)；配送車(2%)</t>
        </is>
      </c>
      <c r="E6698" t="inlineStr">
        <is>
          <t>配信；持参；配達；搬送；届ける</t>
        </is>
      </c>
      <c r="F6698" t="inlineStr">
        <is>
          <t>配送ルート；商品配送；鍵配送；配送問題；配送事業</t>
        </is>
      </c>
      <c r="G6698" t="inlineStr">
        <is>
          <t>配送サービス；配送トラック；配送業；配送所；配送状況</t>
        </is>
      </c>
      <c r="H6698" t="n">
        <v>29</v>
      </c>
      <c r="I6698" t="inlineStr">
        <is>
          <t>専門的な分野の雑誌は、契約制で企業や個人宅に直接配送するものがある。；日本へ帰国すると、私よりも先にその航空便が自宅に配送されていました。；コンビニの店長などは商品が配送されずに困り果てているかもしれない。；更に検査を受けてこれに合格した車はディーラーへの配送準備に回される。；問題用紙の配送者も、1日だけであるが合宿所に収容されることになる。；出発空港から滞在先ホテルへ荷物を当日中に配送するサービス。；ロシアから配送される製品の量は、以前の3分の2の水準にまで減少した。；企画・開発・デザイン・調達・配送・リサイクルまでを含め提供する。；広告や配送はビジネスの一部ではないか、主要な活動である可能性があります。；どの店にも最短で配送できるよう本社・流通センターの敷地内に設けられた。；また三日後に、則夫は配送のために立川のスーパーマーケットに行った。；下層階は配送車の発着や作業のため通常の建物より天井が高い。；店頭販売だけでなく、住宅や飲食店への配送を行うことを特徴とする。；配送先メールサーバはSPF情報を要求しそれを用いることができる。；ダシは一カ所でまとめて作られていて、毎日各支店に配送されている。；そのうえ、別の架台にまだ二個、惑星内荷物が配送を待っていたのだ。；今日中に配送しなくてはならない家は、まだ五軒あるのだ。；DHL社が列車と道路を使用したこの工場からの全ての出荷と配送を担当している。；一つのサービスが全てのイベントを集約して、各種アプリに配送する。；大部分の苦情は、製品/サービスおよび配送問題に関してのものだった。；グループ傘下となった背景として、安定した配送システムの確保が挙げられる。；ただしホテルからウェルカムセンターへの配送はこの限りでなく有料である。；この日はニュースの配送に感謝して、ほとんどの人がニュース記事の投稿を控えた。；配送中にどこかのトラックに紛れこんでしまったらしいという。；郵便物の配送は歴史的な経緯から貨客混載のポストバスでも行われている。；店に入ってきた配送員の女性を見て、不思議な親近感を感じる。；ここに集められた補給物資はローラーで運ばれ、各地の部隊に配送される。；ルーティングテーブルの考え方は、荷物の配送で地図を使うのとよく似ている。；手の空いた職工たちは運転免許を取らされ配送作業のほうに回された。</t>
        </is>
      </c>
      <c r="J6698">
        <f>HYPERLINK("https://www.weblio.jp/content/配送", "词义详情")</f>
        <v/>
      </c>
      <c r="K6698">
        <f>HYPERLINK("https://yourei.jp/配送", "查看例句")</f>
        <v/>
      </c>
    </row>
    <row r="6699">
      <c r="A6699" t="inlineStr">
        <is>
          <t>配達</t>
        </is>
      </c>
      <c r="B6699" t="inlineStr">
        <is>
          <t>成功</t>
        </is>
      </c>
      <c r="C6699" t="inlineStr">
        <is>
          <t>読み方：はいたつ
［名］(スル)郵便物や商品などを指定された宛先へ届けること。「市内は無料で—する」「新聞—」</t>
        </is>
      </c>
      <c r="D6699" t="inlineStr">
        <is>
          <t>配達する(9%)；配達される(6%)；配達夫(3%)；配達先(2%)；配達用</t>
        </is>
      </c>
      <c r="E6699" t="inlineStr">
        <is>
          <t>配信；持参；搬送；届ける；納める</t>
        </is>
      </c>
      <c r="F6699" t="inlineStr">
        <is>
          <t>配達区域；配達車；配達料；配達パートナー；配達局</t>
        </is>
      </c>
      <c r="G6699" t="inlineStr">
        <is>
          <t>配達人；配達証明；配達物；配達中；配達日指定</t>
        </is>
      </c>
      <c r="H6699" t="n">
        <v>29</v>
      </c>
      <c r="I6699" t="inlineStr">
        <is>
          <t>一号から八号までで、つまり八人の配達が担当していたわけなのである。；犯罪はあの電報が配達される前に行なわれたと考えるほかはありません。；私は廓を配達している朋輩に頼んで彼女のもとに新聞を入れてもらった。；日に二三度も号外がけたたましい鈴の音を表戸にうち当てて配達された。；一方で、配達までに30分を超えると注文客に襲撃される危険性を持つ。；通信配達をするシステムである、花キューピットの名称で知られている。；というのも一ヶ月間か二ヶ月間、私の配達を待っておられたからです。；また新聞販売店等がその配達網を利用して業務を受託していることもある。；京都では東京の各新聞はちょうど一時頃に配達されるのだった。；ロケ弁当以外にも、会議用弁当など一般向けにも販売・配達をしている。；この辺まで配達すると、順路帳の最初の一枚を一めくりしたことになる。；さらに、偶然いた配達の男も射殺し、その後静かに現場を片付けていく。；実家は桜台にある小沼酒店で、幼い頃は両親と配達に行くのが好きだった。；またそのための仕出し・配達サービスが整備されているという事情もある。；僕、新聞を配達しているのだから、お金をもらったら、すぐ持っていくよ。；長身で動作がきびきびしていて、その配達ぶりは見ていて気持がよかった。；新聞を配達していたならばあるいは行っていたかも知れない。；飛び込んでその子供のためになんとか配達夫を言いなだめなければならぬ。；長く配達をしていると、なにか特殊な感覚が発達するようである。；自身はこの時の経験を「配達する側から掲載される側になった」と話している。；たゞ私はどうかしてこのことだけを配達夫に知らせたいと思った。；また、当日の朝刊は放送終了後の午後に配達される特別措置がとられた。；この年の年賀状配達は混乱し、4億3千万通もの年賀状が影響を受けた。；記事・写真の入稿締め切り時刻や、版ごとの配達地域は公表されていない。；配達は主に同社少年部所属の社員見習いの者が自転車やオートバイで行った。；私たち配達もやはり普通の商人のように自分の購読者のことをお得意と呼んでいた。；私が配達しはじめてから三月目位によそへ引越したような記憶がある。；配達の年・地域によって色や文字・デザインが異なることがある。；泣きながら帰る未宇を配達途中で見かけた司が自動車をすぐ横に停める。</t>
        </is>
      </c>
      <c r="J6699">
        <f>HYPERLINK("https://www.weblio.jp/content/配達", "词义详情")</f>
        <v/>
      </c>
      <c r="K6699">
        <f>HYPERLINK("https://yourei.jp/配達", "查看例句")</f>
        <v/>
      </c>
    </row>
    <row r="6700">
      <c r="A6700" t="inlineStr">
        <is>
          <t>配置</t>
        </is>
      </c>
      <c r="B6700" t="inlineStr">
        <is>
          <t>成功</t>
        </is>
      </c>
      <c r="C6700" t="inlineStr">
        <is>
          <t>読み方：はいち
［名］(スル)人や物をそれぞれの位置・持ち場に割り当てて置くこと。また、その位置・持ち場。「全員—に就く」「席の—を決める」「要員を—する」</t>
        </is>
      </c>
      <c r="D6700" t="inlineStr">
        <is>
          <t>配置する(8%)；配置される(5%)；配置転換；配置駅；配置車両</t>
        </is>
      </c>
      <c r="E6700" t="inlineStr">
        <is>
          <t>構成；予定；分類；置く；気分</t>
        </is>
      </c>
      <c r="F6700" t="inlineStr">
        <is>
          <t>再配置；座席配置；戦闘配置；分散配置；新製配置</t>
        </is>
      </c>
      <c r="G6700" t="inlineStr">
        <is>
          <t>配置換え；配置図；配置計画；配置間相互作用；配置薬</t>
        </is>
      </c>
      <c r="H6700" t="n">
        <v>29</v>
      </c>
      <c r="I6700" t="inlineStr">
        <is>
          <t>以下で定期運用終了後も本系列が配置されていた基地ごとに解説を行う。；右下の隅または左上の隅を空所とした配置を最終目標とするものが多い。；ナノスケールの部品の操作や配置が必要な用途はまだ研究段階である。；外部からの視線を防ぐため建物の構造的に女湯の配置を考慮する場合もある。；国鉄の普通列車に使われる車両は座席配置により次のように区分される。；それぞれ を表す字を変形させたもので、本来の字の次に配置される。；画面は升目状に区切られており、いくつかの種類の駒が配置されている。；ファイルフォーマットはこれらデータの配置の仕方・形式を規定する。；以下に、現在使われている近代的なオーケストラの配置の一例を示す。；この時、全ての配置が26回の半回転で復元できることも確認された。；ユーゴスラビア連邦軍とは別個に地域防衛軍を配置し、武器も配備した。；日本国外の高速列車では窓と座席の配置が必ずしも合っていない場合がある。；こちらは8番と11番のカードの位置は伝統的な配置のままである。；チェスと同様端から二列が自陣となり、先手からその中に駒を配置する。；そのため、原子の中で価電子の配置の仕方は元素の性質に直結している。；運用車両はすべて下関総合車両所配置のキハ40形かキハ47形である。；乗艦を失った乗組員の多くは、新たに建造された空母へと配置転換された。；原子を間隙が最も少なくなるように配置させた構造を最密充填構造という。；アメリカ側の資料なので、厳密には機銃配置などで異なる部分がある。；当駅には、かつては岩国機関区が置かれ、蒸気機関車が配置されていた。；ヒトの場合の主な非対称は心臓と肝臓の位置、及び消化管の配置である。；同社に入籍後は、既存車と編成を組み替えられ、以下の配置経歴を持つ。；その場合の初期配置を図で示すと以下のようになる。；複雑に配置されたふきだしも、元の意図を尊重した翻訳をすることができる。；結局、通常のサッカーモードから90度回転した配置で試合を開催。；また、郡長はすべての郡に1人ずつ配置されたわけではなかった。；これらが寝たまま操作できるよう、機能的に配置されている。；この時の薩軍は和田峠を中心に左翼から以下のように配置していた。；それらは30歳代と見られる人間の頭蓋骨の上に直接配置された。</t>
        </is>
      </c>
      <c r="J6700">
        <f>HYPERLINK("https://www.weblio.jp/content/配置", "词义详情")</f>
        <v/>
      </c>
      <c r="K6700">
        <f>HYPERLINK("https://yourei.jp/配置", "查看例句")</f>
        <v/>
      </c>
    </row>
    <row r="6701">
      <c r="A6701" t="inlineStr">
        <is>
          <t>ハイテク</t>
        </is>
      </c>
      <c r="B6701" t="inlineStr">
        <is>
          <t>成功</t>
        </is>
      </c>
      <c r="C6701" t="inlineStr">
        <is>
          <t>読み方：はいてく
「ハイテクノロジー」の略。「—機器」「—産業」</t>
        </is>
      </c>
      <c r="D6701" t="inlineStr">
        <is>
          <t>ハイテク企業(10%)；ハイテク化(4%)；ハイテク兵器(4%)；ハイテク機器(3%)；ハイテク装備(3%)</t>
        </is>
      </c>
      <c r="E6701" t="inlineStr">
        <is>
          <t>先端技術</t>
        </is>
      </c>
      <c r="F6701" t="inlineStr">
        <is>
          <t>ハイテク特殊部隊；様々なハイテク；ハイテク関連；ハイテクマシン；ハイテク都市</t>
        </is>
      </c>
      <c r="G6701" t="inlineStr">
        <is>
          <t>ハイテク建築；ハイテクパーク；ハイテクノロジー；ハイテク技術；ハイテクノロジー・スーサイド</t>
        </is>
      </c>
      <c r="H6701" t="n">
        <v>29</v>
      </c>
      <c r="I6701" t="inlineStr">
        <is>
          <t>到着した幹部たちは建設ロボットが走るハイテクの現場に息を飲んだ。；最新のハイテク機器を前にしたときのように興奮し、目を輝かせていた。；ハイテクは現在でも重要な部門だが、大規模な技術主導の会社は少ない。；ケンブリッジ周辺のハイテク企業集積地内では良く知られた企業である。；その目はやはりアジアのハイテク国のマシンに満足している様子だ。；一方、ハイテク機器に囲まれた管制室でこの惨状を監視する人々がいた。；ハイテク素材の重ね着をしてるから、東京くらいなら夜の寒さも平気だ。；そこではトゥームスの部下たちによるハイテク兵器密売が行われていた。；それは現代のハイテクが生んだニュータイプのミイラなのかもしれない。；ハイテク高校と中学校はどちらも市内にあるチャーター・スクールである。；張替え当時はいわゆる「ハイテク人工芝」と称された高機能型であった。；観光業が州経済の主幹となり、ハイテクが重要な経済推進力となった。；ハイテク企業が集中しているため、ロシアのシリコンバレーと呼ばれている。；ハイテク装備禁止とレース中の燃料再給油解禁に対応してデザインされた。；中国ハイテク輸出額は他の国家のものに比べ2倍以上となっている。；ことに、もはや日常化したハイテクに関する部分にそれは顕著にみられる。；それを見た國子は、これはハイテクで説明できるような現象ではないと悟った。；しかも、こうした傾向は巨大プロジェクトやハイテク分野に顕著に見られる。；エアクッションのハイテクシューズはこんなとき、ほとんど音がしない。；多数のハイテク企業が郊外のビジネスパークで設立されている。；もっとも下等な生物がハイテク時代の最高の文明人類社会を食って行く皮肉な現象。；このうち最も後にできた南部の団地にはイケアのほかハイテク関連の企業が進出している。；百貨店を舞台にしていた前作とは違い、本作ではハイテクテーマパークが舞台。；最上階の三階には、日本にはまだ二台しかない最新鋭のハイテクマシンがあります。；膨張させた製薬部門を解散して金属部門とハイテク部門へ傾注するようになった。；SFのハイテク装置などとはおよそ縁がなさそうな部室である。；ハイテクを駆使した建造物の内側は、この世界で最も滅びに近い場所だ。；ハイテク研究施設では、新しい強力な手術用レーザーのテストが行われていた。；教室の2つはハイテクの遠隔教育用であり、別の2つは実験教室になっている。</t>
        </is>
      </c>
      <c r="J6701">
        <f>HYPERLINK("https://www.weblio.jp/content/ハイテク", "词义详情")</f>
        <v/>
      </c>
      <c r="K6701">
        <f>HYPERLINK("https://yourei.jp/ハイテク", "查看例句")</f>
        <v/>
      </c>
    </row>
    <row r="6702">
      <c r="A6702" t="inlineStr">
        <is>
          <t>売店</t>
        </is>
      </c>
      <c r="B6702" t="inlineStr">
        <is>
          <t>成功</t>
        </is>
      </c>
      <c r="C6702" t="inlineStr">
        <is>
          <t>読み方：ばいてん
物を売る店。特に、病院・劇場・遊園地などの施設内の小さな店。</t>
        </is>
      </c>
      <c r="D6702" t="inlineStr">
        <is>
          <t>売店等；売店車；売店営業；売店施設；売店スペース</t>
        </is>
      </c>
      <c r="E6702" t="inlineStr">
        <is>
          <t>店；店舗；商店；ショップ；ストア</t>
        </is>
      </c>
      <c r="F6702" t="inlineStr">
        <is>
          <t>小さな売店；販売する売店；新聞売店；空港売店；直営売店</t>
        </is>
      </c>
      <c r="H6702" t="n">
        <v>29</v>
      </c>
      <c r="I6702" t="inlineStr">
        <is>
          <t>一部の売店非設置駅では、改札で新聞のみの販売を行っている駅がある。；そして彼女の載った号が売店に出た時点でも18歳に達していなかった。；ただし、現在の建物の隣に将来売店を建てるスペースは用意されている。；かつては駅舎に入って右手に売店があったが、現在は閉鎖されている。；また1980年代までは駅構内に売店があったが現在は閉鎖されている。；実はこの区画にはレストランと売店を兼ねた建物が建設される計画だった。；ビーチとほぼ並行に道路がありその東側にはホテル・売店などが並ぶ。；供用開始当初はトイレのみの施設であり、売店は1年遅れて開設された。；学校平には牛の放牧地、売店レストランを備えた山の駅たかはらがある。；山頂の池では、売店で購入した麩などを鯉にあげる市民の姿も見られる。；また上りホーム内には売店や立ち食いうどん屋などが設けられていた。；近くの売店では宇宙食や宇宙に関連したグッズの販売が行われていた。；かつては駅舎内に売店も存在しており、1993年時点では営業中だった。；以前は改札内および上りホームに売店があったが、現在は廃止されている。；山頂付近まで林道が整備されており、山頂付近には宿や売店などもある。；本PAは高速道路を利用しなくても売店へは外から入ることができる。；周囲には工場が多いが、駅前には少数の売店や居酒屋なども軒を連ねる。；駅改良前は売店は改札の外にあったが、改良後は改札内での営業となった。；かつては売店が営業していたが、今は営業が中止され店舗自体も撤去されている。；かつては2番ホームにも売店があったが、自動販売機コーナーとなった。；この売店は通常の商品のほかに鉄道グッズコーナーが併設されている。；メインスタンドの外側に売店があるが営業していることは稀である。；また製造当初は中間車にサービスコーナーがあり、売店営業を行っていた。；同年7月以降はが当駅限定の弁当を新幹線改札内の売店で販売している。；内部には、切符売り場や多くの売店を収容する大きな駅ホールがある。；売店は球場入口正面にのみ設置、限られた種類の飲食を販売していた。；事業所の売店を転換したもので、大半の店舗では一般客の利用は出来ない。；開業当初は売店もあったが後に撤去され、窓口で新聞を販売する形態になった。；車内支払いより割安になる共通回数券は空港内の売店で販売されている。</t>
        </is>
      </c>
      <c r="J6702">
        <f>HYPERLINK("https://www.weblio.jp/content/売店", "词义详情")</f>
        <v/>
      </c>
      <c r="K6702">
        <f>HYPERLINK("https://yourei.jp/売店", "查看例句")</f>
        <v/>
      </c>
    </row>
    <row r="6703">
      <c r="A6703" t="inlineStr">
        <is>
          <t>売買</t>
        </is>
      </c>
      <c r="B6703" t="inlineStr">
        <is>
          <t>成功</t>
        </is>
      </c>
      <c r="C6703" t="inlineStr">
        <is>
          <t>読み方：ばいかい
《ふつう「バイカイ」と書く》証券取引所（金融商品取引所）の会員が、銘柄・株数・値段・受渡期間の同じ売り注文と買い注文とを組み合わせ、売買が成立したものとして取引所に届け出ること。昭和42年（1967）以降禁止されている。</t>
        </is>
      </c>
      <c r="D6703" t="inlineStr">
        <is>
          <t>売買する(7%)；売買される(3%)；売買できる；売買価格；売買仲介</t>
        </is>
      </c>
      <c r="E6703" t="inlineStr">
        <is>
          <t>販売；営業；交換；扱う；取引</t>
        </is>
      </c>
      <c r="F6703" t="inlineStr">
        <is>
          <t>土地売買；麻薬売買；株式売買；商品売買；人身売買</t>
        </is>
      </c>
      <c r="G6703" t="inlineStr">
        <is>
          <t>売買取引；売買春；売買代金；売買単位；売買い</t>
        </is>
      </c>
      <c r="H6703" t="n">
        <v>29</v>
      </c>
      <c r="I6703" t="inlineStr">
        <is>
          <t>転写を行う背景の多くは歴史的価値のみを売買するために行われている。；前述のように京以外の町は登場しないので、アイテムの売買なども京で行う。；現存車は今でも理想のスポーツカーの一台として高値で売買されている。；戦闘では普通に戦う以外にも交渉してアイテムの売買や交換をすることができる。；絶版になった漫画は中古で売買されているが、漫画家の利益にならない。；投資家同士が市場内で直接売買するオークション方式とは対照的である。；これは上記に示されるように戦器の売買に利用された貨幣である。；アングル人の奴隷がローマで売買されていたという記録も残っている。；中にはインターネット上でプログラムが公然と売買されているものもある。；ゴルフ会員権は市場で取引されており、株式のように時価で売買される。；各グループには伝言板があり、主にアイテムの売買や交換などを行っている。；その後さまざまな種の捕獲は禁止されたが、違法な売買は続いている。；烏骨鶏の卵は昔から栄養価が高いとされ、滋養薬として売買されてきた。；そのような場合は保証制度を設けている会員権売買業者ならば引き取る場合がある。；商人からは借金・返済以外にも、米の売買および武器の購入ができる。；店で売買することで地上の街を発展させることもできる。；李氏朝鮮では末期になるまで書店が存在せず書籍を売買する事が出来なかった。；刀を売買する所で日本縦断ゲーム、兵士を従えている時は登場しない。；法的には、元の契約の解除または再売買の一方の予約として構成される。；しかし熱狂した市民はそれに注意することも無く、株や土地の売買を続けた。；不動産売買は、当該契約の締結した時点で所有権が移転するのが原則である。；江戸時代には家屋や蔵などが土地から分離して売買や貸借の対象となっていった。；シリコンのICは物質であるから、需要と供給の関係で売買は成立する。；また他人から現金や商品・株券などを借り受けて売買する手法などがある。；古書店などでも、他の書籍と同様に売買される性質のものである。；貿易とは、ある国と別の国との間で行なわれる商品の売買。；売買とは異なり民法上の交換は相互に金銭以外の財産権を移転の対象とする。；しかし、この許可願いの存在から、それ以前の売買の存在が推認されている。；かつては長い期間、高梁市中心部で牛や馬の売買が行われていた。</t>
        </is>
      </c>
      <c r="J6703">
        <f>HYPERLINK("https://www.weblio.jp/content/売買", "词义详情")</f>
        <v/>
      </c>
      <c r="K6703">
        <f>HYPERLINK("https://yourei.jp/売買", "查看例句")</f>
        <v/>
      </c>
    </row>
    <row r="6704">
      <c r="A6704" t="inlineStr">
        <is>
          <t>配布</t>
        </is>
      </c>
      <c r="B6704" t="inlineStr">
        <is>
          <t>成功</t>
        </is>
      </c>
      <c r="C6704" t="inlineStr">
        <is>
          <t>読み方：はいふ
［名］(スル)配って広く行き渡らせること。「駅前でちらしを—する」</t>
        </is>
      </c>
      <c r="D6704" t="inlineStr">
        <is>
          <t>配布する(11%)；配布される(9%)；配布用；配布物；配布地域</t>
        </is>
      </c>
      <c r="E6704" t="inlineStr">
        <is>
          <t>分配；散乱；配分；散々；頒布</t>
        </is>
      </c>
      <c r="F6704" t="inlineStr">
        <is>
          <t>無償配布；広く配布；ビラ配布；配布フリー；一次配布</t>
        </is>
      </c>
      <c r="H6704" t="n">
        <v>29</v>
      </c>
      <c r="I6704" t="inlineStr">
        <is>
          <t>アパートなどで集団契約をしている場合は家主が直接配布することもある。；戦後に創刊され、これらに準じる配布域を持つに至った新聞も含まれる。；くじの配布は手を変え品を変え、現在でも何らかの宣伝で使用されている。；ある自治体で集められた寄附は、その自治体内での配布に用いられている。；フリー配布の写真素材や音楽素材を使用して製作された、フリーゲーム。；主な活動はクッションを作り、地域の施設や駅に配布することである。；日本の中学・高校で初めてシラバスを配布した学校といわれている。；全国で同内容の教科書が配布され、各地域それぞれの言語で教育が行われた。；イベント時に随時配布される他、選手・監督名の入ったものも販売されている。；また、受け持った生徒には数学の公式をまとめたプリントを配布していた。；UNIX系ソフトウェアは、ソースコードの形で配布されることがある。；GPLに基づいて無償で公開されており、修正・再配布することができる。；新聞は、刊行間隔・配布地域・内容などで様々な種類に分類される。；この小冊子は既存商品に封入されたり、玩具販売店の店頭で配布される。；Shareは全体的に見て一次配布者側が有利な作りとなっている。；連合艦隊がこの作戦計画案を関係者に配布したのは、4月28日であった。；両CDはボーランドが資金を提供して制作され、同社の顧客に配布された。；これは、招待券の配布店舗が東京周辺の南関東に限られていたことによる。；以前は有料が原則だったが、現在では無料の配布形式をとる雑誌が増えてきている。；そして、正選手には主催者側が用意したナンバーカードが配布される。；配布には主にインターネットやパソコン通信などのネットワークが用いられる。；無料新聞とは無料で配布される新聞のうち広告を主体としない本格的な新聞に近い物を指す。；生徒手帳が配布されない代わりにカードサイズの生徒証明書が発行されている。；それは単に印刷物の配布をすることではなく生徒が知りたいと思う情報を提供することである。；この会議で多くの人から問題が集められ配布された。；ほとんどの市区では、それぞれ無料の市区ニュースが配布されている。；全てのNTT東西の電話加入者は、加入地域に対応したものが1冊配布される。；ビラ配布を問題だとする立場から、以下のような意見が見られる。；小川の分析結果は当初ごく限られた人物の間に少数のコピーで配布されたのみであった。</t>
        </is>
      </c>
      <c r="J6704">
        <f>HYPERLINK("https://www.weblio.jp/content/配布", "词义详情")</f>
        <v/>
      </c>
      <c r="K6704">
        <f>HYPERLINK("https://yourei.jp/配布", "查看例句")</f>
        <v/>
      </c>
    </row>
    <row r="6705">
      <c r="A6705" t="inlineStr">
        <is>
          <t>配付</t>
        </is>
      </c>
      <c r="B6705" t="inlineStr">
        <is>
          <t>成功</t>
        </is>
      </c>
      <c r="C6705" t="inlineStr">
        <is>
          <t>読み方：はいふ
［名］(スル)配って各人の手に渡すこと。「出席者に資料を—する」</t>
        </is>
      </c>
      <c r="D6705" t="inlineStr">
        <is>
          <t>配付する(14%)；配付される(10%)；配付資料(3%)</t>
        </is>
      </c>
      <c r="E6705" t="inlineStr">
        <is>
          <t>頒布；配る</t>
        </is>
      </c>
      <c r="H6705" t="n">
        <v>29</v>
      </c>
      <c r="I6705" t="inlineStr">
        <is>
          <t>これは第31回漢字小委員会以降で配付された資料に基づくものである。；今夜の捜査会議で配付されることになるだろう。；このため試供品提供企業側が配付方法を指定する傾向も見られる。；彼女は受付けの席で、電話の応対や成績表の配付という仕事をこなしていた。；どこかの組織が想定問答集を配付して、マスコミ対策を指導でもしているような印象だった。；この点は、頒布会で配付された冊子での案内や告知広告においても同様であった。；もっと正確に言うならば、その講演会で配付される研究委員会の資料を入手することが主目的である。；金さへ都合が出来ますなら、若しかしましたら私の感想集を自分で出して、それをも配付したいと思つてゐます。；もし佐山の連絡が一時半近くにまでずれ込んだなら、配付は前橋市内のみ。；主たる配付方法は郵送であり、一般にはほとんど出回らないメディアである。；そのためにUNIXは、希望があればごく安い値段で配付された。；定期購読を契約した者にのみ学校で配付される。；これでは帯封配付人を買収すれば足りるすこぶる容易な仕事だ。；島は自分の「私案」を二十部ほど印刷し、関係者に配付した。；ポスターの製作とその配付にかかる実費は自分で支払う、とダフネは言った。；コンテンツの中で、「私訳のテキスト」は配付・再利用は自由である。；その頃を前後として、敵は空から我々に象形文字で書いた印刷物を配付して呉れた。；発売から半年以上経過後、フルボイス化DISCが送料自己負担の上で無料配付されることとなった。；一揆の頭目達の間に、米沢の伊達政宗からの檄文が、配付されていた。；とにかく明後日までにはこのポスターを市内一帯に配付、掲示する。；代々木公園で解散ライブではアルバムを無料配付すると告知したためか400人を動員。；フィルムのなかのひと駒を使い、アランのポスターを作って配付することになった。；だが嶋田節子には、そんなものが配付されていたという記憶ももちろん、ないらしい。；各方面に緊急連絡先として配付されている名簿を見て、重松の自宅にかけてきたらしい。；配付場所の一覧はHPのショップリストにて掲載してある。；さらに市役所では虫害の未然防止のために希望する市民には殺虫剤を無料で配付していることがわかった。；起案は耕作がおこなったが、コピーと配付作業はやよいに頼んでおいたものだ。；どうしても三国の語で対照してその書物が出来て居るらしく、そうして其書がチベットに沢山配付されて居るそうです。；単品で配付される場合には、菓子やたばこのような嗜好性のある物品などもある。</t>
        </is>
      </c>
      <c r="J6705">
        <f>HYPERLINK("https://www.weblio.jp/content/配付", "词义详情")</f>
        <v/>
      </c>
      <c r="K6705">
        <f>HYPERLINK("https://yourei.jp/配付", "查看例句")</f>
        <v/>
      </c>
    </row>
    <row r="6706">
      <c r="A6706" t="inlineStr">
        <is>
          <t>配分</t>
        </is>
      </c>
      <c r="B6706" t="inlineStr">
        <is>
          <t>成功</t>
        </is>
      </c>
      <c r="C6706" t="inlineStr">
        <is>
          <t>読み方：はいぶん
［名］(スル)割り当てて配ること。分配。「利益を—する」「比例—」</t>
        </is>
      </c>
      <c r="D6706" t="inlineStr">
        <is>
          <t>配分する(13%)；配分される(7%)；配分方法；配分率；配分法</t>
        </is>
      </c>
      <c r="E6706" t="inlineStr">
        <is>
          <t>分け；共有；割合；割；配布</t>
        </is>
      </c>
      <c r="F6706" t="inlineStr">
        <is>
          <t>議席配分；ペース配分；再配分；トルク配分；応じて配分</t>
        </is>
      </c>
      <c r="G6706" t="inlineStr">
        <is>
          <t>配分的正義；配分上限ルール</t>
        </is>
      </c>
      <c r="H6706" t="n">
        <v>29</v>
      </c>
      <c r="I6706" t="inlineStr">
        <is>
          <t>攻撃ボタンの数が少ないため、基本技の配分は以下のようになっている。；利益は関係者みなに等しく配分し自分自身の金のことは考えなかった。；経済は社会の中で希少性や効用性を持つ価値を配分する機能の一つである。；戦後も戦時中の幹部が教団に与えられた資金を配分する権限を持っていた。；微妙なバランスに支えられ、像の重量配分を計算した上で作られている。；そのため小の月は、30あるエパクトのうち2つが同じ日に配分される。；ただし、誰が環境についての権利を持つかによって負担の配分は異なる。；選挙連合内で再建党には1議席が配分され、が欧州議会議員に就任した。；このような配分は、公平性の観点から見れば問題があると考えられる。；水槽は重量配分の関係から一部が床下設置になっていたのが特徴的である。；イギリス政府はその結果に基づいて国内の学術機関への資金配分を決める。；さらに、この状況では、配分上の効率性が最も良い状態が実現されている。；ダイモーンは個人の運命を握っているとされ、いわば運命の配分者であった。；党務の中には、党の膨大な資金配分や、選挙の総指揮も含むことが多い。；各会員に配分された玉を、会員自らが店内の個々の注文に割り当てていた。；文永・弘安の役で神埼荘は恩賞地配分の対象とされたため細分化された。；適任者がいない場合などには人数配分が一時的に変わることもある。；それは公共投資の大都市圏と地方圏への配分の違いで明確に表れている。；加盟国ごとの議席の配分数は1979年の選挙から変更されていない。；スターリンはこのリストを役職配分に活用し、やがて公式な制度となった。；学生や教師の間では高等教育におけるユダヤ人配分論が高い人気を誇った。；したがってこの中心軸に近い位置に質量が配分されていたほうが挙動が速い。；層化抽出法の一種で、各層の大きさに合わせて最適な標本数を配分する。；このような状態のことを、提携に関して、配分は配分を支配するという。；歴史的には19世紀のアメリカ合衆国で議席配分に採用されていた。；より一般化された表現をすれば、資源の動的な配分方法を判断することをいう。；また、人口が変動しても配分が変更されない場合もしばしばある。；なおこの配分はすべての加盟国政府の全会一致でしか変更しえない。；教育資金のための税金を均等化させて配分する法が政治問題となってきた。</t>
        </is>
      </c>
      <c r="J6706">
        <f>HYPERLINK("https://www.weblio.jp/content/配分", "词义详情")</f>
        <v/>
      </c>
      <c r="K6706">
        <f>HYPERLINK("https://yourei.jp/配分", "查看例句")</f>
        <v/>
      </c>
    </row>
    <row r="6707">
      <c r="A6707" t="inlineStr">
        <is>
          <t>敗北</t>
        </is>
      </c>
      <c r="B6707" t="inlineStr">
        <is>
          <t>成功</t>
        </is>
      </c>
      <c r="C6707" t="inlineStr">
        <is>
          <t>読み方：はいぼく
［名］(スル)
１戦いに負けること。「ライバルとの決戦に—する」⇔勝利。
２戦いに負けて逃げること。敗走。
「みなもって—せずといふ事なし」〈平家・五〉</t>
        </is>
      </c>
      <c r="D6707" t="inlineStr">
        <is>
          <t>敗北する(7%)；敗北後(3%)；敗北宣言；敗北感；敗北寸前</t>
        </is>
      </c>
      <c r="E6707" t="inlineStr">
        <is>
          <t>負け；失う；敗戦；陥落；落とす</t>
        </is>
      </c>
      <c r="F6707" t="inlineStr">
        <is>
          <t>決定的な敗北；受けて敗北；手痛い敗北；壊滅的な敗北；完全な敗北</t>
        </is>
      </c>
      <c r="G6707" t="inlineStr">
        <is>
          <t>敗北主義</t>
        </is>
      </c>
      <c r="H6707" t="n">
        <v>29</v>
      </c>
      <c r="I6707" t="inlineStr">
        <is>
          <t>モハメド・アリをプロキャリアで初めて敗北させたボクサーでもあった。；日本の勝利と清の敗北により東アジアの冊封体制は崩壊することになる。；お互いに攻撃しあい、先にヒットポイントをすべて失った方が敗北となる。；原因は1898年に米西戦争が勃発しスペインが敗北したことである。；イタリア政府は確実に混乱の状態となり、複数の政府が作られては敗北した。；しかし、その70万をもってしても呂光を破ることができず、敗北した。；しかし、余の戦いはいつもこんな風に始まり、敗北に終わるのだよ。；清仏戦争に清が敗北して講和会議が始まろうとしている最中のことだった。；しかしこの時は武田氏の救援に来た毛利元就の攻撃を受けて敗北している。；敗北した日本では戦後、多くの議論がなされてきたことが出版の記録から明らかである。；第二次世界大戦において敗北したために日本はその軍事力の大部分を失った。；本作戦を指揮した草鹿任一海軍中将は、敗北の責任を問われなかった。；また敗北を認めるような発言を行うことは非常に希であった。；マルチーニ人はローマに敗北し、その後はその忠実な同盟者となった。；この時は最終問題を深読みしすぎたため誤答しチャンピオンに敗北している。；彼らの目論見は、第一次世界大戦でのドイツの敗北により失敗に終わった。；義弘の死後に義頼に反乱を起こしたため、義頼に城を攻められて敗北。；幕府は実質的な敗北を認めざるを得ず、21日には休戦の勅許を得ていた。；前回選挙の自身と同様、選挙敗北の責任をとって辞任するよう求めたのである。；これは、ナポレオンのフランスにとって最初の大規模な敗北となった。；長州藩に敗北した幕府の威信は急速に弱まり、大政奉還へとつながった。；これらの傭兵隊を討伐しようとするラ・マルシュ伯らの軍勢は敗北した。；そのような意味ではドイツ敗北を早めた兵器とも言える。；ミッドウェー海戦はMI作戦の一部であり、この敗北で同作戦は中止された。；確かに凶徒が京都に乱入しはしたが、すぐに敗北して逃げていってしまっただろう。；百年戦争に敗北したイングランドでは続いて薔薇戦争が起こった。；思い出していただきたいのは一つの原理、大義が敗北したということです。；多くの注目を集める中での研究となり、一時期は敗北宣言を出すことまで考えた。；元親の跡を継いだ子の盛親は関ヶ原の戦いで西軍に参戦・敗北し改易される。</t>
        </is>
      </c>
      <c r="J6707">
        <f>HYPERLINK("https://www.weblio.jp/content/敗北", "词义详情")</f>
        <v/>
      </c>
      <c r="K6707">
        <f>HYPERLINK("https://yourei.jp/敗北", "查看例句")</f>
        <v/>
      </c>
    </row>
    <row r="6708">
      <c r="A6708" t="inlineStr">
        <is>
          <t>俳優</t>
        </is>
      </c>
      <c r="B6708" t="inlineStr">
        <is>
          <t>成功</t>
        </is>
      </c>
      <c r="C6708" t="inlineStr">
        <is>
          <t>読み方：はいゆう
舞台に立って、また演劇・映画・テレビなどで、演技することを職業としている人。役者。「歌舞伎—」「性格—」</t>
        </is>
      </c>
      <c r="D6708" t="inlineStr">
        <is>
          <t>俳優たち；俳優活動；俳優デビュー；俳優養成所；俳優陣</t>
        </is>
      </c>
      <c r="E6708" t="inlineStr">
        <is>
          <t>職人；役者；男優；出演者；名優</t>
        </is>
      </c>
      <c r="F6708" t="inlineStr">
        <is>
          <t>ミュージカル俳優；主演俳優；人気俳優；スター俳優；新人俳優</t>
        </is>
      </c>
      <c r="G6708" t="inlineStr">
        <is>
          <t>俳優座；俳優さん；俳優生活；俳優座劇場；俳優座映画放送</t>
        </is>
      </c>
      <c r="H6708" t="n">
        <v>29</v>
      </c>
      <c r="I6708" t="inlineStr">
        <is>
          <t>また、作品の舞台となった場所出身の俳優・女優が出演することもある。；そして後にライフル銃を持つとこれほど似合う俳優はいないと言われた。；アニメや洋画の吹き替えなどに声だけで出演する俳優は声優と称される。；ただし、それを担当する主演俳優のことも単に主演ということができる。；兄弟は彼らの制作映画にしばしば特定の俳優たちを起用することで知られる。；俳優としては、自身の作品に止まらず他の監督の映画やドラマにも出演。；俳優ごとに別々に録音され、様々な部分を編集でつなぎ合わせたようだ。；この影響で時代劇を生業としていた俳優は現代劇に出演するようになる。；ホームズはまた、多くの俳優に演じられた架空人物の一人に数えられる。；この作品でブランドは俳優兼監督のアーサー・ペンと再び仕事をした。；キャスティングの問題点としては東洋系の俳優が不足しているとされる。；生存者の一人には後に映画やテレビで活躍した俳優の深江章喜がいる。；エルキンスはB級映画が若い俳優を評価するのに適した場所だと決めた。；キャリアの中で、ほぼ主役しか演じないようになる俳優やタレントもいる。；一般的にメソッド俳優と言われるが、ブランドはこれを否定している。；キャステングの多くは本業の声優ではなく俳優が担当していることが多い。；本作に出演した俳優が、スピルバーグの後の作品に再出演している例は多い。；高校卒業後はピッツバーグ大学日本校へ入学するも、俳優の道へ進む。；子供の役であっても台詞がある場合には大人の俳優がそれを演じる。；当時の日本人としては、そして俳優としても、かなり背が高い方だった。；このほか、書籍で怪優と呼ばれたことのある日本の俳優を以下に例示する。；日本の映画俳優第一号は、この作品に出演した横山運平だと言われている。；ディケンズは芝居好きであったが、このころ俳優になろうとしたこともあった。；男三人兄弟の長男で、俳優をやっている弟の三浦剛は次男にあたる。；俳優の中には、ある役で高く評価されて人気が出る人もいる。；車は「人間観察をしなくてはいけない俳優には不必要」と語ったことがある。；俳優出身のレーガンにはこの双方を満たして余りあるものがあった。；翌月には復帰したものの、その後はしばらく俳優活動を自粛している。；退団後の再入団は認められておらず、外部の俳優が本公演に出演することもない。</t>
        </is>
      </c>
      <c r="J6708">
        <f>HYPERLINK("https://www.weblio.jp/content/俳優", "词义详情")</f>
        <v/>
      </c>
      <c r="K6708">
        <f>HYPERLINK("https://yourei.jp/俳優", "查看例句")</f>
        <v/>
      </c>
    </row>
    <row r="6709">
      <c r="A6709" t="inlineStr">
        <is>
          <t>入り込む</t>
        </is>
      </c>
      <c r="B6709" t="inlineStr">
        <is>
          <t>成功</t>
        </is>
      </c>
      <c r="C6709" t="inlineStr">
        <is>
          <t>読み方：はいりこむ
［動マ五（四）］中へ入る。奥深く入る。「不純物が—・む」「迷路に—・む」</t>
        </is>
      </c>
      <c r="D6709" t="inlineStr">
        <is>
          <t>入り込む可能性</t>
        </is>
      </c>
      <c r="E6709" t="inlineStr">
        <is>
          <t>入る；入学；渡る；越える；乗り込む</t>
        </is>
      </c>
      <c r="F6709" t="inlineStr">
        <is>
          <t>開けて入り込む</t>
        </is>
      </c>
      <c r="H6709" t="n">
        <v>29</v>
      </c>
      <c r="I6709" t="inlineStr">
        <is>
          <t>この時刻にどんな使者が宮殿の南門まで入り込むことができるだろうか?；人間は彼ら相互に一定の関係に入り込むことなくしては生産し得ない。；そこから陸地に湾が入り込んでいたので、そのうちの一つに船を進めた。；しかし夷地に入り込んで利益を求めようとする程のものにはこれが多い。；あたしがあんたに近づいたのも、怪しまれずにこの屋敷へ入り込むため。；男は妻を捜し出すため、奇妙なシステムの閉鎖的な巨大病院に入り込む。；このようにすみっこに入り込まなければ心の安まらない人が多いのです。；人間は彼等相互に一定の關係に入り込むことなくしては生産し得ない。；窓から入り込む春の午後の明るい日差しのせいで、はっきりと見えない。；彼の心と魂とはその光景の中に入り込んで、自分の前身と一緒になっていた。；カナダ国内でも新移民の流入が多く、様々な文化が入り込んできている。；彼はこれを短期間別の次元に入り込む事で行い、望んだ場所で出現する。；私や須山や伊藤などはその時他人の履歴書を持って入り込んだのである。；此日、村や町々の家々へ、鬼が入り込もうとするものと信じて居ました。；女王の許可なしにドリュアドの領域に入り込むのはよしたほうがいい。；これらが一見、任意の入り込んでしまう性質を克服するのが、でである。；ある路地の行き止まりで、壁と壁の間にあるわずかな隙間へと入り込む。；彼の目的は二階の患者の病室の近くへわれわれだけで入り込みたかったのだ。；当時の女性達は通常、創作的な地位に入り込むことが許されていなかった。；自分が椅子の中に入り込んだ時に、その椅子はホテルに納品されてしまう。；なぜならこの量がまた生産物の製造に入り込む所の量であるから。；本当の意味で他人の心の中に入り込むことなど、できはしないのだ。；陸援隊の内部には新選組など幕府方の密偵が入り込んでいたといわれる。；内側の暗い壁の入り込みに半ば歩き半ば倒れかかると、背後でドアが閉じた。；その上おかしなことに、その地点には入り込むような横道はないのです。；だから少し深く入り込むと、自分で自分の立場が分らなくなるだけであった。；あなたもそれまでにして入り込んだところで、寝覚めがよくはないがな。；客の入り込みの始まる午後六時ごろまでには店に帰っていなければならない。；田舍にも漸次宣伝組織が入り込み、動きがとれぬようになってきている。</t>
        </is>
      </c>
      <c r="J6709">
        <f>HYPERLINK("https://www.weblio.jp/content/入り込む", "词义详情")</f>
        <v/>
      </c>
      <c r="K6709">
        <f>HYPERLINK("https://yourei.jp/入り込む", "查看例句")</f>
        <v/>
      </c>
    </row>
    <row r="6710">
      <c r="A6710" t="inlineStr">
        <is>
          <t>倍率</t>
        </is>
      </c>
      <c r="B6710" t="inlineStr">
        <is>
          <t>成功</t>
        </is>
      </c>
      <c r="C6710" t="inlineStr">
        <is>
          <t>読み方：ばいりつ
１ある数が他の数の何倍であるかを示す比率。また特に、競争率。「—の高い名門校」
２光学器械を通して目に見える大きさと、実物の大きさとの比。「—の大きい顕微鏡」</t>
        </is>
      </c>
      <c r="D6710" t="inlineStr">
        <is>
          <t>倍率チップ；倍率カウンタ；倍率ズーム；倍率色収差；倍率ボーナス</t>
        </is>
      </c>
      <c r="F6710" t="inlineStr">
        <is>
          <t>低倍率；競争倍率；高い倍率；入試倍率；機械的倍率</t>
        </is>
      </c>
      <c r="H6710" t="n">
        <v>29</v>
      </c>
      <c r="I6710" t="inlineStr">
        <is>
          <t>かれは倍率を少し戻して、その広場と町を結ぶ白い道路の様子を調べた。；しかし敵に当たってミスとなると得点の倍率は初期状態に戻ってしまう。；高倍率にして見るために装置外に出すとすぐに昇華してしまうからである。；複数の敵をまとめて蹴り落とすと、敵の数に応じて得点に倍率がかかる。；望遠鏡は結構倍率が高くて、遠くのものが手の届くほどの距離に見える。；倍率がどれだけ高くても、わたしはできることをできる限りやるだけ。；一般には低倍率で小さくまとまって見るようにした方が良いと言われている。；これも、本体小型化と高倍率化を両立させるための仕様になっている。；敵を撃つことで得られる得点には、以下の要素で倍率がかかっている。；発動中は一定時間無敵となり、敵を破壊した際のスコアに倍率がかかる。；しかも、その倍率一倍もそう称するだけで、実は倍率一・二五倍なのだ。；ゲージがいっぱいになるまでためてから発射すると、得点倍率が向上する。；この倍率にすると、それは肉眼で見た月の一〇倍の大きさに見える。；倍率を上げていくと、細胞が寄り集まって塊を作り上げているのがわかった。；更に、経験値増加の残り時間を無効化して別の倍率の経験薬を使用できる。；かれは銃を肩にかけ、受け取ったその高倍率の双眼鏡を眼にあてた。；倍率五百万倍となれば尚更、現実の肉体のことなど考える必要が無くなる。；キャプチャーした敵の攻撃・体当たりで敵を破壊すると得点に倍率がかかる。；したがって、いたずらに倍率を上げても暗くぼやけるだけで意味はない。；倍率はこの方法で連続して敵機を破壊することで上昇し、最大12倍。；途中でミスしてしまうと倍率も元に戻り、点数も100点からに戻る。；参加選手には順位付けがなされ、それが賭けの倍率に関与しておるそうだぞ。；BETしたメダルが上がり役ごとに設定された倍率で払い出される形式。；また、各攻撃にはそれぞれ異なる得点の倍率が設定されている。；また、高解像ズームは従来の3倍から5倍へと倍率が大きくなっている。；裏面では敵の攻撃がより激しくなる代わりにスコア倍率が2倍になる。；倍率を最大まであげて、ルイスはようやく道路網を見分けることができた。；処理実行ボタンに触れなければ、実際に倍率が変動することはない。；彼の集中する視線にしたがって、ホログラム像が急速に倍率を上げた。</t>
        </is>
      </c>
      <c r="J6710">
        <f>HYPERLINK("https://www.weblio.jp/content/倍率", "词义详情")</f>
        <v/>
      </c>
      <c r="K6710">
        <f>HYPERLINK("https://yourei.jp/倍率", "查看例句")</f>
        <v/>
      </c>
    </row>
    <row r="6711">
      <c r="A6711" t="inlineStr">
        <is>
          <t>配慮</t>
        </is>
      </c>
      <c r="B6711" t="inlineStr">
        <is>
          <t>成功</t>
        </is>
      </c>
      <c r="C6711" t="inlineStr">
        <is>
          <t>読み方：はいりょ
［名］(スル)心をくばること。心づかい。「—に欠ける処置」「当事者の気持ちを—する」</t>
        </is>
      </c>
      <c r="D6711" t="inlineStr">
        <is>
          <t>配慮型；配慮義務違反；配慮不足；配慮書；配慮すべき事項</t>
        </is>
      </c>
      <c r="E6711" t="inlineStr">
        <is>
          <t>意識；心配；注意；関心；考慮</t>
        </is>
      </c>
      <c r="F6711" t="inlineStr">
        <is>
          <t>環境配慮；特別な配慮；ご配慮；御配慮；慎重な配慮</t>
        </is>
      </c>
      <c r="H6711" t="n">
        <v>29</v>
      </c>
      <c r="I6711" t="inlineStr">
        <is>
          <t>これは機器室内の通路幅を確保し、整備性の向上に配慮したものである。；人気選手を多数失った後のメジャーリーグの運営に配慮した形であった。；今後はより環境に配慮した河川開発が推進されるものと見られている。；現地住民が相互利益に配慮して管理しているローカル・コモンズである。；副章が2つのみなのは、高齢となった天皇への配慮もあったと思われる。；放送が自宅で見られるよう配慮し、始業時間を繰り下げた企業もあった。；ロシア皇帝はバーティの配慮に深く感謝し、英露関係は一定の改善を見た。；これらは作り手の以下のような配慮で解決が可能な場合もある。；また、構造上のすきまができるだけないように配慮することも必要である。；この際は天皇明仁に対し、出席できないことを手紙で説明し、配慮した。；それゆえ、環境への配慮から日本国内での使用はほとんどなくなってきている。；客用扉は戸袋の不要な2枚折戸を用い、車体内側の空間確保に配慮した。；位相や角度などの周期的データを扱う場合は、特別な配慮が必要である。；亡くなる者が最後の瞬間に神の名が聞こえるようにとの配慮である。；あるいは、国内の少数民族への配慮が必要な場合にも考えられることである。；このころの伽藍で考えなくてはならないのは、第一に仏塔への配慮であろう。；実は執事の配慮で基氏が留守の間は料理人は着衣することを許されていた。；土井によれば、機能の確実化と整備の容易化にも配慮がなされた。；車椅子対応座席は車椅子からの移乗に配慮して通路側回転としている。；一方、この路線が存続に至ったのは政治的な配慮のうえの設立という見解もある。；近年では記録のインフレと安全面への配慮から、同様の研究は少なくなってきた。；今にして思えば彼はユダヤ人や近隣諸国民に対してあまりにも配慮に欠けていた。；最近では所が自ら頭を下げ、叩きやすくする配慮もしている。；現代では環境に配慮してバラスト水をできるだけ積まないようにしている。；異相区分セクション通過時に室内灯が消えないよう配慮されている。；「演奏の現場で、より自由な音選びができるように」配慮されている。；最近では環境に配慮し、ビニールではなく箱部分と同様の紙を使用している物もある。；生徒が職業能力開発施設と学校とを混同することのないよう御配慮願いたい。；これまでの人間社会では、この点について配慮されたことがなかった。</t>
        </is>
      </c>
      <c r="J6711">
        <f>HYPERLINK("https://www.weblio.jp/content/配慮", "词义详情")</f>
        <v/>
      </c>
      <c r="K6711">
        <f>HYPERLINK("https://yourei.jp/配慮", "查看例句")</f>
        <v/>
      </c>
    </row>
    <row r="6712">
      <c r="A6712" t="inlineStr">
        <is>
          <t>入る</t>
        </is>
      </c>
      <c r="B6712" t="inlineStr">
        <is>
          <t>成功</t>
        </is>
      </c>
      <c r="C6712" t="inlineStr">
        <is>
          <t>読み方：いる
［動ラ五（四）］
１人や物がある場所・範囲・状態などに移る。はいる。
㋐外から中に移動する。「道が山あいに—・る」「葷酒(くんしゅ)山門に—・るを許さず」
㋑移り動いて物の陰に隠れる。太陽や月が沈む。「日が山の端に—・る」
㋒特定の環境に身を移す。「渦中に—・る」「仏門に—・る」
㋓時が進行して、ある時刻・季節になる。「土用に—・る」
㋔心・目・耳などの感覚を通じて対象をとらえる。「目に—・るものすべてが珍しい」
㋕しだいに移ってある状態に達する。ある状態にまで深くはいっていく。「話が佳境に—・る」「悦に—・る」
㋖内部にくぼみ、裂け目が生じる。「茶碗にひびが—・る」
㋗いっぱい含まれる。こもる。「念の—・った仕事ぶり」
２動詞の連用形に付いて、その動作や状態の程度が非常に深い、また、その動作に徹したり、その状態にすっかりなってしまったりする意を表す。「ぐっすり寝—・る」「心に染み—・る」「恥じ—・る」「恐れ—・ります」
３（「いらせ給ふ」「いらせらる」などの形で）「来る」「行く」「居る」の意を表す。
「御輿(みこし)の—・らせ給ふほどなど」〈大鏡・道長上〉
［動ラ下二］「い（入）れる」の文語形。
[補説]1は文語的な言い方で、現代語ではふつう「はいる」を用いる。しかし、「気にいる」「堂にいる」「有卦(うけ)にいる」など慣用的な表現の中では現在でも多く用いられる。
[下接句] 石を抱(いだ)きて淵(ふち)に入る・有卦(うけ)に入る・悦(えつ)に入る・笑壺(えつぼ)に入る・気に入る・鬼籍(きせき)に入る・興(きょう)に入る・見参(げんざん)に入る・神(しん)に入る・大声(たいせい)里耳(りじ)に入らず・手に入る・堂に入る・堂に升(のぼ)り室(しつ)に入らず・念が入る・門に入る・病(やまい)膏肓(こうこう)に入る</t>
        </is>
      </c>
      <c r="D6712" t="inlineStr">
        <is>
          <t>入るとすぐ；入るべき；入るべから；入るべく；入ると間もなく</t>
        </is>
      </c>
      <c r="E6712" t="inlineStr">
        <is>
          <t>入学；陥る；乗り入れる；入って行く；飛び込む</t>
        </is>
      </c>
      <c r="F6712" t="inlineStr">
        <is>
          <t>攻め入る；筋模様が入る；分け入る；入ると直ぐに；入ると神仏分離</t>
        </is>
      </c>
      <c r="H6712" t="n">
        <v>29</v>
      </c>
      <c r="I6712" t="inlineStr">
        <is>
          <t>明治に入ると、近代的な会社・企業組織などの考えが日本にも伝わった。；この入浴方法が一般化したのは江戸時代に入ってからと考えられている。；アフターマーケットでは様々な物が手に入るので好みの物に交換できる。；ソウルでの大怪我の後は腕も細くなり左手に力が入らない状態であった。；帰還カプセルの中には小惑星由来と考えられる物質が大量に入っていた。；スラヴ人たちは、それぞれ異なる時期に段階的にこの地域に入ってきた。；私は格子の前に集まっている人々をつきのけて中に入ろうと試みました。；また寛解に入っていない非寛解期に移植をしても失敗する可能性は高い。；石鹸の入ったお湯は貴重だったため、そのまま何度も再利用されていた。；従って、他人の部屋へ入ろうと思えば、誰でも容易に入ることが出来た。；志願期を終えた後でようやく養成の正式な第一段階である修練期に入る。；企画展示室に入らなかったものはエントランスホールに展示されたりする。；ほとんどは国際式と同じであるが、前線はいずれも点や十字が入らない。；なお、本線に入らずに出た場合の通行料金は100円と設定されている。；すると車はなぜか墓地の中には入らず、イラつくように周囲をうろつく。；そのため、烏丸のことになると播磨でさえもほとんど目に入らなくなる。；その肥満体ぶりから当時の日本では既製品のベルトが手に入らなかった。；担当編集者によると、荻原の原稿はあとからの校正がほとんど入らない。；これは瓶入りのコーヒー牛乳を店頭で販売した初めての例であるという。；それからこちらに出て来てさあこれから入ろうといって川の中へ入ったです。；クーメイによれば21世紀に入った後ではその値の成長は鈍化している。；編集コースに参加したがあまり身が入らず、漫画原作などを執筆していた。；またフューリーのような量産には入らなかった試作車の多くも担当した。；アニメのアフレコの際に絵がほとんど入らないことに苦言を呈している。；なお1963年頃には丸に2本の線入りの「急」表示のものも存在した。；ネクタイは赤をベースに黒や白のラインが入ったものとなっている。；石は手に入りやすい硬い材料であり人類最初の材料といわれている。；僧は都の漢陽に入ることを禁止された上、賎民階級に身分を落とされた。；また、アイテムなども手に入ることがあるが経験値やお金は手に入らない。</t>
        </is>
      </c>
      <c r="J6712">
        <f>HYPERLINK("https://www.weblio.jp/content/入る", "词义详情")</f>
        <v/>
      </c>
      <c r="K6712">
        <f>HYPERLINK("https://yourei.jp/入る", "查看例句")</f>
        <v/>
      </c>
    </row>
    <row r="6713">
      <c r="A6713" t="inlineStr">
        <is>
          <t>配列</t>
        </is>
      </c>
      <c r="B6713" t="inlineStr">
        <is>
          <t>成功</t>
        </is>
      </c>
      <c r="C6713" t="inlineStr">
        <is>
          <t>読み方：はいれつ
１［名］(スル)順序を決めて並べること。また、その並び。「五十音順に—する」
２（「配列」と書く）コンピューターのプログラミング言語における、データ形式の一。同じ型のデータの集合を意味し、個々のデータは変数の添え字で区別する。</t>
        </is>
      </c>
      <c r="D6713" t="inlineStr">
        <is>
          <t>配列決定；配列特異的；配列類似性；配列情報；配列データ</t>
        </is>
      </c>
      <c r="E6713" t="inlineStr">
        <is>
          <t>構成；組織；系；予定；システム</t>
        </is>
      </c>
      <c r="F6713" t="inlineStr">
        <is>
          <t>再配列；リール配列；原子配列；同じ配列；ヌクレオチド配列</t>
        </is>
      </c>
      <c r="G6713" t="inlineStr">
        <is>
          <t>配列表記；配列アラインメント；配列ディザリング；配列内リボソーム進入部位；配列アセンブリング</t>
        </is>
      </c>
      <c r="H6713" t="n">
        <v>29</v>
      </c>
      <c r="I6713" t="inlineStr">
        <is>
          <t>キャロルが発明したのは格子状に正方形の穴が配列されたカードだった。；この頃には、本の配列にもこだわりを見せる蔵書家が現れるようになる。；後者は引数として配列を渡すことを想定していることがより明確になる。；いくつかの磁区は消磁をしたあとでも磁気の配列がランダム化されない。；また、創作性は素材の選択または配列のいずれかに現れていれば良い。；北部の郡には、格子配列を行わない、あるいは部分的に導入する郡もある。；これら全てのシステムで、媒体は概念的に穴の位置の配列を保持していた。；配列が適切な大きさであれば、この方法が他のどんな方法よりも高速な場合が多い。；翌1919年には『国音字典』が刊行され、配列が現在と同様になった。；構成や配列の点から傾向を探れば、まず上の巻での桜の句の多いことである。；金属のイオン化傾向を大きいものから順に配列すると以下のとおりになる。；ルート配列上のエントリリストが高速でアクセスできる必要がある。；これは、標準的なRDBMSと配列言語の中間のようなものとも言われている。；その結果、3つの生物界の間で一次配列上の特徴が分かれていることが多い。；この表は、地域や都道府県の配列に際し、の表記に準じて記載している。；また、Sequin配列提出ソフトウェアにもパッケージ化されている。；いくつかの物質においては、より複雑なスピン配列が形成されている。；検体の塩基配列が予測できる場合には、効率的にその配列が特定できる。；ゲノムアノテーションとは、配列に生物的な情報を注釈する過程である。；基本的に、ラテン文字のQWERTY配列に対応する配列になっている。；回折パターンは波が規則的配列によって回折される場合にしか得られない。；問題の多くは、配列生成時にリストの最大サイズが分かっている場合には問題ではなくなる。；核酸塩基配列の調査は法医学でも用いられるようになってきている。；各段の自然石の配列は階段式のプール壁を年輪状に形成されている。；真核生物にあるSD配列に類似した配列はコザック配列と呼ばれている。；DNA は独自の繰り返し配列をとっており、塩基配列決定が困難である。；型指定された配列のなかで二種類が標準で定義されている。；IUPACは、アミノ酸の長い配列を表すコードのシステムを必要とした。；このため、複製起点の標的配列は何らかの形で保護されていると思われる。</t>
        </is>
      </c>
      <c r="J6713">
        <f>HYPERLINK("https://www.weblio.jp/content/配列", "词义详情")</f>
        <v/>
      </c>
      <c r="K6713">
        <f>HYPERLINK("https://yourei.jp/配列", "查看例句")</f>
        <v/>
      </c>
    </row>
    <row r="6714">
      <c r="A6714" t="inlineStr">
        <is>
          <t>這う</t>
        </is>
      </c>
      <c r="B6714" t="inlineStr">
        <is>
          <t>成功</t>
        </is>
      </c>
      <c r="C6714" t="inlineStr">
        <is>
          <t>読み方：はう
［動ワ五（ハ四）］
１手足を地面・床などにつけて進む。腹這いになって進む。また、腹這いになる。「赤ん坊が—・う」「はたいて土俵に—・わせる」
２虫や蛇などが、からだで地をするようにして進む。「ナメクジの—・った跡」
３植物の根やつる草などが地や物にまつわりついて伸びる。また、そのように物の表面を伝って進む。「壁に蔦(つた)を—・わせる」「地を—・う煙」
４さまよい歩く。漂泊する。
「いかにも覚さん儘に—・ふ方へ—・ひ給へ」〈盛衰記・四六〉
[可能]はえる
［動ハ下二］
１長く引きのばす。張り渡す。
「墨縄を—・へたる如く」〈万・八九四〉
２ことばや思いを相手にとどかせる。心を寄せる。言葉をかける。
「水久君野(みくくの)は鴨の這(は)ほのす見ろが上に言をろ—・へていまだ寝なふも」〈万・三五二五〉</t>
        </is>
      </c>
      <c r="D6714" t="inlineStr">
        <is>
          <t>這う長い</t>
        </is>
      </c>
      <c r="E6714" t="inlineStr">
        <is>
          <t>匍匐；這いずる；匍う；這い這い；はいずる</t>
        </is>
      </c>
      <c r="F6714" t="inlineStr">
        <is>
          <t>ゆっくりと這う；半ば這う；長く這う；のろのろと這う；短く這う</t>
        </is>
      </c>
      <c r="G6714" t="inlineStr">
        <is>
          <t>這う男</t>
        </is>
      </c>
      <c r="H6714" t="n">
        <v>29</v>
      </c>
      <c r="I6714" t="inlineStr">
        <is>
          <t>その時期には、一匹も後ろの壁の暗い隅の方へ這ってゆきはしなかった。；舌を這わせた先は他人の肌のように感覚がなく、生温かい血の味がした。；彼らは大きくよく知られた泉に隣接する小さな入り口から這って入った。；まだ岸本は海から這い上って来たばかりの旅行者のような気もしていた。；俯せになったまま、這うようにして彼はその手に触れたものに近づいた。；屋根に上がって這っていた職人らしい男が下へ向ってどなったのである。；私はあの日感じた背中に氷を這わされたような感覚を再び味わいました。；私が彼の反対側から視線を這わせていくと、捜し物はすぐに見つかった。；何かが這い寄って来る音が響き、眠っていたレゲッティが悲鳴を上げる。；失意の底から這い上がったジョンが指揮をとり、全員の心が一つになる。；壁を這ってよじ登り、煙になって室内に侵入するようなことはできない。；彼はやっとこさその上に這い上って、その友人のそばへ近よって行った。；必死で明るいほうに這っていったが、空気が濃くなるようすはなかった。；かとおもうと瞬間に這う虫の微小な頭についた眼のように極微化される。；鼻の先が触れるほどに近づけ、端から端に何度も視線を這わせていった。；真奈の喉にななめに走った赤い線に、男はこれ見よがしに舌を這わせた。；だからこそ僕は足がなくても、 身体を伸縮させて這う事が出来るのだ。；早希のマンションまで電車でひと駅、這ってでもいかなければならない。；肉体の上ではなく、魂の上にそのぬめぬめした粘いものは這っていった。；十メートル移動するのに一時間近くかけ、車の列は這うように進んだ。；彼は国家機構の壁の上で勝手に這い回ることは許されない事情があるからだ。；彼は国家機構の壁の上で勝手に這い廻ることは許されない事情があるからだ。；クビツリは曲に合わせ、地を這うように、流れるように前に進んでいく。；その隙をついて彼の体を蹴りあげ、這うようにしてその場から逃れた。；天現寺で降り、川の上の線路をわたるときこわくて這いたい程であった。；煙は白い幕となり、湖水の上をゆっくりと這うように南へ流れ去って行く。；本種は他の植物のように直立せずに、地面を這うように面的に生育する。；私は鉛筆と紙を借り、次の日のプランを立てるために腹ン這いになった。；男は、空地を這って横切り、左にそれてボートの反対側に出たのだった。</t>
        </is>
      </c>
      <c r="J6714">
        <f>HYPERLINK("https://www.weblio.jp/content/這う", "词义详情")</f>
        <v/>
      </c>
      <c r="K6714">
        <f>HYPERLINK("https://yourei.jp/這う", "查看例句")</f>
        <v/>
      </c>
    </row>
    <row r="6715">
      <c r="A6715" t="inlineStr">
        <is>
          <t>蝿</t>
        </is>
      </c>
      <c r="B6715" t="inlineStr">
        <is>
          <t>成功</t>
        </is>
      </c>
      <c r="C6715" t="inlineStr">
        <is>
          <t>読み方：はい
「はえ（蠅）」の音変化。</t>
        </is>
      </c>
      <c r="D6715" t="inlineStr">
        <is>
          <t>蝿みたい；蝿ども；蝿とり；蝿除けネット；蝿捕り</t>
        </is>
      </c>
      <c r="E6715" t="inlineStr">
        <is>
          <t>ハエ；フライ</t>
        </is>
      </c>
      <c r="F6715" t="inlineStr">
        <is>
          <t>藪蝿；大きな蝿；蝿除け</t>
        </is>
      </c>
      <c r="G6715" t="inlineStr">
        <is>
          <t>蝿取り；蝿取；蝿取り紙；蝿の王；蝿帳</t>
        </is>
      </c>
      <c r="H6715" t="n">
        <v>29</v>
      </c>
      <c r="I6715" t="inlineStr">
        <is>
          <t>顔の上を蝿が這いまわっているのにも気づかないほどの熱中ぶりである。；最近に聞いた話によると、ある人は蝿の頭を集めて食べてみたという。；絶対に逃げられないのだから、ちょっと蝿がかわいそうだと思いました。；だがヒデの財産にたかってきた蝿であることは間違いないと思われた。；どこともなく蝿の群が、オルガンのような音をたてて飛び交わしている。；一人の人が箱の横にある入口を開けて中に入り、死んだ蝿を掃き集めました。；それが終わって家に帰る途中、わたしは電車の中で蝿のことを思い出しました。；このことはあなたにだけ言うのですが、主人は一匹の蝿の価もない人です。；しかしどこに行ったのか、かの一匹の蝿はもうそこにはいなかった。；明らかに私などはごくつまらぬ蝿くらいにしか考えていないのだ。；われわれの眼蓋は蝿が眼にはいりそうになると気づく前に閉じるのだ。；やがて二人は、蝿にたかられながら立派な紳士の屋敷へと向かった。；死んだ人間は病魔の温床となり、生じた蝿が、さらに疫病を広げていく。；あたりは牛部屋の蝿の声のほかになんの物音も聞こえなかった。；機械は次々に蝿を撃墜し、数分のうちに蝿は一匹もいなくなってしまいました。；おまえがこの世に来て去るとてなんだ、一匹の蝿が現われて、消えるだけ。；ペギーはあの蝿とり紙をホリー・ジョウが持っていたのを見たといっています。；わたしはそのたびに目を大きく開いて、蝿が次々に落とされてゆくのを見ていました。；真っ黒な固まりは、小さな蝿が腐敗した何かに群がっているものだった。；形の定まらない闇は、何万匹と集まって人影と変じた小蝿の群れだ。；牛一頭は蝿千匹と同じくらいの糞をするなんて考える女はばかよ。；「でも人間も夜は蝿が天井に止まったようになっているのだと申しますね」といった。；その男の顔から頭にかけておびただしく蝿がたかっていたのである。；見すぼらしい人たちが、蝿の群のように倉庫の日なたの側に集っている。；その暗闇のある一点に、見つづけていた蝿が小さく金剛石のように光っていた。；蝿が死ぬにはいろいろな原因があり、その大部分は蜘蛛と何の関係もないことなのだ。；だが、いつまでもただ蝿を追っているだけでは、どうにもなるものではない。；空間が歪み、そこから大量の羽虫 いや、蝿らしきものが出現していく。；蚤には目も耳もないんですよ、犬は色盲です、蝿は複眼で世界を見る。</t>
        </is>
      </c>
      <c r="J6715">
        <f>HYPERLINK("https://www.weblio.jp/content/蝿", "词义详情")</f>
        <v/>
      </c>
      <c r="K6715">
        <f>HYPERLINK("https://yourei.jp/蝿", "查看例句")</f>
        <v/>
      </c>
    </row>
    <row r="6716">
      <c r="A6716" t="inlineStr">
        <is>
          <t>生える</t>
        </is>
      </c>
      <c r="B6716" t="inlineStr">
        <is>
          <t>成功</t>
        </is>
      </c>
      <c r="C6716" t="inlineStr">
        <is>
          <t>読み方：はえる
［動ア下一］［文］は・ゆ［ヤ下二］
１草木の芽が出る。また、草木が生育する。「土手につくしが—・える」「苔の—・えた庭」
２歯やひげなどが出てくる。「毛が—・える」「角が—・える」</t>
        </is>
      </c>
      <c r="D6716" t="inlineStr">
        <is>
          <t>生えるごく</t>
        </is>
      </c>
      <c r="E6716" t="inlineStr">
        <is>
          <t>吹く；発芽；萌芽；吹き出す；芽生える</t>
        </is>
      </c>
      <c r="H6716" t="n">
        <v>29</v>
      </c>
      <c r="I6716" t="inlineStr">
        <is>
          <t>周辺の森に生えている木を市民は無料で自由に使って良くなったのである。；顎に並ぶナイフ状の短い歯は、ほとんどが同じ長さで生えそろっていた。；過去の写真を調査した結果、2004年から生えていたことが判明した。；この息子は人間の姿をしていたが、額の中央に一本の角が生えていた。；監督の河森正治は惑星エデンでは羽が生えた生物が基本だと語っている。；冬芽の大きさ、色や毛の生え具合は種を区別する上で大切な情報である。；畳には茸が生え、家の中で傘を差して立ったまま朝を迎えた日もあった。；本科の魚の口には毛のような歯が生えており、これを表したものであろう。；碑には翼の生えた日輪とその中に人が配置されたシンボルが描かれている。；顔や体が葉で覆われるだけでなく、口などから蔦が生えていることもある。；この説をとる人々はワイバーンを翼の生えたフェレットと見做していた。；そしてこの刳られた空間の中心に軸が生えておりその軸をつまんで回す。；ありえないことに丹が嘆息すると、白い頭の烏と角が生えた馬が現れた。；昔描かれた絵にはこの機の周りには草も生えないというものがある。；植物体に微毛の生えた種が多く、どの種も傷をつけると白い乳液を流す。；馬が食べる草が生えていたことから名が付いたと言われている。；毛が生えたままの動物の生皮を張っていることが最大の特徴である。；頭の角の形状と生え方および首のひれの形状はそれぞれの首で違う。；多くの歯を失った老人でも最後まで生えており、その寿命は一番長い。；初列風切の内側半分が生え変わると、最も外側の三列風切が抜け始める。；カナダの北極圏に見られる多くの種の植物がこの山脈でも生えている。；彼女は楯に囲まれ、肌から直接生えているかのような鎧を着て眠っていた。；若い葉は切除しても再び生えるため、そのような葉が選んで採取される。；また土壇の上には木が生えており、この木を中心に祭りをしたと考えられる。；また動物の糞に生えるものや、少数だが地衣となるものも知られている。；アダムが作られた時にはエデンの園の外には野の木も草も生えていなかった。；霧に覆われることが多く、また常に吹いている風の影響で木は生えていない。；長い吻部によく発達した顎を持ち、そこに生える歯はどれも大きかった。；複眼に毛が生えることや、長く発達した産卵管などで前種と区別できる。</t>
        </is>
      </c>
      <c r="J6716">
        <f>HYPERLINK("https://www.weblio.jp/content/生える", "词义详情")</f>
        <v/>
      </c>
      <c r="K6716">
        <f>HYPERLINK("https://yourei.jp/生える", "查看例句")</f>
        <v/>
      </c>
    </row>
    <row r="6717">
      <c r="A6717" t="inlineStr">
        <is>
          <t>映える</t>
        </is>
      </c>
      <c r="B6717" t="inlineStr">
        <is>
          <t>成功</t>
        </is>
      </c>
      <c r="C6717" t="inlineStr">
        <is>
          <t>読み方：はえる
［動ア下一］［文］は・ゆ［ヤ下二］
１光を受けて照り輝く。「夕日に—・える連山」
２引き立ってあざやかに見える。また、よく調和する。「紺のスーツにネクタイが—・える」
３（栄える）りっぱに見える。目立つ。「—・えない役割」</t>
        </is>
      </c>
      <c r="D6717" t="inlineStr">
        <is>
          <t>映えるだろ；映える白い</t>
        </is>
      </c>
      <c r="E6717" t="inlineStr">
        <is>
          <t>目立つ</t>
        </is>
      </c>
      <c r="F6717" t="inlineStr">
        <is>
          <t>美しく映える</t>
        </is>
      </c>
      <c r="H6717" t="n">
        <v>29</v>
      </c>
      <c r="I6717" t="inlineStr">
        <is>
          <t>やはりどう見ても、五月晴れの空に映える花菖蒲に似た女なのであった。；日が暮れて、港に灯火が映えるころになって、海を見ながら彼が言った。；いや、やっぱりこっちのほうが雪の中ではきれいに映えるだろうか。；「あなたの目の色によく映えると思ったのよ」おばさんが優しく言った。；また、銘が彫られた背景に、字が映えるような色が施されることも多い。；そろそろ近所から窓に映える炎の色を認められるころである。；シロウズは自動点燈式の照明に映える内部にゆっくりと足を運んでいった。；つくばいの水に薄氷が張り、南天の赤い実が雪の白に映える冬の景色を。；放送局を出た時には、あたりのビルの灯が明かるく映えるほどになっていた。；向こうから運んできた家具や食器も結構映えると思うのよ、天井が高いとね。；上下ともに紺の主将の横にいるものだから、なおさら堀田の白は映える。；沖合いの風は厳しく、波の先端を陽の光に映える白い泡に変えていた。；月のまわりに映える光彩のような色をした馬車が、窓際の空間に浮かんでいた。；そのため髪が映えるように画面演出で髪を風でなびかせるなどの工夫が行われている。；わたくしの美しさは太陽の光の下でこそ映えるというものでしょう?；これらの花たちは、木々の緑の中で、その白さが映えるのだから。；最終的には森繁がいちばん映えるようになっているのである。；デルマリナで見た、大運河に映える数多くの灯りに似ているだろうか?；きっと舞台に立ったら映えるんじゃないだろうか。；披露宴にふさわしい古典柄もあるのだが、こちらの方が映えると判断したのである。；長い髪は色が薄く、赤みがかって、きっと白い肌に映えるに違いない。；その女の動きには威厳があったが、顔に映える矩火の効果には不吉なものがあった。；星明かりと篝火に映える、赤と呼ぶにはとても落ちついた色あいの着物。；完全な幾何学形態を思わせる単純なフォルムは絵の中で映える。；金褐色の男の肌によく映える、真夏の海のような深く澄みきった碧の色だ。；これを褐色の肌の内藤が身につければ、ライトに美しく映えるに違いない。；ホテル名と3401と部屋番号の入った白い鍵札がテーブルの黒に鮮やかに映える。；青を選んだ理由は一番映えるとしたから。；誰よりも光に映える金髪は、シャンデリアの下でいっそう人目を集めている。</t>
        </is>
      </c>
      <c r="J6717">
        <f>HYPERLINK("https://www.weblio.jp/content/映える", "词义详情")</f>
        <v/>
      </c>
      <c r="K6717">
        <f>HYPERLINK("https://yourei.jp/映える", "查看例句")</f>
        <v/>
      </c>
    </row>
    <row r="6718">
      <c r="A6718" t="inlineStr">
        <is>
          <t>墓</t>
        </is>
      </c>
      <c r="B6718" t="inlineStr">
        <is>
          <t>成功</t>
        </is>
      </c>
      <c r="C6718" t="inlineStr">
        <is>
          <t>読み方：はか
遺体・遺骨を埋葬した場所。また、そこに記念のために建てられた建造物。塚。「—に詣でる」</t>
        </is>
      </c>
      <c r="D6718" t="inlineStr">
        <is>
          <t>墓掘り；墓室；墓制；墓廟；墓群</t>
        </is>
      </c>
      <c r="E6718" t="inlineStr">
        <is>
          <t>青山；墳墓；墓穴；霊屋；御霊屋</t>
        </is>
      </c>
      <c r="F6718" t="inlineStr">
        <is>
          <t>王墓；首長墓；之墓；浅墓；御墓</t>
        </is>
      </c>
      <c r="G6718" t="inlineStr">
        <is>
          <t>墓所；墓石；墓場；墓碑；墓標</t>
        </is>
      </c>
      <c r="H6718" t="n">
        <v>29</v>
      </c>
      <c r="I6718" t="inlineStr">
        <is>
          <t>最も大きな彫刻はエジプトの神殿や墓から出土したものが現存している。；多くの施設は装飾され、また多くの場合教会内に個人の墓が作られた。；その死体たちを杭で固定して騎乗の状態にさせ、王墓の周りに配置する。；伝説的人物であるダニエル書の主人公ダニエルの墓とされるものがある。；元々ここに彼女の墓が有ったが、戦後近隣の晴雲寺内に移動したという。；駅から北に約20分歩いた道路沿いに橘逸勢のものといわれる墓がある。；その後それらは分割され、アジア各地に墓が作られ日本にもそれは存在する。；戦後になって来訪の記念碑とトビーの墓が大湯間歇泉の脇に建てられた。；地上には墓の位置を示す石碑が建てられ、王の名前が記されるようになった。；現在の多くの墓形式は本土と同じであり、沖縄県の亀甲墓は見られない。；キリストの遺骸を祭る墓があるかもしれないと主張する人たちも居る。；家の周囲や内部に埋葬された擦文文化の墓制とは、かなりの違いが見られる。；エルサレムにイエス・キリストの墓と信じられているところが2つある。；また墓を建てても、子孫らがそれに継続的に参拝するとは限らない。；これは王妃の墓に隣接していたので王の墓であると考えられた。；代わりに、葬祭の場は墓より少し離れた場所に場所の関係で移された。；入ることができる墓もわずかにあるが、それらのほとんどは封鎖されている。；また、墓が先祖崇拝の広がりを反映して多くの地方で文化的に重要である。；以前はここに建物が建てられていたとも言われるので誰かが墓を破壊したとも見られている。；慶長8年に家康は母の遺骨をこの地に埋葬し、現在まで残る墓を建立。；また同時代の武士の墓も出土しており、埋葬形態を具体的に把握した。；ツタンカーメン王の墓からもはんだ付けを使った装飾品が出土している。；著名な作曲家の墓は一か所に集められており、訪れる日本人も多い。；墓に施される装飾が生者の住む家よりも丹念なものであることも多い。；加えて国家の穀倉は解放され、王の陵墓も貴族の墓も破壊され略奪された。；以下に筑紫国造の墓と関係すると思われる八女古墳群中の古墳を記載する。；日没とともにかの女は息絶え、フーリンは妻のために墓を作って去った。；為朝の息子とされる実久三次郎のお墓が残っており、神社も建てられている。；現代になり、考古学者は墓の位置を特定して、探針を用いた調査を行った。</t>
        </is>
      </c>
      <c r="J6718">
        <f>HYPERLINK("https://www.weblio.jp/content/墓", "词义详情")</f>
        <v/>
      </c>
      <c r="K6718">
        <f>HYPERLINK("https://yourei.jp/墓", "查看例句")</f>
        <v/>
      </c>
    </row>
    <row r="6719">
      <c r="A6719" t="inlineStr">
        <is>
          <t>馬鹿</t>
        </is>
      </c>
      <c r="B6719" t="inlineStr">
        <is>
          <t>成功</t>
        </is>
      </c>
      <c r="C6719" t="inlineStr">
        <is>
          <t>読み方：ばか
［名・形動］《(梵)mohaの音写。無知の意。「馬鹿」は当て字》
１知能が劣り愚かなこと。また、その人や、そのさま。人をののしっていうときにも用いる。あほう。「—なやつ」⇔利口。
２社会的な常識にひどく欠けていること。また、その人。「役者—」「親—」
３つまらないこと。無益なこと。また、そのさま。「—を言う」「—なまねはよせ」
４度が過ぎること。程度が並はずれていること。また、そのさま。「—に風が強い」「—騒ぎ」「—正直」
５用をなさないこと。機能が失われること。また、そのさま。「蛇口が—で水が漏れる」→馬鹿になる2
[補説]元来は相手をののしる言葉であるが、相手に対する思いやり、親しみ・愛情の気持ちを込めて用いることもある。「—だな。そんなに思いつめなくていいのに」など。また、「—!あきらめるな」のように、否定や批判などの意で、感動詞的にも用いられる。
[派生]ばかさ［名］
[用法]馬鹿・阿呆(あほう)——「馬鹿」のほうが広い地域で使われ、意味の範囲も広い。「馬鹿に暑い」「馬鹿正直」「このネジは馬鹿になっている」のような意は「阿呆」にはない。◇「馬鹿」は関東で、「阿呆」は関西で多く使われる。
[補説]2015年に実施した「あなたの言葉を辞書に載せよう。2015」キャンペーンでの「馬鹿」への投稿から選ばれた優秀作品。◆考えることを放棄したさま。MORIZOさん◆自分の頭で考えることをしない者のこと。もりぷーさん◆変わろうとしない人のこと。瑠加さん◆言葉の発し方で、けなすことにも愛情表現にもなる不思議な言葉。バレエ・メカニクさん◆きれいで魅力的な女の人に耳元でそっと甘くささやかれると、どんなことでも許してしまう言葉のこと。またはそれによって簡単にだまされてしまう男のこと。はいちゃんさん◆一拍置いて呟く様に言うと、とんでもなく「萌え」となる言葉。ケロッキーさん◆愛情の裏返しの意味を持つ。連呼すればするほど「愛しい」という意味になる。素直になれない人が使用する。えるるさん◆自ら、一次情報を確かめることをせず、インターネット上の情報や、テレビ、伝聞、噂に基づいて、他人を見下し、攻撃する人、またはそうした性質。larimarさん◆関西人に対する最高の侮辱の言葉。「アホ」との誤用に注意。MGNさん◆時にはわざとその素振りをすることで、うまくいく時がある。といしさん</t>
        </is>
      </c>
      <c r="D6719" t="inlineStr">
        <is>
          <t>馬鹿なこと(7%)；馬鹿みたい(3%)；馬鹿気；馬鹿じゃない；馬鹿な真似</t>
        </is>
      </c>
      <c r="E6719" t="inlineStr">
        <is>
          <t>大；非常；抜け；極端；おかしい</t>
        </is>
      </c>
      <c r="F6719" t="inlineStr">
        <is>
          <t>大馬鹿；お馬鹿；馬鹿ども；馬鹿な女；馬鹿正直</t>
        </is>
      </c>
      <c r="G6719" t="inlineStr">
        <is>
          <t>馬鹿馬鹿しい；馬鹿に；馬鹿者；馬鹿野郎；馬鹿らしい</t>
        </is>
      </c>
      <c r="H6719" t="n">
        <v>29</v>
      </c>
      <c r="I6719" t="inlineStr">
        <is>
          <t>また同市内では頻繁に大会が行われていて競技人口も馬鹿にはできない。；さうなれば手前ももう永遠に己の苦痛を馬鹿にしてゐることは出来まい。；お父さんはコプリ氏のような男に支配されるほど馬鹿じゃないでしょう。；月の光を浴びながら、日中に歩いてきたのは馬鹿なことをしたと思った。；しかし、彼の目の前で逆上がりに失敗したことから馬鹿にされてしまう。；だが、残った連中は、他の者からは、すっかり馬鹿にされているんだね。；自分の方から機械のそばへ寄ったなんて、そんな馬鹿なことがあるものか。；分かれば「そんな馬鹿な事」と周囲に反対されるのは分かりきっていた。；動画でお互いを馬鹿にし合って、仲直りするのがパターン化されている。；そして翌日その話をされた時にも僕は「馬鹿な」と言って笑っていた。；まさか一人の女のためにこんな馬鹿になるとは思いもしなかった。；関東の男たちほど他国の者に馬鹿にされて平気でいる者はいないのだ。；バイクの扱いが異常にヘタで、チームのメンバーから馬鹿にされている。；お馬鹿さんが引返して来る頃には、あたしはもう此の世のものじゃ無い。；夏のことを思うとその道といい骨折りといい、馬鹿気たものだと思う。；出来もしないことを発表したつて馬鹿気てゐますから黙つてゐます。；かつて馬鹿にしていた元同僚が食堂のテレビの中で歌っていた。；いつの時代にも馬鹿がいるものだなと思った、という事はこれからも?；見習士官だから、馬鹿気た返事をしなくてはならないと思ふのである。；同じ苦しみをした同じ処にはいつて行くほどの、私は馬鹿ではないと信じます。；なんだか馬鹿扱いにされているようで、お浜はいよいよ口惜しくなった。；ミックとキースは、ビルが妻子持ちであることも馬鹿にしてきたという。；人間がけだものに馬鹿にされてゐるよりは死んだ方がいゝと云ふ主張でした。；助十 この最中に猿なんぞを相手にして騷いでゐる奴は馬鹿に相違ねえ。；いくら酔っぱらったとはいえ、どうしてあんな馬鹿な目にあったのだろう。；そんな馬鹿なことをやる毛沢東だったら、おれは戦争に負けておらん。；おれは馬鹿にしてかかっていたので、旦那の方から声をかけられてしまった。；いつになく心地よく平和な情景だが、メアリは馬鹿なことを考えていた。；勿論、泥草鞋や馬の沓などを振りまわしているような馬鹿な子供はない。</t>
        </is>
      </c>
      <c r="J6719">
        <f>HYPERLINK("https://www.weblio.jp/content/馬鹿", "词义详情")</f>
        <v/>
      </c>
      <c r="K6719">
        <f>HYPERLINK("https://yourei.jp/馬鹿", "查看例句")</f>
        <v/>
      </c>
    </row>
    <row r="6720">
      <c r="A6720" t="inlineStr">
        <is>
          <t>ばか～</t>
        </is>
      </c>
      <c r="B6720" t="inlineStr">
        <is>
          <t>成功</t>
        </is>
      </c>
      <c r="C6720" t="inlineStr">
        <is>
          <t>読み方：ばか
［名・形動］《(梵)mohaの音写。無知の意。「馬鹿」は当て字》
１知能が劣り愚かなこと。また、その人や、そのさま。人をののしっていうときにも用いる。あほう。「—なやつ」⇔利口。
２社会的な常識にひどく欠けていること。また、その人。「役者—」「親—」
３つまらないこと。無益なこと。また、そのさま。「—を言う」「—なまねはよせ」
４度が過ぎること。程度が並はずれていること。また、そのさま。「—に風が強い」「—騒ぎ」「—正直」
５用をなさないこと。機能が失われること。また、そのさま。「蛇口が—で水が漏れる」→馬鹿になる2
[補説]元来は相手をののしる言葉であるが、相手に対する思いやり、親しみ・愛情の気持ちを込めて用いることもある。「—だな。そんなに思いつめなくていいのに」など。また、「—!あきらめるな」のように、否定や批判などの意で、感動詞的にも用いられる。
[派生]ばかさ［名］
[用法]馬鹿・阿呆(あほう)——「馬鹿」のほうが広い地域で使われ、意味の範囲も広い。「馬鹿に暑い」「馬鹿正直」「このネジは馬鹿になっている」のような意は「阿呆」にはない。◇「馬鹿」は関東で、「阿呆」は関西で多く使われる。
[補説]2015年に実施した「あなたの言葉を辞書に載せよう。2015」キャンペーンでの「馬鹿」への投稿から選ばれた優秀作品。◆考えることを放棄したさま。MORIZOさん◆自分の頭で考えることをしない者のこと。もりぷーさん◆変わろうとしない人のこと。瑠加さん◆言葉の発し方で、けなすことにも愛情表現にもなる不思議な言葉。バレエ・メカニクさん◆きれいで魅力的な女の人に耳元でそっと甘くささやかれると、どんなことでも許してしまう言葉のこと。またはそれによって簡単にだまされてしまう男のこと。はいちゃんさん◆一拍置いて呟く様に言うと、とんでもなく「萌え」となる言葉。ケロッキーさん◆愛情の裏返しの意味を持つ。連呼すればするほど「愛しい」という意味になる。素直になれない人が使用する。えるるさん◆自ら、一次情報を確かめることをせず、インターネット上の情報や、テレビ、伝聞、噂に基づいて、他人を見下し、攻撃する人、またはそうした性質。larimarさん◆関西人に対する最高の侮辱の言葉。「アホ」との誤用に注意。MGNさん◆時にはわざとその素振りをすることで、うまくいく時がある。といしさん</t>
        </is>
      </c>
      <c r="H6720" t="n">
        <v>0</v>
      </c>
      <c r="J6720">
        <f>HYPERLINK("https://www.weblio.jp/content/ばか～", "词义详情")</f>
        <v/>
      </c>
      <c r="K6720">
        <f>HYPERLINK("https://yourei.jp/ばか～", "查看例句")</f>
        <v/>
      </c>
    </row>
    <row r="6721">
      <c r="A6721" t="inlineStr">
        <is>
          <t>破壊</t>
        </is>
      </c>
      <c r="B6721" t="inlineStr">
        <is>
          <t>成功</t>
        </is>
      </c>
      <c r="C6721" t="inlineStr">
        <is>
          <t>読み方：はえ
やぶれこわれること。やぶりこわすこと。はかい。
「御所の—したるを修理(しゅり)して」〈平家・六〉</t>
        </is>
      </c>
      <c r="D6721" t="inlineStr">
        <is>
          <t>破壊する(13%)；破壊される(5%)；破壊的(2%)；破壊しよ；破壊力</t>
        </is>
      </c>
      <c r="E6721" t="inlineStr">
        <is>
          <t>敵；失敗；崩壊；解体；滅亡</t>
        </is>
      </c>
      <c r="F6721" t="inlineStr">
        <is>
          <t>全て破壊；大きく破壊；自己破壊；大規模な破壊；ごと破壊</t>
        </is>
      </c>
      <c r="G6721" t="inlineStr">
        <is>
          <t>破壊活動；破壊工作；破壊行為；破壊神；破壊光線</t>
        </is>
      </c>
      <c r="H6721" t="n">
        <v>29</v>
      </c>
      <c r="I6721" t="inlineStr">
        <is>
          <t>またこの潜水艦を破壊する目的の攻撃型潜水艦も多数建造されている。；この統一的な状態を破壊したものが、近代的な国民国家の成立と言える。；今度はフジを気絶させた後、謎の銃を使って基地の機器を破壊していく。；また故宮を紅衛兵が破壊しようとした際にも、軍隊を派遣して阻止した。；ネロを含む幾人かの皇帝の像は死後に破壊されたが、後に作り直された。；また、力を加減すれば記憶や精神の一部だけを破壊することも可能である。；複数の手法による解析の結果、いくつかの破壊モデルが挙げられている。；物体の変形や破壊などに対する負担の大きさを検討するのに用いられる。；即ちペルセポリスの名が記録されるのは、既に破壊された後のことである。；戦争機械の完成を阻止するには全工場を速やかに破壊せねばならない。；このほかベジータは悟空との初対決の際、地球を破壊しようとしていた。；破壊が始まった一点が震源であり、破壊されてずれた部分が断層となる。；中国国内の孔子廟の多くは文化大革命時に破壊されたり損傷を受けている。；その他の状態では波が干渉して破壊され、確率密度が0となってしまう。；報告の中には、西アフリカの約9割が既に破壊されたというものもある。；数百の教会が破壊され、弾圧を恐れた数万の民衆が山野に逃れている。；これらの電話の会話はほとんどが機体の破壊の時まで続いた。；その多くが様々な場所で偶像破壊され、最も多くの現存作品はドイツにある。；これに激高した民衆が文明12年に徳政一揆を起こして関所を破壊した。；ゆえに、西洋でむやみにこれを使うと人間関係が破壊されることもある。；このようにして破壊が終結すると、一つの地震が終わることになる。；つまり戦争の本来の目標とは敵の戦闘力を破壊することに他ならないと考えられる。；米軍も同様に爆撃を行ったが地下要塞を破壊することは出来なかった。；スキピオはヌマンティア人を奴隷にして売り払い、町を完全に破壊した。；このような働きにより、舗装道路など人工構造が破壊されることもある。；総裁政府は増刷に増刷を重ね、紙幣の信用は失われて経済は破壊された。；インテルカティアは長く抵抗し、壁が破壊されてもローマ軍を撃退した。；しかしこれらの建物は後のプファルツ継承戦争でほとんどが破壊されてしまった。；あるアスペリティですべり欠損が破壊強度を超えた時に地震が発生する。</t>
        </is>
      </c>
      <c r="J6721">
        <f>HYPERLINK("https://www.weblio.jp/content/破壊", "词义详情")</f>
        <v/>
      </c>
      <c r="K6721">
        <f>HYPERLINK("https://yourei.jp/破壊", "查看例句")</f>
        <v/>
      </c>
    </row>
    <row r="6722">
      <c r="A6722" t="inlineStr">
        <is>
          <t>葉書</t>
        </is>
      </c>
      <c r="B6722" t="inlineStr">
        <is>
          <t>成功</t>
        </is>
      </c>
      <c r="C6722" t="inlineStr">
        <is>
          <t>読み方：はがき
１紙片にしるす覚え書き。
２「郵便葉書」の略。</t>
        </is>
      </c>
      <c r="D6722" t="inlineStr">
        <is>
          <t>葉書一枚；葉書大；葉書一本；葉書サイズ；葉書をいただきまし</t>
        </is>
      </c>
      <c r="E6722" t="inlineStr">
        <is>
          <t>はがき；ポストカード；絵はがき；端書；絵葉書</t>
        </is>
      </c>
      <c r="F6722" t="inlineStr">
        <is>
          <t>お葉書；繪葉書；年賀葉書；アンケート葉書；こんな葉書</t>
        </is>
      </c>
      <c r="H6722" t="n">
        <v>29</v>
      </c>
      <c r="I6722" t="inlineStr">
        <is>
          <t>それらの葉書を出してきた人間は、私のことを知っているわけではない。；会うことの出来る日と時間、そして場所が、その葉書には書いてあった。；彼はその頃、一枚の葉書を書いてさえ疲れるほどに体が弱っていたのだ。；だから、今度の発見の出発点はこの葉書だったといってもいいわけだ。；ある感動の為に葉書を持った私の手は、不自然にふるえてさえいました。；私への葉書には、周囲を愛してということを特に強調しておいたと云った。；この葉書を受け取った保郎は、校長をはじめ教師たちに見せてまわった。；私は今日先生に葉書を出したが、きっと先生はよろこんで下さるだらう。；その日早速その店へゆき、祇園の名妓の葉書大の写真の数々を私は見た。；睦男は、祖母が保存していた葉書で砂木の名前や住所を知ったと言った。；不思議なことに、初めてそれらの葉書を見た時よりも冷静でいられた。；当時のわたしは、手紙や葉書を、ギプスに臥たままの姿勢で書いていた。；近く帰れるようになるかも知れんという事は葉書で言ってやって置いたが。；この葉書を読んだ時も、小生は、明日からもう酒は止そうと思いました。；やはりあの葉書の差出人で、山代さんに会うためにやって来ていました。；・・・リル市で出したオリヴィエさんの葉書が郵便受け箱に入っていた。；朝飯の膳のうえに、病気の容体を気にしているお今の葉書が載っていた。；日記によれば、彼は雪枝さんのところへ葉書を書いているばかりです。；小さい字で裏表にびっちり書くと、葉書でも千二百字は書けるのである。；この晩私は八木の宿に帰ってきて、パリにいる松本君へ葉書を書いた。；だがその葉書から一歩も先へ行けない事実に変わりはなかった。；会場が手狭な為、一般の観客は事前に葉書による抽選方式をとっている。；そこで、心ないことと知りつつ、わたしは次のような文句の葉書を印刷した。；ある感動のために葉書を持った私の手は、不自然にふるえてさえいました。；よその国には絵のついていない無地の葉書というのはないのだろうか。；この葉書を書いたとすれば、山へ行く約束のあとに相違なかつた。；彼はある日葉書へそんなことを書いてしまった、もちろん遊戯ではあったが。；事実、その直後、十三日付で同じく名古屋から出したらしい葉書が到着した。；そんなことを考えて、その友人の母親へ葉書を認めた記憶がある。</t>
        </is>
      </c>
      <c r="J6722">
        <f>HYPERLINK("https://www.weblio.jp/content/葉書", "词义详情")</f>
        <v/>
      </c>
      <c r="K6722">
        <f>HYPERLINK("https://yourei.jp/葉書", "查看例句")</f>
        <v/>
      </c>
    </row>
    <row r="6723">
      <c r="A6723" t="inlineStr">
        <is>
          <t>剥がす</t>
        </is>
      </c>
      <c r="B6723" t="inlineStr">
        <is>
          <t>成功</t>
        </is>
      </c>
      <c r="C6723" t="inlineStr">
        <is>
          <t>読み方：はがす
［動サ五（四）］付着しているものを剝ぎ取る。めくり取る。「シールを—・す」「生爪を—・す」
[可能]はがせる
[用法]はがす・むく——「木の皮をはがす（むく）」のように、外側の部分を取り去る意では、相通じて用いられる。◇「はがす」は、表面に付着しているものを取りはずす意。「ポスター（切手・シール・傷口のガーゼ）をはがす」◇「むく」は表面をおおっているものを取り去って中身をあらわにする意。「りんご（みかん）の皮をむく」「ゆで卵のからをむく」「目をむく」「歯をむく」◇「はがす」と同類の語に「はぐ」がある。「はぐ」は「木の皮をはぐ」「けものの皮をはぐ」のように、「はがす」「むく」と同じように用いられるが、また、身につけているものを取り除く意もある。「掛けている毛布をはぐ」「官位をはぐ」</t>
        </is>
      </c>
      <c r="D6723" t="inlineStr">
        <is>
          <t>切る；切り離す；剥離；断ち切る；剥く</t>
        </is>
      </c>
      <c r="F6723" t="inlineStr">
        <is>
          <t>引剥がす；ひき剥がす</t>
        </is>
      </c>
      <c r="H6723" t="n">
        <v>29</v>
      </c>
      <c r="I6723" t="inlineStr">
        <is>
          <t>瘡蓋を剥がしてまだ血が出るかどうかをたしかめているような声だった。；表面はシールになっており、剥がす事で内容が分かる仕様になっている。；私は眠りたがっている脳と体をむりやり剥がすようにして起きあがった。；死体の腰から剥がしたあと、元あった場所の近くに置いたはずなのだ。；彼の身体が岩から引き剥がされると同時にザイルを離してしまいました。；被害は一番風上にあった開墾小屋二棟の屋根が剥がされただけで済んだ。；なにか必要があって剥がしたとしても一、二枚は残っていそうなものだ。；お品は此の分で行けば一枚紙を剥がすやうに快よくなることゝ確信した。；最悪腕の神経を剥がす事になるけど、命を獲られるよりはいいでしょう?；次の瞬間視線を引剥がして、逃げるように階段をかけ降りて行ったのか。；そして、五枚全部を跡を残さず剥がすのも、非常に時間がかかることだ。；手を伸ばせば届くような近くにいたガルーたちも地面から身を剥がした。；男はそれを引き剥がそうとするのだが、どうやってもそれは男から離れない。；雨には何かこう、心のもやもやを引き剥がすような小気味よさがあった。；実用化はされなかったが公園内には現在でも皮を剥がされた松が残っている。；自分の永い間の宿念の力がとうとう彼女の仮面を剥がしたようにも思えた。；と引き剥がしたら、顔のあちこちの皮と肉が面の方へ鞍替えしてしまった。；肩で息をし、顔から汗がしたたり落ち、せっかくの白粉を剥がしていた。；僕はなんとかして、その頑固な視線を信号機から引き剥がしたくなった。；というか、建物中に貼ってある紙切れを全て剥がす事なんてできるのか。；同盟の連中も王室の神秘のベールを剥がして本当のこいつを知ればいい。；そして自らの腕の皮を剥がして金属骨格になった腕を見せて正体を明かす。；手は肌に張り付いたモノを剥がしたがるように、胸の中心を掴んでいた。；懐中鏡の裏の紙を剥がして、その水銀を湯呑へ入れたに違いありません。；既に1番線は忠節方面のレールが一部剥がされ発着できなくなっている。；同時に、口を塞ぐガムテープが唇ごと持っていかれるように剥がされた。；嫌な重苦しさを感じながら、由紀子は身体を引き剥がすように起こした。；自分が床から足を引き剥がす度に、そこから闘気が吹き上がるのがわかる!；廊下の床板を剥がせば腐りかけた死体でも出てきそうだし、そこらの壁。</t>
        </is>
      </c>
      <c r="J6723">
        <f>HYPERLINK("https://www.weblio.jp/content/剥がす", "词义详情")</f>
        <v/>
      </c>
      <c r="K6723">
        <f>HYPERLINK("https://yourei.jp/剥がす", "查看例句")</f>
        <v/>
      </c>
    </row>
    <row r="6724">
      <c r="A6724" t="inlineStr">
        <is>
          <t>博士</t>
        </is>
      </c>
      <c r="B6724" t="inlineStr">
        <is>
          <t>成功</t>
        </is>
      </c>
      <c r="C6724" t="inlineStr">
        <is>
          <t>読み方：はかせ
１学問やその道の知識にくわしい人。「お天気—」「物知り—」
２学位の「博士(はくし)」の俗称。「—号」「文学—」
３律令制の官名。大学寮に明経(みょうぎょう)・紀伝（のちに文章(もんじょう)）・明法(みょうぼう)・算・音・書、陰陽(おんよう)寮に陰陽・暦・天文・漏刻、典薬寮に医・呪禁(じゅごん)などの各博士が置かれ、それぞれ専門の学業を教授した。
４（「墨譜」とも書く）声明(しょうみょう)の経文の傍らに記して、音の高低・長短を示す記号。上がり下がりなど音の動きを線で視覚的に表した目安(めやす)博士と、音階（宮・商・角・徴(ち)・羽）を文字または記号で表した五音(ごいん)博士とに大別される。節博士(ふしはかせ)。</t>
        </is>
      </c>
      <c r="D6724" t="inlineStr">
        <is>
          <t>博士邸；博士自身；博士役；博士夫人；博士学位</t>
        </is>
      </c>
      <c r="E6724" t="inlineStr">
        <is>
          <t>ドクター；博</t>
        </is>
      </c>
      <c r="F6724" t="inlineStr">
        <is>
          <t>魔法博士；蟻田博士；危博士；金博士；正木博士</t>
        </is>
      </c>
      <c r="G6724" t="inlineStr">
        <is>
          <t>博士課程；博士論文；博士後期課程；博士前期課程；博士研究員</t>
        </is>
      </c>
      <c r="H6724" t="n">
        <v>29</v>
      </c>
      <c r="I6724" t="inlineStr">
        <is>
          <t>装備の開発は主に科学センター所属の岩本博士とイデ隊員が行っている。；心配して駆けつけた博士の腕の中でいつまでも泣き続けるさくらだった。；過去にはジョナサン博士の研究所を襲撃、博士の殺害にも使用されている。；そこにはロバート・ゴダード博士の初期の研究の成果も取り入れられている。；彼は著名な大学の数多くの博士号とフェローシップを持っている。；また、学生の一部には得業生として大学に残り博士を目指す者もいた。；ここで博士の説明を聞く男性たちの中に医者はおらず、全員が街の名士であった。；漢代に入ると、学官・博士の制度が定められ、経書の研究が盛んになった。；スチュワート博士もまた映画冒頭の科学者と同じ行為に至ったのであった。；また、協会の会長博士は当時もっとも優れた公衆衛生学者であった。；また、看護学分野の博士は毎年600人超誕生するようになっている。；漢武帝の時に、五経博士が立てられ、一つの経書ごとに博士が置かれた。；一方で「博士学位の重みや信頼を損なわせたが反省している」と述べた。；以下には安定的に博士官を領有していた漢代十四博士の今文経伝を掲げる。；その後質問タイムが設けられ、解答者がそれぞれの博士に質問をする。；赤い沼の水で回復した楠見博士たちは、再び実験を開始することを決意する。；屋敷を襲ったのは、陸軍で綾小路博士の部下であった天城博士だった。；しかし敷島博士以外にも生き残り、内地へ帰還を果たした技術者がいた。；娘で各種アイテム開発のプロであるからくり博士の日向おぼろの下に逃れた。；また、いずれも博士か研究室に在籍していた人物の設定である。；サンダーマスク復活のきっかけを作って殉職した高瀬博士が残した研究所。；こちらはクルスト博士の意図しなかった本来の意味での「暴走」といえる。；学部レベルから博士レベルまでのクラシック音楽教育を行っている。；後にパネラーがスタジオで直接下目黒博士に質問する形となった。；関連は不明だが、実際に劇中に登場するマミーロフ博士はロシア人である。；ガーネット博士は健康上の問題を理由に静かに引退した。；そこに色の違うタイムシップが現れ、中から髪の白いブラウン博士が出てきた。；射策は博士弟子と対になる制度なので、郷挙里選の一種として次の節で扱う。；国の黒川真武博士を中心に以下の数10人の一流の学者で調査団が構成された。</t>
        </is>
      </c>
      <c r="J6724">
        <f>HYPERLINK("https://www.weblio.jp/content/博士", "词义详情")</f>
        <v/>
      </c>
      <c r="K6724">
        <f>HYPERLINK("https://yourei.jp/博士", "查看例句")</f>
        <v/>
      </c>
    </row>
    <row r="6725">
      <c r="A6725" t="inlineStr">
        <is>
          <t>捗る</t>
        </is>
      </c>
      <c r="B6725" t="inlineStr">
        <is>
          <t>成功</t>
        </is>
      </c>
      <c r="C6725" t="inlineStr">
        <is>
          <t>読み方：はかどる
［動ラ五（四）］仕事が順調にどんどん進む。はかがゆく。進捗(しんちょく)する。「勉強が—・る」「作業が—・る」</t>
        </is>
      </c>
      <c r="D6725" t="inlineStr">
        <is>
          <t>進む；進める；実行する；促す；進行する</t>
        </is>
      </c>
      <c r="H6725" t="n">
        <v>29</v>
      </c>
      <c r="I6725" t="inlineStr">
        <is>
          <t>毎日ただ書いている様な気がするのに一寸も捗っていないのがふしぎだ。；それが二三人で持ち合ってなかなか捗取らないような湿り気を帯びていた。；すっかり夜になり、僕らは熱心に仕事を続けたが、仕事は捗らなかった。；だが、全工事を見渡したところ、朝から少しも捗った跡は見えなかった。；これは子供等の生活を見ていながら書けるので、どんどん捗るように思う。；この小文は、つまり、約束の仕事が捗らなかったことへの弁解なのである。；彼の仕事は着々と云ふ程には捗取らなかつたが比較的早く進んだ。；そうすれば必ずこの競争の間に幸福も安全も捗らされるのである。；店員になり切って勤め始めてからは仕事も捗れば朋輩との親しみも増した。；わたしはそれを鵜沢との交渉がうまく捗らないためだと思いこんでいたのだ。；何といっても登る一方で少しの無駄もないから、ゆっくり歩いても道は捗る。；それを思ひ出すことが多いと、それだけ私の仕事は捗らなかつた。；工事は、二十日近くにもなっているが、まだ少しも捗っていなかった。；杉沢は、私の家の処分がうまく捗って本当によかった、と繰り返して言う。；残った軌道および基幹施設も、その後の工事が捗るように大部分が撤去された。；之によって事物そのものの実際的な説明や実地の処理は少しも捗らぬ。；このお店のおかげで私の執筆活動が捗ってるんだから。；今日はこれだけの仕事をやればあとは遊ぼうと考えると、仕事が妙に捗る時もある。；何だのかだのと例によって、なかなか捗取らなかったのだけれど、やっとね。；この後も2時間おきに列車が出発したが、故障続発で避難は捗らなかった。；周辺を捜索しようにも、この日は吹雪がひどくまったく捗らなかった。；コントは精神科医エスキロールの元で入院したが、治療は捗らなかった。；そのためもあって執筆はなかなか捗らず、三百三枚を脱稿したのは三月末だった。；仕事は、昼よりも夜に捗るらしく、徹夜などは殆ど毎夜続いた位です。；この方面には汽車の開通しない時代であるから、道中は捗取らない。；彼女は一度私に仕事は捗っているのかと訊いた。；何分にも一方の鮎川が見付からないので、詮議も思うように捗取らない。；またどうせ旅行をするのなら、もう一度左浦にでも行っていた方が仕事が捗ったろうとも思った。；もっとも気まずいことと言えばそれぐらいで、私の勉強はずいぶんと捗るようになった。</t>
        </is>
      </c>
      <c r="J6725">
        <f>HYPERLINK("https://www.weblio.jp/content/捗る", "词义详情")</f>
        <v/>
      </c>
      <c r="K6725">
        <f>HYPERLINK("https://yourei.jp/捗る", "查看例句")</f>
        <v/>
      </c>
    </row>
    <row r="6726">
      <c r="A6726" t="inlineStr">
        <is>
          <t>はかない</t>
        </is>
      </c>
      <c r="B6726" t="inlineStr">
        <is>
          <t>成功</t>
        </is>
      </c>
      <c r="C6726" t="inlineStr">
        <is>
          <t>読み方：はかない
［形］［文］はかな・し［ク］
１束の間であっけないさま。むなしく消えていくさま。「—・い命」「—・い恋」
２不確実であったり見込みがなかったりして、頼りにならないさま。「—・い望み」
３めどがつかない。見通しがはっきりしない。
「大空も雲のかけはしなくばこそ通ふ—・き嘆きをもせめ」〈かげろふ・下〉
４甲斐がない。無駄である。
「行く水に数書くよりも—・きは思はぬ人を思ふなりけり」〈古今・恋一〉
５取り立てていうほどではない。取るに足りない。
「—・くうち使ふ調度なども」〈宇津保・俊蔭〉
６思慮分別が足りない。未熟である。また、愚かである。
「人々の花蝶やとめづるこそ—・くあやしけれ」〈堤・虫めづる姫君〉
７粗末である。みすぼらしい。
「—・き単衣の萎えたるを着たるに」〈宇津保・俊蔭〉
[派生]はかなげ［形動］はかなさ［名］</t>
        </is>
      </c>
      <c r="D6726" t="inlineStr">
        <is>
          <t>はかないもの(13%)；はかない望み(4%)；はかない希望(3%)；はかない夢(3%)；はかない抵抗</t>
        </is>
      </c>
      <c r="E6726" t="inlineStr">
        <is>
          <t>一時的；弱々しい；短命；うつろな；空虚な</t>
        </is>
      </c>
      <c r="F6726" t="inlineStr">
        <is>
          <t>はかない気；はかない期待；あまりにはかない；はかない生命；はかない命</t>
        </is>
      </c>
      <c r="H6726" t="n">
        <v>29</v>
      </c>
      <c r="I6726" t="inlineStr">
        <is>
          <t>はかない力で懸命にしがみついてきた腕を感じていたことは覚えている。；すべては闇から闇へと流れてゆくはかない駒のあがきにしか過ぎません。；思えば敏男さんと私の縁は、まことに短いはかないものでございました。；まず、彼にも合意の意思がなければあなたのはかない望みはそこで終わる。；肖像画の、線の細いはかなげな少女のどこにそんな激しさがあったのか。；ただのはかない嘱託にすぎない大学講師なんかに停年なんかあるものか。；このはかない行商の一人に頭蓋骨の異常に大きな福助のような子がいた。；彼はそれらの突起を当てにして、脱出の成功にはかない希望をかけたのだ。；わたくしにしても、このような所に殿と熊千代に別れてのはかない暮らし。；希望といっても手の中に捉えられないようなはかないものなのに。；やがては消えていく炎のはかなさゆえに、そこに人の命の灯をみたのだろうか。；私は今は姉の万一にも恢復することをはかない頼みにいたしています。；はかなげでありながら、胸の奥にしみ込んできて無視できない影を残した。；そのはかないような幸福の時間がその時のお文には羨ましくてならなかった。；肩のサイズも、首の細さも男の人の腕を待っているようなはかなさと美しさ。；見ているうちに、めくるめくように生のはかなさに打たれたのである。；これは自分に人生のはかなさを体験すべく仏がお計らいになるのだと思われる。；とはかないふうに言っただけで、また奥のほうへはいってしまった。；この世界の巨大な不条理を前にして、子供の力はあまりにもはかない。；でも、そんなはかない錯覚でも、いい気分ならそれでよいと思っている。；そうでなければ、新田氏までがはかなく遠のいてゆくようで不安だった。；しかし、それははかない夢であると、いわなければならないのである。；それに、あのサーク族に囲まれて過ごしたはかない日々の思い出だけは。；人間がいかにはかないものかということを強く強く考えて見たまえ。；こうして秋を迎えた私ははかなくお鶴と別れなければならなかった。；そしていつかはこの心にある記憶もはかなく薄れ去ってしまうかも知れない。；誰かの胸に泣いても泣いても泣き足りないのはこのはかなさ。；ふと見れば三日月があつた、それはあまりにはかないものではなかつたか。；こういう時代我々個人の運命など、一尾の蚊のようなはかないものだ。</t>
        </is>
      </c>
      <c r="J6726">
        <f>HYPERLINK("https://www.weblio.jp/content/はかない", "词义详情")</f>
        <v/>
      </c>
      <c r="K6726">
        <f>HYPERLINK("https://yourei.jp/はかない", "查看例句")</f>
        <v/>
      </c>
    </row>
    <row r="6727">
      <c r="A6727" t="inlineStr">
        <is>
          <t>ばかばかしい</t>
        </is>
      </c>
      <c r="B6727" t="inlineStr">
        <is>
          <t>成功</t>
        </is>
      </c>
      <c r="C6727" t="inlineStr">
        <is>
          <t>読み方：ばかばかしい
［形］［文］ばかばか・し［シク］
１無意味でくだらなく見えるさま。ばからしい。「手間ばかりかかる—・い仕事」
２事物の性質、状態が度をこえてはなはだしいさま。「—・く大きい船」「—・い値段」
[派生]ばかばかしげ［形動］ばかばかしさ［名］</t>
        </is>
      </c>
      <c r="D6727" t="inlineStr">
        <is>
          <t>ばかばかしいこと(14%)；ばかばかしい話(5%)；ばかばかしいもの(3%)；ばかばかしい限り；ばかばかしい気</t>
        </is>
      </c>
      <c r="E6727" t="inlineStr">
        <is>
          <t>くだらない；馬鹿馬鹿しい；馬鹿らしい；バカバカしい；笑止</t>
        </is>
      </c>
      <c r="F6727" t="inlineStr">
        <is>
          <t>こんなばかばかしい；まったくばかばかしい；実にばかばかしい；ばかばかしいにも；じつにばかばかしい</t>
        </is>
      </c>
      <c r="H6727" t="n">
        <v>29</v>
      </c>
      <c r="I6727" t="inlineStr">
        <is>
          <t>それは本気で信じられるにはあまりに唐突なばかばかしい話に思われた。；あるいは二つともばかばかしい話であると笑っていたのかもしれない。；ばかばかしいと思わぬではないが、しかし愉快でないこともない様子だ。；ほかの人たちはそれを見て、まともに働くのがばかばかしくなってくる。；拒否したりするのもかえってばかばかしいことのように思われてきたからだ。；これではいったい何のためにこんなばかばかしい席を設けたのかわからない。；女房といえば、ばかばかしい騒ぎといわんばかりに寝たきり起きてこない。；もとより、それはばかばかしい話で、彼もその点は百も承知の上だった。；まだもっとばかばかしいことがあったと思いますが、忘れてしまいました。；なんだか私一人くよくよ心配しているのがばかばかしくなったものですよ。；しかし、そういうばかばかしい質問をしないではいられぬ気持でした。；それに下手人がこの会員のうちにいるなんて、実にばかばかしいと思う。；あなたもあたしも、殺された者の目の話なんかばかばかしいと思っているわ。；このシムラーには、そんな疑いがばかばかしくなるような雰囲気がある。；向うにしたって尋ねて行ったらどんなにばかばかしく考えるかも知れない。；あいも変わりませずばかばかしいお噂を一席聞いていただきます。；十両から十四五両なんていうばかばかしい飛び値がありますからね。；あの子を授かった時には、呪いなんてばかばかしいとしか思わなかった。；ばかばかしいかぎりであったが、原因はデニー・バーンのことであった。；ここにいると、そんな考えはばかばかしいほど偏狭に思えてくるのだった。；聞いている者はびっくりするか、ばかばかしいと思うかの二者にわかれる。；私はそれを少女のばかばかしい恐怖として、ほとんど気にも止めなかった。；君も知っている通り、うちの女房はばかばかしいほどにあの女が好きだったのだ。；おれはいつになったらこんなばかばかしい用心の仕方が身につくんだろうなあ。；幽霊を信じない君たちの眼から見れば、実にばかばかしいかも知れない。；彼らの態度が決定するまでには、かなりばかばかしい事情が介在した。；ずっとあとになってみれば、それもばかばかしく感じられるだろう。；その時彼は、作品がたまらなくばかばかしいものであることを知った。；彼女が美しいからだと答えるのは、ばかばかしいような気がした。</t>
        </is>
      </c>
      <c r="J6727">
        <f>HYPERLINK("https://www.weblio.jp/content/ばかばかしい", "词义详情")</f>
        <v/>
      </c>
      <c r="K6727">
        <f>HYPERLINK("https://yourei.jp/ばかばかしい", "查看例句")</f>
        <v/>
      </c>
    </row>
    <row r="6728">
      <c r="A6728" t="inlineStr">
        <is>
          <t>墓参り</t>
        </is>
      </c>
      <c r="B6728" t="inlineStr">
        <is>
          <t>成功</t>
        </is>
      </c>
      <c r="C6728" t="inlineStr">
        <is>
          <t>読み方：はかまいり
［名］(スル)墓に参って拝むこと。特に、盂蘭盆(うらぼん)に先祖の墓にお参りすること。墓詣で。ぼさん。《季秋》</t>
        </is>
      </c>
      <c r="D6728" t="inlineStr">
        <is>
          <t>墓参りに行く途中；墓参りをしよ</t>
        </is>
      </c>
      <c r="H6728" t="n">
        <v>29</v>
      </c>
      <c r="I6728" t="inlineStr">
        <is>
          <t>私はそれ以後決して妻といっしょにKの墓参りをしない事にしました。；ちょうどこの本をいただいた二日後に、父と墓参りに行く約束をしていた。；ぼく自身、このところぜんぜんお墓参りしてないし、気にはなっている。；墓参りの帰りだというのに、一行はちっとも悲しげな様子には見えない。；結婚した年のお盆に墓参りを兼ねて二人で出かけたのが最初だった。；一緒にしようとまでは思わなかったが、もともと墓参りをするつもりでいた。；墓参りの帰り、私の乗った車の前に急にトラックが飛び出してきた。；どこの世界に親の墓まいりに来て、兄弟、なぐり合いをする馬鹿がある。；三人の夫はいっしょにお墓参りに行って、翌日まで帰ってきません。；その後は交番勤務を見下す姿勢を改め、毎年南部の墓参りに行っている。；ママのお墓参りに行って来たのよ、と香代子は涙をこらえながら言った。；この期間、祭りに参加するほか家族の墓参りや掃除を行う習慣が多くある。；こんど、家人が同行したのは、私のほうの父方の墓まいりのためである。；お墓参りをしただけでも、日本に帰って来た甲斐があったと思ったよ。；誰も墓参りにも来ない者が遺稿の事など世話してくれる者はない。；誰も墓参りにも来ない者が遺稿の事など世話してくれる筈は無い。；これを機に梨花は命の大切さを覚え、親の墓参りへ行くようになった。；自身は母親の墓参りに満足に足すら向けていなかったのにだ。；それからまもなく田口さんのご両親の墓参りに同行させてもらった。；綾麻呂 お母さんのお墓参りだけは決して欠かさないようにしなさいよ!；いい時期を見て墓参りかたがた名古屋にお返しに行こうと考えている。；従来のお墓の形状に類似しているため、通常のお墓参りの感覚で参拝ができる。；フィンランドには、クリスマス・イブにお墓参りをする習慣があるのだ。；嫌なことはさっぱり忘れて、お盆の墓参りくらい快くしたいと思います。；僕はずっと、空の上か土の下にいらっしゃると認識して墓参りしていたのだから。；妻の墓参りに行く途中でどんなに愛していたかを詩を引用する。；インドでは死者を埋葬してから、三日目に墓参りするのが慣習である。；お前さんが毎日墓参りに行ってくれるので、娘もどんなに喜んでいるか知れませんよ。；宗英の墓参りのため、以降の歴代藩主は京都を訪れるようになった。</t>
        </is>
      </c>
      <c r="J6728">
        <f>HYPERLINK("https://www.weblio.jp/content/墓参り", "词义详情")</f>
        <v/>
      </c>
      <c r="K6728">
        <f>HYPERLINK("https://yourei.jp/墓参り", "查看例句")</f>
        <v/>
      </c>
    </row>
    <row r="6729">
      <c r="A6729" t="inlineStr">
        <is>
          <t>馬鹿らしい</t>
        </is>
      </c>
      <c r="B6729" t="inlineStr">
        <is>
          <t>成功</t>
        </is>
      </c>
      <c r="C6729" t="inlineStr">
        <is>
          <t>読み方：ばからしい
［形］［文］ばから・し［シク］「ばかばかしい」に同じ。「—・くて話にならない」
[派生]ばからしげ［形動］ばからしさ［名］</t>
        </is>
      </c>
      <c r="D6729" t="inlineStr">
        <is>
          <t>馬鹿らしいこと(13%)；馬鹿らしい事(3%)；馬鹿らしい話(2%)；馬鹿らしい気</t>
        </is>
      </c>
      <c r="E6729" t="inlineStr">
        <is>
          <t>馬鹿；無駄；おかしい；だめ；駄目</t>
        </is>
      </c>
      <c r="F6729" t="inlineStr">
        <is>
          <t>まったく馬鹿らしい；実に馬鹿らしい</t>
        </is>
      </c>
      <c r="H6729" t="n">
        <v>29</v>
      </c>
      <c r="I6729" t="inlineStr">
        <is>
          <t>少しは人間として成長してるかと期待した自分が馬鹿らしくなってきた。；ロンドンに来たそもそもの目的も今になっては馬鹿らしく思えてきた。；一番肝要で一番馬鹿らしい部分に自分の手が触れたような感覚がしたのだ。；そう考えて、妙に罪の意識を覚えてしまっている自分が馬鹿らしくなった。；酒の飲めない晃二は馬鹿らしくなり、一度だけで参加を止めてしまった。；決意を示しながらも、どこかに馬鹿らしさを感じていたに違いない。；科学的頭脳を持つて居る者が誰が馬鹿らしい創造論などを信ずるものか。；部屋の閾際で私は入るのに非常な努力、馬鹿らしいまでの努力をした。；ここまできて戻るのも馬鹿らしいので、思いきって中に入る事にした。；言葉だけで他をやり込めればどこがどうしたというんです、馬鹿らしい。；でも、愛するなんて人間的な馬鹿らしさなんか露ほどももたない怪物よ。；のみならず一層悪い事には、笑って居る人間が馬鹿らしく見えて来る。；すると、不意に彼は星を見てゐることが實に馬鹿らしいことに思へて來た。；その馬鹿らしさは、私以上に、あなたが知っていたような気がする。；その最高に馬鹿らしいお前の話は、もしかしたら本当のことかもしれない。；そんな言葉を思い浮かべてから、あまりの大げささに馬鹿らしくなった。；全く馬鹿らしいとは承知の上だが、他にどうしようがあっただろう?；だが、間違った相手を殺して、自分も焼け死ぬのは馬鹿らしくはないか?；だんだん山鹿が教えてくれたような策を弄することが馬鹿らしくなってきた。；これ以上眠っているふりを続けるのも馬鹿らしいので、起き上がった。；自殺をするのも馬鹿らしかった彼女は、誰か自分の事を殺してくれる人間を探していた。；第三に、そういう際の糸島の様子は、いつもとても馬鹿らしそうであった。；正直なところ、僕にしてもこの和讃を馬鹿らしく思ったことがある。；いつまでも相手になっていて、自分が怪我をしては馬鹿らしい。；嘘をついているようには見えないが、信用するのも馬鹿らしい。；入鹿も最初の宴には出席したが一度だけで馬鹿らしくなり、飛鳥に戻った。；無理に払うのも馬鹿らしいので簡単に礼を言うと、和也は足早に店を出た。；しかし今夜ここに寝ていて考えてみると、じつに馬鹿らしいことだ。；そんな奴のために自分の家庭に不和を生じるなど、馬鹿らしい話だ。</t>
        </is>
      </c>
      <c r="J6729">
        <f>HYPERLINK("https://www.weblio.jp/content/馬鹿らしい", "词义详情")</f>
        <v/>
      </c>
      <c r="K6729">
        <f>HYPERLINK("https://yourei.jp/馬鹿らしい", "查看例句")</f>
        <v/>
      </c>
    </row>
    <row r="6730">
      <c r="A6730" t="inlineStr">
        <is>
          <t>秤</t>
        </is>
      </c>
      <c r="B6730" t="inlineStr">
        <is>
          <t>成功</t>
        </is>
      </c>
      <c r="C6730" t="inlineStr">
        <is>
          <t>読み方：はかり
《「計り」と同語源》物の重さをはかる道具。天秤(てんびん)・ぜんまい秤など。
[下接語] （ばかり）圧力秤・浮き秤・看貫(かんかん)秤・金(きん)秤・銀秤・竿(さお)秤・皿秤・自動秤・台秤・手秤・捩(ねじ)り秤・発条(ばね)秤・水秤</t>
        </is>
      </c>
      <c r="D6730" t="inlineStr">
        <is>
          <t>秤皿；秤台；秤屋</t>
        </is>
      </c>
      <c r="F6730" t="inlineStr">
        <is>
          <t>九垓天秤；ゼンマイ秤；大きな秤；量秤</t>
        </is>
      </c>
      <c r="G6730" t="inlineStr">
        <is>
          <t>秤量；秤動；秤量銀貨；秤座；秤量所</t>
        </is>
      </c>
      <c r="H6730" t="n">
        <v>29</v>
      </c>
      <c r="I6730" t="inlineStr">
        <is>
          <t>そこには秤があって、わたくしは簡単な記録をいくつか書きとめていた。；彼は大きな秤を作り秤の皿の上でテーブルを前に置いて椅子に座った。；しかしわが娘をば秤の一方の皿に置き、他方の皿に黄金を置くとしよう。；秤も問題なく貸してあげられるし、教科書も古いのが何冊か残っている。；社交と麻也子の肉体を一時秤にかけ、彼は両方とることに決めたらしい。；ミカエルは、左手に金の十字架がついた銀の杖、右手に秤を持っている。；危険と秤にかけて見合うだけの何かがまだ京都にあるということだった。；猫婆の前には机が置いてあり、その上に竹寵のついた秤が置いてある。；県に従順な態度を示しておけば、将来損のないことを秤に掛けたのだろう。；秤座は定制の秤を販売するほかに、従来の古秤の検定権も保持していた。；キリストの教えが間違って秤りにかけられることは困るのですから。；その一ぱう私は、母と私のあひだに秤をおいたことは一度もなかつた。；秤にかけた場合に日常の平和の方が外聞の悪い病気よりも遥かに大事だった。；その秤の下がった方の皿には裸の人間が、上がった方には悪魔が描かれている。；沖縄で使っていた秤を、北海道に運んだときにはどう調整すべきか。；二つの考えを秤にかけてみるまでもなく、後者のほうが当を得ているような気がした。；この二つの秤のほかに、もう一つ尾輪を載せるための秤が用意される。；しかし、まだもう一つ秤にかけて考えなければならないことがあった。；少しでも外気がはいって、決定をきめる秤をくるわせてはならなかった。；二人の男の間を彼女の心は秤のように揺れ続けていた。；この二つの作品は、平衡秤としてジイドの精神の二つの極を示している。；一方の秤に世界の命運がかかっているなら、どんな行為も許容される。；いわば両方が五分五分で秤にかけたら重い軽いはないはずである。；それでも損得勘定を秤にもかけないで、遠坂凛は衛宮士郎の手を取った。；それによって西南太平洋の勝利の秤は、日本か米国かに傾いて行くのだ。；それに素人のその場限りの意見にしても、秤にかけてみれば全然無ではないのである。；寛文元年には相場米買上制を始め、寛文年間には升と秤の統一を行った。；コロス石をあつめるものは、生命と利益を秤にかけなければならない。；重松と新造とを秤にかければ、どちらが重いかは考えるまでもないことだ。</t>
        </is>
      </c>
      <c r="J6730">
        <f>HYPERLINK("https://www.weblio.jp/content/秤", "词义详情")</f>
        <v/>
      </c>
      <c r="K6730">
        <f>HYPERLINK("https://yourei.jp/秤", "查看例句")</f>
        <v/>
      </c>
    </row>
    <row r="6731">
      <c r="A6731" t="inlineStr">
        <is>
          <t>計り知れない</t>
        </is>
      </c>
      <c r="B6731" t="inlineStr">
        <is>
          <t>成功</t>
        </is>
      </c>
      <c r="C6731" t="inlineStr">
        <is>
          <t>読み方：はかりしれない
［連語］おしはかることができない。想像できないほどである。「—◦ない恩」「その影響は—◦ないものがある」</t>
        </is>
      </c>
      <c r="D6731" t="inlineStr">
        <is>
          <t>計り知れない価値(3%)；計り知れない衝撃；計り知れない深淵</t>
        </is>
      </c>
      <c r="E6731" t="inlineStr">
        <is>
          <t>巨大な；無限；莫大な；膨大な；壮大</t>
        </is>
      </c>
      <c r="H6731" t="n">
        <v>29</v>
      </c>
      <c r="I6731" t="inlineStr">
        <is>
          <t>フィリスは詩の力は計り知れないものであると信じて詩作を行っていた。；それとも、僕なんかには計り知れない、深い考えがあってのことなのか?；彼の暗い部分はおそらく他人には計り知れないほどに深い淵であろう。；武士の身は何時異変が起こり、非常の事態に遭遇するやも計り知れない。；その際、同窓会の結束は計り知れない意味を持っていくことになるのだ。；この戦争中、計り知れない力を持つエピロスの弓が地球上でなくなった。；僕でさえ、そう感じたくらいだから康臣が抱いた嫌悪感は計り知れない。；それは、母が心配していたように僕に計り知れないショックを与えた。；実際に道を塞いだときの市民生活への影響は計り知れないですから。；いつも明るく饒舌な母だからこそ、そうなったときの恐怖は計り知れない。；相手の力は計り知れないほど大きいと思わなければなりません。；なにか、自分にはとうてい計り知れない使用法があるのかもしれない。；その後のオンラインRPGの発展に与えた影響には計り知れない物がある。；これが少年の鋭い感受性に及ぼした影響は計り知れないものがあろう。；そして塾長との出会いは僕にとって計り知れないほど大きなものとなった。；天ではどれだけ喜ばしい幸福と計り知れない美しい観ものがあったか。；あの許容外の魔眼を有しての生活となれば、その困難は計り知れない。；ゲームをすることで彼がどれほど慰められたのかは計り知れない。；万里には計り知れない葛藤と苦労がそこにはあったに違いないのだ。；そうすることだけで、どれだけストレスが解消できるか計り知れない。；人間の心の中にはたしかに計り知れない部分があるようだ。；待っていた時の方が計り知れないほどひどい気持ちだった。；洋介には計り知れない不思議な時間がそこにあるのではなかろうか。；これが当時の人心にどれほどの影響があったかは計り知れない。；これらの変化の全体の影響は、非常に広域であるため計り知れない。；おそらく、下士官の自分には計り知れないほど深淵な意味なのだろう。；それは何ともいえないが、計り知れないものがあると、自分では思っている。；あの絶望的な彦島地区から人命救助したことには計り知れない価値があります。；実際にここで開発された技術が、重工業に与えた影響には計り知れないものがある。</t>
        </is>
      </c>
      <c r="J6731">
        <f>HYPERLINK("https://www.weblio.jp/content/計り知れない", "词义详情")</f>
        <v/>
      </c>
      <c r="K6731">
        <f>HYPERLINK("https://yourei.jp/計り知れない", "查看例句")</f>
        <v/>
      </c>
    </row>
    <row r="6732">
      <c r="A6732" t="inlineStr">
        <is>
          <t>測る</t>
        </is>
      </c>
      <c r="B6732" t="inlineStr">
        <is>
          <t>成功</t>
        </is>
      </c>
      <c r="C6732" t="inlineStr">
        <is>
          <t>読み方：はかる
［動ラ五（四）］《「はか」に活用語尾の付いたもの》
１（計る・測る・量る）
㋐ある基準をもとにして物の度合いを調べる。特に、はかり・ゲージなどの計測機器で測定する。「体温を—・る」「距離を—・る」
㋑推しはかって見当をつける。おもんぱかる。忖度(そんたく)する。「己をもって人を—・る」「真意を—・りかねる」
２（図る・謀る）
㋐物事を考え合わせて判断する。見はからう。「時期を—・る」「敵情を—・る」
㋑企てる。もくろむ。「自殺を—・る」
３（謀る）
㋐はかりごとをする。たくらむ。「悪事を—・る」
㋑あざむく。たばかる。「さては—・られたか」
４（図る）
㋐くふうして努力する。「再起を—・る」「利益を—・る」
㋑うまく処理する。とりはからう。「便宜を—・る」
５（諮る）相談する。「会議に—・って決める」
[補説]1㋐について、「計る」は時間・数、「測る」は長さ・高さ・深さ・広さ・程度、「量る」は重さ・容積を調べる際に使うことが多い。
[可能]はかれる</t>
        </is>
      </c>
      <c r="D6732" t="inlineStr">
        <is>
          <t>測るべからざる；測るべき；測る大型石室</t>
        </is>
      </c>
      <c r="E6732" t="inlineStr">
        <is>
          <t>評価；測定；位置づけ；位置付け；踏む</t>
        </is>
      </c>
      <c r="F6732" t="inlineStr">
        <is>
          <t>推し測る；直接測る</t>
        </is>
      </c>
      <c r="H6732" t="n">
        <v>29</v>
      </c>
      <c r="I6732" t="inlineStr">
        <is>
          <t>そのため、個人につけられた額だけでその者の強さを測ることは難しい。；やはり彼は、人間の心を金と言う物に置き換えて測っていたのだろうか。；ボールが着地した地点から円までの距離を測り、その長さが記録となる。；ここで訓練程度を測った上で、卒業者に日本の中卒相当の資格を与える。；おそらく三人とも、この発見の重要さを推し測ろうとしているのだろう。；これは、存在しない製品を発表して相手の興味を測る観測気球であった。；その光は、最初に当てたものと同じかどうかを測ってみるとそうでもない。；しかし、この場合は、測った結果がどのくらい正確かわからないですね。；木の測りかたには何通りかあり国際的に統一されているわけではない。；いずれも正確に測るため膝を曲げたり反動をつけたりすることは避ける。；それに、測り知れぬものがいったい私に何を隠しているかはわからないし。；星の運行に通じた人間でもない限り正確に東西南北だって測れやしない。；方向は大体同じに出ましたが、前に測ったときほど明瞭ではありません。；私は決して善・悪の二つの型を以てそれを測り切らうとするのではない。；写真系の課程では、テーマに沿った写真を撮影させ、その完成度を測る。；刑事はポケットから洋服屋が使うような小型の巻尺をとり出して測った。；中国滞在中に、測り知れないほど貴重な多くの写本を発見し、出版した。；きちんと練習しているかどうかで、律子に誠意を測られそうな気がする。；学測は大学入試の第一段階であり、その試験目標は下記の4点とされる。；約三尺の糸は測る度ごとに一分二分、時には寸余の相違を示すのである。；その測り知れないねうちを思ふと、彼の智力も打ち負かされてしまつた。；ほとんどこれといったことも起きなかったから、測りようがないわけだ。；しかし科学には人間が行く事の出来ない距離のところを測る特別の方法がある。；その後も君は、私がジャックのオーバーを測っているのを見たでしょう。；獲物を捕らえる際に体を左右に動かして獲物との距離を測ることが多い。；ヨーゼフが枠の長さを測っている間、エリーザベトはドアを支えていた。；彼ほどの人物になると、われわれ凡人には測りかねるところがあるんだ。；冷蔵庫の温度を測っても仕方がないので、しばらく机の上に置いておいた。；私の小さないのちが何か測り知れないものにつながれてゆくようであった。</t>
        </is>
      </c>
      <c r="J6732">
        <f>HYPERLINK("https://www.weblio.jp/content/測る", "词义详情")</f>
        <v/>
      </c>
      <c r="K6732">
        <f>HYPERLINK("https://yourei.jp/測る", "查看例句")</f>
        <v/>
      </c>
    </row>
    <row r="6733">
      <c r="A6733" t="inlineStr">
        <is>
          <t>計る</t>
        </is>
      </c>
      <c r="B6733" t="inlineStr">
        <is>
          <t>成功</t>
        </is>
      </c>
      <c r="C6733" t="inlineStr">
        <is>
          <t>読み方：はかる
［動ラ五（四）］《「はか」に活用語尾の付いたもの》
１（計る・測る・量る）
㋐ある基準をもとにして物の度合いを調べる。特に、はかり・ゲージなどの計測機器で測定する。「体温を—・る」「距離を—・る」
㋑推しはかって見当をつける。おもんぱかる。忖度(そんたく)する。「己をもって人を—・る」「真意を—・りかねる」
２（図る・謀る）
㋐物事を考え合わせて判断する。見はからう。「時期を—・る」「敵情を—・る」
㋑企てる。もくろむ。「自殺を—・る」
３（謀る）
㋐はかりごとをする。たくらむ。「悪事を—・る」
㋑あざむく。たばかる。「さては—・られたか」
４（図る）
㋐くふうして努力する。「再起を—・る」「利益を—・る」
㋑うまく処理する。とりはからう。「便宜を—・る」
５（諮る）相談する。「会議に—・って決める」
[補説]1㋐について、「計る」は時間・数、「測る」は長さ・高さ・深さ・広さ・程度、「量る」は重さ・容積を調べる際に使うことが多い。
[可能]はかれる</t>
        </is>
      </c>
      <c r="D6733" t="inlineStr">
        <is>
          <t>計るべき；計るべく；計るべから；計るといふこと</t>
        </is>
      </c>
      <c r="E6733" t="inlineStr">
        <is>
          <t>見る；思う；評価；考える；準備</t>
        </is>
      </c>
      <c r="H6733" t="n">
        <v>29</v>
      </c>
      <c r="I6733" t="inlineStr">
        <is>
          <t>この会見が終了したのは時間を計っていたようにほとんど正三時だった。；あいている窓のところへいって、窓のそばに伸びている枝の距離を計る。；自己がどれほどに自己の理想を現実にし得るかは自己自身にさえ計られん。；私が何をしようと天帝に善悪を計られるなど耳にした覚えはありません。；医師は一瞬、私の反応を計るような冷たい目をし、すぐに笑顔を作った。；計画で次にどうしてもやらねばならないことは薬の供給を計ることだ。；この新聞で見ると牛乳協定は非常に農民の利益を計って改正されている。；最高に気が高ぶった時を見計ったように、いきなり弁護士がいい放った。；そのタイミングを計るためだけに、僕は行きつ戻りつを繰り返していた。；愛の大きさを計ることができたらいいのに、と思ったことはありませんか?；此も神とも鬼ともつかぬ人間の都合よい事ばかりを計る者ではない。；そうです、私どもは結局自分のためを計るようにならざるをえないのです。；また穴同士の距離は穴の中心から計って約8cmの範囲とされている。；斯んな頭で他人に会ふと私は、更に何んな失敗を繰り返すか計られない。；時間を計って来たので、ホームに登ると、列車が到着したところだった。；それ故、社会の進歩発達を計るには先づ之を治療することが必要である。；いかなる理由で二人が都合よく記憶を欠落しているかそれは計れない。；が、これは教場以外ではいかなる場合にても、こうであろうも計られぬ。；ほかでもない、米友は今ここで計らずもお君の姿を認めたからであります。；せっかく君のために計ってやるつもりだったが、わしもこれで手をひく。；例によって時計を出して計ってみると、六分ばかり掛かって帰ってきた。；呼吸をしない人形が相手では、攻撃の間合いを上手く計れなかったのだ。；彼はそんな相手の留守を計って、ぬけぬけとあの家を利用したのだろう。；これは単純に腰掛の差違のみならずサービスの面でも差違を計っている。；その沈黙で、今計らずも立ててしまった音を消そうと思ったのである。；計らぬ悪侍が三人までも押しかけてきて、存分に家の中を荒して行った。；彼はどうしても何か外のことで収入を計らなければいけなかった。；一日一日の時間は、爺やにとっては、空にかかる太陽の動きで計られる。；それからみなに意見をきき、この場合どうすべきものか計ったのであった。</t>
        </is>
      </c>
      <c r="J6733">
        <f>HYPERLINK("https://www.weblio.jp/content/計る", "词义详情")</f>
        <v/>
      </c>
      <c r="K6733">
        <f>HYPERLINK("https://yourei.jp/計る", "查看例句")</f>
        <v/>
      </c>
    </row>
    <row r="6734">
      <c r="A6734" t="inlineStr">
        <is>
          <t>量る</t>
        </is>
      </c>
      <c r="B6734" t="inlineStr">
        <is>
          <t>成功</t>
        </is>
      </c>
      <c r="C6734" t="inlineStr">
        <is>
          <t>読み方：はかる
［動ラ五（四）］《「はか」に活用語尾の付いたもの》
１（計る・測る・量る）
㋐ある基準をもとにして物の度合いを調べる。特に、はかり・ゲージなどの計測機器で測定する。「体温を—・る」「距離を—・る」
㋑推しはかって見当をつける。おもんぱかる。忖度(そんたく)する。「己をもって人を—・る」「真意を—・りかねる」
２（図る・謀る）
㋐物事を考え合わせて判断する。見はからう。「時期を—・る」「敵情を—・る」
㋑企てる。もくろむ。「自殺を—・る」
３（謀る）
㋐はかりごとをする。たくらむ。「悪事を—・る」
㋑あざむく。たばかる。「さては—・られたか」
４（図る）
㋐くふうして努力する。「再起を—・る」「利益を—・る」
㋑うまく処理する。とりはからう。「便宜を—・る」
５（諮る）相談する。「会議に—・って決める」
[補説]1㋐について、「計る」は時間・数、「測る」は長さ・高さ・深さ・広さ・程度、「量る」は重さ・容積を調べる際に使うことが多い。
[可能]はかれる</t>
        </is>
      </c>
      <c r="D6734" t="inlineStr">
        <is>
          <t>評価；測定；位置づけ；位置付け；踏む</t>
        </is>
      </c>
      <c r="H6734" t="n">
        <v>29</v>
      </c>
      <c r="I6734" t="inlineStr">
        <is>
          <t>行為の是非を量ることができるのは天だけだが、天は我々と接触しない。；そして、思い出したように銚子を持ちあげて見てその重みを量っていた。；確に私の掌の上に載っていて、その重みを私が量ったのは何だったのか。；唐では文章によって相手がいかなる人物であるかを量る習慣があった。；本来は金や銀の質量を量る単位で、ドイツに限らず広く西欧で使われていた。；地所の面積を量るための巻尺は、命令されないでも末子が持参している。；それに、人間の行動を量るのは、ロボットの動作研究とは違います。；予め量ってあったかのように、ほとんど同じところで針は止まった。；いつもと同様なのは、人の重さをおし量るような視線のみである。；最も簡単な方法は、材料の長さを測定して重さを量ることである。；天秤にかけられていたような、その同次元の量られ方がいやだった。；これを槍へ登って行くところどころ頂上までの距離を量った杭が打ってある。；気易く職を投げだすことができるかどうか、彼は自分の心をじっと量ってみた。；心の重さを量るような量り方で、心の量を比べるような比べ方で。；諸士の行末に、どのような天恵があるかもまた量られぬことである。；礼とは心の中にあるものを表すためのもので、形によって心を量るためのものではないだろう。；試作工場には、床の一部に機体重量を量るための秤が置かれていた。；ウェイターの接客がその店のレベル・質を量るバロメーターにもなる。；その人は量を量ったりなど全然しませんでした。；此の空気や地球の重さを遊び半分で量る事が出来るのだ。；男が、客のために石油を量っていると、不意に目先で火をすったものがある。；表面というものの厚さを量ることは出来ない相談だからである。；またスウェーデンの伝承では、悪魔は人々の魂の重さを量るためにトンボを利用したと言われている。；これらの使い途は回収されたばかりの金で慎重に重さを量ったものを使って発生することが多かった。；調理用計量器とは、調理をする際に調味料などの分量を量るための道具。；あるいはそこまでやらずとも、そのポーチを手に取って重さを量ってみるだろう。；客は皆、ここで猫を定期的に量っているようだが、何か御利益でもあるのだろうか。；量る男たちは袋に詰めてごまを量ると、全部で五十アルデブに達しました。；その薬包紙に包まれた一回の服用量は薬剤師が正確に量っている。</t>
        </is>
      </c>
      <c r="J6734">
        <f>HYPERLINK("https://www.weblio.jp/content/量る", "词义详情")</f>
        <v/>
      </c>
      <c r="K6734">
        <f>HYPERLINK("https://yourei.jp/量る", "查看例句")</f>
        <v/>
      </c>
    </row>
    <row r="6735">
      <c r="A6735" t="inlineStr">
        <is>
          <t>図る</t>
        </is>
      </c>
      <c r="B6735" t="inlineStr">
        <is>
          <t>成功</t>
        </is>
      </c>
      <c r="C6735" t="inlineStr">
        <is>
          <t>読み方：はかる
［動ラ五（四）］《「はか」に活用語尾の付いたもの》
１（計る・測る・量る）
㋐ある基準をもとにして物の度合いを調べる。特に、はかり・ゲージなどの計測機器で測定する。「体温を—・る」「距離を—・る」
㋑推しはかって見当をつける。おもんぱかる。忖度(そんたく)する。「己をもって人を—・る」「真意を—・りかねる」
２（図る・謀る）
㋐物事を考え合わせて判断する。見はからう。「時期を—・る」「敵情を—・る」
㋑企てる。もくろむ。「自殺を—・る」
３（謀る）
㋐はかりごとをする。たくらむ。「悪事を—・る」
㋑あざむく。たばかる。「さては—・られたか」
４（図る）
㋐くふうして努力する。「再起を—・る」「利益を—・る」
㋑うまく処理する。とりはからう。「便宜を—・る」
５（諮る）相談する。「会議に—・って決める」
[補説]1㋐について、「計る」は時間・数、「測る」は長さ・高さ・深さ・広さ・程度、「量る」は重さ・容積を調べる際に使うことが多い。
[可能]はかれる</t>
        </is>
      </c>
      <c r="D6735" t="inlineStr">
        <is>
          <t>図るべく(3%)；図るべき；図るjpnクラシフィケーション；図るケースも見</t>
        </is>
      </c>
      <c r="E6735" t="inlineStr">
        <is>
          <t>見る；計画；予定；考える；設計</t>
        </is>
      </c>
      <c r="H6735" t="n">
        <v>29</v>
      </c>
      <c r="I6735" t="inlineStr">
        <is>
          <t>次のステップアップを図る上での基礎資格的性格を帯びているのである。；自治体行政の分散を図る観点から、ハムは住民共同体 を形成している。；逆にKBCと相図ってお互いのサービスエリアへ進出する事に成功した。；警視庁が定めたものは全国で普及し、内務省では統一化を図ろうとした。；これを防ぐためにICカード化や生体認証の導入などの対策が図られる。；事件前日の6月23日には男が娘に接触を図ろうとしたが避けられていた。；魔法の道具である花の鍵は、途中機能アップが図られたものに変更された。；これらは、県の中央部に位置していることから大会等での活用も図られます。；この事件以降に新造される巡視船艇の能力向上が図られるようになった。；また苛められる側の生徒も、なんとか自力で解決を図ろうと努力します。；信長は強硬策を用いて大河内城の攻撃を図るも失敗し、戦いは長期化した。；私利私欲を図ろうと思えば、容易にできたであろう立場にいながらである。；全てが終わり、自殺を図ろうとするテシクのもとに少女の声が聞こえる。；西口が新設され、東西に分断された街の一体化と交通渋滞の緩和を図る。；メンバーの誰もが雅史を溺愛しており、彼の死後も復活を図り暗躍する。；業団体の意思の統一が図られることが、現状ではかなり難しいと思われる。；国家に忠実な軍人達は、国連地上軍に接近し地域の安定を図ろうとした。；これに蔣介石は警戒心を抱き、編遣会議を開催して軍縮を図ろうとする。；目的が変化したのに伴い、援助の方法も軌道修正が図られたといえる。；利用者の利便を図るため、旧システムも即時廃止とはせずに併用された。；加えて日本国内向けに販売されたモデルには更なる適正化が図られた。；特に軽便鉄道が、輸送力と速度の向上を図るために実施したケースが多い。；そのため、捜査の際には警察や軍との連携を図る場合もある。；また、通信事情の悪い地域でも十分な交流を図ることができる。；これは人間に近しい火の神を介して、他の神への根回しを図る行為である。；その後明帝は皇帝の権力の強化を図るが、325年に若くして崩御した。；堺正章版との差別化を図るため、過去シリーズより大きく脚色している。；先代に引き続き北米輸出が図られたほか、新たに欧州へ輸出されている。；気象業務の健全な発達を図ることを任務とする国土交通省の外局である。</t>
        </is>
      </c>
      <c r="J6735">
        <f>HYPERLINK("https://www.weblio.jp/content/図る", "词义详情")</f>
        <v/>
      </c>
      <c r="K6735">
        <f>HYPERLINK("https://yourei.jp/図る", "查看例句")</f>
        <v/>
      </c>
    </row>
    <row r="6736">
      <c r="A6736" t="inlineStr">
        <is>
          <t>諮る</t>
        </is>
      </c>
      <c r="B6736" t="inlineStr">
        <is>
          <t>成功</t>
        </is>
      </c>
      <c r="C6736" t="inlineStr">
        <is>
          <t>読み方：はかる
［動ラ五（四）］《「はか」に活用語尾の付いたもの》
１（計る・測る・量る）
㋐ある基準をもとにして物の度合いを調べる。特に、はかり・ゲージなどの計測機器で測定する。「体温を—・る」「距離を—・る」
㋑推しはかって見当をつける。おもんぱかる。忖度(そんたく)する。「己をもって人を—・る」「真意を—・りかねる」
２（図る・謀る）
㋐物事を考え合わせて判断する。見はからう。「時期を—・る」「敵情を—・る」
㋑企てる。もくろむ。「自殺を—・る」
３（謀る）
㋐はかりごとをする。たくらむ。「悪事を—・る」
㋑あざむく。たばかる。「さては—・られたか」
４（図る）
㋐くふうして努力する。「再起を—・る」「利益を—・る」
㋑うまく処理する。とりはからう。「便宜を—・る」
５（諮る）相談する。「会議に—・って決める」
[補説]1㋐について、「計る」は時間・数、「測る」は長さ・高さ・深さ・広さ・程度、「量る」は重さ・容積を調べる際に使うことが多い。
[可能]はかれる</t>
        </is>
      </c>
      <c r="D6736" t="inlineStr">
        <is>
          <t>諮ることなく(16%)</t>
        </is>
      </c>
      <c r="E6736" t="inlineStr">
        <is>
          <t>問う；相談する；意見を求める</t>
        </is>
      </c>
      <c r="H6736" t="n">
        <v>29</v>
      </c>
      <c r="I6736" t="inlineStr">
        <is>
          <t>翌年8月31日には組合の大会で諮った上で連合会からの脱退している。；諸官に諮るといって時間を稼げば、搦め手で籠絡することもできたのに!；一応会議に諮ってみますが、私としては折角ですが賛成いたしかねます。；これはいけないと見たか、宋江がここに一案を提出してみなに諮った。；統合に賛成するといっても、それを公に諮り支持を受けているわけではないのだ。；王は外敵の侵攻の気配に心を痛めており、何か妙案はないか皆に諮る。；曹操も衛茲を異才の人物と認め、以後数度に渡り訪問して大事を諮った。；夏には社長の河島が直接用地を見たうえで、役員会に諮り正式に決まった。；ブラックバーンは当選後直ぐに州予算の均衡を諮る方法を検討し始めた。；今後のことを帝に諮るにも、その方が都合がいいからである。；けれどそれをもつと積極化して、地方文化動脈の聯立を諮つてほしいのである。；この改革案は加盟国で諮るために同年11月20日に提出されている。；鎮右始興王諮議参軍に転じたが、父が死去したため辞職して喪に服した。；警官がいろいろ問い諮しているうちに管轄署からの一行が来た。；三枝太郎は彼の愛妻にその決意を諮らないほどに自己の天分を信じていたのだろうか。；そこで教実は父の道家らと共に上皇の帰洛を幕府に諮ったが失敗に終わった。；軍機大臣を使えば議政王大臣会議に諮らずとも軍権を行使できるのである。；まもなく顕武将軍の位を受け、高陽王元雍の下で諮議参軍事をつとめた。；勿論他の閣僚と諮ったわけではなく、松岡外相単独の行動であった。；この裏切りは家臣に諮ることなく独断であったというから驚く。；ただし、五行機関は減圧下に諮ける〇度の水のように不安定な存在でもある。；現に岡崎に諮らずに独断で進めているビッグプロジェクトがいくつもある。；姻戚のものとも諮って家を掩いかぶせた其の竹や欅を伐ることにした。；その場合、懲罰委員会に諮らなければならないことが国会法に定められている。；自らの力が浸透したことを見越した上で、彼女は今後どうするべきかを百官に諮った。；憲法上に省や省諮議会の規定が残るのみであり、現在では実態を有さない。；元老院はこれが何かの予兆だと考え、デルポイに神託を諮りに使者を出した。；子の王霊福が後を嗣ぎ、南朝宋の南平王劉鑠の下で右軍諮議参軍となった。；驍騎将軍の号を受け、中軍諮議参軍となり、寧朔将軍の号を加えられた。</t>
        </is>
      </c>
      <c r="J6736">
        <f>HYPERLINK("https://www.weblio.jp/content/諮る", "词义详情")</f>
        <v/>
      </c>
      <c r="K6736">
        <f>HYPERLINK("https://yourei.jp/諮る", "查看例句")</f>
        <v/>
      </c>
    </row>
    <row r="6737">
      <c r="A6737" t="inlineStr">
        <is>
          <t>剥がれる</t>
        </is>
      </c>
      <c r="B6737" t="inlineStr">
        <is>
          <t>成功</t>
        </is>
      </c>
      <c r="C6737" t="inlineStr">
        <is>
          <t>読み方：はがれる
［動ラ下一］［文］はが・る［ラ下二］表面についていたものが離れてとれる。はげて落ちる。「化けの皮が—・れる」</t>
        </is>
      </c>
      <c r="F6737" t="inlineStr">
        <is>
          <t>薄く剥がれる</t>
        </is>
      </c>
      <c r="H6737" t="n">
        <v>29</v>
      </c>
      <c r="I6737" t="inlineStr">
        <is>
          <t>顔を下に、背を壁に向け、肉が手と腕から剥がれたかのように感じつつ。；宙を飛んだ衝撃でマスクが剥がれ、まだ若い男の顔が空をにらんでいる。；幸い、塗装は多少剥がれていたものの、その他の被害は見られなかった。；それはまるで鎧を引き剥がれて裸身をさらしているような状態であった。；塗装はほとんど剥がれていて、もとの色がどんなだったのかもわからない。；磨かれ整えられて、そして、皮が一枚剥がれたように女に近づいていた。；その大穴を台風の目にして、周りの石畳が紙のように剥がれ飛んでいた。；昨夜村境で発見した惨殺死体は、面の皮を剥がれているので何者か判らぬ。；木が枯れるとこの部分が早くに崩壊し、樹皮と材とが剥がれやすくなる。；それと一緒に、自分の心の中からボロボロと何かが剥がれていくのが分かる。；俺を取り巻いていたなにかが、どんどんと剥がれていった瞬間でもあるのだ。；定九郎は今また、自分のあるべき姿がひとつ、剥がれ落ちたことを知った。；灯りを照らしてよく見ると、自分の足の指の爪が剥がれているだけだった。；同じ格好の男は逆立ちの姿勢で壁に貼りつき、足から剥がれて床へ落ちた。；表札の剥がれた家である三十三番地の登記簿は次のようになっていた。；杖にしている木の枝には赤裸に皮を剥がれた蝮が縛りつけられている。；その爪は剥がれかけていて、先輩の呼吸は車のエンジンみたいに乱れている。；消防署の建物の屋根が剥がれ、大型の金属製ボート保管棟も破壊された。；漆喰の塀は多くが剥がれ落ち、門の先に古いモルタルのアパートがある。；大気圏突入の衝撃でほとんど剥がれ落ちてたけどわずかに被膜が残ってた。；翼から空気の流れが剥がれ渦が生じて、失速する現象をストールという。；指と指に力がこもると、めりめりと猛烈な音が起こって、床が剥がれた。；巨大な岩山全体が震動し、縁からいくつもの塊が剥がれ落ちていった。；そればかりか液体金属が剥がれ落ちて骨格だけの状態になってしまう。；本種も同属他種と同様に極めて剥がれやすい皮膚を持つことがわかっている。；剥がれなくても、自然にできるような傷などで紛らわしくなるようでは困る。；オカマ趣味の猫脚の家具は引きずられるたびに金メッキが剥がれていた。；まるで本のページのように剥がれていくバージェス頁岩が見られる。；だが初期形態への攻撃を続けると、全身の岩が剥がれ第二形態である真の本体が現れる。</t>
        </is>
      </c>
      <c r="J6737">
        <f>HYPERLINK("https://www.weblio.jp/content/剥がれる", "词义详情")</f>
        <v/>
      </c>
      <c r="K6737">
        <f>HYPERLINK("https://yourei.jp/剥がれる", "查看例句")</f>
        <v/>
      </c>
    </row>
    <row r="6738">
      <c r="A6738" t="inlineStr">
        <is>
          <t>破棄</t>
        </is>
      </c>
      <c r="B6738" t="inlineStr">
        <is>
          <t>成功</t>
        </is>
      </c>
      <c r="C6738" t="inlineStr">
        <is>
          <t>読み方：はき
［名］(スル)
１破り捨てること。「不要な資料を—する」
２契約・取り決めなどを一方的に取り消すこと。
３事後審査を行う上級裁判所が、上訴に理由があるとして原判決を取り消すこと。</t>
        </is>
      </c>
      <c r="D6738" t="inlineStr">
        <is>
          <t>破棄する(10%)；破棄される(5%)；破棄できる；破棄しよ；破棄差戻し</t>
        </is>
      </c>
      <c r="E6738" t="inlineStr">
        <is>
          <t>廃止；撤退；解消；撤去；中断</t>
        </is>
      </c>
      <c r="F6738" t="inlineStr">
        <is>
          <t>全て破棄；すべて破棄；同盟破棄；事実上破棄；一方的破棄</t>
        </is>
      </c>
      <c r="G6738" t="inlineStr">
        <is>
          <t>破棄院；破棄差し戻し</t>
        </is>
      </c>
      <c r="H6738" t="n">
        <v>29</v>
      </c>
      <c r="I6738" t="inlineStr">
        <is>
          <t>こうした事情から両者の対立が続いたため、与党三党は合意を破棄した。；機体を予備機へと変更したい場合は変更前の機体を破棄しなければならない。；また、初期の作品は大部分が本人によって破棄されたといわれている。；これら1960年代の様々な試みの後、最終的には不確定性を破棄した。；事実の確定について違法があったことを理由に原判決を破棄できない。；社内に残っていたXウイングのデータは全て破棄されたとされている。；製造された真空管の半分が破棄されることはよくあることだった。；東西方向の高速道路はのみで、過去に持ち上がったとの計画は破棄された。；ある伝記作家は婚約者に婚約を破棄された時に受けた衝撃を示唆した。；この日に4テイク録音されたものの、この日に録音されたものは破棄された。；だが機関部が無事であったためこの船は破棄せず改修して引き渡されることとなった。；デストラクタを利用することで例外が発生しても確実に破棄することが可能となる。；この事件の責任を取らされる形で閉門処分となり、加増の約束も破棄された。；この時期の作品は残っておらず、作者自身によって破棄されたとも言われている。；なお、このわずか数時間前にフロンティア航空との合併計画を破棄している。；追放先で詠んだ部分は彼自身の手で破棄されたと考えられている。；しかし、クラブ側の強化戦略などに不満を抱き、9月24日に契約を破棄。；この序曲群もオリジナル版は散逸或いは破棄されたと考えられている。；だがこれを存続すればアメリカから誤解を受け、これを破棄すれば日本から誤解を受ける。；同年オフにチームから翌年の契約オプションを破棄されFAとなった。；これに依頼主の家族は怒り、結局仕事は破棄されたという。；自分が勝つ自信があれば、参加してもよいが、自信がなければ破棄した方がよい。；彼女がそれを破棄するのではと考えたからである。；やめた場合はアイテムを獲得するが、次の戦いで負けた場合は今まで獲得したアイテムは破棄される。；クノップフはこの仕事を引き受けたが、後にその作品は破棄している。；キリスト教内の異端的文書を除いて意図的に破棄されることはなかったとされている。；また、分泌液が付着した衣服は脱臭が困難なため、破棄せざるを得ない。；しかし、終戦時に多くの資料が破棄されているため、地震の詳細は不明な点も多い。；繰り返される測定値は平均化され、外れ値の測定値は破棄されます。</t>
        </is>
      </c>
      <c r="J6738">
        <f>HYPERLINK("https://www.weblio.jp/content/破棄", "词义详情")</f>
        <v/>
      </c>
      <c r="K6738">
        <f>HYPERLINK("https://yourei.jp/破棄", "查看例句")</f>
        <v/>
      </c>
    </row>
    <row r="6739">
      <c r="A6739" t="inlineStr">
        <is>
          <t>吐き気</t>
        </is>
      </c>
      <c r="B6739" t="inlineStr">
        <is>
          <t>成功</t>
        </is>
      </c>
      <c r="C6739" t="inlineStr">
        <is>
          <t>読み方：はきけ
胃の中の物を吐きそうになる感じ。非常に不快な気持ちについてもいう。むかつき。「—を催す」「声を聞いただけで—がする」</t>
        </is>
      </c>
      <c r="D6739" t="inlineStr">
        <is>
          <t>吐き気を催させる；吐き気止め；吐き気をもよおさせる</t>
        </is>
      </c>
      <c r="E6739" t="inlineStr">
        <is>
          <t>むかむか；悪心；吐気；嘔気；むかつき</t>
        </is>
      </c>
      <c r="F6739" t="inlineStr">
        <is>
          <t>猛烈な吐き気；激しい吐き気；強い吐き気；強烈な吐き気；ひどい吐き気</t>
        </is>
      </c>
      <c r="H6739" t="n">
        <v>29</v>
      </c>
      <c r="I6739" t="inlineStr">
        <is>
          <t>またさっきのような吐き気のする戦いをしなければならないのだろうか。；彼女も懸命に吐き気をこらえているようすがその口の動きで見てとれた。；けれど本当に吐き気がしていたので、トイレに入って水で顔を冷やした。；朝になって登校しなくてはいけない時間が近づくと吐き気や頭痛がする。；あたしも二〇年刑事やってますが、さすがにあれには吐き気がしましたよ。；そのとき以来ぼくは女の裸を思い出すと吐き気がするようになったのです。；だが通常空間に出るときの、めまいと吐き気はいつもと変わらなかった。；吐き気はしなかったが、コーヒーや濃いお茶は飲む気がしなくなった。；彼がその吐き気の話をしてくれたのはそんな交換会のあとだった。；あれの肉体を愛撫した君の手にさわることを思うと僕は吐き気がするんだ。；すでにめまいと吐き気に見舞われていて、立っているのがやっとだった。；吐き気がして頭に血が上っているのは、もはや無重量のせいだけではない。；出るものはすでになんにもないのに、激しい吐き気だけがつづいている。；篠原は吐き気にも似た怒りを隠しながら、その生徒のそばに歩み寄った。；毎日が二日酔いなので、まず歯を磨いている時に軽い吐き気に襲われる。；ぼくはひどく腹が空いているにもかかわらず、それを見ると吐き気がした。；それなのに、どういうわけか、彼はひどい吐き気を感じていたのである。；月を見上げただけで、目がくらみ、吐き気がしたほど、疲れきっていた。；頭の痛みと吐き気のせいで、よく考えることもできなくなっていた。；妊娠時の朝の吐き気と銀行強盗を、いっしょにするのはちょっと無理ね。；症状のある患者の大部分は吐き気を感じたために薬を中止した。；胸に手をあてて、玉蓮は、しばらく吐き気をこらえているようであった。；吐き気や同情の念を催させるよりも、もっと特別な目的があるのでね。；また舌の奥に指を入れたりして吐き気を催すことを「嘔吐反射」という。；授業が始まってすぐ、男子生徒のひとりが吐き気がすると言い出しました。；痛みが続く時や痛みとともに吐き気などが続く場合は病院を受診すること。；法子は急に吐き気にも近いものを感じて、その話題は出したくないと思った。；吐き気は治まらず、頭はグラグラで、一人で立つ事さえできなかったが。；流れて行く列車を追おうとしたが、吐き気がぶりかえして喉がつまった。</t>
        </is>
      </c>
      <c r="J6739">
        <f>HYPERLINK("https://www.weblio.jp/content/吐き気", "词义详情")</f>
        <v/>
      </c>
      <c r="K6739">
        <f>HYPERLINK("https://yourei.jp/吐き気", "查看例句")</f>
        <v/>
      </c>
    </row>
    <row r="6740">
      <c r="A6740" t="inlineStr">
        <is>
          <t>はきはき</t>
        </is>
      </c>
      <c r="B6740" t="inlineStr">
        <is>
          <t>成功</t>
        </is>
      </c>
      <c r="C6740" t="inlineStr">
        <is>
          <t>［副］(スル)
１話し方・態度・性格・行動などがはっきりしているさま。「質問に—（と）答える」「—した振る舞い」
「ぱっちりとさめている母は—万端の事務をさばいて」〈蘆花・思出の記〉
２考え方がはっきりしているさま。歴然としているさま。
「矢っ張り頭が—しません」〈三重吉・千鳥〉</t>
        </is>
      </c>
      <c r="D6740" t="inlineStr">
        <is>
          <t>はきはきと答え(7%)</t>
        </is>
      </c>
      <c r="E6740" t="inlineStr">
        <is>
          <t>明るく；盛んに；活発；生き生きと；きびきび</t>
        </is>
      </c>
      <c r="H6740" t="n">
        <v>29</v>
      </c>
      <c r="I6740" t="inlineStr">
        <is>
          <t>名前をしっかり呼んで、はきはきと喋ればよかったのだと彼は気づいた。；目が見えて態度のはきはきした女は少年の頃から決して太十の相手ではなかった。；私が戸惑っていると、彼は突然、別人のようなはきはきした声をだした。；もう一度顔をあげたときには諦めたように、ややはきはきとものを言った。；それから合格したというようににこりと笑い、はきはきした声で言った。；高等学校へでもはいったら、もっとはきはきするかと思ったけれど。；ほとんど喜んでいるかのようなはきはきした口調で答えて頷いた。；院長が言葉をかけると、実にはきはきした調子で受けこたへをする。；やがて姿を見せないで遠くから、はきはきした男の声がいった。；そうしてそれをはきはきして居なければ居る事は出来ない。；同じように白い息をはきはき、大勢の男や女が勤めへ向って急ぎ足で歩いている。；ドアが開くと、はきはきした感じのするずんぐりした白服の女が入ってきた。；その声はいつもよりはきはきしているように友彦には聞こえた。；この頃の子供は義務教育などで早熟されていないから、誰もはきはきと物がいえない。；久しぶりでも一発でわかる、印象的な声とはきはきした自信に満ちた喋り方だ。；口を利くのもはきはきしていれば、寝返りをするのも楽そうだった。；昨夜ははきはきした少年に見えたのに、精神的なトラブルでも抱えているのだろうか。；「はい、署長殿」警官ははきはきと答え部屋に風を残して出て行った。；その機敏さは性格にも現われているようで、はきはきとした明朗な若者である。；無口で余りはきはきしない、学問のない、然し誠に美しい田舎娘だった。；思ったことは、後からどうなってもはきはきとしてしまう。；いくらか昂奮はしているが、しっかりした調子で、はきはきと次のように云った。；木村はそのくらいな事で葉子から手を引くようなはきはきした気象の男ではない。；あんたは生きているときもはきはきした人じゃなかったが、死んでしまった今もまるではっきりしない。；いきなりグレーテは父親の胸へ頭をうずめて、はきはきしない声で応えた。；田舎者にしては、ジュリヤンの言葉はわりあいにはきはきしていた。；吉口さんは、見た目の印象とは異なるはきはきとした喋り方で答えた。；どこで舟を下り、どこから歩いたか、はきはきした口調で話し出す。；「ぼくは新聞協会の者なんだけれども」と、その若い男ははきはきした口調で言った。</t>
        </is>
      </c>
      <c r="J6740">
        <f>HYPERLINK("https://www.weblio.jp/content/はきはき", "词义详情")</f>
        <v/>
      </c>
      <c r="K6740">
        <f>HYPERLINK("https://yourei.jp/はきはき", "查看例句")</f>
        <v/>
      </c>
    </row>
    <row r="6741">
      <c r="A6741" t="inlineStr">
        <is>
          <t>履物</t>
        </is>
      </c>
      <c r="B6741" t="inlineStr">
        <is>
          <t>成功</t>
        </is>
      </c>
      <c r="C6741" t="inlineStr">
        <is>
          <t>読み方：はきもの
靴・サンダル・下駄・草履など足に履く物の総称。</t>
        </is>
      </c>
      <c r="D6741" t="inlineStr">
        <is>
          <t>履物屋(4%)；履物店；履物をはい；履物商；履物入れ</t>
        </is>
      </c>
      <c r="E6741" t="inlineStr">
        <is>
          <t>靴；下足；履き物；履きもの；はき物</t>
        </is>
      </c>
      <c r="H6741" t="n">
        <v>29</v>
      </c>
      <c r="I6741" t="inlineStr">
        <is>
          <t>靴はそれ以外の履物に比べ覆う面が多いため、足を保護する効果が高い。；座敷の上がり口の前には、例の青年の靴以外に二足の履物が並んでいた。；女性親は男がすぐに帰ってしまわないよう男の履物を抱いて眠ったという。；私はもう上気していて、履物を脱いでしまったような気持になっていた。；梯子段の下には、さっきと同じように男女の履物が揃えて置かれてある。；男は、玄関の履物入れの上に懐中電灯が置かれているのを知っている。；なお、似たような履物は温暖な気候をしている地域では、よく見られる。；そして女は、外に立っているのに、履物はくのを忘れて平気でいるのよ。；履物を内に入れ、袖も出さずにいると、どうみても心にくい程の女車である。；きちんと脱いだ履物の上に、風呂敷に包んだままで置かれていたという。；猿の拇指のように持ち上った足指を二つに分けている鼻緒のついた履物。；部屋では履物を脱ぎ、畳に座る日本人の伝統的な生活文化の一形態である。；それは年の頃五十あまりの履物も着物も新しい、温厚な男であった。；両親は望み通りの男性であれば、その男性を家にあげるや否や履物を隠しさえした。；履物の材料として、まず最初に排除されなければならないのが木材なのだ。；履物を換えたわずかの間に、F1号は着替えの用意を整えて待っていた。；みちがあまりに動かないので気になったのか、隣の履物屋からひとが出てきた。；足に合わない履物などをむりして履いていると、できやすいように思う。；履物の一つが妻の物であることを慥かめてから、銕太郎は奥へ呼びかけた。；いまは履物がどうのとかいってられる状況じゃないのですよ。；体育館の扉を開けると入口は履物で埋めつくされたようになっていた。；二人は約束して姉妹となって、書物も履物も互いに取りかえて着けた。；幸太郎のために履物を整理する気持はなかったし、その義務もない。；お膳の用意は母がするから、といわれて、私は玄関で履物の始末をしていた。；そうして例の通り下女を呼んで下駄箱にしまってある履物を出させようとした。；履物の下駄に近い形状のものとかんじきのような形状のものがある。；下駄の知識のない人がこれを見て、はたしてこれを履物と考えるであろうか。；だが履物屋をしているクメの家の店先から訪れることはためらわれた。；ついで履物店を開業するが洋物店の二の舞を踏み1年半ほどで閉店した。</t>
        </is>
      </c>
      <c r="J6741">
        <f>HYPERLINK("https://www.weblio.jp/content/履物", "词义详情")</f>
        <v/>
      </c>
      <c r="K6741">
        <f>HYPERLINK("https://yourei.jp/履物", "查看例句")</f>
        <v/>
      </c>
    </row>
    <row r="6742">
      <c r="A6742" t="inlineStr">
        <is>
          <t>波及</t>
        </is>
      </c>
      <c r="B6742" t="inlineStr">
        <is>
          <t>成功</t>
        </is>
      </c>
      <c r="C6742" t="inlineStr">
        <is>
          <t>読み方：はきゅう
［名］(スル)物事の影響が波のように徐々に広がること。「暴動が全国に—する」</t>
        </is>
      </c>
      <c r="D6742" t="inlineStr">
        <is>
          <t>波及すること(5%)；波及効果；波及しやすい；波及力；波及する可能性</t>
        </is>
      </c>
      <c r="E6742" t="inlineStr">
        <is>
          <t>影響；普及；広がる；流通；伝わる</t>
        </is>
      </c>
      <c r="G6742" t="inlineStr">
        <is>
          <t>波及地震</t>
        </is>
      </c>
      <c r="H6742" t="n">
        <v>29</v>
      </c>
      <c r="I6742" t="inlineStr">
        <is>
          <t>初めにイギリスで人気に火がつき、翌1975年にアメリカに波及した。；MeToo運動の影響は映画界だけではなく政治の世界にも波及した。；それがドイツにも波及する形で3月にはベルリンで3月革命が発生した。；それが全国に波及して五・四運動といわれる反帝国主義運動に発展した。；何処で小競り合いが起こっても、Dたちの場所まで波及してこないのだ。；もはや市中には銃声は聞えないが、急速に地方へ波及しつつあるらしい。；裁判官たちはこれを誤審と呼び、他の裁判へと波及することはなかった。；このように宮廷内の審美傾向がしばしば文化全体に波及していったのである。；過激思想の波及ということも、世界一般を恐怖させているのであります。；その外がわはきゅうな斜面で、はいってくる道は、ほかにどこもなかった。；外の経済状態が刑務所の中まで波及するのには、何年かかかるのでしょう。；この行為は今後、他の日本の企業に波及する恐れがあるとされている。；全体に賃上げの確保はなるも、広い波及が期待できるほどにはならず。；今日ではさまざまな知見が得られていて他の分野に波及している。；その波及するところを憂うるならば、国民はここで抵抗する必要あり。；手話通訳の制度が誕生するきっかけとなり、やがて全国に波及していった。；第二次大戦後になると、経済変動の二次的波及を受ける地域となっている。；兵乱はようやく京を離れて、分国諸領に波及しようとする兆しが見える。；この余波が他の部門にどのように波及するかは今後の問題である。；ドイツ自身の欠乏と混乱とがこんな所までも波及しているかという気がする。；本作はその流行がゲーム業界に波及した作品のひとつである。；これらの表示方法は他の営業所にも多少変更しつつ波及している。；これらのスペース・ウェスタンへの批判はスペースオペラにも波及した。；主に中国でしか通用しないような常識が外国まで波及した時などに使用される。；これは度々議論の対象となり、他の案件にまで波及することがあった。；この動きは他の都市にまで波及し、多くのユダヤ人が迫害を受けた。；女の子が近づいていくと、そのなにかはきゅうに声をあげました。；このような変化はまずアメリカで現れ、ヨーロッパにも波及した。；同様に宇宙開発の過程で蓄積された高度技術は産業分野への波及が期待される。</t>
        </is>
      </c>
      <c r="J6742">
        <f>HYPERLINK("https://www.weblio.jp/content/波及", "词义详情")</f>
        <v/>
      </c>
      <c r="K6742">
        <f>HYPERLINK("https://yourei.jp/波及", "查看例句")</f>
        <v/>
      </c>
    </row>
    <row r="6743">
      <c r="A6743" t="inlineStr">
        <is>
          <t>破局</t>
        </is>
      </c>
      <c r="B6743" t="inlineStr">
        <is>
          <t>成功</t>
        </is>
      </c>
      <c r="C6743" t="inlineStr">
        <is>
          <t>読み方：はきょく
事態が行き詰まって、関係・まとまりなどがこわれてしまうこと。また、その局面。悲劇的な終局。「結婚生活が—を迎える」
[補説]書名別項。→破局</t>
        </is>
      </c>
      <c r="D6743" t="inlineStr">
        <is>
          <t>破局的(5%)；破局後；破局寸前</t>
        </is>
      </c>
      <c r="E6743" t="inlineStr">
        <is>
          <t>難；壊滅；災害；破滅；災難</t>
        </is>
      </c>
      <c r="F6743" t="inlineStr">
        <is>
          <t>大破局；決定的な破局；おそろしい破局；破局的噴火；意外な破局</t>
        </is>
      </c>
      <c r="G6743" t="inlineStr">
        <is>
          <t>破局報道</t>
        </is>
      </c>
      <c r="H6743" t="n">
        <v>29</v>
      </c>
      <c r="I6743" t="inlineStr">
        <is>
          <t>そして彼らは、あまりにも急激に大破局が訪れたことを知ったのである。；誰もが望まぬままに破局に向かっていくと知る者は神以外にはいやしない。；その勇気ある行動には多くの共感の声が寄せられたが2000年に破局。；防御を持たぬ大地は破局がやってくるのをただ待っているだけであった。；しかし最後の破局が来るまでには彼はなお二つの遠征を遂行している。；家の中に男が二人いるようなもので、その結婚はやっぱり破局を迎えたのだ。；司令官がきみに首ったけになれば、そのときその場で破局が起こるのだ。；世界の破局が避けられない事実なら、こんなところでそれを迎えるのは嫌だ。；それは一つの事件として、ある破局へ向って、着々と進行していたのだ。；その満軍が、何故、破局への道連れにされなければならないのであるか。；そして無意識のうちにそのあとのわたしの破局の基礎を作ったのだ。；ツアーではステージでキスすることもあったが破局するしかなかったという。；妻の過去の歪みを知らされたことが、夫婦破局の遠因だったはずである。；二人の諍いはいくら烈しく繰返されても、破局を避けているのであった。；この破局は、わたしの生涯をふたつのすっかりちがった部分に分かった。；ああこうの末が一場の悲喜劇となって破局の手前にまで達したらしい。；彼は、恋人と破局寸前であるが、彼女はプレーを見に来てくれていた。；やがて、二人はある晩関係をもったが、次の日には価値観の相違から破局。；同作では破局の危機にある夫婦を元夫のバンジャマン・ビオレと演じている。；もしかすると、来たるべき破局を、すでに予感していたのかもしれない。；そうした一大破局がおこることを、彼ははるか前から待望していたのだ。；ふたりの恋は画期的な好転もしないかわりに、決定的な破局も訪れない。；また、12月には交際していたと破局していたことが明らかになった。；破局のときには、S子はちゃんと手切れ金のようなものをせしめていた。；賀子珍がそれまで必死に守ってきた家庭生活はここで破局をむかえた。；なぜかといえば、彼にはこの全然新しい事態がどうやら破局を予想させたからだ。；そして現実に家の経済は破局に近付き、それを捨て置いてのN行だった。；が、事件の破局を見るために、そんなに待っている必要はありませんでした。；が、事件の破局を見るために、そんなに待つてゐる必要はありませんでした。</t>
        </is>
      </c>
      <c r="J6743">
        <f>HYPERLINK("https://www.weblio.jp/content/破局", "词义详情")</f>
        <v/>
      </c>
      <c r="K6743">
        <f>HYPERLINK("https://yourei.jp/破局", "查看例句")</f>
        <v/>
      </c>
    </row>
    <row r="6744">
      <c r="A6744" t="inlineStr">
        <is>
          <t>歯切れ</t>
        </is>
      </c>
      <c r="B6744" t="inlineStr">
        <is>
          <t>成功</t>
        </is>
      </c>
      <c r="C6744" t="inlineStr">
        <is>
          <t>読み方：はぎれ
１歯でものをかみ切るときの感じ。「—のよい漬け物」
２言葉の発音や調子がはっきりしている度合い。「—の悪い弁解」</t>
        </is>
      </c>
      <c r="D6744" t="inlineStr">
        <is>
          <t>歯切れのいい(19%)；歯切れのよい(14%)；歯切れの悪い(12%)；歯切れの良い(8%)；歯切れよく(6%)</t>
        </is>
      </c>
      <c r="F6744" t="inlineStr">
        <is>
          <t>歯切れのいい口調</t>
        </is>
      </c>
      <c r="H6744" t="n">
        <v>29</v>
      </c>
      <c r="I6744" t="inlineStr">
        <is>
          <t>その歯切れのよい口調には、何かしら耳なれた響きがあったではないか。；朝から秋葉ともいろいろあったし、先輩も今日はなんだか歯切れ悪いし。；その代わり彼女の薄い唇からは、歯切れのいい言葉が次々と生まれる。；口のきき方が歯切れよく、なにかびっくりしたような大きな目をしていた。；受話器からは、元気な調子で、二人の歯切れのいいことばが響いてきた。；もうひとつ、場内アナウンスの女性の声が澄んでいて歯切れがいいこと。；さらに味や歯切れもよいので、食用きのことして各地で利用されている。；明快な文章や、歯切れの良い調子が、私を夢中にしたといってもよい。；五人とも野球解説で知るかぎり歯切れのいいほうではなかった。；やがて、決心がつかないまま口に出てしまったという歯切れの悪さで言った。；それは歯切れのいい鉱物の青だったが、彼は太い筆でうねりをつけた。；すると彼は歯ぎれの悪い調子で、半ば気のないような握手のしかたをした。；福島淳一は歯切れのいい言葉と、いかにも昂揚した表情で大声に語った。；舌もよく動き、ブアッブアッと歯切れのいいベースも気分よく入った。；しかし、浅見を警戒する気分が働いているのか、歯切れの悪い感じがする。；顔を横にしっかりと振ってみせて、 「違いますよ」 歯切れ良く言った。；歯切れよい返事を繰り返していたユリの口から言葉が徐々に途切れていった。；いつもは何事も堂々とした態度で話すのに、今はやけに歯切れが悪い。；一瞬だが、声をきいたかぎりでは意外に若々しく、歯切れもよかった。；どちらが正しいとも言えず、どちらにも歯切れの悪い不快さが残る。；彼女は僕が何か指示をするたびに「はいっ」と歯切れよい大きな声で返事をする。；TVのNHK杯などの解説では歯切れのいい「梶原節」が人気を呼んだ。；歯切れのいい東京の言葉で喋りよったから、関西の生まれやあらへん。；ことわるにしても、彼らしくなく、あまり歯切れのよい返事ではなかった。；自分が何か悪いことでもしているような歯切れの悪さだった。；「回復した者の報告もはいっています」 デスドラの声が歯切れよくなった。；という歯切れのいい効果音に乗って、光のリングがホーンを中心に拡散。；ぱん、と歯切れのいい音が響き、棒が根元を中心に薄べったく展開した。；気まずい沈黙が続いたあと、芥川くんは歯切れの悪い声でつぶやいた。</t>
        </is>
      </c>
      <c r="J6744">
        <f>HYPERLINK("https://www.weblio.jp/content/歯切れ", "词义详情")</f>
        <v/>
      </c>
      <c r="K6744">
        <f>HYPERLINK("https://yourei.jp/歯切れ", "查看例句")</f>
        <v/>
      </c>
    </row>
    <row r="6745">
      <c r="A6745" t="inlineStr">
        <is>
          <t>穿く</t>
        </is>
      </c>
      <c r="B6745" t="inlineStr">
        <is>
          <t>成功</t>
        </is>
      </c>
      <c r="C6745" t="inlineStr">
        <is>
          <t>読み方：はく
［動カ五（四）］
１（穿く）衣服などを、足先から通して下半身につける。「ズボンを—・く」「袴(はかま)を—・く」
２（履く）履物を足につける。「靴を—・く」「たびを—・く」
３（佩く・帯く）刀・矢などを腰につける。身に帯びる。「太刀を—・く」
[可能]はける
［動カ下二］（佩く・帯く）腰につけさせる。
「一つ松人にありせば太刀—・けましを」〈記・中・歌謡〉</t>
        </is>
      </c>
      <c r="D6745" t="inlineStr">
        <is>
          <t>つける；着用；着く；着る；帯びる</t>
        </is>
      </c>
      <c r="H6745" t="n">
        <v>29</v>
      </c>
      <c r="I6745" t="inlineStr">
        <is>
          <t>ほんにまあ、このやうな靴をば宿の妻に穿かせることが出来ましたなら!；私は側にあった布切れを彼に与えておき、靴下を二枚重ねて足に穿いた。；黒いシャツにジーパンを穿いた男は、僕がいることには気づかなかった。；袴は一重のがなかつたから、家へ行つて、父か兄かのを穿く事に極めた。；敬太郎はまた例の袴を穿きながら、今度こそ様子が好さそうだと思った。；袴は一重のがなかったから、家に行って、父か兄かのを穿く事に極めた。；私は側にあつた布切れを彼に与へておき、靴下を二枚重ねて足に穿いた。；慌てて家を出て来たせいで、靴下も左右違うのを穿いて来てしまった。；その真珠はもう穴を穿けてつなぐより他にどうすることもいらないのだ。；ゴム靴を穿いているので、ぼくが降りてきたことに二人は気づかなかった。；バック・スキンの良い靴を穿いているが、おそらく向うの製品であろう。；それは中学生の僕が足に穿いている兵隊靴のようなものかもしれなかった。；それは私の家にある、お前の穿き古るしたスリッパアにそっくりなのだ。；靴を穿かうとすると、他人のと間違へたのではないかと思ふ位だぶだぶだ。；僕の穿いていた一円の下駄が割れたら十二銭のやつを買って穿かせました。；僕の穿いていた一円の下駄が割れたら十二銭のやつを買って穿かせました。；誰だってこんな下駄を穿いているのは気持がよくありませんからな。；何でも十六の歳に、薩摩下駄を穿いて、一日に横浜を往復した事があつた。；一番に到着したものが、紫の猿股を穿いて婦人席の方を向いて立つてゐる。；現場に落ちていたあの足駄は間違いもなく自家から穿いて行ったもの。；あなたのいつも穿いている小型ラバソールのあとを残したのも残念でしたね。；これが誰にでも穿ける靴ならば、わたしもこんなことを言いたくはありません。；みんなで着いたいな、 みんなで穿きたいな、 みんなで乗りたいな。；ただし、「こっち穿くなら一万上乗せしてあげる」と社長は言っていた。；靴を穿こうとすると、他人のと間違えたのではないかと思う位だぶだぶだ。；全身真っ黒で、鼻の頭と四本の足の先が足袋を穿かせたように白かった。；復員のとき持って帰った古靴だが、もう穿けないという程のものではない。；母は、私がショートパンツを穿いていることに気づいていないのだと思った。；上に上って来るのを見ると袴を穿いて風呂敷包みを脇に抱えて居る。</t>
        </is>
      </c>
      <c r="J6745">
        <f>HYPERLINK("https://www.weblio.jp/content/穿く", "词义详情")</f>
        <v/>
      </c>
      <c r="K6745">
        <f>HYPERLINK("https://yourei.jp/穿く", "查看例句")</f>
        <v/>
      </c>
    </row>
    <row r="6746">
      <c r="A6746" t="inlineStr">
        <is>
          <t>履く</t>
        </is>
      </c>
      <c r="B6746" t="inlineStr">
        <is>
          <t>成功</t>
        </is>
      </c>
      <c r="C6746" t="inlineStr">
        <is>
          <t>読み方：はく
［動カ五（四）］
１（穿く）衣服などを、足先から通して下半身につける。「ズボンを—・く」「袴(はかま)を—・く」
２（履く）履物を足につける。「靴を—・く」「たびを—・く」
３（佩く・帯く）刀・矢などを腰につける。身に帯びる。「太刀を—・く」
[可能]はける
［動カ下二］（佩く・帯く）腰につけさせる。
「一つ松人にありせば太刀—・けましを」〈記・中・歌謡〉</t>
        </is>
      </c>
      <c r="D6746" t="inlineStr">
        <is>
          <t>つける；着用；着く；着る；帯びる</t>
        </is>
      </c>
      <c r="H6746" t="n">
        <v>29</v>
      </c>
      <c r="I6746" t="inlineStr">
        <is>
          <t>昔はそうでもなかったけど、今ではほとんど履くことがなくなっていた。；中の靴を水や泥から守り、足を濡れないよう保護する為に履く靴である。；玄関にある靴が姉の履いていたものに似ていたから、そう彼は言いました。；彼はストッキングを履き、大きなポケットのついた灰色の服を着ていた。；国中の女に試させたが、誰一人として履くことのできる者がいなかった。；普段の彼女は扁平な底の靴を履き、髪をうしろでひとつにまとめていた。；校舎の中に入ったら、別の場所で上履きに履き替えて別の教室に向かう。；法外な値で買わされたが、それを履いた彼はいかにも得意そうであった。；靴ひとつ履くのも億劫になるし、濡れたものを乾かすのも容易ではない。；靴を履いた人間がここへ入って来たとすると、これは大変なことになります。；現代の生活では下駄を履き慣れないため、転んで怪我をする場合もある。；サンダル自体が動くため、履いている本人は何もせず歩行や走行が可能。；たとえ客であっても家の中で靴を履くことは失礼にあたると考えられている。；母親はこれに白い靴下を履かせようとしたが、父親は黒だと主張した。；向こうではあまり使わない固定式のスパイクを履くことになりそうだ。；それは小径の方に向いてヌッと伸びている靴を履いた一本の足だった。；その靴を履いたネッサローズは、たちまち歩くことが出来るようになる。；優勝したのは飯塚の桝崎正で、ただ一人雨タイヤを履いて出走していた。；私は子供用の小さな靴を履いて、はるか高い坂の上を見上げていた。；ちょっとしかめっ面だが、ちゃんと部屋履きをはいてベッドから下りた。；京都に普段履きの自動車、鈴鹿にレース用の自動車を持っているのだとか。；靴を履く時にかかとに当てて、靴に足を入りやすくするために用いられる。；五人とも、この夏初めての浴衣を着て、下ろし立ての下駄を履いていた。；履き古していたが、それも重左が長崎から買って来てくれたものである。；両親の事など気にせずに堂々と階段を下りた舞は、玄関に座って靴を履く。；スカートの下は師匠の言葉を受けて昨日買ったスパッツを履くことにした。；中山さんは早くも靴を履いて外に出かけていたので見もしないし聞えもしない。；規格品の靴を履いた場合、誰もが足に無理な負担をかけているんだそうです。；その当時を知る人からは「草履を履いてきたんだよね」と言われるという。</t>
        </is>
      </c>
      <c r="J6746">
        <f>HYPERLINK("https://www.weblio.jp/content/履く", "词义详情")</f>
        <v/>
      </c>
      <c r="K6746">
        <f>HYPERLINK("https://yourei.jp/履く", "查看例句")</f>
        <v/>
      </c>
    </row>
    <row r="6747">
      <c r="A6747" t="inlineStr">
        <is>
          <t>掃く</t>
        </is>
      </c>
      <c r="B6747" t="inlineStr">
        <is>
          <t>成功</t>
        </is>
      </c>
      <c r="C6747" t="inlineStr">
        <is>
          <t>読み方：はく
［動カ五（四）］
１箒(ほうき)でごみを払い除く。そうじをする。「部屋を—・く」
２（刷く）はけや筆などでさっと塗る。「紅を—・く」
３蚕の掃き立てをする。
４遊里で、相手を決めず多数の遊女と関係を持つ。
「お客に一度でも—・かれたことはないわいな」〈伎・伊勢音頭〉
[可能]はける</t>
        </is>
      </c>
      <c r="D6747" t="inlineStr">
        <is>
          <t>掃くほどある；掃くような音</t>
        </is>
      </c>
      <c r="E6747" t="inlineStr">
        <is>
          <t>掃除；払う；掃き出す</t>
        </is>
      </c>
      <c r="H6747" t="n">
        <v>29</v>
      </c>
      <c r="I6747" t="inlineStr">
        <is>
          <t>どうしても動かせない道具は被物をしておいて隅から掃いて来るのです。；装置は階段の上を掃くようにして、長い首を左右に振り動かしていた。；あちこちで枯葉を掃いている人々も、すべて私たちのために働いている。；これを聞いて周王も道を掃き清めて出迎え、郊外まで人を出して迎えた。；本ばかり読んでいないで庭を掃きなさいとか宿題をしなさいとか言われた。；先輩たちの掃きだめていった塵埃が、小さな山になって、残されている。；あんたが嘘をついていると思われる節は掃くほどあるんだからね。；家の中はきれいに掃き清められていて、畳が竹の皮のような色を放っている。；一人の人が箱の横にある入口を開けて中に入り、死んだ蝿を掃き集めました。；翌朝になつて小坊主が門前を掃きにくると牛が一匹しよんぼりしてゐる。；むさいものを掃き集めているところを見せられるのは、誰かて好きやない。；これは海王星の周りの軌道上の物質を掃き集めた結果であると考えられている。；あたりの地は塵も留めず、掃き清めたような処に、その獣は死んでいた。；風がわたるたびに、薄く掃かれた砂はその平滑な表面を音もなく移動した。；植木はその間に床の下を掃いて畳を敷けば善いやうにしてくれて居た。；ここまでは毎朝庭先を掃いていそうな、ごく普通の近所のお婆ちゃんだ。；翌朝になって小坊主が門前を掃きにくると牛が一匹しょんぼりしている。；網を持ちませぬ者は、竹箒などで掃き上げて取りましたものでござります。；将軍館で、庭など掃いている葉侍のような装をしていたが、無腰であった。；私が居なくなつた日から貴方は部屋を掃いた事がないでせうね。；だから、冬になって雪が降ると、人びとは屋根の雪を掃くことができる。；まだ店はあいていず、住居のほうを覗くと、息子の利吉が庭を掃いていた。；パリは地球上の一点にすぎないが、この一点は掃きだめである。；冬枯れの形よく隈取られた径は、まだそのまま掃かれたことがなかった。；そしてお光りをあげて西側の小さい例の庭の大松の下を掃くのです。；父は、散歩や体操をするけれど、庭を掃いたりすることは決してやらない。；町の大通りへと戻ってきた時、店員たちは店の前の歩道を掃いていた。；けれどそれらはよく磨かれており、店の前もきれいに掃き清められている。；午後になって買物に行こうと外に出ると、隣のおばさんが玄関を掃いていた。</t>
        </is>
      </c>
      <c r="J6747">
        <f>HYPERLINK("https://www.weblio.jp/content/掃く", "词义详情")</f>
        <v/>
      </c>
      <c r="K6747">
        <f>HYPERLINK("https://yourei.jp/掃く", "查看例句")</f>
        <v/>
      </c>
    </row>
    <row r="6748">
      <c r="A6748" t="inlineStr">
        <is>
          <t>吐く</t>
        </is>
      </c>
      <c r="B6748" t="inlineStr">
        <is>
          <t>成功</t>
        </is>
      </c>
      <c r="C6748" t="inlineStr">
        <is>
          <t>読み方：つく
［動カ五（四）］《「突く」と同語源》
１胃や口の中の物を吐く。もどす。「へどを—・く」
２
㋐息を吐き出す。「ため息を—・く」
㋑呼吸する。「肩で息を—・く」「一息—・く」
３好ましくないことを口に出して言う。「悪態を—・く」「うそを—・く」
[可能]つける</t>
        </is>
      </c>
      <c r="D6748" t="inlineStr">
        <is>
          <t>吐くような声；吐く白い息；吐くまい；吐く息吸う息；吐く如く</t>
        </is>
      </c>
      <c r="E6748" t="inlineStr">
        <is>
          <t>いう；言う；云う；発言；話す</t>
        </is>
      </c>
      <c r="F6748" t="inlineStr">
        <is>
          <t>一息吐く</t>
        </is>
      </c>
      <c r="H6748" t="n">
        <v>29</v>
      </c>
      <c r="I6748" t="inlineStr">
        <is>
          <t>あなたの口から吐かれるその言葉には地獄のすべての冷酷さがあります。；それがしは決して私一箇の功のためにこの言を吐くものではありません。；真暗な部屋の中で自分の吐く息が冷たい大気の中に溶けてゆくのを見た。；なぜと言ふに、彼は妻を安心させるために、ときたま嘘を吐くのである。；少しでも乱暴な言葉を吐いたりすると悪い知らせでも来るような気がした。；するとちょうど十分ほど前に先生が最初に血を吐かれた所であった。；なぜと言うに、彼は妻を安心させるために、ときたま嘘を吐くのである。；それがそのまま「趣味は女だ」などと不遜な言葉を吐かせたのであろう。；役者たちは吐く息が白くならないように、口中に氷を含んで演技をした。；唾一つ吐くのも間違った方向にしそうで、とてもあてにはできませんわ。；口から血でも吐いたら、かへつて楽しみが増すくらゐのものではないか。；嫉妬を感じて吐かれた仲間の言葉を、近くにいた乗客の一人が聞いていた。；そしてぼくがいなくなる恐怖で、ふたたびそんな言葉を吐かせてしまった。；彼はずつと前から胃病だつたので時々道端で吐くことがあつたのである。；僕は君から完全に解放されて、自由の天地に大きな呼吸を吐きたいんだ。；一郎は風が胸の底まで滲み込んだように思ってはあと強く息を吐きました。；彼は人の前で痰を吐いたり汗をかいたりするところを見られるのを恥じた。；見ている人があろうがなかろうが、いやおうなしに我々に泥を吐かせる。；二人の顔は触れ合わんばかりとなり、吐く息をお互いに熱く感じ合った。；他の女と一緒に住むと、そのうちに怒りだし、毒を吐いてしまうでしょう。；激しく震え、また血を吐こうとしていたスタンザの身体が急に力を抜いた。；「いろいろなことが分かってくるでしょう」と、煙を吐きながら言った。；すると、しばらくしてから、今度は三度のものを時々吐くようになった。；少しは、猫にゲロを吐かれたときのことを考えて作ったらどうなんだ。；無意識に、心の底にたまっている泥をすっかりいい気持に吐かせながら。；外は寒かったが、小屋の牛や馬が息を吐きかけて赤ん坊を暖めてくれた。；それで我慢するのだが、吐かない限り、この眩暈はいつまでも続くのだ。；かれらは竜の吐く炎に追われたことを思い出して怯えているのだと。；人間なんて生れてから死ぬまで、嘘の吐き合いをしているようなもんだ。</t>
        </is>
      </c>
      <c r="J6748">
        <f>HYPERLINK("https://www.weblio.jp/content/吐く", "词义详情")</f>
        <v/>
      </c>
      <c r="K6748">
        <f>HYPERLINK("https://yourei.jp/吐く", "查看例句")</f>
        <v/>
      </c>
    </row>
    <row r="6749">
      <c r="A6749" t="inlineStr">
        <is>
          <t>剥ぐ</t>
        </is>
      </c>
      <c r="B6749" t="inlineStr">
        <is>
          <t>成功</t>
        </is>
      </c>
      <c r="C6749" t="inlineStr">
        <is>
          <t>読み方：はぐ
［動ガ五（四）］
１表面の部分をむきとる。「木の皮を—・ぐ」
２身につけているものを無理に脱がして取る。「布団を—・ぐ」
３奪い取る。剝奪する。没収する。「官位を—・ぐ」
[可能]はげる
［動ガ下二］「は（剝）げる」の文語形。</t>
        </is>
      </c>
      <c r="D6749" t="inlineStr">
        <is>
          <t>除く；略奪；奪う；消す；強盗</t>
        </is>
      </c>
      <c r="F6749" t="inlineStr">
        <is>
          <t>引剥ぐ</t>
        </is>
      </c>
      <c r="H6749" t="n">
        <v>29</v>
      </c>
      <c r="I6749" t="inlineStr">
        <is>
          <t>不思議に夫の病気は、一枚一枚病皮を剥ぎ取るかのように癒って行った。；かれらは音もなく邸内に侵入し、すさまじい力で玄関の扉を剥ぎ取った。；パエオコメスは、殺した相手が身につけているものを剥ぎとろうとした。；一切の停滞はなく、左手のひと引きで棒は二本とも剥ぎとられていた。；病気になるまで働かせて、死んでも最後の着物まで剥ぎ取る気なのだ。；小屋の主人が子供の顔を隠していた袋を剥ぎ取ると、子供の醜い顔が現れる。；額から顔の半ばまで皮を剥ぐと、すぐに何事もなかったかのように元へと戻した。；ばたばたいう音の源は、風に煽られてはためく剥がれかけた羽布だった。；すると非人たちはいま打ち首になった二個の死体から着物をすべて剥ぎ取った。；ラベルは、ただの普通のレコードから剥ぎとって、自分のに貼ったんだ。；根元はすでにそう簡単に引き剥がせないほどに適合してしまっている。；それでも、顔にへばり付いた笑いを引き剥がせない自分が情けなかった。；竹の子剥ぎの際に感じたのと同じような恍惚を私はこのときにも味わった。；いや、上着を剥ごうとするものには、下着までくれてやりたい気持です。；その間に、彼の反逆罪の中傷非難が皮を剥ぐかのように出てくるでしょう。；隠しようがなかったので、力ずくで穴の開いたポケットを剥ぎ取った。；わたくしは、その裸身をまとうた最後の布も、剥ぎとってしまいました。；まるで頭皮をきれいに剥ぎ取り、頭蓋骨を露出させているように見えた。；彼女の生きる希望と目的の両方を瞬間的に剥ぎとっていってしまったのですから。；それは衣類を一枚ずつ剥ぐたびに写真に撮るという念の入った方法である。；また生き剥ぎにした皮には、藁を詰め、国内各地を引きまわすのである。；意識が戻ってきた時には、すでに衣服はほとんど剥ぎ取られていた。；それからのこのこと外へ出て行ったが、剥ぎとられた後がザワザワ揺れていた。；一つの層を横方向から削り取るもので、これを横剥ぎ技法と呼んでいる。；それからのこのこと外へ出て行つたが、剥ぎとられた後がザワザワ揺れてゐた。；どこの会社の交際費も、皮を剥ぐように削りとられていったのである。；他のところでは、女をさえも犠牲とし、生きながらその皮膚を剥ぐ。；この上セガむと平次は花見の入費に女房の身の皮を剥ぎかねないのです。；またクスコの日の神殿からは七百枚の金板が剥ぎ取られたのであった。</t>
        </is>
      </c>
      <c r="J6749">
        <f>HYPERLINK("https://www.weblio.jp/content/剥ぐ", "词义详情")</f>
        <v/>
      </c>
      <c r="K6749">
        <f>HYPERLINK("https://yourei.jp/剥ぐ", "查看例句")</f>
        <v/>
      </c>
    </row>
    <row r="6750">
      <c r="A6750" t="inlineStr">
        <is>
          <t>迫害</t>
        </is>
      </c>
      <c r="B6750" t="inlineStr">
        <is>
          <t>成功</t>
        </is>
      </c>
      <c r="C6750" t="inlineStr">
        <is>
          <t>読み方：はくがい
［名］(スル)弱い立場の者などを追い詰めて、苦しめること。「少数民族を—する」</t>
        </is>
      </c>
      <c r="D6750" t="inlineStr">
        <is>
          <t>迫害者(3%)；迫害される(3%)；迫害政策；迫害行為；迫害期</t>
        </is>
      </c>
      <c r="F6750" t="inlineStr">
        <is>
          <t>激しい迫害；政治的迫害；大迫害；キリシタン迫害；キリスト教徒迫害</t>
        </is>
      </c>
      <c r="H6750" t="n">
        <v>29</v>
      </c>
      <c r="I6750" t="inlineStr">
        <is>
          <t>かなりの人がキリスト教に改宗したが、ユダヤ人の激しい迫害があった。；敬虔なカトリックの一族だったため迫害を受けることが多かったという。；この試みは失敗したが、バーブ教徒への新たな迫害のきっかけとなった。；また10月3日にはフランスではじめてのユダヤ人迫害法が成立している。；この時期はデキウス帝の激しかった迫害が小休止している時期であった。；日本のキリシタン迫害の歴史の中でも最も多くの信徒が同時に処刑された。；スペインの迫害を逃れてきた多くのユダヤ人の存在からもこのことが証明されている。；しかし、第1回十字軍に関連してこの地でもユダヤ人迫害が発生している。；そのためロシア皇帝はユダヤ人に大規模な殺害などの迫害をくわえていた。；日本人ではなく、異国の出身であるため、幼いころから迫害を受けていた。；しかし、弁護士は、ロシアでの迫害も深刻な罰金になると主張しています。；医者は住民たちに危険性を説明しようとするが、職を失い、迫害を受ける。；これは異なる食文化への迫害や、人権蹂躙であると主張される可能性がある。；矢十字党政府と占領者のドイツ軍によってユダヤ人迫害は本格化された。；この迫害はディオクレティアヌス帝と彼の副帝ガレリウスの下で行われた。；日興と改宗した住僧らは住職たちの不当な迫害を幕府に訴えて対抗した。；人間たちの社会では魔法使いたちは歴史の中で迫害されてきた。；この動きは他の都市にまで波及し、多くのユダヤ人が迫害を受けた。；この事件の後、迫害はさらに徹底され、弾圧は凄惨なものになっていく。；迫害にもかかわらず、活動は急速に強く結びついた組織に成長した。；人でも暴魔でもないことから両種族からも受け入れられずに迫害の対象にある。；この新しい摂政は対立勢力を迫害するが、2年後の1864年に死んだ。；時には、彼女の城は義理の息子に迫害された人々の避難所にもなった。；司祭派はこれらの迫害を耐えて1881年に政府の公認を受けている。；ムッソリーニ政権によるユダヤ人迫害から逃れてアメリカ合衆国に移住。；超能力者たちは迫害されることを恐れ、その能力をみな隠している。；下記のように親日派であるのを理由として迫害を受ける傾向にある。；熱心なカトリックであるギーズ家兄弟はプロテスタントの迫害を始めた。；多くの人々が、戦争や迫害、またはその恐れのために家を離れざるを得なくなった。</t>
        </is>
      </c>
      <c r="J6750">
        <f>HYPERLINK("https://www.weblio.jp/content/迫害", "词义详情")</f>
        <v/>
      </c>
      <c r="K6750">
        <f>HYPERLINK("https://yourei.jp/迫害", "查看例句")</f>
        <v/>
      </c>
    </row>
    <row r="6751">
      <c r="A6751" t="inlineStr">
        <is>
          <t>育む</t>
        </is>
      </c>
      <c r="B6751" t="inlineStr">
        <is>
          <t>成功</t>
        </is>
      </c>
      <c r="C6751" t="inlineStr">
        <is>
          <t>読み方：はぐくむ
［動マ五（四）］《「羽(は)含(くく)む」の意》
１親鳥がひなを羽で包んで育てる。「ひなを—・む」
２養い育てる。「大自然に—・まれる」
３大事に守って発展させる。「二人の愛を—・む」</t>
        </is>
      </c>
      <c r="D6751" t="inlineStr">
        <is>
          <t>育成；立てる；育てる；手掛ける；養育</t>
        </is>
      </c>
      <c r="H6751" t="n">
        <v>29</v>
      </c>
      <c r="I6751" t="inlineStr">
        <is>
          <t>こうした特徴的な地形のそれぞれが様々な植物相や動物相を育んでいる。；愛情とは、平凡な繰り返しの中で育まれるものなのではないでしょうか。；そこで出会ったと友情を育み、その後もいくつかの仕事で一緒に働いた。；過去を悔みはしない、その中によきものを育んでくれた人々に感謝する。；愛情は消えていたが、彼女との間で育んだ生活には愛着が残っていた。；そして小さな彼女を育んできた世界に存在する、様々のものに感謝しながら。；そして他のパイロットや歌姫たちと出会い、絆を育んでゆくことになる。；同時にブルッヘは、その歴史的町並みのなかで優れた芸術を育んできた。；父は薬局を営んでおり、父の仕事を手伝いながら科学への興味を育んだ。；最終的に二人は再会するが、それまでの経緯が愛を育み直す妨げとなる。；この分野では、そこに存在する生態系そのものを守り育むことを目指す。；あなたの夢に育まれて、その夢を奪っていくわけじゃないんだよ、と。；超越瞑想を行うことで、より高次の意識が育まれ、運がよくなるという。；これに対応して、フランスには競争力のある活発な宇宙産業が育まれた。；琉球は、日中双方の文化や制度を受け入れつつ、独自の文化を育んでいた。；人々の抱くその感懐が伝統の強き情操に育まれきたったであろうと思う。；この頃には公に親密に交際を育んでいることを双方とも認めている。；それこそまさに今度起きたような事件の種を育むものなのに。；この間、彼のライフワークとなる米独関係と政治学への興味が育まれた。；儒教が朝鮮民族の伝統を育んでおり、その食文化にも影響を与えている。；なぜなら、自分が嫌いだと感じる人とは友情を育むことはできないからです。；そんな子供が子を育むなど出来る筈がなく、もちろん想像する事さえしなかった。；かう云ふ状態では真の愛情や理解が育まれやう筈がありません。；ルーマニアの文化は、その国土や独特な歴史的発展のもとで育まれてきた。；そんな環境の中で、将来は障害を持った人の役に立ちたいという夢を育む。；珍珠は黒幕を探し、そして初恋の人が広平王だとわかり二人で愛を育む。；レングとは後に仕事を共にすることもあり、生涯にわたる友情を育んだ。；そんな中でも二人は愛を育み、様々な困難を乗り越えて結婚をする。；実は王女の正体は森の精で、王女に姿を変え王子との愛を育んでいたのだ。</t>
        </is>
      </c>
      <c r="J6751">
        <f>HYPERLINK("https://www.weblio.jp/content/育む", "词义详情")</f>
        <v/>
      </c>
      <c r="K6751">
        <f>HYPERLINK("https://yourei.jp/育む", "查看例句")</f>
        <v/>
      </c>
    </row>
    <row r="6752">
      <c r="A6752" t="inlineStr">
        <is>
          <t>薄弱</t>
        </is>
      </c>
      <c r="B6752" t="inlineStr">
        <is>
          <t>成功</t>
        </is>
      </c>
      <c r="C6752" t="inlineStr">
        <is>
          <t>読み方：はくじゃく
［名・形動］
１意志や体力などが弱いこと。また、そのさま。「意志が—だ」
２あいまいではっきりしないこと。また、そのさま。「—な論拠」
[派生]はくじゃくさ［名］</t>
        </is>
      </c>
      <c r="D6752" t="inlineStr">
        <is>
          <t>薄弱である(12%)；薄弱なもの(5%)；薄弱なる(4%)；薄弱であり(3%)；薄弱な根拠(2%)</t>
        </is>
      </c>
      <c r="E6752" t="inlineStr">
        <is>
          <t>薄い；弱い；希薄；稀薄；軟弱</t>
        </is>
      </c>
      <c r="F6752" t="inlineStr">
        <is>
          <t>意志薄弱；筋骨薄弱；こんな薄弱</t>
        </is>
      </c>
      <c r="H6752" t="n">
        <v>29</v>
      </c>
      <c r="I6752" t="inlineStr">
        <is>
          <t>しかしこの希望はまったく薄弱な根拠に基づいているにすぎなかった。；とても実況に比べて見ては、お話にならないほど薄弱な文句ではあるが。；法務省氏は被害者と交際していた事実は認めましたが、動機が薄弱です。；しかしワイズおよびムアが発表したこの見解も根拠は極めて薄弱である。；昔はそれで善かったろうが、今日の女子はこんな薄弱な精神ではいかぬ。；実際われわれには暑さ寒さの感覚そのものも記憶は薄弱であるように見える。；しかし、考えてみると、この故障は、故障としては薄弱な故障であった。；過去を離れた現在の事情のみから歸納した斷案は、基礎が薄弱を免れぬ。；道徳的要求より神の存在を証明せんとするのは、尚更に薄弱である。；だが、そんなことは甚だ薄弱な口実として利用されたのに過ぎないのだ。；現代において、表現への信仰が薄弱になったのは慶賀すべきことではない。；他人に對する俺の愛はそれほどまでに薄弱を極めてゐるのである。；これらの驚くべき話には、確証ともいうべきものは、きわめて薄弱である。；彼の前衛はきわめて薄弱であって、何事もなし得なかったのである。；馬車に乘らうとしたのが自分の心を其時薄弱なものにして畢つたのだ。；人の懐を当てにするという如き薄弱なる財政は甚だ畏るべきものである。；人々のうちには案外その能力の欠けている乃至は薄弱な者が多いのである。；つぎに、運命に迷う方は信仰の程度が低く、意志が薄弱なるに原因している。；手がかりというにはあまりに薄弱ではあるが、考える材料がないわけではない。；山路はその根拠を薄弱だとしているが、可能性はあるわけである。；それからまた個人の状態が全体の中で短小薄弱の地位を持つのが個人の一時の状態である。；この共同の借金の申込には担保が薄弱なためアメリカが応じなかった。；犬の身に起った不幸な出来事は薄弱な太十の心を掻き乱して畢った。；ハーレンベルクのゼデミューンデの戦闘説には歴史的根拠は薄弱である。；こういう考えは薄弱と言われても仕方がないのである。；この推定を得るためには少し理由が薄弱なようである。；おれのような意志薄弱な人間と違って、鉄のような意志と心を持った奴だ、と思っていた。；それに答えるには、私の知識経験はあまりにも薄弱であった。；二往復したという彼の説明は薄弱で、まったく根拠がありません。</t>
        </is>
      </c>
      <c r="J6752">
        <f>HYPERLINK("https://www.weblio.jp/content/薄弱", "词义详情")</f>
        <v/>
      </c>
      <c r="K6752">
        <f>HYPERLINK("https://yourei.jp/薄弱", "查看例句")</f>
        <v/>
      </c>
    </row>
    <row r="6753">
      <c r="A6753" t="inlineStr">
        <is>
          <t>拍手</t>
        </is>
      </c>
      <c r="B6753" t="inlineStr">
        <is>
          <t>成功</t>
        </is>
      </c>
      <c r="C6753" t="inlineStr">
        <is>
          <t>読み方：はくしゅ
［名］(スル)手を打ち合わせて音を出すこと。神を拝んだり賞賛・賛成などの気持ちを表して、手をたたくこと。「—して賛意を表す」</t>
        </is>
      </c>
      <c r="D6753" t="inlineStr">
        <is>
          <t>拍手喝采；拍手係；拍手喝祭</t>
        </is>
      </c>
      <c r="E6753" t="inlineStr">
        <is>
          <t>賞賛；称賛；喝采；賞讃；謳歌</t>
        </is>
      </c>
      <c r="F6753" t="inlineStr">
        <is>
          <t>二拍手；盛大な拍手；大拍手；まばらな拍手；惜しみない拍手</t>
        </is>
      </c>
      <c r="G6753" t="inlineStr">
        <is>
          <t>拍手かっさい；拍手喝さい；拍手カッサイ</t>
        </is>
      </c>
      <c r="H6753" t="n">
        <v>29</v>
      </c>
      <c r="I6753" t="inlineStr">
        <is>
          <t>この時ゴールしてから半時間も拍手が止まらなかったと伝えられている。；練習の成果を十分に発揮し、会場からは割れんばかりの拍手をもらった。；手を顔の上にあげ、人眼につく拍手であったから、人々は眉をひそめた。；彼らの拍手は自身および近隣の魂まで叩き潰しはしないかと思われた。；拍手はそのへやからばかりでなく、へやの外の方からも起こったのです。；みんなは歓呼の声をあげ熱心に拍手してこの新らしい信者を迎えたのです。；試合に敗れたものの希や、両チームのプレーには観客から拍手が送られる。；私が左手で胸の上の樽を投げてやると、小人たちは一せいに拍手しました。；武田達は終るのを今か、今かと待っていて、さきがけをして拍手をした。；あたし、いろんなものを聞かせたの、でも、みんな、拍手もしないのよ。；この時、傍聴していた若い男が拍手をして、法廷の外へ引ずり出された。；観客はまた総立ちになり劇場全体に割れんばかりの拍手が響き渡った。；ハンコックの見事な活躍を目にした市民は拍手で彼を迎えていた。；あたしたちが入って行くと、みんな仕事の手を休めて拍手して迎えてくれた。；黒澤はこの演出で観客が拍手して映画に参加することを期待した。；狸が腹鼓を打つたのが、拍手のやうに聞えたのではあるまいかとも思つた。；しかし16年大会の登場時には、観客からは拍手と歓声で迎えられた。；人気のないホールのなかに、まばらな二人の拍手だけがひびいていた。；相談ごとが終わると円陣の人々は、手を高くあげて賑やかに拍手した。；それでも、演技後には他の選手や大会関係者から拍手で称えられた。；そして、手を高くあげて叫んだり、拍手をしたりして、歓迎の意を表した。；拍手とは、神道の祭祀や神社・神棚など神に拝する際に行う行為である。；たとえば拍手している多数の手がスクリーンの上に対角線状に並んで映る。；来会者の中には、拍手をしながら席を立って舞台の下へ駈けだして来る者もあった。；平和島本社では訪れたラッセルが社員総出で拍手で迎えられている。；彼は観客の拍手を必要とする自分の芸人気質に自ら気が付いていなかったのである。；彼女はそこに立ちつくしたまま、当然起こるべき大衆の拍手を待っている。；長島までが感激に顔を紅潮させ、バッターボックスの中で拍手していた。；次に設けの席に就くと、列座の衆の拍手するのが、本式だつた樣である。</t>
        </is>
      </c>
      <c r="J6753">
        <f>HYPERLINK("https://www.weblio.jp/content/拍手", "词义详情")</f>
        <v/>
      </c>
      <c r="K6753">
        <f>HYPERLINK("https://yourei.jp/拍手", "查看例句")</f>
        <v/>
      </c>
    </row>
    <row r="6754">
      <c r="A6754" t="inlineStr">
        <is>
          <t>白状</t>
        </is>
      </c>
      <c r="B6754" t="inlineStr">
        <is>
          <t>成功</t>
        </is>
      </c>
      <c r="C6754" t="inlineStr">
        <is>
          <t>読み方：はくじょう
［名］(スル)《「白」は申す、告げる意》
１隠していた事実や自分の犯した罪を申し述べること。「相手の名を—する」「神妙に—せよ」
２罪人が申し立てたことをしるした文書。くちがき。口供(こうきょう)。
「—かかせて判せさせて」〈愚管抄・五〉</t>
        </is>
      </c>
      <c r="D6754" t="inlineStr">
        <is>
          <t>白状する(20%)；白状させる(3%)；白状すれ(3%)；白状しろ(2%)；白状させよ</t>
        </is>
      </c>
      <c r="E6754" t="inlineStr">
        <is>
          <t>承認；告白；肯定；自白；打ち明ける</t>
        </is>
      </c>
      <c r="F6754" t="inlineStr">
        <is>
          <t>白状致し；みんな白状；白状させろ；白状しちゃい；白状しちまう</t>
        </is>
      </c>
      <c r="H6754" t="n">
        <v>29</v>
      </c>
      <c r="I6754" t="inlineStr">
        <is>
          <t>あのね、わたしあなたにたいへんなことを白状しなければならないのよ。；私にさえも、公爵に心配してもらいたいんだと白状していましたからね。；そしてこの最後のものが最も強く私の感情を支配していることを白状する。；お宅に帰って、よくお考えになれば、あなたは必ず白状したくなります。；年が若いだけに、妹の方が容易に白状するであろうと思ったからであった。；だれも犯人らしい者はいず、だれも白状しそうな者はいませんでした。；僕は不幸にして之を君に白状してしまはなければならぬことに立到つた。；もっとも私には、少しは他の動機もあったかもしれないことを白状するが。；結局わたしにはなんのことかわからないので、教授にその旨白状した。；これはまだ大木に白状しない胸中の秘密で、いうまでもなくそれは恋だ。；こうして私どものわずかな財産のかくし場所を白状させようとしたのです。；そうして事実、俺を愚弄したものであるかどうかを白状さしてくれよう。；僕はここで白状するが、この時の僕は慥に十日以前の僕ではなかった。；式部の白状はこの通りで、お万とお千の申し立てもそれに符合していた。；が、その次に感じたのは、たしかに学問的な満足だったことを白状します。；今日ばかりはもう白状しないとこのままには置かないから、そう思うがいい。；しかし、私は貧乏で、金の工面がつかないと白状せずにいられなかった。；たぶん、いつかそのうちには、何もかもあなたの前で白状するだろうよ。；シーズン終了後には彼らはそこには違いがあったことをぼくに白状したんだよ。；僕が彼奴に、罪の白状をさせられないかさせられるものか見ていたらいいよ。；白状しますが、かういふ気持は、僕が今迄経験したことのない気持です。；魔法のことなんかひとつも知らない、と白状する度胸はありませんでした。；そして私の最初の経験は、かなり良好であったことを、白状せねばならぬ。；僕は顔を真赤にして「ええ」と白状するより仕方がありませんでした。；そうして先日来の議論はみな彼女が傍から教えてくれたのであることを白状した。；かれは半七にその尻っぽを捉まえられて、とうとう恐れ入って白状した。；それを正直に白状しないために、お照は番屋に止められたのであろう。；お前にたのんだのは子供だとまで白状してしまったんじゃないか。；すべてが白状され、その晩のなかばは話しているうちにすぎてしまいました。</t>
        </is>
      </c>
      <c r="J6754">
        <f>HYPERLINK("https://www.weblio.jp/content/白状", "词义详情")</f>
        <v/>
      </c>
      <c r="K6754">
        <f>HYPERLINK("https://yourei.jp/白状", "查看例句")</f>
        <v/>
      </c>
    </row>
    <row r="6755">
      <c r="A6755" t="inlineStr">
        <is>
          <t>漠然</t>
        </is>
      </c>
      <c r="B6755" t="inlineStr">
        <is>
          <t>成功</t>
        </is>
      </c>
      <c r="C6755" t="inlineStr">
        <is>
          <t>読み方：ばくぜん
［ト・タル］［文］［形動タリ］ぼんやりとして、はっきりしないさま。広くてはてしのないさま。「—とした不安を抱く」「—たる平原」</t>
        </is>
      </c>
      <c r="D6755" t="inlineStr">
        <is>
          <t>ぼんやり；かすか；微妙；曖昧；不明瞭</t>
        </is>
      </c>
      <c r="G6755" t="inlineStr">
        <is>
          <t>漠然たる</t>
        </is>
      </c>
      <c r="H6755" t="n">
        <v>29</v>
      </c>
      <c r="I6755" t="inlineStr">
        <is>
          <t>私は青酸加里を肌身放さずもつてゐた漠然とした意味が分りかけてきた。；いやもちろんこれは根拠なき漠然とした妄想に過ぎないのだけれど。；その不安は、漠然としてはいても、新八自身への不安にもつながっている。；だが、自分が漠然感じているこの疑問は、それだけでは解釈され切らない。；歓びがあるはずなのに気の抜けた漠然とした寂しさ、不安のほうが先に来た。；何かあくのつよい一と役うけもつはずだった漠然とした予想は外れた。；僅かの旅客の後に跟き、私共は漠然期待や好奇心に満ちて改札口を出た。；土地売却の話は漠然としてゐたが、買手が見つからないとも限らなかつた。；この日から佐田の胸にもう一つの新しい漠然とした疑問がひっかかりはじめました。；人民の諸権利についての具体的条項は、漠然としてしか扱われていない。；よくわからない漠然としたものに憧れを抱くようになっていた。；汝は世間普通の意味で漠然善と言っているにすぎぬでないか。；それと区別された外の場所とは、不安でとてもニッコリなどできない漠然とした空間なのでしょう。；職業的技術を充分に備へるといふ言葉は少し漠然としてゐるやうですが。；しかし漠然ながら、自分の前にいる少女とその心像の少女とは全く別な二個の存在であるような気もしないでもなかった。；しかし漠然ながらではあるが、自分の前にいる少女とその心像の少女とは全く別な二個の存在であるような気もしないではなかった。；西洋諸国良家の女子には此辺の事に就て漠然たらざる者多しと言う。；何か忌々しいものが、対象のない漠然とした忌々しさが、彼の頭に絡んできた。；どこか悪いのではないかと漠然感じた。；高校生活をそれなりに楽しみながらも、物足りなさと漠然とした将来への不安を感じていた。；私も目的のない漠然とした意志のもとに、ともかくも「偉い人」になりたいと思っていた。；にもかかわらずその明るさと透明さの底に感じた漠然とした不安だけは思い出すことができた。；それはいつも彼の心に浮かんでいたが、漠然として特徴のないもので、彼はそこに自分の注意を集中することができないでいた。；しかし漠然ながらではあるが、自分の前にゐる少女とその心像の少女とは全く別な二個の存在であるやうな氣もしないではなかつた。；要素ごとに、それがはっきりと現れる県と、漠然としてあまり明確には現れない県がある。；由利氏の示してくれた数々の証拠が、何を示しているかは、漠然として気がついていたのである。；彼の未来、それを眼の前に描き出すのは、あまりに漠然過ぎた。；無視されていた漠然とした義務感にとらわれた。；十八九のとき持って居たような漠然さではなく、自分はどうしてもリリカルな作者ではないことに心づいて来た。</t>
        </is>
      </c>
      <c r="J6755">
        <f>HYPERLINK("https://www.weblio.jp/content/漠然", "词义详情")</f>
        <v/>
      </c>
      <c r="K6755">
        <f>HYPERLINK("https://yourei.jp/漠然", "查看例句")</f>
        <v/>
      </c>
    </row>
    <row r="6756">
      <c r="A6756" t="inlineStr">
        <is>
          <t>莫大</t>
        </is>
      </c>
      <c r="B6756" t="inlineStr">
        <is>
          <t>成功</t>
        </is>
      </c>
      <c r="C6756" t="inlineStr">
        <is>
          <t>読み方：ばくだい
［形動］［文］［ナリ］《これより大なるは莫(な)しの意。古くは「ばくたい」》程度や数量がきわめて大きいさま。「被害は—だ」「—な財産」
[派生]ばくだいさ［名］
[用法]莫大・多大——「莫大な（多大な）損害をこうむった」のように相通じて用いられる。◇「莫大」は「額」「量」「財産」など数量としてとらえられるものについて言うことが多い。「莫大な遺産を残す」◇「多大」は「多大な金額」のように用いるほか、「成果」「努力」「困難」などはっきり数量化できないことにも使われる。「多大な（の）恩恵を受けた」「多大な（の）影響を与える」◇「莫大」は連体形が「莫大な」となるが、「多大」は「多大の」の形でも使う。◇類似の語に「甚大」がある。「甚大」はふつう好ましくないことに用いる。「被害甚大」◇三語とも「莫大（多大・甚大）な死者が出た」のような、人数についての使い方はない。</t>
        </is>
      </c>
      <c r="D6756" t="inlineStr">
        <is>
          <t>莫大な利益(5%)；莫大な財産(5%)；莫大な費用(5%)；莫大な富(4%)；莫大な金(4%)</t>
        </is>
      </c>
      <c r="E6756" t="inlineStr">
        <is>
          <t>非常；特別；巨大；大きい；恐ろしい</t>
        </is>
      </c>
      <c r="F6756" t="inlineStr">
        <is>
          <t>莫大な財宝；莫大な額；莫大な賠償；莫大な負債；莫大な収入</t>
        </is>
      </c>
      <c r="H6756" t="n">
        <v>29</v>
      </c>
      <c r="I6756" t="inlineStr">
        <is>
          <t>しかし、莫大な建設費用が掛かることから、今のところ実現していない。；米国市場で成功しており、当時は莫大な利益をあげていたのである。；ハッスルやセレブ小川を買収できたのも莫大な資金があってこそである。；保護すべきとの声もあったが、それでもまだ莫大な数がおり検討されなかった。；これは収録時間が膨大であることや編集時間に莫大な時間がかかるためである。；しかし2校をどちらも耐震化させるには、莫大な費用が必要とされた。；日本国外の廃駅は莫大な数に及ぶため、以下は主に日本での例を表記する。；コンピュータ化のために必要とする莫大な投資に時事が耐えられるか。；スペインは莫大な持参金の支払いに同意したが、結局支払われなかった。；リチャードは幼い頃に孤児となり、それと同時に莫大な財産を相続した。；建設に莫大な費用がかかることもあって、合肥城ともども廃れていった。；それでも死去時にビスマルクは莫大な財産を子供たちに残している。；敗戦となれば戦争によって得た莫大な利益が問題視されることも考えられる。；他の国に比べると比較にならないほど莫大な資源を有していると言われている。；この頃にブラジルで銀鉱山が発見され、ポルトガルは莫大な利益を上げた。；右翼の政商児玉誉士夫に莫大な資金を送り込んでいたことでも知られる。；大火が発生すると、焼失した江戸の再建に莫大な資材と費用を必要とした。；しかしこの選挙資金のために統治早々にして莫大な負債を負っている。；家康はこの接待のために莫大な私財を投じて街道を整備し宿館を造営した。；ラーマ3世は27年間の在位の間に対清貿易で莫大な利益を収めていた。；莫大な資料がある記録グループやコレクションはシリーズごとに分けられている。；これらのレースはヴェネツィアでしか手に入らず、輸入額は莫大なものだった。；もし作っていたら莫大な利益を手にしていたという。；オスマン軍がマムルーク軍から手にした戦利品は莫大なものだったという。；エルヴィスが世界中を笑顔にし続けるために莫大な費用を浪費した。；ワープロソフトやOSなどの基本的なプログラムは莫大な量の命令からなる。；艦艇に使用される場合は莫大な量となるため主に鋼鉄が使われる。；莫大な財産を有していたことから、ウスマーン・ガニーと呼ばれた。；受領は強大な権限を得たため、莫大な蓄財を行うことも可能であった。</t>
        </is>
      </c>
      <c r="J6756">
        <f>HYPERLINK("https://www.weblio.jp/content/莫大", "词义详情")</f>
        <v/>
      </c>
      <c r="K6756">
        <f>HYPERLINK("https://yourei.jp/莫大", "查看例句")</f>
        <v/>
      </c>
    </row>
    <row r="6757">
      <c r="A6757" t="inlineStr">
        <is>
          <t>爆弾</t>
        </is>
      </c>
      <c r="B6757" t="inlineStr">
        <is>
          <t>成功</t>
        </is>
      </c>
      <c r="C6757" t="inlineStr">
        <is>
          <t>読み方：ばくだん
１爆薬を充塡(じゅうてん)し、投下または投擲(とうてき)して爆発させ、人や施設を殺傷・破壊するための兵器。
２突然に周囲を大きく混乱させるもの、また重大な危険のたとえ。「—をかかえる」「—発言」
３おでんの種にする、ゆで卵を芯にしたさつま揚げ。
４第二次大戦後の混乱期に出まわった、粗悪な密造焼酎(しょうちゅう)。
５トウモロコシ・米などの穀粒を加熱・加圧してはじけさせた食品。爆弾あられ。</t>
        </is>
      </c>
      <c r="D6757" t="inlineStr">
        <is>
          <t>爆弾投下；爆弾事件；爆弾搭載量；爆弾命中；爆弾製造</t>
        </is>
      </c>
      <c r="E6757" t="inlineStr">
        <is>
          <t>ボム；爆裂弾</t>
        </is>
      </c>
      <c r="F6757" t="inlineStr">
        <is>
          <t>小型爆弾；爆弾搭載；ポンド爆弾；用爆弾；大型爆弾</t>
        </is>
      </c>
      <c r="G6757" t="inlineStr">
        <is>
          <t>爆弾倉；爆弾テロ事件；爆弾魔；爆弾処理；爆弾発言</t>
        </is>
      </c>
      <c r="H6757" t="n">
        <v>29</v>
      </c>
      <c r="I6757" t="inlineStr">
        <is>
          <t>しかし実際には爆弾などは発見されず、単なる脅しであったと思われる。；彼はヒトラーの作戦会議室に爆弾を仕掛け、爆発させることに成功した。；いづれにしても爆弾に翼面荷重の大きい翼を付けたようなものであった。；カウントダウン中の爆弾を投げずに地面に置くには、この方法しかない。；弾頭を上にして搭載されていた爆弾が、投下後に弾頭が下を向いている。；本物のブン大将がパリに爆弾を投げつけると言う事態に陥ったのである。；人間は原子バクダンもつくってしまうのだから、何が起るか分からない。；爆弾が当たらなかった場合や制限時間を過ぎてしまった場合は失敗。；飛脚が一切出てこなくなり、肉や爆弾は画面外から飛んでくる仕様になった。；後の専門家達は爆弾が装甲を貫通することは無かっただろうと推測している。；軍で極秘裡に開発中の青酸ガス爆弾を持っての自爆テロ的な計画だった。；その後、爆弾やロケット弾を搭載できるよう改修された機体もあった。；男2 とにかく、もう向うでは一トン・バクダンは使ってるらしいね。；またこの時代に爆弾命中率を飛躍的に高めた急降下爆撃機が開発された。；投げた後に黄ピクミンに直接触れて呼べばバクダン岩を置かずに戻る。；二人は北通路を下って進みながら出会う人間に発砲し、爆弾を投げた。；この爆弾は米ソ間の軍拡競争の産物であり、実際には量産されなかった。；またバクダン岩に落下すると即座に起爆してしまうため注意が必要である。；彼らは爆弾をもう一つ図書館通路に放り込み、ロッカーの一部を破壊した。；先ずは爆弾の外周を調べることで緑色のマークが表示される所がある。；松田千秋少将発案の爆弾回避術を駆使して被害をまったく受けなかった。；なお、この時に命中したのは爆弾だけであり、魚雷の命中は1発もない。；大型攻撃機の編隊の中に突入して爆弾で自爆する特攻戦法も考案された。；彼らは車に仕掛けられている爆弾にもうひとつ仕掛けが施されているのに気づいていなかった。；爆弾でも破壊できないほど頑丈で、回数を重ねる毎に苦しみは酷くなる。；また、航空機から爆撃で投下する爆弾も効果の上では榴弾にほぼ等しい。；しかしこのような大重量の爆弾搭載はほとんど行われなかった。；その後、ザビ家を乗せた車に仕掛けられた爆弾が爆発しサスロが死亡。；高速性能を得るために空気抵抗となる爆弾は胴体内爆弾倉に搭載する。</t>
        </is>
      </c>
      <c r="J6757">
        <f>HYPERLINK("https://www.weblio.jp/content/爆弾", "词义详情")</f>
        <v/>
      </c>
      <c r="K6757">
        <f>HYPERLINK("https://yourei.jp/爆弾", "查看例句")</f>
        <v/>
      </c>
    </row>
    <row r="6758">
      <c r="A6758" t="inlineStr">
        <is>
          <t>爆破</t>
        </is>
      </c>
      <c r="B6758" t="inlineStr">
        <is>
          <t>成功</t>
        </is>
      </c>
      <c r="C6758" t="inlineStr">
        <is>
          <t>読み方：ばくは
［名］(スル)爆発物を用いて破壊すること。「岩盤を—する」</t>
        </is>
      </c>
      <c r="D6758" t="inlineStr">
        <is>
          <t>爆破する(11%)；爆破される(4%)；爆破しよ；爆破シーン；爆破させる</t>
        </is>
      </c>
      <c r="E6758" t="inlineStr">
        <is>
          <t>砲撃；爆撃；破裂；炸裂；バースト</t>
        </is>
      </c>
      <c r="F6758" t="inlineStr">
        <is>
          <t>電流爆破；爆破計画；爆破デスマッチ；爆破工作；水中爆破</t>
        </is>
      </c>
      <c r="G6758" t="inlineStr">
        <is>
          <t>爆破テロ；爆破予告；爆破解体；爆破弁；爆破王</t>
        </is>
      </c>
      <c r="H6758" t="n">
        <v>29</v>
      </c>
      <c r="I6758" t="inlineStr">
        <is>
          <t>しかし受け入れられなかったために、犯人は機体を爆破すると警告した。；その中には火薬庫に火をつけて船を爆破しようとしていた者もいた。；また人為的に爆破したものもあり、こちらは正しく爆発したものである。；これを爆破解体して1999年にオープンしたのがこのホテルである。；このように動かすのが危険な不発弾は、発見現場で爆破させる事もある。；爆破された岩の中には、「ウシミージー」と呼ばれる岩もあったという。；しかし、小型機の爆破訓練はこの後の任務に活かされることとなった。；一行は爆破された箇所から泳いで外へ脱出するが、仁科が溺れてしまう。；イギリス軍の爆破・武装解除分遣隊がこれを担当することになっていた。；市内に残っていた教会なども、その後ソビエト政府によって爆破された。；イギリスでは、批判的な活動家がロンドンにある店舗を爆破し、逮捕された。；爆破は爆発物を用いて敵兵を殺傷し、敵施設を破壊する作戦行動である。；冷戦時代の数十年間、米国は核地雷と呼ばれる原子爆破兵器を開発した。；ナチス時代の別荘は調査の後に信仰の対象となるのを防ぐために爆破された。；農民出身ではなく、公共事業省に勤務経験のある爆破専門の技師だった。；つまり、底か天井のブロックは自力で爆破させないとダメなのである。；飛行機で運ぶには重過ぎるので、船で運んで港湾ごと爆破することになる。；これは門や壁を爆破するよう特に設計された火具である。；安藤支隊の到着前に攻撃目標にしていたペラク河の橋梁は爆破されていた。；この途中、放棄された88mm高射砲を2門見つけてこれを爆破処分した。；この映画では撮影のために宮殿内側の広場でランボルギーニが実際に爆破されている。；この時の爆破の煙はハルビン市内からも見えたと言われている。；第二分隊の作業機は集団装薬を投下して退避し、二線鉄条網を爆破する。；ソ連時代に爆破解体されたが、2000年代にようやく再建された。；ピンク・フロイドの音楽とともにラストの爆破シーンが高く評価された。；アンテナは地上からの爆破の司令を受信すると、それを電流に変換する。；一部には、これらの堤防は意図的に爆破されたという噂も広がった。；これらの理由から、ツインタワーは爆破されたのではないかという説がある。；爆発自体は小規模で、爆破直後に現場を急行列車が何事もなく通過している。</t>
        </is>
      </c>
      <c r="J6758">
        <f>HYPERLINK("https://www.weblio.jp/content/爆破", "词义详情")</f>
        <v/>
      </c>
      <c r="K6758">
        <f>HYPERLINK("https://yourei.jp/爆破", "查看例句")</f>
        <v/>
      </c>
    </row>
    <row r="6759">
      <c r="A6759" t="inlineStr">
        <is>
          <t>爆発</t>
        </is>
      </c>
      <c r="B6759" t="inlineStr">
        <is>
          <t>成功</t>
        </is>
      </c>
      <c r="C6759" t="inlineStr">
        <is>
          <t>読み方：ばくはつ
［名］(スル)
１物質が急激な化学変化または物理変化を起こし、体積が一瞬に著しく増大して、音や破壊作用を伴う現象。ガス・粉塵・火薬などの化学的爆発は発熱反応が激しく行われたことにより、ボイラー・火山などの物理的爆発は圧力の激しい発生・解放により起こる。また核分裂による核爆発がある。
２抑圧されていた感情が急激に外に現れること。「不満が—する」</t>
        </is>
      </c>
      <c r="D6759" t="inlineStr">
        <is>
          <t>爆発する(9%)；爆発的(7%)；爆発させる(2%)；爆発力；爆発音</t>
        </is>
      </c>
      <c r="E6759" t="inlineStr">
        <is>
          <t>噴火；爆破；噴出；破裂；炸裂</t>
        </is>
      </c>
      <c r="F6759" t="inlineStr">
        <is>
          <t>大きな爆発；空中爆発；小爆発；爆発四散；小さな爆発</t>
        </is>
      </c>
      <c r="G6759" t="inlineStr">
        <is>
          <t>爆発音；爆発物；爆発事故；爆発性；爆発反応装甲</t>
        </is>
      </c>
      <c r="H6759" t="n">
        <v>29</v>
      </c>
      <c r="I6759" t="inlineStr">
        <is>
          <t>導火線に火をつけてから爆発まで12分の猶予があると計算されていた。；彼はヒトラーの作戦会議室に爆弾を仕掛け、爆発させることに成功した。；ただし低確率でアイテム出現の代わりに爆発を起こすアイテムがある。；火薬が後方から起爆されると、爆発は後方から前方に向かって進行する。；これに関して専門家は大きな爆発があったのではないかと見ている。；しかしその機関は試験運転中に爆発し、ディーゼルは九死に一生を得た。；エネルギーを溜めることができたからこそ、三年目で爆発できたのです。；プリニウスは爆発時に地震を感じ、地面は非常に揺れたと述べている。；爆発によって生じたキノコ雲は数百キロ離れた場所からも目撃された。；初期の後装砲は砲尾で燃焼ガスが漏れて砲兵の傍で爆発する事があった。；母星が爆発した際ただ一人生き延びた過去を持っており、口数は少ない。；元素99は、爆発の雲の中を漂っていたろ紙の中からすぐに発見された。；同年イングランドのサリーにある採石場で初の公開爆発実験を行っている。；日本や中国でも好評だったが、韓国では特に爆発的な人気を呼んだ。；砲弾は主にソリッドショットを発射するので弾着しても爆発はしない。；爆発の後には中性子からなる高密度の核が残り、これが中性子星となる。；地雷が勝った場合は爆発したとみなし撤去されるのが一般的である。；この時に描いた爆発シーンが各所で評価され、仕事が来るようになったという。；爆発は機体前方の貨物室にあった航空貨物コンテナの下部で発生していた。；その結果、軽便鉄道が北海道を除く全国に爆発的に普及していった。；円盤が強い衝撃を受けて破壊されると、訓練機自体も爆発してしまう。；発生した水素はその日の午後に生じた小規模爆発の原因となった考えられている。；自らも爆発に巻き込まれて3人は戦死したが、鉄条網の破壊には成功した。；撤収発表と前後して、サマーワ市内や郊外で爆発や市幹部の暗殺が発生した。；エネルギー源は原子爆弾であり、発射すると発射装置は爆発して失われる。；爆発していく船の中で、ヒーローたちの手からカプセルを死守せんとする。；そのために化石記録は短期間で爆発的に多様化したように見える。；幸いにも爆発や炎上などはなく、由美を含めた乗員乗客は全員無事だった。；この作品は若者たちの間で人気が爆発、イギリスの映画賞を総なめする。</t>
        </is>
      </c>
      <c r="J6759">
        <f>HYPERLINK("https://www.weblio.jp/content/爆発", "词义详情")</f>
        <v/>
      </c>
      <c r="K6759">
        <f>HYPERLINK("https://yourei.jp/爆発", "查看例句")</f>
        <v/>
      </c>
    </row>
    <row r="6760">
      <c r="A6760" t="inlineStr">
        <is>
          <t>爆発的</t>
        </is>
      </c>
      <c r="B6760" t="inlineStr">
        <is>
          <t>成功</t>
        </is>
      </c>
      <c r="C6760" t="inlineStr">
        <is>
          <t>読み方：ばくはつてき
［形動］物事が突然はげしい勢いで起こるさま。急激に広まるさま。「—な売れ行き」</t>
        </is>
      </c>
      <c r="D6760" t="inlineStr">
        <is>
          <t>爆発的人気(4%)；爆発的ヒット(4%)；爆発的増加(3%)；爆発的普及；爆発的ブーム</t>
        </is>
      </c>
      <c r="H6760" t="n">
        <v>29</v>
      </c>
      <c r="I6760" t="inlineStr">
        <is>
          <t>見えないが、爆発的にふくらんだ炎の向こうから誰かの悲鳴が聞こえた。；この一ヵ月間に、流浪人口が爆発的に増加したのはこのためでもあった。；爆発的にアクセスが増加するなんて、最初から期待していなかったからだ。；白布の下から現われた数々の作品を見て、皆の感動は爆発的に巨大化した。；爆発的に増加する人口を支えきれなくなり、資源も土地も底をついていた。；駅の交通量が爆発的に増えることが予想され新しい駅の建設も決められた。；ヒトの脳が爆発的に拡大し始めたのはおよそ二五〇万年前である。；道具を使ったからといって、決して、脳が爆発的に拡大するわけではないのだ。；彼らは進化が爆発的に進むか、あるいは全くそうで無いかのどちらかだと主張する。；実は、フレミングの実収入が爆発的に上昇したのはその後のこと、という。；新聞は、二重の流行で爆発的に広まるのではないかと心配した報道をしています。；この時期は、人々の自然への関心が爆発的に高まった時期であった。；それに伴って大阪市を中心とする地域では人口が爆発的に急増した。；係員の笑顔を中心に、殺気という見えない感情が爆発的に広がっていく。；このような酸素の増加は生命の爆発的増加に寄与することとなった。；彼らは当時、太陽のプロミネンスの爆発的放出にかんして研究していた。；その結果、細胞死の相乗的増加とウイルス量の爆発的増加が見られた。；成魚になるまでの生存率が低いことからも、爆発的に増加しないといえる。；ただ、調子の悪そうな新庄君を置いてきてしまったのが爆発的に気がかりだ。；職業そのものは江戸時代からありましたが、爆発的に数が増えたのは一九五〇年代でした。；パネルにはめこまれていた特殊ガラスの窓の向こうが、爆発的に光ったのだ。；今年になって文庫化されて、また爆発的に売れまくっていると聞いている。；つまり、回が進めば進むほど、罰は爆発的に容赦なくなっていくのである。；何年かに一度、奇妙な歌が爆発的にヒットすることがある。；このために原料の繭の取扱量が爆発的に増えることとなったのである。；しかし、そのような方法だと、計算時間が爆発的に増加してしまうようなことがある。；この動画がYouTubeを通じ国境を越えて爆発的にヒットした。；自分の身体が爆発的に変化していくのが分かった。；彼の作品への関心は、彼の晩年から2013年の死去の後に、爆発的に広がった。</t>
        </is>
      </c>
      <c r="J6760">
        <f>HYPERLINK("https://www.weblio.jp/content/爆発的", "词义详情")</f>
        <v/>
      </c>
      <c r="K6760">
        <f>HYPERLINK("https://yourei.jp/爆発的", "查看例句")</f>
        <v/>
      </c>
    </row>
    <row r="6761">
      <c r="A6761" t="inlineStr">
        <is>
          <t>博物館</t>
        </is>
      </c>
      <c r="B6761" t="inlineStr">
        <is>
          <t>成功</t>
        </is>
      </c>
      <c r="C6761" t="inlineStr">
        <is>
          <t>読み方：はくぶつかん
歴史・芸術・民俗・産業・自然科学などに関する資料を収集・展示して一般公衆の利用に供し、教養に資する事業を行うとともに資料に関する調査・研究を行う施設。</t>
        </is>
      </c>
      <c r="D6761" t="inlineStr">
        <is>
          <t>博物館所蔵；博物館内；博物館長；博物館等；博物館協会</t>
        </is>
      </c>
      <c r="F6761" t="inlineStr">
        <is>
          <t>自然史博物館；東京国立博物館；郷土博物館；市立博物館；同博物館</t>
        </is>
      </c>
      <c r="G6761" t="inlineStr">
        <is>
          <t>博物館船；博物館法；博物館学；博物館島；博物館行き</t>
        </is>
      </c>
      <c r="H6761" t="n">
        <v>29</v>
      </c>
      <c r="I6761" t="inlineStr">
        <is>
          <t>そこには彼の顔も知らない博物館の守衛の子供がひとりいるだけだった。；博物館には歴史的な飛行機や自動車、機械、装置などが展示されている。；このうちおよそ600足の靴がマリキナ市の靴博物館に展示されている。；この博物館の建物は、かつてマンが過ごした別荘を利用したものである。；他に、海外で発見された隕石を博物館などが保有しているものもある。；収蔵・展示している、あるいはしていた博物館は以下のとおりである。；日々の英語の授業に加え、大英博物館を訪れたりして文化歴史も学ぶ。；その後、ハノーバー市にあったドイツ路面電車博物館で保存されていた。；ダルムシュタットの歴史は様々な小さな博物館で活発に展示されている。；これ以後この建物は、博物館および催事スペースとして利用されている。；また河口湖自動車博物館にあった205は現在は行方不明となっている。；世界中の博物館との連携による巡回展計画や国際訓練プログラムがある。；このユダヤ人学者の広範なコレクションが博物館の基礎となったのである。；駅構内にあった階段の一部は博物館への直通連絡口に使われたものがあった。；多くの芸術作品を街のあちらこちらにある博物館で見ることができる。；芸術ホールは著名な建築家によるヨーロッパの美術館・博物館建築である。；通りを挟んだすぐ近所には、ヘミングウェイ博物館が設けられている。；この博物館には1900年頃の古い教室が完全に保存されている。；また、博物館の展示や学校の理科室の標本なども剥製であることが多い。；市内で最もよく知られた博物館は西部最大で美術館も含むである。；このままではウッディが日本のおもちゃ博物館に売り飛ばされてしまう。；レプリカも複数作られておりさまざまな博物館に展示されている。；このグライダーは現在ではヨークシャー航空博物館に展示されている。；博物館などへ寄贈される際にはオリジナルに近い状態へ戻されることが多い。；このため世界各地の博物館で状態の良い機体を見ることが出来る。；新しい博物館街は郊外文化博物館に建てられることが多い。；同博物館は、当時フランス・アメリカ・イギリスの各国政府が共同で運営していた。；この地区には先植民地期の黄金製の美術品を集めた黄金博物館がある。；イギリスなどでは博物館専門職員のことをと呼んでいる。</t>
        </is>
      </c>
      <c r="J6761">
        <f>HYPERLINK("https://www.weblio.jp/content/博物館", "词义详情")</f>
        <v/>
      </c>
      <c r="K6761">
        <f>HYPERLINK("https://yourei.jp/博物館", "查看例句")</f>
        <v/>
      </c>
    </row>
    <row r="6762">
      <c r="A6762" t="inlineStr">
        <is>
          <t>迫力</t>
        </is>
      </c>
      <c r="B6762" t="inlineStr">
        <is>
          <t>成功</t>
        </is>
      </c>
      <c r="C6762" t="inlineStr">
        <is>
          <t>読み方：はくりょく
見る人や聞く人の心に強く迫る力。「—のある演技」「—に欠ける」</t>
        </is>
      </c>
      <c r="D6762" t="inlineStr">
        <is>
          <t>迫力ある(9%)；迫力満点；迫力不足；迫力ドラマ；迫力あふれる</t>
        </is>
      </c>
      <c r="E6762" t="inlineStr">
        <is>
          <t>ハード；殺気；インパクト；力強さ；圧迫感</t>
        </is>
      </c>
      <c r="F6762" t="inlineStr">
        <is>
          <t>異様な迫力；大迫力；ド迫力；すさまじい迫力；妙な迫力</t>
        </is>
      </c>
      <c r="H6762" t="n">
        <v>29</v>
      </c>
      <c r="I6762" t="inlineStr">
        <is>
          <t>確かに本物の死体は、真似とは思えない迫力を持っていたかもしれない。；これが意外に効果があり、特に尺八シーンは迫力を出すことに成功した。；闇のなかを大きな蛇の背中が、音もなく動いていくような迫力がある。；見やすさ及び迫力の点では、光を透過させて見るものの方が優れている。；景は突っ立っているだけだが、その姿が異様な迫力をもって迫ってくる。；迫力のある演技で、韓国フィギュア界では敵がいないほどの超エリート。；その迫力と色彩表現は高く評価され、時代を代表する画家のひとりになる。；コースが3Dになり、立体的で迫力のあるレースが出来るようになった。；かれのお名刺をという口調には相手が断りにくいなかなかの迫力がある。；それは十兵衛と武蔵との人間的迫力の相違から来たものであったろう。；この静かな笑顔のどこに博徒に負けない迫力が潜んでいるのだろうか。；編集した画面には危険を冒してまで撮影した迫力はなかったという。；肩が伸び上がって胴長がさらに長くなり、非常に迫力のある姿勢である。；それともこの少年が年に似合わぬ迫力を持っていたせいでしょうか。；さっき扉を開けて入ってきた時の、あの迫力はどこに行ったのだろう。；迫力があり、政治性に富み、部下の面倒見が良い好人物であったという。；相手の迫力のせいでそう思ったのだと頭のどこかで理解した。；鏡を前にして迫力のある首つりの演技を練習していたのであろう。；その際に止まり切れず砂の中に転がり込む迫力のある映像が見られた。；確かに、今、階段をおりてくる男には、叫びだしたいほどの迫力があった。；この変わり目の鮮やかさと迫力は劇場でなければ味わえないものである。；仏像が好きな理由は、怪獣のように見上げる迫力があったからだという。；それは、内面の強靭さをそのまま面に現わしたような迫力を感じさせた。；宇佐美は迫力があるが心優しい瞳のことが段々と気になっていくのだった。；理解はしていなかったが、その言葉の不思議な迫力に圧倒されていたのである。；同じ作業服の人間が何百人と座っている様は迫力があった。；本気で怒った時の迫力たるや、下手すると服まで石にされかねない。；そんなことをしなくても、その穏やかな声の中に無限の迫力があった。；だがアッパー系の迫力あるスイングで 当たれば確かに飛びそうだった。</t>
        </is>
      </c>
      <c r="J6762">
        <f>HYPERLINK("https://www.weblio.jp/content/迫力", "词义详情")</f>
        <v/>
      </c>
      <c r="K6762">
        <f>HYPERLINK("https://yourei.jp/迫力", "查看例句")</f>
        <v/>
      </c>
    </row>
    <row r="6763">
      <c r="A6763" t="inlineStr">
        <is>
          <t>歯車</t>
        </is>
      </c>
      <c r="B6763" t="inlineStr">
        <is>
          <t>成功</t>
        </is>
      </c>
      <c r="C6763" t="inlineStr">
        <is>
          <t>読み方：はぐるま
１円柱・円錐台などの周縁に歯を刻んだもので、対にして歯をかみ合わせることにより、回転運動を確実に伝える装置。機械に広く用いられ、平(ひら)歯車・斜歯(はすば)歯車・傘(かさ)歯車・ねじ歯車・ウオーム歯車などがある。「—がかみ合う」
２ある組織を動かしている仕組み。また、その要員。「管理社会の—に組み込まれる」</t>
        </is>
      </c>
      <c r="D6763" t="inlineStr">
        <is>
          <t>歯車式；歯車装置；歯車減速；歯車機構；歯車箱</t>
        </is>
      </c>
      <c r="E6763" t="inlineStr">
        <is>
          <t>ギヤ；ギヤー；ギア</t>
        </is>
      </c>
      <c r="F6763" t="inlineStr">
        <is>
          <t>大歯車；小さな歯車；巨大な歯車；大きな歯車；小歯車</t>
        </is>
      </c>
      <c r="G6763" t="inlineStr">
        <is>
          <t>歯車ポンプ；歯車式計算機；歯車車</t>
        </is>
      </c>
      <c r="H6763" t="n">
        <v>29</v>
      </c>
      <c r="I6763" t="inlineStr">
        <is>
          <t>私は寄りかかっている大きな歯車の間から大尉の姿を見ることができた。；さらに正確な歯車の歯数が得られ、新たな歯車の理論展開を可能にした。；そのときやみの中から、きみの悪い歯車のような声がひびいてきました。；しかしこう云う歯車は僕の煙草に親まない二十前にも見えないことはなかった。；しかし歯車の軋む音も同時に聞こえてきて、雰囲気を台なしにしていた。；このためPVでは、「歯車」をイメージした装飾や映像が使われている。；その後、彼は1901年には改良された歯車式台車の特許のを取得した。；この男こそ、スパイ網の主要な歯車の役を果たしているにちがいない。；しかし次の歯車がすぐに出てくるため、びっくりして手を引っ込めた。；中世末期には歯車や脱進機の性能が向上し各地に大規模な時計が作られた。；回転軸に小さなおもりを付けておけばこの歯車は仕事をなすことになる。；やがて戦争をはさんだ激動の時代が、二人の運命の歯車を狂わせていく。；歯車はまた回りだし、契約が締結されたが、資金は更に不足していた。；天井と床の両方にうがたれた穴に歯車で太いかんぬきをおとしこむのだ。；ウンカの幼虫には後ろ足に正確な跳躍のため歯車を備えている種がある。；ともあれお二人はすでに運命の歯車のスイッチが止まった状態です。；この二人の出会いにより止まっていた歯車は再び動き出すことになる。；マレーは、内側回転式の歯車を導入することでこの問題を巧妙に回避した。；台湾の熱気と過労のせいで、頭の歯車がどうかしていたにちがいない。；初期の変速機は摺動歯車を用いて駆動の接続および切断を行なっていた。；中央には伝統的な道具が歯車の上に乗って、全体を結ばれた紐が囲んでいる。；私はそれとは知らず第三帝国の巨大な虐殺機械の一つの歯車にされてしまった。；爪は薄いが頑丈な突起物であり、歯車にもたれ掛かるように配置される。；他の歯車機構に比べてバックラッシを小さくできるのも特徴である。；この実験に感銘を受け、自身も歯車と切り欠きを用いた実験を行った。；・・・・・・・歯車が・・・・・・・ ・・・空気があっというまに凍りつく。；ローマ式は歯車を使って回転軸の方向を変換してやる必要があった。；それは下射式水車を動力源とし、歯車機構でそれを伝達するものだった。；将校は、この邪魔な歯車に驚いて、拳を振り上げ脅すような真似をした。</t>
        </is>
      </c>
      <c r="J6763">
        <f>HYPERLINK("https://www.weblio.jp/content/歯車", "词义详情")</f>
        <v/>
      </c>
      <c r="K6763">
        <f>HYPERLINK("https://yourei.jp/歯車", "查看例句")</f>
        <v/>
      </c>
    </row>
    <row r="6764">
      <c r="A6764" t="inlineStr">
        <is>
          <t>暴露</t>
        </is>
      </c>
      <c r="B6764" t="inlineStr">
        <is>
          <t>成功</t>
        </is>
      </c>
      <c r="C6764" t="inlineStr">
        <is>
          <t>読み方：ばくろ
［名］(スル)
１むき出しにすること。特に、悪事・秘密などをあばいて明るみに出すこと。また、それらが明るみに出ること。「真相を—する」「収賄が—する」「—記事」
２風雨にさらすこと。また、さらされること。
３細菌・ウイルスや薬品などにさらすこと。また、さらされること。「高病原性鳥インフルエンザウイルスに—する可能性の高い地域」「天然痘に—する危険がある」「水銀—」</t>
        </is>
      </c>
      <c r="D6764" t="inlineStr">
        <is>
          <t>暴露する(16%)；暴露される(5%)；暴露記事；暴露しよ；暴露群</t>
        </is>
      </c>
      <c r="E6764" t="inlineStr">
        <is>
          <t>公開；告白；発覚；露出；当てる</t>
        </is>
      </c>
      <c r="F6764" t="inlineStr">
        <is>
          <t>現実暴露；自己暴露；自ら暴露；長期間暴露；遺憾なく暴露</t>
        </is>
      </c>
      <c r="G6764" t="inlineStr">
        <is>
          <t>暴露話；暴露療法；暴露ウイルス</t>
        </is>
      </c>
      <c r="H6764" t="n">
        <v>29</v>
      </c>
      <c r="I6764" t="inlineStr">
        <is>
          <t>犯人しか知り得ない鍵の隠し場所を自ら暴露したトニーは敗北を認める。；治療者と患者が協働して、系統的な暴露を展開していくことが望まれる。；岡田がこの研究の存在を暴露した際、政府は虚を突かれた格好となった。；ほんの数時間暴露するだけで、それを排出するのには半年から数年である。；その中には対外戦争を通じて国王の不実を暴露しようとする議員もいた。；そのため、一部ではあったがINが歴史の表舞台に暴露されることとなった。；週刊誌に女性との赤裸々なLINEメッセージが暴露され話題となった。；彼女の暴露の内容は、以下の点でどの文献でもほぼ共通している。；一説には、ケイトも加えて姉妹二人で暴露公演を行ったとされている。；しかし、そうした行動が逆に自分たちの正体を暴露することになってしまった。；ハンセン病への暴露が濃厚であったからハンセン病を発病したのでない。；委員会は陸軍通信部隊におけるスパイ団を暴露しようとしたが、失敗した。；多くの将兵が枯葉剤に暴露し、ズムウォルトの息子もその一人であった。；が残りのメンバー4人全員のマスクをつけていない写真を暴露した。；他人の秘密をのぞいたり暴露したりする行為を内容としている。；それは、彼がピロートークで語った裏事情が全て書かれた暴露記事だった。；宣言どおりクロクスタは秘密を暴露する手紙をヘルメルに送りつけた。；組織の秘密を暴露していないことをシンジケート仲間へ伝えるメッセージと見られた。；そこで、会議において田中上奏文が偽書であることを暴露しようとした。；人体が爆風に暴露した場合、まず最初に負傷するのが耳と眼である。；以降、アメリカ合衆国が行ってきた戦争犯罪・国家犯罪を次々と暴露している。；ユルチェンコはペルトンがソ連のスパイであることをCIAに暴露した。；更に、スパイクが塹壕の上に出て、隠れている兵士の位置を暴露した。；これらは主に鉱山労働者に多く見られた症状で暴露から遠ざけると改善している。；また板倉の恋人の存在が暴露され、彼女が作ったケーキも参加した。；トルエンに暴露されると、聴力にも悪影響があることが知られている。；由緒ある椿の家名も、これが暴露されると、泥沼のなかへ落ちてしまう。；秘密を調査し暴露するという手法は彼女のトレードマークとなった。；これは危険を伴うので今まで避けられていたのだが、なおも暴露されることはなかった。</t>
        </is>
      </c>
      <c r="J6764">
        <f>HYPERLINK("https://www.weblio.jp/content/暴露", "词义详情")</f>
        <v/>
      </c>
      <c r="K6764">
        <f>HYPERLINK("https://yourei.jp/暴露", "查看例句")</f>
        <v/>
      </c>
    </row>
    <row r="6765">
      <c r="A6765" t="inlineStr">
        <is>
          <t>激しい</t>
        </is>
      </c>
      <c r="B6765" t="inlineStr">
        <is>
          <t>成功</t>
        </is>
      </c>
      <c r="C6765" t="inlineStr">
        <is>
          <t>読み方：はげしい
［形］［文］はげ・し［シク］
１勢いがたいへん強い。「—・い風雨」「気性の—・い人」「—・い反対に遭う」
２程度が度を過ぎてはなはだしい。ひどい。「—・い痛みに悩まされる」「暑さが—・い」
３行われる回数が驚くほど多い。非常に頻繁である。「変化の—・い社会」「人の出入りが—・い」
４けわしい。
「—・しき道に打ち越えて」〈宇津保・俊蔭〉
[派生]はげしさ［名］</t>
        </is>
      </c>
      <c r="D6765" t="inlineStr">
        <is>
          <t>激しい戦闘(2%)；激しい怒り；激しい戦い；激しい抵抗；激しい音</t>
        </is>
      </c>
      <c r="E6765" t="inlineStr">
        <is>
          <t>強い；大きい；大変；恐ろしい；強力</t>
        </is>
      </c>
      <c r="F6765" t="inlineStr">
        <is>
          <t>激しい競争；激しい衝撃；激しい批判；激しい砲撃；最も激しい</t>
        </is>
      </c>
      <c r="G6765" t="inlineStr">
        <is>
          <t>激しい恋；激しい季節；激しい雨が；激しいい；激しいいい</t>
        </is>
      </c>
      <c r="H6765" t="n">
        <v>29</v>
      </c>
      <c r="I6765" t="inlineStr">
        <is>
          <t>歴史は短いながら車両規定の変遷が激しく、廃止と復活も経験している。；各隊とも初年兵教育はいつになく激しかったが、銃隊は他を超えていた。；そして地上から激しい銃撃を受ける中で数分かけて目標物の撮影を行った。；この場合に痛みの激しさは患者の危機に比例しこの状態は悲劇的である。；以上に見た経緯と連動して、名古屋港横断道路の構想は激しく変化した。；さらにはより大きな音や激しい音を得るために木や石を叩いた可能性も大きい。；最初はそっと、だが次第にどれだけ案じていたかを示す激しさをこめて。；これは予想が甘かったと言うよりはこの時の降水量が激しすぎたと見る。；レーガン政権内部では中国の激しい抗議に対する対応で意見が分かれた。；その激しさ・しつこさ・に堪えられないで死ぬ人間さえあるではないか。；医師たちが意見をすると激しく怒り、処罰する寸前に至ることもあった。；そしてその前にやや開き気味に足を開いて立つニーナの姿は激しかった。；この対策はうまくいき、女真の間での抗争は極めて激しいものとなった。；南の国境での戦が激しさを増しているので、その余裕がないのだろう。；母親の証言によれば父親の虐待が激しさを増したのはこの頃であった。；その人物は男関係が激しかったと言っていたが、まあ表現はどうでもいい。；痛みは激しかったが、それを無視することがそのときの僕にはできた。；絶対の自信を持って乗り出してきただけにゾラタスの怒りは激しかった。；この思想はいわゆる旧仏教側から激しく糾弾され、攻撃の的となった。；特に当駅前後の被害が最も激しく土砂は線路を超えて県道付近まで達した。；想像されたような激しい競り合いもなく淡々とレースは流れ直線を迎えた。；その調子の激しさで、本来なら口にしたくないことが、すらすらと出た。；そして共産主義を激しく批判して、最後にまたドイツ語で締めくくった。；陽子の心の奥底にひそんでいた激しさが、一度に爆発したようであった。；金管が第1主題の動機を繰り返して再び激しくなるところから展開部。；激しかった怪獣との戦いが過去のものとなり、地球には平和が続いていた。；陽子は、それが恋というもののなす激しさであることに気づかなかった。；そして責任を脱れたいような心持は、初めての時よりも一層激しかった。；後方の客室ドアが開けられたが火災が激しかったためすぐに閉められた。</t>
        </is>
      </c>
      <c r="J6765">
        <f>HYPERLINK("https://www.weblio.jp/content/激しい", "词义详情")</f>
        <v/>
      </c>
      <c r="K6765">
        <f>HYPERLINK("https://yourei.jp/激しい", "查看例句")</f>
        <v/>
      </c>
    </row>
    <row r="6766">
      <c r="A6766" t="inlineStr">
        <is>
          <t>励ます</t>
        </is>
      </c>
      <c r="B6766" t="inlineStr">
        <is>
          <t>成功</t>
        </is>
      </c>
      <c r="C6766" t="inlineStr">
        <is>
          <t>読み方：はげます
［動サ五（四）］
１気持ちが奮いたつようにしてやる。元気づける。力づける。激励する。「病床の友を—・す」
２声などを激しくする。強くする。「言葉を—・して説得する」</t>
        </is>
      </c>
      <c r="D6766" t="inlineStr">
        <is>
          <t>励ますよう(36%)；励ます会(11%)</t>
        </is>
      </c>
      <c r="E6766" t="inlineStr">
        <is>
          <t>援助；促進；応援；後援；援護</t>
        </is>
      </c>
      <c r="H6766" t="n">
        <v>29</v>
      </c>
      <c r="I6766" t="inlineStr">
        <is>
          <t>この抗議は教師がもう一度絵を描くようにと励ますまで二日半続いた。；涙を見せては江戸っ子の名がすたれるとばかり男は自分で自分を励ます。；外国人投手が投げている試合では率先して声を掛けて励ます姿も見られる。；本田の入院が伝えられると各方面から励ましのメッセージが寄せられた。；ときどき手が止まったが、そのときは自分を励まして作業を再開した。；彼は村人たちを励ますように、戦の神の教えを説いているところだった。；とても仲がよくて毎日を助け合って励まし合って幸せに暮らしましたとさ。；彼女を助けてあげることもできないし、彼女を励ますこともできない。；彼は声を励ましてテーブルを叩きながら、自分の意見を述べはじめた。；そんな時にも裕太は彼らを励ましきっと助けがくると希望を捨てない。；そんな彼を3人の元戦士たちは励まし、希望を失ってはならないと説く。；また運悪く復活に成功しなかった人の遺族には心からの慰めと励ましを。；同大学OBで、過去に同様の怪我をしたからは励ましの言葉をかけられた。；冬木自身が一台でも多くカワナを見て、自分を励ましたい気持もあった。；父親は絶望しながら、もう一年やれと言って、慰めたり励ましたりした。；と、洋子は、自分の気持ちを励ますようにもう一度胸の中でつぶやいた。；私が倒れて以来、なんと数多くの人々の励ましや慰めを受けたことか。；そうして、一層の雄々しさを見せて、人を励ますことのできる女でした。；そんな彼だが、妻で地元の警官のペネロペはそんな彼を励まし続けていた。；こんなにおれは弱くなかったはずだと自分を励ましてみたが、無駄だった。；評価と励ましを与えてくれた彼には早く報告したいと思い、原稿を送りました。；久米に挨拶に行った時、励ましとも嫌みとも付かない言葉を掛けられた。；セコンドについてくれたカークは、そんな彼を励ます唯一の友人だった。；ぼくは後ずさりしそうになる自分を励まし、ゆっくりと彼女の後に従った。；努めて気を励まし、母が用意して呉れた風呂敷包を持って出かけました。；人生初めての鉄道畑以外の仕事であったが、研究者達を大いに励ましたという。；そして人と話しているとき、時々愛情ぶかく励ますような様子をした。；僕としても『頑張って下さい』と万感の思いで励ますしか道はなかった。；ちょっとした励ましのことばで、また一段と勇気が出るような気がする。</t>
        </is>
      </c>
      <c r="J6766">
        <f>HYPERLINK("https://www.weblio.jp/content/励ます", "词义详情")</f>
        <v/>
      </c>
      <c r="K6766">
        <f>HYPERLINK("https://yourei.jp/励ます", "查看例句")</f>
        <v/>
      </c>
    </row>
    <row r="6767">
      <c r="A6767" t="inlineStr">
        <is>
          <t>励み</t>
        </is>
      </c>
      <c r="B6767" t="inlineStr">
        <is>
          <t>成功</t>
        </is>
      </c>
      <c r="C6767" t="inlineStr">
        <is>
          <t>読み方：はげみ
１励むこと。精を出すこと。
２気力を奮い立たせるもの。精を出す支えとなるもの。はげまし。「仕事に—が出る」「仲間の声援を—に戦う」</t>
        </is>
      </c>
      <c r="D6767" t="inlineStr">
        <is>
          <t>励みまし；励みたい；励みつつ；励みなさい；励み続け</t>
        </is>
      </c>
      <c r="E6767" t="inlineStr">
        <is>
          <t>勧め；刺激；振興；刺戟；激励</t>
        </is>
      </c>
      <c r="H6767" t="n">
        <v>29</v>
      </c>
      <c r="I6767" t="inlineStr">
        <is>
          <t>彼女の手を握っていることがかれにとってとても励みになるように思えた。；この成功が井深にとってたいへんな励みになったことはいうまでもない。；天のお父さんがいるんだから、という励みが出て来、望みができて来る。；少年時代は勉強に励み、学業では地元で右に出る者なしとまでいわれた。；ただ愛情を込めて国王の世話に励み、それを喜びとしていたのである。；でも明るい言葉をかけられると励みが出るような気がするものね。；明日死んでも誰かが知っていてくれると思えるのは励みになる、だそうだ。；上職者に仕えてはその職務に励み、人々とは尊敬の念をもって交わった。；なにか励みになることを伝えたかったが、その二文字しか出てこなかった。；賈模はあくまで表に出ずに政治に励み、権力と距離を置く事を望んでいた。；あなたは主人のそばにいなくても、彼の励みになっていたのです。；辞めようと思ったこともありますが、応援してくれる人の声が励みになる。；岩崎によると、プレゼントを贈ることが自身の励みになっているという。；みね子は仕事に励み、実のことを考える時間が以前より少なくなってきていた。；今の私だからとおっしゃってくださったのは、これからの励みになります。；そういってやるだけでも、なんの楽しみもない妹には励みになるはずだと思っていたのだ。；秋色深い頃で、源氏は勤行に励みながら宮のことを思い出したりする。；そのことがかえって励みになり、仕事の方は大体うまくいきました。；そいでもこの本ば傍においとるだけでどいしこ励みになるかわからん。；そして、自分の仕事を進める気持は、留守の家に安心を得る励みであった。；諸君がここに来ることは継続するための精神的な励みである。；菊栄はそれを機に、町に出て勉学に励みたいと決意し、伯父に申し出た。；このような苦難からも5iveは次のアルバム制作に励みつづけた。；性格は生真面目で、さらに強くなるために日々修行に励み続けている。；毎日練習に励み、お互いに気心がわかるようになると、友情が芽生えた。；小さな頃から剣道に励み、高校生の時に県大会で準優勝したこともある。；幼い頃は耕田に励み、長じると書史の経験を積み、騎射と得意とした。；デビュー前に松本から受けたアドバイスを今でも心の励みにしているという。；フローレンスの助けが励みになっていた彼には大きな痛手だった。</t>
        </is>
      </c>
      <c r="J6767">
        <f>HYPERLINK("https://www.weblio.jp/content/励み", "词义详情")</f>
        <v/>
      </c>
      <c r="K6767">
        <f>HYPERLINK("https://yourei.jp/励み", "查看例句")</f>
        <v/>
      </c>
    </row>
    <row r="6768">
      <c r="A6768" t="inlineStr">
        <is>
          <t>励む</t>
        </is>
      </c>
      <c r="B6768" t="inlineStr">
        <is>
          <t>成功</t>
        </is>
      </c>
      <c r="C6768" t="inlineStr">
        <is>
          <t>読み方：はげむ
［動マ五（四）］
１気持ちを奮い起こして物事をする。心を打ち込んで努める。精を出す。「学業に—・む」「日夜研究に—・む」
２力をふるいおこす。
「こはき力を—・みて」〈宇津保・俊蔭〉</t>
        </is>
      </c>
      <c r="D6768" t="inlineStr">
        <is>
          <t>励むよう(7%)；励むべき</t>
        </is>
      </c>
      <c r="E6768" t="inlineStr">
        <is>
          <t>務める；努力；尽力；努める；奔走する</t>
        </is>
      </c>
      <c r="H6768" t="n">
        <v>29</v>
      </c>
      <c r="I6768" t="inlineStr">
        <is>
          <t>三と八の日には学問に励む、そして一と六の日には母の按摩をしたのだ。；剣士はこれでいいのだろうかと思いつつも、今夜も製作に励むのだった。；おのれらは馬鹿なことは考えず子孫の繁栄に励むことだけを思うべきだ。；ビルの警備員をやりつつ、ギターでの楽曲製作に励む日々を送っていた。；率先して小屋作りに励む大川の姿を見た勇吾は彼を社長にすると決める。；この時王はその仕事に励むならば彼の不正の数々を見逃すと約束した。；また、彼は自国の芸術のために熱意を持って励むということがなかった。；友人の言葉を聞いた2人はそれまでの態度を改め、特訓に励むようになる。；学費の一部は叔父から援助を受けるが、自らも特待生となり勉学に励む。；ことに学問の道に励むものにはああ云うものは何の益もない代物だ。；研究者龍目直之の協力も得て、鳥男の能力の研鑽・研究に励むようになる。；彼らに日本一の座を奪われないよう無理に無理を重ねて増産に励む。；どんなささいな場所でも、彼らはすぐさま行に励むことができるのだった。；I青年から即席のコーチを受けたあと、ぼくは一人で訓練に励むことにした。；迷宮街で日々探索に励む術師たちは、地上ではその力を使うことができない。；デカブリストの中にはシベリアなどの流刑地で教育や研究に励む者もいた。；それゆえ生徒たちは勉学に励むのだが、アステルにはある別の目的があった。；とにかく、それからは、両親の教えに従ってスポーツに励むことになった。；日本の子供の多くは、幼い頃から腰に刀を差すことを夢見て勉学に励むのだ。；正反対の2人の女の子が天界の女王の座を目指し勉強に励む設定。；そんな疑問をもち続けるのはちょっと気持ち悪いので、ますます研究に励むことになる。；後にパーボ・ヌルミの存在を知り、その影響を受けつつ練習に励むことになる。；正化33年、郁は篤に気持ちを伝えられないまま日々戦闘と訓練に励む。；演奏技術を身につけるには、学校の伝習室に残って一人稽古に励む他はなかった。；パリで精力的に活動したのち、活動拠点を台湾に移して制作に励む。；私物を天道道場の側で売って商売に励む一面もあるが、全く売れていない。；病気の親友・蘭花のためにも陸上大会で優勝しようと練習に励むルリ。；彼らは山で、この死と浄化と再生の体験をしようと修行に励むのだ。；この井戸があった建物は勧学院と呼ばれ、学問に励む施設であった。</t>
        </is>
      </c>
      <c r="J6768">
        <f>HYPERLINK("https://www.weblio.jp/content/励む", "词义详情")</f>
        <v/>
      </c>
      <c r="K6768">
        <f>HYPERLINK("https://yourei.jp/励む", "查看例句")</f>
        <v/>
      </c>
    </row>
    <row r="6769">
      <c r="A6769" t="inlineStr">
        <is>
          <t>剥げる</t>
        </is>
      </c>
      <c r="B6769" t="inlineStr">
        <is>
          <t>成功</t>
        </is>
      </c>
      <c r="C6769" t="inlineStr">
        <is>
          <t>読み方：はげる
［動ガ下一］［文］は・ぐ［ガ下二］
１付着していたものや覆っていたものが離れてとれる。「塗りの—・げた漆器」「めっきが—・げる」
２色が薄くなる。あせる。「壁紙の色が—・げる」</t>
        </is>
      </c>
      <c r="H6769" t="n">
        <v>29</v>
      </c>
      <c r="I6769" t="inlineStr">
        <is>
          <t>そのことを想像してみるだけで私の気持は現実から剥げてしまいそうだ。；黒く日焼けしていた顔の色がかなり剥げてしまっているためであろうか?；体毛はまったくなく、剥げた顔には異様に大きい目と耳がついていた。；どの建物も、ガラスやプラスチックは数百年前に剥げ落ちてしまっている。；ほんのかすかな光明を見たとたんに、その覚悟は剥げ落ちてしまった。；床が沈んだところは補修されていないし、ペンキはあちこちで剥げている。；そのすぐ側で、お文が所々裏の赤いのが剥げてゐる鏡に向つて坐つてゐた。；彼女はもしそうしたらこの大切な記憶がしだいに剥げて行くだろうと嘆いた。；その薬がだんだん剥げるにしたがって、金魚は弱って死んだのであろう。；小屋の脇には塗装の剥げかかったボートがいくつか放置してあった。；白い箇所は青い塗料が剥げたものであり、他の青い箇所と同様に水域である。；産れた女の児が、少しずつ皮膚の色が剥げて白くなって来るまでには大分間があった。；頭が二つの股に裂けて、全く木の皮が剥げ落ちて、日光に白く光っていた。；富士春は、上り口の間へ立ったまま、剥げた壁へ顔を当てて、泣いていた。；爪も何枚か剥げただが、指はサヴァリスの左腕に深く食い込んでいた。；もっとも顔は、流れる汗で、化粧がすっかり剥げ落ちてしまっている。；指のマニキュアがところどころ剥げているし、足は埃りにまみれていた。；芝の剥げたあちこちに黒い土がめくれあがり、そこに雑草が伸びている。；石の柱のやうに塗り裝うてある壁は、一年に二三度も剥げ落ちた。；内院の廊の壁に坊さん達の肖像を濃厚な色彩で描いたのが大半剥げて居る。；向側には途方もない大きな汽船の剥げ汚れた船腹が横づけになっている。；その森のおもてから目に見えぬほどづゝ何所からともなく青い色が次第に剥げていつた。；右側の城壁にある壁画、その絵の山の部分に大きく剥げた箇所がある。；そう言われてみれば、ところどころ、剥げ落ちたような朱色が残っていた。；どうせ柄も剥げてしまっているし、法学部生的にいえば緊急避難的措置だ。；鞘の色が剥げた長脇差を腰にして、風呂敷包みを胴に巻きつけている。；口の触れる場所にある金は、何度か洗ううちに手前から剥げてくる。；右手背は皮膚が灰白色にぺろりと剥げて、赤肌に黒い土が一面についていた。；彼は剥げた一閑張の小机を、竹垣ごしに狭い通りに向いた窓際に据ゑた。</t>
        </is>
      </c>
      <c r="J6769">
        <f>HYPERLINK("https://www.weblio.jp/content/剥げる", "词义详情")</f>
        <v/>
      </c>
      <c r="K6769">
        <f>HYPERLINK("https://yourei.jp/剥げる", "查看例句")</f>
        <v/>
      </c>
    </row>
    <row r="6770">
      <c r="A6770" t="inlineStr">
        <is>
          <t>禿げる</t>
        </is>
      </c>
      <c r="B6770" t="inlineStr">
        <is>
          <t>成功</t>
        </is>
      </c>
      <c r="C6770" t="inlineStr">
        <is>
          <t>読み方：はげる
［動ガ下一］［文］は・ぐ［ガ下二］《「剝(は)げる」と同語源》
１頭髪が抜け落ちてなくなる。「頭が—・げる」
２樹木がなくなって、山などの地肌が露出する。「乱伐のため山が—・げる」</t>
        </is>
      </c>
      <c r="D6770" t="inlineStr">
        <is>
          <t>禿頭；ハゲ；禿げ；ツルッパゲ；薄毛</t>
        </is>
      </c>
      <c r="H6770" t="n">
        <v>29</v>
      </c>
      <c r="I6770" t="inlineStr">
        <is>
          <t>いくら何でも、頭を禿げらかしたあたしがこんなことを言うわけがない。；頭頂部が禿げ上がっていて側頭部にわずかに銀髪の塊が残っていたかな。；間もなく玄関のドアが開き、頭の禿げた男性が不安そうな顔を覗かせた。；玉のように見事な禿げ頭が、天井の照明を受け、視線の先で輝いていた。；そしてわたしの頭の少し禿げている所が、闇の中で光っているだろう?；歳をとって頭が禿げ上がったとはいえ、長尾は紛う方なくその男だった。；彼の禿げ上がった額に、半ば開いた唇の跡が毒々しく緋色に燃えていた。；おふじは頭の禿げた押しの強そうな弁護士を頼もし気だと思って眺めた。；頭の禿げあがった教師が生徒に、会社をリストラされた父親が我が子に。；頭はほとんど禿げているが、灰色の髯は元気よく四方八方に伸びている。；でかくて、翼が広くて、頭の禿げた鳥で、死んだものを食べて生きてる。；それも、さっき代々木公園にいた頭の禿げた男が着ていたものだった。；汗っかきの彼は、それだけの動作で既に禿げ上がった額を濡らしていた。；白髪の婆さんと向い合って、歯の抜けた頭の禿げた爺さんが坐っていた。；ところが神様の頭は前のほうにだけ髪があって、うしろは禿げている。；何よりも怖いのは、その禿げた頭が無慚に打ち割られていることだった。；古典的な馬とでもいうのか、頭が禿げて、ひどく悲しそうな顔をしている。；それを読んだ医師たちがあらゆる国から禿げ鷹のように寄ってきた。；それに頬の肉が肩までたれているし、頭ったら坊さんみたいに丸禿げ!；リーラは彼の禿げた頭を見た、と、とても彼が気の毒に思えるのだった。；さらに老人性だったらしく、35歳の頃には禿げ上がっていたという。；私は彼のうしろに立って、その禿げ頭と、項の凹みとを見ていました。；やや小太りで、頭が少し禿げた男と、リボンのついた帽子が二つだった。；まだ三十そこそこの年齢だろうが、すでに額のあたりが禿げあがっている。；見事に禿げ上がっているその頭から汗がしたたって落ちている。；世の中にこれほどたくさんの禿げた人間がいる事実にまず礼子は心を打たれた。；頭は禿げあがり、白髪がわずかに耳の周囲にからんでいるだけであった。；頭頂部が禿げ、周りの髪が長いというのも、どこかおかしい感じがする。；前頭部から後頭部まで禿げ上がった白髪頭が特徴の、初老の男性である。</t>
        </is>
      </c>
      <c r="J6770">
        <f>HYPERLINK("https://www.weblio.jp/content/禿げる", "词义详情")</f>
        <v/>
      </c>
      <c r="K6770">
        <f>HYPERLINK("https://yourei.jp/禿げる", "查看例句")</f>
        <v/>
      </c>
    </row>
    <row r="6771">
      <c r="A6771" t="inlineStr">
        <is>
          <t>化ける</t>
        </is>
      </c>
      <c r="B6771" t="inlineStr">
        <is>
          <t>成功</t>
        </is>
      </c>
      <c r="C6771" t="inlineStr">
        <is>
          <t>読み方：ばける
［動カ下一］［文］ば・く［カ下二］
１本来の姿・形を変えて別のものになる。「狐が人間に—・ける」「—・けて出る」
２素性を隠して別人のように見せる。「従業員に—・けてもぐり込む」
３全く異なったものに変わる。「本代が酒に—・ける」
４あるものが思いがけない変化を遂げる。俳優や相撲取りが突然うまくなったり、価格などが大きく変動したりする。「襲名して—・けたようだ」「株価が—・ける」</t>
        </is>
      </c>
      <c r="D6771" t="inlineStr">
        <is>
          <t>化けるかもしれ；化ける可能性</t>
        </is>
      </c>
      <c r="E6771" t="inlineStr">
        <is>
          <t>なる；化する；変わる；成る；変る</t>
        </is>
      </c>
      <c r="F6771" t="inlineStr">
        <is>
          <t>よく化ける</t>
        </is>
      </c>
      <c r="H6771" t="n">
        <v>29</v>
      </c>
      <c r="I6771" t="inlineStr">
        <is>
          <t>さすが昔は女優であっただけに、どんな女にでも化ける手を知っていた。；何よりもたくみに化けることが、俳優の第一条件だと信じてきっている。；おまえはちょっとの間に何度も化けるが、ひとつそのコツを教えてくれ。；前にものべたようにKGBは身分の下の者に化けるのを好む傾向がある。；私は人間が書物、本ですね、本に化ける話を書きたいと思ったことがある。；これで狸の化けるときだけ、片仮名を使った意味もはっきりしましたね。；そいつは、どんなものであれ、眼についたものに化けることができるんだ。；そのときに、総さんは急に化けることができなくなってしまったの。；話には聞いていたけど、目の前で狐が人間に化けるなんてのは初めて見たよ。；警官に化けるのは大変だから、彼は私服の刑事に化けようと腹をきめた。；この人はせむしの殿村探偵だけでなくて、また別の人にも化けるのです。；十両の金が、十一両に化けるなんて、そんな人の悪い冗談はやめて下さいよ。；そして、信じられている通りに、さまざまな姿に化けることができる。；それに対して、他の二作には、より〈化ける〉要素があるのではないか。；ある程度のレベルに達すると、人に化けるなど様々な能力を手にするようである。；花の唇がたちまち変じて、鳥の嘴にでも化けるような、部屋働の驚き方。；くり返して言うのですが、「女は化けるものだ」というのは当然である。；正確に化けるには、化けたい相手をどれだけ強く記憶しているかに左右される。；というか才人は、そんな鏡で化ける舞踏会だなんて知らなかったのだ。；と空中で人に化けると窓を開けて部屋の中に飛び込んできた。；何よりも巧に化けることが、俳優の第一条件だと信じ切っている。；ほかにもうひとり、野獣や鳥やながい図体をした蛇などに化ける者がいた。；同じものがちょっと北へ行ってドイツ、デンマークとなるとビールに化ける。；それともまだイメージの確立されていない、何らかの新しい道具に化けるべきなのか。；現に彼の命令で妹に化けることまで承知したくらいだからね。；姿を消したかに見えた白山坊は、橋本家に侵入しルビーの首輪に化ける。；国民を代表する人物に化けるほど造作ないことはございません。；山形 化けるのほうであって家じゃないと言ったけど、家のほうであってもいいのでは。；ぼくは夜光人間に化ける用意をととのえて、事務所で待っていたのだ。</t>
        </is>
      </c>
      <c r="J6771">
        <f>HYPERLINK("https://www.weblio.jp/content/化ける", "词义详情")</f>
        <v/>
      </c>
      <c r="K6771">
        <f>HYPERLINK("https://yourei.jp/化ける", "查看例句")</f>
        <v/>
      </c>
    </row>
    <row r="6772">
      <c r="A6772" t="inlineStr">
        <is>
          <t>派遣</t>
        </is>
      </c>
      <c r="B6772" t="inlineStr">
        <is>
          <t>成功</t>
        </is>
      </c>
      <c r="C6772" t="inlineStr">
        <is>
          <t>読み方：はけん
［名］(スル)
１ある使命をもっておもむかせること。「援軍を—する」「人材—業」
２「派遣社員」「派遣労働者」の略。</t>
        </is>
      </c>
      <c r="D6772" t="inlineStr">
        <is>
          <t>派遣する(7%)；派遣される(5%)；派遣軍；派遣部隊；派遣団</t>
        </is>
      </c>
      <c r="E6772" t="inlineStr">
        <is>
          <t>出す；配置；送る；向ける；差し出す</t>
        </is>
      </c>
      <c r="F6772" t="inlineStr">
        <is>
          <t>支那派遣；援軍派遣；選手派遣；部隊派遣；派遣芸術家在外</t>
        </is>
      </c>
      <c r="G6772" t="inlineStr">
        <is>
          <t>派遣社員；派遣先；派遣労働；派遣会社；派遣議員</t>
        </is>
      </c>
      <c r="H6772" t="n">
        <v>29</v>
      </c>
      <c r="I6772" t="inlineStr">
        <is>
          <t>また故宮を紅衛兵が破壊しようとした際にも、軍隊を派遣して阻止した。；日本へ派遣された艦隊は史上例をみない世界史上最大規模の艦隊であった。；オーストラリア政府は警察や軍人など66人を派遣することを決定した。；また軍隊は各藩から派遣された藩兵で構成されており、統率性を欠いた。；しかし竜が泉を守っていた為派遣された家来たちの大部分がこの竜に殺された。；日露両陣営には欧米と南米諸国から数多くの観戦武官が派遣されていた。；ホテルへの派遣の場合、宿泊費や飲食費等は一般に客側の負担となる。；ロシアは5月にバルト海に所在する艦船群の極東派遣を決定・発表した。；しかし、本格的な経営は困難な状態で、西域都護を派遣できずにいた。；台湾出兵は、1874年に日本が行った清国領台湾への軍隊派遣である。；当初、広田が南京に派遣されるという案があったが、実行されなかった。；しかし派遣した医師の交代など人事は医局側に属するのが通例である。；末日聖徒イエス・キリスト教会も信徒を派遣して宣教活動を行っている。；多くの国から派遣された科学者たちが、研究や実験を行っている。；また記者の派遣については、開設・運営局以外から行われることも少なくない。；このとき、中央から派遣した役人が全国の各地方を支配する郡県制が施行された。；またフランス軍がピレネーに進出し、ドイツ方面へ軍を派遣できなかった。；また留学生の派遣にも力を入れ、日本初の女子留学生の派遣も実現させた。；海上自衛隊の初任幹部を乗せた練習艦隊の派遣もこれに貢献している。；その他の基幹局は、既存支局への人員派遣という形で協力を行っている。；孫権は劉備が白帝に留まっていると聞き、使者を派遣して和睦を請うた。；蔣経国自身も最近まで共産党の勢力が浸透していた困難な地への派遣を望んだ。；宣教師は、イエス・キリストまたは教会から派遣されて福音を伝える人。；ヨーロッパ諸侯がエルサレムへの大規模な遠征軍の派遣を躊躇し始めたのだ。；イラクに派遣された自衛隊は戦死者が一人も出ていないと公式に発表されている。；しかし派遣が決定したのは15時で、暴徒らは既に議事堂内に侵入していた。；彼は会員たちを欧州全域に派遣して、一般学校と神学校を各地に創設させた。；これに怒った孫権は呂蒙を派遣して荊州を襲わせ、両者は戦闘状態に入った。；運行時には案内係が派遣されることが多い。</t>
        </is>
      </c>
      <c r="J6772">
        <f>HYPERLINK("https://www.weblio.jp/content/派遣", "词义详情")</f>
        <v/>
      </c>
      <c r="K6772">
        <f>HYPERLINK("https://yourei.jp/派遣", "查看例句")</f>
        <v/>
      </c>
    </row>
    <row r="6773">
      <c r="A6773" t="inlineStr">
        <is>
          <t>箱</t>
        </is>
      </c>
      <c r="B6773" t="inlineStr">
        <is>
          <t>成功</t>
        </is>
      </c>
      <c r="C6773" t="inlineStr">
        <is>
          <t>読み方：そう
［音］ソウ（サウ）（呉）　［訓］はこ
［学習漢字］3年
〈ソウ〉
１車の荷ばこ。「車箱」
２物を入れるはこ。「巾箱(きんそう)・百葉箱」
〈はこ（ばこ）〉「箱庭／重箱(じゅうばこ)・巣箱・手箱・本箱」</t>
        </is>
      </c>
      <c r="D6773" t="inlineStr">
        <is>
          <t>箱型(3%)；箱形；箱支持；箱根山；箱状</t>
        </is>
      </c>
      <c r="E6773" t="inlineStr">
        <is>
          <t>ケース；皮；殻；革；覆い</t>
        </is>
      </c>
      <c r="F6773" t="inlineStr">
        <is>
          <t>軸箱；大きな箱；小さな箱；紙箱；荷箱</t>
        </is>
      </c>
      <c r="G6773" t="inlineStr">
        <is>
          <t>箱館；箱根駅；箱庭；箱崎；箱根登山</t>
        </is>
      </c>
      <c r="H6773" t="n">
        <v>29</v>
      </c>
      <c r="I6773" t="inlineStr">
        <is>
          <t>藩主の座から追われた松平定敬は国許には帰らず箱館まで戦争を続けた。；古くより本殿深く箱の中に納められており、現在も見ることはできない。；なお引っ越し作業では220箱もの本を移動させる羽目になったという。；カリンバとは、箱に並んだ細い金属棒を弾いて演奏するアフリカの楽器。；発売時期によってはパッケージにサック箱を採用していた時期もあった。；入れたままでサイコロを振ることができる、専用の箱も市販されている。；打ち込んだ後では検査ができないため使った釘の箱を見て確認するしかない。；等身大時には、地球人の言語を理解するために箱状の赤い耳を出している。；また、それらにつながる城砦の整備も箱根山方面を中心に進んでいった。；火花をより観察しやすいように、ヘルツは暗くした箱の中に装置を置いた。；証拠を集めた者によれば、20世紀初頭にまだ寄進箱は使われていた。；ざるではなく木で作られた長方形の浅い箱状の器に薄く均一に盛られる。；日本ではギャラリー画像のような金属製の箱型をしたものがほとんどとなっている。；CM前に過去5週間のヨーロッパ旅行が入った箱の色が発表される。；従来は独立して設置していた機器類は共通機器箱に集約した。；各車にブレーキ関係の機器を一体箱化したブレーキ制御装置を搭載する。；骨箱の包みの間には浩太から預かってきた100円と加代の手紙があった。；屋根上のベンチレーターも同様に八角形状から箱型のものとなった。；そのため、箱の上に布製の括り枕を取り付け高さを上げた枕が使用された。；コンビニや小売店の店頭で、中の見えない箱に入れられて販売されていた。；特に箱に残ったエルピスをどう解釈するかで物語の理解が分かれる。；カバーのない本の場合は、箱がその役割を果たすことがある。；刃を被うためにカバーがあり、削りかすをためるための箱が付いている。；板や箱の上に並んだ鉄や竹の棒を親指の爪ではじいて演奏する。；占いたいことを口に出しながらこの箱を振ると、3枚のカードが出てくる。；「観測者が箱を開けるまでは、猫の生死は決定していない」とされている。；そのため目安箱への投書のほとんどは黙殺され、焼き捨てられていった。；問題箱は箱の中の紐を引くと扉が開くようになっている。；ある日、2人は屋根裏部屋で不思議な太鼓のような音がする箱を発見する。</t>
        </is>
      </c>
      <c r="J6773">
        <f>HYPERLINK("https://www.weblio.jp/content/箱", "词义详情")</f>
        <v/>
      </c>
      <c r="K6773">
        <f>HYPERLINK("https://yourei.jp/箱", "查看例句")</f>
        <v/>
      </c>
    </row>
    <row r="6774">
      <c r="A6774" t="inlineStr">
        <is>
          <t>運び</t>
        </is>
      </c>
      <c r="B6774" t="inlineStr">
        <is>
          <t>成功</t>
        </is>
      </c>
      <c r="C6774" t="inlineStr">
        <is>
          <t>読み方：はこび
１物をある場所から他の場所に移すこと。「荷物—」
２足などの進め方や動かし方。「足の—がもたつく」
３物事の進んでいくぐあい。運びぐあい。また、段取り。「仕事の—をつける」「出版の—となる」</t>
        </is>
      </c>
      <c r="D6774" t="inlineStr">
        <is>
          <t>運びこま(5%)；運びこん(4%)；運び入れ(3%)；運び去ら(3%)；運び上げ</t>
        </is>
      </c>
      <c r="E6774" t="inlineStr">
        <is>
          <t>作業；輸送；過程；経過；プロセス</t>
        </is>
      </c>
      <c r="F6774" t="inlineStr">
        <is>
          <t>試合運び；足運び；レース運び；荷物運び；荷運び</t>
        </is>
      </c>
      <c r="G6774" t="inlineStr">
        <is>
          <t>運び出し；運び出さ；運び込ん；運び出す；運び込む</t>
        </is>
      </c>
      <c r="H6774" t="n">
        <v>29</v>
      </c>
      <c r="I6774" t="inlineStr">
        <is>
          <t>フィデリオは、修理したばかりの鎖の重い荷物を運びながら入ってくる。；その豪快な試合運びから、勝っても負けても会場を沸かせる選手である。；一度は拒否されるが、叔父の口利きで荷物運びとして同行を認められる。；テイグリンの激流が、彼女を何処かへと運び去ってしまったからである。；彼らはあなたをその手にのせて運び、足が石に当たらないように守る。；同じ四足歩行をする動物の間でも、移動する際の脚の運び方には相違がある。；風は土を信じてひまわりの種を運び、土は風を信じてひまわりの種を待つ。；山の上に畑から出た石を運び、家の基礎と大きな風呂が完成していた。；さらには屏風や絵画などの本国寺の貴重な什器類までもが運び去られた。；幼い頃より映画好きの母に連れられて映画館へ足を運び、映画女優を志す。；そのことにより名称を千日デパートへ変更して営業する運びとなった。；作品の多くは大胆な筆の線で描かれ、会話の少ない独特の話運びがなされている。；その一方で、試合運びが単調で、技を失敗することも少なくなかった。；保護犬猫の譲渡会にも積極的に足を運びチャリティー支援や啓発活動も。；隊列をなして餌運びをする働きアリの列の外側を、兵アリが守っている。；荷物運びを仕事とする者へ、荷物運びの仕事を与えるために用いる。；ところが政治的な将来性のため、この縁組は成立する運びとなった。；その縁もあってログアウト文庫からノベライズ版が出版される運びとなる。；糸運びが複雑であるため、作成にはある程度の熟練した技術と知識が必要である。；樹上に雄が巣材となる木の枝を運び、雌がそれを組み合わせた巣を作る。；しかし、補欠にも選ばれず同級生の荷物運びという厳しい扱いを受ける。；このため貨車の種類は運びたい貨物に合わせて多種多様なものとなる。；盃を口に運びながら、改めてお嬢さんを見てみると実に好い器量だった。；特に荷物運び労働者に人気があったことから、ポーターと呼ばれるようになった。；感謝に震えながらボール運びなど下働きする松木を仲間は暖かく包んだ。；こうして世宗市への行政機関移転計画は原案通り推進される運びとなった。；ただし試合運びについては両選手ともにクリーンではなかったとの指摘もあった。；ヒョングは韓国から日本へ荷物を運び、亨は彼を日本で迎える仕事をしていた。；捕えた獲物を樹上へ運び、数日にわたって食べたり保存することもある。</t>
        </is>
      </c>
      <c r="J6774">
        <f>HYPERLINK("https://www.weblio.jp/content/運び", "词义详情")</f>
        <v/>
      </c>
      <c r="K6774">
        <f>HYPERLINK("https://yourei.jp/運び", "查看例句")</f>
        <v/>
      </c>
    </row>
    <row r="6775">
      <c r="A6775" t="inlineStr">
        <is>
          <t>運ぶ</t>
        </is>
      </c>
      <c r="B6775" t="inlineStr">
        <is>
          <t>成功</t>
        </is>
      </c>
      <c r="C6775" t="inlineStr">
        <is>
          <t>読み方：はこぶ
［動バ五（四）］
１物や人をある場所から他の場所へ移す。移動させる。「荷物を—・ぶ」「けが人を救急車で—・ぶ」
２（「足をはこぶ」などの形で）ある場所まで出向く。目的地に行く。「せっせと足を—・ぶ」「歩(ほ)を—・ぶ」
３（「おはこびになる」「おはこびくださる」などの形で）「来る」「行く」の尊敬語。「ようこそお—・びくださいました」
４物事を予定した段取りにしたがって進める。「事をうまく—・ぶ」「会議を—・ぶ」
５その物を用いてする動作を進める。「筆を—・ぶ」「箸を—・ぶ」
６物事がとどこおらずに進む。進捗(しんちょく)する。はかどる。「交渉が円滑に—・ぶ」「仕事がうまく—・ぶ」
[可能]はこべる</t>
        </is>
      </c>
      <c r="D6775" t="inlineStr">
        <is>
          <t>運ぶべき；運ぶよう命じ；運ぶべく</t>
        </is>
      </c>
      <c r="E6775" t="inlineStr">
        <is>
          <t>持つ；輸送；伝える；動かす；移動する</t>
        </is>
      </c>
      <c r="F6775" t="inlineStr">
        <is>
          <t>乗せて運ぶ；入れて運ぶ；運ぶよう指示；運ぶよう命令</t>
        </is>
      </c>
      <c r="H6775" t="n">
        <v>29</v>
      </c>
      <c r="I6775" t="inlineStr">
        <is>
          <t>ところが、実際には中国の商人たちは金を日本へ運んでいた面もあった。；天竜川の上流にダムが出来たため、上流から運ばれてくる砂の量が減少。；進行期には手にとるものすべてを口に運ぼうとする口唇傾向も出現する。；しかし、宿屋の主人がなかなか食事を運んでこないので腹を立てている。；ヨーロッパオオヤマネコのロキが運ばれてきた際に使用された箱も展示。；このとき運ばれてきた山車の上段にあった傘との関係も指摘されている。；紙に書いた手紙や荷物などを、指定した相手のもとまで運んでくれる。；通勤列車は毎日勤務先と家との間を往復する大量の住民を運んでいる。；ただし前回と違って職場の理解を得られた為、会場には足を運んでいる。；父親もやはり自分でも心配していたので、おだやかに事を運ぼうとした。；艦隊で最も脆弱な船であり、コロンブスが所有していた金を運んでいた。；子どもの頃から材木を運んだり、カンナをかけたりして体を作っていた。；事がうまく運ばなかった場合はERM加入は状況を悪化させるだろう。；伝承によれば、天使が彼女の遺体をシナイ山へと運んだと言われている。；レーニンが死去した時には他の幹部達と遺体が収められた棺を運んでいる。；この町ではいまでもビルマから塩を運ぶ隊商の到着をみることができる。；アフリカから多くの黒人が大西洋を越えて新大陸へ奴隷として運ばれた。；石室の構築には、相当な量の石が運ばれたと想定しなければいけない。；その時に鉛筆も日本に入り、家から学校に運ぶ時には木箱を使っていた。；そして二人は来た時と同じように大鷲に運ばれてゴンドリンを去った。；死んで運ばれてきたものが化石になる場合は珍しくないからである。；虫媒花であり花粉を虫に運んでもらうために花の色や形も様々である。；塩釜の風景を模すための塩は、難波の海の北の塩を運んだと伝えられる。；江戸時代に江戸へ運んで出開帳を行ったことから広く知られるようになった。；例えばブロックを近くに運んできたり遠くへ移動させたりすることができる。；全ての石にあるひび割れは、分割して運んだためであると伝えられる。；ここで初めて製造した塩化ウラニルは茨城県の東海村の施設へ運ばれた。；それは存在するはずのない音楽をかなで、「ぼく」をここに運んできた。；個人の感情をすこしだけ越えたような何かを、まっすぐに運んできてくれる声。</t>
        </is>
      </c>
      <c r="J6775">
        <f>HYPERLINK("https://www.weblio.jp/content/運ぶ", "词义详情")</f>
        <v/>
      </c>
      <c r="K6775">
        <f>HYPERLINK("https://yourei.jp/運ぶ", "查看例句")</f>
        <v/>
      </c>
    </row>
    <row r="6776">
      <c r="A6776" t="inlineStr">
        <is>
          <t>鋏</t>
        </is>
      </c>
      <c r="B6776" t="inlineStr">
        <is>
          <t>成功</t>
        </is>
      </c>
      <c r="C6776" t="inlineStr">
        <is>
          <t>読み方：はさみ
《「挟み」と同語源》
１物を2枚の刃で挟んで切る道具。「裁ち—」「花—」
２（鋏）切符などに穴をあけたり切り込みを入れたりする道具。パンチ。
３（「螯」 「鉗」とも書く）カニ・エビなどの節足動物の脚の、物をはさむような形に発達した部分。これをもつ脚を鉗脚(かんきゃく)という。
４じゃんけんで、ちょき。
[下接語] （ばさみ）金(かな)鋏・紙鋏・空(から)鋏・刈り込み鋏・木鋏・裁ち鋏・爪(つめ)切り鋏・握り鋏・花鋏</t>
        </is>
      </c>
      <c r="D6776" t="inlineStr">
        <is>
          <t>鋏格子；鋏をなし；鋏研ぎ；鋏をちょきちょき；鋏をもつ例</t>
        </is>
      </c>
      <c r="E6776" t="inlineStr">
        <is>
          <t>はさみ；剪刀</t>
        </is>
      </c>
      <c r="F6776" t="inlineStr">
        <is>
          <t>大きな鋏；小さな鋏；大鋏；巨大な鋏；握り鋏</t>
        </is>
      </c>
      <c r="G6776" t="inlineStr">
        <is>
          <t>鋏角類；鋏脚；鋏状；鋏丸；鋏肢</t>
        </is>
      </c>
      <c r="H6776" t="n">
        <v>29</v>
      </c>
      <c r="I6776" t="inlineStr">
        <is>
          <t>そうして再び鋏がそこに迫って来るまではそこで落ち付いているらしい。；毎日そばに寄ってきて、こせこせ鋏を使って小枝を切ったりなどしない。；葉山が部屋に入って坐っても、しばらく、彼を無視して鋏を使っていた。；戦いの時などに失った鋏や脚は、数回の脱皮を繰り返すうちに再生する。；女の住んでいない寺中では、僧侶が針や鋏を持つことが無いとも云えない。；V字型に開いた尾根は刃を開いた巨大な鋏のように見えることがある。；食べやすい長さに包丁や料理鋏で切って、皿に載せてタレを入れて出す。；目をつけておいた古鋏に、細工をしおえると、ほぼ予定の時刻になった。；それは数年前に流行した十幾とおりの使い方のあるという西洋鋏である。；客の頭に鋏を入れていた佐治とその息子が、鏡の中で軽く挨拶を送ってきた。；これに反して私の鋏がなんだか平和な穏やかなもののように思われた。；そこには、縫物の傍にマルスリイヌの置いておいた一梃の小鋏があった。；二人の子供は兄弟かなにかで、母親が弟の方を鋏で刺したということかな?；蟹は大きな鋏を前で合わせて人が拱揖をするような容をして沈んでいった。；こうなったら、鋏を取り出して、ひげを切ってしまうほかなかったのです。；男の眼の前には大きな紫色をした鋏のような物が閃いたのであった。；伊三次はお文の前に座ると小鋏を取り上げてお文の爪を切ろうとした。；それじゃ、杉原さとえの周りで二度も鋏を使った事件が起きたってこと?；そのうち二本の先端にあるのは、巨大な鉤爪とも鋏ともつかないものだった。；口の中に裁ち鋏を入れて、唇のはしをじょきんとやるようなものである。；これを機に女性も鋏を入れる例が増えたが土俵には上がらないことが続いた。；これも小さいカニで肉はないが、足や鋏はカリカリしていていい味がする。；脚先は鋏となるが、最も後方の脚は体を押し出すために葉状になっている。；鋏は女にしか用はないし、書物は、学問のある人間にしか役に立たない。；刃物の産地として知られており、ナイフや鋏は世界中に輸出されている。；女は鋏をカウンターの上に置き、前かけで手を拭って写真を受け取った。；あの二人は鋏の刃のように出会うべくして出会ったにちがいない。；こちらはビグロよりも大型化しており、蟹の鋏のような形状になっている。；私はテーブルの上にあった糸切り鋏に手を伸ばし、すばやく玄関に向かった。</t>
        </is>
      </c>
      <c r="J6776">
        <f>HYPERLINK("https://www.weblio.jp/content/鋏", "词义详情")</f>
        <v/>
      </c>
      <c r="K6776">
        <f>HYPERLINK("https://yourei.jp/鋏", "查看例句")</f>
        <v/>
      </c>
    </row>
    <row r="6777">
      <c r="A6777" t="inlineStr">
        <is>
          <t>挟む</t>
        </is>
      </c>
      <c r="B6777" t="inlineStr">
        <is>
          <t>成功</t>
        </is>
      </c>
      <c r="C6777" t="inlineStr">
        <is>
          <t>読み方：さしはさむ
［動マ五（四）］
１間に入れる。はさみこむ。「しおりを本に—・む」
２他人の話に途中から割り込む。別の意見などを言って干渉する。「口を—・む」「異論を—・む」
３ある考えを心中に含み持つ。「疑念を—・む余地のない結論」
[可能]さしはさめる</t>
        </is>
      </c>
      <c r="D6777" t="inlineStr">
        <is>
          <t>挟む形(8%)；挟むべき；挟む力；挟むダイヤモンド型インターチェンジ；挟む三河一宮から新城</t>
        </is>
      </c>
      <c r="E6777" t="inlineStr">
        <is>
          <t>入れる；挿入；差し入れ；組み込む；差し込む</t>
        </is>
      </c>
      <c r="H6777" t="n">
        <v>29</v>
      </c>
      <c r="I6777" t="inlineStr">
        <is>
          <t>自分が口を挟むのは不自然だとわかっていたが、黙っていられなかった。；川を挟んで東側には大口東総合病院、川沿いに北へ向かうと公園がある。；そのうちの一人、背の低い女の子が箱をふとももで挟むようにしている。；両者はいずれも滝を含むように広がっているため、滝を挟んで隣接している。；旧来の駅舎と道路を挟んだ北側の歩道橋に面した部分に橋上駅舎がある。；喫茶カウンター・トイレとも、通路を挟んだ反対側は通常の座席である。；また、ホームを挟んだ反対側にも機回し線と思われる線路が存在していた。；正面中央の玄関とその奥の廊下を挟んで南北に部屋を配置する。；この二つの施設を挟む様にして国道58号と国道330号が通っている。；岸が約束した合宿は優勝から中1日を挟んで8月3日が集合日となった。；寝室は自習室の廊下を挟んだ反対側にあり、3部屋分の学生を収容する。；小学校は横浜市立のものが線路を挟んで東側と西側に一つずつ配置されている。；駅を挟んだ西側と東側にロータリーおよび自転車預り所が設けられている。；半島には中央部に谷があり、谷を挟むように東西それぞれに尾根がある。；改札・コンコースは地下化されており、入口は踏切を挟んで両側にある。；崖に貼りつくように、中線を間に挟んだ相対式ホームが設置されている。；この台には目の高さには六角形の広告などを挟む板が2枚付けられていた。；この先百合ヶ丘駅手前まで津久井道と歩道一つを挟んで完全に並行する。；左の結び余りの布部分を脚の間に通し、背中側で折り畳んで後ろ腰に挟む。；海に囲まれた島であり、舟を用いた移動が挟まれる点が特徴である。；被害者の傷は、喉の左右を挟むようについていたって言いましたよね?；そのため、利根川を挟んで南北に分断された形で営業を行うことになった。；西に三原川・東に兵庫県道66号大谷鮎原神代線に挟まれた場所にある。；お侍のやっていることに、中間が横から口を挟むなんてとんでもねえや。；通りを挟んだすぐ近所には、ヘミングウェイ博物館が設けられている。；海峡を挟んで両岸が同じ町である例は、日本では珍しいものであった。；一見すると挟みにくそうな形状であるが、力はそこまで弱いわけではない。；朝鮮政府は交渉に口を挟む権利がなく、ただ明にすがっているだけだった。；原爆ドームがある広島平和記念公園とは道路を挟んで向かい合っている。</t>
        </is>
      </c>
      <c r="J6777">
        <f>HYPERLINK("https://www.weblio.jp/content/挟む", "词义详情")</f>
        <v/>
      </c>
      <c r="K6777">
        <f>HYPERLINK("https://yourei.jp/挟む", "查看例句")</f>
        <v/>
      </c>
    </row>
    <row r="6778">
      <c r="A6778" t="inlineStr">
        <is>
          <t>破産</t>
        </is>
      </c>
      <c r="B6778" t="inlineStr">
        <is>
          <t>成功</t>
        </is>
      </c>
      <c r="C6778" t="inlineStr">
        <is>
          <t>読み方：はさん
［名］(スル)
１財産をすべて失うこと。「投機に失敗して—する」
２債務者が債務を完済することができなくなった状態。また、そうなった場合に、債務者の総財産をすべての債権者に公平に弁済するために、破産法で定められている制度。一般に、そのための裁判上の手続きをいうこともある。→破産手続き</t>
        </is>
      </c>
      <c r="D6778" t="inlineStr">
        <is>
          <t>破産寸前(3%)；破産状態(3%)；破産後；破産申請；破産申し立て</t>
        </is>
      </c>
      <c r="E6778" t="inlineStr">
        <is>
          <t>倒産；身一つ；一文なし；無一物；文無し</t>
        </is>
      </c>
      <c r="F6778" t="inlineStr">
        <is>
          <t>抱えて破産；国家破産；第三者破産；性格破産；抱え破産</t>
        </is>
      </c>
      <c r="G6778" t="inlineStr">
        <is>
          <t>破産管財人；破産手続；破産宣告；破産者；破産手続き</t>
        </is>
      </c>
      <c r="H6778" t="n">
        <v>29</v>
      </c>
      <c r="I6778" t="inlineStr">
        <is>
          <t>ところがハサンの母親のほうはと申しますると、次のようでございます。；当初あった鉄道会社の全てが破産し、今日残っている会社に買収された。；三人兄弟の二番目のハサン王子はと申しますと、次のようでございます。；ハサンは北朝鮮と唯一国境を接し、中国とも国境を接している町である。；ハサンが見つけてきたこのハマムだけが、特別に飲ませているのである。；シナンが顔をあげてそちらへ眼をやると、そこに、ハサンが立っていた。；これはハサンが軍部隊の駐屯する都市で人生の大部分を送ったことによる。；ハサンが家に帰るのは、イブラヒムが自分の屋敷にもどった時だけである。；これを降伏への手配りと捉えて、ハサンに反抗して刃をむける者もいた。；アバールハサンも同じく外に出て、街の中を彼女を送って行きました。；自分は、それをひと言も口にせずに、ハサンにそれをさせようと言うのだ。；そしてそれらをハサンに与えたので、彼はそれらを身につけました。；剣で、ハサンの剣を横に払ったばかりの男の喉を突いていたのである。；こうしてハサン老人は、得た金を貧しい人々に使い続けたのであった。；破産した所有者は同馬を維持することはできないと判断して、屠殺した。；また商人としての信用が尊ばれ、破産に陥った者は士官の階級を失った。；ただし、0ドルを切ってマイナスになってしまうと破産になってしまう。；また、兄弟の事業を経済的に支援した父も、この一件を機に破産した。；ハサンの町がハサン湖付近にあり、ロシアと北朝鮮の間の国境を有する。；イブラヒムもまた、荒い呼吸に、胸を上下させながらハサンを見ていた。；監査人の原型は、商人の破産や解散の時に帳簿を監査した者に由来する。；破産した場合、以下の方法で所持金を0両以上にしなければならない。；相変わらず背を向けたまま、「わたしはなにも聞いとらんよ」とハサン。；これが失敗するとギャンブルで金を作ろうとし、完全に破産状態になった。；それを耳にした時、シナンが思い出したのは、ハサンの言葉であった。；この企業は 2001年に破産したホルニテクス・グループに由来する。；政府は破産を宣言し、経済の崩壊を理由にアメリカ軍が介入することになる。；その負担は非常に重いもので、上等戸といえどもしばしば破産するに至った。；他の代のハサンと異なり、彼は自らの肉体に手を加えることを一切しなかった。</t>
        </is>
      </c>
      <c r="J6778">
        <f>HYPERLINK("https://www.weblio.jp/content/破産", "词义详情")</f>
        <v/>
      </c>
      <c r="K6778">
        <f>HYPERLINK("https://yourei.jp/破産", "查看例句")</f>
        <v/>
      </c>
    </row>
    <row r="6779">
      <c r="A6779" t="inlineStr">
        <is>
          <t>端</t>
        </is>
      </c>
      <c r="B6779" t="inlineStr">
        <is>
          <t>成功</t>
        </is>
      </c>
      <c r="C6779" t="inlineStr">
        <is>
          <t>読み方：たん
１（「端」とも書く）布類の長さの単位。鯨尺で幅9寸（約34センチ）、長さ2丈6尺から2丈8尺（約10メートル）。だいたい一人分の衣服に要する長さ。
２土地の面積の単位。1町の10分の1（約10アール）。10畝、また、300歩。もとは360歩。
３距離の単位。6間（約11メートル）。
４和船の帆の幅をいう単位。おおよそむしろ1枚の幅で、3尺（約91センチ）。「だん（段）」</t>
        </is>
      </c>
      <c r="D6779" t="inlineStr">
        <is>
          <t>端部(5%)；端側；端梁；端板；端付近</t>
        </is>
      </c>
      <c r="E6779" t="inlineStr">
        <is>
          <t>際；側；先；最後；末</t>
        </is>
      </c>
      <c r="F6779" t="inlineStr">
        <is>
          <t>車端；最北端；北西端；南西端；北東端</t>
        </is>
      </c>
      <c r="G6779" t="inlineStr">
        <is>
          <t>端子；端緒；端的；端正；端役</t>
        </is>
      </c>
      <c r="H6779" t="n">
        <v>29</v>
      </c>
      <c r="I6779" t="inlineStr">
        <is>
          <t>駅舎とホームを連絡するエレベーターが名古屋寄り端に設置されている。；側窓高さは拡大され、車端部は固定窓としたほか、妻面窓もやや大きい。；戦前から活動してきた日本学術振興会第23小委員会に端を発している。；別の手法は端のセルの近傍を一般のセルとは違う内容にする手法である。；南北線ホームのエレベーターはホームの四ツ谷側端部に設置されている。；ベンチの端から、忍者のように体半分を出したり隠れたりする癖が有名。；側窓はドア間は下降窓と固定窓の組み合わせ、車端部は固定窓としている。；また、この構造の為揺れの大きい車端部にも座席が設置されている。；朝鮮半島南東端に位置し、韓国の主要都市中で最も日本の近くに位置する。；編成端部側の貫通扉は埋められ、列車愛称表示器が取り付けられている。；各バンドに対応してそれぞれ異なるバンド端エネルギー と異なる が存在する。；城や港などから端を発して、それが巨大化したのが特徴的である。；後に進化し、長柄の穂と反対側の端には石突きが付けられるようになった。；この屈曲部の北東端までが上流で、それより南が中流ということになる。；島の最南端の半島にグレート・ソルト池と言う湖に近い大きな池がある。；狭義では、複数枚の紙が一方の端を綴じられた状態になっているもの。；客室部の側窓は209系各区分と同様、車端部を除き固定窓を用いた。；また、パラメータ をバンド端を基準としたフェルミ準位 と定義する。；袖仕切りは01系に準じた仕切りと荷棚の端が一体になったものである。；側窓は車端部は固定窓、それ以外の2連窓は開閉可能な下降窓である。；チェスと同様端から二列が自陣となり、先手からその中に駒を配置する。；これに対し3Dでのステージの端は、 のいずれかとなる傾向にある。；左のカメラ端にあるのが測距用、カメラ中央部にあるのがフレーミング用。；いずれの車両も車端部は固定の4人掛けロングシートとなっている。；によると、大津市の東西南北それぞれの端は以下の位置となっている。；LED式案内表示器は、客室端部に天井から吊るす形で設置されている。；階段はホームの新松戸方向端にあり、階段横の通路の奥にエレベーターがある。；全車両ともデッキは車端部に2箇所設置され、客用扉はプラグドアである。；改札口は南側ホーム端にあるが、北側ホーム端にも臨時改札口がある。</t>
        </is>
      </c>
      <c r="J6779">
        <f>HYPERLINK("https://www.weblio.jp/content/端", "词义详情")</f>
        <v/>
      </c>
      <c r="K6779">
        <f>HYPERLINK("https://yourei.jp/端", "查看例句")</f>
        <v/>
      </c>
    </row>
    <row r="6780">
      <c r="A6780" t="inlineStr">
        <is>
          <t>橋</t>
        </is>
      </c>
      <c r="B6780" t="inlineStr">
        <is>
          <t>成功</t>
        </is>
      </c>
      <c r="C6780" t="inlineStr">
        <is>
          <t>読み方：きょう
［音］キョウ（ケウ）（漢）　［訓］はし
［学習漢字］3年
〈キョウ〉はし。「橋脚・橋梁(きょうりょう)／架橋・艦橋・陸橋」
〈はし（ばし）〉「橋板・橋桁(はしげた)／石橋・桟橋・船橋・太鼓橋」
［名のり］たか</t>
        </is>
      </c>
      <c r="D6780" t="inlineStr">
        <is>
          <t>橋付近；橋交差点；橋番；橋大学教授；橋周辺</t>
        </is>
      </c>
      <c r="E6780" t="inlineStr">
        <is>
          <t>ブリッジ；橋梁；架橋；桟；橋渡し</t>
        </is>
      </c>
      <c r="F6780" t="inlineStr">
        <is>
          <t>水道橋；八橋；かかる橋；両国橋；仮橋</t>
        </is>
      </c>
      <c r="G6780" t="inlineStr">
        <is>
          <t>橋梁；橋脚；橋爪；橋上駅舎；橋の下</t>
        </is>
      </c>
      <c r="H6780" t="n">
        <v>29</v>
      </c>
      <c r="I6780" t="inlineStr">
        <is>
          <t>渡ることさえ危険なときもあり、橋から転落し命を落とした者さえいる。；橋の道路側には山陰本線時代に営業していた売店の建物が残っている。；紙幣表面は窓や門が描かれているのに対して、裏面は橋が描かれている。；橋については徳川家康の世となった後、家康により別の橋が建造された。；橋の両端に設置されるものを橋台、中間に設置されるものを橋脚と呼ぶ。；ヒンドゥー教の神話では、インドとはラマと呼ばれる橋で結ばれていた。；このうち広電天満橋は軌道専用橋で、本線唯一の専用軌道区間でもある。；ホームと駅舎は同じ高さにあるが両者は橋で結ばれておりその下には別の道が通っている。；日本では高度経済成長期に大量に建設した橋が、大量に老朽化しつつある。；元々、この作品は三橋の歌唱を前提に古賀政男が作曲したものだった。；この橋はテムズ川を渡っていたか、今はない川の中に浮かぶ島を渡っていた。；両線の駅舎は不動谷川を挟んで両岸にあり改札内の連絡橋で結ばれている。；州内の橋には「道路前の橋は凍結」と書かれているのが通常である。；隣国サウジアラビアとは橋で結ばれているため、経済的な結びつきが強い。；橋の上からはすぐ南側に高野川と賀茂川の合流点を見ることができる。；また門から堀を結ぶ橋の欄干には乳海攪拌を模したナーガになっている。；地区によっては川を跨ぐ橋の上に飾り付けを行っているところもある。；後にこの橋から名をとって、大友堀は創成川と呼ばれるようになった。；この事故後の調査で、この橋も定期的な管理がなされていなかったことが判明した。；北西から南東に流れる川に対して、橋は北東から南西方向にかかる。；なお二層通路橋は上下層で方向を別にしたり、道路と鉄道の併用にしたりするもの。；前述の1600m戦も、第3コーナー過ぎの橋の上からスタートする。；さらに、自動車時代の幕開けとともにより多くの橋の建設が行われた。；途中の牟礼橋付近からは、流路を東八道路の上下線が挟む形で並行する。；ブリッジタウン市内には巨大な橋があり、町のシンボルになっている。；現橋の架橋当初には南部鋳物で造られた「橋側灯」が設置されていた。；パイプライン輸送用の橋もあり、たとえば石油パイプラインの橋がある。；地方の小規模な橋では、建設年の記録が残っていない例もある。；また、大阪・淀屋橋方面ホームにアンスリーおよび麺座が営業している。</t>
        </is>
      </c>
      <c r="J6780">
        <f>HYPERLINK("https://www.weblio.jp/content/橋", "词义详情")</f>
        <v/>
      </c>
      <c r="K6780">
        <f>HYPERLINK("https://yourei.jp/橋", "查看例句")</f>
        <v/>
      </c>
    </row>
    <row r="6781">
      <c r="A6781" t="inlineStr">
        <is>
          <t>箸</t>
        </is>
      </c>
      <c r="B6781" t="inlineStr">
        <is>
          <t>成功</t>
        </is>
      </c>
      <c r="C6781" t="inlineStr">
        <is>
          <t>読み方：はし
食物などを挟むのに用いる2本で一対の細い棒。木・竹・象牙(ぞうげ)などで作る。
[下接語] （ばし）一本箸・祝い箸・移り箸・苧殻(おがら)箸・金(かな)箸・香(こう)箸・菜(さい)箸・挵(せせ)り箸・雑煮箸・竹箸・床(とこ)箸・取り箸・握り箸・塗り箸・火箸・太箸・惑い箸・柳箸・利休箸・渡り箸・割り箸</t>
        </is>
      </c>
      <c r="D6781" t="inlineStr">
        <is>
          <t>箸袋；箸墓；箸先；箸使い；箸立て</t>
        </is>
      </c>
      <c r="F6781" t="inlineStr">
        <is>
          <t>迷い箸；塗り箸；箸さばき；箸洗；箸陵</t>
        </is>
      </c>
      <c r="G6781" t="inlineStr">
        <is>
          <t>箸尾；箸にも棒にもかからない；箸箱；箸休め；箸置き</t>
        </is>
      </c>
      <c r="H6781" t="n">
        <v>29</v>
      </c>
      <c r="I6781" t="inlineStr">
        <is>
          <t>食つても旨くないから食はぬといつて殆ど箸をとらなかつた日が続いた。；箸を取る時には出勤するか何うか疑問だったが、もう決心がついていた。；氏より見れば今の市會議員なるものは箸にも棒にも掛らぬ連中なるべし。；氏より見れば今の市会議員なるものは箸にも棒にも掛らぬ連中なるべし。；また、先がみえず箸を入れる勇気を問われる状況の比喩にも用いられる。；利き手は箸や筆の持ち方とは全く異なることを理解しなければならない。；昼飯時に弁当を開いた父娘だったが、箸を忘れてきたことに気がついた。；彼の来るのを待って箸を取らないのだと思ったのは間違いらしかった。；使っているうちにこの箸を壊すことは元気に育っている証拠とされる。；それでも立ちながら椀と箸とを持つて口を動かして居るものもあつた。；日本人は箸を使う特技があるのに何を苦んでフークの背中を使わんやだ。；食事を差し上げたが、胸が一杯なのであろう、箸をつけようともしない。；食事の時には、黙って彼女の前で箸と口とをうごかすばかりであった。；食堂には「箸とらば」の歌詞が掲げられており、食事の前に合唱を行う。；それから自分の名前も、箸の先に酒をつけて餉台の上に書いてみせた。；その晩、カヨは夕食に降りてきて食卓にはついたが、箸は取らなかった。；中国の影響が強かった琉球王国では茶碗や箸も銘々器が使用されていた。；僕は食法を日本化して以来は西洋料理に箸を用いさせる事にしたい。；テーブルに向って箸をとると、年と女だって云う事がはっきりと心に浮ぶ。；若い母親は絶えず子供に気を取られて自分の箸を持つ暇はなかつた。；小さい頃に親が箸や鉛筆など右で持つようにしようとしたが、できなかった。；他の人を指すように箸を置くことは、象徴的な脅威と見なされている。；元々は左利きで、箸を持つ時や字を書く時には、現在でも左手を使う。；また、箸袋にはその提供元の店名やその連絡先が書かれていることもある。；店に入ると行菜と呼ばれる給仕が箸と紙を持って注文を聞きに来る。；箸を持つ間も畳の上を忙しげに、あの男は逃廻つてゐるのではないか。；カップ麺の場合は、湯で戻して提供され、箸がついてくるものもある。；彼女の祖父は東洋のことに興味があり、彼女も祖父から銀の箸をもらっていた。；箸の先に刻みを入れ、食材をつまむ際に滑らないようにしたものも多い。</t>
        </is>
      </c>
      <c r="J6781">
        <f>HYPERLINK("https://www.weblio.jp/content/箸", "词义详情")</f>
        <v/>
      </c>
      <c r="K6781">
        <f>HYPERLINK("https://yourei.jp/箸", "查看例句")</f>
        <v/>
      </c>
    </row>
    <row r="6782">
      <c r="A6782" t="inlineStr">
        <is>
          <t>恥</t>
        </is>
      </c>
      <c r="B6782" t="inlineStr">
        <is>
          <t>成功</t>
        </is>
      </c>
      <c r="C6782" t="inlineStr">
        <is>
          <t>読み方：ち
［常用漢字］　［音］チ（呉）（漢）　［訓］はじる　はじはじらうはずかしい
〈チ〉
１はじる。はじ。「恥辱／羞恥(しゅうち)・無恥・廉恥」
２隠し所。陰部。「恥骨・恥部・恥毛」
〈はじ〉「赤恥」
[補説] 「耻」は俗字。</t>
        </is>
      </c>
      <c r="D6782" t="inlineStr">
        <is>
          <t>恥かしく(8%)；恥をかか(7%)；恥かしい(7%)；恥毛；恥をしのん</t>
        </is>
      </c>
      <c r="E6782" t="inlineStr">
        <is>
          <t>恥辱；不評；羞恥；不名誉；恥ずかしさ</t>
        </is>
      </c>
      <c r="F6782" t="inlineStr">
        <is>
          <t>気恥；差恥；赤っ恥；恥かきっ子；恥さらしな</t>
        </is>
      </c>
      <c r="G6782" t="inlineStr">
        <is>
          <t>恥ずかし；恥じ；恥ずかしく；恥辱；恥か</t>
        </is>
      </c>
      <c r="H6782" t="n">
        <v>29</v>
      </c>
      <c r="I6782" t="inlineStr">
        <is>
          <t>で、多少とも年代的に知って置かないと飛んだ恥をかくことになります。；それがたとえ恥と思い思われるようなことであっても、というのである。；生活の肌は肉體の肌と違つて、他人に見せるを恥とすべきことではない。；何も彼も知っていながら何故そんなに白を切って私に恥をかゝせるの?；もし出されて、そんなのは知らないと言ったら恥だと私たちは思っていた。；演劇のみは、この点で他の姉妹芸術に遅れてゐることを恥としない風がある。；はなはだお恥かしい次第ではあるが、僕もやはりその仲間の一人だった。；鴻池は怒ったもののこれが人に知られては己の恥と二人を夫婦にしてやる。；親兄弟の恥になるでな、こなに高い所に上って、おらんでいるとなあ。；利益のためには手段を選ばず恥も知らないという、やり方がこれである。；娘さんの恥にならないやうに、わたしが立派に女房に持つと云つた。；サパンペを着用している折にもめごとを起こすのは、大変な恥とされる。；ここでは、相手に自分の夫のことを語るのは恥だと考えられているためである。；多くのものは免れて恥なしというような気がしておるわけであります。；ここで、わが火星兵団が人間隊に負けたとあっては、火星軍の恥である。；またもらう方じゃ、だれからもらったってこれだけは恥にならないものだよ。；これでは、まるでわたくしに恥を掻かせるようなものではございませんか。；またそれは自分にとっての恥だったり、秘密にしたいことだったりもする。；そしてわからないものをわからないと言うのが、何故批評家の恥になるか。；あんな恥かしいところを見られたのだから名誉を回復しなければならない。；こんなどこで俺の恥まで晒すより、東京さでも行けばいいじゃねえか?；わたしの約束をした娘に恥を掻かせた男を生かして置くわけには行きません。；なかつたとしたところで、私などは、そんな点で、文化の恥ぢを感じない。；その自分がこうした恥の多い手紙を書かなければ成らないと書いた。；恥も外聞も忘れて、希望もなく生きる心境をつくることができたのです。；そんならお前、恥を知らずにわたくし共に 向って出て来たお前、お聴。；真の美談の主は人の語草になることを辛く恥かしく思ふかも知れません。；これは袂にも懐にも入らないから、何に対し、誰に恥ていいか分らない。；小さな義を捨て大きな恥を雪ぎ、その名声を後世にまで残したのである。</t>
        </is>
      </c>
      <c r="J6782">
        <f>HYPERLINK("https://www.weblio.jp/content/恥", "词义详情")</f>
        <v/>
      </c>
      <c r="K6782">
        <f>HYPERLINK("https://yourei.jp/恥", "查看例句")</f>
        <v/>
      </c>
    </row>
    <row r="6783">
      <c r="A6783" t="inlineStr">
        <is>
          <t>弾く</t>
        </is>
      </c>
      <c r="B6783" t="inlineStr">
        <is>
          <t>成功</t>
        </is>
      </c>
      <c r="C6783" t="inlineStr">
        <is>
          <t>読み方：ひく
［動カ五（四）］
１物の端を持って手近の所に寄らせる。手前に引き寄せる。
㋐たぐり寄せる。「網を—・く」
㋑手前に動かす。「サイドブレーキを—・く」
㋒矢を射放つ。「弓を—・く」
㋓（根差したものを）抜き取る。「草を—・く」
㋔（勝運などを託して）一つを選んで手もとに取る。「くじを—・く」「花を—・く」
㋕除き去る。減ずる。「三から二を—・く」「一割—・いて安く売る」
㋖こっそり盗み去る。「猫に魚を—・かれた」
㋗（ふつう「弾く」と書く）弦楽器や鍵盤楽器を鳴らす。弾じる。「ピアノを—・く」
２引き寄せ操って目ざす所に伴う。
㋐（引き綱を取って）連れ出す。「犬を—・いて散歩する」
㋑連行する。引き立てる。「警察に—・かれる」
㋒（手を取って）導き行く。「子供の手を—・く」
㋓（長い物が）地面などに触れたまま従い動く。引きずる。「裾が—・いている」「たもとを—・く」
㋔後ろに連結して運ぶ。「犬ぞりを—・く」「荷車を—・く」
㋕誘い込む。「客を—・く」「—・く手あまた」
㋖（「惹く」とも書く）人の注意や関心を向けさせる。「同情を—・く」「気を—・くしぐさ」「目を—・く広告」
㋗書物を繰って求める語を探し出す。「辞書を—・いて調べる」「電話帳を—・く」
㋘例としてあげる。引き合いに出す。「証拠を—・く」「故事を—・く」
㋙肩をもつ。ひいきにする。「派閥で—・いて三役に据える」
３線状に伸ばし延べる。
㋐線で描く。また線を描く。「設計図を—・く」「罫(けい)を—・く」
㋑張り広げる。「カーテンを—・く」
㋒塗り延べる。「油を—・く」「唇に紅を—・く」
㋓延べ広げる。「砂利を—・く」「なだらかな山裾を—・く」
㋔長く伸ばす。「声を—・いて歌う」
㋕糸状のものを生じさせる。「納豆が糸を—・く」
㋖特定の道筋を通じさせる。「バス路線を—・く」「ガスを—・く」「田に水を—・く」
㋗受け継いで伝わり及ぶ。「血筋を—・く」「学統を—・く」
㋘あとに余波が続く。「航跡を—・く」「わだかまりが尾を—・く」
㋙贈り物をする。
「布施に馬を—・き給へりける」〈今鏡・七〉
４出ているものを近づけ寄せる。
㋐自分の側に動かす。「あごを—・く」「右手を先に—・く」
㋑吸いつけようとする働きをもつ。「磁石は鉄を—・く」
㋒体内に吸い込む。「風邪を—・く」「大きく息を—・く」
㋓取りのけて後方にかたづける。「膳を—・く」
㋔後方に退かせる。「敗れて兵を—・く」
㋕（湯をくんで）浴びる。
「御湯—・かせ奉る」〈平家・一〇〉
５（「退く」とも書く）出ているものが遠くへ去る。しりぞく。
㋐向こうへ離れる。「潮が—・く」
㋑元のような状態にもどる。「水が—・く」「熱が—・く」
㋒うせる。なくなる。「痛みが—・く」「血の気が—・く」
㋓縁を切る。関係を断つ。「事件から手を—・く」
㋔引退する。「現役を—・く」「舞台を—・く」
㋕（俗語）相手に関心や興味を持たなくなる。相手から気持ちが離れる。「これを口にすると女性が—・く」→どん引き
６強く押し当てたものでこする。
㋐（ふつう「挽く」と書く）のこぎりや鉋(かんな)で切ったり削ったりする。「のこを—・く」「ろくろで—・く」
㋑（ふつう「碾く」と書く）ひき臼(うす)を回して穀類をすり砕く。「豆を—・く」
㋒（ふつう「轢く」と書く）車輪が人や動物を押しつけて通る。「自動車に—・かれる」
[可能]ひける
［動カ下二］「ひける」の文語形。
[下接句] 後(あと)に引けない・後を引く・一髪千鈞(せんきん)を引く・糸を引く・尾を引く・陰で糸を引く・気を引く・心を引く・潮が引く・袖(そで)を引く・体(たい)を引く・血を引く・血の気(け)が引く・杖(つえ)を曳(ひ)く・手を引く・手薬煉(てぐすね)引く・鼠(ねずみ)が塩を引く・人目を引く・棒を引く・幕を引く・満を引く・身を退(ひ)く・三度(みたび)諫(いさ)めて身を退く・目を引く・湯を引く・弓を引く・我が田へ水を引く</t>
        </is>
      </c>
      <c r="D6783" t="inlineStr">
        <is>
          <t>弾く演奏方法；弾くこと自体</t>
        </is>
      </c>
      <c r="E6783" t="inlineStr">
        <is>
          <t>出演；演奏；務める；プレー；公演</t>
        </is>
      </c>
      <c r="F6783" t="inlineStr">
        <is>
          <t>同時に弾く；強く弾く</t>
        </is>
      </c>
      <c r="H6783" t="n">
        <v>29</v>
      </c>
      <c r="I6783" t="inlineStr">
        <is>
          <t>女の眉が苦痛と屈辱に歪んだのを見た瞬間、おれの中でなにかが弾けた。；こんどは主に近代や現代の短い仏蘭西の作品が次つぎに弾かれていった。；だが結局のところ、船長は徹底的に弾くことができる楽器ではないのだ。；また、バンドをやるようになってからはギターも独学で弾くようになる。；その際に、お父さんはウクレレを弾いている真似をしながら歌っていた。；ドアが勢いよく開かれ、乗っていた女が弾かれるようにして出て来た。；弾かれたように、犬たちは押し開けてきたドアから外へ飛び出していった。；母の、あの冷たい手が置かれた気がして、弾かれるように首をひねった。；弾かれるように二八階までやってきた彼は、そこで目撃してしまったのだ。；しかしレコードなら演奏家の姿がわからないから二人して弾く事も出来ます。；その後は水の中につけたかのようにごぼごぼと声が弾けて聞こえなかった。；最もその三味線を弾く時、母親の歌った声は、まだ娘の耳に残っている。；小室は自分が弾いたピアノの中でこのピアノが一番好きと言っている。；両者はコース外に弾かれる格好となったが、互いにコースに復帰した。；ただ、あまりにも簡単に弾いた為、二人から逆に反感を買ってしまった。；それで僕はホテルやカフェのジャズ・バンドでピアノを弾いていたんだ。；また、家の周りを散歩したり、ピアノを弾いたりするのが日課であった。；学生時代はビオラを弾いていたが、後に演技に興味を持つようになった。；清水町の師匠がまだ春太夫さんを弾いて居られた時のことかと思います。；一匹の動物の背のように盛り上っていた鳩の群が、弾かれたように散る。；街道脇の林や放棄された馬車の陰から弾かれたように飛びだす猛獣たち。；だがソロ活動や近年のステージではギターを弾きながら歌うこともある。；同事務所で友人の前山田健一のアレンジ作品でギターを弾くことが多い。；由希に弾かせるというのは、あなたが言ったようなこととは関係ないわ。；聴いた音楽を自らアレンジしてピアノで弾くことを幼少時よりしていた。；ノックもせず乱暴に扉を開けると、船の主は弾かれたように顔を上げた。；軽音楽部に入っていたこともあり、ベースを弾くことを特技としている。；涼之助は呆然としたが、次の瞬間には弾かれたように立ちあがっていた。；ライブでギター弾く傾向があり、途中からライブでよく登場している。</t>
        </is>
      </c>
      <c r="J6783">
        <f>HYPERLINK("https://www.weblio.jp/content/弾く", "词义详情")</f>
        <v/>
      </c>
      <c r="K6783">
        <f>HYPERLINK("https://yourei.jp/弾く", "查看例句")</f>
        <v/>
      </c>
    </row>
    <row r="6784">
      <c r="A6784" t="inlineStr">
        <is>
          <t>梯子</t>
        </is>
      </c>
      <c r="B6784" t="inlineStr">
        <is>
          <t>成功</t>
        </is>
      </c>
      <c r="C6784" t="inlineStr">
        <is>
          <t>読み方：ていし
はしご。</t>
        </is>
      </c>
      <c r="D6784" t="inlineStr">
        <is>
          <t>梯子状；梯子型；梯子を登つて；梯子ボード；梯子をはずさ</t>
        </is>
      </c>
      <c r="E6784" t="inlineStr">
        <is>
          <t>階；階段；段々；はしご；梯子段</t>
        </is>
      </c>
      <c r="F6784" t="inlineStr">
        <is>
          <t>裏梯子；非常梯子；長い梯子；繩梯子；急な梯子</t>
        </is>
      </c>
      <c r="G6784" t="inlineStr">
        <is>
          <t>梯子山；梯子酒；梯子乗り；梯子車；梯子だん</t>
        </is>
      </c>
      <c r="H6784" t="n">
        <v>29</v>
      </c>
      <c r="I6784" t="inlineStr">
        <is>
          <t>この座席構造の車両ではさまざまな方法で梯子を用意している車両がある。；マスの数は特に決まっておらず、蛇や梯子の数や配置も決まっていない。；ニューヨークの2人がゲストともに温泉を梯子しながらゴールを目指す。；それは、地面から彼の家の階段へ通じていた梯子と似たようなものだった。；月に一回、裏から梯子をかけて、登って行って捲くのだとか聞きました。；昨夜の雨で雪駄の裏はひどく泥が付いてるが、梯子にも屋根にも泥はない。；同様に梯子の段や、椅子の部材の一部もスポークと呼ばれる場合がある。；するとその男が大きい木靴の音を立てて、木梯子を降りて來るのが聞えた。；実際に多くの梯子が到着したので50名の兵士が並んで登ることができた。；「何人か連れて梯子を持ってこい」彼はさきほどの決闘の相手に命じた。；非常梯子の下に二名の刑事が見張りを勤めていることは先に記した。；今まで僕の綱と思っていたのは実は綱梯子にできていたのです。；今まで僕の綱と思つてゐたのは実は綱梯子に出来てゐたのです。；二十歳の彼は書棚にかけた西洋風の梯子に登り、新らしい本を探してゐた。；しかし梯子はおりられないんだが、どうして下へおりたもんだろう。；通りすぎてからふりかえってみると、その梯子をおりてくる男があります。；そこには非常用の梯子がついていて、この三階から中庭にまで通じていた。；室には扉がなくてみな揚げ戸になり、階段がなくてみな梯子になっています。；昨夜の雨で雪駄の裏はひどく泥が附いてるが、梯子にも屋根にも泥は無い。；駅に辿り着いた後、フネは地上の道路の換気口まで続く梯子を見つけた。；また、下に落ちてもいけないし他の階に移動するためには梯子に乗る必要がある。；他に側壁には閘室内の船舶との連絡などのために梯子か階段が設置される。；例えば綱や梯子を渡してクレバスを越えるなどの方法が知られている。；その時は自分も愉快だったが、しばらくすると、例の梯子の下へ出た。；宮殿は天に向かって伸びる巨大な梯子のような印象を与えるよう意図されていた。；バスティ族はほかの梯子を何本もかけて、下の岩棚へぐんぐん登ってくる。；右端に設置した非常扉前には緊急時の脱出用梯子が設置されている。；高い竹梯子の上で宙乘をする消防夫の姿が馬車の上から見えました。；フォン・ホルストは戦士たちのあとから梯子をつたって崖の麓へ降りた。</t>
        </is>
      </c>
      <c r="J6784">
        <f>HYPERLINK("https://www.weblio.jp/content/梯子", "词义详情")</f>
        <v/>
      </c>
      <c r="K6784">
        <f>HYPERLINK("https://yourei.jp/梯子", "查看例句")</f>
        <v/>
      </c>
    </row>
    <row r="6785">
      <c r="A6785" t="inlineStr">
        <is>
          <t>始まり</t>
        </is>
      </c>
      <c r="B6785" t="inlineStr">
        <is>
          <t>成功</t>
        </is>
      </c>
      <c r="C6785" t="inlineStr">
        <is>
          <t>読み方：はじまり
１はじまること。また、はじまった時期。「授業の—を知らせるベル」「事件の—は一年前だ」
２物事の起こり。起源。「近代医学の—」</t>
        </is>
      </c>
      <c r="D6785" t="inlineStr">
        <is>
          <t>始まりまし；始まります；始まりつつある；始まりつつあり；始まり夢浮橋</t>
        </is>
      </c>
      <c r="E6785" t="inlineStr">
        <is>
          <t>最初；元；始め；当初；開始</t>
        </is>
      </c>
      <c r="F6785" t="inlineStr">
        <is>
          <t>月曜日始まり</t>
        </is>
      </c>
      <c r="G6785" t="inlineStr">
        <is>
          <t>始まりゃ；始まりのバラード；始まりの台地</t>
        </is>
      </c>
      <c r="H6785" t="n">
        <v>29</v>
      </c>
      <c r="I6785" t="inlineStr">
        <is>
          <t>日本には明治時代の末期にアメリカから輸入されたのが始まりとされる。；特に、雪起こしが観測された場合は冬の始まりであると言い習わされる。；これは世界や宇宙の始まりと終わりを考えることと同じことになる。；バビロニア人やエジプト人は日の出を一日の始まりの時刻だとしていた。；村の建設は1923年に始まり、基本的には1931年に完了している。；古代より原始信仰の対象であったとされているが、その始まりは諸説ある。；これが現在にも影響が続いている「占星術の心理学化」の始まりである。；これがAlphaベースのコンピュータの終わりの始まりとなった。；このことから明は猜疑の皇帝で始まり、猜疑の皇帝で終わったことになる。；義務教育は5歳から始まり、義務教育期間は5歳から18歳までである。；軍の組織崩壊も始まり、今までほとんど見られなかった集団投降も増えてきた。；第二次世界大戦が始まり1940年にフランスがドイツに降伏する。；戦時中に始まった遊びと思われるが、始まりの由来については不明である。；これらを水に溶かした際に示す性質がアルカリという概念の始まりである。；ここから韓国勢が世界戦を制覇していく時代の始まりとなる。；世良田満氏の子である経氏に始まり、その子重氏と以後子孫繁栄した。；太陰暦と太陰太陽暦では、ある月相のころの日初を、月の始まりとする。；彼らの業績は、ある意味で今日の積分の始まりとも呼べるものであろう。；各会員は1期から始まり、現在は各大学卒業ごとに開かれている。；京津電気軌道が三条大橋東詰の場所に三条大橋駅を開業したのが始まり。；したがって共通基語から歴史の始まりに至る過程は、言語史的に推定するしか方法はない。；動物学の始まりは古代ギリシアにあると見ることも出来るとされる。；冬至の日を一年の日数の始まりとし、冬至が含まれる月を決めておく。；これらは以後、外国からの干渉は受けない自主独立路線の始まりとなった。；また第5巻は自覚的な機能的調性の使用の始まりとも見なされている。；これらの日付はすべて、バビロンの始まりを紀元前23世紀としている。；一方で、日の出の瞬間を一日の始まりだと見なしている文化も多い。；このため、政府と議会の関係は政権の始まりからの緊張と対立を孕んだものとなった。；紀元前450年頃にインドで始まり、今では初期仏教として研究される。</t>
        </is>
      </c>
      <c r="J6785">
        <f>HYPERLINK("https://www.weblio.jp/content/始まり", "词义详情")</f>
        <v/>
      </c>
      <c r="K6785">
        <f>HYPERLINK("https://yourei.jp/始まり", "查看例句")</f>
        <v/>
      </c>
    </row>
    <row r="6786">
      <c r="A6786" t="inlineStr">
        <is>
          <t>始まる</t>
        </is>
      </c>
      <c r="B6786" t="inlineStr">
        <is>
          <t>成功</t>
        </is>
      </c>
      <c r="C6786" t="inlineStr">
        <is>
          <t>読み方：はじまる
［動ラ五（四）］
１物事が行っていない状態から行う状態になる。行われだす。「勤めは朝九時に—・る」「工事が—・る」⇔終わる。
２新しく起こる。新たに発生する。「戦争が—・る」
３起因する。起源をもつ。「けんかは何げない一言から—・った」「この風習は平安時代に—・る」
４いつものくせが出る。「そら—・った。例の自慢話だよ」
５（「…ても始まらない」の形で）むだだ。手遅れだ。しようがない。「怒っても—・らない」「今さら薬を飲んでも—・らない」</t>
        </is>
      </c>
      <c r="D6786" t="inlineStr">
        <is>
          <t>開始；始める；スタート；発する；仕掛ける</t>
        </is>
      </c>
      <c r="F6786" t="inlineStr">
        <is>
          <t>始まるまえ；いよいよ始まる；間もなく始まる；始まるまで続い</t>
        </is>
      </c>
      <c r="H6786" t="n">
        <v>29</v>
      </c>
      <c r="I6786" t="inlineStr">
        <is>
          <t>ここでの時代区分はできる限り早い時期から始まるよう定義されている。；観客は一瞬何が始まったのかと唖然としている間に次の場面が始まる。；其時私は明治の精神が天皇に始まつて天皇に終つたやうな気がしました。；修道院設立に伴い、現存する修道院教会の建設は1507年に始まった。；地面に倒れようとする巨人の胸では、すでに再生が始まろうとしていた。；アメリカに続いて、ヨーロッパ各国でも同様のサービスが次々と始まった。；農耕が始まると土地に定着し、生産高が増して人口が増えるようになる。；こんなことをしていても始まらないといった気持が頭を擡げ始めていた。；トークでオチをつけないと次の曲の演奏が始まらないことも特徴である。；しかし抑えきれないまま始まってしまったデモを支持する以外なくなった。；だがなぜ之は全く天下りにではなくて経験と共に始まらねばならぬのか。；行動が始まらない今、まだ現実的に何も変えられたわけではなかったが。；現在まで続く天道教青友党の公表される歴史は、事実上ここから始まる。；その後、遼河平原での作戦が完了すると、第二期作戦の準備が始まった。；やはり私には想像も出来ないくらいの巨大な祭りが始まろうとしているのだ。；平成以降に始まった作品の本誌でのリバイバルも行われるようになった。；登場人物や舞台を変えてちょっと不思議な新たな物語が始まろうとしていた。；ここから始まる一連の結婚が彼の旅を特徴的なものにしている。；発祥は江戸時代とされ、現在の東京都である江戸で始まったとされる。；音だけの記憶が、いったん始まればどこからともなく湧き出て声になる。；すべてが終って、何も始まらなかった前と同じになってしまったのだ。；相撲の技を言葉で表現しようとする試みは、戦国時代に始まるといわれる。；破壊が始まった一点が震源であり、破壊されてずれた部分が断層となる。；手術が始まろうとする時、患者は針金で絞殺されているのが発見される。；わたしはときどきわたしの本当の生活がまだ始まらなかったような気がする。；これは南アメリカ諸国のスペイン支配からの解放が始まったことを意味した。；日本とチベットの本格的な接触・交流が始まるのは近代以降である。；何かを言わなくちゃ始まらないのだが、すぐに思いつけるわけもない。；ジョゼフはイギリスに渡り、戦争が始まると逮捕されマン島で過ごした。</t>
        </is>
      </c>
      <c r="J6786">
        <f>HYPERLINK("https://www.weblio.jp/content/始まる", "词义详情")</f>
        <v/>
      </c>
      <c r="K6786">
        <f>HYPERLINK("https://yourei.jp/始まる", "查看例句")</f>
        <v/>
      </c>
    </row>
    <row r="6787">
      <c r="A6787" t="inlineStr">
        <is>
          <t>初め</t>
        </is>
      </c>
      <c r="B6787" t="inlineStr">
        <is>
          <t>成功</t>
        </is>
      </c>
      <c r="C6787" t="inlineStr">
        <is>
          <t>読み方：ぞめ
［語素］動詞の連用形に付けて、その動作をはじめてする意を表す。「渡り—」「書き—」</t>
        </is>
      </c>
      <c r="D6787" t="inlineStr">
        <is>
          <t>初め頃；初めごろ；初めまして；初めころ；初め織田信長</t>
        </is>
      </c>
      <c r="E6787" t="inlineStr">
        <is>
          <t>最初；始め；当初；開始；初</t>
        </is>
      </c>
      <c r="F6787" t="inlineStr">
        <is>
          <t>江戸時代初め；明治初め；仮初め；いちばん初め；翌年初め</t>
        </is>
      </c>
      <c r="G6787" t="inlineStr">
        <is>
          <t>初める；初めての恋；初めての旅；初めよ；初めて出逢った日のように</t>
        </is>
      </c>
      <c r="H6787" t="n">
        <v>29</v>
      </c>
      <c r="I6787" t="inlineStr">
        <is>
          <t>一般の人間や奴隷などは初めから数に含まれていないのである。；学派としての中観派が明確な形で形成されたのは6世紀の初め頃である。；最初に導入されたのは、当時の富士営業所で1988年の初め頃だった。；さらに江戸時代初めまで活動を続けたらしき事が記録に残っている。；この建物は最終的には1938年末から1939年初めに取り壊された。；しかし、初めのうちはこの不明言語の命名を容易に決定することができなかった。；東北本線を塩竈に引き込もうとする運動は昭和の初め頃から行われていた。；革命の初め頃の彼の果たした役割は重要なものであった。；福岡市では昭和の初め頃まで海上に向けて実弾を放ったと伝えられる。；初めは文学の本に関心が強かったが、のちに伝記に関心を持つようになった。；初めは女子ばかりが生まれ、跡継ぎの男子を望む姑から責め立てられた。；決定論的な隠れた変数理論では、猫がいつ死ぬかは初めから決まっている。；しばらく経過した1945年の初め頃、他の傷病兵と後方に送られる。；アメリカ合衆国では1930年代初めごろ、新聞に連載される形で始まった。；かれの堂々としていて親切な態度のことを、ピピンは初めから好きだった。；電気は17世紀初めごろには科学の興味の対象となっていた。；初めは、いわゆるゲスト労働者がドイツに定住するとは考えられていなかった。；ルソン島から中国を経て、17世紀の初め頃に琉球、九州へと伝わった。；しかし初めは猫ではなく雌ライオンの頭部を持った姿で崇拝された。；初めは春教と号したという記事があるが、その使用例は見出されていない。；昭和の初め頃までは、秋になると駅周辺でマツタケ狩りが行われた。；芋煮に牛肉が使われるようになったのは、昭和の初め頃からである。；彼は第三紀初めの1000年間は形も定かならず、眠りの中にあった。；まず、初めにチュ・クオック・グーの普及が始まったのは南圻からである。；初めは若さと日本語もわからなかったためトラブルを起こす。；偽善は、人類の歴史の初めから伝承と文学の主題となってきた。；枕詞はその多くがこのような五音節で、初めに置かれることが多い。；初めはルター派が優勢であったが、18世紀に改革派教会が創設された。；撮影は同年8月に開始し、翌1959年初めには編集作業に入った。</t>
        </is>
      </c>
      <c r="J6787">
        <f>HYPERLINK("https://www.weblio.jp/content/初め", "词义详情")</f>
        <v/>
      </c>
      <c r="K6787">
        <f>HYPERLINK("https://yourei.jp/初め", "查看例句")</f>
        <v/>
      </c>
    </row>
    <row r="6788">
      <c r="A6788" t="inlineStr">
        <is>
          <t>始め</t>
        </is>
      </c>
      <c r="B6788" t="inlineStr">
        <is>
          <t>成功</t>
        </is>
      </c>
      <c r="C6788" t="inlineStr">
        <is>
          <t>読み方：はじめ
１はじめること。また、はじめた時期。「勤め—」「タバコの吸い—」⇔終わり。
２物事の起こり。起源。「国の—」
３物事を行う最も早い時期。最初のころ。副詞的にも用いる。「五月の—」「何をするにも—が肝心だ」「—から終わりまで読み通す」「—君だとは気づかなかった」
４順序のいちばん先。序列の第一。「—の話のほうがおもしろい」
５（「…をはじめ」「…をはじめとして」の形で用いる）多くの中で、主となるもの。また、先に立つもの。「校長を—、教師全員」「米を—として食品の多くが」
６一部始終。事の次第。
「御無心ながら乳を少し貰ひましょ、と—を語れば」〈浮・一代男・一〉
[補説] ふつう3・4・5は「初め」と書く。</t>
        </is>
      </c>
      <c r="D6788" t="inlineStr">
        <is>
          <t>始められ(2%)；始めまし；始めさせ；始め世界各国；始め奉り</t>
        </is>
      </c>
      <c r="E6788" t="inlineStr">
        <is>
          <t>最初；当初；開始；入り；初期</t>
        </is>
      </c>
      <c r="F6788" t="inlineStr">
        <is>
          <t>歩き始め；出始め；話し始め；働き始め；動き始め</t>
        </is>
      </c>
      <c r="G6788" t="inlineStr">
        <is>
          <t>始めて；始めよ；始めれ；始めろ；始めん</t>
        </is>
      </c>
      <c r="H6788" t="n">
        <v>29</v>
      </c>
      <c r="I6788" t="inlineStr">
        <is>
          <t>天皇の称号が実際に用いられ始めたのもこの時代だと言われている。；多くの場合、既にパズル誌を発行している会社が増刊の形で始めている。；競走後も日ごとに動きが良化し、厩舎内でも特に優れた馬と見られ始めた。；このようなこともあり、善光寺地震を始め、多数の地震を経験してきた。；恐怖と恐れと共に人の影にいた彼らが人間との戦争を始め、今に至る。；実用化したのは対応する製品が出始めた1999年以降のことである。；また、ひらがなは漢字の草書体を元にしたもので主に女性が用い始めた。；これに合わせて、IrDAを使った多様なサービスが展開され始めた。；始めの測定結果は、量子論に基づく計算値との間で非常に良い一致を示した。；ところが7月7日になってインタビューの延期を示唆し始めたという。；デビューの直後から、通常の作家の枠を超えた八面六臂の活動を始めている。；正式な記法は のように、繰り返す部分の始めと終わりにドットを書く。；次第に集団であることが知られ始め、様々な軋轢を生むこととなった。；そんな人たちの番組を配信という形でやろう、ということで始めました。；太陽神が空に舞い戻った後、人間が互いに戦い始めたときに戦争が始まる。；搾乳を始めたのは中央ヨーロッパブリテン諸島の農民たちと考えられる。；その頃から映画に興味を持ち始め、一時漫画から離れて映画漬けの日々を送る。；それから僕には多くの腹の立つ出来事が起こり始めた。；専門書を読む前か読み始めの時に読むと良いレベル。；また、CLAMPを始めとした共有筆名で活動する漫画家の集団もいる。；反射型は液晶が表示器として使用され始めた頃からの比較的古い技術である。；ティコのもとで働き始めて1年半後の1601年にティコが亡くなった。；どちらかの守りの陣が崩れ、玉の囲いも崩れ始めたころから終盤戦になる。；自転車はロンドン周辺でも次第に普及し始めている。；印刷して正式に発行し始めたのは同年3月1日からである。；頃始まった大恐慌の影響を受けて、野球の人気は再び下降を始めた。；数学をまじめに学び始めたのはこの後だとする説もある。；そしてこの頃から最初の氷が形成され始めた。；その頃には他のメーカーもトロンチップに興味を示し始めた。</t>
        </is>
      </c>
      <c r="J6788">
        <f>HYPERLINK("https://www.weblio.jp/content/始め", "词义详情")</f>
        <v/>
      </c>
      <c r="K6788">
        <f>HYPERLINK("https://yourei.jp/始め", "查看例句")</f>
        <v/>
      </c>
    </row>
    <row r="6789">
      <c r="A6789" t="inlineStr">
        <is>
          <t>初めて</t>
        </is>
      </c>
      <c r="B6789" t="inlineStr">
        <is>
          <t>成功</t>
        </is>
      </c>
      <c r="C6789" t="inlineStr">
        <is>
          <t>読み方：はじめて
［副］
１今までに経験していない事が起こるさま。最初に。「—人間が月に着陸した」
２ある経験をした上で、漸くその状態になるさま。やっと。「親が死んで、—そのありがたさがわかった」
３（下に打消しの語を伴って）事のついでではなく、わざわざ。あらためて。
「言(こと)あたらしう—申し上ぐるに及び候はず」〈平家・一二〉</t>
        </is>
      </c>
      <c r="D6789" t="inlineStr">
        <is>
          <t>初めて見る；初めて用い；初めて聞い；初めて登場する；初めて聞く</t>
        </is>
      </c>
      <c r="E6789" t="inlineStr">
        <is>
          <t>ようやく；ついに；はじめて；いよいよ；遂に</t>
        </is>
      </c>
      <c r="F6789" t="inlineStr">
        <is>
          <t>以来初めて；生れて初めて；自身初めて；選手として初めて；プロ入り後初めて</t>
        </is>
      </c>
      <c r="G6789" t="inlineStr">
        <is>
          <t>初めての旅；初めて出逢った日のように；初めての街で；初めての説教；初めての愛</t>
        </is>
      </c>
      <c r="H6789" t="n">
        <v>29</v>
      </c>
      <c r="I6789" t="inlineStr">
        <is>
          <t>これらの要素は本作で初めて導入され、以降の作品でも踏襲されている。；初めてこれらの説に理由付けを与えたのがモリス・ドゥラフォスである。；またこの年の初夏、初めてフランスを中心とするヨーロッパに旅行した。；彼らは初めてチベットの実情をヨーロッパに伝えたことで知られている。；これはアフリカで選挙結果が法的に無効にされた初めてのケースである。；有人宇宙飛行を描いた切手が発行されるのはこれが初めてのことであった。；東西線は、帝都高速度交通営団では初めての東京都外への路線となった。；ロッキー山脈の西部で設立された初めての公立図書館がある場所でもある。；この世代をもって初めてオンド・マルトノが発明されたことになる。；ニオブが商業的に初めて利用されたのは20世紀初めになってからであった。；何度となく会っているが、スーツを着た赤塚を見たのは初めてだった。；この年は永い作家生活の中で、初めて小説の発表が一編もなかった。；中学生の頃に初めてビールを飲み、大人になってからはほぼ毎日飲んでいる。；人類史のどの段階で初めて舞台が現れたかは、はっきりとは分かっていない。；だが初めて人間を宇宙に送ったのは、またしてもソ連であった。；それに初めての芝を気にしたのか、直線で追ってもあんまり延びない。；パリではこのような協会は無く、これが初めてのことであった。；こんな気持ちになったのは、私のレース経験で初めてのことだ。；なお、気象庁の単独予算により気象衛星が製作されるのは初めてとなる。；連載終了以降一度も再現されなかったカラー原稿を初めて収録。；同作は日本のメジャー映画会社の番線に乗った初めての台湾映画である。；データは何らかの形で分析されて初めて意思決定を行うのに適した情報となる。；白色矮星の異常な暗さが初めて認識されたのは1910年のことである。；実に立派な山であることを登ってみて初めて知った。；温度と熱の違いに初めて気が付いたのはジョゼフ・ブラックであると考えられている。；日本の家庭用のコンピュータでは、FM TOWNSで初めて採用された。；オランダは選挙によって選ばれた議会を持った初めての主権国家の一つである。；初めてヨーロッパとアジアを区分した地図はミレトスのヘカタイオスが作成した。；イギリスでの真鍮の初めての使用は紀元前3世紀から2世紀頃に起こった。</t>
        </is>
      </c>
      <c r="J6789">
        <f>HYPERLINK("https://www.weblio.jp/content/初めて", "词义详情")</f>
        <v/>
      </c>
      <c r="K6789">
        <f>HYPERLINK("https://yourei.jp/初めて", "查看例句")</f>
        <v/>
      </c>
    </row>
    <row r="6790">
      <c r="A6790" t="inlineStr">
        <is>
          <t>始めに</t>
        </is>
      </c>
      <c r="B6790" t="inlineStr">
        <is>
          <t>成功</t>
        </is>
      </c>
      <c r="D6790" t="inlineStr">
        <is>
          <t>始められ(2%)；始めまし；始めさせ；始め世界各国；始め奉り</t>
        </is>
      </c>
      <c r="E6790" t="inlineStr">
        <is>
          <t>最初；当初；開始；入り；初期</t>
        </is>
      </c>
      <c r="F6790" t="inlineStr">
        <is>
          <t>歩き始め；出始め；話し始め；働き始め；動き始め</t>
        </is>
      </c>
      <c r="G6790" t="inlineStr">
        <is>
          <t>始めて；始めよ；始めれ；始めろ；始めん</t>
        </is>
      </c>
      <c r="H6790" t="n">
        <v>29</v>
      </c>
      <c r="I6790" t="inlineStr">
        <is>
          <t>天皇の称号が実際に用いられ始めたのもこの時代だと言われている。；多くの場合、既にパズル誌を発行している会社が増刊の形で始めている。；競走後も日ごとに動きが良化し、厩舎内でも特に優れた馬と見られ始めた。；このようなこともあり、善光寺地震を始め、多数の地震を経験してきた。；恐怖と恐れと共に人の影にいた彼らが人間との戦争を始め、今に至る。；実用化したのは対応する製品が出始めた1999年以降のことである。；また、ひらがなは漢字の草書体を元にしたもので主に女性が用い始めた。；これに合わせて、IrDAを使った多様なサービスが展開され始めた。；始めの測定結果は、量子論に基づく計算値との間で非常に良い一致を示した。；ところが7月7日になってインタビューの延期を示唆し始めたという。；デビューの直後から、通常の作家の枠を超えた八面六臂の活動を始めている。；正式な記法は のように、繰り返す部分の始めと終わりにドットを書く。；次第に集団であることが知られ始め、様々な軋轢を生むこととなった。；そんな人たちの番組を配信という形でやろう、ということで始めました。；太陽神が空に舞い戻った後、人間が互いに戦い始めたときに戦争が始まる。；搾乳を始めたのは中央ヨーロッパブリテン諸島の農民たちと考えられる。；その頃から映画に興味を持ち始め、一時漫画から離れて映画漬けの日々を送る。；それから僕には多くの腹の立つ出来事が起こり始めた。；専門書を読む前か読み始めの時に読むと良いレベル。；また、CLAMPを始めとした共有筆名で活動する漫画家の集団もいる。；反射型は液晶が表示器として使用され始めた頃からの比較的古い技術である。；ティコのもとで働き始めて1年半後の1601年にティコが亡くなった。；どちらかの守りの陣が崩れ、玉の囲いも崩れ始めたころから終盤戦になる。；自転車はロンドン周辺でも次第に普及し始めている。；印刷して正式に発行し始めたのは同年3月1日からである。；頃始まった大恐慌の影響を受けて、野球の人気は再び下降を始めた。；数学をまじめに学び始めたのはこの後だとする説もある。；そしてこの頃から最初の氷が形成され始めた。；その頃には他のメーカーもトロンチップに興味を示し始めた。</t>
        </is>
      </c>
      <c r="J6790">
        <f>HYPERLINK("https://www.weblio.jp/content/始めに", "词义详情")</f>
        <v/>
      </c>
      <c r="K6790">
        <f>HYPERLINK("https://yourei.jp/始めに", "查看例句")</f>
        <v/>
      </c>
    </row>
    <row r="6791">
      <c r="A6791" t="inlineStr">
        <is>
          <t>始める</t>
        </is>
      </c>
      <c r="B6791" t="inlineStr">
        <is>
          <t>成功</t>
        </is>
      </c>
      <c r="C6791" t="inlineStr">
        <is>
          <t>読み方：はじめる
［動マ下一］［文］はじ・む［マ下二］
１物事を行っていない状態から行う状態にする。行いだす。「早朝から作業を—・める」「戦争を—・める」⇔終える／終わる。
２（「創める」とも書く）新しく起こす。新たにつくる。「洋装店を—・める」
３いつものくせを出す。「また泣き言を—・めた」
４（動詞の連用形などに付いて）その動作が行われだすことを表す。「歩き—・める」「咲き—・める」「使われ—・める」</t>
        </is>
      </c>
      <c r="D6791" t="inlineStr">
        <is>
          <t>開始；始まる；スタート；発足；開幕</t>
        </is>
      </c>
      <c r="F6791" t="inlineStr">
        <is>
          <t>動き始める；働き始める；歩き始める；考え始める；歩み始める</t>
        </is>
      </c>
      <c r="H6791" t="n">
        <v>29</v>
      </c>
      <c r="I6791" t="inlineStr">
        <is>
          <t>以前の世代よりも早い時期に性行為を始めることを示唆する研究もある。；一年先輩である浜崎忠治と仲間になったことがきっかけで野球を始める。；また、テレビ番組ではカメラが回っていても喧嘩を始めるときがあった。；これを受けてコンビニ店舗の一部で見切り販売を始める動きも出始めた。；航空機は離陸したのち、ある一定の高度に達してから水平飛行を始める。；初列風切の内側半分が生え変わると、最も外側の三列風切が抜け始める。；ハプスブルク家は世襲領をはるかに離れた地域にも領地を獲得し始める。；練習飛行を始めるには航空身体検査のみで操縦練習許可証が発行される。；その後映画の魅力にとりつかれ、映画業界の仕事に興味を持ち始める。；参議院規則では会議は原則として午前10時に始めることとされている。；オリジナルを作り始める前のレパートリーは拓郎の曲が中心だったという。；その起源は、中世の騎士が各地から戦争を始める城へ集結した行動とされる。；多くの植物はこの時期から葉を伸ばし、栄養を蓄えてから繁殖を始める。；部屋の中の物に飽き始めれば、当然次に興味を持ち始めるのは部屋の外だ。；そこで彼女は娘を出産した後の5歳頃から息子に正式なピアノ教育を始める。；国鉄の天王寺駅も利用が急増しており、改良工事を始めることになった。；まるで何事もなかったみたいに、同じ地点からもう一度始めればいいのだ。；またこのころから教会に出入りし、神や信仰、罪などの問題に悩み始める。；一たん走り始めればなに物も彼の足を止めることはできないのである。；いくつかの地方巡業の舞台で活躍した後、小売信用会社で働き始める。；どんなに干からびた不幸な性格の男でも、十六歳にもなれば恋愛を始める。；それで満足がいかぬのならば、その時こそ最後の殺し合いを始めればよい。；しかし運動を始めると非常に柔軟性のある動きを見せ、関係者の期待を集めた。；さて今始めんとする戦闘においては、彼の地位はどういうものであったか?；デ・クーニングは、1940年代頃からは人物表現に関心を寄せ始める。；この時期になると繁殖地の海岸には多くの親鳥が集まり、繁殖を始める。；再び地上に下り左手より国道3号が並走し始めると、八幡駅に到着する。；帰阪後バンド活動を始めるが、当時の担当はギターではなくベースだった。；ここ江西青幹班を舞台に蔣経国は自らの派閥を形成し始めることになる。</t>
        </is>
      </c>
      <c r="J6791">
        <f>HYPERLINK("https://www.weblio.jp/content/始める", "词义详情")</f>
        <v/>
      </c>
      <c r="K6791">
        <f>HYPERLINK("https://yourei.jp/始める", "查看例句")</f>
        <v/>
      </c>
    </row>
    <row r="6792">
      <c r="A6792" t="inlineStr">
        <is>
          <t>場所</t>
        </is>
      </c>
      <c r="B6792" t="inlineStr">
        <is>
          <t>成功</t>
        </is>
      </c>
      <c r="C6792" t="inlineStr">
        <is>
          <t>読み方：ばしょ
１何かが存在したり行われたりする所。ある広がりをもった土地。「魚の釣れる—」「約束の—」
２人がいる所。また、物が占めるために要する広さ。「立っている—もない」
３相撲の興行をする所。また、その期間。「初—」
[補説]書名別項。→場所
[下接語]秋場所・在り場所・居場所・岡(おか)場所・死に場所・出場所・夏場所・初場所・春場所・本場所</t>
        </is>
      </c>
      <c r="D6792" t="inlineStr">
        <is>
          <t>場所連続；場所柄；場所ぶり；場所限り；場所がら</t>
        </is>
      </c>
      <c r="E6792" t="inlineStr">
        <is>
          <t>ところ；位置；地；点；所</t>
        </is>
      </c>
      <c r="F6792" t="inlineStr">
        <is>
          <t>安全な場所；高い場所；近い場所；こんな場所；隠れ場所</t>
        </is>
      </c>
      <c r="G6792" t="inlineStr">
        <is>
          <t>場所請負人；場所代；場所ふさぎ；場所細胞；場所打ち杭</t>
        </is>
      </c>
      <c r="H6792" t="n">
        <v>29</v>
      </c>
      <c r="I6792" t="inlineStr">
        <is>
          <t>その他の地形や会戦に関係する場所は当時からほとんど変わっていない。；ある場所で生産された物が別の場所で生産された物と交換される。；人目につかないよう夜に教えたり、場所も人里離れた墓地などで教えた。；どんな時代にでも多くの場所に沢山の数の悟りを得た存在に事欠かない。；取材場所に変化があれば、いつ起きたのかを、取材元へ詳細に尋ねている。；入り口が幾つかあっても、最終的に到達する場所は同じ一つの場所なのだ。；そのため、街灯などの影響を受けにくい夜間に暗くなる場所で栽培する。；さまざまありうるが、次のような場所はしばしば目的地に設定されている。；つまり同じ文法的条件の語を同じ場所におく、繰り返しのリズムである。；そして、沈黙破りが起こる時に、特定の時と場所を告げることがあった。；首都は、国政の中心として交通の便が良い場所が選定されることが多い。；江戸東京たてもの園は、企画当初から作品の舞台とされていた場所である。；ロッキー山脈の西部で設立された初めての公立図書館がある場所でもある。；料金の違いは観戦場所によるもののみであり、座席の仕様に違いはない。；プロジェクト関連文書の更新状況は次の場所で参照できます。；当駅はJR八王子駅から北東に約400メートル離れた場所に位置する。；東と西にある2つの山は、太陽がドゥアトに出入りする場所を示している。；なお、であっても認証者の方は認証場所に直接アクセスするとは限らない。；ボールが無い場所で、相手選手の移動を制限する位置に立つこと。；敵に囲まれた空挺部隊の為、あらゆる種類の大砲が必要な場所に送られた。；基準となる場所からの方角、国や地方の中での位置から付けた地名。；乗務員室背後の座席は廃止され、この場所側面にあった小窓も廃止された。；接地場所を移動することは出来ないが、その場所で回転することは許される。；元々狭い場所に建設された経緯があり、バリアフリー化は困難な状況だった。；また、研究所も設置されるようになり、彼らの働く場所が出現した。；富士山の表情は、見る場所・角度・季節・時間によって様々に変化する。；「住居」は、人が起臥寝食のために日常的に使用する場所と定義される。；どちらも一般に長方形で鍵盤が窪んだ場所に位置し本体から突き出ない。；このような場所は寺や神社が所有していたり、近隣共同体の共有財産であったりした。</t>
        </is>
      </c>
      <c r="J6792">
        <f>HYPERLINK("https://www.weblio.jp/content/場所", "词义详情")</f>
        <v/>
      </c>
      <c r="K6792">
        <f>HYPERLINK("https://yourei.jp/場所", "查看例句")</f>
        <v/>
      </c>
    </row>
    <row r="6793">
      <c r="A6793" t="inlineStr">
        <is>
          <t>柱</t>
        </is>
      </c>
      <c r="B6793" t="inlineStr">
        <is>
          <t>成功</t>
        </is>
      </c>
      <c r="C6793" t="inlineStr">
        <is>
          <t>読み方：じ
１弦楽器の部分品の名。弦を乗せ、その位置によって振動する弦の長さを調節し、また音を胴に伝えるもの。→琴柱(ことじ)
２琵琶の柱(じゅう)のこと。</t>
        </is>
      </c>
      <c r="D6793" t="inlineStr">
        <is>
          <t>柱列；柱式；柱軸；柱材；柱建物</t>
        </is>
      </c>
      <c r="E6793" t="inlineStr">
        <is>
          <t>塔；棒；ポール；幹；楼</t>
        </is>
      </c>
      <c r="F6793" t="inlineStr">
        <is>
          <t>一柱；太い柱；三柱；大きな柱；二本柱</t>
        </is>
      </c>
      <c r="G6793" t="inlineStr">
        <is>
          <t>柱時計；柱廊；柱状；柱間；柱状節理</t>
        </is>
      </c>
      <c r="H6793" t="n">
        <v>29</v>
      </c>
      <c r="I6793" t="inlineStr">
        <is>
          <t>まだこの当時は架線柱に見立てた枠が後ろに流れるだけのものであった。；在来線ホームにはホーム上の柱などに非常停止用赤旗が設置されている。；かつては、黄色の柱の側面に黒い文字で距離の数字を書いたものであった。；以後レースの順番通りに馬柱を掲載していくシステムが基本となっている。；飛行時には背中のロケットが体から離れて支柱でつながった状態で飛ぶ。；そこには幾千万もの巡礼者がもたれるように祈りを捧げてきた柱がある。；作品の評価とそれに付随する社会的評価の二本柱であるのが適切です。；近鉄難波線の各駅はホームの柱がそれぞれ違う色で塗り分けられている。；しかし現在は市も大学を政策の大きな柱の一つとして位置づけている。；この結果、顧客が大幅に拡大し、神奈中の事業の柱の1つにまでなった。；中柱は中ほどに短い枝を1本残しており、これは茶入袋掛けとなっている。；「柱」は自分で死ぬこともこの世界の民に討たれることも許されないこと。；同誌の大ヒットをきっかけに漫画の出版を柱とするようになった。；人権、基本的自由を尊重する考え方は国連主要目的の柱の一つになった。；ホームには古いレールを再使用した柱が使われ、開業当時をしのばせる。；柱と門は赤い花崗岩で作られており、天井の石は白い石灰岩であった。；本来第一に殺すべきであるこの3柱を生かしたのには理由があった。；こちらはホーム係員がホーム柱に設置されたスイッチで操作する。；柱は76本あり、諸国の大名が寄進したことから「大名柱」と呼ばれる。；その下に貫を入れて柱を固定したのが一般的な鳥居の構造である。；そしてもともとの柱の高さはおよそ149 cmだったと推計されている。；舞台の両側に大きな柱があり、舞台後方の屋根を支えていた。；プログラムの内容は6つのテーマを柱とした教科融合型の教育となっている。；窓柱にもブロンズ焼付塗装ガラスを取り付けて、連続窓風の外観とした。；設置場所は荷棚の座席番号表示の横およびサロンカーは窓柱部である。；中柱のある相対式ホーム2面2線の地下駅であり、ホームは直線である。；修験道とは柱源の境界を得ることを究極の目的とする宗教である。；事業収入の柱となるものは以下の様なものである。；この柱は墓の隣に安置され、死後や先祖の世界と関連付けられている。</t>
        </is>
      </c>
      <c r="J6793">
        <f>HYPERLINK("https://www.weblio.jp/content/柱", "词义详情")</f>
        <v/>
      </c>
      <c r="K6793">
        <f>HYPERLINK("https://yourei.jp/柱", "查看例句")</f>
        <v/>
      </c>
    </row>
    <row r="6794">
      <c r="A6794" t="inlineStr">
        <is>
          <t>恥らう</t>
        </is>
      </c>
      <c r="B6794" t="inlineStr">
        <is>
          <t>成功</t>
        </is>
      </c>
      <c r="D6794" t="inlineStr">
        <is>
          <t>恥じる；赤面する；恥ずかしがる；はにかむ；恥じ入る</t>
        </is>
      </c>
      <c r="H6794" t="n">
        <v>17</v>
      </c>
      <c r="I6794" t="inlineStr">
        <is>
          <t>乞食も恥らうような貧乏暮らしをしてたおまえをここまで救ってやったのは誰や?；いつも少年と見紛うような姿をしている彼女が、月が雲に隠れ、花も恥らうような佳人に突然変身するのだから。；リツ子も自分の病気を恥らうふうだった。；笠のふちに手をかけて、改めて見返し、恥らうような身内のほてりを覚えた。；「今日は又どうなさいまして」 彼女はわざと恥らうように口元へハンケチをあてがった。；それから、もう一度ゆっくりとカーディガンを持ち上げ、そっと、もはや動くことも恥らうこともない彼女の身体を調べ始めた。；恥らうように俯いた顔は、ほんのりと赤く染まっていた。；そうやって恥らう姿も可愛いなあ、と呑気な少年は思い、とにかく、誘ってくれた少女を楽しませてあげようと決心して声をかける。；が、刺又を持った可也君が、先ず砂丘の上に現れて、そのすぐ後ろから恥らう千鶴子がつづいていた。；「相変わらず奥さんはお美しい」 僕僕の世辞に袖で顔を隠して恥らう姿は、金切り声の主と同一人物とは到底思えない。；女性は閨の中であれほど取乱しても、決してそれを恥らうことがないけれど、あれは、どういう精神構造になっているのだろうか、ヒステリーと同じく、日常の意識と断絶しているのか、それとも取乱すことを、本質的にほこらしく感じるのだろうか。；僧は上り框に腰かけて、何の恥らう様子も無く、悪びれた態度もなく、大声をあげて食前の誦文を唱え、それから悠々と箸を執った。；「いらっしゃいまし、親分さん」 「お常坊、評判ほどあって美しいことだね」 「あれ」 袖口を唇に当てて、恥らう風情に顔を反けたお常は、全く男の一人や二人は殺されても不思議のない美しさでした。；「刺又を借りてこよう」 可也君は、新妻と二人並んで潮の中に這入るのを恥らうのか、一寸千鶴子の姿をたしかめたまま、今度は砂丘の方に上っていった。；私の胸から離れて恥らう風情に俯向くと、美しい額から、少し高い鼻筋が、青白い月の光に浮いて、一種言うに言われぬ悩ましい心持を描いて行きます。；お互い、そう言いあっていたのに、骨になった万里は、まるで恥らう乙女のように、はかなく可憐で初々しかった。；立川市の隣、国立市に暮らす花も恥らう女子大生。</t>
        </is>
      </c>
      <c r="J6794">
        <f>HYPERLINK("https://www.weblio.jp/content/恥らう", "词义详情")</f>
        <v/>
      </c>
      <c r="K6794">
        <f>HYPERLINK("https://yourei.jp/恥らう", "查看例句")</f>
        <v/>
      </c>
    </row>
    <row r="6795">
      <c r="A6795" t="inlineStr">
        <is>
          <t>走り回る</t>
        </is>
      </c>
      <c r="B6795" t="inlineStr">
        <is>
          <t>成功</t>
        </is>
      </c>
      <c r="C6795" t="inlineStr">
        <is>
          <t>読み方：はしりまわる
［動ラ五（四）］
１あちらこちらを走る。かけまわる。「子供が廊下を—・る」
２用事をもってあちこちと忙しく歩き回る。奔走する。「資金繰りに—・る」</t>
        </is>
      </c>
      <c r="D6795" t="inlineStr">
        <is>
          <t>駆け回る</t>
        </is>
      </c>
      <c r="H6795" t="n">
        <v>29</v>
      </c>
      <c r="I6795" t="inlineStr">
        <is>
          <t>建物の中を走り回ってると中に入っては行けないような場所を見つけた。；俺には山のなかを、獣といっしょに走り回っている方が合っているのさ。；好きに町を走り回ってくればいいと言われ、思わず礼を言いそうになった。；常に兄の服を着て、おもちゃで遊び、シャツを着ないで走り回っていた。；俺達にはもともと、あらゆる道路を自由に走り回る権利があったんだ。；その町の人々が集う公園ではシェパードが鎖を解かれて走り回っていた。；狭い所に閉じこめられた小さな動物が走り回っているような音だった。；もちろん、パーンたちはそのためにそれこそ走り回らねばならなかった。；生れたその日に刀を持って走り回り和歌を詠んだというがこれは嘘だろう。；それらが市街地を走り回っている様子が、音の反響具合で伝わってきた。；憂鬱でいるより校舎を走り回ってくれているほうが安心するのは俺も同じだ。；子供の頃から活発なタイプで、友達と朝から晩まで走り回っていたという。；わたしが小さいころ自転車で走り回った広場も、ちゃんと残っている。；そして次の日から彼と一緒に彼女を探すために走り回ったのである。；少女は初枝に気づきもせず、クロトンの木の庭を陽気に走り回っていた。；さらに輪の内部に複雑な紋章を描くように、様々な光の筋が走り回る。；明日からの大学祭に備えて、どこでも学生たちが忙しく走り回っている。；男が子供を三輪車に乗せ、笑いながらそこらを走り回る光景を想像した。；その他の時間は、彼のバイクで街中を走り回るか、食事をしているかだ。；薬とアルコールが体の中を猛烈な勢いで走り回っているのがわかった。；柏木がある屋敷を訪れたところ、綱につながれた唐猫が走り回っていた。；偽陣地では外から見える座席にだけ兵士を載せたトラックを走り回らせた。；走り回って斬ったとしても、力が続くのは十二、三人くらいまでだろう。；ついさっき迷子になったばかりだというのに、もう元気に走り回っている。；終日この鉄の馬は国中を走り回り、主人を休息させるためにだけ止まる。；初めの頃は、よく口の中を火傷して、あたりを走り回っていたものだ。；つまりは、人間大の荷物を抱えて走り回らねばならないということだ。；バスを待つ人の列や道行く人々の間を、私は半分狂ったように走り回った。；女とロバーツは、つぎつぎにタクシーを乗りついでパリ中を走り回った。</t>
        </is>
      </c>
      <c r="J6795">
        <f>HYPERLINK("https://www.weblio.jp/content/走り回る", "词义详情")</f>
        <v/>
      </c>
      <c r="K6795">
        <f>HYPERLINK("https://yourei.jp/走り回る", "查看例句")</f>
        <v/>
      </c>
    </row>
    <row r="6796">
      <c r="A6796" t="inlineStr">
        <is>
          <t>走る</t>
        </is>
      </c>
      <c r="B6796" t="inlineStr">
        <is>
          <t>成功</t>
        </is>
      </c>
      <c r="C6796" t="inlineStr">
        <is>
          <t>読み方：はしる
［動ラ五（四）］
１足をすばやく動かして移動する。駆ける。「ゴールめざして—・る」「通りを—・って渡る」「—・るのが速い動物」
２乗り物などが進む。運行する。また、物が速く動く。「駅から遊園地までモノレールが—・っている」「風を受けてヨットが—・る」「雲が—・る」
３水などが勢いよく流れる。「石の上を水が—・る」
４すらすらと事が運ぶ。滑るように動く。「ペンが—・る」「刀が鞘(さや)から—・る」
５逃げ去る。逃亡する。また、出奔する。「犯人が外国に—・る」「敵方に—・る」「家を出て恋人のもとへ—・る」
６急いで行く。かけつける。また、あちこちとびまわる。「使いに—・る」「金策に—・る」
７ある方向・状況へ急激に傾く。「悪に—・る」「私利私欲に—・る」「立場を忘れて感情に—・る」「行動が極端に—・る」
８散り広がる。飛び散る。ほとばしる。「血が—・る」
「炭は—・らぬように必ず一昼夜水に浸してかわかしたのを用い」〈蘆花・思出の記〉
９ある方向に通じている。細長くずっと延びる。「山脈が南北に—・る」「壺にひびが—・る」
10瞬間的に現れて速く動く。「稲妻が—・る」
11感覚・感情などが一瞬現れて消える。「背中に痛みが—・る」「顔に皮肉なかげが—・る」
12（「胸がはしる」の形で）動悸がする。胸騒ぎがする。
「例のごとぞあらむと思ふに、胸つぶつぶと—・るに」〈かげろふ・中〉
13（忌み詞で）割れる。
「舟では割れたといふは忌ま忌ましい。頭の皿が—・った—・った」〈浄・博多小女郎〉
[可能]はしれる
[用法]はしる・かける——「グラウンドを走る（駆ける）選手たち」のように、人や動物が速く移動する意では相通じて用いられる。◇「走る」は用法が広い。乗り物が速く進む意では、「船（オートバイ）が走る」のように用い、「ビルの間を高速道路が走っている」のように道・線が長く延びていることをも表す。◇「稲妻が走る」「痛みが走る」などは事物のすばやい動きをとらえたものであり、「非行（感情）に走る」のように、人の行動がある方向に性急に傾く意にも用いる。◇「駆ける」はもともとは馬が速く進む意で、人や動物にのみ使われる。「大平原を駆ける騎馬隊」</t>
        </is>
      </c>
      <c r="D6796" t="inlineStr">
        <is>
          <t>走る州間高速道路</t>
        </is>
      </c>
      <c r="E6796" t="inlineStr">
        <is>
          <t>進行；競走；飛ぶ；急ぐ；走行する</t>
        </is>
      </c>
      <c r="F6796" t="inlineStr">
        <is>
          <t>速く走る；並行して走る；向かって走る；走る京浜東北線電車；走る京王線</t>
        </is>
      </c>
      <c r="G6796" t="inlineStr">
        <is>
          <t>走るんです；走る喫茶室；走る男女子部；走るホテル</t>
        </is>
      </c>
      <c r="H6796" t="n">
        <v>29</v>
      </c>
      <c r="I6796" t="inlineStr">
        <is>
          <t>市内には無数のタクシーが走っており、こちらも個人で運行されている。；かつての南北に走る道路にかわり、東西に走る道路が中心となっていく。；線路は南西から北東に走っておりホームは線路の北西側に設けられている。；走を使った攻撃はそこまで評価されていなく、作戦と守備の方が好印象。；線路は北東から南西に走っておりホームはその南東に設けられている。；バルカンの大部分は北西から南東に向けて走る山岳地帯に覆われている。；線路はほぼ北東から南西に走っておりホームは線路の南東側にある。；つまりそれぞれの線が独自に上り方面下り方面の列車を走らせている。；曲線の通過が楽になり、実際の編成で走らせる事が出来るようになった。；ただ、場面は、やりまわしの時だけでなく、直線路を走るときにも使う。；近年香港-北京ラリーで走った個体が現存している事が確認されている。；怪物は脚を怪我していたから、全速力で走れば逃げ切れたかもしれない。；国道268号は駅の西300メートルほどのところを南北に走っている。；駅は、東西方向に走る五条通と南北方向の千本通の交差点の南側にある。；その代わりに太田川発金山行きの普通が平日の昼間にも多数走っていた。；松山平野に入ると西走し現在の松山市中心部付近を流れていたとされる。；なお、歩行者用の通路でも自転車が猛スピードで走っていくことが多い。；フレディは車をゆっくり走らせ、前を行く娘にじっと視線を向けている。；その代わり、地上をマッハに近い速度で走ることが可能な機動力を持つ。；当日走れないことはないにしても、最後の調整に多少の影響はあるだろう。；かつては秋田市営バスが通学バスを走らせていたが今は廃止されている。；弟子入りには家族から反対の声もあり、走本人や関係者が説得したという。；危険を感じると走って逃げるが、短距離であれば飛翔することもできる。；自動車などでもこの網をまとわせて走っているのを見ることも多い。；この頃の石山城は、縄張が東西に走る連郭式であったと推定されている。；時間量や計算量は実際に計算を走らせてみれば分かるから計算可能である。；本馬は前走の敗北もあって、その中でも10番人気と人気が落ちていた。；埋め立てが完了したばかりの新港や中央港を走った最初の路線である。；イヌなどが走るときに舌を出すのは、体温を逃がすためと言われている。</t>
        </is>
      </c>
      <c r="J6796">
        <f>HYPERLINK("https://www.weblio.jp/content/走る", "词义详情")</f>
        <v/>
      </c>
      <c r="K6796">
        <f>HYPERLINK("https://yourei.jp/走る", "查看例句")</f>
        <v/>
      </c>
    </row>
    <row r="6797">
      <c r="A6797" t="inlineStr">
        <is>
          <t>恥じる</t>
        </is>
      </c>
      <c r="B6797" t="inlineStr">
        <is>
          <t>成功</t>
        </is>
      </c>
      <c r="C6797" t="inlineStr">
        <is>
          <t>読み方：はじる
［動ザ上一］［文］は・づ［ダ上二］
１恥ずかしいと思う。面目なく思う。「世間に—・じる」「軽率な発言を—・じる」
２（多く打消しの形で用いる）名誉などを傷つける。ひけをとる。「学校の名に—・じない行動」
３恥ずかしく思って遠慮する。はばかる。
「白髪も—・ぢず出で仕へけるをこそ」〈源・澪標〉</t>
        </is>
      </c>
      <c r="D6797" t="inlineStr">
        <is>
          <t>恥じるべき(4%)；恥じることなく(3%)；恥じる様子もなく；恥じるところなく</t>
        </is>
      </c>
      <c r="E6797" t="inlineStr">
        <is>
          <t>後悔；悔恨；自責；悔いる；悔やむ</t>
        </is>
      </c>
      <c r="F6797" t="inlineStr">
        <is>
          <t>恬として恥じる；何ら恥じる；なんら恥じる</t>
        </is>
      </c>
      <c r="H6797" t="n">
        <v>29</v>
      </c>
      <c r="I6797" t="inlineStr">
        <is>
          <t>どうして恥じることがあるんだろう、とだから私はいってあげたんです。；裏表のない人間とはなにひとつ恥じるものを持たない人間のことだろう。；僕はその女の決心をきいて僕の失恋の度のむしろ弱かったことを恥じた。；そうでなければ、私は本当にこの男の相棒である ことを恥じるだろう。；しかし汲黯は県令になるのを恥じて病気を称して家に戻ってしまった。；何か恥じになることで父が姿をかくしたと考えるのは、まちがいですね。；お母さんは芸人の子だからといって恥じることは些っともないと教えた。；彼は自分の若い頃のことを恥じているんじゃないかと、僕は思っていました。；だけど、戦ったあとでわたしたちは、いつもそのことをひどく恥じます。；なにかに憑かれたような行為を恥じる一方で、釈然としない思いも残る。；彼は人の前で痰を吐いたり汗をかいたりするところを見られるのを恥じた。；これに順じて感情は、真面目に偶像崇拝を行って恥じる処はないだろう。；共に、マリア様に恥じること無い学園生活を送ることにいたしましょう。；彼の話を聞かず、自分の話ばかりしていたのかもしれないと恥じた。；源氏はどう自分の昔を思っているであろうと恥じておいでになった。；第一に親たちが退嬰的になって以前の自分たちのモラルを恥じています。；わしはこの手で王を殺したが、この行為をいささかも恥じておらぬ。；そこには彼女自身でも見るのを恥じる他の多くの感情が眠っていた。；わたしは自分の、彼に対する思いやりのなさが恥じられてならなかった。；「神が私に金を与えた」とも言っており、蓄財を恥じることがなかった。；なら、ここから先はその言葉に恥じないよう、胸を張って進むだけだ。；彼は自分を恥じるべきだと思ったが、そういう気にはならなかった。；世間的に成功しないのを恥じるのは、必ずしもいやしむべきことではない。；かれらはヴァーラの言葉が正しいと感じており、自分を恥じてもいた。；神宮寺がその名に恥じぬように様々な神社や寺などを訪問する企画。；あの方は御自分の嘘を遅かれ早かれ必ずお恥じになるにちがいありません。；腹をたてているとも、恥じを忍んでいるともとれる、複雑な表情だった。；しかも何の悔いも感じないことを私は恥じなければならないだろう。；どぎまぎしているのをひどく恥じたが、何も言うことができなかった。</t>
        </is>
      </c>
      <c r="J6797">
        <f>HYPERLINK("https://www.weblio.jp/content/恥じる", "词义详情")</f>
        <v/>
      </c>
      <c r="K6797">
        <f>HYPERLINK("https://yourei.jp/恥じる", "查看例句")</f>
        <v/>
      </c>
    </row>
    <row r="6798">
      <c r="A6798" t="inlineStr">
        <is>
          <t>橋渡し</t>
        </is>
      </c>
      <c r="B6798" t="inlineStr">
        <is>
          <t>成功</t>
        </is>
      </c>
      <c r="C6798" t="inlineStr">
        <is>
          <t>読み方：はしわたし
１橋を架けること。
２両者の間に入って、とりもつこと。また、その人。仲介。仲立ち。「取引の—をする」</t>
        </is>
      </c>
      <c r="D6798" t="inlineStr">
        <is>
          <t>橋渡しする(11%)；橋渡し的(7%)</t>
        </is>
      </c>
      <c r="E6798" t="inlineStr">
        <is>
          <t>橋；パイプ；仲介；橋梁；媒介</t>
        </is>
      </c>
      <c r="F6798" t="inlineStr">
        <is>
          <t>橋渡し的存在；橋渡し的な役割；橋渡しする役割；橋渡し的な存在</t>
        </is>
      </c>
      <c r="H6798" t="n">
        <v>29</v>
      </c>
      <c r="I6798" t="inlineStr">
        <is>
          <t>HTAは研究の世界と意思決定の世界を橋渡しすることを意図している。；彼らは類人猿と人間の間の橋わたしの役割をしているのかもしれんぞ。；ロック座系列の劇場とそれ以外の劇場の橋渡しに準ずる役割も果たした。；納豆製造業者とそれに関わる業者との橋渡し的存在となる組織である。；ディズレーリの考えるところ、その両者の橋渡しをするのが貴族だった。；フレドリック・リーバーマン教授はバンドと大学の接触の橋渡しとなった。；自分が水夫たちに橋渡ししてやるべきだったのか、ともエリは考えた。；現在、二人の娘が日本とエジプト・アラブとの橋渡しとして活躍中である。；今の彼女はそういった星系のうち、ふたつの橋渡しをつとめているのだ。；馬場とガニアの友好関係を橋渡ししたのはブレアースだといわれている。；その後も長年にわたり地元財界とクラブの橋渡しをし、経営安定に努めた。；読者は常に橋渡しなしに物語や議論を次から次へと飛び移らねばならないのである。；会員企業と川崎市や市内関連諸団体との橋渡しを目的とした委員会。；後者は特に学校と職業との橋渡し的教育を行っている。；もし素量説が勝利を占めて旧物理学との間の橋渡しができればどうであろうか。；俺が代表になってタウとコーラルとの橋渡しをすればいいんだな?；オルメカ文明とマヤ文明の橋渡し的な役割をになったと注目された。；中にはそんな面識から安兵衛への話の橋渡しを依頼する人物があるかも知れない。；一つは、その橋渡しをする土地の有力者に顔向けができないというのである。；元はモンゴル本国と華北の間を橋渡しする位置にある大都を首都に定めた。；そのため、この番組は視聴者と生産者との橋渡しにも一役買っていた。；その骨格についてのおさらいを次の話題への橋渡しにしよう、と僕は思う。；この物語群はキリスト教以前とキリスト教時代の間のつなぐ橋渡しだとされている。；鉱物学と鉱床学の橋渡しを行った人物であり、北海道の鉱業にも貢献した。；そのうち1つは別の橋渡しホウ素で、他の3つは二十面体ホウ素である。；われわれとやつらとの相違点を橋渡しするような類似点は、ここには、なに一つないのだ。；黒い雲と明るい空の橋渡しをするかのように、二重の虹が大きく天に掛かっている。；この研究所自体は理論と応用の橋渡しとしての機能を担っている。；だとすれば、その橋渡しをする人間がいた方が良いに決まってる。</t>
        </is>
      </c>
      <c r="J6798">
        <f>HYPERLINK("https://www.weblio.jp/content/橋渡し", "词义详情")</f>
        <v/>
      </c>
      <c r="K6798">
        <f>HYPERLINK("https://yourei.jp/橋渡し", "查看例句")</f>
        <v/>
      </c>
    </row>
    <row r="6799">
      <c r="A6799" t="inlineStr">
        <is>
          <t>斜</t>
        </is>
      </c>
      <c r="B6799" t="inlineStr">
        <is>
          <t>成功</t>
        </is>
      </c>
      <c r="C6799" t="inlineStr">
        <is>
          <t>読み方：しゃ
［常用漢字］　［音］シャ（漢）　［訓］ななめはす
傾いている。ななめ。「斜影・斜光・斜線・斜面・斜陽／傾斜」
［難読］斜交(はすかい)</t>
        </is>
      </c>
      <c r="D6799" t="inlineStr">
        <is>
          <t>斜向かい(5%)；斜上し(4%)；斜面上(4%)；斜道(3%)；斜材(3%)</t>
        </is>
      </c>
      <c r="E6799" t="inlineStr">
        <is>
          <t>斜め</t>
        </is>
      </c>
      <c r="F6799" t="inlineStr">
        <is>
          <t>斜桁；斜方；斜向い；斜谷；斜角</t>
        </is>
      </c>
      <c r="G6799" t="inlineStr">
        <is>
          <t>斜め；斜陽；斜め上；斜体；斜線</t>
        </is>
      </c>
      <c r="H6799" t="n">
        <v>29</v>
      </c>
      <c r="I6799" t="inlineStr">
        <is>
          <t>当初は完全な直進ではなく、右斜に入った後左に折れる形をとっていた。；すぐ窓の左手には斜に立てかけられた張板が半分くらい見えるのである。；その後のガバナーズ島から橋までの斜道を建設する計画も拒否された。；首を出して見ると斜に糸の如く降る雨を突いて一輛の馬車が馳せて来る。；茎には斜上する毛があるか、または無毛で、節から根を出すことがある。；縄文は普通の斜状縄文のほかにこの時期特有の羽状縄文が特徴的である。；墓の形状は基本的に竪穴墓道が主流で、階段型墓道や斜坡墓道もみられる。；構内踏切を挟んで斜向かいに上下ホームが位置し、列車交換が行われる。；斜釘は長天とも呼ばれ、牌九牌を使ったドミノによく似たゲームである。；両側の山の斜には炭坑夫の長屋が雛段を見るように幾列も並んでいる。；二分木はオリジナルの木を斜に傾けて表現したと考えることもできる。；太字体は主に郡内にあるもの、斜字体は主に他の郡内にあるものである。；戦前期にはこのベルトには斜革を付けていたが、開戦後には廃止された。；正確な死刑確定日が判明している場合は、その日付を斜字で表記している。；身体を舞台の隅に向け、観客からは斜に構えた状態に見える姿勢。；冠水橋は上・下流側に鋼管製の斜材を配した揺れ止めが設けられていた。；蝙蝠傘を斜に肩にして二人は遊んでるのか歩いてるのか判らぬように歩いてる。；そして漸く斜に歩き出して、やがて傍の小さな溝に落ち入つたのである。；岩は斜に流れを裂いて、淙々とたぎる春の水に千年の苔を洗わせていた。；斜字はこの停留所を終点とする便が設定されていることを意味する。；斜に生へたる大木を利用し、その木の半ば頃より丸太を彼岸に掛け渡す。；駅は川に向かう斜面上に位置し、道路からやや高いところにあった。；昨日眺めた野も、斜になつた日を受けて、物の影が細長く靡いて居た。；五、六十間さきへ行った斜酣は、畑の中で何か踏んづけた模様である。；斜かひに合はさつてゐる径のかどで、十吉はネステレンコに行き会つた。；駅は内陸部にあり、斜面上の集落のかなり高いところに位置している。；橋軸に斜角が付けられた斜橋であり、流心に対し直角になっていない。；任意の斜走筋の巻き方は腕の反対側にあるその対となる斜走筋の逆向きである。；急に斜に外れて巴里昼間新聞を買う人の起すかすかな空気のうずまき。</t>
        </is>
      </c>
      <c r="J6799">
        <f>HYPERLINK("https://www.weblio.jp/content/斜", "词义详情")</f>
        <v/>
      </c>
      <c r="K6799">
        <f>HYPERLINK("https://yourei.jp/斜", "查看例句")</f>
        <v/>
      </c>
    </row>
    <row r="6800">
      <c r="A6800" t="inlineStr">
        <is>
          <t>はず</t>
        </is>
      </c>
      <c r="B6800" t="inlineStr">
        <is>
          <t>成功</t>
        </is>
      </c>
      <c r="C6800" t="inlineStr">
        <is>
          <t>「ハズバンド」の略。</t>
        </is>
      </c>
      <c r="D6800" t="inlineStr">
        <is>
          <t>はずじゃない；はずっと；はず聲；はず顏；はずないじゃないですか</t>
        </is>
      </c>
      <c r="F6800" t="inlineStr">
        <is>
          <t>いいはず；思はず；なかったはず；そんなはず；あろうはず</t>
        </is>
      </c>
      <c r="G6800" t="inlineStr">
        <is>
          <t>はずし；はずみ；はずす；はずま；はずさ</t>
        </is>
      </c>
      <c r="H6800" t="n">
        <v>29</v>
      </c>
      <c r="I6800" t="inlineStr">
        <is>
          <t>これが、今後手がけていくべき数多くの事業の資金源となるはずである。；しかし和平のために活動している井上がこれに同意するはずがなかった。；警察は小沼の背後に何らかの指導者か関係団体が存在するはずと見ていた。；我々の銀河系も同様のはずであるが、1604年以降発見されていない。；そのような場合、それが葉であれば、枝との接点に芽があるはずである。；それを望むのであれば、不通になる以前に達成できていたはずである。；絶対に打たれるはずのないひざ元へのスライダーを門田さんに打たれた。；また、その国にいなかったはずの記者の名前が付けられていることさえもある。；もしこれが本当なら月は2倍近くも大きさが変化するように見えるはずである。；また、本来の主人公であるはずの孫策よりも、関羽の方が多く登場する。；これによって、計算で定めたはずの空間上の一点の信頼性が損なわれる。；グリーンが最初に書いた脚本ではハッピーエンドとなるはずであった。；受かるはずがないと自身は思っていたのに合格の電話をもらった。；日本初の合作映画となるはずであったが、未編集のまま公開されなかった。；友人の関係になったはずが、やがて総一郎は雪野を拒絶するようになる。；宙に浮いていた教会土地財産の売却を一気に進めることもできるはずだった。；そこには同じように死んだはずの人々が集められていた。；でも実際に一年間見た人は誰もそんなことは思っていないはず。；準備は2時間で済むはずのところ、3時間半と想定よりも長くかかった。；作戦開始から40日間の間に達成するはずだった目標をどちらも達成できなかった。；ここにいる何応欽将軍も軍事報告の中でちゃんとそのことを記録してあるはずです。；パイロットは半年前に戦死したはずのハマーン・カーンを名乗る女性。；この場合、金星は地球から常に三日月型にしか見えないはずであった。；なかなか良い所だが、もっといい所にできたはずだ、とみんなに言ってやったよ。；彼の予見では、ここは月探検のための理想的な出発点のはずだった。；つまり本来であれば以下の対応になるはずであった。；この数は増え続けているが、本当に存在するはずの彗星のうちのごく一部である。；当初のアナウンスでは制定されたばかりのASCIIが採用されるはずだった。；したがって、このような体系は今後も変更を余儀なくされることがままあるはずである。</t>
        </is>
      </c>
      <c r="J6800">
        <f>HYPERLINK("https://www.weblio.jp/content/はず", "词义详情")</f>
        <v/>
      </c>
      <c r="K6800">
        <f>HYPERLINK("https://yourei.jp/はず", "查看例句")</f>
        <v/>
      </c>
    </row>
    <row r="6801">
      <c r="A6801" t="inlineStr">
        <is>
          <t>恥ずかしい</t>
        </is>
      </c>
      <c r="B6801" t="inlineStr">
        <is>
          <t>成功</t>
        </is>
      </c>
      <c r="C6801" t="inlineStr">
        <is>
          <t>読み方：はずかしい
［形］［文］はづか・し［シク］
１自分の欠点・過失などを自覚して体裁悪く感じるさま。面目ない。「成績が悪くて—・い」「字が下手で—・い」
２人目につきたくない思いである。気詰まりである。てれくさい。「人前に出るのが—・い」「そんなにほめられると—・い」
３相手がすぐれていて気おくれするさま。立派である。
「御息所は、心ばせのいと—・しく」〈源・葵〉
[派生]はずかしがる［ラ五］はずかしげ［形動］はずかしさ［名］</t>
        </is>
      </c>
      <c r="D6801" t="inlineStr">
        <is>
          <t>恥ずかしいこと(13%)；恥ずかしい思い(5%)；恥ずかしい話(3%)；恥ずかしい気；恥ずかしい事</t>
        </is>
      </c>
      <c r="E6801" t="inlineStr">
        <is>
          <t>残念；とんでもない；申し訳ない；不名誉；やましい</t>
        </is>
      </c>
      <c r="F6801" t="inlineStr">
        <is>
          <t>ちょっと恥ずかしい；とても恥ずかしい；たら恥ずかしい；そんな恥ずかしい；こんな恥ずかしい</t>
        </is>
      </c>
      <c r="H6801" t="n">
        <v>29</v>
      </c>
      <c r="I6801" t="inlineStr">
        <is>
          <t>口にしたら死んだほうがましだと思えるほど恥ずかしくなるに違いない。；そして僕には、僕が学生であった時代が恥ずかしくなった一時代が来た。；横でオーデコロンと煙草の匂いをさせている自分の男が恥ずかしかった。；男性警官が詳しく事件当時の恥ずかしい状況を聞くのはまだいいという。；日本人が観ても気恥ずかしさを感じないことを意図した作品となった。；おまえの前であの人のことを恥ずかしく思うことはわたしにはできません!；このような所では人は恥ずかしい事を互いに分け持っていますからね。；そんなありもしない想像をしている自分がたまらなく恥ずかしくなった。；この恐ろしい瞬間に、どうしてぼくは自分を恥ずかしがる必要があろう。；わたしは恥ずかしく思わなければならないようなことはなにもしていない。；俺もきっとこいつらに並んでも恥ずかしくない力を身に付けてやる!!；急にそれが自分の中で恥ずかしくなって、慌てて下を向いて表情を隠す。；あちこちで絵を見ている人がいるのに恥ずかしいほど大きな声だった。；こうやって一人でいろいろ考えてるのは恥ずかしいったらありゃしない。；選ばれなかった人たちに、恥ずかしくない選手にならなければならない。；黙って彼女の手当てを受けていたが、心は恥ずかしさでいっぱいだった。；ベッドで妻を待ち、妻は部屋に入ると恥ずかしそうに部屋の電気を消す。；顔から火が出そうなほど恥ずかしくなったが、事実なのだから仕方ない。；あんな不幸な女を連れてきたりして、兄さんは恥ずかしいと思わないの!；先刻の箱もあわてて隠すのが恥ずかしく思われてそのままにしてあった。；それが恥ずかしく、体育会に自分の納得の持って行き場所を求めたのだ。；私は、彼があまりの恥ずかしさに一言も物が言えないのを見てとった。；私は蒲団の中から出た母の手紙を見ると何ほどか恥ずかしい思いであった。；そしてそんな簡単なことすら考えつかなかった自分が恥ずかしくなった。；女の人の前で恥ずかしがるなんて変だわと、彼女は自分を納得させた。；自分で言うの恥ずかしいところがあるけど、家族の再編成ってんですか。；パッケージでは唯一、恥ずかしがっているような部分も掲載されている。；ところで、まことに恥ずかしい話だが、母親は娘にこう答えたのである。；昌代は多分、それを淳二が恥ずかしがっているのだと感じたのであろう。</t>
        </is>
      </c>
      <c r="J6801">
        <f>HYPERLINK("https://www.weblio.jp/content/恥ずかしい", "词义详情")</f>
        <v/>
      </c>
      <c r="K6801">
        <f>HYPERLINK("https://yourei.jp/恥ずかしい", "查看例句")</f>
        <v/>
      </c>
    </row>
    <row r="6802">
      <c r="A6802" t="inlineStr">
        <is>
          <t>外す</t>
        </is>
      </c>
      <c r="B6802" t="inlineStr">
        <is>
          <t>成功</t>
        </is>
      </c>
      <c r="C6802" t="inlineStr">
        <is>
          <t>読み方：はずす
［動サ五（四）］
１取り付けたり、掛けたりしていたものを取って離す。「錠を—・す」「受話器を—・す」
２身につけていたものをとる。「ネクタイを—・す」「胸当てを—・す」
３取り逃がす。機会などを失う。逸する。「絶好のチャンスを—・す」
４一時的に、また途中である場所から退いたり離れたりする。「席を—・す」「バッターボックスを—・す」
５ある集団・任務や予定などから除く。「メンバーから—・す」「担当を—・される」
６相手のものをそらして避ける。かわす。「攻撃を—・す」「質問を巧みに—・す」「タイミングを—・したスローボール」
７ねらいをそらす。「コースを—・す」「的を—・す」
[可能]はずせる</t>
        </is>
      </c>
      <c r="D6802" t="inlineStr">
        <is>
          <t>外すべき；外すと同時に；外すよう命令</t>
        </is>
      </c>
      <c r="E6802" t="inlineStr">
        <is>
          <t>出す；除く；排除；去る；離れる</t>
        </is>
      </c>
      <c r="H6802" t="n">
        <v>29</v>
      </c>
      <c r="I6802" t="inlineStr">
        <is>
          <t>この講和交渉は日本と明との間で行われ、朝鮮は交渉の場から外された。；同社は保有していた27機の機体を全て運航業務から外すことになった。；この仕切りは荷役が容易になるよう外すことができるようになっていた。；メガネを着用しているが、インタビューなどでは外していることが多い。；牛たちは良く育ったが、彼が同じ山にばかりいるので仕事を外された。；TOICA利用対象駅からは外されており、特に改良される予定もない。；直線上にないため側車を外した場合に直進できないものなどが考えられる。；既にリーの軍隊からは外されており、出身州での徴兵任務に派遣された。；貯水槽は重い蓋で塞がされており、蓋を外すのは困難だったはずである。；人工呼吸器から外すことができない人にのみ使用することが推奨される。；ユニットの存在は天龍を語る上で決して外す事の出来ない物となった。；同年に中央・地方全国交流競走から外された東海菊花賞を継承している。；シングルの背広は2つ掛け以上の場合は最下部のボタンを外すのが正式。；うやうやしくそれを外すと、ゆっくりと下げて、自分の頭の上に載せた。；この道具を力づくで外そうとすると、加えた力の3倍の力で反撃される。；引力の可能性を外すために、バガトとそのチームは簡単な実験を行った。；スズメが外された理由は中国側が発表していないので良く分かっていない。；またジャケのもとには彼等を代表から外すようにとの脅迫が舞い込んだ。；そして床にある鉛管工事用の板を外して、そこから何かを取り出した。；だけど表現的なさまざまなものでは、常に中心を外そうとしている。；初期は剣とベルト式の鞘を携えていたが、剣が破損した後は外している。；これは二人の人間と鍵がないと外すことはできなかっただろう。；ここまで14戦して掲示板を外したのは1戦と堅実な走りを見せていた。；だが彼は夏季から視線を外すことなく、ゆっくりとした口調で言った。；東京場所ごとに2枚ずつ新たな優勝額が加えられ、古いものから外される。；結局、8月に入ると再びレギュラーから外されてそのまま解雇となった。；これはイヤーチップを外すとノズルが豚の鼻のように見えるためである。；頸から下は関節を外されて解体されており重ねられるように埋葬されている。；しかしその結果、刑事事件の担当から外されたとのちに証言している。</t>
        </is>
      </c>
      <c r="J6802">
        <f>HYPERLINK("https://www.weblio.jp/content/外す", "词义详情")</f>
        <v/>
      </c>
      <c r="K6802">
        <f>HYPERLINK("https://yourei.jp/外す", "查看例句")</f>
        <v/>
      </c>
    </row>
    <row r="6803">
      <c r="A6803" t="inlineStr">
        <is>
          <t>バス停</t>
        </is>
      </c>
      <c r="B6803" t="inlineStr">
        <is>
          <t>成功</t>
        </is>
      </c>
      <c r="C6803" t="inlineStr">
        <is>
          <t>読み方：ばすてい
バスの停留所。バスストップ。</t>
        </is>
      </c>
      <c r="D6803" t="inlineStr">
        <is>
          <t>バス停下車(2%)；バス停付近；バス停名；バス停近く；バス停ポール</t>
        </is>
      </c>
      <c r="E6803" t="inlineStr">
        <is>
          <t>バスストップ</t>
        </is>
      </c>
      <c r="F6803" t="inlineStr">
        <is>
          <t>最寄りバス停；入口バス停；当バス停；各バス停；上にあるバス停</t>
        </is>
      </c>
      <c r="G6803" t="inlineStr">
        <is>
          <t>バス停留場；バス停飛ばし</t>
        </is>
      </c>
      <c r="H6803" t="n">
        <v>29</v>
      </c>
      <c r="I6803" t="inlineStr">
        <is>
          <t>阪急バスの路線も通っているが、この駅に接続するバス停は存在しない。；駅舎の正面にバス停が設けられ、阪急バスの以下の路線が発着している。；廃止後に鉄道駅に対応するバス停が設けられなかったのは当駅のみである。；また、駅舎外には市営バスのバス停や自転車の駐輪場が整備されている。；周辺は山と海に囲まれており、東名高速道路で最も海に近いバス停である。；かつて運行されていたこの路線も当バス停に停車していた。；なお、上記以外にも新宿駅西口バス停から多くの路線が発着している。；路線バスがバス停に一時停車するだけでも渋滞を引き起こすこともある。；これらのバス停に発着するバスの路線は以下の通りである。；駅西口の南にロータリーがあるほか、周辺の道路上にもバス停がある。；町内を通る全路線が旧嘉手納ロータリー付近の嘉手納バス停に停車する。；これにより平日に当バス停を停車するバスが復活することになった。；上り方面のバス停は中央自動車道本線上にあり、待合室が設置されている。；またバス停の時刻表は長崎観光ルートバス専用の時刻表が用意されている。；現在は、大平特別支援学校前バス停の近くに線路の一部が残っている。；駅から南へ徒歩2分の国道197号沿いに大分バス坂の市バス停がある。；また学校の前には、津駅方面にアクセスする三重交通のバス停がある。；バスのりばは駅前の道路上に通常のバス停同様に設置されている。；下り線側の側道沿いに、バス停利用者のための無料駐車場が設置されている。；杉田は町名になっているが、姫の水はバス停の名前としてのみ残っている。；同じ場所でも一部バス停名が固有名詞は同じでも後に続く方角等が異なっている。；後生掛温泉バス停までは毎日運行されていないため注意が必要。；両線の駅は本線の北側、現在の野田阪神前バス停の位置にあった。；小新山線は五香駅東口の五香駅バス停から北東方面に向かう路線である。；中心近くの湯田温泉バス停には各方面からの高速バスが発着している。；引山 - 四軒家間では同一名の停留所でもバス停の位置が異なる。；かつて運行されていた津川・上川線も当バス停に停車していた。；現在も主要バス停付近の交差点名には「駅前」の名称が残っている。；三重交通の川合高岡バス停が付近にあり、以下の系統のバスが発着している。</t>
        </is>
      </c>
      <c r="J6803">
        <f>HYPERLINK("https://www.weblio.jp/content/バス停", "词义详情")</f>
        <v/>
      </c>
      <c r="K6803">
        <f>HYPERLINK("https://yourei.jp/バス停", "查看例句")</f>
        <v/>
      </c>
    </row>
    <row r="6804">
      <c r="A6804" t="inlineStr">
        <is>
          <t>弾む</t>
        </is>
      </c>
      <c r="B6804" t="inlineStr">
        <is>
          <t>成功</t>
        </is>
      </c>
      <c r="C6804" t="inlineStr">
        <is>
          <t>読み方：はずむ
［動マ五（四）］
１
㋐弾力のある物が何かに当たって、反動の力で逆方向に勢いよくはねかえる。はねあがる。「このボールはよく—・む」
㋑勢いに乗って調子づく。活気を帯びる。「—・んだ声で話をする」「希望に心が—・む」
㋒呼吸が激しくなる。荒くなる。「息を—・ませて駆ける」
２気前よく金品を余計に出す。奮発する。「チップを—・む」
[補説]歴史的仮名遣いは「はずむ」ともされたが、文明本節用集・日葡辞書など、室町期文献に「はづむ」とあるのに従う。</t>
        </is>
      </c>
      <c r="D6804" t="inlineStr">
        <is>
          <t>弾むような足取り(4%)；弾むような声(3%)；弾む音(2%)；弾むような足どり</t>
        </is>
      </c>
      <c r="E6804" t="inlineStr">
        <is>
          <t>飛躍；跳ねる；リバウンド；躍る；バウンド</t>
        </is>
      </c>
      <c r="F6804" t="inlineStr">
        <is>
          <t>よく弾む；高く弾む</t>
        </is>
      </c>
      <c r="H6804" t="n">
        <v>29</v>
      </c>
      <c r="I6804" t="inlineStr">
        <is>
          <t>客に呼ばれて、事前に身体がこんなに弾んでいるのは珍しい経験である。；私の耳には部屋中に響く彼女の明るく弾んだ笑い声がまだ残っています。；入ったときとは別の口へ出てきたが、それでも二人とも息を弾ませていた。；娘が心を弾ませて連れて来た男なんか、父親はわけもなく好きになれない。；じっさい男は女房といっしょに飲んでも、まるで心が弾まないのだから。；苦し気に息を弾ませているのに、その女性の美しさは衰えていなかった。；丁度その時テーブルの向こうから興奮で息を弾ませた声がハリーを呼んだ。；季節の階段が上りにかかる盛り上がりが街の気配を弾ませているのである。；最近は自宅に籠もってばかりいたので久し振りの旅行に気持も弾んでいる。；こんな心が弾む様な毎日が自分に訪れるとは少年は思ってなかった。；静かでありながら、冬を耐えた植物や生物のエネルギーが弾んでいる。；その姿が窓から斜向こうにさしかかったとき、私は思わず息を弾ませた。；何回かのリフトの後、父は息を弾ませながら、麗子を石の上に下ろした。；ソファの背にもたれかかるのかと思うと、弾んでまた元の姿勢に戻った。；この先も、亮子以外の人間とは経験できそうにない心弾むことに思えた。；家の手前数十メートルの所で少し駆け足をして息を弾ませ、家へ入る。；パスタ屋で話が弾んだ辺りから彼女の緊張がほぐれてきたような気がする。；思ったよりも身体は萎えているようで、靠枕に凭れていても息が弾んだ。；同じ家で過ごしていたエリオとも話が弾まなくなり、ぎこちなくなって。；一年生の時から一緒に登下校しているが、はじめは会話が弾まなかった。；そんな、なんでもないことをするのにも、州波の気持ちが弾んでくる。；勤務交代の時間が近づいているせいか、若い看護婦の声は弾んでいた。；でもどうしてか、私の心は普段よりも弾んでいるような気がします。；皆の弾むような言葉の中で、私はぼんやりそんなことを考えていた。；霧の奥から、本立ちや山肌が現われてくるのを見ながら、颯子が弾んだ。；すっかり飽きたゲームなのに、初めて起動したときみたいに心が弾んだ。；新しい出発であるはずの引っ越しの日だというのに、少しも心が弾まない。；何をしているのか声を弾ませながら、コンラッドが地上で叫んでいる。；通路を引き返しながら、気持が弾むのを覚えかれは口笛を吹きはじめた。</t>
        </is>
      </c>
      <c r="J6804">
        <f>HYPERLINK("https://www.weblio.jp/content/弾む", "词义详情")</f>
        <v/>
      </c>
      <c r="K6804">
        <f>HYPERLINK("https://yourei.jp/弾む", "查看例句")</f>
        <v/>
      </c>
    </row>
    <row r="6805">
      <c r="A6805" t="inlineStr">
        <is>
          <t>外れる</t>
        </is>
      </c>
      <c r="B6805" t="inlineStr">
        <is>
          <t>成功</t>
        </is>
      </c>
      <c r="C6805" t="inlineStr">
        <is>
          <t>読み方：はずれる
［動ラ下一］［文］はづ・る［ラ下二］
１掛けたりはめたりした位置から抜け出る。「ボタンが—・れている」「障子が—・れる」
２目標からそれる。「狙(ねら)いが—・れる」「くじに—・れる」
３予測や期待していたこととは違う結果になる。くいちがう。「当てが—・れる」「予報が—・れる」
４一定のわくや基準を超える。ずれる。「音程が—・れる」「人並み—・れた腕力」
５集団から除かれる。「メンバーから—・れる」
６一定の範囲から外へ出る。中心の場所からそれる。「コースから—・れる」「繁華街から—・れた閑静な地」
７当然あるべきことがらに反する。そむく。「道に—・れた行為」</t>
        </is>
      </c>
      <c r="D6805" t="inlineStr">
        <is>
          <t>外れる形でaaa(2%)；外れる形で傘下；外れる可能性；外れる機会が増え；外れる確率</t>
        </is>
      </c>
      <c r="F6805" t="inlineStr">
        <is>
          <t>少し外れる；やや外れる；著しく外れる</t>
        </is>
      </c>
      <c r="H6805" t="n">
        <v>29</v>
      </c>
      <c r="I6805" t="inlineStr">
        <is>
          <t>中心部を外れると人影は少なくなり、通りの雰囲気も単調になってきた。；しかし、これらの事情はここでの主題とは外れる話であるため割愛する。；記事を執筆した記者の広岡勲が巨人担当を外れることで事態は収拾した。；ただし郊外など二つの管轄から外れる地域では明確な区別がないともいえる。；回転式のフックの部分がドライバーで簡単に外れるようになってるから。；だが大きく外れることは少なく、実額と同じであることも多いという。；この条件から外れると領海を形成するために有効な領土ではなくなる。；問題があるとのことで改造できず、数話で再調整のために前線から外れる。；打撃の調子を落としたため、スタメンを外れることも珍しくなくなった。；また、どのような基準をとっても国内外にそこから外れる人がでてくる。；この河はコースから外れることなく、はるかに近い距離にあったからである。；仮名の錯書など定義からは外れるが脳卒中の初期は合併することが多い。；また、東校舎解体に伴い、市の被爆建物リストから外れることになった。；これらの場合、甲号、乙号とも通常の大きさや形状等の規定から外れる。；ひとつ外れるたびに白い肌がひろがり、祥子も男の手に胸を委ねていた。；なお、同一役人の管轄内であっても手限の範囲から外れる場合もある。；そのため引っ張り出さなくても、すぐに外れる仕掛けがついたものもある。；自殺志願者はどこにでもいるし、ハイキングコースから外れると危険だ。；二人が危険な氷河を外れると殆ど同時に、霧がまいて来たのだった。；それに、まだフォルニーアの策が外れると決まったわけでもないのだ。；また製作された翼形状が設計形状から外れると翼形状本来の性能を引き出せない。；ナイフは、事実、もう少しのことでまったく外れるところだったのだ。；五号幹線を外れると、ひどい路で、僕の身体は何回か宙に飛び上ったりした。；予想はだいたい外れるものだが、それにしてもこれは外れすぎていた。；と、中でかけ金が外れる音がしてから入口の扉がすうーっと内側へあいた。；環境倫理の主流からは外れるが、以下のような考え方や運動も生まれてきた。；フランス窓を外側から閉じたとき、玄関の自動錠が外れる音がした。；相手の男性も服のボタンが外れるなどしたが、双方とも被害届は出さなかった。；これはウイルスと同じ性質であり、厳密に言えば生物の定義からは外れる。</t>
        </is>
      </c>
      <c r="J6805">
        <f>HYPERLINK("https://www.weblio.jp/content/外れる", "词义详情")</f>
        <v/>
      </c>
      <c r="K6805">
        <f>HYPERLINK("https://yourei.jp/外れる", "查看例句")</f>
        <v/>
      </c>
    </row>
    <row r="6806">
      <c r="A6806" t="inlineStr">
        <is>
          <t>パソコン</t>
        </is>
      </c>
      <c r="B6806" t="inlineStr">
        <is>
          <t>成功</t>
        </is>
      </c>
      <c r="C6806" t="inlineStr">
        <is>
          <t>「パーソナルコンピューター」の略。</t>
        </is>
      </c>
      <c r="D6806" t="inlineStr">
        <is>
          <t>パソコン用(4%)；パソコン版；パソコン上；パソコン向け；パソコンメーカー</t>
        </is>
      </c>
      <c r="E6806" t="inlineStr">
        <is>
          <t>パーソナルコンピュータ；パーソナルコンピューター；マイコン；マイクロコンピューター；マイクロコンピュータ</t>
        </is>
      </c>
      <c r="F6806" t="inlineStr">
        <is>
          <t>製パソコン；パソコン事業；パソコン室；型パソコン；向けパソコン</t>
        </is>
      </c>
      <c r="G6806" t="inlineStr">
        <is>
          <t>パソコンゲーム；パソコン雑誌；パソコンショップ；パソコンソフト；パソコン創世記</t>
        </is>
      </c>
      <c r="H6806" t="n">
        <v>29</v>
      </c>
      <c r="I6806" t="inlineStr">
        <is>
          <t>DACを持たないパソコン向けのソフトウェアで使われることがあった。；一部に専用部品を使って小型化したパソコンはの方法が取られることが多い。；ネタ作りは基本的に1人でパソコンで脚本を書くスタイルをとっている。；途切れのない再生のためにはパソコンにはある程度処理能力が求められる。；こういった制限はパソコンの弛まない性能向上によりなくなっていった。；パソコン版とセガサターン版では第3章のシナリオと登場人物が異なる。；下記は主にパソコン用のパソコン通信向け機能を持った端末ソフトである。；ゲートウェイのパソコンを所有している人は『牛飼い』と呼ばれていた。；中古パソコンはたとえば次のような理由・動機で購入されている。；一般にパソコンのデータを修正するのは比較的容易である。；この経営スタイルは、パソコン店でも同じように行われていた。；この循環は、コンピュータや現在のパソコンにも見られる大きな要素である。；パソコンが一般的になる前は書籍などで流通していたが、現在ではデータでの販売も進んでいる。；その結果当社がEPSONブランドのパソコン事業の中核企業となった。；パソコンへはインターネット経由で提供されることが多い。；汎用規格品のみで製作できる中型以上のパソコンはの方法が取られる。；データ通信用の端子には、適切な変換器を介してパソコン等に接続する。；アニメや漫画・自動車・バイクやパソコンなど、幅広い趣味を持っている。；普段使っているパソコンを持ち込んでの作業が出来る事が多い。；パソコンにRTTYソフトウェアを導入することで代用することができる。；なおでパソコン等と接続すると転送できない旨が表示される。；ホストは、パソコン以外にも汎用コンピュータを使用した物も多々ある。；パソコンを中心として音楽を制作する環境が徐々に整えられていくこととなった。；当初はパソコン利用のみだったが、1999年以降は対応端末も発売。；ただしパソコンの一般への販売は禁止されていた。；人型の情報端末である、パソコンと呼ばれる機械が普及した東京。；本作のパソコン版は世界各国の人々とプレイ空間を共有することが可能だった所が大きな人気を呼んだ。；後に続編となるパソコン用ソフト『信長の野望・天翔記』が発売された。；そのため、当時の一般的なパソコンとは一線を画するものになった。</t>
        </is>
      </c>
      <c r="J6806">
        <f>HYPERLINK("https://www.weblio.jp/content/パソコン", "词义详情")</f>
        <v/>
      </c>
      <c r="K6806">
        <f>HYPERLINK("https://yourei.jp/パソコン", "查看例句")</f>
        <v/>
      </c>
    </row>
    <row r="6807">
      <c r="A6807" t="inlineStr">
        <is>
          <t>破損</t>
        </is>
      </c>
      <c r="B6807" t="inlineStr">
        <is>
          <t>成功</t>
        </is>
      </c>
      <c r="C6807" t="inlineStr">
        <is>
          <t>読み方：はそん
［名］(スル)壊れたり、傷ついたりすること。また、壊したり、傷つけたりすること。「塀が—する」「器物を—する」</t>
        </is>
      </c>
      <c r="D6807" t="inlineStr">
        <is>
          <t>破損する(8%)；破損箇所；破損等；破損防止；破損しやすい</t>
        </is>
      </c>
      <c r="E6807" t="inlineStr">
        <is>
          <t>打撃；損傷；損害；傷つける；崩れる</t>
        </is>
      </c>
      <c r="F6807" t="inlineStr">
        <is>
          <t>大きく破損；ひどく破損；破損状態；データ破損；破損すれ</t>
        </is>
      </c>
      <c r="H6807" t="n">
        <v>29</v>
      </c>
      <c r="I6807" t="inlineStr">
        <is>
          <t>特に初期モデルではこのボタンは破損して外れやすいことが知られている。；車両に着雪した雪は落下することで設備の破損などを引き起こすがある。；エンジン部分が無く、一部に破損は見られるもの綺麗な形で残っている。；実あ私はそん時まで春子さんと言う方とまだ一度も会ったことはなかった。；またテープが破損して穴情報を再度作成しなければならないこともあった。；強い磁気に晒されると磁気情報が破損して使用できなくなることがある。；なお、古い部分が破損しやすいのは一部の種では特徴になっている。；この際に使用した飛行機は、山に近づく際に破損したため山の中に捨てられた。；万が一柄が破損、紛失しても現場の適当な木の枝や金属棒で代用できる。；現代に蘇ったときに持っていた古代の武器が破損したために入手の必要が発生。；初期は剣とベルト式の鞘を携えていたが、剣が破損した後は外している。；現存するマヤの写本は、大部分が破損したものを含めて4冊のみである。；しかし木製車体は事故の際の破損に弱く、安全性の低さが課題であった。；これは当時の破損した作品が修復された際の報告書などから確認できる。；効果と失敗率は真輝の術書と同じだが失敗したときにアイテムは破損されない。；着水時に搭載機のフロート1つが破損するも、機はそのまま収容された。；クラッシュした場合には、サスアーム周りが破損したりする事はあった。；隼鷹は第三次攻撃隊を収容したのち、一旦北上して破損機の修理を実施。；彼はCcと呼ばれているの破損した部位に記載されていたであろう。；腕が破損すると、その部分に搭載された兵器も破壊されてしまう。；作刀数は多かったものの、実戦よる破損や紛失もあり残存数は多くない。；明治時代には忘れられており、多くの作品が失われたり破損したりしていた。；同年殿継は渤海に渡るが、遠く辺境の地へ漂着して船が破損してしまう。；成虫での期間が長いため、秋には羽の破損した個体がよく見られる。；他は建物下部の石垣崩壊や屋根・壁の破損などの被害が報告された。；ラケットが卓球台にあたったときにラケットが破損しないためにつける。；但し、火を入れて使う物のため、破損しやすく、良作の伝世品は少ない。；同じ理由から、銃床が破損した場合でも問題なく射撃を行うことができた。；子供の足はそん なに長くないし、子供の背はそこまで高くない。</t>
        </is>
      </c>
      <c r="J6807">
        <f>HYPERLINK("https://www.weblio.jp/content/破損", "词义详情")</f>
        <v/>
      </c>
      <c r="K6807">
        <f>HYPERLINK("https://yourei.jp/破損", "查看例句")</f>
        <v/>
      </c>
    </row>
    <row r="6808">
      <c r="A6808" t="inlineStr">
        <is>
          <t>旗</t>
        </is>
      </c>
      <c r="B6808" t="inlineStr">
        <is>
          <t>成功</t>
        </is>
      </c>
      <c r="C6808" t="inlineStr">
        <is>
          <t>読み方：き
［音］キ（漢）　［訓］はた
［学習漢字］4年
〈キ〉
１はた。「旗下・旗幟(きし)・旗手／錦旗・軍旗・校旗・国旗・戦旗・弔旗・反旗・半旗」
２清(しん)の軍団。「旗人」
〈はた（ばた）〉「旗色・旗印・旗本／赤旗・白旗・手旗・一旗」
［名のり］たか</t>
        </is>
      </c>
      <c r="D6808" t="inlineStr">
        <is>
          <t>旗姫；旗本領；旗上げ；旗振り役；旗挙げ</t>
        </is>
      </c>
      <c r="E6808" t="inlineStr">
        <is>
          <t>ピン；のぼり；幟；フラグ；フラッグ</t>
        </is>
      </c>
      <c r="F6808" t="inlineStr">
        <is>
          <t>州旗；県旗；白い旗；旗振り；小旗</t>
        </is>
      </c>
      <c r="G6808" t="inlineStr">
        <is>
          <t>旗艦；旗揚げ；旗手；旗印；旗竿</t>
        </is>
      </c>
      <c r="H6808" t="n">
        <v>29</v>
      </c>
      <c r="I6808" t="inlineStr">
        <is>
          <t>旗を掲げておれば停車する運行形態でも国内では最後の生き残りである。；旗の上に掲げられた赤のSchwenkelにはいろいろな解釈がある。；この旗は騎士団を継承したスペイン及び同領ネーデルランドで使われた。；この旗を掲げた船は村上水軍に他の海賊などから守ってもらえたそうだ。；県旗の上部黄色は王権を表す金の色であり、チャクリー王朝の色である。；社会主義や共産主義を意味する赤を部分的に使用した旗には以下がある。；しかしこの旗は非公式であり、公式にはフランス国旗が使用されている。；また、彼らは所属する報道機関の旗をつけるために旗棒を取り付けていた。；色が正しい比例であれば、任意のサイズの旗を使用することができる。；その場合、色紙に限らず、旗・服・ボールなど、書く対象は多様である。；戦前の中学校旗はこの時期に制定されたものが多いとされる。；旗には、4本の帯が付けられており、コモロの4つの島を意味している。；この中では皇帝も旗王の一人であり、無限の権力が振るえるわけではない。；無線による意思疎通が始まった時期であるが、重要な命令は旗によった。；このとき用いられた傘連判状や旗は、高崎市の文化財に指定されている。；このとき制定された国旗は、以前の旗よりも明るい青色が採用された。；彼の旗がメインマストに翻されたが、旗の状態があいにく良くなかった。；この時に配られた旗が現在の氷旗のデザインの元になっている。；この単純な引き結びの使用は、1人で旗を掲げるときに許されている。；帝政時代は旗の中央に皇帝を現すライオンと太陽の絵が描かれていた。；旗門配置をコンビネーションとする場合は全てフレックスポールとなる。；旗の意匠が漢字の米に類似していることから、中国語ではと呼ぶことがある。；海上自衛隊では、代将の階級は存在しないが、代将旗が制定されている。；旗人には旗地と呼ばれる農地が支給されるなど、さまざまに優遇された。；現在、大学の学章、学旗には、大学の歴史と伝統が反映されている。；ウィルミントンの旗は、十字の中心に町のマークが張り付けられている。；旗のデザインは、緑の地に、中央からやや旗竿寄りに赤い円が描かれている。；そのような中で党外勢力が台湾自決の旗を掲げ勢力を急速に増してきたのである。；お祭りや稲の植え付けの際に田のあぜに旗を立てていたからと言う説。</t>
        </is>
      </c>
      <c r="J6808">
        <f>HYPERLINK("https://www.weblio.jp/content/旗", "词义详情")</f>
        <v/>
      </c>
      <c r="K6808">
        <f>HYPERLINK("https://yourei.jp/旗", "查看例句")</f>
        <v/>
      </c>
    </row>
    <row r="6809">
      <c r="A6809" t="inlineStr">
        <is>
          <t>肌</t>
        </is>
      </c>
      <c r="B6809" t="inlineStr">
        <is>
          <t>成功</t>
        </is>
      </c>
      <c r="C6809" t="inlineStr">
        <is>
          <t>読み方：き
［常用漢字］　［音］キ（呉）（漢）　［訓］はだ
〈キ〉はだ。はだえ。「肌膚・肌理(きり)／玉肌・雪肌」
〈はだ〉「肌着・肌身／赤肌・片肌・木肌・鮫肌(さめはだ)・地肌・素肌・鳥肌・人肌・諸肌(もろはだ)・山肌・柔肌(やわはだ)」
［難読］肌理(きめ)・黄肌(きわだ)・肌衣(はだぎ)</t>
        </is>
      </c>
      <c r="D6809" t="inlineStr">
        <is>
          <t>肌ざわ；肌衣；肌膚；肌質；肌寒</t>
        </is>
      </c>
      <c r="E6809" t="inlineStr">
        <is>
          <t>皮；表皮；膚；外皮；素肌</t>
        </is>
      </c>
      <c r="F6809" t="inlineStr">
        <is>
          <t>浅黒い肌；親分肌；なめらかな肌；学者肌；学究肌</t>
        </is>
      </c>
      <c r="G6809" t="inlineStr">
        <is>
          <t>肌身；肌寒い；肌色；肌触り；肌理</t>
        </is>
      </c>
      <c r="H6809" t="n">
        <v>29</v>
      </c>
      <c r="I6809" t="inlineStr">
        <is>
          <t>さらに国際主義から肌の色を問わない全人類の血を象徴するともされた。；出身はエジプトあるいはインドとされ、褐色あるいは黒い肌の像がある。；タバリーは黒い肌、大きい目、長いひげを持っていたと描写されている。；男性の肌の色は緑で、眉とこめかみがつながっている容姿の人物が多い。；右図にあるように肌が緑色なのは植物の色を象徴しているからだといわれる。；肌を保護する効果があるとされ、古くより化粧品にも用いられてきた。；とても背が高く、やせており、肌の色が白いことが見た目の特徴である。；彼女は楯に囲まれ、肌から直接生えているかのような鎧を着て眠っていた。；芸術肌でもあり、人や風景を絵に描いたり演劇にも積極的に参加したりしている。；基本的に若い女性を対象とし、肌のケアに特化した商品展開を行っている。；白や肌の色に近いものの他、用途によって多様な色で作製されている。；矢崎は若い時の中国やアメリカでの生活ら肌で外国の学問を学び取っていた。；ただし不完全な出来であるため、着物の色・肌の色が若干黒くなっている。；多くの家庭では、奴隷の肌の色によって扱いが変わることがあった。；肌や髪の色は2周目以降にはRGBを詳細に設定することができる。；漫画とアニメとの違いを肌で感じ、この経験をきっかけにアニメ制作に興味を持つ。；そのような配置を行うと明るい肌のエリートがそのような地位を独占した。；美容に大変な気を使っており、肌にシミができたときには大騒ぎしていた。；この番組への出演を機に、和田の「姉御肌」のキャラクターが定着した。；肌の薄いところではヒリヒリとした痛みも見られ、腫れる場合がある。；この名はイェニシェがロマに比べて肌の色が明るいことに由来する。；元は人間であり多くは人に近い姿形を持つが、肌の色や質感が人間と大きく異なる。；なお、この時の彼女の黒い肌がカーリーになったとする説もある。；魔族では珍しく人間と同じ肌の色をしており、頭部の左右に一本ずつ太い角を持つ。；皮に角が出る皮膚病は良く知られており、肌の角質が増殖する症状である。；岩絵具を使った風化を意識した絵肌と静寂感のある作風が特徴とされる。；一部の選手は名前の使用権等の問題で偽名で表示されたり肌の色が変更されている。；それぞれのキャラクターは背の高さや肌の色が異なり、人種の差を表現している。；学究肌の真面目な研究者のため、このような噂が一人歩きした模様。</t>
        </is>
      </c>
      <c r="J6809">
        <f>HYPERLINK("https://www.weblio.jp/content/肌", "词义详情")</f>
        <v/>
      </c>
      <c r="K6809">
        <f>HYPERLINK("https://yourei.jp/肌", "查看例句")</f>
        <v/>
      </c>
    </row>
    <row r="6810">
      <c r="A6810" t="inlineStr">
        <is>
          <t>裸</t>
        </is>
      </c>
      <c r="B6810" t="inlineStr">
        <is>
          <t>成功</t>
        </is>
      </c>
      <c r="C6810" t="inlineStr">
        <is>
          <t>読み方：はだか
１身に衣類を着けていないこと。また、そのからだ。「上半身—になる」《季夏》
２覆いや飾りがなく、むき出しであること。「心付けを—で渡す」
３包み隠しのないこと。「—のつきあい」
４財産・所持品などが全くないこと。無一物。無一文。「事業に失敗して—になる」
[補説]書名別項。→裸</t>
        </is>
      </c>
      <c r="D6810" t="inlineStr">
        <is>
          <t>裸形(2%)；裸女；裸同然；裸地；裸男</t>
        </is>
      </c>
      <c r="E6810" t="inlineStr">
        <is>
          <t>全裸；ヌード；素裸；丸裸；素っ裸</t>
        </is>
      </c>
      <c r="F6810" t="inlineStr">
        <is>
          <t>まっ裸；白い裸；脱いで裸；半分裸；素つ裸</t>
        </is>
      </c>
      <c r="G6810" t="inlineStr">
        <is>
          <t>裸足；裸身；裸婦；裸電球；裸子植物</t>
        </is>
      </c>
      <c r="H6810" t="n">
        <v>29</v>
      </c>
      <c r="I6810" t="inlineStr">
        <is>
          <t>裸の人物よりも衣服を着用した人物のほうがイメージが強いからである。；小屋の中は真っ暗なので、裸であっても本来とくに問題もないのである。；これはどちらも裸の女性が出てくるという点だけで規制対象とされた。；奴隷の子として生まれたが、のちに逃亡して裸の行者になったともいう。；裸でいることを除いて、基本的な日常生活でのマナーは全て必要である。；巨人は原作と同様に裸であるが、体操着やブルマを着用することもある。；火が下火になると、薄い鉱物性土壌と裸の岩が残っている全てとなった。；ある程度の熟練者の場合、集中すれば裸光の量を体で感じる事も可能。；本作はレズシーンなどエロ要素もあるが、女性の裸があるわけではない。；兵士たちは建物のエレベーターの壁に学生を集め、裸にして殴りつけた。；ウニの寝ているところに上半身裸の主人がワインを持ってやって来る。；クォークが裸の状態で存在するクォーク星である可能性が示唆されている。；中世まではフランスでも、女性が裸で河で水浴をする光景も見られたという。；少女たちも釣られて狂乱状態となり、裸になって踊り出す少女も出てきた。；氷雪が押し固まる前に風などで移動するような場所は裸氷帯になるのである。；ただし背の低いものであり、裸地に近いところに出ることが多い。；指示通りに向かった先で、裸の女性が倒れているのを見つけ駆け寄るたくや。；戦前の写真などを見るかぎり、しばしば上半身裸で行われていたようである。；実際には両者が同じ場所で見られることもよくあり、特に裸地の庭では普通である。；その多くは既に死亡していたが、生き残った者も裸でガス室へ送られていった。；PVでは曲と映画のイメージにあわせ、上半身裸の姿を披露している。；その中でも、裸人形は人形師のメンテナンスが大変なため、高級とされる。；また、委員会生以外は基本的に上裸になるのも中止されている。；多くの美しい砂浜を持ち、裸での日光浴が許可されている場所もある。；婦人像の腰の上には両手でリンゴを持つ小さな裸の子供がいる。；夜になると裸のまま牢に帰され、昼にはまた石の上に正座させられた。；特に伐採跡などの裸地にいち早く伸び出して葉を広げる先駆植物である。；その後裸にしたふたりの遺体を、賃貸住宅の基礎へ埋め込んだとしている。；前者はコネチカット川を裸で泳ぎ、橋を裸で渡って帰って来る挑戦である。</t>
        </is>
      </c>
      <c r="J6810">
        <f>HYPERLINK("https://www.weblio.jp/content/裸", "词义详情")</f>
        <v/>
      </c>
      <c r="K6810">
        <f>HYPERLINK("https://yourei.jp/裸", "查看例句")</f>
        <v/>
      </c>
    </row>
    <row r="6811">
      <c r="A6811" t="inlineStr">
        <is>
          <t>肌着</t>
        </is>
      </c>
      <c r="B6811" t="inlineStr">
        <is>
          <t>成功</t>
        </is>
      </c>
      <c r="C6811" t="inlineStr">
        <is>
          <t>読み方：はだぎ
肌に直接つける衣類。下着。肌衣(はだぎぬ)。</t>
        </is>
      </c>
      <c r="D6811" t="inlineStr">
        <is>
          <t>肌着一枚(4%)；肌着類；肌着姿</t>
        </is>
      </c>
      <c r="E6811" t="inlineStr">
        <is>
          <t>下着；襦袢；インナー；襯衣；下着類</t>
        </is>
      </c>
      <c r="F6811" t="inlineStr">
        <is>
          <t>白い肌着；新しい肌着；用肌着；施した肌着</t>
        </is>
      </c>
      <c r="H6811" t="n">
        <v>29</v>
      </c>
      <c r="I6811" t="inlineStr">
        <is>
          <t>肌着室で仕事をしていたアリサは、すぐにはおりてこようとしなかった。；だから、その肌着を分けて、若い武将の守り袋にさせたいと思っている。；相手の肌着の前を開くと、二つのおっぱいがぼくの両手にこぼれてきた。；肌着の方は手をかけなくちゃいけないかもしれないから今夜にでもちょっとね。；それでも肌着を脱がなかったのは疵の癒着の迹を見られぬ為だったろう。；息子がヨチヨチ歩きの頃、肌着を嗅ぐと、よくこんな匂いがしたものだ。；言っておきますが、制服や肌着類をかっぱらったりはしておりませんですよ?；キノは自分の体を見て、清潔な白い肌着を着ていることに気がついた。；かつてはこの下にシャツなどは着ず、長袖の肌着の上にそのまま着用していた。；代助は家を出る前に、昨夕着た肌着も単衣も悉く改めて気を新にした。；ちょっと姿を消していたフリーダが、肌着類の小さな包みを持って戻ってきた。；冷たい渓流に肌着まで濡らして、作業員達は唇の色を喪って震えていた。；暗くなるまでにまだ二時間あるから、いまのうちに肌着を洗濯しましょう。；少女のほうは肌着に剣を差した姿のまま戸外に立ち、夜風に当たっていた。；肌着類はちょうど昨日の朝、洗濯屋から残らず受け取ったばかりであった。；肌着も非の打ちどころのないもので、時計の鎖もどっしりとしている。；私は掌を肌着にこすりつけてベッドから起き上がるとカーテンを開けた。；本来は肌着であったが、院政末期に肌小袖が発明され中着となった。；押し入れの行李の中には、使えなくなった肌着類が捨てずに入れてあった。；ジリアンは肌着をとおして伝わってくる夫の手のぬくもりを意識した。；レナウン・チェーンストアを全国に展開し「暮らしの肌着」を発売した。；だから夫人のくれたのは、帽子一つと肌着を少しだけである。；また表衣化した小袖の下に着用する、肌着としての小袖も発達していく。；風呂に入るために脱衣場で肌着を脱ぐとなぜか赤い水玉模様ができていた。；発見されたとき、ご承知のとおり、施物係は肌着しか身につけていませんでした。；だが彼女が肌着しか着ていないことに気がついて、目をそらした。；私の肌着は何人にも見せたるつもりはなしにつきのだから!!；その当時は肌着を着ける習慣は一般にゆき渡ってはおりませんでした。；肌着類を洗うことを億劫がって、幾日でも垢だらけの物を平気で着ている。</t>
        </is>
      </c>
      <c r="J6811">
        <f>HYPERLINK("https://www.weblio.jp/content/肌着", "词义详情")</f>
        <v/>
      </c>
      <c r="K6811">
        <f>HYPERLINK("https://yourei.jp/肌着", "查看例句")</f>
        <v/>
      </c>
    </row>
    <row r="6812">
      <c r="A6812" t="inlineStr">
        <is>
          <t>叩く</t>
        </is>
      </c>
      <c r="B6812" t="inlineStr">
        <is>
          <t>成功</t>
        </is>
      </c>
      <c r="C6812" t="inlineStr">
        <is>
          <t>読み方：たたく
［動カ五（四）］
１
㋐手や道具を用いて打つ。また、続けて、あるいは何度も打つ。「ハエを—・く」「肩を—・く」
㋑打って音を出す。「手を—・いて呼ぶ」「太鼓を—・く」
㋒強く打つ。なぐる。ぶつ。「棒で—・く」「尻を—・く」
㋓さかんに当たる。雨・風が打ちつける。「窓を—・く雨」
２魚肉を包丁で打つようにして細かく切ったり柔らかくしたりする。「アジを—・く」
３
㋐攻撃を加えて相手を負かす。やっつける。「敵の精鋭を—・く」「出はなを—・く」
㋑厳しく仕込む。鍛える。「新弟子のうちに—・いておく」
㋒相手の言論・文章などを徹底的に批判する。強く非難する。「新聞に—・かれる」
４相手の考えを聞いたり、ようすを探ったりする。打診する。「先方の意向を—・く」
５値段をまけさせる。値切る。買いたたく。「二束三文に—・いて買う」
６すっかり使ってしまう。はたく。「財布の底を—・く」
７（多く「…口をたたく」の形で）さかんに、またいろいろに言う。「むだ口を—・く」「陰口を—・く」
８（「門をたたく」などの形で）教えを請うためにたずねる。「師の門を—・く」
９《扇子などで演台をたたくところから》講談を演じる。「一席—・く」
10将棋で、歩(ふ)を打ち捨てる。
11《鳴き声が戸をたたく音に似ているところから》クイナが鳴く。
「早苗とるころ、水鶏(くひな)の—・くなど」〈徒然・一九〉
→打つ［用法］
[可能]たたける
[下接句] 頤(おとがい)を叩く・口を叩く・尻(しり)を叩く・底を叩く・太鼓を叩く・出端(ではな)を叩く・門を叩く</t>
        </is>
      </c>
      <c r="D6812" t="inlineStr">
        <is>
          <t>叩くような音；叩くべき；叩くべく；叩く鈍い音；叩く乾い</t>
        </is>
      </c>
      <c r="E6812" t="inlineStr">
        <is>
          <t>攻撃；非難；ヒット；打つ；一撃</t>
        </is>
      </c>
      <c r="F6812" t="inlineStr">
        <is>
          <t>ぽんと叩く；強く叩く；激しく叩く；ぶっ叩く</t>
        </is>
      </c>
      <c r="H6812" t="n">
        <v>29</v>
      </c>
      <c r="I6812" t="inlineStr">
        <is>
          <t>何度叩いても開かれない門のあることは我々も亦知らないわけではない。；誰かが扉の羽目板のひとつをとてもゆっくりと叩いているのは明らかだ。；にもかかわらず、彼女は肩でも叩かれたようにその声に反応してしまう。；パンが開けに来るまでには、鞭の柄で何度も戸を叩かねばならなかった。；胸を指で叩くとその結果の音色は樽と同じように内部の状態に依存する。；父親にあんだけ叩かれたのは、あとにもさきにもあれがはじめてやった。；さらにはより大きな音や激しい音を得るために木や石を叩いた可能性も大きい。；ヒップを叩かれたこともないし、お犬さんスタイルを取ったことがない。；しかしその恐ろしい生物兵器の生成場所を叩こうにも場所が分からない。；しかしフルシチョフ自身は、自叙伝の中で机を靴で叩いたと認めている。；初めてバンドを組んだのは中学一年生で、兄のバンドでドラムを叩いた。；何日か何処かで叩かれてゐるのを見た事もある様だが、それは明瞭しない。；夫のヴィッサリオンは常に酒に酔っており、しばしば妻と息子を叩いた。；一軒の家の前を通った時、木の槌を叩く大きな音が私の注意を引いた。；叩かれて壁の方を向いた顔のあたりから、やがて嗚咽の声が漏れ始める。；そっと向きを変えて離れようとしたとき、背後からぽんと肩を叩かれた。；塩を撒いた後に顔、まわしを強く叩いて気合を入れる仕草も特徴である。；その大きな声の叫ばれた瞬間、彼はどきんと胸を叩かれたように感じた。；この時、曽根は神永の背中が痛くなるほど叩いて喜びを表現したという。；又或る人は、同じ目的で、今の主題の第一音を真先に叩こうとしている。；殴られ叩かれたあとがかえって女の凄みのある美しさを引き立てていた。；特定のブロックを叩くとコインやアイテムが出現する点も同様である。；そんな風に作品を眺めて軽い鬱に入っていると、肩を誰かに叩かれた。；おもむろに身を起して、彼女のお尻を叩こうと望んでいるみたいだった。；彼は大声を上げて正一の名を呼びながら、ガタガタと蓋の裏を叩いて見た。；後でテレビを見ていたら、陛下も手を叩いてお喜びになっていました。；実際、叩かれて嫌だが男として我慢せざるを得ないと答えた者がいる。；走る前から、彼は肩を叩かれて、がんばれよ、とみんなに言われていた。；これに対し次々に叩いてゆかなければ、いかにして長期戦ができようか。</t>
        </is>
      </c>
      <c r="J6812">
        <f>HYPERLINK("https://www.weblio.jp/content/叩く", "词义详情")</f>
        <v/>
      </c>
      <c r="K6812">
        <f>HYPERLINK("https://yourei.jp/叩く", "查看例句")</f>
        <v/>
      </c>
    </row>
    <row r="6813">
      <c r="A6813" t="inlineStr">
        <is>
          <t>畑</t>
        </is>
      </c>
      <c r="B6813" t="inlineStr">
        <is>
          <t>成功</t>
        </is>
      </c>
      <c r="C6813" t="inlineStr">
        <is>
          <t>読み方：はた
はたけ。「—に出る」「—作農業」</t>
        </is>
      </c>
      <c r="D6813" t="inlineStr">
        <is>
          <t>畑仕事(3%)；畑出身；畑柳；畑千代子；畑曾八</t>
        </is>
      </c>
      <c r="E6813" t="inlineStr">
        <is>
          <t>分野；原；野；フィールド；野原</t>
        </is>
      </c>
      <c r="F6813" t="inlineStr">
        <is>
          <t>サトウキビ畑；蜜柑畑；小さな畑；広い畑；営業畑</t>
        </is>
      </c>
      <c r="G6813" t="inlineStr">
        <is>
          <t>畑中；畑作；畑山；畑野；畑道</t>
        </is>
      </c>
      <c r="H6813" t="n">
        <v>29</v>
      </c>
      <c r="I6813" t="inlineStr">
        <is>
          <t>放棄された国有地を周辺の住民が耕している共同の畑にも参加している。；学校の面積がとても広く、畑などの農業に関する場所がとても多くある。；兵器関係畑だったため日本陸軍時代には一度も戦場経験をしていない。；これらの中で着手に至ろうとしていたダム計画に久世畑ダム計画がある。；プレイヤーは畑に現れるバブーの特徴を事前に確認することができる。；村には夜になると金色の牝馬がやって来て、畑を荒らされて困っていた。；畑になったかと思いきや駐車場になったりと統一されていない。；水田と畑で農業が営まれ、地区の中心の街道沿いに商店がいくつかある。；また放棄された総構も畑や空き地として再建が可能な形で維持されていた。；いわゆる腕白少年ではなく、よく母の台所仕事を手伝い、畑仕事もした。；当初は出土した遺跡の名前にちなんで『棚畑姫』と呼ばれたこともあった。；生物学研究所の畑でも栽培されており、上皇明仁も作付けを行っていた。；次の秋津駅までの間は直線が続き、沿線は住宅街や畑がほとんどである。；畑の畝のように、高低のある状態が水平に続く物を畝と呼ぶ場合もある。；また、畑栽培は落葉樹下の夏は日陰で、冬は日が当たる場所が選ばれる。；そんなある日、大雨で純の友人・チンタの家の畑が大きな被害を受ける。；非条約マフィアで経済畑が長く、外務審議官を経て事務次官に就任した。；人生初めての鉄道畑以外の仕事であったが、研究者達を大いに励ましたという。；以前は畑が多く、開業当時の地上出入口はキャベツ畑に囲まれていた。；マクリントックは大学間や畑を移動する足として中古のを買っていた。；山の上に畑から出た石を運び、家の基礎と大きな風呂が完成していた。；集落や畑は自然堤防上に立地し、特に集落は町の西側に比較的集中している。；それにより畑などの水が不足しないよう池が多い傾向にある。；僅かではあるが、ビルやマンションの間に水田や畑が残っている。；現在ではむかごの状態から畑で栽培されており、流通しているのは栽培ものが多い。；すでにそのころ放射線状に延びた並木道が森と畑を通って川まで達していた。；畑仕事をしている悟空に頼まれて代わりにトラクターを運転することもある。；その一つが芋場畑に落下したので、それを祝ったのが立石権現とされる。；デカブリストの乱後も軍に在籍し、主に教育畑を歩き陸軍大将となる。</t>
        </is>
      </c>
      <c r="J6813">
        <f>HYPERLINK("https://www.weblio.jp/content/畑", "词义详情")</f>
        <v/>
      </c>
      <c r="K6813">
        <f>HYPERLINK("https://yourei.jp/畑", "查看例句")</f>
        <v/>
      </c>
    </row>
    <row r="6814">
      <c r="A6814" t="inlineStr">
        <is>
          <t>肌寒い</t>
        </is>
      </c>
      <c r="B6814" t="inlineStr">
        <is>
          <t>成功</t>
        </is>
      </c>
      <c r="C6814" t="inlineStr">
        <is>
          <t>読み方：はださむい
［形］［文］はださむ・し［ク］《「はだざむい」とも》
１肌に寒さを感じるさま。「—・い一日」《季秋》
２恐ろしさなどにぞっとするさま。「残虐さに—・いものを感じる」</t>
        </is>
      </c>
      <c r="D6814" t="inlineStr">
        <is>
          <t>肌寒い日(7%)；肌寒い風(6%)；肌寒い夜(3%)；肌寒い季節(3%)；肌寒い感じ</t>
        </is>
      </c>
      <c r="E6814" t="inlineStr">
        <is>
          <t>寒々しい；うすら寒い；うそ寒い；薄ら寒い；さむい</t>
        </is>
      </c>
      <c r="F6814" t="inlineStr">
        <is>
          <t>少し肌寒い；ちょっと肌寒い；肌寒い気候；何となく肌寒い</t>
        </is>
      </c>
      <c r="H6814" t="n">
        <v>29</v>
      </c>
      <c r="I6814" t="inlineStr">
        <is>
          <t>春とも思えないような肌寒い日だったのに東吾は汗をかいて屋敷に着いた。；海の側まで来ると少し肌寒くなり、なるほど誰も来ないわけだと納得した。；一時間半も、この肌寒さの中、ブレザー姿で立っていたことになるのだ。；いや、この時点で肌寒いなどと言っているのがおかしいのはわかっている。；老夫妻は肌寒い秋の夜風に赤くなった元気のよい顔ではいってきた。；肌寒い時に女の子の肩を抱き寄せる欲望を持ち実行に移せる方がいいな。；京阪電車の駅に出入りする人の姿が肌寒そうに見える頃だからその筈だった。；十二時前のこの時点で、じっとしていると少し肌寒さを感じるほどである。；境内で遊んでいた子供達はもうおらず、空気が肌寒くなってきている。；肌寒さは体の底のほうから生れてくるもののように感じられた。；単衣一枚に肌寒い思いをしながら、私はいつまでもぼんやりしていた。；しかしいつまでも忘れはしない、昂奮のあまり肌寒さをさえ覚えたことを。；どのくらい時間が経ったか、隙間風が肌寒くすっかり夜になっていた。；その日は雨が降っていて肌寒くて、だから愛を心配していたんです。；それまであった風よけがなくなってしまったようで、奇妙な肌寒さを覚えた。；そこには既に山と木と草の匂がし、肌寒い風は日向にいても気持がよかった。；春にしては温度が低く、体温も落ち着いた真からすれば肌寒いものだった。；肌寒い風が吹き、パリ出発以来はじめて、厚い雲におおわれた空を見た。；でね、それは秋のもう肌寒いころで、途中でトイレに行きたくなったんだとさ。；夕方には、静かに坐っていたり、書いたりしていると、むしろ肌寒かった。；今年はいつまでも肌寒くて夏の来るのが遅かったように思われた。；沖の方から吹いてくる風と共に、彼はぞっと肌寒い感じを全身に覚えた。；風は北西からで肌寒く、太陽の具合からすると昼過ぎであることはわかった。；窓が開いており、肌寒い十二月の夜気が室内に足を伸ばしてきている。；深夜ともなれば、多少、空気が肌寒く感じられる季節になっていた。；肌寒い時期の試合であっても球審の時にブレザーは着用していない。；肌寒さは感じるものの、マイナス何十度というほどではないだろう。；信じがたいことではあったが、部屋《へ や》の中は肌寒ささえ感じられる。；春とはいえまだ夜は肌寒いというのに、上着は身につけていない。</t>
        </is>
      </c>
      <c r="J6814">
        <f>HYPERLINK("https://www.weblio.jp/content/肌寒い", "词义详情")</f>
        <v/>
      </c>
      <c r="K6814">
        <f>HYPERLINK("https://yourei.jp/肌寒い", "查看例句")</f>
        <v/>
      </c>
    </row>
    <row r="6815">
      <c r="A6815" t="inlineStr">
        <is>
          <t>裸足</t>
        </is>
      </c>
      <c r="B6815" t="inlineStr">
        <is>
          <t>成功</t>
        </is>
      </c>
      <c r="C6815" t="inlineStr">
        <is>
          <t>読み方：らそく
木崎さと子の短編小説。昭和55年（1980）、文学界新人賞を受賞した著者のデビュー作。</t>
        </is>
      </c>
      <c r="D6815" t="inlineStr">
        <is>
          <t>裸足でぺたぺた；裸足で逃げ出す美貌；裸足で薬草売り</t>
        </is>
      </c>
      <c r="E6815" t="inlineStr">
        <is>
          <t>素足</t>
        </is>
      </c>
      <c r="F6815" t="inlineStr">
        <is>
          <t>足袋裸足；みな裸足；みんな裸足；靴下裸足；素裸足</t>
        </is>
      </c>
      <c r="G6815" t="inlineStr">
        <is>
          <t>裸足でsummer；裸足の伯爵夫人；裸足で散歩；裸足の医者；裸足の女神</t>
        </is>
      </c>
      <c r="H6815" t="n">
        <v>29</v>
      </c>
      <c r="I6815" t="inlineStr">
        <is>
          <t>だってここからじゃ、裸足にならなくちゃ行かれないじゃありませんか。；中には裸足の足跡もあったし、人間の足の形ではないものも少なくない。；泣きながら裸足で歩いているわたしを、みんなが驚いたように見ていた。；同団体には裸足で走る事に自信のある者であれば、誰でも参加出来る。；裸足で履いた靴の中にゴキブリが巣を作ってたくらいの気持ち悪さだわ!；それまで気むずかしそうだった祖母も裸足の私を見て初めて笑顔を見せた。；裸足で生活する民族の調査では男性よりも女性に外反母趾が多く見られる。；母が養父の腕をつかんで止めている間に、あたしは裸足のまま外へ逃げた。；指の間に砂がないから、たしかに、海岸に裸足で下りたのじゃありません。；かれはベッドをおり裸足のままドアをあけて階段をおりて行った。；足駄は、坐ったときから飛んでいたから、雪の上に両足は裸足であった。；あたしも裸足で遠くまで行くことが出来ず、家の近所にぼんやり立っていた。；このような学校では運動場での体育などのときも裸足で生活する例が多い。；この名称は、田畑で裸足で働くことが多い中国南部の農民に由来している。；その小さな裸足の足をモニターの横の椅子に乗せたり降ろしたりしていた。；母親を突き飛ばして、裸足のまま、玄関から外に飛び出していきました。；なるほどと思ってふと見たとき、一人だけ裸足になっていない少女を見つけた。；どこなのかも分からないが、晴天の下で、周囲には裸足の友人たちがいた。；背後から女に近づいていた涼之助は、ふと、彼女が裸足なのに気がついた。；裸足のままだったはずだが、足の痛みも寒さも何も感じなかった。；靴下をはいておらず、この前、玄関先で見たときと同じように裸足である。；裸足で廊下を歩いてキッチンに向かう音緒の足音も、ちゃんと聞こえた。；二人は、まだ肌に馴れない杉の皮で織った着物を着、裸足で歩いて行く。；足音が聞こえないと思ったら、二人とも、足元は靴下裸足のままである。；何十人もの裸足の足が歩調を合わせて地面を踏んでいるような音だ。；次には羊飼いのものらしい裸足の足跡が砂上にしるされているのを見た。；やがて、足袋裸足で走る足音が近づいてきて、先ほどの女中が戻ってきた。；そのうち幾人かの人々は、裸足で清く澄んだ水の中を歩きだしました。；どこへ行くのか、二人共ぼろぼろのシャツを着て、裸足で歩いている。</t>
        </is>
      </c>
      <c r="J6815">
        <f>HYPERLINK("https://www.weblio.jp/content/裸足", "词义详情")</f>
        <v/>
      </c>
      <c r="K6815">
        <f>HYPERLINK("https://yourei.jp/裸足", "查看例句")</f>
        <v/>
      </c>
    </row>
    <row r="6816">
      <c r="A6816" t="inlineStr">
        <is>
          <t>果たして</t>
        </is>
      </c>
      <c r="B6816" t="inlineStr">
        <is>
          <t>成功</t>
        </is>
      </c>
      <c r="C6816" t="inlineStr">
        <is>
          <t>読み方：はたして
［副］
１結末が予期したとおりであるさま。思ったとおり。案の定。「—みごとにやってのけた」
２（下に仮定の表現を伴って）本当に。「—然らば真実は君の言うとおりだろう」
３（下に疑問を表す語を伴って）いったい。「—誰が栄冠を手にするか」</t>
        </is>
      </c>
      <c r="D6816" t="inlineStr">
        <is>
          <t>果たして本当に；果たしてどんな；果たしてどう；果たしてしから；果たしてどの</t>
        </is>
      </c>
      <c r="E6816" t="inlineStr">
        <is>
          <t>やっぱり；矢張り；案の定；予想通り；矢張</t>
        </is>
      </c>
      <c r="F6816" t="inlineStr">
        <is>
          <t>果たして然；果たしてどのよう；果たしていかなる；果たして何人；果たしてどういう</t>
        </is>
      </c>
      <c r="H6816" t="n">
        <v>29</v>
      </c>
      <c r="I6816" t="inlineStr">
        <is>
          <t>撮影当日も果たして阿部が本当に来るのか分からない状況だったという。；この組織の設立以来、公園の改善と美化にかなりの貢献を果たしてきた。；果たして私たちは何か確かなものを手にすることができたのだろうか、と。；果たしてその才能は父から子へと見事に受け継がれたと言えるだろう。；果たして彼は夢を持つ女の子を理解し、自分の夢を見つけられるのだろうか。；果たして主人公は課題を達成し、恋の証を手に入れられるのか・・・?；グレイソンは果たして生きてこの惑星から脱出することができるのか。；果たして、主人公は無事元の世界に戻ることができるのであろうか。；しかし、それが果たして本当に人間を幸せにしていると言えるのか?；果たして12月5日に念願の馬を手に入れることができるのだろうか。；果たして彼らは真実を受け止め、無事に帰ることが出来るのだろうか。；宗教はイスラエルの歴史の中で中心的な役割の一つを果たしてきた。；果たして、空神とは何なのか、国民を豊かにするために必要なこととは何なのか?；果たしてアンパンマン達はドレミ姫達を助け出す事が出来るのだろうか?；果たして私が過去を後知恵ということにして、再び復帰すると思いますか?；果たしてそのとおりになるが、途中で羽ペンを水に落としてしまった。；だが、この試合が果たして無事に行われるかは誰一人として分からなかった。；翌1942年1月場所では幕下優勝を果たして1場所で十両へ復帰した。；再び現れたノエルと乃々香たちが再会を果たしてしばらく経ったある日。；果たして「嘘をつく」ということが本当に可能だと思っているのかと。；実際、魔術は人類の歴史の中で絵画や文学と同じ役割を果たしてきたのだという。；そこでは何十人もの人々が重要な役割を果たしてきた。；果たしてマリーはこの見習い妖精を立派に育てる事ができるのだろうか。；合憲説のいう「司法」理解に果たして十分な論拠があるかが疑問である。；ただし、一党独裁制であるため、国会は重要な役割を果たしてはいない。；鉄道は19世紀半ば以来州内交通で重要な役割を果たしてきた。；海はこの地方の歴史的進化で大きな役割を果たしてきた。；スプリングフィールド市はアメリカ史の中でも重要な役割を果たしてきた。；また後年の調査では他の女性たちは毒の分布も果たしていたことが分かっている。</t>
        </is>
      </c>
      <c r="J6816">
        <f>HYPERLINK("https://www.weblio.jp/content/果たして", "词义详情")</f>
        <v/>
      </c>
      <c r="K6816">
        <f>HYPERLINK("https://yourei.jp/果たして", "查看例句")</f>
        <v/>
      </c>
    </row>
    <row r="6817">
      <c r="A6817" t="inlineStr">
        <is>
          <t>果たす</t>
        </is>
      </c>
      <c r="B6817" t="inlineStr">
        <is>
          <t>成功</t>
        </is>
      </c>
      <c r="C6817" t="inlineStr">
        <is>
          <t>読み方：はたす
［動サ五（四）］
１物事を成し遂げる。「約束を—・す」「望みを—・す」
２その立場としての仕事をみごとにやってのける。「指導的役割を—・す」
３命を終わらせる。殺す。「—・さずにおくものか」
４（動詞の連用形に付いて）すっかり…する。…してしまう。「金を使い—・す」
[可能]はたせる</t>
        </is>
      </c>
      <c r="D6817" t="inlineStr">
        <is>
          <t>果たすべき；果たすべく；果たす可能性；果たす事無く死去</t>
        </is>
      </c>
      <c r="E6817" t="inlineStr">
        <is>
          <t>行う；実行；達成；完了；実践</t>
        </is>
      </c>
      <c r="F6817" t="inlineStr">
        <is>
          <t>果たすべく再び</t>
        </is>
      </c>
      <c r="H6817" t="n">
        <v>29</v>
      </c>
      <c r="I6817" t="inlineStr">
        <is>
          <t>いくつかの自治体は自治体間の特定の地域の中心地の役割を果たしている。；その記念すべき最初のシーズンにボカ・ジュニアーズは優勝を果たした。；だが、そのロボットが機能を果たさないのは誰の目から見ても明らかだ。；これらの役割を果たすために駅伝制が導入され、駅が全国に設けられた。；この攻略はメディアが中心的な役割を果たし、多くの戦利品を獲得した。；また、こうした翻訳が重要な役割を果たした国として日本が挙げられる。；市長は市の公式な長であり、様々な場で市の代表としての役割を果たす。；海軍は再建されることなくイラク戦争でほとんど役割を果たさなかった。；これは特定のIPアドレスからのアクセスを禁止することで果たされる。；なんとしてでも、祖父にたてた誓いを果たさなくてはならないのだから。；こんな事件を黙ってちゃ、私は職分を果たさないことになりますからね。；いるとわかっている相手を目の前にして、目的も果たさず帰るはずがない。；その一方で、発酵食品や薬品を作るのに重要な役割を果たすものもある。；原は不満であったが、内閣崩壊を防ぐためこの役割を果たすこととなった。；現代数学において基礎的な役割を果たし、幅広い分野に応用されている。；その構造は、首都としての機能を果たすべく設計された計画都市である。；個々の制度や機制がその社会全体を維持するうえで果たす機能に着目する。；やらなければならない使命が、果たさなければならない望みがあるから。；興行の中においては自らの役割を確実に果たすことが求められるのである。；それ以外の点も含めて、日本における写真の普及に果たした役割は大きい。；後に彼はドイツとの大祖国戦争で中心的な役割を果たすことになる。；ISSに非常事態が起きた際の脱出用救命ボートの役割を果たしている。；勝手に争い、血を流し、なんの責任も果たさずに国を滅ぼした大人たち。；彼等の果たす主要な役割は、神から人間へのメッセージの伝達である。；地球の大気は惑星規模の生態系を維持するのに重要な役割を果たしている。；最初にその役目を果たさなければならない人物には同情するしかない。；サヴォイアは遅れて同盟に加わったため、大きな役割は果たさなかった。；そしてこれらの増援部隊は各戦場で決定的な役割を果たすこととなる。；またこの名称は本来の発行目的を果たすことができなかったからであるともいわれる。</t>
        </is>
      </c>
      <c r="J6817">
        <f>HYPERLINK("https://www.weblio.jp/content/果たす", "词义详情")</f>
        <v/>
      </c>
      <c r="K6817">
        <f>HYPERLINK("https://yourei.jp/果たす", "查看例句")</f>
        <v/>
      </c>
    </row>
    <row r="6818">
      <c r="A6818" t="inlineStr">
        <is>
          <t>働き</t>
        </is>
      </c>
      <c r="B6818" t="inlineStr">
        <is>
          <t>成功</t>
        </is>
      </c>
      <c r="C6818" t="inlineStr">
        <is>
          <t>読み方：はたらき
１仕事をすること。労働すること。「—に出る」
２活躍すること。また、その実績。仕事の成果。「—に応じた給料を支払う」「メンバーの—が功を奏する」「—が認められて昇進する」
３稼ぎ。収入。また、それを得る才覚。「—が悪い」「今月は—が少ない」「—のある人」
４物事に備わっている機能。また、その及ぼす作用。「頭の—が鈍る」「遠心力の—を応用する」「ビタミンの—」
５能・狂言の用語。
㋐「働き事」の略。
㋑「舞働(まいばたら)き」に同じ。
６日本語文法での活用。
[下接語] （ばたらき）荒(あら)働き・一時働き・気働き・下働き・節句働き・只(ただ)働き・共働き・仲働き・糠(ぬか)働き・舞働き・夜(よ)働き</t>
        </is>
      </c>
      <c r="D6818" t="inlineStr">
        <is>
          <t>働き始め(4%)；働きぶり；働きたい；働き続け；働きはじめ</t>
        </is>
      </c>
      <c r="E6818" t="inlineStr">
        <is>
          <t>活動；用；目的；機能；運営</t>
        </is>
      </c>
      <c r="F6818" t="inlineStr">
        <is>
          <t>よく働き；働きやすい；働きたく；働きざかり；働き出す</t>
        </is>
      </c>
      <c r="G6818" t="inlineStr">
        <is>
          <t>働きかける；働き者；働き手；働き盛り；働きアリ</t>
        </is>
      </c>
      <c r="H6818" t="n">
        <v>29</v>
      </c>
      <c r="I6818" t="inlineStr">
        <is>
          <t>気は目には見えないが何らかの働きのあるものととらえることができる。；手で物を触った刺激を整理統合して立体を形成するのも脳の働きである。；心の働きや行動を決定する際に重要な役割をもつと考えられている。；これらの労働者は故郷に妻子を残して働きに出てきているからである。；すなわち自発的に進行する方向に反応の速度を増加させる働きを持つ。；彼はティーンエイジャーの頃から父親の働いている建築会社で働き始める。；この問題は不動産の取得時効と登記との関係で解釈上重要な働きをする。；新約聖書時代の長老会議は小会に近い働きをしていたと見られている。；しかし、主人公のサポート役に徹した時は効果的な働きをすることが多い。；十本の手に匹敵する働きをすることから「十手」であるといわれている。；戦場で軍旗を守る武士団は旗本と呼ばれ近衛兵のような働きをしていた。；マインド・ウイルスの侵入・複製・拡散の働きは次のようなものである。；車輪の一番内側にはフランジが設けられており、脱線を防ぐ働きをする。；この朝経の一連の働きによって細川の版図は大幅に拡大することになった。；心の働きが一定の方向に作用していくこと、意志形成力のこと。；アントシアニンの色を安定化して鮮やかな青色を発色させる働きがある。；また、3人に1人が「より将来性のある組織で働きたい」と答えている。；いくつかの地方巡業の舞台で活躍した後、小売信用会社で働き始める。；このような働きにより、舗装道路など人工構造が破壊されることもある。；彼女は働き口を探してみたが、ヤギェウォ大学は女性を雇い入れなかった。；心臓の働きは全身のエネルギー消費や生活リズム等とともに変化する。；心意識として別々の働きがあるが、心の作用の区別に過ぎないと考える。；その後もリンデで働き、数々の特許をフランスとドイツで取得していった。；彼は30年近くもの間エステルハージ家で働き、数多くの作品を作曲した。；果皮の白い部分には動脈硬化予防の働きがあるビタミンPを含んでいる。；ティコのもとで働き始めて1年半後の1601年にティコが亡くなった。；自分の駒を動かす事により、敵玉に自分の駒の働きを利かせる手を指す。；イソフラボンは女性ホルモンに似た働きをすることが知られている。；まず第一の性質、それは欲望であり、内側に引きこもる働きを持っている。</t>
        </is>
      </c>
      <c r="J6818">
        <f>HYPERLINK("https://www.weblio.jp/content/働き", "词义详情")</f>
        <v/>
      </c>
      <c r="K6818">
        <f>HYPERLINK("https://yourei.jp/働き", "查看例句")</f>
        <v/>
      </c>
    </row>
    <row r="6819">
      <c r="A6819" t="inlineStr">
        <is>
          <t>働き者</t>
        </is>
      </c>
      <c r="B6819" t="inlineStr">
        <is>
          <t>成功</t>
        </is>
      </c>
      <c r="C6819" t="inlineStr">
        <is>
          <t>読み方：はたらきもの
よく働く人。</t>
        </is>
      </c>
      <c r="H6819" t="n">
        <v>29</v>
      </c>
      <c r="I6819" t="inlineStr">
        <is>
          <t>父が見合いで母を初めてみたときに、働き者だと思ったといっていた。；お父さんもお母さんもはたらき者だったが、私の家はひどく貧しかった。；彼女はいつのまにか、好人物で働き者の夫に愛情をおぼえはじめていた。；働くのは基本的には好きじゃなかったのに、今の私は働き者である。；それを思うと、七〇年代の投手たちがいかに働き者であったかがわかるだろう。；そしてさらに、自分が働き者で、働きに働いて金をためたのがいけなかった。；そこの人が働き者で頭が良いので、日本の工業化は成功したとおもいます。；若くて働き者のつつましやかなかの女は、夫との生活ができずにいた。；一年後、働き者の方の男は村へ帰ろうと言ったが、怠け者の男は金がない。；己はお前みたいな働き者じゃないんだよ、と彼は妻に言った。；ロシア女性は働き者の日本人と結婚したがり、他の二人が結婚した。；他人からは仕事が好きな働き者に見えたかも知れません。；チルーの美貌よりも、働き者であることが魅力なのだと何度も言ってくれた。；真面目で働き者でなくては、あんな一本一本田植えなんかできません。；働き者だけど休日には必ずお子さんを遊びに連れて行ってあげます。；こんな働き者なら、女房にしたらよからうと言ふ考へで、家に入れた。；だが真面目な働き者でもあり、自分自身のことは一向にかまわなかった。；このマリアの手のふとさといったら、まったく働き者の娘の手だ。；働き者だった当時の日本人は、仕事の途中にラジオを聴いていた。；彼は非常に働き者で、ピッツバーグの企業の位置と重要な人物の顔をすべて記憶した。；不思議に思っていると、あの働き者男の髑髏が歌を歌っていた。；はつは弥五兵衛との婚姻時は27歳で、勝ち気で働き者の女性であった。；ただ少々暗いところはあるが、気の利く、働き者としか思っていない。；働き者の両親のおかげで何不自由のない暮らしをしていた。；こんな遅くに戻ってきたのは、働き者で有名な営業課長だった。；という計算だったが、なににしてもこの男ほどの働き者はすくない。；僕はそこまで働き者なわけでもないんですよ。；どれも質素で簡単な夕食ではあるが、働き者の少ない大家族ではこれが普通である。；頻繁に病院にやって来ては患者たちを検査したり、新しい患者を引き連れてくる働き者だ。</t>
        </is>
      </c>
      <c r="J6819">
        <f>HYPERLINK("https://www.weblio.jp/content/働き者", "词义详情")</f>
        <v/>
      </c>
      <c r="K6819">
        <f>HYPERLINK("https://yourei.jp/働き者", "查看例句")</f>
        <v/>
      </c>
    </row>
    <row r="6820">
      <c r="A6820" t="inlineStr">
        <is>
          <t>働く</t>
        </is>
      </c>
      <c r="B6820" t="inlineStr">
        <is>
          <t>成功</t>
        </is>
      </c>
      <c r="C6820" t="inlineStr">
        <is>
          <t>読み方：はたらく
［動カ五（四）］
１仕事をする。労働する。特に、職業として、あるいは生計を維持するために、一定の職に就く。「朝から晩までよく—・く」「工場で—・く」「—・きながら資格を取る」
２機能する。また、作用して結果が現れる。「薬が—・いて熱が下がる」「引力が—・く」「機械がうまく—・かない」
３精神などが活動する。「知恵が—・く」「勘が—・く」
４悪事をする。「盗みを—・く」「不正を—・く」
５文法で、用言や助動詞の語尾が変化する。活用する。「五段に—・く動詞」
６動く。体を動かす。
「死にて六日といふ日の未(ひつじ)の時ばかりに、にはかにこの棺—・く」〈宇治拾遺・三〉
７出撃して戦う。
「オノレワ戦場ニ出テ楯矛(たてほこ)ヲ取ッテワ—・カネドモ」〈天草本伊曽保・陣頭の貝吹き〉
[補説] 「働」は国字。
[可能]はたらける</t>
        </is>
      </c>
      <c r="D6820" t="inlineStr">
        <is>
          <t>働く女性；働く者たち；働く女たち；働く若い；働く社会保険支払い義務</t>
        </is>
      </c>
      <c r="E6820" t="inlineStr">
        <is>
          <t>機能；勤務；動作；動く；労働</t>
        </is>
      </c>
      <c r="F6820" t="inlineStr">
        <is>
          <t>出て働く；働く若い女性；働く女性たち</t>
        </is>
      </c>
      <c r="G6820" t="inlineStr">
        <is>
          <t>働く男；働く貧困層；働くおっさん人形；働く女性への応援歌；働くおっさん劇場</t>
        </is>
      </c>
      <c r="H6820" t="n">
        <v>29</v>
      </c>
      <c r="I6820" t="inlineStr">
        <is>
          <t>けれどもその老人は夏には七時まで、冬には五時までしか働かなかった。；現在も40名余りの会員が北海道から九州までの日本全国で働いている。；次第にパンとサーカスに没頭して働くことを放棄した者も増えていった。；努力もなく意志も働かせずに、彼は自然の力でそこへ押し流されて来た。；中にはその発明が最も有効に働く順序で発明されなかったものもある。；両親が働いていたロンドンで生まれ、7分後に生まれた双子の妹がいる。；男たちは大部分が徴兵されるか、鉱山で働くかしなければならなかった。；砂糖工場ではしばしば工場内で働く機会があり、物を書く時間を作れた。；最初は写真の基礎を学ぶため、新聞社か通信社で働くことを考えていた。；もう一人もはじめは働いたが、寒さのために続けて働こうとはしなかった。；彼はティーンエイジャーの頃から父親の働いている建築会社で働き始める。；そうして彼はそれに逆らってこそ働いたが、そのためには働かなかった。；かれはなにか書物をくれと私にいってきますが、働こうとはしません。；店にいる時間が少なくなっただけ、倍も私は働かねばならなくなった。；蝶子は口が掛れば雨の日でも雪の日でも働かいでおくものかと出掛けた。；働かないよりは働いている方がより自然だからそうやって居る迄なのです。；女の子が仕事をするとなると、学校をやめてフルタイムで働かなくちゃ。；金の脳みその男は仲間から離れて自分の腕で働こうとしはじめました。；高速でカーブを通過すると、車両外側に向かって働く遠心力が増加する。；次の仕事を早く見つけて、またバリバリ働こうと決意するばかりだった。；いままでに一度だって、働かずに手に入れたものなんかありませんわ。；男から食わしてもらおうと思えば、私はその何十倍か働かねばならない。；当時漫研で出会った面々の中には同じ業界で働く人も結構いるという。；この他、歴代監督やその下で働いたコーチ陣も多数取り上げられた。；レストランに行った際、その店で働いていた元社員がいて驚いたことがあった。；そんなこと考えないで、入った会社でバリバリ働きゃいいんだと思うな。；彼らの最初の興味は、胃がどのようにして働くか、などではあり得ない。；どちらの意味からも女は生きるために働かなければならなくなった。；世の巷に駆けめぐる人は目のみを鋭く働かしめて耳を用いざるものなり。</t>
        </is>
      </c>
      <c r="J6820">
        <f>HYPERLINK("https://www.weblio.jp/content/働く", "词义详情")</f>
        <v/>
      </c>
      <c r="K6820">
        <f>HYPERLINK("https://yourei.jp/働く", "查看例句")</f>
        <v/>
      </c>
    </row>
    <row r="6821">
      <c r="A6821" t="inlineStr">
        <is>
          <t>破綻</t>
        </is>
      </c>
      <c r="B6821" t="inlineStr">
        <is>
          <t>成功</t>
        </is>
      </c>
      <c r="C6821" t="inlineStr">
        <is>
          <t>読み方：はたん
［名］(スル)
１破れほころびること。
「処々—して、垢染(あかじみ)たる朝衣を」〈竜渓・経国美談〉
２物事が、修復しようがないほどうまく行かなくなること。行きづまること。「経営に—を来す」</t>
        </is>
      </c>
      <c r="D6821" t="inlineStr">
        <is>
          <t>破綻する(8%)；破綻寸前(2%)；破綻後(2%)；破綻処理；破綻状態</t>
        </is>
      </c>
      <c r="E6821" t="inlineStr">
        <is>
          <t>崩壊；壊滅；破滅；バラバラ；瓦解</t>
        </is>
      </c>
      <c r="F6821" t="inlineStr">
        <is>
          <t>財政破綻；事実上破綻；金融破綻；性格破綻；経済的破綻</t>
        </is>
      </c>
      <c r="H6821" t="n">
        <v>29</v>
      </c>
      <c r="I6821" t="inlineStr">
        <is>
          <t>ミランがこれを受け入れたことで関係性が事実上破綻したと見られていた。；という問いは、そもそも問題の前提が破綻しており答えは定義できない。；石川県や北海道の破綻した金融機関の受け皿となり規模を拡大している。；光海君は即位すると破綻した財政の再建と現実的な外交施策を展開した。；神聖同盟は消滅し、ロシアとオーストリアの関係は半永久的に破綻した。；これはある温度以下では摂動論が破綻するということを意味している。；そしてこのことが両者の結婚生活を決定的に破綻させる結果となった。；また、日本でも経営破綻してしまうPFI事業も当然ながら存在する。；やがて2人の関係は破綻を迎え、ロダンはローズのもとへ帰っていった。；後に二人の師弟関係は破綻するが、この件がその原因の一つとも言われている。；台湾に住む人々たちに受け入れられていかなければいつの日にか体制は破綻する。；しかし制作進行が破綻・遅れている作品についてはその限りではない。；いわゆる作画崩壊や設定破綻によって話題を呼んでしまった作品でもある。；小江は志賀直哉と婚姻破綻問題で関係のある女中がモデルとされている説。；この時、光源氏との恋愛関係が破綻していた母御息所も伊勢に同行する。；これは破綻状態にはない都市銀行・信託銀行では初の事態であった。；モーフブラシ機能が強化され、服の破綻部分の修正などに活用しやすくなった。；ただ、1860年に妻の経営する工場が破綻、経済事情が一気に悪化する。；しかし労働の疎外そのものがどのようにして発生するのかを説明できなくなって破綻した。；忠可の時代に再建された財政は、この忠居の時代に再び破綻している。；合併時点においてダグラスは1年以内に経営破綻すると見られていた。；これが、重臣の裏切りや政権破綻の原因になったと指摘されている。；これはそのプランテーションが少しずつ財政的破綻に向かっていたためだった。；それは、グスタフ2世の政策が半ば成功し、半ば破綻したことを意味していた。；また、婚姻関係が完全に破綻している場合には同居の請求は認められない。；しかし製作管理が破綻し完成が間に合わず、大部分が未完成の状態で劇場公開された。；また、テレビ版では自己の存在を肯定することで補完を破綻させる。；ところが、同大学は経営母体内の内紛から事実上の破綻状態に陥ってしまう。；現在は経営破綻し会社は存在しないが、営業権は小林製薬が承継している。</t>
        </is>
      </c>
      <c r="J6821">
        <f>HYPERLINK("https://www.weblio.jp/content/破綻", "词义详情")</f>
        <v/>
      </c>
      <c r="K6821">
        <f>HYPERLINK("https://yourei.jp/破綻", "查看例句")</f>
        <v/>
      </c>
    </row>
    <row r="6822">
      <c r="A6822" t="inlineStr">
        <is>
          <t>鉢</t>
        </is>
      </c>
      <c r="B6822" t="inlineStr">
        <is>
          <t>成功</t>
        </is>
      </c>
      <c r="C6822" t="inlineStr">
        <is>
          <t>読み方：はつ
〈八〉⇒はち
〈鉢〉⇒はち</t>
        </is>
      </c>
      <c r="D6822" t="inlineStr">
        <is>
          <t>鉢合わせる；鉢卷；鉢叩き；鉢盛山；鉢頭</t>
        </is>
      </c>
      <c r="E6822" t="inlineStr">
        <is>
          <t>器；ボール；頭蓋骨；椀；頭骨</t>
        </is>
      </c>
      <c r="F6822" t="inlineStr">
        <is>
          <t>摺鉢；大きな鉢；鉢合わせ；菓子鉢；深鉢</t>
        </is>
      </c>
      <c r="G6822" t="inlineStr">
        <is>
          <t>鉢植え；鉢合わせ；鉢巻き；鉢植；鉢合せ</t>
        </is>
      </c>
      <c r="H6822" t="n">
        <v>29</v>
      </c>
      <c r="I6822" t="inlineStr">
        <is>
          <t>職工の一人は工場へ鉢を持ってきて、自分の仕事台の側にそれを置いた。；当時の鉢は現在のような型押しではなく、轆轤を用いて制作されていた。；それらの器が皿鉢と総称され始めたのは江戸時代だと考えられている。；そこへ娘は前の日と同じ服装で、果もの鉢と水差しを持って入って来た。；ただし既に主人がいる場合、鉢に触れられても主人の移動はしない模様。；しかしそれだけではこの洗面鉢の問題はまだなかなか解決されそうもない。；まれに台所で皿鉢のかち合う音が聞こえても三毛は何も知らずに寝ていた。；不思議に思って鉢に入れて洗うと、銅だと見えたのは全部砂金であった。；二個の長い食卓には、何かしら温い物の入つてゐる鉢から煙が出てゐた。；四月の末には彼女はリリスの花を一鉢持って来て置いて行ったこともあった。；三枚の衣、一鉢の食を得ることすら出来ないやうなものは何処にあるであらうか。；ポリプの時期を持たないものは、硬クラゲ類や若干の鉢虫類に見られる。；娘の前にはガラス鉢が置いてあって、金魚が四ひきはいっていました。；又水を貯へ置くに用ゐしならんと思はるる瓶鉢の類も發見品中に存在す。；家の者はそれを持って往こうとしたが、鉢が案にくっついて動かない。；東京の人々は棄て鉢で結婚するのではないかと思われる位である。；副葬品には4個体の鉢と小さなテラコッタ製の輪と鉄製品の残骸がある。；粥を受ける最も大きな器は、釈迦の頂骨であるとされ、頭鉢と呼ばれる。；中央の卓の上に置いた虎鬚菖蒲の鉢がまず女の室らしい感じを与えた。；中央の卓の上に置いた虎鬚菖蒲の鉢が、先ず女の室らしい感じを与えた。；大木9式にみられる口縁部の下肩部両脇に把手のついた浅鉢が出現する。；衛門 何でも話に聞くと、摺鉢を伏せたような山だそうではありませんか?；各種頭形鉢のうち、最も初期に発生したものと考えられている。；だが、逸雲はさうはしないで、土を掘つて花を鉢ごと埋めてしまつた。；まだ鉢に入れられていない金魚を、見たといつて話したのである。；すると、鉄砲の腕は山から転がした丸鉢を撃ち当てられる程に上達した。；どうです、この頭の形は、こんなのを、鉢がひらいてゐるといふんでせう。；あまり小さな器は皿鉢と言わなくなっているものの、明確な区分は設けられていない。；正面から見るとやや鉢開きの形をしていて頬が何処までも長く、滝のようにつづいている。</t>
        </is>
      </c>
      <c r="J6822">
        <f>HYPERLINK("https://www.weblio.jp/content/鉢", "词义详情")</f>
        <v/>
      </c>
      <c r="K6822">
        <f>HYPERLINK("https://yourei.jp/鉢", "查看例句")</f>
        <v/>
      </c>
    </row>
    <row r="6823">
      <c r="A6823" t="inlineStr">
        <is>
          <t>場違い</t>
        </is>
      </c>
      <c r="B6823" t="inlineStr">
        <is>
          <t>成功</t>
        </is>
      </c>
      <c r="C6823" t="inlineStr">
        <is>
          <t>読み方：ばちがい
［名・形動］
１その場にふさわしくないこと。また、そのさま。「—な（の）格好」
２本場の産でないこと。また、そのさまや、そのもの。「—な（の）海産物」</t>
        </is>
      </c>
      <c r="D6823" t="inlineStr">
        <is>
          <t>場違いな感じ(5%)；場違いなほど(3%)；場違いなところ(3%)；場違いな印象；場違いな所</t>
        </is>
      </c>
      <c r="E6823" t="inlineStr">
        <is>
          <t>そぐわない；不適当；不相応；不適；不釣り合い</t>
        </is>
      </c>
      <c r="F6823" t="inlineStr">
        <is>
          <t>あまりにも場違い；そんな場違い；場違い感；場違いな服装；こんな場違い</t>
        </is>
      </c>
      <c r="H6823" t="n">
        <v>29</v>
      </c>
      <c r="I6823" t="inlineStr">
        <is>
          <t>ここまで場違いなところに足を踏み入れた経験は生まれて初めてである。；一家で撮った写真を見ると、彼一人だけが明らかに場違いな存在だった。；ほかの方々はみんな立派な先生方ですが、私はちょっと場違いなのです。；流れこんでくる声がひどく場違いな闖入者のあったことを示していた。；小さな山の三つ分くらいが、ひどく場違いに寒々しい感じになっている。；帰った私の方が場違いなところへ踏みこんだような気がして妙なものだった。；それは、あたしが場違いな学校に入学したせいなのかと思っていた。；が、それきり沈黙があり、治夫はますます自分を場違いなものに感じた。；なんだか場違いなところにきてしまったようだが、おれは黙ってきいていた。；場違いなのも気にせずミッキーとプルートはショー会場へ入っていった。；そしてまるで子馬が花園にふみ込んだような場違いな気持ちがしていた。；当然といえば当然の設備だが、この状況では場違いの増幅にしかならない。；ここでやや場違いに登場している農民は、未来のポーランドを象徴している。；ただ、この場でそんなことにふれるのは、いかにも場違いな感じだった。；数ヵ月前だったら、彼らはここではひどく場違いに見えたことだろう。；二人とも場ちがいのところへ侵入したような気持がしたのです。；クニコののんびりした場違いな声が、空気を緩和させたような気がする。；帰りの道のりはそんな町のなかを場違いな仕草で歩くことになるのだ。；祝祭のあいだに大切かどうか考えるなんて場違いのように思われた。；エランドはこの軽はずみな行為が場ちがいなものだったことを痛感した。；女中にジロジロ見られたのが場違いのモンペのせいだと気がついたらしい。；場違いなところに来てしまったとの念は、検量のとき、ますます募った。；場違いな客が来てこの店の風格を損ねた、とでも言いたそうな表情だ。；力のある男がこんな場所で働くのは、場ちがいのような気がする。；こんなところにいると、何だか自分がずいぶん場違いな存在に思えて来る。；場ちがいな印象だが、カメラを操作している若者の夢が入ってしまうためだろう。；大型のテレビだけが、場違いな威圧感をもって部屋の隅に据えられている。；何十人もが使えるような場違いなまでに大きな机に向かって鏡閃は座っていた。；女もその場違いな念の押し方に気づいたらしく、からかうような笑顔をする。</t>
        </is>
      </c>
      <c r="J6823">
        <f>HYPERLINK("https://www.weblio.jp/content/場違い", "词义详情")</f>
        <v/>
      </c>
      <c r="K6823">
        <f>HYPERLINK("https://yourei.jp/場違い", "查看例句")</f>
        <v/>
      </c>
    </row>
    <row r="6824">
      <c r="A6824" t="inlineStr">
        <is>
          <t>蜂蜜</t>
        </is>
      </c>
      <c r="B6824" t="inlineStr">
        <is>
          <t>成功</t>
        </is>
      </c>
      <c r="C6824" t="inlineStr">
        <is>
          <t>読み方：はちみつ
ミツバチが花から集めてきて巣に蓄えた蜜。淡黄色から褐色の粘りけの強い液体。大部分が果糖とぶどう糖で、甘く、栄養価が高い。食用・薬用。</t>
        </is>
      </c>
      <c r="D6824" t="inlineStr">
        <is>
          <t>蜂蜜色(5%)；蜂蜜入り；蜂蜜漬け；蜂蜜水；蜂蜜みたい</t>
        </is>
      </c>
      <c r="E6824" t="inlineStr">
        <is>
          <t>蜜；ハニー；ハチミツ；白蜜</t>
        </is>
      </c>
      <c r="F6824" t="inlineStr">
        <is>
          <t>マヌカ蜂蜜；濃い蜂蜜</t>
        </is>
      </c>
      <c r="G6824" t="inlineStr">
        <is>
          <t>蜂蜜パイ</t>
        </is>
      </c>
      <c r="H6824" t="n">
        <v>29</v>
      </c>
      <c r="I6824" t="inlineStr">
        <is>
          <t>はじめは少しぴりっとしたが、すぐに蜂蜜の甘い味が口の中に広がった。；他、蜂蜜とその加工製品が成長過程にあり、主に輸出に向けられている。；私があるとき、町の店屋に入つて、蜂蜜を買はうとした事がありました。；その後、蜂蜜が白内障の治療に有効であることが科学的に明らかとなった。；家の中に入った彼は、パンを一切れ切って、蜂蜜をその上にひろげた。；大学を出たばかりのバリーは蜂蜜をつくる仕事についたが不満を持っていた。；男性にとって蜂蜜を取るために女性を木に持ち上げる事は容易である。；女もぼくの蜂蜜にたかっているし、お母さんらもぼくの蜂蜜にたかっている。；これで、ハチの子供を失わずに蜂蜜を採取することができるようになった。；ミイラの下にはロウと蜂蜜の層、上には石の板、額には金の冠があった。；古代ローマの文献には次のような蜂蜜酒の製造法が記録されている。；デイジーは彼のように色も黒くなく、濃い蜂蜜のような美しい肌をしていた。；モイラは彼女が今まで見たことのない蜂蜜色の、異様に可哀らしい娘である。；まるで蜂蜜壺の周りにたかる蜂のように、男たちが彼女の後をつけていた。；また花をハチが好むため、蜂蜜の製造の手助けとしても栽培されている。；巨人のように背が高く、髪は実った麦の色、日に焼けた肌は深い蜂蜜色だ。；蜂蜜みたいに、すごく甘いペーストにして、そうやって食したんじゃよ。；古代ローマの軍隊では、蜂蜜に浸した包帯を使って傷の治療を行っていた。；通常はパンやビスケット、その他食品に蜂蜜を垂らす目的で使用される。；どこにどんなこつがあるのか、文恵の作る蜂蜜のお湯は微妙においしい。；タバコの中には香りの調整に蜂蜜を使用しているものもある。；蜂蜜を入れて焼き上げることでしっとりとしたカステラ生地にしたもの。；そして、蜂蜜色の髪の少女やそのほか多くのことどももまた。；これらの毒は花粉にも含まれ、蜂蜜に混入して食中毒を起こすことがある。；蜂蜜と女王の乳が、この子の命を支えてくれることを祈るしかない。；蜂蜜の含有率が高いヌガーほど元祖に近く、現在でも高級品とされている。；生産量は多くはないものの、日本国内でも蜂蜜を専門に扱う店で入手が可能である。；ソバの花からは黒色で鉄分が多く、独特の香りを持つ蜂蜜が得られる。；ミツバチは少なくとも旧王国から家畜化され、蜂蜜と蜜蝋を供給していた。</t>
        </is>
      </c>
      <c r="J6824">
        <f>HYPERLINK("https://www.weblio.jp/content/蜂蜜", "词义详情")</f>
        <v/>
      </c>
      <c r="K6824">
        <f>HYPERLINK("https://yourei.jp/蜂蜜", "查看例句")</f>
        <v/>
      </c>
    </row>
    <row r="6825">
      <c r="A6825" t="inlineStr">
        <is>
          <t>パチンコ</t>
        </is>
      </c>
      <c r="B6825" t="inlineStr">
        <is>
          <t>成功</t>
        </is>
      </c>
      <c r="C6825" t="inlineStr">
        <is>
          <t>１子供のおもちゃの一。Y字形の木の枝や金具にゴムひもを張り、小石などを挟んで飛ばすもの。
２《多く「パチンコ」と書く》遊技の一。鋼鉄の小玉を下方からはじき上げ、障害の釘を抜けて所定の穴に落ちると多くの玉が出るもの。獲得した玉の数に応じ景品と交換できる。第二次大戦後流行。
３ピストルの俗称。</t>
        </is>
      </c>
      <c r="D6825" t="inlineStr">
        <is>
          <t>パチンコ版；パチンコ関連；パチンコ好き；パチンコ化；パチンコdx</t>
        </is>
      </c>
      <c r="E6825" t="inlineStr">
        <is>
          <t>拳銃；ピストル；弾き；短銃；チャカ</t>
        </is>
      </c>
      <c r="F6825" t="inlineStr">
        <is>
          <t>芸能人パチンコ；パチンコ勝負；国際パチンコ；パチンコ産業；パチンコ漫画誌</t>
        </is>
      </c>
      <c r="G6825" t="inlineStr">
        <is>
          <t>パチンコ屋；パチンコ機；パチンコ台；パチンコホール；パチンコ玉</t>
        </is>
      </c>
      <c r="H6825" t="n">
        <v>29</v>
      </c>
      <c r="I6825" t="inlineStr">
        <is>
          <t>パチンコをするイベントで当たりを出すとテーマソングを歌ってくれる。；ここでいう大衆文化には漫画・アニメ・パチンコ・競馬なども含まれる。；それをあの有名な日本のパチンコにも、かいま見ることができるのです。；パチンコのような投石道具を使って行うハンティングを趣味としている。；これ以外にもパチンコやナイフなどを使用したシーンも描写が変更されている。；戦後間もなくから現在に至るまで、私はパチンコをやりつづけている。；釘が変わったわけでもないのに調子に波があるのだからパチンコは不思議だ。；投入した十円玉をパチンコの様に弾いて、ゴールを目指すゲームである。；パチンコバトルは制限時間内での出玉数を競うことが基本となっている。；男は女にいくつかのことを教えたのだが、パチンコもそのひとつだ。；本作が原作となったパチンコが稼動したり、ミュージカルが公演された。；その話を聞いたかれは、仲間の腕白どもを集めて、パチンコ隊を組織した。；途中では急流下りと前述の通り銃を奪われパチンコで応戦する場面がある。；また後期にはパチンコ・パチスロ関係者がゲストで登場することも多かった。；社歌のヒットに伴い、曲をモチーフとしたパチンコにも勝田が登場した。；アメリカのパチンコともいうべきスロットマシンと比べてごらんなさい。；試験に受かってから、太郎はパチンコに関する本を三冊、買って読んだ。；主な取引先は産業分野のほかパチンコ店舗やホテル業界など。；台は三百台ほどで、うち五十台がスロット、残りはすべてパチンコだ。；パチンコ・パチスロが唯一の趣味だった母親が家を出てしまった。；パチンコ・パチスロで使われた楽曲をベースにしている点が特徴。；今は村にも部落にも、パチンコとパーマネントの看板の見えない所はない。；パチンコ実戦などの自身の様子を漫画にした癒し系の作風で知られている。；日がなパチンコを打っている主婦に、手間のかかる赤ん坊がいるなんて。；ギャンブルはいけませんね、いけませんがどうも愉快でね、パチンコは。；現在、製作されているのは、主に麻雀物とパチンコ&amp;パチスロ物である。；座ぶとんにパチンコの玉を思い切り投げつけたらそんな音がするだろう。；パチンコなどの賭けごとも好きで昼間から打っていることもある。；まず、パチンコというものが私の視界に入ってこない時期があった。</t>
        </is>
      </c>
      <c r="J6825">
        <f>HYPERLINK("https://www.weblio.jp/content/パチンコ", "词义详情")</f>
        <v/>
      </c>
      <c r="K6825">
        <f>HYPERLINK("https://yourei.jp/パチンコ", "查看例句")</f>
        <v/>
      </c>
    </row>
    <row r="6826">
      <c r="A6826" t="inlineStr">
        <is>
          <t>罰</t>
        </is>
      </c>
      <c r="B6826" t="inlineStr">
        <is>
          <t>成功</t>
        </is>
      </c>
      <c r="C6826" t="inlineStr">
        <is>
          <t>読み方：ばち
⇒ばつ</t>
        </is>
      </c>
      <c r="D6826" t="inlineStr">
        <is>
          <t>罰あたり；罰ゲーム；罰規定；罰符；罰棒</t>
        </is>
      </c>
      <c r="E6826" t="inlineStr">
        <is>
          <t>報い；懲罰；懲戒；懲らしめ；誅罰</t>
        </is>
      </c>
      <c r="F6826" t="inlineStr">
        <is>
          <t>どんな罰；厳しい罰；たら罰；杖罰；治罰</t>
        </is>
      </c>
      <c r="G6826" t="inlineStr">
        <is>
          <t>罰則；罰せ；罰する；罰ゲーム；罰し</t>
        </is>
      </c>
      <c r="H6826" t="n">
        <v>29</v>
      </c>
      <c r="I6826" t="inlineStr">
        <is>
          <t>そしてグザファンは地獄の釜の炎を吹き続ける罰を与えられたとされる。；そして罰にはその恐怖から犯罪を抑止する社会的な効果があると考えられた。；しかし、功績が皇帝に報告される前に勝手に部署を離れた罰で罷免された。；彼女の父親は彼女への罰として、彼女をイヌの妻として与えてしまった。；俺達は自分のやったことにふさわしい罰を受けているのだからな。；複数の宗教団体は「日曜日に旅行をしたため罰が下された」と主張した。；従って、学業不正を発見した教授が、自分が適切と思う罰を学生に下した。；そこには修道士や修道女もおり、彼らはより重い罰を与えられていた。；打ちそこなった場合には顔に墨を付ける罰が与えられることもある。；北に住んでいる南部人と他の非イスラム教徒も、これらの罰を受けさせられた。；狭い部屋に戻ると、一番寄付を集められなかった人が罰を受けます。；ただし具体的にどんな罰を受けているかは語っていない。；今回はどちらの写真に対してボタンを押しても罰が与えられるようにしてしまうのだ。；東出昌大を主演に迎え、罪を犯し罰を受けた男のそれからの物語を描いた。；また、体罰の実施者にそもそも罰を与える権利があるのかも問題となっている。；その上学校の評判などが問われる為に問題生徒に罰を与えて自覚させることが重要である。；この足の負傷は、パロス島遠征時に神の罰を受けたともいわれた。；そのためか、こうした女たちへの罰は比較的軽いものであった。；しかし1970年代からは、罰としての用途には使われなくなっていった。；主は、み名をみだりに唱えるものを、罰しないでは置かないであろう。；神罰との対比でよく誤解されているが、仏が罰を与えるのではない。；アベラールは後にこれを「罪を犯したところに罰を受けた」といっている。；第二章では、尼さんの持つ刀の先で悪臭の液体をつけられる罰に変更された。；この行い故にタンタロスは劫罰を受けたともされるが、以下の別説もある。；彼らはその後大仏の罰でなく地震であったと理解したという。；さらし台のように、公開されることそのものが罰となる場合もある。；しかしコハーリ、お前は罰として男の跡取りを持つことができなくなる。；アナテマは教会と神の保護下からの永久の追放を含む最も過酷な罰であった。；その左側で女が怪物に尻の鏡を向けられているのは虚飾の罪への罰だと考えられている。</t>
        </is>
      </c>
      <c r="J6826">
        <f>HYPERLINK("https://www.weblio.jp/content/罰", "词义详情")</f>
        <v/>
      </c>
      <c r="K6826">
        <f>HYPERLINK("https://yourei.jp/罰", "查看例句")</f>
        <v/>
      </c>
    </row>
    <row r="6827">
      <c r="A6827" t="inlineStr">
        <is>
          <t>初～</t>
        </is>
      </c>
      <c r="B6827" t="inlineStr">
        <is>
          <t>成功</t>
        </is>
      </c>
      <c r="C6827" t="inlineStr">
        <is>
          <t>読み方：うい
［名］最初。初め。
「我はけさ—にぞ見つる花の色をあだなるものといふべかりけり」〈古今・物名〉
［接頭］名詞に付いて、初めての、最初の、の意を表す。「—産」「—陣」「—孫(まご)」</t>
        </is>
      </c>
      <c r="H6827" t="n">
        <v>0</v>
      </c>
      <c r="J6827">
        <f>HYPERLINK("https://www.weblio.jp/content/初～", "词义详情")</f>
        <v/>
      </c>
      <c r="K6827">
        <f>HYPERLINK("https://yourei.jp/初～", "查看例句")</f>
        <v/>
      </c>
    </row>
    <row r="6828">
      <c r="A6828" t="inlineStr">
        <is>
          <t>発育</t>
        </is>
      </c>
      <c r="B6828" t="inlineStr">
        <is>
          <t>成功</t>
        </is>
      </c>
      <c r="C6828" t="inlineStr">
        <is>
          <t>読み方：はついく
［名］(スル)育って大きくなること。成育。「よく—した身体」「—盛り」</t>
        </is>
      </c>
      <c r="D6828" t="inlineStr">
        <is>
          <t>発育する(7%)；発育不全(6%)；発育不良(3%)；発育障害；発育段階</t>
        </is>
      </c>
      <c r="E6828" t="inlineStr">
        <is>
          <t>なる；開発；発生；展開；発展</t>
        </is>
      </c>
      <c r="F6828" t="inlineStr">
        <is>
          <t>正常な発育；内発育；発育状況；胎児発育；発育阻害</t>
        </is>
      </c>
      <c r="G6828" t="inlineStr">
        <is>
          <t>発育性股関節形成不全；発育ステータス</t>
        </is>
      </c>
      <c r="H6828" t="n">
        <v>29</v>
      </c>
      <c r="I6828" t="inlineStr">
        <is>
          <t>文学がある点まで発育して後にこそ、此手段に利用せられることはある。；多くの子供たちは発育が遅れ、どうやって生きていくかを知らなかった。；発育に対し人間が此ほど底からの忍耐深い力を与えられて居るだろうか。；彼等の精神が肉体自体に苦しめられる年齢の発育まできていないのだろう。；卵は細菌や原生動物がうようよしている池の中で侵入されずに発育する。；涼子は発育も遅く、二人を並べてみてもどちらが姉か解らない程でした。；人形のような可愛い女なのに、大人以上に発育した肉体が不気味だった。；数々の玩具は、発育や様々な機能の発達に刺激を与える重要な道具である。；それのないこの家の自由さは私の体の発育を助けたに違いない。；発育途上の未成熟な身体には彼女が言うような大人の魅力などはない。；生活の全面的な関係だけが可能にする発育のモメントというものがある。；子供の時からだと芸が身体の中に織り込まれて身体と一緒に発育する。；そのために肉体的にも精神的にも完全な発育が出来なかつたのである。；いやね警部、うちの姉は妙な女でしてね、ありゃまさに発育不全ですよ。；栽培には熱い夏と高い日射量を必要とし、日光不足になると発育が悪い。；胴体の発育は正常だったが、脚の大きさだけは子供のままの状態であった。；郁子はまだだが、クラスでも体の発育の早い子はもう生理が始まっていた。；だから地上の人類とおなじような発育をするとは考えられない。；文化はこの場合、実は一つのデマゴギーの体系としてしか発育し得ない。；そしてね、人間としての素質の見事さを全面的に発育させたいと思うの。；サッカーの基本となるTIPSを、発育に合わせて段階的に教えていく。；其重要な食料が立派に発育したので、私の喜びは非常なものであつた。；頭を使わない人の頭は頭を使う人の頭ほど発育していない。；年は十二だそうだけれど、発育不良で小柄だから十くらいにしか見えない。；また足を縛るから足の発育が出来ないで、皆短い足になってしまう。；これをあたえるようになってから、魚の発育が目に見えて速くなった。；よく発育した腕で、彼女たちはらくらくと猫車を押して行くのであつた。；頭の色も少し違うし、羽の下に透けて見える丸い胸も、発育不足のようだ。；尾の毛の発育が止まった鳥がいることも報告されている。</t>
        </is>
      </c>
      <c r="J6828">
        <f>HYPERLINK("https://www.weblio.jp/content/発育", "词义详情")</f>
        <v/>
      </c>
      <c r="K6828">
        <f>HYPERLINK("https://yourei.jp/発育", "查看例句")</f>
        <v/>
      </c>
    </row>
    <row r="6829">
      <c r="A6829" t="inlineStr">
        <is>
          <t>発音</t>
        </is>
      </c>
      <c r="B6829" t="inlineStr">
        <is>
          <t>成功</t>
        </is>
      </c>
      <c r="C6829" t="inlineStr">
        <is>
          <t>読み方：はつおん
［名］(スル)音声を出すこと。言語音を出すこと。また、その音声の出し方。動物では発音器官によるもののほか、魚が浮き袋を用いたりキツツキが木をたたいたりして音をたてることにもいう。「正しく—する」</t>
        </is>
      </c>
      <c r="D6829" t="inlineStr">
        <is>
          <t>発音する(12%)；発音される(10%)；発音でき；発音通り；発音体</t>
        </is>
      </c>
      <c r="E6829" t="inlineStr">
        <is>
          <t>いう；言う；云う；発する；謂う</t>
        </is>
      </c>
      <c r="F6829" t="inlineStr">
        <is>
          <t>近い発音；英語発音；正確な発音；正しい発音；強く発音</t>
        </is>
      </c>
      <c r="G6829" t="inlineStr">
        <is>
          <t>発音表記；発音原理；発音区別符号；発音リスペリング；発音ミク</t>
        </is>
      </c>
      <c r="H6829" t="n">
        <v>29</v>
      </c>
      <c r="I6829" t="inlineStr">
        <is>
          <t>ただし、語学用の書籍では、変化した発音を載せてもよいとされている。；この改訂は表示だけのもので、名前の発音まで変えるものではなかった。；このことから現在の発音が当時は関東の方言音であったことが分かる。；フランス語などの場合とは異なり、発音の変化に応じて表記も変わる。；各地の方言の発音を構成する要素の数には下記のような違いがある。；なお、名前の中のhは当時の名前では発音しないのが一般的である。；ハングル語の中に日本語の発音に似た言葉が多く存在するのもそのせいである。；東方言では、この表記されない曖昧母音は時に発音されないことがある。；聖書が書かれた紀元前1千年紀のヘブライ語の発音は不明な点が大きい。；アラビア語のghの発音を含む語はeの漢字で取り入れている例が多い。；各枠の左方に文字を、右方にその発音方法を IPA でそれぞれ記す。；紀元前4世紀末ごろに から へ発音が変化したためにと呼ばれるようになった。；フロム本人はエーリック・フロムと発音されることを望んでいたという。；ほかに音節主音的な があったが、現代ではそれぞれ のように発音される。；中国王朝の一つである元は、表記も発音も同じであるものの無関係である。；また近代に入っても、地元の発音は依然として「さい」が使われていた。；F, v, w の発音の区別はむしろドイツ語式だと考えた方がよい。；人名表記において英語・表記発音などを模した創作表記もよくなされる。；また電子楽器では一度に発音する発音数が限られている場合もある。；英語での発音から、日本ではリッターと表記し発音されることがある。；ただし、奈良時代の日本語の発音は不明の点も多く、はっきりしない。；垂井式の地域全体で3拍形容詞の発音は全て中高型に統一されつつある。；これらは後述する発音の際に重要になってくる事柄なので注意。；台湾の父の日と中国語での「八八」の発音が似ていることに由来している。；姓の発音が同じで、しかも名の方も頭の一文字が違うだけである。；ヒエログリフの場合、字形とそれらが表す発音との間には関連がない。；これは、日本人が古典文学を現代日本語発音で読むのと同じである。；こじつけの類ではあるが、当時の発音を知るための参考にすることができる。；正式に禁止されるまでは、発音などに難点があるため使用しないように指導していた。</t>
        </is>
      </c>
      <c r="J6829">
        <f>HYPERLINK("https://www.weblio.jp/content/発音", "词义详情")</f>
        <v/>
      </c>
      <c r="K6829">
        <f>HYPERLINK("https://yourei.jp/発音", "查看例句")</f>
        <v/>
      </c>
    </row>
    <row r="6830">
      <c r="A6830" t="inlineStr">
        <is>
          <t>発揮</t>
        </is>
      </c>
      <c r="B6830" t="inlineStr">
        <is>
          <t>成功</t>
        </is>
      </c>
      <c r="C6830" t="inlineStr">
        <is>
          <t>読み方：はっき
［名］(スル)もっている能力や特性などを十分に働かせること。「職人としての腕を—する」</t>
        </is>
      </c>
      <c r="D6830" t="inlineStr">
        <is>
          <t>発揮する(27%)；発揮できる(5%)；発揮される(3%)；発揮させる；発揮し始め</t>
        </is>
      </c>
      <c r="E6830" t="inlineStr">
        <is>
          <t>示す；表示；展示；見せる；表す</t>
        </is>
      </c>
      <c r="F6830" t="inlineStr">
        <is>
          <t>発揮可能速力；発揮速力；発揮せしめる；発揮されれ；発揮せら</t>
        </is>
      </c>
      <c r="H6830" t="n">
        <v>29</v>
      </c>
      <c r="I6830" t="inlineStr">
        <is>
          <t>ただしこの場合は空気制動のみとなり、本来の性能は発揮できなくなる。；どんな立場でも自分の能力を最大に発揮していくことのできる人間。；これを切ってしまうと能力が発揮できなくなるなどの描写もある。；また嫌がる人や心を閉ざしている相手に対して魔法は効力を発揮しない。；機関車では、牽引性能を発揮するためにある程度の軸重を必要としている。；武器に限らず、道具が効果を発揮するにはエネルギーが必要である。；サイコロを振るかわりにカードを使用し、カードごとの効果を発揮する。；いずれの場合も使い魔が術者以上の力を発揮する描写はあまり見られない。；初期モデルのジェガンに匹敵あるいは凌駕する性能を発揮したとされる。；性能テストでは圧倒的な高性能を発揮してアメリカ側を驚かせている。；この性格は彼自身の研究だけでなく、同僚の仕事に対しても発揮された。；権限は人に与えられるものではなく、自分で発揮するものである。；埴谷は、新人作家の発見や紹介推薦に優れた力を発揮したことで知られる。；計量経済学的分析に力を発揮することが経験的に証明されている。；改正毎に法律の統制範囲は拡大し、以後日本の敗戦まで威力を発揮した。；これが後の湘軍であり、強さを発揮して最終的に太平天国軍を破った。；これは、完全なLRUではないが、多くの場合非常に近い性能を発揮する。；場に配置されつづけている限り継続して効果を発揮する。；左打者には一発を打たれる傾向こそあるものの強さを発揮した。；しかしグラウルングは持てる力を発揮し、彼女の目的と素性とを知った。；体の一部を巨大変化させることで、最大限にその能力を発揮させることが可能。；多くの念系統を十二分に発揮できるが、念以上の制約や誓約が必要とされる。；ここでも容量単価の低さを重視するアップルの基本戦略が発揮された。；アクション、ロボットアニメ等数多くの作品で彼はその力量を発揮した。；そのためTualatinは本来の性能や魅力を発揮しないまま終わりを迎えた。；当初は苦戦するものの、まもなく高い戦闘力を発揮し数々の勝利を挙げた。；接近したのは攻撃力発揮と攻撃隊を収容をするためであった。；四次元ポケットと併用してこそ便利さが十二分に発揮できる道具と言える。；この効果はほかのタンパク質と複合体と結合することで発揮される。</t>
        </is>
      </c>
      <c r="J6830">
        <f>HYPERLINK("https://www.weblio.jp/content/発揮", "词义详情")</f>
        <v/>
      </c>
      <c r="K6830">
        <f>HYPERLINK("https://yourei.jp/発揮", "查看例句")</f>
        <v/>
      </c>
    </row>
    <row r="6831">
      <c r="A6831" t="inlineStr">
        <is>
          <t>はっきり</t>
        </is>
      </c>
      <c r="B6831" t="inlineStr">
        <is>
          <t>成功</t>
        </is>
      </c>
      <c r="C6831" t="inlineStr">
        <is>
          <t>［副］(スル)
１物事の輪郭などが、きわめて明瞭であるさま。「富士山の姿が—（と）見える」「汽笛が—（と）聞こえる」
２事の成り行き、人の言動などが確かなさま。「嫌なら嫌だと—（と）言ってくれ」「仕事が何時に終わるか—（と）しない」
３気持ちが晴れ晴れして、さわやかなさま。「水をかぶったら頭が—（と）してきた」</t>
        </is>
      </c>
      <c r="D6831" t="inlineStr">
        <is>
          <t>はっきりしない(6%)；はっきりと見え；はっきり見える；はっきりわかる；はっきり覚え</t>
        </is>
      </c>
      <c r="E6831" t="inlineStr">
        <is>
          <t>明らか；明確；明白；明瞭；くっきり</t>
        </is>
      </c>
      <c r="F6831" t="inlineStr">
        <is>
          <t>もっとはっきり；はっきり言え；かなりはっきり；はっきりと覚え；はっきり聞こえ</t>
        </is>
      </c>
      <c r="G6831" t="inlineStr">
        <is>
          <t>はっきりもっと勇敢になって</t>
        </is>
      </c>
      <c r="H6831" t="n">
        <v>29</v>
      </c>
      <c r="I6831" t="inlineStr">
        <is>
          <t>しかし、比較的新しい学問なのでその定義ははっきりと確定していない。；どういう範囲で考えているのかを常にはっきりさせておくべきである。；海の近さははっきりとした夏と冬をもたらし、春と秋は過ごしやすい。；金載圭が大統領の殺害に至る動機についてははっきりしない部分もある。；引き伸ばし機がいつ頃発明されたのかははっきりとはわかっていない。；しかし数十年が経ち追加の発見がもたらされ、事実がはっきりしてきた。；これらの実験で、電話が長距離でも作動することをはっきりと証明した。；ウェルナー症候群が日本人に多い理由は、はっきりとは分かっていない。；日本で最初の土器がどのようにして出現したのかははっきり分かっていない。；人類がいつごろから火を使い始めたのか、はっきりした事は解っていない。；霧に十分に光が当たっているときは霧粒をはっきりと確認することができる。；他にも説はあるが、何れにしてもはっきりしたことはわかっていない。；最初に作られた時代ははっきりしないが、隋代頃ではないかと考えられる。；多くのメスが首毛を持っており、ある姿勢を取るとそれがはっきりわかる。；効果の機序は各種報告されているが、はっきりしていないことも多い。；一般の言葉と比較して、定義のはっきりしていることが求められる。；滅亡の経緯についても、はっきりとしたことはほとんどわかっていない。；いつごろからかはっきりしないが、父親は海外勤務になったという。；理由の大半は何が起こっているかはっきりしなかった点にある。；複数の領土を有する国家は他にもあるが、はっきりと異なっている。；はっきりした記録が残っているものでは世界最初の麻酔手術である。；ただしこの構造は外見上からの想像に過ぎず、はっきりと分かっていない。；この町の建築物や装飾物の多くははっきりと分かるスウェーデン様式である。；さまざまな説が提案されているが、現在のところはっきりとは分かっていない。；なぜ、このような物語が旧辞に取り入れられたのかははっきりしない。；なおミリアと同時にミリオ が導入されたとも言われるがはっきりしない。；しかし彼らの若い友人トマス・ハクスリーははっきりと進化に反対していた。；制作地についても新羅か百済か、その他の地域であるかはっきりしない。；アリストテレスはこの点についてははっきりとした表現をしていない。</t>
        </is>
      </c>
      <c r="J6831">
        <f>HYPERLINK("https://www.weblio.jp/content/はっきり", "词义详情")</f>
        <v/>
      </c>
      <c r="K6831">
        <f>HYPERLINK("https://yourei.jp/はっきり", "查看例句")</f>
        <v/>
      </c>
    </row>
    <row r="6832">
      <c r="A6832" t="inlineStr">
        <is>
          <t>罰金</t>
        </is>
      </c>
      <c r="B6832" t="inlineStr">
        <is>
          <t>成功</t>
        </is>
      </c>
      <c r="C6832" t="inlineStr">
        <is>
          <t>読み方：ばっきん
１罰として出させる金銭。
２刑法の規定する主刑の一。犯罪の処罰として科せられる金銭。科料よりも重い財産刑。</t>
        </is>
      </c>
      <c r="D6832" t="inlineStr">
        <is>
          <t>罰金を科せられ；罰金額；罰金を課せられ；罰金刑；罰金又は科料</t>
        </is>
      </c>
      <c r="E6832" t="inlineStr">
        <is>
          <t>没収；ペナルティ；ペナルティー；ファイン；違約金</t>
        </is>
      </c>
      <c r="F6832" t="inlineStr">
        <is>
          <t>罰金又は拘留；罰金を支払わなけれ；罰金を課せられる；罰金を払わされる</t>
        </is>
      </c>
      <c r="G6832" t="inlineStr">
        <is>
          <t>罰金処分；罰金制度；罰金等臨時措置法；罰金及笞刑処分例</t>
        </is>
      </c>
      <c r="H6832" t="n">
        <v>29</v>
      </c>
      <c r="I6832" t="inlineStr">
        <is>
          <t>重大な違反とされたにもかかわらず、罰金その他の制裁は一切なかった。；罰金やボランティアを拒否したためにクラブ会長や監督との関係は悪化した。；この罰金は最終的にうやむやになってしまい、実際には払われなかった。；警察官等に提示を求められた際に携帯していないと、罰金を課せられる。；これに加え法人にあっては、1億円以下の罰金が科せられる場合がある。；禁煙に指定されている場所での喫煙は30万円以下の罰金に処せられる。；条約では、ヘイズ汚染の原因となる行動に対する罰金などを定めている。；悪質な場合や請求された罰金を不払いの場合、警察への通報も行われる。；ハバード自身は何の行動もとらず、罰金が強制されることも無かった。；このうち、命令が出た場合には、それに違反した場合は罰金に処せられる。；その後パナマ事件で罰金つき有罪とされたが、最高裁判所で無罪となる。；リーグはスケジュール変更を余儀なくされたため、チームに罰金を科した。；後述する罰金見込検送も、保護不適の場合に含めて考えることができる。；許可を受けずに予報業務を行った者は、50万円以下の罰金に処せられる。；ソジェンも同ファンドに賄賂で損失を与えた事件で罰金を課されている。；違反した者には50万円以下の罰金が科せられる等を主張している。；次の各号のいずれかに該当する者は、30万円以下の罰金に処する。；検札の際に乗車券の不正利用等が発覚した場合、多額の罰金を取られる。；取扱量が少量であった場合は7年以上の懲役となり、罰金を併科される。；また虚偽の申告をする等を行っている場合は20万円以下の罰金となっている。；鎮圧後植民地政府は、ヘヘ族の首長会議を解散させ、重い罰金を課した。；地域の保健所が所管であり、違法行為には行政指導や罰金等が発生する。；罰金は子のキモンにも引き継がれたが、当然彼にも支払いは不可能であった。；罰金額は原則として定額制だがスライド制がとられている罪もある。；貼らないで走行しているところを見つかると高額の罰金を徴収される。；これらは一例であり、海外の大会に出場する騎手が知らずに罰金などを受けるケースが発生している。；退場処分にはならなかったが、10日間の出場停止と罰金が科せられた。；後にこれには12万ポンドの罰金を支払うよう裁判所命令が下った。；乗車券を持っていても刻印がないと検札時に高額の罰金を請求される。</t>
        </is>
      </c>
      <c r="J6832">
        <f>HYPERLINK("https://www.weblio.jp/content/罰金", "词义详情")</f>
        <v/>
      </c>
      <c r="K6832">
        <f>HYPERLINK("https://yourei.jp/罰金", "查看例句")</f>
        <v/>
      </c>
    </row>
    <row r="6833">
      <c r="A6833" t="inlineStr">
        <is>
          <t>発掘</t>
        </is>
      </c>
      <c r="B6833" t="inlineStr">
        <is>
          <t>成功</t>
        </is>
      </c>
      <c r="C6833" t="inlineStr">
        <is>
          <t>読み方：はっくつ
［名］(スル)
１地中に埋もれているものを掘り出すこと。「埋蔵金が—される」
２考古学で、埋もれた遺跡を掘り出す作業。「ピラミッドの—調査」
３世間に知られていないすぐれた人やものを見つけ出すこと。「隠れた人材を—する」</t>
        </is>
      </c>
      <c r="D6833" t="inlineStr">
        <is>
          <t>発掘調査(3%)；発掘作業(2%)；発掘現場；発掘品；発掘プロジェクト</t>
        </is>
      </c>
      <c r="E6833" t="inlineStr">
        <is>
          <t>採掘；掘削；穴掘り；発掘作業；掘鑿</t>
        </is>
      </c>
      <c r="F6833" t="inlineStr">
        <is>
          <t>遺跡発掘；考古学的発掘；未発掘；みんなのうた発掘；多数発掘</t>
        </is>
      </c>
      <c r="G6833" t="inlineStr">
        <is>
          <t>発掘調査報告書；発掘調査概報</t>
        </is>
      </c>
      <c r="H6833" t="n">
        <v>29</v>
      </c>
      <c r="I6833" t="inlineStr">
        <is>
          <t>旧修道院は最近になって発掘され、川の左岸の浅瀬で見ることができる。；北海道ではストーンサークルが多く発掘され考古学上議論を呼んでいる。；近代以降、多くの文学賞が創設され、作家の発掘と育成に貢献している。；保存状態は悪くなく多くの浮彫で飾られた宮殿の城壁が発掘されている。；旧シナゴーグを記念する発掘現場は訪れることが出来るようになっている。；この遺跡では大量の石器群が発掘され、石器製造所であったと解される。；海老名市で発掘された国分寺跡から、国府が置かれていた可能性がある。；こうした発掘により多くの発見があったが、同時に遺跡が破壊された。；また、たくさんの史跡が発掘されており、史跡の多い町でも有名である。；そして現代になって鏡が発掘され、その鏡面に月の光を浴びたことで復活。；事務所内には三笠で発掘されたアンモナイトの化石などが展示されている。；後期旧石器時代が証明されるとさらに古い時代の発掘が試みられた。；過去の発掘地特定や胴体部分の化石探求の試みはすべて失敗してきた。；古くは三代に起源があるとする説もあり、殷墟から殷璽が発掘されている。；発掘者はこの彫像が壊れた後、中王国時代に復元されたことを指摘した。；江戸時代の遺構から多くの持ち運び可能な土師製火床が発掘されている。；このために遺骸の発掘事業も悔いが残らないよう最後まで続けて行きます。；博物館棟には発掘された遺物や、当時の墳墓の人骨などが展示されている。；インダス文明ではインダス式印章が普及し、今日大量に発掘されている。；考古学者による発掘は、カザン市内の三か所に集落の跡を発見してきた。；ウクライナやポーランドではマンモスの骨で作られた住居跡が発掘されている。；しかし、発掘されたのは現在も全体のごく一部分にすぎない。；ギリシャ時代の考古遺跡からの発掘物は、地元各地に展示されている。；発掘された数百軒の家のほぼすべてにそれぞれ浴室があった。；発掘からは青銅器時代のミュケナイ文化に属する陶器が見つかっている。；芝山町は土地の約7割に古代の遺跡があるとされ、未発掘の場所も残っている。；主に発掘された霊長類や人類の化石を対象に、その形態を分析する。；機甲兵の中では最も発掘量が多く、マーダル軍を象徴する機体となっている。；洹水を挟んだ北側では22代王の武丁以降の王墓が発掘されている。</t>
        </is>
      </c>
      <c r="J6833">
        <f>HYPERLINK("https://www.weblio.jp/content/発掘", "词义详情")</f>
        <v/>
      </c>
      <c r="K6833">
        <f>HYPERLINK("https://yourei.jp/発掘", "查看例句")</f>
        <v/>
      </c>
    </row>
    <row r="6834">
      <c r="A6834" t="inlineStr">
        <is>
          <t>抜群</t>
        </is>
      </c>
      <c r="B6834" t="inlineStr">
        <is>
          <t>成功</t>
        </is>
      </c>
      <c r="C6834" t="inlineStr">
        <is>
          <t>読み方：ばつぐん
《古くは「ばっくん」》
［名・形動］
１多くの中で、特にすぐれていること。ぬきんでていること。また、そのさま。「—な（の）成績をおさめる」
２程度が大きいこと。また、そのさま。
「先の関をば、はや—に程隔たりて候ふほどに」〈謡・安宅〉
［副］程度がはなはだしいさま。
「目の数も—違ふ」〈虎明狂・賽の目〉</t>
        </is>
      </c>
      <c r="D6834" t="inlineStr">
        <is>
          <t>抜群の強；抜群の勝負強；抜群の美し；抜群の跳躍力</t>
        </is>
      </c>
      <c r="E6834" t="inlineStr">
        <is>
          <t>非常；特別；大変；異常；優秀</t>
        </is>
      </c>
      <c r="F6834" t="inlineStr">
        <is>
          <t>スタイル抜群；効果抜群；成績抜群；武功抜群</t>
        </is>
      </c>
      <c r="H6834" t="n">
        <v>29</v>
      </c>
      <c r="I6834" t="inlineStr">
        <is>
          <t>モデルとして活躍する一面もあり抜群のスタイルを披露した事もあった。；全国の通信制高校の中でも抜群に大学進学実績が優れていることが特徴。；スタイルは母親のデモーナの影響もありガーゴイルの中でも抜群である。；その抜群の才能により、何事をなしても人より勝っていたのであろう。；あれほど抜群であったG・の兵隊服が全然目をひかなくなったではないか。；この戦いでシャアは抜群の功績を挙げ赤い彗星と称されるようになる。；私が息子のことを、抜群の勇士だといったので、喜びに満ちた様子でもって。；特に、彼女のピアノが抜群だということを証明する話があるのです。；かなりの暴れん坊で停学になったこともあるが、成績は抜群であった。；抜群のチームワークを見せる一方、他の作品に比べ、失敗することが多い。；十代の頃から既に美貌と抜群のスタイルを有していたという。；高い身体能力からの抜群の反射神経と、積極的な飛び出しでゴールを守る。；抜群のコントロールを武器に強気なピッチングで相手を攻めるのが特徴。；このような考察には、抜群の想像力が要求されると考えられている。；英語が抜群の出来で、戦後は司法省大臣官房で連合国との折衝にあたった。；だがあの当時は、英雄たちの間でも私は抜群の者だった。；広島県民で知らない人がいないと言われるほどの抜群の認知度を誇る。；抜群の記憶力と絶対音感とは普通、組になっているものなんだ。；いつでも反応してくれそうな手応えだったし、直線で仕掛けてからの反応も抜群でした。；特にツートップを組んだ林とは抜群に息の合ったプレーを見せ優勝の原動力となった。；クラブは抜群のスカウティング力と抜け目のない経営力で知られる。；戦いでもそれぞれが認め合っている故か、抜群のコンビネーションを発揮している。；江戸以外も京・長崎を始め、諸国で相撲を取って抜群の強さを誇ったとされる。；ポーは外国語では抜群の成績を収めており、また詩作もこの頃に始めている。；ただし、出場した試合では18試合で16ゴールと抜群の決定力を見せた。；わたしの球威とコントロールは、いずれも抜群のものであったにちがいない。；ダートでは掲示板を外したのはわずか2走のみと抜群の安定感を見せた。；その後、抜群のバランス感覚を生かして舞台や映画へと活躍の場を広げている。；独自の世界観と抜群の演奏力に更に磨きのかかった全11曲を収録。</t>
        </is>
      </c>
      <c r="J6834">
        <f>HYPERLINK("https://www.weblio.jp/content/抜群", "词义详情")</f>
        <v/>
      </c>
      <c r="K6834">
        <f>HYPERLINK("https://yourei.jp/抜群", "查看例句")</f>
        <v/>
      </c>
    </row>
    <row r="6835">
      <c r="A6835" t="inlineStr">
        <is>
          <t>発見</t>
        </is>
      </c>
      <c r="B6835" t="inlineStr">
        <is>
          <t>成功</t>
        </is>
      </c>
      <c r="C6835" t="inlineStr">
        <is>
          <t>読み方：はっけん
［名］(スル)まだ知られていなかったものを見つけ出すこと。また、わからなかった存在を見いだすこと。「新大陸の—」「犯人のアジトを—する」</t>
        </is>
      </c>
      <c r="D6835" t="inlineStr">
        <is>
          <t>発見される(4%)；発見でき；発見地；発見しよ；発見例</t>
        </is>
      </c>
      <c r="E6835" t="inlineStr">
        <is>
          <t>理解；わかる；知る；認識；分かる</t>
        </is>
      </c>
      <c r="F6835" t="inlineStr">
        <is>
          <t>新発見；新しい発見；第一発見者；死体発見；偶然発見</t>
        </is>
      </c>
      <c r="G6835" t="inlineStr">
        <is>
          <t>発見的手法；発見のモニュメント；発見的方法；発見ふるさとの宝</t>
        </is>
      </c>
      <c r="H6835" t="n">
        <v>29</v>
      </c>
      <c r="I6835" t="inlineStr">
        <is>
          <t>石器時代の遺跡から処刑されたと思われる遺体が発見されることもある。；特に後者の件はソビエト連邦のも独自に発見しており、と呼ばれている。；人間がタンタルを利用していることに伴う汚染が発見されたことはない。；たとえばイチョウから精子が発見されたのはその代表的なものであろう。；石油が発見されて以来、州経済は石油産業の状況に大きく依存してきた。；様々な偶然の発見により、ダイナモから様々な装置が発明されていった。；しかし彼は、最期まで自らが発見した島をアジアだと主張し続けたという。；現在ではこの時に発見されたのがレニウムであると考えられている。；マルクスが小学校教育を受けたという記録は今のところ発見されていない。；鉱物資源が発見されているものの交通路がないために開発が進んでいない。；ピタゴラスは音階の主要な音程に対応する数比を発見したとされている。；なお、笛も、すでに旧石器時代のそれと思われるものが発見されている。；彼は、電荷の間に働く力は距離の2乗に反比例していることを発見した。；元素99は、爆発の雲の中を漂っていたろ紙の中からすぐに発見された。；彗星の発見数が増加してくると、この方法の運用に綻びが生じてきた。；その代わりに、海王星の北半球では大暗斑に似た新しい嵐が発見された。；命名は発見順になされており、液晶の状態を反映したものではない。；また、発見の古い温泉ではその利用の歴史もかなり古くから文献に残されている。；この作品は長い間存在が知られていなかったが、1956年に発見された。；発見の時には実際に手を触れないと駄目だとするルールもある。；それをまるですごいことでも発見したようにいう人、いるじゃない。；また、東仙台付近の丘陵地に須恵器を生産した窯跡群が発見されている。；地球以外の天体に生物が発見された事例は記録されていない。；この中からは地球化学で と呼ばれる、地球上には存在しない岩種が発見された。；白色矮星は発見されてまもなく、非常に高密度であることが判明した。；符号は発見が報告された年、月、発見報告順を元にしてつけられる。；学術的な研究の目的は、突き詰めれば新しい事実や解釈の発見である。；また各地に潜伏していた義経の郎党達も次々と発見され殺害された。；この遺跡から旧石器時代人が製作し使用したとみられる石器群が発見されている。</t>
        </is>
      </c>
      <c r="J6835">
        <f>HYPERLINK("https://www.weblio.jp/content/発見", "词义详情")</f>
        <v/>
      </c>
      <c r="K6835">
        <f>HYPERLINK("https://yourei.jp/発見", "查看例句")</f>
        <v/>
      </c>
    </row>
    <row r="6836">
      <c r="A6836" t="inlineStr">
        <is>
          <t>発言</t>
        </is>
      </c>
      <c r="B6836" t="inlineStr">
        <is>
          <t>成功</t>
        </is>
      </c>
      <c r="C6836" t="inlineStr">
        <is>
          <t>読み方：はちげん
「はつげん」の音変化。
「此の町へ足をも踏ん込むまいと—を放し」〈浮・禁短気・四〉</t>
        </is>
      </c>
      <c r="D6836" t="inlineStr">
        <is>
          <t>発言力；発言権；発言し物議；発言削除；発言回数</t>
        </is>
      </c>
      <c r="E6836" t="inlineStr">
        <is>
          <t>いう；話；言葉；言う；話し</t>
        </is>
      </c>
      <c r="F6836" t="inlineStr">
        <is>
          <t>不用意な発言；示唆する発言；不適切な発言；擁護する発言；否定する発言</t>
        </is>
      </c>
      <c r="G6836" t="inlineStr">
        <is>
          <t>発言権；発言者；発言内容；発言の自由；発言撤回</t>
        </is>
      </c>
      <c r="H6836" t="n">
        <v>29</v>
      </c>
      <c r="I6836" t="inlineStr">
        <is>
          <t>後に対談で彼のことを認めており、応援もしている旨の発言をしている。；なお、実在の人物の名前の発言はピー音で規制されていたこともあった。；「ああいうことを売りものにしたくないんだ」と発言したこともあった。；韓国の監査院は調査を行い、朴代表の発言が事実であることを確認した。；YOSHIKIは「彼は自殺するような人間ではない」と発言している。；また自身の引退試合の開催についても現時点で否定する発言もしている。；議会で反対論を主張した議員にロベスピエールはこう発言している。；しかし、死去するまで手紙や日記では反ユダヤ主義的な発言を繰り返した。；しかし、荒木は「子ども向けに描いたつもりはない」とも発言している。；アルフレッド・ロッコは、この衝突は不可避と主張して以下発言をした。；その為、木村と深い連携関係にあり、互いを擁護する発言を続けていた。；このこともあり溥儀も日中戦争に対して主だった活動や発言はしていない。；アニメでもグレートサイヤマンの正体と同じくらい強さが気になると発言していた。；しかし富野のそうした発言は次第にトーンダウンしていくことになる。；しかし偶然ではあったが、その発言が違う形で現実となった。；上の調査では、これを「痛快な発言」としたユーザーが多数を占めた。；「人間の終期は天が決めることで人が決めてはならない」と発言している。；また敗北を認めるような発言を行うことは非常に希であった。；つまり上記の英文はシカゴおよびシカゴ市民を馬鹿にした発言である。；しかし、妖精が存在することが理解できないとの発言もしている。；また事あるごとに引退を示唆する発言をしている。；実名でアドバルーン発言をした場合は、発言に強い責任が伴うことになる。；自身の仕事はゲームだからできると発言している。；このような行動は発言や執筆の自由を失うことを恐れたことが要因であるとも考えられている。；あるいは映画会社の宣伝士になりたかったとも発言している。；無神論者の指摘・主張・発言には以下のようなものがある。；教会内部に向けての発言と、教会外部に向けての発言という2つの領域である。；得意とすることとは裏腹に、本人はあまり雨のレースが好きではないと発言している。；かねてから現役生活の最後を過ごしたいと発言してきたクラブへの加入となった。</t>
        </is>
      </c>
      <c r="J6836">
        <f>HYPERLINK("https://www.weblio.jp/content/発言", "词义详情")</f>
        <v/>
      </c>
      <c r="K6836">
        <f>HYPERLINK("https://yourei.jp/発言", "查看例句")</f>
        <v/>
      </c>
    </row>
    <row r="6837">
      <c r="A6837" t="inlineStr">
        <is>
          <t>発行</t>
        </is>
      </c>
      <c r="B6837" t="inlineStr">
        <is>
          <t>成功</t>
        </is>
      </c>
      <c r="C6837" t="inlineStr">
        <is>
          <t>読み方：はっこう
［名］(スル)
１図書・新聞・雑誌などを印刷して、世に出すこと。「週刊誌を—する」
２紙幣・債券・証明書・定期券・入場券などを作って、通用させること。「旅券を—する」
３（「発向」とも書く）流行すること。
「その時分は、塩浜が—しやした」〈洒・古契三娼〉</t>
        </is>
      </c>
      <c r="D6837" t="inlineStr">
        <is>
          <t>発行する(11%)；発行される(5%)；発行底本(3%)；発行初出(3%)；発行元</t>
        </is>
      </c>
      <c r="E6837" t="inlineStr">
        <is>
          <t>発表；出す；出版；リリース；執筆</t>
        </is>
      </c>
      <c r="F6837" t="inlineStr">
        <is>
          <t>初版発行；再発行；新聞発行；整理券発行；毎年発行</t>
        </is>
      </c>
      <c r="G6837" t="inlineStr">
        <is>
          <t>発行人；発行者；発行禁止；発行済；発行済み株式</t>
        </is>
      </c>
      <c r="H6837" t="n">
        <v>29</v>
      </c>
      <c r="I6837" t="inlineStr">
        <is>
          <t>発行終了後の取り扱いなどの詳細は、項目があるものは該当項目を参照。；多くの場合、既にパズル誌を発行している会社が増刊の形で始めている。；なお、グリーン車の連結していない区間を含めて発行することができる。；有人宇宙飛行を描いた切手が発行されるのはこれが初めてのことであった。；練習飛行を始めるには航空身体検査のみで操縦練習許可証が発行される。；しかしこの時代から幕府の許可なく発行された民間の暦には記載されていた。；日本で発行されている切手には元号および西暦で発行年が記載されている。；日本では1982年12月に日本電信電話公社が発行・発売を開始した。；しかしが書いた他の人物に関する伝記を読んで、彼に発行の許可を与えた。；専門分野ごとに計39の分科会を持ち、それぞれに会誌を発行している。；紛失の場合と同様に新たな番号のカードへ切り替え再発行の依頼も検討する。；最初の新聞は1873年に発行され、今日では何百もの印刷所がある。；特に小型化した万延一分判は製造効率も低いためと思われ発行高は少ない。；都道府県委員会など地方組織の指導機関が編集・発行する地方機関紙もある。；この銅銭らの発行は発行の利益金などや財政権を取るための政府の意図があった。；また各中央銀行が発行を担当する額面の種類は4つを超えないとされている。；ほとんどの自社発行カードの利用限度額には一律に制限を設定していない。；以後このような名目貨幣が丁銀の発行・流通を凌駕するようになった。；現在中国で発行されている50元紙幣の裏面の図柄に採用されている。；ここでは単発・シリーズなど様々な形で発行された増刊号を紹介。；株主名簿とは、発行会社が株主を把握するために作成される名簿のこと。；この他に、かつては交通案内社などからも発行されていたが現在は廃刊となっている。；また 1904年に外国人向けに発行された写真集にもこの言葉が使われている。；現在、日本国内の会社からカード発行されていない、唯一の国際ブランドである。；写真制作のみならず、むしろ、写真クラブの活動や雑誌の編集・発行に力を入れた。；ヨーロッパでは、1805年に発行された書籍に紹介されている。；市の機関や委員会も、犯罪統計に解説を付けた公報を発行している。；ライトノベルレーベルから発行しており、アニメに関連した物が多い。；しかし、後に一号しか発行されず、雑誌としては事実上廃刊している。</t>
        </is>
      </c>
      <c r="J6837">
        <f>HYPERLINK("https://www.weblio.jp/content/発行", "词义详情")</f>
        <v/>
      </c>
      <c r="K6837">
        <f>HYPERLINK("https://yourei.jp/発行", "查看例句")</f>
        <v/>
      </c>
    </row>
    <row r="6838">
      <c r="A6838" t="inlineStr">
        <is>
          <t>発散</t>
        </is>
      </c>
      <c r="B6838" t="inlineStr">
        <is>
          <t>成功</t>
        </is>
      </c>
      <c r="C6838" t="inlineStr">
        <is>
          <t>読み方：はっさん
［名］(スル)
１内部にたまったものが外部へ散らばって出ること。また、外部へ散らばり出ること。「ストレスを—させる」
２一点から出た光が広がって進むこと。
３数学で、無限数列・無限級数や関数の値が、極限で有限値に近づかず、正あるいは負の無限大となるか、振動するかになること。⇔収束。</t>
        </is>
      </c>
      <c r="D6838" t="inlineStr">
        <is>
          <t>発散する(26%)；発散させる(5%)；発散される(3%)；発散物；発散型</t>
        </is>
      </c>
      <c r="E6838" t="inlineStr">
        <is>
          <t>広がる；分岐；放出；放つ；発する</t>
        </is>
      </c>
      <c r="F6838" t="inlineStr">
        <is>
          <t>紫外発散；向けて発散；発散項；発散方法；発散する匂い</t>
        </is>
      </c>
      <c r="G6838" t="inlineStr">
        <is>
          <t>発散型境界；発散定理；発散境界</t>
        </is>
      </c>
      <c r="H6838" t="n">
        <v>29</v>
      </c>
      <c r="I6838" t="inlineStr">
        <is>
          <t>それはさまざまの形をとり、さまざまの方向にむかって発散されてきた。；しかし、この間近に接してみると何か違う別の気の流れが発散していた。；強いて発散させようとすればその瞬間に消えてなくなってしまうのである。；第一、彼のからだからは発散するものがもう出尽したのではあるまいか。；すると途端にあらゆるものが彼の身内から発散してゆくように思われた。；彼らは戦争の中で自らの狂気を発散させ、中には正気に戻る者さえいる。；熱帯関連の軍帽は熱発散効果を狙って帽子の中に赤い布が貼ってあった。；こうした蔽いのために内部の熱は外に発散することができなくなった。；が、彼女の体温はその皮膚の外には全然発散されないものの様だつた。；このときになってようやく、男が発散する異様な雰囲気に気がついた。；標準的なニュートン法をその系に適用すると発散によりうまくいかない。；紫外発散が小さくなる他にも、超重力理論には以下のような特徴がある。；そしてかれがはやく怒りを発散させて出ていってくれないかと願っていた。；最大の根が ならば、 に収束することも無限大に発散することもない。；リランの身体から発散されている苛立ちが、肌に感じられるようだった。；この場合には、これらの発散する項を相殺させることで跡公式が得られる。；この時、 の が無限大に発散してしまうので、 でなければならない。；夢のごとき気を発散して、みる者をして恍惚とさせずにはおかないのです。；だいたい男の子の前で食い気ばかり発散しているのは無神経ではないか。；しかし時折こうしてなにかで発散させないと気が変になりそうなのだ。；次に、どのように発散するかを定量的に評価することを考えてみよう。；ストレスを発散するためか、神保は夜はほとんどアパートにいなかった。；そのことを自分でもよく知っていて女の匂いを発散している。；男のエネルギーを発散させて走り去る跡に、踏み潰されていく花は多い。；そして女の妙なたたずまいから発散する一種の陰性な気配に打たれた。；二十二人の人間が発散する熱が、どれくらいのものかはわかっている。；それが発散するとぼしい熱でも、凍ったガスを溶かすのには充分だった。；羽根に匂いはあったのか、それとも何かもっと微妙な発散物があったのか?；約半分は生理的に排泄され、残りは汗と息になって空気中に発散する。</t>
        </is>
      </c>
      <c r="J6838">
        <f>HYPERLINK("https://www.weblio.jp/content/発散", "词义详情")</f>
        <v/>
      </c>
      <c r="K6838">
        <f>HYPERLINK("https://yourei.jp/発散", "查看例句")</f>
        <v/>
      </c>
    </row>
    <row r="6839">
      <c r="A6839" t="inlineStr">
        <is>
          <t>発車</t>
        </is>
      </c>
      <c r="B6839" t="inlineStr">
        <is>
          <t>成功</t>
        </is>
      </c>
      <c r="C6839" t="inlineStr">
        <is>
          <t>読み方：はっしゃ
［名］(スル)汽車・電車・バスなどが出発すること。「定時に—する」</t>
        </is>
      </c>
      <c r="D6839" t="inlineStr">
        <is>
          <t>発車する(26%)；発車時刻(7%)；発車後(3%)；発車間際；発車前</t>
        </is>
      </c>
      <c r="E6839" t="inlineStr">
        <is>
          <t>出発；スタート；発する；発進；発つ</t>
        </is>
      </c>
      <c r="F6839" t="inlineStr">
        <is>
          <t>同時発車；列車発車；発車寸前；発車放送；発車式</t>
        </is>
      </c>
      <c r="G6839" t="inlineStr">
        <is>
          <t>発車標；発車ベル；発車案内；発車メロディー；発車オ〜ライネット</t>
        </is>
      </c>
      <c r="H6839" t="n">
        <v>29</v>
      </c>
      <c r="I6839" t="inlineStr">
        <is>
          <t>バスの発車直前まで、座席を無駄なく販売できるのが最大の特徴である。；そのため逆線発車ができず、完全に上下線別でホームが分けられている。；これに合わせたのか、特急は3番線から発車することが多くなっている。；なお、発車時刻の30分より前には携帯電話で表示させることはできない。；発車時間はほぼ正規便の発車時間に沿っている場合が多いようである。；発車時刻が近づくと一旦すべての客用ドアを開けた後客用ドアを閉めて出発する。；後続列車を先に発車させてしまった場合も同様の対応がとられる。；これにより下りホーム3番線から発車する上り方面の始発列車も増えた。；双方のホームともに列車入線時・発車時には注意アナウンスが流れる。；ただし、停車中放送・発車放送時のメロディはシステム更新時に廃止された。；この時刻が毎日の電車の発車時刻だとしたらとても重要だ。；また、最終バスも、大阪シティバスの中では遅い発車時刻となっている。；現在でも都電荒川線や阪堺電気軌道の全車両で発車時に聞くことができる。；同駅を発車すると高架線から電車庫に通じる線路が分かれて下っていく。；パリ発、トゥールーズ発とも夕方に発車し深夜に到着するダイヤであった。；始発営業列車が発車する前に御嵩行きの回送列車が2本当駅を通過する。；下りは上一洞方面への列車と馬川方面への列車が同じホームから発車する。；待避のない列車は通過待ちがなくすぐ発車する旨が放送される。；区間が非常に短いため、駅を発車してすぐに次の停車駅がアナウンスされる。；下記路線のうち発車場所と到着場所が異なる路線もある。；なお、列車や区間などの変更は券面の発車時刻前であれば1回に限りできる。；この他、ホームには電車が発車してから何分が経過したかをカウントする設備もある。；かつて存在した3番のりばは上下線双方向の入線・発車が可能であった。；この臨時特急は10両編成であるため、すべて2番線からの発車である。；運転手が一人で扉の開閉と発車を行うワンマン運転となっている。；使用されることはないが2番ホームから右回り方面へ発車することも可能である。；発車時は乗降扱い後に南縁の取り付け道路を経由し駅構内を出る。；それぞれ「愛」「平和」と書かれた場所からドドンパの車両を発車する。；ホームにも同様のものがあるが、発車時刻は表示されない。</t>
        </is>
      </c>
      <c r="J6839">
        <f>HYPERLINK("https://www.weblio.jp/content/発車", "词义详情")</f>
        <v/>
      </c>
      <c r="K6839">
        <f>HYPERLINK("https://yourei.jp/発車", "查看例句")</f>
        <v/>
      </c>
    </row>
    <row r="6840">
      <c r="A6840" t="inlineStr">
        <is>
          <t>発射</t>
        </is>
      </c>
      <c r="B6840" t="inlineStr">
        <is>
          <t>成功</t>
        </is>
      </c>
      <c r="C6840" t="inlineStr">
        <is>
          <t>読み方：はっしゃ
［名］(スル)弾丸やロケットなどを打ち出すこと。「魚雷を—する」</t>
        </is>
      </c>
      <c r="D6840" t="inlineStr">
        <is>
          <t>発射する(12%)；発射される(5%)；発射機(4%)；発射速度(3%)；発射管(3%)</t>
        </is>
      </c>
      <c r="E6840" t="inlineStr">
        <is>
          <t>スタート；射撃；放出；放つ；発する</t>
        </is>
      </c>
      <c r="F6840" t="inlineStr">
        <is>
          <t>発射筒；向けて発射；発射器；発射可能；魚雷発射</t>
        </is>
      </c>
      <c r="G6840" t="inlineStr">
        <is>
          <t>発射薬；発射場；発射体；発射基地；発射不能の銃</t>
        </is>
      </c>
      <c r="H6840" t="n">
        <v>29</v>
      </c>
      <c r="I6840" t="inlineStr">
        <is>
          <t>頭部に相当する部分には、上部ミサイル砲や上部光線砲の発射口がある。；一般的に発射台の構造は発射塔と発射炎を避けるための堀から構成される。；地球に到着したエリーは発射時刻から全く時が経っていないことに気づく。；発射から軌道到達に至るまでの過程では、深刻なトラブルが発生した。；ロケットの発射台と同じく、地上に設備を作ってそこから発射するもの。；砲弾は主にソリッドショットを発射するので弾着しても爆発はしない。；このため、初弾以降は次発を発射するためには約10分を必要とした。；航空機から発射され、航空機を攻撃するために用いられるロケット弾。；発射されると気球からは徐々に水素ガスが抜け、気球の高度は低下する。；飛行方向の制御から武器選択と発射まではスティック部でおこなえる。；これ以外に一発の大きな弾体を発射するスラッグ弾という弾種も発射できる。；発射地点から攻撃可能な目標地点までの最大距離が射程である。；現在では弾丸の発射とブローバックを一つの機構で行うものが主流。；発射が辺縁系に広がると複雑部分発作とくに自動症を伴うことになる。；初代と異なり光線は発射できないが、角を使った突進攻撃などを得意とする。；発射時のシャトルの構成は、おおまかに の三つの部分から構成されていた。；エネルギー源は原子爆弾であり、発射すると発射装置は爆発して失われる。；そのため、連続で発射する場合はコッキングと発射を繰り返すことになる。；特に落雷が起きる可能性がある場合には、シャトルは絶対に発射されない。；発射筒の横にあるのが照準器 前記第1世代を改良した誘導方式を採用。；加えて発射時の反動が大きいため砲口にマズルブレーキが追加された。；発射母機は終端誘導が開始された時点で回避行動に移る事ができる。；各方向に撃った弾が両方とも消滅しないと再発射できない。；また地上発射用の基地の建設も進められていた。；なので連続発射で確実に敵戦車を破壊するため、主砲を2門搭載した。；また、超短波以上の周波数で発射する送信所の多くは山に設置されている。；これは連発射撃時の発射速度を意図的に落とすための機構でもある。；てんかんとの関連がはっきりしないため良性てんかん型発射ともいう。；貫通弾は通常弾が画面内に2発存在するときにボタンを押すと発射される。</t>
        </is>
      </c>
      <c r="J6840">
        <f>HYPERLINK("https://www.weblio.jp/content/発射", "词义详情")</f>
        <v/>
      </c>
      <c r="K6840">
        <f>HYPERLINK("https://yourei.jp/発射", "查看例句")</f>
        <v/>
      </c>
    </row>
    <row r="6841">
      <c r="A6841" t="inlineStr">
        <is>
          <t>抜粋</t>
        </is>
      </c>
      <c r="B6841" t="inlineStr">
        <is>
          <t>成功</t>
        </is>
      </c>
      <c r="C6841" t="inlineStr">
        <is>
          <t>読み方：ばっすい
［名］(スル)書物や作品からすぐれた部分や必要な部分を抜き出すこと。また、そのもの。「要点を—する」</t>
        </is>
      </c>
      <c r="D6841" t="inlineStr">
        <is>
          <t>抜粋する(7%)；抜粋版；抜粋演奏；抜粋上演；抜粋引用</t>
        </is>
      </c>
      <c r="E6841" t="inlineStr">
        <is>
          <t>抄；鈔；抄録；抄出；抜萃</t>
        </is>
      </c>
      <c r="F6841" t="inlineStr">
        <is>
          <t>みを抜粋；短い抜粋</t>
        </is>
      </c>
      <c r="H6841" t="n">
        <v>29</v>
      </c>
      <c r="I6841" t="inlineStr">
        <is>
          <t>該当すると思われる箇所を抜粋しますので気になる方は修正してください。；各目には、諸々の書物から記事や文章を抜粋した上で分類排列している。；また儒教の経書の紹介、中国の各時代の文献の翻訳抜粋を収録している。；助言の抜粋が、訪問の際にヴァン・ダイクに与えたと記録がされている。；時間の関係もあり、ある一部を抜粋したものである、とのことだった。；フォーライフ時代のシングル及びアルバムからの抜粋曲で構成されている。；小説や連載のほかに、面白い引用、抜粋文、漫画なども掲載されていた。；いずれにしても以上の説明は、大学の学科紹介などからの抜粋である。；以下に、当レーベルよりリリースされた映画のタイトルを抜粋して記す。；以下の文は、フォレストが部下を前に行った別れの挨拶の抜粋である。；この映像はライブをただ抜粋したものではなく、物語風に語られる。；以下、同ソフトウェアに同梱されている文書から機能を抜粋して説明する。；ショスタコーヴィチも愛奏し、この曲集から抜粋を何度も録音している。；抜粋で食いつきの良いのはストコフスキーの指揮したビクターのだろう。；GMは、GSから他社と共有できる部分を抜粋し標準化したものである。；笑えと言ったり、隣人を何ちゃらせから何ちゃらを抜粋して言えときたり。；下記の表は異常発生から記録停止までを抜粋したものである。；その長大さと編成の大規模さのため、抜粋で演奏される場合もしばしばある。；上記のリストはシリーズ化するなどの主なゲーム実況タイトルを抜粋したもの。；以下はその後二十日間ほどの期間に、思いつきで記した日記の抜粋である。；彼の著書は、フランス語圏では抜粋、再編集されたものが何度か出版された。；以下に日本酒の記事より抜粋して、日本酒を燗した時に関連する用語を説明する。；他に、コンサートやスタジオ公演からもいくつか抜粋されている。；このころ一部の新聞は、榎津巌の家族が寄せた手記の抜粋を掲載していた。；参考文献3ページ右上に示された特許文書の抜粋図がその説明である。；メルクマニュアルに記述されている主な良性腫瘍を抜粋して次に示す。；熊野寮から公式に出ている声明文に書かれている主張からいくつか抜粋する。；今日では上演される機会は滅多にないが、いくつかの楽曲は抜粋して演奏される。；それ自体が当時のいくつもの記録の抜粋や引用でできあがっているからである。</t>
        </is>
      </c>
      <c r="J6841">
        <f>HYPERLINK("https://www.weblio.jp/content/抜粋", "词义详情")</f>
        <v/>
      </c>
      <c r="K6841">
        <f>HYPERLINK("https://yourei.jp/抜粋", "查看例句")</f>
        <v/>
      </c>
    </row>
    <row r="6842">
      <c r="A6842" t="inlineStr">
        <is>
          <t>発する</t>
        </is>
      </c>
      <c r="B6842" t="inlineStr">
        <is>
          <t>成功</t>
        </is>
      </c>
      <c r="C6842" t="inlineStr">
        <is>
          <t>読み方：はっする
［動サ変］［文］はっ・す［サ変］
１
㋐物事が起こる。生じる。また、始まる。「効力が—・する」「町の東端から山越えの街道が—・する」
㋑外に現れる。「酔いが—・する」
㋒出発する。「成田を—・してパリへ向かう」
２
㋐物事を起こす。生じさせる。「ささいな口論に端を—・した事件」「川がその源を—・する」
㋑気持ちや考えを外に現す。「怒りを—・する」「声明を—・する」
㋒出発させる。つかわす。「使いを—・して口上を述べさせる」
㋓打ち出す。勢いよく放つ。「矢を—・する」
㋔ひらく。あばく。
「凶年饑歳に倉庫を—・して流民を救うことは」〈田口・日本開化小史〉</t>
        </is>
      </c>
      <c r="D6842" t="inlineStr">
        <is>
          <t>発することなく；発する臭い</t>
        </is>
      </c>
      <c r="E6842" t="inlineStr">
        <is>
          <t>いう；くる；言う；開始；来る</t>
        </is>
      </c>
      <c r="H6842" t="n">
        <v>29</v>
      </c>
      <c r="I6842" t="inlineStr">
        <is>
          <t>観客が物語に盛り上がりを感じたり、感動を得たりした時に発せられる。；しかし、その猫は少女の膝の上に置かなければ答えを発せぬのである。；ある人はただ我慢してこの切なる要求を外に発せざるまでであります。；それも声を発せずに読むならばよいが大きな声で読むばかりじゃあない。；冒頭の編集句を除いて、言葉が発せられた状況の描写や解説は一切ない。；これ以上言葉を発すれば、彼女は容赦なく刃で真九郎の喉を貫くだろう。；最も痛烈な批判のいくつかは、商業的に成功したCPRから発せられた。；かくすればその晩か次の日か物を投げつけられたる家火を発せざることなし。；彼が現代の作曲科に関して好意的な言葉を発するのを聞いたことがない。；もはや死語となったような上品な表現の台詞が多く発せられるのも特徴。；入浴中、彼女はボイラー室から発せられたと思われる奇妙な音を聞いた。；それを聴いた者は、氷から発せられた名前の主を好きになってしまう。；まず藩内に藩主から領民にいたるまでを対象とする倹約令が発せられた。；故障で報時信号を発せられなかった場合は同信号旗 D が掲げられる。；島の住民の多くは避難命令が発せられた後も島から出ることを拒んだ。；言葉を発することはできないが、命令を理解する能力は持っている。；その時間に何処にいたかという質問が、関係者一同に発せられました。；独立宣言とは、独立の際に発せられる、自国が独立した旨の宣言である。；すぐSOS信号が発せられ、周辺海域にいた数隻の船がこれを受信した。；いったんこのことばを発すれば、あとは喧嘩にならないほうが不思議である。；シビレエイは強力な電気を発するため、これも扱いには注意が必要である。；その夢想は時として彼の口から不思議な言語を発せさせるのであった。；本作でも、幼子イエスが手にしているロウソクから光が発せられている。；勅令とは、天皇・皇帝・国王などの君主が直接発する命令・法令のこと。；その状態に陥った際に発せられるメッセージを指す場合もある。；口の開きをより大きくすると、無声の側面接近音を発することができる。；お前たちは確かに少しも怒りを発せずにゆるすべきであったのだ。；捕虜は警官らがはいってきてからは、一言をも発せず、じっと頭をたれていた。；緊急の際、法律事項について天皇が議会にかけずに発することができた。</t>
        </is>
      </c>
      <c r="J6842">
        <f>HYPERLINK("https://www.weblio.jp/content/発する", "词义详情")</f>
        <v/>
      </c>
      <c r="K6842">
        <f>HYPERLINK("https://yourei.jp/発する", "查看例句")</f>
        <v/>
      </c>
    </row>
    <row r="6843">
      <c r="A6843" t="inlineStr">
        <is>
          <t>罰する</t>
        </is>
      </c>
      <c r="B6843" t="inlineStr">
        <is>
          <t>成功</t>
        </is>
      </c>
      <c r="C6843" t="inlineStr">
        <is>
          <t>読み方：ばっする
［動サ変］［文］ばっ・す［サ変］罰を与える。処罰する。「違反者を—・する」</t>
        </is>
      </c>
      <c r="D6843" t="inlineStr">
        <is>
          <t>罰するべき；罰するべく；罰するよう頼ん</t>
        </is>
      </c>
      <c r="E6843" t="inlineStr">
        <is>
          <t>処分；処罰；懲罰；成敗；処する</t>
        </is>
      </c>
      <c r="F6843" t="inlineStr">
        <is>
          <t>厳しく罰する；もって罰する</t>
        </is>
      </c>
      <c r="H6843" t="n">
        <v>29</v>
      </c>
      <c r="I6843" t="inlineStr">
        <is>
          <t>彼を罰することができるならば、そんな必要はなかったはずじゃないか。；それを怒った国王はその国独自の処刑方法で若者を罰することにした。；露見すれば罰せられずにはすまない身であることも充分に承知している。；英国には覆面をして町を歩くと罰せられる町があると耳にしたことがある。；台湾の阿片令は私を罰するために存在しているのだとも思っておりません。；その罰せられたあたりの彼の女の行は決して賞揚すべきものではない。；たとえどのような理由があったにせよ、罰せられるだけのことをした。；それからもうひとつ言っておくがな、人間は自分で自分を罰するものだよ。；こうした一時のうぬぼれは、やがて二重に罰せられることになりました。；われわれはそのことで罰せられることになるのかとわたしは思った。；それに考えただけで罰せられるなら殆どの人間は罪人になってしまう。；だから俺がいま君を罰するのは、もっと大きい罰を防がんがためである。；あなたは法に違反したのであるから、それによって罰せられるであろう。；貴族は裁判抜きで罪を罰せられたり、牢に入れられることはなくなった。；神が死を定め給うたのは、生を罰するためでもなく、償うためでもない。；彼は成功した手術にたいして報酬を受けたが不成功の手術では罰せられた。；あの子はなくしたと言うと罰せられると思って、こわがっているんだろう。；それから、それにつづいて、そこで貪欲が罰せられていることを語った。；中世の初期には家父は子を殺したり譲渡しても罰せられることがなかった。；ここでは地域の農民の狩猟は禁止されており、密漁は厳しく罰せられた。；だが黙契を破っても責任を問われたり、罰せられたりすることはない。；かつ法律は悪人を罰する方に力あるも、善人を賞する方には不足である。；ただ罰することだけが犯罪の解決ではあるまいという気持が常に私にはあった。；おれのしたことが悪いのなら、はっきりけじめをつけて罰するがいい。；お咎めになるまでもなく、私自身かういふ点では十分に罰せられてゐる。；人を殺しても、こうすれば決して罰せられぬという事を宣伝して居るのです。；ただ罪を犯した者を罰するため、許しを与えたふりをしていたのだ。；結局のところ彼から被害を受けた人間こそ法に照らして彼を罰するべきなんだよ。；サーミ語を学校や教会等公共の場所で話すと罰せられるようになった。</t>
        </is>
      </c>
      <c r="J6843">
        <f>HYPERLINK("https://www.weblio.jp/content/罰する", "词义详情")</f>
        <v/>
      </c>
      <c r="K6843">
        <f>HYPERLINK("https://yourei.jp/罰する", "查看例句")</f>
        <v/>
      </c>
    </row>
    <row r="6844">
      <c r="A6844" t="inlineStr">
        <is>
          <t>発生</t>
        </is>
      </c>
      <c r="B6844" t="inlineStr">
        <is>
          <t>成功</t>
        </is>
      </c>
      <c r="C6844" t="inlineStr">
        <is>
          <t>読み方：はっせい
［名］(スル)
１物事が起こること。生じること。「熱が—する」「事件が—する」
２受精卵や胞子から、多細胞の高次な状態へ不可逆的に変化・発展すること。個体発生をさす。</t>
        </is>
      </c>
      <c r="D6844" t="inlineStr">
        <is>
          <t>発生する(22%)；発生源；発生しやすい；発生装置；発生直後</t>
        </is>
      </c>
      <c r="E6844" t="inlineStr">
        <is>
          <t>なる；くる；来る；出来；見える</t>
        </is>
      </c>
      <c r="F6844" t="inlineStr">
        <is>
          <t>事故発生；地震発生；火災発生；廃車発生；多数発生</t>
        </is>
      </c>
      <c r="G6844" t="inlineStr">
        <is>
          <t>発生時；発生学；発生原因；発生確率；発生数</t>
        </is>
      </c>
      <c r="H6844" t="n">
        <v>29</v>
      </c>
      <c r="I6844" t="inlineStr">
        <is>
          <t>こういった映像表現の発生した背景には、初期の写真技術があげられる。；夏には全州の半分以上に何らかの反乱がおき、首都でも衝突が発生した。；航空機の揚力発生等、流体機械の広い範囲でその特性が応用されている。；マップによっては移動中に敵モンスターとの戦闘が発生することがある。；すなわち量子力学的には電子の分布も揺らぎが発生することが期待される。；政権連立がよく発生し、一党政権は1989年を最後に存在していない。；春から夏にかけて海霧が発生しやすく、秋から冬にかけては晴天が続く。；雷を発生させる雲を雷雲と呼び、その時に雲は帯電状態となっている。；ただしその代わりに消費電力や発熱が大きくなるという問題も発生する。；しかし、一つの名前空間の中で同名の関数を定義すると問題が発生する。；この皇帝の時代に東西教会分裂につながる相互破門事件が発生している。；この地で発達した根底には一定の期間で発生するナイル川の洪水があった。；ただし、動物の行動や発生といった限定的なものはいくつか実験されている。；まれにこの演出すら発生しないまま商品購入状態の初期画面にされる場合もある。；電位差が発生した雲または大地などの間に発生する光と音を伴う放電現象。；これは「ソクラテス問題」として知られる一連の問題を発生させている。；連続して変化する絵や物により発生する仮現運動を利用した映像手法である。；あるアスペリティですべり欠損が破壊強度を超えた時に地震が発生する。；テレビでは事件発生直後から、さまざまな場所・方向から記録された映像が放送された。；この方式でも優先順位の逆転やデッドロックは発生する可能性がある。；設権証券とは権利の発生には証券の作成が要件となっている証券をいう。；一方、合計35回のUボートとの戦闘が発生し、多くの犠牲者も出した。；現在では新しいペンシルパズルの考案者に権利は発生しないと考えられている。；メインベルトにある小惑星発生には2つの要素が働いたと考えられる。；自動車の最初期の段階からすでに運転を誤る事故が発生した。；超短パルスレーザーによって結晶核を発生させる方法も開発されている。；病害虫はサクラの密集地では互いに伝染し、集団発生する可能性がある。；また約1000年前に、同様な大地震が発生していた可能性も指摘されている。；心臓は生命の維持に不可欠なので、発生の早い段階で中胚葉から形成される。</t>
        </is>
      </c>
      <c r="J6844">
        <f>HYPERLINK("https://www.weblio.jp/content/発生", "词义详情")</f>
        <v/>
      </c>
      <c r="K6844">
        <f>HYPERLINK("https://yourei.jp/発生", "查看例句")</f>
        <v/>
      </c>
    </row>
    <row r="6845">
      <c r="A6845" t="inlineStr">
        <is>
          <t>発想</t>
        </is>
      </c>
      <c r="B6845" t="inlineStr">
        <is>
          <t>成功</t>
        </is>
      </c>
      <c r="C6845" t="inlineStr">
        <is>
          <t>読み方：はっそう
［名］(スル)
１物事を考え出すこと。新しい考えや思いつきを得ること。また、その方法や、内容。「—を切り換える」「先入観を捨てて—する」
２芸術作品など、表現のもとになる考えを得ること。「現実の事件から—した小説」
３音楽で、楽曲のもつ気分や情緒を緩急・強弱などによって表現すること。</t>
        </is>
      </c>
      <c r="D6845" t="inlineStr">
        <is>
          <t>発想自体；発想そのもの；発想法；発想力；発想源</t>
        </is>
      </c>
      <c r="E6845" t="inlineStr">
        <is>
          <t>表現；考える；現れ；表示；表明</t>
        </is>
      </c>
      <c r="F6845" t="inlineStr">
        <is>
          <t>新しい発想；同じ発想；そういう発想；柔軟な発想；斬新な発想</t>
        </is>
      </c>
      <c r="G6845" t="inlineStr">
        <is>
          <t>発想の転換；発想力；発想記号</t>
        </is>
      </c>
      <c r="H6845" t="n">
        <v>29</v>
      </c>
      <c r="I6845" t="inlineStr">
        <is>
          <t>大胆な発想に一同驚いていたところに偶然にも近藤本人が通りかかった。；これらは具体的な内容としてはヘッケルが認めたものと似た発想である。；これら一つ一つが各参加者の自由な発想から生まれた自己表現の手段である。；このような仙薬の話が、若返りの薬の発想の由来となったとも見られる。；従来の伝統にこだわらない新しい発想による曲も数多く発表されている。；この表現の発想をしたのはその回の絵コンテと演出を担当した今川である。；そのためには、それこそが我らの仕事だと発想できるような組織が必要だ。；設定の矛盾をものともしない展開と飛びぬけた発想を身上としている。；こうした発想は当時の対中国観の主流であり、孫文などもそう考えていた。；発想そのものは新自由主義経済派の小さな政府論より発したものである。；鈴木の影響下にない企業などでも似たような発想をする企業は多い。；それに限界が生じたため、交通の需要側からの対応という発想が生まれた。；ベームの仕事は1831年にロンドンで開かれた演奏会から発想を得た。；この名の由来は自由にバリエーションを設けて良いという発想からである。；その独自の企画発想法やマーケティング理論で業界内外の注目を集める。；どちらもクライトンの背が非常に高いことから発想したペンネームだった。；この発想は、チベット仏教が対中国的に自らの権威を強調するのに利用された。；主題の順番を逆にして再現する発想は第6交響曲の終楽章にも現れている。；この事件ではすぐに逮捕されたものの計画性や発想が三億円事件と類似するものであった。；見た目の発想は忍者をオートバイに乗せて子供受けを狙ったとのこと。；この発想は、現在のシティサイクルの低床型フレームに影響を与えている。；現代では、対位法的発想は以前とは全く異なった形で現れている。；それを武器に用いると言う発想は至極自然な物だっただろう。；性は淫らなもの=悪という発想から、女性は貧弱な肉体の方が尊ばれた。；以上の発想は現在の日琉祖語の理論でもある程度使われている。；もう生物じゃありませんよ、発想が武器から入っているから。；日本で言えば、文学作品から採用された「踊り子号」と近い発想である。；代表的な用途を以下に挙げるが、これ以外にも発想しだいで無限の用途がある。；この発想は何人かの作家によって繰り返し用いられ、拡張された。</t>
        </is>
      </c>
      <c r="J6845">
        <f>HYPERLINK("https://www.weblio.jp/content/発想", "词义详情")</f>
        <v/>
      </c>
      <c r="K6845">
        <f>HYPERLINK("https://yourei.jp/発想", "查看例句")</f>
        <v/>
      </c>
    </row>
    <row r="6846">
      <c r="A6846" t="inlineStr">
        <is>
          <t>発達</t>
        </is>
      </c>
      <c r="B6846" t="inlineStr">
        <is>
          <t>成功</t>
        </is>
      </c>
      <c r="C6846" t="inlineStr">
        <is>
          <t>読み方：はったつ
［名］(スル)
１からだ・精神などが成長して、より完全な形態や機能をもつようになること。「心身が—する」
２そのものの機能がより高度に発揮されるようになること。「文明が—する」「交通機関が—する」
３そのものの規模がしだいに大きくなること。「—した低気圧」
[用法]発達・発展——「最近急速に発達（発展）した都市」「文化の発達（発展）」など、規模が大きくなったり、高い程度に進んだりする意では相通じて用いられる。◇「発達」は成長してより完成した状態に近づく意。「心身の発達」「嗅覚(きゅうかく)の発達した犬」「発達した低気圧」など、生物の身体や器官の機能、自然現象については「発達」を使う。◇「発展」は物事の勢いや力などが増し広がっていく意。「会社の発展に尽力する」「御発展を祈ります」「事件は意外な方向に発展した」などでは「発展」を使う。◇類似の語「進歩」は、すぐれた段階、状態になること。「学業に進歩の跡がある」「めざましい科学の進歩」のように質に重点があり、「進歩発展する」と重ねて使うこともある。</t>
        </is>
      </c>
      <c r="D6846" t="inlineStr">
        <is>
          <t>発達する(8%)；発達過程；発達史；発達すれ；発達障害児</t>
        </is>
      </c>
      <c r="E6846" t="inlineStr">
        <is>
          <t>なる；開発；発生；展開；発展</t>
        </is>
      </c>
      <c r="F6846" t="inlineStr">
        <is>
          <t>大きく発達；健全な発達；長く発達；著しく発達；進歩発達</t>
        </is>
      </c>
      <c r="G6846" t="inlineStr">
        <is>
          <t>発達段階；発達心理学；発達障害者；発達心理学者；発達障がい</t>
        </is>
      </c>
      <c r="H6846" t="n">
        <v>29</v>
      </c>
      <c r="I6846" t="inlineStr">
        <is>
          <t>形状が日本列島に似ており、独自の文化が発達しているといわれている。；また、ベラルーシ内の地域ごとに特別なデザインの模様が発達している。；最近のニューロイメージングの中でも最も発達した手法の一つである。；しかし、英米法では裁判所自身に規則制定権を認める制度が発達してきた。；地球の公転を基礎に置く太陽暦を発達させた古代文明にエジプトがある。；花床がやわらかく発達して食べられるようになるイヌマキなどの例がある。；ただし乾燥した地中海沿岸では、古くから森林の発達は限定的であった。；しかし、特定の現象が特によく発達しているものを選ぶ、と云う場合もある。；彼らの中には、特殊な戦闘技術を発達させ、忍者集団となったものもいる。；技術の発達に伴い製造されるようになった、比較的新しいリキュール。；イラクは鉄道が発達しており、国内の主要都市すべてが鉄道で結ばれている。；これらの言語がどの時代にどこから入ってきてどのように発達したのかは大きな謎である。；この地で発達した根底には一定の期間で発生するナイル川の洪水があった。；数々の玩具は、発育や様々な機能の発達に刺激を与える重要な道具である。；しかし、ケーブルテレビが発達して間もない時期は、局数が少なかった。；更に言えば、かまどの発達は文明の発達に大きく寄与したとも考えられる。；粕取り焼酎は九州北部を中心に発達し、全国の清酒蔵で製造されている。；日本やスイスのように鉄道網が発達している国ではこの比率が高い。；古代以来の各時代や社会と建築の関係、工法の発達などを研究する。；これが特に発達した動物の細胞では、細胞骨格が各細胞の形を決定づける。；構造力学分野で発達し、他の分野でも広く使われている手法である。；その周辺には、餌を取り込むための筋肉が発達しているのが通例である。；乱層雲が発達し、ある程度連続した雨が降りやすいが、その降り方は弱い。；そのためバスが主要な交通手段として発達しており、運行本数が多い。；このような異常は、神経の発達にさえ影響を与えることもある。；右から左につづけて書かれ、前後とつなげるための結合形が発達している。；現在中東と呼ばれている地域は地球上でもっとも古くから文明の発達した土地である。；公共交通機関の発達していない田舎などでは特に一人当たりの所有率が一般的に高い。；気象業務の健全な発達を図ることを任務とする国土交通省の外局である。</t>
        </is>
      </c>
      <c r="J6846">
        <f>HYPERLINK("https://www.weblio.jp/content/発達", "词义详情")</f>
        <v/>
      </c>
      <c r="K6846">
        <f>HYPERLINK("https://yourei.jp/発達", "查看例句")</f>
        <v/>
      </c>
    </row>
    <row r="6847">
      <c r="A6847" t="inlineStr">
        <is>
          <t>ばったり</t>
        </is>
      </c>
      <c r="B6847" t="inlineStr">
        <is>
          <t>成功</t>
        </is>
      </c>
      <c r="C6847" t="inlineStr">
        <is>
          <t>［副］
１勢いよく倒れたり落ちたりするさま。ばたり。「疲れきって—（と）倒れる」
２思いがけなく人に出会うさま。「旧友と—（と）顔を合わせる」
３続いていた物事が急に途絶えるさま。「人通りが—（と）とぎれる」</t>
        </is>
      </c>
      <c r="D6847" t="inlineStr">
        <is>
          <t>ばったり倒れ(9%)；ばったりと倒れ(4%)；ばったり出くわし(3%)；ばったり会う；ばったり出会う</t>
        </is>
      </c>
      <c r="E6847" t="inlineStr">
        <is>
          <t>思いがけず；出逢う；邂逅する；めぐり合う；劇的な再会</t>
        </is>
      </c>
      <c r="F6847" t="inlineStr">
        <is>
          <t>あたりばったり；ばったり会い；そのままばったり；途中でばったり；手当りばったり</t>
        </is>
      </c>
      <c r="H6847" t="n">
        <v>29</v>
      </c>
      <c r="I6847" t="inlineStr">
        <is>
          <t>それで山でばったり出くわした鍵蔵に、連れてってくれと頼んだんだよ。；彼が研修医をしている病院に偶然のふりをして訪ね、ばったりと会った。；夜中だというのに、たまたま帰ってきたその子とばったり顔を合わせた。；彼女が結婚してから十日目に私は歩道でばったりと出会ったことがある。；かなり大仕掛けな機械だが、行き当たりばったりで細菌を製造する機械。；こんなところを歩いていて、ばったりあいつに会ったりしたら嫌だな。；その隣のやつとばったり道で会ったりしたときに、どんな話をしたらいいか。；周囲を見回した瞬間、やはり驚いている融とばったり目が合ったことも。；最も私の心を打ったのは、正にその行き当たりばったりの偶然性だった。；相手は金を持ち逃げしたが、その弟とばったりここで顔を合わせたという。；それが、いったいどうしたことか、こんな夜の浜辺でばったり出会った。；私が、途中で廊下に出ると、いつかの刑事にばったりと顔を合わせた。；計画もなにもない、行き当たりばったりだったにしては上々の結果だろう。；麹町の近所にあるスタジオの前で、ばったり会って挨拶しただけだっての。；河までの道のりを半分ほど過ぎたとき、突然一人の男とばったり出会った。；彼女とばったり出会うなんて、なんと幸先がいいんだろうと彼は思った。；おかげでこれからは、ゆきあたりばったり誰にでも手を出すこともあるめえ。；しかしこういうときに限って知り合いの奥さんにばったり会ってしまう。；トンネルはよほど高くなって、間もなくばったりと行き止まりになった。；星野の奥さんが、ばったり倒れて、私は、死んだのかと思いましたねえ。；ところが、昨日、偶然にもほかの村にいく道でばったり彼に出会った。；ばったり出会ったといっても、わたしは張さんを知っているわけではない。；道ゆく人もまれになり、まもなく、ばったり人影はなくなってしまった。；いつどこでばったり会っても彼が驚かないことは私の不思議なことのひとつだ。；小生は町でばったり出会ったので、今夜食事をともにすることにした。；冷気が背後で動くにつれ、彼は手を狂気のように上げばったりと倒れた。；ストーブが赤々と燃えていて、その傍に敬二郎がばったりと倒れていた。；遊山に出かけた先でばったり出会った、などと説明するよりはずっといい。；が、どうしたものか足を滑らせると、夫人はばったり床に倒れてしまった。</t>
        </is>
      </c>
      <c r="J6847">
        <f>HYPERLINK("https://www.weblio.jp/content/ばったり", "词义详情")</f>
        <v/>
      </c>
      <c r="K6847">
        <f>HYPERLINK("https://yourei.jp/ばったり", "查看例句")</f>
        <v/>
      </c>
    </row>
    <row r="6848">
      <c r="A6848" t="inlineStr">
        <is>
          <t>発注</t>
        </is>
      </c>
      <c r="B6848" t="inlineStr">
        <is>
          <t>成功</t>
        </is>
      </c>
      <c r="C6848" t="inlineStr">
        <is>
          <t>読み方：はっちゅう
［名］(スル)注文を出すこと。「必要な備品を—する」⇔受注。</t>
        </is>
      </c>
      <c r="D6848" t="inlineStr">
        <is>
          <t>発注車；発注分；発注書；発注先；発注元</t>
        </is>
      </c>
      <c r="F6848" t="inlineStr">
        <is>
          <t>追加発注；機発注；大量発注；建造発注；一括発注</t>
        </is>
      </c>
      <c r="G6848" t="inlineStr">
        <is>
          <t>発注側；発注管理</t>
        </is>
      </c>
      <c r="H6848" t="n">
        <v>29</v>
      </c>
      <c r="I6848" t="inlineStr">
        <is>
          <t>しかし、予算上の問題から第3グループの発注は行なわれずに終わった。；顧客は発注をしない代わりに情報をサプライヤーと共有する必要がある。；また、近年は美術背景も海外の会社に発注することも多くなってきた。；制作側ではより賃金の低い中国や韓国に作業を発注するようになった。；改名は新しい便箋を発注する際など都合のよい時になされるべきだと言う。；アメリカのパンアメリカン航空が6機の発注を行い、生産が開始された。；本形式は1930年度に発注された17両のみで製造終了となった。；JR東日本からの譲受車と転換開業時に各社が発注した新製車がある。；次第に頑丈な機体であることが認知されるに連れて発注が増加した。；このような発注先の工事業者を指定工事店、もしくは指定工事業者という。；ゼーフントを生産する最初の発注が1944年7月30日に契約された。；一度の大量発注による製造・販売・輸送コストの削減などが行われる。；PRRが発注する機関車が非常に多かったために、外部のメーカーも利用された。；イタリアのカロッツェリアにメカ・デザインが発注されたとする文献もある。；さらに数千機の発注があったのだが、8月の終戦時点で基本的に生産は終了した。；また、業者に直接発注する事も可能で、1缶単位などでレンタルできる。；テーブル自体は、大道具担当ではなく家具メーカーに発注し作られた。；一部中古車での導入となっているものの、メインは自社発注車となっている。；開業時期を左右すると考えられた長大トンネルは真っ先に工事の発注が行われた。；当時、新戦闘機と偵察機の発注は、両方ともある程度検討中だったためである。；中国やインドなどの国が興味を示しているものの発注を受けておらず、建造された艦は1隻もない。；この場所で合意形成された取引は、ToSTNeT市場で発注・約定される。；陸軍航空軍ではテスト用に1942年に25機の発注を行った。；制作下請け発注の他、韓国での放送も視野に入れた作品の共同制作を行った。；急に大量発注され、そこへ国際カルテルが便乗し、キニーネは暴騰した。；主要メーカーに総計 409両の前例のない大量が緊急に発注された。；他のJRバスとの同一仕様車両による共同発注も実施している。；その結果は前述のように販売店の損得勘定による過剰発注で裏切られた。；オスマン帝国はイギリスの民間軍事企業にの建造を発注する。</t>
        </is>
      </c>
      <c r="J6848">
        <f>HYPERLINK("https://www.weblio.jp/content/発注", "词义详情")</f>
        <v/>
      </c>
      <c r="K6848">
        <f>HYPERLINK("https://yourei.jp/発注", "查看例句")</f>
        <v/>
      </c>
    </row>
    <row r="6849">
      <c r="A6849" t="inlineStr">
        <is>
          <t>発展</t>
        </is>
      </c>
      <c r="B6849" t="inlineStr">
        <is>
          <t>成功</t>
        </is>
      </c>
      <c r="C6849" t="inlineStr">
        <is>
          <t>読み方：はってん
［名］(スル)
１物事の勢いなどが伸び広がって盛んになること。物事が、より進んだ段階に移っていくこと。「経済が—する」「大事件に—する」
２色事や遊蕩(ゆうとう)において、積極的に活動すること。「だいぶご—のようですね」
→発達［用法］</t>
        </is>
      </c>
      <c r="D6849" t="inlineStr">
        <is>
          <t>発展する(7%)；発展させる(2%)；発展型；発展途上；発展形</t>
        </is>
      </c>
      <c r="E6849" t="inlineStr">
        <is>
          <t>なる；開発；発生；成功；展開</t>
        </is>
      </c>
      <c r="F6849" t="inlineStr">
        <is>
          <t>急速な発展；健全な発展；産業発展；経済的発展；歴史的発展</t>
        </is>
      </c>
      <c r="G6849" t="inlineStr">
        <is>
          <t>発展性；発展的解消；発展場；発展段階論；発展型使い捨てロケット</t>
        </is>
      </c>
      <c r="H6849" t="n">
        <v>29</v>
      </c>
      <c r="I6849" t="inlineStr">
        <is>
          <t>同じ報告では最終的な決定は国家発展開発委員会に委ねられたとされる。；周が混乱の時代を迎えると、漢字は各地で独自の発展をすることになる。；用語「ヨーロッパ」は、歴史が展開する中で使われ方が様々に発展した。；この未来仏の概念は過去七仏から発展して生まれたものと考えられている。；何百万人もの農民が工業化された都市に移動し、国は急速に発展した。；クラブの発展に貢献した人物を顕彰するために設けられた賞である。；会が発展するに伴ってイエズス会の活動分野は三つに絞られていった。；またこの絵にみられる実験や観察は医学に大きな発展をもたらした。；にまとめられた彼らの詩はその後ヴィシュヌ派の重要な聖典へと発展する。；フランシス・ベーコンは知識獲得の方法の発展に重大な貢献をした。；これはClascalの言語仕様を整理・発展させたものである。；しかしこれはフランス音楽の発展に大きな役割を果たした。；州経済の発展は都市スプロール現象とそれに付随する兆候を生んできた。；そこではV2ロケットの発展型であるA8の開発と量産が予定された。；また、個々の文字体系の中でも、さまざまな造字手法を発展させてきた。；新王国期には、この出来事がエジプトの生命と時間の概念の複雑な象徴へと発展した。；しかし安治川沿いの発展には時間の猶予は許されないという事情もあった。；街の入り口付近に商業施設が開業するなど、今後の発展が期待される。；このままではヨルダンとシリアの戦争に発展してしまうことは明らかであった。；こういった機能は後のデジタルカメラの閲覧ソフトに継承され発展していった。；現在ではマンションなどの建設も進み住宅街としても発展している。；それを土台にベートーヴェンがさらに豊かにその様式を発展させた。；この王のもと吐蕃はチベットを統一し唐に倣った律令体制を発展させた。；この特徴は、他の地域に伝承され発展した仏教には見受けにくい。；こうして、いくつかの古代ゲームが各地で発展して様々な伝統ゲームが生まれていった。；待ち受けアプリに設定すれば、眺めているだけで街が発展していく。；文明の発展に伴い、社会にもさまざまな事件やできごとを記録するようになった。；これは経済成長や産業の発展による化石燃料の増加と軌を一にしている。；前者は初期の浄土教思想、後者は後期の発展した浄土教思想を示すとされる。</t>
        </is>
      </c>
      <c r="J6849">
        <f>HYPERLINK("https://www.weblio.jp/content/発展", "词义详情")</f>
        <v/>
      </c>
      <c r="K6849">
        <f>HYPERLINK("https://yourei.jp/発展", "查看例句")</f>
        <v/>
      </c>
    </row>
    <row r="6850">
      <c r="A6850" t="inlineStr">
        <is>
          <t>発電</t>
        </is>
      </c>
      <c r="B6850" t="inlineStr">
        <is>
          <t>成功</t>
        </is>
      </c>
      <c r="C6850" t="inlineStr">
        <is>
          <t>読み方：はつでん
［名］(スル)電気を起こすこと。熱機関などにより発電機を回転させ、電力を発生させること。火力・水力・原子力・風力・潮力・地熱などが利用される。</t>
        </is>
      </c>
      <c r="D6850" t="inlineStr">
        <is>
          <t>発電所(29%)；発電機(9%)；発電用(6%)；発電量(5%)；発電能力(2%)</t>
        </is>
      </c>
      <c r="E6850" t="inlineStr">
        <is>
          <t>発生</t>
        </is>
      </c>
      <c r="F6850" t="inlineStr">
        <is>
          <t>第一発電；ディーゼル発電；第三発電；両発電；本発電</t>
        </is>
      </c>
      <c r="G6850" t="inlineStr">
        <is>
          <t>発電機；発電ブレーキ；発電事業；発電設備；発電装置</t>
        </is>
      </c>
      <c r="H6850" t="n">
        <v>29</v>
      </c>
      <c r="I6850" t="inlineStr">
        <is>
          <t>そして各需要家に発電所から電気を供給するためのシステムを構築した。；町の中央部を南北に小丸川が流れ、複数の発電用ダムが建設されている。；大規模な発電に使用されているエネルギー源には以下のようなものがある。；なお瀬戸第二発電所はこの協議に定められた期日どおりに完成している。；電源は主鏡の両脇に設置された太陽電池パネルを用いて発電されている。；運動以外のエネルギーを電力に変換する発電には以下のようなものがある。；このため当初洪水調節が主目的であった田瀬ダムは発電目的が追加された。；梓川の水は、発電用と、農業用灌漑のために、古くから用いられてきた。；また需要に対して発電量が不足する場合は、他の電源に頼ることになる。；また、大きな動物が体に触れたときも発電して麻痺させ、その間に逃げる。；現在のの大部分は化石燃料で交通と発電は大半が化石燃料に依存する。；国内ではメガソーラーなどの大規模発電に適した土地が少なくなっている。；そのため、ディーゼル発電などが主になるが環境や費用の高さが問題となる。；飛騨川第一・飛騨川第二・飛騨川第三の三発電所を建設する計画を立てた。；ただし電気式の場合は発電してその電力で電気車と同様の機構を駆動する。；一連の統合により、発電専業の特定電気供給事業を含めて統合が完了した。；発電に使用した水を元に戻しても、水流や水質の変化が発生するためである。；また、太陽光のみの充電であれば発電時に二酸化炭素を出すこともない。；発電用蒸気タービンには大きく分けて火力発電用と原子力発電用がある。；発電とは、運動エネルギーなどを利用して、電気を発生させることをいう。；五郎が清水の提案した糞で発電する装置の設計をしているとシュウが現れる。；目的の一つに発電があり、揚水発電用のダムとしても利用されている。；類似の発電システムには水以外の作動流体を用いたものも存在する。；このため、発電セットを持たないキハ66形のみで編成を組むことはない。；日本の発電用原子炉で主に使用されているのは、ジルコニウム合金である。；車体の上部には太陽電池パネルが装備され、太陽光による発電を行った。；発電に利用後灌漑用水として放流し越後平野に供給を行うことになった。；州内の発電量と消費量は国内でも高い方であり、石炭が主要燃料になっている。；初期の電話機も電源を必要とし、その場で発電するか電池を使用した。</t>
        </is>
      </c>
      <c r="J6850">
        <f>HYPERLINK("https://www.weblio.jp/content/発電", "词义详情")</f>
        <v/>
      </c>
      <c r="K6850">
        <f>HYPERLINK("https://yourei.jp/発電", "查看例句")</f>
        <v/>
      </c>
    </row>
    <row r="6851">
      <c r="A6851" t="inlineStr">
        <is>
          <t>発売</t>
        </is>
      </c>
      <c r="B6851" t="inlineStr">
        <is>
          <t>成功</t>
        </is>
      </c>
      <c r="C6851" t="inlineStr">
        <is>
          <t>読み方：はつばい
［名］(スル)商品を売り出すこと。「新製品を—する」「本日—」</t>
        </is>
      </c>
      <c r="D6851" t="inlineStr">
        <is>
          <t>発売後；発売当初；発売当時；発売直後；発売所</t>
        </is>
      </c>
      <c r="F6851" t="inlineStr">
        <is>
          <t>再発売；本作発売；アルバム発売；場外発売；シングル発売</t>
        </is>
      </c>
      <c r="G6851" t="inlineStr">
        <is>
          <t>発売元；発売前；発売予定；発売開始；発売中止</t>
        </is>
      </c>
      <c r="H6851" t="n">
        <v>29</v>
      </c>
      <c r="I6851" t="inlineStr">
        <is>
          <t>日本国内ではキングレコードから以下の収録メディアが発売されている。；米国では光線銃と対応ソフトが本体と同梱されたセット等も発売された。；さらに追加の開発キットも発売され、より高度な開発環境も提供された。；そのため、同じアーキテクチャの製品が複数のメーカーから発売された。；また発売された作品もゲーム性の低いマルチメディア作品が大半である。；ほぼ完成していたとされるが、それを発売中止にしての正式発売となった。；このような駅の場合、JRの乗車券類の発売に制限が生じる場合がある。；エニックスから発売された最後のスーパーファミコン用ソフトとなった。；デフォルトでの表記は作品毎にまとめてオリジナルの発売順とした。；発売当時から2019年までという仕様だったことが指摘されている。；その後1997年にはドライブを搭載したデジタルカメラも発売された。；なお、任天堂のファミリーコンピュータも全く同じ日に発売されている。；以下は、国産品の発売年が分かるものについては発売年を参考に分けた。；日本では1982年12月に日本電信電話公社が発行・発売を開始した。；ゴジラを題材とした玩具、書籍、映像・音楽媒体は多数発売されてきた。；但し発売から相当年数経過の作品では対応していないため注意が必要であった。；しかしボタンを多用するようなゲーム性の作品はほとんど発売されなかった。；近年では腕時計型やハードディスクを搭載した機種も発売されている。；既に対応機器の発売は終了しており、AVCRECに移行している。；しかし一般的になったのはライカの発売によるとされている。；このシリーズ以降、FOMA発売以来使われてきた初代ロゴが無くなる。；発売は、新しい商品の販売活動を開始する際によく使われる。；公式ではこの拡張端子を使った周辺機は発売されていない。；金曜日に肉を食べないカトリック教徒向けに1963年に発売開始された。；この種の楽曲集は以後の特撮ヒーロー番組でも発売される定番アイテムとなった。；アメリカ・日本のみで発売されたシングルも含む。；その後ボタン数を変えたものが発売されている。；米国で発売した最初の3枚のアルバムは合計で6万枚を売り上げた。；本券はみどりの窓口が設置されていない駅で発売される事例が多いが例外もあった。</t>
        </is>
      </c>
      <c r="J6851">
        <f>HYPERLINK("https://www.weblio.jp/content/発売", "词义详情")</f>
        <v/>
      </c>
      <c r="K6851">
        <f>HYPERLINK("https://yourei.jp/発売", "查看例句")</f>
        <v/>
      </c>
    </row>
    <row r="6852">
      <c r="A6852" t="inlineStr">
        <is>
          <t>発病</t>
        </is>
      </c>
      <c r="B6852" t="inlineStr">
        <is>
          <t>成功</t>
        </is>
      </c>
      <c r="C6852" t="inlineStr">
        <is>
          <t>読み方：はつびょう
［名］(スル)病気が起こること。病気になること。「過労がもとで—する」「—率」</t>
        </is>
      </c>
      <c r="D6852" t="inlineStr">
        <is>
          <t>発病する(11%)；発病後(3%)；発病以来；発病者；発病前</t>
        </is>
      </c>
      <c r="E6852" t="inlineStr">
        <is>
          <t>病む；仆れる</t>
        </is>
      </c>
      <c r="F6852" t="inlineStr">
        <is>
          <t>肺結核発病；発病株；発病する可能性</t>
        </is>
      </c>
      <c r="H6852" t="n">
        <v>29</v>
      </c>
      <c r="I6852" t="inlineStr">
        <is>
          <t>帰りに発病してパドヴァに召喚される直前に死亡したとのことであった。；いま考えてみると、彼の病気はかなり早くに発病していたと思うんですよ。；これは発病者であって、いわゆるキャリアと呼ばれる感染者は別である。；突然の発病に死ぬほど苦しんだのは愛情深い両親の方だったといえる。；彼女が小包のことを知ったのと発病の時とが一致しているのでそれはわかる。；これを見て涙を流さぬ者はおらず、石虎はこれにより発病してしまった。；克彦の発病から一年たった秋、二人の結婚式が明子の教会で挙げられた。；シャーガス病はすぐには発病せず、長いときは十数年の潜伏期間がある。；父が発病してからというもの、私はどんなに夫の不在を呪ったであろう。；発病したとて戦さを休むような彼ではないし、まだ休んだこともない。；しかし私は私の発病以来、病気は医者任せ、運は天任せ、と心に決めた。；発病した日から二十日の日が経ったが、モイラの熱は下がらなかった。；おっしゃる通り、病を持っていても発病しない獣というのがいるのですよ。；リーリンは、いくつかの脳の疾患の発病に関わっていると指摘されている。；仲間は次々と倒れ、その看護に追われた親父とお袋もすぐに発病した。；手術が成功しても、ニコンが発病前と同じ役職に耐えられるとは思えない。；ハンセン病への暴露が濃厚であったからハンセン病を発病したのでない。；わたしは四歳か五歳になっていたが、父が発病したのはいつごろだったのだろう。；それは発病の日に署長室で聞いて、ひどいショックを受けたせいだよ。；一歳以降に発病することもないわけやありませんが、きわめて稀です。；発病してから、身体の痛みを和らげる器具をいくつか発明し製作している。；八月二十四日であったというから、発病から一月と二三日立った時である。；彼は発病以来の日々を振り返りながら、動物小屋の方へ足を向けた。；日本と韓国は発病率が高いため胃がんスクリーニングが行われている。；外感病の初期でよく見られ、発病が急で変化が早く、病程が短い。；運が悪いとは、楽しみにしていた旅行の当日に、発病してしまうことなどを指す。；過労は発病を誘発した重要な引き金になっている、との意見書を書いた。；ここの連中は、あたしたちが発病するのを待ってるだけなのよ。；発病前までは、順位戦だけは別、との雰囲気があったが、今はそれがない。</t>
        </is>
      </c>
      <c r="J6852">
        <f>HYPERLINK("https://www.weblio.jp/content/発病", "词义详情")</f>
        <v/>
      </c>
      <c r="K6852">
        <f>HYPERLINK("https://yourei.jp/発病", "查看例句")</f>
        <v/>
      </c>
    </row>
    <row r="6853">
      <c r="A6853" t="inlineStr">
        <is>
          <t>発表</t>
        </is>
      </c>
      <c r="B6853" t="inlineStr">
        <is>
          <t>成功</t>
        </is>
      </c>
      <c r="C6853" t="inlineStr">
        <is>
          <t>読み方：はっぴょう
［名］(スル)世間一般に知らせること。表向きに知らせること。また、その知らせ。「新製品を—する」「小説を—する」「研究—」</t>
        </is>
      </c>
      <c r="D6853" t="inlineStr">
        <is>
          <t>発表当時；発表当初；発表会；発表直後；発表時点</t>
        </is>
      </c>
      <c r="E6853" t="inlineStr">
        <is>
          <t>出版；発行；掲載；表示；リリース</t>
        </is>
      </c>
      <c r="F6853" t="inlineStr">
        <is>
          <t>公式発表；多数発表；正式発表；制作発表；次々と発表</t>
        </is>
      </c>
      <c r="G6853" t="inlineStr">
        <is>
          <t>発表後；発表前；発表会見；発表曲；発表報道</t>
        </is>
      </c>
      <c r="H6853" t="n">
        <v>29</v>
      </c>
      <c r="I6853" t="inlineStr">
        <is>
          <t>映画公開後に発表された小説は、脚本と同時進行で書かれた部分もある。；ただし2007年には両メディアに対応する再生機種も発表されている。；学校や兵舎でも公式な告知や発表文でも広く使われて周知されていった。；加えて前衛的なロックアーティストも芸術音楽のアルバムを発表した。；前述の通り型番変更が発表されたため、旧型番最後のシリーズとなった。；ジャズ業界の知識を援用して音楽方面に取材した作品を複数発表している。；それまでに発表してきた短編小説が加筆・修正のうえ収録されている。；これらの区間は、2023年4月1日に使用開始することが発表された。；後に行われた発表では残骸も公表されて、事件はすぐに忘れ去られた。；彼らはドイツの会議でこの結果を発表したが、誰にも評価されることはなかった。；ストーンズは過去に発表した作品が再び1位を獲得した初のバンドとなった。；この年は永い作家生活の中で、初めて小説の発表が一編もなかった。；同時に大統領選挙の延期を発表したほか、内務大臣を新首相に任命した。；当初は本名での作品発表であったが、後に現在のペンネームに改名。；翌28日には2014年も柳下が引き続き指揮を執ることが発表された。；そのため、政府もその報道された内容が政府案と異なるとする声明を発表した。；また、携帯サイトや新雑誌などのニッチな場での漫画作品の発表を行う。；彼らはこのような非西洋の音楽スタイルを取り入れて自作を発表したりもしている。；導き出された情報を予報の種類に合わせてまとめ、適切な形式で発表する。；太陽発電モジュールが設置された可能性はあるが発表されていない。；加えては1997年に、も2002年に否定的な意見を発表している。；以降も『コロコロコミック』の系列誌を中心として作品を発表している。；エイプリルフールになるとインターネットで手の込んだネタを発表していた。；またその存在は確認されているが正式に発表されていない学名と和名も記載する。；出産後は自身の経験を元にした『今日もお天気』シリーズを発表している。；彼の論文は1842年に発表されたが全く注目されなかった。；アイドルは、パイソン関連のレコードで数多くの楽曲を発表している。；RCAの発表以前には、液晶の研究は日本では殆ど行われていない。；そしてこの演奏会の直後にトスカニーニの引退が発表された。</t>
        </is>
      </c>
      <c r="J6853">
        <f>HYPERLINK("https://www.weblio.jp/content/発表", "词义详情")</f>
        <v/>
      </c>
      <c r="K6853">
        <f>HYPERLINK("https://yourei.jp/発表", "查看例句")</f>
        <v/>
      </c>
    </row>
    <row r="6854">
      <c r="A6854" t="inlineStr">
        <is>
          <t>初耳</t>
        </is>
      </c>
      <c r="B6854" t="inlineStr">
        <is>
          <t>成功</t>
        </is>
      </c>
      <c r="C6854" t="inlineStr">
        <is>
          <t>読み方：はつみみ
初めて耳にすること。初めて聞くこと。また、その話。「君が同郷だったとは—だ」</t>
        </is>
      </c>
      <c r="D6854" t="inlineStr">
        <is>
          <t>初耳ネタ</t>
        </is>
      </c>
      <c r="H6854" t="n">
        <v>29</v>
      </c>
      <c r="I6854" t="inlineStr">
        <is>
          <t>死んだこともあとで聞かされたんだが、警察に挙げられた話は初耳だ。；これはたしかに初耳のニュースで、みなの話がつきないだろうと思いました。；そんなことはわれわれには初耳で、いささか驚いている次第である。；他の者にとっては初耳の話なので皆、びっくりして彼女を見ていた。；それにギースたちの話は、なにからなにまで初耳なことばかりだった。；宗方が、宗教に興味を持っていたというのは美佐子には、初耳であった。；赤い肌の色をした人種が、このバルスームに住んでいることも初耳だ。；なにからなにまで初耳だったが、顔だけは、あの女に違いなかった。；これはこの頃聞いた初耳の話であるが、一度見たいものである。；吉川友歌里の衣服に付着していたという犬の毛のことは初耳だったのだ。；私は初耳だったが、アメリカでは昔からよく引用される問題らしい。；知る人ぞ知る有名な話らしいが、東京の歴史に疎かった私には初耳だった。；私は不安な当てで名前も初耳な次の二里ばかりも離れた温泉へ歩かなければならなかった。；わたしの名前がまったくの初耳でないといいのですがね。；帰ったとき彼女は警察に電話などしたおぼえはないし、そんなことは初耳だと言いました。；もうそのころは知る人は知っていたが自分にはまだ初耳の「浪子」の話である。；私は初耳だけど、日本のレコード会社あたりの商策じゃないんですか?；ドナウ・タワーより立派な石の塔が韓国にある、という話も初耳であった。；私の妹にこのことを確かめようとしたが、彼女にとっても初耳のことであった。；それは初耳というか今この場で初めて聞いた言葉だ。；こんなことがあるとは聞いていましたが、今が初耳でした。；そうした環境に、意識を持つほど進化した生物がいるなんて、まったくの初耳だ。；かつて私はこの事実を中井猛之進博士に話したのだが、同博士もこれは初耳であった。；「みんなが入れるようにお墓の下は広くしておいてもらったからね」 これは初耳だった。；頻繁に手紙をやり取りしていたのに、そんなことさえ初耳だった。；隊商の者たちもそれは初耳だったらしく、導き手の老人を見つめた。；この図書館に百回も来ているが、地下室があったことは初耳だった。；「夏世とあんたが友だちだってのは初耳だぜ」静かだが悪意の滲んだ声。；それは初耳というか、そんな事実は全く聞いたこともない。</t>
        </is>
      </c>
      <c r="J6854">
        <f>HYPERLINK("https://www.weblio.jp/content/初耳", "词义详情")</f>
        <v/>
      </c>
      <c r="K6854">
        <f>HYPERLINK("https://yourei.jp/初耳", "查看例句")</f>
        <v/>
      </c>
    </row>
    <row r="6855">
      <c r="A6855" t="inlineStr">
        <is>
          <t>発明</t>
        </is>
      </c>
      <c r="B6855" t="inlineStr">
        <is>
          <t>成功</t>
        </is>
      </c>
      <c r="C6855" t="inlineStr">
        <is>
          <t>読み方：はつめい
［名］(スル)
１今までなかったものを新たに考え出すこと。特に、新しい器具・機械・装置、また技術・方法などを考案すること。「必要は—の母」「蒸気機関を—する」
２物事の道理や意味を明らかにすること。明らかに悟ること。
「文明の進歩は…其働の趣を詮索して真実を—するに在り」〈福沢・学問のすゝめ〉
［名・形動］賢いこと。また、そのさま。利発。
「息子たちのなかで際立って—なのと」〈中勘助・鳥の物語〉</t>
        </is>
      </c>
      <c r="D6855" t="inlineStr">
        <is>
          <t>発明される(2%)；発明家；発明以前；発明以来；発明せら</t>
        </is>
      </c>
      <c r="E6855" t="inlineStr">
        <is>
          <t>設置；建設；設立；制作；設定</t>
        </is>
      </c>
      <c r="F6855" t="inlineStr">
        <is>
          <t>新発明；再発明；新しい発明；特許発明；偉大な発明</t>
        </is>
      </c>
      <c r="G6855" t="inlineStr">
        <is>
          <t>発明者；発明品；発明協会；発明王；発明学会</t>
        </is>
      </c>
      <c r="H6855" t="n">
        <v>29</v>
      </c>
      <c r="I6855" t="inlineStr">
        <is>
          <t>戦争は人類と同じくらい古いもののようだが、平和は現代の発明である。；マーサ・グレアムなど多くのアーティストの作品が発明的とされている。；しかしながら、発明の定義を法律の条文で明らかにしている国は少ない。；また別の観点では、発明の内容を社会に公開させるためのものともいえる。；中にはその発明が最も有効に働く順序で発明されなかったものもある。；ジャック・キルビーと並んで集積回路を発明したことでも知られている。；そのため、発明においては、何らかの形で技術的な構成が必要とされる。；レジの発明された時期を考えると、この革命のタイミングは相当に早い。；韓国もまた、発明の定義を法律の条文で与える数少ない国の一つである。；様々な偶然の発見により、ダイナモから様々な装置が発明されていった。；各発明道具の詳細については、発明道具名からのリンク先を参照のこと。；この形式を発明したのはフランチェスコ・ベルニだと信じられている。；望遠鏡が発明されてしばらくするうちに軍事利用も開始されている。；ヌード写真は、実用的なカメラが発明されるとほとんど同時に登場した。；毎話新しい発明道具が必ず登場し、一度出た道具の再登場はほとんどない。；キャロルが発明したのは格子状に正方形の穴が配列されたカードだった。；文字が発明されてからの通信の多くは手紙という方式で行われるようになった。；自動車が発明されると、これを軍事利用しようという動きが生まれた。；一部には新しいメンテナが自分自身が発明した用語を追加している。；作品の新たな制作法を開発するという形で芸術を再発明することも行われてきた。；この世代をもって初めてオンド・マルトノが発明されたことになる。；この時代の重要な技術的発明としてはほかに、弦の張り方もあげられる。；しかし15世紀半ばにはシア・ロック式とスナッピング式が発明された。；要素技術を発明・新開発したものではないものも含まれる。；自身でさまざまな発明をしており、日本のエジソンといわれることもあった。；記憶を助けるための整理が必要であり、私は一つの分類法を発明した。；投げ槍や投げ矢の技術が弓矢の発明につながったとされている。；グラニューラは、ニューヨークの医師であったが1863年に発明した。；多くの発明がそうであるように、ピアノもそれまでにあった技術の上に成立している。</t>
        </is>
      </c>
      <c r="J6855">
        <f>HYPERLINK("https://www.weblio.jp/content/発明", "词义详情")</f>
        <v/>
      </c>
      <c r="K6855">
        <f>HYPERLINK("https://yourei.jp/発明", "查看例句")</f>
        <v/>
      </c>
    </row>
    <row r="6856">
      <c r="A6856" t="inlineStr">
        <is>
          <t>初詣</t>
        </is>
      </c>
      <c r="B6856" t="inlineStr">
        <is>
          <t>成功</t>
        </is>
      </c>
      <c r="D6856" t="inlineStr">
        <is>
          <t>初詣客(13%)；初詣輸送；初詣シーズン；初詣参拝客；初詣参拝者</t>
        </is>
      </c>
      <c r="G6856" t="inlineStr">
        <is>
          <t>初詣臨時列車；初詣列車</t>
        </is>
      </c>
      <c r="H6856" t="n">
        <v>29</v>
      </c>
      <c r="I6856" t="inlineStr">
        <is>
          <t>二人が連れ立って初詣に出かけてくるなど何年ぶりのことであろうか。；参道に並べられた百八本のロウソクの灯の中、家族連れが初詣に訪れる。；そう、幼い頃に両親と初詣に行った大きな神社で、何かの舞台を見たのだ。；しかし今日の人の数は、これではまるで初詣での明治神宮ではないか。；千反田が髪を上げているところ自体は、たとえば正月の初詣の時に見た。；初詣での人波にもまれて智子のアパートへ戻ったのは朝の三時ごろだった。；川沿いに面した部屋から、八坂神社へ向かう初詣での人たちが見える。；初詣の参拝客の多い神社や寺院への交通アクセスとしての役割を持つ。；父親はいやな顔をするだろうが、明日会って初詣に行こうと私から言いだした。；市の中心部に位置し交通の便が良いことから、広島市民の多くが初詣に訪れる。；初詣の対象は神社・寺院のいずれでもかまわないとされている。；正月二日の昼ともなると、初詣に行こうなんていう人もあまりいないのかもしれない。；が、ともかく初詣の神社の押すな押すなの人込みは、やはりいいものだ。；自分なんかとは初詣に行きたくないのかなと思い、少し傷ついた。；「天狗が初詣に来て何が悪い」 ふいに背後から声をかけられて驚いた。；しめ縄飾りの取り換えなどが報道されることがあり、初詣も行われる。；それとは対照的に、南国沖縄での初詣もこれまでに二度経験している。；早紀が本当に初詣に行ってなかったら、やっぱり僕は捕まってたと思います。；菜緒は近くの神社に初詣に出かけただけで、元日は家でごろごろして過ごした。；所詮参拝客の大半は、初詣という雰囲気を楽しんでいるだけなのだから。；ことしはどこの神社へ初詣に行こうかと、いまのうちからあれこれ考えている。；そもそも彼氏彼女というのは、元旦に一緒に初詣をするものではないのか。；初詣の時に見かけたのと同じ格好をしている。；初詣イベントに入ってからはほとんどコンタクトを取ることができなかった春香。；小津は元旦、母親につれられ、弟と一緒に初詣でをした憶えがあった。；正月は初詣での客が押しかけるので、店は日が暮れるまで大繁盛であった。；初詣及び行楽シーズン時期を除き、一日当たりの乗降客は極わずかである。；鶴尾地区の氏神である鶴尾神社では初詣などでは地元の参拝客で賑わう。；初詣のときの賽銭返せ、と思っていたが、ま、これでチャラにしてやるぜ。</t>
        </is>
      </c>
      <c r="J6856">
        <f>HYPERLINK("https://www.weblio.jp/content/初詣", "词义详情")</f>
        <v/>
      </c>
      <c r="K6856">
        <f>HYPERLINK("https://yourei.jp/初詣", "查看例句")</f>
        <v/>
      </c>
    </row>
    <row r="6857">
      <c r="A6857" t="inlineStr">
        <is>
          <t>果て</t>
        </is>
      </c>
      <c r="B6857" t="inlineStr">
        <is>
          <t>成功</t>
        </is>
      </c>
      <c r="C6857" t="inlineStr">
        <is>
          <t>読み方：はて
１果てること。終わること。また、物事の終わり。しまい。限り。すえ。「—もない議論」「旅路の—」
２年月を経過したあとの状態。「なれの—」「栄華の—」
３広い地域の極まるところ。いちばん端の所。「地の—」「海の—」
４喪の終わり。四十九日の終わる日。また、一周忌。
「御—も、やうやう近うなり侍りにけり」〈源・幻〉</t>
        </is>
      </c>
      <c r="D6857" t="inlineStr">
        <is>
          <t>果てなき；果てたる；果て知れ；果てさせ；果て候</t>
        </is>
      </c>
      <c r="E6857" t="inlineStr">
        <is>
          <t>際；側；最後；落；落ち</t>
        </is>
      </c>
      <c r="F6857" t="inlineStr">
        <is>
          <t>なり果て；尽き果て；相果て；飽き果て；暮れ果て</t>
        </is>
      </c>
      <c r="G6857" t="inlineStr">
        <is>
          <t>果てる；果てしなく；果てしない；果てし；果てしなき</t>
        </is>
      </c>
      <c r="H6857" t="n">
        <v>29</v>
      </c>
      <c r="I6857" t="inlineStr">
        <is>
          <t>地の果ては天のベールのすそとつながっており、天の柱があるとされる。；露台もまた自分が誰を殺害したか理解して正気に戻り、自害して果てた。；戦の果て、竜と竜騎士が力を合わせ、現在に至る平和な世界が築かれた。；しかしこれにより皇帝はその名目を利用されるだけの存在に成り果てた。；全身全霊でそう示した後、稀代の猛者は己が手で己が首を刎ねて果てた。；そこへ結婚し、東京で生活を送っていた娘の百合子が疲れ果てた様子で帰ってきた。；自分の作った船に乗り、その船が海の果てに辿り着くのを見届けることが夢。；疲れ果てて台の上で寝てしまったこともあったという。；これをもとに「知床」は「地の果て」の意味とする解釈も流布している。；挙句の果ては療養者が雌雄のカナリアを同じ籠で飼うことさえ禁止した。；神は北の果ての生命の泉から、種が育つようにと清らかな水を流し続けた。；その名は聖書に記された、世界の西の果てにある土地の名タルシシュによる。；内容は痴情の果ての男女を描いた極めてグロテスクなものであった。；こうして旅の果てに主人公はもう一度生きたいと決心するという内容。；天に背き、天に焦がれる堕天使は放浪の果てにある人間の少年を愛した。；父の厲王が流謫の果てに死んだのちに王となり中興の英主と呼ばれた。；藤嵐の国の乱の一件など遠い歴史の果てに置いていかれた現代。；挙句の果てには体の側面にある突起から出す黒煙で地球を闇に包み込んだ。；本作は宮藤官九郎が7年間の構想の果てに実現した初の「刑事物」である。；老人は激しい勢いで桃を問い詰め、その果てにはれんにまで暴力を働く。；挙句の果てに自らが自己破産をせねば明日はないほどに追い込まれてしまう。；第2巻『宇宙の果てのレストラン』の冒頭には次のように書いてある。；ドイツ兵たちは地の果てまで到達した感があった。；彼は自由市場競争の果てに戦争状態が必ず到来するとは思っていなかった。；果無の名の由来は「果ての二十日」に人通りが無くなるからだともいう。；編集者に、初期の『愛の果ての物語』の修正版はどうかと提案されて執筆した。；母親はのちに実家の奉公人と再婚したが、その義父は放蕩の果てに失踪。；宇宙の果てから追われてきた犯罪者の宇宙人がある日、地球に到着。；ニクス大陸の東北、北の果てに存在しているが南方大陸同様、詳細不明。</t>
        </is>
      </c>
      <c r="J6857">
        <f>HYPERLINK("https://www.weblio.jp/content/果て", "词义详情")</f>
        <v/>
      </c>
      <c r="K6857">
        <f>HYPERLINK("https://yourei.jp/果て", "查看例句")</f>
        <v/>
      </c>
    </row>
    <row r="6858">
      <c r="A6858" t="inlineStr">
        <is>
          <t>派手</t>
        </is>
      </c>
      <c r="B6858" t="inlineStr">
        <is>
          <t>成功</t>
        </is>
      </c>
      <c r="C6858" t="inlineStr">
        <is>
          <t>読み方：はで
［名・形動］《「破手(はで)」から転じた語とも、また、「映(は)え手」の変化した語ともいう》
１姿・形・色彩などが華やかで人目をひくこと。また、そのさま。「—な顔だち」「—な着物」⇔地味。
２態度・行動などが大げさなこと。また、そのさま。「—な殴り合い」「—に泣く」⇔地味。
[派生]はでさ［名］</t>
        </is>
      </c>
      <c r="D6858" t="inlineStr">
        <is>
          <t>派手な音(3%)；派手な色；派手好き；派手な服装；派手な衣装</t>
        </is>
      </c>
      <c r="E6858" t="inlineStr">
        <is>
          <t>華；多彩；カラフル；毒々しい；けばけばしい</t>
        </is>
      </c>
      <c r="F6858" t="inlineStr">
        <is>
          <t>派手な着物；派手な化粧；派手な柄；派手な生活；派手な模様</t>
        </is>
      </c>
      <c r="G6858" t="inlineStr">
        <is>
          <t>派手め；派手派手しい；派手派手しく；派手派手し；派手婚</t>
        </is>
      </c>
      <c r="H6858" t="n">
        <v>29</v>
      </c>
      <c r="I6858" t="inlineStr">
        <is>
          <t>これは十手の二刀流みたいなもので踊りのような手も入る派手な技だった。；本人自らやる作品は派手なミスが多く、決して得意というわけではない。；この行為は秀吉の派手好みの性格を知っての行いと伝えられている。；アンドレ・シトロエンの派手好きな性格が現れているエピソードである。；祖父・信長と同じく派手好みであり、平素より洒落者であったと伝わる。；清代では理論的で派手でない文章が好まれたためであると考えられる。；人を轢き殺したり、物を破壊するなどの派手なアクションが特徴である。；派手なプレーは少ないが、ミスが少なく安定したプレーで活躍した。；概して地味な羽色だが、一部の種の雄は派手な色の羽や飾り羽を持つ。；八重咲きの花は、普通の花より派手になるので、園芸的には重視される。；見た目に派手なので、曲ゴマではこの回し方で演技を始める場合が多い。；色は赤・紫から黄色など様々だが、総じて派手な色合いのものは少ない。；同時に、多数の打楽器を用いた派手な楽曲・演奏でもあり、話題になった。；派手好きの若殿などは巻き立てをかなり大きく結うものがいたらしい。；しかし、後に番組に戻り、全てが派手な宣伝活動であったことを明らかにした。；酒を呑まない日はなかったと言われるほど酒を愛し、金遣いも相当に派手。；デイヴの私生活はデペッシュ・モード内では最も派手だったことがある。；元々は肩の防具に由来するとも考えられる派手なタイプである。；ただしそれまでの度重なる抗議のためか、あまり派手な描写にはなっていない。；しかし上述の通りに派手好きなため、爆発するなど派手な攻撃が多い。；クレイモアは敵の騎馬の足を叩き斬って派手に落馬させるのにも使われた。；本作品ではかなり派手な光線技のような魔法も登場している。；現実に存在した場合、高野連が絶対に許可しないほどユニフォームが派手。；この船は性能よりも派手さを意識していたので、船の性能は悪くスピードもあまり出なかった。；そのため、なまぐさを食べず、派手な服装はしなかったと伝えられる。；芳村真理の派手な服装と奇抜なヘアスタイルもこの時期に顕著となった。；アクロバティックで派手なプレーなので試合を沸かせるプレーである。；当時としては多額の制作費をかけた派手なアクションシーンが特徴である。；だけど今では誰もがおしゃれな帽子と派手で大胆な色の組み合わせを身に付けている。</t>
        </is>
      </c>
      <c r="J6858">
        <f>HYPERLINK("https://www.weblio.jp/content/派手", "词义详情")</f>
        <v/>
      </c>
      <c r="K6858">
        <f>HYPERLINK("https://yourei.jp/派手", "查看例句")</f>
        <v/>
      </c>
    </row>
    <row r="6859">
      <c r="A6859" t="inlineStr">
        <is>
          <t>果てる</t>
        </is>
      </c>
      <c r="B6859" t="inlineStr">
        <is>
          <t>成功</t>
        </is>
      </c>
      <c r="C6859" t="inlineStr">
        <is>
          <t>読み方：はてる
［動タ下一］［文］は・つ［タ下二］
１続いていた物事が終わりになる。最後の所まで行き着く。終わる。「いつ—・てるともない戦い」「人通りが—・てる」
２死ぬ。「異国で—・てる」「切腹して—・てる」
３（動詞の連用形に付いて）すっかり…する。…し終わる。「あきれ—・てる」「困り—・てる」</t>
        </is>
      </c>
      <c r="D6859" t="inlineStr">
        <is>
          <t>果てるともなく(9%)；果てるとも知れ(7%)；果てるともしれ(4%)；果てることなく；果てるともわから</t>
        </is>
      </c>
      <c r="E6859" t="inlineStr">
        <is>
          <t>死去；死亡；死ぬ；消える；亡くなる</t>
        </is>
      </c>
      <c r="F6859" t="inlineStr">
        <is>
          <t>疲れ果てる；なり果てる；成り果てる；呆れ果てる；尽き果てる</t>
        </is>
      </c>
      <c r="H6859" t="n">
        <v>29</v>
      </c>
      <c r="I6859" t="inlineStr">
        <is>
          <t>二人の物語はいつ果てるとも見えないうちに、夜も次第に更けていった。；母が言っていたように、戦は果てることなく、いまもくり返されている。；とは言っても、波のうねりは更に大きく、いつ果てるとも見えなかった。；月子があんな形で果てるとは、もはや月子は完全に変ってしまったのだ。；そしてただ、あとをつけて、彼らが精根つき果てるまでじっと待つのだ。；わたくしは顔をそむけながらも蔑すみ果てるわけには参りませんでした。；体力を急速に消耗して、日射病で果てることになるのは眼にみえている。；残忍なサーン族の庭で、名もなき黒色人たちの手にかかって果てるとは。；御主の世の栄果てる事あてん 吾身や御万人と連れて行ゆさそのときだ。；しかも生徒はいつ果てるともなく教室から溢れでてくるではないか。；わたくしたちの愛情のように、この熱演もいつ果てるともしれません。；所詮、俺たちは異国の雪と氷の中で果てるように生れついているんだ。；何年か同じ部屋で暮らしてきた仲だ、同じ檻で果てるのも一興かもな。；このため痛みも快感もなく、果てる彼を見て経験したことを実感した。；それは男の果てることのない好き心のせいかもしれなかった。；最終的には、地球全体が巨大な焼きおにぎりに成り果てるかもしれない。；トキオは器用に逃げ回ってはいるが、疲れ果てるのは時間の問題である。；果てる少し前に、わたしはあなたの中にいて、あなたはわたしの中にいました。；森閑とした通路に、機関の振動と波を切る音が果てることなく続いていた。；なごみが感じはじめてくれてる今、俺だけ ここで果てるわけにはいかない。；アルクェイドの体に果てがないのなら、もう俺が果てる所まで行くだけだ。；ものみな枯れ果てる秋の野辺の佗びしさをお厭いになったのでしょうか。；あのいつ果てるとも知れなかった夏休みが、なぜイキナリ三日になるのか?；こんな事で、一生果てるのも残念だが、今となつてはもう年を取りすぎてしまつた。；死ぬときだけは武士に戻って果てるつもりだったと見える。；いつか我が身は誇り高く戦場に果てるものと、そう信じて疑わなかった。；私が朝餉をする頃には、今にも雨になるかとばかり空は曇り果てるだらう。；底知れぬ深淵が横臥したような、黒い森は、いつ果てるとも知れなかった。；それらが、隣接する集団といつ果てるともない小競り合いを繰り返している。</t>
        </is>
      </c>
      <c r="J6859">
        <f>HYPERLINK("https://www.weblio.jp/content/果てる", "词义详情")</f>
        <v/>
      </c>
      <c r="K6859">
        <f>HYPERLINK("https://yourei.jp/果てる", "查看例句")</f>
        <v/>
      </c>
    </row>
    <row r="6860">
      <c r="A6860" t="inlineStr">
        <is>
          <t>ばてる</t>
        </is>
      </c>
      <c r="B6860" t="inlineStr">
        <is>
          <t>成功</t>
        </is>
      </c>
      <c r="C6860" t="inlineStr">
        <is>
          <t>［動タ下一］《「疲れ果てる」の「果てる」から出て、もとスポーツ選手などの間で用いられていた語》すっかり疲れてしまう。くたびれて動けなくなる。へたばる。「暑さつづきで—・てる」</t>
        </is>
      </c>
      <c r="D6860" t="inlineStr">
        <is>
          <t>消耗する；燃え尽きる；くたびれる；うだる；ボロボロになる</t>
        </is>
      </c>
      <c r="H6860" t="n">
        <v>29</v>
      </c>
      <c r="I6860" t="inlineStr">
        <is>
          <t>スコップを持つのは初めてなので、さすがに間もなくばてそうになった。；俺達が一声バラせばてめーだって明日には見合い話が沸いて出るんだぞ!；新人は数十名いたが、その中でいちばん小柄でいちばん弱い私が最初にばてた。；どれだけばてていても、おまえのそばにいると立ってくる。；三人のばてれんは、声をきくと微笑をもって、友人達を待つように歩を緩めた。；われわれにできるのはとにかく走りつづけて、向こうの馬が先にばてるのを祈るだけだ。；百や、二百走ったところでばてる様なヤワな選手じゃなかった。；それでも、少し走ったくらいでばてるほど、あたしはやわではない。；それと二人のばてれんも、手や衣服を泥だらけにしていた。；ランニングで体育館に着いた段階で、一年の大半がばてていた。；したばて、眼見えねくなったはで、近頃だば、まず遠くば見えねぐなってまった。；このばてれんのフェレラはかつてその拷問には堪えたのである。；おまけにそこのばてれんはみな子供好きである。；慌てて立ち上がろうと、ばてて言うことを聞かない足を鞭打つ!；彼もばててはいるようで、雪に足をとられてよろよろしていたが、最後まで黙って歩きとおし、大人たちの手を借りなかったのだ。；必然、子供の親はばてれんをみな神のようにいう。；ころびばてれんの娘だが、一種の高貴の相をもっている。；いつもながらの虚弱ゆえに、若だんなのばてようは半端ではない。；弘斗はすぐにばててしまうが、彰は和雄と並走しながら互いに声を掛け合う。；集団で運動をさせるといつも後ろを追走し、速くは走らないが決してばてないという特徴を見せた。；此のばてれんのフェレラは嘗てその拷問には堪へたのである。；もう一名のばてれんは、咄嗟に濠の中へ飛びこんだとみえて、これは後からようやく這い上がって来たが、ほとんど手も顔も分らない姿になっていた。；知らずばてうどそれでよい。；二階で老夫人がばてた。；彼等と向き合にその夫と、父と兄弟と、外人のばてれん達とが並んで坐らせられてゐる。；正面には高く両つの燭台の間に聖像がかけられ、そのわきの壇上にはばてれんらしい黒衣の老人が腰をかけて一人の男と何か熱心に話してゐた。；早速散歩に連れていってあげたけど、まだ暑かったからか、コタローもばて気味。；さえぎるものがないので、すぐ目の前に感じられるが、歩き出すといっこうに近づかないのは、すでにばてているからか。；三〇〇メートルを一気に登り切っても、おれは大した汗をかかなかったが、ゆきは本当にばてちまった。</t>
        </is>
      </c>
      <c r="J6860">
        <f>HYPERLINK("https://www.weblio.jp/content/ばてる", "词义详情")</f>
        <v/>
      </c>
      <c r="K6860">
        <f>HYPERLINK("https://yourei.jp/ばてる", "查看例句")</f>
        <v/>
      </c>
    </row>
    <row r="6861">
      <c r="A6861" t="inlineStr">
        <is>
          <t>パトカー</t>
        </is>
      </c>
      <c r="B6861" t="inlineStr">
        <is>
          <t>成功</t>
        </is>
      </c>
      <c r="C6861" t="inlineStr">
        <is>
          <t>「パトロールカー」の略。</t>
        </is>
      </c>
      <c r="D6861" t="inlineStr">
        <is>
          <t>パトカーや救急車；パトカー仕様；パトカー専用グレード；パトカーモード；パトカー運転</t>
        </is>
      </c>
      <c r="E6861" t="inlineStr">
        <is>
          <t>パトロールカー</t>
        </is>
      </c>
      <c r="F6861" t="inlineStr">
        <is>
          <t>運転するパトカー；制服パトカー；全パトカー；交通パトカー；パトカー専用</t>
        </is>
      </c>
      <c r="H6861" t="n">
        <v>29</v>
      </c>
      <c r="I6861" t="inlineStr">
        <is>
          <t>おかげで最初のパトカーは故障してしまい、今使っているのは二台目だ。；パトカーが止まっているのを見つけたのは、一キロほど進んだ後だった。；なお、タクシー・パトカー専用車両は過去も現在も全く生産していない。；パトカーの色が青に変更されると同時に制服警官の制服も青になった。；男の所有する車も、ヒーターの位置はほぼこのパトカーと同じであった。；そのせいで隠れて避けようとしていたそのパトカーに見つかってしまった。；基地のなかを、左のほうからA・Pのパトカーがゆっくり姿を現わした。；何の証拠もないのに、暴力警官は自分をパトカーに乗せようとしたこと。；さすがの彼も、今日一日で一生分のパトカーを見たような気がした。；群馬県警と書いたパトカーから二人の警官が降りてくるところだった。；パトカーから降りたった四人の男のうち、一人が仲根の車に近づいてきた。；ここにいたら、またパトカーがきて、病気とまちがえて連れていかれる。；しかし、パトカーのサイレンの音を聞くと慌てて円盤の中に逃げこんだ。；そうでなければ、パトカーの警官たちが、空を見上げることなどはない。；再び疾走をはじめた神崎の車を、何十台ものパトカーが追尾して行った。；その部屋の中へも、パトカーの近付いて来る音が聞こえはじめていた。；ツーソンに至る道は、何台ものパトカーで厳重に封鎖されているのです。；待機していたパトカーに乗り込んだあたしたちに誰かが駆け寄ってきた。；消防車やパトカーのサイレンが放火されたアパートに近づいてきている。；北海道同行会は加茂田組の跡を追おうとしたが、パトカーに阻止された。；パトカーの運転席にいた制服警官がドアを開けて飛び出していった。；私は警官の運転するパトカーで、駅前まで送ってもらうことになった。；前方にパトカーらしい車体が見えたところで、こちらの車は速度を落とした。；スピード違反でパトカーに追っかけられないように慎重に走らせたのだ。；と、心なしかパトカーも加速してどんどん近付いてきたような気がする。；パトカーの車中で仮眠を取っただけで、翌朝はそのまま現場に復帰した。；パトカーが来たのは、近所の人が悲鳴をきいて一一〇番したせいとすることもできる。；一台のパトカーが門前に停車するのを、私はぼんやりと眺めていた。；あの夜、パトカーに押しこまれるまえに宇文叔父さんはこの写真を見た。</t>
        </is>
      </c>
      <c r="J6861">
        <f>HYPERLINK("https://www.weblio.jp/content/パトカー", "词义详情")</f>
        <v/>
      </c>
      <c r="K6861">
        <f>HYPERLINK("https://yourei.jp/パトカー", "查看例句")</f>
        <v/>
      </c>
    </row>
    <row r="6862">
      <c r="A6862" t="inlineStr">
        <is>
          <t>歯止め</t>
        </is>
      </c>
      <c r="B6862" t="inlineStr">
        <is>
          <t>成功</t>
        </is>
      </c>
      <c r="C6862" t="inlineStr">
        <is>
          <t>読み方：はどめ
１車輪が動かないように、車輪と車輪接触面との間に挟んでおくもの。「—を噛(か)ませる」
２車輪の回転を止める装置。ブレーキ。
３事態の進行を抑えとどめる働きをするもの。「インフレに—をかける」「欲望の—がきかなくなる」</t>
        </is>
      </c>
      <c r="D6862" t="inlineStr">
        <is>
          <t>歯止めがきか(5%)；歯止めが利かなく(3%)；歯止めが効か(2%)；歯止めをかけよ(2%)；歯止めがかけられ</t>
        </is>
      </c>
      <c r="E6862" t="inlineStr">
        <is>
          <t>ブレーキ；チョーク；制動機；車輪止め</t>
        </is>
      </c>
      <c r="H6862" t="n">
        <v>29</v>
      </c>
      <c r="I6862" t="inlineStr">
        <is>
          <t>井伊の登場はその崩壊の作用に歯止めをかけるようなものではなかった。；この合意により、価格上昇には一定程度の歯止めがかかることになった。；自分の口が、次第に歯止めを失いつつあると心の底では自覚していた。；後半には経済の下落に歯止めがかかったが、真の経済回復は訪れなかった。；時には教師役の上級学生までそこに参加するので歯止めを行う者はいない。；そう理性が 歯止めをかけるのだけれど、僕にはそれが出来なかった。；取引の一部取引所による寡占化に歯止めをかけることを目的としている。；端的に言えば学歴偏重傾向にはっきりと歯止めがかかってきた感じなのだ。；この判決により占有屋の跋扈に一定の歯止めがかけられることとなった。；その言葉だけは、口にしてはいけないと理性が歯止めをかけてくる。；勢い余って歯止めがきかず、僕は秘めた心の本音まで口にしてしまった。；これによってフランスの北上に一定の歯止めをかけることに成功した。；そのおかげでようやく契約者数の減少に歯止めを掛けることができた。；殺してはいけないという気持ちが、力に歯止めをかけたのは否めない。；志願者減に歯止めをかけるため2008年度から週6日制に戻している。；生意気にわたしを憐れんでいるのって思ったら歯止めが利かなくなって。；ただし、こうした努力の結果、会員数減少に歯止めは掛かっているという。；だが、あるところで歯止めをかけてやらんと、もっと可哀相なことになる。；それが実行に移されなかったのは、おそらく年齢が歯止めをかけたせいであろう。；歯止めがはずされた先に何があるか、それははずしてみなければわからない。；こういう時に歯止めがかかるのは、なぜだか志摩子の顔ではない。；商店街はイベントを行うなどして客足の減少に歯止めをかけようとしている。；上を求めるのなんて人間なら当然の欲求だから、歯止めをかけるなんて難しい。；一連の調整が域外適用の歯止めとなると産業界から期待されている。；彼に会うことは、大いなる欲望の歯止めを外すことのように思えたからだ。；これにより生息数の減少には歯止めがかかったが、生息数の増加にまでは至っていない。；ひとたび生活に不安を持ち出すと、歯止めなく暗い雲が広がっていく。；種族が違えば争いも起こるだろうし、普通は増殖に歯止めがかかるんだがな。；植物群は盛んに水分の蒸発を始めて、気温上昇に歯止めをかけようとした。</t>
        </is>
      </c>
      <c r="J6862">
        <f>HYPERLINK("https://www.weblio.jp/content/歯止め", "词义详情")</f>
        <v/>
      </c>
      <c r="K6862">
        <f>HYPERLINK("https://yourei.jp/歯止め", "查看例句")</f>
        <v/>
      </c>
    </row>
    <row r="6863">
      <c r="A6863" t="inlineStr">
        <is>
          <t>バトンタッチ</t>
        </is>
      </c>
      <c r="B6863" t="inlineStr">
        <is>
          <t>成功</t>
        </is>
      </c>
      <c r="C6863" t="inlineStr">
        <is>
          <t>［名］(スル)《(和)baton＋touch》
１リレー競走で、走者が次の走者にバトンを手渡すこと。バトンパス。
２仕事や責任などを後任者に引き継ぐこと。「次の担当者に—する」</t>
        </is>
      </c>
      <c r="D6863" t="inlineStr">
        <is>
          <t>バトンタッチする(19%)；バトンタッチされる(3%)；バトンタッチセレモニー</t>
        </is>
      </c>
      <c r="E6863" t="inlineStr">
        <is>
          <t>継承；伝承；交代；伝達；交替</t>
        </is>
      </c>
      <c r="H6863" t="n">
        <v>29</v>
      </c>
      <c r="I6863" t="inlineStr">
        <is>
          <t>こうやって誰かにバトンタッチしていくのなら戦闘放棄にはならない。；玄関に控えた一・二年がバトンタッチして彼らを二階の座敷に誘導する。；海月とバトンタッチをして、さらにその穴を大きくする作業にかかる。；彼女がバトンタッチした警備員が怪我でもしたら寝覚めが悪すぎる。；晩年になって、原沢にバトンタッチしたのを後悔していたふしがある。；このモデルは僅か1年しか生産されず、P2にバトンタッチされた。；若い子たちへのバトンタッチが済んで、わしも肩の荷が下りたわ。；このモデルからは欧州枠とオセアニア枠がマキシマへバトンタッチされた。；今までの黄薔薇姉妹から、紅薔薇姉妹へと注目が即座にバトンタッチされた。；何とかスランプを抜けた真姫が曲を完成させ、作業は作詞担当の海未にバトンタッチされる。；あらかじめ打ち合わせでもしておいたのか、見事な呼吸のバトンタッチである。；次にでき上がったシナリオの第一稿にバトンタッチして彼は深い眠りについたのである。；第1期生スタートからリーグは東部リーグからスタートし毎年リーグ昇格を果たしてきて後輩たちへバトンタッチした。；敗北の責任ということであり、つぎの新しい日本へのバトンタッチという意味もあった。；企業の経営者が後継者となる息子へのバトンタッチという企業そのものの発展の鍵となる分野の教育を行うことを目的としていた。；二人は三チャネルの基盤を作って、吉沢にバトンタッチして第一線を去った。；夏と秋がバトンタッチする、いま頃のシーズンには、よく似合うセーターだった。；報道各社の読みどおり、中村は後継者へバトンタッチする意向を固めていた。；残務を整理して、地方に住んでいる豪輔の兄弟にバトンタッチするまでは女秘書をつづけなくてはならぬのだそうだ。；途中で松浦さん、私、カミ・ノルブがバトンタッチして先頭に出た。；総合司会は置かず、コーナーごとにメインMCをバトンタッチしながら進行する形をとった。；彼が疲れると、前に打ち合わせていたコウモリがバトンタッチして火をもって逃げ続けた。；厳しい一号についた最下級生は獰猛なクラスとなり、彼らが一号になったとき、その指導をバトンタッチしていく。；司会が事務長にバトンタッチされ、今度は地方に新設された民間病院の紹介が始まった。；役員室が発足した十年後に二人の創業者は同時に経営の表舞台から去ったが、バトンタッチがスムースに行ったのは集団制が完全に定着していたからであろう。；巨人はこういうバトンタッチの条件を整えつつ、他方ではV10を目指す困難な試合展開をしいられていたのである。；バトンタッチというか、複合的転んでもただでは起きない物件となったのである。；愛撫の炎がつぎつぎにバトンタッチされて輪を走るの。；関東の菌は退治したが、関西のエゲツナイ菌がバトンタッチしたのだ。</t>
        </is>
      </c>
      <c r="J6863">
        <f>HYPERLINK("https://www.weblio.jp/content/バトンタッチ", "词义详情")</f>
        <v/>
      </c>
      <c r="K6863">
        <f>HYPERLINK("https://yourei.jp/バトンタッチ", "查看例句")</f>
        <v/>
      </c>
    </row>
    <row r="6864">
      <c r="A6864" t="inlineStr">
        <is>
          <t>鼻</t>
        </is>
      </c>
      <c r="B6864" t="inlineStr">
        <is>
          <t>成功</t>
        </is>
      </c>
      <c r="C6864" t="inlineStr">
        <is>
          <t>読み方：はな
１脊椎動物の嗅覚(きゅうかく)の受容器。哺乳類では顔の前面中央に突き出て、左右二つの鼻孔があり、内部の鼻腔に嗅覚器が分布する。また、呼吸器官の始部をなし、発声を助ける働きもする。「—がつまる」
２《鼻をさして示すところから》男性が自分自身をさしていう語。おれ。
「千少の口明け、この—にさせてくれ」〈浮・禁短気・三〉
[下接語]赤鼻・目鼻（ばな）胡坐(あぐら)鼻・怒り鼻・鉤(かぎ)鼻・木鼻・小鼻・石榴(ざくろ)鼻・獅子(しし)鼻・段鼻・団子鼻・付け鼻・手鼻・引目鉤(かぎ)鼻・鷲(わし)鼻</t>
        </is>
      </c>
      <c r="D6864" t="inlineStr">
        <is>
          <t>鼻をつい；鼻づら；鼻下；鼻をつまん；鼻立ち</t>
        </is>
      </c>
      <c r="F6864" t="inlineStr">
        <is>
          <t>高い鼻；大きな鼻；長い鼻；小さな鼻；低い鼻</t>
        </is>
      </c>
      <c r="G6864" t="inlineStr">
        <is>
          <t>鼻孔；鼻血；鼻息；鼻歌；鼻腔</t>
        </is>
      </c>
      <c r="H6864" t="n">
        <v>29</v>
      </c>
      <c r="I6864" t="inlineStr">
        <is>
          <t>村を逐われた農民の中にはその罪に応じて鼻や耳を削がれるものもいた。；さらに彼らは目や鼻を焼くような刺激臭のある霧が漂うことに気づいた。；突き出した額が長い鼻のように見えるため、天狗の名が与えられている。；手にも似たこうした機能を持つ鼻はほぼゾウに限られたものである。；これは呪を唱え目、鼻、口から水では消えない火や煙を出す術である。；世界では点鼻薬もあり、アレルギー性鼻炎の鼻症状の治療に用いられる。；海上から見ると伏せた体勢の象の鼻に見えることからそう呼ばれている。；心配して声をかけると、振り向いた女の顔には目も鼻も口も付いていない。；開放していないといっても実際には鼻から開放していることがある。；この付け鼻は銀や金で作られたものであるという噂が後世に広まった。；・ に隣接している時に、母音はわずかに鼻にかかった声で話される。；鼻毛を抜いた時に涙が出ることがあるが、必ず抜いた鼻の穴の側の目から出る。；体色はグレーで、口吻の形状が豚の鼻のような独特なものとなっている。；私のこの一年は彼が鼻で呼吸できるようにする事だった。；目と口はセブンのタイプを踏襲しているが、鼻が明確に造型されている。；腕には指がないが、長い鼻が代わりにものを持つ役割を果たす。；額から鼻鏡にかけて白い筋模様が入る個体が多いが、不明瞭な個体もいる。；一部例外もあるが芳文社作品では鼻がなく、竹書房作品では鼻がある。；もし完成したのなら、自分の耳や鼻を切っても良いと悪態を突く者まで出た。；もともとは城の鼻公園とひと続きになっていたが道路建設のために分断された。；人物の顔には目・まゆ・鼻・口が描かれていないことが多い。；鼻の周りが白く原作やアニメのデザインとは若干異なる。；姿は人間に近いものの、顔は獣のようで、高い鼻、長い耳と牙を持つ。；この付け鼻はまたは糊で接着され、銀と金で作られていたと言われていた。；鼻の色は黒、もしくは白い毛が混じったもので下記の歌にあるような赤ではない。；翌シーズン以降は鼻の骨折等の怪我で調子を落とし出場時間は減少していった。；その後 目の表面を通り、涙道を抜け、鼻をくだって最後に喉で吸収される。；その時点ではキャラクターに鼻が描かれていなかった。；このとき彼が鼻に負った傷は現在でも確認することができる。</t>
        </is>
      </c>
      <c r="J6864">
        <f>HYPERLINK("https://www.weblio.jp/content/鼻", "词义详情")</f>
        <v/>
      </c>
      <c r="K6864">
        <f>HYPERLINK("https://yourei.jp/鼻", "查看例句")</f>
        <v/>
      </c>
    </row>
    <row r="6865">
      <c r="A6865" t="inlineStr">
        <is>
          <t>花</t>
        </is>
      </c>
      <c r="B6865" t="inlineStr">
        <is>
          <t>成功</t>
        </is>
      </c>
      <c r="C6865" t="inlineStr">
        <is>
          <t>読み方：け
〈化〉⇒か
〈仮〉⇒か
〈花〉⇒か
〈家〉⇒か
〈華〉⇒か</t>
        </is>
      </c>
      <c r="D6865" t="inlineStr">
        <is>
          <t>花模様；花咲く；花被；花袋；花飾り</t>
        </is>
      </c>
      <c r="E6865" t="inlineStr">
        <is>
          <t>頂点；華；盛り；チップ；ピーク</t>
        </is>
      </c>
      <c r="F6865" t="inlineStr">
        <is>
          <t>美しい花；紫陽花；千花；小花；頭花</t>
        </is>
      </c>
      <c r="G6865" t="inlineStr">
        <is>
          <t>花嫁；花弁；花束；花崗岩；花壇</t>
        </is>
      </c>
      <c r="H6865" t="n">
        <v>29</v>
      </c>
      <c r="I6865" t="inlineStr">
        <is>
          <t>ブルーメンインゼル・ジーベンベルゲンは夏には花の美しさで覆われる。；そして成長の過程で周囲に流れていた音が、花の中から聞こえてくる。；花袋の小説は私小説の出発点ともされ、以後日本の小説の主流となった。；また、ヒマワリの花の色の濃い部分はやや赤みがかった黄色をしている。；人間界と花魔法界での時間の流れの違いなどについての言及は特に無い。；一般にビールには受粉前の花を使うため栽培圃場では雄株は淘汰される。；それぞれの季節に花の咲く公園が市内に点在し、市民に親しまれている。；同時に、花の色の美しさがヒトなどに向けたものではないことも示している。；花床がやわらかく発達して食べられるようになるイヌマキなどの例がある。；当市を含めた中部の市や町は「とっとり梨の花温泉郷」を形成している。；これは死者を弔うために花を死体の周りに添えたと解釈されている。；虫媒のみに頼る、または一部を虫媒とする花は16万種に及ぶとされる。；植物を栽培して花や実を収穫し、市場に売却することなどができる。；日本では5月の終わり頃から6月にかけて 白黄色の地味な花をつける。；大きな花弁に見えるのは苞葉で、果指の部分が本当のバナナの花である。；元となる花の種類は効果に差を生じさせないようである。；従来の分類では花の形態などに基づいて設けられている。；鳥などがこの花床を食べるときに種子散布が起こると考えられる。；果実をとるもののほか、花を観賞する目的のためのものなど多数ある。；自然豊かな村や谷は、4月になると杏の花でピンク色に埋め尽くされる。；それらの地域では桜だけでなく梅や花桃の花も同時に咲くことが多い。；一般的に春に桜色と表現される白色や淡紅色から濃紅色の花を咲かせる。；これらは赤花の園芸品種であったが、近縁の品種であったと考えられている。；高さ3mくらいまで成長し、夏から秋にかなり大きな黄色の花を咲かせる。；花の色は、青から紫色のものがほとんどだが、白や桃色のものもある。；スプレイーとは先が分かれた枝との意味で、小枝の先に多数の花を付ける。；しかし育った白菜の花から種子を取って育てたところ結球しなかった。；受粉様式は種子植物の進化上で重要であり、花の形質に反映されている。；多数の花が並んでいる場合、基本的には先端から遠いものから順に花が咲く。</t>
        </is>
      </c>
      <c r="J6865">
        <f>HYPERLINK("https://www.weblio.jp/content/花", "词义详情")</f>
        <v/>
      </c>
      <c r="K6865">
        <f>HYPERLINK("https://yourei.jp/花", "查看例句")</f>
        <v/>
      </c>
    </row>
    <row r="6866">
      <c r="A6866" t="inlineStr">
        <is>
          <t>話</t>
        </is>
      </c>
      <c r="B6866" t="inlineStr">
        <is>
          <t>成功</t>
        </is>
      </c>
      <c r="C6866" t="inlineStr">
        <is>
          <t>読み方：はなし
１言葉を交わすこと。会話。談話。また、声を出して言うこと。「—が尽きない」「こそこそ—」
２筋をたてて述べること。また、その内容。「—のうまい人」「ためになる—」
３話題。「—は変わりますが」「—をそらす」「難しい—はやめよう」
４うわさ。評判。「人の—によれば」「国中が選挙の—で持ち切りだ」「—だけで実現しない」
５話し合うこと。相談すること。「ちょっと—がある」「—がこじれる」「—がまとまる」「結婚—」
６いきさつ。わけ。事情。「詳しい—は知らない」「お—はうかがっています」
７物事の道理。「—の通じない人だ」「それでは—が逆だ」
８（「咄」「噺」とも書く。「噺」は国字）人に聞かせるための作り話。説話・昔話・落語など。「浦島太郎の—」「お—の世界」「人情—」
９こと。ことがら。前述の内容をさしていう。「こんなになるまでほうっておいたとは、まったくひどい—だ」「いやはやあきれた—だね」
[下接語] （ばなし）浮世話・打ち明け話・内輪話・裏話・噂(うわさ)話・大話・御伽(おとぎ)話・戯(おど)け話・落とし話・思い出話・音曲咄(おんぎょくばなし)・怪談咄(ばなし)・楽屋話・掛け合い話・軽口話・愚痴話・小話・こそこそ話・零(こぼ)れ話・三題咄(ばなし)・仕方話・下(した)話・芝居咄(ばなし)・地咄(じばなし)・自慢話・素(す)話・世間話・高話・立ち話・譬(たと)え話・茶話・茶飲み話・作り話・辻噺(つじばなし)・伝え話・艶(つや)話・内証(ないしょ)話・長話・人情話・惚気(のろけ)話・馬鹿話・ひそひそ話・一口話・一つ話・身の上話・土産(みやげ)話・昔話・無駄話・与太話・夜(よ)話・四方山(よもやま)話・別れ話・笑い話</t>
        </is>
      </c>
      <c r="D6866" t="inlineStr">
        <is>
          <t>話をしよ；話じゃない；話を聞きたい；話を聞きつけ；話なぞ</t>
        </is>
      </c>
      <c r="E6866" t="inlineStr">
        <is>
          <t>言葉；主張；歴史；話し；由来</t>
        </is>
      </c>
      <c r="F6866" t="inlineStr">
        <is>
          <t>こんな話；そういう話；身の上話；面白い話；こういう話</t>
        </is>
      </c>
      <c r="G6866" t="inlineStr">
        <is>
          <t>話題；話す；話しかけ；話さ；話し合い</t>
        </is>
      </c>
      <c r="H6866" t="n">
        <v>29</v>
      </c>
      <c r="I6866" t="inlineStr">
        <is>
          <t>阿仁地方に鉄道を開業させる動きができたのは1920年頃の話である。；多数の人物が登場するが、ここでは複数の話に登場する人物を解説する。；しかしセヴマシュはそんな話は聞いていないとしてこの情報を否定した。；これが失敗に終わった経緯に関してはいくつかの話が伝えられている。；当時の担当編集者とは、よく映画や漫画以外の本についての話をしていた。；しかしながらこの話を聞いたオイディプースはかえって不安に陥った。；上記以外にも防衛組織が敵を攻撃する場面のある話は多く存在する。；毎話新しい発明道具が必ず登場し、一度出た道具の再登場はほとんどない。；以後、儀式の話をしただけで、彼らは白人に逮捕される状況となった。；以下の書籍の該当頁には、類話の一部が載っているので参照されたい。；原作とは設定や話の展開が異なる部分が多く、特に第二章は大きく異なっている。；トムソンの話によれば、そのときジュールは温度計を持っていたという。；ほかの話として、候補の動物たちが順番を投票で決められることとなった。；物語を考え、その話に記憶したい対象を登場させる方法である。；ところが、会社を一歩出るとラジオの話なんか誰もしていない。；この対象言語について何らかの話をするための言語をメタ言語という。；食事の話ばかりになったのは食料がますます減らされたためだった。；また話により高架駅になったり跨線橋のある駅が舞台になったこともある。；書いた小説の内容は短めで、主人公のほとんどは死んでしまう話だったという。；宋代話本の特色は白話小説と呼ばれ、白話を用いて描写される点にある。；また、貧しい環境の自然児的な主人公が、微妙な摩擦を起こす話が多い。；説話は、広義には、古くより伝承されて来た話・物語一般を意味する。；第7章の出来事から数年後の話だが、具体的な時系列は現時点で不明。；打ち合わせ中に、関係者から話を聞きながらその場で作ってしまうことが多い。；また類似の事例は仮名に限った話ではなく、他の文字にも見られる。；原作とアニメでは話の順番が一致していないため、時期設定の点で相違が見られる。；千夜一夜物語にはユーラシアの大ネットワーク上で活躍する商人の話が多い。；この話は太公望の数多くの伝説の一つであって、必ずしも史実とは限らない。；恋多き性格で、何度か結婚寸前まで話が進んだこともあるがいずれも破局。</t>
        </is>
      </c>
      <c r="J6866">
        <f>HYPERLINK("https://www.weblio.jp/content/話", "词义详情")</f>
        <v/>
      </c>
      <c r="K6866">
        <f>HYPERLINK("https://yourei.jp/話", "查看例句")</f>
        <v/>
      </c>
    </row>
    <row r="6867">
      <c r="A6867" t="inlineStr">
        <is>
          <t>話し合い</t>
        </is>
      </c>
      <c r="B6867" t="inlineStr">
        <is>
          <t>成功</t>
        </is>
      </c>
      <c r="C6867" t="inlineStr">
        <is>
          <t>読み方：はなしあい
話し合うこと。談合。相談。「—を持つ」「—で解決する」「—がつく」</t>
        </is>
      </c>
      <c r="D6867" t="inlineStr">
        <is>
          <t>話し合いたい(2%)；話し合いまし；話し合い解決；話し合い選出</t>
        </is>
      </c>
      <c r="E6867" t="inlineStr">
        <is>
          <t>態度；議論；相談；協議；会談</t>
        </is>
      </c>
      <c r="F6867" t="inlineStr">
        <is>
          <t>長い話し合い；向けて話し合い；どんな話し合い；どういう話し合い；直接話し合い</t>
        </is>
      </c>
      <c r="H6867" t="n">
        <v>29</v>
      </c>
      <c r="I6867" t="inlineStr">
        <is>
          <t>基本的なことは話し合いましたけど、抽象論では分からないわけですよ。；美樹君もその部屋をあてにしてゐて一緒に、自炊しようと話合ひました。；その後、と米国電気電子学会などが中心となって話し合いが続いていた。；あなたと十分にお話しあいができなかったことは、ほんとうに残念です。；奥さんは反省していることだし、話しあいの余地がないわけはない筈だ。；彼等二人は、ここへ來る途中もそのことを話し合つて來たに違ひなかつた。；また、5月末の話し合いよりもかなり早い段階での議論の決着となった。；イアンはほかの男たちとも話しあい、それが共通の経験なのを知っていた。；教諭と学校側は話し合いの場を持とうとしたが、Aの両親は出席を拒否。；彼はただ彼が話し合つたその間の印象を頑固に信じてゐるのだつた。；建設省が改善の話しあいに応じないとするならば廃止すべきではあるまいか。；その後、市との話し合いがあり、この平和通りの愛称が認められていった。；IWAジャパンとは一切前もっての話し合いは無かったと証言している。；叶たけしの件では、室さんと徹夜に近い話しあいをいく晩も重ねていた。；どうしてこんな明るい芝の上に寝てゐたのかと、私たちは話し合つた。；私たちは車の中でもしばしばそのことを問題にして話し合つた。；階生大会と呼ばれる階ごとの話し合いが必要に応じて行われる。；サイバープレイスでの厳しい法律導入に関する話し合いが持たれている。；いくら二人が話し合つても、この不景気をどうする事も出来なかつた。；地方の人が純粋にその土地の言葉で話合つてゐるのを聞くのは美しいものだと思ひます。；その最後のものは新來の客の事を話し合つてゐるのであつた。；この話し合いの中で、オランダ側から個人に対する支払いが求められた。；そこで夫婦で話しあい、これからは半分しか入れないことにしようと約束した。；対立を続けて戦争になるか、兄弟のように平和に向けた話し合いになるかだ。；記事のノートで話し合いがあり、そこで作成が合意されているのでしょうか。；わたしの目的のためには、顔をあわせての打ちとけた話しあいが必要でした。；スピルバーグと別れたあと、ほかの監督たちとの話し合いが始まった。；わたしたち・おまえたち・話しあい・したい、わたしたち・戦う・したくない。；基礎会員はフォーラムに参加し話し合いに参加する個人・企業・組織などである。</t>
        </is>
      </c>
      <c r="J6867">
        <f>HYPERLINK("https://www.weblio.jp/content/話し合い", "词义详情")</f>
        <v/>
      </c>
      <c r="K6867">
        <f>HYPERLINK("https://yourei.jp/話し合い", "查看例句")</f>
        <v/>
      </c>
    </row>
    <row r="6868">
      <c r="A6868" t="inlineStr">
        <is>
          <t>話し合う</t>
        </is>
      </c>
      <c r="B6868" t="inlineStr">
        <is>
          <t>成功</t>
        </is>
      </c>
      <c r="C6868" t="inlineStr">
        <is>
          <t>読み方：はなしあう
［動ワ五（ハ四）］
１互いに話す。打ち解けて話す。語り合う。「楽しく—・う」
２問題を解決するために、立場・考えなどを述べ合う。「とことんまで—・って決める」</t>
        </is>
      </c>
      <c r="D6868" t="inlineStr">
        <is>
          <t>話し合うべき(2%)</t>
        </is>
      </c>
      <c r="F6868" t="inlineStr">
        <is>
          <t>ゆっくり話し合う；よく話し合う；親しく話し合う；会って話し合う；じっくり話し合う</t>
        </is>
      </c>
      <c r="H6868" t="n">
        <v>29</v>
      </c>
      <c r="I6868" t="inlineStr">
        <is>
          <t>複数の人々が自分たちの人生を振り返ってどう思うかを話し合っていた。；私がおぼえているのは、そのことを互いに話し合って笑ったことである。；この方が素顔で、それが証拠に友達と話し合うような口調になっていた。；具体的にその場で何が話し合われているのか、説明するのは難しかった。；それよりもすっかり話し合って君の考えも聞く方がいいかも知れない。；それに、もうひとりの娘と話し合わねばならないのも、そのためなんだ。；互いに、自分が得てきた経験を話し合えば、私たちはそれを共有できた。；女の方は影になって姿が見えないが、二人は低い声で話し合っている。；バス車内で子供たちは学校が終わったら何をして遊ぶか話し合っていた。；二人は河っぷちで腰をおろし問題を話し合って夜明けを待つことにした。；しかしそうした大事な話は、大人同士で話し合うべきだと耕作は思った。；次は私たちが一緒に会って話し合うのが何よりも大切かと思います。；それは両掌にのる程度の量で、どのように処理すべきかが話し合われた。；逢ってちゃんと話し合えば、君も僕の気持ちは分かってくれるはずです。；わたしと彼はまもなく、ぼんやりとだが将来設計を話し合うようになった。；初めて会った時と打ち解けて話し合った時と感じはまるで違っていた。；そしてわたしと話し合ったことの内容、その秘密を守ったと思います。；それでも勝手に決めるわけにはいかず、全員で話し合うことになった。；現在はカインタとタイタイを合わせて市にする流れで話し合われている。；彼女は流れに攫われた任生員の小娘の水霊と話し合っている訳なのだ。；客の帰った後で夫婦は暖炉にあたりながら、頻りに話し合っていました。；通りすぎながら囁くように話し合った二人の女中の声が私の耳に響いた。；しかし、僕たちが話し合っていたのは、あなたの結婚前の時期のことです。；会合では、組織の目的・活動・資金・組織構成等について話し合われた。；足を止めて話し合う者たちのせいで、その流れはあちこちで渋滞していた。；一方の日本は、目指していた通りの展開になったと話し合っていた。；実はいまも、おれの友達の刑事と話し合っていたところなんだがね。；私の組織を彼の組織に統合することのできる条件を話し合おうと呼びかけている。；いましがたまで話し合っていた相手の手がかりはその物音だけになった。</t>
        </is>
      </c>
      <c r="J6868">
        <f>HYPERLINK("https://www.weblio.jp/content/話し合う", "词义详情")</f>
        <v/>
      </c>
      <c r="K6868">
        <f>HYPERLINK("https://yourei.jp/話し合う", "查看例句")</f>
        <v/>
      </c>
    </row>
    <row r="6869">
      <c r="A6869" t="inlineStr">
        <is>
          <t>話しかける</t>
        </is>
      </c>
      <c r="B6869" t="inlineStr">
        <is>
          <t>成功</t>
        </is>
      </c>
      <c r="C6869" t="inlineStr">
        <is>
          <t>読み方：はなしかける
［動カ下一］［文］はなしか・く［カ下二］
１相手に話をしかける。「英語で—・けられる」
２話し始める。「—・けてやめる」</t>
        </is>
      </c>
      <c r="D6869" t="inlineStr">
        <is>
          <t>話しかけるような口調；話しかけるべき；話しかけるような調子；話しかけるような気分；話しかけるやうな調子</t>
        </is>
      </c>
      <c r="E6869" t="inlineStr">
        <is>
          <t>呼びかける；語りかける；呼び掛ける；話し掛ける；語り掛ける</t>
        </is>
      </c>
      <c r="F6869" t="inlineStr">
        <is>
          <t>なにか話しかける；げに話しかける；しきりに話しかける；何かと話しかける；やさしく話しかける</t>
        </is>
      </c>
      <c r="H6869" t="n">
        <v>29</v>
      </c>
      <c r="I6869" t="inlineStr">
        <is>
          <t>事務所や店などで子どもや生徒が大人や教師に話しかけるときにも使う。；捕虜たちに話しかける時には、第三の言葉と思われる言葉を使っていた。；彼は話しかける相手に、裸になること以上のものを要求したからである。；一人は彼から話しかけられ、一人は彼から挨拶されたというのであった。；そして彼のうちから外に出て外部から話しかけてるように思えてきた。；ただそのために以後二人連れの者には決して話しかけぬことにした。；俊寛は、最初彼女が、何か自分に話しかけているのではないかと思った。；しかし彼に直接話しかけて、答えが返ってくることはほとんど無かった。；彼は又、彼女が最後の日に舟の上で話しかけた、夢の様な恐怖を思出した。；ひとりでいるのに、だれかそこに話しかける相手がいるような気がする。；男は明らかにホテルの支配人か事務員に話しかけているところであつた。；もし英語で話しかけると、その結果は気まぐれなものになりがちだった。；そして彼のうちから外に出て、外部から話しかけるように思えてきた。；しかも、強盗達は、自分を仲間の一人だと思って話しかけたりしている。；しかし彼に話しかけて家に帰ってくると、一週間たって死んでしまう。；そういう感動した尊敬の調子で話しかけられるのに慣れていなかったのである。；その男は向う側に胡床をかいた自分の道連れらしいのに話しかけてゐた。；その最中は二人に話しかけてもムダだと断定しきっている落着きである。；しかしその近眼のせいで全く関係の無い人物や物に話しかけてしまう。；私は周りの子どもたちの誰も知りませんし、誰も私に話しかけもしません。；心の中で姉に話しかけるが、姉は黙りこんでしまって相手をしてくれない。；彼は春子が仕事をしている間は、自分からはめったに話しかけなかった。；ここにいる女性は、そんなふうに話しかけることのできる相手ではない。；僕は彼らに話しかけることができずに、廊下からぼんやりと外を眺めていた。；傍に座を占めてゐた彼等のうちの一人は、はじめて僕に話しかけた。；彼女は、私の日本語を理解しましたし、私に話しかけたりもしました。；彼のところへ行き、彼に話しかけることは、私は試みさえしていない。；わたしは、父がわたしにやさしく話しかけるのではないかと期待していた。；そのせいで無口な久美子も、彼に話しかける気持になったらしいのです。</t>
        </is>
      </c>
      <c r="J6869">
        <f>HYPERLINK("https://www.weblio.jp/content/話しかける", "词义详情")</f>
        <v/>
      </c>
      <c r="K6869">
        <f>HYPERLINK("https://yourei.jp/話しかける", "查看例句")</f>
        <v/>
      </c>
    </row>
    <row r="6870">
      <c r="A6870" t="inlineStr">
        <is>
          <t>話中</t>
        </is>
      </c>
      <c r="B6870" t="inlineStr">
        <is>
          <t>成功</t>
        </is>
      </c>
      <c r="D6870" t="inlineStr">
        <is>
          <t>話；言葉；主張；歴史；話し</t>
        </is>
      </c>
      <c r="H6870" t="n">
        <v>29</v>
      </c>
      <c r="I6870" t="inlineStr">
        <is>
          <t>阿仁地方に鉄道を開業させる動きができたのは1920年頃の話である。；多数の人物が登場するが、ここでは複数の話に登場する人物を解説する。；そこで鳥の声のレコードを買ってきて、自宅で一日中流し続けていた。；ニュートン力学の主要な点はすべてこの中に含まれていると言ってもよい。；しかしセヴマシュはそんな話は聞いていないとしてこの情報を否定した。；用語「ヨーロッパ」は、歴史が展開する中で使われ方が様々に発展した。；このあたりの事情は2冊の著作の中で徹底的かつ詳細に検証されている。；当時の担当編集者とは、よく映画や漫画以外の本についての話をしていた。；作品の中で自身の画力を自虐的に扱うシーンを入れる事も度々であった。；その多くは有用なものであるが、中には以下のようなものも存在する。；関係者の話によると自宅のソファーの上で死亡したとのことである。；彼らの中には稀代のエンターテイナーとして歴史に名を残した者もいる。；アラビアの自然哲学者らの中にはピロポノスの考えを継承する者もいた。；しかしながらこの話を聞いたオイディプースはかえって不安に陥った。；上記以外にも防衛組織が敵を攻撃する場面のある話は多く存在する。；中にはゴローニンや高田屋嘉兵衛のように相手国の捕虜になった人もいた。；毎話新しい発明道具が必ず登場し、一度出た道具の再登場はほとんどない。；動作中の他のソフトウェアからは、仮想記憶機構の内部の動きは見えない。；大の軍事ファンであり、その中でも特に戦車が好きなようである。；この場合は中にいる人間が主役となるので、個人の差の問題までも考慮する。；以後、儀式の話をしただけで、彼らは白人に逮捕される状況となった。；以下の書籍の該当頁には、類話の一部が載っているので参照されたい。；原作とは設定や話の展開が異なる部分が多く、特に第二章は大きく異なっている。；このメンバーの中にはそのままオールナイターズと結婚したメンバーもいる。；トムソンの話によれば、そのときジュールは温度計を持っていたという。；気象学の研究の中では、人工降雨などの気象制御の試みも行われてきた。；舞楽が演じられる際には、その中にさらに3間四方の敷舞台が置かれた。；また近年ではコース中でゴミを捨てて良い区間が一部に限定されている場合もある。；ほかの話として、候補の動物たちが順番を投票で決められることとなった。</t>
        </is>
      </c>
      <c r="J6870">
        <f>HYPERLINK("https://www.weblio.jp/content/話中", "词义详情")</f>
        <v/>
      </c>
      <c r="K6870">
        <f>HYPERLINK("https://yourei.jp/話中", "查看例句")</f>
        <v/>
      </c>
    </row>
    <row r="6871">
      <c r="A6871" t="inlineStr">
        <is>
          <t>話し手</t>
        </is>
      </c>
      <c r="B6871" t="inlineStr">
        <is>
          <t>成功</t>
        </is>
      </c>
      <c r="C6871" t="inlineStr">
        <is>
          <t>読み方：はなして
１話をするほうの人。話者。
２話のうまい人。話し上手。「なかなかの—だ」</t>
        </is>
      </c>
      <c r="D6871" t="inlineStr">
        <is>
          <t>話し手自身</t>
        </is>
      </c>
      <c r="E6871" t="inlineStr">
        <is>
          <t>スピーカー；話者；発言者；話手；トーカー</t>
        </is>
      </c>
      <c r="H6871" t="n">
        <v>29</v>
      </c>
      <c r="I6871" t="inlineStr">
        <is>
          <t>それは誰に話しても本当にしてくれまいと思われる電話の魔力であった。；たとえ私が今、すべてを話してもきっとあなたは石を使うのをやめない。；話し手に注意を集中してもらうためには面白く話をしなければならない。；大伯父は少なくとも自分が話してもいいと思った範囲では説明しました。；しかもその晩は何事もなく、わたしは先生と一時間あまり話して帰った。；鐵骨ばかりのビルヂングの下で二人の男が上を見上げながら話してゐた。；外の人間と話してゐると、人間の皮と話す様で歯痒くつてならなかつた。；乃梨子ちゃんは、話し手が期待していた通りの正しい反応をしてくれる。；話し手は家主や大名の立場に立って、自分自身は笑いの対象にならない。；お父さんは小屋の入口で馬を引いて炭をおろしに来た人と話してゐました。；人が話して聞かせても、「そうですか」と言って相手にもならなかった。；またそれを口で話して一定の聴衆が聞くだけでもそれは文学ではない。；これはまるで人間同士が会つて話してゐる図にはなるまいと思はれた。；そのためにこそ時間をかけてわれわれと話しておられるのでしょう?；たしかにここには、本来ひとりであるはずの話し手が、ふたりおります。；僕の隣には新聞記者らしい三十前後の男が二人何か小声に話してゐた。；そこで彼はこんな場合に話して置くつもりで、さらに言葉をつづけた。；そいつが見つけて、妙なこともあるもんだと、おれに話してくれたんだ。；たとい又何であるにしたかて話してええことと悪いこととあるやないか。；話し手は関連性を確認し、また関連性のない情報を省略する必要がある。；地球帰還後はゆっくり研究生活を送りたいとも話していたこともある。；そうなるとわたしたちのことをもう人並みに話してはくれませんでした。；相手が小石の場合にはどの高さからでもはなして運動をさせることができる。；いまそこで会つて話して来たんだから、間違いはないといつてやつたんですよ。；その時何か話して笑いながら、店の前を通り掛かる男女の浴客があった。；単に扉を開けはなしてある自分の部屋にすぎないのだと自分に言い聞かせた。；私はその男を引きはなして、よく見ると、それはマニュエル少年だった。；他人と会話してなくても頭の中で自分自身とよく話してるんだ。；一人で物をおもう事はないのだ、話して笑ってしまえばそれで済むのだ。</t>
        </is>
      </c>
      <c r="J6871">
        <f>HYPERLINK("https://www.weblio.jp/content/話し手", "词义详情")</f>
        <v/>
      </c>
      <c r="K6871">
        <f>HYPERLINK("https://yourei.jp/話し手", "查看例句")</f>
        <v/>
      </c>
    </row>
    <row r="6872">
      <c r="A6872" t="inlineStr">
        <is>
          <t>放す</t>
        </is>
      </c>
      <c r="B6872" t="inlineStr">
        <is>
          <t>成功</t>
        </is>
      </c>
      <c r="C6872" t="inlineStr">
        <is>
          <t>読み方：はなす
［動サ五（四）］《「離す」と同語源》
１捕らえられたりつながれたりしている動物などを自由にしてやる。「魚を川に—・す」「猟犬を—・す」
２握ったりつかんだりしていたのをやめる。「母の手を—・す」「ハンドルから手を—・す」
３手元から遠くにやる。手放す。「刀を—・したことがない」
４矢や弾丸を発射する。はなつ。
「近くで—・しただけに狙いも狂わず」〈円朝・真景累ヶ淵〉
５料理で、水や汁などに入れて散らす。「ナスを水に—・してあくを抜く」
６（他の動詞の連用形に付いて）
㋐あることをしたままほうっておく。「見—・す」
㋑ある状態を続ける。前に促音が挿入されて「ぱなす」の形をとることが多い。「勝ちっ—・す」
[可能]はなせる</t>
        </is>
      </c>
      <c r="D6872" t="inlineStr">
        <is>
          <t>放すまい(4%)</t>
        </is>
      </c>
      <c r="E6872" t="inlineStr">
        <is>
          <t>解放；除く；放棄；放つ；区画</t>
        </is>
      </c>
      <c r="F6872" t="inlineStr">
        <is>
          <t>ブッ放す；引き放す；つき放す；ふり放す；切って放す</t>
        </is>
      </c>
      <c r="H6872" t="n">
        <v>29</v>
      </c>
      <c r="I6872" t="inlineStr">
        <is>
          <t>感情の鋭い一人の若い弁護人は思はず腰を放して立ち上つた位であつた。；私は画面から目を放してもう一度君を見直さないではいられなくなった。；俺は京に庖丁を放させると、横にさせようと彼女を部屋に連れていった。；あらゆる感情のうちに安心して自分を放してやっていなかったと感じます。；それに誰も知っているように侍僕にピストルをぶっ放すのはおれの癖だ。；その中の無数な顔という顔がみな大きな口を開けッ放しに開けていた。；それまでの少しの間、ぼくはかえって船から放されそうになっていた。；たしかに入居して来た当初は、釣り堀から海に放されたような気がした。；ゆき子は、千円の金を手にして、そのまゝつつ放されたやうな気がした。；窓から見ると、四匹の犬が綱から放されて、庭を行ったり来たりしている。；室の外と云っても、ドアをあけ放したすぐ外のところに立っているのである。；男たちのうしろのあけ放された玄関口から、家の内部がのぞいて見えた。；ただひとつうるさいのは、かれらが杢助から眼を放さないことであった。；辿り着いて見ると、屋根のトタン板は吹き放されて天井は既に無かった。；桑木は自分の恥を消すために握った指をいっそう強くして放さなかった。；死者の或るものはボウトの縁をしっかり掴んで、死んでも放さなかった。；家を出るとき兎は残していきなさいと彼は言ったが放すことができなかった。；しかしいま、なぜかふしぎにその言葉は信夫の心を捉えて放さなかった。；ジムは頭の上の窓が大きくあけ放されているのを見ることができた。；はじめは軽い気持ちで、真弓の唇に軽く触れて、すぐ放すつもりだった。；そして、ようやくその手が放されたときには、男は完全に死んでいた。；まことに、この我慢を放さずに、最後までお役儀大切と思うことだった。；同時に、今まで次郎の足にかけていた両手を思わず放してしまった。；それはちゃんと自分の家まで持ってかえって放してやりましたよ。；彼は、そこから自分をもぎ放すようにして、現在の当面の問題に戻った。；仏は、アンの身体を、ふり放そうとしたが、それはうまくいかなかった。；仙田はマイクを放そうとせず、このままでは終りがないような気がする。；それから彼女は弱々しい指でそれをつかむと、もう放そうとしなかった。；あの後も一時は許してゐて、再び追ツ放されたのではないか知らんと思ふ。</t>
        </is>
      </c>
      <c r="J6872">
        <f>HYPERLINK("https://www.weblio.jp/content/放す", "词义详情")</f>
        <v/>
      </c>
      <c r="K6872">
        <f>HYPERLINK("https://yourei.jp/放す", "查看例句")</f>
        <v/>
      </c>
    </row>
    <row r="6873">
      <c r="A6873" t="inlineStr">
        <is>
          <t>話す</t>
        </is>
      </c>
      <c r="B6873" t="inlineStr">
        <is>
          <t>成功</t>
        </is>
      </c>
      <c r="C6873" t="inlineStr">
        <is>
          <t>読み方：はなす
［動サ五（四）］
１言葉で相手に伝える。告げる。語る。「事件を人に—・す」「電話で—・す」
２相談する。話し合う。「父に—・してから返事する」
３外国語を使う。「ドイツ語を—・す」
４交際する。つきあう。
「一條あたりに有徳なる人ありしが、年久しく—・したる人なりしが」〈仮・竹斎・下〉
５（遊里語で）遊女を買う。
「鹿恋(かこひ)女郎を—・すくらゐの男は」〈浮・禁短気・六〉
→言う［用法］
[可能]はなせる</t>
        </is>
      </c>
      <c r="D6873" t="inlineStr">
        <is>
          <t>話すべき；話すまい</t>
        </is>
      </c>
      <c r="E6873" t="inlineStr">
        <is>
          <t>いう；言う；話し；云う；発言</t>
        </is>
      </c>
      <c r="F6873" t="inlineStr">
        <is>
          <t>ゆっくり話す；話せば話す；会って話す；詳しく話す；話す駐日各国</t>
        </is>
      </c>
      <c r="H6873" t="n">
        <v>29</v>
      </c>
      <c r="I6873" t="inlineStr">
        <is>
          <t>さらに接近して話し始める際も、特定の動作や言葉で互いに話し始める。；フランス語を話す人口が比較的多いカナダではこの漫画が販売されていた。；それは、彼らは実は生きていて、話したり自由に行動したりできるのだ。；この女性は英語を話せず、自分の名前もどこから来たかも知らなかった。；時々どこかに電話をかけるが、相手が出ても何も話さずに切ってしまう。；しかし彼らは実際的な人間ばかりだから、話せば分かってくれるだろう。；登場人物たちの話す言葉は、作者の強いこだわりをもって描かれている。；酒の勢いを借りて話そうとしているのだが、息が詰まりかけているのだ。；張本自身は相手の帽子を張っただけで手は出していないと話している。；そこでは人間そっくりの体を持つ動物たちが人間の言葉で話していた。；日本人で最初に生きた英語を話すことができたのはジョン万次郎であろう。；なお昭和天皇がラジオで国民に向けて話すのは初めてのことであった。；宝石を見たホームズは、新聞に毎日掲載されている記事のことを話した。；話そうと思って来たことを、二人の前に打ち明けることも出来なかった。；私はあのふしだらな事件を先生に話そうとは、一瞬も考えたことがない。；「この番組は10年契約」で始めたと本番組スタート時から話していた。；こんな変った生活をしている人なのだから、そう話せば何とも言うまい。；おれはただ、局長があまり知りたくないことを話そうとしているだけだ。；なんとか蛇語が話せたのは、本物のヘビに向かっているときだけだった。；言葉を話すシーンは無いが、火災が起きた際に119番通報をしている。；リハーサルを見て自分が現れる以前に「面白い」と思ったと話している。；川柳はこのことを根に持ち、しばらく高座でこのことばかり話していた。；こちらでは初代と同タイプの個体が改造され、言葉も話すようになっている。；この年になっても妻と話せぬことは、ときどきこれであるものだと思った。；往来で話すような軽い単純なものを私は話そうとしているのではない。；彼の最近の一つの恥に就いては、どうあつても彼は老師に話せなかつた。；いまは頭が白くなってきたのでブルー系は難しくなってきたと話した。；本当のことが話せたらいいのだが、口に出して云うわけにはいかなかった。；彼らの絵を見る際には予備知識が必要ないから好きだと話している。</t>
        </is>
      </c>
      <c r="J6873">
        <f>HYPERLINK("https://www.weblio.jp/content/話す", "词义详情")</f>
        <v/>
      </c>
      <c r="K6873">
        <f>HYPERLINK("https://yourei.jp/話す", "查看例句")</f>
        <v/>
      </c>
    </row>
    <row r="6874">
      <c r="A6874" t="inlineStr">
        <is>
          <t>離す</t>
        </is>
      </c>
      <c r="B6874" t="inlineStr">
        <is>
          <t>成功</t>
        </is>
      </c>
      <c r="C6874" t="inlineStr">
        <is>
          <t>読み方：はなす
［動サ五（四）］
１くっついているものを解き分ける。「付箋(ふせん)を—・す」「魚の身を骨から—・す」
２他のものとの間を隔てる。その位置から遠ざける。「席を—・す」「少し—・して植える」「二人の仲を—・す」
３二つのものの間に隔たりをつくる。間に距離を置く。「二位以下を大きく—・す」「業績で同期生に—・される」
４（「目をはなす」の形で）視線を別の所に移す。「いたずらっ子なので目が—・せない」
５除く。はずす。
「コレヲ—・シテワホカニナイ」〈和英語林集成〉
[可能]はなせる</t>
        </is>
      </c>
      <c r="D6874" t="inlineStr">
        <is>
          <t>離すまい(3%)；離すと同時に；離すとすぐ；離すべから；離すべき</t>
        </is>
      </c>
      <c r="E6874" t="inlineStr">
        <is>
          <t>分離；区画；分かれる；分ける；解く</t>
        </is>
      </c>
      <c r="F6874" t="inlineStr">
        <is>
          <t>ひき離す；もぎ離す；突き離す；以上離す</t>
        </is>
      </c>
      <c r="H6874" t="n">
        <v>29</v>
      </c>
      <c r="I6874" t="inlineStr">
        <is>
          <t>それからわたくしはあなたをちょっとの間も手離すまいとしたのですね。；あんたが自分自身にびっくりして手を離す前におれは白い血を放っていた。；これでゆっくりとではあるが追いかけるイギリス艦隊との距離を離した。；リーファが剣から手を離すと同時に、彼も自分の武器を捨てていたのだ。；その夜、彼は二人のベッドを部屋の中のできるだけ遠い場所へと離した。；相手を選んでそれを離したくないと主張した一組の男女の死が見出された。；右のように植物と人生とは実に離す事の出来ぬ密接な関係に置かれてある。；それであたしどうしてもあのひとから眼を離すことができなかったの。；かれは、何とか物がいえるように顔を離し、やっとのことでつぶやいた。；ひとり歩きができ始めたおきみは、手を離すと勝手に歩き出してしまう。；しばらくそうしていて手を離すと、耳の奥で鳴っていた轟音が遠のいた。；一瞬たりとも目を離すことのできない勝負を演出し、心を失わせてほしい。；そのうちに若先生は私をソッと膝から離して改めて私の顔を見られた。；それは実際に於て感情が言葉から游離してゐると云ふことであります。；恋人に犯罪を行わせることで、彼を自分から離すまいとする気持ちさ。；最後まで私が手離さないでいた玉網も、とうとう父に取り上げられた。；彼にはすべてのものを地から離して天に高めようとする意志が見える。；少女が身を振り離そうとするのを面白がって、若者は大声で笑い出した。；帰る時分に子供は娘の人形をしっかりつかんでいて離しませんでした。；拳銃から弾がなくなっているのを知らずに、尻ポケットから手を離す。；自分より遠ざけて、自分の目より離さんと工夫するのが人間の心である。；中には叔母が田舎にいた時分から離さなかった頭髪のものなどもあった。；ある高さで物体を離すと重力を発している重力源に向かって落ちていく。；レースの間、かれは金とクレジット・カードだけは手離さなかったのだ。；左側の男から身を離そうとして、右の大きな男のほうに寄ってしまった。；中に入っていたのは未知の昆虫で、彼女が目を離したすきに姿を消した。；この刹那から後は、フレンチはこの男の体から目を離すことが出来ない。；看護婦はやがて彼の手を離して、机の上から小さな紙箱を持って来た。；彼は會釋した、しかしその眼は犬と子供の方から離さないまゝであつた。</t>
        </is>
      </c>
      <c r="J6874">
        <f>HYPERLINK("https://www.weblio.jp/content/離す", "词义详情")</f>
        <v/>
      </c>
      <c r="K6874">
        <f>HYPERLINK("https://yourei.jp/離す", "查看例句")</f>
        <v/>
      </c>
    </row>
    <row r="6875">
      <c r="A6875" t="inlineStr">
        <is>
          <t>甚だ</t>
        </is>
      </c>
      <c r="B6875" t="inlineStr">
        <is>
          <t>成功</t>
        </is>
      </c>
      <c r="C6875" t="inlineStr">
        <is>
          <t>読み方：はなはだ
［副］普通の程度をはるかに超えているさま。たいへん。非常に。「—多い」「—恐縮です」</t>
        </is>
      </c>
      <c r="D6875" t="inlineStr">
        <is>
          <t>甚だ多い(2%)；甚だ多く；甚だ不；甚だ面白く；甚だ多し</t>
        </is>
      </c>
      <c r="E6875" t="inlineStr">
        <is>
          <t>最も；非常；非常に；ひどく；大変</t>
        </is>
      </c>
      <c r="F6875" t="inlineStr">
        <is>
          <t>甚だ心細い；甚だ面白い；甚だ疑はしい；甚だ不本意；甚だ覺束</t>
        </is>
      </c>
      <c r="G6875" t="inlineStr">
        <is>
          <t>甚だしい；甚だしき；甚だし；甚だしか；甚だしから</t>
        </is>
      </c>
      <c r="H6875" t="n">
        <v>29</v>
      </c>
      <c r="I6875" t="inlineStr">
        <is>
          <t>わたしもそれを説明するに適当の言葉を知らないのを甚だ残念に思う。；そういう事も今になって考えて見ると、甚だ奇怪に感じられるのである。；彼はすでに年が70余歳であったが、突厥の人々に甚だ尊敬されていた。；加えて脆く折れやすいものとなったため、評判は甚だ悪いものであった。；その為にも甚だ便利だと思ひ、ルノアルを立ち合はせた次第であります。；また東京の様な入り込みの地方では、既に忘れられているものが甚だ多い。；時間が人に対してその威勢を加えていることも、甚だ大きなものである。；呉は新しく鋳らせた剣を持っていまして、それが甚だよく切れるのです。；彼の常に云ふ所によれば、象徴派の詩人の作品は甚だ幽幻を極めてゐる。；しかも今日からそれを準備するといふことは実は甚だ心細いことであります。；が、今日は暴君以外に奴隷を奴隷と呼ぶこともやはり甚だ危険である。；特に関西地方に於いて、この傾向が甚だ多く認められるのでございます。；日本はその過去の本に於ては、西洋本と甚だ異る綴本装幀をもっている。；この数篇の文章の中に千古の鉄案を求めるのは勿論甚だ危険である。；思想界に一度病が起ると、文学でも画でも甚だ卑猥なるものが流行して来る。；むかしの観客は稽古の積まない芝居を見せられるのを甚だ嫌ったらしい。；飛騨の畚渡しは、昔から絵にも描かれ、舞台にも上されて甚だ有名である。；日本の学会に、その真価が殆ど認められていないのは、甚だ遺憾である。；人の懐を当てにするという如き薄弱なる財政は甚だ畏るべきものである。；普通人の自己の身體に對する注意が甚だ疎であるのは實に愚な事である。；このような類の卑陋のような、達識のような者もまた甚だ少なくない。；しかしながらこの大学はまだすべての点に於て甚だ不十分である。；時間の人に對して其の威勢を加へて居ることも甚だ大なるものである。；素人考えに不必要だと思われたことも、後には甚だ必要であったことが分った。；その根底に相副い相協ないものがあるのだから持続で出来る時間は甚だ短い。；さて、伯爵の今宵の趣向は、偶然にも、甚だ陰欝な種類のものであった。；わが国現代演劇の貧血と動脈硬化は、由来するところ甚だ遠いのである。；古來我邦の化物思想は甚だ幼稚で、或は殆ど無かつたと言つて可い位だ。；しかし、他の古城と違い面積が甚だ広大で十町、二十町と連なっている。</t>
        </is>
      </c>
      <c r="J6875">
        <f>HYPERLINK("https://www.weblio.jp/content/甚だ", "词义详情")</f>
        <v/>
      </c>
      <c r="K6875">
        <f>HYPERLINK("https://yourei.jp/甚だ", "查看例句")</f>
        <v/>
      </c>
    </row>
    <row r="6876">
      <c r="A6876" t="inlineStr">
        <is>
          <t>はなはだしい</t>
        </is>
      </c>
      <c r="B6876" t="inlineStr">
        <is>
          <t>成功</t>
        </is>
      </c>
      <c r="C6876" t="inlineStr">
        <is>
          <t>読み方：はなはだしい
［形］［文］はなはだ・し［シク］普通の度合いをはるかに超えている。「—・い被害」「非常識も—・い」
[派生]はなはだしさ［名］</t>
        </is>
      </c>
      <c r="D6876" t="inlineStr">
        <is>
          <t>はなはだしいもの(8%)；はなはだしい場合；はなはだしい時；はなはだしい苦痛；はなはだしい疲労</t>
        </is>
      </c>
      <c r="E6876" t="inlineStr">
        <is>
          <t>大；非常；強い；巨大；大きい</t>
        </is>
      </c>
      <c r="F6876" t="inlineStr">
        <is>
          <t>あまりにはなはだしい；思い上がりもはなはだしい；さらにはなはだしい；いっそうはなはだしい；もっとはなはだしい</t>
        </is>
      </c>
      <c r="H6876" t="n">
        <v>29</v>
      </c>
      <c r="I6876" t="inlineStr">
        <is>
          <t>けれど想像していた時と事実となった時との感ははなはだしく違った。；現在すでに相当はなはだしい老化現象が起こっているように思われます。；はなはだしい場合は、腹の中で泣いていながら顔では笑っていたりする。；もっとはなはだしいのになると、俳優が泣く場面で自分も泣いてしまう。；女どもはいつもそのことを言っているし、ことに僕にははなはだしい。；総じてウェストの精神的な緊張ははなはだしいものだったにちがいない。；はなはだしく複雑な構造をしたその長い形の金属を、彼は理解できなかった。；この二つの文章を比べた教授は、後者のほうに、はなはだしい異常を見た。；このことは、精神がはなはだしく自己自身に満足するときに起こるのである。；あまりにはなはだしく成績が悪い場合は、カードを取り上げられてしまう!；はなはだしい時には聞き手にダーティなイメージを与えることすらある。；一年半年はなはだしいのは一二ヶ月くらいで他へ譲り渡してしまうのである。；はなはだしい時には他の衆僧をののしって我れひとり道心ありと宣伝する。；はなはだしいのは肝腎な個所で全然反対の意に変わっているのもある。；二人とも度はずれに興奮していたが、特にガーニャははなはだしかった。；この傾向のさらにはなはだしいものは、一定の言葉を詠み込む歌である。；このまま敵を追ってゆくことははなはだしく危険をともなっていた。；この計画は容易な仕事でなく、はなはだしい危険をともなうものであった。；はなはだしい場合は、結末が白から黒に変ってしまったものさえある。；かくしてその流血を比較する時には、イギリスの方がはなはだしかった。；あんなことをして私の友情を手に入れようとは、非常識もはなはだしい!；すでにこれを知らば過去の抑圧のはなはだしきもまた知るべきなり。；しかのみならず今日に至りては、なおこれよりはなはだしきことあり。；それにまた、それまでの計算に、はなはだしい誤りを犯していたのです。；今ではその友の顔をみるさえはなはだしい苦痛なのである。；そこで私達は通常の思想と一部分はなはだしく矛盾するような結果に到着します。；その事件があって後の白水は、会社側からはなはだしく忌みきらわれた。；はなはだしいのは、あたまの上のほうへいっているのもございます。；われわれの存在を無視し愚弄する、これよりはなはだしきものはない。</t>
        </is>
      </c>
      <c r="J6876">
        <f>HYPERLINK("https://www.weblio.jp/content/はなはだしい", "词义详情")</f>
        <v/>
      </c>
      <c r="K6876">
        <f>HYPERLINK("https://yourei.jp/はなはだしい", "查看例句")</f>
        <v/>
      </c>
    </row>
    <row r="6877">
      <c r="A6877" t="inlineStr">
        <is>
          <t>華々しい</t>
        </is>
      </c>
      <c r="B6877" t="inlineStr">
        <is>
          <t>成功</t>
        </is>
      </c>
      <c r="C6877" t="inlineStr">
        <is>
          <t>読み方：はなばなしい
［形］［文］はなばな・し［シク］はでで人目をひくさま。はなやかで、みごとである。「—・くデビューする」「—・い一生」
[派生]はなばなしげ［形動］はなばなしさ［名］</t>
        </is>
      </c>
      <c r="D6877" t="inlineStr">
        <is>
          <t>華々しい活躍(11%)；華々しいもの(5%)；華々しい戦果(5%)；華々しいデビュー(4%)；華々しい成功(3%)</t>
        </is>
      </c>
      <c r="E6877" t="inlineStr">
        <is>
          <t>立派；見事；名誉；豪華；鮮やか</t>
        </is>
      </c>
      <c r="F6877" t="inlineStr">
        <is>
          <t>華々しい業績；華々しい発展；華々しい戦勝；華々しいスタート；こうした華々しい</t>
        </is>
      </c>
      <c r="H6877" t="n">
        <v>29</v>
      </c>
      <c r="I6877" t="inlineStr">
        <is>
          <t>島津軍が朝鮮で華々しい軍功を挙げたことは誰一人知らぬ者がなかった。；だが、表面の華々しさが消えたぶん、地道な需要が根をおろしたようだ。；姉の話を聞いてから、お清が何だか晴れやかな華々しいものに思われた。；どうでもいいことだが、劉禅の誕生には華々しい神秘現象が起きている。；このため排気系から華々しく炎をあげながら走行するさまが見られる。；華々しく、そしてあっ気なく、さらには謎を残しただけの爆発であった。；大学やなんかの華々しい運動を見て、それに憧れてこんな文を書いた。；過去の経歴がどれほど華々しいものだろうと、今はただの飲んだくれ。；政権を握ってからは、世界の表舞台に華々しく登場し、一世を風靡した。；福とは利であり、暗いところを見せぬために婚礼は華々しくするのです。；移籍した球団で十勝以上をあげて、本心を打ち明けて華々しく引退する。；戦場ではどれほど華々しい働きをしようとも、経世の才はなきに等しい。；しかしそんな彼の選手生命は決して華々しいだけの物では無かった。；ここ数年、信長の家臣で最も華々しい成果を挙げたのは、秀吉であっただろう。；小説を書くという一人の作業が、これほど華々しく顕彰された作品はない。；一族の華々しくもロマンティックな結婚史に逸話がひとつ加わるだけだ。；成功例が華々しく喧伝されるが、彼女たちはほんのひと握りなのである。；英雄の華々しい勝利が歌い上げられ、英雄と伴侶は手を携えて登場する。；クリスチャン4世の組織した陸軍は、最初の戦いでは華々しい成果を挙げた。；自らの華々しい働きによって勝利を掴みたいという見栄の強い人なのだ。；ここ数年、科学研究においては華々しい成果を上げ続けてきている。；この時点で、田中は日中が自身の最も華々しい功績になるとは思っていなかったことだろう。；組織は次第に強力な財政基盤を築いて華々しい経済的成功を収めていった。；新聞には毎日華々しい戦果が報じられて、人々は改めて日本の強さを知った。；彼女の青春の最後を華々しく飾るべき最後の男のような気がした。；同社の硬式野球部で華々しい実績を残した末に巨人へ入団した。；かれらは吉良の首をとって華々しく死に名を残した。；といって、どこがどうと指摘できるほど華々しい動きというわけでもない。；パリ滞在は新作オペラを華々しく成功させることだったからである。</t>
        </is>
      </c>
      <c r="J6877">
        <f>HYPERLINK("https://www.weblio.jp/content/華々しい", "词义详情")</f>
        <v/>
      </c>
      <c r="K6877">
        <f>HYPERLINK("https://yourei.jp/華々しい", "查看例句")</f>
        <v/>
      </c>
    </row>
    <row r="6878">
      <c r="A6878" t="inlineStr">
        <is>
          <t>花火</t>
        </is>
      </c>
      <c r="B6878" t="inlineStr">
        <is>
          <t>成功</t>
        </is>
      </c>
      <c r="C6878" t="inlineStr">
        <is>
          <t>読み方：はなび
黒色火薬・発色剤などをまぜ合わせて筒や玉などに詰め、点火して破裂・燃焼させ、その色彩の美しさや爆音などを楽しむもの。打ち上げ花火・仕掛け花火・おもちゃ花火など、種類は多い。《季夏》</t>
        </is>
      </c>
      <c r="D6878" t="inlineStr">
        <is>
          <t>花火見物；花火工場；花火みたい；花火打ち上げ；花火玉</t>
        </is>
      </c>
      <c r="E6878" t="inlineStr">
        <is>
          <t>火工品</t>
        </is>
      </c>
      <c r="F6878" t="inlineStr">
        <is>
          <t>打ち上げられる花火；奉納花火；昼花火；試験花火；大規模な花火</t>
        </is>
      </c>
      <c r="G6878" t="inlineStr">
        <is>
          <t>花火師；花火の夜；花火線香；花火セット</t>
        </is>
      </c>
      <c r="H6878" t="n">
        <v>29</v>
      </c>
      <c r="I6878" t="inlineStr">
        <is>
          <t>この方向の違いを共に取り入れたのが現代の日本の花火技術である。；公園内はバーベキューおよび花火など火を使用する行為は禁止されている。；ただし当時の花火はまだ真円には開かず、また入りも単色に限られていた。；この花火は今まで公演してきた花火とは違い曲中でアナウンスが流れない。；本大会の花火の眺望を期待して周辺のマンションを購入する動きも見られる。；その中の「花火 」は、ラツィンの中で最も感動的な詩の一つであった。；また海岸特設ステージでは、花火をバックに様々なイベントが行われる。；式典が終了すると同時に雨が降り始め、予定されていた花火は延期された。；基本的なことは5号機のハナビと一緒だが、下記の点が大きく異なる。；また、花火工場などの危険性が極めて大きい工場もこの地域に建設される。；かつては関東随一を自称したこともある比較的著名な花火大会である。；金属燃焼時の発色は、花火で明るい色を作り出すために利用されている。；花火への応用にもう一つの利点は、前述のとおり合金が脆いことである。；江戸時代になり、戦がなくなると、花火を専門に扱う火薬屋が登場した。；ヨーロッパでの主な生産地はイタリアで、火薬と花火製造が盛んに行われた。；日本で最初に花火を観賞した人物は、一般的には徳川家康と言われている。；欧米版ではいくつかの美しい花火と対戦モードが追加されている。；この時、全個体が外側を向いている集団はまるで花火が広がるようにして解消する。；巨大人形のパレードが行われ、夜には花火でできたの競争が行われる。；それ以前の花火は、煙や炎が噴き出す花火であったと考えられている。；近年では花火よりも単価が安いことから鳥獣対策にも利用されている。；釈迦堂川花火大会とは福島県須賀川市で開催される花火イベントである。；また彼女自身は自らに傷を負わせることなくこの花火を吸収する事が出来る。；森のポケモンたちと異なり、花火などの人間の文化にもなれている。；第一次世界大戦中には花火の売上はやや減少したが、戦後は戻った。；しかし、花火玉自体が重過ぎたために上昇せず水中で爆発、失敗に終わった。；花火の種を土に撒くことで、すぐに植物が育ち、花の代りに花火が開く。；原因は新年を迎える為にあげられた花火に驚き、鳥たちがお互いに衝突死した模様。；それらは現在はスコッピオ・デル・カッロ祭で花火に火をつける際に用いられている。</t>
        </is>
      </c>
      <c r="J6878">
        <f>HYPERLINK("https://www.weblio.jp/content/花火", "词义详情")</f>
        <v/>
      </c>
      <c r="K6878">
        <f>HYPERLINK("https://yourei.jp/花火", "查看例句")</f>
        <v/>
      </c>
    </row>
    <row r="6879">
      <c r="A6879" t="inlineStr">
        <is>
          <t>花弁</t>
        </is>
      </c>
      <c r="B6879" t="inlineStr">
        <is>
          <t>成功</t>
        </is>
      </c>
      <c r="C6879" t="inlineStr">
        <is>
          <t>読み方：かべん
花びら。</t>
        </is>
      </c>
      <c r="D6879" t="inlineStr">
        <is>
          <t>花弁状(4%)；花弁数；花弁みたいな唇；花弁基部</t>
        </is>
      </c>
      <c r="E6879" t="inlineStr">
        <is>
          <t>弁；花びら；脣；花片；瓣</t>
        </is>
      </c>
      <c r="F6879" t="inlineStr">
        <is>
          <t>白い花弁；巨大な花弁；花弁より長く；八枚花弁；花弁より長い</t>
        </is>
      </c>
      <c r="H6879" t="n">
        <v>29</v>
      </c>
      <c r="I6879" t="inlineStr">
        <is>
          <t>霧に覆われている時は花弁を閉じ、太陽が顔を出すと急いで花弁を開く。；子房の先端から花弁が出るが、その周辺には往々にして毛が並んでいる。；これは花形等はピースのままで、花弁の表が赤、裏が黄色の花をつける。；すべての属や種、さらには花弁や茎など花の一部も恐怖の対象になる。；真の花の花弁・萼と同様の機能を持った、渦巻状の苞葉に守られていた。；花は花弁を使って日光を花の中心に集め、その熱で虫を誘引している。；花期の後期では徐々に花弁の色が薄くなり、最終的には白色に近くなる。；ネギの花は花弁が開くが、タマネギとは花弁が開かない点で区別できる。；頭は三つの花弁状に分かれているが、一つにあわせると硬化し槍状になる。；ウミユリは根や茎のように見える支持体と、花弁のような腕を持っている。；花糸が細くて長く、花弁がないために花で目立つのはこの部分である。；一般的な観賞用スイレンにくらべると葉や花が小さく、花弁数が少ない。；がく片の中央部には赤い筋があり、側花弁は周辺部を除き赤い模様がある。；この無数の刃は光が当たることで桜の花弁のように見える。；この花は三枚の花弁があるがごく細いので目につきにくい。；花弁は5個、萼片は先が尾状にのび、縁と内側に短く白い毛が密生する。；普通、花弁の脈に沿って色が濃くなるので、筋が入ったような模様が出る。；名前は花の形に由来し、花弁と雄しべが星のような形で咲くことにちなむ。；腰周りには花弁状の飾りがあり、腰後ろに黄色いリボンを着けている。；素心のことをこういう場合もあるが、特に花弁の色が薄いものを白花という。；花弁の基部の筒状の部分を筒部、先端の広がった部分を舌状部と言う。；この系統のうち花弁が十枚以上になった品種をヤエムラサキと呼んでいる。；花弁は舌状の形で先端が外向けに反り、長さ4cmで菫色をしている。；なお、通常の花弁の内側にもう一列の花弁が生じるものは二重咲きと言う。；花は花弁がない花を20 - 30個、枝の先に手毬状に固まってつく。；多くは雌雄異株または異花で、花は小型だが数枚の花弁およびがくがある。；花弁の基部には上下二枚の萼片があり、花後にはこれが残って果実を包む。；本科の花は萼が大きく色鮮やかに発達し、花弁以上に目立つものが多い。；花弁は内側に曲がり、花全体としてはやや盃状になるのが特徴である。</t>
        </is>
      </c>
      <c r="J6879">
        <f>HYPERLINK("https://www.weblio.jp/content/花弁", "词义详情")</f>
        <v/>
      </c>
      <c r="K6879">
        <f>HYPERLINK("https://yourei.jp/花弁", "查看例句")</f>
        <v/>
      </c>
    </row>
    <row r="6880">
      <c r="A6880" t="inlineStr">
        <is>
          <t>花見</t>
        </is>
      </c>
      <c r="B6880" t="inlineStr">
        <is>
          <t>成功</t>
        </is>
      </c>
      <c r="C6880" t="inlineStr">
        <is>
          <t>読み方：はなみ
花、特に桜の花を眺めて楽しむこと。《季春》「たらちねの—の留守や時計見る／子規」</t>
        </is>
      </c>
      <c r="D6880" t="inlineStr">
        <is>
          <t>花見小路(3%)；花見シーズン(2%)；花見時；花見船；花見家</t>
        </is>
      </c>
      <c r="F6880" t="inlineStr">
        <is>
          <t>花見通り；花見気分；花見小袖；花見音楽事務所；花見道中</t>
        </is>
      </c>
      <c r="G6880" t="inlineStr">
        <is>
          <t>花見川；花見川区；花見山；花見酒；花見山遺跡</t>
        </is>
      </c>
      <c r="H6880" t="n">
        <v>29</v>
      </c>
      <c r="I6880" t="inlineStr">
        <is>
          <t>これが本種が花見であまり利用されてこなかった原因と考えられている。；酷いじゃないですか二人で花見をして、しかもお酒を飲んでいるなんて。；あの窓先は一面の桜林で、花見隊の仮装行列で賑はつてゐたころだつた。；たった今日の昼には花見などして短冊をもって桜の下を歩いていたが。；今日は花見をする予定の日だったのだが、中止になってしまったのだ。；テレビでは花見の場所取りをする光景が上野公園からの中継で流れていた。；花見のシーズンには、両岸の桜を楽しむために多くの人がこの橋を渡る。；行ってはみたが、周りの金持ちの花見を見るとあまりにも落差が激しい。；その時は、花見船を出した家族は、たった一人も戻っておりませんでした。；が、花見の話はこれだけで、そこへ顔を出した佐吉に妨げられたのです。；春は桜の名所として知られ、芸者を連れて花見をする客なども見られた。；人にこだわりながら花見をして帰ると頭が疲れてがっかりしたものである。；二人は諦めかけていた花見が出来ると言う事で、随分とはしゃいでいる。；一家總出の花見に、主人と二人留守をさせられるだけのことはあるでせう。；ことのついでとばかりに花見の時に意味なくカメラを回していただけだからな。；この様子を見ると何処か途中にでも花見の場所があるのらしいが、どうも妙だ!；今は花見時だ、お前たちはこの花を見ろと、そう役人が言ったそうですよ。；ホーム上に桜の木があり、路線の末期には団体の花見列車が運転されていた。；そこへ日本から行っている学生が揃って、花見に行ったことがありましたよ。；我々は桜の森に花がさけば、いつも賑やかな花見の風景を考えなれている。；何もひとの奥さんを誘わなくても、花見の相手はいくらでもいるんでしょう。；二人ともその日はとうとう花見に行かずに終わってしまった。；狂い咲きに驚いたからといって、別に花見をして行こうというのではない。；時期になると隣接する公園に花見をする人の姿が見られる。；この上セガむと平次は花見の入費に女房の身の皮を剥ぎかねないのです。；テレビのニュースは毎日のように、各地の花見風景を伝えている。；噴水広場の桜はまだ二分咲きくらいで、花見の場所取りもいなかった。；川の上に桟敷を渡し、その上で花見の宴を開くのが、市民の楽しみらしい。；じゃあ、やっぱり二人はのんきに窓から花見などしながら乗っていったんだ。</t>
        </is>
      </c>
      <c r="J6880">
        <f>HYPERLINK("https://www.weblio.jp/content/花見", "词义详情")</f>
        <v/>
      </c>
      <c r="K6880">
        <f>HYPERLINK("https://yourei.jp/花見", "查看例句")</f>
        <v/>
      </c>
    </row>
    <row r="6881">
      <c r="A6881" t="inlineStr">
        <is>
          <t>鼻水</t>
        </is>
      </c>
      <c r="B6881" t="inlineStr">
        <is>
          <t>成功</t>
        </is>
      </c>
      <c r="C6881" t="inlineStr">
        <is>
          <t>読み方：はなみず
水っぽい鼻汁。みずばな。</t>
        </is>
      </c>
      <c r="D6881" t="inlineStr">
        <is>
          <t>鼻水をすする音；鼻水垂らし</t>
        </is>
      </c>
      <c r="H6881" t="n">
        <v>29</v>
      </c>
      <c r="I6881" t="inlineStr">
        <is>
          <t>そのときの砂織の顔といったら、涙と鼻水で大変なことになっていた。；小さな子供が鼻水をすすった際に耳の奥へ溜まってしまう場合がある。；つきっきりで看病していた音緒は、ここで涙と鼻水だらけになっている。；彼女は鼻水を流していたが、手が離せずに鼻をかむことができなかったのだ。；孝史もさっきから鼻がむずむずしていたし、鼻水が滴ってきて困っていた。；私はイモにわからないように口のまわりの涙と鼻水を舌でなめた。；顔は青いほど白く、唇はかすかに開かれ、鼻からは子供のように鼻水がたれている。；しがみ付いて泣いていたので、涙と鼻水で僕の背中はすっかり濡れてしまっていた。；涙と鼻水が流れた後に外気が触れて、桃色の肌が白くささくれだっていた。；見ると、目は焦点があっておらず、鼻水が少し出て糸を引いている。；意味もなく鼻水をたらしているのも、他の場所の子と変わらない。；だれか鼻水を流しながら泣く女を詠じた演歌を作ってくれないだろうか。；うん、うんと納得して、私は鼻水をたらしながらホテルの部屋へ戻った。；人間のをもらったので、今年の風邪は鼻水がでないで咳ばかりでるのだそうだ。；大量の涙を流した際に出てくる鼻水は、涙が鼻涙管を経由して排出されたものである。；顔を涙と鼻水でくしゃくしゃにして抱き合ったって何の不思議もないはずだった。；しかし出てきたのは鼻水ではなく例の細い棒だ。；くしゃみと涙と鼻水のせいで、そのときわたしはほとんど目の前が見えていなかった。；涙と鼻水とが田原屋の顔を、叱られたひょっとこのように見せている。；涙と唾液と鼻水が飛び散り、チエミは悲鳴を上げて再び意識を失いかけた。；適度の鼻水で潤されるのも、きちんとした生理的理由があるのである。；鼻水とか出ないように薬を飲んできたらしい。；なお激しく泣いたときなどに出る鼻水は、涙が鼻涙管を経て鼻に流れ込んだものである。；私は妹の鼻水を拭うことすらできず、食べかけのプリンを手にしたまま二人を見つめていた。；脂汗で汚れた蒼白い顔には、涙と鼻水の跡が幾筋も付いている。；なぐられてまぶたがはれ、涙と鼻水で、顔がぐしゃぐしゃになっている。；先ほどまで鼻水をたらして笑い死にかけていた男には見えなかった。；叫んでいるのか泣いているのか、涙か汗か鼻水か、とにかく幸太はグッと前へ出た。；顔を上げると涙を見られそうだったけれど、下を向くと鼻水がこぼれ落ちそうになる。</t>
        </is>
      </c>
      <c r="J6881">
        <f>HYPERLINK("https://www.weblio.jp/content/鼻水", "词义详情")</f>
        <v/>
      </c>
      <c r="K6881">
        <f>HYPERLINK("https://yourei.jp/鼻水", "查看例句")</f>
        <v/>
      </c>
    </row>
    <row r="6882">
      <c r="A6882" t="inlineStr">
        <is>
          <t>華やか</t>
        </is>
      </c>
      <c r="B6882" t="inlineStr">
        <is>
          <t>成功</t>
        </is>
      </c>
      <c r="C6882" t="inlineStr">
        <is>
          <t>読み方：はなやか
［形動］［文］［ナリ］
１花が開いたように、明るく人目を引きつけるさま。「—な都会での生活」「—に着飾る」「—に笑う」
２勢いなどが盛んなさま。「武士道—なりし時」
３きわだってはっきりしているさま。
「蜩(ひぐらし)の—に鳴くに驚き給ひて」〈源・若菜下〉
[派生]はなやかさ［名］</t>
        </is>
      </c>
      <c r="D6882" t="inlineStr">
        <is>
          <t>華やかな雰囲気；華やかな色彩；華やかな生活；華やかなりし；華やかな衣装</t>
        </is>
      </c>
      <c r="E6882" t="inlineStr">
        <is>
          <t>立派；見事；名誉；豪華；鮮やか</t>
        </is>
      </c>
      <c r="F6882" t="inlineStr">
        <is>
          <t>華やかな印象；華やかな笑顔；華やかな衣裳；華やかなドレス；華やかな彩り</t>
        </is>
      </c>
      <c r="G6882" t="inlineStr">
        <is>
          <t>華やかな魔女たち；華やかに傷ついて；華やかな荒野；華やかな野獣；華やかなる招待</t>
        </is>
      </c>
      <c r="H6882" t="n">
        <v>29</v>
      </c>
      <c r="I6882" t="inlineStr">
        <is>
          <t>当日は車両に華やかな飾りつけがなされ、花電車のようだったと伝わる。；非常に極端で華やかな曲想から、スポーツ競技などで演出に用いられる。；指貫の色は規定こそ無かったが葡萄染などの華やかな物を用いたらしい。；コーダは長く、第1主題を元に気分を高揚させていき華やかに曲を結ぶ。；この移動は王の舟を中心に大規模な船団を組んで華やかに行われる。；狭い通りにビル・看板のネオンが密集しているため華やかなのが特徴。；服装もそれまでとは違い、当時のNHKらしくない華やかな服装で登場。；しかし彼女の華やかな生活は長くは続かないことが物語の最後に書かれている。；この結婚式はバイロイト侯領の歴史の中で最も華やかな祝い事であった。；西域での覇権を確立した唐は華やかな異文化交流で知られることになる。；この作品は、歓楽街を含めた二都の華やかな生活を緻密に描いている。；人類は本格的な宇宙進出を遂げ、一見華やかな宇宙開発時代を迎えていた。；和服を好み、外国訪問時には華やかな和装でしばしば周囲の注目を集めた。；両主題をハ長調で再現すると祝祭的なコーダによって華やかに曲を結ぶ。；当時の高度成長を謳歌する華やかな芸能界の様子が具体的に描かれている。；社会の側の注目度の高い製品発表の場合は、華やかな雰囲気となる。；また、刺繍などが施された華やかで可愛らしいアイテムも発表している。；初期には、華やかな衣装の婦人像やトルコや東洋風の題材の絵画を描いた。；当時は絵画や彫刻だけでなく、建築においても華やかな時代であった。；華やかな入場がお客さんはもちろん、選手の間でも人気となっている。；斯う華やか立つた一家の中で何時までもくすぶり返つてゐるのは母一人だつた。；到着先でも華やかに生活して1965年に食事中に死亡した。；マルフタール寺院はかつてが活躍するなど、華やかな音楽文化を有していた。；そのため華やかな部分はそぎ落とされ、やや内向的な雰囲気となっている。；勝負を有利に進めたり、華やかに着飾るための様々なアイテムが用意されている。；ロシアバレエが1番美しく華やかで、観ていて気持ちが良いと思っています。；彼は精密機械のセールスマンとしてあまり華やかではない勤務をしていた。；ハイドンのピアノソナタの中でも技術的に難易度が高く、華やかである。；テリジノサウルス上科の最も華やかな特徴は手の巨大な爪である。</t>
        </is>
      </c>
      <c r="J6882">
        <f>HYPERLINK("https://www.weblio.jp/content/華やか", "词义详情")</f>
        <v/>
      </c>
      <c r="K6882">
        <f>HYPERLINK("https://yourei.jp/華やか", "查看例句")</f>
        <v/>
      </c>
    </row>
    <row r="6883">
      <c r="A6883" t="inlineStr">
        <is>
          <t>花嫁</t>
        </is>
      </c>
      <c r="B6883" t="inlineStr">
        <is>
          <t>成功</t>
        </is>
      </c>
      <c r="C6883" t="inlineStr">
        <is>
          <t>読み方：はなよめ
結婚したばかりの女性。また、結婚式でこれから嫁となる女性。新婦。⇔花婿(はなむこ)。</t>
        </is>
      </c>
      <c r="D6883" t="inlineStr">
        <is>
          <t>花嫁さん(3%)；花嫁姿(3%)；花嫁衣装(3%)；花嫁修業(2%)；花嫁衣裳(2%)</t>
        </is>
      </c>
      <c r="E6883" t="inlineStr">
        <is>
          <t>嫁；お嫁さん；新妻；新婦；嫁御</t>
        </is>
      </c>
      <c r="F6883" t="inlineStr">
        <is>
          <t>花婿花嫁；若い花嫁；花嫁持参；花嫁介添人；花嫁選び</t>
        </is>
      </c>
      <c r="G6883" t="inlineStr">
        <is>
          <t>花嫁学校；花嫁のれん；花嫁人形；花嫁御寮；花嫁料</t>
        </is>
      </c>
      <c r="H6883" t="n">
        <v>29</v>
      </c>
      <c r="I6883" t="inlineStr">
        <is>
          <t>これらの式が終っていよいよ花嫁はその家を出ることとなるのであります。；一部の文化では、結婚前に花嫁が処女であることを証明する必要がある。；たぶん家元へ向ってのわたくしに花嫁候補の資格が欠けるためでしょう。；この文脈では、花嫁の沈黙は結婚に同意するとみなされる事を意味した。；上流家庭間の結婚では、花嫁と花婿は式の当日まで互いの顔も知らない。；きみを自分の花嫁のように考えて、しかもそれを名誉と思ったに違いない。；それは大変花嫁の家の耻になるという訳であるから容易な事ではない。；農村の戦後の改革を描いた『花嫁と馬一匹』がこの時期の代表作である。；意に染まぬ婚約を強いられた花嫁が花婿を刺した事件を小説化したもの。；そこに王子の母親が現れ、明日行われる舞踏会で花嫁を選ぶよう命じる。；集めた資金で新居住宅を完成させて花嫁を迎えに行くことが本作の目的となる。；十八歳の花嫁はその日から彼に代って彼の老いた両親に仕えるのである。；音楽や踊りが行われてパーティが続くが、花嫁は疲れたと言って部屋に戻る。；ベネディタは魅力的な女性で、以前からジョゼの有力な花嫁候補だった。；彼は自分の花嫁を決める為に花嫁候補になりうる若い女性を集めていたのだった。；花嫁探求型の例もあり、その許嫁の女性は主人公に重要な助太刀をする。；が、花嫁の駕籠が入口を塞いで急には曲者の後を追うことも出来ません。；おかげで、花よめはあのいやな糸くりをしないでもいいことになりました。；皆がおし黙つてゐるのを見ると、T氏はきつと花婿花嫁の顔をみつめた。；おせっかいな支配人が花嫁に何か言っているが、頭にはいらないようだ。；さて花嫁さんは無理に馬に乗せられていよいよ嫁に行く道に出る。；後者は地方有力婦人に講習会を実施して、花嫁斡旋に必要な知識を教えた。；トールの娘を花嫁にもらう約束があり、それを果たしに来たのだと。；死んだ花嫁と順吉の婚礼が挙げられ、列席者はみな涙を流すのであった。；そのうちにいよいよ花嫁が着いたという人々の声が聞こえて来た。；結婚式で花嫁が以下の4つのものを身につけると幸せになれるという。；さっき私の前を通った花嫁さんは、もう花むこさんの門に近づいているころだ。；既存のキャラクターのうち、ニーナは花嫁衣装をまとった姿で描かれた。；あるいは花嫁と弟らと随意に結婚してその礼式を挙げないのもある。</t>
        </is>
      </c>
      <c r="J6883">
        <f>HYPERLINK("https://www.weblio.jp/content/花嫁", "词义详情")</f>
        <v/>
      </c>
      <c r="K6883">
        <f>HYPERLINK("https://yourei.jp/花嫁", "查看例句")</f>
        <v/>
      </c>
    </row>
    <row r="6884">
      <c r="A6884" t="inlineStr">
        <is>
          <t>離れ離れ</t>
        </is>
      </c>
      <c r="B6884" t="inlineStr">
        <is>
          <t>成功</t>
        </is>
      </c>
      <c r="C6884" t="inlineStr">
        <is>
          <t>読み方：かれがれ
［形動ナリ］男女の交際がとだえがちなさま。疎遠なさま。
「—におはせしをだに、飽かず胸いたく思ひ侍りしを」〈源・葵〉</t>
        </is>
      </c>
      <c r="D6884" t="inlineStr">
        <is>
          <t>分離；孤独；配布；散乱；散々</t>
        </is>
      </c>
      <c r="H6884" t="n">
        <v>29</v>
      </c>
      <c r="I6884" t="inlineStr">
        <is>
          <t>いずれにしろ、自分の心と躯が離れ離れになっていることに違いはない。；レイトとは途中で離れ離れになってしまい、以降は誰とも会っていない。；ここで恋人と離れ離れになったら以後五十年間は会うことができないからだ。；しかし二人の戦いで洞窟が崩壊、パーティーは離れ離れになってしまう。；ある日、離れ離れになっていた妹と一緒に暮らせる機会が聖司に訪れる。；ぼくたちは夜こそ離れ離れでしたが、昼間は片刻も離れませんでした。；フェイトと離れ離れになりながらも再会を信じて魔法の訓練を続けていた。；たちまち撃ち合いと追撃戦が始まり、二人は離れ離れになってしまった。；そういう小屋が、草を積み重ねたように離れ離れにわびしく立っていた。；彼らは離れ離れにならないように、名前を呼び合わねばならなかった。；そしてすぐ萌は父と離れ離れになり、マンションからも出ることになった。；はじめて見つけた同じ時を過ごせる人と離れ離れになるなんて考えられない。；離れ離れになる時は、今も、この一瞬も、間違いなく近づきつつあった。；仲間と離れ離れになるのがつらく、僕は佐久間を離れるのがいやだった。；海は広く眩く、人間の頭は小さく、あまりに遠く離れ離れに浮いていた。；だが、二人の間は在所と離れ離れになっていた頃よりはるかに遠い。；ぼくにはずいぶん前に離れ離れになってしまった妹がいた。；伝えられるところによると、お互いの気持ちが離れ離れになってしまったという。；結婚匆々から病身のために亭主と離れ離れになっていたせいであったろう。；離れ離れになることを恐れた二人は、再びニックの殺害を計画する。；たとえ離れ離れにさせられても、彼女の記憶を胸に残して生きよう。；こうして、相手を想う気持ちを二人とも言葉にできないまま離れ離れになる。；私たちは離れ離れになりながら邸まで歩き、バルコニーから邸の中に入った。；離れ離れの家の間が芥子畑だというほど、景色を限定しなくても差支ない。；このままじゃ、みっちゃん、あの子達と離れ離れになっちゃうんだよ!?；彼らが離れ離れになっている間の時間は二人とその息子たちとの関係に負担をもたらした。；対策を講じるにしても、離れ離れのままにはしておきたくはない。；学校で教わったり書物を読んだりして得た知識もやはり離れ離れになりがちなものである。；そう云う風に世は離れ離れになって、 当然の事は烏有に帰してしまいます。</t>
        </is>
      </c>
      <c r="J6884">
        <f>HYPERLINK("https://www.weblio.jp/content/離れ離れ", "词义详情")</f>
        <v/>
      </c>
      <c r="K6884">
        <f>HYPERLINK("https://yourei.jp/離れ離れ", "查看例句")</f>
        <v/>
      </c>
    </row>
    <row r="6885">
      <c r="A6885" t="inlineStr">
        <is>
          <t>放れる</t>
        </is>
      </c>
      <c r="B6885" t="inlineStr">
        <is>
          <t>成功</t>
        </is>
      </c>
      <c r="C6885" t="inlineStr">
        <is>
          <t>読み方：たれる
［動ラ下一］［文］た・る［ラ下二］
１
㋐ひと続きのものの端が下の方へ低く、力なく下がる。また、一部分が下がった状態で位置する。「電線が—・れる」「雲が低く—・れる」「目じりが—・れている」
㋑水などが何かをつたって少しずつ落ちる。しずくとなって下に落ちる。したたり落ちる。「水が—・れる」「よだれが—・れる」
２
㋐ひと続きのものの端を下の方へだらりと下げる。たらす。「釣り糸を—・れる」「首を—・れる」
㋑目上の者が目下の者に示したり、与えたりする。「教えを—・れる」「恵みを—・れたもう」
㋒のちのちまで残す。「名を後世に—・れる」
㋓（「放れる」とも書く）大小便や屁(へ)などをする。排泄(はいせつ)する。「寝小便を—・れる」
㋔「言う」を卑しめていう語。「文句を—・れる」
３「剃る」の忌み詞。また、刃物がよく切れる。
「あんまりよい月影に額—・れうと思うて」〈浄・重井筒〉
「鋏(はさみ)をくれる筈ぢゃが、—・るるかしらぬ」〈浮・一代男・一〉</t>
        </is>
      </c>
      <c r="H6885" t="n">
        <v>29</v>
      </c>
      <c r="I6885" t="inlineStr">
        <is>
          <t>相手は船の人間で、遠い日本まで渡って来たんですから、金放れはいい。；住居とはかけ放れた方の位置で、前はすぐ広い荒れた庭になっていた。；肉が骨から放れて、ばらばらになるかと思われるほどの大苦痛に襲われた。；まだやるのかと思った久慈は、頭が首から放れて舞い立ちそうに感じた。；あんまり人の世放れのした、それはそれは、不思議な話なんですもの。；住宅所有者のものである短い脚立が開け放れた窓のところにあった。；それが、完全に女の身体から放れたら、それを、その太刀で切ってくれ。；これは無理な注文のやうだが、俺の心は君と放れたくはないのだ。；健介が引き綱を放したのか、犬が勇み立って放れたのかわからなかった。；しかしながら、科学といえども初めから人間と放れて存在していたのではない。；彼は襟がみにかけた鬼使の手を掴んで引き放そうとしたが放れなかった。；しかし、彼の胸は地に刺された人のように地を放れると地についた。；友田は金放れのいゝせいもあろうが、ここの女たちにひどく持てゝいた。；思いが現実から放れる喜びというものは、たしかに人にはあるものだ。；どちらも放れて生活していると、会うということが休息になるんでしょう。；独りで戦い、放れるときは孤独のうちにだれにも悼まれることなく死ぬ。；夜が明け、明け放れていっても、私には起きあがることができないのだ。；と見る間に、使部の片手は剣を握ったまま胴を放れて酒の中へ落ち込んだ。；夜はもう明け放れて薄すらした霧のようなものが四辺に漂うていた。；その結果、独自の路線を歩むようになってモスクワ放れがみえてきた。；夜が全く明け放れましたけれど、ついに二人はこの館へは戻って来ませんでした。；小平太が林町の宿へ帰ってきた時は、まだ夜が明け放れたばかりであった。；その知人から一人放れた俺は俺の社會から滅びたのも同じなわけだ。；その雪の中を放れて今度はだんだん下って行く事一里にして、また坂を登って行く事が二里です。；この森のほかのものと同じように、放れ熊ののろいにかかっているみたいだ。；ボンヤリ明るい光団は、放れてゆく地上の都市の灯がうつっているのだろう。；もうこれで三島とも放れて了つたのと同じであると思ふと力がぬけた。；羊ロボットの手から放れた手紙が宙を舞い、こちらは僕の手もとに落ちた。；が、一度思いつくと、それは昼も夜も心につきまとって放れませんでした。</t>
        </is>
      </c>
      <c r="J6885">
        <f>HYPERLINK("https://www.weblio.jp/content/放れる", "词义详情")</f>
        <v/>
      </c>
      <c r="K6885">
        <f>HYPERLINK("https://yourei.jp/放れる", "查看例句")</f>
        <v/>
      </c>
    </row>
    <row r="6886">
      <c r="A6886" t="inlineStr">
        <is>
          <t>離れる</t>
        </is>
      </c>
      <c r="B6886" t="inlineStr">
        <is>
          <t>成功</t>
        </is>
      </c>
      <c r="C6886" t="inlineStr">
        <is>
          <t>読み方：はなれる
［動ラ下一］［文］はな・る［ラ下二］
１くっついているものの一方が動いて別々になる。「足が地を—・れる」「雀が電線から—・れる」
２あるものとの間に隔たりができる。その位置から遠ざかる。「一メートル—・れて立つ」「少し—・れて絵を鑑賞する」「持ち場を—・れる」「故郷を—・れる」
３
㋐二つのものが隔たって存在する。間にかなりの距離がある。「家と学校とはだいぶ—・れている」「人里—・れた一軒家」
㋑二つの数値・地位などに隔たりがある。「年の—・れた弟」「トップと大きく—・れる」
㋒夫婦・親子など、一つであるものが別々になる。別れる。「家族が—・れて暮らす」
４
㋐関係がなくなる。縁が切れる。「俗世を—・れる」「損得を—・れて面倒をみる」「話が本筋から—・れる」「—・れられない仲」
㋑信頼や情愛を失う。「人心が—・れる」「恋人から気持ちが—・れる」
㋒ある事柄に対する思いがなくなる。「仕事のことが頭から—・れない」
５職務や仕事をやめる。「戦列を—・れる」「会長職を—・れる」
６戸などが開いた状態になる。あく。
「格子を探り給へば、—・れたる所もありけり」〈狭衣・二〉
７除かれる。除外する。
「琴の音を—・れては、何事をか物をととのへ知るしるべとはせむ」〈源・若菜下〉</t>
        </is>
      </c>
      <c r="D6886" t="inlineStr">
        <is>
          <t>離れるべき；離れるべく</t>
        </is>
      </c>
      <c r="E6886" t="inlineStr">
        <is>
          <t>去る；降りる；退去；外す；引退する</t>
        </is>
      </c>
      <c r="F6886" t="inlineStr">
        <is>
          <t>少し離れる；離れれば離れる；やや離れる；離れるほど数字；歩離れる</t>
        </is>
      </c>
      <c r="H6886" t="n">
        <v>29</v>
      </c>
      <c r="I6886" t="inlineStr">
        <is>
          <t>人目につかないよう夜に教えたり、場所も人里離れた墓地などで教えた。；このストライキで一時大規模なファン離れが生じる結果となってしまった。；ファームが一軍と離れて興行をしたほぼ初めてのケースといわれている。；新島には彼の碑があり、島を離れる時に詠んだとされる歌が残っている。；入団から38年間、一度も球団や現場から離れることなく在籍し続けた。；広辞苑によると、旅とは、住む土地を離れて、一時他の土地に行くこと。；広島県との県境近くに設置されていたが、江の川からはやや離れていた。；ハプスブルク家は世襲領をはるかに離れた地域にも領地を獲得し始める。；そこで駅建設には集落よりも南に少し離れたところにその地を求めることになった。；しかし、アベリルは優勝とは縁がないままチームを離れることとなった。；は、分子同士や高分子内の離れた部分の間に働く電磁気学的な力である。；噂ではあるがリディアはフィラデルフィアを離れることがあったという。；ミサイルを発射するまでは地下機密センターを離れるわけには行かない。；偏差は平均的には標準偏差の分だけ離れていると考えることができる。；この時期は日本を離れてハワイに滞在しており、日本での仕事をしていない。；オープン当初は離れた場所に無料の臨時駐車場も設け混雑を分散させた。；上陸した部隊との連絡が取れず、ドイツの船は島を離れることを決定した。；多くの王党派女性達は敵の中で生活するよりもその社会を離れる道を選んだ。；杣川から北へ少し離れた所にあり、駅付近は細い路地が入り組んでいる。；復帰後も症状は回復せず、7月26日の出場を最後に一度現役を離れる。；長府地区中心部・城下町長府地区などは当駅から2km以上離れている。；当駅はJR八王子駅から北東に約400メートル離れた場所に位置する。；中小私鉄は主にJRの駅から離れた都市とJR駅を結ぶ役割のものが多い。；以後リハビリが続き、8か月もの間ピッチを離れシーズンを棒に振った。；獲物を追っているうちに、家来たちから離れ、森の中で迷ってしまった。；解任された理事達は各地で公演を行い、組織から離れる者達が続出する。；山上駅は寺の浄域から離れたところとし線路は遠くから見えないようにする。；大辞泉には「住んでいる所を離れて、よその土地を訪れること」とある。；野次馬が集まってきたので、恥ずかしくなったふたりはその場を離れる。</t>
        </is>
      </c>
      <c r="J6886">
        <f>HYPERLINK("https://www.weblio.jp/content/離れる", "词义详情")</f>
        <v/>
      </c>
      <c r="K6886">
        <f>HYPERLINK("https://yourei.jp/離れる", "查看例句")</f>
        <v/>
      </c>
    </row>
    <row r="6887">
      <c r="A6887" t="inlineStr">
        <is>
          <t>羽/羽根</t>
        </is>
      </c>
      <c r="B6887" t="inlineStr">
        <is>
          <t>无结果</t>
        </is>
      </c>
      <c r="H6887" t="n">
        <v>0</v>
      </c>
      <c r="J6887">
        <f>HYPERLINK("https://www.weblio.jp/content/羽/羽根", "词义详情")</f>
        <v/>
      </c>
      <c r="K6887">
        <f>HYPERLINK("https://yourei.jp/羽/羽根", "查看例句")</f>
        <v/>
      </c>
    </row>
    <row r="6888">
      <c r="A6888" t="inlineStr">
        <is>
          <t>ばね</t>
        </is>
      </c>
      <c r="B6888" t="inlineStr">
        <is>
          <t>成功</t>
        </is>
      </c>
      <c r="C6888" t="inlineStr">
        <is>
          <t>読み方：ばね
１鋼などの金属材料を螺旋(らせん)状に巻いたり折り曲げたりし、その弾力性を利用してエネルギーを吸収・蓄積するために用いるものの総称。スプリング。「—が弾む」
２足腰などの弾力性。跳ねる力。「腰の—を利かせて投げる」
３（比喩的に）行動を起こすきっかけ。「失敗を—に成長する」</t>
        </is>
      </c>
      <c r="D6888" t="inlineStr">
        <is>
          <t>ばね式(7%)；ばね台車(3%)；ばね仕掛け(3%)；ばね支持；ばね上</t>
        </is>
      </c>
      <c r="E6888" t="inlineStr">
        <is>
          <t>スプリング；バネ；発条；弾機；撥条</t>
        </is>
      </c>
      <c r="F6888" t="inlineStr">
        <is>
          <t>板ばね；金属ばね；ウィングばね；ウイングばね；座ばね</t>
        </is>
      </c>
      <c r="G6888" t="inlineStr">
        <is>
          <t>ばね下重量；ばね鋼；ばねばかり；ばね座金；ばね下質量</t>
        </is>
      </c>
      <c r="H6888" t="n">
        <v>29</v>
      </c>
      <c r="I6888" t="inlineStr">
        <is>
          <t>ばねのないカートで整地されていない道をいくことは簡単ではなかった。；それを、巻きばねのサイズに合わせた金属棒を取り付けた旋盤にかける。；ばねの長さの変化は、重力とバランスを取るのに必要な力に調整される。；紀元前6世紀ごろから登場した本体の両方にばねを備えるタイプもある。；ばね部品の中でも最も広く使用され、多くの機械や器具で使用されている。；ばねの設計上でまず重要となるのは、何の用途に使うかを明確にする点である。；以上の基本形状別・材料別の他には、ばねは次のような観点からも分類される。；ばねによって実現したい機能に、具体的には次のようなものが挙げられる。；その後、機械から取り出されたばねは、操作者が油の中に入れて冷やす。；これは陶製の義歯とばねを使って上下の義歯を固定する方法を含んでいた。；ゲートはばねの力で開き、すべての出場者を全く公平にスタートさせた。；そのため、正確なばね特性を得たいときはピッチ巻きを選択することもある。；また、新型車両の中にはばね式の駐車ブレーキを装備しているものもある。；これらのばねは圧縮ばねで、用途によって強さや大きさが大きく異なる。；そこで、そのような外力をシミュレートするためにばねと錘が使われた。；駆動システムはばねを用いたバックラッシュ低減機構が用いられている。；例えば、自動車の懸架装置用ばねではへたりによる車高変化が問題となる。；一般には鉄道車両の台車では通常台車枠と軸箱間にある軸ばねの下に相当する。；かなり俊敏に動き、強力な尾をばねにした飛び蹴りなどを得意とする。；また、グループ1で設けられていた軸ばねの受け座も廃止された。；通常はばねの力で環は閉じており、力を加えると環が開くものが多い。；時効硬化は、ばねやその他複雑な形に整形した後に行うこともできる。；この記述は、懸架装置に用いられた板ばねの記録の中で最古のものでもある。；この場合、巻きばねは全体としてそのらせん軸を中心にねじりを受ける。；足回りは板ばね懸架のニ軸で、貨車の下回りを強化した様なものである。；ばね膝は、半月障害などの症状として見られるもので、弾発膝ともいう。；ばねの他端は壁に固定されているので、外部からのエネルギーの流入はない。；枕ばねは車体と台車の間に存在するばねで、空気ばねが主に使われている。；線形特性であるばねでは荷重とたわみの関係は以下のような式で表される。</t>
        </is>
      </c>
      <c r="J6888">
        <f>HYPERLINK("https://www.weblio.jp/content/ばね", "词义详情")</f>
        <v/>
      </c>
      <c r="K6888">
        <f>HYPERLINK("https://yourei.jp/ばね", "查看例句")</f>
        <v/>
      </c>
    </row>
    <row r="6889">
      <c r="A6889" t="inlineStr">
        <is>
          <t>はねる</t>
        </is>
      </c>
      <c r="B6889" t="inlineStr">
        <is>
          <t>成功</t>
        </is>
      </c>
      <c r="C6889" t="inlineStr">
        <is>
          <t>読み方：はねる
［動ナ下一］［文］は・ぬ［ナ下二］《「跳ねる」と同語源》刀で首を切り落とす。「首を—・ねる」</t>
        </is>
      </c>
      <c r="D6889" t="inlineStr">
        <is>
          <t>はねるような音</t>
        </is>
      </c>
      <c r="F6889" t="inlineStr">
        <is>
          <t>飛びはねる；踊りはねる；ぴょんぴょんはねる；ばちゃばちゃはねる</t>
        </is>
      </c>
      <c r="H6889" t="n">
        <v>29</v>
      </c>
      <c r="I6889" t="inlineStr">
        <is>
          <t>同時期には彼の飼っていた犬も事故でトラックにはねられて亡くなった。；今わたしが来たのはね、ただこれだけのことが言いたかったからですの。；このために私はもう少しのことで海の中へはね飛ばされるところだった。；夫はニューヨークで道路横断中にタクシーにはねられて亡くなっている。；ある時、王は妻の不貞を知り、妻と相手の奴隷たちの首をはねて殺した。；トラックが自転車をはねるのを遠くから見ていた通行人はいたらしい。；そしてその最初の日に、もう少しで身体検査ではねられるところだった。；明智先生はね、どこへ行かれたのか、探して見ても、姿が見えぬのです。；その中からコウモリのはねをもったばけものが、出てきたわけでもねえ。；いや、僕はね、崖の上からそんな興味で見る一つの窓があるんですよ。；ぼくはね、あいつは時計を食って生きているんじゃないかと思うんだ。；車は正面の階段をガタガタ揺れながら、跳びはねるように下りて行った。；逃げた仲間の情報も得ずして首をはねるなどもってのほかだというのだ。；昨日と同じ、結び文にした紙片で、はねるような字で走り書きがあった。；吃男はそれには目もやらずに又いきなり火でも燃え附いたようにはね起きた。；酒の雫がはねると、大げさに驚く様子がふつうの娘のようではなかった。；私はがばとはね起きて、電灯をつけましたが、やっぱり猫はおりません。；夏のことで、まだ明るくて、水の面に小魚がはねてるのが見えました。；僕は彼女に言われた通り、店がはねる時間を見計らって路上で待っていた。；そのほうがいいと思ったにちがいない、水のはねる音が聞えたよ。；ふたりが空港に向かっているとき、ユリはわざと車でチョンソをはねる。；そして幼な子のように両手を振り、飛びはねるように軽やかに部屋を出た。；どの劇場だろうが、はねる時間を一分一秒まちがえずに教えてくれますよ。；よく跳びはねる馬どもは、アカイア軍の船陣へと御神を運んでいった。；おれはね、ひどい無教育者だけれど、このことはずいぶんと考えたものだよ。；テスカトリポカは怒ってふたりの首をはねてその頭を尻に縫いつけた。；或る日私はね、揺籠に乗ったままお庭の何処へ置かれていたのよ。；勝手な言いわけをつけてみたところで、結局は盗人の上前をはねることだ。；念吉 商売つていふのはね、どうしてお金を儲けるかつていふことさ。</t>
        </is>
      </c>
      <c r="J6889">
        <f>HYPERLINK("https://www.weblio.jp/content/はねる", "词义详情")</f>
        <v/>
      </c>
      <c r="K6889">
        <f>HYPERLINK("https://yourei.jp/はねる", "查看例句")</f>
        <v/>
      </c>
    </row>
    <row r="6890">
      <c r="A6890" t="inlineStr">
        <is>
          <t>跳ねる</t>
        </is>
      </c>
      <c r="B6890" t="inlineStr">
        <is>
          <t>成功</t>
        </is>
      </c>
      <c r="C6890" t="inlineStr">
        <is>
          <t>読み方：はねる
［動ナ下一］［文］は・ぬ［ナ下二］
１勢いよくとび上がる。躍り上がる。「川面に魚が—・ねる」「驚いた馬が—・ねる」
２液体などがはじけてとび散る。「揚げ物の油が—・ねる」「炭がぱちぱちと—・ねる」
３活気があって動き回る。また、おてんばである。
「お駒とて少し—・ねたる三五の少女は」〈蘆花・不如帰〉
４芝居などで、その日の興行が終わる。芝居小屋の外囲いの蓆(むしろ)を上の方へはね上げたところからいう。「芝居が一〇時に—・ねる」
５芝居などで、観客の入りがよくなる。当たりをとる。
「今日の催しはきっと—・ねるだらう」〈滑・八笑人・二〉</t>
        </is>
      </c>
      <c r="D6890" t="inlineStr">
        <is>
          <t>跳ねる水飛沫</t>
        </is>
      </c>
      <c r="F6890" t="inlineStr">
        <is>
          <t>よく跳ねる；小さく跳ねる；ぴょんぴょん跳ねる；ぴょんと跳ねる；躍り跳ねる</t>
        </is>
      </c>
      <c r="H6890" t="n">
        <v>29</v>
      </c>
      <c r="I6890" t="inlineStr">
        <is>
          <t>そのせいか初めての女のような、若鮎のような新鮮さが腕の中に跳ねる。；籠の中の獲物が跳ねる音を、かえってたのしんでいるようにさえ見えた。；背中に熱い息が掛かったと感じた時、ジョクは左に跳ねるように走った。；それが刺激になって、くわえられている陰茎が歩きながら大きく跳ねる。；一度細い体が地面で大きく跳ねると、そのままぴくりとも動かなくなった。；道路の上を跳ねるようにして走ると、またたく間に学生たちが近づいてきた。；指の先に何かが跳ねる感触がして、それは魚だとなんとなくわかった。；足がないので猫ではなく魚だとわかったが、いや、跳ねること跳ねること。；それは何かが閃くか跳ねるかしたのが、ちらっと見えたのにすぎなかった。；私は驚きのあまり言葉を失い、しばらくその岩が跳ねる様子を見つめていました。；すると少し離れた場所にぴょーんと跳ねるフルールを奇跡的に発見した。；自分の庭のように遊び慣れた森を、少女は跳ねるように進んだ。；森写歩朗はそこでピチピチと跳ねる魚達にまじって赤い物体を発見した。；鼠色の女の姿が、吉田の胸の近くまで、跳ねるようにして寄って来た。；息を弾ませながら、彼女は糸のさきに跳ねる魚を空二の鼻さきに持つて来る。；あまりに暑かったので鶫さえ飛ぶのを止めて跳ねることにしたようだった。；地面に跳ねる石の音から、拳大の物まで投げているのが分かった。；はるかかなたを跳ねるようにして移動するゴブリンの大群が目に映った。；多くのダンスで踊り手の胴体は肩と腕と共にリズミカルに上下に跳ねる。；一度床に刺さった矢が再び宙を飛び、置かれた碁石が弾丸のように跳ねる。；アマノボリは、陸にあげられた魚と同じようにぴちぴちと跳ねるだけだ。；水の跳ねる音が遠くに聞こえ、なにかが近づく気配が伝わった。；それら胴の表面には、いずれも軽やかに跳ねる鹿の絵が描かれていた。；跳ねるように立ち上がり、迷うことなく壁から己が愛剣の鞘を掴み取る。；ぼくはドアに向かって、ツナギは窓に向かって、跳ねるように駆け向かった。；びっくりした姿が、跳ねるように飛びすさって、灌木の中でのたうった。；誰もいないはずの大浴場から、湯の跳ねる軽い音が聞こえてくる。；音は声や薪の爆ぜる音に、竈の上に置かれた鉄板から油の跳ねる音だ。；びちびちと跳ねる囁き声が、泥のうねりに乗って上へと押し上げられた。</t>
        </is>
      </c>
      <c r="J6890">
        <f>HYPERLINK("https://www.weblio.jp/content/跳ねる", "词义详情")</f>
        <v/>
      </c>
      <c r="K6890">
        <f>HYPERLINK("https://yourei.jp/跳ねる", "查看例句")</f>
        <v/>
      </c>
    </row>
    <row r="6891">
      <c r="A6891" t="inlineStr">
        <is>
          <t>幅</t>
        </is>
      </c>
      <c r="B6891" t="inlineStr">
        <is>
          <t>成功</t>
        </is>
      </c>
      <c r="C6891" t="inlineStr">
        <is>
          <t>読み方：の
１布の幅を数える単位。一幅(ひとの)は鯨尺で1尺（約37.9センチ）。
２一幅分の布。はぎ合わせた衣や幕などの一部をさすのに用いる。</t>
        </is>
      </c>
      <c r="D6891" t="inlineStr">
        <is>
          <t>幅約(2%)；幅二；幅三；幅五；幅四</t>
        </is>
      </c>
      <c r="E6891" t="inlineStr">
        <is>
          <t>範囲；領域；圏；射程；スコープ</t>
        </is>
      </c>
      <c r="F6891" t="inlineStr">
        <is>
          <t>車体幅；最大幅；道路幅；河幅；狭幅</t>
        </is>
      </c>
      <c r="G6891" t="inlineStr">
        <is>
          <t>幅広く；幅員；幅広；幅寄せ；幅跳び</t>
        </is>
      </c>
      <c r="H6891" t="n">
        <v>29</v>
      </c>
      <c r="I6891" t="inlineStr">
        <is>
          <t>このような構造になっている理由は、地上の道路の幅が狭いためである。；本作では通常のバンド編成で使われる楽器から使う楽器の幅を広げている。；これは機器室内の通路幅を確保し、整備性の向上に配慮したものである。；元々のインチは、男性の親指の幅に由来する身体尺だったとされている。；スレッドカウントは縞の幅を表すだけでなく、使用されている色も示す。；このモジュールを複数並べて、いろいろな幅のバーやスペースを表現する。；通常の内装よりも座席幅を詰めて通路幅を広げた内装案も用意されている。；ロンドンは多くの民族的な多様性から料理の幅がかなり広い。；その他の要因の影響幅は、上記の要因より小さいと見られている。；メキシコ湾の大陸棚は、幅3マイルが州の管轄の及ぶ範囲になっている。；近隣の川口駅や蕨駅よりも後から設置された駅であり、ホームの幅は狭い。；各展示ホールごとに南北それぞれ幅12mの出入り口が設けられている。；この時の東西自由通路の規模は幅6メートル、延長90メートルだった。；現代の製図ペンは多様な線幅のペン先が揃えられているのが一般的である。；これもまた通信教育の一例とすれば通信教育の幅はかなり広いと考えられる。；競技が可能な道路幅と路面状況であることが開催の条件となる。；通常の内装よりも座席幅を詰めて広い通路幅を確保する内装案も用意された。；その関係の事業所も立地しており、立地している製造業の幅が広がった。；翌1665年には水門の増設と水路幅を二倍に拡張する工事が行われた。；肩書きの多いことに現れているように、鷗外は文芸活動の幅も広かった。；ただし帰国生徒の場合は年齢制限に1年程度幅を持たせている場合がある。；在来線区間も走行することから車体は通常の新幹線より幅が小さい。；葉の幅が最も広くなる場所が葉の中央付近の場合、楕円形という。；ホイールベース間では車椅子が回転できる通路幅が確保されている。；これを幅の異なるスペースとバーで表現し、商品にマーキングする。；また2006年には現代狂言を旗揚げするなど、活動の幅を広げている。；葉柄は幅が広く多肉質になるが、東洋種は一般に幅が狭い傾向にある。；停車車両や事故車両があっても通行が可能なように路肩幅が比較的広くなっている。；横綱審議委員会及び内規ができる以前はある程度幅のある対応がなされていた。</t>
        </is>
      </c>
      <c r="J6891">
        <f>HYPERLINK("https://www.weblio.jp/content/幅", "词义详情")</f>
        <v/>
      </c>
      <c r="K6891">
        <f>HYPERLINK("https://yourei.jp/幅", "查看例句")</f>
        <v/>
      </c>
    </row>
    <row r="6892">
      <c r="A6892" t="inlineStr">
        <is>
          <t>母親</t>
        </is>
      </c>
      <c r="B6892" t="inlineStr">
        <is>
          <t>成功</t>
        </is>
      </c>
      <c r="C6892" t="inlineStr">
        <is>
          <t>読み方：ははおや
母である親。女親。はは。⇔父親。</t>
        </is>
      </c>
      <c r="D6892" t="inlineStr">
        <is>
          <t>母親役；母親似；母親代わり；母親譲り；母親同士</t>
        </is>
      </c>
      <c r="E6892" t="inlineStr">
        <is>
          <t>母；お母さん；母さん；母様；母上</t>
        </is>
      </c>
      <c r="F6892" t="inlineStr">
        <is>
          <t>亡き母親；優しい母親；哀れな母親；やさしい母親；厳しい母親</t>
        </is>
      </c>
      <c r="G6892" t="inlineStr">
        <is>
          <t>母親失格；母親学級；母親英雄</t>
        </is>
      </c>
      <c r="H6892" t="n">
        <v>29</v>
      </c>
      <c r="I6892" t="inlineStr">
        <is>
          <t>その本の裏表紙には母親が撮影した幼いころの兄弟の写真を使っていた。；高里の実家を訪れた広瀬は、高里に何の愛情も持たない母親と面会する。；母親がプレーしていたソフトボールに影響されて野球を始めたという。；メシアンは母親とその作品の影響を強く受けたことをしばしば語っている。；ドロップの説明から、母親と多種族の父親との間に生まれたことが判明。；眼鏡を取った顔は非常に小さい目をしており、この点は母親似である。；母親の話は巨人入団後のプロフィールに記載されていたものである。；病状が悪化していた母親は初優勝を見とどけた3日後に息を引き取った。；単独もしくは母親と幼獣からなる数頭の群れを形成することが多い。；出産時に母を失うが、子供時代の名前ダニーは母親がつけたものである。；父親はいきなりの展開にも拘らず入門を喜んだが、一方で母親は猛反対。；彼女は久しぶりに会った姉があまりに母親そっくりで驚いたという。；母親に感化されていた娘達も祖母には一通も手紙を送らなかったと言われている。；母親が秋田県出身であったため 母親の実家のある秋田県で生まれた。；荻野の文学研究や創作活動には、母親の強い影響があると自認している。；米軍基地に勤務するイタリア人の父親と日本人の母親の間に生まれた。；これは、オスの母親から見れば50頭の孫を期待できると言うことである。；ただし、彼にサッカーの手ほどきをしたのは叔父ではなく、母親であった。；母親の友人である鈴木みえの紹介で、劇団こまどりの入団試験を受けた。；母親は音楽好きであり、自宅には洋輔が生まれたときからピアノがあった。；素行が母親の実家である交野家へ遊びに行っていた時のことである。；キエルも父の死の知らせでおかしくなってしまった母親に心を痛めていた。；しかし、彼女の息子のジャンポールは彼の母親を狂ったと説明しています。；マネージメントは父親が行っていたが2008年以降母親と兄が行っていた。；そこに王子の母親が現れ、明日行われる舞踏会で花嫁を選ぶよう命じる。；母親の違う於菟は、他の子供たちとはまた違った父親像を綴っている。；ロビーが3歳の時に両親は離婚しており母親に姉とともに育てられた。；それでも、ゆずゆの最大の心の支えは母親に他ならないのであった。；そんな13歳の時に母親が経済的に大変なのにもかかわらず日本に来てくれた。</t>
        </is>
      </c>
      <c r="J6892">
        <f>HYPERLINK("https://www.weblio.jp/content/母親", "词义详情")</f>
        <v/>
      </c>
      <c r="K6892">
        <f>HYPERLINK("https://yourei.jp/母親", "查看例句")</f>
        <v/>
      </c>
    </row>
    <row r="6893">
      <c r="A6893" t="inlineStr">
        <is>
          <t>憚る</t>
        </is>
      </c>
      <c r="B6893" t="inlineStr">
        <is>
          <t>成功</t>
        </is>
      </c>
      <c r="C6893" t="inlineStr">
        <is>
          <t>読み方：はばかる
［動ラ五（四）］
１差し障りをおぼえてためらう。気がねする。遠慮する。「世間体を—・る」「他聞を—・る」「だれにも—・らず自由に生きる」
２幅をきかす。増長する。いばる。「憎まれっ子世に—・る」
３いっぱいに広がる。はびこる。
「一間(ひとま)に—・るほどの物の面(おもて)出で来てのぞき奉る」〈平家・五〉</t>
        </is>
      </c>
      <c r="D6893" t="inlineStr">
        <is>
          <t>憚るよう(22%)；憚るところ(11%)；憚る事(3%)；憚るやう(3%)；憚る所(2%)</t>
        </is>
      </c>
      <c r="E6893" t="inlineStr">
        <is>
          <t>高ぶる；増長する；驕る；うぬぼれる；自惚れる</t>
        </is>
      </c>
      <c r="H6893" t="n">
        <v>29</v>
      </c>
      <c r="I6893" t="inlineStr">
        <is>
          <t>今はもう誰に憚るところもなく、一軒の家を借り同棲することとなった。；靖道が先にナイフを向けてきたのだから誰に憚ることなくそのはずだ。；何かを隠そうとする顔、それも言うのを憚る何かを隠蔽しようとする顔だ。；この調子では、ほかにも人目を憚る商売を何十、何百と持っているだろう。；そしてそこでは、誰に憚ることもなく、大人のようなことをして遊んでいた。；かなり矯激な、従つて世間に公表を憚るやうな議論が随所に見え出した。；手紙といっても別に他人に見せるのを憚るようなものはない。；家のや会社のは憚るところがあるからいつもこれを利用する。；その作家の名や哲学者の名をここに挙げることを私は憚る。；しばらく布団の中に留まって、辺りを憚るような微かな音に首を傾げた。；彼女は一瞬間憚るやうに私の顏を覗いて、そしてから急に自身の手を引いた。；彼女等は労働の傍ら詩を作り、自分の言いたいところを憚るところなく言うのです。；寝室の照美はいつも健やかな性欲を憚ることなく表現することができた。；彼のその一連の行為を見ていると、たしかに憚るということはない。；すべて、これ、もう憚ることのない国家と民衆の利益のためである。；それ以上、何の憚る必要があって、おめおめと、城を明け渡されるのか。；だからお侍様から見れば空気みてえなもんで、私の手前なんか何憚ることもねえんですよ。；庸三は近所を憚るように二三度叩いてみたが返辞がないので少し苛々して来た。；正しい日本はかかる行いを改めるのに憚る事があってはならぬ。；小佐内さんが相手だと、憚ることなく考えたがりの癖が出てしまってよくない。；人目を憚るといふことさへなくば、無論尋ねて行きたかつたのである。；正介が開けたドアを人目を憚るように肩をすくめて入って来た。；武帝であっても弟を敬して憚るところがあり、必ず言葉を択んで発していた。；仁田一家の人々はそのために狭い尾道の世間を憚るようになった。；それに対して軽い心を動かすのは、憚るべきことのような気がした。；これでいわばもう誰憚る必要もなくなったのである。；それは責を引く潔い心ではなくて、与党を怖れ、世間を憚る臆病である。；タケムラを出ると、周囲を憚るようにして弥栄子が郁美を追ってきた。；これで諸君は、ここには人前を憚るに充分な理由のあることがおわかりであろう。</t>
        </is>
      </c>
      <c r="J6893">
        <f>HYPERLINK("https://www.weblio.jp/content/憚る", "词义详情")</f>
        <v/>
      </c>
      <c r="K6893">
        <f>HYPERLINK("https://yourei.jp/憚る", "查看例句")</f>
        <v/>
      </c>
    </row>
    <row r="6894">
      <c r="A6894" t="inlineStr">
        <is>
          <t>幅広い</t>
        </is>
      </c>
      <c r="B6894" t="inlineStr">
        <is>
          <t>成功</t>
        </is>
      </c>
      <c r="C6894" t="inlineStr">
        <is>
          <t>読み方：はばひろい
［形］［文］はばひろ・し［ク］
１横の広がりが大きい。幅が広い。「—・い道」
２範囲が広い。「—・い支持を得る」</t>
        </is>
      </c>
      <c r="D6894" t="inlineStr">
        <is>
          <t>幅広い分野(7%)；幅広いジャンル(6%)；幅広い層(3%)；幅広い活動(2%)；幅広い年齢層</t>
        </is>
      </c>
      <c r="E6894" t="inlineStr">
        <is>
          <t>様々な；さまざまな；広い；広大；太い</t>
        </is>
      </c>
      <c r="F6894" t="inlineStr">
        <is>
          <t>非常に幅広い；幅広い役柄；幅広い年代；幅広い領域；幅広い範囲</t>
        </is>
      </c>
      <c r="H6894" t="n">
        <v>29</v>
      </c>
      <c r="I6894" t="inlineStr">
        <is>
          <t>韓国では子供から老人まで幅広い層に尊敬されている国民的英雄である。；一つの番組内でジャンルを限定しない幅広い内容を提供する番組である。；日本を訪れた後に古いものから近代のものまで幅広く扱うようになる。；その人気もあってか、子どもだけでなく、幅広い年齢層で話題になった。；また、非施設を含めた幅広い事業を対象にすることができる利点もある。；現代数学において基礎的な役割を果たし、幅広い分野に応用されている。；妻のジェニーは幅広い芸術に関心を寄せるパリ市民の家の生まれである。；専門書から一般書まで幅広く手がけている歴史書の分野でも老舗である。；スポーツ感覚で若い人から大人まで幅広い層で支持され楽しまれている。；演劇を始め、テレビドラマ・映画とジャンル問わず幅広く活躍している。；長年声優として活躍したことで、その声は幅広い年代に親しまれていた。；都市同士の結びつきが、相互に、幅広い分野で、文化交流を行っている。；弁護士の職務範囲には、以下のように隣接士業の職務が幅広く含まれる。；女性、男性を問わず幅広いファンに、時代を超えて今も支持されています。；「子供から大人までさらに幅広い層に自身の言葉を届けたい」とのこと。；教科書レベルから大学受験を超える程度の著書まで幅広く出版している。；青年向け・少年向け・少女向けと幅広いジャンルで活躍している。；公式な名称というわけではないが、官公署や民間など幅広く使用される。；現在は映画のほかにテレビや舞台出演もあり、幅広く活躍している。；中心部ではフランス語が主体であるものの、英語も幅広く多く使われている。；それ以外の地域に関しては、今でもロシア語が幅広く使われ続けている。；幅広くやや厚みのある固い葉をしており、常緑性で冬も葉をつけている。；社会学・心理学・哲学を中心に、その他のジャンルの書籍も幅広く出版。；その結果、イギリスの年会には更に幅広い信仰理解の多様性が見られる。；本書は非専門家向けに読みやすく書かれており、幅広い関心を集めた。；編成短縮後も引き続き優等・普通運用を問わず幅広く運用されている。；幼い頃から外画の吹替えで活躍し、幅広い演技で数多くの作品を支えている。；日本のブレイクダンスシーンには年齢性別問わず、幅広い層が存在する。；各科目の連携が必要であり、幅広い知識と経験の医師の協力が欠かせない。</t>
        </is>
      </c>
      <c r="J6894">
        <f>HYPERLINK("https://www.weblio.jp/content/幅広い", "词义详情")</f>
        <v/>
      </c>
      <c r="K6894">
        <f>HYPERLINK("https://yourei.jp/幅広い", "查看例句")</f>
        <v/>
      </c>
    </row>
    <row r="6895">
      <c r="A6895" t="inlineStr">
        <is>
          <t>阻む</t>
        </is>
      </c>
      <c r="B6895" t="inlineStr">
        <is>
          <t>成功</t>
        </is>
      </c>
      <c r="C6895" t="inlineStr">
        <is>
          <t>読み方：はばむ
［動マ五（四）］
１進もうとするのをさまたげる。防ぎとめる。また、こばむ。「前進を—・む」「連勝を—・む」
２気持ちがくじける。ひるむ。
「勇毅にして—・まず、労苦して倦まず」〈中村訳・西国立志編〉
[可能]はばめる
［動マ下二］責める。なじる。〈新撰字鏡〉</t>
        </is>
      </c>
      <c r="D6895" t="inlineStr">
        <is>
          <t>阻むべく</t>
        </is>
      </c>
      <c r="E6895" t="inlineStr">
        <is>
          <t>禁止；防ぐ；除く；邪魔；ブロック</t>
        </is>
      </c>
      <c r="H6895" t="n">
        <v>29</v>
      </c>
      <c r="I6895" t="inlineStr">
        <is>
          <t>ただ自分の内にあって隣人への愛を阻む一切の動機を捨て得るかどうか。；そんな過ごし方をしてきた自分に、芳子の結婚を阻む資格も権利もない。；なにものも彼女が出発するのを阻むことはできなかったにちがいなかった。；さういふ人間の集團が存在する限り、人類の幸福は阻まれるからである。；海軍独自のスタイル重視は、彼らが生きた兵器になり切ることを阻んだ。；は2年目のジンクスに行く手を阻まれ、やや低レベルな成績に終わった。；これはもともとジロンド派の大量当選を阻むための措置だったのである。；天皇杯は県予選の決勝でグルージャ盛岡に阻まれて出場できずに終わった。；いつも直ぐそこにいたものを喰らい尽くしたはずの王気が守って阻んだ。；玄関の前には人の出入りを阻むように警察の車が三台横づけにされている。；それがそのまゝのかたちで現はれることを阻む「何か」があるのである。；いくつかの作品に阻まれながらも登場7週目にして自身初の1位を獲得。；そのため、その後の運用状況は機密の壁に阻まれて明らかになっていない。；前津屋はこの動きを察知して、虚空の動きを阻もうとした可能性もある。；すべての道を阻んでいるのは阿賀妻一人のような憎悪をさえおぼえた。；しかし彼らは行く手を阻もうとしたオッシュ将軍の軍と衝突してしまった。；同じように逢坂の人生を阻むモノが、確かに存在していると、そう思う。；がその志望の実現を阻む障害が、手近なところにあるのではあるまいか。；どんな厳重な警備も、少数の人間の侵入を完全に阻むことは出来ない。；いかにもまだ重大な障害が彼の幸福を阻んでいるように見えた。；行くてをジャングルが阻んだことは他の部隊の場合と変りはなかった。；だが、局長が彼女の大きな夢を阻もうとしていることだけは明瞭である。；風ですらあの美青年の行く手を阻むのを恐れているのかと、教師は思った。；四川の南方から長江を北上しようと何度も攻撃したが、清軍に阻まれた。；最後までそれで通して行こうとしたのが、何か気が阻んだのだ。；この時点ではそれを阻むことができる勢力はほとんどなかった。；しかし私が酔っぱらっていたとしても、誰も私を阻むことはできないのだ。；このことが安定成長を阻む大きなリスクとなる恐れも指摘されている。；しかし、主人公たちの行く手を阻むように邪悪な勢力が次々と姿を現す。</t>
        </is>
      </c>
      <c r="J6895">
        <f>HYPERLINK("https://www.weblio.jp/content/阻む", "词义详情")</f>
        <v/>
      </c>
      <c r="K6895">
        <f>HYPERLINK("https://yourei.jp/阻む", "查看例句")</f>
        <v/>
      </c>
    </row>
    <row r="6896">
      <c r="A6896" t="inlineStr">
        <is>
          <t>省く</t>
        </is>
      </c>
      <c r="B6896" t="inlineStr">
        <is>
          <t>成功</t>
        </is>
      </c>
      <c r="C6896" t="inlineStr">
        <is>
          <t>読み方：はぶく
［動カ五（四）］
１不要のものとして取り除く。「説明を—・く」
２全体から一部を取り除く。減らす。また、節約する。「手間を—・く」「時間を—・く」
３分け与える。
「貧しき民に財を—・き」〈太平記・三四〉
[可能]はぶける</t>
        </is>
      </c>
      <c r="D6896" t="inlineStr">
        <is>
          <t>省くべき</t>
        </is>
      </c>
      <c r="E6896" t="inlineStr">
        <is>
          <t>出す；除く；排除；カット；省略</t>
        </is>
      </c>
      <c r="H6896" t="n">
        <v>29</v>
      </c>
      <c r="I6896" t="inlineStr">
        <is>
          <t>例えば下記の中で条件から到達不能性を省いているものなどが該当する。；この時に女房たちもそれぞれ歌を詠んだのであるがここには省いておく。；この様式は、解剖学的な詳細を省くことで仏の精神的な側面を強調した。；あるいは、もう誰もが理解していることなので、単に省いただけなのか。；また伝統的なものを主な相手としましたから、個人的な作品は省きました。；私らにはよくわからない社会のことですから上の品は省くことにしましょう。；そのために、雑誌連載版で描かれながらも省かれたエピソードも存在する。；前作にあったストーリーモードは省かれ、主人公となる人物は登場しない。；私にも私なりの推定がありますが、それは余談になりますから省きます。；サウンドトラックにはイントロが省かれたバージョンが収録されている。；ゲーム作品では足を描く手間を省く為かUFOに乗っている場合がある。；ストーリーはほぼ原作通り進行していくが、登場人物が何人か省かれている。；こう云う方法に従ったのは、単に手数を省こうとしたのではなかった。；古いものは省かれていて、新しいものはこれからも出てくるだろう。；MとK子との関係はいろいろあるのだが、くわしいことはここでは省く。；目的に応じて、一部の公式を省いたり、別の公式にするなどした変法も多い。；上のアニメや特撮の原作となった作品のキャラクターは省いている。；狭いディスプレイでは表示できない要素などの不要なものが省かれている。；井上の名は省かれているけれども、彼のことを言っていることは勿論である。；内は所属自治体名を示すが、都市・集落名と同一の場合は省いた。；しかし教授にしてみればそれは省くことのできない〝講義〟なのであろう。；生活のムダを省くには、まず行政改革よりも見栄改革だといわれている。；この男に途中で出遭ったことは、非常に私の手間を省く助けになった。；詳しい状況は省きますが、何者かが江知佳さんを狙っているふしがある。；専務と私には多少私事の関係があるのだが、それは省くことにしよう。；これは当時、布おむつが使われていたため洗う手間を省くためでもある。；本記事では、実際に描かれた点だけ記載して考察は省くものとする。；言うまでもないことかもしれないが、ここに至る過程は省かざるを得ない。；ただし、1912年に納入された車両以降は、この機能が省かれている。</t>
        </is>
      </c>
      <c r="J6896">
        <f>HYPERLINK("https://www.weblio.jp/content/省く", "词义详情")</f>
        <v/>
      </c>
      <c r="K6896">
        <f>HYPERLINK("https://yourei.jp/省く", "查看例句")</f>
        <v/>
      </c>
    </row>
    <row r="6897">
      <c r="A6897" t="inlineStr">
        <is>
          <t>歯ブラシ</t>
        </is>
      </c>
      <c r="B6897" t="inlineStr">
        <is>
          <t>成功</t>
        </is>
      </c>
      <c r="C6897" t="inlineStr">
        <is>
          <t>読み方：はぶらし
歯磨き用の小さなブラシ。</t>
        </is>
      </c>
      <c r="D6897" t="inlineStr">
        <is>
          <t>歯ブラシ一本；歯ブラシみたい</t>
        </is>
      </c>
      <c r="E6897" t="inlineStr">
        <is>
          <t>歯刷子</t>
        </is>
      </c>
      <c r="H6897" t="n">
        <v>29</v>
      </c>
      <c r="I6897" t="inlineStr">
        <is>
          <t>そこには赤い歯ブラシもあり、それはめぐみが自分で買ってきたものだ。；尻に突き立てないとするなら、その歯ブラシ、何に使うつもりなんだよ。；グリコは夕方だというのに起きたばかりで口に歯ブラシをくわえていた。；歯ブラシに加えて幾つかの日用雑貨を買って三人はマンションに戻ってきた。；歯ブラシの上半分が回転する構造になっており、下半分は回転しない。；その朝、歯ブラシを取りに戻った新田は、小屋の窓を開け風を通した。；松木軍医は使い古した歯ブラシの毛のような眉をあげて顔をちかづけた。；それを受けて、介護の場面に適した様々な歯ブラシが開発されている。；歯ブラシが誕生した後、ブラシ形状は様々なタイプが考案されていた。；でも、二本の歯ブラシを見た時、こんなことやっぱりやめようと思った。；八重洲口前の安ホテルには歯みがきと歯ブラシが置いてなかったのだ。；幼児が歯ブラシをくわえたまま歩くなどして起きた事故が多数報告されている。；このあたりに歯ブラシを売っているところはありませんか?；このタイプの歯磨耗の一般的な原因は、歯ブラシを使う際の過剰な力である。；私に支えきれるのは中型のスーツケースひとつと歯ブラシ一本が限度だ。；とはいえ余は、彼の歯ブラシを濡らしておくことを忘れはしなかった。；便器のフチ裏や細かい所はスポンジタワシや古歯ブラシを用いても良い。；歯ブラシというものは、どうも他の目的のための利用価値があまりないようだ。；あなたはご自分専用の歯ブラシで、甲板を磨くようなことをなさいますかしら?；日本の地方の旅館に置いてある、おめざめ歯ブラシより少しはましにしても。；朝になるとその若い男がやってきて、電気カミソリと歯ブラシを置いていった。；歯ブラシとタオルも置きっぱなしで出てきたので、夕方は田辺家に帰った。；逆にいえば、ふつうには毛のついた歯ブラシが使われていた、ということだ。；日本でも歯ブラシが一般化するまでは房楊枝が一般的に歯磨きに使用されていた。；ではいったい何故飛行のたびに数本の歯ブラシを、ぼくはもってきてしまうのだろう。；本当に一面白い毛の歯ブラシを並べたように凍りついていた。；おいてあるコップに青い見慣れない歯ブラシがさしてあったのだ。；鏡に向かいコップに立てかけてある歯ブラシを手に取ると、その手が震えていた。；そして震えた歯ブラシの先に、何か緑色のものがなすり付けてあることに気がついた。</t>
        </is>
      </c>
      <c r="J6897">
        <f>HYPERLINK("https://www.weblio.jp/content/歯ブラシ", "词义详情")</f>
        <v/>
      </c>
      <c r="K6897">
        <f>HYPERLINK("https://yourei.jp/歯ブラシ", "查看例句")</f>
        <v/>
      </c>
    </row>
    <row r="6898">
      <c r="A6898" t="inlineStr">
        <is>
          <t>破片</t>
        </is>
      </c>
      <c r="B6898" t="inlineStr">
        <is>
          <t>成功</t>
        </is>
      </c>
      <c r="C6898" t="inlineStr">
        <is>
          <t>読み方：はへん
壊れた物のかけら。「ガラスの—」</t>
        </is>
      </c>
      <c r="D6898" t="inlineStr">
        <is>
          <t>破片効果；破片群；破片岩；破片がバラバラ；破片が落下</t>
        </is>
      </c>
      <c r="E6898" t="inlineStr">
        <is>
          <t>切れ；欠け；割れ；断片；切</t>
        </is>
      </c>
      <c r="F6898" t="inlineStr">
        <is>
          <t>大きな破片；細かい破片；鋭い破片；白い破片；砲弾破片</t>
        </is>
      </c>
      <c r="G6898" t="inlineStr">
        <is>
          <t>破片のきらめき</t>
        </is>
      </c>
      <c r="H6898" t="n">
        <v>29</v>
      </c>
      <c r="I6898" t="inlineStr">
        <is>
          <t>かなり小さな破片であっても、ちゃんと元の体の方向に体が再生される。；「高いからやめにする」私がそう宣言したら、係の人はへんな顔をした。；その他、ヨーロッパを中心に切り取られた破片が保存・展示されている。；この手法は更に管理的で不変の破片の創造を認めることで効率を上げた。；彼が見た破片は逆推進ロケットが再突入時の熱で破壊されたものであった。；現場検証では時限装置と見られる時計や乾電池などの破片が発見された。；もし破片を見つけた場合は公園管理官に報告しなければならない。；建物の中にいた多くの者が粉々になった窓ガラスの破片を直接浴びた。；二次的な危険を防ぐため防具の破片などを全て回収するまで再開はしない。；倒れた木は海に落ち、その破片は人々に幸せをもたらすものとなった。；人の手が加わった道具やその破片としては新石器時代の物が出土している。；最初の爆発で本体を空中に飛びあげ、2度目の爆発で破片をまき散らす。；ところが、それにしてはへんなところがあるのに、玉太郎は気がついた。；地面に向けて発射すると、跳弾や危険な破片を人や物が浴びる原因になる。；また、組合式家型石棺の破片が検出されているが大きく破壊されている。；私がそう答えたら、男はへんな顔をして、私の全身を眺めまわした。；わしが信用借りのことをジョン氏に話したところが、ジョン氏はへんな顔をした。；この爆発により、プリムはわずかな破片を残して一瞬のうちに蒸発した。；高速で飛散する破片は樹脂といえども頭部に大きな損傷を与えうる為である。；小さな天体が衝突すると破片が生じ、それらが環を形成される場合がある。；このような手段によって、地上に大きな破片が落下するのを防いでいる。；その破片は車の右後輪を破裂させ、右後部車体は穴が開くほど破壊された。；それにしても今度の防備隊の態度にはへんな自信が含まれていた。；ナコドチェス湖とその周辺では事故直後にも機体の破片などが見つかっている。；しばらくして、潜水艦のものと思われる破片と、重油が浮かび上がった。；これは爆発時の効果的な破片生成を狙ったものであった。；このため、 自身も、何かもっと大きな小惑星の破片である可能性がある。；骨格の保存状態が悪いため、数多くの破片の同定が困難な状況にある。；以前にも爆撃機が墜落する際の破片の衝撃音を聞いていたためと考えられている。</t>
        </is>
      </c>
      <c r="J6898">
        <f>HYPERLINK("https://www.weblio.jp/content/破片", "词义详情")</f>
        <v/>
      </c>
      <c r="K6898">
        <f>HYPERLINK("https://yourei.jp/破片", "查看例句")</f>
        <v/>
      </c>
    </row>
    <row r="6899">
      <c r="A6899" t="inlineStr">
        <is>
          <t>浜辺</t>
        </is>
      </c>
      <c r="B6899" t="inlineStr">
        <is>
          <t>成功</t>
        </is>
      </c>
      <c r="C6899" t="inlineStr">
        <is>
          <t>読み方：はまべ
浜の水際。また、浜。海辺。</t>
        </is>
      </c>
      <c r="D6899" t="inlineStr">
        <is>
          <t>浜辺に打ち上げられ；浜辺近く；浜辺に打ちあげられ；浜辺一帯；浜辺にうちあげられ</t>
        </is>
      </c>
      <c r="E6899" t="inlineStr">
        <is>
          <t>海岸；岸；土手；ビーチ；磯</t>
        </is>
      </c>
      <c r="F6899" t="inlineStr">
        <is>
          <t>白い浜辺；暗い浜辺；平坦な浜辺</t>
        </is>
      </c>
      <c r="G6899" t="inlineStr">
        <is>
          <t>浜辺の歌；浜辺村；浜辺のウルフ；浜辺通；浜辺黒人</t>
        </is>
      </c>
      <c r="H6899" t="n">
        <v>29</v>
      </c>
      <c r="I6899" t="inlineStr">
        <is>
          <t>浜辺に降りて行くと一隻のカヌーと、その中に武器があるのを見つけた。；また浜辺で死んでいるエイにも、毒は残っているので注意が必要である。；ある嵐の翌日、姉妹は眼下の浜辺に若い男性が倒れているのを発見する。；わたしは午前二時近くまで浜辺に坐ってこの合図を待っていたのだった。；それは浜辺に向かってまっしぐらに進んでくると、ようやく頭をあげた。；たったひとつ潜れると言われたポイントは聞いたことのない浜辺にあった。；王さまはエジプトの浜辺で泣いている 選ばれた民はもう奴隷じゃないぞ!；ぼくがこの浜辺に来たのは今日が初めてだし、この女に会ったことはない。；この料理は漁師らが船上や浜辺で食べていたのが始まりとされている。；それは浜辺に打ち寄せる波が世界を支配しているといっているようなものよ。；目の前には、低く平坦な浜辺が波一つない海に向かってつづいている。；島の反対側の浜辺を離れて以来、火薬が乾いていればよいがと念じつつ。；浜辺でかれを見たときと同じように、あたしの血が冷たくなったもの。；さあまた北の浜辺へ行こう、罪の深い歓楽が、そこの浜辺に待っている。；それが、いったいどうしたことか、こんな夜の浜辺でばったり出会った。；ずっと向こうの浜辺では獣人たちが、じっとその場の様子を見つめていた。；浜辺にいた連中はだれひとりあのふいの疾風に気づかなかったのだろうか?；それは背後のモリンドの浜辺と同じように黒っぽい砂利で覆われていた。；魚の夜市が初まると云ふので、誰も皆浜辺の方を向いて歩いて行くのです。；笑い声と歌声とをあとにして浜辺を歩いてくるのは、淋しいものだった。；眼下の浜辺には同じようなボートが二十隻ばかり引き上げられていた。；下の浜辺では、コルサール人たちが故国に船出せんものと船を建造中だ。；そして釣りに出かけた父の帰りを浜辺に座って海を見つめながら待つのだった。；町の縁に位置し、胸を打つような浜辺と町の眺めを見わたすことができる。；只驚いたのは、掃溜に行て見ても浜辺に行て見ても、鉄の多いには驚いた。；機械が一メートル二十の寄せ波を作っている浜辺にやってきた。；浜辺が肌の下で、波の動きをまねて上下しているように感じられて。；パブに入ると地下階段があり、浜辺に繋がっていることを確信して進む。；例によって浜辺には見送りの島の者がずらりと並んで別を惜しんでいる。</t>
        </is>
      </c>
      <c r="J6899">
        <f>HYPERLINK("https://www.weblio.jp/content/浜辺", "词义详情")</f>
        <v/>
      </c>
      <c r="K6899">
        <f>HYPERLINK("https://yourei.jp/浜辺", "查看例句")</f>
        <v/>
      </c>
    </row>
    <row r="6900">
      <c r="A6900" t="inlineStr">
        <is>
          <t>嵌る</t>
        </is>
      </c>
      <c r="B6900" t="inlineStr">
        <is>
          <t>成功</t>
        </is>
      </c>
      <c r="D6900" t="inlineStr">
        <is>
          <t>入る；一致；合う；調和；適合</t>
        </is>
      </c>
      <c r="H6900" t="n">
        <v>29</v>
      </c>
      <c r="I6900" t="inlineStr">
        <is>
          <t>共通の趣味となった音楽に嵌まり、仕事を半年余りで投げ出してしまう。；そして、遠藤もそれに引きずられる形でゲームに嵌っていくことになる。；再び沈黙が、しかし先ほどとは違ういやに嵌りの悪い沈黙が流れた。；壁には、彼に所望せられて私が書いてやった半折が、額に嵌っていた。；尤も実際の場合の一つ一つが皆この方式にあて嵌まるというのではないが。；運転席との間に金網が嵌まっているのだって別におかしなことじゃない。；考えれば考えるほど深みに嵌る、というのはこういう事ではあるまいか。；窓といってもガラスなんてものが嵌まった、そんな高尚な窓ではない。；嵌木の床には、柔かくてきもちのいい織物が二重に敷いてあるのです。；三十年前の保吉の態度は三十年後の保吉にもそのまま当嵌る態度である。；だが、この前来たときとは、明らかに異なったガラスが嵌っているのがわかった。；なぜなら、鋳型に嵌まってさえいれば、自己の判断は不要だからである。；黒ずんだ灰色の石でできた壁、やはり黒ずんだ窓枠とそこに嵌った板戸。；勢い型に嵌った戦場や将兵や地方民の風俗描写のようなものでもやる他仕事はない。；パチンと蓋をあけると、三カラットのダイヤが白いベッドに嵌っていた。；時間が予定よりも一時間も押してしまって、まんまと渋滞に嵌ってしまう。；彼女は適当に術に嵌まったふりをしていただけなんだから。；そして、鉄格子の嵌った窓を背にして、ひとりの青年が座っていた。；同じ緑色の木枠に切子ガラスの嵌まった扉を押して、浅見は店に入った。；しかし、頭をゆさぶるのを止めると、それはやはり元の場所に嵌っていた。；そして、 二に、ある一つの型に、すっかり嵌り込んで了っていること。；それを黒ずくめのアイレインが両手に持つ図は、ピタリと嵌まっている。；もっとも、窓と言ってもガラスは嵌っていないし、ふきっさらしなのだが。；大体、国語をば階級に嵌めて見ましても、さう言ふ風に嵌つて行くのです。；五番目の留め穴は、そこに留め金がいつも嵌っていたかのようにやれている。；だって、幾世紀も絶対空無のなかに嵌まりこんでいたみたいだったんですもの。；この一つのものには前の帰納した理論は当嵌まらない事になる。；この罠に嵌って女官大勢頭部は腹心の女官たちの多くを失ったものだった。；本人が否定すればするほど、深みに嵌っていくのが見えていた。</t>
        </is>
      </c>
      <c r="J6900">
        <f>HYPERLINK("https://www.weblio.jp/content/嵌る", "词义详情")</f>
        <v/>
      </c>
      <c r="K6900">
        <f>HYPERLINK("https://yourei.jp/嵌る", "查看例句")</f>
        <v/>
      </c>
    </row>
    <row r="6901">
      <c r="A6901" t="inlineStr">
        <is>
          <t>歯磨き</t>
        </is>
      </c>
      <c r="B6901" t="inlineStr">
        <is>
          <t>成功</t>
        </is>
      </c>
      <c r="C6901" t="inlineStr">
        <is>
          <t>読み方：はみがき
［名］(スル)歯を磨いて、清潔にすること。また、歯ブラシにつけるなどして歯を磨くときに用いるもの。「毎食後に—する」「—粉(こ)」「液体—」</t>
        </is>
      </c>
      <c r="D6901" t="inlineStr">
        <is>
          <t>歯磨きセット(2%)；歯磨きペースト；歯磨きチューブ；歯磨き用</t>
        </is>
      </c>
      <c r="E6901" t="inlineStr">
        <is>
          <t>歯磨剤；歯みがき</t>
        </is>
      </c>
      <c r="G6901" t="inlineStr">
        <is>
          <t>歯磨き剤</t>
        </is>
      </c>
      <c r="H6901" t="n">
        <v>29</v>
      </c>
      <c r="I6901" t="inlineStr">
        <is>
          <t>そこで歯磨きなどを済ませた直後、何者かに背後から襲撃されてしまった。；歯磨きのしすぎで一日中キスよりも酸っぱいミントの香りが漂っていた。；今申したような石を磨いて造つた石斧を私共は磨製石斧といつてゐます。；砂糖が配合されていないガムは、歯磨きの代わりに噛まれることがある。；このため、古くは磨と呼ばれる今のすりばちのようなものであった。；野生動物では、カニクイザルが人間の女性の髪などを用いて歯磨きを行う。；その一方、歯磨きが嫌いで、むし歯のためほとんど歯がなかったとされる。；あの頃は食べ終るとすぐに洗面所にすっとんで、歯磨きをしたものである。；朝晩の歯磨きは真九郎と並んでしたがるし、トイレも一緒に行きたがった。；人類の歯磨きの歴史は古く、古代エジプトにその記録が残っている。；二百八十円のコップを使って歯磨きをしながら、私は少しだけ泣いた。；日本でも歯ブラシが一般化するまでは房楊枝が一般的に歯磨きに使用されていた。；自身にも3人の子供があり、日課は子ども全員の入浴と歯磨きという。；あの時は、歯磨きをした直後なのだと思っていたが。；バスルームで歯磨きをしていると、窓からゆっくりと東の空が薄い青に変わってゆくのが見えた。；私も黙って、並べられたパスポートや歯磨きセットを見ていた。；歯磨きにかかわらず日常的に使用するものである。；私たちは夜の歯磨きを井戸のそばで立ったまま行なった。；毎日1人の女性のアイドルなどが歯磨きをしている様子を楽曲とともに流していた。；その中で歯磨きは最も一般的な行為の例であり、それに伴って歯ブラシは多くの変遷を経てきた。；樹皮には駆虫薬の作用があると伝えられ、小枝を噛んで歯磨きにも用いられる。；歯磨きとは無関係に変なところから親不知が生えてきたのは、不幸な事故のようなものだった。；シャンプーだって歯磨きだってなくなれば補充をしなくてはならない。；歯磨きに気を付げないと、歯槽膿漏になるリスクが高そうである。；彼が眠っている間、井戸のそばで私は歯磨きをし、口をすすいだ。；この時代には磨製土器と呼ばれる特異なフリュギア製土器が知られる。；母猿は子供のいる前でゆっくりと大げさに歯磨きを行い行動の伝達を行う様子も確認されている。；ほか、別名が歯磨き草というように、かつては歯磨きに使用していた。；そこに僅かな流しがあり、粉歯磨きと石鹸とたわしとバケツがあった。</t>
        </is>
      </c>
      <c r="J6901">
        <f>HYPERLINK("https://www.weblio.jp/content/歯磨き", "词义详情")</f>
        <v/>
      </c>
      <c r="K6901">
        <f>HYPERLINK("https://yourei.jp/歯磨き", "查看例句")</f>
        <v/>
      </c>
    </row>
    <row r="6902">
      <c r="A6902" t="inlineStr">
        <is>
          <t>嵌める</t>
        </is>
      </c>
      <c r="B6902" t="inlineStr">
        <is>
          <t>成功</t>
        </is>
      </c>
      <c r="C6902" t="inlineStr">
        <is>
          <t>読み方：はめる
［動マ下一］［文］は・む［マ下二］
１ある形に合うように中に入れておさめる。ぴったりと入れ込む。「障子を桟に—・める」「コートのボタンを—・める」
２ある形に合うように外側にかぶせる。環状のものなどを通す。「桶(おけ)にたがを—・める」「指輪を—・める」「手袋を—・める」
３中に落とし入れる。投げ込む。「けんかして池に—・められる」
４ある制限・範囲内におさめ入れる。「予算に枠を—・める」「子供たちを型に—・めてしまう画一的教育」
５計略にかける。いっぱいくわせる。「罠(わな)に—・める」「策略に—・められる」</t>
        </is>
      </c>
      <c r="D6902" t="inlineStr">
        <is>
          <t>嵌めるべき(3%)</t>
        </is>
      </c>
      <c r="H6902" t="n">
        <v>29</v>
      </c>
      <c r="I6902" t="inlineStr">
        <is>
          <t>このあたりを勝手に嵌めこんで書く楽しみが、私にはあったわけである。；君のように利用価値の低い人間を嵌めたところで僕に何の得があると云うのだ。；ラティは通常製であり、短い間隔で鉄の輪が嵌められていることもある。；嵌めたんは事実やけど、そんな悪意から出た行動みたいに言わんといてや。；また若い女性の文章でもそのコトバをハッキリ漢字に嵌めてかいていた。；髭も見事だけど、宝石屋だけあってさすがに高そうな指輪を嵌めてるな。；どこかでよく似たやつを見つけて来て、代わりに嵌めてきたのよ。；三人は、ポケットからビニール製の靴カバーを取り出し、それを嵌めた。；一度その煉瓦を抜きとって、あとからまた嵌めこんだものにちがいない。；これも太い指には牛乳の中に虹が光っているような指環を嵌めていた。；その声は同じ鋳型に嵌めて作られているのではないとイタリアでは言われている。；見るとダイヤを嵌めこんだ台金が少しゆがんで二粒ほど抜けおちている。；何かに嵌めこまれているのでもなければ、吊るされているのでもない。；またたきもせず、まるで空に嵌めこんだ金剛石のように光り輝いていた。；新坂はサングラスの男に、カルロスの手に手枷を嵌めるように命令した。；廊下と、囚人のいる棚との間には鉄の柱を立てて、鉄の格子が嵌めてある。；廊下と、囚人のゐる棚との間には鉄の柱を立てて、鉄の格子が嵌めてある。；背景の壁の床との接地面にはデルフト陶器のタイルが嵌めこまれている。；いまあなたが指のまわりで回転させているキイ・リングに嵌めてあるはずよ。；清楚とすらいえる美貌に嵌めこまれた青い眼が、娘の素姓を告げていた。；つまりご令息は連中に一杯嵌められたような気になられたんですな。；衣服は墨で染めた如く真つ黒で、手には手甲だか手袋だかを嵌めてゐる。；ミディアムはキャップを軸尻に嵌めて使うには、逆に少し大きい気がする。；青白い顔に嵌められた碧玉のようなふたつの瞳が怒りに燃えています。；そのときになって源三郎は、寅五郎の罠に嵌められたような気がして来た。；モザイク床にステンドグラスを嵌めた窓など、豪奢な作りとなっていた。；玄関で靴を探し、最後に手袋を嵌めた時、サイレンが警戒警報を放った。；全員が中年男同様に髪を刈り上げてボタンを一番上まで嵌めていた。；卒業証書を入れる筒にも似たそれは空で、両端にレンズが嵌めてあった。</t>
        </is>
      </c>
      <c r="J6902">
        <f>HYPERLINK("https://www.weblio.jp/content/嵌める", "词义详情")</f>
        <v/>
      </c>
      <c r="K6902">
        <f>HYPERLINK("https://yourei.jp/嵌める", "查看例句")</f>
        <v/>
      </c>
    </row>
    <row r="6903">
      <c r="A6903" t="inlineStr">
        <is>
          <t>場面</t>
        </is>
      </c>
      <c r="B6903" t="inlineStr">
        <is>
          <t>成功</t>
        </is>
      </c>
      <c r="C6903" t="inlineStr">
        <is>
          <t>読み方：ばめん
１変化する状況の、ある部分。物事が行われているその場のようす。「苦しい—に直面する」
２演劇・映画などの一情景。シーン。「—が変わる」「出会いの—」
３市場の状況。場況。</t>
        </is>
      </c>
      <c r="D6903" t="inlineStr">
        <is>
          <t>場面転換；場面ごと；場面集；場面場面；場面描写</t>
        </is>
      </c>
      <c r="E6903" t="inlineStr">
        <is>
          <t>所；場；舞台；現場；シーン</t>
        </is>
      </c>
      <c r="F6903" t="inlineStr">
        <is>
          <t>名場面；様々な場面；あらゆる場面；重要な場面；こんな場面</t>
        </is>
      </c>
      <c r="G6903" t="inlineStr">
        <is>
          <t>場面緘黙；場面写真；場面々々</t>
        </is>
      </c>
      <c r="H6903" t="n">
        <v>29</v>
      </c>
      <c r="I6903" t="inlineStr">
        <is>
          <t>多様なエンプラの開発により様々な場面にあった物の選択が可能になる。；観客は一瞬何が始まったのかと唖然としている間に次の場面が始まる。；復活したイエス・キリストが弟子達の前に現れている場面が描かれている。；現在でも音楽鑑賞以外の場面ではしばしばモノラル方式が使われている。；ただ、場面は、やりまわしの時だけでなく、直線路を走るときにも使う。；現在の日本語で最も基本的な文字であり、主に次のような場面で用いられる。；また、他にも単純な性質を多く持っているため、様々な場面で応用される。；特に巨漢や、突き押しが得意な相手には子供扱いされる場面が増えた。；上記以外にも防衛組織が敵を攻撃する場面のある話は多く存在する。；これにはキリストの昇天とイエスの生涯から10の場面が描かれている。；また、法令で規定されている場面以外では鳴らしてはならないとされている。；最終回は、番組開始時からの名場面を振り返る特別版として放送された。；劇はオイディプースに関する伝説の一場面のみを取り上げたものである。；本映画では、警官の訊問場面以降の沖野の運命が新たに描かれている。；この手紙には脚本の場面ごとの批判などがとうとうと続く。；なお、半球ではなく薄い小型の円盤を取り付けた形で登場する場面もある。；また、かき氷を堪能するなど地球の文化に馴染んでいる場面も見られる。；同じように文字で語られていない部分を絵で説明していく場面は他の作品にいくつも見られる。；ゲーム進行は完全な一本道だが、条件を満たさないと進めない場面もある。；最も好きな技は最初に覚えた技である大外刈で、大事な場面ではこの技を使った。；連作第二作の表題作冒頭には、その初演のコンサートの場面が出てくる。；白や茶色などの小石を用いて狩猟や神話を主題とした場面を表現した。；カットされた別の場面で、ハリーはにあるの前で石を飛ばしている。；実質53分の日本の当初の民放版ではさらに多くの場面が省略されている。；場面を構成する物体の表面は多くの小さな平面に分割されている。；私服なども着用している場面はなく、多くの場合、学校の制服で活動していた。；道路場面や周囲の交通、危険予測に対応できる運転ができるかどうかが試される。；ブリンナーはマックイーンと同じ場面の中で銃を抜くことを拒否した。；しかしマックイーンは異議を唱え、それは脚本の中で最高の場面だと語った。</t>
        </is>
      </c>
      <c r="J6903">
        <f>HYPERLINK("https://www.weblio.jp/content/場面", "词义详情")</f>
        <v/>
      </c>
      <c r="K6903">
        <f>HYPERLINK("https://yourei.jp/場面", "查看例句")</f>
        <v/>
      </c>
    </row>
    <row r="6904">
      <c r="A6904" t="inlineStr">
        <is>
          <t>速い</t>
        </is>
      </c>
      <c r="B6904" t="inlineStr">
        <is>
          <t>成功</t>
        </is>
      </c>
      <c r="C6904" t="inlineStr">
        <is>
          <t>読み方：はやい
［形］［文］はや・し［ク］
１（速い）物事の進む度合いが大きい。動作・進行などがすみやかである。「足が—・い」「返事が—・い」「流れの—・い川」「のみこみの—・い人」⇔遅い。
２（早い）ある基準より時間があまり過ぎていない。また、ある基準より時期が前である。「朝—・い電車に乗る」「—・いうちに手を打つ」「卒業が一年—・い」「梅雨入りが—・い」⇔遅い。
３（早い）まだその時期ではない。その時がまだきていない。「結婚するにはまだ—・い」「あきらめるのは—・い」
４（早い）簡単である。てっとり早い。「調べるより聞くほうが—・い」「自分でするのがいちばん—・い」
５（「…するがはやいか」「…するよりはやく」の形で）時間をおかないで次の動作や物事が行われるさまを表す。「家に帰るが—・いかテレビの前に座り込む」→早く
[補説]1の「流れのはやい川」などでは「疾い」「捷い」とも書く。
[派生]はやさ［名］
[下接句]足が早い・気が早い・勾配(こうばい)が早い・此(こ)の時遅く彼(か)の時早く・手が早い・耳が早い</t>
        </is>
      </c>
      <c r="D6904" t="inlineStr">
        <is>
          <t>速いため(2%)；速いテンポ(2%)；速い速度(2%)；速いスピード；速いペース</t>
        </is>
      </c>
      <c r="E6904" t="inlineStr">
        <is>
          <t>急；急速；急激；早め；速やか</t>
        </is>
      </c>
      <c r="F6904" t="inlineStr">
        <is>
          <t>非常に速い；最も速い；方が速い；素速い；かなり速い</t>
        </is>
      </c>
      <c r="H6904" t="n">
        <v>29</v>
      </c>
      <c r="I6904" t="inlineStr">
        <is>
          <t>最近の傾向を見る限りでは、州内でも成長速度の速い都市となっている。；文字を心の中で音声化していては速く読めないことは容易に納得できる。；これらの機関車はかなり速かったが、その速度では脱線しがちであった。；また、実行速度が重要でないのなら、開発速度を速くすることができる。；また車両の設計上では上記より速い速度となっているものも幾つか存在する。；この種類のコンピュータの基本構成を確立し、当時世界最高速であった。；そこまでやってようやく二人が動いたが、俺の動きのほうが速かった。；前年よりも回転スピードがさらに速くなり、足はさらに高く上がっていた。；わたしのスピードは彼のもっとも足の速いゾラートよりも速かったのだ。；彼は皆が眠つている野営を駈け抜け、音もなく速かに森の中を突進した。；この早熟雄は河川での成長速度の速い個体から出現すると考えられる。；その成果にはその時点での最高速のメッセージパッシングの報告もあった。；機械式暗号の登場は、速くて強い暗号が必要とされたことが背景にある。；それ以上の速さを目指すのであれば黙読し、内言を止めなければならない。；しかし、この理論では、宇宙初期の光速は現在よりも速かったと考える。；理由は速く強く掛けると掛けられた方は膝を負傷することが多いためである。；これはその速度があまりに速すぎるのも理由の一つになっている。；侵攻速度は思いの外速く、その影には怪物を使う者達の存在があるという。；しかし、これらのジェットは光速よりも速く運動しているわけではない。；この時の黒沢村長の指揮ぶりは、迅速適切で見事なものであったという。；非常に筆が速く、週刊連載と並行して様々なイラストを発表している。；何度か弾を当てているとだんだんと敵の動きも速くなってくる。；また利用客数が累計10万人に達した時期は想定よりも大幅に速かった。；血小板数の回復という点ではIVIgが速く第一選択と考えられている。；もっと速かった気がするし、反面こんなに速かっただろうかとも思える。；もし彼らがわが機同様に足が速ければ、われわれを妨害できたはずである。；枠の方が十倍も速かつたが、新太郎ちやんは、何処までも追つていつた。；この速度は銀河系の内部に属する他のどんな天体よりも速いものであった。；鬼はよほど足が速くない限り、全員を凍った状態にすることは難しい。</t>
        </is>
      </c>
      <c r="J6904">
        <f>HYPERLINK("https://www.weblio.jp/content/速い", "词义详情")</f>
        <v/>
      </c>
      <c r="K6904">
        <f>HYPERLINK("https://yourei.jp/速い", "查看例句")</f>
        <v/>
      </c>
    </row>
    <row r="6905">
      <c r="A6905" t="inlineStr">
        <is>
          <t>早い</t>
        </is>
      </c>
      <c r="B6905" t="inlineStr">
        <is>
          <t>成功</t>
        </is>
      </c>
      <c r="C6905" t="inlineStr">
        <is>
          <t>読み方：はやい
［形］［文］はや・し［ク］
１（速い）物事の進む度合いが大きい。動作・進行などがすみやかである。「足が—・い」「返事が—・い」「流れの—・い川」「のみこみの—・い人」⇔遅い。
２（早い）ある基準より時間があまり過ぎていない。また、ある基準より時期が前である。「朝—・い電車に乗る」「—・いうちに手を打つ」「卒業が一年—・い」「梅雨入りが—・い」⇔遅い。
３（早い）まだその時期ではない。その時がまだきていない。「結婚するにはまだ—・い」「あきらめるのは—・い」
４（早い）簡単である。てっとり早い。「調べるより聞くほうが—・い」「自分でするのがいちばん—・い」
５（「…するがはやいか」「…するよりはやく」の形で）時間をおかないで次の動作や物事が行われるさまを表す。「家に帰るが—・いかテレビの前に座り込む」→早く
[補説]1の「流れのはやい川」などでは「疾い」「捷い」とも書く。
[派生]はやさ［名］
[下接句]足が早い・気が早い・勾配(こうばい)が早い・此(こ)の時遅く彼(か)の時早く・手が早い・耳が早い</t>
        </is>
      </c>
      <c r="D6905" t="inlineStr">
        <is>
          <t>早い時期(9%)；早い段階(6%)；早い時間(2%)；早いうち；早いところ</t>
        </is>
      </c>
      <c r="E6905" t="inlineStr">
        <is>
          <t>早め</t>
        </is>
      </c>
      <c r="F6905" t="inlineStr">
        <is>
          <t>最も早い；より早い；方が早い；かなり早い；比較的早い</t>
        </is>
      </c>
      <c r="G6905" t="inlineStr">
        <is>
          <t>早い者勝ち</t>
        </is>
      </c>
      <c r="H6905" t="n">
        <v>29</v>
      </c>
      <c r="I6905" t="inlineStr">
        <is>
          <t>これらは時期が早かったこともあり日本にはほとんど紹介されなかった。；以前の世代よりも早い時期に性行為を始めることを示唆する研究もある。；ここでの時代区分はできる限り早い時期から始まるよう定義されている。；社に出るにはまだ早かったが、そんな事を問題にしてはいられなかった。；お茶のための小テーブルがいくつか並んでいたが、まだ時間が早かった。；おそらく、一番早く人口が20万人に到達した都市であったと思われる。；早い時期に孵化した個体の中には、その年の秋に産卵をするものもある。；また、羽も付いているが人間の歩く早さ程度の速度しか出せないという。；これは飛行機についてドイツ語で書かれた最も早い文章の一つである。；早い時期に留学を終えて日本に帰国した卒業者は日本で運動の指導に当たった。；ただし、登場時期が早すぎるのではないかとして議論の的になっている。；そのため、損益確定が早い一般酒に力を入れる動きが泡盛業界には多い。；レジの発明された時期を考えると、この革命のタイミングは相当に早い。；市内の道路は広く整備が進んでおり、早くから国鉄との立体交差を推進。；そうでなくば、私を殺して早うお傍に連れて行って下さいまし、よ、よ。；明治の早い時期に日本に入ってきた野球は、次第に日本に広まっていった。；吸収が早いために、症状が出現した時点では胃洗浄は効果がないとされる。；予定からいうと、ようやく月に到達するはずの時より四年間も早かった。；しかし途中で遅かれ早かれ、なにか事故が起こるとは思っていたのです。；制作当初や早い時期から意図していたものとして、次のものが挙げられる。；早くに父が戦死したことで、幼少期から政治的に重要な立場となった。；早押しテーブルなどの機材も今大会のものが基本になっているものが多い。；もし失敗したら、さらに半年早く番組が打ち切られていた可能性もあった。；その娘たちのサクラサク日の早からんことを願わずにはいられなかった。；このためガラス製造の開始は江戸よりも大坂の方が早かったとされる。；時期的には『スター・ウォーズ』のほうが制作開始・公開いずれも早い。；再婚だけど、前の結婚早かったからさ、子どもはもう独立してるんだよ。；もう一日早ければ、まったく無垢な体のまま父のもとへ帰れただろうに。；ほとんどの作品が独立プロダクションの中で低予算で早撮りで作られた。</t>
        </is>
      </c>
      <c r="J6905">
        <f>HYPERLINK("https://www.weblio.jp/content/早い", "词义详情")</f>
        <v/>
      </c>
      <c r="K6905">
        <f>HYPERLINK("https://yourei.jp/早い", "查看例句")</f>
        <v/>
      </c>
    </row>
    <row r="6906">
      <c r="A6906" t="inlineStr">
        <is>
          <t>早いこと</t>
        </is>
      </c>
      <c r="B6906" t="inlineStr">
        <is>
          <t>成功</t>
        </is>
      </c>
      <c r="D6906" t="inlineStr">
        <is>
          <t>もの；事；状態；物；イベント</t>
        </is>
      </c>
      <c r="H6906" t="n">
        <v>29</v>
      </c>
      <c r="I6906" t="inlineStr">
        <is>
          <t>これらは時期が早かったこともあり日本にはほとんど紹介されなかった。；メニューでプレイしたいゲームを選ぶ事で自由に変更することが出来た。；以前の世代よりも早い時期に性行為を始めることを示唆する研究もある。；ここでの時代区分はできる限り早い時期から始まるよう定義されている。；社に出るにはまだ早かったが、そんな事を問題にしてはいられなかった。；これはドイツで戦後最も早い時期に建設されたシナゴーグの1つである。；おそらく、一番早く人口が20万人に到達した都市であったと思われる。；早い時期に孵化した個体の中には、その年の秋に産卵をするものもある。；しかし、いつどのように活動が変化するかを予測することは非常に難しい。；このことはブレスト合同が不完全なものに終わる結果にも影響があった。；また、羽も付いているが人間の歩く早さ程度の速度しか出せないという。；これは飛行機についてドイツ語で書かれた最も早い文章の一つである。；早い時期に留学を終えて日本に帰国した卒業者は日本で運動の指導に当たった。；ただし、登場時期が早すぎるのではないかとして議論の的になっている。；そのため、損益確定が早い一般酒に力を入れる動きが泡盛業界には多い。；レジの発明された時期を考えると、この革命のタイミングは相当に早い。；市内の道路は広く整備が進んでおり、早くから国鉄との立体交差を推進。；印刷物には文字だけでなく挿し絵などの図版も必要とされることが多い。；そうでなくば、私を殺して早うお傍に連れて行って下さいまし、よ、よ。；明治の早い時期に日本に入ってきた野球は、次第に日本に広まっていった。；吸収が早いために、症状が出現した時点では胃洗浄は効果がないとされる。；しかし、各分野間には関連領域が存在するため明確に区別することは難しい。；予定からいうと、ようやく月に到達するはずの時より四年間も早かった。；しかし途中で遅かれ早かれ、なにか事故が起こるとは思っていたのです。；制作当初や早い時期から意図していたものとして、次のものが挙げられる。；早くに父が戦死したことで、幼少期から政治的に重要な立場となった。；早押しテーブルなどの機材も今大会のものが基本になっているものが多い。；もし失敗したら、さらに半年早く番組が打ち切られていた可能性もあった。；すると、プログラムは要求を行った時点から処理を再開させることができる。</t>
        </is>
      </c>
      <c r="J6906">
        <f>HYPERLINK("https://www.weblio.jp/content/早いこと", "词义详情")</f>
        <v/>
      </c>
      <c r="K6906">
        <f>HYPERLINK("https://yourei.jp/早いこと", "查看例句")</f>
        <v/>
      </c>
    </row>
    <row r="6907">
      <c r="A6907" t="inlineStr">
        <is>
          <t>早いところ</t>
        </is>
      </c>
      <c r="B6907" t="inlineStr">
        <is>
          <t>成功</t>
        </is>
      </c>
      <c r="C6907" t="inlineStr">
        <is>
          <t>読み方：はやいところ
急いで。手早く。「—知らせよう」</t>
        </is>
      </c>
      <c r="D6907" t="inlineStr">
        <is>
          <t>早く；たちまち；直ちに；直ぐ；早速</t>
        </is>
      </c>
      <c r="H6907" t="n">
        <v>29</v>
      </c>
      <c r="I6907" t="inlineStr">
        <is>
          <t>手紙はまだ懐にあるはずです、早いところ手に入れなければなりません。；それからあんたは早いところ金をさらって、逃げてしまうつもりだった。；こんなに早いところをみると、ほとんど湯につかっていないに違いない。；ああ、そりゃあね、早いところそうなってくれるともっといいんだけど。；早いところ布陣したいものだ、と思いながらホーキンスは空を見上げた。；なんとか早いところ出て来て、手を挙げてくれんかいなあ、と思ってはいる。；学生生活を早いところ打ちきりにした男が、柳のほかにもう一人来ていた。；こう滲充の早いところをみると、よほどひどいことをやられたのだね。；灯の動きが早いところを見ると、相手方も馬を走らせているようであった。；ゆうべの母の話を、早いところ父に伝えた方がいいと思ったからだ。；やはり早いところユージオを説得し念を押しておく必要があった。；早いところこの状況を何とかしないと春香が沸騰しすぎて蒸発しちまう!；わたしはすでにできるだけ早いところこれを終わらせようと決めていたのだ。；高価な花ではないが、少し季節に早いところが珍しいかもしれない。；彼は駈けよるなり、早いところ倒れている下士官の服を脱がしてしまった。；ただでさえ灯の早いところ、両側の茶屋は昼をあざむくばかりの灯だ。；二人は、そんな風に、早いところ、眼と眼とで、相談をしてしまった。；私のものわかりの早いところの裏にくっついている一つの弱点です。；そういう気分の反射し方が早いところはたしかにあると思った。；これも早いところ旅館の主人にせがんで手に入れたものであった。；まだやってないのなら、早いところ試みてもらいたいものだ。；なんでもいいから、早いところ用意してきてくれないかね?；おれは小隊をまとめて早いところここから出たかったのだ。；尻の青いガキが高級外車に乗る時代など、早いところ去ってくれたほうがいい。；北部では新鎌ヶ谷駅を利用した方が早いところも存在する。；早いところ潮崎たちのいる部屋に戻らなくてはいけないと気が焦る。；寒さも大分緩くなり、早いところではそろそろサクラが開花するらしい。；早いところ、その隠密がだれかを明らかにし、なんとかせねばならぬ。；「それでは早いところ寝たほうがよさそうだ」ジャイルズは言った。</t>
        </is>
      </c>
      <c r="J6907">
        <f>HYPERLINK("https://www.weblio.jp/content/早いところ", "词义详情")</f>
        <v/>
      </c>
      <c r="K6907">
        <f>HYPERLINK("https://yourei.jp/早いところ", "查看例句")</f>
        <v/>
      </c>
    </row>
    <row r="6908">
      <c r="A6908" t="inlineStr">
        <is>
          <t>早口</t>
        </is>
      </c>
      <c r="B6908" t="inlineStr">
        <is>
          <t>成功</t>
        </is>
      </c>
      <c r="C6908" t="inlineStr">
        <is>
          <t>読み方：はやくち
１しゃべり方が早いこと。早言葉。早言(はやこと)。「—でまくしたてる」
２「早口言葉」の略。</t>
        </is>
      </c>
      <c r="D6908" t="inlineStr">
        <is>
          <t>早口でこう；早口に喋り出し；早口にしゃべりつづけ；早口でしゃべりだし；早口にしゃべりだし</t>
        </is>
      </c>
      <c r="F6908" t="inlineStr">
        <is>
          <t>猛烈な早口；ものすごい早口</t>
        </is>
      </c>
      <c r="G6908" t="inlineStr">
        <is>
          <t>早口川；早口村；早口町；早口駅</t>
        </is>
      </c>
      <c r="H6908" t="n">
        <v>29</v>
      </c>
      <c r="I6908" t="inlineStr">
        <is>
          <t>そして、州波のいつにない早口の説明も、彼らには問題なく通じている。；わずかにキリトの方を向き、彼の顔を見ないようにしながら早口に言う。；もっとも、彼は早口なので何を言っているのか半分もわからなかった。；だが、そのあいだもかれの頭の中の声は、早口にしゃべりつづけていた。；彼女は大変早口で彼に次のように言ったが、彼のほうへは目をやらなかった。；彼らに早口で経緯を説明した頃、やっと向こうの主従二人は相談を終えた。；時に早口を他人から言われることもあるが、本人はあまり気にしていない。；わずかにキリトのほうを向き、彼の顔を見ないようにしながら早口に言う。；あわてているので舌がもつれそうになりながら、小夜は早口につづけた。；劇映画の一場面だと思っていると、男は緊張気味に早口で喋りはじめた。；富奴は皆の注目を集めたことで居心地が悪くなったかのように早口で続けた。；早口で、しかも口ごもる感じで一体なにを言っているのかわからないのだ。；しかし少し早口のため、生徒たちには意味がよく聞きとれなかった。；どうしたんですか何かあったんですか、と青柳雅春は早口になってしまう。；カメはとても早口に話すので、私の書く手は遠く引きはなされていたのです。；早口の上に発音ははっきりとせず、荒っぽさだけが耳に押し寄せてくる。；甲高い上に早口なのだが、それは落ちつきのなさを感じさせはしなかった。；弁護士は壁にむかって、しかもひどく低い声で早口に物を言っていたからだ。；なお二、三あしたのことを早口に注意しておいて、彼は立って私と庭へでた。；彼はイギリス人が真剣なときにするように、低声で早口に話していた。；老婆は丸椅子から動こうという気配すら見せず、また早口で何か言った。；早口な言葉がほとばしり出て、呼吸が熱風のように王二の耳に吹きつけた。；「でも僕はあきらめたわけじゃありませんよ」 西尾氏は早口で言った。；計数管はさっきの早口の呟きから、声を押し殺した唸りに変わっている。；「次の矢を回避したら走るぞ」 早口にそう指示し、俺は全身を緊張させた。；ハリーは二人が大広間に向かいながら早口のフランス語で話しているのを聞いた。；そのうちに赤い帽子の子が、立ちどまって、早口に何かを言いました。；電車の中で何回も練習してきたセリフだったのだが、早口になってしまった。；では六點くらゐ貰へますかといふと、少し早口のやうですと言つてくれた。</t>
        </is>
      </c>
      <c r="J6908">
        <f>HYPERLINK("https://www.weblio.jp/content/早口", "词义详情")</f>
        <v/>
      </c>
      <c r="K6908">
        <f>HYPERLINK("https://yourei.jp/早口", "查看例句")</f>
        <v/>
      </c>
    </row>
    <row r="6909">
      <c r="A6909" t="inlineStr">
        <is>
          <t>早くとも</t>
        </is>
      </c>
      <c r="B6909" t="inlineStr">
        <is>
          <t>成功</t>
        </is>
      </c>
      <c r="D6909" t="inlineStr">
        <is>
          <t>すぐに；早く；たちまち；直ちに；直ぐ</t>
        </is>
      </c>
      <c r="H6909" t="n">
        <v>29</v>
      </c>
      <c r="I6909" t="inlineStr">
        <is>
          <t>これらは時期が早かったこともあり日本にはほとんど紹介されなかった。；以前の世代よりも早い時期に性行為を始めることを示唆する研究もある。；ここでの時代区分はできる限り早い時期から始まるよう定義されている。；社に出るにはまだ早かったが、そんな事を問題にしてはいられなかった。；お茶のための小テーブルがいくつか並んでいたが、まだ時間が早かった。；おそらく、一番早く人口が20万人に到達した都市であったと思われる。；早い時期に孵化した個体の中には、その年の秋に産卵をするものもある。；また、羽も付いているが人間の歩く早さ程度の速度しか出せないという。；これは飛行機についてドイツ語で書かれた最も早い文章の一つである。；早い時期に留学を終えて日本に帰国した卒業者は日本で運動の指導に当たった。；ただし、登場時期が早すぎるのではないかとして議論の的になっている。；そのため、損益確定が早い一般酒に力を入れる動きが泡盛業界には多い。；レジの発明された時期を考えると、この革命のタイミングは相当に早い。；市内の道路は広く整備が進んでおり、早くから国鉄との立体交差を推進。；そうでなくば、私を殺して早うお傍に連れて行って下さいまし、よ、よ。；明治の早い時期に日本に入ってきた野球は、次第に日本に広まっていった。；吸収が早いために、症状が出現した時点では胃洗浄は効果がないとされる。；予定からいうと、ようやく月に到達するはずの時より四年間も早かった。；しかし途中で遅かれ早かれ、なにか事故が起こるとは思っていたのです。；制作当初や早い時期から意図していたものとして、次のものが挙げられる。；早くに父が戦死したことで、幼少期から政治的に重要な立場となった。；早押しテーブルなどの機材も今大会のものが基本になっているものが多い。；もし失敗したら、さらに半年早く番組が打ち切られていた可能性もあった。；このためガラス製造の開始は江戸よりも大坂の方が早かったとされる。；時期的には『スター・ウォーズ』のほうが制作開始・公開いずれも早い。；再婚だけど、前の結婚早かったからさ、子どもはもう独立してるんだよ。；もう一日早ければ、まったく無垢な体のまま父のもとへ帰れただろうに。；ほとんどの作品が独立プロダクションの中で低予算で早撮りで作られた。；その影響は早ければ2020年から市場に影響してくるようになるという。</t>
        </is>
      </c>
      <c r="J6909">
        <f>HYPERLINK("https://www.weblio.jp/content/早くとも", "词义详情")</f>
        <v/>
      </c>
      <c r="K6909">
        <f>HYPERLINK("https://yourei.jp/早くとも", "查看例句")</f>
        <v/>
      </c>
    </row>
    <row r="6910">
      <c r="A6910" t="inlineStr">
        <is>
          <t>林</t>
        </is>
      </c>
      <c r="B6910" t="inlineStr">
        <is>
          <t>成功</t>
        </is>
      </c>
      <c r="C6910" t="inlineStr">
        <is>
          <t>読み方：はやし
１樹木がたくさん集まって生えている所。「武蔵野の面影を残す—」「雑木—」
２同類のものが立ち並んでいる状態。「アンテナの—」</t>
        </is>
      </c>
      <c r="D6910" t="inlineStr">
        <is>
          <t>林縁(2%)；林さん；林氏；林太郎；林銑十郎</t>
        </is>
      </c>
      <c r="E6910" t="inlineStr">
        <is>
          <t>森；森林；木立；樹林；森林地帯</t>
        </is>
      </c>
      <c r="F6910" t="inlineStr">
        <is>
          <t>櫟林；常緑広葉樹林；灌木林；楊林；椰子林</t>
        </is>
      </c>
      <c r="G6910" t="inlineStr">
        <is>
          <t>林業；林道；林立；林田；林作</t>
        </is>
      </c>
      <c r="H6910" t="n">
        <v>29</v>
      </c>
      <c r="I6910" t="inlineStr">
        <is>
          <t>ちなみに、同年には衣笠から林までの京浜急行電鉄の路線が計画された。；この孔林に埋葬されている孔子の子孫の数は10万人以上ともされている。；薬王院の境内外は国有林となっており、ここにもスギ林は広がっている。；その後も勲旧勢力と士林勢力は繰り返し衝突し、政局は混乱を続けていた。；アメリカでは1898年に最初の林学校がコーネル大学に創設された。；現在でも幹と枝だけになった白骨林の姿が山腹に広がっているという。；林は学長室自体を封鎖されたバリケード内に移したいとさえ主張した。；同時期に林伸夫もApple IIをホストにしたサービスを開設した。；町の南西部には広大な人造林であるアムステルダムセ・ボス公園がある。；それは林で小さな蜘蛛を踏み殺しかけて止め、命を助けたことだった。；この段階では、今後林は「デザイン管理のみを担当する」としていた。；落葉広葉樹林は温暖な夏にのみ葉を繁らせるため、夏緑林とも呼ばれる。；この後の場面で、林兵衛は命より大切にしていた貯金箱を盗まれる。；日本の温帯林を代表する樹木で、以下の市町村の木に指定されている。；わずかに最高峰付近と寺院近傍にのみ林が残存していたのみである。；明治の初めに戸籍制度が実施されるに及び林姓を名乗った。；しかし、林が購入した作品は、日本で知られることはなく、売却されてしまった。；かつてこの地域は小松の林が多かったため「小松」の地名が生まれた。；なわばりを持ち、林の中の湖のほとりや、牧場と林の境などでも見られる。；このアカマツの林は原生林ではなく、元々は存在しなかった人工林である。；日本の暖地では海岸林の重要な構成樹種の一つである。；林姓を名乗ったことが信頼できる公開された情報源で検証可能なのは宗名の代からである。；標高600メートル以下にある乾燥林や浸水林・湿地林などに生息する。；標高900m近くまで上がるとハイマツの林となり、眺望も開けてくる。；現在の州内の森の大半は再生林である。；また、林野庁の保護林に、ツゲを対象とした1箇所が設定されている。；総合学術調査の際、男島の林の中で中世の石垣群が発見されている。；青森県との県境である矢立峠近くの天然秋田杉の林の中に位置する一軒宿。；林はそれまで映画制作現場での経験が全くなかったものの、このデビュー作は高評価を得た。</t>
        </is>
      </c>
      <c r="J6910">
        <f>HYPERLINK("https://www.weblio.jp/content/林", "词义详情")</f>
        <v/>
      </c>
      <c r="K6910">
        <f>HYPERLINK("https://yourei.jp/林", "查看例句")</f>
        <v/>
      </c>
    </row>
    <row r="6911">
      <c r="A6911" t="inlineStr">
        <is>
          <t>生やす</t>
        </is>
      </c>
      <c r="B6911" t="inlineStr">
        <is>
          <t>成功</t>
        </is>
      </c>
      <c r="C6911" t="inlineStr">
        <is>
          <t>読み方：おやす
［動サ四］
１生えさせる。はやす。
「若き時尼になりて、後悔して男をして髪を—・し」〈伽・富士の人穴草子〉
２陰茎を勃起(ぼっき)させる。
「馬めがかの物を—・して」〈咄・きのふはけふ・上〉</t>
        </is>
      </c>
      <c r="H6911" t="n">
        <v>29</v>
      </c>
      <c r="I6911" t="inlineStr">
        <is>
          <t>男か女か分らないのでそれを区別するためか、男はひげを生やしていた。；のちに田中が同じような髭を生やすようになったのはその真似ではないか。；その商人は今でもよく記憶に残っていますが大きな髯を生やした男でした。；みなそれぞれ顎ひげを生やしていたが、その形も色もさまざまだった。；そしてまばらなひげを生やした一人の水夫が入口に立って、こういった。；奇怪なことにそれは鳥ではなく、背中から翼を生やした人間たちであった。；ひげを生やした男が口をあけているのは、ひどく間が抜けて見える。；背の低い肩の四角な男で、平べったい鼻の下に短い口鬚を生やしていた。；つまり、雑草を生やし施肥を止めて自然のままに置くほうが良いという。；ひげを長く生やした老商人が若い娘に口ぞえを頼んでいるのだ。；ちゃんと家へ帰ってガッチリした家庭の雰囲気の中に根を生やしている連中。；人間は他の大部分の哺乳類と同じく二生歯性であり、二組の歯を生やす。；立つたものは、新らしい黒の制服を着て、鼻の下にもう髭を生やしてゐる。；若い女性の背後にはひげを生やした男性が立って、彼女をじっと見つめている。；今や馬上の者は人間の頭より大きい頭を持ち、牡鹿の角を生やしている。；腕や足を失ったホルマッドたちは、新しい腕や足を生やしつつあった。；最早他に青い毛を生やした青い眼玉の男は一人も居ないかしらん。；なんと、あの角を生やした般若の顔が血の色の歓喜に燃えているのである。；するとその潰れた屋根の間から、髭を生やした軍人が威張って出て来た。；その上には、空気服を着て太い尻尾を生やした三少年が立っていた。；像の高さはで、頭に飾りをつけ、ひげを生やした男性を表している。；自分の似顔に鬼のような角を生やして、毒哺生と名を署したのも彼である。；彼は、〈都市建造者〉なら毛のないはずのところに毛を生やしている。；顔がほとんどかくれてしまうほどの白ひげを生やしたちっぽけな老人だ。；しかし唇の上に生やした細い髭が妙に不自然な、いささか大きな女が一人。；ところでその感覚は肩から羽根を生やしたキューピットの仕業だと云う。；頬髯をモジャモジャと生やしてはいたが、何処か人の好さ相な顔をしていた。；起きた直後の姿は、無造作に伸びた髪に無精髭を生やし痩せこけている。；普段は人の姿で、妖怪の正体を明かすときには狐の耳としっぽを生やす。</t>
        </is>
      </c>
      <c r="J6911">
        <f>HYPERLINK("https://www.weblio.jp/content/生やす", "词义详情")</f>
        <v/>
      </c>
      <c r="K6911">
        <f>HYPERLINK("https://yourei.jp/生やす", "查看例句")</f>
        <v/>
      </c>
    </row>
    <row r="6912">
      <c r="A6912" t="inlineStr">
        <is>
          <t>早め</t>
        </is>
      </c>
      <c r="B6912" t="inlineStr">
        <is>
          <t>成功</t>
        </is>
      </c>
      <c r="C6912" t="inlineStr">
        <is>
          <t>読み方：はやめ
［名・形動］
１きまった時刻・時期よりもいくらか早いこと。また、そのさま。「—の夕食」「—に家を出る」
２速度がふつうよりいくらか速いさま。「少し—に歩く」</t>
        </is>
      </c>
      <c r="D6912" t="inlineStr">
        <is>
          <t>早め先頭；早めさせ；早め早め；早めに食べきる；早めに抜けだし</t>
        </is>
      </c>
      <c r="E6912" t="inlineStr">
        <is>
          <t>急；早い；急速；急激；速い</t>
        </is>
      </c>
      <c r="F6912" t="inlineStr">
        <is>
          <t>一日早め</t>
        </is>
      </c>
      <c r="G6912" t="inlineStr">
        <is>
          <t>早めよ；早めれ</t>
        </is>
      </c>
      <c r="H6912" t="n">
        <v>29</v>
      </c>
      <c r="I6912" t="inlineStr">
        <is>
          <t>もう三日ほどしたらと思って居たのを急に早めて翌日の一番で立つ事にした。；最後の直線にて早めに先頭に立つと、そこから左ステッキが入れられた。；もう少しの御辛抱ですと云いながら案内者は足を早めて登って行きます。；そういう場合には、彼女の赤い服装が雪のなかで大いに発見を早めた。；今夜の夕食は、早めの時間にふたりでとることを、ぼくと彼女は約束した。；帽子の縁に手をあてて飛雲の急な空を仰ぎつつ、人々は皆足を早めていた。；次の朝は早めに起きて、食事前に、子供たちと市河君に絵端書を書いた。；一説にはこの事件が当時病床にあった長舒の死期を早めたともいわれる。；それを聞くと、彼は更に足を早めて、まもなく、とある海岸へ出ました。；そこまで来ると、幸之助は俄かに足を早めて女のうしろから追い付いた。；クラブの会員さんがいるので早めに決めて言っておかないとね。；本人は早めに日本に帰国し、調整してのぞめば良かったと後悔している。；しかし、この暴飲暴食が皮肉にも死を早めてしまう結果になってしまった。；アレッタの登場が原作よりも早められており、第1話から登場している。；たゞ自動車の偶然の衝突があの人の死を、二三日早めたのに過ぎないのです。；沖縄県では22時から翌日4時までと、逆に夜の規制始めを早めている。；ロシア軍の撤退に応じて、中央のドイツ第8軍は前進速度をより早めた。；そしてこの日に新築の家に引っ越し、疲労困憊の体で早めに床に就いた。；更に外側の方から早めに2番手に上がっていったのはタイプスワローです。；それから兄弟三人は、前よりも一層足を早めて、峠を馳け下りました。；撮影が早めに終わってから2人でディズニーランドに行ったこともあった。；良助は何か考えに沈んだように地面に視線を落したまま足を早めた。；夜など少し早めに伺うと、夕食の後らしくバイオリンを弾いておられた。；熊沢に戻った障害オープンで早め先頭から逃げ切り障害2勝目を挙げる。；それきりで、明朝は早く起きなければならないからと、みんな早めに寝た。；橘ノ圓都はそんな無理が祟って死期を早めたのではないかと発言している。；直線は早めに先頭に立ったけど、抜けちゃえば大丈夫だと思っていました。；誰も名所巡りの客でないから振向いても見ずに街の方へ足を早めた。；また、麻雀界の衰退を早めたのは岡田のジャッジであると非難している。</t>
        </is>
      </c>
      <c r="J6912">
        <f>HYPERLINK("https://www.weblio.jp/content/早め", "词义详情")</f>
        <v/>
      </c>
      <c r="K6912">
        <f>HYPERLINK("https://yourei.jp/早め", "查看例句")</f>
        <v/>
      </c>
    </row>
    <row r="6913">
      <c r="A6913" t="inlineStr">
        <is>
          <t>速める</t>
        </is>
      </c>
      <c r="B6913" t="inlineStr">
        <is>
          <t>成功</t>
        </is>
      </c>
      <c r="C6913" t="inlineStr">
        <is>
          <t>読み方：はやめる
［動マ下一］［文］はや・む［マ下二］
１（早める）時期・時刻をはやくする。「出荷を—・める」「死期を—・める」
２（速める）速度をはやくする。「足を—・める」</t>
        </is>
      </c>
      <c r="D6913" t="inlineStr">
        <is>
          <t>促進；進める；促す；早める；急がせる</t>
        </is>
      </c>
      <c r="H6913" t="n">
        <v>29</v>
      </c>
      <c r="I6913" t="inlineStr">
        <is>
          <t>その刺激がカークの思考速度を今までに経験したことがない程、速めた。；そうと見届けるや否や、ぼくは足を速めて駈けあがって行ったのである。；徐々に足は速められ、十歩といかぬうちに、彼は全力疾走に移っていた。；その証拠に私たちが足を速めてみてもやはり間隔は同じままなのだ。；それに気づいて、八郎が足を速めたとき、どこかで男の悲鳴がきこえた。；まるで夜が足を速めてやってきたかのように、空はますます暗くなっていった。；彼女がおもいきって抵抗できない条件にあったことが、その姿勢を速めた。；ビンクは古いぴくぴく虫の穴を見て、すっかり不安になり、足を速めた。；塚瀬は足を速めたが、相手は大股で追って来て狭い廊下で肩を並べた。；私の体にも、私の心にも、私の歩みを速めるだけの力が残つてゐなかつた。；どうかしてると思ったが、だからこそ僕はさらにいっそう足を速めた。；しばらく続いた後、やや速度を速めて動きのあるメロディが登場する。；今、インターネットは関連した情報の流れを速める究極の場所である。；こうすることがかえって時機の到来を速めることと信じているのです。；まるで今のホロとの関係を示しているようで、目をそらし足を速めた。；秋穂は、道の反対の端に寄り、顔を合わせないように俯き歩調を速めた。；聞いているだけで心が癒されるような音に、彼女は歩く足を速める。；雨がますます強さを増してきたので、ぼくは必死で歩を速めた。；いよいよ足を速める茶子の耳に、急にざわついた声が聞こえてきた。；かういふ些細な事実がおいよさんと私との間を近くすることを速めた。；ゆっくりと歩いている彼を引っ張るように、足を速めて坂道を下っていく。；ジェイコプは事態の進行速度を速め、なにが起こるかを見ようとした。；年も押し迫った朝の街路は、足を速める毎に冷たさを染み込ませてくる。；「いやに急ぐじゃねえか」 女は、べつに足を速めようともしなかった。；カール・チェルニーはこの部分は速度を速めて演奏すべきであると解説している。；いずれにしても、もう一度会って話してみないと、と美琴は歩調を速めた。；そうして手を速めて二マイルも行ったでしょうか、さまざまな楽器の音が流れてきました。；口から人間の老化を急速に速めて、1週間以内に死亡させる細菌を吐く。；やがて目が慣れてくると、格納庫内の情景が彼の鼓動をいっそう速めた。</t>
        </is>
      </c>
      <c r="J6913">
        <f>HYPERLINK("https://www.weblio.jp/content/速める", "词义详情")</f>
        <v/>
      </c>
      <c r="K6913">
        <f>HYPERLINK("https://yourei.jp/速める", "查看例句")</f>
        <v/>
      </c>
    </row>
    <row r="6914">
      <c r="A6914" t="inlineStr">
        <is>
          <t>早める</t>
        </is>
      </c>
      <c r="B6914" t="inlineStr">
        <is>
          <t>成功</t>
        </is>
      </c>
      <c r="C6914" t="inlineStr">
        <is>
          <t>読み方：はやめる
［動マ下一］［文］はや・む［マ下二］
１（早める）時期・時刻をはやくする。「出荷を—・める」「死期を—・める」
２（速める）速度をはやくする。「足を—・める」</t>
        </is>
      </c>
      <c r="D6914" t="inlineStr">
        <is>
          <t>促進；進める；促す；急ぐ；繰り上げ</t>
        </is>
      </c>
      <c r="H6914" t="n">
        <v>29</v>
      </c>
      <c r="I6914" t="inlineStr">
        <is>
          <t>成長を早めるこの薬を完成するのに、わたしは大変な苦心を重ねました。；相溶性の液体同士の混合を早める程度の作業に適用するのが適当である。；晩年は背中を痛めたことが一気に引退を早める要因の一つとなってしまった。；相手の死を早めるばかりか、ぼくが生きて行けなくなるのであった。；それにもかかわらず、彼はどうしてもあまり足を早めることができなかった。；一人で散歩している時など、よく彼は急に足を早めることがある。；恥ずかしさが心臓の鼓動を早めるのを防ぐようにちょっと声を大きくする。；当時は磔で処刑する場合には、死を早めるために足を折ることが多かった。；時計の針を早めるように雨水管は大きな弧を描いて、地上に倒れていった。；だがレイモンは、この近づいてくる時を早めるようなことは何もしなかった。；彼はもうすぐ帰るんだからさ、何もそれを早めることはないだろう?；完成を早める研究も行われているが、成果は報告されていない。；むろん、この瞬間を早めるのも遅らせるのも、彼女の気持ひとつであった。；彼の幸せを監督したり、その行動を早める力はエマにはないのだ。；反乱は数ヶ月で鎮圧されたが、以後軍は成長を早めることになる。；社会が回転を早めることは交通が発達することと相互に作用しあう営みであった。；そのうえ、手術となれば仕事の終結を早めるようなものなのではあるまいか。；琵琶湖疏水のようにお通じがよくなって死期を早めるのは明らかだ。；大統領は戒厳令は戦闘終了後のマラウィの再建を早めるために必要だと主張した。；それが結果的に死体発見を早めることになってしまったのだから、皮肉ではあるが。；野獣にも似たこの暴行は、もとより彼ら自身の滅亡を早めるものである。；つまりいずれ来るであろう終わりを早めることだものね。；テレビ、ビデオが手に入るとなると、文化の失われるのを早める。；だが、計画的に雄爾の死を早めるといってもどんな方法があったか。；この習慣が心臓に負担をかけ、皮肉なことに逆に彼の死期を早めることになったという。；したがって、少しもアパートの崩壊を早める直接的要因とはなり得ないのである。；赤色の内装は落ち着きを失わせ客の回転を早める効果も兼ねていた。；安80は戸塚安行駅方面への運行時間を早めるために片方向のみ新設された。；まあいい、医者たちは、フラストレーションは回復を早めると言っている。</t>
        </is>
      </c>
      <c r="J6914">
        <f>HYPERLINK("https://www.weblio.jp/content/早める", "词义详情")</f>
        <v/>
      </c>
      <c r="K6914">
        <f>HYPERLINK("https://yourei.jp/早める", "查看例句")</f>
        <v/>
      </c>
    </row>
    <row r="6915">
      <c r="A6915" t="inlineStr">
        <is>
          <t>流行</t>
        </is>
      </c>
      <c r="B6915" t="inlineStr">
        <is>
          <t>成功</t>
        </is>
      </c>
      <c r="C6915" t="inlineStr">
        <is>
          <t>読み方：りゅうこう
［名］(スル)
１世間に広く行われ、用いられること。服装・言葉・思想など、ある様式や風俗が一時的にもてはやされ、世間に広まること。はやり。「ミニスカートが—する」「—を追う」「—遅れ」
２病気などが、急速な勢いで世の中に広がること。「はしかが—する」
３蕉風俳諧で、句の姿が、その時々を反映して変化していくもの。→不易流行(ふえきりゅうこう)</t>
        </is>
      </c>
      <c r="D6915" t="inlineStr">
        <is>
          <t>流行し始め；流行性；流行地；流行語；流行期</t>
        </is>
      </c>
      <c r="E6915" t="inlineStr">
        <is>
          <t>人気；評判；通用；好評；風潮</t>
        </is>
      </c>
      <c r="F6915" t="inlineStr">
        <is>
          <t>当時流行；新型コロナウイルス感染症流行；最新流行；新型コロナウイルス流行；ペスト流行</t>
        </is>
      </c>
      <c r="G6915" t="inlineStr">
        <is>
          <t>流行り；流行語；流行作家；流行ら；流行病</t>
        </is>
      </c>
      <c r="H6915" t="n">
        <v>29</v>
      </c>
      <c r="I6915" t="inlineStr">
        <is>
          <t>再び化粧が流行した背景にはヨーロッパとイスラーム社会の争いがある。；若干画面が湾曲したテレビも一時流行したが同様にあまり普及しなかった。；ほかにも当時の日本において毛沢東思想が新左翼の一部で流行していた。；日本では1990年頃に流行し、同一形式の類似作品が多数登場した。；西洋中世に何度も大流行したペストの際にも、ペスト除けに利用された。；近年ではアニメなどの流行により、その対象は広い世代に拡大しつつある。；この姿勢はWeb小説のコミカライズが流行した以降も継続している。；日本では1970年代前半の石油ショックの頃に小規模な流行があった。；過去には、日本やヨーロッパなどでもマラリアが流行したと考えられている。；特に連載末期は流行に敏感であり、時事ネタが非常に多くなってきていた。；流行によっても大きく左右されるため一概に言えないものも存在する。；ただ、平安時代の日本で狂犬病が流行していたかどうかは不明である。；絶望的な状況の中で、スー族のゴースト・ダンス流行はさらに高まった。；一部の大規模な流行では100万羽以上の鳥が死ぬ場合もある。；大薙刀は大太刀に対抗するように出現し、同じように流行が終わっている。；ちなみに、ペグをシャーラー社のものに交換するのも当時の流行であった。；御用理髪師に髭の方向を整えさせていたのが大流行したものであるという。；アメリカで本格的に流行したのは、第二次世界大戦後のことである。；代わりに、コスプレ系のパーティーでパラパラが流行する現象があった。；エリザベス1世の時代になると上流階級で天蓋の付いたベッドが流行した。；沖縄県や東南アジアの様な流行地では、症状は一般的に軽いといわれている。；赤外線通信機能などを搭載し、通信機能を生かしたゲームが流行した。；流行など気にせず、見たままを描かなければならないんだ。；また、山菜採りの流行は以下に挙げるようなさまざまな問題を生み出した。；ほか、市内各地で末法思想のころに流行した経塚がいくつか発見されている。；女性の間で洋髪が流行して、七三分け・髪の毛の耳隠しなどが行われた。；記事によると意外にも流行や新しい物に敏感のようである。；そんな中、キールの流行が日本のレストランで発生したのである。；一般的に、マラリアは戦争時・戦後直後に大流行する傾向がある。</t>
        </is>
      </c>
      <c r="J6915">
        <f>HYPERLINK("https://www.weblio.jp/content/流行", "词义详情")</f>
        <v/>
      </c>
      <c r="K6915">
        <f>HYPERLINK("https://yourei.jp/流行", "查看例句")</f>
        <v/>
      </c>
    </row>
    <row r="6916">
      <c r="A6916" t="inlineStr">
        <is>
          <t>流行る</t>
        </is>
      </c>
      <c r="B6916" t="inlineStr">
        <is>
          <t>成功</t>
        </is>
      </c>
      <c r="C6916" t="inlineStr">
        <is>
          <t>読み方：はやる
［動ラ五（四）］
１その時代の人々の好みに合って、盛んに世の中に行われる。世間で広くもてはやされる。流行(りゅうこう)する。「中高年の間で登山が—・る」「ガレージセールが—・る」
２商売などがうまくいって繁盛する。「いつも—・っている店」
３病気などが人々の間に広がる。広く伝わっていく。はびこる。「風邪が—・る」
４好機にめぐりあって栄える。時めく。
「この平家の殿原の世に—・らせ給ひし有り様と」〈盛衰記・四四〉</t>
        </is>
      </c>
      <c r="D6916" t="inlineStr">
        <is>
          <t>流行；風潮；潮流；トレンド；はやり</t>
        </is>
      </c>
      <c r="F6916" t="inlineStr">
        <is>
          <t>近頃流行る；よく流行る</t>
        </is>
      </c>
      <c r="H6916" t="n">
        <v>29</v>
      </c>
      <c r="I6916" t="inlineStr">
        <is>
          <t>あんなのがもう一度娘さんたちの間に流行ってくれないものでしょうか。；当時ドイツやフランスではそんなに流行っていなかったような気がする。；テールランプは近年流行りの横一文字に結ばれたデザインが採用された。；そういうグループの中で、どういう遊びが流行っているか知ってますか。；なおこれは、本番組中にカワウソが流行ったことから出来たものである。；日本でも若い女の子たちの間ではお呪いがけっこう流行っているらしい。；実はアメリカのホテルでの犯罪でこの手のやつが流行ったことがあるんです。；あの頃先生の御弟子達の中で油絵を始めるのが流行ったことがあった。；俺はわるい王ではないつもりだが、流行り病いを剣で切ることはできぬ。；流行らない店と見えてお客は私一人で、誰一人として入って来なかった。；竹の花が咲くと流感が流行るという説があったが今年はどうであったか。；だから最近、子供たちの間で流行っている怪物人形は、たいてい緑色だ。；起きられるようになって店へ出ると、客が慰めてくれて、よく流行った。；ガキどものあいだでは異星人を相手にした銃撃戦の遊びが流行っていた。；こげ茶色のパンツスーツは二年ほど前に流行ったブランドのものだった。；チブスの流行った時などは、一日に二つ位そこから、濃い煙が上がった。；そんな呪文のような言葉が、東のほうで流行っているという噂があった。；この種の本は割りと流行っているが、彼もファンの一人なのであろう。；そのとき流行っていた柄つきのポロシャツに、白い綿パンをはいていた。；最近じゃ、黒道の幹部連中が自分のことを老板と呼ばせるのが流行っている。；流行っているから歌っている、ただそれだけの歌手のなんと多いこと。；散歩が趣味で市内を彷徨い情報を集めているので、流行り物には詳しい。；この歌が流行り始めた頃には、おもしろい話がそれについていたものです。；当時、父の姓を姓とし、母の姓を名とするつけ方が流行っていたためである。；何年かに一度くらい、こう言った原因不明の病気が流行る事があるという。；子供のとき、野球の漫画が流行っていて、それで野球に興味を持った。；中学校時代、風邪でなくてもマスクをするのが女子の間で流行っていた。；野球などのスポーツをする学生を中心に流行ったので、この名で呼ばれていた。；いくつかの歌は当時流行っていたポップスや既存の楽曲のパロディである。</t>
        </is>
      </c>
      <c r="J6916">
        <f>HYPERLINK("https://www.weblio.jp/content/流行る", "词义详情")</f>
        <v/>
      </c>
      <c r="K6916">
        <f>HYPERLINK("https://yourei.jp/流行る", "查看例句")</f>
        <v/>
      </c>
    </row>
    <row r="6917">
      <c r="A6917" t="inlineStr">
        <is>
          <t>腹</t>
        </is>
      </c>
      <c r="B6917" t="inlineStr">
        <is>
          <t>成功</t>
        </is>
      </c>
      <c r="C6917" t="inlineStr">
        <is>
          <t>読み方：はら
［名］
１動物の、胸部と尾部との間の部分。胴の後半部。また、背に対して、地に面する側。人間では、胸から腰の間で中央にへそがある前面の部分。横隔膜と骨盤の間で、胃腸のある部分。腹部。「魚の—を割く」「中年になって—が出てきた」「—の底から声を出す」
２胃腸。「食べ過ぎて—にもたれる」
３（「胎」とも書く）母親が子を宿すところ。母の胎内。また、そこから生まれること。「子が—にある」「同じ—から生まれる」
４（「胆」とも書く）
㋐考えていること。心中。本心。また、心づもり。「口は悪いが、—はそれほどでもない」「自分一人の—に納めておく」「折をみて逃げ出す—らしい」
㋑胆力。気力。また、度量。「—の大きい、なかなかの人物」「少しくらいのミスを許す—がなくては勤まらない」
５感情。気持ち。「これでは—が収まらない」
６物の中ほどの広い部分。また、ふくらんだ部分。「徳利(とっくり)の—」「転覆した船が—を見せる」
７背に対して、物の内側の部分。「親指の—でつぼを押す」
８定常波で振幅が最大となるところ。⇔節(ふし)。
［接尾］助数詞。魚の卵巣、特に食用のはららごを数えるのに用いる。「たらこ二(ふた)—」
[下接語]赤腹・朝腹・裏腹・片腹・業(ごう)腹・下腹・白腹・空き腹（ばら）後(あと)腹・追い腹・扇腹・男腹・女腹・陰腹・亀(かめ)腹・粥(かゆ)腹・下り腹・小腹・先腹・里腹・地腹・自腹・渋り腹・蛇(じゃ)腹・皺(しわ)腹・太鼓腹・茶腹・詰め腹・冷え腹・脾(ひ)腹・太(ふと)腹・船(ふな)腹・布袋(ほてい)腹・負け腹・水腹・虫腹・むしゃくしゃ腹・無駄腹・餅(もち)腹・自棄(やけ)腹・雪腹・湯腹・横腹・脇(わき)腹（ぱら）朝っ腹・金(きん)腹・銀腹・空きっ腹・中(ちゅう)っ腹・土手っ腹・太っ腹・向かっ腹・自棄(やけ)っ腹</t>
        </is>
      </c>
      <c r="D6917" t="inlineStr">
        <is>
          <t>腹面(3%)；腹側；腹鰭；腹甲；腹板</t>
        </is>
      </c>
      <c r="E6917" t="inlineStr">
        <is>
          <t>心；胸；魂；勇気；勇</t>
        </is>
      </c>
      <c r="F6917" t="inlineStr">
        <is>
          <t>白い腹；背腹；腹かっさばい；腹神経索；腹ぐあいが</t>
        </is>
      </c>
      <c r="G6917" t="inlineStr">
        <is>
          <t>腹心；腹の中；腹痛；腹立たし；腹立たしい</t>
        </is>
      </c>
      <c r="H6917" t="n">
        <v>29</v>
      </c>
      <c r="I6917" t="inlineStr">
        <is>
          <t>例えば胴部の生殖口は尾端にあるものや腹面の前半部にあるものがある。；秋刀魚を開きは背から開くもの、腹から開くものと地方によって異なる。；生殖孔は最後の葉足の間の腹面中央か、もう一つ前の葉足の間に開く。；人間の表情は顔でなく腹など別の場所に付いているのが特徴。；腹側は白いが、個体によっては縁の部分や腹部が背側と同じ色をしている。；陸棲種では腹甲が大型になり、水棲種では腹甲が小型になる傾向がある。；いつも警察と喧嘩ばかりしてるが犯人の残忍さに腹が立ってきた。；これを内側毛帯の腹側と背側とに分け、それぞれを底部と被害の前後径とした。；背中側はモフモフとしたグレー又は薄い群青色をしており、腹側は白い。；形態的にも多様であるが、多くの場合軽く湾曲して明確な背腹性を示している。；雌雄ともに腹面は白いが、オスでは喉の部分が少々黄色みがかっている。；背腹軸の形成へのWntの関与はの形成時に観察され、背側を決定に関与する。；体には背腹の区別は認められるが、左右の区別は認められない。；ジョナサンは彼の父が早世してから7ヶ月後に遺腹の子として生まれた。；泥や砂の上で暮らすものは、やや特殊な形の腹足を持つ例がある。；卵はメスが腹肢に抱えて孵化するまで保護し、卵からは幼生が生まれる。；若魚は特徴的なまだら模様と腹鰭を持つが、成魚ではいずれも消失する。；左右の腹鰭が融合し、吸盤状になっているか、間に膜がある種類が多い。；死んだ個体の腹を押して上翅と人為的に摩擦しても音を聴くことができる。；こうして太祖は息子の朱友珪に腹を刺されて殺害され、帝位を奪われた。；それから僕には多くの腹の立つ出来事が起こり始めた。；管仲の矢は腹に当たったように見えたが、実は腰帯の留金に当たっていた。；地球上では光はほとんど上から当たるので、腹面が影になる。；これらは下唇の小さい鱗の腹側にあるのが側面からも見える。；腹面中程やや後方には出水孔が開き、それよりずっと後方に肛門が開く。；側葉は、たいてい大きく裂けて、背面側と腹面側で大きさに差がある。；各胴節の両腹側からは1対の丸みを帯びた三角形の鰭が張り出している。；ナマコの腹には中央とその両側に歩帯があり、背側には左右両端に歩帯がある。；孵化したヒナは綿毛におおわれ、背中側が灰色で腹側が白色をしている。</t>
        </is>
      </c>
      <c r="J6917">
        <f>HYPERLINK("https://www.weblio.jp/content/腹", "词义详情")</f>
        <v/>
      </c>
      <c r="K6917">
        <f>HYPERLINK("https://yourei.jp/腹", "查看例句")</f>
        <v/>
      </c>
    </row>
    <row r="6918">
      <c r="A6918" t="inlineStr">
        <is>
          <t>原</t>
        </is>
      </c>
      <c r="B6918" t="inlineStr">
        <is>
          <t>成功</t>
        </is>
      </c>
      <c r="C6918" t="inlineStr">
        <is>
          <t>読み方：げん
［音］ゲン（漢）　［訓］はらもと
［学習漢字］2年
〈ゲン〉
１はら。「原野／高原・湿原・草原・氷原・平原」
２（「源」と通用）みなもと。水源。「原泉」
３物事のもと。起こり。始め。「原案・原因・原稿・原作・原子・原始・原色・原則・原油・原理・原料／起原・語原・根原・病原」
４「原子」「原子力」の略。「原潜・原爆・原発」
〈はら（ばら）〉「海原(うなばら)・野原・松原・高天原(たかまがはら)」
［名のり］おか・はじめ</t>
        </is>
      </c>
      <c r="D6918" t="inlineStr">
        <is>
          <t>原さん；原辰徳；原話；原判決；原設計</t>
        </is>
      </c>
      <c r="E6918" t="inlineStr">
        <is>
          <t>分野；畑；野；フィールド；野原</t>
        </is>
      </c>
      <c r="F6918" t="inlineStr">
        <is>
          <t>鷹原；ケ原；奈良原；機雷原；姉原</t>
        </is>
      </c>
      <c r="G6918" t="inlineStr">
        <is>
          <t>原作；原則；原稿；原理；原料</t>
        </is>
      </c>
      <c r="H6918" t="n">
        <v>29</v>
      </c>
      <c r="I6918" t="inlineStr">
        <is>
          <t>原史の都市はガリア・ナルボネンシスの重要な行政・軍事都市であった。；同年に松田が病死し、原が後継となることは誰の目にも明らかとなった。；原は同選挙での最高齢当選者となり、この選挙が最後の立候補となった。；原は不満であったが、内閣崩壊を防ぐためこの役割を果たすこととなった。；そのため、原とコンタクトを取りたい者は非常に苦労する事が多いという。；政府と戦うレジスタンスで霧原兄弟の両親の工場を拠点にしている。；この時偶然傍を通りかかった原辰徳にその姿を目撃されていることになっている。；ベルヌ条約の原条約が成立する過程で、フランスが果たした役割は大きい。；原首相は牧野案に理解を示したが、特に強い関心を示したわけではなかった。；原首相も同意し、一部の経済権益を残して還付することが決定された。；編集方針の決定や原資料の選択は政治的に有力者が主導したものと推測されている。；原少将は、自らの南方重視索敵が的中したことで勝利を確信したという。；午前10時頃、高陽原に明軍は左・右・中央の三隊の陣形で押し寄せた。；原本人はこの評価を受けて「今までの苦労は何だったんだろう」と語っている。；同作のヒットで原は戦後のトップ女優としての地位を確立した。；まず、インターネット小説が公開され、後に原作本と映画が制作された。；原論文ではこの抽象概念の様々に異なる構成が提示されている。；その後も原内相のもと、郡制廃止に努力するも貴族院の反対で頓挫した。；この数字が支持される理由に、設楽原の地形の峡さが挙げられることが多い。；化学反応式の左辺を原系または反応系、右辺を生成系と呼ぶことがある。；なお、ここに挙げる原資料は漢籍を除いて多くの場合現存しない。；この時、芸能界を引退して久しかった原の名前が出た事で大きな話題となった。；原点が決まると原点から観測に都合の良い地点を選んで原方位を決定する。；原時代は総合コーチを担当、原と共に攻撃面・作戦面を統括していた。；しかも筆頭家老である原氏の勢力が千葉氏の当主より強大化することになる。；鋭徐波複合は比較的広いてんかん原損傷が存在する部位から記録される。；こちらのグループは改番が行われず、原番号のまま使用された。；保富による日本語詞は、英語原詞に近いものだが、以下の相違点がある。；棘波単独で出現するよりもてんかん原損傷が広範であることが多い。</t>
        </is>
      </c>
      <c r="J6918">
        <f>HYPERLINK("https://www.weblio.jp/content/原", "词义详情")</f>
        <v/>
      </c>
      <c r="K6918">
        <f>HYPERLINK("https://yourei.jp/原", "查看例句")</f>
        <v/>
      </c>
    </row>
    <row r="6919">
      <c r="A6919" t="inlineStr">
        <is>
          <t>薔薇</t>
        </is>
      </c>
      <c r="B6919" t="inlineStr">
        <is>
          <t>成功</t>
        </is>
      </c>
      <c r="C6919" t="inlineStr">
        <is>
          <t>読み方：しょうび
ばら。いばら。そうび。《季夏》</t>
        </is>
      </c>
      <c r="D6919" t="inlineStr">
        <is>
          <t>薔薇十字；薔薇庭園；薔薇ファミリー；薔薇疹；薔薇座</t>
        </is>
      </c>
      <c r="E6919" t="inlineStr">
        <is>
          <t>バラ；ローズ</t>
        </is>
      </c>
      <c r="F6919" t="inlineStr">
        <is>
          <t>赤い薔薇；白い薔薇；蔓薔薇；赤薔薇；小さな薔薇</t>
        </is>
      </c>
      <c r="G6919" t="inlineStr">
        <is>
          <t>薔薇さま；薔薇園；薔薇戦争；薔薇十字団；薔薇族</t>
        </is>
      </c>
      <c r="H6919" t="n">
        <v>29</v>
      </c>
      <c r="I6919" t="inlineStr">
        <is>
          <t>友人は、私の庭の八本の薔薇に眼をつけ、意外の事実を知らせてくれた。；花は何に限らず好きだったが、黄な薔薇は殊におせんが好きな花だった。；彼女の小さいとがった靴には大きな緑色の薔薇形飾りがついている。；農民の息子や娘は、物語に書いてあるような薔薇の天使の姿はしていない。；前の薔薇と百合の花が今までの数千倍の明るさになつて輝きはじめた。；然しそれを百合の花若しくは薔薇の花に譬えることはしない限りでない。；ところが、今になってみると、わたしは薔薇のことを考えすぎていたのね。；薔薇の館で生徒会の仕事をしなくても、輝くことはいくらだってできる。；何時までに薔薇の館に行かなくては、なんて忙しい気持ちは今日はない。；私の考えでは薔薇のなかに香水があると云った方が適当と思います。；僕が一言も黄金薔薇について触れなかったのは、あなただけ知っている。；狂った老シンガーが薔薇を箱に入れたくないように見えたのを思い出した。；ただ単に、白い薔薇のシールが手に入ったから友達同士で分けたとか。；向うの家の二階の窓には、百合や薔薇の鉢植が行儀よく幾つも並んでゐる。；妙なことに、多くの本が十五世紀と古いのに、黄金薔薇に触れています。；その薔薇の花こそ、私を元のルキウスに返してくれるはずでしたから。；男の子は露に濡れて輝く薔薇と百合の大きな花束を腕の中に抱えていました。；美しい薔薇を育て、それでわたくしの頭を飾ってくれるようになるだろう。；現存作家の中でも花の名手として知られ、その中でも赤い薔薇が代表的。；その拍子に大きな薔薇の木が押潰され、赤土が煙のように空に舞上った。；かといって薔薇の館にわざわざ来ていただく程のことでもないし。；それは病めるようなこの朧ろ月の下に咲いた黄色な薔薇の花であった。；床の上に薔薇にうめられて、銀の足を持って黒綾の棺が置いてありました。；祥子さまと令さまが薔薇の館に到着したのは、二時ちょうどだった。；自宅へ帰り、自分の黄金薔薇を処分し、これで対抗者が居なくなった。；笙子さんは薔薇の館が珍しいのか、キョロキョロと辺りを見回していた。；薔薇の花には刃が仕込んであるが、これを戦闘に用いる描写はない。；いきなりバックに 薔薇の花を出現させられるような人の 球を打てるかな?；今は昔し薔薇の乱に目に余る多くの人を幽閉したのはこの塔である。</t>
        </is>
      </c>
      <c r="J6919">
        <f>HYPERLINK("https://www.weblio.jp/content/薔薇", "词义详情")</f>
        <v/>
      </c>
      <c r="K6919">
        <f>HYPERLINK("https://yourei.jp/薔薇", "查看例句")</f>
        <v/>
      </c>
    </row>
    <row r="6920">
      <c r="A6920" t="inlineStr">
        <is>
          <t>払い込む</t>
        </is>
      </c>
      <c r="B6920" t="inlineStr">
        <is>
          <t>成功</t>
        </is>
      </c>
      <c r="C6920" t="inlineStr">
        <is>
          <t>読み方：はらいこむ
［動マ五（四）］金銭を支払い納める。「税金を—・む」</t>
        </is>
      </c>
      <c r="H6920" t="n">
        <v>29</v>
      </c>
      <c r="I6920" t="inlineStr">
        <is>
          <t>連盟への登録料を払い込むことのできないコンクールは、加盟できない。；出納係は、確実ではないのですが、払い込んだのはあなただと信じております。；また特別料金を払い込むことでダンスのオーダーをすることが可能となっている。；また、資本金が実際に払い込まれていないものも多かったという。；その時点で残りの半金を払い込んでくれれば、船便でコートを送ってやる。；彼はこの活動の為、定期的にドイツから給料を払い込まれていた。；この場合、必ず、自分の口座にではなく売り手の口座に払い込む形になる。；普通の社のように一挙に増資をするのでなく、徐々に払い込んでもらう方法を採用したのである。；中也と親しい大岡らは払い込んでもどうせ飲んでしまうに決まっているとの判断だった。；ところが金を払い込んだものの、岩城は商品を送ってこない。；掛け金が払い込まれてある以上、支払いするのが、当然ですからな?；形式的なものであるが、手続上困るから払い込んでほしいとの文面冷酷で実にいやな感じがした。；入学金や授業料などを払い込んでから、透の中に、不安が蘇ってきた。；そしたらちゃんと電話で申し込みがあって、金も払い込まれているというんだ。；資本金は、出資者が会社に払い込んだ金額を基礎として設定される一定の額。；また、新総合通帳でない通常貯金へ、他の者が現金を直接払い込む制度はない。；男子の社員は株価が上がったところで、適当に市場で売却して増資資金を捻出したが、女子社員の多くは正直に払い込んだ。；このうち国王の出資は150万リーブルで、残りは株主が払い込んだ。；今学期一杯の学費も、今年一杯のレッスン料も払い込んであった。；だれにも相手にしてもらえず、払い込むはずだった現金をバッグに入れたまま、紗織は外に出た。；しかし、実際の金は船会社に入るのではなく、それぞれの造船会社の取引銀行の口座に払い込まれるのである。；建物は完成せずに倒産になり、払い込んだ金は返ってこなかったという新設ゴルフ場の記事が新聞に載っていたからだ。；出版元は、何も知らずに、ニューヨークの或る銀行のウェスト名義の口座に、彼の印税を払い込んでいた。；ほとんどの人が、会社から払い込まれたばかりの年末ボーナスの全額をすぐ引き出した。；直ちに私の銀行口座に、手数料無償で一万九千二百五十五ポンド払い込んでください。；火災保険も生命保険も期限が過ぎたまま放ってあるが、保険金を払い込んで復活させておかねばならぬ。；支払いは現金決済やが、これは船に直接渡すのではなく、日本で北朝鮮系の人間に払い込む。；例えば株式会社の設立時や新株発行時に株式を取得して株主になろうとする場合、その者は会社に対してその発行価額を払い込む。；残金は、試合のポスターとチケットが日本に送られてきた段階で、崔が指定する銀行に払い込むということで合意した。</t>
        </is>
      </c>
      <c r="J6920">
        <f>HYPERLINK("https://www.weblio.jp/content/払い込む", "词义详情")</f>
        <v/>
      </c>
      <c r="K6920">
        <f>HYPERLINK("https://yourei.jp/払い込む", "查看例句")</f>
        <v/>
      </c>
    </row>
    <row r="6921">
      <c r="A6921" t="inlineStr">
        <is>
          <t>払い戻す</t>
        </is>
      </c>
      <c r="B6921" t="inlineStr">
        <is>
          <t>成功</t>
        </is>
      </c>
      <c r="C6921" t="inlineStr">
        <is>
          <t>読み方：はらいもどす
［動サ五（四）］
１精算して余分の金を返す。「特急料金を—・す」
２預金者に預金を払い渡す。「定期預金を—・す」
３競馬・競輪などで、配当金を的中投票券と引き換えに支払う。「的中した車券を—・す」</t>
        </is>
      </c>
      <c r="D6921" t="inlineStr">
        <is>
          <t>返す；返還；返済；補う；返却</t>
        </is>
      </c>
      <c r="H6921" t="n">
        <v>29</v>
      </c>
      <c r="I6921" t="inlineStr">
        <is>
          <t>払い戻すのも面倒だし、誰かにあげるにしても期日指定はやっかいだ。；また卒業時に中学校への進学資金として払い戻すところもあった。；定期券が不要となった場合は利用中の区間を払い戻すこともできる。；一つのコンサート分の入場料を払い戻すと、大変な損害になるからだ。；無効とされた区間の運賃を払い戻すかどうかは、その航空券のクラスによる。；その後に保険者に申し出ることで一部負担金を控除した相当額が払い戻される。；ローは大打撃を受け、何千万ドルにも達する税金を払い戻さなければならなくなった。；最終的に、マルタ島の評議会で4島をフランスへ払い戻すことが決まった。；バタバタと処理し、お金を払い戻す作業の確実さと言ったら、効果がないわけではない。；これと対になるものとして、的中投票券を払い戻す自動払戻機がある。；鉄道では特急が遅れたら払い戻すことにしている。；借金は期限内に払い戻さないと満期時に予告無く強制的に呼び出される。；これは客が商品を購入することによって全額が払い戻される。；銀行から現金の払い戻されたことが判明した。；関連「商品」ではないが、単勝馬券を払い戻さずに取っておくファンも多数存在する。；ナショナル・パブリック・ラジオでのインタビューでこの潜在的な問題に触れられた共同設立者のヤンシー・ストリッカーはプロジェクトが失敗したら払い戻す必要があるかどうかの問題に対処する必要はなかったと主張した。；ただし、払い戻されるまでには通常3か月以上かかり、食事代や日用品代などは対象にならない。；事実、社長は、広告料の何分の一かは募集者に払い戻すと云った。；各銀行の事務所は払い戻された金貨があふれんばかり。；顧客には 8月1日から 8月5日取引終了時点までの取引手数料を払い戻すなどの対応を行った。；この試合では観客がチケットの料金を払い戻すためにチケットブースに殺到したとも報道されている。；的中者がいない場合に、全購入者に対し控除率相当分を差し引いた額を払い戻す制度である。；出資金は脱退時に払い戻されるが、未払金がある場合は相殺される。；男女とも年代別地域大会主催協会に、年間100万ドル払い戻す。；もう1つはタイムロックされており、これはアリスが取り消して自分に払い戻させることができる。；所定の駅到着までに座席を利用できなかった場合や混乗となった場合、あるいは到着が60分以上遅延した場合は座席指定料金を払い戻すことができる。；貯金額は通帳に毎回記され、手続きをすれば一定額を払い戻すこともできた。；ペピイは生涯大酒を飲み通したので、その飲んだだけの酒の利足を痰唾にして、毎日大地に払い戻すのかと思われる。；「発売額に、残券を発券枚数で除した数を乗じた額」が払い戻される。</t>
        </is>
      </c>
      <c r="J6921">
        <f>HYPERLINK("https://www.weblio.jp/content/払い戻す", "词义详情")</f>
        <v/>
      </c>
      <c r="K6921">
        <f>HYPERLINK("https://yourei.jp/払い戻す", "查看例句")</f>
        <v/>
      </c>
    </row>
    <row r="6922">
      <c r="A6922" t="inlineStr">
        <is>
          <t>払う</t>
        </is>
      </c>
      <c r="B6922" t="inlineStr">
        <is>
          <t>成功</t>
        </is>
      </c>
      <c r="C6922" t="inlineStr">
        <is>
          <t>読み方：はらう
［動ワ五（ハ四）］
１本体にとって邪魔・不要・無益なものなどを、手や道具を用いて取り除く。除去する。「杉の下枝を—・う」「すすを—・う」「クモの巣を—・う」
２わきへ追いのける。「手でハエを—・う」
３横に勢いよく動かす。勢いよく横ざまに振る。「足を—・って倒す」「刀を—・う」
４貴人の通行や密談などのために、人をその場から去らせる。「人を—・って内密の話をする」
５力で相手を恐れさせて押さえつける。威圧する。「あたりを—・う風貌」
６金銭を渡す。支払う。また、納入する。「給料を—・う」「罰金を—・う」「現金で—・う」
７不要品などを売り渡す。「古道具屋に—・う」
８自分の物を取り去って、それまでいた所をあける。引き払う。「下宿を—・う」「部屋を—・う」
９ある目的のために大切なものを使う。費やす。「犠牲を—・う」
10心を向けたり注いだりする。心を傾注する。「注意を—・う」「敬意を—・う」
11（「地をはらう」の形で）何もない状態になる。すっかりなくなってしまう。「道義地を—・う」
12うちほろぼす。討伐する。
「国見しせして天降(あも)りまし—・ひ平(たひら)げ」〈万・四二五四〉
[可能]はらえる
[下接句]辺りを払う・熱火(あつび)子に払う・御髭(おひげ)の塵(ちり)を払う・先を払う・重箱の隅は杓子(しゃくし)で払え・底を払う・地を掃(はら)う・髭(ひげ)の塵を払う</t>
        </is>
      </c>
      <c r="D6922" t="inlineStr">
        <is>
          <t>払うべき(3%)；払うまい；払うべし；払うよう命じ；払うべく</t>
        </is>
      </c>
      <c r="E6922" t="inlineStr">
        <is>
          <t>追放；受け入れる；注ぐ；収める；代償</t>
        </is>
      </c>
      <c r="F6922" t="inlineStr">
        <is>
          <t>ふり払う</t>
        </is>
      </c>
      <c r="H6922" t="n">
        <v>29</v>
      </c>
      <c r="I6922" t="inlineStr">
        <is>
          <t>彼は、中国を訪れた外交化や商人に注意を払うべきことを示唆している。；私達は違う道も用意しているのに金の払えぬ君がその道を選んだだけだ。；本作では女性美の表現のために彫り・摺りにも特に注意が払われている。；年季奉公人の中にはその渡航費を払って独自の土地を取得する者もいた。；彼らは住む場所を定めると、次に教育や宗教に関心を払うようになった。；そして剣を振って草を斬ったり壁をおおっている草を払うことができる。；藤助らしい男がここに現れて百五十両を払えと最初に言って来たんですよ。；六匹の馬の代が払えたら、 その馬の力が自分のではないでしょうか。；しかしチェスターは自らの手に土を乗せないように細心の注意を払った。；多分金に詰っていたか、古い借金を払おうとしていたのかもしれません。；地域内でナワトル語の使用を保護・促進するための努力が払われている。；しかし、この方面の作戦はローマ本国ではあまり注意が払われなかった。；最後の場合では、二人の男が養育費を重ねて支払う必要は無いであろう。；マルクスは人間社会の発達の中でも特にこの時代に大きな注意を払った。；また、優秀者には学問料が払われて後の文章生への登用に有利に働いた。；実施者は、テストを受ける人の行動と行動の変更に特別な注意を払う。；競技中に何がストップになったかに多少注意を払っておくだけでよい。；彼はギターを売ったが、そのギターを渡した店舗に金を払わなかった。；城の改修には注意が払われず、この城は比較的短期間で荒廃していった。；特に、聴覚を有しない主人公の描写には細心の注意を払ったのだという。；ジムで練習をするには入会金及び月会費を払って会員になる必要がある。；シャリア・ブルは己の中で必死に叫び続けて恐怖をふり払おうとした。；最初に持ったときには重いような気がしたが、鞘を払えばひどく手に軽い。；すべての郡民は資産価値や収入の程度に関わらず同じ料金を払っている。；兄弟たちは家に戻り、自分たちが払ったよりも多くの銀を袋の中に発見する。；後に「丸善に払う為に私は原稿を書き始めたのである」と回想している。；この大会は他地域のサッカー界からは小さな関心しか払われていない。；今の高齢者は払ってくれているが、年齢的な問題で何年続くか分からない。；その場所に注意を払ってよく見ると、まぎれもなくあのライオンがいた。</t>
        </is>
      </c>
      <c r="J6922">
        <f>HYPERLINK("https://www.weblio.jp/content/払う", "词义详情")</f>
        <v/>
      </c>
      <c r="K6922">
        <f>HYPERLINK("https://yourei.jp/払う", "查看例句")</f>
        <v/>
      </c>
    </row>
    <row r="6923">
      <c r="A6923" t="inlineStr">
        <is>
          <t>晴らす</t>
        </is>
      </c>
      <c r="B6923" t="inlineStr">
        <is>
          <t>成功</t>
        </is>
      </c>
      <c r="C6923" t="inlineStr">
        <is>
          <t>読み方：はらす
［動サ五（四）］
１心のわだかまりを取り除いてはればれとした気持ちにさせる。「疑念を—・す」「鬱憤(うっぷん)を—・す」
２目的をとげる。「思いを—・す」
３空が晴れるようにする。
「是なるやどりにたちより、雨を—・さばやと思ひ候」〈虎明狂・祐善〉
[可能]はらせる</t>
        </is>
      </c>
      <c r="D6923" t="inlineStr">
        <is>
          <t>晴らすべく(9%)；晴らすしかない</t>
        </is>
      </c>
      <c r="H6923" t="n">
        <v>29</v>
      </c>
      <c r="I6923" t="inlineStr">
        <is>
          <t>音楽映画もまた、観客の気を晴らし、気分をよくするものとされていた。；それを承知で川上武八は娘の怨みを晴らそうとしたのではなかったのか。；こうなると、その者どもはきっとうらみを晴らそうとするにちがいない。；河上が江戸で金を使ったのも全くそんなこんなで残念を晴らすためだろう。；ジョン王の時代にフランスから受けた屈辱を見事晴らしてくれたからだ。；私の名誉を晴らし、世間に再び顔向けが出来る証拠を奴が握っています。；彼の嫌疑を晴らす途はただひとつ、書類を発見することよりありません。；散歩でもして、気を晴らしてから、もっとよく考えて見たいと思うの。；彼女を探しださぬかぎり、自分にかけられた疑いを晴らすことはできない。；鬱積したものを晴らすために彼等は思い切った行動に出るのだろうか。；散歩でもして、気を晴らしてから、もつとよく考へて見たいと思ふの。；このたびはまったく師匠のおかげで恨みを晴らすことができました。；僕の会社の連中は会社帰りにうさ晴らしにお酒を飲みに行くこともあまりしない。；私にとっては、こんなふうにして疑いを晴らしておくのは大事なことだった。；恨みを晴らした彼女は異形の姿になる前に戻りたがっているはずだ。；与えられるだけだった不満を、いま幾江は一時に晴らそうとしているらしい。；これまでの連中の行動は、うっぷんを晴らすだけのことのように思えました。；闇雲に叫んで鬱憤を晴らしていた子供時代はもう終わっていたのだ。；この手紙が、おそらく彼の罪を晴らしてくれるだろうと思います。；君こそ自らの非を棚に上げて私怨を晴らしに来たんじゃないか!；いまは、そんなことより深雪に向けられた疑いの眼を晴らすことが先決だ。；だから一本でも多く打って気分を晴らしてきたに違いない。；たぶん、絵里子の父親は会社の鬱憤を家庭で晴らしていたのかもしれない。；絶望と悔恨の中で死んでいった魂の無念を晴らすために、自分の生はあった。；自分をいじめた兄弟子が怪我をする絵などを描いて憂さを晴らしたという。；これまでの鬱憤を晴らすためにも、この店を破壊したい気分だった。；以後はその真犯人を探すこと、冤罪を晴らすこともメインになってくる。；彼がえん罪を晴らそうと躍気になって口を開きかけたまさにその時。；取りあえず同意を示すと、美保子はすぐに続けて青木の疑問を晴らした。</t>
        </is>
      </c>
      <c r="J6923">
        <f>HYPERLINK("https://www.weblio.jp/content/晴らす", "词义详情")</f>
        <v/>
      </c>
      <c r="K6923">
        <f>HYPERLINK("https://yourei.jp/晴らす", "查看例句")</f>
        <v/>
      </c>
    </row>
    <row r="6924">
      <c r="A6924" t="inlineStr">
        <is>
          <t>ばらす</t>
        </is>
      </c>
      <c r="B6924" t="inlineStr">
        <is>
          <t>成功</t>
        </is>
      </c>
      <c r="C6924" t="inlineStr">
        <is>
          <t>［動サ五（四）］
１解体してばらばらにする。「機械を—・して修理する」「肉を—・す」
２殺す。「裏切り者を—・す」
[補説] 「殺す」と書いて「ばらす」と読ませることもある。
３秘密などを人に知らせる。暴露する。あばく。「内紛を—・す」
４不法に売り払う。また、売りとばす。「盗品を—・す」
５針にかかった魚を釣り上げる途中で取り逃がす。「大物を—・してくやしがる」
[可能]ばらせる</t>
        </is>
      </c>
      <c r="D6924" t="inlineStr">
        <is>
          <t>ばらすかもしれ(2%)</t>
        </is>
      </c>
      <c r="E6924" t="inlineStr">
        <is>
          <t>公開；殺害；殺す；解体；分ける</t>
        </is>
      </c>
      <c r="H6924" t="n">
        <v>29</v>
      </c>
      <c r="I6924" t="inlineStr">
        <is>
          <t>それだけで、すでにいままでのことが嘘だとばらしているようなものだ。；完成できないようになっているのなら、答えをばらす必要はないだろう。；この恥がばらされるといういても立ってもいられない激しい恐怖だった。；今一つ気ばらしになったことは、四五日ぶりに一度ずつ食事当番がある。；タアラントと外国人は彼等のいつもの冷淡な態度で面を硬ばらしていた。；回ごとに、ばらし人と呼ばれる人を呼び、ある物の中身を見る番組である。；それとも何か、おめえがおれたちのことをばらそうという気ででもいるのか?；あまり勝負にこだわる性格をばらしたくないので、決して公言はしない。；ここから先は、はっきりと嘘をつくか、正体をばらすかのどちらかしかない。；その内容をほかの生徒が聞いていたんだが、なんでも自分の秘密をばらされたらしい。；今なら掃除屋も連中をばらしてねえかもしれねえから、行って頭を下げてきな。；きみだって全部の椅子をばらしてみたわけじゃないだろう?；図に乗って、あんまり人をなめていると、みんなばらしてやりますよ。；謎ときの答えをすぐにばらしてしまうことが多かったからである。；おかげで僕は仕事のほかに何の気ばらしもなしにいつも一人で暮らさなくちゃならない。；翡翠が知らなかった場合、聞いてしまう時点で秘密をばらしてしまう事になる。；ネタばらしのBGMはスターどっきり報告のものをそのまま使っている。；熊神教との縁を切るなら全部アンヘグにばらすといってわたしを脅すのよ。；過去の強盗の一件をばらさない代わりに、土地と家を無償で貸していたのだ。；ここで合わせてしまっては、魚をばらしてしまうことがある。；おまえの女房やサツにばらされたくなかったら、ここですべてを話せ。；コルは腰帯の端の糸のほつれを指でほぐし、一本一本の糸にばらしている。；私に秘密をばらされたらと気をもんだことだろう。；家の暮しが面白くない男が、うさばらしに芸者と遊んで、子供が出来た。；ファデットとの仲をばらしたのはおれだと思ってるんだね。；日本に来てからもう一週間になるけど、こっちの秘密をばらした形跡はねえんだからな。；猫をばらして肉にすると、いつもやりなれている野外炊事の要領で焼いた。；念のため、得意の鉤爪で、骨と肉とをばらしておくことにしよう。；そんなことをして、自分がこの事件に一枚噛んでいることをばらす必要もなかったのです。</t>
        </is>
      </c>
      <c r="J6924">
        <f>HYPERLINK("https://www.weblio.jp/content/ばらす", "词义详情")</f>
        <v/>
      </c>
      <c r="K6924">
        <f>HYPERLINK("https://yourei.jp/ばらす", "查看例句")</f>
        <v/>
      </c>
    </row>
    <row r="6925">
      <c r="A6925" t="inlineStr">
        <is>
          <t>腹立たしい</t>
        </is>
      </c>
      <c r="B6925" t="inlineStr">
        <is>
          <t>成功</t>
        </is>
      </c>
      <c r="C6925" t="inlineStr">
        <is>
          <t>読み方：はらだたしい
［形］［文］はらだた・し［シク］しゃくにさわる。腹が立ってくる。「—・い思いをする」「顔を見ただけでも—・い」
[派生]はらだたしげ［形動］はらだたしさ［名］</t>
        </is>
      </c>
      <c r="D6925" t="inlineStr">
        <is>
          <t>腹立たしいこと(10%)；腹立たしいよう(5%)；腹立たしいもの(5%)；腹立たしい思い(4%)；腹立たしい気持ち(2%)</t>
        </is>
      </c>
      <c r="E6925" t="inlineStr">
        <is>
          <t>不愉快な；不機嫌な；いまいましい；苦々しい；憎らしい</t>
        </is>
      </c>
      <c r="F6925" t="inlineStr">
        <is>
          <t>なんとなく腹立たしい</t>
        </is>
      </c>
      <c r="H6925" t="n">
        <v>29</v>
      </c>
      <c r="I6925" t="inlineStr">
        <is>
          <t>親父だけは家族の他の者のように無視できぬ相手であるのが腹立たしい。；何の説明もなく顔を見せないサーヴァントが腹立たしくて仕方なかった。；酔うはずのない酒を飲むことの腹立たしさに、我慢が限界を超えてくる。；大変腹立たしいが、私は不定詞を分離するべくして分離させているのだ。；何であれ自分の行為を盗まれるというのは基本的には腹立たしいことだ。；その口は明らかにぼくの顔の腹立たしい表情を皮肉にまねていたのだ。；こんなやつを、ここまで守ってきたかと思うと俺は自分が腹立たしい。；そう思うと、恭一がそんな生徒をつれて来たのが、腹立たしい気がした。；この話を聞いた彼の妻は、可笑しがつて彼を腹立たしくしたほど笑つた。；僕はまだこれ位語ってみても信用されない自分を一応は腹立たしく思いました。；最後にその二等と三等との区別さへも弁へない愚鈍な心が腹立たしかつた。；自分がだまされることを、それほど腹立たしいことに思っていなかった。；僕が人形をなくしたことに落胆していないのが余計に腹立たしいようだ。；わかっているだけに、腹立たしくもあり同時に勝ち目がないとも思う。；祖父はわたしがそばに寄ると、腹立たしそうにつばをはいてばかりいた。；彼女には実際その打って変ったような寒さが腹立たしく感ぜられたのである。；腹立たしいことに、カムシンはいつも正しいことしか言わないのだった。；最後にその二等と三等との区別さえも弁えない愚鈍な心が腹立たしかった。；滝が、結城のこととなると妙に心を寄せて、好意的なのさえ腹立たしい。；そして、自分が無一文になるよりは腹立たしいが今あるものを手離さず!；「そうだ、やつはここに倒れていたのだ」トログが腹立たしげにいった。；然し林の妙にだだっ広い額を見ているとわけもなく腹立たしくなってきた。；口惜しかったし、腹立たしかったが、何よりも一種の強い驚きがあった。；だがこの時、アリスは恐怖と同じくらいの腹立たしさをも感じていた。；だがそれが、発揮される場面とされない場面があるのが腹立たしい。；そうした場面でこの象徴が使われているのを見ると、いつも腹立たしくなる。；私が此の裁判に対して或る腹立たしさを感じたのは、もつと他の事なんです。；最後にその二等と三等との區別さへも辨へない愚鈍な心が腹立たしかつた。；いい歳をして身を飾ることばかり考えている妻に、私は腹立たしさを覚えた。</t>
        </is>
      </c>
      <c r="J6925">
        <f>HYPERLINK("https://www.weblio.jp/content/腹立たしい", "词义详情")</f>
        <v/>
      </c>
      <c r="K6925">
        <f>HYPERLINK("https://yourei.jp/腹立たしい", "查看例句")</f>
        <v/>
      </c>
    </row>
    <row r="6926">
      <c r="A6926" t="inlineStr">
        <is>
          <t>腹立ち</t>
        </is>
      </c>
      <c r="B6926" t="inlineStr">
        <is>
          <t>成功</t>
        </is>
      </c>
      <c r="C6926" t="inlineStr">
        <is>
          <t>読み方：はらだち
腹が立つこと。立腹。「—を抑える」「—を覚える」</t>
        </is>
      </c>
      <c r="D6926" t="inlineStr">
        <is>
          <t>腹立たしい；憎らしい；苛立つ；癪にさわる；憎たらしい</t>
        </is>
      </c>
      <c r="H6926" t="n">
        <v>29</v>
      </c>
      <c r="I6926" t="inlineStr">
        <is>
          <t>腹立ちに目がくらんだ他の二人はその上にかぶさるように駆け降りたわ。；それは確かに腹立つことであったが、一瞬見惚れたこともあったはずだ。；そのときに軽く満江を押したのは、やはり腹立ちが強かったからだろう。；そして彼はつねに銀行家の妻ホワイト夫人の腹立ちの原因となっていた。；そりゃ多少腹立つこともあるけど、私の人生にもう他の男性は存在しない。；火を点けながら、いま感じているこの腹立ちの原因は何なんだろうかと考える。；マウイは嘲っている遊び仲間らにも気遅れしているマスターにも腹立った。；腹立ちが困惑におさえつけられ、顎の下あたりで板のようにつっぱった。；ドアのそばに近づいたとき、中から腹立たしげな声が聞こえてきた。；丁寧な言葉を使うことで、自分の腹立ちを抑制しようと努めているのだった。；人にそう言われると、さっきの腹立ちがもどって来そうだった。；小督は自分に腹を立てたが、やがてその腹立ちは妾や下人等に向けられた。；警視は疲れと腹立ちで、顔を白黒させながら、足音あらくもどって来た。；人がそいつのことをほめたりするのが腹立って堪えられないらしい。；「あの子、バイトに来た日からわたしに気があったんだって」 腹立った。；そしてそのことに直面させようとした榊への腹立ちが込められている。；いつものことだけど、その相談をお父さんとやっていることが、なんか腹立った。；心の痛みと腹立ちのこわい皺があらわれて、年が二十も老けて見えた。；おぬしらがわしに与えた腹立ちのかえしとしたら、わずかなものだ!；こないだ青ちゃんが話してくれた小池さんの話で腹立っちゃってさ。；あまりにも無視が堂に入っているので、腹立ちすら起きない。；思うように話が進まないことに、腹立ちを覚えているのだろう。；トボトボと重い足どりで家に帰るうちに、腹立ちもおさまってきたという。；呼ばれるごとに、伸子はせつない表情をして多計代の腹立ちをきいた。；「なにか変わったところはなかったかな」 私は腹立ちを抑えながら訊ねた。；「これじゃもう牛もなにも買えん」と腹立ったような声を出した。；しかしあまりの無礼さに、南は煮えくり返りそうなほどの腹立ちを覚えていた。；あんただって相当疲れてるんだから、隣でぐーすか寝られたら腹立つだろうし。；腹立ちや、憎しみよりも、心の底から、軽侮の念だけが、湧くのだった。</t>
        </is>
      </c>
      <c r="J6926">
        <f>HYPERLINK("https://www.weblio.jp/content/腹立ち", "词义详情")</f>
        <v/>
      </c>
      <c r="K6926">
        <f>HYPERLINK("https://yourei.jp/腹立ち", "查看例句")</f>
        <v/>
      </c>
    </row>
    <row r="6927">
      <c r="A6927" t="inlineStr">
        <is>
          <t>原っぱ</t>
        </is>
      </c>
      <c r="B6927" t="inlineStr">
        <is>
          <t>成功</t>
        </is>
      </c>
      <c r="C6927" t="inlineStr">
        <is>
          <t>読み方：はらっぱ
原。また、雑草などの生えた広い空き地。「—で野球をする」</t>
        </is>
      </c>
      <c r="D6927" t="inlineStr">
        <is>
          <t>原；野；草原；ステップ；野原</t>
        </is>
      </c>
      <c r="F6927" t="inlineStr">
        <is>
          <t>さびしい原っぱ；ひろい原っぱ；広大な原っぱ</t>
        </is>
      </c>
      <c r="H6927" t="n">
        <v>29</v>
      </c>
      <c r="I6927" t="inlineStr">
        <is>
          <t>といって、空気がすこしも動かないのをみると、原っぱでもありません。；「じゃ僕は原っぱで寝ていたのかしら」 しかし原っぱでもありません。；道具建てを取りかたづけた舞台の上は、原っぱのように広々としていた。；綺麗な羽をした鳥が原っぱの上を無数に飛んだり歩いたりしていた。；僕たちの原っぱへ捨てられた犬やねこは、僕たちの責任となるからね。；散歩のついでにアパートの前や横の原っぱで遊ぶのも、お気に入りです。；もう原っぱの端まで逃げて行き、からだを隠して眼だけ出している。；原っぱへ行こう、 どこがいい 真中がいいよ あしたっからどうする?；そういう世間をよそに原っぱでは同時にいくつもの建築が着手された。；城の近くの原っぱの真ん中に、黒々とした穴が大きく口をあけていた。；その光におおわれた原っぱは、これまで何度となく私の頭の中に出てきていた。；車から県庁の向かいの原っぱを眺めたが、どこまでも夕闇に包まれていた。；円錐形をしたその形は、原っぱの中に置かれた野外彫刻のようにも見えた。；息抜きしようにもこどもだけで自由に遊べる原っぱや広場がなくなった。；その光が、あるはずもない大きな原っぱをビルの裏に予想させる。；原っぱへいけば、そこには、かならず、二、三人の彼の仲間がいました。；それに今どきの東京にこんな原っぱが残っているなんて信じられない程だった。；幸吉は、原っぱへいったが、原っぱには、だれも遊んでいませんでした。；林はそこで切れて、その先はわずかに登りになる灌木の原っぱだった。；二人は近くの原っぱの中にぽつんと建っている小さな家にはいっていった。；わがアパートとユダヤ人墓地の間にある原っぱも悲劇の地でした。；私が育ったのは渋谷で、土手の上を走る山手線を見ながら原っぱで遊んだ。；今まで八人が立って闘っていた原っぱに四人だけ残っていた。；そこの原っぱを横切ることは、ほとんど戦後史を横切ることに近かった。；なお、その名「下原」は一帯が原っぱであったことにちなむものである。；ほかの原っぱの草がなぜいいのか、どうにも十分な返事が浮かばない。；彼が原っぱの向うからぼくのほうへ駆けてきたとき、ぼくの心臓はどんなに高なったことか!；僕は草の半分生えた原っぱで汗をかいただけの話さ。；この広い原っぱには、ほかにだれも遊んではいませんでした。</t>
        </is>
      </c>
      <c r="J6927">
        <f>HYPERLINK("https://www.weblio.jp/content/原っぱ", "词义详情")</f>
        <v/>
      </c>
      <c r="K6927">
        <f>HYPERLINK("https://yourei.jp/原っぱ", "查看例句")</f>
        <v/>
      </c>
    </row>
    <row r="6928">
      <c r="A6928" t="inlineStr">
        <is>
          <t>はらはら</t>
        </is>
      </c>
      <c r="B6928" t="inlineStr">
        <is>
          <t>成功</t>
        </is>
      </c>
      <c r="C6928" t="inlineStr">
        <is>
          <t>［副］(スル)
１小さいものや軽いものが、静かに続けて落ちかかるさま。「涙を—（と）落とす」「花びらが—（と）散る」
２髪が垂れかかるさま。「後れ毛が—と肩にかかる」
３成り行きを危ぶんで気をもむさま。「わが子の初舞台を—しながら見守る」
４多くのものがいっせいに動くさま。
「河に—とうち入りて渡りけるに」〈今昔・三一・一一〉
５物が触れ合ってたてる音を表す語。
「衣(きぬ)の音なひ—として」〈源・帚木〉
６物がはじけて発する音を表す語。
「焚(た)かるる豆がらの—と鳴る音は」〈徒然・六九〉</t>
        </is>
      </c>
      <c r="D6928" t="inlineStr">
        <is>
          <t>はらはらと涙(7%)；はらはらするよう；はらはらと落ち；はらはらと落涙；はらはらとこぼれ</t>
        </is>
      </c>
      <c r="E6928" t="inlineStr">
        <is>
          <t>ぼろぼろ；ぽろぽろ；さめざめ；ほろほろ；ほろり</t>
        </is>
      </c>
      <c r="F6928" t="inlineStr">
        <is>
          <t>涙をはらはら；涙がはらはら；いつもはらはら；はらはらと雪；はらはらと降り</t>
        </is>
      </c>
      <c r="H6928" t="n">
        <v>29</v>
      </c>
      <c r="I6928" t="inlineStr">
        <is>
          <t>自動車を例にとれば、私などはいつもはらはらするほどになっています。；そのくせ、笑いながら話をしている途中ではらはら泣き出すことがある。；お文を送った帰りに通りすがりの男を誘うのではないかとはらはらする。；智子はこれと同じ場合に置かれている自分を知ってはらはらと涙を流した。；皆が腹の中ではらはらしていたことなんか、彼はまったく知らないのだ。；曾田はその皆の言う言葉が木谷の耳にはいりはしないかとはらはらした。；三郎もいくらか、はらはらしたのだが、大八の言葉はおさまらなかった。；風に吹き散らされたしずくは、はるか下の地上へはらはらと落ちてゆく。；李小二夫婦は両手に汗を握ってはらはらしていたが、その夜は事もなく過ぎた。；夢に出てきても彼等は別段はらはらするような言動を見せるわけではない。；母や他の子供たちは、はらはらしながらこの二人の敵手を見守つてゐた。；しかしはらはらと手に汗を握っていたためか、大変長く感じられた。；童貫は坂の上に馬をとめて、ただはらはらとこれを眺めているばかり。；彼はベレグを見ると衝撃を受け、涙をはらはらと流しながら駆け寄った。；いつ皆様が日本に帰ってしまうかと、いつもはらはらとしていました。；乳母の後へ行つた自分もどうすることも出来ないのではらはらして立つてゐた。；風の度らぬ梢から黄な葉がはらはらと赤き衣にかかりて、池の面に落ちる。；少し前から風が出てきたとおもっていたら、はらはらと雪が舞いはじめた。；風が吹きつけて、彼の半ば白くなった髪毛が、はらはらっと顔にかかった。；又ある時は二人の頭と二人の袖にはらはらと一度にかかる。；もし彼女の目に彼の姿が見えたらもっとはらはらしただろう。；あなたは熱病をなさりやすいかと思って全くはらはらいたしました。；はるかロンドンから眺めていると、はらはらするような急浮上ぶりだった。；樹々の葉からは、風もないのに雨のしずくがはらはらとこぼれかかった。；人が来やしないかとはらはらして居りましたが、どうやら今のところ無事。；何やら冷たいものが、先程からはらはらと彼の顔の上に降りかかっていた。；それを少年が、かげではらはらしながら聞いてゐたことは言ふまでもない。；だんだん穴が深くなるにつれて、百姓達の方がかへつてはらはらしはじめた。；自分のからだが、こわれもののような気がして、はらはらしています。</t>
        </is>
      </c>
      <c r="J6928">
        <f>HYPERLINK("https://www.weblio.jp/content/はらはら", "词义详情")</f>
        <v/>
      </c>
      <c r="K6928">
        <f>HYPERLINK("https://yourei.jp/はらはら", "查看例句")</f>
        <v/>
      </c>
    </row>
    <row r="6929">
      <c r="A6929" t="inlineStr">
        <is>
          <t>ばらばら</t>
        </is>
      </c>
      <c r="B6929" t="inlineStr">
        <is>
          <t>成功</t>
        </is>
      </c>
      <c r="C6929" t="inlineStr">
        <is>
          <t>［副］
１大勢の人がまとまりなく動くさま。「事故現場に近所から—（と）人が集まる」
２粒状のものが散らばりながら落ちる音や、そのさまを表す語。「大粒の雨が—（と）屋根を打つ」
［形動］一つにまとまらないで、分散しているさま。また、それぞれに違っているさま。「機械を—にしてしまう」「—な意見」
［アクセント］はバラバラ、はバラバラ。</t>
        </is>
      </c>
      <c r="D6929" t="inlineStr">
        <is>
          <t>ばらばらになりそう；ばらばらにこわれ；ばらばら落ち；ばらばらに崩れ；ばらばらにくずれ</t>
        </is>
      </c>
      <c r="E6929" t="inlineStr">
        <is>
          <t>多数；崩壊；相違；壊滅；分散</t>
        </is>
      </c>
      <c r="F6929" t="inlineStr">
        <is>
          <t>みんなばらばら；それぞればらばら；散り散りばらばら；手足をばらばら；個々ばらばら</t>
        </is>
      </c>
      <c r="G6929" t="inlineStr">
        <is>
          <t>ばらばらッと；ばらばらばら；ばらばらばらばら</t>
        </is>
      </c>
      <c r="H6929" t="n">
        <v>29</v>
      </c>
      <c r="I6929" t="inlineStr">
        <is>
          <t>彼はつい気が滅入ったようになって銅貨をばらばらと五六枚投げ与えた。；むしろ植民地を建設する背後にある動機はばらばらで変化するものだった。；最後の一環に来てはじめて、すべてがばらばらになるような気がした。；円や丸に十字の文様が多数描かれていたが、その配置はばらばらである。；だれひとりつっこむこともできないうちに、ばらばらにされてるだろう。；金色と緑色をした証書類が滝のようにばらばらと膝の上に落ちてきた。；肉が骨から放れて、ばらばらになるかと思われるほどの大苦痛に襲われた。；松明の火が、ばらばらとこぼれるように、門の外へ出て来るのが見えた。；じっとしているとまわりのものが次々にばらばらになってしまう。；漢字が三つあるけど、どれもばらばらで、ひとつにつながってないよね。；従って、ロシア艦隊は広い海域にばらばらに配置された状態となっていた。；彼はばらばら死体の残りがあるとすれば、上流にあるとの考えです。；この語幹の変化には依存関係があり、ばらばらに変化するわけではない。；全体がばらばらになると同時に自らも無力となってしまったんだね。；今まではばらばらだった私の生活に対する憧憬が形をもってきました。；さすがに愕然と立竦んだが、折から表へばらばらと走って来る人の足音。；もっとも、全員てんでばらばらの日についてしゃべっていたようだがね。；でも、それをフォードにとりつけたら、車体がばらばらになってしまう。；次に一つの盃がばらばらと分殖してそこに十個の皿がずらりと並列する。；必要なことはばらばらになってしまった自分自身をもう一度集め直すことだ。；最初はいっしょに束ねてあったけれど、いまはばらばら勝手になって。；一まわり踊りがすむとみんなはばらばらになってコップをとりました。；列車は動かなくなり、ばらばらになって線路沿いに立ち往生したまま。；頭と胴と尾とばらばらになって海へ落ちて海鼠にでもなるだろうよ。；そこでばらばらになって敵の目をくらまそうということになりました。；矢がばらばらに当たっている場合、それらが中心に近いとはいえないからである。；わたしは島全体がばらばらになるのではないかと心配した。；学校もスポーツ歴もばらばらの七人だが、共通することが一点だけあった。；この書物は今でも私の知人の間にばらばらに幾分のこっているはずである。</t>
        </is>
      </c>
      <c r="J6929">
        <f>HYPERLINK("https://www.weblio.jp/content/ばらばら", "词义详情")</f>
        <v/>
      </c>
      <c r="K6929">
        <f>HYPERLINK("https://yourei.jp/ばらばら", "查看例句")</f>
        <v/>
      </c>
    </row>
    <row r="6930">
      <c r="A6930" t="inlineStr">
        <is>
          <t>ばらまく</t>
        </is>
      </c>
      <c r="B6930" t="inlineStr">
        <is>
          <t>成功</t>
        </is>
      </c>
      <c r="C6930" t="inlineStr">
        <is>
          <t>読み方：ばらまく
［動カ五（四）］
１ばらばらに散らしてまく。方々にまき散らす。「怪文書を—・く」「うわさを—・く」
２金銭や物品を多くの人に配る。「金を—・く」「名刺を—・く」</t>
        </is>
      </c>
      <c r="D6930" t="inlineStr">
        <is>
          <t>流す；散らす；配布する；撒く；散布する</t>
        </is>
      </c>
      <c r="H6930" t="n">
        <v>29</v>
      </c>
      <c r="I6930" t="inlineStr">
        <is>
          <t>この境内が清らかな湖だとすると、あの泥はばらまかれた重油のようだ。；きっと一握りの豆を空中にばらまく奴のような恰好だったにちがいない。；あっしは、江戸へ運んで、江戸中の人間にばらまくと、心に決めたんだ。；灯の海と形容してもいいぐらい、いちめんに光の粒がばらまかれている。；大学で研究したことは、いかにしてデータをPEにばらまくかである。；高里の噂がばらまかれたとき、人はそれにどう反応するのだろう。；この地上に、七百二十六個の宝貝がばらまかれてしまったのである。；誰かに話したら殺すとか、恥ずかしい写真をばらまくとか言われてな。；英国の新聞であれば、あえてそんな情報を世界にばらまくことはしない。；では、今ごろは彼の写真が近辺にばらまかれ、夕刊にも載ることだろう。；テーブルの間にはおびただしい数のクッションがばらまかれてあった。；試合に勝利した後にチョコレートをばらまくパフォーマンスを行っている。；地上にばらまかれた宝貝は、そのまま地面に落ちているのではない。；情報は床にばらまかれたジグソーパズルの破片のように混乱を極めていた。；そこもやっぱり空で、焦げ茶色のテーブルの上にメモがばらまかれていた。；もう少し大声が早ければ、床の上にばらまかれていたかもしれない。；本をばらまくなんて罰当たりなことを、おれが立て続けにしたからなのか。；地上に、無数にばらまかれた紫がかった灯が、この上もなく美しかった。；背後で金銭をばらまく、強い目的を持った命令者がいるということだ。；次に人を呼べるのは小銭をばらまく音であるまあどうでもいいけど。；弟の写真が全国にばらまかれたのは、三日後のことだった。；景気のいい星ともなれば、その何倍もの金をばらまくだろうと期待していた連中である。；尖塔のあいだにばらまかれた低い建物の大部分は、壁全体がガラスでできている。；創刊号は某マンションの郵便受けにばらまかれていたと言われている。；あたかも両手いっぱいの暗闇が再び空にばらまかれたかのようである。；それにしても、人力車の上から金銭をばらまくとは、なんということか。；大木一郎が秘密の写真を工場内にばらまかれたことまで話す決心がつかないらしい。；それを防ぐには弾やビーム弾をできるだけたくさんばらまくことだ。；子器は地衣の表面に多数がばらまかれたように形成される。</t>
        </is>
      </c>
      <c r="J6930">
        <f>HYPERLINK("https://www.weblio.jp/content/ばらまく", "词义详情")</f>
        <v/>
      </c>
      <c r="K6930">
        <f>HYPERLINK("https://yourei.jp/ばらまく", "查看例句")</f>
        <v/>
      </c>
    </row>
    <row r="6931">
      <c r="A6931" t="inlineStr">
        <is>
          <t>孕む</t>
        </is>
      </c>
      <c r="B6931" t="inlineStr">
        <is>
          <t>成功</t>
        </is>
      </c>
      <c r="C6931" t="inlineStr">
        <is>
          <t>読み方：はらむ
［動マ五（四）］
１胎内に子を宿す。妊娠する。みごもる。「子を—・む」
２その中に含み持つ。「矛盾を—・む」「帆が風を—・む」
３穂が出ようとしてふくらむ。「麦が—・む」</t>
        </is>
      </c>
      <c r="D6931" t="inlineStr">
        <is>
          <t>懐妊；受胎；宿す；懐胎；姙娠</t>
        </is>
      </c>
      <c r="H6931" t="n">
        <v>29</v>
      </c>
      <c r="I6931" t="inlineStr">
        <is>
          <t>最初に女の子を孕ませることのできなかった私が悪いのだ、と非難した。；しかし、ここに示される通り、実は相当に矛盾を孕んだ行為なのである。；矢を孕むその瞼は人を殺め、その視線はひと条ごとにひと振りの剣なり。；思い切り女を孕ませて、このままここに居付いてしまってもいいのである。；自分の躯が、医師が動顛するほどの危険を孕んでいるとは思えなかった。；肌にふれる風は季節の声を孕んで、一吹きごとに秋の彩度を増していく。；この赤児を孕んだ実は深い山の奥を離れた後、どういう人の手に拾われたか?；それほど矢切はなにをするかわからないような凶暴性を全身に孕んでいた。；というよりもむしろ歌や文句の中から、孕まれたろうと思うものが多いのである。；車から降りると、かすかにタールの匂いを孕んだ潮風が吹きつけてきた。；その先は夕映が完全に消えた太平洋が暗黒を孕んで無限に広がっている。；しかし、どの雌熊の腹を割いてみましても孕んでいるのを見ませんでした。；これは軟弱な地面で各坐しそこを狙い撃ちにされる危険性を孕んでいた。；目にしたのは容貌は醜いが、その瞳には烈しい灼熱の感情を孕んだ少年。；帆は満面に風を孕んで、舷側に波を立てながら、早く早く進んで行つた。；そのうちに娘は孕んでいたことが隠しきれなくなって離縁される。；しかし、その国は広告に書かれていない、様々な問題を孕んでいた。；と応じたヤーニのだみ声は、爆発寸前の怒りを孕んで小さく震えていた。；アッシリアとは緊張を孕みながらも一応平和な関係を維持できることになった。；尻側が上がっている石を逆石といい滑りやすく孕みの原因となる。；低く抑えた声だったが、いっぱいに巻ききったぜんまいの緊張を孕んでいた。；式だけがますます視線に怒気を孕ませて、流し目でこちらを睨んでいる。；「どこまでわたしを虚仮にするつもりだ」 怒気を孕んだ声が聞こえた。；其処に何かが孕まれて、もはや小さな心臓の音を立ててるのだった。；私の心はかく現実を孕んでそれを生命の世界へ産み落すのである。；腹の子も、きっと左様な男どもに孕ませられたのでございましょう。；なにかを孕んで熱を持っていた目が、おぞましいものを見る目に変わった。；このため、政府と議会の関係は政権の始まりからの緊張と対立を孕んだものとなった。；魂の孕むすべての美しいものは、この寂しさから生れ出て来るのだ。</t>
        </is>
      </c>
      <c r="J6931">
        <f>HYPERLINK("https://www.weblio.jp/content/孕む", "词义详情")</f>
        <v/>
      </c>
      <c r="K6931">
        <f>HYPERLINK("https://yourei.jp/孕む", "查看例句")</f>
        <v/>
      </c>
    </row>
    <row r="6932">
      <c r="A6932" t="inlineStr">
        <is>
          <t>針</t>
        </is>
      </c>
      <c r="B6932" t="inlineStr">
        <is>
          <t>成功</t>
        </is>
      </c>
      <c r="C6932" t="inlineStr">
        <is>
          <t>読み方：しん
［音］シン（呉）（漢）　［訓］はり
［学習漢字］6年
〈シン〉
１ぬいばり。「針小棒大／運針」
２漢方で、治療に用いるはり。「針灸(しんきゅう)・針術」
３目盛りや方向を示すはり。はりのようにとがったもの。「針路／検針・指針・磁針・短針・秒針・方針・避雷針」
[補説]2は「鍼」と通用。
〈はり（ばり）〉「針医・針金／注射針」
［難読］針孔(みぞ・めど)</t>
        </is>
      </c>
      <c r="D6932" t="inlineStr">
        <is>
          <t>針状(4%)；針葉；針先；針縫う；針金細工</t>
        </is>
      </c>
      <c r="E6932" t="inlineStr">
        <is>
          <t>指針；ニードル</t>
        </is>
      </c>
      <c r="F6932" t="inlineStr">
        <is>
          <t>転針；細い針；羅針；鋭い針；縫い針</t>
        </is>
      </c>
      <c r="G6932" t="inlineStr">
        <is>
          <t>針路；針葉樹；針葉樹林；針仕事；針箱</t>
        </is>
      </c>
      <c r="H6932" t="n">
        <v>29</v>
      </c>
      <c r="I6932" t="inlineStr">
        <is>
          <t>針がすっかり沈んでしまって少しも浮かばないと運命は凶であるという。；逆に針が左に傾いていると低く、右に傾いていると高い事を示している。；その後ランボーはナイフの柄から針と糸を取り出し麻酔なしで腕を治療。；それでも口を開けて針を刺したところ一言何かを言ったとも言われる。；針の位置を変えると、違う箇所や方向からの映像を得ることができる。；ニードルレースとは、針を用いて糸だけで作られたレースのことをさす。；形状は一見すると裁縫用の針に似ているが、先端は鋭く尖ってはいない。；針や棒の影の先端の一点の位置で時刻を読み取る精密なタイプもある。；棘針の配置は非常に規則的で、ミュラー列と呼ばれる配置を為している。；この現象は方位磁針の針が地磁気の向きを示すのとほぼ同じ方法で起こる。；それを芒端というが、イネ科のもののように針状になるものではない。；類似の構造で細いものを針と言うが、その境界ははっきりしない。；かぎ針は棒針より短く、先端に糸を引っ掛けるために鉤状になっている。；大時計の黄色い針が日本のものよりも白みがかっているとの指摘もある。；葉はAustrales節に属する多くの仲間と同じように三針葉。；さらには自身の背中の内側や、骨盤に針を打ち込んであるとも述べている。；祭りの当日には地元の人々が針やはさみを手にしない習わしがある。；内部の口針も食植性のもので非常に長くなっているものが多い。；ただし、茎には短い針状の突起があり、これを葉の一種と見る向きもある。；編み進んで目数が増えたら、輪針に取り換えて編み進むと便利であ る。；ステープラーは使用する針の大きさによって大きく3種類に分けられる。；どちらかというと小さくて壊れやすく、針が集まったような見かけをしている。；また、刀の刀身ではなく槍の槍身や太針が隠されている場合もある。；現代になり、考古学者は墓の位置を特定して、探針を用いた調査を行った。；吸血性の動物には、針状になった口を射しこんで血を吸うものが多い。；過去の調査例によると約千尾のハリセンボンの針の数の平均は369本であった。；J字型の針を何本か背中合わせにくっつけた形のものもあり種類分けされる。；針の付いたアーマーで武装され、頭部の角が高速回転するドリル状になった。；葉が落ちないものは針状をしている針葉樹がほとんどである。</t>
        </is>
      </c>
      <c r="J6932">
        <f>HYPERLINK("https://www.weblio.jp/content/針", "词义详情")</f>
        <v/>
      </c>
      <c r="K6932">
        <f>HYPERLINK("https://yourei.jp/針", "查看例句")</f>
        <v/>
      </c>
    </row>
    <row r="6933">
      <c r="A6933" t="inlineStr">
        <is>
          <t>張り合う</t>
        </is>
      </c>
      <c r="B6933" t="inlineStr">
        <is>
          <t>成功</t>
        </is>
      </c>
      <c r="C6933" t="inlineStr">
        <is>
          <t>読み方：はりあう
［動ワ五（ハ四）］
１互いに張る。「意地を—・う」
２互いに負けまいとする。同じものを目指して競争する。「主役を—・う」</t>
        </is>
      </c>
      <c r="D6933" t="inlineStr">
        <is>
          <t>戦う；対抗する；反対する；対立する；競う</t>
        </is>
      </c>
      <c r="H6933" t="n">
        <v>29</v>
      </c>
      <c r="I6933" t="inlineStr">
        <is>
          <t>そうされると年老いた手に張り合うこともできず指は動かせなくなった。；同じ時代を生きていた者としては張り合いたい気持ちが出るのではないか。；何をしていても新鮮で、新しいことをしているという張り合いがあった。；それで張り合いをなくしたのか、二人は私を放っておくことにしたようだ。；ウォーバートン氏は急に人生に張り合いがなくなったような気がした。；正反対の性格の二人は採用枠を争うライバルということもあり張り合う。；よい友人が得られそうなので、自分も久し振りに張り合いを感じています。；相手はどういう見当で邪魔を入れるか知れないが、張り合って見るつもりだ。；若い国という点では成長株で、そのうちイギリスとも張り合えそうだね。；まあ、それなりに仕事以外の張り合いを見つけられて良かったのだろう。；三十一の三乗ではケランと対等に張り合う程の腕を持つパイロットである。；いつも此の調子でいてくれると、僕も張り合いがあって、うれしいのだが。；私と張り合う気は、昔と同じに、ちっとも変っていないらしいではないか。；改革したいことがあっても、周囲があまりに無関心で張り合いのないことがある。；まだ赤星と張り合っている私の負けず嫌いぶりがおかしかったのだろう。；それもあってか真珠の日常生活には今一つ張り合いのなさを感じていた。；それは、決して安楽な毎日ではなかったが、三帆には張り合いがあった。；私は人間の神経作用の馬鹿馬鹿しさにスッカリ張り合いが抜けてしまった。；彼は、毎日こうして仕事を休んで待つことに張り合いのないのを感じました。；こんな張り合いのある以上の仕事がまたとこの世にあろうか。；新しい門出の日だったのにこれでは張り合いというものがまるでない。；おかしかったわ、お父さんとお母さんが張り合っているのを見てるの。；生きる事に何も張り合いが無い時には、自殺さえ、出来るものではありません。；骨を折れば其だけ島田のお母さんにしろお気持いいでしょうと張り合いです。；もはや攻撃陣だ守備陣だのと意地の張り合いをやっている場合ではなかった。；才能は曹植に及ばなかったものの、よく張り合うほどだったといわれる。；トウイはもうこの世にいないとおもうと、生きる張り合いがなくなった。；仲良くするのではなく、張り合おうとする男性的な価値観のせいか。；張り合いがない、というか根本的に人類と波長が合っていない気がしてきた。</t>
        </is>
      </c>
      <c r="J6933">
        <f>HYPERLINK("https://www.weblio.jp/content/張り合う", "词义详情")</f>
        <v/>
      </c>
      <c r="K6933">
        <f>HYPERLINK("https://yourei.jp/張り合う", "查看例句")</f>
        <v/>
      </c>
    </row>
    <row r="6934">
      <c r="A6934" t="inlineStr">
        <is>
          <t>針金</t>
        </is>
      </c>
      <c r="B6934" t="inlineStr">
        <is>
          <t>成功</t>
        </is>
      </c>
      <c r="C6934" t="inlineStr">
        <is>
          <t>読み方：はりがね
１金属を細長く伸ばして、線状にしたもの。
２電線。
「伝信記(テレガラフ)の—に」〈魯文・西洋道中膝栗毛〉
３主に九州北部のラーメン店で、麺のゆで加減を表す語。ゆで時間が短くとても硬い状態で供する。→粉落とし→ばり硬</t>
        </is>
      </c>
      <c r="D6934" t="inlineStr">
        <is>
          <t>針金ネズミ(2%)；針金状；針金みたい；針金製造；針金工場</t>
        </is>
      </c>
      <c r="E6934" t="inlineStr">
        <is>
          <t>ワイヤー；ワイヤ；ワイア；鉄条</t>
        </is>
      </c>
      <c r="F6934" t="inlineStr">
        <is>
          <t>太い針金；長い針金；黒い針金</t>
        </is>
      </c>
      <c r="G6934" t="inlineStr">
        <is>
          <t>針金録音機；針金虫</t>
        </is>
      </c>
      <c r="H6934" t="n">
        <v>29</v>
      </c>
      <c r="I6934" t="inlineStr">
        <is>
          <t>次に舞台係が、観客の頭の上から三メートルばかりの針金を差し出した。；手術が始まろうとする時、患者は針金で絞殺されているのが発見される。；ポールセンの機械は円筒に巻きつけた針金に信号を記録するものである。；針金が何重にも巻き付けられ、動かないようにしっかりと固定されていた。；アルテナの針金職人は他の鉄に置き換えようと努めたが成功しなかった。；針金が一本あれば、ぞっとするようなことをいっぱい考えだせるもんだ。；繊維状タンパク質は、棒や針金の様な形をした長い繊維状の構造を作る。；尾には針金のように細い飾り羽が1対あり、胸の脇にも大きな飾り羽を持つ。；これらの針金の枝は、中心の幹に見立てた丸材へと巻きつけられていた。；だが、ある日彼は亜鉛の針金で首をしめられて階段にぶらさがっていた。；警官はまた例の針金をポケットからとり出して、まず廊下のドアを開いた。；一面に霜をかぶったレールを太い針金で柱に吊した本部バラックの角を。；新城はピアノ線の針金の投げ罠で首を絞められている男に視線を移した。；一方が尖った針金の穴に糸を通し、この針で生じた穴ごしに糸をひっぱる。；その上、首には太さが三ミリもある針金が五重に巻きつけられていた。；かれが突きを入れると、お返しに針金のような指がこちらの首をしめてきた。；針金で扇形に作った、あるいは垣にした果樹がいっぱい光を受けている。；足は針金の籠の下に入っていて、その上から掛け蒲団がかけてある。；子供たちは、竿のような長い棒の先に釘や針金をつけてお団子を盗んだ。；車のドアを針金一本であけるように指一本で女の服を脱がせてやる事が出来る。；これを針金にして白熱灯の炭素線に代用すると大変に電力の経済になる。；噛む力は細い針金程度なら容易に切断できるほど強いため注意が必要。；針金がついているので床には落ちないで宙にさがっている。；村の人が、縛られている男を〝針金ネズミ〟と知ったらどうするだろう?；ていねいに帽子を動かして、針金で編んだ半球形の帽子台を取り出した。；離れた建物の間には、目立たないように針金のつり橋が作られていた。；落ちそうになると尾をくるりと針金に巻きつけて、体を支えました。；針金綴じしたものは背に糊を付け、最後に表紙を貼り付けて完成となる。；針金を素材として様々な製品に二次的、三次的に加工されて使用されている。</t>
        </is>
      </c>
      <c r="J6934">
        <f>HYPERLINK("https://www.weblio.jp/content/針金", "词义详情")</f>
        <v/>
      </c>
      <c r="K6934">
        <f>HYPERLINK("https://yourei.jp/針金", "查看例句")</f>
        <v/>
      </c>
    </row>
    <row r="6935">
      <c r="A6935" t="inlineStr">
        <is>
          <t>張り紙/貼り紙</t>
        </is>
      </c>
      <c r="B6935" t="inlineStr">
        <is>
          <t>无结果</t>
        </is>
      </c>
      <c r="H6935" t="n">
        <v>0</v>
      </c>
      <c r="J6935">
        <f>HYPERLINK("https://www.weblio.jp/content/張り紙/貼り紙", "词义详情")</f>
        <v/>
      </c>
      <c r="K6935">
        <f>HYPERLINK("https://yourei.jp/張り紙/貼り紙", "查看例句")</f>
        <v/>
      </c>
    </row>
    <row r="6936">
      <c r="A6936" t="inlineStr">
        <is>
          <t>張り切る</t>
        </is>
      </c>
      <c r="B6936" t="inlineStr">
        <is>
          <t>成功</t>
        </is>
      </c>
      <c r="C6936" t="inlineStr">
        <is>
          <t>読み方：はりきる
［動ラ五（四）］
１ゆるみなく十分に張る。ぴんと張る。「—・った糸を指ではじく」「—・った筋肉」
２元気や気力が満ちあふれる。意気込む。「—・って仕事をする」
［動ラ下二］「はりきれる」の文語形。</t>
        </is>
      </c>
      <c r="D6936" t="inlineStr">
        <is>
          <t>集中する；はやる；パワフルな；エネルギッシュな；奮起する</t>
        </is>
      </c>
      <c r="H6936" t="n">
        <v>29</v>
      </c>
      <c r="I6936" t="inlineStr">
        <is>
          <t>彼は日本から出張して来た刑事に協力できることを喜び張り切っている。；わたしが困った生徒でいる限り、その先生は張り切って力になってくれた。；張り切っていたせいか、自分もわずかに、その反響するなにかを感じた。；そこでまた彼等は彼等の生命を一ぱいに張り切つた次の生活が始められる。；しかし、芸能人の場合、なんか妙に張り切ってやってる場合が多いよな。；しかも三君は張り切っているから金もたくさん持ってきているらしい。；今にして思えば、張り切っていたのは入社式の日くらいのものだった。；久しぶりにデートだって張り切って、俺の迎えを待ってたわけだからな。；すると少女は張り切って氷水を用意し、僕の背中を支えてくれるのだった。；不思議なことのようだが、それは一つには将軍の権威が張り切っていたからだ。；雨戸のガラスはやがて裂けはしまいかと思はれるほど張り切つて見える。；そのなかで、青年たちはいつもよりも張り切った様子を見せていた。；会社のマークの入った名刺を初めて作ったとかで、張り切っていたね。；心を宇宙大に張り切つてをれば、体も従つて元気旺盛で張り切つて来る。；ちょっとばかり張り切って自分のものを書こうとしてみたら、これだ。；最初は張り切って学校に行き始めたのだが、やはり長く続かなかった。；浅倉も学会が近いせいかいつもに増して張り切っているように見えた。；アルバムをつくって卒業式の日にみんなに配るんだと張り切っていた。；けれど胸が張り切って、知った人に遇っても物を言うのが厭であった。；ふと、アパートの大家がと張り切って言ってくれたことを思い出した。；銀行は経済活動の中心だが、銀行だけが張り切っていてもどうにもならない。；それがどんなにつまらないものだとしても、張り切らずにはいられない。；夜になって、石坂夫婦がやってきたが、石坂はすっかり張り切っていた。；次第に緊張し張り切って来る心の苦痛で彼女は一種の偏執狂になりかけであった。；ぼくはこんなのに出喰わさんもんかと、むしろ張り切っていたんだ。；張り切っていたゴロちゃんたちも、少しずつだれて来るのが私にはわかった。；健康の方が病気よりも、より張り切って・より有益に・わたしに忠告する。；器の小さい上司に代わるまでは結構張り切って仕事をしていたんだ。；前にいる白髪の老人の横顔の輪郭がなんと若々しく張り切っている事だ。</t>
        </is>
      </c>
      <c r="J6936">
        <f>HYPERLINK("https://www.weblio.jp/content/張り切る", "词义详情")</f>
        <v/>
      </c>
      <c r="K6936">
        <f>HYPERLINK("https://yourei.jp/張り切る", "查看例句")</f>
        <v/>
      </c>
    </row>
    <row r="6937">
      <c r="A6937" t="inlineStr">
        <is>
          <t>春</t>
        </is>
      </c>
      <c r="B6937" t="inlineStr">
        <is>
          <t>成功</t>
        </is>
      </c>
      <c r="C6937" t="inlineStr">
        <is>
          <t>読み方：しゅん
［音］シュン（呉）（漢）　［訓］はる
［学習漢字］2年
〈シュン〉
１はる。「春季・春日・春宵／初春・惜春・早春・晩春・陽春・来春・立春」
２正月。「賀春・迎春・新春」
３若く血気盛んな年ごろ。「回春・青春」
４男女の愛欲。性欲。「春画・春機・春情・春本／売春」
５年月。「春秋」
〈はる〉「春雨(はるさめ)／小春・初春」
［名のり］あずま・あつ・かす・かず・す・とき・はじめ
［難読］春日(かすが)・春宮(とうぐう)</t>
        </is>
      </c>
      <c r="D6937" t="inlineStr">
        <is>
          <t>春日山城；春頃；春さん；春ごろ；春三</t>
        </is>
      </c>
      <c r="E6937" t="inlineStr">
        <is>
          <t>スプリング；春季；春期；三春；春陽</t>
        </is>
      </c>
      <c r="F6937" t="inlineStr">
        <is>
          <t>毎年春；同年春；翌年春；元春；綾春</t>
        </is>
      </c>
      <c r="G6937" t="inlineStr">
        <is>
          <t>春子；春日；春香；春季；春秋</t>
        </is>
      </c>
      <c r="H6937" t="n">
        <v>29</v>
      </c>
      <c r="I6937" t="inlineStr">
        <is>
          <t>北部では春が最も雨の多い季節であるが、南部や東部では晩夏に雨が多い。；また1989年春からは一部編成を除いて冷房化と車体修繕も開始した。；農業中心の社会ではローマ暦のように春を年初とみなす場合が多かった。；春・秋の渡りの季節には長野県などの内陸部を移動する個体が観察される。；春になると溶けてしまうので基本的に冬季限定であり、毎年再建される。；春から夏にかけて海霧が発生しやすく、秋から冬にかけては晴天が続く。；一時担当を外れていた時期もあったものの1988年春の番組終了まで出演した。；日本では周年見られるが、春および秋には渡りが各地で確認される。；後述するように、2018年春より種別数は10種別体制になっている。；退院後の1918年春には志願していた航空隊への移籍が認められた。；そしてこの年の春、金鯱賞をレコードで勝利したことで正式に参戦が決定した。；一般的に春に桜色と表現される白色や淡紅色から濃紅色の花を咲かせる。；以前は御影堂の東後方にあったが、昭和44年春、現在地に移転された。；気温の変化は次第に北上していき、冬から春、春から夏へと移り変わる。；秋にも出産することがあるが、春の繁殖に失敗した個体によるものが多い。；糸と呼ばれる弦の場合絹が使用され、原料としては春繭が良いとされる。；春と秋は季節の移り変わりの時期で、一般に穏やかで涼しい気温になる。；同年春には大手加盟先との契約が終了し、150店を超える店舗の閉鎖を進めていた。；秋から春までが乾季に相当し、その期間の降水は殆ど観測されない。；出会いの春が過ぎ、戦いの夏が終わり、和解の秋も去り、別れの冬が来た。；続いて慶長13年冬から翌年春には関東の大名・旗本の観閲を行った。；春の渡りの前には100羽以上の群れを作ることもある。；日本では一般に春の行事であるが、欧米では、一般に秋の行事である。；その後春の訓練活動のため1956年1月7日にノーフォークに帰還した。；このC1以降、春・夏・冬の学校の休みに合わせた年3回の開催が定着する。；秋はより嵐や竜巻の脅威が起こるが、通常春より少なく厳しさも低い。；それは立春のころを年初にし、春の始まりと年の始まりを一致させるためである。；翌年春にかまやつひろしにメンバー加入とメンバー探しを依頼。；特にこれらの水の集中する南部では、かつては春になると毎年のように洪水が起こっていた。</t>
        </is>
      </c>
      <c r="J6937">
        <f>HYPERLINK("https://www.weblio.jp/content/春", "词义详情")</f>
        <v/>
      </c>
      <c r="K6937">
        <f>HYPERLINK("https://yourei.jp/春", "查看例句")</f>
        <v/>
      </c>
    </row>
    <row r="6938">
      <c r="A6938" t="inlineStr">
        <is>
          <t>貼る</t>
        </is>
      </c>
      <c r="B6938" t="inlineStr">
        <is>
          <t>成功</t>
        </is>
      </c>
      <c r="C6938" t="inlineStr">
        <is>
          <t>読み方：はる
［動ラ五（四）］
１広がりのびる。「根が—・る」
２のばし広げる。「テントを—・る」
３はちきれそうにふくらむ。ふとる。「腹が—・る」「木の芽が—・る」
４大きく見せようとしてふくらせる。「胸を—・る」
５一面におおう。「池に氷が—・る」
６いっぱいにする。「浴槽に水を—・る」
７強く盛んになる。「欲が—・る」
８強く盛んにする。「声を—・る」「欲を—・る」
９糸や綱などを引き渡す。「綱を—・る」
10気持ちが引き締まる。「気が—・る」
11気を引き締める。「気を—・る」
12筋肉やからだがこわばったようになる。「肩が—・る」
13度を越す。値段などが高くなる。「金額の—・る品物」「つきあいが—・る」
14はりあう。対抗する。「大型店の向こうを—・って安売りする」
15空間に突き出す。「ひじを—・る」「あごが—・る」
16開く。設ける。「歓迎の宴を—・る」
17（「貼る」とも書く）のりなどでくっつける。「びらを—・る」
18（「貼る」とも書く）板などを平らに並べて打ちつける。「羽目を—・る」
19自分の気持ちや考えなどを押し通す。「強情を—・る」「自説を言い—・る」
20外見を飾る。「見えを—・る」
21構える。整える。「陣を—・る」
22見張りを置く。見張る。「国道を—・る」
23平手で打つ。はたく。「ほおを—・る」
24賭(か)け事などに金銭をかける。「相場を—・る」
25女を手に入れようとつけねらう。「男二人で—・る」
26遊女が店先に並んで客をひく。
27はりぬきに作る。
[可能]はれる
[下接句]網を張る・意地を張る・煙幕を張る・男の目には糸を引け、女の目には鈴を張れ・我を張る・肩が張る・肩を張る・肩肘(かたひじ)張る・体を張る・気を張る・虚勢を張る・切った張った・玄関を張る・腰に梓(あずさ)の弓を張る・世間を張る・綱を張る・逃げを張る・値が張る・根を張る・腹が張る・見えを張る・店を張る・向こうを張る・門戸を張る・門前雀羅(じゃくら)を張る・山を張る・欲の皮が張る・横綱を張る・レッテルを貼(は)る</t>
        </is>
      </c>
      <c r="D6938" t="inlineStr">
        <is>
          <t>貼る面積が減り；貼る直接防御</t>
        </is>
      </c>
      <c r="E6938" t="inlineStr">
        <is>
          <t>緊張；付ける；張る；着ける；接着</t>
        </is>
      </c>
      <c r="F6938" t="inlineStr">
        <is>
          <t>重ねて貼る</t>
        </is>
      </c>
      <c r="H6938" t="n">
        <v>29</v>
      </c>
      <c r="I6938" t="inlineStr">
        <is>
          <t>旅券に貼る写真と同じものを十何枚も送るように言われたのには驚いた。；この画面では様々な地図サイト・サービスへのリンクが貼られています。；その後に作画家は貼られた文章と合うようにストーリーを絵にしていく。；焦電体板表面には光の吸収と電気的な接続のための電極が貼られている。；天井には煙抜けが付けられ、天井を貼らずに小屋組を見せる形式とした。；これも不遇の時代に屋台に貼られていた写真を見て開眼したものである。；ホーム側には貝殻を貼り付けた文字を利用した駅銘板が掲示されている。；裏板は本棚の裏側に貼る薄い板で、横からの衝撃を吸収する役割を持つ。；熱帯関連の軍帽は熱発散効果を狙って帽子の中に赤い布が貼ってあった。；この穴から楽器内部に貼られた製作者のラベルなどを見る事ができる。；父は反対すると思いきや、私のヌードポスターを自宅に貼っていました。；赤い紙に各種縁起の良い対句を書いたものをいい、家の入口などに貼る。；かつては一般路線用のノンステップバスにもレオマークが貼られていた。；かつては自転車に看板を積み、狭い路地に分け入って貼って回っていた。；崖に貼りつくように、中線を間に挟んだ相対式ホームが設置されている。；汚れのない丸太組の壁には安っぽい木版画一枚貼ってあるわけではない。；ただし、何も貼っていない1面が出てしまった場合は両チーム敗北となる。；二日ばかり前、十二銭貼った手紙を出しましたが御覧になりましたかしら。；駅舎の床は建設当時人気であった卍を逆にしたタイルで貼られている。；プロフィールが細かく設定され公表されているなら、を定義の前に貼る。；他のカラーのバスには学校名が書かれたマグネットシートが貼ってある。；門衛の方を覗くと、そこに自分の名前を書いた紙片が貼出されてあった。；またさらに自分の専門とする部門の写真を貼ったところもあった。；資料館の玄関を入ったところに、大きな航空写真が床一面に貼ってあった。；二本の黒い柱の外側の短い壁のように見えるものにも軟錦が貼られている。；劉の部屋には劉を非難するスローガンを記した紙が壁中に貼り付けられた。；裁判所での判決後に加入が任意であることを示す注意書きが貼り付けられた。；室さんはあれをノートに貼ろうと思って、ポケットに入れていたのだ。；物語内ではほぼ毎回のように奇妙な張り紙が貼られた場所が登場する。</t>
        </is>
      </c>
      <c r="J6938">
        <f>HYPERLINK("https://www.weblio.jp/content/貼る", "词义详情")</f>
        <v/>
      </c>
      <c r="K6938">
        <f>HYPERLINK("https://yourei.jp/貼る", "查看例句")</f>
        <v/>
      </c>
    </row>
    <row r="6939">
      <c r="A6939" t="inlineStr">
        <is>
          <t>張る</t>
        </is>
      </c>
      <c r="B6939" t="inlineStr">
        <is>
          <t>成功</t>
        </is>
      </c>
      <c r="C6939" t="inlineStr">
        <is>
          <t>読み方：はる
［動ラ五（四）］
１広がりのびる。「根が—・る」
２のばし広げる。「テントを—・る」
３はちきれそうにふくらむ。ふとる。「腹が—・る」「木の芽が—・る」
４大きく見せようとしてふくらせる。「胸を—・る」
５一面におおう。「池に氷が—・る」
６いっぱいにする。「浴槽に水を—・る」
７強く盛んになる。「欲が—・る」
８強く盛んにする。「声を—・る」「欲を—・る」
９糸や綱などを引き渡す。「綱を—・る」
10気持ちが引き締まる。「気が—・る」
11気を引き締める。「気を—・る」
12筋肉やからだがこわばったようになる。「肩が—・る」
13度を越す。値段などが高くなる。「金額の—・る品物」「つきあいが—・る」
14はりあう。対抗する。「大型店の向こうを—・って安売りする」
15空間に突き出す。「ひじを—・る」「あごが—・る」
16開く。設ける。「歓迎の宴を—・る」
17（「貼る」とも書く）のりなどでくっつける。「びらを—・る」
18（「貼る」とも書く）板などを平らに並べて打ちつける。「羽目を—・る」
19自分の気持ちや考えなどを押し通す。「強情を—・る」「自説を言い—・る」
20外見を飾る。「見えを—・る」
21構える。整える。「陣を—・る」
22見張りを置く。見張る。「国道を—・る」
23平手で打つ。はたく。「ほおを—・る」
24賭(か)け事などに金銭をかける。「相場を—・る」
25女を手に入れようとつけねらう。「男二人で—・る」
26遊女が店先に並んで客をひく。
27はりぬきに作る。
[可能]はれる
[下接句]網を張る・意地を張る・煙幕を張る・男の目には糸を引け、女の目には鈴を張れ・我を張る・肩が張る・肩を張る・肩肘(かたひじ)張る・体を張る・気を張る・虚勢を張る・切った張った・玄関を張る・腰に梓(あずさ)の弓を張る・世間を張る・綱を張る・逃げを張る・値が張る・根を張る・腹が張る・見えを張る・店を張る・向こうを張る・門戸を張る・門前雀羅(じゃくら)を張る・山を張る・欲の皮が張る・横綱を張る・レッテルを貼(は)る</t>
        </is>
      </c>
      <c r="D6939" t="inlineStr">
        <is>
          <t>張るべき；張る平行四辺形</t>
        </is>
      </c>
      <c r="E6939" t="inlineStr">
        <is>
          <t>展開；かける；緊張；広がる；付ける</t>
        </is>
      </c>
      <c r="F6939" t="inlineStr">
        <is>
          <t>いい張る；ひ張る；ピンと張る；深く張る；ぴんと張る</t>
        </is>
      </c>
      <c r="H6939" t="n">
        <v>29</v>
      </c>
      <c r="I6939" t="inlineStr">
        <is>
          <t>今日も我慢できずに街の高級店でかなり値の張る帽子を買ってしまった。；ぼくは五重の防衛スクリーンを三層あるいは四層に張ろうと考えたんだ。；張本自身は相手の帽子を張っただけで手は出していないと話している。；頭上から攻撃されてもバリヤーを張って防御できるように強化されている。；プロジェクトの販売物のリリース情報を体を張って紹介するコーナーだった。；毛が生えたままの動物の生皮を張っていることが最大の特徴である。；映画などでは古く主演を張ることを 、主演者のことを と表現した。；一方の口は硝子張り、反対の口は板で張られ、中央に小さい穴があった。；彼は馬に乗って外へ出るときも、蓋を張らずに、扇で日を遮ったと云う。；各マークはロープからはがして張る位置を調整できるようになっている。；馬や豚や蛇の皮を張ったさまざまな楽器や、口琴などと共に演奏される。；この帯へじゃれ付いて、いきなり頭を張られたのはこないだの事である。；また、一部の種では互いに網を接して多数集まって網を張るのが観察される。；その網は立体的に張られた糸の集団で、普通は面になった部分を持たない。；出演者たちが体を張って撮影してきた映像からクイズを出題していた番組。；組織に関連する長い伏線が張られていて、例を挙げると以下の通りである。；この穴に杭を立てて糸を張って直交する基準線を出したと考えられている。；なんとか絞り出したコメントは「胸を張って帰ってきて欲しい」だった。；ではレポーターとしバラエティー番組で体を張るシーンも多くみられた。；遺体は水を張られた浴槽の中にAの遺体の上にBの遺体が重ねられていた。；また、日本ハム監督時代の土橋正幸もメインを張ったエピソードがある。；この当時、身を張って中国人を助けるような白人はほとんどいなかった。；川の中には鮭を取る網が張られており、岸辺には吉田茂八の家が見える。；スパイ網がかくの如く張られてゐるとは想像もつかないくらゐである。；要所で声を張ってコント的な動きを見せる司会は劇場型とも言われる。；新しい根は、地面に根を張ってから収縮することで土の中におさまる。；どうも屋根裏がまる見えなのは体裁が悪いから天井を張らねばなるまい。；この場合、網は中断され、中央の網の両側に丸網を半分ずつ張った形になる。；根を張る必要がありますしその上、土は平らにならしてから植えられた。</t>
        </is>
      </c>
      <c r="J6939">
        <f>HYPERLINK("https://www.weblio.jp/content/張る", "词义详情")</f>
        <v/>
      </c>
      <c r="K6939">
        <f>HYPERLINK("https://yourei.jp/張る", "查看例句")</f>
        <v/>
      </c>
    </row>
    <row r="6940">
      <c r="A6940" t="inlineStr">
        <is>
          <t>はるか</t>
        </is>
      </c>
      <c r="B6940" t="inlineStr">
        <is>
          <t>成功</t>
        </is>
      </c>
      <c r="C6940" t="inlineStr">
        <is>
          <t>読み方：はるか
《Highly Advanced Laboratory for Communications and Astronomy》平成9年（1997）2月に打ち上げられた電波天文衛星MUSES-B(ミューゼスビー)の愛称。最大径10メートル（有効径8メートル）の大型展開アンテナを搭載し、地上の電波望遠鏡との連携による世界初のスペースVLBI（VSOP計画）を実施。クエーサーやM87銀河のジェットを高い解像度で観測した。</t>
        </is>
      </c>
      <c r="D6940" t="inlineStr">
        <is>
          <t>はるか遠く(2%)；はるか下；はるか彼方；はるか昔；はるかに高い</t>
        </is>
      </c>
      <c r="E6940" t="inlineStr">
        <is>
          <t>遠い；遥か；遥；程遠い；遼遠</t>
        </is>
      </c>
      <c r="F6940" t="inlineStr">
        <is>
          <t>はるか後方；はるかに大きく；はるかに少ない；はるか上空；はるか遠い</t>
        </is>
      </c>
      <c r="G6940" t="inlineStr">
        <is>
          <t>はるかぜ；はるかぜ型；はるかぜ型護衛艦；はるか夢球場；はるかぜとともに</t>
        </is>
      </c>
      <c r="H6940" t="n">
        <v>29</v>
      </c>
      <c r="I6940" t="inlineStr">
        <is>
          <t>得られるものに比べ失わなければならない事のほうがはるかに大きいから。；それは従来の設計よりはるかに軽量で、イギリスで非常に人気となった。；これは環境の影響や考え得る測定誤差をはるかに超える値であるとされた。；この群れが移動するため、被害面積はこれよりもはるかに大きくなる。；再開したときには、以前に比べてはるかに商業化された形態に変わっていた。；降海型は残留型よりもはるかに体が大きく、雄は産卵の際に有利である。；間奏部分で踊るダンスは前作よりもはるかに進化し、激しい動きも多い。；葉や茎などは、維管束植物のそれに似てはいるが、はるかに簡単である。；彼の研究成果を入手することがはるかに容易になるからである。；しかしながら、素数間の間隔には平均よりもはるかに大きいものもある。；ハプスブルク家は世襲領をはるかに離れた地域にも領地を獲得し始める。；その大きさは同じ温度ならばイオンの方が電子よりはるかに大きい。；情報の有効利用という観点では、ベイズ統計分析がはるかに優れている。；ヴィクトリアにはイギリスよりドイツの血の方がはるかに濃く流れている。；宇宙との交流が盛んであり、テクノロジーは地上よりもはるかに高い。；しかし、これらは李鴻章の予想をはるかに超えた厳しい条件であった。；これは、はるかに高いパッケージングを達成するためである可能性が高い。；そのほか本線のはるか奥には、工事用車両が小さく見えています。；彼よりもはるか以前、アッシリア帝国が同じことを試みたことがある。；元老院派の軍は数では圧倒的であったが、経験でははるかに及ばなかった。；建設しても需要が予想をはるかに下回ったとき非常に大きな負担となる場合もある。；そうなると、はるか先にいる敵兵の動きも手に取るように分かります。；一般的に、アメリカよりも日本の方がはるかに刑罰が重かったからである。；新たな手法は必要な作業がはるかに少ないだけでなく、より正確な結果が生成された。；コモン・ロー制度を持たない国では、陪審裁判の重要性ははるかに低い。；彼女は、賃金についての論争を、何よりもはるかに重要であると考えた。；この場合、一部「はるか」にグリーン車2両の列車が発生する事になる。；現代と比べて娯楽が少ない当時、旅の持つ意味ははるかに大きかった。；この歌を歌うために森番の役割は原作に比べ、はるかに重要なものとなっている。</t>
        </is>
      </c>
      <c r="J6940">
        <f>HYPERLINK("https://www.weblio.jp/content/はるか", "词义详情")</f>
        <v/>
      </c>
      <c r="K6940">
        <f>HYPERLINK("https://yourei.jp/はるか", "查看例句")</f>
        <v/>
      </c>
    </row>
    <row r="6941">
      <c r="A6941" t="inlineStr">
        <is>
          <t>春休み</t>
        </is>
      </c>
      <c r="B6941" t="inlineStr">
        <is>
          <t>成功</t>
        </is>
      </c>
      <c r="C6941" t="inlineStr">
        <is>
          <t>読み方：はるやすみ
学校の春季の休暇。旧学年が終わって新学年が始まるまでの休暇をいう。《季春》「—はじめてかけし眼鏡かな／万太郎」</t>
        </is>
      </c>
      <c r="D6941" t="inlineStr">
        <is>
          <t>春休み中(4%)；春休み期間中；春休み以来；春休み興行；春休み合体スペシャル</t>
        </is>
      </c>
      <c r="H6941" t="n">
        <v>29</v>
      </c>
      <c r="I6941" t="inlineStr">
        <is>
          <t>いくら春休みといっても、そうそう毎日寝坊しているわけにはいかない。；迎えている春休みに短いと文句を愚痴らなかったのは今年が初めてだ。；春休みが間近になる頃には、ほぼ毎日藻奈美が学校へ行くようになった。；僕が春休みに忍を助けたエピソードが、ここでどうして出てくるのだろう?；彼女が春休みに衝撃的な出会いをした、非日常の存在は同級生だった。；小学3年生直前の春休みで大坂野球少年団の練習に参加し野球を始めた。；もっとも僕は春休み以来、あの幼女が笑うところを見たことがないけれど。；春休みの間に関係を持った時に、彼の子供を身籠ってしまったのだ。；春休みが終わってしまったことで、僕は人生のおしまいのように感じていた。；後何日かで春休みが終り、いよいよ中学も三年生になるという時だった。；うちのクラスの子が今度の春休みにスキーツアーを計画したのよ。；あれは俺が高校に入る前、残りわずかな中学最後の春休みを過ごしていた時だった。；具体的にこの町で言えば、春休みには俺は手を出せなかっただろう。；これが春休みに入ってからの私の一日の主な行動になる。；初めて友だちと東京に来たのは、春休みに入ってすぐのことだった。；春休みに一日だけでいいから、と誘われて訪れた昼下がりの代々木公園。；春休みを利用して、ここに越してきた時、目の前の桜は満開だった。；春休みの間に、魔道士の修行をしていたなんて自分でも信じられない。；夏ばかりではなく、冬休みや春休みにもさっさと逃げて来るようになった。；ちょうど春休みで子供を連れて道浦の家を基地にして東京見物に来たのである。；それは春休み初日に捨てたはずの、二冊のエロ本が入った袋だったのである。；運と会ったのは全竜交渉部隊に編成されたときで、切と初めて会ったのは春休みだ。；春休み、お兄ちゃんに時間があれば、いっしょに遊びに行かないかって。；今は小学校も春休みで、ここを訪れる頻度が上がっているから余計に。；ところがこの春やすみの中に於いて際立つてかれを驚かしたことがあつた。；次の年の春休みに、父が国民服に袈裟をかけた姿で、叔父の家を訪ねてきた。；だがあれはまだ春休みの話で、俺は二日ほどで回復して始業式には普通に出て行った。；双子の姉妹アリソンとメラニーは春休みにパリに旅行に行くことになった。；二年前、小学校を卒業した春休み、今のように片付けをしていて気づいた。</t>
        </is>
      </c>
      <c r="J6941">
        <f>HYPERLINK("https://www.weblio.jp/content/春休み", "词义详情")</f>
        <v/>
      </c>
      <c r="K6941">
        <f>HYPERLINK("https://yourei.jp/春休み", "查看例句")</f>
        <v/>
      </c>
    </row>
    <row r="6942">
      <c r="A6942" t="inlineStr">
        <is>
          <t>晴れ</t>
        </is>
      </c>
      <c r="B6942" t="inlineStr">
        <is>
          <t>成功</t>
        </is>
      </c>
      <c r="C6942" t="inlineStr">
        <is>
          <t>読み方：はれ
１空の晴れること。天気がよいこと。気象庁では、雲量が2〜8、視程が1キロ以上の状態の天気をいう。「雨のち—」
２表立って晴れやかなこと。おおやけのこと。また、そのような場所。「—の席に臨む」「—の舞台」⇔褻(け)。
３疑いが消えること。「—の身となる」
４晴れ着。また、それを着た姿。
「たった三度しきゃあお—をしねえときて居るから」〈滑・浮世床・初〉
[下接語] （ばれ）秋晴れ・五月(さつき)晴れ・入梅(ついり)晴れ・梅雨(つゆ)晴れ・日本晴れ・晴れ晴れ・冬晴れ・夕晴れ・雪晴れ</t>
        </is>
      </c>
      <c r="D6942" t="inlineStr">
        <is>
          <t>晴れていれ；晴れていく；晴れたる；晴れてる；晴れ渡つた</t>
        </is>
      </c>
      <c r="E6942" t="inlineStr">
        <is>
          <t>天気；晴天；快晴；好天；上天気</t>
        </is>
      </c>
      <c r="F6942" t="inlineStr">
        <is>
          <t>からりと晴れ；美しく晴れ；天下晴れ；青く晴れ；冬晴れ</t>
        </is>
      </c>
      <c r="G6942" t="inlineStr">
        <is>
          <t>晴れやか；晴れる；晴れ晴れ；晴れ着；晴れ間</t>
        </is>
      </c>
      <c r="H6942" t="n">
        <v>29</v>
      </c>
      <c r="I6942" t="inlineStr">
        <is>
          <t>法王の云ふ事さへ聞かなかつたクラリモンドの晴れの恋人になるのだわ。；この技術の主な限界は、晴れていないとき観測ができないことである。；その間にどこまでも意地の悪い霧はいつかほのぼのと晴れかかりました。；ある晴れた朝、山野を走る列車に新しい希望に満ちた2人の姿があった。；灰色の霧がダウンズ地区に立ちこめていたが、太陽の影響で晴れ始めた。；すつきりと晴れた空から、寒い風が吹くともなく吹いて來る日であつた。；一般向けの天気情報では一般的に晴れは「太陽」のマークで示している。；王の容疑は晴れ、離婚して今はパリにいる元王妃と再会する決意をする。；妻とカルメンが二階から降りて来たとき、気分はすっかり晴れていた。；同じ場所でも、雲の上にゐるか下にゐるかで、晴れにもなれば雨にもなる。；月がない晴れた夜には肉眼でもぼんやりとかすんで見ることができる。；九州各地が雪に見舞われた時でも宮崎市のみは晴れていることが多い。；夏の初めの晴れた朝は、まことに気分のさわやかなものでございます。；秋から冬を挟み春までのよく晴れた風の弱い夜間に気温が下がりやすい。；現在の校舎からもわずかではあるが、晴れた日には富士を望むことが出来る。；悲しいまでに晴れた空の下、甍を並べた町並みの中で人々は暮していた。；また、晴れた日には湿気を取るための虫干しも行っていたと伝わっている。；特に晴れた風のない夜にはエーダータール上流域の気温は大きく低下する。；金花は暗れ晴れと顔を輝かせて、その後一度も煩いがないことを告げた。；彼女の顔は晴れても曇っても品位を失わない顔立だ、調って正確な顔だ。；はたしてほどなく雲が去り、そして降っていた雨は晴れてしまいました。；晴れた日には様々な小島が見えることもあり、人気の観光地となっている。；母はあなたは本当に私たちの子だと言うが明子の疑いは晴れない。；この伝説によれば、晴れた夜には月の中に兎が乗っているのが今も見えるという。；金環帯がオーストラリア国内で通過した地域はほとんど晴れだった。；晴れた日には40 - 50キロメートル離れたところからでも見える。；が、そうもならない、この霧は昼過ぎにでもならねば晴れまいという。；朝は晴れていることが多いため、遠方にキューバを眺めることができる。；天が晴れてから見ると、そこには大小数十匹の蛇が重なり合って死んでいた。</t>
        </is>
      </c>
      <c r="J6942">
        <f>HYPERLINK("https://www.weblio.jp/content/晴れ", "词义详情")</f>
        <v/>
      </c>
      <c r="K6942">
        <f>HYPERLINK("https://yourei.jp/晴れ", "查看例句")</f>
        <v/>
      </c>
    </row>
    <row r="6943">
      <c r="A6943" t="inlineStr">
        <is>
          <t>腫れ上がる</t>
        </is>
      </c>
      <c r="B6943" t="inlineStr">
        <is>
          <t>成功</t>
        </is>
      </c>
      <c r="C6943" t="inlineStr">
        <is>
          <t>読み方：はれあがる
［動ラ五（四）］腫れてふくれ上がる。「傷が化膿して—・る」</t>
        </is>
      </c>
      <c r="D6943" t="inlineStr">
        <is>
          <t>負ける；盛り上がる；赤くなる；膨らむ；膨れる</t>
        </is>
      </c>
      <c r="H6943" t="n">
        <v>29</v>
      </c>
      <c r="I6943" t="inlineStr">
        <is>
          <t>笑うように開いた唇から、黒く腫れ上がった舌が逃れ出ようとしている。；くるりと帯のように、黒ずんで腫れ上がって、皮の下には血が出ている。；驚いたことに、蛇にやられたところは痛みもしなければ腫れ上がってもいない。；いずれの遺体も顔が腫れ上がるなど損傷が激しい状態であった。；他の3人の腕はしかるべく腫れ上がり全身はいつものように影響された。；喉が腫れ上がった感じで、唾を飲みこもうとしたが飲みこめなかった。；腫れ上がった左頬は、寒さのせいかあまり痛みは感じなかった。；見れば彼女の指先は熱湯でもかけられたかの様に真っ赤に腫れ上がっていた。；でも、次の日には私の顔は腫れ上がって、水疱に覆われてしまった。；顔の凸凹に腫れ上がっているのも、その時の棒傷であったらしい。；夕方部屋に戻る頃には、昼間指摘された真理子の肌はますます赤く腫れ上がった。；右手は腫れ上がっており、重いものを持つことはできなかった。；必要やったら見てもろたらええですけど、息子の手も、腫れ上がってますわ。；触れてみると、足首が腫れ上がって熱を持っているのがわかった。；手の甲の皮膚が、昨日より早くから痛みだし、すぐに赤く腫れ上がった。；ぶん殴ってやりたいぐらいだが、真野の頬はすでに腫れ上がっている。；そうしてその紫に腫れ上がった顔へ、かぎりなく悲しそうな眼を落とした。；無理に歩いたのが悪かったのか、次の日には丸太のように腫れ上がってしまった。；あの腫れ上がった脣の上にも微笑らしいものさえ浮かべながら。；そして、利き腕の右腕を捻挫し、腫れ上がるほどの怪我をしてしまった。；鏡を見たら、左の頬が試合後のボクサーみたいに腫れ上がっていた。；首筋の三本の線は、かなり深そうで、紫色に腫れ上がっていて痛々しい。；加えてDJ本気の左目は半分しか開かないほど腫れ上がっていた。；右目が青く腫れ上がっており、左手は骨折して白い包帯で吊られていた。；眼も鼻もいっしょになった程、顔は腫れ上がっていた。；農場主が見舞いにきた時は、高い熱が出て、顔と喉がひどく腫れ上がっていた。；少し腫れ上がっているように見えて、心配になってしまう。；左頬に殴られたような青あざができ、右目の眉の上が大きく腫れ上がっている。；着ていたものは裂け、頬は充血して腫れ上がり、唇が切れて血が垂れている。</t>
        </is>
      </c>
      <c r="J6943">
        <f>HYPERLINK("https://www.weblio.jp/content/腫れ上がる", "词义详情")</f>
        <v/>
      </c>
      <c r="K6943">
        <f>HYPERLINK("https://yourei.jp/腫れ上がる", "查看例句")</f>
        <v/>
      </c>
    </row>
    <row r="6944">
      <c r="A6944" t="inlineStr">
        <is>
          <t>破裂</t>
        </is>
      </c>
      <c r="B6944" t="inlineStr">
        <is>
          <t>成功</t>
        </is>
      </c>
      <c r="C6944" t="inlineStr">
        <is>
          <t>読み方：はれつ
［名］(スル)
１内部からの圧力などによって、勢いよく割れさけること。「水道管が—する」
２意見がまとまらず、交渉などが物別れになること。決裂。「談判が—する」</t>
        </is>
      </c>
      <c r="D6944" t="inlineStr">
        <is>
          <t>破裂する(17%)；破裂しそう(7%)；破裂音(3%)；破裂させる(3%)；破裂弾</t>
        </is>
      </c>
      <c r="E6944" t="inlineStr">
        <is>
          <t>中断；断絶；破棄；爆破；炸裂</t>
        </is>
      </c>
      <c r="F6944" t="inlineStr">
        <is>
          <t>食道静脈瘤破裂；小さな破裂；大破裂；脾臓破裂；胃破裂</t>
        </is>
      </c>
      <c r="H6944" t="n">
        <v>29</v>
      </c>
      <c r="I6944" t="inlineStr">
        <is>
          <t>一見するとただの紙だが、強い衝撃を与えると癇癪玉のように破裂する。；というのは、足音が聞こえたとしたら、私の心臓は破裂しただろうから。；耐えているのが精一杯で、何かを言えば、それだけで破裂しそうだった。；彼女が、常々心配していた大破裂がとうとう目前に迫って来たのだった。；それは、悲しみのあまり心臓がはれつしないようにするためだったのです。；タンクの容量には限界があり、それを超えた場合破裂する可能性がある。；まさに破裂しようとする巨大な風船に似たその姿は、凄まじい物だった。；限界値を超えるガスを注入されると膨張・破裂し、爆発する恐れがある。；下唇と上歯で閉鎖を作り、一気に開放することによって起こる破裂の音。；頂から地盤の底まで唯一刀の下に截斷し去つたやうなのが破裂面である。；しかしそれでよく生きていられるね、胃袋が破裂せんで生命を保てるね。；戦争中に一度か二度、頭のすぐそばで砲弾が破裂した時のような感覚だった。；全体の傾向としてはISUIAの結果に似ているが、破裂率はやや高い。；何しろ何十万ともわからない魚群の中心で破裂するんだからタマラない。；その研究では、動脈破裂や剥離の発生率が減少することが示されていた。；そうして血管の破裂するほど大きな声を出して、ただわあっと叫びます。；鍋の物のいりつくような音を立てて飛んで来る砲弾が眼の前に破裂する。；破裂して、かれがあれほど憧れていた未来生命へ転位していったのである。；それで、冷凍されたとき、氷の結晶ができて、心臓を破裂させたわけだ。；あと数センチ破裂箇所がずれていたら、命が危うかった可能性もあった。；そして、それがかれの意識の小さな明るいところにつぎからつぎへと破裂する。；すると大臣の身体はみるみるふくらみはじめ、破裂して死んでしまった。；人間でいうならば心臓麻痺や、血管が破裂してもおかしくはない状況だ。；結晶した精神が一度に破裂して上下四囲の空気を震盪さしてワーと鳴る。；破裂したる一つの反乱は、民衆の前に試験を受くる一つの観念である。；西からの飛脚が持って来たうわさはその談判の破裂した結果であった。；が哀れなカルリーニのほうは娘の顔を見ると、心臓が破裂する思いでした。；俺達夫婦が生きている間は日英の外交が破裂する心配はないと思え。；貯槽が破裂したとき、糖蜜は街を広がっていくほどに温度が低下した。</t>
        </is>
      </c>
      <c r="J6944">
        <f>HYPERLINK("https://www.weblio.jp/content/破裂", "词义详情")</f>
        <v/>
      </c>
      <c r="K6944">
        <f>HYPERLINK("https://yourei.jp/破裂", "查看例句")</f>
        <v/>
      </c>
    </row>
    <row r="6945">
      <c r="A6945" t="inlineStr">
        <is>
          <t>晴れ晴れしい</t>
        </is>
      </c>
      <c r="B6945" t="inlineStr">
        <is>
          <t>成功</t>
        </is>
      </c>
      <c r="C6945" t="inlineStr">
        <is>
          <t>読み方：はればれしい
［形］［文］はればれ・し［シク］
１晴れ渡っているさま。すっきりと明るいさま。
「—・い空気を篏硝子(はめガラス)の外に眺めた」〈漱石・明暗〉
２心にわずらいなどがなく晴れやかなさま。「—・い笑顔」
３表立っているさま。改まったさま。
「堀川院をば、さるべき事の折、—・しき料(れう)にせさせ給ひ」〈大鏡・基経〉
[派生]はればれしげ［形動］はればれしさ［名］</t>
        </is>
      </c>
      <c r="D6945" t="inlineStr">
        <is>
          <t>晴れ晴れしいもの(17%)</t>
        </is>
      </c>
      <c r="E6945" t="inlineStr">
        <is>
          <t>立派；明るい；見事；陽気；豪華</t>
        </is>
      </c>
      <c r="H6945" t="n">
        <v>29</v>
      </c>
      <c r="I6945" t="inlineStr">
        <is>
          <t>葉子はこんな眼もくらむような晴れ晴れしいものを見たことがなかった。；葉子はこんな目もくらむような晴れ晴れしいものを見た事がなかった。；毀ったあとへ新たにできた寝殿は晴れ晴れしいものになっているのであった。；その顔がやっと晴れ晴れしく副官の眼にも見えたのは、当然であったのかもしれない。；いま見せる笑顔が晴れ晴れしいものだけに、その心配の深さが察せられる。；私のドルチェは大学の初講義で晴れ晴れしくデビューを果たした。；ワーリヤまでが、嬉しさのあまり、すっかり晴れ晴れしい様子を見せていた。；だが世界史の大秘密とあってはいかに雄々しく晴れ晴れしい大捜索!；暑さのせいだとあなたは言っていたからやっと涼しくなって、もういいころだと思っているのに、晴れ晴れしくないのはいけないことですね。；お雪は、晴れ晴れしい神主のことから、かえって暗い気持を、自分の胸に感得しました。；一体が、目に立つように晴れ晴れしいことや、華やかなことが、質素な新吉の性に適わなかった。；さっきまでのむずかった表情からは想像もつかないくらいに晴れ晴れしい顔で、ソレを俺と朱志香に突き出した。；もっとも平常からあまり晴れ晴れしい眼ではない。；それで、こんなに気をくばらなければならないので、ふたりは、晴れ晴れしくない顔をしているのだろうと元は思って、それほど深く気にとめず、目くるめくばかりの広間をながめていた。；二時近くに、『ほんの一分間』の見舞いにはいって来たエパンチン家の人たちを見たとき、彼の顔は晴れ晴れしくなった。；アメリカのために戦った精二や武は、晴れ晴れしく栄誉を認められて報いられましたが、孝一たちはどうなるんでございましょう。；昨日の偉業がなければ、きっと今日、こんなにも晴れ晴れしい気持ちで登校が出来ているはずがない。；もう何事も宿命によるのだとあきらめておしまいになって、晴れ晴れしくなってくださいよ。；街は人込みであふれていて、みんな晴れ晴れしい顔つきだった。；ずっと御気分は晴れ晴れしくないのですが、思いがけぬ御消息のございましたことでまたお心も乱れるのでしょう。；トンネルを出て、電車の速力がやや緩くなったころから、かれはしきりに首を停車場の待合所の方に注いでいたが、ふと見馴れたリボンの色を見得たとみえて、その顔は晴れ晴れしく輝いて胸は躍った。；パラーフナは、悲しみに浸ることもできず、またさして晴れ晴れしい気持ちにもなれず、その夜を過ごした。；それに彼女は、弟の晴れ晴れしい元気を、清い空気を、ことに休息を、深く楽しんでいた。；漂白して、真っ白に仕上がると、気分も晴れ晴れしくなると言う意味にも受け取れて、名称に用いられた。；そうした気持ちから、今までは憂鬱から自己を解放することのできなかった人であるが、近ごろは少し晴れ晴れしくなって、尼君と遊び事をしたり、碁を打ったりして暮らすこともある。；ボブは晴れ晴れしい顔附きでそれを注いでしまった。；が、夏の終りに病後の一月餘りを過した時の事を思ひ浮べて、此處の晴れ晴れしい秋空を想像してはいけない。；しかしアメリカの映画のような晴れ晴れしい明るさとは違って、うっかりしていれば見過してしまうほど、何百年もの伝統の埃の中に埋まって佗びしくふるえている光だけれども。；レーベジェフの顔つきは晴れ晴れしくなってきた。</t>
        </is>
      </c>
      <c r="J6945">
        <f>HYPERLINK("https://www.weblio.jp/content/晴れ晴れしい", "词义详情")</f>
        <v/>
      </c>
      <c r="K6945">
        <f>HYPERLINK("https://yourei.jp/晴れ晴れしい", "查看例句")</f>
        <v/>
      </c>
    </row>
    <row r="6946">
      <c r="A6946" t="inlineStr">
        <is>
          <t>晴れる</t>
        </is>
      </c>
      <c r="B6946" t="inlineStr">
        <is>
          <t>成功</t>
        </is>
      </c>
      <c r="C6946" t="inlineStr">
        <is>
          <t>読み方：はれる
［動ラ下一］［文］は・る［ラ下二］
１
㋐雲や霧などが消えてなくなる。「青く—・れた秋空」「靄(もや)が—・れる」
㋑雨や雪が降りやむ。「午後には雨が—・れる」
２心のわだかまり・悩みなどがなくなってさっぱりする。「すかっと気分が—・れる」「心が—・れない」
３罪や疑いなどが消える。「容疑が—・れる」
４展望が開ける。見晴らしがきく。
「前一町ばかりのほどは明らかに—・れて」〈宇津保・俊蔭〉</t>
        </is>
      </c>
      <c r="D6946" t="inlineStr">
        <is>
          <t>晴れるだろ(4%)；晴れるかもしれ；晴れるでしょ；晴れるかも知れ；晴れるらしい</t>
        </is>
      </c>
      <c r="F6946" t="inlineStr">
        <is>
          <t>からりと晴れる；いっこうに晴れる</t>
        </is>
      </c>
      <c r="H6946" t="n">
        <v>29</v>
      </c>
      <c r="I6946" t="inlineStr">
        <is>
          <t>霧が晴れると、くらいど丸が煙と蒸気に包まれて沈んでいくのが見えた。；霧深いベイカー街から出てきたばかりの私には心の晴れる思いだった。；そのお心を思うにつけても宮はお胸の思いの晴れる間なく、辛く思われた。；いったいこの雨があしたのうちに晴れるだなんてことがあるだろうか。；彼の顔は一瞬曇ったかと思うとまたすぐ晴れる、秋の空のようだった。；レース中雨であるにもかかわらず、途中で急に晴れるのはこのためである。；いまにも霧は晴れるかもしれず、ボートはまだ横づけになったままだった。；どんなに語っても中納言は心の晴れることを覚えないままで深更になった。；それをむずがる様子の微笑ましさに、心を占めていた暗いものが晴れる。；これで心が晴れるわけもないが、その最中は何もかも忘れていられた。；それにたとえ東京へ戻ったからといって、気が晴れるあてがあるわけでもない。；完全に霧の晴れる日はなく、まわりを囲む山が影のように見えるだけである。；このままじっとしていてもいつこの霧が晴れるかわからない。；でも、それが晴れる時には、あるていど安定するようになっていた。；まあいいさ、しばらくでもそれで彼女の気分が晴れるならしかたあるまい。；あいつといれば気が晴れることは、それは間違いが無いのだから。；確かに、神にも人にも一切をわびたなら、どんなに心が晴れることだろう。；けれども僕の気分も妻の顔色も晴れるまでにいたらなかった。；自分にそれだけの価値があったと思えば、少しは気が晴れるんじゃねえかと思ってさ。；霧ならいつかは晴れるが、海は絶対にそういうわけにはいかない。；今度こそ、無実が晴れると信じていますが、不安な気持ちも一杯です。；毎日ふり続いた雨が今日はからりと晴れると、春の光りが一度に輝いて来た。；現在、立ち込めている霧が、いつ晴れるのか、まったく予想がつかない。；そうしてそのつど道の開ける思いを、雲霧の晴れる思いを経験しました。；時は流れ、何ひとつ気持ちが晴れることのないままに、梅雨に入った。；それが説明できない限り、僕にかけられた嫌疑が晴れることはない。；最初は気が晴れる思いだったが、だんだん居心地が悪くなってきた。；むちで打たれるんだな、と思って、かえって気が晴れるところだった。；晴れるにちがいないというよりほかのことは考えなかった。</t>
        </is>
      </c>
      <c r="J6946">
        <f>HYPERLINK("https://www.weblio.jp/content/晴れる", "词义详情")</f>
        <v/>
      </c>
      <c r="K6946">
        <f>HYPERLINK("https://yourei.jp/晴れる", "查看例句")</f>
        <v/>
      </c>
    </row>
    <row r="6947">
      <c r="A6947" t="inlineStr">
        <is>
          <t>腫れる</t>
        </is>
      </c>
      <c r="B6947" t="inlineStr">
        <is>
          <t>成功</t>
        </is>
      </c>
      <c r="C6947" t="inlineStr">
        <is>
          <t>読み方：はれる
［動ラ下一］［文］は・る［ラ下二］炎症などで、皮膚や粘膜がふくれる。「扁桃腺(へんとうせん)が—・れる」</t>
        </is>
      </c>
      <c r="D6947" t="inlineStr">
        <is>
          <t>炎症</t>
        </is>
      </c>
      <c r="H6947" t="n">
        <v>29</v>
      </c>
      <c r="I6947" t="inlineStr">
        <is>
          <t>肌の薄いところではヒリヒリとした痛みも見られ、腫れる場合がある。；こんな怪我してるのに放っておいたら腫れるに決まってるじゃないですかっ。；受傷部が数日から4週間程度の潜伏期間後に虫刺されの様に赤く腫れる。；泣いて瞼が腫れると大変だと思う母親は、きびしく彼女を叱りました。；足は腫れるし、鼻緒擦れのできた指の間からは血が出ています。；淋巴腺腫れるほど、ひどくなっては困るが、適当に培養しておくのだという。；しかし料理せられた肉が熱かったときには、それを食べると腹の中が腫れる。；キスのせいで唇が腫れることがあることを、はじめて知った。；どれくらい腫れるかというと腕時計のベルトがきつくなるくらいだ。；試合後のボクサーには顔が腫れる理由がありますが、私の場合はまったく身に覚えのない異常が己の身に降りかかっていたのですから。；頬の垂れることを腫れるといったところに太祇的の修辞法があるのであります。；下級生は全員顔が腫れるまでビンタされ、みんな最後は泣いた。；発疹・リンパ節が腫れる・腹痛・嘔吐・結膜炎などの症状が出ることもある。；私語は禁止されているから、見つかると頬が腫れるほど殴られる。；主な症状は発熱、喉が腫れる咽頭炎、目が充血する結膜炎などである。；一般的に赤み部分は腫れるが境目ははっきりと見えない。；もとの皮膚が見えないくらい腫れる。；クラミジアは他には大した症状はないらしいが卵管が腫れる。；乳癌の手術時に腋窩リンパ節を郭清すると上腕が腫れることがあるのはその例である。；一発、手を刺されると、腕全体がラグビーボールみたいに腫れる。；口が腫れるようだが、おらあ遠慮なく先に馳走になった。；主人の孫娘が顔が腫れるほどのひどい虫歯で、頬に手を当てるとたちどころに痛みが引いた。；その粉にあてられると、皮膚が腫れるというのであった。；このクモにかまれると、その部分が腫れると共に、壊死が起こる事が知られる。；わたくしはその好もしさに身体が膨れ腫れるほど夜景の情趣を吸い取りました。；「みどりがきれいねえ」 なんて、言ってるうちにもうあなたの腕や首や頬や背中は虫に刺されてぶよぶよに赤く腫れる。；粘膜が炎症を起こし、腫れる、痛みが残る、など良いことは無い。；瞼が腫れるのは悲しくて泣いた時だけである。；手が腫れるまで何度も引っぱたいて、叱りつけてやったわ。</t>
        </is>
      </c>
      <c r="J6947">
        <f>HYPERLINK("https://www.weblio.jp/content/腫れる", "词义详情")</f>
        <v/>
      </c>
      <c r="K6947">
        <f>HYPERLINK("https://yourei.jp/腫れる", "查看例句")</f>
        <v/>
      </c>
    </row>
    <row r="6948">
      <c r="A6948" t="inlineStr">
        <is>
          <t>ばれる</t>
        </is>
      </c>
      <c r="B6948" t="inlineStr">
        <is>
          <t>成功</t>
        </is>
      </c>
      <c r="C6948" t="inlineStr">
        <is>
          <t>［動ラ下一］
１秘密や隠し事などが露見する。発覚する。「うそが—・れる」「正体が—・れる」
２釣り針にかかった魚が途中で逃げる。「水面近くで—・れる」
３相談などが、まとまらずに破れる。
「相談ガ—・レル」〈和英語林集成〉
「身請けの—・れたる女郎を賦すと見えたり」〈洒・蕩子筌枉解〉
４卑猥(ひわい)な話をする。下品なことを言う。
「わざと—・れたる詞付き」〈浄・鎌田兵衛〉</t>
        </is>
      </c>
      <c r="D6948" t="inlineStr">
        <is>
          <t>ばれるだろ；ばれるような嘘；ばれる可能性；ばれる気づかい</t>
        </is>
      </c>
      <c r="E6948" t="inlineStr">
        <is>
          <t>知られる；伝わる；伝えられる；見つかる；聞かれる</t>
        </is>
      </c>
      <c r="F6948" t="inlineStr">
        <is>
          <t>称ばれる；すぐにばれる；招ばれる；ばれるかもしれ；すぐばれる</t>
        </is>
      </c>
      <c r="H6948" t="n">
        <v>29</v>
      </c>
      <c r="I6948" t="inlineStr">
        <is>
          <t>本を持ち去ると部屋に入ったことがばれるかもしれないと思ったからだ。；自分が殺してしまったことがばれるのではないかと考えていたのだ。；それにはまず、妻にばれるような可能性があることは一切しないこと。；秘密がばれるという不安のないことがぼくをすっかり安心させていた。；このアパートにいる時間が少ないほど、インチキのばれる可能性は低い。；浮気が女房にばれるのが怖い、といったふりを宇佐見はしてみせたのだ。；遊星は男性であることがばれることなく、過ごすことができるだろうか。；桐生が、調べられてすぐにばれるような嘘をつくとは思えなかったからだ。；私と鍋島くんは友達だから、そんな嘘はすぐばれるのにもかかわらず。；もっともいつどんな拍子に鎧を持っていないことがばれるかしれない。；その旅券からばれるというようなことはまずないものと安心していた。；これならどんな物を買ったとしてもクラスの皆に趣味がばれることはないから。；彼以外に喋らせなかったのは、君たちの正体がばれるのを恐れたからだね?；あなたたちの姿が見えなくても、私の動きでばれる可能性がある。；どうしても隠しておきたい彼の身分が、こんどこそばれると思ったからだった。；ばれる前に、それをもう一度相手から買い戻してしまわなければならぬ。；彼女を助けようとしたら、その行動によって、こちらの罪がばれるのだ。；盗みに入ったらすぐにばれるから、館全体の電源を切ったというわけだ。；確かに、千人目撃者がいても、本人が眠っていればばれることはない。；隠しててあとでばれると何言われるかわからないから、正直に事情を話したんだよ。；不注意に着物などに頭文字をつけておいたために秘密がばれる怖れがない。；これに慌てたラウルは、秘密がばれるのを恐れて何とか阻止しようとする。；内心いつばれるかとひやひやしていたが、見つかったのは私ではなかった。；彼は「殺されるよりも、負傷して軍医にばれることを恐れた」と主張した。；しかし、学校でのことがお母さんにばれるのを僕は恐れていたので、黙っていた。；だが、それはわしが正式の吟遊詩人でないことがばれる前のことだ。；いずれそいつがおまわりだってことは、あんたにばれるだろうからね。；ばれるはずがないと思っていても、他人の名前を騙るのは、どきどきした。；そうすれば、きみの所有者は永遠にその正体がばれる危険から解放される!</t>
        </is>
      </c>
      <c r="J6948">
        <f>HYPERLINK("https://www.weblio.jp/content/ばれる", "词义详情")</f>
        <v/>
      </c>
      <c r="K6948">
        <f>HYPERLINK("https://yourei.jp/ばれる", "查看例句")</f>
        <v/>
      </c>
    </row>
    <row r="6949">
      <c r="A6949" t="inlineStr">
        <is>
          <t>晴れ渡る</t>
        </is>
      </c>
      <c r="B6949" t="inlineStr">
        <is>
          <t>成功</t>
        </is>
      </c>
      <c r="C6949" t="inlineStr">
        <is>
          <t>読み方：はれわたる
［動ラ五（四）］
１一面に晴れる。残すところなく、すっかり晴れる。「雲一つなく—・った空」
２はなやかに飾りたてて通る。
「雑色(ざふしき)のこはき装束して—・るを」〈続古事談・二〉</t>
        </is>
      </c>
      <c r="H6949" t="n">
        <v>29</v>
      </c>
      <c r="I6949" t="inlineStr">
        <is>
          <t>異常に晴れ渡った空の深い青さの中には何かそんな脆さが感じられた。；早朝には晴れ渡っていた空は、どんよりとした鈍色の雲に覆われていた。；空は晴れ渡っており、雲一つない青空がどこまでもどこまでも続いている。；しかしおれの心は、窓の向こうに広がる青空ほどは晴れ渡っていなかった。；下界は晴れ渡っていたのに、参籠所の周辺には濃い霧が発生している。；あれだけ綺麗に晴れ渡っていた空が、いきなり夜になったように暗くなった。；空は晴れ渡っていて、薄汚れたコンクリートに給水塔の影が伸びている。；一瞬、晴れ渡る空に母の笑顔が浮かんだ気がして、慌てて顔を逸らす。；その上に、空はなんと静かに明るく晴れ渡っていることであろう。；また、あの寒い、晴れ渡ったクリスマスの日のことも書いていなかった。；湿った霧につつまれた大都会を遠く離れて、夜空はよく晴れ渡っていた。；晴れ渡る空から視線を戻すと、ガーゴイルが門の柱の上に座っていた。；しかし目の前にあるのは、雲ひとつ無く晴れ渡った満月の夜空である。；車で上ってきた山道は深い霧に包まれていたのに、今は嘘のように晴れ渡っている。；窓の外に広がっているのはどこまでも晴れ渡った抜けるような青空。；昨夜ひどく寒かつたと思つたら、今朝の空はすつきりと明るく晴れ渡つて行つた。；空が真っ青に晴れ渡った朝、わたしはお父さんのお墓にお花を供えに行った。；それは僕の見上げる晴れ渡った青空のなかに流れているようだった。；その日は、彼と初めて会った日のように、美しく晴れ渡っていた。；空は雲ひとつなく晴れ渡り、遠くでモーターボートの音がしていた。；さっきまで真っ青に晴れ渡っていた空を、無数の雲が流れていた。；つい一時間前までは、爽快なほど青く晴れ渡っていたのがウソのようだ。；さしもの雨も残りなく晴れ渡って、軒の雫に宵の明星がきらめいていた。；トンネルの中は暗いけれど、外はきっと、晴れ渡る空が続いていることでしょう。；ぼくは見渡す限り晴れ渡り、青一色のすがすがしい空を見ながら思った。；その日は朝から晴れ渡つて、春の来たことを知らせる様な麗かな日であつた。；空は青く晴れ渡り、まるで私たちの前途を祝福しているかのようであった。；風はなく、晴れ渡った夜空を背景に真上の信号が再び赤に変わった。；私は窓を開けてそろそろ晴れ渡りそうな空を眺めた。</t>
        </is>
      </c>
      <c r="J6949">
        <f>HYPERLINK("https://www.weblio.jp/content/晴れ渡る", "词义详情")</f>
        <v/>
      </c>
      <c r="K6949">
        <f>HYPERLINK("https://yourei.jp/晴れ渡る", "查看例句")</f>
        <v/>
      </c>
    </row>
    <row r="6950">
      <c r="A6950" t="inlineStr">
        <is>
          <t>番</t>
        </is>
      </c>
      <c r="B6950" t="inlineStr">
        <is>
          <t>成功</t>
        </is>
      </c>
      <c r="C6950" t="inlineStr">
        <is>
          <t>読み方：ばん
［音］バン（慣）　［訓］つがい　つがう
［学習漢字］2年
１交代に事を行うこと。「勤番・週番・順番・上番・先番・当番・非番・輪番」
２順序や回数を示す語。「番外・番号」
３番号。「番地／局番・欠番・連番」
４見張り。「番犬・番人・番兵／交番・門番・玄関番・不寝番・留守番」
５日常の。実用の。粗末な。「番茶」
［名のり］つぎ・つぐ・つら・ふさ
［難読］三番叟(さんばそう)・蝶番(ちょうつがい)</t>
        </is>
      </c>
      <c r="D6950" t="inlineStr">
        <is>
          <t>番勝負(5%)；番機(3%)；番隊；番艦；番札所</t>
        </is>
      </c>
      <c r="E6950" t="inlineStr">
        <is>
          <t>夫婦；監視；順番；見張り；ペア</t>
        </is>
      </c>
      <c r="F6950" t="inlineStr">
        <is>
          <t>三番；一番；五番；七番；四番</t>
        </is>
      </c>
      <c r="G6950" t="inlineStr">
        <is>
          <t>番号；番目；番頭；番地；番台</t>
        </is>
      </c>
      <c r="H6950" t="n">
        <v>29</v>
      </c>
      <c r="I6950" t="inlineStr">
        <is>
          <t>客は購入後に袋を開けるまで、組番は一切わからないようになっている。；なお、これらの駅での乗降は各方面とも進行方向一番前のドアから行う。；特に若手の場合は、電話番など取的と同じような業務を行うこともある。；この試合では二番・村松有人に三塁打を打たれてそのまま降板している。；そして廃墟となった霧島の四番砲塔だけが発砲していたと観察している。；各番街ごとに一定のテーマに基づき、特徴のある店舗をそろえている。；ただし、日本国内では、二番搾りだけを原料に製品化したビールはない。；航空機用弾薬庫は五番砲塔跡に設置され、全機3回分出撃分を搭載した。；数々の大一番で見せた勝負強さから、「七番勝負の鬼」の異名も取った。；さらに、NFLでは禁止されている0番を着用することも認められている。；番とは、交替して行われる勤務形態及びそのために編成された集団のこと。；すなわち、関数 の における値を と書き、列の 番目の項と考える。；その取組の後に二番しか残っていないときは一番後取り直しとなる。；棋王と挑戦者が五番勝負を戦い、先に3勝したほうが新たな棋王となる。；復帰時にはかつて着用した背番号23番ではなく45番を着用した。；これは座順およびツモ番や親番の移動が反時計回りに進行するのとは逆である。；使用できない場合は、トレイにカードを捨てて自分の番を終了する。；ただし、305番については西行き・東行き双方で番号統一を行っている。；なお、小学校は学校選択制度を導入しておらず、番毎で各学校に指定されている。；番制度によって勤務に当たることを当番と呼び、現在でも用いられている。；地球近方軌道を持つ小惑星3362番はクフの名前が与えられている。；各プレイヤーは、自分の番が来たら、次のいずれかの行動を取る。；文禄の役では二番隊主将となり鍋島直茂、相良頼房などを傘下に置いた。；師の道策と同じく、残された棋譜の中には黒番での負けはない。；家柄は、インドの四つの階級のうちの第三番めに当たるバイシアである。；瀬高駅・佐賀駅にはそれぞれ佐賀線用の0番ホームが今も残存している。；従来、号車と列のみの指定であったものが、席番まで指定されるようになった。；なお、その番に順序をつけて順繰りに行うことを輪番ということがある。；ナンバ一番ではビートルズ、ストーンズなどの曲を、英語で歌っていた。</t>
        </is>
      </c>
      <c r="J6950">
        <f>HYPERLINK("https://www.weblio.jp/content/番", "词义详情")</f>
        <v/>
      </c>
      <c r="K6950">
        <f>HYPERLINK("https://yourei.jp/番", "查看例句")</f>
        <v/>
      </c>
    </row>
    <row r="6951">
      <c r="A6951" t="inlineStr">
        <is>
          <t>晩</t>
        </is>
      </c>
      <c r="B6951" t="inlineStr">
        <is>
          <t>成功</t>
        </is>
      </c>
      <c r="C6951" t="inlineStr">
        <is>
          <t>読み方：ばん
［音］バン（漢）
［学習漢字］6年
１夕暮れ。夜。「晩餐(ばんさん)・晩鐘／今晩・昨晩・毎晩・明晩(みょうばん)」
２時刻や時節がおそい。「晩夏・晩学・晩婚・晩成・晩年／早晩」
［名のり］かげ・くれ
［難読］晩生(おくて)・晩稲(おくて)</t>
        </is>
      </c>
      <c r="D6951" t="inlineStr">
        <is>
          <t>晩中(4%)；晩じゅう(2%)；晩ごはん；晩寝；晩めし</t>
        </is>
      </c>
      <c r="E6951" t="inlineStr">
        <is>
          <t>夜；夕方；夜間；夜中；夕</t>
        </is>
      </c>
      <c r="F6951" t="inlineStr">
        <is>
          <t>ひと晩；二晩；三日三晩；或る晩；幾晩</t>
        </is>
      </c>
      <c r="G6951" t="inlineStr">
        <is>
          <t>晩餐；晩秋；晩飯；晩餐会；晩期</t>
        </is>
      </c>
      <c r="H6951" t="n">
        <v>29</v>
      </c>
      <c r="I6951" t="inlineStr">
        <is>
          <t>はじめて会ったその晩、彼らは恐ろしい悪魔のような黒い影に襲われる。；時課経には平日の日の出前から晩の一日の流れに沿って収録されている。；収録は一晩中続き、一行はエイモンの車で曲を聴きながら海岸へ向かう。；ある者は「ここへ来て以来一晩も平和に眠ったことがない」と記した。；夜にそのふくろうが家までついて来てしまい、一晩だけ面倒を見ることに。；アリックスはほとんど一晩中寝られず、朝になると痛みが強くなった。；この時期には南半球の中緯度地域では一晩中南の空に観測することができた。；その晩は夏らしい月もあつて、宿の裏二階の畳の上まで射し入つた。；妻に三日三晩泣かれ、妻の両親からも猛反対を受けるが、立候補を決意。；それはたった一晩で千の寺院を造らねばならないというものだった。；ただし週のうち2晩は天文台を市民に公開することが条件であった。；そして、その中にはあの晩見かけた少年・ロックの姿があった。；しかしレースの後、彼は倒れてしまい2晩も病院で過ごすこととなる。；正教会で晩に行われる事が多い公祈祷・奉神礼は以下のようなものがある。；何日か過ぎたある日の晩、ラスタンは奇妙な森へ迷い込んでしまった。；結局その晩は複雑な気持ちを抱いた4人が一緒に鍋を囲むことになる。；ある晩、彼女のもとへキリストに似た外国人の男がやって来た。；朝と晩に三貫目の量の銀を産出したことから大須三貫目とも呼ばれた。；唯一の命中弾は前の晩から装填されたままだった訓練弾であった。；やがて、二人はある晩関係をもったが、次の日には価値観の相違から破局。；ある日の晩、主人公はシルバーフィンガーチップスに声をかけられる。；父親の林暉は法制晩報の報道カメラマンで祖父の林鍇は中国の有名画家。；医師フリドリンがウィーンの町で夢と現実との間のような一晩の出来事を描く。；通常は、間に一晩静置をそれぞれ挟んで煮沸を三回繰り返して行われる。；孤立した彼らの耳に聞こえるのは敵が一晩中流す『皆殺しの歌』だった。；その日の晩には新屋敷まで伊能嘉矩を訪ねているが伊納は不在であった。；そしてその嵐の晩、庭の大木が2階の窓ガラスを突き破って部屋へ侵入。；体に障るからと何度注意されても朝から晩まで指し続けた。；儀式は夜間に行われ、夕方にアヤワスカが提供され、数晩かけて行われる。</t>
        </is>
      </c>
      <c r="J6951">
        <f>HYPERLINK("https://www.weblio.jp/content/晩", "词义详情")</f>
        <v/>
      </c>
      <c r="K6951">
        <f>HYPERLINK("https://yourei.jp/晩", "查看例句")</f>
        <v/>
      </c>
    </row>
    <row r="6952">
      <c r="A6952" t="inlineStr">
        <is>
          <t>パン</t>
        </is>
      </c>
      <c r="B6952" t="inlineStr">
        <is>
          <t>成功</t>
        </is>
      </c>
      <c r="C6952" t="inlineStr">
        <is>
          <t>読み方：ぱん
ギリシャ神話で、牧人と家畜の神。あご髪(ひげ)をたくわえ、山羊の角と脚を持った半獣神。山野を走り回り、好んで笛を吹いたという。ローマ神話のファウヌスにあたる。
（Pan）土星の第18衛星。1990年に発見。名はに由来。公転軌道は衛星のなかで最も土星に近く、A環の「エンケの空隙」にある羊飼い衛星の一つであり、空隙の維持形成に寄与している。非球形で平均直径は約30キロ。</t>
        </is>
      </c>
      <c r="D6952" t="inlineStr">
        <is>
          <t>パン屑；パンチラ；パンくず；パン食；パン作り</t>
        </is>
      </c>
      <c r="E6952" t="inlineStr">
        <is>
          <t>トレイ；食パン；トレー；麺麭；ブレッド</t>
        </is>
      </c>
      <c r="F6952" t="inlineStr">
        <is>
          <t>餡パン；丸パン；製パン；小さなパン；パン切れ</t>
        </is>
      </c>
      <c r="G6952" t="inlineStr">
        <is>
          <t>パンツ；パンフレット；パンタグラフ；パンク；パン屋</t>
        </is>
      </c>
      <c r="H6952" t="n">
        <v>29</v>
      </c>
      <c r="I6952" t="inlineStr">
        <is>
          <t>プー・パンと呼ばれる山が県の西部にあり、山は厚い森に覆われている。；そのとき父の棺にはパンの切れ端と一枚の貨幣を入れなければならない。；このときも末の息子の棺にパンの切れ端と貨幣をいれなければならない。；食事の際の口直しや皿のソースを拭って食べるためにパンが提供される。；ビールはパンと並んで主要な食物とされており、大量に生産・消費された。；パン・ハンドルのなどロートン市から西の地域では比較的乾燥している。；支援する学生からパンが投げ込まれたが、それには一切手をつけなかった。；孫家で暮らすビーデルやパンもこれらの料理を気にせずに食べている。；これらは主にパンにトッピングしたり具として中に入れたりして使用する。；画面がパンするなど、大きな絵が動くようになった脱衣アニメが進化。；月ごとに季節に合わせたパンフェアが行われ、毎月新製品が発売される。；これは店内でパン・弁当・惣菜を店員が作って販売するシステムである。；材料を入れてボタンを押すだけで自動でパンを作ってくれる機械。；通常はパンのみだが、場合によっては信者もぶどう酒を飲むこともある。；また現在パンの店であるところのテナントには、かつて魚屋が入っていた。；またマンパンの大魔王の砦の中では、一切助けを呼ぶことは出来ない。；ただし、パンを焼くときはより膨らみやすいライムギが主に使用された。；この時代から中世までは、パンの製法等には大きな変化はなかった。；この議論は現代における聖餐式に、どのようなパンを用いるかに影響する。；パンを牛乳にひたして作るが、鶏卵の使用については言及されていない。；現代でも、パン生地にビールを混ぜて作るビールパンが作られている。；この頃の日本人がパンを食べた記録は残っていない。；徳川幕府を訪れたオランダからの使節団にもこの種のパンが提供されたとされる。；そうした中、ルノワールがパンを運んでくれるなど支援してくれた。；中世ヨーロッパではパンを共に食べることが家族であり仲間である証であった。；オリーブオイル、塩を使わないパンがよく使われるのは共通である。；見つかったパンは川に流されており、その先には水門と滝があった。；パンを入れる盃状の器をシボリウムと言い、皿状のものはパテンと呼ぶ。；また原作ゲームで存在したセクシーシルヴィアのパンチラはなくなっている。</t>
        </is>
      </c>
      <c r="J6952">
        <f>HYPERLINK("https://www.weblio.jp/content/パン", "词义详情")</f>
        <v/>
      </c>
      <c r="K6952">
        <f>HYPERLINK("https://yourei.jp/パン", "查看例句")</f>
        <v/>
      </c>
    </row>
    <row r="6953">
      <c r="A6953" t="inlineStr">
        <is>
          <t>反～</t>
        </is>
      </c>
      <c r="B6953" t="inlineStr">
        <is>
          <t>成功</t>
        </is>
      </c>
      <c r="C6953" t="inlineStr">
        <is>
          <t>読み方：たん
⇒はん</t>
        </is>
      </c>
      <c r="H6953" t="n">
        <v>0</v>
      </c>
      <c r="J6953">
        <f>HYPERLINK("https://www.weblio.jp/content/反～", "词义详情")</f>
        <v/>
      </c>
      <c r="K6953">
        <f>HYPERLINK("https://yourei.jp/反～", "查看例句")</f>
        <v/>
      </c>
    </row>
    <row r="6954">
      <c r="A6954" t="inlineStr">
        <is>
          <t>範囲</t>
        </is>
      </c>
      <c r="B6954" t="inlineStr">
        <is>
          <t>成功</t>
        </is>
      </c>
      <c r="C6954" t="inlineStr">
        <is>
          <t>読み方：はんい
ある一定の限られた広がり。ある区域。「広い—に渡る」「できる—で協力する」</t>
        </is>
      </c>
      <c r="D6954" t="inlineStr">
        <is>
          <t>範囲内(10%)；範囲外；範囲確認；範囲拡大；範囲ぎりぎり</t>
        </is>
      </c>
      <c r="E6954" t="inlineStr">
        <is>
          <t>程度；限り；方面；分野；残り</t>
        </is>
      </c>
      <c r="F6954" t="inlineStr">
        <is>
          <t>狭い範囲；活動範囲；行動範囲；可能な範囲；攻撃範囲</t>
        </is>
      </c>
      <c r="G6954" t="inlineStr">
        <is>
          <t>範囲の経済</t>
        </is>
      </c>
      <c r="H6954" t="n">
        <v>29</v>
      </c>
      <c r="I6954" t="inlineStr">
        <is>
          <t>そのため、旧来からの名称の使用範囲を特定するのは困難になっている。；映画の範囲のために、新しいセットや古いセットの変形が多く作られた。；また、宇宙探査機のプロジェクトがないためその範囲も含まれています。；この範囲の中で選手にお金をかけるのはJリーグクラブと共通である。；数学の範囲と定義については、数学者や哲学者の間で様々な見解がある。；広い範囲で生産的な活動をしたが、その論文には多くの不正確な部分がある。；ただし、駅間距離の短縮は違和感のない範囲でこれまで同様に存在する。；航空機の揚力発生等、流体機械の広い範囲でその特性が応用されている。；ただし高地地中海性気候に属する地域は非常に小さな範囲に限られている。；実際の設計では、これらの仮定を超える範囲で使用することも必要となる。；一方実数の範囲ではその定義からいつでも が の最小の数になっている。；以下に、ルールの詳細に立ち入らない範囲で各色の特徴の一部を述べる。；国民は、居住する地理範囲に一つの国家を形成することが予定される。；しかし無料で医療が受けられる範囲は、法定の範囲に限定されている。；その範囲の総生産額は約97兆円でカナダを上回る規模ともなっている。；捜査行為はすべて法律の規定の範囲内で行わなければならない。；日本国憲法の解釈は、それぞれの機関が権限の範囲内で行なっている。；数学内の「形式体系」を研究し応用できる範囲は、数学や計算機である。；デザインが指す範囲は時代を経て変化し続けており、様々な定義がなされている。；biasの値が変わらない範囲であれば、単純に追加するだけでよい。；これを受け植物界の範囲はさらに限定的なものへと変化していく。；計算できる範囲で具体的な数値に置き換えていくと、表は次のようになる。；かつては現在のチドリ科より広い範囲をチドリ科とすることもあった。；ポリマーのような粘弾性体ならば位相差 は から の範囲に存在する。；市の中央部西寄りに位置し、区域は旧与野市の範囲にほぼ相当する。；単一の神経根が障害された場合は感覚鈍麻の範囲は皮膚分節より狭い。；なお、多項式の係数としてはさまざまな範囲の数を用いることができる。；したがってどの範囲で名を与えるかは人間とそれとの関わりによって変わる。；カオス軌道であるためには軌道がある有界な範囲に収まる必要がある。</t>
        </is>
      </c>
      <c r="J6954">
        <f>HYPERLINK("https://www.weblio.jp/content/範囲", "词义详情")</f>
        <v/>
      </c>
      <c r="K6954">
        <f>HYPERLINK("https://yourei.jp/範囲", "查看例句")</f>
        <v/>
      </c>
    </row>
    <row r="6955">
      <c r="A6955" t="inlineStr">
        <is>
          <t>繁栄</t>
        </is>
      </c>
      <c r="B6955" t="inlineStr">
        <is>
          <t>成功</t>
        </is>
      </c>
      <c r="C6955" t="inlineStr">
        <is>
          <t>読み方：はんえい
［名］(スル)豊かにさかえること。さかえて発展すること。「社会の—」「子孫が—する」</t>
        </is>
      </c>
      <c r="D6955" t="inlineStr">
        <is>
          <t>繁栄ぶり；繁栄期；繁栄した町；繁栄党；繁栄振り</t>
        </is>
      </c>
      <c r="E6955" t="inlineStr">
        <is>
          <t>成功；発展；伸びる；振興；開花</t>
        </is>
      </c>
      <c r="F6955" t="inlineStr">
        <is>
          <t>大繁栄；経済的な繁栄；経済繁栄；長く繁栄；文化的繁栄</t>
        </is>
      </c>
      <c r="H6955" t="n">
        <v>29</v>
      </c>
      <c r="I6955" t="inlineStr">
        <is>
          <t>交通の要衝であったことと重要な教会の存在が経済的繁栄をもたらした。；仏教信仰に熱心だった西夏支配の敦煌では最後の繁栄の時代を迎えていた。；繁栄の裏ではスレイマン時代に始まった宮廷の弛緩から危機が進んでいた。；この強力な消化吸収能力が、偶蹄目の動物が繁栄した一因とされている。；昔も今もこの都市は、地峡を利用した国際貿易と金融業で繁栄している。；フランドル絵画は、都市の経済的な繁栄を背景にフランドルで発展した。；世良田満氏の子である経氏に始まり、その子重氏と以後子孫繁栄した。；このころはかなり繁栄していたが、疫病により一旦衰退の時期を迎える。；平和で繁栄した社会を詠む句は、文政年間中期まで比較的多く見られる。；左手の槍は平和を象徴し、掲げた右手はハワイの繁栄を表している。；地域および世界の平和と繁栄に貢献することを目指している。；地上・空・海で繁栄していた爬虫類であったが、白亜紀の末には急減した。；そこにかつての繁栄を誇ったアメリカはどこにも存在しなかった。；こうして出羽のみならず陸奥にも勢力を持った清原氏は繁栄の時を迎えた。；清が攻撃をするまで鄭氏政権は繁栄を続け、貿易で大量の銀を蓄えた。；スズメ亜目の鳥は全世界に分布しており、種の数も多く繁栄している。；この頃のマカオは、日本が鎖国するまでは長崎との貿易で繁栄を極めた。；終着駅であったころが、川合の地区が最も繁栄していた時期であったという。；優れた政治家であるフルーリー枢機卿の執政によりフランスは繁栄した。；北前船の繁栄の歴史と象徴を現代に残す各種の試みやイベントも行われている。；中世以降、庶民の間でも家が成立し、その繁栄や継続が重視された。；この道路網を通じて諸地域の産物がアステカに集まりその繁栄を支えた。；近縁のものは中生代ジュラ紀に多く、当時は多様性を持って繁栄していた。；イングランドの最大の都市はロンドンであり、世界でも最も繁栄した都市の一つである。；明治時代にはそれまで勢力をもっていた篠塚流に代わり井上流が繁栄した。；ここはロンドンの中でも繁栄しているコミューター駅の1つである。；さらにジェノヴァなどから商人を呼んで、都のサライを大いに繁栄させた。；この繁栄を受けてハンガリーの首都であるブダとペストも急速に成長した。；唐の時代は、国が安定して繁栄していたため、呉語の定着と分化が進んだ。</t>
        </is>
      </c>
      <c r="J6955">
        <f>HYPERLINK("https://www.weblio.jp/content/繁栄", "词义详情")</f>
        <v/>
      </c>
      <c r="K6955">
        <f>HYPERLINK("https://yourei.jp/繁栄", "查看例句")</f>
        <v/>
      </c>
    </row>
    <row r="6956">
      <c r="A6956" t="inlineStr">
        <is>
          <t>反映</t>
        </is>
      </c>
      <c r="B6956" t="inlineStr">
        <is>
          <t>成功</t>
        </is>
      </c>
      <c r="C6956" t="inlineStr">
        <is>
          <t>読み方：はんえい
［名］(スル)
１光や色などが反射して光って見えること。「夕日が雪山に—する」
２対照的に色がうつり合って美しさを増すこと。「壁と床(ゆか)の色が面白く—し合っている」
３あるものの性質が、他に影響して現れること。反影。また、それを現すこと。「住民の意見を政治に—させる」</t>
        </is>
      </c>
      <c r="D6956" t="inlineStr">
        <is>
          <t>反映する(8%)；反映される(6%)；反映させる(4%)；反映させよ；反映論</t>
        </is>
      </c>
      <c r="E6956" t="inlineStr">
        <is>
          <t>影響；決定；表現；形成；示す</t>
        </is>
      </c>
      <c r="F6956" t="inlineStr">
        <is>
          <t>強く反映；大きく反映；直接反映；みを反映；如実に反映</t>
        </is>
      </c>
      <c r="H6956" t="n">
        <v>29</v>
      </c>
      <c r="I6956" t="inlineStr">
        <is>
          <t>特に初期作品にはアーヴィング本人の人生が反映されているといわれる。；情報は個々の判断に委ねられ社会に反映する性質を従来から持っていた。；しかし、これらの試験の成果の一部はNSE車の設計に反映されている。；合議制を取ることで各部屋の意向をある程度反映できるように改善した。；また、社会内部の様々な利益を集約し、政治へと反映させる機能がある。；そのためここでは系統を反映させた分類名を示したが、世界共通ではない。；さまざまな考え方を反映するために一部が統合または分割される。；これはこの地域のマグマの生成に海水が影響していることを反映している。；これを反映して形態をはじめ生物学的な性質には大きな多様性が見られる。；各集団の人口変化や形成時期も推定でき、移住の歴史が反映されているという。；また、従来のシステムに本作の世界観を大きく反映させたものもある。；パラレルATAはその長い歴史を反映して数々の転送モードが存在する。；これは当時すでに開発中であった189系電車の計画を反映させたものである。；これはドイツの地方意識の強さを反映していると指摘される。；現在は後者の指図が実際に建てられた天守を反映していると判断されている。；従って、劇場版では当初の構想を忠実に反映させた話の流れとなっている。；そのことを反映して、賞の正式名称も、 という長いものとなっている。；これはその歴史と経済における銀の重要さを反映したものである。；このような流れを反映してか、メーカーの戦略にも変化が生じる。；これは太刀から打刀への過渡的な状況を反映したものとも考えられている。；命名は発見順になされており、液晶の状態を反映したものではない。；本シリーズの一部は第1作とその他の東宝特撮作品の世界観を反映した。；またこの色は金属の価数や配位環境を反映して様々な色に変化する。；その曖昧さは経済運営にも反映され、人民公社の解体は慎重に進められた。；しかしこの手法は一過性の物で、製品に反映される性格の仕様ではなかった。；また、墓が先祖崇拝の広がりを反映して多くの地方で文化的に重要である。；何をやってもうまくいかない自らの境遇が、反映されているかのようであった。；シャッター速度の変化は対象とカメラの動きの反映の度合いを変える。；現存する中では最古級の、カブラルのブラジル遠征を反映した地図である。</t>
        </is>
      </c>
      <c r="J6956">
        <f>HYPERLINK("https://www.weblio.jp/content/反映", "词义详情")</f>
        <v/>
      </c>
      <c r="K6956">
        <f>HYPERLINK("https://yourei.jp/反映", "查看例句")</f>
        <v/>
      </c>
    </row>
    <row r="6957">
      <c r="A6957" t="inlineStr">
        <is>
          <t>版画</t>
        </is>
      </c>
      <c r="B6957" t="inlineStr">
        <is>
          <t>成功</t>
        </is>
      </c>
      <c r="C6957" t="inlineStr">
        <is>
          <t>読み方：はんが
版を用いて刷った絵の総称。木版画・銅版画・石版画・シルクスクリーンなどがあり、版の形式により凸版・凹版・平版・孔版(こうはん)に分かれる。
[補説]作品名別項。→版画</t>
        </is>
      </c>
      <c r="D6957" t="inlineStr">
        <is>
          <t>版画作品(4%)；版画集(2%)；版画協会；版画家；版画館</t>
        </is>
      </c>
      <c r="F6957" t="inlineStr">
        <is>
          <t>複製版画；風景版画；肖像版画；版画展；版画技術</t>
        </is>
      </c>
      <c r="G6957" t="inlineStr">
        <is>
          <t>版画芸術；版画男</t>
        </is>
      </c>
      <c r="H6957" t="n">
        <v>29</v>
      </c>
      <c r="I6957" t="inlineStr">
        <is>
          <t>東京の百景を冠する版画作品は第二次世界大戦前に三作制作されている。；ハンガトン氏といえば彼女の父親だが、およそこれほどへまな人はない。；国際版画祭でグランプリを受賞した初の日本人となって注目を集めた。；彼のもう一つの作品である、木彫版画は日本の版画に影響を受けている。；その本来の姿は、マテウス・メーリアンの風景版画に見ることができる。；この時期から以下のような浮世絵に影響を感じさせる版画集の製作を行った。；ヨーロッパの街の風景を描き、プラウトの絵は版画にされて出版された。；ラテン語版にはらの版画が掲載され、残酷な場面の数々が視覚化された。；これは版画や絵画などを送ることが禁止されていたためだった。；これを人生のひと区切りと考え、版画研究のためのフランス遊学を計画。；二人とも同大学の絵画科を志していたが落ちてしまい、版画科へと進学した。；同誌には、すでに絵画に興味があった河原による版画が掲載されている。；美術評論家からは評価され、美術館は何点かのレヴィの版画を購入した。；昭和43年から大衆版画の制作を始めており、個展も数回開催している。；多くの風景画を描き、その作品は版画にされて出版されてよく売れた。；この版画はおそらくタペストリが完成する以前に制作された作品だとされている。；そこには庄屋の国はんが、粉をふいたような青白い顔で立っていました。；による版画としてではあるが、二人の作品で現存しているものもある。；フランス時代からの版画作品も製作したが、油絵に専念するようになった。；この中には雪の結晶を描いたものとして最古とされる版画も含まれている。；バッサーノは彼らの版画を見ることで、その芸術を学んだと信じられている。；渡辺は、日本の民芸の伝統の中で描かれた彼の聖書の版画で有名であった。；この画家の手になる版画としては小画面の風景連作が知られている。；現代では、多くの美術作家が木版画の版画用の支持体に使用している。；そうやった、桜の森のすぐ近くに杉の森があると、キド八はんがいうてた。；また、版画作品、写真作品など様々なメディアを使いながら作品制作を行う。；版画の仕事が終わった後もしばらくスペインに留まり、その後パリに戻った。；着色はコンピュータ上で、版画のように色を重ねていく感覚で行う。；版画の作品はないが、肉筆浮世絵に近い風俗画に優れた作品を残している。</t>
        </is>
      </c>
      <c r="J6957">
        <f>HYPERLINK("https://www.weblio.jp/content/版画", "词义详情")</f>
        <v/>
      </c>
      <c r="K6957">
        <f>HYPERLINK("https://yourei.jp/版画", "查看例句")</f>
        <v/>
      </c>
    </row>
    <row r="6958">
      <c r="A6958" t="inlineStr">
        <is>
          <t>半額</t>
        </is>
      </c>
      <c r="B6958" t="inlineStr">
        <is>
          <t>成功</t>
        </is>
      </c>
      <c r="C6958" t="inlineStr">
        <is>
          <t>読み方：はんがく
ある金額の半分。「—を払う」</t>
        </is>
      </c>
      <c r="D6958" t="inlineStr">
        <is>
          <t>半額以下(5%)；半額程度(3%)；半額セール；半額免除；半額割引</t>
        </is>
      </c>
      <c r="E6958" t="inlineStr">
        <is>
          <t>半；半分；半ば；半数；ハーフ</t>
        </is>
      </c>
      <c r="F6958" t="inlineStr">
        <is>
          <t>運賃半額；小児半額；うち半額；半額券</t>
        </is>
      </c>
      <c r="H6958" t="n">
        <v>29</v>
      </c>
      <c r="I6958" t="inlineStr">
        <is>
          <t>旧タイプのパソコンを半額で買った客が帰った後、その男はやってきた。；春三郎の要求した程は難かしいが責めて半額だけはどうかせうとあつた。；創刊号は、第2号以降の半額程度と戦略的な価格を設定するものが多い。；僕たちは本来、五千万ずつの金を手にするところをその半額で手を打ったんだ。；友人の働く楽器店の片隅で半額になったまま忘れ去られていたものだ。；出発前に半額、現地の手術前に残りの半額を支払うことになっています。；優秀な学生は最大で卒業までの授業料が半額免除になるケースもある。；預貯金額が一定額を超えている場合は年金支給額が最大半額になります。；iPad版と同様、発売終了まで定価の半額600円での販売が続いた。；失業しないまでも賃銀半額に引下げられた労働者の暮しはどんなものか。；彼は10万ドルと賞金の半額でインディ500に出場することに同意した。；そこで彼は宝くじが当たったことを告げ、約束通り半額渡すのだった。；売却額は購入時の半額で、売却された機体は再び購入候補にラインナップされる。；だが、鮫川の手許には持ち去り金額の半額しか確認されていないそうだ。；ブラグと同じように、見ないで賭けると半額になるルールが存在する。；僕は店員が相場の半額で来ているという話をきいて、すぐにわかった。；それはお光が追剥ぎに奪られた二十両の損害の半額を償えというのであった。；その結果、カトリーヌの取り分は夫と合わせて半額になってしまった。；半額か、ことによれば、もう少しよけいぐらいは調達できるかもしれぬ。；当時東電の従業員は自宅の電気料金が半額だったが、就任後は廃止した。；また捜査開始後契約日数半ばで発見されたときは半額を返金する。；その一方で本シリーズは標準現金価格から半額近い値引販売を実施。。；あとの三つも、そのおのおのが、本来のサラリーの半額にも達しておらん。；主人の要求を承知すると同時に、この半額の金はなんとか自分の手で都合しなければならないと思った。；交通博物館の近くに、よその半額で電気製品を売っている店があるんだよ。；受験料は50銭であり、菊栄はその半額の25銭しか持っていなかった。；さすがにこの時間帯になると、街娼も売春代を半額まで下げてくる。；柚木が紹介した客への請求額を半額にすることで話がついた。；営業実態により、本役と半役に分けられ、半役は本役の半額の課税がされた。</t>
        </is>
      </c>
      <c r="J6958">
        <f>HYPERLINK("https://www.weblio.jp/content/半額", "词义详情")</f>
        <v/>
      </c>
      <c r="K6958">
        <f>HYPERLINK("https://yourei.jp/半額", "查看例句")</f>
        <v/>
      </c>
    </row>
    <row r="6959">
      <c r="A6959" t="inlineStr">
        <is>
          <t>反感</t>
        </is>
      </c>
      <c r="B6959" t="inlineStr">
        <is>
          <t>成功</t>
        </is>
      </c>
      <c r="C6959" t="inlineStr">
        <is>
          <t>読み方：はんかん
相手の存在や言動に対して反抗する気持ち。反発の感情。「—を抱く」「—を買う」</t>
        </is>
      </c>
      <c r="D6959" t="inlineStr">
        <is>
          <t>反感を露</t>
        </is>
      </c>
      <c r="E6959" t="inlineStr">
        <is>
          <t>嫌い；苦手；嫌悪；敵意；嫌気</t>
        </is>
      </c>
      <c r="F6959" t="inlineStr">
        <is>
          <t>激しい反感；軽い反感；對する反感；反感をもたれ</t>
        </is>
      </c>
      <c r="H6959" t="n">
        <v>29</v>
      </c>
      <c r="I6959" t="inlineStr">
        <is>
          <t>原首相に反感を抱く人物が上司におり、それに影響されたとされている。；これは女性の参加が控えられていることへの反感を現したものである。；世界高校野球大会では猪狩守に打撃指導されることに反感を抱いている。；ただ、あまりにも簡単に弾いた為、二人から逆に反感を買ってしまった。；さらにヤング案への反発がドイツ社会民主党政府への反感の元となった。；更にライブに参加しなかった多くのファンにも反感を買う事態となってしまった。；前王、ヨートチエンラーイが官吏らの反感を買ったため政権を追われた。；ブルジョワ的なライフスタイルや権力への近さが反感を買っているという。；そのため農民たちの怒りや反感を買っていったとされている。；ちょうど貿易摩擦の問題で日本への反感が高まっていた時期でもある。；これが臣民の反感をかい、不人気であった王は逃亡したが殺害された。；反感を持たれた要因のひとつは作品の大きな特徴のひとつとされる演技性の高さであった。；ヤドヴィガとヴワディスワフの統治に反感を持つ者は国内外に多数いた。；イギリス軍の将校のうち、アウンサンに反感を抱いていた者が何人もいた。；このことは東ドイツ国民には理解されず、ますます反感を買うようになった。；直隷省の地方官を務めていたが、義和団に反感を持ち、鎮圧を主張した。；しかしこれらのグループはケネディ大統領への反感を露わにしていた。；ワックスホーの虐殺は大陸の革命家達の間で重大な反感の声となった。；この間にスカイラーの見解は植民地政府に対して反感を持つようになった。；それに対して危機感と、日本への反感を持った民衆が抵抗を開始した。；パーヴェル1世は貴族層を中心に多くの人々の反感を買い、暗殺が計画された。；信頼している教師は鬼塚だけで他の教師への反感は変わらない。；しかし現地の住民たちの反感を買う事例もあったという。；しかし、尾崎豊のように大人への反感を荒々しく歌い上げたものもある。；ジェームズ1世の政策全般は効果的ではあったが、多くの人の反感を買った。；このことは彼女が後に国民の反感を買う原因となった。；家中に死の真相が伝わって反感を買い、藩主吉徳から差控を命じられた。；インターネット上では、中国に反感を持つ層が「シナ」を使う例が多い。；これで地上人への反感はますます強くなってしまった。</t>
        </is>
      </c>
      <c r="J6959">
        <f>HYPERLINK("https://www.weblio.jp/content/反感", "词义详情")</f>
        <v/>
      </c>
      <c r="K6959">
        <f>HYPERLINK("https://yourei.jp/反感", "查看例句")</f>
        <v/>
      </c>
    </row>
    <row r="6960">
      <c r="A6960" t="inlineStr">
        <is>
          <t>反響</t>
        </is>
      </c>
      <c r="B6960" t="inlineStr">
        <is>
          <t>成功</t>
        </is>
      </c>
      <c r="C6960" t="inlineStr">
        <is>
          <t>読み方：はんきょう
［名］(スル)
１音波が障壁にぶつかって反射し、再び聞こえる現象。こだま。「声が壁に—する」
２発表された事柄・出来事などの影響によって起こるさまざまの反応。「海外で—を呼ぶ」「—を巻き起こす」
[補説]書名別項。→反響</t>
        </is>
      </c>
      <c r="D6960" t="inlineStr">
        <is>
          <t>反響する(7%)；反響音；反響を呼びおこし；反響をまき起こし；反響を呼び起し</t>
        </is>
      </c>
      <c r="E6960" t="inlineStr">
        <is>
          <t>反応；応答；響く；余韻；エコー</t>
        </is>
      </c>
      <c r="F6960" t="inlineStr">
        <is>
          <t>大きく反響；社会的反響；大変な反響；多大な反響；どんな反響</t>
        </is>
      </c>
      <c r="G6960" t="inlineStr">
        <is>
          <t>反響板；反響言語；反響室</t>
        </is>
      </c>
      <c r="H6960" t="n">
        <v>29</v>
      </c>
      <c r="I6960" t="inlineStr">
        <is>
          <t>この放送が大きな反響を呼んだため、これ以上ない映画の宣伝になった。；大上の登場は社会的な反響を呼び、ほかの雑誌などにも取り上げられた。；この提案は日本を含んだ海外でも報道され、様々な反響を呼ぶことになる。；後に松本は日本方言研究会で番組の成果を発表し、大きな反響を呼んだ。；この人気は想定外であり、あまりの反響の大きさに3人とも驚いていた。；この出来事を地元の新聞社が翌5日に報道し、日本中から反響があった。；こうした反響に付随して元素転換説を批判する人物も各方面から現れた。；このツアーの反響がバンドの拠点をアメリカに移す決意をさせたようである。；これによりワームの存在が広く知られる事となり、大きな反響を呼んだ。；「類稀な知性」と豊富な話題が周囲に人気と反響をもたらしたといわれる。；特に反響があった話題については、それ専用の特別コーナーが設けられる。；当初はゲスト扱いだったが、反響が大きかった為レギュラーとなった。；ドラマ放送時の反響や、水木が死去した際のエピソードなどが書かれている。；研究者と解説者からの反響は、多大な賞賛から厳しい批判に渡っている。；滴音の反響を大きくするには底部に水を溜める工夫をする必要がある。；また、SNSなどでも大きな反響を呼んだことを同サービスが発表している。；漫才を変えたといわれるスピードとスタイルで、大きな反響を巻き起す。；この曲は2006年9月にアメリカで発表された後、多くの反響を呼んだ。；なお英訳もされており、日本国外でも反響があったと伝えられている。；これは日本で初めての性教育授業ともいわれ大きな反響を呼んだ。；僅か3ヶ月の滞在ながら反響は大きく、ヨーロッパの人々にも影響を与えた。；なお、加藤によれば自身がプロ入りした時の反響はさほどではなかったという。；日本主義は、強烈な反響を呼んだが、次のような多少の反対論もあった。；前バージョン以上の反響を呼び、様々なメディアで取り上げられることとなった。；過去に反響の大きかった番組が本放送枠で再放送されることもある。；キーストンの事故、山本との最後の様子はファンの間で反響を呼んだ。；エコオトメの社会的な反響を受け、他社からも類似商品が発売されている。；こうした過程があっただけに、改心した時の反響も凄かったと発言している。；だが想像以上に反響が多く、シングルとして発売される事となった。</t>
        </is>
      </c>
      <c r="J6960">
        <f>HYPERLINK("https://www.weblio.jp/content/反響", "词义详情")</f>
        <v/>
      </c>
      <c r="K6960">
        <f>HYPERLINK("https://yourei.jp/反響", "查看例句")</f>
        <v/>
      </c>
    </row>
    <row r="6961">
      <c r="A6961" t="inlineStr">
        <is>
          <t>パンク</t>
        </is>
      </c>
      <c r="B6961" t="inlineStr">
        <is>
          <t>成功</t>
        </is>
      </c>
      <c r="C6961" t="inlineStr">
        <is>
          <t>読み方：ぱんく
《くだらないもの、不良などの意》
１「パンクロック」に同じ。
２伝統を無視し、奇妙な服装や行動で体制に反抗する若者。</t>
        </is>
      </c>
      <c r="D6961" t="inlineStr">
        <is>
          <t>パンク修理；パンク寸前；パンクしそう；パンク状態；パンク色</t>
        </is>
      </c>
      <c r="E6961" t="inlineStr">
        <is>
          <t>飛ぶ；破裂；炸裂；お祭り；バースト</t>
        </is>
      </c>
      <c r="F6961" t="inlineStr">
        <is>
          <t>ukパンク；関西パンク；初期パンク；パンク雑誌；パンク防止</t>
        </is>
      </c>
      <c r="G6961" t="inlineStr">
        <is>
          <t>パンクバンド；パンクラス；パンク・バンド；パンクロック；パンクス</t>
        </is>
      </c>
      <c r="H6961" t="n">
        <v>29</v>
      </c>
      <c r="I6961" t="inlineStr">
        <is>
          <t>それとほぼ同時期か直後にロンドンでもパンクが見られるようになった。；それはタイヤがパンクしたようでもありピストルの音のようでもあった。；パンクを中心に作品を発表しているが、一部ラップ作品も手がけている。；自動車のタイヤがパンクしたんだなと、そのまま聞き過ごしてしまった。；しかしながら名前の「パンク」と言う部分はある種の姿勢を表している。；今日ではパンクに限らず様々な文化で見ることができる髪型になっている。；パンクの精神である、笑ってしまうようなジョーク性を取り入れている。；でも決して頑張り過ぎてパンクしてしまうような、そんな生活じゃない。；もう勘弁してほしい、自分はたったいまパンクしてきたばかりなのだ。；そして車の客が買い物 を終えて外に出ると、車はパンクしているのである。；連中なりにパンクしねえよう独自のルールを設けているのさ。；それより警官の自転車のタイヤがパンクしていたのでサービスで修理してあげた。；ただ、考えなければならないことが多すぎて、今は頭がパンクしそうなだけだ。；彼らはパンクが開けた風穴をさらに広げ、より自由で実験的な音楽を演奏した。；魂がパンクした表情とはあのような顔付きを云うのでしょうか。；すぐにタラたちは店を出るが、止めておいた車がパンクしていた。；仮にパンクなどのトラブルがあっても選手自身で対処しなければならない。；ペンタゴンにはこの件で問い合わせが殺到し回線はパンク状態になった。；高橋によれば次作としてパンク路線のアルバムを制作予定であったという。；反抗の仕方はさまざまで、音楽に興味のあるものならパンクに走る。；パンクした時でさえ、そんなことをやろうとは考えつかなかったろう。；その頃からパンク調の曲を演奏するようになり男性ファンを増やす。；第二のパンクした時、私たちは青い青い樺太蕗の林の中にあった私たちを見た。；パンクやリーガルとの対戦から上層部に期待されWWEのロードに参加。；いろんなことがいっぺんに起こりすぎで、頭がパンクしてしまいそうになる。；イギリスのパンク・シーンにおける初のシングルとして知られている。；トリプルHが敗北したらCOO辞任を条件にパンクと対決する事となる。；聞けば彼女は自動車が往き路でパンクしたために病院で長いこと待ったのであった。；学校を離れて最初の仕事はサーカスでのパンク風の道化師で、人気があった。</t>
        </is>
      </c>
      <c r="J6961">
        <f>HYPERLINK("https://www.weblio.jp/content/パンク", "词义详情")</f>
        <v/>
      </c>
      <c r="K6961">
        <f>HYPERLINK("https://yourei.jp/パンク", "查看例句")</f>
        <v/>
      </c>
    </row>
    <row r="6962">
      <c r="A6962" t="inlineStr">
        <is>
          <t>番組</t>
        </is>
      </c>
      <c r="B6962" t="inlineStr">
        <is>
          <t>成功</t>
        </is>
      </c>
      <c r="C6962" t="inlineStr">
        <is>
          <t>読み方：ばんぐみ
１演芸・映画・相撲などの演目・組み合わせや、その順序。また、それを書いたもの。プログラム。「入り口で—をもらう」
２テレビ・ラジオなどの放送の、編成の単位となるもの。また、その部門。「スポーツ—」
３番衆の組。
「—勤むる人なみに、何か替はる事なし」〈浮・新可笑記・四〉</t>
        </is>
      </c>
      <c r="D6962" t="inlineStr">
        <is>
          <t>番組開始(2%)；番組終了；番組タイトル；番組出演；番組構成</t>
        </is>
      </c>
      <c r="E6962" t="inlineStr">
        <is>
          <t>放送；プログラム；放送番組；演し物；演物</t>
        </is>
      </c>
      <c r="F6962" t="inlineStr">
        <is>
          <t>本番組；同番組；前番組；後継番組；関連番組</t>
        </is>
      </c>
      <c r="G6962" t="inlineStr">
        <is>
          <t>番組制作；番組名；番組表；番組内容；番組編成</t>
        </is>
      </c>
      <c r="H6962" t="n">
        <v>29</v>
      </c>
      <c r="I6962" t="inlineStr">
        <is>
          <t>また番組の合間で行なわれている番組案内や天気予報も無料で見られる。；一部のチャンネルや番組プログラムには第二音声信号があるものがある。；ローカル番組を除いてカスタム表示を採用していない番組は以下の通り。；かつてのANNニュース系の番組の多くは共通のテーマ曲を用いていた。；そこで1999年より日本中央競馬会は以下のような番組改革を行った。；文字と写真・イラストなどの図形により各種情報を提供する雑誌状の番組。；一部の番組は山陽新聞社本社ビル20階の談話室で収録される事がある。；番組終了後にはゲーム中の成績を暗号化したパスワードが画面に表示された。；番組放送中はスタジオ内の様子の写真がスライドショー形式で表示された。；当番組のリクエストランキングにだけトップに位置する現象が多々あった。；番組開始当初は今のような隔週交代出演制ではなく、毎週出演が多かった。；番組は、基本的に月曜日から金曜日までの5回の放送で同じ主題を扱う。；いずれも開始当初からアナログ放送と同一の番組のサイマル放送であった。；現在使用されている番組ロゴは、古くは1970年代から使用されている。；日本でもCMや番組のエンディングなどに彼女の曲が多用されている。；レースライセンスを保有していたことから、F1関連番組に多数出演した。；同番組は、韓国の新しい空港に草彅が一人で降り立つところから始まった。；番組の最後には人形劇のキャラクターを含めたほぼ全ての出演者が登場する。；そんな人たちの番組を配信という形でやろう、ということで始めました。；全国的に見ると両番組が互いに放送エリアを補完するような関係になっていた。；また、このように時間をかけて収録をするタイプの番組である。；また、キー局製作の中でもキー局だけの関東ローカル番組も増えている。；ただし番組開始当初は色分けされておらず、後方の電飾はすべて黄色。；北陸3県を対象とする番組および番組内の企画として以下のようなものがある。；多数の自社制作番組があり、数々の番組が全国に番組販売されて放送されている。；これらの番組を指す一般的な呼称も生まれなかった。；大塚はこれを番組を続けていく上の大きな活力として公言していたという。；その後、一時復帰するが、数点のデザインを残して番組を去った。；一方、芸人はより上を狙う意味で番組を仕切る司会者を目指す人が多い。</t>
        </is>
      </c>
      <c r="J6962">
        <f>HYPERLINK("https://www.weblio.jp/content/番組", "词义详情")</f>
        <v/>
      </c>
      <c r="K6962">
        <f>HYPERLINK("https://yourei.jp/番組", "查看例句")</f>
        <v/>
      </c>
    </row>
    <row r="6963">
      <c r="A6963" t="inlineStr">
        <is>
          <t>半径</t>
        </is>
      </c>
      <c r="B6963" t="inlineStr">
        <is>
          <t>成功</t>
        </is>
      </c>
      <c r="C6963" t="inlineStr">
        <is>
          <t>読み方：はんけい
１円または球の中心点から、その円周上または球面上の一点に至る線分。また、その長さ。直径の半分。
２活動する範囲を円に見立て、その広さを示すときに用いる語。「行動—」</t>
        </is>
      </c>
      <c r="D6963" t="inlineStr">
        <is>
          <t>半径rs(2%)</t>
        </is>
      </c>
      <c r="E6963" t="inlineStr">
        <is>
          <t>ラジウス</t>
        </is>
      </c>
      <c r="H6963" t="n">
        <v>29</v>
      </c>
      <c r="I6963" t="inlineStr">
        <is>
          <t>これによって原子中の電子のエネルギーは 倍に軌道半径は 倍になる。；さらにポセイドニオスは地球の半径を用いて太陽までの距離を表した。；長い武器は回転半径が長くなるため効果もまた大きなものとなる。；回転半径を考慮すると、電子の速度によって磁場を調整する必要がある。；回転中心の逆側でも同様に半径の差が現れ、これは外輪差と呼ばれる。；ここで、平均半径または平均距離には別の定義もあることに注意すべきである。；これらの影響は木星公転半径程度の距離から初めて観測されるものである。；見つかってからまだ日が浅いため、これらの半径の数値は暫定的である。；この恒星の質量と半径は太陽とほぼ同じで、太陽よりも若干冷たく暗い。；ロデオを行う会場は60m程度の半径の三日月形の囲いで囲まれている。；円筒状の回転子に半径方向へ突出するベーンと呼ばれる板がついている。；これは店舗から半径500 mを理想的な来店距離としているためである。；質量、半径共に太陽とほぼ同じであり、表面温度も太陽に非常に近い。；半径はケプラー11系の惑星の中で最も大きく、質量も2番目に大きい。；現在でも曲線半径が綺麗な数字になっていないのはこのためである。；そして月の視半径は常に太陽のそれを下回らないとし、金環食を否定した。；同周期内の原子同士では、原子番号が大きくなるほど半径は小さくなる。；大赤斑の下に見える白い楕円渦が地球の半径に相当するスケールである。；このため、狭軌のほうが小さな半径の曲線を作りやすいとされている。；別の例が球体の半径で、測定の方法次第で異なる値が出てしまう。；以前はもっと遠くにあると見積もられ、光度や半径も過大に算定された。；この角度の定義は、直接的に半径と弧長の比を用いて表すこともできる。；が原点を中心とする半径 の円上を動くとき、 は から まで変化する。；これらの散乱源はその中心から一定半径の距離内に入った粒子を散乱させる。；推定ではこの恒星の半径は太陽の48倍、光度は太陽の980倍である。；またホーム全体が半径300mの曲線上にあって大きく湾曲している。；当時半径180m内で船位調整した技術は、現在の装置へ進歩した。；とくに電子はイオンよりはるかに小さい半径ではるかに速く旋回している。；土星より遠方に存在する天体の半径を計算することは一般的に難しい。</t>
        </is>
      </c>
      <c r="J6963">
        <f>HYPERLINK("https://www.weblio.jp/content/半径", "词义详情")</f>
        <v/>
      </c>
      <c r="K6963">
        <f>HYPERLINK("https://yourei.jp/半径", "查看例句")</f>
        <v/>
      </c>
    </row>
    <row r="6964">
      <c r="A6964" t="inlineStr">
        <is>
          <t>反撃</t>
        </is>
      </c>
      <c r="B6964" t="inlineStr">
        <is>
          <t>成功</t>
        </is>
      </c>
      <c r="C6964" t="inlineStr">
        <is>
          <t>読み方：はんげき
［名］(スル)敵の攻撃に対して、防御にとどまらずに攻めかえすこと。反攻。「—に転じる」「—されて浮き足立つ」</t>
        </is>
      </c>
      <c r="D6964" t="inlineStr">
        <is>
          <t>反撃しよ；反撃でき；反撃作戦；反撃能力；反撃態勢</t>
        </is>
      </c>
      <c r="E6964" t="inlineStr">
        <is>
          <t>報復；逆襲；反攻；切り返す；カウンターアタック</t>
        </is>
      </c>
      <c r="F6964" t="inlineStr">
        <is>
          <t>激しい反撃；猛烈な反撃；総反撃；有効な反撃；大規模な反撃</t>
        </is>
      </c>
      <c r="G6964" t="inlineStr">
        <is>
          <t>反撃ののろし</t>
        </is>
      </c>
      <c r="H6964" t="n">
        <v>29</v>
      </c>
      <c r="I6964" t="inlineStr">
        <is>
          <t>攻撃しても、結局残ったミサイルで反撃される可能性があったのである。；また、打撃攻撃を避けられた場合、相手からの反撃を受けることもある。；この道具を力づくで外そうとすると、加えた力の3倍の力で反撃される。；この後東ゴート軍は新しい王を立てて反撃を開始し、ローマを包囲する。；特に椿鬼は攻撃を担当する性質上、反撃を受け何度か損傷・破壊されている。；だが、この反撃はタイミングがよかったため予想以上の効果をもたらした。；第3戦ではブラジルから帰国した翼がチームに合流し反撃に出る。；部隊編成、防御指揮、反撃について、我々は一緒に決定を下していった。；やがて海岸砲台が反撃してきたが、反撃はとても不正確なものだった。；このため発射地点を特定され敵の反撃を招きやすいという欠点がある。；ポーランドの反撃作戦に加えてロシアもまた本格的にバルト地方への攻撃を開始した。；ピート・ハインは炎上しながらも反撃を行ったが、最終的に撃沈された。；またヤムガーン郡の隣にあるタガブ郡も攻撃したが、治安軍に反撃された。；日本軍はさらに攻撃を行おうとするもロシア軍の反撃を受けて退いた。；装甲はきわめて薄いアルミ合金製で、敵戦車の反撃には耐えられない。；日本海軍はアメリカ艦隊への反撃を計画し、捷号作戦警戒を指示した。；その後ウッソらの反撃を受けるが、ミサキと異なり彼は攻撃を回避している。；全員が反撃したと言っているが、1775年にはそれができたと証言したのは少数だった。；ここでは労組側の反撃行為のうち、ストライキの範疇ではないものを示す。；そのため相手に内股を掛けさせておいて、瞬時にそれをすかして反撃する。；同時期に英米仏蘭4か国艦隊の反撃に遭い、上陸され砲台を占拠された。；また打ち疲れてしまったロハスが手を止めると、沼田が反撃に転じ始めた。；ロシア軍は敗北を認めた上で、やがて日本軍に反撃することを意図していたと言える。；黒い九月も反撃を開始し、モサドの工作員、協力者などを殺害している。；続いて、同地点まで偵察警戒車を進ませて攻撃を行い、敵の反撃を観測する。；ソ連軍の戦略的撤退は完了し、反撃の為の補給を受けつつあったのである。；雷は爆雷で反撃を行ったが、ポラックに損傷を与えただけで取り逃がした。；攻撃位置が悪いと、倒しきれなかった際に悪霊からの反撃を食らうことがある。；市内には陸軍や海軍配置の複数の高射砲などが配置されており反撃したが戦果はなかった。</t>
        </is>
      </c>
      <c r="J6964">
        <f>HYPERLINK("https://www.weblio.jp/content/反撃", "词义详情")</f>
        <v/>
      </c>
      <c r="K6964">
        <f>HYPERLINK("https://yourei.jp/反撃", "查看例句")</f>
        <v/>
      </c>
    </row>
    <row r="6965">
      <c r="A6965" t="inlineStr">
        <is>
          <t>判決</t>
        </is>
      </c>
      <c r="B6965" t="inlineStr">
        <is>
          <t>成功</t>
        </is>
      </c>
      <c r="C6965" t="inlineStr">
        <is>
          <t>読み方：はんけつ
［名］(スル)
１是非善悪などを判断して決めること。
「豈(あに)凡傭(ぼんよう)之(これ)を—すべけん哉(や)」〈魯文・高橋阿伝夜叉譚〉
２訴訟事件に対して、裁判所が法規に基づいて下す最終的な判断。民事訴訟法では原則として口頭弁論を経て行われ、刑事訴訟法では公判手続きにおいて必ず口頭弁論を経て行われる裁判所の裁判。「—を言い渡す」</t>
        </is>
      </c>
      <c r="D6965" t="inlineStr">
        <is>
          <t>判決文(3%)；判決後；判決公判；判決確定；判決書</t>
        </is>
      </c>
      <c r="E6965" t="inlineStr">
        <is>
          <t>批判；判断；命令；裁判；審査</t>
        </is>
      </c>
      <c r="F6965" t="inlineStr">
        <is>
          <t>一審判決；原判決；無期懲役判決；棄却する判決；上告審判決</t>
        </is>
      </c>
      <c r="G6965" t="inlineStr">
        <is>
          <t>判決例</t>
        </is>
      </c>
      <c r="H6965" t="n">
        <v>29</v>
      </c>
      <c r="I6965" t="inlineStr">
        <is>
          <t>この判決はナチ党の指導的立場にある人物の関与を指摘したものであった。；ちなみに危惧感説が採用されたと見られる裁判例は本判決が唯一である。；新たに逮捕された共犯者の裁判員裁判の判決でも、同様の認定となった。；判決は、共通して、在学契約には消費者契約法の適用があるとしている。；彼の下した判決で最も著名なものは、マーベリー対マディソン判決である。；判決により、IBMはカードの仕様を指定することしかできないとされた。；詳細は大阪高等裁判所 平成21年第2082号の判決文を参照のこと。；パズルにも著作権が存在することを確認する歴史的な判決となった。；判決が出た時、記者たちは次のような会話を交わしていたという。；中国北宋代に生まれ、その言葉は現代日本の裁判判決文にも見られる。；上記関連事象で裁判所の判決の際などには度々新聞社等の取材を受けていた。；ベーコンはこの告発を認めたが、判決には影響を与えていないと弁護した。；現在の判例・解釈の主流は、この判決を基本にしたものがほとんどとなっている。；これは当時刑法第58条に反した者に下されるごく一般的な判決であった。；企業の過失責任を前提とする損害賠償を認めた画期的な判決となった。；この判決により占有屋の跋扈に一定の歯止めがかけられることとなった。；最終的に、この判決では連邦議会および州議会の権限を制限している。；ただし、すべての裁判が判決の形式で行われるわけではない。；判決後ではなく公判中に死去したため、天皇から祭粢料を下賜されている。；東京高等裁判所の判決に不服のある者は最高裁判所に上告することになる。；そのため、1959年中に判決を出させるよう要求したのである。；最高裁判所は1870年にウェストバージニア州有利の判決を下した。；国の力が強い当時にあってこれは画期的な判決であった。；チェースの判決はすぐさま攻撃の的となり、今に至るも論議を呼んでいる。；法令に違反し、裁判の判決で、刑罰に服することとなった者を収容する。；下級審ではあるが、本罪は真正身分犯であるとした判決が出ている。；また2003年版では娘・佐枝子とともに第二審の判決を傍聴している。；京都地裁の所長は、この判決文を書いた裁判官に対し注意処分を行った。；スイスの最高裁は純粋に政治的な事項であるとして判決を拒否したことがある。</t>
        </is>
      </c>
      <c r="J6965">
        <f>HYPERLINK("https://www.weblio.jp/content/判決", "词义详情")</f>
        <v/>
      </c>
      <c r="K6965">
        <f>HYPERLINK("https://yourei.jp/判決", "查看例句")</f>
        <v/>
      </c>
    </row>
    <row r="6966">
      <c r="A6966" t="inlineStr">
        <is>
          <t>判子</t>
        </is>
      </c>
      <c r="B6966" t="inlineStr">
        <is>
          <t>成功</t>
        </is>
      </c>
      <c r="C6966" t="inlineStr">
        <is>
          <t>読み方：はんこ
《「はんこう（版行）」の音変化。「判子」は当て字》印判。印形(いんぎょう)。はん。「書類に—を押す」「伝票に—をもらう」</t>
        </is>
      </c>
      <c r="D6966" t="inlineStr">
        <is>
          <t>印；封；封印；判；切手</t>
        </is>
      </c>
      <c r="H6966" t="n">
        <v>29</v>
      </c>
      <c r="I6966" t="inlineStr">
        <is>
          <t>どれもこれも平べったい、判子で押したような笑顔にしか見えなかった。；事業をやるには大けな金が動くよってに、ええ加減に判コは捺せまへん。；判この必要な書類だけ、あとから送ってもらうことはできるだろうか。；神様が特別な運命を与えるために、判子を押したようなものなのです。；課長は朱肉のついた判コを片手に握って新しい仕事に向かっている。；いいか、書類書いて、判子貰って、それでやっと右のものを左に出来る。；手術には同意書が必要だから、相手の人のサインと判子をもらってきてね。；二日前に作成した書類は、判この位置が違うと今朝部長から突き返された。；課長は席を立っていることが多いから、無断で判子を使うのは難しくない。；だから、不満があっても、渋々、建設同意書に判子を押すことになった。；駅スタンプは判子の文化がある日本発祥のもので台湾の駅などにもみられる。；広げてみると、夫の名前の横にやや曲がって判子がついてあった。；案の定、係りの女は通帳の名前をみて、それから眉を顰めて判こをみた。；電話の下には引き出しがついており、中には判子が入っていた。；いかに別人がサインをしようとも、判子が実印ならばすべてに優先する。；美晴は判子を手に、一体誰から何が送られてきたのかとわくわくしていることだろう。；口紅だと思ったのが判子だとわかるのに時間はかからなかった。；きれいなところを見ると、書類の判こ押しなども全部葛西が代わってやってくれたのだろう。；判こをついて置いてきたから、むこうが役所に出すんじゃないの。；一つの会議で結論をだし、五十三枚の伝票に判コをおすことができた。；赫々の戰果つて云ふ奴を新聞は判こ捺すみたいに毎日書いてやがつたものね。；人々は自然に知を委ねるのではなく、知によって自然を判こうとする。；向こうからはこつちが、判この押してない紙屑みたいに見えたかもしれない。；また、農民の間でも既に判子が日常的に使用されていた。；野口は渡米後、母親にアメリカの自分の住所が刻印された判子を送っている。；人相のあまりよくない男たちに囲まれて、震えながら書類に判子を押す彼女の姿が目に浮かんだ。；酒井から判子を押した婚姻届を渡されたらこの家を出よう、そう考えていた。；この政党は判子を押すだけの機能しか無かった国会では小さな存在感しか持たなかった。；彼は判こ屋に自分の名の蔵書印を作らせていた。</t>
        </is>
      </c>
      <c r="J6966">
        <f>HYPERLINK("https://www.weblio.jp/content/判子", "词义详情")</f>
        <v/>
      </c>
      <c r="K6966">
        <f>HYPERLINK("https://yourei.jp/判子", "查看例句")</f>
        <v/>
      </c>
    </row>
    <row r="6967">
      <c r="A6967" t="inlineStr">
        <is>
          <t>反抗</t>
        </is>
      </c>
      <c r="B6967" t="inlineStr">
        <is>
          <t>成功</t>
        </is>
      </c>
      <c r="C6967" t="inlineStr">
        <is>
          <t>読み方：はんこう
［名］(スル)さからうこと。長上や権威・権力などに従わないこと。「親に—する」「体制に—する」
→抵抗［用法］</t>
        </is>
      </c>
      <c r="D6967" t="inlineStr">
        <is>
          <t>反抗する(15%)；反抗的(13%)；反抗心(6%)；反抗しよ；反抗勢力</t>
        </is>
      </c>
      <c r="E6967" t="inlineStr">
        <is>
          <t>反対；対；向かう；対立；抵抗</t>
        </is>
      </c>
      <c r="F6967" t="inlineStr">
        <is>
          <t>反抗児；反抗意識；上官反抗；少しでも反抗；激しく反抗</t>
        </is>
      </c>
      <c r="G6967" t="inlineStr">
        <is>
          <t>反抗期；反抗挑戦性障害；反抗挑発症</t>
        </is>
      </c>
      <c r="H6967" t="n">
        <v>29</v>
      </c>
      <c r="I6967" t="inlineStr">
        <is>
          <t>ブランドは出演した複数の舞台で不安定で反抗的なパターンを確立した。；近代化に理解のあるキリスト教の家であったが反抗して入信しなかった。；ソ連の支配に反抗するとその人物も含めて家族全員がNKVDに逮捕された。；これを降伏への手配りと捉えて、ハサンに反抗して刃をむける者もいた。；前述の通り反抗期に自己主張が激しく攻撃的になる事もある為これも注意。；そして不条理を克服する反抗の可能性から、自殺は反抗ではないとした。；ランボーは家出を繰り返して家族や大人の権威に反抗した詩人である。；ソ連の領土要求に対して唯一軍事的に反抗したのがフィンランドだった。；開耶に支えられて生き生きとプレーする萌に、青は反抗的な態度を取る。；これが引き金となってパリに不満を持った地方が反抗を開始する。；また、アーネストが少しでも反抗的な言動や態度があれば体罰があった。；その事実を追うためにハナちゃんは今まで反抗期を装ってきたのだという。；彼らがジョージ・マーティンに反抗したのは初めてのことであった。；ヴァイオレットはそんな叔父に反抗してガートン・カレッジに入学した。；反体制的反抗ではなく「非体制的」な反逆とでも呼べそうなものである。；即位後もフランスは成泰帝が反抗心を持たないよう、教育に努めた。；特に後半の4人は、自分の栄達、生命、家族を全て捨ててまで反抗した。；そこで彼は自分自身のための「もの」を発見し、父親に反抗し始める。；カサットはサロンに反抗しているのは自分一人でないことを知った。；その後、ぼくは靴やネクタイに反抗され時間に遅れて動物園についた。；これは、副王がしばしば、反抗勢力になるおそれがあったためである。；しかし身毒丸は撫子のことを母とは認められず反抗的な態度をとる。；反面、激しい性格と反抗的な態度から政府に警戒されるようになる。；その邪魔をする人間と国家権力に怒りをおぼえ、反抗しただけのことだと思う。；古くから時の権力者に反抗した政治犯たちが数多く処刑されている。；結局、友達のできない次女が大反抗にでて、子育ては失敗するという話。；この時に上司に反抗的な態度を取ったため、帰国後に謹慎を言い渡された。；この曲のヒットにより尾崎は反抗する10代の象徴的な存在となった。；家に帰ったポーリーは反抗的な態度でメッキーとの結婚を宣言する。</t>
        </is>
      </c>
      <c r="J6967">
        <f>HYPERLINK("https://www.weblio.jp/content/反抗", "词义详情")</f>
        <v/>
      </c>
      <c r="K6967">
        <f>HYPERLINK("https://yourei.jp/反抗", "查看例句")</f>
        <v/>
      </c>
    </row>
    <row r="6968">
      <c r="A6968" t="inlineStr">
        <is>
          <t>犯行</t>
        </is>
      </c>
      <c r="B6968" t="inlineStr">
        <is>
          <t>成功</t>
        </is>
      </c>
      <c r="C6968" t="inlineStr">
        <is>
          <t>読み方：はんこう
犯罪となる行為。犯罪行為。「—を認める」「過激派の—声明」</t>
        </is>
      </c>
      <c r="D6968" t="inlineStr">
        <is>
          <t>犯行後(4%)；犯行時(3%)；犯行当時；犯行動機；犯行説</t>
        </is>
      </c>
      <c r="E6968" t="inlineStr">
        <is>
          <t>罪；犯罪；重罪；咎；凶行</t>
        </is>
      </c>
      <c r="F6968" t="inlineStr">
        <is>
          <t>本件犯行；犯行当夜；犯行推定；犯行手口；犯行そのもの</t>
        </is>
      </c>
      <c r="G6968" t="inlineStr">
        <is>
          <t>犯行声明；犯行グループ；犯行声明文；犯行予告；犯行期</t>
        </is>
      </c>
      <c r="H6968" t="n">
        <v>29</v>
      </c>
      <c r="I6968" t="inlineStr">
        <is>
          <t>犯行の舞台は、前作までの事件の舞台となった場所を利用することが多い。；しかし、警察はそれよりもかなり早い時間で犯行が行われたと考えている。；近年では黒幕説は否定され、公暁単独犯行説を取っている研究者が多い。；ただルビーの犯行が計画されたものでないことは明らかになっている。；彼は犯行時間と思われる時間に、妻の客室に入るところを目撃されていた。；実習生のため妊娠が発覚したら帰国させられると思った末の犯行だった。；少女は犯行の5日前に自宅近くのホームセンターで手斧を購入していた。；一部の専門家は、犯行にもゲームの影響があったのではないかと指摘している。；被害に遭った場合、黙っていると犯行がエスカレートするおそれがある。；犯人は盗品を除外して蔵書目録を作成するなどして犯行を隠蔽していた。；犯行や犯罪現場で犯人像を推定する作業は現場の警察官や刑事でも行っている。；また逮捕後には、以下の事実も被疑者Fの犯行を裏付けるものとなった。；少年は犯行後、少女に電話をかけ一緒に逃げようと車に乗せていた。；犯行の動機などは不明だというが、宣誓問題との関連が疑われている。；銃規制により銃の使用割合が低い日本でも刃物を使った犯行が見られる。；当事件の犯行に関連する説には以下などがあるが、説のすべての網羅ではない。；さらに、ロビー近くで犯行を制止しようとした男性Bにも数発発砲した。；犯行に使用された拳銃はフィリピン製のスカイヤーズビンガムとされる。；しかし、第一目撃者の証言などから、犯行時間については不明な点がある。；銃社会問題の深刻なアメリカなどでは銃を使った犯行が見られる。；犯行の数日後、警察に同一人物からと思われる電話がかかってきた。；それらは犯人が犯行に利用した疑いがある車両だと断定された。；クローズド・サークルで発生する事件は多くの場合、計画的な犯行である。；犯行の数月前には、300万円の新車と40万円の漁船を購入していた。；しかし、そもそも金が目当ての犯行でないならこの説にも疑問符が付く。；これらには独裁の犠牲者を悼み、犯行者を処罰することも含まれていた。；そこに普天間派の幹部らが一緒になって犯行を企てるようになった。；Hの証言では第一の事件にくわえ第二の事件も3人による犯行としていた。；タイトルは彼女の犯行動機のひとつが「月曜日が嫌い」だったことによる。</t>
        </is>
      </c>
      <c r="J6968">
        <f>HYPERLINK("https://www.weblio.jp/content/犯行", "词义详情")</f>
        <v/>
      </c>
      <c r="K6968">
        <f>HYPERLINK("https://yourei.jp/犯行", "查看例句")</f>
        <v/>
      </c>
    </row>
    <row r="6969">
      <c r="A6969" t="inlineStr">
        <is>
          <t>番号</t>
        </is>
      </c>
      <c r="B6969" t="inlineStr">
        <is>
          <t>成功</t>
        </is>
      </c>
      <c r="C6969" t="inlineStr">
        <is>
          <t>読み方：ばんごう
ものの順番を表す数字・符号。ナンバー。「—順に並ぶ」「—札」</t>
        </is>
      </c>
      <c r="D6969" t="inlineStr">
        <is>
          <t>番号札；番号順；番号表示；番号付け；番号付き</t>
        </is>
      </c>
      <c r="E6969" t="inlineStr">
        <is>
          <t>数；電話；ナンバー；件数；電話番号</t>
        </is>
      </c>
      <c r="F6969" t="inlineStr">
        <is>
          <t>登録番号；形式番号；型式番号；部屋番号；記号番号</t>
        </is>
      </c>
      <c r="G6969" t="inlineStr">
        <is>
          <t>番号ポータビリティ；番号案内；番号記号；番号法；番号ポータビリティ制度</t>
        </is>
      </c>
      <c r="H6969" t="n">
        <v>29</v>
      </c>
      <c r="I6969" t="inlineStr">
        <is>
          <t>シリーズではない単独の作品の場合、1個のシリーズ番号が与えられる。；そのため終点で折り返して同じルートを戻る場合に違う系統番号となる。；コンピュータが普及し、統一的な管理番号が求められたことが背景にある。；また内装も一部変更されており、室内の番号表記もプレート式となった。；側面の出入台付近には行先表示器と一体枠で号車番号表示器を設置した。；つまり兵器名と核弾頭の形式番号が明確に分離されるようになったのである。；乗車時に発券機に表示されている番号を覚えておかなくてはならない。；京阪バスの車両には、1台ごとに社番と呼ばれる番号が付与されている。；この番号は店舗の建て替えや業態転換等によって変更されることがある。；また、TC番号は次の年またはシーズンに入るまでは再使用されない。；当駅は三河線の他の駅とは異なり、東側からホーム番号が振ってある。；ホーム上の乗り場番号は南側から6番線・7番線の順で付番されている。；奇数番号車のドアは品川方に向かって開き、偶数番号車はこの逆に開く。；登録番号の数字部分は山口ナンバー時代と同一の番号を取得している。；最初のころはそれぞれの年に番号をつけることはしなかった。；以下、条数のみ記載する場合には、日本の商法典の条文番号を意味する。；電停番号の頭文字がHとなっているのもこれらの理由によるものである。；イタリアにはインターチェンジ番号自体がなく、地名のみで案内している。；改造に伴う改番は発生しておらず、全車が改造前の番号のままである。；紛失の場合と同様に新たな番号のカードへ切り替え再発行の依頼も検討する。；ほかの紙幣でも、この記番号は表面にある額面の上方に記載されている。；楽譜冒頭で各番号がどのスピーカーを意味するのか明記する必要がある。；これらの参照番号はケンペルが日本に滞在していた時の備忘録でも見られる。；ホームの番号は北側から付けられており、1番線から4番線まで存在する。；ただし、305番については西行き・東行き双方で番号統一を行っている。；メニュー項目選択時に番号ボタンを押すことで直感的な操作も可能である。；異なるクラスにある道路が同じ番号を持つことができる。；どちらの番号もついていない作品は挙げられていない。；ソフトによっては後者の番号について生成する機能を持ったものも存在する。</t>
        </is>
      </c>
      <c r="J6969">
        <f>HYPERLINK("https://www.weblio.jp/content/番号", "词义详情")</f>
        <v/>
      </c>
      <c r="K6969">
        <f>HYPERLINK("https://yourei.jp/番号", "查看例句")</f>
        <v/>
      </c>
    </row>
    <row r="6970">
      <c r="A6970" t="inlineStr">
        <is>
          <t>犯罪</t>
        </is>
      </c>
      <c r="B6970" t="inlineStr">
        <is>
          <t>成功</t>
        </is>
      </c>
      <c r="C6970" t="inlineStr">
        <is>
          <t>読み方：はんざい
１罪をおかすこと。また、おかした罪。「—を防ぐ」「完全—」
２刑法その他の刑罰法規に規定する犯罪構成要件に該当する有責かつ違法な行為。</t>
        </is>
      </c>
      <c r="D6970" t="inlineStr">
        <is>
          <t>犯罪者(2%)；犯罪事件；犯罪率；犯罪現場；犯罪性</t>
        </is>
      </c>
      <c r="E6970" t="inlineStr">
        <is>
          <t>罪；違反；犯行；侵害；反則</t>
        </is>
      </c>
      <c r="F6970" t="inlineStr">
        <is>
          <t>重大犯罪；暴力犯罪；凶悪な犯罪；非犯罪；恐ろしい犯罪</t>
        </is>
      </c>
      <c r="G6970" t="inlineStr">
        <is>
          <t>犯罪行為；犯罪組織；犯罪捜査；犯罪人；犯罪被害者</t>
        </is>
      </c>
      <c r="H6970" t="n">
        <v>29</v>
      </c>
      <c r="I6970" t="inlineStr">
        <is>
          <t>弁護人は犯罪が行われなかったと主張することを認められていなかった。；一部の国では、子供であっても一般的な犯罪で投獄される可能性がある。；女優になることを夢見ており、若い頃は犯罪の道に進む気配はなかった。；警察等が犯罪を捜査した場合、事件を検察官に送致しなければならない。；多様化する犯罪から人々を守るために、3つの魂が炎となって燃えた!；警察はどこにも存在しないし、犯罪を抑圧する手段は極めて限られている。；本罪は逮捕・監禁の状態を維持している間は犯罪が継続する継続犯である。；刑法学では超自然力への依頼によって犯罪を実現しようとする行為をいう。；イギリスでは原則として犯罪の捜査と訴追の権限は警察が有している。；アナログ時代に多くのクローン携帯が犯罪に使われたとレポートされた。；多様化する未来型犯罪に敢然と挑戦する特別救急捜査隊の誕生である!；しかし、全米の多くの都市同様に、犯罪件数の多い地域は限られている。；また自分が属する地方の長官の領内で犯罪があれば摘発と制裁を行った。；また、近年はそれに伴う迷惑行為や犯罪、ゴミの問題が指摘されている。；また、釈放された後も積極的にマスコミ等でドイツの犯罪を批判し続けた。；地元警察署は同島の岩であっても傷付けることは犯罪であるとしている。；一方で、同時に導入された刑事免責制度は、対象の犯罪を限定していない。；同国では全土において一般犯罪が日常的に発生しているとの情報がある。；また客の女性が犯罪を行って費用を獲得することもあった。；親告罪においては告訴されない限りは犯罪ではない、と言う見解もある。；前者の一部と後者の大半の国々では、同性愛自体が犯罪化されている。；これらの女性への性暴力の犯罪の大半がラッシュアワーに起きている。；確かに催眠で犯罪を行わせたとする実験や実例はいくつか存在する。；第12話までは、それぞれ独自の組織を率いるさまざまな犯罪者が登場した。；犯行や犯罪現場で犯人像を推定する作業は現場の警察官や刑事でも行っている。；また、ある種の犯罪では実行行為が終了することではじめて既遂罪となる。；同時に犯罪率が低く治安の良さは世界トップクラスを維持している。；そのため、刑務所への服役が出所後の犯罪を誘発してしまう場合もある。；性犯罪者の再犯率は一般的な犯罪の再犯率よりも低いという意見もある。</t>
        </is>
      </c>
      <c r="J6970">
        <f>HYPERLINK("https://www.weblio.jp/content/犯罪", "词义详情")</f>
        <v/>
      </c>
      <c r="K6970">
        <f>HYPERLINK("https://yourei.jp/犯罪", "查看例句")</f>
        <v/>
      </c>
    </row>
    <row r="6971">
      <c r="A6971" t="inlineStr">
        <is>
          <t>万歳</t>
        </is>
      </c>
      <c r="B6971" t="inlineStr">
        <is>
          <t>成功</t>
        </is>
      </c>
      <c r="C6971" t="inlineStr">
        <is>
          <t>読み方：ばんざい
［名］(スル)《古くは「ばんぜい」。「ばんざい」は近代以降の読み方》
１祝いや喜びの気持ちを込めてを唱えること。多く、威勢よく両手を上げる動作を伴う。また、その動作のこともいう。「—を三唱する」「—の姿勢」
２めでたいこと。うれしいこと。「これが成功すれば—だ」
３《1の動作から》
㋐降参すること。お手上げ。「もう食べられない。—するよ」
㋑野球で、野手がフライを捕球しようとして両手を上げながら、打球に頭上を抜かれること。→ばんぜい（万歳）
［感］めでたいときやうれしいときに、その気持ちを込めて発する語。「—、合格だ」</t>
        </is>
      </c>
      <c r="D6971" t="inlineStr">
        <is>
          <t>万歳万歳；万歳師；万歳事件；万歳鉾；万歳運動</t>
        </is>
      </c>
      <c r="E6971" t="inlineStr">
        <is>
          <t>観念；断念；棄権；諦める；降参</t>
        </is>
      </c>
      <c r="F6971" t="inlineStr">
        <is>
          <t>ナポレオン万歳；共和国万歳；中華民国万歳；万歳節；あげて万歳</t>
        </is>
      </c>
      <c r="G6971" t="inlineStr">
        <is>
          <t>万歳楽；万歳通天；万歳町；万歳突撃；万歳登封</t>
        </is>
      </c>
      <c r="H6971" t="n">
        <v>29</v>
      </c>
      <c r="I6971" t="inlineStr">
        <is>
          <t>万歳をしているような手を取って握ったが、すでに冷たくなっている。；ちょうど万歳しているかのように、両手が頭の脇に投げ出されている。；万歳同士であるか、他の人を相手に話すのか、それはいずれでも差支ない。；勝ったチームの選手は万歳し、負けたチームの選手は悔し泣きをする。；彼は両手で万歳をしたまま、静々と左右に押し開かれる門扉を見つめた。；「じゃあ、俺のほうも確認させてもらうぜ」 菊池も素直に万歳をした。；父が二十枚入りの箱を買って来てくれたときは家族一同で万歳をしたのを覚えている。；子どもの頃の私だったら、嬉しくて、万歳と叫んでいたかもしれない。；かわいがってもらって一つでもビスケットを多く手に入れたら万歳だ。；撤退の実行を命じられるたび、彼らは「万歳」の叫びをもって答えた。；この記事がわが国の新聞に小さくのった時、私は万歳と叫んだものだ。；他にも盛大な万歳の見送りを受けている少年グループが何組かいた。；それから後の江戸の春に市丸太夫の万歳すがたはもう見えなくなった。；裸の女が両手を頭の上にあげた万歳のような恰好で、柱に結いつけられている。；海戦での日本の勝利を告げられた際に、「万歳」の言葉を残している。；それにしてもあの見事な万歳を発声したのは一体誰だったのか。；その様子を見てみんなはもう一度物凄い程の声で万歳を叫んだ。；そして、万歳が終わると、ポリネシアのひとりで歌う声が聞こえました。；ラジオ・テレビ共通のスポーツテーマ音楽『ヨーロッパ万歳』である。；無罪にはなったが、万歳と喜びの声をあげることはできなかった。；最後に管弦楽員と俳優の全部は拍手喝采して、モーツァルト万歳をした。；万歳であんまり大きな声を出して、いさゝか調子をやってしまった。；朝鮮人の団体も朝鮮の音楽を先頭にして万歳を唱えながら参加した。；万歳運動後には警察の警戒網を避けて1919年4月に上海市へ亡命した。；停学を命ずという掲示が翌日掲げられたとき、生徒一同は万歳を叫んだ。；この万歳は、江戸屋敷の如く家々でするのでなく、或家でのみさせた。；人民の万歳の声が宮城の奥まで聞こえたということが書いてあった。；やっとドゴール空港に着いた時は、二人とも万歳を三唱したい気分であった。；王が輦の帳をかかげて姿を現わすと、王の万歳を唱える声が轟き渡った。</t>
        </is>
      </c>
      <c r="J6971">
        <f>HYPERLINK("https://www.weblio.jp/content/万歳", "词义详情")</f>
        <v/>
      </c>
      <c r="K6971">
        <f>HYPERLINK("https://yourei.jp/万歳", "查看例句")</f>
        <v/>
      </c>
    </row>
    <row r="6972">
      <c r="A6972" t="inlineStr">
        <is>
          <t>煩雑</t>
        </is>
      </c>
      <c r="B6972" t="inlineStr">
        <is>
          <t>成功</t>
        </is>
      </c>
      <c r="C6972" t="inlineStr">
        <is>
          <t>読み方：はんざつ
［名・形動］こみいっていてわずらわしいこと。また、そのさま。「—を極める」「—な手続き」
[派生]はんざつさ［名］</t>
        </is>
      </c>
      <c r="D6972" t="inlineStr">
        <is>
          <t>煩雑な手続き(3%)；煩雑化(3%)；煩雑な作業；煩雑な処理；煩雑な仕事</t>
        </is>
      </c>
      <c r="E6972" t="inlineStr">
        <is>
          <t>困難；複雑；障害；故障；面倒</t>
        </is>
      </c>
      <c r="H6972" t="n">
        <v>29</v>
      </c>
      <c r="I6972" t="inlineStr">
        <is>
          <t>近年は計算機を用いて煩雑な計算を実行する方法を研究することが多い。；これは僕の勘ですが、それほど煩雑なことにはならないと思いますよ。；これらの内容を整理して、逐一違いを述べていくのはきわめて煩雑となる。；煩雑な目的をもって設計された兵器で二つの機能を持っている。；暗くはあるし煩雑な道筋だからいつ撒かれてしまうとも限らなかった。；手続きが煩雑であったことなどから事業者からは改善を望む声が多かった。；ちょっと文字にすると煩雑だけれど、次頁の絵を見ていただけるとよい。；鬼浜の成立小役は一見すると非常に煩雑でわかりづらい仕様になっている。；煩雑な説明は避けますが、まあ、一種のコンピューター・ゲームですな。；いくつもの指標を組み合わせているため、算出方法は極めて煩雑である。；最終的には、二百四名を被申請人とする煩雑な裁判となったのである。；煩雑な生活のために精神の統一が出来ないのだと彼は思った。；雑誌に掲載されたイラスト作品群は煩雑になるため、取り上げない。；それは結果的には死体や血に関して煩雑なケガレの体系をつくっている。；下記にはそれぞれ疾患をたくさん含んでいるが煩雑となるので分類だけ記載する。；工程においてもそうである、煩雑な道は器の体に病いを起させるであろう。；配線は金属製の配管の中を通してあったが、実際には煩雑なものであった。；どうしてこんなに会議がふえ、事務的な仕事も煩雑になってきたのか。；そのため、非常に高度で煩雑な処理を記述できるようになった。；また、プロカメラマンにとってもこの計算は煩雑で厄介なものであった。；病気はそれでなくても煩雑な細々としたことが気になった。；その煩雑さを避けるため、官僚は規制を設け、一括して処理しようと図る。；調理が煩雑な面も否めないがかつては魚介類は安価で手に入れられた。；あれほど煩雑だったコード類までまとめて消え、机まわりはすっきりとしていた。；分岐器の箇所では速度制限区間が短く煩雑さを避けるため省略される。；最後に外交上のエチケットの明らかに煩雑な問題は一挙に解決された。；余りにも数が多すぎて煩雑になり過ぎた為である。；どのような場合にどれほど期間が短縮されて帰休兵となるかはきわめて煩雑である。；しかし収入の有無と増減額の関係が煩雑で、制度自体複雑であった。</t>
        </is>
      </c>
      <c r="J6972">
        <f>HYPERLINK("https://www.weblio.jp/content/煩雑", "词义详情")</f>
        <v/>
      </c>
      <c r="K6972">
        <f>HYPERLINK("https://yourei.jp/煩雑", "查看例句")</f>
        <v/>
      </c>
    </row>
    <row r="6973">
      <c r="A6973" t="inlineStr">
        <is>
          <t>判事</t>
        </is>
      </c>
      <c r="B6973" t="inlineStr">
        <is>
          <t>成功</t>
        </is>
      </c>
      <c r="C6973" t="inlineStr">
        <is>
          <t>読み方：はんじ
１裁判官の官名の一。10年以上、判事補・検察官・弁護士・大学教授などの職にあった者の中から任命され、高等裁判所・地方裁判所・家庭裁判所に配属される。任期は10年で再任できる。
２律令制で、刑部(ぎょうぶ)省・大宰府に置かれ、裁判を審理し、刑名を定めることを任とした職員。</t>
        </is>
      </c>
      <c r="D6973" t="inlineStr">
        <is>
          <t>判事席；判事たち；判事さん；判事試補；判事団</t>
        </is>
      </c>
      <c r="E6973" t="inlineStr">
        <is>
          <t>裁判官；法官；司法官；治安判事；審判員</t>
        </is>
      </c>
      <c r="F6973" t="inlineStr">
        <is>
          <t>裁判所判事；陪席判事；首席判事；大判事；主席判事</t>
        </is>
      </c>
      <c r="G6973" t="inlineStr">
        <is>
          <t>判事検事登用試験</t>
        </is>
      </c>
      <c r="H6973" t="n">
        <v>29</v>
      </c>
      <c r="I6973" t="inlineStr">
        <is>
          <t>その結果、イギリスの判事は立法権限者に拘束されないのが伝統だった。；もう1名はこの裁判にはもとから批判的な判事だったとされている。；この人物はおそらく、村の判事かあるいは村長であったと推測される。；さらに1772年から1774年は植民地最高裁判所の判事でもあった。；母親が判事の鑑別所送りの勧めに応じたため、束縛された毎日を過ごす。；一家はサミュエルが土地投機で成功し、郡判事になるなど繁栄し始めた。；また、この年には判事のも死亡したため、裁判所は人員不足に陥った。；主人の待遇がひどい時は、土地の判事のところに行くこともできた。；別の日に皇子が一人の判事と相談していたとき、皇子の脇息が折れた。；この年は11人の判事全員が初めて裁判に出席した年であった。；判事だった父の立場を考慮し、父が退官するのを待って発行した。；これは、倒産事件を取り扱う倒産裁判所判事で構成される裁判所である。；州知事は特別委員会が選んだ候補者の中から各裁判所の判事を選定する。；報道によれば判事はこのとき同作品から問題となったシーンのみを見せられての判断を行ったとのことである。；セイラム村にはセイラム市から3人の判事が派遣され、審理が行われた。；判事は州最高裁判所判事を選出するために使われる手段に類似した方法で選ばれている。；二人が塀を乗り越えて家へ入ると、泉水の中で殺されている判事を発見した。；アヌンナキの会議には必ず出席し、議長や判事のような役割を務める。；そうした経緯から、明確な保守派であるアリートが判事に指名された。；極東軍事裁判で派遣されていたベルト・レーリンク判事と交遊があった。；また1985年には州最高裁判所に最初の有色人種判事が誕生した。；全ての判事は最高裁判所判事と同様に、指名後に審査投票が行われる。；判事や許可を受けた報道関係者に見えるように、ガラスの大きな窓を備えている。；この間21年間務めたことになり、最初に指名された判事の中では最長だった。；父は祖国に帰り判事として働きたいが、母はケニアに残りたいと主張する。；ホワイトは一般に裁判所判事の中でも保守的な部類に見られていた。；また、この頃彼はオーストリア憲法裁判所の終身判事に就任している。；そこでサンソンは判事の許可を得て、四肢の付け根に切り込みを入れた。；控訴裁判所の判事は赤いローブを纏うことで、国内でも唯一の存在である。</t>
        </is>
      </c>
      <c r="J6973">
        <f>HYPERLINK("https://www.weblio.jp/content/判事", "词义详情")</f>
        <v/>
      </c>
      <c r="K6973">
        <f>HYPERLINK("https://yourei.jp/判事", "查看例句")</f>
        <v/>
      </c>
    </row>
    <row r="6974">
      <c r="A6974" t="inlineStr">
        <is>
          <t>繁盛</t>
        </is>
      </c>
      <c r="B6974" t="inlineStr">
        <is>
          <t>成功</t>
        </is>
      </c>
      <c r="C6974" t="inlineStr">
        <is>
          <t>読み方：はんじょう
［名・形動］(スル)にぎわい大いに栄えること。また、そのさま。はんせい。「店が—する」「商売—」
「どうか二三年の内に、世界中の—な港へおし渡って」〈魯文・安愚楽鍋〉</t>
        </is>
      </c>
      <c r="D6974" t="inlineStr">
        <is>
          <t>繁盛する(10%)；繁盛ぶり(2%)；繁盛記；繁盛流；繁盛してる</t>
        </is>
      </c>
      <c r="E6974" t="inlineStr">
        <is>
          <t>成功；発展；繁栄；伸びる；振興</t>
        </is>
      </c>
      <c r="F6974" t="inlineStr">
        <is>
          <t>かなり繁盛；御繁盛；桓武平氏繁盛；桓武平氏繁盛；娘すし屋繁盛</t>
        </is>
      </c>
      <c r="G6974" t="inlineStr">
        <is>
          <t>繁盛村</t>
        </is>
      </c>
      <c r="H6974" t="n">
        <v>29</v>
      </c>
      <c r="I6974" t="inlineStr">
        <is>
          <t>駅近のビルに最新の設備を入れて、ずいぶん繁盛している感じでしたよ。；この人がいたから、この商家は繁盛してきたのだとバルサは思っている。；わたしの開いているレストランは、まずまず繁盛しているといっていい。；石炭に至っては海軍の軍艦の燃料に使用され、商売はますます繁盛した。；それでも、横浜店を大改造して寿司店をはじめ、店は大へんに繁盛した。；言うだけのことはあって、青年が経営する酒場はなかなかに繁盛していた。；敗戦後神田にカメラ屋を開き、高級カメラに精通していたため繁盛した。；店は繁盛し、一年もたたぬうちに見ちがえるほどの豊かな暮しになった。；見かけからすると、どれもさして繁盛しているようにも見えなかった。；味の変わらないレストランが急に繁盛するのは、イメージが良くなったからだ。；今日明日の小口の金に困っている人間は多く、内職はけっこう繁盛した。；多くの繁盛する店が高級品店やレストランと肩を並べている。；その両側には米人相手の店々が並んでいて繁盛しているようだった。；新宿クリニックは、高橋が予想していたよりもはるかに繁盛しはじめた。；見たところ、商売は繁盛し、店の者たちもあなたに懐いているようだ。；昔の日本人は、よく帽子をかぶっておったから、商売は繁盛しよったなあ。；州の南北を貫く幹線道路であるに面した店は繁盛し、規模を拡大した。；その店が繁盛するかどうかは、外から入る電話の本数に左右される。；発展途上にあった帯広の町で、商売熱心であった豊作の魚屋は繁盛した。；里香の働きでメデリンは繁盛するが、その行動には不審なところが多い。；今の薬師川が宝川といふ旧名を持つてゐるのはその繁盛を証明してゐる。；でもこの大繁盛で残せない路線なら、たぶん何をしても駄目だと思う。；繁盛しているせいでもあるし、あまり換気がよくないせいでもある。；私はいかにすればお店が繁盛するかを考え、お金の計算もする。；この全員をホステスにして銀座でバーを開いたら、繁盛まちがいなしだ。；かつて、この店がどれだけ繁盛したのか、そのレイアウトから偲ばれる。；店の繁盛いたしますのも、みんなこの招きねこのせいでございますよ。；次々に新商品を提案し店は繁盛したが、店主と喧嘩をして店を飛び出してしまう。；また水をかけられるのは、水商売の繁盛を祈る意味もあるといわれる。</t>
        </is>
      </c>
      <c r="J6974">
        <f>HYPERLINK("https://www.weblio.jp/content/繁盛", "词义详情")</f>
        <v/>
      </c>
      <c r="K6974">
        <f>HYPERLINK("https://yourei.jp/繁盛", "查看例句")</f>
        <v/>
      </c>
    </row>
    <row r="6975">
      <c r="A6975" t="inlineStr">
        <is>
          <t>繁殖</t>
        </is>
      </c>
      <c r="B6975" t="inlineStr">
        <is>
          <t>成功</t>
        </is>
      </c>
      <c r="C6975" t="inlineStr">
        <is>
          <t>読み方：はんしょく
［名］(スル)動物や植物が生まれてふえること。生殖により個体数がふえて再生産が行われること。「細菌が—する」</t>
        </is>
      </c>
      <c r="D6975" t="inlineStr">
        <is>
          <t>繁殖する(11%)；繁殖地(7%)；繁殖牝馬(4%)；繁殖入り(3%)；繁殖個体(2%)</t>
        </is>
      </c>
      <c r="E6975" t="inlineStr">
        <is>
          <t>増加；飼育；増大；増える；増殖</t>
        </is>
      </c>
      <c r="F6975" t="inlineStr">
        <is>
          <t>大繁殖；集団繁殖；繁殖活動；繁殖例；繁殖成績</t>
        </is>
      </c>
      <c r="G6975" t="inlineStr">
        <is>
          <t>繁殖期；繁殖力；繁殖行動；繁殖馬；繁殖賞</t>
        </is>
      </c>
      <c r="H6975" t="n">
        <v>29</v>
      </c>
      <c r="I6975" t="inlineStr">
        <is>
          <t>繁殖をしないのだから、その形質を持つ子孫が残るはずがないのである。；繁殖中はより敏感であり、危険を感じると雛や卵を放棄することもある。；彼の影響で、イギリスの農民は主に肉用に家畜を繁殖させるようになった。；単独で営巣することも、同科他種も含めた集団繁殖地を形成する事もある。；多くの植物はこの時期から葉を伸ばし、栄養を蓄えてから繁殖を始める。；なお、人間以外の動物でも繁殖用の犬や馬などで稀に同様の症状が確認される。；月基地の自爆装置も聖書によって繁殖した植物のために動作しなかった。；東シベリアの一部の地域でも繁殖しているといわれるが、詳細は不明。；この時期になると繁殖地の海岸には多くの親鳥が集まり、繁殖を始める。；秋にも出産することがあるが、春の繁殖に失敗した個体によるものが多い。；一方で好気性菌であるために、過剰な水分がある環境下でも繁殖しない。；種子繁殖は品種改良などの交配目的以外で行われることはほとんどない。；メリーランド州は東海岸にある州と同様に植物が豊富で繁殖している。；月経と月との関連から動植物の性生活・繁殖に影響力を持つとされた。；繁殖地へ移動した頃から数えると約120日間も絶食していることになる。；カワウの爆発的な繁殖以前にはシラサギの大繁殖地として有名であった。；冬期も繁殖地沿岸に留まることが多く、あまり長距離の渡りは行わない。；このライフゲームのルールは細菌などの生物の繁殖のアナロジーである。；一方で繁殖地にネズミ類が侵入することによる影響が懸念されている。；逆に日本のクズのように、日本国外で大繁殖して問題になっている例もある。；日本ではまれに飛来していたが、近年は目撃例や繁殖例が増加傾向にある。；狆の祖先犬は、当初から日本で唯一の愛玩犬種として改良・繁殖された。；形態がよく似ているダイシャクシギと比べると、繁殖地は局地的である。；特定の繁殖期はないが、主に4 - 5月に繁殖を開始することが多い。；彼の最も重要な繁殖計画の一つは羊を利用したものであった。；日本では繁殖の記録はなく、この鳥の夏羽を見ることはない。；こうした鳥類の繁殖への悪影響は、ヨーロッパでも問題視されている。；季節を問わず冬でも繁殖できるが、営巣活動は春先と秋に特に活発である。；朝鮮半島の一部に繁殖記録があるだけで、ほぼ日本だけに生息する固有種。</t>
        </is>
      </c>
      <c r="J6975">
        <f>HYPERLINK("https://www.weblio.jp/content/繁殖", "词义详情")</f>
        <v/>
      </c>
      <c r="K6975">
        <f>HYPERLINK("https://yourei.jp/繁殖", "查看例句")</f>
        <v/>
      </c>
    </row>
    <row r="6976">
      <c r="A6976" t="inlineStr">
        <is>
          <t>反する</t>
        </is>
      </c>
      <c r="B6976" t="inlineStr">
        <is>
          <t>成功</t>
        </is>
      </c>
      <c r="C6976" t="inlineStr">
        <is>
          <t>読み方：はんする
［動サ変］［文］はん・す［サ変］
１反対になる。裏腹になる。「期待に—・する」「去年に—・して今年は雨が多い」
２規則などに違反する。「約束に—・する」
３命令や教えなどにそむく。「主命に—・する」「人の道に—・する」</t>
        </is>
      </c>
      <c r="D6976" t="inlineStr">
        <is>
          <t>反する可能性</t>
        </is>
      </c>
      <c r="E6976" t="inlineStr">
        <is>
          <t>反対；抵抗；対抗；戦う；喧嘩</t>
        </is>
      </c>
      <c r="F6976" t="inlineStr">
        <is>
          <t>著しく反する；自然に反する；まったく反する</t>
        </is>
      </c>
      <c r="H6976" t="n">
        <v>29</v>
      </c>
      <c r="I6976" t="inlineStr">
        <is>
          <t>中には、モラルに反して相手に気づかせないまま撮影をすることがある。；年齢に反して未だに魅力的な肉体と長いブルネットの髪を維持している。；主の無垢な僕に反するような非正当な法を撤回することを求めています。；これは神の意に反することであったので、オナンは神により処刑された。；また、港の予想に反して、開始直後から高視聴率を叩き出すことになる。；その結果はいくつかの点で理論的な予測に反するものであった。；しかし北海道にはそれ以前に開湯した温泉が複数あり、事実と反する。；報道に反して、父は精神衛生上の問題を抱えていたわけではなかった。；これを取り付けられた者は意に反しておねしょをしてしまうという。；しかし予想に反して、敵機の空襲はなく艦隊は何事もなく進撃を続けた。；これは当時刑法第58条に反した者に下されるごく一般的な判決であった。；嘘とは事実に反する事柄の表明であり、特に故意に表明されたものを言う。；自分たちの信仰生活に反すると判断した新しい技術・製品・考え方は拒否するのである。；従ってわたしはしばしば感情に反して行動しなければならない。；しかしながらその予想に反し、本作は批評面と商業面の両方で成功を収めた。；しかし、蓋を開けてみると、予想に反して期待を裏切ったシーズンだった。；なおこの投票では、ルールに反した提案でもそのまま投票対象となっていた。；人間の尊厳という心の深い感覚に反するものは行ってはならならない。；そのためゴルチャコフの期待に反して露仏関係は急速に悪化した。；均等のとれた筋肉質な体格をしているため、大きさに反して体重は重い。；このプロデビュー時は本人の意に反してベースを担当させられる。；これはこれまでの全ての戦略の原則に反するものだった。；イギリスの利益に反して海外で活動する部隊が作られた。；したがってこの自己の意志に反する条約を締結したという主張は許されてはならない。；英米法の法原理ではこれに反する契約や私的取引等の行為は無効とされる。；ポストモダン文学は近代文学の特徴に反する特徴を持つ文学のことである。；なお国会議員のうち3人が党の方針に反しウクライナ侵攻を批判している。；当時の常識に反する考え方だったため、当初の評判はよくなかった。；彼は自らの意に反して囚人にされたとメキシコ人の軍人に納得させることができた。</t>
        </is>
      </c>
      <c r="J6976">
        <f>HYPERLINK("https://www.weblio.jp/content/反する", "词义详情")</f>
        <v/>
      </c>
      <c r="K6976">
        <f>HYPERLINK("https://yourei.jp/反する", "查看例句")</f>
        <v/>
      </c>
    </row>
    <row r="6977">
      <c r="A6977" t="inlineStr">
        <is>
          <t>反省</t>
        </is>
      </c>
      <c r="B6977" t="inlineStr">
        <is>
          <t>成功</t>
        </is>
      </c>
      <c r="C6977" t="inlineStr">
        <is>
          <t>読み方：はんせい
［名］(スル)
１自分のしてきた言動をかえりみて、その可否を改めて考えること。「常に—を怠らない」「一日の行動を—してみる」
２自分のよくなかった点を認めて、改めようと考えること。「—の色が見られない」「誤ちを素直に—する」</t>
        </is>
      </c>
      <c r="D6977" t="inlineStr">
        <is>
          <t>反省する(8%)；反省点；反省的；反省してる；反省会</t>
        </is>
      </c>
      <c r="E6977" t="inlineStr">
        <is>
          <t>後悔；悔恨；改心；内省；自戒</t>
        </is>
      </c>
      <c r="F6977" t="inlineStr">
        <is>
          <t>無反省；自己反省；こうした反省；そうした反省；自ら反省</t>
        </is>
      </c>
      <c r="G6977" t="inlineStr">
        <is>
          <t>反省文；反省会雑誌；反省ザル</t>
        </is>
      </c>
      <c r="H6977" t="n">
        <v>29</v>
      </c>
      <c r="I6977" t="inlineStr">
        <is>
          <t>事実、現代編では殺したのはアントンのみで殺した後には反省していた。；これを受けてデューイも自身の教育理論を反省的に練り直すことになる。；本型の反省から次の第13号型駆潜艇では全く逆になったと思われる。；彼によればその方が友人を反省させられると考えたからだと言う。；彼らは反省期間を置きそれを認められた後にキャリアを再開する。；稀に、コーナーを行わずそのままコント終了後の反省会へ進む場合もある。；各回の放送の反省点や放送で取り上げられないトークを展開している。；無神論論争への反省から書かれた『人間の使命』はこの頃の著作である。；この反省から後の作品は難解な和声と形式を破った構成が特徴となっている。；一方で「博士学位の重みや信頼を損なわせたが反省している」と述べた。；反省点を見つけ出した日本人もいたが、やり過ぎとの声も上がった。；学級内のいじめや仲違いなどの事件の反省として書かされる場合もある。；ストア派にとって哲学とは常に実践と反省を行う動的な過程なのである。；根本は自身のホームページにてこの事実を認めたうえで反省の弁を述べた。；新団体はオウム真理教の総括と反省のもと設立されたと謳われている。；逮捕された父親は罪を認め反省を示したため、起訴されなかった。；同作での反省から、開発に当たってはアメリカ人の好みなどの分析が行われた。；直観主義に与しない点で反省哲学はスピリチュアリスムとは区別される。；現にこの人物は身体を右に向けながらも左を振り返り反省することを忘れない。；庵にそれを指摘されてからは若干低姿勢になり、さすがに反省している様子。；確かにやりすぎた部分があったことは反省しています。；前年の反省から2005年仕様は信頼性を重視した開発が行われた。；この反省により、ドイツでは比較的早い時期に死刑制度が廃止されている。；また、この戦争の反省からギリシア正教徒の社会的平等を承認している。；だが、自分の大統領時代については何の反省もしていないという。；出家後は自分を反省する事に努め、尼僧中の第一人者になったといわれる。；節目で方針が揺れる主体性のなさが交渉を難しくしたことも反省すべきだ。；アイルランドの地主は反省することなく権力を行使し、人々は恐れた。；この件に対し陸軍士官学校は正式に深く反省し謝罪する事態となった。</t>
        </is>
      </c>
      <c r="J6977">
        <f>HYPERLINK("https://www.weblio.jp/content/反省", "词义详情")</f>
        <v/>
      </c>
      <c r="K6977">
        <f>HYPERLINK("https://yourei.jp/反省", "查看例句")</f>
        <v/>
      </c>
    </row>
    <row r="6978">
      <c r="A6978" t="inlineStr">
        <is>
          <t>伴奏</t>
        </is>
      </c>
      <c r="B6978" t="inlineStr">
        <is>
          <t>成功</t>
        </is>
      </c>
      <c r="C6978" t="inlineStr">
        <is>
          <t>読み方：ばんそう
［名］(スル)楽曲の主旋律や主声部を支え引き立てるために、他の楽器で補助的に演奏すること。また、その演奏。「ギターで—する」</t>
        </is>
      </c>
      <c r="D6978" t="inlineStr">
        <is>
          <t>伴奏音楽(3%)；伴奏楽器(2%)；伴奏版(2%)；伴奏ピアニスト；伴奏音型</t>
        </is>
      </c>
      <c r="E6978" t="inlineStr">
        <is>
          <t>伴奏部</t>
        </is>
      </c>
      <c r="F6978" t="inlineStr">
        <is>
          <t>管弦楽伴奏；オーケストラ伴奏；ギター伴奏；伴奏部；伴奏なし</t>
        </is>
      </c>
      <c r="G6978" t="inlineStr">
        <is>
          <t>伴奏譜</t>
        </is>
      </c>
      <c r="H6978" t="n">
        <v>29</v>
      </c>
      <c r="I6978" t="inlineStr">
        <is>
          <t>しかし、やがては息子の作になる曲を孫のピアノ伴奏で歌う幸せも得た。；しかしそこには伴奏だけでなく、歌の旋律型にも多少の相違が見られる。；しかしながら楽器は、演奏の際に伴奏として使われていたかもしれない。；ビアノ伴奏など入る事もあるがチェロだけで演奏される事が殆どである。；しかし当ソフトでは勝負にかかわらず、踊りの音楽は最初から伴奏される。；また、伴奏のオーケストラの再導入も提案されたが、実現されなかった。；もう一方は伴奏を含めてすべて完成しているもので、改訂稿と呼ばれる。；歌手は音楽を奏で、それは楽器による伴奏がある場合とない場合がある。；いろいろなジャンルの曲のソロのピアノ弾きや伴奏をこなしたりしていた。；この時はショスタコーヴィチがピアノ伴奏用に編曲したものが演奏された。；弾き語りは、一人で歌唱とその伴奏を担う楽器の演奏を同時に行うこと。；第1主題の動機が伴奏に回っている中そのまま展開部に移行する。；ピアノ伴奏は単純で、主和音を右手と左手とで交互に奏するだけである。；実際の音楽では、伴奏音形において低い音が強拍に当たることが多い。；次の原田・合田版に使用されている伴奏は橋幸夫が使用していたものと同じ。；本来はピアノ伴奏の四重唱曲だが、合唱曲として演奏されることも多い。；現場ではピアノの生伴奏を役者にイヤホンで聞かせながら撮影した。；また歌曲集も録音しており、オネゲルはピアノの伴奏を担当している。；カンタータとは、単声または多声のための器楽伴奏付の声楽作品をいう。；半音階進行が右手で繰り返され、左手伴奏は主題部と変わらない音形。；また戦場で歌われるパイアンにはアウロスとキタラの伴奏がついていた。；この時伴奏音型に現れるバスの進行は第1主題から導かれている。；その際、世俗的な音楽とは区別するために楽器による伴奏を極力排除した。；またこの時は床のメリヤスに篠笛を吹かせる抒情的な伴奏が効果的である。；和音の伴奏を伴いつつ第1主題が軽やかに提示されて曲が開始する。；なお、ピアノで伴奏を行う人のことを、アカンパニストと呼ぶ場合がある。；アメリカでのリサイタルはいずれもジェラルド・ムーアの伴奏で行われた。；伴奏のボイス数が増え、ベースを加えた際に高音パートが消えなくなった。；ピアノ伴奏科・古楽科・指揮科は大学院プログラムのみである。</t>
        </is>
      </c>
      <c r="J6978">
        <f>HYPERLINK("https://www.weblio.jp/content/伴奏", "词义详情")</f>
        <v/>
      </c>
      <c r="K6978">
        <f>HYPERLINK("https://yourei.jp/伴奏", "查看例句")</f>
        <v/>
      </c>
    </row>
    <row r="6979">
      <c r="A6979" t="inlineStr">
        <is>
          <t>反則</t>
        </is>
      </c>
      <c r="B6979" t="inlineStr">
        <is>
          <t>成功</t>
        </is>
      </c>
      <c r="C6979" t="inlineStr">
        <is>
          <t>読み方：はんそく
［名］(スル)法律や規則に反すること。また、特に運動競技などで、ルールに違反すること。「—をとられる」「五回—すると失格となる」</t>
        </is>
      </c>
      <c r="D6979" t="inlineStr">
        <is>
          <t>反則勝ち(11%)；反則技(3%)；反則裁定(2%)；反則者；反則投球</t>
        </is>
      </c>
      <c r="E6979" t="inlineStr">
        <is>
          <t>犯罪；違反；斑；侵害；不規則</t>
        </is>
      </c>
      <c r="F6979" t="inlineStr">
        <is>
          <t>重大な反則；反則級；こんな反則；相当する反則；反則妨害</t>
        </is>
      </c>
      <c r="G6979" t="inlineStr">
        <is>
          <t>反則行為；反則金；反則攻撃；反則ポイント；反則切符</t>
        </is>
      </c>
      <c r="H6979" t="n">
        <v>29</v>
      </c>
      <c r="I6979" t="inlineStr">
        <is>
          <t>ボールがスナップされる以前に、ボールの位置より前方に侵入する反則。；姉の反則的な存在力を常人に理解しろというほうが不条理な話なのだろう。；つまり上図で黒がaと取った直後に、白がbと取り返すのは反則となる。；終局後に反則が判明した場合も、原則として反則をした側の負けとなる。；ただしブロック後に相手コートに手が出ることは反則とならない。；最低一度はカードの表を見てからカードを出さなければ反則となる。；体を張った反則ぎりぎりへの挑戦は、勝利に向けた危険への挑戦でもあった。；守備選手から当たってきた場合、または偶然の接触の場合は、反則ではない。；体重別では決勝で会社の1年先輩である田嶋剛希に反則勝ちして優勝した。；床に白いラインが引かれており、そのラインから前に出て投げるのは反則。；また、のちに立ち姿勢の場合はいきなりでなくても反則となった。；川人もこの試合で反則勝ちを収め、不本意ながらプロ初勝利を記録した。；負けている者がゲームを終わらせることは明確に反則として禁止されている。；しかしこの唐末の藩鎮とかつての反則藩鎮とは決定的に違う部分がある。；しかし、日本にはまだ反則を罪と感じている人間がたくさんいる。；良く分かっているからこそ、無数の裏切りと反則技を習得したはずなのに。；また、自身が反則投球に使用したワセリンを販売する会社を経営している。；団体戦でも決勝の韓国戦で郭に反則勝ちしてチームの優勝に貢献した。；なお、自分からはさまりに行っても反則にはならず、取られることもない。；アウトボールは反則が発生した場所から最も近いコート外の位置へ移動させられる。；あの二人が同じ学校の同じ学年に在籍しているというのは、反則級の偶然だ。；なおこの反則がコールされた場合は必ずビデオ判定にて確認が行われる。；フェアキャッチ・シグナルを出した選手にタックルを行うと反則となる。；足の間や体でクラブを挟むなどのジャグリングの方法は反則である。；液体では有るが凶器による攻撃の一つであり、基本的には反則技である。；吹笛と同時にどちらのボールになるかを指示した後、反則の内容を提示する。；そんな男が、自国代表選手の犯した反則に顔を真っ赤にして怒っている。；活躍を見せる一方で最も反則を取られた選手でもあった。；押し出されて反則にされるのは嫌なので、右に回って中央に戻る。</t>
        </is>
      </c>
      <c r="J6979">
        <f>HYPERLINK("https://www.weblio.jp/content/反則", "词义详情")</f>
        <v/>
      </c>
      <c r="K6979">
        <f>HYPERLINK("https://yourei.jp/反則", "查看例句")</f>
        <v/>
      </c>
    </row>
    <row r="6980">
      <c r="A6980" t="inlineStr">
        <is>
          <t>半袖</t>
        </is>
      </c>
      <c r="B6980" t="inlineStr">
        <is>
          <t>成功</t>
        </is>
      </c>
      <c r="C6980" t="inlineStr">
        <is>
          <t>読み方：はんそで
１洋服で、ひじくらいまでの長さの袖。また、その衣服。「—のブラウス」
２和服で、半幅(はんはば)の袖。肌ジュバン・野良着などに付ける。</t>
        </is>
      </c>
      <c r="D6980" t="inlineStr">
        <is>
          <t>半袖シャツ(22%)；半袖のtシャツ(3%)；半袖ブラウス(2%)；半袖tシャツ；半袖の白い</t>
        </is>
      </c>
      <c r="F6980" t="inlineStr">
        <is>
          <t>黒い半袖；青い半袖；黄色い半袖；半袖姿；半袖ユニフォーム</t>
        </is>
      </c>
      <c r="H6980" t="n">
        <v>29</v>
      </c>
      <c r="I6980" t="inlineStr">
        <is>
          <t>急いで来たわけでもないのに半袖から出ている腕がじっとりしている。；彼女はバーで最初に会ったときに着ていた黒い半袖のワンピースを着ていた。；部屋から緑を含んだ濃い青いアンゴラの半袖セーターを着た娘が出てきた。；鳥居のそばに、半袖シャツを着た男が立って佐伯のほうをみつめていた。；しかし歩いていくほどに、シャツだけの人がいるし、半袖の人もいる。；半袖シャツにジーンズで、昨日よりもむしろ生き生きとした様子だった。；アイミもこの暑さのために半袖だし、胸元も広く開いたものを着ている。；カーキ色の半袖の作業上衣と半ズボンを着ているが、靴ははいていない。；実際、寒い時期であるにもかかわらず半袖Tシャツ1枚の格好であった。；立っているのは、半袖シャツとプリーツスカートの制服を着た女性だ。；基本的には左胸と背中に赤十字の入った半袖のユニフォームを着用している。；表参道を歩く人の中には半袖のシャツを着た若者の姿も見えた。；半袖のスポーツシャツに灰色のズボンをはいており、尋常な顔の男だった。；窓から外を見下ろすと、半袖シャツの男たちが大股で列を作って歩いてゆく。；岬での一件のあと着換えたらしく、青い半袖シャツという軽装ではない。；王は半袖のチュニックとショールを身に着け、右手には鎌を持っている。；そこへやってきたのは、白い半袖セーラー服をまとった一人の少女だ。；半袖で、白い糸で織られた、どちらかというと力仕事向きではない服装だ。；ひと月後あたしたちは半袖の服を着て、またこの木の前に立った。；もう春から夏に変わりかける時期で、大日向のシャツは半袖だった。；半袖のシャツに手を通し、ほとんど何も入っていない鞄を下けて、玄関を出る。；気づいた時、清美は半袖のセーラー服を着て中学校の長い廊下に立っていた。；GKのユニフォームを半袖にしたのは、彼が最初だと言われている。；汗をかくのも恰好悪いと思って、ぼくは半袖で出かけることにした。；門野久枝とは違って、まだ五月だというのに半袖のシャツを着ていた。；彼女の半袖コートの端は黒く焦げていて、頬は殴られたように腫れていた。；向こうへ行った男も似たような背恰好で、どちらも同じような白の半袖シャツを着ていた。；すぐに起きて隣りの二十畳の部屋に出た彼女は、下着の上に半袖の白衣を着た。；青系の長袖シャツの上に、さらに白い半袖シャツを着重ねている。</t>
        </is>
      </c>
      <c r="J6980">
        <f>HYPERLINK("https://www.weblio.jp/content/半袖", "词义详情")</f>
        <v/>
      </c>
      <c r="K6980">
        <f>HYPERLINK("https://yourei.jp/半袖", "查看例句")</f>
        <v/>
      </c>
    </row>
    <row r="6981">
      <c r="A6981" t="inlineStr">
        <is>
          <t>反対</t>
        </is>
      </c>
      <c r="B6981" t="inlineStr">
        <is>
          <t>成功</t>
        </is>
      </c>
      <c r="C6981" t="inlineStr">
        <is>
          <t>読み方：はんたい
［名・形動］(スル)
１物事の位置・順序・方向・あり方などが逆の関係にあること。また、そのさま。あべこべ。「左右—に置く」「気持ちと—のことを言う」「風向きが—になる」
２対(つい)をなしているものの一方。「—の手を出す」「白の—は黒」
３ある意見などに対して逆らい、同意しないこと。否定的であること。「君の意見には—だ」「法案に—する」「党内の—派」⇔賛成。</t>
        </is>
      </c>
      <c r="D6981" t="inlineStr">
        <is>
          <t>反対側(13%)；反対する(11%)；反対方向；反対者；反対派</t>
        </is>
      </c>
      <c r="E6981" t="inlineStr">
        <is>
          <t>逆；対；向かう；対立；抵抗</t>
        </is>
      </c>
      <c r="F6981" t="inlineStr">
        <is>
          <t>猛反対；正反対；強い反対；大反対；挟んで反対</t>
        </is>
      </c>
      <c r="G6981" t="inlineStr">
        <is>
          <t>反対運動；反対意見；反対論；反対語；反対称</t>
        </is>
      </c>
      <c r="H6981" t="n">
        <v>29</v>
      </c>
      <c r="I6981" t="inlineStr">
        <is>
          <t>そして反対者・批判者からこれを典拠とする批判も数多く行われている。；もし自分に反対する者がいるならトレードで出て行くことになるだろう。；これらの動きには学生野球界は強く反対したものの、結局は認められた。；その一方で、保有国が強く反対する事態がしばしば起こるのも事実である。；キミは、とにかく反対なら反対のようにちゃんと言うてくれるからいい。；イタリアの社会主義者は戦争を支持すべきか反対すべきかで意見が分かれた。；はんたいの方向にまわる火星の二つの月はだんだんと両方へ離れていく。；反対に自分の感じた感情が弱い程覚えていないのが短期記憶である。；父親はいきなりの展開にも拘らず入門を喜んだが、一方で母親は猛反対。；寝室は自習室の廊下を挟んだ反対側にあり、3部屋分の学生を収容する。；また、セットをカメラの反対側から撮るようなこともなかったという。；しかし将校の一人が生徒を利用することに反対したため、襲撃計画は中止された。；駅舎は下りホーム側にあり、反対側の上りホームへは跨線橋で連絡している。；古代より政権を握ったものが反対者を反乱者として処刑する事は珍しくなかった。；ハインラインはまた、宗教の政治への関与にも一貫して反対の立場だった。；しかしこの方針には利用各国から強い反対が表明された。；神は軍令部との交渉に入ったが、作戦課長富岡定俊少将は反対であった。；紙幣を光源の反対側に置くと、中央部分の黒く磁気を帯びた筋が見える。；連合諸国にいわゆる民主主義はドイツ至上主義に反対する立場である。；それまでの仙台駅は線路の西側に駅舎を持ち、反対の東側には駅舎がなかった。；反対に、人間が猫化した物は、『猫の恩返し』などに見ることが出来る。；ベルリオーズの両親は反対したが、それを押し通してのことであった。；また、画面上には反対側にいる相手の動きが影として表示される。；沖は、真反対の方位に対応する十二支同志の関係で衝突の意味がある。；その反対に値を大きい方から小さい方へ順に並べることを降順という。；モネは、パリで絵の勉強をしたいと考えるようになったが、父は強く反対した。；反対に、近代的な歴史学に直接に史料となりうるものに、碑文がある。；なお、この駅は駅舎側が2番のりば、反対側が1番のりばとなっている。；また8月にも結婚の教会儀式に反対する記事を書いたのが検閲官に却下された。</t>
        </is>
      </c>
      <c r="J6981">
        <f>HYPERLINK("https://www.weblio.jp/content/反対", "词义详情")</f>
        <v/>
      </c>
      <c r="K6981">
        <f>HYPERLINK("https://yourei.jp/反対", "查看例句")</f>
        <v/>
      </c>
    </row>
    <row r="6982">
      <c r="A6982" t="inlineStr">
        <is>
          <t>判断</t>
        </is>
      </c>
      <c r="B6982" t="inlineStr">
        <is>
          <t>成功</t>
        </is>
      </c>
      <c r="C6982" t="inlineStr">
        <is>
          <t>読み方：はんだん
［名］(スル)
１物事の真偽・善悪などを見極め、それについて自分の考えを定めること。「適切な—を下す」「なかなか—がつかない」「君の—にまかせる」「状況を—する」
２吉凶を見分けること。占い。「姓名—」
３《judgment／(ドイツ)Urteil》論理学で、ある対象について何事かを断定する思考作用。また、その言語表現。普通は「sはpである」「sはpでない」という形式をとる。</t>
        </is>
      </c>
      <c r="D6982" t="inlineStr">
        <is>
          <t>判断する(11%)；判断される(2%)；判断できる；判断力；判断すれ</t>
        </is>
      </c>
      <c r="E6982" t="inlineStr">
        <is>
          <t>決定；主張；評価；批判；意見</t>
        </is>
      </c>
      <c r="F6982" t="inlineStr">
        <is>
          <t>正しい判断；司法判断；政治的判断；ご判断；正常な判断</t>
        </is>
      </c>
      <c r="G6982" t="inlineStr">
        <is>
          <t>判断基準；判断材料；判断能力；判断ミス；判断停止</t>
        </is>
      </c>
      <c r="H6982" t="n">
        <v>29</v>
      </c>
      <c r="I6982" t="inlineStr">
        <is>
          <t>審理人はあらゆる証拠を考慮して、適当と思われる方法で判断を示した。；当選した場合、タレント活動を継続するかどうかはその者の判断による。；また環境条件が相手国にとって有利かどうかも重要な判断材料となる。；これは、重い雪質の急な斜面である高田の地形から判断した結果である。；逆に子の側には、仲間を助ける際の瞬間的な判断と勇気が求められる。；それ以降、会社側はカロザースが仕事を続けることは無理だと判断した。；しかし、平穏が達成されたかどうかは、イスラエル側が判断するとした。；軍事的脅威の程度を判断する基礎は軍事力とそれを行使する意志である。；どのプログラミング言語が最もよく使われているかを判断することは難しい。；ハヴァは頭であるアダムに相談せずに、自分で判断したために堕落した。；現在は後者の指図が実際に建てられた天守を反映していると判断されている。；この時の悪臭の程度を以って基準をクリアしているかどうかが判断される。；また3つ以上のボタンを要求する場合は、とっさの判断に注意を要する。；実施するかどうかは有資格年のワールドコン実行委員会の判断による。；戦前・戦後の知識を持たないため、相手を理解せず日本の基準で判断して主張する。；変更を支持する憲法専門家の主張では、違憲性はないと判断している。；まして壁の建設は想像してもまず不可能という判断で思いも寄らなかった。；これらは、社会的影響の大きさから下された判断であると考えられている。；これはあなたがアメリカの動きに関して判断しなければならない場合と同様である。；また、スパイを倒したかどうかを判断することは、ほとんどできない。；従ってカウント値からは、この状況は有利でも不利でもないと判断される。；即ち、プレイヤーの有利不利をかなりの高確率で判断する性能がある。；日大側は設備の設置を検討したが、老朽化により屋根がもたないと判断。；審判員はこれに該当しているかどうかを判断して旗を挙げる。；悪の世界は「物質」で構成されているので、故に物質も悪と判断する。；尚、八王子市単独の判断で実施可能な工事は先行して段階的な整備中である。；乃木は各師団が坑道作業に入った事で作業完了までには期日が必要と判断。；特に必要があると判断された場合、特別委員会を設けることができる。；自分たちの信仰生活に反すると判断した新しい技術・製品・考え方は拒否するのである。</t>
        </is>
      </c>
      <c r="J6982">
        <f>HYPERLINK("https://www.weblio.jp/content/判断", "词义详情")</f>
        <v/>
      </c>
      <c r="K6982">
        <f>HYPERLINK("https://yourei.jp/判断", "查看例句")</f>
        <v/>
      </c>
    </row>
    <row r="6983">
      <c r="A6983" t="inlineStr">
        <is>
          <t>番地</t>
        </is>
      </c>
      <c r="B6983" t="inlineStr">
        <is>
          <t>成功</t>
        </is>
      </c>
      <c r="C6983" t="inlineStr">
        <is>
          <t>読み方：ばんち
１居住地を明示するために、町村などの区域内を細分してつけた番号。「所—を記す」「四丁目一三—」
２「アドレス3」に同じ。</t>
        </is>
      </c>
      <c r="D6983" t="inlineStr">
        <is>
          <t>番地先；番地付近；番地通り；番地a；番地表示</t>
        </is>
      </c>
      <c r="E6983" t="inlineStr">
        <is>
          <t>参照；アドレス；リファレンス；レファレンス</t>
        </is>
      </c>
      <c r="F6983" t="inlineStr">
        <is>
          <t>四番地；二番地；七番地；六番地；三番地</t>
        </is>
      </c>
      <c r="H6983" t="n">
        <v>29</v>
      </c>
      <c r="I6983" t="inlineStr">
        <is>
          <t>一部番地は小学校区が未設定となっているため問い合わせが必要である。；どこでもさがそうとする人は、元の区域の番地を知っていなくてはならぬ。；紙に番地を書いて見せたり、地図を指したりすればより間違いない。；なお番地が奇数の場合は通りの東側、偶数の場合は通りの西側になる。；イギリスやアメリカでは住所表記はアベニューごとの番地を利用している。；町村制施行時の旧日出町の区域には大字がなく、町名に次に番地が来る。；以下の他、所属していた劇団『兎町十三番地』の公演に出演していた。；一番初めの店はニューヨークのブロードウェイ259番地におかれた。；住居表示は実施されていないため、志布志町内之倉の後に番地が入る。；コアは連続した番地を持つが、絶対番地を参照するコードは用意されていない。；サットン・プレイスの番地はこれらとひと続きとはなっていない。；近隣の川北2261番地には北海道札幌白石高等学校が設置されている。；かつては集落ごとに小字が存在したが現在は廃止されており、番地表示が実施されている。；この通りの住所はアベニューAから連続した番地名を用いていない。；衝突が発生したときの対処の方法は、開番地法と連鎖法に大別される。；備中町立であるが、校地は川上郡成羽町布寄109番地に位置していた。；旧鎮座地は現在の海上自衛隊の海辺で逸見森崎字七番七五二番地にあった。；コンピュータのメモリ空間は番地と呼ばれる通し番号で管理される。；イギリスの首都ロンドンの番地は1735年頃に住宅の識別のために導入されて以降整備された。；久しぶりで全家お揃いは珍らしいというと、昨日同番地へ移転して来たといった。；本社を東京府京橋区弓町二十一番地にある鷲尾邸の道場明鏡館に置いた。；そういえば園は千歳の星野の番地をおぬいさんに教えることをせずにあの家を出た。；東隣の上之平区と同じく字糸満では番地が最も若い地域である。；その後団体の拠点を、小千谷市旭町1234番地ドーム北棟に移転した。；集落の中心に案内板があり、番地が表示されている。；その方法としてハッシュ関数とは別の関数を用いて次の候補となる番地を求める。；一家はアッパースタンホープ通り102番地のフラットで暮らしていた。；この通りは実際イースト・リバーまで500番地台で終わっている。；その後数度の移転を経て、1921年には西島町527番地に移転している。</t>
        </is>
      </c>
      <c r="J6983">
        <f>HYPERLINK("https://www.weblio.jp/content/番地", "词义详情")</f>
        <v/>
      </c>
      <c r="K6983">
        <f>HYPERLINK("https://yourei.jp/番地", "查看例句")</f>
        <v/>
      </c>
    </row>
    <row r="6984">
      <c r="A6984" t="inlineStr">
        <is>
          <t>半月</t>
        </is>
      </c>
      <c r="B6984" t="inlineStr">
        <is>
          <t>成功</t>
        </is>
      </c>
      <c r="C6984" t="inlineStr">
        <is>
          <t>読み方：はんげつ
１半円形をした月。弓張り月。弦月。
２1の形をしたもの。半月形。「大根を—に切る」
３1か月の半分。はんつき。
４琵琶の胴にあいている左右一対の半月形の孔。
５紋所の名。弓張り月をかたどったもの。</t>
        </is>
      </c>
      <c r="D6984" t="inlineStr">
        <is>
          <t>半月後(7%)；半月形(6%)；半月前(4%)；半月以上(2%)；半月状(2%)</t>
        </is>
      </c>
      <c r="E6984" t="inlineStr">
        <is>
          <t>半円；半周；半月形；半輪</t>
        </is>
      </c>
      <c r="F6984" t="inlineStr">
        <is>
          <t>あと半月；半月分；半月ぶり；ここ半月；半月小路</t>
        </is>
      </c>
      <c r="G6984" t="inlineStr">
        <is>
          <t>半月板損傷；半月刀；半月堡；半月山；半月刊</t>
        </is>
      </c>
      <c r="H6984" t="n">
        <v>29</v>
      </c>
      <c r="I6984" t="inlineStr">
        <is>
          <t>二日か三日のときもあれば、半月とか四十日くらい滞在したこともある。；二人はほんの半月前と同じような経緯で、同じ道を走ることになった。；しかも半月の内に5つの大会が集中し、肉体的にも大きな負担となった。；するとその晩の出来事があつてから、半月ばかり後の事でございます。；田舎へ帰るなんて、先刻そう言っていたけれど、半月といられるものか。；だいたい木場刑事にはあの事件からこっち、半月近く会っていないんだ。；僕が菊太郎君のお父さんの面前に現れたのはそれから半月ばかり後だった。；半月交代の問屋場は向こう上隣りの九郎兵衛方で開かれるころであった。；自分はこの半月、まったくその前の生活と関係の絶えた時を過ごした。；するとその晩の出來事があつてから、半月ばかり後の事でございます。；藩公より上意討ちの命の下ったのは又之丞の斬られて実は半月後である。；カーテンをあけて庭をながめましたが、半月がさえて美しい夜でした。；またその半月後のライブイベントでもメンバー数名が集まって数曲演奏する。；そのほか椀蓋で半月型に整形したことから名がついたなどの多くの説がある。；半月許りたつて、五十前後の男が手土産らしいものを持つてやつて来た。；それは先程からずつと彼らの半月盆のそばではふつて置かれてゐたものだ。；まるで、この半月ばかり、姉のために奉仕したような気がしていやだった。；かれは半月ほど前に金十五両の鶉を手に入れていたのであった。；そこには半月より月齢を加えた、肉づきの良い月がこうこうと輝いている。；病理組織学的には壊死性半月体形成性糸球体腎炎がみられることが多い。；半月も迷っていたとすると、清七自身も女が信じきれなかったに違いない。；また菊と紅葉とは古来秋に定めたれど実際は立冬後半月位の間に盛なり。；なんだか、半月はど前にも似たようなことがあった気がしたが。；半月位で、かなり大きく生長して、普通に見られる芽生えの状態になる。；開幕一軍入りを果たしたが、出場のないまま半月ほどで登録を抹消された。；警察の報告も何とも不明瞭だし、戦戦恐恐とした半月を送ったのだろう。；半月もたつと、産婦はもう起きて、ふたたび仕事ができるようになった。；それには原因があって、繁治さんがこの半月ばかり前から勤めになりました。；そこで平戸に半月余り滞在した後、フロイスと共に出発したのであった。</t>
        </is>
      </c>
      <c r="J6984">
        <f>HYPERLINK("https://www.weblio.jp/content/半月", "词义详情")</f>
        <v/>
      </c>
      <c r="K6984">
        <f>HYPERLINK("https://yourei.jp/半月", "查看例句")</f>
        <v/>
      </c>
    </row>
    <row r="6985">
      <c r="A6985" t="inlineStr">
        <is>
          <t>ハンデ</t>
        </is>
      </c>
      <c r="B6985" t="inlineStr">
        <is>
          <t>成功</t>
        </is>
      </c>
      <c r="C6985" t="inlineStr">
        <is>
          <t>《「ハンディ」とも》「ハンディキャップ」の略。</t>
        </is>
      </c>
      <c r="D6985" t="inlineStr">
        <is>
          <t>ハンデ差；ハンデなし；ハンデ制；ハンデを感じさせ；ハンデを負う事</t>
        </is>
      </c>
      <c r="E6985" t="inlineStr">
        <is>
          <t>ハンディキャップ；ハンディ；ハンデキャップ</t>
        </is>
      </c>
      <c r="F6985" t="inlineStr">
        <is>
          <t>大きなハンデ；重いハンデ；シングルハンデ；重ハンデ；サンタアニタハンデ</t>
        </is>
      </c>
      <c r="G6985" t="inlineStr">
        <is>
          <t>ハンディ；ハンデキャップ；ハンデキャップ競走；ハンデ戦；ハンディカム</t>
        </is>
      </c>
      <c r="H6985" t="n">
        <v>29</v>
      </c>
      <c r="I6985" t="inlineStr">
        <is>
          <t>只庭を見せて食事を一しよにする位の事で堪忍して貰はんではならない。；人によってどういったところにハンデがあるかは千差万別だからである。；ハンデ師をしていたので情報を覚える事は何ら苦にならなかったという。；本気で勉強してる奴にはかなわないよ、五年のハンデがあるんだからな。；人数で勝っていても、武器有りと武器無しのハンデはそれ以上に大きい。；戦いの舞台はどちらか一方のハンデにならないように設定される。；更に過去2年でいずれも完敗に終わっていたアメリカンハンデにも勝利。；こういうストーリーを作るのはシングルハンデのゴルファーではない。；もし、このコンビにハンデがあるとすれば、年齢からくる衰えであろう。；そうなれば、この大馬力エンジンの重さは、相当なハンデになりますよ。；ライフの数をプレイヤーごとに変更でき、ハンデをつけることも可能。；あるいはハンデがありすぎてつまらぬと判断したのかもしれない。；過去の競走成績と着順と着差は、ハンデ作成に当たって最も有力な資料となる。；性格については、特技以前にハンデを必ずもっているように設定している。；それで俺に勝てたとして、彼との勝負にもハンデをつけてもらうわけ?；さらに外国で生活していかなければならないというハンデもある。；特別な人間にも、特別な力を持っただけのハンデが必要だと幹也さんは言ったのだ。；身体機能に多少のハンデがあってもどうにかしてしまうのだな。；今の状況からすると二人には相当なハンデがのしかかっている。；なんならハンデをつけてやってもいい、と言った征人の言葉も効果的だった。；現役と現役の妹を相手に戦う彼女は、最初からハンデを背負っているといっていい。；うらやましく思う生徒はいないはずで、泉水子のハンデの象徴だった。；「ハンデのある人に仕事をさせるのはムリ」という理由からであった。；ハーフゴールがハンデとなっている場合必ずどちらかのチームが勝利するようになっている。；どちらも同じハンデで、勝負は4マイルで行われ、ジョージの馬が勝った。；弟子であるおはんですらこげん強かとすれば、藤兵衛の強さは底が知れん。；また、タイムはハンデを含む時間であり、実際の走破タイムとは異なる。；男女以外でのハンデを設けなかったため、上位をアスリートが占める結果となった。；だから、囲碁将棋は、ハンデをつけても上手側が有利ということになる。</t>
        </is>
      </c>
      <c r="J6985">
        <f>HYPERLINK("https://www.weblio.jp/content/ハンデ", "词义详情")</f>
        <v/>
      </c>
      <c r="K6985">
        <f>HYPERLINK("https://yourei.jp/ハンデ", "查看例句")</f>
        <v/>
      </c>
    </row>
    <row r="6986">
      <c r="A6986" t="inlineStr">
        <is>
          <t>判定</t>
        </is>
      </c>
      <c r="B6986" t="inlineStr">
        <is>
          <t>成功</t>
        </is>
      </c>
      <c r="C6986" t="inlineStr">
        <is>
          <t>読み方：はんてい
［名］(スル)
１物事を判別して決定すること。また、その決定。「合否を—する」「写真—」
２ボクシング・柔道・レスリングなどで、規定時間内に勝負がつかないとき、審判が優劣を判断して勝敗を決めること。また、その決定。「—勝ち」</t>
        </is>
      </c>
      <c r="D6986" t="inlineStr">
        <is>
          <t>判定する(10%)；判定される(3%)；判定勝利；判定できる；判定法</t>
        </is>
      </c>
      <c r="E6986" t="inlineStr">
        <is>
          <t>決定；評価；批判；判断；意見</t>
        </is>
      </c>
      <c r="F6986" t="inlineStr">
        <is>
          <t>陽性判定；r判定；合否判定；微妙な判定；効果判定</t>
        </is>
      </c>
      <c r="G6986" t="inlineStr">
        <is>
          <t>判定負け；判定基準；判定問題；判定不能；判定占星術</t>
        </is>
      </c>
      <c r="H6986" t="n">
        <v>29</v>
      </c>
      <c r="I6986" t="inlineStr">
        <is>
          <t>アニメとは違い未帰還であることから戦死と判定された描写があるのみ。；その場合は坐位で膝を立てで額を膝につけられるかで判定することもある。；治療への反応をみて、挿管を回避できるのか、できないのかを判定する。；以上から停止判定言語の補問題は帰納的可算言語ではないことがわかる。；どれも地形および地形判定を持つ障害物に対しては防御能力を持たない。；非補給下にあるかどうかは普通、プレイヤーターンの開始時に判定する。；一般的に組織検査は厳密な癌の型判定の基本であると理解されている。；すべての条件でのエピソードを披露した後に判定し、勝者を決定する。；この判定は当時、明らかな誤審ではないかと大きな話題になっている。；各国に課せられた納税の規模は、当時の各国の国力に基づき判定された。；各段階でも徐々に連射数や弾速が増加したり、攻撃判定が拡大したりする。；勝負は決したが二人は互いに勝利を譲らず、カイラス山に判定を求めた。；これらの装置は、リレーのフライング判定にも組み合わせて使用される。；ローリング時にはこの判定領域が「弾が入った」判定にのみ大きくなる。；死亡した場合、教会での復活はこの判定で10以上が必要とされる。；調律が異常と判定された場合は後述される不整脈の診断を行うこととなる。；しかし徹は、判定をめぐり危険な出来事に巻き込まれていくことになる。；続く福岡国際では決勝で韓国の趙壽姫を判定で破り5年ぶりに優勝した。；このことから真偽判定述語は算術的に定義不可能であることが導かれる。；基本的にアーマークラスが低いほど攻撃命中判定の目標値が高くなる。；このような戻り値による処理の成否判定には下記のような問題点がある。；解答者が多くても一人一人の正誤の判定が容易なクイズ形式だと分かる。；決勝判定写真は平地競走などと同様にスリットカメラ方式を採用している。；ストライクをボールと判定されても顔には出さず、自分の中にしまい込んでいた。；こちらは効果が限定されている代わりに判定不要でMPがあれば必ず成功する。；すなわち行為者の意思よりもその行為の外形に注目して判定を下す。；その達成値がゲームマスターが指定した難易度以上ならば判定は成功となる。；一切の宗教の中でどのような教えが人々を幸福へと導く適切な教えであるかを判定すること。；こうした予測と開票情報を照らし合わせてNHKの当確判定は行われる。</t>
        </is>
      </c>
      <c r="J6986">
        <f>HYPERLINK("https://www.weblio.jp/content/判定", "词义详情")</f>
        <v/>
      </c>
      <c r="K6986">
        <f>HYPERLINK("https://yourei.jp/判定", "查看例句")</f>
        <v/>
      </c>
    </row>
    <row r="6987">
      <c r="A6987" t="inlineStr">
        <is>
          <t>半島</t>
        </is>
      </c>
      <c r="B6987" t="inlineStr">
        <is>
          <t>成功</t>
        </is>
      </c>
      <c r="C6987" t="inlineStr">
        <is>
          <t>読み方：はんとう
海に向かって長く突き出している陸地。小さいものは岬・崎・鼻などという。</t>
        </is>
      </c>
      <c r="D6987" t="inlineStr">
        <is>
          <t>半島部；半島南部；半島状；半島内；半島先端</t>
        </is>
      </c>
      <c r="F6987" t="inlineStr">
        <is>
          <t>三浦半島；渥美半島；知床半島；朝鮮半島；伊豆半島</t>
        </is>
      </c>
      <c r="G6987" t="inlineStr">
        <is>
          <t>半島方面作戦；半島横断線；半島マレーシア；半島振興法；半島人</t>
        </is>
      </c>
      <c r="H6987" t="n">
        <v>29</v>
      </c>
      <c r="I6987" t="inlineStr">
        <is>
          <t>街はアーレ川によって形成された半島の西の境の方向に成長していった。；町の名は、半島の形が羽根を広げたツルに似ていることから付けられた。；街の成長は主に港の施設や他の設備が徐々に改善されていった半島部で起きた。；江戸時代の絵図によると、当時は三保半島のすべてが松で覆われていた。；半島内にはいくつか村や漁港があり、先端まで鉄道と道路が通っている。；島の最南端の半島にグレート・ソルト池と言う湖に近い大きな池がある。；かつて半島北部を走っていた下北交通大畑線は2001年に廃止された。；半島の主要な河川である漢江と洛東江はともにこの山脈から発している。；どちらも国際連合に加盟し、半島唯一の主権国家であると主張している。；市内は坂が多い上に半島であるため土地もないため、駐車場料金が非常に高い。；次に、半島西部のルートを海岸寄りにするか、丘陵部にするかが検討された。；大阪湾防衛の目的で紀伊半島と淡路島の間の紀淡海峡周辺に作られた。；イングランド本土とつながる半島の東側には、とと呼ばれる高地がある。；初名は渥美半島統一をなした曽祖父・宗光にあやかり、宗光を名乗った。；明治時代に入り、渥美半島先端の中山村には陸軍の試砲場が設けられた。；そのためヨーロッパやインドのように非常に大きな半島は亜大陸・大陸と呼ばれる。；広大で緩りと川が流れるエバーグレーズが半島の南端部に拡がっている。；半島は、陸地の一部が海などの水域に突き出た形になった部分である。；この半島は以下に示す複数の水域によって周囲から分けられている。；その結果、町は西に数キロ離れた小さな半島上に移転した。；大隅半島の北西部、鹿児島市から桜島を挟んで東側向かいの場所に位置する。；従来から半島の中心はマドリード都市圏南部のヘタフェであるとされている。；知多半島にある10自治体のうち、当町と大府市のみ海に面していない。；半島の周辺には多くの島があり、沿岸には棚氷が発達している。；半島振興計画は、国・地方公共団体・その他の者が実施しなければならない。；いくつもの半島によって内海が更にいくつかの内海になっている複雑な地形。；長島ダムのダム湖である接岨湖に突き出た半島状の山の突端に位置する。；山がちで幅が狭く細長い半島は、約150kmにもわたって伸びている。；市街の中心は半島の南側に広がるが、実際の名称であるの名で呼ばれることはあまりない。</t>
        </is>
      </c>
      <c r="J6987">
        <f>HYPERLINK("https://www.weblio.jp/content/半島", "词义详情")</f>
        <v/>
      </c>
      <c r="K6987">
        <f>HYPERLINK("https://yourei.jp/半島", "查看例句")</f>
        <v/>
      </c>
    </row>
    <row r="6988">
      <c r="A6988" t="inlineStr">
        <is>
          <t>半年</t>
        </is>
      </c>
      <c r="B6988" t="inlineStr">
        <is>
          <t>成功</t>
        </is>
      </c>
      <c r="C6988" t="inlineStr">
        <is>
          <t>読み方：はんとし
1年の半分。6か月。はんねん。</t>
        </is>
      </c>
      <c r="D6988" t="inlineStr">
        <is>
          <t>半年後(16%)；半年間(12%)；半年前(7%)；半年以上(3%)；半年近く</t>
        </is>
      </c>
      <c r="F6988" t="inlineStr">
        <is>
          <t>およそ半年；あと半年；ここ半年；半年程度；半年以内</t>
        </is>
      </c>
      <c r="H6988" t="n">
        <v>29</v>
      </c>
      <c r="I6988" t="inlineStr">
        <is>
          <t>このドラマではバートレット大統領が就任した半年後から物語が始まる。；代わりのボール代だけでも半年間で10万円を超えることになったという。；本番組より歴代の連続テレビ小説の放送期間が半年体制となっている。；人間の手の爪が完全に再生するには半年から1年、足の爪は倍必要となる。；もし失敗したら、さらに半年早く番組が打ち切られていた可能性もあった。；スタートして半年間は米澤章子アナウンサーがパーソナリティを勤めた。；しかし藩主に在職すること半年の同年6月23日に江戸にて死去した。；共通の趣味となった音楽に嵌まり、仕事を半年余りで投げ出してしまう。；ほんの数時間暴露するだけで、それを排出するのには半年から数年である。；日本では、1965年2月から日本テレビで半年間だけ放送されていた。；大学卒業後からの半年間は、慶應義塾大学病院の中央検査部に勤務していた。；次第にトラックの利用も増加したことで、就航から半年で黒字を達成した。；また、放送期間が半年体制になってから北海道が舞台になった初めての作品である。；毎回やるわけではなく内村の気分次第であった為半年に一回行う程度であった。；博士号を取得した後、半年の間のソシュールの行動はわかっていない。；半年間休養した後、にっかつ撮影所に入社し、勤務しながら脚本を学ぶ。；パイロットは半年前に戦死したはずのハマーン・カーンを名乗る女性。；引退から約半年後の2012年1月8日、現役復帰することが発表された。；半年後、彼はそれが間違いであったことを認めることとなる。；どうせやるなら半年前にやってほしかった、とそんな気持ちでした。；蒸気機関車の場合、現在は半年近くの時間を要することがほとんどである。；この治療とリハビリのために、半年以上のブランクを余儀なくされた。；半年程度で現地の指導的立場となり、中華民国全土に情報網を持つに至った。；日本テレビの革新的な試みはわずか半年で躓いてしまう結果となった。；これにより、半年間だけではあったが全国での視聴が可能になった。；放送期間が半年体制となって初のNHK大阪放送局制作となる。；事件から約半年後、とある男が食料を探しているところから物語は再開する。；朝ドラが半年体制になってから、山口県が舞台になった初めての作品である。；事故直後半年以内で以下の例が報告されている。</t>
        </is>
      </c>
      <c r="J6988">
        <f>HYPERLINK("https://www.weblio.jp/content/半年", "词义详情")</f>
        <v/>
      </c>
      <c r="K6988">
        <f>HYPERLINK("https://yourei.jp/半年", "查看例句")</f>
        <v/>
      </c>
    </row>
    <row r="6989">
      <c r="A6989" t="inlineStr">
        <is>
          <t>半日</t>
        </is>
      </c>
      <c r="B6989" t="inlineStr">
        <is>
          <t>成功</t>
        </is>
      </c>
      <c r="C6989" t="inlineStr">
        <is>
          <t>読み方：はんじつ
「はんにち（半日）」に同じ。</t>
        </is>
      </c>
      <c r="D6989" t="inlineStr">
        <is>
          <t>半日以上(4%)；半日がかり；半日近く；半日デート；半日前</t>
        </is>
      </c>
      <c r="F6989" t="inlineStr">
        <is>
          <t>あと半日；半日あまり；半日足らず；半日仕事；半日行程</t>
        </is>
      </c>
      <c r="G6989" t="inlineStr">
        <is>
          <t>半日村</t>
        </is>
      </c>
      <c r="H6989" t="n">
        <v>29</v>
      </c>
      <c r="I6989" t="inlineStr">
        <is>
          <t>だがやはり、半日で終ったかに見えたのは、真実の姿ではなかったのだ。；おそらくわれわれがいま一日かかるものは半日でやってしまうと思います。；かくの如くにして半日で終らすべき仕事もわざわざ一日を費すのである。；俺だって半日も算盤を使わないでいれば妙にこの手が退屈するものなあ。；死から復活するために半日近く寝たりしたので、すっかり忘れていた。；最近はもう学校も半日授業とかが多くてそんなに大変じゃないよね。；あと半日の間進むと、その灰色の煙は、海岸の岩か、陸地の山かになる。；半日以上日が当たり、水がたまらない程度の所なら、栽培は可能である。；あなたがたみたいに食べるものもなくなっちゃ私は半日だってやり切れないわ。；昨日、今日と二日続いて半日ずつ畑でかなり働いてもあまり疲れを覚えない。；この男にこの場所で小さい女中は心安くなって、半日一しょに暮らした。；それをおかみさんが台所の窓から眼をほそくして半日でも見ていたりした。；この映画では今は失われた市場での半日の様子を伺うことができる。；この間兄が半日一日家を留守にしていたということは、一度もありません。；頭脳のいいX号のことだから、半日ばかり考えると、一つの案ができた。；ある時はまた、清水の古い古い滝殿で、半日を遊びくらしたこともある。；構造そのものは非常に簡単で、材料が揃えば半日から一日で製作可能。；半日ほどこうして屋根や雲や人を眺めているといい気もちだろうな。；いまでは静坐にも馴れて、半日あまりは身動きもせずに坐っていられる。；それから二度東京へ出た序でだと云つて訪ねて来て、半日位ゐ遊んで行つた。；この日はそのまま、半日ぐらいしか活動しない理想的な休日を送った。；昨日で三日続いて半日ずつ畑をしたせいか、昨夜は寝苦しく、盗汗あり。；もう半日働いたのだから牛どもを『くびき』から放してやる時間だった。；それは十五分か半時間のことだったかもしれないが、半日も続いたように思われた。；半日分でも一日分でもやれる仕事は早目に片付けて置かねばならなかった。；そして折り折りは半日もいずれにか出あるいて帰らぬこともあるのです。；そうやって半日か一日待っていると、二匹ともぼくのところにもどってくる。；麦の畑に生うる雑草を取ることは、彼の半日の仕事として、十分だった。；最初の産声が聞こえたのは、陣痛が始まってから半日も経った深夜である。</t>
        </is>
      </c>
      <c r="J6989">
        <f>HYPERLINK("https://www.weblio.jp/content/半日", "词义详情")</f>
        <v/>
      </c>
      <c r="K6989">
        <f>HYPERLINK("https://yourei.jp/半日", "查看例句")</f>
        <v/>
      </c>
    </row>
    <row r="6990">
      <c r="A6990" t="inlineStr">
        <is>
          <t>犯人</t>
        </is>
      </c>
      <c r="B6990" t="inlineStr">
        <is>
          <t>成功</t>
        </is>
      </c>
      <c r="C6990" t="inlineStr">
        <is>
          <t>読み方：はんにん
罪を犯した人。犯罪人。</t>
        </is>
      </c>
      <c r="D6990" t="inlineStr">
        <is>
          <t>犯人たち；犯人グループ；犯人像；犯人側；犯人扱い</t>
        </is>
      </c>
      <c r="E6990" t="inlineStr">
        <is>
          <t>黒；罪人；下手人；盗人；悪漢</t>
        </is>
      </c>
      <c r="F6990" t="inlineStr">
        <is>
          <t>同一犯人；殺害犯人；誘拐犯人；犯人当て；凶悪犯人</t>
        </is>
      </c>
      <c r="G6990" t="inlineStr">
        <is>
          <t>犯人は二人；犯人隠避；犯人隠匿；犯人蔵匿；犯人隠避罪</t>
        </is>
      </c>
      <c r="H6990" t="n">
        <v>29</v>
      </c>
      <c r="I6990" t="inlineStr">
        <is>
          <t>犯人は嘘を書いているわけではないのだから決してアンフェアではない。；犯人のポケットには小銭と、最近の血の跡が付いたナイフが入っていた。；調査者は、手紙には隠された犯人の告白が書かれていたと主張している。；愛人の女が殺しを自供していたが、状況から犯人は女とは思えなかった。；さらに5日にも同様の事件があり、今度は4人の犯人が目撃されている。；政治的要求の場合は犯人との間の仲介者や仲介者の支援者も重視される。；父親は20時33分頃に現地に到着したが、そこに犯人の姿はなかった。；そのため、犯人は不明のままであり、さまざまな説が提唱されている。；二人は事件の場所から犯人をサーファーであると推測し、捜査を開始する。；エディは自分の能力の限界や仲間の犠牲に苦悩しながら犯人を追っていく。；母親がすぐに指定された電話ボックスへ向かったが、犯人は現れなかった。；被疑者が連行される場面を放送することも犯人の印象を植え付けやすい。；また犯人の精神鑑定を担当した精神科医も同様の見解を示しているという。；は、組織的な挑発行為と見ているが、犯人の手がかりは無いとしている。；犯人役である場合は必ずどこかに犯人にちなんだ星形の物を身に着けている。；いつも警察と喧嘩ばかりしてるが犯人の残忍さに腹が立ってきた。；静かに窓を開ける音が聞こえた後、白い物を抱えた犯人が出てきた。；部屋はほぼ密室状態にあったにもかかわらず、犯人はどうやって消えたのか。；単に犯人以外の者が債権や抵当を設定しているだけの場合は、該当しない。；その後の警察の捜査では動機も犯人の見当も付かないままである。；犯人とみられる人物はその後ろから来た車で逃亡している。；殺された犯人の男が持っていた標的の顔写真の中にはディランの写真もあった。；スミスの右手には、犯人のものと思われる金縁の鼻眼鏡が握られていた。；さらに使用されたカメラの機種を特定し、二人で犯人を割り出そうとする。；没収は、犯人以外の者に属しない物に限り、これをすることができる。；彼はロボットで自らをKと名乗り、犯人もロボットであることを告げる。；犯人らの大半は、もともと故国にいた時は宗教的だったわけではない。；犯人は事態を悪化させたくなければ三つの事件を解決しろと残された三姉妹に要求。；やがて、ブーケ一家惨殺事件の犯人が幼い霧香であったことが判明する。</t>
        </is>
      </c>
      <c r="J6990">
        <f>HYPERLINK("https://www.weblio.jp/content/犯人", "词义详情")</f>
        <v/>
      </c>
      <c r="K6990">
        <f>HYPERLINK("https://yourei.jp/犯人", "查看例句")</f>
        <v/>
      </c>
    </row>
    <row r="6991">
      <c r="A6991" t="inlineStr">
        <is>
          <t>番人</t>
        </is>
      </c>
      <c r="B6991" t="inlineStr">
        <is>
          <t>成功</t>
        </is>
      </c>
      <c r="C6991" t="inlineStr">
        <is>
          <t>読み方：ばんにん
番をする人。見張りをする人。</t>
        </is>
      </c>
      <c r="D6991" t="inlineStr">
        <is>
          <t>番人たち(5%)；番人小屋；番人頭；番人ども；番人夫婦</t>
        </is>
      </c>
      <c r="E6991" t="inlineStr">
        <is>
          <t>番；見張り；看守；衛兵；守衛</t>
        </is>
      </c>
      <c r="F6991" t="inlineStr">
        <is>
          <t>老番人；線路番人；恐ろしい番人；野駒番人</t>
        </is>
      </c>
      <c r="H6991" t="n">
        <v>29</v>
      </c>
      <c r="I6991" t="inlineStr">
        <is>
          <t>もう彼のことになれきっていた番人は、黙って門から出してくれました。；お次に、わたしを攻撃しようとしているもう一人の番人に拳銃を向けた。；木戸に番人は坐っているものの、これまた二人などに注意してはいない。；小屋の番人はまだ月明りの中で何か取片付けて働いている様子であった。；その番人の老人夫婦が、この広い家に、ただふたり住んでいるだけです。；そこは私の埋葬の道具を入れて置く所で、私がその番人で鍵を持っています。；現在はきみが王座についているのだから、はたして番人は必要だろうか?；鍵蔵が牢屋の番人みてえに、おらのことを四六時中監視してたすけえの。；鐘塔の中であいつは仰向けにぴったりと寝ている番人の上に坐っている。；わたしは責任上平謝りにあやまりましたが、番人は聞く耳を持ちません。；他の番人たちが走ってきた時、ガントールの背後から人影が出てきた。；私たちの「意識の部屋」には番人が許可したものしか入れないのです。；どこへ行くにも番人みたいに後の汽車か先の汽車で来てるんですもの。；そのとき初めてそこにいた番人をかれは目にいれたのであった。；もし番人らに見つかったら、ぼろ着物の彼らは追い出されたに違いない。；そこには娘のウフツたちが番人のようにこっちを向いて坐っていた。；番人は代りに小作料を受け取って、それをきちんと我々に送ってくれた。；西に一人、東に二人の番人がさらにその要害のよい門のそばを堅めていた。；タナーはちらりと下をのぞいて、番人の一人に発見されたことを知った。；家庭はどんなものでも脱れることが出来ない忠実な番人を持つてゐる。；門には番人もいまい、襲うのは今だとお二人でご決心になりました。；タルタロスの大門を守ってきた番人であり、血に濡れた衣を纏っている。；大助小屋には春から秋にかけては番人がいるようだが、冬には誰もいない。；その巨大な建物全体には二十人ぐらいの番人が残されていた。；この日はお客が僕一人なので儲からないと思って番人は山を下ってしまった。；番人、いや、もっと正確に言えば牧童だが、そんな連中は影も見えない。；最初に番人のところへ行ってこれを見せれは、旅支度を調えてくれるよ。；そこにごく軽く狭い鉄の橋があって、そのまんなかに番人が配されている。；それから、シカゴの下水会社で喞筒の番人をやっているのもあるという。</t>
        </is>
      </c>
      <c r="J6991">
        <f>HYPERLINK("https://www.weblio.jp/content/番人", "词义详情")</f>
        <v/>
      </c>
      <c r="K6991">
        <f>HYPERLINK("https://yourei.jp/番人", "查看例句")</f>
        <v/>
      </c>
    </row>
    <row r="6992">
      <c r="A6992" t="inlineStr">
        <is>
          <t>万人</t>
        </is>
      </c>
      <c r="B6992" t="inlineStr">
        <is>
          <t>成功</t>
        </is>
      </c>
      <c r="C6992" t="inlineStr">
        <is>
          <t>読み方：ばんじん
すべての人。ばんにん。</t>
        </is>
      </c>
      <c r="D6992" t="inlineStr">
        <is>
          <t>万人以上；万人規模；万人隊長；万人向け；万人単位</t>
        </is>
      </c>
      <c r="F6992" t="inlineStr">
        <is>
          <t>十万人；百万人；何万人；〇万人；余万人</t>
        </is>
      </c>
      <c r="H6992" t="n">
        <v>29</v>
      </c>
      <c r="I6992" t="inlineStr">
        <is>
          <t>多分同じ時間と場所にいる万人に共通して興味のある話題だからであろう。；ここでは万人により安価でより良い住宅を提供することが目標とされた。；彼は、優れた才能の持主であり、それがために万人の尊敬を集めていた。；この期間のアメリカは主にヨーロッパから何百万人もの移民を迎えた。；この協会は1千万人のアメリカ人が子孫だと主張できると言っている。；いわば万人のいわば万人のためのオートクチュールの誕生ともいえた。；それまでの仏教は万人が「仏」になる方法を示していなかったのであった。；エジプト最大の都市であるカイロでは数十万人が郊外の墓地で生活している。；万人向けである本家の雑誌版とは異なり、テレビ向けの番組となっている。；古くから候補地が挙がっているが、万人の説得できる説は出てこない。；アウターバンクスと周辺の海浜には毎年数百万人に観光客を集めている。；施但らが建業にまで至ったときは徒党の数は数万人に膨れ上がっていた。；これによればキリストは万人の救いのために死んだと信じられる。；他者の不利益を求める悪、万人の利益を求める功利主義とは区別される。；永遠の地獄の存在を否定し、万人が天国に行くと主張するグループもある。；他にホロコーストによる数百万人の難民をどうするかと言う点を議論した。；しかし、集団であれば、容易に数百万人を対象にすることができる。；今の人口は、住民基本台帳によると東京都区部の人口の合計は965万人。；実際の構成員数は不明であるが、総構成員は現在で数万人とも言われている。；一方では、合計372万人のチリ人が、2011年に他の国を訪問した。；二つの運動にはどちらも数万人の不可触民のサティヤーグラヒーが参加した。；結局大躍進政策は数千万人の餓死者を出す惨憺たる大失敗に終わった。；しかしそれは「科学が万人に幸せをもたらす世界」などではなかった。；これらは作品鑑賞の面でも、決して万人に開かれたものではない。；翟義の軍が山陽郡に着いた時には、その衆は十数万人に達していた。；ロンドンには世界中から毎年数百万人が観光に訪れる。；それは数万人の子供たちを一度に捕食し、自分のエネルギーにするためであった。；だが数百万人の虐殺などという報道は私にはまったくありえないことに思われた。；日本の大型国政選挙では全国で数十万人を対象に実施される。</t>
        </is>
      </c>
      <c r="J6992">
        <f>HYPERLINK("https://www.weblio.jp/content/万人", "词义详情")</f>
        <v/>
      </c>
      <c r="K6992">
        <f>HYPERLINK("https://yourei.jp/万人", "查看例句")</f>
        <v/>
      </c>
    </row>
    <row r="6993">
      <c r="A6993" t="inlineStr">
        <is>
          <t>反応</t>
        </is>
      </c>
      <c r="B6993" t="inlineStr">
        <is>
          <t>成功</t>
        </is>
      </c>
      <c r="C6993" t="inlineStr">
        <is>
          <t>読み方：はんおう
⇒はんのう（反応）</t>
        </is>
      </c>
      <c r="D6993" t="inlineStr">
        <is>
          <t>反応する(7%)；反応性(3%)；反応炉；反応系；反応条件</t>
        </is>
      </c>
      <c r="E6993" t="inlineStr">
        <is>
          <t>答え；返事；答える；応え；回答</t>
        </is>
      </c>
      <c r="F6993" t="inlineStr">
        <is>
          <t>拒否反応；どんな反応；酸化還元反応；激しく反応；どういう反応</t>
        </is>
      </c>
      <c r="G6993" t="inlineStr">
        <is>
          <t>反応速度；反応物；反応機構；反応中間体；反応時間</t>
        </is>
      </c>
      <c r="H6993" t="n">
        <v>29</v>
      </c>
      <c r="I6993" t="inlineStr">
        <is>
          <t>この反応を行う合成系にはいくつかの種類があることが知られている。；すなわち自発的に進行する方向に反応の速度を増加させる働きを持つ。；同じ反応を左右逆に と表した場合の平衡定数は と、元の逆数となる。；この理論はまた、気体系が変化に対してどう反応するかを説明している。；有機物中に存在する硫黄は反応性が高く重要なアミノ酸に含まれている。；今日では反応の種類に応じて多くの種類の触媒が開発されている。；よって、安全のためにナフサのような非反応性の化合物中に保管される。；この場合、生成物の特定に有用な化学量論的情報が反応の間に手に入る。；同時に金属の性質も示し、第14族で最も反応性の低い金属族となっている。；この最後の反応にもアルコール脱水素酵素が逆反応の形で寄与している。；芳香環は、他の不飽和環構造に比べ安定であると同時に反応性も異なる。；この曲の持つ凄味は禁酒の決意からくる反応と説明することも可能といえる。；これにより、触媒が存在しない場合よりも著しく高速に反応が進行する。；熱濃硫酸と銅とを反応させると、二酸化硫黄を発生させることができる。；現在確認されているあらゆる反応のうち、これが破られた例はない。；酵母が作ったエタノールを、人間が全く逆の反応で戻していることになる。；非常に反応性が高く、多くの金属や有機物と反応し塩化物を形成する。；水にフッ素を反応させると、激しく反応してフッ化水素と酸素が生じる。；そして再び次の反応のために基質を取り込み、目的の物質を生成し続ける。；銀は硫黄や砒素と反応し変色するため、暗殺を未然に防ぐ効果もあった。；この現地人はその直前に見せられたアパトサウルスの絵には反応しなかった。；ここで挙げた例は、データや状態の変化に反応して処理が起動されると呼ばれる。；未反応の化学種が移動できるような系であれば電気分解が継続する。；輸血に伴う反応を理解するには血液製剤の作り方を考えると理解しやすい。；これは抗うつ薬に反応しない場合、中止すべきことを示唆していると解釈された。；化学反応式の左辺を原系または反応系、右辺を生成系と呼ぶことがある。；当時この展覧会は社会に全く受け入れられず、批判的な反応がいろいろあった。；大東亜戦争開始時の広田の反応はさまざまなものが伝えられている。；踏切動作反応灯は一般的なデザインのものが使用されている。</t>
        </is>
      </c>
      <c r="J6993">
        <f>HYPERLINK("https://www.weblio.jp/content/反応", "词义详情")</f>
        <v/>
      </c>
      <c r="K6993">
        <f>HYPERLINK("https://yourei.jp/反応", "查看例句")</f>
        <v/>
      </c>
    </row>
    <row r="6994">
      <c r="A6994" t="inlineStr">
        <is>
          <t>万能</t>
        </is>
      </c>
      <c r="B6994" t="inlineStr">
        <is>
          <t>成功</t>
        </is>
      </c>
      <c r="C6994" t="inlineStr">
        <is>
          <t>読み方：ばんのう
１すべてに効力があること。「金は—ではない」「—薬」
２あらゆることにすぐれていること。なんでもできること。「—選手」</t>
        </is>
      </c>
      <c r="D6994" t="inlineStr">
        <is>
          <t>万能主義(4%)；万能型(4%)；万能選手(2%)；万能機；万能論</t>
        </is>
      </c>
      <c r="E6994" t="inlineStr">
        <is>
          <t>汎用；全能；多機能；多才；汎用的</t>
        </is>
      </c>
      <c r="F6994" t="inlineStr">
        <is>
          <t>科学万能；万能車；万能時代；権力万能；万能ナイフ</t>
        </is>
      </c>
      <c r="G6994" t="inlineStr">
        <is>
          <t>万能感；万能翻訳機；万能細胞；万能チューリングマシン；万能川柳</t>
        </is>
      </c>
      <c r="H6994" t="n">
        <v>29</v>
      </c>
      <c r="I6994" t="inlineStr">
        <is>
          <t>声の力はほとんど万能であったがいくつかのルールは存在するようだった。；しかしあまりのスポーツ万能ぶりにテレビ関係者には煙たがられていた。；謎のまま、すべてを流し去ってくれる万能便器であることは事実なのだ。；これだけ聞けば万能のようにも思えるが、そんなに簡単なものでもない。；こいつは、万能車といって、いろいろな作業をするための乗り物なんだ。；万能の薬はラテンに復帰することにあると言ってる面白い者どももいた。；芹もわりにスポーツ万能の子だったけれど、力の差ははっきりしていた。；家庭では人型で料理や遊び相手を務めたりと、あらゆる場で万能に活躍する。；根津管理人のもっているのは、第十七号館と第十八号館の万能鍵である。；同時代人は彼を人知のすべての領域に興味を持つ万能の学者とみなした。；このようなある種万能な特性を研究して生まれたのがU細胞である。；得点能力だけでなくゲームメイク能力も持ち合わせる万能型選手だった。；目的遂行のためにやりすぎて失敗することもあるため、万能とはいえない。；その瓶は宝石のようにかがやき、彼はまさに万能の力をもつ神にみえた。；われわれの相手が何者かは知らんが、あいつの知識が万能でないことは確かだ。；しかし国や地域によって事情が異なるため、万能の処方箋は存在しない。；カードの効果も万能な事を知る事となるが、あかりの手には定着しなかった。；騒ぎの後にくるのが科学万能と利得主義の欲望の時代だとわかっていました。；しかしそのような計算速度を得るための万能な具体的な実現方法は存在しない。；彼女にとっては、働くことが、心の苦痛をいやす万能薬だったのだから。；精霊雷は精霊にとっての万能の道具であり、また武器であるとも言える。；現代の社会では万能な金の力に対抗するのには、非常手段に出るより外はありません。；狐も鼠も私も、決して不死身の存在でもなければ、万能の存在でもない。；当時の芸術科学の分野でほとんど万能に近かったと語られている。；夢と は、この万能の力を持つ塔の復活を知らせるプロローグだったのだ。；万能というよりは器用貧乏だったんじゃないかと思うのだけれど。；六十二歳ぐらいでなくなったんですけれども、ひじょうに万能な人です。；妻と離婚し、勉強もスポーツも万能な娘のミンちゃんと二人暮らしをしている。；魔術には万能のイメージがあるが、基本的には等価交換で神秘を起こす。</t>
        </is>
      </c>
      <c r="J6994">
        <f>HYPERLINK("https://www.weblio.jp/content/万能", "词义详情")</f>
        <v/>
      </c>
      <c r="K6994">
        <f>HYPERLINK("https://yourei.jp/万能", "查看例句")</f>
        <v/>
      </c>
    </row>
    <row r="6995">
      <c r="A6995" t="inlineStr">
        <is>
          <t>半端</t>
        </is>
      </c>
      <c r="B6995" t="inlineStr">
        <is>
          <t>成功</t>
        </is>
      </c>
      <c r="C6995" t="inlineStr">
        <is>
          <t>読み方：はんぱ
［名・形動］
１あるまとまった量・数がそろっていないこと。また、そのさまや、そのもの。「—が出る」「—な布」
２どっちつかずであること。また、そのさま。「—な気持ち」「中途—」
３気のきかないこと。また、そのさま。「—者」</t>
        </is>
      </c>
      <c r="D6995" t="inlineStr">
        <is>
          <t>半端じゃない(8%)；半端者(5%)；半端な時間(3%)；半端物；半端な数</t>
        </is>
      </c>
      <c r="E6995" t="inlineStr">
        <is>
          <t>抜け；馬鹿；ばか；空け；阿呆</t>
        </is>
      </c>
      <c r="F6995" t="inlineStr">
        <is>
          <t>こんな半端；半端な数字</t>
        </is>
      </c>
      <c r="H6995" t="n">
        <v>29</v>
      </c>
      <c r="I6995" t="inlineStr">
        <is>
          <t>互いに命を預け合って活動するのだから、その信頼たるや半端じゃない。；おれを信用してすべて話してくれたのに、半端な形じゃ別れられないだろ!；今、半端な自分が無理をして事故を起こすよりは、そのほうが建設的だ。；それも半端な山ではなく、山脈と言ったほうがいいほどの山であった。；半端に協力すればするほど、最後に待っているのは避けられない戦いだけだ。；これだけの人数が戦うとなると、使用される玉の量も半端ではない。；どうせ深く考える前にストップするような半端な気持ちだというのに。；しかも日本を占領するために上陸するのだから、はんぱな数ではないだろう。；忍は髪の量が半端でなく多いので、結構な量を使わなければならない。；蓋しラヴクラフトの書いた小説に半端でない力が蔵されているのであろう。；伝染してるのなんて確実なことだし、それも半端な規模の話じゃない。；いまここで半端な話を聞きだしたところで、どうなるものでもないだろう。；このあいだは大阪の半端な土地をうまく分割して住宅を建てる仲介をした。；釈放後のスカイラーはニューヨーク市に出て半端仕事で身を立てていた。；そんな半端な土地のかなりの部分が、百円パーキングに姿を変えている。；クリスマスが終わってしまって、あとは大晦日を待つだけの半端な時間。；まさか、宿直の晩まで出かけはしなかったろうが、半端な情熱ではない。；こんな半端な時刻に町を歩いている小学生はほかになく、奇妙な感じだった。；こいつが半端をやって家を出たてえのは、本人からじかに聞いたよ。；ミネアポリスで一人暮らしを始めたが、半端仕事を続ける毎日が続いた。；要するに、どの社会の尺度で計っても、私は半端者だと言わざるを得ぬ。；耿家ほどともなると、親戚、血縁と名乗っている者の数も半端ではない。；半端に終わった調査をどう報告するか、悩んでいたのかもしれない。；立ち食いのテーブルがいくつかあって、今は半端な時間なので空いていた。；もし私が子供時代のなりで年だけとったら、どんな半端なものになっていたでしょう。；二十五だろう、二十五にもなって使い走りしかできねえ腰抜けの半端者が!；もつとも首が無いと云つても、半端に描きかけてあるわけではない。；なにしろ主城たるガルフォート城内のこと、出てくる数が半端ではない。；窓からの光に集まってくる虫の数が半端ではないのだ。</t>
        </is>
      </c>
      <c r="J6995">
        <f>HYPERLINK("https://www.weblio.jp/content/半端", "词义详情")</f>
        <v/>
      </c>
      <c r="K6995">
        <f>HYPERLINK("https://yourei.jp/半端", "查看例句")</f>
        <v/>
      </c>
    </row>
    <row r="6996">
      <c r="A6996" t="inlineStr">
        <is>
          <t>ハンバーグ</t>
        </is>
      </c>
      <c r="B6996" t="inlineStr">
        <is>
          <t>成功</t>
        </is>
      </c>
      <c r="C6996" t="inlineStr">
        <is>
          <t>読み方：はんばーぐ
１「ハンバーグステーキ」の略。
２（Hamburg）鶏の一品種。卵用、また愛玩用。オランダの原産といわれ、ドイツのハンブルク港から英国に渡り改良された。</t>
        </is>
      </c>
      <c r="D6996" t="inlineStr">
        <is>
          <t>ハンバーグ定食；ハンバーグ食べ男；ハンバーグライス；ハンバーグセット；ハンバーグ料理</t>
        </is>
      </c>
      <c r="F6996" t="inlineStr">
        <is>
          <t>和風ハンバーグ；月ハンバーグ食べ男；早苗月ハンバーグ食べ；ステーキハンバーグ；目玉焼きハンバーグ</t>
        </is>
      </c>
      <c r="G6996" t="inlineStr">
        <is>
          <t>ハンバーグプレイス；ハンバーグラー；ハンバーグ師匠；ハンバーグプレイスファーム；ハンバーグパティ</t>
        </is>
      </c>
      <c r="H6996" t="n">
        <v>29</v>
      </c>
      <c r="I6996" t="inlineStr">
        <is>
          <t>僕は料理の本で勉強したばかりのハンバーグに挑戦するつもりだった。；ハンバーグ地区には古いドイツ人地区でも建築的に重要な住宅の多くがある。；あるいはデートに誘われたのを勘違いしてハンバーグ作っちゃった的な!；つられて口を開いた先輩の口の中に、ハンバーグをひょいと放り込んだ。；浅見にはコーヒーが、少し遅れて美佳にはハンバーグライスが運ばれた。；ぶよぶよした脳は、ハンバーグにかかった白いソースのようではあったが。；注文したハンバーグ定食が運ばれてくると、青年はがつがつと食べ始めた。；良介はすみのテーブルに身をちぢめ、コーヒーとハンバーグを注文した。；明日の朝はハンバーグにしよう、と彼は今から決めていた。；ショウガ味のソースはステーキ、ハンバーグなどに応用される例もある。；ステーキの場合は必ず焼き方を指示していたが、ハンバーグは甘く見ていた。；今日のハンバーグはいつもとちがう色をしているから少しは味がちがうかも知れない。；子供たちは皿のうえに顔を伏せて、熱心にハンバーグをスプーンで切っている。；わたしは食事をしながらなぜハンバーグなのかを検証した。；テーブルの上には食べ残したハンバーグの皿が載っている。；旅館の人が気をつかってくれて、ハンバーグを作ってくれていた。；私はハンバーグを一口食べただけで下げてもらい、何か別のものをオーダーしようと思っていたところであった。；ハンバーグのためなら腎臓を一個売ってもいいくらいです。；「魚にしようかと思ったけど、あなたは若いからハンバーグにしました」 と彼は言った。；つまり、ぼくはハンバーグとフランクフルト・ソーセージの混合なんだ。；郡庁所在地はハンバーグ市であり、同郡で人口最大の都市はクロセット市である。；そしてもう一回は、ハーディーの店のハンバーグを注文した時。；ハンバーグという単純な料理だからこそ、作り手の腕が如実に表れる。；彼女のひと言が気にかかり、ハンバーグの味がわからなかった。；ペッタンコのハンバーグをパンに挟んで、電子レンジであたためただけ。；たとえば、カナダ保健省ではハンバーグは71度に到達することとしている。；俺は一口サイズに切り分けたハンバーグを、先輩の口元に箸で差し出した。；ハンバーグは、洋風、和風問わずに子供時代からの桜木の大好物だった。；笊のなかには皿と、ハンバーグ・ステーキ二人まえに相当する金が入っている。</t>
        </is>
      </c>
      <c r="J6996">
        <f>HYPERLINK("https://www.weblio.jp/content/ハンバーグ", "词义详情")</f>
        <v/>
      </c>
      <c r="K6996">
        <f>HYPERLINK("https://yourei.jp/ハンバーグ", "查看例句")</f>
        <v/>
      </c>
    </row>
    <row r="6997">
      <c r="A6997" t="inlineStr">
        <is>
          <t>販売</t>
        </is>
      </c>
      <c r="B6997" t="inlineStr">
        <is>
          <t>成功</t>
        </is>
      </c>
      <c r="C6997" t="inlineStr">
        <is>
          <t>読み方：はんばい
［名］(スル)商品を売ること。「輸入雑貨を—する」「通信—」</t>
        </is>
      </c>
      <c r="D6997" t="inlineStr">
        <is>
          <t>販売する(9%)；販売される(4%)；販売店；販売形態；販売網</t>
        </is>
      </c>
      <c r="E6997" t="inlineStr">
        <is>
          <t>営業；扱う；取引；商売；売却</t>
        </is>
      </c>
      <c r="F6997" t="inlineStr">
        <is>
          <t>輸入販売；販売業；販売本数；販売機；販売開始</t>
        </is>
      </c>
      <c r="G6997" t="inlineStr">
        <is>
          <t>販売会社；販売元；販売台数；販売業者；販売価格</t>
        </is>
      </c>
      <c r="H6997" t="n">
        <v>29</v>
      </c>
      <c r="I6997" t="inlineStr">
        <is>
          <t>背景にはインターネットでの書籍販売や電子書籍の普及が指摘されている。；様々な商品が様々な効能があることを直接・間接に示唆しつつ販売された。；ベンツは最初の自動車販売店を作り、生産した自動車を数百台販売した。；住宅地を開発し、住宅を建設して販売する産業は住宅産業と総称される。；アメリカ合衆国では1920年代後半まで蒸気自動車が販売されていた。；日本国内で合法に利用するには同社経由で販売・貸与されるものに限られる。；このうち浜松地方で作られる塩辛納豆は浜納豆の名称で販売されている。；日本では調理が簡単なソフトスパゲッティ式めんも製造・販売されている。；そのかわりにクロックが販売拡張の全責任を負うことになっていた。；ただし、製造・輸入・使用・販売には、経済産業大臣の許可が必要である。；そのため補修用ではゴムでコーティングしたボールが販売されている。；定員に達するか入場時間になった時点で当日分の販売は打ち切られる。；彼らの記録的な総販売枚数は、世界中で2億から3億枚と推定されている。；バスにおいても、一部のバスターミナルなどでは乗車券を販売している。；発売は、新しい商品の販売活動を開始する際によく使われる。；オランダでは現地の家電大手フィリップスがMSX機を販売していた。；売店は球場入口正面にのみ設置、限られた種類の飲食を販売していた。；ここ数十年、エンジンつきで左右に傾けることができるタイプが販売されている。；エタノールとガソリンの混合燃料に対応した車の販売も増加している。；また、あまり積極的に販売もされていなかったため、出荷数・現存数が少ない。；角カバーも販売されているが普及していない。；しかし現在では、調色せずとも保存性を高める薬品が販売されている。；他のベンダーから販売されていたFORTRANも初期は同様の問題を抱えていた。；現在10の種苗会社が世界的な種の販売の3分の2を制御している。；日本の自動車メーカーが複数進出して製造販売を行っている。；近年はこうしたペット向けのサプリメント類も販売されるようになってきている。；これはオランダ絵画の新しい販売方法でもあった。；携帯型音楽再生端末Zuneシリーズをアメリカとカナダで販売している。；本製品は、1996年3月から日本およびアメリカ合衆国にて販売された。</t>
        </is>
      </c>
      <c r="J6997">
        <f>HYPERLINK("https://www.weblio.jp/content/販売", "词义详情")</f>
        <v/>
      </c>
      <c r="K6997">
        <f>HYPERLINK("https://yourei.jp/販売", "查看例句")</f>
        <v/>
      </c>
    </row>
    <row r="6998">
      <c r="A6998" t="inlineStr">
        <is>
          <t>反発</t>
        </is>
      </c>
      <c r="B6998" t="inlineStr">
        <is>
          <t>成功</t>
        </is>
      </c>
      <c r="C6998" t="inlineStr">
        <is>
          <t>読み方：はんぱつ
［名］(スル)
１他人の言動などを受け入れないで、強く否定すること。また、その気持ち。「—を買う」「運命に—する」
２他からの力をはねかえすこと。はねかえること。「磁石の同じ極どうしは—する」
３値下がりしていた相場が一転して値上がりすること。⇔反落。</t>
        </is>
      </c>
      <c r="D6998" t="inlineStr">
        <is>
          <t>反発する(10%)；反発力；反発心；反発しあう；反発し合う</t>
        </is>
      </c>
      <c r="F6998" t="inlineStr">
        <is>
          <t>強く反発；強い反発；激しく反発；激しい反発；大きな反発</t>
        </is>
      </c>
      <c r="H6998" t="n">
        <v>29</v>
      </c>
      <c r="I6998" t="inlineStr">
        <is>
          <t>数々の宗教関係者がこれに反発、あらゆる手段を使って映画に反対した。；台湾の領有権を主張する中国は日米安保条約の台湾適用を反発している。；東宝が東映を傘下に収めようとしたことで東映が反発したとされている。；一方、マーラーはその一徹な性格から周囲の反発を買うことも多かった。；しかしこの頃から岸の強引な政治姿勢に対して三木は反発を強めていた。；これに東国の有力御家人の北条氏らが強い反発を示したのは当然であろう。；エジプト政府が売却に反発することを顧客が恐れたのが失敗した理由らしい。；西側とソ連の平和共存路線に中国がを掲げて猛反発したためである。；北方では匈奴が王莽の強硬な外交政策に反発して以来勢力を増していた。；彼はそこにライネッケの保守主義に反発した自分の姿を重ねたのだ。；この主張に対し、イギリスの科学者の多くからは反発・反論が起こった。；しかしながらこうした状況に反発する保守派が形成されてもいる。；この報道は、再びユダヤ系グループの反発を招き、大きな非難を受けた。；これに自民党は反発し、政府もスト権についての結論は出せないとした。；自費でのキャンプ参加となり、否定的な報道や一部世論の反発に遭った。；ユダヤ人のアイスナーによる革命に反発した民族派の反攻も開始された。；これに反発する武川鎮軍閥内の有力者たちは楊堅に対して反乱を起こす。；条約案を受け取ったドイツでは激しい反発が起こった。；この決定に反発した息子は独立してウダーシー派を結成した。；また三間の間口を一軒役として課税したことへの反発した形状とする説もある。；インドの民衆に伝わると国民的反発を各地で呼び、大暴動が勃発。；これは反発力が強く、従来のラバーと比べて打力が飛躍的に向上した。；改革自体は高潔なものだったが、教会の反発を招くことにもなった。；これはミセルコロイド同士が互いに電気的に反発するからである。；この事件は国際世論やイスラエル国民の反発を買い、ベギン政権も崩壊。；この際、後者に反発するグループが復古カトリック教会を形成した。；しかし多くの年配者を差し置いてのことだったため、反発があった。；着物の殆どを質入れしたと言う章子は非難されるいわれもなく反発。；こうした背景から、ギリシア諸国の多くはスパルタに反発することとなった。</t>
        </is>
      </c>
      <c r="J6998">
        <f>HYPERLINK("https://www.weblio.jp/content/反発", "词义详情")</f>
        <v/>
      </c>
      <c r="K6998">
        <f>HYPERLINK("https://yourei.jp/反発", "查看例句")</f>
        <v/>
      </c>
    </row>
    <row r="6999">
      <c r="A6999" t="inlineStr">
        <is>
          <t>半々</t>
        </is>
      </c>
      <c r="B6999" t="inlineStr">
        <is>
          <t>成功</t>
        </is>
      </c>
      <c r="C6999" t="inlineStr">
        <is>
          <t>読み方：はんはん
半分ずつ。半分半分。五分五分。「—に分ける」「—に混ぜる」</t>
        </is>
      </c>
      <c r="D6999" t="inlineStr">
        <is>
          <t>半々程度；半々位</t>
        </is>
      </c>
      <c r="F6999" t="inlineStr">
        <is>
          <t>それぞれ半々</t>
        </is>
      </c>
      <c r="H6999" t="n">
        <v>29</v>
      </c>
      <c r="I6999" t="inlineStr">
        <is>
          <t>この案では埋立面積を増加するとともに用途を工場・住宅で半々にした。；日本人の血が流れる半々に息子を殺されたとあっては黙っちゃいないだろう。；お得にはなりますがとてもとても半々なんというわけには参りますまい。；そうして、話をするときに相手の膝頭と顔とを半々に見較べる癖がある。；ナンバー11が真犯人である可能性は、彼の目には半々ぐらいに思えた。；生まれてくる子供は世界的人口の比率からいうと男と女が約半々である。；二階のオフィスには、男女半々の比率で十人ほどの従業員が働いている。；弓道部は女子と男子、合同で練習をしているようで、数は半々くらいだ。；は前年に続き倉と併用される形が続き、スタメン機会はほぼ半々だった。；先月は読む方ばかりであったが、こんどは、それと書く方とを半々にやる。；この頃じゃあっちへ寐るのとこっちへ帰るのと、まあ半々位なものだろう。；男子と女子と半々ぐらいだろうか、全部で千人はいる感じである。；この種の会議の参加者は、会議目的と観光目的を半々にしている者が最も多い。；経験的に、参加者の本名と匿名が半々ぐらいだと議論が成立しません。；演奏者は日本人と外国人が約半々で、またその多くが別荘所有者であった。；「販売には私が話してきます」 粕谷は驚きと嬉しさが半々の顔になった。；レストランのマネージャーやボーイも、メキシコ語と英語と半々である。；そのうち二サイクル用の混合油と四サイクル用のガソリンがほぼ半々だ。；失望と期待を、半々に抱いているらしい男の顔が、妙に哀れっぽかった。；一般路線に使用されている車両は、日野車と三菱車が半々程度存在している。；バスと電車が半々、と言うのは、彼の場合ちょっと説明がややこしくなる。；気になるとは、不安や心配、そして期待が、半々に重なるという意味だ。；ディーノの見解からすれば、これは半々の確率を持つ賭に等しい行為だ。；今のが夢とは判りながら、まだ半々ぐらいのところにさまよっている。；もちろん五回目の勝負で逆目が出る確率は数学上では半々である。；外の空気はまだ夜の闇と朝の光が半々にまじり合っていた。；すると歳入に占める中央政府と全自治体の割合がほぼ半々になった。；中へ入れる土は朝顔に使う腐葉土、ゴミ土と黒ポカの半々ぐらいがよい。；おれ自身が自分のことをそう考えてるから半々なんだ。</t>
        </is>
      </c>
      <c r="J6999">
        <f>HYPERLINK("https://www.weblio.jp/content/半々", "词义详情")</f>
        <v/>
      </c>
      <c r="K6999">
        <f>HYPERLINK("https://yourei.jp/半々", "查看例句")</f>
        <v/>
      </c>
    </row>
    <row r="7000">
      <c r="A7000" t="inlineStr">
        <is>
          <t>半分</t>
        </is>
      </c>
      <c r="B7000" t="inlineStr">
        <is>
          <t>成功</t>
        </is>
      </c>
      <c r="C7000" t="inlineStr">
        <is>
          <t>読み方：はんぶん
１2分の1の分量・数量。「—ずつ食べる」「—に減らす」
２（副詞的にも用いる）かなりの程度までその状態であること。なかばそのつもりであること。「—は本気だ」「—眠っている」
３名詞に付いて、なかばその気持ちが含まれていることを表す。「面白—」「遊び—」</t>
        </is>
      </c>
      <c r="D7000" t="inlineStr">
        <is>
          <t>半分以上(6%)；半分以下；半分程度；半分近く；半分開い</t>
        </is>
      </c>
      <c r="E7000" t="inlineStr">
        <is>
          <t>半；半ば；半数；部分的に；一部分</t>
        </is>
      </c>
      <c r="F7000" t="inlineStr">
        <is>
          <t>下半分；東半分；南半分；北半分；西半分</t>
        </is>
      </c>
      <c r="G7000" t="inlineStr">
        <is>
          <t>半分の月がのぼる空；半分雪；半分の馬；半分青い；半分少女</t>
        </is>
      </c>
      <c r="H7000" t="n">
        <v>29</v>
      </c>
      <c r="I7000" t="inlineStr">
        <is>
          <t>転換後輸送量は減少し、転換時の約半分になった時点で廃止されている。；夏には全州の半分以上に何らかの反乱がおき、首都でも衝突が発生した。；製作される映画は英語のものと現地語のものがほぼ半分ずつと言われている。；ベンチの端から、忍者のように体半分を出したり隠れたりする癖が有名。；それは真っ二つに折れていて、事件現場にあった残りの半分と一致した。；初列風切の内側半分が生え変わると、最も外側の三列風切が抜け始める。；フランスでは、ほとんどの白ワイン が北側半分の地域で生産されている。；ただし一気に体力ゲージの半分以上を奪うような連続技はほとんどない。；この試合では半分が獣神サンダー・ライガーのコスチュームで登場する。；現在の日本では、人口十万以上の都市の半分以上は城下町を起源としている。；種類の約半分はナマズ目である点はアマゾン川の特徴のひとつである。；南棟で死亡した民間人は計630人であり、北棟の半分以下の数字だった。；しかし実測してみるとこの値は予想される値の半分程度しかない。；その結果、色灯式と灯列式を使用する鉄道事業者はほぼ半分で分かれている。；今でも公演活動を精力的にこなし、月の半分は東京で生活をしている。；区域北部にある日本製鉄八幡製鐵所戸畑地区が区の面積の約半分を占める。；北部は四国山地の南端に位置し、自治体域の約半分が山林となっている。；よって、向心力以外の効果は公転していない系の場合の半分となっている。；更にその残りの半分にも同様、と到着すべき地点が限りなく前に続く故に到着しない。；から計算され、まず半分量を投与し pH をみながら追加していく。；この頃の紙芝居は一枚一枚手書きで、大きさも現在の半分ほどだった。；しかし山陽姫路駅側はピーク時の半分以下と大きく落ち込んでしまった。；目的点の半分の点まで到着するには、その前の半分の半分に着いていなければならない。；それが終わったらプロジェクト期間を半分にするという。；翌年、アメリカは取り分となる東半分の小さな島々を公式に占領した。；フランスが買っていたのは生産の半分以上であった。；スコータイ王朝の領域は、現在のタイ北部の南半分を中心としていた。；tRNAの上半分と下半分は、構造的にも機能的に独立したユニットである。；しかしその西半分と東半分では地理的様相がはっきり異なっている。</t>
        </is>
      </c>
      <c r="J7000">
        <f>HYPERLINK("https://www.weblio.jp/content/半分", "词义详情")</f>
        <v/>
      </c>
      <c r="K7000">
        <f>HYPERLINK("https://yourei.jp/半分", "查看例句")</f>
        <v/>
      </c>
    </row>
    <row r="7001">
      <c r="A7001" t="inlineStr">
        <is>
          <t>反乱</t>
        </is>
      </c>
      <c r="B7001" t="inlineStr">
        <is>
          <t>成功</t>
        </is>
      </c>
      <c r="C7001" t="inlineStr">
        <is>
          <t>読み方：はんらん
［名］(スル)権力や支配者に背いて武力行動を起こすこと。「—を鎮める」
[補説]書名別項。→叛乱</t>
        </is>
      </c>
      <c r="D7001" t="inlineStr">
        <is>
          <t>反乱者(3%)；反乱鎮圧(2%)；反乱軍(2%)；反乱勢力；反乱側</t>
        </is>
      </c>
      <c r="F7001" t="inlineStr">
        <is>
          <t>大規模な反乱；大反乱；率いて反乱；民衆反乱；反乱部隊将校</t>
        </is>
      </c>
      <c r="G7001" t="inlineStr">
        <is>
          <t>反乱分子；反乱同盟軍；反乱罪</t>
        </is>
      </c>
      <c r="H7001" t="n">
        <v>29</v>
      </c>
      <c r="I7001" t="inlineStr">
        <is>
          <t>夏には全州の半分以上に何らかの反乱がおき、首都でも衝突が発生した。；夕食で二人はイギリスの北米植民地で起きている反乱について議論した。；アンティオコス3世は即位するとすぐ国内の反乱勢力の多くを鎮圧した。；しかし鎮圧に向かった兵士は次々に反乱を起こして労働者側についた。；ボニファティウスはこれに応じず427年にアフリカで反乱を起こした。；また、反乱に備えて遠征する武将らの家族は王宮に来させて人質とした。；反乱を支援するためイギリスはアーサー・ウェルズリーらの部隊を派遣する。；古代より政権を握ったものが反対者を反乱者として処刑する事は珍しくなかった。；これには軍隊の一部も反乱に合流し、ロシア全土が大混乱に陥った。；反乱を起こした市民を組織化するために、公安委員会 が市内に組織された。；先生たちに反乱を起こすつもりなので助けにきてください!；これが知られた住吉仲皇子は反乱を起こして去来穂別の宮殿に火を放った。；この反乱を受けて、ドイツは統治政策の見直しを行うこととなった。；そのことで、自分への誅殺を恐れた英布は、反乱の準備を整えはじめた。；特に金の海陵王の時の反乱は、海陵王が殺される大きな要因となった。；反乱の疑いのあるものは政治犯収容所S21などに収容され虐殺された。；これに反発する武川鎮軍閥内の有力者たちは楊堅に対して反乱を起こす。；そのうちの多くはこうした暴動や反乱に関与していなかった。；このため、1898年と1902年には大規模な反乱が発生している。；この反乱に参加したのは戦争の負債と税金に憤った小農が大半だった。；クセルクセス1世が即位した後、バビロニアでは再び反乱が発生した。；この反乱は安禄山とその部下史思明の名を取って安史の乱と呼ばれる。；それは結局の所、自身への反乱と内戦への危機を作り出してしまったのである。；ロシアは56か国および東部ウクライナの反乱部隊へ武器を供給した。；暗殺者らは市民に反乱を呼びかけるも失敗、後に捕らえられて処刑された。；悪魔たちはパンデモニウムを作り、神への反乱をどう続けるかを話し合う。；ハミのホージャ・ニヤーズらに率いられた反乱勢力は西方へ逃亡した。；また調査に不満を抱いた地方豪族が農民を糾合して反乱をおこすこともあった。；そのため、ユダヤ人の大規模かつ組織的な反乱が発生した。</t>
        </is>
      </c>
      <c r="J7001">
        <f>HYPERLINK("https://www.weblio.jp/content/反乱", "词义详情")</f>
        <v/>
      </c>
      <c r="K7001">
        <f>HYPERLINK("https://yourei.jp/反乱", "查看例句")</f>
        <v/>
      </c>
    </row>
    <row r="7002">
      <c r="A7002" t="inlineStr">
        <is>
          <t>氾濫</t>
        </is>
      </c>
      <c r="B7002" t="inlineStr">
        <is>
          <t>成功</t>
        </is>
      </c>
      <c r="C7002" t="inlineStr">
        <is>
          <t>読み方：はんらん
［名］(スル)
１川の水などが増して勢いよくあふれ出ること。洪水になること。「豪雨で河川が—する」
２事物があたりいっぱいに出回ること。あまり好ましくない状態にいう。「情報の—」「悪書が—する」</t>
        </is>
      </c>
      <c r="D7002" t="inlineStr">
        <is>
          <t>氾濫する(10%)；氾濫水；氾濫期；氾濫被害；氾濫防止</t>
        </is>
      </c>
      <c r="E7002" t="inlineStr">
        <is>
          <t>洪水；大洪水；出水；大水；溢れ出る</t>
        </is>
      </c>
      <c r="F7002" t="inlineStr">
        <is>
          <t>洪水氾濫；大規模な氾濫；古来より氾濫；古くから氾濫</t>
        </is>
      </c>
      <c r="G7002" t="inlineStr">
        <is>
          <t>氾濫危険水位；氾濫平野；氾濫農耕；氾濫危険情報</t>
        </is>
      </c>
      <c r="H7002" t="n">
        <v>29</v>
      </c>
      <c r="I7002" t="inlineStr">
        <is>
          <t>以前は河川開発が行われておらず、望月寒川の氾濫が多く発生していた。；葛西用水路の氾濫時もこの地だけは島のように残ったとの伝承がある。；このようなことになっているのは黄河がたびたび氾濫したゆえである。；かつてはしばしば氾濫していたものの人や家畜への被害はほとんどなかった。；また、氾濫のたびに渡るのに手間取ったことに由来するとも言われる。；流量が少ないため氾濫はみられなかったが、台風のたびに増水はあった。；ナイル川の氾濫は非常に規則的ではあったが、毎年の水位は異なっていた。；一方、下条川はしばしば氾濫を起こし、周辺地区は大きな被害を受けた。；また川の氾濫を引き起こし、その時は大地も家屋も大いに揺れたという。；その後、他のメーカーもこれに追従し、このような表示が氾濫していった。；過去に紅河が何度も氾濫を繰り返した際にできた湖の一つである。；河川の氾濫防止のために別の水路を開いて放水することを含む場合もある。；国道5号から下流の部分は1962年の氾濫の後に整備されたものである。；道の駅そばを流れる南沢川が氾濫して、敷地全体が冠水の被害を受ける。；市内の河川が氾濫が発生して1934年の室戸台風以来の大水害となった。；また、太田川氾濫時には駅周辺が5m近く浸水することが予想されている。；住宅地の低地を流れる河川であり、古くから氾濫する川として知られる。；ところが一度、豪雨ともなれば、両河川は氾濫し、家や田畑が水没した。；冬にしばしば氾濫するエルゼ川沿いの草地は粗放的に農業利用された。；原産地では堤防が決壊し氾濫することで、流れが分散されることもある。；また、朝日新聞の報道によると、識者が上空から河川の氾濫状況を分析。；そしてこの氾濫を管理する必要性から、文明が徐々に発達してきた。；河川敷にあるため、利根川が氾濫した時に滑走路が水没することがある。；だが渡良瀬川は古くから氾濫を繰り返して流域に多大な被害を与えた。；今日ではかつてのようにナイル川が氾濫することはもはや無い。；開湯は江戸時代の享保年間に、男鹿川の氾濫後に偶然発見したと言われる。；またの際には、氾濫する河川の中に奇妙な生物の死骸が浮かんでいるのが目撃されている。；その後、テレビ界には高額の賞金を売り物にした類似番組が氾濫した。；三方湖や水月湖の湖岸の集落や農地を湖の氾濫から守るために計画された。</t>
        </is>
      </c>
      <c r="J7002">
        <f>HYPERLINK("https://www.weblio.jp/content/氾濫", "词义详情")</f>
        <v/>
      </c>
      <c r="K7002">
        <f>HYPERLINK("https://yourei.jp/氾濫", "查看例句")</f>
        <v/>
      </c>
    </row>
    <row r="7003">
      <c r="A7003" t="inlineStr">
        <is>
          <t>販路</t>
        </is>
      </c>
      <c r="B7003" t="inlineStr">
        <is>
          <t>成功</t>
        </is>
      </c>
      <c r="C7003" t="inlineStr">
        <is>
          <t>読み方：はんろ
商品を売りさばく方面。売れ口。はけ口。「—の拡張を図る」</t>
        </is>
      </c>
      <c r="D7003" t="inlineStr">
        <is>
          <t>販路拡張；販路限定盤；販路確保</t>
        </is>
      </c>
      <c r="E7003" t="inlineStr">
        <is>
          <t>口；開始；開設；隙間；切り口</t>
        </is>
      </c>
      <c r="F7003" t="inlineStr">
        <is>
          <t>新たな販路；流通販路</t>
        </is>
      </c>
      <c r="G7003" t="inlineStr">
        <is>
          <t>販路開拓</t>
        </is>
      </c>
      <c r="H7003" t="n">
        <v>29</v>
      </c>
      <c r="I7003" t="inlineStr">
        <is>
          <t>生産は日本国内で行い、日本国内に留まらず海外にも販路を広げている。；自分の店を持った後は販路を設定すると毎月の利益が金庫に入金される。；ただし、直営以外の販路でどれだけの台数が販売されたかは不明である。；生産量が増えたことで京都へさらに各地へと販路を拡大する計画を立てていた。；そうやって販路をこっそり作ってからだと、メーカーにも対抗できる。；出来た製品は星の開拓した販路に乗せるだけでよく、こんないい話はない。；豊島屋は第二次世界大戦の前には、白酒の販路を日本全国に広げていた。；そのため市場から駆逐され、現在ではメーカー、販路ともに限られている。；とくにグラスは中年男性のあいだに浸透させなければ販路が開けない。；昭和時代にこの販路は世界各国に及び年間生産額が200万円に達する。；販路拡張の結果、1912年には1年間で4万灯の増灯を達成している。；この売価は外国製品の三分の一以下で、全国に販路がひろがっていった。；これにより、この地にある工場はより良好な販路を形成することができる。；製品は三井物産に販売委託され、その販路は海外にまで広がっていた。；出資構成の変更などがあったことから、取引販路の一部が変わった。；日本国内では売れることが期待できないと思われたため、販路を海外に向けた。；実需者を明確にした青果物取引の強化による安定的な販路確保等を目指す。；戦争に乗じて欧州諸国の市場であったアジアに商品の販路を広げた。；販路は陸軍・海軍を初め、東京・大阪・上海・釜山の複数の会社に及んだ。；その後のいすゞ車はタクシー需要の面でも販路を狭めることになってしまった。；買取価格が低い理由には、販路が少ないことや処理費が高いことが挙げられる。；当主になった後は前作同様2つの町の間で販路を引き、その利益を得ることができる。；まず、戦争が始まるとBASFの主要製品である染料の販路がなくなった。；わたしの家の話ですが、作ったお米の販路というのは大体決まっています。；その後、販路の拡大に成功し、イギリスの代表的メーカーのひとつに成長。；ハラールマーケットフェア日本を飛び出して、海外への販路を開拓する!；転じて、新しい分野や販路などの拡大の意味でも用いられる。；これら新機種もよく売れ、コモドールはヨーロッパにも販路を拡大する。；自分たちでは食べきれないし、役場には店もなければ、販路もない。</t>
        </is>
      </c>
      <c r="J7003">
        <f>HYPERLINK("https://www.weblio.jp/content/販路", "词义详情")</f>
        <v/>
      </c>
      <c r="K7003">
        <f>HYPERLINK("https://yourei.jp/販路", "查看例句")</f>
        <v/>
      </c>
    </row>
    <row r="7004">
      <c r="A7004" t="inlineStr">
        <is>
          <t>灯</t>
        </is>
      </c>
      <c r="B7004" t="inlineStr">
        <is>
          <t>成功</t>
        </is>
      </c>
      <c r="C7004" t="inlineStr">
        <is>
          <t>読み方：あかし
《動詞「明かす」の連用形から》
１ともし火。明かり。灯火。
「町の—が其処にも此処にも見える」〈花袋・田舎教師〉
２神仏に供えるともし火。灯明。みあかし。</t>
        </is>
      </c>
      <c r="D7004" t="inlineStr">
        <is>
          <t>灯籠(2%)；灯がつい；灯式；灯具；灯かげ</t>
        </is>
      </c>
      <c r="E7004" t="inlineStr">
        <is>
          <t>光；明；電気；明かり；明り</t>
        </is>
      </c>
      <c r="F7004" t="inlineStr">
        <is>
          <t>照明灯；室内灯；警告灯；赤い灯；万灯</t>
        </is>
      </c>
      <c r="G7004" t="inlineStr">
        <is>
          <t>灯台；灯火；灯油；灯し；灯影</t>
        </is>
      </c>
      <c r="H7004" t="n">
        <v>29</v>
      </c>
      <c r="I7004" t="inlineStr">
        <is>
          <t>色灯式の中継信号機には、中継信号機標識を表示することとされている。；室内灯も300形などと同様のシャンデリア形のものを取り付けている。；そんな時代でも村民は教育の灯を消してはならないと懸命に踏ん張った。；なお機関車以外の全車両にLED常点灯方式の室内灯が標準装備される。；入換標識に附属し、開通している線路を示す表示灯を線路表示器と呼ぶ。；また当初から室内灯に蛍光灯を装備したことも進んだ特徴であった。；この項目で特に断りなく白灯と書いてある場合は、厳密な純白ではない。；アメリカ合衆国では早くから色灯を組み合わせた警報機が採用されていた。；前照灯は窓上のHID式ではなく、窓下配置のシールドビーム灯とした。；さらに次駅の開くドア方向を予告する「次駅開扉予告灯」が設置された。；その結果、色灯式と灯列式を使用する鉄道事業者はほぼ半分で分かれている。；一方で回転灯を装備せず、一般のマイクロバスの外観をしている事も多い。；これは計画途中までは前照灯1灯とする予定を変更した結果である。；表示器の設置していないドア上部には広告枠とドア開閉予告灯が設置してある。；実は灯の両親が贈賄に加担しており、灯と両親は口封じに殺害されかける。；ここでの距離は色灯式・単灯式信号機に取り付けられる背面板からの距離である。；また、空車でなくなると、車両につけられた行灯が消灯することもある。；踏切動作反応灯は一般的なデザインのものが使用されている。；この言葉が野球ファンの共感を得たため、照明灯は設置されてこなかった。；社名灯メーカーがカタログに掲載する形状から選択する場合が多い。；また、ノッチ表示灯の設置、計器類・スイッチ類の配置の見直しを実施。；現橋の架橋当初には南部鋳物で造られた「橋側灯」が設置されていた。；その場合、空きの場所には灯球1個分のスペースが設けられている。；セーフティカーは車体上部に緑と黄色の回転灯や閃光灯を備えている。；ちなみに末期モデルはブーメランタイプの散光灯も設定されていた。；道路照明灯とは、主に道路を照らす為に立てられている電灯のことである。；色灯式の出発信号機はなく、代わりに出発反応標識が設置されている。；標識灯は従来車に近い位置に設置されたが、四角いタイプの単独型となった。；また、この周辺は霧の発生が多いため強力なヘッドライトを2灯装備していた。</t>
        </is>
      </c>
      <c r="J7004">
        <f>HYPERLINK("https://www.weblio.jp/content/灯", "词义详情")</f>
        <v/>
      </c>
      <c r="K7004">
        <f>HYPERLINK("https://yourei.jp/灯", "查看例句")</f>
        <v/>
      </c>
    </row>
    <row r="7005">
      <c r="A7005" t="inlineStr">
        <is>
          <t>火</t>
        </is>
      </c>
      <c r="B7005" t="inlineStr">
        <is>
          <t>成功</t>
        </is>
      </c>
      <c r="C7005" t="inlineStr">
        <is>
          <t>読み方：か
［音］カ（クヮ）（呉）（漢）　コ（唐）　［訓］ひ　ほ
［学習漢字］1年
〈カ〉
１ひ。ほのお。「火炎・火事・火勢・火力／引火・炬火(きょか・こか)・情火・聖火・耐火・点火・灯火・発火・噴火・猛火・烈火」
２火事。「火災・火難／怪火・近火・戦火・大火・鎮火・防火・類火」
３火力を使う。「火食・火田」
４火力を使う道具。鉄砲。「火器・火薬／鉄火」
５物事の差し迫ること。「火急」
〈ひ（び）〉「火種・火柱・火花・火元／熾火(おきび)・鬼火・篝火(かがりび)・口火・下火・炭火・野火・花火」
〈ほ〉「火影・火屋」
［難読］下火(あこ)・火燵(こたつ)・不知火(しらぬい)・烽火(のろし)・火熨斗(ひのし)・火傷(やけど)</t>
        </is>
      </c>
      <c r="D7005" t="inlineStr">
        <is>
          <t>火星人(2%)；火憐；火光；火竜；火を点ける</t>
        </is>
      </c>
      <c r="E7005" t="inlineStr">
        <is>
          <t>炎；火災；火事；燃焼；焔</t>
        </is>
      </c>
      <c r="F7005" t="inlineStr">
        <is>
          <t>赤い火；火辻軍平；火酢芹；火吹だるま；火柴公司</t>
        </is>
      </c>
      <c r="G7005" t="inlineStr">
        <is>
          <t>火星；火事；火山；火花；火薬</t>
        </is>
      </c>
      <c r="H7005" t="n">
        <v>29</v>
      </c>
      <c r="I7005" t="inlineStr">
        <is>
          <t>加熱は火を使って行われるのが普通だが、直接に火にかけない例もある。；人間の場合は物資的な火があるものであり、悪魔の場合は存在物である。；港からの攻撃を予測していたハスドルバルは付近の倉庫群に火を放った。；導火線に火をつけてから爆発まで12分の猶予があると計算されていた。；心臓と小腸は共に中国の五行でいうと火に属するため密接な関係を持つ。；他にも『Xファイル』のようなビデオから人気に火がつく作品もあった。；火や血の色である赤は古来から魔除けの効果があると信じられていた。；一度限りの結成のつもりだったが人気に火がつき、その後も旅回りをする。；消防車は10時少し前に到着したが火はすでにかなり燃え広がっていた。；土・風・火・水の四つの精霊界があり、それぞれを抜けて天上界へ至る。；彼は火のついたものを持った人影を見て、警備を行っていた警官に急報した。；これは呪を唱え目、鼻、口から水では消えない火や煙を出す術である。；また直火のできないキャンプ場では焚き火台を持ち込むケースが一般的。；そのためにも、火の周りに断熱的な構造を作るのは重要な工夫である。；逆に火の勢いが強くなると、周囲のものが熱などによって影響を受けやすい。；人が起こした火ではないのだろうということで、その国を火国と名付けた。；恋愛感情や怒りのような高ぶる感情はしばしば火や炎にたとえられる。；火を利用するにあたって、もっとも困難なのは、火種を作ることである。；やがて王に呼ばれると髪の毛も燃えることなく火の中から出てきた。；劉歆によれば周は木徳であり、そこから生まれた漢は火徳であるとする。；このように、古代では火は物質であるとする捉え方が多かった。；炎のように激しく・また熱く、火のように明るく・また暖かい人物である。；これが知られた住吉仲皇子は反乱を起こして去来穂別の宮殿に火を放った。；この火は市の港に最も近い区域まで燃え広がり、かなりの被害をもたらした。；中国の五行説では、5つで木・火・土・金・水の五行に対応している。；一行は火祭りの準備のために薪を運んでいる群集にこれ幸いと紛れ込む。；アフリカでは火を通したキャッサバをつぶしてウガリやフフが作られる。；なお、一説によると火をつけたのはピロクテーテース自身だったとも言う。；ですので、彼が何を火の中へ投げ込んでいたのかはわかりません。</t>
        </is>
      </c>
      <c r="J7005">
        <f>HYPERLINK("https://www.weblio.jp/content/火", "词义详情")</f>
        <v/>
      </c>
      <c r="K7005">
        <f>HYPERLINK("https://yourei.jp/火", "查看例句")</f>
        <v/>
      </c>
    </row>
    <row r="7006">
      <c r="A7006" t="inlineStr">
        <is>
          <t>日</t>
        </is>
      </c>
      <c r="B7006" t="inlineStr">
        <is>
          <t>成功</t>
        </is>
      </c>
      <c r="C7006" t="inlineStr">
        <is>
          <t>読み方：か
［接尾］助数詞。数を表す和語に付いて、日数を数えるのに用いる。「十—」「三—三晩」「二月七—に雪が降った」
「いま幾(いく)—ありて若菜摘みてむ」〈古今・春上〉</t>
        </is>
      </c>
      <c r="D7006" t="inlineStr">
        <is>
          <t>日中(3%)；日後(3%)；日前(2%)；日米；日ごと</t>
        </is>
      </c>
      <c r="E7006" t="inlineStr">
        <is>
          <t>時代；一日；機会；昼；年代</t>
        </is>
      </c>
      <c r="F7006" t="inlineStr">
        <is>
          <t>三日；数日；二日；十日；五日</t>
        </is>
      </c>
      <c r="G7006" t="inlineStr">
        <is>
          <t>日本人；日本語；日々；日常；日本国内</t>
        </is>
      </c>
      <c r="H7006" t="n">
        <v>29</v>
      </c>
      <c r="I7006" t="inlineStr">
        <is>
          <t>そこで鳥の声のレコードを買ってきて、自宅で一日中流し続けていた。；競走後も日ごとに動きが良化し、厩舎内でも特に優れた馬と見られ始めた。；なお、最終節は基本的に全試合の開催日と試合開始時間を統一している。；バビロニア人やエジプト人は日の出を一日の始まりの時刻だとしていた。；だが、彼が優秀であることをジョニーは兵士になった日からわかっていた。；例えば一般に英日翻訳に比べて日英翻訳の能力は低い段階にあった。；日露両陣営には欧米と南米諸国から数多くの観戦武官が派遣されていた。；三度目の勝負の日には、噂を聞きつけてたくさんの観衆が集まっていた。；ある日、ゼウスとポセイドンの兄であるハデスが彼女の下を訪ねてきた。；クラブでは初試合となったこの日を「エスパルスの誕生日」としている。；したがって月が出てさえいれば、その日が何日であるか暦がなくてもわかる。；なお、任天堂のファミリーコンピュータも全く同じ日に発売されている。；その日は、月齢およそ6の、船のような形の月が南西の夜空に浮かんだ。；アメリカではこの日22日の午前から重要な同盟各国への通知が行われた。；またこどもの日と男の子の成長を祝う端午の節句は同日だが別物である。；川端は伊藤の死の数日前から自身の体にも違和を感じていたという。；公式ツイッターにも同様の内容を発信したがその日のうちに削除されている。；毎年のトップチーム始動日には全員で被災地訪問をするのが恒例である。；古代、太陽神が広く信仰されていた時代は日曜日が礼拝日であったという。；しかし中国軍の抵抗が激しく、一日100mほどしか前進できなかった。；時計代わりとして、信徒の一日の生活上の節目となっているとも言われる。；数字がゾロ目で覚えやすく、多くの団体や企業がこの日を記念日にしている。；また三島は、ある日の川端のお茶目な様子を以下のように記している。；冬至の日を一年の日数の始まりとし、冬至が含まれる月を決めておく。；また日米のプロサッカークラブの一部が野球場を本拠地としている。；日中時間帯を中心に一部列車は2両編成のワンマン運転となっている。；ほぼ終日設定されており、日中は1時間あたり4本が運転されている。；アキレウスはその日以降、集会にも出ず、戦闘にも参加しなくなった。；日中は空港快速・区間快速・普通それぞれが12分ごととなっていた。</t>
        </is>
      </c>
      <c r="J7006">
        <f>HYPERLINK("https://www.weblio.jp/content/日", "词义详情")</f>
        <v/>
      </c>
      <c r="K7006">
        <f>HYPERLINK("https://yourei.jp/日", "查看例句")</f>
        <v/>
      </c>
    </row>
    <row r="7007">
      <c r="A7007" t="inlineStr">
        <is>
          <t>美</t>
        </is>
      </c>
      <c r="B7007" t="inlineStr">
        <is>
          <t>成功</t>
        </is>
      </c>
      <c r="C7007" t="inlineStr">
        <is>
          <t>読み方：み
〈弥〉⇒び
〈眉〉⇒び
〈美〉⇒び
〈微〉⇒び</t>
        </is>
      </c>
      <c r="D7007" t="inlineStr">
        <is>
          <t>美鎖(3%)；美那子；美奈；美半島；美巳</t>
        </is>
      </c>
      <c r="E7007" t="inlineStr">
        <is>
          <t>美しさ；ビューティー；ビューティ</t>
        </is>
      </c>
      <c r="F7007" t="inlineStr">
        <is>
          <t>奈美；晴美；渥美；江美；朱美</t>
        </is>
      </c>
      <c r="G7007" t="inlineStr">
        <is>
          <t>美し；美術；美しく；美人；美術館</t>
        </is>
      </c>
      <c r="H7007" t="n">
        <v>29</v>
      </c>
      <c r="I7007" t="inlineStr">
        <is>
          <t>彼女の言う美や愛とはそのような対象への支配と逆の、自己否定である。；美がよいものとされる限りにおいて、他のよいものとの関係が問われる。；また装飾とは別に武器が持つ一種の機能美に美術的価値が見出される。；彼はこの根拠を求めるために、美を定義するのに必要な性質は何かを探る。；また渥美が役者を目指すようになったのにはある刑事の言葉があると言う。；シュメールでは豊穣と愛と美と性と戦争の女神イナンナの聖花とされた。；この時の美は歴史の表舞台には現れないが、庶民の生活の中に息づいてきた。；真奈美との別れから6年が過ぎたある日、その本人が正樹の目の前に現れる。；哲学における「美」の概念の概説的な説明は、すでに優れた記述がある。；動機は強い無常観であり精神生活を支えるものは美と信仰であったという。；また画家の原口の開く絵画展のチケットがあると美穪子は三四郎を誘う。；伝統的な美と新しい感性がその作品の中で融合し、調和しているといえる。；夫人の顔に笑顔が広がると、彼女の美の一部が頬によみがえった。；人は美に面したとき、それを眺め、それ自身の内なる必然性を愛する。；また、平安時代には長い髪の美しさは女性の美そのものであった。；そこでの彼のテーマは美の根拠についてである。；美の観念は言葉に説明しがたい性質のものであるが西行の句を例に挙げてみる。；彼は美を真や善と結びつけることによって、この問題を解決しようとする。；当時の複雑煩瑣に発達した音楽から、復古的な簡潔美を求めて作られた。；美および愛は新プラトン主義の芸術の中心的な主題となった。；ここにも静けさや寂しさのなかに美を見出したことが示されている。；従ってシンメトリーにみられる様式美は憧れの想像美であると言える。；しかし古代には美が独自の領域であるという主張は積極的にはなされなかった。；美少年の姿は恋人に驚きを与え、心の戸口は美への凝視という喜びに開く。；初名は渥美半島統一をなした曽祖父・宗光にあやかり、宗光を名乗った。；加えて、同誌では真奈美編はずれている気がするという指摘もあった。；自身の美しい容姿と長い髪や、人一倍の美への執着心は母からの影響が強い。；明治時代に入り、渥美半島先端の中山村には陸軍の試砲場が設けられた。；実際には播美線の計画は縮小されたため、上郡までの建設になった。</t>
        </is>
      </c>
      <c r="J7007">
        <f>HYPERLINK("https://www.weblio.jp/content/美", "词义详情")</f>
        <v/>
      </c>
      <c r="K7007">
        <f>HYPERLINK("https://yourei.jp/美", "查看例句")</f>
        <v/>
      </c>
    </row>
    <row r="7008">
      <c r="A7008" t="inlineStr">
        <is>
          <t>非～</t>
        </is>
      </c>
      <c r="B7008" t="inlineStr">
        <is>
          <t>成功</t>
        </is>
      </c>
      <c r="C7008" t="inlineStr">
        <is>
          <t>読み方：ひ
［音］ヒ（呉）（漢）　［訓］あらず　そしる
［学習漢字］5年
１…でない。それと違う。…がない。「非常・非情・非凡・非力(ひりき)・非礼・非合理・非常識」
２悪い。間違っている。悪いこと。「非運・非行・非道／是非・前非・理非」
３間違いとする。非とする。「非戦論／是是非非」
４悪く言う。そしる。「非議・非難」
［難読］似非(えせ)・似而非(えせ)・非道(ひど)い</t>
        </is>
      </c>
      <c r="H7008" t="n">
        <v>0</v>
      </c>
      <c r="J7008">
        <f>HYPERLINK("https://www.weblio.jp/content/非～", "词义详情")</f>
        <v/>
      </c>
      <c r="K7008">
        <f>HYPERLINK("https://yourei.jp/非～", "查看例句")</f>
        <v/>
      </c>
    </row>
    <row r="7009">
      <c r="A7009" t="inlineStr">
        <is>
          <t>日当たり</t>
        </is>
      </c>
      <c r="B7009" t="inlineStr">
        <is>
          <t>成功</t>
        </is>
      </c>
      <c r="C7009" t="inlineStr">
        <is>
          <t>読み方：ひあたり
日光が当たること。また、その当たる場所や、当たりぐあい。「—のよい部屋」</t>
        </is>
      </c>
      <c r="D7009" t="inlineStr">
        <is>
          <t>日当たりのよい(29%)；日当たりの良い(20%)；日当たりのいい(12%)；日当たりの悪いアパート</t>
        </is>
      </c>
      <c r="F7009" t="inlineStr">
        <is>
          <t>温暖で日当たり；日当たりのよい草地；日当たりの良い草地；日当たりのいい縁側；日当たりのよい山野</t>
        </is>
      </c>
      <c r="H7009" t="n">
        <v>29</v>
      </c>
      <c r="I7009" t="inlineStr">
        <is>
          <t>私は友人と一緒に庭へ出て、その種を日当たりの良い場所に埋めました。；そこは彼の寝ている部屋の窓ではなく日当たりのいい廊下の窓だった。；小枝は日当たりのよい面は赤味を帯び、日陰側は緑色であることが多い。；特に日当たりのよい場所では道沿いなどでは多くの花数が見られることがある。；日当たりのよい山や丘の森には、人間が住みやすいように鳥も獣も多い。；水をやり、風にあて、日当たりのいい場所に置いても回復しなかった。；薫さんはテーブルの脇の、一番日当たりのいい場所に段ボールを置いた。；戦後、日当たりの良い南斜面を活用した路地ブドウ栽培が盛んになった。；それで機台は皆南向きの日当たりのよい室に据ゑ付けられるのである。；これで、日当たりの良い開けた環境が継続してきたという背景がある。；店前と違って日当たりがよくないせいか、花には精彩がないように思われた。；子供らはこの卵の三つか四つを日当たりのいい縁側の下の土に埋めておいた。；ガリオンと友人たちはそんな日の大半を日当たりのいい主船室で過ごした。；もっと水の深い、日当たりのいいところでなくては、魚も寄ってきはしない。；日当たりのよさが売りらしいが、夜型の生活を送る人間にはそこが辛い。；入り組んだ路地を抜け坂を上がると、日当たりのいい土手が続いていた。；それもそのはずで、本来なら日当たりのいいはずの南側廊下には窓がひとつもない。；野外では宿主植物の生えた日当たりのいい草地や路傍などで見られる。；日当たりと水はけの良いところなら、多少痩せ地でも比較的良くできる。；定植後は日当たりの良い環境で育て、土が乾かない程度に水やりする。；日本全土に生育し、日当たりのよい道端や庭、畑などにごく普通にある。；日当たりと排水性が良い土壌を好み、夏の暑さや乾燥に弱い性質がある。；春と秋は日当たりのいい場所に置き、夏季は広葉樹の下など日陰を好む。；彼女は、庭のすみにあって、日当たりのいいからたちの木を撰びました。；南向きの日当たりが良く灌漑された山の斜面が栽培に適している。；成長が早くて日当たりのいい場所を好み、林縁や攪乱を受けた場所によく出現する。；日本の本州に分布し、日当たりのよい山野の林縁などにふつうに生える。；日当たりの良いやや乾燥したところを好み、かなり深くに根を下ろす。；この家でいちばん日当たりのよい部屋が、一人娘にあてがわれているのだ。</t>
        </is>
      </c>
      <c r="J7009">
        <f>HYPERLINK("https://www.weblio.jp/content/日当たり", "词义详情")</f>
        <v/>
      </c>
      <c r="K7009">
        <f>HYPERLINK("https://yourei.jp/日当たり", "查看例句")</f>
        <v/>
      </c>
    </row>
    <row r="7010">
      <c r="A7010" t="inlineStr">
        <is>
          <t>ピアノ</t>
        </is>
      </c>
      <c r="B7010" t="inlineStr">
        <is>
          <t>成功</t>
        </is>
      </c>
      <c r="C7010" t="inlineStr">
        <is>
          <t>読み方：ぴあの
１《「ピアノフォルテ」の略。弱音（ピアノ）と強音（フォルテ）とが自在に出せるところから》鍵盤(けんばん)楽器の一。鍵盤を指先でたたくと、その運動がハンマーに伝えられ、大きな共鳴箱内に張られた金属弦を打って発音する。18世紀初めイタリア人B＝クリストフォリが考案。以後、独奏・合奏に広く用いられるようになった。平型（グランド）と竪型（アップライト）とがある。洋琴。
２音楽で、強弱標語の一。弱く、の意。記号p⇔フォルテ。</t>
        </is>
      </c>
      <c r="D7010" t="inlineStr">
        <is>
          <t>ピアノ演奏(3%)；ピアノ伴奏；ピアノ独奏；ピアノ科；ピアノ教師</t>
        </is>
      </c>
      <c r="E7010" t="inlineStr">
        <is>
          <t>フォルテピアノ；ピアニッシモ；ピヤノ；洋琴；ピアノフォルテ</t>
        </is>
      </c>
      <c r="F7010" t="inlineStr">
        <is>
          <t>ピアノソロ；ピアノ調律師；ピアノ用；国際ピアノ；ピアノ音楽</t>
        </is>
      </c>
      <c r="G7010" t="inlineStr">
        <is>
          <t>ピアノ協奏曲；ピアノソナタ；ピアノ奏者；ピアノ線；ピアノ・ソナタ</t>
        </is>
      </c>
      <c r="H7010" t="n">
        <v>29</v>
      </c>
      <c r="I7010" t="inlineStr">
        <is>
          <t>ピアノを使って作曲を試みたものの、上手くいかなかったと語っている。；シューマンが家で作曲しているときにはクララはピアノの練習を控えた。；ただしこの時期からピアノの手ほどきを受けていたことは確かである。；またこのときのピアノ演奏で、初めて自身の老いを自覚したと言われる。；正式な訓練を受けずにピアノ演奏を習得し、一家のピアニストになった。；そのため、最初から3台のピアノを用意して演奏をしたこともあった。；アメリカではチェルニー作品のみのピアノフェスティバルが開催された。；この種の作品ではピアノがカデンツァを披露することが省略されたりする。；一方、彼のピアノからは小さな音しか出なかったという批判もあった。；モンクが「ピアノは間違った音を出さない」と言ったことは有名である。；この時期にショパンがピアノ以外の楽器を演奏したという証拠がある。；ピアノ以外にもチェンバロなどに音色を変えて演奏する事も多かった。；ピアノの作音楽器に劣後する特性を何とか克服しようとするものである。；そこで彼女は娘を出産した後の5歳頃から息子に正式なピアノ教育を始める。；その後幾度の引っ越しでピアノ先生が変わり11歳からチェロを始める。；母親は音楽好きであり、自宅には洋輔が生まれたときからピアノがあった。；子供のころから歌やピアノの才能を発揮していたが、後に演技の道を進むようになる。；ショパンもまた自分のプレイエルのピアノを輸送するのに問題を抱えていた。；卒業時にはピアノを演奏したと伝えられるが曲目は不明である。；多くの発明がそうであるように、ピアノもそれまでにあった技術の上に成立している。；この頃は特にピアノが好きではなく、むしろ苦痛だったという。；ライブでは歌唱だけでなく、ピアノやギターを演奏することもある。；ピアノやバイオリン等、楽器というのは一般的には形が変わることが無い。；バーでピアノを弾いていたなどの証言が多く残り、楽器も達者に演奏できた。；音楽と芸術に興味があった国王の頼みでピアノ演奏を行った。；こうして瀧は作曲とピアノ演奏でめきめきと才能を伸ばしていった。；また、殆どの場合において主科とは別に、副科としてピアノを学習する。；ピアノやアコースティックギターなど楽器の演奏も披露している。；母親は歌手でありピアノも演奏し、父親はフルートを演奏する音楽一家であった。</t>
        </is>
      </c>
      <c r="J7010">
        <f>HYPERLINK("https://www.weblio.jp/content/ピアノ", "词义详情")</f>
        <v/>
      </c>
      <c r="K7010">
        <f>HYPERLINK("https://yourei.jp/ピアノ", "查看例句")</f>
        <v/>
      </c>
    </row>
    <row r="7011">
      <c r="A7011" t="inlineStr">
        <is>
          <t>ひいては</t>
        </is>
      </c>
      <c r="B7011" t="inlineStr">
        <is>
          <t>成功</t>
        </is>
      </c>
      <c r="C7011" t="inlineStr">
        <is>
          <t>読み方：ひいては
［副］「ひいて」の強めた言い方。「個人の権利のため、—人間の尊厳のために闘う」</t>
        </is>
      </c>
      <c r="D7011" t="inlineStr">
        <is>
          <t>ひいては全；ひいては人生そのもの；ひいては寄生者；ひいては広く</t>
        </is>
      </c>
      <c r="E7011" t="inlineStr">
        <is>
          <t>さらに；そのため；その結果；それゆえ</t>
        </is>
      </c>
      <c r="H7011" t="n">
        <v>29</v>
      </c>
      <c r="I7011" t="inlineStr">
        <is>
          <t>ひいては、他の動物に比べてより大型の脳を持つ事を可能にしたのである。；そのかたが領主もしくは代官、ひいては帝国中央との交渉役になります。；ひいてはそれが人間関係をスムーズにする大きな要因でもありましょう。；土の苦痛、ひいてはそこに根をおろす木の苦痛が伝わってくるようだ。；ひいては自分の大事な友人をバカにされたような気にさえなった。；つまり、あの歌を入選させた諸先生方や、ひいては宮中の方々にですね。；逆反応、ひいては化学平衡の特性を認識した初期の化学者の一人である。；信仰のために自分の都合や仕事や学業などの事情、ひいては命を放棄すること。；それがお互いのあいだを一層こじらせ、ひいては自分に嘘をつくことになる。；その薬は新陳代謝を促進し、ひいては新しい細胞の生成をうながすのだ。；ひいては、西部二部隊経理部の、全員の功績にも影響することになるからね。；また、下請けの仕事量、ひいては雇用にも影響があるとの考えを示した。；ひいては兄の呪縛から解かれる自分の将来を考えてほっとしているのだろう。；単に殺したのでは、すぐに動機に気づかれ、ひいては犯人を特定される恐れがあった。；母親の偏愛が一家の中にかもし出す空気、ひいては社会におよぼす影響。；そしてそれがひいてはこの世界の現状維持に寄与しているのだともいえるであろう。；これがその後の寒冷化と氷河の発達、ひいては氷河時代の一因とされる。；それは先任の阿部老中ひいてはその路線を踏襲した自分の責任でもあった。；ひいては布教の上にも直接間接の影響をあたえるのは判り切っていた。；それがわが英国秘密情報部、ひいてはこのわしまで関係してくるのは困ったものだ。；この地に、ひいてはノースダコタ州に、新たな産業が生まれた瞬間であった。；リゾートのみならず、旅の楽しみ方、ひいては人生の楽しみ方も知らないのだ。；これが母への憎悪、ひいてはイギリスへの憎悪に繋がったといわれる。；これが成功するかどうかは、日露の戦果、ひいては日本の運命を左右したともいえる。；それは非常な熟練を要し、ひいては自動車を普及させる妨げになった。；アトランタひいてはアメリカ連合国の心臓部へ直接向いた進入路が開けた。；このことは連絡網の整備、ひいては教団の組織力の高さをうかがわせる。；それがひいてはマシな人間になるってことなんじゃねえのかい。；そこでこの神社や、ひいては現在の神主のことまで、天狗様と云うのである。</t>
        </is>
      </c>
      <c r="J7011">
        <f>HYPERLINK("https://www.weblio.jp/content/ひいては", "词义详情")</f>
        <v/>
      </c>
      <c r="K7011">
        <f>HYPERLINK("https://yourei.jp/ひいては", "查看例句")</f>
        <v/>
      </c>
    </row>
    <row r="7012">
      <c r="A7012" t="inlineStr">
        <is>
          <t>ビール</t>
        </is>
      </c>
      <c r="B7012" t="inlineStr">
        <is>
          <t>成功</t>
        </is>
      </c>
      <c r="C7012" t="inlineStr">
        <is>
          <t>読み方：びーる
スイス西部、ベルン州の都市。ジュラ山脈南麓、ビール湖北端に位置する。時計産業をはじめ、機械工業が盛ん。13世紀にバーゼル領主司教により創建。旧市街には中世の面影を残す歴史的建造物が多い。周辺の村々は同国有数のワイン産地としても知られる。フランス語名、ビエンヌ。</t>
        </is>
      </c>
      <c r="D7012" t="inlineStr">
        <is>
          <t>ビール醸造；ビール会社；ビール壜；ビールケース；ビールびん</t>
        </is>
      </c>
      <c r="E7012" t="inlineStr">
        <is>
          <t>麦酒；ビア；ビヤ；ビーア</t>
        </is>
      </c>
      <c r="F7012" t="inlineStr">
        <is>
          <t>ランビール；罐ビール；新しいビール；大手ビール；ビールを一気に</t>
        </is>
      </c>
      <c r="G7012" t="inlineStr">
        <is>
          <t>ビール醸造所；ビール工場；ビールス；ビールーニー；ビールマンスピン</t>
        </is>
      </c>
      <c r="H7012" t="n">
        <v>29</v>
      </c>
      <c r="I7012" t="inlineStr">
        <is>
          <t>ビールはパンと並んで主要な食物とされており、大量に生産・消費された。；それに対して北部ではビールが一般的で、ワインは高価な輸入品だった。；阪神百貨店で発売された優勝限定ビールを飲まずに大切に保管している。；その中には以前パオパオビールに所属していたギルモアも交じっていた。；ドイツのビアガーデンでの料理、ビールの注文手順の一例を以下に示す。；ガルシアは「気の抜けたビール」を符牒にして情報入手を依頼していた。；一般にビールには受粉前の花を使うため栽培圃場では雄株は淘汰される。；ビールのデンプン源に何を使用するかで、その濃さや風味が左右される。；また、ビールに塩を振りかけた場合にも泡が出てくる事象が観測される。；日本でビールといえばピルスナースタイルのビールを指すことが大半である。；ビールとウイスキーを得意とし、それらに関する著書を多く記している。；初期のロンドン・ポーターは現代の基準でみると濃いビールだった。；大量生産に向き、20世紀以降では世界のビール生産の大部分を占める。；ただし、日本国内では、二番搾りだけを原料に製品化したビールはない。；日本のほとんどの大手ビールメーカーの工場では見学コースが整備されている。；男性は80人が、女性は25人が先週ビールを飲んだと答えるとしよう。；広島産のビールと広島産の旬の食材を使った料理を供する店を紹介していた。；素領域というビールの泡の外と内はどのような構造になっているのか?；中学生の頃に初めてビールを飲み、大人になってからはほぼ毎日飲んでいる。；その他年に数回に分け、限定醸造で蔵出ししているビールも存在する。；ビールを摂取すると血中のウリジン濃度が上昇することが報告されている。；当然、アルコールが入っている通常のビールを猫に与えるのは厳禁である。；だがビールに使用するための大量栽培が開始されたのは13世紀になってからである。；このほか、ビールのかわりにワインを使うものも登場している。；第一次世界大戦中には穀物の不足により、濃いビールの生産は制限された。；そのため他のビールとブレンドやフルーツを加え再発酵させる場合が多い。；現代でも、パン生地にビールを混ぜて作るビールパンが作られている。；日本の多くの料理店・居酒屋では、5社のうち1社のビールが供された。；最近ではビールと合わせてシャンパンも用意される場合もある。</t>
        </is>
      </c>
      <c r="J7012">
        <f>HYPERLINK("https://www.weblio.jp/content/ビール", "词义详情")</f>
        <v/>
      </c>
      <c r="K7012">
        <f>HYPERLINK("https://yourei.jp/ビール", "查看例句")</f>
        <v/>
      </c>
    </row>
    <row r="7013">
      <c r="A7013" t="inlineStr">
        <is>
          <t>冷える</t>
        </is>
      </c>
      <c r="B7013" t="inlineStr">
        <is>
          <t>成功</t>
        </is>
      </c>
      <c r="C7013" t="inlineStr">
        <is>
          <t>読み方：ひえる
［動ア下一］［文］ひ・ゆ［ヤ下二］
１温度が下がってあたたかさが失われる。つめたくなる。また、気温がひどく下がる。つめたく、または寒く感じる。「腰が—・える」「—・えたビール」「朝晩は—・える」《季秋》
２あるものに対する熱意・興味などがなくなってしまう。また、うまくいっていた関係がわるくなる。不況になることにも言う。「仲が—・える」「両国の関係が—・える」「消費が—・える」</t>
        </is>
      </c>
      <c r="D7013" t="inlineStr">
        <is>
          <t>冷えるような思い</t>
        </is>
      </c>
      <c r="E7013" t="inlineStr">
        <is>
          <t>冷却；収まる；沈静；冷やす；寒くなる</t>
        </is>
      </c>
      <c r="F7013" t="inlineStr">
        <is>
          <t>しんしんと冷える；ひどく冷える；まだ冷える；少し冷える；冷えれば冷える</t>
        </is>
      </c>
      <c r="H7013" t="n">
        <v>29</v>
      </c>
      <c r="I7013" t="inlineStr">
        <is>
          <t>太陽が急速に西の地平線に沈んだ後、火星の空気はひどく冷えるからだ。；あるいは銃の冷えるのを待つ間に俺の相手をする気になったのかもしれなかった。；それだのに火の気のない檻房に座つてゐてはどんなに冷えるかしれない。；電気系統だから、冷えると伝わりにくくなるのか、との説もあるそうだ。；秋が冷えるにつれて、彼の部屋の畳の上で死んでゆく虫も日ごとにあったのだ。；湿気を帯びた空気は意外なほど冷たくて、たちまちに喘いだ喉が冷える。；お初も胃の腑のあたりが冷えるようで、思わず両手を帯の上に重ねていた。；おれはまっすぐ市の中心部に出かけて、頭の冷えるまで公園で腰かけていた。；老人が椅子の上に坐ってしまうのは足が冷えるからである。；空気はおかげで何とか新鮮だったが背広だけでは体の芯まで冷えるようだ。；秋が冷えるにつれて、彼の部屋の畳の上で死んでゆく虫も日毎にあったのだ。；今夜は莫迦に冷えると思っていたが、やはり雪になる知らせだった。；年間を通して一定気温に保たれているとはいえ、洞窟内はかなり冷える。；ブロンズが冷えると、像は右足の指3本を除いて奇跡的に完成していた。；上着もなしに一時間も表にいるのは、さぞかし体が冷えることだろう。；「きっと夜は冷えるだろうからな」 「ああ」 と、源義もうなずいた。；怖いのは凍結だが、この宙域なら粉々になるほど冷える心配はなさそうだ。；幼いとはそういうものだとわかっていても、これが王の言葉だと思うと肝が冷える。；その寒むざむとした思いは、今思い出しても腹の冷えるような思いであった。；こんなに長い舌を、出したままにしていたら、体が冷えるだろう?；夜明けに近く、冷えるにいいだけ冷えきつた、零下二十度の空氣だつた。；沖縄では、冷えるといっても摂氏一〇度以下にさがることは少ない。；今夜は秋の初めにしては冷えることになりそうだ。；「冷えるぜ」客は、コートの衿をたてたまま、スツールに腰を下ろした。；温度調整があっても、三十階となると、風当りが強くて冷えるのかな。；その子供の体を眼にした圭一は、一瞬背筋の冷えるのを意識した。；地上では手では触れないくらい熱くなってるのに、空に上がると急激に冷える。；日中はあたたかくても、高原地帯だけに、陽が落ちると、かなり冷える。；その晩のことを考えると、早苗はいまでもゾーッと血が冷えるような気がする。</t>
        </is>
      </c>
      <c r="J7013">
        <f>HYPERLINK("https://www.weblio.jp/content/冷える", "词义详情")</f>
        <v/>
      </c>
      <c r="K7013">
        <f>HYPERLINK("https://yourei.jp/冷える", "查看例句")</f>
        <v/>
      </c>
    </row>
    <row r="7014">
      <c r="A7014" t="inlineStr">
        <is>
          <t>被害</t>
        </is>
      </c>
      <c r="B7014" t="inlineStr">
        <is>
          <t>成功</t>
        </is>
      </c>
      <c r="C7014" t="inlineStr">
        <is>
          <t>読み方：ひがい
損害や危害を受けること。また、受けた損害や危害。「台風の—をまぬがれる」「—にあう」⇔加害。</t>
        </is>
      </c>
      <c r="D7014" t="inlineStr">
        <is>
          <t>被害者(2%)；被害地；被害民；被害拡大防止を目的；被害軽減</t>
        </is>
      </c>
      <c r="F7014" t="inlineStr">
        <is>
          <t>甚大な被害；壊滅的な被害；浸水被害；深刻な被害；大被害</t>
        </is>
      </c>
      <c r="G7014" t="inlineStr">
        <is>
          <t>被害状況；被害妄想；被害届；被害額；被害総額</t>
        </is>
      </c>
      <c r="H7014" t="n">
        <v>29</v>
      </c>
      <c r="I7014" t="inlineStr">
        <is>
          <t>これらのケースではプログラムがそのまま被害につながっているからである。；台風の通過・被害が多いが、九州のほかの県と比べると少ない方である。；この地震は津波を起こすほどのものではなく、被害は報じられていない。；カメラが普及し始めた時期でもあり、被害の写真が比較的多く残されている。；この頃、戦局の悪化は日本国内にも大きな被害を与えるようになっていた。；悲しいことに実際に毎年数千人もの子どもがそうした被害に遭っている。；特に当駅前後の被害が最も激しく土砂は線路を超えて県道付近まで達した。；これらの被害を合わせると、1000万円を超えるだろうと語っている。；事件の被害に遭ったのは大韓航空に所属する大韓航空858便であった。；ペットが人に被害を与えた場合、刑事・民事の責任を問われることがある。；この住宅地も第二次世界大戦で被害を受けたが、当初の形に再建されている。；そんなある日、大雨で純の友人・チンタの家の畑が大きな被害を受ける。；被害に遭った場合、黙っていると犯行がエスカレートするおそれがある。；被害の全容を想定する手法は定性的にも定量的にも確立されていない。；この火は市の港に最も近い区域まで燃え広がり、かなりの被害をもたらした。；大阪府では毎年本種による被害が発生しているが、重篤者は出ていない。；これほど被害が大きくなった原因は などが挙げられる。；また国境を越えた酸性雨の被害も世界中で広く報告されている。；津波による水の圧力は非常に大きく、沿岸の広い地域に被害を与える。；第110号艦に被害はなく、またアメリカ軍機にも発見されなかった。；これらは甚大な被害によって外部からの救援を必要とする場合が多い。；コミューンの最後はパリ市内での市街戦となり、大きな被害を出した。；他は建物下部の石垣崩壊や屋根・壁の破損などの被害が報告された。；車両は空港駅及び仙台駅に停車していたので大きな被害はなかった。；小さいものはグルーピングが良いが、ミスしたときの被害が大きい。；これらの飛散物が、屋外のあらゆる物体や人に衝突して被害を発生させる。；東部で最も大きな被害をもたらした洪水は1997年のものだった。；州全体が竜巻の被害を受けているが、州の最南部はやや頻度が少ない。；平坦部は移動中に敵に姿を曝け出し被害を増す危険があったので却下された。</t>
        </is>
      </c>
      <c r="J7014">
        <f>HYPERLINK("https://www.weblio.jp/content/被害", "词义详情")</f>
        <v/>
      </c>
      <c r="K7014">
        <f>HYPERLINK("https://yourei.jp/被害", "查看例句")</f>
        <v/>
      </c>
    </row>
    <row r="7015">
      <c r="A7015" t="inlineStr">
        <is>
          <t>被害者</t>
        </is>
      </c>
      <c r="B7015" t="inlineStr">
        <is>
          <t>成功</t>
        </is>
      </c>
      <c r="C7015" t="inlineStr">
        <is>
          <t>読み方：ひがいしゃ
１被害を受けた人。
２不法行為や犯罪によって権利その他の侵害や侵害の危険を受けた者。民事上、損害賠償の請求ができ、刑事訴訟法上、告訴ができる。⇔加害者。</t>
        </is>
      </c>
      <c r="D7015" t="inlineStr">
        <is>
          <t>被害者a；被害者たち；被害者宅；被害者側；被害者数</t>
        </is>
      </c>
      <c r="E7015" t="inlineStr">
        <is>
          <t>犠牲；犠牲者；被災者</t>
        </is>
      </c>
      <c r="F7015" t="inlineStr">
        <is>
          <t>被害者男性；被害者達；被害者役；被害者c；両被害者</t>
        </is>
      </c>
      <c r="G7015" t="inlineStr">
        <is>
          <t>被害者の会；被害者意識；被害者支援；被害者家族；被害者参加</t>
        </is>
      </c>
      <c r="H7015" t="n">
        <v>29</v>
      </c>
      <c r="I7015" t="inlineStr">
        <is>
          <t>彼女は被害者の中で唯一、殺害されずに解放されていた女性であった。；被害者側で支援活動をしていたのが、当時弁護士だった中坊公平である。；そのため被害者が民事裁判で謝罪広告の掲載などを要求することがある。；最近では、警察発表で被害者の氏名が伏せられることも増えてきている。；捜査の結果、犯人は被害者の横の部屋に宿泊していた男だと判明した。；警察は検死の前からすぐに被害者がショートであると特定できていた。；ある被害者は事件から35年後にそのときの負傷が原因で死亡した。；被害者の女性は送付された青酸カリを服用して自殺を試み、死に至った。；一方、日本人を含めた外国人が被害者となる国際詐欺事件が増加している。；宗教団体だけでなく、非宗教団体も被害者を支援するためにやってきた。；被害者に性的暴行はしていないが、極度に暴力を加えていることである。；この陰謀論は広く受け入れられ、ドイツ国民は自身を被害者とみなした。；周囲にいる者は、被害者にも責任の一端があったかのような言動は避ける。；被害者家族を思えば痛ましいことだが、それはほとんど不可能に近い。；被害者との出会い方にはいくつかのパターンがあり、以下にその代表例を挙げる。；被害者たちは喉を切られた後に、腹部も切られていたことが特徴であった。；しかしこの請求は被害者側の遺族が受諾しなかったために成立しなかった。；さらにはシュトラウスもナチスに利用された被害者だったとする意見もある。；実際に被害者の親族が立ち会えるように要請したが拒否されている。；やがて、事件が解決すると被害者の姓は黒色のマジックで書き改められる。；被害者女性がある人物への怒りは消えてないものの新しい職場で働き始めていること。；リリィの呪いの被害者の胃の中には共通して微量の炭が検出されている。；警察と被害者側との連携が不十分だったことが原因であった。；被害者たちの関連性を調べていくうちに、ある重大な過去が浮かび上がる。；被害者には善広の同級生もいたので次第に学校へ寄り付かなくなった。；多くの場合、光圀一行が旅の途中で事件の被害者と出会う所から始まる。；特に選挙が行われる直前にはその被害者の数が増えると言う。；かつては被害者が女性の場合のみ適用される強姦罪であった。；事件の被害者の貴重な証言なども収められている。</t>
        </is>
      </c>
      <c r="J7015">
        <f>HYPERLINK("https://www.weblio.jp/content/被害者", "词义详情")</f>
        <v/>
      </c>
      <c r="K7015">
        <f>HYPERLINK("https://yourei.jp/被害者", "查看例句")</f>
        <v/>
      </c>
    </row>
    <row r="7016">
      <c r="A7016" t="inlineStr">
        <is>
          <t>控え室</t>
        </is>
      </c>
      <c r="B7016" t="inlineStr">
        <is>
          <t>成功</t>
        </is>
      </c>
      <c r="C7016" t="inlineStr">
        <is>
          <t>読み方：ひかえしつ
控えて待っているための部屋。</t>
        </is>
      </c>
      <c r="D7016" t="inlineStr">
        <is>
          <t>控え室らしき部屋</t>
        </is>
      </c>
      <c r="E7016" t="inlineStr">
        <is>
          <t>待合室；楽屋；待ち合わせ場所；休憩所；待機所</t>
        </is>
      </c>
      <c r="F7016" t="inlineStr">
        <is>
          <t>小さな控え室；守衛控え室；選手控え室；審判控え室</t>
        </is>
      </c>
      <c r="H7016" t="n">
        <v>29</v>
      </c>
      <c r="I7016" t="inlineStr">
        <is>
          <t>最初の試合のときは控え室も自分だけ別のところに作ってもらいましてね。；「とにかくビールを飲みたいな」と仲間を探しに控え室へ飛んで行った。；控え室から短い廊下を経て、彼らはようやく地下の管制室に辿り着いた。；同じ頃に検査ピットの控え室も解体され2台分の駐車スペースとなった。；式の当日、控え室で挙式の時間を待っている父の様子は余裕が感じられた。；われわれの制服は全部、隣の控え室の方へ出しておくようにするべきですね。；不意に書類を手にした若い男が控え室にはいって来たのである。；いっしょに控え室のほうへさがる途中でハティは花束をとり落しました。；しかし、舞台すぐ横に設置された控え室にいる私たちには丸聞こえ。；代わりに診察室の隣に小部屋を設けて、敏夫は自分の控え室にしていた。；聞こえてきたのは茅原さんたちよりもさらに後方、関係者控え室の方から。；さすがの孝江も、控え室にまで追ってくる気にはなれないようだった。；しかし一番重要な点は、犯人が控え室から出られなかったということです。；さっき控え室に入っていくのが見えたからそうじゃないかって思ったんだ。；その時扉の開き目から、隣りの控え室に、ある物を見つけて夢中になった。；いつの間にか演奏を終えた女の子たちが、控え室へと戻ってきている。；それから、控え室のドアをぬけると、音のしないように後のドアをしめた。；控え室に通されてしばらくすると、着替えの終わった美香が入ってきた。；給仕控え室で隠れているあいだに、きみの手下が興奮して話してくれたよ。；だが、楽屋になっている控え室のドアの前で、寛の足は釘づけになった。；かわりの女性は奥の控え室に着替えにいったまま、なかなか出てこなかった。；彼は立って、記者団が列をなして控え室に戻っていくのを見つめた。；ミーティングとはいえ、チームそれぞれに控え室などがあるわけではない。；その控え室では既に二、三の学生が肩をすぼめて丼飯をかきこんで居た。；俺が調査を看護師控え室で行うことを伝えると驚いたようだった。；ばたんと、控え室のドアが音を立ててしまったのが、その答えだった。；メンバーの控え室に行くと全員が、なんとなく時間をもてあましている。；みんなが台詞を読む声がぶつぶつとお経のように控え室に響いている。；羽生は控え室が発見した受けの好手を指し、局面は完全にヨリが戻った。</t>
        </is>
      </c>
      <c r="J7016">
        <f>HYPERLINK("https://www.weblio.jp/content/控え室", "词义详情")</f>
        <v/>
      </c>
      <c r="K7016">
        <f>HYPERLINK("https://yourei.jp/控え室", "查看例句")</f>
        <v/>
      </c>
    </row>
    <row r="7017">
      <c r="A7017" t="inlineStr">
        <is>
          <t>控えめ</t>
        </is>
      </c>
      <c r="B7017" t="inlineStr">
        <is>
          <t>成功</t>
        </is>
      </c>
      <c r="D7017" t="inlineStr">
        <is>
          <t>控えめな性格(3%)；控えめな態度；控えめな表現；控えめなノック；控えめな笑顔</t>
        </is>
      </c>
      <c r="E7017" t="inlineStr">
        <is>
          <t>慎重；遠慮；シンプル；地味；素朴</t>
        </is>
      </c>
      <c r="F7017" t="inlineStr">
        <is>
          <t>比べて控えめ；ひどく控えめ；つつましく控えめ</t>
        </is>
      </c>
      <c r="H7017" t="n">
        <v>29</v>
      </c>
      <c r="I7017" t="inlineStr">
        <is>
          <t>人としては彼女は内気の一歩手前まで控えめであるとしばしば言われる。；話題にされることの少ない、控えめな成功を遂げた作品といわれている。；何事にも控えめな彼女のおとなしい性格がそこには如実に現われていた。；そのため米国での患者数は控えめに見て200万人を超えるとされる。；正直な人間は自信家で独断的か、控えめでつつしみ深いかのどちらかだ。；さっきまで控えめにチビチビやっていたのに、今ので火がついたらしい。；それから本当に時間がおしてきたので、話を控えめにして箸を動かした。；こういった控えめな存在のなかに、物語の真実の意味が託されている。；質屋は若者達を陰で支える控えめな態度の友ともいうべきものだった。；司令官は「何人か」と表現したが、それはきわめて控えめな表現だった。；この大聖堂は、大きさでは控えめだったが、大変豊かな装飾を施された。；こういう色は、控えめにつけなければならないことくらい今はわかっている。；番組のメインであるハガキのコーナーはその分控えめにされていた。；間に合わせとして建設された控えめな建物は6年しか用いられなかった。；新しい男は、プロポーズの言葉と一緒に、控えめにこんなことを言った。；両曲ともアルバム収録のものに比べてエコーが控えめになっている。；「私ではなく、アイヌ文化全体が認められた」と控えめに喜びを話した。；バンドは彼らの曲をいじり、ギターを前に出し、エコーを控えめにした。；本人はとても控えめな性格だったが、描く絵は力強さに溢れていたという。；家まで行く間に、記者たちがいつになく控えめなのに気がついた。；目鼻立ちはくっきりと美しいが、あまり控えめな性格には見えなかった。；市内のほとんどの家は控えめなサイズであり、通りはきれいに保たれていた。；ベヴァリーの見たところでは、ケイリーの性質はいかにも控えめである。；カントリィな雰囲気で、それらしい古い曲が控えめな音量で流れている。；私は自分の感情を現すのを控えめにするように気を使っていた。；しかしサレルノの医師たちは偉大な教師たちの成果の前には控えめであった。；あのひとは控えめだが、以前よりもいっそうその性質が強くなったように思える。；評論家の評価はは成長し続けたが、レコードの売上は控えめなままだった。；都筑に視線で意見を求められ、ミチルは少し考えてから控えめに発言した。</t>
        </is>
      </c>
      <c r="J7017">
        <f>HYPERLINK("https://www.weblio.jp/content/控えめ", "词义详情")</f>
        <v/>
      </c>
      <c r="K7017">
        <f>HYPERLINK("https://yourei.jp/控えめ", "查看例句")</f>
        <v/>
      </c>
    </row>
    <row r="7018">
      <c r="A7018" t="inlineStr">
        <is>
          <t>日帰り</t>
        </is>
      </c>
      <c r="B7018" t="inlineStr">
        <is>
          <t>成功</t>
        </is>
      </c>
      <c r="C7018" t="inlineStr">
        <is>
          <t>読み方：ひがえり
［名］(スル)行った先で泊まらずに、その日のうちに帰ってくること。「—の旅行」</t>
        </is>
      </c>
      <c r="D7018" t="inlineStr">
        <is>
          <t>日帰り旅行(5%)；日帰り客(4%)；日帰り登山(3%)；日帰りツアー(2%)；日帰りできる(2%)</t>
        </is>
      </c>
      <c r="F7018" t="inlineStr">
        <is>
          <t>日帰り出張；今日帰り；日帰り専用；日帰り往復；当日帰り</t>
        </is>
      </c>
      <c r="G7018" t="inlineStr">
        <is>
          <t>日帰り温泉施設；日帰り温泉；日帰りバスツアー；日帰り入浴施設；日帰り手術</t>
        </is>
      </c>
      <c r="H7018" t="n">
        <v>29</v>
      </c>
      <c r="I7018" t="inlineStr">
        <is>
          <t>日帰りにしては荷物のトランクが大き過ぎるような気はしていたのだ。；東北新幹線が出来たら日帰りで食べに行きたいと思っているのである。；事務所に所属したばかりの頃は福島からバスで日帰りで通っていた。；これを利用して特に2月後半の河津桜の季節には多くの日帰り客が訪れる。；達者な者は早朝から江戸を出て草履か草鞋ばきで日帰りの短い旅をする。；昨日の京都取材にしても、日帰りを条件に支局長の許可を得たものだった。；あまり暴走族がやって来ても日帰りはお金にならないからなのですけれども。；最近では村は観光として著名になり日帰り旅行の目的地となっている。；受験の二人は日帰りで出かけて、一人二千円ずつしか渡していない。；したがって日曜日の二十二日に夜行日帰りで行って来られぬこともない。；日帰りを前提としているため、宿泊のためのホテルや旅館は紹介されない。；当分東京に来る予定はないらしいけど、都合をつけて日帰りでも行ってみる?；首都リマから日帰りでの観光が可能なため、近年観光客数が上昇している。；しかし今回は日帰りのつもりなのであまり時間の余裕がない。；スキー場ベース付近に宿泊者および日帰り客兼用の大規模駐車場がある。；校外学習は、中学校生活で初めての旅行的行事で、日帰りで実施される。；日帰りでの往復は可能だが、距離は遠い方であまり余裕はない。；勿論日帰りであり、それは想像しただけでも大変な仕事だった。；子供の顔を見たいせいか、大阪での仕事も日帰りですませていた。；また、最近温泉日帰り施設が駅から徒歩10分足らずのところに出来た。；週末は仕事を忘れてアメックスカードで国際日帰り旅行に行ってるんだろう。；短い場合では日帰り、長期では2か月程度の期間、房総方面を巡回した。；日帰りで行われる場合でも、必ずしも屋外で開かれるとは限らない。；しかし、その翌日帰神したときにはもう平静にもどっていました。；日帰りを予定していたが、帰りの飛行機が満席だったためらしい。；金沢地域は県内客の割合や日帰り客の割合が比較的高いことが特徴である。；東京方面から来れば日帰りは無理ですけん、島内に宿泊しているでしょう。；あしたの朝出て、日帰りで夕方には帰って来るんだから、待ってろよ。；日帰り登山の対象となる山で、以下の登山道などが開設されている。</t>
        </is>
      </c>
      <c r="J7018">
        <f>HYPERLINK("https://www.weblio.jp/content/日帰り", "词义详情")</f>
        <v/>
      </c>
      <c r="K7018">
        <f>HYPERLINK("https://yourei.jp/日帰り", "查看例句")</f>
        <v/>
      </c>
    </row>
    <row r="7019">
      <c r="A7019" t="inlineStr">
        <is>
          <t>控える</t>
        </is>
      </c>
      <c r="B7019" t="inlineStr">
        <is>
          <t>成功</t>
        </is>
      </c>
      <c r="C7019" t="inlineStr">
        <is>
          <t>読み方：ひかえる
［動ア下一］［文］ひか・ふ［ハ下二］
１
㋐用事や順番に備えて、すぐ近くの場所にいて待つ。待機する。「次の間に—・える」
㋑目立たないようにしてそばにいる。「主人の後ろに—・えている」
㋒空間的・時間的に迫っている。近くに位置する。また、近い将来に予定される。「後ろに山が—・えている別荘」「決戦の日が三日後に—・えている」「幾多の難問題が—・えている」
２
㋐度を越さないように、分量・度数などを少なめにおさえる。節制する。「酒を—・える」「塩分を—・える」
㋑自制や配慮をして、それをやめておく。見合わせる。「外出を—・える」「発言を—・える」
[補説]2㋐㋑について、「抜歯後はお酒を控えてください」とあった場合、㋐の「少なければ飲んでもいい」の意味ではなく、㋑の「自制して飲まない」の意味ととらえるのが妥当であろう。「アルコールを摂取した場合は運転を控えてください」は、明らかに㋑の意味である。
㋒忘れないように、また、念のため書きとめておく。「日程を—・える」「要点を—・える」
㋓衣服などを、おさえつかんで、行かせないようにする。引きとめる。「袖(そで)を—・える」「馬を—・えて待つ」
㋔引く。引っぱる。
「後ろに背負ひたれば、いとど脛(すね)弱く力なき身の、あとざまに—・ふるやうにて、道なほ進まず」〈笈の小文〉
[補説]中世以降はヤ行にも活用した。→控(ひか)ゆ</t>
        </is>
      </c>
      <c r="D7019" t="inlineStr">
        <is>
          <t>控えるべき(5%)；控えるよう呼びかけ；控えるよう指示；控えるよう促し；控えるよう警告</t>
        </is>
      </c>
      <c r="E7019" t="inlineStr">
        <is>
          <t>記録；記載；登録；待つ；避ける</t>
        </is>
      </c>
      <c r="F7019" t="inlineStr">
        <is>
          <t>極力控える；さし控える；一切控える</t>
        </is>
      </c>
      <c r="H7019" t="n">
        <v>29</v>
      </c>
      <c r="I7019" t="inlineStr">
        <is>
          <t>一応、現在では他の界にある名前は命名を控えるように勧告されている。；同時に社長へ就任したことで、メディアへの露出を控えるようになった。；しかし将来を考えて控える競馬をしたのだと知って「納得」したという。；紅香の背後に控えるようにして立つ彼女の手には、大きな旅行鞄が一つ。；翌日から私が夜の散歩を控えるようになったのは言うまでもないことです。；若いころは酒豪で鳴らしたものの、晩年には酒量を控えるようになった。；それでも彼は、言いたいことを控えるべきときは、ちゃんと心得ていた。；既に死亡した人間であっても遺族のことを考えて一部公開を控えることもある。；その馬車の脇に控える、細い黒衣の人影が、ゆるりと主に身体を向けた。；初戦の大阪杯では中団に控える形となったが直線で伸びず6着となった。；背後の廃墟で控える若者たちの心のざわめきが伝わってくるようだった。；彼女はそうしたくはなかったが、自分で控えることができなかった。；先生と言わぬまでも、氏をさんづけで呼ぶことは控えるべきであった。；隣に控える克人は、そもそもそういうことが向いているようには思えない。；扉のそばで控える家令に、別の家令がやってきて耳うちするのが見えた。；警察からも、出入りする車のナンバーを控えるようにって指導されたス。；彼女の友人はこれに警戒しているが、ブリーは介入を控えることを選んだ。；その背後には斧持ちと、投げ槍持ちや弓兵が控えることになっていた。；体調面も含め、80歳を超えてからは仕事を控えるようになっていた。；一時は本業の落語に精進するためにテレビ・ラジオの仕事を控えると宣言。；お見合いは成功し交際をスタートさせ、遂に結婚を控えるまでになった。；試験やコンサートを控える折には長時間連続して練習に充てることもあった。；そこで最終的決定まで、彼女が馬の使用を控えるよう決められた。；試合以外のときにも、会って話したり飯を食ったりすることは控える。；ただ次の命令が下されるのを待ってその場に控えるのみだった。；住所と氏名を僕が控える程度で、年齢も女性じゃ聞かないことが多い。；これは背後に控える丹波地方でそば作りが盛んだったためである。；その後産経大阪杯では中団に控える形となったが直線で伸びず5着だった。；水音を控えるようなことをしていたのは、最初のうちだけだった。</t>
        </is>
      </c>
      <c r="J7019">
        <f>HYPERLINK("https://www.weblio.jp/content/控える", "词义详情")</f>
        <v/>
      </c>
      <c r="K7019">
        <f>HYPERLINK("https://yourei.jp/控える", "查看例句")</f>
        <v/>
      </c>
    </row>
    <row r="7020">
      <c r="A7020" t="inlineStr">
        <is>
          <t>比較</t>
        </is>
      </c>
      <c r="B7020" t="inlineStr">
        <is>
          <t>成功</t>
        </is>
      </c>
      <c r="C7020" t="inlineStr">
        <is>
          <t>読み方：ひかく
［名］(スル)
１二つ以上のものを互いにくらべ合わせること。「優等生の兄といつも—される」
２（「比較にならない」の形で）くらべるに価する対象。「まるで—にならない得票差」</t>
        </is>
      </c>
      <c r="D7020" t="inlineStr">
        <is>
          <t>比較する(19%)；比較的(3%)；比較すれ；比較研究；比較検討</t>
        </is>
      </c>
      <c r="E7020" t="inlineStr">
        <is>
          <t>見る；比べ；参照；診断；比べる</t>
        </is>
      </c>
      <c r="F7020" t="inlineStr">
        <is>
          <t>大きさ比較；性能比較；直接比較；比較級；比較分析</t>
        </is>
      </c>
      <c r="G7020" t="inlineStr">
        <is>
          <t>比較文学；比較言語学；比較検討；比較解剖学；比較文化</t>
        </is>
      </c>
      <c r="H7020" t="n">
        <v>29</v>
      </c>
      <c r="I7020" t="inlineStr">
        <is>
          <t>また乗用車と比較しても環境負荷や移動時間の正確性などで有利である。；これに続くのが国土面積や人口で比較にならないが中国と日本である。；異なる物質同士の値の大小で単純に害の大小を比較することはできない。；この線と実際の絵を比較すると、窓やテーブルの角のラインが一致している。；直接測定とは対象と基準量となるものを直接比較させて測定量を得ることである。；建設省が大比較線を残したのはいずれも決っしえなかったためである。；クロアチアは帝国内の他地域と比較しても体制側に協力的だった。；日本書紀と比較すると、古事記の記事は極めて簡潔なものになっている。；記憶にある瞬間瞬間と現在瞬間が比較される時、時間概念が誕生するわけである。；本研究は治験者が実際に瞑想を行い、ペアワイズ比較を用いて行われた。；このように東名のルート選択は、経済比較を綿密に行ったうえで決定した。；江戸時代の記録には騎士と表記され、これは徒士との比較語である。；また、設計のルール化はそれ以前と比較して設計を容易にした。；国のGDPと比較しても、過半数の国よりも大きな規模を有している。；また中華圏のスタッドポーカーでもスートまで比較するのが普通である。；実際の国際貿易で取引される商品の国内外価格を比較して決定した。；近年ではDNAの比較に基づく系統推定が盛んに行われている。；ほかの試験では、食事法を導入することでどこまで持ちこたえるかを比較した。；アメリカ型大統領制はイギリス型議院内閣制と比較されることが多い。；時代的比較では、死刑が廃止された国での廃止前・廃止後を比較する試みがされる。；日本国内においては、携帯電話と比較した場合、以下の特徴があった。；以上の経緯のために、入れ替え以前の数字との単純な比較ができなくなっている。；この背景として、日本やヨーロッパと比較した競争力の低下が挙げられる。；何歳以降に登り始めたのかや、難しい山に登った年齢、などは比較可能である。；兄弟の中では最も活溌であり、そのことは1つ違いの兄宮とよく比較された。；携帯電話と比較して大型の装置が搭載できるため、詳細な地図情報を内蔵できる。；例えばこの図で と は比較可能だが、 と は比較不能である。；彗星の明るさを測定するには、近くにある恒星と比較することになる。；他のロマンス語と比較すると、カタルーニャ語には以下の特徴がある。</t>
        </is>
      </c>
      <c r="J7020">
        <f>HYPERLINK("https://www.weblio.jp/content/比較", "词义详情")</f>
        <v/>
      </c>
      <c r="K7020">
        <f>HYPERLINK("https://yourei.jp/比較", "查看例句")</f>
        <v/>
      </c>
    </row>
    <row r="7021">
      <c r="A7021" t="inlineStr">
        <is>
          <t>比較的</t>
        </is>
      </c>
      <c r="B7021" t="inlineStr">
        <is>
          <t>成功</t>
        </is>
      </c>
      <c r="C7021" t="inlineStr">
        <is>
          <t>読み方：ひかくてき
［副］他の同種のものや一般的基準とくらべてみたときに判断されるさま。わりあい。「仲間のうちでは—勉強するほうだ」「今回は—によくできた」</t>
        </is>
      </c>
      <c r="D7021" t="inlineStr">
        <is>
          <t>比較的新しい(3%)；比較的少ない；比較的多く；比較的大きな；比較的高い</t>
        </is>
      </c>
      <c r="E7021" t="inlineStr">
        <is>
          <t>割合；割に；相対的；わりと；割合に</t>
        </is>
      </c>
      <c r="F7021" t="inlineStr">
        <is>
          <t>比較的長い；比較的小さい；比較的早く；比較的大きい；比較的少なく</t>
        </is>
      </c>
      <c r="H7021" t="n">
        <v>29</v>
      </c>
      <c r="I7021" t="inlineStr">
        <is>
          <t>しかし、比較的新しい学問なのでその定義ははっきりと確定していない。；開発当初、WWW は文字情報を扱うだけの比較的単純なものであった。；装置が比較的小さいため、ある程度の水量さえあれば設置が可能である。；比較的よく見られる定性的研究への批判には以下のようなものがある。；特に日本では金型の製造コストが比較的低かったこともあって例が多い。；これは比較的簡単な形に得られ、いろいろな局面で現れる重要な量である。；その後、S波が到達した後は主要動と呼ばれる比較的大きい揺れとなる。；そして理論はフォノンの振動数だけが関係しているため比較的簡単である。；インドや中近東でも比較的早い時期から鉄道の建設が始まっている。；地上を走っているため明るく、比較的安全な乗り物と考えられている。；アセンブルは比較的単純な規則からなるため、人の手でも実行できる。；映画同様東京に比較的近いという理由からロケ地撮影されるドラマが多い。；リアスクリーンは明室環境での比較的小画面での映像投射に適している。；日本ではイギリス風の食事が紹介されることが比較的多い。；それに伴いMSXによる音楽活動も比較的少数ではあるが再活発化した。；地下鉄の車両は、徐々に更新されており比較的新しい車両が多い路線もある。；この遺跡は遺構が豊富であり、比較的探索しやすいと考えられていた。；比較的容易に低温が得られるため多くの産業で利用されている。；このように、MDLPは従来仕様との互換性が比較的高いのが特徴である。；ただし、同委員会のイラク入りは比較的早い段階で承認されている。；前面以外は装甲が比較的薄い傾向にあり弱点になっていることが多い。；ただし、フランスでは数学の書籍でも立体での表記が比較的多く見つかる。；皇帝の治世が行き届いているためか、四正国の中では比較的治安が良い。；ただし、中央ヨーロッパの一部ではデカグラムが比較的よく用いられる。；とも呼ばれ、形式言語理論の分野では比較的こちらの訳語の方が使われる。；このことからもWRPSの設立が比較的最近であることがわかる。；フランス語の表記は初学者には複雑に感じられるが、規則性は比較的高い。；比較的多くの分野で知られているものに、以下のものがある。；大学はすべて公立であり、比較的安価で高等教育を受けることができる。</t>
        </is>
      </c>
      <c r="J7021">
        <f>HYPERLINK("https://www.weblio.jp/content/比較的", "词义详情")</f>
        <v/>
      </c>
      <c r="K7021">
        <f>HYPERLINK("https://yourei.jp/比較的", "查看例句")</f>
        <v/>
      </c>
    </row>
    <row r="7022">
      <c r="A7022" t="inlineStr">
        <is>
          <t>日陰</t>
        </is>
      </c>
      <c r="B7022" t="inlineStr">
        <is>
          <t>成功</t>
        </is>
      </c>
      <c r="C7022" t="inlineStr">
        <is>
          <t>読み方：ひかげ
１物の陰になって日光の当たらない所。「—で休む」⇔日向(ひなた)。
２表立って活動することのできない地位や境遇。また、世に埋もれていること。「—の身」
３「日陰の蔓(かずら)2」の略。</t>
        </is>
      </c>
      <c r="D7022" t="inlineStr">
        <is>
          <t>日陰側；日陰町；日陰地；日陰影次</t>
        </is>
      </c>
      <c r="E7022" t="inlineStr">
        <is>
          <t>影；陰；蔭；陰影；物陰</t>
        </is>
      </c>
      <c r="F7022" t="inlineStr">
        <is>
          <t>良い日陰；涼しい日陰；よい日陰</t>
        </is>
      </c>
      <c r="G7022" t="inlineStr">
        <is>
          <t>日陰もの；日陰暢年；日陰蔓</t>
        </is>
      </c>
      <c r="H7022" t="n">
        <v>29</v>
      </c>
      <c r="I7022" t="inlineStr">
        <is>
          <t>刑事が頭にえがいてきた日陰の村の暗いイメージとはかなり違っていた。；日陰へ入ったので、私は全身にびっしょり汗をかいているのが分かった。；左手に広がる林の縁には日陰が続き、その向こうに屋敷の姿が見えた。；枝は日の当たるほうが赤くなり、日陰側は緑色になり、やや光沢がある。；小枝は日当たりのよい面は赤味を帯び、日陰側は緑色であることが多い。；また、畑栽培は落葉樹下の夏は日陰で、冬は日が当たる場所が選ばれる。；陽が傾いてテーブルの近くに日陰がなくなったのを機に席を立った。；先へ行って最初に水と日陰の見つかったところで、泊ることにしよう。；あそこ、日陰だし周りにあんまり住宅がなくて、ちょっと陰気なんです。；それが今日ようやく、日陰の身から表舞台へ出ることになったのだ。；彼女は全く効果が無い、というのも彼女は日陰の世界の女性ではないから。；砂漠の熱から体を守るため、日傘のように尾を体の上に掲げて日陰を作る。；雪は日のあたるところではもう融けていたが、この斜面は日陰になっている。；何十畳ぶんにも相当する広さの日陰に入ると、わずかながら涼しさを感じた。；お君がそばにいると、日陰になったように、その存在が貧相になった。；陽が西に傾いているので溝の底は日陰になり、顔がよく見えなかった。；そして、醤油屋の土間のように広くて、冷たい日陰の空気が顔に触れた。；入り口の上に小さな軒があるけど、日陰を作ってくれるほどの大きさはない。；さきにのべた日陰の花の原則はこうしたオフィスでこそ有効に生きる。；一生、養子の子供と比較され、日陰にこもって生きていくのだろうか。；壁の足もとには、日陰になったぶんだけ雪がそのまま溶けずに残っている。；だが晩方は気持よく涼しくなり、また日中でも日陰は涼しそうに見える。；その町には高い建物はなかったから、東京より日陰が少なかったように思う。；彼は船の日陰の側にいて、太陽を背にして、暗い宇宙の夜に見入っていた。；日陰とはいえ、二人ともさすがに日に焼けてきたような気がする。；日陰にも雪は残っておらず、黒々とした土はやがて降りてくるはずの夜より黒い。；この冷たい、日陰の街の中には、一軒だけ、妙な建物がたっていた。；やはりコケと同じように、日陰の身は日陰でこそ生息するものである。；日陰に座って、練習などまったく関心なさそうに本を開いているアリシアの姿。</t>
        </is>
      </c>
      <c r="J7022">
        <f>HYPERLINK("https://www.weblio.jp/content/日陰", "词义详情")</f>
        <v/>
      </c>
      <c r="K7022">
        <f>HYPERLINK("https://yourei.jp/日陰", "查看例句")</f>
        <v/>
      </c>
    </row>
    <row r="7023">
      <c r="A7023" t="inlineStr">
        <is>
          <t>東側</t>
        </is>
      </c>
      <c r="B7023" t="inlineStr">
        <is>
          <t>成功</t>
        </is>
      </c>
      <c r="C7023" t="inlineStr">
        <is>
          <t>読み方：ひがしがわ
１東に面した側。また、ある地点より東の方。⇔西側。
２米国や西欧などの資本主義諸国に対して、ソ連および東欧の旧社会主義諸国をいった語。⇔西側。</t>
        </is>
      </c>
      <c r="D7023" t="inlineStr">
        <is>
          <t>東側斜面；東側一帯；東側部分；東側境界；東側約</t>
        </is>
      </c>
      <c r="E7023" t="inlineStr">
        <is>
          <t>東部</t>
        </is>
      </c>
      <c r="F7023" t="inlineStr">
        <is>
          <t>ホーム東側；線路東側；駅舎東側；交差点東側；構内東側</t>
        </is>
      </c>
      <c r="G7023" t="inlineStr">
        <is>
          <t>東側陣営；東側世界；東側町</t>
        </is>
      </c>
      <c r="H7023" t="n">
        <v>29</v>
      </c>
      <c r="I7023" t="inlineStr">
        <is>
          <t>駅舎は線路東側の内部寄りにあり、ホームへは構内踏切で連絡している。；小さな駅舎が線路東側にあり、そこから跨線橋がホームへと続いている。；川を挟んで東側には大口東総合病院、川沿いに北へ向かうと公園がある。；京浜東北線に並行して東側には東海道線の線路があるが、ホームはない。；州内に入るグレートプレーンズの西にはロッキー山脈の東側斜面がある。；駅舎はホームの東側に隣接し、跨線橋で東海道線ホームに連絡している。；県の北側から東側にかけては海に面しており、多くの港が設置されている。；が、ホーム東側は閉鎖され、現在は保線車両用のスペースとなっている。；東側は木津川沿いの農業地帯、南部と西部は丘陵地にある住宅地である。；駅舎は線路東側にあり、ホームへは可部寄りの構内踏切で連絡している。；建物の東側部分は、第二次世界大戦以前には木組みの上階を有していた。；駅舎はホームと一体型になっており、踏切の東側中央部から出入りする。；当駅は三河線の他の駅とは異なり、東側からホーム番号が振ってある。；構内東側に駅舎があり、下りホームへは江津方の跨線橋で連絡していた。；南北に伸びるホームの西側を下り列車が、東側を上り列車が使用する。；駅舎は線路東側広島寄りにあり、ホームへは構内踏切で連絡している。；当駅は台地上に位置しており、1番線のすぐ東側が崖線となっている。；バスのりばは駅の西側と東側の双方にあり、三重交通バスが発着している。；中央通りの東側は渋谷方面、西側は浅草方面の専用出入口となっている。；東側の2線に高野線の列車が、西側の2線に南海本線の列車が発着する。；東側南端に小ぶりな駅舎があり、各ホームとは構内踏切で連絡している。；東側と北側は主に住宅地を形成しているが、近年は商業施設も増えている。；駅の東西自由通路は、東側の開発にあわせて設置されたものである。；線路とホームは駅の東側で南向きにカーブしていて、その辺りには屋根はない。；駅の東側には、多賀城以前の陸奥国府跡と推定される郡山遺跡があった。；上り・下りのホームへ降りる階段と、駅の東側・西側に降りる階段がある。；駅舎に最も近い喫煙所は、東側連絡通路の階段下に設置されている。；当初は東側の作品は除かれており、ソ連の初参加は1974年である。；通路内には西側と東側に1カ所ずつエレベーターが設置されている。</t>
        </is>
      </c>
      <c r="J7023">
        <f>HYPERLINK("https://www.weblio.jp/content/東側", "词义详情")</f>
        <v/>
      </c>
      <c r="K7023">
        <f>HYPERLINK("https://yourei.jp/東側", "查看例句")</f>
        <v/>
      </c>
    </row>
    <row r="7024">
      <c r="A7024" t="inlineStr">
        <is>
          <t>ぴかぴか</t>
        </is>
      </c>
      <c r="B7024" t="inlineStr">
        <is>
          <t>成功</t>
        </is>
      </c>
      <c r="C7024" t="inlineStr">
        <is>
          <t>［副］断続的に強い光を放つさま。また、光り輝くさま。「星が—（と）またたいている」
［形動］
１つやがあって照り輝いているさま。「床を—に磨く」
２真新しいさま。また、なりたてであるさま。「買ったばかりの—な家具」「—の一年生」
［アクセント］はピカピカ、はピカピカ。</t>
        </is>
      </c>
      <c r="D7024" t="inlineStr">
        <is>
          <t>ぴかぴか光る(16%)；ぴかぴか光り；ぴかぴか光ってる；ぴかぴかひかる；ぴかぴか光らせ</t>
        </is>
      </c>
      <c r="E7024" t="inlineStr">
        <is>
          <t>明るい；輝き；キラキラ；点滅；きらめき</t>
        </is>
      </c>
      <c r="F7024" t="inlineStr">
        <is>
          <t>いつもぴかぴか；みたいにぴかぴか；黒いぴかぴか；真新しいぴかぴか</t>
        </is>
      </c>
      <c r="G7024" t="inlineStr">
        <is>
          <t>ぴかぴかッと</t>
        </is>
      </c>
      <c r="H7024" t="n">
        <v>29</v>
      </c>
      <c r="I7024" t="inlineStr">
        <is>
          <t>ポオルが自転車を引いて庭に入って来て、自転車がぴかぴか光っていた。；扉があいて、髪に油をつけ、ぴかぴかにおめかしをした母が入ってきた。；机の横に電話が一台あり、ぴかぴかの新品なので、設置期間は長くない。；どの眼もどの眼も武蔵の背と駕の中に飛びつきそうにぴかぴかしている。；目の前が急に真暗になったと思うと、ぴかぴかと星のようなものが光った。；ぼくはろくに抵抗もできず、ぴかぴかのリムジンに乗せられたのだった。；彼らはぴかぴかした金の大斧をもち、いつも女王のそばに控えている。；子供さえいなければまだ自分もぴかぴかの男と新たな人生をやり直せるのだ。；先に述べたように、我々は前方のぴかぴかの床の上に障害物があるのを見た。；震電は顔を上げ、目をぴかぴかさせながら、窓の外の地球儀を見つめた。；なんであんな潜水服とぴかぴかしたヘルメットで身をかためているんだ?；そして、星の光が、ぴかぴかと、いまにも飛びそうに空に光っていました。；魔法瓶は宇宙空間で実験に使う道具のようにぴかぴか銀色に光っている。；彼はまたぴかぴかする一匹の伊勢崎銘仙を買うのに十円余りを費やした。；見ればそこにはぴかぴかの手鏡が天井に向けてランプの光を反射している。；夕方の光を受け、金だらいはぴかぴかと赤銅色の光をまきちらしている。；正面の広いガラス窓から日光がさし込み、ぴかぴかの床に反射していた。；ごく当然のこの結論に達するころには鍋という鍋がぴかぴかになっていた。；あるときは、その木のいただきの空に、星がぴかぴかと輝いて見えました。；ぴかぴかひかるガラス戸のおくに、白い服をきた男がたっていました。；病院を出てからひと夏、むさぼるように灼いた肌がぴかぴかに光っていた。；ドアの両側には、ぴかぴかの胸当てをつけたふたりの軍団兵が立っていた。；その人の頭は、ぴかぴかと岩からわき出る清水のように光っていただ。；箱の中には、ぴかぴか光る四角いタイルが何枚も重ねてしまわれていた。；生命と云っても別に他から取り付けるようなぴかぴか光ったものがある訳ではない。；金貨三枚ありゃ、いま使ってる舟を売って新しいぴかぴかの舟を買える。；男の役人は、ぴかぴか光った、勲章のようなものを、胸につけていました。；暗い隅の方に何だかぴかぴかと光る大きな目玉のようなものが一つ見えた。；そこには緑色の軍服を着て、ぴかぴかの長靴をはいた男性が座っていました。</t>
        </is>
      </c>
      <c r="J7024">
        <f>HYPERLINK("https://www.weblio.jp/content/ぴかぴか", "词义详情")</f>
        <v/>
      </c>
      <c r="K7024">
        <f>HYPERLINK("https://yourei.jp/ぴかぴか", "查看例句")</f>
        <v/>
      </c>
    </row>
    <row r="7025">
      <c r="A7025" t="inlineStr">
        <is>
          <t>光</t>
        </is>
      </c>
      <c r="B7025" t="inlineStr">
        <is>
          <t>成功</t>
        </is>
      </c>
      <c r="C7025" t="inlineStr">
        <is>
          <t>読み方：こう
［音］コウ（クヮウ）（呉）（漢）　［訓］ひかる　ひかり
［学習漢字］2年
〈コウ〉
１ひかる。ひかり。「光輝・光線・光明／眼光・月光・後光・採光・閃光(せんこう)・電光・日光・発光・夜光」
２けしき。「光景／観光・風光」
３月日。時間。「光陰／消光」
４ほまれ。名誉。「光栄／栄光」
５相手の行為に尊敬を示す語。「光来・光臨」
６尽きる。すっかり無くなる。「三光政策」
〈ひかり（びかり）〉「稲光・七光」
［名のり］あき・あきら・あり・かぬ・かね・さかえ・てる・ひこ・ひろ・ひろし・みつ・みつる
［難読］竹光(たけみつ)</t>
        </is>
      </c>
      <c r="D7025" t="inlineStr">
        <is>
          <t>光つて；光弾；光琳；光稀；光電</t>
        </is>
      </c>
      <c r="E7025" t="inlineStr">
        <is>
          <t>希望；当て；電気；灯；望み</t>
        </is>
      </c>
      <c r="F7025" t="inlineStr">
        <is>
          <t>お光；青い光；強い光；明るい光；淡い光</t>
        </is>
      </c>
      <c r="G7025" t="inlineStr">
        <is>
          <t>光る；光り；光線；光秀；光沢</t>
        </is>
      </c>
      <c r="H7025" t="n">
        <v>29</v>
      </c>
      <c r="I7025" t="inlineStr">
        <is>
          <t>ちなみに、光を利用する生物がすべて独立栄養生物であるわけではない。；光伝送技術の導入に積極的なインテル社は、将来の採用を構想している。；霧に十分に光が当たっているときは霧粒をはっきりと確認することができる。；その後、1925年にこの光が酸素分子から出ていることが発見された。；その状態から基底状態に戻ろうとする時に放出する光および現象をいう。；この光や色を測定することで、組換え遺伝子の発現を見ることができる。；一方でこの熱放射に関しては、古くから光との類似性が指摘されていた。；探査機が惑星の夜側を通過した際の観測から、稲妻の光も観測された。；長堀鶴見緑地線のコンコースは地上からの光が入るように設計されている。；光電子の放出は物質に一定の振動数以上の光を照射した時のみ発生する。；光のエネルギー は光子の持つエネルギーの倍数の値のみを取り得る。；前者は太陽であり、後者はその熱と光を受ける月に例えられている。；光が新たに生まれた国の名付けを読者に委ねるシーンで物語は幕を閉じる。；電位差が発生した雲または大地などの間に発生する光と音を伴う放電現象。；そのため、それぞれの像の光が対象物からでたのは異なる時である。；特殊なものでは、燃焼によって発生する光や煙を利用するものがある。；この反射された光のスペクトルが人の目に入ると色として感じられる。；光といっても私たちが望遠鏡でのぞいて観測できるような光でない。；瞑想しながら体の感覚がなくなるような不思議な感覚や不思議な色や光を見る。；雪は、入ってきた光をほとんど吸収することなく散乱光として送り出す。；この理論には星の重力により光が曲げられるという予言も含まれていた。；ただ長男光がジャズをかけていると嫌がるためクラシックに転向した。；光流の時空分布が非均一であることは、西安内の河川の共通の特徴である。；例えば周りが青い物ばかりならば反射光によって環境光は青さが増す。；これにより、目には見えないが光のようなものが装置から出ていることを発見した。；パリは「光の都」と呼ばれ、ロンドンに匹敵する経済都市に成長した。；悟りを得る時に強烈な光に包まれる場合があることから、光明と呼ばれる。；光は様々な思想や宗教において、超越的存在者の属性を示すものとされた。；芋から発芽した芽や光に当たって緑色になった皮などに有害物質を含む。</t>
        </is>
      </c>
      <c r="J7025">
        <f>HYPERLINK("https://www.weblio.jp/content/光", "词义详情")</f>
        <v/>
      </c>
      <c r="K7025">
        <f>HYPERLINK("https://yourei.jp/光", "查看例句")</f>
        <v/>
      </c>
    </row>
    <row r="7026">
      <c r="A7026" t="inlineStr">
        <is>
          <t>光る</t>
        </is>
      </c>
      <c r="B7026" t="inlineStr">
        <is>
          <t>成功</t>
        </is>
      </c>
      <c r="C7026" t="inlineStr">
        <is>
          <t>読み方：ひかる
［動ラ五（四）］
１光を放つ。また、光を反射して輝く。「蛍が—・る」「星が—・る」
２美しく輝く。また、つやや光沢がある。「灯火に—・る黒髪」「ひじの—・ったジャケット」「磨いて—・っている靴」
３才能・容貌・人物・技術などが一段とすぐれて目だつ。「今年の新人の中で一番—・っている」「ひときわ—・った存在」
４（「目がひかる」の形で）油断なく見張る。厳しく監視される。「官憲の目が—・っている」
５明るく色あざやかに輝く。「野山に新緑が—・る」
６容姿などが、まばゆいほど美しく見える。
「いみじう白う—・りうつくしきこと皇子たちよりも」〈源・横笛〉</t>
        </is>
      </c>
      <c r="D7026" t="inlineStr">
        <is>
          <t>光る大きな；光る黒い；光る小さな；光る白い；光る眼</t>
        </is>
      </c>
      <c r="E7026" t="inlineStr">
        <is>
          <t>超える；輝く；反射；越える；突出</t>
        </is>
      </c>
      <c r="F7026" t="inlineStr">
        <is>
          <t>キラキラ光る；白く光る；ぴかぴか光る；鈍く光る；ピカピカ光る</t>
        </is>
      </c>
      <c r="G7026" t="inlineStr">
        <is>
          <t>光る女；光る風；光る東芝；光る東芝の歌；光る壁画</t>
        </is>
      </c>
      <c r="H7026" t="n">
        <v>29</v>
      </c>
      <c r="I7026" t="inlineStr">
        <is>
          <t>ずいぶんまずそうに見える書があって、しかも光っている書があります。；しかもその魚籠のなかには四、五匹の大きい魚が月明かりに光っていた。；その鉢巻の下には少し飛び出した眼玉が蝦蟇のように大きく光っていた。；昨日から今朝にかけておれの行く所には必ず母親の目が光っているのだ。；スカリーは壁と床が白く光っている部屋にあるベッドに横たわっていた。；すぐ目の前の地面に、小さな銀色に光ったものが、落ちていたからです。；境内にある玉の岩には昔、光る岩があったとされる玉の岩伝説がある。；黒い雲のまん中には悪魔の眼のような大きい星がたった一つ赤く光っていた。；机の上の方へ引いて置いた灯は、暗い庭先の一部分に光りを広げてゐる。；斜めだと大気の薄い高度の高い所で光っている時間が長くなるからである。；五社監督も三島の起用により田中新兵衛役が光ったこと振り返っている。；中央には二つの眼のような物が光っており、手足らしき物も蠢いている。；蝋燭の光りにちらついていた金銀などは今誰の心にも無いものになった。；炎を見上げながら立ち尽くす吉野の頬を数条の涙が光っていたという。；すると、その小さい部屋の中に、ぼんやりと光っているものがあるのです。；庭の木々も元気づいて、空を飛んでゆく雲の影も希望に光っていました。；赤の蛍光物質は緑や青よりも光っている状態が長く続くためである。；また、爆発の直前は体が光ったり、行動が止まったりすることが多い。；光った棒のようなものが、下のほうからこっちへ伸びてくるとは何事であろう。；標的に当たると動いたり光ったり音が出たりと何らかの反応を示す。；いただいている髪は卯の花のように白く、火の光で銀色に光って見えた。；あの青い二つの目が、つい五メートルほどむこうに光っているのです。；目の前が急に真暗になったと思うと、ぴかぴかと星のようなものが光った。；それが生霊の女の眼が異様に光って、思わぬ効果を生んでくれたのである。；その光のうちの一つは、彼の目の前に落ち、緑色の光る物質になった。；自分の歯がみんな星になったまま、口ん中で光ったりする夢など。；昼の様に明るい月の光り、どこに一ヶ所、身を隠す場所とてはないのだ。；停めてある自動車の濡れた屋根の列が、明かりを受けて鈍く光っていた。；自分だって、大きい顔をでらでら油光りさせて酒を飲んでいる事があります。</t>
        </is>
      </c>
      <c r="J7026">
        <f>HYPERLINK("https://www.weblio.jp/content/光る", "词义详情")</f>
        <v/>
      </c>
      <c r="K7026">
        <f>HYPERLINK("https://yourei.jp/光る", "查看例句")</f>
        <v/>
      </c>
    </row>
    <row r="7027">
      <c r="A7027" t="inlineStr">
        <is>
          <t>惹かれる</t>
        </is>
      </c>
      <c r="B7027" t="inlineStr">
        <is>
          <t>成功</t>
        </is>
      </c>
      <c r="D7027" t="inlineStr">
        <is>
          <t>惹かれるよう(15%)；惹かれるもの(12%)；惹かれる気持ち；惹かれるタイプ；惹かれる傾向</t>
        </is>
      </c>
      <c r="E7027" t="inlineStr">
        <is>
          <t>愛する；好く；恋する；慕う；誘われる</t>
        </is>
      </c>
      <c r="F7027" t="inlineStr">
        <is>
          <t>強く惹かれる；妙に惹かれる</t>
        </is>
      </c>
      <c r="H7027" t="n">
        <v>29</v>
      </c>
      <c r="I7027" t="inlineStr">
        <is>
          <t>この私がネコ耳も付いていないような男に惹かれるわけがないでしょう?；故郷の人間には何の関心を持たなくても、故郷の風物には心を惹かれる。；いけないとわかっていながらも徐々に惹かれあっていく二人であった。；惹かれあっていく二人だったが、感染症の影はすぐそこまで迫っていた。；アリたちがそれに惹かれるのは自らの匂いを感知してのことと思われる。；わたしは、祖母たちのところへ行きたい、と瞬間惹かれるように思った。；少し頭の弱そうなその少女はぬいぐるみに惹かれて付いて行ってしまう。；発売直後から、その素材やデザインの特異性に惹かれ使用を続けていた。；後に董其昌が黄公望に惹かれたのはこの頃の影響が大きいと考えられる。；男が女に女が男に惹かれる感情の流れが、そこには欠落しているからだ。；真琴は日向に惹かれていき、彼の傍で力になりたいと考えるようになる。；しかし、エイダとは共に協力しながら行動するうちに惹かれ合っていく。；亜紗子に次第に惹かれていった英は関係を持つまでの仲になっていく。；ただのサラリーマンでないことを知って惹かれる者がかならず出てくる。；巨大なビルを分解するというのはそれはそれで心惹かれるものがある。；彼は次第にその女性の文章に惹かれ、直接会ってみたいと思い始める。；何故、この何の変哲もない花に惹かれるのだろうと考えこんでしまった。；彼女に惹かれるデイビッドは「俺が君を月に連れて行くよ」と約束する。；また野鳩がこの森からあの森へわたるのに目を惹かれることもあった。；二人は互いを支えあい、時に疑いながら次第に心惹かれてゆくのだった。；苔を好きになった理由は、自然が好きで緑色に興味を惹かれたからである。；強く空に惹かれる気持ちには、何か、説明のつかない力があったのだ。；女だったらどんなに心が惹かれるかしれない方だと思われました。；これをきっかけに2人は距離を縮めていき、互いに惹かれ合っていった。；天城は楓の調査をしていく内に、彼女の神秘的な雰囲気に惹かれていく。；お互いに惹かれあっていた2人は、コーリャン畑で結ばれることになる。；「泣いても、いいよ」 わたしは、その目に惹かれるように顔をあげた。；若い頃には社会主義や民主主義の理想に心惹かれていたこともあった。；そんな最悪の出会いをした二人だったが、その後互いに惹かれ合っていく。</t>
        </is>
      </c>
      <c r="J7027">
        <f>HYPERLINK("https://www.weblio.jp/content/惹かれる", "词义详情")</f>
        <v/>
      </c>
      <c r="K7027">
        <f>HYPERLINK("https://yourei.jp/惹かれる", "查看例句")</f>
        <v/>
      </c>
    </row>
    <row r="7028">
      <c r="A7028" t="inlineStr">
        <is>
          <t>悲観</t>
        </is>
      </c>
      <c r="B7028" t="inlineStr">
        <is>
          <t>成功</t>
        </is>
      </c>
      <c r="C7028" t="inlineStr">
        <is>
          <t>読み方：ひかん
［名］(スル)
１物事が思うようにならないため失望すること。「前途を—する」⇔楽観。
２世の中や人生を悪と苦に満ちていると考えること。「—論」⇔楽観。</t>
        </is>
      </c>
      <c r="D7028" t="inlineStr">
        <is>
          <t>悲観的(33%)；悲観する(8%)；悲観説；悲観論；悲観視</t>
        </is>
      </c>
      <c r="E7028" t="inlineStr">
        <is>
          <t>否定的；消極的；失意；後ろ向き；自暴自棄</t>
        </is>
      </c>
      <c r="F7028" t="inlineStr">
        <is>
          <t>未来を悲観；悲観的な見方；悲観的な見通し；悲観する必要；悲観的な見解</t>
        </is>
      </c>
      <c r="G7028" t="inlineStr">
        <is>
          <t>悲観主義；悲観論；悲観的ロック</t>
        </is>
      </c>
      <c r="H7028" t="n">
        <v>29</v>
      </c>
      <c r="I7028" t="inlineStr">
        <is>
          <t>さらに悲観的な考えで、拳銃の射程内で我々が先に見つかったとしよう。；各シンクタンクは悲観的な予測値を次々と発表し、逆に政府は沈黙した。；しかし、その報告書にはそれほど悲観的なことは書かれていなかった。；目が見えなくて同じように働くことができないことを悲観しているのではない。；様々な事情が六助に前途を悲観させて、自棄の行動を起こさせたものか。；だが、それは別に悲観する理由にはならないとも彼女は思っていた。；わたしはこの目で見たことにすっかり悲観して彼らのもとを辞した。；しかし文明の未来を悲観的に見ただけでは問題の解決にはならない。；この事態は、セルビアに悲観と絶望をもたらしただろうと考えられている。；それまでの連絡では、神父はいつも交渉が悲観的である旨を伝えてきていた。；お前にはおみよといういい女がいるので妹おきしは悲観して尼になった。；だがもし生きのびたければ、そんな悲観的な考え方はやめたほうがいい。；だが、それにしても私は昨今はひどく悲観的な気分になることが多い。；常に悲観的な判断をして、安全側の予測をするのが彼の基本的なやり方だった。；ボクシングを続けることが出来なくなったことに悲観しての自殺と言われている。；フロイトの思考の変遷も悲観的な世界情勢と無縁ではなかったであろう。；嫌な予感は天気の悪さからくる悲観的な推測ではないかもしれない。；入院してからよこされたあなたの手紙にちっとも悲観の調子がないと云って。；つづいた悲観的な言葉からみて、支えてやろうとしていたのかもしれなかった。；それらに共通するのは、悲観的な重大さを秘めているという点だった。；三、開発の結果については多くの解読書は悲観的な記述に触れている。；その愛弟子は恩師が死んで研究の前途を絶たれたのを悲観して毒を呷る。；これには尠からず悲観したが、僕は今も尚この作について自信を持っている。；彼の方は、たいした収穫はなかった様だが、私は、別に悲観しなかった。；しかし、次第にその内容は内省的・悲観的なものへと変化してゆく。；どんな理由で人生を悲観していられる方なのですかねえ。；姫名子は足を挫いてしまい、入学式に出られなかったことに悲観していた。；特にシュリルのような人間の場合の想像力は、悲観的な方向性をもっていた。；いたずらに悲観する勿れ、といったような意味になって来るじゃないか。</t>
        </is>
      </c>
      <c r="J7028">
        <f>HYPERLINK("https://www.weblio.jp/content/悲観", "词义详情")</f>
        <v/>
      </c>
      <c r="K7028">
        <f>HYPERLINK("https://yourei.jp/悲観", "查看例句")</f>
        <v/>
      </c>
    </row>
    <row r="7029">
      <c r="A7029" t="inlineStr">
        <is>
          <t>引き上げる</t>
        </is>
      </c>
      <c r="B7029" t="inlineStr">
        <is>
          <t>成功</t>
        </is>
      </c>
      <c r="C7029" t="inlineStr">
        <is>
          <t>読み方：ひきあげる
［動ガ下一］［文］ひきあ・ぐ［ガ下二］
１引っ張って上方へ上げる。「錨(いかり)を—・げる」
２値段・比率・水準などを高くする。「公共料金を—・げる」「利子を—・げる」
３選んでよい地位や役につける。登用する。「幹部に—・げられる」
４差し向けた人や、先方へ出した物などを、自分の所へ戻す。「派遣軍を—・げる」「資金を—・げる」
５その場所を去ってもとの所へ戻る。「外地から—・げる」「話もそこそこに—・げる」
６日時を早める。時間を繰り上げる。
「暁の御ときを—・げて夕暮れに行はれし」〈弁内侍日記〉</t>
        </is>
      </c>
      <c r="D7029" t="inlineStr">
        <is>
          <t>引き上げるべき</t>
        </is>
      </c>
      <c r="E7029" t="inlineStr">
        <is>
          <t>上げる；去る；離れる；高める；アップ</t>
        </is>
      </c>
      <c r="F7029" t="inlineStr">
        <is>
          <t>さっさと引き上げる</t>
        </is>
      </c>
      <c r="H7029" t="n">
        <v>29</v>
      </c>
      <c r="I7029" t="inlineStr">
        <is>
          <t>引き上げる際には壁に手を着くようにしてゆっくりと引き上げていった。；精神は一度堕落したが最後、それを引き上げることはだれにもできない。；赤かぶ検事たちは、何の成果も得られずに引き上げるよりほかなかった。；ここまで来ていながら、何の成果も挙げずに引き上げると言われるのですか。；空気中の窒素の密度を引き上げる魔法と、その空気塊を移動させる魔法。；多くの兵と船を失い、一つも得るところがなく引き上げるのである。；「長艇を引き上げる準備をしろ」彼はすぐそばにいる漕ぎ手に命令した。；五両の会費であったら十両、置いてさっと引き上げるのが、いい男です。；老人が橈を引き上げると、娘は高く手をあげて、深い悲しみの声で叫んだ。；金属製の枠を引き上げると、それを抱えて店の奥の方へ歩き出した。；また被害者の頭や肩に届く程度にまでパンツを強く引き上げる行為をという。；「あら、引き上げるみたいよ」 と、夕子が湖の方へ目をやって言った。；わざと違う印鑑を持ってきて、それを指摘させ、あっさりと引き上げる。；そこには漁師たちがボートを引き上げるのに使う幾台かの巻轆轤などがあった。；そうかと云って、明智城を見捨てて、引き上げるわけにも行かなかった。；ぼくは、もっと大きな船を浜に引き上げるのを見る方が好きだった。；伍長が引き上げるとすぐ、一人の女が私のほうへやって来るのを見たのです。；この軍隊が1348年に引き上げるとモロッコにその感染をもたらした。；それ以降は他のプレイヤーが配布を開始していたのを確認したので引き上げる。；その直後、突然月柴が厩舎を訪れ飼育委託していた馬全てを引き上げる。；今日もこれから拓一に手伝って、流木を泥の中から引き上げるつもりだ。；「あなたが車を引き上げるとは思わなかったわ」 ティムは答えなかった。；そして他の若者たちは躍り掛かって、肩をあてて一気に舟を引き上げる。；放置されているわけではなく、単に引き上げるのに手間取っているらしい。；しかし合宿所を引き上げるまで、とうとうその女は姿を見せないでしまった。；エレベーターの扉が開くと、パーティを引き上げる男女が何人か前に立っていた。；しかし、かなり危険であるため川床または階段の途中で引き上げる人が多い。；ユズちゃんは、こちらを引き上げるのに、挨拶にも来ませんでしたよ。；この増加で、襲撃部隊の規模を引き上げることが可能になった。</t>
        </is>
      </c>
      <c r="J7029">
        <f>HYPERLINK("https://www.weblio.jp/content/引き上げる", "词义详情")</f>
        <v/>
      </c>
      <c r="K7029">
        <f>HYPERLINK("https://yourei.jp/引き上げる", "查看例句")</f>
        <v/>
      </c>
    </row>
    <row r="7030">
      <c r="A7030" t="inlineStr">
        <is>
          <t>率いる</t>
        </is>
      </c>
      <c r="B7030" t="inlineStr">
        <is>
          <t>成功</t>
        </is>
      </c>
      <c r="C7030" t="inlineStr">
        <is>
          <t>読み方：ひきいる
［動ア上一］［文］［ワ上一］
１従えて行く。ひきつれて行く。「学生を—・いて研究旅行に行く」
２多くの人々を指揮する。長として指図する。統率する。「劇団を—・いる」</t>
        </is>
      </c>
      <c r="D7030" t="inlineStr">
        <is>
          <t>率いる第；率いる遠征軍；率いるイギリス艦隊；率いるカルタゴ軍；率いるイングランド軍</t>
        </is>
      </c>
      <c r="F7030" t="inlineStr">
        <is>
          <t>将軍率いる；中将率いる；少将率いる；大佐率いる；大尉率いる</t>
        </is>
      </c>
      <c r="H7030" t="n">
        <v>29</v>
      </c>
      <c r="I7030" t="inlineStr">
        <is>
          <t>文明元年には四国・九州の諸大名に軍を率いて上京するよう命じている。；いずれも指導者だけが罪とされ、率いられて叛いた者は罪とされない。；三好長慶の時代は、それぞれが軍を率い一族の重鎮として活動していた。；次に政権を握ったのは西府軍総帥として荊州の軍を率いた桓温であった。；里見氏や武田氏との戦いでは、水軍を率いて活躍したと言われている。；元共産党員の妻を持つヘルムート・グレトルップがこのグループを率いた。；北宋末期になると金の将軍、粘没喝は軍を率いて徐州に侵攻している。；雑誌や新聞を発行して、女性の地位向上の運動を率いた。；ハミのホージャ・ニヤーズらに率いられた反乱勢力は西方へ逃亡した。；ラファイエットは自らフランス軍を率いてイギリスへ侵攻することを主張した。；張も兵を率いて多くの革命派を殺害した。；ダンケルクへの攻撃はケッセルリンク率いる第二航空艦隊に命じられた。；さらに続く賤ヶ岳の戦いでも第六陣を率いて参加したが、このときは活躍の場はなかった。；またメムノーンはトロイア戦争でエチオピア勢を率いて戦った英雄である。；行政府はイリノイ州知事が率いるが、他に4人の行政官が選挙で選ばれる。；優れたリーダーシップで攻撃陣を率いたことから日本では「将軍」と呼ばれていた。；ペルセウスは軍を率いてこれと戦い、多くの女たちを殺した。；王邑らは関東から帰還し、兵を率いて、西の趙明らの討伐に向かった。；一行を率いているのは踊子の兄で、大島から来た彼らは家族で旅芸人をしていた。；また李淵が魏刀児の包囲下に置かれたときは、軽騎を率いて救援した。；一郎は10万人の会員を率いる会長として政財界で指導力を発揮した。；彼は多くの天使を率いる十二枚の翼を持った美しい大天使長であったともいわれる。；最大政党は現大統領のポール・カガメが率いるルワンダ愛国戦線である。；朴正煕がクーデターを起こすと、陸軍士官学校の生徒を率いて支持を表明。；この年、第6軍団を率いて半島戦争に参加、いくつかの戦いで勝利を収めた。；外国訪問の際にはソ連代表を率いた他、重要な会議にはブレジネフに同伴して出席した。；私が江東の子弟八千人を率いてここから西へ出発し、今一人として帰る者が居ない。；このとき西ゴート人を率いていたのは前述のアラリックだった。；ミトリダテス6世は艦隊を率いて、ローマ側につくロドス島の攻略に向かった。</t>
        </is>
      </c>
      <c r="J7030">
        <f>HYPERLINK("https://www.weblio.jp/content/率いる", "词义详情")</f>
        <v/>
      </c>
      <c r="K7030">
        <f>HYPERLINK("https://yourei.jp/率いる", "查看例句")</f>
        <v/>
      </c>
    </row>
    <row r="7031">
      <c r="A7031" t="inlineStr">
        <is>
          <t>引き受ける</t>
        </is>
      </c>
      <c r="B7031" t="inlineStr">
        <is>
          <t>成功</t>
        </is>
      </c>
      <c r="C7031" t="inlineStr">
        <is>
          <t>読み方：ひきうける
［動カ下一］［文］ひきう・く［カ下二］
１自分が責任をもってその物事を受け持つ。「販売を一手に—・ける」「役員を—・ける」
２あとを受け継ぐ。他に代わってする。「父から事業を—・ける」「あとは私が—・けた」
３保証する。保証人となる。「留学生の身元を—・ける」</t>
        </is>
      </c>
      <c r="D7031" t="inlineStr">
        <is>
          <t>引き受けるべき；引き受けるしかない；引き受けるよう説得</t>
        </is>
      </c>
      <c r="E7031" t="inlineStr">
        <is>
          <t>担当する；保証；担う；受け取る；負う</t>
        </is>
      </c>
      <c r="F7031" t="inlineStr">
        <is>
          <t>自ら引き受ける；渋々引き受ける；喜んで引き受ける；結局引き受ける</t>
        </is>
      </c>
      <c r="H7031" t="n">
        <v>29</v>
      </c>
      <c r="I7031" t="inlineStr">
        <is>
          <t>その上、寺の世話方の役を引き受けるのは専ら彼にきまつてゐたものだ。；本来ならばそういう苦しみはすべて家臣が引き受けるものであった。；以後も絵本やノベライズを含む中沢作品のほぼ全てを一手に引き受ける。；その影は消滅するまでの30分間に、頼んだことを何でも引き受ける。；これを機に、出演を依頼された全ての番組でレギュラーを引き受ける道を選んだ。；事実、実業家達は重い負担を辛うじて引き受ける事が出来るのみであった。；去年の冬は、運よく、浄書の仕事をたくさん引き受けることができたの。；イデオローゲンは今日こうした役割を引き受けるものでなければならない。；ジャンルを問わず作品の報道を一手に引き受ける人物である。；コスメハウスに帰り睡眠を取ると、再び依頼を引き受ける一日が始まる。；はMI6の依頼で情報の運び屋としての役割を引き受けることになった。；家庭の事情で雑用係を引き受けることを条件に女子寮から学校へ通っている。；少額の金はそのような大きな仕事を引き受ける理由にはならない。；十瓶だって二十瓶だって引き受けると町の薬屋でも云ってくるからな。；貴族の組織するコンフェデラツィアが各地域の統治の任務を引き受けること。；もちろん、私はみんなの願いを引き受ける前に、どんな願いかたずねました。；チャイコフスキーは彼女への恩義からこの依頼を義務と感じて引き受ける。；鬼役は特定の家ではないが一度引き受けると翌年以降も毎年勤めるようになるらしい。；私は、それを引き受けることが私に可能な、せめてもの勇気だと思ったのだ。；祖父はそれを引き受けるが、それと引き換えに祖父は事件への参加を要求する。；面白い事なら何でも引き受けるスタイルで、バラエティーに富んだ構成。；宇宙金属メタモニウムが好物で、殺しを引き受ける時の依頼品としている。；ブライは当時職を探しており、その依頼を引き受けることとなった。；最初は納得できなかったが、ストライクは金が必要なために事件を引き受ける。；フランスは娘達を気にして躊躇うが、高給を提示され引き受けることにする。；つまり、われわれはわれわれの領域の外にあるようなことを引き受けることになります。；そうした時には私は、自分から進んでその役目を引き受けることにしていた。；蜜三郎はオファーのあったアフリカでの通訳の仕事を引き受けることにする。；我々は勿論彼の看護人を引き受けるさ、だが、僕には金がないんだ。</t>
        </is>
      </c>
      <c r="J7031">
        <f>HYPERLINK("https://www.weblio.jp/content/引き受ける", "词义详情")</f>
        <v/>
      </c>
      <c r="K7031">
        <f>HYPERLINK("https://yourei.jp/引き受ける", "查看例句")</f>
        <v/>
      </c>
    </row>
    <row r="7032">
      <c r="A7032" t="inlineStr">
        <is>
          <t>引き起こす</t>
        </is>
      </c>
      <c r="B7032" t="inlineStr">
        <is>
          <t>成功</t>
        </is>
      </c>
      <c r="C7032" t="inlineStr">
        <is>
          <t>読み方：ひきおこす
［動サ五（四）］
１倒れたり、横になったりしたものを、引っ張って起こす。「腕をとって—・す」
２（「惹き起こす」とも書く）事件・騒ぎなどを新たに生じさせる。「論争を—・す」</t>
        </is>
      </c>
      <c r="D7032" t="inlineStr">
        <is>
          <t>引き起こす可能性(9%)；引き起こす結果となり</t>
        </is>
      </c>
      <c r="E7032" t="inlineStr">
        <is>
          <t>生じる；起こす；もたらす；招く；生み出す</t>
        </is>
      </c>
      <c r="H7032" t="n">
        <v>29</v>
      </c>
      <c r="I7032" t="inlineStr">
        <is>
          <t>水質の悪化に弱いことが生息数の減少を引き起こしているとされている。；直接その行動を引き起こす動機と、その機能は区別しなければならない。；しかしながら、これらは改良された点と同じぐらい問題を引き起こした。；これは、世間では両者が統合していると混同される事態を引き起こした。；車両に着雪した雪は落下することで設備の破損などを引き起こすがある。；この行為が反乱を引き起こすことになり、スイス同盟の結成につながった。；それを吸い込むことでアレルギー症状が引き起こされると言われている。；そして電気は一種類だとし、強さや量の違いが様々な現象を引き起こすとした。；そしてこれらは種とすべきか、別種とすべきかの議論を引き起こしている。；に含まれており刺激性があるほか、皮膚に炎症を引き起こす恐れがある。；補体系は表面に抗体が結合した細胞に細胞死を引き起こす蛋白質を含む。；過換気症候群によって引き起こされる症状には以下のようなものがある。；場は時空間のあらゆるところで定義され、波動を引き起こす能力がある。；村井秀夫刺殺事件は徐裕行が単独で引き起こしたものだと主張している。；過呼吸症候群によって引き起こされる症状には以下のようなものがある。；笑いは自然に生じるもので、考えや意志で引き起こしたりすることはできない。；この病気は通常、意識に影響を与えたり発熱を引き起こすことはない。；だが、これ以上症状が続く場合は合併症を引き起こした可能性が高い。；しかしこの名称が新たな問題を引き起こしてしまうこととなる。；このことは同盟の他の都市、とくにクレモナとの衝突を引き起こした。；これらの4つの血清型はすべて、あらゆる症状を引き起こす原因となる。；弾薬の共有すら考慮されなかった為、時に補給面の問題を引き起こした。；ウムラウトと同じく、変化を引き起こす母音は失われていることもある。；従来の非定型抗精神病薬よりも錐体外路症状を引き起こさないとされる。；足に何らかの症状を引き起こす病気として以下のようなものがある。；長期間の無重量状態に身体を置くことは複数の健康的問題を引き起こす。；様々な病原性細菌がヒトの病気や死を引き起こすことが知られている。；第二次オイルショックはイラン革命が主な要因となって引き起こされた。；むしろ闇によって引き起こされる活動もまたあったものと考えられるのである。</t>
        </is>
      </c>
      <c r="J7032">
        <f>HYPERLINK("https://www.weblio.jp/content/引き起こす", "词义详情")</f>
        <v/>
      </c>
      <c r="K7032">
        <f>HYPERLINK("https://yourei.jp/引き起こす", "查看例句")</f>
        <v/>
      </c>
    </row>
    <row r="7033">
      <c r="A7033" t="inlineStr">
        <is>
          <t>引き落とす</t>
        </is>
      </c>
      <c r="B7033" t="inlineStr">
        <is>
          <t>成功</t>
        </is>
      </c>
      <c r="C7033" t="inlineStr">
        <is>
          <t>読み方：ひきおとす
［動サ五（四）］
１前や下に引いて落とす。また、相撲で、引き落としの技をかける。「相手の腕をつかんで—・す」
２公共料金などを、支払人の預金口座から受取人の口座へ所定期日に送金する。「ガス料金を—・す」</t>
        </is>
      </c>
      <c r="D7033" t="inlineStr">
        <is>
          <t>倒す；転がす；打ち倒す；押し倒す；打ちのめす</t>
        </is>
      </c>
      <c r="H7033" t="n">
        <v>29</v>
      </c>
      <c r="I7033" t="inlineStr">
        <is>
          <t>金銭を界身から引き落とす為には、その界身が属する座の落款が必要になる。；マンションのローンや水道光熱費は、夫の口座から引き落とされている。；ただし保険料として自分の番が回ってくるたびに金10ずつ引き落とされる。；手数料が一旦引き落とされてもキャッシュバックされることがある。；この改札機ではほかの9号線の乗り換え駅と同様に運賃を引き落とさない。；ふわっと宙に浮かんで引き落とされるような快感が、伊央を支配する。；開いてみると乱脈に引き落とされて残高が五千二十円しかなかった。；一本は引き落とされたかのように湿原に突きささり、もう一本は上方へ外れて行ったのだ。；母の預金通帳から多額の金が引き出されたり、引き落とされたりしていることだ。；部費が下りていないため、諸経費は全て南部先生の口座から引き落とされている。；だがひと思いに御簾を引き落とすことは、どうしても出来ない。；目を瞑っていると頭がグルグルと回り、体が奈落に引き落とされそうになる。；ただし一旦手数料が引き落とされるが即時にキャッシュバックされる。；一口だけでなく二口、三口も可能だが、当然引き落とされる金額も上乗せされる。；実際に運河に引き落とされたから分かるが、底までの深さはせいぜい三メートル程度しかなかった。；彼女が全財産の一割を預金口座から引き落とすだけで、何処かの国が不況に陥る可能性が出てくる。；運賃は加盟社・局線の最安の経路で計算し、出場時に着駅までの運賃の差額分が引き落とされた。；泊まる前に予約を実行しても、認証ができないまま、お金だけが引き落とされてしまう現実がある。；あの男が梯子に手をかけることができれば、二人は引き落とされて死ぬか、またつかまるかどちらかになる。；今までの給与も銀行から引き落とされた形跡がない。；以降、毎月五十万から八十万の金が定期的に入金され、ほとんど同じ額がランダムに引き落とされていた。；何度見ても引き落とされた金額はなかった。；また、Debitカード利用の場合は、実際に引き落とされる。；そのときは給料から自動的に引き落とされていた。；下車時には運賃との差額分が引き落とされ、裏面に降車駅と残高が印字された。；さらに、落札した商品を送料着払いで送りつけて来て、箱を開けてみたらとは全く別物だった場合もあり、相手に連絡しようとした時には代金が口座から引き落とされて既に逃走している。；純粋な学問的関心からというより、けちをつけて引き落とそうという悪意からなのだが、いずれにせよ、それが突飛な試みであるほどに、有望株は世の注目を集めずにおかなかった。；これは乗客が意図せずに携帯電話をOMNYリーダーの近くに置いた際に発生し、メトロカードとOMNYで別々に運賃が引き落とされる結果二重請求となるものである。；現代のサウジアラビアでは、登録した銀行口座から引き落とすなど他の税と同じように事務的に徴収されている。</t>
        </is>
      </c>
      <c r="J7033">
        <f>HYPERLINK("https://www.weblio.jp/content/引き落とす", "词义详情")</f>
        <v/>
      </c>
      <c r="K7033">
        <f>HYPERLINK("https://yourei.jp/引き落とす", "查看例句")</f>
        <v/>
      </c>
    </row>
    <row r="7034">
      <c r="A7034" t="inlineStr">
        <is>
          <t>引き返す</t>
        </is>
      </c>
      <c r="B7034" t="inlineStr">
        <is>
          <t>成功</t>
        </is>
      </c>
      <c r="C7034" t="inlineStr">
        <is>
          <t>読み方：ひきかえす
［動サ五（四）］
１進んできた道をもとへ戻る。ひっかえす。「途中で—・す」
２もとの状態に戻る。昔のようになる。
「まだ（琴ノ）調べも変はらず、—・し、その折、今の心地し給ふ」〈源・松風〉
３繰り返す。反復する。
「御文を、うちも置かず—・し—・し見ゐ給へり」〈源・宿木〉
４裏返す。ひっくりかえす。
「畳、ところどころ—・したり」〈源・須磨〉
５すぐにもとへ戻す。折り返す。
「—・し一筆書きて助光が手に渡し給へば」〈太平記・二〉
６（連用形を副詞的に用いて）うってかわって。
「とけ難かりし御気色をおもむけ聞こえ給ひて後、—・しなのめならむは、いとほしかし」〈源・夕顔〉</t>
        </is>
      </c>
      <c r="D7034" t="inlineStr">
        <is>
          <t>引き返すべき；引き返すよう命じ</t>
        </is>
      </c>
      <c r="E7034" t="inlineStr">
        <is>
          <t>復帰；帰る；戻る；帰って来る；返る</t>
        </is>
      </c>
      <c r="F7034" t="inlineStr">
        <is>
          <t>今さら引き返す；いまさら引き返す；そのまま引き返す；引き返すしかない；もはや引き返す</t>
        </is>
      </c>
      <c r="H7034" t="n">
        <v>29</v>
      </c>
      <c r="I7034" t="inlineStr">
        <is>
          <t>引き返そうとした耿介の側に店の駐車場から出て来た車が接近して来た。；この瞬間まで、彼はそうしたいと思えば何時でも引き返すことができた。；しかし既に死に向って出発してしまった今、引き返すのはいやであった。；交代の必要がある時にはステージの外まで引き返さなくてはならない。；悪臭は進むほどに増し、中ほどまで歩いた時には引き返そうかと思った。；小さな灯があることに気づいたのは、来た道を引き返そうとした時だった。；先生はガに引き返すように命じ、私を地球におろしてしまうでしょうか?；引き返そうかと背を向けたのだが、ちょうどその時に声が飛んできた。；どこを探してもいないとなれば、三日もたてば引き返すのではないか。；一瞬わずかな間を置いたあと、今度は少しずつ穴の方に引き返そうとする。；それでも引き返そうと思わなかったのは、漠然とした怒りのせいだった。；しかし結局、引き返す理由を心の中で探しはしたが、石崎は足を進めた。；あたかも大事なことを忘れていて引き返そうとしてる者のようだった。；そう思うと引き返すことができず、さらに五メートル先へ進むことになる。；その勇気の出せない航海者はそこから引き返すほかはなかったのである。；犬の餌のことを思い出して、引き返すつもりでおれは体の向きをかえた。；あんまり一人で奥に分け入ってもまずいな、もう引き返そうか、と思う。；引き返そうかと思ったが、すでに、男の一人がこちらを見てしまっていた。；その結果、通路の入口までずっと引き返さなければならないにしても。；計画の段階で『やります』といい切った以上、引き返すことはできない。；その後は食料と物資の欠乏のために北に引き返すことを余儀なくされた。；引き返すとしてもペルシダーのどの地点に到着するかわからないからだ。；もう一度子供になりたくても、あの道へだけは引き返すことができないのだ。；ほんとうに、自分は、引き返すことのできない道を選んでしまったのだ。；昼までに戻るつもりで、大急ぎ引き返す途中で、あんたを見かけたのよ。；引き返そうとした市谷は靴についた血の為に滑り、階段をころげ落ちた。；どの生徒も泣き叫んで引き返すか、失神してしまうかのどちらかだった。；彼等は絶対に引き返さないようにするため、到着した海岸で船を燃やした。；このことで数百の南軍兵は無事にクリークを渡って引き返すことができた。</t>
        </is>
      </c>
      <c r="J7034">
        <f>HYPERLINK("https://www.weblio.jp/content/引き返す", "词义详情")</f>
        <v/>
      </c>
      <c r="K7034">
        <f>HYPERLINK("https://yourei.jp/引き返す", "查看例句")</f>
        <v/>
      </c>
    </row>
    <row r="7035">
      <c r="A7035" t="inlineStr">
        <is>
          <t>引き下げる</t>
        </is>
      </c>
      <c r="B7035" t="inlineStr">
        <is>
          <t>成功</t>
        </is>
      </c>
      <c r="C7035" t="inlineStr">
        <is>
          <t>読み方：ひきさげる
［動ガ下一］［文］ひきさ・ぐ［ガ下二］
１値段・比率などを低くする。「価格を—・げる」
２地位・身分を低くする。「一階級—・げる」
３取り下げる。「提案を—・げる」
４後方へ下がらせる。退かせる。「部隊を—・げる」
５手にさげて持つ。ひっさげる。
「いととく持たせつる物を—・げて」〈枕・八七〉
６引きつれる。
「かかるところにこれ（＝子供）をさへ—・げてあるを」〈かげろふ・下〉</t>
        </is>
      </c>
      <c r="D7035" t="inlineStr">
        <is>
          <t>引き下げるべき</t>
        </is>
      </c>
      <c r="E7035" t="inlineStr">
        <is>
          <t>低下；落とす；抑える；下げる；減らす</t>
        </is>
      </c>
      <c r="H7035" t="n">
        <v>29</v>
      </c>
      <c r="I7035" t="inlineStr">
        <is>
          <t>今の禁令の重さを十とするなら、四ぐらいまでに引き下げろと訴えている。；侵入に向かった二人の危険を引き下げるためには必要なことだ。；HD 140283の年齢は更に不確かさを引き下げる事が可能である。；企業に課す法人税率を引き下げるべきであることにどちらかと言えば反対。；一般にいって自分の恋愛の要求を引き下げる必要はない。；この知識は、社会の産業効率を向上させるよりもむしろ引き下げる傾向をもっている。；新生児死亡は死亡年齢の低さから平均値を大きく引き下げる働きがあるからである。；自己を無限拡大することによって自己をゼロに引き下げるのが彼の方法である。；むしろ茶法は、正規輸入された茶葉の価格を引き下げるものであった。；しかし、女が怒ったから、と言って、今言ったことを引き下げるつもりはなかった。；階級を引き下げる儀式がすんで、もうこれで何も苦にするところがないと思っていました。；企業独占を支えた高率の関税を引き下げるなど、改革の意志を鮮明にした。；人間性をその最も陋劣な一線にまで引き下げる愚かな自慰しか知らないのだ。；RRAはチームの年間予算を1990年代のレベルまで引き下げることを目標としている。；人によると更に古く五百年と云い、また新しく二百年位に引き下げる。；自由化は2つのルートで電気料金を引き下げると考えられていた。；加えてサプライヤに部品購買価格を3割引き下げることを要求した。；若年層の死亡率がその時期だけ高くなり、同じく平均を強く引き下げることによる。；これは完成車両にかかる関税を引き下げるための措置である。；結局会社側が料金を5銭引き下げると妥協し、この問題は5月になって解決した。；上記によって国の規制基準の40分の1に引き下げることが可能。；そうして彼女の卵が他の男の精子によって受精させられる確率を引き下げるのである。；足を一本振り上げさせれば、それを私がまた引き下げるまで、じっと立てたままにしていてくれた。；ただそれが攻撃魔法であれば、起動式に対象とする領域の広さを記述しておくことで、難度を引き下げることができる。；何人かの学者らは、将来世代の大きな利益となることの理由をもって、存亡リスクを引き下げることを強く支持している。；平均寿命を引き下げる最大の要因であるゼロ歳児の死亡が相次いだわけではない。；PDDVDでは少しでも製造コストを抑え、価格を引き下げるため以下のような仕様で発売されることが多い。；周辺機器は一般に利益率が高く、本体価格を引き下げる原資となっていた。；また首脳らは各国の債務対GDP比を引き下げることで合意した。</t>
        </is>
      </c>
      <c r="J7035">
        <f>HYPERLINK("https://www.weblio.jp/content/引き下げる", "词义详情")</f>
        <v/>
      </c>
      <c r="K7035">
        <f>HYPERLINK("https://yourei.jp/引き下げる", "查看例句")</f>
        <v/>
      </c>
    </row>
    <row r="7036">
      <c r="A7036" t="inlineStr">
        <is>
          <t>引き算</t>
        </is>
      </c>
      <c r="B7036" t="inlineStr">
        <is>
          <t>成功</t>
        </is>
      </c>
      <c r="C7036" t="inlineStr">
        <is>
          <t>読み方：ひきざん
［名］(スル)ある数から他の数を引いて残りを求める計算。減法。⇔足し算。</t>
        </is>
      </c>
      <c r="D7036" t="inlineStr">
        <is>
          <t>引き算九九</t>
        </is>
      </c>
      <c r="E7036" t="inlineStr">
        <is>
          <t>マイナス；減算；差し引き；減法；差引き</t>
        </is>
      </c>
      <c r="F7036" t="inlineStr">
        <is>
          <t>簡単な引き算</t>
        </is>
      </c>
      <c r="H7036" t="n">
        <v>29</v>
      </c>
      <c r="I7036" t="inlineStr">
        <is>
          <t>となればそこから引き算されるのは辺でしかないのでyは辺の数です。；画像からLCC5370の光を引き算して、問題の光だけを集めてみる。；跳躍と打撃の仕事量の合計から、非常ドアを固定する力を引き算するのだ。；足し算九九、引き算九九は江戸時代には寺子屋などで教えられていた。；また足し算に比べて引き算が苦手な人がこの方法を取ることがある。；目的があって、それを達成するためなら、命さえ足し算引き算できたんだ私は。；金利の引き算にした方が扱いやすいので、この近似が使われている。；年と体重を実際より引き算をして言うのは女だけかと思ったら、此の頃はそうでもないのである。；の列の隣には、引き算を行った0から始まる連続する3の倍数を表示しておく。；相手の判断には足し算も引き算もないような気がします。；操縦士は心の中でグライダーの降下率を引き算しなければならない。；偏差は単純に引き算した結果であり母集団によってその大小が左右される。；病気が48時間を越えているときには病気の経過を日で示し、罹病の日から引き算をした。；別の方法は、引き算はいつでもできるわけではなくて「 は存在しない」としてしまうことである。；引き算ですぐに出てくる答えだろうが。；現在一般に流布している次のような足し算引き算のような関係は、ほとんど正しいとはいえない。；例えば、上の数直線では足し算は右に進むことであり、引き算は左に進むことである。；問題はその力を発揮するとき、足し算以外に、引き算がいるんだけど、これが難しい。；つづいて引き算、掛け算、割り算の練習をし、いよいよ応用問題に入った。；一方の隅では、大柄な女が数字の代わりに小枝を使って、足し算や引き算らしいものを子供に教えている。；小学校で習う足し算や引き算も、英語で数式を読むと長くなります。；計算することの側面を強調し引き算、減算などとも言う。；幼い頃から数字に異常なほど強い興味を持ち、足し算・引き算・掛け算を習得したという。；「単純な引き算だ」 王は先を急ごうというように顎をしゃくった。；玲子との待ち合わせまでに、単純に引き算をして、一時間三十分の余裕があった。；これまで足し算と引き算しか知らなかった者に、新たな概念を与えようというように。；可能性を一つ一つ引き算していく。；そこで、ガニメアンの存在を引き算すると、後には何が残る?；つましく生活するのには慣れていたが、そのために小賢しく数字を並べて足し算引き算をすることには慣れていなかった。</t>
        </is>
      </c>
      <c r="J7036">
        <f>HYPERLINK("https://www.weblio.jp/content/引き算", "词义详情")</f>
        <v/>
      </c>
      <c r="K7036">
        <f>HYPERLINK("https://yourei.jp/引き算", "查看例句")</f>
        <v/>
      </c>
    </row>
    <row r="7037">
      <c r="A7037" t="inlineStr">
        <is>
          <t>引きずる</t>
        </is>
      </c>
      <c r="B7037" t="inlineStr">
        <is>
          <t>成功</t>
        </is>
      </c>
      <c r="C7037" t="inlineStr">
        <is>
          <t>読み方：ひきずる
［動ラ五（四）］
１地面などをすって引いて行く。「下駄を—・って歩く」
２長い物を垂らして地面などに触れさせる。「裾を—・る」
３無理に連れて行く。「交番に—・って行く」
４故意に長引かせる。「回答を月末まで—・る」
５捨てきれずに今なおもちつづける。いつまでも忘れないでいる。「失恋の痛手を—・る」
６（普通「ひきずられる」の形で用いる）他人の行動や考えを引っ張る。影響を与える。「雰囲気に—・られてつい承諾してしまった」</t>
        </is>
      </c>
      <c r="D7037" t="inlineStr">
        <is>
          <t>維持；続ける；延長；引く；存続</t>
        </is>
      </c>
      <c r="F7037" t="inlineStr">
        <is>
          <t>そのまま引きずる；少し引きずる；ずるずると引きずる</t>
        </is>
      </c>
      <c r="H7037" t="n">
        <v>29</v>
      </c>
      <c r="I7037" t="inlineStr">
        <is>
          <t>しかし彼はまた、彼らを引きずってゆく運命的な力をも見てとっていた。；私は大きい力に引きずられるような気がして彼女の後についていった。；ドアが開いて灰色の男たちがそろそろと足を引きずって入ってきたからだ。；外出を告げて外に出ると、雲が黒い腹を引きずるように空を流れていく。；私が鎖を断つ必要もなければ、あの方が鎖を引きずる必要もないのです。；私は自分が下駄を引きずってすさんだ歩き方をしているのに気がついた。；今まで引きずっていた、言葉に上手くできないものが急速に消えました。；私は何だか引きずられてしまいそうな気がする、ふとこんな事を思った。；昨夜の振る舞いを全く引きずっていないから、精神の方は安心したけど。；常に地上にいることから、尾羽の端は地面を引きずっていることが多い。；バロットは壁に手をあてながら、身体全体を引きずるようにして歩いた。；またダムの完成は敗戦の影響を引きずっていた日本国民の注目を浴びた。；力が抜けてしまって、私は足を引きずるようにして駅の階段を降りた。；だが、周囲の色に引きずられて物の色が違って見えては困るであろう。；その前に、血だらけの剣を引きずって泣いている女を描いた看板が見えた。；彼が足を引きずっていたことは、だれも気づいていないようであった。；私は妻のために、命を引きずって世の中を歩いていたようなものです。；しかし、彼らは停止せずに、そのままわたしを地面に引きずって行った。；だが棒をしっかり握っていたから、その棒は流れの中を引きずっていった。；こんな男に投票するのは殴られて投票場に引きずられていったやつだけだ。；恋愛感情を抱いてはいけないとはわかっているのに、心が引きずられる。；誰かに引きずられたようだが、はっきりとした記憶はそこまでだった。；だがやはり引きずるようにして共に村を去って来た自分ではないか。；弟は疲れて、防寒靴を雪に喰い取られないばかりに足を引きずっていた。；発達した巨大な棍棒のような下腕を引きずりながらゆっくりと歩いている。；荷物を引きずるみたいに、行きよりかなりだらしない歩きかたを私はした。；そして女中に連れられ台所の方へ足を引きずりながら歩いていった。；一人の男が全裸の女を車から連れ出し、髪をつかんで引きずっていった。；剣歯人どもは、二人を引きずりあげるようにして蔓をよじ登って行った。</t>
        </is>
      </c>
      <c r="J7037">
        <f>HYPERLINK("https://www.weblio.jp/content/引きずる", "词义详情")</f>
        <v/>
      </c>
      <c r="K7037">
        <f>HYPERLINK("https://yourei.jp/引きずる", "查看例句")</f>
        <v/>
      </c>
    </row>
    <row r="7038">
      <c r="A7038" t="inlineStr">
        <is>
          <t>引き出し</t>
        </is>
      </c>
      <c r="B7038" t="inlineStr">
        <is>
          <t>成功</t>
        </is>
      </c>
      <c r="C7038" t="inlineStr">
        <is>
          <t>読み方：ひきだし
１引き出すこと。「預金の—」
２（「抽斗」とも書く）机・たんすなどに取り付けて、抜き差しができるようにした箱。
３臨機応変に活用できる、隠れ持った多様な知識や豊かな経験のたとえ。「—が多く、どんな役でもこなせる俳優」</t>
        </is>
      </c>
      <c r="D7038" t="inlineStr">
        <is>
          <t>引き出すべき；引き出すべく；引き出すユダヤ人について描写</t>
        </is>
      </c>
      <c r="E7038" t="inlineStr">
        <is>
          <t>起こす；引く；引き起こす；抜く；取り出す</t>
        </is>
      </c>
      <c r="H7038" t="n">
        <v>29</v>
      </c>
      <c r="I7038" t="inlineStr">
        <is>
          <t>環境から可能性を引き出し、現実のものとするか否かは人間次第である。；窓の下には各座席ごとに引き出して使用する折畳みテーブルを設置した。；一方で交換されて別の肉体に閉じ込められた相手からも知識を引き出す。；早く大きな建物に入って、そこに集まっている脳から情報を引き出そう。；また武器の力で自動で引き出されるエネルギーがあり常時展開している。；精神評価のための諸検査は間もなく終って、彼は檻の外へ引き出された。；下から車を持ち上げるのでなければ、彼を引き出すことは不可能だった。；動物の行動を引き出すために、パズルのような装置を用いることもある。；その金が全部引き出されているか、まず銀行に行って見てみましょう。；郡の政治的傾向を選挙の地区データを分析することで引き出すことができる。；日本ではマンションなどで引き出しの開閉の静かさが評価される面がある。；だから一般的な操作ではこういう限界性能は引き出せないようになっている。；自身の持つ捜査情報を取引に使い、武器の情報を引き出すことに成功する。；いろいろの知識は頭に入っているのに、必要なときに引き出せないだけだ。；しかし領土の概念から引き出される経済利益は、双方が共同で享受する。；一人が入りドーベルマンの雑種と思われる黒い大きな犬が引き出された。；罪と呼べないほどの罪で刑場に引き出されていく民を見るのは辛かった。；わたしたちはある大きな村に着くと、馬車は広場に引き出されていた。；彼女からそれだけの愛情を引き出せたなんて、息子は立派だと思いますよ。；しかしそんな些事からわれわれは何か結論を引き出そうとするのではない。；典子が三人の男に囲まれるようにして、隣の部屋から引き出されてきた。；輪の中央に引き出された黒服は怯えきったような視線で周囲を見回した。；閣下が君のほうに目をやられたら機を失せずこの私の時計を引き出すのだ。；シンプソンはさらにいくつかの特徴のある一般化を引き出そうと試みた。；私はそれから否応なしに二つの結論を引き出さずにはいられなかった。；戦略ゲームよりの戦闘システムはSRPGの味を引き出せたと評価された。；引き出されてきた新垣の手に握られていたのは、ひとつの封筒であった。；計画では、わしは自分で銀行へ行って三万ドル引き出すふりをするらしいな。；何か目的があって、事件についての情報を引き出そうとしているのだろう。</t>
        </is>
      </c>
      <c r="J7038">
        <f>HYPERLINK("https://www.weblio.jp/content/引き出し", "词义详情")</f>
        <v/>
      </c>
      <c r="K7038">
        <f>HYPERLINK("https://yourei.jp/引き出し", "查看例句")</f>
        <v/>
      </c>
    </row>
    <row r="7039">
      <c r="A7039" t="inlineStr">
        <is>
          <t>引き出す</t>
        </is>
      </c>
      <c r="B7039" t="inlineStr">
        <is>
          <t>成功</t>
        </is>
      </c>
      <c r="C7039" t="inlineStr">
        <is>
          <t>読み方：ひきだす
［動サ五（四）］
１引っ張って外へ出す。「押し入れから布団を—・す」
２誘い出す。呼び出す。「公聴会に—・される」
３働きかけて、隠れているものを表に出す。「結論を—・す」「本音を—・す」「子供の能力を—・す」
４資金などを他人に出させる。「親から旅費を—・す」
５預金や貯金を預けた先からおろす。「預金口座から一〇万円—・す」</t>
        </is>
      </c>
      <c r="D7039" t="inlineStr">
        <is>
          <t>引き出すべき；引き出すべく；引き出すユダヤ人について描写</t>
        </is>
      </c>
      <c r="E7039" t="inlineStr">
        <is>
          <t>起こす；引く；引き起こす；抜く；取り出す</t>
        </is>
      </c>
      <c r="H7039" t="n">
        <v>29</v>
      </c>
      <c r="I7039" t="inlineStr">
        <is>
          <t>環境から可能性を引き出し、現実のものとするか否かは人間次第である。；窓の下には各座席ごとに引き出して使用する折畳みテーブルを設置した。；一方で交換されて別の肉体に閉じ込められた相手からも知識を引き出す。；早く大きな建物に入って、そこに集まっている脳から情報を引き出そう。；また武器の力で自動で引き出されるエネルギーがあり常時展開している。；精神評価のための諸検査は間もなく終って、彼は檻の外へ引き出された。；下から車を持ち上げるのでなければ、彼を引き出すことは不可能だった。；動物の行動を引き出すために、パズルのような装置を用いることもある。；その金が全部引き出されているか、まず銀行に行って見てみましょう。；郡の政治的傾向を選挙の地区データを分析することで引き出すことができる。；日本ではマンションなどで引き出しの開閉の静かさが評価される面がある。；だから一般的な操作ではこういう限界性能は引き出せないようになっている。；自身の持つ捜査情報を取引に使い、武器の情報を引き出すことに成功する。；いろいろの知識は頭に入っているのに、必要なときに引き出せないだけだ。；しかし領土の概念から引き出される経済利益は、双方が共同で享受する。；一人が入りドーベルマンの雑種と思われる黒い大きな犬が引き出された。；罪と呼べないほどの罪で刑場に引き出されていく民を見るのは辛かった。；わたしたちはある大きな村に着くと、馬車は広場に引き出されていた。；彼女からそれだけの愛情を引き出せたなんて、息子は立派だと思いますよ。；しかしそんな些事からわれわれは何か結論を引き出そうとするのではない。；典子が三人の男に囲まれるようにして、隣の部屋から引き出されてきた。；輪の中央に引き出された黒服は怯えきったような視線で周囲を見回した。；閣下が君のほうに目をやられたら機を失せずこの私の時計を引き出すのだ。；シンプソンはさらにいくつかの特徴のある一般化を引き出そうと試みた。；私はそれから否応なしに二つの結論を引き出さずにはいられなかった。；戦略ゲームよりの戦闘システムはSRPGの味を引き出せたと評価された。；引き出されてきた新垣の手に握られていたのは、ひとつの封筒であった。；計画では、わしは自分で銀行へ行って三万ドル引き出すふりをするらしいな。；何か目的があって、事件についての情報を引き出そうとしているのだろう。</t>
        </is>
      </c>
      <c r="J7039">
        <f>HYPERLINK("https://www.weblio.jp/content/引き出す", "词义详情")</f>
        <v/>
      </c>
      <c r="K7039">
        <f>HYPERLINK("https://yourei.jp/引き出す", "查看例句")</f>
        <v/>
      </c>
    </row>
    <row r="7040">
      <c r="A7040" t="inlineStr">
        <is>
          <t>引き継ぐ</t>
        </is>
      </c>
      <c r="B7040" t="inlineStr">
        <is>
          <t>成功</t>
        </is>
      </c>
      <c r="C7040" t="inlineStr">
        <is>
          <t>読み方：ひきつぐ
［動ガ五（四）］あとを受け継ぐ。また、あとの人に渡す。仕事内容などの受け渡しをする。「家業を—・ぐ」「後任に事務を—・ぐ」</t>
        </is>
      </c>
      <c r="D7040" t="inlineStr">
        <is>
          <t>引き継ぐべき；引き継ぐべく；引き継ぐ形で厩舎</t>
        </is>
      </c>
      <c r="E7040" t="inlineStr">
        <is>
          <t>伝える；継ぐ；引き受ける；継承する；相続する</t>
        </is>
      </c>
      <c r="H7040" t="n">
        <v>29</v>
      </c>
      <c r="I7040" t="inlineStr">
        <is>
          <t>なんらかの記録を引き継ぐ合併でないなら新設扱いで問題ないでしょう。；アルバムはブルースの影響を強く受けた前2作の路線を引き継いでいた。；叙事詩の中で彼はプルシャの性格を引き継いでいるとされることもある。；従来苫小牧市営バスで発行していたカードを引き継ぐ形で発行されていた。；かつては戦前の連絡自動車から引き継いだ郵便物輸送をおこなっていた。；イギリスに帰国後の彼はロージアン・ベルの企業経営を徐々に引き継ぐ。；これは明らかに革命前の地下鉄計画をそのまま引き継ぐものであった。；そのため、残存する海軍艦艇をいずれかの国家に引き継ぐ必要が生じた。；仲村の声優活動休止、及び死後に持ち役を引き継いだ人物は以下の通り。；シリーズ途中のイラスト変更を引き継ぐ仕事が多いという特徴を持つ。；死去したつかせのりこや川上とも子から持ち役の一部を引き継いでいる。；自分が生まれる前の自分の能力を、時代を超えて引き継ごうという試みだ。；アイテムも前作から引き継いだものと追加、変更されたものがある。；また死去した納谷六朗、谷口節が演じた持ち役の一部を引き継いでいる。；現存するのは豊中競輪場の跡を引き継ぐ競技場として再建された物である。；これを引き継いで登場した列車がカリフォルニア・ゼファー号である。；なお、前作のセーブデータがあれば、カードデータを引き継ぐ事も可能。；死去した塩沢兼人や鈴置洋孝から持ち役の一部を引き継いで担当している。；こうした建設省の調査を引き継いで日本道路公団が改めて調査に望んだ。；なお、現在行われている繋駕速歩競走はこの伝統を引き継いだものである。；むしろこちらの方が伝統的な身分制議会からの伝統を引き継ぐものだと言える。；ジョサイアの死後、その息子であるジョサイア二世が経営を引き継いだ。；コンパイルが倒産した後は販売を引き継ぐメーカーがなく生産が終了。；仲川は町田前市長が進めていた合併への取り組みを引き継ぐ事となった。；本社は川崎重工業と同じく東京本社と神戸本社の二本社制を引き継ぐ。；構成は紹介されるものが現代のものである以外は過去のシリーズをそのまま引き継いでいる。；以前運行していた事業者の車両をそのまま引き継いで運行しているものも存在する。；彼が当初掲げていた政策も州知事時代の中道的なものを引き継いだものだった。；死去した塩沢兼人や桜塚やっくんから持ち役の一部を引き継いでいた。</t>
        </is>
      </c>
      <c r="J7040">
        <f>HYPERLINK("https://www.weblio.jp/content/引き継ぐ", "词义详情")</f>
        <v/>
      </c>
      <c r="K7040">
        <f>HYPERLINK("https://yourei.jp/引き継ぐ", "查看例句")</f>
        <v/>
      </c>
    </row>
    <row r="7041">
      <c r="A7041" t="inlineStr">
        <is>
          <t>引き続き</t>
        </is>
      </c>
      <c r="B7041" t="inlineStr">
        <is>
          <t>成功</t>
        </is>
      </c>
      <c r="C7041" t="inlineStr">
        <is>
          <t>読み方：ひきつづき
［名］物事が途切れることなく続くこと。また、そのもの。「昨日からの—で審議が行われる」
［副］
１続けざまに。途切れることなく。「—三日も雨が降っている」
２すぐそれに続いて。「—慰労会に移る」</t>
        </is>
      </c>
      <c r="D7041" t="inlineStr">
        <is>
          <t>引き続き行わ；引き続き同；引き続き登場する；引き続き用い；引き続き使わ</t>
        </is>
      </c>
      <c r="E7041" t="inlineStr">
        <is>
          <t>連続；継続；存続；持続；連続性</t>
        </is>
      </c>
      <c r="F7041" t="inlineStr">
        <is>
          <t>引き続き選抜入り；引き続き同大学大学院；引き続きオリックスと契約；引き続き同番組；引き続き用いられ</t>
        </is>
      </c>
      <c r="H7041" t="n">
        <v>29</v>
      </c>
      <c r="I7041" t="inlineStr">
        <is>
          <t>一部駅では旧オリジナル発車メロディを現在も引き続き使用している。；当初は期間限定使用の予定であったが、その後も引き続き使用されている。；キャラクターイラストは前作に引き続きつちやきょうこが担当している。；駅ホーム高さの低い路線にも入線するためステップは引き続き設置された。；また同様に、引き続き人間の発がん性物質である可能性が低いと評価した。；ハイドンに刺激を受けたモーツァルトも引き続き多くの作品を残している。；ただし、の件数が年々増加している為に引き続き注意が必要とされている。；ライブではサポートとして則竹がバンド時代から引き続きドラムを担当。；翌28日には2014年も柳下が引き続き指揮を執ることが発表された。；旧ブランドで発売されていた端末の一部は引き続き販売された。；また領主としての影響力も引き続き持ち続けていたのではないかと推定される。；また、北米ではある程度の需要が見込めるクーペも引き続き設定された。；いずれも共同運行の本四海峡バスが引き続き乗車券の販売を行っている。；なお、この工事は東急車輛で引き続き以下の編成にも施工されている。；この曲は、三菱石油との合併後も歌詞の一部を変更して引き続き使用されている。；明治に至っても初期にはと名を改めて引き続き行われていた。；再編後も運行管理と営業エリア分けでは引き続き境界となっている。；一部残った軍の施設も引き続き教育学部の校舎やサークル棟等に利用されていた。；本作は、『ミラーマン』の主要スタッフが引き続き制作に当たっている。；コンビ時代から出演している番組にも引き続き出演している。；埼玉銀との合併後の協和埼玉銀でも引き続きミッフィーが使用された。；しかしこの学校においても引き続きスポーツ分野では活躍した。；バーティ夫妻は残されたメアリー公女を引き続き娘として取り扱った。；その後は引き続き、三菱自動車工業本社の広報と開発部にて勤務している。；バスカードは引き続き利用可能だが、期限を設け利用中止となる予定。；戦前に進められていた治水事業は引き続き進められていた。；民営化後も長野・松本・幕張に配置され、引き続き各列車に充当された。；これが中華人民共和国でも引き続き用いられている。；現在でも引き続き社屋の一部共用や報道部門の一部連携 など関係が続いている。</t>
        </is>
      </c>
      <c r="J7041">
        <f>HYPERLINK("https://www.weblio.jp/content/引き続き", "词义详情")</f>
        <v/>
      </c>
      <c r="K7041">
        <f>HYPERLINK("https://yourei.jp/引き続き", "查看例句")</f>
        <v/>
      </c>
    </row>
    <row r="7042">
      <c r="A7042" t="inlineStr">
        <is>
          <t>引き止める</t>
        </is>
      </c>
      <c r="B7042" t="inlineStr">
        <is>
          <t>成功</t>
        </is>
      </c>
      <c r="C7042" t="inlineStr">
        <is>
          <t>読み方：ひきとどめる
［動マ下一］［文］ひきとど・む［マ下二］「ひきとめる」に同じ。「帰ろうとするのを—・める」</t>
        </is>
      </c>
      <c r="D7042" t="inlineStr">
        <is>
          <t>引き止めるべき</t>
        </is>
      </c>
      <c r="E7042" t="inlineStr">
        <is>
          <t>説得する；とどめる；すがりつく；引き留める；押しとどめる</t>
        </is>
      </c>
      <c r="H7042" t="n">
        <v>29</v>
      </c>
      <c r="I7042" t="inlineStr">
        <is>
          <t>引き止められるのを今か今かと待っていたかのように彼はもどって来た。；それは引き止めることのできない勢いを持って遠くに逃れ去っていった。；後からこんなに気になってくるならやっぱり引き止めておけばよかった。；さらにいやな感じが大きくなって、思わず雷の子は友の袖を引き止める。；私は自分のためばかりを思ってお前を引き止めてはいけないのでした。；わたしを石にすることが、ここに引き止めている主な原因だと考えてみる。；わたしは先に立って行こうとしたけれど、かれはわたしを引き止めた。；でもあなたの場合は、主人を引き止めるためのテクニックなのですよね。；無理に引き止めても、それで彼等の仲が戻るとも思えなかったからである。；母を、無理にでも引き止めておくのが、私の役目だったのかもしれない。；二人は怒って席を立ち、外へ出たのだが、誰も引き止める者はいなかった。；博物館の館長博士はこの命令に部分的に反対し、3つの箱を引き止めた。；そしてどんなに引き止められても何を約束されても決して戻ってはいけません。；彼女はぼくを引き止めるために川から出ようとした時、どこか怪我をした。；一度会話がこの方面に向かってくると、もう引き止める術がなかった。；彼は夕食に引き止められたがその席では多美の話は誰もしなかった。；すると彼女は私の手をつかんで引き止め、大切な話がある、と言うのです。；それ以上、私の相談に乗ってもらうために引き止めるのは、悪い気がした。；もうこれ以上引き止められることは無いと判断してのことだった。；アンナは夜食に残る気はなかったが、主人が彼女を引き止めにかかった。；廃業するつもりのところを、急に引き止められて基本練習だから嫌になる。；それだけで陳は己の心を引き止めるのに力を尽くさなければならなかった。；それから行われる二次会には参加しないで帰ろうとしたが引き止められた。；だが、令状があるわけじゃないから、無理に引き止めることもできない。；男の意志が強いことを、自分の言葉では彼を引き止められないことを知ったのだ。；もしも彼が眞魔国を離れたいと望んだら、引き止める手段がないからだ。；夫人から引き止められてゐる内は、それを振切つて行く勇気があつた。；夫人から引き止められている内は、それを振切って行く勇気があった。；事実彼は抗議もせず引き止めもしないことで彼女を見捨てたのだ。</t>
        </is>
      </c>
      <c r="J7042">
        <f>HYPERLINK("https://www.weblio.jp/content/引き止める", "词义详情")</f>
        <v/>
      </c>
      <c r="K7042">
        <f>HYPERLINK("https://yourei.jp/引き止める", "查看例句")</f>
        <v/>
      </c>
    </row>
    <row r="7043">
      <c r="A7043" t="inlineStr">
        <is>
          <t>引き取る</t>
        </is>
      </c>
      <c r="B7043" t="inlineStr">
        <is>
          <t>成功</t>
        </is>
      </c>
      <c r="C7043" t="inlineStr">
        <is>
          <t>読み方：ひきとる
［動ラ五（四）］
１その場を立ち去る。退く。「奥の間へ—・る」「どうぞお—・りください」
２
㋐手もとに受け取る。引き受けて手もとに置く。「売れ残りを—・る」
㋑引き受けて世話をする。「遺児を—・る」
３話のあとを受けて、言葉を続ける。「発言者の言葉を—・って司会者が説明を加える」
４（「息を引き取る」の形で）息が絶える。死ぬ。「病院で息を—・る」
５引っ張って奪い取る。
「君にかく—・られぬる帯なればかくて絶えぬる中とかこたむ」〈源・紅葉賀〉</t>
        </is>
      </c>
      <c r="D7043" t="inlineStr">
        <is>
          <t>受け入れる；下る；下がる；引き受ける；退く</t>
        </is>
      </c>
      <c r="H7043" t="n">
        <v>29</v>
      </c>
      <c r="I7043" t="inlineStr">
        <is>
          <t>私はその問いを引き取って、そのときどこに出かけていたかを説明した。；離婚に際して娘は夫に引き取られ、母が娘に会いに来ることはなかった。；葉子は誰にとも何にともなく息気を引き取る前に内田の来るのを祈った。；葉子はそうしたまま倉地の胸で息気を引き取ることができたらと思った。；卒業をすれば立派になって、東京へでも引き取るのが子の義務である。；そこで、ジョンは実家を売却してウィリスを自宅に引き取ることにした。；先日も、彼の遺体を引き取りにきたときは、わたしの家に寄っていった。；病状が悪化していた母親は初優勝を見とどけた3日後に息を引き取った。；遺体を引き取りに行くときに迎えに来てくれた刑事だと思い出した。；引き取ってくれる部屋がなければ、弟子たちは廃業しなければならない。；前日の夜までは普段通りに生活しており、早朝に息を引き取ったという。；あの子を自分の子供として正式に引き取ろうと思っていたのですから。；最初は家族や節子に反対されるも、良が許可したことでハナを引き取る。；なお、両親は彼が高校に入る前に離婚し、マッケイは父に引き取られた。；連中にして見れば江漢が本物と認定されない限り引き取る義務はない。；数日後、彼は死去し、遺体を引き取りに親戚たちが東部に行かせられた。；しかし、手術は失敗し、患者は救助が来る前に息を引き取ってしまった。；幼少の頃に両親が離婚、1年ほど母親と住んだ後に父親に引き取られる。；朝に妻が様子を見に行ったところ、布団の中ですでに息を引き取っていた。；遺体は長らく放置され、誰も引き取ろうとするものはいなかったという。；彼が眼を閉じたので、一瞬ぼくは彼が息を引き取ったのかと思った。；それから、店の者に、ドイツ軍へ電話をして引き取りに来てもらいます。；また、殺害や自決の中で子供だけ生き残って引き取られた場合もあった。；彼は、フッカーにリアと一緒に故郷に帰るように言うと息を引き取った。；その後両親は1970年代に離婚し彼女は母親ジョアンに引き取られた。；最初は致命傷には見えなかったが、翌日には傷が元で息を引き取った。；五八も寝室へ引き取り、茶の間にした六畳には貞代と有馬だけが残った。；わたしを引き取って一緒に暮らしたいといってくれたのは息子夫婦でした。；したがって、この教会は右岸の教区から死者を引き取って埋葬していた。</t>
        </is>
      </c>
      <c r="J7043">
        <f>HYPERLINK("https://www.weblio.jp/content/引き取る", "词义详情")</f>
        <v/>
      </c>
      <c r="K7043">
        <f>HYPERLINK("https://yourei.jp/引き取る", "查看例句")</f>
        <v/>
      </c>
    </row>
    <row r="7044">
      <c r="A7044" t="inlineStr">
        <is>
          <t>卑怯</t>
        </is>
      </c>
      <c r="B7044" t="inlineStr">
        <is>
          <t>成功</t>
        </is>
      </c>
      <c r="C7044" t="inlineStr">
        <is>
          <t>読み方：ひきょう
［名・形動］《本来は「比興」で「卑怯」は当て字か》勇気がなく、物事に正面から取り組もうとしないこと。正々堂々としていないこと。また、そのさま。「—にも真っ先に逃げ出す」「—なやり方」「—者」
[派生]ひきょうさ［名］</t>
        </is>
      </c>
      <c r="D7044" t="inlineStr">
        <is>
          <t>卑怯な手段(2%)；卑怯未練；卑怯者；卑怯な真似；卑怯な行為</t>
        </is>
      </c>
      <c r="F7044" t="inlineStr">
        <is>
          <t>どんな卑怯；こんな卑怯；卑怯卑劣；卑怯な振舞い；卑怯な戦法</t>
        </is>
      </c>
      <c r="G7044" t="inlineStr">
        <is>
          <t>卑怯千万；卑怯なコウモリ；卑怯者の勲章</t>
        </is>
      </c>
      <c r="H7044" t="n">
        <v>29</v>
      </c>
      <c r="I7044" t="inlineStr">
        <is>
          <t>誰がこんなに自分を生涯一度も覚えたことのない卑怯な気持にさすのか。；しかしいくら相手が敵でも闇打ちにするような卑怯な真似はしません。；自分が卑怯だからそうなのかと考えてもみたが、あながちそうでもない。；それは卑怯な気持ちからよりも寧ろ判断の誤りから来たものと思われる。；お前の病気に医者を呼ぶ必要が起きたら、そんな卑怯な真似を俺がするか。；あれは貴様のような卑怯者に殺させてはならない尽忠の勇士だったのだ。；もちろんこの涙が卑怯なものだったかも知れないことは否定しない。；しかし迂廻の必要があるからとて、進むことを中止するのは卑怯である。；ウィルス種であるが卑怯なことは嫌い、卑怯な奴は仲間と思っていない。；いざという場合になると人間は卑怯か卑怯でないかの二色に分けられる。；今となっては、手紙を読みやめるのが卑怯なような気がしたのである。；それが心から・胸の奥から・の卑怯でない限り、とがめるには及ぶまい。；そしてそんな事をするものがあれば卑怯とする気を皆持っている。；裏切った相手が卑怯になるだけで、わたしのなにが傷つくわけでもない。；俺には失敗したからって部下の罪にするような卑怯な事は出来ない。；不意打に武器を用うるは卑怯だといふものがあつて各手頃の棒を用意する。；私はすぐに返事を書きかけたが、そこまでは、卑怯にも、書けなかった。；ときどきほんとうのことをいわないマルトを卑怯だといって責めもした。；君、僕は君の心を卑怯だと誤解したために、このことをいわずに居たのだ。；しかし俺はそんな卑怯な真似は嫌いだから、大いにお説法をしてやった。；すると女の子は彼を卑怯者だと呼びたてて、恐がってるのだと言った。；卑怯にも陋劣にも、金の力であの清廉な父を苦しめようとするのかしら。；さすがにそこまで卑怯だとは思わないけど、用心に越したことはない。；それで卑怯のようではあるが、問答がそこへ流れ入る事を故意に防いだ。；その口程もなく、ここに在陣し続けて、その卑怯な事は前代未聞である。；二人の関係を知っている者が脇にいて卑怯と見られては、流石にこたえる。；土田夫人小包爆弾事件にみられるように彼らは家族を狙う卑怯な連中だ。；男女の関係に関して、仏教の方の人は、頗る卑怯のやうなところがある。；けれども疾に相手から小胆と見縊られている自分はついに卑怯であった。</t>
        </is>
      </c>
      <c r="J7044">
        <f>HYPERLINK("https://www.weblio.jp/content/卑怯", "词义详情")</f>
        <v/>
      </c>
      <c r="K7044">
        <f>HYPERLINK("https://yourei.jp/卑怯", "查看例句")</f>
        <v/>
      </c>
    </row>
    <row r="7045">
      <c r="A7045" t="inlineStr">
        <is>
          <t>引き分け</t>
        </is>
      </c>
      <c r="B7045" t="inlineStr">
        <is>
          <t>成功</t>
        </is>
      </c>
      <c r="C7045" t="inlineStr">
        <is>
          <t>読み方：ひきわけ
１勝負事で、決着がつかず、双方勝ち負けなしとして終えること。「試合を—に持ち込む」
２平安時代、陰暦8月の駒牽(こまひき)の際に、諸国から奉った馬を院・東宮などに分けて与えること。</t>
        </is>
      </c>
      <c r="D7045" t="inlineStr">
        <is>
          <t>引き分け再試合(2%)；引き分け以上；引き分け試合；引き分け狙い；引き分け扱い</t>
        </is>
      </c>
      <c r="E7045" t="inlineStr">
        <is>
          <t>分け；五分；同等；持；匹敵</t>
        </is>
      </c>
      <c r="F7045" t="inlineStr">
        <is>
          <t>無得点引き分け；日没引き分け；両者引き分け；連続引き分け；勝つか引き分け</t>
        </is>
      </c>
      <c r="G7045" t="inlineStr">
        <is>
          <t>引き分け以下；引き分けれ；引き分けよ</t>
        </is>
      </c>
      <c r="H7045" t="n">
        <v>29</v>
      </c>
      <c r="I7045" t="inlineStr">
        <is>
          <t>その直後に両機ともエネルギー切れになったことから引き分けとなった。；引き分けがある場合は前述した理由でより複雑な計算が必要になる。；そのため、現在よりもさらに引き分けのゲームが多かったといわれている。；ジョン・ナッシュは、このゲームに引き分けがないことを証明している。；なお、大会ルールにより9回裏の攻撃を行わず試合は引き分けとなった。；僅差の場合はたとえポイントで勝っていても引き分けという判定になる。；ただし両者がともに禁止されている攻撃を行っている場合は、引き分けとなる。；延長戦の規定は引き分けが無く、決着が付くまで行うこととされていた。；引き分けになったもののブーテが明確に負けていたとの批判が多い。；同予選で唯一となる時間切れ引き分けを棚橋との対戦で記録している。；対局終了となったときに双方の石の数が等しくなったときに引き分けとなる。；両者ともリングの外に出ていた場合は引き分けとすることもある。；リーグでの初得点はACミラン戦で1-1の引き分け試合となっている。；準決勝・決勝とも上位チームは勝利または引き分けでも勝利の権利を得られる。；引き分けを含め、ステージ勝者が確定した場合には残りの試合を開催しない。；悪魔で引き分けになった場合全てのキャラクターのハートが0になる。；また時間制限内や9回完了時に引き分けの場合はそのまま終了となる。；この戦いは戦術的には引き分けたが、戦争の行方には大きな影響を与えた。；そこから両藩のものが引き分れて、各預けられた人達を連れて帰った。；王以外の駒が相手の王を殺すと、引きわけになるのがルールである。；出目の合計が7以外の場合、他の目は引き分けとなり賭けは続行される。；何度もけりをつけようとしながら、いつも引きわけになっていたのである。；宣言された側が64手以内にクンを詰められなければ引き分けとなる。；もし次の回まで進んで両チーム点が入らなければ引分け再試合になるところだった。；なお、上位チームが勝利した場合、もしくは引き分けの場合は残留となる。；囲碁では対局が終了したときに双方の地の数が同じとなった場合に引き分けとなる。；負傷棄権で引き分けとなったので山下の連続不敗記録は止まらなかった。；苦戦だが引分けに持ちこめるだろう、とだれもが心の中できめていた。；決勝戦の場合は引き分けで両チーム優勝としているものもある。</t>
        </is>
      </c>
      <c r="J7045">
        <f>HYPERLINK("https://www.weblio.jp/content/引き分け", "词义详情")</f>
        <v/>
      </c>
      <c r="K7045">
        <f>HYPERLINK("https://yourei.jp/引き分け", "查看例句")</f>
        <v/>
      </c>
    </row>
    <row r="7046">
      <c r="A7046" t="inlineStr">
        <is>
          <t>轢く</t>
        </is>
      </c>
      <c r="B7046" t="inlineStr">
        <is>
          <t>成功</t>
        </is>
      </c>
      <c r="C7046" t="inlineStr">
        <is>
          <t>読み方：ひく
［動カ五（四）］
１物の端を持って手近の所に寄らせる。手前に引き寄せる。
㋐たぐり寄せる。「網を—・く」
㋑手前に動かす。「サイドブレーキを—・く」
㋒矢を射放つ。「弓を—・く」
㋓（根差したものを）抜き取る。「草を—・く」
㋔（勝運などを託して）一つを選んで手もとに取る。「くじを—・く」「花を—・く」
㋕除き去る。減ずる。「三から二を—・く」「一割—・いて安く売る」
㋖こっそり盗み去る。「猫に魚を—・かれた」
㋗（ふつう「弾く」と書く）弦楽器や鍵盤楽器を鳴らす。弾じる。「ピアノを—・く」
２引き寄せ操って目ざす所に伴う。
㋐（引き綱を取って）連れ出す。「犬を—・いて散歩する」
㋑連行する。引き立てる。「警察に—・かれる」
㋒（手を取って）導き行く。「子供の手を—・く」
㋓（長い物が）地面などに触れたまま従い動く。引きずる。「裾が—・いている」「たもとを—・く」
㋔後ろに連結して運ぶ。「犬ぞりを—・く」「荷車を—・く」
㋕誘い込む。「客を—・く」「—・く手あまた」
㋖（「惹く」とも書く）人の注意や関心を向けさせる。「同情を—・く」「気を—・くしぐさ」「目を—・く広告」
㋗書物を繰って求める語を探し出す。「辞書を—・いて調べる」「電話帳を—・く」
㋘例としてあげる。引き合いに出す。「証拠を—・く」「故事を—・く」
㋙肩をもつ。ひいきにする。「派閥で—・いて三役に据える」
３線状に伸ばし延べる。
㋐線で描く。また線を描く。「設計図を—・く」「罫(けい)を—・く」
㋑張り広げる。「カーテンを—・く」
㋒塗り延べる。「油を—・く」「唇に紅を—・く」
㋓延べ広げる。「砂利を—・く」「なだらかな山裾を—・く」
㋔長く伸ばす。「声を—・いて歌う」
㋕糸状のものを生じさせる。「納豆が糸を—・く」
㋖特定の道筋を通じさせる。「バス路線を—・く」「ガスを—・く」「田に水を—・く」
㋗受け継いで伝わり及ぶ。「血筋を—・く」「学統を—・く」
㋘あとに余波が続く。「航跡を—・く」「わだかまりが尾を—・く」
㋙贈り物をする。
「布施に馬を—・き給へりける」〈今鏡・七〉
４出ているものを近づけ寄せる。
㋐自分の側に動かす。「あごを—・く」「右手を先に—・く」
㋑吸いつけようとする働きをもつ。「磁石は鉄を—・く」
㋒体内に吸い込む。「風邪を—・く」「大きく息を—・く」
㋓取りのけて後方にかたづける。「膳を—・く」
㋔後方に退かせる。「敗れて兵を—・く」
㋕（湯をくんで）浴びる。
「御湯—・かせ奉る」〈平家・一〇〉
５（「退く」とも書く）出ているものが遠くへ去る。しりぞく。
㋐向こうへ離れる。「潮が—・く」
㋑元のような状態にもどる。「水が—・く」「熱が—・く」
㋒うせる。なくなる。「痛みが—・く」「血の気が—・く」
㋓縁を切る。関係を断つ。「事件から手を—・く」
㋔引退する。「現役を—・く」「舞台を—・く」
㋕（俗語）相手に関心や興味を持たなくなる。相手から気持ちが離れる。「これを口にすると女性が—・く」→どん引き
６強く押し当てたものでこする。
㋐（ふつう「挽く」と書く）のこぎりや鉋(かんな)で切ったり削ったりする。「のこを—・く」「ろくろで—・く」
㋑（ふつう「碾く」と書く）ひき臼(うす)を回して穀類をすり砕く。「豆を—・く」
㋒（ふつう「轢く」と書く）車輪が人や動物を押しつけて通る。「自動車に—・かれる」
[可能]ひける
［動カ下二］「ひける」の文語形。
[下接句] 後(あと)に引けない・後を引く・一髪千鈞(せんきん)を引く・糸を引く・尾を引く・陰で糸を引く・気を引く・心を引く・潮が引く・袖(そで)を引く・体(たい)を引く・血を引く・血の気(け)が引く・杖(つえ)を曳(ひ)く・手を引く・手薬煉(てぐすね)引く・鼠(ねずみ)が塩を引く・人目を引く・棒を引く・幕を引く・満を引く・身を退(ひ)く・三度(みたび)諫(いさ)めて身を退く・目を引く・湯を引く・弓を引く・我が田へ水を引く</t>
        </is>
      </c>
      <c r="H7046" t="n">
        <v>29</v>
      </c>
      <c r="I7046" t="inlineStr">
        <is>
          <t>電車で人を轢くくらいのことが、人生最大の目的だった男の言うことだ。；学校の生徒の轢かれそうになったのを助けようと思って轢かれたんです。；そう、轢かれたのはひとりであって、もうひとりは無事だったのである。；ぼくが轢かれるのを恐れて、彼女が立ちすくんだと思っていたのだろう。；でも反対側へ渡りきったということは多分轢かれはしなかったのだろう。；彼は1922年に自転車を漕いでいる最中にトラックに轢かれて死んだ。；第2話ではアルフレッドの誕生直後に家族全員が車に轢かれて死亡する。；わたしは自分が轢かれるのを、まるで映画の場面のように思いうかべる。；それは数月前に自動車に轢かれて惨死した山脇と云う書生の顔であった。；通りにいる人は、トラックに轢かれないよう十分注意しなければならない。；達也が子どもを轢いたなどと口にするから、幻でも見たのかも知れない。；おそらく歩道を歩いていて、暴走してきたトラックに轢かれたのだろう。；車輪が人の足を轢いたというのは、そういう世界で起こったのであった。；下車した乗客たちの間から、背の高い女性が轢かれたという声が上がる。；畳の上で死んでも一生は一生、汽車に轢かれて死んでも一生は一生だ。；ただ・・・・そうすると、おばあさんが轢かれてしまうような気が・・・。；しかも、車に轢かれて骨まで折られても、蛇はすぐには死なないからだ。；わたしは、一度、女の人が轢かれるところを見たのをおぼえています。；そのとき、不運にも道路に飛び出してきたエゾシカを轢いたことがある。；最終的に両足を轢き潰してしまったトラックの運転手を憎むべきなのか。；人や犬、それに猫とわかるようなものを轢くほど根性が座っていない。；車の下に居たらしい猫が二匹飛び出して、あやうく轢きそうになった。；昨日の昼に山田は旅先の仙台で車に轢かれて死んだという知らせだった。；おばあさんが轢かれてしまうのは、なんとしても避けなくちゃ・・・。；チェットは車に轢かれるのではないかと心配し、今でも出場に反対していた。；何か故障があったのではないか、人でも轢いたんではないかしら?；そして、円の両親を轢いたのは別の人物なのではないかと考える。；猫を轢いてから、まだ一台もほかの車を見かけていないのだから。；すっかりぺちゃんこになった毛皮が、車に轢かれるたびに位置を変える。</t>
        </is>
      </c>
      <c r="J7046">
        <f>HYPERLINK("https://www.weblio.jp/content/轢く", "词义详情")</f>
        <v/>
      </c>
      <c r="K7046">
        <f>HYPERLINK("https://yourei.jp/轢く", "查看例句")</f>
        <v/>
      </c>
    </row>
    <row r="7047">
      <c r="A7047" t="inlineStr">
        <is>
          <t>弾く</t>
        </is>
      </c>
      <c r="B7047" t="inlineStr">
        <is>
          <t>成功</t>
        </is>
      </c>
      <c r="C7047" t="inlineStr">
        <is>
          <t>読み方：ひく
［動カ五（四）］
１物の端を持って手近の所に寄らせる。手前に引き寄せる。
㋐たぐり寄せる。「網を—・く」
㋑手前に動かす。「サイドブレーキを—・く」
㋒矢を射放つ。「弓を—・く」
㋓（根差したものを）抜き取る。「草を—・く」
㋔（勝運などを託して）一つを選んで手もとに取る。「くじを—・く」「花を—・く」
㋕除き去る。減ずる。「三から二を—・く」「一割—・いて安く売る」
㋖こっそり盗み去る。「猫に魚を—・かれた」
㋗（ふつう「弾く」と書く）弦楽器や鍵盤楽器を鳴らす。弾じる。「ピアノを—・く」
２引き寄せ操って目ざす所に伴う。
㋐（引き綱を取って）連れ出す。「犬を—・いて散歩する」
㋑連行する。引き立てる。「警察に—・かれる」
㋒（手を取って）導き行く。「子供の手を—・く」
㋓（長い物が）地面などに触れたまま従い動く。引きずる。「裾が—・いている」「たもとを—・く」
㋔後ろに連結して運ぶ。「犬ぞりを—・く」「荷車を—・く」
㋕誘い込む。「客を—・く」「—・く手あまた」
㋖（「惹く」とも書く）人の注意や関心を向けさせる。「同情を—・く」「気を—・くしぐさ」「目を—・く広告」
㋗書物を繰って求める語を探し出す。「辞書を—・いて調べる」「電話帳を—・く」
㋘例としてあげる。引き合いに出す。「証拠を—・く」「故事を—・く」
㋙肩をもつ。ひいきにする。「派閥で—・いて三役に据える」
３線状に伸ばし延べる。
㋐線で描く。また線を描く。「設計図を—・く」「罫(けい)を—・く」
㋑張り広げる。「カーテンを—・く」
㋒塗り延べる。「油を—・く」「唇に紅を—・く」
㋓延べ広げる。「砂利を—・く」「なだらかな山裾を—・く」
㋔長く伸ばす。「声を—・いて歌う」
㋕糸状のものを生じさせる。「納豆が糸を—・く」
㋖特定の道筋を通じさせる。「バス路線を—・く」「ガスを—・く」「田に水を—・く」
㋗受け継いで伝わり及ぶ。「血筋を—・く」「学統を—・く」
㋘あとに余波が続く。「航跡を—・く」「わだかまりが尾を—・く」
㋙贈り物をする。
「布施に馬を—・き給へりける」〈今鏡・七〉
４出ているものを近づけ寄せる。
㋐自分の側に動かす。「あごを—・く」「右手を先に—・く」
㋑吸いつけようとする働きをもつ。「磁石は鉄を—・く」
㋒体内に吸い込む。「風邪を—・く」「大きく息を—・く」
㋓取りのけて後方にかたづける。「膳を—・く」
㋔後方に退かせる。「敗れて兵を—・く」
㋕（湯をくんで）浴びる。
「御湯—・かせ奉る」〈平家・一〇〉
５（「退く」とも書く）出ているものが遠くへ去る。しりぞく。
㋐向こうへ離れる。「潮が—・く」
㋑元のような状態にもどる。「水が—・く」「熱が—・く」
㋒うせる。なくなる。「痛みが—・く」「血の気が—・く」
㋓縁を切る。関係を断つ。「事件から手を—・く」
㋔引退する。「現役を—・く」「舞台を—・く」
㋕（俗語）相手に関心や興味を持たなくなる。相手から気持ちが離れる。「これを口にすると女性が—・く」→どん引き
６強く押し当てたものでこする。
㋐（ふつう「挽く」と書く）のこぎりや鉋(かんな)で切ったり削ったりする。「のこを—・く」「ろくろで—・く」
㋑（ふつう「碾く」と書く）ひき臼(うす)を回して穀類をすり砕く。「豆を—・く」
㋒（ふつう「轢く」と書く）車輪が人や動物を押しつけて通る。「自動車に—・かれる」
[可能]ひける
［動カ下二］「ひける」の文語形。
[下接句] 後(あと)に引けない・後を引く・一髪千鈞(せんきん)を引く・糸を引く・尾を引く・陰で糸を引く・気を引く・心を引く・潮が引く・袖(そで)を引く・体(たい)を引く・血を引く・血の気(け)が引く・杖(つえ)を曳(ひ)く・手を引く・手薬煉(てぐすね)引く・鼠(ねずみ)が塩を引く・人目を引く・棒を引く・幕を引く・満を引く・身を退(ひ)く・三度(みたび)諫(いさ)めて身を退く・目を引く・湯を引く・弓を引く・我が田へ水を引く</t>
        </is>
      </c>
      <c r="D7047" t="inlineStr">
        <is>
          <t>弾く演奏方法；弾くこと自体</t>
        </is>
      </c>
      <c r="E7047" t="inlineStr">
        <is>
          <t>出演；演奏；務める；プレー；公演</t>
        </is>
      </c>
      <c r="F7047" t="inlineStr">
        <is>
          <t>同時に弾く；強く弾く</t>
        </is>
      </c>
      <c r="H7047" t="n">
        <v>29</v>
      </c>
      <c r="I7047" t="inlineStr">
        <is>
          <t>女の眉が苦痛と屈辱に歪んだのを見た瞬間、おれの中でなにかが弾けた。；こんどは主に近代や現代の短い仏蘭西の作品が次つぎに弾かれていった。；だが結局のところ、船長は徹底的に弾くことができる楽器ではないのだ。；また、バンドをやるようになってからはギターも独学で弾くようになる。；その際に、お父さんはウクレレを弾いている真似をしながら歌っていた。；ドアが勢いよく開かれ、乗っていた女が弾かれるようにして出て来た。；弾かれたように、犬たちは押し開けてきたドアから外へ飛び出していった。；母の、あの冷たい手が置かれた気がして、弾かれるように首をひねった。；弾かれるように二八階までやってきた彼は、そこで目撃してしまったのだ。；しかしレコードなら演奏家の姿がわからないから二人して弾く事も出来ます。；その後は水の中につけたかのようにごぼごぼと声が弾けて聞こえなかった。；最もその三味線を弾く時、母親の歌った声は、まだ娘の耳に残っている。；小室は自分が弾いたピアノの中でこのピアノが一番好きと言っている。；両者はコース外に弾かれる格好となったが、互いにコースに復帰した。；ただ、あまりにも簡単に弾いた為、二人から逆に反感を買ってしまった。；それで僕はホテルやカフェのジャズ・バンドでピアノを弾いていたんだ。；また、家の周りを散歩したり、ピアノを弾いたりするのが日課であった。；学生時代はビオラを弾いていたが、後に演技に興味を持つようになった。；清水町の師匠がまだ春太夫さんを弾いて居られた時のことかと思います。；一匹の動物の背のように盛り上っていた鳩の群が、弾かれたように散る。；街道脇の林や放棄された馬車の陰から弾かれたように飛びだす猛獣たち。；だがソロ活動や近年のステージではギターを弾きながら歌うこともある。；同事務所で友人の前山田健一のアレンジ作品でギターを弾くことが多い。；由希に弾かせるというのは、あなたが言ったようなこととは関係ないわ。；聴いた音楽を自らアレンジしてピアノで弾くことを幼少時よりしていた。；ノックもせず乱暴に扉を開けると、船の主は弾かれたように顔を上げた。；軽音楽部に入っていたこともあり、ベースを弾くことを特技としている。；涼之助は呆然としたが、次の瞬間には弾かれたように立ちあがっていた。；ライブでギター弾く傾向があり、途中からライブでよく登場している。</t>
        </is>
      </c>
      <c r="J7047">
        <f>HYPERLINK("https://www.weblio.jp/content/弾く", "词义详情")</f>
        <v/>
      </c>
      <c r="K7047">
        <f>HYPERLINK("https://yourei.jp/弾く", "查看例句")</f>
        <v/>
      </c>
    </row>
    <row r="7048">
      <c r="A7048" t="inlineStr">
        <is>
          <t>引く</t>
        </is>
      </c>
      <c r="B7048" t="inlineStr">
        <is>
          <t>成功</t>
        </is>
      </c>
      <c r="C7048" t="inlineStr">
        <is>
          <t>読み方：ひく
［動カ五（四）］
１物の端を持って手近の所に寄らせる。手前に引き寄せる。
㋐たぐり寄せる。「網を—・く」
㋑手前に動かす。「サイドブレーキを—・く」
㋒矢を射放つ。「弓を—・く」
㋓（根差したものを）抜き取る。「草を—・く」
㋔（勝運などを託して）一つを選んで手もとに取る。「くじを—・く」「花を—・く」
㋕除き去る。減ずる。「三から二を—・く」「一割—・いて安く売る」
㋖こっそり盗み去る。「猫に魚を—・かれた」
㋗（ふつう「弾く」と書く）弦楽器や鍵盤楽器を鳴らす。弾じる。「ピアノを—・く」
２引き寄せ操って目ざす所に伴う。
㋐（引き綱を取って）連れ出す。「犬を—・いて散歩する」
㋑連行する。引き立てる。「警察に—・かれる」
㋒（手を取って）導き行く。「子供の手を—・く」
㋓（長い物が）地面などに触れたまま従い動く。引きずる。「裾が—・いている」「たもとを—・く」
㋔後ろに連結して運ぶ。「犬ぞりを—・く」「荷車を—・く」
㋕誘い込む。「客を—・く」「—・く手あまた」
㋖（「惹く」とも書く）人の注意や関心を向けさせる。「同情を—・く」「気を—・くしぐさ」「目を—・く広告」
㋗書物を繰って求める語を探し出す。「辞書を—・いて調べる」「電話帳を—・く」
㋘例としてあげる。引き合いに出す。「証拠を—・く」「故事を—・く」
㋙肩をもつ。ひいきにする。「派閥で—・いて三役に据える」
３線状に伸ばし延べる。
㋐線で描く。また線を描く。「設計図を—・く」「罫(けい)を—・く」
㋑張り広げる。「カーテンを—・く」
㋒塗り延べる。「油を—・く」「唇に紅を—・く」
㋓延べ広げる。「砂利を—・く」「なだらかな山裾を—・く」
㋔長く伸ばす。「声を—・いて歌う」
㋕糸状のものを生じさせる。「納豆が糸を—・く」
㋖特定の道筋を通じさせる。「バス路線を—・く」「ガスを—・く」「田に水を—・く」
㋗受け継いで伝わり及ぶ。「血筋を—・く」「学統を—・く」
㋘あとに余波が続く。「航跡を—・く」「わだかまりが尾を—・く」
㋙贈り物をする。
「布施に馬を—・き給へりける」〈今鏡・七〉
４出ているものを近づけ寄せる。
㋐自分の側に動かす。「あごを—・く」「右手を先に—・く」
㋑吸いつけようとする働きをもつ。「磁石は鉄を—・く」
㋒体内に吸い込む。「風邪を—・く」「大きく息を—・く」
㋓取りのけて後方にかたづける。「膳を—・く」
㋔後方に退かせる。「敗れて兵を—・く」
㋕（湯をくんで）浴びる。
「御湯—・かせ奉る」〈平家・一〇〉
５（「退く」とも書く）出ているものが遠くへ去る。しりぞく。
㋐向こうへ離れる。「潮が—・く」
㋑元のような状態にもどる。「水が—・く」「熱が—・く」
㋒うせる。なくなる。「痛みが—・く」「血の気が—・く」
㋓縁を切る。関係を断つ。「事件から手を—・く」
㋔引退する。「現役を—・く」「舞台を—・く」
㋕（俗語）相手に関心や興味を持たなくなる。相手から気持ちが離れる。「これを口にすると女性が—・く」→どん引き
６強く押し当てたものでこする。
㋐（ふつう「挽く」と書く）のこぎりや鉋(かんな)で切ったり削ったりする。「のこを—・く」「ろくろで—・く」
㋑（ふつう「碾く」と書く）ひき臼(うす)を回して穀類をすり砕く。「豆を—・く」
㋒（ふつう「轢く」と書く）車輪が人や動物を押しつけて通る。「自動車に—・かれる」
[可能]ひける
［動カ下二］「ひける」の文語形。
[下接句] 後(あと)に引けない・後を引く・一髪千鈞(せんきん)を引く・糸を引く・尾を引く・陰で糸を引く・気を引く・心を引く・潮が引く・袖(そで)を引く・体(たい)を引く・血を引く・血の気(け)が引く・杖(つえ)を曳(ひ)く・手を引く・手薬煉(てぐすね)引く・鼠(ねずみ)が塩を引く・人目を引く・棒を引く・幕を引く・満を引く・身を退(ひ)く・三度(みたび)諫(いさ)めて身を退く・目を引く・湯を引く・弓を引く・我が田へ水を引く</t>
        </is>
      </c>
      <c r="D7048" t="inlineStr">
        <is>
          <t>引くわけ；引くべき；引くべく；引く如く</t>
        </is>
      </c>
      <c r="E7048" t="inlineStr">
        <is>
          <t>務める；プレー；参照；描く；書く</t>
        </is>
      </c>
      <c r="G7048" t="inlineStr">
        <is>
          <t>引く手；引く手数多</t>
        </is>
      </c>
      <c r="H7048" t="n">
        <v>29</v>
      </c>
      <c r="I7048" t="inlineStr">
        <is>
          <t>一般的には、様々な意味で人間自身が最も人間の関心を引くようである。；また最近では人気キャラクターを用いて子供の興味を引くものが多い。；現代の若者達は、意識の奥でみんなババを引いてしまったと感じている。；プレイヤーは、自分の番のときに山札からカードを一枚引いて公開する。；そして不要となるとハスモン朝の血を引く人々をすべて殺害していった。；また、ここまで重単座戦闘機の砲装備が一門とされているのも目を引く。；後の著書において、排斥事件は自らが裏で糸を引いていたと述べている。；低い土地は水害が多いことが特徴で、何ヶ月も水が引かないこともある。；暗殺者達は自らの劣勢が明らかになってなお引こうとはしなかったのだ。；四大グループ化以前やマンセルの機関車は黄色と黒の線が引かれていた。；あの男は最初から目立つ場所にいて、わたしの注意を引こうとしました。；少しでも低温の影響を緩和するために水田に引く水の管理が重要になる。；森林の低木の枝先などに糸を引いてぶら下がっているのがよく見られる。；ただし、取消線が引かれているサイトは既に運営・公開が終了している。；そわそわと体のあちこちを動かして、こちらの注意を引こうとしている。；それは相手の剣に自分の剣が糸で引かれているようなかんじだろうか。；せんだん以外に籤を全く引こうとしない者がいることにふと気がついた。；男たちが引き金を引こうとした瞬間、彼らの武器は、部品に戻っていた。；エンジン停止には車両中央部の停止用スイッチを引く必要がある。；燃料を確保できなくなったレスリーは仕方なく自動車を馬が引いて出発した。；どちらも、新世界の農業の発展を制限する鋤を引くほど強くはなかった。；当初アメリカ本国では注目を引かず、むしろヨーロッパで成功を収めた。；必要な路線を取られてしまうと遠回りの路線を引かねばならなくなる。；潮が引いた湿地上で活動するが、夜行性が強く昼間はあまり出てこない。；奇数段目の中央の数字からその2つ隣の数を引くと、カタラン数になる。；しかしこうした稀有な事例は世の関心を引くため記録としては残っている。；時計の中に隠れて降りてきた彼女を驚かせて彼女の気を引こうというのだ。；桜花は身を引こうとすることもなく、俺にされるがままに立っていた。；およそ電気ほど、人間の注意を強く引こうとしたものが他にあっただろうか。</t>
        </is>
      </c>
      <c r="J7048">
        <f>HYPERLINK("https://www.weblio.jp/content/引く", "词义详情")</f>
        <v/>
      </c>
      <c r="K7048">
        <f>HYPERLINK("https://yourei.jp/引く", "查看例句")</f>
        <v/>
      </c>
    </row>
    <row r="7049">
      <c r="A7049" t="inlineStr">
        <is>
          <t>低い</t>
        </is>
      </c>
      <c r="B7049" t="inlineStr">
        <is>
          <t>成功</t>
        </is>
      </c>
      <c r="C7049" t="inlineStr">
        <is>
          <t>読み方：ひくい
［形］［文］ひく・し［ク］
１
㋐物が地面などから空間的に近い位置にある。「鳥が—・く飛ぶ」「雲が—・く垂れ込める」「天井の—・い部屋」⇔高い。
㋑垂直方向への伸びぐあいが小さい。基準となる面からの出っ張りが小さい。「背が—・い」「鼻が—・い」「—・いかかと」「—・い姿勢」⇔高い。
２音量が少ない。また、音声の振動数が少ない。音域が下である。「スピーカーの音を—・くする」「男性の—・い声」⇔高い。
３
㋐物事の程度が、他よりも下である。また、水準以下である。「—・い地位に甘んじる」「不当に—・く評価される」「政治に対する関心が—・い」「人間の程度が—・い」⇔高い。
㋑現実的で、理想を求めるなどの意欲に欠ける。また、俗っぽい。「志が—・い」「望みが—・い」「話の次元が—・い」⇔高い。
４
㋐数値・数量が小さい。また、比率・割合が小さい。「水温が—・い」「犯罪年齢が—・くなる」「回答率が—・い」⇔高い。
㋑金額が小さい。また、全体の金額に対する支払うべき費用などの割合が小さい。「賃金が—・い」「コストを—・くおさえる」⇔高い。
[派生]ひくさ［名］</t>
        </is>
      </c>
      <c r="D7049" t="inlineStr">
        <is>
          <t>低い声(11%)；低いため(3%)；低い位置；低いところ；低い音</t>
        </is>
      </c>
      <c r="E7049" t="inlineStr">
        <is>
          <t>小さい；短い；不足；薄い；太い</t>
        </is>
      </c>
      <c r="F7049" t="inlineStr">
        <is>
          <t>最も低い；非常に低い；極めて低い；比較的低い；かなり低い</t>
        </is>
      </c>
      <c r="H7049" t="n">
        <v>29</v>
      </c>
      <c r="I7049" t="inlineStr">
        <is>
          <t>年齢が高い人よりも低い人の方が、症状が重い人は多いと言われている。；洞窟の中は外よりも気温が低く、生物環境なども周囲とは大きく異なる。；州成立のための住民投票で投票率が低かったことは多くの要因があった。；この電圧が次第に低くなっていく各段階のことを電圧階級と呼んでいる。；逆に針が左に傾いていると低く、右に傾いていると高い事を示している。；また発売された作品もゲーム性の低いマルチメディア作品が大半である。；中学の時、音楽の成績は低かったが、先生と友人の影響で成績が上がる。；新開発の近接信管を搭載して、低高度目標との交戦能力を強化している。；当初問屋の評価は低かったが、子供の支持を受け大ヒット商品となった。；一般的にゲーム用の回線では速度よりも低遅延性や安定性が重要となる。；ただし低確率でアイテム出現の代わりに爆発を起こすアイテムがある。；それらはどれ一つとってみても、彼女の低からざる身分を物語っていた。；現在では低品位炭が南極横断山脈の様々な場所にある事が知られている。；特に日本では金型の製造コストが比較的低かったこともあって例が多い。；これは性的な寛容さや女性の地位の低さなどによると考えられている。；改造後は冷房装置のみとなり、装置の関係で天井がいくぶん低くなった。；これらの報告を受けた北海道は財政負担の低いほうを選ぶとバス転換を主張。；様々なリズムパターンに対応する事も電子式では低コストで可能である。；草丈が高いものと低いものがあり、一般には低いのものが多く用いられる。；例えば一般に英日翻訳に比べて日英翻訳の能力は低い段階にあった。；初期に改造された4編成は種別表示器が他車よりも低い位置にあった。；特に低車高化については力を入れ、実寸大模型を製作し研究が行われた。；これを低血量性ショックと呼び、もっとも多く見られるショックである。；野球を好んでしている描写はあるが、基本的に運動能力は極めて低い。；逆に最も低くなる冬から春にかけての時期にはほとんど発生しない。；結露を防ぐためには室内の気圧を低く維持することが必要になります。；当初は南側の標高が低かったため川は南へと流れ志布志湾に注いでいた。；「さうすれば私もその気で居るから」 かくて彼等の声は又低うなりぬ。；周囲の温度が2度程度低いことからこれは高気圧性の嵐と考えられる。</t>
        </is>
      </c>
      <c r="J7049">
        <f>HYPERLINK("https://www.weblio.jp/content/低い", "词义详情")</f>
        <v/>
      </c>
      <c r="K7049">
        <f>HYPERLINK("https://yourei.jp/低い", "查看例句")</f>
        <v/>
      </c>
    </row>
    <row r="7050">
      <c r="A7050" t="inlineStr">
        <is>
          <t>びくとも</t>
        </is>
      </c>
      <c r="B7050" t="inlineStr">
        <is>
          <t>成功</t>
        </is>
      </c>
      <c r="C7050" t="inlineStr">
        <is>
          <t>［副］(スル)わずかに動いたり揺れたりするさま。多く、あとに打消しの語を伴って用いる。「押しても引いても—しない」「何を言われても—しない」</t>
        </is>
      </c>
      <c r="D7050" t="inlineStr">
        <is>
          <t>びくとも動か(9%)；びくとも動きませ；びくとも動きそう；びくとも動く</t>
        </is>
      </c>
      <c r="E7050" t="inlineStr">
        <is>
          <t>動かず；ビクとも；ピクリとも；動じず；止まったまま</t>
        </is>
      </c>
      <c r="H7050" t="n">
        <v>29</v>
      </c>
      <c r="I7050" t="inlineStr">
        <is>
          <t>何者が自分をおびやかそうとびくともしないだけの位置を占めることだ。；彼もトイレに行きたいと手伝ってくれたが、ドアはびくともしないのだ。；かれの位置は難攻不落であり、びくともしないことを知っていたからだ。；こいつは威したぐらいではびくともしないだろう、あの眼つきが証拠だ。；鬼のような奴どもに叱り付けられても、二人ながらびくともしなかった。；急角度に傾いた斜面の上を、おれたちはびくともせずに通過していった。；実際に回して、押したり引いたりしてみても、ドアはびくとも動かない。；八人総がかりでなくてはびくともしないほど飾りが重いこともあった。；それに牛の奴が、今度は道の中に四足で立ったなり、びくとも動かない。；一度や二度の剣製ではびくともしなくなったのは、喜ぶべきことではない。；ドアを押したり引いたりたたいたりしたが、頑丈な扉はびくともしない。；クワンゴは、びくともしない菌糸をこれ以上相手にするのはやめにした。；かなり急な流れにもびくともせず、川の真ん中へ進んで上流の方を向いた。；その鬼のような表情にも、行者は、それがどうしたと、びくともしない。；しかも外側から補強されているらしく、麻巳子の力ではびくともしない。；尋ねてきたのが金蔵と分かり安心するが、1人びくともしない者がいた。；どんな抗議を受けても、怒りを投げつけられても、びくともしなかった。；そうじゃねえか、これなら店子が千人変ってもびくともしないからな。；世界中の天才がよってたかってやっても、びくともしないんですから。；アーチはびくともせず、頂上に立つ三五郎はその瞬間偉大な英雄だった。；こづかれても、びくともしなかったし、つねられても声をあげなかった。；頑丈な出来なので、水中にどんな危険がひそんでいてもびくともしない。；取っ手は上下に動かすようになっていたが、触れてみてもびくともしない。；扉の把手をつかんで力一杯揺すろうとしたが、扉はびくともしなかった。；二重に入っているからか、叩かれても窓のガラスはびくともしない。；外に出てみようと正面玄関のドアを押してみたが、押しても引いてもびくともしない。；力のかぎり蓋を押しあげようとしましたけれど、びくとも動きませんでした。；もう、どんな嵐が来ても、びくともしないような堅牢なものになった。；一升酒でびくともしなかった壮介が、五合の酒も堪え切れずに横になった。</t>
        </is>
      </c>
      <c r="J7050">
        <f>HYPERLINK("https://www.weblio.jp/content/びくとも", "词义详情")</f>
        <v/>
      </c>
      <c r="K7050">
        <f>HYPERLINK("https://yourei.jp/びくとも", "查看例句")</f>
        <v/>
      </c>
    </row>
    <row r="7051">
      <c r="A7051" t="inlineStr">
        <is>
          <t>びくびく</t>
        </is>
      </c>
      <c r="B7051" t="inlineStr">
        <is>
          <t>成功</t>
        </is>
      </c>
      <c r="C7051" t="inlineStr">
        <is>
          <t>［副］(スル)
１絶えず恐れや不安を感じて落ち着かないでいるさま。「いつも—（と）している」
２身体の一部が細かく震え動くさま。「手が—（と）震える」</t>
        </is>
      </c>
      <c r="D7051" t="inlineStr">
        <is>
          <t>びくびく動い；びくびくふるえ；びくびくうごき</t>
        </is>
      </c>
      <c r="E7051" t="inlineStr">
        <is>
          <t>怯え；ハッ；脅え；ハッと；ビックリ</t>
        </is>
      </c>
      <c r="F7051" t="inlineStr">
        <is>
          <t>いつもびくびく；そんなにびくびく；絶えずびくびく；もうびくびく；ひどくびくびく</t>
        </is>
      </c>
      <c r="H7051" t="n">
        <v>29</v>
      </c>
      <c r="I7051" t="inlineStr">
        <is>
          <t>戦があることを知っていて、自分も殺されはすまいかとびくびくしていた。；私はやがては姉が嗅ぎだしてしまうのではないかと、びくびくしていた。；そう考えながら、私をとり囲んでいる鉄の壁をびくびくして見まわした。；百姓の荷馬車に乗って平地をびくびく旅してから、舟で島へ行きました。；病気になって芝居へ行けなくなりはすまいかとびくびくしていた。；やつらが近づくと、ぼくは、拍車をかけられた馬のようにびくびくした。；町の入口を通る機会を、野へ踏み出す機会を、びくびくして避けていた。；まったくもってその人は必要もないのにびくびくし、絶望しているのです。；私は彼が人から悪く言われやすまいかといつもびくびくしてるんです。；びくびくとして、はたから見れば自分は小動物のようだったと思います。；たとえば、いったいどうしてあなたはそんなにびくびくしているんです?；私は禁められはしまいかとびくびくしてゐたがそれは反対だつた。；まわりの人たちから自分の悩みが気づかれはすまいかとびくびくしていた。；それでも、Lを見ると私がびくびくしているのを見て微笑を浮かべていた。；ファブリツィオ猊下の前ではびくびくした気持ちにならないのですから。；ハーマイオニーは、二人の後をびくびくした顔で小走りについていった。；神経の発作が起きたみたいに、そのしわだらけの顔がびくびくしている。；藍ちゃんも移動してから、びくびくしつつも私を振り返ろうとはしない。；あたしそうでなくとも今度の芝居についてはびくびくものなんですわ。；そういう自覚が彼なりにあって、だからあんなにびくびくしていたのだ。；いっしょにいってほしいと、いわれやしないかと、びくびくしちゃった。；ところで、おれが証人席についたとき、お前はびくびくものだったろう。；ぼくはふたりの結婚のことを考えるたびに、びくびくしていたんだ。；死体を見つけたらどうしようと思って、まだびくびくしていたのだ。；私は二人がどう云い合いをするかびくびくしながら成行きをみていた。；心の底でやましさを感じている若い侯爵夫人は彼の前ではびくびくしていた。；予算のことで何か言われるのかとびくびくしていたのだが、そうではなかったらしい。；そう考えながら、私をとりかこんでいる鉄の壁をびくびくして見まわした。；やがて家へ近寄りますと、叱られはすまいかとびくびくしていました。</t>
        </is>
      </c>
      <c r="J7051">
        <f>HYPERLINK("https://www.weblio.jp/content/びくびく", "词义详情")</f>
        <v/>
      </c>
      <c r="K7051">
        <f>HYPERLINK("https://yourei.jp/びくびく", "查看例句")</f>
        <v/>
      </c>
    </row>
    <row r="7052">
      <c r="A7052" t="inlineStr">
        <is>
          <t>髭</t>
        </is>
      </c>
      <c r="B7052" t="inlineStr">
        <is>
          <t>成功</t>
        </is>
      </c>
      <c r="C7052" t="inlineStr">
        <is>
          <t>読み方：ひげ
１人、特に男性の口の上やあご・ほおのあたりに生える毛。
２動物の口のまわりに生える長い毛状の突起物。また、昆虫の口器にみられる二対の細い突起物。
３1や2を思わせる形状のもの。「巻き—」「—根」
[補説] 「髭」は口ひげ、「鬚」はあごひげ、「髯」はほおひげをいう。
[下接語]青髯・赤鬚・顎(あご)鬚・植え髭・上(うわ)髭・カイゼル髭・書き髭・鎌(かま)髭・鯨鬚・口髭・黒髭・コールマン髭・小髭・下鬚・蛇(じゃ)の髭・鍾馗(しょうき)髯・白髪(しらが)髭・チャップリン髭・ちょび髭・作り髭・付け髭・天神髭・泥鰌(どじょう)髭・虎(とら)鬚・鯰(なまず)髭・八字髭・無精髭・頰(ほお)髯・巻き鬚・山羊鬚・奴(やっこ)髭・竜の髭</t>
        </is>
      </c>
      <c r="D7052" t="inlineStr">
        <is>
          <t>髭剃り(2%)；髭をはやし；髭だらけ；髭男；髭づら</t>
        </is>
      </c>
      <c r="E7052" t="inlineStr">
        <is>
          <t>ひげ；鬚；口髭；顎鬚；顎ひげ</t>
        </is>
      </c>
      <c r="F7052" t="inlineStr">
        <is>
          <t>白い髭；長い髭；鼻髭；あご髭；八字髭</t>
        </is>
      </c>
      <c r="G7052" t="inlineStr">
        <is>
          <t>髭黒；髭切；髭男爵；髭茶屋追分；髭白</t>
        </is>
      </c>
      <c r="H7052" t="n">
        <v>29</v>
      </c>
      <c r="I7052" t="inlineStr">
        <is>
          <t>公爵の顎髭と黒い髪に囲まれた顔は注意深く研究された光で輝いている。；いつだったかいっしょに芝居へ行こうと思ったら、髭も剃っていないの。；その髭を剃るか伸ばすかは個人の選択やその人が住む地域の文化による。；一人はお高で一人は色の白いでっぷり肥った童顔の髭のある男であった。；背が高く、細身で彼の髪と髭は彼がかなり年をとるまでずっと黒かった。；朝になりグウォーダンが起きて東側の窓を見ると髭の長い人間たちがいた。；旧東ドイツでは女子のステート・アマ選手の顔に髭が生えた事例がある。；首を絞めるような襟のついた服の着用や髭剃り、首振り動作などがある。；トレードマークの髭はアメリカ合衆国に留学した頃から伸ばし始めた。；これは、外見を変えるの目的で彼の顎髭姿の写真がなかったことを意味した。；顎や腹の部分の毛皮は体の他の部分より長く、オスは特に顎髭が長い。；髭づらの老人でしたが、服を着たままで、港外の方へ泳いでいくんです。；御用理髪師に髭の方向を整えさせていたのが大流行したものであるという。；すると博士は非常に喜んで、顔中の髭を動かし、満面に笑みを浮かべた。；時には、緑や白など様々な色へ変色する巨大な髭をもつ老人でもある。；全身は長い体毛で被われるが、一部が伸長し髭状や鬣状になる種が多い。；一方で両髭は長く伸びており、スプーンも両手に2本を持つようになった。；そのため髭のあるターバンをつけたインド人男性はシク教徒だとわかる。；見ると髭が何本か、心配のある触手みたいにコーヒーの表面を漂っている。；次いで現れたのが、現生に近い、歯を失い鯨髭を持つグループである。；己が今髭を剃っていた鏡台の前に細君の額の出た黄ろな顔があった。；剃刀とは皮膚の表面の髪や体毛、髭を除去するための刃物のことである。；あとの二人は背の高い男と、ローブのようなものを来た髭の壮年男性である。；まあ大抵日本の先生方も蒙古人と同じに鼻の下に髭を伸ばして居る。；「髭だけ妙に薄いようでしょう」 僕の見たものは錯覚ではなかった。；わしはそこで、妙な空咳をして、無暗と髭をこすって見せたものじゃよ。；先だって髭と髪を焼いて覚悟を示しておいたため、武帝も出家を許した。；「水を飲んでやしませんか」 髭を生やした会社員風の男が声をかけた。；進化前よりさらに大きく伸びた髭がマントのように体を被っている。</t>
        </is>
      </c>
      <c r="J7052">
        <f>HYPERLINK("https://www.weblio.jp/content/髭", "词义详情")</f>
        <v/>
      </c>
      <c r="K7052">
        <f>HYPERLINK("https://yourei.jp/髭", "查看例句")</f>
        <v/>
      </c>
    </row>
    <row r="7053">
      <c r="A7053" t="inlineStr">
        <is>
          <t>悲劇</t>
        </is>
      </c>
      <c r="B7053" t="inlineStr">
        <is>
          <t>成功</t>
        </is>
      </c>
      <c r="C7053" t="inlineStr">
        <is>
          <t>読み方：ひげき
１主人公が運命や社会の圧力、人間関係などによって困難な状況や立場に追い込まれ、不幸な結末に至る劇。トラジェディー。⇔喜劇。
２人生や社会の痛ましい出来事。「貧困がもたらした—」⇔喜劇。</t>
        </is>
      </c>
      <c r="D7053" t="inlineStr">
        <is>
          <t>悲劇的(14%)；悲劇性；悲劇詩人；悲劇作家；悲劇役者</t>
        </is>
      </c>
      <c r="E7053" t="inlineStr">
        <is>
          <t>不幸；難；災害；異変；災難</t>
        </is>
      </c>
      <c r="F7053" t="inlineStr">
        <is>
          <t>大きな悲劇；恐ろしい悲劇；新派悲劇；性格悲劇；古典悲劇</t>
        </is>
      </c>
      <c r="G7053" t="inlineStr">
        <is>
          <t>悲劇のヒロイン；悲劇の誕生；悲劇喜劇；悲劇的序曲；悲劇の一週間</t>
        </is>
      </c>
      <c r="H7053" t="n">
        <v>29</v>
      </c>
      <c r="I7053" t="inlineStr">
        <is>
          <t>一方で最も悲劇的な状況に置かれ、深い悲しみを表現することもできる。；ウェブスターの悲劇作品は人間の恐ろしいまでの像を読者に示している。；そして恋人と欧州へ旅立つのだが、これが悲劇の始まりとなってしまう。；序奏部のあとは、暗く悲劇的な第1主題が弦で提示され提示部が始まる。；父ヴァズルの悲劇的な死の後、兄弟たちは国を離れざるを得なかった。；戦争の悲劇と犠牲を内面的に描き、難解で密度の高い作品となっている。；このような実存の悲劇を克服するのがキリストだとティリッヒは述べる。；これは第二次世界大戦においてアメリカの一家に起きた最大の悲劇であった。；この悲劇的な事件は現在でも定期的に芝居の題材に取り上げられる。；ローラット法が適用されて展開された悲劇がアムリトサルの虐殺である。；ショスタコーヴィチの全作品のなかで最も悲劇的であるといわれることもある。；ただし何をもって悲劇とするか、喜劇とするかの明確な基準はない。；悲劇的なことに最終的に伐採が止められるまでに何千本もの木が切り倒された。；住民は基地の支持派と反対派に分かれ、悲劇の民と一部で呼ばれた。；この事故ではスイスのある村の住民が多く巻き込まれたことが大きな悲劇とされた。；花魁淵の名は、戦国時代に起きたと伝えられる悲劇に由来するとされている。；破壊を避けるために先祖代々の墓も退避せざるをえない悲劇であった。；最後に悲劇で終わるの最中の出来事を見せているのである。；オリジナル以上に悲劇的な結末などリメイク版独自の展開が追加されている。；普通は上記の二者とソフォクレスを合わせて三大悲劇作家という。；悲劇的なことに、これらの建物の多くは1824年大火で破壊された。；この悲劇的な事故は、アルプのその後の生涯に決定的な影響を与えた。；常に敵より多い機数が災いし、味方同士の衝突という悲劇も多かった。；そんな悲劇的な状況の中、自分たちが出来る事、なすべき事を描く。；奴隷人間に改造された人間の悲劇を描いたハードなドラマもたびたび描かれた。；エリーザベトの晩年最大の悲劇は、息子ルドルフ皇太子の自殺であった。；作品の質のみならず、その悲劇的な最期も人気に一役買っていると言われる。；悲劇が発生した場所の1つであるアトーチャ駅付近の丘に位置する。；たとえば一般に、主人公の死など哀しい物語が展開される作品は悲劇とされる。</t>
        </is>
      </c>
      <c r="J7053">
        <f>HYPERLINK("https://www.weblio.jp/content/悲劇", "词义详情")</f>
        <v/>
      </c>
      <c r="K7053">
        <f>HYPERLINK("https://yourei.jp/悲劇", "查看例句")</f>
        <v/>
      </c>
    </row>
    <row r="7054">
      <c r="A7054" t="inlineStr">
        <is>
          <t>否決</t>
        </is>
      </c>
      <c r="B7054" t="inlineStr">
        <is>
          <t>成功</t>
        </is>
      </c>
      <c r="C7054" t="inlineStr">
        <is>
          <t>読み方：ひけつ
［名］(スル)提出議案の不賛成または不承認を議決すること。「予算案を—する」⇔可決。</t>
        </is>
      </c>
      <c r="D7054" t="inlineStr">
        <is>
          <t>否決される(6%)；否決されれ；否決され廃案</t>
        </is>
      </c>
      <c r="E7054" t="inlineStr">
        <is>
          <t>否定；否；排除；拒絶；断り</t>
        </is>
      </c>
      <c r="F7054" t="inlineStr">
        <is>
          <t>結果否決；反対多数により否決；賛成少数により否決；否決される事態</t>
        </is>
      </c>
      <c r="H7054" t="n">
        <v>29</v>
      </c>
      <c r="I7054" t="inlineStr">
        <is>
          <t>第六十九条はあえて重要案件の否決をもって不信任とされる必要はない。；独立派の議員はフェロー諸島の独立を宣言しようとしたが、否決された。；スペインの植民地を対象に導入されようとした試みは英国の反対で否決された。；州の歴史上、副知事設置の提案が何度か提起されては否決されてきた。；大統領は議会が大統領の提示した法案を否決した際に議会を解散する権限もある。；この結果、人事案は教養学部発足以来初めての教授会での否決となった。；新潟大会で星加案は否決され、敗北した民同右派は新生民同を結成した。；権力のある地主らが大勢を占めていた貴族院はこの予算案を否決した。；いずれも野党時代のものであり審議未了ないし本会議否決となっている。；同年11月、すべての奴隷を解放する決議案を提案したが否決された。；だが買収案は市参事会・市会双方で否決され、買収は失敗に終わった。；安保理から勧告された候補者が総会で否決されたことは過去に一度もない。；請願書は政府に送付され、宮内大臣との協議を経たが閣議で否決された。；ただしこの人事案は欧州議会におって否決され、再考を余儀なくされた。；しかし9月6日の全員大会で否決されたため、争議は長期化することになる。；不信任決議案は同日、与党や日本維新の会などの反対多数で否決された。；しかし国会は国債発行の提案を否決したため、建設は再び中止されてしまった。；再度否決されることを恐れて、新たな通過の試みが遅れた。；しかし、追加予算案にあった軍艦建造費・製鋼所設立費は否決された。；自治体化法案が否決されたために選挙の結果は論争点となった。；条例案は提出されたものの自民・共産の反対多数で否決されている。；この法案は、国防総省から否定的な評価を受け、委員会で否決された。；このためサン=ジュストが提出した法案のいくつかは否決されている。；一途に思ひ決した幼い子供がこんな目附をすることがあるのを太平は思ひだした。；サンチェスは歴代の首相指名投票において否決された初の人物である。；それで否決されたらおしまいだから、そうならないように必死で努力するんだけれど。；ウェストジョーダンでも同じような住民投票があったが、否決された。；大会では反対派代議員が修正案を提案したが、前年よりも少数で否決された。；感情的になった集会参加者は、即時破棄を要求してこの提案を否決した。</t>
        </is>
      </c>
      <c r="J7054">
        <f>HYPERLINK("https://www.weblio.jp/content/否決", "词义详情")</f>
        <v/>
      </c>
      <c r="K7054">
        <f>HYPERLINK("https://yourei.jp/否決", "查看例句")</f>
        <v/>
      </c>
    </row>
    <row r="7055">
      <c r="A7055" t="inlineStr">
        <is>
          <t>引け目</t>
        </is>
      </c>
      <c r="B7055" t="inlineStr">
        <is>
          <t>成功</t>
        </is>
      </c>
      <c r="C7055" t="inlineStr">
        <is>
          <t>読み方：ひけめ
［名・形動］
１自分が他人より劣っていると感じること。劣等感。気おくれ。「—を感じる」
２自分で意識している弱み・欠点。「こちらにも—がある」
３目立たないように、自分の言動などをおさえること。また、そのさま。ひかえ目。
「小遣銭でも貰えれば結構だと至極—な望みを起していた」〈荷風・おかめ笹〉
４穀類・液体などを他の容器に移すとき、量目が減ること。また、その量目。</t>
        </is>
      </c>
      <c r="D7055" t="inlineStr">
        <is>
          <t>引け目感じ</t>
        </is>
      </c>
      <c r="E7055" t="inlineStr">
        <is>
          <t>コンプレックス；ひけ目；劣等感；コンプレクス；引けめ</t>
        </is>
      </c>
      <c r="H7055" t="n">
        <v>29</v>
      </c>
      <c r="I7055" t="inlineStr">
        <is>
          <t>なっても、それが引け目だから小さくなって居なくてはならないんです。；その一方私は、自分の一段低い身分から来る引け目を感じずにいられた。；夫は、自分の年齢や身分に引け目を感じ、物質でそれを埋めようとした。；嫁入先で可音が負い目引け目になりはせぬかと、ただそれのみを恐れた。；そして少年時代の僕はそのことでずっと引け目のようなものを感じていた。；彼女がひけ目を感じていることはこう云う所作だけにも明らかだった。；そうだとするとおれがあんな大学生とでも引け目なしにぱりぱり談した。；三歳年上の妻に、年齢のひけ目など一度も感じさせたことはなかった。；今日はキクとの約束がないので、番頭に見られてもひけ目を感じなかった。；すると夫のほうだって心の中ではヒケ目を感じるものである。；しかし、これは外国のものと比べてヒケ目を感じるほどお粗末なものだった。；お互い引け目はあるんだ、全部を水に流せば、それで誰も死なずに済む。；然し私の方にもそんな誤認を受ける若干のひけ目がなくもなかつた。；ロッテの胸のなかにいる人物で、ぼくが引け目をおぼえるような男はいない。；男に媚を売っているひけ目は、客が立派な男であればそんなに感じないものだった。；だったら少しくらい働いて、引け目なく食事をほどこされてもいいじゃないか。；何らかの引け目があるのか、とある少年以外にその事実を知っている者はいない。；おせいは自分の器量の悪さに引け目を感じていたのかも知れない。；三十以上も年のちがうことについての心のひけ目もそれを助けた。；彼女も今の状況には引け目を感じているのだろう。；種はこう云われることで自分のひけ目さを一そう強く感じる。；五十人の精兵たちも、そのすぐれた訓練にもかかわらず、ひけ目を感じる。；その日から儀間親雲上は仲間たちに引け目を感じて生きることになった。；彼には、卑しい身分の出の母親をもったことへの引け目がある。；夢もビジョンもなく父から逃げるため入学した勇吾は彼らに引け目を感じてしまう。；それを耳にするたびに夫人は引け目な思いをする。；美しく陳列してある点でもそう引け目はとらないつもりです。；これは何か高田のほうに引け目があるとしか思えなかった。；半獣や土匪相手ならば、己の不足を引け目に思う必要はないからな。</t>
        </is>
      </c>
      <c r="J7055">
        <f>HYPERLINK("https://www.weblio.jp/content/引け目", "词义详情")</f>
        <v/>
      </c>
      <c r="K7055">
        <f>HYPERLINK("https://yourei.jp/引け目", "查看例句")</f>
        <v/>
      </c>
    </row>
    <row r="7056">
      <c r="A7056" t="inlineStr">
        <is>
          <t>非行</t>
        </is>
      </c>
      <c r="B7056" t="inlineStr">
        <is>
          <t>成功</t>
        </is>
      </c>
      <c r="C7056" t="inlineStr">
        <is>
          <t>読み方：ひこう
１道義にはずれた行為。不正行為。「—をあばく」
２青少年の、社会の決まりなどにそむく行為。法律違反およびその潜在的可能性をもつ行動。「—に走る」</t>
        </is>
      </c>
      <c r="D7056" t="inlineStr">
        <is>
          <t>非行化(3%)；非行防止(3%)；非行グループ；非行問題；非行歴</t>
        </is>
      </c>
      <c r="E7056" t="inlineStr">
        <is>
          <t>非；罪；悪事；不義；悪行</t>
        </is>
      </c>
      <c r="F7056" t="inlineStr">
        <is>
          <t>再非行；型非行；ふさわしくない非行；適しない非行；性非行</t>
        </is>
      </c>
      <c r="G7056" t="inlineStr">
        <is>
          <t>非行事実；非行少女；非行少年たち；非行五ヶ条</t>
        </is>
      </c>
      <c r="H7056" t="n">
        <v>29</v>
      </c>
      <c r="I7056" t="inlineStr">
        <is>
          <t>特に少年の非行・犯罪などの取材活動を中心に行っており、講演活動も。；先妻の子の非行に泣かされ、働きずめに働いた女の生涯が終わったのだ。；ご子息の場合は、どうも攻撃型非行が屈折して現われているようですね。；自分の子供が非行に走っていると知った時のような表情である。；汝等がかかる非行を演ずるは、畢竟神の何者たるかを知らぬからである。；娘の前で自分の非行を暴露されたことに、さかうらみをおぼえていた。；だから日本の学生には、灰色の勉強か、非行暴力しか残されていないのだ。；登校拒否も非行も家庭内暴力も、根はほとんどそこにつながっています。；しかも、少年達は、非行に走る理由がないのに走っている者が多い。；兄の非行を幇けているので、妹に譴められはせぬかと懼れたのである。；大事なことだからきちんと教えとかないと子供が非行を犯すかも知れないだろう。；少しでも非行に走ったら、母と同じ人生を歩むことになるだろうと思っていた。；それは、少年の非行行為が一般の犯罪とは異なっていることを明確にするためである。；万一、娘が非行に走ったとして、それを父親たる自分は気付くだろうか?；社会が豊かになると ところで、青少年を非行から防ぐものはなんであろうか?；子孫に再び非行があったとみられる記事があり、馬廻り格の格式に降格。；非行と家出のショックはすっかりなくなっていたと思っていたのに。；昔、昔、ずっと昔に或る忠義な武士があって主君の非行を諫言し奉った。；非行グループや非行の傾向のある生徒たちの溜り場と見られている。；よく分かんないけど、家出しただけじゃ「非行」とは言われないらしい。；しかも彼等は自分の非行に気づいていないものが多い。；ささいな非行歴のために、初めは監視されているような毎日だった。；少年時代は非行に走るが更生し、ロードアイランド州の高校に入学した。；この学校は、貧しい子供たちを非行や犯罪に走らせない役割を果たしている。；世代の断絶が埋まり、社会的な連帯感もでき、非行も少しはへるだろう。；アッラーはこのような者たちの非行すらも善行と数えてくださるからである。；こうして真実度の高い日記報告を入手できるから、黒奴の非行はすべて判明する。；この人にはいろいろの非行もあつたので、子貢は特にこういう質問を発したのであろう。；そこには、犯罪や打算や非行のかげりが、まったく無いといってよい。</t>
        </is>
      </c>
      <c r="J7056">
        <f>HYPERLINK("https://www.weblio.jp/content/非行", "词义详情")</f>
        <v/>
      </c>
      <c r="K7056">
        <f>HYPERLINK("https://yourei.jp/非行", "查看例句")</f>
        <v/>
      </c>
    </row>
    <row r="7057">
      <c r="A7057" t="inlineStr">
        <is>
          <t>飛行</t>
        </is>
      </c>
      <c r="B7057" t="inlineStr">
        <is>
          <t>成功</t>
        </is>
      </c>
      <c r="C7057" t="inlineStr">
        <is>
          <t>読み方：ひぎょう
［名］(スル)仏語。六神通(じんずう)の一つである神足通(じんそくつう)。空中を自由自在にかけめぐること。</t>
        </is>
      </c>
      <c r="D7057" t="inlineStr">
        <is>
          <t>飛行する(7%)；飛行中(6%)；飛行隊(4%)；飛行試験(2%)；飛行能力</t>
        </is>
      </c>
      <c r="E7057" t="inlineStr">
        <is>
          <t>かける；航空；飛ぶ；飛翔；飛ばす</t>
        </is>
      </c>
      <c r="F7057" t="inlineStr">
        <is>
          <t>試験飛行；水平飛行；テスト飛行；飛行島；飛行速度</t>
        </is>
      </c>
      <c r="G7057" t="inlineStr">
        <is>
          <t>飛行場；飛行船；飛行艇；飛行隊；飛行甲板</t>
        </is>
      </c>
      <c r="H7057" t="n">
        <v>29</v>
      </c>
      <c r="I7057" t="inlineStr">
        <is>
          <t>また航空気象も航空機の飛行に大きな影響を与えることが分かっている。；自機のレーダーがないため単独では周辺の他機の飛行が全くわからない。；この機は陸軍航空総監部で、技術的な分析ののち飛行テストがなされた。；そのほか、地球以外の惑星でも類似の動力による飛行が検討されている。；航空機は離陸したのち、ある一定の高度に達してから水平飛行を始める。；のちに彼らはカナダ陸軍向けにデモンストレーション飛行を行っている。；練習飛行を始めるには航空身体検査のみで操縦練習許可証が発行される。；そのため飛行には最短でも24時間前から準備をしなければならなかった。；海面近くと上空の風速の差を利用し、風からエネルギーを得て飛行する。；水平飛行用のエンジンとは別に、垂直離着陸専用のエンジンを持つもの。；ある日の夜、二つの布包みを咥えた一羽のコウノトリが飛行していた。；推進ユニットは制御されず弾道軌道上を飛行して目標よりも低い地点に落ちる。；宇宙飛行士を安全・確実に飛行させるために、必要な改良が施されている。；大気圏外に到達する時にはエンジンは停止して慣性で放物線状に飛行した。；飛行方向の制御から武器選択と発射まではスティック部でおこなえる。；この作品の特徴として、人型ではなく飛行形態が基本であることがあげられる。；A321の空力特性に合わせて飛行制御システムも小修正が加えられた。；所定の高度で飛行する航空機が、どれだけ遠くのレーダーを攻撃できるか。；他のエヴァンゲリオンにはない翼が装備されており、自律飛行が可能。；一方、帽子の上から装着しても問題無く飛行していることもある。；最初の写真偵察機型の試作機は1941年6月10日に初飛行を行った。；空港内のみならず、空港周辺を飛行する航空機の様子もうかがうことができる。；外観は飛行訓練中の高い空気力学的荷重に耐えられるように改造されていた。；新型機のテスト飛行ではFDRに記録されたデータが利用される。；また、撃墜に至らなくても飛行装置が破壊されるだけで無力化される。；そして最終的に飛行試験によりソフトウェアやシステム全体の検証が行われた。；現在は実際に飛行はしていないが定期整備はされている。；該当機は飛行が停止され現在ロッキード・マーティンと協力して修理方法を開発中である。；基本的に空を飛行することが主目的の乗り物だからである。</t>
        </is>
      </c>
      <c r="J7057">
        <f>HYPERLINK("https://www.weblio.jp/content/飛行", "词义详情")</f>
        <v/>
      </c>
      <c r="K7057">
        <f>HYPERLINK("https://yourei.jp/飛行", "查看例句")</f>
        <v/>
      </c>
    </row>
    <row r="7058">
      <c r="A7058" t="inlineStr">
        <is>
          <t>飛行機</t>
        </is>
      </c>
      <c r="B7058" t="inlineStr">
        <is>
          <t>成功</t>
        </is>
      </c>
      <c r="C7058" t="inlineStr">
        <is>
          <t>読み方：ひこうき
推進用のジェットエンジンやプロペラを備え、前進に伴う空気流を固定翼によって揚力に変え、空中を飛行する航空機。動力飛行の初成功は1903年にライト兄弟によって成し遂げられた。</t>
        </is>
      </c>
      <c r="D7058" t="inlineStr">
        <is>
          <t>飛行機乗り；飛行機工場；飛行機操縦；飛行機隊；飛行機用</t>
        </is>
      </c>
      <c r="E7058" t="inlineStr">
        <is>
          <t>機；航空機；燕；エアクラフト；銀翼</t>
        </is>
      </c>
      <c r="F7058" t="inlineStr">
        <is>
          <t>敵飛行機；小さな飛行機；離着陸する飛行機；飛行機生産；飛行機製造</t>
        </is>
      </c>
      <c r="G7058" t="inlineStr">
        <is>
          <t>飛行機雲；飛行機嫌い；飛行機恐怖症；飛行機の墓場；飛行機マニア</t>
        </is>
      </c>
      <c r="H7058" t="n">
        <v>29</v>
      </c>
      <c r="I7058" t="inlineStr">
        <is>
          <t>また同じように飛行機の故障だといって逃げて帰ってくるに違いない!；博物館には歴史的な飛行機や自動車、機械、装置などが展示されている。；このツアーでは移動にワゴン車は使用されず、飛行機での移動となった。；当時のホンダ車に共通する飛行機風の計器類のデザインは印象的である。；飛行機の研究の初期には、より多くの主翼を重ねる研究もなされていた。；第二次世界大戦に関し、飛行機がもたらした破壊を残念に思うと述べた。；資金不足から、彼は2機の飛行機から部品を寄せ集めて飛行機を作った。；またこの定義から、この語は、飛行機の翼以外にも多様なものを指しうる。；十分な回転数が得られたら通常の飛行機のように滑走して離陸させる。；宮崎駿が空飛ぶ映像が好きなことから本作には数多くの飛行機が登場する。；観測隊員はオーストラリアで下船し、飛行機で一足先に日本へ帰還する。；したがって、地上より飛行機や高い山からみる空のほうが濃い空色になる。；父は飛行機のエンジン設計のエンジニアで、満州飛行機に勤務していた。；これは機械人形のパイロットたちが飛行機乗りから転身した名残である。；広大なブラジル国内では飛行機移動が一般的なことを知らなかったからという。；王子はその場に残り、「ぼく」は飛行機の修理をするために戻っていった。；日本国内では日本飛行機/Pilatus B4金属機が普及している。；搭乗員からは「オモチャみたいな飛行機で訓練するのか」と不満が出た。；乗客は建物から徒歩で飛行機に向かい、タラップを使って乗降していた。；この場合タンクや飛行機などをどう扱うかなどは地域によって異なる。；これは世界の最新鋭飛行機でもなかなか達成できないものである。；アルはもちろん、飛行機は彼らが降りていることも知らずに飛び去っていった。；それすらも搭乗員の技量によったのであり、飛行機の数によったのではない。；日本国内に発着しない飛行機も、管制空域内では日本の管制下におかれる。；動いている飛行機の翼は、翼の上の空気圧を下の空気圧に比べて減少させる。；JR東日本が競合する飛行機との比較広告を出稿する初の事例であった。；物品税は購入価格あるいは州で登録された飛行機の市場価値で課税される。；これまで飛行機を利用したことのなかった新規需要層の取り込みも期待される。；しかし飛行機に乗り慣れていなかった犯人グループの一部が遅刻したために計画を変更。</t>
        </is>
      </c>
      <c r="J7058">
        <f>HYPERLINK("https://www.weblio.jp/content/飛行機", "词义详情")</f>
        <v/>
      </c>
      <c r="K7058">
        <f>HYPERLINK("https://yourei.jp/飛行機", "查看例句")</f>
        <v/>
      </c>
    </row>
    <row r="7059">
      <c r="A7059" t="inlineStr">
        <is>
          <t>日頃</t>
        </is>
      </c>
      <c r="B7059" t="inlineStr">
        <is>
          <t>成功</t>
        </is>
      </c>
      <c r="C7059" t="inlineStr">
        <is>
          <t>読み方：ひごろ
（副詞的にも用いる）
１ふだん。平生(へいぜい)。つねひごろ。「—の心がけ」「—感じていること」
２ある程度の日数。数日。
「—経て宮にかへり給うけり」〈伊勢・八三〉
３このごろ。近ごろ。数日来。
「やうやう—になりて」〈かげろふ・上〉</t>
        </is>
      </c>
      <c r="D7059" t="inlineStr">
        <is>
          <t>日頃仲；日頃懇意；日頃親しく；日頃お世話；日頃信心</t>
        </is>
      </c>
      <c r="E7059" t="inlineStr">
        <is>
          <t>現在；今；今日；現代；最近</t>
        </is>
      </c>
      <c r="F7059" t="inlineStr">
        <is>
          <t>つね日頃；日頃見慣れ；日頃冷静；日頃愛読する；日頃見馴れ</t>
        </is>
      </c>
      <c r="G7059" t="inlineStr">
        <is>
          <t>日頃市線；日頃市中学校</t>
        </is>
      </c>
      <c r="H7059" t="n">
        <v>29</v>
      </c>
      <c r="I7059" t="inlineStr">
        <is>
          <t>またわたしは、日頃非常に尊敬している或る婦人からこんな話も聞いた。；日頃言いにくい感謝の言葉もこの曲を歌って伝えてもらえると思います!；こんな日頃の感じが今の場合のヒントを与えて呉れたのかも知れません。；老紳士 さういふわけで、日頃、いゝ尺八には目をつけてゐるんだがね。；日頃の行状を北井家に調べ上げられたことは棚に上げてゐたのである。；宗十郎は日頃楽屋にいる時からその役になりきることを信条としていた。；その日頃の困憊した気持が顔に出ていることは、自分でもよくわかっていた。；抜目のないルパンは、この大先輩の考案を日頃研究していたに相違ない。；北海商科大学は日頃の研究成果を発表する為に以下の冊子を発行している。；日頃より整備の行き届いた日本の線路と比較すると、相当状態は悪い。；この湯屋には八百万の神様達が日頃の疲れを癒しに全国各地から訪れる。；そして、日頃の事情から推して、当然庄太郎に一種の疑いを抱いていた。；幹部でもなんでもなかつた、しかし日頃から見知り越しの一人だつた。；少しばかり日頃の一家言といったようなものをお話させていただきます。；日頃よく阪神甲子園球場に足を運んでタイガースの試合を観戦している。；そのため、日頃から耳に問題がないかどうか確認する必要がある。；最後に助けてくれたのは、日頃付き合いの悪い階上のおばさんであった。；日頃無能だと言われている自治委員も案外なところでその役割を発揮した。；病苦ばかりではなく、日頃の疲れが一時に出たといふふうにながめられた。；なお、都会の人々は日頃から肉が手に入る為、特別なものではないとされる。；日頃彼を悪く言う者たちも、絵のできばえには舌を巻くばかりだった。；この日頃の不真面目さが原因で、叔父からは次第に信用されなくなっていった。；日頃から物に騒がない本間さんが、流石に愕然としたのはこの時である。；一橋大学商学部は日頃の研究成果を発表する為に以下の冊子を刊行している。；協会では日頃から確定拠出年金についての調査やセミナーを行っている。；大尉は日頃から思っていることを、口の中でいってみました。；英機を一流の軍人として育て常日頃から軍人の心構えを説いて聞かせた。；そのため日頃から生活の糧となる土地をめぐって争いが頻発していた。；魚になつて日頃私を辱しめ虐げてゐる人たちを笑つてやらうと考へました。</t>
        </is>
      </c>
      <c r="J7059">
        <f>HYPERLINK("https://www.weblio.jp/content/日頃", "词义详情")</f>
        <v/>
      </c>
      <c r="K7059">
        <f>HYPERLINK("https://yourei.jp/日頃", "查看例句")</f>
        <v/>
      </c>
    </row>
    <row r="7060">
      <c r="A7060" t="inlineStr">
        <is>
          <t>膝</t>
        </is>
      </c>
      <c r="B7060" t="inlineStr">
        <is>
          <t>成功</t>
        </is>
      </c>
      <c r="C7060" t="inlineStr">
        <is>
          <t>読み方：しつ
［常用漢字］　［音］シツ（漢）　［訓］ひざ
ひざ。「膝下・膝行」</t>
        </is>
      </c>
      <c r="D7060" t="inlineStr">
        <is>
          <t>膝をつい(6%)；膝丈；膝まずい；膝もと；膝節</t>
        </is>
      </c>
      <c r="E7060" t="inlineStr">
        <is>
          <t>ニー；膝小僧；膝車；膝関節；膝坊主</t>
        </is>
      </c>
      <c r="F7060" t="inlineStr">
        <is>
          <t>右膝；がっくりと膝；膝蓋腱；膝窩動脈；膝っ小僧</t>
        </is>
      </c>
      <c r="G7060" t="inlineStr">
        <is>
          <t>膝元；膝下；膝蹴り；膝小僧；膝立ち</t>
        </is>
      </c>
      <c r="H7060" t="n">
        <v>29</v>
      </c>
      <c r="I7060" t="inlineStr">
        <is>
          <t>特に肘や膝を用いた攻撃は流血を伴いやすく禁止されていることもある。；庵野の父親は若い頃の事故で左足の膝から下を失っており義足であった。；頃より膝の故障に悩まされ、以後はほぼ指名打者での起用が中心となる。；三船は両手で刀を握って八双の構えをとり、膝だけで馬を制御している。；第13ステージ途中でイノーが膝を悪くして棄権してしまったのである。；しかし、引退のきっかけとなった膝のケガをこの大会で負ってしまった。；椅子に座るモデルの膝から上の部分が、画面の中心に大きく描かれている。；その長さも地面に達するものから膝丈程度の長いものが主であった。；ブラジル留学時に膝を損傷して帰国、2008年には手術をしている。；着ぐるみの前足には杖が入れられ、後足が膝をつかないようにしている。；父がやっているのを面白がって膝の中で見ていたことからだという。；しかし、膝の怪我が悪化し幕内では1場所も勝ち越す事は出来なかった。；しかしその頃から、既に膝の状態は限界に達していたようである。；理由は速く強く掛けると掛けられた方は膝を負傷することが多いためである。；自分の上手で相手の足の膝の内側を掬い上げ、体を捻って相手を倒す技。；アンデスのミイラの特徴は膝を折り腹部に付けた姿勢を取ることである。；膝を五体板に打ちつけて行うこの行は懺悔の心を最も体で表している。；膝の上に載せる小型のタイプはラップ・スティール・ギターと呼ばれる。；しかし、父は選手としてプレーを続けたが後に膝の故障が基で現役を引退した。；しかし同年腰、膝を故障して以降試合出場数は減少していった。；治療以降は膝の脱臼も水がたまることもなく稽古ができているという。；一方、現役時代は膝の故障を常に抱えたままレースに出場していた。；このシーンで、膝に乗っていた頼子が窓から急に飛び出してしまう。；ブランドは膝の手術を受けたことで身体的に軍隊から拒否される理由はなくなったのである。；しかし、膝の悪化に直面して、18マイル地点を過ぎた直後に棄権した。；小橋が膝の手術で長期欠場に入ると三沢光晴率いるWAVEに加入した。；以降は膝の故障を抱えながら幕下中位から上位での相撲が長く続いた。；これは2009年10月9日の練習中に膝をひねった事が原因とのこと。；終盤の10月4日に膝痛で登録抹消されるとそのままシーズンを終えた。</t>
        </is>
      </c>
      <c r="J7060">
        <f>HYPERLINK("https://www.weblio.jp/content/膝", "词义详情")</f>
        <v/>
      </c>
      <c r="K7060">
        <f>HYPERLINK("https://yourei.jp/膝", "查看例句")</f>
        <v/>
      </c>
    </row>
    <row r="7061">
      <c r="A7061" t="inlineStr">
        <is>
          <t>日差し</t>
        </is>
      </c>
      <c r="B7061" t="inlineStr">
        <is>
          <t>成功</t>
        </is>
      </c>
      <c r="C7061" t="inlineStr">
        <is>
          <t>読み方：ひざし
日の光がさすこと。また、その日の光。「—が強い」「—を浴びる」</t>
        </is>
      </c>
      <c r="D7061" t="inlineStr">
        <is>
          <t>日差しが強く；日差しが強い；日差しが眩しい；日差しがまぶしい；日差し対策</t>
        </is>
      </c>
      <c r="E7061" t="inlineStr">
        <is>
          <t>日光；陽光；太陽の光；陽射し；太陽光</t>
        </is>
      </c>
      <c r="F7061" t="inlineStr">
        <is>
          <t>明るい日差し；強烈な日差し；暖かい日差し；暑い日差し；眩しい日差し</t>
        </is>
      </c>
      <c r="H7061" t="n">
        <v>29</v>
      </c>
      <c r="I7061" t="inlineStr">
        <is>
          <t>窓から日差しも入らず電気がついていない廊下は、先がぼんやりと暗い。；基本的に手をあげないで強い日差しの下にいなければ格好いい人なのだ。；午後に近い日差しがガラス戸から部屋の半分ほどまでのぞき込んでいた。；温かい日差しが体を包み、私はふと東京観光をしてみようと思いました。；一緒に敵の騎兵大隊までもが日差しを浴びて広がっているではないか!!；窓から入り込む春の午後の明るい日差しのせいで、はっきりと見えない。；ところがあまりの日差しに疲れきってしまい、二人はへとへとになった。；彼らは夏の照りつける日差しの下で風に向かってこう叫び続けていた。；さっきから日差しが強すぎると思いながら障子を見ていたように思う。；風の匂いが芳しく変わり、血の色の日差しすら穏やかな黄色へと転じた。；西からの日差しが差し込む教室に一人残った肩は、どこか寂しげだった。；雨や日差しを避けるための簡単な屋根が、数本の鉄柱で支えられている。；雪もよいの空ではあるが、日差しに張りのある初春の或る朝であった。；強い日差しに焼かれて、そのうちに皮膚から煙が出るんじゃないかと思う。；街道は午後の日差しを浴びながら森の中をまっすぐに進んでいる。；神秘的な緑色の石は、秋の日差しを浴びながら燦然と輝きを放っていた。；まだ春になったばかりだというのに、夏のような強い日差しだった。；窓から差し込む日差しの中で、少女はこれからの運命のことを考えていた。；窓が北東を向いているので、日差しは朝の少しの時間しか入らない。；夕方の日差しの加減で、表情に影を落として見せていたのかも知れない。；シーツの上に載せられた腕へ日差しが当たることもなくなっていた。；初夏の日差しも気に掛けぬ黒スーツ姿は、白い髪を風になびかせたまま。；綿飴のような雲が数個浮いているだけで、日差しは朝から眩しくて強い。；数日間風の冷たい日が続いていたが、今日は風も無く日差しも暖かだった。；かんかんと音が聞こえそうなほど強い日差しが車道に降りそそいでいた。；日差しはとても低いところにあり、通りはほとんどが影につつまれている。；強い日差しのせいで、自分の行動がひどく不道徳なことに感じられた。；スペインでは日差しを回避するために、以下に述べるような独自の習慣がある。；それは靜に差した明るい秋の日差の中に涙の熱くなるやうな努力に見えた。</t>
        </is>
      </c>
      <c r="J7061">
        <f>HYPERLINK("https://www.weblio.jp/content/日差し", "词义详情")</f>
        <v/>
      </c>
      <c r="K7061">
        <f>HYPERLINK("https://yourei.jp/日差し", "查看例句")</f>
        <v/>
      </c>
    </row>
    <row r="7062">
      <c r="A7062" t="inlineStr">
        <is>
          <t>久しい</t>
        </is>
      </c>
      <c r="B7062" t="inlineStr">
        <is>
          <t>成功</t>
        </is>
      </c>
      <c r="C7062" t="inlineStr">
        <is>
          <t>読み方：ひさしい
［形］［文］ひさ・し［シク］
１長い時間がたっている。「—・く姿を見ない」「故郷を離れてから—・い」
２しばらくぶりである。久しぶりである。「これはまた、お—・いことで」
３時間がかかっている。
「いと苦しげにややみて、—・しくおりてゐざり入る」〈源・宿木〉
４ありふれている。代わりばえがしない。
「金平ごばうも—・いもんだ」〈洒・四十八手〉
５なじみである。
「家—・しき者ばかり召しよせられ」〈浮・織留・三〉
[派生]ひさしさ［名］</t>
        </is>
      </c>
      <c r="D7062" t="inlineStr">
        <is>
          <t>久しい以前(9%)；久しいもの(4%)；久しいあいだ(3%)；久しい間；久しい年月</t>
        </is>
      </c>
      <c r="E7062" t="inlineStr">
        <is>
          <t>長い；永い；長々しい</t>
        </is>
      </c>
      <c r="F7062" t="inlineStr">
        <is>
          <t>久しい前；絶えて久しい；もう久しい；すでに久しい；絶えて久しい</t>
        </is>
      </c>
      <c r="H7062" t="n">
        <v>29</v>
      </c>
      <c r="I7062" t="inlineStr">
        <is>
          <t>それら全てのことは人々の記憶にはすでになく、記録は失われて久しい。；このしっかりものの番頭が店を支えていると噂されて、もう久しかった。；彼らは、すでに江戸の剣術界から引退して久しい小兵衛を知らぬらしい。；亡くなって久しい者のような黒ずんだ舌が歯のあいだから突き出ていた。；遠くの寄宿学校へ入ったとかで、町で姿を見かけなくなってから久しい。；鉄道の導入も、国内の他都市と港を失って久しかった市を再接続した。；ぼくみたいに六十の声を聞いてから久しいものには、足に自信がない。；わたくしの母は久しい以前からわたくしと同じような生活をしていたのです。；私は、久しく此類話を、日本の物語の中に見あてることが出来なかつた。；親にもらった名前は、久しい以前から彼女の名前ではなくなっていた。；その後も久しく常盤座に居付いて、紅車といえば公園の人気者であった。；水藻の匂いが久しく忘れていた日本の匂いとなって矢代の鼻に流れて来た。；こういう事情の下に、両家の間にはやや久しく緊張した関係が続いていた。；彼は実に久しい以前から、だれをとも知らずに愛していたのである。；したがって、星が見馴れない星座に再編成されてからすでに久しいのだ。；久しい以前から、彼はその一つ一つの徴候を研究していたのであった。；この修行は彼としてはすでに久しいもので、いま始まったことでもない。；わが日本ではシェイクスピアが紹介されてからまだあまり久しくない。；その実際に存在する場所も、忘れ去られて久しい謎となっていたのだ。；彼は後年、レースから楽しみが消えて久しいことをしばしば嘆いていた。；内地にいて、久しく此の鳥を見なかった彼には、全く何年ぶりかであった。；戦後三十七年経って、戦後が終わったなどと言われ出してから随分久しい。；中国の知識人は人のまえで男女のことを語らない、といわれて久しい。；何故と云ふに、事実に於て医官たることは既に久しかつたからである。；彼は久しい間、彼の友である二人の愛書家に蔵書を見せる約束があった。；久しい親しみがあると云つても、樅の木であるとしか考へて居なかつた。；人間が燃料や様々な工作材料を森に求めるようになってから久しい。；けれども、また、この心のゆるみで久しい間の疲れが一ときに出て來た。；目は既に久しい以前から涙のかわく間もなかったように見えていた。</t>
        </is>
      </c>
      <c r="J7062">
        <f>HYPERLINK("https://www.weblio.jp/content/久しい", "词义详情")</f>
        <v/>
      </c>
      <c r="K7062">
        <f>HYPERLINK("https://yourei.jp/久しい", "查看例句")</f>
        <v/>
      </c>
    </row>
    <row r="7063">
      <c r="A7063" t="inlineStr">
        <is>
          <t>久しぶり</t>
        </is>
      </c>
      <c r="B7063" t="inlineStr">
        <is>
          <t>成功</t>
        </is>
      </c>
      <c r="C7063" t="inlineStr">
        <is>
          <t>読み方：ひさしぶり
［名・形動］前にそのことを経験してから、再び同じことになるまでに長い日数のあったこと。また、そのさま。ひさかたぶり。しばらくぶり。「—に映画を見る」「—な（の）雨」</t>
        </is>
      </c>
      <c r="D7063" t="inlineStr">
        <is>
          <t>久しぶりにゆっくり；久しぶりじゃない；久しぶりに明るい；久しぶりにのんびり；久しぶりー</t>
        </is>
      </c>
      <c r="E7063" t="inlineStr">
        <is>
          <t>久々に；ひさしぶり；お久しぶり；久方ぶり；しばらくぶり</t>
        </is>
      </c>
      <c r="F7063" t="inlineStr">
        <is>
          <t>ほんとうに久しぶり；きょうは久しぶり；随分と久しぶり</t>
        </is>
      </c>
      <c r="H7063" t="n">
        <v>29</v>
      </c>
      <c r="I7063" t="inlineStr">
        <is>
          <t>わたしは十の年に郷里を出たものですから、久しぶりにここを通ります。；久しぶりに顔を合わせた夫婦は、周囲が驚くほど親しげな様子を見せた。；久しぶりで散歩に来てみたが、昔とそんなに変ってもいないようだね。；そう考えると私の胸は、なんだかとても久しぶりに熱くなってきました。；久しぶりに会っても目を合わせただけで、すべてが分かる仲だったという。；久しぶりで上京した人を迎え顔に、下座敷の内をあちこちと歩き廻った。；彼女は久しぶりに会った姉があまりに母親そっくりで驚いたという。；それを見てさえ彼の胸には久しぶりで海に近く来た旅の心持を浮べた。；「昨夜は久しぶりで夢に見ましたよ」 と正晴君は隠居に寝たのだった。；久しぶりに日本へ戻ってきた際に、当時の恋人と仕事先で再開する。；第23部の第34話から弥七が久しぶりに登場して復帰を果たしている。；久しぶりにデートだって張り切って、俺の迎えを待ってたわけだからな。；このなか制作された本作は、久しぶりに女形が出演する映画となった。；このクラブに泊ることが出来たゆえに、久しぶりで上京したのである。；少年は久しぶりで泊る気になつて、下の食堂で薬局の連中と話をしてゐた。；時が流れ、ののかは学園を卒業して家を出た遊真と久しぶりに再会する。；久しぶりで巴里へ帰り着いたとき例のめつたにこぼれないわたしの涙が出た。；姑はお庄に案内してもらって、久しぶりで浅草や増上寺を見てあるいた。；実際僕は久しぶりに、旅愁も何も忘れながら、陶然と盃を口にしていた。；どうしてこの子供らは久しぶりに旅から帰って来た父の心なぞを知りようもない。；この時ようやく沙織は笑顔を見せ、久しぶりにくつろいだ様子を見せる。；お君は、久しぶりで会った人に、涙を見せまいとして元気を作りました。；会社は三日つづけて休みなので、ぼくは久しぶりに学校へ来てみた。；部屋に帰って暫くすると、久しぶりで傴僂の丈五郎が醜い姿を現わした。；久しぶりに細木家を訪問した扁理は、一年ほど旅行に出ると告げていった。；それよりか今夜はカッフェへ行って久しぶりで少し酔おうじゃないか。；ニイスにいる彼の妹さんから久しぶりに手紙の来たためであろう。；これが目につくと、久しぶりで自分の家に帰ってきでもしたように懐しくなる。；そのなかに、久しぶりでわれわれの前に姿をあらはしたG君もゐた。</t>
        </is>
      </c>
      <c r="J7063">
        <f>HYPERLINK("https://www.weblio.jp/content/久しぶり", "词义详情")</f>
        <v/>
      </c>
      <c r="K7063">
        <f>HYPERLINK("https://yourei.jp/久しぶり", "查看例句")</f>
        <v/>
      </c>
    </row>
    <row r="7064">
      <c r="A7064" t="inlineStr">
        <is>
          <t>悲惨</t>
        </is>
      </c>
      <c r="B7064" t="inlineStr">
        <is>
          <t>成功</t>
        </is>
      </c>
      <c r="C7064" t="inlineStr">
        <is>
          <t>読み方：ひさん
［名・形動］見聞きに耐えられないほどいたましいこと。また、そのさま。「—な光景」「—な死を遂げる」
[派生]ひさんさ［名］</t>
        </is>
      </c>
      <c r="D7064" t="inlineStr">
        <is>
          <t>悲惨な状況(3%)；悲惨な結果(3%)；悲惨な状態(3%)；悲惨な運命(2%)；悲惨な生活(2%)</t>
        </is>
      </c>
      <c r="E7064" t="inlineStr">
        <is>
          <t>恐ろしい；ひどい；気の毒；哀れ；辛い</t>
        </is>
      </c>
      <c r="F7064" t="inlineStr">
        <is>
          <t>悲惨事；悲惨な光景；悲惨な姿；こんな悲惨；悲惨な事故</t>
        </is>
      </c>
      <c r="G7064" t="inlineStr">
        <is>
          <t>悲惨な戦い；悲惨小説</t>
        </is>
      </c>
      <c r="H7064" t="n">
        <v>29</v>
      </c>
      <c r="I7064" t="inlineStr">
        <is>
          <t>そこで彼女は自分よりも悲惨な不幸を背負った人々を見つけたのである。；そうした悲惨な例は彼女も今までにしばしば見たり聞いたりしていた。；イングランドの支配は、保護措置が取られたような悲惨な状況にあった。；悲惨な収容小屋や荷車に括りつけられ輸送される患者などの写真もある。；そのような反抗的行為の悲惨な結果は容易に想像がついたと主張している。；おまえは美しいと同様に、怖ろしいものであることを悲惨だというのか。；彼れから金を借りた悲惨な貧乏人のうちで殊に悲惨な一家がありました。；結果として以下のような悲惨な死亡事故が発生する要因となっている。；多可子は声も立てないで痙攣する政枝の悲惨な姿を見ていられなかった。；その結果は、前年のスポットシルバニアよりも更に悲惨なものになった。；子供の半分が5歳以下で死亡したと言われ救いの無い悲惨な生活であった。；金や社会的地位のために結婚させられた二人の悲惨な結末が描かれている。；まさにその瞬間、伸子は悲惨な転落を意識しなければならなかったのだ。；でも夫人が悲惨で辛いことはよく分かりましたので、お助けしましょう。；無理な延命治療をやめるにやめられないまま、患者は悲惨な状態で死亡。；この模様は映像として記録されており、事故の悲惨さを現在に伝えている。；この混乱は、今までになく悲惨で意図していない結果をもたらした。；得るところは何百万人という人間を殺した悲惨なる歴史の外はない。；お市の方は、生涯の中二度落城の悲惨事に会った不幸な戦国女性である。；半ば身を立てて四辺を見ると実に何ともいわれない悲惨な有様だ。；というのも実際、父の財産が悲惨なことになっているなんて知らないもの。；様々な訴訟を扱う中、特に当時の農村の悲惨な状態に触れることになる。；実にこういう存在こそは悲惨なる存在というべきものであろう。；ドナルドはデイジーと結婚した後の愛のない悲惨な生活の悪夢を見たのだ。；戦争の悲惨さを訴える部分もあるが、松林宗恵の独特の戦争観が伝わる。；何となれば人物は動力なくして偶然不幸悲惨の境界に陥るものなければなり。；入ってみて、好きで続けたわけですけれど、ただ、その後は悲惨でしたね。；このような悲惨な結果となったのには様々な原因があった。；なぜならこの悲惨事のどこが悲惨なのかがわかっていないからだ。</t>
        </is>
      </c>
      <c r="J7064">
        <f>HYPERLINK("https://www.weblio.jp/content/悲惨", "词义详情")</f>
        <v/>
      </c>
      <c r="K7064">
        <f>HYPERLINK("https://yourei.jp/悲惨", "查看例句")</f>
        <v/>
      </c>
    </row>
    <row r="7065">
      <c r="A7065" t="inlineStr">
        <is>
          <t>肘</t>
        </is>
      </c>
      <c r="B7065" t="inlineStr">
        <is>
          <t>成功</t>
        </is>
      </c>
      <c r="C7065" t="inlineStr">
        <is>
          <t>読み方：ちゅう
［常用漢字］　［音］チュウ（チウ）（呉）（漢）　［訓］ひじ
ひじ。腕の関節部分。「掣肘(せいちゅう)」</t>
        </is>
      </c>
      <c r="D7065" t="inlineStr">
        <is>
          <t>肘をつい(7%)；肘折；肘痛；肘をつかん；肘つい</t>
        </is>
      </c>
      <c r="E7065" t="inlineStr">
        <is>
          <t>肱；臂；肘関節；エルボー</t>
        </is>
      </c>
      <c r="F7065" t="inlineStr">
        <is>
          <t>右肘；制肘；肘折カルデラ；肘折警部；肘窩</t>
        </is>
      </c>
      <c r="G7065" t="inlineStr">
        <is>
          <t>肘掛け；肘掛け椅子；肘かけ；肘打ち；肘関節</t>
        </is>
      </c>
      <c r="H7065" t="n">
        <v>29</v>
      </c>
      <c r="I7065" t="inlineStr">
        <is>
          <t>特に肘や膝を用いた攻撃は流血を伴いやすく禁止されていることもある。；僕は夏が終わってしばらく投げていなかったら、肘が良くなってきた。；両腕を肘まで水につけて、彼女はひとりだけのカヌーの上で目を閉じた。；は、序盤に左肘と肩を負傷し手術を受けたことから実戦登板は無かった。；冷たい風に肘の傷跡が痛み出すと彼女の心も微かに疼き出すのであった。；最初の年には肘の怪我などで特別な内容がなく、2006年に入隊した。；庭のテーブルに車椅子に座った青年が片肘をついて、一人で海を見ていた。；女は雑誌を肘の下にしたまま、例の通りためらひ勝ちな返事をした。；大学卒業後は帰国し、日本国内の病院で肘のクリーニング手術を受ける。；肘の怪我を理由に一時テニスから離れていたが、高校進学を機に復帰する。；からの2年間は肘の故障などもありマイナーにいる期間の方が長かった。；腕全体はまっすぐに固定されていて、肘は動かすことができなかった。；右の足は地をふんで、右の肘を膝に付け、その手さきは頤を支えていた。；だが肘の故障で試合に出場できなくなり、同年途中で現役から退いた。；現役22年で肘や肩の故障はほとんどなかったことを誇りにしている。；この年は12勝を挙げるが、その後は肩と肘を痛め、活躍できなかった。；入学後に肘を痛めてしまったことも重なって、野球生活の転機を迎える。；キュビットは、肘から中指の先までの間の長さに由来する身体尺である。；腕に多大な負荷をかけ、肘と肩を負傷のリスクにさらすといわれてきた。；ファミリークラスのクロスシートには可動式の肘置きが設けられている。；その後も3連敗し、5度目の登板となった5月6日の試合で右肘を故障。；また肘と脚にロケットエンジンを備えたことにより飛行能力も有している。；「そうです」私は左の肘でしっかり上衣のポケットを押えながら答えた。；は、肩と肘の手術を行った影響もあり、メジャーでの登板は無かった。；地面から肘までの前腕の長さは、肘からキ甲までの長さより僅かに長い。；そのおかげで、シュートを多投しても肘痛になることはなかったという。；大統領が最初の弾を受けた時は喉に手を当てようと両腕の肘が上に向かっている。；唯一コートが短い場所は人でいう肘から手首に当たる部分である。；片方の腕は相手の頭もしくは首を抱えて肘裏が相手の喉辺りにくるように深く入れる。</t>
        </is>
      </c>
      <c r="J7065">
        <f>HYPERLINK("https://www.weblio.jp/content/肘", "词义详情")</f>
        <v/>
      </c>
      <c r="K7065">
        <f>HYPERLINK("https://yourei.jp/肘", "查看例句")</f>
        <v/>
      </c>
    </row>
    <row r="7066">
      <c r="A7066" t="inlineStr">
        <is>
          <t>比重</t>
        </is>
      </c>
      <c r="B7066" t="inlineStr">
        <is>
          <t>成功</t>
        </is>
      </c>
      <c r="C7066" t="inlineStr">
        <is>
          <t>読み方：ひじゅう
１ある物質の質量と、それと同体積をもつ標準物質の質量との比。通常、セ氏4度の水を標準物質とする。
２他と比べての、重点を置く度合い。また、占める大きさの度合い。「予算に占める人件費の—が大きくなる」</t>
        </is>
      </c>
      <c r="D7066" t="inlineStr">
        <is>
          <t>比重が大きい(4%)；比重が置か(4%)；比重が大きく(3%)；比重が高い(2%)；比重が高く(2%)</t>
        </is>
      </c>
      <c r="F7066" t="inlineStr">
        <is>
          <t>同じ比重；高比重；低比重；比重選鉱；比重が軽く</t>
        </is>
      </c>
      <c r="G7066" t="inlineStr">
        <is>
          <t>比重量</t>
        </is>
      </c>
      <c r="H7066" t="n">
        <v>29</v>
      </c>
      <c r="I7066" t="inlineStr">
        <is>
          <t>ヨーロッパのほぼ中央に位置するスイスでは特に通過交通の比重が高い。；魔法力の比重が高くなるよう、競技に独自ルールが設けられているんだ。；超人達が登場する場合は、逆にその活躍に比重が置かれる回も存在する。；祖父が考えていた将来の計画には父が大きな比重を占めていました。；また作品の題材も宗教から実在人物や近代史に比重が移ってきている。；人が人として生きて行く上で、顔と云うものの占める比重は非常に大きい。；過褒は、じつはその比重の上でなされていることを忘れてはなりません。；比重の差がなくなるのだから、これはなにかの意義も成果もあるだろう。；比重が大きいことから無機化合物の比重の測定または分離に用いられる。；従ってこれらの比重は太陽のそれの〇・一にすぎないのである。；しかし、この第二の事実には、あまり大きな比重をおいてはいけない。；資産管理とその運用についての相談が大きな比重を占めていたと思われる。；このことから彼はスタジオ・セッションにその活動の比重を置くこととなる。；一部のEU加盟国にはほかの加盟国に比べて農業の比重が大きい国がある。；はノックスビルでシーズンを迎え、リリーフでの登板に比重が置かれた。；出現する実の色は、画面内に積まれている実の色に比重して出現しやすくなる。；その比重は充放電中の蒸発および温度変化以外からは影響を受けない。；二丁目には国立成育医療研究センターが面積で大きな比重を占めている。；よく掻きまぜてはあるのだが、比重の違いから底の方には玄米が多い。；ガス比重測定は、一八四五年レニョーの発表したもの以来誰もやらなかった。；これまでの村上の小説の中でもとりわけクラシック音楽の比重が強い。；教育を目的としたソフトウェアとゲームに比重を置いたソフトウェアは似ているが異なる。；どちらの意味に比重が置かれるかは、主に使用者の世代や書かれた年代による。；コントなどもやっていたが、近年はリポーターの仕事の比重が増えている。；このためスティーブストンの日本人社会では三尾出身者が大きな比重を占めた。；それ以後はRITを拠点にして、活動の比重が次第にアメリカに移って行く。；クリントン大統領の任期は国内問題に大きな比重が置かれた期間だった。；でも、現時点ではビジネスの比重が少しずつ高くなってはきているね。；家庭よりは学校の方が、日常の生活に大きな比重を占めている。</t>
        </is>
      </c>
      <c r="J7066">
        <f>HYPERLINK("https://www.weblio.jp/content/比重", "词义详情")</f>
        <v/>
      </c>
      <c r="K7066">
        <f>HYPERLINK("https://yourei.jp/比重", "查看例句")</f>
        <v/>
      </c>
    </row>
    <row r="7067">
      <c r="A7067" t="inlineStr">
        <is>
          <t>美術館</t>
        </is>
      </c>
      <c r="B7067" t="inlineStr">
        <is>
          <t>成功</t>
        </is>
      </c>
      <c r="C7067" t="inlineStr">
        <is>
          <t>読み方：びじゅつかん
美術品を収集・保管・展示し、一般の展覧・研究に資する施設。</t>
        </is>
      </c>
      <c r="D7067" t="inlineStr">
        <is>
          <t>美術館所蔵；美術館建設；美術館館長；美術館等；美術館巡り</t>
        </is>
      </c>
      <c r="E7067" t="inlineStr">
        <is>
          <t>博物館；ギャラリー；画廊；ミュージアム；総合博物館</t>
        </is>
      </c>
      <c r="F7067" t="inlineStr">
        <is>
          <t>同美術館；市立美術館；私立美術館；東京都美術館；公立美術館</t>
        </is>
      </c>
      <c r="G7067" t="inlineStr">
        <is>
          <t>美術館駅；美術館の一覧</t>
        </is>
      </c>
      <c r="H7067" t="n">
        <v>29</v>
      </c>
      <c r="I7067" t="inlineStr">
        <is>
          <t>美術館と博物館の両方を同一の建物に収めていたため、問題もあった。；いずれの機関も美術館と美術学校の一体的な設立・運営を特徴とする。；美術館正門は当時の山門がそのまま残っているとされるが、実際は違う。；芸術ホールは著名な建築家によるヨーロッパの美術館・博物館建築である。；市内で最もよく知られた博物館は西部最大で美術館も含むである。；幼少時は漫画の収集、さらに父と美術館に足を運ぶことが趣味であった。；上野恩賜公園内にある美術館・博物館の中では唯一の私立美術館である。；計画では隣接する建物と地下で接続し、美術館のスペースは倍増する。；カナダの博物館や美術館では学生割引が設定されていることが多い。；このため「竹の庭の美術館」とも呼ばれて多くの人に親しまれている。；日本における初の本格的な写真映像の文化施設として設けられた美術館。；山口大学退職後も古巣を含む県内の美術館と協力して研究を進めている。；バーゼルとその近郊には30を超える数の美術館および博物館がある。；これによって美術館を訪れる人々やコンサートの聴衆による音が満ちた。；市民からの一件の抗議を受けての都、美術館側の判断であった。；改称の前後で美術館のコンセプトに大きな変更はなされていない。；これらの収集品は、美術館開館以前にも何度か公開され、評判を得ていた。；若者を中心とした多くの人々がこの美術館を訪れている。；ナショナル・モールには以下の博物館・美術館等が建てられている。；現在も市内にいくつかの美術館や博物館を備え、また文化行事も行われている。；また、美術館やカテドラルを訪れ、特にルーベンスの絵に関心を持った。；非常に類似した同時期の浮き彫りはルーヴル美術館に所蔵されている。；現在、これらは多くのフランスにある美術館に展示されている。；主催は文化庁だが、地元の美術館などが主体となって企画・運営することが多い。；美術館などで作品の色への影響を軽減するために利用される。；そのため、それ以前の作品は美術館が変わると同一作品でありながら別の名前を用いられる。；さらにホテル・美術館建設が1992年に完成するなど拡大する。；これらは実に優れた交流機関であり、美術館経営に効果的な事業スキームを持つ。；また、列車内に足湯が設置された例や、美術館に足湯が設置される例もある。</t>
        </is>
      </c>
      <c r="J7067">
        <f>HYPERLINK("https://www.weblio.jp/content/美術館", "词义详情")</f>
        <v/>
      </c>
      <c r="K7067">
        <f>HYPERLINK("https://yourei.jp/美術館", "查看例句")</f>
        <v/>
      </c>
    </row>
    <row r="7068">
      <c r="A7068" t="inlineStr">
        <is>
          <t>秘書</t>
        </is>
      </c>
      <c r="B7068" t="inlineStr">
        <is>
          <t>成功</t>
        </is>
      </c>
      <c r="C7068" t="inlineStr">
        <is>
          <t>読み方：ひしょ
１要職の人に直属して、機密の文書・事務などを取り扱う職。また、その人。セクレタリー。「社長—」
２秘密の文書。また、それを扱う人。
３秘して人に見せない書物。秘蔵の書物。「—を公開する」</t>
        </is>
      </c>
      <c r="D7068" t="inlineStr">
        <is>
          <t>秘書役(3%)；秘書課(2%)；秘書監；秘書たち；秘書兼</t>
        </is>
      </c>
      <c r="E7068" t="inlineStr">
        <is>
          <t>机；書記；幹事；書記官；参事</t>
        </is>
      </c>
      <c r="F7068" t="inlineStr">
        <is>
          <t>社長秘書；女性秘書；個人秘書；元秘書；第一秘書</t>
        </is>
      </c>
      <c r="G7068" t="inlineStr">
        <is>
          <t>秘書長；秘書室；秘書課長；秘書室長；秘書検定</t>
        </is>
      </c>
      <c r="H7068" t="n">
        <v>29</v>
      </c>
      <c r="I7068" t="inlineStr">
        <is>
          <t>自身のストーリーモードでは女性秘書のマーロウと行動をともにしている。；事務所の壁に立たされていた人々も次々に逃げ、秘書だけが残された。；したがって、単に補助的業務のみに従事している秘書はこれに該当しない。；ヴィクトリアは、幼い兄弟たちの母親代わり、父の秘書代わりとなった。；また、石原の妹は三輪の秘書を務め、三輪の死後は松前の秘書となった。；元々、秘書に憧れて将来は秘書になりたいと思っていたことがあった。；読売新聞政治部記者を経て、父と当選同期だった大平正芳の秘書になる。；更に、秘書はタイプはそこそこできるが弁護士の仕事はほとんどできない。；その下に位置するのが、文書・秘書職系であり、いわば一般職である。；当初は運転手としての雇用だったが、後にチャップリン邸の秘書となる。；彼の想いを知るのは、秘書の水城冴子と直属の部下の聖唐人だけである。；父である衆議院議員鹿野彦吉の秘書を経て政界入りした二世政治家である。；母ヴィクトリアの生前は秘書の役割をしており、後に母の日記を編纂した。；通常は首相の国会議員秘書として長年仕えてきた人物が任命される。；元フットボール選手の父親と、秘書をしていた母親の間に生まれる。；秘書として出演している中野・加藤が伊東の左右に並ぶ形で補佐している。；秘書やスチュワーデスとして働いた後、結婚を機会に執筆の道に入る。；岸は、森が今松の元秘書だと聞いて、わざわざ小松市まで足を運んだ。；政治家の秘書に爵位が与えられるのは極めて異例のことであった。；しかし、彼がアイルランドに到着した時、秘書の職は他の者に与えられたことを知った。；その際に彼女は秘書のシャーロットと夫に手紙を残している。；元秘書であった渡部恒三にも地盤を切り崩されたことも大きく影響していた。；自民党清和会元会長・三塚博の元秘書で、有力な資金支援者でもあった。；その上で訪問先の秘書・事務所職員の許可が無いと、議員会館に入ることは出来ない。；その後、党の調査で新たに秘書、スタッフに対する暴行疑惑も判明した。；裁判では秘書1人が一部無罪になったのを除き、3人とも有罪が確定した。；ヘスはヒトラーの秘書活動の合間を縫って党のための宣伝飛行も行っていた。；親の秘書等を経て政治家となるケースもある。；それを彼の秘書が原稿に起こすという手法を取っていた。</t>
        </is>
      </c>
      <c r="J7068">
        <f>HYPERLINK("https://www.weblio.jp/content/秘書", "词义详情")</f>
        <v/>
      </c>
      <c r="K7068">
        <f>HYPERLINK("https://yourei.jp/秘書", "查看例句")</f>
        <v/>
      </c>
    </row>
    <row r="7069">
      <c r="A7069" t="inlineStr">
        <is>
          <t>非常</t>
        </is>
      </c>
      <c r="B7069" t="inlineStr">
        <is>
          <t>成功</t>
        </is>
      </c>
      <c r="C7069" t="inlineStr">
        <is>
          <t>読み方：ひじょう
［名］普通でない差し迫った状態。また、思いがけない変事。緊急事態。「—を告げる電話の声」「—持ち出しの荷物」
［形動］［文］［ナリ］
１並の程度でないさま。はなはだしいさま。「—に悲しい」「—な才能」
２行動やようすが異常であるさま。
「—な事だと思わないで—なことをするから奇人だろう」〈逍遥・当世書生気質〉</t>
        </is>
      </c>
      <c r="D7069" t="inlineStr">
        <is>
          <t>非常に高い(2%)；非常に多く(2%)；非常に多い；非常によく；非常に大きな</t>
        </is>
      </c>
      <c r="E7069" t="inlineStr">
        <is>
          <t>よく；大；最も；非常に；かなり</t>
        </is>
      </c>
      <c r="F7069" t="inlineStr">
        <is>
          <t>非常に珍しい；非常に難しい；非常に低い；非常に小さい；非常に少なく</t>
        </is>
      </c>
      <c r="G7069" t="inlineStr">
        <is>
          <t>非常識；非常勤；非常事態；非常階段；非常口</t>
        </is>
      </c>
      <c r="H7069" t="n">
        <v>29</v>
      </c>
      <c r="I7069" t="inlineStr">
        <is>
          <t>子どもに人気のある物語の中には非常に古い時代に書かれたものもある。；ただし、と同様に、現在のは初期のものから非常に大きく変化している。；非常に大きな影響力のあったAberMUDはB言語で記述されていた。；しかし、いつどのように活動が変化するかを予測することは非常に難しい。；現在の旅は非常に多様であり、さまざまに分類することが可能である。；非常に多作な作家でありながら、作品ごとに独特な設定が為されている。；こうした作品の中には大人にも非常に人気のあるものも含まれる。；しかし、使われる手法は多岐に渡り、また非常に高度であることが多い。；幸い命に別状はなかったものの、世間に与えた衝撃は非常に大きかった。；非常に手の込んだ器である殷代青銅器のうち、多くのものは酒器である。；またそのモジュールは、非常に修理しやすくなるよう設計されていた。；初期のウェブブラウザが対応していたHTMLは非常に単純なものだった。；この映画のフィルムは保存状態の悪さのため、非常に傷み色あせていた。；非常に古い歴史を持つ楽器であり、起源はトランペットと共通である。；それが非常に多くのカーネル内のキャッシュミスの原因になっている。；仏教の時代に入ると「法」は非常に重要な言葉・思想・実践となった。；化学的には非常に安定した物質であり、一般的な酸や塩基には溶けない。；幼少時から非常に凶暴で喧嘩っ早く目立ちたがり屋な気質が現れていた。；これは2番目に傾斜が小さい木星の値に比べてもと非常に小さい値である。；そのほとんどは1年から長くて十数年の非常に短い期間しか持続しなかった。；予選2位以内に入ることで非常に有利な条件を得ることができるシステムである。；非常に多様な地域であるが、大まかには北部と南部に分けることができる。；フォースの使い手は、平均的な人口に比べて数が非常に限られている。；非常に反応性が高く、多くの金属や有機物と反応し塩化物を形成する。；また、ある作品や活動の程度が非常に高いとき、これを芸術と呼ぶ場合がある。；クンマーの理想数の理論は非常に形式的で、とても難解なものであった。；日本からのポルトガルの排斥はその意味からも非常に重要なポイントである。；スポーツはゴルフを非常に好んでおり、晩年も頻繁にプレイしていた。；そのような材を持つオリジナルモデルは現在では非常に高価に取引されている。</t>
        </is>
      </c>
      <c r="J7069">
        <f>HYPERLINK("https://www.weblio.jp/content/非常", "词义详情")</f>
        <v/>
      </c>
      <c r="K7069">
        <f>HYPERLINK("https://yourei.jp/非常", "查看例句")</f>
        <v/>
      </c>
    </row>
    <row r="7070">
      <c r="A7070" t="inlineStr">
        <is>
          <t>微笑</t>
        </is>
      </c>
      <c r="B7070" t="inlineStr">
        <is>
          <t>成功</t>
        </is>
      </c>
      <c r="C7070" t="inlineStr">
        <is>
          <t>読み方：びしょう
［名］(スル)ほほえむこと。ほほえみ。「—を浮かべる」「やさしく—する」
[補説]書名別項。→微笑</t>
        </is>
      </c>
      <c r="D7070" t="inlineStr">
        <is>
          <t>微笑みを浮かべ；微笑をふくん；微笑を禁じ得；微笑を泛べて；微笑を投げかけ</t>
        </is>
      </c>
      <c r="E7070" t="inlineStr">
        <is>
          <t>笑い；笑顔；笑み；笑；にっこり</t>
        </is>
      </c>
      <c r="F7070" t="inlineStr">
        <is>
          <t>皮肉な微笑；げな微笑；めいた微笑；穏やかな微笑；静かな微笑</t>
        </is>
      </c>
      <c r="G7070" t="inlineStr">
        <is>
          <t>微笑み；微笑む；微笑みながら；微笑ましい；微笑ま</t>
        </is>
      </c>
      <c r="H7070" t="n">
        <v>29</v>
      </c>
      <c r="I7070" t="inlineStr">
        <is>
          <t>父親は少し離れて佇みながら此愛すべき二人を眺めて微笑を洩してゐる。；この男が歩いて行くのを多くの人が眺め、中には微笑した人もあった。；それから一週間目ぐらいになると、彼女は男に微笑を送るようにもなった。；少なくとも今の微笑はどこか意味あり気だったように隼人には思えた。；こんな話のあひだも、うすい静かな微笑を浮かべつづけてゐるのだつた。；真理の前には何事を犠牲にしても、微笑していられるだけの熱情を持て。；そのように几帳面であったので、時々微笑させられるようなことがあった。；すると、それを見た俊夫君の顔には、例の満足の微笑がただよいました。；そして、その微笑が消えやらぬまま、彼女はもう動かなくなっていた。；先生はただ唇の辺りに意味あり気な微笑を浮べたぎり、口を噤んでいる。；赤銅色の頬には不敵にも、誇らかな勝利の微笑さえ浮かんだではないか。；私に何か云う時の、微笑した夫の顔を、ありあり眼の前に思い出した。；あるいはまた西洋間の電燈の下に無言の微笑ばかり交わすこともある。；途端に、彼女はその微笑が意識的なものであると気づいて、いやになった。；夫人の艶美な微笑も蜜のような言葉も、今は空の空なることを知った。；彼の顔には押えても押え切れない喜びの微笑が浮び出て来るのだった。；「そうか」無口な父は微笑を苦笑いに押し包んだような顔をして言った。；僕の面に、得意な微笑が浮ぶのをどうすることもできませんでした。；彼の不思議そうにしているのを見て、微笑している彼女を見た。；それは微笑のための微笑で、外の意味は少しもまじっていなかった。；彼女は微笑を含んだまま、かなり尋ね悪い局所にも巧に話を進めて行った。；「あのとき私もパンダを見にいったのよ」 舞子の顔に微笑が深まった。；やっと手に入れた相手の微笑を追い払いたくはなかったのだった。；運命よ願わくば私の方針に微笑をもって好意を示せと言うの外はない。；恵理子が自分だけに見せる笑顔や微笑があることに、洋介は気づいていた。；私は秋山微笑居士と今一度声に出して誦んで見て、これはよいと思つた。；おなじ場所にいる人と視線が合ったときのための、あの微笑だ。；彼の微笑はなみなみでなく人の心を明るくさせるものがあった。；「アア、気がつかれましたか」伯爵は得意の微笑を漏らしながら答えた。</t>
        </is>
      </c>
      <c r="J7070">
        <f>HYPERLINK("https://www.weblio.jp/content/微笑", "词义详情")</f>
        <v/>
      </c>
      <c r="K7070">
        <f>HYPERLINK("https://yourei.jp/微笑", "查看例句")</f>
        <v/>
      </c>
    </row>
    <row r="7071">
      <c r="A7071" t="inlineStr">
        <is>
          <t>非常識</t>
        </is>
      </c>
      <c r="B7071" t="inlineStr">
        <is>
          <t>成功</t>
        </is>
      </c>
      <c r="C7071" t="inlineStr">
        <is>
          <t>読み方：ひじょうしき
［名・形動］常識のないこと。常識を欠いていること。また、そのさま。「—な言動」
[派生]ひじょうしきさ［名］</t>
        </is>
      </c>
      <c r="D7071" t="inlineStr">
        <is>
          <t>非常識な行動；非常識な人間；非常識なほど；非常識な話；非常識な時間</t>
        </is>
      </c>
      <c r="E7071" t="inlineStr">
        <is>
          <t>馬鹿；おかしい；滑稽；理不尽；無茶</t>
        </is>
      </c>
      <c r="F7071" t="inlineStr">
        <is>
          <t>あまりにも非常識；こんな非常識；非常識極まる；どんな非常識</t>
        </is>
      </c>
      <c r="H7071" t="n">
        <v>29</v>
      </c>
      <c r="I7071" t="inlineStr">
        <is>
          <t>これは何も現代の教育の欠陥ではなくて自分の非常識によるのであろう。；けれどあの場合、扉をあけずに奥へ去るような非常識な父親があろうか?；非常識な話ではあるが、子供のやることと思えば仕方ないかもしれない。；医師は彼に治療の前に多くの非常識なフォームに記入するよう要求する。；非常識なまでに狭い玄関ホールを、身を滑り込ませるようにして抜けた。；黒澤氏は契約問題については何も知らないと言っているが非常識すぎる。；宇宙で人を殺すという行為は宇宙開発の歴史から見てあまりに非常識だ。；まさかあの獣以外にも正体不明のなにかがいたなんて考える方が非常識だ。；けどあれは、たんに常識で可能な事を非常識で可能にしているだけなの。；どこの世界にご神体の前でごろごろしている非常識な神主がいるものか。；だが一八八〇年の風習をもってすれば非常識なことでしかないのかもしれぬ。；武装した兵などと一緒に乗り込むなど非常識にもほどがありましょう!；節税のためには相当非常識なことだってみんなやっているんですから。；単に読みにくい許りではなく、何か非常識な感じさえしないではない。；ある日を境に人の言葉が話せると判明した、とにかく非常識な存在だ。；今のシチュエーションで君の取った行動は、非常識と言っても良いだろう。；こんな時間の電話が非常識であることぐらい、高梨だって承知はしていた。；実際に戦場に立った後の奴の能力は、優秀ではあるが非常識というほどではない。；どう考えてもそのような非常識な行動をする人間には思えなかった。；そしてもちろんリュカは、そんな非常識な人生を送ってきたわけではない。；これを俊介が非常識だと断ると和音は腹痛を訴えて突然倒れてしまった。；あの非常識な事件と今の状況との間には何か大きな隔たりがある。；今さっきの二人の非常識な跳躍が信じられず、その場を動けないのだ。；だが、不道徳なこと、非常識なことを主張すると、私たちは非難される。；しかし、そろそろ達也の非常識ぶりに驚くのもエリカは飽きてきていた。；あんなことをして私の友情を手に入れようとは、非常識もはなはだしい!；何故なら私は今から、そんな非常識だか非科学の首を絞めに行くのだから。；このことから、佐理は理非を弁えない非常識な面があったと考えられる。；値段は忘れたが、人形にしてはかなり非常識な価格だったように記憶している。</t>
        </is>
      </c>
      <c r="J7071">
        <f>HYPERLINK("https://www.weblio.jp/content/非常識", "词义详情")</f>
        <v/>
      </c>
      <c r="K7071">
        <f>HYPERLINK("https://yourei.jp/非常識", "查看例句")</f>
        <v/>
      </c>
    </row>
    <row r="7072">
      <c r="A7072" t="inlineStr">
        <is>
          <t>非常に</t>
        </is>
      </c>
      <c r="B7072" t="inlineStr">
        <is>
          <t>成功</t>
        </is>
      </c>
      <c r="D7072" t="inlineStr">
        <is>
          <t>非常に高い(2%)；非常に多く(2%)；非常に多い；非常によく；非常に大きな</t>
        </is>
      </c>
      <c r="E7072" t="inlineStr">
        <is>
          <t>よく；大；最も；非常に；かなり</t>
        </is>
      </c>
      <c r="F7072" t="inlineStr">
        <is>
          <t>非常に珍しい；非常に難しい；非常に低い；非常に小さい；非常に少なく</t>
        </is>
      </c>
      <c r="G7072" t="inlineStr">
        <is>
          <t>非常識；非常勤；非常事態；非常階段；非常口</t>
        </is>
      </c>
      <c r="H7072" t="n">
        <v>29</v>
      </c>
      <c r="I7072" t="inlineStr">
        <is>
          <t>子どもに人気のある物語の中には非常に古い時代に書かれたものもある。；ただし、と同様に、現在のは初期のものから非常に大きく変化している。；非常に大きな影響力のあったAberMUDはB言語で記述されていた。；しかし、いつどのように活動が変化するかを予測することは非常に難しい。；現在の旅は非常に多様であり、さまざまに分類することが可能である。；非常に多作な作家でありながら、作品ごとに独特な設定が為されている。；こうした作品の中には大人にも非常に人気のあるものも含まれる。；しかし、使われる手法は多岐に渡り、また非常に高度であることが多い。；幸い命に別状はなかったものの、世間に与えた衝撃は非常に大きかった。；非常に手の込んだ器である殷代青銅器のうち、多くのものは酒器である。；またそのモジュールは、非常に修理しやすくなるよう設計されていた。；初期のウェブブラウザが対応していたHTMLは非常に単純なものだった。；この映画のフィルムは保存状態の悪さのため、非常に傷み色あせていた。；非常に古い歴史を持つ楽器であり、起源はトランペットと共通である。；それが非常に多くのカーネル内のキャッシュミスの原因になっている。；仏教の時代に入ると「法」は非常に重要な言葉・思想・実践となった。；化学的には非常に安定した物質であり、一般的な酸や塩基には溶けない。；幼少時から非常に凶暴で喧嘩っ早く目立ちたがり屋な気質が現れていた。；これは2番目に傾斜が小さい木星の値に比べてもと非常に小さい値である。；そのほとんどは1年から長くて十数年の非常に短い期間しか持続しなかった。；予選2位以内に入ることで非常に有利な条件を得ることができるシステムである。；非常に多様な地域であるが、大まかには北部と南部に分けることができる。；フォースの使い手は、平均的な人口に比べて数が非常に限られている。；非常に反応性が高く、多くの金属や有機物と反応し塩化物を形成する。；また、ある作品や活動の程度が非常に高いとき、これを芸術と呼ぶ場合がある。；クンマーの理想数の理論は非常に形式的で、とても難解なものであった。；日本からのポルトガルの排斥はその意味からも非常に重要なポイントである。；スポーツはゴルフを非常に好んでおり、晩年も頻繁にプレイしていた。；そのような材を持つオリジナルモデルは現在では非常に高価に取引されている。</t>
        </is>
      </c>
      <c r="J7072">
        <f>HYPERLINK("https://www.weblio.jp/content/非常に", "词义详情")</f>
        <v/>
      </c>
      <c r="K7072">
        <f>HYPERLINK("https://yourei.jp/非常に", "查看例句")</f>
        <v/>
      </c>
    </row>
    <row r="7073">
      <c r="A7073" t="inlineStr">
        <is>
          <t>びしょびしょ</t>
        </is>
      </c>
      <c r="B7073" t="inlineStr">
        <is>
          <t>成功</t>
        </is>
      </c>
      <c r="C7073" t="inlineStr">
        <is>
          <t>［副］雨が絶え間なく降りつづくさま。「—（と）降る雨」
［形動］全体がすっかりぬれてしまうさま。ひどくぬれて水分を多く含んでいるさま。びっしょり。「汗でシャツが—になる」
［アクセント］はビショビショ、はビショビショ。</t>
        </is>
      </c>
      <c r="D7073" t="inlineStr">
        <is>
          <t>湿った；湿潤；びっしょり；ずぶ濡れ；ぐっしょり</t>
        </is>
      </c>
      <c r="H7073" t="n">
        <v>29</v>
      </c>
      <c r="I7073" t="inlineStr">
        <is>
          <t>夜になって音もなくあたりをびしょびしょに濡らす春の雨が降っていた。；夢でないことは、自分の服がびしょびしょにぬれていることでもわかる。；歩くたびにびしょびしょのブーツの中で足がぐちゃぐちゃ音をたてた。；下に着ているシャツも、同じくらいびしょびしょになっています。；だけど本の方は湯気を含んでふやふやになり、下の方がびしょびしょになっている。；背中に手を当てると、水をかけられたみたいに、びしょびしょに濡れていた。；びしょびしょの狭い台所で、何かしながら呟いていることはそのことであった。；水の勢いが強すぎて通路がびしょびしょになっている。；なんとか吐き出さないように食べ終えた時には、もう床はびしょびしょだった。；びしょびしょの草の中に腰をおろし、膝の上に腕をのせ、その腕の中に顔をふせた。；他の荷物ともどもびしょびしょに濡れていたが、血で汚れていないだけましと思えた。；水を運んでくる午次郎は、いつも着物の裾をびしょびしょに濡らした。；「びしょびしょやなあ」 少女も笑いながら片手を自分の股間に持っていく。；外は暑くて僕の着たシャツは汗でびしょびしょになった。；ちょうど、この折だったが、びしょびしょ、と水の滴るような音がし出した。；外にはびしょびしょ雨が降っていて、むろんあたりはまっくらである。；その時はもうびしょびしょに濡れてしまっていた。；三十分のうちに三枚のハンケチがびしょびしょになってしまった。；こまかい雨が降っていたが、ほかの国ならばこの雨は地面をびしょびしょにしたろう。；クミちゃんとひろしくんは、びしょびしょのぼくを見についてきた。；どおっと雨と風が吹き込んできて、あたりはたちまちびしょびしょになった。；びしょびしょした冷たいものが顔を叩いている。；或る者はびしょびしょになった制服やシャツを搾ったり、裸になって体を拭いたりしている。；目に涙をためて、女の子みたいに優しげな顔をびしょびしょに濡らしている。；その日は雨がびしょびしょ降りつづけていた。；びしょびしょに濡れたような階段を二階にのぼると、そこに彼の事務所の名札が下げてあった。；全身から噴き出す多量の汗で、まるで雨の中を走ってきたかのように着ているものがびしょびしょになっている。；たまたま着くものは墨がにじむほどびしょびしょに濡れていた。；そんなこと考えてるぼくは今、全身びしょびしょで、水もしたたるいい女状態。</t>
        </is>
      </c>
      <c r="J7073">
        <f>HYPERLINK("https://www.weblio.jp/content/びしょびしょ", "词义详情")</f>
        <v/>
      </c>
      <c r="K7073">
        <f>HYPERLINK("https://yourei.jp/びしょびしょ", "查看例句")</f>
        <v/>
      </c>
    </row>
    <row r="7074">
      <c r="A7074" t="inlineStr">
        <is>
          <t>美人</t>
        </is>
      </c>
      <c r="B7074" t="inlineStr">
        <is>
          <t>成功</t>
        </is>
      </c>
      <c r="C7074" t="inlineStr">
        <is>
          <t>読み方：びじん
１容姿の美しい女性。美女。
２容姿の美しい男子。
「玉のやうなる—…聟にいたします」〈浮・胸算用・二〉</t>
        </is>
      </c>
      <c r="D7074" t="inlineStr">
        <is>
          <t>美人女優；美人じゃない；美人秘書；美人ぞろい；美人姉妹</t>
        </is>
      </c>
      <c r="E7074" t="inlineStr">
        <is>
          <t>美女；美少女；シャン；弁天；小町</t>
        </is>
      </c>
      <c r="F7074" t="inlineStr">
        <is>
          <t>すごい美人；こんな美人；若くて美人；すばらしい美人；あんな美人</t>
        </is>
      </c>
      <c r="G7074" t="inlineStr">
        <is>
          <t>美人コンテスト；美人局；美人図；美人投票；美人時計</t>
        </is>
      </c>
      <c r="H7074" t="n">
        <v>29</v>
      </c>
      <c r="I7074" t="inlineStr">
        <is>
          <t>明るい茶髪と緑色の大きな目を持つ、相手に猫の様な印象を与える美人。；作者の作品では初めてとなる、美人で自信家の女の子が主人公である。；兄に似ず朗らかで、一人でいると周囲の男性の注目を集めるほどの美人。；全国から集められた美人警官で構成されていることから美人局と呼ばれる。；もっともどのくらいの美人だったか、それはわたしにはわかりません。；例えば日本人は頬骨やあご骨が発達していない顔を美人とする傾向がある。；それに手古奈の樣な美人が此家に生れたに就ては偶然でない所以がある。；ただはっきりしているのは、福が絶世の美人であったということである。；二人の姉ヘシンとユシンはスンシンと違って美人で優秀と言われている。；額田王が絶世の美人であったというのは小説などでは通説となっている。；その際、今では子供だが性格も良くいずれ美人になるとも説得されたという。；ほかにもワタルが愛歌のことを美人と口にした時にはかなり動揺を見せた。；美人で頭もよく、運動もできるのでクラスの中では誰からも好かれるタイプ。；現地キャスターを務めた相内優香は美人だと中国で高い注目を浴びた。；両親に自分は美人だと言われ育てられてきたため、高慢で嫌味な性格。；ラーオディケーはプリアモスの娘たちの間で最も美人だったとされる。；雨の中、美人音楽教師エリザベスが男に振られたといってやって来る。；神隠しにあった者が再び人の前に出現する仕方と酷似しているからだ。；つい女の子のことを考えていたため、巨乳美人の姿になってしまう。；作は肉筆画が知られており、人形を遣う美人を描いたものが複数ある。；かなりの美人でウエストも細いうえに周囲に爆乳と言われる大きい胸を持つ。；これらの美人は順々に、局票へ書いた客の名通り、我々の間に席を占める。；彼は当代きっての放蕩児と知られ、美人を見れば求め、また求められた。；金髪の颯爽とした美人で行動力と責任感に溢れ、仲間からの信頼も高い。；男は彼女が思いのほか美人であったため、二つ返事で働かせることにする。；仁宗は楊美人の父を昇進させたいと思ったが、楊美人は「 」と言った。；其の中に、今も忘れないのは、今夜口を利いて居る此の美人であつた。；誰にでも優しく歌が上手くその上美人で成績も優秀な学園のアイドル。；のみならずどちらも同じやうにスペイド形の髪に結つた二十前後の美人である。</t>
        </is>
      </c>
      <c r="J7074">
        <f>HYPERLINK("https://www.weblio.jp/content/美人", "词义详情")</f>
        <v/>
      </c>
      <c r="K7074">
        <f>HYPERLINK("https://yourei.jp/美人", "查看例句")</f>
        <v/>
      </c>
    </row>
    <row r="7075">
      <c r="A7075" t="inlineStr">
        <is>
          <t>歪む</t>
        </is>
      </c>
      <c r="B7075" t="inlineStr">
        <is>
          <t>成功</t>
        </is>
      </c>
      <c r="C7075" t="inlineStr">
        <is>
          <t>読み方：いがむ
［動マ五（四）］《「ゆがむ」の音変化》
１「ゆがむ1」に同じ。
「針ガ—・ンダ」〈和英語林集成〉
２「ゆがむ2」に同じ。
「気ノ—・ンダ人」〈和英語林集成〉
３盗む。
「是まで人の物を—・み候へば、どうで地獄へまかり申すべく候」〈浄・朝顔話〉
［動マ下二］「いがめる」の文語形。</t>
        </is>
      </c>
      <c r="D7075" t="inlineStr">
        <is>
          <t>歪む表情</t>
        </is>
      </c>
      <c r="E7075" t="inlineStr">
        <is>
          <t>変形する；陥落する；潰れる；潰される；引っ込む</t>
        </is>
      </c>
      <c r="F7075" t="inlineStr">
        <is>
          <t>ぐにゃりと歪む；醜く歪む；げに歪む；引き歪む</t>
        </is>
      </c>
      <c r="H7075" t="n">
        <v>29</v>
      </c>
      <c r="I7075" t="inlineStr">
        <is>
          <t>こういう事情で作品を歪まされたのは、わたし一人のことではなかった。；赤ん坊よりも私の関心は苦痛に歪む人々の方に注がれていたに違いない。；しかし、自分の心が歪むほどに私は身勝手に女との絆を求めていました。；歪んだ広間のあとの部分と釣り合いが取れるように配置されていたのだ。；そんな私の視線に気付くと、奴はその顔を更に歪ませて殴りつけてきた。；眼をとじさえすれば、殺された男のヒヒのような歪んだ顔が浮んできた。；怒りに歪んでいた顔がやわらぐと、もとの美しさが多少は戻ってきた。；それを見ると、その奇妙な歪んだ人間たちの顔が輝くように思われた。；僕はまた、遊びの輪から離れて小さな顔を歪ませている妹をよく見かける。；しかし標本は歪んでいるため、どちらかを断定することは不可能である。；「いや、それが雄二の言ったとおりなんじゃ」 秀吉の端整な顔が歪む。；アンドロメダ銀河は実際に既に歪んでおり、端が巻いた形になっている。；いくつかの時点でラムの口はモザイク処理されたかのように歪んで見える。；が、しばらくすると、青い、歪んだ顔を上げて、またその手紙を読んだ。；彼は悩みをもっているために人生に対して歪んだ考え方をしています。；だが一方で、彼女の性格が歪む原因となる事件にもたびたび関わっている。；空中に円盤形の波動が生じ、それが風景を歪ませながら、飛んでいった。；他人との比較の中でしか、自分の安心を得られない、歪んだ魂の持ち主だ。；この鉢は別に歪んだことや、慣れぬ模様のことなどに、こだはつてゐない。；また同時に「もし兄が歪んでいたならその手で殺せ」と言い残している。；もし此の男がいなかったら公の性的遊戯も歪んだ発展をしなかったであろう。；歪んだ運命のお相伴なら、もう父や葛岡のことだけで沢山でございます。；あまりの速度のために歪む視界の中、ぼんやりと光の筋が見えた。；ダヴロスの声はダーレクのものと似ており、電子的な歪んだ声をしている。；歪んだ愛はどんずまったまま・・・傷だらけのナルミの人生は続いていく。；また曇ったり、歪んだりはしているが透けて見えることを半透明という。；空気の詰まったゴムボールのような乳房が、さまざまに形を変えて歪む。；父が手紙に落とした涙が、乾いて紙面を歪ませたからに違いないと思った。；接合部の隙間はその各々が僅かでもその合計が全体を大きく歪ませてしまう。</t>
        </is>
      </c>
      <c r="J7075">
        <f>HYPERLINK("https://www.weblio.jp/content/歪む", "词义详情")</f>
        <v/>
      </c>
      <c r="K7075">
        <f>HYPERLINK("https://yourei.jp/歪む", "查看例句")</f>
        <v/>
      </c>
    </row>
    <row r="7076">
      <c r="A7076" t="inlineStr">
        <is>
          <t>比する</t>
        </is>
      </c>
      <c r="B7076" t="inlineStr">
        <is>
          <t>成功</t>
        </is>
      </c>
      <c r="C7076" t="inlineStr">
        <is>
          <t>読み方：ひする
［動サ変］［文］ひ・す［サ変］くらべる。比較する。「例年に—・して収穫が多い」</t>
        </is>
      </c>
      <c r="D7076" t="inlineStr">
        <is>
          <t>比較；比べる；対照；対比；較べる</t>
        </is>
      </c>
      <c r="H7076" t="n">
        <v>29</v>
      </c>
      <c r="I7076" t="inlineStr">
        <is>
          <t>小さな島だが、人口に比すれば漁獲量は相当で、町のひとの懐は豊かだ。；しかし、オス親も近縁種に比すればより強い子供との結びつきを持つ。；僕思うんですが、意志の大いさは絶望の大いさに正比する、とね。；これに比すると理科に対する国民の趣味はきわめて微々たるものである。；これは味もまた、他の色の交っていた時に比すれば、やや美味となる。；ただ、これを物質の不自由に比すれば、多少の自由を有するのみであります。；国土の大なる、これを地球全体に比すれば、また九牛の一毛にも及ばず。；かえって、潰れた家の数の方が、潰れない家の数に比すると遥かに少い。；これらの気慨を沮喪した兵士に比すると、壮士坊主の方が余ほどエライ。；これを大正末年の事情に比すれば、著しい進歩を認めざるを得ないであろう。；鎌倉時代は武断の世であっても今に比すればなお余裕があった。；この問題に比する時、自余の諸問題は殆んど無意義なるが如き感がある。；汽車はこれを他邦のものに比するに一層大にして、意外に安逸なるを覚ゆ。；ところで我々の心は鏡の如きものに比することができぬ。；故に前者に比すれば後者は寧ろより多く「人生のための藝術」である。；それは上の書牘二通に比すれば価値の少いものではあるが、わたくしはこれを下に記して置く。；一般男子の思想に比すれば婦人は何事をも考えていない、何らの立派な感想をも持っていないといってよいのである。；ただし体躯は人間のそれに比するとずっと小さいという。；私どもの肺はチベット人の肺に比すると大方半分しかなかろうと思います。；蕪木に比すれば私の狭い自由もまだ大きな範囲で、燕木は手紙一本書くすら容易に許されない身でした。；果して自分が他に比すれば馬鹿に大きな板を二枚持っていたので、人々に哄笑された。；このように南天は他に比する事の出来ないような心強い多くの芽を用意している事は面白い事実であるというべきだ。；他の大名に比すれば御恩賜過分なれども之内府殿の深慮ある故に候わずや。；しかし、人の場合には、他の動物に比すれば、文化的に決定される部分が非常に大きい。；また本邦を把りてこれを比するときはそのいづれに擬するを得るや。；かかる騒擾に比すれば、純粋の政治的動乱などは児戯に等しいものである。；同司令部の新聞記者を優待すること将校に異ならずしかも普通の将校に比すればかへつて多少の自由を有する所なきにあらず。；ヒットラーをスタフローギンに比するのは、私の文学趣味ではない。；鎌倉時代は武断の世であつても今に比すれば猶余裕があつた。</t>
        </is>
      </c>
      <c r="J7076">
        <f>HYPERLINK("https://www.weblio.jp/content/比する", "词义详情")</f>
        <v/>
      </c>
      <c r="K7076">
        <f>HYPERLINK("https://yourei.jp/比する", "查看例句")</f>
        <v/>
      </c>
    </row>
    <row r="7077">
      <c r="A7077" t="inlineStr">
        <is>
          <t>ひそか</t>
        </is>
      </c>
      <c r="B7077" t="inlineStr">
        <is>
          <t>成功</t>
        </is>
      </c>
      <c r="C7077" t="inlineStr">
        <is>
          <t>読み方：ひそか
［形動］［文］［ナリ］
１人に知られないように物事をするさま。「—に計画する」「—に思いを寄せる」
２公のものを私物化するさま。
「（清盛ハ）ほしいままに国威を—にし」〈平家・四〉</t>
        </is>
      </c>
      <c r="D7077" t="inlineStr">
        <is>
          <t>ひそかな楽しみ；ひそかな喜び；ひそかな願い；ひそかな期待；ひそかな誇り</t>
        </is>
      </c>
      <c r="E7077" t="inlineStr">
        <is>
          <t>こっそり；ひっそり；密か；密やか</t>
        </is>
      </c>
      <c r="F7077" t="inlineStr">
        <is>
          <t>心中ひそか；夜ひそか；ひとりひそか；ひそかな優越；ひそかな願望</t>
        </is>
      </c>
      <c r="H7077" t="n">
        <v>29</v>
      </c>
      <c r="I7077" t="inlineStr">
        <is>
          <t>彼は故郷へ帰って来たものの、心ひそかに藩からのお咎めを恐れていた。；この頃ひそかにマレー人の女性と結婚したらしいが、すぐに別れている。；ところがこの女が私の食膳をひそかに豊富にすることに努力してくれた。；だが、この時仕官に必要だった資金は蘇秦がひそかに出したものだった。；どうもウィリアムはひそかに主人ふたりをあの夜つけたようなのです。；葉子は心ひそかに何をしているんだろうと自分の動作を怪しんでいた。；日本でもひそかな人気があり、数年に一度国内登録が行われることがある。；自分にその歩いてゆく道の変化が見える間は大丈夫だとひそかに思つてゐる。；彼が心の中でひそかに予想したうちでの最も大きい不幸な事件であったではないか。；参宮の衆にかあらむ、旅びとの二人三人はさきのほどひそかに過ぎぬ。；そこへ狸千代が泊まりに現れ、やがて二人にはひそかな思いが芽生えた。；その様子をひそかに、金さんと夜鷹の おしの が別々に目撃していた。；彼はこの花を通じて自然に接することが出来ると、心ひそかに思った。；今日は若宮の生母で後醍醐帝の后である三位の局もひそかに訪れている。；ひそかに見ばや、小親を置きて世に誰かまたこの音の調をなし得るものぞ。；そしてあなたは私のひそかに恃んでいる尊い部分に触れてくれました。；周迪はこれを聞いて不満を抱き、ひそかに留異と結託するようになった。；また、多鶴子の映画を見てひそかに不逞な想像をしていた者もいるだろう。；女中はひそかに心を寄せた男をそんな風に言われたので、ふと悲しくなった。；何か相手の方からいい機会を与えてくれればいいと、ひそかに祈っていた。；彼らが結婚するときにはまず、ひそかに情を通じて女を奪い去ってゆく。；善鸞様御上洛の際唯円殿がたびたびひそかに会いに行ったらしいのです。；城中の農商も夜ひそかに出でて之に應じ、多く金穀を得て城にもちゆく。；遠く離れた相手の様子をひそかに探ることができる道具のセット。；アンドリューにひそかに想いを寄せていたアマンダも成長し、結婚した。；わびしい・かすかな・ひそかな心境の現れた作物について言ふ語である。；プルチネルラに嫉妬する町の若い男たちはひそかにプルチネルラを殺す。；夜間になってひそかに撤退したが、東魏軍もあえて追撃してこなかった。；娘のことなどどうでも良い顔で、だからひそかに自分に己惚れていたのだった。</t>
        </is>
      </c>
      <c r="J7077">
        <f>HYPERLINK("https://www.weblio.jp/content/ひそか", "词义详情")</f>
        <v/>
      </c>
      <c r="K7077">
        <f>HYPERLINK("https://yourei.jp/ひそか", "查看例句")</f>
        <v/>
      </c>
    </row>
    <row r="7078">
      <c r="A7078" t="inlineStr">
        <is>
          <t>潜む</t>
        </is>
      </c>
      <c r="B7078" t="inlineStr">
        <is>
          <t>成功</t>
        </is>
      </c>
      <c r="C7078" t="inlineStr">
        <is>
          <t>読み方：ひそむ
［動マ五（四）］
１ひそかに隠れる。隠れて静かにする。「昆虫が物陰に—・む」
２内部に隠れて外に現れない状態にある。潜在する。「胸の奥に—・む熱い情熱」「事件の陰に大きな犯罪が—・む」
［動マ下二］「ひそ（潜）める」の文語形。</t>
        </is>
      </c>
      <c r="D7078" t="inlineStr">
        <is>
          <t>潜む可能性；潜む力；潜む深い；潜む暗</t>
        </is>
      </c>
      <c r="H7078" t="n">
        <v>29</v>
      </c>
      <c r="I7078" t="inlineStr">
        <is>
          <t>またクリシュナと出会ってからは心の奥に潜む闇が明らかとなってくる。；人間の意識下に潜む狂気・異常・神秘の世界を見事なまでに描きあげた。；この伝承の背後に潜む意味を説明するために、多数の説が提出されてきた。；そのまま、わたしが潜む木の横を通り過ぎて食堂に向かっていきました。；今立っているこの場所が、敵の潜む戦場である事すら忘れそうになる。；目を凝らす内、やがてその暗がりの中に潜むものたちの姿が見えてきた。；母と自分の服の下に潜む、おぞましい刻印さえも見えるような気がした。；普段は深い洞窟の奥に潜み、暗くなってから獲物を求めて外に出てくる。；ぼくは次の瞬間、急いで溝の上流側のトンネルに足から体を潜ませていた。；それが、身の内に潜む姫神の影響だけだとは、どうしても言いきれない。；その音が、雑草の中に身を潜ませている僕のもとにまで聞こえてきた。；京から大阪に向かう旅商人たちが、二人の潜む藪のほうへ向かってくる。；だから岩と岩の間に潜むどんな魚でも、彼の目から逃れることはできない。；あいての眼の裏に潜むものをすぐ読んでギクとふるえに襲われたらしい。；もし刺客を潜ませていたならば、ただ一人を敵とするだけであります。；ここに時間の波は届かないのだから、二人はただじっと潜み続けるだけだ。；お互い内に潜むものが違っていたからこそ、仲がよかったのだろう。；中のシャツの胸ポケットに、小動物が潜むかのような震えがあった。；店を出たときに、通りの彼方でカメラを手に潜む、男の姿に気づいていた。；少年と目が合った瞬間、その目の奥に潜む暗さに、衝撃を受けたのだ。；しんとした夜の静かさの中で悪謔うような淫らな女の潜み笑いが聞こえた。；六十を過ぎたこの男の何処に、これだけの余裕と体力が潜むのか疑問だった。；それ等のものに潜む美が認識されるまでに、今日までの長い月日がかかつた。；いま満から、犯人グループが潜むマンションを張っていると連絡が入った。；雅子は魔物が潜む闇を警戒するように見据えながら、道路を左に折れた。；日の光りの下で考えると、前夜のことが頭の奥へ潜み込んでしまった。；そこにもまた、歴史が残した両国民間に潜む根深い溝が存在していた。；すなわち宇宙の統一力はわれらの内部にあっては意識の背後に潜む統一力である。；それらのものに潜む美が認識されるまでに、今日までの長い月日がかかった。</t>
        </is>
      </c>
      <c r="J7078">
        <f>HYPERLINK("https://www.weblio.jp/content/潜む", "词义详情")</f>
        <v/>
      </c>
      <c r="K7078">
        <f>HYPERLINK("https://yourei.jp/潜む", "查看例句")</f>
        <v/>
      </c>
    </row>
    <row r="7079">
      <c r="A7079" t="inlineStr">
        <is>
          <t>ひそやか</t>
        </is>
      </c>
      <c r="B7079" t="inlineStr">
        <is>
          <t>成功</t>
        </is>
      </c>
      <c r="C7079" t="inlineStr">
        <is>
          <t>読み方：ひそやか
［形動］［文］［ナリ］
１ひっそりとしているさま。もの静かなさま。「—に夜の雨が降る」
２人に知られないようにそっと行うさま。「—な楽しみ」「—に泣く」
３物の乏しいさま。
「—な身代(しんだい)ぢゃと」〈浄・河原達引〉</t>
        </is>
      </c>
      <c r="D7079" t="inlineStr">
        <is>
          <t>ひそやかな足音(3%)；ひそやかな声(3%)；ひそやかな音(2%)；ひそやかな喜び；ひそやかな会話</t>
        </is>
      </c>
      <c r="E7079" t="inlineStr">
        <is>
          <t>静か；秘密；密か；静寂；密</t>
        </is>
      </c>
      <c r="H7079" t="n">
        <v>29</v>
      </c>
      <c r="I7079" t="inlineStr">
        <is>
          <t>しばらくすると、ひそやかな衣ずれの音をさせて文が部屋に戻ってきた。；それがひそやかな音を三回たてる間もなく、中から扉がゆっくりと開く。；そのひそやかな鳥と雨の足との外には何の動くものもないやうに靜かである。；息づかいはこの上なくひそやかで、身体はほとんど動きを見せなかった。；何かひそやかな、奇妙な緊張感にみちた静寂が、夜闇の底を埋めている。；同じことがこれからもずっと繰り返されることを密やかに祈ってしまう。；広大な海に、誰に知られることもなく密やかに降る雨のことを思った。；生物の気配はなく、ただひそやかに雨音だけが池と森を支配していた。；しかし、このばあい、そのひそやかな楽しみに倣うことも危険であった。；あれは何か恐るべき暗示をわたしにひそやかに与えているのにちがいない。；それは地上に落ちた星のように、ひそやかに慎ましく、夜の底を彩った。；銀河の千の世界で、それぞれひそやかに語られているにしか過ぎない。；その柔軟な革の長靴のおかげで、足音をたてずにひそやかに進んでいく。；遠い所から、木の葉をゆする風につれて、ひそやかな雨の脚が近づいた。；真暗な夜の空の冷たさが、どこからともなくひそやかに流れて来たやうだ。；そう、俺が昼間実験していた咒式の一つが影よりも密やかに展開していたのだ。；草ではなく溪流だが、ひそやかな谿流は眼を向けなければそれと分らない。；床を踏む足音は重々しく、ひそやかで、人間のものとも思われなかった。；問題はそこが相手の心の奥底の、最もひそやかな深みであることであった。；それを見ると、ひそやかに満足をおぼえて彼は女から目をはなした。；誰かにじっと見られているような、密やかな視線の気配がした。；彼の横顔が見える位置へ、ローワンは影のようにひそやかに移動した。；だが、あの密やかな声はもう聞こえてこず、今度こそ途切れたままだ。；しかしその中に、ひそやかな緊張があるのもリーリンは感じていた。；麻也子は会長のしわがれ声が終わるのを待って、ひそやかな声で対応する。；その時鍛冶小屋の外をひそやかに歩き廻っている人間がありました。；かくして、天使の翼のひそやかな音が他の反響に混じって聞こえてきた。；私の走る足音が静かな青に響き渡り、ひそやかに吸い込まれて街に消えていった。；どす黒い霧が渦を巻き、象のようなものが影の中をひそやかに進んでいく。</t>
        </is>
      </c>
      <c r="J7079">
        <f>HYPERLINK("https://www.weblio.jp/content/ひそやか", "词义详情")</f>
        <v/>
      </c>
      <c r="K7079">
        <f>HYPERLINK("https://yourei.jp/ひそやか", "查看例句")</f>
        <v/>
      </c>
    </row>
    <row r="7080">
      <c r="A7080" t="inlineStr">
        <is>
          <t>額</t>
        </is>
      </c>
      <c r="B7080" t="inlineStr">
        <is>
          <t>成功</t>
        </is>
      </c>
      <c r="C7080" t="inlineStr">
        <is>
          <t>読み方：がく
［音］ガク（漢）　［訓］ひたいぬか
［学習漢字］5年
〈ガク〉
１ひたい。「前額部」
２壁などに掲げる書き物。「額縁(がくぶち)／篆額(てんがく)・扁額」
３金銭上の数値。「額面／価額・巨額・金額・差額・少額・全額・増額・多額・半額」
４物の量。「産額」
〈ひたい（びたい）〉「額際／富士額」</t>
        </is>
      </c>
      <c r="D7080" t="inlineStr">
        <is>
          <t>額蔵；額角；額ずい；額髪；額越し</t>
        </is>
      </c>
      <c r="E7080" t="inlineStr">
        <is>
          <t>数；高；量；値；金額</t>
        </is>
      </c>
      <c r="F7080" t="inlineStr">
        <is>
          <t>広い額；限度額；相当額；賞金額；出荷額</t>
        </is>
      </c>
      <c r="G7080" t="inlineStr">
        <is>
          <t>額縁；額田；額田郡；額面通り；額賀</t>
        </is>
      </c>
      <c r="H7080" t="n">
        <v>29</v>
      </c>
      <c r="I7080" t="inlineStr">
        <is>
          <t>この息子は人間の姿をしていたが、額の中央に一本の角が生えていた。；それに比例して党に寄せられた寄付金もこれまでになく渋い額となった。；その場合は坐位で膝を立てで額を膝につけられるかで判定することもある。；収入総合計額については増加した時期もあったが、最近では減少している。；日本は最大の援助国の一つであるが、近年は援助額がやや減少気味である。；その中でも最も生産額が多く重要なものは、ウィスキーの生産である。；その範囲の総生産額は約97兆円でカナダを上回る規模ともなっている。；収入総合計額が増加した時期もあったが、最近では減少している。；この三つの合計は6兆5000億円となり、上の指摘の額と同じになる。；なお、一部のカードでは目的別に複数の限度額が設定されている場合がある。；世界でもっとも鉄道車両生産額が大きい企業は、中国の中国中車である。；融資額を決定するために、質屋主はいくつかの要因を考慮する必要がある。；それぞれ、企業のある時点での負債の額と純資産の額とが記載される。；テネシー州では一件の制限額を超える相続財産には相続税を課している。；商業に関しては卸売業が販売額を占める割合が高いのが特徴となっている。；この金額は最終的に全て達成され、最終合計額は676万円に上った。；原文のヘブライ語聖書では、一度だけ額に一本の角の生えた動物が出てくる。；日記には、営業の記述のあとに「」などとギャラの額が記されている。；逆に輸入額が多いのは日本やアフリカ諸国である。；この額はマルクスがこれまで執筆で得た金の総額よりも多かった。；両目の間に鋭い額角があり、頭胸甲には頭部と胸部を分ける頸溝がある。；キャンバスは額に入れられることはなく、むき出しのまま展示される。；新人選手の獲得にあたっては契約金の最高標準額が申し合わされている。；空港の貿易輸出額と比較しても、成田国際空港と日本一の座を争っている。；ただし、上記の契約ではいずれも、契約金額を明らかにしていない。；は、資本取引を除いた純資産の増加額から減少額を差し引いたものである。；このため失業保険の支払いが膨大な額となり、何らかの対策が迫られた。；上記のような収入の多いリーグ以外のリーグでプレーする選手の収入は、比較的一般的な額である。；主な林産物の生産額と合計額は以下のようになっている。</t>
        </is>
      </c>
      <c r="J7080">
        <f>HYPERLINK("https://www.weblio.jp/content/額", "词义详情")</f>
        <v/>
      </c>
      <c r="K7080">
        <f>HYPERLINK("https://yourei.jp/額", "查看例句")</f>
        <v/>
      </c>
    </row>
    <row r="7081">
      <c r="A7081" t="inlineStr">
        <is>
          <t>浸す</t>
        </is>
      </c>
      <c r="B7081" t="inlineStr">
        <is>
          <t>成功</t>
        </is>
      </c>
      <c r="C7081" t="inlineStr">
        <is>
          <t>読み方：かす
［動サ四］
１水にひたす。つける。
「秋刈りし室のおしねを思ひ出でて春ぞたなゐに種も—・しける」〈堀河百首〉
２米を洗う。米をとぐ。〈新撰字鏡〉</t>
        </is>
      </c>
      <c r="D7081" t="inlineStr">
        <is>
          <t>沈める；濡らす；漬ける；浸かる；浸漬</t>
        </is>
      </c>
      <c r="H7081" t="n">
        <v>29</v>
      </c>
      <c r="I7081" t="inlineStr">
        <is>
          <t>実は何もなかったのではないか、という奇妙な感覚が静かに心を浸した。；そこで彼は全身を浸したが、一箇所だけ浸らない部分が残ってしまった。；そしてそれ等が皆なその自分々々の生活気分に浸されて世を送つてゐる。；内藤は試合が近づくにつれて少しずつ恐怖に浸されるようになっていた。；彼は伝説と信仰とのそういう世界に、身を浸さないではおれなかった。；一瞬この世のものとは遠い妖しく美しい光に浸されているようにも見えた。；膝下までを冷たい川の水に浸したまま、おれは呆然と空を見上げていた。；それを想像すれば、弘三は自分が自分を超えるような恍惚感に浸された。；彼女は初めて知った思いの余韻に浸されながら心のなかでつぶやいた。；人々が道を開き、正面に大きく真暗闇が見え、冷たい空気が浸してきた。；谷川が蛇のようにあらわれては道を横切り、あるいは道を浸して流れる。；いま、全身を浸すべき感慨は、この美しい若者の何処にも感じられない。；絵画が銀粒子の中に浸されることは一つの歴史的矛盾形態を暴露している。；あるいは少なくとも治癒力をもつこの海水に体を浸すべきかもしれない。；二人のあらゆる行為と思想とを浸し、一瞬も二人から離れなかった。；レーヴィはその心臓を取り出し、次にもう一つの心臓を同じ液に浸した。；それでも、顔を浸したままだと、一息に二間近くも進めるようになった。；間違いなく、自分達二人が主役を務めたのだという心地よさに浸された。；風味は、香りが強くほろ苦さがあり、主にお浸しなどにして食べられる。；水野の身に何かあったのではないかという不安に浸されていたのだ。；私は緑や青の石の上を滑る透明な流れに近づくと、草鞋の爪先を浸した。；ぼくは暇を見つけてはここに来て、あの緑の中に視線を浸すようにして座るの。；その中を、誰か、ざぶざぶと膝まで水に浸して歩いてくる者があった。；池田は崖の下の小さな滝壺に手拭を浸しては、汗になった身体を拭いた。；療法師が二人、痺れ草の溶液に浸した包帯を彼女の脚に巻きつけている。；慎平はむかっとしたが、黙って運ばれてきたコーヒーの香りに顔を浸した。；そして藤や蔓草が池の周圍からどす黒い水の中へ曲げた頭を浸してゐた。；全身が冷たいとも、熱いともつかぬ何かの水に浸されたようだった。；そこで、冷たい水を持ってきて、大きな木の葉を何枚もそれに浸した。</t>
        </is>
      </c>
      <c r="J7081">
        <f>HYPERLINK("https://www.weblio.jp/content/浸す", "词义详情")</f>
        <v/>
      </c>
      <c r="K7081">
        <f>HYPERLINK("https://yourei.jp/浸す", "查看例句")</f>
        <v/>
      </c>
    </row>
    <row r="7082">
      <c r="A7082" t="inlineStr">
        <is>
          <t>ひたすら</t>
        </is>
      </c>
      <c r="B7082" t="inlineStr">
        <is>
          <t>成功</t>
        </is>
      </c>
      <c r="C7082" t="inlineStr">
        <is>
          <t>読み方：ひたすら
［形動］［文］［ナリ］そのことだけに意を用いるさま。もっぱらそれだけを行うさま。「—な思い」「—に弁解する」
［副］
１ひとすじに。いちずに。「—研究にいそしむ」「—無事を祈る」
２まったく。すっかり。
「身をば—、え捨て侍らぬものなれば」〈狭衣・一〉
[用法]ひたすら・いちず——「ひたすら（いちずに）芸に励む」「ひたすら（いちずに）歩き続ける」など、そのことに専念する意では、相通じて用いられる。◇「ひたすら」は、もっぱらそのことだけを行う意で用いることが多い。「ひたすらおわびいたします」「ひたすらお願いするしかなかった」◇「いちず」は気持ちのあり方に重点があり、他を顧りみず、一つの事柄だけに打ち込む意で用いることが多い。「いちずに思い込む」「勉学いちずの毎日」◇類似の語に「ひたむき」がある。脇目もふらず一つの事に熱中する意で、「いちず」に近い。「ひたむきな態度」「ひたむきに生きる」</t>
        </is>
      </c>
      <c r="D7082" t="inlineStr">
        <is>
          <t>ひたすら走り；ひたすら待つ；ひたすら走る；ひたすら歩い；ひたすら歩く</t>
        </is>
      </c>
      <c r="E7082" t="inlineStr">
        <is>
          <t>必死に；熱心に；もっぱら；徹底的に；懸命に</t>
        </is>
      </c>
      <c r="F7082" t="inlineStr">
        <is>
          <t>ひたすら戦い続ける；ひたすら一直線；ひたすら走り続ける；ひたすら歩き続ける；ひたすら歩きつづけ</t>
        </is>
      </c>
      <c r="H7082" t="n">
        <v>29</v>
      </c>
      <c r="I7082" t="inlineStr">
        <is>
          <t>昼はそばなどを軽く食べ、夜は酒の肴をあてにひたすら酒を飲んでいた。；ベッドの上でウルドゥー語を学び、インド文化をただひたすら研究した。；この行先はひたすら広大にのみなりゆきて、彼の一切の路を堰き止めた。；罪から救われたい人はただひたすらに救われたいほかはないはずである。；これもワットのひたすら真摯な努力が実を結んだものに外ならないのです。；あるいは、死期が近づくとこの地に集まりひたすら死を待つ人々もいる。；アニメでは「石はタダだから」との理由でひたすら石を生産していた。；縄張りを作ったり何かを防衛したりはせず、雄はひたすら雌を探し回る。；出発時間の迫った旅人の様な気持に追立てられて、彼はひたすらに書いた。；ロボットの少年がうつむいたまま、画面左に向かってひたすら歩き続ける。；その生活に動乱の時代の気配はなく、ひたすら穏やかな日々が続いていた。；彼は腰を低くして、ひたすら妨害と抵抗との施しを乞わずにはいられまい。；その為、ひたすら攻撃ばかりを繰り返していては逆に窮地に追い込まれる。；勝利時の台詞も本性が若干隠れ見えるものの、ひたすら猫をかぶっている。；そしてひたすらこの美しい魔法が永久に終らないことを希望するのであつた。；二人の無私なる心の秘密に足を踏み入れず、ひたすら尊敬するしかない。；ライブもせずに只ひたすら二人きりでスタジオに篭ってセッションの日々。；ただ彼の臆病な心はひたすら案内人の気にさわることを恐れているのである。；何でも暗い所へ行かなければならないと、ひたすら暗い所を目的に歩き出したばかりである。；ここには、死を前にしてひたすら赦しを乞う、一途な後悔の念があった。；ギルレイが私に飽きたので、ただひたすら私を追い出したかったのです。；そして、あなたはひたすら父君の臨終の迫るのを待ち焦れていたのです。；ひたすら得ようとばかり思っている者は、かつて得たもののことはもう忘れている。；決定キーを操作しながら、プレイヤーは糸を小さな針の穴にひたすら通していく。；斎藤茂吉を生涯の師と定め、茂吉の教えを受けひたすら作歌に没頭した。；これもひたすら抑えに抑え、隠しに隠していたのであった。；ひたすら願う、ひたすら・・・ママが帰ってくるの信じて・・・・・。；アンプを手に入れると、演奏、作曲などの練習をひたすら続けるようになる。；他人の悲しみを全身で感じて、他人のためにひたすら尽くすのだ。</t>
        </is>
      </c>
      <c r="J7082">
        <f>HYPERLINK("https://www.weblio.jp/content/ひたすら", "词义详情")</f>
        <v/>
      </c>
      <c r="K7082">
        <f>HYPERLINK("https://yourei.jp/ひたすら", "查看例句")</f>
        <v/>
      </c>
    </row>
    <row r="7083">
      <c r="A7083" t="inlineStr">
        <is>
          <t>ひたむき</t>
        </is>
      </c>
      <c r="B7083" t="inlineStr">
        <is>
          <t>成功</t>
        </is>
      </c>
      <c r="C7083" t="inlineStr">
        <is>
          <t>読み方：ひたむき
［形動］［文］［ナリ］一つの物事だけに心を向けているさま。忍耐強く、いちずに打ち込むさま。「—な努力」「—な情熱」</t>
        </is>
      </c>
      <c r="D7083" t="inlineStr">
        <is>
          <t>ひたむきな情熱(2%)；ひたむきな姿；ひたむきな表情；ひたむきな愛情；ひたむきな心</t>
        </is>
      </c>
      <c r="E7083" t="inlineStr">
        <is>
          <t>熱心；本気；真剣；真面目；懸命</t>
        </is>
      </c>
      <c r="H7083" t="n">
        <v>29</v>
      </c>
      <c r="I7083" t="inlineStr">
        <is>
          <t>先ほどの少女のようなひたむきな表情が一足飛びに母親のそれに変った。；皆それぞれがそれぞれに、前に向かって走っているひたむきな若者たちだ。；歩き続ければどこかへ着くと信じているかのような、ひたむきな顔だった。；橋の上で硫酸の入った瓶を籠ごと持ちあげた時のあのひたむきな表情。；女はそれでもひたむきに愛そうとするが、男はもとの世界へと戻って行く。；やっぱり、くずれた中にも何かひたむきなところのある人が好きなんです。；伯母さんの愛は、ひたむきに妹ひとりだけに向けられていたのだから。；視界には俺しかいないようなひたむきさで、秋葉は俺を見つめている。；その、ひたむきともいえる忠興の激しい愛の中に、光を産んだのである。；いつもの彼はもっとひたむきで、決して周りの人や物を非難したりしないのに。；ソープで働いたのだって、ひたむきに生きようとした結果かもしれない。；しかしテレーズのほうはひたむきにこの青年の世界に生きようとしていた。；おれの方を見た表情も、その辺の連中と何ひとつ変わらぬひたむきなものだった。；彼の、そのひたむきな態度こそが、恋心の現れに違いないのだと確信した。；そのひたむきさに触発されることが、短篇を書くということだったのだ。；一番隊の真価はそのひたむきな攻撃力にあり、それは遺憾なく発揮された。；そのころは純真な愛情をもってひたむきに女を愛しておりました。；誰がこの私のひたむきの愛の行為を、正当に理解してくれることか。；野球を仕事にしているんだから、もっと野球にひたむきであって当然やと思っていた。；ひたむきな姿を見ていると、邪魔したくてうずうずしてくるではありませんか。；否も応も許さぬひたむきさに、萩生は負担を感じる余裕もなくうなずいた。；「自分たち自身のことを考えてはいけませんわよ」と彼女はひたむきに言った。；あたし、ひたむきで、純真で、真面目な青年なんだと思っていたんです。；きっとあのひたむきな熱っぽい目をして嵐の後の道を復していたにちがいない。；若者らしいひたむきさがもっとあってもいいのではないか。；二人のひたむきな情熱によつて、結婚だけが、当然のことに思はれたのだ。；はじめたころのひたむきさを最近ややうしないつつあった。；解説を求めてヤメタさんを見ると、彼もひたむきに顔を洗っています。；それはもはや、ひたむきな情熱だけで事を処理し得る時代ではない。</t>
        </is>
      </c>
      <c r="J7083">
        <f>HYPERLINK("https://www.weblio.jp/content/ひたむき", "词义详情")</f>
        <v/>
      </c>
      <c r="K7083">
        <f>HYPERLINK("https://yourei.jp/ひたむき", "查看例句")</f>
        <v/>
      </c>
    </row>
    <row r="7084">
      <c r="A7084" t="inlineStr">
        <is>
          <t>左</t>
        </is>
      </c>
      <c r="B7084" t="inlineStr">
        <is>
          <t>成功</t>
        </is>
      </c>
      <c r="C7084" t="inlineStr">
        <is>
          <t>読み方：さ
［音］サ（呉）（漢）　［訓］ひだり
［学習漢字］1年
〈サ〉
１ひだり。「左岸・左記・左折・左右(さゆう)」
２低い位。「左遷」
３正しくない。「左道」
４支え助ける。支えとなるもの。「証左」
５革新的な思想・立場。「左傾・左翼／極左」
６野球で、左翼。レフト。「左飛・左中間」
７酒飲み。「左党」
〈ひだり〉「左側・左手(ひだりて)／右左」
［名のり］すけ
［難読］左右(そう・とかく・とにかく)・左見右見(とみこうみ)・左手(ゆんで)</t>
        </is>
      </c>
      <c r="D7084" t="inlineStr">
        <is>
          <t>左門；左胸；左衛門尉；左衞；左内</t>
        </is>
      </c>
      <c r="E7084" t="inlineStr">
        <is>
          <t>左手；左側；左翼；左派；レフト</t>
        </is>
      </c>
      <c r="F7084" t="inlineStr">
        <is>
          <t>左馬；左エ門；左奥；左半身；左前脚</t>
        </is>
      </c>
      <c r="G7084" t="inlineStr">
        <is>
          <t>左手；左衛門；左側；左翼；左岸</t>
        </is>
      </c>
      <c r="H7084" t="n">
        <v>29</v>
      </c>
      <c r="I7084" t="inlineStr">
        <is>
          <t>左遣いは差金と呼ばれる棒を用いて人形から少し離れた位置で操作する。；音高に合わせて左から右に小さくなるように円弧に配置するのが一般的。；逆に針が左に傾いていると低く、右に傾いていると高い事を示している。；左から3人の男性のうち1人がルノワールではないかと考えられている。；小数点より左を整数部と呼んで、右から一の位、十の位の数を記述する。；敬礼は右拳を左胸に当てる形式が基本だが、挙手の礼をする場合もある。；しかし例えば「左の値との差」をとると、データは以下のようになる。；午前10時頃、高陽原に明軍は左・右・中央の三隊の陣形で押し寄せた。；奏者は正面ではなくやや左を向き、右に首をかしげて唇を歌口に当てる。；盛土を走るようになると視界が開け、左に低い山並みを見ることができる。；もし左に数値がない場合は、単に一つ上の列のカラム 1の数値を取る。；そのそれぞれについて、右投げ用・左投げ用・両投げ用が存在する。；あるいは南を下、北を上とした時、東の方向が右、西の方向が左となる。；袋状を構成する中央部分は胃体と呼ばれ、左に湾曲するC字型である。；左のカメラ端にあるのが測距用、カメラ中央部にあるのがフレーミング用。；左がヨーロッパ、右がアジアで、両者の間を隔てるのがボスポラス海峡。；例えばキャラクターが右を向いている場合、左に入力するとガードになる。；やがて西武園線が左にそれ、住宅街ながら緑の多い一帯を北に進む。；表の値を決めるためは、すぐ左の値を見て、一つ上の列でその順番の値を取る。；左を向いている人の口の大きさと舌を盛り上げる位置にチャートは対応している。；五線の左右は時間を表しており、左から右へと時間が進んでゆく。；建物左部には、かつては愛称がない時のロゴマークが付いていた。；左に見えるのは教会で、さらに左に教会付属の墓地が広がる。；左右同じ大きさにならず、左の耳たぶが右に比べて大きくなった。；左に大きくカーブを描き日本製紙八代工場の脇を進んで八代駅に至る。；イラスト左から、従動車が原動車と同じ回転方向を得るオープンベルト。；画像中央やや左に見える大規模な施設群は冨士フィルム工場である。；画像のX軸は時間を表し、左が最も古く、右が最も新しい海底である。；副音声付放送は主+副であるが、ステレオ方法は単純に左+右ではない。</t>
        </is>
      </c>
      <c r="J7084">
        <f>HYPERLINK("https://www.weblio.jp/content/左", "词义详情")</f>
        <v/>
      </c>
      <c r="K7084">
        <f>HYPERLINK("https://yourei.jp/左", "查看例句")</f>
        <v/>
      </c>
    </row>
    <row r="7085">
      <c r="A7085" t="inlineStr">
        <is>
          <t>左足</t>
        </is>
      </c>
      <c r="B7085" t="inlineStr">
        <is>
          <t>成功</t>
        </is>
      </c>
      <c r="D7085" t="inlineStr">
        <is>
          <t>左足関節；左足を高く；左足親指；左足を大きく；左足甲</t>
        </is>
      </c>
      <c r="F7085" t="inlineStr">
        <is>
          <t>左足小指；左足腓骨；左足アウトサイド；左足インサイド；左足切断</t>
        </is>
      </c>
      <c r="G7085" t="inlineStr">
        <is>
          <t>左足ブレーキ；左足ボレー</t>
        </is>
      </c>
      <c r="H7085" t="n">
        <v>29</v>
      </c>
      <c r="I7085" t="inlineStr">
        <is>
          <t>庵野の父親は若い頃の事故で左足の膝から下を失っており義足であった。；もっとよく見ると、左足の下に赤い血だまりのようなものができている。；彼の戦闘の説明は彼の人気を高め、彼の左足は軍礼を以って埋葬された。；ただし打ち始める時点で左足を閉じオーソドックスな体勢になっていた。；サイコー・ワープは左足を失ってから血と汗と涙で完成させた技でもある。；また左足の怪我は高校時代から既に発症していたことも明らかにしている。；乗ろうとしている女性は、脚を高く上げ、ステップに左足をかけている。；これは左足の形をしており、二ツ井の田代には右足の形をした沼がある。；しかし翌年の2012年には左足が同じ病気になってしまい再び手術を受けた。；グロースは開幕してすぐに左足の故障により故障者リスト入りとなった。；投げる際に、左足の膝を肩に届くほど高く上げる独特のフォームが特徴。；ロープを引いては裸足の左足で押さえ、また引いては押さえを繰り返した。；左足での正確なキックを武器に セットプレーのキッカーも務めている。；熱はないが、副木を当てた左足は、ちょっと動かしただけでもまだ痛い。；しかし友田方の反撃に遭い、高利の中間一人が左足に矢傷を受けている。；ヨハネが左足を乗せた岩の側面にラテン語化した名前で署名している。；ズボンは左足部分に大きなふた付きポケットが付いているのが特徴的である。；彼の左足は強力なキック力を持つ事から、ヴィラの大砲の異名を取った。；は左足に不安を抱えたまま開幕を迎え、前年同様の打撃不振に苦しむ。；その左足と右手には、それぞれ両端に白い斑点がはいっておりました。；その左足と右足の間にねじ込むような形で、兄が左の足を踏み込んでいる。；そのたびに私は、もう私の左足はないのだということを自分に言い聞かせた。；その内容は、手は右手を前にし、足は逆に左足を前にする中段構えを特徴とする。；その4分後には左足で得点を決め、代表初得点も同時に達成した。；のちの陸上跳躍競技でも織田はこの左足 を使うことになっていった。；寝棚に腰を降ろしたまま、かれは左足を持ち上げて右膝の上に載せた。；更に12月に入り左足ふくらはぎの手術が必要となったことが判明。；左足で操作する際には多少の苦労を伴うこととなる。；生まれた時は、左足の指が歩くのに苦労するほど変形していた。</t>
        </is>
      </c>
      <c r="J7085">
        <f>HYPERLINK("https://www.weblio.jp/content/左足", "词义详情")</f>
        <v/>
      </c>
      <c r="K7085">
        <f>HYPERLINK("https://yourei.jp/左足", "查看例句")</f>
        <v/>
      </c>
    </row>
    <row r="7086">
      <c r="A7086" t="inlineStr">
        <is>
          <t>左側</t>
        </is>
      </c>
      <c r="B7086" t="inlineStr">
        <is>
          <t>成功</t>
        </is>
      </c>
      <c r="C7086" t="inlineStr">
        <is>
          <t>読み方：さそく
ひだりがわ。「—通行」⇔右側。</t>
        </is>
      </c>
      <c r="D7086" t="inlineStr">
        <is>
          <t>左側面(6%)；左側頭部；左側背；左側車線；左側部分</t>
        </is>
      </c>
      <c r="E7086" t="inlineStr">
        <is>
          <t>左；左手；レフト；左方</t>
        </is>
      </c>
      <c r="F7086" t="inlineStr">
        <is>
          <t>画面左側；進行方向左側；写真左側；車体左側；向って左側</t>
        </is>
      </c>
      <c r="G7086" t="inlineStr">
        <is>
          <t>左側通行</t>
        </is>
      </c>
      <c r="H7086" t="n">
        <v>29</v>
      </c>
      <c r="I7086" t="inlineStr">
        <is>
          <t>左側眼・右側眼の両方の種類がいて、種の中では向きが統一されている。；左側の写真から本物かどうか確認するためにつけられた傷が確認できる。；更にそこから下って北鎌倉駅前の道で出たすぐ左側の橋は十王橋という。；盾は剣をしまった状態ではギルの正面、剣を抜いた状態では左側を向く。；ドア横に2台あり、入って左側は床に置く形の運賃箱で現金対応である。；席は原則固定で、向かって左側の席から1枠・2枠・3枠・4枠である。；しかし、実際にはエンジン左側の空間が狭過ぎて人が出入りできなかった。；左側は銀色逆向き斜め帯の下に赤い爪と舌を持った左右逆向きの黒い獅子。；なぜ左側がOKなのかは、後述のOKゲームに由来していると思われる。；例えば発生では口はまず左側に開き、その後に正面下に移行する。；画像の中央、鉄道との交差部の左側がクランク状になっているのが分かる。；駅舎の中央を通路が通り、その右側が待合室で左側がトイレとなっている。；この付近より、上下線の位置が反対方向と比較して多少左側にずれてくる。；領章は左胸に付けており、星の数とその左側の縦線で示していた。；彼の左側面は赤に金色の横帯が入り、銀のポールがその一部を覆っている。；場所はアトラクションの出口を乗り場方面へしばらく進んで左側にある。；駅南側の踏切を渡って左側に入った小古墳上からの景観は穴場と言える。；左側の写真外に同じ組み合わせで1P側の操作デバイスも備えられている。；画面左側では紹介している映画を上映している山梨県内の映画館も紹介している。；解答ボタンは丸型の一個スイッチで、ゴンドラ左側に設けられていた。；基本的に旧「略服」に同じであるが、左側胸部のポケットが追加された。；左側直進が金山線時代の沼ノ端方面の軌道跡で、道路に転用されている。；追越しが終わった後は安全な時に左側の車線に戻らなければならない。；躙り口入って左側奥に四尺の出床、その右手やや奥に勝手からの入り口。；駅舎は富良野方に向かって左側のホームに隣接して設けられている。；左側にある小さい建物は劇場に食べ物やビールを供給していた。；駅を出て左側に進むとすぐにあるのが町民スポーツ広場である。；固定した配置場所を持たないが、必要に応じて第一艦橋前部左側の席に着く。；これは、数値の左側の数字が最上位である通常の十進表記に対応している。</t>
        </is>
      </c>
      <c r="J7086">
        <f>HYPERLINK("https://www.weblio.jp/content/左側", "词义详情")</f>
        <v/>
      </c>
      <c r="K7086">
        <f>HYPERLINK("https://yourei.jp/左側", "查看例句")</f>
        <v/>
      </c>
    </row>
    <row r="7087">
      <c r="A7087" t="inlineStr">
        <is>
          <t>左利き</t>
        </is>
      </c>
      <c r="B7087" t="inlineStr">
        <is>
          <t>成功</t>
        </is>
      </c>
      <c r="C7087" t="inlineStr">
        <is>
          <t>読み方：ひだりきき
１右手よりも左手のほうがよくきくこと。また、その人。左ぎっちょ。ぎっちょ。
２酒が好きで強いこと。また、その人。左党(さとう)。
[補説]2は、金鉱を掘るとき右手に槌(つち)、左手に鑿(のみ)を持つことから、鑿手と飲み手をかけたものという。</t>
        </is>
      </c>
      <c r="D7087" t="inlineStr">
        <is>
          <t>左利きである(9%)；左利き族(8%)；左利き用(7%)；左利きであり(3%)；左利き選手</t>
        </is>
      </c>
      <c r="F7087" t="inlineStr">
        <is>
          <t>本来左利き；右利き左利き</t>
        </is>
      </c>
      <c r="H7087" t="n">
        <v>29</v>
      </c>
      <c r="I7087" t="inlineStr">
        <is>
          <t>見ると、左の手に杖を持っていますから、彼が左利きだと判断しました。；A席にしたのは赤羽が左利きでそのほうがやりやすいと言ったからです。；一方で左利きの人は脳の働きが左右で逆になっていると予測できる。；この理論はまた、左利きの人々が脳の分業を逆転させていると予測する。；また剣の持ち手は左利きであったが、これを誇りに思っていた向きがある。；左利きであるが、サッカーの試合などでプレーする際は右足利きである。；これも監督は左利きのほうが有利だと考えているのではないか。；左利きの人のために表示する向きを反転させる機能は付いていない。；リアムが左利きであるため、左手ではなく右手の指が短くされている。；字を書いたりするのは左利きだったが、ギターはすべて普通の右用を使用した。；左利きの男の手によるものでなくして、どうしてそんなことがあるものか。；右利きとか左利きにも関係がないし、外国人にやらせても同じらしい。；けれども左利きの人間が右手で何かする事は決して不自然ではない。；アビシニア軍の侵入は、たちまち、左利き族の指導者集団に知られます。；「左利きか」 だが画面の中の少女は、右手でチップを受け取っている。；父親の厳しい躾が、かえってわしを頑なな左利きにさせたのかもしれぬ。；元々は左利きで、箸を持つ時や字を書く時には、現在でも左手を使う。；左利きの場合 オイルが十分乗った軌道をボールが走ることとなる。；さきほどから人の手元ばかり見つめおって、左利きがそれほど珍しいか。；そのため、かつては左利きの選手を右にコンバートする例が多かった。；なぜならば、左利き族の暮らしには角から骨までが利用されていたからです。；左利きの男が、死ぬ時に右手でピストルを打ったと、いう事になった。；おそらく、被害者が左利きであるのを知られまいとしたのだろう。；基本的に左利きだが、右で文字を書いたり出来ることが多数ある。；はじめて、左利き族の生活領域の界めを踏み越えて、森の外側にでて。；左利きの、足がびっこの紳士を探して、このあたりを歩きまわるなんて。；元々左利きだったが、小学5年生の時に父親の命令により右投げに転じた。；女が、何もいって来なかったことをみれば、左利きではないのだ。；彼女の怪我は顔の右側に集中しており、左利きの者に殴られたように思えた。</t>
        </is>
      </c>
      <c r="J7087">
        <f>HYPERLINK("https://www.weblio.jp/content/左利き", "词义详情")</f>
        <v/>
      </c>
      <c r="K7087">
        <f>HYPERLINK("https://yourei.jp/左利き", "查看例句")</f>
        <v/>
      </c>
    </row>
    <row r="7088">
      <c r="A7088" t="inlineStr">
        <is>
          <t>ぴたりと</t>
        </is>
      </c>
      <c r="B7088" t="inlineStr">
        <is>
          <t>成功</t>
        </is>
      </c>
      <c r="D7088" t="inlineStr">
        <is>
          <t>ぴたりとやん(3%)；ぴたりと止ん(3%)；ぴたりと足(2%)；ぴたりと停止；ぴたりと止まる</t>
        </is>
      </c>
      <c r="E7088" t="inlineStr">
        <is>
          <t>近く；完全に；ちょうど；正確；ちゃんと</t>
        </is>
      </c>
      <c r="F7088" t="inlineStr">
        <is>
          <t>ぴたりと止まり；ぴたりと閉じ；ぴたりとやめ；ぴたりとやみ；ぴたりと合う</t>
        </is>
      </c>
      <c r="H7088" t="n">
        <v>29</v>
      </c>
      <c r="I7088" t="inlineStr">
        <is>
          <t>まるで何かの冗談のように、肉と肉がぴたりと閉じ合って癒着したのだ。；第二と第三の箱のあいだには隙間がなく、ぴたりと入れ子になっていた。；それから十五六分も経ったころ、子路は急に自分でぴたりと車をとめた。；船が飯田河岸のような石垣へ横にぴたりと着くんだから海とは思えない。；彼らの犬たちも彼ら自身と同じくぴたりと止まって狂ったように吠えた。；その金でできた高い門は、真東にむかって、ぴたりとしまっていました。；だが舟魚はぴたりと彼の横に寄りそい、その鼻で体を押し上げてくれる。；私と目が合った時、彼の黒い銃口はぴたりと私の腹に向けられていた。；彼女の体は私の腕にぴたりとついて小さな足はこれ見よがしに床を踏んだ。；で、それはいよいよぼくにせまってきて、ぴたりとぼくの目を見つめた。；こちらの肌にぴたりと張りつくようなその眼眸に、異様な魅力があった。；こんどだけは、少年が考えていたことを、ぴたりといい当てたわけだった。；でもほかの窓と同じで、ルイスの座席の窓もぴたりと閉じられていた。；それが、ただ一瞬の間にぴたりとその足をとめられてしまったのだ。；もう少しで彼のつま先に達しようとした時、虫の群れがぴたりと止まった。；たったいま、そこにあったままの姿で、ぴたりと動かなくなったのだ。；長年ここで生活しているだけあって、ぴたりと体が収まったように見える。；しかし半分も歩かないうちに釘づけにされたようにぴたりと立ち止った。；書類を書き終って読み返していると、工場の機械の音がぴたりと止まった。；二人してぴたりと動くのをやめて、俺が何か言うのを待っていた。；しかし次の瞬間には、お延の胸がもうぴたりと夫の胸に食ついていなかった。；それがぴたりと目の前に止まるとかれはそんなこと忘れてしまった。；それは彼が持って生まれた強い意志の力にぴたりとかなった条件であった。；一つ一つ地図の上を追っていったドノバンの指は、ぴたりと止まった。；そこで自室のドアのところまで逃げていき、そこにぴたりとはりついた。；月世界がその軌道にぴたりと来る時間を選ぶことになるのですから。；背後にぴたりと従っていた徐夫余だけが、一瞬の早業を確認していた。；そして百七、八十メートルほどの高さまでくると、ぴたりと止まった。；だが俺の後ろにあるタコヤキ屋のカンバンを見てぴたりと足を止めた。</t>
        </is>
      </c>
      <c r="J7088">
        <f>HYPERLINK("https://www.weblio.jp/content/ぴたりと", "词义详情")</f>
        <v/>
      </c>
      <c r="K7088">
        <f>HYPERLINK("https://yourei.jp/ぴたりと", "查看例句")</f>
        <v/>
      </c>
    </row>
    <row r="7089">
      <c r="A7089" t="inlineStr">
        <is>
          <t>浸る</t>
        </is>
      </c>
      <c r="B7089" t="inlineStr">
        <is>
          <t>成功</t>
        </is>
      </c>
      <c r="C7089" t="inlineStr">
        <is>
          <t>読み方：ひたる
［動ラ五（四）］
１水などの中に入る。つかる。「温泉に—・る」「床下まで水に—・る」
２ある状態や心境にはいりきる。「毎日酒に—・る」「喜びに—・る」
[可能]ひたれる</t>
        </is>
      </c>
      <c r="D7089" t="inlineStr">
        <is>
          <t>浸る間もなく</t>
        </is>
      </c>
      <c r="E7089" t="inlineStr">
        <is>
          <t>被る；濡れる；浸透する；浸かる；浸潤する</t>
        </is>
      </c>
      <c r="H7089" t="n">
        <v>29</v>
      </c>
      <c r="I7089" t="inlineStr">
        <is>
          <t>だからこれは全く水が浸みないように工夫がしてあるとしか思われない。；こんな世界、好きなワインにでも浸ってなかったらやってられるものか。；芸術とは、自分自身の魂に浸ることいかに誠実にして深いかにあるのだ。；それというのも彼女は心も軽くしあわせな気分に浸っていたからである。；白昼夢に浸っていたため、バスがやってきたのに気がつかなかったのだ。；脚の先がちょうど快い温度のお湯の中へ浸っていくと想像してください。；そこで彼は全身を浸したが、一箇所だけ浸らない部分が残ってしまった。；好きなことだけを好きなように想像して、その中に浸っていれば良いのだ。；午後の光で街はケイの居た部屋のように水に浸っているように見えた。；父も母もいつのまにか、私と同じような気持ちに浸り込んでいたらしい。；咽喉を流れて行った熱いやつは腸の底の方まで浸み渡るような気がした。；少なくともこんなところでのんびりと幸せ気分に浸ってる場合じゃない。；大事な人を失った悲しみの中に、静かに浸っているかのように見えた。；しかし明治四十何年かの洪水の折にその家は屋根まで浸つてしまつた。；低声に語る言葉の一つ一つには彼女の生涯の悲しみが浸みついていた。；すると彼は、もう昔からよく知っているある感情に浸って目を閉じた。；感傷などに浸っている時ではない、と入鹿は自分に向っていい聞かせた。；肌に浸みる冬の感覚ももはや生々しく記憶の上に再現することが不可能だ。；N君の泊まっている家はこの芸術に浸り込んだような形勝の地にあった。；それとも、一人の時に面白い小説を読んでその世界に浸ることですか?；この世界に浸りきっているわたしたちは別の世界の存在を覚ったのだ。；坂の勾配はなかなか急で、逃げる者も追うものも浸るような汗になった。；そんな自嘲的な気分に浸っていると、不意に一つの疑問が頭をもたげた。；肌に浸みる冬の感覺も最早生々しく記憶の上に再現することが不可能だ。；が、それは彼の浸っている愉快な気持を少しも損なうものではなかった。；私はその重苦しい気分に浸りながら、殆んど時の過ぎるのをうち忘れた。；浴槽に浸って左にも右にも正面にもそそりたつ山を眺めることができる。；満足感に浸っていると、この場で聞こえてくるはずのない男の声がいった。；雨が降っていたから、「病気の学生」が、私に浸みてきたのではないか。</t>
        </is>
      </c>
      <c r="J7089">
        <f>HYPERLINK("https://www.weblio.jp/content/浸る", "词义详情")</f>
        <v/>
      </c>
      <c r="K7089">
        <f>HYPERLINK("https://yourei.jp/浸る", "查看例句")</f>
        <v/>
      </c>
    </row>
    <row r="7090">
      <c r="A7090" t="inlineStr">
        <is>
          <t>引っ掛かる</t>
        </is>
      </c>
      <c r="B7090" t="inlineStr">
        <is>
          <t>成功</t>
        </is>
      </c>
      <c r="C7090" t="inlineStr">
        <is>
          <t>読み方：ひっかかる
［動ラ五（四）］
１物にかかってそこに止まる。「風船が木の枝に—・る」
２途中で立ち寄る。また、手間どる。「飲み屋に—・る」
３やっかいなことにかかわりあう。関係が生じる。「選挙違反に—・る」「悪い男に—・る」
４計略にはまる。だまされる。「敵のわなに—・る」「甘い言葉に—・る」
５こだわりが残る。すっきりしない感じがする。「言い方に何か—・るものがある」
６監視・規制などによってとがめられる。また、そのために止められる。「書類の不備で—・る」「一斉検問に—・る」
７水などがふりかかる。「車のしぶきが—・る」</t>
        </is>
      </c>
      <c r="D7090" t="inlineStr">
        <is>
          <t>詰まる；騙される；動けなくなる；躓く；してやられる</t>
        </is>
      </c>
      <c r="H7090" t="n">
        <v>29</v>
      </c>
      <c r="I7090" t="inlineStr">
        <is>
          <t>意志の強そうな瞳に真牛は引っ掛かったが、女であることは間違いない。；周りの状況はすっかり忘れましたが、ずっと引っ掛かっていた記憶です。；指に引っ掛かっていたガラス瓶が、手を振ったために外れて下に落ちた。；考えてみると、そうした点が松尾には引っ掛からないでもないのだった。；ところが球はしっかりと網に引っ掛かるというような芸当も見せていた。；なのに、彼が学生だからというだけでない何か別のものが引っ掛かっていた。；それはやはり、オトンのことがボクの中で引っ掛かっているからだろう。；悪い女に引っ掛かって正吉が金を毟り取られるとでも思っているのだ。；リーリンの耳に小さな言葉の欠片が引っ掛かったようで、こちらを見る。；そうしてちょうどこの点に斉魯河間九篇本の問題が引っ掛かるのである。；それが事件を知った当初から達也の意識にずっと引っ掛かっていた。；今のところは、笠原が非常線に引っ掛かってくれることしか期待できない。；すんでの所で、CMのはさまれた番組のシーンが引っ掛かっていたのだ。；流れの上のほうに、赤いものが引っ掛かっているのが目に入った。；少女の言葉が頭のどこかで引っ掛かったが、それどころではなかった。；その眩い光を見ているうちに、俺は頭の中で何か引っ掛かるものを感じていた。；言うべき言葉が胸の奥に引っ掛かって、息苦しいような気分になるのだった。；ズボンの裾は泥で汚れ、コートには棘や枯葉や小枝が引っ掛かっていた。；ふと思い浮かんだのは、心のどこかに引っ掛かっていた忘れられない光景であった。；それが引っ掛かった理由は、想像したくない未来を暗示した台詞だからか?；それを教授した牧師目身が、どうも何かに引っ掛かっているようだ。；事件の直前に彼女の死亡通知が会社に届いていたのも引っ掛かった。；そんなことよりももっと心に引っ掛かっているのは〈都博の秘密〉だ。；そんな事が頭に引っ掛かっていたため、昼食もほとんど喉を通らなかった。；実を言えば、ロレンスも一度この手のものに引っ掛かったことがあるのだから。；いきなり発生した霊子波は、その対抗術式に引っ掛かったのだろう。；私はその姿を傍観していたのだが、その時に不意に記憶に引っ掛かるものを感じた。；「ちっ」 泥人形の体が道の高いところに張られていた糸に引っ掛かった。；それに引っ掛かる形で、式は地上への落下の衝撃を受けていない。</t>
        </is>
      </c>
      <c r="J7090">
        <f>HYPERLINK("https://www.weblio.jp/content/引っ掛かる", "词义详情")</f>
        <v/>
      </c>
      <c r="K7090">
        <f>HYPERLINK("https://yourei.jp/引っ掛かる", "查看例句")</f>
        <v/>
      </c>
    </row>
    <row r="7091">
      <c r="A7091" t="inlineStr">
        <is>
          <t>引っかく</t>
        </is>
      </c>
      <c r="B7091" t="inlineStr">
        <is>
          <t>成功</t>
        </is>
      </c>
      <c r="C7091" t="inlineStr">
        <is>
          <t>読み方：ひっかく
［動カ五（四）］つめや先のとがったもので強くかく。「猫に—・かれる」</t>
        </is>
      </c>
      <c r="D7091" t="inlineStr">
        <is>
          <t>引っかくような音(15%)</t>
        </is>
      </c>
      <c r="E7091" t="inlineStr">
        <is>
          <t>掻く；擦る；引っ掻く；磨る；摩する</t>
        </is>
      </c>
      <c r="H7091" t="n">
        <v>29</v>
      </c>
      <c r="I7091" t="inlineStr">
        <is>
          <t>その説明できない音は、当時猫が椅子を引っかいている音に例えられた。；彼は静まりかえったなかに、かすかに何かを引っかくような音を聞いた。；雄の個体はダルマザメに噛まれた跡などの引っかき傷があることが多い。；とっさに伸ばした指が穴の縁を引っかいて、あたしの体は落下を始めた。；混乱した頭の中を引っかき回して、最初に手に触れた疑問を口にする。；八っちゃんはむせて、苦しがって、両手で胸の所を引っかくようにした。；下手に引っかき傷でも作られたら、帰って女房に説明するのが大変だ。；それよりも気にかかるのは、和穂にやられたという静嵐の引っかき傷だ。；見えない何かに襲われて、身体じゅうを引っかかれてでもいるようだ。；わたし、じっと我慢しましたけど、顔を引っかいてやりたいくらいでした。；たちまち私の手足や顔に引っかき傷のための血の筋が走りました。；八っちゃんはむせて、苦しがって両手で胸の所を引っかくようにした。；頭の中が引っかき廻されたようで、すっかり、混乱してしまっているのよ。；そのため、アニメとは違い、瀬戸やお局に引っかき回されることもある。；あれで引っかかれたのか、と思うと、じわじわと痛みがこみ上げてくる。；まるで古いスリガラスを引っかいたかのような嫌な音が、車内に響いた。；手を引っかかれた犯人が腹を立てて、お仕置きのつもりで閉じ込めたとか?；それはもうとても明るい、場を引っかき回す気満々のあくどい声だった。；隣家のラジオが金属を引っかくような警戒警報のブザーをたてていた。；背中を引っかかれて網袋が破れているが、怪我はたいしたことはないようだ。；再び、引っかくような音が聞こえてきたとき、警備兵は注意深く扉を開いた。；馬でなくても、心の壁を爪で引っかかれるみたいな癇に障る声です。；虎には五本の爪があっても、俺を引っかくことはできねえんだ。；そして馬を降りると防水布の荷物のひとつを引っかきまわし始めた。；削がれた左耳は潰れ、頬には獣に引っかかれたらしい傷ができている。；もちろん薔薇の棘によってできた引っかき傷と見て間違いないでしょう。；体の深奥で苦痛が爆発し、脳内を引っかき回されるような痛みが重なる。；権兵衛は必死に抵抗する狸に腕を引っかかれつつも、見事狸を捕まえる。；犯人の手の甲には被害者の飼っていた黒猫による引っかき傷がありました。</t>
        </is>
      </c>
      <c r="J7091">
        <f>HYPERLINK("https://www.weblio.jp/content/引っかく", "词义详情")</f>
        <v/>
      </c>
      <c r="K7091">
        <f>HYPERLINK("https://yourei.jp/引っかく", "查看例句")</f>
        <v/>
      </c>
    </row>
    <row r="7092">
      <c r="A7092" t="inlineStr">
        <is>
          <t>引っ掛ける</t>
        </is>
      </c>
      <c r="B7092" t="inlineStr">
        <is>
          <t>成功</t>
        </is>
      </c>
      <c r="C7092" t="inlineStr">
        <is>
          <t>読み方：ひっかける
［動カ下一］［文］ひっか・く［カ下二］
１ものにかけてぶら下げる。「上着を椅子に—・ける」
２突き出たものやはりめぐらしたものなどに動きを妨げられる。「敷居に足を—・けてころぶ」「釘に—・けて服を破る」
３無造作に身につける。「ジャンパーを—・けて出かける」
４仕組んで人をだます。「冗談で仲間を—・ける」「街で若い娘を—・ける」
５品物を受け取りながら代金を払わないでおく。「酒代を—・ける」
６少しの酒を一息に飲む。軽く飲む。「一杯—・けて寝る」
７水などを浴びせる。「唾(つば)を—・ける」「泥を—・ける」
８引き合いに出す。関係づける。「世間話に—・けて皮肉を言う」
９走行する車などが人や物をはねる。「乗用車に—・けられる」</t>
        </is>
      </c>
      <c r="D7092" t="inlineStr">
        <is>
          <t>図る；倒す；狙う；下げる；掛ける</t>
        </is>
      </c>
      <c r="H7092" t="n">
        <v>29</v>
      </c>
      <c r="I7092" t="inlineStr">
        <is>
          <t>引っ掛けるような質問のしかたをされたことが気にさわったようでした。；意図せず指を引っ掛けるなどしても容易く抜け落ちるようになっている。；足に鋭い爪があり、それを引っ掛けて木の幹や枝の上を走ることができる。；かぎ針は棒針より短く、先端に糸を引っ掛けるために鉤状になっている。；老人は、つがいのカジキのうち一匹を引っ掛けた時のことを思い出した。；映画に関連する英語の単語にPで始まるものが多いことに引っ掛けたもの。；未だに人間を一人も引っ掛けずに走っているのが奇跡としか思えない。；父親が生きていた頃はおれ達に鼻も引っ掛けぬという態度だった。；歌詞中のロビンは、鳥の名前とキャラクターの名前を引っ掛けてある。；軽く足を出して、歩き出そうとしていた宮崎さんの足を引っ掛けた。；また問題間違いではないが、引っ掛けが過ぎてかなり無理のある問題は多数ある。；二人は帽子を手に取って、外套を引っ掛けて、畑の方へ行く道に掛かった。；本科の雄は頭部にフック状の構造をもち、卵を引っ掛けるように保持する。；顔の左右にあるのは補聴器のように、耳の後ろに引っ掛ける装置だ。；容疑者の衣服に先端部分を引っ掛けて絡め取る事で相手の行動を封じる。；使用法として、馬に乗った武装した貴族の首に引っ掛け引きずりおろした。；また天井から下げたフックに引っ掛けられて販売されている商品も少なくなかった。；靴を引っ掛けるようにして、中学生くらいの丸坊主の少年が出てきた。；露わになった耳には音声通信用のレシーバーが引っ掛けられていた。；その言葉で、DIAの男は自分が引っ掛けられたことに気がついた。；別の魚を引っ掛けたせいで奴を逃がしたら、その代わりがいるか?；奥さんは寝巻の上へ不断着の羽織を引っ掛けて、私の後に跟いて来ました。；何度か瞬きを繰り返しながら、入ってすぐ脇の壁のフックに鍵を引っ掛ける。；剥き出しの頭蓋骨には、釣り針を引っ掛けられる部分が存在しなかった。；あなたはすべてのものを、あなたの方法でその正しい枝の上に引っ掛け続けなければならない。；親父は鼻の上に目金を引っ掛けて、難有そうな本を読んでいます。；開け放しておくときは、下半分を外側から上に回転させて固定式の爪に引っ掛けておく。；ザックを肩に引っ掛けて男の前に立ちながら、心臓が轟いているのを意識していた。；「あと一分で真上です」 「何かを引っ掛けたぞ」 スコットがいった。</t>
        </is>
      </c>
      <c r="J7092">
        <f>HYPERLINK("https://www.weblio.jp/content/引っ掛ける", "词义详情")</f>
        <v/>
      </c>
      <c r="K7092">
        <f>HYPERLINK("https://yourei.jp/引っ掛ける", "查看例句")</f>
        <v/>
      </c>
    </row>
    <row r="7093">
      <c r="A7093" t="inlineStr">
        <is>
          <t>筆記</t>
        </is>
      </c>
      <c r="B7093" t="inlineStr">
        <is>
          <t>成功</t>
        </is>
      </c>
      <c r="C7093" t="inlineStr">
        <is>
          <t>読み方：ひっき
［名］(スル)書き記すこと。書き取ること。また、書かれたもの。「講義を—する」「口述—」</t>
        </is>
      </c>
      <c r="D7093" t="inlineStr">
        <is>
          <t>筆記者(6%)；筆記体(2%)；筆記用；筆記法；筆記問題</t>
        </is>
      </c>
      <c r="E7093" t="inlineStr">
        <is>
          <t>記録；表記；執筆；書く；文書</t>
        </is>
      </c>
      <c r="F7093" t="inlineStr">
        <is>
          <t>講演筆記；武庸筆記；多門伝八郎筆記；松屋筆記；多門筆記</t>
        </is>
      </c>
      <c r="G7093" t="inlineStr">
        <is>
          <t>筆記体；筆記具；筆記用具；筆記帳</t>
        </is>
      </c>
      <c r="H7093" t="n">
        <v>29</v>
      </c>
      <c r="I7093" t="inlineStr">
        <is>
          <t>この文明はアメリカで筆記システムを開発した最初の文化と考えられた。；むしろ多くの筆記者がこのなぞかけ集に関与していたと考えられている。；けれども私の筆記には後者だけが書き留められてある場合もあるだらう。；そんな足台の暗い論はよして、俺の云ふ事でも、筆記して置くべしだ。；また操縦士の試験では筆記・実技共に必須であるため製造は続いている。；この筆記の整理にはずいぶんひどい目にあったが、どうにか胡麻化した。；私はスタンジェルソン氏の机の前に席をとり、筆記の用意をととのえた。；いろいろの問題に対して、筆記で答えるのと口頭で答えるのと二つです。；一部の漢和辞典では筆記であるにもかかわらず、二点之繞を掲げている。；農民や子供を含む様々な階級・年齢のノヴゴロド市民が筆記能力を持っていた。；なぜなら手話は口語や筆記の言語から独立した言語であるからである。；居士はこの朝は非常に気分がいいと言って、余に文章を筆記させた。；鉛筆での筆記の際には、筆圧が必要以上に強いと芯が折れることがある。；トマスは著作を自ら筆記せず、口述したものを弟子たちに書き取らせた。；私はこれによつて此の筆記が必ずしも世に顧みられないものでない事を知るを得た。；様子がどうやら家へ帰ってから筆記しているらしい者もある。；この筆記との初期接触がロンゴロンゴ文字の発明につながった可能性がある。；ある写真が提示され、写真が示す物や現象の名称を筆記で解答する。；いろいろの問題に対して筆記で答えるのと口頭で答えるのと二つです。；それは、人が話すのと同じ速度で文字を書くことができる、高速筆記能力。；早押し形式ではあるが口頭ではなく答えを筆記してからボタンを押して答える。；あの筆記をするためには、先生はアフリカを半分ほども横断なすった。；石碑に加え、生徒が使った木の筆記板からも詩が発見されている。；最も極端な形としては、カリグラムや失象徴筆記のようなものまである。；硯による筆記の起源は不明だが、陶硯が登場したのは7世紀前半である。；私は説明してやりかけましたが、すぐに先生のいいつけで筆記の仕事にとりかかりました。；もちろん筆記に使うのは高価な紙などではなく、木の枝と地面だ。；その筆記は東邦協会の雑誌に出て、翻訳されて欧米の新聞にも出た。；もともと固有の文字はなく、現在ではラテン文字で筆記されることが多い。</t>
        </is>
      </c>
      <c r="J7093">
        <f>HYPERLINK("https://www.weblio.jp/content/筆記", "词义详情")</f>
        <v/>
      </c>
      <c r="K7093">
        <f>HYPERLINK("https://yourei.jp/筆記", "查看例句")</f>
        <v/>
      </c>
    </row>
    <row r="7094">
      <c r="A7094" t="inlineStr">
        <is>
          <t>ひっきりなしに</t>
        </is>
      </c>
      <c r="B7094" t="inlineStr">
        <is>
          <t>成功</t>
        </is>
      </c>
      <c r="D7094" t="inlineStr">
        <is>
          <t>ひっきりなしにしゃべり；ひっきりなしに通る；ひっきりなしにかかってくる；ひっきりなしに行き交う；ひっきりなしに出入りする</t>
        </is>
      </c>
      <c r="E7094" t="inlineStr">
        <is>
          <t>次々と；盛んに；しきりに；度々；続々と</t>
        </is>
      </c>
      <c r="F7094" t="inlineStr">
        <is>
          <t>ほとんどひっきりなしに；朝からひっきりなしに；ひっきりなしにしゃべりつづけ</t>
        </is>
      </c>
      <c r="H7094" t="n">
        <v>29</v>
      </c>
      <c r="I7094" t="inlineStr">
        <is>
          <t>ひっきりなしに見ているレストランの壁時計が、一一時二七分になった。；彼らはひっきりなしに短い期間をおいてやって来ては、消えていったのだ。；部屋は社長室をかねていたので、ひっきりなしに電話がかかってくる。；それに彼らは、ひっきりなしに暮らし向きのことを考える必要がないのだ!；そういえばさっきから、ひっきりなしにさらさらと水の流れる音がする。；開発が本格化すればトラックがひっきりなしに通うこともあるだろう。；金を送らないのでテナルディエのところからはひっきりなしに手紙が来た。；わたくしの夫の死の直後でしたので、電話はひっきりなしに鳴っていました。；こういうあいだにも客はひっきりなしに出たり入ったりしている。；エンマは戸棚に靴をたくさん持っていて、ひっきりなしにおろしていた。；熱は前よりまちがいなくあがっていたし、ひっきりなしにはながたれた。；ひっきりなしに車が通っていて、しかもそれは大型のトラックばかりだった。；番兵はひっきりなしに交代するのだから、やつらは看視疲れを知らない。；彼女はひっきりなしにその話をし、往来でさえ話をきり出すのだった。；海で育った女はひっきりなしに私の中で何かを主張している。；ひっきりなしにけいれんがおそってきて、額から流れるような汗である。；気がつくと外ではひっきりなしにいろいろ音が聞こえていた。；が、意識を失っていない証拠に、その両の指がひっきりなしに床をかいていた。；今までジョンとひっきりなしに喋っていた夫が急に静かになった。；深い溜息がひっきりなしに出て、ふつうの呼吸もできないくらいでした。；道はゆるやかな坂になっていて、くるまがひっきりなしに往来している。；人で身動きもできない小屋の中で 女たちはひっきりなしに誉めそやした。；この間にもJ・Jは、ひっきりなしにクレテック煙草を口に運んでいた。；その間にも、私の思いはひっきりなしにデジャー・ソリスのもとへ飛んだ。；太平は一層具合が悪くなっていて、ひっきりなしに吐気と痛みとを訴えた。；人々はひっきりなしにおこっている悪魔騒ぎをそれで忘れてしまう。；もちろん彼女は内に秘めた刃をひっきりなしに抜いたりはしない。；寝ても起きてもひっきりなしに聞こえ続けるあの音はどうにかならぬものだろうか。；東吾がみていると、大きな目から涙がひっきりなしに頬を伝っている。</t>
        </is>
      </c>
      <c r="J7094">
        <f>HYPERLINK("https://www.weblio.jp/content/ひっきりなしに", "词义详情")</f>
        <v/>
      </c>
      <c r="K7094">
        <f>HYPERLINK("https://yourei.jp/ひっきりなしに", "查看例句")</f>
        <v/>
      </c>
    </row>
    <row r="7095">
      <c r="A7095" t="inlineStr">
        <is>
          <t>びっくり</t>
        </is>
      </c>
      <c r="B7095" t="inlineStr">
        <is>
          <t>成功</t>
        </is>
      </c>
      <c r="C7095" t="inlineStr">
        <is>
          <t>［副］(スル)
１（「吃驚」「喫驚」とも当てて書く）突然のことや意外なことに一瞬おどろくさま。「急に肩をたたかれて—する」
２わずかに動くさま。びくり。多く、否定の語を伴って用いる。
「—ともする若衆ぢゃあねえ」〈伎・名歌徳〉</t>
        </is>
      </c>
      <c r="D7095" t="inlineStr">
        <is>
          <t>びっくり仰天(4%)；びっくりするよう(2%)；びっくりぎょ；びっくりなさる；びっくりいたし</t>
        </is>
      </c>
      <c r="E7095" t="inlineStr">
        <is>
          <t>驚き；驚くべき；驚愕；愕然；驚嘆</t>
        </is>
      </c>
      <c r="F7095" t="inlineStr">
        <is>
          <t>見てびっくり；ひどくびっくり；みんなびっくり；二度びっくり；聞いてびっくり</t>
        </is>
      </c>
      <c r="G7095" t="inlineStr">
        <is>
          <t>びっくりドンキー；びっくりガード；びっくり日本新記録；びっくりハウス；びっくり捕物帳</t>
        </is>
      </c>
      <c r="H7095" t="n">
        <v>29</v>
      </c>
      <c r="I7095" t="inlineStr">
        <is>
          <t>これにお角は目を回し、長兵衛はびっくりして自分の家へと駆けてゆく。；そんな先のことを見てびっくりして気が変になったらたいへんである。；盃を口に持って行っていた彼等二人も、玄竜に気が附いてびっくりした。；しかもその声のうちには、僕をびっくりさせるような可怪な響きがあった。；またほんものの君が横から出て来てびっくりさせるようなことは決してない。；入学時の生徒たちの偏差値を考えれば、びっくりするのが当然でしょう。；コプリの言葉にびっくりして、その場に根が生えたように立ちすくんだ。；それでは、襲撃して来た怪物の方でびっくりするのも無理ではない。；自分と自分の部屋とを距てている距離が大きいことにびっくりした。；すぐ説明すれば良かったのですが、急に扉が開いてびっくりしました。；一行は、いまさらのように愕いたが、中に入ってみて二度びっくりした。；彼らのほうでもみな彼を見つめて、同じくびっくりした様子だった。；そして弟を見つけて、こんなところに少年がいたのでびっくりいたしました。；もう一番やるつもりでやっていたのが、気が抜けたというかびっくりしました。；ネリの方はびっくりして立ち上り、博士の手をとって立たせようとした。；お嬢様を見たとき、驚くほど似ているのにただびっくりするばかりでした。；グレゴールは彼の靴のかかとがひどく大きいことにびっくりしてしまった。；君は骸骨を見たとたんにびっくりして死んじまうかもしれないからね。；八重はびっくりしてなぜ今まで出てこなかったのかと桜丸に問う。；だが娘は次の準備をしており、もし父が知ったら、びっくりしたことだろう。；彼女は「まあ」と言って、びっくりしたような顔をしてはいって来た。；呼びに来た少女の給仕が豹一の表情を見てびっくりした程であった。；青木は、「やっぱり俺は夢を見ているのか」と思った程、びっくりした。；彼はもうその男のことを忘れ、びっくりしたような苦痛の表情を馬の顔に見ていた。；「君は一体何を云っているのだ」 他の一人がびっくりして相手の顔を眺めた。；最初にお会いできた時にはもうびっくりしちゃって・・・。；あまりの不意うちに、ものをいうこともできないほど、びっくりしたのです。；女はびっくりして稼いだお金をお百姓に渡し、亭主に与えるように頼んだ。；出来てきて着てみてみんながびっくりし、あまり異様なのでおこっちゃった。</t>
        </is>
      </c>
      <c r="J7095">
        <f>HYPERLINK("https://www.weblio.jp/content/びっくり", "词义详情")</f>
        <v/>
      </c>
      <c r="K7095">
        <f>HYPERLINK("https://yourei.jp/びっくり", "查看例句")</f>
        <v/>
      </c>
    </row>
    <row r="7096">
      <c r="A7096" t="inlineStr">
        <is>
          <t>引っ繰り返す</t>
        </is>
      </c>
      <c r="B7096" t="inlineStr">
        <is>
          <t>成功</t>
        </is>
      </c>
      <c r="C7096" t="inlineStr">
        <is>
          <t>読み方：ひっくりかえす
［動サ五（四）］《「ひっくりがえす」とも》
１上下・表裏などを反対にする。さかさまにする。裏返す。「名札(なふだ)を—・す」
２書物や文書などのページを繰る。「ノートを—・して調べる」
３横や後ろに勢いよく倒す。転倒させる。「つまずいてバケツを—・す」
４今までと反対の状態・関係にする。くつがえす。逆転させる。「会議の決定を—・す」「定説が—・される」</t>
        </is>
      </c>
      <c r="H7096" t="n">
        <v>29</v>
      </c>
      <c r="I7096" t="inlineStr">
        <is>
          <t>春に再来砂を引っ繰り返し、夏に海を秋に山を訪れ、今は冬だとしよう。；翔香は、筆立てを引っ繰り返して、そこに入れてあった鍵を取り出した。；たとえば自分の内心を強いて外へ向けて引っ繰り返されたようなものである。；ここに来て、すべてを引っ繰り返すほど、私も計算のできない女じゃないわ。；ざっと見て、それからあちこち引っ繰り返し、ついで机の周りを探した。；それを引っ繰り返して見ているうちに、サフランと云う語に撞着した。；綾小路は卓の所へ歩いて行って、開けてある本の表紙を引っ繰り返して見た。；どうかすると馬が物に驚いて横飛びをして、橇を引っ繰り返す。；源義は、わくわくしながら裏を引っ繰り返して、文面を読んで驚いた。；営業不振のまま一年ほどが過ぎ、福田さんはすべてを引っ繰り返すことにした。；大発見であればあるほど、引っ繰り返す価値があるとも言えるね。；二人はついに硯箱の前に飾ってある大事な一輪挿を引っ繰り返した。；プールを引っ繰り返し、湯を捨てている年輝の背中に、蝉が止まっている。；とは言え、教育された価値観を自分の中で引っ繰り返すのは、なかなか容易ではありませんな。；一方はその陥穽の底から引っ繰り返すような答えをする。；フォークを引っ繰り返してご飯を載せて、澄ました顔して食べてるのかしら。；だが、事件が大きくなって他社の本社の連中が乗り込んできてからは引っ繰り返されたじゃねえか。；ぼくは呻きながらテーブルに手をかけ、力まかせに引っ繰り返した。；再来砂の使用者は、まず砂の落ちきった再来砂を引っ繰り返さなければならない。；かといって、引っ繰り返して『死にやがれ』なんて捨て台詞でもないだろう。；一度ぐらい鍋を引っ繰り返されたからといって、諦めずにもう一度薬を調合すればいいのに。；真奈を襲った連中だけで、こんなところまで引っ繰り返す知恵が出てくるわけがない。；塵ッぱの裏まで引っ繰り返して験めながら目にもとまらぬような早さで捜査を進めてゆく。；そして、最後の最後のところで引っ繰り返すために。；伊佐間は鍋を引っ繰り返してはならぬと、慌てて朱美を抱き止める。；そして寝る前に草花と野菜との絵入目録を引っ繰り返して見ていた。；すぐに天水桶を引っ繰り返したような雨になったから、洗濯物を取り込むところなのだろう。；だって、一発で引っ繰り返されたらそれで終りじゃないか。；つまり嘉量を引っ繰り返したり使う部分を変えたりすることで、全ての容積が量れるようになっていたのである。</t>
        </is>
      </c>
      <c r="J7096">
        <f>HYPERLINK("https://www.weblio.jp/content/引っ繰り返す", "词义详情")</f>
        <v/>
      </c>
      <c r="K7096">
        <f>HYPERLINK("https://yourei.jp/引っ繰り返す", "查看例句")</f>
        <v/>
      </c>
    </row>
    <row r="7097">
      <c r="A7097" t="inlineStr">
        <is>
          <t>引っ繰り返る</t>
        </is>
      </c>
      <c r="B7097" t="inlineStr">
        <is>
          <t>成功</t>
        </is>
      </c>
      <c r="C7097" t="inlineStr">
        <is>
          <t>読み方：ひっくりかえる
［動ラ五（四）］《「ひっくりがえる」とも》
１上下・表裏などが反対になる。さかさまになる。裏返る。「横波を受けてボートが—・る」
２横や後ろに勢いよく倒れる。転倒する。「パンチを受けて—・る」
３今までと反対の状態・関係になる。くつがえる。逆転する。「形勢が—・る」「価値観が—・る」</t>
        </is>
      </c>
      <c r="H7097" t="n">
        <v>29</v>
      </c>
      <c r="I7097" t="inlineStr">
        <is>
          <t>一番最初に目に入った社会面のトップ記事に、引っ繰り返ってしまった。；やがて初さんは、ぐるりと引っ繰り返って、正式に穴の方へ尻を向けた。；小指を掛けてもすぐ引っ繰り返りそうな餌壺は釣鐘のように静かである。；部屋の隅で、クズ籠が引っ繰り返っていることに、キルアラは気づいた。；私がいよいよ立とうという間際になって、父はまた突然引っ繰り返った。；男具那は夜の怪鳥のような声を出して笑い、仰向けに引っ繰り返った。；しかし全部事実と捉えることは天地が引っ繰り返ってもできません。；結果によってそれが引っ繰り返るようなことは、あってはならない。；舞は熊楠に足を取られて仰向けに引っ繰り返ってしまったのである。；全く、赤ん坊一匹で家の中が引っ繰り返ったような騒ぎである。；この経緯を諷刺的に素ッ破抜いたら、日本国中が引っ繰り返って笑うだろう。；まるで膝かっくんでもされたかのように、魔法少女はその場に引っ繰り返った。；引っ繰り返った本の事件が解決してから、酉乃と話すことはほとんどなくなっていた。；ともかくK君は椅子から引っ繰り返るぐらいに喜んでいた。；それを暴けば、日本の中枢が引っ繰り返りかねないくらいの政変が起こる。；ホロの怒りが引っ繰り返って呆れに代わるのも、無理はないようなことだった。；しなった床板に足を取られて、後ろに引っ繰り返りそうになった。；あの引っ繰り返っている書架を見つけたときよりもだいぶ前だ。；幸いなことにプールの底へは落ちなかったけど、何枚かはプールサイドに引っ繰り返ってしまった。；おそらく、椅子が引っ繰り返ったのも、和彦がやった事なのだろう。；爆燎が急に棍を放すと、思ったとおり殷雷は後ろに引っ繰り返りそうになった。；本当に引っ繰り返ってしまったんだろうか。；ラスクはどうか知らないが、ショー氏などは革命など起きて世の中が引っ繰り返っては逆に困るだろう。；後転するように引っ繰り返って、空々は製麺所の壁に叩きつけられた。；少し離れたところには、モノサイクルが引っ繰り返っていた。；祖父のようにいくら懸命に財を成しても、そんなものはいつ引っ繰り返るか分からない。；汚水が大きな波になって、音緒は足元をすくわれて引っ繰り返りそうになった。；気持ちだけが空回りして、焦った思考は引っ繰り返り、ほとんど動いてくれない。；今一番恐ろしい想像は、がむしゃらに逃げる内に方向が引っ繰り返ってしまい、自分は実は、逃げてきた施設の方向に戻るように歩いてるのではないかというものだった。</t>
        </is>
      </c>
      <c r="J7097">
        <f>HYPERLINK("https://www.weblio.jp/content/引っ繰り返る", "词义详情")</f>
        <v/>
      </c>
      <c r="K7097">
        <f>HYPERLINK("https://yourei.jp/引っ繰り返る", "查看例句")</f>
        <v/>
      </c>
    </row>
    <row r="7098">
      <c r="A7098" t="inlineStr">
        <is>
          <t>日付</t>
        </is>
      </c>
      <c r="B7098" t="inlineStr">
        <is>
          <t>成功</t>
        </is>
      </c>
      <c r="C7098" t="inlineStr">
        <is>
          <t>読み方：ひづけ
１文書などに、その作成・提出などの年月日を記すこと。また、その年月日。「領収書に—を入れる」
２暦に記された、年月日を表す数字。「午前零時を過ぎて—が変わる」</t>
        </is>
      </c>
      <c r="D7098" t="inlineStr">
        <is>
          <t>日付順；日付変更；日付入り；日付指定；日付欄</t>
        </is>
      </c>
      <c r="E7098" t="inlineStr">
        <is>
          <t>日；年代；年月；デート；月日</t>
        </is>
      </c>
      <c r="F7098" t="inlineStr">
        <is>
          <t>同日付；同じ日付；死没日付；具体的な日付；古い日付</t>
        </is>
      </c>
      <c r="G7098" t="inlineStr">
        <is>
          <t>日付変更線；日付印；日付表記</t>
        </is>
      </c>
      <c r="H7098" t="n">
        <v>29</v>
      </c>
      <c r="I7098" t="inlineStr">
        <is>
          <t>かつてはすべての教会でユリウス暦をもとにした表で日付を求めていた。；自己申告でもよいので、こちらに記事名と日付を書いていってください。；一つは1945年9月3日の日付で書かれた長男へ向けてのものである。；我々はそれら数字が我々の日付ではなく神の日付であることを信じている。；すべて発信地はナポリとされ、実際よりも六日前の日づけになっていた。；また多くの作品に日付や地名が記載されていることも貴重である。；ところが、ここに非常に重大な事実の日づけが出ておるのであります。；十月二十九日 第一〇一信 二十七日づけのお手紙をどうもありがとう。；前者には日付がないので、後者の日付が採用されたものと考えられている。；これが降誕祭の日付決定に影響したのではないかとも推察されている。；レースに出場した日付やレース結果、車を購入した日付などが記録される。；軍払い下げの商品を5と10が付く日など日付を限定して商売していた。；初シーズン、クラブはお互いに都合の良い日付に試合を開催する予定だった。；そして、その1日の間に終わるティティの番号をその日の日付とする。；日付は宗教ごとに決まった暦を使用するため、大部分は移動祝日になる。；それぞれの項目の日付は当該国民が初めて宇宙飛行を行った日付である。；グレゴリオ暦に基づく日付等を扱うための型・マクロ・関数の宣言定義。；日付が変わる直前に、魚雷を貨物船に向けて発射したが命中しなかった。；八枚 金が来て、宮の三十日づけの手紙が二三日前についたと云う話であった。；旧陸軍省の元の紋章の下側にはと言う日付と、の名称が記載されている。；炎の脇に星と三日月が描かれ、左に日付、右に鋳造地の名が記されている。；日付のうち月名は、制作当日に河原が滞在している国の言語で表記される。；ちなみに、冒頭部で説明した三島の手紙の日付は6月4日となっている。；カウンターの上に置かれている日付表示機は、実際の日付と一致している。；単なる事実や日付だけでなく、各執筆者の精神の働きと個性に魅了される。；ただし始まりの日付を以下に示す規則で計算するものとする。；これらの日付はすべて、バビロンの始まりを紀元前23世紀としている。；これらの日付は米国の商標登録1112646番として記録されている。；この旗の模様を使って、主に日付を計算できるとする説がある。</t>
        </is>
      </c>
      <c r="J7098">
        <f>HYPERLINK("https://www.weblio.jp/content/日付", "词义详情")</f>
        <v/>
      </c>
      <c r="K7098">
        <f>HYPERLINK("https://yourei.jp/日付", "查看例句")</f>
        <v/>
      </c>
    </row>
    <row r="7099">
      <c r="A7099" t="inlineStr">
        <is>
          <t>引っ越し</t>
        </is>
      </c>
      <c r="B7099" t="inlineStr">
        <is>
          <t>成功</t>
        </is>
      </c>
      <c r="C7099" t="inlineStr">
        <is>
          <t>読み方：ひっこし
［名］(スル)引っ越すこと。転居。移転。「新居に—する」</t>
        </is>
      </c>
      <c r="D7099" t="inlineStr">
        <is>
          <t>引っ越して来(3%)；引っ越してくる(3%)；引っ越し先；引っ越し業者；引っ越し祝い</t>
        </is>
      </c>
      <c r="E7099" t="inlineStr">
        <is>
          <t>移転；移る；転居；引越し；転出</t>
        </is>
      </c>
      <c r="F7099" t="inlineStr">
        <is>
          <t>引っ越し当日；引っ越し費用；引っ越してしまい；坂崎引っ越し；引っ越し公演</t>
        </is>
      </c>
      <c r="H7099" t="n">
        <v>29</v>
      </c>
      <c r="I7099" t="inlineStr">
        <is>
          <t>家族とロサンゼルスに引っ越して以降演技に興味を持ち芸術高校に進学。；かつて引っ越しをした際には書物を30台の車に載せた程であった。；山村付近に住んでおり、近くに引っ越してきた少女サクラと友達になる。；その後幾度の引っ越しでピアノ先生が変わり11歳からチェロを始める。；ハムはすぐに伯爵領の最重要拠点となり、伯爵たちもこの町に引っ越した。；お祖父さんは引っ越していたけど、新しい部屋を探して、部屋を訪ねた。；主人公の安西マコは地元の田舎から東京に引っ越してきた15歳の少女。；妹の病気の治療のために東京からこの町に引っ越してきた一家。；最後の更新をした翌日の8月20日に関東に引っ越しをしたという。；二人は1832年にパリに引っ越し、いくらか整理された状況で暮らした。；ある日隣の家に作家夫婦とその子供のレスリー・バークが引っ越してくる。；長老派教会の牧師である父の仕事の性質により頻繁に引っ越しを行った。；そしてこの日に新築の家に引っ越し、疲労困憊の体で早めに床に就いた。；他の空き部屋には指定された家具を置く事で新たな住人が引っ越してくる。；奈良の家を売って引っ越した新居を直哉は大変気に入り執筆活動を再開。；仲のよかった友達だけが先に引っ越しちゃって一人残されて。；その後、アユは祖母の病気のため新潟の親戚の家に引っ越してしまった。；手紙はいつもかんたんで、ひっ越した住居だけを知らせてくる程度だった。；その後、近所にバド・パウエルが引っ越してきて、大きな影響を受けた。；結婚してから一と月ほどのち、私たちが大阪へ引っこして間もなくのことでした。；この作品が描かれたのも、そのアパートへ引っ越してからである。；ヒル家は貧しく、ロンドンの中で引っ越しを頻繁に行っていた記録がある。；父親の大統領就任後にホワイトハウスに引っ越しその後3年間を過ごした。；ウダイが足を骨折した時にはクラスごと1階に引っ越したと言われる。；父親の死を機に自分のマンションを引き払い、父のマンションに引っ越した。；シカゴでは、他の多くの有名な数学者や物理学者も当時引っ越して来ていた。；主人公高村直樹は、父親の勝手な理由でこの村に引っ越してくることになった。；事務所設立後に尾崎は仕事場を借り、そこへの引っ越しを行っている。；高校入学直前に祇園から京都市内に引っ越したが、その後両親は離婚した。</t>
        </is>
      </c>
      <c r="J7099">
        <f>HYPERLINK("https://www.weblio.jp/content/引っ越し", "词义详情")</f>
        <v/>
      </c>
      <c r="K7099">
        <f>HYPERLINK("https://yourei.jp/引っ越し", "查看例句")</f>
        <v/>
      </c>
    </row>
    <row r="7100">
      <c r="A7100" t="inlineStr">
        <is>
          <t>引っ越す</t>
        </is>
      </c>
      <c r="B7100" t="inlineStr">
        <is>
          <t>成功</t>
        </is>
      </c>
      <c r="C7100" t="inlineStr">
        <is>
          <t>読み方：ひっこす
［動サ五（四）］住居や仕事場などをよそに移す。転居する。移転する。ひきこす。「他県に—・す」
[可能]ひっこせる</t>
        </is>
      </c>
      <c r="D7100" t="inlineStr">
        <is>
          <t>移転；移る；引越し；移ろう；引越</t>
        </is>
      </c>
      <c r="H7100" t="n">
        <v>29</v>
      </c>
      <c r="I7100" t="inlineStr">
        <is>
          <t>だから二十三歳からひとり暮らしをはじめてこれまで引っ越すこと七回。；このマンションのどこかにいた人が、引っ越す時に捨ててっちゃったのね。；紗季は東京に引っ越すといったが、それは本土ではなく島のほうだった。；夫の死後は99歳まで自宅で過ごし、娘と義理の娘の隣の家に引っ越す。；その高校は石庫門から遠く離れた町にあり、引っ越さなければならない。；彼らは恐ろしい歴史を持った家にその事実を知らないまま引っ越す。；なぜ東京に引っ越すことになったのか、その時の彼にはよくわからなかった。；警察の保護を受け、その日のうちに十時のマンションへ引っ越すこととなる。；夫は漸く腰を落ち着けたようで、もう引っ越すつもりはないようである。；なぜ、娘が急に引っ越すのか、父親は本当の理由を知らないに決まってる。；小学3年生の頃に両親が離婚し、母の地元西条市の実家近くへ引っ越す。；「引っ越さない、ここも長いから」 と、心にもないことを言ってみた。；家族の一部のみが引っ越す場合には内容的にはかなり楽になる。；つけ狙う男がいるのなら、どこかに引っ越させたほうがいいかもしれない。；彼が自分の部屋によく遊びに来てたならマンションを引っ越す。；当初、果樹園の家は荒廃していて、すぐに引っ越すことができなかった。；「新海さんなら、ずっと前に引っ越されましたよ」相手の女性はいった。；引っ越す前の家にあったものより進んだタイプだったが、基本操作は同じだった。；新しいアパートも決まって、次の日曜には引っ越すことになっている。；俺は行事で忙しくなる前、中間試験の前頃に引っ越そうかと考えている。；冬休みになったら、父の仕事の都合で急に引っ越すことになってしまったの。；母親は二人の娘を連れ、自分の父母の暮らす実家に引っ越すことに決めた。；その頃ちょうど実家が東京へ引っ越すことになったため、それに伴って上京した。；ラネーフスカヤはパリへ戻り、ガーエフ達は町へ引っ越すことになった。；引っ越すと決まって、私はそっとその家の横の路地を通りぬけてみた。；彼はリトルロックへと戻ってから、ロサンゼルスに引っ越す計画だった。；レナさんがちょうど小学校に上がるときに茨城へ引っ越されたんです。；ただし転々と引っ越すので、今、そこにいるかどうかはわからないと言う。；前に住んでいた人が引っ越す際に掘り起こして行ったのだろう。</t>
        </is>
      </c>
      <c r="J7100">
        <f>HYPERLINK("https://www.weblio.jp/content/引っ越す", "词义详情")</f>
        <v/>
      </c>
      <c r="K7100">
        <f>HYPERLINK("https://yourei.jp/引っ越す", "查看例句")</f>
        <v/>
      </c>
    </row>
    <row r="7101">
      <c r="A7101" t="inlineStr">
        <is>
          <t>引っ込む</t>
        </is>
      </c>
      <c r="B7101" t="inlineStr">
        <is>
          <t>成功</t>
        </is>
      </c>
      <c r="C7101" t="inlineStr">
        <is>
          <t>読み方：ひっこむ
《「ひきこむ」の音変化》
［動マ五（四）］
１
㋐突き出たものが、元のほう、元の状態に戻る。「ダイエットで腹が少し—・んだ」
㋑本来の面よりも内に入り込んだ状態になる。「寝不足で目が—・む」
２表から奥へ入った所に位置する。「通りから—・んだ家」
３表立つ場からしりぞいて、人目に立たない所に移る。また、表に出ずに内に居つづける。「田舎に—・む」「自分の部屋に—・んだきり出てこない」「じゃまだから—・んでいろ」
［動マ下二］「ひっこめる」の文語形。</t>
        </is>
      </c>
      <c r="D7101" t="inlineStr">
        <is>
          <t>下る；下がる；退く；引き上げる；引き取る</t>
        </is>
      </c>
      <c r="H7101" t="n">
        <v>29</v>
      </c>
      <c r="I7101" t="inlineStr">
        <is>
          <t>そのあいだにいろんな作家が出たり引っ込んだりするのを目にしてきた。；ただ無理が通ろうとする場合に引っ込んでいて出て来ないのであります。；客もあまり来ないので、店長は奥に引っ込んでいて店には俺一人だった。；門はなく、道路から二十メートルばかり引っ込んだところに建物がある。；二三年間の発表を予定せず原稿を引っ込んで書くように覚悟すること。；そのように大勢で行こうものなら、出かかった狐めも引っ込んでしまう。；そこは店の奥の、少し引っ込んだ所で、肝心の店の入口が見えないのだ。；花田 ただし尻尾を出しそうな奴は黙って引っ込んでいるほうがいいぜ。；それから彼女は部屋のなかへ引っ込んで、つぎに鍵を持ってまた現われた。；自分の好きなところに現われて、自由に引っ込むようになっているようだ。；頼圀とのことがあったとは言え、甲府に引っ込んだのは間違いであった。；越してきておいて、挨拶もなしに引っ込んだままだっていうじゃない。；やがて赤ソーセージは料理の出来が気になると台所へ引っ込んでしまった。；それからいったん中へ引っ込んだが、今度は鍵を持ってまた現われた。；ときどきパイプを口にくわえて出てきたが、すぐに引っ込んでしまった。；そして十字を切って、自分の部屋へ引っ込んで戸を締めてしまいました。；家はさして大きくないが、引っ込んだ横に和風の建物がつながっていた。；それでも町から三町あまりも引っ込んだところで、桐の大木の多い寺だ。；おれが小さく会釈すると、男は部屋に引っ込んでドアをバタンと閉じた。；ぼくは泣き虫の性だったとみえ、ただ涙をこぼして引っ込んでしまった。；窓の人は、そのまま黙って暗のなかへ引っ込んで行ってしまったのである。；そんな男がもし来てでもいたら黙って引っ込んでいる私じゃない。；気の弱い女などは前にいたのが、そろそろと背後へ引っ込んで行く。；八木はそっぽを向き、彼の妻は返事をせずに、奥に引っ込んでしまった。；しかし、ホロは奥に引っ込んでも木窓を閉じることなくそのままだった。；順々に四ツ足じみた背中が引っ込んではまた次の背中がタコの前に出た。；そのおかげか、水夫は引っ込んで、やがて甲板に別の人影があらわれた。；拍手が続いて、一旦袖に引っ込んだ指揮者がまたステージに戻って来る。；けれど、そうかといって自分の部屋へ引っ込む気にもなれませんの。</t>
        </is>
      </c>
      <c r="J7101">
        <f>HYPERLINK("https://www.weblio.jp/content/引っ込む", "词义详情")</f>
        <v/>
      </c>
      <c r="K7101">
        <f>HYPERLINK("https://yourei.jp/引っ込む", "查看例句")</f>
        <v/>
      </c>
    </row>
    <row r="7102">
      <c r="A7102" t="inlineStr">
        <is>
          <t>必死</t>
        </is>
      </c>
      <c r="B7102" t="inlineStr">
        <is>
          <t>成功</t>
        </is>
      </c>
      <c r="C7102" t="inlineStr">
        <is>
          <t>読み方：ひっし
［名・形動］
１必ず死ぬこと。
２死ぬ覚悟で全力を尽くすこと。また、そのさま。死にものぐるい。「—の形相」「—に逃げる」
３（「必至」とも書く）将棋で、次に必ず王将が詰む、受ける方法がない状態。また、その差し手。「—をかける」</t>
        </is>
      </c>
      <c r="D7102" t="inlineStr">
        <is>
          <t>必死こい；必死に逃げよ；必死必殺</t>
        </is>
      </c>
      <c r="E7102" t="inlineStr">
        <is>
          <t>勇敢</t>
        </is>
      </c>
      <c r="F7102" t="inlineStr">
        <is>
          <t>必死に押しとどめ；必死に押し殺し；必死に逃れよ；必死に考えよ；必死に飲み込ん</t>
        </is>
      </c>
      <c r="G7102" t="inlineStr">
        <is>
          <t>必死の逃亡者</t>
        </is>
      </c>
      <c r="H7102" t="n">
        <v>29</v>
      </c>
      <c r="I7102" t="inlineStr">
        <is>
          <t>芽衣が必死に祖父を説得したところ、店の運営を任されることになった。；ドイツ占領下ではほとんどのポーランド人は生き残るために必死だった。；必死に戦うものの武器が使えないために次々とやられてしまうメンバーたち。；殆どの将校はこれがクーデターに見えてしまうことは避けたいと必死だった。；俊徳丸はそれを必死になって止め、致し方なくさらに嘘を重ねてしまう。；昼も夜も夫婦で必死で働いたおかげで、店を新築することもできた。；そして落ちこぼれだけれど馬が大好きだから必死にしがみついてゆく者。；クロード・ノブスが観客を必死に誘導したので幸い負傷者は出なかった。；それでも風車が完成すれば生活は豊かになると信じ、動物たちは必死に働く。；自分の物にするために日常でも左利きの人のように左手を使うなど必死に努力した。；しかし、ラムはどんな姿になろうとも必死にあたるを見つけようとする。；警備員が彼らを捕獲するまで彼女は必死に無視しようと努めていた。；しかし、そんな彼女を必死で止めたのはあの看護師・吉岡由希子であった。；ついにロケットは発射してしまい、トムは下から出る炎から必死に逃げた。；消えかかる幼い命を必死に抱きとめようとする黒光の姿がよく描かれている。；めぐみは対リンシェン戦に備えてランの戦いぶりを観察しようと必死だ。；そのため小田原では、これ以降必死な鉄道誘致が行われることになる。；真二に託されたバイクを彼らの手に渡すまいとした省吾は必死に逃亡する。；後半も韓国が押し込む展開となり、日本は必死に耐える時間が続いた。；彼は必死に彼女の蘇生を試みるが、そこへポーターハウスが入ってきた。；必死にボールを追い掛けていたらああいう行動に出てしまった。；たかじんさんの留守を、これは本当に必死に守ってきたつもりだった。；女との関係を強く否定したことに安心した絢子は、必死に俊男をなだめた。；賀子珍がそれまで必死に守ってきた家庭生活はここで破局をむかえた。；あいつに負けたくないという気持ちがあったから必死になれた。；居並ぶ将校連は騒然となったため、中尾は将校連を必死で宥めたという。；必死のリハビリも オリンピック本大会には間に合わず出場を断念した。；この間を利用して韓国軍は必死の再編成を続け、漢江の防衛線を形成した。；彼は必死の思いで馬に乗り助けに来たロザンナによって救い出された。</t>
        </is>
      </c>
      <c r="J7102">
        <f>HYPERLINK("https://www.weblio.jp/content/必死", "词义详情")</f>
        <v/>
      </c>
      <c r="K7102">
        <f>HYPERLINK("https://yourei.jp/必死", "查看例句")</f>
        <v/>
      </c>
    </row>
    <row r="7103">
      <c r="A7103" t="inlineStr">
        <is>
          <t>筆者</t>
        </is>
      </c>
      <c r="B7103" t="inlineStr">
        <is>
          <t>成功</t>
        </is>
      </c>
      <c r="C7103" t="inlineStr">
        <is>
          <t>読み方：ひっしゃ
その文章や書画をかいた人。</t>
        </is>
      </c>
      <c r="D7103" t="inlineStr">
        <is>
          <t>筆者自身；筆者たち；筆者不明；筆者主取；筆者申す</t>
        </is>
      </c>
      <c r="E7103" t="inlineStr">
        <is>
          <t>作家；作者；著者；ライター；原作者</t>
        </is>
      </c>
      <c r="F7103" t="inlineStr">
        <is>
          <t>瓦版筆者；在番筆者；かくいう筆者；蔵筆者；匿名筆者</t>
        </is>
      </c>
      <c r="H7103" t="n">
        <v>29</v>
      </c>
      <c r="I7103" t="inlineStr">
        <is>
          <t>だからそうした父の印象も筆者の二歳か三歳頃の印象と考えていいらしい。；そうしたところへ、その筆者自身がこの町へ姿をあらわしたわけである。；筆者のぼくにも何から書いていいのかはっきり掴めていないのだから。；實際、作者なり筆者なりが文章を書く態度はこれはまた千差萬別である。；文章そのものが、ここでは、筆者のうけた正直な感銘深さを示していた。；いろいろな事柄の中で外国人の筆者達が一人残らず一致する事がある。；あるいはこの文を記した筆者の名かもしれない、とかれは推測した。；見て美しいが筆者が書いてしまえばただそれだけになることである。；さらに筆者のすでに刊行されている著書についても紹介されている。；筆者の祖父は装束扱いがお得意で、楽屋の取まわしが好きだったらしい。；しかし、あの本では、筆者はのっぴきならないことを本当に書いたんだ。；あの本の筆者に対して、多くの人は魅力がない、肉体がないというのよ。；筆者本人がサッカーを趣味としており、登場人物の趣味などにすることがある。；筆者である小坂俊史が実際に2年間居住した経験を元に執筆している。；筆者には木村の母親は息子と生死を共有しているように見えてならなかった。；この時にも発光が観察されたと言う情報が相次いで筆者のもとに送られて来た。；発言記録以外の文章で、その文章の筆者が笑っていることを示す際にも用いられる。；筆には筆者の無意識の心の動きを引き出す力が備わっているように思える。；この辛辣にして愉快なる三十棒の響きは今にして筆者の耳に新たなるものがある。；どの歌にも筆者の聞きそこねがあってまちがったところがあるかもしれない。；この折の模様を、後の「信長公記」の筆者も次のように記録している。；日記を読むと、筆者は、小学校へは何年か上がっていたに相違ないことがわかる。；鏡の中のI氏は、実物の筆者のほうを時々じろりじろりとながめていた。；筆者である毎日新聞記者新名丈夫を守るべく陸軍との対応にあたった。；右に就いて私の師匠である喜多六平太氏は、筆者にコンナ話をした事がある。；わたしは途中まで読んだ手紙を脇に置き、その筆者を見つめた。；読む方は、筆者が最初に言ったある場合を、ごく内端に想像さるるが可い。；孔子の儒教が今日是の如く発展してきたことを筆者は正当なる成長と思う。；これは筆者が故奈良原翁と特別に懇意であったから云うのではない。</t>
        </is>
      </c>
      <c r="J7103">
        <f>HYPERLINK("https://www.weblio.jp/content/筆者", "词义详情")</f>
        <v/>
      </c>
      <c r="K7103">
        <f>HYPERLINK("https://yourei.jp/筆者", "查看例句")</f>
        <v/>
      </c>
    </row>
    <row r="7104">
      <c r="A7104" t="inlineStr">
        <is>
          <t>必修</t>
        </is>
      </c>
      <c r="B7104" t="inlineStr">
        <is>
          <t>成功</t>
        </is>
      </c>
      <c r="C7104" t="inlineStr">
        <is>
          <t>読み方：ひっしゅう
［名］(スル)必ず学び修めなければならないこと。また、その科目。「一年で—する単位」</t>
        </is>
      </c>
      <c r="D7104" t="inlineStr">
        <is>
          <t>必修化(10%)；必修課目(3%)；必修単位；必修クラブ；必修問題</t>
        </is>
      </c>
      <c r="F7104" t="inlineStr">
        <is>
          <t>全員必修</t>
        </is>
      </c>
      <c r="G7104" t="inlineStr">
        <is>
          <t>必修教科</t>
        </is>
      </c>
      <c r="H7104" t="n">
        <v>29</v>
      </c>
      <c r="I7104" t="inlineStr">
        <is>
          <t>かつてはフランス語が必修であったが、選択制を経て現在は廃止された。；必修となっている科目のほとんどは1年次に配当されていることが多い。；日本の義務教育では必修鑑賞曲があげられるが、準拠する学校は少ない。；また、卒業論文の提出は卒業に当たって必修ではなく任意となっている。；MT車の運転者は必ず習得しなければならない必修技術のひとつである。；家庭科の女子必修化を推進した家庭科教師団体は「現状維持」を求めていた。；日本では小学校と中学校で音楽が必修であり、授業の中で取り上げられる機会はままある。；現在は中1のみ必修となっており、中学2年生以上は自由参加である。；理学部では、すべての学科で演習または実験・実習が必修となっている。；盛時は東京の医学生のほとんどが卒業必修単位の如くに見学に訪れたという。；国際化教育・語学に力を入れており、英語の他にフランス語を必修としている。；本コースに参加するためには、ジャングルスキルコースは必修である。；英語だけではなく第二外国語が2年間必修となっているのも特徴のひとつであった。；「怪物的な怪物の本」は「魔法生物飼育学」の必修本として載っていた。；中学1年生では希望の部活動に所属することが必修となっている。；私たちと同じように、必修の語学で分けられたクラスのメンバー。；医学部に入るには科学が必修で、更に2年通わなければならなかった。；平成24年4月から中学校の体育で男女共に武道とダンスが必修になった。；現代社会は必修となり、それまでの政治・経済は選択履修科目となった。；学生は半年交代で水雷学校普通科と砲術学校普通科を必修するものとした。；学生は半年交代で砲術学校普通科と水雷学校普通科を必修するものとした。；大学病院で長くやっていくためには、この程度の修辞法は必修課目だ。；現在の香港の学校教育において必修の科目とされているものに、以下がある。；「宗教」の科目が必修となっており、有資格教師が授業を担当する。；器楽の部門は、現代音楽が必修化されたため作曲部門の受賞曲を演奏させる場合がある。；必修単位が十二課目も残っていたが、チェはそれを全てパスした。；医学科は基本的にすべての授業科目が必修であり、単位制を採用していない。；後藤に触発されたわけではないが、広瀬も必修クラブは美術クラブを選択していた。；また、学科によってその授業科目が必修か選択かに分かれていることがある。</t>
        </is>
      </c>
      <c r="J7104">
        <f>HYPERLINK("https://www.weblio.jp/content/必修", "词义详情")</f>
        <v/>
      </c>
      <c r="K7104">
        <f>HYPERLINK("https://yourei.jp/必修", "查看例句")</f>
        <v/>
      </c>
    </row>
    <row r="7105">
      <c r="A7105" t="inlineStr">
        <is>
          <t>必需品</t>
        </is>
      </c>
      <c r="B7105" t="inlineStr">
        <is>
          <t>成功</t>
        </is>
      </c>
      <c r="C7105" t="inlineStr">
        <is>
          <t>読み方：ひつじゅひん
なくてはならない品物。「田舎では車は—だ」「生活—」</t>
        </is>
      </c>
      <c r="D7105" t="inlineStr">
        <is>
          <t>必要；必須；不可欠；必需</t>
        </is>
      </c>
      <c r="F7105" t="inlineStr">
        <is>
          <t>日常必需品；基本的な必需品</t>
        </is>
      </c>
      <c r="H7105" t="n">
        <v>29</v>
      </c>
      <c r="I7105" t="inlineStr">
        <is>
          <t>病院へのあらゆる必需品を調達するのは全部フロレンスの仕事であった。；それは、定期的に家族に食料や必需品を運んでくる飛行便ではなかった。；島の人々も彼の仲間を信用し、食糧その他の必需品を供給してくれた。；生存のための必需品を確保することと質量の制限の間の綱わたりである。；運転にはカーナビが必要だろうけどなあ、捜査には地図が必需品なんだよ。；彼らは基本的な必需品、特にパンを手に入れることが不可能なことを強調した。；このように仕立てられたコンテンツなら、多くの人の必需品になり得る。；労働者が欲しい必需品は何でもある大きな店、ただし酒と宿泊所は除く。；これが、台所での「必需品」になりそうな商品であることは見当がついた。；小説中でヒッチハイカーの必需品とされているタオルが象徴となっている。；太平の世とちがって、百姓にも刀や槍は生活の必需品だったのである。；出ていく前に、マギーはデイヴに山へ行くための必需品を買う金をやった。；それは彼の小説の中のぜいたく品ではなくて必需品になっている。；彼女は生活の必需品よりももっと欠かすことのできない必要品になっていたのだ。；もっとも少女に言わせると、その長い髪は『必需品』なのだそうである。；誰かのあとをつけるときには新聞や雑誌が必需品になる。；需要の価格弾力性が低い財というのは必需品に近い財であることが多い。；わたしたちの必需品はみんな海が供給してくれるのですよ。；それは日常の必需品の端ばしに至るまでに、徹底したものでした。；ペニシリンは一九四〇年代以前の時代へ密航しようとする者には必需品だからな。；ちょうど女房が死んだあとだが、女房なんぞは必需品というわけではない。；これらの必需品は、売り上げを得るために低価格で宣伝されています。；外出するには杖が必需品で、家の階段の上り下りは不可能だった。；もう一つの大きな理由は、寒がりの小生に体温の高い妻は必需品であった。；笑いの技術を個人単位で身につけねばならず、もっと日常的な必需品となるだろう。；おそらくその時刻に、必需品の配給が行なわれていたのであろう。；すり鉢は台所の必需品であり、住居跡からの出土例が非常に多い。；他には自家発電施設や浄水施設もあり必需品や水を保存している。；草の原生種がテラ産の動物には適さないので、これらは必需品である。</t>
        </is>
      </c>
      <c r="J7105">
        <f>HYPERLINK("https://www.weblio.jp/content/必需品", "词义详情")</f>
        <v/>
      </c>
      <c r="K7105">
        <f>HYPERLINK("https://yourei.jp/必需品", "查看例句")</f>
        <v/>
      </c>
    </row>
    <row r="7106">
      <c r="A7106" t="inlineStr">
        <is>
          <t>びっしょり</t>
        </is>
      </c>
      <c r="B7106" t="inlineStr">
        <is>
          <t>成功</t>
        </is>
      </c>
      <c r="C7106" t="inlineStr">
        <is>
          <t>［副］ひどくぬれるさま。「—（と）汗をかく」
［形動］に同じ。「雨で—になる」</t>
        </is>
      </c>
      <c r="D7106" t="inlineStr">
        <is>
          <t>びっしょりと汗(8%)；びっしょりと濡れ(4%)；びっしょりぬれ；びっしょりとぬれ；びっしょりと寝汗</t>
        </is>
      </c>
      <c r="E7106" t="inlineStr">
        <is>
          <t>濡れた；湿った；ずぶ濡れ；ぐっしょり；びしょ濡れ</t>
        </is>
      </c>
      <c r="F7106" t="inlineStr">
        <is>
          <t>汗をびっしょり；全身びっしょり</t>
        </is>
      </c>
      <c r="H7106" t="n">
        <v>29</v>
      </c>
      <c r="I7106" t="inlineStr">
        <is>
          <t>日陰へ入ったので、私は全身にびっしょり汗をかいているのが分かった。；手の震えを抑えるのがやっとで、既にシャツの下は汗びっしょりである。；服は何度着替えてもすぐに汗がびっしょりになるのでもう気にしてません。；かれのパジャマは汗でびっしょりと濡れ、心臓はまだ激しく打っていた。；桟橋の端にある事務所に着いたときにはすでに汗びっしょりになっていた。；全員で跳板の上に乗り汗びっしょりになるまでぴょんぴょん踊り続けた。；まだ汗にびっしょりぬれて、からだから汗がしたたり落ちていました。；そのときになって気づいたが、全身にびっしょりと汗をかいていた。；ホールに着いたとき、彼女の背中には汗がびっしょりと流れていた。；まるで炭罐の前から汗びっしょりで離れてきたばかりのように見えた。；ただびっしょりと玉の汗をかいた帆村荘六の顔が、その下から現れた。；ぼくは汗びっしょりとなり、しびれるような痛みが全身を駆けめぐった。；彼は今は汗びっしょりで、杉の小枝でできた傷から血を流していた。；戦いが終わって、ユウはびっしょりと汗をかいていることに気づいた。；十銭白銅四枚と一銭銅貨二枚握った手が、びっしょり汗をかいていた。；ぼくは汗びっしょりだったが、そうすべきか否か決めかねていた。；だとしたら何故、私の背後の床は、こんなにびっしょり濡れているのだろう?；昼頃まで寝ていたが、起きたときには汗がびっしょりになっていた。；私は忍び足で戸口を出て来たがどうしたのか汗がびっしょりだった。；急いで歩いたので、汗びっしょりになっていたからであるそうだ。；ハリーは汗びっしょりになっていて、絶望的な目で地下牢教室を見回した。；彼女はぶつくさと独りごちながら、汗びっしょりになって坂を上がった。；背中に汗をびっしょりかいているのに、その時はじめて気がついた。；髪も肩も大シマロン軍服の背中も、びっしょり濡れて色が変わっている。；緊張しているつもりはなかったのに、てのひらは汗びっしょりだった。；全く異議なしと心で叫びつつも、私はいつしかびっしょり汗をかいていた。；なんとか無事になかに入ったときには、ケッソは汗をびっしょりかいていた。；そしてその子供は、雨にびっしょり濡れたまま、両手を横に広げて立っていた。；家へ帰って寝ていると夜なかにその悪夢を見て汗びっしょりになることがある。</t>
        </is>
      </c>
      <c r="J7106">
        <f>HYPERLINK("https://www.weblio.jp/content/びっしょり", "词义详情")</f>
        <v/>
      </c>
      <c r="K7106">
        <f>HYPERLINK("https://yourei.jp/びっしょり", "查看例句")</f>
        <v/>
      </c>
    </row>
    <row r="7107">
      <c r="A7107" t="inlineStr">
        <is>
          <t>筆跡</t>
        </is>
      </c>
      <c r="B7107" t="inlineStr">
        <is>
          <t>成功</t>
        </is>
      </c>
      <c r="C7107" t="inlineStr">
        <is>
          <t>読み方：ひっせき
書かれた文字。また、その文字の書きぶり。「—を似せて書く」「—鑑定」</t>
        </is>
      </c>
      <c r="D7107" t="inlineStr">
        <is>
          <t>筆跡鑑定家；筆跡分析；筆跡見本</t>
        </is>
      </c>
      <c r="E7107" t="inlineStr">
        <is>
          <t>手；書；字；執筆；文書</t>
        </is>
      </c>
      <c r="F7107" t="inlineStr">
        <is>
          <t>美しい筆跡；見事な筆跡；見覚えのある筆跡；きれいな筆跡；みごとな筆跡</t>
        </is>
      </c>
      <c r="G7107" t="inlineStr">
        <is>
          <t>筆跡学；筆跡心理学；筆跡診断士；筆跡診断</t>
        </is>
      </c>
      <c r="H7107" t="n">
        <v>29</v>
      </c>
      <c r="I7107" t="inlineStr">
        <is>
          <t>そのかわり、アレンの筆跡と思われるものは一通も現われてこなかった。；消印は横浜になっていたが宛名の筆跡にはちょっと心あたりがなかった。；彼女は筆跡でそれを知ると、読みもせずにその手紙をわたしに渡しました。；いまおまえの書いた筆跡とあわせてみると、同筆であることは疑いない。；表にはチャレンジャ教授のぎざぎざの筆跡でつぎのように書いてあった。；並んだ文字の筆跡は、今とほとんど変わるところがないように見えた。；「どうも見たことのある筆跡だ」 と俊夫君はしばらくして言いました。；それは手で書いたもので、非常に筆跡の見事なもので、英語で書いてある。；茜になりきったつもりだけでは、彼女の筆跡を真似ることなどできない。；それは、ダンブルドアの見慣れた細い流れるような筆跡で書かれていた。；手紙などを使う場合は、筆跡・および文体・文字の配置などが問題となる。；身内の者が見比べてみて、単に似ていたから同じ筆跡だと判断したのでは?；「みんな筆跡をわざと変えている、手紙は別だが」と彼は直ちにいった。；さあ眼を開いてよくごらんなさい、あなたの筆跡ははっきりしていますよ。；しかし、ぎこちなく角ばったその文字は、どう見ても俺の筆跡ではない。；妾のこの手紙の文字さえ貴方の筆跡にそっくりになってきたでしょう。；それだけにその遺された筆跡を見ては意外の感を深くするのみである。；なぜかと言えば、美しい筆跡ほど賞嘆すべきものはないのですからな。；はじめ、あの匿名の手紙を見たとき、見覚えのある筆跡だと思いました。；把手のところに、少女の筆跡で登録番号を記した札が巻き付けてあった。；ところが、その翌日届いた手紙の筆跡を見て、夫人は思わずはっとした。；しかし、その筆跡はゾディアックのものであるとは証明されなかった。；いままで母親の手紙はみたことがなく、その筆跡は知らなかった。；その筆跡には見おぼえがある、と、書いた人間の正体がぴんとわかった。；そのあかりは紙の筆跡を目に見えるようにしたものにちがいない。；また、本作と同様の筆跡で群飛する鳥の姿が描かれたものもいくつか見られる。；真似のしやすそうな癖のない字だが、俺の知っている祖母の筆跡ではなかった。；最近の若い女の子は、まるで男性のような力強い筆跡で書く者が多いという。；まえの二つは強い字を書く人の筆跡で、あとの二つは弱い筆跡です。</t>
        </is>
      </c>
      <c r="J7107">
        <f>HYPERLINK("https://www.weblio.jp/content/筆跡", "词义详情")</f>
        <v/>
      </c>
      <c r="K7107">
        <f>HYPERLINK("https://yourei.jp/筆跡", "查看例句")</f>
        <v/>
      </c>
    </row>
    <row r="7108">
      <c r="A7108" t="inlineStr">
        <is>
          <t>必然</t>
        </is>
      </c>
      <c r="B7108" t="inlineStr">
        <is>
          <t>成功</t>
        </is>
      </c>
      <c r="C7108" t="inlineStr">
        <is>
          <t>読み方：ひつぜん
［名・形動］必ずそうなること。それよりほかになりようのないこと。また、そのさま。「—の帰結」「なまけたのだから不合格は—だ」⇔蓋然(がいぜん)／偶然。</t>
        </is>
      </c>
      <c r="D7108" t="inlineStr">
        <is>
          <t>必然的(26%)；必然化；必然論；必然主義；必然起る</t>
        </is>
      </c>
      <c r="E7108" t="inlineStr">
        <is>
          <t>必要；確信；定；要；必須</t>
        </is>
      </c>
      <c r="F7108" t="inlineStr">
        <is>
          <t>内面的必然；内的必然；論理的必然；因果必然；歴史的な必然</t>
        </is>
      </c>
      <c r="G7108" t="inlineStr">
        <is>
          <t>必然性；必然的真理</t>
        </is>
      </c>
      <c r="H7108" t="n">
        <v>29</v>
      </c>
      <c r="I7108" t="inlineStr">
        <is>
          <t>その時の彼の眼には必然の結果としていつでも軽い疑いの雲がかかった。；私はこの要求を歴史的に必然なものであると主張しているのではない。；もうお前の麻痺した頭には、偶然と必然の区別さえつかなくなったのか。；自由詩がもし詩であるならば必然そこに何かの韻律がなければならない。；そういう点から考えて彼は、上記のことは必然でなければならないとした。；方法がこの意味に於て常に体系であると考えられるのは必然である。；この道具になる概念は必ずしも先験的な必然的なものでなくてもよい。；ここで初めて、必然の世界と目的の世界とが、結合するというのである。；警察と裁判所を市場に委ねれば、冤罪が必然化すると考えたからである。；携帯電話の中にデコードソフトをインストールすることは必然ではない。；この偶然の行列の中から必然をつかまえるのは容易な事ではないと思った。；それらの人々は必然に悲しみや苦しみさえ求めずにはいられない。；夫が逆に偶然が必然の集中だという風に言い表わされているのである。；私は偶然と必然の間になお一つの名目を設けてこれを蓋然と申します。；それはある目的を意志するによりて必然に起こる義務ではない。；これからのお前は必然によって動いて、無理算段をして動くことはない。；しかし現在も昔の形式を守らねばならぬという必然的なものがある筈はない。；偶然を利用する為めには、最も必然といふことに頭を使はなけれやならん。；ところがこの火ウチ袋は信長の魂こめた兵法の必然的な結果であった。；その店があった場所は、偶然なのか必然なのか、幼いころを過ごした村だった。；偶然と必然とは平面的に区別されるのではなく立体的に区別される。；これは必然的に専門家を重視する社会に組み替えることを意味する。；人は美に面したとき、それを眺め、それ自身の内なる必然性を愛する。；芸術に於て、プロレタリアの作家の出現は、すでに必然の真理とします。；戦争は必然の事象とは考へるけれど、何といつても戦争は嫌だと思ふ。；この手には天地の必然のみあって、人間の学問の勝負はありません。；「無神論は進化を理解することの必然的な延長である」と考えている。；必然も偶然も、今や因果的なものとして初めて意味を持つことが出来る。；いや必然に俺の心は何か俺の知らないものを感じている。</t>
        </is>
      </c>
      <c r="J7108">
        <f>HYPERLINK("https://www.weblio.jp/content/必然", "词义详情")</f>
        <v/>
      </c>
      <c r="K7108">
        <f>HYPERLINK("https://yourei.jp/必然", "查看例句")</f>
        <v/>
      </c>
    </row>
    <row r="7109">
      <c r="A7109" t="inlineStr">
        <is>
          <t>ひっそり</t>
        </is>
      </c>
      <c r="B7109" t="inlineStr">
        <is>
          <t>成功</t>
        </is>
      </c>
      <c r="C7109" t="inlineStr">
        <is>
          <t>［副］(スル)
１物音や人声がせず静かなさま。「—（と）静まりかえった境内」「—（と）した放課後の教室」
２静かに、目立たぬようにするさま。「—（と）余生を送る」「—（と）咲く野の花」</t>
        </is>
      </c>
      <c r="D7109" t="inlineStr">
        <is>
          <t>ひっそりと暮らし(2%)；ひっそりと静か；ひっそりと息；ひっそりと暮し；ひっそりと佇ん</t>
        </is>
      </c>
      <c r="F7109" t="inlineStr">
        <is>
          <t>急にひっそり；いつもひっそり；ひっそりと置か；ひっそりと静まりかえり；ひっそりと立つ</t>
        </is>
      </c>
      <c r="H7109" t="n">
        <v>29</v>
      </c>
      <c r="I7109" t="inlineStr">
        <is>
          <t>ひっそりと生活しているかのように見えるこの一家には秘密があった。；現在はかつてトンネルのあった場所にひっそりと記念碑が建てられている。；今はそのひっそりした小路に身を託すことができるように彼には思えた。；ごんぺい夫婦は草かりにでも行ったと見えて家の中はひっそりして居る。；この雪が来た晩の静かさ、戸の外はひっそりとして音一つしなかった。；で、先生夫妻がはいって来たときには、表の方は案外ひっそりしていた。；宅の門口まで来ると、家の中はひっそりして、誰もいないようであった。；そして、夜は彼が家に歩いて帰った時と同じようにひっそりとなった。；ひっそりとした寺がいくつも並んだ寺町を通るとき、木犀の匂いがした。；漆黒の闇の中でひっそりと暮らしており、自らの絶命を常に望んでいる。；そしてランレルは右のほうの遠くはなれたところにひっそりと立っている。；その瞬間、私たちにはなんだか離れの方が急にひっそりしたような気がした。；それゆえに未知の魔族がひっそりと暮らしている可能性も皆無ではない。；家のうちが平常より何だかひっそりしていたから聞いて見ただけの事です。；舟の中ではもそもそと物の気配がしはじめたが、やがてひっそりとなった。；息を殺してひっそりと静まり返った家と云うものを不安に思わないでもない。；その晩は家のまわりに暗い闇が垂れさがって、四辺がひっそりしていた。；あたりがひっそりしているから、その声は僕の耳にはっきりと響いた。；それに耳をつけて聞いてみたが、中はひっそりとして何の物音もしなかった。；けれども六畳はひっそりして人のいるようにも思われなかった。；そこはひっそりして人の影もないので左側になった奥の室を見た。；そこには本物の怪物たちが人間から隠れてひっそりと暮らしていた。；おりから降りつづいた雨に庭へ出る事もできない子供らはいつになくひっそりしていた。；あたりは全くひっそりして、滴り落ちる雫だけが単調な音を立てていた。；でも、町はそのときの姿のまま、ひっそり静かに地下に眠っているのでした。；けれども門にはいってあまりに家のひっそりしているを気づかった。；ただ二階で数学の授業がひっそりと行われているだけだった。；それについで間もなく辺りがひっそりして、旅館全体が深い眠りに落ちた。；この世界には魔法が実在し、魔術師の間にひっそりと伝承されてきた。</t>
        </is>
      </c>
      <c r="J7109">
        <f>HYPERLINK("https://www.weblio.jp/content/ひっそり", "词义详情")</f>
        <v/>
      </c>
      <c r="K7109">
        <f>HYPERLINK("https://yourei.jp/ひっそり", "查看例句")</f>
        <v/>
      </c>
    </row>
    <row r="7110">
      <c r="A7110" t="inlineStr">
        <is>
          <t>ぴったり</t>
        </is>
      </c>
      <c r="B7110" t="inlineStr">
        <is>
          <t>成功</t>
        </is>
      </c>
      <c r="C7110" t="inlineStr">
        <is>
          <t>［副］(スル)
１「ぴたり1」に同じ。「窓を—（と）閉める」「横に—（と）寄り添う」
２「ぴたり3」に同じ。「タバコを—（と）やめる」
３少しの狂いもなく適合するさま。また、よく合って、いかにもふさわしいさま。「—（と）八時に着く」「—する言葉が出てこない」
［形動］3に同じ。「足に—な靴」</t>
        </is>
      </c>
      <c r="D7110" t="inlineStr">
        <is>
          <t>ぴったりくっつい；ぴったり合う；ぴったりとくっつい；ぴったりと身；ぴったりくる</t>
        </is>
      </c>
      <c r="E7110" t="inlineStr">
        <is>
          <t>おり；間；近く；ちょうど；正確</t>
        </is>
      </c>
      <c r="F7110" t="inlineStr">
        <is>
          <t>ぴったり寄り；時間ぴったり；ぴったり閉め；ぴったりとつい；ぴったりとつけ</t>
        </is>
      </c>
      <c r="H7110" t="n">
        <v>29</v>
      </c>
      <c r="I7110" t="inlineStr">
        <is>
          <t>そして六七里も矢のように行ったかと思うと、ぴったり止ってしまった。；その由来は、僕にはわからないが、ぴったりしているような感じもする。；距離もぴったりだし、いい感じで逃げた時は馬自身も気持ちよさそうだ。；あんたも私にぴったりの本だと思うだろう、しかもイタリア語なんだよ!；必然的に、騎士たちは体にぴったりした衣装を身につけることとなった。；そして両側もなにかそれに似たものでぴったりと押しつけられていた。；拓郎ほどその生き様と歌がぴったり一致しているアーティストはいない。；鐘塔の中であいつは仰向けにぴったりと寝ている番人の上に坐っている。；袖は腕の形にぴったり合うように着用後に腕に沿って縫われていた。；ある日、主人公は自分にぴったりな冒険の相棒と運命的な出会いをする。；ぼくの体に深く両腕をまわし、膝から胸までぴったりと体を押しつけた。；なにぶんにも、事実と表言とに、ぴったりしないところがあるのである。；こうした場合、彼の心にぴったりするものは、何といっても音楽であった。；この連中のほうがこの仕事にはいっそうぴったりしているのだ。；あの寮歌集の雰囲気こそ私の要求にぴったりとはまるものではないか。；これはしかし三年前の着想なので今では少し私とぴったりしない気がします。；どうぴったりせぬかと云う原因を一口に云うのは困難だし、不可能なことであった。；思想の訓練と言葉の訓練とぴったり並走させて勉強して来たのではないでしょうか。；それが完了すると、金網戸のところを外へ出、ぴったりと戸をしめた。；写真だけで作られた泥臭い地方CMが、この映画館にはぴったりしていた。；戸をぴったりしめこんで、真くらな中で、女の子を裸にさせたこともある。；三人が中にはいると、かべは、もとのようにぴったりとしまってしまいました。；何かこのごろは、わしにはこの名がぴったりしないように思われてきたのじゃ。；つまり、決められたスキームにぴったり合う語が少なくなるのである。；それが、その時の私の空虚な気分にぴったり合ってしまったのです。；そうしてそのままいつまでもぴったりとそれに顔を押しつけていた。；見て居るうちに、グランパのあのいい眼が私の心の前でぴったりと眺め始めた。；その意味で、ぼくの今の気持ちには、何かぴったりしないところがあるんです。；帆村は、側路に取った別の小型の映写幕装置へ両眼をぴったりあてていた。</t>
        </is>
      </c>
      <c r="J7110">
        <f>HYPERLINK("https://www.weblio.jp/content/ぴったり", "词义详情")</f>
        <v/>
      </c>
      <c r="K7110">
        <f>HYPERLINK("https://yourei.jp/ぴったり", "查看例句")</f>
        <v/>
      </c>
    </row>
    <row r="7111">
      <c r="A7111" t="inlineStr">
        <is>
          <t>匹敵</t>
        </is>
      </c>
      <c r="B7111" t="inlineStr">
        <is>
          <t>成功</t>
        </is>
      </c>
      <c r="C7111" t="inlineStr">
        <is>
          <t>読み方：ひってき
［名］(スル)比べてみて能力や価値などが同程度であること。肩を並べること。「演歌に—する外国の音楽」「給料の一年分に—する金額」</t>
        </is>
      </c>
      <c r="D7111" t="inlineStr">
        <is>
          <t>匹敵する規模；匹敵する大き；匹敵する性能；匹敵する程；匹敵する巨大</t>
        </is>
      </c>
      <c r="E7111" t="inlineStr">
        <is>
          <t>対抗；平均；及ぶ；並ぶ；立ち並ぶ</t>
        </is>
      </c>
      <c r="F7111" t="inlineStr">
        <is>
          <t>匹敵する速度；匹敵するサイズ；匹敵するエネルギー；匹敵する量；匹敵する大型</t>
        </is>
      </c>
      <c r="H7111" t="n">
        <v>29</v>
      </c>
      <c r="I7111" t="inlineStr">
        <is>
          <t>十本の手に匹敵する働きをすることから「十手」であるといわれている。；初期モデルのジェガンに匹敵あるいは凌駕する性能を発揮したとされる。；その領土は現在のメキシコの2倍に匹敵するほど広大なものであった。；前年・前々年に匹敵する成績を残し、移籍後初の全試合出場も果たした。；欧州選手権での優勝はワールドカップ優勝に匹敵するほど重要なものだ。；他の候補は主要な訴えをムセベニのそれに匹敵させようと苦労した。；土台の石だけで家一軒の価格に匹敵するなど贅の限りが尽くされている。；パリの夜間の抗議運動に匹敵せずとも、アミアンの街は急速に麻痺した。；大人のカナダ人が一年で消費するチーズの2500人分の量に匹敵する。；特徴所見がある場合は病理診断に匹敵する確定診断を得ることができる。；連合内では国家にも匹敵する権力を持っていると考えられる。；パリは「光の都」と呼ばれ、ロンドンに匹敵する経済都市に成長した。；以降、この番組に匹敵する額の予算の天文番組は制作されていない。；学生に求められる研究・解析量は世界の先端を行く大学のそれに匹敵するものである。；無為の益とは、世の中でそれに匹敵するものはほとんどないとされる。；こちらも相国寺の大塔に匹敵する高さであったとみられている。；十二階建てのビルの大きさに匹敵し、当時の世界最大記録を更新した。；世界の国と比較すると第11のカナダや第12位のインドに匹敵している。；これはインド以外の全てのサトラペイアの合計に匹敵したという。；宇宙そのものに匹敵する大きさであることを匂わせるものもある。；金堂は現在の東大寺大仏殿にも匹敵する規模で南に広大な池と中島があった。；岡田本部長の権限は、いわば一つの映画会社の社長の立場に匹敵する。；合併が実現すれば、ユナイテッド航空グループと匹敵するグループになる。；白兵戦闘能力だけならばミミバ族など騎士に匹敵する力を持つ者たちも存在する。；ストライキは1914年には第一革命期に匹敵するレベルに達した。；これは大気表面に残った黒い点で、大きさはオーバルBAにほぼ匹敵した。；以降、これに匹敵する大きさの家庭用ガンコントローラーは発売されていない。；この記録はフランク・シナトラとジョニー・マティスの記録に匹敵する。；飛行形態では通常航空機に匹敵するスピードで飛行可能。</t>
        </is>
      </c>
      <c r="J7111">
        <f>HYPERLINK("https://www.weblio.jp/content/匹敵", "词义详情")</f>
        <v/>
      </c>
      <c r="K7111">
        <f>HYPERLINK("https://yourei.jp/匹敵", "查看例句")</f>
        <v/>
      </c>
    </row>
    <row r="7112">
      <c r="A7112" t="inlineStr">
        <is>
          <t>引っ張る</t>
        </is>
      </c>
      <c r="B7112" t="inlineStr">
        <is>
          <t>成功</t>
        </is>
      </c>
      <c r="C7112" t="inlineStr">
        <is>
          <t>読み方：ひっぱる
［動ラ五（四）］《「ひきはる」の音変化》
１引いて、ぴんと張った状態にする。「綱を—・る」
２電線などを長く張りわたす。また、導管・路線などをある場所まで延長する。「電話線を—・る」「給水管を家まで—・る」
３物の一部を持って自分の方へ強く引く。また、引き寄せる。「缶のタブを—・って開ける」「袖を—・って合図をする」
４（車両などを）強く引いて前へ進める。牽引(けんいん)する。「30両もの貨車を—・って走る」
５先に立って人を自分のめざす方へ導く。「リーダーとなって仲間を—・ってゆく」
６人をある場所へ連れて行く。また、連行する。「方々—・って歩く」「警察に—・られる」
７仲間になるように強く誘う。誘い入れる。「優秀な技術者を—・る」「野球部に—・る」
８長引かせたり遅らせたりする。引き延ばす。「たまった借金を—・っておく」「策を弄して審議を—・る」
９発音を長くのばす。「語尾を—・る」
10引用する。「例を—・ってきて説明する」
11野球で、投手の球を思いきり打って、右打者はレフト方向、左打者はライト方向へ飛ばす。「外角球を強引に—・る」⇔流す。
12着る。ひっかける。
「着物らしい着物を—・っていたこともなく」〈秋声・足迹〉
13磔(はりつけ)にする。
「木の空（＝磔柱）に—・らるるは今のこと」〈浄・博多小女郎〉
[可能]ひっぱれる</t>
        </is>
      </c>
      <c r="D7112" t="inlineStr">
        <is>
          <t>引き；牽引；引張り；けん引；プル</t>
        </is>
      </c>
      <c r="F7112" t="inlineStr">
        <is>
          <t>軽く引っ張る；思いっきり引っ張る；掴んで引っ張る；思い切り引っ張る</t>
        </is>
      </c>
      <c r="H7112" t="n">
        <v>29</v>
      </c>
      <c r="I7112" t="inlineStr">
        <is>
          <t>わたしはまだ混乱していて、心葉先輩に引っ張られるままになっていた。；彼女はいつかユロがそこに引っ張り出されるのを期待していたのだった。；おれの足を引っ張ろうとしているやつがあそこにはウヨウヨしてるんだ。；きっと、ポケットから皮の鍵入れを引っ張り出したにちがいありません。；友達は彼を町から半里ばかり離れたもの淋しい場所へ引っ張って行った。；顔位の狭い面積の処で、一部を強く引っ張れば、全体の形が変って来る。；廊下の隅の薄暗い場所へと引っ張られるが、さっきとは力の強さが違う。；この機関車が引っ張っている客車は、座席や屋根がない三等列車である。；彼女は立ち上り、自分が前に引っ張られているような感じで足を運んだ。；本気と書いてマジと読む目だよこの入ってやめて毛布を引っ張らないで。；その状態にて軽く引っ張ってみて、連結状態を確認するのが確実である。；僕はいま陸軍から引っ張りに来ているんですが、海軍が許さないのです。；おまえはのろのろと、目に見えない糸に引っ張られるように顔を上げた。；一方で自分が足を引っ張っていることを気にしているような場面も見られる。；まるで有刺鉄線で作られた首輪を引っ張られている獣のような音だった。；パイロットが調査していると、彼は何かによって外へ引っ張り出される。；ツィマーマン夫人は、鏡を持っている手が強く引っ張られるのを感じた。；自分達の活動の足を引っ張るあんたの態度こそ問題だと怒鳴り散らした。；何かがかれを後ろへ引っ張っているか、あるいは押しているように思えた。；担当編集が引っ張ってくれたおかげで連載デビューしたことを感謝している。；その手が、他の生徒を引っ張って行くと、ぼくはがッかりしてしまった。；身体の力が不意に失われ、背中が下に引っ張られるような感覚が来る。；吉野は自分の都合の為、私を引っ張り回すし他の人と喧嘩したりもする。；今度はわたしが落ちてこないように下から引っ張っているのだった。；たとえ八分の一になれなかったにしろ、あなたは足を引っ張らなかった。；一人怒り狂ってくれたのは、私を引っ張ると約束していたデスクだった。；この尻尾を引っ張れば本体はいやでも穴から出てこざるを得なくなる。；それが引っ張られて行くときになにもわたしに置いて行くひまがなかった。；しかしエリオにはシャツを引っ張るなと強く言えない俺なのであった。</t>
        </is>
      </c>
      <c r="J7112">
        <f>HYPERLINK("https://www.weblio.jp/content/引っ張る", "词义详情")</f>
        <v/>
      </c>
      <c r="K7112">
        <f>HYPERLINK("https://yourei.jp/引っ張る", "查看例句")</f>
        <v/>
      </c>
    </row>
    <row r="7113">
      <c r="A7113" t="inlineStr">
        <is>
          <t>必要</t>
        </is>
      </c>
      <c r="B7113" t="inlineStr">
        <is>
          <t>成功</t>
        </is>
      </c>
      <c r="C7113" t="inlineStr">
        <is>
          <t>読み方：ひつよう
［名・形動］なくてはならないこと。どうしてもしなければならないこと。また、そのさま。「それほど急ぐ—はない」「—に迫られて買う」「生活に—な（の）品々」</t>
        </is>
      </c>
      <c r="D7113" t="inlineStr">
        <is>
          <t>必要以上；必要な場合；必要不可欠；必要があります；必要な情報</t>
        </is>
      </c>
      <c r="E7113" t="inlineStr">
        <is>
          <t>重要；主要；要求；第一；重大</t>
        </is>
      </c>
      <c r="F7113" t="inlineStr">
        <is>
          <t>必要缺くべ；必要最少限；必要最小限度；必要條件；必要品に対する租税</t>
        </is>
      </c>
      <c r="G7113" t="inlineStr">
        <is>
          <t>必要条件；必要十分条件；必要不可欠；必要経費；必要悪</t>
        </is>
      </c>
      <c r="H7113" t="n">
        <v>29</v>
      </c>
      <c r="I7113" t="inlineStr">
        <is>
          <t>楽器の音階を決める穴配りと穴開けには高度の製作技術が必要とされる。；ここでは以降の解説を読む上で必要な の文法規則を簡単に説明する。；システム間でメッセージをやりとりするには接続を確立させる必要がある。；印刷物には文字だけでなく挿し絵などの図版も必要とされることが多い。；しかし、それらは強力すぎるため、変換の適用は制限される必要がある。；各種のマグニチュードの値の間では差異を持つので注意が必要である。；ただしそれには多額の資金と労力が必要となるため、容易には行えない。；なお、干渉縞が現れるためには実験を繰り返し何度も行う必要がある。；このためストールマンは移植性のあるソフトウェアが必要だと考えていた。；いずれもCDとの互換はなく、再生には専用のプレーヤーが必要である。；これらは制御方法が異なるため、それぞれ別のドライバが必要である。；食事以外にも、レースでは機材故障に伴う部品や自転車の交換が必要になる。；ただしすべてのグリフを扱うにはアプリケーション側の対応が必要となる。；濃い黄色または琥珀色は、より多くの水を飲む必要があることを示している。；参拝する前に、本来は神の前に向かう前に心身を清める禊が必要である。；また、一度契約が切れてしまうと新規での製品購入が必要であった。；サミットの新たなメンバー国を増やすには、全参加国の支持が必要となる。；江戸時代以前の日本では髷の形を崩さないようにする必要があった。；これまで通りの選択も可能であるが、その場合婚前に手続きが必要となる。；もっとも、両者の差異は相対的なものであることに注意が必要である。；この種類のゲームは文房具以外の専門的な機器をほとんどまたは全く必要としない。；これらの権限は内閣の助言に基づき行使され、内閣の承認を必要とする。；このような事態に対応するため、プログラムを保守していく作業が必要になる。；OOPは従来のライブラリが提供していなかった情報を必要とした。；また翻訳や意思決定など高度なスキルを必要とする分野への応用も進んでいる。；アプリケーションは必要なら頻繁にデバイスへのアクセスを要求する。；これらを呼び出す処理を行っている場合にはチェックが必要である。；天皇の行政大権の行使に国務大臣の輔弼を必要とする体制を定めたこと。；したがって両者はかなり異なっており、しっかり区別して論じる必要がある。</t>
        </is>
      </c>
      <c r="J7113">
        <f>HYPERLINK("https://www.weblio.jp/content/必要", "词义详情")</f>
        <v/>
      </c>
      <c r="K7113">
        <f>HYPERLINK("https://yourei.jp/必要", "查看例句")</f>
        <v/>
      </c>
    </row>
    <row r="7114">
      <c r="A7114" t="inlineStr">
        <is>
          <t>必要性</t>
        </is>
      </c>
      <c r="B7114" t="inlineStr">
        <is>
          <t>成功</t>
        </is>
      </c>
      <c r="C7114" t="inlineStr">
        <is>
          <t>読み方：ひつようせい
そのものが、どれだけ必要であるかの度合い。「資源保護の—を訴える」</t>
        </is>
      </c>
      <c r="D7114" t="inlineStr">
        <is>
          <t>必要性を認識；必要性が認識；必要性を強く；必要性が高い；必要性が認められ</t>
        </is>
      </c>
      <c r="E7114" t="inlineStr">
        <is>
          <t>需要；ニーズ</t>
        </is>
      </c>
      <c r="F7114" t="inlineStr">
        <is>
          <t>必要性を強く認識；必要性を強く主張；必要性が薄い</t>
        </is>
      </c>
      <c r="H7114" t="n">
        <v>29</v>
      </c>
      <c r="I7114" t="inlineStr">
        <is>
          <t>これはウォルトに経営面のサポート役を立てる事の必要性を痛感させた。；これには、教育の必要性と教育の可能性の二面から論じられることが多い。；研究者の中には、インド遠征に政治的必要性は無いとの指摘もある。；日本以外の国では必要性が薄いことから非常に珍しい塗装でもある。；エナメル質の状態を診査し、治療の必要性を判断することは重要である。；必要性のある受験勉強をする大学入試改革が必要で、責任は大学にある。；ただし、李鵬も総理就任の活動報告で、価格改革の必要性を訴えていた。；これに大きな衝撃を受けた諭吉は、それ以来、英語の必要性を痛感した。；代わって、ファッションとして帽子の必要性が認識されるようになった。；応用ではこの記憶の必要性はいつも決まって無視されている。；ジェファーソン大統領は、この未開の地を調査する必要性を感じていた。；しかしもっと中央に近い場所で開催する必要性が出てきた。；そのため、早い段階からのリテラシー教育の必要性が指摘されている。；これは、道徳の必要性といった類の道徳の根本的な問題の内で扱われる。；特に代表的なもの、あるいは知っておく必要性が高いものを随時追加していく。；これらの動物の食事の必要性は大部分が草を食べることによって満たされる。；そしてこの氾濫を管理する必要性から、文明が徐々に発達してきた。；これにより、明確な定義を定める必要性が生まれたと考えられている。；そうして工学における必要性から関連する科学に知識を追加することも多い。；労働者政党の組織化を前提とした政治運動の必要性が再度唱えられた。；オーストラリア大陸で鉄道と自動車が普及し、ラクダの必要性が低下した。；士族自身も近代国家建設のため旧特権を廃止することの必要性は理解していた。；改革要求の激化が革命に発展することへの恐怖を前に議会改革に着手する必要性があった。；「国際短波放送とラジオの必要性」などをテーマに加盟社が参加して公演した。；政府も欧米の巨大な資本に対抗するには日本でも企業を起こしていく必要性があると考えた。；「ユダヤ教徒の純情」さを描いて同志愛の必要性を促したともいわれる。；更新工事を施工した機関車は未施工機と区別する必要性から車体塗装が変更された。；日出生台への物資輸送の必要性などにより早期に建設されたとされる。；これらの事によって、T-34の改良の必要性もまた高まる事となった。</t>
        </is>
      </c>
      <c r="J7114">
        <f>HYPERLINK("https://www.weblio.jp/content/必要性", "词义详情")</f>
        <v/>
      </c>
      <c r="K7114">
        <f>HYPERLINK("https://yourei.jp/必要性", "查看例句")</f>
        <v/>
      </c>
    </row>
    <row r="7115">
      <c r="A7115" t="inlineStr">
        <is>
          <t>否定</t>
        </is>
      </c>
      <c r="B7115" t="inlineStr">
        <is>
          <t>成功</t>
        </is>
      </c>
      <c r="C7115" t="inlineStr">
        <is>
          <t>読み方：ひてい
［名］(スル)
１そうではないと打ち消すこと。また、非として認めないこと。「うわさを—する」「暴力を—する」⇔肯定。
２論理学で、ある命題の主語と述語の関係が成立しないこと。また、その関係を承認しないこと。⇔肯定。
３ヘーゲル弁証法で、発展の契機の一。→否定の否定
４文法で、打ち消しの語法のこと。
５論理演算の一。入力と出力を逆にする演算のこと。入力が「真」または「1」ならば出力は「偽」または「0」となり、入力が「偽」または「0」ならば、出力は「真」または「1」となる。NOT(ノット)。コンピューターでこのような演算を行う論理回路においては、電流が流れる場合を「真」、流れない場合を「偽」と対応させ、NOT回路などと呼ぶ。</t>
        </is>
      </c>
      <c r="D7115" t="inlineStr">
        <is>
          <t>否定する(18%)；否定的(12%)；否定でき(5%)；否定される(2%)；否定しよ</t>
        </is>
      </c>
      <c r="E7115" t="inlineStr">
        <is>
          <t>否；否決；打ち消し；打ち消す；抗う</t>
        </is>
      </c>
      <c r="F7115" t="inlineStr">
        <is>
          <t>能性も否定でき；全面否定；否定疑問文；否定限定詞；否定すべからざる</t>
        </is>
      </c>
      <c r="G7115" t="inlineStr">
        <is>
          <t>否定論；否定姫；否定形；否定的評価；否定の否定</t>
        </is>
      </c>
      <c r="H7115" t="n">
        <v>29</v>
      </c>
      <c r="I7115" t="inlineStr">
        <is>
          <t>これらの理論の多くは、カロリック説が否定された現在でも有効である。；中期も多くが前期旧石器を捏造をした人物が関与していて否定的である。；しかし、このシューハルトの主張はいくつかの理由から否定されている。；しかしセヴマシュはそんな話は聞いていないとしてこの情報を否定した。；実際、昭和天皇は自分が神の子孫であることを否定した文章を削除した。；またジョンソンが同性愛者なのではないかという疑いを完全に否定した。；そのどちらの研究も反証実験が行われており、結果は否定されている。；また自身の引退試合の開催についても現時点で否定する発言もしている。；ハーバート・バターフィールドは以下のように否定的な見解を示している。；しかし、フェヒナーの実験の解釈については否定的な様々な見解がある。；が、西欧的思考による猿の文化を否定するための定義と言えなくもない。；一般的にメソッド俳優と言われるが、ブランドはこれを否定している。；絶対音感を持っていると噂されたことがあるが、本人がこれを否定している。；これは評価される場合もあるが、否定的な見方をされることも多い。；政府はこれを否定したものの、は避難を否定する根拠はないとした。；Q資料の存在を否定する立場の人々は次のような論拠を述べている。；否定である、極限が存在しないとは、ある で が存在しないとなる。；これらの論文のうち、効果に否定的な結論を示す論文は63件中4件ある。；古くは三葉虫と系統的に近いと思われたこともあるが、のちに否定されている。；中国とのつながりを否定する時に科学的な事実を無視している。；そして現在では熱は運動であるとされており、カロリック説は否定されている。；加えては1997年に、も2002年に否定的な意見を発表している。；否定的なレビューのいくつかは、この小説の長さを批判していた。；自費でのキャンプ参加となり、否定的な報道や一部世論の反発に遭った。；なお、金星に原始的生命が存在する可能性は完全に否定されたわけではない。；ただし近年の研究では、これを否定する発表もなされている。；家庭にて治療をした場合も髄膜炎、脳炎の否定のために受診が望まれる。；逆に史的信頼性が完全に否定された武蔵系図等で積極的に用いられている。；このように、フロギストン説は完全に否定されたわけではなかった。</t>
        </is>
      </c>
      <c r="J7115">
        <f>HYPERLINK("https://www.weblio.jp/content/否定", "词义详情")</f>
        <v/>
      </c>
      <c r="K7115">
        <f>HYPERLINK("https://yourei.jp/否定", "查看例句")</f>
        <v/>
      </c>
    </row>
    <row r="7116">
      <c r="A7116" t="inlineStr">
        <is>
          <t>日照り</t>
        </is>
      </c>
      <c r="B7116" t="inlineStr">
        <is>
          <t>成功</t>
        </is>
      </c>
      <c r="C7116" t="inlineStr">
        <is>
          <t>読み方：ひでり
１日が照りつけること。特に、真夏に晴天が続き雨が降らないこと。《季夏》「天広く湖(うみ)青々と—かな／東洋城」
２あるべきもの、あって欲しいものなどが不足すること。「女—」</t>
        </is>
      </c>
      <c r="D7116" t="inlineStr">
        <is>
          <t>日照り続き(5%)；日照りつづき(3%)</t>
        </is>
      </c>
      <c r="E7116" t="inlineStr">
        <is>
          <t>旱魃；渇水；日照；干ばつ；干魃</t>
        </is>
      </c>
      <c r="H7116" t="n">
        <v>29</v>
      </c>
      <c r="I7116" t="inlineStr">
        <is>
          <t>ところが、住人がいなくて水をやってない、その上この日照りでしょう。；このところ日照りつづきだったから、街路樹はきっと喜んでいるだろう。；どれだけ日照りになっても池の水は枯れたことがないとされる。；湯王が夏を滅ぼしたのち七年間も大日照りが続き洛川は枯れてしまった。；柵の向うには玉蜀黍が風と暑熱と日照りのためにたたきのめされていた。；川原のあらわれる日照りのときもあるが、大水が押し流れることもある。；農地を灌水するのも困難なほどであり、村民は常に日照りを心配していた。；長かった日照りと食糧不足で、死んだり食べられたりしちゃったんだもの。；それらはわたしがそうしなかったら日照りつづきには枯れてしまったであろう。；そのとき日照り続きで、水を断たれて困窮した敵は翁指を斬って降伏した。；もしこれ以上日照りが続くと、今年の収穫に大打撃を与えることは間違いなかった。；夏ちかい薄日照りが、この地方特有な土の香を蒸している午ごろだった。；日照りが続いているわけでもないのに、どういうことだろう。；境内の下を流れる沢は、どんな日照りの日でも枯れたことがないと伝えられる。；彼には申しわけないが、カエルが日照りをうらんでいるような印象だった。；文宗はかねてから日照りを心配し、宮中で降雨量の測定を試みていたという。；紀元前334年、国内に日照りの被害があるにもかかわらず、高門を建設した。；とはいうものの厚い覆土は雨や日照りのおかげですっかりかたくなっている。；南米の日照りのニュースや、中国の大洪水のニュースも短時間だが流れた。；寮にルームメイトと住んでいるのなら、絶対に女日照りに違いない。；池の水は日照り続きで少なくなり、湯のようになった。；でも今では、いくら神様にお願いしても、日照りなんてやって来ない。；ときに日照りのため水深が浅く、胡朝の軍は舟を捨てて陸路を逃れた。；春から夏へかけて日照りが續いた代りに、秋にはよく雨が降つた。；反対に日照りになれば渇水に陥ってしまうという河況係数の高い河川であった。；ぬれている草は十ヵ月の日照りも楽にのりこえられるくらい深い根を持っているのだ。；自動車は白い土埃を上げ、乾燥し切った秋の空気を切って日照りの街中を走った。；この地方の気候はよく雨が降る年がある一方で極端な日照りで雨が降らないこともある。；長雨や日照りだって、王さまがいるのといないのとじゃ規模が違うって言うし。</t>
        </is>
      </c>
      <c r="J7116">
        <f>HYPERLINK("https://www.weblio.jp/content/日照り", "词义详情")</f>
        <v/>
      </c>
      <c r="K7116">
        <f>HYPERLINK("https://yourei.jp/日照り", "查看例句")</f>
        <v/>
      </c>
    </row>
    <row r="7117">
      <c r="A7117" t="inlineStr">
        <is>
          <t>人</t>
        </is>
      </c>
      <c r="B7117" t="inlineStr">
        <is>
          <t>成功</t>
        </is>
      </c>
      <c r="C7117" t="inlineStr">
        <is>
          <t>読み方：じん
［音］ジン（漢）ニン（呉）　［訓］ひと
［学習漢字］1年
〈ジン〉
１ひと。「人員・人権・人口・人工・人材・人事・人種・人身・人生・人道・人物・人民・人類／愛人・恩人・家人・奇人・求人・軍人・原人・個人・故人・殺人・詩人・主人・世人・成人・達人・婦人・法人・無人・友人・要人・隣人・老人」
２「人造」の略。「人絹」
〈ニン〉ひと。「人気・人形・人間・人情・人数・人相／悪人・住人・上人(しょうにん)・商人・証人・職人・仙人・善人・他人・町人・犯人・病人・本人・役人・苦労人・代理人」
〈ひと（びと）〉「人影・人妻・人波／恋人・旅人・村人」
［名のり］きよ・さね・たみ・と・ひとし・ふと・むと・め
［難読］商人(あきんど・あきゅうど)・海人(あま)・大人(うし)・大人(おとな)・狩人(かりゅうど)・猟人(かりゅうど)・蔵人(くろうど)・防人(さきもり)・素人(しろうと)・舎人(とねり)・人参(にんじん)・為人(ひととなり)・一人(ひとり)・二人(ふたり)・海人草(まくり)・囚人(めしゅうど)・召人(めしゅうど)・寄人(よりゅうど)・若人(わこうど)</t>
        </is>
      </c>
      <c r="D7117" t="inlineStr">
        <is>
          <t>人連れ；人残ら；人共；人乗り；人当たり</t>
        </is>
      </c>
      <c r="E7117" t="inlineStr">
        <is>
          <t>者；男；方；人間；人物</t>
        </is>
      </c>
      <c r="F7117" t="inlineStr">
        <is>
          <t>一人；何人；三人；十人；万人</t>
        </is>
      </c>
      <c r="G7117" t="inlineStr">
        <is>
          <t>人々；人物；人気；人たち；人生</t>
        </is>
      </c>
      <c r="H7117" t="n">
        <v>29</v>
      </c>
      <c r="I7117" t="inlineStr">
        <is>
          <t>年齢が高い人よりも低い人の方が、症状が重い人は多いと言われている。；地元の伝承ではラボックの一人当たりの教会の数では国内最大と言われる。；相手認証とはある人が他の人に自分が確かに本人であると納得させるをいう。；同社が運営するプレイバイメールのゲーム管理者の一人として活動する。；また、記録の仕方によっても人や社会が影響を受けるとする考察もある。；ホームズはまた、多くの俳優に演じられた架空人物の一人に数えられる。；これは神学の分野で、彼が教友の一人モファッザルに教えたものである。；恐怖と恐れと共に人の影にいた彼らが人間との戦争を始め、今に至る。；王質が山を下り村に帰ると知っている人は誰一人いなくなっていた。；ピカソは仕事をしているとき以外は、一人でいることができなかった。；ビートルズ解散直後の二人の確執はファンやマスコミにも知られていた。；中にはゴローニンや高田屋嘉兵衛のように相手国の捕虜になった人もいた。；現代では主に自身の性格やそれに基づいた相性を知るために利用する人がいる。；日常生活とは、人が生きるために日々繰り返しやっていることである。；そのため、二人は手塚が使っていた机と同じ机で漫画を描いていた。；ロック界でもっとも影響力のあったミュージシャンの一人として知られる。；代わりにこれらがゲームをする人の中心的な指示者である。；タングラムを遊んでいたとされる19世紀の欧米の著名人は何人かいる。；ペットが人に被害を与えた場合、刑事・民事の責任を問われることがある。；その一方で、多くの人が描かなくなる年齢を過ぎても活動的に絵を描く人々が居る。；これは、全ての人に平等に手を差し出している様子であると言われる。；浸透しすぎてこちらが公式ルールだと思い込んでいる人が多いルールもある。；玉音放送を聴く周囲の人々の雰囲気などで事情を把握した人が大半だった。；二人とも同大学の絵画科を志していたが落ちてしまい、版画科へと進学した。；しかし一人あたりの生活支出は未だにイラン・イラク戦争前よりも低い。；それらの遺跡から人の手によって加工された石器が多数出土している。；一方では、合計372万人のチリ人が、2011年に他の国を訪問した。；メディアには顔を出さないので、本人を知っている人は少ない。；俳優の中には、ある役で高く評価されて人気が出る人もいる。</t>
        </is>
      </c>
      <c r="J7117">
        <f>HYPERLINK("https://www.weblio.jp/content/人", "词义详情")</f>
        <v/>
      </c>
      <c r="K7117">
        <f>HYPERLINK("https://yourei.jp/人", "查看例句")</f>
        <v/>
      </c>
    </row>
    <row r="7118">
      <c r="A7118" t="inlineStr">
        <is>
          <t>一～</t>
        </is>
      </c>
      <c r="B7118" t="inlineStr">
        <is>
          <t>成功</t>
        </is>
      </c>
      <c r="C7118" t="inlineStr">
        <is>
          <t>読み方：いー
《(中国語)》数のいち。ひとつ。</t>
        </is>
      </c>
      <c r="D7118" t="inlineStr">
        <is>
          <t>もの；一つ；一個；壱；ワン</t>
        </is>
      </c>
      <c r="H7118" t="n">
        <v>29</v>
      </c>
      <c r="I7118" t="inlineStr">
        <is>
          <t>そこで鳥の声のレコードを買ってきて、自宅で一日中流し続けていた。；単独で降伏した者は少なく、大部隊が一度に降伏することが多かった。；地元の伝承ではラボックの一人当たりの教会の数では国内最大と言われる。；同社が運営するプレイバイメールのゲーム管理者の一人として活動する。；ホームズはまた、多くの俳優に演じられた架空人物の一人に数えられる。；ピカソは仕事をしているとき以外は、一人でいることができなかった。；破壊が始まった一点が震源であり、破壊されてずれた部分が断層となる。；F1選手権への追加の検討が一度でもなされたレースイベントは以下。；稀に一度は中止にされた作品が時を経て再起動するケースもある。；一度だけ出版社で働いたこともあり、原稿の断り状を送る作業をしていた。；ロック界でもっとも影響力のあったミュージシャンの一人として知られる。；これはソフトウェアがデジタルデータの一種であることに由来する。；しかし一度に大量の情報を話し、聞き返す事もできないためメモは必須。；この年は永い作家生活の中で、初めて小説の発表が一編もなかった。；近年のプロの対局では、第一手のほぼすべてが隅から始まっている。；SFファンが選ぶ年間ベスト賞である星雲賞を星は一度も受賞していない。；専門料理は技術であり、また特に高度なものは芸術の一種と捉えられることもある。；しかし一人あたりの生活支出は未だにイラン・イラク戦争前よりも低い。；大会後には同一都市では初となるパラリンピックも開催された。；更に狭い地域や都市を一括りにして九州経済、大阪経済などと呼ぶこともある。；また、通常時には入場券のような同一駅での入・出場はできない。；一九五五年に作家出版社本が出版され、以降標点本として広く流布した。；公共交通機関の発達していない田舎などでは特に一人当たりの所有率が一般的に高い。；一般的な区分は何通りかあるが、ここではその一例を挙げる。；高校一年生の時にサッカー部を辞め、漫画一本に集中することに決める。；別の作品に同一キャラクターを登場させることが多い。；連載終了以降一度も再現されなかったカラー原稿を初めて収録。；空リストを初期状態とし、f を使って一語ずつ文字列を解釈していく。；日本国憲法施行までの半世紀以上の間、一度も改正されることはなかった。</t>
        </is>
      </c>
      <c r="J7118">
        <f>HYPERLINK("https://www.weblio.jp/content/一～", "词义详情")</f>
        <v/>
      </c>
      <c r="K7118">
        <f>HYPERLINK("https://yourei.jp/一～", "查看例句")</f>
        <v/>
      </c>
    </row>
    <row r="7119">
      <c r="A7119" t="inlineStr">
        <is>
          <t>ひどい</t>
        </is>
      </c>
      <c r="B7119" t="inlineStr">
        <is>
          <t>成功</t>
        </is>
      </c>
      <c r="C7119" t="inlineStr">
        <is>
          <t>読み方：ひどい
［形］［文］ひど・し［ク］《名詞「非道(ひどう)」の形容詞化》
１残酷である。むごい。「—・い目にあう」「—・い人」
２度を超している。はなはだしい。「—・い寒さ」「—・い降りだ」
３程度が非常に悪い。「—・い出来ぐあい」「—・い点をとる」
→凄(すご)い［用法］
[派生]ひどさ［名］</t>
        </is>
      </c>
      <c r="D7119" t="inlineStr">
        <is>
          <t>ひどい目(9%)；ひどいこと(8%)；ひどいもの(4%)；ひどい状態；ひどい傷</t>
        </is>
      </c>
      <c r="E7119" t="inlineStr">
        <is>
          <t>強い；悪い；大変；激しい；恐ろしい</t>
        </is>
      </c>
      <c r="F7119" t="inlineStr">
        <is>
          <t>こんなひどい；そんなひどい；どんなひどい；なんてひどい；あんなひどい</t>
        </is>
      </c>
      <c r="G7119" t="inlineStr">
        <is>
          <t>ひどいい；ひどいー</t>
        </is>
      </c>
      <c r="H7119" t="n">
        <v>29</v>
      </c>
      <c r="I7119" t="inlineStr">
        <is>
          <t>私たちは車で家へ向かったんだがひどい渋滞に巻き込まれてしまってね。；ひどい風で、海岸から砂が煙のやうに飛んで来るのが見えるやうなのです。；第一、われわれの仲間がこんなひどい殺人合戦をやるとは考えられない。；実際に戦闘が始まると、この連携は全くひどいものであることが判明した。；妻が日本に来てショックを受けたのも町の食堂の食べ物のひどさだった。；だがあのひどい爆発は、われわれがあの部屋を去るとまもなく起こった。；その女性は夫にひどい扱いを受けており、邸宅に監禁されているという。；本当にひどい代物だから俺たちは絶対にリリースしたくなかったんだ。；頭にあったのは、いまのがこれまでになくひどかったということだけだ。；しかしオブライアンはひどい目に遭わされたとは思っていないと語った。；だが俺の両手は、骨棘と同じくらいのひどい悪条件だったと思わないか。；つきますと直ぐに雨が降り出して、風がひどいので外には出られません。；ひどいときには乗客に後ろから押してもらうようなこともあった。；三十年戦争では、現在の町域にあったすべての村はひどい破壊を受けた。；ひどい場合は、少ない給金で非常に過酷な労働の生活を送ることになる。；船の揺れもひどかったので、船に弱い雄七郎などは寝通しであったらしい。；君の心臓を奪っていった男をひどい目にあわしてしまったんだからね。；その瞬間は風がひどすぎるという一言を口にする間しかつづかなかった。；またひどい目に会うのは嫌ですから、誰かほかのものにお頼みなさい。；幾つかの重要な病院は建物被害がひどく、地震後に使用不能となった。；しかし文章では随分ひどいことを書いているのを見ることがあった。；だが、これはもっとひどかった、はるかにはるかにひどいものであった。；あなたから聞いているだけでも、そのひどさにうんざりするぐらいだわ。；ひどく憤慨したイギリス政府の保証にかかわらず、作戦は成功を収めた。；ひどい損傷を負った旧式艦には修理するほどの意味がなかったためである。；試験が終わった後の、発表を待つ時期にもっとも症状がひどかったからだ。；ひどく偏見に満ちた人種差別主義的な人々に反撃したかっただけでした。；この海戦で両国の艦隊はひどく損害を受け、英仏双方が勝利を主張した。；殿下は古今の事を多く知っておられ、政事でひどい大被害もありません。</t>
        </is>
      </c>
      <c r="J7119">
        <f>HYPERLINK("https://www.weblio.jp/content/ひどい", "词义详情")</f>
        <v/>
      </c>
      <c r="K7119">
        <f>HYPERLINK("https://yourei.jp/ひどい", "查看例句")</f>
        <v/>
      </c>
    </row>
    <row r="7120">
      <c r="A7120" t="inlineStr">
        <is>
          <t>一息</t>
        </is>
      </c>
      <c r="B7120" t="inlineStr">
        <is>
          <t>成功</t>
        </is>
      </c>
      <c r="C7120" t="inlineStr">
        <is>
          <t>読み方：ひといき
１一度息をつくこと。一呼吸。また、ひとやすみ。「—入れる」「これで—つける」
２一呼吸するだけの短い間。一気。「ぐっと—で飲み干す」
３仕事などを休まずにやってしまうこと。「—に書きあげる」
４すこしの努力。ひとがんばり。「もう—で頂上だ」</t>
        </is>
      </c>
      <c r="D7120" t="inlineStr">
        <is>
          <t>一息つい(20%)；一息つく(7%)；一息入れ(6%)；一息つき(3%)；一息いれ</t>
        </is>
      </c>
      <c r="E7120" t="inlineStr">
        <is>
          <t>間；停止；中止；中断；休み</t>
        </is>
      </c>
      <c r="F7120" t="inlineStr">
        <is>
          <t>あと一息；今一息；いま一息；一息いれる；一息つこ</t>
        </is>
      </c>
      <c r="H7120" t="n">
        <v>29</v>
      </c>
      <c r="I7120" t="inlineStr">
        <is>
          <t>女中も一息入れたいところだったらしく、手を取らんばかりに案内する。；それでも、なぜか僕はこの場所が好きで、ここでいつも一息ついていた。；さすがの彼も、一息新鮮で闊い空気が欲しい生活をして来たのであった。；こゝから遠くてまるで見えなくなるまで一息に飛んで行くんだからね。；あと一息というところで、またしても船縁に人の気配を感じて息を飲む。；そしていいところを見せようと、グラス一杯をぐっと一息でからにした。；そこを開けて中の部屋にはいれたら、野獣の攻撃から一息つけるだろう。；一息入れて仕事しようとしてお茶の湯をわかして食堂のガスの前にいる。；料理を運んできて一息つくかのように座るとどんな気分なのだろう。；一息入れたあと、上を見、赤い巻毛がはりついている額の汗をぬぐった。；船縁まであと一息というところで、すぐ上の甲板に誰かが近づいてきた。；それでも、顔を浸したままだと、一息に二間近くも進めるようになった。；まずは一息ついてからよ、と鈴はいい、香りのよいお茶をたててくれた。；心の悲哀を忘れるために学び始めた新しい言葉の芽も一息に延びて来た。；しかし、このときに一息ついたものの一時的なものに過ぎなかった。；また一息で吹き続けるのが困難な長い音を伸ばす場合にも使われることがある。；短いものを、一息に、その衝動の引力でもって書いてしまうこともある。；こうして、日中と言わず、夜分と言わず、一息する暇とてもありません。；それをぜえぜえ言いながら飲み干して、やっと一息ついて店を出ていく。；やっと満腹して皿をさげるように言うと、腰をかけなおして一息ついた。；真が一息吐くのを見計らったように、隣のベッドの少年が声をかけてくる。；手も足もかけ場に窮して、一息でも気力を失うと墜死するところでした。；ホッと一息ついたとき、二人の客がこっちへ戻ってくるのが見えた。；エリアに到着した一行が一息ついていると、ドアをノックする音が聞こえた。；彼女はやや伏せていた顔をあげ、また一息に、他の事を何も考えずに言った。；いっぱい注いだところを、露八は横から取って、一息に飲んでしまった。；そして最後に玉座の真向かいにあるいちばん大きい島の手前で一息入れた。；一息吸いこんでから、摂子はもう一度テーブルの上の写真を取り上げた。；いささか濃すぎる、冷えたお茶を飲んで一息ついたとき、電話が鳴った。</t>
        </is>
      </c>
      <c r="J7120">
        <f>HYPERLINK("https://www.weblio.jp/content/一息", "词义详情")</f>
        <v/>
      </c>
      <c r="K7120">
        <f>HYPERLINK("https://yourei.jp/一息", "查看例句")</f>
        <v/>
      </c>
    </row>
    <row r="7121">
      <c r="A7121" t="inlineStr">
        <is>
          <t>人影</t>
        </is>
      </c>
      <c r="B7121" t="inlineStr">
        <is>
          <t>成功</t>
        </is>
      </c>
      <c r="C7121" t="inlineStr">
        <is>
          <t>読み方：じんえい
人の影。人の姿。ひとかげ。
「一路—なし、独り歩み黙思口吟し」〈独歩・武蔵野〉</t>
        </is>
      </c>
      <c r="D7121" t="inlineStr">
        <is>
          <t>人影一つ；人影ひとつ；人影らしいもの；人影らしきもの；人影が浮かん</t>
        </is>
      </c>
      <c r="F7121" t="inlineStr">
        <is>
          <t>小さな人影；怪しい人影；白い人影；小柄な人影；人影一つ見え</t>
        </is>
      </c>
      <c r="H7121" t="n">
        <v>29</v>
      </c>
      <c r="I7121" t="inlineStr">
        <is>
          <t>家の中は料理があったが人影はなく、犬が一匹残されているだけだった。；だが、階下には外に狭い台所がある切りでどこにも人影は見えなかった。；この四個の人影がここで組んずほぐれつ大格闘をはじめてしまいました。；こんな夜に峠越えは危険だと思って外を見ると、人影はまったく見えない。；それを見た岩木の陰にいる幾十人かの人影は音もなくスッと姿をかくす。；その黒い人影は、背後に緑があったおかげで姿形もはっきりわかった。；ところでわたくしの見たものも二度ともたしかに立った人影であった。；銃のスコープ越しに覗くと、老人の周囲には武器を持った人影が見えた。；途中で流れはいくつにもくずれていって、そのへんで人影は少くなった。；その時表にふと人影を見出したので彼女は立ち上って障子を開けて見た。；得物を持った人影がグルリと岩を取り巻いて五十人余りも集まっている。；駅前にはほとんど人影を見ないが、市街地に向かうバスは結構出ている。；湯の中の五六人の人影の後からその娘の瞳がこっちを見詰めている。；人影は野原の反対側の隅にある隙間を通って、そこで見えなくなりました。；十歩ばかりして振り返ると、四五人の人影が蓬莱亭の入口に立っていた。；さうしてそこにいつもよりは澤山の黒い人影が動いてゐるのを見た。；折から、同じ道を、向うの方からこっちへ近づいてくる人影があった。；墓地の入り口まで先頭の人影が来ると、吹き消したように消えてしまった。；この広い道路も、いまは人影一つ見えない水晶宮殿の廊下のようであった。；まだ早いのだが、あまり人影は見えず、灯も僅かで、河上の交通は無い。；すると木陰や岩陲からは例の人影が現われ出でその後を静かに追って行く。；彼は火のついたものを持った人影を見て、警備を行っていた警官に急報した。；原稿を送って再び阪急の構内へ戻って来ると、急に人影はまばらだった。；そればかりではない、門番小屋の窓にはどうやら人影が動いて見える。；鳥も啼かず人影もなく風さえ葉の壁に遮られて林の中までは吹いて来ない。；勝平の立っている此の広い丘の上にも五六人の人影しか、残っていなかった。；ただ、その人影を見ていると、こちらの胸に熱い思いが湧き上ってくる。；その半暗を乱して、パッ、奥の廊下を渡って来た風のような人影がある。；私はあのとき、汽船の青い小旗のすぐ近くへ登つて行く一つの人影を見た。</t>
        </is>
      </c>
      <c r="J7121">
        <f>HYPERLINK("https://www.weblio.jp/content/人影", "词义详情")</f>
        <v/>
      </c>
      <c r="K7121">
        <f>HYPERLINK("https://yourei.jp/人影", "查看例句")</f>
        <v/>
      </c>
    </row>
    <row r="7122">
      <c r="A7122" t="inlineStr">
        <is>
          <t>人柄</t>
        </is>
      </c>
      <c r="B7122" t="inlineStr">
        <is>
          <t>成功</t>
        </is>
      </c>
      <c r="C7122" t="inlineStr">
        <is>
          <t>読み方：ひとがら
［名・形動］
１その人に備わっている性質や品格。「—がいい」「りっぱな—」
２性質がよいこと。品格がすぐれていること。また、そのさま。
「あのお嬢さん中々—な美しい方じゃないか」〈野上・真知子〉</t>
        </is>
      </c>
      <c r="D7122" t="inlineStr">
        <is>
          <t>人柄そのもの；人柄ゆえ</t>
        </is>
      </c>
      <c r="E7122" t="inlineStr">
        <is>
          <t>人；たち；地；性；人物</t>
        </is>
      </c>
      <c r="F7122" t="inlineStr">
        <is>
          <t>温厚な人柄；誠実な人柄；気さくな人柄；穏やかな人柄；優しい人柄</t>
        </is>
      </c>
      <c r="H7122" t="n">
        <v>29</v>
      </c>
      <c r="I7122" t="inlineStr">
        <is>
          <t>医師としての献身的な活動と人柄の良さから多くの人から支持を集めた。；演奏を通して様々な人と出会い、その人柄に触れながら日々学んでいる。；彼の人柄は変わり、彼は他の人に対する際に穏やかに接するようになる。；母は魅力的な人柄でしたし、その行動力には目を見張るものがありました。；その様子をこっそり見ていた一之助は伝助の人柄を評価し採用を決める。；驚くことに全ての人があなたの人柄を惚れ惚れと語ってくれました。；三輪田の人柄の良さは阪急関係者の他に他球団の球界関係者も認めていた。；マラドーナはメッシのプレーだけでなく、その人柄も高く評価している。；布高は人々に親しまれる人柄であったといい、晩年は仏教に帰依した。；しかし彼は銃より法を重視する人柄であり、人々から尊敬されるようになっていく。；カッチーニの人柄は完全に高貴といえるものではなかったようである。；これらの言葉から、カネの人柄の気高さ、大らかさを評価する声もある。；反乱を繰り返した大野直之は、通直に降伏後その人柄に心従したという。；好感を得られる人柄からか、武家にしては柔和な人物と思われたのだろう。；その人柄ゆえに多くの者を惹きつけ、氷竜ブラムドとも友として接する。；後輩からは恐れられる部分もあったものの、人柄の良さもあり慕われていた。；どちらの作家も社会的行動を風刺し、登場人物に人柄を表す名前をつけている。；また枝正の紳士かつ、誠実な人柄も最終的に円谷の心をとらえたとされる。；酒好きで純朴、誠実で不器用な人柄で教師の仕事に熱心であったとされる。；ルースはその人柄の良さもあって近所の人たちから愛されていた。；一方、控えでもたゆまず努力する明るい性格で、人柄の良さを評価されていた。；アドラーの人柄を伝えるエピソードには次のようなものがある。；地元の人々の温かい人柄や個性豊かな文化も、訪れる人々を魅了している。；彼女の明るい人柄は生徒に自然に受け入れられていく。；自身の父がとても優しく謙虚な人柄で子どもの頃からずっと父を目標にしてきたという。；人柄は激しく厳しく人に接するため、トラブルが耐えなかったという。；穏やかな人柄で橋本真也らからはヤスティの愛称で呼ばれ可愛がられた。；生粋の江戸っ子であるため大変に口は悪いが実はとても優しい人柄であった。；彼の演奏はその人柄を反映してか、けれん味がなく穏やかで自然な演奏であった。</t>
        </is>
      </c>
      <c r="J7122">
        <f>HYPERLINK("https://www.weblio.jp/content/人柄", "词义详情")</f>
        <v/>
      </c>
      <c r="K7122">
        <f>HYPERLINK("https://yourei.jp/人柄", "查看例句")</f>
        <v/>
      </c>
    </row>
    <row r="7123">
      <c r="A7123" t="inlineStr">
        <is>
          <t>ひときわ</t>
        </is>
      </c>
      <c r="B7123" t="inlineStr">
        <is>
          <t>成功</t>
        </is>
      </c>
      <c r="C7123" t="inlineStr">
        <is>
          <t>読み方：ひときわ
［副］
１他と比べて特に目立っているさま。一段と。「—高くそびえる山」「—声が大きい」
２区別せず、ひとまとめに扱うさま。
「世の中はいと常なきものを—に思ひ定めて」〈源・若菜下〉
［名］
１身分や地位などの一つの段階。
「身の数ならぬ—に」〈源・若菜下〉
２あるとき。一時。
「（雷ハ）—はいと高くなれど、後遂げのなきなり」〈大鏡・道長上〉</t>
        </is>
      </c>
      <c r="D7123" t="inlineStr">
        <is>
          <t>ひときわ高く(8%)；ひときわ大きな(8%)；ひときわ大きく(5%)；ひときわ目立つ(5%)；ひときわ高い(3%)</t>
        </is>
      </c>
      <c r="E7123" t="inlineStr">
        <is>
          <t>特に；非常に；特別；別に；大変</t>
        </is>
      </c>
      <c r="F7123" t="inlineStr">
        <is>
          <t>ひときわ濃い；ひときわ美しい；ひときわ激しく；音がひときわ；ひときわ濃く</t>
        </is>
      </c>
      <c r="H7123" t="n">
        <v>29</v>
      </c>
      <c r="I7123" t="inlineStr">
        <is>
          <t>間もなく一人の囚人がほかよりひときわ大きな声を上げて、床に倒れた。；他の物よりもひときわ大きく書かれた、この三つの言葉を見て欲しい。；店の前の通路には、東に面して、ひときわ大きな明かり取りの窓がある。；薩摩だけが大活躍しているような印象が、これでひときわ鮮かになった。；光の列が伸び、行く手がひときわ高く壇になっているのが見えはじめた。；石の橋は庭の中でもひときわ高くなっていて、たしかに庭全体が見渡せた。；彼女が無愛想なのはいつものことだが、今日はひときわ不機嫌に見えた。；ひときわ大きいもの、また戦略的な意味をもつ地点に作られたものもあった。；それはその時故郷の声が、ひときわ高く聞こえて来るからであった。；伯父さんの親指のさきに、まわりの星よりひときわ明るい星を見つけた。；島の北にひときわ高く聳えているのが島の名の由来になった夜叉岳だろう。；顔を上げると、周囲の暗闇のなかでひときわ黒い、華奢な人影が見えた。；こんな時刻には、ほかにほとんど見えないので、それがひときわ目立つ。；その両の眼は心中にある得意な気持ちのために、ひときわ大きく輝いていた。；才次郎老の顔はその中でもひときわ謹直で誠実な明治の顔をしていた。；その日の天候が深い曇で、ひときわ不気味に感じられたのかも知れない。；分厚い石扉は、完全に開ききるとひときわ大きな轟音と共にに停止した。；その特徴ある形と色あいは周囲が闇だからこそひときわ引き立つのだ。；皆の最先頭で低頭するラルファスは、ひときわ声を励まして後を続けた。；こう誰かが言うが早いか、ひときわ早耳の男がひづめの音を聞きつけた。；一行が自分の前に来たとき、ピーターはひときわ熱をこめて敬礼した。；なんとなく聴いていた僕の気持ちを、ひときわ強くとらえた曲があった。；そのなかで、二段抜きの刺激的な新聞の見出しが、ひときわ目をひいた。；褐色の顔にひときわ赤い唇の間から、真っ白な歯がチラリと覗いていた。；すると、奇妙にも、相手は私の真似をし、ひときわ荘重におじぎをした。；むろん四郎も、中小姓六十人のなかにひときわ秀でた体躯を見せていた。；そしてすこし長い間隔をおいて、最後にひときわ明るく輝く船が出てきた。；中央にひときわ大きな王様用の椅子があり、その右手の椅子は空いている。；ひときわ目を引くのが『手塚治虫漫画全集』と背に印刷された単行本だ。</t>
        </is>
      </c>
      <c r="J7123">
        <f>HYPERLINK("https://www.weblio.jp/content/ひときわ", "词义详情")</f>
        <v/>
      </c>
      <c r="K7123">
        <f>HYPERLINK("https://yourei.jp/ひときわ", "查看例句")</f>
        <v/>
      </c>
    </row>
    <row r="7124">
      <c r="A7124" t="inlineStr">
        <is>
          <t>ひと括り</t>
        </is>
      </c>
      <c r="B7124" t="inlineStr">
        <is>
          <t>成功</t>
        </is>
      </c>
      <c r="H7124" t="n">
        <v>27</v>
      </c>
      <c r="I7124" t="inlineStr">
        <is>
          <t>巫女を含むこれらが「袴っ娘」などの呼称でひと括りにされる場合も珍しくない。；同じ禅坊主だからと云うだけでひと括りにされちゃ適わんです。；ひと括りにしてある布の端切れは、色柄もぱっとしたものはない。；要は体制側の人間としてひと括りにしていた訳である。；養護学校という名前でひと括りにされているけど、正式には三種類に分かれている。；プロヴァンス地方では古くから料理に使われていたが、一般に知られるようになったのは1970年代に入ってからで、よく使われるハーブをひと括りにしたものを特にエルブ・ド・プロヴァンスと呼び、他のハーブと区別するようになった。；丸瓦の一部は重ねた状態で出土しており、縄で括ったようにひと括りにされていることから、城外へ持ち出す寸前であったと思われている。；そして、柄の造りは千差万別でひと括りにはできない。；カーディアスはそこで、勤勉実直な努力家とひと括りにされる者たちの中にも、二種類の人間がいることを知った。；自分は目下、伊里野とひと括りで噂される身である。；いっさいの人格を剥奪され、戦力とひと括りにされて目的地に運ばれる無機的な何物かだ。；LGBとTの間には大きな違いがあるにも関わらず、ひと括りにされている結果、特に少数派であるトランスジェンダーの声が届かなくなっているという主張もある。；デルマリナの人々には、五人の領主がそれぞれ統治する独立した五領も、ひと括りの「ハイランド」として目されている。；しかしクラシック三冠の概念は創設当初からあったわけではなく、サーバートンが史上初めてこの3競走を制した当時はその3競走をひと括りにして「三冠」と呼ばれることはなかった。；それは本音を言うなら、吐き出してしまいたいほど重く、体が震え出すほど冷たい覚悟だったのだが、征人の涙を見るうちに吐き出すタイミングを失ったというか、理性とは別の知性が作動して、打算も感情もひと括りに素早く決断してしまったというか。；王は市中だけでなく諸国諸州に触れを出し、この女がたとえ金品をちらつかせても、パンと水以外あたえてはならない、わたしの身柄とひと括りにつないでこの辺に散らばる無人島へ流せ、と命じたのです。；八九式中戦車及び九七式中戦車を購入して使用していた海軍陸戦隊向けの資料では「九〇式五糎七戦車砲」として、両者ひと括りで解説されている。；ただし、彼女たち二人も含めたヤコブに関わる四人の女性をひと括りに語る場合、それぞれの頭文字を取って、「バルゼル」と呼ぶこともある。；彼や黒木と戸叶はコミックス第1巻巻末の脇役紹介コーナー脇役列伝で「ハァハァ3兄弟」でひと括りされて、紹介されており、初期はただの脇役で終わる予定であったとも言われている。；それ迄は現場での丸太組みであったのが、今では小竹部落の穴井蔀が山中で製材し、一棟分ずつの角材を組立式に符号を付してひと括りの荷駄にして次々と馬に曳かせて砦に運び込み始めていた。；一般的に中国・四国はひと括りにされることが多いが、テレビは岡山県と香川県、鳥取県と島根県がそれぞれ1つの県域放送単位となっていたり、香川県東部や徳島県沿岸部で近畿広域圏、山口県内に至っては東部は広島県の放送局、西部は福岡県の放送が視聴できるなどエリアの線引きがあいまいになることが多い。；ハイランド原産のテリアはスコッティ以外にも数種類あり、昔はすべて「スカイ・テリア」という名前でひと括りにされていたことが、本犬種の血統における混乱となった。；また2月7日に慶尚南道山清郡、咸陽郡で引き起こされた山清・咸陽虐殺事件とひと括りにして、居昌・山清・咸陽虐殺事件としても知られている。；「まだ、閉じられぬか、もの欲しげだぞ」 それから基世は、床に落ちた夜着の帯紐を取りあげると、篠芙の両手首をからめ捕り、背中でひと括りに縛った。；概ね4週間をひと括りとし、第1-3週目で2組のパーソナリティー候補が大喜利やトーク対決を繰り広げ、それを聞いてリスナーはどのパーソナリティー候補のトークセンスがよかったかを、Twitterやチャットで投票してもらう。；日本陸軍は、ロッテとシュヴァルムをひと括りにし主に「ロッテ戦法」と呼称、また2機1組のロッテを「分隊」、4機1組のシュヴァルムを「小隊」と定義していた。；火山列の大西洋・ギニア湾側はビオコ島・プリンシペ島・サントメ島・アンノボン島といった火山島が並び、これらはギニア湾諸島とひと括りに呼ばれることがある。</t>
        </is>
      </c>
      <c r="J7124">
        <f>HYPERLINK("https://www.weblio.jp/content/ひと括り", "词义详情")</f>
        <v/>
      </c>
      <c r="K7124">
        <f>HYPERLINK("https://yourei.jp/ひと括り", "查看例句")</f>
        <v/>
      </c>
    </row>
    <row r="7125">
      <c r="A7125" t="inlineStr">
        <is>
          <t>人気</t>
        </is>
      </c>
      <c r="B7125" t="inlineStr">
        <is>
          <t>成功</t>
        </is>
      </c>
      <c r="C7125" t="inlineStr">
        <is>
          <t>読み方：じんき
１その地域の人々の気風。にんき。「—が荒い」
２人々の受け取りよう。気受け。評判。にんき。
「講釈風のレクチュアが妙に書生の—を集めた」〈魯庵・社会百面相〉
３群集した人々の熱気。また、人々の気配。
「—ハナハダ熱シ」〈日葡〉</t>
        </is>
      </c>
      <c r="D7125" t="inlineStr">
        <is>
          <t>人気者(3%)；人気作家；人気歌手；人気女優；人気商品</t>
        </is>
      </c>
      <c r="E7125" t="inlineStr">
        <is>
          <t>流行；評判；ブーム；好評；花形</t>
        </is>
      </c>
      <c r="F7125" t="inlineStr">
        <is>
          <t>絶大な人気；当時人気；根強い人気；大きな人気；爆発的な人気</t>
        </is>
      </c>
      <c r="G7125" t="inlineStr">
        <is>
          <t>人気番組；人気絶頂；人気シリーズ；人気作品；人気漫画</t>
        </is>
      </c>
      <c r="H7125" t="n">
        <v>29</v>
      </c>
      <c r="I7125" t="inlineStr">
        <is>
          <t>子どもに人気のある物語の中には非常に古い時代に書かれたものもある。；その中でもアメリカ産が非常に人気があり日本にも毎年輸入されている。；日本でも人気は高く、年末になると各地で第九のコンサートが開かれる。；何台かがひとけのないのをいいことに、歩道へ乗りあげて来たのだろう。；野球も米国の強い影響を受けて、人気スポーツのひとつに数えられる。；こうした作品の中には大人にも非常に人気のあるものも含まれる。；アジアでも強い人気を誇り、特に日本には現在でも根強いファンが多い。；他の作戦級に比べると、兵器の個性が出るためか、一般にも人気が高い。；しかしこれらは、いずれも爆発的な人気を得ることはできなかった。；劇画の人気を見てとった他の出版社からも次々と劇画雑誌が創刊される。；日本国内だけではなく、日本国外でも人気があり多く使用されている。；ここはひとけのない山あいの村でもなければ、不気味な森の中でもない。；しかし、これ以降の時代には主に民衆から支持を得る形で小説が人気を得ていく。；ひとけのない学校周辺、門の外のあぜ道に、大勢の人々が集まっている。；トルコ国内ではサッカーが圧倒的に1番人気のスポーツとなっている。；日本や中国でも好評だったが、韓国では特に爆発的な人気を呼んだ。；ラオス国内ではサッカーが圧倒的に1番人気のスポーツとなっている。；当時は主に先輩や先生のモノマネなどで、共に校内の人気者だったという。；増沢は後に、この勝利で失いかけていた人気が急に復活したと振り返っている。；俳優の中には、ある役で高く評価されて人気が出る人もいる。；また、高齢者にも人気があり、老人福祉施設などでもプレイされている。；同シリーズからは衛藤ヒロユキ、柴田亜美などが人気作家になっている。；人気のあるレース・ミーティングはゴールウェイでも開催されている。；人気ソフトウェアは本格的な商売を目指すようになった。；その一方、「人気のある高級ブランド」の意味で使われることがある。；わたしが最初に会ったとき、この老人はただ一人きのこ料理を作っていた。；キス類の多くは食用に利用されるほか、釣りの対象としても人気が高い。；ローマで圧倒的に人気のあるスポーツはサッカーである。；幾つかの作品は広範な人気をもち、今でも頻繁に演奏されている。</t>
        </is>
      </c>
      <c r="J7125">
        <f>HYPERLINK("https://www.weblio.jp/content/人気", "词义详情")</f>
        <v/>
      </c>
      <c r="K7125">
        <f>HYPERLINK("https://yourei.jp/人気", "查看例句")</f>
        <v/>
      </c>
    </row>
    <row r="7126">
      <c r="A7126" t="inlineStr">
        <is>
          <t>一言</t>
        </is>
      </c>
      <c r="B7126" t="inlineStr">
        <is>
          <t>成功</t>
        </is>
      </c>
      <c r="C7126" t="inlineStr">
        <is>
          <t>読み方：いちげん
「いちごん（一言）」に同じ。「—をもって評すれば」</t>
        </is>
      </c>
      <c r="D7126" t="inlineStr">
        <is>
          <t>一言一言；一言語；一言すれ；一言述べ；一言申し</t>
        </is>
      </c>
      <c r="E7126" t="inlineStr">
        <is>
          <t>話；ひと言；一語</t>
        </is>
      </c>
      <c r="F7126" t="inlineStr">
        <is>
          <t>ほんの一言；一言芳談抄；一言も聞き洩らす；一言附け加；一言申上げ</t>
        </is>
      </c>
      <c r="G7126" t="inlineStr">
        <is>
          <t>一言二言；一言半句；一言主神；一言主；一言一行</t>
        </is>
      </c>
      <c r="H7126" t="n">
        <v>29</v>
      </c>
      <c r="I7126" t="inlineStr">
        <is>
          <t>それでも口を開けて針を刺したところ一言何かを言ったとも言われる。；また、勝利チーム監督の一言欄には、監督名が表示されるようになった。；最後に一言して置きたいのは筆録の責任者としての私の態度であります。；プレイヤーキャラクターは主人公を含め一言も言葉を発することがない。；また別のプレイヤーの横を通過する場合、一言かけるのがマナーとされる。；九歳で突然父を亡くした時、母は一言も理由を明かしませんでしたから。；遺品の中には赤い屋根の家の絵があったが、健史の父の一言で処分される。；その後、ラフィキが「新たな伝説が生まれた」と衝撃の一言を口にした。；そんなとき、彼は娘のある一言をきっかけにショービジネスの道へと進む。；このことは彼のために一言断っておく必要があると思うのである。；これが一言でブーンと響くほど聞えたのであるから、その大音や思うべし。；番組タイトルは特に決まっていないが、その日の出来事に絡めた一言がつく。；それぞれに設定されたシチュエーションに沿って一言ボケるお題が多い。；一言で言えば、WindowsなどのOS内で別のOSを使用すること。；その無謀とも言える方法に、家族は一言の文句も言わず従っている。；アニメの最後にその回のお題を一言で上記3名または木原が読み上げる。；上記ゲームをプレイする場合は店に一言断りを入れておくなどの注意が必要である。；その時早苗が戻って来たが、一言言っただけで添田は立ち去ってしまう。；詩風を一言で表現すると繊細であり、女性の様な弱々しさとの評がある。；過去に囚われ生きている彼女はそれについて一言も語ろうとはしない。；これが生涯の別れになるとは思わず、二人は一言も言葉を交わすことなく別れた。；そのプロットをスティーヴに一言で説明すれば、あとは全部やってくれた。；母も死ぬまでその事は一言も私に話しませんでした。；納得せずにはいられなかった泉は、父親に一言別れの挨拶を告げ、立ち去る。；自分が正しいと思えば、何処だろうと誰であろうと一言言わないと気が済まない。；彼はそしてその答えに一言もないような気がした。；大賞を終えた際の一言は「時には寄り道も、人生に必要だよ」であった。；制作者はかれらの寿命が何年なのかについて一言も言及していない。；が、彼等の話している言葉は一言も僕にはわからなかった。</t>
        </is>
      </c>
      <c r="J7126">
        <f>HYPERLINK("https://www.weblio.jp/content/一言", "词义详情")</f>
        <v/>
      </c>
      <c r="K7126">
        <f>HYPERLINK("https://yourei.jp/一言", "查看例句")</f>
        <v/>
      </c>
    </row>
    <row r="7127">
      <c r="A7127" t="inlineStr">
        <is>
          <t>人込み</t>
        </is>
      </c>
      <c r="B7127" t="inlineStr">
        <is>
          <t>成功</t>
        </is>
      </c>
      <c r="C7127" t="inlineStr">
        <is>
          <t>読み方：ひとごみ
たくさんの人がいて込み合っていること。また、その場所。雑踏。「—にまぎれる」「—を避ける」</t>
        </is>
      </c>
      <c r="D7127" t="inlineStr">
        <is>
          <t>プレス；報道機関；圧搾器</t>
        </is>
      </c>
      <c r="H7127" t="n">
        <v>29</v>
      </c>
      <c r="I7127" t="inlineStr">
        <is>
          <t>そして二人は観音堂の方へ急いで人込みのなかへ隠れて行ったのである。；人込みを見回してみたが、刑事らしい人間の姿はもう発見できなかった。；かれは人込みのなかに佇んで、永い間歳太郎の顔をながめたのであった。；普通は人込みやエレベーターの中で起こるんですが、今回は特にひどくて。；女の姿は人込みに消えたのか、一瞬のことだったのに、もう影もなかった。；人込みの向こうから何やら騒ぐ声と断続的な女性の悲鳴が聞こえてきた。；玄関の人込みを見つめていたまなざしが、足元に落ちる時間が長くなる。；長い間人込みの中でじっとして見物して居る事は苦痛だと申しました。；この集団の外側に、人込みを整理するために警官が来ているはずだ。；私に声をかけてきた通りに向かったが、まもなく人込みで姿が見えなくなった。；でも水の中じゃなくて、たいへんな人込みの中を抜き手を切ってくの。；人込みを避けて通路を進みながら、真九郎は隣を歩く切彦の横顔を見る。；人込みの中でもたくみにすり抜けていくフットワークが身についていた。；人込みの中を彼女の赤いオーヴァーコートが抜けていくのが見えた。；彼女はそれをとにかくバッグに入れ、二人は人込の間を出口の方へ歩いた。；人込みにも家並みにもさえぎられることなく、視界いっぱいに広がった。；人込みの中からようこを連れ出すのはそれだけ大変な作業だったのだ。；天王寺君は、人込みで歩きづらいという経験をした事がないに違いない。；そうやって人込の中をぶらぶらするのは本当はあまり好きでなかった。；そこは参列者の人込みを嘘のように感じてしまうほど深閑としていた。；わたくしだってあの人込みへ帰って行こうとは思いませんわ。；おまえは視線を駅の人込みに放って、「俺、学校やめたんだ」と言った。；人込みの中に紛れてすぐに見えなくなったけど、間違いっこないわ。；人込みになると、ちょっと押し隔てられて、また出逢うような事がある。；その間に私は彼女の手をとって人込みの外へ連れだした。；この人込みのなか、アキラちゃんを一人にさせるワケにはいかないし。；ロンドン一の娯楽の殿堂は、リディアにははじめて見るほどの人込みだ。；マリオはその人込みの中を掻き分けるようにしながらゆっくりと車を進めた。；その後方、数メートルほどの位置に、人込みの層を隔てて、音緒がいる。</t>
        </is>
      </c>
      <c r="J7127">
        <f>HYPERLINK("https://www.weblio.jp/content/人込み", "词义详情")</f>
        <v/>
      </c>
      <c r="K7127">
        <f>HYPERLINK("https://yourei.jp/人込み", "查看例句")</f>
        <v/>
      </c>
    </row>
    <row r="7128">
      <c r="A7128" t="inlineStr">
        <is>
          <t>一頃</t>
        </is>
      </c>
      <c r="B7128" t="inlineStr">
        <is>
          <t>成功</t>
        </is>
      </c>
      <c r="C7128" t="inlineStr">
        <is>
          <t>読み方：ひところ
以前のある時期。一時。「—のような勢いはない」「—はやった曲」</t>
        </is>
      </c>
      <c r="D7128" t="inlineStr">
        <is>
          <t>一頃流行</t>
        </is>
      </c>
      <c r="H7128" t="n">
        <v>29</v>
      </c>
      <c r="I7128" t="inlineStr">
        <is>
          <t>一頃新聞乃至ジャーナリズムに関する書物を買うことにしたこともある。；一頃は絵を描くことをせず信時の資料を元に音の周波数の計算に熱中していた。；一頃はどうも役人は面白くないと思ひましたが、此頃はまたさうでもありません。；一頃悪い癖が附いて寄席に行かないと寝附かれないようになったこともある。；一頃その広い部屋をある西洋人が借りて英語を教えた事があった。；江戸時代の文献を見ますと、一頃は町人というものは弱い者になつております。；だが、それでも、一頃に比べれば、かなり状態がよくなった方なのだ。；一頃世間は学生の赤化の原因はさし当り就職難にあるとも云っていたものである。；庶民のものは一頃約五百万円と計算されていたが、後にはもっと多くなったことだろう。；西洋にいた時、一頃大そう心易く附き合った爺いさんの学者があった。；一頃は思い直してでき得るならば母の希望通り千代子を貰ってやりたいとも考えた。；私の友人で語彙論の専門家という奴が、一頃、妙な実験に凝っていた。；一頃は、この池も、源氏の武士と馬で賑わっていた頃もある。；だが吉兵衛の代から奉公しているせいは、これでも一頃に比べるとましだと言う。；ことに一頃の父の姿は酒狂の人みたいにぼくら子供たちの眼には灼きつけられたまま残っている。；事実こうした大衆の概念が、一頃往々にして社会科学の門に潜入した。；ドイツの周辺は、一頃から見ると随分と狭小になって来ている。；もう一頃のように、野枝の悪口を感情的に口にしようともしない。；一頃はおそろしく評判が悪かったが、この頃ではおそろしくよくなっている。；京都の周囲など一頃は七か所も関所があったほどなのだ。；一方で一頃のブームも落ち着き、市場規模は比較的安定していると言われる。；西洋にゐた時、一頃大そう心易く附き合つた爺いさんの学者があつた。；一頃、昆虫採集のために貴重な昆虫が絶滅する、と言う論が行われたことがある。；山村の水呑百姓の出だが、畜産改良で、一頃はなかなかの羽振りだつた。；最早一頃のように恐ろしく神経の尖った、可傷しい調子は彼女の手紙の中に無かった。；それから一頃は、博士が歸つて湯を使ふ所へ、母君が來て用事を話すことになつてゐた。；まだ学生の時分から行きつけていたが一頃私達は、何か事があるとよく飲み食いに行ったものだった。；そしてその「手習ひ」をしきりとやつてゐた一頃がある。；まるで宗教を忘れたやうな晩年であるが、中年の頃は家族の誰にも秘密にして教会へ通ふやうになつたといふ、その一頃は熱烈な狂信者であつたらしい。</t>
        </is>
      </c>
      <c r="J7128">
        <f>HYPERLINK("https://www.weblio.jp/content/一頃", "词义详情")</f>
        <v/>
      </c>
      <c r="K7128">
        <f>HYPERLINK("https://yourei.jp/一頃", "查看例句")</f>
        <v/>
      </c>
    </row>
    <row r="7129">
      <c r="A7129" t="inlineStr">
        <is>
          <t>人差し指</t>
        </is>
      </c>
      <c r="B7129" t="inlineStr">
        <is>
          <t>成功</t>
        </is>
      </c>
      <c r="C7129" t="inlineStr">
        <is>
          <t>読み方：ひとさしゆび
《人をさし示す指の意》手の親指と中指との間の指。食指(しょくし)。</t>
        </is>
      </c>
      <c r="D7129" t="inlineStr">
        <is>
          <t>人差し指を当て；人差し指をぴんと立て；人差し指をそっと；人差し指を軽く；人差し指で引く方式</t>
        </is>
      </c>
      <c r="E7129" t="inlineStr">
        <is>
          <t>人さし指；人差指；食指；示指</t>
        </is>
      </c>
      <c r="F7129" t="inlineStr">
        <is>
          <t>左手人差し指；右人差し指；長い人差し指；細い人差し指；太い人差し指</t>
        </is>
      </c>
      <c r="H7129" t="n">
        <v>29</v>
      </c>
      <c r="I7129" t="inlineStr">
        <is>
          <t>人差し指の骨に異常がないかどうかを確かめているような手つきだった。；一瞬前まで生傷のあった場所に、小さな人差し指が生えかけているのだ。；特定の対象に向かって指を指す時は人差し指ではなく中指で指す癖がある。；わたしは右手の人差し指で大粒の緑柱石が暗く輝いているのに気づいた。；向こう側へ開いていくドアに人差し指を持っていかれそうになった。；右手で、左手の人差し指と小指の間にある糸を三本まとめてひっぱった。；相手の人差し指がほんの少し動くだけで、たちまちこの世とお別れだ。；右手の人差し指にあと少し力を加えれば、この切なさはすぐに消滅する。；自分は一度も人差し指を動かさず、石のように沈黙し続けることができた。；彼はゆっくりとこちらに手を伸ばし、こちらの胸を人差し指で突いたのだ。；自分はすぐにそれらを記憶し、気に入った曲のときは人差し指を動かした。；あの子も、周囲が敵になったら俺に人差し指を突きつけるんだろうか。；わたしは自分の人差し指を伸ばし、そのきれいな指をそっと触ってみた。；確かに人差し指はレバーの突端についたロック解除ボタンを押している。；小瓶の腹を人差し指で軽く叩きながらも、手つきは慎重そのものだった。；たぶん無意識だろうが、彼女は右手の人差し指で左の指輪を撫でていた。；だが翌朝、扉の入口に血のついた人差し指があり、夫のもののようだった。；筆記具がない場合には空間に向かって人差し指で文字を示す空書が用いられる。；私はお面の前で人差し指を伸ばし、静かにするように言いました。；やはり点穴を狙おうと、男の右人差し指と中指はつき立てられたままだ。；「俺はいま考えているんだよ」 チャクラは人差し指を唇に当てて言った。；そのため人差し指はイタンキ・ケム・アシケッペの名で呼ばれている。；そして人差し指を立てて、自分の今出てきた木立の間を示しました。；少しの間をおいて、人差し指の先に針の刺される鋭い痛みを感じた。；タオルを持つ男の人差し指の先がブラジャーの下に少しだけ押しいってきた。；電話の向こうで人差し指を立てているのが見えるようだった。；僕が話そうとすると、彼女は人差し指を自分の口に当てて、しいっと言った。；氏は、耳は居間の方へ向けたまま、僕を見つめて唇に人差し指を持っていく。；医者の手の皮膚が人差し指を包み込むように握り締めるのがわかった。</t>
        </is>
      </c>
      <c r="J7129">
        <f>HYPERLINK("https://www.weblio.jp/content/人差し指", "词义详情")</f>
        <v/>
      </c>
      <c r="K7129">
        <f>HYPERLINK("https://yourei.jp/人差し指", "查看例句")</f>
        <v/>
      </c>
    </row>
    <row r="7130">
      <c r="A7130" t="inlineStr">
        <is>
          <t>等しい</t>
        </is>
      </c>
      <c r="B7130" t="inlineStr">
        <is>
          <t>成功</t>
        </is>
      </c>
      <c r="C7130" t="inlineStr">
        <is>
          <t>読み方：ひとしい
［形］［文］ひと・し［シク］
１二つ以上の物事の間で、その数量・程度・形状などに相違がない。同じである。「二辺の長さが—・い」「三人に—・く分ける」
２二つ以上の物事の間に、性質・状況の上で同一性がある。よく似ている。「薬効が無いに—・い」「詐欺に—・い行為」
３（「ひとしく」の形で）大勢が同じ行動をするさま。一斉に。こぞって。「皆—・く非難する」
４（「…とひとしく」の形で）時間的に同じであるさま。と同時に。…するやいなや。
「此の言葉を聞くと—・く、…身体がぐたりとなった」〈漱石・坑夫〉
→同じ［用法］
[派生]ひとしさ［名］</t>
        </is>
      </c>
      <c r="D7130" t="inlineStr">
        <is>
          <t>等しいもの(4%)；等しい場合；等しい存在；等しい状態；等しいとき</t>
        </is>
      </c>
      <c r="E7130" t="inlineStr">
        <is>
          <t>同じ；同様；近い；同じよう；似ている</t>
        </is>
      </c>
      <c r="F7130" t="inlineStr">
        <is>
          <t>にも等しい；互いに等しい；ほとんど等しい；常に等しい；全て等しい</t>
        </is>
      </c>
      <c r="H7130" t="n">
        <v>29</v>
      </c>
      <c r="I7130" t="inlineStr">
        <is>
          <t>男性のほうが診断率が高いが、男女で等しく確認されると言われている。；この暗さとこの雨の中では、近づいて行く車の視界を奪うに等しかった。；アメリカ西海岸では、国内の建築が等しくより現代的な様式に向かった。；利益は関係者みなに等しく配分し自分自身の金のことは考えなかった。；正確な同期化は、往路と復路の通信時間がほぼ等しい場合に達成される。；条約の正文で定められた正式な名称としては、 が等しく存在している。；これらの導関数が存在する点では、 は定数項を除いた に等しくなる。；プレイヤーのために作られた配布資料は全て等しくハンドアウトである。；これは、すべての顧客が等しく重要とは限らないという理解から始まる。；標準偏差が であることは、データの値が全て等しいことと同値である。；だが、自分たちがこれまで知り得た以上の情報はほとんどないに等しかった。；対象となる地域の住民に警報を的確に伝えることもまた等しく重要である。；全てのレベルは等しく重要であると認識されなくてはならない。；しかし、これらの個人の因果関係は、この平均に等しくなることはない。；分割によって作られた2つの集号は、実際にほぼ等しい出現確率がある。；いや、背後からくる薄明かりだけでは、何も見えないに等しかったのだ。；彼によれば、商品の生産に必要な労働量と商品と交換される労働量は等しくない。；平方根とは、数に対して平方すると元の値に等しくなる数のことである。；各生産段階で付加された付加価値の合計は、最終生産財の価格に等しい。；その強さが電弱相互作用と等しくなる理論化されたエネルギーが、である。；力は線の両側に等しくかかり、その一方は天井に固定されている。；が に等しいことを証明するには、それらの差が であることを証明すればよい。；この競走に勝つことはその年の2歳チャンピオンになるのに等しかった。；これが何ともない様な人間なら、それは木石に等しきもので厶いませう。；対局終了となったときに双方の石の数が等しくなったときに引き分けとなる。；これは系が外部に行う仕事が内部エネルギーの変化に等しいことを表している。；ギターを借りたり、お互いのギターを並べ写真を撮ったり等している。；二相共存の条件はそれぞれの相での化学ポテンシャルが等しいことである。；なお、x の値は最初の3つのデータセットでは全て等しくなっている。</t>
        </is>
      </c>
      <c r="J7130">
        <f>HYPERLINK("https://www.weblio.jp/content/等しい", "词义详情")</f>
        <v/>
      </c>
      <c r="K7130">
        <f>HYPERLINK("https://yourei.jp/等しい", "查看例句")</f>
        <v/>
      </c>
    </row>
    <row r="7131">
      <c r="A7131" t="inlineStr">
        <is>
          <t>人質</t>
        </is>
      </c>
      <c r="B7131" t="inlineStr">
        <is>
          <t>成功</t>
        </is>
      </c>
      <c r="C7131" t="inlineStr">
        <is>
          <t>読み方：ひとじち
１交渉を有利にするために、特定の人の身柄を拘束すること。また、拘束された人。「—を解放する」
２近世以前、借金の担保として人身を質入れすること。また、誓約の保証として妻子や親族などを相手方にとどめておくこと。また、そのようにされた人。</t>
        </is>
      </c>
      <c r="D7131" t="inlineStr">
        <is>
          <t>人質交換；人質たち；人質生活；人質全員；人質立てこもり事件</t>
        </is>
      </c>
      <c r="E7131" t="inlineStr">
        <is>
          <t>捕虜；囚人；俘虜；虜囚；囚徒</t>
        </is>
      </c>
      <c r="F7131" t="inlineStr">
        <is>
          <t>大事な人質；人質として出さ；人質牟田泰子；人質立て籠；人質立てこもり</t>
        </is>
      </c>
      <c r="G7131" t="inlineStr">
        <is>
          <t>人質救出；人質解放；人質救出作戦；人質司法；人質救出チーム</t>
        </is>
      </c>
      <c r="H7131" t="n">
        <v>29</v>
      </c>
      <c r="I7131" t="inlineStr">
        <is>
          <t>脱出した人質と連絡を取ることができれば、より正確な情報が得られる。；そしてついには愛する女王を人質にとられ、王は処刑されることとなる。；また、反乱に備えて遠征する武将らの家族は王宮に来させて人質とした。；梅川は全員に服を着ることを許可して、昼までに2人の人質を解放した。；人質を取りながら何も要求してこない犯人を不気味に感じたためだったという。；人質の数は、当初は実数より大幅に少なく、120人程度と発表された。；これを受けて212年には伽耶の王子が人質として新羅に送られてきた。；大学時代、学校の黒人差別に対抗し、人質をとって抗議したことがある。；森軍は松本に到着すると人質を残らず処刑し木曽谷方面へと撤退した。；また、解放後も人質が犯人をかばい警察に非協力的な証言を行った。；人質とその一行は現在での大使館にも似た外交使節とも言えるかもしれない。；江戸幕府は政権の安定のため、大名とその重臣から人質をとっていた。；後に人質となった二人は許され、姓長の称号を与えられた。；これは犯人に動きを察知され、人質が危険な状態に置かれるのを避けるためである。；ドイツ側の人員が殺傷された場合には、これらの人質は殺害された。；彼らはスタジオや社内の多数人間を人質とし、要求を告げぬまま放送を中断。；遺書には人質へのお詫びと残された家族への気遣いが書かれていた。；高次が人質生活を送っていた頃、京極高吉・マリア夫妻は洗礼を受けた。；土佐の人質を見捨てて他人に後ろ指を指されるのは武士の本意ではない。；城に籠もっていた武田家臣らは、尼子再興軍に人質を差し出し降伏した。；姿を消したバートンはケネソーへ逃亡し、少女を人質にしようとするが失敗。；一種の人質であり、豪族が服属したことを示したものと考える説が有力である。；なお人質となったのは男性のみで、女性は全員解放された。；そして義妹のクラスの生徒と担任教師などがそのまま人質にとられてしまった。；これより岩村城内で開城の準備を進め人質小屋を開いて解放した。；残されたガルボは全イタリアの都市から人質の供出を要求したという。；更にスタジオの人質の中に大臣の息子、峰岸英明が居る事が発覚した。；家康が人質として駿府に送られた際には、行動を共にして駿府に行っている。；これはしばしば併合を前提とした「人質」として論じられることが多い。</t>
        </is>
      </c>
      <c r="J7131">
        <f>HYPERLINK("https://www.weblio.jp/content/人質", "词义详情")</f>
        <v/>
      </c>
      <c r="K7131">
        <f>HYPERLINK("https://yourei.jp/人質", "查看例句")</f>
        <v/>
      </c>
    </row>
    <row r="7132">
      <c r="A7132" t="inlineStr">
        <is>
          <t>一筋に</t>
        </is>
      </c>
      <c r="B7132" t="inlineStr">
        <is>
          <t>成功</t>
        </is>
      </c>
      <c r="D7132" t="inlineStr">
        <is>
          <t>一筋道；一筋流れ；一筋一筋；一筋繩；一筋東</t>
        </is>
      </c>
      <c r="E7132" t="inlineStr">
        <is>
          <t>一本；熱心；本気；真剣；真面目</t>
        </is>
      </c>
      <c r="F7132" t="inlineStr">
        <is>
          <t>髪の毛一筋；槍一筋；髪一筋；剣一筋；野球一筋</t>
        </is>
      </c>
      <c r="G7132" t="inlineStr">
        <is>
          <t>一筋なわ</t>
        </is>
      </c>
      <c r="H7132" t="n">
        <v>29</v>
      </c>
      <c r="I7132" t="inlineStr">
        <is>
          <t>一筋暗い色に見える雪の中の道には旅人の群が往つたり来たりして居た。；その中には深い仲になった女性もいたが、結婚してからは一転して妻一筋。；気の弱い神経質の少女にどうしてこの一筋だけ勇気があるんだろうか。；たぶん自分のような境遇の娘が生活を求めるには妾という道も一筋ある。；そしてその一筋の視線に、彼は心の底までも貫かれたような気がした。；その一筋を渡って一町ばかりの坂を上りますと大変広い原がある。；西の方に低く夕陽が一筋火のように真赤な線を残して消えてしまった。；矢一筋よりも、見つかってならないものが現にこの通り床下にあるのだ。；不幸なことですが、私の心の中に私をつなぎ止めてる一筋の綱があります。；その一筋の心で彼は故郷の両親へあてて長い告白の手紙をも書いた。；家々で流した水が集まって、一筋の流れをなしているのでありました。；一筋の雲影もない澄んだ空は、黄色を帯びた光線を深く一杯に含んでいた。；その川が一筋白く横はつてゐるために、何うすることも出来なかつたのである。；人工を加へた一筋の街道が此港と丘の後の村々との間を僅に継いで居る。；相手は、同じ会社の人間で、長年海外で現場一筋で仕事をしてきた男だった。；頭の中で切れている糸の一筋をもつなぎあわせることはできなかった。；門ごとに立てた竹に松の枝を結び添えて、横に一筋の注連縄が引いてある。；一筋道ならば自己を語るに都合のよいことがあるかもしれない。；彼は、この鉄と銀とからできた、一筋の線をオルガンの中に仕掛けました。；肩に負う髪の時ならぬ波を描いて、二尺余りを一筋ごとに末まで渡る。；こちらから眺めるとただ一筋の黒い河が山を裂いて流れるように見える。；教務と平行して作家活動を行い、それまでは文学一筋に打ち込んでいた。；さっきまでは煙一筋もあがっていなかったのに、これはどうしたことであろうか。；深く陥没んだ地勢に添うて折れ曲って行っている一筋の細い道が見える。；それは当時の私には雲の間から洩れる一筋の日光のように思われた。；だがこの楽しみを充実させるには、一筋のきれいな小川の流れが必要だ。；その一筋の槍は、高坂甚内を磔にかけた槍であると言い伝えられている。；丁度彼の頭に思想上のある問題が一筋の端緒を見せかけた所であった。；にエクスポズ一筋で引退するまでに挙げた通算158勝は球団記録である。</t>
        </is>
      </c>
      <c r="J7132">
        <f>HYPERLINK("https://www.weblio.jp/content/一筋に", "词义详情")</f>
        <v/>
      </c>
      <c r="K7132">
        <f>HYPERLINK("https://yourei.jp/一筋に", "查看例句")</f>
        <v/>
      </c>
    </row>
    <row r="7133">
      <c r="A7133" t="inlineStr">
        <is>
          <t>一つ</t>
        </is>
      </c>
      <c r="B7133" t="inlineStr">
        <is>
          <t>成功</t>
        </is>
      </c>
      <c r="C7133" t="inlineStr">
        <is>
          <t>読み方：ひとつ
［名］
１数の名。自然数のはじめ。いち。
２
㋐物などを数えるときの、1個。「りんごを—食べる」「—二つ間違ってもかまわない」「万に—の可能性」
㋑1杯。器に入った酒・水などにいう。また、少しの量。「冷たい水を—召し上がれ」
「—参りさうなお顔でござる」〈虎明狂・鍋八撥〉
㋒年齢の、1歳。「—年を取る」「—半の幼児」
３行為や状態のひとまとまり。副詞的に用いて、少し、の意をも表す。「今日は—気分がすぐれない」「今—調子が出ない」
４同一なこと。同一にすること。「家計を—にする」「—屋根の下に暮らす」
５形や表現は違っていても中身は同じであること。また、似ていること。一体。「全員が心を—にする」「世界は—だ」
６厳密にいえば違うものでも、考えようによってはその範疇に入ること。一種。「これも人生の—だ」「それも—の考えだ」
７他と比べて、一方。また、ある側面。一面。「—にはこういう解釈も成り立つ」
８いくつかの事項を列挙するときに見出しとして用いる語。「—、本会は社員をもって構成する」「—、金(きん)壱万円也」
９名詞の下に付いて、それ以外にはないことを強調する語。…だけ。「身—で脱出する」「母の手—で育てられる」「行くか行かないかは自分の決心—だ」
10（打消しの語を伴って）あるものを代表させて、類似の事柄のすべてを否定する語。…さえも。「ごみ—落ちていない」「あいさつ—できない」「風邪—ひかない」
11奈良・平安時代の定時法で、十二辰刻の一つを四等分したものの第一。
12第1。順序数の1番目。
「—には御手を習ひ給へ。次にはきんの御琴を」〈枕・二三〉
［副］
１これから行動を起こそうとするときに用いる語。ちょっと。さあ。試しに。「—やってみよう」「—歌でもいかがですか」
２軽く依頼するときに用いる語。どうか。「—よろしくお願いします」
[下接句]此処(ここ)は一つ・千に一つ・百に一つ・百日の説法屁(へ)一つ・二つに一つ</t>
        </is>
      </c>
      <c r="D7133" t="inlineStr">
        <is>
          <t>一つ一つ(3%)；一つしかない；一つ二つ；一つ残ら；一つ動かさ</t>
        </is>
      </c>
      <c r="E7133" t="inlineStr">
        <is>
          <t>もの；一；一応；一個；仮に</t>
        </is>
      </c>
      <c r="F7133" t="inlineStr">
        <is>
          <t>なに一つ；物音一つ；雲一つ；身動き一つ；どれ一つ</t>
        </is>
      </c>
      <c r="G7133" t="inlineStr">
        <is>
          <t>一つひとつ；一つの指輪；一つの中国；一つ目小僧；一つの花</t>
        </is>
      </c>
      <c r="H7133" t="n">
        <v>29</v>
      </c>
      <c r="I7133" t="inlineStr">
        <is>
          <t>これが原核生物が細胞サイズをあまり拡大できない理由の一つといえる。；それはその部屋に盗まれて困るものが何一ツないことの証拠でもあろう。；その叙述に現在時制を用いたことでは最初の小説の一つとされてもいる。；これらは一つの町の飛び地ではなく、関係のないまったく別の町である。；多くの川では漁業も盛んであり、重要な食料供給源の一つとなってきた。；いわゆる電子ガジェット類に機能の一つとして付属している場合もある。；およそ我が人に知られ世に認められない原因は一ツや二ツだけではない。；最近のニューロイメージングの中でも最も発達した手法の一つである。；兎も角、僕は僕の少年の時の悲哀の一ツを語つて見やうと思ふのである。；淡路島全体で一つの市となる構想や動きもあったが、実現しなかった。；もう一つの問題は国家が国民からの信頼を失っている点にある。；国民は、居住する地理範囲に一つの国家を形成することが予定される。；これは結果的に、後のメンバー昇格する要因の一つだったと思われる。；以上で述べた概念の中で重要なものの一つにパラコンパクトがある。；この仏像は全然無言で、自分を補足するような一ツの言葉もないのです。；ともかく、僕は僕の少年の時の悲哀の一ツを語ってみようと思うのである。；継承は、スーパークラスが一つに限られる単一継承をサポートしている。；金属と半金属ではフェルミ準位 は少くとも一つのバンドの内部にある。；経済は社会の中で希少性や効用性を持つ価値を配分する機能の一つである。；人権、基本的自由を尊重する考え方は国連主要目的の柱の一つになった。；しかし、一つの名前空間の中で同名の関数を定義すると問題が発生する。；こうと知ったらば、前から刃物の一ツも持たせてやるところだったものを。；このようにして破壊が終結すると、一つの地震が終わることになる。；数学における群とは、最も基本的と見なされる代数的構造の一つである。；特徴といえば一ツあるんですが、それも言わないことにしましょう。；この意味で、電荷は素粒子が持つ最も基本的な性質の一つであると言える。；その一つの動機は、三次や四次の相互法則を証明することにあった。；は現在でも広く使われている年代物の言語の一つである。；御所車一ツでも五十両したッていいますが、皆金蒔絵で大したもんです。</t>
        </is>
      </c>
      <c r="J7133">
        <f>HYPERLINK("https://www.weblio.jp/content/一つ", "词义详情")</f>
        <v/>
      </c>
      <c r="K7133">
        <f>HYPERLINK("https://yourei.jp/一つ", "查看例句")</f>
        <v/>
      </c>
    </row>
    <row r="7134">
      <c r="A7134" t="inlineStr">
        <is>
          <t>一月</t>
        </is>
      </c>
      <c r="B7134" t="inlineStr">
        <is>
          <t>成功</t>
        </is>
      </c>
      <c r="C7134" t="inlineStr">
        <is>
          <t>読み方：いちがつ
1年の最初の月。正月。いちげつ。むつき。《季冬》</t>
        </is>
      </c>
      <c r="D7134" t="inlineStr">
        <is>
          <t>一月号(2%)；一月末(2%)；一月前(2%)；一月一；一月二</t>
        </is>
      </c>
      <c r="F7134" t="inlineStr">
        <is>
          <t>一一月；一月新潮文庫版；一月元旦；一月新潮社より刊行；一月號</t>
        </is>
      </c>
      <c r="G7134" t="inlineStr">
        <is>
          <t>一月十五日；一月三日；一月二日；一月六日；一月七日</t>
        </is>
      </c>
      <c r="H7134" t="n">
        <v>29</v>
      </c>
      <c r="I7134" t="inlineStr">
        <is>
          <t>真正に病気になったと思えば一月ぐらい何でもないのだからとも考えた。；家族からの手紙が一月に一度しか許されないことに不満を述べていた。；ただここに残ったものは、昭和十九年の一月に書いた序文の原稿である。；一月の間毎日海を見ているんだけど、船の煙さえ見えないじゃないか。；一月の人件費にも足りない金で図書館の選書とカードができるのである。；わたしは、もう一月も前に、瑠璃子さまからお暇が出たのでございます。；すると一月たゝない中にその那美子が後を追って来たじゃありませんか?；夜もろくに眠られないようなことが、やがて彼には一月ばかりも続いた。；しかし私は一月も末になつてから障子につかまつてゐる彼を発見したのだ。；其を木の端か何ぞのように、一月も寝ていればいいなんて何事だろう。；佐野から鍋山に重大な話がもちかけられたのは翌年一月末のことである。；例のフランス人と生き別れをしてから、まだ一月にもならないのである。；一月もしないうちに、みんな、うえ死にをしてしまうかもしれないのです。；一月あまりも張は怪物のそばにおりましたがとても逃げだす隙がありません。；それを送ってから一月くらいして、上京のついでに武見さんの家を訪ねた。；この周期に基づいて一月の長さを定め、端数を切り上げて三〇日とした。；それで報酬はどうかというと一日一回三枚半で、一月が七円五十銭である。；それからついでがあって昭和十一年の一月と十月とに其処をたずねた。；一月のなかばまでは東京の冬と同じようにいつも太陽がかがやいています。；今から一月以前であるが、どこからともなく飄然とその老人はあらわれた。；あの河童はちょうど一月ばかり前にわたしの万年筆を盗んだのですから。；一月後、タイトルと一部出演者が変更されてレギュラー放送となる。；一月に一円三、四十銭なくてはどんな者でも腹を太らせることは出来ない。；この一月ばかり病気をやってな、それで家内が連れて此家へ来ているですて。；長くて一年、短いのは一月位で、彼は職業から職業へと転々しました。；これは一月程の旅行でしたが、この外一日がけの旅はよく致しました。；一夏、脳が悪くて田舎の親類のやっかいになって一月ぐらい遊んでいた。；ところが、それから一月ほどのあいだなにごとも、おこりませんでした。；うちへかえるのが一月の六日ごろとすれば早い方ではないかしら。</t>
        </is>
      </c>
      <c r="J7134">
        <f>HYPERLINK("https://www.weblio.jp/content/一月", "词义详情")</f>
        <v/>
      </c>
      <c r="K7134">
        <f>HYPERLINK("https://yourei.jp/一月", "查看例句")</f>
        <v/>
      </c>
    </row>
    <row r="7135">
      <c r="A7135" t="inlineStr">
        <is>
          <t>人出</t>
        </is>
      </c>
      <c r="B7135" t="inlineStr">
        <is>
          <t>成功</t>
        </is>
      </c>
      <c r="C7135" t="inlineStr">
        <is>
          <t>読み方：ひとで
人が多く出てそこに集まること。「海水浴場には多くの—が見込まれる」</t>
        </is>
      </c>
      <c r="D7135" t="inlineStr">
        <is>
          <t>人出入り(3%)；人出が多い(3%)；人出が多く；人出が多かつ</t>
        </is>
      </c>
      <c r="F7135" t="inlineStr">
        <is>
          <t>たいへんな人出；大層な人出；夥しい人出；ひどい人出；すごい人出</t>
        </is>
      </c>
      <c r="H7135" t="n">
        <v>29</v>
      </c>
      <c r="I7135" t="inlineStr">
        <is>
          <t>朝よりも広場の人出は増えていたが、にぎやかというほどではなかった。；ただでさえいつもより人出があって、道の数を数えながら歩くのは困難だ。；そうなると、その管理だけでもたいへんな人出と作業と時間が必要になる。；鬼子母神に着いたのはまだ六時前だったが、市はなかなかの人出だった。；「この人出のなかでよく見つけましたね」 一年でも目立つ子だからね。；しかし、これだけの人出でどこに契約者がいるのか、分かるはずがない。；そういっても、出てくる人出てくる人のギャグをひとつひとつ笑い得た。；実際、このときも、町中を歩くこと自体が難しいくらい人出が多かった。；今年は従って大盛況が予想されたが、存外に人出がないのにびっくりした。；古い歴史をもっているので、毎年五百万人からの人出が国の内外からあります。；日が暮れて、すべてのデモが解散した後も、ここはまだ一杯の人出である。；桜はもう過ぎていましたが、池を越して向こうの映画館の方は、大変な人出です。；これだけの人出があるとすれば、夜が明けて間もなくというのではあるまい。；人出があるうちは、プラスチック爆弾を仕掛けるわけにはいかなかった。；人出も大したものだが、それよりも光を押して進まなければならない。；それでも、日が暮れかかっているわりには人出が多いのが感じられた。；さっきよりは、多少人出も増えていたが、相変らず閑散としたものである。；また、措置解除後の人出の大幅な上昇も危惧すべき面があるとされている。；土曜日の午後に入って、人出はますます増えてきているようである。；今日も三人が並んで歩くのは不可能なほどの人出だった。；話には聞いていたが、これほどまでの人出とは思わなかった。；天気のいい休日のせいか人出は多く、カップルや親子連れが目についた。；時ならぬ人出と車の列におどろき、石垣の穴にかくれてしまったのである。；でも、この人出じゃ熱田神宮の出入口の付近は身動きがとれないですよ。；雨が上がったばかりなので、花見時の人出が嘘のようにそこは閑散としていた。；当初は人出も少ないさびしい市だったが、関係者の熱意で続けられた。；各報道機関などが人出の数を報道する際の情報源として利用している。；この晩はすばらしくいい晩であったから、人出もかなりに多かった。；その日、長い旅から帰還する王子を出迎えるために、街は大変な人出だった。</t>
        </is>
      </c>
      <c r="J7135">
        <f>HYPERLINK("https://www.weblio.jp/content/人出", "词义详情")</f>
        <v/>
      </c>
      <c r="K7135">
        <f>HYPERLINK("https://yourei.jp/人出", "查看例句")</f>
        <v/>
      </c>
    </row>
    <row r="7136">
      <c r="A7136" t="inlineStr">
        <is>
          <t>人手</t>
        </is>
      </c>
      <c r="B7136" t="inlineStr">
        <is>
          <t>成功</t>
        </is>
      </c>
      <c r="C7136" t="inlineStr">
        <is>
          <t>読み方：ひとで
１人の手。人間のしわざ。「—の加わっていない原生林」
２働く人。働き手。「—が余る」
３他人の力。他人の働き。「—に頼る」「—を借りる」
４他人の手中。他人の所有。「田畑を—に渡す」「所蔵の絵画が—に渡る」</t>
        </is>
      </c>
      <c r="D7136" t="inlineStr">
        <is>
          <t>人手が欲しい；人手がたりなく；人手が欲しく</t>
        </is>
      </c>
      <c r="E7136" t="inlineStr">
        <is>
          <t>人；手；助け；助；援助</t>
        </is>
      </c>
      <c r="H7136" t="n">
        <v>29</v>
      </c>
      <c r="I7136" t="inlineStr">
        <is>
          <t>でもそれをやるのは、今までがそうでしたが、人手もいるし金もかかる。；わが軍にもうそれだけの余力や人手が残っているかどうか、疑問である。；私が生きている間は邸を人手に渡すなどということはできるものでない。；どんな事情があったにせよ、人手に渡したことは、捨てたことですもの。；戦争で人手が不足していたからぼくがここをまかされることになったのだ。；しかし、働くはずだったフレンチ・レストランは既に人手に渡っていた。；あたしだって、山比古さんから人手がいるっていわれてきたんですよね。；人手やベッドのみならず、恐らく薬や包帯の類も足りていないのだろう。；どうしてそういう経営が出来るかというに、まず人手の問題が第一である。；多くは半年一年の内に食い込みとなって、店を人手に譲り渡すのである。；人手を借りて登ったのでは登ったことにはならないのだと思った。；いずれも人手よりは紙が安いから、大いに紙を浪費しているわけである。；そういうわけで港には人手が要るし、それで私も嵐になれば港に行きます。；あ、あとな、人手が足りているんでってことで田代が隊に戻ってきたぜ。；もし、犯人の目星でもついたなら、一人でも人手が欲しいところだろう。；やっと人手がすこし出来、これからは何となし少し楽になるでしょう。；人手が足りなくて、一週間前に頼まれた荷物もそのままにしてあるという。；人手も不足しており、軍では状況を改善するための方策を考えている。；あ、宴会とかがあって、人手が欲しい時には別途に呼んでるんだけどさ。；本当はもっと人手が必要なんだが、三人しかいないんだから仕方がない。；大規模な神社になると、宮司だけでは運営の人手が足りなくなるのだ。；別に百姓をさせるつもりはなかつたんですが、戦争で人手は減りましよう。；きみはチームをまとめて設計し、人手を集めて建造すればいいんだ。；広大な境内や建物も維持せねばならず、人手は慢性的に足りなかった。；私は人手を借りなければならないことを知って、ラニョンのことを思った。；もし人手が足りなければ、わしが行って手助けをして上げますからね。；アンが人手を頼まず、自分でお皿を返しに行こうと思っていたからだ。；新しい損傷艦の修理で人手を引き抜かれ仕事にならないからである。；人手を頼んで掘りたいがお金がかかるのでほとんど一人で掘り進めた。</t>
        </is>
      </c>
      <c r="J7136">
        <f>HYPERLINK("https://www.weblio.jp/content/人手", "词义详情")</f>
        <v/>
      </c>
      <c r="K7136">
        <f>HYPERLINK("https://yourei.jp/人手", "查看例句")</f>
        <v/>
      </c>
    </row>
    <row r="7137">
      <c r="A7137" t="inlineStr">
        <is>
          <t>一通り</t>
        </is>
      </c>
      <c r="B7137" t="inlineStr">
        <is>
          <t>成功</t>
        </is>
      </c>
      <c r="C7137" t="inlineStr">
        <is>
          <t>読み方：ひととおり
１一つの種類。一つの組合わせ。「治療法は—しかない」
２物事の程度が普通であること。尋常。「あの苦しさは—ではなかった」
３一応、全体にわたっていること。副詞的にも用いる。あらまし。ひとわたり。「—の知識はある」「用具は—そろっている」
４一度に通りすぎること。
「秋の急雨(しぐれ)—して」〈太平記・一三〉</t>
        </is>
      </c>
      <c r="D7137" t="inlineStr">
        <is>
          <t>一通り話し；一通り済ん；一通り読ん；一通り説明；一通り心得</t>
        </is>
      </c>
      <c r="E7137" t="inlineStr">
        <is>
          <t>一般；全体；通常；広く；一体</t>
        </is>
      </c>
      <c r="F7137" t="inlineStr">
        <is>
          <t>一通り備え；一通り挨拶；一通り読み；一通り見回し；一通りこなす</t>
        </is>
      </c>
      <c r="H7137" t="n">
        <v>29</v>
      </c>
      <c r="I7137" t="inlineStr">
        <is>
          <t>まあよい都合に向うに渡り切りましたがどうもその寒い事一通りでない。；この問題が出るのはこの問題が一通り以上に解決され得るからである。；ところが彼は不思議な術を知って居る者で決して一通りの人間でない。；発売時は当時発行していたゲーム雑誌でも本機は一通り紹介されていた。；この体を見た両親や、その他の者の驚きは一通りでありませんでした。；積んであった五冊の漫画を一通り読んだから、返却しに行くことにした。；その他 上記のエリアへの移動するためのゲートも一通りそろっている。；その紙を一通り見た上で、「どうしてそうだとわかるのか」とたずねた。；一体彼は容貌風采がいいので、何をしても一通り見られるものになった。；素行調査だから、一通り調べさせたが、そんなことは二次的なことでね。；君が言うように機械が簡単なら、一通りの講義で、すべて分かるはずだ。；無人化されているが、自動改札機などの一通りの設備は設けられている。；また、バンド関係の楽器は一通り演奏できるマルチプレイヤーでもある。；つまり、同じ値を生成する前に可能な範囲の全ての値を一通り必ず生成する。；景気のよいのはもちろんであるが、鼻っぱしの強いことも一通りでない。；二条の院では全体にわたっての一通りの衣裳が作られているのである。；この言葉の内に含蓄されているものはなかなか一通りではなくてね。；これで一通り事情は分ったが、さて、私に取っては困ったことであった。；弁護士は、一通り形式的な同情を表してから、事件の説明にかかった。；いずれにしても、それがこの頃のわたしを悩ますことは一通りでない。；先生はこの奥さんを深く愛して居られたので、心配も一通りではなかった。；無料で利用することができ、基本的なチャット機能を一通り搭載している。；あなたは、あの人が一通り以上に嫉妬深い人だと感じませんでしたか?；それから一通り委員達の話があって、いよいよ査定書を作ることになった。；それだからお前に一通り言って聞かせて置くのは、己の義務だろうと思うのだ。；のみならず震災後の東京の道路は自働車を躍らすことも一通りではない。；一通りものづくりを経験した後に、本格的に各プロジェクトに参加する。；それから、一通り用を終えたらこちらのテーブルに戻ってきて口を開いた。；したがって、それぞれの節には一通りの内臓を備えていることになる。</t>
        </is>
      </c>
      <c r="J7137">
        <f>HYPERLINK("https://www.weblio.jp/content/一通り", "词义详情")</f>
        <v/>
      </c>
      <c r="K7137">
        <f>HYPERLINK("https://yourei.jp/一通り", "查看例句")</f>
        <v/>
      </c>
    </row>
    <row r="7138">
      <c r="A7138" t="inlineStr">
        <is>
          <t>人通り</t>
        </is>
      </c>
      <c r="B7138" t="inlineStr">
        <is>
          <t>成功</t>
        </is>
      </c>
      <c r="C7138" t="inlineStr">
        <is>
          <t>読み方：ひとどおり
人が行き来すること。人の通行。「—が激しい」</t>
        </is>
      </c>
      <c r="D7138" t="inlineStr">
        <is>
          <t>人通りが多い(2%)；人通りが少ない；人通りが多く；人通りが少なく；人通りも少ない</t>
        </is>
      </c>
      <c r="E7138" t="inlineStr">
        <is>
          <t>一般；通常；広く；一体；図</t>
        </is>
      </c>
      <c r="F7138" t="inlineStr">
        <is>
          <t>殆ど人通り；人通りもほとんど；いちばん人通り；人通りも少く；人通りも少い</t>
        </is>
      </c>
      <c r="H7138" t="n">
        <v>29</v>
      </c>
      <c r="I7138" t="inlineStr">
        <is>
          <t>それと同時に彼女はこの人通りの少ない街にある自分の店を好きだった。；ところが女はすぐに窓から乗りだすようにして人通りに向かって叫んだ。；人通りがそれほど多くないのは、店らしい店がほとんどないためらしい。；大半の店は一日の営業を終えて閉まっていたが、人どおりはまだあった。；但人通りが少ないので、此街道は自動車には理想的な道路と云ってよい。；まだ歩行者天国の時間ではなく、人通りは思っていたより多くなかった。；その人通りの少なくなる方へ向かって、男たちの集団が移動してゆく。；谷間の道は人通りが稀だったので、仕事の邪魔になる者も通らなかった。；そういう条件のもとで、人通りの多い街道を行くのはどんなものかな。；夜の十時ともなれば、田舎のこととて、道にはもう人通りはなかった。；また、いくら下に人通りがないからといって、東京の真ん中のことです。；それだけの術者が、なぜあんな人通りのない横丁に店を出しているのだ。；なるたけ人通りのすくないところへ行ってから声をかけるつもりだった。；ここは人通りは誰もなく瓦斯灯だけ鬱蒼とした樹の間から光っていた。；人通りがなかったし、二人はちょっとの間立ち話を交わすことが出来た。；別に誰かに聞かせるわけではないので、人通りが少ないのは好都合だった。；この宿もすっかりさびれてしまって、人通りの多かった頃の面影はない。；あたりは、まったく人通りがないので、だれも見ているものはありません。；人通りは少なく、遠くに長い外套を着た紳士が歩いているだけである。；まだ宵であるから、両側の町屋も店をあけていて人通りもまばらにある。；参木は人通りのほとんどなくなった街の中を歩くのが好きになった。；道の人通りが多いので常のやうに物を云つても聞えさうではない。；話のために、人通りのすくない裏路ばかりを辿って、当てもなく歩いた。；崖下の人通の無い場所を幸い彼はぐっと強い調子でイベットに迫った。；その背中が人通りの中へ埋没したとき、ようやく僕も後を追う気になった。；それに、先からもう一時間以上も歩いて居るのに人通りが全くない。；人通りはほとんどなかったが、駆けていると余計に目立つように思える。；千台寺の他は建物もなく人通りも少ないので散歩には好適な道だったのです。；現場近くは深夜から未明までは人通りが少ないので不思議に感じたという。</t>
        </is>
      </c>
      <c r="J7138">
        <f>HYPERLINK("https://www.weblio.jp/content/人通り", "词义详情")</f>
        <v/>
      </c>
      <c r="K7138">
        <f>HYPERLINK("https://yourei.jp/人通り", "查看例句")</f>
        <v/>
      </c>
    </row>
    <row r="7139">
      <c r="A7139" t="inlineStr">
        <is>
          <t>人並み</t>
        </is>
      </c>
      <c r="B7139" t="inlineStr">
        <is>
          <t>成功</t>
        </is>
      </c>
      <c r="C7139" t="inlineStr">
        <is>
          <t>読み方：ひとなみ
［名・形動］世間一般の人と同じ程度であること。また、そのさま。世間並み。「—な（の）暮らし」</t>
        </is>
      </c>
      <c r="D7139" t="inlineStr">
        <is>
          <t>人並み以上(15%)；人並み外れ(11%)；人並みすぐれ(3%)；人並み以下；人並み優れ</t>
        </is>
      </c>
      <c r="E7139" t="inlineStr">
        <is>
          <t>一般；通常；一般的；平凡；並み</t>
        </is>
      </c>
      <c r="H7139" t="n">
        <v>29</v>
      </c>
      <c r="I7139" t="inlineStr">
        <is>
          <t>自分はもはや人並みの幸せな暮らしを望むわけにはいかない理由がある。；ようやく人並みに口をきくようになったかと思うと、もうそれだからな。；ただ姫君のために自分も人並みな尊敬の払われる身分がほしいと思った。；霊を見る能力だけは人並み優れてあるだけに、簡単に想像できるのだろう。；身体が人並み以上に大きな大人の怯えた声を聞くのは初めての経験だった。；また、感情が人並みのアンドロイドが登場するなど技術も発達している。；しばらく沈黙したあと「まあ、人並みの暮らしはしてるわよ」と言った。；人が年始回りをするときはな、人並みのことをしておくものでござるぞ。；人並みの欲求は持っているのだが、深い仲になろうとは思えないのだ。；そうなるとわたしたちのことをもう人並みに話してはくれませんでした。；それほど、人並みの苦患を少しでも経てきた自分でではあるためだろうか。；人並みに物も考え、他人のいうことも分らなくはないつもりだった。；頑張ったその結果がつまり人並みならば、よしとしなければならないのだ。；人並み以上に手もお金もかけて、ここまで育ててもらったことは感謝している。；親の儂が無学だったから、女にしては人並み以上のことは身につけさせた。；人並みの食事は、今のうちにとっておいた方がよさそうに思えた。；やっと人並みの生活を手に入れたのだから、それを楽しみたい気持ちはあった。；哀しい出来事を忘れて、彼女はようやく人並みの幸福を得られるのだろう。；五十歳にもなっていたが、彼にはまだ人並み以上の力があったのだ。；絵を本格的に描きはじめた頃は、人並みに人間も風景も描いたことがあった。；生まれながらに人並み外れた運動能力を持っていたと伝わっている。；年が若くなくなると、もう人並みの扱いはしないで老耄奴がと言いやがる。；昔は人並みに興味を持っていたこともあったのに、今は特にやりたいとは感じない。；そして、人並みに感情をもち、心を読んでみせた美也子が許せなかった。；体格は人並みで、顔だちもこれといって特徴のない、平凡な容姿である。；酒量が人並みだと考えた自分の浅はかさをいまさらながらに彼は呪った。；巨大な馬で、人並み外れた怪力を持つロスタムが乗れる唯一の馬だった。；なんと救いようのない男よ、いまだ人並みの幸福とやらを求めているのか!；人並み以上に他人からの注目と愛情を必要とするのである。</t>
        </is>
      </c>
      <c r="J7139">
        <f>HYPERLINK("https://www.weblio.jp/content/人並み", "词义详情")</f>
        <v/>
      </c>
      <c r="K7139">
        <f>HYPERLINK("https://yourei.jp/人並み", "查看例句")</f>
        <v/>
      </c>
    </row>
    <row r="7140">
      <c r="A7140" t="inlineStr">
        <is>
          <t>人波</t>
        </is>
      </c>
      <c r="B7140" t="inlineStr">
        <is>
          <t>成功</t>
        </is>
      </c>
      <c r="C7140" t="inlineStr">
        <is>
          <t>読み方：ひとなみ
大勢の人が波のように押し合って動くこと。「—にのまれる」「—を縫って進む」</t>
        </is>
      </c>
      <c r="H7140" t="n">
        <v>29</v>
      </c>
      <c r="I7140" t="inlineStr">
        <is>
          <t>私は人波に押されて運よくその新しく来た車の前の方へ出る事が出来た。；副官はしばらく後に続いていたが、すぐ人波に呑まれて見えなくなった。；数千人の人波があり、周辺も含めれば数万人が集まっていたとみられる。；伊勢丹の前でタクシーを捨て、そこから夜の人波にもまれて駅に歩いた。；ふり返って見たときは、もう明の背の高い姿は人波の中に消えていた。；そうなったら今度こそプルーデンスは人波に巻きこまれてしまうだろう。；その人波に逆って行く二人はいつの間にかぴたり身体を寄せ合っていた。；僕は人波に流されながら、その中の一枚の写真をそっと取り出してみた。；散りはじめていたのが、また集まってきた人波の間に、父親は立っていた。；初詣での人波にもまれて智子のアパートへ戻ったのは朝の三時ごろだった。；姉さまの姿は人波にかくれて、そのまま、見えなくなつてしまひました。；俺は何が起ったのかよく見ようと思って、人波をかきわけて車道へ出た。；人波がようやく前進を再開したのは、放水開始後数分が経ってからだった。；四人は人波に混じって地下の連絡通路への階段を駆け下りていた。；その人波の中にもぐり込むと、おれは、やっと、安心することが出来た。；神戸の町に開かれたその興行物を人波におされながら見物した由である。；そこへ村長が肩で人波を押しわけるようにして郵便局の方から帰って来た。；ゆっくりと流れていく大通りの人波を外れ、二人は狭い脇道に入っていく。；歓声を上げて人波が飛び出したが、運転手はすぐスピードをあげた。；能楽堂前の広場は人波で混雑していて、前方へ進むのにもひと苦労であった。；横断歩道を渡っている人波のなかに、こちらに向って手を振っている女がいる。；カドガ殿下の周囲にむらがる人波が揺れて、いくつかの人影が出てきた。；みんな永遠に生きてゐられるやうなそぶりで、人波は行きつ戻りつしてゐた。；駆けよってくる人波を見て反射的に陽子はその場をさがっていた。；ジム・コイルはわめき合う人波に半ば没して、少年のように笑っていた。；ホームに行きたい二人は、人波の端の隙間を見つけて、慎重に階段を下りていった。；しかしこの数日、国会のまわりはデモ行進の人波で埋まっているらしい。；そこで迷児の道しるべの前に立っていた米友が、後ろへ隠れて人波を避ける。；増え続ける人波を気にしていると、ふと後ろに並んだ少年三人組の会話が耳に入る。</t>
        </is>
      </c>
      <c r="J7140">
        <f>HYPERLINK("https://www.weblio.jp/content/人波", "词义详情")</f>
        <v/>
      </c>
      <c r="K7140">
        <f>HYPERLINK("https://yourei.jp/人波", "查看例句")</f>
        <v/>
      </c>
    </row>
    <row r="7141">
      <c r="A7141" t="inlineStr">
        <is>
          <t>一晩</t>
        </is>
      </c>
      <c r="B7141" t="inlineStr">
        <is>
          <t>成功</t>
        </is>
      </c>
      <c r="C7141" t="inlineStr">
        <is>
          <t>読み方：ひとばん
１日が暮れてから夜が明けるまでの間。「—語り明かす」「—中眠れなかった」
２ある晩。いつかの夜。「—みんなで会おう」</t>
        </is>
      </c>
      <c r="D7141" t="inlineStr">
        <is>
          <t>一晩中(21%)；一晩じゅう(8%)；一晩寝；一晩泊め；一晩過ごし</t>
        </is>
      </c>
      <c r="E7141" t="inlineStr">
        <is>
          <t>一夜；ひと晩；一夕</t>
        </is>
      </c>
      <c r="F7141" t="inlineStr">
        <is>
          <t>もう一晩；一晩位；まる一晩；一晩眠れ；一晩泊まり</t>
        </is>
      </c>
      <c r="H7141" t="n">
        <v>29</v>
      </c>
      <c r="I7141" t="inlineStr">
        <is>
          <t>製油所の安全な部屋で一晩過ごした後、主人公はあてもなく歩き続ける。；出てみると辺りはすでに真っ暗になっており、一晩野宿することにした。；一晩も鶏小屋で寝たことがなく、それこそ一羽の雌鶏さえ知らなかった。；もう一晩だけこの屋根の下に我慢してゐるやうにと頼みます、ジエィン。；収録は一晩中続き、一行はエイモンの車で曲を聴きながら海岸へ向かう。；パンを出し闇の中で頬ばりながら、さあ一晩中歩いてもいいと思った。；夜にそのふくろうが家までついて来てしまい、一晩だけ面倒を見ることに。；デザイン画がなければ直感で作っちゃえとたった一晩で作り上げていた。；都市内の大会場で有名なスターDJを集めて一晩限りで行われるもの。；何でも大きな松の木があるそこの下で一晩明したと云ってられました。；一座の連中が一晩どんなふうに過ごしたか知りたかったからである。；アリックスはほとんど一晩中寝られず、朝になると痛みが強くなった。；一晩寝て起きて見たら、またどうかいう日が来るか、と不図思い直した。；この時期には南半球の中緯度地域では一晩中南の空に観測することができた。；こんな傷など、むかし戦場で一晩中、耐えたことがあるし、我慢できる。；お金を今すぐ全部下ろそうと思い込んで、一晩中ここにいても無駄です。；実にそれが、その一晩中、彼女には思いだすことができなかったのである。；すると、一晩で良さを実感したと答えた人のほとんどがアスリートだった。；壁に穴が開いていますが、一晩なら何とか我慢していただけるかと。；同年9月27日、一晩で同一グループによるとされる事件が2件発生した。；家ではお湯は一日か二日置くのに旅行に出てからは一晩も欠かしたことがない。；彼はあの不幸な人のことを考えつづけて、一晩ろくに眠られなかった。；それはたった一晩で千の寺院を造らねばならないというものだった。；そしてその夜は、各地からの電話が一晩中鳴り続ける事態に至った。；わたくしはここへ越して来てから一晩と落ちついた自分の時間を持つたことはない。；すると女性は彼に同情し、ダニーは見事彼女と一晩過ごせることになった。；一晩のうちにこんな山が出来る程の、 馬鹿げた事があろうとは思わなかった。；子家鴨は疲れと悲しみになやまされながらここで一晩を明しました。；女は11ヶ月ぶりに一晩だけ、ロサンゼルスでの滞在許可が出た軍人。</t>
        </is>
      </c>
      <c r="J7141">
        <f>HYPERLINK("https://www.weblio.jp/content/一晩", "词义详情")</f>
        <v/>
      </c>
      <c r="K7141">
        <f>HYPERLINK("https://yourei.jp/一晩", "查看例句")</f>
        <v/>
      </c>
    </row>
    <row r="7142">
      <c r="A7142" t="inlineStr">
        <is>
          <t>人々</t>
        </is>
      </c>
      <c r="B7142" t="inlineStr">
        <is>
          <t>成功</t>
        </is>
      </c>
      <c r="C7142" t="inlineStr">
        <is>
          <t>読み方：にんにん
各人。めいめい。
「是れは全く—の貧富に由ることにして」〈福沢・福翁百話〉</t>
        </is>
      </c>
      <c r="D7142" t="inlineStr">
        <is>
          <t>衆；人びと；人達；全人類；衆人</t>
        </is>
      </c>
      <c r="F7142" t="inlineStr">
        <is>
          <t>若い人々；そういう人々；あらゆる人々；そうした人々；こうした人々</t>
        </is>
      </c>
      <c r="H7142" t="n">
        <v>29</v>
      </c>
      <c r="I7142" t="inlineStr">
        <is>
          <t>今後、受け入れた人々の社会統合をより成功させるためにも重要なこと。；人々はアマチュアリズムの精神で大会に参加することを喜びとしていた。；各地でフィッシャーを支持する人々がこの状況を何とかしようとした。；一部の人々はソフトウェア工学が計算機科学の一部であると信じている。；これに分類される人々の主要な居住地はサハラ以南のアフリカ大陸である。；XSLT の仕様はジェームズ・クラークを中心とした人々が設計した。；人々の基本的人権を規定するための300以上の法案が議会を通過した。；植民地にされて独立を失ってしまった土地の人々は、とてもみじめである。；このために、マカオの人々は伝統的に海に目を向けて生計を立ててきた。；この種のオーガズムが初めて報告されたのは脊髄損傷を持つ人々であった。；人々は彼らと同じように行動できますが、誰も彼らを超えることはできません。；このような認識は少なからざる人々の間で語られるが、数的根拠はない。；生きているうちにキリストにあって死んだ人々が、まず最初によみがえる。；運ばれた物資は都の中にある大きな2つの市に送り、人々の生活を支えた。；今日でも高年齢層のなかにはペンシルベニアドイツ語を話す人々が多い。；他の人々はソフトウェアは全く工学的に扱うことはできていないと考えている。；この中からメディア人と呼ばれるようになる人々が登場する。；この頃から、基次郎は近所の人々の実生活を意識的に見るようになった。；イタリア系と中国系の人々もこの時期に鉄道建設のためにやってきた。；儀式用複合施設はミシシッピ文化の人々の宗教では主要な要素だった。；その一方で、多くの人が描かなくなる年齢を過ぎても活動的に絵を描く人々が居る。；カーネギーは国際関係での平和維持は人々の努力と意志によると信じていた。；黄帝やモーセのように主人公は、皇帝として人々のあいだへ帰ってくる。；玉音放送を聴く周囲の人々の雰囲気などで事情を把握した人が大半だった。；当時の人々が西洋的な旋律になじめなかったこともあって普及せず。；人々が前進したときよりも後退したときの方が短期記憶が優れている。；しかし、ヨーロッパ人と接触したころにはすでに人々の分散が進んでいた。；彼らを中心とする人々が、その後新幹線計画を推進することになる。；ほかにもゲーム好きな人々はゲームソフトを高頻度で使用している。</t>
        </is>
      </c>
      <c r="J7142">
        <f>HYPERLINK("https://www.weblio.jp/content/人々", "词义详情")</f>
        <v/>
      </c>
      <c r="K7142">
        <f>HYPERLINK("https://yourei.jp/人々", "查看例句")</f>
        <v/>
      </c>
    </row>
    <row r="7143">
      <c r="A7143" t="inlineStr">
        <is>
          <t>人任せ</t>
        </is>
      </c>
      <c r="B7143" t="inlineStr">
        <is>
          <t>成功</t>
        </is>
      </c>
      <c r="C7143" t="inlineStr">
        <is>
          <t>読み方：ひとまかせ
他人に任せきりにすること。「—にできない性分」</t>
        </is>
      </c>
      <c r="D7143" t="inlineStr">
        <is>
          <t>任せ；一任；丸投げ；他力本願；無責任</t>
        </is>
      </c>
      <c r="H7143" t="n">
        <v>29</v>
      </c>
      <c r="I7143" t="inlineStr">
        <is>
          <t>でもまあ人任せにしていたくらいだから、料理が嫌いだったことは間違いない。；いや自分の家あるんだけどね、人任せにしちゃってもう長いこと帰ってないからな。；家には今のように支配人任せにしていても、一族が楽に暮らして行かれるだけの財産がある。；彼はいずれ、完全に経営を人任せにしてしまうかもしれないよ。；自己の裁定下にあるべき権利を放棄し、考えることを他人任せにした無責任の結果だ。；非協力的というか、面倒くさがって全部他人任せにしていた、といった方が正確かな。；実習の機会がめぐってくるのを他人任せで待っていても、いつになるやら知れない。；本当にそういうことが多いから、人任せにはできないんです。；そうなると、もう事故で死ぬか、それとも殺されるか、他人任せになってしまう。；命を賭けても、棒に振っても、結局一番大事な所は他人任せだ。；任地では何事も他人任せにせず、硬軟織り交ぜた対応で統治を行った。；自分で決めたからには人任せには出来ないし、桜に伝えるのは俺でないと不誠実だと思う。；人任せにせぬ駒平はそれだけ自信に滿ち、愼重な態度を取つたのであらう。；そんな風に思って来ると、幸子はどうしてもこの事件を他人任せにはして置けなかった。；こればかりは他人任せにはできんからな。；東京から戻っても、ちずの面倒は人任せ、下の世話はもちろん食事の世話さえしていなかったということも。；しかし志貴は他人任せにしてはいられないと、2度目の依頼の際には人を殺す覚悟を固めた。；僕はそんな嫌な仕事、消極的に、無責任に、人任せにしておくべきだったのだ。；一度このことに思い至ると、例えばどんなことでも、他人任せということはできなくなります。；人任せで、連れていってもらう立場に安閑としていた。；大したことはないが、病人を雇人任せにしては出られなくなった。；一方の選手も何を持参すればいいのか分からず、野球用具以外の荷造りは夫人任せであった。；家の内のこまごまとしたことは、万事に鷹揚な直衛は人任せである。；文案や絵まで人任せとなればどうしたって隠し通せなくなろう。；リンカーンの外交政策は経験がなかったために、当初人任せだった。；この數日、駿介はお石の事にかまけて、家の事が人任せになつた。；普段からの生活を世話係に任せてしまっている彼だから、自分の生命を他人任せにすることに、それほどの躊躇がないのかもしれなかった。；大した事はないが、病人を雇人任せにしては出られなくなった。；もっとも、ビアンカは何事も他人任せにしたくないほうだ。</t>
        </is>
      </c>
      <c r="J7143">
        <f>HYPERLINK("https://www.weblio.jp/content/人任せ", "词义详情")</f>
        <v/>
      </c>
      <c r="K7143">
        <f>HYPERLINK("https://yourei.jp/人任せ", "查看例句")</f>
        <v/>
      </c>
    </row>
    <row r="7144">
      <c r="A7144" t="inlineStr">
        <is>
          <t>ひとまず</t>
        </is>
      </c>
      <c r="B7144" t="inlineStr">
        <is>
          <t>成功</t>
        </is>
      </c>
      <c r="C7144" t="inlineStr">
        <is>
          <t>読み方：ひとまず
［副］今後のことは別にして、その時点で一応の区切りをつけるさま。とりあえず。さしあたって。「これで—落ち着ける」
[補説] 「ひとまずの」の形で、名詞を修飾することがある。「—の結論を伝える」</t>
        </is>
      </c>
      <c r="D7144" t="inlineStr">
        <is>
          <t>ひとまずほっと；ひとまず落ち着い；ひとまずおい；ひとまず置い；ひとまず兵</t>
        </is>
      </c>
      <c r="E7144" t="inlineStr">
        <is>
          <t>いったん；一旦；とりあえず；当分；さしあたり</t>
        </is>
      </c>
      <c r="F7144" t="inlineStr">
        <is>
          <t>ひとまず沈静；ひとまず措く；ひとまず避け</t>
        </is>
      </c>
      <c r="H7144" t="n">
        <v>29</v>
      </c>
      <c r="I7144" t="inlineStr">
        <is>
          <t>ひとまず胸を撫でおろした私だったが、そうそううまくはいかなかった。；ホテルをあとにするときには、これでひとまず安心していられると思った。；ひとまず問題は修正されたと判断して、依頼を終了したいと思います。；だけど二人で一生懸命な雰囲気だったからひとまず様子を見てた感じでー。；氷晶の写真が運よく早く撮れたので、私はひとまず先に帰ることにした。；ひとまず形を変えずに残ったのは、市の中心部の西側の緑地のみであった。；そうしてひとまず帰って荷物を纏めた上またここへ来る約束をして宿を出た。；孔子を生んだ先秦の文化は戦国時代にひとまずその幕を閉じたのである。；恵子が語ったことすべてに対する、彼のひとまずの結論的な反応だった。；これがひとまずの到達点となったが、その流れは現在に引き継がれている。；それでひとまず犯人の言うとおりに、一億円を渡してやろうと決めたよ。；寄生を十分に定義するのは難しいが、ひとまずは以下の定義が挙げられる。；かれらは泣いて無実を訴えたが、ひとまず裁判所へ送られてしまった。；ひとまずつーさんの家に連れて行かれた聖子は言われるがままに夕食を食べる。；そのため韓国内ではバイデンの当選にひとまず安堵の声が広がっている。；一方で再生可能燃料の導入については同年はひとまず見送ることとされた。；結果両者は非難されて東映の売却問題はひとまず凍結することになる。；ひとまず警察はこの一帯を封鎖し、人々を避難させることに徹していた。；およそ250台の荷車がひとまず難を逃れたが、後に再び襲撃を受けた。；ひとまずこの問題は忘れて、あとでまたゆっくり考えることにした。；私は勧業の方の人に用もありますししますから、これでひとまずお暇とします。；ひとまずフローティング・ホテルに着いたおれと少年は、部屋へと急いだ。；遅刻の件はひとまず置いて、中断した自己紹介を続けさせることにした。；ひとまず自由の身になった三人だが行く当てのない彼らを放り出す事は出来ない。；ここはひとまず反省を横に置いて、宝を探しにいくのが正しい選択だ。；プロミュージシャンの夢は、ひとまずの大学進学後に考えることとなる。；かれらはひとまず緊張から解放されたところで、タバコに火をつける者もいた。；これはいずれ機を得て追々発表することとし、今度はひとまずこれで擱筆。；始まりからひとまずの終わりに向けて、その物語は進行していく。</t>
        </is>
      </c>
      <c r="J7144">
        <f>HYPERLINK("https://www.weblio.jp/content/ひとまず", "词义详情")</f>
        <v/>
      </c>
      <c r="K7144">
        <f>HYPERLINK("https://yourei.jp/ひとまず", "查看例句")</f>
        <v/>
      </c>
    </row>
    <row r="7145">
      <c r="A7145" t="inlineStr">
        <is>
          <t>瞳</t>
        </is>
      </c>
      <c r="B7145" t="inlineStr">
        <is>
          <t>成功</t>
        </is>
      </c>
      <c r="C7145" t="inlineStr">
        <is>
          <t>読み方：どう
［常用漢字］　［音］ドウ（慣）　［訓］ひとみ
ひとみ。「瞳孔・瞳子」</t>
        </is>
      </c>
      <c r="D7145" t="inlineStr">
        <is>
          <t>瞳ちゃんと；瞳術；瞳録</t>
        </is>
      </c>
      <c r="F7145" t="inlineStr">
        <is>
          <t>瞳ちゃん；つぶらな瞳；赤い瞳；黒瞳；美しい瞳</t>
        </is>
      </c>
      <c r="G7145" t="inlineStr">
        <is>
          <t>瞳孔；瞳亜；瞳孔散大；瞳美；瞳を閉じて</t>
        </is>
      </c>
      <c r="H7145" t="n">
        <v>29</v>
      </c>
      <c r="I7145" t="inlineStr">
        <is>
          <t>佐相はこのままだと瞳が自殺する可能性があると感じショックを受ける。；彼女の瞳はこの回転を完了し、男性が手に持った小型の鏡を見つめている。；オーダーには、髪・瞳・肌の一部に通常の人間とは異なる色素が現れる。；この曲がきっかけとなり、瞳との38年ぶりのツアーでの再会となった。；うす眼を開いているのだが、その瞳は上瞼に隠れそうにつり上っていた。；これは緑色の瞳をしていた父親がチーチャロと呼ばれていたことに由来している。；長い栗毛色の髪と暗い瞳を持つ青年が4分の3正面像で描かれている。；矢井田瞳がこれまで発表してきたオリジナル・アルバムから選曲・収録。；彼はその顔を眺めた時、ふとこの牛の瞳の中に何にか人間に近いものを感じた。；目は輪郭線があるものに変わり、瞳孔は黒・虹彩は赤の二色の瞳となる。；そこには無垢な瞳で久太郎を見つめる一匹の白猫・玉之丞の姿があった。；回春病院に入院していた瞳女の影響もあり、俳句にかけるようになる。；栗毛はあらゆる種類の瞳や皮膚の色と同時に現れる可能性がある。；彼女の幽霊は何か言いたげに、悲しげな瞳でトムをじっと見つめていた。；その瞳の底には言いしれぬ憂いの色が沈んでいるようであった。；目が慣れた薫の瞳に入ってきたのは、どう見ても先ほどまでの風景ではない。；そして朝日が街を照らす中、思わぬ場所からシリウスの瞳は見つかった。；婦人は流るるような瞳を廻らし、人だかりがしたのを見て、得意な顔色。；こうした仕様のため「主人公は左右の瞳の色が異なる」という特徴がある。；瞳も自分の意思を持った存在であるため、常にプレイヤーの考えが通るとは限らない。；四少年は、瞳をじっと火星人の群に定めて、顔を緊張に硬くしている。；大きな瞳と鼻は黒々としていて、流れるような長いコートが印象的な犬種である。；初代とは異なり頭と首が根元から2本に分離しており、瞳には黒目がある。；しかしアーマゲモンに敗北、両腕が千切れ落ち、瞳の光が消えてしまう。；が、エンドマークが出る寸前に表れた里奈の濡れた瞳だけが輝いていた。；ちなみに本作品では瞳のハイライトは独自のものになっている。；それぞれの目的のために宙界の瞳を必要としている。；漫画で少女の瞳に下まつげを描いたのは花村が最初だと言われる。；このゲームは基本的に、瞳と他の登場人物の会話によって進行する。</t>
        </is>
      </c>
      <c r="J7145">
        <f>HYPERLINK("https://www.weblio.jp/content/瞳", "词义详情")</f>
        <v/>
      </c>
      <c r="K7145">
        <f>HYPERLINK("https://yourei.jp/瞳", "查看例句")</f>
        <v/>
      </c>
    </row>
    <row r="7146">
      <c r="A7146" t="inlineStr">
        <is>
          <t>人目</t>
        </is>
      </c>
      <c r="B7146" t="inlineStr">
        <is>
          <t>成功</t>
        </is>
      </c>
      <c r="C7146" t="inlineStr">
        <is>
          <t>読み方：じんもく
１人の目。
２人の見る目。ひとめ。
「邪法を行い、—を惑わし」〈芥川・尾形了斎覚え書〉</t>
        </is>
      </c>
      <c r="D7146" t="inlineStr">
        <is>
          <t>人目につか(12%)；人目をしのん；人目をはばから；人目に付か；人目につきやすい</t>
        </is>
      </c>
      <c r="E7146" t="inlineStr">
        <is>
          <t>はた目；よそ目；おか目</t>
        </is>
      </c>
      <c r="F7146" t="inlineStr">
        <is>
          <t>人目を憚りながら；人目に付きにくい；人目に付きやすい</t>
        </is>
      </c>
      <c r="H7146" t="n">
        <v>29</v>
      </c>
      <c r="I7146" t="inlineStr">
        <is>
          <t>人目につかないよう夜に教えたり、場所も人里離れた墓地などで教えた。；私は其時に人目を避けたがる女を他へ追はなかつた程静粛な客であつた。；あまり外にも出ず、なるべく人目を避けてる人たちがずいぶんいるのだ。；しかし、判決後のAは人目を避けるために離婚していた妻とも再婚した。；人目につかないよう夜に行ってみたが、そんなときに限って不在だった。；キーペルは、自分の家族の状況が人目に触れないよう慎重に隠している。；人目に立って問題になるようなことは双方でしなかったのである。；あやまって人目にふれると大変だから、文字にすることができないのだ。；人目につかなくてもよいことを行うべき機会はたくさんあるのだ。；その姿は早や人目につくほど包み切れないものと成ったかとさえ思われた。；源氏はまた途中の人目を気づかいながら尚侍の所へも別れの手紙を送った。；しかし人目を避けて撮影を行なったのはどうなのかという声もある。；その翌日は手紙を送るのに以前よりも人目がはばかられる気もした。；あとでやつらを並べて、十人めごとに一人ずつ引っぱりだしたんです。；その頃の学校としては、かなり人目を引く規模の校舎であったという。；ヴァン猫は他の猫と同様に人目を避け始め、静かな暗い場所を探し始める。；偽刑事達が人目にかからぬ様に仕事が出来たのは二階丈けじゃからね。；すぐ向うに裏門があるが、そこには人目のあることをおそれたのであろう。；従者らはここに近いどこかでよく人目を避けて時間を送るように。；この場合、右へは、右へ振ったが振りすぎて人目を引くようになる。；その手紙を読むのに、彼もまたアントアネットと同様に人目を避けた。；まあそれはとにかく、あすこは人目が多いから、これには弱りましたよ。；長に触れられた男女は、島内で人目につかない場所を見つけて愛を交わす。；だが、どうして人目につかず搬んで行けたかということが次の疑問だった。；ブロンド髪で背の高いウェンディーは東京で人目を引く存在であった。；はいているクツは人目に見せるべきものでない室内靴であること。；人目には妬ましく見えそうなこの姿を、お絹が見たらなんと思うであろう。；夜、人めを避けて逢うようになってからは、三日と逢わずにはいられない。；二人がはいって来たことは人目につかざるを得なかった。</t>
        </is>
      </c>
      <c r="J7146">
        <f>HYPERLINK("https://www.weblio.jp/content/人目", "词义详情")</f>
        <v/>
      </c>
      <c r="K7146">
        <f>HYPERLINK("https://yourei.jp/人目", "查看例句")</f>
        <v/>
      </c>
    </row>
    <row r="7147">
      <c r="A7147" t="inlineStr">
        <is>
          <t>一目ぼれ</t>
        </is>
      </c>
      <c r="B7147" t="inlineStr">
        <is>
          <t>成功</t>
        </is>
      </c>
      <c r="C7147" t="inlineStr">
        <is>
          <t>読み方：ひとめぼれ
［名］(スル)一度見ただけで好きになること。「受付嬢に—する」</t>
        </is>
      </c>
      <c r="D7147" t="inlineStr">
        <is>
          <t>一目ぼれする(11%)</t>
        </is>
      </c>
      <c r="H7147" t="n">
        <v>29</v>
      </c>
      <c r="I7147" t="inlineStr">
        <is>
          <t>彼はアパートの管理人姉妹の姉に方である、河井 空に一目ぼれをした。；自分にないものを持っている相手だけに、「一目ぼれ」も多くなります。；去った後に彼に一目ぼれしていたと気づいたことに気づいた亜依。；一目ぼれは、無関心というかの防御手段が不可能なところからおきる。；張君瑞は偶然の機会に美人の崔鶯鶯に出会い互いに一目ぼれしてしまった。；罪木にぶつかられた少年は、罵られたにもかかわらず、一目ぼれをしていた。；美しい髪を見るだけで一目ぼれしてしまう人がいる。；バーやカフェーや料亭にも、一目ぼれするような女は、いくらでもいるさ。；完全なビルの一目ぼれで、問題があることは承知していたが感情が理性を超えてしまったという。；町子に一目ぼれししつこくアプローチする陽人だったか全く相手にされない。；王子は宮殿の出現に驚き、そこに住む別の顔になったシットゥカーンに一目ぼれしてしまった。；お銀はそこで長患いの母を世話する美貌の青年宗太郎に一目ぼれしてしまう。；確かに、いきなり一目ぼれされるよりも徐々に好かれたほうが楽しみがたくさんあるだろう。；しかし半座はその強さに一目ぼれし、彼女の所属している空手道部へ入ることを決意する。；「克己は由加里のことが好きなんだよ」 由加里には一目ぼれだった。；その後、彼はたまたまであったクリスティーンが娼婦だとは知らずに一目ぼれする。；この夫人に出会って一目ぼれしてしまった。；いや、正確に言えば、ぼくの圧倒的な一目ぼれだったろう。；パーティーで視線を交わしたふたりは、おたがいに一目ぼれをしてしまった。；その姿に日坂菜乃は一目ぼれし、入学後になって彼が文芸部の部長であることを知り入部する。；後の夫となる一目ぼれした人を追いかけて結婚。；そんな女が、おれみたいな男に、一目ぼれする筈がない。；空想の理想の恋人が目の前に現れたシャオシーはリージェンに一目ぼれしてしまう。；十七世紀の小説は、主人公とその恋人との運命を決定するものを「一目ぼれ」と呼んだ。；アンナは王様に簡単な方法で愛について説明しようとし、一目ぼれの経験を歌で語る。；その短い一瞬で2人はお互い一目ぼれしてしまった。；「あれこそ、ほんとの一目ぼれというのでしょうねえ」と彼女は話すのである。；恋愛事件のもっとも喜劇的なはじまりのひとつ、それはにせの一目ぼれである。；茂樹は少年の頃、自分の部屋から見えた弥生に一目ぼれした。</t>
        </is>
      </c>
      <c r="J7147">
        <f>HYPERLINK("https://www.weblio.jp/content/一目ぼれ", "词义详情")</f>
        <v/>
      </c>
      <c r="K7147">
        <f>HYPERLINK("https://yourei.jp/一目ぼれ", "查看例句")</f>
        <v/>
      </c>
    </row>
    <row r="7148">
      <c r="A7148" t="inlineStr">
        <is>
          <t>一休み</t>
        </is>
      </c>
      <c r="B7148" t="inlineStr">
        <is>
          <t>成功</t>
        </is>
      </c>
      <c r="C7148" t="inlineStr">
        <is>
          <t>読み方：ひとやすみ
［名］(スル)途中で少し休むこと。「この辺でそろそろ—しよう」</t>
        </is>
      </c>
      <c r="D7148" t="inlineStr">
        <is>
          <t>一休みする(16%)；一休みしよ(4%)</t>
        </is>
      </c>
      <c r="E7148" t="inlineStr">
        <is>
          <t>間；停止；中止；中断；休み</t>
        </is>
      </c>
      <c r="F7148" t="inlineStr">
        <is>
          <t>帰って一休み；一休みする間もなく</t>
        </is>
      </c>
      <c r="H7148" t="n">
        <v>29</v>
      </c>
      <c r="I7148" t="inlineStr">
        <is>
          <t>三晩をそれぞれの土地で一休みしたので、それだけ時間が遅れたのです。；ある公が狩りの後でヴォルガ川沿いの斜面の上で一休みして眠っていた。；そしてお春さんが着物を脱いで一休みしているところを殺したのであろう。；ここから話はいよいよ佳境に入るわけだが、このあたりで一休みしよう。；畑の他の場所へ移って、一休みしていると、またも頭の真上から火の雨。；家に帰って一休みしてから、決めた時間ぴったりに約束の場所へ行った。；運んできた荷物をおろして、フン族の墓のところで一休みしています。；オーブレイは一休みするために彼の側を離れたが眠ることは出来なかつた。；ところが一休みする間もなく、頭の痛くなるような謎が待ち受けていた。；図書館の一階にある喫煙コーナーで一休みしたついでに私は兄に電話した。；私は、折れそうになつた椿の枝を一本雪から抜き出してそこで一休みした。；ちょうど中途半端な時間で板前も自分の部屋へ入って一休みしていた。；これから四マイルユッセルまで一休みもしないで行かなければならないのか。；一通り買物が終わった玲夢たちも、この店で一休みする事にしたのだ。；一休みしたいほど疲れていましたが、それは許されませんでした。；首尾よく流れを逆に上り切って桃色と白のカフェ・ローポアンで一休み。；今夜十二時、と決めて、それまで、一休みすることになったのである。；夜中になって一休みしたくなったら、女三人は隣りの部屋にベッドがある。；すると重荷を下ろして一休みする時のような澄みわたった気持がした。；山道の脇で一休みして訊いてみると、やはり調子があるのだという。；迂遠な私は、落付いて一休みして行く積りなのだと思って居たのであった。；そこで、満潮時はこの寺院で一休みして山を越えていったといわれる。；二人は一休みし、もっと静かにかれらの幸せを味わわねばならない。；一行はマンハッタンのホテルで一休みした後、RCA攻略策を協議した。；散歩に疲れてくると、アドリエンヌは草地に足を投げだして一休みした。；それよりも私たちはここで一休みしようじゃありませんか。；そして昼食をすませて一休みしているうちに、もう夜になるのである。；一休みしてわたしも行つて見やうと思つてゐるんですよ。；ベンチに腰をおろして、一休みしているところへ、声をかけられたのである。</t>
        </is>
      </c>
      <c r="J7148">
        <f>HYPERLINK("https://www.weblio.jp/content/一休み", "词义详情")</f>
        <v/>
      </c>
      <c r="K7148">
        <f>HYPERLINK("https://yourei.jp/一休み", "查看例句")</f>
        <v/>
      </c>
    </row>
    <row r="7149">
      <c r="A7149" t="inlineStr">
        <is>
          <t>一人</t>
        </is>
      </c>
      <c r="B7149" t="inlineStr">
        <is>
          <t>成功</t>
        </is>
      </c>
      <c r="C7149" t="inlineStr">
        <is>
          <t>読み方：いちじん
《天下にただ一人の意》天子。天皇。上御一人(かみごいちにん)。
「—を始め進(まゐ)らせて百官皆椒房(せうばう)の月に涙を落とし」〈太平記・三三〉</t>
        </is>
      </c>
      <c r="D7149" t="inlineStr">
        <is>
          <t>一人きり；一人残ら；一人当たり；一人取り残さ；一人っきり</t>
        </is>
      </c>
      <c r="E7149" t="inlineStr">
        <is>
          <t>ただ；ひとり；単に；たった；単独</t>
        </is>
      </c>
      <c r="F7149" t="inlineStr">
        <is>
          <t>たった一人；誰一人；だれ一人；同一人；只一人</t>
        </is>
      </c>
      <c r="H7149" t="n">
        <v>29</v>
      </c>
      <c r="I7149" t="inlineStr">
        <is>
          <t>この点では一人でプレイする従来のRPGよりも難しい問題が発生する。；家臣の誰一人にも告げる暇もなく大阪湾上の開陽丸に連れられたという。；その後も数々の賞を受賞し、イギリスを代表するSF作家の一人となる。；アリほどの著名な人物で、他に徴兵を拒否したものは誰一人いなかった。；地元の伝承ではラボックの一人当たりの教会の数では国内最大と言われる。；同社が運営するプレイバイメールのゲーム管理者の一人として活動する。；ホームズはまた、多くの俳優に演じられた架空人物の一人に数えられる。；大掾は国司の一人で、大・上・中・下に分けたうち大国にだけ置かれる。；これは神学の分野で、彼が教友の一人モファッザルに教えたものである。；王質が山を下り村に帰ると知っている人は誰一人いなくなっていた。；一人でもいなくなると、病気や精神異常が起こるとされているからである。；ピカソは仕事をしているとき以外は、一人でいることができなかった。；もし神が最初の意味で理解されるなら、神は一人しか存在し得ないことになる。；ヘーラクレースの妻の一人であるメガラーも彼らの娘とされる場合がある。；その一人である日本人僧の佐々井秀嶺が日本ではよく知られている。；インガーソルはそこで弁護士に弟子入りし、一人で住むようになった。；アフリカでは野生のゴリラを見た最初の白人女性の一人になったとのこと。；しかし将校の一人が生徒を利用することに反対したため、襲撃計画は中止された。；この中では皇帝も旗王の一人であり、無限の権力が振るえるわけではない。；ロック界でもっとも影響力のあったミュージシャンの一人として知られる。；しかし、司教位は本来一人の人間が一つしか持つことができないものである。；ドイツの特殊潜航艇は日本のそれよりも小型で、一人乗りのものが多かった。；このため、ホメイニーの孫で現在も政治に関わっているのはただ一人である。；一人が複数枚のチケットを持っていてもフィルム付きっぷと交換はしない。；マルクスは人類の歴史の中で最も影響力のある人物の一人であると説明されている。；一方で誰か一人でもゴールできればプレイヤー全員の勝利になる。；しかしながら高級官吏で当本部に訴追された者は一人もいなかった。；しかし一人あたりの生活支出は未だにイラン・イラク戦争前よりも低い。；董仲舒がある日帳を下ろして弟子に講義をしていると一人の客が訪ねてきた。</t>
        </is>
      </c>
      <c r="J7149">
        <f>HYPERLINK("https://www.weblio.jp/content/一人", "词义详情")</f>
        <v/>
      </c>
      <c r="K7149">
        <f>HYPERLINK("https://yourei.jp/一人", "查看例句")</f>
        <v/>
      </c>
    </row>
    <row r="7150">
      <c r="A7150" t="inlineStr">
        <is>
          <t>日取り</t>
        </is>
      </c>
      <c r="B7150" t="inlineStr">
        <is>
          <t>成功</t>
        </is>
      </c>
      <c r="C7150" t="inlineStr">
        <is>
          <t>読み方：ひどり
事を行う日を選んで決めること。また、その日。「結婚式の—を決める」</t>
        </is>
      </c>
      <c r="D7150" t="inlineStr">
        <is>
          <t>日；予定；年代；スケジュール；年月</t>
        </is>
      </c>
      <c r="H7150" t="n">
        <v>29</v>
      </c>
      <c r="I7150" t="inlineStr">
        <is>
          <t>旅に限りがあって、そう長い江戸の逗留は予定の日取りが許さなかった。；その翌日も日取りだったから、翌日もその人はまた吉公を連れて出た。；予定の日取りにすれば、ちょうど京都にはいっていていいころである。；ただ日取や時刻などの公的な通状がまだ達しられていないにすぎない。；しかしその日取りは、ご出席の皆様方でお決めになって結構と存じます。；後は諸卿を集めて会議を開き、即位の礼の日取りを決めるだけだった。；日取りはいつになるのか、どんな花嫁姿を披露してくれるのかと噂しあった。；日どりのことだつてあんたが来るのを待つてゐて決めたのよ。；こちらから出かけて行くから、日取りを知らせてよこせとのことであった。；結婚式の日取りも決まっていて、花嫁はもうとうに到着していたのです。；三年前の干魃のときに大雨乞いの日取りを決めたことがあったでしょう。；たしかな日取りは、まだわかりませんが、いずれにしてももうじきです。；そこでは連中の人たちが次の温習会の日取や席亭の相談をしていた。；もっとも、出発の日どりを教えられても、見送りにも行けはしなかったが。；私はこの事件を処理した後で退官することを言明し、その日取りも発表した。；三人娘の仮埋葬は昨夜のうちにすませたが、本葬の日取りは未定である。；結婚式の日取りを決めないまま、離婚訴訟の最終判決を待つこととなった。；そしてあとは教育部退隊の確定した日取りを待つだけのわれわれになっていた。；あとは運を天にまかせて、はっきりした返事を聞く日どりを決める。；尚後の話の都合上此八日と言ふ日どりを御記憶願つておく。；とりあえず結納の日取りをお前に伝えた振りをするとかどうだろう?；急に式の日取りがのびて、若い二人が住むとこ無くて困ってるってね。；そして二人が結婚の日取りまで打ちあわせはじめた頃、あの指令がきたのだ。；火葬の日取りと時刻は家族のすべての者の誕生日・時刻と同一であってはならない。；しかるにこの士官が予定してあった結婚の日取の一箇月前に突然辞職した。；最後に体操の先生から、宝鏡先生の出発の日取りや汽車の時刻が発表され。；夏も終わりにさしかかると、しきりに日取りのことを口に出しました。；母はその夜風呂にはいりながら、彼女に日どりのきまったことを話した。；母たちと弟は帰る日取りがほぼ同じになっていた。</t>
        </is>
      </c>
      <c r="J7150">
        <f>HYPERLINK("https://www.weblio.jp/content/日取り", "词义详情")</f>
        <v/>
      </c>
      <c r="K7150">
        <f>HYPERLINK("https://yourei.jp/日取り", "查看例句")</f>
        <v/>
      </c>
    </row>
    <row r="7151">
      <c r="A7151" t="inlineStr">
        <is>
          <t>独り言</t>
        </is>
      </c>
      <c r="B7151" t="inlineStr">
        <is>
          <t>成功</t>
        </is>
      </c>
      <c r="C7151" t="inlineStr">
        <is>
          <t>読み方：ひとりごと
室町中期の連歌論書。1冊。心敬著。応仁2年（1468）成立。連歌に関する著者の所感をつづる。</t>
        </is>
      </c>
      <c r="D7151" t="inlineStr">
        <is>
          <t>独り言みたい；独り言をぶつぶつ；独り言を申しまし；独り言を言い続け</t>
        </is>
      </c>
      <c r="E7151" t="inlineStr">
        <is>
          <t>独白；ひとり言；独言；一人言；一人口</t>
        </is>
      </c>
      <c r="F7151" t="inlineStr">
        <is>
          <t>半ば独り言；ブツブツと独り言；こんな独り言；なかば独り言</t>
        </is>
      </c>
      <c r="H7151" t="n">
        <v>29</v>
      </c>
      <c r="I7151" t="inlineStr">
        <is>
          <t>彼女に聞かせてはいるが、男が口にしているのは独り言のようなものだ。；それが質問なのか独り言なのか区別がつかず、僕はしばらく黙っていた。；ラムジーに向かって話しているというよりはむしろ独り言のようだった。；それで初めて私は大きな声で独り言を言い続けていたのだとわかった。；男に答える義理はないが、ほとんど独り言のような声で彼はこう告げた。；隣では、電話を終えた鈴木も独り言を口にしながら原稿に目を通している。；独り言が大変多いがこれは数百年の間誰も話す相手がいなかったからである。；馬を相手に独り言を言っていた生活では、経験したことのない事態だ。；頭を抑えて、 「少し脳がどうかしているんだ」と独り言の様に云った。；やっとそれが夫の独り言ではなく、私に言っているのだと気がついた。；彼は信じようとせず、あらゆる証拠を否定し、独り言を言い続けていた。；伯爵もそれを求めないところを見ると、独り言だったのかもしれない。；方は少しおくれていると、その一人が食いながら独り言をいうのである。；眉をひそめる黄泉川の耳に、まるで独り言のような言葉が聞こえてきた。；頭を抑えて、 「少し脳が何うかしてゐるんだ」と独り言の様に云つた。；ヘンな顔をして通りすぎる昔の僕のような視線にあいながらの独り言である。；車が動き出して、老人が窓の外を眺めながら、いきなり独り言を始めた。；中堅刑事の独り言を受けるかたちで、仕事熱心な若い刑事が口を開いた。；先輩は黙って、およそ説明になんかなっていない俺の独り言を聞いてくれた。；こうした考えにいたく心さいなまれたある晩のこと、彼女は独り言した。；「まあ、後にしよう」 太郎は独り言を言って、銀行に行くことにした。；そういえば妙な独り言を言ったりして、さっきから、ちょっと変だったが。；「二人で暮らしていたんだ」 と、フランソワは独り言のようにいった。；「中尉ではなくて大尉なら」沈黙を破って少佐が独り言のように言った。；監督は独り言をいうように、また次の言葉を発しなければならない。；試験の三日くらい前から、ときどき彼は独り言を言うようになった。；と例によって独り言で威張っていたが、その日の内に忘却してしまった。；ずっと孤独な作業を続けているせいか、独り言の癖がついてしまった。；独り言のように「美佐のやつは、まだ書いているのだろうか」なんてね。</t>
        </is>
      </c>
      <c r="J7151">
        <f>HYPERLINK("https://www.weblio.jp/content/独り言", "词义详情")</f>
        <v/>
      </c>
      <c r="K7151">
        <f>HYPERLINK("https://yourei.jp/独り言", "查看例句")</f>
        <v/>
      </c>
    </row>
    <row r="7152">
      <c r="A7152" t="inlineStr">
        <is>
          <t>ひとりでに</t>
        </is>
      </c>
      <c r="B7152" t="inlineStr">
        <is>
          <t>成功</t>
        </is>
      </c>
      <c r="C7152" t="inlineStr">
        <is>
          <t>［副］他からの力は加わっていないはずなのに、自然に。おのずから。「戸が—開いた」</t>
        </is>
      </c>
      <c r="D7152" t="inlineStr">
        <is>
          <t>ひとりでに動い(3%)；ひとりでに開い；ひとりでに動く；ひとりでに動き出し；ひとりでに閉じ</t>
        </is>
      </c>
      <c r="E7152" t="inlineStr">
        <is>
          <t>自然；勝手に；自動的に；自然に；おのずから</t>
        </is>
      </c>
      <c r="F7152" t="inlineStr">
        <is>
          <t>ひとりでに解け；ひとりでに湧い；ひとりでに涙が流れ；ひとりでに出る</t>
        </is>
      </c>
      <c r="H7152" t="n">
        <v>29</v>
      </c>
      <c r="I7152" t="inlineStr">
        <is>
          <t>きょうもここに立って通る人を見ていたらひとりでに涙が出て来ました。；僕があした来なかったら、ひとりでに一切の話が君の耳にはいるだろう。；ひとりでに命の絶える時が近づいた様に男がもの首はほそくなって居る。；中央室との仕切扉は自動装置らしく、二人が近づくとひとりでに開いた。；ただ足の方がひとりでに動いて、先へ先へと彼を運んでゆくのだった。；それもひとりでにそうなったことで、私はそれになんのかかわりもない。；戦場ではそれが生きた物のようにひとりでに飛び廻るという噂であった。；前の風船球も坊がしたのでない、ひとりでに飛んでいってしまったのね。；しかしどうかしていったん開いた後に、ひとりでに締ったかも知れない。；彼が出ると窓はひとりでに落ちて、弾機でしっかりしまってしまった。；ひとりでに目が覚めるときまで寝て、それから東京に行くつもりだった。；と思うと、知らぬ間に自分の咽喉から、ひとりでに大きな声が出て来た。；帰るつもりではなかったらしいが、足がひとりでに玄関に向いてしまった。；お前もそれがひとりでに分かるまでは何んとも云おうとしないように見えた。；その言葉は、わたしの意志ではなく、ひとりでに出てきたように思われた。；それを聞いているうちにひとりでに頭に入ってしまったのである。；泣いていると気がつかないのに、涙がひとりでにあふれていたのであった。；その部屋へ入ると、何の理由もなく、ひとりでに死に度くなって来るのだ。；この家は屋根が急勾配で、雪がひとりでに落ちていく仕掛けになっていた。；私は決して教えないのであるが、懸巣の方でひとりでに覚えるのである。；門を出ると、無念さが急にこみあげて来て、涙がひとりでに頬を流れた。；背なかから吹きつける風と雨とが、ひとりでにからだを前のほうに押した。；自分の言葉がどうひとりでに変わってくるか分からないのである。；水が低いところにつくように、ひとりでにこうなっていたのである。；俺はきっとひとりでに、君に対して妻たるべきを要求していたんだね。；自分の外側で自分とは無関係な事柄がひとりでに進行している感じだった。；市街戦のほうは、それより二日も前にひとりでに始まっていたからだ。；それを見ているうちに、ジレルはいつかひとりでに眼を吸い寄せられた。；ただ生きつづけていたら、ひとりでにある場所を抜けていたということが。</t>
        </is>
      </c>
      <c r="J7152">
        <f>HYPERLINK("https://www.weblio.jp/content/ひとりでに", "词义详情")</f>
        <v/>
      </c>
      <c r="K7152">
        <f>HYPERLINK("https://yourei.jp/ひとりでに", "查看例句")</f>
        <v/>
      </c>
    </row>
    <row r="7153">
      <c r="A7153" t="inlineStr">
        <is>
          <t>一人一人</t>
        </is>
      </c>
      <c r="B7153" t="inlineStr">
        <is>
          <t>成功</t>
        </is>
      </c>
      <c r="C7153" t="inlineStr">
        <is>
          <t>読み方：ひとりひとり
《「ひとりびとり」とも》
１多くの中のそれぞれの人。めいめい。各人。副詞的にも用いる。「—の自覚が大切だ」「—診察する」
２どちらかひとり。だれかひとり。
「思ひ定めて—に逢ひ奉り給ひね」〈竹取〉</t>
        </is>
      </c>
      <c r="D7153" t="inlineStr">
        <is>
          <t>一人一人違う；一人一人調べ；一人一人みな；一人一人紹介；一人一人呼び</t>
        </is>
      </c>
      <c r="E7153" t="inlineStr">
        <is>
          <t>それぞれ；個々；個別；各々；一つ一つ</t>
        </is>
      </c>
      <c r="F7153" t="inlineStr">
        <is>
          <t>たち一人一人；国民一人一人；選手一人一人；人間一人一人；彼ら一人一人</t>
        </is>
      </c>
      <c r="H7153" t="n">
        <v>29</v>
      </c>
      <c r="I7153" t="inlineStr">
        <is>
          <t>けれども、実際は一人一人にみんな同一のところをもつて居るのである。；一人一人の問題をある程度理解しているつもりなのに、うまく行かない。；知らない人間の一人一人が自分の命を狙っていると思ってもいいのに。；またベンチの中の声もよく聞こえ、選手一人一人の声も響き渡っていた。；帰りにさっきの崖を見ると真白な崖にスキーの跡が一人一人ついている。；女性にも一人一人の性格がある、ということを認めていると同じように。；彼はその難しい仕事を「教師一人一人の行うべき仕事」としてしまった。；一行三百名のこのロシア捕虜兵を一人一人登録するのは容易のわざでない。；組織がなければいかに多数でも、実質は一人一人にすぎないからである。；しかし一人一人の目を見つめながらの女王の強い意思に、国民も納得した。；今までのFPSの中でも一人一人の兵士の存在に力を入れられた作品。；彼はもし見られたら、その客車内の人達の顔を一人一人見たそうだった。；そしてかれら一人一人にそれぞれの神をわれわれの中から選ばせることにした。；一人一人顔を見ましたが、警告があった様子など影も形もなかったのです。；この向い側の部屋では、今オーゲが召使の一人一人を呼んで調べている。；しかし幸福な生活は国民一人一人が目指すべき手近な目標でありませう。；クラスの人数が多くとも児童一人一人の能力を伸ばす目的で考案された。；二人ずつで話し合っている連中もいるが、大ていは一人一人離れている。；やっぱり細かいところで一人一人のちがいはあるものと感服いたします。；一人一人がその前へ進み出て、自分のことを報告しなければならなかった。；そこで仕方がないので私は、偶然あった人々を一人一人考えて見た。；そうして私は人間がその生きて行く状態を一人一人に異にしているのを知った。；警部は数名の刑事を手許によんで、一人一人に秘密の命令を耳打ちした。；一人一人がみんな自分の国の者の声ではなかったと信じている。；女房たちも心細がって辛抱ができずに一人一人とお邸から出て行った。；人間の一人一人からいつでも無数の危機や魂の惨劇が飛出しそうになった。；ところがこの法林道場の中へ這入るとそれが一人一人みながやるんです。；ですから、この登場人物の一人一人に、具体的なモデルがあるわけです。；そして、町を通る人達の一人一人が自分の友達ででもあるやうに感じられた。</t>
        </is>
      </c>
      <c r="J7153">
        <f>HYPERLINK("https://www.weblio.jp/content/一人一人", "词义详情")</f>
        <v/>
      </c>
      <c r="K7153">
        <f>HYPERLINK("https://yourei.jp/一人一人", "查看例句")</f>
        <v/>
      </c>
    </row>
    <row r="7154">
      <c r="A7154" t="inlineStr">
        <is>
          <t>一人ぼっち</t>
        </is>
      </c>
      <c r="B7154" t="inlineStr">
        <is>
          <t>成功</t>
        </is>
      </c>
      <c r="D7154" t="inlineStr">
        <is>
          <t>孤独；孤；ひとりぼっち；天涯孤独；独りぼっち</t>
        </is>
      </c>
      <c r="H7154" t="n">
        <v>29</v>
      </c>
      <c r="I7154" t="inlineStr">
        <is>
          <t>そしてしまいにはだれでも自分と同様に一人ぼっちになってしまうんだ。；そしてしまいには誰でも自分と同様に一人ぼっちになってしまうんだ。；そして裸で震えている一人ぼっちな自分の魂しか残されていない。；それから七年間、一人ぼっちになった克子がどうやって生きて来たのか。；誰もいない一人ぼっちの部屋に振り子時計の音だけが鳴りひびいていた。；ここまで一人ぼっちで歩いてきて、そんな案内を見たことがないよ。；あたしをいつも一人ぼっちにして家のなかに閉じこめておくからじゃないの。；そして自分がまったくの一人ぼっちになっていることに気づいた。；一人ぼっちのこの土地で、あなたのような妹に会えてうれしく思います。；そして、どうかどうか、その時この子が一人ぼっちではありませんように。；一人ぼっちだったものも少数いるが、多くは親しい友人を持っていた。；すべての人から遠く離れて、この人生に一人ぼっちになったように感じられた。；まったく、あのときのぼくほど一人ぼっちになってしまった人があるだろうか?；そして彼女は、もう一人ぼっちでいることはないと彼に暗示したではないか。；すると彼は自分が一人ぼっちであることを、今こそひしひしと感じた。；観測ステーションには派遣されてきた研究員が一人ぼっちで暮らしている。；それならば、なぜミサキはあの病院に一人ぼっちで入院していたのだろうか。；ボガートが一人ぼっちのときにどんな姿をしているのか、誰も知らない。；そして、一人ぼっちでこの魔の部屋の恐怖を味わせようという訳なのだ。；彼は淋しく、一人ぼっちのような気がして、早く母のもとに帰りたかった。；彼はわたしを一人ぼっちにして、死にゆく人の元へ向かいました。；もしかすると両親は死んで、この子は一人ぼっちになったのかもしれないわ!；君は、僕がこの悪魔の巣へ一人ぼっちで乗り込んで来たと思っていたのかね。；一人ぼっちの少女は、上条が屋上にやってきても何の言葉も交わさない。；一人ぼっちだから不安なのではなく、自分が何も持っていなかったから不安だったのだ。；かれらは、自分たちの船を奪回したものの、一人ぼっちになっていた。；リビーは何よりもサラが去って一人ぼっちになることを恐れていた。；人類がこの宇宙で一人ぼっちじゃないと分かっただけでな。；一人ぼっちでいる姿に同情したのも、美人だからかもしれない。</t>
        </is>
      </c>
      <c r="J7154">
        <f>HYPERLINK("https://www.weblio.jp/content/一人ぼっち", "词义详情")</f>
        <v/>
      </c>
      <c r="K7154">
        <f>HYPERLINK("https://yourei.jp/一人ぼっち", "查看例句")</f>
        <v/>
      </c>
    </row>
    <row r="7155">
      <c r="A7155" t="inlineStr">
        <is>
          <t>独り身</t>
        </is>
      </c>
      <c r="B7155" t="inlineStr">
        <is>
          <t>成功</t>
        </is>
      </c>
      <c r="C7155" t="inlineStr">
        <is>
          <t>読み方：ひとりみ
１結婚していないこと。また、その人。どくしん。「—を守る」
２生活を共にする人のいないこと。ただひとりで生活を営んでいること。また、その人。</t>
        </is>
      </c>
      <c r="D7155" t="inlineStr">
        <is>
          <t>独り身であれ</t>
        </is>
      </c>
      <c r="E7155" t="inlineStr">
        <is>
          <t>独身；単身；一人ぼっち；一匹狼；独りぼっち</t>
        </is>
      </c>
      <c r="H7155" t="n">
        <v>29</v>
      </c>
      <c r="I7155" t="inlineStr">
        <is>
          <t>はっきりと聞いたことはないけれど、一定の考えがあって独り身でいる。；三つになる子を抱いて、彼女はそれからひとり身を立て夫の留守を守る。；殿方で三十五六で独り身だと云ふ方は、何かそれには訳がありませう。；しかし私とは正式に夫婦であったのに、その女には独り身だといっていたのだ。；つれあいも子供も御用の邪魔とばかりに、この年になってまだひとり身。；わたしはこの歳になるまでずっと独り身で、連れ合いも子供もおりません。；年は三十そこそこで、今は独り身だが、離婚の経験があるのだそうだ。；何か大仕事をするためには、若い女のひとり身では相手が信用してくれない。；独り身の女性ならきっと六〇ポンドほどの収入でかなり結構やっていけますから。；どうやら誕生直後のローマの市民の大部分は、独り身の男たちであったようである。；自分はもうひとり身になるのだから教えてくれと、訴えたんだ。；決して多くはないが、独り身には十分やって行けるだけの額だった。；独り身で旅をしていたエヴァンズには、付き添いの男性がいなかった。；独り身でいるよりは、戸籍ばかりでも女房子供がいたほうが格好はつくんですよ。；独り身の、身寄りもない老爺が、どんなことをしたって先は知れている。；作蔵はずっと独り身を通していた男とばかり思っていたのだ。；五十に近いヌアクだが、若い頃に妻を亡くして以来、独り身を通している。；本人は腕のいいセールスマンだったし、世話をする家族のない独り身だったんだ。；有島は、妻を亡くしたあと三人の子どものために独り身を押し通してきた。；男のしかめた眉や、闇の中の声を思い出しては麻也子はひとり身をよじる。；独り身で何度か引っ越しをしたせいで、所持品はほとんど残っていなかった。；その代償に、ひとり身の女の躯の淋しさをなぐさめることを求められた。；そうすれば、わたしは生涯ひとり身でいなければならなくなる。；独り身であればこそ、どこでどんな遊びをやったところで咎められる理由はない。；この通りまだ三十になったばかり、妻も側女もないひとり身じゃ。；その居室で、内蔵助はひとり身の廻りの整理を続けながら、ふと思った。；独り身になった朋子も同じことを考えるのではあるまいか。；結婚の予定があったのかもしれませんが、結局、独り身のままでわたしを育ててくれました。；ぼくが独り身でないこと位、女が知っていない筈はない。</t>
        </is>
      </c>
      <c r="J7155">
        <f>HYPERLINK("https://www.weblio.jp/content/独り身", "词义详情")</f>
        <v/>
      </c>
      <c r="K7155">
        <f>HYPERLINK("https://yourei.jp/独り身", "查看例句")</f>
        <v/>
      </c>
    </row>
    <row r="7156">
      <c r="A7156" t="inlineStr">
        <is>
          <t>雛</t>
        </is>
      </c>
      <c r="B7156" t="inlineStr">
        <is>
          <t>成功</t>
        </is>
      </c>
      <c r="C7156" t="inlineStr">
        <is>
          <t>読み方：すう
［人名用漢字］　［音］スウ（慣）　［訓］ひな　ひいな
〈スウ〉
１鳥の子。ひな。「育雛」
２子供。まだ一人前でない人。「雛妓(すうぎ)／鳳雛(ほうすう)」
〈ひな（びな）〉「雛形・雛鳥／女雛」</t>
        </is>
      </c>
      <c r="D7156" t="inlineStr">
        <is>
          <t>雛妓(5%)；雛ちゃん；雛浦さん；雛段；雛鶏</t>
        </is>
      </c>
      <c r="E7156" t="inlineStr">
        <is>
          <t>雛鳥；若鶏；鳥の子；ひな鳥；ひなどり</t>
        </is>
      </c>
      <c r="F7156" t="inlineStr">
        <is>
          <t>育雛；女雛；男雛；雛箪笥；雛吉</t>
        </is>
      </c>
      <c r="G7156" t="inlineStr">
        <is>
          <t>雛形；雛田；雛子；雛人形；雛壇</t>
        </is>
      </c>
      <c r="H7156" t="n">
        <v>29</v>
      </c>
      <c r="I7156" t="inlineStr">
        <is>
          <t>他にアフリカの農民は鶏の雛がこれを食べた場合に有害であると伝える。；一体あの雛を自分はこの家を出る時に再び持って行ったものかどうであろう?；ユリカモメの雛は小さく、他の鳥がひとのみにできてしまうほどである。；ことによるとあの巣の中には鶺鴒の雛は一つもいないのではあるまいか。；繁殖中はより敏感であり、危険を感じると雛や卵を放棄することもある。；ある小鳥の例では、雛は親が近づくと頭を上に向け、口を大きく広げる。；孵化直後の雛には昆虫を与えるが、ある程度成長すると植物質も与える。；子供が雛の御殿を作って二体飾るから二体なくてはならぬと考えたのである。；このお雛の父親の名が数衛で、村でもきたないので評判な髪ゆいでした。；僕はそのときあるいは鶏の雛を売って生計を立てているかも知れない。；彼はその雛の小さいのを一つ、松から揺り落して家の庭に持って来た。；今年は清子がいませんから加留多会もしませんし御雛様もないものですから。；人に馴れている個体の場合は雛から育てなくても手乗りになることも可能である。；それを聞きながら、父さんはお雛の背中で寢てしまふこともありました。；両側の山の斜には炭坑夫の長屋が雛段を見るように幾列も並んでいる。；もし雛っ子が病気にかかれば、母鳥のする仕事ははっきり決っています。；私の内には祖母が二人、それに継母が居たので、いくつかの雛を持っていた。；彼女も以前は竹本雛吉といって、やはり富子と同じ商売の人気者であった。；雛が幾群も幾群も、其下に出つ入りつ零れた米を土埃の中に猟つてゐた。；ごくわずかな例外を除くほとんどの鳥類で、両親ともに卵と雛の世話をする。；親鳥による雛の世話の期間と性質は、その分類目や種の間で大きく異なる。；この鳥は離れることなく雛を育てており、邪魔されると歯擦音を立てる。；さうすれば雛は何処へもやらずに、この儘大事にすることが出来る。；声だけで思うように表現できない雛は、蓮未の特別指導を受けることになった。；事件は今から七日前、娘のお春が三つの節句の雛を片附けた晩のことであつた。；雛は両親と餌を探すようになり、すぐに群れの中の他の雛と行動する。；雛は、親の口の中に頭を突っ込んで半消化した餌をもらって成長する。；たいへんに立派な作りの雛飾りであることは、僕にもわかった。；自分もいつか一度は夕雛さんと同じような悲しい目に逢うのではあるまいか。</t>
        </is>
      </c>
      <c r="J7156">
        <f>HYPERLINK("https://www.weblio.jp/content/雛", "词义详情")</f>
        <v/>
      </c>
      <c r="K7156">
        <f>HYPERLINK("https://yourei.jp/雛", "查看例句")</f>
        <v/>
      </c>
    </row>
    <row r="7157">
      <c r="A7157" t="inlineStr">
        <is>
          <t>日向</t>
        </is>
      </c>
      <c r="B7157" t="inlineStr">
        <is>
          <t>成功</t>
        </is>
      </c>
      <c r="C7157" t="inlineStr">
        <is>
          <t>読み方：ひなた
１《「日の方(かた)」の意から》日光の当たっている場所。⇔日陰。
２物事の表面。表側。「陰—のない人」</t>
        </is>
      </c>
      <c r="D7157" t="inlineStr">
        <is>
          <t>日向守(5%)；日向家；日向ちゃん；日向ぼつ；日向国内</t>
        </is>
      </c>
      <c r="F7157" t="inlineStr">
        <is>
          <t>大日向；蔭日向；戦艦日向；陰になり日向；建日向</t>
        </is>
      </c>
      <c r="G7157" t="inlineStr">
        <is>
          <t>日向ぼっこ；日向灘；日向市；日向伊東氏；日向台</t>
        </is>
      </c>
      <c r="H7157" t="n">
        <v>29</v>
      </c>
      <c r="I7157" t="inlineStr">
        <is>
          <t>真琴は日向に惹かれていき、彼の傍で力になりたいと考えるようになる。；変わりに変わった日向家でのさらにへっぽこな日々が続くことになる。；二次予選では日向や岬らも戻り、圧倒的攻撃力を得たチームを率いた。；よって日向の文化はそれらよりも遅れて伝わったと考えられる。；比較的乾燥したところに生え、日向や人家の石垣などに出ることも多い。；真琴は日向の元に向かい、お互いに相手のために変わろうと決意する。；それでも、伊勢、日向ではこれを急降下爆撃の回避に有効に使っている。；娘で各種アイテム開発のプロであるからくり博士の日向おぼろの下に逃れた。；以後、作中で日向のTシャツは誤字を訂正されることなく描かれている。；天然と呼ばれる先の読めない性格であり、言動は日向劇場と呼ばれている。；また、炉の燃料には、主に日向や肥後の木炭を用いたという記録がある。；また、日向家はさまざまなギミックが仕掛けられた要塞になっている。；こうして四郎のと日向家族の忘れられない夏が始まる。；富貴子が小日向家を追われてから、美輪子はずっと部屋に閉じ籠っていた。；日向家の人々の名前には必ず季節名が入っている。；部屋を出ていった真琴は、偶然朝比奈と再会して日向のことを語り合う。；別の場所にいた百足は呼び寄せられて殺され、五百枝と日向は監禁された。；全国的に見ても比較的早い時期、日向諸藩では最初の藩校開設である。；ただしこの件で日向がなにかしらの咎を受けた記録は無い。；本町の八月踊りも、日向から伝わったこの盆踊り系の手踊りと指摘される。；また得点能力も高く、ワールドユース編では翼、日向に次ぐ得点を上げた。；更にその後2001年から2004年までは全日程を日向で実施した。；ペンネームであった日向翔の名をとった日向過渡期世界論とよばれた。；真琴は日向を傍で支えたいと思うようになっていた。；しかし、日向の嵐山の異名を取ったのは以下のような背景がある。；そして大金を娘に与え、まず日向に行き父親に直接会って金を渡してくることを許す。；忠久は1197年に薩摩・大隅にあわせ日向の初代守護職に任じられた。；義幹の晩年に造立された日向廃寺は、多気の地の繁栄を示すものであった。；故郷の日向市観光大使に就任している他、日向文化賞を受賞している。</t>
        </is>
      </c>
      <c r="J7157">
        <f>HYPERLINK("https://www.weblio.jp/content/日向", "词义详情")</f>
        <v/>
      </c>
      <c r="K7157">
        <f>HYPERLINK("https://yourei.jp/日向", "查看例句")</f>
        <v/>
      </c>
    </row>
    <row r="7158">
      <c r="A7158" t="inlineStr">
        <is>
          <t>雛祭り</t>
        </is>
      </c>
      <c r="B7158" t="inlineStr">
        <is>
          <t>成功</t>
        </is>
      </c>
      <c r="C7158" t="inlineStr">
        <is>
          <t>読み方：ひなまつり
3月3日の上巳(じょうし)の節句に、女児のある家で雛人形を飾り、菱餅・白酒・桃花などを供えて祝う行事。けがれ・災いを人形(ひとがた)に移しはらおうとする風習が起源とされる。雛遊び。ひいなまつり。《季春》「花咲かぬ片山陰も—／一茶」</t>
        </is>
      </c>
      <c r="H7158" t="n">
        <v>29</v>
      </c>
      <c r="I7158" t="inlineStr">
        <is>
          <t>雛祭りの日とはなになのか、そのときの僕はまだ知らなかった。；それはそれとして、此処では斯んな雛祭りの夜の思ひ出から誌すのだ。；それが3月3日であったことが、今日の雛祭りの始まりとされる。；雛祭りを手伝いに来た親戚の人たちといっしょに、僕は昼食を食べた。；後者でいえば東京の雛祭りがそうだが、多くの地方では未だに旧暦で行っている。；雛祭りには、此が出なければならなかつたのである。；年中行事としての雛祭りは江戸時代までには定着したとされる。；雛祭り前の日曜日だから、娘と孫が食事にやってきたのだ。；本守神社には、もともと雛祭りに縁のある神事が行われていた形跡はありません。；・・・しかしお正月には、お屠蘇があるし、雛祭りには、甘酒がでるのだ。；わたしの家の近くの神社で、雛祭りをやるんです。；そんなに普遍的な現象なのか、一ヶ月遅れの雛祭りというのは。；何故此が、雛祭りに持ち出されるのか、其には理由があると思ふ。；北海道当別町では雛祭りの期間中につるし飾りを展示公開している。；以後は雛祭りの前に皇室への納入を行うようになった。；初めは儀式ではなく遊びであり、雛祭りが「ひなあそび」とも呼ばれるのはそのためである。；掲示板では雛祭りのことが話題になってました。；観光客は古い町並みと雛祭りを楽しむこの地域の春の一大イベントとなっている。；この日いわゆる雛祭りのため、在府の諸侯は祝賀へ総登城することになっていた。；日本の雛祭りイベントの発祥の地ともいわれる。；三月三日でも梅沢君に雛祭りをするような女の子はない。；東京などでも三月に室咲きの桃の花を求めて、雛祭りをするのをわびしいと思う者がある。；ただし、大型の金華糖を作る菓子屋は減り、雛祭り用に小型のものが作られている。；屋敷の広間で姉の雛祭りが行われている。；雛祭りは、女子の幸せや健やかな成長を願う祭りとされる。；雛祭りの夜、彼女が僕の耳のなかに囁いた英語が僕におよぼした、決定的な影響ではないか、と僕は思っている。；そのためサイン以外のイラストが、それぞれバレンタイン、雛祭りとなっていた。；香川県の宇多津町などでは、雛祭りに菱餅と共に餅花を作って家に飾る。；一年に一度、わが家で開く日本学科の雛祭りパーティも、今度の家なら全員入ります。</t>
        </is>
      </c>
      <c r="J7158">
        <f>HYPERLINK("https://www.weblio.jp/content/雛祭り", "词义详情")</f>
        <v/>
      </c>
      <c r="K7158">
        <f>HYPERLINK("https://yourei.jp/雛祭り", "查看例句")</f>
        <v/>
      </c>
    </row>
    <row r="7159">
      <c r="A7159" t="inlineStr">
        <is>
          <t>避難</t>
        </is>
      </c>
      <c r="B7159" t="inlineStr">
        <is>
          <t>成功</t>
        </is>
      </c>
      <c r="C7159" t="inlineStr">
        <is>
          <t>読み方：ひなん
［名］(スル)災難を避けること。災害を避けて、安全な場所へ立ちのくこと。「川が増水したので高台に—する」「緊急—」「—訓練」</t>
        </is>
      </c>
      <c r="D7159" t="inlineStr">
        <is>
          <t>避難する(12%)；避難者(4%)；避難所(4%)；避難させる(3%)；避難先(2%)</t>
        </is>
      </c>
      <c r="E7159" t="inlineStr">
        <is>
          <t>保護；安全；防衛；守り；守護</t>
        </is>
      </c>
      <c r="F7159" t="inlineStr">
        <is>
          <t>安全な避難；避難地；避難情報；一時避難；避難対象</t>
        </is>
      </c>
      <c r="G7159" t="inlineStr">
        <is>
          <t>避難所；避難場所；避難小屋；避難指示；避難勧告</t>
        </is>
      </c>
      <c r="H7159" t="n">
        <v>29</v>
      </c>
      <c r="I7159" t="inlineStr">
        <is>
          <t>地下から地上への避難も2方向から地上へ出ることができる構造とした。；もう1つの非常口は炎の熱と避難する人々の重さに耐えきれず崩壊した。；また、一部出版社が詳細な災害時避難用の地図を販売していることもある。；政府はこれを否定したものの、は避難を否定する根拠はないとした。；住宅は損壊したが、住人は揺れの直後に外に避難していて無事だった。；避難方向の解りやすさ、二方向以上に避難路を確保する概念を重視した。；前述の通り幸いにも住民は避難を終えており、死傷者は1人もいなかった。；それから数年たったある嵐の夜、立派に育ったメイが山小屋に避難した。；メイは慌てて部屋に避難するが、つむじ風も部屋の中に入ってきてしまう。；村は一晩のうちに大湖水になり、老夫婦は避難し他の村で幸福に暮らしたという。；JAPANの避難情報のページでは オレンジ色系統を使用していた。；時には災害時に、この建物と境内は避難所として使用されることもある。；避難先の生活の中で八百屋の娘・八百屋お七は、寺の小姓と恋仲になる。；後方に避難する途中でランチの機関が暴走してしまい最前線に出てしまう。；有岡城の西に位置する甲山には、近辺の百姓が小屋を作って避難していた。；肥料を与える栽培法はより集中的に行われていたし、避難の要因になったのだろう。；槙は8万人規模では、災害などで避難誘導するのは難しいことを訴えた。；いずれの行為も、火事場の混雑を招き、避難の障害になるためであった。；カーリー女神は、彼が避難できる唯一のところであったと述べている。；基本的に火災時の避難には使用しないことと表示されている。；同志らは秋瑾に一時避難するよう勧めたが、秋瑾は大通学堂に留まった。；JAPANの避難情報のページでは 黄色系統を使用していた。；窓は当該箇所が開閉可能となっていて、非常時はそこが避難口となる。；庭には避難してきたお七の家の家財道具が並べられている。；たとえば避難命令の時点では、食料は避難者が持参するものとされていた。；家族は事前にドイツへ避難していたため無事だった。；必ずしも避難所のように避難生活をする施設としての位置づけはない。。；現場から避難したのはその後で、数十分が経過していた。；爆撃を受けた被害者の多くは避難をしなければならなかった。</t>
        </is>
      </c>
      <c r="J7159">
        <f>HYPERLINK("https://www.weblio.jp/content/避難", "词义详情")</f>
        <v/>
      </c>
      <c r="K7159">
        <f>HYPERLINK("https://yourei.jp/避難", "查看例句")</f>
        <v/>
      </c>
    </row>
    <row r="7160">
      <c r="A7160" t="inlineStr">
        <is>
          <t>非難</t>
        </is>
      </c>
      <c r="B7160" t="inlineStr">
        <is>
          <t>成功</t>
        </is>
      </c>
      <c r="C7160" t="inlineStr">
        <is>
          <t>読み方：ひなん
［名］(スル)人の欠点や過失などを取り上げて責めること。「不実な態度を—する」</t>
        </is>
      </c>
      <c r="D7160" t="inlineStr">
        <is>
          <t>非難する(15%)；非難される(4%)；非難しよ；非難声明；非難攻撃</t>
        </is>
      </c>
      <c r="E7160" t="inlineStr">
        <is>
          <t>攻撃；批判；拒否；撤退；不満</t>
        </is>
      </c>
      <c r="F7160" t="inlineStr">
        <is>
          <t>強く非難；激しい非難；厳しく非難；公然と非難；強い非難</t>
        </is>
      </c>
      <c r="H7160" t="n">
        <v>29</v>
      </c>
      <c r="I7160" t="inlineStr">
        <is>
          <t>グルジアはクーデター勢力がロシアの支援を受けていたと非難している。；また、東西お互いに相手を非難するプロパガンダ放送を流し合っていた。；同委員会またはある特定ジャンルの大部分を無視していることで非難されている。；これらの論文は両方とも自身の結果に基づいてもう1人を非難した。；それに白秋の生活を金銭的に支えて来た弟らが反発し、章子を非難する。；当初から、災害の大きさを予測できなかったという政府への非難があった。；しかし、西側の政府の大半が選挙にあからさまな不正があったと非難した。；彼はや、南アフリカ放送協会のような親政府的な報道機関から非難された。；ブーシェも晩年はその絵画だけではなく、人格も非難されるようになった。；とくに絵画の修復時に過度なまでに手を入れているという非難が多い。；やがて張魯配下の楊白らは、馬超の能力を非難するようになったという。；アメリカの民衆は衝撃を受け、ヨーロッパ大陸の指導者らはこれを非難した。；もし、そうでないと、私はあなたの大言壮語を一層非難するであろう。；この苦痛を伴う方法は、参政権論者や医療専門家から非難を浴びた。；この報道は、再びユダヤ系グループの反発を招き、大きな非難を受けた。；非難の嵐から逃げるようにディズレーリはフランス・イタリアの諸都市の旅に出た。；また、ドイツ出身のアレクサンドラ皇后を非難する人々も現れ始めた。；イギリスは同意したが、ソ連は日本が条件をつけようとしていることを非難した。；新聞も国内外問わず大半がカミングの味方でバーティは再び非難の的となった。；たしかに男子の声なりとも云ひ難けれども、婦人の声とは思はれずと云へり。；一度は夜天に非難されたが夜天が審査に参加した最終審査に合格する。；このためキュロス2世はギリシア人の市場制度を理解せず、非難した。；別件逮捕の手段としても用いられるためこれを非難する意見がある。；すなわち刑罰・損害賠償・非難に対応し、出来事の後に発生する責任である。；兵糧が尽きた十字軍・ビザンツ海軍は遠征の失策をお互い非難しあった。；これについてWHATWGのがW3C側を強く非難する事態となっている。；しかし、セルビア社会党は当該儀式を非難するコメントを発表している。；晩年にはまた、多数のアフリカの指導者たちを非難した。；それを釈明するとなれば、他のノルドール族を非難することになるからである。</t>
        </is>
      </c>
      <c r="J7160">
        <f>HYPERLINK("https://www.weblio.jp/content/非難", "词义详情")</f>
        <v/>
      </c>
      <c r="K7160">
        <f>HYPERLINK("https://yourei.jp/非難", "查看例句")</f>
        <v/>
      </c>
    </row>
    <row r="7161">
      <c r="A7161" t="inlineStr">
        <is>
          <t>皮肉</t>
        </is>
      </c>
      <c r="B7161" t="inlineStr">
        <is>
          <t>成功</t>
        </is>
      </c>
      <c r="C7161" t="inlineStr">
        <is>
          <t>読み方：ひにく
［名・形動］
１皮と肉。また、からだ。
「六尺の—と共に夜半の嵐に吹き籠めて」〈樗牛・滝口入道〉
２うわべだけなこと。また、そのさま。皮相。
「年を取るに連れて趣味が—になって行くんだね」〈谷崎・蓼喰ふ虫〉
３遠まわしに意地悪く相手を非難すること。また、そのさま。当てこすり。「辛辣(しんらつ)な—を言う」「—な口調」
４期待していたのとは違った結果になること。また、そのさま。「—なめぐりあわせ」
[派生]ひにくさ［名］</t>
        </is>
      </c>
      <c r="D7161" t="inlineStr">
        <is>
          <t>皮肉なこと(9%)；皮肉っぽく(3%)；皮肉屋(3%)；皮肉っぽい(2%)；皮肉たっぷり</t>
        </is>
      </c>
      <c r="E7161" t="inlineStr">
        <is>
          <t>風刺；嫌味；諷刺；厭味；嫌み</t>
        </is>
      </c>
      <c r="F7161" t="inlineStr">
        <is>
          <t>痛烈な皮肉；皮肉な話；皮肉な眼；皮肉まじり；辛辣な皮肉</t>
        </is>
      </c>
      <c r="G7161" t="inlineStr">
        <is>
          <t>皮肉る；皮肉り；皮肉の引用符；皮肉過程理論；皮肉記号</t>
        </is>
      </c>
      <c r="H7161" t="n">
        <v>29</v>
      </c>
      <c r="I7161" t="inlineStr">
        <is>
          <t>皮肉な事に、これが長年彼が心の中で望んでいた朝鮮解放の瞬間であった。；再評価の動きがあらわれたのは、皮肉にも竹林自身の死が契機であった。；しかし、現地での扱いは皮肉にもエクリプスと完全に同一視されていた。；それはゲームそのものの存在を否定しかねない皮肉なものである。；一部の人々は、このような現状は不幸であり皮肉であると考えている。；ネットでの反応はCCTVに対する皮肉や批判的な意見が大半を占めた。；命名慣習からすれば逆が正しいように思えるのだが皮肉な話である。；しかし、この独自の生態が後述する種の危険に皮肉にも作用している。；皮肉な事にこのロケットはいくつかのアメリカの衛星も打ち上げている。；皮肉にも、さよなら運転などは故障ということもあって行われなかった。；皮肉にも最後まで食い下がったのは最早優勝が絶望的なツェーレだった。；やがて男女の恋の方位図が狂っていき、彼らに皮肉な恋の結末が訪れる。；しかし、皮肉にもゴルバチョフの鉄の歯はグロムイコ自身にも向かった。；皮肉にもこのことがハプキドーの国際的な普及を促進することになる。；同時に参加していたのは皮肉にも星野率いるインパルレーシングであった。；皮肉屋でもあり、相手が聞いたら厄介で薄情だと思われる物言いをする。；柳井はその人気ゆえに敗北を重ねると言った、皮肉な結果を生んでいる。；早く開通しながら早く廃止になったのはまさに皮肉であった。；皮肉にも父・角栄の死去から丁度19年になる命日での出来事であった。；ところが皮肉にも、彼の復位を助けたのは宿敵・オスマン帝国であった。；大佐藤が逃亡する姿を映したテレビ放送は皮肉にも高視聴率を獲得した。；彼の詩は皮肉や風刺を用いて市民の不安を表現するような社会批判的なものが多い。；なお、アストルフォが月に行くエピソードは一種の皮肉となっている。；しかし皮肉にもこの年は多くのライダーが怪我に苦しんだシーズンであった。；皮肉なことに、時代の転換点を自らの死で演じた人物といえる。；皮肉なことに、今日では彼のオリジナル作品の贋作が出回るほどである。；皮肉にもロバーツが死んだとき多くの乗組員は酔いつぶれていたのである。；皮肉にも、この時には性犯罪者を帝国から追放する措置もとっている。；しかし、この暴飲暴食が皮肉にも死を早めてしまう結果になってしまった。</t>
        </is>
      </c>
      <c r="J7161">
        <f>HYPERLINK("https://www.weblio.jp/content/皮肉", "词义详情")</f>
        <v/>
      </c>
      <c r="K7161">
        <f>HYPERLINK("https://yourei.jp/皮肉", "查看例句")</f>
        <v/>
      </c>
    </row>
    <row r="7162">
      <c r="A7162" t="inlineStr">
        <is>
          <t>皮肉る</t>
        </is>
      </c>
      <c r="B7162" t="inlineStr">
        <is>
          <t>成功</t>
        </is>
      </c>
      <c r="C7162" t="inlineStr">
        <is>
          <t>読み方：ひにくる
［動ラ五（四）］《名詞「ひにく（皮肉）」の動詞化》皮肉を言う。「現代社会を—・った映画」
[可能]ひにくれる</t>
        </is>
      </c>
      <c r="D7162" t="inlineStr">
        <is>
          <t>からかう；揶揄する；いじる；構う；ふざける</t>
        </is>
      </c>
      <c r="H7162" t="n">
        <v>29</v>
      </c>
      <c r="I7162" t="inlineStr">
        <is>
          <t>時の権力にたかって、その金で遊び、権力を皮肉っているようなものだ。；前述の王が夕食会に出席する場面では、当時の俳優が何人も皮肉られている。；四六時中、女性のことを考えているイタリア男性を皮肉った小話である。；私は、屋敷の智謀を皮肉り、暗室の方もうまくいったのだろうと言った。；以上のことを、ある新聞を皮肉った語戯だと考えないでいただきたい。；自分たちが全米で露出され過ぎていることを皮肉って名付けたという。；隣の帳簿が見えるくらい、とはその密集加減を皮肉って言われる言葉だ。；これに応えてブルースの音楽家達はその音楽の中で説教師達を皮肉った。；ユウェナリスが次のように皮肉ったのは多分メトヂストの創始者だろう。；明らかに直次郎を皮肉っての言葉だったが、直次郎は腹が立たなかった。；かつて敵であった時氏が大勢力を保持したまま帰順したことが皮肉られたと思われる。；それを痛烈に皮肉った作品ができないものかと考えてのメモである。；杉山から金を出してもらっていることを皮肉られた、と思ったのかも知れない。；教養のないタラではあったが、皮肉られていることぐらいはわかった。；ウィリアム・シェイクスピアは英語の綴りと発音の間の相違を皮肉った。；昨日など採血のあと、「ヤクルトでも飲みますか」と皮肉られたほどだ。；さて、あたしにできるのは待つことだけね、とヘルヴァは皮肉っぼく考えた。；開幕ダッシュに失敗した巨人を皮肉る見出しがぼんやりと目に映った。；だから、 役人の子はにぎにぎをよく覚え と皮肉らざるをえなかったわけだ。；さらに「玄人がやって、今の行政や政治の状況ですから」と皮肉った。；その美しさが、ゆみ子の勘違いを皮肉っているように眼に映ってきた。；砲兵隊の兵士も民間人を標的とする上級司令部の命令を皮肉っていた。；ユウェナリスが次のように皮肉ったのは多分方法学派の創始者だろう。；それは言葉で皮肉られるよりも、むしろ腹の立つ仕打ちであった。；作者はきっと富農を皮肉ってやりたかったんだべえが、うまく行かなかったネ。；だからみんな喜んでいるよ、と皮肉りたくなったときもある。；メリエスはその後も宗教を皮肉った映画をいくつも製作した。；一部、化学物質が生物に与える影響を皮肉った内容となっている。；なんて抜け目無いと志貴を皮肉りながら、キャスターは鎖を打ち続ける。</t>
        </is>
      </c>
      <c r="J7162">
        <f>HYPERLINK("https://www.weblio.jp/content/皮肉る", "词义详情")</f>
        <v/>
      </c>
      <c r="K7162">
        <f>HYPERLINK("https://yourei.jp/皮肉る", "查看例句")</f>
        <v/>
      </c>
    </row>
    <row r="7163">
      <c r="A7163" t="inlineStr">
        <is>
          <t>日にち</t>
        </is>
      </c>
      <c r="B7163" t="inlineStr">
        <is>
          <t>成功</t>
        </is>
      </c>
      <c r="C7163" t="inlineStr">
        <is>
          <t>読み方：ひにち
１日。何日と表される、その日。また、期日。「同窓会の—を決める」
２日数。ひかず。「締め切りまでもう—がない」</t>
        </is>
      </c>
      <c r="D7163" t="inlineStr">
        <is>
          <t>日にちごと；日にちなみ</t>
        </is>
      </c>
      <c r="E7163" t="inlineStr">
        <is>
          <t>日；年代；年月；デート；月日</t>
        </is>
      </c>
      <c r="H7163" t="n">
        <v>29</v>
      </c>
      <c r="I7163" t="inlineStr">
        <is>
          <t>自分は時間のほうは覚えていたが、日にちのほうを忘れてしまった。；事故を境に日にちや時間の感覚がすっかり狂ってしまったのだと改めて思う。；最後に生理があったのはいつだったか、正確な日にちがわかりますか?；彼女が間もなく死去したことは確かであるが、正確な日にちは判明していない。；連中はそこを通って、告げられた日にちにそれぞれの氏神社に現れる。；また、一度選んだフレンドは日にちが変わるまで再び選ぶことができない。；ええっと、正確に日にちは覚えていないけど、二週間くらい前だったよ。；六本木で美鎖が大ケガをしたときから、たいして日にちは経っていない。；なぜ日にちをさかのぼらねばならなかったのかその理由は現在もわかっていない。；おれが三人を捕らえてから、まだそれほど日にちが過ぎているわけではない。；正確な日にちは定かではないが、2008年春頃にリニューアルされた。；日にちも不確定なので、この時期には十五日ほど、彼らは居座るらしい。；「日にちが都合悪いのなら、別の日でもいいんだよ」と男も引かない。；日にちを数えても空しくなるので、数えないようにしているけれど。；日にちに多少の揺らぎはあっても、月が変わることはほとんどない。；日にちが経てば、それだけ捜査が困難になるのは自明の理ではないか。；現在ではこの日にちがクラブの創設日とされている。；作業現場に落着くまでに、それくらいの日にちがかかる場合の用意だ。；セ・ネドラはあと一年ほどで十六になるが、その日にちは広く皆に知れわたっている。；ここ数日間、日にち勘定が合わなくなり、頭の中で混乱をきたしていた。；その子どもと自分の産んだ子どもは二週間ほどしか日にちが違わない。；だんだん日にちの感覚がなくなって、頭がぼんやりしてきた。；しかも無駄に日にちをかければまた不法投棄のダンプが来るかもしれない。；イギリスで日付を書くのに番号よりも月の名称を使う場合、最近の標準は日にちが月の前にある。；オネカは931年、正確な日にちは不明であるが6月ごろに死去した。；天吾は自分の小説を書くことに夢中になって、日にちの感覚をなくしていた。；わずかの日にちだが、あなたは、ここを足場にし、電話を只で使った。；取材に着手する時点では余裕があると思ったのに、日にちはぐんぐん過ぎて行く。；それからしばらく日にちが経つて、東京から軍隊が到着しました。</t>
        </is>
      </c>
      <c r="J7163">
        <f>HYPERLINK("https://www.weblio.jp/content/日にち", "词义详情")</f>
        <v/>
      </c>
      <c r="K7163">
        <f>HYPERLINK("https://yourei.jp/日にち", "查看例句")</f>
        <v/>
      </c>
    </row>
    <row r="7164">
      <c r="A7164" t="inlineStr">
        <is>
          <t>ひねる</t>
        </is>
      </c>
      <c r="B7164" t="inlineStr">
        <is>
          <t>成功</t>
        </is>
      </c>
      <c r="C7164" t="inlineStr">
        <is>
          <t>読み方：ひねる
［動ラ五（四）］
１指先でつまんで回す。「スイッチを—・る」「コックを—・る」
２からだの一部をねじって向きを変える。「腰を—・る」「足首を—・って痛める」
３ねじって回したり、締めたりして殺す。「鶏(とり)を—・る」
４つねる。「ほっぺを—・る」
５いろいろと悩みながら考えをめぐらす。「対策に頭を—・る」
６わざと変わった趣向や考案をする。「—・った問題を出す」
７苦心して俳句や歌などを作る。「一句—・る」
８簡単に負かす。かたづける。「相手投手に軽く—・られる」
９金銭を紙に包む。「心付けを—・って渡す」
→捩(ねじ)る［用法］
[可能]ひねれる</t>
        </is>
      </c>
      <c r="D7164" t="inlineStr">
        <is>
          <t>曲げる；ねじる；折り曲げる；くねらせる；歪ませる</t>
        </is>
      </c>
      <c r="H7164" t="n">
        <v>29</v>
      </c>
      <c r="I7164" t="inlineStr">
        <is>
          <t>しかも彼は頭をひねってその紹介の言葉に変化をつけるようにしたのだ。；わたしは、この仕事を担当した技師が首をひねったことを知っています。；いったいなんのことだろうと首をひねっていると、ゆき江が帰ってきた。；この事実を初めて発見した時にはさすがの私も首をひねらせられた。；後に残されたエイは、手の中の物をしげしげと眺めてから首をひねった。；その本体はあなたに首をひねらせたずっと北の建物に保存されていた。；本当に半年以内の写真だろうか、とちょっと首をひねるほど若く見える。；彼はスイッチの一つをカチッとつけると、また別のスイッチをひねった。；考えてもわからないので、あなたは首を振るか、首をひねるかしました。；彼らも日本に来てホテルにテレビがあればスイッチをひねるらしい。；キャラクターは実在のJリーグの人気選手の名前をひねったものである。；しかるに原口さんが突然首をひねって、女にどうかしましたかと聞いた。；ガーギのひねった足の上に、重い枝がのっていて、抜けなくなっていた。；もし税務署がみつけたら、これは何だろうと首をひねることになります。；そのころ三吉と大辻とは、理科大学の新築場に立って首をひねっていた。；そのとき、何度か首をひねったのは、登場人物同士の会話の調子であった。；民衆は、この奇妙な代物がなんのために作られるのかと首をひねった。；思わず身をひねって岩に背を当てると、頭の上から白いものが落ちた。；開けたい時は側面に描いてある御所車の金具を指でこう押してひねるんや。；調査局員たちはこの奇妙なテープを前にしてただ首をひねるばかりだった。；少女は走る足を止めずに腰を回して身をひねるように背後を見据える。；ベスポルトによってひねられていた腕は、折れているようにすら見えた。；わたしたち二人はその日一日、いろいろと頭をひねって考えました。；彼の背中に片手をまわし、上体をひねって彼に顔を寄せ、彼の手を取った。；何度もラジオのスイッチをひねろうとしたが、途中で手が止まった。；「男が二人襲われてるのも分からないな」蔦矢もリストを見て首をひねる。；犯人の正体を知らない優子は、ただ心の中で首をひねるばかりである。；おそらくここの書生の連中だったら手もなく君にひねられただろう。；これは2009年10月9日の練習中に膝をひねった事が原因とのこと。</t>
        </is>
      </c>
      <c r="J7164">
        <f>HYPERLINK("https://www.weblio.jp/content/ひねる", "词义详情")</f>
        <v/>
      </c>
      <c r="K7164">
        <f>HYPERLINK("https://yourei.jp/ひねる", "查看例句")</f>
        <v/>
      </c>
    </row>
    <row r="7165">
      <c r="A7165" t="inlineStr">
        <is>
          <t>日の入り</t>
        </is>
      </c>
      <c r="B7165" t="inlineStr">
        <is>
          <t>成功</t>
        </is>
      </c>
      <c r="C7165" t="inlineStr">
        <is>
          <t>読み方：ひのいり
夕方、太陽が西に沈むこと。また、その時。天文学では、太陽の上縁が西の地平線に沈みきった瞬間。日没。⇔日の出。</t>
        </is>
      </c>
      <c r="D7165" t="inlineStr">
        <is>
          <t>日の入り前(3%)；日の入り後(3%)；日の入り方</t>
        </is>
      </c>
      <c r="E7165" t="inlineStr">
        <is>
          <t>夕方；暮れ；夕；夕刻；夕暮れ</t>
        </is>
      </c>
      <c r="H7165" t="n">
        <v>29</v>
      </c>
      <c r="I7165" t="inlineStr">
        <is>
          <t>そのため日の出前または日の入り後の一定の時間しか地球からは見えない。；体の中の時計が、日の出と日の入りとを、日に百遍も繰り返しているのだ。；また古代では、しばしば日の出や日の入りの間を等分する方法もとられた。；それに日の入りと共にいやな南風も西へ回って空の色がよくなった。；夏の遅い日の入りがゆっくりと迫り、空は静かに明るさを失い始めていた。；日の出・日の入りの時刻は、太陽の上端が地平線と重なった瞬間とする。；同様に、夜は短く、日の出・日の入りの方角はわずかに南寄りになる。；日の入りは県がアンダマン海に面していることを示している。；日の入りは毎日変わってゆくから、こちらの時計は毎日少しずつ変えてゆかなければならない。；それを日の入りには川へ流すのが例になっていた。；これに加え、文字盤の中央から太陽までの距離は日の出と日の入りの時刻を示している。；地球と同じように春分などの季節があり、日の入りや夏の日照時間なども同様に変化する。；夜は日の入りから翌朝の日の出までをやはり六等分して夜の一刻が定められる。；魚釣りにいちばんいい時刻は、日の出か日の入りかはげしい雨のあとなのだ。；一年中で一番目の長い季節ではあったが、ちょうどこのとき大久保町は日の入り時刻を迎えた。；なお、日の出や日の入りに宗教的な意味合いを持たせる例もある。；一般的には、日の出の約30分前と日の入りの約30分後が、昼と夜の境とされた。；朔の時の月の出は日の出とほぼ同じ時刻であり、満月の時は日の入りとほぼ同じ時刻となる。；私達はその山の展望岩のところへ来て日の入りを待った。；此夜明けには止むだろう、此日の入りには止むだろうも皆空だのみであった。；冬至の日にはこの日の出・日の入りの方角が最も南寄りになる。；夏至の日にはこの日の出・日の入りの方角が最も北寄りになる。；一年のうちで、もっとも昼間の長い頃だし、福岡は東京に比べて確実に日の入りが遅い。；冬至の日には、ここにある全てのモアイが、日の入りに正対する。；すなわち、日の出は太陽が少しでも姿を現した時であり、日の入りは太陽が完全に隠れた時となる。；日の出・日の入りのたびに、何か妙なことが起こるので、この時刻はわれわれの悩みの時になりつつある。；こうして日の出と日の入りの速度が鈍化したのは、起潮力が失われてしまったのだと判断した。；東京あたりにくらべると、このへん日の入りがだいぶん遅いですからね。；ことにこのへんは東京にくらべるとだいぶん日の入りがおそいのではないか。</t>
        </is>
      </c>
      <c r="J7165">
        <f>HYPERLINK("https://www.weblio.jp/content/日の入り", "词义详情")</f>
        <v/>
      </c>
      <c r="K7165">
        <f>HYPERLINK("https://yourei.jp/日の入り", "查看例句")</f>
        <v/>
      </c>
    </row>
    <row r="7166">
      <c r="A7166" t="inlineStr">
        <is>
          <t>日の出</t>
        </is>
      </c>
      <c r="B7166" t="inlineStr">
        <is>
          <t>成功</t>
        </is>
      </c>
      <c r="C7166" t="inlineStr">
        <is>
          <t>太陽観測衛星SOLAR-B(ソーラービー)の愛称。JAXA(ジャクサ)（宇宙航空研究開発機構）・国立天文台・米国のNASA(ナサ)（米国航空宇宙局）・英国のPPARC（素粒子物理学・天文学研究協議会）が共同開発し、平成18年（2006）9月に打ち上げられた。可視光線、X線、極紫外線の3種類の観測装置を搭載し、太陽の大気中の磁場や電流の分布、フレアなどの詳細な観測を行う。</t>
        </is>
      </c>
      <c r="D7166" t="inlineStr">
        <is>
          <t>日の出町(8%)；日の出神(4%)；日の出後；日の出直前；日の出島</t>
        </is>
      </c>
      <c r="E7166" t="inlineStr">
        <is>
          <t>明け；暁；明け方；曙；有明</t>
        </is>
      </c>
      <c r="F7166" t="inlineStr">
        <is>
          <t>西多摩郡日の出；日の出時刻；日の出ごろ；美しい日の出；明朝日の出</t>
        </is>
      </c>
      <c r="G7166" t="inlineStr">
        <is>
          <t>日の出埠頭；日の出桟橋；日の出山；日の出通り；日の出温泉</t>
        </is>
      </c>
      <c r="H7166" t="n">
        <v>29</v>
      </c>
      <c r="I7166" t="inlineStr">
        <is>
          <t>バビロニア人やエジプト人は日の出を一日の始まりの時刻だとしていた。；日の出よりも反て日の入る時に起る場合の方が多いかも知れない位だ。；日の出からまもなくしてぱっとドアが開き、誰かが入ってくる音がした。；この委員会の指導のもとに、日の出町教育委員会が事業実施を担当した。；当日にはインカを初め全民衆が未明から広場に集まって日の出を迎える。；今のこの場合にも、日の出の一時間前ぐらいに、出発したことであろう。；そのため日の出前または日の入り後の一定の時間しか地球からは見えない。；毎日を、次の日の出には死ぬことになっているかのようにして暮らす。；その思想上の悩みのために、日の出を見たい気持になりましたのです。；十字はエルサレムからの光である日の出を指すように東向きになっている。；それだから俺は日の出神の生宮でなければ夜が明けぬと云ふのだ。；テーイカが成長すると、いつも海面に横になりじっと日の出を見ている。；この日の出という町で小学校の子供が生活の苦しさから自殺しました。；前者はこれは当時の歌舞伎が日の出から日没まで上演したことによる。；全ての準備を終えて、窓の外では日の出直前の明るい空が広がる。；お前は日の出神には服従しても、高姫の云ふ事は聞かぬと云ふ精神だなア。；あれ程光る玉の所在が分らぬ様な日の出神では、実際の事役に立たぬ。；逆にノリッジのような東の町では、日の出はロンドンより数分早かった。；北に隣接する日の出一・二丁目の北側を東武宇都宮線が通過している。；現在日の出時刻は七時、陽が落ちて、すっかり暗くなるのは十時頃。；日の出が近づいたか、その雲は真紅に燃えて、河の水を冷たく色どった。；夜になると、ウトゥは冥界を越えて日の出の準備に東に行くとされる。；日の出町側の峠一歩手前は交差点になっており信号がある。；活動開始時刻・終了時刻は日没・日の出時刻の季節変化に比例して変化する。；中央にはファーティマの手が描かれ、その上に日の出が描かれている。；ひゝゝ日の出神の生宮ともあらうものが、余り見つともよくありませぬぞ。；日の出に彼らは、当日の道路監視任務を引き継ぐ別の一組と交替した。；余は海の人間だからこそ、日の出があることを知っているのだ。；彼の恋ごころは日の出の前の薄光のようにぼんやりとしたものだったのである。</t>
        </is>
      </c>
      <c r="J7166">
        <f>HYPERLINK("https://www.weblio.jp/content/日の出", "词义详情")</f>
        <v/>
      </c>
      <c r="K7166">
        <f>HYPERLINK("https://yourei.jp/日の出", "查看例句")</f>
        <v/>
      </c>
    </row>
    <row r="7167">
      <c r="A7167" t="inlineStr">
        <is>
          <t>火花</t>
        </is>
      </c>
      <c r="B7167" t="inlineStr">
        <is>
          <t>成功</t>
        </is>
      </c>
      <c r="C7167" t="inlineStr">
        <is>
          <t>読み方：ひばな
１細かく飛び散る火。火の粉。
２石や金属などが激しくぶつかって瞬間的に発する火。
３放電の際に発する光。スパーク。</t>
        </is>
      </c>
      <c r="D7167" t="inlineStr">
        <is>
          <t>火花点火；火花間隙；火花式；火花が激しく；火花を撒き散らし</t>
        </is>
      </c>
      <c r="F7167" t="inlineStr">
        <is>
          <t>青い火花；電気火花；赤い火花；激しい火花；火花点火式ガソリンエンジン</t>
        </is>
      </c>
      <c r="G7167" t="inlineStr">
        <is>
          <t>火花送信機；火花点火内燃機関；火花点火機関；火花点火式エンジン；火花海</t>
        </is>
      </c>
      <c r="H7167" t="n">
        <v>29</v>
      </c>
      <c r="I7167" t="inlineStr">
        <is>
          <t>あの火花を見ただけで神様の体まで見てしまったものと早合点したのさ。；また、工場では火花などによる事故を防ぐ目的で使用されることもある。；刺激だけを幸福だとする考え方は炎の火花だけを火と思うようなものである。；その顔面は色を失った岩のようで、目は火花とも火打ち石とも思われた。；二人は無言のうちに眼と眼とを合わせ、そこに火花のような情熱が燃えた。；まっ赤な色をしていて、ぱちぱちと火花をちらしているのもありました。；ちょうど一つの火花から多くの火花が生まれるようだと言っているのである。；時間はかかるけれども、火花の出ない切断機を使わざるを得ない状況です。；しかし、工学者は、自分ではそれと知らずに火花を点じてしまったのだ。；この火花のなかで、彼は愛人を、考える自分の第二の存在だと言っている。；又、或る人は自分の指と雲から降りて来た爆発するものとの間に火花を出して見た。；だが言わんとすることはその目から火花のようにほとばしっている。；そして電気火花の研究をかなり大規模に此処で始めることになった。；かすかな火花が散り、バチッと音がして銅線がどこかへ見えなくなった。；動力バーの火花だけがさっきとは違って異常な強度を加えているだけである。；そして私は二人の間に何かしら恋愛の火花が行交うているのを感じたんです。；実に適当な歩調と配置で、しかも充分な変化をもって火花の音楽が進行する。；まず顕微鏡の下に球皮を置いてその上に火花を出させて写真に撮る。；その海藻灰の頭は見えなくなり、たくさんの火花がそこからとび出した。；この電気のスイッチで発生した火花が引火したと考えられている。；此の火花は遠方から見るとごく小さな物だが、実は白熱した石の塊だ。；ただし、打撃された時に火花を発しやすい鉄などの金属類は、通常避けられた。；どんな火花からでも燃焼する「燃えやすさ」を持った素材が用いられる。；ふざけ半分に与えた存在の火花をどうして消しとめなかったのか。；そこにはまた近い所に、金の砂を 振り蒔いたように、火花が散っている。；空にかかるどの星も彼のなかで輝き、彼の魂に快感の火花を散らせた。；私が腕を動かすと、電気の火花のように無数の流れ星が私のまわりに輝いた。；物に当たっても火花が出ないため、火気厳禁の場所での工具に利用された。；煙と火との集まり、火花の雨であって、消えては燃え燃えては消える。</t>
        </is>
      </c>
      <c r="J7167">
        <f>HYPERLINK("https://www.weblio.jp/content/火花", "词义详情")</f>
        <v/>
      </c>
      <c r="K7167">
        <f>HYPERLINK("https://yourei.jp/火花", "查看例句")</f>
        <v/>
      </c>
    </row>
    <row r="7168">
      <c r="A7168" t="inlineStr">
        <is>
          <t>批判</t>
        </is>
      </c>
      <c r="B7168" t="inlineStr">
        <is>
          <t>成功</t>
        </is>
      </c>
      <c r="C7168" t="inlineStr">
        <is>
          <t>読み方：ひはん
［名］(スル)
１物事に検討を加えて、判定・評価すること。「事の適否を—する」「—力を養う」
２人の言動・仕事などの誤りや欠点を指摘し、正すべきであるとして論じること。「周囲の—を受ける」「政府を—する」
３哲学で、認識・学説の基盤を原理的に研究し、その成立する条件などを明らかにすること。
→批評［用法］</t>
        </is>
      </c>
      <c r="D7168" t="inlineStr">
        <is>
          <t>批判的(10%)；批判する(8%)；批判される；批判者；批判記事</t>
        </is>
      </c>
      <c r="E7168" t="inlineStr">
        <is>
          <t>攻撃；判断；非難；裁判；判決</t>
        </is>
      </c>
      <c r="F7168" t="inlineStr">
        <is>
          <t>強く批判；厳しい批判；激しく批判；無批判；強い批判</t>
        </is>
      </c>
      <c r="G7168" t="inlineStr">
        <is>
          <t>批判理論；批判的思考；批判対象；批判哲学；批判法学</t>
        </is>
      </c>
      <c r="H7168" t="n">
        <v>29</v>
      </c>
      <c r="I7168" t="inlineStr">
        <is>
          <t>ニヤゾフ政権時代は極端な報道規制により海外から多くの批判を受けた。；比較的よく見られる定性的研究への批判には以下のようなものがある。；そのためダルマの宗教とも呼ばれる が、これにはいくつかの批判もある。；の用いる S式は括弧を大量に使用するため、批判を受けることもある。；一方、彼のピアノからは小さな音しか出なかったという批判もあった。；彼はまた旺盛な制作活動に戻ったが批判も聞かれるようになった。；こうして正義が確定される一方、中唐になると注疏批判の動きが生じた。；この秘密主義の方針は、しばしば世界的な批判の的となっている。；もう1名はこの裁判にはもとから批判的な判事だったとされている。；これにより男性本位との批判が起こったことが関係しているとの見解もある。；この手紙には脚本の場面ごとの批判などがとうとうと続く。；ラッサール派の影響を受けていると思われる部分はとりわけ強い調子で批判した。；以下では主な政治思想の立場からの代表的な批評・批判を記載する。；自身の精神的苦痛を訴えると同時に、歴代担当編集者を実名で批判した。；その発端は部派仏教への批判的見地から起こった側面があるとされている。；OpenBSDは性能やユーザビリティの面で批判されることがある。；否定的なレビューのいくつかは、この小説の長さを批判していた。；なお、この制度に対しては、一部の競馬評論家の間で、批判されていた。；逆に現代から見れば正当な主張をして批判に晒された人物も多い。；グラミー賞はミュージシャンや音楽評論家から批判を受けることがある。；イギリスでは、批判的な活動家がロンドンにある店舗を爆破し、逮捕された。；だがそこに寄せられる政府批判は予想外に厳しいものであった。；当時この展覧会は社会に全く受け入れられず、批判的な反応がいろいろあった。；彼らはしばしば、ヴェーゲナーを専門外の学者として感情的に批判した。；より学究的な立場からは、実証性の面からも批判されることがある。；しかし、必ずしもその論を無批判で受け入れたわけではない。；即座に浴びた批判から、ツェルメロは自身の結果の第2の解説を出版した。；ルソーは『学問芸術論』の論文の文明批判の思想を更に展開させた。；社会主義に対しては、多くの立場から多くの批評や批判がされてきている。</t>
        </is>
      </c>
      <c r="J7168">
        <f>HYPERLINK("https://www.weblio.jp/content/批判", "词义详情")</f>
        <v/>
      </c>
      <c r="K7168">
        <f>HYPERLINK("https://yourei.jp/批判", "查看例句")</f>
        <v/>
      </c>
    </row>
    <row r="7169">
      <c r="A7169" t="inlineStr">
        <is>
          <t>皹</t>
        </is>
      </c>
      <c r="B7169" t="inlineStr">
        <is>
          <t>成功</t>
        </is>
      </c>
      <c r="C7169" t="inlineStr">
        <is>
          <t>読み方：あかがり
《「あ」は足、「かがり」は、ひびが切れる意の「かかる」の連用形から。元来は足についていったか》あかぎれ。《季冬》「—をかくして母の夜伽(よとぎ)かな／一茶」</t>
        </is>
      </c>
      <c r="H7169" t="n">
        <v>29</v>
      </c>
      <c r="I7169" t="inlineStr">
        <is>
          <t>皹のはいった手をわたしに握らせて置いて、別に変ったこともないと言う。；瓦の皹が消えていく、不思議な光景の中にも、世界の流れを見出そうとする。；皹の治りきらないパウラの手のひらを見つめ、本当にそれしかないのか?；ガネーシャが現れてから藍原組に、目に見えない細かな皹が入りはじめていた。；リー・シー・ツワンの綺麗に埃のぬぐわれたエナメルの靴に皹が入った。；澄《す 》んだ音を立てて、何もない場所に皹が入っていた。；痛い牛皮の靴の中に可憐な小さい足は冬は皹れてゐた。；奧さんは乾からびて皹の入つた唇を固く結んで、博士の顏をじつと見てゐる。；だが、苦痛とは何か、われわれの精神を虐げ、われわれの観念に皹を入れるこの苦痛とはそもそも何か。；彼女は皹だらけな大きい手で、一つ一つ撫で廻して見た。；山袴に高下駄を履いていたが、足袋はなく、赤らんだ素足の裏に皹が見えた。；これほど親しいお牧では有りましたが、しかし彼女の皹の切れた指の皮の裂けたやうな手を食事の時に見るほど、可厭はしいものも有りませんでした。；あの見事な肌が腐りかけた餅のように無数に固く皹割れ、紫がかった色に変色していた。；荒物屋でも買物をしたことがあるが、店番をしていた小女は眠そうな顔をしていて、手の甲に皹をきらしていた。；霜と風とで、人間の手足も、土の皮膚も、悉く皹赤ぎれになる。；手首をつかんだ少女の左手に無数の皹を見つけ、ぎょっとなった征人の顔は見ずに、少女は征人の右手を水面下へと導いた。；にも関わらず、窓ガラスには皹一つ入っていない。；發病した最初の日に見た、老いた母の、洗濯に濡れた、赤い、皹割れた手が何かにつけて目先きにちらついてならなかつた。；いわゆる非人やけというやつで、顔色がどす黒く沈んで、手足が皹だらけ。；奧さんの唇はいつも乾からびて皹が入つてゐる。；痩せた瞳と皹割れた顔に皺をよせて初枝の裾を掴んだ。；目頭から頬のカーブに沿って流星のように流れるはずの涙は、固くなった皹の溝に入り、上手く流れてはくれない。；ボロと穴と継ぎきれと糸と古い花と古い羽飾りのかたまりみたいなもので、その下にしなびて鞣されたような皺や皹だらけの顔がのぞき、いたずらそうな二つの目が古い壁の割れ目にいる蜥蜴のように皺のまんなかにちらちらしている。；ふやけ、皹にまみれた少女の手のひらを見、征人は慌てて自分の手を水面から引き抜いた。；「毎日、背中に皹を切らして市中を歩き廻っているというのに、家に戻ってからも外へ追い出されるのは敵わぬ」 不破は愚痴をこぼす。；異臭を放つ魚運びの車の下に潜り込んだ志功は、寒さにかじかんで皹の入った子供の指で、錆つき凍りついた冷たい鉄の部分の修理を黙黙として続けていた。；おまけに、皹の切れた手足がそれに擦れるたびにばりばりと異様な音を立てるので、彼はびくびくした。；一首の意は、稲を舂いてこんなに皹の切れた私の手をば、今夜も殿の若君が取られて、可哀そうだとおっしゃることでしょう、御一しょになる時にお恥しい心持もするという余情がこもっている。；皹の入ったコンクリの玄関を抜けて、カーテンの閉まった管理人室を素通りして、四階の空き部屋へ向かう。</t>
        </is>
      </c>
      <c r="J7169">
        <f>HYPERLINK("https://www.weblio.jp/content/皹", "词义详情")</f>
        <v/>
      </c>
      <c r="K7169">
        <f>HYPERLINK("https://yourei.jp/皹", "查看例句")</f>
        <v/>
      </c>
    </row>
    <row r="7170">
      <c r="A7170" t="inlineStr">
        <is>
          <t>日々</t>
        </is>
      </c>
      <c r="B7170" t="inlineStr">
        <is>
          <t>成功</t>
        </is>
      </c>
      <c r="C7170" t="inlineStr">
        <is>
          <t>読み方：にちにち
1日1日。毎日。ひび。「科学は—進歩する」</t>
        </is>
      </c>
      <c r="D7170" t="inlineStr">
        <is>
          <t>日々をすごし；日々奮闘；日々変化；日々努力；日々新た</t>
        </is>
      </c>
      <c r="E7170" t="inlineStr">
        <is>
          <t>毎日；日ごと；デイリー；日次</t>
        </is>
      </c>
      <c r="F7170" t="inlineStr">
        <is>
          <t>幸せな日々；そんな日々；平和な日々；多忙な日々；楽しい日々</t>
        </is>
      </c>
      <c r="G7170" t="inlineStr">
        <is>
          <t>日々是好日；日々野；日々の泡；日々雇用；日々かりめろ</t>
        </is>
      </c>
      <c r="H7170" t="n">
        <v>29</v>
      </c>
      <c r="I7170" t="inlineStr">
        <is>
          <t>日々なにげないことで幸せを感じる瞬間・体験を送ってもらうコーナー。；それでも彼らは貧しくとも日々の生活の中で幸せを得て暮らしていた。；失望から学校に行かなくなり、近所の森や山で時間を潰す日々を送った。；ビルの警備員をやりつつ、ギターでの楽曲製作に励む日々を送っていた。；二人は森へ隠れ、マルク王に発見されるまでの日々をそこで過ごした。；逆に残りの約9ヶ月は雨期に当たり、雲と雨ばかりの多湿な日々が続く。；仕事がなくなったため、以降高校と寮を往復するだけの日々を送った。；日々の英語の授業に加え、大英博物館を訪れたりして文化歴史も学ぶ。；市政の日々の業務は議会に任命された市政代行官により監視されている。；その詩風には、愛国的な詩と閑適の日々を詠じた詩の二つの側面がある。；日常生活とは、人が生きるために日々繰り返しやっていることである。；しかし、彼はそんな日々の生活に何か足りないものを感じていた。；この時期がダイアナにとって最も幸せな家族団欒の日々であったという。；エンゲルスはスイスに亡命し、女と酒に溺れる日々を送るようになった。；秋には代表戦での大腿部負傷の影響もありベンチで過ごす日々が続いた。；しかし所属劇場がなく、地方周りを続けざるを得ない日々が続く。；やがて小学校に通い始めた二人だが、そこには思いもかけぬ日々が待っていた。；地球帰還のためにエンジン修理や改良と忙しい日々を送っていく。；その試合の先には、いつもと変わらない剣の日々が続いていた。；新しい環境になかなかなじめず、友人もなく、家で過ごす日々が続いた。；そこで待っていたのは厳しい修行と挫折・困難・そして克服の日々だった。；暁方にウトゥは日々の仕事として通っている道を進んでいる時だった。；戦略や戦術が日々変化しても、中核的な価値観は維持されていたのである。；そのころの尾崎は異常なほどに精神状態が不安定な日々を送っていた。；委員会は監督者を任命して日々の制度業務の運営に当たらせている。；アフリカのあるところにジャングルの平和を守るために日々戦い続ける若者がいた。；そして人々が日々必要としていることに集中すべきだ。；中隊長は日々の訓辞や精神講話などを除いて現場には直接関与しない。；その頃から映画に興味を持ち始め、一時漫画から離れて映画漬けの日々を送る。</t>
        </is>
      </c>
      <c r="J7170">
        <f>HYPERLINK("https://www.weblio.jp/content/日々", "词义详情")</f>
        <v/>
      </c>
      <c r="K7170">
        <f>HYPERLINK("https://yourei.jp/日々", "查看例句")</f>
        <v/>
      </c>
    </row>
    <row r="7171">
      <c r="A7171" t="inlineStr">
        <is>
          <t>響き</t>
        </is>
      </c>
      <c r="B7171" t="inlineStr">
        <is>
          <t>成功</t>
        </is>
      </c>
      <c r="C7171" t="inlineStr">
        <is>
          <t>読み方：どよめき
どよめくこと。また、その音。「—が起こる」</t>
        </is>
      </c>
      <c r="D7171" t="inlineStr">
        <is>
          <t>響き渡る(7%)；響き渡り(2%)；響き始め；響きはじめ；響き合う</t>
        </is>
      </c>
      <c r="E7171" t="inlineStr">
        <is>
          <t>声；音；影響；調子；口調</t>
        </is>
      </c>
      <c r="F7171" t="inlineStr">
        <is>
          <t>美しい響き；重い響き；響きさえ；たる響き；不思議な響き</t>
        </is>
      </c>
      <c r="G7171" t="inlineStr">
        <is>
          <t>響きわたり；響きと怒り；響きわた；響きわたら；響きわたれ</t>
        </is>
      </c>
      <c r="H7171" t="n">
        <v>29</v>
      </c>
      <c r="I7171" t="inlineStr">
        <is>
          <t>友人たちのうちの何人かは恐怖に、何人かは響きのとりこになりました。；またベンチの中の声もよく聞こえ、選手一人一人の声も響き渡っていた。；バンド名の意味は特になく、単語の響きで決められたといわれている。；この男の講演内容は新しいメサイアの教えのような響きを持っていた。；優美でいささか感動的な響きのある命題によってこの書物は閉じられる。；曲のいくつかの部分ではシナゴーグ内の響きを模して作られている。；この太鼓を雷獣の骨で叩くと、その音は五百里にまで響き渡ったという。；その音色は相手の脳に直接響き、鼓膜を破っても防ぐことはできない。；しかしグランプリファイナルではフリーでのミスが響き6位に終わった。；一方、花代は「さ」音の響きによって静かさを表現したかったのである。；だが、声変わりの時期は、独特の豊かな響きが発達する時期でもある。；しかしここではハンデキャップも響き、4頭立ての最下位に敗れている。；特徴ある金管楽器の響きは、早くも最初の録音に聴き取ることができる。；金管の警告的な響きで展開部となり、第1主題をフガート的に展開する。；また、その響きから、ネッシーのパロディのように扱われることもある。；すると突然、空中に大声が響き渡ったかと思うと、鬼神達はみな姿を消した。；名前の意味よりも言葉の響きやイメージで決められた。；観客はまた総立ちになり劇場全体に割れんばかりの拍手が響き渡った。；クリスが室内へ入ると録音されていたテープが回り始め、声が響き渡った。；和太鼓は、一般的に残響が非常に良く響き、余韻が残る音を特徴とする。；お祭りの騒がしさの中、太鼓と笛の音が響き、神秘的な世界に包まれる。；その響きの良さにバンド名として採用したとデイヴは語っている。；もし詩行の先頭まで行ったら、2つの詩行の響きは同じになる。；吐蕃との戦いにおいて、自ら槍を持って敵をうち破ったために名が響き渡った。；名前の決定には音の響きが重視されており、由来になった作家や登場人物とキャラクターに関連はない。；ただし、羽根の位置を開いた状態で止めないと響きが悪くなる。；また胴からの反射音も多彩な響きに貢献していると言われている。；作品の前半はほぼト音記号のみで書かれており、軽快な響きを持つ。；人間の心と脳に癒しの効果を与える「1/fゆらぎ」の響きの声を持つ。</t>
        </is>
      </c>
      <c r="J7171">
        <f>HYPERLINK("https://www.weblio.jp/content/響き", "词义详情")</f>
        <v/>
      </c>
      <c r="K7171">
        <f>HYPERLINK("https://yourei.jp/響き", "查看例句")</f>
        <v/>
      </c>
    </row>
    <row r="7172">
      <c r="A7172" t="inlineStr">
        <is>
          <t>響く</t>
        </is>
      </c>
      <c r="B7172" t="inlineStr">
        <is>
          <t>成功</t>
        </is>
      </c>
      <c r="C7172" t="inlineStr">
        <is>
          <t>読み方：どよめく
［動カ五（四）］
１音が鳴りひびく。とどろきひびく。「雷鳴が—・き渡る」
２ざわざわと騒ぐ。「新記録に場内が—・く」
３ゆれうごく。動揺する。「心が—・く」</t>
        </is>
      </c>
      <c r="D7172" t="inlineStr">
        <is>
          <t>響くような声；響くような音；響く重い；響くような大声；響くような痛み</t>
        </is>
      </c>
      <c r="E7172" t="inlineStr">
        <is>
          <t>なる；影響；決定；形成；規定</t>
        </is>
      </c>
      <c r="F7172" t="inlineStr">
        <is>
          <t>大きく響く；低く響く；高く響く；強く響く；直接響く</t>
        </is>
      </c>
      <c r="H7172" t="n">
        <v>29</v>
      </c>
      <c r="I7172" t="inlineStr">
        <is>
          <t>そのほかにも数知れない無気味な音がこの沈黙のうちに響いて来ました。；遠く響いて来る歌の声は聞えるが、それが何の歌であるかわかりません。；ウウウーと唸る声は夫の死後八年の今でも私の耳の底に響いて聞えます。；私の耳には部屋中に響く彼女の明るく弾んだ笑い声がまだ残っています。；夏になると家に居る子供を妙にそそのかす法螺貝の音が時々響いて来る。；しかし、そのメッセージは価値あるものであり、観客の心に響いている。；その外にまだなんだか胸に響くような鋭い喜びと悲しみの念が湧いて来る。；出た角の所に劇場があって、その中から頻りに蛇皮線の音が響いて来る。；そして昌作は、自分の云おうとしてることが相手にどう響くかを感じた。；そして彼の耳にはなお、彼をそこに残して行った守衛の言葉が響いていた。；するとその彼等の声に応じるかのやうに扉を叩する音が静かに響いて来た。；その日も彼は、常のように額づいていると、一つの声が響くのを聞いた。；「壁に割れ目がたくさんあってよかったよ」 よく響く低い声がいった。；通りすぎながら囁くように話し合った二人の女中の声が私の耳に響いた。；僅かな金のことなんだけれど、気持の上には可なり響くことだからね。；これが一言でブーンと響くほど聞えたのであるから、その大音や思うべし。；出た角の所に劇場があつて、其の中から頻りに蛇皮線の音が響いて來る。；一つは、その声の響くのは、自分ばかりでない事を確めたせいであろう。；一度ずっと遠い空に汽船の笛の響いたぎり、今はもう人音も何もしない。；その長く響く轟音は鉄道が高架を通過しているかのようだったという。；彼女は自分の言葉がいかに激しく彼の心に響くかを知っていた。；それは彼のぶっきらぼうないつもの話しぶりとは奇妙に対照的に響いた。；鳥籠みたいな、そして何よりもよく音の響くこの木の部屋が激しく揺れた。；珍しく大一座と見えて廊下を走る女中の足も忙しそうに響いて来ます。；あたりがひっそりしているから、その声は僕の耳にはっきりと響いた。；外でも家の中に響くような大声を出してしまい、家に帰るように言われてしまう。；しかし時々オルガンの低いうなりが響いたり消えたりしていました。；が、それもよほどの間隔があるので、そううるさくは耳に響いて来ない。；また、トールキンの詩は、単に耳に快く響くというだけのものではない。</t>
        </is>
      </c>
      <c r="J7172">
        <f>HYPERLINK("https://www.weblio.jp/content/響く", "词义详情")</f>
        <v/>
      </c>
      <c r="K7172">
        <f>HYPERLINK("https://yourei.jp/響く", "查看例句")</f>
        <v/>
      </c>
    </row>
    <row r="7173">
      <c r="A7173" t="inlineStr">
        <is>
          <t>批評</t>
        </is>
      </c>
      <c r="B7173" t="inlineStr">
        <is>
          <t>成功</t>
        </is>
      </c>
      <c r="C7173" t="inlineStr">
        <is>
          <t>読み方：ひひょう
［名］(スル)物事の是非・善悪・正邪などを指摘して、自分の評価を述べること。「論文を—する」「印象—」
[用法]批評・批判——「映画の批評（批判）をする」のように、事物の価値を判断し論じることでは、両語とも用いられる。◇「批評」は良い点も悪い点も同じように指摘し、客観的に論じること。「習作を友人に批評してもらう」「文芸批評」「批評眼」◇「批判」は本来、検討してよしあしを判定することで「識者の批判を仰ぎたい」のように用いるが、現在では、よくないと思う点をとりあげて否定的な評価をする際に使われることが多い。「徹底的に批判し、追及する」「批判の的となる」「自己批判」</t>
        </is>
      </c>
      <c r="D7173" t="inlineStr">
        <is>
          <t>批評家(8%)；批評的(5%)；批評眼；批評精神；批評文</t>
        </is>
      </c>
      <c r="E7173" t="inlineStr">
        <is>
          <t>批判；解釈；解説；コメント；評論</t>
        </is>
      </c>
      <c r="F7173" t="inlineStr">
        <is>
          <t>社会批評；好意的な批評；音楽批評；科学的批評；匿名批評</t>
        </is>
      </c>
      <c r="G7173" t="inlineStr">
        <is>
          <t>批評理論；批評空間；批評社；批評空間社；批評の解剖</t>
        </is>
      </c>
      <c r="H7173" t="n">
        <v>29</v>
      </c>
      <c r="I7173" t="inlineStr">
        <is>
          <t>美術批評の出版も時々だが続けていたが、それ以外の著作にも手を広げた。；音楽・演劇・政治・文化批評など、その執筆分野は非常に多岐にわたる。；ダンの初期の詩はイングランドの社交界に鋭い批評を向けたものだった。；目撃者たちの証言は選択的に使われた、と批評家たちは非難している。；英語で書かれた美術批評書の中には、優れた言い回しがいくつもある。；以下では主な政治思想の立場からの代表的な批評・批判を記載する。；批評された者は「これらの評価が一面で当たっていた」ためこれに反発せず。；社会的な批評性を形態や構法に結びつけるような作品を多く発表する。；詩および批評を中心に文学、思想などを広く扱う芸術総合誌である。；この大きな設定変更にファンの多くが戸惑い、批評も賛否両論となった。；代表の試合は特に注目され、代表の監督は常に批評の的にされる。；良く取り上げられるのは1999年に公表された初期の批評である。；記憶に残る演技とカリスマ的な存在感で批評家からも尊敬された。；その後のジェラールの研究はローランからの批評に大きく影響されている。；この小説は彼のキャリアの中でもとりわけ批評的に成功したもので数々の賞を受賞している。；百貨店での勤務経験を元にした、経営方法からの批評を特徴とする。；しかしながらその予想に反し、本作は批評面と商業面の両方で成功を収めた。；シビルウォーがリリースされると批評家からは様々な評価を受けた。；そこには先に送った創作を批評してもらいたいと書かれていた。；またグスタフ・フェヒナーを批評する出版物の編集なども行なっている。；社会主義に対しては、多くの立場から多くの批評や批判がされてきている。；しかし、近代以降の聖書批評は、以下のような問題点を明らかにした。；三四郎や周囲の人々を通じて、当時の日本が批評される側面もある。；このツアーで彼女は主役の代役をつとめ、激賞の批評記事をもたらした。；雑誌発売日の前後に公開される作品が批評の対象となる。；査読によって受けた批評を記事に反映させてより良いものにしていきましょう。；この頃にはクリスチャニアの新聞でも好意的な批評が現れるようになってきた。；この語は主に小説や詩などを批評する際に用いられた。；テレビなどのメディア・マスコミ関係の批評記事も掲載している。</t>
        </is>
      </c>
      <c r="J7173">
        <f>HYPERLINK("https://www.weblio.jp/content/批評", "词义详情")</f>
        <v/>
      </c>
      <c r="K7173">
        <f>HYPERLINK("https://yourei.jp/批評", "查看例句")</f>
        <v/>
      </c>
    </row>
    <row r="7174">
      <c r="A7174" t="inlineStr">
        <is>
          <t>皮膚</t>
        </is>
      </c>
      <c r="B7174" t="inlineStr">
        <is>
          <t>成功</t>
        </is>
      </c>
      <c r="C7174" t="inlineStr">
        <is>
          <t>読み方：ひふ
動物の体を覆い保護している組織。脊椎動物では表皮・真皮・皮下組織からなり、毛・爪(つめ)・角(つの)・羽・うろこや、汗腺・皮脂腺・乳腺などが付属。呼吸・知覚・体温調節などの機能ももつ。無脊椎動物では表層およびそれを覆うクチクラからなる。</t>
        </is>
      </c>
      <c r="D7174" t="inlineStr">
        <is>
          <t>皮膚表面；皮膚症状；皮膚組織；皮膚細胞；皮膚障害</t>
        </is>
      </c>
      <c r="E7174" t="inlineStr">
        <is>
          <t>肌；皮；表皮；膚；外皮</t>
        </is>
      </c>
      <c r="F7174" t="inlineStr">
        <is>
          <t>黒い皮膚；薄い皮膚；青い皮膚；赤い皮膚；硬い皮膚</t>
        </is>
      </c>
      <c r="G7174" t="inlineStr">
        <is>
          <t>皮膚科；皮膚炎；皮膚疾患；皮膚感覚；皮膚呼吸</t>
        </is>
      </c>
      <c r="H7174" t="n">
        <v>29</v>
      </c>
      <c r="I7174" t="inlineStr">
        <is>
          <t>顔と首の部分の皮膚は感情の起伏に応じて血流が変化し、よく赤くなる。；床には引きはがされた皮膚や切断した指などが無造作に捨てられていた。；体の外側から皮膚に力が加わっても皮膚でそれを跳ね返したりできる。；直腸と皮膚の境目になる部分には歯状線と呼ばれるギザギザの線がある。；その際必ず腹部から食べられ、背中の皮膚と頭部と尾部は食べ残される。；あずさの爪からは誰かを引っ掻いたのか人間の皮膚組織が発見された。；頭髪の出る部分の皮膚に怪我をすると再生した皮膚から頭髪が出ない。；症状は、皮膚が露出した箇所のある家畜・家禽にも見られることがある。；動物によって特に大きく異なっている機能は、皮膚の物質透過性である。；その皮膚は総鰭類には似ておらず、体液を保ち乾燥を防ぐ助けになった。；体の内側を除く全身は、皮膚が変化した骨状の板で形成された甲皮で覆われる。；皮膚が破壊されると、損傷部位に最初に到着する食細胞は好中球である。；冷媒などに用いられている液体を皮膚に直接接触させた場合は凍傷になる。；皮膚感染症のうち最も表面に近い部分に起こるのが伝染性膿痂疹である。；ただし、その際に皮膚の老化を加速していることも忘れてはならない。；外側は皮膚であり、その動物の顔の他の部分と同様に体毛が生えていたりする。；日焼けした部分と、そうでない部分の皮膚の色が大きく違っている。；メガネウの名は目の周辺に羽毛のない白い皮膚の部分があることに由来する。；に含まれており刺激性があるほか、皮膚に炎症を引き起こす恐れがある。；様々な動物の持っている皮膚の主な機能を以下に挙げる。；熱傷や放射線被曝で皮膚の産生機能が失われると命を落とすこともある。；単一の神経根が障害された場合は感覚鈍麻の範囲は皮膚分節より狭い。；体調や皮膚の状態によっては感染症等の危険があるため注意が必要である。；コレステロールは体内の肝臓および皮膚で合成され、全身に輸送される。；皮膚科学は、主に皮膚を中心とした疾患を治療・研究する医学の一分科。；元々は手術の際に皮膚に直接書き込むために用いられたので、この名称がある。；猫や犬などの動物に似た、皮膚を覆う体毛や尻尾などの特徴を備えた人々。；p-DCB を含む製品を皮膚に接触させたりしないように注意する。；皮膚・肉・骨が暗紫色をしていることから「烏骨」の名が付いている。</t>
        </is>
      </c>
      <c r="J7174">
        <f>HYPERLINK("https://www.weblio.jp/content/皮膚", "词义详情")</f>
        <v/>
      </c>
      <c r="K7174">
        <f>HYPERLINK("https://yourei.jp/皮膚", "查看例句")</f>
        <v/>
      </c>
    </row>
    <row r="7175">
      <c r="A7175" t="inlineStr">
        <is>
          <t>暇</t>
        </is>
      </c>
      <c r="B7175" t="inlineStr">
        <is>
          <t>成功</t>
        </is>
      </c>
      <c r="C7175" t="inlineStr">
        <is>
          <t>読み方：いとま
《「いと」は「いとなし」の「いと」で休みの時、「ま」は間の意》
１用事のない時間。ひま。「休む—もない」
２一時的に休むこと。休暇。「三日ほどのお—を乞う」
３職務を離れること。辞職。また、解雇。ひま。「雇い主に—を願い出る」
４離縁。離婚。「妻に—を出す」
５（多く「おいとまする」の形で用いる）別れて去ること。また、そのあいさつ。辞去。「—を告げる」「そろそろお—しよう」
６喪に服すること。またそのために出仕しない期間。
「御—になり給ひぬれば、藤壺も夜さり罷(まか)で給ひ」〈宇津保・国譲上〉
７ある物事をするのに空けることのできる時間。
「仮名文見給ふるは目の—いりて」〈源・若菜上〉
８すきま。ひま。
「谷風の吹き上げにたてる玉柳枝の—も見えぬ春かな」〈夫木・三〉</t>
        </is>
      </c>
      <c r="D7175" t="inlineStr">
        <is>
          <t>暇もなく(6%)；暇もない(4%)；暇そう；暇もなかった；暇あら</t>
        </is>
      </c>
      <c r="E7175" t="inlineStr">
        <is>
          <t>首；節；休み；解雇；休日</t>
        </is>
      </c>
      <c r="F7175" t="inlineStr">
        <is>
          <t>閑暇；てる暇；そんな暇；手間暇；御暇</t>
        </is>
      </c>
      <c r="G7175" t="inlineStr">
        <is>
          <t>暇乞い；暇潰し；暇乞；暇人；暇々</t>
        </is>
      </c>
      <c r="H7175" t="n">
        <v>29</v>
      </c>
      <c r="I7175" t="inlineStr">
        <is>
          <t>家臣の誰一人にも告げる暇もなく大阪湾上の開陽丸に連れられたという。；逆に客がまったく来ない日もあり、そんな日は従業員は非常に暇である。；現在は多忙なのですが、いずれあなたの件をお調べする暇もできるかと。；暇な時や気分が良い時はいつも愛聴の音楽を耳にしながらダンスしている。；その他にもオウィディウスに大きな影響を受けた作家は枚挙に暇がない。；魚を商売にする人が暇さえあれば山さ突っぱしるだから怪体だあてばさ。；しかし、ルクセンブルクには息をつく暇もなく、次の危機が迫っていた。；向田大尉は非常な勉強家で、暇さえあれば家で書物と首っぴきだそうだ。；海に出て働く人たちはこの間に少しの間息をつく暇を見いだすのだ。；わたしは、もう一月も前に、瑠璃子さまからお暇が出たのでございます。；この辺の家は前から手伝が要るはずなんだが、今急に暇になるわけがない。；刑務所の中で彼は多くの本を読み、暇な時間を体を鍛える事に費やした。；そんなことさせられるくらいなら暇を頂戴すると言い出してしまう。；それが実現するまでは、苦労を苦労と思う暇など私にはないのだ。；そして、今夜わたしは長い旅に出るから、おまえたちみんな暇をやる。；すこし早目に家を出たので、駅についた時、まだ一時間ほどの暇があった。；会社に居ても暇だったから小説を作っていたと後に語った。；しかし、実際には芝居に行ったことがわかり、私は石に暇をやろうとする。；彼女はどこもすぐに暇を出されるので、奉公先に縁がないとのことだった。；賢治は音楽に深い関心を持っており、暇を見つけてはレコードを買っていた。；何もすることがない状態で、積極的には何もしないことを暇という。；暇なところを森康二の絵コンテを見て「ここをやらせて下さい」と提案。；暇なわたしは、いつもポケットに300円を入れて散歩の日々であった。；彼は多くの仏典で過ぎた発言や非法行為が述べられており枚挙に暇がない。；犯人は、その夜田舎者の女中だけを残して、他の者に暇を与えて遊びに出した。；それは彼女が暇さえあれば考える不思議な美しいおとぎばなしの世界であった。；そして葉子が返事をする暇もなく立ち上がって階子段を降りて行こうとした。；なぜなら、一日よく働いて、自分の身をきれいにする暇もなかったからです。；三島の屋敷から不意に暇を出されたのも、こういう不埓があるからだ。</t>
        </is>
      </c>
      <c r="J7175">
        <f>HYPERLINK("https://www.weblio.jp/content/暇", "词义详情")</f>
        <v/>
      </c>
      <c r="K7175">
        <f>HYPERLINK("https://yourei.jp/暇", "查看例句")</f>
        <v/>
      </c>
    </row>
    <row r="7176">
      <c r="A7176" t="inlineStr">
        <is>
          <t>日増しに</t>
        </is>
      </c>
      <c r="B7176" t="inlineStr">
        <is>
          <t>成功</t>
        </is>
      </c>
      <c r="D7176" t="inlineStr">
        <is>
          <t>日増しに強く(6%)；日増しに大きく(2%)；日増しに激しく；日増しに悪く；日増しに悪化する</t>
        </is>
      </c>
      <c r="E7176" t="inlineStr">
        <is>
          <t>日に日に；日毎に；日に増し；日毎夜毎；逐日</t>
        </is>
      </c>
      <c r="H7176" t="n">
        <v>29</v>
      </c>
      <c r="I7176" t="inlineStr">
        <is>
          <t>しかしその他のいっさいのものはみんな私には日増しに重くなりました。；あなたの欲求は日増しに強くなり、実際彼にそれをぶつけるようになる。；アナタは御健康で結構でありまするが、私は身体が日増しに悪くなるのです。；彼女の中で、別の彼女の存在が日増しに大きくなり、もとの彼女は消えてゆく。；そして、小作争議事務所に当てたS寺の一室は日増しに緊張して行った。；まだだれも気がついた様子はないが、危険は日増しに増大している。；そしてその気持ちは、陽子の心の中で、日増しに大きくなっていたのである。；しかし、戦争は激しくなる一方で、食糧は日増しに不足勝ちになつた。；そのためおかあさんの健康は日増しに悪化し、明らかに衰弱してきた。；おじいさまと彼女との友情は日増しに深くなっているのであった。；あの子が日増しに拗ねたような顔つきになっていくのが、私には辛い。；かつては円く張り滑らかだった妻の手足も日増しに竹のように痩せてきた。；日増しに加速していくそのラストスパートにはだれもが目を見張った。；少しずつ、日増しに、ぼくは船上での自分にふさわしい位置を占めていた。；かくて山の雪は日増しに麓の方へ下って来るが、里では晴れた日が続いている。；渡辺の接する工廠の幹部たちの顔にも、緊張の色が日増しに濃くなっていた。；妻の容態は日増しに悪化して、その病魔は彼女の精神まで蝕み始めた。；そして何といふ理由もなく、日増しにこの懷疑が深くなつてくるのを感じてゐた。；稽古場の空気が日増しに悪くなっていくのを、ゆいかは眺めているだけだった。；にもかかわらず、逮捕は続き、その数は日増しに増えていった。；それで、わたしは日増しに血色を回復し、体もずいぶん丈夫になりました。；私は日増しに自分の実際生活の最も初歩的な事柄に対する無智に驚く。；日増しにつのっていくわたしの愛を、彼女が疑うわけはありません。；つまり、空中には火山灰の量が日増しにふえてくるように思います。；国王は日増しにムッソリーニ排除の意志を具体的に固めることになったからである。；その後というものは日増しに海が荒れて、沖の方が暗うございました。；なろうものなら日増しに健康にとも言いたいね!；漠然とではあるが、そうした変身願望だけが日増しに昂じてくるのである。；そんな声が日増しに高くなって、しまいには暴動でも起きかねない空気になった。</t>
        </is>
      </c>
      <c r="J7176">
        <f>HYPERLINK("https://www.weblio.jp/content/日増しに", "词义详情")</f>
        <v/>
      </c>
      <c r="K7176">
        <f>HYPERLINK("https://yourei.jp/日増しに", "查看例句")</f>
        <v/>
      </c>
    </row>
    <row r="7177">
      <c r="A7177" t="inlineStr">
        <is>
          <t>秘密</t>
        </is>
      </c>
      <c r="B7177" t="inlineStr">
        <is>
          <t>成功</t>
        </is>
      </c>
      <c r="C7177" t="inlineStr">
        <is>
          <t>読み方：ひみつ
［名・形動］
１他人に知られないようにすること。隠して人に見せたり教えたりしないこと。また、そのようなさまやそのような事柄。「—をもらす」「—にする」
「云わば—な悪事でも唆(そその)かすように」〈谷崎・魔術師〉
２一般に知られていないこと。また、公開されていないこと。「古代史の—」
３人に知らせない奥の手。秘訣(ひけつ)。「成功の—」
４仏語。
㋐深遠・微妙で容易に知りがたい奥義。
㋑ある隠された意味をもって説くこと。密教で大日如来の説法などをいう。
㋒真言宗の教義。密教。
[補説]書名別項。→秘密</t>
        </is>
      </c>
      <c r="D7177" t="inlineStr">
        <is>
          <t>秘密主義；秘密裡；秘密を打ち明け；秘密協定；秘密情報</t>
        </is>
      </c>
      <c r="E7177" t="inlineStr">
        <is>
          <t>密か；密；秘；幽；機密</t>
        </is>
      </c>
      <c r="F7177" t="inlineStr">
        <is>
          <t>どんな秘密；恐ろしい秘密；大きな秘密；絶対秘密；秘密蔵タントラ</t>
        </is>
      </c>
      <c r="G7177" t="inlineStr">
        <is>
          <t>秘密結社；秘密警察；秘密基地；秘密兵器；秘密組織</t>
        </is>
      </c>
      <c r="H7177" t="n">
        <v>29</v>
      </c>
      <c r="I7177" t="inlineStr">
        <is>
          <t>別に秘密に計画したわけではなく、世間の人が気づかなかつたのである。；驚くべき速度で進化を続けるがそれにはある重大な秘密が隠されている。；散骨した場所はポターが秘密とすることを望んだため不明となっている。；特殊部隊での任務の間に彼はテロリストに対抗する秘密任務に従事した。；秘密を隠したまま時は過ぎ、二人の関係は悶々としたものとなって行く。；シラードはこうして確認された結果を秘密にして置くよう強く主張した。；秘密が漏れることを恐れ、彼等の多くは事を終えた後に殺害されたという。；その他の材料や作り方の一部も草彅の希望により秘密がいくつかあった。；この場合、量は多くないものの、秘密情報の事前の共有は必要である。；この結婚は秘密結婚だったが、すぐに巷間に知れわたることになった。；この侵攻は、上記の独ソ不可侵条約の秘密議定書に基づくものであった。；投票所には投票の秘密を確保できるだけの設備がなければならない。；意休は確かに助六の諱を、隠さなくてはならない秘密の実名を口にした。；使える期間は1年間だけ、秘密を知られてはならない、などの例がある。；更生して警官になった主人公は何者の意図によるのか、その秘密を追う。；情報収集には決して秘密・非合法な手段ばかりが用いられるわけではない。；この秘密主義の方針は、しばしば世界的な批判の的となっている。；細胞の構造よりも、その組成に秘密があると思われていたのである。；模倣が試みられたが全て無駄となり、貴腐の利用は秘密のまま維持された。；ひばりは学校では女で通しており、ごく一部の者以外はその秘密を知らない。；その儀式の内容は秘密とされており、実際に何が行われたかはよく分かっていない。；ベリヤの逮捕は、彼の主要な側近たちが逮捕されるまで秘密にされた。；このようなことから、男性の中には童貞であることを秘密にしている人もいる。；この秘密が活字による印刷のアイデアだったのではないかと言われている。；隼人は、黒潮邸の秘密を警察に訴えに行くがまったく相手にされない。；また、自身の失敗や秘密を隠すために地下経済に加担するケースもある。；またそれは自分にとっての恥だったり、秘密にしたいことだったりもする。；シンガポール軍の情報能力は秘密にされており、それらの詳細は不明である。；基本的には、確実に秘密にすることが可能なシステムではない。</t>
        </is>
      </c>
      <c r="J7177">
        <f>HYPERLINK("https://www.weblio.jp/content/秘密", "词义详情")</f>
        <v/>
      </c>
      <c r="K7177">
        <f>HYPERLINK("https://yourei.jp/秘密", "查看例句")</f>
        <v/>
      </c>
    </row>
    <row r="7178">
      <c r="A7178" t="inlineStr">
        <is>
          <t>微妙</t>
        </is>
      </c>
      <c r="B7178" t="inlineStr">
        <is>
          <t>成功</t>
        </is>
      </c>
      <c r="C7178" t="inlineStr">
        <is>
          <t>読み方：びみょう
［名・形動］
１趣深く、何ともいえない美しさや味わいがあること。また、そのさま。みみょう。
「此—な叙景の筆の力が」〈独歩・武蔵野〉
２一言では言い表せないほど細かく、複雑なさま。また、きわどくてどちらとも言い切れないさま。「気持ちが—に変化する」「セーフかアウトか—な判定」「愛国主義と国粋主義の—な関係」
３（「微妙に」の形で）少々。やや。「—に歪んで見える線」「彼の話には—に嘘が混じっている」
４（「ビミョー」と書くこともある）俗に、否定的な気分を婉曲にあらわす語。明言したくないときなどにも使う。「『テストできた?』『—』」
[派生]びみょうさ［名］</t>
        </is>
      </c>
      <c r="D7178" t="inlineStr">
        <is>
          <t>微妙な変化(2%)；微妙なところ；微妙な違い；微妙な関係；微妙なバランス</t>
        </is>
      </c>
      <c r="E7178" t="inlineStr">
        <is>
          <t>難しい；微妙な；めんどう；デリケート；判断できない</t>
        </is>
      </c>
      <c r="F7178" t="inlineStr">
        <is>
          <t>それぞれ微妙；微妙なアンジュレーション；微妙な陰影；微妙な諧調；微妙な色合</t>
        </is>
      </c>
      <c r="H7178" t="n">
        <v>29</v>
      </c>
      <c r="I7178" t="inlineStr">
        <is>
          <t>また時にはもっとも観察に困難な場所での微妙な実験をすることもある。；記念碑が建てられたが、道路改修工事の度に場所が微妙に移動している。；微妙な違いで気づきにくいものもあれば、極端に違いすぎるものもある。；観客から微妙と評価されるレフェリングで注目される有望株といわれる。；当該地域は中国・ビルマ・シャムと接する政治的に微妙な地域であった。；バンドは存続したが、「微妙な距離感が生まれた」と吉井は語っている。；しかし、通常の動画ではもっと微妙な変化の時間が問題となることが多い。；歴史的な発展過程も微妙に違い、都市圏の明確な帰属関係は付けがたい。；このため、二人の間では微妙な緊張感が漂っていたと指摘している。；その後の時代の変化に対応する形で、作品の表現は初出時と微妙に変化した。；一つの形態素が互いに微妙に異なる複数の現れ方をすることがある。；しかしながら、そのような美術の一体性の問題は微妙なものであり続けている。；また、貧しい環境の自然児的な主人公が、微妙な摩擦を起こす話が多い。；そのため、技術的に可能であっても実用化されるのは微妙であるといえる。；明確な定義はないものの、微妙に異なった意味で使用されている。；同じ色番でも、ロットが違うと微妙に色味が異なることがあるためである。；これは時局的に微妙な原日本人論争を避けることができるためとも言われる。；その間はわずか2サイクルであり、微妙なタイミング調整を必要とする。；日本の現場の記者らは、その微妙なバランス取りに悩まされる事となった。；ただし後述のように、この定義は数学における主要な定義とは微妙に異なる。；インパクトファクターと同様に、これらにもいくつかの微妙な違いがある。；越冬時の温度・水分条件はかなり微妙で、越冬中の枯死率は低くはない。；ハシディズムでは、服装の微妙な違いで、宗派ごとの違いを区別できる。；この楽器の基本的な特徴は、微妙な強弱表現ができ、小型である点にあった。；後述のネット局の配信の関係もあり、タイトルコールは微妙に違っていた。；アルバムとシングルでは間奏ギターソロの長さ等、微妙に異なる部分がある。；同時に、水銀柱の高さは日々微妙であるが変化することも発見した。；建造が長期に渡った事もあり、竣工した4隻は、微妙に装備が異なる。；キャラクターによりリアクションを起こした際等の台詞が微妙に異なる。</t>
        </is>
      </c>
      <c r="J7178">
        <f>HYPERLINK("https://www.weblio.jp/content/微妙", "词义详情")</f>
        <v/>
      </c>
      <c r="K7178">
        <f>HYPERLINK("https://yourei.jp/微妙", "查看例句")</f>
        <v/>
      </c>
    </row>
    <row r="7179">
      <c r="A7179" t="inlineStr">
        <is>
          <t>悲鳴</t>
        </is>
      </c>
      <c r="B7179" t="inlineStr">
        <is>
          <t>成功</t>
        </is>
      </c>
      <c r="C7179" t="inlineStr">
        <is>
          <t>読み方：ひめい
［名］(スル)
１悲しんで鳴くこと。また、その声。
「家鶏は窮屈なる籠に—す」〈独歩・愛弟通信〉
２苦痛・恐怖などのために声をあげること。また、その声。「激痛に—をあげる」
「またまた—する新太を」〈露伴・いさなとり〉
３自分だけの手におえず、他に助けを求める声。「忙しさに—をあげる」</t>
        </is>
      </c>
      <c r="D7179" t="inlineStr">
        <is>
          <t>悲鳴を聞きつけ；悲鳴じみ；悲鳴まじり；悲鳴を上げる暇；悲鳴を上げる間もなく</t>
        </is>
      </c>
      <c r="E7179" t="inlineStr">
        <is>
          <t>呼ぶ；叫び；叫び声；叫ぶ；絶叫</t>
        </is>
      </c>
      <c r="F7179" t="inlineStr">
        <is>
          <t>甲高い悲鳴；短い悲鳴；鋭い悲鳴；恐ろしい悲鳴；けたたましい悲鳴</t>
        </is>
      </c>
      <c r="H7179" t="n">
        <v>29</v>
      </c>
      <c r="I7179" t="inlineStr">
        <is>
          <t>鏡の像に声はなくとも、彼女は恐しい悲鳴を発したことでありましょう。；何が起きたのか分からず混乱している中で店の裏手から悲鳴が聞こえる。；私が悲鳴をあげると、その瞬間に息子のアーサが部屋に入ってきました。；彼らの生活を豊かにするエネルギーの源は「人間の子供の悲鳴」である。；すると、その壁からすすり泣きか悲鳴のような奇妙な声が聞こえてきた。；何かが這い寄って来る音が響き、眠っていたレゲッティが悲鳴を上げる。；ただ自分が操っている機関銃のみが反抗の悲鳴を続けているのであった。；一家の主人も部屋住の若侍も、その悲鳴を聞いた者は月の下を駈けつけた。；通行量が増え過ぎて悲鳴を上げる沿道の村々の記録が各地に残っている。；おさだは悲鳴を揚げないばかりにして自分の母親の方へ飛んで行った。；何かその口から恐ろしい悲鳴が聞こえているようにすら感じられるのであります。；第二の疑問は、兇行の時になぜ物音も悲鳴もきこえなかったのでしょう?；教授はベッドに起き上がっていて、遠くで悲鳴が聞こえただけと言う。；それを見つけた生徒たちは悲鳴を上げて教室から飛び出し、大騒ぎとなる。；彼女はまさか悲鳴を上げる訳にも行かず、仕方なくわしについて来た。；何かの悲鳴を聞いたようにも、またそうでないようにも思われた。；それは悲鳴を聞いてから四五分ほど経ってのちのことだった。；祖母が悲鳴をあげたので、兄が飛んできて、兄と僕は掴み合いをしました。；再び女の悲鳴がして、こっちへ駈け来る足音が、廊下の方から聞こえて来た。；道がでこぼこしていて、そこに車が入ると、自動車は異様な悲鳴をあげた。；しばらくして恐ろしい悲鳴が聞こえ、同時に重い物が倒れる音がした。；彼の姿を見たものは悲鳴をあげ、我先に逃げようとしていたのである。；留守電を聞くと、そこにはレアンの悲鳴のような声が録音されていた。；この場面は劇場では子供たちから悲鳴が上がったそうである。；辺りを散策していた主人公は悲鳴を聞き、池で溺れている女性を発見する。；黄は抱いている男を大石に叩きつけると、男は悲鳴をあげて助けを求めた。；スクリーンの裏から悲鳴が聞こえてくるようで、これでは有料の拷問だ。；トムは恐怖のあまりに思わず悲鳴をあげるが、どうやら夢だった模様。；それに、丁度その時、彼は二階の方から女の悲鳴らしいものを聞いた。</t>
        </is>
      </c>
      <c r="J7179">
        <f>HYPERLINK("https://www.weblio.jp/content/悲鳴", "词义详情")</f>
        <v/>
      </c>
      <c r="K7179">
        <f>HYPERLINK("https://yourei.jp/悲鳴", "查看例句")</f>
        <v/>
      </c>
    </row>
    <row r="7180">
      <c r="A7180" t="inlineStr">
        <is>
          <t>秘める</t>
        </is>
      </c>
      <c r="B7180" t="inlineStr">
        <is>
          <t>成功</t>
        </is>
      </c>
      <c r="C7180" t="inlineStr">
        <is>
          <t>読み方：ひめる
［動マ下一］［文］ひ・む［マ下二］内に隠して人に知られないようにする。また、内部にもつ。秘する。「思いを胸に—・める」「—・められた過去」「無限の可能性を—・める」</t>
        </is>
      </c>
      <c r="D7180" t="inlineStr">
        <is>
          <t>持つ；含む；抱く；隠す；覆う</t>
        </is>
      </c>
      <c r="H7180" t="n">
        <v>29</v>
      </c>
      <c r="I7180" t="inlineStr">
        <is>
          <t>良い方向へ作用するものは、悪い方向へも作用する可能性を秘めている。；それから彼はまた妻が今もなお秘めて持っているその男の写真を見た。；聞かせたくない事実が秘められていればこそ語ることを避けるのであろう。；たしかに一部の研究成果は商業的な収益を生み出す可能性を秘めている。；「島心」という曲には何か不思議な可能性が秘められていると思います。；しかしクレアが秘めていた事情はカルエルの想像を超えるものであった。；色々と調べていく中、3人は秋に秘められた大きな秘密を知る事になる。；或は佳子さんの写真が秘め忘れてありはしまいかと思いついたのだった。；石には4つのタイプがあり、それぞれに様々な能力が秘められている。；そして最後に、私の胸の中だけに秘めてることを御話し致しましょう。；この広大な領域は人類に必要な莫大な資源を秘めている可能性がある。；今の彼は再び力を証明しようと決意を秘めているように見える。；彼女のセクシーさは目につきやすいものではなくて、秘めたものなのです。；正宗以上の力が秘められていると思われるもののそれが強調された描写はない。；心に秘めるばかりで、離婚など容易にできぬ時代だったせいもある。；その裏にはアメリカとロシアを巻き込む恐るべき陰謀が秘められていた。；ここはまた、深森や崖の地、薄明の森、泥地と違った危険を秘めていた。；中でも描かれる女性の表情は、深く、何かを秘めたような面持ちである。；身体に無数の機械腕を装備し、両目から凄まじい力を秘めた光線を出す。；小田原にあひ見てこのかたこの日に至つて頂点に達した秘められた友愛。；すなわち退屈が内に秘めている教育学的可能性に目を向けていないのである。；深良家に秘められた謎の真実とは何か、そして真犯人はいったい誰なのか?；その刀身は黒々としていて大きな力を秘めていたが、今は刃は鈍っていた。；打率こそ安定しないものの、打撃にも意外性と一発長打を秘めていた。；それ以外の、ナマの感情は、互いに内に秘めることを前提にしていた。；謀反の疑いを掛けられながらも、ある決意を秘め、全てを捨てた日番谷。；町々の縫物子が、其を買うては、護り魂のやうに秘めて居たものである。；我ら一行の手は、初めてこの秘められたる、白い肌に触れたのである。；彼れのおもい秘めたような心を自分たちへ敢て開こうとはしなかった。</t>
        </is>
      </c>
      <c r="J7180">
        <f>HYPERLINK("https://www.weblio.jp/content/秘める", "词义详情")</f>
        <v/>
      </c>
      <c r="K7180">
        <f>HYPERLINK("https://yourei.jp/秘める", "查看例句")</f>
        <v/>
      </c>
    </row>
    <row r="7181">
      <c r="A7181" t="inlineStr">
        <is>
          <t>紐</t>
        </is>
      </c>
      <c r="B7181" t="inlineStr">
        <is>
          <t>成功</t>
        </is>
      </c>
      <c r="C7181" t="inlineStr">
        <is>
          <t>読み方：じゅう
⇒ちゅう</t>
        </is>
      </c>
      <c r="D7181" t="inlineStr">
        <is>
          <t>紐付け；紐づけ；紐を巻きつけ；紐を結び直し；紐をしっかり</t>
        </is>
      </c>
      <c r="E7181" t="inlineStr">
        <is>
          <t>糸；ひも；緒；撚り；ストリング</t>
        </is>
      </c>
      <c r="F7181" t="inlineStr">
        <is>
          <t>皮紐；細い紐；顎紐；飾り紐；ゴム紐</t>
        </is>
      </c>
      <c r="G7181" t="inlineStr">
        <is>
          <t>紐帯；紐状；紐解く；紐解い；紐付き</t>
        </is>
      </c>
      <c r="H7181" t="n">
        <v>29</v>
      </c>
      <c r="I7181" t="inlineStr">
        <is>
          <t>その中でも小穂が紐のようにだらりとしている様子はかなり独特である。；各列のボタンを繋ぐ紐が特徴であり、日本では肋骨服とも呼ばれている。；一般のブランコの紐を長くし台を極限まで小さくしたものと解してよい。；なお紐の長さの調整、サインを書き込む程度であればこの限りではない。；楽器に対しては距離をとり、一歩ほど引いた位置に立って紐を構えた。；外から見ると、地面から柔らかい紐か何かが伸びているように見える。；つまり、紐を使った簡単なトリックで外から鍵を入れたと考えられる。；もし紐が切れてしまった場合には軸穴に入る太さのタコ糸で代用すればよい。；この人物はその板の上に自分の足を靴をはいたまま載せて、紐で足を固定している。；足には紐が結わえ付けてあり、穴から引き出して貰えるようにしていた。；それは印章の反対側に紐や袋のマークが印されていることも裏付けになる。；蝶結びは主に1本の紐の端と端を結んでなにかを縛るのに使用される。；夫婦は両手を紐で後ろ手に縛られた状態で建物から連行されていった。；髪はともかく、産毛の手入れに刃物ではなく紐を使う地域も少なくない。；キープは、インカ帝国で使われた紐に結び目を付けて数を記述する方法。；紐を渡らせる場合、胴体と下側の軸の間の部分に紐がかかるようにする。；中央には伝統的な道具が歯車の上に乗って、全体を結ばれた紐が囲んでいる。；問題箱は箱の中の紐を引くと扉が開くようになっている。；福引担当の家の向かいの家から渡したロープにつるし紐で手繰り寄せた。；落下に備えた安全策として、鎖や紐に結び付けて首に吊すようになった。；鎖・紐を環状にしてネックレスのように首からかけている写真も多く見られる。；紐を引くと音が鳴る物は、英語ではパーティーポッパーと呼ぶことが多い。；しかし、何らかのきっかけで紐を引くと扉が開き、餌をとることができる。；鵜の喉の紐は調節可能であり、一定の大きさ以下の鮎は鵜の胃袋に入る。；多くは木製 で、その上に鮫皮を張り柄巻きと呼ばれる帯状の紐を巻く。；なお、イギリスで一般的なティーバッグは丸型で紐がついていない。；現代フランス語ではaiguilletteは飾り紐の方を指す語になっている。；手が蹄のため紐を結ぶことが出来ないが、物を持ったり投げることは出来る。；それ以前は紐を複雑な結び目で結んで鍵の代わりとしていた。</t>
        </is>
      </c>
      <c r="J7181">
        <f>HYPERLINK("https://www.weblio.jp/content/紐", "词义详情")</f>
        <v/>
      </c>
      <c r="K7181">
        <f>HYPERLINK("https://yourei.jp/紐", "查看例句")</f>
        <v/>
      </c>
    </row>
    <row r="7182">
      <c r="A7182" t="inlineStr">
        <is>
          <t>冷やかす</t>
        </is>
      </c>
      <c r="B7182" t="inlineStr">
        <is>
          <t>成功</t>
        </is>
      </c>
      <c r="C7182" t="inlineStr">
        <is>
          <t>読み方：ひやかす
［動サ五（四）］
１相手が困ったり恥ずかしがったりするような言葉をかけてからかう。「仲がいいのを—・す」
２水・氷や風に当てるなどして冷たくする。ひやす。「鮨飯(すしめし)を—・す」
３（「素見す」とも書く）
㋐買う気もないのに、商品を手にとったり値段を聞いたりする。「露店を—・して歩く」
㋑遊郭で、登楼しないで遊女を見てまわる。「張り見世を—・す」
[補説]江戸の浅草山谷(さんや)あたりの紙漉き業者が、原料を水で冷やす間、吉原見物をしたところから出た語という。
[可能]ひやかせる</t>
        </is>
      </c>
      <c r="D7182" t="inlineStr">
        <is>
          <t>冷やかすような声(2%)；冷やかすような笑み</t>
        </is>
      </c>
      <c r="E7182" t="inlineStr">
        <is>
          <t>冷却；揶揄；からかう；冷える；嘲る</t>
        </is>
      </c>
      <c r="H7182" t="n">
        <v>29</v>
      </c>
      <c r="I7182" t="inlineStr">
        <is>
          <t>エイプリルが店を冷やかしながら通るのにも、特に関心は寄せなかった。；しかし彼は、鞠恵と違って冷やかし半分の笑みを浮かべてはいなかった。；ひとたび同情の輪に囲まれると、冷やかそうとする男の子が必ず現れる。；買物は食事を済ませてからと考えていたので、冷やかしのつもりだった。；滝は仕事でいなかったが、このようすを見たらまた冷やかしたろう。；女たちを抱えた幹部たちは、新城を冷やかしながらグラスを差しあげた。；たとえ冷やかしの来訪者でも、なんの反応もないよりははるかにいい。；と、冷やかし半分に尋ねると、朝倉は向きになって否定したものだった。；下手に冷やかしたりしては楽しい見世物が終わってしまうではないか。；冷やかしの客が来るたびに店じまいをしていたのでは商売にならないのではないか。；たぶん、そんな竹箒なんか持って来たのを冷やかしているのでしょう。；彼女が何度か冷やかすようにわたしの目を見つめるのに気づいた。；彼がわたしの恰好を見て、今年も北朝鮮の秘密部隊だねと冷やかすの。；会社へ女文字の手紙なぞ行くと、みんなして冷やかして困るのですって。；彼に粗暴な態度をとらせようとせず、不機嫌になると、それを冷やかした。；しかも返事の終わりのほうに翌日の朝出発することに決めたと冷やかすように書いてやったのである。；食事も睡眠もとらず、男子学生たちの冷やかしや野次にも耐え続けた。；そんなふうに冷やかしていると、店の売り子さんに声をかけられた。；「そんな顔をしないでくださいよ」北見氏が冷やかすような口調になった。；周囲を取りまくやじ馬は、冷やかしの言葉もなく息をのんで見つめている。；「冗談だよ」 別に、冷やかすようでもなく、木川田くんは言いました。；彼女がみえなくなってしまうと、後から、だれかの冷やかす声が聞こえる。；彼は、冷やかし半分に仲間のボクサーからこういわれたことがある。；以前は女性の浅知恵と冷やかしていたホームズも、最近は一言もない。；屋台を冷やかしているうちに、一軒の店の前で彼は足を止めた。；それはいささか大袈裟なほどの量で、村上は三年分ある、と冷やかした。；こうして冷やかし気分で家を見て歩き、五軒目に出合ったのが今住んでいる家である。；僕をちょっとばかり冷やかしたのを思い出してくれるかい?；いつもの癖で、こんな場合でもやや冷やかし口調になっている。</t>
        </is>
      </c>
      <c r="J7182">
        <f>HYPERLINK("https://www.weblio.jp/content/冷やかす", "词义详情")</f>
        <v/>
      </c>
      <c r="K7182">
        <f>HYPERLINK("https://yourei.jp/冷やかす", "查看例句")</f>
        <v/>
      </c>
    </row>
    <row r="7183">
      <c r="A7183" t="inlineStr">
        <is>
          <t>百</t>
        </is>
      </c>
      <c r="B7183" t="inlineStr">
        <is>
          <t>成功</t>
        </is>
      </c>
      <c r="C7183" t="inlineStr">
        <is>
          <t>読み方：ひゃく
［音］ヒャク（呉）ハク（漢）　［訓］もも
［学習漢字］1年
１数の名。10の10倍。「百人／数百」
２数が多い。たくさんの。「百科・百貨・百官・百事・百獣・百戦・百代・百般／凡百」
［名のり］お・と・も
［難読］百済(くだら)・百日紅(さるすべり)・百足(むかで)・百舌(もず)・八百万(やおよろず)・百合(ゆり)</t>
        </is>
      </c>
      <c r="D7183" t="inlineStr">
        <is>
          <t>百万(9%)；百人(7%)；百合(5%)；百年(4%)；百五十(4%)</t>
        </is>
      </c>
      <c r="E7183" t="inlineStr">
        <is>
          <t>万；千；萬；八百；八百万</t>
        </is>
      </c>
      <c r="F7183" t="inlineStr">
        <is>
          <t>二百；三百；五百；何百；四百</t>
        </is>
      </c>
      <c r="G7183" t="inlineStr">
        <is>
          <t>百貨店；百年；百メートル；百済；百科事典</t>
        </is>
      </c>
      <c r="H7183" t="n">
        <v>29</v>
      </c>
      <c r="I7183" t="inlineStr">
        <is>
          <t>その名は百の手を意味し、五十頭百手の巨人の姿をしているとされる。；グレゴリオ暦はその後数百年かけて各国で採用され、現在に至っている。；文化大革命による犠牲者の合計数は数百万から数千万とも言われている。；ベンツは最初の自動車販売店を作り、生産した自動車を数百台販売した。；アイルランド政府の要請に応じて中国との間で数百便の運航が予定された。；数百万年前、アフリカの小型のサルが二本足で直立する能力を獲得した。；百八とは仏教で言う煩悩の数でもあり、除夜の鐘で突かれる数でもある。；百座のうち自分がいくつ登ったか増えていくのを楽しみにしている読者もいる。；現在の日本のロバは200頭という説もあり、多くとも数百頭であろう。；傍らには白い百合が置かれているが、天使が百合を携えている場合もある。；その礼として持っていた百金はする剣を渡そうとしたが、漁師は断った。；他の将軍が失敗する中で衛青だけが敵の首級数百を獲得する戦果を挙げた。；数百の教会が破壊され、弾圧を恐れた数万の民衆が山野に逃れている。；連珠盤の価格は将棋盤とほぼ同じで数千円から数百万円までさまざま。；本体に搭載されている記憶装置に数百から数万曲の音楽を保存することができた。；また「実際の感染規模は政府公表の数百倍を超える」とする専門家もいる。；道子は夫と百合の過去を知り、子どもを連れて実家に帰ってしまう。；一方で新羅への攻撃では百済は高句麗と連携し、更に倭国とも協力した。；最初の新聞は1873年に発行され、今日では何百もの印刷所がある。；骨も金属元素を多く含んでいることから、数百HU程度の高吸収値を示す。；一皿数百円の価格設定で寿司ネタの質が相対的に高い店は対面型が多い。；価格はA2サイズでも数千円程度、小さいものだと数百円程度の物も存在する。；新古今和歌集に収録された当歌は、後に『百人一首』に採録されている。；身を引くしかない百合は絶望して田倉家を出、希望の窯元にやってくる。；寺の周辺には無数の付属寺院の子院が建てられ、最盛期には百か院以上を数えた。；第3は、百済が日本に献する人質が制度化されていたということである。；万の位で車両のサイズ、千・百の位で製造会社、十・一の位で用途を示す。；現在世界に存在する言語の数は千数百とも数千とも言われる。；つまり、短期間で数百隻もの艦隊を就航させるようになっていったのである。</t>
        </is>
      </c>
      <c r="J7183">
        <f>HYPERLINK("https://www.weblio.jp/content/百", "词义详情")</f>
        <v/>
      </c>
      <c r="K7183">
        <f>HYPERLINK("https://yourei.jp/百", "查看例句")</f>
        <v/>
      </c>
    </row>
    <row r="7184">
      <c r="A7184" t="inlineStr">
        <is>
          <t>日焼け</t>
        </is>
      </c>
      <c r="B7184" t="inlineStr">
        <is>
          <t>成功</t>
        </is>
      </c>
      <c r="C7184" t="inlineStr">
        <is>
          <t>読み方：ひやけ
［名］(スル)
１強い日ざしを受けて肌が黒みを帯びたり、炎症を起こしたりすること。「—した顔」《季夏》「タイピスト倦めり—の腕長く／草城」
２日光を受けて変色すること。「—した壁紙」
３日照りで、池・田・川などの水がなくなったり草木・作物が枯れたりすること。</t>
        </is>
      </c>
      <c r="D7184" t="inlineStr">
        <is>
          <t>日焼け防止；日焼けした手；日焼け剤；日焼け効果</t>
        </is>
      </c>
      <c r="F7184" t="inlineStr">
        <is>
          <t>ひどく日焼け；赤く日焼け；強い日焼け</t>
        </is>
      </c>
      <c r="G7184" t="inlineStr">
        <is>
          <t>日焼けサロン；日焼けマシーン；日焼けマシン</t>
        </is>
      </c>
      <c r="H7184" t="n">
        <v>29</v>
      </c>
      <c r="I7184" t="inlineStr">
        <is>
          <t>冬のパリではあまりお目にかかれないほど日焼けした顔がそこにあった。；黒く日焼けしていた顔の色がかなり剥げてしまっているためであろうか?；本を日焼けから守るために、北向きの部屋を書庫にする人は多いという。；日焼けしてたくましくなったと思える顔が、自分だけを見て叫んでいた。；と、その時を狙ったように、背の高い、日焼けした若い男が席を立った。；太陽は自分の顔と手を日やけさせ、興奮させる潮風は感情の力を強めた。；日焼けして赤くなった畳だが、畳を見ただけで、保郎は胸が熱くなった。；輸送トラックの高い運転席から彼女を見下ろしている日焼けした男たち。；あまり日焼けしない質らしい白い肌の上で、水が玉になって弾かれていた。；男の顔は赤黒く、日焼けしているのだか汚れているのだか区別がつかない。；あるいは、夏になって海へ行けば、やはり日焼けで皮膚が黒くなります。；女ばかりの列ができていて、そこに日焼けした秋庄がその巨体を加える。；日焼けした部分と、そうでない部分の皮膚の色が大きく違っている。；それ以前に会った時よりもわずかばかり日焼けが濃くなっているだけだった。；見覚えのあるエネルギッシュな叔父の顔が、やや日焼けして笑っていた。；イタリアとスペインの陽光をあびて赤銅色に日焼けした顔が並んでいる。；顔が真っ赤っかなのは飲んでいるビールのせいではなく日焼けだった。；つまり日焼けではなく商売ものの煎餅同様に火焼けしているのだった。；着用者は通常日焼けの効果を披露できるようスリムでなければならなかった。；日焼けとは縁のなさそうな肌の白さだが、今は茄で上がったみたいに赤い。；日焼けした骨相は猛々しいが、子どものような愛嬌のある瞳をしていた。；即時黒化と呼ばれる、日焼け後すぐに黒くなる現象をもとに算出される。；日焼けと見たのはひが目で、この異常に赤黒い顔は酒焼けではあるまいか。；ブロンドの女のように日焼けした彼女の方は、頭にスカーフをまいていた。；日焼けした恰幅のいい運転手が、ギアチェンジすると、女の顎が揺れた。；窓の側を通り過ぎるだけで日焼けが進行して、ついでに髪が燃えそうだった。；みっともなくたってどうでもいいのよ、日焼けもなにもどうだっていいの。；「命令してくれ」 日焼けした兵士の顔は、いっそう赤くなっていました。；四人の男が乗っていて、四人とも日やけした荒っぽい顔をしていた。</t>
        </is>
      </c>
      <c r="J7184">
        <f>HYPERLINK("https://www.weblio.jp/content/日焼け", "词义详情")</f>
        <v/>
      </c>
      <c r="K7184">
        <f>HYPERLINK("https://yourei.jp/日焼け", "查看例句")</f>
        <v/>
      </c>
    </row>
    <row r="7185">
      <c r="A7185" t="inlineStr">
        <is>
          <t>冷やす</t>
        </is>
      </c>
      <c r="B7185" t="inlineStr">
        <is>
          <t>成功</t>
        </is>
      </c>
      <c r="C7185" t="inlineStr">
        <is>
          <t>読み方：ひやす
［動サ五（四）］
１冷えた状態にする。つめたくする。「麦茶を—・す」「患部を氷で—・す」
２気持ちの高ぶりを鎮める。冷静にする。「興奮した頭を—・す」
３ひやりとさせる。ぞっとさせる。「恐ろしさに肝を—・す」
[可能]ひやせる</t>
        </is>
      </c>
      <c r="H7185" t="n">
        <v>29</v>
      </c>
      <c r="I7185" t="inlineStr">
        <is>
          <t>総攻撃をして、そこの街の住民の肝を冷やしてやることも目的の一つだ。；けれど本当に吐き気がしていたので、トイレに入って水で顔を冷やした。；空気が冷やされると、それ以上の水蒸気を保持することができなくなる。；つよく乗った後では、こうして馬の脛を冷やしてやるのがよいのだった。；夏はモントレー湾で空気が冷やされるために涼しい夜になることが多い。；風が少し吹いていて、その風がコンクリを冷やしていくそのときの匂い。；温められたガスが表面まで出てくると、冷やされて再び恒星内部に戻る。；言う事を聞く振りをして、頭を冷やさせる方に持って行こうとした。；しかし頭を冷やしてみると、自分がどれほど賢明だったかわかってきた。；酒を飲むガラスのコップなど冷蔵庫で冷やして曇って出て来るのである。；寝て頭を冷やさせるのよ: 二人の警備兵はうかぬ顔で彼女を見つめ。；そうした上流階級では、飲料や食事を冷やすために氷が用いられていた。；この潜熱のことは、水を次第に冷やしてゆく場合を考える方が分りよい。；潮の退いている海ではあるが、それでも颶風の声は人々の胸を冷やした。；それで廊下には到るところに、冷やした水道水が出るようになっている。；より経験豊かな料理人は、焼き飯を作るためにまず米を冷やしてから使う。；氷を入れ冷やして飲むため、夏には欠かせない定番の飲料となっている。；兎もあれ麦酒を一二本冷やして呉れといふと、そんなものは無いといふ。；焼けた石を飲んだものが海に逃げて体を冷やして助かった例もあるとされる。；湯の温まりが全身に廻って来たとき、彼は窓の傍へ行って身体を冷やした。；ぼくは、すこし休んで熱くなった体を冷やそうと思って、腰をおろした。；頭を冷やした方がいいだろうな、と視線をその扉の一つに向けた。；身体を冷やす作用があるため、多く食べ過ぎるのは良くないとも言われている。；すぐに冷やさないと大変ですから、太郎さんの耳たぶを貸してください!；が、念のため冷やしておくことにしたのは半分はリンネへの当てつけである。；汗で水をあびたように濡れていた身体が急速に冷やされていった。；しかし、その空気では大神の身体の内側は冷やすことはできなかった。；その後、機械から取り出されたばねは、操作者が油の中に入れて冷やす。；いつもだったら、腹を冷やすぞ、と注意するところだが、私は黙っていた。</t>
        </is>
      </c>
      <c r="J7185">
        <f>HYPERLINK("https://www.weblio.jp/content/冷やす", "词义详情")</f>
        <v/>
      </c>
      <c r="K7185">
        <f>HYPERLINK("https://yourei.jp/冷やす", "查看例句")</f>
        <v/>
      </c>
    </row>
    <row r="7186">
      <c r="A7186" t="inlineStr">
        <is>
          <t>百科事典</t>
        </is>
      </c>
      <c r="B7186" t="inlineStr">
        <is>
          <t>成功</t>
        </is>
      </c>
      <c r="C7186" t="inlineStr">
        <is>
          <t>読み方：ひゃっかじてん
人類の知識の及ぶあらゆる分野の事柄について、辞書の形式に準じて項目を立てて配列し、解説を加えた書物。</t>
        </is>
      </c>
      <c r="D7186" t="inlineStr">
        <is>
          <t>百科事典的(5%)；百科事典プロジェクト；百科事典作成；百科事典編纂；百科事典gundamofficials</t>
        </is>
      </c>
      <c r="E7186" t="inlineStr">
        <is>
          <t>百科全書；百科；百科辞典；エンサイクロペディア；百科辞書</t>
        </is>
      </c>
      <c r="F7186" t="inlineStr">
        <is>
          <t>公式百科事典；医学百科事典；電子百科事典；運営する多言語百科事典；エンカルタ百科事典</t>
        </is>
      </c>
      <c r="H7186" t="n">
        <v>29</v>
      </c>
      <c r="I7186" t="inlineStr">
        <is>
          <t>現在でも百科事典や雑誌などに天文関係の解説を多数の寄稿をしている。；各分野の権威が編纂した百科事典を自由に利用できるサービスを謳った。；百科事典の楽しさは、不必要なとなりの項目が目にはいるところにある。；これなどはその後の百科事典からは当然のことながら完全に消えたものである。；学校行かなくなった代わりに、図書館で百科事典など様々な本を読んでいた。；この百科事典は、その次の版が出版された1966年にに買収された。；あまり気にせず大きいものから埋めていければ百科事典的によいと思います。；その為、名称は人類の基本的な知識を繋げる百科事典であると解釈できる。；むろん、私はそんな「シナの百科事典」を見たこともきいたこともない。；この話を遊覧船の温泉客が聞いて、あとで家に帰って百科事典で調べている。；もっとも、彼はその「シナのある百科事典」を直接読んだわけではない。；しかし、百科事典は酒だけを主題としているものではありません。；その後、数年は雑誌や百科事典に記事を執筆して家族の生活費を稼いだ。；著作権が切れていない書籍百科事典の内容を無償で公開しているものがある。；当然この百科事典の内容は当時の日本の学界を代表したものであったと考えてよい。；さて、とら年になって、やっと百科事典でトラの項目を見る余裕ができた。；また百科事典の記事では必ず検証可能性を満たすようにしてください。；記憶力が高く、読破した百科事典の内容を完全に記憶していたという。；私は離れたソファーで、クッションを抱きながら百科事典を読み始める。；百科事典の内容を再利用できるかどうかで、サイトごとに様々な違いがある。；いくらなんでも、そんな奇妙な百科事典があるわけがないと思えてきたからである。；捏造された百科事典に語られる幻想国家とその文化をめぐる奇譚である。；最初に見かけた棚の前を動かずに百科事典みたいな本を読みふけっていたからである。；当百科事典でも、愛と恋は区別し、恋のほうは恋愛という別記事で説明する。；高校卒業後は定職に就かず百科事典の訪問販売などで生計を立てていた。；彼は部屋の奥まで行き、本棚から大きな百科事典のような本を抜き出した。；ところがこの百科事典が大学を卒業してから意外に役に立つようになったのである。；心を持つ者どうしの出会いとは、百科事典を交換することではない。；裏表紙にも百科事典ページがあり、生活の中での身近なものを採用していた。</t>
        </is>
      </c>
      <c r="J7186">
        <f>HYPERLINK("https://www.weblio.jp/content/百科事典", "词义详情")</f>
        <v/>
      </c>
      <c r="K7186">
        <f>HYPERLINK("https://yourei.jp/百科事典", "查看例句")</f>
        <v/>
      </c>
    </row>
    <row r="7187">
      <c r="A7187" t="inlineStr">
        <is>
          <t>百貨店</t>
        </is>
      </c>
      <c r="B7187" t="inlineStr">
        <is>
          <t>成功</t>
        </is>
      </c>
      <c r="C7187" t="inlineStr">
        <is>
          <t>読み方：ひゃっかてん
⇒デパート</t>
        </is>
      </c>
      <c r="D7187" t="inlineStr">
        <is>
          <t>百貨店事業；百貨店業態；百貨店内；百貨店業界；百貨店等</t>
        </is>
      </c>
      <c r="E7187" t="inlineStr">
        <is>
          <t>店舗；蔵；倉庫；スーパー；商店</t>
        </is>
      </c>
      <c r="F7187" t="inlineStr">
        <is>
          <t>東急百貨店；小田急百貨店；大手百貨店；京王百貨店；東武百貨店</t>
        </is>
      </c>
      <c r="G7187" t="inlineStr">
        <is>
          <t>百貨店売上高</t>
        </is>
      </c>
      <c r="H7187" t="n">
        <v>29</v>
      </c>
      <c r="I7187" t="inlineStr">
        <is>
          <t>駅や列車内以外に、各地の名物として百貨店等で販売されることもある。；また郊外の大型SCに出店したりして売上を伸ばしている百貨店もある。；郊外型ショッピングセンター内での百貨店運営への挑戦も失敗に終わった。；百貨店に電話すると仁は十日前に退職しており、消息不明になっていた。；以前は北口に百貨店が複数存在したが、現在ではすべて撤退している。；駅のほか百貨店・バスターミナルなどで構成される複合商業施設である。；日本百貨店協会には非加盟だったが、一般的には百貨店として扱われる。；百貨店での勤務経験を元にした、経営方法からの批評を特徴とする。；かつては、その豊富な店舗構成から「横に長い百貨店」とも称された。；期間限定ながら各地の百貨店などの催事会場で購入することが可能となった。；学校制服専門店や百貨店の制服コーナーなどで販売されることが多い。；現在では西武系に限らず、大手百貨店の主要店には比較的多く出店している。；百貨店などに設置されているような大都市型簡易郵便局も存在した。；また、近鉄電車の切符や全国百貨店共通商品のプレゼントも行っていた。；百貨店などでもセールなどをする場合はイチキュッパを使用することもある。；新聞記者の夫と二人暮らしであり、百貨店勤務を経て現在に至る。；しかしながら西大寺という立地に興味を抱いたのが近鉄百貨店であった。；池袋店のように百貨店の5フロアをレストランが占めるのは非常に珍しい。；株式会社トキハは、大分県下で3店舗の百貨店等を運営する企業である。；後に百貨店や映画館も進出し、新興の盛り場として発展し始めていた。；かつてはこの本町通り沿いに百貨店・GMSのまるよしが立地していた。；地方百貨店としてはエレベーターガールのいる数少ない店の一つである。；当初は百貨店は高級志向であり、様々な高級品を中心に質と種類を求め陳列した。；百貨店では知り得ない様な小さな取引先がハンズとロフトで共有していた理由でもある。；百貨店テナントとして歴史も人材も持たぬところからのスタートであった。；現在では全国の百貨店などに店舗を展開している。；高島屋に次ぐ国内2位の巨大百貨店グループが誕生することになった。；日本百貨店協会へ統合された2010年時点で加盟していた百貨店は以下の通り。；駅周辺は百貨店などの商業ビルが林立し、横浜最大の繁華街となっている。</t>
        </is>
      </c>
      <c r="J7187">
        <f>HYPERLINK("https://www.weblio.jp/content/百貨店", "词义详情")</f>
        <v/>
      </c>
      <c r="K7187">
        <f>HYPERLINK("https://yourei.jp/百貨店", "查看例句")</f>
        <v/>
      </c>
    </row>
    <row r="7188">
      <c r="A7188" t="inlineStr">
        <is>
          <t>ひょいと</t>
        </is>
      </c>
      <c r="B7188" t="inlineStr">
        <is>
          <t>成功</t>
        </is>
      </c>
      <c r="D7188" t="inlineStr">
        <is>
          <t>ひょいと見る(3%)；ひょいと顔を出し；ひょいと顔をあげ；ひょいと顔を上げ；ひょいと持ち上げ</t>
        </is>
      </c>
      <c r="E7188" t="inlineStr">
        <is>
          <t>つい；急；突然；急に；ふと</t>
        </is>
      </c>
      <c r="F7188" t="inlineStr">
        <is>
          <t>頭をひょいと；ひょいとつまみあげ；ひょいと身をかがめ；ひょいと首をすくめ；ひょいと顔をのぞかせ</t>
        </is>
      </c>
      <c r="H7188" t="n">
        <v>29</v>
      </c>
      <c r="I7188" t="inlineStr">
        <is>
          <t>その目がひょいとあらぬほうに向けられ、遅れて笑みの形に顔を歪めた。；今日の新聞ではない、散らばっていた中からひょいと取ったものだろう。；もしやと思って、ひょいと目を上げて見るとやっぱり正面に立っていた。；腹のなかで考えかけたことが、ひょいと自然に口に出てしまったのだ。；ひょいと見ると、百が、おぼえていた元の師匠の屋敷とはちがっていた。；そんな折に、クラスはひょいと視線を向けた先にまたそれを見つけた。；今は豊かな暮らしをしていても、何かの拍子に当時の習慣がひょいと出る。；ひょいと気がついてみると、二人は一隊のサゴスにとりかこまれていた。；ひょいと釘勘がうしろを見た時は、もうそこに金吾が居なかッたのです。；ぼくはありがたく一本もらって、ひょいと振ったが、火はつかなかった。；私は台所の窓ぎわに立っていましたが、その時ひょいと隠れたのです。；その女がひょいとその気になり、今こうして自分とこんなふうになっている。；ひょいと目を上げると、中年男が戸口に立って、私をじっと見ています。；だってこうしてる間にお母さんはひょいと見えなくなってしまうかもしれません。；自分の部屋から、ひょいと顔を出して、廊下に置かれた電話の方を見ている。；そこでひょいと飛行機のチケットを見ると、十五時十分発となっている。；一分と待たないうちに耳門からひょいと飛びだしてきた顔の赤い少年がいた。；監督が上をひょいと見ると、眉と口隅をゆがめて、手を振って見せた。；そして私をひょいと小脇に抱えると仲間たちのいるところへ助け上げた。；と、そのあかるんだ机の上に、ひょいとふしぎなものが見えてきました。；ガラス窓のいちばん上のすみに、ひょいと人間の顔があらわれたのです。；女中かと思って、ひょいとふり返った明子は、声をあげるところだった。；はっとしたのは、暗い水路からひょいと舟が漕ぎ出して来たことである。；彼は一瞬ピアノの音に耳をすませていたが、ひょいと少女のほうに眼を向けた。；ひょいと片肱あげて一段高い演壇から降り、舞台の奥へ戻ってしまった。；均衡を失って大きく前へ泳いだ亀治の体は後からひょいとおさえられた。；と突然今度は別の不安な考えが彼の頭にひょいと浮かんだ。；そんなことを思っていたら、ひょいとホロがこちらの顔を覗き込んできた。；そんな折、ひょいとホロの視線が扉のほうに向いたので来客だとわかった。</t>
        </is>
      </c>
      <c r="J7188">
        <f>HYPERLINK("https://www.weblio.jp/content/ひょいと", "词义详情")</f>
        <v/>
      </c>
      <c r="K7188">
        <f>HYPERLINK("https://yourei.jp/ひょいと", "查看例句")</f>
        <v/>
      </c>
    </row>
    <row r="7189">
      <c r="A7189" t="inlineStr">
        <is>
          <t>表</t>
        </is>
      </c>
      <c r="B7189" t="inlineStr">
        <is>
          <t>成功</t>
        </is>
      </c>
      <c r="C7189" t="inlineStr">
        <is>
          <t>読み方：おもて
《「面(おもて)」と同語源》
［名］
１物の二つの面のうち、主だったほう。表面。また、外側。「答案は—を上にして集める」「コインを投げて—か裏かで占う」「鏡の—」⇔裏。
２他のものより前に位置すること。前面。「長男を—に立てる」
３畳・草履・下駄などの表面につけるござ。
４衣服の表地。⇔裏。
５うわべ。外見。「—を飾る」⇔裏。
６表向きのこと。おおやけ。公式。正式。「人生の—と裏に通じている」「—通り」「—参道」⇔裏。
７正面。家の入り口。「—から入る」⇔裏。
８家の外。戸外。また、家の前の通り。「—で遊ぶ」
９野球で、各回の、先攻チームが攻撃する番。「七回—の攻撃」⇔裏。
10「表千家」の略。
11連歌・俳諧で、二つに折った懐紙の第一面。単に「おもて」というときは、初折(しょおり)の第一面。
12江戸幕府または大名家で、公的な事務や儀式をする所。商家では店をいう。
13表座敷。
「まづ—へと通らせられい」〈虎明狂・梟〉
14人前にそれをはっきり示すこと。また、そのもの。証拠。
「安心の—とし」〈浄・念仏往生記〉
15文書などの記載面。文面。
「御制札の—にまかせ、さうさうに是へ参りて」〈虎明狂・牛馬〉
［接尾］方角・場所などを示す名詞に付く。
１その方角に向かっていること、その側に面していることを表す。「南—」
２その方向の土地・地方を表す。「江戸—」「国—」
[下接語]裏表・江戸表・木表・国表・初(しょ)表・外表・畳表・中(なか)表・名残の表・二の表・琉球(りゅうきゅう)表</t>
        </is>
      </c>
      <c r="D7189" t="inlineStr">
        <is>
          <t>表面上(4%)；表戸；表式；表御殿；表はれ</t>
        </is>
      </c>
      <c r="E7189" t="inlineStr">
        <is>
          <t>前；顔；外；面；テーブル</t>
        </is>
      </c>
      <c r="F7189" t="inlineStr">
        <is>
          <t>江戸表；予定表；成績表；一覧表；対照表</t>
        </is>
      </c>
      <c r="G7189" t="inlineStr">
        <is>
          <t>表情；表記；表示；表面；表す</t>
        </is>
      </c>
      <c r="H7189" t="n">
        <v>29</v>
      </c>
      <c r="I7189" t="inlineStr">
        <is>
          <t>また、文字を表形式にして扱う方法も古くから存在し、利用されてきた。；上の表の中には、単位の定義の中に別の単位を用いているものがある。；昼と夜で同じ数があるので、これらを区別して右の表のように呼んだ。；データは表に似た構造で管理されるが、関係と呼ぶ概念でモデル化される。；以下の表はリチャードが保存していた旅行記録に基づいたものである。；しかし、表面上どうであれ、その後も互いに意識はしていたようである。；この画像に示されている図は正確ではなく、上の表とは完全には一致しない。；その表自体はウィリアム・アウトレッドによって書かれたとされている。；なお、案内標では各ホームを右表のように色で区分して案内している。；表水層と深水層との間には水温躍層と呼ばれる温度変化の大きい層がある。；上記の法則などを発展させたものが「保険料率表」の根拠になっている。；新たな記事を書く際には下の表を参考にして、適切な項目名を付けて下さい。；密度の全領域に対する解析表式は多体摂動論に基づいて提案されてきた。；軍が突然に政治の表舞台に踊り出たことは多くの人々を驚かせた。；記録員はボールの得点を記録表と呼ばれる紙に記録してゆく。；京急社内で使用されている列車の車両組成表には「」と表記されていた。；多くが上京者で編成され表では横文字職業に就いているのが特徴。；また姓を持たず氏のみを持つ非族長層も社会の表舞台に立つようになっていった。；また、罫線や文字を入れることで表そのものを作成することも出来る。；測量は、地球表面上の点の位置・関係を決定するための技術・作業の総称。；日本では一般的には下記の表の様に区分されることが多い。；特に理由がなければ、分類表はその項目の先頭に配置して下さい。；なお、この表に示したガイドラインは下位の分類群を対象としています。；計算できる範囲で具体的な数値に置き換えていくと、表は次のようになる。；また、作成された形状は下の表のルールでほかの形状に変換できる。；ただし水面のような液体の表面は、表と裏の両方から接触可能である。；このサービス地域内では、すべての旅客路線に同一の料金表が適用される。；全ての番組表と番組解説記事の一部は東京ニュース通信社から配信を受けている。；このような対称操作とキラリティーの関係は表のようにまとめられる。</t>
        </is>
      </c>
      <c r="J7189">
        <f>HYPERLINK("https://www.weblio.jp/content/表", "词义详情")</f>
        <v/>
      </c>
      <c r="K7189">
        <f>HYPERLINK("https://yourei.jp/表", "查看例句")</f>
        <v/>
      </c>
    </row>
    <row r="7190">
      <c r="A7190" t="inlineStr">
        <is>
          <t>票</t>
        </is>
      </c>
      <c r="B7190" t="inlineStr">
        <is>
          <t>成功</t>
        </is>
      </c>
      <c r="C7190" t="inlineStr">
        <is>
          <t>読み方：ひょう
［音］ヒョウ（ヘウ）（呉）（漢）
［学習漢字］4年
１書き付け。薄い紙片。「軍票・通票・伝票」
２選挙や採決に使う札。「票決／開票・散票・青票・投票・得票・白票・満票」</t>
        </is>
      </c>
      <c r="D7190" t="inlineStr">
        <is>
          <t>票以上；票中；票対；票余り；票獲得</t>
        </is>
      </c>
      <c r="E7190" t="inlineStr">
        <is>
          <t>投票；採決；票決；表決</t>
        </is>
      </c>
      <c r="F7190" t="inlineStr">
        <is>
          <t>賛成票；万票；一票；識票；調査票</t>
        </is>
      </c>
      <c r="G7190" t="inlineStr">
        <is>
          <t>票数；票決；票田；票号；票読み</t>
        </is>
      </c>
      <c r="H7190" t="n">
        <v>29</v>
      </c>
      <c r="I7190" t="inlineStr">
        <is>
          <t>「香典票」と呼ばれた同情票も自民党有利に働いたとされることもある。；調査票に回答と収入や居住状態の立証書類を添付して保険者に提出する。；銭票は季節に左右される農産物取引の貨幣受給を調整する役割を果たした。；賛成票の多くは北部パンハンドル部周辺の16郡で投票されたものだった。；自書式では立候補者の名前を書く方式であるため、疑問票が存在してくる。；一部の個人が複数の名前で登録されていて、複数票を投じようとしていたためである。；個人識別の容易化のために多くの国の軍では認識票を使用している。；店舗の商品票などでは絶対に「ダウンジャケット」とは表示されない。；この銀をもとに、小切手に類似したような債権票も使用されている。；これは主に北部などユーロへの参加に保守的な立場の人々の票が影響したと思われる。；この選挙以降、アハーンは国内でも票を多く受ける候補の1人となっていた。；前述の通り、福田は2020年でも同様の票が投じられている選手である。；一人に票が集中するのを避け人気投票の底辺拡大を目指したもの。；通票交換で使用していた短いホームが残っている。；もし2人以上が最多票数かつ同数票で並んだ場合、再投票が行われる。；特にイタリア、ドイツ、スウェーデンからの票が多かったとのこと。；実際には賛成と反対が同票のときをもって「可否同数」とされている。；自衛隊の認識票は現在でも本体に欠けのような切り込みが施されている。；有馬記念のファン投票では14万6738票を集めて1位に支持された。；非自動閉塞方式の場合は信号機が進行でも、通票がなければ駅を出発することができない。；票のほとんどが彼に入り、セイム代議員の反対者も十数人程度だった。；中間所得層への減税をも提案しているが、これは票取りのためだけとの批判も呼んだ。；結果3派合わせて60万票を獲得するも議席の獲得はならなかった。；同時に審査された14裁判官のうち罷免を可とする票の数が最多であった。；そして、最も多くの票を集めた作品に外国語映画賞が授与される。；気動車には代わりに機関車と同じ区名票が付くが、電車にはない。；また、充分に得票した作品を組織票だからという理由だけで排除することもない。；また、投票で複数候補が同票で並び、そのいずれかが当選の資格を得る場合がある。；反対票の大半は西部に対する妥協を好まなかった東部の郡からだった。</t>
        </is>
      </c>
      <c r="J7190">
        <f>HYPERLINK("https://www.weblio.jp/content/票", "词义详情")</f>
        <v/>
      </c>
      <c r="K7190">
        <f>HYPERLINK("https://yourei.jp/票", "查看例句")</f>
        <v/>
      </c>
    </row>
    <row r="7191">
      <c r="A7191" t="inlineStr">
        <is>
          <t>費用</t>
        </is>
      </c>
      <c r="B7191" t="inlineStr">
        <is>
          <t>成功</t>
        </is>
      </c>
      <c r="C7191" t="inlineStr">
        <is>
          <t>読み方：ひよう
［名］(スル)
１ある事をするのに必要な金銭。また、ある事のために金銭を使うこと。「—がかさむ」「—を捻出(ねんしゅつ)する」
「往昔十字軍の為に前後幾百万の資本を—せしや」〈津田真道・明六雑誌二四〉
２企業が収益を挙げるために費やした経済価値。
→経費［用法］</t>
        </is>
      </c>
      <c r="D7191" t="inlineStr">
        <is>
          <t>費用負担；費用面；費用等；費用削減；費用捻出</t>
        </is>
      </c>
      <c r="E7191" t="inlineStr">
        <is>
          <t>用；入り；代；値；価格</t>
        </is>
      </c>
      <c r="F7191" t="inlineStr">
        <is>
          <t>かかる費用；莫大な費用；必要な費用；開発費用；購入費用</t>
        </is>
      </c>
      <c r="G7191" t="inlineStr">
        <is>
          <t>費用便益分析；費用曲線；費用弁償；費用項目；費用便益比</t>
        </is>
      </c>
      <c r="H7191" t="n">
        <v>29</v>
      </c>
      <c r="I7191" t="inlineStr">
        <is>
          <t>しかしながら費用の理由から、どちらの提案も成功することはなかった。；個人が弁護士などに依頼するのも費用などの問題で難しい場合が多い。；これらのケースでは各大学への授業料とは別途に留学費用が必要となる。；つまり費用に関して日本と西洋とは異なった会計概念が採用されていた。；タージ・マハル建設にどれだけの費用がかかったかは明らかではない。；この計画は、費用の問題や自然保護の理由から実現せずに放棄された。；ファンクラブの会員の費用負担は、カード発行手数料を含めて生じない。；この提案は理想的であったが、費用と時間がかかりすぎる所が難点であった。；最近のワールドコンの運営には100万ドル近い費用がかかっている。；この材料費は机という製品に直接かかる費用であるので直接費に分類される。；しかし同提言は巨額の費用がかかることなどから、結局採用されなかった。；個々の限界便益に他者へ与える外部費用が含まれていないためである。；しかしこの時点で建設費用での問題が一部未解決となっていた。；決められた広告費用で最大の広告効果を得ることが目的となる。；積込作業と荷揚作業の費用についても含まれているかどうか明確にしておく。；そのため、ディーゼル発電などが主になるが環境や費用の高さが問題となる。；阪和電鉄線は高規格であるため、買収費用が高額となることが予想された。；計画への費用はソ連領での収奪や強制労働で賄われるものとされた。；医療法の医療広告ガイドラインでは、費用を強調した広告は禁止されている。；なお、駅名改称に関する費用は日本大学が負担されたとされている。；将来はさらに、多くの自治体が更新費用の増加・捻出に苦労することが予想される。；コーヒーやドーナツなど新たな商材の販売に伴い関連費用 が増加している。；併用橋にすると赤字の国鉄が約4割の費用を負担し、利子だけでも大変。；そして収益と対応する費用の差として求められるのが利益である。；そのため、同社が一部費用を負担して、現在の新線に付け替えられた。；この3次車の製造費用は全額地元自治体の滋賀県と福井県が負担している。；入院費用や家のローンについては裕福な江島が援助してくれることになる。；ゲームのプログラム自体を収めた媒体を購入する際に掛かる費用。；この金額は発売されなかった新薬の研究開発費用も含めた金額である。</t>
        </is>
      </c>
      <c r="J7191">
        <f>HYPERLINK("https://www.weblio.jp/content/費用", "词义详情")</f>
        <v/>
      </c>
      <c r="K7191">
        <f>HYPERLINK("https://yourei.jp/費用", "查看例句")</f>
        <v/>
      </c>
    </row>
    <row r="7192">
      <c r="A7192" t="inlineStr">
        <is>
          <t>美容</t>
        </is>
      </c>
      <c r="B7192" t="inlineStr">
        <is>
          <t>成功</t>
        </is>
      </c>
      <c r="C7192" t="inlineStr">
        <is>
          <t>読み方：びよう
１顔やからだつき、肌などを美しく整えること。「全身—」
２美しい顔かたち。美貌。
「—花の如くであったと」〈花袋・田舎教師〉</t>
        </is>
      </c>
      <c r="D7192" t="inlineStr">
        <is>
          <t>美容師(36%)；美容院(4%)；美容術(2%)；美容専門学校；美容目的</t>
        </is>
      </c>
      <c r="F7192" t="inlineStr">
        <is>
          <t>美容関連；美容界；美容医療；美容効果；美容技術</t>
        </is>
      </c>
      <c r="G7192" t="inlineStr">
        <is>
          <t>美容室；美容整形；美容外科；美容学校；美容師免許</t>
        </is>
      </c>
      <c r="H7192" t="n">
        <v>29</v>
      </c>
      <c r="I7192" t="inlineStr">
        <is>
          <t>海外の美容学校を卒業しても、日本では美容を業とすることはできない。；理容業・美容業は一つの店舗を共用して同時に営業することはできない。；セットのためには、美容師の技術が重要で、値段は十数円だとしている。；歌手として成功後もいつでも戻れるように美容師の資格を更新し続けた。；男性の美容の悩みの解決方法と格好良くなるための情報を提供している。；そこには一生に一度しか来ることのできない秘密の美容サロンである。；学生一人ひとりを世界基準の美容師へと成長させるノウハウがあります。；最初の有名な男性美容師は南仏生まれのシャンパーニュが知られている。；師である山野千枝子と同じように美容師の草分け的存在と言われている。；また戦後から間もない時期は、美容業は依然として理容の傘下にあった。；美容所とは、美容の業を行うために設けられた施設、あるいはその建物。；エステサロン経営のほか、美容をテーマにした講演会にも出演している。；美容を業にするのであれば、美容師免許は持っていて当然というもの。；美容に大変な気を使っており、肌にシミができたときには大騒ぎしていた。；看護師・理容師・美容師の資格を持ったものが中心となり進めている。；俳優としてデビューする前の美容師時代にモデル活動をしていた時期があった。；兄も同じく東海大甲府高校で野球をプレーしたのち、美容師として活動。；美容学校時代に学校での舞台に出演したことで、俳優の道を志す事になる。；眼帯などは、義眼を使っていなくても美容上問題のある場合にも使われる。；取扱いは専門の資格をもった美容師が行い、脱毛前の元の状態に再現する。；海外では美容師は通常は美容院で働くか、顧客の自宅を訪問している。；その後は一旦美容師の職に就いたが、結婚・出産後に声優への転職を決意。；美容師が開業するには州の免許が必要であるが、資格は州によって異なる。；後述の美容師国家試験に合格したものが美容師となることができる。；その他の分野として、医療・ペット関係・美容などの分野を校外で学ぶ。；美容学校を経営していた祖母の影響で幼少時より美容の基礎を学ぶ。；回復後も四肢機能の低下や美容的問題などの後遺症を残すことが多い。；そして、美容師になるためには美容師国家試験に合格する必要がある。；ロシアに移住し、ロシア貴族の高級美容師として働いていたという。</t>
        </is>
      </c>
      <c r="J7192">
        <f>HYPERLINK("https://www.weblio.jp/content/美容", "词义详情")</f>
        <v/>
      </c>
      <c r="K7192">
        <f>HYPERLINK("https://yourei.jp/美容", "查看例句")</f>
        <v/>
      </c>
    </row>
    <row r="7193">
      <c r="A7193" t="inlineStr">
        <is>
          <t>病院</t>
        </is>
      </c>
      <c r="B7193" t="inlineStr">
        <is>
          <t>成功</t>
        </is>
      </c>
      <c r="C7193" t="inlineStr">
        <is>
          <t>読み方：びょういん
患者を収容し、医師または歯科医師が診察・治療を行う施設。医療法では入院用ベッド数が20以上あるものをいい、19以下のものを診療所とする。</t>
        </is>
      </c>
      <c r="D7193" t="inlineStr">
        <is>
          <t>病院内；病院側；病院事業；病院経営；病院院長</t>
        </is>
      </c>
      <c r="E7193" t="inlineStr">
        <is>
          <t>ホスピタル</t>
        </is>
      </c>
      <c r="F7193" t="inlineStr">
        <is>
          <t>中央病院；同病院；市立病院；付属病院；大病院</t>
        </is>
      </c>
      <c r="G7193" t="inlineStr">
        <is>
          <t>病院船；病院送り；病院勤務；病院坂の首縊りの家；病院食</t>
        </is>
      </c>
      <c r="H7193" t="n">
        <v>29</v>
      </c>
      <c r="I7193" t="inlineStr">
        <is>
          <t>以下は大・中規模病院向けに比較的よく導入されているベンダーである。；機関とは学校や病院等の部隊を維持運営するための業務を担う組織である。；病院のほか、無料にて日本の各自治体が検査を行っていることがある。；特に医師の少ない地方では、病院存続に関わる問題となってきている。；第一次世界大戦では完成していた西側部分が軍病院として利用された。；そのため、より多くの機材や医師を病院に配置することが求められている。；住宅・物品販売店舗・飲食店・学校・病院・ホテル等は建てられない。；駅のすぐ西側を市境が通っており、大阪大学や附属病院は吹田市にある。；病院では折り紙で千羽鶴を折れば元気になると信じて鶴を折りつづけた。；病院嫌いであり、糖尿病がわかったときには、かなり酷い状態であった。；当駅周辺に福祉施設や病院が多い事などが考慮されたと思われる。；紹介経由は連携先の病院からの紹介で入院するものをいう。；開設する病院等の業務の一部として又はこれに附随して行われる業務のこと。；病院事業が除外されたのは、県立病院が従来仙台市になかったことによる。；病院からは3週間程度の入院が必要とされていると伝えられた。；こちらも主に兵庫県下の自治体や病院等との提携がほとんどである。；エアコンが普及するまで官公庁や病院、デパートなどで一般に見られた。；入院の間は病院から落語会やテレビ収録に行っていたという。；第一次世界大戦中はカナダのアメリカ陸軍病院で看護助手として働いた。；第5地区にはドブロスやアンナが勤務していた病院がある医療地区であった。；福島病院北を発着する路線を除き、国際十王交通により運行されている。；そのため、公立・私立を問わず多くの病院で医師の確保が問題となっている。；自宅であっても病院であっても担当者が派遣され、献眼の処置を行う。；最後の病院・学校については極めて短い文章で唐突に終わっている。；当駅からは商業施設や病院への無料シャトルバスも運行されている。；父親はタワークレーンの運転手、母親は地元の病院で看護師として務めた。；大学や他の病院からアルバイトで来る雇われた医師のこともある。；また委譲路線以外での日赤病院玄関前への乗り入れは当路線が初めてである。；州内の病院では雇用数でも最大であり、従業員数は1万8千人である。</t>
        </is>
      </c>
      <c r="J7193">
        <f>HYPERLINK("https://www.weblio.jp/content/病院", "词义详情")</f>
        <v/>
      </c>
      <c r="K7193">
        <f>HYPERLINK("https://yourei.jp/病院", "查看例句")</f>
        <v/>
      </c>
    </row>
    <row r="7194">
      <c r="A7194" t="inlineStr">
        <is>
          <t>美容院</t>
        </is>
      </c>
      <c r="B7194" t="inlineStr">
        <is>
          <t>成功</t>
        </is>
      </c>
      <c r="C7194" t="inlineStr">
        <is>
          <t>読み方：びよういん
美容師が、パーマなどの美容術を施す営業施設。美容室。</t>
        </is>
      </c>
      <c r="D7194" t="inlineStr">
        <is>
          <t>美容院代；美容院行き</t>
        </is>
      </c>
      <c r="E7194" t="inlineStr">
        <is>
          <t>ビューティーサロン；美粧院；カットハウス；ビューティーパーラー</t>
        </is>
      </c>
      <c r="F7194" t="inlineStr">
        <is>
          <t>大きな美容院；杉山美容院；小さな美容院；ブーケ美容院</t>
        </is>
      </c>
      <c r="H7194" t="n">
        <v>29</v>
      </c>
      <c r="I7194" t="inlineStr">
        <is>
          <t>美容院にもずいぶん行っていないので髪がもっさりしているからだろう。；なおこは離婚し、娘を連れて母の経営するこの美容院に身を寄せている。；さほど遠くもないけれど近くもない親戚の人が経営している美容院なの。；自分の行く美容院では、お客に店の月報みたいな物を作って渡している。；そのママが日本にやって来て最初にびっくりしたのが美容院であった。；この三週間で、令子が十二軒、私が十六軒の美容院の契約を取りました。；仲のいゝ女学校時代の友達の一人が、四谷で小さな美容院を開いてゐた。；そう髪のことを気に留めていたら自然と、例の美容院の前へ足を運んでいた。；美容院を出て通りを歩く頃は、すっかりサブリナの足どりになっていた。；美容院ではそんなことを意識したこともないのに、気になって仕方がない。；その話を美容院の主人から聞いて、自分はあることを思いついたのだ。；無理を通して午後から美容院の予約を入れてもらい、そこで髪を切った。；美容院に行く暇などなく、またはじめての地でその勇気もなかった。；今日は服を買いに行くことにした、美容院を変えたい、獣医を探してくれ。；海外では美容師は通常は美容院で働くか、顧客の自宅を訪問している。；日本食のスーパーや日本人経営の美容院があるせいで、日本人も多い。；これからの美容院は、単にいい仕事をしているだけでは生き残れない。；表通りに出た早苗は、やがて一軒の美容院のドアを押して中に入った。；彼は初めて江利子を美容院に連れていった時のことを思い出した。；わけもなくふてくされているような歩き方は、美容院でのそれと同じだった。；美容院を利用する男性は、いったいどのようにしているのだろう。；なお、襲われた女性はその後美容院に行かせる対応をとっている。；美容院に行く時間がもったいないので伸ばしっ放しにしていただけだ。；二日前に美容院行って、髪の毛をお化粧してもらったのが痛かったなー。；化粧っけがなくて、美容院にも行っていないのか、髪もボサボサのまま。；美容院というところは、男には実際なかなか入りにくいところですね。；そして、すでにもう十八軒の美容院が、申し込んで来たと言いました。；次の美容院では二分もしないうちに追い払われてしまいました。；美容院の経営者とバアのマダムでは、どちらも見栄を張るご商売ですわ。</t>
        </is>
      </c>
      <c r="J7194">
        <f>HYPERLINK("https://www.weblio.jp/content/美容院", "词义详情")</f>
        <v/>
      </c>
      <c r="K7194">
        <f>HYPERLINK("https://yourei.jp/美容院", "查看例句")</f>
        <v/>
      </c>
    </row>
    <row r="7195">
      <c r="A7195" t="inlineStr">
        <is>
          <t>評価</t>
        </is>
      </c>
      <c r="B7195" t="inlineStr">
        <is>
          <t>成功</t>
        </is>
      </c>
      <c r="C7195" t="inlineStr">
        <is>
          <t>読み方：ひょうか
［名］(スル)
１品物の価格を決めること。また、その価格。ねぶみ。「—額」
２事物や人物の、善悪・美醜などの価値を判断して決めること。「外見で人を—する」
３ある事物や人物について、その意義・価値を認めること。「—できる内容」「仕事ぶりを—する」
４「教育評価」の略。</t>
        </is>
      </c>
      <c r="D7195" t="inlineStr">
        <is>
          <t>評価する(7%)；評価される(4%)；評価試験；評価項目；評価対象</t>
        </is>
      </c>
      <c r="E7195" t="inlineStr">
        <is>
          <t>考え；見る；点；主張；判断</t>
        </is>
      </c>
      <c r="F7195" t="inlineStr">
        <is>
          <t>再評価；高評価；過小評価；低評価；過大評価</t>
        </is>
      </c>
      <c r="G7195" t="inlineStr">
        <is>
          <t>評価額；評価方法；評価委員会；評価関数；評価損</t>
        </is>
      </c>
      <c r="H7195" t="n">
        <v>29</v>
      </c>
      <c r="I7195" t="inlineStr">
        <is>
          <t>実用上はより弱い結果だがより評価のしやすいものを用いることもある。；これらのことからノーベルは死後の評価を気にするようになったという。；このエネルギー評価内で最も計算コストが高いのが非結合部分である。；彼はこれをアイデアにとどめず可能とした軍事家として評価されている。；前衛的音楽のためアルバムはあまり売れなかったが、後に再評価された。；火星の過去の居住性や現存する生命の可能性を評価する調査が行われている。；その他ファミリーコンピュータとは異なる以下の点が評価されている。；アルゼンチン経済の崩壊後、アルゼンチンの世界的な評価は地に落ちた。；チタンの性質である、 が評価されるようになったことが要因である。；究極的には、真の文法が得られた場合に限り文法性の評価が可能となる。；評価術語学は専門領域ではないのだが、エーコはこのように論じている。；一方、ファン・ゴッホの絵画は少しずつ評価されるようになっていた。；彼らはドイツの会議でこの結果を発表したが、誰にも評価されることはなかった。；大きさ以外に地色の美しさや星型の輝きの強さなどで評価されている。；これは評価される場合もあるが、否定的な見方をされることも多い。；このころは業界では評価されるが、一般的には無名の状態であった。；しかし 上記の定数 answer を評価してもエラーにはならない。；しかし、彼の評価式は価格が負になることもありうるために非現実的であった。；この時に描いた爆発シーンが各所で評価され、仕事が来るようになったという。；ただしこの作品は他の都市ではあまり評価されなかった。；俳優の中には、ある役で高く評価されて人気が出る人もいる。；一般的には後者の作品群の方が評価が高いようである。；この作戦能力が備わっている戦力として特殊部隊が高く評価されている。；初期より晩年の方を高く評価する見解も示されている。；従ってライプニッツの理論を正当に理解・評価できる人はあまりいなかった。；またバロックを代表する画家ヨハネス・フェルメールを高く評価していた。；この小説をきっかけに家康への再評価が始まっている。；その種牡馬実績が評価され、1990年にはJRA顕彰馬に選出された。；メモリ管理やDOSとの互換性の改善も複数の雑誌で良い評価を得た。</t>
        </is>
      </c>
      <c r="J7195">
        <f>HYPERLINK("https://www.weblio.jp/content/評価", "词义详情")</f>
        <v/>
      </c>
      <c r="K7195">
        <f>HYPERLINK("https://yourei.jp/評価", "查看例句")</f>
        <v/>
      </c>
    </row>
    <row r="7196">
      <c r="A7196" t="inlineStr">
        <is>
          <t>氷河期</t>
        </is>
      </c>
      <c r="B7196" t="inlineStr">
        <is>
          <t>成功</t>
        </is>
      </c>
      <c r="C7196" t="inlineStr">
        <is>
          <t>読み方：ひょうがき
⇒氷期</t>
        </is>
      </c>
      <c r="D7196" t="inlineStr">
        <is>
          <t>氷河期後；氷河期予測；氷河期以前；氷河期以降；氷河期到来</t>
        </is>
      </c>
      <c r="E7196" t="inlineStr">
        <is>
          <t>更新世；氷河時代</t>
        </is>
      </c>
      <c r="F7196" t="inlineStr">
        <is>
          <t>超氷河期；第四氷河期</t>
        </is>
      </c>
      <c r="H7196" t="n">
        <v>29</v>
      </c>
      <c r="I7196" t="inlineStr">
        <is>
          <t>高くなければ、氷河期にあの北のほうで生きられなかったんじゃないの。；氷河期を防ぐために地球の気温を上昇させることが目的とされている。；必ず来るであろうつぎの氷河期を防ぐにはこの方法しかないかもしれない。；まだ発表していない彼の氷河期予測が話題になっていたのである。；これらは氷河期後に残された窪地に水がたまり湖となった時に形成された。；氷河期に氷河に覆われていなかった地域では永久凍土が分布している。；もちろん氷河期は、決して来るまいと、そのときは考えたのであった。；また島と島の移動には、氷河期の海退も利用していたかもしれない。；五〇万年前からこの方、彼らは少なくとも三〜四回の氷河期を経験した。；雪山に生息しており、氷河期の時に南の土地に移動してきたという。；氷河期の終わり以来、温暖化と寒冷化は様々な傾向で繰り返し起こった。；世界の各地を大寒気団が包み、地球は再び氷河期を迎える予感に堪えた。；氷河期はすぎたが、まわりの自然もそれほど変ったわけではない。；これまでに2度地球を氷河期にしたと語るが、その目的は一切不明。；蓋し氷河期の災禍は世界の有する工業力とは桁ちがいに激甚なのである。；氷河期末期に存在していたミズーラ湖によって、現在の地形が形成された。；氷河期に入りつつある第十番惑星テラで繁殖し、勢力を伸ばしている。；もうそのころは、誰が見ても、地球の上に氷河期がやって来たことに気がついた。；氷河期の初めに地球はその人口のほとんどを失ったらしい。；地球に再び氷河期が訪れ、人類の子孫たちはそれぞれ様々な適応を見せてゆく。；彼の話すところによれば、氷河期にとじこめられた人間だというのだ。；北見博士の予想はみごとに適中して、ついに第五氷河期は来たのであった。；氷河期の到来を避けて宇宙に逃れた人々、そして宇宙に移民した本当の意味。；本当に氷河期なのは、男の現状ではなく、その心なのかもしれない。；更新世には氷河期と間氷期の度にレオン郡の土地が出現しまた沈んだ。；この傾斜周期変化と他の同様の変化は、氷河期の原因であると考えられている。；最終氷期の終わりには、現在の島はほぼバルト氷河期湖の水面下にあった。；このメッセージこそが、氷河期になった地球に生命が蘇る力になるのかもしれない。；ウォバッシュ川の流路の一部は、氷河期が始まる前のテイズ川の流路である。</t>
        </is>
      </c>
      <c r="J7196">
        <f>HYPERLINK("https://www.weblio.jp/content/氷河期", "词义详情")</f>
        <v/>
      </c>
      <c r="K7196">
        <f>HYPERLINK("https://yourei.jp/氷河期", "查看例句")</f>
        <v/>
      </c>
    </row>
    <row r="7197">
      <c r="A7197" t="inlineStr">
        <is>
          <t>病気</t>
        </is>
      </c>
      <c r="B7197" t="inlineStr">
        <is>
          <t>成功</t>
        </is>
      </c>
      <c r="C7197" t="inlineStr">
        <is>
          <t>読み方：びょうき
１生体がその形態や生理・精神機能に障害を起こし、苦痛や不快感を伴い、健康な日常生活を営めない状態。医療の対象。疾病(しっぺい)。やまい。
２悪い癖や行状。「いつもの—が出る」</t>
        </is>
      </c>
      <c r="D7197" t="inlineStr">
        <is>
          <t>病気療養；病気がち；病気平癒；病気治療；病気そのもの</t>
        </is>
      </c>
      <c r="E7197" t="inlineStr">
        <is>
          <t>病；不快；疾患；疾病；患い</t>
        </is>
      </c>
      <c r="F7197" t="inlineStr">
        <is>
          <t>重い病気；ご病気；かかりやすい病気；悪い病気；どんな病気</t>
        </is>
      </c>
      <c r="G7197" t="inlineStr">
        <is>
          <t>病気見舞；病気休暇；病気回復；病気腎移植；病気不安症</t>
        </is>
      </c>
      <c r="H7197" t="n">
        <v>29</v>
      </c>
      <c r="I7197" t="inlineStr">
        <is>
          <t>特に、病気の予防の点でも治療の点でも食事が大きな位置を占めている。；女の子はマンジと名付けられたが、しばらくして病気で死んでしまった。；この病気の原因は当時何も知られておらず、治癒の試みは成功しなかった。；再び病気が悪化したという理由もあるが、政治家を目指したからでもある。；病気の症状に応じて、個々の患者ごとに食事の内容を変更する必要がある。；ところが喉の病気が原因で、思い切り歌うことが出来ない身体であった。；梶井は一年次は寮生活をしていたが、病気で実家からの通学に変更した。；主に、被告人が病気になった場合に入院させるため用いられる場合が多い。；この病気自体が稀でもあるので、一般にはあまり周知されてはいない。；家業が倒産したり、親や兄弟を失っていたり、病気になっていたりする。；意見を取り上げてもらえなかった王翦は病気と称し故郷に引きこもった。；さらに痙攣やてんかんなどのあらゆる病気を治す力を持っているという。；体質は個性であると同時に、その人の病気へのかかりやすさも意味する。；これは母マリーがイレーヌを産むときに診断されたのと同じ病気だった。；弱い子供を助けてくれ、病気で寝ている子はアンモを拝むと治るという。；病気は前世で抱えた問題が原因であることが多いとも語っている。；生後八ヶ月で腸重積で手術を受けるなど、幼少の頃は病気がちであった。；とくに動脈硬化に関連する病気や死亡に対する効果が期待されている。；一方で木戸は病気が悪化しつつあり、指導力を示せなくなりつつあった。；患者の負担は比較的軽い検査であり、病気のスクリーニングに用いられる。；前年の撮影現場では病気を隠して役を演じきり、何とか無事に撮影を終えた。；これまでパンデミックには分類されておらず、先進国では稀な病気である。；怪我や病気などと虚偽をして棄権することも事実上許されていない。；神経内科は物質的な神経を扱う科であり、精神的な病気は扱わない。；何が起こったかははっきりしないが、病気によるものだろうと考えられている。；ほかにも染色体異常や他の先天性の病気などと伴って発症する場合もある。；現在ではこれらの病気はビタミン不足による障害だと知られている。；同じころ、大島では発疹チフスとよく似た病気が集団発生しはじめた。；各精神科医は、それぞれがいくつかの病気を治療することができる。</t>
        </is>
      </c>
      <c r="J7197">
        <f>HYPERLINK("https://www.weblio.jp/content/病気", "词义详情")</f>
        <v/>
      </c>
      <c r="K7197">
        <f>HYPERLINK("https://yourei.jp/病気", "查看例句")</f>
        <v/>
      </c>
    </row>
    <row r="7198">
      <c r="A7198" t="inlineStr">
        <is>
          <t>表現</t>
        </is>
      </c>
      <c r="B7198" t="inlineStr">
        <is>
          <t>成功</t>
        </is>
      </c>
      <c r="C7198" t="inlineStr">
        <is>
          <t>読み方：ひょうげん
［名］(スル)心理的、感情的、精神的などの内面的なものを、外面的、感性的形象として客観化すること。また、その客観的形象としての、表情・身振り・言語・記号・造形物など。「情感を—する」「全身で—する」
[補説]representationおよびexpressionの訳語。</t>
        </is>
      </c>
      <c r="D7198" t="inlineStr">
        <is>
          <t>表現する(15%)；表現される(5%)；表現できる；表現しよ；表現方法</t>
        </is>
      </c>
      <c r="E7198" t="inlineStr">
        <is>
          <t>意味；代表；理解；示す；現れ</t>
        </is>
      </c>
      <c r="F7198" t="inlineStr">
        <is>
          <t>映像表現；表現型；表現手段；性表現；芸術表現</t>
        </is>
      </c>
      <c r="G7198" t="inlineStr">
        <is>
          <t>表現力；表現主義；表現型；表現者；表現論</t>
        </is>
      </c>
      <c r="H7198" t="n">
        <v>29</v>
      </c>
      <c r="I7198" t="inlineStr">
        <is>
          <t>こういった映像表現の発生した背景には、初期の写真技術があげられる。；上記のような明らかな否定語以外にも、意味的に否定に近い語・表現もある。；現在ではインターネットを利用した電子メディア上で表現されるものもある。；それらは特に哲学的な表現でウパニシャッドなどに記述されている。；このモジュールを複数並べて、いろいろな幅のバーやスペースを表現する。；アリストテレスはこの点についてははっきりとした表現をしていない。；これらのコンセプトはUNIX哲学という言葉で表現されることがある。；現代でも簡単にシーケンスデータを表現するものとしてよく使われている。；私は西洋の言葉でこれを表現するのは適さないということを認めるものです。；さらに各方法には変爻の有無や位置を選ぶ操作があり状況変化を表現する。；現在ではインターネットに代表される電子メディア上で表現されるものもある。；その一方で、ある種の事態を表現する動詞や形容詞の文字も存在した。；どのような内容の表現物が発禁とされるかは、時代や地域によって異なる。；とが表現していることを曖昧に理解しないように注意すること。；日本全体を総称する際には、「日本六十余州」などと表現することもあった。；加盟の過程はヨーロッパの統合と表現されることもある。；XMLでは、空要素を表現するために特別な構文を使うことができる。；しかし最近類を探し当てることができない結果、この表現に至ることも多い。；一般的に春に桜色と表現される白色や淡紅色から濃紅色の花を咲かせる。；これはゲーデルの不完全性定理の別の表現の形とみなすことができる。；カクテルを具体的に表現したとき、しばしば「酒+何か」と表現される。；初期のキリスト教会が外形的な表現を重視しなかったわけではない。；これらの構文は任意の複雑な表現を形成するために組み合わされて使用される。；イタリアらしさは外圧に原像をかき消されて表現できなくなっていった。；写真は少なくともこの意味で確かに撮影者の創作物であり、表現の手段である。；現実世界のシステムをネットワークとして表現し理解する主題はと呼ばれる。；特にそれを指すために特定の表現で呼ぶ場合がある。；これを幅の異なるスペースとバーで表現し、商品にマーキングする。；あるいは A の表現する線型写像の像の次元と言っても同じである。</t>
        </is>
      </c>
      <c r="J7198">
        <f>HYPERLINK("https://www.weblio.jp/content/表現", "词义详情")</f>
        <v/>
      </c>
      <c r="K7198">
        <f>HYPERLINK("https://yourei.jp/表現", "查看例句")</f>
        <v/>
      </c>
    </row>
    <row r="7199">
      <c r="A7199" t="inlineStr">
        <is>
          <t>標語</t>
        </is>
      </c>
      <c r="B7199" t="inlineStr">
        <is>
          <t>成功</t>
        </is>
      </c>
      <c r="C7199" t="inlineStr">
        <is>
          <t>読み方：ひょうご
主張・信条や行動の目標、指示内容などをわかりやすく簡潔に言い表した語句。スローガン。モットー。「交通安全の—」</t>
        </is>
      </c>
      <c r="D7199" t="inlineStr">
        <is>
          <t>標語的；標語化</t>
        </is>
      </c>
      <c r="E7199" t="inlineStr">
        <is>
          <t>理念；スローガン；モットー；合言葉；旗印</t>
        </is>
      </c>
      <c r="F7199" t="inlineStr">
        <is>
          <t>宣伝標語</t>
        </is>
      </c>
      <c r="H7199" t="n">
        <v>29</v>
      </c>
      <c r="I7199" t="inlineStr">
        <is>
          <t>それぞれ日本語と中国語で標語が付けられていたが、内容は異なっていた。；現在に至るまでに、以下に挙げる2つの標語がつくり出されてきている。；その会により、そのほか各種の道徳的な標語がテレビから流れてくるのだ。；最近十数年間、日本人は「滅私」という標語で統一しようとされて来た。；州の標語である「神の下に人民の規則」を作り、州章の説明を書いた。；それ故私等は故意にその「呪はれたる言葉」をとつて詩社の標語とした。；キューバは革命後、スポーツは人々の権利であるということを標語にした。；私の父は若い頃米国に留学し、各工場に安全第一の標語が記してあるのを知った。；しかしその主な標語は「統治しなければいけないなら若者を統治しろ」である。；ただし、1セント硬貨と5セント硬貨への標語の表記は除外されていた。；この標語は1791年憲法に採用され、当時の通貨にも使われている。；すべての政党、地域の政治家がこれをスイスの標語として認めている。；プロレタリア・リアリズムの標語は、既に数年前から問題とされていた。；ところによっては標語のようなものであったり、形になっていないものもあった。；あまり貫禄のある標語だとは思えなかったが、最近その意味がわかりかけていた。；また、この標語が花森安治の作であるという俗説も一時は流布していた。；「〇〇路線」という言葉は当時「奇妙な云い方の標語」などといわれた。；日本IBMの椎名武雄は著書でこの標語のエピソードを紹介している。；男も女も自分の戸口に貼り出された標語をながめながら、無言のままであった。；まして、ここで働く人間のための標語に不似合なことは、たしかである。；しかしこれはまたきわめて徹底的な一般的素量説の標語としても見られる。；おそらく全ての州の標語のうち最も有名なものである。；格付けの昇格を受け、ラベルに記載されている標語が下記のように変更された。；行動党の政策や「人生をより豊かに」という標語も広く支持された。；富山は「水と緑と土は同義語」という標語に自身の思想を象徴させている。；この言葉は新たに結成された国民音楽協会の標語として掲げられた。；記録上においてこの標語をカナダに対して使ったとされる人物は、とされる。；ソフトウェア開発における一つの標語のような扱い方もされている。；その標語はそれに賭の性質を与えなければ、大して意味はないとね。</t>
        </is>
      </c>
      <c r="J7199">
        <f>HYPERLINK("https://www.weblio.jp/content/標語", "词义详情")</f>
        <v/>
      </c>
      <c r="K7199">
        <f>HYPERLINK("https://yourei.jp/標語", "查看例句")</f>
        <v/>
      </c>
    </row>
    <row r="7200">
      <c r="A7200" t="inlineStr">
        <is>
          <t>表紙</t>
        </is>
      </c>
      <c r="B7200" t="inlineStr">
        <is>
          <t>成功</t>
        </is>
      </c>
      <c r="C7200" t="inlineStr">
        <is>
          <t>読み方：ひょうし
１書籍や帳簿の中身を保護し、内容表示・装飾などをするために取り付けられた厚紙・革・布などの外装の部分。
２巻き物を巻いたとき、表に出る部分に貼る布帛(ふはく)や紙。</t>
        </is>
      </c>
      <c r="D7200" t="inlineStr">
        <is>
          <t>表紙イラスト(3%)；表紙絵(3%)；表紙画；表紙モデル；表紙カバー</t>
        </is>
      </c>
      <c r="E7200" t="inlineStr">
        <is>
          <t>脊；上紙；背部分；上表紙</t>
        </is>
      </c>
      <c r="F7200" t="inlineStr">
        <is>
          <t>赤い表紙；青い表紙；皮表紙；黒い表紙；黒表紙</t>
        </is>
      </c>
      <c r="G7200" t="inlineStr">
        <is>
          <t>表紙画像；表紙買い</t>
        </is>
      </c>
      <c r="H7200" t="n">
        <v>29</v>
      </c>
      <c r="I7200" t="inlineStr">
        <is>
          <t>ゲーム以外の仕事ではアメリカンコミックの表紙イラストを描いている。；原作でもそれに則ったのか、27巻の表紙でも青い雷で表現されている。；またテレビアニメが放送されている期間は、その作品が表紙を担当する。；この話の表紙にはまったく違うデザインをした道具が描かれている。；また、表紙に積極的にフォトモンタージュを使用したことでも知られる。；表紙には美しい写真やキャラクターイラストを大きく配置している。；上位に掲載されていることが多く、時折表紙にも大きく描かれている。；しかし、そのために欧米では挿絵や表紙に人物が描かれないことが多い。；多くの場合、紙製の青い表紙がつけられていたことからこの名がある。；ただし背表紙や表紙そでの基本デザインは創刊時から変更されていない。；小説の表紙・挿絵やゲームのキャラクターデザインなどを手がけている。；表紙の色に薄茶色が選ばれたのはそれまでの新書になかった色だからである。；一部のアーティストは表紙を何度も飾り、それはアイコンのようになった。；単行本の表紙の多くはエアブラシなどを用いた写実的な女性の絵である。；本の表紙にはタイトルと年が書いてあり、中には商品の写真と説明文が書いてある。；上記のほか、大西哲也やあぎじゅんこも表紙を担当していたことがある。；表紙には、そのシーズンの主力・注目選手の顔写真を並べている。；この頃から雑誌の表紙などでモダンな欧風の図案を発表し話題を集める。；アダムズは Broadsheet の表紙をデザインしたこともある。；針金綴じしたものは背に糊を付け、最後に表紙を貼り付けて完成となる。；また、その巻のテーマや題材が本の背と表紙に表記されている。；初期は漫画のイラストではなく、当時の人気子役が表紙を飾っていた。；表紙に選ばれる作品は新連載や周年を迎えた作品が多い。；ガイドブックの表紙にはそのガイドブックの使用期間が記されている。；この頃には、雑誌の表紙やカットの依頼が入るようになっていた。；この試合の写真は、オランダの武道雑誌ゼンドーカン誌の表紙を飾った。；また、新版では表紙もオリジナルとは別のイラストに差し替えられている。；下流側は赤い鳥の表紙を模し、上流側は三重吉直筆の詩が刻まれている。；戦後には、表紙は書籍出版界が競争市場となった中で極めて重要な要素となった。</t>
        </is>
      </c>
      <c r="J7200">
        <f>HYPERLINK("https://www.weblio.jp/content/表紙", "词义详情")</f>
        <v/>
      </c>
      <c r="K7200">
        <f>HYPERLINK("https://yourei.jp/表紙", "查看例句")</f>
        <v/>
      </c>
    </row>
    <row r="7201">
      <c r="A7201" t="inlineStr">
        <is>
          <t>拍子</t>
        </is>
      </c>
      <c r="B7201" t="inlineStr">
        <is>
          <t>成功</t>
        </is>
      </c>
      <c r="C7201" t="inlineStr">
        <is>
          <t>読み方：びゃくし
《「ひゃくし」とも》「笏拍子(しゃくびょうし)」に同じ。</t>
        </is>
      </c>
      <c r="D7201" t="inlineStr">
        <is>
          <t>拍子系；拍子にふと；拍子拔；拍子不合；拍子本位</t>
        </is>
      </c>
      <c r="E7201" t="inlineStr">
        <is>
          <t>リズム；テンポ；ビート；ノリ；拍</t>
        </is>
      </c>
      <c r="F7201" t="inlineStr">
        <is>
          <t>間拍子；六拍子；七拍子；複合拍子；どんな拍子</t>
        </is>
      </c>
      <c r="G7201" t="inlineStr">
        <is>
          <t>拍子木；拍子ぬけ；拍子記号；拍子抜；拍子切り</t>
        </is>
      </c>
      <c r="H7201" t="n">
        <v>29</v>
      </c>
      <c r="I7201" t="inlineStr">
        <is>
          <t>両者の間に調性的な関連はみられるものの拍子は必ずしも一致しない。；拍子が頻繁に入れ替わる経過を挟んでリラックスした主題が導入される。；こんどの事故は被害者が何かの拍子で怒らせたのではないだろうか。；本来は二拍子だったものが、現在知られるような四拍子にされたとされる。；また、理論面においても地拍子の法則性を発見するなどの功績を残した。；その拍子にトムが偶然にも研究中の魔法使いの部屋に入ってしまった。；もっともいつどんな拍子に鎧を持っていないことがばれるかしれない。；また、3拍子や変拍子などは、最後の拍の位置を指定して対応していた。；けれどもこの木だけは何かの拍子に火事にも焼かれずに立っているのであろう。；太鼓は拍子を取るのに用いられるが、太鼓がない場合は笏拍子を用いる。；何でも父の刀は鞘走った拍子にさかさまに溝の中に立ったということである。；畦には露が下りていたから、顔や着物はその拍子にすっかり泥になってしまった。；僕の家へ何かの拍子に円朝の息子の出入りしたりしたのもこういう親戚のあったためであろう。；その内にどう云ふ拍子だつたか、話題が当時評判だつた或小説の売れ行きに落ちた。；元の拍子とテンポに戻って譜例5を再現し、最後は静かな終わりを迎える。；突然のことに驚いた柴本はびっくりした拍子に田中と一緒になるとの一言を思わず口にした。；しかしあれは驚いた拍子にやはり反射的にしたのかも知れない。；これは、1小節以下の長さの楽句では拍子が確定できないためである。；そのようなときには、上に挙げた拍子以外の拍子が見られることもしばしばである。；特に曲が大きく変容するとき、拍子が変わることはしばしばである。；なお、上方で用いられる見台・膝隠・小拍子は江戸では通常用いられない。；本曲の拍子は四分の二拍子、音域は変ロ音から二音までの10度である。；提供クレジットBGMには非常に珍しく5拍子のものが使われていた。；労働の辛さを、気持のよい音か拍子かで軽めるとは、面白い国民性である。；本作のキーはGメジャーに設定されており、4分の4拍子となっている。；けれどもこの木だけは何かの拍子に火事にも焼かれずに立つてゐるのであらう。；指揮のスタイルは直線的で忠実に拍子を合わせそれほど大きな動きはしないスタイルである。；また、他の拍子の間に挿入して特殊な効果を与えるために使われるものを言うこともある。；特記しているもの以外は、すべて調性は原調と主題の拍子が保たれている。</t>
        </is>
      </c>
      <c r="J7201">
        <f>HYPERLINK("https://www.weblio.jp/content/拍子", "词义详情")</f>
        <v/>
      </c>
      <c r="K7201">
        <f>HYPERLINK("https://yourei.jp/拍子", "查看例句")</f>
        <v/>
      </c>
    </row>
    <row r="7202">
      <c r="A7202" t="inlineStr">
        <is>
          <t>表示</t>
        </is>
      </c>
      <c r="B7202" t="inlineStr">
        <is>
          <t>成功</t>
        </is>
      </c>
      <c r="C7202" t="inlineStr">
        <is>
          <t>読み方：ひょうじ
［名］(スル)
１はっきりと表し示すこと。「原料をラベルに—する」
２図表にして示すこと。「生産額を—する」
３きざし。兆候。
「これ、ひとへに金粟(こんぞく)世界に生ぜる—なりといひて」〈今昔・六・三八〉</t>
        </is>
      </c>
      <c r="D7202" t="inlineStr">
        <is>
          <t>表示される(19%)；表示する(13%)；表示できる；表示器；表示させる</t>
        </is>
      </c>
      <c r="E7202" t="inlineStr">
        <is>
          <t>発表；表現；示す；現れ；展示</t>
        </is>
      </c>
      <c r="F7202" t="inlineStr">
        <is>
          <t>種別表示；意志表示；led表示；番号表示；一覧表示</t>
        </is>
      </c>
      <c r="G7202" t="inlineStr">
        <is>
          <t>表示装置；表示灯；表示法；表示基準；表示的意味論</t>
        </is>
      </c>
      <c r="H7202" t="n">
        <v>29</v>
      </c>
      <c r="I7202" t="inlineStr">
        <is>
          <t>上記コードをウェブブラウザ上で実行すると、以下の結果が表示される。；ローカル番組を除いてカスタム表示を採用していない番組は以下の通り。；野球の試合で使用する場合、スコアの表示は開設当時は9回までだった。；この改訂は表示だけのもので、名前の発音まで変えるものではなかった。；なお1963年頃には丸に2本の線入りの「急」表示のものも存在した。；コンピュータ用語では、通信や解析や表示の対象となる文字データを指す。；番組放送中はスタジオ内の様子の写真がスライドショー形式で表示された。；各県の表示順は以下のようにさまざまな表示順が存在する。；映像機器とは、映像を表示したり、記録したりすることを目的にした機器。；近年の店舗ではマイクの下に注文を表示するディスプレイが導入されている。；なお、コード中で強調表示されている予約語の記法は処理系に依存する。；時計が秒単位を表示するようになった初期の例は、16世紀後半に現れる。；表示器の設置していないドア上部には広告枠とドア開閉予告灯が設置してある。；適合性の認証を受けた製品には、JISマークを表示することができる。；国内での加工がある場合には表示義務に応じた表示がなされる。；彼らの前に表示されている国名はフランス語で表記されている。；列車が接近すると、到着・通過を知らせる接近表示が点滅するものもある。；なお、その際に表示される画面の地名には唯一振り仮名がふってある。；マビカは画像をディスクに保存し画像自体はテレビに表示するものであった。；黄色で表示されている国が新たに加盟したルーマニアとブルガリア。；これらの結果のうち、10件のみが検索結果の最初のページに表示される。；車両では基本的に赤色表記で表示方法は伊勢崎線系統と同じである。；各関数には説明文字列が含まれていて、要求に応じてユーザーに表示される。；大幅なダイヤ乱れ時には次の列車が到着するまでの時間が表示されることもある。；そのため、運用車両には普段はない「茂原」行きの表示が用意されている。；なお固定抵抗器の色による表示は JIS C 5062で定義される。；なお、カナダの機械印は局名表示が無く郵便番号しか書かれていない。；反射型は液晶が表示器として使用され始めた頃からの比較的古い技術である。；なお、SP2以降では起動画面でエディション名が表示されなくなった。</t>
        </is>
      </c>
      <c r="J7202">
        <f>HYPERLINK("https://www.weblio.jp/content/表示", "词义详情")</f>
        <v/>
      </c>
      <c r="K7202">
        <f>HYPERLINK("https://yourei.jp/表示", "查看例句")</f>
        <v/>
      </c>
    </row>
    <row r="7203">
      <c r="A7203" t="inlineStr">
        <is>
          <t>標識</t>
        </is>
      </c>
      <c r="B7203" t="inlineStr">
        <is>
          <t>成功</t>
        </is>
      </c>
      <c r="C7203" t="inlineStr">
        <is>
          <t>読み方：ひょうしき
目印。目印として設けられたもの。「交通—」</t>
        </is>
      </c>
      <c r="D7203" t="inlineStr">
        <is>
          <t>標識灯(8%)；標識板；標識柱；標識局；標識類</t>
        </is>
      </c>
      <c r="E7203" t="inlineStr">
        <is>
          <t>信号；マーク；旗；合図；印</t>
        </is>
      </c>
      <c r="F7203" t="inlineStr">
        <is>
          <t>道路標識；無線標識；県道標識；補助標識；歴史標識</t>
        </is>
      </c>
      <c r="H7203" t="n">
        <v>29</v>
      </c>
      <c r="I7203" t="inlineStr">
        <is>
          <t>色灯式の中継信号機には、中継信号機標識を表示することとされている。；また、以前は内照式標識であったが、後に通常のものに変更されている。；他の標識に合わせた色・文字体変更がなされたが、形状は変更されていない。；峠の両側には、案内図や峠の歴史が記された標識が設置されている。；プレシヒとテッタウをかつて結んでいた線路跡沿いに境界の標識がある。；これは、当時のこの地域で捕獲されたソ連戦車に共通の標識であった。；このため、豊田方面側入口付近には最低速度を示す標識を設置している。；彼は、現在では公共標識でも広く使われている絵記号の立役者でもある。；カッコ内の名称は、一般的な地図や道路上の標識に記載してある名称。；急曲線など速度を制限する必要のある区間の始点に設置される標識である。；そのため、街の標識がドイツ語と低地ソルブ語で併記されることもある。；秘密文書などには、いろいろな機密レベルの標識がついていることがある。；技術基準省令の解釈基準に定められていない標識で代表的なものを下記に示す。；標識灯は従来車に近い位置に設置されたが、四角いタイプの単独型となった。；色素も標識も使用せずに、in vivoでの生命の観察を可能にする。；なお、この標識は現在では同州にあるの近くに位置するに移設されている。；標識局を中心として航空機がどの方向にいるかを知ることができる。；内部に特有の傷が無数にあり、これが天然ものの標識ともなっている。；そのため、奈良県内では奈良県道12号を示す標識は設置されていない。；帯は窓下と尾灯・標識灯の間に入り、それより上は黒色に塗装されている。；人々は米軍の攻撃時に殉職した村尾標識技手の霊なのではないかと噂した。；両方の機能を一体化させた標識灯も存在するが、その方向や色は両灯で異なる。；そのほか、標識・看板類も柳のデザインしたものが用いられていた。；前面の大幅改造はなされず、標識灯の白色化以外に大きな変化はない。；この他、重水素を含んだ標識化合物の合成に重溶媒を用いることがある。；また形式別で制限速度を設けている場合、標識下部に形式名等を表示する。；カントリーサインは、主に道路沿いなどに設置されている標識の一種である。；標識灯は電球交換を車体外側から行う「外ハメ式」に変更し小型化した。；道路番号が書かれた標識は全て横長の長方形となっている点が日本とは異なる。</t>
        </is>
      </c>
      <c r="J7203">
        <f>HYPERLINK("https://www.weblio.jp/content/標識", "词义详情")</f>
        <v/>
      </c>
      <c r="K7203">
        <f>HYPERLINK("https://yourei.jp/標識", "查看例句")</f>
        <v/>
      </c>
    </row>
    <row r="7204">
      <c r="A7204" t="inlineStr">
        <is>
          <t>病室</t>
        </is>
      </c>
      <c r="B7204" t="inlineStr">
        <is>
          <t>成功</t>
        </is>
      </c>
      <c r="C7204" t="inlineStr">
        <is>
          <t>読み方：びょうしつ
病人の部屋。病院で、患者を収容する部屋。</t>
        </is>
      </c>
      <c r="D7204" t="inlineStr">
        <is>
          <t>病室内；病室区画；病室棟；病室番号；病室じゅう</t>
        </is>
      </c>
      <c r="F7204" t="inlineStr">
        <is>
          <t>白い病室；狭い病室；各病室；広い病室；号病室</t>
        </is>
      </c>
      <c r="H7204" t="n">
        <v>29</v>
      </c>
      <c r="I7204" t="inlineStr">
        <is>
          <t>初めてこの病室へはいった人はたいていそういう気持になりますからね。；女は足を爪立てて台所へ出て、女中に病室へ行っているように差図した。；右に四つの病室と開いた扉から見える壁間の額を眺めつつ二三度歩いた。；小病室には二つずつ寝台があって、病気の重いものがそこへ入れられた。；それで父の小言をまるで必要のない余計な事のように考えて病室を出た。；お祖父さまが病気になって寝ついてからも、よく病室にやって来ました。；高里の病室に入った広瀬は、高里の傍らに何者かの気配と白い腕を見る。；私は今にも変がありそうな病室を退いてまた先生の手紙を読もうとした。；病室では天井に白い紙を貼り、そこにイメージで絵を画いていたという。；その時女の心持ちは、病室を出てしまって外に一人でいるようであった。；望月少佐は不必要と思われるまで厳重に老博士の病室を監視しつづけた。；このほかに夜となく昼となく二時間おきに看護婦が病室を見廻りに来る。；この病室には十四の寝台があるが、体に潰瘍や疵のないのは自分だけだ。；結局山名は日課のように仕事帰りにふみ子の病室に顔を出すようになる。；大きな箱に入った氷の上でファンを回して冷えた空気を病室に送った。；鉄網の大鳥籠はここよりは病室にて見ると反対の側を半ば見るなり。；労働者の家族たちはしばしば病室で食事をとっているからである。；手塚が病室で書いた日記の最後のページは以下のような内容である。；それで余らはすぐその足で病室に入って看護することになった。；私はそのカーテンの間を通り抜け、三階へ上り、妻の病室のドアを引く。；夫人はやがて病室から出て来て「きれいだなと言っていましたよ」と言った。；医院病室には二階と三階があてられ、家族は四階に住むことになつてゐた。；設置基準で病室の半数は無差額でなければならないと定められている。；長い廊下をつきあたるとすぐその端の部屋が兄の病室でありました。；ゼッドの母であるサラは精神を病んでおり、病室で日々を過ごしていた。；ふだんは十時からであるのに、この日は七時前に大伍が病室へ現れた。；いない間に病室のドアのすきから病棟に飼われている猫が入って来ていた。；入院中の病室からビデオレターによる加入願いを出したりもしていた。；正木の家の離室が、お民の病室になったのは、それから三日の後であった。</t>
        </is>
      </c>
      <c r="J7204">
        <f>HYPERLINK("https://www.weblio.jp/content/病室", "词义详情")</f>
        <v/>
      </c>
      <c r="K7204">
        <f>HYPERLINK("https://yourei.jp/病室", "查看例句")</f>
        <v/>
      </c>
    </row>
    <row r="7205">
      <c r="A7205" t="inlineStr">
        <is>
          <t>描写</t>
        </is>
      </c>
      <c r="B7205" t="inlineStr">
        <is>
          <t>成功</t>
        </is>
      </c>
      <c r="C7205" t="inlineStr">
        <is>
          <t>読み方：びょうしゃ
［名］(スル)物の形や状態、心に感じたことなどを、言葉・絵画・音楽などによって写しあらわすこと。「情景を—する」「心理—」</t>
        </is>
      </c>
      <c r="D7205" t="inlineStr">
        <is>
          <t>描写される(3%)；描写力；描写しよ；描写法；描写論</t>
        </is>
      </c>
      <c r="E7205" t="inlineStr">
        <is>
          <t>代表；表現；記述；描く；表現する</t>
        </is>
      </c>
      <c r="F7205" t="inlineStr">
        <is>
          <t>心理描写；人物描写；性的描写；性格描写；暴力描写</t>
        </is>
      </c>
      <c r="H7205" t="n">
        <v>29</v>
      </c>
      <c r="I7205" t="inlineStr">
        <is>
          <t>シリーズが変わるごとに多少設定変更がみられる描写も少なくはない。；日本で人間化された姿で描写されることがあるのとはかなりイメージが異なる。；これを切ってしまうと能力が発揮できなくなるなどの描写もある。；原作に超サイヤ人がまだ登場していなかった為、その様な描写になった。；作中には関東地方及び神奈川県を舞台とするような描写が描かれている。；いずれの場合も使い魔が術者以上の力を発揮する描写はあまり見られない。；冒頭の編集句を除いて、言葉が発せられた状況の描写や解説は一切ない。；アニメ版のソロモン攻略戦では、敵の正面を埋め尽くす描写がなされた。；このように、序盤のボラーは味方勢力であるかのような描写となっている。；実際に制作された本編では、基本的にそうした描写は削除されている。；実際に放送されたテレビ版では前述の通り生死に関する描写はまったくない。；なお、本シリーズのアナライザーは基本的に3DCGで描写されている。；この小説では、不道徳と権威の否定的な描写が重要なテーマである。；どのような存在であるかについては様々な描写があり、一定しない。；なお、地球攻略艦隊はゴルバ戦以降の描写がなかったため、消息は不明。；ただし、薬屋の商売については具体的なことはほとんど描写されていない。；詞のあちこちに親が我が子の成功を祈る心情が事細かに描写されている。；ヴィシュヌは全ての物と生物に染みわたっていると描写されている。；それ以外にも、時代設定が発表当時に合わせられている描写がある。；宋代話本の特色は白話小説と呼ばれ、白話を用いて描写される点にある。；ヒッチコックの女性の描写は、さまざまな学術的議論の対象となってきた。；マッドサイエンティストの行動は、しばしば以下のように描写される。；しかし現代では、その描写が人々にとってよりリアルなものとなった。；作品中の描写から得られる情報は以下の通りである。；基地自体が厚木付近に所在している設定であり、リアルな描写となっている。；また、原作のような激しい人体切断や流血描写はほぼカットされている。；この作品の心理描写の超現実的な新しい手法と「魔界」が注目された。；設定上は空を飛ぶことが可能だが、戦闘終了後は徒歩で去っていく描写が多い。；いつ誰がスタンドと命名したのかは、作中描写だけでは不明である。</t>
        </is>
      </c>
      <c r="J7205">
        <f>HYPERLINK("https://www.weblio.jp/content/描写", "词义详情")</f>
        <v/>
      </c>
      <c r="K7205">
        <f>HYPERLINK("https://yourei.jp/描写", "查看例句")</f>
        <v/>
      </c>
    </row>
    <row r="7206">
      <c r="A7206" t="inlineStr">
        <is>
          <t>標準</t>
        </is>
      </c>
      <c r="B7206" t="inlineStr">
        <is>
          <t>成功</t>
        </is>
      </c>
      <c r="C7206" t="inlineStr">
        <is>
          <t>読み方：ひょうじゅん
１判断のよりどころや行動の目安となるもの。基準。「—に合わない」
２平均的であること。また、その度合い・数値。並み。「—に及ばない」「—の体重」
[用法]標準・基準——「あなたは何を標準（基準）にしてそう判断するのですか」「標準（基準）の数値」など、目安・よりどころの意味では両語とも使える。◇「標準」は平均的な度合いとか最も普通のタイプといった意で使われることが多い。「標準サイズ」「標準より多い収穫量」「標準仕様」◇「基準」は「基準をゆるめる」「建築基準」「最低基準」など、守るべきものとして定められた目安や枠に言うほか、「昨年度を基準とした場合の伸び率」のように判断のよりどころとする程度・数値をもいう。</t>
        </is>
      </c>
      <c r="D7206" t="inlineStr">
        <is>
          <t>標準的(20%)；標準化(5%)；標準装備(4%)；標準型(2%)；標準仕様</t>
        </is>
      </c>
      <c r="E7206" t="inlineStr">
        <is>
          <t>程度；段階；層；域；基準</t>
        </is>
      </c>
      <c r="F7206" t="inlineStr">
        <is>
          <t>標準治療；標準c；標準設定；標準記録；標準機能</t>
        </is>
      </c>
      <c r="G7206" t="inlineStr">
        <is>
          <t>標準語；標準軌；標準装備；標準的；標準時</t>
        </is>
      </c>
      <c r="H7206" t="n">
        <v>29</v>
      </c>
      <c r="I7206" t="inlineStr">
        <is>
          <t>これも統一された用語というわけではないが標準的なものを示しておく。；しばしば標準圧力であることを示すために記号 を付けて と書かれる。；この理由は標準治療の拒否や、遅れが原因であると推測されるとしている。；現在でも、フランスでは標準フランス語を優越させる政策が続いている。；標準的な速度は毎分30mであるが、速度は調整することが可能である。；車両は標準的な車両が用いられており、比較的古いものではないことが多い。；清代には目的によっていくつかの両があったが、庫平両が標準とされた。；ただしこれを規定する公式な、あるいは広く知られた標準は存在していない。；大陸陸軍は当時のヨーロッパの標準的な軍隊から考えれば小さなものだった。；これらには現在は、上記サーバ機能のいくつかは標準で含まれている。；分類例には多くの提案がなされているが、国際的に標準化されたものはない。；この機械による生産の結果、締め具の寸法が標準化されることになった。；これは長く標準となり、16世紀までは変更が加えられることはなかった。；を含めたは、公式に標準化された最初のオブジェクト指向言語である。；使用される縮尺とその図面の種類は、標準的なものが下記のとおりである。；表面系に関してはスラブ近似を用いて計算するのが最も標準的である。；蒸気発生器は標準的な自動車の鉛蓄電池と同じくらいの大きさだった。；その後、交流と直流の電化区間を接続する標準的な方法として普及する。；最終的に、オーケストラに最も適したサイズとされ国際的な標準になった。；日本は2009年7月16日に国家標準を光周波数コム装置へ変更した。；情報技術分類では、対象となる情報そのものの標準を制定している。；は 標準化グループの最初の会議で1968年2月に正式に標準化された。；これ以外のC言語の標準文字列処理関数の多くにも同様の問題がある。；GMは、GSから他社と共有できる部分を抜粋し標準化したものである。；しかしフロッピーの代替となる標準メディアがなかなか現れなかった。；どのプロトコールがいいかは一概には言えず、標準治療は存在しない。；ただし認定産業標準作成機関が原案を作成した場合は付議を要さない。；またオペレーティングシステムに標準で含まれているものもある。；標準や規格によって用語に違いがあり次のように定義されている。</t>
        </is>
      </c>
      <c r="J7206">
        <f>HYPERLINK("https://www.weblio.jp/content/標準", "词义详情")</f>
        <v/>
      </c>
      <c r="K7206">
        <f>HYPERLINK("https://yourei.jp/標準", "查看例句")</f>
        <v/>
      </c>
    </row>
    <row r="7207">
      <c r="A7207" t="inlineStr">
        <is>
          <t>表彰</t>
        </is>
      </c>
      <c r="B7207" t="inlineStr">
        <is>
          <t>成功</t>
        </is>
      </c>
      <c r="C7207" t="inlineStr">
        <is>
          <t>読み方：ひょうしょう
［名］(スル)善行・功績などを人々の前に明らかにし、ほめたたえること。「永年勤続者を—する」「—状」「—台」</t>
        </is>
      </c>
      <c r="D7207" t="inlineStr">
        <is>
          <t>表彰する(13%)；表彰される(7%)；表彰式；表彰者；表彰受賞</t>
        </is>
      </c>
      <c r="E7207" t="inlineStr">
        <is>
          <t>認め；許可；承認；同意；賛成</t>
        </is>
      </c>
      <c r="F7207" t="inlineStr">
        <is>
          <t>功労者表彰；年度表彰；年間表彰；内閣総理大臣表彰；毎年表彰</t>
        </is>
      </c>
      <c r="G7207" t="inlineStr">
        <is>
          <t>表彰式；表彰状；表彰制度；表彰記章；表彰歴章</t>
        </is>
      </c>
      <c r="H7207" t="n">
        <v>29</v>
      </c>
      <c r="I7207" t="inlineStr">
        <is>
          <t>ドイツに残っていたノルデらは戦後表彰を受けて名誉や地位を回復した。；勲章のように表彰されたことを示すために制服等に着用することが出来る。；表彰も各県別連盟ごとに選出のうえ、決勝リーグでも新たに選出する。；これらの活動が高く評価され、離任前の時期に北九州市から表彰された。；ケラング誌主催で、一年に一度、バンドや楽曲などの表彰を行っている。；記念表彰は計画終了後に起業家たちが収集家を満足させるために制作した。；特に、自然保護に貢献のあった人物を表彰していることで有名である。；このリーグの試合結果はクラブの成績に含まれず、表彰対象ともならない。；広く放送界の発展、放送文化の向上に貢献した人物等を表彰する。；成績は優秀であり、彼の業績により学校が表彰されることもあったという。；デザイン系の学生も様々な機関や団体から表彰を受けている。；表彰等で記章を授与する例、または記章の種類は消防団が圧倒的に多い。；この年のJoin賞は観客動員に大きく貢献したクラブを表彰対象とした。；新聞編集活動が盛んであり、毎年全国レベルの表彰を受けている。；開催した小学校の中には文部科学省から表彰を受ける学校もある。；プロ野球で投手に与えられる表彰または賞には以下のものがある。；ロザリンは全米各地を演説に回っていた数ヶ月の間にも表彰を受けた。；ハリマン賞は傑出した安全記録を達成した鉄道会社を表彰するものである。；唯我も表彰される予定だったが引退していないため本人が拒否。；大学連盟では現在も表彰を行っているリーグが存在する。；クラス発表と音楽系部活の発表があり、最後にクラス発表に関連した表彰がある。；セントラル・リーグではベストナインの投手が対象でより表彰された。；これがローラの生きているうちに受けた唯一の表彰であった。；第20回となった2015年をもって、授賞式等の表彰式典を終了した。；演出には映画監督も多く起用しており、いくつかの作品は多くの賞で表彰されている。；新人王争いは高村祐に敗れたが、その活躍から特別表彰を受けている。；また各地域ごとの競馬記者クラブなどが主催した年間最優秀者表彰が行われる。；前年から検索数が最も上昇した人物・作品・製品を表彰する。；同年はパ・リーグ特別表彰を受賞し、年俸は5800万円となっている。</t>
        </is>
      </c>
      <c r="J7207">
        <f>HYPERLINK("https://www.weblio.jp/content/表彰", "词义详情")</f>
        <v/>
      </c>
      <c r="K7207">
        <f>HYPERLINK("https://yourei.jp/表彰", "查看例句")</f>
        <v/>
      </c>
    </row>
    <row r="7208">
      <c r="A7208" t="inlineStr">
        <is>
          <t>表情</t>
        </is>
      </c>
      <c r="B7208" t="inlineStr">
        <is>
          <t>成功</t>
        </is>
      </c>
      <c r="C7208" t="inlineStr">
        <is>
          <t>読み方：ひょうじょう
１感情や情緒を顔つきや身振りに表すこと。また、その顔つきや身振り。「悲しげな—」「—がくもる」
「自分に向って何だか—しているような可憐な花」〈宮本・伸子〉
２一般に、状況・ようす。「全国各地の歳末の—」「被災地の—」</t>
        </is>
      </c>
      <c r="D7208" t="inlineStr">
        <is>
          <t>表情豊か；表情を硬く；表情を険しく；表情を強張ら</t>
        </is>
      </c>
      <c r="E7208" t="inlineStr">
        <is>
          <t>顔；姿；面；形状；観</t>
        </is>
      </c>
      <c r="F7208" t="inlineStr">
        <is>
          <t>真剣な表情；複雑な表情；厳しい表情；硬い表情；暗い表情</t>
        </is>
      </c>
      <c r="G7208" t="inlineStr">
        <is>
          <t>表情フィードバック仮説</t>
        </is>
      </c>
      <c r="H7208" t="n">
        <v>29</v>
      </c>
      <c r="I7208" t="inlineStr">
        <is>
          <t>スーパースターが攻撃を受けるたびに表情と体の動きで痛みを表現する。；楽曲の表情を実況中継したようなセリフであると指摘されることが多い。；ライブでは、自分のネタ以外ではあまり表情を変えないことが多かった。；さらに表情を認識して、笑顔を確認したら自動で撮影する機能もある。；顔の表情まで読み取るために専用のパイロットスーツが用意されている。；曲が変わった直後、小川は一瞬こみ上げるものがあり表情が崩れている。；それが心からの願いであれば怒ったり悲しい表情をすることはないからと。；姉と見間違えた地元住人たちには、例外なく戦慄の表情が浮かんでいた。；ケロロが時々言う正論には悔しい表情を見せながらも認める部分はある。；あまり表情を変えることはないが、ごく稀に微笑んで見せる事もある。；人間の表情は顔でなく腹など別の場所に付いているのが特徴。；この巻で登場したテサリーの造作や表情は自身をモデルにして描いた。；また、苔や敷石などを濡らすことで表情を作り庭を演出する効果もある。；表情・手首・付属品も豊富で、他商品用のパーツが付属することもある。；逆に3DCGの表情パターンは手描きの設定資料をベースに作成される。；表情も大事であるが、顔の下半分がほとんど覆われていると表情も読めない。；ケニーは口の横のエクボを深く描いたことで、機関車の表情を豊かにした。；別々に旅を続ける二人は、それぞれ穏やかな表情を浮かべるのであった。；キャラクターイラストの表情も羅刹よりやや大人しめになっている。；画像は怒りが我慢ならないレベルまで進行した男性の表情。；最初は会話するときに表情管理が上手く出来ないほど大変だった。；その際、超17号には怒りではなく悲しみの発言や表情をしている。；現在は側面に部分広告が付き、前面スカートも復帰し表情も変化している。；富士山の表情は、見る場所・角度・季節・時間によって様々に変化する。；基本的に笑っている顔で戦闘するのだが、話が進むに連れて表情が豊かになっている。；またキャラクターの顔グラフィックの表情も変化するなど演出も強化されている。；大半が緑豊かな住宅地だが、丁目によってその表情が少しずつ異なる。；しかし二人の表情は素直に幸せを感じているようではなかった。；原作でも時期によっては帽子を上げて表情を明らかにしている。</t>
        </is>
      </c>
      <c r="J7208">
        <f>HYPERLINK("https://www.weblio.jp/content/表情", "词义详情")</f>
        <v/>
      </c>
      <c r="K7208">
        <f>HYPERLINK("https://yourei.jp/表情", "查看例句")</f>
        <v/>
      </c>
    </row>
    <row r="7209">
      <c r="A7209" t="inlineStr">
        <is>
          <t>表する</t>
        </is>
      </c>
      <c r="B7209" t="inlineStr">
        <is>
          <t>成功</t>
        </is>
      </c>
      <c r="C7209" t="inlineStr">
        <is>
          <t>読み方：ひょうする
［動サ変］［文］へう・す［サ変］態度や言葉にあらわす。「感謝の意を—・する」</t>
        </is>
      </c>
      <c r="D7209" t="inlineStr">
        <is>
          <t>表現；示す；表示；見せる；表す</t>
        </is>
      </c>
      <c r="H7209" t="n">
        <v>29</v>
      </c>
      <c r="I7209" t="inlineStr">
        <is>
          <t>敬意を表するため祖父は一家の名前をもらって、それが伝わっています。；こんな政府に私が同情を表することが出来ないと云うのも無理はなかろう。；彼の改革に同情を表するものは、彼と呼吸相通ぜざる社会中心の外にあり。；一般に、敬意を表する言葉は地位の高い立場にある人々に向けられている。；現在、その地には彼らの犠牲に敬意を表する記念碑が建てられている。；なお実験室で親しく交際した私の特別な学生諸君にも感謝の意を表する。；スマートは嬉しさうに尾をふつて感謝の意を表するものの如くであつた。；すなわちその画像を巻首に載せ、いささか追慕の意を表する次第である。；最後に本書は次の各書を參考としたことを記し、謝意と敬意とを表する。；ルーズベルト大統領の訪問は、このことに感謝の意を表するものであった。；私どもはこの茶碗を差上げ、私の感謝の意を表することをよろこびます。；この修道院はトゥールの聖マルティヌスに敬意を表する形で建造された。；こんな急な場合にも敬意を表することを忘れない所にこの人の性格が見えるのである。；今出版の機を利用して是等の諸君に向って一言感謝の意を表する。；吾々は新聞業者のこの種の意識に対して多分の不満を表するものだ。；この場合はその人々にその理由を報じ、謝意を表するのが礼であるとされる。；次手と云つては失礼ながら、次手に感謝の意を表する次第である。；僕はかう云ふ恩恵の前に感謝の意を表するのを辞するものではない。；彼らが彼を先駆者と認めて敬意を表するのもゆえあることである。；妹よ、ここなる議会の協賛もあって、わしは心からそれに同意を表する。；が、べつだん、満足の意を表するでもなく、また不安を示すでもない。；毎年、地上のあらゆる鳥が余に敬意を表するために、ここにやってまいる。；かう短かく単純に走り書して 死んでいつた沢山の民衆に私は敬意を表する。；光年は、銀河や恒星などの天体までの距離を表するのによく用いられる。；これこそこのわしがいつでも敬意を表する気の人の名じゃ。；負傷した彼は、フランス政府から英雄的行為を表する軍功章を授与されている。；天野ほどの人間がそれほどの敬意を表するとは、どんな人間なのか。；私に敬意を表するために立ちあがった連中もすべて腰をおろした。；更らに又これを發表する方法に於て似て居ないところがある。</t>
        </is>
      </c>
      <c r="J7209">
        <f>HYPERLINK("https://www.weblio.jp/content/表する", "词义详情")</f>
        <v/>
      </c>
      <c r="K7209">
        <f>HYPERLINK("https://yourei.jp/表する", "查看例句")</f>
        <v/>
      </c>
    </row>
    <row r="7210">
      <c r="A7210" t="inlineStr">
        <is>
          <t>病棟</t>
        </is>
      </c>
      <c r="B7210" t="inlineStr">
        <is>
          <t>成功</t>
        </is>
      </c>
      <c r="C7210" t="inlineStr">
        <is>
          <t>読み方：びょうとう
病院で、病室のある建物。</t>
        </is>
      </c>
      <c r="D7210" t="inlineStr">
        <is>
          <t>病棟全体；病棟スタッフ；病棟入院；病棟看護；病棟暮し</t>
        </is>
      </c>
      <c r="F7210" t="inlineStr">
        <is>
          <t>内科病棟；一般病棟；新病棟；入院病棟；東病棟</t>
        </is>
      </c>
      <c r="H7210" t="n">
        <v>29</v>
      </c>
      <c r="I7210" t="inlineStr">
        <is>
          <t>病棟職員の一人と話す機会があったんだが、血だらけだったと言ってた。；病棟は精神病患者を収容する二階北側の鉄柵のついた暗い部屋であった。；同じ病棟に、スピロヘータに頭をやられた三十ぐらいの婦人患者がいた。；同期の誰よりも早く病棟を出されたことに関係しているに違いないと思った。；そうした外来患者に対応した業務のほかに、入院病棟からの仕事も入る。；だが、内科病棟の実習生では二人が不合格だったことがやがて判明した。；内科病棟で死んだ人は、ほとんど全員が最後の時間を個室で送っている。；ネヴィンソンは道路の建設と新しい病棟の整備を支援する労働に従事した。；さらに病院側の覚えがよくなると、隣りの病棟に散歩する事が可能になる。；そのとき、病棟のほうから、十八九になる女が来て、津川に呼びかけた。；病棟暮しがほとんどだった現在は、まだ半分もわかっていないのだと思う。；私たちは病棟に行くと、彼を一言からかわずに帰ることは稀であった。；また、新病棟の定礎式と落成式はこの桜祭りの時期に合わせて行われた。；さらに、病棟や病室から廊下に出ることを制限されている患者もある。；伸子が入院してから平穏がつづいているその病棟にはじめてのことだった。；国立病院機構八雲病院の機能移転に伴い、新病棟を建設する予定である。；渡り廊下は二階の高さで、その窓からは入院病棟の一階通用口が見えた。；彼は病院や病棟を出入りしながら、生涯の残り短い時間を過ごした。；窓から見る病棟の壁は、どれも深々とした蔦つたの緑に覆われていた。；医者に話したら、それこそこんどは神経科の病棟へ送られてしまうだろう。；七病棟の婦長は、後に挨拶に行った私に、こんな話を聞かせてくれた。；いない間に病室のドアのすきから病棟に飼われている猫が入って来ていた。；それでも僕の足は意識しないうちに東病棟へと向かっていた。；そればかりか、病棟全部の部屋にも、案内を出そうと提案する人さえいた。；病棟に点る明かりは、美音子が侵入時に見た時よりも、数を増していた。；心配の種が突然除かれ、病棟から昇格できたことに頭がボウッとしていた。；今まで見たところ、精神科の病棟には絵を描いているような者は一人もいない。；かつて病棟があったときには、各階病棟から礼拝堂に出ることができた。；ぼくたちの次のチームは、バンケン収容所の病棟には看護婦一人を置いた。</t>
        </is>
      </c>
      <c r="J7210">
        <f>HYPERLINK("https://www.weblio.jp/content/病棟", "词义详情")</f>
        <v/>
      </c>
      <c r="K7210">
        <f>HYPERLINK("https://yourei.jp/病棟", "查看例句")</f>
        <v/>
      </c>
    </row>
    <row r="7211">
      <c r="A7211" t="inlineStr">
        <is>
          <t>平等</t>
        </is>
      </c>
      <c r="B7211" t="inlineStr">
        <is>
          <t>成功</t>
        </is>
      </c>
      <c r="C7211" t="inlineStr">
        <is>
          <t>読み方：びょうどう
［名・形動］かたよりや差別がなく、みな等しいこと。また、そのさま。「利益を—に分配する」「男女—」
[補説]2017年に実施した「あなたの言葉を辞書に載せよう。2017」キャンペーンでの「平等」への投稿から選ばれた優秀作品。◆シーソーのように不安定なもの。kaeruさん◆姉がケーキを切り、妹が好きなものを選ぶ。いらたさん◆死が必ず訪れること。Reikoさん◆お互いが一対一の関係であること。bamaさん◆異なる立場の者同士が互いを認め合い、その合意の上で成立する関係のこと。おぱんさん</t>
        </is>
      </c>
      <c r="D7211" t="inlineStr">
        <is>
          <t>平等性；平等な権利；平等化；平等な社会；平等保護</t>
        </is>
      </c>
      <c r="E7211" t="inlineStr">
        <is>
          <t>同じ；同様；正しい；同等；正当</t>
        </is>
      </c>
      <c r="F7211" t="inlineStr">
        <is>
          <t>ジェンダー平等；自由平等；社会的平等；男女平等；みな平等</t>
        </is>
      </c>
      <c r="G7211" t="inlineStr">
        <is>
          <t>平等院；平等派；平等院鳳凰堂；平等権；平等所</t>
        </is>
      </c>
      <c r="H7211" t="n">
        <v>29</v>
      </c>
      <c r="I7211" t="inlineStr">
        <is>
          <t>建物の敷地は同じ広さに、すべての耕地も平等の原則の下に分割された。；あらゆる場所で法の前に人として平等に承認されることを再承認する。；全ての人は同じ神の一撃でできているから、平等に扱われる価値がある。；ここで非平等とは、平等への無関心と積極的な不平等を含む用語である。；そのため、契約当事者には形式的な平等しか保障されていないといえる。；これは、全ての人に平等に手を差し出している様子であると言われる。；この作品には作者の、登場人物皆に対して憐憫が平等に与えられている。；この世界は自由・自主・平等を望んでおり、今後もそうあり続けるだろう。；マズダクの教えは、一切の平等を説く社会的抗議運動だったと思われる。；友会徒は全ての人は神から見て平等に作られていると考えている。；この結婚は両者の尊敬と平等に基づいていたため、古代では珍しいことだった。；女性と男性の間の最大の平等が中心的な価値観となっている。；彼は日曜学校で女性を平等に扱うのと同様に子供の教育を改善するよう指導した。；しかし、いずれも政治的平等を目的としている点では同じである。；そうではなく、両サイドは自由と平等のどちらかの核となる価値へ訴える。；制度上では平等になっている国でも、事実上の不平等が存在しない訳ではない。；すべての会員が、採決に参加する平等な権利を持っているわけではなかった。；出席しているすべての生徒には平等な投票権が与えられる。；つまり役割論に基礎を置いた夫婦平等がその内容であった。；イスラムは完全な父長制であり、父親が同じ子供は平等に扱われる。；第一款 朝鮮は自主の国であり、日本と平等の権利を有する国家と認める。；他に女性が男性と平等で、動物が人間のように話せることなどを問題としていた。；特任裁判官は常任の裁判官と完全に平等に裁判に参加することができる。；会員はそれぞれの事業内容にかかわらず平等で民主的に運営する。；平等方を除いて、それぞれ官庁名であると同時にその長官名を指した。；相続財産はすべての子供に性や年齢に関係なく平等に分けられる。；アメリカは黒人とインディアンを差別することで白人の平等を実現した。；インドが独立すると、インド憲法で男女の完全な平等が保証された。；のび太がお小遣いの不平等さを嘆いてドラえもんに出してもらった道具。</t>
        </is>
      </c>
      <c r="J7211">
        <f>HYPERLINK("https://www.weblio.jp/content/平等", "词义详情")</f>
        <v/>
      </c>
      <c r="K7211">
        <f>HYPERLINK("https://yourei.jp/平等", "查看例句")</f>
        <v/>
      </c>
    </row>
    <row r="7212">
      <c r="A7212" t="inlineStr">
        <is>
          <t>評判</t>
        </is>
      </c>
      <c r="B7212" t="inlineStr">
        <is>
          <t>成功</t>
        </is>
      </c>
      <c r="C7212" t="inlineStr">
        <is>
          <t>読み方：ひょうばん
［名・形動］(スル)
１世間の人が批評して是非を判定すること。また、その判定。「—の高い作品」「—を落とす」
２世間でうわさをすること。また、そのうわさ。「—が立つ」「人々がさまざまに—する事件」
３世間の関心の的になっていること。名高いこと。また、そのさま。「今年—になった映画」「—な（の）働き者」</t>
        </is>
      </c>
      <c r="D7212" t="inlineStr">
        <is>
          <t>評判記；評判どおり；評判せら；評判がい；評判よし</t>
        </is>
      </c>
      <c r="E7212" t="inlineStr">
        <is>
          <t>名；評価；有名；人気；噂</t>
        </is>
      </c>
      <c r="F7212" t="inlineStr">
        <is>
          <t>悪い評判；高い評判；大きな評判；大変な評判；良い評判</t>
        </is>
      </c>
      <c r="H7212" t="n">
        <v>29</v>
      </c>
      <c r="I7212" t="inlineStr">
        <is>
          <t>代表作とされるこの作品での演技は俳優仲間にも評判が良かったという。；この公演は評判を呼び、自信をつけた金太郎は俳優になる決心がついた。；この間の演奏が評判を呼び、多くのレコード会社が彼らに興味を示した。；これがホッパーのヨーロッパでの人気と彼の世界的な評判の始まりだった。；表家業は腕が良いとそれなりに評判のようで、よく治療客が訪れている。；このときの評判がシャルル・ペニョとの出会いのきっかけともなっている。；これらのデザインは非常に、かつ永く評判を呼び、会社は成長を続けた。；コロラド州は健康のために運動をする人の比率が高いという評判がある。；その治癒術が非常に評判がよく、戦士である必要がなかったのである。；これはイギリスが舞台の普通小説で、あまり評判にはならなかった。；マギーはフランキーの指導の下、試合で勝ち続けて評判になりはじめる。；サマセット・モームに執筆を依頼し短い作品を連載したところ評判になった。；しかしこの時期のコルトレーンの演奏は決して評判の良いものではなかった。；若い頃より州郡に仕えたが、既に周囲からはただ者では無いと評判であった。；パウリ自身もこの評判を知っており、パウリ効果が現れるたびに喜んだ。；早生まれで大きく育った仔は牧場で評判が高く、病気せず健康であった。；転じて評判や人気などの意味にも用いられる場合があった。；シャフランの初期のコンサートや録音が、当時の評判を明らかにする。；PC版特集記事で評判の良かった記事を、携帯版に再編集して掲載した。；シリーズ最強と評判の為、近年レースに参戦する車両が非常に多く見られる。；アクセルロッドの研究はゲーム理論研究者の間で評判がよくなかった。；さらに処女作の小説『』を出版して評判になるも激しい批判を集めた。；その一方、日本公開時の独自音声を支持する層からはすこぶる評判が悪い。；このころにはすでに質の高い仕事で評判になっていた。；アダムズは自分の評判が傷つけられることを恐れたが弁護を引き受けた。；近年は、これに加えて学部レベルでのヨーロッパ研究も評判が高い。；また、公演旅行はプレスリーの評判をテネシー中に広げることとなった。；その成果は彼の国際的、特にアメリカでの評判を高めることになった。；ホントに評判通りの人なのか、僕との相性がどうなのかとか、いろんな。</t>
        </is>
      </c>
      <c r="J7212">
        <f>HYPERLINK("https://www.weblio.jp/content/評判", "词义详情")</f>
        <v/>
      </c>
      <c r="K7212">
        <f>HYPERLINK("https://yourei.jp/評判", "查看例句")</f>
        <v/>
      </c>
    </row>
    <row r="7213">
      <c r="A7213" t="inlineStr">
        <is>
          <t>標本</t>
        </is>
      </c>
      <c r="B7213" t="inlineStr">
        <is>
          <t>成功</t>
        </is>
      </c>
      <c r="C7213" t="inlineStr">
        <is>
          <t>読み方：ひょうほん
１見本。典型。代表的な例。「俗物の—のような男」
２生物・鉱物などを、研究資料とするために、適当な処理をして保存できるようにしたもの。アルコール・ホルマリンなどにつける液浸標本、乾燥による押し葉標本や剝製(はくせい)標本・プレパラート標本などがある。
３標本調査で、全体の中から調査対象として取り出した部分。見本。サンプル。</t>
        </is>
      </c>
      <c r="D7213" t="inlineStr">
        <is>
          <t>標本室(2%)；標本館；標本数；標本箱；標本採集</t>
        </is>
      </c>
      <c r="E7213" t="inlineStr">
        <is>
          <t>代表；抽出；サンプル；試料；見本</t>
        </is>
      </c>
      <c r="F7213" t="inlineStr">
        <is>
          <t>植物標本；鉱物標本；塗抹標本；組織標本；完全な標本</t>
        </is>
      </c>
      <c r="G7213" t="inlineStr">
        <is>
          <t>標本調査；標本空間；標本平均；標本木；標本分散</t>
        </is>
      </c>
      <c r="H7213" t="n">
        <v>29</v>
      </c>
      <c r="I7213" t="inlineStr">
        <is>
          <t>皮膚などの組織標本も保存されていたが、第二次世界大戦下で失われた。；なお、標本はその生物の本来の形態を保存するものでなければならない。；この標本が今日知られている全てのユーカリ属の種の基準となっている。；一般に各区間の標本数をある程度以上確保するために区間数を少なくする。；黒人生徒の点は標本数が少ないために信頼できる統計とはなっていない。；これは、標本に極端に大きな値が含まれる可能性がかなり高いからである。；同様の標本が近縁な属であるステノプテリギウスでも発見されている。；この角は涙骨が延長したもので、標本によって形や大きさが異なっている。；その他、塗抹標本の場合には単に火で炙るだけで固定とすることもある。；標本数が少ない場合、区間の幅をどう選択するかで値が大きく変わってくる。；また、博物館の展示や学校の理科室の標本なども剥製であることが多い。；記載されてから1930年までに標本は1頭のみしか採集例がなかった。；前者は主として固定標本の場合に、後者は生体を扱う場合に用いられる。；標本の時代が違ったため種レベルでは区別されたままとなった。；標本作成の処理によって妙な構造ができたりするのは避けなければならない。；そして標本技術士と少女は、誰も入ることが許されない地下室へと入っていく。；特に博物館にとっては、このような標本の管理は重要な役割の一つである。；標本の中央値は順序統計量となる場合もあるし、そうでない場合もある。；この標本は竜脚類の特定の科へと公式に適用する特徴が十分に分かっていない。；こうした標本になっているのは、植物の個体全体または部分である。；幼いころから好奇心旺盛で、植物標本を集めたり、実験したりしていた。；無作為標本を取り出したとき、全く同じ分布となる可能性は極めて小さい。；必要に応じて諸臓器から組織を採取し作製した標本を顕微鏡で観察する。；具体的には複数の葉をつけ、花や実のついた枝をもって標本とするのを理想とする。；死んだ生物の標本や組織を薬品で透明化しての観察も行われている。；この標本はまた地球に帰還する前に宇宙ステーションミールにも運ばれた。；人間の写真にコードを触れた場合は、その写真本人が標本になる。；少女は次に、自分の顔面の頬に残る「火傷の跡」の標本製作を依頼する。；その結果、掲載された標本は捏造されたものであることがわかった。</t>
        </is>
      </c>
      <c r="J7213">
        <f>HYPERLINK("https://www.weblio.jp/content/標本", "词义详情")</f>
        <v/>
      </c>
      <c r="K7213">
        <f>HYPERLINK("https://yourei.jp/標本", "查看例句")</f>
        <v/>
      </c>
    </row>
    <row r="7214">
      <c r="A7214" t="inlineStr">
        <is>
          <t>表面</t>
        </is>
      </c>
      <c r="B7214" t="inlineStr">
        <is>
          <t>成功</t>
        </is>
      </c>
      <c r="C7214" t="inlineStr">
        <is>
          <t>読み方：おもてめん
１両面に印刷または刻印された紙や硬貨・メダルなどの、表にあたる側。柄や模様がない場合でもいう。ひょうめん。⇔裏面。
２アナログレコードやカセットテープなどのA面のこと。⇔裏面。
３コンピューターゲームなどで、公に用意されたステージ（面）。本編にあたる部分。裏面に対していう。</t>
        </is>
      </c>
      <c r="D7214" t="inlineStr">
        <is>
          <t>表面化(5%)；表面的(2%)；表面温度；表面全体；表面付近</t>
        </is>
      </c>
      <c r="E7214" t="inlineStr">
        <is>
          <t>顔；姿；見え；外；体</t>
        </is>
      </c>
      <c r="F7214" t="inlineStr">
        <is>
          <t>墳丘表面；地球表面；惑星表面；皮膚表面；火星表面</t>
        </is>
      </c>
      <c r="G7214" t="inlineStr">
        <is>
          <t>表面積；表面張力；表面処理；表面重力；表面波</t>
        </is>
      </c>
      <c r="H7214" t="n">
        <v>29</v>
      </c>
      <c r="I7214" t="inlineStr">
        <is>
          <t>表面にマグネタイトを形成する方法が一般的だがまったく充分ではない。；このことからタイタンの表面は、年齢と比較して若いと考えられている。；複雑な有機化合物がこのような暗い表面を構成していると考えられている。；海水はその表面に波が立っていることが多く、これは主に風の作用である。；また、セキュリティホールの多さと対応の遅さもこの時期に表面化した。；判読困難なものがあるが、ほぼ全ての表面がこれらの文章で覆われている。；紙幣表面は窓や門が描かれているのに対して、裏面は橋が描かれている。；間柱部分は黒に塗装することでガラス表面から内部が見えないようにした。；湿った空気中では酸化レニウムを形成するため僅かに表面が曇っていく。；木道の表面には設置・更新年を示す焼印が木道一本ずつに押されている。；同年7月8日に発表された新官制においても、両者の対立は表面化した。；同時に砂や泥の表面ではあまり安定しない移動方法でもある。；カリストの表面に見られる最も大きい衝突地形は多重リング構造である。；このモードでは一般的に表面形状などの分布は測定されない。；そのため色彩学では面色と表面色という色の見え方の違いが重要とされている。；ほかの紙幣でも、この記番号は表面にある額面の上方に記載されている。；表面系に関してはスラブ近似を用いて計算するのが最も標準的である。；ただし水面のような液体の表面は、表と裏の両方から接触可能である。；しかし、J2加入が確定した2001年年頭ごろから問題が表面化した。；分子量の小さいものは水和する表面が相対的に広い場合に水に溶解する。；水の凍結によって内部は膨張し、峡谷が形成され古い表面が更新された。；金属の表面に他の金属を圧延して貼り合わせる技術はといい区別する。；これは界面である明瞭な表面を進む波となるため表面波とも呼ばれる。；しかし、トールキンは単に演出として資料の表面を利用しただけではない。；表面にはひび割れや筋状の構造が見られるが、クレーターは比較的少ない。；色覚の違いが表面化するのは、複数の色の区別に困難が生じるなどの場合である。；カタカナ語のデザインは、形状、表面の設計に限定して用いることがある。；酸化しやすいが、表面に酸化皮膜が形成されるとそれ以上進行しない。；これらには再構成された表面から生じる準位が含まれている。</t>
        </is>
      </c>
      <c r="J7214">
        <f>HYPERLINK("https://www.weblio.jp/content/表面", "词义详情")</f>
        <v/>
      </c>
      <c r="K7214">
        <f>HYPERLINK("https://yourei.jp/表面", "查看例句")</f>
        <v/>
      </c>
    </row>
    <row r="7215">
      <c r="A7215" t="inlineStr">
        <is>
          <t>評論</t>
        </is>
      </c>
      <c r="B7215" t="inlineStr">
        <is>
          <t>成功</t>
        </is>
      </c>
      <c r="C7215" t="inlineStr">
        <is>
          <t>読み方：ひょうろん
［名］(スル)物事の価値・善悪・優劣などを批評し論じること。また、その文章。「時局を—する」「文芸—」</t>
        </is>
      </c>
      <c r="D7215" t="inlineStr">
        <is>
          <t>評論集(5%)；評論雑誌；評論誌；評論文；評論部門</t>
        </is>
      </c>
      <c r="E7215" t="inlineStr">
        <is>
          <t>批判；論；解釈；解説；論文</t>
        </is>
      </c>
      <c r="F7215" t="inlineStr">
        <is>
          <t>美術評論；社会評論；演劇評論；時事評論；人物評論</t>
        </is>
      </c>
      <c r="G7215" t="inlineStr">
        <is>
          <t>評論活動；評論社；評論新聞；評論家一覧</t>
        </is>
      </c>
      <c r="H7215" t="n">
        <v>29</v>
      </c>
      <c r="I7215" t="inlineStr">
        <is>
          <t>逆説的に、写真評論がある種、文学になりえているといえる作品である。；同時に自分がこれまで書いた評論などの原稿や詩作を整理しはじめる。；初期の傾向はその後の彼の詩的形式や評論の方向性にも影響を与えている。；それを言うんだったら、政治評論家もスポーツ評論家も要らないのでは?；他に、小説、評論、演出、映画などのジャンルでも才能を発揮している。；一方で、各国で映画史的な研究が評論家によって精力的に行われていた。；山本には料理評論の著書もあり、関連して多くのメディアにも出演している。；主に哲学・思想を中心に、歴史・文化・評論・詩集などの書籍を出版していた。；非常に短いが日本の近代小説成立の上で『小説神髄』と並んで重要な評論。；以後、国粋主義の立場から詩や評論を書き、皇道文学の確立を主張した。；漫画にしかできない表現方法として発表当時から多数の評論家に言及されてきた作品。；さまざまな歴史論や評論をノース・アメリカン・レビュー誌に寄稿した。；したがって仏文や哲学科の卒業者から音楽の評論、解説に転じる者もある。；次第に宗教色はなくなり、小説や評論などを掲載するようになった。；これ以降は教育や評論・執筆活動、講演活動などに勤しむこととなる。；はチーム状態のなにが悪いのか評論家も頭をひねるほどの悪循環にはまった。；この日に三島が発表した評論に、必勝との問答と思われるものがある。；中には映画館で見ないで評論する人も増えている。；第9回より小説・評論を対象とした著作に授与されている。；ファン目線での評論が多く、しばしば競馬界全体を批判することもあった。；対象としている事業分野の専門家ではなく、逆に無知なケースさえある評論家である。；ヘヴィメタルを中心に評論家として活動し、レコードの解説も執筆していた。；また、「赤旗」の評論員論文・無署名論文の多くを執筆したともいわれる。；学芸部に所属し、文学・音楽・映画・演劇に関する評論を執筆した。；現在に至るまで様々な評論、小説が掲載される総合雑誌として継続している。；夏目が評論家として活動するきっかけとなったコーナーで、後に書籍化された。；各国の映画評論家から高い評価を受ける作品でもあり、数々の賞を受賞した。；興行的に失敗し、脚本および耳に残らない音楽などで評論家から広く批判された。；の名古屋のホームゲームの解説者や中日スポーツの評論などを行っていた。</t>
        </is>
      </c>
      <c r="J7215">
        <f>HYPERLINK("https://www.weblio.jp/content/評論", "词义详情")</f>
        <v/>
      </c>
      <c r="K7215">
        <f>HYPERLINK("https://yourei.jp/評論", "查看例句")</f>
        <v/>
      </c>
    </row>
    <row r="7216">
      <c r="A7216" t="inlineStr">
        <is>
          <t>ひょっとすると</t>
        </is>
      </c>
      <c r="B7216" t="inlineStr">
        <is>
          <t>成功</t>
        </is>
      </c>
      <c r="C7216" t="inlineStr">
        <is>
          <t>［副］「ひょっとしたら」に同じ。「—あの人が犯人かもしれない」</t>
        </is>
      </c>
      <c r="H7216" t="n">
        <v>29</v>
      </c>
      <c r="I7216" t="inlineStr">
        <is>
          <t>ひょっとするとこの座席に今まで幾人かの患者が乗ったのかもしれない。；そういえばひょっとするとこの商人にもなにか意見があるのではないか。；これはひょっとすると毒の影響が新しい形であらわれたのかもしれない。；ひょっとするとこれも母の魂の導きではあるまいかなどと思ったりした。；ひょっとするとこの青年は何かの犠牲者なのかもしれないと思ったのだ。；ひょっとすると夜のうちにもう、行動を開始してしまったかもしれない。；ひょっとすると男子の胸の中を読み取る術を知っているのかもしれない。；ひょっとすると、それだけですべてが解決するかもしれないではないか。；ひょっとすると我々は死人だらけの中で暮らしているのかも知れないよ。；ひょっとすると滝上くんもそういうことを知っていたのかもしれません。；ひょっとすると毛毛とおまえは血がつながっているかもしれないってな。；ところで、彼はひょっとすると六脚生物のことばがわかる可能性がある。；ひょっとすると犯人はあの隠し扉を使って現場に侵入したのかもしれない。；ひょっとすると手裏剣ぐらい投げられるんじゃないかと思うこともある。；明日はひょっとすると負け犬気分で帰ることになるかもしれませんから。；ひょっとすると祭祀上の理由からクマの名を口にすることを避けていた。；ひょっとすると研究が前に進むかもしれない、小菅には希望が出てきた。；ひょっとすると、おれにだっていつかそんなことが起こるかもしれない。；ひょっとするとあたしたちが聞いたこともない一族かもしれないでしょう。；ひょっとするとニューヨークへ立つ前の晩に出来た子供かもしれなかった。；私は、ひょっとするとジムがここを訪問に来たのかもしれないと思った。；ひょっとすると、わたしが悪戯をしたとでも思ったのかもしれませんね。；ひょっとすると、その場で俺の口を封じることも考えたかもしれないな。；ひょっとするとこの松林に囲まれた土地を憶えていたのかも知れないね。；ひょっとすると、娘を奪って行かれるかも知れないと思ったこともある。；ひょっとすると、それが最もよくない最後の因縁の糸なのかもしれない。；ひょっとすると、あんまりいかれすぎて、頭がどうかしたんじゃねえか。；ひょっとすると弟は昨日の夜、あの船乗りたちと立ったのかも知れない。；ひょっとするとふたりとも的場夫人の愛人になっていたのかもしれない。</t>
        </is>
      </c>
      <c r="J7216">
        <f>HYPERLINK("https://www.weblio.jp/content/ひょっとすると", "词义详情")</f>
        <v/>
      </c>
      <c r="K7216">
        <f>HYPERLINK("https://yourei.jp/ひょっとすると", "查看例句")</f>
        <v/>
      </c>
    </row>
    <row r="7217">
      <c r="A7217" t="inlineStr">
        <is>
          <t>びら</t>
        </is>
      </c>
      <c r="B7217" t="inlineStr">
        <is>
          <t>成功</t>
        </is>
      </c>
      <c r="C7217" t="inlineStr">
        <is>
          <t>読み方：びら
⇒ポートビラ</t>
        </is>
      </c>
      <c r="D7217" t="inlineStr">
        <is>
          <t>びらびら(5%)；びら簪；びらうど；びらとり；びら集め</t>
        </is>
      </c>
      <c r="E7217" t="inlineStr">
        <is>
          <t>広告；看板；ポスター；散らし；張り出し</t>
        </is>
      </c>
      <c r="F7217" t="inlineStr">
        <is>
          <t>肉びら；そびら；黄びら；草びら；くびら</t>
        </is>
      </c>
      <c r="G7217" t="inlineStr">
        <is>
          <t>びらん；びらん剤；びらとり温泉；びらしゃら；びらり</t>
        </is>
      </c>
      <c r="H7217" t="n">
        <v>29</v>
      </c>
      <c r="I7217" t="inlineStr">
        <is>
          <t>此は半分大びらで、夜は男が来るのを許さなければならなかつたのです。；下にもうひとつとびらがあって、それが、下の部屋の天井になっていた。；足の下のどこかでバターンととびらのしまるような音がしたからである。；別のとびらがひらく音をききつけたのは、階段をおりているときだった。；すると、鈍い音をたてて、そのさびたとびらは暗い奥の方へ開きました。；そのとびらのマジック・アイから、目に見えない視線が放射されてくる。；それから、ぼくたちは、一度も、とびらから目をはなさなかったのです。；人間よりも大きな、一つの仏像の背中が、とびらのようにひらくのです。；教室の扉の《とびら》向こうに立っている人物に気を取られたのだ。；とびらが蝶番の受皿の上でまわったとき、侯爵は牢のなかを歩いていた。；あれはともかくも弁護の余地のない全く広告びら向きの絵のように思われた。；家の中へはいって、部屋のとびらをノックしたが、やはり返事がなかった。；広間に通じているとびらとは反対の出入口から、室内に侵入したのだ。；あの二人の憲兵が、サーベルをぬいて、とびらの両側にたって監視した。；犬猫どもに「舌びらめ&amp;エビ」を食べさせておくわけにはいかないのだ。；そのトンネルには、それぞれ鉄の門があって、鉄のとびらがしまっていました。；とびらもない門をはいって行くと、草の中に古い木造の洋館が建っていた。；謙造は走るべき方向を失って今出てきた喫茶店のとびらを押して中へ走りこんだ。；リヤが手をあげたとき走りこんできた赤騎士の段びらが乳母の胸をさしたわ。；しかしそれだけではまだ大びらで調査をするわけにはゆかない。；入口の石段を、二、三級上ると、とびらが開いているので、中が見える。；鋼鉄のとびらが巧くカモフラージしてあったのでわからなかったのである。；乗用機のとびらが開いて、まっ先に飛び出したのは、日本の将校であった。；彼は牢獄の中へはいっていったが、その背後でとびらは少しあいたままになっていた。；鉄のとびらをはめた大きな石の門に浦川大造という表札がかかっている。；わたしは、とびらのほうへ行きかけたが、バートの声で足をとめた。；左舷の機関室のハッチのすぐ後ろに、幅の広い鉄のとびらがあった。；自分の腕時計で九時十分前に、バートを呼ぶために部屋のとびらを少しあけた。；とびらには鍵がかかったままになっているのである。</t>
        </is>
      </c>
      <c r="J7217">
        <f>HYPERLINK("https://www.weblio.jp/content/びら", "词义详情")</f>
        <v/>
      </c>
      <c r="K7217">
        <f>HYPERLINK("https://yourei.jp/びら", "查看例句")</f>
        <v/>
      </c>
    </row>
    <row r="7218">
      <c r="A7218" t="inlineStr">
        <is>
          <t>平仮名</t>
        </is>
      </c>
      <c r="B7218" t="inlineStr">
        <is>
          <t>成功</t>
        </is>
      </c>
      <c r="C7218" t="inlineStr">
        <is>
          <t>読み方：ひらがな
仮名の一。漢字の草体から作られた草仮名(そうがな)をさらに簡略化したもの。平安初期から中期にかけて、主に女性が歌や手紙を記すのに盛んに用いたことから発達した。女手(おんなで)。かんな。かな。→片仮名→真名(まな・まんな)
[補説]字体は種々あるが、明治33年（1900）の小学校施行令以来は一般に用いる48字（「いろは」47字と「ん」）以外を変体仮名として区別するようになった。</t>
        </is>
      </c>
      <c r="D7218" t="inlineStr">
        <is>
          <t>平仮名表記(15%)；平仮名書き；平仮名絵入新聞；平仮名名義；平仮名表示</t>
        </is>
      </c>
      <c r="F7218" t="inlineStr">
        <is>
          <t>すべて平仮名；用いられる平仮名</t>
        </is>
      </c>
      <c r="H7218" t="n">
        <v>29</v>
      </c>
      <c r="I7218" t="inlineStr">
        <is>
          <t>平仮名だけを読んでわかったつもりになることが一番いけないのだから。；問題に沿って平仮名のブロックを並べて正解することで扉を開けていく。；現在参加する殆どの作品では本名の平仮名表記でクレジットされている。；それは平仮名を読むことでなく、子供の知らない漢字を読む試みである。；名前を平仮名表記に改めたのは「柔らかさを出したい」ためとしている。；平仮名表記を用いることが多いが長沼温泉と漢字表記されることもある。；近年は道の駅開設の影響もあり、平仮名でおふく温泉と呼ぶこともある。；根田淳弘から、名前を平仮名にした現在の名前に改名した経緯がある。；嵐のシングル表題曲が全て平仮名表記なのは、この曲が初めてである。；橋名は住民から募り、親しみやすいように楢下を平仮名で表記している。；草仮名は、万葉仮名から平仮名への移行段階に表れたかなの一種である。；平仮名で二十文字もかかる単語も15498と書けばまだ少なく思える。；南北線・東豊線のさっぽろ駅が平仮名表記になっているのも同じ理由である。；平仮名は誕生した当初から、ひとつの音節に対して複数の字体があった。；小学校の教科書では『みかん』は漢字ではなく平仮名になっていたわね。；ただしこちらは観光案内では平仮名表記を用いることが多い。；ペンネームは本名を平仮名にしたもので理由は本名の名前が読みにくいからである。；東西線の新さっぽろ駅が平仮名表記になっているのも同じ理由である。；叩いたのはアルファベットのキーだが、画面には平仮名が表示された。；平仮名にしたのは「子供からお年寄りにまで分かるように」とのこと。；或は又平仮名に慣れてゐる僕も片仮名には感じが鈍いのかも知れない。；平仮名のもとになったのは、奈良時代を中心に使われていた万葉仮名である。；平仮名しか書けなかった植月が四人にあてた手紙がその一端を示している。；ぼんやりと平仮名を眺める私の目に突然、長野の地名が浮かび上がった。；平仮名だけの短いメッセージが目に飛び込んでくるなり、立ち上がっていた。；当駅より後に設置された京王よみうりランド駅は平仮名表記を採用している。；もともと漢字表記を用いて活動していたが、近年では平仮名表記での活動も多い。；あれは少数の詩に限っては効果はあるが、平仮名詩で打ち通す気はないだろう。；なお、従来通りに平仮名のみの表記に切り替えることも可能である。</t>
        </is>
      </c>
      <c r="J7218">
        <f>HYPERLINK("https://www.weblio.jp/content/平仮名", "词义详情")</f>
        <v/>
      </c>
      <c r="K7218">
        <f>HYPERLINK("https://yourei.jp/平仮名", "查看例句")</f>
        <v/>
      </c>
    </row>
    <row r="7219">
      <c r="A7219" t="inlineStr">
        <is>
          <t>開く</t>
        </is>
      </c>
      <c r="B7219" t="inlineStr">
        <is>
          <t>成功</t>
        </is>
      </c>
      <c r="C7219" t="inlineStr">
        <is>
          <t>読み方：あく
［動カ五（四）］
１（開く）
㋐隔て・仕切り・覆いなどが、動かされて除かれる。閉じていたものがひらく。「窓が—・く」「鍵(かぎ)が—・かない」⇔閉まる。
㋑営業が始まる。営業が行われる。「店は何時まで—・いていますか」⇔閉まる。
㋒開票がはじまる。「票が—・く」
２（明く）
㋐衣服の襟などが、ひらかれている。「この服は襟ぐりが—・きすぎている」
㋑閉じていた目や口がひらいた状態になる。「小犬の目が—・く」
㋒物忌みや契約などの、一定の期間が終わる。「喪が—・く」「年季が—・く」
３（空く）今までそこを占めていたもの、ふさいでいたものが、除かれたり、なくなったりする。
㋐穴ができる。「胃壁に穴が—・く」
㋑そこにいた者やあった物がなくなり、からになる。「—・いている部屋はありますか」「席が—・く」
㋒空間・空白・余地ができる。間隔が広がる。「行間が—・いている」
㋓器の中のものが全部使われてからになる。「瓶が—・く」「—・いた銚子をかたづける」
㋔仕事が終わり、暇になってゆとりができる。「からだが—・く」「手が—・く」
㋕用が済んで、当面使わなくなる。「—・いたら貸してください」
㋖欠員になる。「課長のポストが—・く」
４（開く）あける。「口を—・く」
[補説]2㋑は「開く」、3は「明く」とも書く。
［動カ下二］「あける」の文語形。
[下接句]穴のあくほど・片目が明く・地獄の釜(かま)の蓋(ふた)も開く・手が空く・手が空けば口が開く・幕が開く・水が空く・埒(らち)が明く</t>
        </is>
      </c>
      <c r="D7219" t="inlineStr">
        <is>
          <t>開くべき；開くべく；開くよう要求；開く間もなく；開くよう命じ</t>
        </is>
      </c>
      <c r="E7219" t="inlineStr">
        <is>
          <t>与える；オープン；開ける；主催する；催す</t>
        </is>
      </c>
      <c r="F7219" t="inlineStr">
        <is>
          <t>ゆっくりと開く；花開く；再び開く</t>
        </is>
      </c>
      <c r="H7219" t="n">
        <v>29</v>
      </c>
      <c r="I7219" t="inlineStr">
        <is>
          <t>このような場所も縁はなかったなと思いながら、鉄の門を開こうとする。；仕方なく待つことにしたが、二人の女性はまったく口を開こうとしない。；駅はカーブ区間に設置されているため、車両とホームの間に隙間が開く。；メニュー画面を開くと、現在どこにいるのかが表示されるようになった。；日本でも人気は高く、年末になると各地で第九のコンサートが開かれる。；それから本ばかり読んでいて、なかなか他人に心を開こうとしなかった。；停車列車はすべてワンマン運転であるが、当駅ではすべてのドアが開く。；マグマの中を自由に泳ぎまわり、さらにはその中で口を開くことが可能。；蓋には遺体の顔を見られるように専用の蓋で開く小窓がついている事が多い。；傘を開くときは周囲に人がいない方に向けて、危険のないように注意する。；だが、母は微かに首を横に振っただけで、やはり口を開こうとはしない。；世界は開かれている傾向があり、光と隠れていないことの側に立つ。；ホームの信濃町寄りは曲線区間にあり、電車との隙間が広く開いている。；やがて、どうやらだれひとりとして口を開こうとしないとわかってきた。；蜂起と並行して第二回全国労働者・兵士代表ソヴィエト大会が開かれた。；ドアは前方のヒンジを軸にして上方に開くシザーズドアを採用している。；あんたがさらに論争しようと口を開こうとしているのはわかっている。；絵が得意で個展を開いたり、かつて経営していたカフェにも飾っていた。；そして爆撃で滑走路に開いた穴はその日のうちに埋め戻してしまった。；私がすぐ口を開こうとすると、アクロイド氏は手をあげてそれを制した。；ホームはカーブしており、電車とホームの間が開いている箇所がある。；明日の会議は10月30日に空爆か侵攻を行うかで開かれる予定であった。；二人が蜜柑畑の中の畔に腰を下ろして、割籠を開こうとしたときだった。；この出来事を境に、コカ・コーラとの差が大きく開いていくこととなった。；秋刀魚を開きは背から開くもの、腹から開くものと地方によって異なる。；生殖孔は最後の葉足の間の腹面中央か、もう一つ前の葉足の間に開く。；その重しのせいで、このページは開こうとする力を今だに維持している。；奇数番号車のドアは品川方に向かって開き、偶数番号車はこの逆に開く。；以前のように集会を開いて練り歩くことのできない場所となっている。</t>
        </is>
      </c>
      <c r="J7219">
        <f>HYPERLINK("https://www.weblio.jp/content/開く", "词义详情")</f>
        <v/>
      </c>
      <c r="K7219">
        <f>HYPERLINK("https://yourei.jp/開く", "查看例句")</f>
        <v/>
      </c>
    </row>
    <row r="7220">
      <c r="A7220" t="inlineStr">
        <is>
          <t>平たい</t>
        </is>
      </c>
      <c r="B7220" t="inlineStr">
        <is>
          <t>成功</t>
        </is>
      </c>
      <c r="C7220" t="inlineStr">
        <is>
          <t>読み方：ひらたい
［形］［文］ひらた・し［ク］
１厚さが少なく、横に広がっている。「—・い箱」
２たいらで、凹凸が少ない。「—・い顔」
３円満である。また、遠慮・隔意などがなく、心安い。
「お延に対して—・い旦那様になっていた」〈漱石・明暗〉
４表現などがわかりやすい。平俗である。「—・く言う」
[派生]ひらたさ［名］</t>
        </is>
      </c>
      <c r="D7220" t="inlineStr">
        <is>
          <t>平たい石(6%)；平たい箱(2%)；平たい岩；平たい顔；平たい形状</t>
        </is>
      </c>
      <c r="F7220" t="inlineStr">
        <is>
          <t>左右に平たい；小さな平たい；平たい部分；平たい体；やや平たい</t>
        </is>
      </c>
      <c r="H7220" t="n">
        <v>29</v>
      </c>
      <c r="I7220" t="inlineStr">
        <is>
          <t>平たく言えば、多くの人物が似たもの同士になるのが分身の現象である。；彼は穴の口に平たく坐り、眼をお皿のようにして、様子を見ていました。；基本形状に変化はないが、主翼の先端にある推進機が平たくなっている。；車の去ったあとには一枚の平たい布が道にしがみついているばかりだった。；二キロの水面を越えてむこうに陽新の街は水に沿うて平たく並んでいる。；そこにはもう何もなく、あの平たい石も、ぴくりとも動いていなかった。；身を起こしたとき、ダンブルドアの手には例の平たい石の水盆があった。；ヒトのように平たい顔をした動物は他にはない、と言っても良いであろう。；ナイフには丸い柄のナイフや平たい柄のナイフなどさまざまな種類がある。；中央にはもう一つ平たい石があって、食卓の用をなしているらしかった。；また、刃は円錐状以外にも「剣」のように平たい形状のものも出てきた。；葉は、植物の器官を表し、転じて平たくて薄いものや小さいものを表す。；私は癖のついた西洋紙を、逆に折り返して読みやすいように平たくした。；幼生は目が普通の魚と同様に左右に分かれて付いており、体も平たくない。；破片の大きなもののひとつが、隣接する小宮殿の平たい屋根を直撃した。；山が平たく前庇がつく形状から、一見すると水兵帽に似た形をしている。；平たい石を投げてできるだけ幾度も水を切らせようとして遊んだ場所だ。；この町が平たく奥行きがないのは、背後に湖が控えているからである。；中には、手のひらほどの、二匹の平たい灰色の生物が這いまわっていた。；近縁種も含めサバ科の仲間でも特に前後に細長い体型で、左右に平たい。；深く切り込んだ谷で分けられた頂上の平たい山があるのが特徴である。；ヒラメのように体を平たくして沈んで行き、二分も三分ももぐっている。；初期のトボガンは木製で、平たい木板と手を掛ける綱のみで出来ていた。；板葺きの三角は平たいから、どんなに大きくてもそう棟が高くならない。；口の一方の隅が平たく緊張して、他方の隅には深い凹みが出来ていた。；われわれはそれを全部やって、それから大佐は平たいケースの封を切った。；平たく言えばPSO2に登場する武器を擬人化した存在のことである。；二階のお座敷に、平たくて大きいテーブルがあったように覚えている。；幼虫は全身が黒で、上から押しつぶされたように平たい体型をしている。</t>
        </is>
      </c>
      <c r="J7220">
        <f>HYPERLINK("https://www.weblio.jp/content/平たい", "词义详情")</f>
        <v/>
      </c>
      <c r="K7220">
        <f>HYPERLINK("https://yourei.jp/平たい", "查看例句")</f>
        <v/>
      </c>
    </row>
    <row r="7221">
      <c r="A7221" t="inlineStr">
        <is>
          <t>閃く</t>
        </is>
      </c>
      <c r="B7221" t="inlineStr">
        <is>
          <t>成功</t>
        </is>
      </c>
      <c r="C7221" t="inlineStr">
        <is>
          <t>読み方：ひらめく
［動カ五（四）］
１一瞬するどく光る。きらめく。「雷光が—・く」
２旗などがひらひらと揺れ動く。また、火が揺れ動く。「万国旗が—・く」「風で炎が—・く」
３考えや思いが瞬間的に思い浮かぶ。「名案が—・く」</t>
        </is>
      </c>
      <c r="D7221" t="inlineStr">
        <is>
          <t>閃く銀光</t>
        </is>
      </c>
      <c r="E7221" t="inlineStr">
        <is>
          <t>光る；輝く；きらきら；スパーク；差す</t>
        </is>
      </c>
      <c r="H7221" t="n">
        <v>29</v>
      </c>
      <c r="I7221" t="inlineStr">
        <is>
          <t>沼津の話はまだ自分と夫人との間に閃いた沈黙の感じ合に過ぎなかった。；あまり手持ぶさたなので、無数の星が閃いてゐる空を見あげてゐたのだ。；そこには特殊であって、また普遍性をもついくつもの課題が閃いている。；若い従兄妹同士のこの会話には、すべての感情が閃いてゐたからである。；長く続けるには、なんとなくいいなと思う閃きは大切だと考えています。；ただただ、闇のなかに閃く白い人影だけが視界をいっぱいに占めていた。；だが、今回ほど自分に最初に閃きがきてよかったと思ったことはない。；見切りは、敵から技を受けたときに閃き、その場で敵の攻撃を回避する。；やっぱり塑像かなと云う推測が、また一刹那の間おれの頭の中に閃いた。；書いた自分の字を繰り返し見つめているうちに、ある閃きに打たれた。；私は彼が何かいつてくれなければ大変なことになると閃くやうに思つたのだ。；そういった判断が、瞬間、彼女の頭に閃いたものと考えていいであろう。；いなずまの閃きのように、その二つの言葉が、頭の中で繰り返し聞えた。；この人相を聞いているうちに、信じられないような考えが彼の頭に閃いた。；そのとき、うちは人形を他人に押しつける、ある方法を閃いたのだった。；いかなる才能も忍耐も閃きも、それを形にする時間がなければ無意味だ。；それに肉を切って分配するときにはあらゆるものが火の閃きのように走るわ。；非常に恐ろしい病気のように聞いていたその名が、順造の頭に閃いた。；たちまち銃火が連続して閃き、小爆発が起きて天井は大きく傾きだした。；恐るべき毒学者が出会ったはずの、もうひとりの男の名が閃いたのである。；雪の降りしきる静かな道を歩きつつ、或る恐ろしい考えが私の中に閃いた。；これを泥眼と言っているが、金が光る度に異様なかがやき、閃きがある。；これを泥眼と言ってますが、金が光る度に異様なかがやき、閃きがある。；鋼が三度閃くのを見て、彼女のまことの技がどこにあるかを思い出した。；それに気づいたとき、わたしの頭の中に素晴らしいアイデアが閃いたわ!；また、僕の場合にはこうしたやり取りの中で初めて何かを閃くんだよ。；見事な閃きを見られるのが、父と会話する楽しみのひとつでもある。；と、その空の格納庫の奥に突然、馬鹿のように薄白い緑色の光が閃いた。；父はあの波間に閃いたことのあるあの記憶のきざしについて語つてゐる。</t>
        </is>
      </c>
      <c r="J7221">
        <f>HYPERLINK("https://www.weblio.jp/content/閃く", "词义详情")</f>
        <v/>
      </c>
      <c r="K7221">
        <f>HYPERLINK("https://yourei.jp/閃く", "查看例句")</f>
        <v/>
      </c>
    </row>
    <row r="7222">
      <c r="A7222" t="inlineStr">
        <is>
          <t>びり</t>
        </is>
      </c>
      <c r="B7222" t="inlineStr">
        <is>
          <t>成功</t>
        </is>
      </c>
      <c r="C7222" t="inlineStr">
        <is>
          <t>１いちばんあとの順位。最下位。どんじり。「成績はクラスで—だ」
２人体の尻(しり)。
「酒を買って、—を切られると云ふ事があるでないか」〈伎・関取菖蒲𥿠〉
３美人。また、女郎。
「人情を知っては、—の商売はまあ出来ねえかたちさ」〈洒・妓娼精子〉</t>
        </is>
      </c>
      <c r="D7222" t="inlineStr">
        <is>
          <t>びり殺し(14%)；びり殺さ(13%)；びり殺す(6%)；びりつこ(2%)；びり飲ん</t>
        </is>
      </c>
      <c r="F7222" t="inlineStr">
        <is>
          <t>暢びり；嫁いびり</t>
        </is>
      </c>
      <c r="G7222" t="inlineStr">
        <is>
          <t>びりっと；びりん；びりり；びりびりっと</t>
        </is>
      </c>
      <c r="H7222" t="n">
        <v>29</v>
      </c>
      <c r="I7222" t="inlineStr">
        <is>
          <t>すると馬の首に巻きつけてあった髪の毛が、馬をくびり殺してしまった。；いちばんびりだったので彼は他の子供を黙殺して自分だけ描いたのである。；その手を使って、生れたばかりの赤ん坊をくびり殺したんじゃないか。；それが可能なら、今すぐにでも俺をくびり殺したい思いにちがいない。；風はないので、合羽と笠をつけた二人は、雪の中を暢びりあるきだした。；へっびり腰で様になっていなかったが、そこそこのダメージを与えた。；そして猟犬の首に巻いてあった髪の毛が猟犬をくびり殺してしまった。；まだこれから先ずっとこんなふうに君のまわりをうろつくぐらいならびりになったほうがましなんだ。；廊下で立ち話をしていた訓練生が、くびり殺されでもしたように押し黙った。；小、中学校とつづいた陰惨ないびりからようやく解放されるのだ。；母親にくびり殺されそうになっていた子供の頃の自分の姿を思い出し、身震いした。；一発だけするどい射撃音が起こり、それが暢びりとこだまして、消えた。；あんたの子供を王位から遠ざける連中を、一人残らずくびり殺してやるんだ!；一人の長髯の男の方が、くびりと酒を含んでから言った。；百メートル競走の勝利者は千メートルでびりにならないとも限らない。；ただし、寝ていたところをくびり殺されたわけではなく、殺されてからベッドのなかへつれていかれたらしい。；子供の頃、彼は猫をくびり殺して、そのあとでその葬式をするのが大好きだった。；ベルドは剣の柄を握りしめ、まるで憎い敵をくびり殺すように力を込めた。；でも、それよりももっとおもたい輪がお妃の心にくびり込んではなれません。；そして、凶暴になった群集の手で言論の自由は完全にくびり殺されてしまう。；「そうか」 武士は己で己の体がじゃんびりしたように思った。；だが、話がどうやってカディル本人をくびり殺すかに及んでも白い顔には何の変化も現れなかった。；さて、その富士愛子は寝室のベッドのなかで、くびり殺されているのである。；どんなに気が強くても、平ミチルが自分の手で柳瀬綾子をくびり殺すのは無理だろう。；己をくびり殺したいような気分だった。；敬君が今日も寄つてくれたが、風邪気味なので、ちよんびり飲んで別れた。；くびり殺して、この庭へ埋めたんじゃないか。；いい機会だから凍死に見せかけて生意気な大河をくびり殺してやる!；賢い女だから口に出して嫁いびりをするわけではない。</t>
        </is>
      </c>
      <c r="J7222">
        <f>HYPERLINK("https://www.weblio.jp/content/びり", "词义详情")</f>
        <v/>
      </c>
      <c r="K7222">
        <f>HYPERLINK("https://yourei.jp/びり", "查看例句")</f>
        <v/>
      </c>
    </row>
    <row r="7223">
      <c r="A7223" t="inlineStr">
        <is>
          <t>非力</t>
        </is>
      </c>
      <c r="B7223" t="inlineStr">
        <is>
          <t>成功</t>
        </is>
      </c>
      <c r="C7223" t="inlineStr">
        <is>
          <t>読み方：ひりき
［名・形動］
１腕力や筋力の弱いこと。また、そのさま。ひりょく。「—なバッター」
２権力や勢力の弱いこと。また、そのさま。ひりょく。「—な中小企業」
[派生]ひりきさ［名］</t>
        </is>
      </c>
      <c r="D7223" t="inlineStr">
        <is>
          <t>非力なマシン；非力な存在；非力な人間；非力なエンジン；非力な打者</t>
        </is>
      </c>
      <c r="E7223" t="inlineStr">
        <is>
          <t>不能；下手；まずい；無力；へた</t>
        </is>
      </c>
      <c r="H7223" t="n">
        <v>29</v>
      </c>
      <c r="I7223" t="inlineStr">
        <is>
          <t>任務が失敗したのは、必ずしもふたりが非力だったからばかりではない。；こんな非力な動物ですら、もうこわいことがなくなったのだとわかった。；その破壊力を、非力な人間に向けて放てば何が起こるか知っても、なお。；純粋な実験用エンジンだったWUは飛行に用いるには非力過ぎて重すぎた。；いくらぼくが非力でも、彼女に半分も負担をかけるわけにはいかない。；非力な女の力ではいずれの行為も到底完遂することはできはしないだろう。；先の戦闘で、こちらの非力ぶりは十分に知悉していたはずなのだから。；自分の非力を隠して、どこまでも他の男がやったように見せる気さ。；これでは非力なエンジンの性能を十分に活かすことができなかったのである。；こんな小さくて非力な鼠一匹じゃ、何もできないことくらい百も承知だろ?；海軍は当時の英海軍の前には比べるまでもなく非力な存在でしかなかった。；わたくしは非力でございますから常にこの心懸けで稽古をしておりました。；魔術には通じていても非力であった魔女を守る為に生まれた、騎士の一族。；必死になって抵抗したであろうが、侏儒のような天坊さんは非力であった。；合わせて十系統の魔術が体系化され、非力な人間は強力な力を得た。；実際、近藤の強そうな顔をみると誰もが肉体的に非力を感じるからである。；そしてそれ等の解決に當るには今私は全く非力であることを告白する他はない。；その怪物たちはたいてい非力だったり、無責任だったりすることが多い。；編纂作業には、当時まだ非力だったコンピュータを工夫・活用したという。；都市の外にいる自分たちはどこまでも非力な存在なのだ。；思い切って口にすれば、私の非力をあばき出されるだけのことである。；エンジンが非力なため速度性能や運動性能は当時の他国機に比べて見劣りした。；あらゆる瘠我慢の非力をふるって、最後にまで考えぬこうと決心した。；パトロンのある女は、こんどは逆に自分より非力の男と浮気したがるものだ。；逃げまどうアラブ人たちの姿は、眼をそむけたくなるほど非力に見えた。；妹マユが落とした携帯電話を握り締め、シンは自らの非力さに絶望する。；薪割りは竹麿の仕事だが、今日は非力な花麿が手を出しているらしい。；強力な能力や特殊な能力は皆無で、装備も非力なものに限られる。；同時に技術官としての責を全うできなかった己れの非力を責めたりもした。</t>
        </is>
      </c>
      <c r="J7223">
        <f>HYPERLINK("https://www.weblio.jp/content/非力", "词义详情")</f>
        <v/>
      </c>
      <c r="K7223">
        <f>HYPERLINK("https://yourei.jp/非力", "查看例句")</f>
        <v/>
      </c>
    </row>
    <row r="7224">
      <c r="A7224" t="inlineStr">
        <is>
          <t>比率</t>
        </is>
      </c>
      <c r="B7224" t="inlineStr">
        <is>
          <t>成功</t>
        </is>
      </c>
      <c r="C7224" t="inlineStr">
        <is>
          <t>読み方：ひりつ
二つ以上の数量をくらべたときの割合。「六対四の—で負担する」</t>
        </is>
      </c>
      <c r="D7224" t="inlineStr">
        <is>
          <t>比率が高い(6%)；比率が高く(3%)；比率が低い；比率が大きく；比率が大きい</t>
        </is>
      </c>
      <c r="E7224" t="inlineStr">
        <is>
          <t>率；割合；比；レート；割り合い</t>
        </is>
      </c>
      <c r="F7224" t="inlineStr">
        <is>
          <t>交換比率；高い比率；同じ比率；大きな比率；合併比率</t>
        </is>
      </c>
      <c r="H7224" t="n">
        <v>29</v>
      </c>
      <c r="I7224" t="inlineStr">
        <is>
          <t>このため、各種資料の民族構成比率は統一されていないのが現状である。；コロラド州は健康のために運動をする人の比率が高いという評判がある。；また各支援部隊も自動車化される比率が低下し、大幅に戦力は低下した。；なお補助比率が規定されている一方で、最大出力制限は規定されていない。；それぞれの区切りは、その前の区切りから見て一定の比率となっている。；タックス・ヘイヴンへ逃げた資産の比率が次第に大きくなってきている。；これは宮を81とすると以下のような比率となることを示している。；これは当時のほかの王族の蔵書と比べても、突出して高い比率であった。；中国系は現在比率が小さくなってはいるが、歴史的には重要な存在だった。；生物の知性は一般的に脳と全体の比率によって知性の高さが予測できる。；日本やスイスのように鉄道網が発達している国ではこの比率が高い。；その後は、呼吸器疾患が比較的高い比率を維持する形で推移していった。；近隣自治体との比較でも有意に老齢人口の比率が高いとの指摘がある。；材料の比率を変えたもの、材料の酒を変更したり追加したものなど様々である。；特にそれぞれの組織の上層部になればなるほど外省人の比率は高かった。；京急線としては高架区間の比率が高いが、一部では地上を走行している。；PDB標準は通常よりの比率が高いため、の測定値は多くの場合負となる。；人口に占めるこの大学の学生や職員の比率は高い値を示す。；またムスリムの人口比率は高くはないがイスラム協力機構に加盟している。；これは南北戦争前の比率と同じだったが、事実上は選挙権が無かった。；現在日本では本名をリングネームとするプロレスラーの比率が増加している。；その結果、移民からの送金が国家収入の大きな比率を占めるに至った。；この旗は歴史の中で大きく変化することはなく、色の位置と比率だけがある程度変更された。；そして、質の悪い貨幣と良い貨幣の価値比率を定めた撰銭令を発令した。；ローソンは交換比率に影響が出ると判断し、株式交換を一時中止した。；ここに至って突撃砲の任務は、対戦車戦闘の比率が大きくなったといえる。；しかし彼女は当時高い比率を占めていた規定が苦手であった。；湿度とは大気中に、水蒸気の形で含まれる水の量を、比率で表した数値。；車両は阪神・山陽の6両編成が用いられるが、山陽の車両の比率が高い。</t>
        </is>
      </c>
      <c r="J7224">
        <f>HYPERLINK("https://www.weblio.jp/content/比率", "词义详情")</f>
        <v/>
      </c>
      <c r="K7224">
        <f>HYPERLINK("https://yourei.jp/比率", "查看例句")</f>
        <v/>
      </c>
    </row>
    <row r="7225">
      <c r="A7225" t="inlineStr">
        <is>
          <t>肥料</t>
        </is>
      </c>
      <c r="B7225" t="inlineStr">
        <is>
          <t>成功</t>
        </is>
      </c>
      <c r="C7225" t="inlineStr">
        <is>
          <t>読み方：ひりょう
作物の生育をよくするため、土壌などに施す物質。欠乏しやすく、施したときの効果の大きい窒素(ちっそ)・燐(りん)・カリウムを肥料の3要素という。有機肥料と無機肥料とに大別される。</t>
        </is>
      </c>
      <c r="D7225" t="inlineStr">
        <is>
          <t>肥料会社；肥料商；肥料分；肥料工場；肥料用</t>
        </is>
      </c>
      <c r="E7225" t="inlineStr">
        <is>
          <t>肥；堆肥；肥やし；下肥；肥し</t>
        </is>
      </c>
      <c r="F7225" t="inlineStr">
        <is>
          <t>リン酸肥料；人造肥料；有機質肥料；液体肥料；全国肥料</t>
        </is>
      </c>
      <c r="G7225" t="inlineStr">
        <is>
          <t>肥料木；肥料取締法；肥料換穀</t>
        </is>
      </c>
      <c r="H7225" t="n">
        <v>29</v>
      </c>
      <c r="I7225" t="inlineStr">
        <is>
          <t>のみならず、このように肥料分が多くなると、個体の大型化もみられる。；無機肥料は、商業的な農業で使用されている肥料の大部分を占めている。；タイで研究者に肥料の議論があったため活発な研究が行われたとした。；ある惑星では、農業用コンピュータが肥料を得るために人間を襲っていた。；現在この会社はドイツ全土で最大の肥土と肥料の販売業者の一つである。；農業用・家庭園芸用肥料の製造・販売や、花の宅配事業などを行っていた。；日照不足には強いが、花を多く咲かせるには肥料と光を与える必要がある。；こうした干鰯問屋は明治以後に近代的な肥料会社への転換まで続くことになった。；ただし肥料を多くやり過ぎると香りが少なくなる傾向がある。；これはホタルイカが松の肥料として利用されることが多かったからとされる。；proteoidの根が土壌の肥料の多さで損傷を受けるためである。；ヒツジを飼うことで、ライムギ生産で使用する肥料を作ることができた。；これは栽培の補助に用いられる製品であり、肥料の代替とはならない。；なるべく多く生産するためには、農園は大量の水および肥料を必要とする。；このため、塩素を含む肥料を与えると繊維が多くなるといわれている。；肥料は月に一度緩効性のものを与えるか、週に一度水溶性のものを与える。；肥料を与える栽培法はより集中的に行われていたし、避難の要因になったのだろう。；また、それ以前には魚粕を乾燥させて肥料とする事もあったという。；配給統制規則が設けられ、肥料や紙の価格に至るまで統制会らが管理した。；昭和肥料の工場の最寄り駅であることから、この名前が付けられた。；その他にも、食品が肥料に接触することで感染経路になることがある。；栽培前の土壌作りには、もともとの土に腐葉土や肥料などを混ぜて耕す。；日比野安全肥料株式会社の本社工場への便宜を図るために開業した。；南鳥島でのグアノ発見後、肥料鉱物調査所は南鳥島で調査を行っていた。；肥料を池に入れて施肥し、水を池からまっすぐに取って植物に水を与えた。；高雄地区の肥料工業の基礎は日本統治時代に建設された硫安工場に始まる。；洪水や嵐の警報が出ている場合には肥料の使用を禁じることで応えた。；それはその時共に過ごした自分の愛した人たちが死んで最も近い竹の肥料となったからだ。；当初はここは、肥料の出荷および石灰岩の入荷地点として機能していた。</t>
        </is>
      </c>
      <c r="J7225">
        <f>HYPERLINK("https://www.weblio.jp/content/肥料", "词义详情")</f>
        <v/>
      </c>
      <c r="K7225">
        <f>HYPERLINK("https://yourei.jp/肥料", "查看例句")</f>
        <v/>
      </c>
    </row>
    <row r="7226">
      <c r="A7226" t="inlineStr">
        <is>
          <t>微量</t>
        </is>
      </c>
      <c r="B7226" t="inlineStr">
        <is>
          <t>成功</t>
        </is>
      </c>
      <c r="C7226" t="inlineStr">
        <is>
          <t>読み方：びりょう
ごくわずかな量。</t>
        </is>
      </c>
      <c r="D7226" t="inlineStr">
        <is>
          <t>微量成分(4%)；微量栄養素(3%)；微量含ま；微量ミネラル；微量分析</t>
        </is>
      </c>
      <c r="E7226" t="inlineStr">
        <is>
          <t>一点；少量；微塵；一つまみ；小量</t>
        </is>
      </c>
      <c r="F7226" t="inlineStr">
        <is>
          <t>含まれる微量；超微量；ほんの微量；微量金属元素</t>
        </is>
      </c>
      <c r="G7226" t="inlineStr">
        <is>
          <t>微量塩基</t>
        </is>
      </c>
      <c r="H7226" t="n">
        <v>29</v>
      </c>
      <c r="I7226" t="inlineStr">
        <is>
          <t>これは製造段階で微量の鉄を含むためであり、実際の用途には影響しない。；ここのところさ、微量だけどわたしたち以外の魔力を校舎に感じるのよ。；それでも相手の神経を逆撫でしないように、微量の愛想を含ませている。；同じ鉱物であっても微量成分の違いによって異なる色を示すことがある。；どんなに微量でも銅のある惑星には、Xは自然には存在し得ないんだ。；しかし、これらの測定は破壊分析のため用いる試料が微量必要となる。；微量成分の分析法としてとても優れているため、よく、利用されている。；太陽放射のうち、ほぼ全てを光が占めるが、そのほかの放射も微量ある。；毒も微量なら薬に変じることもあって、砒素なども治療に用いられている。；これを用いて、1895年に微量ながら水素を液化することに成功した。；しかし、いまでもその内容が記憶に残っているものは、微量である。；といっても、意識していなければ気がつかない程の、微量の吸収。；毒は微量でも体質によってはえらいことになる可能性だってあるのに!；その他の放射性物質を扱う施設からも平時に微量に放出されつづけている。；でもそれ、微量の毒は体にいいという中国薬膳の大前提と矛盾しませんか?；水道水に含まれる銅は微量であり、通常では考えられない例と考えられている。；ほんの微量のそれが、銀色の軌跡を残しながら扉の表面を滴り落ちてくる。；明らかにこれは微量に入っても大きな生物学的変化を起こすような物質からなるに違いなかった。；微量だったのはあらかた吸収されてしまったためであった。；精油は全く含まれていないか、ごく微量にしか含まれていない。；そのためか、一つ一つのエリア間の移動時も微量ではあるが兵糧を消費するようになった。；それでもごく微量だったためか、かろうじて意識が落ちるのだけは免れる。；ほとんど測定にはかからないくらいの微量でも、結晶の形にはひどくきく。；日本国内の様々な場所のマンガン鉱床で産出するが、産出量は微量である。；酒類に微量含まれるアミルアルコールもその原因のひとつであるとも言われる。；殺された女性たちの遺体に付着していた微量な残留物は、何か他の物質かもしれないのだ。；このような化合物は土の中やウラン鉱の中に極微量含まれている。；ごく微量だが人血を必要とするのだそうだ。；人体へは摂取しても吸収される量は微量で、ほとんどはそのまま排出される。</t>
        </is>
      </c>
      <c r="J7226">
        <f>HYPERLINK("https://www.weblio.jp/content/微量", "词义详情")</f>
        <v/>
      </c>
      <c r="K7226">
        <f>HYPERLINK("https://yourei.jp/微量", "查看例句")</f>
        <v/>
      </c>
    </row>
    <row r="7227">
      <c r="A7227" t="inlineStr">
        <is>
          <t>昼</t>
        </is>
      </c>
      <c r="B7227" t="inlineStr">
        <is>
          <t>成功</t>
        </is>
      </c>
      <c r="C7227" t="inlineStr">
        <is>
          <t>読み方：ちゅう
［音］チュウ（チウ）（呉）（漢）　［訓］ひる
［学習漢字］2年
〈チュウ〉
１ひる。「昼夜／白昼」
２正午。「昼食」
〈ひる〉「昼寝・昼間・昼飯／真昼・夜昼」
［名のり］あき・あきら</t>
        </is>
      </c>
      <c r="D7227" t="inlineStr">
        <is>
          <t>昼すぎ(3%)；昼ごろ(3%)；昼近く(3%)；昼行(2%)；昼なお暗い</t>
        </is>
      </c>
      <c r="E7227" t="inlineStr">
        <is>
          <t>日；機会；午後；昼間；日中</t>
        </is>
      </c>
      <c r="F7227" t="inlineStr">
        <is>
          <t>平日昼；日曜昼；昼まえ；昼席；昼光</t>
        </is>
      </c>
      <c r="G7227" t="inlineStr">
        <is>
          <t>昼食；昼休み；昼夜；昼寝；昼飯</t>
        </is>
      </c>
      <c r="H7227" t="n">
        <v>29</v>
      </c>
      <c r="I7227" t="inlineStr">
        <is>
          <t>動物の中には、昼に主に活動するものと、夜に主に活動するものがいる。；動物の中には、夜に主に活動するものと、昼に主に活動するものがいる。；これによって昼側と夜側とで効率的に熱が輸送されていると考えられる。；住居の場合は朝・昼・夕の太陽の光の影響を重視した部屋の作りをする。；昼の最も長い夏至のときは円が最も小さくなって北極に近い軌道をとる。；もう一つは上記の昼から朝と夕方を区別し、残りの時間を指す場合である。；新たにパーティ制や昼・夜の時間の流れなどのシステムが導入されている。；同じ協会がまる一日を担当するが、昼の部と夜の部では出演者が異なる。；昼はそばなどを軽く食べ、夜は酒の肴をあてにひたすら酒を飲んでいた。；それと伴って昼も夜も、鬼のような姿の者が妻の周囲に現れるようになった。；光周性とは、昼の長さと夜の長さの変化に応じて生物が示す現象である。；ニッポン放送の昼の顔だけでなく、関東地方のラジオの昼の顔となった。；同じ協会がまる一日を担当するが昼の部と夜の部では出演者が異なる。；アメリカの昼放送のソープ・オペラは他のドラマと異なる様式を持つ。；ただし深夜には閉鎖されるため、停車するバスは昼行便のみである。；特に夜は利用しづらいため、中央高速バスの昼行便しか停車しなかった。；日本では昼ドラが一般的であるが、ソープ・オペラは昼放送に限らない。；つまり『落人』で昼の部を終り、五段目からを夜の部にする構成である。；金曜JUNKに移動した現在は翌週の月曜日の昼ごろに配信されていた。；その後の大会では極力昼のうちに挑戦できるゼッケンまで下げられている。；今日の日本人は朝・昼・夜と3回の食事を取るのが一般的である。；梅川は全員に服を着ることを許可して、昼までに2人の人質を解放した。；平日は朝・昼に学校があるので、夕方にしか予定を組み込む事が出来ない。；なお、現在廃止された昼行便の運行については以下の通りであった。；このことは地球上の昼半球と夜半球では伝搬状況が異なることを意味する。；放送日当日の昼か夕方に収録が行われ、編集作業を終えた後に放送されていた。；平日昼版をネットしていない一部の日本テレビ系列局でも放送されている。；自社制作番組はウィークデーの朝・昼・夜にそれぞれ生放送番組を放送。；一つは夜と対立する意味での昼で、太陽が見える時間帯全てを指す。</t>
        </is>
      </c>
      <c r="J7227">
        <f>HYPERLINK("https://www.weblio.jp/content/昼", "词义详情")</f>
        <v/>
      </c>
      <c r="K7227">
        <f>HYPERLINK("https://yourei.jp/昼", "查看例句")</f>
        <v/>
      </c>
    </row>
    <row r="7228">
      <c r="A7228" t="inlineStr">
        <is>
          <t>ビル</t>
        </is>
      </c>
      <c r="B7228" t="inlineStr">
        <is>
          <t>成功</t>
        </is>
      </c>
      <c r="C7228" t="inlineStr">
        <is>
          <t>［接尾］《動詞上一段型活用［文］ぶ（上二段型活用）》名詞または形容詞の語幹などに付いて、…らしく見える、…のふうである、などの意を表す。「大人びる」「古びる」</t>
        </is>
      </c>
      <c r="D7228" t="inlineStr">
        <is>
          <t>ビル内(2%)；ビル群；ビル建設；ビル全体；ビル屋上</t>
        </is>
      </c>
      <c r="E7228" t="inlineStr">
        <is>
          <t>建物；建築；家屋；普請；建築物</t>
        </is>
      </c>
      <c r="F7228" t="inlineStr">
        <is>
          <t>超高層ビル；高いビル；同ビル；再開発ビル；複合ビル</t>
        </is>
      </c>
      <c r="G7228" t="inlineStr">
        <is>
          <t>ビルボード；ビルディング；ビルバオ；ビルド；ビル・クリントン</t>
        </is>
      </c>
      <c r="H7228" t="n">
        <v>29</v>
      </c>
      <c r="I7228" t="inlineStr">
        <is>
          <t>背後に見えるモン・ロワイヤル山より高いビルの建設は禁止されている。；このため、近接しながらも市街地でのビル建設には影響を与えていない。；一部の番組は山陽新聞社本社ビル20階の談話室で収録される事がある。；そのため、2002年に完成していた店舗用のビルは一度も使われなかった。；これらのビルは高さを強調するように最上部に尖塔が設けられた。；また同ビルのエントランスを入ると放送が聞こえるようになっている。；ここはビル内方式ではなくて、ビルの低層階に路面店が並んでいるようだ。；市政府ビルおよび劇場はソ連時代に建設された建築である。；この駅は三岐鉄道の基地でもあり、東口を出た先には本社ビルがある。；景観を損なわないように、ビルの一部を利用した看板を使用している。；ビルの外観を損ねないよう、他の店舗とは異なった看板となっている。；根源の社は京都に建設されたPHP研究所本社ビルにも置かれている。；小規模な工事、作業現場や狭いビル間での足場に用いられることが多い。；これは本社ビルと隣接していたため、当時の社員が多く利用していた事による。；大規模なビルの間では強い風が吹くことがあり、これをビル風という。；また翌日の14日には同ビルで「プランタンなんば」が営業を開始した。；コンクリートで覆われたビルの屋上は、その性質のために温度が高い。；そして、ビル内のどこかで火災が発生しているのではと考え81階へ向かう。；なお、実際の清水本店は両作品とは異なりビルの階下に店舗を構えていた。；周辺は吹田市の西の中心、江坂であり、ビルや商業施設などが立ち並ぶ。；前述のとおり、過去には旧本社ビル内でボウリング場を運営していた時期があった。；エレベーターを開発する際には、テストする際に実際のビルと同じ高さの建設物が必要となる。；左上に新横浜駅周辺のビル群があり、競技場との間には鳥山川が流れる。；州内のビルは耐震設計が施されておらず、簡単に壊れる可能性もある。；駅舎南側には保線区などが入居する南海電鉄の事務所ビルが存在する。；ビル内に設置されていた広島空港郵便局は2014年4月1日に廃止された。；サンティアゴ・カラトラヴァがデザインしたユニークな形状のビルである。；なお同社はこの土地を購入後本社ビルを建設。；かつては駅前広場の東にある「駅前ビル」内にバスターミナルがあった。</t>
        </is>
      </c>
      <c r="J7228">
        <f>HYPERLINK("https://www.weblio.jp/content/ビル", "词义详情")</f>
        <v/>
      </c>
      <c r="K7228">
        <f>HYPERLINK("https://yourei.jp/ビル", "查看例句")</f>
        <v/>
      </c>
    </row>
    <row r="7229">
      <c r="A7229" t="inlineStr">
        <is>
          <t>翻す</t>
        </is>
      </c>
      <c r="B7229" t="inlineStr">
        <is>
          <t>成功</t>
        </is>
      </c>
      <c r="C7229" t="inlineStr">
        <is>
          <t>読み方：ひるがえす
［動サ五（四）］
１さっと裏返しにする。「手のひらを—・す」
２からだをおどらせる。「身を—・す」
３態度などを急に変える。「約束を—・す」
４風になびかせる。ひらめかす。「旗を—・す」
[可能]ひるがえせる</t>
        </is>
      </c>
      <c r="D7229" t="inlineStr">
        <is>
          <t>翻すべき</t>
        </is>
      </c>
      <c r="E7229" t="inlineStr">
        <is>
          <t>動く；変わる；変える；逆転；移る</t>
        </is>
      </c>
      <c r="H7229" t="n">
        <v>29</v>
      </c>
      <c r="I7229" t="inlineStr">
        <is>
          <t>それを猫の背後にすり抜けさせると、猫はすぐに身を翻して後を追った。；何を満足したのか、東は笑顔でスカートを翻して、消えていった・・・。；周囲の者たちが見ている前で、自分の宣言を翻すことは考えられない。；高階病院長は、口にしたことを別の場で翻すようなことはしないだろう。；安道はいったんこうと決心すると、決してその決心を翻さない男だった。；リアルト橋を渡っていた人々が、服の裾を翻して岸のほうに走りだした。；彼女の手を引いて身を翻すと、私は咆哮する竜巻の手を逃れようとした。；彼の旗がメインマストに翻されたが、旗の状態があいにく良くなかった。；男は手にした槍を隔壁の向こうに放り出し、身を翻して跳び降りてくる。；私は一度決めた決心を他人の力で翻させられるのが嫌いなのだ。；あの大きな不発弾から勢いよく身を翻して飛んだのは大したものだったが。；家族に叛旗を翻そうとした矢先に、めぐみを殺されてしまったのである。；そして自分の力では江原の気持を翻させることはできないと言った。；涙を翻すまいと思つて我慢してゐるのに、その涙が頬の上を伝はつて流れた。；残った盲目の女が「早く」というよりさきに身を翻していたのである。；しかし、七五三兵衛はそれを知っても決意を翻そうとは思わなかった。；彼はもうどうしても翻すことのできないというような決心の色を現わしていた。；勢いよく飛び出してきた祐巳を見て、志摩子さんはとっさに身を翻した。；さらに式部が声を掛ける間もなく、身を翻して風雨の中に消えていった。；死を間近にした人の決意を翻させることなど、誰にもできはしない。；とたん、犬は身を翻し、糸に曳かれるように街道に向かって戻って行った。；それから彼女が身を翻して飛び込んだときの風を切る音をいまも感じるのだ。；もっとも、権力を恐れてこれまでの言動を翻した者の方がはるかに多かった。；でも、ウェールズは誰に何を言われても、決心を翻す気はないだろう。；西域に住んでおりましたが、その言葉に訳翻されている因果経である。；古賀がこの話を児島にしたら、児島は一しょに涙を翻したかも知れない。；ただし、広告が終わった途端に態度を翻すような漫画が描かれることも多い。；なるほど水上署の旗を翻した一艘の汽艇が矢のように沖合を逃げてゆく。；だが、どうしたことか、翌日夜が明けると、急に心を翻して出発を許した。</t>
        </is>
      </c>
      <c r="J7229">
        <f>HYPERLINK("https://www.weblio.jp/content/翻す", "词义详情")</f>
        <v/>
      </c>
      <c r="K7229">
        <f>HYPERLINK("https://yourei.jp/翻す", "查看例句")</f>
        <v/>
      </c>
    </row>
    <row r="7230">
      <c r="A7230" t="inlineStr">
        <is>
          <t>昼ご飯</t>
        </is>
      </c>
      <c r="B7230" t="inlineStr">
        <is>
          <t>成功</t>
        </is>
      </c>
      <c r="C7230" t="inlineStr">
        <is>
          <t>読み方：ひるごはん
ひるめしを丁寧にいう語。</t>
        </is>
      </c>
      <c r="D7230" t="inlineStr">
        <is>
          <t>昼ご飯食べ(3%)；昼ご飯抜き(2%)</t>
        </is>
      </c>
      <c r="E7230" t="inlineStr">
        <is>
          <t>食事；夕食；昼食；夕飯；ランチ</t>
        </is>
      </c>
      <c r="H7230" t="n">
        <v>29</v>
      </c>
      <c r="I7230" t="inlineStr">
        <is>
          <t>議論に夢中になり、お昼ご飯を食べることをすっかり忘れていたらしい。；その頭に手をやりながら、ぼくは昼ご飯の前に、屋上に足を運んでいた。；昼休みが始まってすぐに訪ねたから、お昼ご飯もまだ食べていないはずだ。；お昼にこの辺りに集合して、一緒にお昼ご飯を食べながら勝負しあうの。；そもそも沙都子が学校に行けないなら、お昼ご飯はどうするんだよ?!；「お昼ご飯中なのを邪魔するつもりじゃなかったんで」彼は言った。；お昼ご飯を食べ終える前に休み時間が終わってしまったら申し訳ないわ。；この昼御飯のあと小一時間休み、それから午後の長い作業がまた始まる。；お昼ご飯を教室で食べて、残りの昼休みはずっと稽古をするのだろう。；お昼ご飯とはいえ、さすがに子供だけで入店するには敷居が高すぎる。；わたしが学校から帰ってくると、おばあちゃんは昼ご飯を食べさせてくれた。；遅めのお昼ご飯を食べた後はしばらく部屋で読書をして過ごした。；お昼ご飯に誘ってくれ、午後にはお茶とお菓子を持って来てくれた。；渡辺さんが予め命じて置いて呉れたと見えて待つ間もなくお昼御飯になった。；お昼ご飯がまだだったのでお母さんを呼ぼうとしたら、ドアが開いてしまいました。；お昼御飯も一人が電話番をしなければならないので、二人が一緒に外に食事に出ることができなくなった。；私はいつもより急いでお昼ご飯をすませて、三年L組の教室を訪ねた。；その日のお昼御飯の時にお君さんはいなかった。；私はまだ昼御飯を食べていなかったが、いったん家へ帰って出直す気にはならなかった。；それでも、お昼ご飯をすませると、ぼくはマウンテンバイクで家を出る。；お昼ご飯を食べるときも一緒で、体育で準備体操をするときのペアも一緒。；お友達とお昼ご飯を食べに出かけていたのよ。；行くとおやつもくれたし、昼ご飯や晩ご飯も、何度となく食べさせてくれた。；春子敏ちゃんや、もうすぐお昼御飯だから遠くへ行くんじゃないのよ。；しばらくは誰も館から出てこないと判断したのか、どこか暖かい場所でお昼ご飯を食べているのかもしれない。；でも、一緒にお昼ご飯を食べていただけなのでしょう?；どんなことがあっても朝御飯と昼御飯をうちで喰べさせるな。；そして昼ご飯を食べてまた午後のプログラムに出る。；ところが謙二の方は、お昼御飯までは自由時間なのだが、これといってしたいこともない。</t>
        </is>
      </c>
      <c r="J7230">
        <f>HYPERLINK("https://www.weblio.jp/content/昼ご飯", "词义详情")</f>
        <v/>
      </c>
      <c r="K7230">
        <f>HYPERLINK("https://yourei.jp/昼ご飯", "查看例句")</f>
        <v/>
      </c>
    </row>
    <row r="7231">
      <c r="A7231" t="inlineStr">
        <is>
          <t>昼寝</t>
        </is>
      </c>
      <c r="B7231" t="inlineStr">
        <is>
          <t>成功</t>
        </is>
      </c>
      <c r="C7231" t="inlineStr">
        <is>
          <t>読み方：ひるね
［名］(スル)昼間に眠ること。午睡(ごすい)。《季夏》「蠅いとふ身を古郷に—かな／蕪村」</t>
        </is>
      </c>
      <c r="D7231" t="inlineStr">
        <is>
          <t>昼寝睾丸斎；昼寝をしよ；昼寝用；昼寝しよ；昼寝つき</t>
        </is>
      </c>
      <c r="E7231" t="inlineStr">
        <is>
          <t>シエスタ；睡眠時間；午睡；仮寝；眠り</t>
        </is>
      </c>
      <c r="F7231" t="inlineStr">
        <is>
          <t>みんな昼寝；長い昼寝；家で昼寝；食昼寝；のんびりと昼寝</t>
        </is>
      </c>
      <c r="H7231" t="n">
        <v>29</v>
      </c>
      <c r="I7231" t="inlineStr">
        <is>
          <t>よく昼寝などもしていたのではないかと、そのとき気づいたのであった。；お二人はたぶん この戸棚の中で ひるねをしてゐらつしやるんでせう。；もうひとつは、私は三十分か一時間ぐらいの昼寝をしているからである。；彼女はいつも昼寝をするたび、不思議なことに同じ夢ばかりを見ていた。；ある日、女房が二階で昼寝をしていたとき、古猫がその喉に食いついた。；父は時おり午後は昼寝しますから、そういうときは出られると思います。；先生はその時、お昼寝中でね、雨が部屋に吹きこんだら大変だと思って。；そろそろ昼寝の時間は一日二時間から一時間半に減らそうと思います。；お昼のあとは、だれから言い出したわけでもないが昼寝の時間となった。；学生が勝手に店を手伝ってくれるから、当人は二階で昼寝なんかしてる。；けれども面会時間まであと三十分ということなので、昼寝はやめにした。；今日は別に昼寝したわけでもないし、のんびりしていたわけでもない。；冗談半分の提案だと思っていたが、服部は本当に図書館で昼寝をした。；午後三時間ほどひるねしてお茶に出かけて行ったらギリシャ青年が話に来た。；ひるねをしていたものですから、ちっとも知らずにいましてすみません。；今思えば洗濯や縫物や掃除は僕が昼寝をしている間にでもしたのだろうか。；黒いセーターの胸にはスヌーピーが赤い犬小屋の屋根で昼寝をしている。；すると、あとは、その近所で昼寝をする誰かを見つけさえしたらいい。；選手は昼寝をするはずであったが、それらの人々を対手に快活に話を続けた。；昼寝を邪魔されたような、区切りの悪い気分で椅子から身体を起こす。；地元の人には公園のような存在のようで、昼寝をする人や遊んでいる子供がいた。；たとえばのび太の持ち物なら、昼寝をするようにすぐ横になってしまう。；その頃の私は昼寝をすると、よく変なものに襲われがちであった。；私は息苦しく、私のほしいのはこんな昼寝のような愛ではないのだと思った。；それで、昼寝をしてから、ここにもどってきて、お話をいたしましょう。；よく遊びにくる近所の子供らも、みんな昼寝をしているとみえて姿を見せません。；門人がいないのだから、先生、一日中、道場で昼寝ばかりしているのだ。；あなたは藤棚の下のベンチに横わり、いい顔をして、昼寝していました。；あんなに昼寝をしたというのに、ベッドに入ると急速に意識は落ちて行った。</t>
        </is>
      </c>
      <c r="J7231">
        <f>HYPERLINK("https://www.weblio.jp/content/昼寝", "词义详情")</f>
        <v/>
      </c>
      <c r="K7231">
        <f>HYPERLINK("https://yourei.jp/昼寝", "查看例句")</f>
        <v/>
      </c>
    </row>
    <row r="7232">
      <c r="A7232" t="inlineStr">
        <is>
          <t>昼間</t>
        </is>
      </c>
      <c r="B7232" t="inlineStr">
        <is>
          <t>成功</t>
        </is>
      </c>
      <c r="C7232" t="inlineStr">
        <is>
          <t>読み方：ちゅうかん
昼のあいだ。日中。ひるま。⇔夜間。</t>
        </is>
      </c>
      <c r="D7232" t="inlineStr">
        <is>
          <t>昼間時間帯；昼間部；昼間帯；昼間爆撃；昼間開催</t>
        </is>
      </c>
      <c r="E7232" t="inlineStr">
        <is>
          <t>日；機会；昼；日中；日間</t>
        </is>
      </c>
      <c r="F7232" t="inlineStr">
        <is>
          <t>休日昼間；昼間でも薄暗い；昼間でも薄暗く；明るい昼間；きょう昼間</t>
        </is>
      </c>
      <c r="G7232" t="inlineStr">
        <is>
          <t>昼間定時制；昼間点灯；昼間障害標識；昼間主コース；昼間たかし</t>
        </is>
      </c>
      <c r="H7232" t="n">
        <v>29</v>
      </c>
      <c r="I7232" t="inlineStr">
        <is>
          <t>昼間のみに使用が限られる迎撃機の時代は終わりを告げていたのだった。；線内の各区間の昼間時の1時間毎の運転本数の内訳は以下のようになる。；その代わりに太田川発金山行きの普通が平日の昼間にも多数走っていた。；通常期の昼間時の1時間毎の運転本数をまとめると以下のとおりになる。；昼間寝て夜起きている、いわゆる夜型のことを夜行性と言うことがある。；朝だけしか使わなかったので、昼間はくさりで入れないようになっていた。；やがて一日中家にいることも多くなり、昼間から酒浸りの生活になった。；潮が引いた湿地上で活動するが、夜行性が強く昼間はあまり出てこない。；中学校が昼間に使用した校舎を利用し夜間に授業が行われていた。；平均9ノットで昼間のみ航行して台湾の高雄まで一週間の予定であった。；トトの登場する戦闘場面がすべて昼間に設定されていることは本作の特徴である。；しかし、それらの生徒の多くは当初昼間の時間帯での通学を希望していた。；昼間帯のみの駅員配置だった時期もあるが、現在は終日配置となっている。；ただし昼間でも一部の列車にはアテンダントが乗務しない場合がある。；昼間のみ線路建設が可能なA列車を用いて線路を建設していく。；昼間時は全列車、交換を行わないが、交換を行わない場合も必ず一旦停車する。；昼行性だが、繁殖期には昼間だけでなく夜間にも採食を行うこともある。；昼間に運動をすると夜に寝つきが良くなることがある。；昼間から開けた海底に互いに寄り合って移動しているのが見られる。；また、昼間に大規模に列車を運休してリフレッシュ工事を行う路線もある。；昼間帯以降の快速急行は急行へ変更され、設定は朝方の数本のみとなる。；この周囲は公的空間となっており、昼間は街の内外の人の出入りがしやすい。；現在昼間部では、多くの生徒が3年で卒業するようになっている。；主に夜行性で、昼間は岩の下や土の中、何かの隙間にいることが多い。；また、昼間以降にはクロスシート車の1800系が使用されることも多い。；生まれてからしばらく、昼間のうちは親戚の家に預けられて育てられていた。；昼間に大規模に列車を運休してリフレッシュ工事を行う路線もある。；それ以外で、昼間にも防空を行わなければならないこともあった。；平日昼間には新設された駅舎の通路にまで自転車があふれている。</t>
        </is>
      </c>
      <c r="J7232">
        <f>HYPERLINK("https://www.weblio.jp/content/昼間", "词义详情")</f>
        <v/>
      </c>
      <c r="K7232">
        <f>HYPERLINK("https://yourei.jp/昼間", "查看例句")</f>
        <v/>
      </c>
    </row>
    <row r="7233">
      <c r="A7233" t="inlineStr">
        <is>
          <t>昼飯</t>
        </is>
      </c>
      <c r="B7233" t="inlineStr">
        <is>
          <t>成功</t>
        </is>
      </c>
      <c r="C7233" t="inlineStr">
        <is>
          <t>読み方：ちゅうはん
ひるめし。昼食。
「漸(やっ)と諸君の—が了(おわ)り」〈独歩・湯ヶ原ゆき〉</t>
        </is>
      </c>
      <c r="D7233" t="inlineStr">
        <is>
          <t>昼飯時(4%)；昼飯後；昼飯どき；昼飯がわり；昼飯食い</t>
        </is>
      </c>
      <c r="F7233" t="inlineStr">
        <is>
          <t>お昼飯；一緒に昼飯；早昼飯；早い昼飯</t>
        </is>
      </c>
      <c r="G7233" t="inlineStr">
        <is>
          <t>昼飯大塚古墳；昼飯駅</t>
        </is>
      </c>
      <c r="H7233" t="n">
        <v>29</v>
      </c>
      <c r="I7233" t="inlineStr">
        <is>
          <t>明は昼飯は友達と食べることにしているから 俺と食べることはない。；そして昼飯を廃して二食しか食はずに居た彼は再び三食に帰ることにした。；昼飯時に弁当を開いた父娘だったが、箸を忘れてきたことに気がついた。；おれとレイフォンは昨日と同じようにあの弁当屋に行って昼飯を買った。；昼飯を喰いに行って戻って来ると、部屋の前に見知らぬ男が立っていた。；僕はすぐそばにいた男に、俺の昼飯はどうしてくれるんだ、と尋ねた。；私が昼メシをザルそば一杯ですませたなどと知ると、本気で腹を立てる。；妙に手が伸びると思ったら、そういえば俺は昼飯を食べていないんだった。；この小者らには昼飯は給しないが、働いた日は鳥目三十文ずつをくれた。；ある日の昼飯の時、ランティエが戻ってきて三人が奇妙な同居を始める。；ああいうことがあった後でも、一緒に昼飯を食べさせるつもりらしい。；こうして回を重ねると腹のすいている昼飯前なら少し酔ってくるものだ。；とにかく行くだけ行ってみようと思い、昼飯を食う前に美術室へ行った。；貧乏人は憲法草案を読んで、昼飯のかわりにするわけにはいかないのだ。；それで彼女は娘に、昼飯の後でお祭に連れて行って上げると約束した。；節子は庭から縁側に上って、昼飯の支度をするために勝手の方へ行った。；鍵蔵も昼飯を入れていた弁当箱を取って風呂敷に包み、腰に括りつけた。；二人とも、四時になってようやく昼飯を食べる家の子だったからである。；毎週水曜には僕のところで昼飯をやるんでね、神よ彼に健康を与えたまえ。；そうして正午の休みにはまた帰って来て、一としきり昼飯の支度をする。；ちょうど朝飯と昼飯の合間の空いた時間で、店には客がひとりもいない。；そうそう、一週間前の昼飯に食ったものを思い出してるようなもんだ。；昼飯時になり、それも過ぎ、夕食時間もすぎ、やがて就寝時間になった。；昼飯の時間に家に帰って来ると、母親も興奮している様子だった。；マークがこんなことを考えながら、昼飯を食べるために大食堂へ降りて行った。；もう三ヵ月近くになるが、誰も私が昼飯を食べないことに気がついていない。；正午を過ぎて帰ってきた弁護士は昼飯に行くと出て行き、また待たされた。；車を呼び止めて、娘をホテルの食堂に連れて行き、早い昼飯を食べさした。；翌日朝の汽車で立った自分達は狭い列車のなかの食堂で昼飯を食った。</t>
        </is>
      </c>
      <c r="J7233">
        <f>HYPERLINK("https://www.weblio.jp/content/昼飯", "词义详情")</f>
        <v/>
      </c>
      <c r="K7233">
        <f>HYPERLINK("https://yourei.jp/昼飯", "查看例句")</f>
        <v/>
      </c>
    </row>
    <row r="7234">
      <c r="A7234" t="inlineStr">
        <is>
          <t>昼休み</t>
        </is>
      </c>
      <c r="B7234" t="inlineStr">
        <is>
          <t>成功</t>
        </is>
      </c>
      <c r="C7234" t="inlineStr">
        <is>
          <t>読み方：ひるやすみ
昼食のあとにとる休憩。また、昼食をとるための時間。</t>
        </is>
      </c>
      <c r="D7234" t="inlineStr">
        <is>
          <t>昼休み終了；昼休み時間；昼休み開始；昼休み返上；昼休みどき</t>
        </is>
      </c>
      <c r="F7234" t="inlineStr">
        <is>
          <t>長い昼休み</t>
        </is>
      </c>
      <c r="H7234" t="n">
        <v>29</v>
      </c>
      <c r="I7234" t="inlineStr">
        <is>
          <t>いつか作業場の昼休みにぼくも一度その本を見せてもらったことがある。；それがA組の中で話題になったのは、今日の昼休みのことだったそうだ。；昼休みが終わりに近づいているせいか、エレベーターはなかなか来ない。；わかったのは三時間目の後だったけれど、話を聞くのは昼休みまで待つ。；昼休みの散歩をしてたら、急に気分が悪くなって病院に寄ってたんだ。；自殺当日は午前中の授業は受けてたが、昼休み中に校外に出て自殺した。；私が昼休みに外に出ているときに彼が置いていったのだという。；昼休みに高校生は学校の食堂に行くか、街の店まで買いに出ることが多い。；それに昼休みに見えたのなら、別に内緒ということもないでしょうしね。；そういえばこの友人が、さっき、昼休みに学校から電話をかけてきました。；いつもはだれかにやられるのがこわくて、お昼休みが終わるまで家にいた。；午後の会議のための資料を作っているうちに、すぐに昼休みになる。；昼休みが始まってすぐに訪ねたから、お昼ご飯もまだ食べていないはずだ。；現実の教室に復帰すると、昼休みはもう十分しか残っていなかった。；メーカーでも問屋でも昼休みの時間に電話をかけることが多いんだ。；昼休みになったとたん、今まで授業に一時間も出てなかった男がやってきた。；午後一時十分といえば、昼休みもあと少しで終わってしまう時間なのです。；昼休みも終わる間近、廊下には行き来する生徒の数も少なくはなかった。；昼休みになると、すっかりいつもの気分に戻っているようであった。；ある日、私が体の具合が悪くて休んだとき、昼休みに外から電話をくれた。；本当に何てことのない日常会話というか普通の昼休みの光景である。；昼休みが半分過ぎたあたりで、真九郎は一旦、教室に戻ってみることにした。；昼休みなどを利用して、近所の喫茶店で会ったりすることもあります。；昼休みになったばかりの廊下には、あまり生徒の姿は見受けられない。；そんなとりとめのない事を話しているうちに、昼休みは終わってしまった。；ちょうど昼休みに入ったところで、宮本は近くの食堂へ出かけていた。；そして代わりに昼休みの用意をしていると、そこに美波がやってきた。；そんなある日、剣士が昼休みにハンナたちと雑談をしていたときだった。；昼休みのコールに応じたタクムの声には、わずかに虚ろな響きがあった。</t>
        </is>
      </c>
      <c r="J7234">
        <f>HYPERLINK("https://www.weblio.jp/content/昼休み", "词义详情")</f>
        <v/>
      </c>
      <c r="K7234">
        <f>HYPERLINK("https://yourei.jp/昼休み", "查看例句")</f>
        <v/>
      </c>
    </row>
    <row r="7235">
      <c r="A7235" t="inlineStr">
        <is>
          <t>比例</t>
        </is>
      </c>
      <c r="B7235" t="inlineStr">
        <is>
          <t>成功</t>
        </is>
      </c>
      <c r="C7235" t="inlineStr">
        <is>
          <t>読み方：ひれい
［名］(スル)
１例をあげてくらべること。
「目高が湖に泳ぐような—で海が広いとは云え」〈葉山・海に生くる人々〉
２物の形において、各部分相互間または全体と部分との割合が釣り合っていること。
「眼の長さが顔の幅に—しないとか」〈漱石・それから〉
３二つのものが一定の関係をもつとき、一方の増減につれて他方も増減すること。「身長と体重は必ずしも—しない」
４二つの変数の間で、一方が2倍・3倍となるにつれて、他方も2倍・3倍となっていくこと。関係をy＝ax（aは0でない定数）と表す。正比例。
５二つの変数の比が他の二つの変数の比と等しいこと。a：b＝c：dで表す。</t>
        </is>
      </c>
      <c r="D7235" t="inlineStr">
        <is>
          <t>比例する(29%)；比例関係(3%)；比例復活(3%)；比例単独；比例ハザード</t>
        </is>
      </c>
      <c r="F7235" t="inlineStr">
        <is>
          <t>比例候補者；所得比例；報酬比例；人口比例；比例区</t>
        </is>
      </c>
      <c r="G7235" t="inlineStr">
        <is>
          <t>比例代表；比例区；比例代表制；比例近畿；比例名簿</t>
        </is>
      </c>
      <c r="H7235" t="n">
        <v>29</v>
      </c>
      <c r="I7235" t="inlineStr">
        <is>
          <t>それに比例して党に寄せられた寄付金もこれまでになく渋い額となった。；温度の増加に伴う種種の性質の変化は螺旋構造の崩壊の進行に比例する。；色が正しい比例であれば、任意のサイズの旗を使用することができる。；公衆網の通話料金が距離に比例して高くなっていた時代に使用されていた。；このことも、比例IQが使用されなくなった要因の一つとなっている。；ただし、角の大きさには個体差があり、体格に比例して連続変化を示す。；しかしレース内容は、勝利の栄誉に比例するようにきわめて過酷である。；そのため、マップの広さに比例して莫大なデータ容量を消費してしまう。；これは州人口が少ないことに起因し、それに比例して訴訟案件も少ない。；追加される人数はそのシナリオのステージ数に比例する傾向がある。；社会の形成に比例して、それぞれの地域での宗教にも差異があった。；発明が社会に貢献した程度に比例して、その報酬を受ける権利があるとする説。；重みを次のように設定することで、比例して公平な動作を実現できる。；ただし、RFCは単に時間経過に比例して増加すべきだとしているだけである。；上記のように比例動作と積分動作を組み合わせた制御方法はPI制御という。；またこのような生物的な運動能力が必ずしも競走の成績と比例しない事実も経験的に知られている。；チンパンジーに比べて上半身が小さく、それに比例して脳容量も小さい。；その絵画描写は、人物は背後の建物や風景との比例を考慮した自然な大きさで表現されている。；これにより、ピストンにかかる力の大きさは面積に比例することがわかる。；ただし、感光量は入射した光の量にどこまでも比例するのではない。；これは、短絡特性では界磁電流と電機子電流がほぼ比例することによる。；外寸拡大に比例して室内空間やラゲージスペースは大幅に拡大された。；その結果、症状の悪化に比例して薬剤耐性が上がる可能性があることがわかった。；電子を移動させる電位差が慎重に選択される限り、この比例関係は維持されている。；有権者の支持率が下落するのと比例するように番組の視聴率も低迷した。；序列は個人の強さと比例しており、作者により強さの順番が設定されている。；問題が大きくなっても、それに比例してタスク並列性が高くなることはない。；その後も開港する都市は増え続け、貿易や人口の増加もこれに比例して増加していく。；その各分類から、推定投票者数に比例する数の投票区が選ばれる。</t>
        </is>
      </c>
      <c r="J7235">
        <f>HYPERLINK("https://www.weblio.jp/content/比例", "词义详情")</f>
        <v/>
      </c>
      <c r="K7235">
        <f>HYPERLINK("https://yourei.jp/比例", "查看例句")</f>
        <v/>
      </c>
    </row>
    <row r="7236">
      <c r="A7236" t="inlineStr">
        <is>
          <t>広い</t>
        </is>
      </c>
      <c r="B7236" t="inlineStr">
        <is>
          <t>成功</t>
        </is>
      </c>
      <c r="C7236" t="inlineStr">
        <is>
          <t>読み方：ひろい
［形］［文］ひろ・し［ク］
１面積が大きい。空間に余裕がある。「—・い部屋」「—・い野原」⇔狭い。
２間隔に余裕がある。幅が大きい。「—・い道路」「出口が—・い」⇔狭い。
３（「博い」とも書く）大きい範囲に行きわたっている。「顔が—・い」「—・い知識を持つ」⇔狭い。
４（「寛い」とも書く）寛大で度量が大きい。「心が—・い」⇔狭い。
５繁栄している。
「靫(ゆき)掛くる伴の緒—・き大伴に国栄えむと月は照るらし」〈万・一〇八六〉
[派生]ひろさ［名］</t>
        </is>
      </c>
      <c r="D7236" t="inlineStr">
        <is>
          <t>広い範囲(6%)；広い意味(3%)；広い部屋(2%)；広い地域；広い庭</t>
        </is>
      </c>
      <c r="E7236" t="inlineStr">
        <is>
          <t>大；大きい；大き；豊か；広大</t>
        </is>
      </c>
      <c r="F7236" t="inlineStr">
        <is>
          <t>かなり広い；最も広い；広い視野；広い場所；広い道路</t>
        </is>
      </c>
      <c r="H7236" t="n">
        <v>29</v>
      </c>
      <c r="I7236" t="inlineStr">
        <is>
          <t>ただし、捜査情報の一部を公開して広く国民の協力を求める場合もある。；私はいよいよこれが被服廠跡だと思って広っ場の中の方へと眼をやった。；まことに彼はその時代の最も深く、かつ広き知識を有していたのである。；変法運動は支持基盤があまりなく、広い支持を得ることはできなかった。；複数の参加者と、適当な広さの場所、十分な数の枕があれば実行できる。；学校や兵舎でも公式な告知や発表文でも広く使われて周知されていった。；とボケたのがきっかけとなり、小籔の顔の広さもあってイベントが実現。；アメリカ合衆国では初等教育から高等教育などでも広く採用されている。；分布が非常に広いため、種として絶滅のおそれは低いと考えられている。；西はポルトガルから東は日本までユーラシア大陸の広い範囲に分布する。；律令制下に置かれた郡であるが、その領域は現在よりもずっと広かった。；敷地の広さや自動車交通の便が重要な施設の多くは駅北側にある。；この性質を応用した液晶ディスプレイなどの製品が広く普及している。；「一之側」は畳数にしておよそ70畳程の広さがあったと言われている。；広い範囲で生産的な活動をしたが、その論文には多くの不正確な部分がある。；なお、これらの規範は、科学界で広く受け入れられているものではない。；前者は事業者や報道関係でも広く知られ広まり、後者は定着しなかった。；ヨーロッパの中世では広く神の存在が信じられ、神を疑う人は稀であった。；歌垣のように、求愛のために音楽を用いることも世界中に広く見られる。；鉄が普及する以前には、もっとも広く利用されていた金属であった。；私のそらんじていた車に関する知識はかくも広きに及んでいたのである。；灰色に変った白い石でできていて、一族の者をいれうるほど広かった。；航空機の揚力発生等、流体機械の広い範囲でその特性が応用されている。；アフリカからアジアまで広く利用され、神具等としても用いられている。；家の広さが無限にあったら集めたい欲を抑え切れないと発言している。；もっとも単純な火おこし法は摩擦法であり、世界中に広く分布している。；広東ほど一般的ではないが、台湾でも各地に蛇スープを提供する店がある。；近年ではアニメなどの流行により、その対象は広い世代に拡大しつつある。；このモデルは適用範囲が広いことから摩擦の計算に一般に用いられている。</t>
        </is>
      </c>
      <c r="J7236">
        <f>HYPERLINK("https://www.weblio.jp/content/広い", "词义详情")</f>
        <v/>
      </c>
      <c r="K7236">
        <f>HYPERLINK("https://yourei.jp/広い", "查看例句")</f>
        <v/>
      </c>
    </row>
    <row r="7237">
      <c r="A7237" t="inlineStr">
        <is>
          <t>披露</t>
        </is>
      </c>
      <c r="B7237" t="inlineStr">
        <is>
          <t>成功</t>
        </is>
      </c>
      <c r="C7237" t="inlineStr">
        <is>
          <t>読み方：ひろう
［名］(スル)《披(ひら)き露(あらわ)す意》
１手紙・文書などを開いて人に見せること。
２広く人に知らせること。世間一般に発表すること。「裏話を—する」「開店—」
３意見を申し上げること。報告すること。
「孝長帰参して、此の旨を—ありければ」〈古活字本保元・上〉</t>
        </is>
      </c>
      <c r="D7237" t="inlineStr">
        <is>
          <t>披露する(18%)；披露される(3%)；披露会；披露しよ；披露式</t>
        </is>
      </c>
      <c r="E7237" t="inlineStr">
        <is>
          <t>発表；展示；公演；上演；上映</t>
        </is>
      </c>
      <c r="F7237" t="inlineStr">
        <is>
          <t>ご披露；御披露；結婚披露；完成披露；ネタ披露</t>
        </is>
      </c>
      <c r="G7237" t="inlineStr">
        <is>
          <t>披露目；披露パーティー；披露山庭園住宅；披露山公園；披露目屋</t>
        </is>
      </c>
      <c r="H7237" t="n">
        <v>29</v>
      </c>
      <c r="I7237" t="inlineStr">
        <is>
          <t>また、新校舎完成時にもホールで演奏を披露するコンサートに出演した。；映画でもしばしば披露する他、来日時には日本語で挨拶することもある。；歌や踊りを披露を通して明治時代の魅力を伝えるために活動をしている。；通常のライブでは披露することの無いカバーが披露されるのも特徴のひとつ。；結果、この曲はヒットして、同年の紅白歌合戦でその曲を披露している。；在学時に物真似を披露したことで学校中に名前が知られるようになる。；また、水野の趣味である世界の警察関連の知識を披露することもあった。；このほか戦前の来日時にはインチキ日本語を披露したとの記録もある。；仕事の後にスナックやバーでマジックを夜更けまで披露するようになる。；この種の作品ではピアノがカデンツァを披露することが省略されたりする。；ただし、出演歌手が最新曲を披露する場合においてはこの限りではない。；ジャケットでタイトル通りの背中を大胆に見せたセミヌードを披露した。；日本のTV番組で紹介された際には加藤茶とのドラムバトルを披露した。；呼ばれた歌手は、メインステージなどで歌を披露したりしている。；次作に収録される予定の曲をたくさん初披露したツアーとなった。；そしてそれらを歌った歌手本人がスタジオで歌声を披露していた。；番組中では状況を説明したり、情報を披露したりと解説の役割もこなしていた。；大地は個人での一発ギャグを多数持っており、多くの番組で披露している。；現夫・大和田獏との結婚直後の頃に、週刊誌でオールヌードを披露した。；すべての条件でのエピソードを披露した後に判定し、勝者を決定する。；街の人たちをステージに呼び、彼らに芸などを披露してもらう企画。；そして一週間の練習の後、スタジオで競技を披露し、成功すれば賞品獲得。；番組内容は、ゲストとのトークと彼らによる芸の披露が主になっていた。；国賓に指導したり、演武を披露することにより、国際的な普及に務めた。；しかし、ドラマの最終週で本来の歌唱力を披露すると大反響となった。；ピアノやアコースティックギターなど楽器の演奏も披露している。；リリース時に出演した音楽番組では久々に「さくらんぼ」が披露された。；これまで100人を超えるアーティストが表現を披露している。；初めて自分の作品が披露された出来事であった。</t>
        </is>
      </c>
      <c r="J7237">
        <f>HYPERLINK("https://www.weblio.jp/content/披露", "词义详情")</f>
        <v/>
      </c>
      <c r="K7237">
        <f>HYPERLINK("https://yourei.jp/披露", "查看例句")</f>
        <v/>
      </c>
    </row>
    <row r="7238">
      <c r="A7238" t="inlineStr">
        <is>
          <t>疲労</t>
        </is>
      </c>
      <c r="B7238" t="inlineStr">
        <is>
          <t>成功</t>
        </is>
      </c>
      <c r="C7238" t="inlineStr">
        <is>
          <t>読み方：ひろう
［名］(スル)
１筋肉・神経などが、使いすぎのためにその機能を低下し、本来の働きをなしえなくなる状態。つかれ。「—が重なる」「心身ともに—する」
２金属などの材料に、弾性限界より小さい外力であっても繰り返し作用すると、材料の強度が低下する現象。ついには破壊することが多い。弾性疲労。つかれ。「金属—」
３貧しくなること。貧乏。
「—し貧なる者は、眉も伸びず、目をも見開かぬぞ」〈文明本人天眼目抄・一〉</t>
        </is>
      </c>
      <c r="D7238" t="inlineStr">
        <is>
          <t>疲労困憊(4%)；疲労感；疲労度；疲労骨折；疲労亀裂</t>
        </is>
      </c>
      <c r="E7238" t="inlineStr">
        <is>
          <t>疲れ；倦怠；気疲れ；草臥；所労</t>
        </is>
      </c>
      <c r="F7238" t="inlineStr">
        <is>
          <t>精神的疲労；激しい疲労；精神的な疲労；さすがに疲労；かなり疲労</t>
        </is>
      </c>
      <c r="G7238" t="inlineStr">
        <is>
          <t>疲労困憊；疲労回復；疲労骨折；疲労破壊；疲労限度</t>
        </is>
      </c>
      <c r="H7238" t="n">
        <v>29</v>
      </c>
      <c r="I7238" t="inlineStr">
        <is>
          <t>サッカー選手を対象とした予備研究でも筋疲労の軽減が観察されている。；各種クロスを装備することはできるが、装備後も疲労状態は維持される。；疲労を回復するために有効と考えられる方法には、次のようなものがある。；大学卒業後は銀行で働いていたが、第一次世界大戦で戦争疲労症になる。；疲労の影響が認められるため最大収縮時の検査は10秒以内に限定する。；事態の好転がなかなか見られぬ中で、追放社人らの疲労は増していった。；しかし、遠征の疲労と雨のせいで、イングランド軍は窮地に陥っていた。；フランス国際はデニーが疲労骨折した箇所に痛みが生じたため欠場した。；その結果、脳が急速に疲労するため眠気や脱力感に襲われることがある。；あるいは疲労のため脳が混乱していたに違いないとも思った。；しかし長期攻勢の疲労からこの防衛線を突破することは出来なかった。；ただし疲労度も高くなってしまうので、病気や怪我を招きやすくなる。；硬い素材は磨耗には強いが、疲労による損傷が発生しやすい傾向がある。；この試合の2日前、阿波野は対阪急戦で完投しており疲労が残っていた。；疲労が原因として関与した事故の内、特に歴史的に有名な例を示す。；その使用時にはパイロット側に相応の負担が発生し、連続使用の際は疲労する。；裁判所はとして彼らが52時間の労働により疲労していたことを支持した。；設計局は静止/疲労試験用の機体と4機の飛行試験用試作機を製造した。；は前年の疲労もあり僅か13試合の登板に終わるが防御率は1点台だった。；バンドはヒードン脱退の本当の理由を隠し、疲労によるものと発表した。；二ヶ月くらい撮影にかかり最後は疲労で熱が出たという。；しかし、2006年初頭には足を疲労骨折するなどのトラブルもあった。；ここは生活の拠点となる場所であり、疲労やストレスを回復することができる。；は前半戦こそ安定していたものの、8月以降に疲労の蓄積で不調に陥った。；当時の中国は戦乱が続き民衆は飢えと疲労で心身ともに疲弊しきっていた。；ボイスレコーダーや関係者からの聞き取りから操縦士の疲労が判明した。；混乱した連合軍は疲労していたことも手伝って、壊滅的被害を受けた。；戦闘によって疲労した元軍を今度はラデン・ヴィジャヤ軍が攻撃を開始した。；翌日再開され三日間撮影したが、黒澤の疲労が回復せず一週間撮影が中断。</t>
        </is>
      </c>
      <c r="J7238">
        <f>HYPERLINK("https://www.weblio.jp/content/疲労", "词义详情")</f>
        <v/>
      </c>
      <c r="K7238">
        <f>HYPERLINK("https://yourei.jp/疲労", "查看例句")</f>
        <v/>
      </c>
    </row>
    <row r="7239">
      <c r="A7239" t="inlineStr">
        <is>
          <t>拾う</t>
        </is>
      </c>
      <c r="B7239" t="inlineStr">
        <is>
          <t>成功</t>
        </is>
      </c>
      <c r="C7239" t="inlineStr">
        <is>
          <t>読み方：ひろう
［動ワ五（ハ四）］
１落ちているものを取り上げて手にする。「ごみを—・う」⇔捨てる。
２他人の落とした物を手に入れる。拾得する。「財布を—・う」
３多くの中から必要なものを選び取る。「関係事項を—・ってみる」「活字を—・う」
４職のない人や不遇な人を取り立てる。引き上げる。「彼に—・われたのが出世の糸口となった」
５
㋐思いがけなく手に入れる。「勝ちを—・う」
㋑失うはずのものを失わずにすむ。「危ないところで命を—・った」
６車などで出かける途中で人を乗せて一緒に行く。「駅前で友人を—・って目的地に向かう」
７乗り物を呼びとめて乗る。つかまえる。「タクシーを—・う」
８テニス、バレーボールなどの球技で、打ち返すのがむずかしい球をなんとか打ち返す。「ネット際のボールをやっと—・う」「—・いまくる」
９マイクロホンなどが音を取り入れる。「マイクで下駄の音を—・う」
10徒歩で行く。
「態々(わざわざ)夜道を—・うて来たは何ぞ急の用か」〈露伴・五重塔〉
11株式などを、安値になるのを待ちかまえて買う。「内需株を底値で—・う」
[可能]ひろえる
[下接句]命を拾う・火中の栗(くり)を拾う・小爪(こづめ)を拾う・骨を拾う</t>
        </is>
      </c>
      <c r="D7239" t="inlineStr">
        <is>
          <t>拾うべく</t>
        </is>
      </c>
      <c r="E7239" t="inlineStr">
        <is>
          <t>収録；取る；収集；集める；採集</t>
        </is>
      </c>
      <c r="H7239" t="n">
        <v>29</v>
      </c>
      <c r="I7239" t="inlineStr">
        <is>
          <t>夫婦の方では娘の養子にするいい男を拾ってきたつもりなのには弱った。；彼女は階段を駆け下り、靴を落としてしまうが急いで拾って去っていく。；好きな研究に没頭する時間を拾い出すのはなかなか容易でないのである。；私はこの人たちが火葬場へ仏の骨を拾いに来たのだということを知った。；撒き餌とは、敵が見つけて拾うように何か物を落としておくことである。；先生は今千蔵のうわごとから、たいへんな意味を拾い出したのであった。；拾われた胸と左腕が首に着いたとみるや、瞬きする間に一体化していた。；父はその石を拾ってみたがそれは何の不思議もない小砂利に過ぎなかった。；放送事業初期には近隣局の放送波を直接拾って伝送していたこともあった。；その際、犯人は何かを落としたらしく、それを拾おうとしたようだった。；耳の神経を集中しただけで、それまでの倍近い距離の音が拾えそうだった。；声を失っても拾い犬の指の音やその他の動物と話すことができた弟。；二人は南麻布の交差点まで歩き、反対側からタクシーを拾うことにした。；もとは二行の文章だったようだけど、切れ切れの文字しか拾えなかった。；では私は、今向こうから歩いてくるオランダ人に拾われることにします。；それから又ある人に拾われたが、これも一年ばかりでまた捨てられた。；ほとんどの物はそのまま拾えるが、攻撃を加えないと拾えない物もある。；よく見たいと思うけれども、その間にも誰かに拾われそうでならない。；獲物を拾うために私はそこまでおりて行かなければなりませんでした。；店を出てタクシーを拾おうとすると、この後も一緒に呑もうと誘われた。；ほかの専門家がいうだろうから私はなるべく目につかない物を拾おう。；ちなみに前述のヘディング直後にボールを拾いに行ったのも大島である。；それも人に売った魚の骨が路に捨ててあるのを拾って来るんだわ。；あなた方二人と阿呆とでかくれていてね、あいつが手紙を拾うところに。；埃だらけのレンガの床に転がり落ちて必死で拾おうとしている夢だった。；もしそれかかる例証を文学中より拾い集めんとすればほとんど無数である。；あわれな老人は帽子を落としたが、足をとめて拾おうともしなかった。；拾われてから授けられた呼び名、つまり命名された二つめのものだった。；それから何かを拾う振りをして身体を屈め、テーブルの下を覗きこんだ。</t>
        </is>
      </c>
      <c r="J7239">
        <f>HYPERLINK("https://www.weblio.jp/content/拾う", "词义详情")</f>
        <v/>
      </c>
      <c r="K7239">
        <f>HYPERLINK("https://yourei.jp/拾う", "查看例句")</f>
        <v/>
      </c>
    </row>
    <row r="7240">
      <c r="A7240" t="inlineStr">
        <is>
          <t>広がる</t>
        </is>
      </c>
      <c r="B7240" t="inlineStr">
        <is>
          <t>成功</t>
        </is>
      </c>
      <c r="C7240" t="inlineStr">
        <is>
          <t>読み方：ひろがる
［動ラ五（四）］
１空間・面積・幅が大きくなる。「改築して家が—・る」「川幅が—・る」
２範囲・規模が大きくなる。「視野が—・る」「販路が—・る」「汚染が—・る」
３畳んだり閉じたりしてある物などが開く。また、先の方に向かって幅が大きくなる。「傘が—・る」「裾が—・ったスカート」「花火が—・る」
４大きく展開する。「眼前に大海原が—・る」
[可能]ひろがれる
[用法]ひろがる・ひろまる——「大地震のうわさが広がる（広まる）」では、相通じて用いられる。◇「広がる」は自然現象として、また人の営みの結果として、面積や範囲が大きくなる意。「眼下に広がる大平原」「火事が広がる」「事業が広がる」◇「広まる」は自然にという意は少なく、人が大きくのばそうと努めた結果、行きわたるの意が強い。「OA機器の利用が広まる」「教育が全国民に広まる」</t>
        </is>
      </c>
      <c r="D7240" t="inlineStr">
        <is>
          <t>広がる可能性；広がる丘陵地帯</t>
        </is>
      </c>
      <c r="E7240" t="inlineStr">
        <is>
          <t>展開；発展；続く；増加；進出</t>
        </is>
      </c>
      <c r="F7240" t="inlineStr">
        <is>
          <t>どこまでも広がる；広がる観世音菩薩巡礼地；広がる街並み；広がる農村地帯；広がる緑豊か</t>
        </is>
      </c>
      <c r="H7240" t="n">
        <v>29</v>
      </c>
      <c r="I7240" t="inlineStr">
        <is>
          <t>核となる通りと多くの小さな通りがミュンヘン中心部には広がっている。；東西方向に広がるJRの駅舎に南から直角に接する形で設置されている。；またこれは、国内の複数の島に広がることもあって複雑なものとなっている。；東京都以外にも愛知県・大阪府・兵庫県の一部にも被害が広がっている。；そんなことしてもお前のキャラの幅はもうそれ以上は広がらないんだよ!；かつて地球と呼ばれた惑星ゾラはどこまでも砂漠が広がる星となっていた。；また街が環状に広がる形状から指輪の都市などと呼ばれることもある。；この事件が競技中に起きたことから、全スポーツ界に大きな衝撃が広がる。；その一方で、上野の森口周辺には静かな雰囲気の街並みが広がっている。；当駅は御坊市街の北端に位置し、市街はこの駅から南側に広がっている。；薬王院の境内外は国有林となっており、ここにもスギ林は広がっている。；古代においては河内湖がこの付近まで広がっていたと考えられている。；ガスが主であったならば地域全体に広がらなかった可能性がある。；ローマはカルタゴ勢力がシチリアでこれ以上に広がることは避けたかった。；近隣駅とは全く違う風景が広がっているのが特徴的である。；高山に生育する種では上に伸びず匍匐状に横に広がるものも知られる。；北に進み階段を下れば、海が広がる砲台跡の長崎ノ鼻の先端に到着する。；顔の形は耳からの長い飾り毛の為に横に広がって見える。；また、感覚器官は目立つものではなく、その配置も全体に広がっている。；そして以降はほぼ現在と同じ砂漠化した不毛な大地が広がる地域となった。；このルールはその他のオーストラリアの植民地にすばやく広がった。；中西部の大半がカラハリ砂漠に覆われており、北には沼地地帯が広がる。；嬬恋村の商業の中心となる三原地区の様子や町並みが車窓右手に広がる。；現在は国際共通マークとして認められ、徐々にその活動の輪が広がっている。；海岸部近くにはが走り、そこから海岸まではわずかな平野が広がっている。；もう片方の手に持った煙草から上がった煙が天井の近くで広がろうとしている。；AM放送は電離層の関係で夜になると受信範囲が広がる特性があった。；東口側にはロータリーが設けられており、周辺には新興住宅地が広がる。；丘陵の南側は武蔵野台地の西の外れにあたり平坦な土地が広がっている。</t>
        </is>
      </c>
      <c r="J7240">
        <f>HYPERLINK("https://www.weblio.jp/content/広がる", "词义详情")</f>
        <v/>
      </c>
      <c r="K7240">
        <f>HYPERLINK("https://yourei.jp/広がる", "查看例句")</f>
        <v/>
      </c>
    </row>
    <row r="7241">
      <c r="A7241" t="inlineStr">
        <is>
          <t>広げる</t>
        </is>
      </c>
      <c r="B7241" t="inlineStr">
        <is>
          <t>成功</t>
        </is>
      </c>
      <c r="C7241" t="inlineStr">
        <is>
          <t>読み方：ひろげる
［動ガ下一］［文］ひろ・ぐ［ガ下二］
１空間・面積・幅を大きくする。「車庫を—・げる」「道路を—・げる」
２範囲・規模を大きくする。「視野を—・げる」「商売を—・げる」
３（「展げる」とも書く）包んだり畳んだりしてある物や閉じてある物などを開く。また、開いて中身をあらわにする。「新聞を—・げる」「傘を—・げる」「弁当を—・げる」
４たくさんのものを辺りいっぱいに並べ置く。「部屋も狭しと本を—・げる」
５外へ張り出す。「枝を—・げた大木」
６広い範囲にゆきわたらせる。ひろめる。
「今の世に布教して—・げようと云う心掛」〈漱石・草枕〉
[下接句]大風呂敷を広げる・手を広げる・風呂敷を広げる・店を広げる・門(かど)を広ぐ</t>
        </is>
      </c>
      <c r="D7241" t="inlineStr">
        <is>
          <t>広げるべく；広げるべき；広げる可能性；広げる選挙法改正</t>
        </is>
      </c>
      <c r="E7241" t="inlineStr">
        <is>
          <t>展開；進出；延長；広がる；展開する</t>
        </is>
      </c>
      <c r="F7241" t="inlineStr">
        <is>
          <t>塗り広げる</t>
        </is>
      </c>
      <c r="H7241" t="n">
        <v>29</v>
      </c>
      <c r="I7241" t="inlineStr">
        <is>
          <t>現在のホームは駅舎側のホームを交換設備を廃止して広げたものである。；本作では通常のバンド編成で使われる楽器から使う楽器の幅を広げている。；AVでの高い人気を背景に、テレビやラジオなどへと活躍の場を広げた。；映画だけでなくテレビドラマや舞台にも出演し、活動の幅を広げている。；近年ではハスキーボイスを活かした少年役などで活躍の場を広げている。；ここでの勤務時代の人脈が、現在での研究活動の幅を広げることになる。；一揆前はバイエルンに限られていたナチ党は北西ドイツに勢力を広げた。；一方でほぼ同じ時期に光ケーブルネットがお膝元へエリアを広げている。；町の名は、半島の形が羽根を広げたツルに似ていることから付けられた。；この星座は天の川の上に翼を広げ、北から南に向けて飛ぶ形をしている。；戦闘を繰り返し行うことで領土を広げる攻防戦が実装される予定だった。；現在は出版のみならず、映画やアニメ、ゲームなどにも事業を広げている。；元々は、大人が両腕を一杯に広げた長さとして定義された身体尺である。；口から金の火を吹き、赤い翼を広げると336万里にも達するとされる。；この主張はやがて自由党内の保護貿易支持派にも支持を広げていった。；通常の内装よりも座席幅を詰めて通路幅を広げた内装案も用意されている。；爪には自ずから巻く力があり、歩くことで逆に巻きを広げる力がかかる。；応用範囲を広げるための技術は文献に提示されており、当記事では触れない。；ある小鳥の例では、雛は親が近づくと頭を上に向け、口を大きく広げる。；部屋にいると彼はいつも、床に広げた地図の上を這いまわっていた。；これは二つ折りにした髻の刷毛先を銀杏の葉のように広げたものである。；以後差を広げる一方、後方に7馬身差をつけて初出走初勝利を果たした。；至近距離で大きな羽を広げてアピールされると、怖く感じるほどである。；これでプロストはセナとのポイント差を25まで広げることに成功した。；このように義興の軍勢は勝利を重ね肥前国における自らの勢力も広げた。；特に伐採跡などの裸地にいち早く伸び出して葉を広げる先駆植物である。；企業は後にマルチメディアポルノエンターテイメントへと事業を広げる。；以降は一方的にポイント差を広げられてチャンピオン獲得をギブアップ。；この際、作品内容についても幅を広げる方針が、次のように告知された。</t>
        </is>
      </c>
      <c r="J7241">
        <f>HYPERLINK("https://www.weblio.jp/content/広げる", "词义详情")</f>
        <v/>
      </c>
      <c r="K7241">
        <f>HYPERLINK("https://yourei.jp/広げる", "查看例句")</f>
        <v/>
      </c>
    </row>
    <row r="7242">
      <c r="A7242" t="inlineStr">
        <is>
          <t>広さ</t>
        </is>
      </c>
      <c r="B7242" t="inlineStr">
        <is>
          <t>成功</t>
        </is>
      </c>
      <c r="C7242" t="inlineStr">
        <is>
          <t>読み方：ひろさ
広いこと。また、その度合い。「競技場の—を調べる」</t>
        </is>
      </c>
      <c r="D7242" t="inlineStr">
        <is>
          <t>広さ約；広さゆえ；広さ深さ</t>
        </is>
      </c>
      <c r="H7242" t="n">
        <v>29</v>
      </c>
      <c r="I7242" t="inlineStr">
        <is>
          <t>そのため前作に比べてコース全体の広さと長さが大幅に増加している。；複数の参加者と、適当な広さの場所、十分な数の枕があれば実行できる。；建物の敷地は同じ広さに、すべての耕地も平等の原則の下に分割された。；軽トラックに室内の広さと快適性を求めるユーザーから支持を得ている。；とボケたのがきっかけとなり、小籔の顔の広さもあってイベントが実現。；「一之側」は畳数にしておよそ70畳程の広さがあったと言われている。；広く設定された主舞台や十分な広さの袖舞台、花道などもあるホール。；しかし、別の場所から選んだ目的地へ行きたい場合その広さが問題となる。；家の広さが無限にあったら集めたい欲を抑え切れないと発言している。；ローマではドリア・パンフィーリ公園に次ぐ2番目の広さの公園である。；畳857枚分の広さがあることから「千畳閣」と呼ばれるようになった。；その広さから、この記述が村を表現していることは明らかである。；広さ44m2 で、天候に関係なくさまざまなイベントが行われていた。；東野田の新敷地は、久太郎町の旧敷地の10倍の広さになったとされる。；頂上部のカールの広さの千畳から転じたものであるとする説もある。；市の中心部にはメリット湖があり、63haの広さの公園となっている。；その研究領域の広さから政策研究や政策分析とも呼ばれる。；このときに、コートの広さや得点方法など、さまざまなルールが決められた。；守備においては技術よりも、豊富な運動量や視野の広さが重視される。；競技会は、エリアの広さで下記のように分類することも可能である。；グラウンドは神戸市認定の広さをもち、野球などの大会の会場校ともなる。；適当な広さがあって、安全面に問題の少ない部屋が用いられる。；魚を容器で保護する場合、水の量より水に対する水面の広さに配慮する。；寺院の広さに目をつけられ、1873年羅漢堂を小学校に用いられた。；栽培可能地域の広さと長い収穫期間がネーブルオレンジを非常に普及させた。；モネータが世界平和のために行った活動の幅の広さは印象的である。；この高度でこれほどの広さの平坦地は、日本では他に例が少ない。；それをベースにしたヒッティング・エリアの前後左右への広さが最大の特徴。；あらゆるジェンダーに対応するため、トイレの広さは大きくなることが多い。</t>
        </is>
      </c>
      <c r="J7242">
        <f>HYPERLINK("https://www.weblio.jp/content/広さ", "词义详情")</f>
        <v/>
      </c>
      <c r="K7242">
        <f>HYPERLINK("https://yourei.jp/広さ", "查看例句")</f>
        <v/>
      </c>
    </row>
    <row r="7243">
      <c r="A7243" t="inlineStr">
        <is>
          <t>広場</t>
        </is>
      </c>
      <c r="B7243" t="inlineStr">
        <is>
          <t>成功</t>
        </is>
      </c>
      <c r="C7243" t="inlineStr">
        <is>
          <t>読み方：ひろば
１建物・樹木などがなく、広く開けた場所。ひろっぱ。
２多くの人が集まれる公共の広い場所。フォーラム。「皇居前の—」「駅前—」
３話し合い、意思の疎通をはかることができるような共通の場。フォーラム。「若者の—」</t>
        </is>
      </c>
      <c r="D7243" t="inlineStr">
        <is>
          <t>広場内；広場周辺；広場駅；広場付近；広場中央</t>
        </is>
      </c>
      <c r="E7243" t="inlineStr">
        <is>
          <t>プラザ；ピアッツァ</t>
        </is>
      </c>
      <c r="F7243" t="inlineStr">
        <is>
          <t>中央広場；前広場；交通広場；小さな広場；多目的広場</t>
        </is>
      </c>
      <c r="G7243" t="inlineStr">
        <is>
          <t>広場公園；広場空間；広場村；広場恐怖症</t>
        </is>
      </c>
      <c r="H7243" t="n">
        <v>29</v>
      </c>
      <c r="I7243" t="inlineStr">
        <is>
          <t>この広場で行った演説は彼の政治活動のなかで最も成功したものだった。；交流棟の前には巨大な日時計モニュメントを含む広場が設置されている。；当駅には、広場口南側と広場口北側のそれぞれにバスターミナルがある。；なお、駅北口広場周辺は未整備部分が多く、現在工事が進められている。；移転前の駅は現行の駅よりも南側の像がある広場付近に南北に建っていた。；駅の西側にもごく小さな広場があり、タクシー乗り場が併設されている。；またこの広場に入るための道路はアメリカ軍の戦車により封鎖されていた。；ローマ帝国時代の広場は、現在の市中心部の広場へと継承されている。；側線の北側に接して大きな広場があり、ここにトイレや駐車場などがある。；また中央の広場では山車2台とともに当時の風俗の様子が描かれている。；運動も得意であり、学校の外では「広場の王様」とあだ名されたという。；現場に居たチリの外交官は広場で大規模な銃撃は無かったと証言している。；広場に建物はなく、軍事演習に使われたため、アルマス広場と呼ばれた。；隣接する運動広場は後に建てられたもので、昭和53年9月に設置された。；駅構内及び駅舎周辺広場のサイン計画はイヤマデザインが担当している。；この時にジュスター広場に面した破風はネオゴシック様式に装飾された。；市の中心には広場もあり、かなり計画的に設計された都市であることも分かっている。；その他にも、交流広場や坪井川を利用した親水公園等を含んだ施設がある。；駅舎解体前までは地元住民の集会所やイベント広場として利用されていた。；水産学部の旧大谷校地は、現在は三重県立美術館東の広場となっている。；駅前にある場合は特に駅前広場と呼ばれるが、これは交通広場である。；このため全くあるいはほとんど損傷のなかった道路や広場もすべて取り壊された。；上流側は現在のエスキロル広場を中心に形成された古代ローマ都市であった。；この部分は広場に面しており、壁の前が礼拝の場所になっている。；広場には改札口を出てからエレベーターまたはエスカレーターを利用する。；街の中心にクライストチャーチ大聖堂があり、周囲に広場が配置されている。；普段は広場だが、時々ステージがメインのイベントが行われる。；この年も参加者はバスで広場を離れ、5分程の距離の中心街まで送られた。；旧市街は、コメディー広場を中心に、西側へやや膨らんだ形をしている。</t>
        </is>
      </c>
      <c r="J7243">
        <f>HYPERLINK("https://www.weblio.jp/content/広場", "词义详情")</f>
        <v/>
      </c>
      <c r="K7243">
        <f>HYPERLINK("https://yourei.jp/広場", "查看例句")</f>
        <v/>
      </c>
    </row>
    <row r="7244">
      <c r="A7244" t="inlineStr">
        <is>
          <t>広々</t>
        </is>
      </c>
      <c r="B7244" t="inlineStr">
        <is>
          <t>成功</t>
        </is>
      </c>
      <c r="C7244" t="inlineStr">
        <is>
          <t>読み方：ひろびろ
［副］(スル)非常に広く感じられるさま。「—（と）した部屋」「—（と）した草原」</t>
        </is>
      </c>
      <c r="D7244" t="inlineStr">
        <is>
          <t>広々と開け；広々とした草地；広々と使える；広々と明るい；広々とした地</t>
        </is>
      </c>
      <c r="E7244" t="inlineStr">
        <is>
          <t>広く</t>
        </is>
      </c>
      <c r="F7244" t="inlineStr">
        <is>
          <t>明るく広々；急に広々；広々とした草；高い広々；実に広々</t>
        </is>
      </c>
      <c r="H7244" t="n">
        <v>29</v>
      </c>
      <c r="I7244" t="inlineStr">
        <is>
          <t>これらの部屋は広々としているので、私どもの要求に適っていましてね。；広々とした広場はまるで人間の海で、頭と頭が鉢合わせするほどだった。；床に物が置かれていない状態だと、こんなに広々と感じるもんなんだな。；窓からは庭ごしに広々とした平地が眺められ、林が青い影を落している。；かれらは広々とした場所へ出てくるだけのために数百人を犠牲にした。；すべて山男がそうであるように、彼もまた、広々とした外へ出たかった。；広々とした居住空間と流れるようなスムーズな走りをイメージしている。；広々として、とても立派なやつだった、けっして城が落ちないようにな。；流程二千三百哩、広々と流れる大河の態は大陸的とでも云うのであろう。；道具建てを取りかたづけた舞台の上は、原っぱのように広々としていた。；広々としたこの部屋が、おそらく姫の寝室にでもなっていたのでしょうか?；その海岸は眼路もはるかなといっていいほど砂丘が広々と波打っていた。；母親はどんなことをしても、広々した東京の方がやはり住みよいと思った。；旅人の一行は、いつも会議の開かれる広々とした広場へ馬を乗り進めた。；広々として、たくさんのものを包みこんでいる水平線がひらけたわけだ。；風のない夜の広々とした平原のあの息をひそめたような沈黙ばかりだ。；室内に広々とした光景を映し出しても、狭い部屋が広くなるわけではない。；そこは、町を出つくしてしまって、広々とした圃の中になっていました。；また、現在の駅は初期の駅のような明るく広々とした雰囲気はない。；護衛が急いで門を開けると、かれらは広々とした中庭に馬を乗り入れた。；やがて、ぽっかりと視界が開け、目の前に広々とした谷間の村が現れた。；内部は大虹梁が縦横に架され、中柱のない広々とした空間となっている。；驚くべく広々としたその日まで知らずにいた世界がそんなところに閃いていた。；こんな広々した所でお飲みになると、さぞ気持のおよろしい事でせうね。；外では、朝の光を浴びて黒白猫のブロムが広々した石の地面を歩いている。；広々した両側の壁ぎわは、手のこんだ彫刻のある聖職者席になっている。；そこの岸には家が建つてゐないので、広々とした空が少し霞んでゐた。；正面の広々とした壁に、彼らの背丈と同じほどの大きな絵が掲げられていた。；マル・ゼスから北へ伸びる道は広々とした肥沃な平原の中を通っていた。</t>
        </is>
      </c>
      <c r="J7244">
        <f>HYPERLINK("https://www.weblio.jp/content/広々", "词义详情")</f>
        <v/>
      </c>
      <c r="K7244">
        <f>HYPERLINK("https://yourei.jp/広々", "查看例句")</f>
        <v/>
      </c>
    </row>
    <row r="7245">
      <c r="A7245" t="inlineStr">
        <is>
          <t>広まる</t>
        </is>
      </c>
      <c r="B7245" t="inlineStr">
        <is>
          <t>成功</t>
        </is>
      </c>
      <c r="C7245" t="inlineStr">
        <is>
          <t>読み方：ひろまる
［動ラ五（四）］広く行きわたる。また、普及する。「うわさが—・る」
→広がる［用法］</t>
        </is>
      </c>
      <c r="D7245" t="inlineStr">
        <is>
          <t>広まるだろ</t>
        </is>
      </c>
      <c r="E7245" t="inlineStr">
        <is>
          <t>展開；普及；延長；広がる；流通</t>
        </is>
      </c>
      <c r="H7245" t="n">
        <v>29</v>
      </c>
      <c r="I7245" t="inlineStr">
        <is>
          <t>しかしこれを機に話が急速に広まり、事態は政治色を強く帯びていった。；朝鮮の一部では清の学問を学ぶ北学も生まれたが、広まる事はなかった。；アイテムの取り方が広まればお前を殺しにくる奴もいなくなるだろう。；前者は事業者や報道関係でも広く知られ広まり、後者は定着しなかった。；明治の早い時期に日本に入ってきた野球は、次第に日本に広まっていった。；この流れの中で初めから見せることを考えて作られた下着も広まった。；この板は食卓代わりに宿屋等で使われ始め、家庭に広まったとみられる。；欧米から榴弾が輸入され広まると、日本でも次第に使用されなくなった。；この付け鼻は銀や金で作られたものであるという噂が後世に広まった。；日本では1990年代後半から深夜帯の青年向けアニメが広まり始めた。；代わってアメリカではコーヒーを飲む文化が広まることになった。；さらにはヨーロッパ全体、世界中の多数の国にも広まり、開催されている。；このような宗教が広まることで庶民の間にもその宗教は広まっていく。；このような宗教が広まることで庶民の間にもその宗教は広まっていく。；噂が広まる区域は、あらかじめタタリが定めた場所でなければならない。；この頃、アンリ3世には子を産ませる能力がないとの噂が広まっていた。；備中では綿作が広まり、江戸時代後期になるとその加工も盛んになった。；日本では明治時代に学生の間で使われていた隠語が一般に誤って広まった。；まだアメリカかインドで生きているという噂がすぐに広まり始めた。；火事だった火事らしいと噂が広まるのにそれほど時間はかからなかった。；明治維新後になると、コーヒーは日本人にも広まるようになっていく。；タイでは上座部仏教はここを通ってやって来てタイに広まったと信じられている。；これが広まって日本製のサイコロの1の目は赤く塗られるようになった。；男とは大概そうしたものだという認識が女のあいだで広まることになる。；スラヴ人の間では、高貴な戦士の死体をボートで燃やす習慣が広まった。；この噂が広まると、投機のためにコロンビア周辺の土地価格が騰貴した。；より多くの子を残し、利他的でない性質は遺伝によって集団中に広まる。；彼の突然の旅立ちは、当然ある種の憶測を広まらせずにはいなかった。；噂が広まる区域の中には一名、ないし数名の受取手がいなければならない。</t>
        </is>
      </c>
      <c r="J7245">
        <f>HYPERLINK("https://www.weblio.jp/content/広まる", "词义详情")</f>
        <v/>
      </c>
      <c r="K7245">
        <f>HYPERLINK("https://yourei.jp/広まる", "查看例句")</f>
        <v/>
      </c>
    </row>
    <row r="7246">
      <c r="A7246" t="inlineStr">
        <is>
          <t>広める</t>
        </is>
      </c>
      <c r="B7246" t="inlineStr">
        <is>
          <t>成功</t>
        </is>
      </c>
      <c r="C7246" t="inlineStr">
        <is>
          <t>読み方：ひろめる
［動マ下一］［文］ひろ・む［マ下二］
１範囲を広くする。「知識を—・める」「勢力を—・める」
２広く知られるようにする。広く行われるようにする。普及させる。「名を—・める」「教えを—・める」</t>
        </is>
      </c>
      <c r="D7246" t="inlineStr">
        <is>
          <t>広めるべく(3%)；広める役割を果たし；広めるべき</t>
        </is>
      </c>
      <c r="E7246" t="inlineStr">
        <is>
          <t>放送；展開；進出；延長；伝える</t>
        </is>
      </c>
      <c r="H7246" t="n">
        <v>29</v>
      </c>
      <c r="I7246" t="inlineStr">
        <is>
          <t>この本の人気は、このスポーツの人気を学校を超えて広めるのに貢献した。；全国に広めることで大陸国家への侵攻を防ごうとしたものとみられる。；また彼はこの手法を物理学研究の多くの分野に広める役割を果たした。；現在に至るきっかけは中学の時に好きな漫画やアニメを周囲に広める活動をしたこと。；何百人もの人々が、自らの業績や優れた特徴を広める目的で文字を刻んだ。；モートンは農業や林業の近代的技術を広く世間に広めることに努めた。；多くの女優の卵同様、ボールも名を広めることと生活のためにラジオに出演した。；日本で生まれたモデルボディメイクを海外にも広める活動をスタートさせた。；この法律は権利章典をフィリピンに広めることも目的として施行された。；これらの表がコペルニクスの計算方法をプロシアで広めるのに役立った。；彼は「嘘を広めるために疑似科学を利用している」と非難されている。；その後、14年間、彼は真実の光を広めるために至る所を旅しました。；その後に父親を釈放し、その虐待について噂を広めるよう指示を与えた。；一般意味論を広めるためにアメリカでは二つの組織が結成された。；江戸の有力者からの寄進もあり、御嶽神社の名を広めるようになった。；また独自の生命燃焼論と思想・哲学を広めるための社内報の刊行が開始される。；広大なや社会においてスカラーシップを広めることを目的にしている。；バーニー支持を広めるのはご自由ですが、ただスパムはしないでください。；その品を広める為に、真次郎はいずれ試食会を開くつもりだと言った。；ゴドセは自分の考えを広めるために、しばしば新聞に記事を書いた。；一方映画では仏教伝道師で釈迦の教法と平和を広めることを目標としている。；吾々はそこを確実に探検して、人類の知識を広めるために貢献せねばならぬのだ。；共産主義国家を除く世界の大半の国に影響力を広めることになった。；日本の菓子文化を世界中に広める為、各地でコラボ企画やイベントに参加。；伝統の技術を昇華させ現代に伝え広める活動を行なっている。；彼らは雑誌などでその美味を語り、松阪牛の名を世に広めることとなった。；目的は地球の気候を守るために個人ができることを大衆にさらに広めることだった。；英語は綴りの変更を広める世界的な関連するのない上位10個ので唯一の言語である。；仏陀は仏弟子に対し、行った先の地域の言葉で教えを広めることを求めた。</t>
        </is>
      </c>
      <c r="J7246">
        <f>HYPERLINK("https://www.weblio.jp/content/広める", "词义详情")</f>
        <v/>
      </c>
      <c r="K7246">
        <f>HYPERLINK("https://yourei.jp/広める", "查看例句")</f>
        <v/>
      </c>
    </row>
    <row r="7247">
      <c r="A7247" t="inlineStr">
        <is>
          <t>品</t>
        </is>
      </c>
      <c r="B7247" t="inlineStr">
        <is>
          <t>成功</t>
        </is>
      </c>
      <c r="C7247" t="inlineStr">
        <is>
          <t>読み方：しな
１（品）何かに使用する、形のあるもの。品物。「見舞いの—」「結構なお—」
２（品）商品。「良い—を安く売る」「—が豊富な店」「—ぞろえ」
３物の品質。「—が落ちる」
４材料や品質の良し悪しによって分けた種類。等級。「—分け」
５（科）ちょっとした媚(こび)を含んだ身ぶりやしぐさ。特に、女が男に見せるようす・態度についていう。「—をする」
６地位。身分。家柄。
「人の—高く生まれぬれば」〈源・帚木〉
７人の品格。人柄。品位。
「さぶらふ中に—心すぐれたる限りを選(え)りて」〈源・若菜上〉
８きざはし。階段。
「御階(みはし)の中の—のほどに居給ひぬ」〈源・若菜上〉
９物事の事情、立場。
「徳様も死なねばならぬ—なるが」〈浄・曽根崎〉</t>
        </is>
      </c>
      <c r="D7247" t="inlineStr">
        <is>
          <t>品揃え；品よく；品出荷額；品不足；品オリジナル</t>
        </is>
      </c>
      <c r="E7247" t="inlineStr">
        <is>
          <t>もの；性；物；器；アイテム</t>
        </is>
      </c>
      <c r="F7247" t="inlineStr">
        <is>
          <t>出土品；装備品；高級品；貴重品；お品</t>
        </is>
      </c>
      <c r="G7247" t="inlineStr">
        <is>
          <t>品物；品質；品川；品々；品位</t>
        </is>
      </c>
      <c r="H7247" t="n">
        <v>29</v>
      </c>
      <c r="I7247" t="inlineStr">
        <is>
          <t>本作品は何度か雑誌の移籍がされているので最終回は何作品か存在する。；日本では一般的に一心二葉が最高級、一心三葉は準高級品とされている。；本作品では、過去のシリーズとは異なる独自の要素が多く見られる。；日本では承認審査体制の整備前より使用されており、先発品は存在しない。；アメリカ合衆国では1940年代まで鶏肉は牛肉よりも貴重品であった。；雨宮は鈴木から本作品でシリーズが最後になるかもしれないと告げられたという。；宇宙刑事シリーズ終了を受けて本作品では宇宙指向で制作されている。；しかしこれらは、技術的に見て当時の一級品とは言いがたいものであった。；アジアを舞台にした劇映画の中で唯一、本作品のポスターが選ばれた。；を呼んで、「この品を大事に取っておいてくれ」と言って自分の耳を渡した。；縄文時代から人が暮らしていた可能性があるとされており、出土品も存在する。；特に生産数の少ない国産装備品は、価格面で輸入品に太刀打ちできない。；同年10月13日、それらの品をルドルフの息子が父のものだと確認した。；当初は輸入でしかもたらされない貴重品であり医薬品として扱われていた。；これを利用して、出土品や汚染物質の起源を推定することができる。；彼らは簡単な実験をしたが、実用的な試作品を開発するには至らなかった。；自らの体型に合わせた特注品であり制作費用は100万円以上であった。；正八品から従七品までを朝官といい、一緒にして京朝官という。；本作品より主人公側の衣裳をスタイリストが担当するようになった。；この様式は従来、神に捧げる奉納の品を納める建物にのみ用いられていた。；口紅は紅花が原料のものが使われていたが、極めて高価な品とされていた。；西洋の娯楽品の入手は非常に厳しかったが、それも一層困難化した。；なお王には北魏の場合と同様に官品は適用されていない。；人性論としても伝統的な性三品説から性善説が主張されるようになっていく。；絹は重要な嗜好品の一つで、これは帝国へ輸入され、加工されていた。；設定などは、本作品をふまえていないルパンという名称のみの流用作品。；Debianの派生品一覧に非掲載であるるものの、以下もその一部である。；製造年代毎の、試作・試験品の使用などを除く主な設計変更点や特徴などは以下の通り。；なおスイスは、もともと得意とする高級品だけでなく安価な時計の市場でも復活した。</t>
        </is>
      </c>
      <c r="J7247">
        <f>HYPERLINK("https://www.weblio.jp/content/品", "词义详情")</f>
        <v/>
      </c>
      <c r="K7247">
        <f>HYPERLINK("https://yourei.jp/品", "查看例句")</f>
        <v/>
      </c>
    </row>
    <row r="7248">
      <c r="A7248" t="inlineStr">
        <is>
          <t>便</t>
        </is>
      </c>
      <c r="B7248" t="inlineStr">
        <is>
          <t>成功</t>
        </is>
      </c>
      <c r="C7248" t="inlineStr">
        <is>
          <t>読み方：びん
⇒べん</t>
        </is>
      </c>
      <c r="D7248" t="inlineStr">
        <is>
          <t>便運行；便運航；便墜落事故；便槽；便程度</t>
        </is>
      </c>
      <c r="E7248" t="inlineStr">
        <is>
          <t>手紙；状；書；文；有利</t>
        </is>
      </c>
      <c r="F7248" t="inlineStr">
        <is>
          <t>簡便；発着便；区間便；旅客便；バス便</t>
        </is>
      </c>
      <c r="G7248" t="inlineStr">
        <is>
          <t>便所；便宜；便宜上；便り；便乗</t>
        </is>
      </c>
      <c r="H7248" t="n">
        <v>29</v>
      </c>
      <c r="I7248" t="inlineStr">
        <is>
          <t>日本の高速バスでは便または路線ごとで愛称を付けているケースが多い。；ほとんど全郡でバス路線を運行しており、多くの都市にもバス便がある。；しかし施設面や交通の便、および行政側の影響などでいずれも頓挫した。；敷地の広さや自動車交通の便が重要な施設の多くは駅北側にある。；アイルランド政府の要請に応じて中国との間で数百便の運航が予定された。；同一の区間で設備と運賃に格差をつけた複数の便が運行されている例がある。；首都は、国政の中心として交通の便が良い場所が選定されることが多い。；理解の便に該当箇所を挙げると、たとえば以下のような点である。；主要な島々には定期便があり、他の島への便はそれほど頻繁ではない。；交通の便の良さを生かして以前より企業・大学誘致に力を注いでいる。；鉄道にも囲まれており、近距離・遠距離の移動ともに交通の便は大変良い。；これらの交通の便を活かし、工業団地の開発などを積極的に行っている。；近年では、格安航空会社や航空便の増加がさらなる増大に貢献している。；なおこの系統の新設に伴う他系統の減便などは行われていない。；これはより交通の便が良く、早い時期から発展したためである。；しかし、2013年4月1日のバスダイヤ改正で日中の便が廃止された。；発着時のコストの安さから格安航空会社や貨物便の利用が多くなっている。；こちらのバスは夜行高速バスと昼行の徳島便の一部に使われている。；これは、同じ手続きを異なるデータセットで簡便に利用する方法となる。；この便は臨時列車扱いであるが実際には定期便として利用されている。；また、積み残しが発生した場合には当該便の7分後に臨時便を運転する。；全区間を直通する便はなく、静内を境に以下の通り細分化されている。；そして3日遅れてパリとロンドンを結ぶ初の国際航空便が生まれた。；州内主要都市にはグレイハウンドのバス便が運行されている。；テレホート国際空港は航空会社の便を運行せず、民間の用に供している。；その後数年のうちに、現在のような綱島とを結ぶ便が開業した。；また、上記以外の都市へも他社とのコードシェアで就航している便もある。；これらの地域では、現代でも交通の便が悪いため古い文化・習慣が根強く残っている。；これ以降、期間延長が継続されており、現在は1日2便で運航されている。</t>
        </is>
      </c>
      <c r="J7248">
        <f>HYPERLINK("https://www.weblio.jp/content/便", "词义详情")</f>
        <v/>
      </c>
      <c r="K7248">
        <f>HYPERLINK("https://yourei.jp/便", "查看例句")</f>
        <v/>
      </c>
    </row>
    <row r="7249">
      <c r="A7249" t="inlineStr">
        <is>
          <t>瓶</t>
        </is>
      </c>
      <c r="B7249" t="inlineStr">
        <is>
          <t>成功</t>
        </is>
      </c>
      <c r="C7249" t="inlineStr">
        <is>
          <t>読み方：かめ
１古代から物入れ・貯蔵・煮炊きなどに使った底深く口径の広い土製・陶磁製や金属製の容器。
２酒を杯につぐ細長い器。瓶子(へいじ)。とくり。
「—に酒入れて盃に添へて」〈後拾遺・雑五・詞書〉</t>
        </is>
      </c>
      <c r="D7249" t="inlineStr">
        <is>
          <t>瓶入り；瓶ごと；瓶底；瓶嚢；瓶洗い</t>
        </is>
      </c>
      <c r="E7249" t="inlineStr">
        <is>
          <t>壜；ビン；ボトル；甕；フラスコ</t>
        </is>
      </c>
      <c r="F7249" t="inlineStr">
        <is>
          <t>薬瓶；空き瓶；小さな瓶；合瓶；三瓶</t>
        </is>
      </c>
      <c r="G7249" t="inlineStr">
        <is>
          <t>瓶子；瓶詰；瓶ビール；瓶内；瓶ヶ森</t>
        </is>
      </c>
      <c r="H7249" t="n">
        <v>29</v>
      </c>
      <c r="I7249" t="inlineStr">
        <is>
          <t>下記の6本のいずれかを飲むと瓶に書かれた通りの能力を得る事ができる。；これは瓶入りのコーヒー牛乳を店頭で販売した初めての例であるという。；発祥の地であるイギリスでは、すでにこの瓶は店頭から姿を消している。；一方、他のファンはガラスのドアに岩や瓶を投げて入場しようとした。；チョルゴッシュは彼が働いていた瓶工場で起こった恐ろしい話をする。；彼女は「非常に透明な、見えない瓶」でなければならないと考えていた。；空き瓶の中で飛び回っているハエの羽音に似たような音も聞こえてきた。；瓶の最下層と最上層には塩の層を作り、竹を編んだ蓋をして重石をおく。；そして、4本目の瓶に入っていた手紙には、次のように記されていた。；狭い瓶の首から少数のものを取り出す場合と同じ原理であることからいう。；マヌはその金色の魚を瓶の中に入れて育てたが、魚はすぐに大きくなった。；彼らはレーズンを瓶に入れて保存し、数千個単位で各神殿に割り振った。；ロボットに使用する睡眠薬で、外見は人間用の瓶入りの錠剤に似ている。；発売当初は瓶入りのみだったが、途中から缶入りも発売されるようになった。；新入部員は20人いたが辞めずに残ったのは瓶太郎のみとなっている。；見終わった水を瓶などに保存しておけば、いつでも同じ光景を見ることができる。；瓶も蓋も全銘柄共通で使われ、一升瓶と同じ柄のラベルが貼られていた。；木箱や瓶と違い、プレイヤーがエリア移動して戻ってくると再出現している。；生きているものを管瓶に入れているとエーテル様の匂いがするという。；Kは西部からその物質を受取り、その物質をその瓶に入れて西部に渡した。；家庭生産のワインは、製品とは違いあらゆる形状の瓶を使用する。；銀化合物は一般的に光に対し敏感であり分解しやすく褐色瓶で保存する。；一部にはガラス瓶も残るが、軽量化された新形態の瓶に移行されつつある。；下部が鏡餅状に膨れた瓶に細長い注ぎ口をつけたような形が標準である。；瓶の蓋は飛行後数年たっても開けられることはなかった。；瓶の中身は腐ってしまってもう飲めないと思われたブドウの残骸だった。；雨がふると元気になる生き物を研究して作られたドリンクで瓶に入っている。；頂上より少し下がった平らな部分を山の肩、瓶の肩などと呼ぶことがある。；五八・吾八・呉八・五兵衛と名乗り、1794年以降は五瓶と称した。</t>
        </is>
      </c>
      <c r="J7249">
        <f>HYPERLINK("https://www.weblio.jp/content/瓶", "词义详情")</f>
        <v/>
      </c>
      <c r="K7249">
        <f>HYPERLINK("https://yourei.jp/瓶", "查看例句")</f>
        <v/>
      </c>
    </row>
    <row r="7250">
      <c r="A7250" t="inlineStr">
        <is>
          <t>ピンからキリまで</t>
        </is>
      </c>
      <c r="B7250" t="inlineStr">
        <is>
          <t>成功</t>
        </is>
      </c>
      <c r="C7250" t="inlineStr">
        <is>
          <t>始めから終わりまで。また、最上から最低まで。ピンキリ。「—さまざまの種類がある」→ピン2→キリ2</t>
        </is>
      </c>
      <c r="D7250" t="inlineStr">
        <is>
          <t>ピンからキリまである(38%)；ピンからキリまであり(4%)；ピンからキリまであつて(3%)</t>
        </is>
      </c>
      <c r="E7250" t="inlineStr">
        <is>
          <t>大小さまざま；ピンからキリまである；ピンキリ</t>
        </is>
      </c>
      <c r="H7250" t="n">
        <v>29</v>
      </c>
      <c r="I7250" t="inlineStr">
        <is>
          <t>カラオケバーといってもピンからキリまであるようで、ここはかなり高級。；英国を訪れる機会は少なくないので、泊まるホテルもピンからキリまである。；しかし、なんでもそうだが、あらゆる物事にはピンからキリまでがあるのである。；必ずしも妖が見えるとは限らず、その能力についてもピンからキリまである。；一口にヌード写真集と言っても、ピンからキリまであるんじゃありません?；古代神は108柱いるだけあって強さはピンからキリまである。；程度はピンからキリまでで、そのほとんどは生活にまったく支障のない、障害と呼ぶのも正確ではないくらいのレベルであるそうだ。；その規模はピンからキリまであるが、極低温物理学の国際会議は最も大きいものの一つである。；その黒光りする兜は、ピンからキリまで桐で作ってあったのじゃな。；私は昔から、あいつの遣り口ならピンからキリまで知っておりますが、あいつは決して殺人はやらない。；ぼくはまたもう一軒別の店へいっしょにいって、そこでもピンからキリまでのあらゆる方式と大きさのものをしらべ、聞いてみねばならなかった。；ピンからキリまで、つまり、先生が教えない盗みの種類はなかった。；人間というのは、いろいろな分野でそれぞれ才能や価値が異なり、それぞれの分野でピンからキリまでの段階がある。；ピンからキリまで もったいなさに なだらかな血潮が 逆流しまする。；画描きでもピンからキリまでございましてね。；文学にも前に云ったようにピンからキリまであるので、一体この際それが、哲学や科学とどう連絡がついているのか、或いはいないのか、が問題である。；英国紳士といってもピンからキリまである。；脇役といってもピンからキリまでありますが、ちょっとした役でも何でも、自分のそばへ出る役となりますと五年でも十年でも同じ役をやらせてしまうので、なかなか上へ行かれないということもままあったんです。；学生という夥しい青年たちの質は実にピンからキリまでであるから、なかには勿論下らない者もいるだろう。；あそこならピンからキリまであると思うよ。；それでも、世界がどう動いているかを知りたいという思いのピンからキリまでが、ともかくよむのね。；ピンからキリまで全部とっておくんです!；ピンからキリまで幾通りあるか知れない。；ただ、芝居という芝居はピンからキリまで観て歩いたらしいことは、二人が会つて話をするたびにだんだんわかつてきた。；恥も外聞もどこへやら、見るもの聞くもの、ピンからキリまで人の道に外れた聞くにたえないことばかり。；これにはピンからキリまであつて、キリの方には男の子が郵便切手を集めたり、女の子がコケシを並べたりするのまで入るだらう。；誰でも、ネコも杓子も、ピンからキリまでが、どんな季節にでも氷を手にできる。；だが云うまでもなくマルクス主義と通称されているものにはピンからキリまであるばかりでなく、活きた情勢を摂取しつつそれは刻々発展すべきものなのだし、又現にそうして発展して来ているのである。；ピンからキリまでいる中国人ボスの中でも、この男は三本の指に入ると言われ、直接指示を下せる幹部十三人を含め、全体で約五十人の配下を従えていた。</t>
        </is>
      </c>
      <c r="J7250">
        <f>HYPERLINK("https://www.weblio.jp/content/ピンからキリまで", "词义详情")</f>
        <v/>
      </c>
      <c r="K7250">
        <f>HYPERLINK("https://yourei.jp/ピンからキリまで", "查看例句")</f>
        <v/>
      </c>
    </row>
    <row r="7251">
      <c r="A7251" t="inlineStr">
        <is>
          <t>敏感</t>
        </is>
      </c>
      <c r="B7251" t="inlineStr">
        <is>
          <t>成功</t>
        </is>
      </c>
      <c r="C7251" t="inlineStr">
        <is>
          <t>読み方：びんかん
［名・形動］感覚や感度の鋭いこと。また、そのさま。「—に反応する」「刺激に—な肌」⇔鈍感。
[派生]びんかんさ［名］
[補説] 「両国首脳が島の主権に関する敏感な問題を話し合う」のように、国家間の交渉の対象となる微妙な事柄について「慎重に扱うべきデリケートな」の意で用いることがある。一説には、90年代の初め、日中交渉で中国側がこの意味で使った「敏感」を日本の新聞がそのまま取り入れたものという。</t>
        </is>
      </c>
      <c r="D7251" t="inlineStr">
        <is>
          <t>敏感な部分；敏感な芽；敏感な反応；敏感すぎる；敏感性</t>
        </is>
      </c>
      <c r="E7251" t="inlineStr">
        <is>
          <t>激しく；鋭い；鋭く；神経質；鋭敏</t>
        </is>
      </c>
      <c r="F7251" t="inlineStr">
        <is>
          <t>一番敏感；いちばん敏感；敏感関係妄想；敏感な嗅覚；敏感な感受性</t>
        </is>
      </c>
      <c r="G7251" t="inlineStr">
        <is>
          <t>敏感度；敏感すぎる人</t>
        </is>
      </c>
      <c r="H7251" t="n">
        <v>29</v>
      </c>
      <c r="I7251" t="inlineStr">
        <is>
          <t>子供等はかえってそんな事には敏感で悲しい場合が多いと私は思います。；同じように人から来る手紙の中の言葉などにもかなりに敏感になっていた。；それが、さすがに女だけに敏感で、奥さんの方には反映したのであろう。；その組織の正確さというものに対応して、それはきわめて敏感なのです。；本来は会議に参加して新しい議論に敏感でなければならないと指摘している。；繁殖中はより敏感であり、危険を感じると雛や卵を放棄することもある。；毛嚢炎が、皮膚の敏感な部分、特に目や鼻の周辺に発生したものである。；少し敏感な者は人の前で下手なことを言ふまいと消極的な努力をする。；それに女などといふものは、非常に敏感ですぐ冷静になりたがるものだ。；なぜ人間は人種に敏感なのかを説明する仮説は大きく分けると三つある。；生理の時は膣内の粘膜が非常に敏感となるため使用は推奨されていない。；特に連載末期は流行に敏感であり、時事ネタが非常に多くなってきていた。；彼らは動物に対する人々の敏感さを利用することに非常に精通しています。；反対に、大人は子供に知ってほしくない敏感な話題を話すときに時々使う。；それに未だ学校を卒業したばかりで試験については敏感だから同情が深い。；鼻づらは先端が上を向いており、嗅覚も敏感であったことがうかがえる。；非常に敏感であり、砲弾がどこに命中しても爆発したと言われている。；敏感な読者は四五回も読まぬ内に犯人が分ってしまうかも知れません。；人間の熱を計るには耳が、一番敏感なのだから、体温計はいらないンだ。；お前は、その敏感な母親の鼻で、わたしの罪を嗅ぎ当ててゐたんだね。；ユーザーもこの点には敏感に反応し、家庭用電源を用いる時間が長くなった。；爪を見れば健康が分かると言われるほど、爪は健康状態を敏感に反映させる。；そして少年の敏感さで、その存るものの美しさや悩ましさを生きたまでだ。；実際のトレンドをより敏感に反映したランキングの提供が可能になるとしている。；承喜は音楽にも造詣が深く、特にリズム感覚が非常に敏感で優れていた。；記事によると意外にも流行や新しい物に敏感のようである。；その傷のためか、犬の動作は以前より神経質に敏感になっているようであった。；温度変化や気圧変化に敏感であるため地下の横坑の奥に設置されることが多い。；人の耳は音の開始には敏感だが、音の終了にはあまり注意を払わない傾向がある。</t>
        </is>
      </c>
      <c r="J7251">
        <f>HYPERLINK("https://www.weblio.jp/content/敏感", "词义详情")</f>
        <v/>
      </c>
      <c r="K7251">
        <f>HYPERLINK("https://yourei.jp/敏感", "查看例句")</f>
        <v/>
      </c>
    </row>
    <row r="7252">
      <c r="A7252" t="inlineStr">
        <is>
          <t>貧血</t>
        </is>
      </c>
      <c r="B7252" t="inlineStr">
        <is>
          <t>成功</t>
        </is>
      </c>
      <c r="C7252" t="inlineStr">
        <is>
          <t>読み方：ひんけつ
血液中の赤血球数またはヘモグロビン量が正常以下となり、酸素運搬能力が低下した状態。出血や栄養不足、骨髄の造血機能低下、溶血などさまざまな原因によって起こる。顔色が白く、疲れやすく、動悸(どうき)・めまい・耳鳴りなどの症状のみられることが多い。</t>
        </is>
      </c>
      <c r="D7252" t="inlineStr">
        <is>
          <t>貧血症(6%)；貧血気味(2%)；貧血状態；貧血性；貧血病</t>
        </is>
      </c>
      <c r="E7252" t="inlineStr">
        <is>
          <t>貧血症</t>
        </is>
      </c>
      <c r="F7252" t="inlineStr">
        <is>
          <t>軽い貧血；腦貧血；単なる貧血；ひどい貧血</t>
        </is>
      </c>
      <c r="H7252" t="n">
        <v>29</v>
      </c>
      <c r="I7252" t="inlineStr">
        <is>
          <t>ところが、どうしたわけかわたしは急に貧血を起こして倒れてしまった。；昨日、貧血で公園に倒れていたそうだから、それも当然といえば当然か。；貧血したようだとかすかな声で訴えたが、本当に顔色が青くなっている。；貧血の俺から、頻繁に採血するのはいったいどういうつもりなのかねえ。；そしてすぐ貧血を起こした時のように椅子から滑り落ちて床に尻をつけた。；貧血性で、何かショックを受けるとすぐに倒れるくせのある母親なのだ。；だいたいな、俺は慢性的な貧血持ちなだけで体が弱いわけじゃないだろ。；気がつくと俺は急性貧血で床に膝をつき、ギギナに助け起こされていた。；この時点では彼女も、男が軽い貧血でもおこしたぐらいに考えていた。；乏血あるいは全身性の貧血と区別して局所性貧血と呼ばれることもある。；消費が生産をうわまわるのだから、その経済は貧血死にいたるしかない。；いずれにしても、貧血をはじめとする些細な症状でそれは始まるんだ。；彼女がもともと貧血症なら話がわかるけれど、彼女にそんな持病はない。；まだ薔薇いろの頬の所有者、私は彼のさういふ貧血性の美しさを羨んだ。；そして渋柿の実が貧血症のやうに青い顔をしてゐるのを見上げながらいつた。；貧血しているので、長いこと頭に血がのぼることにはまだ耐えられないのだ。；また、初めての上京の際も駅で貧血を起こし、自分に呆れたと語っている。；長い階段を登ってきたせいで、貧血が起きたのかもしれなかった。；まだ薔薇いろの頬の所有者、私は彼のそういう貧血性の美しさを羨んだ。；おまえは中学からこっち、貧血持ちのくせに学校だけは休まなかっただろ。；糖尿のほうが思わしくないようですし、貧血もなかなかよくなりません。；最近は頭痛も貧血もなくて、このメガネを取るような事件も起こらない。；これらを組み合わせて、例えば「小球性低色素性貧血」などと表現する。；たぶんそのためであろう、脳のほうが軽い貧血を起こして頭が少しぼんやりする。；殺人現場に臨んだら貧血でも起こしてしまうのではないだろうか。；昨日の貧血の後遺症か、体はまだ少し重かったが気分は晴れやかだった。；ただ昨日の貧血の後遺症なのか、俺の体が本調子でなかっただけだ。；中には会場の熱気に当てられて、貧血を起こす主婦も出るほどである。；軽い貧血か何かで倒れたんだろう、という程度にしか考えなかった。</t>
        </is>
      </c>
      <c r="J7252">
        <f>HYPERLINK("https://www.weblio.jp/content/貧血", "词义详情")</f>
        <v/>
      </c>
      <c r="K7252">
        <f>HYPERLINK("https://yourei.jp/貧血", "查看例句")</f>
        <v/>
      </c>
    </row>
    <row r="7253">
      <c r="A7253" t="inlineStr">
        <is>
          <t>貧困</t>
        </is>
      </c>
      <c r="B7253" t="inlineStr">
        <is>
          <t>成功</t>
        </is>
      </c>
      <c r="C7253" t="inlineStr">
        <is>
          <t>読み方：ひんこん
［名・形動］
１貧しくて生活に困っていること。また、そのさま。「—の中に育つ」「—な家庭」
２大切なものが欠けていること。内容に乏しいこと。また、そのさま。「政策の—」「—な精神」</t>
        </is>
      </c>
      <c r="D7253" t="inlineStr">
        <is>
          <t>貧困者(5%)；貧困地域；貧困化；貧困生活；貧困地区</t>
        </is>
      </c>
      <c r="E7253" t="inlineStr">
        <is>
          <t>貧しい；貧乏；乏しい；貧弱；困窮</t>
        </is>
      </c>
      <c r="F7253" t="inlineStr">
        <is>
          <t>最貧困；深刻な貧困；貧困状況；貧困世帯；極端な貧困</t>
        </is>
      </c>
      <c r="G7253" t="inlineStr">
        <is>
          <t>貧困問題；貧困家庭；貧困状態；貧困率；貧困対策</t>
        </is>
      </c>
      <c r="H7253" t="n">
        <v>29</v>
      </c>
      <c r="I7253" t="inlineStr">
        <is>
          <t>あまりにも貧困だったため、一日一食もままならない日もあったという。；多くの場合において貧困者には教育を受けるための費用や時間が無い。；幼少期には貧困かつ病弱であったため、満足な教育が受けられなかった。；貧困や障害などにより知識を有していても行動が難しい人も数多く存在する。；この会議で労働者の貧困救済を目的とした相互扶助協会が設立された。；貧困はこの人々と反映した地域双方に対する障害と脅威になっている。；加えて息子の出世を期待して身を寄せていた父親と貧困生活を強いられてしまう。；他の歴代大統領と比較して著しくボキャブラリーが貧困であるとされた。；またその経済的地位の高さは、かえって貧困者との対立の原因ともなった。；例えば豊かな国では貧しい国よりも、貧困の基準がより寛大になっている。；こうした薬物への依存もまた貧困のなせる業といわねばならない。；またカナダのように「反=貧困」の社会団体と関わっている国もある。；最近では社会的貧困や多文化主義に焦点を当てた記事を特集している。；つまり、相対的には貧困や貧富の極端な差などの問題が影響している。；さらには貧困の生活のために南伊子の精神もボロボロになっていた。；初めは学問を志していたが、貧困のために1908年から軍隊に入る。；すぐれた才能にもかかわらずルイスは生涯の殆どを貧困の内に過した。；チャップリンは収容後すぐににある貧困児のための学校に移された。；その他にもアパートの室内には長い貧困生活を送っていると思われる描写も多々ある。；ぜいたくな暮らしを送る貴族の陰で民衆は重税と貧困にあえいでいた。；それを契機に帰国すると台湾の貧困者らへの法律相談を受ける弁護士となった。；かれらは、貧困者、社会的弱者のように見えても、次のような特徴がある。；貧困地域の中学生に特化したプログラムで大きな成功を収めている。；普通学校時代から足は速かったが貧困のため進学の機会に恵まれなかった。；アラブの地にあって日本赤軍などと称することは思想の貧困である。；実際は貧困から成長後も着用できる大きなサイズの服を買い与えたところから定着した。；彼女は貧しい田舎娘で、貧困のために故郷を離れて街へ出ることを余儀なくされる。；その結果、電気・電子製品や自動車産業の振興、貧困の撲滅に成功した。；近所にあった名門灘中学校への進学を、貧困を理由に母から反対され断念。</t>
        </is>
      </c>
      <c r="J7253">
        <f>HYPERLINK("https://www.weblio.jp/content/貧困", "词义详情")</f>
        <v/>
      </c>
      <c r="K7253">
        <f>HYPERLINK("https://yourei.jp/貧困", "查看例句")</f>
        <v/>
      </c>
    </row>
    <row r="7254">
      <c r="A7254" t="inlineStr">
        <is>
          <t>品質</t>
        </is>
      </c>
      <c r="B7254" t="inlineStr">
        <is>
          <t>成功</t>
        </is>
      </c>
      <c r="C7254" t="inlineStr">
        <is>
          <t>読み方：ひんしつ
品物の質。</t>
        </is>
      </c>
      <c r="D7254" t="inlineStr">
        <is>
          <t>品質低下；品質基準；品質表示；品質面；品質検査</t>
        </is>
      </c>
      <c r="E7254" t="inlineStr">
        <is>
          <t>性質；質；特性；素質；クオリティ</t>
        </is>
      </c>
      <c r="F7254" t="inlineStr">
        <is>
          <t>雑貨工業品品質；品質問題；製品品質；品質規格；通話品質</t>
        </is>
      </c>
      <c r="G7254" t="inlineStr">
        <is>
          <t>品質向上；品質保証；品質管理基準；品質マネジメントシステム；品質評価</t>
        </is>
      </c>
      <c r="H7254" t="n">
        <v>29</v>
      </c>
      <c r="I7254" t="inlineStr">
        <is>
          <t>工場生産に近い環境で大量生産されるため、価格や品質が安定している。；確かな品質と種類の豊富さは日本画の歴史を変えたとも言われている。；これは生産ラインにおける品質が安定していないためだといわれている。；著名なアーティストの起用は品質のみならず広告上の影響も大きい。；同社の自動車は品質が高く、ロンドンのタクシーに採用されて有名になった。；こうしたとき必ずしもコンピュータ組版で品質が上がっていると言えない。；品質の良くない茶葉に商品価値をつけるために着香することが少なくない。；彼等の自動車の品質は近年、大幅に向上し国際市場での評価を得ることができた。；商業栽培では、品質に優れたミツバアケビ由来の品種が多く用いられる。；食用植物油脂は日本では日本農林規格でその品質基準が制定されている。；トランジスタも製造工程と品質の改善によって若干性能が向上していた。；品質が高いため、同国で産出する鉄と組み合わせて鉄鋼を生産している。；このとき「このリンゴは糖度特性が高いので品質が良い」とはならない。；しかし、通信品質は安定せず、その後もマルコーニ社は改良に苦闘した。；また、送風される空気の温度と湿度も鋳鉄の品質に大きな影響を与える。；初期は単色混入など品質の問題があったが、現在は改善されつつある。；ディレクトリやデータベースの内容の品質については議論が続いていた。；マークをつけるための品質基準は以下のようなものである。；これら藩の保護政策ため、峰山藩では縮緬の品質が向上・維持された。；これには原材料コストを下げるためと品質改善のためと二つの目的がある。；酒の中にはより良い品質に変質させることを目的として保存しておくものがある。；無駄な電力を消費することになるが、品質保持のためには必要な措置である。；当初は低価格品の置き換えだったがすぐにその品質が認められるようになった。；テスト駆動開発で用いられるテストは、品質のためのテストではない。；醸造家は、安定した品質のワインを得るためには市販の乾燥酵母を使う。；これにより蒸発器の内部は、低い品質の水と蒸気を混合したものになる。；世界中のメーカーが独自のカードを販売し、品質は様々である。；一定の品質のビールを大量生産するのに最適だったためである。；バグダードのナツメヤシは国内でもっとも品質がよいことで知られる。</t>
        </is>
      </c>
      <c r="J7254">
        <f>HYPERLINK("https://www.weblio.jp/content/品質", "词义详情")</f>
        <v/>
      </c>
      <c r="K7254">
        <f>HYPERLINK("https://yourei.jp/品質", "查看例句")</f>
        <v/>
      </c>
    </row>
    <row r="7255">
      <c r="A7255" t="inlineStr">
        <is>
          <t>貧弱</t>
        </is>
      </c>
      <c r="B7255" t="inlineStr">
        <is>
          <t>成功</t>
        </is>
      </c>
      <c r="C7255" t="inlineStr">
        <is>
          <t>読み方：ひんじゃく
［名・形動］
１みすぼらしく、見劣りのすること。また、そのさま。「造りが—だ」「—な体躯(たいく)」
２乏しく、必要を満たすに十分でないこと。また、そのさま。「—なボキャブラリー」
[派生]ひんじゃくさ［名］</t>
        </is>
      </c>
      <c r="D7255" t="inlineStr">
        <is>
          <t>貧弱な肉体；貧弱な装備；貧弱な体；貧弱な武装；貧弱な武器</t>
        </is>
      </c>
      <c r="E7255" t="inlineStr">
        <is>
          <t>薄い；貧しい；不良；不十分；乏しい</t>
        </is>
      </c>
      <c r="F7255" t="inlineStr">
        <is>
          <t>こんな貧弱；貧弱すぎ；ひどく貧弱；貧弱極まる；貧弱な馬体</t>
        </is>
      </c>
      <c r="H7255" t="n">
        <v>29</v>
      </c>
      <c r="I7255" t="inlineStr">
        <is>
          <t>私はその映画が彼の貧弱な演技を守るよう作ることはできないと言った。；脚の貧弱な男性に至ってはふくらはぎにも詰め物がされることがあった。；こういった成長にもかかわらず、ブリーヴの産業は非常に貧弱であった。；局外者だから根拠は単純でも貧弱でも兎に角婦人側に同情が出来たのだ。；添馬は貧弱な音楽行事の記録のために大衆からの強い批判の的であった。；合衆国には、ほどほどの量でごく貧弱な質のウラン鉱石しかありません。；昭和二十四年の夏頃になって、貧弱ながらも自分の家に住むことが出来た。；それにしては現実の背景が少し貧弱で、何か物足りない感じであった。；私が幼い頃プロイセンがいかに貧弱だったかは貴方達も知っているだろう。；ことに貧弱ながらも生きている私などは夏から秋へのつぎ目の季節を嫌に思う。；日本人の会合でも話題の極めて貧弱な方といはなければならなかつた。；居留地の警察は非常に貧弱なため、FBIが殺人の主任捜査官となった。；チャド国内の交通は全般的に貧弱で、特に国の北部と東部で顕著である。；郊外地域はイギリスでももっとも貧弱な都市地域となっている。；よく発達した頭部に比べ尾部は貧弱で、先細りの体をしていることが多い。；しかし、マイクロソフトは相変わらず機能の貧弱な製品を提供していた。；広大な宇宙の中の地球は限りなく貧弱で小さな点に過ぎない。；しかしそれらは当時のハードウェアの制約上内容が貧弱なことが多かった。；解剖学的な知識が貧弱なことを考えると手術の大胆なことは驚くべきである。；機械的信頼性は優れていたものの、武装と装甲が貧弱すぎたためである。；本ゲームは貧弱なデザインと技術的な問題で多くの批難を浴びた。；それはすべての現代新画が、如実に内容貧弱を物語っていることで分る。；それにひどく痩せ形だったし、知育のほうも貧弱きわまるものであった。；イギリスの襲撃はフランスにブルターニュの守備の貧弱さを思い出させた。；武装も決して貧弱ではなく、同クラス機との戦闘であれば後れを取る事は無い。；しかし、高高度性能が貧弱だったため戦闘機としては苦戦を強いられた。；彼らが 主の家を出た日には 彼らは 貧弱に力なく見え 彼らの上に 矢は雨と降った。；それにつけても学問の研究に使う金なんか随分貧弱なものだとつくづく感じた。；これは地上設備の貧弱な日本国外の地方空港乗り入れを目指したものである。</t>
        </is>
      </c>
      <c r="J7255">
        <f>HYPERLINK("https://www.weblio.jp/content/貧弱", "词义详情")</f>
        <v/>
      </c>
      <c r="K7255">
        <f>HYPERLINK("https://yourei.jp/貧弱", "查看例句")</f>
        <v/>
      </c>
    </row>
    <row r="7256">
      <c r="A7256" t="inlineStr">
        <is>
          <t>品種</t>
        </is>
      </c>
      <c r="B7256" t="inlineStr">
        <is>
          <t>成功</t>
        </is>
      </c>
      <c r="C7256" t="inlineStr">
        <is>
          <t>読み方：ひんしゅ
１品物の種類。
２同一種の栽培植物や飼養動物で、形態や性質の変異が遺伝的に分離・固定されたもの。
３生物分類で、種の下位の単位の一。同一種であるが、1、2の形質について異なる型である場合に用いる。</t>
        </is>
      </c>
      <c r="D7256" t="inlineStr">
        <is>
          <t>品種名(3%)；品種改良；品種群；品種登録；品種開発</t>
        </is>
      </c>
      <c r="E7256" t="inlineStr">
        <is>
          <t>種類；亜種；変種</t>
        </is>
      </c>
      <c r="F7256" t="inlineStr">
        <is>
          <t>新品種；多品種；様々な品種；交配品種；新しい品種</t>
        </is>
      </c>
      <c r="G7256" t="inlineStr">
        <is>
          <t>品種登録</t>
        </is>
      </c>
      <c r="H7256" t="n">
        <v>29</v>
      </c>
      <c r="I7256" t="inlineStr">
        <is>
          <t>このため、味を残しながら種なしにできる品種の開発も進められている。；非常に古くから栽培されているだけあって、数多くの亜種や品種がある。；さらには、特定の地域では特定作物・特定品種が栽培されることもある。；従来ない色や病気に強い品種の開発に応用できると期待されている。；このため、耐湿性の強さに着目した品種の導入や改良も試みられている。；日本国内で栽培されている主なレンコンの品種や種類は以下のとおり。；現在ではさまざまな色や形の品種が作り出され、世界中で愛されている。；中国南部では重要な野菜のひとつであり、記載されている品種の数も多い。；また、切り花のイメージが強いが最近では鉢植えの品種も普及している。；いまでは翻訳機もヒンシュの言葉をいくつかひろえるようになっている。；地下茎はいくつかの節に分かれており、節の長さは品種によって異なる。；その地域の気候に最も適した品種を選択し栽培することが大切である。；現在の生物学では、独立した種や品種は、独立した種の数に含めない。；これらは赤花の園芸品種であったが、近縁の品種であったと考えられている。；各地にそれぞれ在来種と呼ばれる固有の特徴をもった品種が少数存在する。；品種の選択を重ねた無核種と、種子まで食べられる有核種の栽培も続く。；中国北部で形成された東洋系の品種群には、ウメとの交雑の痕跡がある。；ピノ・ノワールは、栽培するにもワインにするにも困難な品種である。；現存する馬の改良種の中で最初に確立した品種とされる。；世界中では数千から1万以上の品種が存在するとみられている。；いずれの品種も1980年当時は奨励品種決定前の開発段階であった。；主に加工用や飼料用に使われる収量の多い多収品種の米が栽培されている。；ただし長期熟成が可能で、この品種のみから作られた高級ワインも存在する。；品種名は、吟醸酒になるための酒米であることをイメージしている。；白ワインを開発するために、数多くの種類のブドウ品種が使用されている。；これらの羊は広く輸出され、多くの近代的な品種に貢献してきた。；生食できるように苦味や食感を改善した品種も数多く開発されている。；また、誤解の恐れがなければ単に品種と表記されることも多い。；江戸時代に育種が進み、数百に及ぶ品種が作られた古典園芸植物でもある。</t>
        </is>
      </c>
      <c r="J7256">
        <f>HYPERLINK("https://www.weblio.jp/content/品種", "词义详情")</f>
        <v/>
      </c>
      <c r="K7256">
        <f>HYPERLINK("https://yourei.jp/品種", "查看例句")</f>
        <v/>
      </c>
    </row>
    <row r="7257">
      <c r="A7257" t="inlineStr">
        <is>
          <t>瀕する</t>
        </is>
      </c>
      <c r="B7257" t="inlineStr">
        <is>
          <t>成功</t>
        </is>
      </c>
      <c r="C7257" t="inlineStr">
        <is>
          <t>読み方：ひんする
［動サ変］［文］ひん・す［サ変］ある重大な事態に今にもおちいろうとする。「危機に—・した国家財政」「死に—・する」</t>
        </is>
      </c>
      <c r="H7257" t="n">
        <v>29</v>
      </c>
      <c r="I7257" t="inlineStr">
        <is>
          <t>私は彼女のかすんだ目を見て、彼女が死に瀕している事を実感しました。；主人公は小学校の男の先生で、病気で死に瀕しているお父さんがいる。；母親はグレーゴルのためにおそらくはほとんど死に瀕していたのである。；フォローを受けられずに死の危険に瀕し、相当にショックを受けていた。；草も川も血だらけで死に瀕した兵士のうめき声で空気は重く澱んでいる。；しかし現在破壊に瀕している江分利の胃壁はこいつらの責任なのだろうか。；それにまた、飢餓に瀕しているあの町には分捕る品も少なくなっている。；範囲が限定的な一部の亜種にはもっと絶滅の恐れに瀕しているものもいる。；自分たちがかつては絶滅の危機に瀕していたことすら忘れようとしていた。；事態は絶望であるわけではないが、それは確かに危機に瀕している。；絶滅の危機に瀕している野生生物の状況は短期間で悪化することもある。；地球は、現在でも、これまでより特に危険に瀕しておるわけではない。；危機に瀕していることを思い出し、同時に一人欠けていると改めて知った。；危殆に瀕した国家の英雄は、炎や血煙の匂いまで纏っているようだった。；そして危機に瀕したとき、少女たちに求められるのはどんな能力か。；彼らはついにいかなる意味の生活をも築き得ない危険に瀕している。；クラブ存続の危機に瀕したが、若手選手育成に力を注いで危機を脱した。；とにかく今はネプトそのものが混乱し崩壊に瀕しているときなのだ。；して見れば、彼の生命は非常な危険に瀕しているのかもしれない。；いくつかは絶滅の危機に瀕していると見なされており、に掲載されている。；一人は死に瀕し、二人は気を失って、三人三様の姿で、ぶっ倒れている。；こうして花田家は、民衆のお望みどおり、今や崩壊の危機に瀕している。；惑星自体が寒冷化し、生物が絶滅の危機に瀕したワイルド星から訪れる。；そうしたら二人の生活はその日から危急に瀕してしまうのではないだろうか。；王を諫める者は逼塞し、屈原は追放され、国は瓦解の危機に瀕していた。；オック語の中で保護の積極的な方言であるが、なお絶滅の危機に瀕する。；破滅に瀕した一家を死の淵から救い、実り多い人生を与えてやったのだ。；破局の危機に瀕した1組の夫婦が体験する不思議な一夜を描いている。；壁画は事実もう崩壊に瀕しているといって良い状態にあるらしい。</t>
        </is>
      </c>
      <c r="J7257">
        <f>HYPERLINK("https://www.weblio.jp/content/瀕する", "词义详情")</f>
        <v/>
      </c>
      <c r="K7257">
        <f>HYPERLINK("https://yourei.jp/瀕する", "查看例句")</f>
        <v/>
      </c>
    </row>
    <row r="7258">
      <c r="A7258" t="inlineStr">
        <is>
          <t>便箋</t>
        </is>
      </c>
      <c r="B7258" t="inlineStr">
        <is>
          <t>成功</t>
        </is>
      </c>
      <c r="C7258" t="inlineStr">
        <is>
          <t>読み方：びんせん
手紙を書く用紙。書簡箋。</t>
        </is>
      </c>
      <c r="D7258" t="inlineStr">
        <is>
          <t>便箋十；便箋四枚；便箋七枚；便箋紙</t>
        </is>
      </c>
      <c r="F7258" t="inlineStr">
        <is>
          <t>便箋四；薄い便箋</t>
        </is>
      </c>
      <c r="H7258" t="n">
        <v>29</v>
      </c>
      <c r="I7258" t="inlineStr">
        <is>
          <t>きみは、そのお気に入りの便箋で彼に手紙を出すつもりだったのだろう。；中から出てきた一枚の便箋には、短い言葉しか、記されて、いなかった。；便箋が一枚入っていて、それにきれいな字で、次のように書かれていた。；そしてテーブルの上にはホテルの便箋に書かれた遺書が残されていた。；改名は新しい便箋を発注する際など都合のよい時になされるべきだと言う。；俄かに心の張りも崩れ、そこから私は白い便箋で顔を蔽って目をとじた。；なぜなら、その便箋には震えてはいるが綺麗な手でこう書いてあったのだ。；だが、そのあとに、まだ便箋何枚にもわたって後半の部分がつづいていた。；彼女は無理に笑顔をつくって、一枚の折りたたんだ便箋を彼に手渡した。；そう、今この便箋を見るのと同じように、わたしははっきりと見たのです。；わたしはその便箋をそっと手にとると、じつに妙なことを発見したのです。；薄いエアメイル用の便箋が幾枚か、それとサービスサイズの写真が一枚。；私は氷宇治を注文し、途中の文房具屋で買った便箋をテーブルに広げた。；それから例の小箱から別の便箋を取り出し、その一枚を透かして調べた。；シェーラがたまたまそんな便箋を買って使っただけの話かもわからないのだ。；中からは封筒とお揃いの柄の便箋がやはりきれいな二つ折りで出てきた。；全部で便箋に十枚ぐらいだったし、それも前に書きかけた分を入れてである。；便箋の一番下の空いているところに、次のような言葉が書き込まれていた。；便箋一枚に書かれたその手紙を、私は何度も何度も繰し返し読んだ。；涙が便箋の上に落ちないように何度も顔を上げねばならなかった。；便箋二枚にいっぱいに書きこんだため、もうこれ以上余白が残っていません。；見せてもらうまでもない、その便箋にはこう書かれているはずだ。；また、実家の部屋から発見した便箋より、恋人のハルミの存在をつかむ。；ちなみにその展示では折り鶴の折目を型押しした便箋商品などが発表された。；この五枚の便箋には、ノンブルが振ってないことはまえにもいっておいた。；私は便箋を開いて光を当て、文字の跡が残っていないか調べてみたが無駄な努力だった。；便箋もちょうどきりが良いので、今回はここまでにしておきます。；あの便箋の一枚一枚が、あなたの魂の花びらになって飛んで来るようでしたわ。；そのM氏が壇上に立ち、ポケットから数枚の便箋を取り出して語り始めた。</t>
        </is>
      </c>
      <c r="J7258">
        <f>HYPERLINK("https://www.weblio.jp/content/便箋", "词义详情")</f>
        <v/>
      </c>
      <c r="K7258">
        <f>HYPERLINK("https://yourei.jp/便箋", "查看例句")</f>
        <v/>
      </c>
    </row>
    <row r="7259">
      <c r="A7259" t="inlineStr">
        <is>
          <t>ぴんと</t>
        </is>
      </c>
      <c r="B7259" t="inlineStr">
        <is>
          <t>成功</t>
        </is>
      </c>
      <c r="C7259" t="inlineStr">
        <is>
          <t>読み方：ぴんと
［1509ころ〜1583］ポルトガルの旅行家。アジア・アフリカを旅行。種子島に鉄砲を伝えた一行の一人という。著「遍歴記」など。</t>
        </is>
      </c>
      <c r="D7259" t="inlineStr">
        <is>
          <t>ぴんと来(9%)；ぴんと伸ばし(6%)；ぴんとこない(4%)；ぴんと張りつめ(3%)；ぴんと張ら(2%)</t>
        </is>
      </c>
      <c r="E7259" t="inlineStr">
        <is>
          <t>ぴったり；ぴたり；ぴたりと；きっちり；ぎゅっと</t>
        </is>
      </c>
      <c r="F7259" t="inlineStr">
        <is>
          <t>ひんぴんと；耳をぴんと；すぐにぴんと；体をぴんと；ぴんとのび</t>
        </is>
      </c>
      <c r="H7259" t="n">
        <v>29</v>
      </c>
      <c r="I7259" t="inlineStr">
        <is>
          <t>が、それよりも名前を聞かされてもぴんと来ない竜のほうが気になった。；にわかに肉が落ちたようで、骨の上に皮膚をぴんと張ったみたいだった。；子供たちは手をぴんと伸ばし、腕を大きく振り、足を高くあげて歩いた。；だが血の匂いは感じられなかったため、いまいちぴんと来ない話だった。；もっともうちの課長などは、この話をしてもぴんとこない様子でした。；すると、首のロープがぴんと張ったので、わたしは門のほうへと進んだ。；ぴんと立った両耳のあいだに、ひとりの若者が、静かな顔で立っている。；ぴんと背筋を伸ばした姿勢で、私の先に立ってしずしずと廊下を進んだ。；だがそれもつかのま、すぐに背中をぴんと伸ばすといつもの彼に戻った。；服装はさきほどまでと同じだが、曲がっていた背はぴんと伸びていた。；たしかにそれは冒険だが、これは彼女の性格にはぴんと来るものがあった。；鎖が短くなってぴんと張り、俺は両手を広げた状態で動けなくなった。；いま聞いたのは数字だなってわかるけど、いくつなのかぴんと来ない。；扉の外に出ると、彼女が肩をうしろに引き、ぴんと胸を張るのが見えた。；前原先生がだれか、すぐにぴんと来るような政治的知識は彼にはない。；狐はしっぽをぴんとのばして、す早く森のなかに逃げこんでいきました。；だから一層、これは何かあると、ぴんと来ないではいられなかったんですよ。；そしたら、十六七の子供の方も猫背をやめてぴんと反って歩くんですの。；遠くまで伸びてぴんと張っている錨索と綱に彼は不安そうな一暼を投げた。；そのうちに、突然、これは同じ女ではないということがぴんときたのです。；あなたみたいな地元の人間ならぴんと来ることあるんじゃない?；背筋をぴんと伸ばし、呼吸をしていないかのように身を固くしている。；その筆跡には見おぼえがある、と、書いた人間の正体がぴんとわかった。；あたくしには、それがあの女だとすぐぴんときたんでございますよ。；多少見える所にやって来るぐらいが、身体がぴんとなっていいと思う。；まあ、王様も身分もなかったんじゃ、言われたぐらいじゃぴんとこないか。；たとえて言われても、強いて言われても、全然ぴんと来ないんだけど。；ぴんと張った両翼は、どう見ても巨大ないきもののように思えてならない。；神経は隅から隅まで行きわたって、純金の針金のようにぴんと張っている。</t>
        </is>
      </c>
      <c r="J7259">
        <f>HYPERLINK("https://www.weblio.jp/content/ぴんと", "词义详情")</f>
        <v/>
      </c>
      <c r="K7259">
        <f>HYPERLINK("https://yourei.jp/ぴんと", "查看例句")</f>
        <v/>
      </c>
    </row>
    <row r="7260">
      <c r="A7260" t="inlineStr">
        <is>
          <t>頻繁</t>
        </is>
      </c>
      <c r="B7260" t="inlineStr">
        <is>
          <t>成功</t>
        </is>
      </c>
      <c r="C7260" t="inlineStr">
        <is>
          <t>読み方：ひんぱん
［名・形動］しきりに行われること。しばしばであること。また、そのさま。「—に手紙をよこす」「車の往来が—な通り」</t>
        </is>
      </c>
      <c r="D7260" t="inlineStr">
        <is>
          <t>頻繁に用いられる；頻繁に使われる；頻繁に取り上げられる；頻繁に流さ</t>
        </is>
      </c>
      <c r="E7260" t="inlineStr">
        <is>
          <t>よく；まま；しばしば；常に；良く</t>
        </is>
      </c>
      <c r="H7260" t="n">
        <v>29</v>
      </c>
      <c r="I7260" t="inlineStr">
        <is>
          <t>テーズ道場では頻繁に使われていた技であったが名前のない技であった。；本節ではステージレースで最も頻繁に見られる展開の各段階を解説する。；幼いころから科学や自然に興味を持ち、植物採集に頻繁に出かけていた。；一般の人々は、ドイツ語を学ぶためのより良い環境を頻繁に要求した。；宝石でよくあるのと同様に、完全に開示されていないことが頻繁にある。；ドイツの医師であるクーゲルマンとは頻繁に手紙のやり取りをしている。；さらにメディアミックスの媒体ごとで声優が交代することは頻繁にある。；隠れ家ではお祝いをするきっかけを見つけては頻繁にお祝いをしていた。；さらに頻繁には、機械やこの目的のために設計された道具を使って行われる。；まだ無数の未発見の矮小銀河が存在し、今も頻繁に新しく発見されている。；新しいマシンが頻繁に出てくる場合は、それを使いたくありません。；リストは で極めて頻繁に用いられるため、特別な構文が用意されている。；この作品は彼の全宗教作品の中で最も頻繁に演奏されている。；またタイトルや歌詞に犬が頻繁に登場することも特徴である。；頻繁に操作しているデータも同様の方法でそこに格納されている。；後者のような意見はディーリアス自身の音楽にも頻繁に向けられるものである。；そのため、車内放送では停車時間がわずかな旨の案内が頻繁に行われていた。；求職のために活動していたコントは頻繁に各界の有力者を訪ねていた。；しかし研究者は本種が骨を頻繁にかじっていた訳でないとしている。；主要な島々には定期便があり、他の島への便はそれほど頻繁ではない。；ただし、ビジネスで頻繁に使われる言葉を例外的に変換するようにした。；特に欧米では頻繁に、また日本でもしばしば狩猟用のおとりに用いられる。；本形式は登場以来需要の変化に対応するため、頻繁に編成が組みかえられた。；またこの頃は宗全が和平を望んでいるという噂が頻繁に流れたという。；株立型で草丈は高く葉も柔らかいが頻繁に草刈りをしなければならない。；また熊本や周辺の県などのイベントにも頻繁に顔を出している。；江戸期にも洪水による橋の流出や水道施設の破壊は頻繁に発生していた。；スポーツはゴルフを非常に好んでおり、晩年も頻繁にプレイしていた。；また必要に応じて中間のMM'ユニットを編成間で差換が頻繁に行われた。</t>
        </is>
      </c>
      <c r="J7260">
        <f>HYPERLINK("https://www.weblio.jp/content/頻繁", "词义详情")</f>
        <v/>
      </c>
      <c r="K7260">
        <f>HYPERLINK("https://yourei.jp/頻繁", "查看例句")</f>
        <v/>
      </c>
    </row>
    <row r="7261">
      <c r="A7261" t="inlineStr">
        <is>
          <t>ぴんぴん</t>
        </is>
      </c>
      <c r="B7261" t="inlineStr">
        <is>
          <t>成功</t>
        </is>
      </c>
      <c r="C7261" t="inlineStr">
        <is>
          <t>［副］(スル)
１勢いよくはね上がるさま。「魚が—（と）はねる」
２元気よく活動しているさま。「病気が治って—（と）している」
３刺激が強く伝わるさま。特に、高い音声が響くさま。「高い声が—頭に響く」
４相手の思いが強く心に響くさま。「彼のいらだちが—（と）心に伝わる」</t>
        </is>
      </c>
      <c r="D7261" t="inlineStr">
        <is>
          <t>ぴんぴんしてる(8%)；ぴんぴん生き</t>
        </is>
      </c>
      <c r="E7261" t="inlineStr">
        <is>
          <t>盛んに；きびきび；ばりばり；奮って；キビキビ</t>
        </is>
      </c>
      <c r="H7261" t="n">
        <v>29</v>
      </c>
      <c r="I7261" t="inlineStr">
        <is>
          <t>うかつにさわったら指を切ってしまいそうなくらいぴんぴんの紙だった。；十何時間か前には、生きて、ぴんぴんして、山野の前に立っていたのだ。；たった今ぴんぴんしていた早駆け獣が、次の瞬間にはもう死んでしまう。；怪我ひとつなくぴんぴんしていたと、お父さまは笑っていらっしゃったわ。；二十四日まではぴんぴんしてたのに、と会社のひとも不思議がってた。；髪の量は多く、ぴんぴんとなった毛先が耳まで隠して、さらに広がっている。；あと二〇〇年はぴんぴんしているであろ、あの調子では。；露骨なといっていいほど餌をつけた釣竿には、ぴんぴんと当りがきている。；それでも おひげの ぴんぴん はえて いるのには きが つきませんでした。；だって私たちの方は、ご覧のとおり、無事でぴんぴんしていますよ。；その代わりぴんぴんしているやつだって、寿命のないのはだめだ。；一方の足はきかなくなり、もう一方の足はぴんぴんしているということになろう。；ひっつめ髪がいっそう乱れて、ぴんぴんと跳ねているが本人は無頓着だ。；それが思いのほか、あなたがぴんぴんしていたので、すこし楽観的になっていました。；うちだっておふくろの方はああやってぴんぴんしているし。；丈夫でぴんぴんしておじさんの前に立ってるじゃありませんか!；実家にいたのは、ぴんぴんしている元気な母だった。；すっかりぴんぴんして、他の羊どもと大巫山戯をやっていたもの。；料理当番は、さっそくこの塩を使って、ぴんぴんした魚の塩焼をつくった。；朝になったらぴんぴんして帰ってくるさ、と言った。；父は死んだが母はまだぴんぴんしている。；女学生のようなふざけた筆使いでもうよくなってぴんぴんしているとも書いてよこした。；夫がぴんぴんしていることは充分考えられる。；前の夜の刑事なら、あんなにぴんぴんしていられる訳がない。；いま持ち直して、ぴんぴんして、ごはんをもりもり食べているところよ。；ひとり二回ずつやってんだが、まだぴんぴんしてる。；私が出たとき、あれは生きてぴんぴんしていた!；ところがどうだ、きみはぴんぴんしていて、トロドンは死んでいる。；けさバーリイ夫人がぴんぴんしてりんごをもいでいたのを見なかったかのように。</t>
        </is>
      </c>
      <c r="J7261">
        <f>HYPERLINK("https://www.weblio.jp/content/ぴんぴん", "词义详情")</f>
        <v/>
      </c>
      <c r="K7261">
        <f>HYPERLINK("https://yourei.jp/ぴんぴん", "查看例句")</f>
        <v/>
      </c>
    </row>
    <row r="7262">
      <c r="A7262" t="inlineStr">
        <is>
          <t>貧富</t>
        </is>
      </c>
      <c r="B7262" t="inlineStr">
        <is>
          <t>成功</t>
        </is>
      </c>
      <c r="C7262" t="inlineStr">
        <is>
          <t>読み方：ひんぷ
貧しいことと富んでいること。また、貧乏人と金持ち。「—の差が激しい」</t>
        </is>
      </c>
      <c r="D7262" t="inlineStr">
        <is>
          <t>貧富格差(3%)；貧富差(2%)；貧富強弱；貧富智愚</t>
        </is>
      </c>
      <c r="G7262" t="inlineStr">
        <is>
          <t>貧富の格差；貧富貴賤</t>
        </is>
      </c>
      <c r="H7262" t="n">
        <v>29</v>
      </c>
      <c r="I7262" t="inlineStr">
        <is>
          <t>貧富にかかわらずどんな子供でも経験しなくてはならない軽い病気でした。；私は貧富の階級闘争を以て到底一度は避けがたいものだと思っています。；つまり、相対的には貧困や貧富の極端な差などの問題が影響している。；その者のおかげで 貧富の条件が変わって、 多くの人は その所を変えるだろう。；学者は貧富を超えて道を楽しみ礼を好むのでなくてはならない。；貧富を気にし過ぎると、自然それによって、他人と自分とを比べて見たくなる。；ただ、急激な経済成長に伴う貧富差の拡大や環境破壊が問題となっている。；それは急速な大事な時期であって、ことに孤児にあってはその貧富を問わず危険な時期である。；貧富はピクウィック氏にとってなんの問題でもなかったからである。；従って、貧富その他の境遇によって、これを二三すべきものではない。；貧富とか、名誉とか、さういふことは人間には何でもないことだ。；されば前にも言えるとおり、人は生まれながらにして貴賤・貧富の別なし。；南部では貧富にかかわらずワインが一般的な飲物だった。；貧富を問わず一般の庶民までもがアビュドスに訪れて復活と再生を祈っていたのである。；職業や貧富より、家の系譜を重視する母の主義を忖度したのだ。；都市の貧富の対立を描いた『城市之夜』で監督デビューを果たす。；それ故天国に於ては貧富の区別があつても、貧者は決して富者を恨みませぬ。；その中心のどこかにアンスが、タルファが、ヒンプがいるのだろうか?；貧富などいうことは恋の烈火の前には一片の塵ぐらいなものだ。；これ余が、貧富懸隔の匡正をもって貧乏退治の第二策となすゆえんである。；妻が男子を生まない場合は、貧富にかかわりなく、第二夫人を持つことが認められた。；アメリカ合衆国は、貧富に関係なく必要とする者すべてに特別な教育サービスを与えるべきであるという考えに徐々に近づいている。；学問のためのお金は必要なく、貧富や親疎で差別せず、どんな人でも学ぶ機会を与えた。；夜討師の血脈のほうは隠しおおせることが出来ても、貧富に架ける橋はない。；これは貧富の問題ではなく、社会通念の問題なのである。；およそ一邦の貧富は全国人民を平均したる総称なるものなり。；皆が平等に教育を受けることで、貧富によって差別されない社会を作ろうとした。；「均産」とは、一揆側がスローガンに掲げた貧富格差の是正に由来する。；けだし、英国とアイルランドと貧富の度を異にせるは、この一例によりて知ることを得べし。</t>
        </is>
      </c>
      <c r="J7262">
        <f>HYPERLINK("https://www.weblio.jp/content/貧富", "词义详情")</f>
        <v/>
      </c>
      <c r="K7262">
        <f>HYPERLINK("https://yourei.jp/貧富", "查看例句")</f>
        <v/>
      </c>
    </row>
    <row r="7263">
      <c r="A7263" t="inlineStr">
        <is>
          <t>貧乏</t>
        </is>
      </c>
      <c r="B7263" t="inlineStr">
        <is>
          <t>成功</t>
        </is>
      </c>
      <c r="C7263" t="inlineStr">
        <is>
          <t>読み方：びんぼう
［名・形動］(スル)財産や収入が少なくて生活が苦しいこと。また、そのさま。「—な人」「職がなく—する」「器用—」</t>
        </is>
      </c>
      <c r="D7263" t="inlineStr">
        <is>
          <t>貧乏生活；貧乏くさい；貧乏暮らし；貧乏暮し；貧乏学生</t>
        </is>
      </c>
      <c r="E7263" t="inlineStr">
        <is>
          <t>貧しい；乏しい；貧困；困窮；貧乏人</t>
        </is>
      </c>
      <c r="F7263" t="inlineStr">
        <is>
          <t>ひどい貧乏；貧乏国；貧乏寺；貧乏旅行；貧乏書生</t>
        </is>
      </c>
      <c r="G7263" t="inlineStr">
        <is>
          <t>貧乏性；貧乏神；貧乏ゆすり；貧乏揺すり；貧乏くじ</t>
        </is>
      </c>
      <c r="H7263" t="n">
        <v>29</v>
      </c>
      <c r="I7263" t="inlineStr">
        <is>
          <t>実家の考えは貧乏が一番恐ろしい不幸で、誰にでも起こりうることです。；しかしとにかく初めての貧乏にずいぶんつらい思いをしたのは本当です。；結婚が子供を保護しても貧乏で家のない子供達が数千人ゐるではないか。；これ余が経済組織の改造をもって貧乏退治の第三策となすゆえんである。；が、まだ貧乏だったり何かするために誰にも認められていないのですがね。；非常に貧乏なクラブで、当時所属していた3部の中でも見劣りしていた。；昔は貧乏で、ジェンキンスがくれたぼろ切れで作った服などを着ていた。；主人公は野球の才能を持ちながら、貧乏で高校に進学するお金がなかった。；しかも正夫は貧乏ゆえ修学旅行にも行けないが、気にしていないという。；少年の頃は画家になりたがっていたが、画家は生涯貧乏だと知り断念。；しかし、だれもこの貧乏な子供に同情をしてくれるものがないとみえました。；貧乏な家庭に育ったため満足に教育を受けることができなかった。；私の顔色の悪いのは、お憚りだけれど今日ばかりは貧乏のせいでない。；よほどの親譲りの財産でもない限り、万さんは貧乏せざるを得ません。；その後私は中学に進んだが、石畑君は貧乏なために進学出来なかった。；これには多くの貧乏白人も加わり、経済よりも人口の方が速く成長した。；お金持ちの間は子供ができなかったが、貧乏になると男の子ができた。；特にマイナーリーグ時代は貧乏な生活と寂しさで何度も涙を流したという。；貧乏と苦学の末に二人は夫婦となり、環は帝大からドイツ留学を果たす。；当初は準州時代からの設立者で貧乏になった人々の世話が目的だった。；必要なものは何でも手に入れて、貧乏していないと思っています。；それにもかかわらず、何かというと必要もないのに貧乏を揮廻していた。；たちまち、昔にまさる貧乏なものとならなければならなくなりました。；貧乏をかこちかこち女のように あきらめも得せぬ哲学を呟くを止めよ。；給与体系等は不明だが、アルバイトや貧乏暮らしをしている怪人も多い。；多分わたしがここに書くものは特に貧乏な学徒に呼びかけたものが多いであろう。；じっさい、そういう物を多くもっていればいるほど一層、人は貧乏なのだ。；だけどねふみ子、お父さんはいつまでもこんなに貧乏してはいないよ。；こっちに来てからだんだん貧乏になったのもそのためだよ。</t>
        </is>
      </c>
      <c r="J7263">
        <f>HYPERLINK("https://www.weblio.jp/content/貧乏", "词义详情")</f>
        <v/>
      </c>
      <c r="K7263">
        <f>HYPERLINK("https://yourei.jp/貧乏", "查看例句")</f>
        <v/>
      </c>
    </row>
    <row r="7264">
      <c r="A7264" t="inlineStr">
        <is>
          <t>ピンポン</t>
        </is>
      </c>
      <c r="B7264" t="inlineStr">
        <is>
          <t>成功</t>
        </is>
      </c>
      <c r="C7264" t="inlineStr">
        <is>
          <t>［副］
１呼び鈴やチャイムなどの音を表す語。「玄関のチャイムが—と鳴った」
２《クイズ番組で正解の際に鳴らす音から》解答が正しいことを表す語。
［名］(スル)
１「ぽんぴん」に同じ。
２俗に、インターホン・呼び鈴・チャイムのこと。また、それを鳴らすこと。「店員を呼ぶために—を押す」</t>
        </is>
      </c>
      <c r="D7264" t="inlineStr">
        <is>
          <t>ピンポン台(12%)；ピンポン野球；ピンポンゲーム；ピンポンtheanimation；ピンポン室</t>
        </is>
      </c>
      <c r="E7264" t="inlineStr">
        <is>
          <t>卓球；テーブルテニス</t>
        </is>
      </c>
      <c r="G7264" t="inlineStr">
        <is>
          <t>ピンポン球；ピンポン外交；ピンポンダッシュ；ピンポンパン；ピンポンパン体操</t>
        </is>
      </c>
      <c r="H7264" t="n">
        <v>29</v>
      </c>
      <c r="I7264" t="inlineStr">
        <is>
          <t>そして自分がピンポンを馬鹿にしてしなかったことを後悔したと笑った。；加藤のバットはピンポンの球の来る方向に動いているだけのことだった。；ピンポンの会の時も、私はそれを感じて、負けてもうれしかったのです。；体を動かしたあとといっても、例えばピンポンのあとなどはいけない。；あなたはとてもピンポンが上手で、それだけ汗塗れになってやっていた。；壁を相手にして、ピンポンをやる具合に、同じ球がすぐに戻って来るのである。；たとえば二人ピンポンをやっていても、照彦様は落ちた玉を拾わない。；月に一度は来て、自分が相手になり、ピンポンなぞに興ずることもあった。；ピンポン台の周囲だけは明るかったが、その向こうは漆黒の闇である。；ピンポンのあとは同じ机の上で竪琴を弾く女の人の絵を描いた。；王は中学生時代にピンポンをやっていたためだろうと答えた。；小学校のころから「勉強部屋」の大きな机で、ピンポンの壁打ちをしていたから。；兄の方が、新しく買ったらしい、ピンポンの道具を持って居た。；加藤は佐倉に紹介されるとすぐ、ピンポンの相手をさせられた。；承知のうえで言葉のピンポンをやっているのです。；もっともピンポンの球から直接中間子理論へ飛躍したわけではない。；外山三郎は加藤文太郎のピンポンを見ながら、なにか胸さわぎを感じた。；王は、中学生時代にピンポンをやっていたためだろうと答えた。；食堂の隅にピンポン台が置いてあって、早く食事を済ませた連中からそこを囲んだ。；そして、ピンポンから軽蔑されさうな青年だつたが、非常に健康さうになつた。；テニスができるほど広くはないが、無理すればピンポンはできる。；それは、さつき、ピンポンの話の時一二度名前が出た、奥村圭吉であつた。；だから、ピンポンよりは野球のほうが男性的だと思うわ。；ピンポンのボールのほうがずっと大きいじゃないか。；それがなぜピンポンに聞えなかったのだろうか。；加藤は本来ピンポンがそれほど好きではなかったが、いつの間にか選手にさせられていたのだ。；ピンポンの球ぐらいの大きさの白いものが、たくさん、正一君の頭の上に落ちてくるのです。；そればかりか、彼は毎日、三人の人間を相手に三つの球でピンポンをする訓練もしていたと対談者の一人は語っていた。；じゃきっと下でピンポンでもしてるんですわ。</t>
        </is>
      </c>
      <c r="J7264">
        <f>HYPERLINK("https://www.weblio.jp/content/ピンポン", "词义详情")</f>
        <v/>
      </c>
      <c r="K7264">
        <f>HYPERLINK("https://yourei.jp/ピンポン", "查看例句")</f>
        <v/>
      </c>
    </row>
    <row r="7265">
      <c r="A7265" t="inlineStr">
        <is>
          <t>ひんやり</t>
        </is>
      </c>
      <c r="B7265" t="inlineStr">
        <is>
          <t>成功</t>
        </is>
      </c>
      <c r="C7265" t="inlineStr">
        <is>
          <t>［副］(スル)冷たさを感じるさま。ひいやり。「—（と）した地下室」</t>
        </is>
      </c>
      <c r="D7265" t="inlineStr">
        <is>
          <t>ひんやりと冷たい(4%)；ひんやりと冷たく(2%)；ひんやりと乾い；ひんやりと涼しい；ひんやり冷たい</t>
        </is>
      </c>
      <c r="F7265" t="inlineStr">
        <is>
          <t>どこかひんやり；頬をひんやり；みたいにひんやり；暗くひんやり；ひんやりと薄暗い</t>
        </is>
      </c>
      <c r="H7265" t="n">
        <v>29</v>
      </c>
      <c r="I7265" t="inlineStr">
        <is>
          <t>六畳の部屋には、外の空気とは別の、ひんやりとした感じが籠っていた。；緊張のためか、ほんのすこしだけひんやりと汗に湿っているのがわかる。；後ずさりを続けていたぼくの背が、湯船の端のひんやりした石に触れた。；山の頂上の雪のあるあたりから、ひんやりする風が吹いてくるのでした。；ひんやりとした彼女の手が一瞬触れて、それだけで恭介はどきりとする。；それからは、故郷のヒースやヘザーやひんやりとした空気の香りがした。；私は炉の火もなくひんやりとした台所を通り、裏階段を降りていった。；焼いた土の塊に過ぎない、ひんやりした人形に心臓が存在するかのようだ。；外廊下もひんやりと涼しく、これだけの世帯があるのに人の気配がない。；洞窟の中の温度は十度ほどで、ひんやりしてはいたが寒くはなかった。；そんな不安を感じた時、ひんやりとした風が全身に吹きつけてきた。；誰もいない灰色の空間が、ひんやり濡れた紙のように顔にはりついた。；手を触れたら、本当にひんやりと冷たいのではないかと芹沢は思った。；瞳の光の量はとても多いし、鼻はひんやりとして、唇をつけると気持がいい。；指先がひんやりとした鉄に触れた時、自分が求めていたものがはっきりした。；彼女の表情はいつにも増して氷のようにひんやりとしていた。；ひんやりと冷たい霧が、片山の頬に触れたとき、彼は急に恐怖に襲われた。；やがて一行は地下道のはずれの、ひんやりした緑の陽光の中に出ました。；Tシャツとパンツだけで寝ていたせいか、肌はひんやり冷え切っている。；大気がひんやりし、沈んでゆく夕日が周囲を血のように赤く染めてゆく。；不思議な湿り気をおびた、ひんやりと冷たい夜の空気を、誰もが感じた。；耳にひんやりと粘りついてくるような、湿ったあの脅迫者の声であった。；奇妙な円筒は茂の手の中でひんやりと冷たい金属のはだをしていた。；暗い闇の中からひんやりとした空気が流れ出て、異様な臭いが鼻をついた。；外が温泉の蒸気で暑かったせいもあって、なかはいやにひんやりしていた。；底から、ひんやりとした微風が、吹きあがって来て、どぶの頬を打った。；肌に熱かった空気が、公園脇を走れば急にひんやりと肌に触れてきた。；家の中がひんやりしていて老人の妻らしい人はお茶を入れてくれた。；夏だが、列車の窓から入ってくる空気は、ひんやりと頬に快よかった。</t>
        </is>
      </c>
      <c r="J7265">
        <f>HYPERLINK("https://www.weblio.jp/content/ひんやり", "词义详情")</f>
        <v/>
      </c>
      <c r="K7265">
        <f>HYPERLINK("https://yourei.jp/ひんやり", "查看例句")</f>
        <v/>
      </c>
    </row>
    <row r="7266">
      <c r="A7266" t="inlineStr">
        <is>
          <t>府</t>
        </is>
      </c>
      <c r="B7266" t="inlineStr">
        <is>
          <t>成功</t>
        </is>
      </c>
      <c r="C7266" t="inlineStr">
        <is>
          <t>読み方：ふ
［音］フ（呉）（漢）
［学習漢字］4年
１書類や財宝をしまっておく庫。「府庫／御府(ぎょふ)・秘府」
２役人が集まって仕事をする所。役所。「楽府(がふ)・衙府(がふ)・開府・官府・国府・政府・幕府・総理府」
３みやこ。「参府・首府・出府・城府・水府・都府」
４物事の多く集まる所。「怨府(えんぷ)・学府」
５地方公共団体の一。「府警・府県・府立・府知事」</t>
        </is>
      </c>
      <c r="D7266" t="inlineStr">
        <is>
          <t>府省(2%)；府尹；府庫；府予選；府城</t>
        </is>
      </c>
      <c r="E7266" t="inlineStr">
        <is>
          <t>官；署；役所；司；官庁</t>
        </is>
      </c>
      <c r="F7266" t="inlineStr">
        <is>
          <t>帰府；カイヤツ府；日本府；丞相府；各府</t>
        </is>
      </c>
      <c r="G7266" t="inlineStr">
        <is>
          <t>府立；府県；府内；府道；府中市</t>
        </is>
      </c>
      <c r="H7266" t="n">
        <v>29</v>
      </c>
      <c r="I7266" t="inlineStr">
        <is>
          <t>この時期に政府の各府は存在せず、議会が最高権限をもって行動した。；旧市街地には木府と呼ばれる旧領主の政庁などが有料で公開されている。；高宗はこのことを大変に喜び、金法敏は太府卿の職を授かって帰国した。；広義では滋賀県を含めた2府4県を指す場合もあるが正式な規定は無い。；翌7日にはデモ隊が暴徒化して議会や大統領府を襲撃する事態に発展した。；これは睿宗の代に判尹と改称され、さらに建陽元年に府尹と改称された。；府域は全体がこれらの大都市圏に属しており、高度に都市化された地域が多い。；高昌を征服した唐はこの地に安西都護府を置いて西域経営の拠点とした。；この府兵軍団を率いるのが全体の統括者で丞相でもある宇文泰であった。；高句麗が府官制をもっとも早くに導入できたのには、そうした背景がある。；元代になると肇州万戸府が設置されたが、まもなく廃止されている。；すると班超はその府丞の成大を立てて新たな疏勒王とし、忠を攻撃した。；百官を設置すると、官号や府邸もまた君王に擬し、名称だけは区别した。；重号将軍は将軍府を開府し、さらに政治に関与することもあった。；主府はウェスト島であるが、最大の集落はホーム島のバンタム村である。；睿宗の時に大都護府に昇格し、高宗の時に牧に還元して朝鮮に継承した。；府の下にある三級政区である州の下に県が付くことはなかった。；蜀郡太守・興業将軍に昇進した後も、引き続き塩府の仕事を担当した。；それまでの朝鮮八道制を廃し、全国を23の府と337の郡に再編した。；明になると、蘇州府が置かれて以後は現在の蘇州という名称が固定化された。；改組により大阪府から独立し、府外での積極的な活動が可能となった。；陸上交通は上京府を中心に全国の京・府・州・県に放射状に道路が整備されていた。；英国の労働力の質や生産性の高さを誇りにしてきた英政府の失望は大きい。；なお、この論文は翌年『君府海峡通航制度史論』として出版されている。；官は左率府の長史になったことから張長史とも呼ばれた。；この安芸府坂は徒歩通学者も自転車通学者も全員登らなければならない。；キャリアの一般的な最高位は、各府省の官僚の最高位となる事務次官である。；その裁定は公正であると称賛され、丞相府に召されて主簿に任命された。；以下の府域放送2局は、比叡山の中腹に隣接して親局が置かれている。</t>
        </is>
      </c>
      <c r="J7266">
        <f>HYPERLINK("https://www.weblio.jp/content/府", "词义详情")</f>
        <v/>
      </c>
      <c r="K7266">
        <f>HYPERLINK("https://yourei.jp/府", "查看例句")</f>
        <v/>
      </c>
    </row>
    <row r="7267">
      <c r="A7267" t="inlineStr">
        <is>
          <t>負</t>
        </is>
      </c>
      <c r="B7267" t="inlineStr">
        <is>
          <t>成功</t>
        </is>
      </c>
      <c r="C7267" t="inlineStr">
        <is>
          <t>読み方：ふ
［音］フ（慣）　ブ（呉）　［訓］まける　まかす　おうおぶう
［学習漢字］3年
１物を背にのせる。「負荷・負笈(ふきゅう)」
２めんどうな物事を背負い込む。身にこうむる。「負債・負傷・負担」
３後ろだてとする。頼みとする。「誇負・自負・抱負」
４敵に背を見せて逃げる。まける。「勝負(しょうぶ)」
５数学で、零より小さい数。「負号・負数／正負」
［名のり］え・ひ・おい・ます
［難読］靫負(ゆげい・ゆぎえ)</t>
        </is>
      </c>
      <c r="D7267" t="inlineStr">
        <is>
          <t>負つて；負擔；負つた；負性微分抵抗；負へる</t>
        </is>
      </c>
      <c r="E7267" t="inlineStr">
        <is>
          <t>負け；敗北；敗戦；敗；黒星</t>
        </is>
      </c>
      <c r="F7267" t="inlineStr">
        <is>
          <t>正または負；大きな負；負性微分；負うた子；負の超らせん</t>
        </is>
      </c>
      <c r="G7267" t="inlineStr">
        <is>
          <t>負傷；負担；負う；負傷者；負い</t>
        </is>
      </c>
      <c r="H7267" t="n">
        <v>29</v>
      </c>
      <c r="I7267" t="inlineStr">
        <is>
          <t>負の符号であるのは高度が上昇すると圧力が減少することを表している。；この番号は常に整数で、正の値でも負の値でも良くねじれの向きによる。；単に符号あり整数を使っていないか、負値を回避したい場合に行われる。；一方、開発の負の側面であるエイジアンレアアース社事件が起きている。；この事件は現在も朝日新聞の負の歴史として取り上げられることがある。；しかし、彼の評価式は価格が負になることもありうるために非現実的であった。；が負のときは を今度は逆方向に伸び縮みさせることで同様に定める。；これらはいずれも負帯を付けて弾薬箱と同様に背負うことが可能であった。；本来は実際にこれを耕作していた負人側からの呼び名であると言われている。；負の生命の精霊力で活動しており、肉体のみ、霊体のみであるものもいる。；ある速度を与えたときの固有値の実部が、負であればその速度で安定となる。；電池ではギブズエネルギー変化が負の値を取る向きに起電力が発生する。；近年では負の微分抵抗を持つ材料や素子が研究レベルで多数発見されている。；通常は導通状態でOFFにするためには負の電圧を付加する必要がある。；力が移動方向とは逆側に向いている場合は仕事は負になる。；ミッチャーはまず、これら負の面を徹底的に改善して部隊環境を整えた。；都合上、語り手たちの性格も負の側面を強調したものとなっている。；PDB標準は通常よりの比率が高いため、の測定値は多くの場合負となる。；このような系では統計力学的に定義された温度が負の値を取る。；負のレベルは、平凡であるに加えてはっきり非生産的な環境を表す。；qの値が正にも負にもなるとき、q は不定値 二次形式であるという。；通常の抵抗が負の値を取りうるかについてはいくらかの混乱がある。；正の抵抗に電流が流れると電力を消費するが、負の抵抗は電力を発生する。；これを「多重集合は濃度が負の集合」と形式的に説明することができる。；ここでは、二進記数法を拡張して負の数を表す方法を四種類説明する。；大きな電力系統に接続し、滑りが負となるように外部から回転させる。；そのためマウスのクローディン15は細胞外表面領域が負に荷電される。；後にフランクリンの仲間が2つの状態を「正」と「負」と名付けている。；すなわち、 が となるのは が正のとき、 が となるのは が負のときである。</t>
        </is>
      </c>
      <c r="J7267">
        <f>HYPERLINK("https://www.weblio.jp/content/負", "词义详情")</f>
        <v/>
      </c>
      <c r="K7267">
        <f>HYPERLINK("https://yourei.jp/負", "查看例句")</f>
        <v/>
      </c>
    </row>
    <row r="7268">
      <c r="A7268" t="inlineStr">
        <is>
          <t>分</t>
        </is>
      </c>
      <c r="B7268" t="inlineStr">
        <is>
          <t>成功</t>
        </is>
      </c>
      <c r="C7268" t="inlineStr">
        <is>
          <t>読み方：ぶ
⇒ぶん</t>
        </is>
      </c>
      <c r="D7268" t="inlineStr">
        <is>
          <t>分後(3%)；分前；分以上；分利；分以内</t>
        </is>
      </c>
      <c r="E7268" t="inlineStr">
        <is>
          <t>時間；部分；パーツ</t>
        </is>
      </c>
      <c r="F7268" t="inlineStr">
        <is>
          <t>十分；数分；一分；三分；放送分</t>
        </is>
      </c>
      <c r="G7268" t="inlineStr">
        <is>
          <t>分野；分け；分布；分析；分かれ</t>
        </is>
      </c>
      <c r="H7268" t="n">
        <v>29</v>
      </c>
      <c r="I7268" t="inlineStr">
        <is>
          <t>本編映像に採用されたのは2回分で、落下の仕方などに違いがみられる。；上演時間は約220分で、タルコフスキーが関わった作品では最も長い。；寝室は自習室の廊下を挟んだ反対側にあり、3部屋分の学生を収容する。；偏差は平均的には標準偏差の分だけ離れていると考えることができる。；切り口を空気に数十分程度さらしておくと風味が強くなるといわれている。；分と言う時間の単位が市民の生活に現れたのは、鉄道の開通以降のことである。；ホームの西側には線路一本分の土地があり、飯能短絡線との合流用とされていた。；大人のカナダ人が一年で消費するチーズの2500人分の量に匹敵する。；しかしその分より小さい を適当に取ることで、 が成り立つようにできる。；定員に達するか入場時間になった時点で当日分の販売は打ち切られる。；進数体が 分体を含むための必要十分条件は が を割ることである。；もっと細かくなったものは四分戦、細分戦、コマ切れの競走と呼ばれる。；直感的には、波数は単位長さの直線に何波長分の波が入るかを表している。；放送スケジュールが決定しないまま全52話分の収録を済ませていた。；これに音量レジスタの値を掛けたものが1チャンネル分の出力である。；指定できる値は8ビットだが、実際には下位5ビット分しか使われない。；JRの駅舎とは直接つながっておらず、両駅間は徒歩で数分を要する。；微積分などの計算が簡単になるため、数学などの理論分野で用いられることが多い。；一部の上り列車は久保田駅にて時間調整のため数分停車するダイヤとなっている。；東京制作分はSFものを重視していたのに対し名古屋制作分は原作ものを重視していた。；座席は指定されないが、定員分以上の発売を行わないので着席は保証されていた。；これは、約1000人分の座席数で、登場以来最混雑列車に使用されていた。；この増刊掲載の分は、本誌のエピソード数にはカウントされていない。；また死んだ兄の分とあわせて二人分の知恵と身体を持つようにとの願いもこめられている。；本導入分より、車両番号の付番がハイフンを用いた方式に変更された。；後に3万石の内、1万石分が加増編入されたため葛野藩は4万石となった。；古代ローマには、2歩分の長さに相当するパッススという単位があった。；この2駅間には現在の駒場東大前駅のホームの長さ分程度しか駅間距離がなかった。；米の品種や、目指す酒質によって、浸漬時間も数分から数時間と幅広い。</t>
        </is>
      </c>
      <c r="J7268">
        <f>HYPERLINK("https://www.weblio.jp/content/分", "词义详情")</f>
        <v/>
      </c>
      <c r="K7268">
        <f>HYPERLINK("https://yourei.jp/分", "查看例句")</f>
        <v/>
      </c>
    </row>
    <row r="7269">
      <c r="A7269" t="inlineStr">
        <is>
          <t>不～</t>
        </is>
      </c>
      <c r="B7269" t="inlineStr">
        <is>
          <t>成功</t>
        </is>
      </c>
      <c r="C7269" t="inlineStr">
        <is>
          <t>読み方：ふ
［音］フ（呉）ブ（慣）　［訓］ず
［学習漢字］4年
〈フ〉
１否定を表す語。…しない。…でない。「不安・不意・不可・不快・不義・不吉・不朽・不幸・不在・不実・不順・不信・不振・不正・不足・不当・不動・不能・不備・不便・不法・不満・不明・不用・不利・不良」
２よくない。悪い。「不運・不況・不作・不調・不猟」
〈ブ〉に同じ。「不精(ぶしょう)・不粋」
［難読］不拘(かかわらず)・不如(しかず)・不知不識(しらずしらず)・不知火(しらぬい)・不束(ふつつか)・不如帰(ほととぎす)・不味(まず)い・不見転(みずてん)</t>
        </is>
      </c>
      <c r="H7269" t="n">
        <v>0</v>
      </c>
      <c r="J7269">
        <f>HYPERLINK("https://www.weblio.jp/content/不～", "词义详情")</f>
        <v/>
      </c>
      <c r="K7269">
        <f>HYPERLINK("https://yourei.jp/不～", "查看例句")</f>
        <v/>
      </c>
    </row>
    <row r="7270">
      <c r="A7270" t="inlineStr">
        <is>
          <t>無愛想</t>
        </is>
      </c>
      <c r="B7270" t="inlineStr">
        <is>
          <t>成功</t>
        </is>
      </c>
      <c r="C7270" t="inlineStr">
        <is>
          <t>読み方：ぶあいそう
［名・形動］愛想のないこと。そっけなくつっけんどんなこと。また、そのさま。ぶあいそ。「—な返事」「—な奴」</t>
        </is>
      </c>
      <c r="D7270" t="inlineStr">
        <is>
          <t>無愛想な顔(3%)；無愛想な態度(2%)；無愛想な声；無愛想な男；無愛想な表情</t>
        </is>
      </c>
      <c r="E7270" t="inlineStr">
        <is>
          <t>冷たい；寒い；冷淡；冷ややか；冷やか</t>
        </is>
      </c>
      <c r="F7270" t="inlineStr">
        <is>
          <t>ひどく無愛想；無愛想な奴；無愛想な運転手；無愛想な口調</t>
        </is>
      </c>
      <c r="H7270" t="n">
        <v>29</v>
      </c>
      <c r="I7270" t="inlineStr">
        <is>
          <t>私も無愛想な顔でじっと新らしい継母となる人の顔を見て居た様である。；声の主は主でそんな彼女の態度を無愛想とも不遜とも思わない様だった。；しかし実際はそのようなものではなく心の中は常に無愛想で乾いていた。；僕が手がけた写真は、なるほどたいていぶあいそうな表情をしています。；正面の壁についた無愛想な黒い木扉を、老人は別に出した鍵で開けた。；あんたはぶあいそうな言葉で、上演に協力することをことわったんだわ。；決して無愛想な調子ではないが、気の利いた世俗的な感じでは更にない。；頼んで写真をとりに来たくせに、蓮杖はどこか無愛想で黙りがちである。；しかもその口調は徐々に無愛想になり、やがてぞんざいになっていった。；彼女が無愛想なのはいつものことだが、今日はひときわ不機嫌に見えた。；「そいつはどこん所が悪いんです」 突然また君の無愛想な声がした。；お浪は涙を流して源太に感謝するが、十兵衛は無愛想にその提案を断る。；最初に受け取った冷淡な無愛想な手紙は、彼に苦しみを与えたはずだった。；僕のちょっとした無愛想などに腹を立てるような馬鹿な君ではないと思う。；それに今晩とはあまり御無愛想なことになりませんかと私たちは存じます。；東京に着いた大海からの電話だと思い「もしもし」と無愛想な声で出た。；極く無愛想な無口な五十ばかりの痩せた女も黙って炬燵にあたっていた。；疑いもなく彼は、この愛すべき旅籠屋の無愛想な主人にちがいなかった。；しかしこの手紙にはただの無愛想というだけでなくそれ以上の物があるような気がした。；彼が発見した唯一の欠点は、この男が土人に対して無愛想なことだった。；もつと無愛想な返事をするのが、あたり前だつたと気がついたのです。；自分は魅力がないというので、一層、無愛想になってしまっていたんですよ。；あんな無愛想な人があれだけはやるのはやはり技術があるからだと思いました。；髪を赤と金に染めた若者が、無愛想な顔でカウンター脇に立っていた。；世の中には無愛想な人間もあるものだが、あんなのはありません。；無愛想で、怠け者で、たぶん無能なやつだろうとしか思っていなかった。；それから今朝の電話に無愛想な声を出して感じ悪い女だと思われなかったかしら。；無愛想な老爺がその注文を受けて、微かに顔をほころばせたようだった。；無愛想でお高くとまったやつだと、みんなの目には映ったかもしれない。</t>
        </is>
      </c>
      <c r="J7270">
        <f>HYPERLINK("https://www.weblio.jp/content/無愛想", "词义详情")</f>
        <v/>
      </c>
      <c r="K7270">
        <f>HYPERLINK("https://yourei.jp/無愛想", "查看例句")</f>
        <v/>
      </c>
    </row>
    <row r="7271">
      <c r="A7271" t="inlineStr">
        <is>
          <t>不安</t>
        </is>
      </c>
      <c r="B7271" t="inlineStr">
        <is>
          <t>成功</t>
        </is>
      </c>
      <c r="C7271" t="inlineStr">
        <is>
          <t>読み方：ふあん
［名・形動］気がかりで落ち着かないこと。心配なこと。また、そのさま。「—を抱く」「—に襲われる」「—な毎日」「夜道は—だ」
[派生]ふあんがる［動ラ五］ふあんげ［形動］</t>
        </is>
      </c>
      <c r="D7271" t="inlineStr">
        <is>
          <t>不安そう(5%)；不安視；不安な気持ち；不安な思い；不安がら</t>
        </is>
      </c>
      <c r="E7271" t="inlineStr">
        <is>
          <t>心配；恐れ；混乱；興奮；危険な</t>
        </is>
      </c>
      <c r="F7271" t="inlineStr">
        <is>
          <t>脚部不安；ひどく不安；大きな不安；強い不安；かすかな不安</t>
        </is>
      </c>
      <c r="G7271" t="inlineStr">
        <is>
          <t>不安感；不安定性；不安障害；不安要素；不安の種</t>
        </is>
      </c>
      <c r="H7271" t="n">
        <v>29</v>
      </c>
      <c r="I7271" t="inlineStr">
        <is>
          <t>見知らぬ地のアメリカに渡った事で不安になった等と言われている。；しかも国際関係の緊張が高まってリン鉱石の輸入に不安材料が出てきた。；たとえば、明日雨が降るかどうか分からない場合は、不安な状況である。；しかしながらこの話を聞いたオイディプースはかえって不安に陥った。；将来の不安から酒の量が増えていたのが原因とされている。；また日常の不安を形にしたような寓意的な作品も得意とする。；また、悩みや不安を度々一人で抱え込み、自分だけで解決しようとする。；これら全ての運転操作を運転士だけに任せるのでは安全性に不安が考えられる。；さすれば外交方針が一定し人心の不安は自然と鎮静することができる。；余りの変貌ぶりから健康不安が囁かれたが、この時はあくまで否定していた。；しかし、実質的な支配者は綱房であり、高照は不安を抱いていたという。；母は家庭内で初等教育を教えたが、キリスト教教育の面で不安を感じていた。；しかし運命は幸か不幸か彼にかう云ふ安らかな晩年を与へてくれなかつた。；以後、原爆症の不安を抱えながら死を意識し、生を見つめた作品を発表した。；成宗の時代に再び派遣が計画されたが、日本の政情不安のため延期となる。；将来への不安を感じてジャーナリストになることを決めて入社1年で上京。；不安になったレオポルトは立候補を断念し、国王もそれに承諾を与えた。；アラファートには、軟禁状態となったころから健康不安の噂があった。；結局そのあとは活躍したものの、ファイナルを前に不安を残した。；不安の中で向かったが実際には7500人が待機しており結果は1位であった。；日常的な習慣を邪魔されると強い不安を感じる。；男女間の愛の不毛、社会に生きる人間の不安や孤独などを描いた作品が多い。；現場ではぎりぎりまで藤岡が現れるのを待っており、不安な中で演じたという。；部屋を貸した男が10日間も部屋から出てこず、姿を見せないので不安だという。；インディの不安は幼いころに母親を失ったことに由来する。；は左足に不安を抱えたまま開幕を迎え、前年同様の打撃不振に苦しむ。；極度の不安・疲れなどがあれば、性感を得られにくくなる場合が多い。；不安時に用いることができる呼吸法についても教示しておくことが望ましい。；これらの患者では、不安の初めの増加は離脱期に生じ、不安症状の停止がその後に続いた。</t>
        </is>
      </c>
      <c r="J7271">
        <f>HYPERLINK("https://www.weblio.jp/content/不安", "词义详情")</f>
        <v/>
      </c>
      <c r="K7271">
        <f>HYPERLINK("https://yourei.jp/不安", "查看例句")</f>
        <v/>
      </c>
    </row>
    <row r="7272">
      <c r="A7272" t="inlineStr">
        <is>
          <t>不安定</t>
        </is>
      </c>
      <c r="B7272" t="inlineStr">
        <is>
          <t>成功</t>
        </is>
      </c>
      <c r="C7272" t="inlineStr">
        <is>
          <t>読み方：ふあんてい
［名・形動］安定しないこと。状態が一定していないこと。また、そのさま。「収入が—だ」「—な政権」「大気の状態が—です」</t>
        </is>
      </c>
      <c r="D7272" t="inlineStr">
        <is>
          <t>不安定化(5%)；不安定な状態(4%)；不安定な状況；不安定な投球；不安定な時期</t>
        </is>
      </c>
      <c r="E7272" t="inlineStr">
        <is>
          <t>疑問；疑い；疑惑；疑念；疑</t>
        </is>
      </c>
      <c r="F7272" t="inlineStr">
        <is>
          <t>政情不安定；ひどく不安定；精神的不安定；不安定イリド；不安定な社会情勢</t>
        </is>
      </c>
      <c r="G7272" t="inlineStr">
        <is>
          <t>不安定感；不安定帯；不安定核；不安定狭心症；不安定の弧</t>
        </is>
      </c>
      <c r="H7272" t="n">
        <v>29</v>
      </c>
      <c r="I7272" t="inlineStr">
        <is>
          <t>ブランドは出演した複数の舞台で不安定で反抗的なパターンを確立した。；建っているのが不思議なくらい不安定な建物といわれるグーフィーの家。；この場合のように説明変数間の相関が高いと係数が不安定になりやすい。；しかし、政治的な理由で輸出ができなくなるなど不安定な要素も含んでいる。；空気中で不安定な物質であるため、研究もまた不活性雰囲気下で行われる。；後述のように身体尺を起源とする単位ともいわれており基準は不安定であった。；そのころの尾崎は異常なほどに精神状態が不安定な日々を送っていた。；続いて大量の資金をロシアの革命家に提供してロシアを不安定にしようとした。；こうして開業した豊川鉄道であったが経営は非常に不安定であった。；彗星は一般的に摂動やガス放出の影響を受けるので軌道は不安定である。；タロナスはまったく信用されておらず、ルーブルは非常に不安定だった。；しかしながら、発酵中の温度が高いとワインの出来は不安定になった。；初期のモデルではシステムが不安定であるとの評判もあった。；しかし盂方の離反と鎮圧などで国力が不安定になったと見る研究もある。；こういった意図しない出力が動作を不安定にすることがある。；ケンタウルス族の軌道は不安定であり、力学的な寿命は数百万年である。；ポーランドの解読法は不安定なもので、ドイツ側がいつでも変更可能だった。；こうした都市に不安定な状況は、外来の独裁者による支配に道を開いた。；かつては電力も水道も供給が不安定で、停電や断水が頻繁に起きていた。；王位に就いたエドワード4世であったが、成立した政権は不安定であった。；の間の場合は円軌道は不安定となり、 の場合は円軌道は存在しない。；これは軌道周期に比べ非常に長い時間スケールでの軌道の不安定化を導く。；この不安定さを国民統合が成功していないことに求める言説は多い。；歴史から判断して、フレキシブルであることは不安定ということではない。；人体と精神の不安定さを解決するために導入された操縦インターフェイス。；戦国時代に入り世の中が不安定になると社勢は徐々に衰退する。；一方、多くのがん細胞では染色体が不安定になっていることも知られている。；しかし漢の光武帝は国内の不安定を理由に積極的な介入に出る事はなかった。；生成された重い核種の多くは不安定で、すぐに崩壊して軽い核種へと移行する。</t>
        </is>
      </c>
      <c r="J7272">
        <f>HYPERLINK("https://www.weblio.jp/content/不安定", "词义详情")</f>
        <v/>
      </c>
      <c r="K7272">
        <f>HYPERLINK("https://yourei.jp/不安定", "查看例句")</f>
        <v/>
      </c>
    </row>
    <row r="7273">
      <c r="A7273" t="inlineStr">
        <is>
          <t>不案内</t>
        </is>
      </c>
      <c r="B7273" t="inlineStr">
        <is>
          <t>成功</t>
        </is>
      </c>
      <c r="C7273" t="inlineStr">
        <is>
          <t>読み方：ふあんない
［名・形動］
１細かいようすや事情がよくわからないこと。また、そのさま。「—な土地」
２その方面の心得があまりないこと。また、そのさま。「株にはまったく—です」</t>
        </is>
      </c>
      <c r="D7273" t="inlineStr">
        <is>
          <t>不案内である(8%)；不案内な土地(3%)；不案内なわたし；不案内な人間</t>
        </is>
      </c>
      <c r="E7273" t="inlineStr">
        <is>
          <t>不明；無知；無学；未経験；無明</t>
        </is>
      </c>
      <c r="F7273" t="inlineStr">
        <is>
          <t>地理不案内；全く不案内；まったく不案内</t>
        </is>
      </c>
      <c r="H7273" t="n">
        <v>29</v>
      </c>
      <c r="I7273" t="inlineStr">
        <is>
          <t>わたしはずいぶん長いこと外に出ていたのでそういうことは不案内でね。；この辺に不案内な江利子は車の窓からこの白い塀が流れてくるのを見ていた。；ペルシダーには不案内だし、プートラ以外には知っているところもない。；土地不案内な博士はある日日本の留学生を一人連れて散歩へ出た。；彼らは疲れており地域に不案内だったのでグラブトンの東の尾根で停止した。；不案内な大都会を一日歩き回ったことで、二人とも相当に疲れている。；しかも鬼怒川峽谷の昔の林道はどうつけてあるか、全く不案内であつた。；その地域は不案内であり、リークは適当な地図を持っていなかった。；江戸に生まれ育った波切八郎だが、この辺りには、まったくの不案内なのだ。；このへんの土地には不案内でいらっしゃると思っていましたが。；しかし実際問題として私は、シレット市から先の道にはまるで不案内だ。；ここが、江戸の町なら、逃げることも出来るだろうが、土地不案内の山の中だ。；この国は不案内で困っているのだが、どうかお見知りおき願いたいのじゃ。；傭ったバスの運転手はロンドンからで、エディンバラ市内は不案内の様子。；尤も私は茶の方は不案内であるから、それで紅茶や牛乳を飲んでいる。；それが長くいた私たちと違って土地不案内でしょう。；土地不案内な彼女が、わざわざ反対方向へ流れる車を拾うために橋を渡るはずがない。；ぼくはそのへんは不案内ですが、それがどうかしましたか?；不案内な内容をひねくれた文章で書いてある上に、少しも気乗りがしなかった。；私は、隠岐の蒸気船を除けば、そんな拷問のような道具には不案内です。；むろん不案内の土地だからどこへ出るかわからない。；ジョーンズはその作戦会議に出席した艦長達の多くとは異なり、その地域の海には不案内だった。；今日ではこれを統一している意味についてお尋ねしても、不案内な人がほとんど。；咽喉も渇いて、この先不案内な森の中を一人で潜りぬける自信もない。；北海道から上京したばかりで、姉は東京が不案内だった。；僕は不案内な土地に一人ぽつねんとして、全く途方にくれてしまった。；異国の地理に不案内なアルビオン軍のために、斥候隊に派遣されるって!；じつのところ、彼らは自分たちがこれからすることについてまったく不案内だった。；このあたりには不案内なものですから、と男は言った。</t>
        </is>
      </c>
      <c r="J7273">
        <f>HYPERLINK("https://www.weblio.jp/content/不案内", "词义详情")</f>
        <v/>
      </c>
      <c r="K7273">
        <f>HYPERLINK("https://yourei.jp/不案内", "查看例句")</f>
        <v/>
      </c>
    </row>
    <row r="7274">
      <c r="A7274" t="inlineStr">
        <is>
          <t>不意</t>
        </is>
      </c>
      <c r="B7274" t="inlineStr">
        <is>
          <t>成功</t>
        </is>
      </c>
      <c r="C7274" t="inlineStr">
        <is>
          <t>読み方：ふい
［名・形動］思いがけないこと。突然であること。また、そのさま。だしぬけ。「—の出来事」「—に現れる」
→突然［用法］</t>
        </is>
      </c>
      <c r="D7274" t="inlineStr">
        <is>
          <t>不意撃ち；不意にやん；不意うちに；不意ににやりと；不意ニ</t>
        </is>
      </c>
      <c r="E7274" t="inlineStr">
        <is>
          <t>急；突然；意外；異様；急激</t>
        </is>
      </c>
      <c r="G7274" t="inlineStr">
        <is>
          <t>不意討ち；不意打；不意討</t>
        </is>
      </c>
      <c r="H7274" t="n">
        <v>29</v>
      </c>
      <c r="I7274" t="inlineStr">
        <is>
          <t>しかしそこに彼は不意な出来事を見いだして思わず足をとめてしまった。；不意におのおのの体内で何か重い塊りがどしんと落ちたような気がした。；彼が、新聞を買っているとき、不意にうしろから抱きついた者があった。；つまり、一人ずつ不意を突かれて殺害されたものと判断していたのである。；これはさ程痛かったためではないが、余り不意であったために泣いたのだ。；すると、それから三日を過ぎないうちに、その侍は不意に死んでしまった。；と云ふ意味は資料の精を完全に掌握することが必要だと云ふ意味である。；もしや彼がその朝鮮の子供ではないかという考が不意に浮んで来たのは。；この不意の感情の裏切りにはしかし引き入れられるような誘惑があった。；ただし、不意に近づくと驚いて人間を襲う恐れがあるので危険である。；さう云ふ意味で、まづ三千代の頭のよさに感心せずにはゐられなかつた。；あの男だって、偶の楽しみであって見ればフイにされたくもなかろうさ。；不意のことであったため小楠は床の間に置いた大小を手に取れなかった。；かへで それぢやと云うて不意のいくさに、姉樣はなんとなされうか。；不意に私達の面前へ大猩々が姿を現わした時には恐怖のために足を止めた。；一人で行けと云つたのは、勝手にしろと云ふ意味ぢやなかつたんです。；浩は不意に眠気が覚め、顔を起こしてその学生の方を見ると隼人だった。；全員で協力することで安全を確保したように見えることで、物語は不意に終わる。；人生もまたこれと同じ様に、多くの人の生活には不意の出来事の方が多いのである。；彼は神出鬼没で、現れたと思いきや、すぐまた不意にいなくなってしまう。；あまりの不意うちに、ものをいうこともできないほど、びっくりしたのです。；三島の屋敷から不意に暇を出されたのも、こういう不埓があるからだ。；食堂で不意の質問に辟易した外交官補などは第一の連絡の綱となった。；不意に装飾灯の灯が消えて、色と光と音が、一時に暗黒の中へ没し去った。；それに対してバルヂピエロの取つた手段にはどう云ふ意味があつたのか。；あとの敵は、不意をくらい、その場に重なりあって両手をつきました。；邸内はとても静かだったので、玄関ベルが不意に鳴り響いたとき驚いた。；貴い紙を一枚でもおろそかにしてはすまないと云ふ意を込めたのである。；不意に頭を上げ下げしたり、ぎくしゃくしたりする動きは醜いとされる。</t>
        </is>
      </c>
      <c r="J7274">
        <f>HYPERLINK("https://www.weblio.jp/content/不意", "词义详情")</f>
        <v/>
      </c>
      <c r="K7274">
        <f>HYPERLINK("https://yourei.jp/不意", "查看例句")</f>
        <v/>
      </c>
    </row>
    <row r="7275">
      <c r="A7275" t="inlineStr">
        <is>
          <t>封</t>
        </is>
      </c>
      <c r="B7275" t="inlineStr">
        <is>
          <t>成功</t>
        </is>
      </c>
      <c r="C7275" t="inlineStr">
        <is>
          <t>読み方：ふ
１「封戸(ふこ)」に同じ。
２「ふう（封）1」に同じ。
「—ヲツクル」〈日葡〉</t>
        </is>
      </c>
      <c r="D7275" t="inlineStr">
        <is>
          <t>封絶(3%)；封臣(3%)；封国；封止；封傑</t>
        </is>
      </c>
      <c r="E7275" t="inlineStr">
        <is>
          <t>印；判；シール；印形；判子</t>
        </is>
      </c>
      <c r="F7275" t="inlineStr">
        <is>
          <t>改封；追封；襲封；一封；進封</t>
        </is>
      </c>
      <c r="G7275" t="inlineStr">
        <is>
          <t>封筒；封印；封鎖；封入；封建</t>
        </is>
      </c>
      <c r="H7275" t="n">
        <v>29</v>
      </c>
      <c r="I7275" t="inlineStr">
        <is>
          <t>この風習は中世まで続き、王侯貴族が同様の方法で文書の封をしている。；反乱の平定や朝鮮での功績から明朝廷はその遺族に対して封贈を行った。；ある日、少年・綾史は蔵の中にある謎の箱の封を切って開けてしまう。；大宝元年7月21日に食封の4分の1を子孫に伝えることが決められた。；包封せず裸のまま献上・贈答用として使用できたのは大判のみであった。；最終検査に合格した小判は百両単位で包封金とし勘定所に上納された。；また、これよりも小規模な有封寺・諸寺と言った寺院も存在した。；ここに至って残るは斉彬本人のみとなり、襲封は絶望的であるかに見えた。；この大幅な増封は明らかに毛利家への押さえとしての配置と考えられている。；司馬倫一派はみな列卿や諸中郎将に任じられ、封賞を多数与えられた。；最大は一県であり、封領の官府の長官は領主が任免することができる。；しかし封邑は関内侯と列侯のみの話であって、それ以下には封邑は無い。；その後1603年に島津以久が3万石を領して入封、以後明治まで領した。；ブートベルトは王の封臣で、その勢力下に村を造ることを許されたのだった。；封筒の封止めなど、用途が直線的な利用に限定される事務作業には向いている。；Aボタンを押すと、キャラクターの向いている方向に魔封球を作り出す。；その後、カイリが放つ強者怨を吸収したことで再び封念を破り復活した。；封士何百人の間に一人存在するかしないか。；その後、軍を撤退させると、封丘に城を築いてから帰還した。；ヴァーズの施した封は緩み、この世界に神が再び現れる時が近づいた。；同年に建てられた封禅国山碑と建碑事情が同じであり、両碑は兄弟関係にある。；両面テープは、紙などを止めるためや封筒に封をするためなどに使われる。；そのためアカデミー賞の封をした封筒を使う有名なシステムが採用されるようになった。；元和6年に宗茂が柳河藩に再封されると再び宗茂に仕えて柳河藩士となる。；直盛は入封途中に病死したため、実質的に西条藩を成立させた人物である。；十両昇進後の初任給は給料袋の封も開けずにそのまま小包で大分の母に送った。；小諸入封後に分家の分出を行い150石から120石に減石となった。；その代わりにメッセージカードを寄せたが、封を開けずに棺に入れられたため内容は明らかにされていない。；DSのタッチスクリーンを利用した魔封陣などの新要素も加わった。</t>
        </is>
      </c>
      <c r="J7275">
        <f>HYPERLINK("https://www.weblio.jp/content/封", "词义详情")</f>
        <v/>
      </c>
      <c r="K7275">
        <f>HYPERLINK("https://yourei.jp/封", "查看例句")</f>
        <v/>
      </c>
    </row>
    <row r="7276">
      <c r="A7276" t="inlineStr">
        <is>
          <t>風景</t>
        </is>
      </c>
      <c r="B7276" t="inlineStr">
        <is>
          <t>成功</t>
        </is>
      </c>
      <c r="C7276" t="inlineStr">
        <is>
          <t>読み方：ふうけい
１目に映る広い範囲のながめ。景色。風光。「山岳—」
２ある場面の情景・ありさま。「ほほえましい親子の—」「新春—」</t>
        </is>
      </c>
      <c r="D7276" t="inlineStr">
        <is>
          <t>風景画；風景区；風景庭園；風景名勝区；風景そのもの</t>
        </is>
      </c>
      <c r="E7276" t="inlineStr">
        <is>
          <t>所；場；舞台；眺め；背景</t>
        </is>
      </c>
      <c r="F7276" t="inlineStr">
        <is>
          <t>美しい風景；練習風景；日常風景；撮影風景；農村風景</t>
        </is>
      </c>
      <c r="G7276" t="inlineStr">
        <is>
          <t>風景画家；風景写真；風景描写；風景式庭園；風景映像</t>
        </is>
      </c>
      <c r="H7276" t="n">
        <v>29</v>
      </c>
      <c r="I7276" t="inlineStr">
        <is>
          <t>そのためか担当作では現代的な都市部の風景を多分に描いている。；必然的にそこでビルのテーマが終り、風景へと向かうようになりました。；リプレイとはテーブルトークRPGのプレイ風景を記録したものである。；また、以前の作品と風景の連続性を維持するためにとでの撮影が復活した。；現在でも田園風景が多く残っており、市内でも農業が盛んな区の一である。；基本的には新幹線と停車駅周辺の観光地や風景などを入れたものである。；主題として風景を扱うことは明らかに非古典的で、ありえないことだった。；塩釜の風景を模すための塩は、難波の海の北の塩を運んだと伝えられる。；その素材も、自然のドラマ性からオランダの静かな風景へとなった。；初期には風景、樹木などを描いていたが、やがて完全な抽象へ移行する。；芸術肌でもあり、人や風景を絵に描いたり演劇にも積極的に参加したりしている。；観光の町としても知られ、旧港の風景は印象派の絵画の題材ともなった。；絵の購入者には、自分は風景を売ったが人物はおまけだと言っていた。；冬季には晴天時に冠雪した日光連山の風景を湖越しに見ることも出来る。；近隣駅とは全く違う風景が広がっているのが特徴的である。；それにより空港数が大幅に増加したが、空港の風景は殺風景なままだった。；その本来の姿は、マテウス・メーリアンの風景版画に見ることができる。；それ以外の日には、練習風景などを取材したアナウンサーがスタジオに登場した。；高校の時代には「工場のある赤い風景」のような作品を描いている。；その結果、彼の作品の大部分は風景を題材としたものとなった。；建築本体を地中に埋めた作品など、風景や環境に配慮した建築が多い。；その後鳩の糞害が深刻化したため、公園での鳩の餌やり風景が減少した。；本番組の舞台となる宮城県仙台市の風景や様子を取り上げている。；そこは降雨も少なく様々な風景があったため映画製作にも適していた。；付近も住宅が密集していないので武蔵野ののどかな風景が残っている。；鎌倉時代になると、実際の松島の風景について記述する文献が登場する。；背景にはうっすらとした凍てついた山並みなど広大な風景が描かれている。；小学生時代にスピードスケートをやっていたので、その風景も出しました。；作者自身も頻繁に母校の野球部を訪れ、練習の風景などを長期取材している。</t>
        </is>
      </c>
      <c r="J7276">
        <f>HYPERLINK("https://www.weblio.jp/content/風景", "词义详情")</f>
        <v/>
      </c>
      <c r="K7276">
        <f>HYPERLINK("https://yourei.jp/風景", "查看例句")</f>
        <v/>
      </c>
    </row>
    <row r="7277">
      <c r="A7277" t="inlineStr">
        <is>
          <t>封鎖</t>
        </is>
      </c>
      <c r="B7277" t="inlineStr">
        <is>
          <t>成功</t>
        </is>
      </c>
      <c r="C7277" t="inlineStr">
        <is>
          <t>読み方：ふうさ
［名］(スル)
１出入りまたは出し入れをできないように封じ閉ざすこと。「出入り口を—する」「国境—」
２国際法で、海軍力によって相手国の港や海岸への海上交通を遮断すること。平時封鎖と戦時封鎖とがあり、前者は封鎖された国の船舶のみが捕獲の対象となる。後者はすべての国の船舶の交通を遮断するもので、経済力・軍事力の封じ込めを目的として行われる。</t>
        </is>
      </c>
      <c r="D7277" t="inlineStr">
        <is>
          <t>封鎖する(8%)；封鎖線；封鎖解除；封鎖戦隊；封鎖地区</t>
        </is>
      </c>
      <c r="E7277" t="inlineStr">
        <is>
          <t>閉鎖；包囲；邪魔；ブロック；阻止</t>
        </is>
      </c>
      <c r="F7277" t="inlineStr">
        <is>
          <t>道路封鎖；海上封鎖；機雷封鎖；完全封鎖；無線封鎖</t>
        </is>
      </c>
      <c r="G7277" t="inlineStr">
        <is>
          <t>封鎖艦；封鎖作戦；封鎖線突破章；封鎖経済</t>
        </is>
      </c>
      <c r="H7277" t="n">
        <v>29</v>
      </c>
      <c r="I7277" t="inlineStr">
        <is>
          <t>その際には街自体が完全封鎖され、誰一人中に入る事が出来なかった。；そこへ突然ショットガンを持った男が現れ、店を封鎖するように命じた。；またこの広場に入るための道路はアメリカ軍の戦車により封鎖されていた。；約60年利用されてきたこの橋は、新しい橋ができると同時に封鎖された。；この作品では、大阪府庁前の上町筋を封鎖して撮影を行う必要があった。；イスラエルが容易にパレスチナ人の交通を封鎖できるようになっている。；入ることができる墓もわずかにあるが、それらのほとんどは封鎖されている。；これに対しナポレオンは封鎖令の継続を求めたが、ロシアはこれを拒否。；林は学長室自体を封鎖されたバリケード内に移したいとさえ主張した。；有人駅であったが、現在は無人駅であり、駅舎も通常は封鎖されている。；冬期には道そのものが封鎖になる時期もあるので注意が必要である。；しかし、イングランド側もまた、封鎖を断念しなければならなくなった。；これは道路を戦時封鎖した状況を示す遺構として初の検出事例となった。；旧トンネルは現トンネルの西側に残されているが、封鎖されていて通れない。；主人公たちは封鎖された街から無事に帰還できるのだろうか。；また、湾口は封鎖されていたため逃亡することなく全滅することとなった。；オランダは封鎖を解除したが、説得されて再びデンマークに肩入れした。；国王軍の小型船舶がイギリス艦隊の封鎖を潜り抜けて町への補給を行った。；日本では公道を封鎖できないため、完全に閉ざしていない場所もある。；東ベルリンに通じていたこの駅の反対側の出入口は、完全に封鎖されていた。；これらの権利のうち最も重要なのは敵国の艦隊や港の封鎖を政府が宣言する権利である。；川の渡河点の確保には失敗し、コタンタン半島の封鎖の遅れにつながった。；日本海軍は旧式艦を中心とした第2艦隊を展開して青島を海上封鎖した。；彼のチームは発射直前に発射台周辺を封鎖する作業も担当した。；三次にわたって行われたがいずれも旅順港を十分封鎖するに至らなかった。；これに対抗してポーランド国境警察は国境を封鎖してユダヤ人の受け入れを拒否した。；一方、地方においては一般強盗に加えて、道路封鎖強盗が発生している。；アントワープ港の封鎖への対応は9月いっぱい何も行われなかった。；この動きは西インド諸島との貿易を封鎖する作戦の一部だった。</t>
        </is>
      </c>
      <c r="J7277">
        <f>HYPERLINK("https://www.weblio.jp/content/封鎖", "词义详情")</f>
        <v/>
      </c>
      <c r="K7277">
        <f>HYPERLINK("https://yourei.jp/封鎖", "查看例句")</f>
        <v/>
      </c>
    </row>
    <row r="7278">
      <c r="A7278" t="inlineStr">
        <is>
          <t>風車</t>
        </is>
      </c>
      <c r="B7278" t="inlineStr">
        <is>
          <t>成功</t>
        </is>
      </c>
      <c r="C7278" t="inlineStr">
        <is>
          <t>読み方：かざぐるま
１「ふうしゃ（風車）」に同じ。
２ビニール・色紙などで小さな羽根車のように作って柄をつけ、風が吹くと回るようにした子供のおもちゃ。《季春》「廻らぬは魂ぬけし—／虚子」
３キンポウゲ科の落葉性の蔓植物(つるしょくぶつ)。林縁などに生え、葉は卵形の小葉からなる複葉。5、6月ごろ、白または淡紫色の花びら状の萼(がく)を8枚もつ2に似た形の花が咲く。《季夏》
４紋所の名。2をかたどったもの。</t>
        </is>
      </c>
      <c r="D7278" t="inlineStr">
        <is>
          <t>風車小屋(11%)；風車型；風車騒音；風車街道；風車みたい</t>
        </is>
      </c>
      <c r="E7278" t="inlineStr">
        <is>
          <t>風車小屋；風力タービン；ウィンドミル；ウインドミル；風ぐるま</t>
        </is>
      </c>
      <c r="F7278" t="inlineStr">
        <is>
          <t>オランダ風車；巨大な風車；大きな風車；型風車；古い風車</t>
        </is>
      </c>
      <c r="G7278" t="inlineStr">
        <is>
          <t>風車群；風車小屋だより；風車小屋のシンフォニー；風車小屋便り；風車戦法</t>
        </is>
      </c>
      <c r="H7278" t="n">
        <v>29</v>
      </c>
      <c r="I7278" t="inlineStr">
        <is>
          <t>私の風車小屋の前を通りかかってそのふざけた奴はこう思ったのだろう。；遺体はグリーンの風車の近くにある聖ステファン教会墓地に埋葬された。；あのときわたしは、風車小屋のまわりを離れるべきではなかったのです。；わたしがいなくてもお前さんは風車を仕上げることはできると思うよ。；この風車小屋にきてから、はじめてドリトル先生の見つけた動物でした。；建設地を巡っては周辺住民の反発もあり一部の風車の建設位置が変更された。；敵の中には悪人以外にも動物が追加され、倒すと風車を落とす事がある。；不思議な気分でしばらくの間、風車を見つめ、そして式部は顔を上げた。；わたしが風車小屋の中にはいって行ったのは、この理由によるものでした。；長い杖を両手で構えると、頭上で風車のようにぶんぶん回転させ始める。；天井の高さときたら、島の風車がすっぽり中に入るのではと思われた。；私の風車小屋はモントバンの松の林のなかに置かれているではありませんか?；風車が悪魔に見えた時には、ためらわず悪魔の描写をなすべきであります。；それでも風車が完成すれば生活は豊かになると信じ、動物たちは必死に働く。；この風車は1959年まで住民に新鮮な水を供給する目的で使われていた。；解説: 風車はこの町の象徴的建造物であるオランダ風車を表している。；どの遊技機メーカーでも一般的に風車の羽根は3枚で大きさもほぼ同じ。；彼らが起き上った時には風車のあったところに大きな黒煙の雲が浮かんでいた。；それはいまこの風車小屋でしている仕事よりも、もっと少いことであった。；風力発電で使用されるような風車の設計の指標などに応用されている。；また、大学の敷地内にも風車が設置され、大学のシンボルの一つである。；風車のやつ、もうずいぶん長いこと食い物にありつけなかったんだからな!；東口側に駅舎があり、オランダ島と風車を模した洋風のデザインである。；ここは風車小屋のある丘から、八十キロとは離れていないところです。；ムーランの地名はアリエ川沿岸に点在する風車小屋に由来するとされる。；江戸の隠密仲間に風車手裏剣に絶妙の腕をもつものがいるとは聞いていた。；そこから転じて風車に由来する地名や物の名前に使用される。；対策としては今のところ太陽が低位置にある場合は風車を停止する以外にはない。；そこで二人は、この風車小屋にはだれか住んでいるにちがいないと判断しました。</t>
        </is>
      </c>
      <c r="J7278">
        <f>HYPERLINK("https://www.weblio.jp/content/風車", "词义详情")</f>
        <v/>
      </c>
      <c r="K7278">
        <f>HYPERLINK("https://yourei.jp/風車", "查看例句")</f>
        <v/>
      </c>
    </row>
    <row r="7279">
      <c r="A7279" t="inlineStr">
        <is>
          <t>風習</t>
        </is>
      </c>
      <c r="B7279" t="inlineStr">
        <is>
          <t>成功</t>
        </is>
      </c>
      <c r="C7279" t="inlineStr">
        <is>
          <t>読み方：ふうしゅう
その土地や国に伝わる生活や行事などの習わし。風俗習慣。しきたり。「古い—が残っている」</t>
        </is>
      </c>
      <c r="D7279" t="inlineStr">
        <is>
          <t>風習があつ；風習が広く；風習が無い；風習が古く；風習が残る地域</t>
        </is>
      </c>
      <c r="E7279" t="inlineStr">
        <is>
          <t>風；性；伝統；習慣；慣習</t>
        </is>
      </c>
      <c r="F7279" t="inlineStr">
        <is>
          <t>こうした風習；奇妙な風習；野蛮な風習；そういう風習；民俗風習</t>
        </is>
      </c>
      <c r="H7279" t="n">
        <v>29</v>
      </c>
      <c r="I7279" t="inlineStr">
        <is>
          <t>独特の神秘主義的な風習はあるが、それは宗教とは別と考えられている。；当時村に残っていたとされている夜這いの風習については否定している。；この風習は中世まで続き、王侯貴族が同様の方法で文書の封をしている。；人々は現代とはいささか異なる風習ながらも平穏な生活を送っていた。；この二つの風習は呉地方の素潜りをして魚を採る民族に見られるという。；それは日本の美しい景観と、そこに暮らしている人々の風俗風習である。；現在のロシア、ユダヤ教ではこの風習を完全に控える事が一般的である。；他のヴァルカン人は、基本的に自分達の文化や風習を曲げる事はしない。；母系制社会であったとされる日本など、少数の民族のみが持つ風習である。；この流行を起源とした風習は、宮古島の中でも限られた地域でのみ見られた。；元々地元の氏神様であったためこの風習は地元民くらいしか知らなかった。；三社参りは地域に根付いた風習として一般的に行われている地域もある。；埋葬の風習も独特のものであり、いくつかの遺骨は住居の下に埋葬されていた。；このように、箱庭が日本に古くから伝わる遊びや風習の中にあったといえる。；これは主に江戸を含む関東地方の風習で当時の関西には無い風習であった。；人口がこの水準に留まっていたのは間引きを行う風習があったためである。；ただ、この風習はごく一部の局地的な風習で、一般には浸透していない。；人骨は甕棺に納められており、これを中国の風習の影響と見る人もいる。；また慣行は風習よりもより厳格な制裁を伴う強力な約束を指すものである。；平安時代の書物には見られ、旧来から根強く信じられている風習である。；また、関東には1月14日にかかしの神を祀る風習をもつところもある。；これらの地域以外に、僻地、離島でも土葬を風習としている地域がある。；江戸時代中期になると商人がこの風習を行うようになった。；この風習は元々はイタリア由来とされ、以下のような話がある。；また、まだこの時代は戦を前にして占いをする風習も残っていた。；しかしながら、この風習はもはや一般的でなくなり一年中食べられるようになった。；このような仏教の風習が神仏分離以後も受け継がれ、現代に残るとされる。；とりわけ首を長く見せる風習を持つことで世界に知られる。；世界各地で同様の風習が見られ、文化人類学などにより研究されている。</t>
        </is>
      </c>
      <c r="J7279">
        <f>HYPERLINK("https://www.weblio.jp/content/風習", "词义详情")</f>
        <v/>
      </c>
      <c r="K7279">
        <f>HYPERLINK("https://yourei.jp/風習", "查看例句")</f>
        <v/>
      </c>
    </row>
    <row r="7280">
      <c r="A7280" t="inlineStr">
        <is>
          <t>封じる</t>
        </is>
      </c>
      <c r="B7280" t="inlineStr">
        <is>
          <t>成功</t>
        </is>
      </c>
      <c r="C7280" t="inlineStr">
        <is>
          <t>読み方：ふうじる
［動ザ上一］「ふう（封）ずる」（サ変）の上一段化。「口を—・じる」</t>
        </is>
      </c>
      <c r="D7280" t="inlineStr">
        <is>
          <t>封じるべく</t>
        </is>
      </c>
      <c r="E7280" t="inlineStr">
        <is>
          <t>結ぶ；禁止；閉鎖；防ぐ；邪魔</t>
        </is>
      </c>
      <c r="H7280" t="n">
        <v>29</v>
      </c>
      <c r="I7280" t="inlineStr">
        <is>
          <t>殺された少年の両親の口を金で封じるには町会長の協力が必要であった。；ひょっとすると、その場で俺の口を封じることも考えたかもしれないな。；そして三日の後私はまた私の心を封じるために私の村へ帰って来たのである。；そしてついに敵を倒し封じることがかなったが、それには犠牲も伴った。；そこから転じて封じるもの・密閉するものをシールと呼ぶようになった。；誰の目にも触れさせず、何の被害も出さず、闇から闇へと封じること。；片手で、抵抗を封じることもできるくらいに、自分の方には力があるのだ。；力が削がれたオーフィスを封じる前提で結界空間を作ったんだう うな。；そう、一切の光を封じるはずの闇の中で、東の空だけが紅く燃えていた。；しかしその対象がこと銃や刃物となると、今度は自らの手でそれを封じる。；夢の内容を本に封じる作業を始めて、二月ほど経った日のことだった。；鞘そのものは残っているが形だけ、もはや剣を封じるような力を持たない。；いちばんの近道はよけいな議論を封じることだと心に決めていたのだ。；こずえの口を封じるため、だれかの手を借りて彼女を殺したにちがいない。；分銅で相手を打ったり、巻きつけて動きを封じるといった使用法がある。；自分の記憶を封じる事の了解はちゃんと君たち自身から取っている。；もし実際にやったなら、青江の口を封じることはできるかもしれない。；きみはおれの質問を封じるために、おれのベッドにはいってきた。；不敗の軍神を封じる能力の源がそこにあるのかと期待したのだろう。；これは相手の抵抗を封じるために、いかにも人間が考えてとった行動じゃないか。；その泣き声を封じるように彼の手が幼女の細い首に伸びたのである。；ビーンバッグ弾は、対象を殺すことなく動きを封じることを意図している。；自分はこの手紙を封じる時、ようやく義務が済んだような気がした。；容疑者の衣服に先端部分を引っ掛けて絡め取る事で相手の行動を封じる。；星野は、自分の手を汚さずに、三村の口を封じることに、成功したのだ。；そして、それ以上の鈴木の発言を封じるように、木戸が結論を下した。；右手では弱い抵抗しかできないのを知っていて、牙神はいつも左手を封じるのだ。；組み合った状態から相手の腕を閂または片閂に極めて相手の動きを封じる。；これらの作品では邪悪を封じる効果があるように描かれている。</t>
        </is>
      </c>
      <c r="J7280">
        <f>HYPERLINK("https://www.weblio.jp/content/封じる", "词义详情")</f>
        <v/>
      </c>
      <c r="K7280">
        <f>HYPERLINK("https://yourei.jp/封じる", "查看例句")</f>
        <v/>
      </c>
    </row>
    <row r="7281">
      <c r="A7281" t="inlineStr">
        <is>
          <t>風船</t>
        </is>
      </c>
      <c r="B7281" t="inlineStr">
        <is>
          <t>成功</t>
        </is>
      </c>
      <c r="C7281" t="inlineStr">
        <is>
          <t>読み方：ふうせん
１紙・ゴムなどで作った球状の袋に、空気または水素ガスをつめてふくらませた玩具。手でついたり飛ばしたりして遊ぶ。風船玉。《季春》
２気球。軽気球。
「—の中央乗(ちゅうのり)。見物の肝胆(きもだま)を冷(さむ)からしむ」〈魯文・西洋道中膝栗毛〉</t>
        </is>
      </c>
      <c r="D7281" t="inlineStr">
        <is>
          <t>風船魔人(3%)；風船みたい(2%)；風船球；風船状；風船犬</t>
        </is>
      </c>
      <c r="E7281" t="inlineStr">
        <is>
          <t>気球；バルーン；軽気球</t>
        </is>
      </c>
      <c r="F7281" t="inlineStr">
        <is>
          <t>巨大な風船；ガス風船；青い風船；護謨風船；ヘリウム風船</t>
        </is>
      </c>
      <c r="G7281" t="inlineStr">
        <is>
          <t>風船爆弾；風船ガム；風船飛ばし；風船おじさん；風船男</t>
        </is>
      </c>
      <c r="H7281" t="n">
        <v>29</v>
      </c>
      <c r="I7281" t="inlineStr">
        <is>
          <t>風船の塊りが樹の幹の間で揺れているその向うから乳母車が動いて来る。；前の風船球も坊がしたのでない、ひとりでに飛んでいってしまったのね。；用意された25個の風船を制限時間2分の間に多く割ったチームの勝利。；内部に多すぎる水を入れた樽のように、膨らませすぎた風船 のように。；港の桟橋のひとつにつながれた、一隻の風船の周囲に寄り集まっている。；他の職員も全員が風船を見に行ったようで未宇だけがポツンと残っている。；手をふり、女は風船のように張った尻を振って改札口に駈けて行った。；あ、風船っていうのは、海を渡る風の力を利用して走らせる船のことだ。；むこうの風船は、ちょうど君の目の高さぐらいのところに浮いているね。；大人のくせにその男、子供のように風船を手に持っているのである。；全身に漲っていた欲望が消えてしまうと、元の萎んだ風船となっていた。；無数の気泡が、糸の切れた風船のように水中をのぼっていくのが見えた。；今日はその風船がまだ空に漂っているのを見つけられたに過ぎない。；水でふくらませた風船のようになった私の乳房を、彼の大きな足が踏む。；銃を発射すると、燃え残った火薬が風船を割るのに十分な力で飛び出す。；花火で忘られない記憶は、私の家の屋根へ風船の付いた旗の落ちたことだ。；彼は風船屋の後側を通つて、神社の裏にある土俵の方へ行かうとした。；女房が一人で袋張りをしたり、子供の玩具の風船をこしらえたりしていた。；私たちが風船と思いこんだのは、どうやら大人の使うものであったらしい。；いや確かに人間に違いない、拡がった着物の裾が風船のように膨らんで。；多くの店はゲイ向けであるとないとを問わず虹色の風船などで飾られる。；風に乗り空中を漕ぎ歩く船は、日本では空船とも風船とも呼ばれた。；当時のバンドの動画では演出にスモークと風船が使用されていたものがある。；その日は南風が吹いていたため、風船の多くが北方向へ飛んでいった。；その遠くに、風船のように小さくふくらんだヘッドライトが見えている。；前作と同様、自分のカートについている3個の風船がなくなったら脱落。；医師は、それを私の中に入れると、今度はその風船の中に水をどんどん入れた。；風船棒と呼ばれるプラスチック製の棒が取り付けられることもある。；それは、たとえて言えば頭の上に風船をうかべているようなものだ。</t>
        </is>
      </c>
      <c r="J7281">
        <f>HYPERLINK("https://www.weblio.jp/content/風船", "词义详情")</f>
        <v/>
      </c>
      <c r="K7281">
        <f>HYPERLINK("https://yourei.jp/風船", "查看例句")</f>
        <v/>
      </c>
    </row>
    <row r="7282">
      <c r="A7282" t="inlineStr">
        <is>
          <t>風俗</t>
        </is>
      </c>
      <c r="B7282" t="inlineStr">
        <is>
          <t>成功</t>
        </is>
      </c>
      <c r="C7282" t="inlineStr">
        <is>
          <t>読み方：ふうぞく
１ある時代やある社会における、生活上の習わしやしきたり。風習。「明治の—」「性—」
２風俗店のこと。また、それに関係する事柄。「—産業」
３身なり。服装。
「旦那らしき—の人」〈人・梅児誉美・初〉
４身ぶりや態度。身のこなし。
「物和らかな—にとんと見とれて」〈伎・韓人漢文〉
５⇒ふぞく（風俗）</t>
        </is>
      </c>
      <c r="D7282" t="inlineStr">
        <is>
          <t>風俗習慣(4%)；風俗史；風俗画；風俗関係；風俗描写</t>
        </is>
      </c>
      <c r="E7282" t="inlineStr">
        <is>
          <t>風；性；習慣；慣習；風習</t>
        </is>
      </c>
      <c r="F7282" t="inlineStr">
        <is>
          <t>現代風俗；社会風俗；時代風俗；時事風俗；江戸風俗</t>
        </is>
      </c>
      <c r="G7282" t="inlineStr">
        <is>
          <t>風俗店；風俗嬢；風俗営業；風俗小説；風俗街</t>
        </is>
      </c>
      <c r="H7282" t="n">
        <v>29</v>
      </c>
      <c r="I7282" t="inlineStr">
        <is>
          <t>キリスト教と伝統的な思想・信仰・風俗習慣は相容れないものであった。；そこはカジノや風俗が合法化された、日本でただ一つの特別な島である。；また中央の広場では山車2台とともに当時の風俗の様子が描かれている。；この両系所属はインドネシアではトラジャ族だけに見られる風俗である。；これらがきっかけで南北の民族の風俗や習慣は交じり合うことになる。；しかし、それでもポルノは人々の風俗の間で表現され続けてきたであろう。；風俗上で時代劇の舞台とされることが最も多いのがこの時代である。；当時の日本人が誕生日の際、赤飯を食していたことなど、風俗がわかる。；不思議な仕事の紹介から風俗系など扱う内容は多岐にわたっていた。；タイを中心に東南アジアの風俗や文化、旅を中心とする現地情報を掲載。；千葉県内各地のあらゆる歴史や文化・風俗などを紹介する番組となっている。；日露戦争を皮切りに変化する以前の日本の風俗を表現したものである。；この姿は諸文献が伝えるところのまかしょの風俗にほぼ合っている。；江戸時代の江戸がモデルであるが近代の風俗が含まれている。；この旅行でアメリカの社会や風俗に多大な影響を受けたとされる。；彼は、古代世界を舞台に現代的な風俗を描く新ギリシャ派の代表者である。；挿絵の分野で活躍ののち、江戸時代の風俗考証画を描くことに専念する。；その文学性だけでなく、当時のローマの風俗を知るための資料性も評価されている。；中国共産党は各民族に宗教教義の改変や風俗習慣の変更を強要している。；また、背景には表現主義を取り入れ、都市風俗の描写にも力を入れている。；大陸へ渡り、当時の中国の風俗や文化を取材しながら、本を何冊も執筆している。；元宵節が民間の風俗となったのは仏教の影響を受けた後である。；風俗草紙だけでは仕事が安定しないので、「裏窓」も出すことになった。；庶民を中心とする風俗を、その時代の絵画資料を使って紹介している。；土産物用に風俗や名所の風景を撮影した「横浜写真」というものもある。；更にアイヌは文字を持たず、生活風俗に関する文字史料も残さなかった。；慶賀は異国の風俗と日本の浮世絵を融合させた独自の画面を創り出した。；当時の貴族たちにはこの小説に描かれるような風俗の純化が必要であると考えたからである。；主に2020年以降に作成された風俗求人サイトで使用されている。</t>
        </is>
      </c>
      <c r="J7282">
        <f>HYPERLINK("https://www.weblio.jp/content/風俗", "词义详情")</f>
        <v/>
      </c>
      <c r="K7282">
        <f>HYPERLINK("https://yourei.jp/風俗", "查看例句")</f>
        <v/>
      </c>
    </row>
    <row r="7283">
      <c r="A7283" t="inlineStr">
        <is>
          <t>風土</t>
        </is>
      </c>
      <c r="B7283" t="inlineStr">
        <is>
          <t>成功</t>
        </is>
      </c>
      <c r="C7283" t="inlineStr">
        <is>
          <t>読み方：ふうど
１その土地の気候・地味・地勢などのありさま。
２人間の文化の形成などに影響を及ぼす精神的な環境。「政治的—」「宗教的—」
[補説]書名別項。→風土</t>
        </is>
      </c>
      <c r="D7283" t="inlineStr">
        <is>
          <t>風土的(3%)；風土性；風土論；風土特別保存；風土注進案</t>
        </is>
      </c>
      <c r="F7283" t="inlineStr">
        <is>
          <t>日本の風土；精神風土；企業風土；歴史的風土；政治風土</t>
        </is>
      </c>
      <c r="G7283" t="inlineStr">
        <is>
          <t>風土病；風土記の丘；風土記稿；風土気候；風土伝承館杉浦醫院</t>
        </is>
      </c>
      <c r="H7283" t="n">
        <v>29</v>
      </c>
      <c r="I7283" t="inlineStr">
        <is>
          <t>舞台は地球とは別の惑星だが、文化や風土は現代の地球とよく似ている。；だから風土と伝統を全然無視した思想は、決して発展するものではない。；互いに異なる風土からは互いに異なる芸術が発生するのは当然の事であろう。；現在でもアジア的な風土では後者の方に分があるような気がする。；この精神は創業当初から現在に至るまで、企業風土に深く根付いている。；日本をはじめとする各地の風土と文化の関連性の研究で著名である。；その風土によってそれぞれに特殊な領域、特殊な文化圏に分かれていく。；日本の各地域を見てみると、風土によって生活や文化が大きく異なる。；日本の風土と日本人の感受性をよく代表しているとされてきた歌のひとつである。；選挙はおおむね公正なものとされるが、政党や政治風土には問題が多い。；処で風土史観や国民性理論は実はこれを云うために用意されていたのである。；このため世界各地でその風土ごとの様々な材料の住宅が存在するようになった。；長崎県平戸の風土をこよなく愛し、作品の中にも数多く登場させていた。；外資系ではあるが、一方で神戸の地場産業らしい企業風土も有していた。；彼らは山の斜面や河流や風土の変化や人種の相違などは考慮に入れなかった。；それを見て私には、東京と京都との風土の相違がかなり具体的にわかったのである。；これはそうなることが許されるような文化風土や環境のなかで育ってきたからだとも言える。；哲也に会いたいと思っても、結局は『人と風土』の記事が障害になった。；各号で特定の島を中心とした特集を組み、その島の名所や風土を紹介する。；彼らの一部はアフリカと風土的に似ていたフロリダ奥地に逃げ込みました。；大規模に樹木を導入した地域の気候風土文化を活かした都市公園である。；商品コンセプトは北国の風土や風物をモチーフにした商品展開をしてる。；誰も動かさない石は、日本の風土の中では表面にコケが生え、緑色になる。；選出されるポケモンは、その場所の名称や風土などに関連している場合もある。；その後、油彩でも本質や風土性は青や黒の作品が多く、海のテーマが多い。；しかし、今は風土を異にする世界で戦うことを余儀なくされている。；大阪のあらゆる部分のあくどさを風土的にぬいたものが新潟であつた。；以上、大和と万葉集との関係を風土の問題を主として考察してみました。；これはもしかしたら、かれとこれとの文化の風土の違いになるのかもしれない。</t>
        </is>
      </c>
      <c r="J7283">
        <f>HYPERLINK("https://www.weblio.jp/content/風土", "词义详情")</f>
        <v/>
      </c>
      <c r="K7283">
        <f>HYPERLINK("https://yourei.jp/風土", "查看例句")</f>
        <v/>
      </c>
    </row>
    <row r="7284">
      <c r="A7284" t="inlineStr">
        <is>
          <t>封筒</t>
        </is>
      </c>
      <c r="B7284" t="inlineStr">
        <is>
          <t>成功</t>
        </is>
      </c>
      <c r="C7284" t="inlineStr">
        <is>
          <t>読み方：ふうとう
手紙や文書などを封入する方形の袋。状袋(じょうぶくろ)。</t>
        </is>
      </c>
      <c r="D7284" t="inlineStr">
        <is>
          <t>封筒入り；封筒をとりだし；封筒ごと；封筒をとりあげ；封筒状</t>
        </is>
      </c>
      <c r="E7284" t="inlineStr">
        <is>
          <t>エンベロープ；状袋；熨斗袋；のし袋；上包み</t>
        </is>
      </c>
      <c r="F7284" t="inlineStr">
        <is>
          <t>白い封筒；大きな封筒；用封筒；分厚い封筒；西洋封筒</t>
        </is>
      </c>
      <c r="H7284" t="n">
        <v>29</v>
      </c>
      <c r="I7284" t="inlineStr">
        <is>
          <t>その手紙の封筒から、私は女がつい眼と鼻の間に住んでいる事を知った。；犯人が外部のものとすれば、この封筒に関心をもつこと自体がおかしい。；この頃本当にすこしましな封筒なんかなくていつも素気ない紙ばかりで。；ある夜、部屋にいるときにドアの下から封筒が差し込まれるのが見えた。；俺にや、いくら一生懸命になつても一日に十銭より封筒は張れないんだ。；なに気なくそれを振った拍子に、白い封筒がひとつヒラリと床に落ちた。；われわれの命にかえられないから、青い封筒入の重要書類を君に渡そう。；それは、あの封筒の中に入れられていた男の肖像画と同じものだった。；しかし封筒も何もないので、誰が何処から送って来たのか分らない。；その晩彼は封筒はりをしながら、死んだ父のことを思い出したりした。；いや、むしろやつは、わしらに封筒をあけてもらいたがっているのさ。；タクシーで耀子を帰す時、誠は彼女に重要な書類と称して封筒を渡した。；私のと同じ薄桃色の封筒で、しかも同じ日にだしたらしい手紙が在つた。；町の名は、誰にでも見えるところにおいた封筒を見て知ったのだ。；端書に満足した僕は、彼の封筒入の書翰に接し出した時さらに眉を開いた。；あなたの言うとおり、手紙よりも封筒のほうがずっと古いものです。；やがて手にとりだしたのは、くしゃくしゃになった青い封筒であった。；封筒の中には弾丸が一発入っているだけで、他に手紙らしいものはなかった。；大きな青い封筒を手にしているのは、きっと誰かの手紙でも届けるのだろう。；封筒が使用される迄は、一枚の紙を面白い方法で折って包み紙とした。；その会社で発売している薬の見本袋が封筒の中にはいっていた。；そんな紙に手紙かいて、一層滑稽なことは自分の名を印刷した封筒に入れてね。；二つ折りの葉書サイズの白い招待状が白い封筒に入れられて郵送される。；そこで自分はこの手紙を封筒へ入たまま、岡田の所へ持って行った。；角のそばの詰物の中から封筒が突き出ているのを見つけ、あけてみた。；チャップマンが封筒を丸薬の容器に使い回していただけだったのである。；なお、使用していた旧電池パックは返信用封筒にて返送する必要がある。；こういう風をこの封筒に入れてちょっと吹かせてあげとうございます。；唯一の違いは、一通の封筒が目立って汚れているということぐらいだった。</t>
        </is>
      </c>
      <c r="J7284">
        <f>HYPERLINK("https://www.weblio.jp/content/封筒", "词义详情")</f>
        <v/>
      </c>
      <c r="K7284">
        <f>HYPERLINK("https://yourei.jp/封筒", "查看例句")</f>
        <v/>
      </c>
    </row>
    <row r="7285">
      <c r="A7285" t="inlineStr">
        <is>
          <t>夫婦</t>
        </is>
      </c>
      <c r="B7285" t="inlineStr">
        <is>
          <t>成功</t>
        </is>
      </c>
      <c r="C7285" t="inlineStr">
        <is>
          <t>読み方：おとめ
《「おひとめ（男人妻）」の音変化》夫と妻。めおと。
「みとのまぐはひして—と為る」〈神代紀・上〉</t>
        </is>
      </c>
      <c r="D7285" t="inlineStr">
        <is>
          <t>夫婦仲(2%)；夫婦げんか；夫婦約束；夫婦連れ；夫婦岩</t>
        </is>
      </c>
      <c r="E7285" t="inlineStr">
        <is>
          <t>番；夫妻；ペア；カップル；デュオ</t>
        </is>
      </c>
      <c r="F7285" t="inlineStr">
        <is>
          <t>若夫婦；主人夫婦；兄夫婦；若い夫婦；姉夫婦</t>
        </is>
      </c>
      <c r="G7285" t="inlineStr">
        <is>
          <t>夫婦生活；夫婦関係；夫婦間；夫婦別姓；夫婦愛</t>
        </is>
      </c>
      <c r="H7285" t="n">
        <v>29</v>
      </c>
      <c r="I7285" t="inlineStr">
        <is>
          <t>夫婦は旅の疲れから行き先を運転手に伝えるとすぐにそのまま眠りに落ちた。；そこで声の方を尋ねると、老夫婦がきれいな少女を間にして泣いていた。；吉村などが提唱する一説によると、彼女との夫婦仲は良かったとされる。；しかし夫婦仲は良好であり、子に恵まれ家庭生活は幸せなものであった。；娘夫婦から母子ともに健康で無事出産したことをメールで報告を受けた。；その点で、この夫婦は思想的に大きなぶれもなく戦後の時代を迎えた。；センプロニアには奇形があり、子もおらず夫婦に愛情はなかったという。；現在は娘夫婦と孫がいるロンドンと六本木の自宅を往復する生活を送っている。；しかし、夫婦の間には生活の面での食い違いが生じ、1924年に離婚。；崖の周囲が警察に包囲される中、逆上した脱獄囚は夫婦を次々と殺害。；この事件の結果、夫婦は以後約10年ほどに渡って別居することになった。；一時的にせよ夫婦仲がこじれたことがあったことは事実であるといえよう。；晩年は、老夫婦の生活や孫とのふれあいをテーマに連作を書き継いだ。；夫婦仲はあまりよくなく出かけるときはいつも父親とだけだった。；そのためか、いとこ婚の夫婦の子供の出生率は相対的に高い傾向がある。；すれ違いになった夫婦を描いたシリアスなドラマで木梨は夫役を演じた。；老夫婦はオオヤマツミの子で、出雲国の肥河の上流、鳥髪に住んでいた。；政略結婚であったが、夫婦仲は睦まじく歳を追う毎に愛情を深めていた。；まあだからね、民がさ、夫婦が姓が一緒だ別だなんて言うこともないんだよ。；夫婦が銃殺される前後の映像もテレビ中継を通じて世界中に放映された。；なお、竹下と関口照生は夫婦だが、夫婦同時に出演することは無かった。；長男夫婦と暮らしていた時期もあったが、自立したため妻と二人暮らしであった。；晩年は夫婦ともに心身に不調がみられたが、薬物の影響が指摘されている。；日本における選択的夫婦別性制度の導入について、議論がされている。；同作では破局の危機にある夫婦を元夫のバンジャマン・ビオレと演じている。；この設定はたいていどの夫婦にも適用される事になる。；のちに離婚するが、夫婦になる前から現在まで多数のデュエットや共演がある。；この夫婦は幼いころのダリルの写真を提示して少年を引き引き取る。；契約財産制とは夫婦財産契約に基づく財産関係である。</t>
        </is>
      </c>
      <c r="J7285">
        <f>HYPERLINK("https://www.weblio.jp/content/夫婦", "词义详情")</f>
        <v/>
      </c>
      <c r="K7285">
        <f>HYPERLINK("https://yourei.jp/夫婦", "查看例句")</f>
        <v/>
      </c>
    </row>
    <row r="7286">
      <c r="A7286" t="inlineStr">
        <is>
          <t>不運</t>
        </is>
      </c>
      <c r="B7286" t="inlineStr">
        <is>
          <t>成功</t>
        </is>
      </c>
      <c r="C7286" t="inlineStr">
        <is>
          <t>読み方：ふうん
［名・形動］運の悪いこと。また、そのさま。「—をなげく」「—な身の上」⇔幸運。</t>
        </is>
      </c>
      <c r="D7286" t="inlineStr">
        <is>
          <t>不運な男；不運な事故；不運続き；不運な出来事；不運つづき</t>
        </is>
      </c>
      <c r="E7286" t="inlineStr">
        <is>
          <t>不幸；難；気の毒；災難；あいにく</t>
        </is>
      </c>
      <c r="F7286" t="inlineStr">
        <is>
          <t>なんという不運；こんな不運；どんな不運；こうした不運；あらゆる不運</t>
        </is>
      </c>
      <c r="H7286" t="n">
        <v>29</v>
      </c>
      <c r="I7286" t="inlineStr">
        <is>
          <t>ハーディの挙げた例の幾つかは振り返ってみると不運のように思われる。；ある日鏡で自分の顔を見てると、自分の不運の確実さが突然分ってきた。；後のキャリアを含めても自身最高の成績を残していた最中での不運であった。；ほとんどの鉄道はどうにもならないかのような不運が残されていた。；わたしはどう云ふ運命か、母親の腹を出た時には白髪頭をしてゐたのだよ。；その時不運だったのは、木造天井の絵画が完成間近であったことである。；間もなく不運なことが起ろうなどとは、誰もが思いもかけませんかった。；幼児から不運で事故が次々と起こり周囲の人間が死ぬことが多かった。；不運にも私の背後から駈け出して来た運転手が一撃のもとに仆された。；しかもそれは、十年間もそこで最大の不運をなめられた末のことである。；どうも、この不運な男はニュー・ヨークへ戻ろうとしていたようですな。；どんな不運な機会で、私の愛する多くの人々が死んでいまいものでもない。；しかし濃度が高く、不運にも何日にもわたって影響を受けることとなった。；けれども樹木にも少し抵抗力があったならば、決して不運はないであろう。；不運なことには、彼は毎夜のやうに寝蒲団をびつしよりにしてしまつた。；不運な宇宙艦には、地上要塞のそれのような強力発生機は装備されていない。；その一方でメンバーやマネージャーの急逝等の不運にも見舞われている。；他人に頼ろうと思えばこそ、不運に遭う度に恨み言が述べたくなるのだ。；不運なことに、その運転中にキングストン郊外の踏切でトラックに衝突。；ピッポはこのような不運続きの家にこそマスコットが必要なのですと言う。；彼らはその住居に足を踏み入れる人間に幸運も不運も与えることができる。；この際の音楽は船員の不運な結末に対し全くの無頓着さを表現している。；いずれにしても、不運は好子という女の上に付きまとっているのである。；もし準備していなければ、不運な旅行者は完全に粉々になり消滅するだろう。；その時、それを他郷の男の眼に見られたら、その女は一生不運である。；この惨敗は1872年にグリーリーが受けた不運の一つに過ぎなかった。；なにしろ、君はとても不運な状況にいるんだ、僕だったら耐えられないよ。；ベトナム戦争で負傷した兵は治療のために、不運にも西ドイツに送られた。；これでおわかりでしょう、あの市長のやつがみな不運の元なんです。</t>
        </is>
      </c>
      <c r="J7286">
        <f>HYPERLINK("https://www.weblio.jp/content/不運", "词义详情")</f>
        <v/>
      </c>
      <c r="K7286">
        <f>HYPERLINK("https://yourei.jp/不運", "查看例句")</f>
        <v/>
      </c>
    </row>
    <row r="7287">
      <c r="A7287" t="inlineStr">
        <is>
          <t>笛</t>
        </is>
      </c>
      <c r="B7287" t="inlineStr">
        <is>
          <t>成功</t>
        </is>
      </c>
      <c r="C7287" t="inlineStr">
        <is>
          <t>読み方：ちゃく
ふえ。また、ふえの音。
「簫(せう)、—、琴…その音も妙(たへ)なりといへども」〈沙石集・六〉</t>
        </is>
      </c>
      <c r="D7287" t="inlineStr">
        <is>
          <t>笛吹き(3%)；笛小路；笛師；笛太鼓；笛吹く</t>
        </is>
      </c>
      <c r="E7287" t="inlineStr">
        <is>
          <t>管；パイプ；筒；口笛；チューブ</t>
        </is>
      </c>
      <c r="F7287" t="inlineStr">
        <is>
          <t>音無し笛；お笛；名笛；竹笛；呼笛</t>
        </is>
      </c>
      <c r="G7287" t="inlineStr">
        <is>
          <t>笛吹川；笛吹市；笛子；笛木；笛吹峠</t>
        </is>
      </c>
      <c r="H7287" t="n">
        <v>29</v>
      </c>
      <c r="I7287" t="inlineStr">
        <is>
          <t>これらのような笛は、人の可聴範囲を調べるために使われることもある。；なお、笛も、すでに旧石器時代のそれと思われるものが発見されている。；しかし、実際にはコブラは笛の音を聞くことはできないとされている。；これを好機とみた清三郎は川辺で笛を吹き職経の注意を集めようとした。；一度ずっと遠い空に汽船の笛の響いたぎり、今はもう人音も何もしない。；幼い頃に近所の住人から笛を貸してもらったことで、音楽に興味を抱く。；その際、右手には単純な構造の笛を持ち、これを吹きながら太鼓を叩く。；それの最も大きな特徴は、使用する楽器に笛を取り入れた点である。；笛は太鼓と並んで古代から基本的構造がほとんど変わらなかった楽器である。；会津若松などでは初音の笛と呼ばれ、各地で同様のものが売られている。；もとは狩猟で鳥を集めるために使われたもので、鳥寄せ笛とも呼ばれる。；その様子にあわせて、笛吹きと太鼓打ちがそれぞれの楽器を演奏する。；太鼓台の内部では書いて字の通り、太鼓や笛を演奏するようになっている。；お祭りの騒がしさの中、太鼓と笛の音が響き、神秘的な世界に包まれる。；その後試合は再開されたものの、89分に試合終了の笛が再び吹かれた。；この説でも笛吹き男は、運動のリーダーであったと見なされている。；若者の笛の音は次第に悲しみと苦しみを含むようになった。；笛は唯一の旋律楽器ではあるが上述したように打楽器的な奏法を主とする。；によれば、笛は数え切れないほど多くの古代文化で見られる単純な楽器である。；吹笛と同時にどちらのボールになるかを指示した後、反則の内容を提示する。；口唇だけではなく歯と舌で音を調整する歯笛という吹き方がある。；笛吹き人形とタンバリン人形はフランス革命の際に破壊されたといわれている。；そこへ例の鳶の声が遙な青空の向うから、時々笛を吹くやうに落ちて来た。；後にラグビーのレフェリーの資格を取って、主にパリの試合で笛を吹いた。；鍵盤笛は、木管楽器である笛を、鍵盤で演奏するようにした楽器である。；また彼女の紫玉の笛は、嫦娥からもらったものであるという伝説もあった。；遠くで若者が吹く笛の音のする所から見れば、まだ左程夜が更けてもゐぬらしい。；東洋は小さな笛は誤ってのどに詰まらせ病院に駆け込んだことがあった。；さらに21000系以降の特急車では音色の異なる電気笛を装備している。</t>
        </is>
      </c>
      <c r="J7287">
        <f>HYPERLINK("https://www.weblio.jp/content/笛", "词义详情")</f>
        <v/>
      </c>
      <c r="K7287">
        <f>HYPERLINK("https://yourei.jp/笛", "查看例句")</f>
        <v/>
      </c>
    </row>
    <row r="7288">
      <c r="A7288" t="inlineStr">
        <is>
          <t>不得手</t>
        </is>
      </c>
      <c r="B7288" t="inlineStr">
        <is>
          <t>成功</t>
        </is>
      </c>
      <c r="C7288" t="inlineStr">
        <is>
          <t>読み方：ふえて
［名・形動］
１得意でないこと。また、そのさま。不得意。「—な科目」「細かい作業は—だ」
２好きでないこと。嗜(たしな)まないこと。また、そのさま。「—な酒をすすめられる」</t>
        </is>
      </c>
      <c r="D7288" t="inlineStr">
        <is>
          <t>下手；まずい；へた；へま；拙い</t>
        </is>
      </c>
      <c r="H7288" t="n">
        <v>29</v>
      </c>
      <c r="I7288" t="inlineStr">
        <is>
          <t>自分が不得手だったせいか、女の子が自転車に乗ることをひどく嫌った。；中彦のほうは、会話は不得手だったが、解釈だけなら多少の自信がある。；と言うのは出来合いの言葉で話しを進めて行くことはどうも不得手である。；とくに数学や計算実務が不得手なので、事務系は向いていない気がした。；たしかに、人のことを口で説明したりすることには、かれは不得手だった。；その不得手なドイツ語を、わざわざ妻の前で使ってみせたのである。；さらに、東部や南部では、ウクライナ語が不得手とする人も少なくない。；西洋文明の核にあり、近代日本人がいちばん不得手としてきたものを。；ラッシュの乗物にしろ、劇場の椅子にしろ、私は席とりは不得手である。；それぞれ得手不得手はあるが、そのくらいのことならどこでも同じだろう。；私は今もって、釣りは不得手なのだが、そこへ行くと、ずいぶん釣れた。；不得手な描写は映像にまかせ、言葉は自分の得意なところに集中すればよい。；また、本格的な格闘装備を持たないことから肉薄攻撃は不得手としている。；そもそも、人に希望や安心を与えるのは、悪魔には不得手なことだ。；自信満々で不得手はないと豪語する魅音のそれとは遠くかけ離れていた。；「心」は人生論ふうの感想で、こういうのは私の最も不得手の領域である。；料理は不得手ではないようで、時には簡単な夕食を作ってくれることもあった。；どちらの役目も選手の得手不得手を知っていなければ話にならない。；全員がデーモンの特性を再現するルールを備えているので得手不得手がある。；雫は自分が細かい制御を不得手としている、ということを自覚している。；そんな性質に似あわず、芸ごとは不得手で、学問と武芸が好きであった。；母は不得手な挨拶をさせないように顔をさし出した。；田舎者の私は、特に父の血をうけて、交際ははなはだ不得手であった。；へスターは、家事は不得手だったけれど、花つくりは得意だったそうよ。；その一方で、順位戦は不得手とする傾向があり、昇級に恵まれなかった。；今回は彼の不得手な作業まで指導をせねばならない。；強豪には得手不得手があるため、どのゲームで戦うかなど戦略も必要になる。；もしお祝い下さるお心があったら、私はそういう事は不得手で分りません。；祖父のような船乗りに憧れたが、父の反対と数学が不得手なために挫折した。</t>
        </is>
      </c>
      <c r="J7288">
        <f>HYPERLINK("https://www.weblio.jp/content/不得手", "词义详情")</f>
        <v/>
      </c>
      <c r="K7288">
        <f>HYPERLINK("https://yourei.jp/不得手", "查看例句")</f>
        <v/>
      </c>
    </row>
    <row r="7289">
      <c r="A7289" t="inlineStr">
        <is>
          <t>増える</t>
        </is>
      </c>
      <c r="B7289" t="inlineStr">
        <is>
          <t>成功</t>
        </is>
      </c>
      <c r="C7289" t="inlineStr">
        <is>
          <t>読み方：ふえる
［動ア下一］［文］ふ・ゆ［ヤ下二］数や量が多くなる。増す。「水かさが—・える」「財産が—・える」⇔減る。
[補説]財産や動植物がふえる場合は多く「殖える」と書く。</t>
        </is>
      </c>
      <c r="D7289" t="inlineStr">
        <is>
          <t>増える可能性；増えるだろ；増える毎</t>
        </is>
      </c>
      <c r="E7289" t="inlineStr">
        <is>
          <t>発展；増加；広がる；上がる；増大</t>
        </is>
      </c>
      <c r="F7289" t="inlineStr">
        <is>
          <t>増えれば増える；つ増える；どんどん増える；増えるかもしれ；もっと増える</t>
        </is>
      </c>
      <c r="H7289" t="n">
        <v>29</v>
      </c>
      <c r="I7289" t="inlineStr">
        <is>
          <t>農耕が始まると土地に定着し、生産高が増して人口が増えるようになる。；秋には雨がやや増えるが夕立など特定の時刻に集中的に降ることが多い。；逆に、人間の作り出した環境条件が好適であるために増えるものもある。；またリーグ中マジックナンバーは減ることはあっても増えることはない。；巡礼者の数が増えると共に、道沿いには無料の宿泊所が整備されてきた。；しかし一日雑談をして過ごすような仕事で好きだった酒の量が増える。；工場などで働く場合、英語との接触がかなり増えることになるケースがある。；根元からも枝を出し、水に浸ったところからは根を下ろして株が増える。；太平洋戦争に関連する映画が公開されると、来館者が増える傾向がある。；また、覚えた特技を使うことでも各教科の経験値が増えるようになった。；大量に増えることそのものが人間生活に影響を与える例もある。；自然の状態でもこのような形で分裂で増えるものも知られる。；破壊するとエネルギーが得られる敵や、エネルギー上限が増える敵がいる。；地位の上昇と同時に外交・人事などしなければならないことも増える。；ただし、ロック数が増えるごとにロックショット自体の射程も低下する。；また、パネルに置いてあるハートの上を通過すると残り人数が1増える。；特に選挙が行われる直前にはその被害者の数が増えると言う。；一般に使用ニーズの高い難関大学になればなるほど収録年度数は増える。；未発見・未分類の種もあり、これからも種類が増えるとみられる。；これは取引をすることで増えるウレシサを金銭的に評価したものといえる。；大型のものになると、躯体の部品は細分化され、継ぎ手の種類も増える。；季節は秋で、水が増える自然の要因はまったく考えられなかった。；郊外型の大型店が増える中、商店街がそのまま残っているのも特色である。；近年ことに西武鉄道の宣伝などによりさらに観光客が増える傾向にある。；映画で多少は増えるかも知れないが全く別の問題だと思う。；冬の間は島の南東から貿易風が吹き込み、島の東側は降水量が増える。；ネット局が増えるのはJUNKがスタートしてから初めての出来事である。；しかし師団が増設され数が増えるに従い師団長の地位も次第に低下した。；分裂させれば簡単に増えることもできるが、それはまあ例がないことではない。</t>
        </is>
      </c>
      <c r="J7289">
        <f>HYPERLINK("https://www.weblio.jp/content/増える", "词义详情")</f>
        <v/>
      </c>
      <c r="K7289">
        <f>HYPERLINK("https://yourei.jp/増える", "查看例句")</f>
        <v/>
      </c>
    </row>
    <row r="7290">
      <c r="A7290" t="inlineStr">
        <is>
          <t>殖える</t>
        </is>
      </c>
      <c r="B7290" t="inlineStr">
        <is>
          <t>成功</t>
        </is>
      </c>
      <c r="C7290" t="inlineStr">
        <is>
          <t>読み方：ふえる
［動ア下一］［文］ふ・ゆ［ヤ下二］数や量が多くなる。増す。「水かさが—・える」「財産が—・える」⇔減る。
[補説]財産や動植物がふえる場合は多く「殖える」と書く。</t>
        </is>
      </c>
      <c r="D7290" t="inlineStr">
        <is>
          <t>殖えるかも知れ；殖えるだろ</t>
        </is>
      </c>
      <c r="E7290" t="inlineStr">
        <is>
          <t>増加；増大；繁殖；増える；増殖</t>
        </is>
      </c>
      <c r="F7290" t="inlineStr">
        <is>
          <t>一つ殖える</t>
        </is>
      </c>
      <c r="H7290" t="n">
        <v>29</v>
      </c>
      <c r="I7290" t="inlineStr">
        <is>
          <t>その話が世間に伝わって、それを拝みに来る者がだんだんに殖えて来た。；わたしあの黒い川面に舟の窓の明りが一つ一つ殖えるのを見ていますの。；わたしあの黒い川面に舟の窓の明りが一つ一つ殖えるのを見てゐますの。；そういう物が殖えたものですからちょうど十貫匁余の荷物になったです。；これが子鬼で、今は無数に殖えてゐますが、元は四匹だつたと思ひます。；婦人党員の数は年々殖えて一九二八年にさえ十六万七千九十六人となった。；本部のいうとおり身を粉にして働いても、借金が殖えるだけなんだから。；始めのうちは声が小さかったがだんだん大きくなって数も殖えてきた。；叔父も忙しい時に思ひ掛けぬ手が殖えたので窃かに悦んで止めておいた。；だから秀吉死後の数年間には、信者が七万殖えたといわれる程である。；これは人数が殖えて先のじゃ間に合わなくなった時買ったんでございますよ。；第四号以下は千二、三百から千四、五百に殖えて行ったように記憶する。；今夜は一つだけでありますが、明日から若干数が殖えることになっています。；一つ見つけ、二つ見つけするうちに、眼界の星はいくらでも殖えて来る。；構内は瞬間ごとに人が殖え、どこに誰がゐるかも容易にわからなくなつた。；序に書いておくが、震災後の東京に賭博の殖えた事は非常なものである。；其上、知らず知らずの間に、文章の分量が殖えて来る事もあつたらしい。；しかしそれだけでは、到底限りなく殖える人口を養うことができません。；或る一種の方面に於ては特に近来に至つて著しい適例が殖えた様である。；今からこんなに子供が出来て、この上殖えたらどうしようと思った。；散歩からもどつて来ると隣の座敷には客が一人殖えたやうである。；それは余所からのお客が、もう幾人殖えたかと見るのが楽みなのです。；どうして灯の数が晩によって殖えたり少なかったりするのが分らなかった。；相手が一人殖えたのであるから、話の種はいよいよ尽きそうもない。；今度も笞打と石抱きとであったが、石の数は一枚殖えて九枚となった。；こんな風でしたから、彼女の衣裳は一年間に幾通りとなく殖えたものです。；生徒たちは仲間が殖えたせいか一層元気になってしゃべり出した。；緩くり構えて、御米にでも知れるとまた心配が殖えるだけだと思った。；本を読むにしても、数多くのものが早く読めるし、書くにしても量が殖える。</t>
        </is>
      </c>
      <c r="J7290">
        <f>HYPERLINK("https://www.weblio.jp/content/殖える", "词义详情")</f>
        <v/>
      </c>
      <c r="K7290">
        <f>HYPERLINK("https://yourei.jp/殖える", "查看例句")</f>
        <v/>
      </c>
    </row>
    <row r="7291">
      <c r="A7291" t="inlineStr">
        <is>
          <t>無遠慮</t>
        </is>
      </c>
      <c r="B7291" t="inlineStr">
        <is>
          <t>成功</t>
        </is>
      </c>
      <c r="C7291" t="inlineStr">
        <is>
          <t>読み方：ぶえんりょ
［名・形動］遠慮をせず、好きなように振る舞うこと。また、そのさま。「—な物言い」</t>
        </is>
      </c>
      <c r="D7291" t="inlineStr">
        <is>
          <t>太い；失礼；大柄；傲慢；無礼</t>
        </is>
      </c>
      <c r="H7291" t="n">
        <v>29</v>
      </c>
      <c r="I7291" t="inlineStr">
        <is>
          <t>須藤がそんな無遠慮な目で自分の主人を眺めたのは、はじめてであった。；正月にはその姉も帰っていて、無遠慮に彼の子供の頃のことを肴にする。；後から考えてみると、その時色々無遠慮な失礼を云った事が気にかかる。；生計を立てるために医療を行っていると彼らの1人は無遠慮に発言した。；その次には気の利かないボンボン時計の大きな音が無遠慮に耳に響いた。；ただ、アリエスは無遠慮にホロの人のものならざる付属物を眺めている。；ゆっくりと顔をあげて、その視線を、この無遠慮な観察者へと向けてくる。；そういうことは無遠慮に、軽薄に語るべきではないように私には思われる。；彼らは我々のように無遠慮な批評がましい観察などしなかったにちがいない。；私は身分のある娘の胸をこれほど無遠慮にながめたことはない。；台所の方からも四、五人の女が顔をだして突然の客を無遠慮に覗いている。；そして彼女を眺める眼つきは次第に無遠慮になり執拗なものになってきた。；無遠慮にぢろぢろ通りがかりの人を眺める癖を改めなくともよかつた。；かなり無遠慮にさぐる目をつかうのも彼女の職業のさせることだろう。；私はとろんとした目つきで彼ら一同を無遠慮にながめまわしてやった。；愛に狎れて無遠慮になったりしない聡明さに、源氏はやはり心ひかれる。；他の一つは、それを無遠慮に別室のお銀様に聞かせたくないとの心配。；宗達の絵など、まるで眼中にないような、無遠慮な書き方でございます。；彼は座につくと無遠慮に莨を要求して、一口甘そうに吸い込むと云った。；地声が大きくて、無遠慮に大きな声を出すから、どこに居てもすぐわかる。；すべての子供の顔には子供に特有な無遠慮な残酷な表情が現われた。；お負に隣席の商人らしい風をした男が、無遠慮に横から覗くのも気になる。；そこには枝ぶりの面白い山桃の木が七八本、無遠慮に空を蔽して立つて居る。；第一には内地からの安ものが無遠慮にこの島に闖入してきたからです。；視線のはるか先には本物の太陽が燃え、皮膚を無遠慮に焙ってくる。；肉付きの良い中年の女性で、海方は女性の胸に無遠慮な視線を這わせた。；みどりのとび出したドアの内では、男が無遠慮に痰をはいている音がする。；人形か何かを見るような無遠慮な視線を注ぎながら、言葉を続ける。；そのために彼は例のおぞましい老人の無遠慮な振舞いから逃げられなかった。</t>
        </is>
      </c>
      <c r="J7291">
        <f>HYPERLINK("https://www.weblio.jp/content/無遠慮", "词义详情")</f>
        <v/>
      </c>
      <c r="K7291">
        <f>HYPERLINK("https://yourei.jp/無遠慮", "查看例句")</f>
        <v/>
      </c>
    </row>
    <row r="7292">
      <c r="A7292" t="inlineStr">
        <is>
          <t>不穏</t>
        </is>
      </c>
      <c r="B7292" t="inlineStr">
        <is>
          <t>成功</t>
        </is>
      </c>
      <c r="C7292" t="inlineStr">
        <is>
          <t>読み方：ふおん
［名・形動］おだやかでないこと。状況が不安定で危機や危険をはらんでいること。また、そのさま。「—な空気が漂う」「政情—」</t>
        </is>
      </c>
      <c r="D7292" t="inlineStr">
        <is>
          <t>不穏な空気(13%)；不穏な動き(12%)；不穏分子(3%)；不穏な気配(3%)；不穏な情勢(3%)</t>
        </is>
      </c>
      <c r="E7292" t="inlineStr">
        <is>
          <t>不安；混乱；興奮；動揺；不吉</t>
        </is>
      </c>
      <c r="F7292" t="inlineStr">
        <is>
          <t>不穏文書；不穏な影；不穏さん；不穏な事態；不穏な予感</t>
        </is>
      </c>
      <c r="H7292" t="n">
        <v>29</v>
      </c>
      <c r="I7292" t="inlineStr">
        <is>
          <t>背後からは俺自身の内心を表すかのような不穏な戦闘音が聞こえてくる。；スペインは戦後新しいアメリカ合衆国との関係では不穏な情勢になった。；とあり、浦は全く周囲の不穏な動きには気づいていなかった様子である。；不穏な空気がイングランドとウェールズの境界に沿って形成されていた。；何か不穏な噂でも聞きこんで、心配して来たんじゃないかと思っています。；何といっても不穏な時期だったし、エレニアの女王には守り手が必要だ。；ついには呪いのワラ人形までが登場し、村内は不穏な雰囲気に包まれた。；ふと、背後に不穏な気配を感じて少年は刀に手を当てたまま硬直した。；二人が結ばれたころの京都は、血風吹きすさぶ不穏な日々がつづいていた。；家族ぐるみの交際を続ける二人の家庭に、そんなとき不穏な影が落ちる。；その頃、エルスタインの許には一通の不穏な手紙が届けられたのだった。；花のような、と言いたいところだが、眼が笑ってないので不穏なだけ。；パリで受けた襲撃のことも、アンボワーズに蠢いた不穏な動きのことも。；彼らの動きを不穏に感じ駆けつけたマーが止める間もない出来事だった。；何故なら憲兵は不穏分子の侵入を防ぐために必ず身体検査をするからだ。；かれらの鋭い目と耳なら、どんな不穏な動きも音ものがすはずがなかった。；そして今、この不穏な境界線の内へ入って、狂暴な反応をみせたのである。；が、 「そこまでいっては不穏であろう」 と軽く初之助をたしなめた。；狭山事件の被告人を支援していた新左翼各派は不穏な動きを見せていた。；私は私の不穏計画を女性に限り遂行しようと決意を固めたのである。；幹比古が不穏な気配に気づいたのは、彼が魔法の訓練をしていたからだった。；源が仲間たちと平和に過ごしていた浅草で、次々と不穏な事件が勃発する。；また、それに限らず、不穏なものが天皇の目に入ることを避けるようにされた。；いかにも気安げに家は開かれていながら、不穏なほど閑散としていた。；何か不穏な気配がありはしないかと警戒したのであった。；領内の一色家に、また不穏な動きでもあったのかと、玉子は思っていた。；しかも全面がガラスばりだから、外で不穏な動きがあってもすぐにわかる。；なお、これらの四天王戦前では休憩部屋のBGMが不穏なものに変わる。；農民たちの不穏な動きがとうとう一揆に発展したのはそれから四五日後のことであった。</t>
        </is>
      </c>
      <c r="J7292">
        <f>HYPERLINK("https://www.weblio.jp/content/不穏", "词义详情")</f>
        <v/>
      </c>
      <c r="K7292">
        <f>HYPERLINK("https://yourei.jp/不穏", "查看例句")</f>
        <v/>
      </c>
    </row>
    <row r="7293">
      <c r="A7293" t="inlineStr">
        <is>
          <t>不可</t>
        </is>
      </c>
      <c r="B7293" t="inlineStr">
        <is>
          <t>成功</t>
        </is>
      </c>
      <c r="C7293" t="inlineStr">
        <is>
          <t>読み方：ふか
１よくないこと。いけないこと。「可もなく—もなし」
２成績などの等級の最下位。優・良・可に次ぐもので、不合格。</t>
        </is>
      </c>
      <c r="D7293" t="inlineStr">
        <is>
          <t>不可能性(6%)；不可抗的；不可知的；不可触；不可説</t>
        </is>
      </c>
      <c r="F7293" t="inlineStr">
        <is>
          <t>利用不可；不可抗；通行不可；変更不可；ちゃ不可</t>
        </is>
      </c>
      <c r="G7293" t="inlineStr">
        <is>
          <t>不可欠；不可解；不可思議；不可避；不可分</t>
        </is>
      </c>
      <c r="H7293" t="n">
        <v>29</v>
      </c>
      <c r="I7293" t="inlineStr">
        <is>
          <t>このような性質は長期予測不能性 や予測不可能性 などとも呼ばれる。；栄一は自分の恋の成功を喜んだがまた云ふ可からざる苦痛を感じて来た。；これは全割り込みを不可にした場合のみ有効であることに注意されたい。；犬は直に云ふ可らざる満足の容子を示してわし達と一しよに歩き始めた。；ただし、電動車椅子はホーム幅が規定に足りないため不可とされている。；このような性質は長期予測不能性や予測不可能性などとも呼ばれる。；作者が頻繁に口にする「死の訪れの正確な推測の不可能性」が主題である。；互いのホームは跨線橋で連絡しており、線路の横断は不可とされている。；参加資格は18歳以下で、高校・大学チームの選手は参加不可となった。；渓谷ならば谷底は侵入不可地形となるので正確なショットが必要となる。；現在それらの追加データのほとんどはダウンロード不可になっている。；古代の一部の批評家はこれを可もなく不可もない二流の作品だと考えていた。；このパラドックスは当事者の誕生の不可能性にだけ注目したものではない。；当然、自由な処分は不可であり、その経営の仕方も決められたものであった。；この路線は一旦廃止され、後に復活したが、以降はEdy使用不可である。；そして実体は概念であるが故に不可視・不可触なものであると説明する。；ごく限られた空間以外は歩くことが許されず、建物内の見学は不可。；この間、正門は工事関係の車が出入りするため生徒の出入りは不可となった。；ただしそのまま日本に適用することの不可が指摘されている。；ちなみに、このEPはアルバム発売にあわせて入手不可となっている。；これは決定不可能性が示された歴史的に最初の問題である。；なお、後述の小田急バスとの共通定期券は全区間で利用不可となっていた。；当駅発着のバス路線は全て、交通系ICカードは利用不可となっている。；したがって編成あたりでは階下席を除いた回転不可の座席は36席存在する。；その選手のカードを手に入れていない場合ルックスと特殊能力の変更は不可。；これらの主なものは王位継承決定の規則と王領不可譲の原則である。；また、民営化後は設置者によっては一般の利用が不可となるケースがある。；駅舎内にトイレを有するが、閉鎖されて使用不可となっている。；以下のケースは血液に細菌が混入している恐れがあるため不可となる。</t>
        </is>
      </c>
      <c r="J7293">
        <f>HYPERLINK("https://www.weblio.jp/content/不可", "词义详情")</f>
        <v/>
      </c>
      <c r="K7293">
        <f>HYPERLINK("https://yourei.jp/不可", "查看例句")</f>
        <v/>
      </c>
    </row>
    <row r="7294">
      <c r="A7294" t="inlineStr">
        <is>
          <t>部下</t>
        </is>
      </c>
      <c r="B7294" t="inlineStr">
        <is>
          <t>成功</t>
        </is>
      </c>
      <c r="C7294" t="inlineStr">
        <is>
          <t>読み方：ぶか
組織などで、ある人の下に属し、その指示・命令で行動する人。配下。手下。</t>
        </is>
      </c>
      <c r="D7294" t="inlineStr">
        <is>
          <t>部下たち(12%)；部下達；部下将兵；部下全員；部下ども</t>
        </is>
      </c>
      <c r="E7294" t="inlineStr">
        <is>
          <t>犬；配下；手足；側近；右腕</t>
        </is>
      </c>
      <c r="F7294" t="inlineStr">
        <is>
          <t>旧部下；若い部下；有能な部下；信頼できる部下；優秀な部下</t>
        </is>
      </c>
      <c r="H7294" t="n">
        <v>29</v>
      </c>
      <c r="I7294" t="inlineStr">
        <is>
          <t>しかし彼は部下の裏切りにあって殺害されたためこれはすぐに終息した。；しかも殺された部下のうち一人は結婚を約束した恋人の弟であった。；部下に聞かれたくない話をする際に英語を使用する士官も存在する。；ウェブは読んだことはないと答え、証人席にいる部下たちに次を譲った。；部下たちからはオヤジと呼ばれて敬愛され、源田の死後もそれは続いた。；角淳一が当時同社のアナウンサーだったことから、角の部下になった。；ジャックと別れた後は、部下であるアルメイダ捜査官と親密な仲となる。；典韋と十数人の部下は多数の敵に囲まれたが、みな一人で十人を相手にした。；また、友人や後輩、部下などを怒らせた時に使うのも本来は誤用である。；アエミリアヌスはモエシアで部下の軍人らによって皇帝の座に上がった。；私のただひとつの願いは私のかつての部下たちが私と同じ運命を免れることにある。；氐族の王の千万は馬超の元に逃亡し、その部下たちは夏侯淵に降伏した。；人から命じられて、人の指図で働くには、ああいうのが最良の部下なんだ。；その車の後を、ベネディクトの部下が尾行していくシーンで物語は終わる。；しかしキムはトゥイの部下が外で待っていることを知らず結婚を拒む。；しかしさすがに重かったのか、長刀は部下に持たせることが多かった。；彼は部下にトスカをリサイタル終了後にここに呼ぶように命令する。；そのときに自分の部下が自分の知らないところで勝手に麻薬取引をしていたことを知る。；素六は江戸から脱走した撤兵隊の部下を鎮めるため木更津へと向かった。；落合夫妻は「部下に指示はしていない」と起訴事実を全面的に否認した。；彼の部下は約200名だったが戦死者が41名、負傷者が53名もいた。；しかし、ホッパーは抵抗した一匹のアリを思い出すと、部下たちに語る。；レガスピの部下たちは更に兵士を率い、マニラを襲ってこれを征服した。；ダーティペアを部下に持った上司全員が胃を壊していたことが発覚する。；部下からタイミングの悪さを冷やかされ、膨れっ面をするシーンもある。；部下たちは疲れ切り、休ませようと近くの島に寄港することにした。；そのため同作におけるベガの目的は反乱を起こした部下の鎮圧になっている。；この反乱は安禄山とその部下史思明の名を取って安史の乱と呼ばれる。；屋敷を襲ったのは、陸軍で綾小路博士の部下であった天城博士だった。</t>
        </is>
      </c>
      <c r="J7294">
        <f>HYPERLINK("https://www.weblio.jp/content/部下", "词义详情")</f>
        <v/>
      </c>
      <c r="K7294">
        <f>HYPERLINK("https://yourei.jp/部下", "查看例句")</f>
        <v/>
      </c>
    </row>
    <row r="7295">
      <c r="A7295" t="inlineStr">
        <is>
          <t>不快</t>
        </is>
      </c>
      <c r="B7295" t="inlineStr">
        <is>
          <t>成功</t>
        </is>
      </c>
      <c r="C7295" t="inlineStr">
        <is>
          <t>読み方：ふかい
［名・形動］
１いやな気持ちになること。不愉快であること。また、そのさま。「—を覚える」「—な気分」「—感」
２気分のすぐれないこと。病気。不例。</t>
        </is>
      </c>
      <c r="D7295" t="inlineStr">
        <is>
          <t>不快そう(3%)；不快な思い；不快感；不快な気分；不快な感じ</t>
        </is>
      </c>
      <c r="E7295" t="inlineStr">
        <is>
          <t>不安；病気；ひどい；嫌；苦しい</t>
        </is>
      </c>
      <c r="F7295" t="inlineStr">
        <is>
          <t>御不快；快不快；ご不快；不快きわまる；不快な刺激臭</t>
        </is>
      </c>
      <c r="G7295" t="inlineStr">
        <is>
          <t>不快指数；不快臭；不快害虫；不快要塞</t>
        </is>
      </c>
      <c r="H7295" t="n">
        <v>29</v>
      </c>
      <c r="I7295" t="inlineStr">
        <is>
          <t>あの不快な圧力を持つた声があの小さな体の何処に蔵されてゐるのか?；ピアノ・日曜大工の音は近隣者に不快を与えるほどのものではなかった。；第二にさう云ふ告白を種に必要以上の金と名とを着服するのも不快である。；僕は死よりも不快なことに会へば、いつでも死ぬのにためらはないつもりだ。；ただし、大変不快な砂漠を通り、草が少なく十分な水も得られなかった。；ムーアは古典的な考え方をだんだん不快に感じるようになっていった。；彼らはその暑さに不快になり始め、小さな集団になっては家に戻り始めた。；否問題ではなくこの大きな暗が私の上に投げた不快な陰影に過ぎなかつた。；近くで見ていた限り、彼は明らかに不快な人物というわけではないらしい。；我々は恐らくこの両手の前に不快を感じずにはゐられないであらう。；しかし、メネンデスは既に結婚しており、この結婚には不快を表明した。；葉子は、熱病患者が冷たいものに触れた時のような不快な悪寒を感じた。；就中海軍の将校たちの大声に何か話しているのは肉体的に不快だった。；そして更に明かに不快な表情を示して弁護士の方を向きました。；水温30度の水中では作業中は不快な程熱くなることが報告されている。；その後は心臓が影響を受け始め、その後は不快なしびれが続くことになる。；セピア色のインクはどのインクよりも僕を不快にするのを常としていた。；と言うのも、父親は息子が同性愛者であることを不快に思っていたのである。；今の不快な状態の責任が、皆この番号簿のせいだという気がしたのだ。；埋葬のような不快な任務や地雷処理などの危険な任務を与えられることが多い。；黒衣婦人が、嫉妬にも似たはげしい不快を感じたのは無理ではなかった。；怒り、不安、抑うつ、などの不快な感情を容易に経験する傾向でもある。；私達はそれをやることができず、彼らを不快にさせてしまっていた。；ほんとうの芸術は観る者に不快の念を与えるものではないはずだと思います。；それもまた僕には不快よりも恐怖に近いものを運んで来た。；聞けば渋川も一寸の事ではあるが大いに不快であったとのことである。；僕は勿論この男の誤解を不快に思はずにはゐられなかつた。；不快感を不快であると感じることの出来る脳の仕組みも機能しない時がある。；彼女は永田が彼女の態度に不快を感じているということは充分に承知していた。</t>
        </is>
      </c>
      <c r="J7295">
        <f>HYPERLINK("https://www.weblio.jp/content/不快", "词义详情")</f>
        <v/>
      </c>
      <c r="K7295">
        <f>HYPERLINK("https://yourei.jp/不快", "查看例句")</f>
        <v/>
      </c>
    </row>
    <row r="7296">
      <c r="A7296" t="inlineStr">
        <is>
          <t>深い</t>
        </is>
      </c>
      <c r="B7296" t="inlineStr">
        <is>
          <t>成功</t>
        </is>
      </c>
      <c r="C7296" t="inlineStr">
        <is>
          <t>読み方：ふかい
［形］［文］ふか・し［ク］
１表面から底まで、また入り口から奥までの距離が長い。「—・い川」「—・い茶碗」「椅子に—・く腰掛ける」「山—・く分け入る」「彫りの—・い顔」⇔浅い。
２物事の程度や分量、また、かかわりなどが多い。「—・い感銘を覚える」「あまり—・く考えないほうがいい」「もとから関心が—・かった」「欲が—・い」「—・い仲」⇔浅い。
３色合いが濃い。「空の青さはどこまでも—・い」「山の緑が日増しに—・くなる」⇔浅い。
４密度が濃い。また、密生している。「霧が—・い」「—・い草むら」
５かなり時がたっている。また、盛りの時期にある。たけなわである。「夜が—・い」「秋も—・くなる」
６多く「…ぶかい」の形で、名詞、またはそれに準じる語に付いて接尾語的に用いる。
㋐表面や外から底や奥までの距離がある意を表す。「奥—・い」「根—・い」
㋑程度のはなはだしいさまを表す。「情け—・い」「疑り—・い」
[下接語] （ぶかい）意義深い・疑い深い・疑(うたぐ)り深い・遠慮深い・奥深い・感慨深い・考え深い・興味深い・草深い・毛深い・木(こ)深い・嫉妬(しっと)深い・慈悲深い・執念深い・思慮深い・慎み深い・罪深い・泥深い・情け深い・根深い・用心深い・欲深い</t>
        </is>
      </c>
      <c r="D7296" t="inlineStr">
        <is>
          <t>深いところ(3%)；深い眠り；深い悲しみ；深い谷；深い傷</t>
        </is>
      </c>
      <c r="E7296" t="inlineStr">
        <is>
          <t>重い；重大な；濃い；厚い；深刻な</t>
        </is>
      </c>
      <c r="F7296" t="inlineStr">
        <is>
          <t>より深い；最も深い；もっと深い；造詣が深い；深い関わり</t>
        </is>
      </c>
      <c r="G7296" t="inlineStr">
        <is>
          <t>深い意味；深い森；深い闇；深い反省；深い悔恨</t>
        </is>
      </c>
      <c r="H7296" t="n">
        <v>29</v>
      </c>
      <c r="I7296" t="inlineStr">
        <is>
          <t>警察は深い交際があったのではないかと捜査を進めていると報道された。；このほか、この島に関係の深い言語ではそれぞれ以下のように呼ばれた。；その背景にはカースト制度に基づくが深く影響している点が挙げられる。；これを読んで岸本は墓地での印象が彼女の上にも深かったことを知った。；楽器も手を深く入れた状態で正しい音程が取れるように設計されている。；これは彼にとってイギリスでの音楽生活への深い印象を刻むものだった。；このように、映画との関わりが深い街であるが、市内には映画館がない。；このときから、皇室との関係が他の顕官に比べてより深いものとなった。；月のあかりはどこかぼんやりありましたが、霧が非常に深かつたのです。；古くより本殿深く箱の中に納められており、現在も見ることはできない。；月のあかりはどこかぼんやりありましたが、霧が非常に深かったのです。；自動車との衝突事故に備えて高運転台構造とし、屋根も深くなっている。；もとはこの話は必ずもう少し池の雄蛇と関係が深かったのだろうと思います。；個人の葛藤や懊悩がどれほど深くとも、すべては小さな物語に過ぎない。；近年、奥田民生との親交が深くなりアルバムやツアーにも参加している。；その後のごようすを見ましても、悲しみがいかに深かったかわかりました。；いずれの分野も一朝一夕で身につくものではなく、奥の深い趣味と言える。；上記のように主な動物は日本本土と共通、あるいは関係が深いものである。；それぞれの信仰が深かったため、それらを習合することができなかった。；雨に縁の深かった妹は雨の日に世に出て同じ様な日に世を去った。；その中には深い仲になった女性もいたが、結婚してからは一転して妻一筋。；宗教的にも歴史が深く古代信仰の形体を知る上でも重要な地区である。；あの時が、わしの一生のうちで最も感銘の深かった時とも云えるのじゃ。；女子といふものは罪が深うてとても男子とはひとつに言へないものだ。；元はマリウスとの関係が深かったオラトルも、その一人に含まれていた。；地球内部の温度は深くなるにしたがって上昇し、また圧力も上昇する。；しかしながら、これらそれぞれが、深い個人的な意義がある作品である。；家庭でも作りやすく、深いコンテナなどを使って鉢植えでも育てられる。；南アジアとの関係が深く南部もしくは全土を南アジアに含むこともある。</t>
        </is>
      </c>
      <c r="J7296">
        <f>HYPERLINK("https://www.weblio.jp/content/深い", "词义详情")</f>
        <v/>
      </c>
      <c r="K7296">
        <f>HYPERLINK("https://yourei.jp/深い", "查看例句")</f>
        <v/>
      </c>
    </row>
    <row r="7297">
      <c r="A7297" t="inlineStr">
        <is>
          <t>不可解</t>
        </is>
      </c>
      <c r="B7297" t="inlineStr">
        <is>
          <t>成功</t>
        </is>
      </c>
      <c r="C7297" t="inlineStr">
        <is>
          <t>読み方：ふかかい
［名・形動］理解しようとしても理解できないこと。また、そのさま。「—な言動」</t>
        </is>
      </c>
      <c r="D7297" t="inlineStr">
        <is>
          <t>不可解な事件(3%)；不可解な行動(2%)；不可解な点(2%)；不可解な現象；不可解な死</t>
        </is>
      </c>
      <c r="E7297" t="inlineStr">
        <is>
          <t>不思議；なぞ；神秘；怪；ミステリー</t>
        </is>
      </c>
      <c r="F7297" t="inlineStr">
        <is>
          <t>不可解な表情；不可解な微笑；不可解な失踪；不可解な言動；不可解きわまる</t>
        </is>
      </c>
      <c r="H7297" t="n">
        <v>29</v>
      </c>
      <c r="I7297" t="inlineStr">
        <is>
          <t>そして町の家で母は今何をやっているだろうと不可解に思うのだった。；しかし、二人の周囲では一見関連性のない不可解な事件が次々と起きる。；やがて彼女の唇が開き、またしても不可解な言語がほとばしり出てきた。；問題の提出者たる古典科出身のYは不可解な顔をして何ともいわなかった。；ほとんどわからぬような暗い影が額にさし、不可解な微笑が唇に浮かんだ。；その日以来、歩郎の周りでは不可解な出来事が多く起こるようになる。；少なくともこの惑星だけは宇宙魚雷や不可解な信号を発してはいない。；それらの多くが、今日までに事件や不可解な問題や現象が解決されていない。；病床についている間、周りで不可解なことが起こっていることに気づく。；しかるにこの理由なき拷問を神が我に向って加うるは全く不可解である。；たとえこんな不可解な状況であろうとも絶対に取り乱すつもりはなかった。；彼はあたかも不可解な一編の劇を見るように、自分自身の劇を見ていた。；この常識をもっては不可解なことが、神の経綸である、神の意思である。；臍のないことの不可解さは、彼にさまざまなことを考えさせることだろう。；この地で起こる様々な不可解な事件は超常現象のせいだという人々もいた。；さうしてこんな不可解な社会にも芸術のあるのを知つて欣快を覚えた。；責任は重大だし、事件は不可解だし、僕はつくづく参っていたところだ。；この主張は、全く不合理だと言われるであろうし、不可解だと認めよう。；ただ、不可解な動作を行うことがあり、注意を要するプログラムである。；彼女と友人関係となってから、周囲で不可解な事件が起こり始める。；ここで私は、私の心に起つた不可解な変化に就いて一言しなければならない。；そんな中、彼女の周辺で遺産関係者に次々と不可解な出来事が起こる。；その不可解さから「UFOに回収された」などと言った噂まであがった。；だが、それでアイガーの不可解な表情の謎がすべてとけるわけではない。；ザカーズの顔はふしぎに穏やかで、目には不可解な表情が浮かんでいた。；人の精神は不可解なるものを理解せんがために、そういう虚偽を必要とした。；その日を境に、ベロニカの周囲で不可解な現象が次々と起こり始める。；こうして、JOAKは、不可解な一隊に、占領されてしまったのだった。；だから彼女の美しさは、彼女を見る人を不可解な気持ちにさせる。</t>
        </is>
      </c>
      <c r="J7297">
        <f>HYPERLINK("https://www.weblio.jp/content/不可解", "词义详情")</f>
        <v/>
      </c>
      <c r="K7297">
        <f>HYPERLINK("https://yourei.jp/不可解", "查看例句")</f>
        <v/>
      </c>
    </row>
    <row r="7298">
      <c r="A7298" t="inlineStr">
        <is>
          <t>不確実</t>
        </is>
      </c>
      <c r="B7298" t="inlineStr">
        <is>
          <t>成功</t>
        </is>
      </c>
      <c r="C7298" t="inlineStr">
        <is>
          <t>読み方：ふかくじつ
［名・形動］確実でないこと。はっきりしていないこと。また、そのさま。ふたしか。「—な記憶」
[派生]ふかくじつさ［名］</t>
        </is>
      </c>
      <c r="D7298" t="inlineStr">
        <is>
          <t>不確実な情報；不確実な状況；不確実な要素；不確実な約束</t>
        </is>
      </c>
      <c r="E7298" t="inlineStr">
        <is>
          <t>不明；疑い；不審；疑惑；怪しい</t>
        </is>
      </c>
      <c r="F7298" t="inlineStr">
        <is>
          <t>やや不確実</t>
        </is>
      </c>
      <c r="H7298" t="n">
        <v>29</v>
      </c>
      <c r="I7298" t="inlineStr">
        <is>
          <t>これは極めて不確実であるけれども、全くあり得ないことではなかった。；彼はディオゲネスの弟子だと言われているが、これもまた不確実である。；未来がどうなるかわからない、どのような変化が起きるか不確実である。；一つの観察が、これらの不確実さを解決する道をわれわれに示してくれる。；音で釘調整者の技量まで見抜いてしまうような不確実な習慣も存在する。；「でもあなたは不確実なことはしないわね」彼女はゆっくりと続けた。；私どもの哲学によると、なんでも不確実に言わなければなりません。；しかしそれらの文字は未解読であるため、この理論も不確実なままである。；正直に言えば、拷問というものは不確実と危険とに充満した手段である。；不確実の幸福は確実な不幸より、もっと不幸であろうと思います。；内はブートストラップ値で、不確実な分岐も図示されていることに注意。；シワ・オアシスはエジプト西部とされるが、その場所は不確実である。；なぜなら、チャールズ君の運命には不確実な部分はもうないはずだからです。；そもそも彼女の位置から見えたかどうかも不確実だった。；イギリスののミエリテリンは本群に含める可能性があるが、不確実である。；正確な系統的位置は不確実だが、ペリカン目など とは別の に属す。；その約束の中にも、その脅威の中にも、大きな不確実・変化・曖昧がある。；不確実なことをお知らせすることは、気を揉ませるばかりだからです。；俺の命は不確実だけど、そのどっちかだろうことは自信があるぞ。；ただし、それらの系統関係は不明で、一部は単系統性も不確実である。；温度計を使った気温の測定には、その誤差による不確実さの指摘もある。；全体主義の指導者がこのシステムの中で占める位置は矛盾に満ち不確実なものである。；生きている以上、偶有性のはらむ不確実さを避けることはできません。；機械に比べると人間という不確実な存在そのものが原因となったケースである。；すなわち知情意のもとである「自己の意識」が不確実になってきたのである。；なお、アースロプレウラもこの様な特徴をもつのかは未だに不確実である。；近年はまれに不確実な目撃例があるのみで、確実な繁殖地や越冬地も不明。；二、今度の作戦は其の動機と策応対象の不確実なるためハツキリ行かず。；ただしこれは進化速度一定を仮定しており、不確実な年代である。</t>
        </is>
      </c>
      <c r="J7298">
        <f>HYPERLINK("https://www.weblio.jp/content/不確実", "词义详情")</f>
        <v/>
      </c>
      <c r="K7298">
        <f>HYPERLINK("https://yourei.jp/不確実", "查看例句")</f>
        <v/>
      </c>
    </row>
    <row r="7299">
      <c r="A7299" t="inlineStr">
        <is>
          <t>不確定</t>
        </is>
      </c>
      <c r="B7299" t="inlineStr">
        <is>
          <t>成功</t>
        </is>
      </c>
      <c r="C7299" t="inlineStr">
        <is>
          <t>読み方：ふかくてい
［名・形動］確定していないこと。はっきりと決まってはいないこと。また、そのさま。「詳細はまだ—だ」「—な部分を残す」
[派生]ふかくていさ［名］</t>
        </is>
      </c>
      <c r="D7299" t="inlineStr">
        <is>
          <t>不確定要素(24%)；不確定な要素(3%)；不確定な部分；不確定パラメータ；不確定期限</t>
        </is>
      </c>
      <c r="E7299" t="inlineStr">
        <is>
          <t>不明；不安定；怪しい；疑わしい；おぼろげ</t>
        </is>
      </c>
      <c r="H7299" t="n">
        <v>29</v>
      </c>
      <c r="I7299" t="inlineStr">
        <is>
          <t>近年でも数種の再分類がなされるなど不確定な要素が多い分類群である。；どのみち不確定な相手を巻きぞえにする男女関係に絶対安全の保証はない。；これによって彼は知り得るものの領域から不確定的なものを排除した。；しかし、長くそういう不確定な状態のままであることはできなかった。；不確定要素は多く、解決しなければいけないことは山のようにある。；不確定で何が起こるか予想もつかない明日の明日のそのまた先。；バイアトロンの成功条件はあらゆる項目が不確定な計画を前提としていた。；声紋分析というのは、今でも相当、不確定要素が支配する領域なんです。；頭骨長の推定が不確定であることからこれらの推定は批判された。；正体が不確定のまま、確実に「赤い目」の人間の数だけは増えていく。；これはデータが与えられた場合の不確定量の条件付き確率である。；山科会議では大勢を制したものの、不確定要素がいくつもありすぎた。；交渉するにはお互いの信頼関係が不確定すぎると思いませんか?；主人公以外はターン毎に不確定で命令を無視して特殊能力を発動する。；概ね次のような系統樹が得られているが、各連の構成には少し不確定な部分がある。；これは初の試みであったため、無事に開通できるかどうか不確定な要素が多かったのである。；もっと正確にいえば、電子の位置と運動量は不確定の関係にある。；それに正論の基準である本人の幸福も、将来の不確定要素である。；長い時間やたくさんの不確定要素が混じりこむなら、運命とて絶対ではない。；人間の貞子も治癒能力や不確定な予知能力・霊能力などの超能力を持つ。；もちろん様々な部分に不確定な要素は多くあった。；市内からの空港バスが存在するが、不確定で信頼性がない。；未来は不確定であり、どんな悪魔も未来を見通すことはできない。；独立種とした場合も、パプアソデグロバトの亜種の数は不確定なままである。；だが、こう不確定要素が多くてはこれもやむを得ないことである。；日にちも不確定なので、この時期には十五日ほど、彼らは居座るらしい。；しかしのちには無限の愛とも説明されており、英字での綴りは不確定である。；位置と運動量で示されたような不確定の関係にあるオブザーバブルの場合がそうだ。；人の意識を作る不確定な光の集合体には、寿命はないのだろうか?</t>
        </is>
      </c>
      <c r="J7299">
        <f>HYPERLINK("https://www.weblio.jp/content/不確定", "词义详情")</f>
        <v/>
      </c>
      <c r="K7299">
        <f>HYPERLINK("https://yourei.jp/不確定", "查看例句")</f>
        <v/>
      </c>
    </row>
    <row r="7300">
      <c r="A7300" t="inlineStr">
        <is>
          <t>不可欠</t>
        </is>
      </c>
      <c r="B7300" t="inlineStr">
        <is>
          <t>成功</t>
        </is>
      </c>
      <c r="C7300" t="inlineStr">
        <is>
          <t>読み方：ふかけつ
［名・形動］ぜひ必要なこと。なくてはならないこと。また、そのさま。「—な（の）条件」
[派生]ふかけつさ［名］</t>
        </is>
      </c>
      <c r="D7300" t="inlineStr">
        <is>
          <t>不可欠である(22%)；不可欠なもの(6%)；不可欠であり(5%)；不可欠な要素(3%)；不可欠な存在(2%)</t>
        </is>
      </c>
      <c r="E7300" t="inlineStr">
        <is>
          <t>必要；重要；主要；第一；重大</t>
        </is>
      </c>
      <c r="F7300" t="inlineStr">
        <is>
          <t>絶対不可欠；必須不可欠；不可欠な構成要素；不可欠なインフラ；不可欠な物資</t>
        </is>
      </c>
      <c r="H7300" t="n">
        <v>29</v>
      </c>
      <c r="I7300" t="inlineStr">
        <is>
          <t>人類が大きな国家を作るようになると船舶による輸送が不可欠となった。；ダイブコンピュータを使用する場合でも事前の潜水計画は不可欠である。；世界が生き生きとしたものになるためには障害が不可欠なのである。；軍人の基本給や手当等の資格を認定するために不可欠な要素となっている。；このため農地を拡大するためには新たな水源の確保が不可欠であった。；児童主導で教室外の資料探しをすることは教育に不可欠のものである。；セキュアOSはTCBを構成しようとする時に不可欠な部分を提供する。；耐震構造の観点からこの柱は不可欠なため、撤去されずに残っている。；ただし人間は公的領域での生活と私的生活での生活の両方が不可欠である。；植民地拡大にはなんといっても巨大な海軍力が不可欠であった。；ここで不可欠な前提は、新技術の導入が有機的構成を上昇させることである。；なお、有吉の作品と人物を考える上で不可欠なのは母親秋津の存在である。；心臓は生命の維持に不可欠なので、発生の早い段階で中胚葉から形成される。；それは七色に光る石を持って生まれた愛良と開陸の協力が必要不可欠だった。；システムをよく理解していることはバグの原因をうまく特定するのに不可欠である。；これらは主に開放形シールドマシンでの掘削には不可欠な工法であった。；やや面倒ではあるが、安全に取り扱う為には必要不可欠な手順である。；「クイック」は現在ではスポーツ用自転車には不可欠の装備となっている。；外国との縁組は外部からの軍事的援助を引き出すのに必要不可欠であった。；経験則は裁判官が証拠を用いて事実を認定するには不可欠の手段となっている。；発生初期の観察には、細胞レベルの観察が不可欠だからである。；シューティングゲームをプレイする上で不可欠な回避力を測定する。；これは、既に治天の存在が不可欠になっていたことを表している。；筋肉細胞では、収縮に関わるタンパク質に結合することが不可欠である。；この決勝点はクラブを残留させるために不可欠なものとなっている。；語気助詞が語気や情貌を伝える上で必要不可欠である場合が非常に多い。；魔法が必要不可欠な場面もなく、無用の長物といっても過言ではない。；資本は生産過程と流通過程を経過することは循環上不可欠な運動である。；ただし、詳細な同定には線画が不可欠の場合が多いことは注意すべきである。</t>
        </is>
      </c>
      <c r="J7300">
        <f>HYPERLINK("https://www.weblio.jp/content/不可欠", "词义详情")</f>
        <v/>
      </c>
      <c r="K7300">
        <f>HYPERLINK("https://yourei.jp/不可欠", "查看例句")</f>
        <v/>
      </c>
    </row>
    <row r="7301">
      <c r="A7301" t="inlineStr">
        <is>
          <t>部活</t>
        </is>
      </c>
      <c r="B7301" t="inlineStr">
        <is>
          <t>成功</t>
        </is>
      </c>
      <c r="C7301" t="inlineStr">
        <is>
          <t>読み方：ぶかつ
《「部活動」の略》学生・生徒が始業前や放課後に行う運動部・文化部などのクラブ活動。</t>
        </is>
      </c>
      <c r="D7301" t="inlineStr">
        <is>
          <t>部活連；部活帰り；部活仲間；部活紹介；部活生徒</t>
        </is>
      </c>
      <c r="F7301" t="inlineStr">
        <is>
          <t>各部活；どの部活；部活やめる；系部活；所属する部活</t>
        </is>
      </c>
      <c r="G7301" t="inlineStr">
        <is>
          <t>部活メンバー；部活動・クラブ活動・サークル活動；部活未亡人；部活サッカー；部活離婚</t>
        </is>
      </c>
      <c r="H7301" t="n">
        <v>29</v>
      </c>
      <c r="I7301" t="inlineStr">
        <is>
          <t>部活をやっている連中が何が起きたんだって目でその光景を眺めている。；僕は部活をしていないから、この時間まで学校に残ることはあまりない。；だからどんなに疲れていても部活だけは続けたし、高校にも入学できた。；中学のころから部活に入らないか、と誘われたのは一回や二回じゃない。；主人公である月音を始め主要構成メンバーの所属する部活となっている。；直接の勧誘を繰り返しつつクラブ説明会の部活紹介で落とした形になる。；これで、部活に参加している生徒以外はほとんど下校してしまうだろう。；部活に入っている時に人の肩の上など不安定な場所に立つ中で覚えた。；部活で朝練がある生徒たちは、もう一本か二本早いバスで来るのだろう。；私たちが姉妹を解消して直後に繭が部活をやめたから、気になっていたの。；放課後でも開いている学食を利用するのは、部活をしている生徒が大半。；部活を終え、茶子はいったん家に荷物を置いたのち、真田家に向かった。；そうだなあ、いままで部活中に一人で途中まで制作してたやつがあんだろ?；部活がある日なのに令が現れたら、お姉さまは喜んでくださるだろうか。；過去には近畿大会や全国大会に出場した経歴がある部活も存在している。；沖縄にいる時は部活にも入らず、学校から帰ると散歩ばかりしていた。；高校に進学すると、まず考えなければならなかったことが部活の選択だった。；あと、先輩と同じ部活に所属している俺をちょっと嫌っている感じだった。；妹関係でいろいろありそうだが、何だか突然部活にも力を入れだしたのだ。；私も部活に入っていないから、できるだけ協力しようとは思っている。；季節は春、鹿鳴館高校では新入生歓迎を兼ねた部活紹介が行われていた。；他のスポーツ、あるいは文化系の部活をするのもいいかもしれない。；席に戻ると、藤原君は試験も終わり再開された部活に出かけてしまっていた。；部活をやっている生徒ですらもうほとんど下校している時間である。；そのうちの一人は、部活中に、大怪我をして入院しちゃったんです。；全国の大学に部活があり、その出身者たちの活躍も発展の素地となっている。；前方を見れば、文芸部の他にもこういった勧誘をやっている部活があった。；部活も終わっているし、ここに来ても得られる物などないだろう。；あと部活が終わって何か食べて、と真太郎は一日五食は食べている。</t>
        </is>
      </c>
      <c r="J7301">
        <f>HYPERLINK("https://www.weblio.jp/content/部活", "词义详情")</f>
        <v/>
      </c>
      <c r="K7301">
        <f>HYPERLINK("https://yourei.jp/部活", "查看例句")</f>
        <v/>
      </c>
    </row>
    <row r="7302">
      <c r="A7302" t="inlineStr">
        <is>
          <t>不可能</t>
        </is>
      </c>
      <c r="B7302" t="inlineStr">
        <is>
          <t>成功</t>
        </is>
      </c>
      <c r="C7302" t="inlineStr">
        <is>
          <t>読み方：ふかのう
［名・形動］できないこと。可能でないこと。また、そのさま。「—な冒険にあえていどむ」</t>
        </is>
      </c>
      <c r="D7302" t="inlineStr">
        <is>
          <t>不可能である(15%)；不可能であり(3%)；不可能な状態；不可能なほど；不可能な場合</t>
        </is>
      </c>
      <c r="E7302" t="inlineStr">
        <is>
          <t>無理；駄目；不能；有り得ない；インポッシブル</t>
        </is>
      </c>
      <c r="F7302" t="inlineStr">
        <is>
          <t>実現不可能；使用不可能；予測不可能；実行不可能；修復不可能</t>
        </is>
      </c>
      <c r="G7302" t="inlineStr">
        <is>
          <t>不可能犯罪；不可能図形；不可能性定理；不可能物体；不可能を可能にする男</t>
        </is>
      </c>
      <c r="H7302" t="n">
        <v>29</v>
      </c>
      <c r="I7302" t="inlineStr">
        <is>
          <t>一見不可能に見えることも再現したり、実験したりしてみせるのが特徴。；それを聞いたハイゼンベルクは、そんなことは不可能だと驚いたという。；しかし絶対零度より低い温度を持つ物体はないのでこれは不可能である。；その他の地域ではマントルの熱を直接利用することはほとんど不可能。；改札はホームごとに独立しており、入場後のホーム同士の往復は不可能。；まず一般的に考えられる農民への増税は、一関藩の場合は不可能だった。；これらのプレイヤーの真の意図の問題を追跡して請うことは不可能である。；つまり同時に複数のプログラムを実行することは不可能である。；が、上記の微生物学的知見を駆使して分類を行うことは不可能ではない。；したがって複数の定義された本能との相関関係も説明が不可能である。；ティミショアラでの抗議運動ははもはや止めることが不可能になっていた。；これに伴い、両者の乗り換えは最短経路の場合を除いて不可能となった。；通常の数学においても多くの決定不可能問題の例が知られている。；しかしこの場合はお互いを呼ぶような再帰呼び出しの実装が不可能である。；このような長大な距離を直接測定することは事実上不可能である。；黒色火薬はそれまで不可能だった場所でも金属や鉱石の採掘を可能にした。；また、当時は不可能であろうと考えられてきた輪転機の入手に成功。；そこの氷は崩れそうな状態であり、安全な基地を設営するのは不可能であった。；しかし、どちらか一方の関数形が不明な場合は、これが不可能になる。；しかしその領域では、それは解決不可能であったため、殺人的なものとなった。；完成はしなかったが構造上、通常の着陸は不可能で困難が伴ったと考えられる。；まして壁の建設は想像してもまず不可能という判断で思いも寄らなかった。；しかし、RGBとの対応関係をある程度明らかにすることは不可能ではない。；分析・合成が不可能な未知の物質でできており、偽造は不可能である。；その為、婚姻は親側の承認が先に出ないと成立させることが不可能となっている。；それでも正十一角形など無数に作図不可能なものが存在するのである。；ただし、原作挙動の再現はゲームの進行が不可能になる場合がある。；インターネットやテレビが視聴不可能な国や地域が未だに多く存在している。；この世界に存在すると思われるもののオーソドックスな科学では説明不可能なこと。</t>
        </is>
      </c>
      <c r="J7302">
        <f>HYPERLINK("https://www.weblio.jp/content/不可能", "词义详情")</f>
        <v/>
      </c>
      <c r="K7302">
        <f>HYPERLINK("https://yourei.jp/不可能", "查看例句")</f>
        <v/>
      </c>
    </row>
    <row r="7303">
      <c r="A7303" t="inlineStr">
        <is>
          <t>不可避</t>
        </is>
      </c>
      <c r="B7303" t="inlineStr">
        <is>
          <t>成功</t>
        </is>
      </c>
      <c r="C7303" t="inlineStr">
        <is>
          <t>読み方：ふかひ
［名・形動］避けようがないこと。また、そのさま。「国交断絶は—だ」</t>
        </is>
      </c>
      <c r="D7303" t="inlineStr">
        <is>
          <t>不可避的(20%)；不可避なもの(2%)；不可避性；不可避かつ；不可避論</t>
        </is>
      </c>
      <c r="E7303" t="inlineStr">
        <is>
          <t>必然的；必至；致し方ない；必然性；余儀ない</t>
        </is>
      </c>
      <c r="F7303" t="inlineStr">
        <is>
          <t>開戦不可避</t>
        </is>
      </c>
      <c r="H7303" t="n">
        <v>29</v>
      </c>
      <c r="I7303" t="inlineStr">
        <is>
          <t>あんなふうに即時的かつ不可避の殺人手段など存在していいはずがない。；予想された不可避の事態が、予想どおり到来したというに過ぎないのだ。；今日の戦闘の前から、すでに戦争の不可避をしきりと外電が伝えていた。；避けられない死がそこにあり、それと等しく不可避の誕生があるのです。；防御構造場をはるのに不可避の超コンバーターは目もあてられなかった。；アルフレッド・ロッコは、この衝突は不可避と主張して以下発言をした。；指導と被指導の関係は不可避的に非民主的であると考えるからである。；これは不可避的に特定の種類の分子を表現する際の精度の低下を伴う。；ロシアとの将来的な対決はビスマルク時代にはすでに不可避となっていた。；僕等は不可避的にそうした立ちおくれを余儀なくされているんです。；しかしこれにより市民たちと教会兼領主との衝突は不可避となった。；ディズレーリも政権を維持するためには選挙法改正が不可避と考えていた。；これが不可避であっても、私は働く職場があれば、がんばれると思った。；私達のその社会の不可避的な出現も、人間の意志がその方向に働くからです。；自分が彼の中に投入して行くためにそれが不可避の関門だというだけのことだった。；このような種類のは、宇宙に広がる物質の非一様な分布のために不可避である。；わたしはずっと以前から戦争が不可避であると考えていた。；だが偶然からはどこまでいっても不可避性は生れてこない。；何故なら魔法の行使には、エイドス側から不可避の反動が生じるからだ。；つい約束してしまったことや、その不可避の結果を考えて恐ろしくなってきた。；これによってスパルタとの対立は決定的となり、戦争は不可避になった。；おれの当然の、不可避の運命に向かっては、ほんの一歩か二歩だ。；将来の予算削減が不可避となったため2009年に計画は縮小された。；そのため本形式はIId型と同様、従輪の設置が不可避となっている。；わたしたちがいま不可避に生きているときだけ歴史は必然として体験される。；景気悪化状況での経済対策には財源が必要であり、増税が不可避であった。；それはつまり、墜落がもはや不可避となったことを意味していた。；ジムはこの上もなく不可避の理由があったのだと確信した。；このままTといれば不可避的にその手順をふまなければならなくなるだろう。</t>
        </is>
      </c>
      <c r="J7303">
        <f>HYPERLINK("https://www.weblio.jp/content/不可避", "词义详情")</f>
        <v/>
      </c>
      <c r="K7303">
        <f>HYPERLINK("https://yourei.jp/不可避", "查看例句")</f>
        <v/>
      </c>
    </row>
    <row r="7304">
      <c r="A7304" t="inlineStr">
        <is>
          <t>ぶかぶか</t>
        </is>
      </c>
      <c r="B7304" t="inlineStr">
        <is>
          <t>成功</t>
        </is>
      </c>
      <c r="C7304" t="inlineStr">
        <is>
          <t>［副］(スル)
１身に着ける物が大きすぎて、ゆるんでいるさま。「お下がりの—（と）したズボン」
２ふくれてやわらかくなっているさま。「雨が漏って壁が—してきた」
３大きな音でらっぱなどの気鳴楽器を鳴らす音や、そのさまを表す語。「アコーディオンを—鳴らす」
［形動］
１1に同じ。「—な帽子」
２2に同じ。「水を含んで—なベニヤ板」
［アクセント］はブカブカ、はブカブカ。</t>
        </is>
      </c>
      <c r="D7304" t="inlineStr">
        <is>
          <t>ぶかぶかの靴(3%)；ぶかぶかの服(2%)；ぶかぶか浮い(2%)；ぶかぶかのtシャツ；ぶかぶかのダウンコート</t>
        </is>
      </c>
      <c r="E7304" t="inlineStr">
        <is>
          <t>緩い；ゆるゆる；だらしない；弛い；緩緩</t>
        </is>
      </c>
      <c r="H7304" t="n">
        <v>29</v>
      </c>
      <c r="I7304" t="inlineStr">
        <is>
          <t>私もぶかぶかの靴をはいて、兄のシャツをお下がりにもらっていた。；だがその制服はサイズが合っていなくて、かなりぶかぶかだった。；一ヶ月であっという間に七キロ痩せて、もう服がぶかぶかなんですよ。；彼女はどうやら鶴屋さんの物らしいぶかぶかのTシャツを着ていた。；直立しているけれど服は着ておらず、ただぶかぶかのブーツを履いている。；ぶかぶかのダスターコートを着た男が入ってくるのが見えた。；その下から、ぶかぶかの赤いズボンとぺしゃんこになった赤い帽子が出てきた。；彼の傍らにいつの間にかともはねが潜りこんで来ていてぶかぶかの服を着ていた。；ぶかぶかのワイシャツ一枚で眠っている少女の名前はインデックス。；タバサにはぶかぶかのサイズなので、なんとも妙な姿になっている。；袖の辺りがぶかぶかなので手が指先まで隠れ、内股になっていた。；ぶかぶかのチーノにランニング・シャツの男性が、その部屋の入口近くにいた。；私は彼の前では、手や手首をぶかぶかの洋服の袖で隠さずにすんだ。；袖も丈もぶかぶかなので、見ようによっては妙なワンピース姿にも見えた。；此の人に對して、三田は紺サアジとぶかぶかの靴には全く閉口してしまつた。；ぶかぶかの靴もいやだが、水のしみ込むのもやりきれない。；上着がすこし大きすぎるのか、全体にぶかぶかした着込みだった。；南洋なれしてるロケ隊は、たいていぶかぶかのルーズなTシャツを着てる。；中はからっぽで、空気がはいっていて、その力で、ぶかぶか浮いているのです。；彼女は、水着の上に膝上までかくれるぶかぶかのTシャツを着ている。；いそいで制服をつくったせいか、肩のあたりがぶかぶかで、そのせいで肩が薄そうにみえた。；小さな身体に、ぶかぶかな服という組み合わせが良いのだよ。；ズボンはぶかぶかだが短すぎ、靴には白いリボンがつけられている。；袖で掌が隠れてしまうほどぶかぶかのシャツは、きっとそういうファッションなんだろう。；ぶかぶかの、肩からずりおちかかっているような寝巻き姿は、捨てられた子犬のようで。；ややサイズがぶかぶかのワンピースを着ているので、肩ひもがズレてしまっている。；私は2のほうで、ぶかぶかのオーバーオールから入り、そのうち分離型へと移行した。；だから今ぼくが着てるYシャツがぶかぶかなのか。；チームの愛称Baggiesはこの当時の選手達がぶかぶかのバギーパンツを穿いてプレーをしていたことに由来する。</t>
        </is>
      </c>
      <c r="J7304">
        <f>HYPERLINK("https://www.weblio.jp/content/ぶかぶか", "词义详情")</f>
        <v/>
      </c>
      <c r="K7304">
        <f>HYPERLINK("https://yourei.jp/ぶかぶか", "查看例句")</f>
        <v/>
      </c>
    </row>
    <row r="7305">
      <c r="A7305" t="inlineStr">
        <is>
          <t>深まる</t>
        </is>
      </c>
      <c r="B7305" t="inlineStr">
        <is>
          <t>成功</t>
        </is>
      </c>
      <c r="C7305" t="inlineStr">
        <is>
          <t>読み方：ふかまる
［動ラ五（四）］ある状態や程度がしだいに深くなっていく。「秋が—・る」「愛が—・る」</t>
        </is>
      </c>
      <c r="D7305" t="inlineStr">
        <is>
          <t>深まるころ</t>
        </is>
      </c>
      <c r="F7305" t="inlineStr">
        <is>
          <t>ますます深まる；深まれば深まる；いよいよ深まる；一層深まる；いっそう深まる</t>
        </is>
      </c>
      <c r="H7305" t="n">
        <v>29</v>
      </c>
      <c r="I7305" t="inlineStr">
        <is>
          <t>かれの口に魅せられているのを知っているかのように笑みが深まった。；青爾との関係が深まるにつれ、私は近所の目を考えざるを得なくなった。；政権を支持する側と批判する側で民衆運動や労働運動との対立が深まった。；秋が深まってきているとはいえ、この地方の冬の訪れはまだ先のことなのだ。；巨大な都市の交通が、夜が深まっていく中で眠りのない河の上で続いていた。；やがて深まりゆく夕闇のなか、カーターは過去からの声を耳にしていた。；いよいよ秋も深まりまして、夜ともなると暖炉なしでは過ごせませんな。；まだ寒さを感じるほどの季節ではないのだが、秋は急速に深まりつつあった。；特にシュコダ社だけにレース参戦が許可されるとこの思いは深まった。；まわりからは段々と人影がなくなっていって、段々と夜が深まっていく。；プロジェクトの大ファンであることが判明し、一気に交流が深まった。；暗さはますます深まる一方で、ペルシダー人たちの心を恐怖の塊にした。；たしかに旅に出て、霞とのあいだは以前とは比べようもないほど深まった。；カップ状の眼はさらに深まって部屋状となり、ピンホール眼が発達した。；ここまで考えが深まったのだから、先生にはどんなことでも求められそうだ。；「あのとき私もパンダを見にいったのよ」 舞子の顔に微笑が深まった。；日ごとに疑問が深まるばかりで、ついには確かめずにはいられなくなった。；まさかこの秋も深まった時期に水の冷たい川で泳いできたって言うの?；このことが2人の間に成長していた嫌悪感を深まらせることになった。；冬は週ごとに深まって、すでに膝丈に積もった雪にさらに雪をくわえた。；そのくせ、それが文字であるという確信だけは、どんどん深まっていく。；各部門間の交流が深まっていいといえばいいが、なんとみみっちいことか。；謎は深まるばかりですが、実は四巻も十二月発売じゃなかったりします。；そして仲が急速に深まった二人は共にピクニックにまで行くように。；それに達しないのはどこかに思索に深まり方が足りないからであろうと思われた。；恵理と体の関係が生じてから逆に彼女の謎が深まったようである。；私は酔いの深まっていく頭で、その自分の書いた文章を思い出していました。；十日ばかりこなかった間に秋は深まり、金木犀もいまが盛りなのだろう。；たったの一日ではあるが、その一日分だけ、きっちりと秋が深まっている。</t>
        </is>
      </c>
      <c r="J7305">
        <f>HYPERLINK("https://www.weblio.jp/content/深まる", "词义详情")</f>
        <v/>
      </c>
      <c r="K7305">
        <f>HYPERLINK("https://yourei.jp/深まる", "查看例句")</f>
        <v/>
      </c>
    </row>
    <row r="7306">
      <c r="A7306" t="inlineStr">
        <is>
          <t>深み</t>
        </is>
      </c>
      <c r="B7306" t="inlineStr">
        <is>
          <t>成功</t>
        </is>
      </c>
      <c r="C7306" t="inlineStr">
        <is>
          <t>読み方：ふかみ
１深さの度合い。深いという感じ。「樹木の緑の—がます」
２川などの深い所。深間。「—にはまる」⇔浅み。
３表面だけではわからない奥深い味わい。「—のある味」
４深入りして身動きのとれない状態。「放蕩の—へ誘い込む」</t>
        </is>
      </c>
      <c r="D7306" t="inlineStr">
        <is>
          <t>深みゆく；深みへ沈ん</t>
        </is>
      </c>
      <c r="E7306" t="inlineStr">
        <is>
          <t>厚み；深海；深淵；深度；奥行き</t>
        </is>
      </c>
      <c r="F7306" t="inlineStr">
        <is>
          <t>さらなる深み；黒い深み；哲学的な深み</t>
        </is>
      </c>
      <c r="G7306" t="inlineStr">
        <is>
          <t>深みどり</t>
        </is>
      </c>
      <c r="H7306" t="n">
        <v>29</v>
      </c>
      <c r="I7306" t="inlineStr">
        <is>
          <t>ことによったら、こんなものよりはずっと深みさえあるかもしれません!；自分がまた一歩、身動きのできない深みに沈んでいくように感じていた。；曲に物語性や深みがあることを指摘しており、実際に会いたいと述べた。；ずっとだまっていた後だから、その声はとても深みのある声に聞こえた。；暗さはいよいよ深くなっていたが、その深みがかえって彼を安心さした。；ある婦人は川の深みのそばで、連れの者と見た光景の話をしてくれた。；しかし幸福説は道徳的意識の深みと先験性とをどうしても説明し得ない。；私の魂は、あの瞳に湛えられた静かな水の深みに捕らえられてしまった。；それがまたおもしろそうなので私たちもだんだん深みに進んでゆきました。；いわば自分自身であがきのとれない深みにはいったようなもんじゃないか。；女たらしだったけどまだ反町悠介のほうが深みはあったような気がする。；それから深みへ押し流されて炭化し、新しい世代のなかで再利用された。；そしてそれは、どんどんと僕の心を絶望の深みへと追いやって行ったんだ。；人物像が象る影がこれらのパネルに深みを与える写実表現となっている。；彼らが深みへおちこんで行ったのも、君がそこまでつれて行ったのさ。；だから深みにはまってしまったのではないかとまわりでは噂をしているようだ。；一方で、ロジャー・イーバートはキャラクターに深みが無いと批判した。；彼女の美しさの底知れぬ深みへわたしは求めて引き込まれていくのだ。；当時の物質主義は人間の精神の深みを考える余裕をもっていなかったのだから。；パーカッションの音に深みを出すために日本の太鼓が使用されている。；数年たつと、それはとても薄っぺらな、深みのないものになると思うね。；より深みを持つ類似は潮汐力を曲率と呼ばれる表面の性質と関連付ける。；深みから虫をさそい出さないように、はっきりと計算した動きかただ。；父も母もおよそ教養のない、深みのない人間であることを隠しはしなかった。；また自己の内面を詩に表したりなど、より深みのある表現を試みたのだった。；この作のはじめには、短くとも深みのある「はしがき」が書かれている。；雪沓をはいているものの、それ以上の深みに、足がのめり込むのである。；そして自分では気づかないでいる一種の深みに到達していた。；物語のディテールや深みのあるキャラクター造形が特に賞賛されている。</t>
        </is>
      </c>
      <c r="J7306">
        <f>HYPERLINK("https://www.weblio.jp/content/深み", "词义详情")</f>
        <v/>
      </c>
      <c r="K7306">
        <f>HYPERLINK("https://yourei.jp/深み", "查看例句")</f>
        <v/>
      </c>
    </row>
    <row r="7307">
      <c r="A7307" t="inlineStr">
        <is>
          <t>深める</t>
        </is>
      </c>
      <c r="B7307" t="inlineStr">
        <is>
          <t>成功</t>
        </is>
      </c>
      <c r="C7307" t="inlineStr">
        <is>
          <t>読み方：ふかめる
［動マ下一］［文］ふか・む［マ下二］
１物事の程度を深くする。「親睦(しんぼく)を—・める」「改めて認識を—・める」
２心に深く思う。
「深海松(ふかみる)の—・めし児らを」〈万・三三〇二〉</t>
        </is>
      </c>
      <c r="D7307" t="inlineStr">
        <is>
          <t>深めるべく</t>
        </is>
      </c>
      <c r="E7307" t="inlineStr">
        <is>
          <t>強化；激化；強める</t>
        </is>
      </c>
      <c r="F7307" t="inlineStr">
        <is>
          <t>いっそう深める；一層深める；ますます深める</t>
        </is>
      </c>
      <c r="H7307" t="n">
        <v>29</v>
      </c>
      <c r="I7307" t="inlineStr">
        <is>
          <t>湖水地方への愛を深め、詩人になる決意を確認したのもこのころだった。；新聞や本の近くで働くことによりワトソンは政治への関心を深めてゆく。；これらの行事のねらいは、地域と学校の連携を深めることとされている。；ミス・ウォルドとの旅で、精神に異常をきたした人々への理解を深めた。；日本や台湾の各種イベントで両国の絆を深めるためPR活動をしている。；バーティはいずれの国からも大歓迎され、関係を深めることができた。；その他にも議論を深めるために議員間同士の討議の場を設けている。；第一条の審議にあたっては別個の提案をし、議論を深めるのに貢献した。；という点についてはそれぞれの思惑もあって対立を深めることになった。；政略結婚であったが、夫婦仲は睦まじく歳を追う毎に愛情を深めていた。；威厳に満ちたディアナは相互に理解を深めるためパーティの開催を宣言。；地理的理解を深めるため、協会は様々な場所への遠征の企画を行なってきた。；これには前述の鳥越のほか、鈴木実も参加、以後鈴木とも交流を深める。；ここでは本モペッドへの理解を深めるため操作方法について特に解説する。；主演を務めた嵐の相葉雅紀とは、このドラマをきっかけに親交を深める。；彼はその自立体と交流を深めるうちに、奇妙な感情を抱くようになる。；その後、福岡市とは交換教育プログラムなどを通して交流を深めている。；本節では作品理解を深めるためにその時代の歴史背景を解説する。；姉妹校間の交流を深め、社会に働きかける力を育てていく活動をしている。；一般的には上面が広く開いている入れ物のうち、深めの形状のものを指す。；生徒から浴びせられる様々な質問に応えるために自身も知識を深めていった。；一高時代はボート部で活動し、また中国人留学生たちとの交流を深める。；なお、ボウイとはスイスでレコーディング中に親交を深めていたという。；無司祭派は狂信の度を深めて無数に分裂を繰り返し、勢力を弱めている。；科の垣根を越えて交流を深めるため体育大会や体育交流も実施されている。；ここで映画への興味を深め、またストリップ劇場など大人の世界にも触れた。；毎年、運動部が岩出山高校と定期戦をしており、交流を深め合っていた。；両家は当初協力関係にあったが、次第に対立を深め衝突するようになった。；研究所では、一般の人々が鳥について学びを深める複数の方法を用意している。</t>
        </is>
      </c>
      <c r="J7307">
        <f>HYPERLINK("https://www.weblio.jp/content/深める", "词义详情")</f>
        <v/>
      </c>
      <c r="K7307">
        <f>HYPERLINK("https://yourei.jp/深める", "查看例句")</f>
        <v/>
      </c>
    </row>
    <row r="7308">
      <c r="A7308" t="inlineStr">
        <is>
          <t>不完全</t>
        </is>
      </c>
      <c r="B7308" t="inlineStr">
        <is>
          <t>成功</t>
        </is>
      </c>
      <c r="C7308" t="inlineStr">
        <is>
          <t>読み方：ふかんぜん
［名・形動］欠けたり十分でないところがあったりして、完全でないこと。また、そのさま。「—な書類」</t>
        </is>
      </c>
      <c r="D7308" t="inlineStr">
        <is>
          <t>不完全なもの(7%)；不完全な状態(2%)；不完全な形；不完全なまま；不完全な情報</t>
        </is>
      </c>
      <c r="E7308" t="inlineStr">
        <is>
          <t>不足；欠け；漏れ；不良；不十分</t>
        </is>
      </c>
      <c r="F7308" t="inlineStr">
        <is>
          <t>不完全世代；不完全相；不完全な骨格；不完全な標本；不完全甘柿</t>
        </is>
      </c>
      <c r="G7308" t="inlineStr">
        <is>
          <t>不完全菌；不完全性；不完全変態；不完全情報；不完全競争</t>
        </is>
      </c>
      <c r="H7308" t="n">
        <v>29</v>
      </c>
      <c r="I7308" t="inlineStr">
        <is>
          <t>このことはブレスト合同が不完全なものに終わる結果にも影響があった。；情報源にファンサブが含まれることも不完全な情報の原因となっている。；従って、この文書は不完全な文書をベースに作られたとも考えられる。；この不完全と言う意味は特にその矛盾に満ちたスコアに対して言われる。；多くの人々は死者は不完全な状態では復活できないと信じていた。；このため、ペグの調整が不完全な状態であると調弦が極めて困難である。；これは、PaXチームがPaXを不完全であると考えていたためである。；それゆえQはPAよりも弱いが同一の言語を持つ不完全な理論である。；そして旧約聖書の最初の五冊が不完全で信頼できないことを示した。；ショックから離脱した時点で不完全麻痺であったら回復する可能性がある。；かれらは不完全ながらも骨性二次口蓋を獲得し、特殊化した歯式を持っていた。；より小さな要素は、不完全な知識、あるいは途中結果を表現している。；スカイタイプに相当する能力を持つが、こちらも不完全な状態である。；なお世界中で多種多様な製品が発売されたため、以下の一覧は不完全である。；だから最も完全な人々の完全さも、一つの不完全さにすぎません。；その様式は前述の寺院と同様であるが、より大きくかつその装飾は不完全である。；この作品は、15世紀以来の不完全な状態の複写として保存されている。；開発者の一人である三鷹によると脱出装置が不完全であるとのこと。；しかしどちらのモデルも不完全であることは明白であるとされる。；治療が不完全な場合には関節炎や心内膜炎などの後遺症が残ることがある。；現在ではシアンの証明は不完全なものだったと認められている。；しかし、ジェネシス装置は不安定な元素を用いた不完全なものであった。；前述した掲載ページ左右の殴り書きも1巻でのみ不完全ながら収録されている。；夫も物理学者でその専門は統計力学、特に不完全気体の理論で知られる。；日常的世界に存在するものはイデアの不完全なコピーにすぎないとされる。；不完全米には、その外見上の色や形から名付けられた以下のようなものが含まれる。；幸いにもその処置は不完全なものであったため、父同様に後に視力は回復した。；また、認証テストスイートもバグが多く不完全であると批判されている。；臼井によれば、本作では人間の不完全さ、愚かさを描いているという。</t>
        </is>
      </c>
      <c r="J7308">
        <f>HYPERLINK("https://www.weblio.jp/content/不完全", "词义详情")</f>
        <v/>
      </c>
      <c r="K7308">
        <f>HYPERLINK("https://yourei.jp/不完全", "查看例句")</f>
        <v/>
      </c>
    </row>
    <row r="7309">
      <c r="A7309" t="inlineStr">
        <is>
          <t>武器</t>
        </is>
      </c>
      <c r="B7309" t="inlineStr">
        <is>
          <t>成功</t>
        </is>
      </c>
      <c r="C7309" t="inlineStr">
        <is>
          <t>読み方：ぶき
１戦いに用いる種々の道具や器具。刀や銃などの、敵を攻撃したり自分を守ったりするための兵器や武具。
２何かをするための有力な手段となるもの。「弁舌を—にする」</t>
        </is>
      </c>
      <c r="D7309" t="inlineStr">
        <is>
          <t>武器庫；武器弾薬；武器システム；武器術；武器類</t>
        </is>
      </c>
      <c r="E7309" t="inlineStr">
        <is>
          <t>兵器；凶器；銃剣；得物；兇器</t>
        </is>
      </c>
      <c r="F7309" t="inlineStr">
        <is>
          <t>特殊武器；新しい武器；使用する武器；打撃武器；専用武器</t>
        </is>
      </c>
      <c r="G7309" t="inlineStr">
        <is>
          <t>武器輸出；武器使用；武器屋；武器科；武器輸出三原則</t>
        </is>
      </c>
      <c r="H7309" t="n">
        <v>29</v>
      </c>
      <c r="I7309" t="inlineStr">
        <is>
          <t>そのためこの武器を紹介するときに銃の項目でなされることもある。；高度な製造技術を利用した武器は多く、財産的価値を持つものも多い。；また装飾とは別に武器が持つ一種の機能美に美術的価値が見出される。；しかし、ああしてぶきみな嘘が続き、最後にはそれが事実となったのだ。；タマゴの中には武器の他にも様々なアイテムやキャラクターが入っている。；武器はその能力以外に民族や権力の象徴のような特別な意味を持つ場合がある。；伝統的には、これらは捕食者から身を守るための武器と考えられてきた。；現代ではフランク族を象徴する武器のひとつとしてしばしば言及される。；さらにそれは心のどこかにひそむぶきみな敵の気配にもつらなっていた。；日本は武器の輸入は行っているものの武器の輸出は行っていない。；これら演武用の武器は房や動きを良く見せる効果をもたせたものが多い。；女たちにいわせると、どうして男たちはああもぶきようなのだろうという。；戦も、次の生命の芽ぶきに望みをかけていればこそ戦えるようなものだ。；武器に限らず、道具が効果を発揮するにはエネルギーが必要である。；人間の力をエネルギー源とする武器は、使用のたびにエネルギーを失う。；また、作品ごとに使用する武器やデザインなどに多少の違いがある。；刀は、武器の一種であり、剣の内でもとくに片側にしか刃のない物を指す。；しかし、実際に昔から日本で使われていたかは不明な武器である。；美しくぶきみな人形みたいに背に首をねじむけて、お汐はなすがままだ。；また、ソ連と対立する中国も武器や訓練でムジャヒディンを支援した。；これは剣などの武器類やさまざまな品物の製作監督や製造技術確立を任務とした。；中島たちの配置も、油ぶきの床に水が不気味に輪型を描いて、広がった。；機械式の武器の攻撃機構にはいくつか共通する構造がある。；技はWPを消費し、技と対応した所持武器を持っていれば使用できる。；スコピエでは革命の組織は上手く行かず武器の不足など深刻な問題であった。；長い武器は回転半径が長くなるため効果もまた大きなものとなる。；そして私たち三人だけが、シワブキもない沈黙の室から歩き出たのである。；いや、今夜そのものも、外からうかがうあのぶきみな眼をどうするのだ?；それは、あのぶきみな西洋悪魔のような、魔法博士の顔だったのです。</t>
        </is>
      </c>
      <c r="J7309">
        <f>HYPERLINK("https://www.weblio.jp/content/武器", "词义详情")</f>
        <v/>
      </c>
      <c r="K7309">
        <f>HYPERLINK("https://yourei.jp/武器", "查看例句")</f>
        <v/>
      </c>
    </row>
    <row r="7310">
      <c r="A7310" t="inlineStr">
        <is>
          <t>吹き込む</t>
        </is>
      </c>
      <c r="B7310" t="inlineStr">
        <is>
          <t>成功</t>
        </is>
      </c>
      <c r="C7310" t="inlineStr">
        <is>
          <t>読み方：ふきこむ
［動マ五（四）］
１風が吹いて中へ入りこむ。また、風に吹かれて、雨・雪などが中へ入りこむ。「雨が—・む」「すきま風が—・む」
２吹いて中へ入れる。「風船に息を—・む」「新風を—・む」
３ある精神・考え方を教え込む。「片寄った思想を—・む」
４レコーダーなどを用いて録音する。「テープにメッセージを—・む」</t>
        </is>
      </c>
      <c r="D7310" t="inlineStr">
        <is>
          <t>吹き込むべく；吹き込む冷たい風；吹き込む強い</t>
        </is>
      </c>
      <c r="E7310" t="inlineStr">
        <is>
          <t>収録；レコーディング；吹きこむ；録る；命を吹き込む</t>
        </is>
      </c>
      <c r="H7310" t="n">
        <v>29</v>
      </c>
      <c r="I7310" t="inlineStr">
        <is>
          <t>この分だと部屋の中にも雨が吹き込んで水浸しになっているに違いない。；余り芸術的な声なので酒の歌を蓄音器のレコードにも吹き込んだ筈です。；また、映画にも登場したキャラクター達は本人らが声を吹き込んでいる。；折もよしと弁護士は彼女の耳の中に金臭芬々たる次の言葉を吹き込んだ。；そんなに強い風なんか吹き込んでこなかったはずなのにおかしなことだ。；人形が空気を吹き込まれてゆくかの如くにそれは大きくなってゆく。；側にいなければきっと妻に、あることないこと好き勝手に吹き込むだろう。；また酸素ガスを吹き込みながら反応を行うなどの改良法も報告されている。；コミックのそれが命を吹き込む能力を持つことの説明にもなっている。；あんなのと宿が一緒では、あることないこと吹き込まれるに違いない。；それは空のレコードに吹き込まれた自分の声を改めて聞くやうな感じであつた。；彼は自分の娘に対して、深刻な恐怖を吹き込んだことを嬉しがっていた。；特に夜になると、五月というのに秋のように強い風が吹き込みはじめた。；ただこうした冬の央には、開き放しの窓から冷たい風が吹き込んで来た。；ドアの外の通路には、雪が吹き込み、さっきより一層深く積もっていた。；いくつかの当り役はレコードに吹き込まれて今日でも聴くことができる。；腕の一本くらいが通りそうな穴ができ、そこから冷たい風が吹き込んできた。；それもこれも裏に動機があって我々の信用しやすい耳に吹き込んだことなんだね。；築き上げられ、生命を吹き込まれた世界を、心から美しいと感じていた。；物語に胸を躍らせているうちに、神々のメッセージが吹き込まれていく。；だがその感情を、彼女が僕に吹き込んだ恐怖と調和させねばならなかった。；まさか雨が部屋を通り越して押入れの中だけに吹き込んだわけでもあるまい。；いや、二曲目も三曲目も吹き込んだのだが、遂にヒットしなかったのだ。；これを同一の人物が吹き込んで音源を作成し、組み合わせて送出される。；彼らは、踊りに向いた楽曲を演奏してレコードに吹き込み、成功を収めた。；外の風が、それらの動きを追うように、駅ビルの中へと吹き込んでいく。；風は向きを変え沖から吹き込んでくるにつれて、その力を増していた。；背後に一つだけある窓には厚いカーテンが吹き込む風に小さく揺れていた。；風が吹き込む位置にちょうど遠子先輩が座っていて、壁になっている。</t>
        </is>
      </c>
      <c r="J7310">
        <f>HYPERLINK("https://www.weblio.jp/content/吹き込む", "词义详情")</f>
        <v/>
      </c>
      <c r="K7310">
        <f>HYPERLINK("https://yourei.jp/吹き込む", "查看例句")</f>
        <v/>
      </c>
    </row>
    <row r="7311">
      <c r="A7311" t="inlineStr">
        <is>
          <t>不規則</t>
        </is>
      </c>
      <c r="B7311" t="inlineStr">
        <is>
          <t>成功</t>
        </is>
      </c>
      <c r="C7311" t="inlineStr">
        <is>
          <t>読み方：ふきそく
［名・形動］規則正しくないこと。また、そのさま。「—な水玉模様」「食事が—になる」</t>
        </is>
      </c>
      <c r="D7311" t="inlineStr">
        <is>
          <t>不規則な形(4%)；不規則な生活；不規則網；不規則な動き；不規則な間隔</t>
        </is>
      </c>
      <c r="F7311" t="inlineStr">
        <is>
          <t>不規則な暗色；不規則な鋸歯；不規則な変動；不規則な呼吸；不規則な円形</t>
        </is>
      </c>
      <c r="G7311" t="inlineStr">
        <is>
          <t>不規則動詞；不規則銀河；不規則発言；不規則変光星；不規則抗体</t>
        </is>
      </c>
      <c r="H7311" t="n">
        <v>29</v>
      </c>
      <c r="I7311" t="inlineStr">
        <is>
          <t>国王の宮殿の建物は不規則に並んでいて、その周囲は七マイルあります。；そのスパイクは隣接する装飾に沿って大きく不規則な形状の骨塊になる。；また側面縁沿いは黄白色になり、後ろの縁は不規則な隆起が並んでいる。；出てくるキャラクターが決まったものもあれば、不規則なものもある。；あの方はふだんから大変不規則な習慣でして、よくお留守になさいます。；またその他に、上顎外側には比較的大型の歯が不規則に連続して存在する。；主に事務所主催のライブで不定期・不規則なメンバーでライブ出演していた。；通常、不規則な海洋の波の中には有義波高よりも高い波が含まれている。；その後東京にはかういふ不規則の面白い風景はどこにも無くなつた。；中央部には不規則な住宅街があり、その周りには水田が広がっている。；白い縁に囲まれているが、縁の外側は不規則な波のようなかたちをしている。；郡の西部は幾つかの水流が境界となり隣接する群と不規則な郡境を形成している。；街の西部の丘は不規則な玄武岩の破片で覆われた砂岩層で構成されている。；A型とB型の組み合わせでは以下のようにやや不規則な形が出現する。；白い縁に囲まれ、その縁の外側は不規則な波のように切ってある。；下顎から体側面にかけて白い筋模様、腹面には不規則な白い斑紋が入る。；これは規則的なものと不規則なものがあり、ある種の植物・動物双方で見られる。；自分の意思で動いているかのように不規則な軌道で宇宙空間を漂流している。；こんにち、工場は4つの不規則な建物のセットから構成されている。；十四五人の大人や子供が、道ばたに不規則な半円を描いて立止っていた。；葉裏には不規則に組み合わされた糸があり、この部分には粘性がない。；番組の収録時間は不規則だが、時間の都合で縮小されることもある。；ほかの現代東アラム語と同様、少数の単語が不規則な複数形を持っている。；腹面の色彩は赤色や橙色・黄色で、不規則に黒い斑紋が入る個体もいる。；これを不規則網と言い、ヒメグモ科の網では代表的なものとされる。；角の表面には不規則に横皺が入り、角の外側には稜線状の隆起がある。；不規則に広がった翼の後窓から、目もくらむような外の風景を見ることができた。；この状態の星は不規則な変光をするおうし座T型星として観測される。；人物が片手を挙げると、手のひらから不規則に点滅する光が発せられる。</t>
        </is>
      </c>
      <c r="J7311">
        <f>HYPERLINK("https://www.weblio.jp/content/不規則", "词义详情")</f>
        <v/>
      </c>
      <c r="K7311">
        <f>HYPERLINK("https://yourei.jp/不規則", "查看例句")</f>
        <v/>
      </c>
    </row>
    <row r="7312">
      <c r="A7312" t="inlineStr">
        <is>
          <t>吹き出す</t>
        </is>
      </c>
      <c r="B7312" t="inlineStr">
        <is>
          <t>成功</t>
        </is>
      </c>
      <c r="C7312" t="inlineStr">
        <is>
          <t>読み方：ふきだす
［動サ五（四）］
１
㋐（吹き出す）風が吹きはじめる。「秋風が—・す」
㋑こらえきれずに笑いだす。「おかしくて、つい—・す」
㋒内にあるものが勢いよく外に出る。「血が—・す」「汗がどっと—・す」
㋓草木の芽が勢いよく出る。芽吹く。「若芽が—・す」
２
㋐（吹き出す）笛などを吹きはじめる。「フルートを—・す」
㋑（吹き出す）自慢話などをはじめる。「ほらを—・す」
㋒吹いて外に出す。「タバコの煙を—・す」
㋓草木が勢いよく芽を出す。「柳が芽を—・す」</t>
        </is>
      </c>
      <c r="D7312" t="inlineStr">
        <is>
          <t>勃発；吹く；噴出；生える；発芽</t>
        </is>
      </c>
      <c r="F7312" t="inlineStr">
        <is>
          <t>思わず吹き出す；小さく吹き出す；勢いよく吹き出す；ぷっと吹き出す</t>
        </is>
      </c>
      <c r="H7312" t="n">
        <v>29</v>
      </c>
      <c r="I7312" t="inlineStr">
        <is>
          <t>中には、今の我々から見て、吹き出したくなる様な種類のものさへある。；今の世の若い人たちが見たならば、吹き出しそうな姿だったことだろう。；奥さんが母に挨拶してゐる時に、後ろでも一人の客は吹き出してゐた。；いまにもキャベツのなかから、何かが吹き出してくるような勢いである。；何も知らずに先に立って歩いていた吉田が楽しげに口ぶえを吹き出した。；ニュースで聞いたときは飲んでたお茶を吹き出すほど驚いたんだぞ。；それから一里ばかり砂の中を行くと午後三時頃から非常に風が吹き出した。；主人は頬をふくらまして朝日の煙を吹き出しながらちょっと横を向いた。；ここから強引に話を変えて、鼻血を吹き出す人の話をしようと思います。；ぼくは吹き出しそうになりましたが、伯父の顔を見ると唇がふさがって。；藍色の煙を吹き出しながら、彼女は玄関の方に何となく心を向けていた。；ふだんなら吹き出したかも知れないがこの時はそれどころではなかった。；山頂に雲がかかっていないときには、噴煙の吹き出す勢いがよく見える。；今年の野分の風は例年よりも強い勢いで空の色も変わるほどに吹き出した。；本体の横から空気を吹き出すタイプも、向きを変えて同様に設置するとよい。；川の土手にある宮殿の柱の列は壊れ、上層階からは炎が吹き出している。；新聞漫画としては珍しく、吹き出しが活字になっているのが特徴である。；しかしそこで口を噤んだ代わりに、俺はもう一度吹き出す羽目になった。；唇から血が吹き出し、ぼくはそれを見ると、たちまち気が遠くなった。；全身が吹き出す血に真っ赤に染まっていたことはいうまでもございません。；スラッシュ本部の高いほうの窓からは、炎と煙が吹き出してきている。；吹き出し内のセリフや擬音語の描き文字を担当するのもレタラーである。；かすかに吹き出した暁の風が、二人の船を陸の方へ吹き送りはじめました。；その人は昨夜の席で一番大きな声で吹き出してゐた男だつた。；吹き出しそうになったのはその女性が原因ではなく、女性が連れていた犬だった。；わざと冷めたのを食べたのだが、番茶を飲むと汗が全身に吹き出してきた。；あまり意外な話なので思わず吹き出したら、N氏も一緒に笑い出した。；艦橋からふり返ってみたとき、煙突から炎が吹き出していましたからね。；みんなは思わず吹き出した、そしてそれで気持ちが軽くなったような気がした。</t>
        </is>
      </c>
      <c r="J7312">
        <f>HYPERLINK("https://www.weblio.jp/content/吹き出す", "词义详情")</f>
        <v/>
      </c>
      <c r="K7312">
        <f>HYPERLINK("https://yourei.jp/吹き出す", "查看例句")</f>
        <v/>
      </c>
    </row>
    <row r="7313">
      <c r="A7313" t="inlineStr">
        <is>
          <t>噴き出す</t>
        </is>
      </c>
      <c r="B7313" t="inlineStr">
        <is>
          <t>成功</t>
        </is>
      </c>
      <c r="C7313" t="inlineStr">
        <is>
          <t>読み方：ふきだす
［動サ五（四）］
１
㋐（吹き出す）風が吹きはじめる。「秋風が—・す」
㋑こらえきれずに笑いだす。「おかしくて、つい—・す」
㋒内にあるものが勢いよく外に出る。「血が—・す」「汗がどっと—・す」
㋓草木の芽が勢いよく出る。芽吹く。「若芽が—・す」
２
㋐（吹き出す）笛などを吹きはじめる。「フルートを—・す」
㋑（吹き出す）自慢話などをはじめる。「ほらを—・す」
㋒吹いて外に出す。「タバコの煙を—・す」
㋓草木が勢いよく芽を出す。「柳が芽を—・す」</t>
        </is>
      </c>
      <c r="D7313" t="inlineStr">
        <is>
          <t>噴き出すかも</t>
        </is>
      </c>
      <c r="E7313" t="inlineStr">
        <is>
          <t>勃発；噴出；飛び散る；噴出する；吹き出す</t>
        </is>
      </c>
      <c r="F7313" t="inlineStr">
        <is>
          <t>小さく噴き出す</t>
        </is>
      </c>
      <c r="H7313" t="n">
        <v>29</v>
      </c>
      <c r="I7313" t="inlineStr">
        <is>
          <t>そのとき、Bさんの心にはじめて赤い炎のように噴き出すものがあった。；その考えの差が、立場を異にする一年で一気に噴き出してしまったのだ。；池底からいま噴き出したばかりの水は、脚も千切れるばかりいたかった。；身体の底から嵐のような欲望が噴き出してくるのをナターシャは感じた。；様々な感情 が一度に噴き出したようで、言いたいことが言葉にならない。；地上の目撃者は、機体の右側面から火が噴き出すのを見たと話している。；黙って聞いていたレニは、自分の全身にどっと汗が噴き出すのを感じた。；その刃が振るわれる前に、四人の敵魔法師は首から血を噴き出して倒れた。；血が一瞬だけ噴水のように噴き出して、でもすぐにその勢いは収まった。；何が燃えているのか、石の残骸の下から真赤なほのおが噴き出していた。；死体と違い噴き出した血は勢いよくミミズクの顔に掛かり、目に入った。；この男は普通の人なら噴き出したくなるような格好の、身なりをしていた。；一階六畳の岩に面した壁から、いきなり湯が噴き出してきたのである。；全身に脂汗が噴き出してきて、眼のまえが急に暗くなるのをおぼえた。；神崎は全身から血を噴き出させ、穴だらけになる自分の体を見ていた。；口の両脇からふた筋の血の線を噴き出したきり、女体の中へ消えていく。；竜が止めとばかりに、炎を噴き出したとき、驚くべきことが起こりました。；男は体の中心まで達した裂け目から血を噴き出しながら、くずれ落ちた。；誰かに彼の話をしてみたまえ、きっとみんな噴き出してしまうから。；切り傷を受けた指から細かな霧のような血が噴き出して顔にかかった。；通りまでの短い距離を歩く間にも、背中に汗が噴き出すのが分かった。；クレバスからはすべてを一瞬で凍らせる超低温のガスが噴き出していた。；私はあの医者のことを思っただけでも額に汗が噴き出してくる。；ドイツ兵のひとりが顎の下から血を噴き出させ、回転しながら石の床に倒れた。；渋谷の気配が完全に消えた頃になって、恵美子の両眼に涙が噴き出した。；お春が悲鳴を上げて、噴き出した血が二メートルほど先に飛び散った。；そしてその聴診器の端から今にもぴゅっと水を噴き出しそうな気がした。；少年の顔と言わず背中と言わず、全身からくまなく嫌な汗が噴き出す。；僕の計算によると、どうしても近いうちに噴き出さないといかんのだがな。</t>
        </is>
      </c>
      <c r="J7313">
        <f>HYPERLINK("https://www.weblio.jp/content/噴き出す", "词义详情")</f>
        <v/>
      </c>
      <c r="K7313">
        <f>HYPERLINK("https://yourei.jp/噴き出す", "查看例句")</f>
        <v/>
      </c>
    </row>
    <row r="7314">
      <c r="A7314" t="inlineStr">
        <is>
          <t>不吉</t>
        </is>
      </c>
      <c r="B7314" t="inlineStr">
        <is>
          <t>成功</t>
        </is>
      </c>
      <c r="C7314" t="inlineStr">
        <is>
          <t>読み方：ふきつ
［名・形動］縁起が悪いこと。不運の兆しがあること。また、そのさま。不祥。「—な予感がする」「—な夢」
[派生]ふきつさ［名］</t>
        </is>
      </c>
      <c r="D7314" t="inlineStr">
        <is>
          <t>不吉な予感(13%)；不吉な影；不吉な感じ；不吉な音；不吉な前兆</t>
        </is>
      </c>
      <c r="E7314" t="inlineStr">
        <is>
          <t>心配；不安；恐れ；懸念；怖れ</t>
        </is>
      </c>
      <c r="F7314" t="inlineStr">
        <is>
          <t>不吉な運命；不吉な予兆；不吉な鳥；不吉な印象；不吉な気配</t>
        </is>
      </c>
      <c r="H7314" t="n">
        <v>29</v>
      </c>
      <c r="I7314" t="inlineStr">
        <is>
          <t>内容はよう覚えてないらしいんやけど とにかく不吉やったらしくてな。；じじつ車は、その不吉な場所には停車せずに、そのまま行ってしまった。；大きな不幸が今にも落ちかかって来るような、不吉な予想が私を囚えた。；そしてゴーバッシュの身体の中にいたジムも、不吉の塔でそれを殺した。；自分の寝棺は、どの位の大きさなのだらうかと、不吉な空想をしてゐる。；四辺の空気が重苦しく立罩め不吉な予感が静かな部屋の中を領している。；この二つだけで、この部屋になにか不吉な影を宿させるには十分であった。；そして私はこの不吉な家の中にただ一人とり残されたのである。；黒猫が大の苦手で、彼らが自分の前を横切ると必ず不吉な事が起こった。；黙々と足音を忍ばせている動作には、何か威嚇的で不吉なものがあった。；それが扉と壁とに仕切られた暗黒のうちに、不吉な星のように見えていた。；白示録はしばしば仲間の死といった不吉な未来の映像を主人公に見せる。；もしかすると非常な不吉なことが、起っていはしないかと思っていたのだ。；そしてこれ以上もっと不吉なことがおきそうな、強い予感がするのでした。；溺死した船乗りの魂が宿った鳥として不吉の象徴とされることもあった。；悪い眼やその他の不吉な力から守るためにふつうお守りを身につけた。；彼はポウロのように魚を持ったまま、不吉な予感に打たれて妻の顔を見た。；私は自分に後めたいことがあるものだから、不吉なことばかり想像したのだろう。；夜鴉の城とは名からして不吉であると、ウィリアムは時々考える事がある。；僕の意識のどこかで扉がひらいて、不吉なものが解き放たれるのを感じた。；その静けさに耳を澄してると、訳の分らぬ不吉な不安さが寄せてきた。；四年まえのこの日に、私は或る不吉な病院から出ることを許された。；そのうちに、僕の不吉の予感が、そろそろとあたって来たのであった。；今までに経験したことのないような不吉な感じが、重くのしかかっていた。；幽霊や夢をいまさら呼び出さなくても、この家はもう十分不吉なのです。；われわれが不吉の塔でやったことにはちゃんと目的があった。；ああ日はしづみゆき かなしく沖合にさまよふ不吉の鴎はなにを歌ふぞ。；その不吉な形の意味するところはあまりにも明らかであった。；寒さのためではない、半次に不吉な事が起こったような予感がしたのである。</t>
        </is>
      </c>
      <c r="J7314">
        <f>HYPERLINK("https://www.weblio.jp/content/不吉", "词义详情")</f>
        <v/>
      </c>
      <c r="K7314">
        <f>HYPERLINK("https://yourei.jp/不吉", "查看例句")</f>
        <v/>
      </c>
    </row>
    <row r="7315">
      <c r="A7315" t="inlineStr">
        <is>
          <t>普及</t>
        </is>
      </c>
      <c r="B7315" t="inlineStr">
        <is>
          <t>成功</t>
        </is>
      </c>
      <c r="C7315" t="inlineStr">
        <is>
          <t>読み方：ふきゅう
［名］(スル)広く行き渡ること。また、行き渡らせること。「一般家庭にクーラーが—する」「新理論を—する」「—率」</t>
        </is>
      </c>
      <c r="D7315" t="inlineStr">
        <is>
          <t>普及する(7%)；普及し始め；普及啓発；普及以前；普及しはじめ</t>
        </is>
      </c>
      <c r="E7315" t="inlineStr">
        <is>
          <t>広がる；流通；伝わる；分散；回る</t>
        </is>
      </c>
      <c r="F7315" t="inlineStr">
        <is>
          <t>急速な普及；普及発展；普及期；インターネット普及；教育普及</t>
        </is>
      </c>
      <c r="G7315" t="inlineStr">
        <is>
          <t>普及率；普及促進；普及版；普及事業；普及モデル</t>
        </is>
      </c>
      <c r="H7315" t="n">
        <v>29</v>
      </c>
      <c r="I7315" t="inlineStr">
        <is>
          <t>普及が進んだのは蓄音機を製造する会社が増えた昭和初期のことである。；パッコロを採用したルールもあるが、実際にはほとんど普及していない。；若干画面が湾曲したテレビも一時流行したが同様にあまり普及しなかった。；コンピュータが普及し、統一的な管理番号が求められたことが背景にある。；背景にはインターネットでの書籍販売や電子書籍の普及が指摘されている。；鉄が普及する以前には、もっとも広く利用されていた金属であった。；日本では事情は異なり、急速な普及や変化には難しい部分があった。；古くはコンピュータが普及していなかった1960年代から使用されてきた。；またSNSの普及で電子メールや電話からSNSへの移行も起きている。；家電製品は戦前から登場していたものの、本格的な普及は戦後となる。；そのため、こうした国々ではデビットカードの普及や利用が進んでいる。；一部のフォーマットは普及したが他のフォーマットは普及しなかった。；携帯電話での普及状況は、おサイフケータイの項もあわせて参照の事。；この英国式のカードがイギリスの植民地や明治以降の日本で普及した。；従来、日本では真鍮は江戸時代になって普及したと考えられていた。；また事あるごとに講習会や実地授業などの場で指導し、普及に努めた。；その後フリーホイール機構が普及し、自転車の基本がほぼ完成された。；北宋に入ると木版印刷は広く普及し、多くの本が印刷されるようになった。；この背景には1953年より登場したテレビの急速な普及がある。；自動車が普及している国では、車両とは逆の通行区分になっている場合が多い。；その後、交流と直流の電化区間を接続する標準的な方法として普及する。；三角形のものは製造工程の都合上安価にできず、あまり普及しなかった。；こちらは江戸時代に版本にされて多くの部数が普及したからである。；当時の人々が西洋的な旋律になじめなかったこともあって普及せず。；日本では、収容局から加入者へのDSL通信として最も普及している。；仏教・儒教・道教等の書物が入ってきたことでこの頃から文字の使用が普及する。；この点がGisクローズ式が広く世界に普及した大きな理由である。；そのため一部業務用途に利用されるにとどまり、一般には普及しなかった。；現在ではプラスチック素材が取り入れられたトランプが大きく普及している。</t>
        </is>
      </c>
      <c r="J7315">
        <f>HYPERLINK("https://www.weblio.jp/content/普及", "词义详情")</f>
        <v/>
      </c>
      <c r="K7315">
        <f>HYPERLINK("https://yourei.jp/普及", "查看例句")</f>
        <v/>
      </c>
    </row>
    <row r="7316">
      <c r="A7316" t="inlineStr">
        <is>
          <t>不況</t>
        </is>
      </c>
      <c r="B7316" t="inlineStr">
        <is>
          <t>成功</t>
        </is>
      </c>
      <c r="C7316" t="inlineStr">
        <is>
          <t>読み方：ふきょう
景気循環の一局面で、経済が停滞している状態。雇用量・生産量などの縮小、物価・賃金や利子率などが低い水準を続ける。⇔好況。</t>
        </is>
      </c>
      <c r="D7316" t="inlineStr">
        <is>
          <t>不況下(5%)；不況時；不況対策；不況カルテル；不況知らず</t>
        </is>
      </c>
      <c r="E7316" t="inlineStr">
        <is>
          <t>不景気；スランプ；経済危機；景気後退；霜枯れ</t>
        </is>
      </c>
      <c r="F7316" t="inlineStr">
        <is>
          <t>長期不況；世界的な不況；造船不況；戦後不況；世界的不況</t>
        </is>
      </c>
      <c r="H7316" t="n">
        <v>29</v>
      </c>
      <c r="I7316" t="inlineStr">
        <is>
          <t>国内経済が不況の中でもツインフォールズ市は急速な発展を遂げてきた。；第二次世界大戦下の工業生産はジョージアの経済を不況から脱出させた。；経済危機とは急速に訪れる深刻な不況のことであり、恐慌とも呼ばれる。；不況の影響でチームが解散したこともあり、同年をもって現役を引退した。；連邦政府は国内の価格統制を徹底させることで不況をさらに悪化させた。；不況などものともせず、英仏などと通商条約を結んで自由貿易を推進した。；このことについて営業報告書はただの不況であるためと説明している。；このため各加盟国は不況の際に十分な拡張的財政政策を行うことができない。；しかし、昨今に不況のあおりを受け、会社は存続の危機に直面していた。；他の都市と同様にグラスゴーもイギリスの不況の影響を避けることができなかった。；しかし西部は魔法の国となる代わりに干ばつと不況で荒地となった。；そのため明治維新からずっと続いていた深刻な不況もなくなった。；日本はこのアメリカの不況の影響をもろに受けていたのである。；翌日、水が引いたそこは不況で荒廃した「スペクター」だと気がついた。；ただし職工は不況によって簡単に転職したりあるいは復帰したりしていた。；ベルファストの不況に関する本のタイトルにもこの楽曲の名称が用いられた。；しかし、1990年代後半は不況だった経済も回復の兆しを見せ始めた。；この時期揖斐川電気は不況の影響で業績不振であり経営再建中であった。；そのため90年初頭の不況時に生産調整して低下したシェアを回復できなかった。；会員の大半は株の素人、不況続きで、誰もが一発当てることを考えていた。；再統一後のドイツは深刻な不況に襲われ、その影響は長く続いた。；当時日本はオイルショックの影響でインフレと不況の真っ只中であった。；戦争が終結し、戦争特需が終わると反動で不況になることが危惧された。；また不況のため特殊な車両などを除き使用年数が伸びている。；一方不況の時代であるため、豪華さではなく安さを売り物にした列車も運転された。；不況に強いといわれた映画も世情不安には弱いことを露呈した。；長期不況となったため、労働者の窮状は一層厳しいものとなった。；不況を判断する地域については従来からの販売態様を基準とした。；それは20世紀の中で最も長く、最も深く、最も広範な不況であった。</t>
        </is>
      </c>
      <c r="J7316">
        <f>HYPERLINK("https://www.weblio.jp/content/不況", "词义详情")</f>
        <v/>
      </c>
      <c r="K7316">
        <f>HYPERLINK("https://yourei.jp/不況", "查看例句")</f>
        <v/>
      </c>
    </row>
    <row r="7317">
      <c r="A7317" t="inlineStr">
        <is>
          <t>布巾</t>
        </is>
      </c>
      <c r="B7317" t="inlineStr">
        <is>
          <t>成功</t>
        </is>
      </c>
      <c r="C7317" t="inlineStr">
        <is>
          <t>読み方：ふきん
食器類をふく布。</t>
        </is>
      </c>
      <c r="D7317" t="inlineStr">
        <is>
          <t>布巾で堅く</t>
        </is>
      </c>
      <c r="F7317" t="inlineStr">
        <is>
          <t>台布巾；艶布巾；白い布巾</t>
        </is>
      </c>
      <c r="H7317" t="n">
        <v>29</v>
      </c>
      <c r="I7317" t="inlineStr">
        <is>
          <t>テーブルの上に茶が流れ、喪服姿の女たちが慌てて台布巾で拭いている。；布巾をしぼるように、その布からもポタポタと血がしたたり落ちていた。；床の間にのせられてる机の上には、真白な布巾の下に薬瓶が並んでいた。；もっともやがて膳にはそれぞれ布巾がかけられることになるだろう。；ブリキ型のなき時は茶筒の蓋へ入れ上から布巾をかけて湯煮てもよし。；そんな図星の姿にマージョリーは頬杖を止め、傍らの布巾を取ってやる。；そこでリンパー先生は、布巾を捨てて両手を洗ひ、弟子は頭と顔を拭く。；水棚へ行って仕舞桶で顔や両手をよく洗って、乾いた布巾で拭い上げた。；女中が布巾やブラシを入れて置く暗い穴の縁を、行ったり来たりしているのがわかる。；また別の国では、一番位の高い人が跪いて王様の汚物を布巾の中に受ける。；章がもたもたしている間に、美優が布巾を持ってきて、机を拭いてくれた。；キッチンへ行くと、私は流し台の上に三つ折りに畳んだ布巾を見つけた。；その上に柳か何か描いては又その上を濡れ布巾で擦るのです。；中国の伝統では茶の儀式で布巾をたたむことは悪い気を追い払うことを示す。；または彼女自身の記憶に時間の布巾をかけてだんだん光沢を出すつもりとも見られる。；順子は手にしていた姉さんかぶり用の布巾を小さく折りたたみながら訊いた。；調理器具は、布巾の敷かれたバットの中に一揃い用意されていました。；念入りにお茶をいれて出してくれた奥さんは、布巾をたたみながらうなずいた。；そうして彼は、鼠色の布巾を棒に結びつけておもてに出している店にはいった。；琥珀さんはお湯のはいった洗面器と数枚の布巾を持ってきている。；紅茶がないので手持ち無沙汰なのか、意味もなく布巾をいじっている。；すぐにかぶせてあった布巾を取った私は、その日の緊張が解け初めて小さな声を出して笑った。；大きな鉄のフライパンの中に、木綿の布巾と軍手二枚が煮えたぎっていた。；皿に布巾をしき、その上にだんごを並べて強火で約二〇分、一気に蒸し上げる。；布巾を受け取った妖怪は、ぽかんとしていたが、まねをして顔を拭う。；もっとも、彼は食卓で、必ず布巾を用意させておく習慣だった。；妻は濡れ布巾を手にしたまま、食卓のそばの板壁に掛けてあるボスの写真をまじまじと見ていた。；上に詰め物を乗せた生地を布巾を使って丁寧に巻いて、オーブンで焼く。；半助はきれい好きなほうだが、それでもときたま、布巾を洗うだけで満足していた。</t>
        </is>
      </c>
      <c r="J7317">
        <f>HYPERLINK("https://www.weblio.jp/content/布巾", "词义详情")</f>
        <v/>
      </c>
      <c r="K7317">
        <f>HYPERLINK("https://yourei.jp/布巾", "查看例句")</f>
        <v/>
      </c>
    </row>
    <row r="7318">
      <c r="A7318" t="inlineStr">
        <is>
          <t>付近</t>
        </is>
      </c>
      <c r="B7318" t="inlineStr">
        <is>
          <t>成功</t>
        </is>
      </c>
      <c r="C7318" t="inlineStr">
        <is>
          <t>読み方：ふきん
近くの場所。そのあたり。近辺。「家の—」「—一帯」</t>
        </is>
      </c>
      <c r="D7318" t="inlineStr">
        <is>
          <t>付近一帯；付近住民；付近に設けられ；付近連続立体交差事業</t>
        </is>
      </c>
      <c r="E7318" t="inlineStr">
        <is>
          <t>側；近く；あたり；周囲；周辺</t>
        </is>
      </c>
      <c r="F7318" t="inlineStr">
        <is>
          <t>河口付近；交差点付近；境界付近；中央付近；駅付近</t>
        </is>
      </c>
      <c r="H7318" t="n">
        <v>29</v>
      </c>
      <c r="I7318" t="inlineStr">
        <is>
          <t>移転前の駅は現行の駅よりも南側の像がある広場付近に南北に建っていた。；付近には大学や高校が多く、近年、宅地やマンション開発も進んでいる。；この付近では停止信号でよく特に上りが減速したり停車したりする。；特に当駅前後の被害が最も激しく土砂は線路を超えて県道付近まで達した。；この付近で仙石線と東北本線は、並行するように線路が敷設されている。；地名の由来は、ある武士の馬がこの付近で足を骨折したためといわれている。；またその観点から、駅の出入口付近に列車を停車させるようにした駅もある。；この付近は地下水が豊富で古くからの日本酒の名産地として知られている。；そのほか、小売店は鉄道各駅や幾つかのバス停留所付近に集中している。；信号交差点付近での路上駐車が渋滞の原因となっている事例は多くみられる。；また、東仙台付近の丘陵地に須恵器を生産した窯跡群が発見されている。；街の入り口付近に商業施設が開業するなど、今後の発展が期待される。；日本付近では、年により差があり、平均すれば昼が夜よりも約14分長い。；同様に、海岸付近に発達した浜堤にも古くから人々が住んでいた。；またこの頃にスコアボード付近の合計5箇所に広告が貼り付けられた。；この案では東京駅付近へ駅の設置も検討するとされている。；支社境界は川越線と分かれた後の大成第六踏切付近に設けられている。；北中部州全体の中では北西側、アヌラーダプラ県の中では中央付近にある。；宮本武蔵駅付近一帯が宮本武蔵の生誕地とする説があることから命名された。；駅舎といえるものはなく、上りホーム中央付近の入口から直接ホームに入る形になっている。；ミラノのマンションとリミニ付近の別荘の2つを拠点とした生活を送った。；市の中心部はさらに1kmほど南西のバスターミナルの付近である。；ドア付近には運転台からの操作で一斉施錠可能な補助席が設置されている。；コンコースのこの付近に地上へのエレベーターも設置された。；わずかに最高峰付近と寺院近傍にのみ林が残存していたのみである。；日本付近では、年による差もあるが、平均すれば昼が夜よりも約14分長い。；隣接する江ノ島駅付近から当駅までは併用軌道になり、道路上を走る。；付近には最近分譲された住宅地もあるがほとんどは農地か山林である。；北極付近を中心にした地図だと双方の面積も比較的忠実に示す。</t>
        </is>
      </c>
      <c r="J7318">
        <f>HYPERLINK("https://www.weblio.jp/content/付近", "词义详情")</f>
        <v/>
      </c>
      <c r="K7318">
        <f>HYPERLINK("https://yourei.jp/付近", "查看例句")</f>
        <v/>
      </c>
    </row>
    <row r="7319">
      <c r="A7319" t="inlineStr">
        <is>
          <t>吹く</t>
        </is>
      </c>
      <c r="B7319" t="inlineStr">
        <is>
          <t>成功</t>
        </is>
      </c>
      <c r="C7319" t="inlineStr">
        <is>
          <t>読み方：ふく
［動カ五（四）］
１
㋐（吹く）空気が流れ動く。風が起こる。風が通ってゆく。「そよ風が—・く」
㋑内部から水や蒸気などが勢いよくとび出す。ふき出す。「血が—・く」「鍋(なべ)が—・く」
㋒今まで見えなかったものが外や表面に現れ出る。「新芽が—・く」「粉が—・いた干し柿」
㋓相場が上がる。「小豆相場が—・く」
２
㋐（吹く）口をすぼめて、強く息を出す。また、そのようにして物に当てる。「風車(かざぐるま)を—・いて回す」
㋑細い口から勢いよく出す。ほとばしり出す。「銃が火を—・く」「エンジンが白煙を—・く」
㋒息と一緒に口から出す。「タバコの煙を—・く」
㋓（吹く）出す息で音をたてる。「口笛を—・く」
㋔今まで見えなかったものを外や表面に現し出す。「柳が芽を—・く」「緑青を—・いた銅像」
㋕（吹く）出まかせや大げさなことを言う。「ほらを—・く」
㋖（吹く）鉱石を溶かして金属を分離させる。精錬する。「銅を—・く」
㋗（吹く）鋳造する。「鐘を—・く」
３息をする。〈名義抄〉
[補説] （1） 風が吹きわたるときの音、または口をすぼめて息を出すときの音がもとになってできた語という。（2）1㋒と2㋔とは、結果は同じ状態を意味するが、2㋔は内部からの力や勢いがそのような状態にするという観点に基づくもの。（3）2㋕は「また、調子に乗ってふいている」のように自動詞的にも用いる。
[可能]ふける
[下接句]明日(あした)は明日の風が吹く・羹(あつもの)に懲(こ)りて膾(なます)を吹く・勝手な熱を吹く・粉(こ)を吹く・熱を吹く・火を吹く・一泡(ひとあわ)吹かせる・法螺(ほら)を吹く・喇叭(らっぱ)を吹く</t>
        </is>
      </c>
      <c r="D7319" t="inlineStr">
        <is>
          <t>吹くような音；吹く風か；吹く冷たい；吹く強い；吹く寒い</t>
        </is>
      </c>
      <c r="E7319" t="inlineStr">
        <is>
          <t>言う；云う；表す；述べる；自慢</t>
        </is>
      </c>
      <c r="F7319" t="inlineStr">
        <is>
          <t>どこ吹く；強く吹く；風吹く；向かって吹く；吹く寒い日</t>
        </is>
      </c>
      <c r="H7319" t="n">
        <v>29</v>
      </c>
      <c r="I7319" t="inlineStr">
        <is>
          <t>ちょうどそれは全国にいわゆる学園紛争の嵐が吹き始める年でもあった。；ただし実験では熱い土器の安全な倒し方と白吹き跡の再現に謎が残った。；風に吹かれたり、ひどい嵐になってもじっと我慢しなければなりません。；だが、どういうものか私はやっぱりこの曲を吹かずにはいられなかった。；湿った風に吹かれながら奥の庭に面した建物の横の塔に足を踏みいれた。；そうかと思うと、大きなクジラが、鼻の穴から水を吹きあげていました。；夏季には南から南西よりの風が、また冬季には北よりの風が吹きやすい。；より大きな住宅では吹き流された雪が3階の風上側の窓にまで到達した。；使用するには先端に着火し、最初に出る炎を吹き消して燠の状態にする。；この頃の木枯しは海から吹くのではない、山から吹きおろして来るのだ。；と思うといつのまにか、それは風に吹き散らされる犬の声に変っていた。；川の岸べに生え出でたあの草の葉は 美女の唇から芽を吹いた溜め息か。；川や河川の流れてくる方向や風の吹いてくる方向を表すときにも用いられる。；金属の精錬に使う足で踏んで空気を吹き送る大きなふいごの名称である。；その晩には、いつにないあたたかな風が、海を渡って吹いてきたのです。；父が持っていたトランペットに興味を示し、12歳の頃から吹き始める。；外の風に吹かれると、すぐ耳につくのは池の向こうの掛小屋の鳴物です。；彼は低い、机に似た将棋盤の前に坐って恐ろしく陰気な音で吹き続けた。；そしてグザファンは地獄の釜の炎を吹き続ける罰を与えられたとされる。；つまり、初夏の時期に冬と同じような北風に近い風が吹いたことになる。；口から金の火を吹き、赤い翼を広げると336万里にも達するとされる。；そはや丸が火焔となって吹きかかると大通連は水となってそれを消した。；議員たちは勅許状をテーブルの上に置くと一斉にローソクを吹き消した。；空気吹きよりも高カロリーのガスが発生するので高出力化しやすい。；そこには風に吹かれた土がたまっており、エンドウ豆はその上に落ちた。；鳥も啼かず人影もなく風さえ葉の壁に遮られて林の中までは吹いて来ない。；奏者はその通りにナレーションをしながら楽器を吹かなければならない。；シャーリヴァーハナは粘土の兵隊に命を吹きこんで戦って勝ったとする。；実際に筑波山を吹き下りてくる風が直接当たる範囲とは関係なく呼ばれている。</t>
        </is>
      </c>
      <c r="J7319">
        <f>HYPERLINK("https://www.weblio.jp/content/吹く", "词义详情")</f>
        <v/>
      </c>
      <c r="K7319">
        <f>HYPERLINK("https://yourei.jp/吹く", "查看例句")</f>
        <v/>
      </c>
    </row>
    <row r="7320">
      <c r="A7320" t="inlineStr">
        <is>
          <t>服</t>
        </is>
      </c>
      <c r="B7320" t="inlineStr">
        <is>
          <t>成功</t>
        </is>
      </c>
      <c r="C7320" t="inlineStr">
        <is>
          <t>読み方：ふく
［音］フク（漢）ブク（呉）
［学習漢字］3年
〈フク〉
１身につけるもの。着物。「服装／衣服・元服・私服・制服・粗服・被服・平服・法服・喪服・洋服・礼服・和服」
２身につける。体や心に受け入れる。「服毒・服用・服膺(ふくよう)／着服・頓服(とんぷく)・内服」
３つき従う。「服従／畏服(いふく)・感服・帰服・屈服・敬服・降服・克服・承服・心服・征服・叛服(はんぷく)・不服」
４つとめにつく。従事する。「服役・服務・服喪(ふくも)」
〈ブク〉喪にこもる。「服忌(ぶっき)／忌服・除服(じょぶく)」
［名のり］こと・はとり・もと・ゆき・よ
［難読］服部(はとり)</t>
        </is>
      </c>
      <c r="D7320" t="inlineStr">
        <is>
          <t>服姿；服裝；服部家；服從；服着</t>
        </is>
      </c>
      <c r="E7320" t="inlineStr">
        <is>
          <t>着物；衣；衣装；衣服；洋服</t>
        </is>
      </c>
      <c r="F7320" t="inlineStr">
        <is>
          <t>白い服；冬服；修道服；新しい服；野戦服</t>
        </is>
      </c>
      <c r="G7320" t="inlineStr">
        <is>
          <t>服部；服従；服用；服し；服役</t>
        </is>
      </c>
      <c r="H7320" t="n">
        <v>29</v>
      </c>
      <c r="I7320" t="inlineStr">
        <is>
          <t>公務であっても外国訪問の場合にはこれらの服を着ていくこともあった。；その壁画に描かれた服の帯は革でなく織物ではないかと推測されている。；多くの歯は抜け落ち、食事や服を着るのにも非常に長い時間がかかった。；また余計な選択肢で頭を使わないために服は同じものを何着も持っていた。；同布告では陸軍式御服のみで、海軍式のものは制定されていなかった。；テレビ出演の際、エルヴィスがデザインされた服を着ていることも多い。；主に靴のデザインを手がけていたが、服のデザインも手がけるようになる。；彼は巡礼の着る粗末な服を身につけると、スイスの方に向かっていった。；クロスボウを持った男性が服や弓の明確な特徴をもって描かれている。；その場合、色紙に限らず、旗・服・ボールなど、書く対象は多様である。；制服は、特別な地位にない官人が朝廷の公事を行うときに着る服である。；なお上記のように服好きであるため、ニューヨークに行っても服を買っている。；他人に自分の服を洗われることを拒否し、自分で洗濯を行っていたという。；緑の服をまとった女性の姿をしているが、時に木そのものの形を取る。；黒一色の服を着て生き生きとしたこの男を取り囲んでいるのは空気なのだ。；梅川は全員に服を着ることを許可して、昼までに2人の人質を解放した。；戦後の復興が進むにつれて学生や生徒の服装も再び学生服へと戻っていった。；この頃のアルは遊び好きで、洒落た服を着て外出してはしゃいだりした。；そして、このような服はオーダーメードで仕立てなければならなかった。；そのため、婦人標準服とは少し違う個性的なデザインの服も作る人もいた。；最終的に棄捐令の実施時期は9月の冬服の取替が終わった後となった。；服を着ているものとそうでないものがいるが、どちらも両腰あたりにポケットがある。；また服とオーバーオールの素材が2代目と逆になった点が変化した。；本物の海ではないので、服を着たまま入っても服は濡れない。；服間橋で水間川を渡ると、越前市今立地区の山間の集落へと入っていく。；日本の素材を取り込んだ服作りに挑んだイノベイターといえば三宅である。；それは洋服入れに掛けられていた服のポケットに入っていた。；服装は、緑色の服に青色のオーバーオールで靴は薄い青色となっている。；特定の組み合わせの服を着ると特殊技を使う事が可能になる。</t>
        </is>
      </c>
      <c r="J7320">
        <f>HYPERLINK("https://www.weblio.jp/content/服", "词义详情")</f>
        <v/>
      </c>
      <c r="K7320">
        <f>HYPERLINK("https://yourei.jp/服", "查看例句")</f>
        <v/>
      </c>
    </row>
    <row r="7321">
      <c r="A7321" t="inlineStr">
        <is>
          <t>福</t>
        </is>
      </c>
      <c r="B7321" t="inlineStr">
        <is>
          <t>成功</t>
        </is>
      </c>
      <c r="C7321" t="inlineStr">
        <is>
          <t>読み方：ふく
［音］フク（漢）　［訓］さいわい
［学習漢字］3年
豊かな幸運。さいわい。「福祉・福相・福徳／禍福・幸福・至福・祝福・浄福・清福・多福・追福・万福・冥福(めいふく)・裕福」
［名のり］さき・さち・たる・とし・とみ・むら・もと・よ・よし</t>
        </is>
      </c>
      <c r="D7321" t="inlineStr">
        <is>
          <t>福岡城(3%)；福信；福慈；福チャン；福清市</t>
        </is>
      </c>
      <c r="E7321" t="inlineStr">
        <is>
          <t>幸福；吉；幸せ；幸い；幸運</t>
        </is>
      </c>
      <c r="F7321" t="inlineStr">
        <is>
          <t>お福；植福；永遠の幸福；単福；泰福</t>
        </is>
      </c>
      <c r="G7321" t="inlineStr">
        <is>
          <t>福岡県；福島；福島県；福祉；福田</t>
        </is>
      </c>
      <c r="H7321" t="n">
        <v>29</v>
      </c>
      <c r="I7321" t="inlineStr">
        <is>
          <t>ただはっきりしているのは、福が絶世の美人であったということである。；山頂には物部守屋の子・物部真福が建立したといわれる村積神社がある。；永洲川に面し、明生通りや福博通りなど主要な通り全てと接続している。；酒泉郡下には9県が設置され、現在の粛州区は当時の禄福県に相当する。；国生み神話や除福伝説への言及にも、ケンペルの書の影響が認められる。；百福はこの一件について、「みせしめに使われたようだ」と述べている。；尊徳の教えを受けた正兄に福住家復興の期待を託した養子縁組であった。；百福は大阪市内に工場を構え、チキンラーメンの本格的な製造を開始した。；百福が目を患うと、目に効く寺を見つけては、必ず立ち寄って参拝した。；角福対立時代には一貫して日中国交正常化支持の立場をとっている。；一気に流れは竹田建設へと流れ、談合の末に福龍川ダム工事を受注する。；病気などで死んだ場合は福を祈り、その後何事もなければ神にお礼祭りをする。；角福調整に失敗した保利もまた、調整失敗の責任をとる形で同日辞表を提出した。；なお、初日の対戦相手で不戦勝を得た相手は、稽古相手の福の花だった。；導入後は福井新 - 福井駅前間の区間運転専用車両として運用された。；天正遣欧少年使節の一員で福者になるのは彼が初めてである。；これが女性を中心に主に信福の容姿が話題となり、メディアで取り上げられるようになった。；黒田長政の築城にかかる福岡城は舞鶴城とも呼ばれたのが由来である。；山崎の戦いの後、斎藤利三の娘である福を岡豊城でかくまったとされる。；現在では附属福山中・高校の校地・校舎のみが存続している。；OPENRECでの声福訓練にて発表された、2次元キャラクター化企画。；しかし百福は「死ぬ時は座敷に座っていても死ぬものだ」と言って日本を発った。；毎年2月6日の「真野大黒天福祭」開催時のみ運行する直行路線である。；福の字が逆さまに書かれていることがあるが、これは倒福を参照。；着物や人形の供養を行う「ご福まつり」があることで知られている。；同じく上座部の無畏山寺派においては十二の福業事が説かれていたとされる。；それから間もなく、永寿の子とみられる「牛福」が河野氏の家督を継いだ。；福祚を長く保つ事が出来るのは、素晴らしい事ではないでしょうか!；なお競馬場の周回コースの内側は彭福公園という大規模な公園になっている。</t>
        </is>
      </c>
      <c r="J7321">
        <f>HYPERLINK("https://www.weblio.jp/content/福", "词义详情")</f>
        <v/>
      </c>
      <c r="K7321">
        <f>HYPERLINK("https://yourei.jp/福", "查看例句")</f>
        <v/>
      </c>
    </row>
    <row r="7322">
      <c r="A7322" t="inlineStr">
        <is>
          <t>拭く</t>
        </is>
      </c>
      <c r="B7322" t="inlineStr">
        <is>
          <t>成功</t>
        </is>
      </c>
      <c r="C7322" t="inlineStr">
        <is>
          <t>読み方：ふく
［動カ五（四）］紙や布などで物の表面をこすり、汚れや水分などを取り去ってきれいにする。ぬぐう。「ハンカチで涙を—・く」「ぞうきんで廊下を—・く」
[可能]ふける
[用法]ふく・ぬぐう——「汗をふく（ぬぐう）」「涙をふく（ぬぐう）」では、両語とも使える。◇どちらも汚れ・水気などを取り去るために布や紙などを表面に当てて動かすことだが、「窓をふく」「食器をふく」のように、隅々までこすって全体をきれいにする意では「ぬぐう」は使いづらい。◇「ぬぐう」は部分的な汚れ・水気を取り去るという意が強い。「ハンカチで口もとをぬぐう」「ガラスの汚れをぬぐう」◇右の特徴から「ぬぐう」は、汚点やよくない印象などマイナス面を取り去る意にも用いられる。「劣等感をぬぐい去る」「疑念をぬぐいきれない」</t>
        </is>
      </c>
      <c r="D7322" t="inlineStr">
        <is>
          <t>拭う；拭い去る；拭き掃除；拭き取る；拭きとる</t>
        </is>
      </c>
      <c r="H7322" t="n">
        <v>29</v>
      </c>
      <c r="I7322" t="inlineStr">
        <is>
          <t>・・・それに次から次からあふれてくる涙に、もはや拭く気はなかった。；血を拭きもせずにきやつらの枕元に、 置いてあるのが見つかりました。；彼はわたしの手を取って湯から上がらせ、タオルをくれて体を拭かせた。；ある日、社長の座っている机を拭こうと、雑巾を持って近づいていった。；タオルで頭を拭きながら、二人がこぼしているのがハリーの耳に入った。；そしてしばらくすると、手を拭くための蒸しタオルを持ってきてくれる。；順子は慌ててエプロンで手の汗を拭くと、部屋の外へ飛び出して行った。；それが食事の跡でざっと拭くだけなので、床と同じ薄墨色になっている。；顔を拭こうとハンカチを探し、持っていないことに気づいて服で拭いた。；拭くあとからすぐにふつふつと玉の汗が浮いて出るのが駿介にも見えた。；まもなく彼女は、服をきちんと着て、タオルで髪を拭きながら出てきた。；汚れたところを丹念に拭きながら、頭のどこかでそういう警告を聞いた。；アルコールを貰って水にわって体を拭くことは出来ないものでしょうか。；それでも自分の机のまわりの他の人の机を拭かなければならない。；杯にまだ残っていた酒が、ズボンを濡らしたが浩一は拭こうとはしない。；さっきの部屋に戻ると、体を拭きながら、俺は鹿爪らしく語りはじめた。；その後で机を前に集め、今度はスペースの空いた後ろをぞうきんで拭く。；顔を拭きながら私はジーナがなぜあんなに酒を勧めたのだろうかと考えた。；そして、額の脂汗を拭きながら、見るともなしに後の客席に眼をやった。；その中の娘二人が肌をぬいで泉に身体を拭きに行ったのは、珍しく思われた。；机を叩いてしまったことによってこぼれたお茶を、無言で拭きはじめた。；肩で大きく息をしながら、首にかけたタオルで顔の汗を拭きはじめる。；ソロが血をきれいに拭きとってみると、その下に小さな傷口が見えた。；そして手を拭き拭き出て行く母の後ろから、自分もそっとついて行った。；栄一は涙を拭きながら川の上を見たが静かな滑かな海に小波が立つて居る。；寒いのに額の汗をハンケチで拭きながら、声を顫わして云うのであった。；シズ様は刀を拭き終わり鞘に収め、広場にのんびりと座って待っていた。；おれが返事に困っているうちに、蒸しタオルで顔をごしごしと拭かれる。；ほかに布きれめいたものといえば、車を拭くのに使う白いタオルだけだ。</t>
        </is>
      </c>
      <c r="J7322">
        <f>HYPERLINK("https://www.weblio.jp/content/拭く", "词义详情")</f>
        <v/>
      </c>
      <c r="K7322">
        <f>HYPERLINK("https://yourei.jp/拭く", "查看例句")</f>
        <v/>
      </c>
    </row>
    <row r="7323">
      <c r="A7323" t="inlineStr">
        <is>
          <t>副～</t>
        </is>
      </c>
      <c r="B7323" t="inlineStr">
        <is>
          <t>成功</t>
        </is>
      </c>
      <c r="C7323" t="inlineStr">
        <is>
          <t>読み方：ふく
［音］フク（呉）（漢）　［訓］そう　そえる　すけ
［学習漢字］4年
１主たるものにつき添うもの。控え。「副業・副将・副賞・副食・副審・副本／正副」
２添える。「副葬・副木」
３余計につけ加わる。「副作用・副産物」
［名のり］すえ・つぎ・ます</t>
        </is>
      </c>
      <c r="H7323" t="n">
        <v>0</v>
      </c>
      <c r="J7323">
        <f>HYPERLINK("https://www.weblio.jp/content/副～", "词义详情")</f>
        <v/>
      </c>
      <c r="K7323">
        <f>HYPERLINK("https://yourei.jp/副～", "查看例句")</f>
        <v/>
      </c>
    </row>
    <row r="7324">
      <c r="A7324" t="inlineStr">
        <is>
          <t>複合</t>
        </is>
      </c>
      <c r="B7324" t="inlineStr">
        <is>
          <t>成功</t>
        </is>
      </c>
      <c r="C7324" t="inlineStr">
        <is>
          <t>読み方：ふくごう
［名］(スル)
１複数のものが合わさって一つのものになること。「さまざまな原因が—して起きた事故」
２「複合競技」の略。「ノルディック—」</t>
        </is>
      </c>
      <c r="D7324" t="inlineStr">
        <is>
          <t>複合体(12%)；複合的(12%)；複合ビル(5%)；複合文化施設；複合錬金鋼</t>
        </is>
      </c>
      <c r="E7324" t="inlineStr">
        <is>
          <t>接続；合併；統合；合流；結合</t>
        </is>
      </c>
      <c r="F7324" t="inlineStr">
        <is>
          <t>複合社会；複合用途；複合公共施設；複合店舗；複合動詞</t>
        </is>
      </c>
      <c r="G7324" t="inlineStr">
        <is>
          <t>複合施設；複合商業施設；複合材；複合型；複合語</t>
        </is>
      </c>
      <c r="H7324" t="n">
        <v>29</v>
      </c>
      <c r="I7324" t="inlineStr">
        <is>
          <t>しかし、原因は1つでなくいくつもの要因が複合したと考えられている。；近年では低コスト・高耐久性のあるアルミ複合板が広く使用されている。；いくつかのタイプに分類可能であるが、複数のタイプが複合したものもある。；様々な要素が複合して起こるものとされ、明確な一つの原因はない。；各トレーニングを身につけた後に、複合したトレーニングに移っていく。；デモの主張は米国産牛肉の輸入問題から多岐に渡る不満が複合している。；これらが複合的に収容された施設の計画や建設も多く見受けられる。；これら3つを複合的に組み合わせれば、何通りも攻撃パターンができる。；また、「役満の複合」が認められていることも大きな特徴になっている。；それぞれの伝承は複合的な性格を有するので、単純に分類することはできない。；また、複合名や複合姓を表すダブルハイフンの代わりに使うこともある。；複合用途の需要の組み合わせにより、排熱を有効利用することができる。；ある物理現象を扱う際にはこのうちいくつかの手法を複合的に用いることが多い。；これらの効果は単独に現れることもあれば、他の効果と複合して現れることもある。；複数の鉄道路線が集まる駅においては、複合的な構造になることがある。；近年はほとんどの工務店は上記の複合形スタイルでの経営状態である。；またこの複合体の枠は立方八面体の双対である菱形十二面体が得られる。；子実体とは、菌類が胞子形成のために作る、複合的な構造のことである。；鋭徐波複合は比較的広いてんかん原損傷が存在する部位から記録される。；この物語は三部構成、あるいは三つの話の複合形態をとっているとみることができる。；このような複合的な形象のうち特に多いのは隻眼と一本脚の組み合わせである。；物理的原因と環境・患者側の原因が単独あるいは複合し発生する。；それらが複合した形態をもって、一つの一貫した民俗体系が構築されている。；近年ではこれらの性質を複合した機能錯体の研究も盛んである。；産業形態は複合化しており、総合組立産業としての側面も有している。；複合的な寺苑の構成および祠堂の構造は、次の3つの領域より構成される。；大戦略が想定している事態は複合的であり、その領域は広範囲である。；すでに複合姓である場合にさらに追加することはできない。；これらは単独に現れることもあるが、複合して現われる場合が多い。</t>
        </is>
      </c>
      <c r="J7324">
        <f>HYPERLINK("https://www.weblio.jp/content/複合", "词义详情")</f>
        <v/>
      </c>
      <c r="K7324">
        <f>HYPERLINK("https://yourei.jp/複合", "查看例句")</f>
        <v/>
      </c>
    </row>
    <row r="7325">
      <c r="A7325" t="inlineStr">
        <is>
          <t>複雑</t>
        </is>
      </c>
      <c r="B7325" t="inlineStr">
        <is>
          <t>成功</t>
        </is>
      </c>
      <c r="C7325" t="inlineStr">
        <is>
          <t>読み方：ふくざつ
［名・形動］物事の事情や関係がこみいっていること。入り組んでいて、簡単に理解・説明できないこと。一面的ではないこと。また、そのさま。「—な仕組み」「—な手続き」「—な気持ち」「—な笑い」⇔単純。
「—し矛盾した心の経験は」〈藤村・新生〉
[派生]ふくざつさ［名］</t>
        </is>
      </c>
      <c r="D7325" t="inlineStr">
        <is>
          <t>複雑化(4%)；複雑な構造；複雑な思い；複雑な表情；複雑な感情</t>
        </is>
      </c>
      <c r="E7325" t="inlineStr">
        <is>
          <t>困難；トラブル；苦しい；ハード；葛藤</t>
        </is>
      </c>
      <c r="F7325" t="inlineStr">
        <is>
          <t>複雑骨折する重傷；複雑な家庭事情；複雑な多細胞生物；複雑なリアス式海岸；複雑極まる</t>
        </is>
      </c>
      <c r="G7325" t="inlineStr">
        <is>
          <t>複雑系；複雑性理論；複雑性クラス；複雑怪奇；複雑骨折</t>
        </is>
      </c>
      <c r="H7325" t="n">
        <v>29</v>
      </c>
      <c r="I7325" t="inlineStr">
        <is>
          <t>社会は広範かつ多様な領域を持っているために複雑な体系となっている。；加群の理論はベクトル空間のそれと比べてより複雑なものになっている。；システムが複雑になりすぎて、システム内の依存関係が明確でなくなる。；複雑な有機化合物がこのような暗い表面を構成していると考えられている。；異なる言語同士が接触し、双方の特徴を保ったまま複雑に混合した言語。；またこれは、国内の複数の島に広がることもあって複雑なものとなっている。；これはそれまでに作曲した中で和声上、構成上最も複雑な作品である。；軍隊において兵站が体系化された背景には作戦や装備の複雑化がある。；引き分けがある場合は前述した理由でより複雑な計算が必要になる。；また、複数の文字を並べてより複雑な意味を表そうとするものもある。；管子の構成は成立の事情と散逸した箇所があるため非常に複雑である。；期間を短くすることによって複雑なブーケと豊かな口当たりが実現した。；このようにフラクタル次元は図形の複雑さを数値で表していると言える。；さりながら、競技運動の目的は単純で狭いが、柔道の目的は複雑で広い。；現代の音楽は、様々なジャンルの複雑な合成になっていることが多い。；白木を組んでつくられたふくざつな屋根が、いまでも目に残っているよ。；どんなに複雑な機械装置でも、単純な機械要素を組み合わせて構成される。；エナメル小柱の中の水酸燐灰石の結晶の配置は非常に複雑となっている。；しかし、キリスト教と科学の実際の関係はもっと豊穣で複雑なものであった。；その後はさらに複雑な計算がより高速に行えるようになっている。；多民族・多言語国家であり、民族とカーストが複雑に関係し合っている。；継承の目的は、単純なクラスに基づいてもっと複雑なクラスを構成することである。；新王国期には、この出来事がエジプトの生命と時間の概念の複雑な象徴へと発展した。；夫人は複雑な思いだがスザンナの振りをして彼に従ってついていく。；政治制度的に複数の評議会的組織があって複雑な関係をなしている。；通常のカードゲームより複雑なゲームを簡単に行うことができる。；より複雑な課題としては、生命の木を再構築する研究も進められている。；その複雑さから、チェコ語は習得の困難な言語と言われることが多い。；この結果、たとえば単純なボールの投げ上げ運動でも、その軌道は複雑になる。</t>
        </is>
      </c>
      <c r="J7325">
        <f>HYPERLINK("https://www.weblio.jp/content/複雑", "词义详情")</f>
        <v/>
      </c>
      <c r="K7325">
        <f>HYPERLINK("https://yourei.jp/複雑", "查看例句")</f>
        <v/>
      </c>
    </row>
    <row r="7326">
      <c r="A7326" t="inlineStr">
        <is>
          <t>副作用</t>
        </is>
      </c>
      <c r="B7326" t="inlineStr">
        <is>
          <t>成功</t>
        </is>
      </c>
      <c r="C7326" t="inlineStr">
        <is>
          <t>読み方：ふくさよう
１薬物の、病気を治す作用とは別の、望んでいない作用。有害なことが多い。「—を伴う特効薬」
２転じて、問題解決のためにとった手段によって起こる損害。「金融政策の—」</t>
        </is>
      </c>
      <c r="D7326" t="inlineStr">
        <is>
          <t>副作用発現；副作用情報；副作用なし；副作用プロファイル；副作用報告</t>
        </is>
      </c>
      <c r="E7326" t="inlineStr">
        <is>
          <t>反応；反動；フィードバック；リアクション；反作用</t>
        </is>
      </c>
      <c r="F7326" t="inlineStr">
        <is>
          <t>一般的な副作用；重篤な副作用；主な副作用；副作用として添付；深刻な副作用</t>
        </is>
      </c>
      <c r="H7326" t="n">
        <v>29</v>
      </c>
      <c r="I7326" t="inlineStr">
        <is>
          <t>参照透過な機能はそれ自身状態を持たないことで、副作用とは縁がない。；こちらではプログラム副作用をも体系化して一種の型として扱っている。；日本で社会的に注目された副作用の事例には次のようなものがある。；表明の引数である式の副作用に依存するという間違いをすることもある。；副作用には分類されないものも含めた関連用語の定義を以下に示す。；一方、その副作用を逆に利用したのがドリエルなどの睡眠改善薬である。；あまり一般的ではないが、他の副作用には以下のようなものがある。；しかし他の作用または副作用は他のオピオイド受容体への作用による。；本作に登場する内服薬では珍しい、命に関わる副作用が出た例である。；しかしその際に、副作用で痙攣を起こすことがあり問題になっている。；よく誤解されているが、漢方薬なら副作用がないというのは誤りである。；副作用が多く報告されたため、現在アメリカでは行われていない。；局所の鎮痛薬は、一般的には全身性の副作用を避けるために推奨される。；ウリジンは比較的安全な物質で副作用の報告はヒト動物ともにあまりない。；治療は高用量メソトレキセートの全身投与が優れているが副作用も多い。；最も広く報告されているグリチルリチンの副作用は高血圧と浮腫である。；交差適合試験は輸血に伴う副作用を防止するために行われる検査である。；イソプロテレノールの副作用もまた多くは心血管系への作用の結果である。；これら解離性麻酔薬は呼吸を抑制する副作用がない点では安全である。；副作用で障害を受けた骨髄も数週間後には回復したが、結局再発死亡した。；抗精神病薬の副作用はいくつかの異なる薬によって管理することができる。；これらは効果が低く副作用の強い中容量ピルを使ったものであった。；このように、副作用とされてきた作用を、主作用として用いる例も見られる。；だが、とても危険な大きな副作用があるため問題視されていた。；そうした副作用が出やすいため、短期間に限って処方されることが多い。；その他にも少数例ながら各種の副作用が報告されている。；そしてなかなか効かないからと薬を強くされたら、残るのは副作用だけである。；これはあくまでも副作用であり、当初から意図されたものではない。；なんらかの副作用を感じたら、早めに医師・薬剤師に相談すべきである。</t>
        </is>
      </c>
      <c r="J7326">
        <f>HYPERLINK("https://www.weblio.jp/content/副作用", "词义详情")</f>
        <v/>
      </c>
      <c r="K7326">
        <f>HYPERLINK("https://yourei.jp/副作用", "查看例句")</f>
        <v/>
      </c>
    </row>
    <row r="7327">
      <c r="A7327" t="inlineStr">
        <is>
          <t>福祉</t>
        </is>
      </c>
      <c r="B7327" t="inlineStr">
        <is>
          <t>成功</t>
        </is>
      </c>
      <c r="C7327" t="inlineStr">
        <is>
          <t>読み方：ふくし
《「し」は「祉」の慣用音。》公的な配慮・サービスによって社会の成員が等しく受けることのできる充足や安心。幸福な生活環境を公的扶助よって作り出そうとすること。「公共—」「—事業」</t>
        </is>
      </c>
      <c r="D7327" t="inlineStr">
        <is>
          <t>福祉事業(3%)；福祉サービス(2%)；福祉会館(2%)；福祉活動(2%)；福祉系</t>
        </is>
      </c>
      <c r="E7327" t="inlineStr">
        <is>
          <t>為；特典；恩；プラス；恩恵</t>
        </is>
      </c>
      <c r="F7327" t="inlineStr">
        <is>
          <t>保健福祉；健康福祉；高福祉；福祉専門学校；福祉関連</t>
        </is>
      </c>
      <c r="G7327" t="inlineStr">
        <is>
          <t>福祉法；福祉センター；福祉国家；福祉事務所；福祉政策</t>
        </is>
      </c>
      <c r="H7327" t="n">
        <v>29</v>
      </c>
      <c r="I7327" t="inlineStr">
        <is>
          <t>また近年、健康や福祉に力を入れている町としてメディアで紹介された。；福祉に関連した施設や制度のあり方などについての研究も行われている。；以下、各種福祉団体の多くが全社協の本部に団体の事務所を置いている。；例えば1937年には学校や福祉のために使う目的で所得税を導入した。；現在は医療・健康・福祉・情報・教育を軸とする都市型大学になっている。；大阪フォークダンス協会の設立に尽力するなど、福祉活動でも活躍した。；福祉分野で使われるときは、起きている問題とは何らかの社会問題である。；工業系の大学のほかに福祉医療系や経営学系に進学する人も多い。；プライベートでは動物の福祉にも力を入れ、保護した猫や犬と暮らしている。；また、発表の舞台も主として福祉関係の集会など、非常に限られている。；在籍中は、自らの実践を元にして、福祉に関する法律の制定に奔走した。；社会保障は高福祉高負担の立場を欧州の社会民主主義政党が掲げてきた。；ロゼの最終的な関心は、オーケストラの女性達の福祉を守ることにあった。；イギリスの動物の福祉の考え方はもともと畜産動物を対象として出発した。；家庭、看護、情報、福祉は、後の時代になってから新設されたものである。；戦後は教育や福祉も発展し、1977年には中央公民館が建設された。；また、パヴロフスク宮殿を美化し、周辺住民への福祉活動を行い続けた。；会は、子どもの福祉を増進するための継続的な事業を展開することはなかった。；過去には、保育進学コースや福祉進学コースなどの専門コースが設置されていた。；世界の人々の経済的・社会的福祉の実現は、国連の主要な目的の一つである。；なお福祉人材が求められる現在でも、スポーツでの活躍で宣伝する姿勢である。；少年審理手続における全ての判断の基礎にあるのは、児童の福祉である。；現在はファミリーサポート事業など福祉行政にも力を入れている。；そのため、福祉などが一般の勤勉な市民よりも後回しにされていた。；保健では性教育や健康・環境・福祉・家族に関する教育が行なわれる。；しかしながら、彼もまた福祉世界を確立するのは福祉国家よりも難しいと考えた。；こうして、医療・福祉の分野での言語聴覚士の活動が始まることになったのである。；村では福祉・医療・保健施設を集約した「やすらぎの里」を運営している。；父親の斡旋で福祉関連の会社に就職し、会社員として働くつもりだった。</t>
        </is>
      </c>
      <c r="J7327">
        <f>HYPERLINK("https://www.weblio.jp/content/福祉", "词义详情")</f>
        <v/>
      </c>
      <c r="K7327">
        <f>HYPERLINK("https://yourei.jp/福祉", "查看例句")</f>
        <v/>
      </c>
    </row>
    <row r="7328">
      <c r="A7328" t="inlineStr">
        <is>
          <t>複写</t>
        </is>
      </c>
      <c r="B7328" t="inlineStr">
        <is>
          <t>成功</t>
        </is>
      </c>
      <c r="C7328" t="inlineStr">
        <is>
          <t>読み方：ふくしゃ
［名］(スル)
１写してあるものをもとにして、もう一度写すこと。「古い記念写真を—する」
２用紙の間にカーボン紙をはさんで書くなどして、同一書類を2通以上作ること。また、そのもの。
３複写機を用いて文書・図表などを原本どおりに写し取ること。また、写し取ったもの。コピー。「書類を—して配る」</t>
        </is>
      </c>
      <c r="D7328" t="inlineStr">
        <is>
          <t>複写機(4%)；複写紙(2%)；複写サービス；複写式；複写用紙</t>
        </is>
      </c>
      <c r="F7328" t="inlineStr">
        <is>
          <t>写真複写；ppc複写；複写等；乾式複写；電子複写</t>
        </is>
      </c>
      <c r="G7328" t="inlineStr">
        <is>
          <t>複写物；複写利用</t>
        </is>
      </c>
      <c r="H7328" t="n">
        <v>29</v>
      </c>
      <c r="I7328" t="inlineStr">
        <is>
          <t>おなじ町の写真屋さんへ持っていって、どれもみな複写してもらったの。；複写の代わりに撮影機器持参で資料を撮影することも認められている。；わたしは複写用紙を使ったので、送った記事のコピーは持っていますよ。；あの先生の絵を複写して使ったら、印刷が悪いって文句言われたんだ。；どちらもオリジナルから複写されたもので数枚しか現存しない貴重なものだった。；私の手許に複写図が一枚あるのですが、これがあれば完全なものになります。；先への領域が延長されるにつれ、次々と金色の人影は複写されていく。；この内省の印象は、記憶や想像によって再び複写されてまた観念となる。；少女の記憶が複写された際、魂の一部もこの肉体に宿ってしまったに違いない。；ちなみにこれら図表の複写精度であるが、各書に若干の誤差も見られる。；現在保存されている62枚の地図は、1989年に作成された複写である。；この作品は、15世紀以来の不完全な状態の複写として保存されている。；このカードは複写しにくくするために暗い赤い紙に印字されていた。；そこには複写用のカメラが適当の高さに固定してあった。；きれいに設計された図面を、日光にさらして複写していたのを覚えている。；ごく小さい型の草稿紙に複写したもので、材料は数週間このかた集めていた。；うすい上質の原稿紙に複写紙をはさんで、一度に四通りの原稿を作るのだ。；彼はそれを使って素描の補助や図面の複写に生かそうと考えていたようだ。；ただし現存しているものは複写なので、当時のままの図になっているかどうかは不明である。；近年では複写に最新の写真技術やデジタル画像技術が駆使されている。；複写機やプリンターが発達する前は、複写を作る方法の主流であった。；そこでは楽譜を複写したり、楽曲の分析などを試みたりしている。；書かれたものの写しをとる、あるいは複写するにはさまざまな方法があります。；そしてお母様の複写を入れて、いつでも身につけていたいのです。；複写された写真では不鮮明なので、もとの写真に当たって詳しく見るためだ。；サインを見た人間の脳へ自情報を複写し、限定空間を発生させる仕組み。；ノーカーボン紙で複写を行うための書類を作成する際、基本的なルールがある。；原本を持たず複写がある場合に正確な文献を同定することである。；舞子がサインをすると、複写になっている部分を、品物に添えて渡した。</t>
        </is>
      </c>
      <c r="J7328">
        <f>HYPERLINK("https://www.weblio.jp/content/複写", "词义详情")</f>
        <v/>
      </c>
      <c r="K7328">
        <f>HYPERLINK("https://yourei.jp/複写", "查看例句")</f>
        <v/>
      </c>
    </row>
    <row r="7329">
      <c r="A7329" t="inlineStr">
        <is>
          <t>復習</t>
        </is>
      </c>
      <c r="B7329" t="inlineStr">
        <is>
          <t>成功</t>
        </is>
      </c>
      <c r="C7329" t="inlineStr">
        <is>
          <t>読み方：さらい
（多く「おさらい」の形で用いる）
１教えられたことを繰り返し練習すること。復習。さらえ。「書き取りのお—」
２芸事の師匠が弟子を集めて、日ごろ教えたことを演じさせること。また、その会。温習(おんしゅう)。→おさらい</t>
        </is>
      </c>
      <c r="D7329" t="inlineStr">
        <is>
          <t>復習する(8%)；復習教師たち；復習教師団；復習テスト；復習監督生</t>
        </is>
      </c>
      <c r="F7329" t="inlineStr">
        <is>
          <t>予習復習；お復習；復習するよう</t>
        </is>
      </c>
      <c r="H7329" t="n">
        <v>29</v>
      </c>
      <c r="I7329" t="inlineStr">
        <is>
          <t>ちょうど今読んだばかりのことをそのまま実地に復習するようなものだ。；松下君、これまでにわかったことをひととおり復習してみてくれないか。；復習の折に分らない点があれば、いくらでも教えてやらなければいけない。；どこへ行って誰と何をするか、こまかい手順をずっと復習していたのよ。；わたしはもう心配で心配で自分の役を復習することにばかり気を取られていた。；子供心にも重い責任を感じて一生懸命になって、毎日お復習を怠らない。；彼は一度口の中で復習してから、教えられた通りを静かに述べた。；ちょうど今読んだばかりのところをそのまま実地に復習するようなものです。；学校に着くまで、前日に書いたノートを復習するのがぼくの日課である。；それから六時には牧師さんが親切にラテン語と宗教の復習をしてくれた。；堀先生は授業に熱心であるから、うっかり復習を怠るわけにはいかない。；出発までに調査部でもつて、必要なあらゆる智識を復習して行きたまへ。；わたしは気まぐれな学生だから、定められた時間には決して復習などしない。；必要ないとは思うけれど、復習の意味で解説してしまうと、それはこんな話だ。；これ以外にも、復習のためのミニレッスンがいくつか用意されている。；だからと言って今日の復習、明日の予習をしようというわけではない。；「だが、殺さなくてもよかったものを」と私はまた後悔の復習をした。；それで自分も祖母の膝の前へ絵雑誌などをひろげてやはり一種の復習をしている事もあった。；おれは入学試験を受けるとき、ほんの十日ばかり先生が準備復習をしてくれた。；なぜって、学校のお勉強同様に、恋愛にも予習や復習が必要なんですから。；ちゃんと台詞を覚えきれているか不安だから復習を手伝ってくれと言われたのだ。；大会終了後も復習のため一定期間環境が維持される場合が多い。；犬たちやジョリクール氏に役々の復習をもさせなければならなかった。；そして、家に帰ると、すぐ復習をさせられたり、用を言いつかったりした。；毎日毎日の議論の予習復習が整理され「官吏学」の本となったらしい。；僕は僕の中学時代はもちろん、復習というものをしたことはなかった。；博士は、かるくうなずいて、相手がいったことを頭の中で復習した。；ここでちょっと基礎的なことを復習しておきましょう。；圭ちゃんもうちらに教えながら、同時に復習も出来てるわけなんだよ。</t>
        </is>
      </c>
      <c r="J7329">
        <f>HYPERLINK("https://www.weblio.jp/content/復習", "词义详情")</f>
        <v/>
      </c>
      <c r="K7329">
        <f>HYPERLINK("https://yourei.jp/復習", "查看例句")</f>
        <v/>
      </c>
    </row>
    <row r="7330">
      <c r="A7330" t="inlineStr">
        <is>
          <t>複数</t>
        </is>
      </c>
      <c r="B7330" t="inlineStr">
        <is>
          <t>成功</t>
        </is>
      </c>
      <c r="C7330" t="inlineStr">
        <is>
          <t>読み方：ふくすう
１数が二つ以上であること。⇔単数。
２インド‐ヨーロッパ語などの文法で、人や事物の数が二つ以上であることを示す語形。名詞・代名詞、およびこれを受けて変化する動詞・形容詞・冠詞などにみられる。⇔単数。</t>
        </is>
      </c>
      <c r="D7330" t="inlineStr">
        <is>
          <t>複数存在する；複数台；複数社；複数種；複数枚</t>
        </is>
      </c>
      <c r="E7330" t="inlineStr">
        <is>
          <t>複数形</t>
        </is>
      </c>
      <c r="F7330" t="inlineStr">
        <is>
          <t>複数のrtコンポーネント；複数本拠地制；複数の分子系統解析；複数学位プログラム；複数社提供</t>
        </is>
      </c>
      <c r="G7330" t="inlineStr">
        <is>
          <t>複数形；複数人；複数個；複数政党制；複数年</t>
        </is>
      </c>
      <c r="H7330" t="n">
        <v>29</v>
      </c>
      <c r="I7330" t="inlineStr">
        <is>
          <t>利用する側から見ると全く複数のコンピュータが存在するように見える。；これらの概念を複数搭載するオペレーティングシステムも登場していた。；多数の人物が登場するが、ここでは複数の話に登場する人物を解説する。；そのため、同じアーキテクチャの製品が複数のメーカーから発売された。；駒は移動方向を変えることもできるし、異なる複数の駒を進めてもよい。；またこれは、国内の複数の島に広がることもあって複雑なものとなっている。；また、港は複数の島に囲まれており、一部は定期航路が設定されている。；複数の手法による解析の結果、いくつかの破壊モデルが挙げられている。；すなわち、イニシエータは1つのバス上に複数の機器が存在してもよい。；ジャズ業界の知識を援用して音楽方面に取材した作品を複数発表している。；複数の領土を有する国家は他にもあるが、はっきりと異なっている。；また、複数の文字を並べてより複雑な意味を表そうとするものもある。；これは同一のプログラムの複数のコピーが互いに干渉しあうからである。；これは、複数のスレッドを同じCPU上で同時に実行できる技術である。；逆にメディアミックスは単数の情報を複数の媒体で展開することである。；つまり、先頭が複数あって、末尾が1つになっている構造が可能である。；ユーザーから見れば、複数のプログラムが同時に動作しているように見える。；複数の敵をまとめて蹴り落とすと、敵の数に応じて得点に倍率がかかる。；このため、同時に複数のOSを動作させることが出来るようになった。；つまり同時に複数のプログラムを実行することは不可能である。；混合物とは、単体の複数の種類のものが混じり合ってできたもののこと。；なお、一部のカードでは目的別に複数の限度額が設定されている場合がある。；関数のオーバーロードは名称が同じ複数の関数を宣言できる機能である。；値型におけるパフォーマンス向上を意図した複数の機能が追加された。；また、複数のノードで同じデータを共有することも容易に実現できる。；ロシア国内にはガガーリンにちなんだ名称の地名や事物が複数存在する。；このモジュールを複数並べて、いろいろな幅のバーやスペースを表現する。；言語がいつどのように生まれたのか分かっておらず、複数の仮説が存在する。；狭義では、複数枚の紙が一方の端を綴じられた状態になっているもの。</t>
        </is>
      </c>
      <c r="J7330">
        <f>HYPERLINK("https://www.weblio.jp/content/複数", "词义详情")</f>
        <v/>
      </c>
      <c r="K7330">
        <f>HYPERLINK("https://yourei.jp/複数", "查看例句")</f>
        <v/>
      </c>
    </row>
    <row r="7331">
      <c r="A7331" t="inlineStr">
        <is>
          <t>服する</t>
        </is>
      </c>
      <c r="B7331" t="inlineStr">
        <is>
          <t>成功</t>
        </is>
      </c>
      <c r="C7331" t="inlineStr">
        <is>
          <t>読み方：ふくする
［動サ変］［文］ふく・す［サ変］
１言われたとおりにする。従う。服従する。また、従わせる。「上長の命に—・する」
「そうした論理は決して細君の心を—・するに足りなかった」〈漱石・道草〉
２ある仕事に就く。服務する。服役する。「労役に—・する」「刑に—・する」
３《「ぶくする」とも》喪の期間を過ごす。「喪に—・する」
４身につける。着る。
「身に洋服を—・し口に洋食を食し」〈福沢・福翁百話〉
５《「ぶくする」とも》茶・薬などを飲む。服用する。「錠剤を—・する」</t>
        </is>
      </c>
      <c r="D7331" t="inlineStr">
        <is>
          <t>服する用法が知ら</t>
        </is>
      </c>
      <c r="E7331" t="inlineStr">
        <is>
          <t>受ける；取る；飲む；上がる；従う</t>
        </is>
      </c>
      <c r="F7331" t="inlineStr">
        <is>
          <t>説服する；分けて分服する</t>
        </is>
      </c>
      <c r="H7331" t="n">
        <v>29</v>
      </c>
      <c r="I7331" t="inlineStr">
        <is>
          <t>教会騎士は聖議会の権威に服するものであるからして、説明の必要はない。；かれは、妻の喪に服するため一年間銃をとることはしないのだと説明した。；でも、やはり人を傷つけたのは事実ですから、刑にも服するつもりです。；法令に違反し、裁判の判決で、刑罰に服することとなった者を収容する。；続いて人々はフォルム・ロマヌムに集まって軍務に服する宣誓を行った。；自らの罪を知り、罪に服する勇気なくして、知識も文化も向上もあるものではない。；所が、時と場合に依つては三年間も喪に服するのは困ることがあります。；われわれのさし当たっての仕事は、 国を挙げて喪に服することである。；もうひとつの考え方は、事実認定が政策的判断に服するというものである。；真に相手を説服するは愛と祈りと奉仕とによるほかは無いように思われる。；神の支配の下に自覚的に服することがまず、何よりも肝要なのである。；重労役に服する士を選ぶのではあるが、才覚ある士を選べとの沙汰である。；どうか私に、アメリカの軍隊で兵役に服するチャンスを与えて下さい。；議会は、天皇の命に何も服するものじゃない、斯う云うような意味に書いてある。；しかし、彼らは捧げ銃を習い、将校の命令に服することも教えられた。；あんたはわしらを治めていられるのじゃから、当然あんたの命令に服するほかはないよ。；わしは全く健康も恢復すれば、又日頃の職務に服する事も出来る様になつた。；両親が死んだとき、子は三年の喪に服するというのが儒家の教えであった。；むろんこれは無実の罪だから私としては易々として服するつもりはない。；おれの裁断には地殻も服する サンムトリさえ西瓜のように割れたのだ。；ただその喪に服するためラジエーターのエンブレムが赤から黒に変更された。；子供は物心がつくよりも以前から、すでに親の意志に服することに我慢のならぬものを感じます。；彼だけは闇の命に服することができなかった。；しかし、国王から薬をとどけて頂き、それを服すると快癒したのであった。；それは実際、生命より大切なのであるしかし神の支配に服するとはどういうことであろうか。；歌の含む問題を解決する事の出来なかつた場合は、屈服することを前提とした争ひである。；議論によって相手を説服するということすらほとんど不可能である。；あなたの権威に服するのと同様に、あなたのしてくださる行為を喜んで受けることにいたします。；彼女が屈服するのは、屈服することが彼女にとって都合のいい時だけだろう。</t>
        </is>
      </c>
      <c r="J7331">
        <f>HYPERLINK("https://www.weblio.jp/content/服する", "词义详情")</f>
        <v/>
      </c>
      <c r="K7331">
        <f>HYPERLINK("https://yourei.jp/服する", "查看例句")</f>
        <v/>
      </c>
    </row>
    <row r="7332">
      <c r="A7332" t="inlineStr">
        <is>
          <t>服装</t>
        </is>
      </c>
      <c r="B7332" t="inlineStr">
        <is>
          <t>成功</t>
        </is>
      </c>
      <c r="C7332" t="inlineStr">
        <is>
          <t>読み方：ふくそう
衣服とその装身具。また、それをつけたときのようす。身なり。「質素な—」</t>
        </is>
      </c>
      <c r="D7332" t="inlineStr">
        <is>
          <t>服装検査；服装チェック；服装規則；服装令；服装史</t>
        </is>
      </c>
      <c r="E7332" t="inlineStr">
        <is>
          <t>衣装；装；ドレス；衣裳；装い</t>
        </is>
      </c>
      <c r="F7332" t="inlineStr">
        <is>
          <t>派手な服装；地味な服装；立派な服装；どんな服装；ラフな服装</t>
        </is>
      </c>
      <c r="G7332" t="inlineStr">
        <is>
          <t>服装倒錯；服装の乱れ；服装学部</t>
        </is>
      </c>
      <c r="H7332" t="n">
        <v>29</v>
      </c>
      <c r="I7332" t="inlineStr">
        <is>
          <t>ステージ毎に服装の色が変わるのでレインボーステージと呼ばれていた。；現在、イスラム世界で使用されている女性の服装には以下のものがある。；ドイツ人傭兵の子孫も当時の服装と武器を持って戦闘を再現して見せる。；この影響下で、漢人の服装意識が知らず知らずのうちに分裂されてゆく。；服装はスカートにエプロン姿が多く、他の服を着たことはほとんどない。；司教・主教も首からかけているがそのほかの服装で判断することができる。；黒を基調とした服装を統一しており、揃いのバンダナを身につけている。；そのため、スウェーデン軍の服装はこの当時の代表的な制服とされている。；原状回復出来ない改造ではないため、服装指導を回避するのに用いられる。；アトランティス側登場人物の服装は全て西洋の鎧をモチーフにしている。；第9回から、挑戦時に黒のタンクトップに黒のズボンの服装が定着した。；各自衛隊で使用されている各種服装や個人装具が貸与される場合も有る。；この概念がよく使われるのは、文学・家具・服装・絵画などを語る際である。；また、本作では全キャラクターが他作とは違う服装になっている。；チャレンジプログラムのパーティーでは服装を自由としているものが多い。；女王でさえ、服装に合わせて黒や赤の手袋をするようになったのよ。；戦後の復興が進むにつれて学生や生徒の服装も再び学生服へと戻っていった。；そのため現在の服装規定では、服装の種類が他国に比べて多くなっている。；関東大会編からは服装が作務衣となり、アニメでも97話から着始めた。；江戸時代には、幕府によって服装に華美なものが規制されるほどであった。；生活の安定とともにこの服装の着用者が多くなり定着して、これが制服化した。；服装は弁護士になってからはいつも青系のスーツに赤系のネクタイ。；主題でもある女装は、化粧品や服装などかなり広い範囲をカバーしている。；しかし多数の生徒が中学・高校の制服に準ずる服装で登校している。；服装は、上半身は裸で拳法着のズボンと黄色い帯を身につけているのみ。；服装もそれまでとは違い、当時のNHKらしくない華やかな服装で登場。；インディアンの服装を身に纏っていたがよく見ると彼女の目は青い色をしていた。；メインキャラクターはストーリーモードとそれ以外のモードでは服装が異なる。；前述の通り、高等学校では1971年10月から服装が自由化されている。</t>
        </is>
      </c>
      <c r="J7332">
        <f>HYPERLINK("https://www.weblio.jp/content/服装", "词义详情")</f>
        <v/>
      </c>
      <c r="K7332">
        <f>HYPERLINK("https://yourei.jp/服装", "查看例句")</f>
        <v/>
      </c>
    </row>
    <row r="7333">
      <c r="A7333" t="inlineStr">
        <is>
          <t>含む</t>
        </is>
      </c>
      <c r="B7333" t="inlineStr">
        <is>
          <t>成功</t>
        </is>
      </c>
      <c r="C7333" t="inlineStr">
        <is>
          <t>読み方：ふくむ
［動マ五（四）］
１かんだり、飲みこんだりせず、物を口の中に入れたままの状態を保つ。また、口でくわえる。「水を口に—・む」「マウスピースを—・む」
２成分・内容としてうちに包みもつ。また、ある範囲の中に要素として入っている。包含する。「この温泉は硫黄分を—・んでいる」「予備費の—・まれた予算案」
３思いや感情などを心の中におさめてもつ。「非難を—・んだ言い方」
４事情をよく理解して心にとめておく。「その点を—・んでおいてください」
５ある感情を表情や態度に表す。ようすを帯びる。「悲しみを—・んだ目つき」
６中に包み持つような形になる。ふくらむ。
「指貫(さしぬき)の裾つかた、少し—・みて」〈源・若菜上〉
[可能]ふくめる
［動マ下二］「ふくめる」の文語形。</t>
        </is>
      </c>
      <c r="D7333" t="inlineStr">
        <is>
          <t>含む全；含む約；含むあらゆる；含む旧；含む大規模</t>
        </is>
      </c>
      <c r="E7333" t="inlineStr">
        <is>
          <t>持つ；合併；統合；伴う；総合</t>
        </is>
      </c>
      <c r="F7333" t="inlineStr">
        <is>
          <t>含む蝦夷全図；含む綏靖天皇から開化天皇；含むクリーブランド都市圏；含むインディアナポリス都市圏；含む山陽本線</t>
        </is>
      </c>
      <c r="H7333" t="n">
        <v>29</v>
      </c>
      <c r="I7333" t="inlineStr">
        <is>
          <t>多少ポーランド独特の部分を含んだ以下の評価システムが用いられている。；ただし後述の派生版にはこの4枚の新カードが含まれていない事が多い。；州内には31の国が保護する原生地の全体あるいは一部が含まれている。；ある種の主張を含んでいる場合も、淡々と事実のみを伝える場合もある。；その次に続くとされたのが、堯・舜などを含む五帝であるとされている。；密輸業者も含んだ植民地の商人たちは抗議活動に大きな役割を果たした。；この記事によれば、このバージョンが含む大幅な強化は以下の通りである。；この情報の移動は水素結合が共有結合性を含んでいる時にしか起きない。；ニュートン力学の主要な点はすべてこの中に含まれていると言ってもよい。；多くのプロセスが同時にいくつかのカテゴリーを含んでいるためである。；未発見の時代にはそもそも知られておらず、七曜・九曜にも含まれない。；それぞれの名に含まれている州名がおよその分布域を示している。；当時の植物には、現在は植物に含められない褐藻や真菌類を含んでいた。；こうした作品の中には大人にも非常に人気のあるものも含まれる。；有機物中に存在する硫黄は反応性が高く重要なアミノ酸に含まれている。；ここには、中国で行われたとみられる数千件の執行は含まれていない。；ナンバリングタイトルのパロディ的な要素を含んでいるタイトルもある。；この雪は悪臭を伴っており、通常の雪の4倍の鉄分を含んでいたという。；各テーブルは、エンティティの属性を含む固定数の列を含むことになる。；その中には、数回に渡るヨーロッパとアメリカ合衆国への旅行を含んでいる。；特にトンガとロツマの言語に関連するものを含む面が顕著に現れている。；それらのグループには後に宇宙開発で著名な功績を残す者も多く含まれた。；東ヨーロッパではスラブ宗教の古代の伝統が一神教の要素を含んでいた。；役者たちは吐く息が白くならないように、口中に氷を含んで演技をした。；これらには現在は、上記サーバ機能のいくつかは標準で含まれている。；国史大系本も含め、現在入手できるのはこの輯佚書を含んだものである。；しかし一般的にはより広く帰納などを含んだ様々な推論が利用される。；ただしこの数値は鉄道車両以外の鉄道システム部門の数値を含んでいる。；その女たちの中には、彼の母アガウエーや伯母イーノーも含まれていた。</t>
        </is>
      </c>
      <c r="J7333">
        <f>HYPERLINK("https://www.weblio.jp/content/含む", "词义详情")</f>
        <v/>
      </c>
      <c r="K7333">
        <f>HYPERLINK("https://yourei.jp/含む", "查看例句")</f>
        <v/>
      </c>
    </row>
    <row r="7334">
      <c r="A7334" t="inlineStr">
        <is>
          <t>含める</t>
        </is>
      </c>
      <c r="B7334" t="inlineStr">
        <is>
          <t>成功</t>
        </is>
      </c>
      <c r="C7334" t="inlineStr">
        <is>
          <t>読み方：ふくめる
［動マ下一］［文］ふく・む［マ下二］
１ある範囲の中に入れて、いっしょに扱う。含まれるようにする。「部長を—・めて三〇人の編集部」「サービス料を—・めた料金」
２言い聞かせて納得させる。「因果を—・める」「かんで—・めるように説明する」
３ある意味合いを中にもたせる。こめる。「風刺的意味を—・める」
４物を口の中に入れる。「幼子に乳房を—・める」
５味をしみこませる。「煮汁につけたままにして味を—・める」</t>
        </is>
      </c>
      <c r="D7334" t="inlineStr">
        <is>
          <t>含めるべき；含めると約；含めると計；含めると合計；含めると通算</t>
        </is>
      </c>
      <c r="E7334" t="inlineStr">
        <is>
          <t>含む；入れる；合併；統合；総合</t>
        </is>
      </c>
      <c r="F7334" t="inlineStr">
        <is>
          <t>含めると総勢；含めると総額；含めると全長</t>
        </is>
      </c>
      <c r="H7334" t="n">
        <v>29</v>
      </c>
      <c r="I7334" t="inlineStr">
        <is>
          <t>これは賞の分野がほかの領域を含めるよう拡張されていったためである。；導入までに数度社会実験を行いながら他路線も含めて検討が進められる。；女子小学生のみならずその親世代も含めた大人のファンも獲得している。；これらの扱いは必ずしも確定していないが、この科に含める場合もある。；これらの状況をふまえてイギリス・アメリカは困惑を含めて眺めていた。；日本の商法は関連する法令を含め、一般に下記のような分類がなされる。；当時の植物には、現在は植物に含められない褐藻や真菌類を含んでいた。；なお、グリーン車の連結していない区間を含めて発行することができる。；南米諸国の所得格差は、他の大陸を含めて最も大きいと考えられている。；京都本線自体を指して、あるいはその支線を含めて通称京都線と呼ばれる。；それ以外の点も含めて、日本における写真の普及に果たした役割は大きい。；短期滞在者を含めると10万人以上の日本人が滞在しているといわれる。；相手を攻撃するための技だけでなく試合を行う上での技術も含める場合もある。；特急列車も含めた県内の鉄道のほとんどがワンマン運転を実施している。；首相ウィリアム・グラッドストンを含め多くのイギリス人の友人がいた。；なお以下は一度も導入経験がない社局を記載し、三重県の一部を含めている。；センターは引き続き、胎児への影響を含めて調査を続ける方針である。；狭い意味での相変異は、この例と、これに極めて似たものだけを含める。；また、海水魚は塩湖に生息する魚も含めて塩水魚と呼ばれることもある。；を含めたは、公式に標準化された最初のオブジェクト指向言語である。；ここに表記されていないものも含めると倍以上の枚数がリリースされている。；その後、映画化された際に、この10話を含めた修正を行ったという。；また、日本で中国と異なる略し方をした場合を含めるかなども問題となる。；部分的に沈んでいる島も含めて、その数は継続的に多くなっている。；各種コンポーネントを含めても初期のシステムは大きくはなかった。；広義では滋賀県を含めた2府4県を指す場合もあるが正式な規定は無い。；初等教育学校を含めてほぼ全ての学校が国立だが、私立学校も存在する。；高野線を含めて準急行が通過待ちを行うようになったのは初である。；この往復路で女・子供・老人を含めた数百人のナバホの民が死んだ。</t>
        </is>
      </c>
      <c r="J7334">
        <f>HYPERLINK("https://www.weblio.jp/content/含める", "词义详情")</f>
        <v/>
      </c>
      <c r="K7334">
        <f>HYPERLINK("https://yourei.jp/含める", "查看例句")</f>
        <v/>
      </c>
    </row>
    <row r="7335">
      <c r="A7335" t="inlineStr">
        <is>
          <t>覆面</t>
        </is>
      </c>
      <c r="B7335" t="inlineStr">
        <is>
          <t>成功</t>
        </is>
      </c>
      <c r="C7335" t="inlineStr">
        <is>
          <t>読み方：ふくめん
［名］(スル)
１顔面を布などでおおって隠すこと。また、それに用いるもの。「目出し帽で—する」
２神仏に供え物をしたり、貴人の食膳を扱ったりするとき、息のかからないように紙や布で口・鼻をおおうこと。また、その紙や布。
３本名・正体を明らかにしないで物事をすること。「—座談会」「—パトカー」</t>
        </is>
      </c>
      <c r="D7335" t="inlineStr">
        <is>
          <t>覆面姿(2%)；覆面男；覆面タッグチーム；覆面探偵；覆面バンド</t>
        </is>
      </c>
      <c r="E7335" t="inlineStr">
        <is>
          <t>面；マスク；仮面</t>
        </is>
      </c>
      <c r="F7335" t="inlineStr">
        <is>
          <t>黒い覆面；白覆面；覆面ユニット；覆面パト；覆面武士</t>
        </is>
      </c>
      <c r="G7335" t="inlineStr">
        <is>
          <t>覆面パトカー；覆面作家；覆面算；覆面捜査官；覆面調査</t>
        </is>
      </c>
      <c r="H7335" t="n">
        <v>29</v>
      </c>
      <c r="I7335" t="inlineStr">
        <is>
          <t>覆面しているのでよくわからないが、その眼つきが笑ったようにみえた。；彼の顔は覆面に隠れて、笑っているのか泣いているのか、少しも分らぬ。；覆面の下には第二十一号の番号が、はっきり白い糸で縫いとられていた。；血をひく孫であり、同じ覆面であるから似ているのは当然かも知れない。；第二号と白い縫い取りのはいった覆面が、髪と顔をすっかり隠している。；僕は踊を見ているうちに、覆面の連中の話をするのがふいと耳に入った。；おそらくどこかに、黒い覆面の下で青ざめた顔があるにちがいなかった。；かかるところへ峠をスタスタと登つて来た二人の覆面頭巾の男があつた。；男達は様々な色や形の覆面をして闘牛場に向かい、戦う相手を指名する。；まだ覆面やフード姿の者たちもいたし、顔を見せている者たちもいた。；そのたびに目の前には覆面男が現れ、彼女の危機一髪を回避し続けていた。；そこで、この人の覆面ぶりは慣れて、おのずから堂に入ったものがある。；星あかりのおかげで、かれの面前にいる覆面姿の人影がわずかに見えた。；以後素顔で活動していたが、暫くの期間をおいて再び覆面を被っている。；私は覆面でものを言う人とは無関係でいるくらいの自由はあるだろう。；その内の首領らしい覆面の男が重々しい口調でこんなことを云ったのです。；お前さんは、今ひょっくり見えなくなったあの白覆面のお侍じゃあねえか。；ただし今日では、特に理由がなくても覆面を利用するレスラーも多い。；治った大佐はお礼に、覆面軍全メンバーを正規軍に入らせる決意をした。；覆面の人物は鼻の頭がガラスに着くほど、窓のそとに接近していた。；その覆面の男をのぞいて、だれひとり邸内に入ったものはいませんでした。；戦後鉄人を作り上げた覆面の男が、乗鞍岳で製作したものと考えられる。；そのために覆面をしたり友人を避けたりしているのだろう。；その中にあって、黒い覆面をした一人の外国人は声高く叫んだ。；駒守は目がなくては歩くこともできないから、同じ覆面でも、目があった。；升屋のときと同じように、覆面をした黒装束で三人の敵と刃を合わせていた。；青・赤・黄の原色を使ったカラフルなコスチューム・覆面を着用している。；そして彼は黒い布の覆面をして人に接するようになった。；覆面の男はやっと地上に降り立って、大きな荷物を下の男の背中に負わせた所だ。</t>
        </is>
      </c>
      <c r="J7335">
        <f>HYPERLINK("https://www.weblio.jp/content/覆面", "词义详情")</f>
        <v/>
      </c>
      <c r="K7335">
        <f>HYPERLINK("https://yourei.jp/覆面", "查看例句")</f>
        <v/>
      </c>
    </row>
    <row r="7336">
      <c r="A7336" t="inlineStr">
        <is>
          <t>膨らます</t>
        </is>
      </c>
      <c r="B7336" t="inlineStr">
        <is>
          <t>成功</t>
        </is>
      </c>
      <c r="C7336" t="inlineStr">
        <is>
          <t>読み方：ふくらます
［動サ五（四）］ふくらむようにする。ふくらす。ふくらせる。ふくらめる。「風船を—・す」「小鼻を—・す」</t>
        </is>
      </c>
      <c r="D7336" t="inlineStr">
        <is>
          <t>誇張；波打つ；大袈裟に言う；膨らせる</t>
        </is>
      </c>
      <c r="H7336" t="n">
        <v>29</v>
      </c>
      <c r="I7336" t="inlineStr">
        <is>
          <t>目覚めたばかりの売女やヒモたちが腹を膨らませに集まりはじめていた。；また、視覚と聴覚両方の信号のために膨らます袋を持っていた可能性もある。；この袋を膨らますことで他の個体とコミュニケーションをとっていたのではないかと考えられている。；おばさんを膨らました罪でアズカバン送りにするなんてことはない!；自分だけの身を考えて、あわててそんな死肉で腹を膨らましてしまった伊織は後悔した。；しかし彼はまたオスマン軍の兵力を大幅に膨らまして20万人と推定している。；インフレートと呼ばれ、完成時に屋根を膨らます作業が行われた。；長袴の前を膨らました姿を見られるわけにはいかない。；なんとなく、彼女に見透かされている気がして、萌絵は意味もなく頬を膨らます。；ブドウを圧搾するために、大きな空気袋を膨らましてブドウを押し出す。；そういう今、彼は膝の上で両腕を組み合わせ、足を水の中で存分に膨らましている。；ぷりぷりに膨らました乳房が邪魔をするので、しゅんと縮めてしまった。；次に涙を流してほくろを抱いて別れると、船はすでに帆を膨らましておりました。；ご多忙な中、魅力的なイラストで作品を膨らましてくださる四季童子氏に。；そして明日や明後日のもっと楽しいことで夢を膨らまそう?；相手を脅そうとして身体を膨らまして大きく見せる動物は、たくさんいるだろう?；人脈リストを頼りに、想像を膨らましてリストにない名前を探す作業を続けてきた。；嘉吉は、よくぞ訊いてくれた、というふうに鼻の穴を膨らました。；番組前半はフリートークとリスナーからのお便りを紹介しながら話を膨らます。；老師はふう、と息を吹き込んで封筒を膨らまし、中の書簡を抜き出した。；エンジンの取り出しは機体の上下から行い、燃料タンクは機体下部を膨らましたような形で設置されている。；案の定、エリオは数分経っても話を空気で膨らますことが出来ずに息苦しそうにしているだけだ。；「わたしだって、もらいたくてもらったわけじゃない」頬を膨らまして呟く。；全体としてはヒノキの小枝を膨らましたような姿である。；敵を膨らますと100点、破裂後の地面落下でさらに100点が得られる。；ミチミは頬を膨らまし、背中を向けて向うへいってしまった。；丸い縁に黄を帯びた輪をぼんやり膨らまして輪廓も確でない。；その後、チームは元の話やイメージをベースにしたうえで、ゲームに合った要素を膨らましていき、ゲームを開発していった。；最も人気があるのが、気球に近寄ってどのように膨らませ操縦されるかを見られることである。</t>
        </is>
      </c>
      <c r="J7336">
        <f>HYPERLINK("https://www.weblio.jp/content/膨らます", "词义详情")</f>
        <v/>
      </c>
      <c r="K7336">
        <f>HYPERLINK("https://yourei.jp/膨らます", "查看例句")</f>
        <v/>
      </c>
    </row>
    <row r="7337">
      <c r="A7337" t="inlineStr">
        <is>
          <t>膨らむ</t>
        </is>
      </c>
      <c r="B7337" t="inlineStr">
        <is>
          <t>成功</t>
        </is>
      </c>
      <c r="C7337" t="inlineStr">
        <is>
          <t>読み方：ふくらむ
［動マ五（四）］
１物が、内からの力で丸みをもって大きくなる。ふくれる。「木の芽が—・む」「かばんが—・む」
２考えや希望が広がって大きくなる。「計画が—・む」「夢が—・む」
［動マ下二］「ふくらめる」の文語形。
[用法]ふくらむ・ふくれる——「餅(もち)がふくらむ（ふくれる）」「ポケットがふくらむ（ふくれる）」など、内から外に向かって大きくなる意では相通じて用いられる。◇「ふくらむ」はふつう、自然にやんわりと大きくなることをいい、「つぼみがふくらむ」「夢がふくらむ」では「ふくれる」は使わない。◇「ふくれる」には、異常な原因で大きくなるという意があり、この意味では「はれる」と相通ずる。「ねんざして足首がふくれる（はれる）」</t>
        </is>
      </c>
      <c r="D7337" t="inlineStr">
        <is>
          <t>膨らむ可能性；膨らむドルーブル；膨らむ胴張り形</t>
        </is>
      </c>
      <c r="E7337" t="inlineStr">
        <is>
          <t>展開；発展；増加；広がる；膨大</t>
        </is>
      </c>
      <c r="F7337" t="inlineStr">
        <is>
          <t>丸く膨らむ；よく膨らむ；やや膨らむ；さらに膨らむ；孕んで膨らむ</t>
        </is>
      </c>
      <c r="H7337" t="n">
        <v>29</v>
      </c>
      <c r="I7337" t="inlineStr">
        <is>
          <t>彼女の胸の膨らみが白い制服の下で呼吸にあわせて上下するのが見えた。；このころ流行した袖の形として二の腕を膨らませたマオワトル袖がある。；石のひとつに、顔のとれたものをときどき貼り付けて想像を膨らませた。；私の話を聞いているうちに、お父さんの鼻の穴がドンドン膨らんでくる。；天井を、あの膨らんだ月みたいな色の光の帯が何度も何度も往復している。；しかし、本当のテストは膨らませてからのことだとグライムズは思った。；やっと膨らみかけたお腹なのに、あの人はその意味を全然わかってない。；この日すみが胸のうちで膨らませた願いは、翌年の同じころに成就した。；今でも執筆中には自由帳にイラストを書き、イメージを膨らませている。；つまり下腹部が異常に膨らんでいるのを確認する勇気がなかった訳である。；これでは、物語が作者の思惑を越えて、膨らむのも無理はないでしょう。；内部に多すぎる水を入れた樽のように、膨らませすぎた風船 のように。；メインの輪郭は円に近いが、西側と北東側の周壁が外側へ膨らんでいる。；肩の膨らんだ袖の先、一本の竹箒を手にした彼女を、佐山は知っている。；先ほどから頭の隅に残っている違和感が、さらに膨らんでいたのである。；顔だけではない、白い裸の肩も、胸の膨らみまでもはっきり見たと思った。；頭には、最近になって急に膨らんできた綾子の腹が眼に浮かんでいる。；膨らみはさっきよりも更に少し大きくなっているように感じられる。；鼻孔を膨らませて空気を小刻みに吸い込むその姿には警戒の色があった。；その年齢にしては背は高い方だろうが、やせて胸の膨らみはまだなかった。；ピアリーは円に近い形状をしており、北東の周壁は外側へ膨らんでいる。；天は、灰色の裏に白い光を秘めているように、鈍く膨らんで見えていた。；いまは注意して見れば、下腹の膨らみが見分けられる程度になっている。；顔を赤くしたままの美夏がぷんぷんと頬を膨らませながら隣を歩いていた。；メロンのある前頭部は若干膨らんでおり緩やかに前方へと傾斜している。；春が来て、木の芽から畳の床に至るまですべてのものが膨らんできた。；春が来て、木の芽から畳の床に至るまですべてのものが膨らんで来た。；うしろから押されたのか、ひとの群れが通りに向けて膨らみ始めた。；雪の上に出ている木々の枝先では、芽がふっくらと膨らみはじめている。</t>
        </is>
      </c>
      <c r="J7337">
        <f>HYPERLINK("https://www.weblio.jp/content/膨らむ", "词义详情")</f>
        <v/>
      </c>
      <c r="K7337">
        <f>HYPERLINK("https://yourei.jp/膨らむ", "查看例句")</f>
        <v/>
      </c>
    </row>
    <row r="7338">
      <c r="A7338" t="inlineStr">
        <is>
          <t>福利</t>
        </is>
      </c>
      <c r="B7338" t="inlineStr">
        <is>
          <t>成功</t>
        </is>
      </c>
      <c r="C7338" t="inlineStr">
        <is>
          <t>読み方：ふくり
幸福と利益。</t>
        </is>
      </c>
      <c r="D7338" t="inlineStr">
        <is>
          <t>福利施設(7%)；福利国連線(2%)；福利課長；福利協会</t>
        </is>
      </c>
      <c r="E7338" t="inlineStr">
        <is>
          <t>為；福祉；特典；恩；プラス</t>
        </is>
      </c>
      <c r="F7338" t="inlineStr">
        <is>
          <t>物質的福利</t>
        </is>
      </c>
      <c r="G7338" t="inlineStr">
        <is>
          <t>福利厚生施設；福利厚生費；福利物産</t>
        </is>
      </c>
      <c r="H7338" t="n">
        <v>29</v>
      </c>
      <c r="I7338" t="inlineStr">
        <is>
          <t>また、善を行っても、わが社会はこれに相当する福利を与えてくれない。；その目的は10の自治体からなる地域の経済と環境の福利を強化することである。；ペギーや姉の福利および教育のために蓄えられたものは一切無かったという。；テレビや映画の作品に多数出演する傍ら、宗教活動や福利事業にも力を注いだ。；新しい企業は人口増加を確実にし、これに伴い新しい福利施設が必要となった。；地官の中でも、もっとも民に福利のある地位に帷湍を据えたのですよ。；これは権威をもって福利をなしたと申すものではないのか?；自己の生命や地位より民衆の福利を重視し、それを実践した人物の言だったからである。；個人の生活の物質的な福利を確保するという日常的な目標を達成することがこの権力の目標なのである。；それがなぜ権威をもって福利をなしたと申されましょうか?；自分自身の満足と、友人たちの福利のどちらを重視するか?；しかし科学は全体として見れば人間一般の福利を増進するつもりで進んで来た。；そして経済条件をその幸福の基礎とする点において、物的福利を重んずる。；そして EU加盟国の各政府は一般市民の福利を向上させることを第一目標とするべきである。；さうして其団体の福利と隣人の事を第一に置いて、自己の福利を最後におくものである。；このような隔離策は、会社の従業員に提供される福利や娯楽施設などにも適用された。；同時に最底辺の人々にも生活水準以上の福利が保証されている場合なら不平等も認められる。；この方策自身は、確かに人民の福利を図ろうとするものであった。；だが、オウエンの関心はこうした経営実践上の福利策だけでは留まらなかった。；工場の給食や託児所という、働くものの福利施設のことが出て来ていることも珍しい。；その後は郷里である福建省・アモイの開発事業や教育・福利施設の運営に注力した。；寺院は鎮福利院など約20寺が東と北の屋敷の外側に散在していたが、神社は少なかった。；現在もテニスコート数面やミニゴルフなど福利施設としての機能も一部に残されている。；それは政策と政府から成り、人々を導き、公共の福利を進める身体である。；我々は他人の福利に関心を持たない。；しかし本来は親切で思いやりがあり、いつも部下の福利について心配している。；牛乳と林檎は豚の福利には絶対に必要な物質を含んでいる。；福利の向上に努力したスルタン・アグン・ティルタサヤ統治下で、人々の生活は急速に向上した。；ひっきょう彼は一個の軍閥者流に過ぎず、眼中国家もなければ、民衆の福利もない。</t>
        </is>
      </c>
      <c r="J7338">
        <f>HYPERLINK("https://www.weblio.jp/content/福利", "词义详情")</f>
        <v/>
      </c>
      <c r="K7338">
        <f>HYPERLINK("https://yourei.jp/福利", "查看例句")</f>
        <v/>
      </c>
    </row>
    <row r="7339">
      <c r="A7339" t="inlineStr">
        <is>
          <t>膨れ上がる</t>
        </is>
      </c>
      <c r="B7339" t="inlineStr">
        <is>
          <t>成功</t>
        </is>
      </c>
      <c r="C7339" t="inlineStr">
        <is>
          <t>読み方：ふくれあがる
［動ラ五（四）］ふくれて盛り上がる。また、非常に大きくなる。「歯痛で頰が—・る」「夢が大きく—・る」</t>
        </is>
      </c>
      <c r="D7339" t="inlineStr">
        <is>
          <t>膨れ上がる爆光；膨れ上がる炎</t>
        </is>
      </c>
      <c r="E7339" t="inlineStr">
        <is>
          <t>展開；増加；上昇；広がる；上がる</t>
        </is>
      </c>
      <c r="H7339" t="n">
        <v>29</v>
      </c>
      <c r="I7339" t="inlineStr">
        <is>
          <t>その言葉を聞いただけで、法子の中で急速に緊張が膨れ上がっていった。；あの光が膨れ上がった場所に、あなたたちが乗った飛行機械は飛んでいた。；施但らが建業にまで至ったときは徒党の数は数万人に膨れ上がっていた。；ほんの一瞬で、炎の玉は直径にして十万倍もの大きさに膨れ上がった。；怒りでハグリッドの体が小屋いっぱいに膨れ上がったかのようだった。；信長軍が三万近くに膨れ上がっていることは、光秀の計算外のことだった。；わしらが戦いに参加すれば、人の死ぬ数は倍以上に膨れ上がるでな。；だが、それを受け取ったお佐和の眼に膨れ上がるような涙が浮かんでいた。；しばしば、これらが全ての政治性を放棄する理由にまで膨れ上がってしまう。；この町の人口は数時間で2千人から12千人に膨れ上がったといわれている。；言葉での説明がないだけに、ネガティブな疑問が勝手に膨れ上がってくる。；少年の腕の中で姉の独白を聞きながら、その思いが次第に膨れ上がる。；父の目は夕日が映り込んで赤く、その表面が膨れ上がったように潤んだ。；ラクダや犬は皮膚が見る見るうちに膨れ上がるほど多量の水を飲んだ。；それによって、さらに膨れ上がる激しい怒りで目の前が真っ赤になった。；青い光に包まれて、ぶくぶくに膨れ上がった母が立っているような気がして。；それは紫色の光が膨れ上がってからわずか二秒たらずの出来事だった。；全身が倍にも膨れ上がったように見え、さすがの桑山が背筋を震わせた。；そうこうしている内に雪ダルマのように問題が大きく膨れ上がってしまうのだ。；その傍らからも、恐ろしい規模で鮮やかな青い光が膨れ上がっている。；陽炎は走る刃の軌道上で膨れ上がり、直径数メートルの打撃武器となる。；大変な数に膨れ上がった野次馬が廊下の右に左にみっちりと詰まっていた。；笑いは波のようにときどき膨れ上がってはいつまでも続いた。；それがいつの間にか利息が膨れ上がって、二千万近くになっていたんです。；さらに建業まで進むと、その徒党は一万余にまで膨れ上がっていった。；言葉も出ないほどの怒りで膨れ上がっているように見えた。；敵を前にして逃げることはできない、その思いが胸中に膨れ上がる。；膨れ上がって爆発しそうだった罪の意識が、溶け、流され、消えていく。；身体の奥底で白い光のような力が爆発し、膨れ上がり、溢れ出していく。</t>
        </is>
      </c>
      <c r="J7339">
        <f>HYPERLINK("https://www.weblio.jp/content/膨れ上がる", "词义详情")</f>
        <v/>
      </c>
      <c r="K7339">
        <f>HYPERLINK("https://yourei.jp/膨れ上がる", "查看例句")</f>
        <v/>
      </c>
    </row>
    <row r="7340">
      <c r="A7340" t="inlineStr">
        <is>
          <t>膨れる</t>
        </is>
      </c>
      <c r="B7340" t="inlineStr">
        <is>
          <t>成功</t>
        </is>
      </c>
      <c r="C7340" t="inlineStr">
        <is>
          <t>読み方：ふくれる
［動ラ下一］［文］ふく・る［ラ下二］
１内から外へ盛りあがって大きくなる。ふくらむ。「腹が—・れる」
２頰をふくらませて不機嫌な顔つきになる。むくれる。「ちょっとしたことですぐに—・れる」
→膨(ふく)らむ［用法］</t>
        </is>
      </c>
      <c r="H7340" t="n">
        <v>29</v>
      </c>
      <c r="I7340" t="inlineStr">
        <is>
          <t>日本人には膨れつ面をしてゐるものが多いと、よく西洋の女などが云ふ。；その言葉を聞いただけで、法子の中で急速に緊張が膨れ上がっていった。；あの光が膨れ上がった場所に、あなたたちが乗った飛行機械は飛んでいた。；手も足も膨れているからぼくはまるで権十が夜盗虫みたいな気がした。；隣にいる佐里も似たようなことを考えているのか、膨れた顔のままだ。；膨れ切った袋のような自分はただ外界から襲って来る力を信ずるだけだ。；ほんの一瞬で、炎の玉は直径にして十万倍もの大きさに膨れ上がった。；別にパンを切ってその中へ十分間ほど漬けておくとパンが大層膨れます。；怒りでハグリッドの体が小屋いっぱいに膨れ上がったかのようだった。；他の世代と比較して膨れ上がった人口の塊がテーマとなっている。；おりから水は上げ潮で河幅一杯に満々と、妊婦の腹のように膨れていた。；信長軍が三万近くに膨れ上がっていることは、光秀の計算外のことだった。；私の指からは少し血が流れ、皮膚があちらこちら火膨れになっていた。；温泉へ行くと、うらなり君が時々蒼い顔をして湯壺のなかに膨れている。；これには牛乳も何も入れないでよく柔に膨れますが少し熟練を要します。；しばしば、これらが全ての政治性を放棄する理由にまで膨れ上がってしまう。；この町の人口は数時間で2千人から12千人に膨れ上がったといわれている。；少年の腕の中で姉の独白を聞きながら、その思いが次第に膨れ上がる。；ラクダや犬は皮膚が見る見るうちに膨れ上がるほど多量の水を飲んだ。；だが、周辺道路では排除に反発するデモ隊が千人以上に膨れあがった。；目は大きく、鼻筋は通っていて、唇も少女のようにぷっくり膨れている。；上記のように洋樽はしばしば中間で膨れており、凸面の形を持っている。；蛇の頭膨れたるはプレ神に踏まれたからで鳥に啄まれた頸へ斑が出来た。；その稜稜は消えてゆく、円になる、だんだん膨れてきた、こんだは球だ。；すると、伊弉冉尊の身体は膨れあがっていて、その上に八色雷公がいた。；ゲーム上では、ゲームオーバー時に必ず膨れたクターを見ることになる。；海は絶えず膨れ上つて、雪のやうな波の水沫を二人のまはりへ漲らせた。；なんというか食べていて腹が膨れるより 幸せになれる弁当というか。；見上げるほどに膨れると、ぽんと音をたて弾けるように壁に穴が開いた。</t>
        </is>
      </c>
      <c r="J7340">
        <f>HYPERLINK("https://www.weblio.jp/content/膨れる", "词义详情")</f>
        <v/>
      </c>
      <c r="K7340">
        <f>HYPERLINK("https://yourei.jp/膨れる", "查看例句")</f>
        <v/>
      </c>
    </row>
    <row r="7341">
      <c r="A7341" t="inlineStr">
        <is>
          <t>袋</t>
        </is>
      </c>
      <c r="B7341" t="inlineStr">
        <is>
          <t>成功</t>
        </is>
      </c>
      <c r="C7341" t="inlineStr">
        <is>
          <t>読み方：たい
［常用漢字］　［音］タイ（漢）　［訓］ふくろ
〈タイ〉ふくろ。「魚袋・風袋・郵袋」
〈ふくろ（ぶくろ）〉「胃袋・紙袋・手袋・戸袋・寝袋」
［難読］足袋(たび)・布袋(ほてい)</t>
        </is>
      </c>
      <c r="D7341" t="inlineStr">
        <is>
          <t>袋状(2%)；袋詰め；袋入り；袋果；袋ごと</t>
        </is>
      </c>
      <c r="E7341" t="inlineStr">
        <is>
          <t>バッグ；鞄；カバン；嚢</t>
        </is>
      </c>
      <c r="F7341" t="inlineStr">
        <is>
          <t>皮袋；一袋；花袋；大きな袋；小さな袋</t>
        </is>
      </c>
      <c r="G7341" t="inlineStr">
        <is>
          <t>袋叩き；袋物；袋町；袋井市；袋中</t>
        </is>
      </c>
      <c r="H7341" t="n">
        <v>29</v>
      </c>
      <c r="I7341" t="inlineStr">
        <is>
          <t>客は購入後に袋を開けるまで、組番は一切わからないようになっている。；ヨーロッパ仕様版には内袋や歌詞が挿入されていたがアメリカ版にはない。；レコードの製造は日本コロムビアが行っており、袋も同社のものだった。；またボトルの商品がわざわざ袋に入れて販売されていた時期があった。；欧州の遊牧民が袋に粒状の物を入れて遊んだのが始まりと言われている。；一般の小売店で袋詰めにて販売されている菓子パンの種類は以下の通り。；また、新たな別当に神袋坊を迎えて大聖院自体も存続しているのである。；内袋には各曲のクレジットとゲスト・ミュージシャンの写真が印刷された。；しかし、袋に入ることなく網石の下をくぐり抜けて逃げる魚も少なくない。；機体の大部分を占めるガス袋に水素もしくはヘリウムが充填されている。；袋という言葉があるが、箱など袋以外の外装にまとめた物も福袋と呼ぶ。；いろいろなものの上に積み上げられた箱や袋に入っていない嗅ぎ煙草。；最後の説では前述の修道院に言及し、その袋 であるとしている。；その夜、万里は荷物の中からタロウの手紙とお金の入った袋を見つける。；槍状の刃の下部が袋状になっていて、そこに柄を差し込んで使用する。；中柱は中ほどに短い枝を1本残しており、これは茶入袋掛けとなっている。；「布で作られた袋状の人形」を用いたことから布袋劇の名称が生じた。；穀物や郵便物を入れたり、土嚢を作るために使われてきた麻でできた袋。；またセメントについても岩根橋駅で従来実施した袋から出す作業を廃止。；現代では人気キャラクターの印刷された袋がよく使われる。；やはり自分との記憶はないと落ち込むが袋の奥からクルミ・ヌイが現れる。；したがって本来の用途はこれらの僧衣を入れるための袋であった。；袋を貼り付けて便を受けるシステムになるが、患者の負担が大きい。；紙製の袋で包装され、開封時に製品が崩れた場合は、商品の交換が可能。；小屋の主人が子供の顔を隠していた袋を剥ぎ取ると、子供の醜い顔が現れる。；この間、袋台地を中心とした軍都・赤羽台の周縁地区として整備された。；袋状を構成する中央部分は胃体と呼ばれ、左に湾曲するC字型である。；店で商品を購入した際に使用される持ち帰り用の袋があった。；アベックはそれぞれ袋に入れられたまま近くの民家に助けを求めた。</t>
        </is>
      </c>
      <c r="J7341">
        <f>HYPERLINK("https://www.weblio.jp/content/袋", "词义详情")</f>
        <v/>
      </c>
      <c r="K7341">
        <f>HYPERLINK("https://yourei.jp/袋", "查看例句")</f>
        <v/>
      </c>
    </row>
    <row r="7342">
      <c r="A7342" t="inlineStr">
        <is>
          <t>不景気</t>
        </is>
      </c>
      <c r="B7342" t="inlineStr">
        <is>
          <t>成功</t>
        </is>
      </c>
      <c r="C7342" t="inlineStr">
        <is>
          <t>読み方：ふけいき
［名・形動］
１経済活動に活気がないこと。また、そのさま。「世の中が—になる」⇔好景気。
２商売が繁盛していないこと。また、そのさま。「—な店」
３沈み込んで元気のないこと。また、そのさま。「—な顔をするな」
４いけすかないさま。
「狭い流しを糠(ぬか)だらけにして居ませうぜ。—な」〈人・梅児誉美・三〉</t>
        </is>
      </c>
      <c r="D7342" t="inlineStr">
        <is>
          <t>不景気な顔(3%)；不景気風；不景気な話；不景気な時代；不景気な声</t>
        </is>
      </c>
      <c r="E7342" t="inlineStr">
        <is>
          <t>不況；スランプ；経済危機；景気後退；霜枯れ</t>
        </is>
      </c>
      <c r="F7342" t="inlineStr">
        <is>
          <t>ひどい不景気；深刻な不景気；景気不景気；こんな不景気；長い不景気</t>
        </is>
      </c>
      <c r="H7342" t="n">
        <v>29</v>
      </c>
      <c r="I7342" t="inlineStr">
        <is>
          <t>だが、不景気面をしているところをみると、まだ夢でもみているのかね。；それが雨の下でいやが上にも不景気な泣き出しそうな外貌を呈している。；不景気な時の暇な内に少し研究しておいて、無駄にならんことである。；いかに不景気の時代とはいえ、これなら売れないわけはないでしょうが。；欧州戦争のあと、急速に不景気になっていく世相を彼はよく知っていた。；特に、不景気風の吹き始めた七三年頃から、こんな学生が多くなった。；不景気で、修学旅行の学生なども当てにしないとやっていけないのだろう。；復興債券が売れたのは、不景気でもがいている人間が多いためだという。；設立当初、乗客数は伸びたが、不景気の影響で経営状況は低迷していた。；不景気風に吹きまくられて湯の都の発達もちょっと小頓挫の形にある。；その頃は不景気の時代、学校出でもろくな職はなかったくらいだから。；不景気な話ばかりの東京の夜を、あの日ばかりは花火が彩ったのである。；いくら二人が話し合つても、この不景気をどうする事も出来なかつた。；このような不景気を克服するため、東北産業博覧会は企画・実施された。；計画が変更されている背景には不景気・需要の低迷などがあった。；しかし、バブル崩壊後の不景気で会社の仕事はあまりない底冷えが続く。；近頃は不景気であるために、三百四百のものが仕事にあぶれることがある。；北海道はずいぶんあちこちの水害で不景気なさうですが、米は高いでせうね。；不景気が戦争のせいでひどくなっているようにも感じられる。；そうは思ってもこの頃のようにこう不景気ではやり切れぬ。；不景気は質屋にも同様に襲ってくることを、竜太はまだ知らなかった。；「三人の中で一番不景気な顔した女ですよ」とクローヴィスがいった。；不景気と人種差別のため瀬戸物の包装などの仕事をしていたこともあった。；それだけ頻繁に行っていなければ、不景気を忘れることができないのだろう。；また、戦争が終わると一転して戦後恐慌と呼ばれる不景気に見舞われた。；しかし、不景気への対策を用意しておけば、それに越したことはないではないか。；私は、昭和のはじめ、世の中が一番不景気の時代に失職してしまった。；一度不景気を経験して、春江はすっかり臆病になっていたようだった。；戦後十五年間、この間三回にわたる不景気がきておるのであります。</t>
        </is>
      </c>
      <c r="J7342">
        <f>HYPERLINK("https://www.weblio.jp/content/不景気", "词义详情")</f>
        <v/>
      </c>
      <c r="K7342">
        <f>HYPERLINK("https://yourei.jp/不景気", "查看例句")</f>
        <v/>
      </c>
    </row>
    <row r="7343">
      <c r="A7343" t="inlineStr">
        <is>
          <t>不潔</t>
        </is>
      </c>
      <c r="B7343" t="inlineStr">
        <is>
          <t>成功</t>
        </is>
      </c>
      <c r="C7343" t="inlineStr">
        <is>
          <t>読み方：ふけつ
［名・形動］
１衛生的でないこと。よごれていて、きたないこと。また、そのさま。「—な水」⇔清潔。
２みだらでけがらわしいこと。また、そのさま。「—な話」
[派生]ふけつさ［名］</t>
        </is>
      </c>
      <c r="D7343" t="inlineStr">
        <is>
          <t>不潔感(4%)；不潔な感じ；不潔物；不潔きわまる；不潔な行為</t>
        </is>
      </c>
      <c r="E7343" t="inlineStr">
        <is>
          <t>汚れ；汚い；不浄；汚ない；下劣</t>
        </is>
      </c>
      <c r="F7343" t="inlineStr">
        <is>
          <t>そんな不潔；ひどく不潔；ないほど不潔；暗い不潔；不潔極まる</t>
        </is>
      </c>
      <c r="H7343" t="n">
        <v>29</v>
      </c>
      <c r="I7343" t="inlineStr">
        <is>
          <t>彼等は左の手を不潔な場合の手と定め、食事用の右の手を尊重して居る。；でも、一度冷凍してあるところを見て不潔な気がして、買う気がしない。；不潔です、と決まり文句を口にしようとしたが、言葉が出てこなかった。；彼らは単に己れの居室を不潔乱雑にしている位ならまだしもの事である。；シンデレラは、その名の通り灰をかぶったような不潔な女の意味である。；そして払ってもらって喜んでいるのだから、私も御不潔になれたのである。；清浄な水でもよければ、不潔な水でもいい、湯でも茶でもいいのである。；しかしわれわれから見て、藤野由美さんが不潔とは思われませんでした。；畑を荒らしたと思うと不潔な気がして食べる気になれなかったのだ。；健康でなくては純粋も神聖もないし、病気は不潔なものであるからだ。；その不潔な行列を指導する者も明らかに、彼らを分類してはいなかった。；勿論、私の顔が不潔に見えるはずはありませんから気が合わないのですな。；そんな不潔な動機からあれ達を、保護していると思ったら大違いだ。；つまり家庭に男という存在がいること自体が女たちに不潔な思いをさせるのだ。；さっきから便所へ立ちたいのを、不潔さがいやで辛抱し続けていたのだ。；僕がいつ、不潔なことをしたか、さあそれを証明して貰いたいものだ。；これ以上落ち、これ以上不潔にすることは、容易なことではなかった。；併し困る事には不潔と云ふ事の感じが大分に日本人と異つた点がある。；そんな不潔な人間と一緒に食事をしたくないような口調である。；彼はいきなりその町のとある不潔な汚れ腐ったぼろ屋へ馬を乗り着けた。；数多くの不潔な虫どもが、この牢内にやって来て音をたてることはあった。；そしてこの不潔な小室には、少年が二人まで同室しているのだった。；その不潔さにも貧乏ぶりにも、やはり隔世的な差があったように思われる。；京二郎は秘密といふものが女の一生の目的であるやうな思ひにふけつた。；かれらの状態はどのような不潔が文明と共存しうるかを証明するにすぎない。；動物はまず自分らが、いかに不潔で下等な生物かを自覚すべきなのだ。；ある有害で不潔な動物を殺して祭司に届けるのは役に立つ行為であった。；子どもたちがこの不潔さの中に群がっており、幼い子たちは丸裸だった。；そんな不潔な男達を出さなくても、日本には大勢の人気歌手がいた。</t>
        </is>
      </c>
      <c r="J7343">
        <f>HYPERLINK("https://www.weblio.jp/content/不潔", "词义详情")</f>
        <v/>
      </c>
      <c r="K7343">
        <f>HYPERLINK("https://yourei.jp/不潔", "查看例句")</f>
        <v/>
      </c>
    </row>
    <row r="7344">
      <c r="A7344" t="inlineStr">
        <is>
          <t>耽る</t>
        </is>
      </c>
      <c r="B7344" t="inlineStr">
        <is>
          <t>成功</t>
        </is>
      </c>
      <c r="C7344" t="inlineStr">
        <is>
          <t>読み方：ふける
［動ラ五（四）］《「更ける」と同語源》
１一つの物事に熱中する。夢中になる。「瞑想に—・る」「雑談に—・っていて客が来たのに気付かない」
２動詞の連用形に付いて、他のことを忘れて一心にする意を表す。「読み—・る」</t>
        </is>
      </c>
      <c r="D7344" t="inlineStr">
        <is>
          <t>熱中する；没頭する；夢中になる；傾倒する；のめり込む</t>
        </is>
      </c>
      <c r="H7344" t="n">
        <v>29</v>
      </c>
      <c r="I7344" t="inlineStr">
        <is>
          <t>彼は膝の上に両肱をつき手に顎を支えて、黙然と考えに耽っていました。；その鳥はもの想いに耽るたびに現れて、私の心を遥か遠くに運んでいく。；しかしながら、ぼくはそうした考えに、そう長く耽っていたのではない。；そして自分が目にしているものについて思索に耽っているように見える。；私は塵埃をかぶった靴の先を視詰めながら、様々な事を考え耽っていた。；例の説得をくり返していた母の前でいつの間にかもの想いに耽っていた。；私としてこういう黙想に耽るのはむしろ当然だといわなければならない。；彼女の姿に思い耽っていると、異様な不安が彼の血の中に忍びこんできた。；百合は大きく、瞑想に耽る異国の小さな動物のようにもったりしていた。；その折独帝は、六歳になる甥を相手に何か罪のない無駄話に耽つてゐた。；王者然としている自分を考えて、しばしば楽しい思いに耽るのであった。；彼はその悪口を押しやって、不安な気持で再び自分の考えに思い耽った。；そこで人々はそれぞれ自分の思念のおもむくままに思いに耽りはじめた。；私は戦争を外に見て、全く自分の製作に耽るほど静かな気分には成れない。；彼の心はまた、彼がその崖の上から見るあの窓のことを考え耽った。；私は一まづ筆をおいて、體を横にして、しばらく思に耽らうと思ひます。；会話の途中で考え事に耽ってしまった自分のことを、変に思ったのだろう。；さうして私はその時針仕事をしながら、自分ひとりの物思ひに耽つてゐた。；彼等はいつも、何か我を忘れて、ぼんやり考えごとに耽っているのです。；彼の女は今歩きながら考へ耽つて居る、暑さを身に感じる閑もないほど。；口の中にいつのまにこんな傷ができていたのかと、退屈な回想に耽った。；だが、今は八戒の享楽主義の秘密への考察に耽っているわけにはいかぬ。；深く考えに耽っているうちに、時間の感覚がどこかで失われてしまったようだ。；しかし考えに耽っていると、真理がだんだんと近づいて来ているのだ。；人が味わうことができない一億倍の快楽に耽る人生が涼子を待っている。；こんなスピードを出しつつ妄想に耽っていては、大事故を起こしかねない。；わたくしは長いあいだ沈黙して、自分の物思いに耽るのが好きなのだ。；仕事の断え間になると、彼は昼間でも一心になってそれに耽っていた。；一刻も早く眠りたいと思いながらわけもなく思いに耽る思いである。</t>
        </is>
      </c>
      <c r="J7344">
        <f>HYPERLINK("https://www.weblio.jp/content/耽る", "词义详情")</f>
        <v/>
      </c>
      <c r="K7344">
        <f>HYPERLINK("https://yourei.jp/耽る", "查看例句")</f>
        <v/>
      </c>
    </row>
    <row r="7345">
      <c r="A7345" t="inlineStr">
        <is>
          <t>更ける</t>
        </is>
      </c>
      <c r="B7345" t="inlineStr">
        <is>
          <t>成功</t>
        </is>
      </c>
      <c r="C7345" t="inlineStr">
        <is>
          <t>読み方：ふける
［動カ下一］［文］ふ・く［カ下二］《「ふか（深）」の動詞化》
１夜中に近くなる。夜が深まる。「夜がしんしんと—・ける」
２季節が深まる。「秋がしだいに—・ける」</t>
        </is>
      </c>
      <c r="F7345" t="inlineStr">
        <is>
          <t>更けるまで続い；かなり更ける</t>
        </is>
      </c>
      <c r="H7345" t="n">
        <v>29</v>
      </c>
      <c r="I7345" t="inlineStr">
        <is>
          <t>夜が更けるに随つて坂を上つて来る自動車や馬車の数が多くなつて行く。；もうこれがお別れだと、三人は夜が更けるまで京都の町を歩きまわった。；夜が更けて車の数が少なくなっているせいもあって、尾行は楽であった。；夜が更けるに隨つて坂を上つて來る自動車や馬車の數が多くなつて行く。；最後の手紙がテーブルの上で灰と化した時には夜はすっかり更けていた。；その日、夜の更けるのを待って、私は不思議な作業にとりかかりました。；年よりも更けて見える樋口は実際何処かの妻君であるかのやうに見えた。；ただ、その日の夜はそれから何事もなく静かに更けていったのだった。；そして夜の更けるのを待ってようやく元の旅籠へこっそりもどって来た。；夜は更けていたが、このままの不安な気持で誰も一人にはなりたくなかった。；日の暮れる頃にどこへか出て行って、夜の更けた頃に帰って来たようです。；夜が更けたころになって、気がついてみると、火のそばの男が死んでいる。；夜も更けていくというのに、事態は悪いほうへ悪いほうへと進んでいくのだ。；夜は更けていたが、将軍は密命を持ってマクシミリアンを起こしたのだ。；更けて、神保家ではいつもより少しばかり早く、部屋の中の灯が消えた。；すっかり夜も更けていたので、外を歩いている者は誰もいなかった。；多分、海が夜更けてから荒れ出すのか、風の向きが昼間と変るのだろう。；夜が透明に更けた頃、私たちはできあがった大量の夕食を食べはじめた。；夜更けて一号室になだれ込んだ仲間たちは、たちまちのうちに寝こんだ。；気配に包まれて夜はいよいよ更けに更け闇は真のものとなってゆく。；その晩、平次の家へ八五郎がやつて來たのはもう大分更けてからでした。；わたしが老発明家の屋敷に着いたとき、夜はさほど更けていなかった。；宵のうちから降りだした雪が、さらさらと更けた雨戸に音をたてている。；やがて夜が更けていき、部屋の熱気もすこしずつ温度を下げていった。；日が暮れても夜が更けても、小者の権造は井上屋敷へ帰って来なかった。；ただ僕だけは開いている眼をわざと閉じて、更けるまでいろいろな事を考えた。；夜が更けるころに、ようやく祖母の嫁入りの辺りまで書くことができた。；夜が更けて署内にひとりになると、署長から借りた本に自然と手が伸びた。；それは、かなり夜が更けてからのことで、月があかるくかがやいていた。</t>
        </is>
      </c>
      <c r="J7345">
        <f>HYPERLINK("https://www.weblio.jp/content/更ける", "词义详情")</f>
        <v/>
      </c>
      <c r="K7345">
        <f>HYPERLINK("https://yourei.jp/更ける", "查看例句")</f>
        <v/>
      </c>
    </row>
    <row r="7346">
      <c r="A7346" t="inlineStr">
        <is>
          <t>老ける</t>
        </is>
      </c>
      <c r="B7346" t="inlineStr">
        <is>
          <t>成功</t>
        </is>
      </c>
      <c r="C7346" t="inlineStr">
        <is>
          <t>読み方：ふける
［動カ下一］［文］ふ・く［カ下二］《「更ける」と同語源》年をとる。また、年寄りじみる。「年の割には—・けてみえる」</t>
        </is>
      </c>
      <c r="D7346" t="inlineStr">
        <is>
          <t>老化；衰える；加齢；高齢化；老いる</t>
        </is>
      </c>
      <c r="H7346" t="n">
        <v>29</v>
      </c>
      <c r="I7346" t="inlineStr">
        <is>
          <t>老けこんだ女が戸を開けてくれて、かなり大きな部屋に案内してくれた。；まだ二十歳そこそこだというのに二十五のお文よりずっと老けて見えた。；再び口を開いた時チャールズ卿はいつになく老けて悲しげな男にみえた。；暗い光の中で見ると、博士は最初に見かけたときよりずっと老けてみえた。；西洋人は老けて見えるから、今の俺よりもちろんずっと若いに違いない。；年の頃は二十七八、どうかしたらもう少し老けているかも知れません。；年の頃は二十七八、どうかしたらもう少し老けてゐるかも知れません。；あの時よりもやや老けたか、癖のない直毛に白髪が東になって生えていた。；私を見あげている猫勝の顔は何年か見ない間にすっかり老けこんでいました。；年は自分で三十七だと云ったが、五十以下とは思えないくらい老けてみえた。；二つ三つも老けて見えるのは、社会人としての経験が長いせいだろう。；そして老けていき、髪は初めのうちは灰色から次第に白くなって行く。；髪の毛には白いものが混ざっていたが、あまり老けたようには見えない。；周辺は大きく変わっていないが、ジョージ卿は老けて腰が曲がっていた。；みているうちに、安らかな表情がその年齢よりも老けた面にひろがった。；髪が薄いせいもあって老けて見えるが、歳を聞いてみたら四十五歳だった。；僕は異様に老けてみられることもあれば、逆に学生と間違われたりもする。；頭を刈って顔を剃ったばかりなのに年が二つ位老けたような気がする。；住所を聞いたタウンゼントが引っ越し先へ行ってみると老けた妻がいた。；みんな同じ年ごろだが、その侍はいちばん老けていて二十七八にみえる。；今、ここで見ると、男は思っていたよりずっと老けているようだった。；だが、その年齢にしては、少しばかり老け過ぎているような気がした。；といっても、歳をとって顔が老人の如く老けるわけではないようだ。；三十前後に見えるが、こういう世界の女の人は老けづくりをしている。；髪が薄くなって老けて見えるが、実際の年齢はもっと若いのかもしれない。；彼らが若いのにちがいないとわかってはいたものの、老けて見えた。；ところが体の具合がわるくなってきたとかで、かなり年より老けて見えた。；二十歳になったばかりだと聞いているが、少なくとも五歳は老けて見える。；横坐りに向い合って坐った妻が数年間に驚くほど老けたのを知って私は驚いた。</t>
        </is>
      </c>
      <c r="J7346">
        <f>HYPERLINK("https://www.weblio.jp/content/老ける", "词义详情")</f>
        <v/>
      </c>
      <c r="K7346">
        <f>HYPERLINK("https://yourei.jp/老ける", "查看例句")</f>
        <v/>
      </c>
    </row>
    <row r="7347">
      <c r="A7347" t="inlineStr">
        <is>
          <t>不幸</t>
        </is>
      </c>
      <c r="B7347" t="inlineStr">
        <is>
          <t>成功</t>
        </is>
      </c>
      <c r="C7347" t="inlineStr">
        <is>
          <t>読み方：ふこう
［名・形動］
１幸福でないこと。また、そのさま。ふしあわせ。「—な境遇」
２身内の人などに死なれること。</t>
        </is>
      </c>
      <c r="D7347" t="inlineStr">
        <is>
          <t>不幸中；不幸な男；不幸な女；不幸な人間；不幸な出来事</t>
        </is>
      </c>
      <c r="E7347" t="inlineStr">
        <is>
          <t>最後；死；死去；死亡；終わり</t>
        </is>
      </c>
      <c r="F7347" t="inlineStr">
        <is>
          <t>幸不幸；どんな不幸；あらゆる不幸；こんな不幸；こうした不幸</t>
        </is>
      </c>
      <c r="G7347" t="inlineStr">
        <is>
          <t>不幸な子供；不幸の手紙；不幸の法則；不幸子；不幸な神</t>
        </is>
      </c>
      <c r="H7347" t="n">
        <v>29</v>
      </c>
      <c r="I7347" t="inlineStr">
        <is>
          <t>自分の子に何もできず顔すら見ることができなかった父も不幸である。；リカは自分が愛を求めたことが他人を不幸にしたことに深く傷ついていた。；検査結果が出るまで不安だったが、不幸中の幸いで特に問題はなかった。；もし、私が誰かのお嫁さんになれば、ほかの人を不幸にしてしまいます。；このように数々の不幸歴がある柊だが、自分が不幸だとは思っていない。；不幸の上にさらなる不幸の連続で読み終わっても幸せな気分にはなれない。；このことは、政治家である知事に指揮させるという不幸なことになった。；幸福や不幸になれてしまって、幸福感や不幸感が無くなる現象をと呼ぶ。；亘の周りでは不幸な事故が多く、周囲の人間もそれに慣れきっていた。；運命とは、人の意思や想いをこえて人に幸・不幸を与える力を意味する。；彼にとってわずかな給料のために父の下で働くことは不幸なことであった。；一部の人々は、このような現状は不幸であり皮肉であると考えている。；不幸なことに、彼の生涯および業績についてはほとんどわかっていない。；不幸な歴史を直視することは国と国のあいだでだけ必要なことではありません。；このような不幸な事故が起きたものの、建造自体は予定通り完了した。；それ以来私生活での不幸を脚本や登場人物たちに投影することが多くなる。；不幸なことに彼らの研究はフランスでは省みられることはなかった。；作者一家の顔をみるなり追い返さなければならなかった親戚も不幸である。；この不幸な事態の展開で数多くの、特に独身男性がイギリスを離れた。；そこには、将来少女たちに起こるであろう不幸が記載されていた。；この戦争がドイツに多大な不幸をもたらすことを自分はわかっている。；しかし2人は、サームは自分の不幸の責任を自分で負うべきだと語った。；この実験を行っていた時期はジュールにとって不幸な出来事が続いた。；創造神を含めた宇宙全ての存在はこの幸運と不幸の天秤に縛られている。；しかし、上記の経緯もありこの結婚は不幸なものであったという。；バートランド・ラッセルは羨望は不幸の最も強力な原因であると記述した。；ふみ子は自らの不幸を直視する姿勢を大森との出会いの中で学んでいった。；不幸なことに、現代の戦車設計の多くがこの後部を常に危険なものにしている。；しかし晩年は子の氏連が先立って若死にするなど、不幸でもあったという。</t>
        </is>
      </c>
      <c r="J7347">
        <f>HYPERLINK("https://www.weblio.jp/content/不幸", "词义详情")</f>
        <v/>
      </c>
      <c r="K7347">
        <f>HYPERLINK("https://yourei.jp/不幸", "查看例句")</f>
        <v/>
      </c>
    </row>
    <row r="7348">
      <c r="A7348" t="inlineStr">
        <is>
          <t>符号</t>
        </is>
      </c>
      <c r="B7348" t="inlineStr">
        <is>
          <t>成功</t>
        </is>
      </c>
      <c r="C7348" t="inlineStr">
        <is>
          <t>読み方：ふごう
１事物の検索・指示のためにつけておく、簡単な文字や図形。しるし。
２ある情報を伝達するために体系的に使われる記号。文字以外のものについていう。長音符号・モールス符号など。
→記号［用法］
３数学で、数の正と負を表す記号。「＋」と「−」の記号。</t>
        </is>
      </c>
      <c r="D7348" t="inlineStr">
        <is>
          <t>符号化する(6%)；符号付き(2%)；符号なし；符号無し；符号ビット</t>
        </is>
      </c>
      <c r="E7348" t="inlineStr">
        <is>
          <t>気配；章；信号；マーク；合図</t>
        </is>
      </c>
      <c r="F7348" t="inlineStr">
        <is>
          <t>逆符号；同じ符号；階級符号；特殊標記符号；bch符号</t>
        </is>
      </c>
      <c r="G7348" t="inlineStr">
        <is>
          <t>符号化方式；符号語；符号位置；符号化文字集合；符号理論</t>
        </is>
      </c>
      <c r="H7348" t="n">
        <v>29</v>
      </c>
      <c r="I7348" t="inlineStr">
        <is>
          <t>負の符号であるのは高度が上昇すると圧力が減少することを表している。；主要なプロジェクトは、一般知識の広い領域を符号化することを試みた。；Unicodeで別の符号が与えられていたために追加されたものである。；単に符号あり整数を使っていないか、負値を回避したい場合に行われる。；このようにして得られた P の最終的な値が符号付きの積となっている。；網膜の光受容細胞では光の強度と波長の分布が神経信号に符号化される。；その際イオンと電子では荷電の符号が逆なので、旋回の向きも逆になる。；他にもユニバーサル符号があり、以下のような具体的な符号が存在する。；数値に符号を前置しない場合は、標準的な解釈としてその数は正である。；ホール電圧の符号と大きさから半導体のキャリアの種類と密度がわかる。；符号化したビット列から必要な階層のみを容易に取り出すことができる。；そして、 と とが逆符号を持つような、新しい反対点 が選ばれる。；いずれにせよ符号・指数・仮数によって表現することには変わりはない。；符号は発見が報告された年、月、発見報告順を元にしてつけられる。；両者が同符号であれば、 と が逆符号となり、新たな反対点は となる。；符号語の列を別の何らかの符号で符号化したものが、最終的な出力となる。；倍数の中で 以外は符号の違いだけの組が現れるので、 と表すこともある。；各位置に与える符号のコード方式はBCDコードとグレイコードがある。；学籍を整理するため、各学生等には固有の番号・符号が割り当てられる。；また、送信した符号を記憶・再生するメモリ機能を備えていることが多い。；また、2000年代に発売していたパスネットでの符号はKSであった。；逆に使用頻度が少ないと思われるQは、Jはと長い符号が制定されている。；符号は必要ないため、符号なしの整数が使われるようになっていった。；このような符号は組織的であるといい、そうでない符号を非組織的であるという。；実は係数 は の一階導函数の判別式の符号を変えたものになっている。；日本語の 文字コード を符号化するときに問題となるのが文字の種類の多さである。；これらの式が表すように、コンダクタンスは対応する抵抗と同じ符号となる。；符号に依存しない文字の識別手段として「文字の名前」が用意されている。；そのため、情報交換当事者間の合意として上記の条件のもと符号化する。</t>
        </is>
      </c>
      <c r="J7348">
        <f>HYPERLINK("https://www.weblio.jp/content/符号", "词义详情")</f>
        <v/>
      </c>
      <c r="K7348">
        <f>HYPERLINK("https://yourei.jp/符号", "查看例句")</f>
        <v/>
      </c>
    </row>
    <row r="7349">
      <c r="A7349" t="inlineStr">
        <is>
          <t>富豪</t>
        </is>
      </c>
      <c r="B7349" t="inlineStr">
        <is>
          <t>成功</t>
        </is>
      </c>
      <c r="C7349" t="inlineStr">
        <is>
          <t>読み方：ふごう
大金持ち。財産家。</t>
        </is>
      </c>
      <c r="D7349" t="inlineStr">
        <is>
          <t>富豪たち(3%)；富豪百姓；富豪令嬢；富豪連；富豪階級</t>
        </is>
      </c>
      <c r="E7349" t="inlineStr">
        <is>
          <t>金持ち；長者；資産家；リッチ；富者</t>
        </is>
      </c>
      <c r="F7349" t="inlineStr">
        <is>
          <t>アメリカ人富豪；貴族富豪；老富豪；某富豪；有名な富豪</t>
        </is>
      </c>
      <c r="G7349" t="inlineStr">
        <is>
          <t>富豪刑事；富豪富豪夢路；富豪刑事デラックス；富豪の輩</t>
        </is>
      </c>
      <c r="H7349" t="n">
        <v>29</v>
      </c>
      <c r="I7349" t="inlineStr">
        <is>
          <t>相手は土地の富豪であつたが、まだ三十を越したばかりの若さであつた。；知人でもあり富豪でもある人の門に、耐え難いものを持ったのであった。；如何にも何人かの政治家や富豪は善悪の彼岸に立つてゐるかも知れない。；この図書館には富豪の野々宮氏が趣味で集めた大量の本が所蔵されている。；すなわち彼らは天下の富豪だと自ら信じ、その信仰の中に生きて来たんだ。；意識を取り戻した富豪も男のことをすっかり忘れていて弁護してくれない。；デルマリナでは、富豪も庶民も一日に二度三度と茶を飲む習慣があった。；隣郡の富豪は財物を南清河郡の領内に置いて盗難を避けるようになった。；富豪の邸宅へ出入りすることは、幸運にむかってひらかれた扉であった。；というのはあの人は富豪、これはだれよりも有利に利用できまするからでな。；その頃は貴族や富豪がこの地に領地を所有したり、居を構えていた。；小曾根家の屋敷の前に立った高次は、その富豪ぶりを目のあたりにした。；富豪は後で金高を聞いて、自分の胸算用より少し出し過ぎたなと思つた。；うまくいい当てて覗き穴を発見し、俺を地下採油の超富豪にしてくれるか。；普通のバトルでは満足できなくなった富豪などを相手にしている。；先方はたいへんな富豪ですし、夫人のナオミはわたしの同窓生なんです。；現在は俳優でもあるスイスの富豪がブリタニカ社を所有している。；それらの灯は富豪や有力者の邸宅の窓から輝いているのである。；銀行家であり、実業家でもあり、ギニアビサウ一の富豪といわれている。；そして当人が現れると、富豪たちと対決することを宣言して出て行く。；富豪の方はどうしたか知らないが、俺達の方では実に困った。；澤はふと、ついこの間雑誌で読んだ或有名な富豪の立志物語を想起した。；お得意さまは立派な富豪だから、にせものを持ってくるはずはない。；これは富豪を懲すことは出来たが、窮民を賑すことが出来ないからである。；あるいは精神的富豪社会と云った方が当たっているかも知れない。；そんな彼に、マフィアのボスが故郷の女富豪を誘惑する様に命令を下す。；ある富豪から、ひとりの青年紳士をやっつけてくれと頼まれたのです。；ダグは富豪の娘ケリーと結婚したが株式投資に失敗し、財産を失っていた。；民族誌学博物館は19世紀末に、富豪の家の所有であった建物にある。</t>
        </is>
      </c>
      <c r="J7349">
        <f>HYPERLINK("https://www.weblio.jp/content/富豪", "词义详情")</f>
        <v/>
      </c>
      <c r="K7349">
        <f>HYPERLINK("https://yourei.jp/富豪", "查看例句")</f>
        <v/>
      </c>
    </row>
    <row r="7350">
      <c r="A7350" t="inlineStr">
        <is>
          <t>不合格</t>
        </is>
      </c>
      <c r="B7350" t="inlineStr">
        <is>
          <t>成功</t>
        </is>
      </c>
      <c r="C7350" t="inlineStr">
        <is>
          <t>読み方：ふごうかく
試験・検査などに合格しないこと。</t>
        </is>
      </c>
      <c r="D7350" t="inlineStr">
        <is>
          <t>不合格通知；不合格メール；不合格判定</t>
        </is>
      </c>
      <c r="E7350" t="inlineStr">
        <is>
          <t>否；ダメ；失格；向かない；不適格</t>
        </is>
      </c>
      <c r="H7350" t="n">
        <v>29</v>
      </c>
      <c r="I7350" t="inlineStr">
        <is>
          <t>不合格であった場合は再試験は行われず、再度講習から受け直しとなる。；ところが彼は1958年6月のこの試験すら不合格だったと話していた。；佐分利がもし不合格になっても、それは彼が出来なかったためではない。；しかし不合格となったため、諏訪高女の補習科に進学することとなった。；検証に不合格となる宣言は、効果的な物となり得るが危険な手段でもある。；何度も不合格となって、一度は音を上げそうになったこともあった。；案の定私は一次で不合格、塾に通っていたこずえちゃんも一次で落ちた。；また不合格になった者は翌年の同じ回より前の試験は受験できない。；不合格または合格が確定した時点で5回プレイしなくてもテストが終了する。；また、STVの試験も受けていたがこちらは1次選考で不合格となった。；だが、内科病棟の実習生では二人が不合格だったことがやがて判明した。；本試験で80点から95点未満の者は不合格となるが3級を認定される。；女の寝室に入るときの振る舞いとしては、不合格と言わざるをえないぞ。；不合格になったときに不安がまったくないといえば嘘になる。；ここで不合格となった兵士は、次の訓練に進むことは許されない。；しかし目の障害のために陸軍の健康テストで不合格となった。；ストレステストに不合格だった場合は運転の停止をすることが原則。；それらを全部いっしょくたにして不合格にしたのはまことに解せない。；その中には『メンズノンノ』のモデルもあったが、不合格だったという。；また一部の製品では車検で不合格になるものもあるので十分な注意が必要となる。；半年の育成期間を経て再テストを受けるも不合格となった。；横浜ベイスターズの入団テストを受けたが不合格に終わり現役を引退した。；不合格の返事だったら、こいつこのまま海に帰りかねないからな。；テストも不合格、かといって特許使用も許諾せずでは誰も納得しない。；弁護士を目指し司法試験を受けていたが、4年連続で不合格となっていた。；高校3年生の夏に東京音楽大学への進学を決意するも、初年度は不合格。；判断結果は合格あるいは不合格で判断され、不合格の場合はその理由も提示される。；同年に総合格闘技団体パンクラスのプロテストを受けるも不合格となる。；社会心理学と法律の単位で一旦不合格になるが、追試で合格となった。</t>
        </is>
      </c>
      <c r="J7350">
        <f>HYPERLINK("https://www.weblio.jp/content/不合格", "词义详情")</f>
        <v/>
      </c>
      <c r="K7350">
        <f>HYPERLINK("https://yourei.jp/不合格", "查看例句")</f>
        <v/>
      </c>
    </row>
    <row r="7351">
      <c r="A7351" t="inlineStr">
        <is>
          <t>不公平</t>
        </is>
      </c>
      <c r="B7351" t="inlineStr">
        <is>
          <t>成功</t>
        </is>
      </c>
      <c r="C7351" t="inlineStr">
        <is>
          <t>読み方：ふこうへい
［名・形動］公平でないこと。片寄りがあること。また、そのさま。「—な扱いを受ける」
[派生]ふこうへいさ［名］</t>
        </is>
      </c>
      <c r="D7351" t="inlineStr">
        <is>
          <t>不公平感(5%)；不公平じゃない；不公平性；不公平な裁判；不公平な気</t>
        </is>
      </c>
      <c r="E7351" t="inlineStr">
        <is>
          <t>傾向；ひどい；不正；傾き；不当</t>
        </is>
      </c>
      <c r="F7351" t="inlineStr">
        <is>
          <t>こんな不公平；こうした不公平；不公平きわまる</t>
        </is>
      </c>
      <c r="H7351" t="n">
        <v>29</v>
      </c>
      <c r="I7351" t="inlineStr">
        <is>
          <t>彼女には、それを決める教授団に不公平があるなど思いもよらなかった。；それにしては世間は我々に対して結構不公平なんではありませんかな。；彼を擁護する者は、今日、彼は不公平な非難を浴びていると考えている。；しかし彼は僧侶の適切な観察を否定するほどに不公平な人間ではなかった。；その事実だけを取り出して不公平だと言い切ることはできないはずだ。；その才能は全く不公平に、ある人には与えられ、ある人には与えられない。；その点だけは、夫のためにも言っておかなくては不公平というものだろう。；自分がこんな扱いを受けるのはあまりにも不公平だと感じてきた。；自分の受けた刑罰は事実不正ではなくとも確かに不公平であると結論した。；分離された精神は、この不公平な戦いを持続することはできなかった。；私はなにひとつ良いことなんかして居ないのだから、神様は不公平だ。；ハルヒが俺んちまで来たことはあるのに不公平だとか思ってももう遅い。；その意味では不公平さはできるだけ避けられる仕組にはなっていた。；彼はこの事を承知していたし、たしかに不公平な仕打ちだと思っていたのだ。；だから、少しあたしに向かって高慢だし不公平なのは許してあげられるわ。；級数審査はこの平均点で行われるとしたら不公平ではなくなるだろう。；処がこの不公平な見解が一般の婦人達をして大変な誤まつた考へに導いた。；マクゴナガル先生が二人を無視したので、ハリーは絶対不公平だと思った。；なのに、わたしだけ彼を無視できないなんて、そんなの不公平じゃないの!；高校生が誰でも知っている不公平大会に大騒ぎするのはどうかと思う。；黙って聞いていてください、きみを不公平に責めていないつもりです。；どちらを先に思い出しても、エライ不公平なことになるわけだからね。；黒いお仕着せを着てるにちがいない、と滝はいささか不公平に勘ぐった。；どちらを向いても不公平なことがありすぎて、文句をいってもどうにもならない。；このように運賃面で、ICカードと紙の乗車券とで不公平が生じている。；狸に分けへだてなく愛を注いでいるんなら、そんな不公平は許されない。；このやさしさが、酬いられないのでは、あまりに不公平すぎはしまいか?；自分だけしあわせになるのは絶対に不公平だってずっと思ってるの。；その哲学者の手法は厳しく大方の不公平さもあるが確実に該博であった。</t>
        </is>
      </c>
      <c r="J7351">
        <f>HYPERLINK("https://www.weblio.jp/content/不公平", "词义详情")</f>
        <v/>
      </c>
      <c r="K7351">
        <f>HYPERLINK("https://yourei.jp/不公平", "查看例句")</f>
        <v/>
      </c>
    </row>
    <row r="7352">
      <c r="A7352" t="inlineStr">
        <is>
          <t>布告</t>
        </is>
      </c>
      <c r="B7352" t="inlineStr">
        <is>
          <t>成功</t>
        </is>
      </c>
      <c r="C7352" t="inlineStr">
        <is>
          <t>読み方：ふこく
［名］(スル)
１広く一般に告げ知らせること。
２国家の決定的意思を、国民や相手国に公式に知らせること。「宣戦を—する」
３明治19年（1886）以前に発布された法律・勅令・省令にあたるものの称。「太政官(だじょうかん)—」</t>
        </is>
      </c>
      <c r="D7352" t="inlineStr">
        <is>
          <t>布告する(9%)；布告第；布告される；布告文；布告させる</t>
        </is>
      </c>
      <c r="E7352" t="inlineStr">
        <is>
          <t>発表；命令；触れ；宣言；広告</t>
        </is>
      </c>
      <c r="F7352" t="inlineStr">
        <is>
          <t>統領布告；戒厳令布告；同布告；全軍布告；御布告</t>
        </is>
      </c>
      <c r="H7352" t="n">
        <v>29</v>
      </c>
      <c r="I7352" t="inlineStr">
        <is>
          <t>同布告では陸軍式御服のみで、海軍式のものは制定されていなかった。；この布告がバージニア指導層を強く刺激し、イギリスへの反発を強めた。；しかしフランスやイギリスなどの同盟諸国はこの布告を無視した。；ある国の王女が、自分に解けない謎を出した者と結婚すると布告していた。；しかし、幕府はすでに将軍上洛を布告しており見合わせは難しいという。；恭之は帝の命を受けて詔書数十枚に帝の所在を記し、各地に布告した。；彼はトレント公会議の布告の実施を主張する最も際立った聖職者だった。；このときダンモア伯爵は、自分に協力する奴隷には自由を与えると布告した。；布告を日本国民に知らせるためのポスターも約10万枚用意してあった。；この一連の布告を出した日は「コモディアヌスの祝祭」と名付けられた。；こうした問題を解決する為、命令系統を整理するいくつかの布告が為されている。；我々の布告に対して反対する行動、発言、考えは無いものと期待する。；これはアメリカ合衆国が他国に宣戦布告した初めてのこととなった。；また、この仇討ちは、復讐禁止令布告以前で最後の仇討ちとなっている。；ポーランドの西側同盟国の政府は9月3日にドイツに宣戦布告した。；この同じ日に、和宮を京都に迎えるため公卿を江戸に派遣する旨が布告された。；戦後の日本国憲法下で非常事態宣言が布告された唯一の事例である。；洪秀全は彼と神に逆らう者は誰であろうと処刑すると布告した。；議会は立法府として必要とされる法律の布告を行うことができた。；さらに日本の同盟国のドイツとイタリアもアメリカに宣戦布告した。；これを受けてタイ王国は1月25日にイギリスとアメリカに宣戦布告した。；このような法律を繰り返し布告する必要があったことは、人気のある競技を禁止することがいかに困難であったかを証明している。；明帝が布告中で弟を褒め称えていることが伝記中で言及されている。；その後、同年12月28日にチリが宣戦布告し、正式に戦争が始まった。；スペインとアメリカ合衆国の間に戦争が布告されると、リーは軍隊に再入隊した。；このほかいくつかの布告権を持ち、法の承認と特命議会の招集を行うことができる。；この二日後、アル=アサドは立法府布告第50条に署名して法律とした。；青島市はドイツに宣戦布告した日本軍の攻撃を受け、11月7日に陥落。；コムーチは自由を回復しと基本行動指針を前へ進めるとする布告を発布した。</t>
        </is>
      </c>
      <c r="J7352">
        <f>HYPERLINK("https://www.weblio.jp/content/布告", "词义详情")</f>
        <v/>
      </c>
      <c r="K7352">
        <f>HYPERLINK("https://yourei.jp/布告", "查看例句")</f>
        <v/>
      </c>
    </row>
    <row r="7353">
      <c r="A7353" t="inlineStr">
        <is>
          <t>夫妻</t>
        </is>
      </c>
      <c r="B7353" t="inlineStr">
        <is>
          <t>成功</t>
        </is>
      </c>
      <c r="C7353" t="inlineStr">
        <is>
          <t>読み方：おとめ
《「おひとめ（男人妻）」の音変化》夫と妻。めおと。
「みとのまぐはひして—と為る」〈神代紀・上〉</t>
        </is>
      </c>
      <c r="D7353" t="inlineStr">
        <is>
          <t>夫妻宅；夫妻共；夫妻主催晩餐会；夫妻自刃</t>
        </is>
      </c>
      <c r="E7353" t="inlineStr">
        <is>
          <t>夫婦；夫婦関係；妹背；妻夫；伉儷</t>
        </is>
      </c>
      <c r="F7353" t="inlineStr">
        <is>
          <t>ご夫妻；氏夫妻；公爵夫妻；皇太子夫妻；御夫妻</t>
        </is>
      </c>
      <c r="H7353" t="n">
        <v>29</v>
      </c>
      <c r="I7353" t="inlineStr">
        <is>
          <t>彼らはラムジー夫妻が娘の死の解決に協力的であるとは思わなかった。；大公夫妻に同行していた者たちは、次に何をすべきかについて議論した。；戻ってきた伯爵夫妻が戸を開けると出てきたのは当然スザンナである。；中世の年代記によれば、公爵夫妻の結婚生活は完全なものではなかった。；同年の皇太子夫妻のポルトガル訪問にも夫妻は別々に寝所をとっている。；駅舎の前には高田保馬と与謝野鉄幹・晶子夫妻の歌碑が設置されている。；始めは夫妻で俳優として活躍する傍ら、数十本のシナリオを執筆した。；マスコミの仕事に従事する夫の仕事の関係で夫妻とも満州に渡った。；そのほか夫妻には夫人の娘と、ボリビアから養子に迎えた男児がいる。；ただし、エジプトは当時の政治的緊張から、夫妻の訪問は見送られている。；やがて国王夫妻を裁判にかけ、裁判で有罪とされた国王夫妻は処刑されるに至る。；落合夫妻は「部下に指示はしていない」と起訴事実を全面的に否認した。；そのことが縁で、北マリアナ諸島の観光親善大使に夫妻で任命された。；バーティ夫妻は残されたメアリー公女を引き続き娘として取り扱った。；スタンフォード夫妻は、大学を発展させるために約4千万ドルを寄付した。；これは、夫妻が明らかにしたものの中で最も重要な事柄である。；夫妻は出発の準備をしていたが、最終的に任命は取り消された。；次の日の朝、ベッドにいたテリアン夫妻のもとにオーティスがもどってくる。；その頃お世話になった太田夫妻とは、ホムカミの企画で再会を果たした。；その間、夫妻はイタリアとイングランドを主に旅していた。；彼こそが天海夫妻の手で育てられた赤ん坊が成長した姿、天海護であった。；これをきっかけにバーティ夫妻は反プロイセン派になった。；この皇帝夫妻の六男がアントニヌス帝の後継者コンモドゥス帝である。；ドイツから来た夫アルバートも同様であったので女王夫妻はドイツ語を日常会話にすることが多かった。；横田滋・早紀江の夫妻が街頭活動を開始したのは4月のことであった。；その結婚自体は理想的な形で実現したとは言えないものの、夫妻の間には前述の通り多くの子供が生まれている。；こうした機会が増えたことにより、夫妻と当学園の知名度も高まっている。；しかし、ヒューとフローレンスのベル夫妻は結婚に同意する事を拒んだ。；なおクルーズ夫妻はこの作品に臨むため、ロンドンへ移住していた。</t>
        </is>
      </c>
      <c r="J7353">
        <f>HYPERLINK("https://www.weblio.jp/content/夫妻", "词义详情")</f>
        <v/>
      </c>
      <c r="K7353">
        <f>HYPERLINK("https://yourei.jp/夫妻", "查看例句")</f>
        <v/>
      </c>
    </row>
    <row r="7354">
      <c r="A7354" t="inlineStr">
        <is>
          <t>負債</t>
        </is>
      </c>
      <c r="B7354" t="inlineStr">
        <is>
          <t>成功</t>
        </is>
      </c>
      <c r="C7354" t="inlineStr">
        <is>
          <t>読み方：ふさい
１他から金銭や物品を借りて、返済の義務を負うこと。また、その借りたもの。借金。債務。「—を抱える」
２企業会計で、支払手形・買掛金・借入金のような法律上の債務と、期間損益計算上の費用配分の要請から計上される賞与引当金・退職給与引当金のような負債性引当金などを合計したもので、企業の総資本から自己資本を除いた部分。</t>
        </is>
      </c>
      <c r="D7354" t="inlineStr">
        <is>
          <t>負債額(3%)；負債整理；負債返済；負債問題；負債を抱え倒産</t>
        </is>
      </c>
      <c r="E7354" t="inlineStr">
        <is>
          <t>借り；借金；債務；借；負い目</t>
        </is>
      </c>
      <c r="F7354" t="inlineStr">
        <is>
          <t>大きな負債；資産負債；重い負債；多大な負債；膨大な負債</t>
        </is>
      </c>
      <c r="G7354" t="inlineStr">
        <is>
          <t>負債比率；負債コスト；負債項目</t>
        </is>
      </c>
      <c r="H7354" t="n">
        <v>29</v>
      </c>
      <c r="I7354" t="inlineStr">
        <is>
          <t>東邦電力の傘下に入ってからは新経営陣により負債の整理が進められた。；それぞれ、企業のある時点での負債の額と純資産の額とが記載される。；また、チリで事業を行っていたが、結果大きな負債を抱える事となった。；大陸会議は新しい連邦政府が外国からの負債を償還することに同意した。；ただし他国通貨建ての負債を政府が有するばあいはその限りではない。；この物品税は戦時負債を全て返済する必要があったために立法化された。；営業活動以外での負債と純資産の部に関わる全ての資金の動きを示す。；そのため戦後石炭価格が低下すると、多くの企業が負債を作ることになった。；マサチューセッツを含む国内には十分な正金がなく負債が払えなかった。；ラーマ7世は先王の代に抱え込んだ負債の処理に即位後すぐに直面した。；投機家は戦争後に続くことが確実と見られた好景気に備えて負債を負った。；この反乱に参加したのは戦争の負債と税金に憤った小農が大半だった。；この塾の経営で負債がたまり、解消の一助に新街活版製造所を設立した。；完結していない作業を完了させるだけで、負債を返済することになる。；開校当初の見込みよりも入学者数が思わしくなく、負債が増えていった。；米国企業の多くが倒産し、10億ドル以上の負債が債務不履行に陥った。；しかし、1790年までに南部州はその海外負債の大半を償還していた。；だが、ツアーの負債はジョー・コッカー個人が負うことになってしまう。；有利子負債は、会社が利子をつけて返済しなければならない負債である。；しかしバーレスクは多額の負債を抱えており、存続の危機に瀕していた。；しかしこの選挙資金のために統治早々にして莫大な負債を負っている。；だが事業で負債を被り、ヨーロッパを離れアメリカへ行くことを強いられた。；翌2008年にも状況の好転はなく、負債額は1344億円にも達した。；現存する人々が前世代の負債を払う道徳的義務感を持てるとは信じなかった。；負債を相続したくないときに使われるが、現在あまり利用されていないとも言われる。；演劇や教会音楽の発達もこの頃起きたが、一方で貴族の負債も増額していった。；音信不通になった夫の負債のために自宅を売却することになり、ついに離婚を決意。；代表団は累積されていた住民への負債を解決するために硬貨を持ってきたわけでもなかった。；逆に負債の減少はパートナーの負債からの解放を意味し、持分は減少する。</t>
        </is>
      </c>
      <c r="J7354">
        <f>HYPERLINK("https://www.weblio.jp/content/負債", "词义详情")</f>
        <v/>
      </c>
      <c r="K7354">
        <f>HYPERLINK("https://yourei.jp/負債", "查看例句")</f>
        <v/>
      </c>
    </row>
    <row r="7355">
      <c r="A7355" t="inlineStr">
        <is>
          <t>不在</t>
        </is>
      </c>
      <c r="B7355" t="inlineStr">
        <is>
          <t>成功</t>
        </is>
      </c>
      <c r="C7355" t="inlineStr">
        <is>
          <t>読み方：ふざい
本来いるべき場所にいないこと。「ただ今母は—です」「国民—の政治」</t>
        </is>
      </c>
      <c r="D7355" t="inlineStr">
        <is>
          <t>不在時(4%)；不在がち；不在期間；不在状態；不在感</t>
        </is>
      </c>
      <c r="E7355" t="inlineStr">
        <is>
          <t>留守；欠場；居ない；欠席；出てる</t>
        </is>
      </c>
      <c r="F7355" t="inlineStr">
        <is>
          <t>後継者不在；本人不在；父親不在；国王不在；御不在</t>
        </is>
      </c>
      <c r="G7355" t="inlineStr">
        <is>
          <t>不在証明；不在地主；不在者；不在者投票；不在着信</t>
        </is>
      </c>
      <c r="H7355" t="n">
        <v>29</v>
      </c>
      <c r="I7355" t="inlineStr">
        <is>
          <t>そうなった原因はわからないが、おそらく不在期間が長すぎたのであろう。；なお、列車が発着するのは朝晩だけだったため、日中は不在時があった。；もっとも艦隊指揮が不在のときは艦船長が同様の手続きを行うこととした。；しかし社長は不在であったため、小林が経営の実権を握ることになった。；それ以来管理者不在であったが、地元の利用者が清掃などを行っていた。；その後、朝乃山が十両昇進を果たし、関取不在は一場所で解消している。；父は寿司屋になるため修業中で家に不在で母は新聞配りをしながら育てた。；しかしレオニード・ブレジネフ不在の中で政治局員達の意見は分かれた。；その日の晩には新屋敷まで伊能嘉矩を訪ねているが伊納は不在であった。；両親が不在のことが多かったため、彼と妹たちは乳母に育てられた。；このことから先の市長不在などの問題も発生したとされている。；結局、矢嶋長次不在の間は森川鹿次が今治市を守っていくことになった。；父親が修行で不在が多い孫一家と違い、家族と一緒に暮らしている。；しかしながら、難破物の不在の他は何の証拠もこの説を支持しない。；山本司令が不在だったため玉井副長は自分だけでは決められないと答えた。；次の日も同じ時間に診察に来たが、このときも散歩で不在だった。；したがって、勤務してはいるが学校には不在であることも多い。；そのため、本作はディレクター不在のままレコーディングが進められた。；駒野不在の間、広島の右サイドのレギュラーに定着した選手はいなかった。；彼らが群れて統一政権不在の状況を春秋戦国時代から群雄割拠と呼ぶ。；稲垣吾郎と森且行は途中他局のドラマ撮影のため、不在の期間があった。；また単独所属で指導者不在の場合には出身高校や大学で指導を仰ぐ選手も増えてきている。；そのため、指揮官不在の各部隊は有効に対処することができなかった。；駅係員不在時に備え自動券売機も設置されていたが、現在は撤去されている。；早朝等、駅係員が不在時のために乗車駅証明書発行機が設置されている。；駅員がいる場合でも、駅の見回りなどで不在のときに使用されることがある。；ジョゼ・モウリーニョからは不在がチームに大きな影響を与える選手と評価された。；コーンウォール公が不在のときは、公領からの収入は王のものとなる。；ジョーンズの不在によって人民寺院の財政状態は悪化していたのである。</t>
        </is>
      </c>
      <c r="J7355">
        <f>HYPERLINK("https://www.weblio.jp/content/不在", "词义详情")</f>
        <v/>
      </c>
      <c r="K7355">
        <f>HYPERLINK("https://yourei.jp/不在", "查看例句")</f>
        <v/>
      </c>
    </row>
    <row r="7356">
      <c r="A7356" t="inlineStr">
        <is>
          <t>塞がる</t>
        </is>
      </c>
      <c r="B7356" t="inlineStr">
        <is>
          <t>成功</t>
        </is>
      </c>
      <c r="C7356" t="inlineStr">
        <is>
          <t>読み方：ふさがる
［動ラ五（四）］
１あいていた箇所が詰まる。すき間や穴がなくなる。「家が建って空き地が—・る」
２物が詰まって通じなくなる。また、物がじゃまをして通れなくなる。「下水管がごみで—・る」「道が落石で—・る」
３開いていたものが閉じた状態になる。「袋の口がやっと—・る」「あいた口が—・らない」
４他のものに占められていて、使うことができない。いっぱいであきがない。「手が—・っている」「部屋は全部—・っている」
５心が、ある感情でいっぱいに占められる。「悲しみで胸が—・る」
６ふさがり2の方角に当たる。「南が—・っている」</t>
        </is>
      </c>
      <c r="D7356" t="inlineStr">
        <is>
          <t>閉じる；閉まる；詰まる；クローズ；締まる</t>
        </is>
      </c>
      <c r="H7356" t="n">
        <v>29</v>
      </c>
      <c r="I7356" t="inlineStr">
        <is>
          <t>しかし塞がっている方の目も、この季節は何とはなしにむずむずとする。；壁と松明で塞がっていなかったら、両手を上げて天を仰いでいただろう。；この時までに五六人の同僚が次第に出て来て、いつか机が皆塞がっていた。；しかし入口まで戻ってくると、塞がっていて出ることができなかった。；両手の塞がった君が今も無事なのは、僕の殺気を連中が感じているからさ。；銃で撃たれた傷など、すぐに塞がるはずなのにその血は止まらなかった。；おそらく彼女の胸は名状しがたい混乱で塞がっているに違いなかった。；しかし、これでは殺害された時に右手が塞がっていたことの説明にはならない。；このところ、ずっと塞がっていた胸が風が吹きぬけたみたいに軽くなった。；僕の胸がいっぱいに塞がり、何から口を利いていいのか分らなかった。；歌うのをやめ、一等兵は半ば塞がりかけた瞼の下の瞳をこちらに向けた。；リーダーの手のカーソルは両手が物で塞がっていても制限なしに使用可能。；序卦伝には物は通じるばかりでなく塞がるので泰の次に置かれるという。；第二、右手がなぜ塞がっていて、何を持っていたかを説明している。；思いがわずかにあれば、心の明かさは塞がり、自在でなくなると述べた。；窓が塞がった状態が数日間続くうちに、ガス室の中は完全に静かになった。；自身の手が塞がっていたなら、他にふたりいる院生に頼めばよいのだから。；高貴の部屋は料金の関係上、いつでも塞がっているというわけではない。；四つのベッドが塞がっていて、ドアの傍の二つのベッドが空いていた。；両手が塞がっているため筆談はできず、通訳の者を通してのことである。；序卦伝には物は塞がるばかりではないので否の次に置かれるという。；やはりこれも検挙中に1車線が塞がると渋滞が発生するためと思われる。；体を構成する刃がお互いを求めるようにして傷口が塞がっていく。；長屋の端の一軒だけ塞がっていてあとはみんな貸家の札が張ってある。；諸藩の屋敷が次々に人を退避させれば、江戸の道という道が人で塞がる。；昨日の傷がまだ完全に塞がってなかったし動きたくなかった。；本当に仲の良さそうな、幸福そうな親子の姿に、喉が塞がるような気がした。；一念ここに至る毎に、文三は我も折れ気も挫じけてそして胸膈も塞がる。；ヴァーリンは入口まで戻ってきたが、塞がっていて出ることができなかった。</t>
        </is>
      </c>
      <c r="J7356">
        <f>HYPERLINK("https://www.weblio.jp/content/塞がる", "词义详情")</f>
        <v/>
      </c>
      <c r="K7356">
        <f>HYPERLINK("https://yourei.jp/塞がる", "查看例句")</f>
        <v/>
      </c>
    </row>
    <row r="7357">
      <c r="A7357" t="inlineStr">
        <is>
          <t>塞ぐ</t>
        </is>
      </c>
      <c r="B7357" t="inlineStr">
        <is>
          <t>成功</t>
        </is>
      </c>
      <c r="C7357" t="inlineStr">
        <is>
          <t>読み方：ひさぐ
［動ガ四］ふさぐ。閉じる。
「目を—・ぎて我が身をだも見ず」〈海道記〉</t>
        </is>
      </c>
      <c r="D7357" t="inlineStr">
        <is>
          <t>塞ぐほど；塞ぐよう命じ</t>
        </is>
      </c>
      <c r="E7357" t="inlineStr">
        <is>
          <t>結ぶ；閉鎖；ブロック；占める；満たす</t>
        </is>
      </c>
      <c r="H7357" t="n">
        <v>29</v>
      </c>
      <c r="I7357" t="inlineStr">
        <is>
          <t>それこそ時間がこの穴を塞いでくれるのを待つのが正しいのだとも思う。；正面玄関のドアを塞ぐには、この大きなテーブルを使うしかなさそうだ。；車は自動で走り続けるが、道を塞ぐ人々に反応してすぐに速度を緩める。；これはこの川が北のカナダに流れ込んでおり、氷で塞がれるためである。；そーッと曽根に気づかれないように彼の背後から両手で彼の目を塞いだ。；塞がれている可能性も高いが、それでも隠れる部屋くらいはあるだろう。；灯が届いているのはわずかばかりで、少し上は、もう闇に塞がれている。；まもなく手に、眼隠しだけでなく耳を塞ぐ役までさせようとし始める。；ふたたび瞼を閉じた深雪の唇が、なにかを言いかけた自分の唇を塞いだ。；貯水槽は重い蓋で塞がされており、蓋を外すのは困難だったはずである。；今は塞がつてゐるけれど、四五日経てばどれかが明くといふことである。；あるいはそれは途中で塞がれ、行き止まりになっているのかもしれない。；つまり彼等は、逃路を塞いで置いて、火をかけたようなものではないか。；そしてそうすることが必要となったら簡単に塞ぐことができるのだ。；自分自身の声にならない絶叫に耳を塞がれて、華江は右手を振りあげた。；それは近づくと音もなく開き、彼らが通り抜けると、閉じて後を塞いだ。；眼は塞がれているようだが、見るべきものはやはり正確に見ているのである。；有人駅当時の駅舎をそのまま使用しているが、窓口の跡は塞がれている。；こうして彼はわれわれと同じ見解に到達する道を自分で塞いでしまうのである。；砂に塞がれかけていた洞窟を発見し、中に入るとそこは神殿であった。；一部の車両は地方の需要に合わせ、中央の扉を塞いで1枚窓に変更された。；闇になるのを承知で、誰かが階段の上の出入口を塞いだ訳ではないだろう。；煙室にある通常の煙突は点火時のみ使用し、点火後は蓋で塞がれていた。；夢子は耳を塞いだ娘のように、おれの言葉にはなんの反応も示さなかった。；水飛沫の中に立つ九地建職員の中に、両耳を手で塞いでいる者が見える。；これまで、頭上を天井によって塞がれていたあの日々は何であったのか。；間もなく前方に門のような奇妙な建物が道を塞いでいるのを見る。；耳を塞いで自分の声を発したときのような、くぐもった声が聞こえてくる。；さらに塞がれていた窓は次々に破られ、状況は絶望的に悪化していく。</t>
        </is>
      </c>
      <c r="J7357">
        <f>HYPERLINK("https://www.weblio.jp/content/塞ぐ", "词义详情")</f>
        <v/>
      </c>
      <c r="K7357">
        <f>HYPERLINK("https://yourei.jp/塞ぐ", "查看例句")</f>
        <v/>
      </c>
    </row>
    <row r="7358">
      <c r="A7358" t="inlineStr">
        <is>
          <t>ふざける</t>
        </is>
      </c>
      <c r="B7358" t="inlineStr">
        <is>
          <t>成功</t>
        </is>
      </c>
      <c r="C7358" t="inlineStr">
        <is>
          <t>［動カ下一］［文］ふざ・く［カ下二］
１おどけたり冗談を言ったりする。「—・けて怒ったふりをする」
２子供などがたわむれて騒ぐ。「子犬が—・けて跳ね回る」
３男女がたわむれる。いちゃつく。「人前もはばからず—・ける」
４ばかにする。「—・けたことを言うな」
[補説] 「巫山戯る」とも当てて書く。</t>
        </is>
      </c>
      <c r="D7358" t="inlineStr">
        <is>
          <t>ふざけるんじゃねえ(3%)</t>
        </is>
      </c>
      <c r="E7358" t="inlineStr">
        <is>
          <t>プレー；プレイ；遊ぶ；遊戯；騒ぐ</t>
        </is>
      </c>
      <c r="H7358" t="n">
        <v>29</v>
      </c>
      <c r="I7358" t="inlineStr">
        <is>
          <t>私の風車小屋の前を通りかかってそのふざけた奴はこう思ったのだろう。；わしは、おまえがふざけているんだと思って、そんなに気にしなかった。；そして晩には、彼女はいつものとおりに、笑ったりふざけたりしていた。；それもずいぶんふざけた遊びで、いまになって何をいうかというんです。；何ふざけたことを言っているのだ、自分のパフォーマンスを棚に上げて。；それで二人は、むかし同じ寝床の中で寝た時のようにふざけるのである。；彼らのふざけた裸体姿が俺の手帖に描かれるのを彼らは御存知ないのだ。；彼が振り返って彼女にキスを投げると、彼女はふざけてその肩を叩いた。；彼は彼女にたいして、ふざけた考えさえかつて起こしたことがなかった。；「おふざけでないよ」 女の右の手は頭にかかって黒いピンが抜かれた。；わたしがモーテルにしましょうといったら、ふざけている、と怒ったの。；その他にものようなものは政治的抗議行動のふざけた表現になっている。；ふざけたことに、最後の攻撃をしかけたときついでにしまっておいたのだ。；おふざけをやると、何も考えられなくなるのが私の悪いところです。；よく誰でもふざけてやることですが、そうでなく本当に泣いてる真似をする。；リトルスマキンのふざけた外見に、どこか筋のようなものが通っていく。；花の木をおいたわりになる責任もお忘れになるくらいにおふざけになった。；べつに、ふざけていたのでも、からかっていたのでもないみたいだった。；「カカレエ」とふざけるように調子をつけて彼は言い、私は解放された。；これではいくら何でもふざけすぎで、副委員長に直されるかもしれない。；そして弟がいい気持でふざけているのにだんだんいらいらしてきた。；酔っぱらいがふざけて、 これ以上のことをするのを見たことがある。；大学生時代のホイットマンはふざけるのが好きな人物と見なされていた。；笑ったりふざけたりしていても、なにか苦いものが感じられるんです。；そんなこと言ったって、たかが子供が二人でふざけているだけじゃないか。；何んだかふざけているのではなく、本気の本気らしくなって来た。；女は、ばつの悪そうな、ふざけた調子にかえって、こう言葉をつづけた。；彼は口笛を吹きながら、向うの方に歩いて行き、ヒルダとふざけ始めた。；私と母が嘘をついてたり、ふざけたりしているんじゃないかと思っていたようだね。</t>
        </is>
      </c>
      <c r="J7358">
        <f>HYPERLINK("https://www.weblio.jp/content/ふざける", "词义详情")</f>
        <v/>
      </c>
      <c r="K7358">
        <f>HYPERLINK("https://yourei.jp/ふざける", "查看例句")</f>
        <v/>
      </c>
    </row>
    <row r="7359">
      <c r="A7359" t="inlineStr">
        <is>
          <t>無沙汰</t>
        </is>
      </c>
      <c r="B7359" t="inlineStr">
        <is>
          <t>成功</t>
        </is>
      </c>
      <c r="C7359" t="inlineStr">
        <is>
          <t>読み方：ぶさた
［名］(スル)
１長い間訪問や音信をしないこと。無音(ぶいん)。「—をわびる」「久しく御—しました」
２処置・指図などをしないこと。
「是を—にてさしおかば」〈太平記・三三〉
３注意をおこたること。不用意になること。
「よしよし御灯は暗くとも、和光の影はよもじ曇らじ。あら—の宮守どもや」〈謡・蟻通〉
４関心を持たないこと。事情にうといこと。
「京都の好士の中にも—にて仕うまつる人も侍るかな」〈吾妻問答〉
５なおざりにすること。ほうっておくこと。
「先祖子孫の恥辱なり。皆大夫めが—故」〈浄・用明天王〉</t>
        </is>
      </c>
      <c r="D7359" t="inlineStr">
        <is>
          <t>無音；御無沙汰；ご無沙汰</t>
        </is>
      </c>
      <c r="H7359" t="n">
        <v>29</v>
      </c>
      <c r="I7359" t="inlineStr">
        <is>
          <t>久しく無沙汰に過ぎているが、まさか小県の大領をお忘れではあるまい。；明日は私の心を乱して無沙汰した詫びをして永い手紙を出しましょう。；女はこの頃の無沙汰について正面から男を責めようともしなかった。；筆を執る邪魔をするでもないと思つて三藏は四五日無沙汰をした。；今までの無沙汰を叱る美知子の言葉が続く中、能見と東野の目が合った。；あるいは郷里の不幸や親戚に無沙汰をしている事を思い出す事もある。；しばらく無沙汰だったが、こんなところで何をしてるんだ?；秋になってからのある日、しばらく無沙汰して、行ってみると、不在であった。；本牧亭へ、そんなに無沙汰をすることなんて、めったにないことである。；最近はこ無沙汰だったので久しぶりに寄ったわけだが、やはり来て良かったと思う。；二タ月ほどして国元から手紙を遣したが、紋切形の無沙汰見舞であった。；私が結婚したので、お互いに無沙汰に過ぎていたのである。；二人の娘に対しての無沙汰がいつも彼は気がゝりであつた。；今夜は暫く無沙汰をしたから柳島の隠居がところへ行って来るよ。；かなりの期間無沙汰していたことに対する相手の思惑もはかれよう。；先年、父を喪うてからは何とはなしに無沙汰がちになっている。；喪中だから御年始ではないが、無沙汰の詫びをかねて何となくである。；この手紙は私のことばかり書きましたが、それは久しく無沙汰したので私の様子を知りたいとあなたがたが思っていて下さると考えたからでした。；無沙汰見舞又手土産の類、臨時無要の寄贈は廃すべきなどとされていた。；内蔵助は無沙汰がちで快楽的な性格が段々信用をなくしたのである。；彼はこの若者を見たことがない、民さんは無沙汰をわび、仕事を出してもらえた礼をいった。；病気が病気の事であるから、誰の顔の見さかえも有るまいが、それにしても大分の無沙汰をした。；あんまり無沙汰をしているから、唯ちょいと寄って見たのさ。；眞情の籠つた手紙は、ほんの無沙汰の見舞のやうなものでも好ましい。；郵便局で葉書を買って、家へ金の礼と友達へ無沙汰の詫を書く。；もう十日間ばかり無沙汰していたのである。；彼は破れた畳に手をついて無沙汰の詫びをいった。；岩田は俄に手紙を寄せ数年来の無沙汰を謝し近頃不思議な写本を手に入れた。；二月以来、わたしは自分の仕事が忙がしいので、半七老人の家へ小半年も無沙汰をしてしまった。</t>
        </is>
      </c>
      <c r="J7359">
        <f>HYPERLINK("https://www.weblio.jp/content/無沙汰", "词义详情")</f>
        <v/>
      </c>
      <c r="K7359">
        <f>HYPERLINK("https://yourei.jp/無沙汰", "查看例句")</f>
        <v/>
      </c>
    </row>
    <row r="7360">
      <c r="A7360" t="inlineStr">
        <is>
          <t>相応しい</t>
        </is>
      </c>
      <c r="B7360" t="inlineStr">
        <is>
          <t>成功</t>
        </is>
      </c>
      <c r="C7360" t="inlineStr">
        <is>
          <t>読み方：ふさわしい
［形］［文］ふさは・し［シク］《動詞「ふさう」の形容詞化》似つかわしい。つり合っている。「収入に—・い生活」「子供に—・くない遊び」「あの男性なら彼女に—・い」
[派生]ふさわしさ［名］</t>
        </is>
      </c>
      <c r="D7360" t="inlineStr">
        <is>
          <t>相応しいもの(5%)；相応しい人物；相応しい場所；相応しい人間；相応しい男</t>
        </is>
      </c>
      <c r="E7360" t="inlineStr">
        <is>
          <t>適当；適切；ふさわしい；恰好；適した</t>
        </is>
      </c>
      <c r="F7360" t="inlineStr">
        <is>
          <t>方が相応しい；もっとも相応しい；もっと相応しい；ほうが相応しい；相応しい行動</t>
        </is>
      </c>
      <c r="H7360" t="n">
        <v>29</v>
      </c>
      <c r="I7360" t="inlineStr">
        <is>
          <t>できれば世界中どこに行っても同じくらいの価値を持つものが相応しい。；ただ一つだけ、およそ相応しくないものを身につけているのが目についた。；彼の名誉に相応しくないとの理由から息子や弟子らからも反対された。；答辞をやりたいのなら、相応しいかどうかを考えることは不毛なことだ。；最も相応しい時に、話してくれるであろうことをコウは知っていたからだ。；俺のような男には、犬の死を迎えることこそ相応しいというべきかもしれない。；それは、なぜかさっきの妙な一行に相応しい曲だと、彼には感じられたのだ。；また、観光特急であることからそれに相応しいサービスが実施されている。；この鳥籠は、今夜のこの誇りにみちた心に何と相応しくないものだろう。；そこはなるほど資料室というに相応しく、あれやこれやの物であふれていた。；これは他の二人の功績とは比べようもなく、桃を取るのに相応しいと言える。；この棺は鉛筒に密封した上で、修道院裏の相応しい墓地に再埋葬された。；だが男は夢の中で、さらに相応しくないつぶやきを口の中で繰り返した。；まさしく完全の名に相応しい、それは現実との完璧なまでの隔離だった。；自分がその役に相応しいかどうかなんて、考えることさえなかったように思う。；その風を切る音に相応しいようにと、真がペダルを更に強く踏みこんだ。；逆に、自己に相応しくないものを持っている人とは、盗人がこれに当たる。；日々の暮らしに相応しいクオリティがあるべきことを主張している。；勇敢で実直なこの騎士も、騎士の名に相応しく少し厳しいところがある。；そしてそれはキャロルがもたらしたこの計画が相応しいと結論されたのであった。；私はふと私の車にはおよそ相応しくない匂いを鼻に感じた。；当時は、既婚の女性が勉強をすることは相応しくないとする風潮があった。；彼に相応しいのは、貸し続けたままで黙って死んでいくことだろう。；しかし清武は、将軍には相応しくないとされる理由が主に2つあった。；絵本として出版されたので、それに相応しい言葉遣いに改められている。；私がこれまでの人生で開けてきた数多くの扉、その全ての鍵穴に、相応しくない。；彼は特攻崩れだそうだが、その感受性はとてもその来歴に相応しくない。；将軍たちは王の妃に相応しい美しい女性を発見したとして、報告した。；理由を尋ねると、音楽はそれに相応しい場所じゃないと聴かないとのこと。</t>
        </is>
      </c>
      <c r="J7360">
        <f>HYPERLINK("https://www.weblio.jp/content/相応しい", "词义详情")</f>
        <v/>
      </c>
      <c r="K7360">
        <f>HYPERLINK("https://yourei.jp/相応しい", "查看例句")</f>
        <v/>
      </c>
    </row>
    <row r="7361">
      <c r="A7361" t="inlineStr">
        <is>
          <t>節</t>
        </is>
      </c>
      <c r="B7361" t="inlineStr">
        <is>
          <t>成功</t>
        </is>
      </c>
      <c r="C7361" t="inlineStr">
        <is>
          <t>読み方：せち
⇒せつ</t>
        </is>
      </c>
      <c r="D7361" t="inlineStr">
        <is>
          <t>節ごと；節間；節くれ；節終了；節ちゃん</t>
        </is>
      </c>
      <c r="E7361" t="inlineStr">
        <is>
          <t>時；場合；頃；部分；曲</t>
        </is>
      </c>
      <c r="F7361" t="inlineStr">
        <is>
          <t>肢節；各節；仮節；胴節；脛節</t>
        </is>
      </c>
      <c r="G7361" t="inlineStr">
        <is>
          <t>節約；節足動物；節目；節度使；節度</t>
        </is>
      </c>
      <c r="H7361" t="n">
        <v>29</v>
      </c>
      <c r="I7361" t="inlineStr">
        <is>
          <t>あらすじ節のみで作品設定を扱いきれない場合は、この節を設置します。；営業路線の詳細は「路線」の節を、その他の詳細は以下の各記事を参照。；鰹節は節類の代表的なもので加工の工程や製品の形状の名称が共通する。；以下はこの節では特に断りが無い限り、地方自治法は条数のみ記載する。；関連事業についてはグループ会社の節も、車両の歴史は車両の節を参照。；後に動物だけでなく動物以外の単音節の単語も使われるようになった。；ただし、後節のとおり当路線は区間によって輸送密度に大きな差がある。；以下は節の例であり、必ずしも全てが必要なわけではありません。；その節中に、好調子の選手と不調子の選手とをわざと同じカードに組むこと。；関連した事件・現象、関連商品などがあればそれに応じた節を作成してください。；この節では、主に時代ごとのファラオが保持した王権について解説する。；使用方法は、アナログ式とほぼ同じであるので、その節を参照されたい。；戦いをゲームと捉えている節があり、チェスのようなもので作戦を指揮する。；販売時の事象にも特記することがあれば節を分けるなどして記述する。；地下茎はいくつかの節に分かれており、節の長さは品種によって異なる。；上記の節のように日本は大量に遺伝子組換え作物を輸入している。；しかし、前半が毎節違う歌詞で、後半は全節同じ歌詞となっているものも多い。；設けた節が短くなる場合、「設定」の節とまとめることが推奨されます。；このとき作った節を、作曲家になった後で気に入って自ら出版したこともある。；この節ではだいたい戦後使われるようになった新しめの技術について述べる。；先に向かって細くなり、先端以外の肢節にそれぞれ1対の内突起をもつ。；一組の矢では節の位置をそろえてあり、一本の矢には節は四つある。；古舘は当初簡単にレギュラー番組は決まると思っていた節もあったという。；この節では各放送地域ごとの放送局や放送時間などに関連した情報を扱います。；肩と股間節末端が大きなピニオンギアのような形をしているのが特徴。；後半戦に入ると、第26節終了時には6位と勝点で並ぶ7位にまで浮上。；節足動物の触角は頭部に備え、先節より後の体節に由来の付属肢である。；各胴節の両腹側からは1対の丸みを帯びた三角形の鰭が張り出している。；この節では特記なき限り共通事項及び登場時の形態について記述する。</t>
        </is>
      </c>
      <c r="J7361">
        <f>HYPERLINK("https://www.weblio.jp/content/節", "词义详情")</f>
        <v/>
      </c>
      <c r="K7361">
        <f>HYPERLINK("https://yourei.jp/節", "查看例句")</f>
        <v/>
      </c>
    </row>
    <row r="7362">
      <c r="A7362" t="inlineStr">
        <is>
          <t>不治</t>
        </is>
      </c>
      <c r="B7362" t="inlineStr">
        <is>
          <t>成功</t>
        </is>
      </c>
      <c r="C7362" t="inlineStr">
        <is>
          <t>読み方：ふじ
《「ふち」とも》病気が治らないこと。「—の病」</t>
        </is>
      </c>
      <c r="H7362" t="n">
        <v>29</v>
      </c>
      <c r="I7362" t="inlineStr">
        <is>
          <t>病院でロイは自分の肺の病が不治ではなく、治療可能であることを知る。；と云うのは、その人は不治の病気だが貧困で医者にかかることが出来ない。；それは、第一には父の春田が当時不治の病気にかかっていた事である。；王の病は不治であり、彼の寿命はすでに尽きている、と彼らは判断する。；恍惚を追い続けることも、一種の不治だと思うんですけど、違いますか?；クリスもその一人で自分の不治の精神病を癒してもらいたがっていた。；ある人々のように絶えまなく心配し緊張しているのは一つのほとんど不治の病気である。；調べてみると、彼女は危険な不治の狂人であることがわかった。；不治の癌だと宣告されてから却って長い病床の母親は急に機嫌よくなった。；ところが驚いたことに、不治といわれた進行麻痺が治ったのである。；歳を取って彼はサモスに引退し不治の病気に罹って自殺した。；絶えず心配し、緊張している人がいるが、これはほとんど不治の病気といってよい。；一部のものは不治の狂気に冒されて、殺すか、監禁するかしかなくなった。；不治の奇病を患った息子の清よりも早くに、よりによってこんな形で。；弟子とも言える不治の家庭不和の方々や不治の絶望の方たちにも呼びかけませんか。；この病気は現在でも病源が判らず不治とされている。；彼女の母親が亡くなったのと同じ不治の病気。；持続的な緊張状態にあり、行動を抑えられず、しかも不治である。；当時は不治ともいわれたその病いから、彼は幸運にも立ち直り完治しました。；そっか、ぼくたちが、他の不治たちと相容れないのは、そのせいもあるな。；医者が不治の患者とみると藪医者へ廻したりする、あれと同じさ。；しかし、左脚が不治だとわかったため、将棋で身を立てる決心をしたという。；デミーの症状は不治だと、何度も聞かされていらっしゃったのですけれど。；しかしそれは必ずしも不治の病気ではなかった。；不治の資格ってのは、そんなに生やさしく取れるもんじゃないんです。；むごいことをいうようだけれど、あの子らは、不治の疫病にやられているようなものだ。；長い長い過去が、まるで不治のガンのように、あの人たちに巣くっているのです。；未来のある時代、火星は地球からの不治の公害病患者が送られてくる場所になっているのだ。；最後に夫に不治の悪疾が臨むに至って、遂に信仰を棄つるに至ったのである。</t>
        </is>
      </c>
      <c r="J7362">
        <f>HYPERLINK("https://www.weblio.jp/content/不治", "词义详情")</f>
        <v/>
      </c>
      <c r="K7362">
        <f>HYPERLINK("https://yourei.jp/不治", "查看例句")</f>
        <v/>
      </c>
    </row>
    <row r="7363">
      <c r="A7363" t="inlineStr">
        <is>
          <t>武士</t>
        </is>
      </c>
      <c r="B7363" t="inlineStr">
        <is>
          <t>成功</t>
        </is>
      </c>
      <c r="C7363" t="inlineStr">
        <is>
          <t>読み方：ぶし
昔、武芸をおさめ、軍事にたずさわった身分の者。中世・近世には支配階級となった。さむらい。もののふ。</t>
        </is>
      </c>
      <c r="D7363" t="inlineStr">
        <is>
          <t>武士たち(5%)；武士階級；武士達；武士ども；武士身分</t>
        </is>
      </c>
      <c r="E7363" t="inlineStr">
        <is>
          <t>士；侍；武家；武者；士人</t>
        </is>
      </c>
      <c r="F7363" t="inlineStr">
        <is>
          <t>若い武士；老武士；上級武士；東国武士；鎌倉武士</t>
        </is>
      </c>
      <c r="G7363" t="inlineStr">
        <is>
          <t>武士団；武士道精神；武士の一分；武士は食わねど高楊枝；武士道残酷物語</t>
        </is>
      </c>
      <c r="H7363" t="n">
        <v>29</v>
      </c>
      <c r="I7363" t="inlineStr">
        <is>
          <t>また、江戸の武士の間では赤飯に小豆の代わりに使われるようになった。；つまり、それ以前の武に従事した者は、武官ではあっても武士ではない。；武士と公認される家もこのようにして増加していったと考えられる。；ただし当時の武士の第一人者とされていたのは間違いないとされる。；斎藤は、子供たちにも剣術や武士の心得を教えていたと考えられている。；地名の由来は、ある武士の馬がこの付近で足を骨折したためといわれている。；江戸時代には武士や公家の子弟は漢文の教育をうけるようになっていた。；農民との争いを避けるために武士の役目以外では名字・帯刀を禁止された。；町奴は町人である故、武士の様な刀や長い脇差の携帯が許されなかった。；百姓身分の農民を武士身分の役人が支配する郷村制度が確立した。；また同時代の武士の墓も出土しており、埋葬形態を具体的に把握した。；なお武蔵国有力武士は挙兵時の当初は少なからず平氏側に立って戦った。；また、日本の武士が敵の首を切り落とす文化にも共通のものがある。；これ以降、本願寺は武装化していき武士勢力との抗争が始まっていく。；これ以降は騎兵であることは武士の身分を示すものでもあった。；旧勢力に平氏政権を排除する力はなく、その力を持っていたのは武士層であった。；ただし、彼らの子孫すべてが軍事貴族・武士へ成長した訳ではない。；こうした、主人を持つ武士が家臣として召し抱えた武士を陪臣と呼んだ。；国家という制度のように目には見えないが武士を動かしたそれを山鹿は天とした。；恩賞を確実に貰えたわけではないが、これによって名を上げた武士もいる。；江戸時代の武士の給与体系は石高制であり、基本的に米で支給されていた。；それまでの北面武士に加えて西面武士を設置し、軍事力の強化を図った。；このようなところにも、武士と武官の違いが現れているといえよう。；幕府は次第に武士層からの支持を失っていった。；中世の名取郡は細分され、郡全体を支配する荘園も武士も生まれなかった。；後白河法皇はこれを賞して義経と主だった武士たちに官位を与えた。；武士の中で大胆なものが先頭に立って、中の様子を見ると、一人の美しい女がいた。；米沢藩上杉家は他の藩と比較して下級武士の数が圧倒的に多かった。；貴族と武士は同じ支配者層であり、貴族と武士が対立関係にあったのではないとされる。</t>
        </is>
      </c>
      <c r="J7363">
        <f>HYPERLINK("https://www.weblio.jp/content/武士", "词义详情")</f>
        <v/>
      </c>
      <c r="K7363">
        <f>HYPERLINK("https://yourei.jp/武士", "查看例句")</f>
        <v/>
      </c>
    </row>
    <row r="7364">
      <c r="A7364" t="inlineStr">
        <is>
          <t>無事</t>
        </is>
      </c>
      <c r="B7364" t="inlineStr">
        <is>
          <t>成功</t>
        </is>
      </c>
      <c r="C7364" t="inlineStr">
        <is>
          <t>読み方：ぶじ
［名・形動］
１普段と変わりないこと。また、そのさま。「日々を—に送る」「平穏—」
２過失や事故のないこと。また、そのさま。「航海の—を祈る」「—に任務を果たす」「手術が—終了する」
３健康で元気なこと。つつがないこと。また、そのさま。「—を知らせる便り」「父母の—な顔を見て喜ぶ」
４なすべき事がないこと。ひまな状態。
「われ—に苦みて、外に出でて遊ばんことを請い」〈鴎外訳・即興詩人〉
５何もしないこと。
「只道士の術を学んで、無為を業とし、—を事とす」〈太平記・一〉</t>
        </is>
      </c>
      <c r="D7364" t="inlineStr">
        <is>
          <t>無事帰還；無事終了；無事成功；無事到着；無事救出</t>
        </is>
      </c>
      <c r="E7364" t="inlineStr">
        <is>
          <t>静か；安全；平和；安心；大丈夫</t>
        </is>
      </c>
      <c r="F7364" t="inlineStr">
        <is>
          <t>ご無事；全員無事；御無事；無事に逃げおおせる；無事安着</t>
        </is>
      </c>
      <c r="G7364" t="inlineStr">
        <is>
          <t>無事息災；無事故無違反；無事平穏；無事故・無違反；無事太平</t>
        </is>
      </c>
      <c r="H7364" t="n">
        <v>29</v>
      </c>
      <c r="I7364" t="inlineStr">
        <is>
          <t>三人の子供が無事に生まれてきたので天孫の子であることが証明された。；また、ドイツ潜水艦が無事にドイツに帰還したかに関しては不明である。；わたしがそばにいるかぎり、おまえさまはぶじに城から出られるのじゃ。；しかし、翌1974年春に無事再開され、夏頃には主な作業が終了した。；娘夫婦から母子ともに健康で無事出産したことをメールで報告を受けた。；警官や中畑らの協力もあって、螢が無事に戻ったのは夜中のことだった。；脱出したパイロット及び不時着した給油機の乗組員は全員無事であった。；ほかの艦に乗っていた人たちもぶじに上陸することができるだろう。；ルースがぶじあそこに連れていってくれるのを信じていないわけではない。；脚を出したまま右旋回して東京湾上を一周し、無事ゆっくりと着陸した。；腕部が破壊されても、カスター側の腕部が無事であれば動作は可能。；キラは無事脱出していた友人達と再会するが、戦闘はまだ続いていた。；無事だといいが馬は無理させたことで故障することがある。；その朝もぶじに過ぎて、おそい昼の食事を博士がしていたときである。；いまではわが軍の勢力下にはないが、狼煙台だけはぶじに残っている。；そこへぶじにたどりつけないという理由は、どこにもなさそうに思えた。；前年の撮影現場では病気を隠して役を演じきり、何とか無事に撮影を終えた。；戦争は長引き、女王率いる軍が無事勝利を収めた頃には十数年が経過していた。；石勒は無事退却に成功して北へ帰還すると、以後は襄国に拠点を置いた。；ぶじにこの年を通過できそうだったのに、ここへきてつかまってしまった。；手紙には東京で無事に暮らしを立てていることが綴られていた。；果たして、主人公は無事元の世界に戻ることができるのであろうか。；すると、意外にも早苗さんはぶじに学校へついていることがわかりました。；わしの孫おげ丸をぶじ江戸へゆかしてやれえ、とオゲどもに伝えろやい!；住宅は損壊したが、住人は揺れの直後に外に避難していて無事だった。；競走馬としては14戦目に挙げた1勝のみであったが、無事に引退した。；速水の機転によって無事帰還し、これを期に二人の仲は急接近していった。；すでに彼女は、どうやら石川島で原がぶじでいるらしいことを知っている。；あの時もしわたしをほうっておいてくれたら、ふたりともぶじだったのに。</t>
        </is>
      </c>
      <c r="J7364">
        <f>HYPERLINK("https://www.weblio.jp/content/無事", "词义详情")</f>
        <v/>
      </c>
      <c r="K7364">
        <f>HYPERLINK("https://yourei.jp/無事", "查看例句")</f>
        <v/>
      </c>
    </row>
    <row r="7365">
      <c r="A7365" t="inlineStr">
        <is>
          <t>不思議</t>
        </is>
      </c>
      <c r="B7365" t="inlineStr">
        <is>
          <t>成功</t>
        </is>
      </c>
      <c r="C7365" t="inlineStr">
        <is>
          <t>読み方：ふしぎ
［名・形動］《「不可思議」の略》
１どうしてなのか、普通では考えも想像もできないこと。説明のつかないこと。また、そのさま。「—な出来事」「成功も—でない」
２仏語。人間の認識・理解を越えていること。人知の遠く及ばないこと。
３非常識なこと。とっぴなこと。また、そのさま。
「花山院とあらがひごと申させ給へりしはとよ。いと—なりしことぞかし」〈大鏡・道隆〉
４怪しいこと。不審に思うこと。また、そのさま。
「明くればうるはしき女﨟に—を立て、いかなる御方ぞ、と尋ね給ふに」〈浮・五人女・三〉
[派生]ふしぎがる［動ラ五］ふしぎさ［名］</t>
        </is>
      </c>
      <c r="D7365" t="inlineStr">
        <is>
          <t>不思議そう(4%)；不思議な力；不思議なほど；不思議な気；不思議な現象</t>
        </is>
      </c>
      <c r="E7365" t="inlineStr">
        <is>
          <t>特別；妙；奇妙；異常；変</t>
        </is>
      </c>
      <c r="F7365" t="inlineStr">
        <is>
          <t>少しも不思議；不思議がら；不思議探索パトロール；不思議な高揚感；不思議な安堵感</t>
        </is>
      </c>
      <c r="G7365" t="inlineStr">
        <is>
          <t>不思議な世界；不思議な気持ち；不思議な生き物；不思議のダンジョン；不思議ね</t>
        </is>
      </c>
      <c r="H7365" t="n">
        <v>29</v>
      </c>
      <c r="I7365" t="inlineStr">
        <is>
          <t>レースを記者席から見ることになったが、最初は不思議な感覚であった。；リリース当初反応は無かったが、しばらくすると不思議な現象が起きた。；子供の頃育ての母親の死んだ夫の言葉を聞くなど、不思議な力を持つ。；彼らが作るアイテムには不思議な力が宿り、人間の願望を形にしてきた。；しかしある日翼を持つ不思議な少女エールと出会い謎の存在と戦うことに。；洞窟の中の不思議な泉につかり、何にでも化けられる泥の怪物となった。；SF界でも何をしている人物か分からず不思議な人と思われていた。；そこにはエアポケット的と言ってもいい、不思議に擬古的な空気がある。；彼のもっていた不思議な穴を使って、亡き母のいる地下世界へ向かう。；世界の自然七不思議についても他と同様に意見の一致はみていない。；それなのに、この付近一帯に牛の姿は一頭も見かけないのも不思議だった。；その人物の頭部は、最上部が前後に広がった不思議な輪郭をしている。；モリス夫人は娘のミンクが不思議なヨーヨーで遊んでいるのを見つけた。；不思議なことに、これが修正されることなく主人公の名前となった。；建っているのが不思議なくらい不安定な建物といわれるグーフィーの家。；すべてを失い生きる望みも無くした彼は、不思議な老人に声をかけられる。；清水信一は幼いころから不思議な霊力を持っていたと伝えられている。；そのため彼らが日本に伝えた銃がマラッカ式であることは特に不思議ではない。；不思議な出来事を体験した場合に拾ったアイテムもここに書き留められる。；助はこの話を大いに不思議に思ったけれど、残っていた膾を湖に捨てさせた。；神社の裏にある小さな洞窟の奥に不思議な卵状の乗り物があった。；風に吹かれていると不思議なことにミョンウを近くに感じるギョンジン。；そのどれもがユニークな国民や習慣、時間・空間を持った不思議な国である。；主人公は廃ビルへと連れ込まれ、不思議な力で魂と肉体を分離させられる。；不思議なことが起きたら連絡しなさい、とのホームズの言葉を頼りにして。；王は不思議に思い、その岩を動かしてみると金色の蛙の姿をした子供がいた。；不思議な仕事の紹介から風俗系など扱う内容は多岐にわたっていた。；当時の人はこれを不思議なことだと言いあったという。；犬を見て、犬がいいのか飼い主がいいのかという不思議な問いをしてくる。</t>
        </is>
      </c>
      <c r="J7365">
        <f>HYPERLINK("https://www.weblio.jp/content/不思議", "词义详情")</f>
        <v/>
      </c>
      <c r="K7365">
        <f>HYPERLINK("https://yourei.jp/不思議", "查看例句")</f>
        <v/>
      </c>
    </row>
    <row r="7366">
      <c r="A7366" t="inlineStr">
        <is>
          <t>不自由</t>
        </is>
      </c>
      <c r="B7366" t="inlineStr">
        <is>
          <t>成功</t>
        </is>
      </c>
      <c r="C7366" t="inlineStr">
        <is>
          <t>読み方：ふじゆう
［名・形動］(スル)思うようにならないこと。不足や欠けた点があって困ること。不便なこと。また、そのさま。「何かと—な暮らし」「小遣いにも—する」
[派生]ふじゆうさ［名］</t>
        </is>
      </c>
      <c r="D7366" t="inlineStr">
        <is>
          <t>不自由なく(6%)；不自由な生活；不自由な身体；不自由な足；不自由な体</t>
        </is>
      </c>
      <c r="E7366" t="inlineStr">
        <is>
          <t>非；迷惑；支障；不便；困窮</t>
        </is>
      </c>
      <c r="F7366" t="inlineStr">
        <is>
          <t>御不自由；なに不自由；ご不自由；ひとつ不自由；女に不自由</t>
        </is>
      </c>
      <c r="H7366" t="n">
        <v>29</v>
      </c>
      <c r="I7366" t="inlineStr">
        <is>
          <t>車両は低床型で、身体の不自由な者にも利用しやすい作りとなっている。；社会の一員である前に家族の一員であり、不自由があるのはむしろ当然。；駅に隣接してタクシー会社があるのでタクシーの利用には不自由しない。；さらに音声認識機能が用意されており、目の不自由な人でも操作できる。；山にも野にも林にも谷にも海にも川にも、僕は不自由をしなかったのである。；そのため以後は生活に不自由することなく研究に打ち込めるようになった。；手や指の運動が円滑を欠いても絵を描くに不自由は更にないのである。；ロバノフは6歳の時にかかった髄膜炎のために耳と口が不自由になった。；一方で、職業に対応しない能力は制限を受け、料理や音楽にも不自由する。；今は妻の妹の家族と何不自由なく暮らしているが、心を閉ざしている。；レナードの不自由な経済状態にもかかわらず二人は強い絆で結ばれていた。；旅の人のひとりや二人を泊めてくれるに不自由のない家もあります。；このため父親がいなくても金銭的に不自由するというほどのことはなかった。；ちょうど、ここから出て行った足の不自由な紳士のお話を聞きたいのです。；その後、まだ左手が不自由ではあったが再びピアノを弾けるようになった。；また今は足も不自由だが、90歳の頃までは元気に歩くことができたという。；そして、それは、すこしの不自由をも彼らに感じさせなかったのです。；しかし体の不自由な祖母を一人置いて行けないとアヴィックはそれを断る。；范泰は足が不自由だったため、特に輿に乗って参朝することが許された。；父は脚が不自由だったにもかかわらず息子の面倒をよく見た。；ただ皆、自分の手前勝手と私たちの云ふ自由を一緒にしてゐるのです。；何不自由なく暮らしていた家族の生活に、母親に死と言う突然の終わりが訪れる。；原作では、叔父の他に彼の妻も耳が不自由ながら健在のようである。；パーティーの最中、耳の不自由な女の子がサムにメモ書きを渡してきた。；やがて年月が過ぎ、兄は王子として何不自由ない暮らしを満喫していた。；山田は戦後に脳溢血で倒れて体が不自由になっても、しばしば指揮をした。；彼は近くに足の不自由な物乞いの死体を見つけ、その身体を借りて蘇った。；彼女は2歳の時から不自由であった両足の機能が回復したのである。；中年から目が不自由になった人は、目が見える夢を良く見るという。</t>
        </is>
      </c>
      <c r="J7366">
        <f>HYPERLINK("https://www.weblio.jp/content/不自由", "词义详情")</f>
        <v/>
      </c>
      <c r="K7366">
        <f>HYPERLINK("https://yourei.jp/不自由", "查看例句")</f>
        <v/>
      </c>
    </row>
    <row r="7367">
      <c r="A7367" t="inlineStr">
        <is>
          <t>不十分</t>
        </is>
      </c>
      <c r="B7367" t="inlineStr">
        <is>
          <t>成功</t>
        </is>
      </c>
      <c r="C7367" t="inlineStr">
        <is>
          <t>読み方：ふじゅうぶん
［名・形動］足りないところのあること。完全でないこと。また、そのさま。「—な明るさ」「証拠—」</t>
        </is>
      </c>
      <c r="D7367" t="inlineStr">
        <is>
          <t>不十分である(16%)；不十分であり(5%)；不十分なもの(2%)；不十分な場合；不十分なまま</t>
        </is>
      </c>
      <c r="E7367" t="inlineStr">
        <is>
          <t>低い；不足；薄い；貧しい；乏しい</t>
        </is>
      </c>
      <c r="F7367" t="inlineStr">
        <is>
          <t>効果不十分；見張り不十分；準備不十分；監視不十分；加熱不十分</t>
        </is>
      </c>
      <c r="H7367" t="n">
        <v>29</v>
      </c>
      <c r="I7367" t="inlineStr">
        <is>
          <t>その後高野は象徴ながらも天皇制を残したこの案を不十分であると批判。；駐輪場は多くの利用があり、スペースが不十分で車両が外に溢れている。；しかし最初のCrusoeは、計画に比べて性能がかなり不十分だった。；一方でこれらの施行や保護区の管理は不十分で、密猟されることもある。；電力の供給がより一般的になると、この手段では不十分であると判明した。；民主的に不十分であるというものの具体例には以下のようなものがある。；また、防災計画に地震対策がなく対応が不十分だった自治体もあった。；この対応が不十分であれば不祥事以上に批判を浴びることになりかねない。；武器の補充も不十分で赤軍から鹵獲したロシア製の武器を利用していた。；そのような文化的な幅の説明は生物学的な理解では不十分である。；警察と被害者側との連携が不十分だったことが原因であった。；勿論、デフレが終わっていないのだから効果はまったく不十分だった。；呼吸の時相や周波数成分を利用した分類も提唱されているが不十分な点も多い。；内蔵燃料では不十分な、長期・長距離作戦を遂行するために装備される。；これらの部隊は兵器・訓練とも極めて不十分な状態であった。；独自の見解にもとづいて管理の欠陥を否定した原審は審議不十分である。；その他の地域の方言は調査が不十分であり、詳しい分類は行われていない。；などとして、ユダヤ人絶滅が決定されたという根拠が不十分としている。；従って、ある日時の水だけを試験・評価しただけでは不十分である。；等の理由から伝統的な廃絶論では不十分であると指摘している。；他のノイズ源として、外部の電気信号や設計が不十分な部品などがある。；警備計画に不十分な点がなければ必ず事故が発生しなかったということはできない。；田中が抱いていた理想の未来には不十分で程遠い結果であった。；これは交通通信網が不十分であったからであるとされる。；過去には勝負が一度決まった後に手付き不十分で取り直しにしたこともあった。；内容が不十分と判断された場合は統合やリダイレクト化が検討されることがあります。；したがって、ポアソン分布を使用した単純なモデルでは不十分である。；当時としてはかなりの量だったが、これでも不十分だったことが後に判明する。；幼少時に足を負傷し、治療が不十分であったために障害が残った。</t>
        </is>
      </c>
      <c r="J7367">
        <f>HYPERLINK("https://www.weblio.jp/content/不十分", "词义详情")</f>
        <v/>
      </c>
      <c r="K7367">
        <f>HYPERLINK("https://yourei.jp/不十分", "查看例句")</f>
        <v/>
      </c>
    </row>
    <row r="7368">
      <c r="A7368" t="inlineStr">
        <is>
          <t>不順</t>
        </is>
      </c>
      <c r="B7368" t="inlineStr">
        <is>
          <t>成功</t>
        </is>
      </c>
      <c r="C7368" t="inlineStr">
        <is>
          <t>読み方：ふじゅん
［名・形動］
１順調でないこと。順序がくるうこと。また、そのさま。「—な天候」「月経—」「体調—」
２道理に背くこと。秩序に従わないこと。
「老母の命にしたがはざる不孝—の過(あやまち)」〈咄・醒睡笑・四〉</t>
        </is>
      </c>
      <c r="D7368" t="inlineStr">
        <is>
          <t>不順な天候(7%)；不順な気候(4%)；不順なる(2%)</t>
        </is>
      </c>
      <c r="E7368" t="inlineStr">
        <is>
          <t>斑；不規則；変則；反則；変調</t>
        </is>
      </c>
      <c r="H7368" t="n">
        <v>29</v>
      </c>
      <c r="I7368" t="inlineStr">
        <is>
          <t>四月二十八日雨 雨が極端に多く、寒かったり暖かったりして不順なり。；日本からの便で空港に降り立った三日前の早朝から、この不順な空模様はつづいている。；団栗は、楢の木に実るのが第一に粒が大きく次が椚、樫と言ふ順になる。；三月に入って江戸は春とは名のみの寒気に襲われ、十日ごろから不順な天候となった。；しかし開花予定日の3日ぐらい前から茨城県北地域は不順な天候が続いていた。；もともと生理は不順だし、周期などあってないようなものだった。；その十四年の夏もなんだか雨が多くて、ちやうど今年のやうな不順な陽氣であつた。；また、以前にも、ふとしたことでそんな不順もあったといった。；しかし異常に少なくなれば気候は不順となり、世間に乱が目立ちだす。；どうも不順な陽気だから、お前さんなんぞは尚さら気をつけなければいけないぞ。；飢饉が生じた前後の時期は、天候不順な年が続いており、国内が疲弊した状態にあった。；一回か二回の気候不順でたちまちコメが不足する国に、わたしたちは住んでいるのです。；いつまでも降りやまず、秋谷は不順な天候を気にしていた。；食欲もあるし、若い頃から生理が不順になったことすらなく、どこをどう調べても健康そのものである。；気候の不順と饑餓による抵抗力減退とのために疫病の流行が加わって来たのである。；不順な天気ね、もう二百十日の先ぶれの風が吹いて来ました。；するとどうなるかというと、排卵のリズムが狂い、生理が不順になる。；どう云ふ手続でどう云ふ順序で良人がお仕置になるのであるか。；そこで、この最初の滞在ではそれほど気候不順に苦しめられはしないのだから、こんど島へ帰ってくるときには辛い生活を覚悟しておかなくてはならないのだ。；頭痛持ちだし、いっつも体の調子がおかしいし、生理も重くて不順だし。；自分は日本でも一二の健康都市といわれるK市の山麓に静かに住みながら何を好んでこの気候不順なS町に移って来たのであろうか。；三人が日本を出た一八三二年までは、気候が不順とはいえ、一八二九年の大豊作の備蓄米が諸国をうるおしていた。；兵乱はなおひきつづいていたし、気候の不順は、春を迎えても、なおつづいていた。；十一月も末になると、札幌の街は冬を迎える不順な天候が飽くことなくつづく。；赤らんだ皮膚の色は、熱帯的な暑熱や、気候の不順さから影響を受けたわけではない。；まず七月早々あの不順な気候にあてられて恐ろしい下痢をやった。；生理が不順なのは、夜遅くまでの仕事や毎日時間通りに食事ができないといった生活全体から来ることで、生活を変えないといけない。；でも、不順かどうかなんて、誰が決めるのだろう。；あるときは、凶作と不順な天候の時期を切り抜けねばならなかった。</t>
        </is>
      </c>
      <c r="J7368">
        <f>HYPERLINK("https://www.weblio.jp/content/不順", "词义详情")</f>
        <v/>
      </c>
      <c r="K7368">
        <f>HYPERLINK("https://yourei.jp/不順", "查看例句")</f>
        <v/>
      </c>
    </row>
    <row r="7369">
      <c r="A7369" t="inlineStr">
        <is>
          <t>負傷</t>
        </is>
      </c>
      <c r="B7369" t="inlineStr">
        <is>
          <t>成功</t>
        </is>
      </c>
      <c r="C7369" t="inlineStr">
        <is>
          <t>読み方：ふしょう
［名］(スル)きずをおうこと。けがをすること。また、けが。「事故で—する」「—者」</t>
        </is>
      </c>
      <c r="D7369" t="inlineStr">
        <is>
          <t>負傷離脱；負傷者；負傷欠場；負傷退場；負傷交代</t>
        </is>
      </c>
      <c r="E7369" t="inlineStr">
        <is>
          <t>傷；怪我；損傷；害；危害</t>
        </is>
      </c>
      <c r="F7369" t="inlineStr">
        <is>
          <t>落馬負傷；戦死または負傷；負傷により長期欠場；負傷欠場により対戦相手；負傷引分</t>
        </is>
      </c>
      <c r="G7369" t="inlineStr">
        <is>
          <t>負傷兵；負傷判定</t>
        </is>
      </c>
      <c r="H7369" t="n">
        <v>29</v>
      </c>
      <c r="I7369" t="inlineStr">
        <is>
          <t>登場人物の中では珍しく、戦闘時にも負傷する場面が少ない人物でもある。；これらの罠により、多くの兵士が足に障害を伴う負傷をしたといわれる。；負傷交代となり、結果的にこれが現役最後の一軍での試合出場となった。；通常は金網などで安全対策が行われるが、死亡・負傷事故も起きている。；十両には落ちなかったがこれら2度の負傷には最後まで苦しむ事になった。；負傷者はいずれも顔や手を負傷しており、最終的に13名が死亡した。；しかし、森雪が途中で負傷し、一人だけ地球に取り残されることになる。；乗員乗客123人のうち100人が負傷したが、幸い死者は出なかった。；この事故で乗客乗員124人の内乗客1人が負傷したが死者は出なかった。；何度も負傷したが屈する事無く戦い続け、その名声はいよいよ高まった。；第二次世界大戦中では、負傷した兵士の止血にミズゴケが使われていた。；この事件では、84人の労働者が警察に射殺され、600人が負傷した。；ブラバム自身は1969年の負傷を契機に引退を考えるようになっていた。；この後、負傷箇所であるヒザの手術のために約5か月間、欠場となった。；肉体を共有しているため、バーディーの負傷はつとむの負傷にもなる。；ホンジュラス政府の発表によると、この戦闘により一般市民が負傷した。；この戦闘で15人が戦死し、40人が負傷し、355人が捕虜になった。；皇太子に怪我は無かったが、隣に座っていた侍従長が顔に負傷した。；カカが負傷によりチームを離脱すると、再びレギュラーとして出場した。；約2年ぶりの代表復帰となったが、クラブの試合で負傷して代表を離脱した。；負傷していた左目も医師の診断で完全に回復したと伝えられた。；同ツアーの残りの公演にも負傷のまま参加した。；は開幕から故障者リスト入りし、復帰を目指してのリハビリ中に負傷。；ベトナム戦争で負傷した兵は治療のために、不運にも西ドイツに送られた。；鉄パイプ奇襲で負傷した長州はこの日はマシンに試合を譲ることになった。；当然大きな飛躍が期待されたがまたしても大乃国との対戦で左足首に負傷。；エストッレはモンツァ城に包囲され、投石による負傷が原因で死亡した。；しかし、途中で沙世子が負傷したため、決着をつけることができなかった。；他種族の女性とこれを行った場合、相手が負傷することもある。</t>
        </is>
      </c>
      <c r="J7369">
        <f>HYPERLINK("https://www.weblio.jp/content/負傷", "词义详情")</f>
        <v/>
      </c>
      <c r="K7369">
        <f>HYPERLINK("https://yourei.jp/負傷", "查看例句")</f>
        <v/>
      </c>
    </row>
    <row r="7370">
      <c r="A7370" t="inlineStr">
        <is>
          <t>不祥事</t>
        </is>
      </c>
      <c r="B7370" t="inlineStr">
        <is>
          <t>成功</t>
        </is>
      </c>
      <c r="C7370" t="inlineStr">
        <is>
          <t>読み方：ふしょうじ
関係者にとって不都合な事件、事柄。「社員が—を起こす」</t>
        </is>
      </c>
      <c r="D7370" t="inlineStr">
        <is>
          <t>不祥事発覚；不祥事等；不祥事以降；不祥事疑惑</t>
        </is>
      </c>
      <c r="E7370" t="inlineStr">
        <is>
          <t>スキャンダル；汚職；不埒；不祥；無道</t>
        </is>
      </c>
      <c r="F7370" t="inlineStr">
        <is>
          <t>重大な不祥事；会計不祥事；証券不祥事</t>
        </is>
      </c>
      <c r="H7370" t="n">
        <v>29</v>
      </c>
      <c r="I7370" t="inlineStr">
        <is>
          <t>不祥事を起こした政府の長はその失敗ゆえに処刑されることすらあった。；前述した監督の不祥事事件がプラスになったのではとも言われている。；また、生徒の修学旅行先の不祥事から修学旅行を中止とした学校もある。；前代未聞の王の不祥事を、そもそもなかったことにしようとしたのだろう。；この事故に関しては後に事故隠しなど不祥事が発覚し社会問題となった。；この対応が不十分であれば不祥事以上に批判を浴びることになりかねない。；原作の香川の不祥事の影響で、同年9月5日以降の放送が休止となった。；しかし、発売直前にメンバーのAlexが不祥事を起こし、逮捕される。；このため、不祥事の時同様に新聞やワイドショー等で取り上げられた。；日本大学は不祥事の責任を取り、翌年の第7回大会の参加を辞退した。；視聴者の関心を引くために不祥事や失言を行った人を個人攻撃する傾向にある。；この不祥事の根本的な原因は、軍が魔法師を統制しきれなかったことにある。；こんなふうの人であるから不祥事も起こったのであろう。；病気または不祥事が理由で一時的に総務部預かりになっている場合が多いのだ。；不正対策やチェック体制はシステムに整備されず、不祥事が発生した。；東晃大の不祥事なんて今となっては誰も知ったことではない。；この不祥事を受け、日本電気は保守・検査体制を強化すると発表した。；また、息子の良太郎は2017年に不祥事を起こして以来出演していない。；同クラブは不祥事のため2008年シーズンをもって運営会社が解散。；そんなチャンスを目の前にして、夫は不祥事を起こすのを恐れたとも考えられるのだ。；前年に滝澤大志が起こした不祥事の影響で中止を余儀なくされる。；また、これまでも不祥事が原因でノンスポンサーになったことがある。；これらは必ずしも不祥事の発生源であるとは限らないが、その可能性が高いとされているものである。；様々な不祥事と稀な事態を前にペルー共和国議会は辞任を拒否した。；これらの不祥事を受け、少年が逮捕された18日付で会は解散に追い込まれた。；そうした不祥事のため、系譜類で義府は当主から除かれていることがある。；馬主や騎手の贈収賄なども発覚し、一連の不祥事で計7人が逮捕された。；大相撲では、不祥事で出場停止を受けた主な例として次のものがある。；しかし、夏は野球部員の不祥事があり甲子園予選への出場を辞退した。</t>
        </is>
      </c>
      <c r="J7370">
        <f>HYPERLINK("https://www.weblio.jp/content/不祥事", "词义详情")</f>
        <v/>
      </c>
      <c r="K7370">
        <f>HYPERLINK("https://yourei.jp/不祥事", "查看例句")</f>
        <v/>
      </c>
    </row>
    <row r="7371">
      <c r="A7371" t="inlineStr">
        <is>
          <t>侮辱</t>
        </is>
      </c>
      <c r="B7371" t="inlineStr">
        <is>
          <t>成功</t>
        </is>
      </c>
      <c r="C7371" t="inlineStr">
        <is>
          <t>読み方：ぶじょく
［名］(スル)相手を軽んじ、はずかしめること。見下して、名誉などを傷つけること。「—を受ける」「他民族を—する」</t>
        </is>
      </c>
      <c r="D7371" t="inlineStr">
        <is>
          <t>侮辱する(13%)；侮辱的(6%)；侮辱される；侮辱しよ；侮辱罪</t>
        </is>
      </c>
      <c r="E7371" t="inlineStr">
        <is>
          <t>拒絶；軽蔑；叩く；悪口；無礼</t>
        </is>
      </c>
      <c r="F7371" t="inlineStr">
        <is>
          <t>こんな侮辱；ひどく侮辱；重大な侮辱；官吏侮辱；個人的な侮辱</t>
        </is>
      </c>
      <c r="G7371" t="inlineStr">
        <is>
          <t>侮辱行為；侮辱語；侮辱発言</t>
        </is>
      </c>
      <c r="H7371" t="n">
        <v>29</v>
      </c>
      <c r="I7371" t="inlineStr">
        <is>
          <t>相変わらず私は自分がこの上侮辱される事は辛抱が出来ないのですから。；この用語は、アニメファンが他のファンを侮辱する際に使用されている。；人間がこんなにも機械の侮辱にあまんじていなければならぬ理由はない。；自虐で使われることもあれば、侮辱的な意味合いで使われることもある。；ドイツ語系の地名の存在は、当時のへの侮辱であるように受け取られていた。；彼らはそのような自治を創設する試みは、国家への侮辱や脅威とみなす。；私は、もはやこれ以上、日本民族への侮辱にたえられなかったのである。；今は車内の人が申し合わせて侮辱でもしているように葉子には思えた。；僕が妻からこんな下劣な侮辱の言を聴くのは、これが初めてであった。；彼は嘗つてこの様な痛烈な侮辱を蒙った経験を持たなかったのである。；このとき、硝子が婚約者に侮辱されたのを見て、ジュリアは声を挙げる。；黒衣婦人は思いもよらぬ部下の侮辱にあって、ギリギリと歯がみをした。；侮辱を交わしあった後、戦いが始まり、ハウンドは兵士の大部分を殺す。；もめ事に巻き込まれ、ひどく侮辱されたので、これ以上耐えられません。；それをお前は無視して答えた事でその人達を三度も侮辱したのだ。；これ以降、教授会で体育を侮辱するような発言は出なくなったという。；このことから駒平は矢坂のために打擲などされて、おおいに侮辱された。；イスラム圏の同国では「国に対する侮辱である」との声も上がっていた。；彼は仕事場で思ふ存分『睾丸政』と云ふ男から毎日のやうに侮辱された。；ハッピーはジルに、離婚はしないが、婚姻を続けて侮辱し続けると語る。；軽蔑の意図が薄く敵対的意図が強い場合は侮辱と呼ばれることが多い。；演技指導とは俳優を侮辱することだと思っているらしい演出者がいるのは驚くべきことだ。；宗教的なリーダーであったポペは帰宅し、起こったことに深い侮辱を感じた。；本の内容は自分の知る父親とはかけ離れており、父を侮辱する内容で腹が立ったという。；このジェスチャーは患者に対する大きな侮辱と認識されることになった。；自分には何の科が有ってこんな理非顛倒の侮辱を受けるのであろう。；侮辱されても仕方のないような研究を出している。；昔の仲間と会うが、テューイ家を侮辱されたために暴力を振るってしまう。；ベルシャザルがユダヤ人を侮辱しつつ酒を飲もうとすると、壁に手が現れる。</t>
        </is>
      </c>
      <c r="J7371">
        <f>HYPERLINK("https://www.weblio.jp/content/侮辱", "词义详情")</f>
        <v/>
      </c>
      <c r="K7371">
        <f>HYPERLINK("https://yourei.jp/侮辱", "查看例句")</f>
        <v/>
      </c>
    </row>
    <row r="7372">
      <c r="A7372" t="inlineStr">
        <is>
          <t>不審</t>
        </is>
      </c>
      <c r="B7372" t="inlineStr">
        <is>
          <t>成功</t>
        </is>
      </c>
      <c r="C7372" t="inlineStr">
        <is>
          <t>読み方：ふしん
［名・形動］(スル)
１疑わしく思うこと。疑わしく思えること。また、そのさま。「証言に—な点が多い」
「お吉の居ぬを—して何所へと問えば」〈露伴・五重塔〉
２嫌疑を受けること。「—の身」
[派生]ふしんがる［動ラ五］ふしんげ［形動］ふしんさ［名］</t>
        </is>
      </c>
      <c r="D7372" t="inlineStr">
        <is>
          <t>不審そう(7%)；不審な点(3%)；不審な行動；不審がら；不審人物</t>
        </is>
      </c>
      <c r="E7372" t="inlineStr">
        <is>
          <t>妙；不明；変；疑い；疑惑</t>
        </is>
      </c>
      <c r="F7372" t="inlineStr">
        <is>
          <t>ご不審；不審気；不審感；御不審；不審物</t>
        </is>
      </c>
      <c r="G7372" t="inlineStr">
        <is>
          <t>不審船；不審火；不審死；不審尋問；不審庵</t>
        </is>
      </c>
      <c r="H7372" t="n">
        <v>29</v>
      </c>
      <c r="I7372" t="inlineStr">
        <is>
          <t>一家は居住地の住民が不審がる前に頻繁に移住することで知られていた。；前日から姿を見ていなかったのを不審に思った友人によって見つかった。；後述する電話の録音や不審な電話番号からの電話は出ないなどが有効である。；寺伝では薬師如来の胎内仏というが、像種が異なる点がやや不審である。；しかし、市の規約に照らし合わせて不審な点があるのは明らかであった。；不審に思ったミランダだったが、断る理由もないのでその通りにさせた。；本文の正確性を証明する写本が他に無いため、不審な部分も少なくない。；頻繁な通称変更を不審に思った区役所の届け出を受けた捜査で発覚した。；この事件の真相を調べていた記者や政治家が何人も不審死している。；ところが家を買ったその日から、家の中をうろつく不審な影を見つける。；また内部外部の法執行機関への告発者が不審な死を遂げるケースも多い。；シュペーアは挙動不審でかなり傲慢な性格であったと著書に残している。；不審に思いながら外に出ると、根暗ロボット・マーヴィンが待っていた。；出動した事案の大半が、空港内での不審な手荷物を検査する作業である。；行動の不審さから宮田が右眼の異常を危惧するが、本人は否定している。；警戒中のヘリコプターが不審人物を発見するが、犯人を逃がしてしまう。；しかし、撮影が進むにつれ撮影現場で不審な出来事が起こり始めていた。；最近挙動不審な恋人のマーティンの家に忍び込んで調べてほしいという。；景勝卿の上洛が遅れていることについて内府様は御不審をもっています。；私学校徒達はこれを不審に思い、その目的を聞き出すべく警戒していた。；近隣住民によると10日ほど前からU宅付近に不審な車が目撃されていた。；記者章をつけたままビールを飲んでいるところを他の観客に不審に思われ発覚した。；不審に思ったザックが2人の家を訪ねると、そこにはベスの姿があった。；街では彼女に関わった人間は不審な死を遂げる事件が相次いでいた。；まずは石灯籠が下にあるのも見極めずに松の枝を斬った事に不審を抱く。；里香の働きでメデリンは繁盛するが、その行動には不審なところが多い。；第1発見者は、連絡がつかないことを不審に思い、訪問したAの弟だった。；西洋の学問を学んだが、神と神の存在についての不審が芽生え始めた。；嵐の夜、帰宅せぬ父を不審に思った娘が、父の引き出しに日記を発見する。</t>
        </is>
      </c>
      <c r="J7372">
        <f>HYPERLINK("https://www.weblio.jp/content/不審", "词义详情")</f>
        <v/>
      </c>
      <c r="K7372">
        <f>HYPERLINK("https://yourei.jp/不審", "查看例句")</f>
        <v/>
      </c>
    </row>
    <row r="7373">
      <c r="A7373" t="inlineStr">
        <is>
          <t>不振</t>
        </is>
      </c>
      <c r="B7373" t="inlineStr">
        <is>
          <t>成功</t>
        </is>
      </c>
      <c r="C7373" t="inlineStr">
        <is>
          <t>読み方：ふしん
［名・形動］勢い・成績・業績などがふるわないこと。盛んでないこと。また、そのさま。「—な経営を立て直す」「食欲—」</t>
        </is>
      </c>
      <c r="D7373" t="inlineStr">
        <is>
          <t>不振続き；不振ぶり</t>
        </is>
      </c>
      <c r="E7373" t="inlineStr">
        <is>
          <t>沈滞；不活化；惰眠</t>
        </is>
      </c>
      <c r="F7373" t="inlineStr">
        <is>
          <t>食欲不振；経営不振；営業不振；大不振；売り上げ不振</t>
        </is>
      </c>
      <c r="H7373" t="n">
        <v>29</v>
      </c>
      <c r="I7373" t="inlineStr">
        <is>
          <t>上記のような経営不振のため、ワンマンバスが導入されることとなった。；打撃では変化球で外角を突く相手の攻めに対応することができず不振に。；これは、打撃不振に陥っていたこともあるが、政治的な背景があった。；は主力打者の故障や不振が相次ぎ、満足の行く成績を上げられなかった。；第一次世界大戦では柑橘類の輸出不振がバレンシア経済に影響を与えた。；シリーズ化する予定であったが、2作目が興行不振となり打ち切られた。；しかしには打撃不振もあってレギュラーの座を外れ、出場機会も減少。；その後復帰するも打撃不振に陥り二軍で再調整のため再び登録抹消となった。；競技での成績不振と高価格で、市販車のほとんどは売れ残り廃棄された。；長州処分が不振を極める中で幕兵の士気は落ち、幕府の財政は悪化した。；その後は試合に出場せず、不振を理由に8月7日付で契約解除された。；日本での産駒の成績は不振で、2003年にアイルランドへ再輸出された。；しかしこれだけの打力でもカバーできないほど、投手陣は不振を極めた。；ただ実際のところは、食欲不振の発表は嘘、理由付けに過ぎなかった。；は左足に不安を抱えたまま開幕を迎え、前年同様の打撃不振に苦しむ。；金泰均が打撃不振や怪我がありシーズン途中9月に帰国、退団している。；この改正では前述したように、利用不振が続く旅客列車が大幅に削減された。；には近鉄の選手会長に就任したが、打撃不振で中根仁との併用が続いた。；不振の原因を作った鳥嶋和彦の手で直接引導を渡される格好になった。；確実に儲けを確保する以外、いまの構造的な映画不振、凌ぐ道はないやね。；しかし、前年の肩痛が再発したため前半から中盤まで酷い不振に陥った。；デビューシーズンで全くの不振に終わったBARのシーズン最高成績を記録する。；その結果、輸入が急増し輸出は不振となり、貿易赤字が増大していった。；は故障や不振でわずか4試合の登板に終わり、未勝利でシーズンを終えた。；不振が続いた時のブーイングでは、必ずこの名称で呼ばれていた。；この時期揖斐川電気は不況の影響で業績不振であり経営再建中であった。；商業的不振や脚本陣の交替もあって、後半は事実上の路線変更を行っている。；これが健康上の理由だったのか売り上げ不振に責任を感じたのかは、不明となっている。；も開幕から4番を務めたが、前年のような打棒は発揮できず打撃不振に陥った。</t>
        </is>
      </c>
      <c r="J7373">
        <f>HYPERLINK("https://www.weblio.jp/content/不振", "词义详情")</f>
        <v/>
      </c>
      <c r="K7373">
        <f>HYPERLINK("https://yourei.jp/不振", "查看例句")</f>
        <v/>
      </c>
    </row>
    <row r="7374">
      <c r="A7374" t="inlineStr">
        <is>
          <t>夫人</t>
        </is>
      </c>
      <c r="B7374" t="inlineStr">
        <is>
          <t>成功</t>
        </is>
      </c>
      <c r="C7374" t="inlineStr">
        <is>
          <t>読み方：ふじん
１貴人の妻。また、他人の妻を敬っていう語。「—同伴」「令—」「社長—」
２律令制で、皇后・妃の次に位する後宮(こうきゅう)の女性。三位以上の女性から選んだ。ぶにん。
３昔、中国で、天子の后(きさき)や諸侯の妻などの称。ぶにん。</t>
        </is>
      </c>
      <c r="D7374" t="inlineStr">
        <is>
          <t>夫人同伴；夫人連；夫人ええ；夫人宅；夫人邸</t>
        </is>
      </c>
      <c r="E7374" t="inlineStr">
        <is>
          <t>女；女性；妻；室；婦人</t>
        </is>
      </c>
      <c r="F7374" t="inlineStr">
        <is>
          <t>侯爵夫人；男爵夫人；老夫人；ツィマーマン夫人；レーナル夫人</t>
        </is>
      </c>
      <c r="H7374" t="n">
        <v>29</v>
      </c>
      <c r="I7374" t="inlineStr">
        <is>
          <t>そのため息子からは不評で、家での料理は基本的に夫人が担当している。；これは夫人からの選挙応援に差し障りがないようにするためと見られた。；これは日本びいきになっていた夫人の勧めでもあったといわれている。；ルーカスのスパイの情報では、文書が夫人宅にあることが分かっている。；また、連載初期には、野村克也の前夫人との長男が実名で登場している。；夫人は一時期ドイツ社会民主党の地方組織活動に参加していたことがある。；ポトツカ夫人が見舞いに訪れており、病床の彼のために歌を歌っている。；教授はベッドの中にいて、マーカー夫人は家の裏で仕事をしている。；夫人は伯爵が来たら計画がぶち壊しなので何とかやりすごそうとする。；気の強い性格のヴェーラ夫人には生涯頭が上がらなかったと云われている。；マクダ夫人はこれに感謝し、ヒトラーに大変な信頼を寄せることとなる。；夫人は複雑な思いだがスザンナの振りをして彼に従ってついていく。；そのほか夫妻には夫人の娘と、ボリビアから養子に迎えた男児がいる。；しかし、靖国神社の銅像を見た夫人はそっくりであると証言している。；夫人は曲に手を加えないことを条件にこれを認めた。；旧名は吾朗であり、改名は姓名判断に凝っている夫人の勧めで行われた。；この時の大月氏王はかつて匈奴に殺された先代王の夫人で、女王であった。；だがセントクレア夫人が、夫が生きている証拠の手紙が届いたと言ってきた。；大統領もジャクリーン夫人も心から喜んでいる様子であった。；ケネディ夫人とそのご家族の悲しみを全世界が分かち合うものと思う。；ダグラス夫人は、夫が死んだことも気にしていないようだった。；文書を持っているのならばすぐ出しなさいと言うと、ヒルダ夫人は文書を出してきた。；特に後藤には大変入れ込み、後藤の夫人に直接支援の旨を語るほどだった。；ヴァランス夫人はルソーの無事を喜びルソーを引き取ることを決心する。；また、夫人との離婚が成立していたことも併せて報道された。；若松は夫人と共に北海道から上京し、入団発表でも夫人を同伴している。；ここには妹のアッタヴァンティ侯爵夫人がやってきて兄の解放を祈っていた。；後に川端が秀子夫人と結婚し杉並町に家を持つと隣に大宅夫婦も越して来た。；ここで若く美しいポーランド貴族の夫人マリア・ヴァレフスカと出会った。</t>
        </is>
      </c>
      <c r="J7374">
        <f>HYPERLINK("https://www.weblio.jp/content/夫人", "词义详情")</f>
        <v/>
      </c>
      <c r="K7374">
        <f>HYPERLINK("https://yourei.jp/夫人", "查看例句")</f>
        <v/>
      </c>
    </row>
    <row r="7375">
      <c r="A7375" t="inlineStr">
        <is>
          <t>婦人</t>
        </is>
      </c>
      <c r="B7375" t="inlineStr">
        <is>
          <t>成功</t>
        </is>
      </c>
      <c r="C7375" t="inlineStr">
        <is>
          <t>読み方：ふじん
成人した女性。相応の年齢に達している一人前の女性。「—服」「職業—」
→女性［用法］</t>
        </is>
      </c>
      <c r="D7375" t="inlineStr">
        <is>
          <t>婦人たち(6%)；婦人作家；婦人方；婦人用；婦人達</t>
        </is>
      </c>
      <c r="E7375" t="inlineStr">
        <is>
          <t>女；女性；妻；室；夫人</t>
        </is>
      </c>
      <c r="F7375" t="inlineStr">
        <is>
          <t>ご婦人；若い婦人；御婦人；日本婦人；美しい婦人</t>
        </is>
      </c>
      <c r="G7375" t="inlineStr">
        <is>
          <t>婦人会；婦人服；婦人警官；婦人科；婦人公論</t>
        </is>
      </c>
      <c r="H7375" t="n">
        <v>29</v>
      </c>
      <c r="I7375" t="inlineStr">
        <is>
          <t>対象は婦人問題の研究・調査などに実績を示した個人またはグループ。；家が釘づけになつてゐるなどと、見て来たやうなことを言ふ人もあつた。；併しどうもわたしの体の工合はさう云ふ人に一番似てゐるらしいのです。；日本婦人航空協会を設立するなど、戦後も航空分野で活躍した希有な存在。；私は、いつも同じ事をばかり云つてゐると思ふ人があるかもしれない。；この光景を見ていた観客の中には婦人客も多く、また清の皇族もいたという。；家父長制の元で一家の主たりえない婦人、子供、奴隷には課せられない。；力だけで芸術が出来ると思ふ人もあるやうだが、それは大変な間違である。；現在はマウントバーノン婦人協会による信託で所有され維持されている。；夫がとても興味を示したのに対し、老婦人は非常に懐疑的な態度であった。；私でもさうですが、書いて見なければ考へられないと言ふ人があるでせう。；老婦人のもとで育てられたカーレンは、町一番の美しい娘に成長した。；そしてすぐにその新來の人はメイスンさんと云ふ人だといふことを知つた。；この他、月の模様をカニの姿や編み物をする老婦人とみたものがある。；インドで奉仕している時、若い婦人が手紙で宣教の働きについて尋ねた。；そう云ふ人達よりはまだ正直な人々の方がどの位尊敬する価値があるかしれない。；新聞に三匹の猫に食べられてしまった老婦人の話が載っていた。；そのため、婦人標準服とは少し違う個性的なデザインの服も作る人もいた。；さう云ふ人は、人間の智惠の及ぶ限り龜の卵の事を知つて居るであらう。；後にババールの世話をした老婦人は国賓として象の国に受け入れられる。；類似の伝説ではこのゲームは唐末に葉子という婦人が発明したという。；婦人像の腰の上には両手でリンゴを持つ小さな裸の子供がいる。；北原派内には現在も婦人行動隊名義で運動に参加する者もいる。；此場合は間違ふ人もない筈だが、一応は反対論も作つて見ねばならない。；ハツモリは若い婦人が行う地域や、やや年長の婦人が行う地域が有った。；これに対してプラークリットは婦人・子供・地位の低い男性が用いた。；これはGHQの五大改革の第一項目が婦人解放だったことにもよる。；知りたいと思ふ人達の消息は備後の海に沈んだ或る一人を除いて皆分つた。；ある日のこと、公園のレストランで偶然件の婦人が隣に座った。</t>
        </is>
      </c>
      <c r="J7375">
        <f>HYPERLINK("https://www.weblio.jp/content/婦人", "词义详情")</f>
        <v/>
      </c>
      <c r="K7375">
        <f>HYPERLINK("https://yourei.jp/婦人", "查看例句")</f>
        <v/>
      </c>
    </row>
    <row r="7376">
      <c r="A7376" t="inlineStr">
        <is>
          <t>不信感</t>
        </is>
      </c>
      <c r="B7376" t="inlineStr">
        <is>
          <t>成功</t>
        </is>
      </c>
      <c r="C7376" t="inlineStr">
        <is>
          <t>読み方：ふしんかん
信じていない思い。信用できないという気持ち。「政治に対する—」「—がつのる」</t>
        </is>
      </c>
      <c r="D7376" t="inlineStr">
        <is>
          <t>不信感を募らせる；不信感を抱かせる；不信感を抱き始め；不信感を露；不信感をますます</t>
        </is>
      </c>
      <c r="E7376" t="inlineStr">
        <is>
          <t>用心；疑念；警戒心；疑心暗鬼；疑心</t>
        </is>
      </c>
      <c r="F7376" t="inlineStr">
        <is>
          <t>深い不信感</t>
        </is>
      </c>
      <c r="H7376" t="n">
        <v>29</v>
      </c>
      <c r="I7376" t="inlineStr">
        <is>
          <t>それは以前から、彼の中で徐々に育っていた幕府への不信感でもあった。；兄のレフェニュウが少し驚いた表情で見上げた眼には、不信感があった。；この活動は当時の大統領ヴィクトル・ヤヌコーヴィチに不信感を与えた。；あるいはそこまで言わずとも、不信感を抱き始めたことに違いはない。；僕の脳は、一瞬でも僕の心に不信感を持たれてしまったんだからね。；こういう不信感を持っている私をも楽しませてこその、及第点だからね!；この時でもウェインとその部下の兵士の間には不信感が残っていた。；この一件から、悪路の多い日本では独立式への不信感が強くなっていた。；どういうつもりなんだと、エリオットの態度に不信感を募らせていった。；とくに、それが東京の団体だというところに彼の不信感の根があった。；その中には、当初、カトリック関係者に不信感を持っていた松居もいた。；このため島の住人たちは公権力に対して強い不信感を持つようになった。；しかしその内容とは裏腹に、流に対する不信感が言葉には滲み出ていた。；はっきり意識しないにしろ、彼女の心の底には不信感が刷りこまれる。；不信感っていうのは、ないものも見えるし聞こえてしまうものなのよ。；この言葉に彼女が強い不信感を抱いているのが伝わってくる。；近年頻発する警官の不祥事も、母親に不信感を植えつけているのだろう。；ま、何というか、人間全体への不信感が、どんどんつのってゆくんです。；H 警察への不信感を新聞が十分に取り上げてこなかった裏返しではないか。；あなたが威圧してまわった周辺住民たちの感じた恐怖や不信感は?；弁護団にも無力感と、裁判所への不信感が残った判決だったのだろう。；ジョージ1世がトーリーに不信感を持ったため権力はホイッグに移った。；基地にいる一部の人々の心のなかに、不信感が渦巻いているのです。；むしろ、大賢者を名乗る老人に不信感を抱くことを抑えきれないでいた。；あの時代、僕たちは政府に対して強い不信感を抱かずにはいられなかった。；また信長も、自らの好意に応じない天皇に不信感を持つようになる。；そのため、不信感を持ち、あれはディランじゃないとスーザンに告げた。；帝国民の中には皇帝の考えに不信感を持つ者や世界中に拡大する戦争に脅えている者もいる。；しかし木野塚氏が抱え込んだ鬱屈と不信感には、だれが責任を取るのか。</t>
        </is>
      </c>
      <c r="J7376">
        <f>HYPERLINK("https://www.weblio.jp/content/不信感", "词义详情")</f>
        <v/>
      </c>
      <c r="K7376">
        <f>HYPERLINK("https://yourei.jp/不信感", "查看例句")</f>
        <v/>
      </c>
    </row>
    <row r="7377">
      <c r="A7377" t="inlineStr">
        <is>
          <t>不親切</t>
        </is>
      </c>
      <c r="B7377" t="inlineStr">
        <is>
          <t>成功</t>
        </is>
      </c>
      <c r="C7377" t="inlineStr">
        <is>
          <t>読み方：ふしんせつ
［名・形動］親切でないこと。また、そのさま。「—な説明」
[派生]ふしんせつさ［名］</t>
        </is>
      </c>
      <c r="D7377" t="inlineStr">
        <is>
          <t>不親切な言葉</t>
        </is>
      </c>
      <c r="E7377" t="inlineStr">
        <is>
          <t>無愛想；不人情；つれない；いけず；不深切</t>
        </is>
      </c>
      <c r="H7377" t="n">
        <v>29</v>
      </c>
      <c r="I7377" t="inlineStr">
        <is>
          <t>そんな大事なことを一言も僕に教えてくれなかったというのは不親切だ。；自分の不親切さを楽しむだけのゆとりが、いまの私にはあるからである。；また、外国語表記が少なく増加し続ける外国人登山者に不親切であった。；いや、来なかったなんていうと、こっちのことを不親切だと思うかな。；不親切な料理人はよくそうして拵えますが味に大層な違いがあります。；もうすこしアッサリしていて、不親切や害をする質の男ではなさそうです。；一言のもとにその考えを切り捨てるのは、いかにも不親切な気がする。；それは不親切というよりも、彼らはさほど寒いと感じていないからだ。；人に不親切なことを言ったり、したりするような量見は、棄ててしまいたい。；こんな時にどうしたらよいかなど、不親切にも、ものの本に一行も書かれていない。；人は他人の出来事を不親切に弥次半分に取扱ひたがるものですよ。；わたしは生まれてから今日まで、父が怒ったり不親切になったりしたのを見たことがありません。；そうして心の中で、医者も小六も不親切過ぎるように感じた。；が、親切であっても不親切であっても、これだけは言っておきたい。；彼らはそれほど浅薄なまた不親切な人間ではなかったのである。；やっと不親切な女中らしい声が内から出て来た様だ。；彼が不親切だったのではない、若さで一杯だったのだ、若く逞しい愛情で。；一方で伊集院と同様に、プレイヤーに不親切な規制手法が唯一残念な点だとしている。；しかしお前が逃げ切れなかった場合のパターンを考えておいてくれなかったのは、不親切とも言える。；わたしは、この土地をわたしの故郷にしてくれた運命の不親切をうらまずにはおれない。；不親切な返事ではあったけれど、自分への答えでもあった。；先生がたが、みんな不親切な人のように見えたのである。；女子の助成者としての男子は従来余りに不親切では無かつたでせうか。；不親切な態度といふよりは、慣れ切つた心得切つた無造作と見たのである。；けれども矯めがたい不親切や残酷心はまさかにあるまいと信じていた。；するとその男は彼女を恩知らずの不親切者といって、ひどくののしりました。；ただ、それだけでは不親切すぎると彼も考えたのだろう。；今回の私に出された指示は、いつも以上に不親切だった。；アメリカ人の学生が不親切であったわけではない。</t>
        </is>
      </c>
      <c r="J7377">
        <f>HYPERLINK("https://www.weblio.jp/content/不親切", "词义详情")</f>
        <v/>
      </c>
      <c r="K7377">
        <f>HYPERLINK("https://yourei.jp/不親切", "查看例句")</f>
        <v/>
      </c>
    </row>
    <row r="7378">
      <c r="A7378" t="inlineStr">
        <is>
          <t>襖</t>
        </is>
      </c>
      <c r="B7378" t="inlineStr">
        <is>
          <t>成功</t>
        </is>
      </c>
      <c r="C7378" t="inlineStr">
        <is>
          <t>読み方：あお
《「襖」の字音「あう」の音変化》
１両方の脇(わき)をあけたままで、縫い合わせず、襴(らん)のない古代の上着。位階相当の色によるものを位襖(いあお)といい、武官の礼服や朝服に用いた。わきあけのころも。闕腋(けってき)の袍(ほう)。
２《「狩襖(かりあお)」の略》狩衣(かりぎぬ)。
３袷(あわせ)の衣。綿を入れたものもある。襖子(あおし)。</t>
        </is>
      </c>
      <c r="D7378" t="inlineStr">
        <is>
          <t>襖越し；襖障子；襖子；襖戸；襖をそっと</t>
        </is>
      </c>
      <c r="F7378" t="inlineStr">
        <is>
          <t>障子襖；金襖；襖をそっと開け；襖をぴったり</t>
        </is>
      </c>
      <c r="G7378" t="inlineStr">
        <is>
          <t>襖紙；襖落那須語</t>
        </is>
      </c>
      <c r="H7378" t="n">
        <v>29</v>
      </c>
      <c r="I7378" t="inlineStr">
        <is>
          <t>驚きと喜びとで思わず声をかけると、襖はふたたび音もなしに閉じられた。；見ると、間の襖が二尺ばかり開いて、そこにKの黒い影が立っています。；襖を開いて廊下に出で、床に瞳を注いだが、その眼を上げて呼び止めた。；十時頃になって、Kは不意に仕切りの襖を開けて私と顔を見合せました。；なにか怖い夢でも見たのであろうと、お由は襖をあけて次の間へ行った。；と、階子段をあがって来る跫音がして、それが廊下の襖の外に止まった。；余は左右に開かれた襖の間から敷居越しに余の子供を見たのである。；と思いましたものですから、襖のかげにしばらくたたずんでおりました。；まだ中からも襖が開かず、こちらからもこれを押してみようとはしないのです。；するとそこへ襖をあけていきなり顔を出したのは下の部屋にいるM子さんです。；私は室へはいるや否や、今まで開いていた仕切りの襖をすぐ立て切りました。；と云うのは、襖の外に、もう一人品川四郎の声が聞えて来たのである。；女中が襖を開けて髭面の菊池君が初めて顔を出した時の態が、目に浮ぶ。；が、話が終りに近づくに従って彼らはしきりに襖のほうを気にし出した。；彼女は、そしてまたすぐ知られないうちに、自分の部屋に帰って襖を閉じた。；半七は黙ってその返事を待っていると、うしろの襖の外で何かの声がきこえた。；彼は彼女を安心と静けさのなかに置こうとそのまゝ静かに襖を閉じた。；そうしてるうちに、襖の笹の葉模様を見つめている眼の方に注意が向いてきた。；それでいて私はこっちから進んで襖を開ける事ができなかったのです。；襖一重へだてた部屋では、一緒の船だつた、芸者の幾人かの声がしてゐる。；この狸は家の者の見ぬ間には、下手な字で障子襖に皆の棚下しをする。；私はその部屋を急いで横ぎると、又一枚、総のついた襖の金具をひいた。；冷えるというので襖を立てきり、どこからも風も洩れないようにしてある。；彼はたった一人で、薄暗い襖の外で、あらゆる羞恥と憤怒とを経験した。；隣の室と境になった襖がすうと開いて、背の高い女が入って来た。；空の床に離れて、襖をはずした敷居越しに、この家の公娼が眠っていた。；彼の眼にふと開いた襖から鳥渡見えている二階へ通じる階段が映じた。；燭台を蹴倒して、その灯が襖へでも燃え移ったことから始まったらしい。；同時に又襖一重向うに咳一つしずにいる母のお鳥に何か漠然とした不安も感じた。</t>
        </is>
      </c>
      <c r="J7378">
        <f>HYPERLINK("https://www.weblio.jp/content/襖", "词义详情")</f>
        <v/>
      </c>
      <c r="K7378">
        <f>HYPERLINK("https://yourei.jp/襖", "查看例句")</f>
        <v/>
      </c>
    </row>
    <row r="7379">
      <c r="A7379" t="inlineStr">
        <is>
          <t>不正</t>
        </is>
      </c>
      <c r="B7379" t="inlineStr">
        <is>
          <t>成功</t>
        </is>
      </c>
      <c r="C7379" t="inlineStr">
        <is>
          <t>読み方：ふせい
［名・形動］正しくないこと。また、その行為や、そのさま。「—をはたらく」「—な取引」</t>
        </is>
      </c>
      <c r="D7379" t="inlineStr">
        <is>
          <t>不正確(3%)；不正使用(2%)；不正融資；不正利用；不正事件</t>
        </is>
      </c>
      <c r="E7379" t="inlineStr">
        <is>
          <t>罪；科；悪；犯罪；不当</t>
        </is>
      </c>
      <c r="F7379" t="inlineStr">
        <is>
          <t>選挙不正；不正流用；不正防止；不正問題；不正侵入</t>
        </is>
      </c>
      <c r="G7379" t="inlineStr">
        <is>
          <t>不正確；不正解；不正直；不正アクセス；不正選挙</t>
        </is>
      </c>
      <c r="H7379" t="n">
        <v>29</v>
      </c>
      <c r="I7379" t="inlineStr">
        <is>
          <t>それでは何故役人達の不正が一揆の原因とされるようになったのであろうか。；イエス一行の会計係を任されており、不正を行う事が可能な立場にいた。；もちろん実際には出ていない数値で不正に応募することを防ぐためである。；どのくらいの不正が発見されているかは明らかにされていない。；しかし、西側の政府の大半が選挙にあからさまな不正があったと非難した。；敷地は南北に長い不正形で、勾当台公園の3つのゾーンの中で最も狭い。；固定ビット幅の整数フォーマットは明確に不正データを示す方法がない。；与党を支持するロシアに対し、欧米は大規模な不正があったとしている。；一般には出力を利用する側もクロック同期して中間的な不正な出力は無視される。；外国通貨を不正に所持していた疑いで捜査が行われることとなった。；内部統制が機能している会社でも、不正を防止できない可能性をいう。；自衛権は緊急に不正な攻撃を受けた場合に武力を運用する権利である。；太政大臣を除くすべての役人の不正を摘発するのが主な任務である。；また、嘘の情報や特殊な技術等を使ってゲームのソフトを不正に利用しているものもいる。；しかし、所領を支配する奉行の不正が認められ、後に名誉が回復される。；しかし敗北した国民解放運動は選挙に不正があったと批判した。；不正や社会の矛盾を告発したり、知っていたようで知らなかった話を紹介したしていた。；もはやスミスが不正を働いたと信じない者は誰もいなかった。；しかし、天正14年に不正を理由に突然罷免され、その後の消息は不明。；本罪は公正な価格を害し又は不正な利益を得る目的を要する目的犯である。；後にフロストの毒針が不正であることが発覚したため、復帰が認められた。；変造とは、既に存在する物に手を加えてあらたに不正な物を作り出すこと。；このため選挙直後から不正疑惑をめぐって政権を批判するデモが開かれた。；加えて、移民が置かれた状況や不満、不正に注目する作家が増えた。；しかしヒルは、不正を犯した取締役がすぐに再選出されたことを知る。；明治初期に起こった公金不正融資事件に関与し割腹自殺したことで知られる。；たとえ実際に不正横領があったとしても、それを現代風に解釈してはならない。；このような操作は検出が困難であり、不正なソフトウェアを隠しておく効果がある。；普通は自己申告をする必要はないが、不正が疑われる可能性もある。</t>
        </is>
      </c>
      <c r="J7379">
        <f>HYPERLINK("https://www.weblio.jp/content/不正", "词义详情")</f>
        <v/>
      </c>
      <c r="K7379">
        <f>HYPERLINK("https://yourei.jp/不正", "查看例句")</f>
        <v/>
      </c>
    </row>
    <row r="7380">
      <c r="A7380" t="inlineStr">
        <is>
          <t>防ぐ</t>
        </is>
      </c>
      <c r="B7380" t="inlineStr">
        <is>
          <t>成功</t>
        </is>
      </c>
      <c r="C7380" t="inlineStr">
        <is>
          <t>読み方：ふせぐ
［動ガ五（四）］《古くは「ふせく」》
１
㋐敵の攻撃を抑える。敵に侵害されないようにする。「本土への侵攻を—・ぐ」
㋑好ましくないものを、さえぎって中へ入れないようにする。「窓を二重にして寒さを—・ぐ」
２好ましくない事態が生じないようにする。「二次感染を—・ぐ」「混乱を—・ぐ」
[可能]ふせげる</t>
        </is>
      </c>
      <c r="D7380" t="inlineStr">
        <is>
          <t>防ぐべく</t>
        </is>
      </c>
      <c r="E7380" t="inlineStr">
        <is>
          <t>保護；禁止；守る；防衛；邪魔</t>
        </is>
      </c>
      <c r="H7380" t="n">
        <v>29</v>
      </c>
      <c r="I7380" t="inlineStr">
        <is>
          <t>分割する際の乗り間違いを防ぐために以下の方法を用いるところもある。；ただお前さんらに乱暴されるんじゃないかと思って防ごうとしただけだ。；まるで、この二人から襲撃されるのを防ごうとでもするかのようだった。；敵が大きくわめいて右手に握った刀のつかで必死にそれを防ごうとする。；後方担当課長としてはそれはどんなことをしても防がなければならない。；国際連盟はメーメル地方のドイツへの分離を防ぐことができなかった。；また、工場では火花などによる事故を防ぐ目的で使用されることもある。；人間の感覚器官による発見を防ぐための手段は、古くより行われてきた。；事態の悪化を防ごうと、あらゆる手段に訴えて、さまざまな努力をする。；ある復讐者とそれを防ごうとする者達との戦いを描いたアクション映画。；外部からの視線を防ぐため建物の構造的に女湯の配置を考慮する場合もある。；原は不満であったが、内閣崩壊を防ぐためこの役割を果たすこととなった。；全国に広めることで大陸国家への侵攻を防ごうとしたものとみられる。；逃亡を防ぐ目的および督戦のための処置ではないかとの証言であった。；これを防ぐためにICカード化や生体認証の導入などの対策が図られる。；結露を防ぐためには室内の気圧を低く維持することが必要になります。；それの需要の一つは、このムダや不経済を防ごうという処にあるようだ。；一般的な模倣は鳥自身またはその子供が奪われるのを防ぎやすくする。；殴りかかってくるのに、それを防ごうとすればよけいな力が必要になる。；だから俺がいま君を罰するのは、もっと大きい罰を防がんがためである。；誰も自分や子供のために次の数百万人の集団虐殺を防ごうとしない。；その際には陸上から綱を引き転覆を防ごうとする動きも確認されたという。；小男は悲鳴をあげ、持っていた小包みが落ちるのをあわてて防ごうとした。；ホームに上屋はないが、駅正面に雨や雪を防ぐ待合施設が設置されている。；彼はマケドニア軍が川を渡る事を防ごうと棒を北側の川辺に突き刺した。；姉との生活を妨害されることは、なんとしても防がねばならないのだ。；居住用ではなくイベントなどで雨と日光を防ぐためのものである。；しかしなんだろうと彼等のやることはこちらも防がなくてはならない。；ここでは混同を防ぐために一般的な呼称である『SIMカード』とする。</t>
        </is>
      </c>
      <c r="J7380">
        <f>HYPERLINK("https://www.weblio.jp/content/防ぐ", "词义详情")</f>
        <v/>
      </c>
      <c r="K7380">
        <f>HYPERLINK("https://yourei.jp/防ぐ", "查看例句")</f>
        <v/>
      </c>
    </row>
    <row r="7381">
      <c r="A7381" t="inlineStr">
        <is>
          <t>不摂生</t>
        </is>
      </c>
      <c r="B7381" t="inlineStr">
        <is>
          <t>成功</t>
        </is>
      </c>
      <c r="C7381" t="inlineStr">
        <is>
          <t>読み方：ふせっせい
［名・形動］健康に気をつけないこと。健康に悪いことをすること。また、そのさま。「—がたたる」「—な生活」</t>
        </is>
      </c>
      <c r="D7381" t="inlineStr">
        <is>
          <t>不摂生な生活(12%)</t>
        </is>
      </c>
      <c r="H7381" t="n">
        <v>29</v>
      </c>
      <c r="I7381" t="inlineStr">
        <is>
          <t>不摂生をしているらしく、月の裏側から来た人間のような顔をしている。；息子・正行の著書によれば、年齢不相応の不摂生が原因であるという。；結果、不摂生な生活で肥満体型になり、役柄も限定されるようになった。；身体が弱いのにも、生れつきの人と、不摂生から来る場合とがある。；これは特に老人や障碍者や不摂生者のように循環が活気の無いものの病気である。；最近、不摂生がたたって、ちょっと肌が荒れてるだけなんだからね!；彼は鯨が口にあうといって、いくぶん不摂生なほど、鯨が好きだった。；そうだ、王は長いあいだ、げてもの食いの不摂生を続けられてきた。；精神が弱い場合も同様であるが、この方は、「不摂生」が原因であることが多いように思われる。；私の子供がまともだったことを考えると、まあ、日頃の不摂生も相当影響しているようだが。；お母さんの手作りの料理で、彼は不摂生をしていたにもかかわらず、健康を保てていたんでしょう。；それが春の病と呼ばれるもので、不摂生の証みたいなものだ。；かかりつけの医者は不摂生だろうと言うだけである。；不摂生も許しませんからそのつもりで!；この頃は不摂生という点では毎日煙草を十本位喫うことと、食物に良いものがないこと。；ロレンスも日頃不摂生をしているわけではないが、こんな力仕事をする機会はそうそうない。；その間に、僕は病気をぶりかえさせようとして、あらゆる不摂生をやりました。；なお、日々の不摂生を補うための点滴にも定期的に通っていた。；しばらく離れたあと、働く為だけでなく、不摂生な生活を改善するために1991年から1994年の間にも再び滞在した。；そうすれば、例の蟹に殺される前に、不摂生がたたって心臓が破れてくれるかもしれない。；彼は不摂生のためか腰が悪く、家で倒れても人の力を借りなければ立ち上がることもままならない。；女と酒と不摂生と、抑圧された精神とで、家治の脳は久しい前から、低下を告げているのであった。；夫が長年の不摂生がたたって亡くなったとき、大げさな悲嘆を見せない彼女は逆に賞賛された。；そうでなければ成人に多い不摂生からくる消化器の病気。；警察は鵜川重治に話を聞くつもりだったらしいが、当時重治は不摂生から体を壊し入院していた。；不摂生のせいなのか体質なのかは分からないが、顔の皮膚が弛み、輪郭が曖昧になっているのだ。；それは不摂生で人生を短くしているといった意味ではなく、我々が、一日一日を大切に生きていない、一日一日を活かしきっていない、ということを述べているのだという。；医家に厳禁されたこと位ひは生来不摂生な彼であつたから別段に意ともしないのであるが、酒も今では殆んど飲めなくなつてゐた。；トレーニングをおろそかにしているというだけでなく、何らかの不摂生をしていなければこうはなるはずがない。</t>
        </is>
      </c>
      <c r="J7381">
        <f>HYPERLINK("https://www.weblio.jp/content/不摂生", "词义详情")</f>
        <v/>
      </c>
      <c r="K7381">
        <f>HYPERLINK("https://yourei.jp/不摂生", "查看例句")</f>
        <v/>
      </c>
    </row>
    <row r="7382">
      <c r="A7382" t="inlineStr">
        <is>
          <t>伏せる</t>
        </is>
      </c>
      <c r="B7382" t="inlineStr">
        <is>
          <t>成功</t>
        </is>
      </c>
      <c r="C7382" t="inlineStr">
        <is>
          <t>読み方：ふせる
［動サ下一］［文］ふ・す［サ下二］
１下の方に向ける。うつむかせる。また、腹ばいになる。「顔を—・せる」「マットの上に—・せる」
２上や表になる側、開いた側などを下に向ける。また、そのようにして、置く。「カードを—・せて配る」「本を机の上に—・せる」「網を—・せて虫を採る」
３潜ませる。隠す。「物陰に身を—・せる」
４知れ渡らないようにする。隠す。「契約を—・せておく」「名前を—・せる」
５横にする。寝かせる。また、倒す。
「御傍らに—・せ給へり」〈源・帚木〉</t>
        </is>
      </c>
      <c r="D7382" t="inlineStr">
        <is>
          <t>伏せるべき</t>
        </is>
      </c>
      <c r="E7382" t="inlineStr">
        <is>
          <t>隠す；覆う；隠蔽；秘匿；隠匿</t>
        </is>
      </c>
      <c r="F7382" t="inlineStr">
        <is>
          <t>叩き伏せる；捻じ伏せる；たたき伏せる；突き伏せる；押し伏せる</t>
        </is>
      </c>
      <c r="H7382" t="n">
        <v>29</v>
      </c>
      <c r="I7382" t="inlineStr">
        <is>
          <t>あわてて身を伏せると、それはがちゃんと音をたててすぐそばに落ちた。；日本の馬は伏せるように訓練されていないし、睡眠も立ったままである。；もうなにを隠しても無駄だと判断したのか、懺悔するように目を伏せる。；私が一度息をついてベッドの脇に伏せると、ドアが小さくノックされた。；余り毎日見つづけているので極まりが悪く私は頁を伏せることもあった。；フランス兵の大部分は銃火を避けるため歩道の陰に伏せるしかなかった。；内裏での事件であったことから秘密にされ、部外者に詳細は伏せられた。；白い髪と広い額の下で、静かな、光のない目が地面に伏せられていた。；具体的な売上は伏せられたが「決して無視できない数字」であるという。；被害者の名前は伏せられていたが、地元ではこんな風に知っている人も多い。；ぎょっとなった運転手の顔を見たのを最後に、目を閉じて床に伏せる。；誰の判断か知らないが、見事なまでに事件そのものが国民に伏せられていた。；彼は戦場を見まわし、兵を伏せるなら左手の林以外にはないと見た。；日本からの要請は「3年間の派遣」だったが、本人には伏せられていた。；まだ使われていないグラスは、きちんと角皿の上に伏せられている。；その向こうでは一人の青年が、窓に顔を伏せるようにして居眠りをしている。；これは関係者以外には伏せられ、調教は乗り運動 だけに制限された。；戦闘時に伏せるように訓練されている蒙古馬がなんと羨ましかったことか。；それから自分が怒っているのを見られたのが恥ずかしくなったのか目を伏せる。；この瞳で見詰められると、嘘を云った人間は思わず眼を伏せるらしい。；ワニの入った袋を背負った人間が村に帰ると、子が病に伏せっていた。；暖炉の前に置かれた椅子の上には、本が一冊、伏せられた形でのっていた。；「キャーッ」 と悲鳴が起こって、歩いていた人々が次々に床へ伏せる。；彼のような利己的な人間には、その利己を捻じ伏せるための理由付けが。；私は思わず赤くなって目を伏せると、彼女はにっと微笑したように思われた。；ただ一つだけ目を惹いたのは、机の上に伏せられていた一枚の写真だった。；もっともそれは、これまで家族しか知らぬ事実として伏せられてきた。；さてその部屋の中であるが、弁才坊ただ一人、床を延べて伏せっていた。；そうでなくても彦次郎は、衝撃のあまり病床に伏せる日が多くなっていた。</t>
        </is>
      </c>
      <c r="J7382">
        <f>HYPERLINK("https://www.weblio.jp/content/伏せる", "词义详情")</f>
        <v/>
      </c>
      <c r="K7382">
        <f>HYPERLINK("https://yourei.jp/伏せる", "查看例句")</f>
        <v/>
      </c>
    </row>
    <row r="7383">
      <c r="A7383" t="inlineStr">
        <is>
          <t>武装</t>
        </is>
      </c>
      <c r="B7383" t="inlineStr">
        <is>
          <t>成功</t>
        </is>
      </c>
      <c r="C7383" t="inlineStr">
        <is>
          <t>読み方：ぶそう
［名］(スル)戦闘のための装備をつけること。また、その装備。「—した兵士」「核—」</t>
        </is>
      </c>
      <c r="D7383" t="inlineStr">
        <is>
          <t>武装解除(3%)；武装兵；武装ss；武装蜂起；武装擲弾兵</t>
        </is>
      </c>
      <c r="E7383" t="inlineStr">
        <is>
          <t>装備；備える；軍備</t>
        </is>
      </c>
      <c r="F7383" t="inlineStr">
        <is>
          <t>固定武装；主武装；強力な武装；重武装；ss武装</t>
        </is>
      </c>
      <c r="G7383" t="inlineStr">
        <is>
          <t>武装解除；武装親衛隊；武装蜂起；武装組織；武装集団</t>
        </is>
      </c>
      <c r="H7383" t="n">
        <v>29</v>
      </c>
      <c r="I7383" t="inlineStr">
        <is>
          <t>戦闘を目的として作られたディファイアントの武装は非常に強力である。；また、プライザー・マイティの武装も再現されていないものが存在する。；手持ち武装については各機体向けに個別開発されたものを使用している。；また軍用機のうち武装を持つものを戦闘用航空機と呼んで区別する。；実機に近い性能を有することから、高等練習機も武装できるものが多い。；ベース機の各種武装が2倍に増強され、驚異的な砲撃力を獲得している。；いずれも武装はしていても戦闘に及ぶことは稀であった。；また携帯しやすいため補助的な武装としても利用されたと考えられている。；また義持は武装だけでなく、飲酒に対しても厳しい禁止令を出している。；これ以降、本願寺は武装化していき武士勢力との抗争が始まっていく。；最近では非実体弾を射出する各種の武装・装備を銃と呼称する事も増えている。；また国内では戦闘が行われていない非武装地域もある。；武装と防御の配置は実際に建造された物と変わらない。；グワンバン級大型戦艦と比較するとやや小型だが、武装は強化されている。；人類にできる限り協力しているが、それは非武装の形である。；武装は2連装化されたビームガトリングを除きほぼ手が加えられていない。；これらは70門の砲で武装した2隻の護衛艦と合流しようとしていたのである。；自衛隊員の中で階級と制服が指定され、武装して戦闘に従事する要員を指す。；そして3日間で30万人以上のキューバ人が武装し最悪の事態に備えた。；ブルーストーン採掘のためにだけ開発されているため固定武装は無い。；これらに武装や追加燃料タンクを搭載できる条件や搭載数は実機と同じである。；すると、中からすでに成人し、甲冑で完全に武装した女神が飛び出した。；動員されていたフランス兵は武装解除され、武器はドイツに引き渡された。；前作との最大の違いは武装が変更できる点である。；全身に多数の武装を備えているのも特徴である。；この時、ワシントンは武装しての撤退ができるよう交渉している。；加えて、武装し増槽を装備した状態では達成不可能なため実用上の意味がない。；他の部隊や工場労働者も呼応し、その日のうちに武装デモが始まった。；メカゴジラの後継機であることから、武装も類似したものが多い。</t>
        </is>
      </c>
      <c r="J7383">
        <f>HYPERLINK("https://www.weblio.jp/content/武装", "词义详情")</f>
        <v/>
      </c>
      <c r="K7383">
        <f>HYPERLINK("https://yourei.jp/武装", "查看例句")</f>
        <v/>
      </c>
    </row>
    <row r="7384">
      <c r="A7384" t="inlineStr">
        <is>
          <t>不足</t>
        </is>
      </c>
      <c r="B7384" t="inlineStr">
        <is>
          <t>成功</t>
        </is>
      </c>
      <c r="C7384" t="inlineStr">
        <is>
          <t>読み方：ふそく
［名・形動］(スル)
１足りないこと。十分でないこと。また、その箇所や、そのさま。「—を補う」「学力が—だ」「料金が—する」
２満足でないこと。また、そのさま。不満。「対戦相手として—はない」「思いどおりにならず—な顔をする」</t>
        </is>
      </c>
      <c r="D7384" t="inlineStr">
        <is>
          <t>不足気味；不足しがち；不足分；不足がち；不足解消</t>
        </is>
      </c>
      <c r="E7384" t="inlineStr">
        <is>
          <t>低い；貧しい；不十分；不平；欠く</t>
        </is>
      </c>
      <c r="F7384" t="inlineStr">
        <is>
          <t>経験不足；燃料不足；電力不足；予算不足；能力不足</t>
        </is>
      </c>
      <c r="G7384" t="inlineStr">
        <is>
          <t>不足数；不足賃；不足料切手；不足金判決；不足運賃</t>
        </is>
      </c>
      <c r="H7384" t="n">
        <v>29</v>
      </c>
      <c r="I7384" t="inlineStr">
        <is>
          <t>しかし現実には予算人員とも不足して事業を起こせる状態ではなかった。；あるいは時間は午後6時30分とし、燃料不足が原因とする意見もある。；前者としては有用であったが、後者としては能力不足であったと言える。；情報が不足しているため、兵器種の同定には誤りがあることも少なくない。；その他の種については、情報が不足しているため、分類されていない。；小児では身長の伸びの低下によって分泌の不足に気づかれることも多い。；運用は7本でやりくりしていかなければならず、車両不足が発生した。；メガドライブ最初期のソフト不足をカバーするための製品である。；現在ではこれらの病気はビタミン不足による障害だと知られている。；勉強不足のアスカでさえ知っているほど、領土が小さいことで有名。；しかし戦争末期には資源不足から安易な代用品を選択することも多い。；この形は空力的には洗練されていたものの、冷却能力は不足していた。；第二次世界大戦時下のアルミニウムの不足に対応するものでもあった。；また需要に対して発電量が不足する場合は、他の電源に頼ることになる。；しかし、防衛費の不足を理由に、ヨーク公はイングランドに戻ってくる。；糧食不足は、平壌で清軍のものを確保したことにより、当面解消された。；米価の下落や飼料用米への転作などもあり、藁不足が深刻になっている。；一方、紙の原料不足については、特に19世紀には大きな問題となった。；EにはTECOに不足していたランダムアクセス編集機能が搭載されていた。；ただ、基本的に当人の理解しようとする意思や努力が不足しているとする傾向が強い。；WWFジャパンはこの見解に関しては科学的根拠の不足を指摘している。；NINTENDO64では開発の困難さからソフト不足が発売当初から最後まで続いていた。；その後は321系を予定より3編成21両多く投入して車両不足を補った。；能力不足とはいえ、音楽を勉強する機会になったという。；体当たりしなければならないのは、技術不足、相討ちの時だけである。；残金が不足した場合は、新しいカードを使えば引き続き割引を利用できた。；そのような練習不足やモチベーション不足もあり、日本体育大学に敗れた。；フランス国内では飼料が不足し、競走馬の生産も大きな規制を受けた。；利用者の設定に矛盾があったり、環境の機能に不足があれば診断情報を出力する。</t>
        </is>
      </c>
      <c r="J7384">
        <f>HYPERLINK("https://www.weblio.jp/content/不足", "词义详情")</f>
        <v/>
      </c>
      <c r="K7384">
        <f>HYPERLINK("https://yourei.jp/不足", "查看例句")</f>
        <v/>
      </c>
    </row>
    <row r="7385">
      <c r="A7385" t="inlineStr">
        <is>
          <t>付属</t>
        </is>
      </c>
      <c r="B7385" t="inlineStr">
        <is>
          <t>成功</t>
        </is>
      </c>
      <c r="C7385" t="inlineStr">
        <is>
          <t>読み方：ふぞく
［名］(スル)
１主になるものに付き従っていること。また、そのもの。「会社に—する研究所」
２「付属学校」の略。「—の生徒」
３（「付嘱」とも書く）仏語。師が弟子に教えを授け、さらに後世に伝えるよう託すること。付法。</t>
        </is>
      </c>
      <c r="D7385" t="inlineStr">
        <is>
          <t>付属する(16%)；付属肢(2%)；付属病院(2%)；付属物；付属高校</t>
        </is>
      </c>
      <c r="E7385" t="inlineStr">
        <is>
          <t>所属；属する；附属；属す；帰属</t>
        </is>
      </c>
      <c r="F7385" t="inlineStr">
        <is>
          <t>大学付属；付属書；dvd付属；付属dvd；修道院付属</t>
        </is>
      </c>
      <c r="G7385" t="inlineStr">
        <is>
          <t>付属品；付属編成；付属校；付属学校；付属機関</t>
        </is>
      </c>
      <c r="H7385" t="n">
        <v>29</v>
      </c>
      <c r="I7385" t="inlineStr">
        <is>
          <t>途中で作られた付属小学校は、現在の沼津市立第一小学校の前身である。；いわゆる電子ガジェット類に機能の一つとして付属している場合もある。；キャラクターの属性に合わせた色のビーダマが付属する商品が存在する。；さらに、そのような付属肢があっても、それだけでは歩くことは難しい。；また、地域連携研究開発機構には以下の4つのセンターが付属している。；軍人将棋のセットには、このルールを一覧表にしたものが付属している。；芸術ホールには噴水と様々な塑像が設置された小さな公園が付属している。；普通は袖が無いものだが、分割された状態の袖が付属しているものも存在する。；このリリースからは日本語のフォントやインプットメソッドも付属した。；日露戦争の際には、俘虜収容所や付属施設などが一時期設置されていた。；本体付属カードのストーリーとは異なる世界を舞台としている。；確定資金操作は一般会計に当たる一般予算と付属予算で構成される。；また現在販売されているAppleのコンピュータには、標準で付属する。；プリント基板を製作するためのマスク紙が付属されていることがある。；これらは正確には付属ではないが、付属と同じ扱いを受けている。；これは、もともと帝室の宮殿に付属していた植物園を呼んだ名前であった。；この時代、環状道路の外側に市壁が設けられ、宮殿付属教会が建設された。；細長い体には付属物がほとんどなく、頭部の方がとがっているものが多い。；初回盤AおよびBにはそれぞれ収録内容の異なるDVDが付属している。；寺の周辺には無数の付属寺院の子院が建てられ、最盛期には百か院以上を数えた。；付属の塩は普通の塩ではなく、温泉でできた塩を使っている。；また、カバン本体にはレントゲンカメラや顕微鏡の機能も付属している。；付属のマイクに向かって話したことが実際にタイプされる道具。；これらOSに付属するコマンドインタプリタは2つの動作モードを持つ。；ただし、現在既刊に統一された帯・キャッチコピーは付属していない。；この書簡はヴォイニッチがこの手稿を入手したときにも付属していた。；左に見えるのは教会で、さらに左に教会付属の墓地が広がる。；ゲーム作成用にフロッピーをまるごとコピーするツールが付属していた。；多くのOSにはCUIコマンドで操作するクライアントが付属している。</t>
        </is>
      </c>
      <c r="J7385">
        <f>HYPERLINK("https://www.weblio.jp/content/付属", "词义详情")</f>
        <v/>
      </c>
      <c r="K7385">
        <f>HYPERLINK("https://yourei.jp/付属", "查看例句")</f>
        <v/>
      </c>
    </row>
    <row r="7386">
      <c r="A7386" t="inlineStr">
        <is>
          <t>蓋</t>
        </is>
      </c>
      <c r="B7386" t="inlineStr">
        <is>
          <t>成功</t>
        </is>
      </c>
      <c r="C7386" t="inlineStr">
        <is>
          <t>読み方：がい
［常用漢字］　［音］ガイ（慣）　［訓］ふたおおう　かさ　けだし
１上から覆いかぶせる。「蓋世」
２覆い。ふた。かさ。「円蓋・口蓋・頭蓋(ずがい・とうがい)・天蓋・無蓋・有蓋」
３文頭にかぶせて、推測することを表す語。おもうに。けだし。「蓋然性」
[補説] 「盖」は俗字。</t>
        </is>
      </c>
      <c r="D7386" t="inlineStr">
        <is>
          <t>蓋板；蓋石；蓋付き；蓋つき；蓋骨</t>
        </is>
      </c>
      <c r="E7386" t="inlineStr">
        <is>
          <t>上部；ふた；鞘；キャップ；王冠</t>
        </is>
      </c>
      <c r="F7386" t="inlineStr">
        <is>
          <t>鰓蓋；眼蓋；裏蓋；点検蓋；被蓋</t>
        </is>
      </c>
      <c r="G7386" t="inlineStr">
        <is>
          <t>蓋然性；蓋然的；蓋鹵王；蓋延；蓋然</t>
        </is>
      </c>
      <c r="H7386" t="n">
        <v>29</v>
      </c>
      <c r="I7386" t="inlineStr">
        <is>
          <t>蓋付きの箱の両側に長柄が付いており取っ手を渡した構造になっている。；速度計を手前に引くと蓋のように開き、記録紙を交換することができる。；フリントロック式との違いは当たり金と火皿蓋が独立している点である。；また、電動車の床には後述するように整備用の点検蓋が設置されている。；つまみのある蓋つきの容器で、表面にはしばしば結婚の様子が描かれた。；形状は円形が多いが、これは蓋が穴の中に落ちないようにするためである。；専用と言ってもその形状は蓋付きマグカップの大きなものであったりもする。；首都高速道路に蓋をする形で橋に隣接して小規模な公園が設けられている。；しかし、専用の蓋がつく場合には、目的に応じて様々な工夫がされている。；煙室にある通常の煙突は点火時のみ使用し、点火後は蓋で塞がれていた。；駅舎は谷に蓋をするように作られたので、東西からは谷と見てとることが難しい。；移動時には近縁種と同様に蓋を杖のように使って移動する。；多くは竹を切って蓋をしたもので、側面には細長い穴が開いている。；目黒通りが傍を通り、環八通りが渓谷の上に蓋をするように通っている。；中脳蓋は中脳水道の背側部分で左右一対の上丘、下丘の四丘体からなる。；開渠とは、地上部に造られ、蓋掛けなどされていない状態の水路を指す。；移動する事を考えられており、頑丈なハンドルや蓋が付いている物がある。；このガラス瓶入り版の場合、蓋の形状は当初と現在とは一部に差異がある。；中には頭部をヘルメットのように活用して巣穴に蓋をする種もいる。；逆に前者では蓋がないのはその中のものをすぐに消費することを前提としているためである。；蓋のない箱の側面のひとつを取り去った、塵取りのような形状をしている。；瓶の最下層と最上層には塩の層を作り、竹を編んだ蓋をして重石をおく。；左右の鰓蓋の上部に突出した皮弁があり、その部分が紺色になっている。；最初の蓋板の中央には、先端に1対の爪状の棘を備わった生殖肢がある。；それらの問題を解決するべく行われたのが、清渓川覆蓋事業であった。；上部が開放された円筒状のものが一般的で、蓋のあるものと無いものがある。；そのほか椀蓋で半月型に整形したことから名がついたなどの多くの説がある。；蓋が開いていること自体は飛行能力に影響はなかった。；多くはコンクリート張り、又は蓋がされ暗渠となっているものが多い。</t>
        </is>
      </c>
      <c r="J7386">
        <f>HYPERLINK("https://www.weblio.jp/content/蓋", "词义详情")</f>
        <v/>
      </c>
      <c r="K7386">
        <f>HYPERLINK("https://yourei.jp/蓋", "查看例句")</f>
        <v/>
      </c>
    </row>
    <row r="7387">
      <c r="A7387" t="inlineStr">
        <is>
          <t>舞台</t>
        </is>
      </c>
      <c r="B7387" t="inlineStr">
        <is>
          <t>成功</t>
        </is>
      </c>
      <c r="C7387" t="inlineStr">
        <is>
          <t>読み方：ぶたい
１演劇・舞踊・音楽などを行うために設けられた場所。ステージ。「—に上がる」「能—」「回り—」
２1の上で行われる演技や演奏。「晴れの—をつとめる」「一人—」
３小説などで設定された時代や状況など。「近未来を—とする映画」
４腕前を見せる場所。活躍の場所。「世界を—に飛び回る」</t>
        </is>
      </c>
      <c r="D7387" t="inlineStr">
        <is>
          <t>舞台作品；舞台設定；舞台公演；舞台化；舞台出演</t>
        </is>
      </c>
      <c r="E7387" t="inlineStr">
        <is>
          <t>所；場；現場；板；シーン</t>
        </is>
      </c>
      <c r="F7387" t="inlineStr">
        <is>
          <t>初舞台；主な舞台；大舞台；国際舞台；檜舞台</t>
        </is>
      </c>
      <c r="G7387" t="inlineStr">
        <is>
          <t>舞台俳優；舞台上；舞台女優；舞台装置；舞台芸術</t>
        </is>
      </c>
      <c r="H7387" t="n">
        <v>29</v>
      </c>
      <c r="I7387" t="inlineStr">
        <is>
          <t>また、作品の舞台となった場所出身の俳優・女優が出演することもある。；時代劇で数多く製作されているのは、江戸時代を舞台にした作品である。；ブランドは出演した複数の舞台で不安定で反抗的なパターンを確立した。；そのため、舞台の一部をネット配信するなどの新たな試みも行っている。；一般に俳優ひとりが欠けるだけでも舞台や撮影が成立しなくなってしまう。；物語の舞台は大阪などに移り、次は気象予報士になるための勉強を開始。；舞台背景も重視されず、謎を成立させるために非現実的な設定の作品もある。；また、神話上の人物を現代を舞台にした小説に登場させることもよくある。；作中には関東地方及び神奈川県を舞台とするような描写が描かれている。；しかし70歳代になってもテレビや映画や舞台の出演は続けていた。；九州某県を舞台にした戦いはやがて海を越えて世界にまで飛び火する。；舞台で上演するほかに、映画としても数多くのミュージカル作品がある。；ロンドンの舞台に立つのは40年ぶりのことであり、これが最後となった。；また、この時期のバーグマンはいくつかの舞台作品にも出演している。；主に横浜が舞台になっているが、実際には神戸など日本各所で撮影された。；江戸東京たてもの園は、企画当初から作品の舞台とされていた場所である。；一部のスポーツ中継や音楽・舞台中継などでは生放送も行われている。；リブレットはフランス語で書かれているが、物語の舞台はスペインである。；また姓を持たず氏のみを持つ非族長層も社会の表舞台に立つようになっていった。；さらに宮崎は、作品の舞台を江戸東京たてもの園にすることを提案した。；物語の舞台は30年ほど先の未来と、さらに先の未来の2つの時代である。；その後、ナポレオン戦争時代を舞台にしたシリーズの連載を開始した。；これはギムナジウムを舞台にした萩尾望都にそっくりの作品であった。；二人がタイトル戦の舞台で顔を合わせたのは、これが最後となった。；その後も舞台でエンタツ・アチャコのコンビが復活することはなかった。；作品の舞台や内容も、より「現実の過酷さ」に近付いた形となっている。；人類史のどの段階で初めて舞台が現れたかは、はっきりとは分かっていない。；舞楽が演じられる際には、その中にさらに3間四方の敷舞台が置かれた。；この年は国際舞台でその強さを証明することに成功した。</t>
        </is>
      </c>
      <c r="J7387">
        <f>HYPERLINK("https://www.weblio.jp/content/舞台", "词义详情")</f>
        <v/>
      </c>
      <c r="K7387">
        <f>HYPERLINK("https://yourei.jp/舞台", "查看例句")</f>
        <v/>
      </c>
    </row>
    <row r="7388">
      <c r="A7388" t="inlineStr">
        <is>
          <t>双子</t>
        </is>
      </c>
      <c r="B7388" t="inlineStr">
        <is>
          <t>成功</t>
        </is>
      </c>
      <c r="C7388" t="inlineStr">
        <is>
          <t>読み方：そうし
ふたご。双児(そうじ)。</t>
        </is>
      </c>
      <c r="D7388" t="inlineStr">
        <is>
          <t>双子姉妹；双子兄弟；双子縞；双子ユニット；双子みたい</t>
        </is>
      </c>
      <c r="E7388" t="inlineStr">
        <is>
          <t>双生児；二子；双生子</t>
        </is>
      </c>
      <c r="F7388" t="inlineStr">
        <is>
          <t>双子怪獣；双子古墳；双子塔；双子橋</t>
        </is>
      </c>
      <c r="G7388" t="inlineStr">
        <is>
          <t>双子都市；双子座；双子山；双子葉類；双子素数</t>
        </is>
      </c>
      <c r="H7388" t="n">
        <v>29</v>
      </c>
      <c r="I7388" t="inlineStr">
        <is>
          <t>この二人は双子だが、性格・性別の異なるそれぞれを一人で演じ分けた。；両親が働いていたロンドンで生まれ、7分後に生まれた双子の妹がいる。；双子地球とはただ一つの点を除いて地球とすべてが同じ惑星である。；ある人物が空から落ちてきた双子の赤ちゃんを見つけたところから始まる。；ユニット名は2人がよく似ていることに由来するが、実際の双子ではない。；最初は中心に双子を繋ぐ核部があり、そこから光弾を出して攻撃する。；結婚をしていて長男と長女がいるがその長男と長女は双子産まれである。；長年の恋人であるリンゼイ・モリスとの間に男女の双子の子供がいる。；このように強く関連する2つの類似物が象徴するのは双子である。；その後双子の兄ジュノの広告撮影場に兄の応援に訪れ、家族愛を見せた。；このことの説明はパトナム自身の双子地球の思考実験に示されている。；新之助に瓜二つの彼は、実は生まれてすぐ引き離された双子の弟だった。；この双子を通りかかったファウストゥルスが見つけ、家へと連れて帰った。；ところが、一定の範囲に2本のブナが双子のように生えている場合がある。；エリー湖の湖上戦で使用された双子のブリッグであるとはスノーである。；そこへ爵位を継いだ双子の兄ローレンスが病に倒れたと言う知らせが届く。；シルウィアは双子を産み落とすが、怒った叔父の王は双子を川に流した。；双子の兄であり、弟のルパートがいたが2020年に自殺によって死去。；イングリッド・バーグマンと結婚しており、彼女との間には双子の娘がいる。；架空の物語では、大きく分けて3つの意図から双子を登場させることが多い。；この場合は双子であっても近親相姦とは考えない傾向があった。；いなくなった海を探しに浜辺に出た琉花は、海の双子の兄、空とも出会う。；一方、ソラの双子の妹であるナミの心にも、ある想いが秘められていた。；また、双子兄弟がプロ野球選手になった例としては以下の例がある。；こうして生まれたのが双子の兄弟フンアフプーとイシュバランケーである。；よく知られ、以前からあるブランドで、双子のマークで有名である。；ヌルシアのベネディクトゥスの姉妹で、伝承によると双子の妹と言われる。；ただ一つ明らかな点は2人が非常によく似ていることで、これは双子の象徴である。；昔から絵を描くことが好きで、双子の姉に喜んでもらうために毎日漫画を描いて見せていたという。</t>
        </is>
      </c>
      <c r="J7388">
        <f>HYPERLINK("https://www.weblio.jp/content/双子", "词义详情")</f>
        <v/>
      </c>
      <c r="K7388">
        <f>HYPERLINK("https://yourei.jp/双子", "查看例句")</f>
        <v/>
      </c>
    </row>
    <row r="7389">
      <c r="A7389" t="inlineStr">
        <is>
          <t>不確か</t>
        </is>
      </c>
      <c r="B7389" t="inlineStr">
        <is>
          <t>成功</t>
        </is>
      </c>
      <c r="C7389" t="inlineStr">
        <is>
          <t>読み方：ふたしか
［形動］確かではないさま。あやふや。不確実。「—な記憶」</t>
        </is>
      </c>
      <c r="D7389" t="inlineStr">
        <is>
          <t>不明；不安定；怪しい；危ない；疑わしい</t>
        </is>
      </c>
      <c r="H7389" t="n">
        <v>29</v>
      </c>
      <c r="I7389" t="inlineStr">
        <is>
          <t>あの不確かな国の混乱した風景を見渡せるような真実の丘はありません。；そこで文が質に勝つて、いよいよ以て不確かな記述が出て來るのである。；日蓮が不確かな情報を仄聞して記録した可能性もあると考えられている。；その後、効用から個人の不確かな参照点へと研究の中心が移っていった。；この不確かな人生においては、いつ何が起こるかわかったものではない。；ここまで多くの飢饉が発生した理由は不確かな降雨と頻繁な旱魃による。；当時、その存在は知られていたが、その起源と性質は不確かであった。；そのような根本的な運用が成功するかどうかは不確かなままである。；不確かな国境を通過して一リーグほど進み、食事のために道からはずれた。；僕の歩調はアスファルトの上で不確かな運命を追っているように思われた。；不確かな道を長距離乗る必要があるため、滑らかな歩様の馬が好まれた。；だからどんな事柄に関してでも、約束はいつも不確かに条件付にしておく。；たった一晩でこんなにも変わってしまうのだ、自分という不確かな男は。；そのような超重元素の原子核が自然に生成されるかどうかも不確かである。；明確に記されていて、けっして不確かな言いまわしなんかじゃないのだ。；それに、いま家にいるかどうか、それさえ不確かなくらいですからね。；それに、あの事務所に、現金が置いてあるのかどうかも、不確かである。；しかし、その確証がなかなか得られず、不確かなままで放置されていた。；語源は不確かだが、ドイツ語のKuchenと関連すると見られている。；科学的な根拠は不確かで、陰陽道由来とされるものの出典は曖昧である。；ミスリルそのものの存続さえ、すでに不確かなものとなっているのだから。；白く靄がかかったように不確かではあるが、瞳が光を取り戻していた。；彼らは科学を不確かな物の上に作り上げて、それによって欺かれている。；ラモスは彼女の不確かな心をすばやくキャッチして、説明を求めてきた。；僕は頬に笑みを浮かべて、君の不確かな気持ちを優しく包むように話した。；ダ・シルヴァ嬢は静かに立って、やや不確かな足どりで扉の方へ行った。；だが、そういう不確かな場所こそ学問の立ち向かう場所だったはずである。；今川とても解ったような気がするだけで、それは常に不確かなものである。；HD 140283の年齢は更に不確かさを引き下げる事が可能である。</t>
        </is>
      </c>
      <c r="J7389">
        <f>HYPERLINK("https://www.weblio.jp/content/不確か", "词义详情")</f>
        <v/>
      </c>
      <c r="K7389">
        <f>HYPERLINK("https://yourei.jp/不確か", "查看例句")</f>
        <v/>
      </c>
    </row>
    <row r="7390">
      <c r="A7390" t="inlineStr">
        <is>
          <t>再び</t>
        </is>
      </c>
      <c r="B7390" t="inlineStr">
        <is>
          <t>成功</t>
        </is>
      </c>
      <c r="C7390" t="inlineStr">
        <is>
          <t>読み方：ふたたび
１同じ動作や状態を繰り返すこと。副詞的にも用いる。「—の来訪」「—過ちを犯す」
２二番目。二度目。
「—の御祓(はら)へのいそぎ」〈源・葵〉</t>
        </is>
      </c>
      <c r="D7390" t="inlineStr">
        <is>
          <t>再び現れる；再び地方官；再び眠り；再び会う；再び現われ</t>
        </is>
      </c>
      <c r="E7390" t="inlineStr">
        <is>
          <t>また；さらに；又；もう一度；ふたたび</t>
        </is>
      </c>
      <c r="F7390" t="inlineStr">
        <is>
          <t>再び薔薇；再び中書舎人；再び国有鉄道籍；再び一軍バッテリーコーチ；再びnbaファイナル</t>
        </is>
      </c>
      <c r="H7390" t="n">
        <v>29</v>
      </c>
      <c r="I7390" t="inlineStr">
        <is>
          <t>しかし現在は再び東欧やドイツなどからの学生の流入が多くなっている。；この作品でブランドは俳優兼監督のアーサー・ペンと再び仕事をした。；再び病気が悪化したという理由もあるが、政治家を目指したからでもある。；平成時代に日本は独自で軍事的に再び海外に進出するようになった。；最後は下関駅の先で海の下に潜って、再び地上に出るとそこは九州である。；金管が第1主題の動機を繰り返して再び激しくなるところから展開部。；ここを出るとすぐに国道309号と立体交差して再び地上区間となる。；この頃ウィトゲンシュタインは再び自殺を考えるようになっていた。；ストーンズは過去に発表した作品が再び1位を獲得した初のバンドとなった。；トランプが再び盛んに行われるようになるのは明治時代になってからである。；の都市計画理論は、再び理想的な都市形態を論ずることが多くなってきた。；その後、SRCにより遺跡公園の地下に運ばれ、再び長い眠りについた。；また、ディーリアスはハンス・ジットからの指導も再び受け始めていた。；そして再び次の反応のために基質を取り込み、目的の物質を生成し続ける。；しかし宣王も後半期には政治に倦むようになったために再び衰退する。；以降、解散などのアナウンスもないまま、YMOは再び活動を停止する。；画像は1854年に再び日本を訪れて横浜に上陸したペリー一行を描いたもの。；また、当時と同じ条件なら再びイラク侵攻をするだろうとも述べた。；糖尿病悪化の影響もあり、1990年になって心臓の状態は再び悪化。；英祖の晩年になると、水面下で行われていた党争は再び表面に現れて来る。；さらに石山本願寺も再挙兵するなど、再び反信長の動きが強まり始める。；約1年後、再び腹部に強い痛みを覚え検査を受け腸閉塞と診断され入院。；再び戦闘画面にステージ数が表記されなくなった。；しかしピエールらごく一部は生き延び、第1回十字軍へと再び参加した。；人口の増加も見られており、現在では再び地価が上昇している。；太地が再び捕鯨の町となるのは25年ほど経った日露戦争後のことである。；頃始まった大恐慌の影響を受けて、野球の人気は再び下降を始めた。；その後は再び直線が続き福岡市東区に入った直後に福工大前駅へ到着する。；カーブを抜けてすぐのところにある北飯能信号場から再び複線となる。</t>
        </is>
      </c>
      <c r="J7390">
        <f>HYPERLINK("https://www.weblio.jp/content/再び", "词义详情")</f>
        <v/>
      </c>
      <c r="K7390">
        <f>HYPERLINK("https://yourei.jp/再び", "查看例句")</f>
        <v/>
      </c>
    </row>
    <row r="7391">
      <c r="A7391" t="inlineStr">
        <is>
          <t>豚肉</t>
        </is>
      </c>
      <c r="B7391" t="inlineStr">
        <is>
          <t>成功</t>
        </is>
      </c>
      <c r="C7391" t="inlineStr">
        <is>
          <t>読み方：とんにく
豚の肉。ぶたにく。</t>
        </is>
      </c>
      <c r="D7391" t="inlineStr">
        <is>
          <t>豚肉料理；豚肉加工；豚肉以外；豚肉食；豚肉価格</t>
        </is>
      </c>
      <c r="E7391" t="inlineStr">
        <is>
          <t>豚；ポーク</t>
        </is>
      </c>
      <c r="F7391" t="inlineStr">
        <is>
          <t>銘柄豚肉</t>
        </is>
      </c>
      <c r="G7391" t="inlineStr">
        <is>
          <t>豚肉の塩漬け</t>
        </is>
      </c>
      <c r="H7391" t="n">
        <v>29</v>
      </c>
      <c r="I7391" t="inlineStr">
        <is>
          <t>豚肉を糸で縛るところから始めて、うんと本格的なのを作ったんだから。；中国や台湾では豚肉を使うことが多いが、鶏肉・牛肉を使うものもある。；かれらは小屋から豚肉やパンを持ちだして、朝食のしたくをしているのだ。；豚肉を生産することが主な目的であり、現代では畜産の一分野である。；インドでは珍しく豚肉の消費が盛んで、リングィーサなども食べられる。；坂部先生が買ってきた二キロの豚肉がみんなの眼裏に残っている。；国際的には豚肉がほとんどであるが、熊や犬の肉が原因となることもある。；ことに豚肉は特別な儀式の時しか供されない御馳走だから大変な人気だった。；イスラム教の勢力地域であるため、食事はハラールで豚肉は避けられる。；決まったレシピはなく、豚肉ではなく牛肉や鶏肉が使われることもある。；豚肉などと一緒にバナナの葉に包み、焼いたり蒸したりする料理もある。；今日では薩摩鶏が入手困難であることから、豚肉を用いることが多い。；流通している肉は、牛肉が最も多く安価であり、豚肉の方が高価である。；豚肉には皮や皮下脂肪の部分も混ぜ、ゼラチン分が含まれるようにする。；牛肉、豚肉、羊肉と並んで世界で日常的に食用にされる肉の一つである。；今日この日のために、値段の張る豚肉を持ってきた人間がいるとは思えない。；母親の手には塩がこわばりつき、生の豚肉から出る汁で桃色になっていた。；牛肉でも豚肉でも一日三度の食事のうち一度は必ず食膳に上らせた。；以前は豚肉を使わずに、具を野菜だけとすることも普通であった。；イスラームやユダヤ教などでは、豚肉と同様にイノシシの肉も食べない。；馬肉の部位の名称とその特徴は、牛肉や豚肉のそれと大きなずれはない。；なお子牛の取引の価格は高く、豚肉と卵の生産は近年概して変化していない。；豚肉の代わりに鶏肉が用いられたり、筍などが加えられる場合もある。；といいますのも、あの方、煮た豚肉以外はお好きでないそうなので。；豚トロとは、豚肉の肉の部位で、豚の頬から肩のネック部分の肉を指す。；巨大な国とその軍隊が消費する農作物や豚肉の生産に追われていたのは少女の住む村も同じことだ。；ここには主に常連が本日の特別料理や、豚肉料理を食べにくるのだ。；豚肉はもちろん、豚から作られている調味料や食材も同様に使用されない。；十年前にスーパーで特定の豚肉を買った人の住所を探しだすよりも困難だ。</t>
        </is>
      </c>
      <c r="J7391">
        <f>HYPERLINK("https://www.weblio.jp/content/豚肉", "词义详情")</f>
        <v/>
      </c>
      <c r="K7391">
        <f>HYPERLINK("https://yourei.jp/豚肉", "查看例句")</f>
        <v/>
      </c>
    </row>
    <row r="7392">
      <c r="A7392" t="inlineStr">
        <is>
          <t>負担</t>
        </is>
      </c>
      <c r="B7392" t="inlineStr">
        <is>
          <t>成功</t>
        </is>
      </c>
      <c r="C7392" t="inlineStr">
        <is>
          <t>読み方：ふたん
［名］(スル)
１荷物を肩や背にかつぐこと。また、その荷物。
２義務・責任などを引き受けること。また、その義務・責任など。「費用は全員で—する」
３力量を超えて重すぎる仕事や責任。重荷。「—にならない程度の寄付」</t>
        </is>
      </c>
      <c r="D7392" t="inlineStr">
        <is>
          <t>負担すること(3%)；負担額；負担分；負担割合；負担金</t>
        </is>
      </c>
      <c r="E7392" t="inlineStr">
        <is>
          <t>心配；容疑；負荷；装填；重荷</t>
        </is>
      </c>
      <c r="F7392" t="inlineStr">
        <is>
          <t>自己負担；大きな負担；費用負担；財政負担；全額負担</t>
        </is>
      </c>
      <c r="G7392" t="inlineStr">
        <is>
          <t>負担重量；負担金；負担増</t>
        </is>
      </c>
      <c r="H7392" t="n">
        <v>29</v>
      </c>
      <c r="I7392" t="inlineStr">
        <is>
          <t>上から背中の横の部分を持つか、胸の小さい方の角を持つと負担が少ない。；運営費は自治体負担のため、完成後稼働していない施設・処理場が多い。；物体の変形や破壊などに対する負担の大きさを検討するのに用いられる。；これらの報告を受けた北海道は財政負担の低いほうを選ぶとバス転換を主張。；一方では、受益と負担の関係が明確であることを評価するものもある。；これにより百姓らが負担していた兵役の任務はほぼ解消されることとなった。；ホテルへの派遣の場合、宿泊費や飲食費等は一般に客側の負担となる。；患者の負担は比較的軽い検査であり、病気のスクリーニングに用いられる。；現在の日本ルールでは、6目半を先手の黒が負担しなければならない。；捕手よりも負担の少ない外野にすれば、打撃が生きるだろうと考えたのだ。；それに加え用途の限られる拳銃弾の補給は兵站への余分な負担となる。；家族に過度な負担をかけるため少子化の弊害が深刻化するとの意見がある。；開業後の輸送状況も好調であったことから、経営面でも負担にはならなかった。；建設費3億7000万円全額を地元が負担して建設された請願駅である。；駅の設置で一番の問題となったのが工費の負担と蒸気機関車への水の供給である。；とはいえ拳銃を携行するのは負担になるため必要な任務に限られることが多い。；糸魚川市が建設費1300万円を全額負担して建設された請願駅である。；よって、馬にかかる負担を考慮すれば出走可能な競走は大きく限定されることになった。；跨線橋両端には横浜市の負担でエレベーターが1基ずつ設けられている。；負担の厳しさから死亡したり逃亡したりする衛士も少なくなかった。；しかし、100億円ともされる事業費の負担問題から実現していなかった。；その時より、土地代の負担緩和のために商業施設の建設が模索され始めた。；第一次世界大戦を戦い抜くことは、イタリア経済に重すぎる負担となっていた。；社会保障は高福祉高負担の立場を欧州の社会民主主義政党が掲げてきた。；このような急激な日本侵攻準備は、元に大きな負担をもたらすものであった。；つまりいわゆる速歩を行うものでありジョギングと比べて膝への負担が少ない。；また重量のためタイヤに負担がかかり頻繁に交換が必要だという。；なお、駅名改称に関する費用は日本大学が負担されたとされている。；芝の継ぎ目に当たれば大怪我することになるし、足への負担が大きい。</t>
        </is>
      </c>
      <c r="J7392">
        <f>HYPERLINK("https://www.weblio.jp/content/負担", "词义详情")</f>
        <v/>
      </c>
      <c r="K7392">
        <f>HYPERLINK("https://yourei.jp/負担", "查看例句")</f>
        <v/>
      </c>
    </row>
    <row r="7393">
      <c r="A7393" t="inlineStr">
        <is>
          <t>普段</t>
        </is>
      </c>
      <c r="B7393" t="inlineStr">
        <is>
          <t>成功</t>
        </is>
      </c>
      <c r="C7393" t="inlineStr">
        <is>
          <t>読み方：ふだん
［名・形動］
１とだえないで続くこと。また、そのさま。「—な（の）努力」
２決断力に乏しいこと。また、そのさま。「優柔—」
３（「普段」とも当てて書く）日常のこと。副詞的にも用いる。平生(へいぜい)。いつも。「—の心がけ」「—から注意している」「—テレビはあまり見ない」
→普通［用法］
［アクセント］1・2はフダン、3はフダン。</t>
        </is>
      </c>
      <c r="D7393" t="inlineStr">
        <is>
          <t>普段通り；普段どおり；普段あまり；普段以上；普段使わ</t>
        </is>
      </c>
      <c r="F7393" t="inlineStr">
        <is>
          <t>普段よりずっと；普段ならともかく；普段おとなしい；普段滅多；普段バラエティ番組</t>
        </is>
      </c>
      <c r="G7393" t="inlineStr">
        <is>
          <t>普段の生活；普段使い</t>
        </is>
      </c>
      <c r="H7393" t="n">
        <v>29</v>
      </c>
      <c r="I7393" t="inlineStr">
        <is>
          <t>その意味では無関係ではないが、普段それが意識されることはまずない。；・・・普段は顔を見せないくせに、手紙と来たら何万字も書くんだな。；特に大型家電製品の裏側など普段目にされない場所などに発生しやすい。；広大な敷地をもつことから普段からヒッピーたちはよくここにつどった。；普段内村がほとんど料理をしない事もあり南原は本気で悔しがっていた。；普段は命令を待っているといい、命令以外のことはしようとしない。；物事の由来や普段紹介されることのなかった隠れた事実を紹介する。；普段ドラえもんが出す当道具は無味だが、味付きバージョンも存在する。；一方でベレー帽は普段は着用せず取材のときだけかぶっていたとの証言もある。；普段は脳科学やそれに関連するテーマである人工知能などを研究している。；事の由来や普段紹介されたことのない隠れた事実を紹介する。；カレーパンマンと同じく普段はどのような生活をしているかは不明。；普段は単独で行動し、他の個体と出会うのは通常は交尾のためだけである。；普段の発言と異なり、翼賛的な風潮があると判断した場合は批判的になる。；普段は地球人に存在が悟られないように体を透明あるいは擬態している。；出演者は能力の限界を試され、普段出さない自分の姿を出させられている。；普段は人間として暮らしているが、その正体は鳥状の姿をしている。；髪を逆立てているが、これは戦う時だけで普段は髪を下ろしている。；拳銃を所有しているが、普段は携行しておらず、滅多に撃つことはない。；普段は人間として働いている為、戦闘の際に全員出撃出来ないこともある。；ただ、不動状態のときの姿勢は普段の姿勢とは異なる不自然な姿勢である。；普段は丁寧な言葉遣いで話すが、初期頃は普通に話すことが多かった。；改札口は普段は閉められており、電車が来た時に駅員が開けて改札する。；バスは普段は高安山に常駐しており、格納庫や給油所も設置されている。；そのような中、普段は寡黙と言われ、盆栽が趣味と紹介されたことがある。；普段は神はいないため社の必要はなかったのである。；普段の歌番組では歌手同士とあまり交流はないそうで世間話などもないという。；普段は帽子として使用でき、中に入る際には中央のボタンを押して巨大化させる。；これは大学受験の必要がないことや普段は週6日制を採用していることにもよる。</t>
        </is>
      </c>
      <c r="J7393">
        <f>HYPERLINK("https://www.weblio.jp/content/普段", "词义详情")</f>
        <v/>
      </c>
      <c r="K7393">
        <f>HYPERLINK("https://yourei.jp/普段", "查看例句")</f>
        <v/>
      </c>
    </row>
    <row r="7394">
      <c r="A7394" t="inlineStr">
        <is>
          <t>普段着</t>
        </is>
      </c>
      <c r="B7394" t="inlineStr">
        <is>
          <t>成功</t>
        </is>
      </c>
      <c r="C7394" t="inlineStr">
        <is>
          <t>読み方：ふだんぎ
１日常、家で着ている衣服。
２（比喩的に）気取ったり気がねをしたりせず、のんびりとくつろげること。「—のおつきあい」</t>
        </is>
      </c>
      <c r="D7394" t="inlineStr">
        <is>
          <t>普段着姿(4%)</t>
        </is>
      </c>
      <c r="E7394" t="inlineStr">
        <is>
          <t>私服；カジュアル；平服；ラフな服装；カジュアルな服装</t>
        </is>
      </c>
      <c r="H7394" t="n">
        <v>29</v>
      </c>
      <c r="I7394" t="inlineStr">
        <is>
          <t>母が無理をしてくれたことはわかっていたし、月子は普段着だったから。；私は居職の女なので、普段着にはかなり手を抜いていたといってもよい。；そして、普段着よりも少しだけ気を使った服装の公恵が笑顔で出てきた。；こんな巫女装束を普段着な感じで着こなしているのも謎といえば謎だが。；普段着に替えたら、あなたも違ったことをいってくれるかもしれないし。；服装が普段着に変わっていたけれど、浅見にはひと目で彼女が分かった。；几帳からすこし奥に入ったところに、ふだん着で立っている女人がいた。；そして今のリウイは普段着だから、魔術師ではなく戦士に見えるはずだ。；御秘蔵はふだん着て膝がぬけてしまうと残念のようでもあるでしょう。；驚くべきことにこれが彼女の普段着であり、中学校へ行くときもこの姿である。；彼女は普段着ではあるが、流行の、なかなか趣味のある服装をしていました。；男性用と女性用の和服のそれぞれに、正装・普段着・その間の服がある。；牧子は肌襦袢と湯文字だけになって、押入れのふだん着をとりに行った。；志保子もブラウスの上にカーディガンを羽織った普段着で家を出てきた。；そしてまだ普段着のままなのを全く忘れているようだった。；玄関ホールに入ると、普段着の若い黒人が笑みをうかべて立っていた。；彼女はコートの下には、ふだん着らしいニットのブラウスだけを着ていた。；そのままの普段着で両親の家へ、急行に乗って、と彼は涙の中に決心していた。；しかし二人は、普段着のまま乗れるタクシー船で渡るほうを選んだ。；ふだん着からその人の匂いが、じかに鼻に来るように、生活の匂いがします。；スーツではなく、普段着の今井はあの時よりも無防備になっているようだ。；その外出着を、彼女は店で普段着に着替えて三鷹に行ったのだろうか。；もし就寝中に襲われることを想定して、いつもの普段着の方がいいだろうと言うのだ。；人間ではいえば年齢は35歳であるが普段着はミニスカートである。；私がふだん着のままテーブルにつくと、目の前にはカメラを持った何十人かの記者団。；その日、患者たちが最も感激したのは普段着姿の看護婦たちだった。；ふたたび、なつかしい、ふだん着のままの英国を感じることができたのだ。；また、普段着の様な緑色のパーカー姿で登場することも稀にある。；来る客もさう改まつたなりではなく、ふだん着の儘で踊つてゐる者もある。</t>
        </is>
      </c>
      <c r="J7394">
        <f>HYPERLINK("https://www.weblio.jp/content/普段着", "词义详情")</f>
        <v/>
      </c>
      <c r="K7394">
        <f>HYPERLINK("https://yourei.jp/普段着", "查看例句")</f>
        <v/>
      </c>
    </row>
    <row r="7395">
      <c r="A7395" t="inlineStr">
        <is>
          <t>縁</t>
        </is>
      </c>
      <c r="B7395" t="inlineStr">
        <is>
          <t>成功</t>
        </is>
      </c>
      <c r="C7395" t="inlineStr">
        <is>
          <t>読み方：えに
《「えん（縁）」の「ん」を「に」で表記したもの》えん。ゆかり。ちなみ。和歌では「江に」に掛けて用いることが多い。
「みをつくし恋ふるしるしにここまでもめぐり逢ひける—は深しな」〈源・澪標〉</t>
        </is>
      </c>
      <c r="D7395" t="inlineStr">
        <is>
          <t>縁種(3%)；縁取り(2%)；縁取ら；縁部；縁なし</t>
        </is>
      </c>
      <c r="E7395" t="inlineStr">
        <is>
          <t>家；間；際；関係；側</t>
        </is>
      </c>
      <c r="F7395" t="inlineStr">
        <is>
          <t>前縁；後縁；林縁；全縁；法縁</t>
        </is>
      </c>
      <c r="G7395" t="inlineStr">
        <is>
          <t>縁起；縁談；縁者；縁故；縁戚</t>
        </is>
      </c>
      <c r="H7395" t="n">
        <v>29</v>
      </c>
      <c r="I7395" t="inlineStr">
        <is>
          <t>これらのほとんどは、かつてはカラス属に近縁だろうと考えられていた。；羽縁が白い羽がササの葉に見え、和名の由来になったと考えられている。；近縁の化学物質であっても別のグループに分類されている場合がある。；その縁で福林正之にも紹介され、坂井の著書が出版されることになった。；近年では縁なし畳と同様、見栄えの良さから様々な場所に使用されている。；縁あって入った球団の指導者は何をしていいかいけないかを選手に教えるべき。；日没時刻は、太陽の縁が西の地平線の下に沈んだ瞬間として定義される。；近縁種を見分けるには背びれと側線の間にある鱗の列がポイントとなる。；複数の研究から、現存する最も近縁な種はミノバトと示唆されている。；しかしその後ふたたび、スズメ小目に近縁である可能性も指摘されている。；子供には・若木がおり、いずれも鳥と縁のある一族であると伝えられている。；古くはチドリ科 と近縁だと考えられたこともあったが、特に近縁ではない。；カッコウ目も に含まれるが、エボシドリ目とそれ以上には近縁でない。；彼女はどこもすぐに暇を出されるので、奉公先に縁がないとのことだった。；なお、近縁の数亜科にまたがる種類の魚をまとめてプレコと呼んでいる。；更に最高司令室は、スーパーレーザー・デッシュの縁に位置していた。；キヌバネドリ目と近縁な目との系統関係は次のようになっている。；縁と再会した後は15年前に巴を斬殺した罪に再び苛まれることとなる。；ほとんどの種で葉縁は全縁であるが、ユリノキ属では大きな陥入がある。；古代断層の多くはプレートの縁よりもプレートの中にあると見られている。；またペルシャの伝説に登場する巨鳥、シームルグとも近縁のものである。；マスクの白い縁取りの目の部分が尖っていないタイプの戦闘員もいる。；近縁種も含めサバ科の仲間でも特に前後に細長い体型で、左右に平たい。；姉と日本人男性の拉致事件を若宮が演劇化したことが縁であるという。；さらに近縁種のユウレイボヤでもゲノムプロジェクトが行われている。；これらは赤花の園芸品種であったが、近縁の品種であったと考えられている。；当寺に多くの日蓮の遺文が遺されているのはその縁であると言われている。；最も近縁な種はわずかに古い時代に生息したである。；没後も團の名を被せたコンサートが開かれるなど、八丈島との縁は深い。</t>
        </is>
      </c>
      <c r="J7395">
        <f>HYPERLINK("https://www.weblio.jp/content/縁", "词义详情")</f>
        <v/>
      </c>
      <c r="K7395">
        <f>HYPERLINK("https://yourei.jp/縁", "查看例句")</f>
        <v/>
      </c>
    </row>
    <row r="7396">
      <c r="A7396" t="inlineStr">
        <is>
          <t>不注意</t>
        </is>
      </c>
      <c r="B7396" t="inlineStr">
        <is>
          <t>成功</t>
        </is>
      </c>
      <c r="C7396" t="inlineStr">
        <is>
          <t>読み方：ふちゅうい
［名・形動］注意が足りないこと。うかつなこと。また、そのさま。「—な操作で事故を起こす」</t>
        </is>
      </c>
      <c r="D7396" t="inlineStr">
        <is>
          <t>不注意による事故(5%)</t>
        </is>
      </c>
      <c r="E7396" t="inlineStr">
        <is>
          <t>無視；油断；無意識に；不覚；知らず知らず</t>
        </is>
      </c>
      <c r="H7396" t="n">
        <v>29</v>
      </c>
      <c r="I7396" t="inlineStr">
        <is>
          <t>どんな家でも料理の書物を台所へ備えておかないというのは不注意です。；女の妹の不注意から、残してきた子供が母の居場所を知ることになった。；門番が不注意で、扉のうちの一つの鍵をかけることを忘れていたのです。；女の妹の不注意から、残してきた子供が母の居場所を知ることになつた。；わたしは長年のあいだに不注意になっていたが、ともかくぶじに逃れた。；だとしてもそれは日常の会話でたまに起こる程度の不注意だったはずだ。；本人が、あれは自分の不注意から起こった事故だと言っていたのです。；いくら不注意な者であっても、その音に気づかないはずはありません。；話の中の婿も不注意な言葉によってさらわれてきた若者と想像されます。；すると、料理女の小部屋が不注意にも半開きになっているのが見えたの。；私は興奮のあまり、不注意にも手を伸ばし、青い土偶に触れてしまった。；たとえ旧時代人の竜とはいえ、これは不注意なことだとピイマアは思った。；汐子が警鐘を聞き落とした不注意による事故だろうと、最初は思われた。；己の不注意で、人を殺してしまった心の傷を持つ者がいたとする。；薬の入ったケーキで失敗したために、不注意なお料理をしなくなったわけよ。；床の上の輪なわに気づかないほど、不注意なものがいるだろうか。；愛を口にして、隣人の運命に不注意な文士のカリカチュアを描く気です。；それを考えるとどうしても食物問題に不注意なりといわざるを得ん。；不注意というのではなく、誰も来るはずがないという自信の表れだった。；この無知は太郎冠者の観察力不足や不注意が原因で生じたのではありません。；つまり、あんな見当はずれの推測をしたのはあたしが不注意でしたってこと。；今夜もドアを何度も開けて、それも不注意にも開けっ放しにするのですから。；その三歳の子を、充分に監督しなかったのは親の不注意だった。；それもわたくしのとんだ不注意からおしまいになってしまったのです。；私は不注意なのではなく、ただ最悪の場合に対して準備しているだけです。；だけど、その連中の不注意のために、組合が閉鎖されるのは困るんだ。；いずれにしても、筏の上では不注意で事故を起こすという心配はなかった。；そしていつもとちがって、とても不注意にかけまわったようすである。；これらのルールの目的は、児童が銃器を不注意に扱うのを防ぐことである。</t>
        </is>
      </c>
      <c r="J7396">
        <f>HYPERLINK("https://www.weblio.jp/content/不注意", "词义详情")</f>
        <v/>
      </c>
      <c r="K7396">
        <f>HYPERLINK("https://yourei.jp/不注意", "查看例句")</f>
        <v/>
      </c>
    </row>
    <row r="7397">
      <c r="A7397" t="inlineStr">
        <is>
          <t>不調</t>
        </is>
      </c>
      <c r="B7397" t="inlineStr">
        <is>
          <t>成功</t>
        </is>
      </c>
      <c r="C7397" t="inlineStr">
        <is>
          <t>読み方：ふちょう
［名・形動］《古くは「ふぢょう」とも》
１事がうまくととのわないこと。まとまらないこと。また、そのさま。「談判が—に終わる」
２調子が悪いこと。思わしくないこと。また、そのさま。「からだの—を訴える」「機械が—だ」
３不都合なこと。欠点の多いこと。また、そのさま。
「いと—なる娘まうけ侍りて、もて煩ひ侍りぬ」〈源・野分〉
４「入札不調」の略。</t>
        </is>
      </c>
      <c r="D7397" t="inlineStr">
        <is>
          <t>不調続き；不調気味；不調ぶり</t>
        </is>
      </c>
      <c r="E7397" t="inlineStr">
        <is>
          <t>反対；混乱；異常；病；障害</t>
        </is>
      </c>
      <c r="F7397" t="inlineStr">
        <is>
          <t>絶不調；エンジン不調；機関不調；精神的不調；身体的不調</t>
        </is>
      </c>
      <c r="G7397" t="inlineStr">
        <is>
          <t>不調法</t>
        </is>
      </c>
      <c r="H7397" t="n">
        <v>29</v>
      </c>
      <c r="I7397" t="inlineStr">
        <is>
          <t>ある男を殺し、自殺するために乗った飛行機がエンジン不調で墜落開始。；だが、この交渉は不調に終わり、謀略を使って脱出を行うことになった。；但歌ふ調子は古と今と異なるべし、同時代にても人によりて異なるべし。；夜になると学校へ行く態度を示すことが多いが、もっぱら朝に不調を示す。；人の方は忘れてゐても自分の方は忘れずに守つて行くと云ふ調子でありました。；晩年は夫婦ともに心身に不調がみられたが、薬物の影響が指摘されている。；生活のために助監督をする覚悟で上京して大船に赴くが、不調に終わる。；しかしその後は不調に陥り3年時は膝の故障で主に代打での出場となった。；結果的に同チームの2018年シーズンの不調の一因となってしまった。；は相手に研究されて不調に陥る中、42打点で打点王のタイトルを獲得。；だが地元自治体の納得できるだけの放流量ではなく、交渉は不調に終わった。；試験運行のため、運行期間終了までに利用率不調の場合には運行終了となる。；不調の原因の一端は右京のトレーニング方法に問題があったとの話もある。；は大西宏明の加入や自身の不調もあり出場機会が減少、成績も低迷した。；もっとも交渉は不調に終わったらしく、16日には時忠も解官となった。；しかしマシンの不調もあり、わずか2ポイントしか獲得できなかった。；対して昆は、不調の中、優勝相当の走りを見せただけでも満足だったという。；サスケとの交渉が不調に終わったWWFはTAKAみちのくと契約する。；この時点で誰も翌年の不調を予測するものはいなかった。；このバンドは演奏能力が不足していることでも知られ、売れ行きは不調だった。；名大関とも呼ばれる反面、この現役晩年の不調が評価を下げたとも言われる。；またこの時期、直義は南朝との講和を企画するが、不調に終わっている。；は前半戦こそ安定していたものの、8月以降に疲労の蓄積で不調に陥った。；会談も不調に終わり、ヴェンツェルの醜態だけが知られることになった。；普通の高校生・丹羽新一郎は学校で、バイトで不調な日々を送っていた。；これらの行為で職員が心身に不調を来すなどするようになった職員もいたとされる。；その後は不調が続きテリー・コリンズ監督から中継ぎ降格を命じられた。；その後不調が続き弟と抗争、敗北後負傷により戦線を退くこととなった。；その後は不調となり二軍に降格したが、開幕は初めて一軍で迎えた。</t>
        </is>
      </c>
      <c r="J7397">
        <f>HYPERLINK("https://www.weblio.jp/content/不調", "词义详情")</f>
        <v/>
      </c>
      <c r="K7397">
        <f>HYPERLINK("https://yourei.jp/不調", "查看例句")</f>
        <v/>
      </c>
    </row>
    <row r="7398">
      <c r="A7398" t="inlineStr">
        <is>
          <t>部長</t>
        </is>
      </c>
      <c r="B7398" t="inlineStr">
        <is>
          <t>成功</t>
        </is>
      </c>
      <c r="C7398" t="inlineStr">
        <is>
          <t>読み方：ぶちょう
官庁・会社などで、部の事務を統轄し、部下を監督する役職。また、その人。</t>
        </is>
      </c>
      <c r="D7398" t="inlineStr">
        <is>
          <t>部長等；部長兼；部長さん；部長時代；部長室</t>
        </is>
      </c>
      <c r="E7398" t="inlineStr">
        <is>
          <t>主；先生；主人；船長；師匠</t>
        </is>
      </c>
      <c r="F7398" t="inlineStr">
        <is>
          <t>総務部長；営業部長；部部長；企画部長；事業部長</t>
        </is>
      </c>
      <c r="G7398" t="inlineStr">
        <is>
          <t>部長と課長；部長刑事シリーズ；部長と部下</t>
        </is>
      </c>
      <c r="H7398" t="n">
        <v>29</v>
      </c>
      <c r="I7398" t="inlineStr">
        <is>
          <t>実際には学生部長伊東延吉と事業部長紀平正美が中心となって運営する。；年末には陸軍法務部長室内に戦争犯罪局が設置され、研究が開始された。；番組スタート当初は宣伝部長だったが、その後宣伝本部長に昇格した。；同部門の後藤富雄は部長の渡辺和也に教育用キットの開発を提案した。；鍛治舎巧野球部長からは野球に対する姿勢も評価されていたという。；その後もマリノスで強化部部長、強化部スカウト担当部長を歴任した。；後任監督には武井隆次コーチが昇格し、中村孝生コーチが部長となった。；広告部長とデザイン室長を兼務し、現在のソニーブランドの礎を築いた。；には編成部長に就任するが、球団の方針と意見が合わず、僅か1年で退団。；また副部長級からすぐに大臣級の部長に進級する例がみられる。；地方連絡部長は1佐の階級にある自衛官、または防衛庁事務官が務めた。；部長又は課長の職責にある者が想定され、資格を必要とする。；張本は当時の野球部長の韓国人嫌いに端を発した差別としている。；同年11月には、タレントのスザンヌを熊本県の宣伝部長に任命した。；強化育成部長には昨シーズン途中から代理で努めていた西山哲平が就任した。；林彪国防部長の失脚後は夫の周恩来と江青ら4人組との対立が激化した。；レギュラーをクビになっていた、よゐこが初の部長となった企画。；フェノロサはアメリカへ帰国後、ボストン美術館日本部の初代部長となった。；林は西山会議派において中央常務委員兼海外部長に任命されている。；命令は海軍大臣から出され、当時の戦史部の部長は長井純隆大佐であった。；広報部長である自身がインターネットを使わず電話で取材を受けていることもインターネット導入の遅れの例に出されている。；部長のおかげで今のわしがいます。；映画部部長の村田英憲が社長に就任し、これを現在のエイケンの創業とした。；周恩来総理と羅瑞卿公安部長が到着直後の彼らと会い、報告を聴取した。；その最中、ロクス・ソルス社の出荷検査部長が惨殺される事件が起きる。；東京消防庁は、部長と同クラスとされ、それらの階級に相当する幹部から任命される。；以後に登場した通勤型の中間車は、一方の連結部長さが長く2連窓になった。；再任後はこれまでの広報部長に加え、総合企画部長を兼務することが発表された。；部長は亡くした妻そっくりだという男のために踊っていたのだ。</t>
        </is>
      </c>
      <c r="J7398">
        <f>HYPERLINK("https://www.weblio.jp/content/部長", "词义详情")</f>
        <v/>
      </c>
      <c r="K7398">
        <f>HYPERLINK("https://yourei.jp/部長", "查看例句")</f>
        <v/>
      </c>
    </row>
    <row r="7399">
      <c r="A7399" t="inlineStr">
        <is>
          <t>打つ</t>
        </is>
      </c>
      <c r="B7399" t="inlineStr">
        <is>
          <t>成功</t>
        </is>
      </c>
      <c r="C7399" t="inlineStr">
        <is>
          <t>読み方：うつ
［動タ五（四）］
１物を他の物に向けて強く当てる。
㋐たたく。ぶつ。「平手で—・つ」「滝に—・たれる」
㋑勢いよくぶつける。「後頭部を強く—・つ」
㋒たたいて鳴らす。打ち合わせて、音を立てる。「柱時計が一二時を—・った」「太鼓を—・つ」
㋓たたいて移動させる。当てて飛ばす。「ホームランを—・つ」
㋔強く刺激する。「鼻を—・つ消毒薬のにおい」
㋕心に強い感動を与える。「雄渾(ゆうこん)な筆致が読者を—・つ」
２（1のようにして）物事をしたり、物を作ったりする。
㋐鍬(くわ)などで耕す。「田を—・つ」
㋑たたいて、平たくのばしたり、鍛えたりして作る。「そばを—・つ」「箔(はく)を—・つ」「太刀を—・つ」
㋒キーをたたいて信号を送る。発信する。また、印字する。「電報を—・つ」「タイプを—・つ」「携帯でメールを—・つ」
㋓布・綿・わらなどをたたいて、つやを出したり、やわらかくしたりする。「わらを—・つ」
３
㋐広がるように投げる。「投網を—・つ」
㋑まいて散らす。まきかける。「庭に水を—・つ」
㋒目標めがけて投げる。「つぶてを—・つ」
４（1のようにして）しっかりと取り付ける。
㋐たたいて、中へ入れ込む。「くいを—・つ」「梁(やな)を—・つ」
㋑さし入れる。突きさす。「鍼(はり)を—・つ」「注射を—・つ」
㋒付け留めて高く掲げる。「高札を—・つ」
㋓しるしをつける。「目盛りを—・つ」「読点を—・つ」
㋔しっかりと全体に張る。「掛け軸の裏を—・つ」
㋕ひも・糸などを組み合わせて、よる。「緒を—・つ」
㋖縄で縛る。縄をかける。「縄を—・たれた罪人」
５ある事を行う。
㋐相撲・芝居などの興行をする。「芝居を—・つ」
㋑碁・ばくちなど、勝負事をする。「ばくちを—・つ」
㋒手段・方策を施す。「ストを—・つ」「手金を—・つ」「逃げを—・つ」
㋓そのような動作をする。「寝返りを—・つ」
㋔参拝をする。また、巡礼をする。「西国を—・つ」
６動きが規則正しく繰り返される。「磯—・つ波」「脈—・つ」
７火打ち石を強くぶつけて火をだす。
「をりをりに—・ちて焚(た)く火の煙あらば心ざす香をしのべとぞ思ふ」〈貫之集〉
８《鞭(むち)でたたくところから》馬を走らせる。
「佐々木判官時信は一里計(ばか)り引きさがりて、三百余騎にて—・ちけるが」〈太平記・九〉
９幕などを張る。
「生田の川のつらに、女、平張(ひらば)りを—・ちてゐにけり」〈大和・一四七〉
[可能]うてる
［動タ下二］《「打たれる」意から》
１負ける。圧倒される。
「ことの葉は強(こは)く見ゆれどすまひ草露には—・つるものにざりける」〈源順集〉
２誓いを守らず神仏の罰を受ける。
「いかに和僧、起請(きしゃう)には—・てたるぞ」〈平家・一二〉
３承服できる。合点がいく。
「小気味の悪い女郎ぢゃと、さすがの武士も—・てぬ顔」〈浄・天の網島〉
[補説]江戸時代には「うてる」という下一段形も行われた。
[用法]うつ・たたく——ほぼ同様の動作を表すが、「打つ」は「合図の太鼓を打つ」「時の鐘を打つ」「釘を打つ」のように、意志的な動作に重点をおいて用いられる場合がある。◇「たたく」は動作そのものを示す。「ボールをたたく」といえば、「打つ」よりも打撃の姿、勢いなどを想起させる。また、「太鼓をたたく」「鉦(かね)をたたいて経を読む」など、繰り返し打ち続けることをいうことが多い。◇類義語の「殴る」は怒り・興奮などの感情を込めて強く打つ場合に用いる。「ぶつ」もほぼ同じだが、「殴る」にくらべて、怒り・興奮は浅く、打つ力も弱い。「そんなにぶたないでよ」のような用法もあり、この場合「殴る」に置き換えることはできない。◇「はたく」は、平たいもので打つ感じが強く、払いのけるような動作を伴うことが多い。「ほこりをはたく」「蠅(はえ)をはたく」などと用いる。</t>
        </is>
      </c>
      <c r="D7399" t="inlineStr">
        <is>
          <t>打つべき；打つべく；打つような音；打つかる；打つ買う</t>
        </is>
      </c>
      <c r="E7399" t="inlineStr">
        <is>
          <t>衝突；ヒット；一撃；叩く；ノック</t>
        </is>
      </c>
      <c r="F7399" t="inlineStr">
        <is>
          <t>打つてあつ；打つ蹴る</t>
        </is>
      </c>
      <c r="G7399" t="inlineStr">
        <is>
          <t>打つて</t>
        </is>
      </c>
      <c r="H7399" t="n">
        <v>29</v>
      </c>
      <c r="I7399" t="inlineStr">
        <is>
          <t>三連星と同じく地に甘いためこちらも打たれることが少なくなっている。；セルビアの法律と文化はローマとビザンツの基礎の上に打ち建てられた。；それぞれの聖剣にはそれを打った場所と打った人の名前が付けられている。；鐸は柄を持ちもう一方の手にもった打器で鐸を打ち鳴らして音をだした。；つまり打ち手のレベルやテクニックによって目に見えて差が開きやすい。；相手に打たれることを恐れない精神こそがガッティの最大の武器であった。；とはいうものの、打たれた敵が頭等から血を流していることがある。；また、全て避けられることになっているとは言え打太刀からも技を打つ。；私は、グループを作って気持ちを前向きにしている人たちに胸を打たれた。；ほかにも点を上に打ったり下に打ったりすることで同綴語を区別した。；名称・地域によっては、お互いの右手を打つ場合と打たない場合がある。；名称・地域によっては、お互いの右手を打つ場合と打たない場合がある。；この試合では二番・村松有人に三塁打を打たれてそのまま降板している。；ちなみにこの時は引退試合と打って変わって、観客から大声援を受けた。；ただしこの形は黒が有利という結論が出ており、現在では打たれない。；恋愛もうまくいかず、絶望に打ちひしがれたドリューは自殺を決意する。；清水時代後期とは打って変わり、この年のアラウージョは活躍を見せた。；それまでの成功とは打って変わって、2008年は我慢の年となった。；この頃、タイプをかなりのスピードで打つことが出来るようになっていた。；これに家康は心を打たれ、久三郎や捕らえていた者たちを赦したという。；四線と五線の交点であり、通常打たれる隅の着点としては最も位が高い。；絶対に打たれるはずのないひざ元へのスライダーを門田さんに打たれた。；これに江戸時代に入ると日本独特と云われる大筒抱え打ちの業が加わった。；家の裏に古タイヤを吊るし、毎日左右で50回ずつ打たせて練習させた。；これでは二葉亭が一世一代の芝居を打とうとしても出る幕がないだろう。；ノビは囲碁用語で、すでに打たれた自分の石に隣接させて打つ手を指す。；向こうは社名を入れることで手を打ったんじゃないのかな、今にして思えば。；上記の事故がきっかけで11年間のアメリカ生活に終止符を打ち、帰国。；その後も五番を打ってまで6年連続でベストナイン捕手を獲得し続ける。</t>
        </is>
      </c>
      <c r="J7399">
        <f>HYPERLINK("https://www.weblio.jp/content/打つ", "词义详情")</f>
        <v/>
      </c>
      <c r="K7399">
        <f>HYPERLINK("https://yourei.jp/打つ", "查看例句")</f>
        <v/>
      </c>
    </row>
    <row r="7400">
      <c r="A7400" t="inlineStr">
        <is>
          <t>不通</t>
        </is>
      </c>
      <c r="B7400" t="inlineStr">
        <is>
          <t>成功</t>
        </is>
      </c>
      <c r="C7400" t="inlineStr">
        <is>
          <t>読み方：ふつう
１通じないこと。交通・通信などがとだえること。「大雪で国道が—になる」
２便りや行き来のないこと。「音信—」
３意味などが、通じないこと。わからないこと。「文意—」
「孔孟の教も、伝来の初には…一切—のものであったに」〈菊池寛・蘭学事始〉
４縁を切ること。交際を絶つこと。
「兵吉一生が間—にさしあげ」〈浄・本朝三国志〉
５通人ではないこと。野暮なこと。
「—とも見えず又とびきりの大通とは見えねども」〈洒・通点興〉</t>
        </is>
      </c>
      <c r="D7400" t="inlineStr">
        <is>
          <t>不通区間(13%)；不通時；不通状態；不通線</t>
        </is>
      </c>
      <c r="E7400" t="inlineStr">
        <is>
          <t>切断；途絶；接触不良</t>
        </is>
      </c>
      <c r="F7400" t="inlineStr">
        <is>
          <t>一時不通；一部不通；全線不通；言語不通；長期間不通</t>
        </is>
      </c>
      <c r="H7400" t="n">
        <v>29</v>
      </c>
      <c r="I7400" t="inlineStr">
        <is>
          <t>それは今彼の乗って来た中央線の列車が一部不通になった知らせだった。；妻の云ふ通りだとすると、一体俺は此頃何に夢中になつてゐるのだらう?；彼女は携帯電話の存在を忘れていなかったらしく、直後に不通となった。；といって東京までの汽車はもちろん不通だし、道路事情も悪化している。；それを望むのであれば、不通になる以前に達成できていたはずである。；あなたはきつと一から十まで私の言ふ通りにして下さいますわね。；なるほど、おめえの云ふ通り、こんなことが聞えたら好くねえだらうね。；冬場の温泉に客が多いことと、汽車の不通で客が帰らなかったのである。；それよりも、おれは、何時も云ふ通り、お前のことを心配してゐるんだ。；大半の路線はJRと並行しており、JR不通時の代替輸送も兼ねている。；電話も再び不通となり、なぜ一時的につながったのかは不明であった。；言葉の不通で記者が勘ちがいし、事が大きくなってしまったのだろう。；急いで車に戻りラジオをかけるも、ロサンゼルスの放送局はどれも不通。；要領を得ないのではない、得させないのは、言語の不通がさせるのだ。；ラジオも電話も不通では、この騒はさらに大きく広がってゆくだろう。；線路はベッドフォード湾の西端のロッキンガムの先で不通になっていた。；不通とは表示されていないが、車両では、実質的に困難な区間を含む。；この急場は輸入でしのいで行けるといふのも、いかにも君の言ふ通りだ。；が、鉄道は不通になったというし、その被害の程度も不明であった。；言語不通の外国に旅行しても、なお一種の興味を感ずるのはすなわちそれだ。；それ以上彼に抗議することもなく、私は機械的に彼の云ふ通りにしようとした。；歩行者用の橋が建設されて、不通箇所を徒歩で連絡できるようにした。；それ以外にも電話などの通信の不通などの被害をもたらした。；それが、夫人の云ふ通、子爵の令嬢であるか何うかは分らないとしても。；途中交番で、汽車が不通になったと聞いて、水明館に向かったのである。；ね、相手の電話を一時ちょっと不通にする方法で一番簡単なの、ごぞんじ?；途中で電話は不通になったから、今となってはかけようもない。；それは武運が拙くて、神にも仏にも見放されたら、お前の云ふ通だらう。；ここでは、震災の影響で不通区間が発生していた時期について述べる。</t>
        </is>
      </c>
      <c r="J7400">
        <f>HYPERLINK("https://www.weblio.jp/content/不通", "词义详情")</f>
        <v/>
      </c>
      <c r="K7400">
        <f>HYPERLINK("https://yourei.jp/不通", "查看例句")</f>
        <v/>
      </c>
    </row>
    <row r="7401">
      <c r="A7401" t="inlineStr">
        <is>
          <t>普通</t>
        </is>
      </c>
      <c r="B7401" t="inlineStr">
        <is>
          <t>成功</t>
        </is>
      </c>
      <c r="C7401" t="inlineStr">
        <is>
          <t>読み方：ふつう
［名・形動］特に変わっていないこと。ごくありふれたものであること。それがあたりまえであること。また、そのさま。「今回は—以上の出来だ」「—の勤め人」「朝は六時に起きるのが—だ」「目つきが—でない」
［副］
１たいてい。通常。一般に。「—七月には梅雨が上がる」
２（「に」を伴って）俗に、とても。「—においしい」
[補説]2は、「普通におもしろかった」のように、称賛するほどではないが期待以上の結果だったという意味合いで、肯定的な表現と組み合わせて2000年代から用いられるようになった。
[用法]普通・普段・通常——「普通（普段・通常）は六時半に起きる」のように、へいぜいの意では相通じて用いられる。◇「普通」は意味の範囲が広く、「どこにでも普通に生えている草」のように、ありふれている、珍しくないの意、「ごく普通の子」「普通科」のように、特に変わりがない・平均的・一般的なの意に使われる。これらは「普段」「通常」は使えない。◇「普段」は、常日ごろの意に重点があり、「普段の力を出せた」「普段の心がけの問題だ」などでは「普通」「通常」は使えない。◇「通常」は文章語的。いつもどおりで特別の事情がないこと・場合をいう。「勤務時間は通常九時から五時までとする」は、「普通」も使えるが、特別の事情があれば変わることもあるという含みも込められている。
[補説]2017年に実施した「あなたの言葉を辞書に載せよう。2017」キャンペーンでの「普通」への投稿から選ばれた優秀作品。◆上を見たらきりがないぞと諦めながら、下を見たらまだまだいるぞと安堵できる場所および立場。並さん◆何でもないように見えて、じつはとても幸せなこと。まみさん◆当たり障りのない言葉として選ぶ、便利な語。レシナさん◆自己の型、基準。人は「普通は…」と述べ自分の感覚に周囲の世界をねじ込もうとする。かなへさん◆無意識に習慣づいたこと。マキノさん</t>
        </is>
      </c>
      <c r="D7401" t="inlineStr">
        <is>
          <t>普通なら(3%)；普通種；普通運賃；普通一般；普通教室</t>
        </is>
      </c>
      <c r="E7401" t="inlineStr">
        <is>
          <t>一般；いつも；通常；ほぼ；広く</t>
        </is>
      </c>
      <c r="F7401" t="inlineStr">
        <is>
          <t>普通教科；普通電動役物；普通貯蓄金庫；普通旅客運賃；普通学務局長</t>
        </is>
      </c>
      <c r="G7401" t="inlineStr">
        <is>
          <t>普通科；普通に；普通車；普通選挙；普通人</t>
        </is>
      </c>
      <c r="H7401" t="n">
        <v>29</v>
      </c>
      <c r="I7401" t="inlineStr">
        <is>
          <t>スポーツ中以外でも、普通に歩いている時や足を伸ばした時にも起こる。；現在は普通の大半が藤井寺までの運転となったこともあり停車している。；加熱は火を使って行われるのが普通だが、直接に火にかけない例もある。；衛星をこの軌道に投入する際には次のような手順をとるのが普通である。；普通の階段でも見た目をエスカレーター風に変えると同様の現象がでる。；その代わりに太田川発金山行きの普通が平日の昼間にも多数走っていた。；また当時存在しなかった字は、相当する別字で代用するのが普通である。；あの馬には、普通では考えられない結果を出す力があったんですよ。；料理好きな面もあり、元暗殺者とは思えない普通の家庭的な暮らしをしている。；大きな契約や結婚、IDカードなど以外には通称を用いるのが普通である。；さまざまなクライアントに合わせて複数提供されるのが普通である。；これは主に絵文字で使われているが、普通の文字でも色を使うことができる。；非補給下にあるかどうかは普通、プレイヤーターンの開始時に判定する。；その題材は一般に流布していたもので、作者不明なのが普通である。；日常会話や文章などでは両者は区別されるのが普通である。；いずれも2階部分をグリーン席、1階部分を指定制の普通席としている。；なお、タマネギ隊員の横顔が描かれるときはなぜか普通の口の形状になる。；だが、彼らの孫の世代は英語のみしか知らないのが普通である。；また中華圏のスタッドポーカーでもスートまで比較するのが普通である。；そのような場合、労働条件は以前よりずっと過酷であるのが普通であった。；海外の大学はブドウ栽培と醸造学の両コースを持つのが普通である。；みやこ路快速・快速・区間快速・普通の4種別の列車が運転されている。；付属の塩は普通の塩ではなく、温泉でできた塩を使っている。；その普通の人間が欲望を持ったまま「仏」となる道が求められねばならない。；これらの相違点があるので普通はウイルスを生物とは認めない。；このため次のような対策がとられるのが普通である。；京都市と北近畿方面とを結ぶ特急のほか、快速・普通が運転されている。；見た目は普通の裏ソフトだが、摩擦が極端に少なく回転がかかりにくい。；このようなオパールは普通に取り扱っている限りは特に問題がない。</t>
        </is>
      </c>
      <c r="J7401">
        <f>HYPERLINK("https://www.weblio.jp/content/普通", "词义详情")</f>
        <v/>
      </c>
      <c r="K7401">
        <f>HYPERLINK("https://yourei.jp/普通", "查看例句")</f>
        <v/>
      </c>
    </row>
    <row r="7402">
      <c r="A7402" t="inlineStr">
        <is>
          <t>物価</t>
        </is>
      </c>
      <c r="B7402" t="inlineStr">
        <is>
          <t>成功</t>
        </is>
      </c>
      <c r="C7402" t="inlineStr">
        <is>
          <t>読み方：ぶっか
品物の値段。種々の財・サービスの平均的な価格。</t>
        </is>
      </c>
      <c r="D7402" t="inlineStr">
        <is>
          <t>物価水準(5%)；物価騰貴(4%)；物価安定(2%)；物価変動；物価下落</t>
        </is>
      </c>
      <c r="F7402" t="inlineStr">
        <is>
          <t>一般物価；輸入物価；小売物価；いくら物価；物価資料</t>
        </is>
      </c>
      <c r="G7402" t="inlineStr">
        <is>
          <t>物価指数；物価高騰；物価高；物価上昇率；物価統制令</t>
        </is>
      </c>
      <c r="H7402" t="n">
        <v>29</v>
      </c>
      <c r="I7402" t="inlineStr">
        <is>
          <t>昔の物価はよく分からないが、値打ち物にしてはちょっと安すぎないか。；あとで景気でもよくなればだが、大事な子は殺される、物価は高くなる。；この公定価格は実際の物価より低く設定されていたと考えられている。；といって四十年も前の時代の物価など、ぼくには興味もないことでしたが。；これにて本当に物価が下ってくれればいいが、どうなるのであろうか。；住居のこと、収入と物価、夫婦二人のほかに家庭的な扶助の責任の問題。；うっかりあげたら、こんど物価の下がったとき急に下げられないからね。；マネーサプライと物価との関係が不安定となったことが導入の背景にある。；また、この地域の物価は隣接している他地区と比べ、総じて低いのが特徴。；そして、彼は物価と貯蓄の正の関連を取り入れた新たなモデルを考案した。；逆にドルは流入したので、戦前からドル基準の国内物価が上昇した。；世界中で、この地方ほど物価のやすいところを、わたくしは見たことがない。；これらに加えて物価の上昇もあり、民衆は苦しい生活をしいられた。；物価が上昇するということは、お金の価値が下がっていることと等しい。；「日本の物価の高さに生活していけない、中国人留学生は皆そうだ」と。；転じて、先進国の方が発展途上国よりも物価水準が高くなる効果のこと。；物価の昂騰につれて右翼の非常手段がいつ爆発するか分らぬ恐れがあった。；物価の上昇問題、世界と日本経済の関係、台所の経済などを解説した。；その時分と今とは物価が違っているから、四百両では行くまいな。；マクロ経済の安定は、物価の安定と適切な雇用の維持の二つにわけられる。；物価が安定してきたため、新紙幣発行に伴いデノミネーションを実行した。；高所得国よりも低所得国で物価水準が低いことが明らかにされている。；これは物価の上昇を考慮しても、2倍以上に成長したことになる。；世界で最も物価が高く、裕福な場所のひとつとして広く知られている。；ヨーロッパに入ると、物価があまりにも高く、すぐに資金がなくなっていった。；ただ江戸中期以降は諸物価が高騰していたので大して楽というわけでもない。；その結果は物価のつり上げとなって現われて来るのであります。；政府支配地では、2016年時点で数年前に比べて物価が数倍に高騰した。；前14世紀には一時的に物価の基準として銀ではなく金が用いられるようになった。</t>
        </is>
      </c>
      <c r="J7402">
        <f>HYPERLINK("https://www.weblio.jp/content/物価", "词义详情")</f>
        <v/>
      </c>
      <c r="K7402">
        <f>HYPERLINK("https://yourei.jp/物価", "查看例句")</f>
        <v/>
      </c>
    </row>
    <row r="7403">
      <c r="A7403" t="inlineStr">
        <is>
          <t>復活</t>
        </is>
      </c>
      <c r="B7403" t="inlineStr">
        <is>
          <t>成功</t>
        </is>
      </c>
      <c r="C7403" t="inlineStr">
        <is>
          <t>読み方：ふっかつ
［名］(スル)
１死んだものが生き返ること。よみがえること。蘇生(そせい)。
２いったん廃止したものなどを再びもとの状態に戻すこと。また、消失したものが、再びもとの状態に戻ること。「旧制度が—する」
３キリスト教で、十字架上で死んだイエス＝キリストがよみがえったことをいい、キリスト教の最も中心的な信仰内容。イエスの復活は罪と死に対する勝利であり、神の愛による人類の救いの完成という意味をもつ。
[補説]作品名別項。→復活</t>
        </is>
      </c>
      <c r="D7403" t="inlineStr">
        <is>
          <t>復活する(9%)；復活させる(5%)；復活させよ；復活当選；復活祭</t>
        </is>
      </c>
      <c r="E7403" t="inlineStr">
        <is>
          <t>発生；回復；再建；再生；再現</t>
        </is>
      </c>
      <c r="F7403" t="inlineStr">
        <is>
          <t>比例復活；完全復活；復活劇；復活する事；事実上復活</t>
        </is>
      </c>
      <c r="G7403" t="inlineStr">
        <is>
          <t>復活大祭；復活の兆し；復活当選；復活の日；復活ライブ</t>
        </is>
      </c>
      <c r="H7403" t="n">
        <v>29</v>
      </c>
      <c r="I7403" t="inlineStr">
        <is>
          <t>歴史は短いながら車両規定の変遷が激しく、廃止と復活も経験している。；休刊と称していても、実際には復活せずそのまま廃刊となることも多い。；昭和になって振り飛車をプロの一線級に復活させたのが大野源一である。；この試合で復活を果たしたことでメディアからの批判を封じ込めた。；もちろん死刑の廃止と復活は、世界中で史上何度も行われてきている。；一度消滅した新幹線の愛称が復活したのは「とき」が唯一の例である。；復活以降は各授業の優秀生徒になると、豪華商品が与えられるようになった。；特記がない場合は、倒してしばらくすると初期位置に卵が出現して復活する。；一時的であるが、同年3月に廃止されて以来約3か月ぶりに復活した。；バンド復活以降のサポートベーシストには森岡に代わり田中晋吾が参加。；その後フグ食の文化は山口県を中心に全国でも復活し、今日に至っている。；その後も舞台でエンタツ・アチャコのコンビが復活することはなかった。；メンバーの誰もが雅史を溺愛しており、彼の死後も復活を図り暗躍する。；また正教会においては、キリスト教は復活の福音に他ならないとされる。；西方では、スティーブン時代に失われたウェールズの支配を復活させた。；国際的な労働者運動は1860年代の国際危機に刺激され復活を遂げていく。；増沢は後に、この勝利で失いかけていた人気が急に復活したと振り返っている。；また、他の弟子たちにイエスの復活を告げ知らせるようにと言われた。；放送は終了したが、復活できる機会があれば復活させたいと最終回で語っていた。；また、1941年に一時廃止されていた三等寝台車が1956年に復活。；平成以降に被り物キャラで一時的に復活していたが近年は見られなくなった。；しかし最盛期の乗客に対応しきれず2007年から特別ダイヤが復活した。；その後、魏の文帝の時代に復活し、宦官ではない皇帝の側近が就任した。；この復活を受け、マライアの第二期黄金時代に突入したとも言われている。；なお死刑制度が廃止されている国の場合には死刑復活問題となる。；本編中では死亡したままのキャラクターも、後継作品では復活している場合がある。；ただし、これまで放送されていた番組が終了したなどの理由でたびたび復活もする。；国鉄時代に一度交換設備が撤去されたが、CTC化に合わせて復活させた。；このような経緯を経て戦後警察柔道はいち早く復活を認められた。</t>
        </is>
      </c>
      <c r="J7403">
        <f>HYPERLINK("https://www.weblio.jp/content/復活", "词义详情")</f>
        <v/>
      </c>
      <c r="K7403">
        <f>HYPERLINK("https://yourei.jp/復活", "查看例句")</f>
        <v/>
      </c>
    </row>
    <row r="7404">
      <c r="A7404" t="inlineStr">
        <is>
          <t>ぶつかる</t>
        </is>
      </c>
      <c r="B7404" t="inlineStr">
        <is>
          <t>成功</t>
        </is>
      </c>
      <c r="C7404" t="inlineStr">
        <is>
          <t>［動ラ五（四）］
１物に突き当たる。衝突する。「車が電柱に—・る」「肩と肩とが—・る」
２たまたま行き当たる。出くわす。遭遇する。「道が川に—・る所」「初戦で優勝候補に—・る」「地下鉄のストに—・る」
３物事や日程などが重なる。かち合う。「二校の受験日が—・る」「クラス会と法事が—・る」
４あえて取り組む。対象に積極的に向かう。「体当たりで困難に—・る」「—・ってみなければ何も解決しない」
５考えなどが食い違って対立する。「父と—・ってばかりいる」「意見が—・る」</t>
        </is>
      </c>
      <c r="D7404" t="inlineStr">
        <is>
          <t>ぶつかるだろ；ぶつかるような音；ぶつかる鈍い音；ぶつかる可能性</t>
        </is>
      </c>
      <c r="E7404" t="inlineStr">
        <is>
          <t>向かう；対戦；対抗；向う；衝突</t>
        </is>
      </c>
      <c r="F7404" t="inlineStr">
        <is>
          <t>激しくぶつかる；ごとぶつかる；ぶつかるかも知れ</t>
        </is>
      </c>
      <c r="H7404" t="n">
        <v>29</v>
      </c>
      <c r="I7404" t="inlineStr">
        <is>
          <t>武装した男たちの接近を知らせたのは、金属と金属がぶつかる音である。；われわれは黄味が二つある卵にぶつかる事だってあるではありませんか?；上のほうの枝は天井にぶつかり、下の枝は壁から壁へとひろがっていた。；この時期にこんなに流れの急な河にぶつかることはめったにありません。；というような音をたてて彼女の体が船の隔壁にぶつかったのに気づいた。；しかし、この魚たちは、ぶつかり合うこともなく進んでいくのだろうか?；ほんとに一生に一度は身も忘れるような書物にぶつかってみたいものだ。；私はあのように手ごたえのあるお客にぶつかった事はありませんでした。；あたりの人とぶつかろうとどうしようと、おかまいなしの勢いでしたわ。；前述の通り、岩にぶつかってもミスにはならないがFUELが減少する。；お師匠様も真理は身をもって経験にぶつかる時にばかり自分のものになる。；いいか、まともにぶつかれば何といったって向うが強いに決まっている。；いくたび自動車にぶつかりそうになって、あやうくよけたことでしょう。；めまいがする中ぶつかった人たちは皆何かを知っているようであった。；ところが、庭に降りて、少し歩いたかと思うと、妙なものにぶつかった。；そして学校では、ぶつかりさえすれば、何かの仕方で意地悪をしていた。；スイングアームは発射時には機体にぶつかる事を避ける為に格納される。；彼女は階段を上りきったところでレストー夫人とぶつかりそうになった。；そこで彼女は、そのかわりに相手にむかって正面からぶつかることにした。；ほんとうにこんな事件にぶつかってみて初めて、自分でもそれがわかる。；われわれがこれからぶつかる相手は、真に思考することを知っています。；さしあたって、ぼくはあなたの考えに正面からぶつかることは控えます。；おれはその全員か、大部分とぶつかり合ったんだから、それも二回だぞ。；北風が正面からぶつかってくるので、顔が痛くて眼を開けていられない。；そして、逆の球が並んだ球に戻ってぶつかると、また同じ現象が起きる。；けれども、彼女がぶつかった最初の困難は同時に最後のものとなった。；何か重いものが私のドアにぶつかるような音で、私は目を覚ましたのです。；何かにぶつかりそうにならない限り、車はぼくの好きにやらせてくれるのだ。；列車の屋根に乗っていた多くの乗客が橋の骨組みにぶつかり川に転落した。</t>
        </is>
      </c>
      <c r="J7404">
        <f>HYPERLINK("https://www.weblio.jp/content/ぶつかる", "词义详情")</f>
        <v/>
      </c>
      <c r="K7404">
        <f>HYPERLINK("https://yourei.jp/ぶつかる", "查看例句")</f>
        <v/>
      </c>
    </row>
    <row r="7405">
      <c r="A7405" t="inlineStr">
        <is>
          <t>物議</t>
        </is>
      </c>
      <c r="B7405" t="inlineStr">
        <is>
          <t>成功</t>
        </is>
      </c>
      <c r="C7405" t="inlineStr">
        <is>
          <t>読み方：ぶつぎ
世の人々の議論。世間の取り沙汰。</t>
        </is>
      </c>
      <c r="D7405" t="inlineStr">
        <is>
          <t>物議を醸す判定；物議を醸す発言</t>
        </is>
      </c>
      <c r="F7405" t="inlineStr">
        <is>
          <t>様々な物議；発言し物議；一時物議</t>
        </is>
      </c>
      <c r="H7405" t="n">
        <v>29</v>
      </c>
      <c r="I7405" t="inlineStr">
        <is>
          <t>これは政治的な物議を醸すものであり、ごく一部しか実施されなかった。；新台湾派であり知られ、中国や韓国へ対して、物議を醸すこともあった。；心理療法界ではやや物議があったものの、NLPは国民的な人気を得た。；公開された当時は、麻薬依存や売春が描かれていたために物議を醸した。；そして、アルバムの成功にもかかわらず、物議を醸すようになっていく。；このことはFILのメンバーに知らされていなかったため物議を醸した。；そのうち数名の村の娘が医者のために妊娠して若干物議をかもしたのである。；僧一同行衆の間にいろいろな物議が起こってはおもしろくありませんからな。；映画検閲が厳重になったことは最近社会の各方面で物議をかもしている。；リストには以下のような著名なアーティストの楽曲が多数含まれ物議を醸した。；彼女は人種差別者との批判を受け物議を醸したが本人はそれを否定している。；瀬古は優勝し同年のソウル五輪の出場権を獲得したことで物議を醸した。；これを言うと戦車隊の者が怒り物議をかもすから体裁よく処理した。；事件は、物議を醸している普天間飛行場の移設を要求する原因となった。；生物の種が変化するという考えは19世紀前半では非常に物議をかもした。；兎に角可なり間が伸びていて何うしても物議の種になる写真だね。；双方の主張が入り乱れて移籍問題が発生し物議を醸す結果となった。；この作品は実験作的色合いが濃厚で、当時のジャズ界に物議をかもした。；こうなると諸藩からの物議をおそれて、朝議は容易に決しうべくもない。；必ずしも晴れの舞台にはふさわしいとはいえないこの発言は物議を醸した。；取材手法や物議を醸す記事をめぐり、名誉毀損で訴えられることが多い。；オカルト史上でも最も有名かつ最も物議を醸した事件の一つである。；また、抗議の際に唾をはいていたことも判明するなど物議を醸した。；それに呆れているどころか、後の始末やら物議こそまた一と揉めだった。；しかし明治の静かな世間では、物議の元になったのだった。；同年、財産を秘密裏に米国に移そうとして物議をかもしたこともあった。；ここで彼は後に国際的に物議を醸す論文の執筆を始めた。；この映画は年齢差の大きい夫婦を題材としたため、公開後には物議を醸すことが想定されていた。；決定に至る議論は地方紙のストライキ中に進行し大きな物議を醸すことはなかった。</t>
        </is>
      </c>
      <c r="J7405">
        <f>HYPERLINK("https://www.weblio.jp/content/物議", "词义详情")</f>
        <v/>
      </c>
      <c r="K7405">
        <f>HYPERLINK("https://yourei.jp/物議", "查看例句")</f>
        <v/>
      </c>
    </row>
    <row r="7406">
      <c r="A7406" t="inlineStr">
        <is>
          <t>復旧</t>
        </is>
      </c>
      <c r="B7406" t="inlineStr">
        <is>
          <t>成功</t>
        </is>
      </c>
      <c r="C7406" t="inlineStr">
        <is>
          <t>読み方：ふっきゅう
［名］(スル)壊れたり、傷んだりしたものを、もとの状態にすること。また、もとの状態にもどること。「道は二日で—した」「—工事」</t>
        </is>
      </c>
      <c r="D7406" t="inlineStr">
        <is>
          <t>復旧車(3%)；復旧後；復旧させる；復旧費用；復旧時</t>
        </is>
      </c>
      <c r="E7406" t="inlineStr">
        <is>
          <t>回復；復活；戻り；再建；修理</t>
        </is>
      </c>
      <c r="F7406" t="inlineStr">
        <is>
          <t>全線復旧；仮復旧；完全復旧；応急復旧；全面復旧</t>
        </is>
      </c>
      <c r="G7406" t="inlineStr">
        <is>
          <t>復旧作業；復旧令</t>
        </is>
      </c>
      <c r="H7406" t="n">
        <v>29</v>
      </c>
      <c r="I7406" t="inlineStr">
        <is>
          <t>全教職員および全学生で大学の復旧に努め1か月後には授業を再開した。；音声はその後復旧したが、映像は黒画面のまま音声だけで放送していた。；また、災害やその復旧に伴う線形改良で旧線が廃止となる例も存在する。；京義線・京元線は復旧したものの南北に線路が分断された状態となった。；このため適切な計画変更を行って平常運行への早期復旧を図ることになる。；町は後に再建に向かったものの、完全に復旧されることはなかった。；西武自動車発足後の1948年以降は、各地で路線の復旧が開始された。；特に三条地震が起こったときなどは善政を行なって復旧に尽くしている。；また、ニューオーリンズ自体の復旧も数ヶ月に及ぶことが予想された。；したがって、添付が生じた場合の旧所有者からの復旧請求は封じられる。；農民たちは田畑の復旧を目指し、焼け砂を回収して砂捨て場に廃棄した。；その結果、システムの継続または復旧の準備を非常に真剣に行う必要がある。；新形式を与えることも検討されたが、1956年12月に復旧された。；この場合、外部から操作者が安全を確認した上で修理したり、機能を復旧させる。；戦後は、休止路線の復旧と並行して新路線の開通が徐々に進められていった。；同じころに保護棒も復旧されたほか、尾灯を正面左窓上に移設した。；この車両は名義上は復旧であるが事実上は新製である。；ロールバック復旧ではシステム状態を少しだけ前に戻してそこから処理を再開する。；電車台枠を再利用した復旧車で、車体は新製されていたので切妻形となっていた。；直後の報道では復旧には少なくとも2年かかると見られている。；その後も小松自身は震災からの復旧活動に積極的に関与していた。；正常な状態に復旧するには、故障した構成要素の交換・修繕が必要である。；湾岸戦争終結後は破壊された施設・機材の復旧を行い、現在に至っている。；その他の路線ものちに運航を再開し、現在では攻撃を受ける前の状態に復旧している。；これは沈んだ戦艦の再生など被害からの復旧の助けとなった。；は1947年から1949年までに新製の木造車体を載せて復旧した。；これは、目標復旧時点と目標復旧時間の主要な指標を示す必要がある。；このためユタの復旧計画は放棄され、船体はその場所に放棄された。；なお、他系列のような車体を新造しての復旧は行われていない。</t>
        </is>
      </c>
      <c r="J7406">
        <f>HYPERLINK("https://www.weblio.jp/content/復旧", "词义详情")</f>
        <v/>
      </c>
      <c r="K7406">
        <f>HYPERLINK("https://yourei.jp/復旧", "查看例句")</f>
        <v/>
      </c>
    </row>
    <row r="7407">
      <c r="A7407" t="inlineStr">
        <is>
          <t>ぶつける</t>
        </is>
      </c>
      <c r="B7407" t="inlineStr">
        <is>
          <t>成功</t>
        </is>
      </c>
      <c r="C7407" t="inlineStr">
        <is>
          <t>［動カ下一］《「ぶっつける」の音変化》
１物を投げて当てる。「壁にボールを—・ける」
２身体や物を他の物に打ち当てる。「机にひざを—・ける」「車を—・ける」
３自分の感情などを、相手に包み隠さずに言う。「怒りを—・ける」「本音を—・ける」
４あえて取り組ませる。対象に積極的に向かわせる。「有力候補に新人を—・ける」</t>
        </is>
      </c>
      <c r="D7407" t="inlineStr">
        <is>
          <t>ぶつけるべき；ぶつけるような音</t>
        </is>
      </c>
      <c r="E7407" t="inlineStr">
        <is>
          <t>衝突；打つ；当る；当てる；ぶつかる</t>
        </is>
      </c>
      <c r="F7407" t="inlineStr">
        <is>
          <t>ごとぶつける；激しくぶつける</t>
        </is>
      </c>
      <c r="H7407" t="n">
        <v>29</v>
      </c>
      <c r="I7407" t="inlineStr">
        <is>
          <t>同じことをもう一度ぶつけると、仕方なさそうな顔でやっと口を開いた。；まるで我々は武器と武器とのぶつけ合いだけで戦っているみたいである。；彼は、だれか自分の怒りをぶつける相手はいないか、と思っていたのだ。；そんな環樹の気持ちを知っているのか男は、もう一つの疑問をぶつけた。；すると森の方から兎が飛んできて切り株に首をぶつけて死んでしまった。；疑問をぶつけると、ふわふわと奇妙な歩きかたをしながら美鎖は言った。；これにより他の敵にぶつけて攻撃したり、ブロックを破壊したり出来る。；わたしが新鮮な気持でいられるようにたえず意外な展開をぶつけてくる。；親に圧迫されるイライラを女にぶつけるのはよくあるパターンだからな。；そいつの目は飛び出し、頭をドアの金属枠にぶつけたとき目は閉じた。；奴にぶつけるのは得策ではないと判断した僕は、お盆ごと窓から捨てた。；すさまじい勢いでぶつけて来たこの山にはすでに人影もなかったのである。；馬をぶつけるようにして、前方に押し進み一気にそのまま振り切るのだ。；男はテーブルの角に頭をぶつけ、そのまま死んだように動かなかった。；帽子店の隣にあるうちの煙突に石をぶつけることだってできそうです。；頭のほうからうっかり乗ろうとすると、お頭をぶつけるといけませんよ。；すでに咽喉元まできていた怒りを理由もないその奇妙な軽蔑にぶつけた。；わたしはそれ以上待って聞くことはせず、目の前の羽目板に体をぶつけた。；先ほどの攻撃もそうだったが、力を目先の相手にぶつけるような戦い方だ。；どこかに頭でもぶつけたのだろう、ゴンという音がして、静かになった。；俺はその頃は、雨あられのように弾をぶつけるのが習慣になっていたから。；これは、椅子から落ちたときに、テーブルの足に頭をぶつけたためでした。；家の中を歩くにも、家具の角や柱に足やら肩やらぶつけてばかりです。；彼は前日、3人が車をぶつけてケンカをしそうになった相手だったのだ。；自分の気持ちを本人にぶつけることのできる場ができてしまった。；眼が蹴りを捉えた瞬間、宮戸彦は顔を台にぶつけるつもりで頭を下げた。；初登場時は夏以外に浜茶屋へ客が来ない怒りを海にぶつけ叫んでいた。；女性も喧嘩に参加することがあるが、女性の場合は腰をぶつけ合う。；風はその外側の硝子へときどき思い出したように大粒の雨をぶつけていた。</t>
        </is>
      </c>
      <c r="J7407">
        <f>HYPERLINK("https://www.weblio.jp/content/ぶつける", "词义详情")</f>
        <v/>
      </c>
      <c r="K7407">
        <f>HYPERLINK("https://yourei.jp/ぶつける", "查看例句")</f>
        <v/>
      </c>
    </row>
    <row r="7408">
      <c r="A7408" t="inlineStr">
        <is>
          <t>物件</t>
        </is>
      </c>
      <c r="B7408" t="inlineStr">
        <is>
          <t>成功</t>
        </is>
      </c>
      <c r="C7408" t="inlineStr">
        <is>
          <t>読み方：ぶっけん
１物品。品物。「証拠—」
２契約などの対象としての動産および不動産。「優良—」</t>
        </is>
      </c>
      <c r="D7408" t="inlineStr">
        <is>
          <t>物件情報；物件名；物件探し；物件費；物件駅</t>
        </is>
      </c>
      <c r="E7408" t="inlineStr">
        <is>
          <t>もの；事；物；品；記事</t>
        </is>
      </c>
      <c r="F7408" t="inlineStr">
        <is>
          <t>賃貸物件；指定物件；不動産物件；抵当物件；中古物件</t>
        </is>
      </c>
      <c r="H7408" t="n">
        <v>29</v>
      </c>
      <c r="I7408" t="inlineStr">
        <is>
          <t>目的は、一定規模の物件業務を共同で受注を目指し設立することである。；これは、イタリアおよびフランスと共有する暫定リスト記載物件である。；現在では珍しくなっているが、郊外で新築物件の供給が行われている。；以下の物件が世界遺産リストに加えてよいかどうかの審議の対象となった。；このようなことから、以下の物件が重要有形民俗文化財に指定されている。；複数の物件がひとつのユニットの構成要素となっている場合もある。；以前に住宅であった建物を改装してオフィスにした物件なども多く存在する。；その金髪の物件の長所を高く評価するのは商品を知っている人間だけだった。；登録されている物件には、以下のような多様な分野の建造物がある。；県道であることを示す物件は国道182号にある路線表示だけである。；ユース年代で成功を収めると、家族はの隣に初めての物件を購入した。；ユネスコの世界遺産リスト登録物件となっている集合住宅を以下に示す。；「不登録」と決議された物件は、原則として再推薦することができない。；ノミネートされている物件は、歴史的にはほぼ解明されたものが多い。；世界遺産リストから抹消された物件が出たのは、これが初めてである。；一度「不登録」と決議された物件は、同じ理由での再推薦はできなくなる。；オーストラリアは、以下の2つの物件を暫定リストとして記載している。；家賃の他にも、物件を借用する際に必要となる金銭が存在する場合がある。；アントウェルペン市内には、世界遺産に登録されている物件が4つある。；国立公園局の所有でない物件には登録されていないものもある。；同社の目標は、アジア大陸内で200万の物件を追加取得することである。；シリーズ通してほとんどの作品にて岡山駅に登場する最高額物件。；中国当局は、そこで除外された物件の将来的な推薦に含みを持たせている。；現在は日選開発から分離された別の子会社が既存物件の管理・運営などを行っている。；駅前に位置する物件が多く、街のランドマークの一つともなっている。；推薦されていて登録が見送られた物件には、以下のものがある。；日本大手の建築模型会社であり、数多くの有名物件を手がけている。；直後の物件名はそれに分類されている世界遺産の例である。；最初に、本作に登場する99か所全ての物件駅に止まった人の勝ち。</t>
        </is>
      </c>
      <c r="J7408">
        <f>HYPERLINK("https://www.weblio.jp/content/物件", "词义详情")</f>
        <v/>
      </c>
      <c r="K7408">
        <f>HYPERLINK("https://yourei.jp/物件", "查看例句")</f>
        <v/>
      </c>
    </row>
    <row r="7409">
      <c r="A7409" t="inlineStr">
        <is>
          <t>復興</t>
        </is>
      </c>
      <c r="B7409" t="inlineStr">
        <is>
          <t>成功</t>
        </is>
      </c>
      <c r="C7409" t="inlineStr">
        <is>
          <t>読み方：ふっこう
［名］(スル)いったん衰えたものが、再びもとの盛んな状態に返ること。また、盛んにすること。再興。「災害から—する」「伝統工芸を—する」</t>
        </is>
      </c>
      <c r="D7409" t="inlineStr">
        <is>
          <t>復興事業(3%)；復興運動；復興させる；復興資金；復興しよ</t>
        </is>
      </c>
      <c r="E7409" t="inlineStr">
        <is>
          <t>回復；復活；再現；再興；蘇生</t>
        </is>
      </c>
      <c r="F7409" t="inlineStr">
        <is>
          <t>経済復興；災害復興；帝都復興；東日本大震災復興；農村復興</t>
        </is>
      </c>
      <c r="G7409" t="inlineStr">
        <is>
          <t>復興期；復興計画；復興局；復興庁；復興副大臣</t>
        </is>
      </c>
      <c r="H7409" t="n">
        <v>29</v>
      </c>
      <c r="I7409" t="inlineStr">
        <is>
          <t>話者の子孫たちを中心にするグループが言語復興運動をおこなっている。；市内には新たな地区が建設され、他の教会と同様に大聖堂が復興した。；現在は市の施策などで伝統的な名産品の復興などに力が注がれている。；近年は政府による積極的なアイルランド語復興政策が実行されている。；内戦からの急速な復興を受けて、中印など外国企業の進出も盛んである。；現在、復興の動きがあり、公共の建物の看板などに見ることができる。；中世以来本来の姿を失った八神殿の復興は祭政一致の具体的な実現を意味した。；しかし2000年頃を境にかつてのような評価を得られるほどまでの復興を果たした。；図書館などの周辺施設の復興にあたっては、内務省から補助がなされた。；その後、地元財界の力で復興し、その時に現在の温泉街の光景が作られた。；残された人間の力で世界が復興し始めたのがこの頃。；帰国後すぐに戦後の復興後のテレビ放送の草創期より活動を始める。；復興援助は、危機が起こるたびに小出しになされる類のものであってはならない。；米内の予想では「日本が本当に復興するまで二百年かかる」と述べたという。；その一つが農民の負担を軽減する目的で行ったさまざまな減税・復興政策だった。；それを復興させたのはイギリスのハマー・フィルム・プロダクションであった。；近年では、復興の意識等から住民の製作によるものも出している。；第二次世界大戦の戦災で人口が減った東京は、戦後復興の中で再び成長した。；東海道線の大火災の時にはすぐに現場に駆けつけて復興の手をさしのべた。；戦後になると、一部の日本人は戻り地域の再復興を行った。；第二次世界大戦では空襲で大きな被害を受けるが、戦後に復興する。；天正年間に安国寺恵瓊が復興に努め、江戸時代にも修理が継続して行われた。；しかし、天保14年には現在の社殿が再建されて復興を果たしている。；両寺はその後すぐに復興し真言宗に所属することとなった。；近世には江戸が東国の中心となり、江戸時代には寺社の復興が始まる。；またこの頃から戦後復興を果たしたヨーロッパなど各国で主力戦車開発がなされるようになった。；イスラム国家の建設とカリフ制の復興を掲げて武装闘争を行っている。；これはイタリアにおける都市の最初の復興を合図したものだった。；その滑走路は地元の農民が破壊し農地に復興させたため今では見ることができなくなっている。</t>
        </is>
      </c>
      <c r="J7409">
        <f>HYPERLINK("https://www.weblio.jp/content/復興", "词义详情")</f>
        <v/>
      </c>
      <c r="K7409">
        <f>HYPERLINK("https://yourei.jp/復興", "查看例句")</f>
        <v/>
      </c>
    </row>
    <row r="7410">
      <c r="A7410" t="inlineStr">
        <is>
          <t>物資</t>
        </is>
      </c>
      <c r="B7410" t="inlineStr">
        <is>
          <t>成功</t>
        </is>
      </c>
      <c r="C7410" t="inlineStr">
        <is>
          <t>読み方：ぶっし
人間の生活や活動のために必要な品物・資材。また、資源。「—が不足する」「救援—」</t>
        </is>
      </c>
      <c r="D7410" t="inlineStr">
        <is>
          <t>物資輸送(5%)；物資不足(4%)；物資補給；物資集積；物資調達</t>
        </is>
      </c>
      <c r="E7410" t="inlineStr">
        <is>
          <t>資産；人材；資材；人的資源；経営資源</t>
        </is>
      </c>
      <c r="F7410" t="inlineStr">
        <is>
          <t>生活物資；必要な物資；輸送物資；必要物資；闇物資</t>
        </is>
      </c>
      <c r="G7410" t="inlineStr">
        <is>
          <t>物資別適合貨車</t>
        </is>
      </c>
      <c r="H7410" t="n">
        <v>29</v>
      </c>
      <c r="I7410" t="inlineStr">
        <is>
          <t>人間の場合は物資的な火があるものであり、悪魔の場合は存在物である。；このように、自動車は単に人や物資を輸送するだけの存在に留まらない。；運ばれた物資は都の中にある大きな2つの市に送り、人々の生活を支えた。；そのために、ヨーク公が必要としていた兵も物資も追加投入を拒否された。；アメリカの武器貸与法でアメリカからソ連への大量の物資援助も行われた。；物資不足から激しいインフレーションも起こって民衆の生活を直撃した。；その他、主要貿易相手国によるものや主要物資に掛かるものなどがある。；ドル不足が進めば、ヨーロッパは海外物資の輸入を縮減せざるを得ない。；残された海岸部分を利用して、医療物資などの搬入も優先的に行っていた。；明治になって総武鉄道の駅が置かれたのも物資の輸送を重視していたからである。；潜水艦に搭載できる物資や人員数は限られており、最小限の輸送であった。；戦略空輸とは、大量の物資をある地域から別の活動地域に運ぶ任務である。；リングはスポークで結ばれ、スポークは人や物資の移動にも使用される。；物資不足の中、下着も不足し、古くなった服を再加工したものも使われた。；物資不足に伴い、印刷は黒一色で、目打が省略されたものも製造された。；この島はカリカットへ向かう前の物資補給地点としてよく利用されていた。；南明は日本の江戸幕府に何度も援軍の派遣や物資援助を要請している。；父は戦後の物資難の中で小学校1年生の頃から沖仲士の仕事に従事していた。；これは、食糧や水を始めとするあらゆる物資を船で輸送していたためである。；専売制を導入するためには対象となる消費物資の生産・流通が集中的である必要がある。；島にはフランスと違うアメリカの文化や物資が豊富に流入した。；また潜水艦への物資補給時に必要となる艦載艇も搭載されていた。；当時の袁紹軍は補給に苦しんでおり、物資の供給を韓馥に依存していた。；大量の物資を非常食として家庭にストックしておくのは現実的に難しい。；日本は同盟国のドイツにシベリア鉄道で大量の物資を供給していた。；サハラ交易により塩・黄金・奴隷といった物資がここを経由し運ばれた。；この2隻は物資を積んでフィリピンへ向かおうとしていた船であった。；ちなみにこの時集められた物資の中には酒保で使用する冷凍機や酒も含まれていた。；輸送物資と便乗者を降ろした後出港し、6月1日にトラックに到着した。</t>
        </is>
      </c>
      <c r="J7410">
        <f>HYPERLINK("https://www.weblio.jp/content/物資", "词义详情")</f>
        <v/>
      </c>
      <c r="K7410">
        <f>HYPERLINK("https://yourei.jp/物資", "查看例句")</f>
        <v/>
      </c>
    </row>
    <row r="7411">
      <c r="A7411" t="inlineStr">
        <is>
          <t>物質</t>
        </is>
      </c>
      <c r="B7411" t="inlineStr">
        <is>
          <t>成功</t>
        </is>
      </c>
      <c r="C7411" t="inlineStr">
        <is>
          <t>読み方：ぶっしつ
１もの。品物。生命や精神に対立する存在としての物。「—の世界」
２物理学で、物体を形づくり、任意に変化させることのできない性質をもつ存在。空間の一部を占め、有限の質量をもつもの。素粒子の集まり。相対性理論ではエネルギーの一形態、量子論では場とされる。
３哲学で、感覚によってその存在が認められるもの。人間の意識に反映するが、意識からは独立して存在するもの。</t>
        </is>
      </c>
      <c r="D7411" t="inlineStr">
        <is>
          <t>物質的(4%)；物質化；物質転送；物質輸送；物質性</t>
        </is>
      </c>
      <c r="E7411" t="inlineStr">
        <is>
          <t>物；サブスタンス</t>
        </is>
      </c>
      <c r="F7411" t="inlineStr">
        <is>
          <t>非物質；出発物質；遺伝物質；構成する物質；性物質</t>
        </is>
      </c>
      <c r="G7411" t="inlineStr">
        <is>
          <t>物質界；物質量；物質主義；物質文明；物質科学</t>
        </is>
      </c>
      <c r="H7411" t="n">
        <v>29</v>
      </c>
      <c r="I7411" t="inlineStr">
        <is>
          <t>物質はそうした現象や出来事が起こる場や対象のような位置を占めている。；帰還カプセルの中には小惑星由来と考えられる物質が大量に入っていた。；どちらの場合も、物質や情報が光速を超えて伝播しているわけではない。；物質が燃焼すると、残った物質が軽くなる場合と重くなる場合とがある。；異なる物質同士の値の大小で単純に害の大小を比較することはできない。；様々な物質で以下のようないくつかの形態の磁気的な振る舞いが見られる。；この様に、観念的には物質の概念と存在概念と分離することは難しい。；圧力をかけたり変化させたりすることで、以下のような性質を示す物質がある。；このようにタンパク質を変性させる作用をもつ物質は変性剤と呼ばれる。；衆生と生命でない物質との境は、ある存在が識を持つか否かで区別される。；動物によって特に大きく異なっている機能は、皮膚の物質透過性である。；なお、哲学的に言えば、物質は宇宙を構成する諸存在のうちの1つである。；この過程の細かい部分は宇宙の物質の量と種類によって変わってくる。；固定化とは、工業用酵素を土台となる物質に固定して用いる方法である。；より危険なバイオハザード物質を扱う部屋ほど、多くの対策が必要となる。；光電子の放出は物質に一定の振動数以上の光を照射した時のみ発生する。；化学的には非常に安定した物質であり、一般的な酸や塩基には溶けない。；この点でもウイルスは生物というよりは物質と言える側面があることがわかった。；バンドギャップのためにそのような状態とならない物質が絶縁体である。；欲や煩悩は無いが、物質や肉体の束縛からは脱却していない世界である。；は、生物から単離される無極性溶媒に可溶な物質を総称したものである。；空気中で不安定な物質であるため、研究もまた不活性雰囲気下で行われる。；この新しい生は物質性を捨て、人類史から神の世界に逃れることではない。；たとえばコーヒーの香りからは500種の物質が数えられている。；次の20億年にかけて蓄積された物質は銀河円盤を形成するようになる。；混合されている試料を計測する単位は、質量や物質量であることが多い。；そして再び次の反応のために基質を取り込み、目的の物質を生成し続ける。；分析・合成が不可能な未知の物質でできており、偽造は不可能である。；規則的パターンで並んで構成されている物質は結晶と呼ばれる。</t>
        </is>
      </c>
      <c r="J7411">
        <f>HYPERLINK("https://www.weblio.jp/content/物質", "词义详情")</f>
        <v/>
      </c>
      <c r="K7411">
        <f>HYPERLINK("https://yourei.jp/物質", "查看例句")</f>
        <v/>
      </c>
    </row>
    <row r="7412">
      <c r="A7412" t="inlineStr">
        <is>
          <t>物色</t>
        </is>
      </c>
      <c r="B7412" t="inlineStr">
        <is>
          <t>成功</t>
        </is>
      </c>
      <c r="C7412" t="inlineStr">
        <is>
          <t>読み方：ぶっしょく
［名］(スル)
１多くの中から、適当な人や物を探し出すこと。「手ごろなマンションを—する」「空巣が家の中を—する」
２物の色や形。また、景色や風物。
「秋八月、—を見て作る」〈万・一五九九・左注〉</t>
        </is>
      </c>
      <c r="D7412" t="inlineStr">
        <is>
          <t>物色する(16%)；物色中(2%)；物色しはじめ；物色し始め；物色しよ</t>
        </is>
      </c>
      <c r="F7412" t="inlineStr">
        <is>
          <t>あちこち物色；物色する事</t>
        </is>
      </c>
      <c r="H7412" t="n">
        <v>29</v>
      </c>
      <c r="I7412" t="inlineStr">
        <is>
          <t>人の住居から遠くへきたと思った頃、目をあげてあたりを物色してみた。；娘を進学させると急に言いだしたし、アパートを物色しているとも言う。；彼らはそこを物色し終わったら、いずれ屋敷内に入ってくるに違いない。；この部屋でなにか証拠の品のようなものを物色していたのであろうか。；彼は、妻が残して行った安ぴか物の山の中を長いことかかって物色した。；目的が異なるとはいえ、無人の部屋を物色する行為は似たようなものだ。；部屋を物色している最中に男が入って来て、あんたを捕まえようとする。；誰かがこの部屋を物色したと、明らかにそう思われるような形跡だった。；南はとても家の近くではいけないと思ったので遠くの方を物色した。；他にも何か、武器になる者はないか、物色しているところで物音がした。；バッグは物色された様子はなく、奥の寝室のベッドの横に置かれていた。；信吉達のテーブルの傍にも、空いた場所を物色している客が立っていた。；室内は物色した形跡が認められたが、何を盗まれたかは判明しなかった。；夕食時になると、食事に連れていってくれるだれかを物色している女たち。；それぞれの小屋のやさしいお母さん役になる人を、もう物色しています。；なにか飲物を売る店を物色しながら、彼は駅の方向に力なく歩いていた。；義舎をどのあたりに建てればよいか、その場所を物色していたのである。；さて、残されている問題は、夜の話し相手となる江戸の娘の物色である。；埃っぽい店の中を物色していると、布で覆われた籠から歌が聞こえてきた。；そうして自分の将来を影響し得るような人を物色して、二三の訪問を試みた。；警察は勿論、われわれもみんなその方面を物色することになりました。；彼は活溌に左右に眼を配って、若い細君でも出て来そうな家を物色した。；金を探して室内を物色したとき、他の桜草にも接触した可能性がある。；誰にしようかな、と物色しはじめたとき、背後で女の子の悲鳴が聞こえた。；そして、あとは誰れかれと自分で物色して立ちどころに団員を任命した。；彼らは後ろに立ちながら、入ってくる男を物色しているのだろうか。；江戸の娘たちを物色して、公使館員のラシャメンに世話する仕事である。；さうして自分の將來を影響し得る樣な人を物色して、二三の訪問を試みた。；彼女はそこにやってくる客の中から適当な男を物色しているだけだ。</t>
        </is>
      </c>
      <c r="J7412">
        <f>HYPERLINK("https://www.weblio.jp/content/物色", "词义详情")</f>
        <v/>
      </c>
      <c r="K7412">
        <f>HYPERLINK("https://yourei.jp/物色", "查看例句")</f>
        <v/>
      </c>
    </row>
    <row r="7413">
      <c r="A7413" t="inlineStr">
        <is>
          <t>物騒</t>
        </is>
      </c>
      <c r="B7413" t="inlineStr">
        <is>
          <t>成功</t>
        </is>
      </c>
      <c r="C7413" t="inlineStr">
        <is>
          <t>読み方：ぶっそう
［名・形動］
１よくない事が起きたり起こしたりしそうな危険な感じがすること。また、そのさま。「—な世の中」「—な連中」
２ざわざわとして落ち着かないこと。また、そのさま。
「京中—の由承る間」〈古活字本保元・上〉
３落ち着きがなく、そそっかしいこと。また、そのさま。
「—なる僧にて」〈沙石集・八〉
[補説] 「ぶっそう」が「ものさはがし」に「物騒」と当てて音読した和製漢語であるとする説もあるが、保元物語・沙石集とも「物忩」を当てているところからみて疑わしい。また、歴史的仮名遣いも「物忩」ならば「そう」である。</t>
        </is>
      </c>
      <c r="D7413" t="inlineStr">
        <is>
          <t>物騒な話(3%)；物騒な世の中；物騒な事件；物騒な連中；物騒な場所</t>
        </is>
      </c>
      <c r="E7413" t="inlineStr">
        <is>
          <t>危険；危ない；不穏；険悪；危い</t>
        </is>
      </c>
      <c r="F7413" t="inlineStr">
        <is>
          <t>こんな物騒；あんな物騒；物騒極まりない；物騒きわまる；こういう物騒</t>
        </is>
      </c>
      <c r="G7413" t="inlineStr">
        <is>
          <t>物騒がしく；物騒がし；物騒がしき</t>
        </is>
      </c>
      <c r="H7413" t="n">
        <v>29</v>
      </c>
      <c r="I7413" t="inlineStr">
        <is>
          <t>その物騒な集団の接近を、セーラー服の少女が二階の教室から見ていた。；中央に置かれた長いテーブルには、物騒な物がずらりと並べられていた。；昼間からそんな物騒な所があるとは、これまで考えたこともなかった。；とたんに新宿で物騒な連中にとり囲まれて暮らしていた頃の勘が働いた。；別に昼間、物騒なことが起こるなどと思っているわけではないものの。；しかし握りしめた彼の拳は彼が物騒な考えを抱いていることを示していた。；冬場は日が落ちるのが早く、最近の物騒な事件を考慮しての事だろう。；生首のような物騒なものを、犯人がそう遠くまで持ちはこぶわけがない。；ニューヨークの夜は物騒なので、滞在中の用心棒を買って出てくれたのだ。；夜は物騒だけれども昼間はそうでもないということなのであろうか。；甲府の人は一時の物騒な夜中の警戒から解放されることになりました。；そんな物騒なものを津村君が、もってるはずがないじゃありませんか。；物騒で油断のならない もヂか 男だが、脾いになるのはひどく難しい。；「その必要があって覚えた、というところかな」 物騒な女王様である。；ひどく物騒なやつが入って来たら、向うで手を出す前に臨機の処置をとる。；彼女がなぜこんな物騒なものをもっていたのか、私は知りません。；此の辺はわりに物騒ですから、家を空けておいでになることはよくない。；別に、誰かを殺そうなどと云う物騒な考えを持っていた訳ではない。；もう一度出て来てくれないものか、とおれは物騒なことを考えた。；それほど物騒な人間だとすると、あまり近づかないほうがいいようだ。；感動している僕の後ろでは、ふたりが何やら物騒な会話をしていた。；物騒な世の中だから、三十名ほどの兵士をつけて、西へ送ることになっていた。；このごろのやうに世間が物騒だと、一人でも男の方の多い方が安心なんですよ。；やや物騒な趣味ではあるが、これまで妻と娘の3人で幸せな家庭を築いてきた。；人にものを聞くのに、そんな物騒なものをちらつかせるもんじゃない。；いくらあんな物騒な格好をしていようと、少女は俺より小さな女の子なんだ。；そんな物騒なところで、人前でガソリンを被ったとは考えられんだろう。；こんな動物といっしょに夜山越をしたとすると、誰だって物騒な気持になる。；そんなめでたい席に、誰が、そんな物騒な物を持って行くというんです?</t>
        </is>
      </c>
      <c r="J7413">
        <f>HYPERLINK("https://www.weblio.jp/content/物騒", "词义详情")</f>
        <v/>
      </c>
      <c r="K7413">
        <f>HYPERLINK("https://yourei.jp/物騒", "查看例句")</f>
        <v/>
      </c>
    </row>
    <row r="7414">
      <c r="A7414" t="inlineStr">
        <is>
          <t>仏像</t>
        </is>
      </c>
      <c r="B7414" t="inlineStr">
        <is>
          <t>成功</t>
        </is>
      </c>
      <c r="C7414" t="inlineStr">
        <is>
          <t>読み方：ぶつぞう
礼拝の対象として製作された仏の彫像・画像。多く彫像をいう。釈迦(しゃか)仏以外の諸尊仏の像もさす。</t>
        </is>
      </c>
      <c r="D7414" t="inlineStr">
        <is>
          <t>仏像彫刻(2%)；仏像群；仏像等；仏像構造線；仏像仏具</t>
        </is>
      </c>
      <c r="F7414" t="inlineStr">
        <is>
          <t>小さな仏像；巨大な仏像；大きな仏像；小仏像；阿弥陀仏像</t>
        </is>
      </c>
      <c r="G7414" t="inlineStr">
        <is>
          <t>仏像写真；仏像盗難事件</t>
        </is>
      </c>
      <c r="H7414" t="n">
        <v>29</v>
      </c>
      <c r="I7414" t="inlineStr">
        <is>
          <t>お堂の中央には4つの扉それぞれを向いた4体の仏像が設置されている。；これらの仏像の造立には徳一が何らかの形で関わっている可能性が高い。；仏像の胸部には継ぎ目が無いことから仏胴の名が付いたと言われている。；なお、その議論の対象は銘文のみで、仏像そのものの成立時期ではない。；同ミュージアム開館以前の法華堂内の仏像の配置は次のとおりであった。；仏像では、このように口髭だけを表現し、他のひげは表現しない例が多い。；上に紹介済みのものを除く、法隆寺境内の諸堂に安置の仏像を紹介する。；江戸後期には伽藍が再建され、この際に造られた多くの仏像を有している。；仏像が好きな理由は、怪獣のように見上げる迫力があったからだという。；また、岩のある和合山の南には仏像構造線が通っていると推定されている。；青や赤を使った極彩色の建物、黄金の仏像などタイ風の寺院建築である。；仏像が作られるようになったのはヘレニズムの影響によるものである。；この信条には、仏像に礼拝するなどの項目が含まれていたからである。；二人の妃はそれぞれ、自国から携えてきた仏像を祀る寺院を建立させた。；仏像は、岩間木集落に生えていた銀杏の大木一本から造ったといわれる。；これが奈良時代から日本の仏像製作者を悩ませる種になっていった。；仏堂内部に壁画ではなく漆工芸で仏像を表現しているのは日本でも珍しい。；日本彫刻史が専門で、仏像研究に日本で初めて光学的方法を適用した。；宝冠弥勒像は日本の古代の仏像としては他に例のないアカマツ材である。；その他、法隆寺等には「止利様式」と呼ばれる同系統の仏像が現存する。；また1970年代の文化大革命では、多数のタンガや仏像が破壊された。；窟のうち、北部は工人の住居となっており、ここには仏像や壁画は無い。；古い仏像では、もともと付いていたが失われていることもある。；仏教が中国へ伝わると、中国でも仏像が作られるようになった。；それがさらに日本へ伝わり、日本では仏像を作る際の大きさの目安になった。；近代以前に造られたものでは世界最大・最長の仏像であり、石像である。；なお、仏像のお清めなど宗教的なことも行われるが、仏教の祭日ではない。；仏像彫刻がこれらすべての柱に見られるが、ほとんどが傷つけられている。；終戦後は戦争中に供出された仏具・仏像などの文化財修理・保護に尽力。</t>
        </is>
      </c>
      <c r="J7414">
        <f>HYPERLINK("https://www.weblio.jp/content/仏像", "词义详情")</f>
        <v/>
      </c>
      <c r="K7414">
        <f>HYPERLINK("https://yourei.jp/仏像", "查看例句")</f>
        <v/>
      </c>
    </row>
    <row r="7415">
      <c r="A7415" t="inlineStr">
        <is>
          <t>物体</t>
        </is>
      </c>
      <c r="B7415" t="inlineStr">
        <is>
          <t>成功</t>
        </is>
      </c>
      <c r="C7415" t="inlineStr">
        <is>
          <t>読み方：もったい
１外見や態度の重々しさ。
２態度や風格。また、物の品位。
「遣手(やりて)にしては—がよし」〈伎・助六〉</t>
        </is>
      </c>
      <c r="D7415" t="inlineStr">
        <is>
          <t>物体同士；物体a；物体そのもの；物体表面；物体b</t>
        </is>
      </c>
      <c r="F7415" t="inlineStr">
        <is>
          <t>黒い物体；巨大な物体；小さな物体；大きな物体；あらゆる物体</t>
        </is>
      </c>
      <c r="G7415" t="inlineStr">
        <is>
          <t>物体認識；物体力；物体性</t>
        </is>
      </c>
      <c r="H7415" t="n">
        <v>29</v>
      </c>
      <c r="I7415" t="inlineStr">
        <is>
          <t>この位置にある物体は決して地球や月に遮られることがないからである。；物体間で仕事を通じて移動する以外のエネルギーの移動形態を熱という。；しかし絶対零度より低い温度を持つ物体はないのでこれは不可能である。；ここで配置とは、物体の全ての物質点の位置から構成される集合である。；このとき圧力は物体の上と下では異なり、下から受ける力の方が大きい。；物体化説では、文書を物理的に作成した者が文書の作成者であるとする。；そしてこのことからすべての物体間に重力が作用することを主張した。；彼は移動速度が物体の物理的な大きさにどう影響するかを表す式も提出した。；力の方向は、円運動の場合には物体が運動している円の中心を向いている。；このため20世紀初頭の物体を測定すると見かけの年代が実際より古くなる。；タイムマシンはトラックの荷台に乗せて移動させる静止した物体だった。；接する物体どうしが直線相対運動を行う場合は転がり案内が有効である。；第六の一書も本書とほぼ同様に葦の芽のような物体から神が生まれた。；後述するように、このような役割を果たす物体固有の量が、質量である。；その方向は、摩擦がなければその物体が動いたであろう方向の逆向きになる。；オーム性材料でできた物体の一定の抵抗値の定義をオームの法則と呼ぶ。；同様の特徴をもつ物質・物体についてもゼリー状と称することがある。；測量者はこの位置に器具を設置して、近くの物体を測定が可能となる。；これらの飛散物が、屋外のあらゆる物体や人に衝突して被害を発生させる。；場面を構成する物体の表面は多くの小さな平面に分割されている。；物体の位置を表現するには原点からの位置ベクトルを使う方法もある。；点滅する光や動いている物体などを見ると、音が聞こえる共感覚である。；この物体と共に運動する観測者にはこの物体の長さが で観測されるとする。；ひずみ状態の単位長さあたりに物体内の物質点がどれだけ変位するかを示す。；物体はそれぞれ熱を持っており、その温度に応じた電磁波を放射している。；古代の地層から発見された「石のような物体」が放った光で全人類が消滅。；運動エネルギーとは物体が動いているときに持つエネルギーである。；時を同じくして、綾奈が洞窟で見つけた卵状の物体から奇妙な生物が生まれる。；これを物体につけるとロボットになり、意思を持って歩くことができるようになる。</t>
        </is>
      </c>
      <c r="J7415">
        <f>HYPERLINK("https://www.weblio.jp/content/物体", "词义详情")</f>
        <v/>
      </c>
      <c r="K7415">
        <f>HYPERLINK("https://yourei.jp/物体", "查看例句")</f>
        <v/>
      </c>
    </row>
    <row r="7416">
      <c r="A7416" t="inlineStr">
        <is>
          <t>沸騰</t>
        </is>
      </c>
      <c r="B7416" t="inlineStr">
        <is>
          <t>成功</t>
        </is>
      </c>
      <c r="C7416" t="inlineStr">
        <is>
          <t>読み方：ふっとう
［名］(スル)
１わきあがり煮えたつこと。沸点に達し、液体の表面からだけでなく、内部からも気化が起こり、気泡がのぼりはじめる現象をいう。「やかんの湯が—する」
２盛り上がること。騒然となること。「世論が—する」「人気—」
３物価などが激しい勢いで上昇すること。「株価が—する」</t>
        </is>
      </c>
      <c r="D7416" t="inlineStr">
        <is>
          <t>沸騰する(17%)；沸騰させる(4%)；沸騰冷却；沸騰しはじめ；沸騰状態</t>
        </is>
      </c>
      <c r="F7416" t="inlineStr">
        <is>
          <t>話題沸騰；フロン沸騰；激しく沸騰；入れて沸騰；沸騰冷却方式</t>
        </is>
      </c>
      <c r="G7416" t="inlineStr">
        <is>
          <t>沸騰点；沸騰水；沸騰石；沸騰水型原子炉；沸騰都市</t>
        </is>
      </c>
      <c r="H7416" t="n">
        <v>29</v>
      </c>
      <c r="I7416" t="inlineStr">
        <is>
          <t>これは航空材料に使われるチタニウムですら沸騰してしまう温度である。；彼が器具としか考えなかった女は、感情を沸騰させて彼にせまってきた。；夏貴たちは犯人を捕まえはしたものの、問題を抱え頭を沸騰させていた。；明らかにお燗したお酒を放っていたものだから、沸騰し始めたんですね。；無邪気な彼女の眼に見すえられ、血の沸騰をおぼえぬ男があるだろうか。；体中を血が沸騰したようになったまま、動くこともできない僕に向かって。；この婚儀が公表されると、イギリスとスペインの両国で議論が沸騰した。；海のような人びとの群れは沸騰した金属の下敷きになって沈んでしまった。；そのことを考えるだけで、全身が沸騰しそうなほど怒りが湧いてきた。；だからその沸騰のさまの現場を見たいと考えることは、名目が立ちそうだ。；早いところこの状況を何とかしないと春香が沸騰しすぎて蒸発しちまう!；女の側に戻りたくないので沸騰するまで台所にいることにした。；その号が発売されてから、ただでさえ人気があった可奈の名声は沸騰した。；高度が高い場所では大気圧が低くなるため、水は低い温度で沸騰する。；胸の底には悲しみと怒りと爆笑とが、煮えたぎる湯のように沸騰していた。；しばらくすると、透明な油が分離して、沸騰する湯の表面に浮かんできた。；頭は沸騰するようで、ぼんやりした不安にぼくは捉えられていた。；このときに、日本国内で沸騰していた議論は各国との条約改正問題であった。；おれはそれを目にしたときに、全身の血が沸騰するのを感じた。；沸騰する海と太陽の焦熱地獄から、われわれを遠くへと吹きやっていたのだ。；すると、そいつが私から逃れて、沸騰している塊の中に消え去るのを見る。；まず実験素材と水を加えたフラスコがあり、これを常時加熱沸騰させる。；骨など分解されなかった固形物を除き、沸騰させて約10分間加熱する。；その言葉を聞いたとき、スパークは全身の血が沸騰したかと思った。；沸騰したお湯は火口湖から山の側面を滝のようになって流れ下った。；反応を開始させるために少量の水が加えられ、反応が進行すると水は沸騰する。；もう秋になっているのに、刑事たちの体温がぶくぶく沸騰しているようだ。；この領域では、鍋の水が沸騰するのと同じような動きで表面に泡が発生する。；しかし白井の最後の一言に、突然血が沸騰するような怒りを感じた。</t>
        </is>
      </c>
      <c r="J7416">
        <f>HYPERLINK("https://www.weblio.jp/content/沸騰", "词义详情")</f>
        <v/>
      </c>
      <c r="K7416">
        <f>HYPERLINK("https://yourei.jp/沸騰", "查看例句")</f>
        <v/>
      </c>
    </row>
    <row r="7417">
      <c r="A7417" t="inlineStr">
        <is>
          <t>ぶつぶつ</t>
        </is>
      </c>
      <c r="B7417" t="inlineStr">
        <is>
          <t>成功</t>
        </is>
      </c>
      <c r="C7417" t="inlineStr">
        <is>
          <t>［副］
１小声でものを言うさま。「いつも—（と）ひとりごとを言う」
２不平・不満や小言をいうさま。「陰で—（と）愚痴ばかり言っている」
３物が泡立つように煮えたつさま。「豆が—（と）煮えている」
４小さな粒や泡がたくさんできるさま。「肌に—（と）湿疹が出ている」
５物を細かく切るさま。また、何度も穴をあけるさま。「魚を—（と）切る」「障子に—（と）穴をあける」
［名］表面にたくさん出た粒状の物。「背中に—ができた」
［アクセント］はブツブツ、はブツブツ。</t>
        </is>
      </c>
      <c r="D7417" t="inlineStr">
        <is>
          <t>ぶつぶつ言う(3%)；ぶつぶつつぶやい(2%)；ぶつぶついう(2%)；ぶつぶつ呟い；ぶつぶつ呟き</t>
        </is>
      </c>
      <c r="E7417" t="inlineStr">
        <is>
          <t>ブツブツ；発疹；ポツポツ；ボソボソ；湿疹</t>
        </is>
      </c>
      <c r="F7417" t="inlineStr">
        <is>
          <t>ぶつぶついい；中でぶつぶつ；なにかぶつぶつ；なかでぶつぶつ；ぶつぶつ口小言</t>
        </is>
      </c>
      <c r="H7417" t="n">
        <v>29</v>
      </c>
      <c r="I7417" t="inlineStr">
        <is>
          <t>だから、ぶつぶつつぶやいていて何も言うことはないようなふうをした。；声には出さないが、その線の内部で、何かぶつぶつ云ってるじゃないか。；それを見て、ほかの家来たちがまたぶつぶつもんくをいいはじめました。；最後には、おれまで下宿の部屋のなかでひとりでぶつぶついいはじめた。；顔が赤くなり、なにかぶつぶついいながら、フランス窓からでていった。；私はぶつぶつ言いながら風車小屋をしめ、猫の通路の下に鍵をかくした。；それから、口の中で何かぶつぶつ言いながら、火の上にふりかけました。；靴がぬれてるとぶつぶつ言うのは、ぼくにはくだらないことだと思えた。；そばで働いていた検屍官がぶつぶつ言ったので、エラリーは身を引いた。；なかには、ぶつぶつ不平を言っているものもあるのを、王虎は耳にした。；そして口の中で、何やら小さく、ぶつぶつとつぶやいているのであった。；口径40cmでもぶつぶつした様子しかわからず、星には分離できない。；彼の番がめぐってきたとき、彼はただこうぶつぶつ言っただけだった。；修道士も勝手にぶつぶつしゃべっていたが、こちらの内容は理解できた。；かれらはぶつぶついい、汗を流しながらそれを置き、部屋をかたづけた。；口のなかでなにかをぶつぶついいながら、その泥を大型にこねあげていく。；こうぶつぶついうと、彼はまた自分の膝を抱えて居眠りを始めている。；もちろん、ぶつぶつと自問自答していたことのほうが大事だったのである。；京極堂はぶつぶついいながら座を立つと、部屋を出て玄関の方に向かった。；彼は口のなかで低い声にし、ぶつぶつ註釈を入れながら読みつづけた。；モコは、なにか無気味なわけのわからぬことをぶつぶつ繰り返していた。；ページをめくり、ぶつぶつと番号を口にしながらボタンを押していた。；集まった者は口の中でぶつぶつ言うことをやめませんでした。；そんな歌を、ぶつぶつつぶやきながら死んででもいるような口許だった。；ベルガラスがぶつぶつと悪態をつきながら、いったりきたりしはじめた。；そうぶつぶつ言って歩いているうちに、おれはパラダイス座に着いた。；でもGは一番若いから荷物をたくさん持たされ口の中でぶつぶつ言う。；横にいるピエロだけが、哀れっぽい口調でまたぶつぶつつぶやいていた。；「その書きつけはうまく似せてある」と彼は口のなかでぶつぶついった。</t>
        </is>
      </c>
      <c r="J7417">
        <f>HYPERLINK("https://www.weblio.jp/content/ぶつぶつ", "词义详情")</f>
        <v/>
      </c>
      <c r="K7417">
        <f>HYPERLINK("https://yourei.jp/ぶつぶつ", "查看例句")</f>
        <v/>
      </c>
    </row>
    <row r="7418">
      <c r="A7418" t="inlineStr">
        <is>
          <t>物理</t>
        </is>
      </c>
      <c r="B7418" t="inlineStr">
        <is>
          <t>成功</t>
        </is>
      </c>
      <c r="C7418" t="inlineStr">
        <is>
          <t>読み方：ぶつり
１物の道理。物の理法。
「その倫に由て—を害する勿れ」〈福沢・文明論之概略〉
２「物理学」の略。</t>
        </is>
      </c>
      <c r="D7418" t="inlineStr">
        <is>
          <t>物理的(40%)；物理学(4%)；物理攻撃(2%)；物理量；物理系</t>
        </is>
      </c>
      <c r="E7418" t="inlineStr">
        <is>
          <t>理学；自然哲学；物理学；窮理学；究理学</t>
        </is>
      </c>
      <c r="F7418" t="inlineStr">
        <is>
          <t>応用物理；非物理；物理フォーマット；物理媒体；物理ページ</t>
        </is>
      </c>
      <c r="G7418" t="inlineStr">
        <is>
          <t>物理的；物理学者；物理量；物理法則；物理学科</t>
        </is>
      </c>
      <c r="H7418" t="n">
        <v>29</v>
      </c>
      <c r="I7418" t="inlineStr">
        <is>
          <t>物理モードはシステム立ち上げ時とデバッガ用に用意されたものである。；したがって昔の戦争では冬の間にいったん進行がブツリと途切れている。；第四世代以降では各タイプにそれぞれ物理・特殊攻撃技が設定されている。；彼は移動速度が物体の物理的な大きさにどう影響するかを表す式も提出した。；つまり、物理的なものに変化がないかぎり、心的なものにも変化がない。；任意の物理系の温度はその系を構成する粒子の運動と関連している。；いくつかの例と、それらに関連する数学や物理学の分野について触れる。；物理カードの代わりに、画面に表示されるバーコードを提示して使用する。；分離するにはわずかな質量差を利用して物理的な方法で分離しなければならない。；この定理は保存則が物理系の任意の微分可能な対称性に伴うことを示す。；その中間は物理的な距離ではなく聴覚的な印象で定められている。；火鉢にぶつりともいわずに、くすんだ顔をして向い合っているに違いない。；そこでプランクは、式に物理的な説明がつけられるよう、考察を進めた。；人の「外界への物理的な働きかけ」の大部分は手を介して行われている。；しかしながらこれは物理の話であって、論理には直接関係するものではない。；吉田光由は密度そのものの物理的な関心が無かったことを示している。；またプログラムが不測の物理ファイルをアクセスしたり作成する事が無い。；長さのマイナス1乗の次元を持つさまざまな物理量を測るのに使われる。；同一の物理状況は、多くの同値な数学的な構成によりうまく記述される。；労働の合間に図書館へ通い、大学レベルの物理学と数学をマスターする。；心と関連した物理的な過程について研究している科学の分野には次のようなものがある。；前作のような物理的な体力ゲージは存在せず、TPが体力を兼ねている。；だが大きく揺らいだ火は、ぶつりと灯心を切ったかのように消えてしまう。；相手を倒したい心を極限まで極め、物理的な力へと変換したものとされる。；逆に言えば、人間と直に接する場合には物理的な何かに憑依する必要がある。；キロメートルを基礎としているが、実際の物理的な距離とは異なる。；書店という環境に存在する化学・物理的な刺激に原因を求める意見は多い。；脱灰で失われるのみでなく、物理的な力により破壊されることも多い。；なお、当初の発行主体は長岡半太郎らが主催する応用物理談話会であった。</t>
        </is>
      </c>
      <c r="J7418">
        <f>HYPERLINK("https://www.weblio.jp/content/物理", "词义详情")</f>
        <v/>
      </c>
      <c r="K7418">
        <f>HYPERLINK("https://yourei.jp/物理", "查看例句")</f>
        <v/>
      </c>
    </row>
    <row r="7419">
      <c r="A7419" t="inlineStr">
        <is>
          <t>筆</t>
        </is>
      </c>
      <c r="B7419" t="inlineStr">
        <is>
          <t>成功</t>
        </is>
      </c>
      <c r="C7419" t="inlineStr">
        <is>
          <t>読み方：ひつ
［音］ヒツ（漢）　［訓］ふで
［学習漢字］3年
〈ヒツ〉
１ふで。一般に、文字を書く道具。「筆硯(ひっけん)／鉛筆・擱筆(かくひつ)・硬筆・紙筆・執筆・朱筆・石筆・鉄筆・毛筆・万年筆」
２文字や絵をかくこと。「筆記・筆耕・筆者・筆順・筆致・筆法／悪筆・一筆・加筆・曲筆・健筆・主筆・随筆・代筆・達筆・遅筆・特筆・能筆・文筆・末筆・漫筆・略筆」
３ふでをとって書いたもの。「玉筆・古筆・真筆・拙筆・同筆・肉筆・名筆」
４土地の区画。「分筆」
〈ふで〉「筆先・筆箱・筆不精／絵筆・一筆」
［難読］土筆(つくし)</t>
        </is>
      </c>
      <c r="D7419" t="inlineStr">
        <is>
          <t>筆録；筆末；筆圧；筆使い；筆文字</t>
        </is>
      </c>
      <c r="E7419" t="inlineStr">
        <is>
          <t>表記；執筆；ペン；書き込み；作文</t>
        </is>
      </c>
      <c r="F7419" t="inlineStr">
        <is>
          <t>自ら筆；休筆；天呼筆；筆重組；筆押さえ</t>
        </is>
      </c>
      <c r="G7419" t="inlineStr">
        <is>
          <t>筆者；筆跡；筆記；筆名；筆致</t>
        </is>
      </c>
      <c r="H7419" t="n">
        <v>29</v>
      </c>
      <c r="I7419" t="inlineStr">
        <is>
          <t>このためこの改筆は作品全体の評価や解釈にも関わるという指摘がある。；利き手は箸や筆の持ち方とは全く異なることを理解しなければならない。；この場で初めて筆を使わずに手で直接描く手法を思い付いたという。；ディスプレイ上に生成される絵は鉛筆描き風にも筆描き風にもできる。；筆とは、毛の束を軸の先端に付けた、字や絵を書くための道具である。；時代の矛盾をついた洞察力のある筆は、日本でも紹介され、注目を受ける。；後述のように他の伝書とは異なり、世阿弥自身の筆によるものではない。；中の間の床脇の地袋の戸に描かれた鸚鵡と果物籠の図は呉春の筆である。；筆押さえなどは、字を示す上で必要がないとされることもある。；しかし彼の作品は無視されたため、1958年には作曲の筆を折った。；王は書いたときに酔っており、心のまま筆を動かして書き上げられた。；非常に筆が速く、週刊連載と並行して様々なイラストを発表している。；貧困を極めて精巧に描き出す李の筆は南北を通じて高く評価されている。；例えば黒鉛筆を使用して書いた部分はわずかではあるが電気を通す。；特徴的な点は、墓石が全体として筆の穂先のような形をしている点である。；地方にいながら筆一本で食べていくのは大変なこと。；しかし1928年に戦国時代の遺跡から筆が発見されたのでこの説は覆された。；これには上から下へ筆を運ぶ方法、下から上へ筆を運ぶ方法がある。；その場には多くの好事家が集っており筆を執りあっての画会となっていた。；鉛筆での筆記の際には、筆圧が必要以上に強いと芯が折れることがある。；臨江王は弁明書を書くための刀筆を要求したが、郅都は与えなかった。；持物は、古くは筆を持ち巻物に何かを書き留めている姿で表現された。；毛を二枚の木片で挟んだ形状のものが多いが、筆と類似した形状のものもある。；蒙恬が獣の毛を集めて作り、始皇帝に献上したのが筆の始まりとされていた。；社長はこれらを書くための専用の筆も持っている。；なお、この作品以後レハールは筆を折ったため、彼の最後の作品でもある。；土地所在図とは、一筆ないし数筆の土地の法的な所在を示す図面をいう。；この修正作業では、問題となる箇所を水で濡らした筆でなぞって消したという。；不完全菌のうち筆状体を作るものがPenicillium属に分類される。</t>
        </is>
      </c>
      <c r="J7419">
        <f>HYPERLINK("https://www.weblio.jp/content/筆", "词义详情")</f>
        <v/>
      </c>
      <c r="K7419">
        <f>HYPERLINK("https://yourei.jp/筆", "查看例句")</f>
        <v/>
      </c>
    </row>
    <row r="7420">
      <c r="A7420" t="inlineStr">
        <is>
          <t>ふと</t>
        </is>
      </c>
      <c r="B7420" t="inlineStr">
        <is>
          <t>成功</t>
        </is>
      </c>
      <c r="C7420" t="inlineStr">
        <is>
          <t>［副］
１はっきりした理由や意識もないままに事が起こるさま。思いがけず。不意に。ふっと。「—立ち止まる」「夜中に—目がさめた」
２素早く容易に行われるさま。すぐに。即座に。
「竜あらば、—射殺して」〈竹取〉
３動作の敏速なさま。つっと。
「猫また、あやまたず足もとへ—寄り来て」〈徒然・八九〉
[補説] 「不図」「不斗」などと当てても書く。</t>
        </is>
      </c>
      <c r="D7420" t="inlineStr">
        <is>
          <t>ふと気がつく；ふと思いつい；ふと見る；ふと思い出し；ふと気がつい</t>
        </is>
      </c>
      <c r="E7420" t="inlineStr">
        <is>
          <t>つい；偶然；たまたま；何となく；ふっと</t>
        </is>
      </c>
      <c r="F7420" t="inlineStr">
        <is>
          <t>言ふと；ふと思ひつい；ふとふり返る；ふと云ふこ；ふと振向い</t>
        </is>
      </c>
      <c r="G7420" t="inlineStr">
        <is>
          <t>ふとした；ふとい；ふとん；ふともも；ふとき</t>
        </is>
      </c>
      <c r="H7420" t="n">
        <v>29</v>
      </c>
      <c r="I7420" t="inlineStr">
        <is>
          <t>が、その中に、ふと或雑誌から、寄稿を依頼されてゐた事に気がついた。；ドナルドが空になった箱をふと見ると一枚のメッセージカードが入っていた。；ふと気がつくと、こうしの外の岩壁に、チロチロと光がさしていました。；だがふと縫之介と操姫の姿を目にした畑介は思いも寄らぬ行動に出た。；いつもと同じように眠りについたある日、ふと夢の国へと降り立った。；その声にふと眼がさめた時、涙は実際彼の煩に、冷たい痕を止めていた。；すっかり意気投合して大いに飲み、ふと気がつくともう十二時近くです。；二人はふと、このカップルのように振舞っていた昔の時代を思い返した。；出迎えた息子にそう言い、ふと見ると何だか難しそうな本を読んでいる。；僕はこの文章を書いてゐるうちにふとゲエテのことを思ひ出した。；この心地は、かの我を忘れて魂無何有の境に逍遙ふといふ心地ではない。；彼はその顔を眺めた時、ふとこの牛の瞳の中に何にか人間に近いものを感じた。；だが、今別の面をはぐろうとした時、ふとある記事が彼の注意をひいた。；かみさんが出て行った跡で、ふと気がつくと、二階に吉弥の声がしている。；が、更に驚いたのはこの頃ふと架上の書を縁側の日の光に曝した時である。；ふと上を見上げると、深い穴であったようで、光がまったく見えなかった。；それを無視して、ふと気が付けば、村中の男たちが彼を殺す準備をしていた。；柿江はそれを見ると、ふとまた考えてはならぬものを考えだしてしまっていた。；節右衛門がふと外を見ると、奇妙な男が唄いながら玄関に立っている。；主人がふと見ると、小さな小箱が部屋に置かれてあるのに気づいた。；トムがふとベッドに目をやると、そこには見知らぬ女性が眠っていた。；そしてふと動きかけた心の奥の喜びを心の奥に葬ってしまった。；ふと見ると高さ二尺ほどの鐘はすぐ眼の先に塵まぶれになって下っていた。；なるほどと思ってふと見たとき、一人だけ裸足になっていない少女を見つけた。；しかし男性から3高をとったら何が残るのかと、ふと考えてしまう。；しばらく指している内に、ふと一人が顔を上げると敵の【玉】が消えている。；きっかけは地方の温泉地でふと見かけた工芸品とそれに関わる人との出会い。；今日本郷通りを歩いてゐたら、ふと托氏宗教小説と云う本を見つけた。；「自動車が子供達の眼を覺しはしなかつたか知らん」 とふと私は思つた。</t>
        </is>
      </c>
      <c r="J7420">
        <f>HYPERLINK("https://www.weblio.jp/content/ふと", "词义详情")</f>
        <v/>
      </c>
      <c r="K7420">
        <f>HYPERLINK("https://yourei.jp/ふと", "查看例句")</f>
        <v/>
      </c>
    </row>
    <row r="7421">
      <c r="A7421" t="inlineStr">
        <is>
          <t>太い</t>
        </is>
      </c>
      <c r="B7421" t="inlineStr">
        <is>
          <t>成功</t>
        </is>
      </c>
      <c r="C7421" t="inlineStr">
        <is>
          <t>読み方：ふとい
［形］［文］ふと・し［ク］
１棒状のものの径が大きい。周囲が大きい。また、肢体などに肉や脂肪がついている。「—・いパイプ」「首が—・い」⇔細い。
２線状のものの幅が大きい。「—・い線」⇔細い。
３声量が豊かである。また、低く重々しい声である。「—・い声」⇔細い。
４大胆である。また、落ち着いている。「神経が—・い」⇔細い。
５横着である。ずうずうしい。「食い逃げとは—・い奴だ」「—・い了見」
６物事の規模が大きい。勢いが盛んである。⇔細い。
「苦心して—・くした身代を」〈木下尚江・良人の自白〉
[補説]動詞「ふとしく」の誤用から生じたシク活用の例が近世以降認められる。
「埋もれ木のふとしきを掘り得れば」〈読・莠句冊〉
[派生]ふとさ［名］</t>
        </is>
      </c>
      <c r="D7421" t="inlineStr">
        <is>
          <t>太い声(4%)；太い腕(3%)；太い眉(3%)；太い指(2%)；太い柱</t>
        </is>
      </c>
      <c r="E7421" t="inlineStr">
        <is>
          <t>大；低い；大きい；広い；大き</t>
        </is>
      </c>
      <c r="F7421" t="inlineStr">
        <is>
          <t>太い綱；太い棒；太いロープ；太い鎖；太い息</t>
        </is>
      </c>
      <c r="H7421" t="n">
        <v>29</v>
      </c>
      <c r="I7421" t="inlineStr">
        <is>
          <t>一番前の第一歩脚は太く発達し、左右で大きさや形が異なるものが多い。；尾に生えている毛の長さが5cmほどあるため、外観は太い尾に見える。；大きいものから小さいもの、また細いものから太いものまで様々ある。；礼子の太ッ腹な性格は、おそらく父親のそれを受けついだものであろう。；四人目は小枝だけを切って太い枝や木本体は残しておこうと提案する。；ユダヤ人入植者や国家宗教党など宗教勢力との太いパイプを有していた。；出音の傾向は明らかに違いProphecyの方が太い芯のある音がする。；太い方で描いた円の中に入ると翌日へ、細い方だと前日へ行くことができる。；葉の付け眼に特徴的な太い猫の爪のようなトゲが生えたつるの灌木である。；その直後に、旗姫は七郎太から魔の淫血を再度吹きつけられたのだから。；この塔は白く塗られ、中ほどに一本の太い赤い水平の帯が付けられている。；川崎重工製車両の編成ステッカーは文字が太いものへ変更されている。；大きい方は掌部は指部の3倍ほど長くて重厚、指部は短いが太くて鋭い。；最も多い方法は、2本の太い線で道路の端と端をつないだものである。；茎は太く硬くなるため杖の材料にもされ、アカザの杖は最高級とされる。；発動した時は縁の顔を中心に太い神経のような模様が体表に浮かび上がる。；花の先は糸状になり、長さは多様であるがカラスウリよりも総じて太い。；教会の荷重を支える太い支柱が、そのまま建築技術の名前になっている。；向上したパワーに対応する為にタイヤも若干太いものに変更された。；柄の下部は球根状に太くなり、それを深海底の泥に埋めて定着している。；頭部には太い上に短く、上方へ向かい先端がやや内側へ向かう角が生える。；その形が動物の太い尾のように見えたことから太尾と名付けられたといわれている。；歩脚は太いが短く、上から見た際に外縁から少しはみ出る程度である。；太く長い尾の先は手のような形状になっており、物を掴むことが可能である。；髪の毛はゴム状の太い毛がメデューサのように数十本ほど生えている。；その際には、おれん太くん・ギフ坊・ジェイくんも登場することがある。；胸脚の第一対は太く発達した鋏脚で、多くの場合は左右不対称である。；そのため、今でも前後左右のもっとも太い木は「担木」と呼ばれている。；一方山水画では、濃い墨の太い輪郭線を用いる独特の作風を示している。</t>
        </is>
      </c>
      <c r="J7421">
        <f>HYPERLINK("https://www.weblio.jp/content/太い", "词义详情")</f>
        <v/>
      </c>
      <c r="K7421">
        <f>HYPERLINK("https://yourei.jp/太い", "查看例句")</f>
        <v/>
      </c>
    </row>
    <row r="7422">
      <c r="A7422" t="inlineStr">
        <is>
          <t>不当</t>
        </is>
      </c>
      <c r="B7422" t="inlineStr">
        <is>
          <t>成功</t>
        </is>
      </c>
      <c r="C7422" t="inlineStr">
        <is>
          <t>読み方：ふとう
［名・形動］正当・適当でないこと。道理に合わないこと。また、そのさま。「—な手段」「—解雇」</t>
        </is>
      </c>
      <c r="D7422" t="inlineStr">
        <is>
          <t>不当な扱い(3%)；不当性；不当な差別；不当財産取引；不当な利益</t>
        </is>
      </c>
      <c r="E7422" t="inlineStr">
        <is>
          <t>悪；不正；不法；邪；不公平</t>
        </is>
      </c>
      <c r="F7422" t="inlineStr">
        <is>
          <t>不当財産；衆議院不当；不当行為；不当な干渉；不当な弾圧</t>
        </is>
      </c>
      <c r="G7422" t="inlineStr">
        <is>
          <t>不当利得；不当解雇；不当逮捕；不当表示；不当景品類及び不当表示防止法</t>
        </is>
      </c>
      <c r="H7422" t="n">
        <v>29</v>
      </c>
      <c r="I7422" t="inlineStr">
        <is>
          <t>また、ソ連に不当占領された北方領土は放棄していないと主張している。；のちに検察審査会で同事件での不起訴は不当であるとする議決を行った。；この干ばつに対する世界からの援助金は、不当に使われてしまっている。；言葉狩りとは不当な要求をして特定の言葉を遣わせないようにする事。；不当廉売とは、不当に安い価格で商品やサービスを提供することをいう。；黒人は今でも様々な面で社会的に不当な差別を受けているとされる。；評価又は判断の内容が不当というだけでは訂正等を請求することはできない。；その一方で、本当に不当で病的にクレーム請求をしてくる人も含まれる。；気の弱い男性役・不当に虐げられる役・詐欺師・道化役まで幅広く担当。；犯罪によって得られた利益を、犯人のもとに残すことは不当だからである。；日興と改宗した住僧らは住職たちの不当な迫害を幕府に訴えて対抗した。；つまり農民は甚だしく不当な安値で作った米を評価されたのである。；この期間を含めると、不当に平均賃金が低くなるおそれがあるためである。；この不当議決を受けての再捜査の結果も嫌疑不十分で不起訴とされた。；このような批判に対し、6つの疑問点をあげてその批判の不当さを指摘する。；その後さらに、このことを理由にしてさらなる不当要求をされるおそれもある。；ウズベク人達自身は中央政府は自分たちを不当に扱っていると感じていた。；我々は今日この非難が不当なものであると知っているが、この話はこれまで何度も採用されてきた。；この複雑な単位系の換算は、真珠商人が不当な利益を得る源にもなったという。；自分が受けた不当な迫害の元でも神の慈悲を彼は信じていた。；だが、老社員が不当にクビにされたことを社長に抗議して自分も解雇されてしまう。；バプテスマのヨハネは、この結婚が不当であると非難したために投獄された。；マルチ業者はこのような評価を不当だとしているが、現実にはそのような評価がなされている。；利益が不法という意味ではなく、利益を得る方法が不当という意味である。；弁護士が調査を担当して、不当行為が明確になった場合はJOCが対応することになった。；家族の友人には拘束され不当な扱いを受けた者もいた。；労働者が団結して不当な首切りから雇用を守る闘いが発展することは大事。；不当は、正しくないこと、妥当ではないこと、道理に外れたことを指す。；原告は1974年に同行が行った買いオペで不当な利益が生じていると主張。</t>
        </is>
      </c>
      <c r="J7422">
        <f>HYPERLINK("https://www.weblio.jp/content/不当", "词义详情")</f>
        <v/>
      </c>
      <c r="K7422">
        <f>HYPERLINK("https://yourei.jp/不当", "查看例句")</f>
        <v/>
      </c>
    </row>
    <row r="7423">
      <c r="A7423" t="inlineStr">
        <is>
          <t>葡萄</t>
        </is>
      </c>
      <c r="B7423" t="inlineStr">
        <is>
          <t>成功</t>
        </is>
      </c>
      <c r="C7423" t="inlineStr">
        <is>
          <t>読み方：えび
１「葡萄色(えびいろ)」の略。
２「葡萄染め」の略。
３ブドウやエビヅルなどの別名。</t>
        </is>
      </c>
      <c r="D7423" t="inlineStr">
        <is>
          <t>葡萄棚(7%)；葡萄栽培(2%)；葡萄鏡；葡萄唐草；葡萄畠</t>
        </is>
      </c>
      <c r="E7423" t="inlineStr">
        <is>
          <t>ブドウ；グレープ</t>
        </is>
      </c>
      <c r="F7423" t="inlineStr">
        <is>
          <t>海獣葡萄；白葡萄；葡萄圃；葡萄入り；葡萄山</t>
        </is>
      </c>
      <c r="G7423" t="inlineStr">
        <is>
          <t>葡萄畑；葡萄園；葡萄色；葡萄牙；葡萄糖</t>
        </is>
      </c>
      <c r="H7423" t="n">
        <v>29</v>
      </c>
      <c r="I7423" t="inlineStr">
        <is>
          <t>そんな生活をしていただけに、葡萄を手にできたことに気持がはずんだ。；葡萄などはとても食べる気になれないで、いつまでも泣いていました。；七〇〇万株の葡萄の木が年間一二万一〇〇〇ガロンのワインを産する。；葡萄や茨の實や百合の花が、だんだん霧の中から浮き上つて見えて來た。；指貫の色は規定こそ無かったが葡萄染などの華やかな物を用いたらしい。；カメラマンになる前は葡萄ちぎりの職に付いていたと書かれた文献もある。；水色の地に3本の葡萄の木がデザインされた白の盾があしらわれている。；今年一年の葡萄の生産高は一二〇〇万斤というが、ちょっと見当がつかない。；高い高い天井には、大きな葡萄の実が下がっているようなシャンデリア。；瞳が青葡萄のように青いのに、髪が烏の濡羽色につやつやと光っている。；女は不思議そうな顔をし、わたしこんな葡萄は食べたことがない、と言った。；私が答えないでいると、わたしの方のくにには葡萄なんかない、と言った。；その時葡萄棚の下で私の作った遺言状というのは次のごときものであった。；この家の土間は葡萄棚などに続いて、その横に牛小屋が作ってある。；想像通り葡萄畠がひろがっていて、私は、その中の小路に入っていった。；葡萄棚は畑の東南の隅にあつて、十坪ぐらゐの大きさにひろがつてゐた。；極端に熟した葡萄のような、黒と赤が混じり合った奇妙な毛色をした猫だ。；葡萄の蔓のからんだ塀のつぎには、まず海よりほか眼にはいらなかった。；家のお惣菜に煮ておいた葡萄豆でも何でもある物を皆んな出しましょう。；陽太郎が葡萄嫌いだったと思えるようなふしは、ほかになかったかと。；葉がくれの一粒をそつと口に含むと、そのまま溶けて酒になりさうな葡萄。；そうしたかれらに比べて、私は旅を楽しみ、葡萄まで手にして電車に乗っている。；此老人が葡萄樹を愛することと言ふたら、実に我子にでも対する様であつた。；虫がつきやすい花なので、葡萄に虫がつく前に、発見しやすいからであるという。；昔の家の裏にあつた葡萄棚の下にたたずんでゐる少女の写真は、すぐに見つかつた。；そんなときにかはいさうでならなかつたのは葡萄餅をうる婆さんであつた。；果房は葡萄のように房成りに形成され、密集していくつもの実をつける。；葡萄の格子棚から棒を一本折り取って、私は開いた窓へ飛んで行った。；陽太郎の口から葡萄嫌いを告げられたというような記憶も、なかった。</t>
        </is>
      </c>
      <c r="J7423">
        <f>HYPERLINK("https://www.weblio.jp/content/葡萄", "词义详情")</f>
        <v/>
      </c>
      <c r="K7423">
        <f>HYPERLINK("https://yourei.jp/葡萄", "查看例句")</f>
        <v/>
      </c>
    </row>
    <row r="7424">
      <c r="A7424" t="inlineStr">
        <is>
          <t>不動産</t>
        </is>
      </c>
      <c r="B7424" t="inlineStr">
        <is>
          <t>成功</t>
        </is>
      </c>
      <c r="C7424" t="inlineStr">
        <is>
          <t>読み方：ふどうさん
土地およびその定着物である建物・立木など。船舶・自動車なども法律上不動産に準じた取り扱いを受ける。→動産</t>
        </is>
      </c>
      <c r="D7424" t="inlineStr">
        <is>
          <t>不動産事業(6%)；不動産価格(2%)；不動産取引；不動産賃貸；不動産管理</t>
        </is>
      </c>
      <c r="F7424" t="inlineStr">
        <is>
          <t>用不動産；不動産物件；不動産デベロッパー；不動産担保；不動産所有</t>
        </is>
      </c>
      <c r="G7424" t="inlineStr">
        <is>
          <t>不動産屋；不動産業；不動産業者；不動産投資；不動産開発</t>
        </is>
      </c>
      <c r="H7424" t="n">
        <v>29</v>
      </c>
      <c r="I7424" t="inlineStr">
        <is>
          <t>この問題は不動産の取得時効と登記との関係で解釈上重要な働きをする。；没収された不動産は後に市民に売却されて、土地の流動化につながった。；難波地域を中心とした系列店舗の運営管理や不動産の管理などをしていた。；不動産の取得をめぐる法律的な問題からこの計画は思うようにいかなかった。；テイラーはいくつもの企業を設立・買収し、大規模な不動産取引を行った。；また、各種の特別法によってその対象が不動産以外にも広げられている。；研修先であったJAWAに施設を賃貸し、不動産運用を図ることとした。；東京都新宿区矢来町に、広大な不動産を持っていることでも知られている。；不動産の譲渡は法廷においてすることを要するとするのがその例である。；英国では伝統的に財産法と行政は不動産所有者を支持してきた。；創業当時から続く衣料事業を中心に、飲食事業や不動産事業を展開する。；それ以外にも不動産関係企業などで便宜的に区分を細分化している場合がある。；その後スペインに渡って不動産関係の仕事に従事していた。；不動産には不動産登記制度があり、権利者が公示されているためである。；平和不動産の所有で、下層階は旧市場館の外観を保存したものとなっている。；祖父は材木商をしていたが、父は無職で、不動産収入で生活していた。；第一は歴史的な理由で動産よりも不動産のほうが価値が高いと考えられていたことがある。；不動産売買は、当該契約の締結した時点で所有権が移転するのが原則である。；近年、優良とは言えない不動産への銀行融資には警鐘が鳴らされている。；特殊な賃貸運営であるため不動産賃貸会社の経験とノウハウは重要である。；本業ではなく不動産での失敗が原因だったとも言われている。；米国留学の費用や父の介護費用を捻出するため不動産経営を始める。；バブル期の不動産取得や業務拡大に伴う借入金が主原因としている。；不動産に付属し、まるで展示するかのように美しく保存されている無用の長物。；鉄道路線の国家買収後は、不動産の賃貸・売買・管理等を業務としている。；不動産工事の先取特権には物上保証のような性格はないからである。；不動産とは「土地及びその定着物」をいい、それ以外の物が動産となる。；土地家屋調査の主な役割の1つは、地上の不動産の境界を決定することである。；不動産事業はマンションの建設販売、ビル賃貸事業等を行っている。</t>
        </is>
      </c>
      <c r="J7424">
        <f>HYPERLINK("https://www.weblio.jp/content/不動産", "词义详情")</f>
        <v/>
      </c>
      <c r="K7424">
        <f>HYPERLINK("https://yourei.jp/不動産", "查看例句")</f>
        <v/>
      </c>
    </row>
    <row r="7425">
      <c r="A7425" t="inlineStr">
        <is>
          <t>ふとした</t>
        </is>
      </c>
      <c r="B7425" t="inlineStr">
        <is>
          <t>成功</t>
        </is>
      </c>
      <c r="C7425" t="inlineStr">
        <is>
          <t>［連体］思いがけない。偶然の。ちょっとした。「—縁で知り合う」</t>
        </is>
      </c>
      <c r="D7425" t="inlineStr">
        <is>
          <t>ふとしたきっかけ(11%)；ふとしたはずみ(6%)；ふとした事(4%)；ふとした拍子(4%)；ふとした瞬間(2%)</t>
        </is>
      </c>
      <c r="E7425" t="inlineStr">
        <is>
          <t>意外な；思いがけない；思わぬ；予想外の；不測の</t>
        </is>
      </c>
      <c r="F7425" t="inlineStr">
        <is>
          <t>ふとした縁；ふとした思いつき；ふとした病気；ふとした気まぐれ；日ふとした</t>
        </is>
      </c>
      <c r="H7425" t="n">
        <v>29</v>
      </c>
      <c r="I7425" t="inlineStr">
        <is>
          <t>君がふとしたことから跋文を紛失したと青い顔をして来たときに思つた。；互いに別の人間と結婚した二人だったが、ふとしたきっかけで再会する。；これは双方からふとしたはずみでたがいにそうなってしまったのである。；ふとした瞬間にあいつが見せる表情でな・・・わかるんだよ・・・。；自分がまるで子どもにでも話しているような気がふとしたのである。；いや、一度などはふとしたはずみに天使の来たのを感じたことさえある。；ところで、自分はふとした縁で御牧家の庶子の実と云う人を知っている。；ふとしたきっかけで今までの「普通」の生活を送る事に疑問を感じていた。；ふとしたことであのレコードを発見した私は、文字通り狂喜したものだ。；それからふとしたことで恒雄は、妻が以前に通じた男のあることを知った。；ふとしたことから女の夫に興味を抱いた「私」は、夫婦の家を盗み見る。；子供というものは、ふとした時にきいたことを生涯忘れぬものである。；ちなみに娘の笠置町翠からは、ふとした瞬間に恐怖を感じることがある。；ふとしたことからそれを読んだのが、こちらへ伺う原因になりました。；もう自分の力ではどうにもならぬといふ気が、ふとしたのである。；相思相愛の妻がいたが、ふとした病がもとで不帰の客になってしまった。；そのうちに、ふとしたことから、乙のほうの時計が壊れてしまいました。；ところが、ふとした機会に、伯爵は妻の結婚前の秘密を知つたのである。；サクヤはふとしたきっかけでこの部屋の「隠し部屋」を見つけてしまう。；色や線にふとしたことから大へんな失敗を起こすことがある。；だから、ぼくたち夫婦はふとしたことでスウェーデンに旅行に来た。；小説を書き始めたきっかけは、娘とのふとした会話だったという。；ふとした弾みに、思い出す必要のないことまで思い出してしまうからだ。；老朽化が激しいし、あちこちがふとしたきっかけで崩落する危険がある。；ふとしたことから春一の婚約の成立しそうなのを耳にしました。；その刹那に爛熟した彼の眼はふとした新らし味を自分の妻の上に見出した。；ある時竜王のお后が、ふとしたことからたいそう重い病気になりました。；その時ふとした事から、偶然ある附添の看護婦と口を利くようになった。；ふとした拍子にこいつ死んじゃわないかなとか思ったりもするわけだ。</t>
        </is>
      </c>
      <c r="J7425">
        <f>HYPERLINK("https://www.weblio.jp/content/ふとした", "词义详情")</f>
        <v/>
      </c>
      <c r="K7425">
        <f>HYPERLINK("https://yourei.jp/ふとした", "查看例句")</f>
        <v/>
      </c>
    </row>
    <row r="7426">
      <c r="A7426" t="inlineStr">
        <is>
          <t>太る</t>
        </is>
      </c>
      <c r="B7426" t="inlineStr">
        <is>
          <t>成功</t>
        </is>
      </c>
      <c r="C7426" t="inlineStr">
        <is>
          <t>読み方：ふとる
［動ラ五（四）］
１からだに肉や脂肪が厚くつく。太くなる。「運動不足で—・る」「まるまると—・る」⇔やせる。
２財産などがふえる。豊かになる。「特定の業者を—・らせる」
[可能]ふとれる</t>
        </is>
      </c>
      <c r="D7426" t="inlineStr">
        <is>
          <t>太るということ；太るだろ</t>
        </is>
      </c>
      <c r="E7426" t="inlineStr">
        <is>
          <t>大きくなる；太くなる；増量する；肥える；肥え太る</t>
        </is>
      </c>
      <c r="H7426" t="n">
        <v>29</v>
      </c>
      <c r="I7426" t="inlineStr">
        <is>
          <t>彼女の太り具合は最初に見たときほどはあまり気にならなくなっていた。；飲むのをやめたので、いまは太りすぎないよう食事に気をつけています。；あなたがたは私を殺して、そのせいでますます太って行くようなものよ。；太るのを気にしてる女のところに来たって無駄よ、って言ってやったの。；パオロ・オルシーニ公が異常に太っていたことを知っておく必要がある。；不幸なことにかれは太った商人を肩にかついで運ばなければいけなかった。；人間の太り方には人間の死に方と同じくらい数多くの様々なタイプがあるのだ。；ピアノに男がつき、見事なくらい丸々と太った女がマイクを握っている。；電灯の明かりが洩れて、五十近い太った女が料理をしているのが見えた。；高架の下で、太った女が店から出てきて、わたしの腕をぐいとつかんだ。；ただこれからやっぱり太る人が、どんどん出てくるんじゃないですか。；信じられない位の大きさに太りかえった虱の卵がゆらゆらと動き始める。；これが真中の前の方が太ったのなら、パパとしては更に困ったであろう。；男の顎は何段にも分かれ、どこまでが首か胸か分からないほど太りきっていた。；同時に太ってしまった身体を変えたいと自身のトレーニングを始める。；なんでですかねえ、男の人って太るもんばっかり食べるじゃないですか。；父・イワシは中年男性となり、あまり変わっていないが少し太っている。；たぶん時間がたって私が彼女の太り具合になじんだせいなのだろう。；おれたちは女王蟻とその子供のために太らされているのだと思うね。；そこでは果物の木が花を咲かせていて、太った巨大な女が手を振った。；経済が膨れ上り人間たちは飽食して太り、その上で政治は退廃していく。；夫人は全く肥えて太ってしまったので、すっかり見違えてしまいました。；一月に一円三、四十銭なくてはどんな者でも腹を太らせることは出来ない。；「まったく、あれはいい土地だ」もうひとりの太った男が口をはさんだ。；魚を釣るための餌をうんと太らせるところから始めようとしているのだ。；赤毛の太った猫を膝に抱いてストーブのそばに坐っていたのを思い出します。；どうやらその太った男はエレーナを手込めにしようとしたようだった。；会場最前列に太りぎみの体を喪服に包んだ男がいて、女性と話していた。；太ったおしゃべりな男で、雨の日でも四六時中サングラスをかけている。</t>
        </is>
      </c>
      <c r="J7426">
        <f>HYPERLINK("https://www.weblio.jp/content/太る", "词义详情")</f>
        <v/>
      </c>
      <c r="K7426">
        <f>HYPERLINK("https://yourei.jp/太る", "查看例句")</f>
        <v/>
      </c>
    </row>
    <row r="7427">
      <c r="A7427" t="inlineStr">
        <is>
          <t>布団</t>
        </is>
      </c>
      <c r="B7427" t="inlineStr">
        <is>
          <t>成功</t>
        </is>
      </c>
      <c r="C7427" t="inlineStr">
        <is>
          <t>読み方：ふとん
《「ふ（蒲）」「とん（団）」は唐音。「布」は「蒲」に当てた字》
１布地を縫い合わせ、中に綿・羽毛などを入れた寝具。敷き布団・掛け布団など。「—を敷く」「—を上げる」「煎餅(せんべい)—」《季冬》「—着て寝たる姿や東山／嵐雪」
２座禅などで座るときに用いる蒲(がま)の葉で編んだ円形のもの。
[補説]書名別項。→蒲団</t>
        </is>
      </c>
      <c r="D7427" t="inlineStr">
        <is>
          <t>布団部屋；布団屋；布団巻い；布団敷い；布団越し</t>
        </is>
      </c>
      <c r="F7427" t="inlineStr">
        <is>
          <t>羽根布団；薄い布団；炬燵布団；白い布団；敷いた布団</t>
        </is>
      </c>
      <c r="G7427" t="inlineStr">
        <is>
          <t>布団乾燥機；布団叩き；布団太鼓；布団蒸し；布団が吹っ飛んだ</t>
        </is>
      </c>
      <c r="H7427" t="n">
        <v>29</v>
      </c>
      <c r="I7427" t="inlineStr">
        <is>
          <t>布団が入っている押入れとは別に、部屋にはもうひとつ押入れがあった。；李の布団には虱が列をなしていると、李自身の口から聞いたことがある。；その布団の持ち主の住んでいた家の家賃は、その頃ただの六十銭でした。；そこで宿の主人は、次のような布団の身の上話をきくことが出来ました。；すると金さんはやっぱり一枚の布団の中で、小さく平ったくなっている。；私は一人二階に残って、襤褸布団に裹りながら階下の騒ぎを聞いていた。；子供は毎日風呂に入れてやっていたし、女房とも同じ布団で寝ていた。；しかし早晩自分の所有すべき布団の上に挨拶もなく乗ったものは誰であろう。；無断で上りこんだのがいけないのか、布団を敷いたのが、いけないのか。；昔は一緒の部屋で布団を並べて寝ていたぐらいだが、なにぶん事情が違う。；また或者は布団をかぶって寝ていて、三度の飯まで寝床へ運ばせている。；私はきゅうに自分の着ている布団の穢さが気になって、努めて起きでた。；裸のふたりはそのようにして抱き合い、すぐに布団の上に体を倒した。；まともに白いご飯を食べたことはないらしく、布団で寝たこともない。；蝶が好きなために蝶の柄の布団を買おうとしたが母に止められたほど。；宴会場なので布団や食事は自前ではあったが、暖房と温泉は利用できた。；顔には白布が掛けられ、体にも小ざっぱりした布団が着せてありました。；自分のそばの羽根布団の上を軽く手でたたき、弱々しそうな声で言った。；部屋に戻って、着たまま布団に寝ていると、誰かが階段を昇ってきた。；布団の上に座りこんでいる美少女が、びっくりした顔をして棚を見あげた。；薄い布団にくるまって寝るのまでが、却て天の恵であるような気がした。；現在住んでいる万事屋では、押入れに布団を敷きそこで寝起きしている。；それであたしびっくりして、布団の中に頭からもぐりこんでしまったの。；なお、実際に布団が吹っ飛ぶ可能性がある状況は などが考えられる。；しかも、その声は、自分のかけている布団の中から出て来るではありませんか。；しかし、よく聞くと、その布団は発疹チフスで死んだ人の布団であった。；室内の隅に入り込んでくるだけでなく、衣類や布団の隙間にも潜り込む。；地球上で一番好きなものは布団、嫌いなものは眠気だと語っている。；とてもひどい寒さで、お布団の中にいても凍えてしまいそうですわ。</t>
        </is>
      </c>
      <c r="J7427">
        <f>HYPERLINK("https://www.weblio.jp/content/布団", "词义详情")</f>
        <v/>
      </c>
      <c r="K7427">
        <f>HYPERLINK("https://yourei.jp/布団", "查看例句")</f>
        <v/>
      </c>
    </row>
    <row r="7428">
      <c r="A7428" t="inlineStr">
        <is>
          <t>船便</t>
        </is>
      </c>
      <c r="B7428" t="inlineStr">
        <is>
          <t>成功</t>
        </is>
      </c>
      <c r="C7428" t="inlineStr">
        <is>
          <t>読み方：せんびん
「ふなびん」に同じ。</t>
        </is>
      </c>
      <c r="H7428" t="n">
        <v>29</v>
      </c>
      <c r="I7428" t="inlineStr">
        <is>
          <t>そのため安全に保管するために船便でアメリカに3万冊ほどの書物を送った。；つまり、船便での帰国者は悲壮な気持ちでベルリンを出発したのである。；この地は高瀬川の船便の終点に近く、当時の重要な流通拠点であった。；船便は不定期だが、ホニアラやさらに外側の島への輸送が可能である。；最初の4機は船便で送られ、1947年3月に木更津にあるに到着した。；陸上交通はこのプカルパまでで、この先は船便にたよるしか方法はない。；ケイスネスへの交通は、サザランドを通過するか、もしくは船便による。；ノルウェーは、船便によってイギリスやドイツに大量の氷を輸出した。；警視総監はマノンを最初の船便で出発させよう、と彼らに約束した。；船便で送り出した新作はひとつも売れず、やがてまた船便で戻ってくる。；ファンガヌイ川に定期の船便が就航したのは、1891年のことである。；宅配便では航空機を使っての輸送ができず、その場合は陸路や船便を利用している。；大破した高級車は、諦めずに船便でナポリに送るのも一案かもしれない。；その時点で残りの半金を払い込んでくれれば、船便でコートを送ってやる。；サラトフ州政府は船便の需要の増加の為高速艇を新しく造船する事を決定した。；ノヴゴロドとスタラヤ・ルーサ・シムスクを結ぶ船便も運行されている。；町には港があり、19世紀はサンクトペテルブルクへの船便が多く出ていた。；なお、前述のドイツ人は母国への帰国は航空便ではなく船便を利用したという。；往復とも船便を利用して、深堀村の磯遊びをした日のどれ程楽しかったことか。；これらの機体は、モントリオールからリヴァプールへ船便で送られた。；彼らがすぐ送ると言った写真とビデオは七カ月後、船便で届いた。；商人は船便による文書で連絡を取り、遠方の市場にいる代理人に取引を頼んだ。；この町からトレンガヌ川の上流への船便や、他の海岸沿いの町への道路交通が連絡している。；船便を待つための滞在と信じているから、皆従順であった。；そして船便でも一時間二十分かかっている。；逆に、長崎に出ているものたちが、船便をまとめて故郷への用をたくすこともできた。；かつて神の島地区は山に囲まれており、市内へ行くためには山を越えるか船便を使う必要があった。；各地の本屋で大量の買える限りの資料の画集や写真集を購入し、船便で日本に送った。；彼女は再び、飛行機で日本へ帰ったが、シゲル達は船便だった。</t>
        </is>
      </c>
      <c r="J7428">
        <f>HYPERLINK("https://www.weblio.jp/content/船便", "词义详情")</f>
        <v/>
      </c>
      <c r="K7428">
        <f>HYPERLINK("https://yourei.jp/船便", "查看例句")</f>
        <v/>
      </c>
    </row>
    <row r="7429">
      <c r="A7429" t="inlineStr">
        <is>
          <t>無難</t>
        </is>
      </c>
      <c r="B7429" t="inlineStr">
        <is>
          <t>成功</t>
        </is>
      </c>
      <c r="C7429" t="inlineStr">
        <is>
          <t>読み方：ぶなん
［名・形動］
１危険のないこと。また、まちがいのないこと。また、そのさま。無事。「—な日を送る」「貴重品は持って行かないほうが—だ」
２欠点のないこと。特にすぐれているわけではないが、格別の欠点も見当たらないこと。また、そのさま。「—な歌い方」「—にまとめた演技」</t>
        </is>
      </c>
      <c r="D7429" t="inlineStr">
        <is>
          <t>無難なところ；無難な話題；無難な方法；無難督；無難な返事</t>
        </is>
      </c>
      <c r="E7429" t="inlineStr">
        <is>
          <t>安全；安心；大丈夫；平凡；固い</t>
        </is>
      </c>
      <c r="F7429" t="inlineStr">
        <is>
          <t>いちばん無難；至道無難</t>
        </is>
      </c>
      <c r="H7429" t="n">
        <v>29</v>
      </c>
      <c r="I7429" t="inlineStr">
        <is>
          <t>クラーケンもきてないし、かれらとは距離を置いておくのが無難だろう。；来たのが宿の主人であれば、そうしたほうが無難なのは間違いないが。；それくらいなら、最初から少し距離をとって付き合っていたほうが無難。；どうせ眠るのなら、一階よりは上の階のほうが無難だと思ったのである。；俺が何を望むかといえば、今までと変わりない無難な生活くらいです。；親友が続けていてくれたおかげで、この選択が、今のところ無難だろう。；今日一日は、いつも通りの仕事を無難にこなしていた方がよさそうです。；知られて困ることもないのだが、放二に家庭のある方が無難には相違ない。；一方でファーストネームや樹種といった無難な名称は変更されなかった。；これからの話の内容を考えて、ジュウは無難に炭酸飲料水にしておいた。；これは最小限の衝撃保護と無難な擦り傷・切り傷の保護を提供していた。；何年ぶりかで乗ったにしては、あたしの方の走りは実に無難だった。；私の語学力を知っている彼女は、この話題が一番無難だと思っているのだ。；女の児と遊ぶのは無難で面白いが、併しそう毎日も遊びに来て呉れない。；無難な範囲で、小隊長にしかるべき返事をしなければならなかったのだ。；これも実は少し無理な所なのであって、勿論削除された方が無難なのである。；空港内で日本語が通じる所は少ないので、英語での会話が無難である。；まん中のとは、無難な目だが、誰でもが押さえによく入れておくところだ。；でもそのまま無難にのっていたら、おそらく着がいいところだったと思う。；性格はやや大人しめで気の強い魚とは一緒にしない方が無難。；それが夫にとっても妻にとっても、体面的に最も無難な選択なのである。；集中無難な歌の一つで、それ故に作者も前記十四首の中に入れてゐる。；何はともあれ、否定しないより否定しておいた方が無難のようである。；座席で眠らせておいた方が無難という判断は、この状況では妥当である。；初顔の場で、用心深く、無難なところを引いていったというべきであろう。；怪談の方はユートピアではおかしいから無何有郷といえば無難であろう。；特に目的もないまま、僕は無難なレベルの高校へ入学を希望した。；作品が自ら語ってくれるとやに下っている方が無難でしょう。；それを思えば、何事もなく別れた方が無難な選択だったと言える。</t>
        </is>
      </c>
      <c r="J7429">
        <f>HYPERLINK("https://www.weblio.jp/content/無難", "词义详情")</f>
        <v/>
      </c>
      <c r="K7429">
        <f>HYPERLINK("https://yourei.jp/無難", "查看例句")</f>
        <v/>
      </c>
    </row>
    <row r="7430">
      <c r="A7430" t="inlineStr">
        <is>
          <t>赴任</t>
        </is>
      </c>
      <c r="B7430" t="inlineStr">
        <is>
          <t>成功</t>
        </is>
      </c>
      <c r="C7430" t="inlineStr">
        <is>
          <t>読み方：ふにん
［名］(スル)任地におもむくこと。「単身で—する」</t>
        </is>
      </c>
      <c r="D7430" t="inlineStr">
        <is>
          <t>赴任する(15%)；赴任先(3%)；赴任中；赴任地；赴任早々</t>
        </is>
      </c>
      <c r="F7430" t="inlineStr">
        <is>
          <t>新しく赴任；現地赴任；ここに赴任；赴任する途中；赴任する際</t>
        </is>
      </c>
      <c r="H7430" t="n">
        <v>29</v>
      </c>
      <c r="I7430" t="inlineStr">
        <is>
          <t>ちょうどその頃、この学校に新しく赴任してきた美術教師イ・ウンジュ。；九州赴任時に、門司鉄道管理局硬式野球部の部長に就任したこともある。；赴任先へ向かう途中の汽車で速水は自殺しようとしていた女を助ける。；これはローマのプラエトルがシキリアに赴任した初めての例となった。；それでもなお彼は赴任先のルール地方でもしばしば政治的な発言を繰り返した。；海外に赴任してから障害のあることが判明する場合もある。；軍人だった父親の赴任先であるドイツのハイデルベルクで生まれる。；公安調査庁からの出向者は近年、中東に赴任することが多くなっている。；しかし、実際にニューヨークに赴任したのは1743年になってからだった。；建築技師であった父の赴任先であったコンスタンティノープルで生まれる。；地方に赴任した役人のなかには、現地の百姓に対し非法を働く者たちもいた。；この場合は、藩主は当然、江戸に定府せず京に赴任して、同地に詰めた。；この小説は、漱石自身が松山中学に赴任した時の体験を下敷きとしている。；幼い頃、父・兵三郎が仕事の都合で赴任していたソウル東大門に移住。；人の住む場所はさらに北にもあるが、いずれも任期単位で赴任する研究者が滞在する。；この違いは後にハリスが赴任した際に大きな外交問題に発展した。；住友重機械工業造船部門に勤務していた父の赴任先であったロンドンで生まれる。；キプロスに赴任したカトは無事にキプロスのローマへの併合を完了させた。；そして国司の中の実際に現地赴任する最高責任者を受領と呼ぶようになった。；帰国後の1902年、大阪朝日に正式採用され、名古屋通信部に赴任する。；翌天正10年、織田家の甲州征伐後に関東に赴任した滝川一益に仕えた。；サラリーマン時代に中国に赴任していたため、中国語と英語が堪能。；いずれも、ニューヨーク支局へ赴任するまでに出演していた番組。；アイルランドに赴任していた時に反イングランド暴動に遭遇した。；そのため、その事情をよく知る者の中には六波羅への赴任を嫌う者もいたと言われる。；父の転勤に伴って日本国内各地を転々とした末、父は台湾へ赴任。；前の赴任先の学校で、校長と窃盗を犯した児童をめぐり退職させられた。；三男パウロはインドに赴任したが1534年のマラッカ沖戦争で死亡した。；李鴻章が天津に赴任すると、その団練である淮軍も拠点を天津に移した。</t>
        </is>
      </c>
      <c r="J7430">
        <f>HYPERLINK("https://www.weblio.jp/content/赴任", "词义详情")</f>
        <v/>
      </c>
      <c r="K7430">
        <f>HYPERLINK("https://yourei.jp/赴任", "查看例句")</f>
        <v/>
      </c>
    </row>
    <row r="7431">
      <c r="A7431" t="inlineStr">
        <is>
          <t>船</t>
        </is>
      </c>
      <c r="B7431" t="inlineStr">
        <is>
          <t>成功</t>
        </is>
      </c>
      <c r="C7431" t="inlineStr">
        <is>
          <t>読み方：せん
［音］セン（漢）　［訓］ふね　ふな
［学習漢字］2年
〈セン〉ふね。「船団・船長・船舶・船尾／艦船・汽船・客船・漁船・商船・乗船・造船・帆船・便船・和船」
〈ふね（ぶね）〉「大船・親船・出船」
〈ふな〉「船底・船出」
［難読］船首(みよし)</t>
        </is>
      </c>
      <c r="D7431" t="inlineStr">
        <is>
          <t>船殻；船酔い；船べり；船楼；船艇</t>
        </is>
      </c>
      <c r="E7431" t="inlineStr">
        <is>
          <t>舟；船舶；船腹；舟艇；シップ</t>
        </is>
      </c>
      <c r="F7431" t="inlineStr">
        <is>
          <t>外国船；小型船；大きな船；観光船；姉妹船</t>
        </is>
      </c>
      <c r="G7431" t="inlineStr">
        <is>
          <t>船体；船舶；船団；船員；船内</t>
        </is>
      </c>
      <c r="H7431" t="n">
        <v>29</v>
      </c>
      <c r="I7431" t="inlineStr">
        <is>
          <t>彼らはこのまま留まれば船がすべて失われてしまうと考え、島を離れた。；それはちょうど文房具船が住民殲滅に来襲したのと時を同じくしていた。；しかし、この時期には船の遺物は発見されていないため少数の意見である。；もやい船の場合はその町のシンボルになるものがデザインされている。；目標は力が与えられたときの船の反応を記述することである。；島の位置未確定のため借地許可は下りなかったが、船の寄港は認められた。；その日は、月齢およそ6の、船のような形の月が南西の夜空に浮かんだ。；主人公たちと同時に船も移動先の城や町の近くへ移動する。；同月には、神経痛の父を松山の道後温泉へ送った後に船で大阪に戻った。；また1634年の角倉船の絵馬にはトランプをしている男女の絵がある。；一方では、船の推進の摩擦による熱が発生し、船の周りに温水ができる。；船を守る兵がいなかったので極めて容易なことであった。；船や車も用いられず、甲冑を着て戦う事もないと、戦乱の無い世界を描く。；うち、LCAC揚陸場近くの一隻は小型船の桟橋として利用されていた。；しかし非常に大型の船であったことから、攻撃のために追尾することを決める。；続く1571年のレパントの海戦でもマルタ騎士団の船が参加している。；この問題は、オランダがバス船と呼ばれる大型漁船を投入することで解決した。；はじめて風の力を利用して動力を取り出したのは船の帆であると考えられている。；張禧は軍船を失っていた范文虎に頑丈な船を与えて撤退させることにした。；この間に続々とソ連船がUターンしているとの情報が入ってきた。；船の主機関からプロペラまでの船の推進軸に関わる装置類はまとめて軸系装置と呼ばれる。；実際のところ外輪船はスクリュー船に負けるため観光用しか残っていない。；船首尾索以外にもそれぞれの位置に応じた名前が付けられている。；そのサイズの船が航行できるよう、運河の改良がこれ以後各地で進められた。；船に取り付けられた機械類・装備類は「艤装品」や「艤装」と呼ばれる。；この時期、イギリスでは全ての外板を溶接で建造した船が作られた。；船の形状による影響から一般には加速度の方向は力の方向とは異なったものになる。；CIAはソ連船の数が急増していることの意味を検討していた。；幕末には外国船監視のための台場が置かれ、長州藩が防衛にあたった。</t>
        </is>
      </c>
      <c r="J7431">
        <f>HYPERLINK("https://www.weblio.jp/content/船", "词义详情")</f>
        <v/>
      </c>
      <c r="K7431">
        <f>HYPERLINK("https://yourei.jp/船", "查看例句")</f>
        <v/>
      </c>
    </row>
    <row r="7432">
      <c r="A7432" t="inlineStr">
        <is>
          <t>腐敗</t>
        </is>
      </c>
      <c r="B7432" t="inlineStr">
        <is>
          <t>成功</t>
        </is>
      </c>
      <c r="C7432" t="inlineStr">
        <is>
          <t>読み方：ふはい
［名］(スル)
１有機物が微生物の作用によって分解され、有毒物質を生じたり悪臭を放つようになったりすること。くさること。→変敗
２精神が堕落し、悪徳がはびこること。「—した政界」</t>
        </is>
      </c>
      <c r="D7432" t="inlineStr">
        <is>
          <t>腐敗物；腐敗防止；腐敗しやすい；腐敗ぶり；腐敗政治</t>
        </is>
      </c>
      <c r="E7432" t="inlineStr">
        <is>
          <t>悪化；買収；分解；堕落；汚職</t>
        </is>
      </c>
      <c r="F7432" t="inlineStr">
        <is>
          <t>政治的腐敗；精神腐敗；反腐敗；金権腐敗；腐敗性</t>
        </is>
      </c>
      <c r="G7432" t="inlineStr">
        <is>
          <t>腐敗選挙区；腐敗堕落；腐敗認識指数；腐敗槽；腐敗の防止に関する国際連合条約</t>
        </is>
      </c>
      <c r="H7432" t="n">
        <v>29</v>
      </c>
      <c r="I7432" t="inlineStr">
        <is>
          <t>腐敗した政府は、代わりに彼の幼い息子に終身刑を務める事を命令した。；さらにリディーマーも鉄道の道具であり彼ら自身腐敗していたと主張した。；専門家から他の作品に雑菌が付着して腐敗するおそれがあると指摘された。；従来は死んで落ちた虫が腐敗して根から吸収されるといわれていた。；腐敗を防ぐためというより、見た目を保つために用いられることが多い。；イギリスでは議会制度の腐敗が進み、改革は避けがたいものとなっていた。；もし戦争がなかったら世界は唯物主義の中で腐敗していくであろう。；軟体部が腐敗した後に泥が進入し、生物の形を残すに至ったと考られる。；国家としては爛熟期を過ぎつつあり腐敗が大きくなっているとされる。；男性の骸骨は衣服に包まれたまま、ぶら下がった肉の腐敗が進んでいる。；遺体は時間をかけて処理されていたため腐敗していなかった。；湛水とそれに伴う植物の腐敗が水域の富栄養化をもたらす可能性もある。；また、以下の場面は17世紀当時の聖職者の腐敗を的確に描写している。；中世の台所では、牛乳はすぐに腐敗するので、常食として置かれていた。；玉には腐敗から死体を守る効果があると信じられていた。；さらに国家腐敗が進行しているため、事態は深刻さを極めるものとなっている。；さらに警察の捜査の過程で番組制作の腐敗が明らかとなり社会問題となった。；それらが人の知性や精神を腐敗させると考えていたのである。；また、他にも動物の糞のような腐敗した排泄物を食べるものも知られている。；朝鮮では戦争終結後、政権の腐敗改善などがあったものの政争は続いていた。；毒が含まれていないか、腐敗していないかなどを確認する。；これが空気に触れると酸化して茶色くなるが、腐敗しているわけではない。；やっとのことでローマ教皇に謁見が許され、キリスト教の腐敗を説いた。；ここには不潔な穴があり、その中は腐敗した遺体で満たされている。；グラデニーゴは元首就任後、腐敗した制度の改革に当たる事になった。；この場合強力な防腐処置によって腐敗を止めていると考えられている。；則天武后に招かれて山を降りた時に死に、死体は腐敗してしまった。；その一部の局はOECDと協力して各国で反腐敗ワークショップを開催している。；腐敗させなければ、製品から有効成分がなくなってしまうまで何回か使用できる。</t>
        </is>
      </c>
      <c r="J7432">
        <f>HYPERLINK("https://www.weblio.jp/content/腐敗", "词义详情")</f>
        <v/>
      </c>
      <c r="K7432">
        <f>HYPERLINK("https://yourei.jp/腐敗", "查看例句")</f>
        <v/>
      </c>
    </row>
    <row r="7433">
      <c r="A7433" t="inlineStr">
        <is>
          <t>不備</t>
        </is>
      </c>
      <c r="B7433" t="inlineStr">
        <is>
          <t>成功</t>
        </is>
      </c>
      <c r="C7433" t="inlineStr">
        <is>
          <t>読み方：ふび
［名・形動］
１必要なものが完全にはそろっていないこと。また、そのさま。「防災設備に—な（の）点がある」
２文意が十分でないという意で、手紙文の最後に添える語。不一。不尽。</t>
        </is>
      </c>
      <c r="D7433" t="inlineStr">
        <is>
          <t>不備が多く；不備等；不備が多い；不備が挙げられ；不備事項</t>
        </is>
      </c>
      <c r="E7433" t="inlineStr">
        <is>
          <t>非；穴；傷；不足；障害</t>
        </is>
      </c>
      <c r="F7433" t="inlineStr">
        <is>
          <t>記載不備；何らかの不備；設備不備；重大な不備；著しい不備</t>
        </is>
      </c>
      <c r="H7433" t="n">
        <v>29</v>
      </c>
      <c r="I7433" t="inlineStr">
        <is>
          <t>しかし当時から既にどちらの学説にも不備があることが指摘されていた。；当時は施設面に不備が多かったため大きな大会が開催出来ない状況だった。；同時に、旧作の矛盾点や設定上の不備も解消されるよう構成されている。；前述せし如く、九章前半の彼の語は友の神観の不備を指摘したものである。；装備に不備がある場合は太陽や星の配置から方位を概算する場合もある。；また、エルフリックの橋の建築に不備があったことを示し、信用を得た。；運営はいずれも書式に不備がない限り、判決文に沿った対応を取っている。；しかし、登録に不備が発生したためしばらくはBチームでの出場となった。；これら設備面での不備が被害拡大の要因になったとされている。；しかし、書類の不備のため、これらの試合に出場することはできなかった。；先代の不備な点を踏まえ、さらに洗練化させ処理能力を向上させている。；この訳についても解決し切れない不備、不満な点が多く残されている。；ところが、決勝判定写真の不備で結果的に誤審となる形で優勝馬とされた。；その結果、施行してみて初めて分かった矛盾・不備なども認識されるようになる。；提出された要求はまず登録主体によって不備がないかレビューされる。；これはまったく自然なことであってワイン醸造の不備によるものではない。；これと、その他の不備はクロンシュタットにて除去される予定であった。；材料が不備で完全な報告は得られなかつたが、まあざつとこんなものである。；大衆の生活不安なるものの内には医療制度の社会的不備を含ませねばならぬ。；周産期医療ネットワークは構築されているものの、不備も表面化している。；スプリンクラーなどの防火設備の不備が指摘されていた矢先に出火した。；しかし、要人警護体制の不備が露わになり、国内に大きな波紋を広げた。；因みに治水対策の不備で反対派が指摘しているのは以下の点である。；ところが彼の行った選挙には不備があり、辞任させられてしまった。；そうした不備の解消は、条約調印後40年を経た1768年になされた。；ただドイツ語版の翻訳による追記があり、履歴継承不備になっています。；陸軍ではその他、大佐クラスでも不備があれば呼びつけて命令していたという。；それらは事故や病気であると言われているが汐路は警察の捜査不備を疑っていた。；しかしながら、近年の研究は、もとの実験に不備があったことを指摘している。</t>
        </is>
      </c>
      <c r="J7433">
        <f>HYPERLINK("https://www.weblio.jp/content/不備", "词义详情")</f>
        <v/>
      </c>
      <c r="K7433">
        <f>HYPERLINK("https://yourei.jp/不備", "查看例句")</f>
        <v/>
      </c>
    </row>
    <row r="7434">
      <c r="A7434" t="inlineStr">
        <is>
          <t>不評</t>
        </is>
      </c>
      <c r="B7434" t="inlineStr">
        <is>
          <t>成功</t>
        </is>
      </c>
      <c r="C7434" t="inlineStr">
        <is>
          <t>読み方：ふひょう
［名・形動］評判の悪いこと。評価の低いこと。また、そのさま。不評判。「若者には—な（の）映画」⇔好評。</t>
        </is>
      </c>
      <c r="D7434" t="inlineStr">
        <is>
          <t>不評であり(4%)</t>
        </is>
      </c>
      <c r="E7434" t="inlineStr">
        <is>
          <t>恥；不信；恥辱；酷評；不名誉</t>
        </is>
      </c>
      <c r="F7434" t="inlineStr">
        <is>
          <t>大変不評；大きな不評；悪く不評</t>
        </is>
      </c>
      <c r="H7434" t="n">
        <v>29</v>
      </c>
      <c r="I7434" t="inlineStr">
        <is>
          <t>そのため息子からは不評で、家での料理は基本的に夫人が担当している。；プログラムは国のいくつかの地域でよく受け取られたが、不評もあった。；そのシーズンが夢物語となったことに、一部のファンには不評であった。；しかし袖では数字が小さすぎるなど不評が多かったためすぐに廃止された。；しかしこの名称は不評を買い、後にドルと名付けられることとなった。；さまざまな点が原作から大幅に変更されたため、シュートには不評だった。；だから私の働き振りは何をするにも時間がかかって不評だった。；そのため、前作のような路線を期待するファンからは不評であった。；また、帝国では不評だった徴兵制を導入し、帝国内には不安が広まった。；他のウェルズ作品同様に公開当時は不評であり、死後に評価が進んだ。；また、この頃、弦楽四重奏曲を書いたが音楽教師には不評だったという。；ただし航続距離の短さからベテランパイロットには不評であったという。；選手間でも不評だった赤色主体のノースリーブユニフォームは消滅した。；これは比較的評判がよく、そのおかげで、不評だった第一巻も売れ出した。；これが原因で、このエンジンを搭載したセスナ175は、不評であった。；この身分違いの結婚は貴族たちからの不評を買うことになる。；メドレーを披露したがBABYSには曲が早く終わる気がしたと不評だった。；そう思ったから執事時代の所作でいったのに師匠には不評のようだ。；袁の弱体ぶりと不評ぶりを見て、列強は戦争面以外の支持を取りやめた。；そのため「わかりづらい」と不評で後半からマークに白い縁取りが入った。；原作が出版されたのは1869年だがイギリスとフランスでは不評で成功しなかった。；しかし不評だったのか1984年4月の次作以降は警察官に戻っている。；同じところでも他の一部からは大いに不評だそうだとか。；そのため組織の答責性が欠如しており、ロンドン市民の不評を買っていた。；しかし、この基準子午線はフランス以外の国には非常に不評だった。；母と弟の前で着てみたが当然の如く不評であった。；本作は前作と比べて大幅に難易度が下げられた事からシリーズファンからは不評となった。；この公演は、観客には好評であったものの、新聞評では不評であった。；しかしながらこの作品は観客からは不評で、興行的にも失敗作となってしまった。</t>
        </is>
      </c>
      <c r="J7434">
        <f>HYPERLINK("https://www.weblio.jp/content/不評", "词义详情")</f>
        <v/>
      </c>
      <c r="K7434">
        <f>HYPERLINK("https://yourei.jp/不評", "查看例句")</f>
        <v/>
      </c>
    </row>
    <row r="7435">
      <c r="A7435" t="inlineStr">
        <is>
          <t>部品</t>
        </is>
      </c>
      <c r="B7435" t="inlineStr">
        <is>
          <t>成功</t>
        </is>
      </c>
      <c r="C7435" t="inlineStr">
        <is>
          <t>読み方：ぶひん
「部分品」の略。</t>
        </is>
      </c>
      <c r="D7435" t="inlineStr">
        <is>
          <t>部品メーカー(2%)；部品点数；部品供給；部品製造；部品交換</t>
        </is>
      </c>
      <c r="E7435" t="inlineStr">
        <is>
          <t>部分；要素；パーツ；ポーション；部分品</t>
        </is>
      </c>
      <c r="F7435" t="inlineStr">
        <is>
          <t>用部品；予備部品；金属部品；各部品；補修部品</t>
        </is>
      </c>
      <c r="G7435" t="inlineStr">
        <is>
          <t>部品調達；部品取り車；部品カタログ；部品模型シリーズ</t>
        </is>
      </c>
      <c r="H7435" t="n">
        <v>29</v>
      </c>
      <c r="I7435" t="inlineStr">
        <is>
          <t>加えて機体の構成部品そのものが少なく、整備性にも非常に優れている。；これはタイプアームではなくタイプボールと呼ばれる部品を使っている。；もちろん本来の位置以外に取り付けても、元の部品のように機能する。；ナノスケールの部品の操作や配置が必要な用途はまだ研究段階である。；資金不足から、彼は2機の飛行機から部品を寄せ集めて飛行機を作った。；ただし、近年は共通部品を除いて予約方式の受注生産に変更されている。；溶解されたハチ公像は機関車の部品となり、東海道線を走ることになる。；柄には拳を撃ち合いから守る役割をもつ部品を取り付けたものが多い。；基本的な部品や機器は、同時期に製造された223系電車と共通化している。；また、部品を他の車両に流用したままになっていた遊休車両もあった。；生産とは工場において材料から部品、製品などの商材を作る行為である。；また、エンジンや駆動系に、民間の自動車の部品を流用したものもある。；ハードウェアの製作やメンテナンスに特別な部品や技術を使う必要はない。；食事以外にも、レースでは機材故障に伴う部品や自転車の交換が必要になる。；このような質的な労働力の低下と無理な増産も部品の劣質化につながった。；国内・世界各地へ部品を供給する部品センターも設置されていた。；生産車種のほとんどが、現代の同クラスの車種と主要部品を共有している。；前述の事故による廃車車両から使用可能な部品が再利用されている。；部品事業部が展開していた主にホビー向けの流れを受けたシリーズ。；田湾原子力発電所では、多くのサードパーティ製部品が使用されている。；特定のレーンに描かれた部品群はその組織の制御下にあるプロセスを意味する。；他にも部品や素材の製造で多くの企業が関わっている。；この構造は光学的付加部品や撮影装置などの取り付けに有利である。；ビデオジムニー専用の部品もあり、パーツカタログには記載されている。；その他、以下に代表される多数の専用部品が装備されていた。；そのとき製作した一部の部品は今もオックスフォード科学史博物館にある。；また、機体は軽量化され、他機種との部品共有も図られているとされる。；立方体を単位とした形状をしている部品からなるものが多い。；しかし、コストダウンのため海外で精密部品を生産することが主流である。</t>
        </is>
      </c>
      <c r="J7435">
        <f>HYPERLINK("https://www.weblio.jp/content/部品", "词义详情")</f>
        <v/>
      </c>
      <c r="K7435">
        <f>HYPERLINK("https://yourei.jp/部品", "查看例句")</f>
        <v/>
      </c>
    </row>
    <row r="7436">
      <c r="A7436" t="inlineStr">
        <is>
          <t>吹雪</t>
        </is>
      </c>
      <c r="B7436" t="inlineStr">
        <is>
          <t>成功</t>
        </is>
      </c>
      <c r="C7436" t="inlineStr">
        <is>
          <t>読み方：ふぶき
１雪が激しい風に吹かれて乱れ飛びながら降ること。また、その雪。積もった雪が強い風で高く吹き上げられる状態も含めていう。《季冬》「宿かせと刀投げ出す—かな／蕪村」
２風に吹かれなどして、乱れ舞うもの。「紙—」「花—」</t>
        </is>
      </c>
      <c r="D7436" t="inlineStr">
        <is>
          <t>吹雪物語；吹雪模様；吹雪ゆかり</t>
        </is>
      </c>
      <c r="E7436" t="inlineStr">
        <is>
          <t>ブリザード</t>
        </is>
      </c>
      <c r="F7436" t="inlineStr">
        <is>
          <t>ひどい吹雪；激しい吹雪；猛烈な吹雪；烈しい吹雪；駆逐艦吹雪</t>
        </is>
      </c>
      <c r="G7436" t="inlineStr">
        <is>
          <t>吹雪型；吹雪い；吹雪く；吹雪き；吹雪か</t>
        </is>
      </c>
      <c r="H7436" t="n">
        <v>29</v>
      </c>
      <c r="I7436" t="inlineStr">
        <is>
          <t>吹雪の山でまた一人 死んだと出てる新聞を 見ながらぼくは思つてた。；なぜ岩を恐れ、氷を恐れ吹雪を恐れてこれらの姑息な手段を考えるのか。；ステイドにいわせると、この男は狩をしていて吹雪にあったのだそうだ。；その声は聞えなかったと見えて、鋸屋は吹雪の闇に一直線に進んでいた。；吹雪は、自然が彼の幸福にささげてくれる伴奏のように彼には思われた。；早く盛りを過ぎた桜が夕暮の庭を白く見せる程吹雪のやうに散つて居る。；夏に雪が降ることは極めて稀であるが、5月に吹雪が起こることはある。；開かれたドームから吹きこむ吹雪に打たれて、観測台に坐っているのだ。；また、なによりその体調が吹雪の大雪原で長く維持できるとも思えない。；吹雪を防ぐための即席の住居を作って凍死を防ぐ技術にも優れていた。；高校入学以前から、吹雪に閉じ込められた校舎で廊下を走っていたという。；「吹雪がどうしても気になってしまって」私はそれらしく嘘をついた。；時にはそういう神の顔は吹雪の中にかき消されてしまうこともあった。；身をきるような冷たい吹雪が、ほとんど絶え間なくつづいておりました。；だがホスの極寒の吹雪に巻き込まれ、雪の中で気を失って倒れてしまう。；この吹雪の中を、幾日かかっても山越えして、家へ帰って来るに違いない。；連日続いた吹雪が原因とされ、推定樹齢は1000年以上とされている。；君はがんじょうな文鎮になって小さな部屋を吹雪から守るように見えた。；辛抱の糸が切れたおしんは川の上流にある実家に向かい吹雪の中を歩き出す。；木崎が吹雪のなかをさ迷っているとき、ぼくはただ家で寝ていたのだ。；東京の天候は回復していたが、吾妻連峰では強い西からの吹雪が吹き続く。；ただし前作ほどの広さはなく、台風や吹雪などで倒れてしまう可能性がある。；二日に来る約束だった北原は、吹雪のためか、とうとう訪ねてこなかった。；激しい吹雪の中ではあったが、完成までに二日半しか要しなかった。；それは今も気象台の記録に残っている三十年来の大吹雪の序幕だった。；二人が出発してから間もなく吹雪が始まり、その後二人の姿を見ることは無かった。；このあたり西風の大吹雪が襲いきたのか、斑雪が、鏃の形に残っていた。；吹雪に見舞われることもあろうし、道に迷うこともあるかも知れなかった。；明日こそは吹雪が止むようにと、誰もが念じているのが、私にも分かった。</t>
        </is>
      </c>
      <c r="J7436">
        <f>HYPERLINK("https://www.weblio.jp/content/吹雪", "词义详情")</f>
        <v/>
      </c>
      <c r="K7436">
        <f>HYPERLINK("https://yourei.jp/吹雪", "查看例句")</f>
        <v/>
      </c>
    </row>
    <row r="7437">
      <c r="A7437" t="inlineStr">
        <is>
          <t>不服</t>
        </is>
      </c>
      <c r="B7437" t="inlineStr">
        <is>
          <t>成功</t>
        </is>
      </c>
      <c r="C7437" t="inlineStr">
        <is>
          <t>読み方：ふふく
［名・形動］納得がいかず、不満に思うこと。また、そのさま。不満足。「—を唱える」「—な顔をする」
→不平［用法］
[派生]ふふくげ［形動］</t>
        </is>
      </c>
      <c r="D7437" t="inlineStr">
        <is>
          <t>不服そう(10%)；不服申し立て(3%)；不服審査会；不服住民；不服審査法</t>
        </is>
      </c>
      <c r="E7437" t="inlineStr">
        <is>
          <t>反対；不満；非難；文句；反発</t>
        </is>
      </c>
      <c r="F7437" t="inlineStr">
        <is>
          <t>不服審査；内心不服；不服として即日控訴；不服そうな表情；不服そうな顔</t>
        </is>
      </c>
      <c r="G7437" t="inlineStr">
        <is>
          <t>不服申立て；不服申立；不服従のフランス</t>
        </is>
      </c>
      <c r="H7437" t="n">
        <v>29</v>
      </c>
      <c r="I7437" t="inlineStr">
        <is>
          <t>そんな不服ならば来ぬでも宜いではないか、とクラブの方で云ふでせう。；これを不服とした一族の一人にして野心家のクリアトラーは帝国を出奔。；あんな所で一日幕合の長い芝居を不服もなく見物してゐるんですね。；彼はこの免職の決定を不服として訴えを起こしたが処分は覆らなかった。；老母が縁もゆかりもない人間を拾って来て、不服らしいところもあった。；この処分に不服を感じたチームメイトは、全員で試合出場をボイコット。；東京高等裁判所の判決に不服のある者は最高裁判所に上告することになる。；死刑判決が維持されたSのみが判決を不服として最高裁判所へ上告した。；冬康本人が、義継への家督継承を不服としていた可能性もあると指摘される。；次郎は、それを物足りなく感じながらも、少しも不服には思わなかった。；お金のことは母もさほど不服そうでなく話は大体きまったようだった。；どんなに心をこめた御馳走をこしらえてやっても、必ず不服を言いました。；不服とした西郷は参議・近衛都督を辞職して鹿児島へと帰国していった。；あの純粋な園にならおぬいさんが与えられても俺には不服はない。；大山守命はこれを不服に思い翌年に天皇が崩御すると反乱を起こすこととなる。；唯僕は梅若丸の幽霊などの出ないことを少しも不服に思はなかつた。；彼女はこころもち夫の方へ首を差し出しその写真を見せながら不服そうに云った。；それで五畳敷三軒に七人も八人も寝なくてはならなくても決して不服はなかつた。；彼は判決を不服として控訴し、8月20日に一時的な保釈が認められた。；看護婦は口の内で返事をしたぎり、何か不服そうな顔をしていた。；大人達は、私の口から満足な答を得られなかつたので、不服さうな顔をした。；なお特別支給金の決定に不服があっても、不服申立てをすることはできない。；なお、不服がある場合は、厚生労働大臣に審査請求をすることができる。；これは裁決に不服を抱いた側が再び訴えを起こすことを防止するためのものであった。；けれども彼女は、私がTと別れると同時にOと結んだ事に不服でした。；世間の人がそれに不服を言うこともありますまい。；当然ながらこうした 処分に不服な彼等は長岡藩へ訴えました。；弁護人は同判決を不服として、同年3月8日付で最高裁判所へ上告した。；ただし不服ならば区裁判所に正式裁判を請求できるとされていた。</t>
        </is>
      </c>
      <c r="J7437">
        <f>HYPERLINK("https://www.weblio.jp/content/不服", "词义详情")</f>
        <v/>
      </c>
      <c r="K7437">
        <f>HYPERLINK("https://yourei.jp/不服", "查看例句")</f>
        <v/>
      </c>
    </row>
    <row r="7438">
      <c r="A7438" t="inlineStr">
        <is>
          <t>部分</t>
        </is>
      </c>
      <c r="B7438" t="inlineStr">
        <is>
          <t>成功</t>
        </is>
      </c>
      <c r="C7438" t="inlineStr">
        <is>
          <t>読み方：ぶぶん
全体をいくつかに分けたものの一つ。「シャツの胸の—に汚れがある」</t>
        </is>
      </c>
      <c r="D7438" t="inlineStr">
        <is>
          <t>部分的；部分品；部分開業；部分構造；部分開通</t>
        </is>
      </c>
      <c r="E7438" t="inlineStr">
        <is>
          <t>一部；部；分；方法；分野</t>
        </is>
      </c>
      <c r="F7438" t="inlineStr">
        <is>
          <t>重要な部分；どの部分；各部分；にあたる部分；主要部分</t>
        </is>
      </c>
      <c r="G7438" t="inlineStr">
        <is>
          <t>部分集合；部分群；部分空間；部分日食；部分多様体</t>
        </is>
      </c>
      <c r="H7438" t="n">
        <v>29</v>
      </c>
      <c r="I7438" t="inlineStr">
        <is>
          <t>映画公開後に発表された小説は、脚本と同時進行で書かれた部分もある。；これに続けて攻撃に必要な内容をスクリプト部分に自由に記述可能となる。；このうち北西側の緑色の部分は北に隣接するセルビアの領土となった。；このエネルギー評価内で最も計算コストが高いのが非結合部分である。；この記号が現れた場合、その部分のデータが消去されていることを示す。；ワードは単独で実行できるため、部分に分けてのデバッグも容易である。；日本では事情は異なり、急速な普及や変化には難しい部分があった。；破壊が始まった一点が震源であり、破壊されてずれた部分が断層となる。；は、分子同士や高分子内の離れた部分の間に働く電磁気学的な力である。；こうして遺伝現象の基本的な部分は分子の言葉で記述されるようになった。；アルゼンチン・イギリス・チリの主張する地域には重なった部分がある。；録音時などに、音量が可聴領域を超えてしまった部分で発生するノイズ。；乗り入れ相手先の部分でのみ使用され国鉄区間では採用・使用されていない。；また輪軸部分のみを載せるようにした小さな車両をロールボックという。；スペイン語圏では、複数部分からなる姓の一部が省略されることがある。；原作とは設定や話の展開が異なる部分が多く、特に第二章は大きく異なっている。；平衡感覚に関係しているのは、耳では内耳と呼ばれる部分のみである。；なお、いくつかの観点から、それまでの歴代天皇から変更された部分もある。；なお、コーナーだけでなく直線部分も内側に傾斜しているのが一般的である。；細胞小器官は生体膜で包まれた、細胞中で固有の機能を持つ部分である。；テレビは映画や音楽を部分的に含み、ラジオも音楽と重なる部分がある。；変化の中間部は直線的であり、この部分の傾きのことをガンマという。；その他の部分はオペランドと呼ばれ、その命令で使用する情報を示している。；その固定部分も回転部分も電磁石になっていて、永久磁石は使っていない。；マスクの白い縁取りの目の部分が尖っていないタイプの戦闘員もいる。；フィンランド語では度量単位と同様に部分格が用いられ、 や となる。；また、サブルーチンの定義部分だけを先に記述する方法で解決した。；気圧が低い部分から高くなるに従って青から赤へと色分けされている。；それはこの部分の文体が13章までとはやや異なることなどから明らかである。</t>
        </is>
      </c>
      <c r="J7438">
        <f>HYPERLINK("https://www.weblio.jp/content/部分", "词义详情")</f>
        <v/>
      </c>
      <c r="K7438">
        <f>HYPERLINK("https://yourei.jp/部分", "查看例句")</f>
        <v/>
      </c>
    </row>
    <row r="7439">
      <c r="A7439" t="inlineStr">
        <is>
          <t>部分的</t>
        </is>
      </c>
      <c r="B7439" t="inlineStr">
        <is>
          <t>成功</t>
        </is>
      </c>
      <c r="C7439" t="inlineStr">
        <is>
          <t>読み方：ぶぶんてき
［形動］全体のうち、一部分に限って関係のあるさま。「—な手直し」</t>
        </is>
      </c>
      <c r="D7439" t="inlineStr">
        <is>
          <t>部分的または完全；部分的許容説；部分的内容；部分的需要；部分的もしくは完全</t>
        </is>
      </c>
      <c r="E7439" t="inlineStr">
        <is>
          <t>ある程度；稍</t>
        </is>
      </c>
      <c r="F7439" t="inlineStr">
        <is>
          <t>部分的交換；部分的現象；部分的解決</t>
        </is>
      </c>
      <c r="G7439" t="inlineStr">
        <is>
          <t>部分的核実験停止条約；部分的霊感説</t>
        </is>
      </c>
      <c r="H7439" t="n">
        <v>29</v>
      </c>
      <c r="I7439" t="inlineStr">
        <is>
          <t>社会主義や共産主義を意味する赤を部分的に使用した旗には以下がある。；大筋は変わってないが部分的にはかなり神波脚本と変わっているという。；部分的に転化した糖は酵素を使わずに家庭で作成することが可能である。；この羽は基本的な大羽の構造をとっているが、部分的に分解が進んでいる。；このようなタイプの処理に腹外側前頭前皮質が部分的に関与している。；部分的に沈んでいる島も含めて、その数は継続的に多くなっている。；テレビは映画や音楽を部分的に含み、ラジオも音楽と重なる部分がある。；以下の一覧はアメリカ合衆国で現在営業している鉄道事業者を部分的に示す。；作品は、他の事で多忙だったため、手直しを部分的にしか行わなかった。；これらの効果のため、ドーパミン量の調整機構が部分的に機能しなくなる。；旧備前矢田駅のようにホームや駅標が部分的に残されている駅もある。；クロンキスト体系ほど普及はしなかったが、部分的に採用した文献も多い。；この後黒aにオサエるのが部分的に好形だが、右辺に先着する手もある。；ルベーグはこの問題を部分的に解決する新しい積分の方法を発明した。；それでもなお耐震性能が足りないときに、耐力壁が部分的に用いられる。；大西洋の壁沿いのドイツ軍の準備は部分的にしか完成していなかった。；これらの特徴は部分的に改良されながら、現代日本語の基礎となっていった。；カリスト内部での対流運動は氷と岩石を部分的に分離するにとどまった。；主に外国からの新たな投資によって、経済は部分的に回復されている。；最近は、車両の変更のほか、部分的ではあるが改修工事が進んでいる。；各原作作品の要素を部分的に再現する形で取り入れている。；ただ、部分的に放送できない所は各国で独自に修正されている。；むしろ非常に多くの、部分的に異なったバリエーションが現れている。；また、放送内容は権利の関係上、CS放送とは部分的に異なる場合もある。；また、敵がドロップする武器・防具・アイテムも部分的に変更されている。；ただし、いくつかの計算機代数システムはこれを部分的に実装している。；損害を受けた壁は高さが低くなっているところに合わせて、部分的に再建された。；部分的に従来の線路を放棄して別の用地に新たな線路を敷設する手法もとられる。；アヘン法は制定されたが、その運用は部分的にしか行われなかった。</t>
        </is>
      </c>
      <c r="J7439">
        <f>HYPERLINK("https://www.weblio.jp/content/部分的", "词义详情")</f>
        <v/>
      </c>
      <c r="K7439">
        <f>HYPERLINK("https://yourei.jp/部分的", "查看例句")</f>
        <v/>
      </c>
    </row>
    <row r="7440">
      <c r="A7440" t="inlineStr">
        <is>
          <t>不平</t>
        </is>
      </c>
      <c r="B7440" t="inlineStr">
        <is>
          <t>成功</t>
        </is>
      </c>
      <c r="C7440" t="inlineStr">
        <is>
          <t>読み方：ふへい
［名・形動］納得できず不満であること。また、そのさま。「しかられて—な顔をする」「—たらたら」
[用法]不平・不満・不服——「交渉の結果に不平（不満・不服）をもらす」では三語とも用いられる。◇「不平」は要求が満たされなくて不愉快な思いが態度やことばに出る場合に多く用いる。「『弟ばかりかわいがって』と兄が不平を言う」「政治に対して不平を並べる」◇「不満」は要求の水準に達していないので物足りない、気に入らないと思う意が強い。「与えられた役を不満に思う」「欲求不満」「この成績では不満だ」など「不平」「不服」では置き換えられない。◇「不服」は相手の申し出・条件などに従えない場合に多く用いる。「判決に不服を申し立てる」「一方的な押しつけには不服だ」</t>
        </is>
      </c>
      <c r="D7440" t="inlineStr">
        <is>
          <t>不平士族(2%)；不平そう；不平分子；不平たらたら；不平をいわ</t>
        </is>
      </c>
      <c r="E7440" t="inlineStr">
        <is>
          <t>不足；文句；苦情；不服；怨み</t>
        </is>
      </c>
      <c r="F7440" t="inlineStr">
        <is>
          <t>不平士族の反乱；不平ひとつ言わ；不平らしい様子；不平をのべ；不平を言つて</t>
        </is>
      </c>
      <c r="G7440" t="inlineStr">
        <is>
          <t>不平等条約；不平不満；不平衡接続</t>
        </is>
      </c>
      <c r="H7440" t="n">
        <v>29</v>
      </c>
      <c r="I7440" t="inlineStr">
        <is>
          <t>暗い相談ばかりを選んで持ち懸けられるやうな不平を感じたりするのだ。；それは病人が女を見るたびに、その顔に不平が現われていたからである。；そこで帰って林の杪に止まったが、もう前の不平は忘れて得意であった。；しかし妻は一国の王である自分の父に自分の夫が女だと不平をもらす。；一時間半程立つと、又非常に不平らしい顔をして、急いで這入つて来た。；それが不平なのだか、嬉しいのだかすらも、ちょっとは分らないほどに。；明治の始め高級地方官をつとめ、田舎の開墾事業をやって、不平で死ぬ。；多分彼女はM市の妹の処へでも来て夫の不平をあげてゐるのであらう?；自分達のして居る事の不平やら不安やらが頭の中におしよせて来た。；マニョンの手に落ちたふたりの子供は、不平を言うどころではなかった。；常からある一般的不平が昨日の書面と今日の電報で刺戟されたのだった。；わたしの不平はそれぐらいだったが、お姉さまの気持ちが少し変ってきた。；私はまだ廿三年の間にたゞの一度だつて不平をこぼしたことはありません。；その時代のことが忘れられないで不平と不満とが、心を一杯に充たしている。；わたしは、みんなが不平に苦しみ、そして死んでしまうことを望んでいる。；それでも黙って不平をいわないじゃないか、我慢をしろ、我慢をしろ。；なんにも出来ないで、不平ばかり並べてる奴は、人間の屑だと思つてる。；ハタから見たら円満のようでも、内情知ったら不平のない奴あるもんか。；かかる不平はアメリカの財産家がしばしば喞つところであると私は聞いている。；少し不平であったけれども、もともと特別の便乗なのだから仕方がない。；又それがために、彼の上唇の辺は見るからに不平の多い人間である。；その時になって、国民は不平を鳴らしても苦痛を訴えても追付くものでない。；私が勝手にだんだん田舎の奥へひッこむのに、不平もいわずについてきた。；そのため世間では大変ほめる人もあったが、悪口不平を言う人も多かった。；二人で顔を見合わせると野口君は私の着く時日の違った不平を言った。；別の元同僚は、唐が短気でいつも社会に対して不平を言っていたと言う。；不平は画家のこの官許検定制度を承認した上での不平でしかあり得ない。；双方ともに毫も軽重あることなしとの裁判にて、双方に不平なかるべし。；彼が今日にも出てゆくと言っても彼女が一言の不平も唱えないことはわかりきったことであった。</t>
        </is>
      </c>
      <c r="J7440">
        <f>HYPERLINK("https://www.weblio.jp/content/不平", "词义详情")</f>
        <v/>
      </c>
      <c r="K7440">
        <f>HYPERLINK("https://yourei.jp/不平", "查看例句")</f>
        <v/>
      </c>
    </row>
    <row r="7441">
      <c r="A7441" t="inlineStr">
        <is>
          <t>普遍</t>
        </is>
      </c>
      <c r="B7441" t="inlineStr">
        <is>
          <t>成功</t>
        </is>
      </c>
      <c r="C7441" t="inlineStr">
        <is>
          <t>読み方：ふへん
１全体に広く行き渡ること。例外なくすべてのものにあてはまること。「人類—の原理」⇔特殊。
２哲学の用語。
㋐宇宙や世界の全体に関していえること。
㋑特殊・個物に対して、ある範囲のすべての事物に共通する性質。</t>
        </is>
      </c>
      <c r="D7441" t="inlineStr">
        <is>
          <t>普遍的(68%)；普遍化(5%)；普遍性(4%)；普遍射；普遍アントロポゾフィー協会</t>
        </is>
      </c>
      <c r="E7441" t="inlineStr">
        <is>
          <t>普遍性</t>
        </is>
      </c>
      <c r="F7441" t="inlineStr">
        <is>
          <t>具體的普遍；中で最も普遍；普遍アントロポゾフィー；普遍的な道徳法則；普遍的な菩薩行</t>
        </is>
      </c>
      <c r="G7441" t="inlineStr">
        <is>
          <t>普遍性；普遍的価値；普遍史；普遍主義；普遍妥当</t>
        </is>
      </c>
      <c r="H7441" t="n">
        <v>29</v>
      </c>
      <c r="I7441" t="inlineStr">
        <is>
          <t>後にこの語は現在のタイに普及し、タイ人を表す普遍的な言葉となった。；大陸と島など他の地理的概念と同様に、具体的かつ普遍的な定義はない。；出現形態は千差万別で定説が無く普遍的な認定基準が無い概念であった。；しかし普遍的に採用されたのはこれらのルールのほんの一部だった。；機能的・合理的で、地域性や民族性を超えた普遍的なデザインとされた。；彼は反奴隷主義の運動に積極的に参加し、普遍的な自由の擁護者であった。；このため山に城を築く行為は、地域や時代を問わず普遍的に行われている。；最も普遍的なユーロリージョンのローカル名には以下の名前が含まれる。；極めてフランス的ではあったが、それは普遍的なものと考えられた。；このような存在はほぼ普遍的なもので、さまざまな国の伝承にある。；調査では各文化における幸福の目印は驚くほど普遍的だと示している。；古代では富士山は駿河国のものであるとする考え方が普遍的であった。；この過程は文化によって多少の前後があるが共通した文化普遍的な現象である。；この方法は微生物を扱う場合にごく基本的かつ普遍的な方法と考えられている。；これは儒教の『孝』が良く知られているが、それに限らず普遍的である。；小学校と高等学校レベルの学校に入学することは義務化されほとんど普遍化されている。；したがって、以下に列記する分類名は必ずしも普遍的なものではない。；アレクサンドリアに普遍的な図書館を置く着想はおそらくの提案による。；そのため、しばしば地方教会会議や普遍公会議が行われるようになった。；これら各地の建築物から、普遍的な建築形態を抽出しようとしたのである。；一般に水流などが存在する場所で発生しうる普遍的な現象である。；しかし、後にシステムに改良が加えられ、ある程度の普遍化に成功している。；サーカーは宇宙を普遍意識中の夢のようなものであると述べている。；特にトレボウクシア藻綱の藻類は、このような環境で普遍的に見られる。；この植物が一面の群落を作るのは熱帯域の砂浜海岸の普遍的な風景である。；全ての種類のレーザーについてあてはまる普遍的なモデルは存在しない。；大きくはルネサンスと宗教改革によって中世普遍思想は崩壊していった。；さらにこれらの結果を基に3次元多様体の普遍有限型不変量を構成した。；歴史的な物語や故事などにもよく登場する普遍的な物でもある。</t>
        </is>
      </c>
      <c r="J7441">
        <f>HYPERLINK("https://www.weblio.jp/content/普遍", "词义详情")</f>
        <v/>
      </c>
      <c r="K7441">
        <f>HYPERLINK("https://yourei.jp/普遍", "查看例句")</f>
        <v/>
      </c>
    </row>
    <row r="7442">
      <c r="A7442" t="inlineStr">
        <is>
          <t>不便</t>
        </is>
      </c>
      <c r="B7442" t="inlineStr">
        <is>
          <t>成功</t>
        </is>
      </c>
      <c r="C7442" t="inlineStr">
        <is>
          <t>読み方：ふびん
［名・形動］《「不憫」「不愍」は当て字》
１（不憫・不愍）かわいそうなこと。あわれむべきこと。また、そのさま。「—な子」
２都合が悪いこと。また、そのさま。
「この大臣のし給ふ事なれば、—なりと見れど」〈大鏡・時平〉
３かわいがること。また、そのさま。
「一芸あるものをば下部までも召しおきて、—にせさせ給ひければ」〈徒然・二二六〉
[派生]ふびんがる［動ラ五］ふびんさ［名］</t>
        </is>
      </c>
      <c r="D7442" t="inlineStr">
        <is>
          <t>不便な場所；不便なところ；不便地域；不便な地域；不便な点</t>
        </is>
      </c>
      <c r="E7442" t="inlineStr">
        <is>
          <t>非；迷惑；不自由；支障；不都合</t>
        </is>
      </c>
      <c r="F7442" t="inlineStr">
        <is>
          <t>こんな不便；著しく不便；御不便；大変不便；ひどく不便</t>
        </is>
      </c>
      <c r="H7442" t="n">
        <v>29</v>
      </c>
      <c r="I7442" t="inlineStr">
        <is>
          <t>ただし小さいと不便なこともあるため、いつも住んでいるわけではない。；改名の理由は本名と通称の名前が二つある事に不便さを感じたためである。；栗東に比べると当施設は交通アクセスが不便であるとも指摘されている。；文字の種類は118あるが、印刷が不便であり、現在は使われていない。；しかし住宅にコンピュータを使うことは不便だと考える人は少なくなかった。；集落に住む住民は大和川を渡って耕作を行うこととなり不便を強いられた。；しかし、流通が進むにつれて明治通宝に不便な事があることが判明した。；しかし生活や政治には不便であり、別の居館に在住していた可能性がある。；しかし激しい起伏が存在するので実際に工事する上で不便であった。；この不便を解消するため1930年代に新設されたのが30丁目駅である。；実用的な面では男女混合では不便である局面がよくあることがあげられる。；ズビが住む星には「マチ」が無く、星の住民は不便な暮らしをしている。；交通が不便なので、くり抜き型の太鼓を鳴らして連絡を取り合っていた。；結果27年不便を強いられていた旧常入村地区の住民は大いに喜んだという。；以前は、この場所までの交通が不便なため「幻の滝」と呼ばれていた。；高齢者など移動の不便な人を対象に市内各地で運行されている。；この地域は鉄道駅から離れた地域のため、鉄道利用には不便である。；しかし駅が遠い上に当時は東洋バスも本数が少なかったため不便であった。；交通が不便な地域や、管轄本支店から距離がある地域での営業活動を行う。；天長元年に多気の斎宮が不便なために離宮院を斎宮にあてたことがあった。；この改修工事まで、当駅は障害を持つ利用者にとって不便な駅であった。；さらにドイツからの移住にはあまりに不便な地理条件が追い討ちをかけた。；交通の不便さから開拓地を放棄せざるを得ないものも現れ、深刻の度を増していた。；生誕地など大統領ゆかりの地に建てられるので、交通が不便な場合もある。；逆に言えば末期に至るまで不便さを自覚しない可能性もある。；しかしこのような方式の座標表記は使うのに非常に不便なため、改訂された。；一つにはイズムの提唱に無経験な私は、さう云ふ便宜を明にしてゐませんから。；を太陰暦に比すれば最も精密にして、その便不便もより論をたざるなり。；県南部の山間部に位置しているため、交通も不便で経済活動は盛んではない。</t>
        </is>
      </c>
      <c r="J7442">
        <f>HYPERLINK("https://www.weblio.jp/content/不便", "词义详情")</f>
        <v/>
      </c>
      <c r="K7442">
        <f>HYPERLINK("https://yourei.jp/不便", "查看例句")</f>
        <v/>
      </c>
    </row>
    <row r="7443">
      <c r="A7443" t="inlineStr">
        <is>
          <t>普遍的</t>
        </is>
      </c>
      <c r="B7443" t="inlineStr">
        <is>
          <t>成功</t>
        </is>
      </c>
      <c r="C7443" t="inlineStr">
        <is>
          <t>読み方：ふへんてき
［形動］広く行き渡るさま。極めて多くの物事にあてはまるさま。「生物に共通の—な性質」</t>
        </is>
      </c>
      <c r="D7443" t="inlineStr">
        <is>
          <t>普遍的に見られる(3%)；普遍的かつ(2%)；普遍的法則；普遍的自我；普遍的原理</t>
        </is>
      </c>
      <c r="E7443" t="inlineStr">
        <is>
          <t>広く；一般的；世界的；全般的；遍く</t>
        </is>
      </c>
      <c r="F7443" t="inlineStr">
        <is>
          <t>普遍的にみられる；普遍的人権；普遍的意味；普遍的宗教；普遍的要素</t>
        </is>
      </c>
      <c r="G7443" t="inlineStr">
        <is>
          <t>普遍的無意識；普遍的性質；普遍的教会；普遍的真実</t>
        </is>
      </c>
      <c r="H7443" t="n">
        <v>29</v>
      </c>
      <c r="I7443" t="inlineStr">
        <is>
          <t>興味深いことには国民的な作品ほど普遍的要素を含むものはないのです。；南方の知識の普遍的拡がりはこれを可能にしなかったわけではあるまい。；実際、このような方法で全ての随伴関手の対を普遍的構成から得られる。；化石記録は非常に古く、最初期の被子植物の中で最も普遍的に見られる。；自然科学の対象は、普遍的だということに於てしかその価値を持たない。；工学や物理学を含む自然科学の分野に普遍的に現れるものとなっている。；十字章勲二等はすばらしい功績に章を普遍的に与えるために制定された。；それが普遍的に存在するのか、普遍的に存在しないのかはわからない。；人を離れて普遍的にただその体系が示す思想だけを見たくない。；このような多様な生物の存在は、地球上のどこでも普遍的に見られるものである。；決して、犬だけを飽きっぽいと責めるわけにいかない普遍的現象である。；高齢者に多いが、各世代に不整脈をもっている人は普遍的に存在している。；それで特殊な宗教を超絶した一般的普遍的の宗教をもってするでなければならぬ。；形が面白いものは多いが、普遍的に美麗とされるようなものもない。；さうして他の一面に於いては、次第に普遍的自我の光を増し行くことである。；こうしたところに、上達の普遍的論理への関心の強さを見ることができる。；全ての種には、種普遍的、種典型的な進化的に形作られた構造がある。；我々の行為は理性の普遍的法則に対する尊敬の感情から出なければならぬ。；したがって、代謝反応の関与する生物体内であれば普遍的に存在している。；文化にも普遍的基盤というものが存在することを軽視しているとの声もある。；パースは数学を哲学よりも一般的・普遍的・抽象的な学問分野とみなした。；普遍的に作用する力を持った、基本的なルールのようなもの。；妖素はどこにでも普遍的に存在し、普段それを意識することすらないものだった。；倫理には普遍的一般的方面と特殊的差別的方面とがあるものと見なければならぬ。；それは、普遍的に存在し制限されることが滅多にないためである。；人々はただ一つの普遍的信條があるだけだ、即ち神への忠誠である。；これらの理由ため、既知の地球生物の各細胞には普遍的にATPが存在する。；健康を保つために必要な、8つの普遍的セルフケア要件は以下とされる。；さればこそ、近代演劇の普遍的体験に力を得てわれわれはかく主張するものである。</t>
        </is>
      </c>
      <c r="J7443">
        <f>HYPERLINK("https://www.weblio.jp/content/普遍的", "词义详情")</f>
        <v/>
      </c>
      <c r="K7443">
        <f>HYPERLINK("https://yourei.jp/普遍的", "查看例句")</f>
        <v/>
      </c>
    </row>
    <row r="7444">
      <c r="A7444" t="inlineStr">
        <is>
          <t>父母</t>
        </is>
      </c>
      <c r="B7444" t="inlineStr">
        <is>
          <t>成功</t>
        </is>
      </c>
      <c r="C7444" t="inlineStr">
        <is>
          <t>読み方：かぞいろは
《古くは「かそいろは」》父と母。両親。かぞいろ。
「—何(いか)に哀れと思ふらん、三年(みとせ)になりぬ足立たずして」〈太平記・二五〉</t>
        </is>
      </c>
      <c r="D7444" t="inlineStr">
        <is>
          <t>父母兄弟；父母妻子；父母共；父母両；父母たる者</t>
        </is>
      </c>
      <c r="E7444" t="inlineStr">
        <is>
          <t>親；両親；二親；ペアレンツ</t>
        </is>
      </c>
      <c r="F7444" t="inlineStr">
        <is>
          <t>老父母；亡き父母；たる父母；父母両系；幼くして父母</t>
        </is>
      </c>
      <c r="G7444" t="inlineStr">
        <is>
          <t>父母恩重経；父母恩重難報経；父母ヶ浜</t>
        </is>
      </c>
      <c r="H7444" t="n">
        <v>29</v>
      </c>
      <c r="I7444" t="inlineStr">
        <is>
          <t>ときどき父母の部屋に入って朝晩の挨拶をしたが、すぐに帰っていった。；高校生だったころの自らと父母、弟からなる核家族の日常を描いた内容。；逮捕・摘発されても父母ともに日本人であるために強制送還はされない。；音楽を学んでいた父母の元、彼は生まれる前から既に音楽に囲まれていた。；この場合は18歳となり成人になるまではなお父母の同意が必要になる。；彼はかかる時父母の国を救うべき責任を一層強く感じたのでありましょう。；人間の場合は人種または民族の異なる父母の間に子が生まれることを指す。；また生徒の父母には各界の有力者が多く、自動車通学が認められている。；いつもいつも父母兄弟から相も変わらぬ気休めをいわれて帰ってくる。；琉球処分は実に迷児を父母の膝下に連れて帰ったようなものであります。；なぜ嘆いているのかを問うと故郷の父母が恋しいからだと兄媛は答えた。；呉氏は早くに父母を失ったため、銭唐に移住して弟と共に暮らしていた。；そこに、僕の父母と称する人がいたが、どう考えても本当の親とは思えない。；父母ともに子供が外国人との間に生まれた子であったことを周囲に隠していたという。；同9年同師より竹林流中央の巻及び父母の巻を伝授され免許皆伝となる。；とは、父母が共同し、合意に基づいて子に対して親権を行うことである。；しかし彼は、いずれも自分の父母であることを知らずに、その行為を行った。；王子は馬と武具甲冑を返し、父母を返してもらい、一同幸せに暮らした。；主人公・仁歳チトセは、小さい頃に父母を亡くし施設で育てられていた。；最終的には、彼女を結婚させたいと望んでいた父母もそれを諦めた。；この凄惨な市民の戦争によって非常に多くの人々が私と同様に父母を失った。；彼の父母の一を神とし、他の一を獣類とする伝説は族の神に非ず。；病気になった祖父に会いに行くため、父母が家を留守にしたラッセル家。；軍人になると言ひ出して、父母に 苦労させたる昔の我かな。；幼いころから父母の舞台を観ていた彼女は、7歳からバレエを始めた。；右手には育ての父母や姉の名前、左手には孤児院の名前などが入れられている。；これらの父母の恩の重いことは、天に極まりがないようなものである。；ローティーンの娘を亡くした父母が互いに距離を置いて暮らしている。；クリストの父母は彼を見つけ、「さんざんお前を探してゐた」と言つた。</t>
        </is>
      </c>
      <c r="J7444">
        <f>HYPERLINK("https://www.weblio.jp/content/父母", "词义详情")</f>
        <v/>
      </c>
      <c r="K7444">
        <f>HYPERLINK("https://yourei.jp/父母", "查看例句")</f>
        <v/>
      </c>
    </row>
    <row r="7445">
      <c r="A7445" t="inlineStr">
        <is>
          <t>不本意</t>
        </is>
      </c>
      <c r="B7445" t="inlineStr">
        <is>
          <t>成功</t>
        </is>
      </c>
      <c r="C7445" t="inlineStr">
        <is>
          <t>読み方：ふほんい
［名・形動］自分の本当の望みとは違っていること。また、そのさま。「けがの多い—な年だった」「—ながら承知する」</t>
        </is>
      </c>
      <c r="D7445" t="inlineStr">
        <is>
          <t>不本意な成績(4%)；不本意な結果(4%)；不本意なシーズン；不本意きわまる；不本意非正規</t>
        </is>
      </c>
      <c r="E7445" t="inlineStr">
        <is>
          <t>吝か；気無</t>
        </is>
      </c>
      <c r="F7445" t="inlineStr">
        <is>
          <t>まことに不本意；やや不本意；はなはだ不本意；いささか不本意；いかにも不本意</t>
        </is>
      </c>
      <c r="H7445" t="n">
        <v>29</v>
      </c>
      <c r="I7445" t="inlineStr">
        <is>
          <t>大会前からの自身の右膝の怪我もあり、不本意な結果で本大会を終えた。；期待していると思われているのだとしたら、なんという不本意だろう。；それとも不本意に暇になってしまって、私は混乱しているのだろうか。；だから、不本意ながらも彼らの言いなりになっているしかなかったのか。；チームはリーグ優勝を果たすが、安自身には不本意なシーズンとなった。；しかし米内も山本も、不本意ながらここまで妥協したの思いなのである。；職員が必要な文書業務を提出するのは不本意であると報告された。；父のお骨を一部でも台湾にもっていくこと自体が、わたしには不本意である。；不本意ではありますが、我ら力に訴えてでもお連れせねばなりません。；あなたもたしかに不本意ながらそうなさいましたようでございます。；自由の無い労働あるいは不本意に与えられた労働は多くの方法で定義されている。；ここは悪い相手にぶつかったと思って、不本意でも頭を下げたらどうかな。；ガリオンにはその不本意さが怪物の内部から生じているもののように思えた。；吉田一美は、その日も変わりばえしない一日を、不本意のまま過ごした。；君としちゃ不本意だろうが、我々の忘年会は狸鍋と決まっているからね。；ラクスマンらは不本意ながら一部目標は達したとして帰国の途についた。；その眼は冷たくて、怒っていたが、不本意ながら称賛がないこともない。；私はさういふ傾向が俳壇にも存在してゐることをいつも不本意に思ふのである。；不本意だけど、未熟な息子としちゃお父上の力を借りなきゃなるまいな。；不本意ながらこの世へ帰って来て以来、私の生活はすべて任意のものとなった。；法律の無知あるいは不本意ながらで犯罪になってしまう可能性のあるもの。；わたしがこれほど不本意に人を殺したことはかつてないことだ。；なにやら不本意なごりおしをされたという雰囲気に見えなくもなかった。；不本意ではあったが、この線をたどるのはあきらめた方がよさそうだった。；しかしこの状況はやはりどうも不本意だとわたしは感じていた。；不本意には違いなかったが、これも職業となるとしかたがないことだった。；ほんとうの自分の願いを知らないで、人生を生きることは不本意です。；ポストシーズンにも出場せず昨年と対照的に不本意なシーズンに終わる。；すまぬなどと尋常なことばを以てしたら、かえって皆には不本意だろう。</t>
        </is>
      </c>
      <c r="J7445">
        <f>HYPERLINK("https://www.weblio.jp/content/不本意", "词义详情")</f>
        <v/>
      </c>
      <c r="K7445">
        <f>HYPERLINK("https://yourei.jp/不本意", "查看例句")</f>
        <v/>
      </c>
    </row>
    <row r="7446">
      <c r="A7446" t="inlineStr">
        <is>
          <t>踏まえる</t>
        </is>
      </c>
      <c r="B7446" t="inlineStr">
        <is>
          <t>成功</t>
        </is>
      </c>
      <c r="C7446" t="inlineStr">
        <is>
          <t>読み方：ふまえる
［動ア下一］［文］ふま・ふ［ハ下二］
１しっかりと足で踏みつける。「大地を—・えて立つ」
２判断のよりどころにする。根拠とする。「経験を—・えた助言」「事実を—・えて論じる」
３あれこれ思案する。配慮する。
「左様に後先—・へ用心せば」〈仮・可笑記・五〉
４支配下に入れる。掌握する。
「石川の城を—・へさせて」〈太平記・二七〉</t>
        </is>
      </c>
      <c r="D7446" t="inlineStr">
        <is>
          <t>踏まえるなら(4%)；踏まえるべき(3%)</t>
        </is>
      </c>
      <c r="E7446" t="inlineStr">
        <is>
          <t>念頭に置く；念頭におく</t>
        </is>
      </c>
      <c r="H7446" t="n">
        <v>29</v>
      </c>
      <c r="I7446" t="inlineStr">
        <is>
          <t>この時すでに買収していた用地は将来的な使用も踏まえて残されていた。；原作の基本設定を踏まえたうえで、ストーリーは完全オリジナルで展開。；以上を踏まえた上で、密度行列とその関連概念を以下のように定義する。；深刻な負傷を扱う際には、常に踏まえるべきいくつかのステップがある。；試作改造車の実績を踏まえた上で本工事では以下の変更が行われた。；さっき街から逃亡してきた事を踏まえると、案外学校もいいかもしれない。；以上を踏まえ、それぞれの実験に応じた装置を選択する必要がある。；それを踏まえて改めて事件を「推理」することは、裁判批判を意味した。；その成果を踏まえて、1974年7月29日に部隊使用承認を取得した。；さらなる高エネルギー領域に存在する可能性も踏まえ、探索は継続する。；友鶴事件の教訓を踏まえて計画された当初の計画要目は以下の様であった。；その後、番組の終盤で上述の結論を踏まえ番組を終了することを発表した。；高校の選択も、日本大学芸術学部演劇科への進学も踏まえてのものであった。；全体供用は暫定供用後の諸情勢を踏まえて順次の整備が予定されている。；厳密で適切な選択となると、原価計算も踏まえて行う必要がでてくる。；偵察の結果などを踏まえ、アメリカ艦隊の作戦計画は以下のように決められた。；SMの世界では、前述の侮蔑的な意味を踏まえて人間に対し調教を行う。；このような条件を踏まえた開発・設計が行われ、登場したのが8000形である。；洋楽の手法で日本人の情緒感と原始的郷愁を踏まえた作品を多く残した。；これらの番組出演の経験を踏まえたエッセイも執筆しており、多くの著書がある。；この節ではこれを踏まえ、彼の作品を作曲年代順ではなくジャンルごとに眺めていくことにする。；それを踏まえてのことで、左舷艦橋は障害物となりやすかったのである。；それを踏まえ東京からの放送は市場予測などを中心に今後の動向を分析する構成となっている。；各国の特徴を踏まえつつ、扱うフレーズ、番組のスタイルを統一した。；以上のような背景を踏まえた上で、世代の傾向として以下のようなものがあるという。；これらを踏まえた上で現在用いられている表記法をまとめると以下のようになる。；夏の8月が「写ルンです」の最需要期ということも踏まえているという。；二脚などの追加が行われたのもこうした運用方法の変化を踏まえてのことであった。；これらは中国の古典を踏まえた作品であり、これ以降も中国から素材をとった作品を多く発表している。</t>
        </is>
      </c>
      <c r="J7446">
        <f>HYPERLINK("https://www.weblio.jp/content/踏まえる", "词义详情")</f>
        <v/>
      </c>
      <c r="K7446">
        <f>HYPERLINK("https://yourei.jp/踏まえる", "查看例句")</f>
        <v/>
      </c>
    </row>
    <row r="7447">
      <c r="A7447" t="inlineStr">
        <is>
          <t>不満</t>
        </is>
      </c>
      <c r="B7447" t="inlineStr">
        <is>
          <t>成功</t>
        </is>
      </c>
      <c r="C7447" t="inlineStr">
        <is>
          <t>読み方：ふまん
［名・形動］もの足りなく、満足しないこと。また、そのさまやそう思う気持ち。不満足。「—を口にする」「—な点が残る」「欲求—」
→不平［用法］
[派生]ふまんがる［動ラ五］ふまんげ［形動］</t>
        </is>
      </c>
      <c r="D7447" t="inlineStr">
        <is>
          <t>不満そう(3%)；不満分子；不満を募らせる；不満を露わに</t>
        </is>
      </c>
      <c r="E7447" t="inlineStr">
        <is>
          <t>非難；ストレス；葛藤；不服；苛立ち</t>
        </is>
      </c>
      <c r="F7447" t="inlineStr">
        <is>
          <t>大きな不満；ご不満；不満そうに口；不満げな表情；不満そうな顔つき</t>
        </is>
      </c>
      <c r="G7447" t="inlineStr">
        <is>
          <t>不満足；不満感；不満の冬</t>
        </is>
      </c>
      <c r="H7447" t="n">
        <v>29</v>
      </c>
      <c r="I7447" t="inlineStr">
        <is>
          <t>しかし今回は、漫画の内容が恋愛ものばかりであることに不満を抱いた。；この頃、ビスマルクが妻に送った手紙も将軍たちへの不満の記述が多い。；権力を握ったヌルハチの自分への態度が尊大になることに不満を覚えた。；家族からの手紙が一月に一度しか許されないことに不満を述べていた。；これが農民のみならず、貴族や商人階層の不満をも高める結果となった。；加えて宮殿外でも一部の民衆や元老院が皇帝への不満と怒りを高めていた。；経済改革も積極的に行われたが、民衆の不満のために反乱が起きた。；原は不満であったが、内閣崩壊を防ぐためこの役割を果たすこととなった。；一方で午後から登庁し、夜まで勤務することには不満も持たれていた。；実際、僕だけじゃなく、若い連中からもかなり不満が出ていましたね。；ボーマルシェがこの措置に不満を抱くのも、当然といえば当然であろう。；この決起は主に戦災とフランス労働者の間の不満が鬱積した結果であった。；モロッコ国民の鉄道事情への不満に応えたものであるとされている。；このように連合艦隊司令部は、南雲機動部隊の作戦に不満を抱いていた。；しかしこの戦後処理は十分とは言えず、兵士の中には不満が残った。；彼らは社会体育勢が中心の全柔連のやり方に不満を持つようになった。；武満は黒澤にマーラー風の音楽を求められたことに不満を述べている。；こうした国民の不満を吸収したのがエリツィンら急進改革派である。；彼はで合意がなされなかったことにますます不満を募らせた。；このような状況から、黒人の新政権への不満が高まることになってしまった。；これが引き金となってパリに不満を持った地方が反抗を開始する。；その後も忙しく、本が読めないのが主な不満で、入社後4年で退職した。；提示額に不満がある場合患者には訴訟を提起する権利が残される。；だが同時にその厳しい倹約政策から不満を漏らす家臣の記録もまた残っている。；そのため、恩恵に与れない他地域の人間の間には不満が募っていった。；アニメにおいては近年アフレコ時に絵が入らなくなったことに不満を述べている。；当初ハートマン役の予定だったは、交代させられたことが非常に不満だったという。；社長就任後、会社や仕事への不満を聞き取る目的で全社員との面談を実施した。；このため、これを不満に思う家臣との間に確執が生じたという。</t>
        </is>
      </c>
      <c r="J7447">
        <f>HYPERLINK("https://www.weblio.jp/content/不満", "词义详情")</f>
        <v/>
      </c>
      <c r="K7447">
        <f>HYPERLINK("https://yourei.jp/不満", "查看例句")</f>
        <v/>
      </c>
    </row>
    <row r="7448">
      <c r="A7448" t="inlineStr">
        <is>
          <t>踏み切り</t>
        </is>
      </c>
      <c r="B7448" t="inlineStr">
        <is>
          <t>成功</t>
        </is>
      </c>
      <c r="C7448" t="inlineStr">
        <is>
          <t>読み方：ふみきり
１鉄道線路と道路が同じ平面上で交差する所。
２跳躍競技などで、反動をつけるため地面やジャンプ台などを蹴って飛び上がること。また、その場所。「—が弱い」
３思い切って決断すること。ふんぎり。「—がつかない」
４相撲で、足を土俵の外に出すこと。土俵を割ること。</t>
        </is>
      </c>
      <c r="D7448" t="inlineStr">
        <is>
          <t>踏み切り板(3%)；踏み切り地点</t>
        </is>
      </c>
      <c r="E7448" t="inlineStr">
        <is>
          <t>踏切；踏切り</t>
        </is>
      </c>
      <c r="H7448" t="n">
        <v>29</v>
      </c>
      <c r="I7448" t="inlineStr">
        <is>
          <t>そこまで行けば踏み切りを通って線路の外に出ることはできるだろう。；その橋まで行くためには鉄道橋の手前の踏み切りを越えなければならない。；こんな踏み切りでもないところにわざわざ飛び出すヤツもいないもんな。；見通しのいい踏み切りなのに、そこでは一年にいちどくらい人が死んだ。；目白街道を西へ進んだ車は、中村橋の手前で西武線の踏み切りを渡った。；踏み切りを渡り、線路を挟んでもう一本架かっている橋の上に出た。；線路を越えても越えても、なぜかまだ私は踏み切りの中にいる。；というのも、それは夜になるとお化けが出るという噂の踏み切りなのだ。；行為が助走から踏み切りへと進行し展開し、誤解によって暴力に至った。；国民の期待を受け、犬養は金輸出再禁止に踏み切り、財政改善を図った。；またザチェアは踏み切り地点の乾壕をもち、そして最も高い障害である。；このため、踏み切りの方向や強さ、空中姿勢の変更に取り組んでいる。；そんなわけで昼間でもあまり渡りたくない踏み切りなのだ。；歩いて行くと踏み切りがあり、ちょうど遮断機が降りて来ているところでした。；駅のすぐ南、徳島県道203号鮎喰新浜線の道路上に踏み切りがある。；右へ行けば私の家、まっすぐ踏み切りを進めばハズムの家がある。；云はば、省線の踏み切りにある自動ベル見たいな機能しか持たないものだつた。；その後左膝の再手術に踏み切り、残りの試合をすべて欠場することになった。；賢三の自転車はスピードを上げ、いつか美甘子と別れた踏み切りを通過した。；私は決心してそう踏み切りましたが、実は滅多には出来ないことだったに違いありません。；なお、上述の通り境内地には踏み切りがあり参道を鉄道が横切っている。；駅東側に出るためには、駅の北にあるトンネルを潜るか、南の踏み切りを渡る。；踏み切りの板なしに静かに死に投じ得る真の勇気である。；お日さまがお出ましになると、お日さまのお馬が糸を足で踏み切ります。；記憶のなかのあれは、近所にあった踏み切りだろうか。；駅近くの踏み切りで停まった途端に、俺の携帯にメールの着信があった。；オリンピック本番では踏み切りや着地のミスもあり、最終結果は19位。；原っぱを眼先に控えている踏み切りの手前の寂しさも、大方想像のつく所である。；踏み切りを渡って国道に出ると、俺は少しスピードを上げた。</t>
        </is>
      </c>
      <c r="J7448">
        <f>HYPERLINK("https://www.weblio.jp/content/踏み切り", "词义详情")</f>
        <v/>
      </c>
      <c r="K7448">
        <f>HYPERLINK("https://yourei.jp/踏み切り", "查看例句")</f>
        <v/>
      </c>
    </row>
    <row r="7449">
      <c r="A7449" t="inlineStr">
        <is>
          <t>踏み切る</t>
        </is>
      </c>
      <c r="B7449" t="inlineStr">
        <is>
          <t>成功</t>
        </is>
      </c>
      <c r="C7449" t="inlineStr">
        <is>
          <t>読み方：ふみきる
［動ラ五（四）］
１強く踏んだはずみで切る。「鼻緒を—・る」
２跳躍競技などで、地面やジャンプ台などを強く蹴った反動で飛び上がる。「タイミングよく—・る」
３思い切って行う。ある行動を起こす決心をする。ふんぎる。「着工に—・る」
４相撲で、土俵の外に足を出す。土俵を割る。踏み越す。「一気に押されて俵を—・る」</t>
        </is>
      </c>
      <c r="D7449" t="inlineStr">
        <is>
          <t>踏み切る可能性；踏み切るべき</t>
        </is>
      </c>
      <c r="E7449" t="inlineStr">
        <is>
          <t>思い切る</t>
        </is>
      </c>
      <c r="H7449" t="n">
        <v>29</v>
      </c>
      <c r="I7449" t="inlineStr">
        <is>
          <t>買収を前提としていなかったからこそ、単独での工場建設に踏み切った。；でも、それだと危険が多すぎるから、なかなか踏み切れなかったんだよ。；そんななか、ついに米銀との資本提携に踏み切ったとのニュースである。；実行に踏み切れないのは、主人が十二指腸潰瘍で入院したからなんです。；こうして証拠品を得たことが告訴に踏み切らせる大きな要因となった。；新しい観点から、至急、行動に踏み切る必要があると指摘しておられる。；町を守るために戦ってきた彼女が、そんな手に踏み切るわけがない。；この意味でも、台湾が今後核武装に踏み切る可能性は低いと思われている。；椎名は心の病を抱える妻との離婚に踏み切れずに幸との関係も続けていた。；右肩痛についてはオフに手術に踏み切る覚悟もあることを明らかにした。；その時点で、成田と由香利はもう待っていられないと行動に踏み切った。；そういう安心感があったから、ああいう冒険に踏み切れたのであると。；踏み切って上にとびつくと、両手の指がざらざらした塀の縁にかかった。；チャールズ2世はこの戦争の初期に大艦隊を編成してに踏み切った。；僕の横っ面を穿つ準備は万端だけど、実行に踏み切るのは大変に困難だ。；でも、女性なんてそんなものなのだろうと思ってさ、結婚に踏み切ったんだ。；それがなかなか結婚に踏み切れない潜在的な理由なのかもしれない。；大きな組織を改革する時は情が生じて踏み切れないという歴史がある。；こうしてドイツは連合国の許可を得ないまま派兵に踏み切ることになった。；また英・仏両国も慎重ながら原則的にポーランドの独立支持に踏み切った。；結局意見は積極論に一致し、作戦続行が決定され第2期作戦に踏み切った。；カロリーネは良縁を望む父親の願いを聞き入れてこの結婚に踏み切った。；社員は一斉に任し、事態を開設する見解の公表に踏み切った人も数名いる。；これでは自社生産してもコスト高になるだけで、そう簡単に踏み切れない。；さらに彼はメンバーを集めて、新生ブルージーンズの結成に踏み切った。；アメリカは決して石油だけのために戦争に踏み切ったのではない。；失敗すれば首を空洞にしかねない状況で、いとも容易く実行に踏み切る。；そのため英仏両艦が交戦に踏み切ったのは、翌日の夕刻になってからだった。；いったい何がこのような思い切った手段に踏み切らせたのだろう。</t>
        </is>
      </c>
      <c r="J7449">
        <f>HYPERLINK("https://www.weblio.jp/content/踏み切る", "词义详情")</f>
        <v/>
      </c>
      <c r="K7449">
        <f>HYPERLINK("https://yourei.jp/踏み切る", "查看例句")</f>
        <v/>
      </c>
    </row>
    <row r="7450">
      <c r="A7450" t="inlineStr">
        <is>
          <t>踏み込む</t>
        </is>
      </c>
      <c r="B7450" t="inlineStr">
        <is>
          <t>成功</t>
        </is>
      </c>
      <c r="C7450" t="inlineStr">
        <is>
          <t>読み方：ふみこむ
［動マ五（四）］
１勢いよく足を踏み出す。「一歩—・んで打つ」
２踏んで、落ち込む。また、ある状態・場所に入り込む。「水たまりに—・む」「悪の道に—・む」
３人の家などに、無断で、また強引に入り込む。「土足で—・む」
４一段と深く物事の核心にせまる。「一歩—・んで論じる」
５力を込めて踏む。「アクセルを思い切り—・む」</t>
        </is>
      </c>
      <c r="D7450" t="inlineStr">
        <is>
          <t>踏み込むべき；踏み込むと同時に；踏み込むとすぐ；踏み込む力；踏み込むような真似</t>
        </is>
      </c>
      <c r="E7450" t="inlineStr">
        <is>
          <t>乗り込む；突入する；飛び込む；入り込む；押し込む</t>
        </is>
      </c>
      <c r="F7450" t="inlineStr">
        <is>
          <t>深く踏み込む；以上踏み込む；強く踏み込む</t>
        </is>
      </c>
      <c r="H7450" t="n">
        <v>29</v>
      </c>
      <c r="I7450" t="inlineStr">
        <is>
          <t>その存在は確実だし、彼らの恐怖を全て覚悟した上で足を踏み込むのだ。；玄関に一歩足を踏み込むと、奥の方に向ってすぐ大声でこう叫びました。；ノックをすることもなくまるで犯罪現場に踏み込む警官のようであった。；空気が頬に暖く感じられ廊下から人のいる室内に踏み込んだのが判った。；そこに足を踏み込んでしまえばどうなるか、説明されるまでもなかった。；だから、文学も土足のまま人生の中へ踏み込んで行くような作品がない。；一旦中に逃げると見せかけて、相手が踏み込んだ頃に廊下から脱出する。；相手が嫌な気分になるのが分かっていて、踏み込むことなんてできません。；踏み込んだ塀の内側は、浅井屋の建物の右脇のあたりにある庭であった。；扉口から一歩踏み込むと隣室からか、獣の唸り声のようなものが聞えた。；座席の回転方法は座席下のペダルを踏み込んでから回転させる方式である。；そこに踏み込んだとたんに、事態は急転直下の変化を起こすはずである。；映画化の折には、作品内容に踏み込んで、熱心なファン活動も見られた。；それは彼の左胸にある何かに勝手に踏み込むことなのだろうから。；又、きのうと同様、すぐ面白いように人の家のなかへ踏み込んでしまう。；踏み込むことが下手な俺は、相手のすべてを肯定するしかないのだった。；ただ、これまで、自分の心の中に踏み込んできた人はいなかったから。；青葉をつけた木の枝が一本落ちてる中に片足を踏み込んでるのだった。；相手が何者で、何の為に踏み込んで来たかなど考えたくもなかった。；もし君の住宅へ我々が突然に踏み込んだら、君もおそらく捨てては置くまい。；なんでもわたくし共の寝てゐる所へ踏み込んで掴まへようとしたのですね。；一方、ブレーキを踏み込んでいない時間に操舵を有効にする効果はある。；アパートの下に水がたまっていたのを知らずに踏み込んでしまった。；その後警察が踏み込むまでの間に、留美が無事である保証はどこにもない。；だが、結局はそれがフェリの精神をより泥沼に踏み込ませる結果となる。；会場へ一歩、足を踏み込むときは、私は、鼻じろむほどに緊張していた。；その走りぶりはアクセルを踏み込んだ時の加速力からしてもうかがえる。；女優として成長するならば、未知の領域にも踏み込まなければならない。；我々が踏み込んだ五〇キロはとても恐ろしい森の中だし、人間の想像を超える。</t>
        </is>
      </c>
      <c r="J7450">
        <f>HYPERLINK("https://www.weblio.jp/content/踏み込む", "词义详情")</f>
        <v/>
      </c>
      <c r="K7450">
        <f>HYPERLINK("https://yourei.jp/踏み込む", "查看例句")</f>
        <v/>
      </c>
    </row>
    <row r="7451">
      <c r="A7451" t="inlineStr">
        <is>
          <t>踏み場</t>
        </is>
      </c>
      <c r="B7451" t="inlineStr">
        <is>
          <t>成功</t>
        </is>
      </c>
      <c r="C7451" t="inlineStr">
        <is>
          <t>読み方：ふみば
足を踏み入れる場所。踏み所。「足の—もない」</t>
        </is>
      </c>
      <c r="D7451" t="inlineStr">
        <is>
          <t>台；ステップ；土台；足場；踏み台</t>
        </is>
      </c>
      <c r="H7451" t="n">
        <v>29</v>
      </c>
      <c r="I7451" t="inlineStr">
        <is>
          <t>自宅の仕事部屋や書庫は足の踏み場がないほどに資料等が置かれている。；二時間とたたないうちに、部屋のなかは足の踏み場もないほどになった。；いつのまにかあたりには足の踏み場もないくらい人がひしめきはじめた。；玄関はビールやコーラの空き缶で足の踏み場もないほど散らかっていた。；さほど広くもない彼の部屋は、すぐに足の踏み場もないほど混乱した。；普通の部屋にこんなものを置いたら、それこそ足の踏み場もなくなってしまう。；最初は真っ暗な視界で足の踏み場にも困る状態だったが、目が闇に慣れてきた。；周りには男の子の持ってきたミニカーが散乱して足の踏み場もない。；醤油やソースや味醂や酢などの調味料が置かれていて足の踏み場もない。；さまざまな器材が、それこそまったく足の踏み場もなく散乱していた。；灯が入つた時は、もう玉山崩れて、足の踏み場もないほどの有樣です。；足の踏み場もない、と言うが、ここのありさまはそれを超えていた。；狭い部屋の中はいつものように、足の踏み場もないほどに散らかっている。；灯が入った時は、もう玉山崩れて、足の踏み場もないほどの有様です。；部屋内部はたちまち雑然として、本や書類で足の踏み場もなくなった。；床はガラスのかけらと、横倒しになったテーブルや椅子で足の踏み場もない。；ふだんは店の中でやる作業だが、他の客が持ちこんだ本で足の踏み場もなかった。；補給物資はベース内のいたる所に山積みされて足の踏み場もなかった。；控室は所狭しと置かれた荷物やら衣裳やらで足の踏み場もなかった。；ベッドとソファがぎりぎりの間隔で配置され、足の踏み場はほんのわずか。；居間の中はめちゃくちゃに荒らされて、足の踏み場もなくなっていた。；また、頂上は50m程で足の踏み場の無いが、海鳥の巣が密集している。；しかも部屋という単位でひっくり返されているために、足の踏み場などない。；壁が見えないまでに積み重ねられていた本が、足の踏み場もないほどに散乱している。；塩野が車を取って戻ってきたときは、家の中は床に散乱した物で足の踏み場もなくなっていた。；丘の頂きは今や彼が倒した日本兵の死体で足の踏み場もなかった。；死骸の上に死骸を載せ、丘の上は足の踏み場もないほどだった。；正午の一時間まえに教会へはいっていくと、足の踏み場もないほどいっぱいなのに驚いてしまった。；足の踏み場もないほど服やガラクタで占拠されているこの部屋に連れてくる事など決して出来ない。</t>
        </is>
      </c>
      <c r="J7451">
        <f>HYPERLINK("https://www.weblio.jp/content/踏み場", "词义详情")</f>
        <v/>
      </c>
      <c r="K7451">
        <f>HYPERLINK("https://yourei.jp/踏み場", "查看例句")</f>
        <v/>
      </c>
    </row>
    <row r="7452">
      <c r="A7452" t="inlineStr">
        <is>
          <t>不眠症</t>
        </is>
      </c>
      <c r="B7452" t="inlineStr">
        <is>
          <t>成功</t>
        </is>
      </c>
      <c r="C7452" t="inlineStr">
        <is>
          <t>読み方：ふみんしょう
よく眠ることのできない状態が続くこと。ふつう、神経症による睡眠障害をいう。不眠障害。</t>
        </is>
      </c>
      <c r="D7452" t="inlineStr">
        <is>
          <t>不眠症患者；不眠症状；不眠症気味；不眠症治療</t>
        </is>
      </c>
      <c r="E7452" t="inlineStr">
        <is>
          <t>不眠</t>
        </is>
      </c>
      <c r="F7452" t="inlineStr">
        <is>
          <t>慢性的な不眠症；性不眠症</t>
        </is>
      </c>
      <c r="H7452" t="n">
        <v>29</v>
      </c>
      <c r="I7452" t="inlineStr">
        <is>
          <t>それは彼が眠れないときの習慣だったようで、彼は不眠症だったのです。；彼女は不眠症で、そのために月に二度病院の精神内科に通っているんだ。；そもそも不眠症だって、私がそう思い込んでいるだけかもしれないのだ。；最初、彼はこのところの不眠症での寝不足がここで出てきたのかと思った。；あなたはもう其の時二年も前から常に不眠症に罹っておられたのです。；すると僕は不眠症の人のように、時計をとめてしまいたくなった。；徳永さんは又吉さんという人を、ただの不眠症だと思ったわけでしょう?；だが、不眠症になるような取引を申しこまれたのはどこのマクロー様かね。；しかし、カクテルじゃないけれど、台は不眠症なのであって眠りは浅い。；私の予感していた不眠症が幾晩も私を苦しめたことは言うまでもない。；会社に勤めた経験はあるが、不眠症になり、神経がまいってしまった。；時に、この不眠症は治療当初の不眠症よりも悪化していることがありうる。；アルコールは、不眠症の自己治療の形で入眠のために広く用いられている。；わたしが若いときにどれほど不眠症になやんだかは、すでに語った。；今だってぼくは不眠症のせいで眠らないけれども、退屈ではないんだ。；ただの不眠症と思いたくて、意識を向けないようにしてきた。；不眠症状が生じた原因の内容を問わず臨床症状から不眠症を診断する。；ドイツでは不眠症や不安に用いられており、睡眠の質を改善するとも言われている。；本人談によれば、審判員時代にはさらに不眠症にも悩まされていたと言う。；というより、長年不眠症に悩まされているといった方が正しいだろう。；不眠症の診断のためには、これらの症状が4週間以上続いている必要がある。；まあ、どんな目に遭ってもこいつが不眠症になるとは思えないが。；機械工のトレバーは、原因不明の不眠症で1年もの間眠っていなかった。；健康の方も好転の兆しはなく、不眠症が加わっただけ悪化していた。；素敵なお寝巻を着れば、不眠症も治るのではないかと私は思ったのである。；ある日、不眠症になっているコウは、初めて誰にも言わずに深夜に一人で外に出る。；僕は今不眠症にも犯されていず、特別に神経質にもなっていない。；不眠症とは、必要に応じて入眠や眠り続けることができない睡眠障害である。；他の不眠症治療薬を併用した際の、有効性と安全性は明らかとなっていない。</t>
        </is>
      </c>
      <c r="J7452">
        <f>HYPERLINK("https://www.weblio.jp/content/不眠症", "词义详情")</f>
        <v/>
      </c>
      <c r="K7452">
        <f>HYPERLINK("https://yourei.jp/不眠症", "查看例句")</f>
        <v/>
      </c>
    </row>
    <row r="7453">
      <c r="A7453" t="inlineStr">
        <is>
          <t>踏む</t>
        </is>
      </c>
      <c r="B7453" t="inlineStr">
        <is>
          <t>成功</t>
        </is>
      </c>
      <c r="C7453" t="inlineStr">
        <is>
          <t>読み方：ふむ
［動マ五（四）］
１足で体重をかけて上から押さえる。足であるものの上にのる。「麦を—・む」「猫のしっぽを—・む」「ブレーキを—・む」
２交互に足を上げ下げする。「四股(しこ)を—・む」「地団駄(じだんだ)を—・む」
３その場に身を置く。ある場所を訪れる。「ヨーロッパの土を—・む」
４実際に経験する。「場数を—・む」「初舞台を—・む」
５決まったやり方に従って行う。「複雑な手続きを—・む」
６守り行う。「人として—・み行うべき道」
７（「御百度を踏む」などの形で）お参りをする。参詣する。「願かけに御百度を—・む」
８前もって見当をつける。見積もりや値ぶみなどをする。「どう—・んでも安物だ」
９句の末や頭に同じ韻に属する文字を用いる。押韻する。「頭韻を—・む」
10借金などを返さないで、相手に損害を与える。
「お前さんなんぞに借りてる物なんか、—・んで死ぬ様な吉里じゃあないからね」〈柳浪・今戸心中〉
11地位に就く。「帝位を—・む」
12信用取引で、売建玉を損を承知で買い戻す。
13足で下のものを押さえつけて前へ進む。
「雨雲を袖して分くる山—・まむとは」〈かげろふ・下〉
14足でさぐって魚介を捕る。
「女男の分かちなく、蜆蛤—・む姿」〈浄・三日太平記〉
[可能]ふめる
[下接句]韻を踏む・牛にも馬にも踏まれず・御百度(おひゃくど)を踏む・三尺去って師の影を踏まず・地踏鞴(じたたら)を踏む・地団駄(じだんだ)を踏む・水火(すいか)を踏む・前車の轍(てつ)を踏む・前轍を踏む・踏鞴(たたら)を踏む・轍を踏む・どじを踏む・虎(とら)の尾を踏む・二の足を踏む・場数を踏む・薄氷を履(ふ)む・場所を踏む・竜の鬚(ひげ)を撫(な)で虎の尾を踏む</t>
        </is>
      </c>
      <c r="D7453" t="inlineStr">
        <is>
          <t>踏むべき；踏むまい；踏むことなく；踏むような足どり；踏むかすか</t>
        </is>
      </c>
      <c r="E7453" t="inlineStr">
        <is>
          <t>見る；評価；計算；予想；推定</t>
        </is>
      </c>
      <c r="F7453" t="inlineStr">
        <is>
          <t>踏む軽い足音</t>
        </is>
      </c>
      <c r="H7453" t="n">
        <v>29</v>
      </c>
      <c r="I7453" t="inlineStr">
        <is>
          <t>自宅の仕事部屋や書庫は足の踏み場がないほどに資料等が置かれている。；がダンスをする光景を見て思わず歌に合わせてステップを踏んでしまう。；私は門の小路の方へ倒れた花を踏まないやうに足を浮かせて歩いてみた。；一体、あとどれほどの距離をこの壊れかかった足で踏まねばならぬのか。；子供がリビングの横の和室に入ったので私もそこの畳を踏ませてもらう。；まるで踏まれたり蹴られたりとはこのことだと愚痴っている人もあった。；どこか離れた町の中を群集に足を踏まれたり、もまれたりしているのだ。；金属の精錬に使う足で踏んで空気を吹き送る大きなふいごの名称である。；今もなお、道を行きかう人々に、その顔を踏まれ続けているのだという。；彼の40あまりの詩は現存しており、韻を踏んだ複雑な構成をしている。；モデル化のためにはいくつかの基本的な段階を踏みながら行うことができる。；それは武士ではない彼らが武士となるために踏まねばならない踏絵だった。；境内の敷石の上を行きつ戻りつ、別にお百度を踏み居るは男女二人なり。；そんな時、不意に私は外の絨毯引きの階段を踏むアランの足音を感じた。；コンピュータ内部では、この命令を実行するためにいくつかの過程を踏む。；そのお前が丹精して造つたものが人の足に踏まれるんぢやと思ふとな。；また自転車や自動車、ピアノなどのペダルを踏むポイントとも言われる。；その文面によれば、彼は恐らく再び日本の土を踏むことはありますまい。；人々の多くの足に踏まれたその顔に自分の顔を押しあてたかった。；小町はふるさとの土を踏むため果してどの辺まで歩いて来たのだらうか?；穴の周囲を足で踏むと、石との間の地面だけが、五寸ばかり崩れ凹んだ。；木道は湿原の中を縦横に走り、周囲の林の中にもよく踏まれた道がある。；私たちが最初に見つけた雑草の踏まれた跡が、殺された場所じゃないかね。；そのお前が丹精して造ったものが人の足に踏まれるんじゃと思うとな。；このような方法と精神は以下の順序を踏むことで実現することが可能である。；釘に毒を塗ってわざと踏むような場所に投げて置いたに違いございません。；ここでは人に踏まれるそばにだけ、草が生きる場所があるのだった。；留雄 どう云ふ理由があつても、僕は日本の土を踏みたくありません。；パンはキリストの肉体を象徴するもので、主人公は神を踏んだと解釈できる。</t>
        </is>
      </c>
      <c r="J7453">
        <f>HYPERLINK("https://www.weblio.jp/content/踏む", "词义详情")</f>
        <v/>
      </c>
      <c r="K7453">
        <f>HYPERLINK("https://yourei.jp/踏む", "查看例句")</f>
        <v/>
      </c>
    </row>
    <row r="7454">
      <c r="A7454" t="inlineStr">
        <is>
          <t>不明</t>
        </is>
      </c>
      <c r="B7454" t="inlineStr">
        <is>
          <t>成功</t>
        </is>
      </c>
      <c r="C7454" t="inlineStr">
        <is>
          <t>読み方：ふめい
［名・形動］
１はっきりわからないこと。明らかでないこと。また、そのさま。「—な点を質(ただ)す」「国籍—」
２物事を見抜く力のないこと。「—を恥じる」「すべて私の—のいたすところ」</t>
        </is>
      </c>
      <c r="D7454" t="inlineStr">
        <is>
          <t>不明である(35%)；不明な点(3%)；不明な部分；不明なまま；不明点</t>
        </is>
      </c>
      <c r="E7454" t="inlineStr">
        <is>
          <t>かすか；疑い；不審；曖昧；疑惑</t>
        </is>
      </c>
      <c r="F7454" t="inlineStr">
        <is>
          <t>行方不明；詳細不明；一切不明；生死不明；意識不明</t>
        </is>
      </c>
      <c r="G7454" t="inlineStr">
        <is>
          <t>不明朗；不明熱；不明門通</t>
        </is>
      </c>
      <c r="H7454" t="n">
        <v>29</v>
      </c>
      <c r="I7454" t="inlineStr">
        <is>
          <t>それぞれの部族がどの地方に居住していたのかも多くの場合不明である。；正確なことは不明であるが、1895年頃ではないかと推測されている。；参照時点で原典が存在せず転記となっているなど正確性も不明であった。；しかし様々なデータがあるため、現在では、それらの関連は不明である。；これが原因なのかは不明だが以降ブルーエンジェルスは来日していない。；佐渡国が建てられた時期は大化の改新以降とされるが正確な時期は不明。；この時点では殆ど情報が集まっておらず、詳細な状況は不明であった。；今後インカレポイントがどのように活用されていくのかは不明である。；左之助が江戸に出た時期も、どこに住んでいたのかも詳しいことは不明。；建物の具体的な構造は不明だが、文献史料から伏見城の存在が知られる。；なお、当時からコンコースとしての計画があったかどうかは不明である。；そのため、犯人は不明のままであり、さまざまな説が提唱されている。；現在の小浜市にあったと考えられているが、正確な位置は不明である。；実際に彼らがどのような状況において職務を行ったのかも不明である。；このエピソード以外にも、数多の真偽不明なエピソードが残されている。；ただし、数が少ないため中等教育学校特有の傾向があるかは不明である。；殻から年齢を推定する信頼できる方法が無いため、年間の成長速度は不明。；宇宙の手と呼ばれる存在が支えているとも言われるが、その正体は不明である。；文明初期の中心となったのは民族系統が不明のシュメール人である。；目撃例は常に水中のため、どのような姿、形をしているのかは不明である。；ミサイル搭載用の核弾頭を製造する技術を持っているかは不明である。；一般にアーティストは不明で、同じ曲で幾つかのバージョンがある。；これから、どちらがシリーズ全体の公式な設定となるかは現状は不明。；ガロアの遺体は別の共同墓地に葬られ、現在は正確な位置が不明である。；また時期は不明だが2011年には千葉テレビも運用を開始している。；この表記がアラビア数字と算木のどちらに由来するのかは不明である。；またびわ湖放送・KBS京都でも時期は不明であるが導入されている。；その題材は一般に流布していたもので、作者不明なのが普通である。；その後、時期は不明だが父である義朝から一字とって義円と改名している。</t>
        </is>
      </c>
      <c r="J7454">
        <f>HYPERLINK("https://www.weblio.jp/content/不明", "词义详情")</f>
        <v/>
      </c>
      <c r="K7454">
        <f>HYPERLINK("https://yourei.jp/不明", "查看例句")</f>
        <v/>
      </c>
    </row>
    <row r="7455">
      <c r="A7455" t="inlineStr">
        <is>
          <t>麓</t>
        </is>
      </c>
      <c r="B7455" t="inlineStr">
        <is>
          <t>成功</t>
        </is>
      </c>
      <c r="C7455" t="inlineStr">
        <is>
          <t>読み方：ふもと
山の下の方の部分。山すそ。山麓(さんろく)。</t>
        </is>
      </c>
      <c r="D7455" t="inlineStr">
        <is>
          <t>麓地域；麓一帯；麓近く；麓丘陵；麓付近</t>
        </is>
      </c>
      <c r="E7455" t="inlineStr">
        <is>
          <t>下；足；もと；底；尻</t>
        </is>
      </c>
      <c r="F7455" t="inlineStr">
        <is>
          <t>北麓；南西麓；東山麓；南東麓；北西麓</t>
        </is>
      </c>
      <c r="G7455" t="inlineStr">
        <is>
          <t>麓川；麓集落；麓山；麓山寺；麓村</t>
        </is>
      </c>
      <c r="H7455" t="n">
        <v>29</v>
      </c>
      <c r="I7455" t="inlineStr">
        <is>
          <t>山の西側の麓から火を付け、山の北と南を回った火が東で合流する。；南麓の土浦市小野地区には小野小町の墓とされる五輪塔が残されている。；東側の麓にはかつて界川が流れていたが、後にほとんどが地上から消えた。；またこれら施設の存在から富士山南麓の防災拠点としても機能している。；麓の岳集落で伝承される刀を手に勇壮に踊る早池峰神楽が知られている。；のちに城主は麓の屋敷に居住し、防衛のための町割りを行ったとされている。；大阪本王子は、大阪峠の麓にあることから名づけられたと見られる。；名前は東にある比治山の麓に停留場が置かれていることに由来する。；全体が屋根で覆われているが、コースの麓や側面には壁が無い半開放構造である。；遊歩道のうち麓に近い区間は上り用と下り用に分けられている。；市境の洞峠では、それぞれの麓の住民同士での交流が続いている。；北麓には静岡県道144号下土狩徳倉沼津港線のトンネルが東西に貫く。；ここから南と東に向かってパーダーボルン高地へ上る勾配の麓にあたる。；この町の直後からリンデヴェラを過ぎる辺りまで、川は高い山の麓を流れる。；鑑実は普段は城には住まず、数代前からあった城の麓にある館に住んでいた。；約20km北に位置する八甲田山麓などからの水も奥入瀬川に流れ込む。；旭川市内を一望できる嵐山の麓にあることからその愛称がついていた。；州都はウルグル山地の麓に位置する、州内最大の都市のモロゴロである。；テンジンはエベレスト山麓のネパール・クンブ地方の農民の家に育った。；二上山の南麓を通って、大和国と河内国を結んだ古代の幹線道路の一つ。；ネッカー渓谷はこの城の麓付近で幅が狭まり、制圧しやすい地形である。；麓の岩剣神社付近からの登山道が存在するが、整備状況はあまり良くない。；徒歩で山頂に向かう場合は紫金山東西の麓を起点とする山道を利用する。；札幌市南区砥石山の東側の麓にある採石場付近に源を発し東に向かって流れる。；かつて行われていた雄山の麓での酪農は、噴火に伴い現在は行われていない。；森のイスキアは、佐藤に助けられた人々によって岩木山の麓に完成した。；山名の由来は、麓から見える残雪は火打ちばさみに似ていることによる。；麓一円は田園地帯であり、山頂からは南北に広がる琵琶湖が一望できる。；その性格や祀り方は、山に住む山民と、麓に住む農民とで異なる。</t>
        </is>
      </c>
      <c r="J7455">
        <f>HYPERLINK("https://www.weblio.jp/content/麓", "词义详情")</f>
        <v/>
      </c>
      <c r="K7455">
        <f>HYPERLINK("https://yourei.jp/麓", "查看例句")</f>
        <v/>
      </c>
    </row>
    <row r="7456">
      <c r="A7456" t="inlineStr">
        <is>
          <t>部門</t>
        </is>
      </c>
      <c r="B7456" t="inlineStr">
        <is>
          <t>成功</t>
        </is>
      </c>
      <c r="C7456" t="inlineStr">
        <is>
          <t>読み方：ぶもん
全体をいくつかに分けた一つの部分。「営業—」「—別採算制」</t>
        </is>
      </c>
      <c r="D7456" t="inlineStr">
        <is>
          <t>部門賞；部門長；部門受賞；部門ごと；部門優秀賞</t>
        </is>
      </c>
      <c r="E7456" t="inlineStr">
        <is>
          <t>目；一部；部；部分；種</t>
        </is>
      </c>
      <c r="F7456" t="inlineStr">
        <is>
          <t>一部門；コンペティション部門；研究部門；開発部門；技術部門</t>
        </is>
      </c>
      <c r="G7456" t="inlineStr">
        <is>
          <t>部門別採算</t>
        </is>
      </c>
      <c r="H7456" t="n">
        <v>29</v>
      </c>
      <c r="I7456" t="inlineStr">
        <is>
          <t>また総務、制作などの部門とは採用枠が別に設けられていることも多い。；特別部門の例は数多いが、年に1部門より多かったことは数回しかない。；ハイテクは現在でも重要な部門だが、大規模な技術主導の会社は少ない。；方法論的には哲学とほぼ同一であり、哲学の部門視されることもある。；テレビ東京系列で同賞の技術部門で受賞するのは初のケースだった。；各種テレビ番組の開発推進と共に、タレント開発部門を発足させている。；ただしこの数値は鉄道車両以外の鉄道システム部門の数値を含んでいる。；軍種の記事では、その国の軍隊の個々の部門について述べられています。；工学部の以下の大学院部門はそれぞれのランキングにリストされた。；半世紀以上の歴史の中で、部門数・名称・内容は数々の変遷を重ねている。；現在は官民の各部門で両国の文化・人材交流事業を積極的に展開している。；これは他の集団と合わせてコッレージョを構成し、政府の実行部門となった。；自身の監督作品の中では初の演技部門での受賞となった。；これは女子部門でも例外ではなく、欧州勢がそれを追う展開となっている。；しかし、選考や授賞式などの諸行事は他の部門と合同で実施されている。；また大日本武徳会柔道部門には空手や捕縛術も柔道傘下に置かれていた。；他分野中心の芸能プロダクションが声優部門に力を入れるようになる例も見られる。；三菱電機や三菱自動車工業は同社の部門が分離・独立して誕生した企業である。；その年の最優秀新人部門をはじめとする2つのグラミー賞も受賞した。；この宮殿は19世紀に設けられており現在、の一部門として管轄されている。；ほか、軽工業とアメリカ企業へのデータの電算機処理は成長部門である。；武装闘争のための非合法部門は、以下の2つのグループに統合されている。；観光部門がGDPの約3分の1を占めており、最大の外貨獲得源でもある。；ヘルシンキの経済は徐々に工業から今日の基盤となるサービス部門に移って来た。；一方で開発部門を中心とする若い社員には好評であり、西角は改造を拒否した。；現在でも引き続き社屋の一部共用や報道部門の一部連携 など関係が続いている。；部門ソフトウェアは企業ソフトウェアの一種であり、大きな組織内のより小さな部分を扱う。；また、車両保守部門からも重装備過ぎる車両として敬遠されがちであった。；大賞のほか、さまざまな部門賞や編集部が選出した特別賞も存在した。</t>
        </is>
      </c>
      <c r="J7456">
        <f>HYPERLINK("https://www.weblio.jp/content/部門", "词义详情")</f>
        <v/>
      </c>
      <c r="K7456">
        <f>HYPERLINK("https://yourei.jp/部門", "查看例句")</f>
        <v/>
      </c>
    </row>
    <row r="7457">
      <c r="A7457" t="inlineStr">
        <is>
          <t>ふやける</t>
        </is>
      </c>
      <c r="B7457" t="inlineStr">
        <is>
          <t>成功</t>
        </is>
      </c>
      <c r="C7457" t="inlineStr">
        <is>
          <t>［動カ下一］［文］ふや・く［カ下二］
１水や湯などにひたってふくれ、柔らかくなる。「長湯で体が—・ける」
２だらしなくなる。「—・けた精神」</t>
        </is>
      </c>
      <c r="D7457" t="inlineStr">
        <is>
          <t>緩慢な；膨張する；上の空で；ゆるむ；けだるい</t>
        </is>
      </c>
      <c r="H7457" t="n">
        <v>29</v>
      </c>
      <c r="I7457" t="inlineStr">
        <is>
          <t>そんな顔をするとこの男は急に、大きいだけでふやけた脳なしに見える。；目の前にいる刑事の顔さえが、ふやけた、土左衛門のように見えていた。；だが彼女が何も見ていない証拠に、その眼球はふやけて白く濁っている。；陽に焼けるというよりも、体がふやけてしまいそうな気分になったものだ。；白くふやけた掌を眼の前にあげて、何という事なしににぎりしめてみた。；ふやけた生活をしていて、いい作品を書こうたって、それは無理です。；これがふやけた姿だというのなら、誰もがじぶんよりもっとふやけている。；それを自分の幸せの中でふやけている中に忘れちまったんだよ。；ちなみに駅職員数名の話によると、だいぶ雪でふやけた状態だったそうである。；だけど、いつまでも男とぐずぐずして居たんじゃ、女はふやけてしまうのよ。；からだは水にふやけて倍にも膨らみ、目玉は魚に喰われて洞となっていた。；だがこの反省も東京に帰ればふやけて消えてしまうことも私は知っているのである。；ふやけた皮は、それだけで指から離れていってしまいそうだ。；一度下知を発したきり黙って腕を組み、ふやけたような笑みを湛えている。；もう一日もつづいたら、家のねだからふやけて蕈のようにくされそうに思う。；ふやけたように実体のない毎日が、いくつもいくつも通り過ぎてゆく。；それが東京では雲に乗ったように、頭がふやけてしまった。；そこには、五、六百の兵が雨にふやけ、泥に半ば埋もれていました。；死体は水にふやけ、池の魚につつかれたのか傷だらけだったし、腐敗していた。；音は決してよくならぬ、柔らかい音なぞと嘘をつけ、音がふやけるだけだ。；水びたしになっていたために、足はふやけて、くつをはいていられなかった。；お蓮の方はまえより肉づいて来たが、これはどこかふやけて来たような感じになっていた。；汁を吸って衣がふやけたカツをにらみつけて、丼から顔を上げなかった。；指がふやけるほど入っている気にはとてもなれない。；だからこんなに生ぬるい、ふやけた時代だっていわれてもそれは平気。；白くふやけた豆は、記念に取っておいたのだがいつとはなしにどこかへなくしてしまった。；その手には海水にふやけて原形を留めていないノートの紙があった。；掌も指も、ふやけてしまって、変に白っぽく皺だらけになってしまった。；右腕のつけ根でさっきの火傷の痕が少し白くふやけてきたようにさえ見える。</t>
        </is>
      </c>
      <c r="J7457">
        <f>HYPERLINK("https://www.weblio.jp/content/ふやける", "词义详情")</f>
        <v/>
      </c>
      <c r="K7457">
        <f>HYPERLINK("https://yourei.jp/ふやける", "查看例句")</f>
        <v/>
      </c>
    </row>
    <row r="7458">
      <c r="A7458" t="inlineStr">
        <is>
          <t>増やす</t>
        </is>
      </c>
      <c r="B7458" t="inlineStr">
        <is>
          <t>成功</t>
        </is>
      </c>
      <c r="C7458" t="inlineStr">
        <is>
          <t>読み方：ふやす
［動サ五（四）］数量が多くなるようにする。ふえるようにする。「人数を—・す」⇔減らす。
→増(ま)す［用法］
[補説]財産や動植物をふやす場合は多く「殖やす」と書く。
[可能]ふやせる</t>
        </is>
      </c>
      <c r="D7458" t="inlineStr">
        <is>
          <t>増やすべく；増やすべき；増やす可能性；増やす冪あり申せ</t>
        </is>
      </c>
      <c r="E7458" t="inlineStr">
        <is>
          <t>増加；上げる；増大；加える；高める</t>
        </is>
      </c>
      <c r="F7458" t="inlineStr">
        <is>
          <t>増やせば増やす</t>
        </is>
      </c>
      <c r="H7458" t="n">
        <v>29</v>
      </c>
      <c r="I7458" t="inlineStr">
        <is>
          <t>しかし、多くの場合は新たな教室の数や必要な設備は増やされなかった。；そうすることで軍事魔法師を目指す若者を増やそうとしたに違いない。；人間を増やさないようにして、自分たちのエサだけ取ってたんですねえ。；翌年の参議院選を控えて田中は憑かれたように数を増やそうとしている。；現代のものでは穴が増やされ、7個から10個の指穴が開けられている。；一方で通勤用の車両では迅速な乗降のために扉の数を増やす傾向にある。；この家産を交換することで、彼らは自分の富を増やそうとしたのである。；また試合中継時間に制約がないことから徐々に契約者を増やしていった。；座っているシーンやソファーで横になっているシーンを増やして対応した。；博物館は、見学できる部分を増やそうとしたが、それは実現しなかった。；この星で、子孫を増やそうとしていると考えた方が、理に叶っていない?；これを食い止め、増やそうとする活動が、市民を中心に行なわれている。；サミットの新たなメンバー国を増やすには、全参加国の支持が必要となる。；この計画は、高校生が実際に教室で学ぶ時間を増やそうとするものだった。；自分の持ちものを増やさないということは、自分の身を守ることになる。；俺の心配の種をこれ以上増やさないためにもコスプレは部室内限定でいい。；そうして海の中でその数を増やしていき、惑星Ziの生命は誕生した。；これらは逆に住人を増やす結果となり、宣伝となったように思われる。；これを元手にして、残されたわずかな時間で増やさなければならない。；球団は出場機会を増やさず、翌日の6月15日に制限リスト入りさせた。；身分や財産が釣り合うように、親戚をたくさん増やさないようにとねえ。；このギャグをもっと使うところを増やす為に自分の哲学を紹介するコーナー。；今日ではドライ・ジンの比率を増やしたものにしたレシピも用いられる。；つまり、輸入量は減少し、輸出量をどうあっても増やさねばならなくなった。；下記のように地上作業が増やされたのは、このような背景もある。；そこで気分転換のため、メンバーが一緒に過ごす時間を増やしたという。；人数が多くなるとそれだけ劇中での描写も増やさなければならないからである。；席を増やさなくても、値段を上げる手もあるし、やり方はいろいろある。；更に2021年1月1日からは主に前述の収録番組を中心に増やされた。</t>
        </is>
      </c>
      <c r="J7458">
        <f>HYPERLINK("https://www.weblio.jp/content/増やす", "词义详情")</f>
        <v/>
      </c>
      <c r="K7458">
        <f>HYPERLINK("https://yourei.jp/増やす", "查看例句")</f>
        <v/>
      </c>
    </row>
    <row r="7459">
      <c r="A7459" t="inlineStr">
        <is>
          <t>冬</t>
        </is>
      </c>
      <c r="B7459" t="inlineStr">
        <is>
          <t>成功</t>
        </is>
      </c>
      <c r="C7459" t="inlineStr">
        <is>
          <t>読み方：とう
［音］トウ（呉）（漢）　［訓］ふゆ
［学習漢字］2年
〈トウ〉ふゆ。「冬季・冬至／越冬・旧冬・厳冬・初冬・晩冬・立冬」
〈ふゆ〉「冬空／初冬・真冬」
［名のり］かず・とし
［難読］忍冬(すいかずら)・冬瓜(とうがん)</t>
        </is>
      </c>
      <c r="D7459" t="inlineStr">
        <is>
          <t>冬服；冬期間；冬羽；冬用；冬籠り</t>
        </is>
      </c>
      <c r="E7459" t="inlineStr">
        <is>
          <t>冬季；冬期；ウィンター；三冬</t>
        </is>
      </c>
      <c r="F7459" t="inlineStr">
        <is>
          <t>お冬；寒い冬；同年冬；厳しい冬；長い冬</t>
        </is>
      </c>
      <c r="G7459" t="inlineStr">
        <is>
          <t>冬子；冬期；冬眠；冬場；冬季オリンピック</t>
        </is>
      </c>
      <c r="H7459" t="n">
        <v>29</v>
      </c>
      <c r="I7459" t="inlineStr">
        <is>
          <t>特に、雪起こしが観測された場合は冬の始まりであると言い習わされる。；冬には、多くの動物が凍結しない場所で活動を停止しじっとしている。；逆に最も低くなる冬から春にかけての時期にはほとんど発生しない。；そこで門下が協議し、冬を迎える前に温泉での療養を行うことになった。；夏は褐色・冬は純白と季節によって羽毛の色が変化するのが特徴である。；沿岸部では冬でも晴天日数が多いが北部の一部は豪雪地帯となっている。；春から夏にかけて海霧が発生しやすく、秋から冬にかけては晴天が続く。；冬は傾圧不安定波に伴う温帯低気圧の移動や発達などに強く関連している。；また、畑栽培は落葉樹下の夏は日陰で、冬は日が当たる場所が選ばれる。；北西寄りの風が多く、冬期間の風が強いのが特徴になっている。；ただし南極半島など寒さが厳しい地域では、冬には海岸から見られなくなる。；特に冬には手軽に手に入れることができるため、年賀状に使うこともある。；夏の陣図は1枚で、冬の陣の中心図と対になる構成になっている。；夏は30を超す日も多くある一方、冬は気温が氷点下となることも多い。；冬には北側の赤城山から赤城颪と呼ばれる寒風が吹き下ろすためである。；同年冬には8年ぶりとなる日本公演をさいたまスーパーアリーナで行った。；また、冬の日本海は荒天が続くが、これもこの北西季節風が原因である。；気温の変化は次第に北上していき、冬から春、春から夏へと移り変わる。；冬も寒くなる可能性があるが、氷点下の厳しい寒さが続くことは希である。；冬羽では頭と背が灰色で、喉から腹と翼の中ほどが白い。；秋からが収穫期で、翌年の初春を迎えるまで冬の間は長い期間収穫できる。；竹の刈取りは秋〜冬に掛けて竹が一番乾燥している時期に行われる。；全ての種は移動性で、冬は暖温帯域に移動し、そこで交尾、出産を行う。；傘の表面に亀裂の様な模様がひろがっているものは花冬菇と呼ばれる。；日本海岸近くの温泉であり、夏は海水浴、冬はカニ料理に人気がある。；また冬は北西の季節風の強い日が多く、実際の気温以上に寒く感じられる。；出会いの春が過ぎ、戦いの夏が終わり、和解の秋も去り、別れの冬が来た。；なお、黄道上における太陽のみかけの動きは冬には早く夏には遅く見える。；冬の間は島の南東から貿易風が吹き込み、島の東側は降水量が増える。</t>
        </is>
      </c>
      <c r="J7459">
        <f>HYPERLINK("https://www.weblio.jp/content/冬", "词义详情")</f>
        <v/>
      </c>
      <c r="K7459">
        <f>HYPERLINK("https://yourei.jp/冬", "查看例句")</f>
        <v/>
      </c>
    </row>
    <row r="7460">
      <c r="A7460" t="inlineStr">
        <is>
          <t>不愉快</t>
        </is>
      </c>
      <c r="B7460" t="inlineStr">
        <is>
          <t>成功</t>
        </is>
      </c>
      <c r="C7460" t="inlineStr">
        <is>
          <t>読み方：ふゆかい
［名・形動］愉快でないこと。いやな気分になること。また、そのさま。「—な思いをする」「人を—にする」</t>
        </is>
      </c>
      <c r="D7460" t="inlineStr">
        <is>
          <t>不愉快そう(4%)；不愉快な思い(2%)；不愉快な気分；不愉快な感じ；不愉快きわまる</t>
        </is>
      </c>
      <c r="E7460" t="inlineStr">
        <is>
          <t>嫌；不快；忌まわしい；うっとうしい；鬱陶しい</t>
        </is>
      </c>
      <c r="F7460" t="inlineStr">
        <is>
          <t>こんな不愉快；不愉快千万；不愉快極まりない；不愉快きわまり；不愉快極まる</t>
        </is>
      </c>
      <c r="H7460" t="n">
        <v>29</v>
      </c>
      <c r="I7460" t="inlineStr">
        <is>
          <t>それに不幸であつたためか何んとなく不愉快な感じがしてならなかつた。；それだけでもこの場合に僕を不愉快にするには充分だったかも知れない。；彼はほとんど悒鬱といってもいいような不愉快な気持ちに沈んで行った。；何故この結婚をそんなにまで不愉快に思うかというには理由があるのです。；不愉快な灰色の高い壁は上の端で曲面を形作って天井につながっていた。；なるほど自分は世の中を不愉快にするために生きてるのかも知れない。；実際の目的は衣食にあるんだから、生徒から見たら定めて不愉快だらう。；彼の帰ったのは彼の家にどれだけの不愉快な動揺を与える結果になったか。；そして不愉快な日の不愉快さをもう一つ付け加えられるような気がした。；もし我々の運命が彼にかかるならば、最も不愉快なことになるだろう。；何も自分の受けた不愉快な気持ちをわざわざ彼女に与えなくてもと。；大事な睡眠を犠牲にして、少しも不愉快な顔を見せないのも承知していた。；さうしてこの不愉快を感ずる自己に就いて、彼は重ねて不愉快を感じた。；僕はこの男が見舞いに来るのを千葉での不愉快なことの一つに数えていた。；實際彼の顏は、他を不愉快にする程深刻な表情を示し得た試がなかつた。；自分はそれを見たときに、ある不愉快な激動を受けずには居られなかった。；実際彼の顔は、他を不愉快にするほど深刻な表情を示し得た試がなかった。；それは、彼が負けぎらいな性質であるだけに、一層不愉快なことだった。；今年の二科会では特にひどくそういう気がして私にはとても不愉快であった。；けれどもその感じは彼を不愉快にしないばかりでなく、反対に彼を慰めた。；つとめて微笑んでいたが、その努力も不愉快な感じを与えるものだった。；それは彼と彼の友人の一人との間にあつた不愉快な事柄であつた。；不愉快そうにしつつも拍手喝采を受けまんざらでもない顔をするのだった。；世の中を不愉快にするくらいな人間なら、また一日も早く死ぬ方がましである。；不満足という怪物はこれを口から外へ出すと自他ともに不愉快を感ずる。；植物全体に生えている不愉快な毛のため、動物はほとんど食べない。；衣服と皮膚との間に一つの汗という汚水の層を持つ事は全く不愉快な事だ。；客も不愉快だとは思ひつつ黙つてゐると、いよいよ図に乗る汚さであつた。；ちょうど鶏の咽喉でもしめられているかというような不愉快な声がした。</t>
        </is>
      </c>
      <c r="J7460">
        <f>HYPERLINK("https://www.weblio.jp/content/不愉快", "词义详情")</f>
        <v/>
      </c>
      <c r="K7460">
        <f>HYPERLINK("https://yourei.jp/不愉快", "查看例句")</f>
        <v/>
      </c>
    </row>
    <row r="7461">
      <c r="A7461" t="inlineStr">
        <is>
          <t>冬休み</t>
        </is>
      </c>
      <c r="B7461" t="inlineStr">
        <is>
          <t>成功</t>
        </is>
      </c>
      <c r="C7461" t="inlineStr">
        <is>
          <t>読み方：ふゆやすみ
冬に仕事を休むこと。また、正月をはさんで学校が授業を休むこと。冬の休暇。《季冬》「文鎮の鍔(つば)は厳(いか)しき—／正雄」</t>
        </is>
      </c>
      <c r="D7461" t="inlineStr">
        <is>
          <t>冬休み期間(3%)；冬休み中(3%)；冬休み時期</t>
        </is>
      </c>
      <c r="H7461" t="n">
        <v>29</v>
      </c>
      <c r="I7461" t="inlineStr">
        <is>
          <t>冬休みのあいだに、みんな今日のことなど忘れてくれるだろうと思った。；まもなく冬休みに入ってしまうから、連絡を入れるとすれば今しかない。；各作とも夏休みの終った九月から冬休みまでの期間を舞台としています。；でもみんなと言っても、ちょうど冬休みに入ったところでしたからね。；そんなあやふやな家の中で、仕方なく冬休みの宿題を広げたりするのだ。；少年は冬休み中に輪を自分の眼の高さにしようと予定していた。；では冬休みはどこに行くかをハルヒの頭になって考えてみればいい。；アメリカ合衆国の学校では冬休みの期間は一般に短くなっている。；師走にもかかわらず、冬休みに入った子どもをつれて来る親が多いらしい。；夏休みと冬休みの2回、ゲームの舞台となる北海道を訪れることになる。；やはり、試験休みとか冬休みとかで、学生の量が減っているのだろうか。；学生たちに知られないようにと、交換作業は冬休み中に行われた。；冬休みになったら、父の仕事の都合で急に引っ越すことになってしまったの。；この冬休みには帰って来いと、まるで熊本にいた当時と同様な命令がある。；それを先生に聞こうと思ううちに、中学三年の冬休みがはじまっていた。；二人は冬休み後にひかえた後期の試験やレポートの話をしていたところだった。；また、夏休みや冬休みを利用した国内やハワイなどの遠征を実施している。；第一回の研究会は、昭和十四年の冬休みが終って間もなくの、雪の日だった。；東京からも冬休みを利用してわざわざ観に行ったファンがだいぶあったんだってね。；そして今では、同じ大学を受けるための、冬休みを利用しての勉強会。；夏ばかりではなく、冬休みや春休みにもさっさと逃げて来るようになった。；学校が冬休みに入ると、弟は恋人のいるカナダに出かけて行く。；もう三日前から冬休みで、理菜子の両親も正式に離婚したという。；それよりおじいさんの方が心配だから、一つ冬休みになったら行ってみようか。；学校は冬休みに入っていたが、多輝子ちゃんは制服を着て、一人街へ出て来た。；使われなくなった小等部の校舎で、冬休み中に取り壊す予定だけど、それが?；冬休みの間、下宿をしていた京都から田原本町に毎日のように電車で通った。；高校生活最後の冬休みに起きた出来事を、かがみの視点で描いた作品。；その後は東京都で生活するが、夏休みや冬休みは水沢で過ごしていた。</t>
        </is>
      </c>
      <c r="J7461">
        <f>HYPERLINK("https://www.weblio.jp/content/冬休み", "词义详情")</f>
        <v/>
      </c>
      <c r="K7461">
        <f>HYPERLINK("https://yourei.jp/冬休み", "查看例句")</f>
        <v/>
      </c>
    </row>
    <row r="7462">
      <c r="A7462" t="inlineStr">
        <is>
          <t>冬山</t>
        </is>
      </c>
      <c r="B7462" t="inlineStr">
        <is>
          <t>成功</t>
        </is>
      </c>
      <c r="C7462" t="inlineStr">
        <is>
          <t>読み方：ふゆやま
１草木が枯れたり、雪におおわれたりした冬の山。《季冬》「—やどこまで上る郵便夫／水巴」
２冬に登山の対象となる山。⇔夏山。</t>
        </is>
      </c>
      <c r="D7462" t="inlineStr">
        <is>
          <t>冬山登山(9%)；冬山山行(3%)；冬山造材(2%)；冬山用；冬山装備</t>
        </is>
      </c>
      <c r="G7462" t="inlineStr">
        <is>
          <t>冬山駅</t>
        </is>
      </c>
      <c r="H7462" t="n">
        <v>29</v>
      </c>
      <c r="I7462" t="inlineStr">
        <is>
          <t>加藤は冬山に入るまでの長い間の基礎山行が無駄ではなかったと思った。；この場所まで達するには、厳しい冬山との戦いがあったことであろう。；彼が体験した冬山ビバークはすべて北アルプスの乾いた雪の中であった。；しかしそれは、越後の冬山を知らない私の浅はかな考えに過ぎなかった。；このあたりの冬山の天気は変りやすいのではなく、連続して悪いのである。；やがて技師の中にも、精神に異常をきたして冬山に失踪する者が出始めた。；そのように、冬山を敵視した瞬間、自分自身もまた山から排撃されるのだ。；妻は冬山で知りあったスキーコーチと、街でもつきあうようになった。；結婚したときすでになんらかの形で、冬山からは離れなければならないと思った。；冬山は終ったということは、この年はもう山へはいかないという意味ではない。；もっとも、こんな誰もいない冬山で、隠れるように金や銀を探している人間だ。；結果からみれば冬山訓練は必要なくなったことになる。；人の踏みあとをついていきさえしたら、冬山登山なんて楽なものさ。；下着は、こういう冬山では、生死を分ける重要なポイントとなるものだ。；いつかは冬山へ入らねばならないと思っていた。；冬山に入るまでに夏山のすべてを知ろうという彼の用心深さであった。；だが、それ以外、こんな冬山で見つかるものといったら雪しかないではないか。；静寂な冬山をますます静寂にするものは、枝一面に咲いた樹氷の花である。；冬山へ行くか行かないかは、結局、宮村健と行動を共にするかどうかになった。；加藤の今までの冬山の経験によれば、この場合は少なくとも一週間分の食糧と燃料を必要とした。；そ、それにこれは冬山で体温が低下した時の最も有効な解決法なんですよね?；そこでこの山が、冬山に遊ぶ人々の聖地になった理由をのべることにしよう。；冬山の寒さを知るには、自らの身体を、山の中へさらす以外にはないと考えてしたことであった。；貧乏人は冬山へは来るなといわれたような気がした。；事実、あの夜を境いに、穂高連峰は完全な冬山へと変貌したのである。；三時を過ぎると、冬山の行動は停止することが原則だったが、加藤は、それを無視して歩いた。；原作では冬山が舞台だったが、ドラマでは撮影、放送時期の関係から夏山になっている。；しかも冬山体験はたった一冬にすぎないのだ。；その冬山に入る前提としていままで努力して来たのだ。</t>
        </is>
      </c>
      <c r="J7462">
        <f>HYPERLINK("https://www.weblio.jp/content/冬山", "词义详情")</f>
        <v/>
      </c>
      <c r="K7462">
        <f>HYPERLINK("https://yourei.jp/冬山", "查看例句")</f>
        <v/>
      </c>
    </row>
    <row r="7463">
      <c r="A7463" t="inlineStr">
        <is>
          <t>不要</t>
        </is>
      </c>
      <c r="B7463" t="inlineStr">
        <is>
          <t>成功</t>
        </is>
      </c>
      <c r="C7463" t="inlineStr">
        <is>
          <t>読み方：ふよう
［名・形動］必要でないこと。また、そのさま。不用。「—な（の）出費を減らす」「暴風雨の中—不急の外出は避けてください」</t>
        </is>
      </c>
      <c r="D7463" t="inlineStr">
        <is>
          <t>不要である(13%)；不要であり(3%)；不要物；不要な部分；不要品</t>
        </is>
      </c>
      <c r="E7463" t="inlineStr">
        <is>
          <t>余計；無用；不必要；要らない；不要である</t>
        </is>
      </c>
      <c r="F7463" t="inlineStr">
        <is>
          <t>予約不要；一切不要；免許不要；実務経験不要；再回答不要</t>
        </is>
      </c>
      <c r="G7463" t="inlineStr">
        <is>
          <t>不要不急；不要論；不要不急の外出；不要不急路線；不要式契約</t>
        </is>
      </c>
      <c r="H7463" t="n">
        <v>29</v>
      </c>
      <c r="I7463" t="inlineStr">
        <is>
          <t>そして不要となるとハスモン朝の血を引く人々をすべて殺害していった。；瞑想する部屋には、家具など不要な物を並べない方がよいとされている。；不要あるいは動作しない電気製品などの分解・解体し入手することもある。；不要となった厩舎地区は整地され、駐車場や場内公園などに利用された。；このためにナワトル語には単語という概念は不要と主張する学者もある。；客用扉は戸袋の不要な2枚折戸を用い、車体内側の空間確保に配慮した。；作成したゲームをプレイするために特別なランタイムは不要である。；また電力不要で動作するのでコンセントのないエリアにも配置可能である。；これにより、新たな操作が可能となり、特殊ケースの関数が不要になる。；労働者階級の生活改善と中産階級の発生を根拠に革命不要説を唱えた。；油絵具を練ったり、画面についた不要な絵具を取ったりするのに用いる。；透過的に動作可能なように設計されており、設定変更は不要である。；新小岩操駅の規模縮小に伴い不要となった敷地の一部を利用して整備された。；しかしこれは上位レベルの説明が不要になるという意味ではない。；ノイズ とは、処理対象となる情報以外の不要な情報のことである。；こちらは効果が限定されている代わりに判定不要でMPがあれば必ず成功する。；単独での兵器開発は共同開発に比べて国家間での調整は不要となる。；摂取後4 - 5時間経っても症状が出ない場合は、治療は不要である。；これは母・多喜が、女性に学業は不要だと考えていたからだという。；また、音の長さは次の音符か停止記号で表されるためにタイは不要となる。；さらには太陽電池の採用により、電池交換不要のものが殆ど占めている。；なお日本への原爆投下については、その不要性から米国政府を批判した。；地上設備の不要なハイブリッド車としての改造扱いで1995年に登場。；記事の充実に伴い節そのものが不要となることも多いでしょう。；この型では大掛かりな付属装置が不要なため水爆を小型軽量化できた。；不要な個人の集会を禁止し、公共交通機関の利用を控えるよう勧告した。；このように不要となった要素を解放するために用いる。；不要ののちには薬草などの栽培場所となったとされている。；また、送電設備を不要とするため蓄電池を搭載した車両を用いる場合もある。</t>
        </is>
      </c>
      <c r="J7463">
        <f>HYPERLINK("https://www.weblio.jp/content/不要", "词义详情")</f>
        <v/>
      </c>
      <c r="K7463">
        <f>HYPERLINK("https://yourei.jp/不要", "查看例句")</f>
        <v/>
      </c>
    </row>
    <row r="7464">
      <c r="A7464" t="inlineStr">
        <is>
          <t>扶養</t>
        </is>
      </c>
      <c r="B7464" t="inlineStr">
        <is>
          <t>成功</t>
        </is>
      </c>
      <c r="C7464" t="inlineStr">
        <is>
          <t>読み方：ふよう
［名］(スル)助け養うこと。生活できるように世話すること。「両親を—する」</t>
        </is>
      </c>
      <c r="D7464" t="inlineStr">
        <is>
          <t>扶養する(14%)；扶養家族(13%)；扶養親族(3%)；扶養料(3%)；扶養児童</t>
        </is>
      </c>
      <c r="E7464" t="inlineStr">
        <is>
          <t>整備；維持；保持；保有；育成</t>
        </is>
      </c>
      <c r="F7464" t="inlineStr">
        <is>
          <t>被扶養；控除対象扶養；公的扶養；間扶養；家族扶養</t>
        </is>
      </c>
      <c r="G7464" t="inlineStr">
        <is>
          <t>扶養義務者；扶養手当；扶養者；扶養控除；扶養権利</t>
        </is>
      </c>
      <c r="H7464" t="n">
        <v>29</v>
      </c>
      <c r="I7464" t="inlineStr">
        <is>
          <t>これらの軍人の扶養家族も同様のサービスを受けることができる。；支給の際、扶養家族が居るという証明書類を会社に提出する必要がある。；また、一族内の生きている者を扶養するだけでなく、死者の墓を守ることをも含む。；地下に棲まう人間はわがゾハルの王室が責任をもって扶養いたします。；そうしたらわたしに、扶養するつもりがあるのか、とたずねてくるわ。；先祖の祭りと一族の扶養は日本からでもできないことはない。；そこでは老人の扶養は直接若夫婦の任務ではない。；「ぼくはみせをまもらなくちゃならない」 健二は扶養家族を抱えていた。；彼らの扶養費は次のようにして与えられている。；加えて子供を扶養している場合、児童タックスクレジットの申請も可能。；他人を雇えば、その他人の扶養家族のことまで考えねばならぬ責任が生れよう。；陳の母は正妻ではなく、ダンスホールで働いて陳と姉を扶養していた。；二、この船で、国費で扶養されている上記の日本人等三人を送還すること。；社会的な父には扶養の義務があり、畑仕事などで一家を養う。；ま、私たちはさ、年間百三万以内しか働いちゃいけないのよ、夫の扶養に入ってるから。；主人には彼の生活があり、扶養家族もあることだろう。；女の人のすべてが低下したのは、こういう男に、扶養されなければならない位置に長く長くおかれたからであろう。；それで死ぬ直前にみずからすすんでわたしの扶養の約束をあたえられました。；家族のあるものは家族にわたして生涯の扶養の資にさせ、家族のないものは本人にわたしてその自由にさせられたのである。；また、大人に扶養されていない子どもやアダルト・チルドレンを含むことがある。；離婚をしても彼には財産、扶養能力ともに無いに等しいので法律も追いかけてはこない。；明治民法においても親族間扶養の範囲は三親等内の血族までとされていた。；しかし書かなければ国に帰れないし、多勢の扶養家族を養うことができない。；その他にも国際的な扶養関係についての準則が定められている。；しかし、彼女の扶養家族の多さを見て、遠ざかったりはできない。；扶養家族がふえたというのに、相変わらず父親には仕事がなかった。；したがって彼女が家族を扶養することになった。；これらは世代間扶養のシステムとなっている。；彼からみると、この私は、力の及ぶかぎり長く母親を扶養した、模範的な息子だった。</t>
        </is>
      </c>
      <c r="J7464">
        <f>HYPERLINK("https://www.weblio.jp/content/扶養", "词义详情")</f>
        <v/>
      </c>
      <c r="K7464">
        <f>HYPERLINK("https://yourei.jp/扶養", "查看例句")</f>
        <v/>
      </c>
    </row>
    <row r="7465">
      <c r="A7465" t="inlineStr">
        <is>
          <t>ぶら下がる</t>
        </is>
      </c>
      <c r="B7465" t="inlineStr">
        <is>
          <t>成功</t>
        </is>
      </c>
      <c r="C7465" t="inlineStr">
        <is>
          <t>読み方：ぶらさがる
［動ラ五（四）］
１ぶらりと垂れ下がる。つりさがる。また、それに似た状態で、物に取り付いてつかまる。「天井から電灯が—・る」「吊革に—・る」
２手に入りそうな状態にある。「目の前にチャンスが—・っている」
３他人に頼りきる。「人に—・って生きる」</t>
        </is>
      </c>
      <c r="D7465" t="inlineStr">
        <is>
          <t>下る；架かる；下がる；掛かる；垂れる</t>
        </is>
      </c>
      <c r="H7465" t="n">
        <v>29</v>
      </c>
      <c r="I7465" t="inlineStr">
        <is>
          <t>腰から下にもう感覚がなく、重い荷物がぶら下がっているように思えた。；私は拳銃が脇腹にぶら下がっているのを知っているので、気が気でない。；彼女は僕の首にぶら下がるような体勢で、下から僕の顔を見上げている。；しかも十日間ものあいだ、誰にも発見されずにぶら下がっていたという。；しかし逃げても逃げても、蛇のぶら下がる木はリディアの目の前にある。；いまでは大きすぎるその着物はからだにぶら下がっているようだった。；皿網の場合、皿の中央にぶら下がるようにとまっているのが普通である。；女中が七時頃はいると、不幸な男が部屋の中央にぶら下がっていたと。；なんとなく、ぶら下がる場所を探しているようで、嫌な気持ちになった。；空中に浮いた紫色の泥玉の下に虫がぶら下がったような外見をしている。；彼の手や首にぶら下がっている人間は三十人をくだらなかったのである。；たとえば、あの八人が気球にぶら下がって飛んで行くのを見た、とかね。；観音像の腕や頭に人間の髪を細く束ねたものが無数にぶら下がっている。；店は間口が三間あまり、軒先には薬の看板がいくつもぶら下がっていた。；そして彼は肘だけで窓枠にぶら下がり、部屋の中に頭だけ残して言った。；そのとたん、真っ黒なものがすっぽりと彼の眼の前にぶら下がってきた。；デザインは主翼にぶら下がった航空機のエンジンをモチーフにしている。；草陰等に露を避けるようにぶら下がって止まっているのではない。；スクリーンに一番近い場所からぶら下がっていた男の頭が、爆ぜたのだ。；これから木に巾着がぶら下がっている訳を、金主に説明に行くのだろう。；階段の急なところになると、嶋之内は修平にぶら下がる形になってくる。；入口に大きなカウベルがぶら下がっていて、二人を間の抜けた音で迎えた。；私はまた、崖からぶら下がっている者を見捨てようとしているのだろうか。；蜘蛛はその脚を苦しそうに痙攣させた後、窓の先に死んでぶら下がった。；パラシュートにぶら下がった二人は、今ではゆっくりと降下していった。；肩に担いだ笹の枝には草の穂で作った梟が踊りながらぶら下がって行く。；それで、手を伸ばして、彼女の腰からぶら下がっている帯の端をつかんだ。；それに少しぐらい上昇しても、綱の先にぶら下がっているわたしはどうなる。；スリッパがぶら下がっている足には赤や青の静脈が走っているのがわかる。</t>
        </is>
      </c>
      <c r="J7465">
        <f>HYPERLINK("https://www.weblio.jp/content/ぶら下がる", "词义详情")</f>
        <v/>
      </c>
      <c r="K7465">
        <f>HYPERLINK("https://yourei.jp/ぶら下がる", "查看例句")</f>
        <v/>
      </c>
    </row>
    <row r="7466">
      <c r="A7466" t="inlineStr">
        <is>
          <t>ぶら下げる</t>
        </is>
      </c>
      <c r="B7466" t="inlineStr">
        <is>
          <t>成功</t>
        </is>
      </c>
      <c r="C7466" t="inlineStr">
        <is>
          <t>読み方：ぶらさげる
［動ガ下一］［文］ぶらさ・ぐ［ガ下二］
１ぶらりとつり下げる。「てるてる坊主を—・げる」「腰に手拭いを—・げる」
２無造作に手にさげて持つ。「かごを—・げて買物に行く」
３上部組織の下に入る。傘下に入る。「持ち株会社に事業各社を—・げる」</t>
        </is>
      </c>
      <c r="D7466" t="inlineStr">
        <is>
          <t>つける；中断；付ける；下げる；掛ける</t>
        </is>
      </c>
      <c r="H7466" t="n">
        <v>29</v>
      </c>
      <c r="I7466" t="inlineStr">
        <is>
          <t>高尚でもなければ悟りの一つも目の前にぶら下げて生きちゃいないのだ。；片手に旅行鞄をぶら下げ、ひとり来た道を戻ってゆく背中は間違いない。；その先頭に立って歩く孫たちも手に手に小さな袋をぶら下げている。；少しはご利益があるような気がして、目に付くところにぶら下げてみた。；仕事以外の日はほとんど毎日のようにカメラをぶら下げて歩き回っていた。；よく見ると政を天井付近からぶら下げているのは棚の上に乗った歳三だった。；人形使いはあそこに掛かっていますと言って柱にぶら下げた狐をさした。；ハドンは一分も遅れずに手に小ぎれいな黒い鞄をぶら下げてやってきた。；それはさっきから耕助がぶら下げて、歩いていたハンケチ包みであった。；彼は右手にピストルをぶら下げていたがわたしの方を見てにやりと笑った。；ボブは腕にステッキをぶら下げたまま、同じ内容を中国語で繰り返した。；彼らはいずれも、古手拭と煙草道具と背負い繩とを腰にぶら下げていた。；コン棒を手にして鍵を腰にいっぱいぶら下げた男が街角に立っている。；例の機械をぶら下げて、その雪路の踏みかためた上を東へ登って行った。；首の失い犬の胴は、自分の毛皮にその頭をぶら下げて歩いてくるのである。；両手を椅子の両側からだらりとぶら下げて、ひどく疲れている様子だった。；十歳ぐらいの少年がひとり、手に大きな鳥籠をぶら下げて歩いている。；男に比べて体力の劣る女が、なおそれだけの重りをぶら下げているのだ。；敦樹は頷くと、道の隅に移動しながら首にぶら下げたゴーグルをかけた。；夢魔は二人の少女をぶら下げたまま、星空に向かって急上昇を開始した。；葱をぶら下げて出入りなどすることが出来にくいように出来ている。；馬にしてみれば目の前に高級オタネニンジンをぶら下げられてるようなもんだ。；そんなものをファルドーさんの前でぶら下げたりしない方がいいぞ。；その後、処刑され、首は見せしめのために城門の上からぶら下げられた。；肩に銃をかけ、大きな鞄をぶら下げているのは少し珍妙かもしれないが。；そんなわけで、今年から私は枕元に四足の靴下をぶら下げているのです。；扉を開けると、両手に紙袋をぶら下げた白鳥が、ドアの外に立っていた。；俺は両手に拳銃のついたベルトを二本ずつぶら下げて、車へ戻った。；犬は松江にぶら下げられ、あと足だけで立っている形になってもがいた。</t>
        </is>
      </c>
      <c r="J7466">
        <f>HYPERLINK("https://www.weblio.jp/content/ぶら下げる", "词义详情")</f>
        <v/>
      </c>
      <c r="K7466">
        <f>HYPERLINK("https://yourei.jp/ぶら下げる", "查看例句")</f>
        <v/>
      </c>
    </row>
    <row r="7467">
      <c r="A7467" t="inlineStr">
        <is>
          <t>ふらふら</t>
        </is>
      </c>
      <c r="B7467" t="inlineStr">
        <is>
          <t>成功</t>
        </is>
      </c>
      <c r="C7467" t="inlineStr">
        <is>
          <t>［副］(スル)
１揺れ動いて安定しないさま。「悪路でハンドルが—する」
２からだに力がはいらないさま。意識がはっきりしないさま。「熱で—する」「—した足どり」
３自覚や目的のないまま行動するさま。「—と誘いに乗る」「盛り場を—する」
４態度が定まらないさま。「方針が—する」
［形動］2に同じ。「猛練習で—になる」
［アクセント］はフラフラ、はフラフラ。</t>
        </is>
      </c>
      <c r="D7467" t="inlineStr">
        <is>
          <t>ふらふらと歩い(3%)；ふらふらと歩き；ふらふら歩い；ふらふらと揺れ；ふらふら揺れ</t>
        </is>
      </c>
      <c r="E7467" t="inlineStr">
        <is>
          <t>揺れる；ぶらぶら；疲弊；揺れている；ぼろぼろ</t>
        </is>
      </c>
      <c r="F7467" t="inlineStr">
        <is>
          <t>まだふらふら；少しふらふら；そのままふらふら；ふらふらとよろめい；ふらふらと立ち上がり</t>
        </is>
      </c>
      <c r="G7467" t="inlineStr">
        <is>
          <t>ふらふらッと；ふらふらふら；ふらふらふらふら</t>
        </is>
      </c>
      <c r="H7467" t="n">
        <v>29</v>
      </c>
      <c r="I7467" t="inlineStr">
        <is>
          <t>ところが急に息ができなくなり、ふらふらと倒れそうになってしまった。；昨夜の酒の酔いが頭の奥にまだ残っているようで、身体がふらふらする。；ふらふらになっていたら、やっと茶色になったパンを持ってきてくれた。；ふらふらする頭をもたげてみると、その理由がわかったような気がした。；やはり、みんなが学校に行っている時間にふらふらするのは、よくない。；ついふらふらと無理な穴など狙ってみようなどと云う量見にもなる。；そのたびに彼女はふらふらと暴風の日の煙の如く出て行くのであった。；ずっと下に降りて行けるらしい階段を、わたしはふらふら歩いて行った。；とうとう伝六がゆでだこのようにふらふらとなりながら音をあげました。；このふらふらの精神は礼教上から言うと決してよくないものである。；ふらふら出て来てみたところでどうせいいことはないに決まっているんだから。；兵士は、雪の上を倒れそうになりながら、あてもなく、ふらふら歩いた。；少しずつ量を減らして止めようと思うのだが、ついふらふらと手が出る。；彼女は、この広告を見たとき、どういうものか妙に気がふらふらしてきた。；ふらふらと何歩かあるいてみたが、どこも折れたところはなさそうだった。；ある時、気がついてみると、ふらふらと女中部屋の前にたたずんでいた。；ふらふらしてきたと思うと、自分でも体が倒れていくのがわかった。；食物がなくなったので銃を持って出かけたが体がふらふらしていた。；が、この将来の幻が実に漠然とした曖昧なふらふらしたものだったのだ。；そんなことには馴れていない日本の女は、ついふらふらとしてしまう。；父の愛していた白という犬が、いつも私のそばへふらふらやって来た。；それからわたしは頭がふらふらしてくると、じぶんの手を休めました。；その水の沖の方に動くのを見ていると眼がふらふらしました。；そしてあやつり人形のような動きかたをして警官の方へふらふらと近づいた。；朝早く、ふらふらと中邸から出て、そのままずっと歩いていたのである。；この時分に、橋の左の方の側をふらふらと歩いて行く黒い人影がありました。；光がひとつ、ふらふらと揺れながらこっちの方に向かってくるのだ。；そいつの口のすぐ前をふらふら飛んで、さっと逃げられましたからね。；おれは、ジュディスの身に迫る危険のことで、頭がふらふらだったのだ。</t>
        </is>
      </c>
      <c r="J7467">
        <f>HYPERLINK("https://www.weblio.jp/content/ふらふら", "词义详情")</f>
        <v/>
      </c>
      <c r="K7467">
        <f>HYPERLINK("https://yourei.jp/ふらふら", "查看例句")</f>
        <v/>
      </c>
    </row>
    <row r="7468">
      <c r="A7468" t="inlineStr">
        <is>
          <t>ぶらぶら</t>
        </is>
      </c>
      <c r="B7468" t="inlineStr">
        <is>
          <t>成功</t>
        </is>
      </c>
      <c r="C7468" t="inlineStr">
        <is>
          <t>［副］(スル)
１ぶら下がって揺れ動くさま。「両手を—（と）させる」
２なすこともなく毎日を暮らすさま。「就職もしないで—（と）している」
３あてもなくのんびり歩きまわるさま。「近所を—（と）散歩する」
［形動］1に同じ。「切れて—な電線」
［アクセント］はブラブラ、はブラブラ。</t>
        </is>
      </c>
      <c r="D7468" t="inlineStr">
        <is>
          <t>ぶらぶら歩い(11%)；ぶらぶらと歩い(5%)；ぶらぶらと歩き(3%)；ぶらぶら歩く；ぶらぶらしてる</t>
        </is>
      </c>
      <c r="E7468" t="inlineStr">
        <is>
          <t>ふらふら；だらり；ふらり；ぶらりと；うかうか</t>
        </is>
      </c>
      <c r="F7468" t="inlineStr">
        <is>
          <t>方へぶらぶら；脚をぶらぶら；ほうへぶらぶら；道をぶらぶら；毎日ぶらぶら</t>
        </is>
      </c>
      <c r="G7468" t="inlineStr">
        <is>
          <t>ぶらぶら節；ぶらぶらサタデー；ぶらぶらドンキー；ぶらぶら美術・博物館；ぶらぶら社員制度</t>
        </is>
      </c>
      <c r="H7468" t="n">
        <v>29</v>
      </c>
      <c r="I7468" t="inlineStr">
        <is>
          <t>だがようやく食事が終わると、ぶらぶらと作業室のほうに下りていった。；運転台からそっと降りた一人の男が、ぶらぶらと二人の方へ歩いて来た。；女はテーブルの下で組んだ足をぶらぶらと振り子のように揺らし始めた。；わたしがぶらぶらしていたのはそう長いことではありませんでした。；シャズ山の森でぶらぶらして、当てのない迎え便を待つよりずっといい。；ひげ男の姿が消えると、若い男は仕事をやめて、ぶらぶら近づいてきた。；その辺をぶらぶらしているやつらはいい時期に生まれ合わせたものだ。；そんなわけで私はただ村の辻をぶらぶらと歩いてまわってばかりいた。；早く行つたところで、あのあたりをぶらぶらしてゐなければならない。；兄のほうは、一日仕事もせずに、ぶらぶらと家の中で遊んでいました。；二三日ぶらぶらしているうちに、私にも、どうやら落ちつきが出て来た。；何かぶらぶらしているのはいやなので、語学をまた始めようと思います。；犬の八公は毎日、犬達を相手に、ぶらぶら遊んでをればよいのでした。；ぶらぶら人の行かないような道を選んで歩くのが私は好きでした。；甲板をポケットに手を突込んでぶらぶら歩くと襟元を過ぎる風が凉しい。；そこで紳士は自分の人格の効果に満足して、なおもぶらぶら歩いてゆく。；ぽかんと手をあけて、ぶらぶら遊んでいるのが、いちばんいけないのだ。；そして彼等は毎日眉を顰めて雨の空を見上げながら、ぶらぶら遊んでいた。；そこで二人はまた、ぶらぶらと暗いお濠端に沿うて日比谷の方へ歩いた。；春の末に郊外のある町へ片づいて行くまで、お庄は家にぶらぶらしていた。；少しばかりの金を袂の底に押し込んで、笹村は町をぶらぶら歩いていた。；あるいはまた長いプラットフォオムの縁をぶらぶら歩いていることもある。；彼女は手の菓子折をぶらぶらさしながら、いろんなことを饒舌りだした。；その他の連中は椅子に腰かけたり、当てもなくぶらぶら歩きまわっていた。；ある夕方、私たちは小さな瓢箪形の池のある公園をぶらぶらと歩いた。；私はこの街道をたった一人、南の丘の上にぶらぶら登って行った。；赤星が長い廊下をぶらぶら歩いていると岩城文子は直きに引返して来た。；ジョン・マーシャルはタクシーのたまり場のほうにぶらぶら歩いていた。；あの長い脚をぶらぶらさせて、ふんぞりかえって坐ってるようすったら。</t>
        </is>
      </c>
      <c r="J7468">
        <f>HYPERLINK("https://www.weblio.jp/content/ぶらぶら", "词义详情")</f>
        <v/>
      </c>
      <c r="K7468">
        <f>HYPERLINK("https://yourei.jp/ぶらぶら", "查看例句")</f>
        <v/>
      </c>
    </row>
    <row r="7469">
      <c r="A7469" t="inlineStr">
        <is>
          <t>不利</t>
        </is>
      </c>
      <c r="B7469" t="inlineStr">
        <is>
          <t>成功</t>
        </is>
      </c>
      <c r="C7469" t="inlineStr">
        <is>
          <t>読み方：ふり
［名・形動］利益にならないこと。条件・形勢などがよくないこと。また、そのさま。「—な取引」「—な立場」⇔有利。</t>
        </is>
      </c>
      <c r="D7469" t="inlineStr">
        <is>
          <t>不利な状況(4%)；不利な立場(3%)；不利な条件(2%)；不利な証言；不利な証拠</t>
        </is>
      </c>
      <c r="E7469" t="inlineStr">
        <is>
          <t>都合悪い</t>
        </is>
      </c>
      <c r="F7469" t="inlineStr">
        <is>
          <t>圧倒的不利；著しく不利；戦況不利；不利な情勢；不利な戦況</t>
        </is>
      </c>
      <c r="G7469" t="inlineStr">
        <is>
          <t>不利益処分；不利先打；不利益処分に関する不服申立て；不利益分配；不利逃避</t>
        </is>
      </c>
      <c r="H7469" t="n">
        <v>29</v>
      </c>
      <c r="I7469" t="inlineStr">
        <is>
          <t>いかに自分に有利で他人に不利な状況を作るかで頭を悩ませることになる。；最後は椅子が一つになるため、椅子の後ろ側にいる人が圧倒的に不利になる。；ジューコフは新国境での防衛上の不利を訴え、旧国境での防衛を重視した。；また基本となる座構えも、動きが制限されて不利であるかに見える。；最初のスタート位置が外側へなればなるほど不利な競技である。；即ち、プレイヤーの有利不利をかなりの高確率で判断する性能がある。；前者より後者の方が距離と地形的に不利な作りになっている。；しかし防御施設が旧式で地形も不利な点を持つことを認識し強化に着手した。；日本を間断なく攻撃しても中国側には何の不利な結果もないことだ。；また朝鮮人労働者は日本人労働者より待遇面で不利であることが多かった。；清は更に不利な内容の北京条約を締結することを余儀なくされた。；想定作戦海域が広大である英米が不利にならないためであるとも言われている。；ただしバルチック艦隊と並航戦が続いた場合には第2戦隊は不利となる。；国王軍は数の上で劣勢だが、地形は上り坂の議会軍が不利だった。；ただしドラム式洗濯機はやや大型となるため設置場所の面では不利である。；圧倒的不利を予想された選挙戦で、三木はまずイメージ戦略を実行した。；準々決勝でチリは不利と予想されていた対ソ連戦に2対1で勝利した。；上記にも書かれている通り、有利不利の度合いが極端なミニゲームが多い。；また体力系のゲームで不利にならないよう男女を同数に揃える場合もある。；そのため僅かながら捲り選手が有利で、三番手の選手が不利な展開が多い。；這う姿勢は進行速度などの点では不利であるが、有利な点もある。；船型は抵抗上不利な肥えたものが採用され、速力はやや犠牲とされた。；インターアーバンは軌道維持費用の自己負担など自動車にはない不利な点があった。；モラルが減少すると艦隊戦で命中率が悪くなるなど何かと不利になる。；一人の女性とだけ関係を持つDNAは進化の上で不利である。；たとえ駒得をしても玉形が悪ければ形勢が不利とされることがある。；一方で、裁判にて母親が不利になるような証言はしなかった。；種の生存においてもこのようなことが何度も続くのは不利である。；多くの場合はその逆であり、石が多すぎる側は不利となる。</t>
        </is>
      </c>
      <c r="J7469">
        <f>HYPERLINK("https://www.weblio.jp/content/不利", "词义详情")</f>
        <v/>
      </c>
      <c r="K7469">
        <f>HYPERLINK("https://yourei.jp/不利", "查看例句")</f>
        <v/>
      </c>
    </row>
    <row r="7470">
      <c r="A7470" t="inlineStr">
        <is>
          <t>振り</t>
        </is>
      </c>
      <c r="B7470" t="inlineStr">
        <is>
          <t>成功</t>
        </is>
      </c>
      <c r="C7470" t="inlineStr">
        <is>
          <t>読み方：ふり
［名］
１振り動かすこと。また、振れ動くこと。「バットの—が足りない」
２人の振る舞い。しぐさ。また、なりふり。「人の—見てわが—直せ」
３見せかけの態度や動作。ようす。ふう。「寝た—をする」
４料理屋・旅館などで、紹介や予約なしに客が来ること。また、その客。「—の客」
５一時的であること。臨時。
「材木屋から搾(しぼ)る—のものを…払いに当て」〈秋声・縮図〉
６舞踊で、動作・所作のこと。「—をつける」
７女性用の和服の袖付け止まりから袖下までの、縫い合わせない部分。
８本題に入るためのきっかけ。前置きとしてする話。「前—」
９和歌の歌いぶり。和歌の風体。
「大僧正は、おほやう西行が—なり」〈後鳥羽院御口伝〉
10歌曲の歌いざま。節回し。
「その様を習ひて謡ひたれば、—はその—にて似ぬにや」〈梁塵秘抄口伝・一〇〉
11ずれていること。ゆがんでいること。
「建ては建てたが、ちっくり笠に—がある」〈浄・嫩軍記〉
12金銭の都合をつけること。やりくり。
「借銀かさみ、しだいに—に詰まり」〈浮・永代蔵・六〉
13褌(ふんどし)や腰巻をつけないこと。多く男子にいう。ふりちん。
「金吹きは—になるのがしまひなり」〈柳多留・三〉
14「振袖」の略。
「友禅の—の袂(たもと)に北時雨」〈浄・歌祭文〉
15「振袖新造」の略。
「片町の—を内へ呼び入れ」〈浄・阿波鳴渡〉
［接尾］助数詞。
１振る動作の回数を表すのに用いる。「バットを一—二—する」
２（「口」とも書く）刀剣を数えるのに用いる。「二—の刀」</t>
        </is>
      </c>
      <c r="D7470" t="inlineStr">
        <is>
          <t>振り下ろし(3%)；振りむい(2%)；振り下ろさ(2%)；振りあげ(2%)；振り下ろす</t>
        </is>
      </c>
      <c r="E7470" t="inlineStr">
        <is>
          <t>振；セールストーク</t>
        </is>
      </c>
      <c r="F7470" t="inlineStr">
        <is>
          <t>ヶ月振り；ひと振り；振り仰ぐ；振り振り；振りむき</t>
        </is>
      </c>
      <c r="G7470" t="inlineStr">
        <is>
          <t>振り向い；振り返り；振り向く；振り上げ；振り回し</t>
        </is>
      </c>
      <c r="H7470" t="n">
        <v>29</v>
      </c>
      <c r="I7470" t="inlineStr">
        <is>
          <t>これがきっかけでシーズンを棒に振り、同年のスタメン出場は無かった。；その後6個のダイスを振り、カードに書かれた目が出た場合得点になる。；話し振りも舌がもつれて何を言っているのか理解できないことが増えていた。；天下五剣の一振りに数えられているが、それがいつからかは明確ではない。；なおPS2版以外では攻撃ボタンを押し続けていれば連続で剣を振り続ける。；全国ネットの番組出演は約3年振り、東京での収録は約7年振りである。；客が帰った後、それまでの平然とした振りを捨てて、喜んで小躍りした。；無安打だったが守備や代走でチームの二年振りの日本一奪還に貢献した。；超大物の場合は引退後の身の振り方まで確約される場合もあるという。；夫人は複雑な思いだがスザンナの振りをして彼に従ってついていく。；例えば次の詩は赦免されて23年振りに江戸へ帰ってきたときの述懐である。；は膝の怪我でシーズンの大半を棒に振り、メジャー昇格はなかった。；すると確かに武吉は見て見ぬ振りをしたため、鎮興の攻撃は成功した。；また彼の風俗画は当時の暮し振りや服装などを生き生きと伝えている。；脚とボックス本体の間に回転軸を設け首振りを可能にした製品も発売されている。；つまり、腕の振りによって床反力を増加させることができるのである。；冬季でも積雪はまれで周囲の山に雪が降ると何年振りかと話題になるほど。；美濃部は最後の1機が見えなくなるまで空に向けてゆっくりと帽子を振り続けた。；広義には電源ユニットや首振り機構まで含んで呼称する場合が多い。；魔法の槌を三振りするだけで完璧な武器を製造することができる。；そして腰紐を締めてあげる振りをして彼女を締め上げ、息を絶えさせる。；ここにも駐在官がいたが、今度はノルウェー人の振りをしてごまかした。；ここにも振り幅はあるんだけど、それは納得できてる幅で。；口がやや細いため、安定しており、振り混ぜやすい形状をしている。；「突き」と「振り」の基本ダメージは各体力の値に応じて決まっている。；それを振り下ろす際には前脚の爪を地面に突き刺して体を固定する。；触ると死んだ振りをして、この時に脚の関節から黄色い液体を分泌する。；日本の伝統的な舞踊は、舞い・踊り・振りの三要素によって構成される。；尚、同時期に名古屋地域では、星の子と呼ばれる手の振りの踊りが存在していた。</t>
        </is>
      </c>
      <c r="J7470">
        <f>HYPERLINK("https://www.weblio.jp/content/振り", "词义详情")</f>
        <v/>
      </c>
      <c r="K7470">
        <f>HYPERLINK("https://yourei.jp/振り", "查看例句")</f>
        <v/>
      </c>
    </row>
    <row r="7471">
      <c r="A7471" t="inlineStr">
        <is>
          <t>フリーター</t>
        </is>
      </c>
      <c r="B7471" t="inlineStr">
        <is>
          <t>成功</t>
        </is>
      </c>
      <c r="C7471" t="inlineStr">
        <is>
          <t>《(和)free＋Arbeiter(ドイツ)から》定職につかず、アルバイトなどで生活費を得ている人。フリーアルバイター。→ニート
[補説]内閣府と厚生労働省は、それぞれ次のように定義している。［内閣府］15〜34歳までの学生と主婦を除く若者のうち、正社員以外で働く人と、働く意志はあるが無職の人。［厚生労働省］15〜34歳までの学生や結婚している女性を除く若者のうち、パート・アルバイトの仕事をしているか、パート・アルバイトを希望している無職の人。</t>
        </is>
      </c>
      <c r="D7471" t="inlineStr">
        <is>
          <t>フリーター生活(7%)；フリーター時代；フリーター増加</t>
        </is>
      </c>
      <c r="H7471" t="n">
        <v>29</v>
      </c>
      <c r="I7471" t="inlineStr">
        <is>
          <t>こうしてフリーターの若者と幽霊の老人の奇妙な共同生活が始まった。；また個人加盟が可能な労働組合にフリーターが加入する事例も増えつつある。；画家になる事を目標にフリーターをしながら作品を描いていた。；フリーター組は存在しないため、裕介はそのいずれにも属していない。；わたしのところへ来たころの真由美は、いまでいうフリーターでした。；大学卒業後もフリーターをしながら作曲家を目指すことになる。；上品な老婦人のときもあれば、フリーター風の若い男のときもある。；高校を卒業したジョン太は、お気楽なフリーター生活を送っていた。；タレントはいなかったが、フリーターの一人が落語家の弟子だった。；この春大学を出たばかりとのことで、今はフリーターだという。；そして、卒業することができたとしたなら、フリーターになろうと思っている。；一九九七年の時点で、全国のフリーター人口はおよそ百五十一万人にも及んでいる。；政府がフリーター対策として検討しているものには、以下のようなものがある。；フリーター経験者などの若者を対象に、技術者の育成を目的とする。；大学を卒業したらフリーターになって、そして、バンドを続けていくつもりだ。；サンプル調査による、フリーターとなった理由やきっかけは以下の通り。；フリーターを辞めて東京で建築士を目指したいから、という理由だった。；その後1年程は何をしようかとフリーター状態だったという。；後にフリーターは社会への負担と見なされていくようになる。；だから、就職したくないからフリーターやってるわけでは絶対ない。；フリーターというのは、とにかく社会の下の方に位置しているのだと考えさせられる。；主人公である安部晶子は高校卒業後はフリーターをしながら実家で暮らしていた。；フリーターの若者は自分の将来設計を考えているか?；今はフリーターの大量供給地で、ぼくと似たような連中が駅や歩道にたむろする。；フリーターをやっていたころに漫画を描き始めた。；他にはフリーターの男が二人に、専門学校生の女の子が二人だ。；もうフリーターって時代でもないし、それで昼間は就職先を探してるんです。；都会でフリーター生活を送る青年とその近所の住人の日常を描く。；フリーターの大川のもとに学生時代の友人の洞口が15年ぶりに現れる。</t>
        </is>
      </c>
      <c r="J7471">
        <f>HYPERLINK("https://www.weblio.jp/content/フリーター", "词义详情")</f>
        <v/>
      </c>
      <c r="K7471">
        <f>HYPERLINK("https://yourei.jp/フリーター", "查看例句")</f>
        <v/>
      </c>
    </row>
    <row r="7472">
      <c r="A7472" t="inlineStr">
        <is>
          <t>フリーダイヤル</t>
        </is>
      </c>
      <c r="B7472" t="inlineStr">
        <is>
          <t>成功</t>
        </is>
      </c>
      <c r="C7472" t="inlineStr">
        <is>
          <t>読み方：ふりーだいやる
電話で、受信人が料金を負担する通話方式。日本では昭和60年（1985）にNTT（日本電信電話株式会社）が開始。商標名。</t>
        </is>
      </c>
      <c r="D7472" t="inlineStr">
        <is>
          <t>フリーダイヤル番号(6%)；フリーダイヤル等(5%)</t>
        </is>
      </c>
      <c r="H7472" t="n">
        <v>29</v>
      </c>
      <c r="I7472" t="inlineStr">
        <is>
          <t>これに合わせてロゴが変更され、電話番号がフリーダイヤル化している。；僕は彼女たちがかけているというフリーダイヤルの番号を押してみた。；フリーダイヤルになっていて、テープが流れ、別の番号が案内された。；また、フリーダイヤル等は掛ける先側での契約がされていないと掛けられない。；会員は、専用フリーダイヤルにかけることで各サービスを利用することができる。；マーケットリサーチのため、多数のフリーダイヤル番号を並行使用している。；オープニング映像やフリーダイヤルの表示される画面に登場する。；気がつけばフリーダイヤルに電話してて、私もアメリカ人の仲間入りである。；近年は、女性専用のフリーダイヤルを設置している消費者金融もある。；なお、電話はフリーダイヤルであることは稀で、たいていの場合発信者側の負担になる。；フリーダイヤルが登録されている場合は通話料金も無料。；次の電話回線からフリーダイヤルにかけることはできない。；番号は放送地域によって異なっていたが、1987年頃にの全国共通のフリーダイヤルが導入された。；無線呼出しのための電話がフリーダイヤルの時期もあったが廃止され、現在は普通の固定電話となっている。；投票にはSMSとフリーダイヤルが利用され、合計で100万票を超える投票が行われた。；現在はセンチュリオンのサポートデスクのフリーダイヤルから電話があり資料が必要かどうかを聞かれる。；また、フリーダイヤル等は掛ける先側でPHSを受け付ける契約がされていないと掛けられなかった。；海外からは国によってフリーダイヤルに対応しているが、基本的にコレクトコールでかけることが出来る。；団体によっては、特定の日のみフリーダイヤルという場合もある。；その一方で、番組の後期には、アナウンサーがフリーダイヤルによるレース結果のテレホンサービスを最後に紹介していた。；NTTコミュニケーションズが提供するフリーダイヤルの番号は0120の次が9以外の数字である。；また、旧・松本引越センター時代に使用していたフリーダイヤルの電話番号は、現在利用できなくなっている。；「フリーダイヤル」は、同社の登録商標で、日本独自の表現である。；その他にはフリーダイヤルの記号で0120のロゴ画像が用いられることもあり、これも事実上Unicodeに採用された。；この手のフリーダイヤル番号は機械的に着信できない様にしたり、すべての端末を着信できない契約にして折り返し電話ができず、勧誘してきた業者に連絡できないことが多い。；での配信チャンネルに由来しており、商品注文用のフリーダイヤルにも使用されている2010年10月1日に現行チャンネル名に変更した。；たちまちポーッとした私は、すぐさま通販用フリーダイヤルに電話して注文し、ワクワクしながら商品の到着を待ったのであった。；これは、多くの企業が使用しているフリーダイヤルの電話番号をダイヤルし、タッチトーンを発することで、それらの企業が使用しているの回線にアクセスできるように設計されていた。；ところが、女性の場合は料金無料のフリーダイヤルで、しかも自宅の電話番号を押す必要もない。</t>
        </is>
      </c>
      <c r="J7472">
        <f>HYPERLINK("https://www.weblio.jp/content/フリーダイヤル", "词义详情")</f>
        <v/>
      </c>
      <c r="K7472">
        <f>HYPERLINK("https://yourei.jp/フリーダイヤル", "查看例句")</f>
        <v/>
      </c>
    </row>
    <row r="7473">
      <c r="A7473" t="inlineStr">
        <is>
          <t>振り替え</t>
        </is>
      </c>
      <c r="B7473" t="inlineStr">
        <is>
          <t>成功</t>
        </is>
      </c>
      <c r="C7473" t="inlineStr">
        <is>
          <t>読み方：ふりかえ
１一時的に他のものと代用すること。流用すること。「—がきく」
２簿記で、ある勘定の金額を他の勘定に移すこと。
３「郵便振替」の略。</t>
        </is>
      </c>
      <c r="D7473" t="inlineStr">
        <is>
          <t>振り替えられる(7%)；振り替え放送(5%)</t>
        </is>
      </c>
      <c r="F7473" t="inlineStr">
        <is>
          <t>後日振り替え</t>
        </is>
      </c>
      <c r="G7473" t="inlineStr">
        <is>
          <t>振り替え休日；振り替え輸送；振り替えよ；振り替えれ</t>
        </is>
      </c>
      <c r="H7473" t="n">
        <v>29</v>
      </c>
      <c r="I7473" t="inlineStr">
        <is>
          <t>特急列車は事故や故障が発生する場合に振り替え運転を行うこともある。；このため、一部のコーナーが休止や前後の日への振り替えとなっている。；そのため当該枠の中継は基本的に関東主場のレース中継に振り替えられた。；「マダムは僕を待っているのだろうね」と彼は振りかえりながらいった。；二人の娘は、広場を振りかえって見ながら渋々母のあとからついて来た。；そのため総合テレビでの全国ネットの番組は週末に振り替え放送される。；しかし振りかえってこういったときのハドリーの表情はいまも忘れない。；テレビドラマを見ていた母が振りかえって、どこへ行くのかとたずねた。；あのひとが振りかえりでもするといけないと思ったからなのよ。；また、あなたが立ち去る側だったら、同じように振りかえらないことだ。；しかし次の瞬間には振りかえって背中を見せると、何事もなく立ち去る。；犬を家にあげると、その気配に気づいて彼女は振りかえり小さな悲鳴をあげた。；さらに車体の振り替えもあったようであるが、その詳細はよくわかっていない。；俺は首を窮屈にまげて、しばらくの間うしろの窓から振りかえっていた。；自分の過去現在の行為を振りかえって見ると、一歩もその外に出てはいない。；「もう絶対にやらせないと約束して下さいな」彼女は振りかえっていった。；「でも私はそう考えるわ」 私は泳ぎながらうしろを振りかえってみた。；うしろを振りかえって時間を無駄にするようなことはしなかった。；バオバブのわが家のほうなど、ただの一度も振りかえろうともしないで。；しばらくしてからまた振りかえってみると、もうその姿は消えさっていた。；中京の1開催分の振り替えは京都競馬場での開催を拡張して対応する。；その後6月2日に振り替えられた代替試合においてイベントを実施した。；いくつかの航空会社はその間のコーチ行の便を当港へ行き先を振り替えた。；二年一組と表示された教室の前で先生は私を振りかえって聞いた。；ぼくたちはみな、振りかえって、あちこちギャツビーの姿を眼で探した。；フラニーはそれにも、また彼にも気づいて、大仰に手を振りかえしてきた。；牛を挽く人々は振りかえってわれわれの通るのを見ようとさえしない。；街を歩いても誰も振りかえらなくなり、当然のように追っ手もいなくなった。；私の背後に少年が立っており、彼も振りかえって後ろを見ている。</t>
        </is>
      </c>
      <c r="J7473">
        <f>HYPERLINK("https://www.weblio.jp/content/振り替え", "词义详情")</f>
        <v/>
      </c>
      <c r="K7473">
        <f>HYPERLINK("https://yourei.jp/振り替え", "查看例句")</f>
        <v/>
      </c>
    </row>
    <row r="7474">
      <c r="A7474" t="inlineStr">
        <is>
          <t>振り返る</t>
        </is>
      </c>
      <c r="B7474" t="inlineStr">
        <is>
          <t>成功</t>
        </is>
      </c>
      <c r="C7474" t="inlineStr">
        <is>
          <t>読み方：ふりかえる
［動ラ五（四）］
１後方へ顔を向ける。振り向く。「背後の物音に—・る」
２過ぎ去った事柄を思い出す。回顧する。かえりみる。「この一年を—・る」</t>
        </is>
      </c>
      <c r="D7474" t="inlineStr">
        <is>
          <t>振り返る総集編；振り返る間もなく</t>
        </is>
      </c>
      <c r="E7474" t="inlineStr">
        <is>
          <t>見る；思い出す；確認する；回想；向く</t>
        </is>
      </c>
      <c r="F7474" t="inlineStr">
        <is>
          <t>ゆっくりと振り返る；ふと振り返る；くるりと振り返る；思わず振り返る；慌てて振り返る</t>
        </is>
      </c>
      <c r="H7474" t="n">
        <v>29</v>
      </c>
      <c r="I7474" t="inlineStr">
        <is>
          <t>複数の人々が自分たちの人生を振り返ってどう思うかを話し合っていた。；振り返ろうとすると、闇の中に女の姿がこちらに動いて来るのが見えた。；あの人は驚いてそれを振り返ると、それつきり私は何んにも知りません。；男は少女の残された部屋を振り返りもせずに、狭い廊下を歩いていった。；背後から近づいてくる者が誰なのかは、振り返らずとも気配でわかった。；わたしがあなたを連れて去った時、あなたは一度も振り返らなかったわ。；ハーディの挙げた例の幾つかは振り返ってみると不運のように思われる。；振り返つて見ると男はもう机の前に帰つて居て静かに読書を続けて居た。；束縛はあったが兵士より自由だったのではないかと当時を振り返っている。；この番組は、さまざまなその週にあったスポーツを振り返る番組である。；番組では山口が本ツアーを振り返るインタビューも合わせて放送された。；この時マカブは英語が分からずにKOされてしまったと振り返っている。；母は、子供時代の彼が決して頭が良いとは思えなかったと振り返った。；最近は過去に自らが起こした数々の出来事について振り返ることもある。；男は気配を感じて振り返ろうとしたが、黒焔はその余裕を与えなかった。；そのためにまず24段の内容を簡単に振り返ると、次のような話である。；ハリーが振り返るとダドリーはもはや両親の背後に隠れてはいなかった。；後にデ・ハヴィランドはこの舞台のことを次のように振り返っている。；森の自殺を受けて各メンバーは後に以下のように振り返っている。；その上、私が入って来たことに気づいていたくせして振り返りもしないし。；小牧はこのイベントを「今考えても無理のある企画」と振り返っている。；しかし振り返れば間違いなく、少し離れて、兄がついて来ているはずだ。；姉から妹への手紙の朗読の場面では感動して本当に泣いたと振り返っている。；自分は安心していたので最後の議席争いに負けてしまったと振り返っている。；過去30年間を振り返ると、まるで映画を見ているような気分になった。；十歩ばかりして振り返ると、四五人の人影が蓬莱亭の入口に立っていた。；私の背後には私が振り返る勇気が出なかったほどの恐ろしい沈黙が支配した。；五社監督も三島の起用により田中新兵衛役が光ったこと振り返っている。；せっせと何か摘んでは口に運んでいるその子供たちは振り返りもしない。</t>
        </is>
      </c>
      <c r="J7474">
        <f>HYPERLINK("https://www.weblio.jp/content/振り返る", "词义详情")</f>
        <v/>
      </c>
      <c r="K7474">
        <f>HYPERLINK("https://yourei.jp/振り返る", "查看例句")</f>
        <v/>
      </c>
    </row>
    <row r="7475">
      <c r="A7475" t="inlineStr">
        <is>
          <t>振り仮名</t>
        </is>
      </c>
      <c r="B7475" t="inlineStr">
        <is>
          <t>成功</t>
        </is>
      </c>
      <c r="C7475" t="inlineStr">
        <is>
          <t>読み方：ふりがな
漢字のかたわらに付けて、その読み方を示す仮名。ルビ。付け仮名。</t>
        </is>
      </c>
      <c r="D7475" t="inlineStr">
        <is>
          <t>振り仮名がつい</t>
        </is>
      </c>
      <c r="H7475" t="n">
        <v>29</v>
      </c>
      <c r="I7475" t="inlineStr">
        <is>
          <t>他の主要紙と比べて読みの難しい漢字には振り仮名が付けられることが多い。；なお、その際に表示される画面の地名には唯一振り仮名がふってある。；歴史的にも上述の通り、それぞれの振り仮名が使われ、混用されていた。；振り仮名のついた妙な単語が目につくが、こういう小説なのだろう。；単なる振り仮名はそれまでの俳句にも見られ、現在も使われる技法である。；で、Gは一生懸命に振り仮名をした恰好な書物を入れてやったりしました。；日本の仮名と同じく、漢字につける振り仮名のように用いることができる。；振り仮名をたよりに読ませて見ても、少し読むと全く読み飽いてしまふ。；小学校高学年程度でも読めるように、振り仮名が多く付けられている。；古事記の成立当初には存在しなかった振り仮名が書き込まれた上で、出版された。；中継時、画面右上に中継地と放送局名が常に表示され、中継地には必ず振り仮名を振っていた。；漢字の字数も読みも制限されていれば振り仮名は不要という考えからである。；初期は振り仮名はついていなかったが、現在はカタカナで振り仮名がついている。；キャラクター名は強調し、振り仮名または英字表記を後に続ける。；第4駆逐隊側は、艦名に振り仮名を添付して「嵐」と書くよう通達した。；本人ですら間違えて「こうじ」と振り仮名を付けることもあるのだという。；読みにくい言葉、読み誤りやすい言葉には、適宜振り仮名を付しました。；だから「ちん」と振り仮名を付けてくれと、わざわざ注文したのだ。；公式サイト上の案内にも小さな子供でも読みやすいように振り仮名を振る配慮がされている。；返り点や振り仮名、声点なども加筆されていて、国語学上の重要な資料とされる。；国語答案の漢字には振り仮名を入れた専用のものになっている。；とりわけ専用機は罫線や振り仮名などで各社独自の工夫でデータ処理していた。；更に中国語や英語の単語をそのまま日本語の文の中に入れたり漢語に英語の振り仮名を付けたりして日英と日中が複雑に入り混じる。；また一部のROMでは振り仮名が無かったり、生没年の表記に誤りのある武将が一部いる。；文章中、独特の固有名詞漢字の後の括弧の言葉は振り仮名である。；また、小学校低学年の読者にも配慮し漢字には全て振り仮名が振られている。；ある雑誌が少年層を読者に想定しているかどうかは、漢字の振り仮名が教育漢字にまで付けられているかどうかが判断の目安となる。；当初は日本語を苦手としていたため、台本にはローマ字で振り仮名を書き込んでいた。；すべての記事が日本語と英語で併記され、漢字には振り仮名も振られているため語学の勉強にも活用されている。</t>
        </is>
      </c>
      <c r="J7475">
        <f>HYPERLINK("https://www.weblio.jp/content/振り仮名", "词义详情")</f>
        <v/>
      </c>
      <c r="K7475">
        <f>HYPERLINK("https://yourei.jp/振り仮名", "查看例句")</f>
        <v/>
      </c>
    </row>
    <row r="7476">
      <c r="A7476" t="inlineStr">
        <is>
          <t>振り込み</t>
        </is>
      </c>
      <c r="B7476" t="inlineStr">
        <is>
          <t>成功</t>
        </is>
      </c>
      <c r="C7476" t="inlineStr">
        <is>
          <t>読み方：ふりこみ
１口座などに金銭を払い込むこと。
２マージャンで、他人の上がり牌(パイ)を捨てること。放銃。
３突然押し掛けること。
「そんなやすい手は、—の未至客(はんかきゃく)のする事で」〈洒・白狐通〉</t>
        </is>
      </c>
      <c r="D7476" t="inlineStr">
        <is>
          <t>振り込み手数料(2%)；振り込み用紙(2%)；振り込み先</t>
        </is>
      </c>
      <c r="H7476" t="n">
        <v>29</v>
      </c>
      <c r="I7476" t="inlineStr">
        <is>
          <t>匿名での振り込みは、アメリカにいる夏美の実の父親伊部真からだった。；入学して以来、君宛に匿名の振り込みが続いていたと教師は言った。；これは振り込みの出来ないタイプの機械だったのだ。；弟の知らぬ間に、兄が印税の振り込み口座を変更していたのだ。；成瀬は振り込みを終え、スタンプの押された用紙を手帳の間に挟んだ。；電話と水道、ガスに電気、なんだかわからないものの振り込み二種。；海の方から白濁の振り込みが、ごうごうと音をたてて入り込んでくる。；そういうことなら支払いを振り込み方式にすればいいと考えるかもしれないけど、そうはしていなかった。；銀行で振り込みをして家に帰ってきた。；給料振り込み先のメモ一枚残して、仕事も途中で放り出して、である。；原稿料の振り込みが遅れて、美知子のパートに助けられたことも一度や二度じゃない。；それと同時に、太田が私に押し付けたいくつかのローン用の金を振り込みに行く日々。；銀行の口座から、そのぶんだけ振り込みがなされたのだ。；それを上流に振り込み、川の流れとおなじ速さで下流に移動させろと教わってきた。；「五万ドルを御指定の銀行のあなたの口座に振り込みましょう」 その耳ざわりな声はいった。；なぜ振り込みができるのか、なぜインターネットができるのか、その仕組みはわからない。；代わりに別の通帳で振り込みを受けることにする。；窓口で硬貨の預け入れや振り込みを行う場合も、枚数に応じて有料となる。；戦闘で敵を倒すごとに主人公の父親が主人公の銀行口座にお金を振り込み、必要の際はそこからお金を引き出して使用する。；それよりも、自分の考えで、思った所に餌を振り込み、思ったように合わせ、思ったようにあげる。；だって家賃は振り込みだし、管理のこととかは不動産屋さんと管理会社が間に入ってやってるから。；確かに、預金ではなく他国への振り込み送金の窓口に並んでいた。；代金は海外のネット銀行経由、取引現場で直接振り込みを行う、そういうことで話が決まった。；出版社からの振り込み通知と、差出人の名前のない茶封筒が残った。；同じ日付で九件の振り込みを受けているぺージもあった。；自動振り込みの機械の前にも行列ができた。；毎月の仕送りはすべてオカンからの振り込みで、オトンから来ることはない。；厄介な仕事が多いくせに向こうが提示する金額は相場の三分の一、それも三ヶ月先の振り込みだ。；ついでに翌日分を覗くと、計四人から五十万〜百八十万円の範囲内で振り込みがなされている。</t>
        </is>
      </c>
      <c r="J7476">
        <f>HYPERLINK("https://www.weblio.jp/content/振り込み", "词义详情")</f>
        <v/>
      </c>
      <c r="K7476">
        <f>HYPERLINK("https://yourei.jp/振り込み", "查看例句")</f>
        <v/>
      </c>
    </row>
    <row r="7477">
      <c r="A7477" t="inlineStr">
        <is>
          <t>振り込む</t>
        </is>
      </c>
      <c r="B7477" t="inlineStr">
        <is>
          <t>成功</t>
        </is>
      </c>
      <c r="C7477" t="inlineStr">
        <is>
          <t>読み方：ふりこむ
［動マ五（四）］
１振替口座や預金口座などに金銭を払い込む。「授業料を—・む」
２振って中へ入れる。勢いよく押し込む。
「万灯を—・んで見りゃあ唯も帰れない」〈一葉・たけくらべ〉
３マージャンで、他人の上がり牌(パイ)を捨てる。「満貫を—・む」
４無理に入り込む。押しかける。
「六法で—・む裸体(はだかみ)あり」〈滑・浮世風呂・前〉</t>
        </is>
      </c>
      <c r="H7477" t="n">
        <v>29</v>
      </c>
      <c r="I7477" t="inlineStr">
        <is>
          <t>子供の養育費はきちんと振り込まれているが、夫は子供に会いには来ない。；新たに十万円振り込むと、間もなく彼から三度目の電話がかかってきた。；僕は彼女の口座に時計代を振り込むためにもう一度銀行へ向かった。；その上、実際に金が銀行に振り込まれるのは、七月になってからでね。；患者は医師のいうままに、ドクターの口座に二千五百万円を振り込んだ。；なお、戎橋は以前にも原稿料が振り込まれないことがあったと述べている。；中国銀行から彼の口座に十万ドルが振り込まれているのがわかった。；念のために旅行社へ電話してみたが、予想通り金は振り込まれていなかった。；それからその女の家に電話をかけさせられ、口座番号を聞いて三万を振り込んだ。；無刀で、対手の振り込んで来る白刃をふせぐことを考えるのである。；また、逆に商品を送ったのに代金が指定口座に振り込まれない場合も含まれる。；おまえの口座には中国銀行から十万ドル振り込まれた記録がある。；そして金額を伝えたところで「振り込まれてないですね」と説明することもある。；該当するステータスにポイントが最高値まで振り込まれていた場合は何も効果が無い。；買った不動産会社は、それを指定された遠藤さんの口座に振り込んだ。；今でも月平均二千万ドルの現金が、スイス銀行宛に振り込まれているはずだ。；ただしこれらの印税は太田プロサイドの判断で本人には振り込まれていない。；あなたは、彼等を、金で買収し、一人に、一千万円ずつ、振り込んだんですよ。；一度も振り込んでないのに、3位4位というのは割りとある話ですよぅ!；いや、覚えているからこそ、毎年、僕の口座へ振り込んでくれていたんでしたね。；私が自分の口座に数十万振り込んだといっては 「これ何かな」 と期待しているくらいだもの。；問題を起こされないようにと父が振り込む生活費と小遣いで、もう何年も暮らしている。；それは誰かが振り込んだしるしだということぐらいはわかるのだ。；もう自分の子供の顔も分からないし、病院は完全看護なので誰も行かなくてもいいといえばいいのだが、やはり金だけ振り込んで放っておくわけにもいかない。；サイトを立ち上げてまもなく初めての寄付が振り込まれた。；そのフランス国籍の男は金を振り込んだ翌日に自殺した。；学費が振り込まれているのだから、息子が高校生をしていることくらいは知っているのだろう。；ある日電話がかかってきて、漫才師の学校入るから授業料振り込んでくれて言うてきた。；春海の口座に振り込むと約束されていた家賃も振り込まれていない。</t>
        </is>
      </c>
      <c r="J7477">
        <f>HYPERLINK("https://www.weblio.jp/content/振り込む", "词义详情")</f>
        <v/>
      </c>
      <c r="K7477">
        <f>HYPERLINK("https://yourei.jp/振り込む", "查看例句")</f>
        <v/>
      </c>
    </row>
    <row r="7478">
      <c r="A7478" t="inlineStr">
        <is>
          <t>振り出し</t>
        </is>
      </c>
      <c r="B7478" t="inlineStr">
        <is>
          <t>成功</t>
        </is>
      </c>
      <c r="C7478" t="inlineStr">
        <is>
          <t>読み方：ふりだし
１物を振って出すこと。また、振って小さい穴から出すように作った容器。
２双六(すごろく)で賽(さい)を振りはじめる出発点。
３物事の始め。出発点。「小さな店を—に大経営者になった」
４手形・小切手などを発行すること。
５茶道で、小型の菓子器。また、香煎を入れる器。
６「振り出し薬(ぐすり)」の略。</t>
        </is>
      </c>
      <c r="D7478" t="inlineStr">
        <is>
          <t>振り出し口</t>
        </is>
      </c>
      <c r="E7478" t="inlineStr">
        <is>
          <t>最初；始め；発行；源；始まり</t>
        </is>
      </c>
      <c r="H7478" t="n">
        <v>29</v>
      </c>
      <c r="I7478" t="inlineStr">
        <is>
          <t>短い沈黙があり、その間に彼女は箱から煙草をテーブルの上に振り出した。；捜査は振り出しに戻るなか、事件の検証をしていた湯川から電話が入る。；きみがシャンプウ・ド・ゲント氏に振り出した手形が落ちていないんだ。；だがもしそれが真実なら、われわれの元の計画は振り出しに戻ることになる。；芸能プロダクションのマネージャーを振り出しにこの世界に入ってきた。；蜆の身は別に振り出しておき、飯が吹いて水が引く瞬間に入れて蒸らす。；警察の捜査はふり出しに戻り、身元確認の作業からはじめねばならなかった。；このため彼はコーニーリァスなる人物に多額の小切手を振り出しました。；私は死者に説得されて再び振り出しにたち戻ってきた。；外にはもう雨がふり出していたが、お葉は傘を持ってゆけとも云わなかった。；ここでもないなら、すべてはまた振り出しに戻ったことになる。；また、娘アニーも、日本での取材が振り出しとなって記者活動を始めている。；結論を先に見て、またふり出しにもどって見るほどつまらないものはなかった。；せっかく四等工まで昇っていたのを振り出しの見習工に落されたのです。；彼に六十万の手形を振り出したところが、不渡りで戻って来ました。；ここに立つとすべてが振り出しに戻り、なにかが戻ってくる。；そうなれば徹底抗戦派が息を吹き返し、終戦への道筋は振り出しに戻る。；又ふり出したのかと耳をかたむけると、雨の音はだんだんに強くなるらしい。；なんにせよ、おすみの行方に関しては、ふり出しに戻った感じであった。；私はまたふり出しにもどって、はじめからやりなおさなくてはなりませんでした。；髪は長髪に伸ばし、軍帽の脇から髪が振り出している肖像が公開されている。；警察はすべての捜査をやり直すと表明、事件は振り出しに戻った。；今はただ、ゆるやかに円を描いて幼児の振り出しに戻った感覚があるだけである。；話はまた振り出しに戻ってしまったのだろうか。；振り出しは、山内家に奉公する前はどこにいたのかということになるだろう。；内容的には過去10年以上に渡って議論されてきた案の再提示であり、事実上議論は振り出しに戻った。；大金も手に入れられず夢の実現もまた振り出しに戻ってしまったことにメンバー達は落胆する。；同店を振り出しに東北6県のほか北関東まで店舗網を広げ53店を構えた。；ぼくはつい最近、モリアーティの振り出した小切手を少し洗ってみたのだ。</t>
        </is>
      </c>
      <c r="J7478">
        <f>HYPERLINK("https://www.weblio.jp/content/振り出し", "词义详情")</f>
        <v/>
      </c>
      <c r="K7478">
        <f>HYPERLINK("https://yourei.jp/振り出し", "查看例句")</f>
        <v/>
      </c>
    </row>
    <row r="7479">
      <c r="A7479" t="inlineStr">
        <is>
          <t>降り出す</t>
        </is>
      </c>
      <c r="B7479" t="inlineStr">
        <is>
          <t>成功</t>
        </is>
      </c>
      <c r="C7479" t="inlineStr">
        <is>
          <t>読み方：ふりだす
［動サ五（四）］雨や雪などが降り始める。「どんよりとした空から、とうとう雨が—・した」</t>
        </is>
      </c>
      <c r="H7479" t="n">
        <v>29</v>
      </c>
      <c r="I7479" t="inlineStr">
        <is>
          <t>低い雲に覆われた雨が降り出しそうな空を飛びながら、鴉は思いました。；つきますと直ぐに雨が降り出して、風がひどいので外には出られません。；降り出した雹は町一面に降り注ぎ、立っていた僕たちの頭や手を打った。；予報を知っていたのに、降り出す前に帰れなかったのは間の抜けた話だ。；ときどき磯の匂いがひときわ強くなったりすると雨が降り出したりして。；つまり猿渡さんは、雨が降り出す前に本館に戻っていたことになります。；やや遠い路を来るうちに雪も少し降り出して艶な気のする黄昏時であった。；日も落ちたし雪も降り出しそうな空になって来た心細い夕べであった。；いまにも雨が降り出しそうでいて、その実ただ一滴の雫も落ちてこない。；雪が降り出したせいか、お濠端の道にはほとんど人影が見えなかった。；こうして書物の検討をしている間に、夕方から雨が降り出しました。；あの夜ふけから降り出した雨は、昨日の昼すぎまで降りつづいたのである。；間もなく空が雲に覆われて雨が降り出し、田畑は潤って人々は救われた。；本格的に雨が降り出すまでにホテルに帰ったほうがよさそうだった。；小雨が降り出した中を、私は重い荷物を背負った思いで偏奇館へ戻った。；風は強くなっていましたが、雨はまだ降り出していませんでした。；外は曇っており、雨は降り出していないが空気がじっとりと湿っている。；一里二里と登って漸く人家も断えた頃から思いがけない雪が降り出した。；翌日は朝から怪しい雲行きだったが、昼を過ぎた頃に小雨が降り出した。；その夜は月も星もなく、いまにも降り出しそうに重く雲が垂れこめていた。；店から出て見ると午後に一度上がった雨が、また降り出していた。；終了10分前に再び雨が強く降り出し、そのままセッションは終了した。；眠った時には降っていなかった雨が、夜半になって降り出したものらしい。；むしろ、折から降り出した雨に濡れることの方が、彼には気になった。；やんでゐた雨が、又その頃から降り出したのだから、日水はツイてゐる。；雨は完全に上がったのではなく、いつまた降り出すかわからない。；女の散歩に出た翌朝から雨が降り出して、いつもより早く秋が来た。；直後に雲が降りてきて老人の姿が消え、間もなく雲に覆われた空から雨が降り出した。；雨が強く降り出すと流れの音と雨の音を聞きわけるのがむずかしかった。</t>
        </is>
      </c>
      <c r="J7479">
        <f>HYPERLINK("https://www.weblio.jp/content/降り出す", "词义详情")</f>
        <v/>
      </c>
      <c r="K7479">
        <f>HYPERLINK("https://yourei.jp/降り出す", "查看例句")</f>
        <v/>
      </c>
    </row>
    <row r="7480">
      <c r="A7480" t="inlineStr">
        <is>
          <t>振り向く</t>
        </is>
      </c>
      <c r="B7480" t="inlineStr">
        <is>
          <t>成功</t>
        </is>
      </c>
      <c r="C7480" t="inlineStr">
        <is>
          <t>読み方：ふりむく
［動カ五（四）］
１顔やからだを後方へ向ける。振り返って見る。「呼ばれて—・く」
２その方へ注意を向ける。関心を寄せる。「安物には—・きもしない」
［動カ下二］「ふりむける」の文語形。</t>
        </is>
      </c>
      <c r="D7480" t="inlineStr">
        <is>
          <t>振り向く間もなく</t>
        </is>
      </c>
      <c r="F7480" t="inlineStr">
        <is>
          <t>ゆっくりと振り向く；くるりと振り向く；ハッと振り向く；ふと振り向く；はっと振り向く</t>
        </is>
      </c>
      <c r="H7480" t="n">
        <v>29</v>
      </c>
      <c r="I7480" t="inlineStr">
        <is>
          <t>後ろから声をかけられたような気がしたが、もちろん振り向かなかった。；リュウジの視線には彼女を振り向かせてしまう力があるのかもしれない。；第二の男は振り向くと、目もくれずに、開き扉から室内へ入っていった。；奇妙なのは、女を犯そうとしている男が一度も振り向かなかったことだ。；彼は硬い表情をして別のことを考えていたので、振り向きもしなかった。；窓の方に人の気色がしたから振り向いたら、弼君が首を出したのだった。；私は彼が振り向いて彼女を見るのを見て、自ら自分にその問ひを訊ねた。；驚いて振り向くと、中東系の顔をした大男が私のすぐ後ろに立っていた。；彼は右手をさし出し、そして、ちょっと私の方を振り向きながら言った。；うしろを振り向くと懐中電灯の光は星のように小さく闇の中に輝いていた。；そして、アラミスが姿を現わしはしないかと、彼は扉の方を振り向いた。；私自身は少しも変つてゐはしないのに世間はもはや振り向かうともしない。；そこまでして振り向かせてみたい幸せな殿方とは一体誰の事でしょう?；若い男は外を見たまま、まったくこちらを振り向くような気配を見せない。；少女が振り向こうとしたおかげで、それが見えるようになったのです。；だから、一瞬いやな顔をして沈黙を守った後、電話機の方に振り向いた。；結局俺は曖昧な態度で階段を上がり、振り向こうとはしないのであった。；わけがわからないままに振り向くと、信じられないものが目に入った。；もしそうなったら、振り向かずにただ前を見て走って逃げるしかない。；とうとう、あっけにとられたような顔をして、ぼくのほうを振り向いた。；心配して声をかけると、振り向いた女の顔には目も鼻も口も付いていない。；首だけ振り向くとそこには、・・・自転車の乗った信雄おじさんがいた。；ドアの音に夫人は振り向き、驚きの色をかくそうともせずに夫を見た。；しかしかれはその手に力を加えて、その子を自分たちの方へと振り向かせた。；その闇に向かって、振り向く軌道すら見せずに青の線は先を望んで進み行く。；愛されてゐない猫のやうに何処に彼女が現れても、振り向く者もなかつた。；私は振り向きたいのを我慢しながら、見たような顔だと思っていた。；いつもの朝より少し早い四時前、玄関の掃除をする手を止めて振り向く。；振り向いて海の中に火柱をあげる潜水艦を見たときのあの方の目だ。</t>
        </is>
      </c>
      <c r="J7480">
        <f>HYPERLINK("https://www.weblio.jp/content/振り向く", "词义详情")</f>
        <v/>
      </c>
      <c r="K7480">
        <f>HYPERLINK("https://yourei.jp/振り向く", "查看例句")</f>
        <v/>
      </c>
    </row>
    <row r="7481">
      <c r="A7481" t="inlineStr">
        <is>
          <t>不良</t>
        </is>
      </c>
      <c r="B7481" t="inlineStr">
        <is>
          <t>成功</t>
        </is>
      </c>
      <c r="C7481" t="inlineStr">
        <is>
          <t>読み方：ふりょう
［名・形動］
１質・状態などがよくないこと。また、そのさま。「—な（の）品」「発育—」「天候—」
２品行・性質がよくないこと。また、その人。「行状(ぎょうじょう)の—な（の）人」「—少年」</t>
        </is>
      </c>
      <c r="D7481" t="inlineStr">
        <is>
          <t>不良グループ(4%)；不良たち(3%)；不良青年；不良仲間；不良学生</t>
        </is>
      </c>
      <c r="E7481" t="inlineStr">
        <is>
          <t>悪い；不足；悪；ひどい；欠け</t>
        </is>
      </c>
      <c r="F7481" t="inlineStr">
        <is>
          <t>素行不良；コンディション不良；整備不良；作動不良；成績不良</t>
        </is>
      </c>
      <c r="G7481" t="inlineStr">
        <is>
          <t>不良債権；不良品；不良馬場；不良少女；不良債権処理</t>
        </is>
      </c>
      <c r="H7481" t="n">
        <v>29</v>
      </c>
      <c r="I7481" t="inlineStr">
        <is>
          <t>これが抵抗となって排水不良の原因となるため日本では禁止されている。；発見時にはすでに進行例となっていることが多く、一般的に不良である。；他の男性と交際していたが、不良仲間とは肉体関係は持っていなかった。；初のメインエピソードとなる第9話では周囲から不良扱いされていた。；その活躍はやがて不良グループに目を付けられてしまうことになる。；ただし、特定の地点で目立った植物の生育不良などは報告されていない。；黄疸例や全身状態が不良な例では一時的な胆嚢ドレナージも考慮される。；極端な排水不良地や痩せ地でない限り、場所を選ぶことはほとんどない。；決して乱暴者や不良ではなく、腕白だが友達思いの優しい少年であった。；一方、ロシアの潜水艦は整備不良と練度不足により戦力外となっていた。；これは用意された戦車の絶対数が不足していたことと、整備不良によっている。；きうち君から見れば、不良の生臭さが足りないと感じていたんじゃないですか。；これらの事故では、マクドネル・ダグラス社の設計不良が非難された。；サラトガから攻撃部隊が送られるが天候不良のため発見できなかった。；黄疸例や全身状態が不良な症例では一時的な胆嚢ドレナージを考慮する。；文士の決闘を書いたと云ふ良人の原稿はまだ新聞に出て居なかつた。；奇形や成長不良のオオヤマガメが、本種の名前で流通したこともあった。；歌での表現でしか不良をできないのかな、と感じたんだよね。；原因は整備不良とされ、元常務ら4人が起訴され有罪判決を受けている。；だからここで不良と称される連中も製作に入れて彼らの敏感さを活かしていく。；不良カードの交換期限は、カードを払い出した日から10日以内となる。；発蕾時期が早いことから春の霜害を受けたり結実不良を起こしやすい。；「不良」まで達した場合、水によって少し砂が浮いてしまう状態となる。；名前を聞いただけで地元の人間が震え上がるほどの超不良高校。；若い頃は、練習を抜け出してパチンコに夢中になる「不良選手」だった。；天候不良のため大部分の者が艦内におり、舷窓からの脱出も難しかった。；通常盤のみの発売で、発売の際に大量の初回ロットの不良が発生した。；また接点が封入されていることから接触不良が発生しにくく長寿命である。；このことが事実であるとすれば、国鉄改革に反対する不良職員が採用されかねない。</t>
        </is>
      </c>
      <c r="J7481">
        <f>HYPERLINK("https://www.weblio.jp/content/不良", "词义详情")</f>
        <v/>
      </c>
      <c r="K7481">
        <f>HYPERLINK("https://yourei.jp/不良", "查看例句")</f>
        <v/>
      </c>
    </row>
    <row r="7482">
      <c r="A7482" t="inlineStr">
        <is>
          <t>浮力</t>
        </is>
      </c>
      <c r="B7482" t="inlineStr">
        <is>
          <t>成功</t>
        </is>
      </c>
      <c r="C7482" t="inlineStr">
        <is>
          <t>読み方：ふりょく
流体中にある物体に、流体が及ぼす上向きの力。物体が押しのけた流体の重さに等しい。無重量状態では浮力は存在しない。</t>
        </is>
      </c>
      <c r="D7482" t="inlineStr">
        <is>
          <t>浮力タンク(3%)；浮力材(3%)；浮力を得るため；浮力確保；浮力調整</t>
        </is>
      </c>
      <c r="F7482" t="inlineStr">
        <is>
          <t>静的浮力；大きな浮力；十分な浮力；船体浮力；必要な浮力</t>
        </is>
      </c>
      <c r="H7482" t="n">
        <v>29</v>
      </c>
      <c r="I7482" t="inlineStr">
        <is>
          <t>これらは捕食のためというより基本的には浮力を得るために使っている。；この空洞の部分にはガスと液体が入っており、浮力をそこから得ている。；浮力を失った漂流物のように、やがて再び暗い縁に沈み込んでいく意識。；この高度より上では、浮力がなくなるため空気塊自身の力では上昇しない。；砂中でより高い浮力を得るため、底部は表面積が広く設計されている。；その際に短距離であれば浮力などを利用し水面を走り抜けることもある。；浮力を感じはじめたころ、湯煙の向こうでシャワーを使う音が聞こえた。；彼は再び、水に浮き、リュックサックの浮力を利用して手で水をかいた。；そうしないと呼吸のために保持している空気の浮力で浮いてしまうためである。；ただ水の中を歩くような、身体にまとわりつく圧力と浮力を感じるだけだ。；下部遊歩甲板の角窓は水密丸窓とし、この部分を完全な予備浮力とした。；ようやくデュガーンも、出航するだけの浮力がついたと判断したらしい。；その他に前部艦底には浮力確保のため空のドラム缶400個を収納した。；ガス胞はガスが自由に透過することができ、浮力の制御に利用されている。；または船が浮力以外の何かで浮かんでいるような未来ならば。；本当の水よりは幾分か浮力が上のため、水泳の練習に用いることができる。；この浮力は、円環の一部が液面より下に存在していることに由来する。；これにより、空気塊は自身の持つ浮力のみで勝手に上昇し続けるようになる。；彼は重心を彼女よりも下にして、自分の浮力と水を蹴る力にかけた。；雲には浮力があるのか、窓の外に出るとふわふわ上空に昇っていきました。；なお、ワニは消化の促進以外にも浮力の調整の役割でも胃石を利用する。；また、殻が浮力を持つため、通常は頭を下にした姿勢を取ると考えられていた。；軟骨魚類では鰾の代わりに肝臓に脂質を蓄積することで浮力を得ている。；このことが浮力に乏しい軟骨魚の中ではより効率的な移動を可能にしている。；浮力を維持できないのか、高度を落としていき、ベシャリと不時着する。；気球とは、空気より軽い気体を風船に詰め込む事で浮力を得る物のこと。；スクーバダイバーの受ける浮力は、次の理由等により潜水中一定でない。；搭載物を含めた船体重心の位置が浮力の中心より低いことで復原性が生じる。；風が吹くたびに、気球の中の空気から熱が奪われ、浮力が失われていくのだ。</t>
        </is>
      </c>
      <c r="J7482">
        <f>HYPERLINK("https://www.weblio.jp/content/浮力", "词义详情")</f>
        <v/>
      </c>
      <c r="K7482">
        <f>HYPERLINK("https://yourei.jp/浮力", "查看例句")</f>
        <v/>
      </c>
    </row>
    <row r="7483">
      <c r="A7483" t="inlineStr">
        <is>
          <t>武力</t>
        </is>
      </c>
      <c r="B7483" t="inlineStr">
        <is>
          <t>成功</t>
        </is>
      </c>
      <c r="C7483" t="inlineStr">
        <is>
          <t>読み方：ぶりょく
軍隊の力。兵力。「—を行使する」「—革命」</t>
        </is>
      </c>
      <c r="D7483" t="inlineStr">
        <is>
          <t>武力倒幕；武力的；武力討幕；武力制圧；武力侵攻</t>
        </is>
      </c>
      <c r="E7483" t="inlineStr">
        <is>
          <t>戦力；威力；戦闘能力；破壊力；軍事力</t>
        </is>
      </c>
      <c r="F7483" t="inlineStr">
        <is>
          <t>武力統一；武力進出；圧倒的な武力；武力集団；武力行使</t>
        </is>
      </c>
      <c r="G7483" t="inlineStr">
        <is>
          <t>武力行使；武力紛争；武力闘争；武力攻撃；武力鎮圧</t>
        </is>
      </c>
      <c r="H7483" t="n">
        <v>29</v>
      </c>
      <c r="I7483" t="inlineStr">
        <is>
          <t>武力でなく解決の方向を見つけていくためには、九条は必要だと思うね。；これは週のうち一定の日は領主同士武力で争う事を禁じたものであった。；しかもこの朝廷勢力は他の勢力と違って武力で取り潰すことは不可能である。；日本の天叢雲剣は三種の神器の中では天皇の持つ武力の象徴とされている。；そのため、実際の解決には武力などによる自力救済を図る場合もあった。；風は息ほどに静かになって、花から花へ香を運ぶ力もなくなった。；保元の乱で摂関家は武力組織を解体され、その勢力を大幅に後退させた。；これを拒んだ場合は再度武力による討伐もあり得ることも付言していた。；また公安委員会は街頭の襲撃から身を守るほどの武力も持たなかった。；しかし、ソ連は制限主権論を主張して、これらの動きを武力で鎮圧した。；しかしその弊害で、明も放っておけないほど武力抗争が激しくなっていた。；同盟を結ばなくても、武力占領することはすべての基地に対して可能である。；それだけでなく「武力統一」によらずとも「同盟統一」が可能になった。；あのような石を運ぶ力が世に存在するなど、信じられぬ思いだった。；中国史上でも項羽と共に、特に武力に優れた人物とされることが多い。；海上でも陸上と同じように武力をもって世業とする集団が登場するようになった。；今なら議会を武力で解散させることができると思われた。；自衛権は緊急に不正な攻撃を受けた場合に武力を運用する権利である。；江戸時代前期には、直訴や逃散など武力を用いない一揆が主に行われた。；それもみんな、どれだけじぶんたちにとぶ力があるか、それを見るためなのです。；女性返還に応じなければ武力による攻撃も辞さないとさらに圧力をかけた。；続く文章でも君主の無道を武力で諫めることの正統性を主張していた。；最初の谷々が喜んで武力を合わせていたようだったが、シカンを征服した。；竹島は連合国軍以外の勢力が武力で日本の主権を侵害した唯一の島である。；兵力及び軍事力は高く、その圧倒的な武力をもって世界を支配しようとする。；ビルマで軍事を学んだナレースワンは独立を目指してタイの武力強化を進めた。；つまり、武力を背景として武家政権を興したものが天下人とされてきた。；いつでも機会があれば支配権を買い上げ、必要とあれば武力で防衛も行った。；完全な武力討伐となった第二次長州征伐では京都の守備を担当する。</t>
        </is>
      </c>
      <c r="J7483">
        <f>HYPERLINK("https://www.weblio.jp/content/武力", "词义详情")</f>
        <v/>
      </c>
      <c r="K7483">
        <f>HYPERLINK("https://yourei.jp/武力", "查看例句")</f>
        <v/>
      </c>
    </row>
    <row r="7484">
      <c r="A7484" t="inlineStr">
        <is>
          <t>降る</t>
        </is>
      </c>
      <c r="B7484" t="inlineStr">
        <is>
          <t>成功</t>
        </is>
      </c>
      <c r="C7484" t="inlineStr">
        <is>
          <t>読み方：おる
［動ラ上二］「おりる」の文語形。</t>
        </is>
      </c>
      <c r="D7484" t="inlineStr">
        <is>
          <t>降る寒い；降るような星空；降るべき；降るごとく；降る暗い</t>
        </is>
      </c>
      <c r="E7484" t="inlineStr">
        <is>
          <t>降伏；落ちる；観念；打つ；墜落</t>
        </is>
      </c>
      <c r="F7484" t="inlineStr">
        <is>
          <t>よく降る；雪降る；しとしとと降る；激しく降る；天降る</t>
        </is>
      </c>
      <c r="H7484" t="n">
        <v>29</v>
      </c>
      <c r="I7484" t="inlineStr">
        <is>
          <t>製造を再開するかどうかは2012年降以に改めて判断するとしていた。；これらの島々にはどのように人が島に降り立ったかを説明する伝説がある。；駅自体が周辺よりも低い場所にあるため、ホームは階段を降りた所にある。；一方の米長は勝っても負けても名人挑戦や降級には関係ない一番だった。；そしてその家へ引越した冬のある雪の降る朝、私に初めての弟が生れた。；降つて來るものは雹なのであつた、それもかなりに大きなものであつた。；絶望して、雨は翌日にならなくては降らない、と考える人たちもあった。；それからまた南の方向に降ること一里半ばかりでまた平地に着きました。；水路といっても雨の降らない日は水はほとんど流れていないのである。；降海型は残留型よりもはるかに体が大きく、雄は産卵の際に有利である。；雨漏りを放っておくと屋根に穴が開き、寝室には雨が降ってきたという。；ホームの別所方の端から坂が降りており、駅から外部へはこれを使う。；ホームの猪谷方の端から階段を降りたところに駅舎が置かれていた。；我々のいた所は、山の上の方だったから、雨が降らないと水がなかった。；駅舎から各ホームへは階段のみで昇り降りが可能な地下道で連絡している。；降りた瞬間、計時係がストップウォッチを押して正確な時間を測定した。；霊力に弱い者は降鬼になってしまうが逆に強い者はその影響を受けない。；しかし雪のよく降る日ならここから上が最も危険なところであろう。；しかし、私が來てから甞て一度もさう言ふ大雨は降つたことがありません。；夏に雪が降ることは極めて稀であるが、5月に吹雪が起こることはある。；ベスは自分の祈りのせいで彼に災いが降りかかったのだと自分を責める。；川を渡つたりしてそろそろのぼりになりかけると、細い雨が降つて来た。；坂は非常に厳しいですからヤクなんかに乗って降ることはとても出来ない。；雨が降らないので、この地方の人は全く雨に対する観念を持っていない。；秋には雨がやや増えるが夕立など特定の時刻に集中的に降ることが多い。；首を出して見ると斜に糸の如く降る雨を突いて一輛の馬車が馳せて来る。；春は2月頃に始まり植物が芽吹くが5月頃まで雪が突然降ることもある。；雨が降ろうと槍が降ろうと、軸のところではそうしているだけである。；まだ処分場の許可は降りておらず、産廃の持ち込みは開始されていない。</t>
        </is>
      </c>
      <c r="J7484">
        <f>HYPERLINK("https://www.weblio.jp/content/降る", "词义详情")</f>
        <v/>
      </c>
      <c r="K7484">
        <f>HYPERLINK("https://yourei.jp/降る", "查看例句")</f>
        <v/>
      </c>
    </row>
    <row r="7485">
      <c r="A7485" t="inlineStr">
        <is>
          <t>振る</t>
        </is>
      </c>
      <c r="B7485" t="inlineStr">
        <is>
          <t>成功</t>
        </is>
      </c>
      <c r="C7485" t="inlineStr">
        <is>
          <t>読み方：ふる
［動ラ五（四）］
１からだの一部を、また物の一方の端をもって上下・左右・前後に何度も繰り返すようにして動かす。「ハンカチを—・る」「腕を—・って歩く」「犬がしっぽを—・る」
２手を動かして握ったものを下方に投げる。また、勢いをつけて振りまく。「さいころを—・る」「塩を—・る」
３割り当てる。仕事や役割を与える。「大役を—・られる」
４文字のわきに記号・読みがななどをつける。「ルビを—・る」
５相手の求めを退ける。はねつけて相手にしない。「女に—・られる」
６得た地位・立場などをあっさり捨てる。また、しようとする意志を捨てる。むだにする。「重役の地位を—・る」「一生を棒に—・る」
７動かして方向を少しずらせる。進む向きをある方向に変える。「舵を右に—・る」
８勢いよく担ぎ動かす。「みこしを—・る」
９本題に入るきっかけとして話す。話を導き出そうとする。「落語家がまくらを—・る」「司会者が話題を—・る」
10為替・手形などを発行する。「為替を—・る」
11神体を移す。
「三笠山に—・り奉りて、春日明神と名づけ奉りて」〈大鏡・道長上〉
12入れかえる。置きかえる。
「行く春は行く歳にも—・るべしといへり」〈去来抄・先師評〉
[可能]ふれる
[下接句]命を棒に振る・尾を振る・大手(おおで)を振る・顔を振る・頭(かしら)を縦に振る・頭(かしら)を横に振る・頭(かぶり)を振る・首を縦に振る・首を横に振る・采配(さいはい)を振る・先棒を振る・尻尾(しっぽ)を振る・身代を棒に振る・無い袖(そで)は振られぬ・棒に振る・脇目(わきめ)も振らず</t>
        </is>
      </c>
      <c r="D7485" t="inlineStr">
        <is>
          <t>振るまう；振るまお；振る強；振るまわ</t>
        </is>
      </c>
      <c r="E7485" t="inlineStr">
        <is>
          <t>拒否；任命；選ぶ；振動；拒絶</t>
        </is>
      </c>
      <c r="F7485" t="inlineStr">
        <is>
          <t>打ち振る；大きく振る；軽く振る；強く振る</t>
        </is>
      </c>
      <c r="G7485" t="inlineStr">
        <is>
          <t>振るわ；振るう；振る舞う；振るい；振る舞わ</t>
        </is>
      </c>
      <c r="H7485" t="n">
        <v>29</v>
      </c>
      <c r="I7485" t="inlineStr">
        <is>
          <t>あわれにも第三回の発射には黒い指示器が左右に振られたのであります。；出会った人々の中には暴力を振う者もいれば、比較的平和的な者もいた。；残りのレースを全てキャンセルすることとなり、シーズンを棒に振った。；なお、サイコロは一度に何個も振ってもよいが、一個ずつ振っても良い。；この怪我のため、開幕したばかりのシーズンを完全に棒に振ってしまった。；この他に制振システムも備えられており、災害に強い構造となっている。；それでも首を縦に振らないようであればより効果的な手段に出ればいい。；そして剣を振って草を斬ったり壁をおおっている草を払うことができる。；多くはサイコロを振ったり、戦闘の計算を簡便にする機能を備えている。；だから、自分だって振られることがあるのは当り前だと思えばいいのよ。；私は尾を振る犬のように走って行くと、その職人体の男にすがってみた。；この距離からでも、キカハは激しく腕が振られるのを見ることができた。；歌うときのスタイルは左手を上下に振る独特な方法で音程をとっている。；選択せずにダイスを振った場合は留まる選択をしたものとして扱われる。；翌は飛躍が期待されたが手首の故障でシーズンの大半を棒に振ってしまう。；その二階は見たところ三尺も動くかと思われるほどに横に振れている。；で、急いで薬の処方を云って、子供を早く連れて行ってくれと手を振る。；手を横に振るモーションを取ると視界を90度移動させることができる。；指定周回数または指定時間通過後、レースを終了するときに振られる旗。；船の姿が見えなくなるまで、いつまでも、いつまでも手を振っていた。；彼は、苦しそうであったが、頭をたてに振らないわけにはいかなかった。；その女学校の門を通過ぎた処に、以前は草鞋でも振ら下げて売ったろう。；そうするとさ、いつまでも振り返って、こっちに手を振ってる奴とかさ。；サイコロを振るかわりにカードを使用し、カードごとの効果を発揮する。；私の疑問に満ちた一瞥に気づくと、笑いながらかぶりを振るのであった。；当駅は三河線の他の駅とは異なり、東側からホーム番号が振ってある。；実際、楽曲の最初からの小節数が数小節ごとに振られているものも多い。；この時、ダイスを振らずに、任意の項目を選択することを選んでもよい。；主人公は刀を武器に使用するが、普通に刀を振るだけでは敵を倒せない。</t>
        </is>
      </c>
      <c r="J7485">
        <f>HYPERLINK("https://www.weblio.jp/content/振る", "词义详情")</f>
        <v/>
      </c>
      <c r="K7485">
        <f>HYPERLINK("https://yourei.jp/振る", "查看例句")</f>
        <v/>
      </c>
    </row>
    <row r="7486">
      <c r="A7486" t="inlineStr">
        <is>
          <t>古～</t>
        </is>
      </c>
      <c r="B7486" t="inlineStr">
        <is>
          <t>成功</t>
        </is>
      </c>
      <c r="C7486" t="inlineStr">
        <is>
          <t>読み方：いにしえ
《「往(い)にし方(へ)」の意》
１過ぎ去った古い時代。過ぎ去った月日。昔。過去。「—の都の姿をとどめる」
２亡くなった人。故人。
「—の御許しもなかりし事を」〈源・宿木〉</t>
        </is>
      </c>
      <c r="H7486" t="n">
        <v>0</v>
      </c>
      <c r="J7486">
        <f>HYPERLINK("https://www.weblio.jp/content/古～", "词义详情")</f>
        <v/>
      </c>
      <c r="K7486">
        <f>HYPERLINK("https://yourei.jp/古～", "查看例句")</f>
        <v/>
      </c>
    </row>
    <row r="7487">
      <c r="A7487" t="inlineStr">
        <is>
          <t>古い</t>
        </is>
      </c>
      <c r="B7487" t="inlineStr">
        <is>
          <t>成功</t>
        </is>
      </c>
      <c r="C7487" t="inlineStr">
        <is>
          <t>読み方：ふるい
［形］［文］ふる・し［ク］
１その状態になってから長い年月が経過している。
㋐そうなってから久しい。ずっと以前から現在にまで続いている。「—・い制度」「—・いレコード」「—・くからの顔ぶれ」⇔新しい。
㋑昔の出来事である。「—・い話を持ち出す」⇔新しい。
２時代遅れである。古風である。また、珍しくない。「感覚が—・い」「その手はもう—・い」⇔新しい。
３食べ物などが、新鮮でない。「—・いりんご」⇔新しい。
[派生]ふるさ［名］</t>
        </is>
      </c>
      <c r="D7487" t="inlineStr">
        <is>
          <t>古いもの(5%)；古い時代(3%)；古い建物；古い歴史；古い家</t>
        </is>
      </c>
      <c r="E7487" t="inlineStr">
        <is>
          <t>古風；原始的；古びた；古風な；保守的な</t>
        </is>
      </c>
      <c r="F7487" t="inlineStr">
        <is>
          <t>より古い；もっとも古い；一番古い；かなり古い；非常に古い</t>
        </is>
      </c>
      <c r="G7487" t="inlineStr">
        <is>
          <t>古いアルバム；古いヨーロッパ；古い同盟；古い地球；古い自民党</t>
        </is>
      </c>
      <c r="H7487" t="n">
        <v>29</v>
      </c>
      <c r="I7487" t="inlineStr">
        <is>
          <t>子どもに人気のある物語の中には非常に古い時代に書かれたものもある。；現地で地名が変化したのに、周辺言語が古い地名を保存することもある。；現存していた頃の姿は解体前に撮影された古写真で見ることができる。；古い文書の記述を信用するのであれば、日本の馬は江戸期に小型化した。；一般に新しいシリーズが発売されると古いシリーズは販売停止となる。；映画の範囲のために、新しいセットや古いセットの変形が多く作られた。；その形古き絵に比べ見て同じようなればいずれも昔のままのものであろう。；デザインが年数回更新され、古いデザインのカードは新たに入手できない。；世界が若かった頃そこに古き神々が住んでいたと聞いたことがあります。；ただしもっとも古例である上記の丸〆猫はそもそも小判は持っていない。；多くの巨人は古い時代の神の信仰が残ったものともいわれている。；古い時代の刑法では結果的責任及び団体的責任の観念が支配的であった。；その生成の由来から、古い地殻にのみ存在する鉱床であるとされている。；そもそも直接打撃制ルール自体は寸止めルールよりもはるかに歴史は古い。；アイヌの人々もカボチャを栽培しており、北海道での栽培の歴史は古い。；実際に後述の事情から競争力が低下した古い客船の貨客船落ちもあった。；車両は標準的な車両が用いられており、比較的古いものではないことが多い。；安全な飲み水を確保することは、古の時代から重要な課題であった。；足の長さを使用した長さの基準で最も古いものは、シュメールに見られる。；古骨から以前は北部や西部にも分布していたと考えられている。；しかるに十字の上にも中にも横の棒を引く事古きよりの習ひと見えたり。；現在まで営業し続けている日本の遊園地の中では最も古い歴史を持つ。；インド・ヨーロッパ語族の言語のうちもっとも古い文献の残る言語である。；また、市内には1984年開業のインドで最も古い地下鉄であるがある。；生命ほど古きものが他になく、そしてまた生命ほど新しいものが他にない。；スタジオ古留美時代は椛島義夫とのコンビで上記の作品を多く担当した。；フランクフルト市で最も古い建物であるユスティヌス教会はここにある。；きわめて古い星座であることが分かっているもののうちの1つである。；最も古い建物は1607年、最も新しい建物は1903年に建造された。</t>
        </is>
      </c>
      <c r="J7487">
        <f>HYPERLINK("https://www.weblio.jp/content/古い", "词义详情")</f>
        <v/>
      </c>
      <c r="K7487">
        <f>HYPERLINK("https://yourei.jp/古い", "查看例句")</f>
        <v/>
      </c>
    </row>
    <row r="7488">
      <c r="A7488" t="inlineStr">
        <is>
          <t>振う</t>
        </is>
      </c>
      <c r="B7488" t="inlineStr">
        <is>
          <t>成功</t>
        </is>
      </c>
      <c r="H7488" t="n">
        <v>29</v>
      </c>
      <c r="I7488" t="inlineStr">
        <is>
          <t>出会った人々の中には暴力を振う者もいれば、比較的平和的な者もいた。；よもやこれほどの玉の輿を振ろうとは思ってもいなかったからである。；いや、と首を振ろうとした瞬間に、もう口の中に彼のものが溢れ出していた。；でもそれだけのことで、私は自分の生涯を棒に振ろうとは思ってはいませんでした。；今あたしのほうからその話題を振ろうと思ってたところだぜ。；そして、天邪鬼のために、これからの数十年を棒に振ろうとしている。；卓也は手を振ろうとしたが、向こうからは見えないことに気づいた。；したがって「いき」は無上の権威を恣にし、至大の魅力を振うのである。；大統領の仕事は権力を振うことではなく、権力から人々の注意を引き離すことにある。；親に悪口雑言の限りを浴びせ、生命の危険を覚えさせるほどの暴力を振う。；首を振ろうとしたが思ったように体が動かない。；猿の如く橋桁を走るとたちまち敵陣に近づき、白柄の大長刀を打ち振う。；小人は針を振ろうとしたが、ドワーフの怪力に締め上げられて動けない。；「ところで、で」上擦った声で、何がしかの話題を振ろうとする伏見。；娘の感情と願望に対しては、歳月も力を振うことなくして流れ去りました。；同社理事・総務部長となり、また朝鮮浅野セメントの経営に辣腕を振う。；無い袖は振れないというが、無い袖を振ろうとしたことにそもそもの問題があった。；私はもう一度、頭を振ろうとし、必死になってそれを試みた。；すべての様子が皆若者達が暴威を振うに適した状態にあった。；そしてしっぽをむなしく振ろうと努力してわずかに目にとまるくらい動いた。；これが一国の教育にも風紀にも偉大なる力を振うのである。；ソ連は振ろうと思えば振る袖を持っていたのである。；全体沼倉は入学してからまだ十日にもならないのにいつの間にこれほどの勢力を振うようになったのだろう。；しかしそれ以外のイヴォンヌとの食事はすべて里見八郎が料理の腕を振うのであった。；手を振ろうとすると下手をこじる、ぐいぐいと寄り身になって緊めあげる。；この時つくつく君は悲鳴を揚げて、薄い透明な羽根を縦横無尽に振う。；でも、あなたは決して波留先輩のラケットを部活で振ろうとしなかったわね。；艱難は同情を生じ、同情は恩愛を生ず、先生前に斃れて弟子後に振う。；太刀は広いところで振り、脇差は狭いところで振う事、まず道の本意である。</t>
        </is>
      </c>
      <c r="J7488">
        <f>HYPERLINK("https://www.weblio.jp/content/振う", "词义详情")</f>
        <v/>
      </c>
      <c r="K7488">
        <f>HYPERLINK("https://yourei.jp/振う", "查看例句")</f>
        <v/>
      </c>
    </row>
    <row r="7489">
      <c r="A7489" t="inlineStr">
        <is>
          <t>震える</t>
        </is>
      </c>
      <c r="B7489" t="inlineStr">
        <is>
          <t>成功</t>
        </is>
      </c>
      <c r="C7489" t="inlineStr">
        <is>
          <t>読み方：ふるえる
［動ア下一］［文］ふる・ふ［ハ下二］
１細かく揺れ動く。震動する。「地震で窓ガラスが—・える」
２寒さや激しい感情のために、からだが小刻みに動く。「恐ろしさに膝が—・える」「雨にずぶぬれになって—・える」</t>
        </is>
      </c>
      <c r="D7489" t="inlineStr">
        <is>
          <t>震えるような感動；震える声で呟い；震える声で答え；震える細い；震えるような感覚</t>
        </is>
      </c>
      <c r="E7489" t="inlineStr">
        <is>
          <t>動揺；揺れる；戦慄；震動；身震い</t>
        </is>
      </c>
      <c r="F7489" t="inlineStr">
        <is>
          <t>ぶるぶる震える；うち震える；ぶるぶると震える；細かく震える；小さく震える</t>
        </is>
      </c>
      <c r="G7489" t="inlineStr">
        <is>
          <t>震える牛</t>
        </is>
      </c>
      <c r="H7489" t="n">
        <v>29</v>
      </c>
      <c r="I7489" t="inlineStr">
        <is>
          <t>一瞬眼から火が出たような気がして、思わず震える手をあげてさすった。；そしてひとりひとりの目があなたが震える姿を眺めているように見える。；露の玉が花の上に震えるように、彼女の魂はその唇の上に震えていた。；月の光が暗くなって村全体が早くも真紅の震える光に包まれてしまった。；スピーカーから聞こえてきたのは緊張をはらんだ自分の震える声だった。；震える手で花を受け取ったおばさんの目にたちまち涙が浮かびあがった。；そして震える手を上げ、やはり震えている指で、汗に濡れた顔を拭った。；その打ち震える尻尾の中には、強力な神経接続部位発生機が入っていた。；露の玉が花の上に震えるように、彼女の魂はその脣の上に震えていた。；その震えるあなたを、すべてのひとがながめているように思われるだろう。；馬はもう震えるのをやめていたが、その肌は汗に濡れて光っている。；この知らせを聞いて、ダルタニャンは骨の髄まで震えるような気がした。；震える手で次々と調べて行くうち一人だけ微かに息のある者がいた。；誰にでもある気の抜けた時間、それを思って背筋が震えることすらあった。；もしコニーがいなかったら、今頃どうなっていたか考えるだけで震える。；そのとき見上げたメアリの顔は輝いており、震える唇には愛があった。；そう思った瞬間、聖二は身体が震えるほどの怒りに襲われたのである。；Oは恐怖に震えるBに対応させ「携帯電話に出られない」と答えさせた。；付き添いの女は二人のやり取りを見て、祈祷所の隅で震えるだけだった。；それを語るとき彼の声は震え、それを書こうとするとき彼の手は震えるのだ。；知りたくなくても、細かく震える槍先や強張った全身が教えてくれる。；猫山は孤独に震えるが、機械となった体は涙を流すこともできなかった。；ベッドにいる彼へコーヒーを運び手が震えるようであれば口まで運んであげた。；震える右手で署名する時に左手で抑えておかなければならなかった。；その奥の方にオコシップは小刻みに震えるもうひとつの白い塊を見た。；女は震える唇からかすれた声を上げ、瞳を精一杯見開いて見つめていた。；法子は自分の鼓動の音を聞きながら、恐怖と不安で足が震えるのを感じた。；子供ながらに震えるような興奮があったのを覚えていますね。；ベッドの上にとび起きてがたがた震えるかれに内なる声が呼びかけた。</t>
        </is>
      </c>
      <c r="J7489">
        <f>HYPERLINK("https://www.weblio.jp/content/震える", "词义详情")</f>
        <v/>
      </c>
      <c r="K7489">
        <f>HYPERLINK("https://yourei.jp/震える", "查看例句")</f>
        <v/>
      </c>
    </row>
    <row r="7490">
      <c r="A7490" t="inlineStr">
        <is>
          <t>故郷/故里</t>
        </is>
      </c>
      <c r="B7490" t="inlineStr">
        <is>
          <t>无结果</t>
        </is>
      </c>
      <c r="H7490" t="n">
        <v>0</v>
      </c>
      <c r="J7490">
        <f>HYPERLINK("https://www.weblio.jp/content/故郷/故里", "词义详情")</f>
        <v/>
      </c>
      <c r="K7490">
        <f>HYPERLINK("https://yourei.jp/故郷/故里", "查看例句")</f>
        <v/>
      </c>
    </row>
    <row r="7491">
      <c r="A7491" t="inlineStr">
        <is>
          <t>古本屋</t>
        </is>
      </c>
      <c r="B7491" t="inlineStr">
        <is>
          <t>成功</t>
        </is>
      </c>
      <c r="C7491" t="inlineStr">
        <is>
          <t>読み方：ふるほんや
古本を売買する店。また、その人。古書店。古書籍商。</t>
        </is>
      </c>
      <c r="D7491" t="inlineStr">
        <is>
          <t>古本屋さん；古本屋歩き；古本屋あさり；古本屋巡り</t>
        </is>
      </c>
      <c r="F7491" t="inlineStr">
        <is>
          <t>或古本屋</t>
        </is>
      </c>
      <c r="H7491" t="n">
        <v>29</v>
      </c>
      <c r="I7491" t="inlineStr">
        <is>
          <t>これから、彼女がいつも通っている古本屋に案内してもらう約束だった。；私はまず向いの古着屋さんと隣の古本屋さんとに仲間入りの挨拶をした。；だから読み終えた本は特別なものを別にして、古本屋に持っていった。；二人で遠くの古本屋に行き、埃のかぶった本を荷台に載せて帰ったとき。；ところがとも角も、この古本屋の店々だけには本が一応並べられていた。；そういう古本屋は多くの場合一階が新刊、古本は地下に置いてあります。；しかし少年は学校に行かずに、古本屋の清どんのところに行き金を借りた。；多くの本を集められたのは、こういう古本屋で安く買っていたからだ。；古本屋で売るにしても、店の中のもっといい場所に置いてもらいたい。；小学生にして酒を覚えたこと、古本屋で万引きした経験も告白している。；女 中 ええ、さっき古本屋が来まして、こんなに本をもってゆきました。；ある冷たい雨の降る秋の夕方、私は郊外のK駅のそばの古本屋に寄った。；そのとき、彼は古本屋の棚の前に立って、両手で大きな画集を開いていた。；古本屋に道を教わって、伊藤が住んでいたというアパートを訪ねてみた。；古本屋で見つけた方の名所集が、少し今の心を慰めるだけのものであつた。；俺が栞子さんの古本屋ツアーに出かけているのを知っているのだ。；神田の古本屋のどこかの棚に、それが置かれていないともかぎらない。；ほぼ毎日する古本屋巡りが、映画館に通うのと並んで彼の唯一の楽しみだ。；川岸では古本屋の老人が版画や書物を箱に入れて帰り仕度をしている。；ラーメンは一年半ぶりの古本屋でなくとも、このうまさは感涙ものだぜ。；かれは古本屋をまわってやっとその年の新聞の縮刷版を手に入れることができた。；その右隣りには古本屋があったはずだが、この写真には看板がない。；通りすがりの古本屋の一冊百円均一コーナーを覗いたときのことである。；この百科は昔はよく古本屋で見かけたものだが今はほとんど姿を消したようである。；その意味ではロンドンの古本屋の書庫のような機能もあるのです。；売れない古本屋の主人の顔つきにもどって、彫像のように動かなかった。；古本屋は、口の中のものを漫画のようにゴックンと飲みこんでから言った。；内藤は駅に向かったが、私は線路の反対側にある古本屋へ行く用事があった。；私は人並に本が好きだが、この頃は古本屋へ出掛けることが殆ど稀になった。</t>
        </is>
      </c>
      <c r="J7491">
        <f>HYPERLINK("https://www.weblio.jp/content/古本屋", "词义详情")</f>
        <v/>
      </c>
      <c r="K7491">
        <f>HYPERLINK("https://yourei.jp/古本屋", "查看例句")</f>
        <v/>
      </c>
    </row>
    <row r="7492">
      <c r="A7492" t="inlineStr">
        <is>
          <t>振る舞う</t>
        </is>
      </c>
      <c r="B7492" t="inlineStr">
        <is>
          <t>成功</t>
        </is>
      </c>
      <c r="C7492" t="inlineStr">
        <is>
          <t>読み方：ふるまう
［動ワ五（ハ四）］
１動作・行動をする。「なれなれしく—・う」「紳士らしく—・う」
２人にごちそうする。もてなす。「酒を—・う」
３ことさらにつくろう。わざわざ趣向をこらす。
「—・ひて興あるよりも、興なくて安らかなるが勝りたることなり」〈徒然・二三一〉
[可能]ふるまえる</t>
        </is>
      </c>
      <c r="D7492" t="inlineStr">
        <is>
          <t>振る舞うべき(3%)；振る舞うしかない</t>
        </is>
      </c>
      <c r="E7492" t="inlineStr">
        <is>
          <t>行動；御馳走；接待；接客；饗応</t>
        </is>
      </c>
      <c r="F7492" t="inlineStr">
        <is>
          <t>どう振る舞う；らしく振る舞う；よく振る舞う；立ち振る舞う；うまく振る舞う</t>
        </is>
      </c>
      <c r="H7492" t="n">
        <v>29</v>
      </c>
      <c r="I7492" t="inlineStr">
        <is>
          <t>あんな女に自由に振る舞わせているあなたに、誰がついていくと思って。；何もなかったかのように、振る舞ってくれていたのだろうか、努力して。；彼の周囲の人間は、彼がそこに存在しないかのように振る舞っていた。；自分では自然に振る舞っていたつもりだったが、やはり緊張しているのだ。；実際に私は今でも旅の途中に多人数に料理を振る舞うことがあるんです。；世界はその嘘を信じ込み、それが正しいものであるかのように振る舞う。；気にかけまいと自然に振る舞っても、彼女の動きが目についてしまう。；同じ制服を着ているのだから、表面だけでも仲良く振る舞えばいいのに。；自分がどんなふうに振る舞えば、あなたを自殺させられるか知っていたの。；だが全ての場面で一生懸命に振る舞おうとしていたのは伝わってきた。；責任のない立場になったので、リーフはますます自由に振る舞っている。；あの男はどんなふうに振る舞えばいいのか教えてくれたのだからね。；むしろ無理してでも普通《ふ つう》に振る舞おうとしていたんですよ。；そういう感情を持っていれば、人間は自然とそう振る舞うからである。；じゃあ連中にはきちんと紳士的に振る舞うよう、念を押しておくから。；自分の調子が悪くても暗くならずにチームのことを第一に考えて振る舞っていた。；だれだって、あのように振る舞うよりほかに仕方なかったんですもの。；人の命を平然と奪おうとした男を目の前に、冷静に振る舞うのは難しい。；今やかれらも艦長がかれらにどのように振る舞って欲しいのかわかったのだ。；以前は伊勢えび祭の際に無料で振る舞われていたが、現在は有料である。；これは光が媒質内をどの方向に動いても同じように振る舞うことを意味する。；ですが、何でも思いのままに振る舞っていいというわけではありません。；教師も、生徒たちも、自分の姿が見えないかのように振る舞っている。；べつにそう振る舞うことを強制されてて無理をしてるわけじゃないんだし。；だがなぜか父は何も言わず、永野の存在など忘れたように振る舞った。；この人は自分をなにも変えずに、ただ自由に振る舞うことを望んだ。；そうなればあの人は叛逆した平民として振る舞うにちがいありませんわ。；明るく振る舞っていても、一人で抱え込むのは限界だったのかもしれない。；沢村に対し常に明るく振る舞う和也だが実は重い過去を持っていて・・。</t>
        </is>
      </c>
      <c r="J7492">
        <f>HYPERLINK("https://www.weblio.jp/content/振る舞う", "词义详情")</f>
        <v/>
      </c>
      <c r="K7492">
        <f>HYPERLINK("https://yourei.jp/振る舞う", "查看例句")</f>
        <v/>
      </c>
    </row>
    <row r="7493">
      <c r="A7493" t="inlineStr">
        <is>
          <t>古めかしい</t>
        </is>
      </c>
      <c r="B7493" t="inlineStr">
        <is>
          <t>成功</t>
        </is>
      </c>
      <c r="C7493" t="inlineStr">
        <is>
          <t>読み方：ふるめかしい
［形］［文］ふるめか・し［シク］
１いかにも古く感じられる。古風である。「—・い建物」
２老人くさい。
「いと—・しき咳(しはぶき)うちして」〈源・朝顔〉
[派生]ふるめかしさ［名］</t>
        </is>
      </c>
      <c r="D7493" t="inlineStr">
        <is>
          <t>古めかしい言葉；古めかしい建物；古めかしい家；古めかしい感じ；古めかしい椅子</t>
        </is>
      </c>
      <c r="E7493" t="inlineStr">
        <is>
          <t>古い；古風な；昔ながらの；大時代；古きよき</t>
        </is>
      </c>
      <c r="F7493" t="inlineStr">
        <is>
          <t>そんな古めかしい；こんな古めかしい；ついた古めかしい；いささか古めかしい；古めかしい部屋</t>
        </is>
      </c>
      <c r="H7493" t="n">
        <v>29</v>
      </c>
      <c r="I7493" t="inlineStr">
        <is>
          <t>彼女は古めかしい肱かけ椅子に腰をおろしてテーブルに顔をのせていた。；しかしこれは昔の話で、そんな古めかしい店は次第に減って来ただろう。；日本語の本は一冊もなく、ほとんどがドイツ語の古めかしい原書である。；これら二つの社会的義務は古めかしい体面のために果していたのである。；最初に現はれた一軒は、張りだした円室を持つた古めかしい洋館だつた。；局には、こんな古めかしい伝統があるんだわ、と彼女は静かに思った。；そのため新理論の提唱者はしばしば古めかしい概念を引きずっている。；ふと右手の壁に、額に入った古めかしい絵が掛かっているのに気がついた。；七条停車場も勿論今の場所ではなく、もつと小さい古めかしい建物だつた。；ふとふたりが一軒の古めかしい家のポーチの下にはいりこむのを目にした。；ちょっと古めかしいレタリングの看板は七〇年代で時間を止めている。；なぜなら、それによつて、私の感情の古めかしさを教へられたからである。；古いビードロ絵にはそれは西洋風のいい味を持つ古めかしい縁がついています。；訓練の次の段階が、また別の古めかしい珍妙な乗物でおこなわれたのだ。；古めかしい名前だが、彼女の場合は決してそんな風に感じられない。；紙の中央には、なんだかとても古めかしい文字で文章が書いてある。；プールバーなどとは決して呼ばせない、頑固なまでの古めかしさがある。；ガードレールは急カーブのところに、古めかしいのが立っているだけだ。；この時代のものとしても古めかしく感じられる衣服を身につけていた。；それより彼女は、部屋の隅に置いてある古めかしい長持ちの方に眼をやった。；わたしたちはもう古めかしい邸全体が見えるところに来ていた。；その閉鎖的な事情が、この住民の生活の古めかしさにつながっているのだろうか。；「仕事のことですが」 彼は古めかしい木の椅子に腰をおろしながら言った。；ヨットハーバから急な坂道を上ったところに、古めかしい建物があった。；まあ、あなたはなんて古めかしいお考えをもっていらっしゃるんでしょう!；古めかしい石器に見えたが、途中に大きな穴が二つ三つあいていた。；その古めかしい響きだけで、3人には十分遊びの材料になってしまうのだった。；古めかしい名前だけど菊の花が好きなので、そう呼ばれると嬉しいの。；それは党派の信用を失わせて嫌疑を起こさせる古めかしい手段なんだ。</t>
        </is>
      </c>
      <c r="J7493">
        <f>HYPERLINK("https://www.weblio.jp/content/古めかしい", "词义详情")</f>
        <v/>
      </c>
      <c r="K7493">
        <f>HYPERLINK("https://yourei.jp/古めかしい", "查看例句")</f>
        <v/>
      </c>
    </row>
    <row r="7494">
      <c r="A7494" t="inlineStr">
        <is>
          <t>震わせる</t>
        </is>
      </c>
      <c r="B7494" t="inlineStr">
        <is>
          <t>成功</t>
        </is>
      </c>
      <c r="C7494" t="inlineStr">
        <is>
          <t>読み方：ふるわせる
［動サ下一］［文］ふるは・す［サ下二］小刻みに揺り動かす。震動を与える。ふるわす。「怒りに声を—・せる」「爆音が窓を—・せる」</t>
        </is>
      </c>
      <c r="D7494" t="inlineStr">
        <is>
          <t>揺れる；震える；戦慄；震動；身震い</t>
        </is>
      </c>
      <c r="H7494" t="n">
        <v>29</v>
      </c>
      <c r="I7494" t="inlineStr">
        <is>
          <t>その声はひとたび天井に行ってから再び戻ってきて人々の胸を震わせる。；そのほか、手を震わせる動きをしながら自分でその手を止める癖も持つ。；皿に食器が当たる音さえ、部屋の空気を震わせるように大きく聞こえた。；別に威嚇しているのでもなく、何かを訴えているように唇を震わせるのだ。；近づく夜の闇を前にして、わたしは誰よりも先に蒼ざめ、身を震わせる。；腹の奥にまで響くような空気を震わせる低い声が部屋の中に木霊する。；俺の胸の中で肩を震わせる朝比奈さんに、俺はやっとの思いでこう告げた。；風と波の音が、このあまり上等でない建物を震わせる中で、時間が流れた。；これだけ離れていてもかすかに響き、司令センターのガラスを震わせる。；その顔が不意ににたりと歪み、咳き込むのに似た音が喉の奥を震わせる。；鳴き声は、喉をゴロゴロ震わせるような、二音から構成される声である。；屋敷の内部全体が、心の底辺にある不安の糸に触れて細かく震わせるのだ。；体を震わせることで大電流を発生させ、周囲の物体を完全に破壊する。；セイバーは一瞬前まで自分を襲っていた剣の雨を思い出し、体を震わせる。；大昔のモールス信号に似た音が、鼓膜を通じて古い記憶の層を震わせる。；日が暮れ、遠くに狼の鳴き声を聞いて身を震わせるのも久しぶりのこと。；「この前のが下見なんでしょうか」 お母さんは、微かに身を震わせる。；みんなが怯えて足を震わせる中、なぜか一弥だけが平気で橋を渡っていた。；腹の底を震わせるような音が狭い部屋の中に響き渡る。；瞬きする間もなく剣と剣が衝突、衝撃音が店中をびりびりと震わせる。；まばたきする間もなく剣と剣が衝突、衝撃音が店中をびりびりと震わせる。；地を震わせるような重い音に続いて、水晶の細い枝が、パラパラと落ちた。；最後には教室中を震わせるような激しい響きになった。；驚くこともなかったし、怒りに身を震わせることもなかった。；若者はぴくっと肩を震わせると、きょろきょろと自分の周囲を見回した。；きつく結んでいた唇を、なにか決心したようにかすかに震わせる。；彼は体内に取り込んだ人間の首を震わせることによって会話ができる。；それらの音が渾然一体となり、低く高くうなりとなって体を震わせる。；鼓膜を震わせる音の響きではなく、しかし、まぎれもない声であった。</t>
        </is>
      </c>
      <c r="J7494">
        <f>HYPERLINK("https://www.weblio.jp/content/震わせる", "词义详情")</f>
        <v/>
      </c>
      <c r="K7494">
        <f>HYPERLINK("https://yourei.jp/震わせる", "查看例句")</f>
        <v/>
      </c>
    </row>
    <row r="7495">
      <c r="A7495" t="inlineStr">
        <is>
          <t>触れ合い</t>
        </is>
      </c>
      <c r="B7495" t="inlineStr">
        <is>
          <t>成功</t>
        </is>
      </c>
      <c r="C7495" t="inlineStr">
        <is>
          <t>読み方：ふれあい
触れ合うこと。また、心を通わせ合うこと。「心と心の—の場」</t>
        </is>
      </c>
      <c r="D7495" t="inlineStr">
        <is>
          <t>触れ合いたい；触れ合い会話</t>
        </is>
      </c>
      <c r="H7495" t="n">
        <v>29</v>
      </c>
      <c r="I7495" t="inlineStr">
        <is>
          <t>二人に触れ合いがなかったのは、たまたまその日だけではなかったのか。；紙の上に、或る同じ大きさでお互ひに触れ合ふ円をいくつか書いて見る。；人間と人間の触れ合いは複雑な機構をもつ機械のように微妙なものがある。；町のような広い空間までも、日本に来ると「触れ合いの町」になります。；二人はこの寂しいうちにお互いの触れ合い結び合う生命を感じ合った。；だが、ジムたちとの触れ合いの中で姉と共に生きる事を望むようになる。；機体を接触させて、無線を使わずにする『お肌の触れ合い会話』である。；勿論少し真剣に触れ合つてくると、本当にさう思ひつめることもあつた。；それでもかまわず彼は、唇が触れ合いそうな距離でリディアを見つめた。；どうかすると階段を下りる拍子に、二人の肩と肩とが触合ふこともある。；ときどきふたりの手が触れ合い、ロビントンはそのたびにそれを意識した。；その時々の人間との触れ合いには、ひどく心に残るものがあった。；表面的な話は通じたが、心の触れ合いはまったく得られなかった。；恋愛は心と体の触れ合いに始まり、コミュニケーションの完成へと向かう。；自然の多い村で動物と触れ合い、絵を描いたり人形や屋敷を紙で作るなどして遊んだ。；私たちは、それまでよりも、自然なからだの触れ合いを求めるようになった。；他の形ではすべての周囲が触れ合つてしかも少しも隙間を残さないやうにする事は出来ないのだ。；本島から島へ来る留学生たちとの触れ合いの中で、徹の記憶は蘇るのか。；肌を触れ合い、結ばれる行為をしたから、そう答えたのだといわんばかりである。；肩を寄せ合うようにして歩いていた二人の指先が触れ合い、からまり合った。；病院では互いに確かに感じ合ったあの触れ合いは、ただあの世界の枠の中だけのものなのか。；彼等との触れ合いの中で、主人公に新たなる気持ちが芽生えていく。；全国各地の猫と人間の触れ合いの物語を、オムニバス形式で撮影している。；最後の人間銃神と天使の触れ合いおよびアリストテレスとの戦いを描く。；僕らは理性を越えて触れ合いたいという、 生物の本能に興奮していた。；それら二つのピラミッドの頂点は、あと少しで触れ合いそうな距離にある。；九州大分の風景の中で、同じ町の若者伊東慎吾との触れ合いがあった。；此の煉瓦は、間に少しも隙間を残さず、どの側面も触れ合つてゐる。；また食器が触れ合い、今度は、さっきとは少し違うペチャペチャいう音。</t>
        </is>
      </c>
      <c r="J7495">
        <f>HYPERLINK("https://www.weblio.jp/content/触れ合い", "词义详情")</f>
        <v/>
      </c>
      <c r="K7495">
        <f>HYPERLINK("https://yourei.jp/触れ合い", "查看例句")</f>
        <v/>
      </c>
    </row>
    <row r="7496">
      <c r="A7496" t="inlineStr">
        <is>
          <t>無礼</t>
        </is>
      </c>
      <c r="B7496" t="inlineStr">
        <is>
          <t>成功</t>
        </is>
      </c>
      <c r="C7496" t="inlineStr">
        <is>
          <t>読み方：なめ
［形動］［文］［ナリ］《形容詞「なめし」の語幹から》無礼であるさま。無作法。
「座客の—なるを厭いてか」〈鴎外・うたかたの記〉</t>
        </is>
      </c>
      <c r="D7496" t="inlineStr">
        <is>
          <t>無礼な態度(4%)；無礼な言葉；無礼きわまる；無礼な男；無礼な行為</t>
        </is>
      </c>
      <c r="E7496" t="inlineStr">
        <is>
          <t>太い；失礼；侮辱；悪口；大柄</t>
        </is>
      </c>
      <c r="F7496" t="inlineStr">
        <is>
          <t>傲慢無礼；こんな無礼；そんな無礼；無礼な仕打ち；無礼極まる</t>
        </is>
      </c>
      <c r="G7496" t="inlineStr">
        <is>
          <t>無礼者；無礼討ち；無礼千万；無礼打ち；無礼討</t>
        </is>
      </c>
      <c r="H7496" t="n">
        <v>29</v>
      </c>
      <c r="I7496" t="inlineStr">
        <is>
          <t>その無礼と無作法とを黙認していることのように見えることであります。；長州兵の中には怒って外人の無礼を懲らそうと主張するものが出て来た。；私は自分の無礼は謝りませんし、あなたの将来についても心配しません。；それを邪魔するとは、どんなに控え目に言っても、無礼と言うほかない。；あのバスの運転手が私にあびせました言葉は、無礼なものでございました。；そのひとらしい自然さがあって、そんなようすも、無礼には見えなかった。；ようやく、自分がいかに無礼なことをしているのか理解したようだ。；けれども無礼にしてもいい連中だと感じるほど、怒っていたのです。；悲しい出来事がわたしに、これまでの彼の無礼をすっかり忘れさせたのだ。；ストリックランドの無礼な言葉にも、腹を立てたことなど一度もなかった。；前夜の無礼を詫びようと、カオルは真と一緒に夫と旅した場所を訪れる。；その発信地についての無礼にならない程度の驚きが、顔に表われていた。；ジュスタンの軽はずみは彼にしてみれば無礼きわまりないものであった。；王貢は最初馬の背上にて脚を横に架け、傲慢で無礼な態度を取っていた。；奇怪であるとは、私が無礼なことでもするとお思いになるのではありませんか。；客のことを忘れるのは無礼になるため、一八もはっきり聞くことができない。；ついうっかり無礼を働いたのかもしれませんが、ぼくには覚えがありません。；ルコックが無礼をわびると、部屋の奥からすずしげな声が聞こえて来た。；三冬は胸を張り、 「ぶれいなやつどもめ」 いささか、得意であった。；その頃訪問した友人には必ず酒を出し、それをこばむことは無礼とされていた。；人の無礼に怒るのは、自分の反映へ怒っているようなものといえよう。；無礼だったので殴り倒しましたが、拳が切れたとは知りませんでした。；彼女を使いに出した人物に対して、驚くべき無礼になるとでもいうようにね。；誰がそのように無礼なことを申したか名乗って出ろ、これへ名乗って出ろ。；そんな無礼な口をきいていい筈はないので、彼は返辞をしなかった。；せめて無礼な若者どもの横ッ面をはるぐらゐの気概があつて欲しいのだ。；一方、フィリピンでは指でテーブルを叩くことは無礼なこととされている。；われわれが無礼な態度を取ったなどと言われないためにも。；「無礼とは思うが、諸君」かれは勢揃いしている貴族に向かって言った。</t>
        </is>
      </c>
      <c r="J7496">
        <f>HYPERLINK("https://www.weblio.jp/content/無礼", "词义详情")</f>
        <v/>
      </c>
      <c r="K7496">
        <f>HYPERLINK("https://yourei.jp/無礼", "查看例句")</f>
        <v/>
      </c>
    </row>
    <row r="7497">
      <c r="A7497" t="inlineStr">
        <is>
          <t>無礼講</t>
        </is>
      </c>
      <c r="B7497" t="inlineStr">
        <is>
          <t>成功</t>
        </is>
      </c>
      <c r="C7497" t="inlineStr">
        <is>
          <t>読み方：ぶれいこう
身分・地位の差や、礼儀作法を無視して行う宴会。「今夜は—でやろう」⇔慇懃講(いんぎんこう)。</t>
        </is>
      </c>
      <c r="H7497" t="n">
        <v>29</v>
      </c>
      <c r="I7497" t="inlineStr">
        <is>
          <t>こちらの仮装舞踏会では馬鹿げた無礼講が盛んに行われているからです。；カシューは、宴の席は無礼講だから、と彼らに緊張するなと声をかけた。；さてある夜のことであったが、その夜も無礼講が行われていた。；無礼講の席で、若い衆が口にしたことを根に持つような奴は、男じゃないよ。；無礼講の概念そのものは、日本では古代からあったと考えられる。；今日が無礼講だって事ぐらい、わたし達だって承知してますから。；ジョニーと先生がたにあと三回乾杯してもらったら無礼講にしていいからさ。；この芝居は、こうした無礼講が許される伝統的な祝祭の雰囲気を残した作品である。；館では無礼講の乱痴気さわぎが、今行われていなければならない。；いくら無礼講の混浴といっても、ここまで見せてもいいのかしらん。；いわゆる無礼講の酒もりが、さッきから始まっているのである。；しかし、この無礼講の宴席が昔から、しばしば事件と結びついていた。；オマエたちにはすぎた贅沢だけど、今夜は無礼講だし遠慮は不要だよ。；しかも最近、若い頃に開いていた無礼講の場たる別春会を、いつしか再開するようになっていた。；沈着と謹慎を売物にしている英国人も今夜は明っ放しの無礼講である。；その夜にアメリカ海兵隊員のなかで無礼講のお祭り騒ぎがあった。；一方、この様な無礼講の祭りによる問題も多数発生している。；しかし、師賢が無礼講や正中の変に加わっていたことを示す実証的証拠はない。；旦那の家の大広間ではあったが、今夜だけは誰はばかるものもない無礼講だった。；今日は一切無礼講じゃ、老職であろうと近習であろうと、そんな事にはお構いなしだ。；おれはわけへだてが大きらいなんだから、無礼講でやろうじゃねえか。；これは一種の無礼講なのだと思った。；村の平和には欠くことの出来ない、年に一度の無礼講。；明日で修学旅行も終わることだし、今夜は無礼講で盛り上がろうぜー!；今日は無礼講やで、お清もお元も、燗番はまた交代でやるようにして一緒に坐ってやったらええ。；そうして楣間に掲げてあるのは『無礼講』と大書した額であった。；列席者の紹介と、仲直りの式とは、すでにすんでいたので、後は無礼講である。；徹夜で一晩中無礼講で遊ぶんだそうだから、召使たちには全部一晩の休暇を与えておくようにと頼んできた。；記録に残る日本の宴会では、無礼講は無い方が珍しい。</t>
        </is>
      </c>
      <c r="J7497">
        <f>HYPERLINK("https://www.weblio.jp/content/無礼講", "词义详情")</f>
        <v/>
      </c>
      <c r="K7497">
        <f>HYPERLINK("https://yourei.jp/無礼講", "查看例句")</f>
        <v/>
      </c>
    </row>
    <row r="7498">
      <c r="A7498" t="inlineStr">
        <is>
          <t>触れる</t>
        </is>
      </c>
      <c r="B7498" t="inlineStr">
        <is>
          <t>成功</t>
        </is>
      </c>
      <c r="C7498" t="inlineStr">
        <is>
          <t>読み方：ふれる
［動ラ下一］［文］ふ・る［ラ下二］
１
㋐ある物が他の物に、瞬間的に、または軽くくっつく。ちょっとさわる。「肩に—・れる」「機雷に—・れる」「外の空気に—・れる」
㋑脈が反応する。脈拍を指先に感じる。「脈が—・れなくなる」
㋒（「耳（目）にふれる」の形で）ちょっと耳にしたり見たりする。「人の目に—・れる」「耳に—・れるうわさの数々」
㋓あることを話題にする。言及する。「食料問題に—・れる」「核心に—・れる」
㋔ある時期や物事に出あう。「折に—・れて訪れる」「事に—・れてからかわれる」
㋕規則・法律などに反する。抵触する。「学則に—・れる」「法に—・れる」
㋖怒りなどの感情を身に受ける。「勘気に—・れる」「怒りに—・れる」
㋗感動・感銘を受ける。「心の琴線に—・れる」「心に—・れる話」
２
㋐物に軽くくっつくようにする。「髪の毛に手を—・れる」「花に手を—・れる」
㋑広く人々に知らせる。「隣近所に—・れて回る」
３食べ物にちょっと手を付ける。
「朝餉(あさがれひ)のけしきばかり—・れさせ給ひて」〈源・桐壺〉
→触(さわ)る［用法］</t>
        </is>
      </c>
      <c r="D7498" t="inlineStr">
        <is>
          <t>触れることなく；触れるべき；触れるものすべて；触れるもの全て</t>
        </is>
      </c>
      <c r="E7498" t="inlineStr">
        <is>
          <t>放送；宣言；接触；伝える；言及</t>
        </is>
      </c>
      <c r="F7498" t="inlineStr">
        <is>
          <t>軽く触れる；指一本触れる；逆鱗に触れる；そっと触れる；じかに触れる</t>
        </is>
      </c>
      <c r="H7498" t="n">
        <v>29</v>
      </c>
      <c r="I7498" t="inlineStr">
        <is>
          <t>解説では趣味や家族関係など選手のプライベートな話題にも多く触れる。；この項目では類似・同様のヒット商品ランキング企画についても触れる。；直接触れることが出来るものであれば、どのような姿にでも擬態が可能。；更にビス一本でもと形容されるほど機械類を触れることなく制御できる。；しかしウディ自身はこの作品に触れることを極端に避けていると言われる。；中央の青い点が敵の反応である白い点に触れることで戦闘に入る。；また、母親の持つ様々なジャンルの音楽レコードにも触れる機会をもつ。；能力の後ろの括弧内は、触れると能力を得られる敵キャラの名前である。；音楽好きの両親の影響で幼い頃から様々なジャンルの歌に触れる。；いくつかの例と、それらに関連する数学や物理学の分野について触れる。；通常、プレイヤーの目に触れる場所には設置されていない事が多い。；一定時間放っておくと自分から歩き出し、触れるだけで爆発するようになる。；家族と別れ容子は、母親の故郷である日本の文化に触れる旅に出発する。；古来から人の目に触れる機会が多い種であるため多くの地方名がある。；様々な訴訟を扱う中、特に当時の農村の悲惨な状態に触れることになる。；法律に触れることがたくさん出てきましたが、本当にやったら捕まります。；この中間言語は、学習者が対象言語に触れることで徐々に発達していく。；ここで彼は黄帝などいにしえの著作に触れる機会を多く得たと伝わる。；しかし、客が哲学の話題に触れると、露骨に嫌な顔をしたと言われる。；また、変身した後でも念じながら触れる事で別の物に変化させる事が可能。；頭部に触れるだけで相手の記憶と精神を破壊する能力を持つ。；それが他の生物などに触れると、収められた針が飛び出し、毒を注入する。；また、帯電している金属部に人体が触れることで感電するケースもある。；飛越が非常にうまく、バーに触れることも飛越拒否もほとんどなかった。；この年の夏に叔母一家が東京から帰省した際に東京の空気に触れる。；皮膚の弱い人は植物体も触れると炎症を発生させる場合があるという。；両親が悪魔のかけらに触れると、2人は爆発とともに消滅してしまった。；全身が濡れており、髪は地面に触れるほど長く垂れているともいう。；前者から後者の意味が派生しているため、本記事では両方に触れることとする。</t>
        </is>
      </c>
      <c r="J7498">
        <f>HYPERLINK("https://www.weblio.jp/content/触れる", "词义详情")</f>
        <v/>
      </c>
      <c r="K7498">
        <f>HYPERLINK("https://yourei.jp/触れる", "查看例句")</f>
        <v/>
      </c>
    </row>
    <row r="7499">
      <c r="A7499" t="inlineStr">
        <is>
          <t>風呂</t>
        </is>
      </c>
      <c r="B7499" t="inlineStr">
        <is>
          <t>成功</t>
        </is>
      </c>
      <c r="C7499" t="inlineStr">
        <is>
          <t>読み方：ふろ
《「室(むろ)」から変化した語。「風炉(ふろ)」からともいう》
１入浴のための設備。また、その場所。湯による温浴のほか、蒸気浴・熱気浴がある。古くは、蒸気を室内に籠もらせた「蒸し風呂」が普通であったが、江戸時代初期に浴槽に湯をたたえた「水(すい)風呂」が生まれ、広まった。「—がわく」「—を使う」「露天—」
２ふろや。銭湯(せんとう)。湯屋(ゆや)。「—に行く」
３1に入ること。入浴すること。「祖父は—が好きだ」「長—」
４塗りおわった漆器を入れて乾かす室(むろ)。
５鍬(くわ)・鋤(すき)の柄と金具との間の木の部分。
[下接語]据え風呂・一(ひと)風呂（ぶろ）朝風呂・石風呂・岩風呂・浮世風呂・内風呂・ガス風呂・家族風呂・竈(かま)風呂・空(から)風呂・雁(がん)風呂・五右衛門(ごえもん)風呂・薦被(こもかぶ)り風呂・塩風呂・砂風呂・外風呂・長州風呂・鉄砲風呂・トルコ風呂・塗師(ぬし)風呂・野天風呂・野風呂・水風呂・蒸し風呂・湯女(ゆな)風呂・露天風呂</t>
        </is>
      </c>
      <c r="D7499" t="inlineStr">
        <is>
          <t>風呂屋；風呂上がり；風呂浴び；風呂焚き；風呂上り</t>
        </is>
      </c>
      <c r="F7499" t="inlineStr">
        <is>
          <t>一緒に風呂；熱い風呂；ひと風呂；共同風呂；檜風呂</t>
        </is>
      </c>
      <c r="G7499" t="inlineStr">
        <is>
          <t>風呂場；風呂屋；風呂桶；風呂釜；風呂上</t>
        </is>
      </c>
      <c r="H7499" t="n">
        <v>29</v>
      </c>
      <c r="I7499" t="inlineStr">
        <is>
          <t>最後にスタインは庭に建築中のローマ風の風呂の中で死体となっていた。；家族数人程度が入れるような小さめの風呂が用意されていることが多い。；宿へ帰って風呂にはいっていると、お島さんは風呂の入口から顔を出した。；発売当時、風呂から半分顔を出したジャケットデザインが話題となった。；しかし実をいえば、帆村もまた大阪人に負けぬくらい風呂好きであった。；それを見るともなしに眺めながら、わたしはまだ風呂のなかに浸っていた。；温泉のほかに複数の生薬風呂を備え、大衆演劇の上演も行なわれている。；風呂に入ろうと湯船に手を入れたサラが触れたのは、叔父の死体だった。；部屋を片付け終わった暦は駿河から風呂に入って行くように勧められる。；まあ、事件に片が付いたら、刑務所で定期的に風呂に入るんでしょうが。；当時の住民の証言によると、火災の熱でお風呂が沸いたとも言われている。；ミーノース王が風呂に入っている間、コーカロスの娘たちが彼を殺した。；それに汗になりましたでしょうから、一風呂あびていらっしゃいません?；実際、風呂にはいっていたならば、突然に消えてしまう筈がないじゃないか。；画面の中心に描かれているヴィーナスは、風呂からあがったばかりである。；ではね、お前も着物を脱いでね、あたしと一緒にお風呂にはいるのよ。；山の上に畑から出た石を運び、家の基礎と大きな風呂が完成していた。；暫く話している内に、女中が朝のお風呂が沸いたことを知らせて来た。；すこし面喰いながら風呂に入ると、男がきてしきりに体を洗ってくれる。；現在では自動湯張り機能のない標準タイプのガス風呂給湯器は販売されていない。；風呂をたく時だけに使っているが、今まだ半分以上物置きに残存している。；こうして設置された純金風呂は、石川の読み通り、大きな話題を集めた。；お風呂に入れない日などもあり少々大変であるが、たいへん良い経験になる。；この際、南側の邸宅部分にあった台所や風呂などが解体されている。；古くから温泉利用されており、仙人風呂は江戸時代初期に始まったとされる。；お風呂デビューの時のセリフはちゃんと「僕のいくぢなし」になっている。；電気・水・ガスが無い状態では、食事・トイレ・風呂等の通常の生活が出来なくなる。；シュルトゥンからはロス・サポスと呼ばれる汗風呂の跡が発見されている。；回復したダウールマカーンは風呂焚き夫婦を従者にして帰国の途につく。</t>
        </is>
      </c>
      <c r="J7499">
        <f>HYPERLINK("https://www.weblio.jp/content/風呂", "词义详情")</f>
        <v/>
      </c>
      <c r="K7499">
        <f>HYPERLINK("https://yourei.jp/風呂", "查看例句")</f>
        <v/>
      </c>
    </row>
    <row r="7500">
      <c r="A7500" t="inlineStr">
        <is>
          <t>プロ</t>
        </is>
      </c>
      <c r="B7500" t="inlineStr">
        <is>
          <t>成功</t>
        </is>
      </c>
      <c r="C7500" t="inlineStr">
        <is>
          <t>１《「プロフェッショナル」の略》ある物事を職業として行い、それで生計を立てている人。本職。くろうと。「その道の—」「—顔負けの腕前」「—ゴルファー」⇔アマ。
２「プログラム」「プロダクション」「プロレタリア」「プロパガンダ」などの略。</t>
        </is>
      </c>
      <c r="D7500" t="inlineStr">
        <is>
          <t>プロ初(4%)；プロテニス選手(2%)；プロ入り(2%)；プロビデンス；プロ化</t>
        </is>
      </c>
      <c r="E7500" t="inlineStr">
        <is>
          <t>コース；プログラム；宣伝；学科；名人</t>
        </is>
      </c>
      <c r="F7500" t="inlineStr">
        <is>
          <t>元プロ；キクプロ；プロアイスホッケー選手；プロ活動；プロビーチバレー選手</t>
        </is>
      </c>
      <c r="G7500" t="inlineStr">
        <is>
          <t>プロジェクト；プロデューサー；プロ野球選手；プロデュース；プロセス</t>
        </is>
      </c>
      <c r="H7500" t="n">
        <v>29</v>
      </c>
      <c r="I7500" t="inlineStr">
        <is>
          <t>直接プロになる制度ではないが、奨励会の上位に編入できる制度がある。；ここではさらに、プロレベルのパントマイム演劇芸術を学ぶ機会もある。；昭和になって振り飛車をプロの一線級に復活させたのが大野源一である。；モハメド・アリをプロキャリアで初めて敗北させたボクサーでもあった。；そこでこれらの競技では20世紀初頭から選手のプロ化が始まった。；他のスポーツと同様、プロトーナメントなどに出場し賞金を獲得できる。；プロの吹奏楽団のみならず教育団体・一般団体からの委嘱作品も存在する。；浦和ではデビュー2戦目の横浜フリューゲルス戦でプロ初得点を挙げた。；江戸時代には家元四家を中心としたプロ組織もでき、興隆の時期を迎えた。；プロ入りした時、野球の何たるかを教えてくれた恩人ともいえる方でした。；パズルの作成だけで収入を得ている純粋なプロはあまり多くない。；近年のプロの対局では、第一手のほぼすべてが隅から始まっている。；その腕前はプロ級と言われており、演奏はほとんどが暗譜であったという。；そうかと云ってあまり騒々しいぷろれたがり屋の酒呑み客も来なかった。；さらに2014年には、欧州囲碁連盟が独自にプロ制度を開始している。；プロとしての初ステージではMC用の台本を用意していたほどである。；投稿を続けるうちにプロを意識するようになり、高校卒業後に上京。；韓国・中国・台湾にも独自のプロ組織があり、それぞれの棋戦が行われている。；歌っているのは、プロではなく行員で結成されたアカペラグループである。；プロモーターとの契約が成立した時点でプロ活動が可能になる。；孫の一人である小島優は、日本プロ麻雀連盟に所属するプロ雀士である。；TBSはかなり早い段階で、4つの条件を円谷特技プロに提示している。；特にプロの公式戦では完全に詰むまで指すことはきわめて稀である。；この時期にフランスでもプロ・トーナメントが開催されている。；その時の感動からプロの歌手への道を意識し始める。；春の選抜が終わった時点で、巨人が一位指名してくれたらプロに行こうと決めた。；阪妻プロの映画は、松竹の買い取り価格が一尺あたり二円四十銭だった。；プロ化も断念したことから事実上JBLのリニューアルとみる向きもある。；全国の小学校などで声のプロのアナウンサーが発声授業を行う活動をサポートしている。</t>
        </is>
      </c>
      <c r="J7500">
        <f>HYPERLINK("https://www.weblio.jp/content/プロ", "词义详情")</f>
        <v/>
      </c>
      <c r="K7500">
        <f>HYPERLINK("https://yourei.jp/プロ", "查看例句")</f>
        <v/>
      </c>
    </row>
    <row r="7501">
      <c r="A7501" t="inlineStr">
        <is>
          <t>付録</t>
        </is>
      </c>
      <c r="B7501" t="inlineStr">
        <is>
          <t>成功</t>
        </is>
      </c>
      <c r="C7501" t="inlineStr">
        <is>
          <t>読み方：ふろく
１本文のあとに、参考・補足の意味で付けられたもの。「巻末の—」
２書籍や雑誌などの本体に添えられたもの。「別冊—」</t>
        </is>
      </c>
      <c r="D7501" t="inlineStr">
        <is>
          <t>付録cd(3%)；付録dvd(2%)；付録冊子；付録ディスク；付録ゲーム</t>
        </is>
      </c>
      <c r="E7501" t="inlineStr">
        <is>
          <t>増加；追加；補給；添；付加</t>
        </is>
      </c>
      <c r="F7501" t="inlineStr">
        <is>
          <t>別冊付録；号付録；雑誌付録；巻末付録；文芸付録</t>
        </is>
      </c>
      <c r="H7501" t="n">
        <v>29</v>
      </c>
      <c r="I7501" t="inlineStr">
        <is>
          <t>当時雑誌の付録などで人気を上げた推理クイズを映像化した番組である。；この電子版は付録や一部記事の掲載はないが概ね紙雑誌と同内容である。；ただ夏号と違い、同イラストのカードが付録になっていたわけではない。；前作と同じく漫画冊子となったがクイズや付録などが追加されている。；APAスタイルは1954年に出版されたの60ページの付録であった。；その後、236号で価格が改定されると同時に付録DVDは廃止された。；大学卒業後、『ニューヨーク・グローブ』紙の付録雑誌の記者となった。；また、教材付録がついており、学習・実験などが行える様になっていた。；年に数回付録がつけられるが、毎年つけられるのは以下の通り。；付録の写真集を開くと、しっかり資料にあたったんだなと分かった。；この場合は付録が単なるおまけではなく、むしろ商品構成の中心となっている。；また、一部の号にはCDが付録となるほか、別冊が刊行されることもある。；これらはあくまで雑誌の価格であり体験版は付録の為無料と言う考え方も可能である。；しかし、最も特徴的な内容は豊富な図版と付録の大量なペンタクルである。；雑誌の付録等で組み立て式のスピーカーユニットが販売されていたこともある。；また、学年誌の付録に数十ページに渉る長編が掲載されたこともある。；ゲームの紹介や、ゲームそのものが付録として収録された雑誌を列挙。；同作は1940年から1952年まで新聞の付録冊子として配信された。；東部コンゴの詳細な地図が必要な場合は、文献の付録を参照せよ。；基本的には毎号の特集記事のテーマに添うものが付録ゲームに選ばれていた。；また付録には、日本における最初のリソグラフの説明も含まれている。；のちに付録を追加するなど他の形式も出版される。；付録地図もケースの中に大切にとってありました。；部屋のなかには新聞の付録のようなものが襖の破れの上に貼ってあるのなどが見えた。；誌上には訃報が付録の組み立て説明ページの欄外に書き添えられていた。；この付録はコンプソン家の歴史を編年体で完成させたものである。；というのもそれらの付録がゲームの謎を解くヒントにもなっていたためである。；そちらは壁が三面あり、雑誌付録の紙工作のように組み立てて使用する。；価格は定価で980円であるが、付録が付いている場合は特別価格になる。</t>
        </is>
      </c>
      <c r="J7501">
        <f>HYPERLINK("https://www.weblio.jp/content/付録", "词义详情")</f>
        <v/>
      </c>
      <c r="K7501">
        <f>HYPERLINK("https://yourei.jp/付録", "查看例句")</f>
        <v/>
      </c>
    </row>
    <row r="7502">
      <c r="A7502" t="inlineStr">
        <is>
          <t>風呂敷</t>
        </is>
      </c>
      <c r="B7502" t="inlineStr">
        <is>
          <t>成功</t>
        </is>
      </c>
      <c r="C7502" t="inlineStr">
        <is>
          <t>読み方：ふるしき
「ふろしき」の音変化。
「—をかぶった明日蚊帳(かや)を出し」〈柳多留・二一〉</t>
        </is>
      </c>
      <c r="D7502" t="inlineStr">
        <is>
          <t>風呂敷包み(33%)；風呂敷荷物；風呂敷いっぱい；風呂敷みたい；風呂敷包みひとつ</t>
        </is>
      </c>
      <c r="F7502" t="inlineStr">
        <is>
          <t>小さな風呂敷；小風呂敷；黒い風呂敷；小さい風呂敷；大きい風呂敷</t>
        </is>
      </c>
      <c r="H7502" t="n">
        <v>29</v>
      </c>
      <c r="I7502" t="inlineStr">
        <is>
          <t>わたしは金太郎の人形と飾り馬との二箱を風呂敷につつんで抱えていた。；竹の柱に風呂敷ほどな布一枚の囲いでは、寒さを防ぐ足しにもならない。；風呂敷を解くと、中から出たものは、さのみ意外なものではありません。；黒い姿が紫色の風呂敷包みを抱えて鶴原家の前の木橋の上に立っていた。；彼は小さい風呂敷包み一つを持っているだけで、ほとんど手ぶら同様だ。；努めて気を励まし、母が用意して呉れた風呂敷包を持って出かけました。；あなたのとこへ行くんだと言つて風呂敷包みを持つて出かけたきりなんですよ。；Hさんの御弟子は彼を風呂敷に包んで電車に載せて宅まで連れて来てくれた。；参吉は茶を一と口啜ると、机のような物に掛けてある風呂敷を取った。；大きくもない風呂敷包み一つが、美しいその娘の全財産であるらしかった。；関さんはやがて風呂敷包みから、紙に包んだ二つの見舞いの金を出した。；わたしは窓に近いところに席を占めて風呂敷包を膝の上に置いた。；それから重い緑色の風呂敷包み抱えてエッチラオッチラ家まで歩きました。；メリンスの風呂敷包みの骨壺入りの箱を膝に載せて弟の俥は先きに立った。；私は一目見て、その風呂敷の中には、何が這入っているかが分りました。；見れば風呂敷包みのほかにも紙に巻いた絵絹らしいものを持っている。；終いには風呂敷包みのように、土佐犬の強靱な首で振り廻わされて死ぬ。；それはお近さんで、着換え二三枚を入れた風呂敷づつみを抱えていました。；上に上って来るのを見ると袴を穿いて風呂敷包みを脇に抱えて居る。；私は金太郎の人形と飾り馬との二箱を風呂敷につつんで抱えていた。；またはこの風呂敷包みが始まるまでは、何がかわりの役をしていたものであろうか。；彼は風呂敷包だけを抱えて、岡の上に立つ一群の建築物に別れを告げた。；彼女は粕取の入っているらしいビール瓶を風呂敷に包んで、持っていた。；又た室の片隅に風呂敷包が有って其傍に源三郎の学校道具が置いてある。；適当にあしらって返したが、ドアの脇に風呂敷包みを置いてあり煙が出ている。；袱紗は元々は貴重品などが収蔵された箱上に掛けられていた風呂敷である。；これから質屋に行くのだと云って大きい風呂敷包みを持っていた。；靴のほうは風呂敷にくるんで、わたしのそばの椅子にのせてあった。；二人のタイムス記者と稱する者が大きな風呂敷包を持つてやつて來た。</t>
        </is>
      </c>
      <c r="J7502">
        <f>HYPERLINK("https://www.weblio.jp/content/風呂敷", "词义详情")</f>
        <v/>
      </c>
      <c r="K7502">
        <f>HYPERLINK("https://yourei.jp/風呂敷", "查看例句")</f>
        <v/>
      </c>
    </row>
    <row r="7503">
      <c r="A7503" t="inlineStr">
        <is>
          <t>ふわふわ</t>
        </is>
      </c>
      <c r="B7503" t="inlineStr">
        <is>
          <t>成功</t>
        </is>
      </c>
      <c r="C7503" t="inlineStr">
        <is>
          <t>［副］(スル)
１軽いものが揺れ動いたり、浮いて漂ったりするさま。「カーテンが風に—（と）揺れる」「白い雲が—（と）浮かぶ」
２心が落ち着かないで、うわついているさま。「気持ちが—（と）している」
３柔らかくふくらんでいるさま。「—（と）したソファーに座る」
［形動］3に同じ。「—な羽毛布団」
［名］卵を湯の中でとき混ぜた吸い物。
「—にするとて玉子を人の割るを見つつ」〈色道大鏡・四〉
［アクセント］はフワフワ、はフワフワ。</t>
        </is>
      </c>
      <c r="D7503" t="inlineStr">
        <is>
          <t>ふわふわと宙；ふわふわと浮い；ふわふわと飛ん；ふわふわと揺れ；ふわふわと漂い</t>
        </is>
      </c>
      <c r="E7503" t="inlineStr">
        <is>
          <t>そっと；優しく；柔らか；そと；ふわり</t>
        </is>
      </c>
      <c r="F7503" t="inlineStr">
        <is>
          <t>ふわふわ浮い；ふわふわと風；ふわふわと落ち；超ふわふわ；ふわふわと舞い</t>
        </is>
      </c>
      <c r="G7503" t="inlineStr">
        <is>
          <t>ふわふわっと</t>
        </is>
      </c>
      <c r="H7503" t="n">
        <v>29</v>
      </c>
      <c r="I7503" t="inlineStr">
        <is>
          <t>それに人はいつまでも雲の中にふわふわしてばかりはいられないものだ。；わたしの感情は人の意のままにふわふわと動かされることはありません。；一通り調べ終わった後、ぼくは先輩達のところにふわふわ戻っていった。；ふわふわとした気分の中、様々な光景が頭の中をよぎっては消えてゆく。；ふわふわした物の量は水中に含まれる土地の塩の量に比例するであろう。；見ているとなんだかふわふわしてきそうで、なんとも不思議な庭だった。；東京でふわふわと夢のようなことがしたかっただけなんですよ、多分。；ほっそりとした肩のまわりで金の糸のような髪がふわふわ揺れている。；その毛が床の木目の上をふわふわ飛んでゆくさまを思いだしたのです。；さっきまでの揺れ方とは異なり、上下にふわふわとこまかく揺れている。；三枚のマントのうち、外側の一枚だけがふわふわとたなびいていたのだ。；妙にふわふわとした足取りで、彼女は壁の手前まで歩くと、振り返った。；すると、深春が空からふわふわとやってきて、僕の目の前に降り立った。；指のあいだにはさまれていた緑の羽虫が窓のほうへふわふわと飛んでいく。；リウイの身体は、まるで羽根が落ちるようにふわふわと落ちていたのだ。；病院にいるうちはクラゲみたいにふわふわしているのがいちばんです。；まるで私の魂がもう私の身体から離れて私の上をふわふわ飛んでるみたいでした。；吉良のひづめの音がぽくぽく、僕僕の雲がふわふわ、江沿いの道を進む。；そしていわば降りだしたばかりの雪のようにふわふわしています。；そして、夢の中にいるかのようにぼんやりして、ふわふわと歩き始めた。；放っておいたらふわふわと飛んでいきそうなクラスの委員長です。；風が強くあたって、鬢がふわふわするところが三四郎の目にはいった。；手には猫の皮の手袋をはめていたが、それは白く内側はふわふわしていた。；しかし大半の長毛種が持つようなふわふわのアンダーコートは持たない。；ただなんとなく、あるだけの金を使って、ふわふわと暮らしてゆくだろう。；黄色くて雲の様にふわふわの体に、ひよこの様な顔が付いた姿をしている。；香が立ち込める部屋にいると夢のようなふわふわした気分になった。；おかげでいくらかおちついてきたが、やはり気持ちはふわふわしていた。；雪が、ふわふわした白い帽子のように、三人の頭の上に降りつもっていた。</t>
        </is>
      </c>
      <c r="J7503">
        <f>HYPERLINK("https://www.weblio.jp/content/ふわふわ", "词义详情")</f>
        <v/>
      </c>
      <c r="K7503">
        <f>HYPERLINK("https://yourei.jp/ふわふわ", "查看例句")</f>
        <v/>
      </c>
    </row>
    <row r="7504">
      <c r="A7504" t="inlineStr">
        <is>
          <t>分</t>
        </is>
      </c>
      <c r="B7504" t="inlineStr">
        <is>
          <t>成功</t>
        </is>
      </c>
      <c r="C7504" t="inlineStr">
        <is>
          <t>読み方：ぶ
⇒ぶん</t>
        </is>
      </c>
      <c r="D7504" t="inlineStr">
        <is>
          <t>分後(3%)；分前；分以上；分利；分以内</t>
        </is>
      </c>
      <c r="E7504" t="inlineStr">
        <is>
          <t>時間；部分；パーツ</t>
        </is>
      </c>
      <c r="F7504" t="inlineStr">
        <is>
          <t>十分；数分；一分；三分；放送分</t>
        </is>
      </c>
      <c r="G7504" t="inlineStr">
        <is>
          <t>分野；分け；分布；分析；分かれ</t>
        </is>
      </c>
      <c r="H7504" t="n">
        <v>29</v>
      </c>
      <c r="I7504" t="inlineStr">
        <is>
          <t>本編映像に採用されたのは2回分で、落下の仕方などに違いがみられる。；上演時間は約220分で、タルコフスキーが関わった作品では最も長い。；寝室は自習室の廊下を挟んだ反対側にあり、3部屋分の学生を収容する。；偏差は平均的には標準偏差の分だけ離れていると考えることができる。；切り口を空気に数十分程度さらしておくと風味が強くなるといわれている。；分と言う時間の単位が市民の生活に現れたのは、鉄道の開通以降のことである。；ホームの西側には線路一本分の土地があり、飯能短絡線との合流用とされていた。；大人のカナダ人が一年で消費するチーズの2500人分の量に匹敵する。；しかしその分より小さい を適当に取ることで、 が成り立つようにできる。；定員に達するか入場時間になった時点で当日分の販売は打ち切られる。；進数体が 分体を含むための必要十分条件は が を割ることである。；もっと細かくなったものは四分戦、細分戦、コマ切れの競走と呼ばれる。；直感的には、波数は単位長さの直線に何波長分の波が入るかを表している。；放送スケジュールが決定しないまま全52話分の収録を済ませていた。；これに音量レジスタの値を掛けたものが1チャンネル分の出力である。；指定できる値は8ビットだが、実際には下位5ビット分しか使われない。；JRの駅舎とは直接つながっておらず、両駅間は徒歩で数分を要する。；微積分などの計算が簡単になるため、数学などの理論分野で用いられることが多い。；一部の上り列車は久保田駅にて時間調整のため数分停車するダイヤとなっている。；東京制作分はSFものを重視していたのに対し名古屋制作分は原作ものを重視していた。；座席は指定されないが、定員分以上の発売を行わないので着席は保証されていた。；これは、約1000人分の座席数で、登場以来最混雑列車に使用されていた。；この増刊掲載の分は、本誌のエピソード数にはカウントされていない。；また死んだ兄の分とあわせて二人分の知恵と身体を持つようにとの願いもこめられている。；本導入分より、車両番号の付番がハイフンを用いた方式に変更された。；後に3万石の内、1万石分が加増編入されたため葛野藩は4万石となった。；古代ローマには、2歩分の長さに相当するパッススという単位があった。；この2駅間には現在の駒場東大前駅のホームの長さ分程度しか駅間距離がなかった。；米の品種や、目指す酒質によって、浸漬時間も数分から数時間と幅広い。</t>
        </is>
      </c>
      <c r="J7504">
        <f>HYPERLINK("https://www.weblio.jp/content/分", "词义详情")</f>
        <v/>
      </c>
      <c r="K7504">
        <f>HYPERLINK("https://yourei.jp/分", "查看例句")</f>
        <v/>
      </c>
    </row>
    <row r="7505">
      <c r="A7505" t="inlineStr">
        <is>
          <t>文</t>
        </is>
      </c>
      <c r="B7505" t="inlineStr">
        <is>
          <t>成功</t>
        </is>
      </c>
      <c r="C7505" t="inlineStr">
        <is>
          <t>読み方：あや
１物の表面に現れたさまざまな形や模様。特に、線が斜めに交わった模様。
２特に苦心した、文中の言い回し。含みのある表現や微妙なニュアンス。「言葉の—」
３表面的には見えないが、たどると見えてくる社会や世の中の入り組んだ仕組み。裏表。「人生の—」
４（綾）いろいろな模様を織り出した絹織物。あやおり。あやおりもの。</t>
        </is>
      </c>
      <c r="D7505" t="inlineStr">
        <is>
          <t>文亀；文法上；文三；文さん；文銭</t>
        </is>
      </c>
      <c r="E7505" t="inlineStr">
        <is>
          <t>手紙；状；書；文章；便</t>
        </is>
      </c>
      <c r="F7505" t="inlineStr">
        <is>
          <t>代替文；説明文；判決文；貫文；宇文</t>
        </is>
      </c>
      <c r="G7505" t="inlineStr">
        <is>
          <t>文字；文学；文書；文章；文献</t>
        </is>
      </c>
      <c r="H7505" t="n">
        <v>29</v>
      </c>
      <c r="I7505" t="inlineStr">
        <is>
          <t>洗礼式文への導入は聖師父の時代には既に行なわれていたと考えられる。；データと変数を保持するデータ要素を定義するのに使われる命令文がある。；学校や兵舎でも公式な告知や発表文でも広く使われて周知されていった。；そのため、主日の祈祷文の大半が復活をテーマにしたものとなっている。；ここで自然ではあるが、問題文では触れられていない次の仮定を置く。；また上記の定義文に続いて次のようなことも記述されている。；切断された木の一部は、駅コンコースに紹介文とともに展示されている。；問題文は実施する国にかかわらず全て日本語で書かれている。；殷代と比べて周代はこの文が非常に長いものとなっていることに特徴がある。；文は客観的な思想を含むが、文の真理値がその文の意味なのだとする。；文の前半部分はそのような名詞になることが多かったからである。；これは上記のような文法上の定義と概ね重なるが、必ずしも一致しない。；内曲輪における櫓や門の位置関係については右の画像の説明文を参照。；詳細は大阪高等裁判所 平成21年第2082号の判決文を参照のこと。；武より文の面が強調されており、台湾などでは受験の際に礼拝される。；この主述関係とは別に、文の中心的な話題という要素を加えた話題文がある。；文はソビエト連邦で進行中の政治的・経済的変革への支持を表明した。；今川氏の武将としての活動も続き、文亀年間には三河にまで進んでいる。；中国北宋代に生まれ、その言葉は現代日本の裁判判決文にも見られる。；ドイツ語の文を解析するシステムの一例がブレーメン大学から公開されている。；対し、一般的に言われている文官登用試験は対比して文科挙といわれる。；係り結びをどう用いるかによって、文全体の意味に明確な違いが出た。；上で示した辞書の定義文のように、ロボットは主に次のように大分類できる。；これは単語としては2つしか含まないが長い文に相当する意味を表している。；このため文を形態素に区切るのは日本語に比べると比較的簡単である。；各丁の大部分が絵で占められ、絵の周囲にひらがなを中心とした文が描かれる。；第二に彼の言葉の選び方や文の構造は手探りであって無自覚である。；寛永通宝は大別すると銅一文銭・鉄一文銭・真鍮四文銭・鉄四文銭となる。；一方、妻・文は自身の弟・塚本八洲の療養のため鵠沼の実家別荘に移住。</t>
        </is>
      </c>
      <c r="J7505">
        <f>HYPERLINK("https://www.weblio.jp/content/文", "词义详情")</f>
        <v/>
      </c>
      <c r="K7505">
        <f>HYPERLINK("https://yourei.jp/文", "查看例句")</f>
        <v/>
      </c>
    </row>
    <row r="7506">
      <c r="A7506" t="inlineStr">
        <is>
          <t>雰囲気</t>
        </is>
      </c>
      <c r="B7506" t="inlineStr">
        <is>
          <t>成功</t>
        </is>
      </c>
      <c r="C7506" t="inlineStr">
        <is>
          <t>読み方：ふんいき
１天体、特に地球をとりまく空気。大気。
２その場やそこにいる人たちが自然に作り出している気分。また、ある人が周囲に感じさせる特別な気分。ムード。「家庭的な—の店」「職場の—を壊す」「—のある俳優」
[補説] 「ふいんき」と発音する人が増えているという調査結果がある。</t>
        </is>
      </c>
      <c r="D7506" t="inlineStr">
        <is>
          <t>雰囲気作り；雰囲気づくり；雰囲気漂う；雰囲気ぶち壊し</t>
        </is>
      </c>
      <c r="E7506" t="inlineStr">
        <is>
          <t>感じ；様子；態度；空気；気分</t>
        </is>
      </c>
      <c r="F7506" t="inlineStr">
        <is>
          <t>そんな雰囲気；気まずい雰囲気；明るい雰囲気；いい雰囲気；険悪な雰囲気</t>
        </is>
      </c>
      <c r="H7506" t="n">
        <v>29</v>
      </c>
      <c r="I7506" t="inlineStr">
        <is>
          <t>ニューヨークでの活動は、豊かな芸術的な雰囲気の中で彼を確立させた。；目的は施設で生活している子供に家庭的な雰囲気を味わってもらうこと。；立派な施設を持ち、日本の学校の雰囲気そのままを味うことができる。；一方ヴァルツィーンの邸宅はそれよりは貴族的な雰囲気であったという。；州内の豊富な歴史と南北戦争後の雰囲気が多くの文学作品を生んできた。；こうなると当然最終戦も稲尾との雰囲気になり稲尾自身もその気になる。；一日のうちに異なる雰囲気を持つ様々なビーチに行くことができるのである。；独特の雰囲気を求めて、駅周辺に自宅や勤務先がなくても訪れる人も多い。；撮影当時1984年夏の時点でも既に危険な雰囲気があったという。；学校の怪談をモチーフにした不気味な舞台設定と雰囲気が特徴的である。；スタジオにみんなで集まってやらないと、この番組の雰囲気は出ないんですよ。；その一方で、上野の森口周辺には静かな雰囲気の街並みが広がっている。；昔ながらの雰囲気で最近は海外の方にも人気のスポットとなっている。；このような場で彼はイタリアを取り巻く政治的な雰囲気を感じ取った。；本作は新しい要素を導入して、映画に独特の雰囲気を出している。；作品のキャストや物語の雰囲気などは後のテレビシリーズと大きく異なる。；側面の窓は大きな1枚ガラスを用いており、開放的な雰囲気となっている。；空気中で不安定な物質であるため、研究もまた不活性雰囲気下で行われる。；夫はその日はホワイトハウスに詰めて緊迫した雰囲気で一夜を過ごした。；映像は戦後の混乱期の雰囲気を描いたモノクロームとなっている。；中学編と打って変わり、高校編は雰囲気がかなり「ハーディ」 である。；都心近くにありながら古民家も残り、下町の雰囲気があるとも称される。；玉音放送を聴く周囲の人々の雰囲気などで事情を把握した人が大半だった。；もっとも時間をかけて考えたのが学校そのものと、その雰囲気だ。；しかし終始和やかな雰囲気で会談は進められていたのを確認している。；これら個性的な声優陣によって作品の雰囲気に統一感が与えられた。；その場のふんいきでキスしてしまったのかどうかは、誰にもわかりませんわ。；文章量が多く、また多少難解な表現も含まれるため、重い雰囲気を与える。；その大国の思惑と現場での混乱した雰囲気の中でブラントは苦悩していた。</t>
        </is>
      </c>
      <c r="J7506">
        <f>HYPERLINK("https://www.weblio.jp/content/雰囲気", "词义详情")</f>
        <v/>
      </c>
      <c r="K7506">
        <f>HYPERLINK("https://yourei.jp/雰囲気", "查看例句")</f>
        <v/>
      </c>
    </row>
    <row r="7507">
      <c r="A7507" t="inlineStr">
        <is>
          <t>噴火</t>
        </is>
      </c>
      <c r="B7507" t="inlineStr">
        <is>
          <t>成功</t>
        </is>
      </c>
      <c r="C7507" t="inlineStr">
        <is>
          <t>読み方：ふんか
［名］(スル)火口から溶岩・火山弾・火山灰・火山ガスなどが噴出すること。「300年ぶりに—する」</t>
        </is>
      </c>
      <c r="D7507" t="inlineStr">
        <is>
          <t>噴火活動(5%)；噴火後(2%)；噴火湾；噴火災害；噴火開始</t>
        </is>
      </c>
      <c r="E7507" t="inlineStr">
        <is>
          <t>噴出；爆発</t>
        </is>
      </c>
      <c r="F7507" t="inlineStr">
        <is>
          <t>大規模な噴火；大きな噴火；浅間山噴火；爆発的な噴火；大規模噴火</t>
        </is>
      </c>
      <c r="G7507" t="inlineStr">
        <is>
          <t>噴火山；噴火警戒レベル；噴火警報；噴火予知；噴火予報</t>
        </is>
      </c>
      <c r="H7507" t="n">
        <v>29</v>
      </c>
      <c r="I7507" t="inlineStr">
        <is>
          <t>活火山とされているが最後に噴火したのがいつであるかは定かではない。；この噴火を直接記録した文献記録は現地では見つかっていないとされている。；その時、サン・ピエールに停泊していた船から噴火の様子が目撃された。；最後に噴火が見られたのはセテ・シタデス山で1880年のことである。；噴火が始まったのは七島展望台と二男山の間にある斜面と考えられている。；その後は小規模な噴火や噴気活動など比較的穏やかな時期が続いていた。；猫達は噴火の日に彼と運命を共にしたものと推定されている。；現在は2018年に別の場所で起こった噴火の影響で大きく陥没している。；このカルデラは2度の大きな噴火によって形成されたと考えられている。；噴火が始まって三日目に収容された彼の遺体は眠るがごとくであったという。；橋牟礼川遺跡は9世紀末の噴火によって放棄された代表的な集落である。；それ以前の有史の記録では江戸時代の1744年2月3日の噴火がある。；噴火活動は途中一時的な休止を挟みつつ1995年3月頃まで継続した。；この御嶽山での噴火を受けて各地で対応策の検討が行われている。；その後も、このカルデラ内で何度か噴火があり、榛名富士などが生じた。；島にある山の1つ、モシュクロス山 は時々噴火したと言われている。；これらの地震により、富士山の噴火の原因になったと思われる事例がある。；山体は約160万年前に発生した噴火による溶結凝灰岩などで構成される。；目撃記録は無いが、古岳火口でも江戸時代末まで噴火が発生していた。；記録されている中での最後の噴火は、約800年前のことである。；しかし噴火後は事実上人口は0人となり、産業や観光などは全く行われていない。；火山は噴出する場所、特に水の存在によって噴火の様式が大きく変わる。；北海道の噴火湾に住んでいるとされ、湾の主ともいわれた。；現在のトバ湖は上記3つの噴火に基づくカルデラから形成されている。；過去およそ6000年の間に少なくとも9回の大きな噴火を繰り返している。；のちに磐梯式との噴火形式名称が残るほど、世界的に有名な噴火となった。；本州の真ん中にある富士山が噴火した場合社会に与える影響が大きい。；第三紀層生成後の噴火で岩山形成、その後の浸蝕作用で地形が形成された。；この領域は氷の溶岩の噴火によって形成されたと考えられている。</t>
        </is>
      </c>
      <c r="J7507">
        <f>HYPERLINK("https://www.weblio.jp/content/噴火", "词义详情")</f>
        <v/>
      </c>
      <c r="K7507">
        <f>HYPERLINK("https://yourei.jp/噴火", "查看例句")</f>
        <v/>
      </c>
    </row>
    <row r="7508">
      <c r="A7508" t="inlineStr">
        <is>
          <t>文化</t>
        </is>
      </c>
      <c r="B7508" t="inlineStr">
        <is>
          <t>成功</t>
        </is>
      </c>
      <c r="C7508" t="inlineStr">
        <is>
          <t>読み方：ぶんか
１人間の生活様式の全体。人類がみずからの手で築き上げてきた有形・無形の成果の総体。それぞれの民族・地域・社会に固有の文化があり、学習によって伝習されるとともに、相互の交流によって発展してきた。カルチュア。「日本の—」「東西の—の交流」
２1のうち、特に、哲学・芸術・科学・宗教などの精神的活動、およびその所産。物質的所産は文明とよび、文化と区別される。
３世の中が開けて生活内容が高まること。文明開化。多く他の語の上に付いて、便利・モダン・新式などの意を表す。「—住宅」
[用法]文化・文明——「文化」は民族や社会の風習・伝統・思考方法・価値観などの総称で、世代を通じて伝承されていくものを意味する。◇「文明」は人間の知恵が進み、技術が進歩して、生活が便利に快適になる面に重点がある。◇「文化」と「文明」の使い分けは、「文化」が各時代にわたって広範囲で、精神的所産を重視しているのに対し、「文明」は時代・地域とも限定され、経済・技術の進歩に重きを置くというのが一応の目安である。「中国文化」というと古代から現代までだが、「黄河文明」というと古代に黄河流域に発達した文化に限られる。「西洋文化」は古代から現代にいたるヨーロッパ文化をいうが、「西洋文明」は特に西洋近代の機械文明に限っていうことがある。◇「文化」のほうが広く使われ、「文化住宅」「文化生活」「文化包丁」などでは便利・新式の意となる。</t>
        </is>
      </c>
      <c r="D7508" t="inlineStr">
        <is>
          <t>文化的(3%)；文化大革命(2%)；文化交流；文化面；文化協会</t>
        </is>
      </c>
      <c r="E7508" t="inlineStr">
        <is>
          <t>栽培；文明；教養；培養；養殖</t>
        </is>
      </c>
      <c r="F7508" t="inlineStr">
        <is>
          <t>アメリカ文化；文化財団；国際文化；新しい文化；音楽文化</t>
        </is>
      </c>
      <c r="G7508" t="inlineStr">
        <is>
          <t>文化財；文化祭；文化人；文化放送；文化庁</t>
        </is>
      </c>
      <c r="H7508" t="n">
        <v>29</v>
      </c>
      <c r="I7508" t="inlineStr">
        <is>
          <t>そのような文化もあり、生物の和名には肉の色が採用されることが多い。；形状が日本列島に似ており、独自の文化が発達しているといわれている。；文化大革命による犠牲者の合計数は数百万から数千万とも言われている。；さらに現代では、イギリスの植民地文化にも大きな影響を受けている。；その髭を剃るか伸ばすかは個人の選択やその人が住む地域の文化による。；紀元前からギリシャは哲学や文化、芸術にさまざまな影響を与えてきた。；人口125万以上、政治・経済・文化の発展に重要な地域が指定される。；ゲルはモンゴルの建築文化を語る上で無くてはならないものとなっている。；中国国内の孔子廟の多くは文化大革命時に破壊されたり損傷を受けている。；しかし、文化の中心地は次第にフランスをはじめ北方の国へ移っていった。；アメリカ大陸の先住民族など、個人を指す名前のみを用いる文化もある。；が、西欧的思考による猿の文化を否定するための定義と言えなくもない。；最終的にインディヘナの伝統的な文化はこの文化的領域に吸収された。；国や文化などによって違いはあるが、一般的な印象は次のようなものである。；現在は官民の各部門で両国の文化・人材交流事業を積極的に展開している。；ゴ集団の中には人類の文化・芸術に興味を示して熟達する者もいた。；調査報告書である『対馬の自然と文化』はその後の研究の基礎となった。；その他、北部や南部には独自の文化を持つ少数民族の存在が確認されている。；文化を享受するには一定の教養が必要であり、少数者のものであった。；スロバキアの音楽は近隣国家地域の音楽文化の影響を受けている面を持っている。；これらは、当時の社会や文化を伝える資料としても貴重な価値をもっている。；独特な文化と同様にウェールズの景観は多くの観光客を惹きつけている。；それらの多くは現代でもロシアの文化を代表するものとして親しまれている。；ある特定地域の文化が他地域へと拡大することを文化伝播と呼ぶ。；唐の冊封体制の下では、律令的な政治体制・仏教的な文化が共有された。；また、日本の武士が敵の首を切り落とす文化にも共通のものがある。；他では、島の2つの地域は、文化や習慣のほぼすべての要素を共有している。；神道の神の種類は、大別すると自然神と文化神の二つに分類ができる。；ロンドンは文化的な多様性があり、300以上の言語が使われている。</t>
        </is>
      </c>
      <c r="J7508">
        <f>HYPERLINK("https://www.weblio.jp/content/文化", "词义详情")</f>
        <v/>
      </c>
      <c r="K7508">
        <f>HYPERLINK("https://yourei.jp/文化", "查看例句")</f>
        <v/>
      </c>
    </row>
    <row r="7509">
      <c r="A7509" t="inlineStr">
        <is>
          <t>憤慨</t>
        </is>
      </c>
      <c r="B7509" t="inlineStr">
        <is>
          <t>成功</t>
        </is>
      </c>
      <c r="C7509" t="inlineStr">
        <is>
          <t>読み方：ふんがい
［名］(スル)ひどく腹を立てること。慷慨(こうがい)。「身勝手なふるまいに—する」</t>
        </is>
      </c>
      <c r="D7509" t="inlineStr">
        <is>
          <t>憤慨する(9%)；憤慨ぶり；憤慨居士；憤慨気味</t>
        </is>
      </c>
      <c r="E7509" t="inlineStr">
        <is>
          <t>怒り；激怒；恨み；仇；憎しみ</t>
        </is>
      </c>
      <c r="F7509" t="inlineStr">
        <is>
          <t>大憤慨；強く憤慨；かなり憤慨；激しく憤慨</t>
        </is>
      </c>
      <c r="H7509" t="n">
        <v>29</v>
      </c>
      <c r="I7509" t="inlineStr">
        <is>
          <t>それで僕がどんなに憤慨したか、君にはとても想像ができないくらいだよ!；ひどく憤慨したイギリス政府の保証にかかわらず、作戦は成功を収めた。；一同は憤慨するものの、目的も犯人も分からないままに開幕時間が訪れた。；これに憤慨したカエニナの王は、軍勢を率いてローマの領土に侵入した。；娘がジョナサンと性的な会話をしていると知って憤慨していたからである。；両親の仇である似志田が仮出所することを告げられた際は憤慨していた。；そのうち海軍のほうでも感づいて馬鹿にしておると憤慨する者もいたという。；私は或る男が他の人々を圧制しているのを見れば、私は其の事を憤慨する。；そんなことは古参生たる第二期生どもには非常な憤慨であったに違いない。；私たちの家の婆やは、そういう時の私の態度を見ると、いつでも憤慨した。；それほど彼の心内には憤慨の念、というより嫉妬の情が煮えくり返った。；これよって憤慨した青年の中には、英学校に決闘状をおくる者さえ生じた。；サドの対応に憤慨した彼女は、脱走した悪魔と誤解し彼に首輪をはめた。；憤慨して音楽をやめ、より経済的な条件のよい仕事に就く人もいた。；これに憤慨した彼女は、娘を連れて姉の家に出て行ってしまう。；それでコックの春吉はすっかり憤慨し、この復讐を計画したわけなのだ。；落下傘兵のうちの幾名かはこの出来事からその後テイラーに憤慨した。；全体的に言って女性たちは法律に内在する不公正と女性蔑視に憤慨してた。；浮気相手が友人のベッカであったこともあり、マーゴは大いに憤慨した。；プレッシーはカラード専用の席に座ることに憤慨し、すぐに逮捕された。；レンガ造りの祭壇が建てられたことに憤慨したユダヤ人はこれを破壊した。；これを聞いた山門の大衆はひどく憤慨して騒ぎが大きくなってきた。；が、誰も平然として、私の憤慨を取上げるような人はありませんでした。；このカラクリを見ぬいた高杉は、日記のなかで大いにふんがいしている。；道亨はこのことに憤慨して上疏したが、天啓帝に聞き入れられなかった。；死後に家族は憤慨し、ポルノ界の友人達を非難する公式声明を出した。；それを聞いた動物たちは憤慨し、ジューンを一人残してどこかへ行ってしまった。；犬泥棒も増えており、盗んだ者が憤慨した群衆に殺された事件もある。；このインタビューに対し憤慨したのがニューヨーク・ヤンキースだった。</t>
        </is>
      </c>
      <c r="J7509">
        <f>HYPERLINK("https://www.weblio.jp/content/憤慨", "词义详情")</f>
        <v/>
      </c>
      <c r="K7509">
        <f>HYPERLINK("https://yourei.jp/憤慨", "查看例句")</f>
        <v/>
      </c>
    </row>
    <row r="7510">
      <c r="A7510" t="inlineStr">
        <is>
          <t>分解</t>
        </is>
      </c>
      <c r="B7510" t="inlineStr">
        <is>
          <t>成功</t>
        </is>
      </c>
      <c r="C7510" t="inlineStr">
        <is>
          <t>読み方：ぶんかい
［名］(スル)
１一つに結合しているものを、要素や部分に分けること。また、分かれること。「時計を—する」「空中—」「—掃除」
２数学で、考察の対象をより簡単な対象に分けること。「因数に—する」
３化合物が、化学変化により、2種以上の単体や基礎的な化合物に分かれること。「水を酸素と水素に—する」「電気—」
４力・速度などのベクトルで表される量を、その成分に分けること。</t>
        </is>
      </c>
      <c r="D7510" t="inlineStr">
        <is>
          <t>分解する(18%)；分解される(7%)；分解酵素；分解できる；分解性</t>
        </is>
      </c>
      <c r="E7510" t="inlineStr">
        <is>
          <t>分析；崩壊；解体；解析；解剖</t>
        </is>
      </c>
      <c r="F7510" t="inlineStr">
        <is>
          <t>空中分解；電気分解；熱分解；バラバラに分解；分解させる</t>
        </is>
      </c>
      <c r="G7510" t="inlineStr">
        <is>
          <t>分解者；分解型複素数；分解体；分解図；分解型八元数</t>
        </is>
      </c>
      <c r="H7510" t="n">
        <v>29</v>
      </c>
      <c r="I7510" t="inlineStr">
        <is>
          <t>逆に、ある状態をいくつかの状態の重ね合わせに分解することもできる。；情報の構成要素を分解・分析する技術によって答えがでるとされている。；電解質溶液は十分に高い電圧をかけると電気分解することが可能である。；複雑な概念を分解し、より単純な概念の集合体に還元して理解すること。；漢字の場合は、特に置き換えを行わずに分解するだけでいいこともある。；この関係分解により冗長性がどのように除去されるのかに注意すること。；一旦ナトリウムへ電気分解した後再合成する方法も提案されている。；生分解性プラスチックには生体吸収性のものと環境分解性のものがある。；金属ナトリウムは塩化ナトリウムを適切に電気分解することで得られる。；この様な場合は溶融塩を電気分解することで単体金属を得ることができる。；すなわちそれは形而上学の完了を逆転させることにおいて分解的である。；タンパク質の生成・分解を調整することによって筋肉の維持に関与する。；真鍮時計を分解して木でその複製を作ると、それが十分に動作したという。；これが低温のため容易に分解せず、次第に炭化したものを泥炭と称する。；この羽は基本的な大羽の構造をとっているが、部分的に分解が進んでいる。；重要なことは、整数の素因数への分解の様子を明確に知ることである。；これを直接塩素化法と同様に熱分解すればクロロエチレンが得られる。；鉱業においては鉱石を電気分解して金属を得る電解精錬が行われている。；そのため封じられた部分と翻訳を命じられた部分に一時的に分解された可能性がある。；たいていは中央部で二つに分解できるようになっている。；それぞれの位の量は更に上記の数字の和に分解され、大きい順に並べて書かれる。；もちろん、根気強く分解を試みればいつかは復号に成功するわけである。；その一番の特徴は、着剣装置や銃床上のボルト分解用金具の廃止である。；その代わり、大腸内での物質の分解は大腸菌を始めとする常在菌が行う。；これは主星に近い位置にある褐色矮星がX線で分解された初めての例である。；無損失とは、分解してできた関係を結合して元の関係に復元できることを指す。；骨など分解されなかった固形物を除き、沸騰させて約10分間加熱する。；平面波はまた、同じ方向へ進む正弦波を用いて分解することができる。；同様に以下のように分解することで構成要素を明確にできる。</t>
        </is>
      </c>
      <c r="J7510">
        <f>HYPERLINK("https://www.weblio.jp/content/分解", "词义详情")</f>
        <v/>
      </c>
      <c r="K7510">
        <f>HYPERLINK("https://yourei.jp/分解", "查看例句")</f>
        <v/>
      </c>
    </row>
    <row r="7511">
      <c r="A7511" t="inlineStr">
        <is>
          <t>文学</t>
        </is>
      </c>
      <c r="B7511" t="inlineStr">
        <is>
          <t>成功</t>
        </is>
      </c>
      <c r="C7511" t="inlineStr">
        <is>
          <t>読み方：ぶんがく
《6が原義》
１思想や感情を、言語で表現した芸術作品。詩歌・小説・戯曲・随筆・評論など。文芸。「日記—」「外国—」
２詩歌・小説・戯曲など文学作品を研究する学問。
３自然科学・社会科学以外の学問。文芸学・哲学・史学・言語学など。「—部」
４律令制で、有品の親王に経書を講授した官吏の職名。
５江戸時代の諸藩の儒官。
６学芸。学問。
「国に—盛んなれば、花の色を増し」〈謡・老松〉</t>
        </is>
      </c>
      <c r="D7511" t="inlineStr">
        <is>
          <t>文学的(3%)；文学上；文学者；文学科；文学研究</t>
        </is>
      </c>
      <c r="E7511" t="inlineStr">
        <is>
          <t>文芸；読み物；文学研究；詞章；読物</t>
        </is>
      </c>
      <c r="F7511" t="inlineStr">
        <is>
          <t>文学雑誌；文学部長；新しい文学；文学全集；文学性</t>
        </is>
      </c>
      <c r="G7511" t="inlineStr">
        <is>
          <t>文学者；文学的；文学作品；文学賞；文学史</t>
        </is>
      </c>
      <c r="H7511" t="n">
        <v>29</v>
      </c>
      <c r="I7511" t="inlineStr">
        <is>
          <t>小説のようなより長い文学形式が未来派の美学に占める位置はなかった。；与謝野晶子や木下尚江ら文学人は、非戦をテーマにした文学を発表した。；文学上のことで口論となることのあった牧野信一とは徐々に疎遠となる。；西洋の文学では、男性が男性に恋する気持ちも表現されてきた歴史がある。；この為に赤道ギニアの文学はアフリカ諸国の中でも独特なものとなっている。；荻野の文学研究や創作活動には、母親の強い影響があると自認している。；作品の文学性の基準は学者の間の数々の論争の的となってきた。；チュニジアではユダヤ人作家を中心にフランス語文学が書かれるようになった。；同じ文学用語が違った定義で使われることもしばしばある。；プルーストが文学にはっきりと意識を向けたのもこの時期だった。；しかしながら、ピョートルは文学と芸術には深い関心は持たなかった。；同じ文学であっても、表現が違うものを小説化することがある。；歌詞が文学的なタンゴは歌がつけられた演奏になる傾向にある。；文学や戯曲の分野で、新しい表現方法を切り開いたことがその理由だった。；彼はブランショとは似て非なる方法で文学の限界、言語の限界に挑んだ。；この父親との関係は、色川文学の大きなテーマの一つとなっている。；この時点の夢は文学と演劇の教師になることで、大学では演劇部に所属していた。；しかもそれは、文学・芸術的な用語として生まれたのではなかった。；初めは文学の本に関心が強かったが、のちに伝記に関心を持つようになった。；この運動は文学面にとどまらず、やがて政治運動へと発展していった。；それらを研究する学問も文学と称されるが、これについては文芸学で扱う。；何晏は文学や思想の世界に活躍の場を見出し、多数の作品や著述を残した。；文学・美術も好きで小説家や画家とも交流が深く、彼らの後援者でもあった。；この成績を見ても分かる通り、この頃のマルクスは文学への関心が強かった。；後代には文学上において詩歌以外の文学ジャンルを指す言葉になった。；彫刻や絵画、国旗をはじめ、現代の映画や文学などでも広く扱われている。；その文学性だけでなく、当時のローマの風俗を知るための資料性も評価されている。；小説家や作品に限らず文学とその周辺全般が扱われ、学際的な性格を持つ。；この運命的な波乱の年の一連の経験が、その後の堀辰雄の文学を形作った。</t>
        </is>
      </c>
      <c r="J7511">
        <f>HYPERLINK("https://www.weblio.jp/content/文学", "词义详情")</f>
        <v/>
      </c>
      <c r="K7511">
        <f>HYPERLINK("https://yourei.jp/文学", "查看例句")</f>
        <v/>
      </c>
    </row>
    <row r="7512">
      <c r="A7512" t="inlineStr">
        <is>
          <t>文化財</t>
        </is>
      </c>
      <c r="B7512" t="inlineStr">
        <is>
          <t>成功</t>
        </is>
      </c>
      <c r="C7512" t="inlineStr">
        <is>
          <t>読み方：ぶんかざい
１文化活動の結果として生み出されたもので、文化的価値を有するもの。
２文化財保護法で、保護の対象とされるもの。有形文化財・無形文化財・民俗文化財・記念物・文化的景観・伝統的建造物群の6種がある。</t>
        </is>
      </c>
      <c r="D7512" t="inlineStr">
        <is>
          <t>文化財保護(8%)；文化財指定(3%)；文化財保存；文化財リスト；文化財調査</t>
        </is>
      </c>
      <c r="F7512" t="inlineStr">
        <is>
          <t>自然文化財；貴重な文化財；文化庁文化財；構成文化財；建築文化財</t>
        </is>
      </c>
      <c r="G7512" t="inlineStr">
        <is>
          <t>文化財研究所；文化財保護審議会；文化財保護委員会；文化財庁；文化財分科会</t>
        </is>
      </c>
      <c r="H7512" t="n">
        <v>29</v>
      </c>
      <c r="I7512" t="inlineStr">
        <is>
          <t>これは、ヨーロッパで国家が文化財保護に乗り出した最初の事例である。；このとき用いられた傘連判状や旗は、高崎市の文化財に指定されている。；中部山岳国立公園の一部ともなっており、国の文化財に指定されている。；特に整備がされていて、貴重な文化財として活用されることが期待される。；これが駿府城唯一の現存建築物であり、三島市文化財に指定されている。；ヨーロッパでは、これを文化財保護の歴史の嚆矢であるとする見解がある。；しかし財団設立時に文化財保護の観点から国に撤去を陳情し実現している。；文化庁は所在不明文化財の一覧サイトを開設するなどして捜索している。；また、小田城を中心として周辺には多くの史跡や文化財が残されている。；当駅では以下の施設が文化財などの登録・認定を受けている。；この建物は19世紀後期に建設されたもので、保護文化財に指定されている。；同選鉱場は保存状態が良好であり、留辺蘂町の文化財に指定されている。；文化財などに書かれた文字を見ていくと、武則天の前後の影響がよくわかる。；旧線区間に残されたトンネルは複数の文化財に登録・または選奨されている。；国や自治体による史跡等文化財の指定または登録はされていない遺跡である。；執筆活動を行っていない時期は文化財の保護や野鳥を保護する仕事をしていたという。；長さ280mに達し日本最大級とされ、西予市文化財に指定されている。；フェノロサは当時の日本の美術行政、文化財保護行政にも深く関わった。；多くの文化財を所蔵しており、現在は山梨県立博物館に寄託されている。；文化財保護センターと共同では市内にある長福寺の軸物の調査も行っている。；国内の文化財の研究や運用に寄与する全ての職員の養成に協力する。；文化財の名・自然地物の名, 人工構造物の名にはハイフンを付けない。；多くの保護文化財に指定された建築の内、特筆すべきものを以下に列記する。；この建物は1888年に建設され、1997年に保護文化財に指定された。；こうしたことから、この教会は1985年から保護文化財に指定されている。；市港には保護文化財に指定されている1927年製の港湾クレーンがある。；日本に古来伝わる伝統的手法で、多くの文化財の屋根で見ることができる。；しかし大規模な戦災は免れたため、貴重な文化財が今日も残っている。；終戦後は戦争中に供出された仏具・仏像などの文化財修理・保護に尽力。</t>
        </is>
      </c>
      <c r="J7512">
        <f>HYPERLINK("https://www.weblio.jp/content/文化財", "词义详情")</f>
        <v/>
      </c>
      <c r="K7512">
        <f>HYPERLINK("https://yourei.jp/文化財", "查看例句")</f>
        <v/>
      </c>
    </row>
    <row r="7513">
      <c r="A7513" t="inlineStr">
        <is>
          <t>分業</t>
        </is>
      </c>
      <c r="B7513" t="inlineStr">
        <is>
          <t>成功</t>
        </is>
      </c>
      <c r="C7513" t="inlineStr">
        <is>
          <t>読み方：ぶんぎょう
［名］(スル)
１手分けして仕事をすること。「時間がないので—して進める」
２
㋐生産の全工程を分割し、異なった労働者によって分担されること。個別的分業。
㋑社会的総労働が各産業部門に分割・専門化されること。社会的分業。</t>
        </is>
      </c>
      <c r="D7513" t="inlineStr">
        <is>
          <t>分業化(14%)；分業制(9%)；分業的(3%)；分業システム；分業生産</t>
        </is>
      </c>
      <c r="F7513" t="inlineStr">
        <is>
          <t>完全分業；性別分業；歴史的な分業</t>
        </is>
      </c>
      <c r="H7513" t="n">
        <v>29</v>
      </c>
      <c r="I7513" t="inlineStr">
        <is>
          <t>一人で自給自足するより多くの人間が分業で生産した方が効率が上がる。；江戸期から分業制が確立し、こうした町ごとでそれぞれが作業していた。；他の国だったら当然、それぞれの専門家の分業になっているのですが。；これは東アジアの商業音楽業界が長いあいだ分業制であったためである。；この理論はまた、左利きの人々が脳の分業を逆転させていると予測する。；製造工程はすべて一人で行われてきたが、近年では分業でも製作している。；現代では完全に分業化されており、大まかに企画職と開発職に別れている。；分業制の国では、依頼者と会って直接仕事をするのは事務弁護士である。；漫画家は単独で仕事をしている場合と、分業で仕事をしている場合がある。；吾々はこの近代文化の本質とも見るべき分業制度を如何に取扱ふべきか。；即ち男女の天職は本能的に定められて、自然の分業を為しおるんである。；今ここでは分業の事実を、その性質または起源については研究しない。；眼耳鼻舌と分業が行われ出したのは、つい近頃の事であると思います。；ボルシェルトはこの作業形態が分業の最初期の例だと指摘している。；それも分業であるため、同じ形、同じ模様、同じ色への繰り返しなのです。；江戸時代になると分業制が発達し広く普及するようになった。；分業や階層化が進んでいたことが、殉死者を伴う墓などからうかがえる。；社会性昆虫にもこのような労働や作業の分業が見られる例もある。；ビジネスの拡大は、企画チームのなかでデザイン作業の分業化を促進した。；男性は野の獣があるように、始めは甘んじて、勇んでこの分業に従事した。；この社会では分業を条件とする階級構造が成り立っているのだ。；昨夜あれほどの諍いがあったにもかかわらず、朝の分業は淡々と行なわれた。；さいとうが確立した漫画制作の分業制は、自身の死をもって究極の形となった。；ルーベンスはこの作品をヤン・ブリューゲル2世と分業して制作している。；また製造業を兼ねた大商店になると、すべてのこと分業的組織となっている。；昭和五十年代に入ると分業化から、工場集約型の製造体制が登場。；陶工と絵付師が分業するようになったのは、このころとされている。；まさにこの頃に工場では兵器の全ての部品の機械製造に限り、労働の分業化がついに実現された。；そしてこの交易ネットワークは高度に整備されており、商人の分業も進んでいた。</t>
        </is>
      </c>
      <c r="J7513">
        <f>HYPERLINK("https://www.weblio.jp/content/分業", "词义详情")</f>
        <v/>
      </c>
      <c r="K7513">
        <f>HYPERLINK("https://yourei.jp/分業", "查看例句")</f>
        <v/>
      </c>
    </row>
    <row r="7514">
      <c r="A7514" t="inlineStr">
        <is>
          <t>文型</t>
        </is>
      </c>
      <c r="B7514" t="inlineStr">
        <is>
          <t>成功</t>
        </is>
      </c>
      <c r="C7514" t="inlineStr">
        <is>
          <t>読み方：ぶんけい
文の構成上の類型。個々の具体的な文表現から抽出した各種の文の形式を文例によって組織的に示すもの。</t>
        </is>
      </c>
      <c r="H7514" t="n">
        <v>29</v>
      </c>
      <c r="I7514" t="inlineStr">
        <is>
          <t>これまでは下記の文型が主要かつ重要なものであるとして扱われてきた。；画面で必要な文型と単語を選択することで文章を構成することができる。；つまり同じ動詞を同じ文型で用いても意味が異なることが充分にある。；文型とは文の構造を分類する方法あるいは分類したものである。；基本的な文型は主語・目的語・動詞の順で、この点では日本語と同じである。；そして、その語順を決めているのが、動詞の語法すなわち5文型である。；これを説明するために8文型理論が提唱されている。；このことから、文法書においては、動詞型よりも文型のほうが好まれる。；こういうやりとりを教育の分野ではパターン・プラクティス、文型練習という。；また第2文型のうちVがbe動詞の場合を特別に扱う考えもある。；これにより、未知の文型などをより良く理解したり、獲得したりすることが出来る。；英文法には、動作や状態が継続していることをさし、その状態を指す文型に進行形がある。；しかし、日本語ではこれらの文型に本質的な違いはない。；実際に5文型の概念を重用するのは次の場合である。；この2つのセンテンスは、文型はちがいますが、実質的意味はおなじです。；文型とは、言語において、文における語順のおき方を定めたルールのことである。；基本8文型においては上述の基本5文型に加え以下の3文型が追加される。；どの国の言葉にも、物や事柄などさまざまな対象を、必要に応じて適切に表現するための単語や文型、そしてそれらの用いかたのルールが、きちんと存在している。；また、「動詞をどの文型で使うのか」が決まるだけで意味が完全に確定するのかというと、そうとは限らない。；そのため、動詞型の概念と文型の概念は英語においては理論上は本質的に等価な概念となる。；人文科学コースは桜丘高校文型志望生徒の中で優秀な生徒を集め地元である*金沢大学以上の大学に進学することを目的としたクラスである。；世の中の森羅万象を言い表し、いま現在の自分の思いや考えを展開し伝えるのに用いる語彙や文型の圧倒的多数は、気も遠くなるほど昔に生まれたものだ。；ここでは第2文型は挙げていない。；普通科では二年次から進路希望に応じて文型・国際理解・理型の三つに分かれる。；その結果、文型の分類も可能となる。；中学の時になんとなくわかったつもりでいたSVOC、なんていう文型が、生き生きとした意味をもって二人の脇をクリアに整理していた。；どんなに知的水準の高い家庭であれ、日常茶飯のやりとりに用いられる語彙や文型は限られているものだ。；この物語上手な先生は、多様な語彙と文型と文体に、面白く自然な形で数限りなく出会う機会を与えてくれた。；英文は、「どの動詞はどの文型とどの文型で使うことが出来、この文型で用いた場合はこのような機能や意味を持つ」と考えることで意味が分かる。</t>
        </is>
      </c>
      <c r="J7514">
        <f>HYPERLINK("https://www.weblio.jp/content/文型", "词义详情")</f>
        <v/>
      </c>
      <c r="K7514">
        <f>HYPERLINK("https://yourei.jp/文型", "查看例句")</f>
        <v/>
      </c>
    </row>
    <row r="7515">
      <c r="A7515" t="inlineStr">
        <is>
          <t>文芸</t>
        </is>
      </c>
      <c r="B7515" t="inlineStr">
        <is>
          <t>成功</t>
        </is>
      </c>
      <c r="C7515" t="inlineStr">
        <is>
          <t>読み方：ぶんげい
１言語によって表現される芸術の総称。詩歌・小説・戯曲などの作品。文学。
２文学とその他の芸術。また、学問と技芸。学芸。芸文。「—の興隆期」</t>
        </is>
      </c>
      <c r="D7515" t="inlineStr">
        <is>
          <t>文芸懇話会(3%)；文芸的(3%)；文芸書(2%)；文芸欄(2%)；文芸活動</t>
        </is>
      </c>
      <c r="E7515" t="inlineStr">
        <is>
          <t>文学；純文学；読み物；詞章；読物</t>
        </is>
      </c>
      <c r="F7515" t="inlineStr">
        <is>
          <t>一般文芸；文芸部長；文芸思潮；新文芸；文芸サークル</t>
        </is>
      </c>
      <c r="G7515" t="inlineStr">
        <is>
          <t>文芸評論家；文芸誌；文芸家；文芸雑誌；文芸作品</t>
        </is>
      </c>
      <c r="H7515" t="n">
        <v>29</v>
      </c>
      <c r="I7515" t="inlineStr">
        <is>
          <t>また、これがきっかけで小説が他の文芸紙にも掲載されるようになる。；その後はインターネットを媒体とした文芸活動が台湾の主流となってきた。；その他、漫画・文芸を問わず種々の雑誌に多数の短編が掲載されている。；その動きは文芸・美術・音楽・演劇などさまざまな芸術分野に及んだ。；文氏の家系には文芸に秀でた者が多く輩出され、特にこれを文派という。；この王の治世にフランスの美術および文芸は重要な発展をみることとなった。；文芸や芸術創造活動と人の精神的な問題とのかかわりに関心を持った。；それでも、木版が人類の学問・文芸・芸術の発展に重要な役割を果たした。；以後ミステリや一般文芸に活動の場を広げながら、執筆活動を続けている。；フランスとの独立戦争が始まると作家たちは抗仏のための文芸活動を行う。；文芸面は、在ソ連高麗人たちの文芸作品の唯一の発表の場となっていた。；このころの八軒家浜の様子は多くの文芸・美術作品に描かれている。；学生運動の一拠点でもある武蔵野文芸大学に、一人の少女が入学してきた。；肩書きの多いことに現れているように、鷗外は文芸活動の幅も広かった。；エリック・ペヴェナージ の作品の特徴は造形的かつ文芸的であること。；フリードリヒは優れた詩人であり、同時に文芸の保護にも熱心だった。；前期の文芸は京都大阪といった上方が中心で、後期は江戸が中心となる。；大学卒業後は、文芸書を刊行している出版社に勤めながら詩作に励んだ。；小説以外の様々なジャンルの文学・文芸に特化した文学賞も数多く存在する。；新プラトン主義の思想はルネサンスの文芸・美術にも大きな影響を与えた。；一般文芸では、過去に実写化されていた小説が新たにアニメ化されることが多い。；高校生及びそれに相当する者を対象とする全国規模の文芸コンクールである。；このような価値基準は文芸のみならず、家格や人物評価にまで及ぶ。；同性愛者でありながら社交界や文芸界にも大きな勢力をもっていた。；天武天皇は古来の伝統的な文芸・伝承を掘り起こすことに力を入れた。；吉川英治の著作を多数出版していたほか、学術・文芸書を出版した。；このほかにも、ウルドゥー語を用いた文芸活動もこの頃から宮廷で流行しはじめた。；庶民文芸の発展や鎌倉新仏教の地方への広まりなどはその現れである。；木蘭山は中国の様々な伝承文芸に登場する武人、木蘭の故郷とされる。</t>
        </is>
      </c>
      <c r="J7515">
        <f>HYPERLINK("https://www.weblio.jp/content/文芸", "词义详情")</f>
        <v/>
      </c>
      <c r="K7515">
        <f>HYPERLINK("https://yourei.jp/文芸", "查看例句")</f>
        <v/>
      </c>
    </row>
    <row r="7516">
      <c r="A7516" t="inlineStr">
        <is>
          <t>文献</t>
        </is>
      </c>
      <c r="B7516" t="inlineStr">
        <is>
          <t>成功</t>
        </is>
      </c>
      <c r="C7516" t="inlineStr">
        <is>
          <t>読み方：ぶんけん
《「献」は賢人の意》
１昔の制度・文物を知るよりどころとなる記録や言い伝え。文書。
２研究上の参考資料となる文書・書物。「参考—」</t>
        </is>
      </c>
      <c r="D7516" t="inlineStr">
        <is>
          <t>文献上(5%)；文献記録；文献史料；文献調査；文献等</t>
        </is>
      </c>
      <c r="E7516" t="inlineStr">
        <is>
          <t>文学；文芸；出典；典拠；読み物</t>
        </is>
      </c>
      <c r="F7516" t="inlineStr">
        <is>
          <t>日本語文献；貴重な文献；様々な文献；重要な文献；関連文献</t>
        </is>
      </c>
      <c r="G7516" t="inlineStr">
        <is>
          <t>文献資料；文献学者；文献史学；文献通考；文献皇后</t>
        </is>
      </c>
      <c r="H7516" t="n">
        <v>29</v>
      </c>
      <c r="I7516" t="inlineStr">
        <is>
          <t>文献の内容が法然自身の語った思想であるか否かについては議論がある。；業平がモデルと言われる人物はさまざまな物語や文献に登場している。；建物の具体的な構造は不明だが、文献史料から伏見城の存在が知られる。；以降は技術文献等では専らグラウンドアンカーの名称が用いられている。；これは参加チームを見ても分かるし、多くの文献に記述されている。；後述の文献にて、研究を総説する2010年代の論文が提示されている。；インド・ヨーロッパ語族の言語のうちもっとも古い文献の残る言語である。；流通している書籍と文献にもこの分類にしたがっているものも多い。；まず文献を調査し、その後交霊会で観察した現象をテストしようと試みた。；本記事を書くにあたって主に参考にした文献の情報を以下に記載する。；対応する文献が発見されていないので時期や原因を知ることは今のところできない。；これをベクトル空間の公理に独立した条件として加えている文献もある。；毒ガス弾が使用されたとする文献もあるが、諸説があり定まっていない。；この地のメッセが初めて文献に見られるのは1160年ころのことである。；実際に本文中で出典として使用している箇所を明示している文献を示す。；学習教材や研究文献以外の言語表記で目にすることはほとんどない。；プノンペン支部党委員会の学生運動担当委員になったと書く文献もある。；日米以外の当事者であるフィリピン人などの手になる文献も存在する。；本プロジェクトから基準とする分類体系・文献を提案しておきます。；確実なタロット占いの記録が文献に現れるのは18世紀以降のことである。；また、発見の古い温泉ではその利用の歴史もかなり古くから文献に残されている。；千年ほど前には黄河以北にも生息していたことが中国の文献に記載されている。；また、地方の神社や地方誌の中にも上記の文献群には見られない伝承を残している。；また、企画段階では本機が主役機になる予定だったとする文献もある。；ドイツ語では といい、このため古い文献ではプロセントと表記されている。；ユダヤ教では、この他にタルムードをはじめとしたラビ文献も重視する。；忌避説が文献に最初に発表されたのは1964年の『松戸市史』である。；このため、チューリング機械の定義の詳細は文献によって異なっている。；サッポーに関する信頼できる文献は少なく、その生涯ははっきりしない。</t>
        </is>
      </c>
      <c r="J7516">
        <f>HYPERLINK("https://www.weblio.jp/content/文献", "词义详情")</f>
        <v/>
      </c>
      <c r="K7516">
        <f>HYPERLINK("https://yourei.jp/文献", "查看例句")</f>
        <v/>
      </c>
    </row>
    <row r="7517">
      <c r="A7517" t="inlineStr">
        <is>
          <t>文語</t>
        </is>
      </c>
      <c r="B7517" t="inlineStr">
        <is>
          <t>成功</t>
        </is>
      </c>
      <c r="C7517" t="inlineStr">
        <is>
          <t>読み方：ぶんご
１話し言葉に対し、文字に書かれた言葉の総称。書き言葉。文字言語。⇔口語。
２文章を書くときに用いられる、日常の話し言葉とは異なった独自の言葉。特に、平安時代語を基礎にして独特の発達をとげた書き言葉をいう。⇔口語。</t>
        </is>
      </c>
      <c r="D7517" t="inlineStr">
        <is>
          <t>文語的(5%)；文語調(5%)；文語詩；文語ウェールズ語；文語アラビア語</t>
        </is>
      </c>
      <c r="F7517" t="inlineStr">
        <is>
          <t>オイラト文語；共通文語；アラビア語文語；文語的な表現</t>
        </is>
      </c>
      <c r="G7517" t="inlineStr">
        <is>
          <t>文語文；文語訳；文語文法；文語訳聖書；文語聖書</t>
        </is>
      </c>
      <c r="H7517" t="n">
        <v>29</v>
      </c>
      <c r="I7517" t="inlineStr">
        <is>
          <t>言語が思想を十分に表はすと云ふことが初めて文語になつてから完全になる。；中学卒業後は小学校教師の職についたり、文語の小説を書いたりしていた。；此の則と云ふことは文語になつて來てから又一層精しくなるのであります。；これによりセルビア人とクロアチア人は同一の文語を持つこととなった。；これは1つめに挙げた文語口語混淆体短歌とほぼ時を同じくして現れた。；文語では と否定語とを同時に用いるが、口語ではしばしば が脱落する。；単独で否定の意味を持つのは一部の文語表現だけである。；さらにこれをモデルとして、東京およびその近郊数箇所で文語教室を開いた。；名称はゾンカ語およびチベット古典文語で「一切を明らかにする」の意。；日本語の古典的な文体である文語は主に平安時代までに完成した。；シンハラ語の文語には、サンスクリット由来の語が多く含まれている。；ただし、スカンディナヴィア側のサーミ諸方言には共通した文語も多い。；普通文語に翻訳すると、それは短くて要領を得たものであった。；或内容を表出せんとするに当つて、文語によると口語によるとは詩人の自由である。；文章が文語ですが弾力にとんでいて、やはり箕作の談論に似て居ります。；そのため人々は他地域の人々との間では日常の会話では使わない文語を話して意思疎通を図っていた。；上記の翻訳は文語的なウェールズ語であり、より口語的な翻訳が必要とされていた。；文字で書かれるシンハラ語はすべて文語であり、正式な発言も文語で行われる。；一方で、独自の文語を持つオイラトはモンゴル族として識別されている。；文語であるからといって、用言が活用しているわけではない。；口語と文語、聞き言葉と読み言葉の間には著しい隔たりがあるからだ。；シンハラ語の文語と口語の間には多くの面で相違点がある。；こんな風にして、死んだ言葉が生きて来、又文語とそれと、調和した様な言葉が出来て来た。；その意味であれは紛れもなく一種の文語なのである。；そうして、この文語と口語との差は、いちじるしく開いてしまっていました。；今私は、文語は、口の上に記録し、頭に記憶する責任を感じてゐる文章だ、と云うて置きたい。；文語体は、文語を用いて書かれた日本語の文章形式のこと。；訳文は文語でも口語でもない現代的な文章であり、ひらがなが多用されている。；文語が安定していなかったので語形に揺れがある。</t>
        </is>
      </c>
      <c r="J7517">
        <f>HYPERLINK("https://www.weblio.jp/content/文語", "词义详情")</f>
        <v/>
      </c>
      <c r="K7517">
        <f>HYPERLINK("https://yourei.jp/文語", "查看例句")</f>
        <v/>
      </c>
    </row>
    <row r="7518">
      <c r="A7518" t="inlineStr">
        <is>
          <t>分散</t>
        </is>
      </c>
      <c r="B7518" t="inlineStr">
        <is>
          <t>成功</t>
        </is>
      </c>
      <c r="C7518" t="inlineStr">
        <is>
          <t>読み方：ぶんさん
［名］(スル)
１物事がばらばらに分かれ散ること。また、分け散らすこと。「—して宿泊する」
２物理学で、同一媒質中の波の進行速度が、振動数によって変化する現象。光が波長によりスペクトルに分解することなど。
３化学で、一つの相になっている物質中に、他の物質が微粒子の状態で散在している現象。
４資料の散らばりぐあいを表す値。各値と平均値との差を2乗し、算術平均したもの。分散の正の平方根が標準偏差となる。
５江戸時代、借金を返済しえないとき、債権者全部の同意を得て財産の全部を提供し、額に応じて債権者に割り当てて返済すること。現在の破産にあたる。
「明日—にあうても」〈浮・胸算用・一〉</t>
        </is>
      </c>
      <c r="D7518" t="inlineStr">
        <is>
          <t>分散する(7%)；分散させる(4%)；分散化(3%)；分散配置(3%)；分散式</t>
        </is>
      </c>
      <c r="E7518" t="inlineStr">
        <is>
          <t>普及；分離；分裂；散らし；ばらばら</t>
        </is>
      </c>
      <c r="F7518" t="inlineStr">
        <is>
          <t>広く分散；動力分散；高分散；地方分散；分散配備</t>
        </is>
      </c>
      <c r="G7518" t="inlineStr">
        <is>
          <t>分散コンピューティング；分散和音；分散システム；分散関係；分散処理</t>
        </is>
      </c>
      <c r="H7518" t="n">
        <v>29</v>
      </c>
      <c r="I7518" t="inlineStr">
        <is>
          <t>集落は谷に沿って分散しており、それぞれの集落間の距離もかなりある。；自治体行政の分散を図る観点から、ハムは住民共同体 を形成している。；このことから近親交配を避け各地の生息域に分散している可能性もある。；このような相違は胞子分散の様式に関係しているとも考えられている。；オープン当初は離れた場所に無料の臨時駐車場も設け混雑を分散させた。；これらは、東京都心部に集中したオフィスを分散するために計画された。；胞子の分散には、哺乳類やある種のハエが関与しているといわれている。；すべてのものは、生成と破壊・分散の区別なく道において一となっている。；付随して頸部への打撃を分散するプロテクターが付いている場合が多い。；これらのモーメントは、平均値と分散の影響を除くように標準化される。；しかし、ヨーロッパ人と接触したころにはすでに人々の分散が進んでいた。；は、複数の企業から個人にオフィスを貸し出す分散型のセンターである。；これは、大規模で分散したチームで作業できるようにすることを目的としている。；また互いに矢を交換することで、獲得した獲物の所有者を分散させている。；これは、利用可能なガスのほとんどが消費されるか広く分散してしまうまで続く。；後述する搭載機器はこの機器室内と床下に分散して配置してある。；また、個別分散的だった商人が集団を作るようになり、商幇と呼ばれた。；以前はDCOMだけで可能だったコンポーネントの分散化も可能となった。；緑営は明の兵制を解体した後に再編成したもので、各地に分散して配置された。；また6時台を中心に放送していたオリジナル制作を分散させた。；群れと分散の重要性を説く二つの論文は生態学に大きな影響を与えた。；集落は役場のある村西部と、奥飛騨温泉郷を擁する東部に分散している。；ただし飛行機の場合、各部分は世界各地で分散して生産されている。；博物院の機能の分散化を図るとともに、アジア文化をテーマとしている。；原産地では堤防が決壊し氾濫することで、流れが分散されることもある。；低分散分光器は、分光像をそのまま撮影できるようにした装置のこと。；危険分散のため、何枚か同じ被写体を露出を変化させて撮る人もいる。；大学施設は市内に分散しているが、大部分は、中心地の旧市街に位置している。；この機能を適用することで、トラフィックの分散を図ることができる。</t>
        </is>
      </c>
      <c r="J7518">
        <f>HYPERLINK("https://www.weblio.jp/content/分散", "词义详情")</f>
        <v/>
      </c>
      <c r="K7518">
        <f>HYPERLINK("https://yourei.jp/分散", "查看例句")</f>
        <v/>
      </c>
    </row>
    <row r="7519">
      <c r="A7519" t="inlineStr">
        <is>
          <t>分子</t>
        </is>
      </c>
      <c r="B7519" t="inlineStr">
        <is>
          <t>成功</t>
        </is>
      </c>
      <c r="C7519" t="inlineStr">
        <is>
          <t>読み方：ぶんし
１原子の結合体で、その物質の化学的性質を失わない最小の構成単位。一つの原子よりなる単原子分子（ヘリウムなど）、二原子分子（水素・酸素・窒素など）、三原子分子（水・二酸化炭素など）から、数千〜数万の原子よりなる高分子まであり、主に共有結合で結び付いている。
２団体を構成している各個人。集団の構成員。成員。「不平—を除く」
３ある性質や様相を形成している一部分。
「変化は則ち文学以外の—なり」〈子規・芭蕉雑談〉
４分数または分数式で、割られるほうの数や整式。⇔分母。</t>
        </is>
      </c>
      <c r="D7519" t="inlineStr">
        <is>
          <t>分子内(4%)；分子間(2%)；分子同士；分子機構；分子全体</t>
        </is>
      </c>
      <c r="F7519" t="inlineStr">
        <is>
          <t>dna分子；不満分子；単分子；小分子；危険分子</t>
        </is>
      </c>
      <c r="G7519" t="inlineStr">
        <is>
          <t>分子生物学；分子量；分子構造；分子雲；分子レベル</t>
        </is>
      </c>
      <c r="H7519" t="n">
        <v>29</v>
      </c>
      <c r="I7519" t="inlineStr">
        <is>
          <t>従来、生体分子の測定には多数の分子を対象とした実験系を用いていた。；しかしこれは分子情報に基づいて推定された系統関係とは合致しない。；は、分子同士や高分子内の離れた部分の間に働く電磁気学的な力である。；こうして遺伝現象の基本的な部分は分子の言葉で記述されるようになった。；高分子物質の通過は小分子物質の通過とは機構が異なると考えられている。；分子同士が衝突するためには分子は有限の大きさを持たなければならない。；粘弾性緩和の原因は各温度で高分子鎖の分子運動 が異なるためである。；分子形とイオン形では、吸収する光の波長が異なるので、違う色になる。；これは分子は素因数 を含むが分母は を素因数に持たないことによる。；ラグナロクは空気中の分子を利用し、人間の姿を形成することも可能。；立体化学は、分子内の原子の相対的な空間配置を示すために使用される。；多分子系は実験系の容易さや平均値の取りやすさから長らく行われてきた。；分子は小さいながらも大きさを持っているので、移動中に他分子と衝突する。；真核生物のmRNA分子とそれに結合したタンパク質を合わせてと呼ぶ。；RNA分子は植物の維管束系へ吸収され、その植物を食べる昆虫を殺す。；気体の温度を上げて行くと構成する中性分子が電離してプラズマになる。；分子は、その物質が持つ特性を維持したまま分割できる最小の単位と言える。；ナノ科学の進歩による分子スケールで動く機械の登場が期待されている。；これら2つの値がよく一致する分子もあれば、非常に悪い場合もある。；広義には電子のみならず、原子や分子が外部に放出される現象も含める。；分子生物学は、生命現象を分子を使って説明することを目的とする学問である。；全ての分子には、ある決まった周波数の電磁波を吸収する性質がある。；分子の平均配向方向は文字nで表記され、配向ベクトルと呼ばれている。；これに対して分子同士が十分衝突している領域を粘性流領域という。；この節では光化学の基本的な例として、一分子光解離を挙げて説明する。；この反応は、ラセン構造の内部にヨウ素分子が入り込むことに由来する。；さらに異なる軌道の混成も、他の種類の分子では確認されている。；生体高分子は、モノマー単位が共有結合して構成された大きな分子である。；また特に低温の星では、原子に加えて分子の吸収線も見られるようになる。</t>
        </is>
      </c>
      <c r="J7519">
        <f>HYPERLINK("https://www.weblio.jp/content/分子", "词义详情")</f>
        <v/>
      </c>
      <c r="K7519">
        <f>HYPERLINK("https://yourei.jp/分子", "查看例句")</f>
        <v/>
      </c>
    </row>
    <row r="7520">
      <c r="A7520" t="inlineStr">
        <is>
          <t>紛失</t>
        </is>
      </c>
      <c r="B7520" t="inlineStr">
        <is>
          <t>成功</t>
        </is>
      </c>
      <c r="C7520" t="inlineStr">
        <is>
          <t>読み方：ふんしつ
［名］(スル)《古くは「ふんじつ」とも》
１物がまぎれてなくなること。また、なくすこと。「重要書類が—する」「入館証を—する」
２抜け出して逃げること。
「その島を—して来ればこそ、おれが育った土地へも足踏みならず」〈伎・浮名横櫛〉</t>
        </is>
      </c>
      <c r="D7520" t="inlineStr">
        <is>
          <t>紛失物(2%)；紛失事件(2%)；紛失時；紛失防止；紛失届</t>
        </is>
      </c>
      <c r="E7520" t="inlineStr">
        <is>
          <t>敗北；失う；喪失；落とす；忘れる</t>
        </is>
      </c>
      <c r="F7520" t="inlineStr">
        <is>
          <t>死体紛失；書類紛失；指輪紛失；両紛失；御朱印紛失</t>
        </is>
      </c>
      <c r="G7520" t="inlineStr">
        <is>
          <t>紛失通信プロトコル；紛失通信</t>
        </is>
      </c>
      <c r="H7520" t="n">
        <v>29</v>
      </c>
      <c r="I7520" t="inlineStr">
        <is>
          <t>秘密書類が紛失したとなれば責任上主人も職を辞さなければなりません。；君がふとしたことから跋文を紛失したと青い顔をして来たときに思つた。；あのタイプの文面は1の数字のすぐあとの紙片が紛失していたんですよ。；この戦闘では刀、脇差などを紛失しながらも無刀で三人を討ったという。；眼鏡を紛失しないように、首に掛けておき着脱を容易にする働きがある。；回想録は一時原稿が紛失するが、後に発見され2001年に出版された。；紛失の場合と同様に新たな番号のカードへ切り替え再発行の依頼も検討する。；これを紛失した百両の代わりにし、この場を収めてくれるよう頼んだのである。；万が一柄が破損、紛失しても現場の適当な木の枝や金属棒で代用できる。；紛失・盗難時の取り扱いにも制限があったり取り扱いのない場合もある。；二三日するとおんつぁんが来て、何か紛失物はなかつたかと聞くのだつた。；そう思ったが、念のためしらべさせると、彼自身のものが紛失していた。；いずれにしても書類は紛失しているのですから、何人かの手にあるには違いない。；無記名式Suica扱いとなる場合は紛失時などの払い戻しができない。；なお作曲はこの頃からしていたとされるが、初期の作品はほとんど紛失している。；作刀数は多かったものの、実戦よる破損や紛失もあり残存数は多くない。；と云うのは金にも器類にも、紛失したものがないからであった。；私はふとあの写真が紛失するのではないかと不安になった。；注文誓約の紛失のため、賞金は実現競争よりもはるかに高い必要がある。；なお自筆譜はかつて紛失していたが、1995年になって再発見された。；一枚だけ紛失しているが、あとはこの通りそっくり現存している。；トランプの紛失ときいて、平戸先生はふと何事か気がついた様子であった。；弟が掛布雅之のサインボールを紛失したときは、ケンカになったと言う。；日記の原本は司令部へと送られる途中で紛失したとされている。；助六は、源氏の宝刀・友切丸が紛失したままになっていることを指摘した。；紛失したボタンに極力似た物を付けるため世界中のボタンを保管している。；六つ目玉を光らしているまえで紛失したなどというから不思議に思うんだ。；いろいろ訪ねてみると、その鍵がどうして紛失したかハッキリしないのです。；大切にしている人形を紛失させられたときにも、このように激昂したことがある。</t>
        </is>
      </c>
      <c r="J7520">
        <f>HYPERLINK("https://www.weblio.jp/content/紛失", "词义详情")</f>
        <v/>
      </c>
      <c r="K7520">
        <f>HYPERLINK("https://yourei.jp/紛失", "查看例句")</f>
        <v/>
      </c>
    </row>
    <row r="7521">
      <c r="A7521" t="inlineStr">
        <is>
          <t>噴出</t>
        </is>
      </c>
      <c r="B7521" t="inlineStr">
        <is>
          <t>成功</t>
        </is>
      </c>
      <c r="C7521" t="inlineStr">
        <is>
          <t>読み方：ふんしゅつ
［名］(スル)狭いところから強い勢いでふき出すこと。また、ふき出ること。「火口から水蒸気が—する」</t>
        </is>
      </c>
      <c r="D7521" t="inlineStr">
        <is>
          <t>噴出する(18%)；噴出物(8%)；噴出口(2%)；噴出させる；噴出量</t>
        </is>
      </c>
      <c r="E7521" t="inlineStr">
        <is>
          <t>勃発；放出；噴火；射出；噴き出す</t>
        </is>
      </c>
      <c r="F7521" t="inlineStr">
        <is>
          <t>ガス噴出；噴出速度；噴出管a；噴出物によって覆わ；噴出するマグマ</t>
        </is>
      </c>
      <c r="H7521" t="n">
        <v>29</v>
      </c>
      <c r="I7521" t="inlineStr">
        <is>
          <t>何が原因となってこれほどに大規模なガスの噴出が起きたかは不明である。；その一方では以下のような境川個人の立場に対する批判も噴出していた。；さらには突如として炎が噴出し、一気にその場は火の海となってしまう。；噴水塔の上部には天使が、中ほどには口から水を噴出す竜の彫刻がある。；食べた瞬間に口から炎が噴出し、食べた者の背中で炎が燃え続ける。；また、この年だけ火薬を使ったビニールテープが噴出した演出もあった。；映画は作動時に機体後方から噴出する青い炎を確認する事ができる。；またこの頃はバブル崩壊の影響を受け、多くのスキャンダルが噴出した。；ケプラーには外側の高い縁辺には小さな噴出物のランパートが存在する。；噴出するものが泥や湯であっても規模によっては火口と呼ばれることがある。；これに対して韓国でも反中感情が噴出して韓中関係が急速に冷え込んだ。；耳腺の毒液は勢いよく噴出することもあるので、これにも注意を要する。；あまりにも恐ろしげで、悪魔的で私は噴出しそうになってしまった。；普段はおとなしいが、数年ごとに噴出し小さな火山のようになっている。；サリーがうめき声をあげると大量の血が噴出し床にしたたり落ちた。；報告書によると、1953年に主要な油井が突然噴出する事故があった。；しかし、この対応を発表してもなお、次のような批判が各方面から噴出した。；志賀山から噴出した溶岩によって川がせき止められたことで形成された。；火山は噴出する場所、特に水の存在によって噴火の様式が大きく変わる。；トルーマン演説以来、議員たちの間から400を超える質問が噴出した。；この事には政権内でも批判が噴出したが、サーレハは出馬を強行した。；底面は隣接するグルーシコが形成された際の噴出物によって覆われている。；このスーバイトは爆発などにより噴出した灰から形成される岩石である。；噴出した溶岩の岩質や形成時期は、北隣の大山火山の古期のものと類似する。；大口盆地付近は噴出物の層が薄かったため、これが盆地の原型となった。；このように問題点が噴出しており、ここ数年で社会問題化が顕著である。；曲は商業的に成功を収めたが、グループが単独で存続することが出来るかどうかの疑問が噴出した。；この行為が上院で報告されるとフランスでは抗議が噴出した。；風は南東向きに吹いたため噴出物は主にポンペイとその周りの地域に落下した。</t>
        </is>
      </c>
      <c r="J7521">
        <f>HYPERLINK("https://www.weblio.jp/content/噴出", "词义详情")</f>
        <v/>
      </c>
      <c r="K7521">
        <f>HYPERLINK("https://yourei.jp/噴出", "查看例句")</f>
        <v/>
      </c>
    </row>
    <row r="7522">
      <c r="A7522" t="inlineStr">
        <is>
          <t>文書</t>
        </is>
      </c>
      <c r="B7522" t="inlineStr">
        <is>
          <t>成功</t>
        </is>
      </c>
      <c r="C7522" t="inlineStr">
        <is>
          <t>読み方：ぶんしょ
《古くは「ぶんじょ」とも》文字で書き記したものの総称。書籍・書類・書状・証文など。書き物。ふみ。もんじょ。「—で回答する」「公—」</t>
        </is>
      </c>
      <c r="D7522" t="inlineStr">
        <is>
          <t>文書化(2%)；文書類；文書作成；文書群；文書課</t>
        </is>
      </c>
      <c r="E7522" t="inlineStr">
        <is>
          <t>記録；書；字；資料；執筆</t>
        </is>
      </c>
      <c r="F7522" t="inlineStr">
        <is>
          <t>xml文書；添付文書；家文書；記録文書；発給文書</t>
        </is>
      </c>
      <c r="G7522" t="inlineStr">
        <is>
          <t>文書課長；文書管理；文書偽造；文書ファイル；文書処理</t>
        </is>
      </c>
      <c r="H7522" t="n">
        <v>29</v>
      </c>
      <c r="I7522" t="inlineStr">
        <is>
          <t>古い文書の記述を信用するのであれば、日本の馬は江戸期に小型化した。；その時にガブリエルが現われ、その文書を天界の裁判所へ持って行った。；物体化説では、文書を物理的に作成した者が文書の作成者であるとする。；文書を書いたり、手紙を読み書きするのに必要な道具類のことである。；モリヨンの名称が使用された最古の記録は1283年の法律文書だった。；後の古代オリエントの王国や帝国は文書収集の長い伝統を持っていた。；それらの文書のほとんどはリチャード・ストールマンにより作成された。；東ローマ帝国の文書内ではPontosとだけ記述されている場合が多い。；プロジェクト関連文書の更新状況は次の場所で参照できます。；テキストエディタの利用目的のひとつに、日常的な文書の編集がある。；多くのウェブページは他の関連する文書へのハイパーリンクを含んでいる。；これは様々な文書から確認することができるのであります。；以下は、 の基本的な3つの標準規格を定義した文書のリストである。；ただしこの文書がどのように使用されたかは不明である。；顧客への参照と注文された商品への参照を含む簡単なXML文書の例を考える。；こういった背景もあり、一般向けの文書には明らかに誤りを含んだ解説がある。；疎結合システムでは、一般に人間にも読める中間文書を使って通信を行う。；XML文書では文書型宣言を記述してもよいし、記述しなくてもよい。；この文書は同地の住民たちに大受けしたようで、彼の人気は一気に高まった。；また、日記の著者が後日になって改めて文書を整理して清書した例もある。；また同時に、文書の一部分を文書内の他の箇所から参照する手段を提供している。；この場合のプロットは、製作者が読むことを前提としたビジネス文書である。；その頃からカフェやバーでメモや短い文書を書きなぐる習慣ができた。；当時の文書には単に金と記されていることが多く、「金百両」などと表記された。；実際に目にするものは、よく整形され視覚化された文書だけである。；庶民はこの文字を使い詩や歌を記録し、また私文書に使用した。；以下の一貫性のある組立単位は、SI文書第9版には掲げられていない。；また、政党の目的とその実現の道筋を定めた文書は一般に綱領と呼ぶ。；SGMLは非常に大きな規模の文書を扱う現場で広く受け入れられ、利用された。</t>
        </is>
      </c>
      <c r="J7522">
        <f>HYPERLINK("https://www.weblio.jp/content/文書", "词义详情")</f>
        <v/>
      </c>
      <c r="K7522">
        <f>HYPERLINK("https://yourei.jp/文書", "查看例句")</f>
        <v/>
      </c>
    </row>
    <row r="7523">
      <c r="A7523" t="inlineStr">
        <is>
          <t>文章</t>
        </is>
      </c>
      <c r="B7523" t="inlineStr">
        <is>
          <t>成功</t>
        </is>
      </c>
      <c r="C7523" t="inlineStr">
        <is>
          <t>読み方：ぶんしょう
１文を連ねて、まとまった思想・感情を表現したもの。主に詩に対して、散文をいう。
２文法で、文よりも大きな単位。一文だけのこともあるが、通常はいくつかの文が集まって、まとまった思想・話題を表現するもの。
３威儀・容儀・文辞などとして、内にある徳の外面に現れたもの。
「およそはこの大臣(おとど)—うるはしうして」〈平家・三〉</t>
        </is>
      </c>
      <c r="D7523" t="inlineStr">
        <is>
          <t>文章化；文章量；文章全体；文章そのもの；文章作成</t>
        </is>
      </c>
      <c r="E7523" t="inlineStr">
        <is>
          <t>資料；文；文書；論文；著作</t>
        </is>
      </c>
      <c r="F7523" t="inlineStr">
        <is>
          <t>長い文章；こんな文章；こういう文章；やすい文章；美しい文章</t>
        </is>
      </c>
      <c r="G7523" t="inlineStr">
        <is>
          <t>文章生；文章語；文章家；文章表現；文章力</t>
        </is>
      </c>
      <c r="H7523" t="n">
        <v>29</v>
      </c>
      <c r="I7523" t="inlineStr">
        <is>
          <t>画面で必要な文型と単語を選択することで文章を構成することができる。；文章は企画経緯から製作工程の順を追って説明するようにしてください。；終章でも時間軸上冒頭の時点で書かれた、日本語の文章が登場している。；実際、昭和天皇は自分が神の子孫であることを否定した文章を削除した。；これは飛行機についてドイツ語で書かれた最も早い文章の一つである。；ドイツでもすべての文章がフラクトゥールで印刷されたわけではない。；そのクラスで自分の書いた文章を売ったことがあるのは彼ら二人だけだった。；判読困難なものがあるが、ほぼ全ての表面がこれらの文章で覆われている。；各目には、諸々の書物から記事や文章を抜粋した上で分類排列している。；フォアはこの文章を星座占いの文章を組み合わせて作文したのであった。；会話だけでなく、あらゆる言語で書かれた文章を読むこともできる。；どちらを選ぶかは関連する文章やその言語の習慣によるものとする。；一部のクロスワードにはカギを文章ではなく絵や図で表すものがある。；ボームが文章で表現していない部分でもデンスロウはその特徴を表現した。；彼女は日本の雅や和の美しさの要素を、自らの文章と音楽で表現している。；各山の文章中に、山周辺の地図と山の白黒写真が挿入された版もある。；しかしこの時期においても知識階級の文章言語はラテン語のままであった。；損傷しているため、3つの文章のうち完璧な状態で残っているものはない。；彼はまた、この紛争への見解を表明する文章を書き、より広く出版された。；この資料にはけん玉の図はなく文章で紹介されているだけだった。；承認後、最終的な文章には編集上のわずかな変更しか加えることができない。；日常会話や文章などでは両者は区別されるのが普通である。；中国語には助字を添加してもしなくても文章が成立するという性質がある。；これは巧みな形で天皇・皇室の維持を認めている曖昧な文章であった。；彼らは、楽に読める文章は全く真実を語る本ではないと思っている。；図と文章などを使って、解りやすく解説してあるのが一般的である。；左右の手で別々の文章や絵を描くことができる両手両利きであった。；オープニングとエンディングでは一枚絵と文章でストーリーが表現される。；文章内容はナショナル・ギャラリーの建設を提唱するものであった。</t>
        </is>
      </c>
      <c r="J7523">
        <f>HYPERLINK("https://www.weblio.jp/content/文章", "词义详情")</f>
        <v/>
      </c>
      <c r="K7523">
        <f>HYPERLINK("https://yourei.jp/文章", "查看例句")</f>
        <v/>
      </c>
    </row>
    <row r="7524">
      <c r="A7524" t="inlineStr">
        <is>
          <t>噴水</t>
        </is>
      </c>
      <c r="B7524" t="inlineStr">
        <is>
          <t>成功</t>
        </is>
      </c>
      <c r="C7524" t="inlineStr">
        <is>
          <t>読み方：ふんすい
１ふき出る水。「—器（＝ポンプ）」
２公園などの池の中に設けられる、水がふき出るように作った装置。また、その水。ふきあげ。噴泉。《季夏》「—の穂を折る風の出て過ぎぬ／立子」</t>
        </is>
      </c>
      <c r="D7524" t="inlineStr">
        <is>
          <t>噴水孔(3%)；噴水広場(3%)；噴水池；噴水前；噴水塔</t>
        </is>
      </c>
      <c r="E7524" t="inlineStr">
        <is>
          <t>泉；吹き上げ；吹上げ</t>
        </is>
      </c>
      <c r="F7524" t="inlineStr">
        <is>
          <t>小さな噴水；巨大な噴水；記念噴水；白い噴水；池袋サンシャインシティ噴水</t>
        </is>
      </c>
      <c r="H7524" t="n">
        <v>29</v>
      </c>
      <c r="I7524" t="inlineStr">
        <is>
          <t>そして広場に設置された噴水がこの水を象徴化する主な場所となった。；彼はまた噴水の処へ戻って来てその周囲を走るように探して歩いた。；芸術ホールには噴水と様々な塑像が設置された小さな公園が付属している。；それからベリー公の記念碑の所に噴水をこしらえてるというじゃないか。；回復はひかりのふんすいで行うようになり自動では回復しなくなっている。；噴水塔の上部には天使が、中ほどには口から水を噴出す竜の彫刻がある。；画館をめぐった緑の濃い樹の蔭から朝の噴水が正しい姿で光っていた。；ああ、それにしても噴水の鶴が歌など唄い出すようになったのであるか。；軟骨魚類には眼の後方に噴水孔・呼吸孔と呼ばれる左右一対の孔がある。；南東側の楕円形の噴水は破壊され、現在は博物館の建物が建てられている。；池に噴水や泉を設置する、というのもひとつの典型的なスタイルである。；公園内には異なった種類の木や花園、いくつかの彫像、噴水などがある。；建物前面には池と噴水が置かれ、敷地内で車を回せる空間が設けられた。；これは噴水として計画されたのだが、すぐにその用途では使われなくなった。；広場に中心にあるのが上海博物館で、その北隣には大きな噴水がある。；湖の中にある高さ 12 m の噴水は遠くからも見ることができる。；内耳の近くにあった噴水孔をふさぐ皮膚が鼓膜に変化したと考えられる。；円山公園の噴水のそばを二人はまるで恋人のようによりそって歩いた。；これは、よく知られた曲に合わせたカラー照明付きの噴水ショーである。；市の中心部にある3段の水盤を有する噴水は市の紋章にもなっている。；駅前にはかつて噴水があり、「水と緑のまち」を象徴するものであった。；公園な南北に長く、園内には広場や噴水、展望デッキなどを備えている。；また、噴水ではないが路上の突起物に片足を上げて放尿するの像もある。；眼は小さくて左右に離れており、その後ろには大きな噴水孔がある。；この庭園は軸を挟んで左右対称な形をしており、中心軸上に噴水と池がある。；噴水は数日のうちに解体され、部品は近くのフランケンホールへと輸送された。；その際にミスト噴水のオブジェを中心とした広場なども設置された。；建物の前にあるプレトリアス広場は、噴水や整備された庭園を含んでいる。；堀の内側には「水の庭園」が築かれ、複数の池や噴水などが設置された。</t>
        </is>
      </c>
      <c r="J7524">
        <f>HYPERLINK("https://www.weblio.jp/content/噴水", "词义详情")</f>
        <v/>
      </c>
      <c r="K7524">
        <f>HYPERLINK("https://yourei.jp/噴水", "查看例句")</f>
        <v/>
      </c>
    </row>
    <row r="7525">
      <c r="A7525" t="inlineStr">
        <is>
          <t>分析</t>
        </is>
      </c>
      <c r="B7525" t="inlineStr">
        <is>
          <t>成功</t>
        </is>
      </c>
      <c r="C7525" t="inlineStr">
        <is>
          <t>読み方：ぶんせき
［名］(スル)
１複雑な事柄を一つ一つの要素や成分に分け、その構成などを明らかにすること。「情勢の—があまい」「事故の原因を—する」
２哲学で、複雑な現象・概念などを、それを構成している要素に分けて解明すること。⇔総合。
３物質の組成を調べ、その成分の種類や量の割合を明らかにすること。</t>
        </is>
      </c>
      <c r="D7525" t="inlineStr">
        <is>
          <t>分析すること(2%)；分析的(2%)；分析結果；分析するため；分析法</t>
        </is>
      </c>
      <c r="E7525" t="inlineStr">
        <is>
          <t>研究；調査；試験；検討；検査</t>
        </is>
      </c>
      <c r="F7525" t="inlineStr">
        <is>
          <t>詳細な分析；情報分析；経済分析；成分分析；構造分析</t>
        </is>
      </c>
      <c r="G7525" t="inlineStr">
        <is>
          <t>分析手法；分析化学；分析官；分析機器；分析心理学</t>
        </is>
      </c>
      <c r="H7525" t="n">
        <v>29</v>
      </c>
      <c r="I7525" t="inlineStr">
        <is>
          <t>この機は陸軍航空総監部で、技術的な分析ののち飛行テストがなされた。；情報の構成要素を分解・分析する技術によって答えがでるとされている。；内容は春秋戦国時代の思想・社会の集大成と分析とも言えるものである。；PASMOなど相互利用カードのデータは集計・分析の対象にならない。；一方、耕一は自分の夢を分析することで、犯人は自分ではないと考える。；法制度を科学的に分析するための客観的論理を提供した点に功績がある。；名前のとおり、主に調査・分析を任務とする、等身大のロボットである。；地球上の生命の化学成分を分析すると、炭素を中心にしたものであった。；この「音韻的対立」こそが、言語の分析を行う上で重要な要素でもある。；計算複雑性理論は計算問題の難しさを様々な計算資源の観点で分析する。；情報の有効利用という観点では、ベイズ統計分析がはるかに優れている。；各分野ごとに分析すると世界シェアで上位を占めるメーカーもある。；この各々の段階の信仰内容はどうであったのかを分析・研究し、明確にする。；彼のに基づく科学的方法論の歴史的分析は、次のことを示唆している。；ここから逆に、恒星がどのような運動をしているかを分析することができる。；また、この衝突は木星大気の成分分析に関わる重要なデータを提供した。；計量経済学的分析に力を発揮することが経験的に証明されている。；その研究領域の広さから政策研究や政策分析とも呼ばれる。；データを分析および解釈する実際のプロセスは、計算生物学と呼ばれる。；このため現状では、あまり多くの分析は出来無いとの指摘が挙がっている。；逆に特攻推進派からは対策次第では十分な威力があるとの分析が出されている。；当時の冶金学者である俵国一は著書の中で次のような分析結果を示している。；日本軍は情報分析の結果、アメリカ軍の空母戦力を以下のように推定した。；分析・合成が不可能な未知の物質でできており、偽造は不可能である。；悪の定義はさまざまであり、その動機の分析もさまざまである。；データは何らかの形で分析されて初めて意思決定を行うのに適した情報となる。；またヴァザーリは、体系的な図像分析のための基本的技術を確立した。；ボイルの実験装置は代数学を使って分析結果を得ることを可能にした。；区分論において近年とりわけ注目されたのは森博達による分析である。</t>
        </is>
      </c>
      <c r="J7525">
        <f>HYPERLINK("https://www.weblio.jp/content/分析", "词义详情")</f>
        <v/>
      </c>
      <c r="K7525">
        <f>HYPERLINK("https://yourei.jp/分析", "查看例句")</f>
        <v/>
      </c>
    </row>
    <row r="7526">
      <c r="A7526" t="inlineStr">
        <is>
          <t>扮装</t>
        </is>
      </c>
      <c r="B7526" t="inlineStr">
        <is>
          <t>成功</t>
        </is>
      </c>
      <c r="C7526" t="inlineStr">
        <is>
          <t>読み方：ふんそう
［名］(スル)俳優が、その役柄らしく、身なりや顔かたちなどをつくり装うこと。また、その装い。一般に、ある人物などに似たかっこうをすることにもいう。「ピエロに—する」</t>
        </is>
      </c>
      <c r="D7526" t="inlineStr">
        <is>
          <t>扮装術；扮装行列；扮装ぶり；扮装写真</t>
        </is>
      </c>
      <c r="E7526" t="inlineStr">
        <is>
          <t>構成；制作；構造；作曲；合成</t>
        </is>
      </c>
      <c r="F7526" t="inlineStr">
        <is>
          <t>奇抜な扮装；身軽な扮装；異様な扮装；さまざまな扮装</t>
        </is>
      </c>
      <c r="H7526" t="n">
        <v>29</v>
      </c>
      <c r="I7526" t="inlineStr">
        <is>
          <t>さて、翌日から私はこの店で怪物の扮装をして歩きまわることになった。；その時はCMの扮装でバック・トラックを流し全員がギターを演奏した。；扮装をつけたままで、セットの準備ができるまで何時間でも待たされる。；しかし、あの扮装には、後見は一人もついていなかったのでございます。；天王薬叉も天女も皆彫刻や画にある通りの扮装をしていたと考えていい。；エジプトの槍持ちの扮装をしたエキストラは、指でその場所を示した。；おのおのその扮装をした捕方の人数だと認めないわけにはゆきません。；鳥に扮装した人物は、横たわった人物の台の後ろ側に立っていると思われる。；扮装は堅気の商人風、年の頃は三十前後、しかし商人ではなさそうだ。；どうも長門は自分の扮装を俺たちに見せに来ただけのようだった。；しかしなるほどとはいったものの、そんな妙な扮装の泥棒がいるのだろうか。；あの女も古館氏が片腕男の扮装をしていることには気がついたはずですからね。；あのポスターの周囲にはすでに二十三のちがった扮装写真が貼りつけられた。；三十一回目でわたしが勝ちわたしに扮装したカザリが先に帰ることとなった。；二人とも、その年齢に自分がなった時を推定して、扮装しました。；新聞の上には毎日のように、勘太の新しい扮装が付け加えられていく。；しかし千円で扮装の費用も自前であるから手取りは幾らにもならない。；像はマイケルがピーター・パンの扮装をした古い写真をモデルにしたとされた。；あの外人に扮装するための眼鏡やつけ髯がありはしないかと思ったからです。；つかつかとそばへよってきたのは、ホテルのボーイの扮装をした少年である。；戦場に出る時の扮装は、いつもきまっていて、それがまた、有名になった。；また、カメラマンを足軽に扮装させて合戦の中に入っての撮影も行われた。；幕があくと、キリストの扮装をした俳優が、十字架を背負って出て来る。；貞観の供養にさえも菩薩などは仏像彫刻と同じような扮装をしたらしい。；すり鉢の底のような独特の舞台に約千人の西印度扮装者が一時にあらわれる。；そいつは先にも云ったが、お前と同じ扮装をしていたのだ。；それから、俊夫君はお豊さんに扮装した俳優を蒲団の中へ寝かせました。；二人はすっかり扮装を終って、肩を並べて鏡の前に立った。；あの頃、あまり疑問に思わなかったけど、あれは何のつもりの扮装だったんだろう。</t>
        </is>
      </c>
      <c r="J7526">
        <f>HYPERLINK("https://www.weblio.jp/content/扮装", "词义详情")</f>
        <v/>
      </c>
      <c r="K7526">
        <f>HYPERLINK("https://yourei.jp/扮装", "查看例句")</f>
        <v/>
      </c>
    </row>
    <row r="7527">
      <c r="A7527" t="inlineStr">
        <is>
          <t>紛争</t>
        </is>
      </c>
      <c r="B7527" t="inlineStr">
        <is>
          <t>成功</t>
        </is>
      </c>
      <c r="C7527" t="inlineStr">
        <is>
          <t>読み方：ふんそう
［名］(スル)事がもつれて争うこと。もめごと。「領土問題で—する」</t>
        </is>
      </c>
      <c r="D7527" t="inlineStr">
        <is>
          <t>紛争解決(5%)；紛争地域(2%)；紛争地帯；紛争当事国；紛争当事者</t>
        </is>
      </c>
      <c r="E7527" t="inlineStr">
        <is>
          <t>困難；障害；故障；騒ぎ；面倒</t>
        </is>
      </c>
      <c r="F7527" t="inlineStr">
        <is>
          <t>法的紛争；内部紛争；軍事紛争；特許紛争；家事紛争</t>
        </is>
      </c>
      <c r="G7527" t="inlineStr">
        <is>
          <t>紛争ダイヤモンド；紛争鉱物；紛争理論；紛争フリーダイヤモンド；紛争調整委員会</t>
        </is>
      </c>
      <c r="H7527" t="n">
        <v>29</v>
      </c>
      <c r="I7527" t="inlineStr">
        <is>
          <t>この土地不足がチッタゴン丘陵地帯紛争の主な原因だと考えられている。；民族紛争とは、民族が異なるとする人々の間で起こる紛争のことをいう。；隣接する土地との境界線確定で紛争となることは昔から多く見られる。；北に隣接するセルビアは紛争当事国となって国際的な制裁下に置かれた。；彼はまた、この紛争への見解を表明する文章を書き、より広く出版された。；訴訟は、対象となる紛争の内容に応じて主に以下のように区別される。；政権内外の民族主義者は民兵組織を作るなどして紛争への関与を続けた。；紛争自体は数日で解決を見たが、両国関係には大きな傷がついたと思われた。；政党は社会に発生する紛争を政治問題として提示することが必要となる。；独立後、キリスト教とイスラム教が対立する宗教間紛争が多く起こった。；また小規模な紛争が世界戦争へと拡大する可能性も高めることとなる。；アメリカ軍では紛争をその規模から三つに大きく分類している。；設立から今日まで、世界各地の多くの戦争や紛争に関与してきた歴史がある。；そのため、紛争を解決するために第三者が仲裁役を務める慣習があった。；紛争が激化すると、戦闘の拡大を防ぐため停戦命令を発することがある。；紛争の影響でこれまでは未開であったが、今後の開発が期待される。；これは法人の合併や買収に関連する法人間の紛争を扱うことが多い。；宗教戦争は、宗教上の問題が原因で生じた戦争や紛争のことである。；信長本人が天下人となるのは義昭と紛争になり追放してからである。；ニューヨークとの土地所有権に関わる紛争を解決する必要があった。；その名のとおり宗教上の問題が原因で生じた戦争、紛争のこと。；人々の生活が戦争や紛争で妨げられて命を奪われている惨状を世界に伝えている。；日支事変とは日本と中国の間の紛争を指す呼称であり、次のような使用例がある。；また伝承によると、境界紛争はその後も続きその都度調査が行われてきたという。；陸軍は、世界中の紛争に参加し、米国の主要な地上攻撃・防御部隊となっている。；紛争は1520年に両国の遠征隊が太平洋に到着したときから始まった。；慢性的な紛争状態が続いた時代だが、毎日が戦争状態にあったわけではない。；特に文明と文明が接する断層線での紛争が激化しやすいと指摘した。；油田の位置とその埋蔵量は近代以降、各国の紛争の原因の一つとなっている。</t>
        </is>
      </c>
      <c r="J7527">
        <f>HYPERLINK("https://www.weblio.jp/content/紛争", "词义详情")</f>
        <v/>
      </c>
      <c r="K7527">
        <f>HYPERLINK("https://yourei.jp/紛争", "查看例句")</f>
        <v/>
      </c>
    </row>
    <row r="7528">
      <c r="A7528" t="inlineStr">
        <is>
          <t>文体</t>
        </is>
      </c>
      <c r="B7528" t="inlineStr">
        <is>
          <t>成功</t>
        </is>
      </c>
      <c r="C7528" t="inlineStr">
        <is>
          <t>読み方：ぶんたい
１文章の様式。口語体・文語体・和文体・漢文体・書簡体・論文体など。
２その作者にみられる特有な文章表現上の特色。作者の思想・個性が文章の語句・語法・修辞などに現れて、一つの特徴・傾向となっているもの。スタイル。</t>
        </is>
      </c>
      <c r="D7528" t="inlineStr">
        <is>
          <t>文体そのもの；文体パロディ；文体感覚；文体実験；文体模倣</t>
        </is>
      </c>
      <c r="E7528" t="inlineStr">
        <is>
          <t>体；調子；スタイル；構え；体裁</t>
        </is>
      </c>
      <c r="F7528" t="inlineStr">
        <is>
          <t>簡潔な文体；平易な文体；やすい文体；新文体；劇的文体</t>
        </is>
      </c>
      <c r="G7528" t="inlineStr">
        <is>
          <t>文体模写；文体練習</t>
        </is>
      </c>
      <c r="H7528" t="n">
        <v>29</v>
      </c>
      <c r="I7528" t="inlineStr">
        <is>
          <t>作品中の登場人物そっくりの文体を使った文章を書く事でも知られる。；これらの物語間の分離は、主題別というよりも寧ろ文体的なものである。；これらの初期の写本に見られる図像学と文体の伝統の多くに従っている。；なお、上記の作家の文体がこれらの特徴をすべて備えているわけではない。；彼の才能は豊かで思考は鋭く、その文体は独自性と美しさで特筆される。；舞台は現代であるが、意図的に明治期を意識した文体が用いられている。；本作での脚本参加の経験は、その後の川端の小説の文体にも影響を与えた。；大断面車両を使用する路線では統一した文体と音声が使用されている。；彼の文体の要諦は見方、感じ方、考え方が自由になった点にあるとする。；主題と結構と文体、此の三者の渾然たる融合がそこに在るのであります。；手紙などを使う場合は、筆跡・および文体・文字の配置などが問題となる。；昼と夜の休憩二時間を引かれたとしても、移動がないぶん体は楽だった。；レズビアンをテーマとした描写や独特の文体で今日でも光彩を放っている。；それはこの部分の文体が13章までとはやや異なることなどから明らかである。；詩の未来文体の模型として、詩人の大半が努力しているのが翻訳詩である。；この頃には以前とは打って変わった饒舌体と呼ばれる独自の文体を身につけている。；しかしその多くは文体と語彙の面で教会スラヴ語の影響を受けている。；また、その文体は第一篇から第三篇に至るまでに大きく変化している。；しかし、文人相互の間では全く正統な文体として認められていなかった。；これは彼女の初期作品に取り込まれた文体を決めたとスタイン自身が言った。；魯迅の小説はよく理解できなかったが、その文体に強く惹かれていた。；研究者達はこの戯曲の構成を、その歴史と文体に沿って論評・分析してきた。；独特の文体ゆえ今日でも解釈が定まっていない箇所も少なくない。；この作品についての批判でもっとも多いのは、文体についてである。；文学・歴史・思想等を平易な文体で評論・解説することを主なテーマとしている。；同じ意なる語に文字を様々にかへてかゝれざる、古事記の文体なればなり。；芸術、特に建築に新しい文体をもたらしたのはこの集団である。；これは海外のファンを意識してか平易な文体で書かれていた。；方言や文体の違いも考慮した用意周到な論文で、現在もしばしば参照される。</t>
        </is>
      </c>
      <c r="J7528">
        <f>HYPERLINK("https://www.weblio.jp/content/文体", "词义详情")</f>
        <v/>
      </c>
      <c r="K7528">
        <f>HYPERLINK("https://yourei.jp/文体", "查看例句")</f>
        <v/>
      </c>
    </row>
    <row r="7529">
      <c r="A7529" t="inlineStr">
        <is>
          <t>分担</t>
        </is>
      </c>
      <c r="B7529" t="inlineStr">
        <is>
          <t>成功</t>
        </is>
      </c>
      <c r="C7529" t="inlineStr">
        <is>
          <t>読み方：ぶんたん
［名］(スル)仕事などを分けて受け持つこと。分けて負担すること。「役割を—する」</t>
        </is>
      </c>
      <c r="D7529" t="inlineStr">
        <is>
          <t>分担する(14%)；分担金(5%)；分担させる；分担執筆；分担管理</t>
        </is>
      </c>
      <c r="E7529" t="inlineStr">
        <is>
          <t>役割；共有；寄与；分ける；分配</t>
        </is>
      </c>
      <c r="F7529" t="inlineStr">
        <is>
          <t>それぞれ分担；役割分担；費用分担；責任分担；作業分担</t>
        </is>
      </c>
      <c r="H7529" t="n">
        <v>29</v>
      </c>
      <c r="I7529" t="inlineStr">
        <is>
          <t>実際の両者の作業は分担して行われていたというが、その詳細は不明。；一時期は、管理人のほかにも協力者に掲載作業を分担してもらっていた。；しかしながら米国やロシアの分担金の未払いはまだ改善されていない。；共有するデータの情報を、特定の選ばれたノードが分担して持つ仕組み。；技術的に可能な者が可能なことをしており、明確な分担は存在しない。；WOWOWなど一部を除いた加盟民放とNHKとで費用を分担して放送。；簡単な制御と複雑な制御で分担するような設計などもありうる。；調査では各町の機能分担にも触れられ、下記のようになっていた。；小学3年の頃に、友人が絵、自分が文章と分担して物語を作っていた。；多段抽出法では、複数台のミキサセトラで以下の各操作を分担して行う。；表面の材質は泥のため、町の住民で分担して毎年塗り直しが行われる。；費用は、それぞれの国での本線の長さに比例して、6カ国で分担される。；作家としては、兄・織田健司と弟・織田彰の二人で執筆を分担していた。；活動開始からのオリジナル楽曲であるが主に作詞作曲は分担している。；役割をそれぞれ分担し、会社を幾多の困難にも負けず大企業に育て上げた。；前述の冊子に記された内容を元に、人形を贈るための役割の分担が行われた。；中央の連邦政府と各共和国政府の間の責任分担が正確に定義された。；複数の放送局・番組がイベント出演者を分担して公開収録するようになった。；仕置役の下に各部署が設置されて職務を分担し、奉行がこれを統率した。；さらに、天皇と内閣総理大臣が元首の役割を分担しているとの見解もある。；アヴィオ社の主な業務はジェットエンジンの製造を分担する事である。；家庭では、掃除・洗濯は気がついた方がするなど家事は分担制にしている。；よって実際の開発では様々な分野の専門家がチームを形成し、分担して関わることになる。；ただし、行政事務を分担管理しない大臣を置くことを妨げるものではない。；著書『経営行動科学ハンドブック』では組織行動の一部を執筆分担した。；このような経緯を理由として開催の費用は参加国のうち15カ国が分担した。；多細胞生物は生命活動の役割を細胞単位で分担しているという特徴がある。；南側は喜多村彦兵衛に、北側は奈良屋市右衛門が分担して管理を行った。；「区」の行政機構の一部を分担し、「地域の区役所」的な機能を果たす。</t>
        </is>
      </c>
      <c r="J7529">
        <f>HYPERLINK("https://www.weblio.jp/content/分担", "词义详情")</f>
        <v/>
      </c>
      <c r="K7529">
        <f>HYPERLINK("https://yourei.jp/分担", "查看例句")</f>
        <v/>
      </c>
    </row>
    <row r="7530">
      <c r="A7530" t="inlineStr">
        <is>
          <t>ふんだんに</t>
        </is>
      </c>
      <c r="B7530" t="inlineStr">
        <is>
          <t>成功</t>
        </is>
      </c>
      <c r="D7530" t="inlineStr">
        <is>
          <t>ふんだんに使わ(5%)；ふんだんに用い(5%)；ふんだんに取り入れ(5%)；ふんだんに盛り込ま(4%)；ふんだんに盛り込ん</t>
        </is>
      </c>
      <c r="E7530" t="inlineStr">
        <is>
          <t>多く；たくさん；大量；豊富；沢山</t>
        </is>
      </c>
      <c r="F7530" t="inlineStr">
        <is>
          <t>食材をふんだんに；写真をふんだんに；ふんだんに含ま；ふんだんに織り込ま；ふんだんに採り入れ</t>
        </is>
      </c>
      <c r="H7530" t="n">
        <v>29</v>
      </c>
      <c r="I7530" t="inlineStr">
        <is>
          <t>自然の魅力がかくもふんだんに与えられている国はどこにもないからだ。；この惑星は、われわれの求めている金属がふんだんにあるだけではない。；ふんだんに金を持っていて、絵の好きな人物と言えば、彼しかなかった。；ビールはふんだんに飲めたし、大きな家を全部自由に使うこともできた。；DVD用に撮り下ろした映像もふんだんに収録された内容となっている。；この劇場では豪華な装飾や舞台効果をふんだんに用いて公演を行った。；酒や料理をふんだんに注文して、三日も四日も続けて逗留したりした。；金や銀をふんだんに使った、その当時から値打ちのある財宝群なのです。；広い廊下の端には房のついた豪奢な垂れ幕がふんだんに掛けられている。；ふんだんにぬりたくったお白粉の上に、涙が太い筋になって流れている。；母の信子も幼児性をふんだんに持っていたけれど、父も互角ではないか。；どう見ても美人とは言えなかったが、金はふんだんに持っているようであった。；私は炉のそばの椅子に掛けさせおいしい物をふんだんに出してやりました。；そして私はこれらのチャンスを、実にふんだんに手に入れた女とされていた。；わたしは彼に食物と酒をふんだんにすすめ、質問を山のように浴びせた。；今度はむっとする強烈な臭気とは反対に余白がふんだんに使われていた。；グワミニに着いたとき澄んだ水にふんだんにありつけることは請合いだ。；ロンドンにはああいった種類の奇妙な効果がふんだんにある。；本作品は和の意匠がふんだんに取り入れられた和風の戦隊となっている。；ルパンの持つ「女性を守る騎士」の要素がふんだんに顕われている作品。；これをふんだんに観ておいた私などは、いい時に生れたものだ。；ようやくおひらきの時が来たので、客たちは踊り、かつふんだんに飲んだ。；君の性格からして慢心はないと思うが、油断はふんだんにありそうだ。；かといって村にふんだんにある木材で建てても、規模が小さくなる。；温泉レポートを頻繁に放送していた他、季節の話題もふんだんに取り入れていた。；壁やドームには金をふんだんに使用した装飾がなされている。；小遣いをふんだんに持ってきた者はどうしても賭け方が大胆になるよ。；もちろん動画や音をふんだんに取り込んだ電子本も出てくるだろう。；パンを作るための小麦粉はふんだんにあったが、それ以外の食糧が不足した。</t>
        </is>
      </c>
      <c r="J7530">
        <f>HYPERLINK("https://www.weblio.jp/content/ふんだんに", "词义详情")</f>
        <v/>
      </c>
      <c r="K7530">
        <f>HYPERLINK("https://yourei.jp/ふんだんに", "查看例句")</f>
        <v/>
      </c>
    </row>
    <row r="7531">
      <c r="A7531" t="inlineStr">
        <is>
          <t>奮闘</t>
        </is>
      </c>
      <c r="B7531" t="inlineStr">
        <is>
          <t>成功</t>
        </is>
      </c>
      <c r="C7531" t="inlineStr">
        <is>
          <t>読み方：ふんとう
［名］(スル)
１力をふるって戦うこと。奮戦。「強敵を相手に—する」「孤軍—」
２力いっぱい努力すること。「問題解決のために—する」</t>
        </is>
      </c>
      <c r="D7531" t="inlineStr">
        <is>
          <t>奮闘する姿(3%)；奮闘ぶり(2%)；奮闘記；奮闘する物語；奮闘する様子</t>
        </is>
      </c>
      <c r="E7531" t="inlineStr">
        <is>
          <t>戦；戦い；努力；戦う；苦労</t>
        </is>
      </c>
      <c r="F7531" t="inlineStr">
        <is>
          <t>孤軍奮闘；大奮闘；日々奮闘；目指して奮闘；勇戦奮闘</t>
        </is>
      </c>
      <c r="H7531" t="n">
        <v>29</v>
      </c>
      <c r="I7531" t="inlineStr">
        <is>
          <t>一方で海外に逃げて自分を実現しようと奮闘する現実逃避の作品も見られた。；私は彼の政策にそういう要素を盛り込もうと奮闘したが、失敗に終わった。；そこがまだ洞窟の中であることを知った彼らは現実世界へと戻るために奮闘する。；彼は弁護士で、裕福で成功した父親の期待に応えようと奮闘していた。；その後はソフトバンクはリリーフ陣が奮闘を見せ、得点を与えなかった。；洪水に見舞われた町からなんとかパリへ行こうと奮闘する女の子の姿を描く。；本では日々のジロカストラの女性の奮闘が描かれ、地域でブームとなった。；シリーズは世界を改善するためのケーブルの奮闘を主に扱っていた。；漫画執筆に奮闘する姉とそれに協力させられる弟の苦悩を描いたコメディ作品。；弁護士の吾朗が訪れた祭りで起こる、殺人事件の解決に奮闘する姿を描く。；それから十数年後、命の勤務先である平聖中央病院を舞台に奮闘が始まる。；少女は母親の再婚に悩み、青年は作家を目指して奮闘する日々を送っていた。；しかし村長からは上京の許可を得られず、都に行くために奮闘の毎日を送っていた。；この時、両親の出会いを邪魔してしまったため、歴史を直すために奮闘する。；それぞれの理由で海外移住を決意し、現地で奮闘する女性たちを応援する。；その時すでに遅く、ローランは大奮闘の末にその生涯を閉じていた。；祐太と圭は音羽に認めてもらうべく、力を合わせて奮闘するのだった。；一方その頃、吸血鬼と化した弟を捕らえようと2人の兄が奮闘していた。；チームは苦戦が多く敗戦が多い中でもレギュラーとして奮闘を続けた。；前頭上位で奮闘した時期もあり、大関・霧島や曙らに勝利したこともある。；両軍末院の野に戦い奮闘数合にして勝敗はなかなか決まらなかった。；機能停止した病院に立ち向う救命チームの奮闘新エピソード!!；ザ・ドリフターズのメンバーが、何か大きな事をやって有名になろうと奮闘する話。；教会で妖精に再会した健は二人を助けるため、再び過去に戻って奮闘する。；悠子は駐在員夫人となり、初体験だらけの様々なことに奮闘していく。；ネクロパレスでの戦いでローゼンマン部隊相手に奮闘するも全員が戦死した。；より多くのプロを育成するため日々奮闘している。；わずかな手勢しか率いていなかった信長であったが、初めは自ら弓や槍を手に奮闘した。；ホテルから脱出し元いた「現実」に帰還すべく奮闘する主人公。</t>
        </is>
      </c>
      <c r="J7531">
        <f>HYPERLINK("https://www.weblio.jp/content/奮闘", "词义详情")</f>
        <v/>
      </c>
      <c r="K7531">
        <f>HYPERLINK("https://yourei.jp/奮闘", "查看例句")</f>
        <v/>
      </c>
    </row>
    <row r="7532">
      <c r="A7532" t="inlineStr">
        <is>
          <t>分配</t>
        </is>
      </c>
      <c r="B7532" t="inlineStr">
        <is>
          <t>成功</t>
        </is>
      </c>
      <c r="C7532" t="inlineStr">
        <is>
          <t>読み方：ぶんぱい
［名］(スル)
１分けて配ること。配分。「利益を全員に—する」
２地主に地代、資本家に利潤、労働者に賃金というように、生産に関与した者の間に所得が分けられること。</t>
        </is>
      </c>
      <c r="D7532" t="inlineStr">
        <is>
          <t>分配する(16%)；分配される(7%)；分配額；分配方法；分配しよ</t>
        </is>
      </c>
      <c r="E7532" t="inlineStr">
        <is>
          <t>部分；分野；部門；節；分割</t>
        </is>
      </c>
      <c r="F7532" t="inlineStr">
        <is>
          <t>土地分配；利益分配；応じて分配；遺産分配；収益分配</t>
        </is>
      </c>
      <c r="G7532" t="inlineStr">
        <is>
          <t>分配ドラフト；分配関数；分配函数；分配係数；分配法則</t>
        </is>
      </c>
      <c r="H7532" t="n">
        <v>29</v>
      </c>
      <c r="I7532" t="inlineStr">
        <is>
          <t>ある研究では、被験者は実際の金額の分配を決める行動実験に参加した。；しかし、財宝の分配のときに部下が分け前が少ないと文句を言い始めた。；大部分は完成前の段階で売却して投資家に利益を分配する方法をとっている。；また、無料通信分がもともとない料金プランの一部へは分配ができない。；これは民主的なシステムの確立と公平な分配を保証する概念でもある。；自由以外の社会的な基本財をどのように分配するかを示すための原理である。；メキシコではカルデナス政権下でようやく実質的な土地分配が実施された。；利益分配の対象は6カ月以上勤続した素行に問題のない労働者に限られた。；そして今回の標的と頼み料を分配しようとした時、そこに佐和が現れる。；経済のうち、GDPなどで計測される付加価値の生産・分配機構を指す。；彼らは食料を獲得してから消費するまで何度も何度も分配が繰りかえされる。；基本的に夫婦共同で築き上げたり購入した財産やお金を分配する。；炊飯後の釜で温めた酒も分配されたが、異臭を帯びていて飲めなかった。；いずれも生産物の多くは伝統的な方法により共同体内で分配される。；この多様な文化は、社会経済的な権力の不均等な分配のために存在している。；下回った場合の差額はその4年間にチームに属した選手に分配される。；村には約1万冊が寄贈され、児童・生徒が利用する16施設に分配された。；よって、薬物の分配・吸収にはpHが大きく関与していると考えられている。；分裂に伴う細胞膜の切断やDNAの分配は細菌に似ていると言われている。；そのほか加盟国間で別の制度を用いて種類ごとの漁獲量を分配していることもある。；下賜された御救恤金の2千円や義捐金は分配され、遺族の手に渡された。；大部分の労働者は利益分配の資格を得ることができた。；電力を分配したい多くの地域では非同期ネットワークをもっている。；このような税金は州の人口に比例して分配される必要はなかった。；私有財産の廃止を求めるなど、分配重視の初期社会主義的な主張をしていた。；カナン入国後の相続地の分配の際もヨシュアと共に民の指導に当たった。；立法府として政府を運営するために必要とされる資金を集め分配する責任がある。；この制度は分配型であり、貢献型のように支払い能力を考慮することはなかった。；また、富の分配が最も進んでいる国家はベルギーであるとしている。</t>
        </is>
      </c>
      <c r="J7532">
        <f>HYPERLINK("https://www.weblio.jp/content/分配", "词义详情")</f>
        <v/>
      </c>
      <c r="K7532">
        <f>HYPERLINK("https://yourei.jp/分配", "查看例句")</f>
        <v/>
      </c>
    </row>
    <row r="7533">
      <c r="A7533" t="inlineStr">
        <is>
          <t>分布</t>
        </is>
      </c>
      <c r="B7533" t="inlineStr">
        <is>
          <t>成功</t>
        </is>
      </c>
      <c r="C7533" t="inlineStr">
        <is>
          <t>読み方：ぶんぷ
［名］(スル)
１分かれて広くあちこちにあること。また、あちこちに置くこと。「一帯に古代遺跡が—する」
２動植物が地理的、時間的にある範囲を占めること。「垂直—」「水平—」「—図」</t>
        </is>
      </c>
      <c r="D7533" t="inlineStr">
        <is>
          <t>分布する(35%)；分布域(6%)；分布地；分布状況；分布調査</t>
        </is>
      </c>
      <c r="E7533" t="inlineStr">
        <is>
          <t>及ぶ；わたる；跨る；ディストリビューション；跨がる</t>
        </is>
      </c>
      <c r="F7533" t="inlineStr">
        <is>
          <t>多く分布；自然分布；移入分布；広い分布；地理的分布</t>
        </is>
      </c>
      <c r="G7533" t="inlineStr">
        <is>
          <t>分布関数；分布境界線；分布定数；分布様式；分布容積</t>
        </is>
      </c>
      <c r="H7533" t="n">
        <v>29</v>
      </c>
      <c r="I7533" t="inlineStr">
        <is>
          <t>また既知の動物の属と科をまとめてそれらの地理的分布をリストにした。；分布が非常に広いため、種として絶滅のおそれは低いと考えられている。；それぞれの名に含まれている州名がおよその分布域を示している。；理想との差をばらつきの測度に用いるので、分布を定義する必要はない。；角閃石類は一般的な造岩鉱物であり、様々なところに広く分布している。；すなわち量子力学的には電子の分布も揺らぎが発生することが期待される。；多民族国家であるため、言語と同様、宗教にも地理的な分布が存在する。；このモードでは一般的に表面形状などの分布は測定されない。；ウリ科の植物の多くは熱帯に分布し、人類の歴史上最も古い作物を含む。；これは、オールトの雲の分布が球殻状であると推定する根拠になっている。；このことを相補分布しているといい、このような異音を条件異音という。；通常、連続値をとる確率変数の分布は確率密度関数を用いて記述される。；日本に分布するニホンザルは現生種の霊長類では最も北に分布する。；氷河期に氷河に覆われていなかった地域では永久凍土が分布している。；この指標は体脂肪の分布も考慮に入れるために腹囲を計算式に入れている。；ラクダ科の生物の現在の分布は、過去の分布とは全く異なっている。；このような分布をもつ確率変数に対して研究の結果を利用することができる。；光流の時空分布が非均一であることは、西安内の河川の共通の特徴である。；なぜなら地球から観測できる天の川の中の星の分布が一様に見えたからである。；なお、これらの亜種の分布域は明瞭でないため、検討が必要とされている。；各建物は20メートルから30メートルの間隔をおいて分布している。；日本に分布するタカ科の構成種では大型であることが和名の由来。；数論の中でも特によく研究されているテーマが素数の分布である。；また一部の国では分布に男女差が見られなかった。；このような分布状況が生じた要因は複数考えられる。；北陸方言のアクセントは地域による違いが大きく、複雑に分布している。；北海道は現代のイノブタを除き野生のイノシシが自然分布していない。；日本では、化石は発見されているものの、有史以後は分布しなかった。；これらの羽域の分布パターンは分類学や系統学で使用されている。</t>
        </is>
      </c>
      <c r="J7533">
        <f>HYPERLINK("https://www.weblio.jp/content/分布", "词义详情")</f>
        <v/>
      </c>
      <c r="K7533">
        <f>HYPERLINK("https://yourei.jp/分布", "查看例句")</f>
        <v/>
      </c>
    </row>
    <row r="7534">
      <c r="A7534" t="inlineStr">
        <is>
          <t>分別</t>
        </is>
      </c>
      <c r="B7534" t="inlineStr">
        <is>
          <t>成功</t>
        </is>
      </c>
      <c r="C7534" t="inlineStr">
        <is>
          <t>読み方：ふんべつ
［名］(スル)
１道理をよくわきまえていること。また、物事の善悪・損得などをよく考えること。「—のないことを言う」「よく—して態度を決める」
２仏語。もろもろの事理を思量し、識別する心の働き。</t>
        </is>
      </c>
      <c r="D7534" t="inlineStr">
        <is>
          <t>分別くさい；分別くさく；分別ありげ；分別ざかり；分別場</t>
        </is>
      </c>
      <c r="E7534" t="inlineStr">
        <is>
          <t>理解；批判；判断；分類；配置</t>
        </is>
      </c>
      <c r="F7534" t="inlineStr">
        <is>
          <t>御分別；ゴミ分別；句分別；分別蒸留；分別ゴミ</t>
        </is>
      </c>
      <c r="G7534" t="inlineStr">
        <is>
          <t>分別臭い；分別収集；分別説部；分別臭く；分別顔</t>
        </is>
      </c>
      <c r="H7534" t="n">
        <v>29</v>
      </c>
      <c r="I7534" t="inlineStr">
        <is>
          <t>しかもわたしは自分では大いに分別のある行動をしているつもりだった。；彼が何と返事をしたものだろうと思って分別するうちに大切の機は過ぎた。；運良くブンベツを見つけ後をついていくと基地への秘密の入り口を発見。；あなたは今まで必ずしも、それほどまでに分別のあるかたではなかった。；来るか来ないかは分らないのだけれど、この外に分別がなかったのである。；ゴミの分別は女性や子供たちも加わった一家総出で行われることもある。；理性的で分別のある人間が同じ・類似の状況で行う程度の監督をした。；彼女はグレゴールがありとあらゆる分別をもっているものと思っていた。；彼女の有っている善悪是非の分別はほとんど学問や経験と独立している。；これほどの誠実さは、ごく円熟し分別のある心だけに可能なことである。；正しい分別をもっていれば、彼は当然中立の立場にたつべきものだった。；近頃の人たちの分別理性はすっかり彼らの感情の間で窒息しているのだ。；クラスごとの口調は、通常口調とワイルド口調の2つに分別されている。；私はずいぶんきびしいしつけを受けましたおかげで分別もつきました。；だから私共はよく分別のある人間にならなければいけないと思います。；この暗愚な大巌洞にもきっと分別のあるしっかりした人間がいるだろう。；今考えて見ると馬鹿な話だけれど、他に分別が浮ばなかったのである。；従来のプリモプエルと分別する為、タイプSと表記されている事がある。；従来のプリモプエルと分別する為、タイプDと表記されている事がある。；従来のプリモプエルと分別する為、Eタイプと表記されている事がある。；分別のある人民の大部分が、この上の惨禍を歓迎しようとはしていない。；私の分別なり考えなりは、もはや死が近くなったために乱れています。；この分別そうな団栗顔がこの者の特徴とは五郎もとうから知っている。；また、登場時の所属にかかわらず分別できるものは節に分けてある。；あまり無分別の度を通り越しているので意見をする気にもならない。；あまり無分別の度を通り越してゐるので意見をする気にもならない。；いくら娘とはいえ、もうペイシェンスは分別のある立派な女性なのである。；虫の音だと云う分別が出た時には、その声がもう左右前後に遠く続いていた。；結局分別場を出ていく訓練生の中でもキラシャンドラは最後に近くなった。</t>
        </is>
      </c>
      <c r="J7534">
        <f>HYPERLINK("https://www.weblio.jp/content/分別", "词义详情")</f>
        <v/>
      </c>
      <c r="K7534">
        <f>HYPERLINK("https://yourei.jp/分別", "查看例句")</f>
        <v/>
      </c>
    </row>
    <row r="7535">
      <c r="A7535" t="inlineStr">
        <is>
          <t>文法</t>
        </is>
      </c>
      <c r="B7535" t="inlineStr">
        <is>
          <t>成功</t>
        </is>
      </c>
      <c r="C7535" t="inlineStr">
        <is>
          <t>読み方：ぶんぽう
１文章を構成するきまりや規範。また、文章を書く上でのきまりや書き方。
２言語を構成する諸要素の間にみられる法則性。また、それを分析・記述する研究。ふつう、単語・文節・文などの言語単位について説かれるが、さらに語構成・文連接・文章構成などの問題についても扱われることがある。</t>
        </is>
      </c>
      <c r="D7535" t="inlineStr">
        <is>
          <t>文法書(6%)；文法的(5%)；文法規則；文法構造；文法家</t>
        </is>
      </c>
      <c r="E7535" t="inlineStr">
        <is>
          <t>文法論</t>
        </is>
      </c>
      <c r="F7535" t="inlineStr">
        <is>
          <t>ラテン語文法；チョムスキー文法；文法面；文法関係；文法科</t>
        </is>
      </c>
      <c r="G7535" t="inlineStr">
        <is>
          <t>文法学者；文法学；文法範疇；文法性；文法学校</t>
        </is>
      </c>
      <c r="H7535" t="n">
        <v>29</v>
      </c>
      <c r="I7535" t="inlineStr">
        <is>
          <t>ここでは以降の解説を読む上で必要な の文法規則を簡単に説明する。；従来の古典文法に呪縛された解釈を全面否定し、新たな解釈を提示した。；この記事では、文法に関してごくわずかしか例を挙げることができない。；究極的には、真の文法が得られた場合に限り文法性の評価が可能となる。；異なる文法構造にアクセスするのが難しいことはよく知られている。；CLU の文法は他の多くの言語と同様 ALGOL に基づいていた。；この文法を使用して相互に関連付けられた文書をトピックマップと呼ぶ。；北朝鮮の文法論の歴史は、おおよそ以下のように区分することができる。；上記論文の著者たちは文法が構築される際の速度に関しても言及している。；マシンの作製には彼が専門としたヘブライ語の文法も大きく関係している。；語結合を形作る文法的な結びつきは、以下のような観点から分類できる。；カシミール語の文法は基本的にはヒンディー語などとあまり変わらない。；これについては現在までにさまざまな文法的な説明がなされている。；Lispの括弧書き文法では、古典的なS式では次のように定義される。；しかし記述的妥当性を備えた文法は出力としての個別言語を知っている。；扱う文法項目自体には変更はないが、ページのレイアウトを変更した。；文法が一般的なフランス語法から乖離していることもその一因である。；以下に示す予言的パーサが上記文法を正確に反映している点に注意されたい。；この文法的な複雑さの大部分は現代アイスランド語にも受け継がれている。；その三つにはいずれも独自の語彙、文法規則があり、韻文さえも異なる。；金水によれば、文法的な面から次のような特徴が指摘されるという。；同様の言語をもっと単純な文法で定義した例を以下に示す。；英語の授業は文法の授業と文学の授業があり、文学の授業はすべて英語で行われる。；彼らは文法はすでに身につけており、マクドナルドは主に発音を指導した。；音韻論や文法だけでなく語彙論、意味論などの分野にも適用されている。；言語の文法に生得性があることを主張するための問題の提起である。；従って、生成されるプログラムの構造はほぼ正確にその文法を反映したものとなる。；偶然に文法的に筋の通った文が作られることもありうる。；文法の節で見られるように人称代名詞にはゲルマン語派との類似が見られる。</t>
        </is>
      </c>
      <c r="J7535">
        <f>HYPERLINK("https://www.weblio.jp/content/文法", "词义详情")</f>
        <v/>
      </c>
      <c r="K7535">
        <f>HYPERLINK("https://yourei.jp/文法", "查看例句")</f>
        <v/>
      </c>
    </row>
    <row r="7536">
      <c r="A7536" t="inlineStr">
        <is>
          <t>文房具</t>
        </is>
      </c>
      <c r="B7536" t="inlineStr">
        <is>
          <t>成功</t>
        </is>
      </c>
      <c r="C7536" t="inlineStr">
        <is>
          <t>読み方：ぶんぼうぐ
ものを書くのに必要な道具。紙・ノート・鉛筆・定規など。文具。</t>
        </is>
      </c>
      <c r="D7536" t="inlineStr">
        <is>
          <t>文房具屋(19%)；文房具店(18%)；文房具メーカー；文房具商；文房具類</t>
        </is>
      </c>
      <c r="F7536" t="inlineStr">
        <is>
          <t>大きな文房具；経営する文房具；法律文房具</t>
        </is>
      </c>
      <c r="H7536" t="n">
        <v>29</v>
      </c>
      <c r="I7536" t="inlineStr">
        <is>
          <t>文房具屋を継いでいれば、これからもずっと祭りに出られたではないか。；新しい文房具を買うことができないので、彼は古い原稿の裏に執筆した。；それはちょうど文房具船が住民殲滅に来襲したのと時を同じくしていた。；外国から日本を訪ねてきた人を案内して喜ばれるのが大手の文房具屋さん。；右手と前面には、重に小学校用のらしい文房具が、一面に並べてあった。；昼過ぎに文房具を買うために家を出た私は、家に帰る途中で父の姿を見た。；どこへいっても大田氏の製品を売っていない文房具店はないくらいである。；男は文房具店へ寄って、子供のノートを何冊か買って帰るつもりであった。；私は氷宇治を注文し、途中の文房具屋で買った便箋をテーブルに広げた。；車に限らずカメラにしても、家具にしても、文房具にしてもそれがいえる。；文房具店などで多種多様な商品が売られているのを見ることができる。；この種類のゲームは文房具以外の専門的な機器をほとんどまたは全く必要としない。；私は近くの文房具屋へ行って、四百字詰の原稿用紙を三冊買ってきた。；いろいろ工面してその後につづけたのが文房具などを売る店であった。；大学へは行けず、高校を出るとすぐ小さな文房具の販売会社へ勤めた。；この文房具屋にはアルバートができるだけ頻繁に出入りすることになっていた。；ハマルは自分の隠れていた文房具店のドアをこっそりあけて様子を見ていた。；この森文房具店のところまで来ると、もう私の店の看板が見える。；例えば、そこいらの文房具屋にざらにあるようなガラスのペン皿のこと。；子供の頃住んでいた京都の家の近くに、文房具屋さんがあった。；実家が文房具店を経営していたので、文字通り売るほどあったからである。；バスが来るまで、本屋や文房具店に寄ったりして時間を潰すことはできる。；三分の一しか開かれていない教科書、買ったまま封を開けてない文房具。；僕は会ったこともない文房具店の女主人のことを考えた。；当初は文房具類一式を扱っていたが、次第に鉛筆の製造販売に注力した。；SHの生徒が好んで使う文房具屋で佐智とおそろいに買ったものだった。；ある文房具店の前まで来た時、父は黙つてその中へ這入つていつた。；学習用の文房具の棚からもHBが見られることが少なくなっている。；だけれど、ほんとうに、あの文房具屋の子供がさらわれちゃったのかい?</t>
        </is>
      </c>
      <c r="J7536">
        <f>HYPERLINK("https://www.weblio.jp/content/文房具", "词义详情")</f>
        <v/>
      </c>
      <c r="K7536">
        <f>HYPERLINK("https://yourei.jp/文房具", "查看例句")</f>
        <v/>
      </c>
    </row>
    <row r="7537">
      <c r="A7537" t="inlineStr">
        <is>
          <t>粉末</t>
        </is>
      </c>
      <c r="B7537" t="inlineStr">
        <is>
          <t>成功</t>
        </is>
      </c>
      <c r="C7537" t="inlineStr">
        <is>
          <t>読み方：ふんまつ
細かいこな状のもの。こな。「—ジュース」</t>
        </is>
      </c>
      <c r="D7537" t="inlineStr">
        <is>
          <t>粉末状(12%)；粉末化；粉末消火器；粉末スープ；粉末タイプ</t>
        </is>
      </c>
      <c r="E7537" t="inlineStr">
        <is>
          <t>粉；火薬；パウダー；粉体；細末</t>
        </is>
      </c>
      <c r="F7537" t="inlineStr">
        <is>
          <t>乾燥粉末；結晶性粉末；微細な粉末；白い粉末；細かい粉末</t>
        </is>
      </c>
      <c r="G7537" t="inlineStr">
        <is>
          <t>粉末ジュース；粉末茶；粉末冶金技能士；粉末寒天；粉末酒</t>
        </is>
      </c>
      <c r="H7537" t="n">
        <v>29</v>
      </c>
      <c r="I7537" t="inlineStr">
        <is>
          <t>また粉末状のトルマリンでは電離に必要な電圧が出るとは考えられない。；揚げ麺と粉末スープの素をセットにした商品が数社から販売されている。；ガソリンに粉末金属を混ぜて高エネルギーの発生する燃料の研究に用いた。；シアン化物とアルジサイドを同じ容器を用いて粉末にしたと推測された。；今日では粉末の製品が用意され、湯を混ぜるだけで簡単に作ることができる。；結晶は暗赤色だが極めて稀で、濃い黄色の粉末状で発見されることが多い。；まず、素材を押出し時の温度まで熱し、その表面にガラス粉末をまぶす。；比較的反応性の高い金属で粉末状にすると空気中の酸素、水などとも反応する。；魚を窯で煮熟したあとに圧搾機で油と水を分離し、乾燥させ粉末にする。；こうした石臼は新石器時代に穀物を粉末に挽くために最初に使用された。；組換えトロンビンは、粉末状態または水溶液中で再構成して利用される。；付き回り性に優れるため、粉末や複雑構造の形状物へも適用しやすい。；熱湯に溶かすだけで容易に作ることができる粉末も販売されている。；乾燥して粉末にした葉でさえも非常に素早く魚を殺すことができる毒を含んでいる。；根の粉末から抽出したアントラキノン化合物は医薬用に用いられている。；粉末のジルコニウムとヨウ素を直接反応させることによって合成できる。；農業などで使用する小型の粉末や液体を散布する装置や玩具等で使用される。；中華人民共和国では民間療法で粉末にしたものが薬用になると信じられている。；感染した組織は灰白色の粉末になり、立っている木は空洞化していく。；黄蜀葵の根をすりつぶしてふるいにかけて粉末にしただけのものである。；また3Dスティックの内部では部品の一部が粉末状になり堆積する。；換羽せずに伸び続け先端が粉末状になる羽毛のある場所が、5対ある。；紀元前1000年以前から南米で植物を粉末にして吸引されていたとされる。；下記を含め、リンゴの搾りかすやサボテンの粉末などが利用されている。；こうして得られた粉末を使用して、蚊取り線香は製造されてきた。；ヨーロッパのものは、しばしばシャーベット粉末を混ぜて発泡性にした。；調理済みの商品もあれば粉末の商品もあり、色やフレーバーは多様である。；もとは、アンバーグリスを粉末にしてボール状に整形したものから来ている。；同時に粉末状のお香を手に摺り合わせて使用することも多い。</t>
        </is>
      </c>
      <c r="J7537">
        <f>HYPERLINK("https://www.weblio.jp/content/粉末", "词义详情")</f>
        <v/>
      </c>
      <c r="K7537">
        <f>HYPERLINK("https://yourei.jp/粉末", "查看例句")</f>
        <v/>
      </c>
    </row>
    <row r="7538">
      <c r="A7538" t="inlineStr">
        <is>
          <t>文脈</t>
        </is>
      </c>
      <c r="B7538" t="inlineStr">
        <is>
          <t>成功</t>
        </is>
      </c>
      <c r="C7538" t="inlineStr">
        <is>
          <t>読み方：ぶんみゃく
１文章の流れの中にある意味内容のつながりぐあい。多くは、文と文の論理的関係、語と語の意味的関連の中にある。文章の筋道。文の脈絡。コンテクスト。「—で語の意味も変わる」「—をたどる」
２一般に、物事の筋道。また、物事の背景。「政治改革の—でながめると」</t>
        </is>
      </c>
      <c r="D7538" t="inlineStr">
        <is>
          <t>文脈上；文脈で用いられる；文脈で語られる；文脈で使われる；文脈自由</t>
        </is>
      </c>
      <c r="E7538" t="inlineStr">
        <is>
          <t>コンテキスト；文理；前後関係；コンテクスト；語脈</t>
        </is>
      </c>
      <c r="F7538" t="inlineStr">
        <is>
          <t>同じ文脈；広い文脈；国内文脈；使われる文脈；文脈上明らか</t>
        </is>
      </c>
      <c r="G7538" t="inlineStr">
        <is>
          <t>文脈自由言語；文脈依存；文脈主義；文脈的；文脈依存文法</t>
        </is>
      </c>
      <c r="H7538" t="n">
        <v>29</v>
      </c>
      <c r="I7538" t="inlineStr">
        <is>
          <t>上記の下3点はその文脈自由の持つ性質を若干拡張したものとも言える。；そうしたことからその死もこれらと同じ文脈で語られることがあった。；特に後者は同じ文脈においてしばしば用いられるので注意すべきである。；すべてのものや情報は、利用される文脈に応じて複数の属性を持ち得る。；哲学史は、哲学の歴史的文脈上の哲学思考の発展を研究するものである。；ただし文脈によっては選択と淘汰を区別しなければならないこともある。；聖公会の文脈では、アンセムは英語の歌詞に曲がつけられたものである。；といったようないくつかの話題を統一的にみることができる文脈に属する。；この部分はテクストの文脈を離れてしばしば参照される有名な部分である。；この二語だけでは意味に曖昧さの残る部分は、前後の文脈から判断される。；それらを組み合わせて、文脈のあるメッセージも伝達することが出来る。；しかし、文脈から本来の文書でこれらが列挙されていたことは確実である。；その特定の文章だけが周囲の文脈を無視して引用されているのです。；患者本人は少なくとも場の文脈に応じた行動を取ることが難しい。；どのような意図で用いられているか文脈によって判断することが必要である。；発行エリアや発行部数が少ないことを強調する文脈で使用されることがある。；適応には複数の意味があり、文脈や用いられる分野によって若干異なる。；文脈により危険を及ぼす対象及び危険を及ぼす主体の物の範囲が異なる。；とは、分野や文脈に応じて以下のような様々な意味で用いられている言葉である。；彼が用いる文脈は退屈になりがちのものですが、彼は退屈ではないのです。；統計的予測が文脈に強く依存する場合のデータ圧縮によく採用されている。；仏教瞑想の文脈では、すべての物事の特性を理解する力であるとしている。；歴史的文脈で宗教書を捉えた時には、その来歴は当然検証の対象となる。；つまりその文章の意味と妥当性は、前後の文脈とは独立しているほうがよい。；もちろん「小さい」は相対的な言葉であり、その定義は文脈に依存する。；ITは一般的に、の文脈の中で用いられ、個人的な用途やとは異なる。；合唱詩はスパルタの社会的、政治的、宗教的な文脈のなかで表現される。；この文脈では、この形の関数はブロッホ周期的であると言うこともある。；この言葉は、少なくとも1513年から軍事的な文脈で使われている。</t>
        </is>
      </c>
      <c r="J7538">
        <f>HYPERLINK("https://www.weblio.jp/content/文脈", "词义详情")</f>
        <v/>
      </c>
      <c r="K7538">
        <f>HYPERLINK("https://yourei.jp/文脈", "查看例句")</f>
        <v/>
      </c>
    </row>
    <row r="7539">
      <c r="A7539" t="inlineStr">
        <is>
          <t>文明</t>
        </is>
      </c>
      <c r="B7539" t="inlineStr">
        <is>
          <t>成功</t>
        </is>
      </c>
      <c r="C7539" t="inlineStr">
        <is>
          <t>読み方：ぶんめい
人知が進んで世の中が開け、精神的、物質的に生活が豊かになった状態。特に、宗教・道徳・学問・芸術などの精神的な文化に対して、技術・機械の発達や社会制度の整備などによる経済的・物質的文化をさす。
→文化［用法］
[補説]書名別項。→文明</t>
        </is>
      </c>
      <c r="D7539" t="inlineStr">
        <is>
          <t>文明的；文明年間；文明世界；文明元年；文明論</t>
        </is>
      </c>
      <c r="E7539" t="inlineStr">
        <is>
          <t>文化；栽培；教養；培養；養殖</t>
        </is>
      </c>
      <c r="F7539" t="inlineStr">
        <is>
          <t>近代文明；科学文明；高度な文明；西欧文明；ヨーロッパ文明</t>
        </is>
      </c>
      <c r="G7539" t="inlineStr">
        <is>
          <t>文明人；文明国；文明化；文明社会；文明批評</t>
        </is>
      </c>
      <c r="H7539" t="n">
        <v>29</v>
      </c>
      <c r="I7539" t="inlineStr">
        <is>
          <t>人類や文明の起源は宇宙人であるとする古代宇宙飛行士説も唱えられた。；あくまで文明はさまざまな行為主体の政治行動を方向付けるものである。；地形・大気・生物・文明などを操作し惑星を育てる事を目的としている。；文明元年には四国・九州の諸大名に軍を率いて上京するよう命じている。；つまり最も衝突の危険が高い主要文明はイスラム文明と中華文明である。；あるいは彼ら日本人を経由して、西洋の文明観の影響も受けていた。；ギリシア人はそれらの文明・文化から様々な影響を受けたと考えられている。；つまり、この洪水は古代からのエジプトの文明を支えてきた側面があった。；ギリシャ・ローマ文明の主要な中心地だと考えられたためであった。；チャイルドの定義以外に、すべての文明に共通するものとして次がある。；この文明と同レベルの遺跡が木星にも存在するが関連性は不明である。；文明初期の中心となったのは民族系統が不明のシュメール人である。；分業は、初期の文明から見られたが、時代と地域によって違いがあった。；文明の絶頂期にある人類が発達し過ぎた科学の力に逆襲される様子を描いた。；日の当たらない入江であり、多数の鉱山を中心に文明を感じさせる地域。；文明は包括的な概念であり、広範な文化のまとまりであると考えられる。；以降、こういった見解はヨーロッパ文明を説明する上で一般的に用いられている。；これに激高した民衆が文明12年に徳政一揆を起こして関所を破壊した。；なお、この時点では、まだ文明は崩壊していなかったという説がある。；だが、こんな高度な技術文明が地球に存在したという痕跡は残っていない。；更に言えば、かまどの発達は文明の発達に大きく寄与したとも考えられる。；すでに高い科学力をもった文明が昔のこととなった世界。；つまりそうした文明の数を10個だと推定してみせたのである。；今から3万年の昔、地球には文明の発達した二つの大陸があった。；中国大陸の高度な文明制度を取り入れて、本格的な国家が誕生した。；人類出現以来、隣り合う文化文明は互いに交流し影響を及ぼしあってきた。；現在中東と呼ばれている地域は地球上でもっとも古くから文明の発達した土地である。；これまで独自の文化圏を持つとして文明に分類されたものをあげる。；従って、光速を超えられない文明はこの泡を回避することは出来ない。</t>
        </is>
      </c>
      <c r="J7539">
        <f>HYPERLINK("https://www.weblio.jp/content/文明", "词义详情")</f>
        <v/>
      </c>
      <c r="K7539">
        <f>HYPERLINK("https://yourei.jp/文明", "查看例句")</f>
        <v/>
      </c>
    </row>
    <row r="7540">
      <c r="A7540" t="inlineStr">
        <is>
          <t>分野</t>
        </is>
      </c>
      <c r="B7540" t="inlineStr">
        <is>
          <t>成功</t>
        </is>
      </c>
      <c r="C7540" t="inlineStr">
        <is>
          <t>読み方：ぶんや
人間の活動における、分化した一つの領域。物事のある方面・範囲。「新しい—の研究」</t>
        </is>
      </c>
      <c r="D7540" t="inlineStr">
        <is>
          <t>分野ごと；分野で用いられる；分野で広く；分野教授；分野で使われる</t>
        </is>
      </c>
      <c r="E7540" t="inlineStr">
        <is>
          <t>一部；世界；部；国；部分</t>
        </is>
      </c>
      <c r="F7540" t="inlineStr">
        <is>
          <t>一分野；研究分野；様々な分野；各分野；幅広い分野</t>
        </is>
      </c>
      <c r="G7540" t="inlineStr">
        <is>
          <t>分野別図書目録</t>
        </is>
      </c>
      <c r="H7540" t="n">
        <v>29</v>
      </c>
      <c r="I7540" t="inlineStr">
        <is>
          <t>本説は下記に述べる生化学分野からのアプローチからも支持されている。；さまざまな分野で使われており、場合によって意味が異なることもある。；コロイドが持つ特徴的な性質を理解する分野はコロイド化学と呼ばれる。；とは、位相空間上の性質がZFCと独立かどうかを主題する分野である。；また、低価格で信頼性が高いことから医療機器分野でも多く使用された。；これらの多くはリモートセンシングなど特殊な分野で利用されている。；専門的な分野の雑誌は、契約制で企業や個人宅に直接配送するものがある。；しかし、各分野間には関連領域が存在するため明確に区別することは難しい。；現代数学において基礎的な役割を果たし、幅広い分野に応用されている。；会が発展するに伴ってイエズス会の活動分野は三つに絞られていった。；この分野は、社会科学の分野で行われる多くの定量的研究の中心である。；一般的にこの分野では統計物理学と呼ばれる強力な手法が使われる。；代数的グラフ理論は動的系や複雑性を含む多くの分野に応用されている。；G8サミット国や招待国以外でも、特定の分野で参加することができる。；勤務地が大きく変わることはないが、別の分野を担当させられる。；民俗学もまた隣接分野として共通の研究テーマを共有することが多い。；工業分野では明確に定義が定められるようにもなってきた。；専門分野ごとに計39の分科会を持ち、それぞれに会誌を発行している。；また、実用的知識から科学的な分野への移行を意味することもある。；広い意味では、宣伝・配給など監督の権限が及ばない分野の関係者も指す。；これは現代では素粒子物理学などの物理学の諸分野でも常識となっている。；また世界的に関心の高い分野への受賞など社会的なメッセージともとれる例がある。；構造力学分野で発達し、他の分野でも広く使われている手法である。；赤外分光の分野では、単に赤外と言うとこの領域を指すことが多い。；その分野の歴史や他の学問への影響、方法論などはさまざまである。；当初は後にガロア理論と呼ばれるようになった分野と構成可能性問題が中心だった。；哲学と宗教は共に神の存在に関連している分野である。；農業はカリフォルニア州経済の大変重要な分野であり続けている。；以下に挙げるのはそのなかでも特に広く用いられている分類、専門分野の名称である。</t>
        </is>
      </c>
      <c r="J7540">
        <f>HYPERLINK("https://www.weblio.jp/content/分野", "词义详情")</f>
        <v/>
      </c>
      <c r="K7540">
        <f>HYPERLINK("https://yourei.jp/分野", "查看例句")</f>
        <v/>
      </c>
    </row>
    <row r="7541">
      <c r="A7541" t="inlineStr">
        <is>
          <t>分離</t>
        </is>
      </c>
      <c r="B7541" t="inlineStr">
        <is>
          <t>成功</t>
        </is>
      </c>
      <c r="C7541" t="inlineStr">
        <is>
          <t>読み方：ぶんり
［名］(スル)
１分かれて離れること。また、分けて離すこと。「ドレッシングの油が—する」「中央—帯」「政教—」
２結晶・昇華・蒸留などにより、ある物質を分けて取り出すこと。
３「分離の法則」の略。</t>
        </is>
      </c>
      <c r="D7541" t="inlineStr">
        <is>
          <t>分離すること(3%)；分離される(2%)；分離独立；分離する形；分離できる</t>
        </is>
      </c>
      <c r="E7541" t="inlineStr">
        <is>
          <t>分け；解散；分割；解体；分解</t>
        </is>
      </c>
      <c r="F7541" t="inlineStr">
        <is>
          <t>人種分離；分離式；分離法；再分離；分離子会社</t>
        </is>
      </c>
      <c r="G7541" t="inlineStr">
        <is>
          <t>分離独立；分離帯；分離主義；分離派；分離主義勢力</t>
        </is>
      </c>
      <c r="H7541" t="n">
        <v>29</v>
      </c>
      <c r="I7541" t="inlineStr">
        <is>
          <t>この理由は、「東西分離問題」が影響したものであると指摘されている。；一般に、音声の音響的な特徴と言語的な特徴を分離して扱うことが多い。；これもかつて化学的分離や抽出が困難であった時代の名称の名残である。；国際連盟はメーメル地方のドイツへの分離を防ぐことができなかった。；つまり兵器名と核弾頭の形式番号が明確に分離されるようになったのである。；乗客から完全に分離するため、ホーム上には安全柵が設置されている。；いずれにせよ、教会の完成は都市建設から教区分離までの間であった。；特急列車や一部普通列車を除く大半の列車が当駅で系統が分離されている。；この様に、観念的には物質の概念と存在概念と分離することは難しい。；状態を分離することでUIの状態をより予測しやすいものにできる。；可部駅もホーム改良に合わせて上下線分離駅となり自由通路を設置する。；徳間書店から分離・独立した2005年からは、再び株式会社となった。；工具は、人類を地球上の全ての他の動物から分離した決定的な象徴である。；工事開始に伴い改札口は分離され、西武側に新たに駅舎が建設された。；このため、客用扉付近と扉間で吊り革の引き通し棒が分離している。；ウイルス中の特定のタンパク質を分離して接種する、などの方法がある。；日本では所有と運営が一体の場合も多いが、海外は所有と運営の分離が一般的である。；プトレマイオスは地球の運動を他の天体の運動と分離したのである。；大手証券会社の野村證券は大和銀行の証券部が分離・独立して誕生した。；現在の会社は1942年4月10日に広島瓦斯電軌より分離設立された。；それぞれの地域はこの頃から次第に独自の歴史性をもって分離していくことになる。；このコアユニットは機体から分離可能であり、封印時には取り外される。；ドイツ側はさらにソヴィエト占領地区の分離が余儀なくされていた。；また大正13年には黒麹から突然変異した白麹の分離培養にも成功した。；その後プロテスタントの教会は分裂・分離を重ねて多くの様々な教派が現れた。；開拓使から分離して設置されたが、1年余りで廃止して元に戻った。；電気鉄道事業者などでは、分離操作・結合操作と呼ばれることがある。；両駅の改札口は分離されているが、両方とも駅の南北を結ぶ連絡通路に面している。；これらを運転中に編成落としをしたり、分離運転したりする。</t>
        </is>
      </c>
      <c r="J7541">
        <f>HYPERLINK("https://www.weblio.jp/content/分離", "词义详情")</f>
        <v/>
      </c>
      <c r="K7541">
        <f>HYPERLINK("https://yourei.jp/分離", "查看例句")</f>
        <v/>
      </c>
    </row>
    <row r="7542">
      <c r="A7542" t="inlineStr">
        <is>
          <t>分量</t>
        </is>
      </c>
      <c r="B7542" t="inlineStr">
        <is>
          <t>成功</t>
        </is>
      </c>
      <c r="C7542" t="inlineStr">
        <is>
          <t>読み方：ぶんりょう
［名］(スル)
１物の重量・容積・数量・割合などの、多い少ないの程度。量。「仕事の—を減らす」「目—」
２長さ・重さなどをはかること。
「粉薬を—している小生意気な薬局生」〈啄木・鳥影〉
３身のほど。身分の程度。分際(ぶんざい)。
「身の—を知ったるゆゑ」〈浄・博多小女郎〉</t>
        </is>
      </c>
      <c r="D7542" t="inlineStr">
        <is>
          <t>分量単位(3%)；分量樋；分量すなわち</t>
        </is>
      </c>
      <c r="E7542" t="inlineStr">
        <is>
          <t>数；高；量；額；大きさ</t>
        </is>
      </c>
      <c r="F7542" t="inlineStr">
        <is>
          <t>必要な分量；膨大な分量；同一分量；生産される分量；それだけの分量</t>
        </is>
      </c>
      <c r="H7542" t="n">
        <v>29</v>
      </c>
      <c r="I7542" t="inlineStr">
        <is>
          <t>毎日決まった分量の書物を手に入れることだって、容易なことじゃない。；一般的な雑誌のカバーストーリーに匹敵する分量を目指したものである。；その囁きのなかに、かなりの分量の秘密性が予想されたからでもあった。；題こそ決めていないがそれはすでに原稿用紙二十枚の分量になっていた。；そこで、この前まいたのとちょうど同じ分量を毎年一回まくことにした。；あなたをちょっと驚かすために分量を増しただけなのだからと答えた。；今どき七三五円でこれだけの味と分量があるのに、何の不満があるものか。；その場合には、供給される分量と需要される分量とは以前と同一であろう。；Unicodeには、秒の分量単位を表す上記の文字が収録されている。；切り分けられた肉の分量が多いの少ないの、肩肉の質がいいの悪いの。；すると小さいのが姉のした通り同分量の砂糖を同方法で自分の皿の上にあけた。；其上、知らず知らずの間に、文章の分量が殖えて来る事もあつたらしい。；わしらが使用する材料の分量などは、わしにはとても言えないのだ。；事件に意味を持つと思われる部分の分量は里志のものとほとんど変わらない。；そのお前が 同じ分量の悲しみをこのわしから奪い取るのは当然ではないか?；ある程度までの夢想は、一定の分量の麻酔剤のごとく有効なものである。；机の脇においた宅配便の小振りの段ボールがほぼいっぱいになる分量だ。；命中させて全焼させるためには、かなりの分量の焼夷弾が必要であろう。；あと三、四日はこいつでラリって過ごそうと思っていたくらいの分量だ。；原作の分量に合わせて放送回数を決めるというスタイルで制作されている。；この人が常用しているジァールの分量をちょっぴり多くした丈けなのよ。；書かれた分量の比率にしても、全日記の数パーセント程度のものであろう。；滝島の意見は、半ページほどを予定していて、さほどの分量ではない。；料理はすぐに現われたが、二皿は食堂で目にしたと同じ、わずかな分量だった。；かれの仕事の分量からいえば、数多くの詩作も一部分のものにすぎなかった。；それが同じ分量でゐる間は、電気の存在は別に何んにも現はさない。；めくられているページの分量から見て、まだ読み始めたばかりらしい。；第二年目中に、彼らはすべて同一の分量の労働を使用するであろう。；ところが凶作中には彼は同じ分量をほとんど三倍の価格で買うことが出来た。</t>
        </is>
      </c>
      <c r="J7542">
        <f>HYPERLINK("https://www.weblio.jp/content/分量", "词义详情")</f>
        <v/>
      </c>
      <c r="K7542">
        <f>HYPERLINK("https://yourei.jp/分量", "查看例句")</f>
        <v/>
      </c>
    </row>
    <row r="7543">
      <c r="A7543" t="inlineStr">
        <is>
          <t>分類</t>
        </is>
      </c>
      <c r="B7543" t="inlineStr">
        <is>
          <t>成功</t>
        </is>
      </c>
      <c r="C7543" t="inlineStr">
        <is>
          <t>読み方：ぶんるい
［名］(スル)事物をその種類・性質・系統などに従って分けること。同類のものをまとめ、いくつかの集まりに区分すること。類別。「五十音順に—する」「—表」</t>
        </is>
      </c>
      <c r="D7543" t="inlineStr">
        <is>
          <t>分類される(35%)；分類すること(2%)；分類できる(2%)；分類上；分類方法</t>
        </is>
      </c>
      <c r="E7543" t="inlineStr">
        <is>
          <t>目；部；種；配置；種類</t>
        </is>
      </c>
      <c r="F7543" t="inlineStr">
        <is>
          <t>再分類；大きく分類；細かく分類；分類する場合；基づいて分類</t>
        </is>
      </c>
      <c r="G7543" t="inlineStr">
        <is>
          <t>分類学；分類体系；分類法；分類階級；分類学者</t>
        </is>
      </c>
      <c r="H7543" t="n">
        <v>29</v>
      </c>
      <c r="I7543" t="inlineStr">
        <is>
          <t>かつては人間側の用途で分類する方法もしばしば用いられたことがある。；このような元素の増加に伴い、特性に応じた分類や系統立てが行われた。；現在の旅は非常に多様であり、さまざまに分類することが可能である。；分類方法はさまざまであるが、たとえば以下のように分類する方法がある。；日本の商法は関連する法令を含め、一般に下記のような分類がなされる。；上の分類とは別に、火山体周辺で起こるものを特別に分ける場合がある。；プレーヤーの特定の趣味嗜好に合うか合わないかで分類する場合もある。；現在の地形に加えて、形成過程や内部構造も考慮して分類されている。；上記の分類以外に、大学の文学部で行っている学問を指す解釈もある。；動物分類学や植物分類学だけを指すためにこの言葉が用いられることもある。；内蔵するデバイスのスピンドル数で以下のように分類されることもある。；日本以外でも分類は異なる場合もあるものの用途は概ね同一である。；ゲームの分類というのは、メーカーの意図どおりに行われるとは限らない。；受容体は、その機構や細胞内の位置に基づいて分類することができる。；多数の未記載種が知られ、分類は今後も拡大するものとみられる。；その後、馬車にはなかった分類用語が追加されてきた歴史がある。；この場合、いずれも食の最大を迎える前と食の最大を過ぎた後に分類される。；武田家臣団を制度的に分類する事は研究者の間でも意外と難しいとされる。；カーネルが提供する機構または方針は、いくつかの基準で分類できる。；特に以下の分類で同じ分類の競技ではより多くなっている。；基本的には中欧とされるが、歴史的には東欧に分類されたことがある。；以下は特定の部位に存在し、特徴的な機能・形態を持つ分類である。；旅の分類と言ってもさまざまな方法があるが、例えば次のような分類が可能である。；生物群は大分して交尾行動を行うものと交接行動を行うものに分類できる。；この族は元素を分類する上で最も重要な方法と考えられている。；自然界に存在するものを収集・分類する試みは太古から行われてきた。；型付けは動的型付けに分類できるが、言語仕様の中に型概念は登場しない。；本シリーズに登場するアイテムは、主に次のように分類される。；これらの分類は単純に元素の族や元素の周期だけで決めることはできない。</t>
        </is>
      </c>
      <c r="J7543">
        <f>HYPERLINK("https://www.weblio.jp/content/分類", "词义详情")</f>
        <v/>
      </c>
      <c r="K7543">
        <f>HYPERLINK("https://yourei.jp/分類", "查看例句")</f>
        <v/>
      </c>
    </row>
    <row r="7544">
      <c r="A7544" t="inlineStr">
        <is>
          <t>分裂</t>
        </is>
      </c>
      <c r="B7544" t="inlineStr">
        <is>
          <t>成功</t>
        </is>
      </c>
      <c r="C7544" t="inlineStr">
        <is>
          <t>読み方：ぶんれつ
［名］(スル)
１一つのまとまりが、いくつかのものに分かれること。「会が—する」「核—」
２生物の一個体が二つ以上の個体に分かれて増殖する無性生殖の方法。</t>
        </is>
      </c>
      <c r="D7544" t="inlineStr">
        <is>
          <t>分裂する(8%)；分裂状態(3%)；分裂後(2%)；分裂騒動；分裂期</t>
        </is>
      </c>
      <c r="E7544" t="inlineStr">
        <is>
          <t>部分；分野；部門；艦隊；解散</t>
        </is>
      </c>
      <c r="F7544" t="inlineStr">
        <is>
          <t>細胞質分裂；党分裂；リーグ分裂；保守分裂；細胞分裂</t>
        </is>
      </c>
      <c r="G7544" t="inlineStr">
        <is>
          <t>分裂組織；分裂選挙；分裂促進因子；分裂酵母；分裂国家</t>
        </is>
      </c>
      <c r="H7544" t="n">
        <v>29</v>
      </c>
      <c r="I7544" t="inlineStr">
        <is>
          <t>その後も高国派と澄元派に分裂し長期に渡って対立を続けることとなる。；党は分裂を回避するために奴隷制問題への態度表明を避けるようになった。；彼女の失敗は宗教分裂を政治的問題とのみ見なしていたことであった。；分裂をする種の中でも最も再生力が強い種がホウキボシの仲間である。；種社会は様々な契機によって分裂し、別の種社会を形成するようになる。；他の繊毛虫同様、体軸方向の前後の部分に分かれるようにして分裂する。；そのため労働者の戦線は分裂し、ナチスに対抗することができなかった。；再形成された超大陸はしばらくするとまた分裂を始め、以上を繰り返す。；この改造案が発表された後、国際エスペラント運動は重大な分裂が続いた。；そして1927年に分裂していたリーグが統合されることになった。；この頃、戒律の解釈問題で教団内に対立が起こり、分裂しそうになった。；その結果IRAは、に編入されるグループとデ・ヴァレラ派に分裂した。；この抗議文への姿勢の違いから議会は国王派と議会派に分裂した。；河野死後の1966年、佐藤栄作を支持するかしないかで派が分裂する。；以降自由党はアスキス派とロイド・ジョージ派に分裂することとなった。；その後は原水爆禁止世界大会は毎年分裂して行われるようになった。；こうした折衷的立場をとることによって党の分裂を回避しようと苦心した。；そのため、金はかかるとたちまち運営に行き詰ってしまい、劇団は分裂。；スリランカの大寺派の記録によると、分裂の原因だったとされている。；ウェールズではケルト系の分裂した小国家が13世紀まで存続していた。；アダムズは戦争を回避したが、その過程で自分の党を分裂させた。；自然の状態でもこのような形で分裂で増えるものも知られる。；この加入条件は必然的にヨーロッパの諸党の分裂をもたらした。；ゴンドワナと呼ばれている超大陸が形成・分裂した時期に相当する。；その後プロテスタントの教会は分裂・分離を重ねて多くの様々な教派が現れた。；この両系統が対立したことが、後の南北朝分裂につながったことはよく知られる。；なおこの時点ではまだ日本共産党分裂にまでは至っていない。；こうした東西宮廷の分裂に加えて、皇帝権そのものにも更なる分割が加えられた。；戦争が始まるときまでに、ニューハンプシャーは分裂した植民地になっていた。</t>
        </is>
      </c>
      <c r="J7544">
        <f>HYPERLINK("https://www.weblio.jp/content/分裂", "词义详情")</f>
        <v/>
      </c>
      <c r="K7544">
        <f>HYPERLINK("https://yourei.jp/分裂", "查看例句")</f>
        <v/>
      </c>
    </row>
    <row r="7545">
      <c r="A7545" t="inlineStr">
        <is>
          <t>ふんわり</t>
        </is>
      </c>
      <c r="B7545" t="inlineStr">
        <is>
          <t>成功</t>
        </is>
      </c>
      <c r="C7545" t="inlineStr">
        <is>
          <t>［副］(スル)「ふわり」を強めていう語。「—（と）舞い落ちる雪」「—（と）焼き上がったケーキ」</t>
        </is>
      </c>
      <c r="D7545" t="inlineStr">
        <is>
          <t>ふんわりと揺れはためく；ふんわりと浮かん；ふんわりと漂う；ふんわりと軽く；ふんわり微笑ん</t>
        </is>
      </c>
      <c r="E7545" t="inlineStr">
        <is>
          <t>軽く；そっと；優しく；柔らかく；そと</t>
        </is>
      </c>
      <c r="F7545" t="inlineStr">
        <is>
          <t>上にふんわり；ふんわりと揺れ</t>
        </is>
      </c>
      <c r="G7545" t="inlineStr">
        <is>
          <t>ふんわりジャンプ；ふんわり名人</t>
        </is>
      </c>
      <c r="H7545" t="n">
        <v>29</v>
      </c>
      <c r="I7545" t="inlineStr">
        <is>
          <t>いつもよりもどこか大人っぽさを感じさせるメイクとふんわりとした髪。；このガスを吹きつけた物は何でも空気より軽くなり、ふんわりと宙に浮く。；サクサクとしたくちどけとふんわりとした卵の味が感じられることが特徴。；ふんわりしたスカートをはいていて、不安そうにきょろきょろしている。；風は何かとてつもなく大きな布のように、ふんわりと彼を包みこんだ。；ふんわりとしたものから、もちもちとしたものまで様々な食感のものがある。；先生はまず左の義足を支えにして、右足をふんわりテーブルの端にのせた。；体全体に伝わってくる感覚は、ふんわりとした温かさに満ちていた。；そのまま黙っていると、ふんわりとした感触が頭に乗ってきました。；そうすると一挙一動する度に髪の毛と一緒にふんわり匂いがするという。；遅れてその横に立った美雨が、こちらを振り向いてふんわりと微笑んだ。；まるで地面にふんわり着地したような、とても安心して落ち着いた気分だ。；小さくて、長い髪がふんわりとその身体を覆っていて、手乗りタイガー。；絨氈の上にはふんわりと、硬い床板の上にはがちやんと音を立てながら。；事実、その女は、何か長い、ふんわりした白いものを着ていました。；彼の腕が肩を包むと、自分がふんわり浮き上がってゆくような気分になれた。；女の体はまるで落葉にのってふんわりと漂っているかのようだった。；咲きたての花のような柔らかくいい匂いがふんわりと鼻をくすぐった。；ふんわりとふとんのうえにしりをおろしたのと同じようであった。；ふんわりと結ばれた黄色い布は、うつむきかけた百合の花びらを思わせた。；やっぱり桜には、ああいうふんわりとした笑顔が似合うんだから。；花はやや大きめで、花弁の多さから丸くふんわりとした形になるものが多い。；夏に灼けた彼女の肌はまた白くなり、ふんわりした髪が手足に黒く映えた。；思わず顔を埋めたくなるようなふんわりとした髪。；すると彼の体がふんわりと浮び上り次の瞬間彼の体は空中を大砲のところまで飛んで行った。；あたしの夢の中でしか見られない、ふんわりした笑顔が見えない。；透けるような素材のふんわりしたスカートが、俺の目の前で風を孕んで揺れた。；ふんわりとした黄土色の髪の女の子が画面の中に現れる。；次郎は、その中で体がふんわりと宙に浮き上るような気持になった。</t>
        </is>
      </c>
      <c r="J7545">
        <f>HYPERLINK("https://www.weblio.jp/content/ふんわり", "词义详情")</f>
        <v/>
      </c>
      <c r="K7545">
        <f>HYPERLINK("https://yourei.jp/ふんわり", "查看例句")</f>
        <v/>
      </c>
    </row>
    <row r="7546">
      <c r="A7546" t="inlineStr">
        <is>
          <t>塀</t>
        </is>
      </c>
      <c r="B7546" t="inlineStr">
        <is>
          <t>成功</t>
        </is>
      </c>
      <c r="C7546" t="inlineStr">
        <is>
          <t>読み方：へい
［常用漢字］　［音］ヘイ
家や敷地の周りに設ける囲い。「石塀(いしべい)・板塀(いたべい)・土塀(どべい)」
[補説]国字。</t>
        </is>
      </c>
      <c r="D7546" t="inlineStr">
        <is>
          <t>塀越し；塀外；塀際；塀ぎわ；塀沿い</t>
        </is>
      </c>
      <c r="E7546" t="inlineStr">
        <is>
          <t>壁；柵；フェンス；垣；囲い</t>
        </is>
      </c>
      <c r="F7546" t="inlineStr">
        <is>
          <t>煉瓦塀；コンクリート塀；長い塀；黒塀；低い塀</t>
        </is>
      </c>
      <c r="G7546" t="inlineStr">
        <is>
          <t>塀内；塀和；塀の中の懲りない面々；塀内夏子；塀内真人</t>
        </is>
      </c>
      <c r="H7546" t="n">
        <v>29</v>
      </c>
      <c r="I7546" t="inlineStr">
        <is>
          <t>我々は今度はお庭の塀の外や隣近所の人達を調べて見たいと思います。；コンクリート塀に大きな黒いMの字があらわれているではありませんか。；撮影者は高さ約3メートルの塀の外の車上から撮影していたとされる。；脚は膝から下がよく動くが、それから上は塀につきあたっているようだ。；彼女はあのいつも塀の上にいる大きな猫に疑いを掛けずにはいられなかった。；耳をすますと、その塀の外から、大ぜいの子どもの声が聞こえて来ます。；昔から家は同族の人間による襲撃に備えて、周囲に塀をめぐらせてある。；周囲は草で編んだ塀で囲まれているが、高さは大人の背丈よりも低い。；下に下水道がある訳ではなく、狭い穴がこの塀の内側へ通じている。；そうしてうしろを向いておいでおいでをすると、塀を内側へとびおりた。；しかもそこは周囲を塀で囲まれており、ゾンビの侵入も少ないように見える。；二人は探検と称して精神病院の塀の上を少し先まで歩く遊びをする。；庭の木立を洩れる音を塀越しに聞いて茫然と佇立る人も大分あるさうだ。；要塞化し塀からの土地の遠くには、崖が平野に向かって急な坂になっていた。；私が一わたり読み取ったのは、唯今の塀下ではない、ここでの事である。；そのすぐ外には、人の背よりは少し高いコンクリートの塀があった。；明治以降は大半は塀裏町となり、一部は裏ノ町・中通町・中魚町だった。；散歩者のような調子で、二人は塀の前を静かに通って行った。；白い化粧煉瓦を張った長い塀が、いかにも澄んだ冬の空気を映していた。；また塀内には監視小屋も設置されており、常時警備員が境内を監視している。；そこで老浮浪者の先まわりをして、表の塀の西の方へ廻り、裏道へでた。；その町かどのコンクリートの塀の前に、赤い郵便ポストが立っていました。；途中から塀ごしに幼稚園の運動場を見ることが出来るようになった。；「襲撃だ」 「その塀の陰だ」 銃声は一時に右からも左からも起った。；元は福島町・塀裏町の各一部であり、1941年から現在の町名となる。；竹野神社は三方を塀に囲まれており、塀には全て白い二本線が入っている。；蘭堂がその窓へ駈けつけた時には、ゴリラはもう塀を乗り越していた。；川の向こうには何かの工場の長い塀がつづいていた。；敷地にはマンションが建てられたが、門・塀は残されている。</t>
        </is>
      </c>
      <c r="J7546">
        <f>HYPERLINK("https://www.weblio.jp/content/塀", "词义详情")</f>
        <v/>
      </c>
      <c r="K7546">
        <f>HYPERLINK("https://yourei.jp/塀", "查看例句")</f>
        <v/>
      </c>
    </row>
    <row r="7547">
      <c r="A7547" t="inlineStr">
        <is>
          <t>閉会</t>
        </is>
      </c>
      <c r="B7547" t="inlineStr">
        <is>
          <t>成功</t>
        </is>
      </c>
      <c r="C7547" t="inlineStr">
        <is>
          <t>読み方：へいかい
［名］(スル)
１集会や会議が終わること。また、終えること。「—の辞」「オリンピックが無事—する」「—式」⇔開会。
２国会・地方議会が会期を終えて活動能力を失うこと。</t>
        </is>
      </c>
      <c r="D7547" t="inlineStr">
        <is>
          <t>閉会中(13%)；閉会後(13%)；閉会式(6%)；閉会宣言(2%)；閉会直前</t>
        </is>
      </c>
      <c r="E7547" t="inlineStr">
        <is>
          <t>終わる；閉鎖；終結；終る；終える</t>
        </is>
      </c>
      <c r="F7547" t="inlineStr">
        <is>
          <t>議会閉会；国体閉会；党大会閉会；長野オリンピック閉会；博覧会閉会</t>
        </is>
      </c>
      <c r="G7547" t="inlineStr">
        <is>
          <t>閉会中審査</t>
        </is>
      </c>
      <c r="H7547" t="n">
        <v>29</v>
      </c>
      <c r="I7547" t="inlineStr">
        <is>
          <t>予算を審議している会議は、それが成立するまで閉会されることはない。；そのシンポジウムが閉会し、次の日には発つ予定だった夜のことである。；また、大会中での演説には許可がおりず、演説は大会閉会後に行われた。；すべての国で、選挙等の理由での庶民院の閉会は国王によって行われる。；閉会中に行うことができないことの代表例は「本会議を開く」ことである。；その後、全体委員会は宣言文に目を向け、閉会前に第2回読会が行われた。；全国人大閉会中の活動を担保するため、常務委員会が設置されている。；通常は毎年9月15日に議会が開会し、翌年の6月30日に閉会される。；閉会の言葉が宣せられ、やがて天皇は役人に案内されて、退席していった。；彦根市は予算案が成立しないまま議会が閉会する異例の事態になった。；閉会後に一泊せず、そのまま帰る予定で運転手を待機させていただけでも幸いなのだ。；この会議が閉会になるときに、議会はキャズウェルを知事代行に選出した。；最後は大会会長の閉会宣言と共に、全選手がトラックを一周して終わりとなる。；留学同が開会の辞を担当し、韓学同からは具末謨が閉会の辞を述べた。；閉会後は報告書が作成され、文部科学省Webサイト内に掲載されている。；いずれの会期も大公またはその代理を務める首相が開会や閉会を宣言する。；大会終了後に出雲ドームで閉会式が開催され表彰等が行われる。；また継続審議をするには、次の国会召集日との間に一日以上の閉会期間を置く必要がある。；博覧会閉会後も残され現在も当時の姿を残している。；この同盟の締結をもって、諸国会議は閉会となった。；両委員会は閉会中でもこれを審査することができます。；正式には韓国・仁川で開催された2014年大会閉会式にて次回開催地の発表を行なった。；結局このまま正式な閉会宣言なしに公会議は終了した。；その後、常任理事国に対して協議を続けるよう要請して閉会となった。；一方のピットは議会を離れて郊外に行き、3月24日に議会が閉会すると翌日に議会を解散した。；閉会中や休会中の召集は、大統領および大国民議会議長の権限である。；党大会閉会中、党を代表して全ての党事業を組織し指導するほか、党の財政を管理する。；そして思わず酒をも過して閉会したのは午前一時であった。；そうして音楽や舞踏を楽しみつつ夜になって閉会する。</t>
        </is>
      </c>
      <c r="J7547">
        <f>HYPERLINK("https://www.weblio.jp/content/閉会", "词义详情")</f>
        <v/>
      </c>
      <c r="K7547">
        <f>HYPERLINK("https://yourei.jp/閉会", "查看例句")</f>
        <v/>
      </c>
    </row>
    <row r="7548">
      <c r="A7548" t="inlineStr">
        <is>
          <t>弊害</t>
        </is>
      </c>
      <c r="B7548" t="inlineStr">
        <is>
          <t>成功</t>
        </is>
      </c>
      <c r="C7548" t="inlineStr">
        <is>
          <t>読み方：へいがい
害になること。他に悪い影響を与える物事。害悪。「—を及ぼす」「—が伴う」</t>
        </is>
      </c>
      <c r="D7548" t="inlineStr">
        <is>
          <t>弊害が大きい；弊害も見られる；弊害が大きく；弊害も大きい；弊害百出</t>
        </is>
      </c>
      <c r="E7548" t="inlineStr">
        <is>
          <t>損傷；損害；ダメージ；害；仇</t>
        </is>
      </c>
      <c r="F7548" t="inlineStr">
        <is>
          <t>大きな弊害；さまざまな弊害；こうした弊害</t>
        </is>
      </c>
      <c r="H7548" t="n">
        <v>29</v>
      </c>
      <c r="I7548" t="inlineStr">
        <is>
          <t>さうしてその弊害は、この場合などは、制度からよりも人から來てゐる。；戦争中に出た探偵小説にはこの種の弊害に陥っているものが随分あった。；そのためその時の状況に応じてエンジン特性が違うなどの弊害をもたらした。；勿論弊害もあるが、軍隊に出た男は概して話せる男になって帰って来る。；これ即ち運動の弊害の少ない証拠で、学問の中毒の恐ろしい好証である。；ああいうのを読んでおかないと、明治を一つに見てしまう弊害を免れない。；そのため司法官の任意な断罪が可能ともなり弊害を来たす場合もあった。；その弊害は然るべく時代に應じて改めて行かなければならぬのであります。；秘密になっていることを意識的に伝えるのだから、却って弊害が大きい。；家族に過度な負担をかけるため少子化の弊害が深刻化するとの意見がある。；これを知らずに幽明交通をするから、そこに多大の弊害が起るのである。；人世に幸福を与えたかも知れぬが、其れと共に大弊害を生じたのである。；だが、追放刑が抱えていた弊害や矛盾を解決することが出来なかった。；単純な社会行為としての媒酌はさまざまな弊害をもたらす可能性もある。；しかし本当の弊害は、そんなことよりも、もっと深刻なものがあるらしい。；むしろ弊害が少しずつ生まれ、彼女は慎重に言葉を選ぶようになってしまった。；逆に出水時には水勢が強すぎて遡上がこれまた出来ない弊害を持っていた。；瞑想の臨床研究が盛んになると、瞑想の弊害も報告されるようになった。；原爆反対はよいが、それを錦の御旗とすることには、弊害が伴ってくる。；しかし、その為に一回あたりの戦闘時間が長くなってしまう弊害が発生している。；これは先進的なFRP素材を使用したがために起こってしまった弊害である。；がそれは聴覚の自然的制限による弊害で今の処如何とも仕方があるまい。；更に角型のため持ち歩くだけで一日で財布に穴が開くなどの弊害もあった。；しかしその弊害で、明も放っておけないほど武力抗争が激しくなっていた。；田中の作った法律は時代を経るにしたがって多くの弊害を生みもした。；その弊害ともいえるのですが、真実の信仰がなおざりにされました。；台風への警戒心を薄れさせる弊害があることから使用をやめたものだとされる。；あんな馬鹿息子がこんな財産をつぐのが、今の資本主義制度の弊害ねぇ。；勿論酒の弊害は少しでもこの二つの点からは出ていない。</t>
        </is>
      </c>
      <c r="J7548">
        <f>HYPERLINK("https://www.weblio.jp/content/弊害", "词义详情")</f>
        <v/>
      </c>
      <c r="K7548">
        <f>HYPERLINK("https://yourei.jp/弊害", "查看例句")</f>
        <v/>
      </c>
    </row>
    <row r="7549">
      <c r="A7549" t="inlineStr">
        <is>
          <t>閉館</t>
        </is>
      </c>
      <c r="B7549" t="inlineStr">
        <is>
          <t>成功</t>
        </is>
      </c>
      <c r="C7549" t="inlineStr">
        <is>
          <t>読み方：へいかん
［名］(スル)
１図書館・映画館など、館と名のつく施設がその館を閉じて業務を停止すること。「映画館が赤字続きで—する」⇔開館。
２図書館・映画館などがその日の業務を終えること。「—のベルが鳴る」⇔開館。</t>
        </is>
      </c>
      <c r="D7549" t="inlineStr">
        <is>
          <t>閉館後(11%)；閉館時間(2%)；閉館時点；閉館時刻；閉館直前</t>
        </is>
      </c>
      <c r="E7549" t="inlineStr">
        <is>
          <t>終わる；閉鎖；終る；終える；閉じる</t>
        </is>
      </c>
      <c r="F7549" t="inlineStr">
        <is>
          <t>相次いで閉館；同館閉館；すべて閉館；完全閉館；劇場閉館</t>
        </is>
      </c>
      <c r="H7549" t="n">
        <v>29</v>
      </c>
      <c r="I7549" t="inlineStr">
        <is>
          <t>閉館後も、展示品などは時期を見て公開する予定であるとされている。；以下は閉館時のデータではあるが、現在も同様の営業を継続している。；かつては宿泊施設も整備されていたが、閉館と同時に廃止されている。；当施設の閉館に伴い、現在では全てのテナントが営業を終了している。；同館は1956年に開館したばかりであったが、再建されずに閉館した。；しかし建物の老朽化などを理由に2006年5月14日で閉館となった。；家庭用ビデオテープレコーダの出現に伴い多くの劇場が急速に閉館していった。；しかし2009年末に閉館し、再び徳島市から完全に映画館が姿を消した。；施設は閉館後使用されておらず電気、機械設備は老朽化が進んでいる。；中劇はその後も長らく営業を続けていたが2013年2月14日に閉館。；東亜興行の経営する映画館でもっとも早く閉館した映画館である。；翌年には耐震工事や設備投資を行わず完全閉館する事が決定された。；ただし、月末は図書整理日とされ、閉館されているので注意されたい。；閉館中も世界遺産関連の展示が行われている入口ホールまでは入館が可能である。；ただし2013年7月以降に閉館した施設についてはその旨も併記する。；盛岡ピカデリーも前述の通り再開した為、結果的に両館の閉館は逃れられた。；同地域では同時期、赤羽オリンピア劇場、赤羽中央劇場が閉館している。；これにより一時閉館したが、改築されて同年8月25日には営業再開した。；飼育されていた魚は閉館後、全国各地の水族館に移籍する予定という。；閉館後の土地は野村不動産が取得し、跡地にはマンションが計画されている。；同ホテルも閉館、跡地は住友不動産三田ツインビル西館に再開発された。；そのまま同年5月11日付で閉館が決まったため廃止となった。；ただし、年末には12月25日頃から閉館するので注意が必要である。；また、閉館直前には同一場所にある水族館としては日本最古であった。；閉館まで、旧式のカーボン式映写機を使用していたことでも知られる。；若者世代の嗜好と合わなくなった映画館の多くは閉館となった。；ただし多くのテレビゲームは従来のエリアに戻っただけで、閉館でなく再統合に近い。；また、昭和後期までは映画館が立地していたが、平成までに全て閉館している。；閉館ではない為、再開するしないも発表されていない。</t>
        </is>
      </c>
      <c r="J7549">
        <f>HYPERLINK("https://www.weblio.jp/content/閉館", "词义详情")</f>
        <v/>
      </c>
      <c r="K7549">
        <f>HYPERLINK("https://yourei.jp/閉館", "查看例句")</f>
        <v/>
      </c>
    </row>
    <row r="7550">
      <c r="A7550" t="inlineStr">
        <is>
          <t>兵器</t>
        </is>
      </c>
      <c r="B7550" t="inlineStr">
        <is>
          <t>成功</t>
        </is>
      </c>
      <c r="C7550" t="inlineStr">
        <is>
          <t>読み方：へいき
戦闘に用いる器材の総称。武器。「通常—」「化学—」</t>
        </is>
      </c>
      <c r="D7550" t="inlineStr">
        <is>
          <t>兵器開発；兵器工場；兵器システム；兵器製造；兵器類</t>
        </is>
      </c>
      <c r="E7550" t="inlineStr">
        <is>
          <t>武器；銃剣；得物；軍需品；打物</t>
        </is>
      </c>
      <c r="F7550" t="inlineStr">
        <is>
          <t>ビーム兵器；攻城兵器；登場兵器；マシーン兵器；型兵器</t>
        </is>
      </c>
      <c r="G7550" t="inlineStr">
        <is>
          <t>兵器廠；兵器産業；兵器メーカー；兵器総局；兵器級プルトニウム</t>
        </is>
      </c>
      <c r="H7550" t="n">
        <v>29</v>
      </c>
      <c r="I7550" t="inlineStr">
        <is>
          <t>兵器の正体を知らされないまま3人は兵器を持つ組織の基地に潜入する。；そこから得られた技術を元に究極の対ゴジラ兵器メカゴジラが完成した。；つまり兵器名と核弾頭の形式番号が明確に分離されるようになったのである。；これらは悪用されれば従来の生物兵器よりも効果のある兵器となりうる。；他の作戦級に比べると、兵器の個性が出るためか、一般にも人気が高い。；発光色の差異が上記の兵器性能の違いを表現する演出とみることもできる。；歩兵の装甲が強化されたため、両手での長柄兵器の使用が可能になった。；有力な軍需産業を有していて各種兵器の開発と輸出を積極的に行っている。；兵器の開発や製造は、兵器企業や軍需企業などと呼ばれる企業が行う。；無誘導の兵器であったが、自動的に高度を維持する装置は必須であった。；本兵器の利点としては、炸薬量が多いのが魅力だったと戦後話している。；ここでは、アフターウォーを世界観とする舞台に登場する兵器を挙げる。；情報が不足しているため、兵器種の同定には誤りがあることも少なくない。；単にそれらの技術を取り入れて開発された兵器を指してステルスと呼ぶ事もある。；その結果、ニュータイプ専用機と呼ばれる新しいタイプの兵器が完成した。；実情としては武器・兵器の調達はその価格のため更新が進んでいない。；軍隊は、兵器およびそれを扱う兵士からなる、戦闘力を備えた軍人の集団。；陸戦兵器のうち戦闘力が最も強いのは1門数十トンの重さを有する列車砲である。；初期の大型兵器は石などを遠くに飛ばす為この力を利用した。；兵器体系はかつて中国から購入した哨戒艇などを除いて殆ど西側に準じている。；これらの敵に対して本車など日本軍の戦車・装甲車は有効な兵器であった。；よって、セーブや兵器のカスタマイズと購入などはMAP上のみになる。；第一特別基地隊司令部では、兵器として採用するか否かの審議が行われた。；ただし、戦車を防衛兵器として使用する判断をしたのは西であったとする説もある。；新たな兵器が採用されるに伴い、老朽化や旧式化した兵器は退役を迎える。；また自国で開発・生産できる場合でも、それで得られる兵器の性能も考慮される。；またその周での全ての兵器の入手と改造の両立は不可能に等しい。；V2を移動式兵器にするには問題を解決する必要があった。；こうした理由で、兵器には敵によるコードネームが付けられることがある。</t>
        </is>
      </c>
      <c r="J7550">
        <f>HYPERLINK("https://www.weblio.jp/content/兵器", "词义详情")</f>
        <v/>
      </c>
      <c r="K7550">
        <f>HYPERLINK("https://yourei.jp/兵器", "查看例句")</f>
        <v/>
      </c>
    </row>
    <row r="7551">
      <c r="A7551" t="inlineStr">
        <is>
          <t>平気</t>
        </is>
      </c>
      <c r="B7551" t="inlineStr">
        <is>
          <t>成功</t>
        </is>
      </c>
      <c r="C7551" t="inlineStr">
        <is>
          <t>読み方：へいき
［名・形動］
１心に動揺がないこと。落ち着いていること。また、そのさま。平静。「何が起きても—だ」「—なふりをする」
２気にかけないこと。心配しなくともよいこと。また、そのさま。「—でうそをつく」「君になら—で何でもいえる」
３太陰太陽暦で二十四節気を定めるのに、冬至から始まる1年間を時間によって等間隔に分ける方法。初期の暦法。平気法。→定気(ていき)</t>
        </is>
      </c>
      <c r="D7551" t="inlineStr">
        <is>
          <t>平気な顔(8%)；平気なんです；平気な様子；平気なもん；平気平気</t>
        </is>
      </c>
      <c r="E7551" t="inlineStr">
        <is>
          <t>冷静；大丈夫；落ち着いた；平穏；落ち着き</t>
        </is>
      </c>
      <c r="F7551" t="inlineStr">
        <is>
          <t>なんか平気；くらい平気；平気な顔つき；平気だったろ；平気なふう</t>
        </is>
      </c>
      <c r="G7551" t="inlineStr">
        <is>
          <t>平気でうそをつく人たち</t>
        </is>
      </c>
      <c r="H7551" t="n">
        <v>29</v>
      </c>
      <c r="I7551" t="inlineStr">
        <is>
          <t>他人にも勝手にさせる云はせると云ふことが平気で出来るやうになつた。；亮太郎 だからさ、もつと平気で土地についた生活をすればいいんだよ。；しかし仲間を平気で道具にしたりする辺りは普段の2人を彷彿とさせる。；関東の男たちほど他国の者に馬鹿にされて平気でいる者はいないのだ。；この奇怪な二つの矛盾が葉子の心の中には平気で両立しようとしていた。；だが、自分のためならどんな嘘でも平気でついてしまうようになっていた。；おれのいることを知っていながら、平気で噂をしているんだからなあ。；機械人間は息をしないので、いくら水をかけられてもへいきなのでしょう。；すると、もう誰もみな安心して平気であの人を利用するようになった。；平気で、おれのことなんか気に留めずに、好きな本でも読んでゐるのだ。；私は幽霊にも馴れてしまったので、もう三四回目から平気になりました。；彼らは馴染むと平気となるが、彼らを怖れると重大なものとなって来る。；平気な顔をして公の場に出ることは出来ないと判断してのことだ。；また、納豆も平気で食べられるなど日本食にも初めから適応できていた。；恐ろしいような気さえしたが、心の底では無理に平気に構えていた。；黙って金を渡すときの気持は、人が思っているほどには平気ではなかった。；下等動物のうちには、ほかに比較すべきものがあっても平気なものがある。；そして彼は子供だの孫だのの二人三人はどうなろうと平気の平左の人であった。；昼は平気で水を汲みに来たりして居つても、日暮れ方から隠れてしまふ。；一族の犠牲のためなら平気で結婚しかねない激しい感情があった。；女を平気で誘惑するくせに、この律義さは一体どうしたことであろうか。；しかし平気でさう云つた後から直ぐにボツと顔が紅らむやうな気がした。；ところが女中は今の話の天草生れで岩乗な奴だから何程写しても平気だ。；僕も便所が下にあるくらいのことは何でもないと思って、平気で聞いていた。；村井はその朝、平気な顔をして、荘田の帰つた後にすぐ店へやつて来た。；私は平気で自分をつくり話の主人公にして、弟や女中に話をしてきかせた。；古い形式とされていた独白を平気で使って却って効果を持来たしている。；そんな危険な言葉を平気で答え得るのは何等やましい所のない証拠ですよ。；しかし人が平気でやることを自分にばかりできないわけはない。</t>
        </is>
      </c>
      <c r="J7551">
        <f>HYPERLINK("https://www.weblio.jp/content/平気", "词义详情")</f>
        <v/>
      </c>
      <c r="K7551">
        <f>HYPERLINK("https://yourei.jp/平気", "查看例句")</f>
        <v/>
      </c>
    </row>
    <row r="7552">
      <c r="A7552" t="inlineStr">
        <is>
          <t>平均</t>
        </is>
      </c>
      <c r="B7552" t="inlineStr">
        <is>
          <t>成功</t>
        </is>
      </c>
      <c r="C7552" t="inlineStr">
        <is>
          <t>読み方：へいきん
［名］(スル)《古くは「へいぎん」とも》
１大小・多少などの差が少なく、そろっていること。また、そうすること。ならすこと。「年間を通じて売り上げが—している」
２いくつかの数や量の中間的な値を求めること。また、その数値。それらの和をその個数で割る相加平均をいうことが多いが、ほかに相乗平均・調和平均などがある。「—を上回る」「一日—乗降客数」「年—気温」
３ほどよくつりあうこと。均衡。平衡。バランス。「—のとれたからだ」「—を保つ」
４平定すること。統一すること。
「大明、韃靼を—し」〈浄・国性爺〉</t>
        </is>
      </c>
      <c r="D7552" t="inlineStr">
        <is>
          <t>平均的(13%)；平均年齢(3%)；平均乗車人員(2%)；平均点；平均化</t>
        </is>
      </c>
      <c r="E7552" t="inlineStr">
        <is>
          <t>安定；標準；対抗；バランス；匹敵</t>
        </is>
      </c>
      <c r="F7552" t="inlineStr">
        <is>
          <t>年平均；年間平均；全国平均；平均身長；平均標高</t>
        </is>
      </c>
      <c r="G7552" t="inlineStr">
        <is>
          <t>平均気温；平均寿命；平均速度；平均時；平均律</t>
        </is>
      </c>
      <c r="H7552" t="n">
        <v>29</v>
      </c>
      <c r="I7552" t="inlineStr">
        <is>
          <t>日中の1時間ごとの運行本数の平均的なパターンは以下のとおりである。；勝負に関係の無いクイズ番組では平均的な知識のタレントが多く出演する。；運転出来ない若年層を考慮すると平均ではほぼ1人に1台の状態である。；一般的に DOS とは、空間的および時間的に平均されたものを言う。；平均には差が見られないが項目による僅かな性差が発見される場合がある。；多数回の測定を行い測定値の平均を求めると、期待値に近い値になる。；しかしながら、素数間の間隔には平均よりもはるかに大きいものもある。；特に指定しない場合は一般的には算術平均のことを単に平均という。；つまり電子間の位置の相関を平均的なものに置き換えてしまっている。；偏差は平均的には標準偏差の分だけ離れていると考えることができる。；このデータを基にして平均的に何歳までに寿命を迎えるかを出す。；ルイジアナ州の納税者は全国平均よりも多くの補助金を受け取っている。；複数回の測定結果の平均を取る場合などもそのうちの一つである。；フォースの使い手は、平均的な人口に比べて数が非常に限られている。；最初の子どもが生まれるのは結婚して3年というのが平均的だった。；周期項を無視し、長い期間にわたって平均すると両者は以下の関係にある。；戊辰戦争の結果、諸藩の債務は平均で年間収入の3倍程度に達していた。；年間平均積雪量は30インチを超え、標高が高い所ではさらに深くなる。；プレミアリーグの選手は、平均で年間約100万ドルもの収入を得ている。；日本付近では、年により差があり、平均すれば昼が夜よりも約14分長い。；よって電子の平均エネルギーは次のように与えられる。；陸軍の兵隊は平均年齢16歳から28歳の間の白人男子で構成されていた。；「三重県統計書」によると、一日の平均乗車人員は下の表の通りである。；フォンノイマンの平均エルゴード定理の主張は次のようなものである。；ここで得られた色や明るさを平均してその点の色とする。；区間ごとの平均通過人委員は以下のとおりである。；このシリーズで平均41得点をあげたジョーダンはMVPに選ばれた。；ここで、平均化された有効磁場は単なる係数と同じであり交換可能な量である。；陸地の占める面積比が高いため、熱赤道の平均位置は主に北半球を走る。</t>
        </is>
      </c>
      <c r="J7552">
        <f>HYPERLINK("https://www.weblio.jp/content/平均", "词义详情")</f>
        <v/>
      </c>
      <c r="K7552">
        <f>HYPERLINK("https://yourei.jp/平均", "查看例句")</f>
        <v/>
      </c>
    </row>
    <row r="7553">
      <c r="A7553" t="inlineStr">
        <is>
          <t>閉口</t>
        </is>
      </c>
      <c r="B7553" t="inlineStr">
        <is>
          <t>成功</t>
        </is>
      </c>
      <c r="C7553" t="inlineStr">
        <is>
          <t>読み方：へいこう
［名・形動］(スル)
１手に負えなくて困ること。また、そのさま。「この暑さには—だ」
２言い負かされたり圧倒されたりして、言葉に詰まること。
「大哲学者と皆人恐れ入りて—せり」〈露伴・日ぐらし物語〉
３口を閉じてものを言わないこと。
「されども大儀なれば満座—の処に」〈太平記・二四〉</t>
        </is>
      </c>
      <c r="D7553" t="inlineStr">
        <is>
          <t>閉口する(10%)；閉口先生；閉口いたし；閉口故；閉口気味</t>
        </is>
      </c>
      <c r="E7553" t="inlineStr">
        <is>
          <t>黙る；つぐむ；口をつぐむ；黙する；噤む</t>
        </is>
      </c>
      <c r="F7553" t="inlineStr">
        <is>
          <t>つて閉口；ないので閉口；さすがに閉口</t>
        </is>
      </c>
      <c r="H7553" t="n">
        <v>29</v>
      </c>
      <c r="I7553" t="inlineStr">
        <is>
          <t>いちどこの少年は走る馬の上からこいつをやって閉口させたことがある。；しばしば相手方が閉口してしまうような熱をこめて大公は恋を語るのだ。；もっとも中にゃ原のユスリだと閉口してる人もあるかも知れませんがね。；この時も、正面の桟敷にいたが、大きな声をするので私は閉口していた。；疲れて居るところへ変な熱でもとりつかれては閉口故大切にするよう云う。；だから遠州のようだ等といわれると全く閉口せざるを得ないのである。；彼女は自分の家を素敵なものに作り上げている、教授連中には閉口だが。；だから、行った当座は高いのに閉口して、舞台から遠いところを買った。；徳利をもっておっかけてくるんだから、あたしもこれには閉口しました。；それが色々の事情で社会へ発表する方が先になつて一寸閉口して居る。；そういう感情の状態だから夏ぶどんの行違いには閉口してしまいました。；その度ごとに強い酒を一盃ずつ飲まなければならないのには閉口した。；もう一人成功した家の書生でわたしの閉口しているものがあります。；「僕には何もわからない」私は閉口して帽子をホームズの手にもどした。；そして、どこへ行っても横浜から来た私には、田舎くさくて、閉口した。；私はもう主人のそばにいるのにはもう本当に閉口していますの。；同床のベトナム人が水虫持ちであったのか、その足のくささに閉口した。；考えもなく口真似することこそは、まさに彼が一番閉口したことであった。；なにしろ金がなくて閉口していた時期だから、ずいぶん無理をいった。；親分の視線をしばしば感じて、どういう顔をしてよいものか閉口した。；ああ閉口と、行かなければならないと思っていたからほっといたしました。；が、ただいつまでも眠りつけなかつたのはさすがにちつと閉口だつた。；この新思想の勃興に對して、アジアに領土を有する白人一同に閉口した。；若しもそんなことがあったとしたなら、彼はどんなに閉口しただろう!；あのかたの詩といい散文といい、あたくしほとほと閉口しておりますわ。；ただ雨よりも霧よりも一番Y君を閉口させたのは、例の夜の女の群れであった。；魚臭い料理の匂いに閉口しながらも、チャムは店の裏口にまわってみた。；森純利が室原知幸と旅をしていて、いつも閉口するのは宿を取る時である。；この間書いた手紙で、私はここに落付けず閉口しているところを書きました。</t>
        </is>
      </c>
      <c r="J7553">
        <f>HYPERLINK("https://www.weblio.jp/content/閉口", "词义详情")</f>
        <v/>
      </c>
      <c r="K7553">
        <f>HYPERLINK("https://yourei.jp/閉口", "查看例句")</f>
        <v/>
      </c>
    </row>
    <row r="7554">
      <c r="A7554" t="inlineStr">
        <is>
          <t>並行</t>
        </is>
      </c>
      <c r="B7554" t="inlineStr">
        <is>
          <t>成功</t>
        </is>
      </c>
      <c r="C7554" t="inlineStr">
        <is>
          <t>読み方：へいこう
［名］(スル)
１ならんで進むこと。「線路に—して道路が走る」
２二つ以上のものが同時に行われること。「文化祭と体育祭が—して開催される」</t>
        </is>
      </c>
      <c r="D7554" t="inlineStr">
        <is>
          <t>並行する形；並行して走る；並行区間；並行路線；並行する道路</t>
        </is>
      </c>
      <c r="E7554" t="inlineStr">
        <is>
          <t>同時進行；同時並行；並行処理；同時処理；マルチタスク処理</t>
        </is>
      </c>
      <c r="F7554" t="inlineStr">
        <is>
          <t>同時並行；並行道路；並行生産；並行実行；並行動作</t>
        </is>
      </c>
      <c r="G7554" t="inlineStr">
        <is>
          <t>並行輸入；並行在来線；並行性；並行性制御；並行処理</t>
        </is>
      </c>
      <c r="H7554" t="n">
        <v>29</v>
      </c>
      <c r="I7554" t="inlineStr">
        <is>
          <t>嘘の公式発表をするのと並行してマッカーサーは脱出の準備を進めていた。；京浜東北線に並行して東側には東海道線の線路があるが、ホームはない。；そのため、以下に示すような非摂動論的な方法も、並行して用いられる。；蜂起と並行して第二回全国労働者・兵士代表ソヴィエト大会が開かれた。；JR側駅舎の前を国道208号が鹿児島本線に並行する形で通っている。；この先百合ヶ丘駅手前まで津久井道と歩道一つを挟んで完全に並行する。；河川総合開発と並行して強力に実施されていたのが農地開拓である。；線路は旧4番のりばのすぐ南に並行しており、難波方に車止めがあった。；損傷の修理と並行して、利根で問題となったタービンの修理を行った。；トレジャーのスタッフは2つのチームに分かれ、両作を並行して開発した。；複数の社内チームが設けられ、それぞれ並行する形で試作機が開発された。；駅北側を国道と並行し、そこから少し北へ進むと中国自動車道が通る。；また、前述したように南北朝時代には2つの元号が並行して存在していた。；千葉中央駅からしばらくの間は東日本旅客鉄道の外房線と並行して走る。；並行して学校での試合にも参加し、ベッカムは地区と州の代表に選出されている。；また、第二東海自動車道が並行し相互に補完し合うようにされている。；男爵十字軍が行われた頃と同時期に別の十字軍遠征も並行して行われていた。；松阪駅手前から当駅付近まで、すぐ南側をJR紀勢本線が並行している。；既に若山富三郎主演で映画化されていたが、これと並行する形で制作が決定した。；これらが並行して展開されるストーリーとなっている。；線路と並行に伸びている道の線路側には大きな駐輪場がある。；同時にPiTaPaも並行導入し、全国相互利用にも対応している。；バージョン管理システムはこれらの技法を用い並行開発を可能にする。；国道17号とほぼ並行し、一部区間を除き同じ市町村を経由している。；途中の牟礼橋付近からは、流路を東八道路の上下線が挟む形で並行する。；高校は東京都立九段高等学校にも並行して籍が存在したことがある。；横須賀に戻り、損傷修理と並行して出火対策と対空装備の強化が行われた。；高層棟を一部撤去して道路を通し、それに並行な低層住棟を配置する。；またこれらの艦隊型駆逐艦と並行して、護衛駆逐艦の大量建造も開始された。</t>
        </is>
      </c>
      <c r="J7554">
        <f>HYPERLINK("https://www.weblio.jp/content/並行", "词义详情")</f>
        <v/>
      </c>
      <c r="K7554">
        <f>HYPERLINK("https://yourei.jp/並行", "查看例句")</f>
        <v/>
      </c>
    </row>
    <row r="7555">
      <c r="A7555" t="inlineStr">
        <is>
          <t>平衡</t>
        </is>
      </c>
      <c r="B7555" t="inlineStr">
        <is>
          <t>成功</t>
        </is>
      </c>
      <c r="C7555" t="inlineStr">
        <is>
          <t>読み方：へいこう
［名］(スル)《「衡」は、はかりのさお》
１物のつりあいがとれていること。均衡。「からだの—を失う」
２つりあいがとれて物事が安定した状態にあること。「精神の—を保つ」
３物体または物質に変化を起こす原因がありながら、それらの効果が相殺し、一定を保っている状態。力学的平衡・熱平衡など。</t>
        </is>
      </c>
      <c r="D7555" t="inlineStr">
        <is>
          <t>平衡感覚(12%)；平衡定数(3%)；平衡温度(2%)；平衡位置；平衡胞</t>
        </is>
      </c>
      <c r="E7555" t="inlineStr">
        <is>
          <t>安定；平均；バランス；均衡；釣り合い</t>
        </is>
      </c>
      <c r="F7555" t="inlineStr">
        <is>
          <t>平衡モーター；平衡装置；平衡蒸気圧；平衡電極；平衡障害</t>
        </is>
      </c>
      <c r="H7555" t="n">
        <v>29</v>
      </c>
      <c r="I7555" t="inlineStr">
        <is>
          <t>素地と形態と用途とその模様との間には驚くべき結合があり平衡がある。；彼は、その戦士が老人であるのを認めた時、既に心の平衡を失いかけた。；この小説は言ってみれば文化平衡論を小説にしたようなものであった。；その友が離れ去った今では、彼はあたかも平衡を失った者のようだった。；平衡に達するのが数時間から数日の場合でも互変異性と呼ぶことが多い。；平衡機とは平衡運動を保持するための機械的な装置で平衡装置ともいう。；やっと平衡感覚が戻ってきたが、とても立ち上がる気にはなれなかった。；キャリアの危機を前にして、リディアは徐々に精神の平衡を失い始める。；ちょっと悪に心を許したことがわたしの魂の平衡を失わせる羽目となった。；生物の身体が示す構造もそういえばやはり一種の平衡現象でなければならぬ。；断続平衡的な現象が見られることに古生物学者のあいだでは議論はない。；ベイニティックフェライトの成長速度は平衡温度の低下に伴い増加する。；彼は進歩した思想と平衡を得た頭とを以つて再び東京の生活に歸つて來る。；われわれのよりもっと早く、扱いやすい平衡モーターを身につけている。；ただし大気の状況によって表面温度は平衡温度とは必ずしも一致しない。；この尾は樹上を機敏に移動するときの平衡を維持する機能を担っている。；額と鼻と頥とは、割合の平衡とはまったく異なる線の平衡を示していた。；この時期では細菌の分裂率と死滅率が平衡に達し、生菌数は一定となる。；ある指定された運転条件で気液の組成が平衡にある単式蒸留器を考える。；平衡感覚に関係しているのは、耳では内耳と呼ばれる部分のみである。；あわてて地面に足をつけ、両手をじたばたと動かして平衡を取り戻した。；自然界の平衡状態は試験管内の科学的平衡のような簡単なものではない。；そして「或場合にはこの二つの傾向が平衡を示す」などと云っている。；平衡係数は以下のように各ノードの左右部分木の高さの差で定義する。；それと同時に、最終的な負担の平衡を目ざす制度の検討が進められた。；それで平衡感覚を失いよろよろと彼女はさっきまで座っていた椅子まで戻る。；黒吉は、この妖夢を見た瞬間から、スッカリ心の平衡を失ってしまった。；時には平衡を保つために、いい方の足で二度跳ねなければならなかった。；そのまま右に倒れていくのを感じながら、平衡を取り戻すことが出来ない。</t>
        </is>
      </c>
      <c r="J7555">
        <f>HYPERLINK("https://www.weblio.jp/content/平衡", "词义详情")</f>
        <v/>
      </c>
      <c r="K7555">
        <f>HYPERLINK("https://yourei.jp/平衡", "查看例句")</f>
        <v/>
      </c>
    </row>
    <row r="7556">
      <c r="A7556" t="inlineStr">
        <is>
          <t>平行</t>
        </is>
      </c>
      <c r="B7556" t="inlineStr">
        <is>
          <t>成功</t>
        </is>
      </c>
      <c r="C7556" t="inlineStr">
        <is>
          <t>読み方：へいこう
［名・形動］(スル)
１一平面上の二直線、または直線と平面、あるいは平面と平面とが、どこまで延長しても交わらないこと。また、そのさま。「—な二直線を引く」「二本の線を—させる」
２「並行(へいこう)2」に同じ。</t>
        </is>
      </c>
      <c r="D7556" t="inlineStr">
        <is>
          <t>平行する(7%)；平行四辺形(3%)；平行移動；平行して走る；平行な直線</t>
        </is>
      </c>
      <c r="F7556" t="inlineStr">
        <is>
          <t>反平行；平行関係；平行誘導路；平行線；平行リンク</t>
        </is>
      </c>
      <c r="G7556" t="inlineStr">
        <is>
          <t>平行移動；平行世界；平行棒；平行進化；平行線公準</t>
        </is>
      </c>
      <c r="H7556" t="n">
        <v>29</v>
      </c>
      <c r="I7556" t="inlineStr">
        <is>
          <t>また、アニメ化と平行してアニメ版の内容を元にした漫画も連載された。；中央奥の階段が鶴見線の駅の入り口で、線路は道路と平行に伸びている。；また、同時期、の開発も平行して進められたがこちらも同様に中止された。；地震が発生した際には橋脚が平行移動し、砂利がエネルギーを吸収する。；平入だが、軒先と棟は道に平行させ軒高さに統一された景観が見られる。；作用線 とは作用点を通り、力の向きに対して平行な直線のことである。；駅東西および南には線路と平行に走る道があり、商店街となっている。；そのためかすぐ北側で平行する忠岡町道の中央線と混同されることも多い。；平行して流れる綾瀬川に架かる四ツ木小橋を含めて呼ばれることもある。；また、各メンバーは次々にソロCDデビューすると活動を平行させていた。；NEOシリーズとは別シリーズ扱いであり、平行して販売されている。；しかし反強磁性体と同様、隣接する電子のスピンは反平行となっている。；また、一般的には、弦が音台に平行な面に張られている弦楽器を指する。；そこで、尾道大橋に平行する形で計画されたのがこの新尾道大橋である。；このとき手は平行にされ、肩の辺りに持ってこられてグルグル巻きにされる。；そのため画像によって平行法と交差法のどちらで見るか決まっている。；一方で直接楽器店に卸す「ムラマツ」ブランドも平行して製作していた。；当時の利根川とはほぼ平行して流れ、東京湾への河口も異なっていた。；その眉と目が平行に前方を見据える顔の表情はきりっとしていて清々しい。；このゲーム結果と平行して通称「」では不定期に小説を掲載している。；捜査と平行して、シュミットは二度目の成功を作家として得ることになる。；板を平行に保ち、斜面をフォールライン方向にまっすぐ降りていく技術。；軸と平行にレンズを通った光は、レンズを通った後レンズの焦点を通る。；力は側面に垂直なので、90度回転した力の三角形の各辺は側面に平行。；同じ長さの平行な直線よりも等しかり得るものは存在しないと考えたのである。；これは平行四辺形を面積を変えずに長方形に変形させることで説明できる。；阪神高速4号湾岸線や国道26号と平行して大阪府を南北に通っている。；以前は歌手活動と平行して、テレビでのリポーターや女優としても活動。；旗は、長辺と平行に青と黄色に2分割、その中央に市の紋章が見られる。</t>
        </is>
      </c>
      <c r="J7556">
        <f>HYPERLINK("https://www.weblio.jp/content/平行", "词义详情")</f>
        <v/>
      </c>
      <c r="K7556">
        <f>HYPERLINK("https://yourei.jp/平行", "查看例句")</f>
        <v/>
      </c>
    </row>
    <row r="7557">
      <c r="A7557" t="inlineStr">
        <is>
          <t>閉鎖</t>
        </is>
      </c>
      <c r="B7557" t="inlineStr">
        <is>
          <t>成功</t>
        </is>
      </c>
      <c r="C7557" t="inlineStr">
        <is>
          <t>読み方：へいさ
［名］(スル)
１出入り口などを閉ざすこと。「表口を—する」「国境を—する」
２組織体がその活動や機能を停止すること。「工場を—する」「学級—」
３内にこもって他のものの立ち入りを許さないこと。
「正直に振舞えばいいのに、彼は自分を—している」〈宮本・伸子〉</t>
        </is>
      </c>
      <c r="D7557" t="inlineStr">
        <is>
          <t>閉鎖される(5%)；閉鎖的(4%)；閉鎖後(2%)；閉鎖空間；閉鎖性</t>
        </is>
      </c>
      <c r="E7557" t="inlineStr">
        <is>
          <t>結ぶ；終わる；障害；ブロック；終る</t>
        </is>
      </c>
      <c r="F7557" t="inlineStr">
        <is>
          <t>工場閉鎖；完全閉鎖；すべて閉鎖；全て閉鎖；次々と閉鎖</t>
        </is>
      </c>
      <c r="G7557" t="inlineStr">
        <is>
          <t>閉鎖音；閉鎖都市；閉鎖花；閉鎖病棟；閉鎖系</t>
        </is>
      </c>
      <c r="H7557" t="n">
        <v>29</v>
      </c>
      <c r="I7557" t="inlineStr">
        <is>
          <t>その原因は関門海峡を閉鎖するか否かの主張の違いにあるとされている。；駅構内・駅舎は広大であるが今では使われず閉鎖されている区画が多い。；トイレはかつて改札下の階段途中にあったが、現在は閉鎖・解体された。；が、ホーム東側は閉鎖され、現在は保線車両用のスペースとなっている。；なお、駅舎内のトイレは閉鎖されており、現在は使用できなくなっている。；かつては駅舎に入って右手に売店があったが、現在は閉鎖されている。；新駅舎の建設に際し西武狭山ステーションビルは閉鎖・解体されている。；この研究は、スヴェルドロフスク州レスノイの閉鎖された町で行われた。；最後の囚人であった彼の死をもってシュパンダウ刑務所は閉鎖された。；チェコの工場を閉鎖して別の国に工場を新設することを検討している企業も多い。；かつて汲み取り式の男女共用トイレがあったが、現在は閉鎖されている。；スタジオは東映京都と当時閉鎖されていた松竹京都撮影所が使われた。；鎮火後の修理の間も、建物が閉鎖されることなく通常の業務が続けられていた。；跨線橋も設置されているが、現在は板が打ち付けられ閉鎖されている。；これらは2001年以降には規模が縮小されるか、完全に閉鎖された。；工業は、以前三菱重工業の広島工場が存在したが2003年に閉鎖された。；イベントの中止や施設の閉鎖が決定した場合は、入場券は払い戻しとなる。；入口は西入口と北入口があるが、時間帯によっては北入口は閉鎖される。；突撃隊やゲーリングが創設した強制収容所はほとんどが閉鎖されていった。；中央の入り口は鉄の柵で閉鎖されているため、現在使用することはできない。；無人化されて久しく、末期には待合室は閉鎖されたままになっていた。；新駅舎の開設に伴って、旧駅舎および跨線橋は閉鎖され、その後撤去された。；駅務室は難波方面ホーム側にあるが、現在は無人駅のため閉鎖されている。；このヘレニズム教育機関の事実上の閉鎖がおそらく最も有名な事件であろう。；かつて設置されていたトイレは閉鎖・解体された。；以前は、戸閉半減を用いて停車中の電車の一部ドアを閉鎖していた。；先代の木造駅舎は閉鎖されているが、そのままの形で残されている。；鉱石を積み込む施設は現存するが線路は撤去され、隧道も閉鎖されている。；しかし、2009年2月28日をもってタレント部門の閉鎖が発表された。</t>
        </is>
      </c>
      <c r="J7557">
        <f>HYPERLINK("https://www.weblio.jp/content/閉鎖", "词义详情")</f>
        <v/>
      </c>
      <c r="K7557">
        <f>HYPERLINK("https://yourei.jp/閉鎖", "查看例句")</f>
        <v/>
      </c>
    </row>
    <row r="7558">
      <c r="A7558" t="inlineStr">
        <is>
          <t>兵士</t>
        </is>
      </c>
      <c r="B7558" t="inlineStr">
        <is>
          <t>成功</t>
        </is>
      </c>
      <c r="C7558" t="inlineStr">
        <is>
          <t>読み方：へいし
《古くは「へいじ」とも》
１軍隊で、士官の指揮を受ける者。兵隊。兵卒。
２律令制で、兵役に徴発された農民。正丁(せいてい)のうち3分の1が徴発され、軍団に配属された。ひょうじ。</t>
        </is>
      </c>
      <c r="D7558" t="inlineStr">
        <is>
          <t>兵士達(5%)；兵士等；兵士ども；兵士全員；兵士同士</t>
        </is>
      </c>
      <c r="E7558" t="inlineStr">
        <is>
          <t>兵；軍人；戦士；兵隊；卒</t>
        </is>
      </c>
      <c r="F7558" t="inlineStr">
        <is>
          <t>アメリカ軍兵士；元兵士；女性兵士；出征兵士；一般兵士</t>
        </is>
      </c>
      <c r="G7558" t="inlineStr">
        <is>
          <t>兵士用；兵士の物語；兵士の歌；兵士シュヴェイクの冒険；兵士と笑う女</t>
        </is>
      </c>
      <c r="H7558" t="n">
        <v>29</v>
      </c>
      <c r="I7558" t="inlineStr">
        <is>
          <t>しかし鎮圧に向かった兵士は次々に反乱を起こして労働者側についた。；彼は兵士や民衆が自発的に自分の大義に従ってくれると思い込んでいた。；ローマ兵士にはと呼ばれる左右の形が同じではない靴が支給された。；だが、彼が優秀であることをジョニーは兵士になった日からわかっていた。；蜂起と並行して第二回全国労働者・兵士代表ソヴィエト大会が開かれた。；佐官級の兵士が東京丸の内警察署に来て「女を世話しろ」などと求めた。；兵士はイエスの足も折ろうとしたが、すでに死亡していたためやめた。；この数字には、他国の援軍や市民権を持たない兵士は含まれていない。；区域に入場する際に同乗する警備役の兵士の撮影は禁止されている。；しかしこれはしばしば言われるが、貴族の方が兵士よりも危険が大きかった。；北軍に就いた州で、オハイオ州は人口当たりの兵士派遣数では最大だった。；その他の戦線に戦局悪化の口封じに駆り出された兵士も少なくなかった。；しかしこの戦後処理は十分とは言えず、兵士の中には不満が残った。；第二次世界大戦中では、負傷した兵士の止血にミズゴケが使われていた。；アメリカ軍はそれを映像化しアメリカ軍兵士に注意を促している。；この戦闘での死者がアメリカ軍兵士の第二次世界大戦での最後の戦死者となった。；軍隊は、兵器およびそれを扱う兵士からなる、戦闘力を備えた軍人の集団。；衛生兵など特技を習得している兵士に専門の呼称が与えられることがある。；奥の二人の兵士の足元にあるコンクリートの帯が軍事境界線を表している。；のちにこの欠点は改良され、一般兵士でも搭乗可能な機体が生産されている。；既に多くの元兵士はこの世を去っており残された補償問題も解決に向かい始めている。；しかし宮廷でも兵士の間でも、霍去病のほうが人気は上であった。；八郎湖の氷の上を渡って進軍したが、氷が割れ、大半の兵士が溺死した。；そういった対策がなければ、兵士の士気はたちまち低下してしまうからだ。；この中には正式に叙勲されていない騎士や傭兵団を離れ戦場に臨む兵士がいた。；また、古代ローマでは兵士がファカールという細い布を首に結んでいた。；南部連合に属した州の中で最も多くの兵士を失い、苦しい再建時代を送った。；彼はイギリス陸軍の兵士が使うブーツを大量に生産するために製造機を開発した。；そのため、自らも兵士と同じ粗食を食し、水も同じ量しか使用しなかった。</t>
        </is>
      </c>
      <c r="J7558">
        <f>HYPERLINK("https://www.weblio.jp/content/兵士", "词义详情")</f>
        <v/>
      </c>
      <c r="K7558">
        <f>HYPERLINK("https://yourei.jp/兵士", "查看例句")</f>
        <v/>
      </c>
    </row>
    <row r="7559">
      <c r="A7559" t="inlineStr">
        <is>
          <t>平日</t>
        </is>
      </c>
      <c r="B7559" t="inlineStr">
        <is>
          <t>成功</t>
        </is>
      </c>
      <c r="C7559" t="inlineStr">
        <is>
          <t>読み方：ひらび
１祝祭日など以外の、普通の日。へいじつ。
２漢字の構成部分で、「曳」「替」などの「曰」の称。日偏(ひへん・にちへん)と区別していう。</t>
        </is>
      </c>
      <c r="D7559" t="inlineStr">
        <is>
          <t>平日夕方(4%)；平日版(3%)；平日ダイヤ(2%)；平日日中；平日昼間</t>
        </is>
      </c>
      <c r="E7559" t="inlineStr">
        <is>
          <t>週日；ウィークデイ；ウィークデー；ウイークデー</t>
        </is>
      </c>
      <c r="F7559" t="inlineStr">
        <is>
          <t>平日帯；平日朝夕；平日開催；平日夕ラッシュ時；平日ナイター</t>
        </is>
      </c>
      <c r="H7559" t="n">
        <v>29</v>
      </c>
      <c r="I7559" t="inlineStr">
        <is>
          <t>時課経には平日の日の出前から晩の一日の流れに沿って収録されている。；その代わりに太田川発金山行きの普通が平日の昼間にも多数走っていた。；平日夕方の下り方向では運行されず、後述する通勤快速が代わりとなる。；基本的に土休日ダイヤでの運転であるが平日に設定される場合もある。；この結果、平日のナイターでも多くの観客を動員するまでに至っている。；平日日中1時間あたりの基本的な運行本数は以下のようになっている。；そして平日の作業時間外や休日はスタジオの事を考えない時間としている。；予定のない平日の日中などは市民への個人開放も実施されている。；平日の朝ラッシュ時に上りのみ運行されている区間特急の停車駅である。；また平日の早朝と深夜には下り古市発橿原神宮前行きが運転されている。；非冷房であるため、運用は基本的に秋冬の平日ダイヤのみとなっている。；全列車平日のみの運行され、上り列車は朝に、下り列車は夕方から運行された。；このためNETでは学校放送を制作し、平日の午前中を中心に放送した。；平日昼間帯のみ全車一般車で、それ以外は一部特別車で運行されている。；さらに、2011年4月2日からは平日版同様のコーナーが増えている。；平日版とは異なり、スポーツニュースのコーナーは設置されていない。；平日の午前中に社員が配備されていたが、2010年に無人駅化された。；平日は大型車の混入率が高いと見られ、全線開通後は年々増加している。；平日に2番のりばに停車する列車はドア横の開閉ボタンで開け閉めする。；またこのダイヤ改正で平日の下りに1本だけ明石行きの列車が新設された。；ちなみに最晩年の「メトロライナー」は平日1往復の運転となっていた。；松江駅管理の無人駅で、以前は平日のみ営業となる簡易委託駅であった。；平日ダイヤのみ、朝と夕方以降の一部列車に志木駅発着の列車が存在する。；開始当初は平日限定で朝に上り列車が3本、夕方に下り列車が3本であった。；平日日中の各区間の1時間あたりの基本的な運行本数は下表のとおりである。；朝と平日の夕方・夜間は大和路快速の代わりに区間快速が運転されている。；平日の日中と土休日の始発から終電まではほぼ15分間隔となっている。；これにより平日に当バス停を停車するバスが復活することになった。；但しその施設の性質上、平日の日中のみの営業となっているところも少なくない。</t>
        </is>
      </c>
      <c r="J7559">
        <f>HYPERLINK("https://www.weblio.jp/content/平日", "词义详情")</f>
        <v/>
      </c>
      <c r="K7559">
        <f>HYPERLINK("https://yourei.jp/平日", "查看例句")</f>
        <v/>
      </c>
    </row>
    <row r="7560">
      <c r="A7560" t="inlineStr">
        <is>
          <t>弊社</t>
        </is>
      </c>
      <c r="B7560" t="inlineStr">
        <is>
          <t>成功</t>
        </is>
      </c>
      <c r="C7560" t="inlineStr">
        <is>
          <t>読み方：へいしゃ
自分の会社をへりくだっていう語。小社。</t>
        </is>
      </c>
      <c r="D7560" t="inlineStr">
        <is>
          <t>弊社所属(3%)</t>
        </is>
      </c>
      <c r="E7560" t="inlineStr">
        <is>
          <t>私たち；我々；自分たち；当社；私ども</t>
        </is>
      </c>
      <c r="H7560" t="n">
        <v>29</v>
      </c>
      <c r="I7560" t="inlineStr">
        <is>
          <t>ほかのいかなるラインも弊社のものほど簡素化されておりません。；ところが現在、弊社の暗号を盗んだか、カギを持っているものがいます。；この建物は、弊社の壁に接しており、市民と連邦軍との交流の場になっている。；それはもったいないですし、ぜひ弊社でやらせて欲しいとなりました。；残念ながら、その電報が弊社へ送られて、ひどい結果になりました。；そして万が一東線が切れた時、電報を弊社へ送りつけることができるようにするためです。；東京または横浜での弊社の日本の講師のプライベートレッスンにご参加いただくことも可能です。；今後弊社でデビューするにせよ、しないにせよ、それでお金を稼げるようになりたいとまで思えるものがあるのはいいことです。；先ほど申し上げましたように、お客様は招待状をお持ちの方ばかりですし、ホテル側のスタッフや弊社社員も大勢でております。；先ほども言いましたが、どうしても弊社でデビューしたいのでしたら、原稿は新人賞に出してください。；お二人の作品は、弊社の商品としては魅力にとぼしく、まったく使い物になりません。；それは弊社がもともとやってきたB級映画を復活させて、そこから若い人材を発掘し、育成していくことだと思います。；また、弊社にはNadcapサプライヤーサポート委員会の投票メンバーも在籍しています。；既に何件かお電話がありましたが、弊社へお問い合わせいただいても、状況等ご説明できません。；オペレーターが御社の機種に不慣れであったのは弊社の教育不足と連絡ミスのためだが、仕事量が契約時より増えていることも事実である。；それによれば貴社は弊社の顧客にクライソリン株式を数十万株引き渡すとあります。；ただ、ここにおこしのお客様方は弊社の重要得意先数社のそれぞれの幹部の方々で、毎年この日にいらっしゃってますのでお互いに充分お知合いになっておられます。；この度は、弊社をご愛顧いただきまして誠に有難うございます。；例えば新機能が競合他社になく「この差が弊社の優れた点だ」と推定して提案しても、顧客に「それに価値を感じないんだけども」と言われてしまう。；弊社も店舗経営をする身として、このような状況での店舗集客の難しさ、お客様が実際に来店することの大切さを再認識した年となりました。；「お申し出は検討させていただきますが、いま一度、弊社からの提案も再検討していただけませんか」 しかし、佃の返事は財前の期待を裏切るものだった。；当該利用者の家族からの正式な要請、またはその他の適正な法的要請があった場合、弊社は該当のアカウントを削除することがあります。；弊社および独立した第三者の専門家による徹底した調査の結果、この問題の性質と発生源を特定し、今後このような問題が繰り返されることのないよう、サプライチェーン内で新たに厳格な対策を実施いたします。；もちろん弊社専用の特殊暗号を使います。；弊社がお取り引きさせていただくのは、この世のあらゆる常識を超越したクライアントに限らせていただきます。；ぜひ、あの技術を弊社のロケットに使わせてください。；「なお、本器を三カ月間連続的に使用しても効果のあらわれない場合は、弊社が新たに発売した『強力本格式背伸ばし器』を、お試しください」 その夜から稔は両足と顎をベルトで柱に固定して眠った。；つまり「卒業後は貴社で働く」「卒業後は弊社で雇用する」という契約である。；以後ミノルタ製品は浅沼商会の名前で販売されることになり、当時は問屋の力が強かったため場合によっては浅沼商会の広告に「弊社工場に於て謹製」などと書かれる場合もあり、戦前からのカメラファンの中には浅沼商会がミノルタ製品を作っていると誤解していた人も多かった。</t>
        </is>
      </c>
      <c r="J7560">
        <f>HYPERLINK("https://www.weblio.jp/content/弊社", "词义详情")</f>
        <v/>
      </c>
      <c r="K7560">
        <f>HYPERLINK("https://yourei.jp/弊社", "查看例句")</f>
        <v/>
      </c>
    </row>
    <row r="7561">
      <c r="A7561" t="inlineStr">
        <is>
          <t>平常</t>
        </is>
      </c>
      <c r="B7561" t="inlineStr">
        <is>
          <t>成功</t>
        </is>
      </c>
      <c r="C7561" t="inlineStr">
        <is>
          <t>読み方：へいじょう
いつもと同じであること。ふだん。「脈拍が—に戻る」「—通り運行する」</t>
        </is>
      </c>
      <c r="D7561" t="inlineStr">
        <is>
          <t>平常時(11%)；平常通り(4%)；平常どおり(2%)；平常着；平常化</t>
        </is>
      </c>
      <c r="F7561" t="inlineStr">
        <is>
          <t>平常時に</t>
        </is>
      </c>
      <c r="G7561" t="inlineStr">
        <is>
          <t>平常運転；平常澄；平常長；平常兼；平常無敵流</t>
        </is>
      </c>
      <c r="H7561" t="n">
        <v>29</v>
      </c>
      <c r="I7561" t="inlineStr">
        <is>
          <t>平常放送時のコーナーを行いつつ特別コーナーも放送する方式であった。；旅と思えば、お種も気を張って、平常より興奮した精神の状態にあった。；昨年は一部落当に老人二人婦人一人半子供十人半が平常より多く働いた。；平常でさえ余り楽でない路を、雪に閉されてはどうすることも出来ない。；平常、沈んでいるのも、ものをいわないのもよくわかるような気がする。；健常者の心拍数はゲーム中に増加するものの終了後すぐに平常値に戻る。；マイダスがその晩、平常通り眠ったかどうかは、この話に出ていません。；将校のみ戦時中でも後方地域などでは平常勤務制服の着用が見られた。；恐い父としていた平常の父の姿は、実は甘えているからの恐さであった。；何も知らない御米は又平常の通り無邪氣に夫から夫へと聞きたがつた。；探偵長を横に坐らせて彼女は平常よりも権威のある胸の張り方をした。；客は平常の通りやつて來ますが、さて風太郎らしいのは一人もありません。；何も知らない御米はまた平常の通り無邪気にそれからそれへと聞きたがった。；家のうちが平常より何だかひっそりしていたから聞いて見ただけの事です。；夫に愛されたいばかりの彼女には平常からわが腕に依頼する信念があった。；家の者たちは皆、彼の様子は平常と少しも変わっていなかったと証言している。；朱実は、母に抱いている平常の不満が、こんな時、すぐ言葉つきに出た。；このため適切な計画変更を行って平常運行への早期復旧を図ることになる。；そして侍でなかった自分達の身分を、平常とは反対に感謝しあった。；ただし本施設は、平常放送時の番組スポンサーに名を連ねていなかった。；しかして平常に異なった状態のもとにおけば、この働きに変調が起こる。；客は平常の通りやって来ますが、さて風太郎らしいのは一人もありません。；玄関へ迎えに出た嘉子の態度にはひどく平常と変った点はなかった。；それは二人の感情がおさまって、いくらか平常に近づいてからだった。；キャフェの椅子は平常よりずっと数を増して往来へ置き出されていた。；だが一瞬たりと言えども、わしは平常心と勇気を失うことがなかった。；平常は、大した用事もないから大ぜいの人がいる必要はないのであった。；晴れた富士この作品はこの作者の平常のものよりも惡いやうに思はれる。；そして、本屋の縁を踏む頃には、呼吸も平常通りに整っていたのである。</t>
        </is>
      </c>
      <c r="J7561">
        <f>HYPERLINK("https://www.weblio.jp/content/平常", "词义详情")</f>
        <v/>
      </c>
      <c r="K7561">
        <f>HYPERLINK("https://yourei.jp/平常", "查看例句")</f>
        <v/>
      </c>
    </row>
    <row r="7562">
      <c r="A7562" t="inlineStr">
        <is>
          <t>平常心</t>
        </is>
      </c>
      <c r="B7562" t="inlineStr">
        <is>
          <t>成功</t>
        </is>
      </c>
      <c r="C7562" t="inlineStr">
        <is>
          <t>読み方：へいじょうしん
ふだんと変わらない心。揺れ動くことのない心理状態。「どんな時でも—を失わない」</t>
        </is>
      </c>
      <c r="D7562" t="inlineStr">
        <is>
          <t>平常心是道</t>
        </is>
      </c>
      <c r="H7562" t="n">
        <v>29</v>
      </c>
      <c r="I7562" t="inlineStr">
        <is>
          <t>以前、赤木さんと話をしているときの私は、平常心ではいられなかった。；けれどもその時点で、私はかなりの程度平常心を失ってしまっていた。；ルーチンの仕事をこなしているうちに、いくらかは平常心が戻ってきた。；翼と洋は平常心を装い、何事もなかったかの様に店の扉に手を置いた。；このような人は平常心を持つことができず、常に煩悶たる生活を送る。；この無心と平常心とは、同じ心を別の言葉で示したものと見てよい。；つらつらと新聞記事を読みながら平常心を取り戻そうと思ったのである。；もう泣くなどという平常心は誰の顔にも遠くになっていたのである。；そうした平常心を身に付けることで、非常の事態にも対応できるのだという。；そして、彼の妻は平常心を失い、そのまま死亡してしまったという。；小田垣は、常に平常心を保ち、一定の表情でいることを信条としている。；とにかく平常心を取り戻さねばと、現状とは関係なさそうな方に話を振った。；彼女の小さな手の存在が、かろうじて上条の平常心を守る手助けとなる。；「このままだと私の未来がなかったんだ」 私は平常心を取り戻して言った。；平常心を失ったために、舌がいうことをきかなくなったのである。；そして、聞く者に、鞘の中にある剣を指して、これが平常心だ、と教えた。；側にいたら香りで幻惑されとても平常心ではいられなくなる。；私自身にしても、平常心が失われたいまは仕事部屋にいるのがかえって苦痛であった。；一種の平常心に戻っての反対運動へと移っているようである。；父からも母からも離れた場所で平常心で暮らしたい。；西地区優勝を決めた最後のイニングでは、平常心を失い失投を連発した。；大きな大会で優勝するような選手でも、一本取られたら、平常心ではいられなくなるんだ。；そう気がついたときにはすでに、小次郎はいつもの平常心を失ってしまっている。；たぶん、葛西が平常心を失っているところを初めて見たのだろう。；具体的な生活習慣が示されなければ「平常心」だってなんのことか分からない。；乃木が「剣の平常心をお教え願いたい」と剣を前に置き挨拶した。；いくら夫を信じていたとしても、平常心ではいられないだろう。；先輩の刑務官に指導を受けたとはいえ、落ちついた平常心でできるわけがない。；でもな、今のお前はそのために平常心を失ってんだよ!</t>
        </is>
      </c>
      <c r="J7562">
        <f>HYPERLINK("https://www.weblio.jp/content/平常心", "词义详情")</f>
        <v/>
      </c>
      <c r="K7562">
        <f>HYPERLINK("https://yourei.jp/平常心", "查看例句")</f>
        <v/>
      </c>
    </row>
    <row r="7563">
      <c r="A7563" t="inlineStr">
        <is>
          <t>平静</t>
        </is>
      </c>
      <c r="B7563" t="inlineStr">
        <is>
          <t>成功</t>
        </is>
      </c>
      <c r="C7563" t="inlineStr">
        <is>
          <t>読み方：へいせい
［名・形動］
１世間がおだやかで静かなこと。また、そのさま。「—な生活に戻る」
２態度・気持ちが落ち着いていること。また、そのさま。「—を装う」
[派生]へいせいさ［名］</t>
        </is>
      </c>
      <c r="D7563" t="inlineStr">
        <is>
          <t>平静な声(2%)；平静な態度；平静な顔；平静そのもの；平静な表情</t>
        </is>
      </c>
      <c r="E7563" t="inlineStr">
        <is>
          <t>静か；平和；無事；穏やか；冷静</t>
        </is>
      </c>
      <c r="F7563" t="inlineStr">
        <is>
          <t>つとめて平静；すぐに平静；つとめて平静；平静をとり戻し；平静な調子</t>
        </is>
      </c>
      <c r="H7563" t="n">
        <v>29</v>
      </c>
      <c r="I7563" t="inlineStr">
        <is>
          <t>そして彼は例の平静さで、震えもしなければ高まりもしない声で答えた。；おれは気分をゆったりさせ平静にみえるようにしようと大いに努力した。；感情がどこかへ行ってしまったかのように、妙に平静な気持ちだった。；これを目にしてしまって、平静に科学を学ぶことには耐えられません。；あらゆる役人は、平静らしく見えるときでさえもいらいらしているのだ。；飲めば胸がいくらかさっぱりして、頭もいくらか平静になるあのお薬と。；人間は何か精神的な目標をもって緊張して居るときには、心の平静を保つ。；が、その間にも、このごく平静な気持を乱すたった一つのことがあった。；そして、これも一瞬ギクリとした様子だったが、すぐに平静にもどった。；白くつめたく非人間的で、最高に緊張していながら、完全に平静だった。；枯木か石ころでも見るような、感情の少しもない平静な眼つきであった。；そして彼は例の平静さで、震えもしなければたかまりもしない声で答えた。；たとえ感じたとしても、それは彼らの立派な平静さをかき乱すであろう。；それを平静に保とうとするには、やはり男の知らぬ努力がいるのです。；もとの平静状態にもどると、それらは小さな太陽ほどにも輝かなかった。；わたくしにやって来たのはもの憂さというよりもむしろ平静さであったろう。；雨の降るのを眺めているうちに、彼はいくらか平静と信念を取り戻した。；しかし前述の約束があったので外見的には平静にこれを受け入れた。；彼の呼吸は平静にもどっていたが、唇をぶつけたらしく、血が流れていた。；また私の妻も私と同じようにすっかり平静さをなくしているらしく見えました。；こういうなかに在って、たれよりも平静でいたのは准后の廉子であった。；やがて平静を取り戻すと、彼女はようやく兄の顔を見ることができた。；今までにみたことのないほど混乱し平静を失っておりました。；死者にはあくまでも平静な気持ちで近附かなければならぬものに思われる。；明子の失はれない平静のなかで情感の炎がゆるやかに燃えつづけてゐた。；より一段上のレヴェルにいて、それを平静に見守っていると言ってもよい。；村瀬にやつて来たこの危機を見ながら、明子は妙に平静な気持だつた。；その落着いた自信のある態度を見て、吾々も次第に平静になつてきた。；争い事や公事も良くないといわれ、万事に平静を守ることが良いとされる。</t>
        </is>
      </c>
      <c r="J7563">
        <f>HYPERLINK("https://www.weblio.jp/content/平静", "词义详情")</f>
        <v/>
      </c>
      <c r="K7563">
        <f>HYPERLINK("https://yourei.jp/平静", "查看例句")</f>
        <v/>
      </c>
    </row>
    <row r="7564">
      <c r="A7564" t="inlineStr">
        <is>
          <t>兵隊</t>
        </is>
      </c>
      <c r="B7564" t="inlineStr">
        <is>
          <t>成功</t>
        </is>
      </c>
      <c r="C7564" t="inlineStr">
        <is>
          <t>読み方：へいたい
１兵士を隊に組織・編制したもの。軍隊。「—に行く」
２下級の軍人。兵。
３俗に、役職につかない人のこと。</t>
        </is>
      </c>
      <c r="D7564" t="inlineStr">
        <is>
          <t>兵隊たち(11%)；兵隊さん(6%)；兵隊達；兵隊ども；兵隊服</t>
        </is>
      </c>
      <c r="E7564" t="inlineStr">
        <is>
          <t>軍；部隊；兵；兵士；軍人</t>
        </is>
      </c>
      <c r="F7564" t="inlineStr">
        <is>
          <t>若い兵隊；歩兵隊；機兵隊；志願兵隊；古い兵隊</t>
        </is>
      </c>
      <c r="G7564" t="inlineStr">
        <is>
          <t>兵隊やくざ；兵隊王；兵隊シナ語；兵隊さんよありがとう；兵隊さんの汽車</t>
        </is>
      </c>
      <c r="H7564" t="n">
        <v>29</v>
      </c>
      <c r="I7564" t="inlineStr">
        <is>
          <t>そこで兵隊が自分の靴一杯に金が入ったならば立ち去ろうと条件を出す。；そんな商売の兵隊では戦争の深刻な本性が発揮できるはずがありません。；それにつけてもこれまでにした兵隊さん達のことを思わずにはいられない。；そこで年よった悪魔は、人民たちはすべて兵隊に入らなくてはならない。；その中の最後に作られた兵隊は材料のスズが足りなくなり一本足であった。；シャーリヴァーハナは粘土の兵隊に命を吹きこんで戦って勝ったとする。；なお、兵隊同士でも上下の階級が存在するようだが、詳しいことは不明。；基本はナイフ攻撃のみであるが、赤い兵隊を倒すと以下の武器を落とす。；いま陸軍で兵隊をやっている自分の息子を、母親は天から見守っている。；このためフランチェスコ2世にはあまり信頼できない兵隊のみが残された。；アブラムシの仲間に、兵隊アブラムシを持つものが観察されたのである。；自己の戦争体験を元に手記・随筆・小説を描いた「兵隊作家」のひとり。；ある日、兵隊服を着た、二人連れのおじさんが、お薬を売りにきました。；フォートブラッグには第二次世界大戦が始まった時に野戦砲兵隊がいた。；百姓達には少しも日本の兵タイを恐れるような様子が見えなかった。；すると、その兵隊さんが、やぶの中に倒れているのを見いだしたのです。；それを見た兵隊たちは2人が結ばれるものと思い、村の女たちと祝福する。；自動車が動き出すとお前達は女中に勧められて兵隊のように挙手の礼をした。；またペンシルベニア州兵隊指揮官に再指名されその発展に貢献した。；そこに手塚さんが兵隊から帰って来た時のことが書いてあります。；その兵隊さんは、同じ部隊で、徳歳さんのことをよく知っていました。；陸軍の兵隊は平均年齢16歳から28歳の間の白人男子で構成されていた。；これはイギリスの兵隊は特定地域の住民によって世話されるべきものとしていた。；これらの大半は第7および第26歩兵連隊と陸軍砲兵隊の正規兵だった。；そこで年よった悪魔は、イワンの国中を廻って兵隊を集めにかかりました。；兵隊のほかに平服の男が二人先に立って歩いてくるのが見えた。；州民兵隊の正式な指揮官をしていたときの部下の多くが付き従った。；戦争が終わって故郷に帰還する途中の兵隊が、魔法使いの老婆に出会う。；これは守りの兵隊の移動経路が重要視されるようになったからである。</t>
        </is>
      </c>
      <c r="J7564">
        <f>HYPERLINK("https://www.weblio.jp/content/兵隊", "词义详情")</f>
        <v/>
      </c>
      <c r="K7564">
        <f>HYPERLINK("https://yourei.jp/兵隊", "查看例句")</f>
        <v/>
      </c>
    </row>
    <row r="7565">
      <c r="A7565" t="inlineStr">
        <is>
          <t>平年</t>
        </is>
      </c>
      <c r="B7565" t="inlineStr">
        <is>
          <t>成功</t>
        </is>
      </c>
      <c r="C7565" t="inlineStr">
        <is>
          <t>読み方：へいねん
１閏(うるう)でない年。太陽暦で1年が365日の年。
２普通の状態にある年。特に、気象や農作物の収穫が普通程度の年。「—並みの気温」</t>
        </is>
      </c>
      <c r="D7565" t="inlineStr">
        <is>
          <t>平年作(7%)；平年通り；平年並</t>
        </is>
      </c>
      <c r="G7565" t="inlineStr">
        <is>
          <t>平年並み</t>
        </is>
      </c>
      <c r="H7565" t="n">
        <v>29</v>
      </c>
      <c r="I7565" t="inlineStr">
        <is>
          <t>仮りにそれが平年に約四十万クヲタアの小麦を必要とするものとしよう。；ひどいところは平年作の半分、いい方でも八分作と見られていた。；東太平洋の赤道付近の海水温が平年より5以上上昇しているのがわかる。；平年は30暦日の月と29暦日の月を交互に設置することになっている。；現在は降水量が平年よりかなり少なく、数年間続く旱魃の最中にある。；寒春または冷春とは平年に比べて気温が低い春のことである。；平年通りであれば見頃は4月10日前後であり、この時期に桜祭りが開かれる。；平年の場合、閏年の2月29日に生まれた者には誕生日は存在しない。；北極の気圧が平年よりも高いときには中緯度の気圧は平年よりも低くなる。；それに残存放射能の影響もあり芋は平年作の十分の一もとれなかった。；しかし、2番目までのルールをもって、2000年を平年と誤解する者もいた。；天保の大飢饉では、平年の4割ほどしか米が収穫出来なかったという。；それぞれの暦は、354日の平年と384日の閏年を持つ点は同じである。；冬の平年の降雪量・最深積雪量は関東以西の太平洋側主要都市では最も多い。；この年は、ラニーニャ現象の影響で平年よりも日本の近くで台風が発生する傾向にあった。；平年作でもそれだから、凶作が続いたらもうどうしようもない。；陸上はほぼすべての観測地点で平年より高い気温となり、異常高温も各地で発生した。；また、台風の東縁となる太平洋高気圧が、平年に比べて弱く南東寄りだった。；その結果、2011年の遡上数は平年の4倍へと大幅に増加した。；平年の1年の長さを365日とし、これを12の月に分割する。；夏物が皆無作というほどの不出来であるのに、亜麻だけは平年作位にはまわった。；また特定の年祭ではない平年の祥月命日の祭儀は「正辰祭」という。；午後になっても過ごしやすさは変わらず、各家庭の電力消費量は軒並み平年の値を下まわったに違いない。；平年の雷日数が全国の県庁所在地の中で最も多く、そのほとんどは晩秋から冬に起こる。；大統領の任期4年は3回の平年と1回の閏年を合わせて1461日となる。；レギュラーシーズンは平年同様に各チーム3回戦総当り方式を採用。；平年に我国は自国の消費に足るだけの栽培を行っていない。；今年は例外であるが、平年では、少なくも一千万石の米に相当する食糧が足りない。；今大会は5年に1度の記念大会のため、平年より4校多い36校が出場する。</t>
        </is>
      </c>
      <c r="J7565">
        <f>HYPERLINK("https://www.weblio.jp/content/平年", "词义详情")</f>
        <v/>
      </c>
      <c r="K7565">
        <f>HYPERLINK("https://yourei.jp/平年", "查看例句")</f>
        <v/>
      </c>
    </row>
    <row r="7566">
      <c r="A7566" t="inlineStr">
        <is>
          <t>平方</t>
        </is>
      </c>
      <c r="B7566" t="inlineStr">
        <is>
          <t>成功</t>
        </is>
      </c>
      <c r="C7566" t="inlineStr">
        <is>
          <t>読み方：へいほう
１二つの同じ数を掛け合わせること。2乗。自乗。「三—の定理」
２長さの単位の前に付けて、面積の単位を示す語。「—メートル」
３長さの単位名のあとにつけて、その長さを1辺とする正方形の面積を示す語。「センチ—」</t>
        </is>
      </c>
      <c r="D7566" t="inlineStr">
        <is>
          <t>平方km(19%)；平方m(5%)；平方センチ(3%)；平方数；平方因子</t>
        </is>
      </c>
      <c r="E7566" t="inlineStr">
        <is>
          <t>二乗；自乗</t>
        </is>
      </c>
      <c r="F7566" t="inlineStr">
        <is>
          <t>メートル平方；一平方；フィート平方；キロ平方；千平方</t>
        </is>
      </c>
      <c r="G7566" t="inlineStr">
        <is>
          <t>平方キロメートル；平方根；平方マイル；平方キロ；平方フィート</t>
        </is>
      </c>
      <c r="H7566" t="n">
        <v>29</v>
      </c>
      <c r="I7566" t="inlineStr">
        <is>
          <t>これは単に全ての数に平方が存在することを主張しているに過ぎない。；掛け算九九のうち掛ける数と掛けられる数が同じものを平方九九という。；これで、二〇メートル平方の床の細部が、すっかり見えるようになった。；そしてこの時期において一平方リイグ当りの人口は九九六と計算された。；精魂塔はその奥六メートル平方くらいの敷地の中央に灰色の碑身を立てている。；平方根とは、数に対して平方すると元の値に等しくなる数のことである。；ブラァン達は五十平方ヤードほどの窪地を見下ろす崖の上に立っていた。；の 0 でない元は体 の非零元の平方の群 にスピノルノルムを持つ。；人口密度が一キロ平方に一・二人という南部地方をここでは想像ができない。；これを見るのに を四元数とし、その平方が に等しいものと仮定する。；光ったら最後幾キロ平方内の生きとし生ける者はやられてしまう。；計算しますと、その支持力は一尺平方あたり三噸から十噸になりました。；これは平方式の項が0になるとき、つまり x = のとき最小になる。；もとは江戸期より存在した武蔵国足立郡平方領に属する堤崎村であった。；病気にさわる事を恐れて初めの日は三尺平方ぐらいにしてやめた。；修道院はすぐに200平方kmを超える広大な領域を擁するようになった。；もとは江戸期より存在した武蔵国足立郡平方領に属する平方村であった。；もとは江戸期より存在した武蔵国足立郡平方領に属する領家村であった。；つまり四万キロ平方の土地を占めていたのである。；自己同形数とは平方したとき、下桁の数が自分自身と同じになる数の事である。；その五十メートル平方の広場に、次々とトラックが入り、整列した。；これには、やはり連鎖律と、それから四分平方函数の性質 が用いられる。；その記号の大きさといったら、傍へよってみると、多分十メートル平方もあろうか。；長さとしての1歩は本来は6尺で、面積としての1歩はその平方である。；結果として約190平方kmの広大な保護区がミンダナオ島に設置された。；たった一てきの油でさえ、二メートル平方の海面を、静かにする。；だが、横の壁に二十センチ平方ぐらいの布製のポケットがあるのが目にはいった。；建造当時、1平方フットの価値がアメリカで最も高い建物であった。；これ等の島は四、五百フィート平方で約千フィート位ずつ離れているらしく見える。</t>
        </is>
      </c>
      <c r="J7566">
        <f>HYPERLINK("https://www.weblio.jp/content/平方", "词义详情")</f>
        <v/>
      </c>
      <c r="K7566">
        <f>HYPERLINK("https://yourei.jp/平方", "查看例句")</f>
        <v/>
      </c>
    </row>
    <row r="7567">
      <c r="A7567" t="inlineStr">
        <is>
          <t>平凡</t>
        </is>
      </c>
      <c r="B7567" t="inlineStr">
        <is>
          <t>成功</t>
        </is>
      </c>
      <c r="C7567" t="inlineStr">
        <is>
          <t>読み方：へいぼん
［名・形動］これといったすぐれた特色もなく、ごくあたりまえなこと。また、そのさま。「—な作品」⇔非凡。
[派生]へいぼんさ［名］</t>
        </is>
      </c>
      <c r="D7567" t="inlineStr">
        <is>
          <t>平凡なサラリーマン(2%)；平凡な生活；平凡な人間；平凡な日常；平凡な女</t>
        </is>
      </c>
      <c r="E7567" t="inlineStr">
        <is>
          <t>中；一般；通常；一般的；並み</t>
        </is>
      </c>
      <c r="F7567" t="inlineStr">
        <is>
          <t>こんな平凡；平凡無味；平凡極まる；平凡な中流家庭；平凡な男子高校生</t>
        </is>
      </c>
      <c r="G7567" t="inlineStr">
        <is>
          <t>平凡パンチ；平凡出版；平凡寺；平凡社ライブラリー；平凡社東洋文庫</t>
        </is>
      </c>
      <c r="H7567" t="n">
        <v>29</v>
      </c>
      <c r="I7567" t="inlineStr">
        <is>
          <t>夫婦と子供がいて服を買いテレビを見て他人とつきあうごく平凡な生活。；僕は誰よりも平凡に暮らして、誰よりも平凡に死んでやらうと思つてる。；現在は夫と子供のためにだけ時間を使っていた平凡なパート主婦であった。；これ此の極めて平凡なる一事は今我々の決して忘れてはならぬ事なのである。；魔法使い達との出会いをきっかけに、広秋の平凡な日々は変化していく。；戦わなければ生き残れない現実の前に彼は平凡な生活を取り戻せるのか。；林震南の剣が平凡で命を落とすことになったのもこうした因縁からである。；平凡と俗悪の中に居て、人から注意を享けぬとなツては、もう駄目だね。；翌は、前年よりも多い12試合に登板したが、平凡な成績に終わっている。；芸術の真の本性は常に平凡な感情を克服し、変える何かをもっている。；実際は平凡な生活を送っているが、日々非日常を求めて奇行に走っている。；主人公、栗山四葉は平凡ながらも父と2人幸せに毎日を暮らしていた。；平凡な生活を送る主人公がいきなり5000億円の遺産の相続人となる。；工藤陽一は、わずかな超能力を持つものの平凡な毎日を過ごしていた。；負のレベルは、平凡であるに加えてはっきり非生産的な環境を表す。；平凡と俗惡の中に居て、人から注意を享けぬとなツては、もう駄目だね。；平凡に指し進めては居飛車有利が定説で振り飛車側は工夫が求められる。；ごく普通の高校1年生・花菱英一は平凡な両親と弟の4人暮らしである。；平凡な生活を送っていたアンナはある日、新たな任務を言い渡される。；主人公の時田一也はそんな事件とは縁の無いごく平凡な学園生活を送っていた。；この後者のようすはメディアにおいて報じられた平凡なもののひとつだった。；花袋や藤村はその後、むしろ平凡な日々を淡々と描く方向に向かった。；この頃から平凡な日常から脱却したいと思うようになり女優を志す。；その後、主人公は朝霧高校の教師となり平凡な生活を過ごしていた。；ごく平凡に日常を生きる主人公はある時ふと見知らぬホテルの前に辿り着く。；この出会いが、平凡で冴えない皆人の運命を大きく変えていくことになる。；彼女は数本の平凡な出来の映画のあと、再び素晴らしい演技を見せた。；この時の吉川滑空士の帯空時間は、10数分の平凡な記録に終わった。；なお多くの平凡な歌が全く無駄だったとは思われない。</t>
        </is>
      </c>
      <c r="J7567">
        <f>HYPERLINK("https://www.weblio.jp/content/平凡", "词义详情")</f>
        <v/>
      </c>
      <c r="K7567">
        <f>HYPERLINK("https://yourei.jp/平凡", "查看例句")</f>
        <v/>
      </c>
    </row>
    <row r="7568">
      <c r="A7568" t="inlineStr">
        <is>
          <t>平野</t>
        </is>
      </c>
      <c r="B7568" t="inlineStr">
        <is>
          <t>成功</t>
        </is>
      </c>
      <c r="C7568" t="inlineStr">
        <is>
          <t>読み方：ひらの
平坦な野原。へいや。</t>
        </is>
      </c>
      <c r="D7568" t="inlineStr">
        <is>
          <t>平野さん(2%)；平野部；平野君；平野川；平野晶</t>
        </is>
      </c>
      <c r="E7568" t="inlineStr">
        <is>
          <t>平原；広野</t>
        </is>
      </c>
      <c r="F7568" t="inlineStr">
        <is>
          <t>大阪平野；谷底平野；広大な平野；菅田平野；広い平野</t>
        </is>
      </c>
      <c r="G7568" t="inlineStr">
        <is>
          <t>平野謙；平野屋；平野町；平野綾；平野区</t>
        </is>
      </c>
      <c r="H7568" t="n">
        <v>29</v>
      </c>
      <c r="I7568" t="inlineStr">
        <is>
          <t>一方で島の西側は干拓から形成された平野が比較的あり、島の中心になる。；彼には一子小太郎があったが、彼の没後平野の後見するところとなった。；海岸部近くにはが走り、そこから海岸まではわずかな平野が広がっている。；日本の宮城県で開発され、東北地方の温暖な平野部を中心に生産される。；平野を流れる川の中で長い川は、北へ流れると南へ流れるである。；なだらかな丘と広いモンゴルの平野と盆地が広大な草原を形成している。；ここは上流から運ばれた砂礫が急に平野に出て堆積した場所である。；平野の北部には八郎潟が広がり、その西側には男鹿半島が位置している。；要塞化し塀からの土地の遠くには、崖が平野に向かって急な坂になっていた。；開業当初は広い平野の中に小さな駅舎があるのみで、乗降客は少なかった。；かつては、沖積世に形成された平野についても沖積平野と呼ばれていた。；アナポリスは大西洋岸の平野に位置しており、地形は比較的平坦である。；後に平野が一軍へ復帰してからも、そのまま三塁ベースコーチを務めた。；このため越前平野は実り豊かな土地となり人々が定住できるようになった。；平野は谷底に沿った地域や山の周辺の段状の地域に見られる。；標高が高いことから大阪平野が一望でき、快晴時には、大阪湾が見える。；遺骨は、尾瀬沼の近くの大江湿原の一角にある平野家の墓に埋葬された。；改札などはすべて平野方面行きホームの北側に設置されている。；上陸するとすぐに平野と村落を占領したが、城や町は奪うことができなかった。；その刑法学説の基本的立場は、師である平野と同じ結果無価値論に立つ。；カンカキー川の平野ではかなりの数の湖、湿地およびプレーリーがある。；水量の多い三川が平野の西側に集中し、水害が多くなる要因となっている。；グアテマラ中央部の高地と南部の太平洋岸の平野の境界部に位置する。；歴史上、銀川平野に独立王朝が割拠したのはこれが唯一のことである。；バルセロナはイベリア半島北東岸に位置し、地中海に面した平野にある。；その後は沖積層の堆積が追いつき、上記の湾は現在の低地平野となった。；ドアが開くとそこには明るい日差しを浴びた平野が広がっており、そしてなんと!；利根川周辺は水郷地帯が広がる平野になっており、水田に利用されている。；この場合、その平野は古くは海域で山塊は島であったところが多い。</t>
        </is>
      </c>
      <c r="J7568">
        <f>HYPERLINK("https://www.weblio.jp/content/平野", "词义详情")</f>
        <v/>
      </c>
      <c r="K7568">
        <f>HYPERLINK("https://yourei.jp/平野", "查看例句")</f>
        <v/>
      </c>
    </row>
    <row r="7569">
      <c r="A7569" t="inlineStr">
        <is>
          <t>並列</t>
        </is>
      </c>
      <c r="B7569" t="inlineStr">
        <is>
          <t>成功</t>
        </is>
      </c>
      <c r="C7569" t="inlineStr">
        <is>
          <t>読み方：へいれつ
［名］(スル)
１二つ以上のものが並ぶこと。また、並べつらねること。
「百足(むかで)の脚のように—した無数の纏繞根(てんじょうこん)」〈中勘助・犬〉
２電池・抵抗器・蓄電器などの正電極どうし、あるいは負電極どうしを接続すること。パラレル。並列接続。⇔直列。</t>
        </is>
      </c>
      <c r="D7569" t="inlineStr">
        <is>
          <t>並列的(3%)；並列配置(3%)；並列複座(3%)；並列接続(3%)；並列化(3%)</t>
        </is>
      </c>
      <c r="E7569" t="inlineStr">
        <is>
          <t>分類；配置；整理；配列；編曲</t>
        </is>
      </c>
      <c r="F7569" t="inlineStr">
        <is>
          <t>並列度；並列式；並列プログラム；並列型；並列動作</t>
        </is>
      </c>
      <c r="G7569" t="inlineStr">
        <is>
          <t>並列化；並列性；並列計算；並列的；並列コンピューティング</t>
        </is>
      </c>
      <c r="H7569" t="n">
        <v>29</v>
      </c>
      <c r="I7569" t="inlineStr">
        <is>
          <t>さらにアメリカの観客がイメージしにくいものはテキストを並列させた。；PARはそれに続く式のリストを並列的に実行してもよいことを示す。；単純な方法としては、各コンデンサに抵抗を並列接続させることがある。；データロボット社 による複数の手法を並列計算させて比較する方法がある。；この目的の一つは訓練を容易にするために操縦士席を並列に置くことであった。；国内メーカーではカワサキは現在でもカタログで並列の呼称を用いている。；ゴットリーブの作品では区切られた空間にイメージを並列させている。；こちらの例では、各命令には従属関係はないので、並列に実行可能である。；ものによっては命令間の依存が全く無く、常に並列に実行可能なこともある。；煙突は並列配置ながら中央にまとめて設置され、外観の特徴となっている。；サーモパイルは複数の熱電対を直列あるいは並列に接続したものである。；そのためゲオルギー・スヴィリードフと並列して扱われることもある。；墳頂部には南北方向に主軸を採る並列された3体の主体部が存在した。；プロセッサを追加するとそれに対応して並列化して動作するプログラムがあるとする。；この種のトンネルが並列したものを特にメガネトンネルと称する。；そのためこれらの言語の処理方式はストリーム並列とも呼ばれる。；同期発電機を起動して他の母線と並列運転する場合の条件は次の通り。；大きい列を多数の列に分割し、そのそれぞれをマージする作業は並列化できる。；プラグ自体が電線となっていて、プラグと並列して抵抗が配置されている。；建築では、複数の鐘を並列させた鐘楼を備えた教会建築物が作られた。；複数の小穴が並列し口をなすという極めて特徴的な口を持つ。；UNIVAC Iは計算回路を並列で接続して結果を比較する設計だった。；このときは真夏の多客時で冷房運転中のため2台並列運転中であった。；後方部より並列する2基の木槨が確認され、有力者の夫妻であろうと思われる。；データ並列性がほぼ同じ計算を並列に実行するのとは対照的である。；例として部分的な並列化によって高速化が可能なプログラムを仮定する。；最初期には複数の銃砲身を束ねたり並列に並べたりした火縄銃が試みられた。；言い換えれば小電流のサイリスタが多数並列に接続されたものである。；標準でデュアルコアの並列シミュレーションに対応しているのも特徴である。</t>
        </is>
      </c>
      <c r="J7569">
        <f>HYPERLINK("https://www.weblio.jp/content/並列", "词义详情")</f>
        <v/>
      </c>
      <c r="K7569">
        <f>HYPERLINK("https://yourei.jp/並列", "查看例句")</f>
        <v/>
      </c>
    </row>
    <row r="7570">
      <c r="A7570" t="inlineStr">
        <is>
          <t>平和</t>
        </is>
      </c>
      <c r="B7570" t="inlineStr">
        <is>
          <t>成功</t>
        </is>
      </c>
      <c r="C7570" t="inlineStr">
        <is>
          <t>読み方：ぴんふ
《(中国語)》⇒ピンホー（平和）</t>
        </is>
      </c>
      <c r="D7570" t="inlineStr">
        <is>
          <t>平和的(4%)；平和維持；平和な時代；平和公園；平和な生活</t>
        </is>
      </c>
      <c r="E7570" t="inlineStr">
        <is>
          <t>静か；無事；治；安い；和平</t>
        </is>
      </c>
      <c r="F7570" t="inlineStr">
        <is>
          <t>広島平和；平和通り；平和台；平和会議；平和構築</t>
        </is>
      </c>
      <c r="G7570" t="inlineStr">
        <is>
          <t>平和条約；平和主義；平和主義者；平和運動；平和維持活動</t>
        </is>
      </c>
      <c r="H7570" t="n">
        <v>29</v>
      </c>
      <c r="I7570" t="inlineStr">
        <is>
          <t>戦争は人類と同じくらい古いもののようだが、平和は現代の発明である。；集落内でトラブルもなく平和に暮らしているように見えたと書いている。；これは19世紀以前の世界の他の国々では他に例がない平和の世である。；平和維持のため緩衝地帯はあらゆる作戦部隊の侵入と行動が禁止される。；外交面では、世界の安全と平和のために積極的に貢献する外交を掲げた。；第三世界の国々で発生した数件を除いて、ほとんど平和的に解決していた。；安定的な秩序が維持されており、各国は基本的に平和に過ごしている。；これは平和維持が通常の軍事作戦とは異なった行動が求められるからである。；全てのアフリカ諸国が平和裏に独立を獲得できたわけではない。；しかしながら、ONUCが最初に任された活動は平和維持のみであった。；激しかった怪獣との戦いが過去のものとなり、地球には平和が続いていた。；原爆ドームがある広島平和記念公園とは道路を挟んで向かい合っている。；地区名は「聖人の如く平和に暮らすことを願って」の命名とされている。；カーネギーは国際関係での平和維持は人々の努力と意志によると信じていた。；さらに、平和の条約を結んでいたワンパノアグ族との関係も悪化していった。；彼は長期に渡って王位を維持することに成功し、平和と安定の時代を用意した。；学問の分野ではなく、平和研究という名称での分類が他言語では一般的である。；だが、規模と観客数の膨大さに比べれば、驚くほど平和的な祭典だった。；平和を愛するダイ族は戦いを決意し、その日から長い戦いが始まった。；平和は一般に、裏ドラがもっとも乗りやすい手役であるとされている。；平和主義ゆえにたびたび友会は歴史上平和教会のひとつとみなされてきた。；一方、西が役牌である場合は平和が成立せず、四索では何も役がない。；第二次世界大戦の犠牲者への記念として、平和記念碑が建てられている。；平和が訪れたように思える世界に、新たな危機が迫っていた。；孝宗の治世末から平和な時代が続き、詩を詠む人間の数は大きく増加した。；これらの成果は、ヨーロッパ大陸に恒久的な平和をもたらしはしなかった。；前期エーゲ文明では基本的に戦争もなく比較的平和な時代だったと推測される。；緑色はイスラム教を、白は平和と真理を意味し両宗教の和合を表している。；基本的に平和を好む性格であり、今のところ大きな争いも無く共生している。</t>
        </is>
      </c>
      <c r="J7570">
        <f>HYPERLINK("https://www.weblio.jp/content/平和", "词义详情")</f>
        <v/>
      </c>
      <c r="K7570">
        <f>HYPERLINK("https://yourei.jp/平和", "查看例句")</f>
        <v/>
      </c>
    </row>
    <row r="7571">
      <c r="A7571" t="inlineStr">
        <is>
          <t>へえ</t>
        </is>
      </c>
      <c r="B7571" t="inlineStr">
        <is>
          <t>成功</t>
        </is>
      </c>
      <c r="C7571" t="inlineStr">
        <is>
          <t>［感］
１感心したり、あきれたり、驚いたりしたときに発する声。「—、今初めて聞いたよ」
２「へい」に同じ。「—、さようでございます」</t>
        </is>
      </c>
      <c r="D7571" t="inlineStr">
        <is>
          <t>へえへえ；へええッ</t>
        </is>
      </c>
      <c r="E7571" t="inlineStr">
        <is>
          <t>ヘエ；ハイハイ；コックリ；ホイホイ；コクリ</t>
        </is>
      </c>
      <c r="G7571" t="inlineStr">
        <is>
          <t>へええ；へえッ</t>
        </is>
      </c>
      <c r="H7571" t="n">
        <v>29</v>
      </c>
      <c r="I7571" t="inlineStr">
        <is>
          <t>「へえ、君んちって大きな家なんだね」 太郎はビルを見上げて言った。；「へえ、安さんは神戸へ行ったんだってね」と手紙を読みながら云った。；「へえ、安さんは神戸へ行つたんだつてね」と手紙を讀みながら云つた。；私が「へえ」と、大きな声を出したのがいけなかったのかもしれない。；へえ、もうきょうかぎりお屋敷の方はおやめになったんでごぜえますかえ。；へえ、じゃあ一度東京に行ってみるかなって、その程度の理由だよ。；「へえ、だれかはいったようだな」 と、かん八はひとりごとをいった。；へえ、こんなところに、日本人の写真屋さんがあるとは思はなかつたね。；あんな昔のことだし、へえ、と笑ってすむだろうと思っていたものですから。；人々は、へえ、まだやってるのかぐらいの感じしか持たなくなってるんですよ。；「へえ、そうでしたか」と大日向は鷹匠町の宿のことを言出して笑った。；へえ、ここがねえ、と何気なく天井を見上げた私はギョッと息をのんだ。；誰にしたって出来た事は出来た事で、もうへえ、戦争の事は忘れちまってら。；その姿を見て、へえ、と意外そうな顔をしたのは蓮空を含めたほんの数名だけだった。；「ここへ来や」 「へえ」 お屋敷者の見識とでもいうのであろうか。；驚いているのか信じられないのか、彼は「へえ」といいかげんな返事をした。；へえ、そんなもんかい、と私はそのホテルのエレベーターに乗っていたわけである。；古賀は顔を近づけてそれを見て、へえ、と感心したような声を出した。；真九郎が詳しく説明すると、紅香は「へえ」と驚いたように口を開く。；「へえ、なかなか油断がないようです」 陣十郎の返事はこうだった。；へえ、そこまで気を使うのかなと思ったことがあります。；「最高の作戦を考え付きましたよ」 僕僕がへえ、と珍しく驚いた顔をした。；どこの世界に嫁に銭箱握られて、へえへえいってる姑があるものかね。；俺がそう言ってやって、受けさせるだけは受けさせたようだが、へえ、どうしただか。；「四十銭足りないのよ」 「へえ」 おかみさんはくるりと横を向いた。；もつと、へえ、広く今の世の中のこと見てみたらどうなんだ?；私は、へえ、そういうふうに思う人もいるのかって思いましたね。；「へえ、そういうものですか」 わたしたちは並んで窓にもたれた。；「へえ、外国人といっしょに来ていたのか」 夫はつまらなそうに聞いていた。</t>
        </is>
      </c>
      <c r="J7571">
        <f>HYPERLINK("https://www.weblio.jp/content/へえ", "词义详情")</f>
        <v/>
      </c>
      <c r="K7571">
        <f>HYPERLINK("https://yourei.jp/へえ", "查看例句")</f>
        <v/>
      </c>
    </row>
    <row r="7572">
      <c r="A7572" t="inlineStr">
        <is>
          <t>辟易</t>
        </is>
      </c>
      <c r="B7572" t="inlineStr">
        <is>
          <t>成功</t>
        </is>
      </c>
      <c r="C7572" t="inlineStr">
        <is>
          <t>読み方：へきえき
［名］(スル)《道をあけて場所をかえる意から》
１ひどく迷惑して、うんざりすること。嫌気がさすこと。閉口すること。「彼のわがままには—する」「毎日同じ料理ばかりで—する」
２相手の勢いに圧倒されてしりごみすること。たじろぐこと。
「敵一万余騎、其の勢ひに—して」〈太平記・一四〉</t>
        </is>
      </c>
      <c r="D7572" t="inlineStr">
        <is>
          <t>辟易する(11%)；辟易させる(2%)；辟易させられる；辟易せしも多</t>
        </is>
      </c>
      <c r="E7572" t="inlineStr">
        <is>
          <t>尻込み；ひるむ；たじろぐ；尻ごみ；怯む</t>
        </is>
      </c>
      <c r="H7572" t="n">
        <v>29</v>
      </c>
      <c r="I7572" t="inlineStr">
        <is>
          <t>単に馬や、その周辺で起きた事の異常さに辟易していただけではない。；蝋の匂いは嫌いではありませんが、これくらい強力になると辟易します。；一同辟易すると同時に秀吉がどんな反応をするかと思って気が気でなかった。；大言壮語して村人を辟易させていた男には似合わない静かな死であった。；食堂で不意の質問に辟易した外交官補などは第一の連絡の綱となった。；ぼくはそれほど雷嫌いじゃありませんが、あのときの雷だけは辟易しました。；この男の場合も、局囲の辟易を本人は一向に気にしていない様子であった。；やや辟易している二人の前に立って、横田はさっさと石段を上り始めた。；田中の多弁にいささか辟易しているのを、東條は隠そうとはしなかった。；一方で、楽譜の上での技術的なずさんさにも辟易させられたのである。；すなわち一郡二郡家の説には辟易して、以前の郡家と見たのである。；だが、それよりも私が辟易したのはあの女中が話してくれた部屋の臭気だった。；皆、甲冑を通して肌に伝わってくる冷たい雨水に辟易して無言であった。；そして鼻孔が繊細な香に慣れているかのように、山羊の臭いに辟易した。；女王を妄信し、訪れるはずのない救いを待ち続ける母に辟易していたから。；家に沁みついた薬のにおいと、氾濫する医書に辟易したと言ってもよい。；もっともそれ以上に、森崎の思い込みに辟易している部分があったのだが。；私は兄さんのこの態度で辟易するほどに臆病ではありませんでした。；ペリーらは慌てふためいたふりをしている三司官たちの演技にも辟易した。；あまりにも冷たすぎる風が肌を突き刺し、私は辟易して後ずさりました。；その力に辟易とし続けてきたのが、じつは戦後五十年間の日本だったのではないか。；しかし、彼が容易に影響されてしまうことには辟易していた。；そんな自分の生活に自分で辟易しているところがあった。；強い大気と光に辟易するかのように、木乃伊が地下の洞窟にもどって告げた。；薩摩のお家芸示現流の凄じさは、幕府方を、全く辟易させたものだった。；たったそれだけのことなのに、いつも祖父はこっちが辟易するほど喜んだものだった。；それほどの隙を見せていた自分に辟易する思いだった。；今後日本独特の作戦に対して、敵の辟易することは火を見るよりも明らかである。；それが一一どうかは分らないが、皆が皆辟易したとも云い切れまい。</t>
        </is>
      </c>
      <c r="J7572">
        <f>HYPERLINK("https://www.weblio.jp/content/辟易", "词义详情")</f>
        <v/>
      </c>
      <c r="K7572">
        <f>HYPERLINK("https://yourei.jp/辟易", "查看例句")</f>
        <v/>
      </c>
    </row>
    <row r="7573">
      <c r="A7573" t="inlineStr">
        <is>
          <t>ぺこぺこ</t>
        </is>
      </c>
      <c r="B7573" t="inlineStr">
        <is>
          <t>成功</t>
        </is>
      </c>
      <c r="C7573" t="inlineStr">
        <is>
          <t>［副］(スル)
１物がへこんだりゆがんだりする音や、そのさまを表す語。「—（と）するベニヤ板の壁」「押すと—（と）鳴る空き缶」
２頭をしきりに下げるさま。また、へつらうさま。へこへこ。「—しながら言い訳をする」
［形動］
１ひどく空腹なさま。「腹が—だ」
２1に同じ。「—な箪笥(たんす)」
［アクセント］はペコペコ、はペコペコ。</t>
        </is>
      </c>
      <c r="D7573" t="inlineStr">
        <is>
          <t>ぺこぺこ頭を下げ(11%)；ぺこぺこ頭をさげ(3%)</t>
        </is>
      </c>
      <c r="E7573" t="inlineStr">
        <is>
          <t>ひもじい；腹ぺこ</t>
        </is>
      </c>
      <c r="F7573" t="inlineStr">
        <is>
          <t>おなかがぺこぺこ；頭をぺこぺこ；お腹ぺこぺこ；腹をぺこぺこ；おなかぺこぺこ</t>
        </is>
      </c>
      <c r="H7573" t="n">
        <v>29</v>
      </c>
      <c r="I7573" t="inlineStr">
        <is>
          <t>親父がぺこぺこと頭を下げている姿が炎を背景にしてはっきりと見えた。；父親は最後までぺこぺこと頭を下げ、やがて車がゆっくりと走りだした。；それが小さな会社勤めになり、ぺこぺこする立場になったわけだろう。；そして、次の瞬間には急に船津に向かって、ぺこぺこと頭を下げ始める。；労働者が客にぺこぺこする必要はまったくないと考えているのだ。；機内食には手をつけずにきたので、もう晴美のおなかはぺこぺこだった。；ふたりともずっとさっぱりしましたが、おなかはぺこぺこになりました。；他の客が時折挨拶に行くと、年老いた両親はぺこぺこ頭を下げていた。；女が坐って盆をすすめると客のような男がぺこぺこ頭を下げているのが見えた。；どんなにぞんざいな扱いを受けても、相手にぺこぺこしなければならない。；まだ若い運転手さんだったけれど、ぺこぺこ頭を下げて謝ってたわ。；朝からなにも食べてなくて、もう腹がぺこぺこで、死にそうです。；一方でおれたちにぺこぺこしなければならない意趣返しなのだ。；子どもを抱きかかえた卯崎を見ると、洗濯屋はぺこぺことお辞儀をした。；その時の彼はさる老将軍の令嬢たちにまつわりついて、ぺこぺこしていた。；どこかの大学から来たオリーヴ色の肌をした青年が、傍らに立ってぺこぺこやっている。；私はぺこぺこ頭を下げながら、そのままの姿勢で家を出た。；たいていは、ぺこぺこ頭を下げて、神妙に縮み上っている男ばかりでした。；もちろん用意周到な俺は朝飯を抜いて、ぺこぺこに腹を空かせてある。；ぺこぺこと何度も頭を下げながら、容器を台車に載せて運んでいく。；と訝って、首を傾げて見せると、さらに江さんは高速でぺこぺこ頭を下げた。；ある真夜中、残業中の彼女がひとり壁に向かってぺこぺこ頭を下げていたそうだ。；祖母も一緒についてきて、神父の夫婦にぺこぺこ頭を下げていたのが印象的ではあった。；あたしには何もするなって言っておいて、なんであんな人にぺこぺこして助けてもらったの!?；しきりに頭をぺこぺこ下げて大いに恐れ入っているという風を示した。；また、仕官をすると、その日から頼宣にぺこぺこしなければならない。；俺たちはぺこぺこと頭を下げながら狭い階段を上り、会館の中へと足を踏み入れた。；ぼくなんか彼女よりずっと年下だから、ぺこぺこしなくていいと思ったんじゃないですか。；・ふたりで外食 ・ふたりで料理中 ・セックスしておなかぺこぺこ。</t>
        </is>
      </c>
      <c r="J7573">
        <f>HYPERLINK("https://www.weblio.jp/content/ぺこぺこ", "词义详情")</f>
        <v/>
      </c>
      <c r="K7573">
        <f>HYPERLINK("https://yourei.jp/ぺこぺこ", "查看例句")</f>
        <v/>
      </c>
    </row>
    <row r="7574">
      <c r="A7574" t="inlineStr">
        <is>
          <t>凹む</t>
        </is>
      </c>
      <c r="B7574" t="inlineStr">
        <is>
          <t>成功</t>
        </is>
      </c>
      <c r="C7574" t="inlineStr">
        <is>
          <t>読み方：くぼむ
［動マ五（四）］
１周囲より低く落ち込む。へこむ。「目が—・む」「—・んだ土地」
２うずもれる。おちぶれる。零落する。
「我が君のあまねき御代の道つくり—・める身をも哀れとは見よ」〈新撰六帖・二〉
［動マ下二］「くぼめる」の文語形。</t>
        </is>
      </c>
      <c r="D7574" t="inlineStr">
        <is>
          <t>折れる；変形する；落ち込む；陥落する；歪む</t>
        </is>
      </c>
      <c r="F7574" t="inlineStr">
        <is>
          <t>やや凹む</t>
        </is>
      </c>
      <c r="H7574" t="n">
        <v>29</v>
      </c>
      <c r="I7574" t="inlineStr">
        <is>
          <t>たぶん少しは凹みもあるでしょうが、まだ充分な攻撃力を残しています。；また、下顎のエラの部分の前ほどにある凹みが多くみられるようになる。；ゴム球とおなじことであって、ただ凹む量が少ないだけのちがいである。；階段の上り口と向きあった反対側の小さな凹みには電話の交換台があった。；揉みはじめたのだがその足裏は、どうしたことかひどく硬くて凹まない。；と思ったその男は、その凹みの草のなかに臥てでもいたのだったろう。；穴の周囲を足で踏むと、石との間の地面だけが、五寸ばかり崩れ凹んだ。；凹んだのは引っくり返して凸の方を上にして軽い物を上にのせておく。；床には小さな凹みができ、ブルーの制服の男が走ってくるのが見えた。；するととその時、かれは船腹の円状の凹みが動き始めたのに気づいた。；そんな力が働いたら、ドアにだって少しは傷なり凹みなりが出来たはずだろ。；布に立て、弧の部分を強く押し当てることで布に凹みをつけて印とする。；電話は、ちょっと壁の凹んだ所にあって、見えないようになっている。；私は彼のうしろに立って、その禿げ頭と、項の凹みとを見ていました。；貫通幌を使用しない場合はこの凹んだ部分に折り込めるようになっていた。；二人はプラットホームにある階段の凹みに隠れて力場チューブを待った。；口の一方の隅が平たく緊張して、他方の隅には深い凹みが出来ていた。；先端の一方は丸みを帯びた円錐形であり、もう一方は平坦か凹んでいる。；前面形態は角張っているが、窓部分が凹んでおり中央で二分割されている。；彼は凹んだ道路をもどって、自転車を置いてきたところへいった。；眼の上には明瞭な隆起線があり、その後方にはよく小さな凹みがある。；摩擦を減らすために中央が凹んでいるものや、中央に穴のあるものもある。；生れて始めて凹んですき間の出来た股を 湯のなかで自分は愛撫した。；指先で押したら餅みたいに凹みそうなその肉附が、先ず彼の眼についた。；中央は少し凹んで飾りがつけられており、縁は厚みのある形である。；付け根の辺りは指先で押されて五個の凹みが出来てしまったみたいだ。；熔岩ならば高い崖の上などではなく、凹んだ場所から流れだすはずだ。；やつらは、四つの高え山の間の深く凹んだとこの、湖のそばにいた。；眼下の眺めでいちばん予想外だったのは、地球の表面が凹んでみえたことです。</t>
        </is>
      </c>
      <c r="J7574">
        <f>HYPERLINK("https://www.weblio.jp/content/凹む", "词义详情")</f>
        <v/>
      </c>
      <c r="K7574">
        <f>HYPERLINK("https://yourei.jp/凹む", "查看例句")</f>
        <v/>
      </c>
    </row>
    <row r="7575">
      <c r="A7575" t="inlineStr">
        <is>
          <t>へそ</t>
        </is>
      </c>
      <c r="B7575" t="inlineStr">
        <is>
          <t>成功</t>
        </is>
      </c>
      <c r="C7575" t="inlineStr">
        <is>
          <t>読み方：へそ
《「へ」は動詞「綜(へ)る」の連用形から。「そ」は「麻」》紡いだ糸を環状に幾重にも巻いたもの。おだま。おだまき。
「—紡麻(うみを)を針に貫きて」〈記・中〉</t>
        </is>
      </c>
      <c r="D7575" t="inlineStr">
        <is>
          <t>へそ石様(2%)；へそまがり；へそ石餅；へそ下</t>
        </is>
      </c>
      <c r="E7575" t="inlineStr">
        <is>
          <t>臍；お臍</t>
        </is>
      </c>
      <c r="G7575" t="inlineStr">
        <is>
          <t>へそくり；へそ曲がり；へそ曲り；へそ曲；へそ出し</t>
        </is>
      </c>
      <c r="H7575" t="n">
        <v>29</v>
      </c>
      <c r="I7575" t="inlineStr">
        <is>
          <t>ただ、へそが見えたか見えぬかの瞬間に、目をつぶらなければならない。；へそから下はガラスのようにきらめく緑色の波ですっかりおおわれていた。；へそ石様もあれ以来、また大事にされるようになったのだからね。；お姉ちやんは家に入ってきた時からおへそから下がすっぽんぽんだったとも。；みんなちょっとわたしがへそを曲げているだけだと思ったようです。；一方へそが無いとすれば、完璧な姿で作られたのではないことになってしまう。；酒田と電話で話をしながら、美保子は、自分の指先をへそに入れてみた。；「へそ石様がお怒りでないとよいがな」と長兄は渋い顔をして言った。；私の方に先に来たりして、今頃はへそを曲げてしまっているかも知れないぞ。；滑らかで引き締まった肌とおへそとその下にあるやはり色気のない下着。；そのとき、彼女のへそにピアスが光っていることに彼は気がついた。；私のおへそぐらいまでしか高さのない小さな鉄のドアだ。；稼ぎの中から、彼は週に二度ばかりビールの飲めるだけをへそくっていた。；へそとクリトリスにピアスをあけており、多くのタトゥーを入れている。；荊南が割拠した荊州は中国のへそとも言うべき重要な戦略的要衝である。；症状の重い場合は、へそのあたりや骨盤の位置まで落ち込むこともある。；彼は私のへその五センチほど下の部分を六センチばかり真横に切った。；ビキニ姿の写真などでは修正してへそが加えられることがある。；ぼくのまえの高羽道がおへそのあたりでつぶやいた。；また彼女は、この程度のことでへそを曲げるような性格ではない。；ラックムアンではなくサドゥームアン すなわち市のへそと呼ばれている。；治療師の指先はへその左下あたりに入り、さっきと同様なものを取り出した。；当時はアダムとイブにへそがあったかどうかも論争となっていた。；週刊誌でのグラビア写真を見ては、ついモデルのへそに目が行くほどである。；口よりすこし下のところに、へそみたいなものがあるだろう。；不完全な子供の方にはおへそが見られなかったが、腹の他の部分は皆備わっていた。；かれらは塾の前でみんなシャツを脱ぎ、へそをだして門内へはいった。；別に、怒っているわけでもへそを曲げているわけでもないのだ。；埼玉県のほぼ中央に位置しているため、埼玉のへそ宣言をしている。</t>
        </is>
      </c>
      <c r="J7575">
        <f>HYPERLINK("https://www.weblio.jp/content/へそ", "词义详情")</f>
        <v/>
      </c>
      <c r="K7575">
        <f>HYPERLINK("https://yourei.jp/へそ", "查看例句")</f>
        <v/>
      </c>
    </row>
    <row r="7576">
      <c r="A7576" t="inlineStr">
        <is>
          <t>下手</t>
        </is>
      </c>
      <c r="B7576" t="inlineStr">
        <is>
          <t>成功</t>
        </is>
      </c>
      <c r="C7576" t="inlineStr">
        <is>
          <t>読み方：したて
《「したで」とも》
１位置・方向が下のほう。特に、風下・川下などをいう。しもて。⇔上手(うわて)。
２相手より地位や能力が下であること。また、その地位など。
３へりくだること。⇔上手(うわて)。
「男は言葉を柔げて—に頼むように」〈魯庵・社会百面相〉
４相撲で、組み合ったときに差し手で相手のまわしを取ること。また、その手。⇔上手(うわて)。
５囲碁・将棋で、対局者のうち段位・力量の劣ったほう。⇔上手(うわて)。
６犬追物(いぬおうもの)で、自分の馬の後に立つ射手。</t>
        </is>
      </c>
      <c r="D7576" t="inlineStr">
        <is>
          <t>下手な字；下手すりゃ；下手すれ；下手側；下手な芝居</t>
        </is>
      </c>
      <c r="E7576" t="inlineStr">
        <is>
          <t>下；悪い；ひどい；不良；まずい</t>
        </is>
      </c>
      <c r="F7576" t="inlineStr">
        <is>
          <t>舞台下手；ひどく下手；一番下手；料理下手；下手袖</t>
        </is>
      </c>
      <c r="G7576" t="inlineStr">
        <is>
          <t>下手くそ；下手投げ；下手糞；下手物；下手の横好き</t>
        </is>
      </c>
      <c r="H7576" t="n">
        <v>29</v>
      </c>
      <c r="I7576" t="inlineStr">
        <is>
          <t>わたしが英語で言い返えせへんかったからええ気になってしもてからに。；この際にヒムラーは銃の撃ち方が下手すぎるせいだと怒っていたという。；下手なことをすれば取り返しのつかないことになるから、注意が必要だ。；そんな下手な殺し方をすれば彼のしたことは直ぐ判明する筈であった。；ともかくも、かかるすべてのものは悉く下手の味あるものばかりである。；現代の政治家の判断には柔軟性がいるが、アスキスはそれが下手だった。；さっき窓から落した手紙は、無事に遠藤さんの手へはいったであろうか?；下手が最初に数手指すことができる方式では、一先・二先・三先などがある。；下手にやり損じると、今度は半七が腹を切らなければなりませんからね。；だけどそういう漫才の上手い下手じゃないところでトップを走っていた。；少し敏感な者は人の前で下手なことを言ふまいと消極的な努力をする。；泉さまの脇を抜けてほうに近寄り、そのすんなりとした手を肩に乗せた。；初めは下手でしたけれど、だんだん髪の形が絵に似て来るようになりました。；これはお雪が旧い男の友達から、彼女へ宛てて寄した手紙の中の文句で。；だから下手なものは出せないと思って、二人でスタジオに入って練習した。；下手な大きな文字で彼にとっては許すべからざる文字が書かれてあった。；それが彼のシャイなところというか、パフォーマンスが下手な人ですね。；鑑定臺の前まで行くと、待つてゐた二人の下手間の女がそれを引きとめた。；相撲は下手だったが突っ張るだけで相手は立っていられなかったとされる。；コロスが祭壇または舞台上を上手から下手に移動しながらこれを歌った。；つまりは、自分を中心として左手の方が上手で、右手の方が下手である。；置き場所を下手の好きな場所に決めて良い、自由置き碁と呼ぶ方式もある。；これまでに経験した手の仕事はたいてい私は好いていたようである。；けがをした手はまだ思うようには動かないけれど、いまに動くようになる。；ぼくは話し下手なんですけれど、ワトソン先生、こういうことなんです。；これは母親が大変字が下手な事を考慮して送ったものである。；その男が最近郷里の女房あてに寄した手紙には、次のやうな文句があつた。；その前は馬に乗っていなかったのですが、はじめは下手でしたよ。；その白いふっくらとした手が、形よくしなって、頬にふれただけだった。</t>
        </is>
      </c>
      <c r="J7576">
        <f>HYPERLINK("https://www.weblio.jp/content/下手", "词义详情")</f>
        <v/>
      </c>
      <c r="K7576">
        <f>HYPERLINK("https://yourei.jp/下手", "查看例句")</f>
        <v/>
      </c>
    </row>
    <row r="7577">
      <c r="A7577" t="inlineStr">
        <is>
          <t>隔たる</t>
        </is>
      </c>
      <c r="B7577" t="inlineStr">
        <is>
          <t>成功</t>
        </is>
      </c>
      <c r="C7577" t="inlineStr">
        <is>
          <t>読み方：へだたる
［動ラ五（四）］
１間に距離があって離れる。また、距離ができて離れる。遠ざかる。「約10キロ—・っている」
２間に物があって遮られる。「両県は山脈で—・る」
３時間的に離れる。また、年月が過ぎる。月日がたつ。「今を—・る百年の昔」
４物事の間に開き、違いがある。「双方の実力はかなり—・っている」
５関係がうとくなる。疎遠になる。「心が—・る」</t>
        </is>
      </c>
      <c r="H7577" t="n">
        <v>29</v>
      </c>
      <c r="I7577" t="inlineStr">
        <is>
          <t>どこか頭上のすぐ近くにいるくせに遠く遠く隔たっている気がするのだ。；明治のはじめには七八町しか隔たらぬ坂井の村が、野篠で見えなかつた。；すぐ傍には子供も寝ていたが、すでにその子供と多代は遠く隔たっていた。；近くにはほかの別荘はないし、頻繁に車の通る道からも隔たっている。；しかし制作年代が数年しか隔たらぬこの二作には、見逃せぬ類似がある。；しかも各宙点間の距離は、最大にして六〇〇光年も隔たっているのであった。；その付近では、十里も隔たった所からマドレーヌ氏に相談に来る者もあった。；どれもかなりの速度で発射され、数分後には、何百ヤードも隔たった。；そうした時に、意外にも、その間へ押隔たったのは兵部の娘でありました。；それなのに、日本の風習から遠く隔たったところに行ってしまっている。；二重壁で隔たれた室でガスが発生しバーナー穴からでて炎となる。；急ぐほどに双方の距離がようやく隔たって、とうとう見えなくなりました。；彼と吾とただ二重の壁に隔たれて万里の外の思をするのである。；女王たちが待っているらしいところから、そんなに隔たっているわけではない。；時があまり隔たっておらぬことなら消えずに忠道の中にあるはず。；この地球からどれだけ遠くに隔たった星であるかも知れない。；なぜ静岡から遠く隔たった三陸海岸に私が居たのかもこれまで不明であった。；両親が年とってからの子供で、長兄とは親子に近いほど年齢が隔たっていた。；自分と少年とは四、五十間隔たっていたが自分は一見して志村であることを知った。；三つばかり隔たった部屋では、リュカが裸になって眠りにつこうとしていた。；時代が二人の死の意味を大きく隔たらせてるんですよね。；そもそも私たちの日常からはすこぶる隔たったところに、この館は存在する。；地理的・政治的に隔たった都市と都市との提携関係は古くからある。；セミの合唱が、こことみんなとの間を隔たて、距離を感じさせていた。；つい、自分の後ろ十間とは隔たらないところに、またしても一個の人影があります。；周囲のすべてが、完全に、二人からは隔たったものとなっている。；しかしこれはあまりに遠く隔たっているので、できないことです。；それらは実際の人生となんと隔たっていたことだろう。；半里ほど隔たった木津砦を、崖の縁から圧するがごとく睥睨していた。</t>
        </is>
      </c>
      <c r="J7577">
        <f>HYPERLINK("https://www.weblio.jp/content/隔たる", "词义详情")</f>
        <v/>
      </c>
      <c r="K7577">
        <f>HYPERLINK("https://yourei.jp/隔たる", "查看例句")</f>
        <v/>
      </c>
    </row>
    <row r="7578">
      <c r="A7578" t="inlineStr">
        <is>
          <t>隔てる</t>
        </is>
      </c>
      <c r="B7578" t="inlineStr">
        <is>
          <t>成功</t>
        </is>
      </c>
      <c r="C7578" t="inlineStr">
        <is>
          <t>読み方：へだてる
［動タ下一］［文］へだ・つ［タ下二］
１物の間に距離をおく。「五メートル—・ててくいを打つ」
２物を間に置く。また、置いて遮る。仕切る。「障子を—・てて話す」「ついたてで部屋を—・てる」
３時間的に距離をおく。年月がたつ。「時を—・てること百年」
４関係をうとくする。壁をつくる。「疑心暗鬼が二人を—・てた」</t>
        </is>
      </c>
      <c r="D7578" t="inlineStr">
        <is>
          <t>隔てる幅約；隔てる境界面；隔てる分厚い</t>
        </is>
      </c>
      <c r="E7578" t="inlineStr">
        <is>
          <t>分離；分割；区分；区画；分かれる</t>
        </is>
      </c>
      <c r="H7578" t="n">
        <v>29</v>
      </c>
      <c r="I7578" t="inlineStr">
        <is>
          <t>なんかさあ、距離も時間も人を隔てることはできないなっていつも思う。；その二者を隔てるものは、もはやなにひとつとして残されていなかった。；この点も、マビノギと他のゲームとを大きく隔てる特徴のひとつである。；ファルケはこれらの形態差は属を隔てる程のものではないとしている。；その尻の動きが、背革とその裏地を隔てるだけの彼の体に伝わって来る。；ずっと目の前にあった、夢と現実を隔てる透明な板がついに消えたのだと。；おそらく彼女は延王と同じく、自分と他人を隔てる壁が低いのだろう。；隔てるものがなくなるほどに、最後に残ったこの皮膚の一枚が邪魔になる。；そんな草原が東の森と畑とのあいだを隔てるように広がっているのだ。；もう1つは神経周膜で末梢神経外の細胞外組織と神経内膜組織を隔てる。；左がヨーロッパ、右がアジアで、両者の間を隔てるのがボスポラス海峡。；一般に、アメリカ合衆国の北部と南部とを隔てる境界であると認識されている。；目の前の地面に、アニーたちとこちらを隔てるような深い溝が走っていた。；空港は大西洋に面しており、カラカスには間を隔てる山脈を抜けて行く。；外の電車通りと運動場とを隔てる囲いには、昔の城壁が利用されていた。；犬神の住まう領域と人の住まう俗世を隔てる門の役割を果たす建造物だ。；両丘陵を隔てるのはヌーテであり、郡中央部の比較的平坦な領域である。；おそらく二人の間を隔てる距離は、二つの星よりも遠いだろう。；児童書エリアと他のエリアを隔てる壁やガラスなどは存在しない。；降り続ける雪もこの息も、世界を隔てる幕の一部になればいい。；この頃、工場と教会を隔てる非常に高い壁が設けられ、現在にまで残されている。；細胞を外部環境から隔てる特殊な原形質膜には多くの種類がある。；両作品を隔てる5年の間に画家は抑制の価値を見出すようになったのである。；生と死をわけ隔てるものがいったい何なのか私にはわからない。；南北の大陸を隔てる海の中心には、〝針の霧〟が立ちこめているのだ!；風景と自分とを隔てるものは透明なフロントガラス一枚きりだった。；白天とおれがいる世界を隔てるものなんて、薄皮一枚ほどのものでしかなかった。；それでは王の心を改めることにはならず、逆に民心を王から隔てるばかりだ。；イベント後に勢力を隔てる封印の壁が崩壊し、勢力間の争いが始まる。</t>
        </is>
      </c>
      <c r="J7578">
        <f>HYPERLINK("https://www.weblio.jp/content/隔てる", "词义详情")</f>
        <v/>
      </c>
      <c r="K7578">
        <f>HYPERLINK("https://yourei.jp/隔てる", "查看例句")</f>
        <v/>
      </c>
    </row>
    <row r="7579">
      <c r="A7579" t="inlineStr">
        <is>
          <t>別</t>
        </is>
      </c>
      <c r="B7579" t="inlineStr">
        <is>
          <t>成功</t>
        </is>
      </c>
      <c r="C7579" t="inlineStr">
        <is>
          <t>読み方：べち
［名・形動ナリ］「べつ（別）」に同じ。
「—によき家を造りて住ませければ」〈宇治拾遺・九〉</t>
        </is>
      </c>
      <c r="D7579" t="inlineStr">
        <is>
          <t>別当寺；別名義；別会社；別系統；別行動</t>
        </is>
      </c>
      <c r="E7579" t="inlineStr">
        <is>
          <t>別々；別個；異同；別様；截然たる</t>
        </is>
      </c>
      <c r="F7579" t="inlineStr">
        <is>
          <t>全く別；それぞれ別；体重別；年代別；世代別</t>
        </is>
      </c>
      <c r="G7579" t="inlineStr">
        <is>
          <t>別れ；別名；別荘；別々；別人</t>
        </is>
      </c>
      <c r="H7579" t="n">
        <v>29</v>
      </c>
      <c r="I7579" t="inlineStr">
        <is>
          <t>これらは一つの町の飛び地ではなく、関係のないまったく別の町である。；上の表の中には、単位の定義の中に別の単位を用いているものがある。；現在知られている大陸とは別に、別な観点に立った大陸と呼ぶ対象もある。；奴国は2回記されているが同一の国とする説と別の国とする説がある。；また路線や列車の識別を狙って、路線ごとに異なる色を採用する例もある。；なお、半順序空間と名前の似たは別概念であるので注意が必要である。；橋については徳川家康の世となった後、家康により別の橋が建造された。；軍事力は中央政府に統一されたが、連隊以下は民族別編成とされている。；また 後述するp進数の概念とは別概念であるので注意が必要である。；なお、現在の千歳線などを建設した北海道鉄道ととは、別の会社である。；なお、一部のカードでは目的別に複数の限度額が設定されている場合がある。；ただしペルシア語を除き、現在はそれぞれ別の文字で表記されている。；別の言い方をするとヨーロッパ哲学は基本的に存在論であったとも言える。；再開発前から駅と行幸道路の間では、駅行と駅発のバスが別の道路を通る。；ガロアの遺体は別の共同墓地に葬られ、現在は正確な位置が不明である。；チェコの工場を閉鎖して別の国に工場を新設することを検討している企業も多い。；実際、それぞれ別の名がつけられているが、大洋はすべて繋がっている。；勤務地が大きく変わることはないが、別の分野を担当させられる。；これらは制御方法が異なるため、それぞれ別のドライバが必要である。；ただし、ミヤベくんは後から別の作品で女流作家役としても起用された。；小山力也などは別の大学を卒業してからこれらの大学に進学した。；曲も英国人が作曲した別曲で、小学校では当初こちらが教えられた。；そのため、独立した複数の色を合成する事で人間に別の色を感じさせる事ができる。；日本で珍重されるタイだが、世界の別の地域では必ずしも高級魚ではない。；後述するように、2018年春より種別数は10種別体制になっている。；札幌移転後、大半の選手別応援歌を除いて応援スタイルがやや変わった。；ペンシルベニア州の州の住民の宗教宗派別構成比は次のようになっている。；停車駅や運行区間など詳しくは、各種別および各路線の記事を参照のこと。；みやこ路快速・快速・区間快速・普通の4種別の列車が運転されている。</t>
        </is>
      </c>
      <c r="J7579">
        <f>HYPERLINK("https://www.weblio.jp/content/別", "词义详情")</f>
        <v/>
      </c>
      <c r="K7579">
        <f>HYPERLINK("https://yourei.jp/別", "查看例句")</f>
        <v/>
      </c>
    </row>
    <row r="7580">
      <c r="A7580" t="inlineStr">
        <is>
          <t>別居</t>
        </is>
      </c>
      <c r="B7580" t="inlineStr">
        <is>
          <t>成功</t>
        </is>
      </c>
      <c r="C7580" t="inlineStr">
        <is>
          <t>読み方：べっきょ
［名］(スル)夫婦・家族などが別れて住むこと。「単身赴任で家族と—している」⇔同居。</t>
        </is>
      </c>
      <c r="D7580" t="inlineStr">
        <is>
          <t>別居する(10%)；別居状態(6%)；別居後(2%)；別居中(2%)；別居期間</t>
        </is>
      </c>
      <c r="E7580" t="inlineStr">
        <is>
          <t>分離；隔絶；乖離；別離；分立</t>
        </is>
      </c>
      <c r="F7580" t="inlineStr">
        <is>
          <t>夫婦別居；出て別居；別居すること</t>
        </is>
      </c>
      <c r="G7580" t="inlineStr">
        <is>
          <t>別居生活；別居婚</t>
        </is>
      </c>
      <c r="H7580" t="n">
        <v>29</v>
      </c>
      <c r="I7580" t="inlineStr">
        <is>
          <t>そういう事情でも、実家では別居にあまりいい顔をされなかったそうだ。；そういえば別居して以後、妻の家にほとんど足を運んだことがなかった。；どちらかが別居を提案したこともあったし、離婚を口にしたこともあった。；が、女房はなにか感付いたようで、それから間もなく私たちは別居した。；四歳の頃に実家に戻されるが、既に父親は家を出て母親と別居していた。；しかし、多くの州は最近正式な離婚判決の前に別居期間を求めてきた。；別居の件はどうなったのか、あなたはついに教えてくれませんでした。；こうして別居するまで僕はずっと彼女の言葉や態度に脅えて暮らしてきた。；二人のあいだには の二児が生まれたが、1980年に二人は別居した。；別居の際の条件でダイアナは王子二人と隔週の週末に会うようになった。；母も、怖らくそんな父が嫌で別居しているのだろうと葉介は考えていた。；別居同然でも夫がちゃんといると、あまり無茶なことはできないものよ。；結婚した後も夫婦は親元にとどまり、子供が出来るまでは別居を続ける。；オトンと別居して、この町にやって来て、もう何年も経とうとしていた。；私も、別居期間一年半の後に退職して、夫の赴任先に転居した女である。；別居は隠蔽されたか、まだ別々の世帯が関与していなかったようである。；別居の計画は着々と進行し、彼は手のつけようもなくてそれを見ていたのだ。；でも別居しても離婚してないってことは、まだ愛がある証拠でしょう。；この事件の結果、夫婦は以後約10年ほどに渡って別居することになった。；弁護士開業後は仕事の都合上、夫と別居することになり、離婚に至る。；けんかでなしに別居している夫婦の仲のいいわけがわかるような気がする。；すでに精神的に不安定になっていた彼女はこの別居によって症状が悪化。；コームズとホールは離婚を最終的に成立させるまえに5年間別居していた。；僕があの町にいたのは、両親が別居して、母の実家に身を寄せていたからです。；そこで「スープの冷めない距離」の別居にすることになったのだという。；別居であれば、生活が落ち着くまでは、二度も三度も行かねばならない。；前年八月には、第二の妻と別居し、のちに第三の妻となった女と同棲した。；別居をよしとしているのが、いまのところの自覚意識の大勢だと感じられる。；離婚も別居もせずに無事結婚生活が続いているのは、阿里子を入れて三人。</t>
        </is>
      </c>
      <c r="J7580">
        <f>HYPERLINK("https://www.weblio.jp/content/別居", "词义详情")</f>
        <v/>
      </c>
      <c r="K7580">
        <f>HYPERLINK("https://yourei.jp/別居", "查看例句")</f>
        <v/>
      </c>
    </row>
    <row r="7581">
      <c r="A7581" t="inlineStr">
        <is>
          <t>別人</t>
        </is>
      </c>
      <c r="B7581" t="inlineStr">
        <is>
          <t>成功</t>
        </is>
      </c>
      <c r="C7581" t="inlineStr">
        <is>
          <t>読み方：べつじん
別の人。その人とは違う人。「盛装して—のように見える」</t>
        </is>
      </c>
      <c r="D7581" t="inlineStr">
        <is>
          <t>別人みたい；別人のごとく；別人だったら；別人さながら；別人のごとき</t>
        </is>
      </c>
      <c r="F7581" t="inlineStr">
        <is>
          <t>完全な別人；同名別人</t>
        </is>
      </c>
      <c r="H7581" t="n">
        <v>29</v>
      </c>
      <c r="I7581" t="inlineStr">
        <is>
          <t>自分の人生経験の中に無い役だと別人になれて演じていて楽しいと語る。；しかしテスト・パイロットは別人のように攻撃的な性格に変わっていく。；鬘はプレー中には使用せず、移動の際に装着し別人のようになっていた。；また、他人の曲を別人の作と称していることが現在では判明している。；少し前までは狩野玉楽と同一人物とされていたが、現在は別人とされる。；書店での生理現象を指す現象の由来となった女性とは同名の別人である。；要求する競技者はそのカードを捨てた競技者と別人であっても構わない。；その後長年の間、マリリンとマーガレットは別人であると思われてきた。；しかし、現在では各作品の三悪はそれぞれ別人ということになっている。；しかも最初にモーレイ夫人を名乗って調査依頼してきた女は別人と判明する。；当時マーリンズには同姓同名の投手がいたが別人であり縁戚関係もない。；戦前・同年代に鉄一郎という俳優がいたが、別人かどうかは不明である。；そのことから、正体は以前とは別人で、2代目である可能性が指摘された。；扉の向うから現れた妻は、別人かと思われるほど、変り果てた姿であった。；いっぽうで主の兄弟ユダとユダ・タダイは別人であるとする伝承もある。；この他にも同名の優婆塞や人名があるが、これらももちろん別人である。；中にはそれら他の登場箇所のガイオとは別人であると断言している文献もある。；そこで二人は別人になりすまし、まんまと予約席を使うことに成功した。；所属事務所には兄と同じ読みの山中崇が在籍しているが、別人である。；夫が一晩家を空けた日、突然帰宅した夫シモンが別人のようであった。；ハヤテの魂の継承者であり別人であるが、性能をそのまま引き継いでいる。；この頃は、以前と別人と思えるほど話をする様になっていた。；本来別人の文章が本文の中に混入したためにこのようになっていると考えられる。；退団後もシン・カラのキャラクターを別人が継続するためとみられる。；そのため研究者の中には、宮本無二助と新免無二を別人と考える意見もある。；しかし現在では別人ではないかとされているなど、史実であるかは定かでない。；現在では両者が別人であることが明らかになっている。；RADWIMPSとはまったく別のバンドで、メンバーも別人とされている。；ゆえにオリジナルの個体とは別人であり、オリジナルの方は既に死亡している。</t>
        </is>
      </c>
      <c r="J7581">
        <f>HYPERLINK("https://www.weblio.jp/content/別人", "词义详情")</f>
        <v/>
      </c>
      <c r="K7581">
        <f>HYPERLINK("https://yourei.jp/別人", "查看例句")</f>
        <v/>
      </c>
    </row>
    <row r="7582">
      <c r="A7582" t="inlineStr">
        <is>
          <t>別荘</t>
        </is>
      </c>
      <c r="B7582" t="inlineStr">
        <is>
          <t>成功</t>
        </is>
      </c>
      <c r="C7582" t="inlineStr">
        <is>
          <t>読み方：べっそう
ふだん生活している家とは別に、避暑・避寒・休養などの目的で気候や風景のよい土地につくられた家。</t>
        </is>
      </c>
      <c r="D7582" t="inlineStr">
        <is>
          <t>別荘風；別荘番；別荘族；別荘所有；別荘群</t>
        </is>
      </c>
      <c r="E7582" t="inlineStr">
        <is>
          <t>ビラ；離宮；ヴィラ；別業；別墅</t>
        </is>
      </c>
      <c r="F7582" t="inlineStr">
        <is>
          <t>貸し別荘；小別荘；小さな別荘；西田別荘；古い別荘</t>
        </is>
      </c>
      <c r="H7582" t="n">
        <v>29</v>
      </c>
      <c r="I7582" t="inlineStr">
        <is>
          <t>彼女はこの別荘を子供の頃に訪れており、現在でもしばしば訪れている。；スペインやフランスなどの周辺の国の人々の別荘も多く存在している。；この博物館の建物は、かつてマンが過ごした別荘を利用したものである。；しかし、この別荘の改造は3世紀までつづけられたことが判明している。；一家四人は僅かな貯えを携えて、住んでいた街から別荘へとやって来た。；多くの別荘は規模が大きく先祖代々受け継がれているものも少なくない。；ヴォーリズの手になる別荘も数棟残っており、現在も使用されている。；さらに資料を置くための別邸、および郊外のクラパムの別荘を所有した。；ゴールは外国人にも人気の町であり、外国人の住居や別荘も多く存在している。；本来は胡一族の私的別荘であったが、1950年代に一般に公開された。；またハワイの別荘でも仲間も当たり前のように大麻を吸っていたという。；ナチス時代の別荘は調査の後に信仰の対象となるのを防ぐために爆破された。；突然ポアロはイギリスに帰国し、ロンドン西部の別荘病院を回り始める。；イタリアのヴィアレッジョ近郊に母から相続した別荘も所有していた。；そんな折、町に独身の青年資産家ビングリーが別荘を借りて越してきた。；両親が彼の養育のために建てた宇治川畔の別荘で花づくりをして育った。；またヨーロッパでは長期休暇や引退後の生活を別荘で送ることが多い。；一方、妻・文は自身の弟・塚本八洲の療養のため鵠沼の実家別荘に移住。；ミラノのマンションとリミニ付近の別荘の2つを拠点とした生活を送った。；特にシカゴの住民の中には、このガリーナの地に別荘を持つ者もいる。；彼が十分成長し別荘を所有したときですら、19マイルしか街を離れなかった。；すぐに多くの外国人の知るところとなり、彼らはこの地への別荘建設の許可を要求した。；そんな七生に「今年の夏は別荘にいく」という連絡が三件はいってきた。；そして上杉は今、別荘の中で大学ノートに今までの経緯を書いている。；またビーチのそばには別荘が次々と建設され、町の規模は大きくなる傾向にある。；ロングアイランドの12部屋のサンズポイントの別荘は妻の名義だった。；大倉は、組織から受けた綿密な指示に基づき、別荘で工藤の世話をする。；なお、報酬を得た後には、バカンスを湖畔の別荘で楽しみたかった模様。；同地は公共租界の外国人に人気の避暑地で、多く別荘が建てられていた。</t>
        </is>
      </c>
      <c r="J7582">
        <f>HYPERLINK("https://www.weblio.jp/content/別荘", "词义详情")</f>
        <v/>
      </c>
      <c r="K7582">
        <f>HYPERLINK("https://yourei.jp/別荘", "查看例句")</f>
        <v/>
      </c>
    </row>
    <row r="7583">
      <c r="A7583" t="inlineStr">
        <is>
          <t>別に</t>
        </is>
      </c>
      <c r="B7583" t="inlineStr">
        <is>
          <t>成功</t>
        </is>
      </c>
      <c r="C7583" t="inlineStr">
        <is>
          <t>読み方：べつに
［副］（多く下に打消しの語を伴う）取り立てて言うほどではないさま。これと言って特別に。別段。「—たいした用事ではない」</t>
        </is>
      </c>
      <c r="D7583" t="inlineStr">
        <is>
          <t>別にどうと；別に大した；別にそんな；別に悪い；別に存在する</t>
        </is>
      </c>
      <c r="E7583" t="inlineStr">
        <is>
          <t>特に；立てて；とりわけ；ことに；分けて</t>
        </is>
      </c>
      <c r="F7583" t="inlineStr">
        <is>
          <t>別に珍らしく；別に何とも思；別に珍らしい；別に怪しみ；別に臨時</t>
        </is>
      </c>
      <c r="H7583" t="n">
        <v>29</v>
      </c>
      <c r="I7583" t="inlineStr">
        <is>
          <t>別に秘密に計画したわけではなく、世間の人が気づかなかつたのである。；また総務、制作などの部門とは採用枠が別に設けられていることも多い。；それらの公演は全国公演とは別に新都市公演と銘打って開催されている。；現在知られている大陸とは別に、別な観点に立った大陸と呼ぶ対象もある。；また装飾とは別に武器が持つ一種の機能美に美術的価値が見出される。；これはユーロ圏全体で発行する記念硬貨とは別に発行されるものである。；上の分類とは別に、火山体周辺で起こるものを特別に分ける場合がある。；自動券売機はJR線用のものとTWR線用のものが別に設置されている。；市場での評価とは別に、工場内での評価は全く異なるものがあった。；一方、政府の動きとは別に陸軍でも総動員体制への準備が進んでいた。；これらとは別に以下のような年齢表現が用いられることもある。；これとは別に大外羽駅は、1986年までは一部列車のみ停車していた。；夜食は通常、夕食とは別に摂取されるものであり、夕食とは区別される。；なお、上記の説とは別に、永楽年間の明は積極的な拡張政策を取っていた。；これとは別に高句麗語をツングース語の一派とする伝統的な見解がある。；当時の技術ではCPUとは別にROMを置く方がコストが掛かっていた。；水平飛行用のエンジンとは別に、垂直離着陸専用のエンジンを持つもの。；その他にも改修機とは別に400機が川崎で生産されたとの資料もみられる。；同じ時期に九州の浄土宗の僧・一向俊聖も一遍とは別に踊念仏を行った。；それとは別に、ラインホルト・メスナーが類似したリストを提示している。；内容を巡って田原総一朗と論戦したものが別に本となって刊行されている。；それとは別に触診法で有効な脈拍数を別に数えておくのが重要である。；日本以外の法制化国に留学し、職業大学を卒業した者は別に存在する。；しかしながら、それ以外の大部分の動物では口とは別に肛門がある。；この主述関係とは別に、文の中心的な話題という要素を加えた話題文がある。；またこれらとは別に家兵などと呼ばれる節度使の私軍を抱えることが多い。；そのほかの部分も見学できるツアーもあるが、別に申し込みが必要となる。；上記の大会とは別に、周辺の州などをまたぐ地域カップ戦も存在する。；フロドはこれをきっかけに仲間とは別に行動することを選んだ。</t>
        </is>
      </c>
      <c r="J7583">
        <f>HYPERLINK("https://www.weblio.jp/content/別に", "词义详情")</f>
        <v/>
      </c>
      <c r="K7583">
        <f>HYPERLINK("https://yourei.jp/別に", "查看例句")</f>
        <v/>
      </c>
    </row>
    <row r="7584">
      <c r="A7584" t="inlineStr">
        <is>
          <t>別々</t>
        </is>
      </c>
      <c r="B7584" t="inlineStr">
        <is>
          <t>成功</t>
        </is>
      </c>
      <c r="C7584" t="inlineStr">
        <is>
          <t>読み方：べつべつ
［名・形動］それぞれ違っていること。一緒ではないこと。また、そのさま。「兄弟は—な（の）道に進んだ」「支払いは—にする」</t>
        </is>
      </c>
      <c r="D7584" t="inlineStr">
        <is>
          <t>別；別個；別箇；別別；截然たる</t>
        </is>
      </c>
      <c r="H7584" t="n">
        <v>29</v>
      </c>
      <c r="I7584" t="inlineStr">
        <is>
          <t>俳優ごとに別々に録音され、様々な部分を編集でつなぎ合わせたようだ。；これを何度も使用するには、配列名がそれぞれ別々でなければならない。；すでにその頃から他の仲間も含めて別々のバンド活動をはじめていた。；主人公が島の図書館を探索すると別々の場所に赤と青の2冊の本があった。；本作では、4人のキャラクターがそれぞれ別々の場所からスタートする。；軌道線と鉄道線はそれぞれ別々に形式が付けられているため同じ番号が存在する。；左右の手で別々の文章や絵を描くことができる両手両利きであった。；それは二重のシステムであり、音と映像は別々のフィルム上にあった。；同年の皇太子夫妻のポルトガル訪問にも夫妻は別々に寝所をとっている。；同年の王太子夫妻のポルトガル訪問にも夫妻は別々に寝所をとっている。；確実に儲けるため、複数の客に別々の買い目を伝えることもしばしばある。；ただし、一度ミックスした能力を別々の能力に切り離すことはできない。；この様に、東京市内の路面電車は3つの会社によって別々に整備された。；侵入者に気付いた警備員たちから追われた末に、二人は別々に脱出する。；郡ごとの行政サービスや選挙は、同じ市内であっても別々に行われる。；心意識として別々の働きがあるが、心の作用の区別に過ぎないと考える。；これを、違う目的に到達できる別々の道がある、と考えるのは誤りなのだ。；医療少年院を除けば、それぞれに男子と女子に別々の施設が設けられる。；なお名称は醸造されている地方ごとに別々の名が付けられている。；それぞれのピックアップは別々のアンプとスピーカーに接続されていた。；かつてのバントゥー語では別々だったクラスが合流したものである。；妻と娘を別々の犯人に、同時多発的に誘拐されてしまった主人公の男。；駅舎はJRと智頭急行で別々に設置されており、構内でつながっている。；ノルウェーのため領事を別々にする問題はすぐに再び取り上げられた。；これらの荘園はいくつかのグループに分けられ、別々に相続されていった。；それらの亜科は や により別々の科となっており、現在の科に相当する。；すぐに墓を暴いてみると事実だったので棺を新しく作って別々の場所に埋めた。；その場合しばしば別々に買った場合よりもやや割安の価格で発売されることが多い。；その後、それぞれのメンバーは他のプロジェクトに参加するため別々に活動した。</t>
        </is>
      </c>
      <c r="J7584">
        <f>HYPERLINK("https://www.weblio.jp/content/別々", "词义详情")</f>
        <v/>
      </c>
      <c r="K7584">
        <f>HYPERLINK("https://yourei.jp/別々", "查看例句")</f>
        <v/>
      </c>
    </row>
    <row r="7585">
      <c r="A7585" t="inlineStr">
        <is>
          <t>蛇</t>
        </is>
      </c>
      <c r="B7585" t="inlineStr">
        <is>
          <t>成功</t>
        </is>
      </c>
      <c r="C7585" t="inlineStr">
        <is>
          <t>読み方：くちなわ
《形が朽ちた縄に似ているところから》ヘビの別名。《季夏》</t>
        </is>
      </c>
      <c r="D7585" t="inlineStr">
        <is>
          <t>蛇神(3%)；蛇身；蛇人間；蛇みたい；蛇笏</t>
        </is>
      </c>
      <c r="E7585" t="inlineStr">
        <is>
          <t>ヘビ；大蛇；長蛇；スネーク；長虫</t>
        </is>
      </c>
      <c r="F7585" t="inlineStr">
        <is>
          <t>小蛇；白い蛇；黒い蛇；竜蛇；大きな蛇</t>
        </is>
      </c>
      <c r="G7585" t="inlineStr">
        <is>
          <t>蛇口；蛇腹；蛇の目；蛇足；蛇紋岩</t>
        </is>
      </c>
      <c r="H7585" t="n">
        <v>29</v>
      </c>
      <c r="I7585" t="inlineStr">
        <is>
          <t>彼らは外に出るときだけ、翼のある蛇の紋章を左胸につけていたという。；その形状が蛇の眼に似ていることから、蛇の目と呼ばれるようになった。；悟空が水蛇から花鴇になると真君はたまらず元の姿で矢を射ようとする。；アンドロメダ人が迎えにきたのかと思ったが、それらは蛇人間の船だった。；これらの蛇神の形象は中国での竜のモデルの一つとなったとも考えられている。；蛇を体に巻きつけ、三つの目を持つ象頭の人の姿をしているという。；馬や豚や蛇の皮を張ったさまざまな楽器や、口琴などと共に演奏される。；一方、黒い蛇の正体は、白い蛇を排除するべく生み出された蛇のコピー。；そこで神は炎の蛇を送ったので、かまれた人々の中から死者が出た。；別の大きな蛇はイスラム以前の宗教寺院に住んでいると言われた。；このとき神輿と一緒に白い蛇が上吉田の町を上から下へと下っていくという。；アメリカ大陸各地の蛇神伝承の原型となった神であることが示唆されている。；そして、この青い蛇も封印され、人々のもとには平和な日々が戻った。；蛇身となった清姫が鐘の中の安珍を焼き殺そうとする様子を描いたもの。；国中から医者が呼ばれたが誰も蛇を無害化することができない。；その痕は彼女が死んだ直後に一匹の蛇に姿を変え、花畑の中に消えていった。；この場合、虹は春に発生して秋に姿を消す虫や蛇のように考えられていた。；ピスハンドは蛇の体に4本の脚が付いた、非常に小さなドラゴンである。；名称の由来は池の形状が蛇に似ていたことに由来する。；その名が示すとおり、島を沖から眺めると、蛇が伏せた様な形をしている。；その多くは、大地の力を象徴する二匹の蛇が棒を這い上がる形になっている。；「医療費の現状を正すためには、私は鬼にも蛇にもなる」と言い切った。；一説によると大地から生まれたとされ、半身半蛇の姿であったといわれる。；このため、閨房の扉を開くと、部屋にはとぐろを巻いた蛇が満ちていた。；この柱の頂上部には3匹の蛇の頭に支えられた金のボウルがあった。；あのような歯を持っている蛇はそうそういませんし。；それは切っても切っても次々生えてくる蛇であった。；伝承では黒い怪鳥の姿であったり、蛇であったりと一定ではない。；蛇の紋章を持つこの世に六道魔界を建設することを目論む闇の密法集団。</t>
        </is>
      </c>
      <c r="J7585">
        <f>HYPERLINK("https://www.weblio.jp/content/蛇", "词义详情")</f>
        <v/>
      </c>
      <c r="K7585">
        <f>HYPERLINK("https://yourei.jp/蛇", "查看例句")</f>
        <v/>
      </c>
    </row>
    <row r="7586">
      <c r="A7586" t="inlineStr">
        <is>
          <t>部屋</t>
        </is>
      </c>
      <c r="B7586" t="inlineStr">
        <is>
          <t>成功</t>
        </is>
      </c>
      <c r="C7586" t="inlineStr">
        <is>
          <t>読み方：へや
１家の中をいくつかに仕切ったそれぞれの空間。座敷。室。間(ま)。「子供の—」
２ホテル・アパートなどで、宿泊したり生活したりするための一区画。「この宿でいちばん高い—」「一—予約する」
３「相撲部屋(すもうべや)」の略。
４江戸時代、諸大名の江戸屋敷で、中間(ちゅうげん)・小者(こもの)などの詰め所。
５殿中で、宮仕えの女の居間。局(つぼね)。
[下接語] （べや）相部屋・空き部屋・行灯(あんどん)部屋・牛部屋・大部屋・男部屋・女部屋・監獄部屋・子供部屋・小部屋・御用部屋・書生部屋・女中部屋・相撲部屋・鮹(たこ)部屋・供部屋・寝部屋・用部屋</t>
        </is>
      </c>
      <c r="D7586" t="inlineStr">
        <is>
          <t>部屋じゅう；部屋全体；部屋番号；部屋付き；部屋いっぱい</t>
        </is>
      </c>
      <c r="E7586" t="inlineStr">
        <is>
          <t>間；室；座敷；個室；お部屋</t>
        </is>
      </c>
      <c r="F7586" t="inlineStr">
        <is>
          <t>同じ部屋；広い部屋；暗い部屋；狭い部屋；どの部屋</t>
        </is>
      </c>
      <c r="G7586" t="inlineStr">
        <is>
          <t>部屋代；部屋住み；部屋子；部屋住；部屋内</t>
        </is>
      </c>
      <c r="H7586" t="n">
        <v>29</v>
      </c>
      <c r="I7586" t="inlineStr">
        <is>
          <t>周囲はほぼパーティションで覆われており独立した部屋状になっている。；合議制を取ることで各部屋の意向をある程度反映できるように改善した。；一方、当時のメインフレームは部屋全体を占めるほどのサイズであった。；自宅には父の仕事部屋があり、そこからはリハーサルの音が漏れていた。；私の耳には部屋中に響く彼女の明るく弾んだ笑い声がまだ残っています。；部屋に戻ると五郎が来ており、シュウが待つ北時計に行くように勧める。；さらに、施設も旧九重のものを継承し九重の方が部屋を出て行く形となった。；警察にこの件を届けた桔梗だが、部屋に戻ると間淵の死体は消えていた。；驚いた勢夜陀多良比売が矢を取って部屋に戻ると、矢は美男子となった。；瞑想する部屋には、家具など不要な物を並べない方がよいとされている。；アーカイブには、ケージが住んでいたニューヨークの部屋の演奏もある。；上の例では、現在の階には今のところ3つの部屋があることが判明している。；マンションで一人暮らしをしている女性の部屋に友人が遊びに来た。；部屋そのものでなく、そこで学ぶ人の集まりを教室と呼ぶことがある。；これが仇となり、火災の際に部屋から出られず客が死亡したケースもある。；東芝社長時代だって僕の部屋にだけはクーラーのスイッチを入れなかった。；より危険なバイオハザード物質を扱う部屋ほど、多くの対策が必要となる。；四季は部屋から出ることが無かったことから生まれた子供には名付けなかった。；部屋にいると彼はいつも、床に広げた地図の上を這いまわっていた。；パジャマ姿で部屋から出てくると、バットを持ったまま顔を洗いに行く。；また、階下席では壁に横長の鏡を設置して部屋の圧迫感を和らげている。；それぞれの部屋には住んでいる人物の性格を良く表している備品が置かれている。；そして、入門時に所属した部屋から、他部屋への移籍は原則認められない。；このため隠し部屋を備えた家が建てられたり魔女狩りが横行したりしていた。；大佐の死体はモーニングルームという、庭に出られる部屋で発見された。；内部の廊下と部屋は磨き上げられた花崗岩の壁と天井を持っている。；上京してすぐに暮らした部屋は、建築家の黒川紀章の設計したものだった。；該当部屋に所属する年寄の中の責任者の年寄名跡が部屋名に冠せられる。；小さな建物の地下らしき場所には多くの部屋が用意されていた。</t>
        </is>
      </c>
      <c r="J7586">
        <f>HYPERLINK("https://www.weblio.jp/content/部屋", "词义详情")</f>
        <v/>
      </c>
      <c r="K7586">
        <f>HYPERLINK("https://yourei.jp/部屋", "查看例句")</f>
        <v/>
      </c>
    </row>
    <row r="7587">
      <c r="A7587" t="inlineStr">
        <is>
          <t>減らす</t>
        </is>
      </c>
      <c r="B7587" t="inlineStr">
        <is>
          <t>成功</t>
        </is>
      </c>
      <c r="C7587" t="inlineStr">
        <is>
          <t>読み方：へらす
［動サ五（四）］
１物の数・量を少なくする。減じる。「負担を—・す」「体重を—・す」⇔増やす／増す。
２人をけなす。人をへこませる。
「人ヲ—・ス」〈日葡〉
[可能]へらせる</t>
        </is>
      </c>
      <c r="D7587" t="inlineStr">
        <is>
          <t>減らすべき；減らすべく；減らす可能性；減らすまい</t>
        </is>
      </c>
      <c r="E7587" t="inlineStr">
        <is>
          <t>減少；低下；縮小；削減；短縮</t>
        </is>
      </c>
      <c r="F7587" t="inlineStr">
        <is>
          <t>少しでも減らす；大きく減らす；磨り減らす</t>
        </is>
      </c>
      <c r="H7587" t="n">
        <v>29</v>
      </c>
      <c r="I7587" t="inlineStr">
        <is>
          <t>そのため、今作ではそれを防ぐため音の数では前作より減らされている。；わたしは負傷した足にかかる体重を少しでも減らそうと、姿勢を変えた。；このため、過密を解消するには面積を拡大するか人口を減らすしかない。；梅雨前に一度切り戻しを行うことで多少発生を減らすことが可能である。；その理由は、燃料消費を減らすために有利であるからというものであった。；人数は減らされたが、原告らはこれに同意、ようやく裁判が開始された。；そろそろ昼寝の時間は一日二時間から一時間半に減らそうと思います。；MRPシステムの目的は生産組織に必要とされるお金を減らすことである。；発見されたわずか1年後には、すべての列島は完全に人口が減らされた。；わずかでも抵抗を減らしたい競技用自転車に用いられることがある。；ロデオ協会は、動物のけがを減らすために数回ルール変更を行ってきた。；だがこの一件は逆にナチ党への得票を一層減らしただろうと見られている。；スターク隊は病気や幾つかの中隊が離脱したためにその数を減らしていた。；だが、このありさまでは、楽しみも減らさなくてはならないかもしれぬ。；結婚後は女優活動を減らしつつ、夫をサポートする形で福祉活動に貢献。；戦争で大正や昭和のはじめに生まれた男たちが滅茶滅茶に数を減らされた。；不適切であると運営側が判断したスレを立てるとポイントが減らされる。；どこまでも盗賊たちと戦いながら、すこしでも盗みを減らそうと望んだ。；このスペースを確保するため、社員の席数は旧本社より3割減らされた。；食事の話ばかりになったのは食料がますます減らされたためだった。；彼女にできるだけ金を出させるためには、彼女に収入を減らさせてはならない。；デジタルピアノだけでなく家具をいくつか減らさなければならなかった。；また、校訂は作品ごとに同じ人が担当し、ミスを減らすようにしている。；人が来なければ金も来ないし、人は動かなければ腹も減らさない。；側近は当初常に八人もいたが、大幅に減らされて二人になっている。；十五万石の封地だけは一合も減らさず持ちつづけて子孫に伝えた。；しかしその数を減らしたとはいえ大陸への突撃作戦は継続された。；しかし、これらの業態は自動車社会の拡大ともに徐々に数を減らした。；かつてより数を減らしてはいるが、乗用車の乗降用ドアにも採用例がある。</t>
        </is>
      </c>
      <c r="J7587">
        <f>HYPERLINK("https://www.weblio.jp/content/減らす", "词义详情")</f>
        <v/>
      </c>
      <c r="K7587">
        <f>HYPERLINK("https://yourei.jp/減らす", "查看例句")</f>
        <v/>
      </c>
    </row>
    <row r="7588">
      <c r="A7588" t="inlineStr">
        <is>
          <t>べらべら</t>
        </is>
      </c>
      <c r="B7588" t="inlineStr">
        <is>
          <t>成功</t>
        </is>
      </c>
      <c r="C7588" t="inlineStr">
        <is>
          <t>［副］(スル)
１立て続けに勢いよくしゃべるさま。「—（と）まくしたてる」
２布などが薄くて張りのないさま。「—（と）した安物の生地」
３悠長なさま。
「此半兵衛は蔵に—何していやる」〈浄・宵庚申〉
［形動］2に同じ。「—なカーテン」
［アクセント］はベラベラ、はベラベラ。</t>
        </is>
      </c>
      <c r="D7588" t="inlineStr">
        <is>
          <t>べらべらしゃべり(7%)；べらべらしゃべる(5%)；べらべら喋る(4%)；べらべらとまくしたて(2%)；べらべらとよく</t>
        </is>
      </c>
      <c r="H7588" t="n">
        <v>29</v>
      </c>
      <c r="I7588" t="inlineStr">
        <is>
          <t>別れた男のことをべらべらとしゃべるような節操のない女じゃないよね?；二人はそれほどべらべら話すわけでもなく、穏かな顔で杯を空け続けた。；つまり、この家では父親と息子があまりべらべらと喋りあうことがない。；それでさ、わたしのほうは高沢くんのことをべらべら喋っちゃったわけ。；わたくしはいつもは決してこのようなことをべらべら喋る人間ではないのです。；何をきいても知らんのもあるし、よけいなことべらべら喋るのもある。；あとおまえ、妹の特殊な御趣味をそんなべらべら他人に喋っちゃっていいの?；だからべらべらと、あんな風に俺に語っていたんじゃないのか?；俺が気のない返事に終始していると、今度はべらべらと自分のことを話し始めた。；あなた、べらべらしゃべってばかりいて、一つ忘れていることがあるわよ。；嘘をつく必要もないかわりに、余計なことをべらべらしゃべる必要もない。；下足番は米に口止めをせられた事も忘れて、べらべらと喋ってしまった。；あなたのことをべらべらと彼女にしゃべったなんて、本当に憶えがないの。；本人にべらべらしゃべらないだけの良識のある子だからね、あんたは。；等々力警部の質問を待つまでもなく、啓吉はべらべらしゃべりはじめた。；警官がやって来るまでの間、本人が俺たちに向かってべらべら喋ったからだ。；そんな彼の様子に気づかないのか、男は知っていることをべらべらとしゃべり続けた。；あいさつもなく他人のうちへぬうとはいって、なにをべらべらやっているんだ。；死に掛けなのにべらべら喋ったから意識が遠くなってきた。；女ばかりじゃあない、男でもあんまりべらべら喋るやつに悧巧なやつはない。；あれ程の容色にべらべらしたものでも着せて見たいが親の人情だ。；どんなにべらべらしゃべっている最中でも、冷たい眼をじっとすえている。；自分が見たことも聞いたこともないような知識をべらべらとまくしたてるような女は論外だった。；あの金縁目金を掛けて、べらべらした着物を着ていた人よ。；いやあ、おまえの兄貴が聞いてもねえのに妹の御趣味をべらべら喋ってなあ。；気を許しているから、べらべらとしゃべって見たのだろうか。；その横に年の頃は十七八で君とか僕とか生意気な事をべらべら喋舌ってるのはこの近所の書生だろう。；そういう者たちがおまえのような奴の口を借りてべらべら喋ったりするものかとおっしゃるのですね。；口外法度なら、なぜそうべらべらと簡単に喋るのかを尋いてるんですよ。</t>
        </is>
      </c>
      <c r="J7588">
        <f>HYPERLINK("https://www.weblio.jp/content/べらべら", "词义详情")</f>
        <v/>
      </c>
      <c r="K7588">
        <f>HYPERLINK("https://yourei.jp/べらべら", "查看例句")</f>
        <v/>
      </c>
    </row>
    <row r="7589">
      <c r="A7589" t="inlineStr">
        <is>
          <t>ぺらぺら</t>
        </is>
      </c>
      <c r="B7589" t="inlineStr">
        <is>
          <t>成功</t>
        </is>
      </c>
      <c r="C7589" t="inlineStr">
        <is>
          <t>［副］(スル)
１軽々しくよくしゃべるさま。「人の秘密を—（と）話してしまう」
２外国語をよどみなく自由に話すさま。「英語で—（と）答える」
３続けざまに紙をめくるさま。「—（と）ページをくる」
４紙や布が薄くて弱いさま。「こんな—した紙では困る」
［形動］
１2に同じ。「彼は英語のほかにスペイン語も—だ」
２4に同じ。「安っぽい—な生地」
［アクセント］はペラペラ、はペラペラ。</t>
        </is>
      </c>
      <c r="D7589" t="inlineStr">
        <is>
          <t>ぺらぺらしゃべり(3%)；ぺらぺらとしゃべり(2%)；ぺらぺらしゃべる(2%)；ぺらぺら喋る(2%)；ぺらぺらとまくしたて</t>
        </is>
      </c>
      <c r="E7589" t="inlineStr">
        <is>
          <t>細い；薄い；薄っぺら；か細い；痩せぎす</t>
        </is>
      </c>
      <c r="H7589" t="n">
        <v>29</v>
      </c>
      <c r="I7589" t="inlineStr">
        <is>
          <t>自然と僕が一人でぺらぺらとマニアックな話を続けてしまうことになる。；あとはマオがぺらぺらと、広東語で話すのを横から見ているだけだった。；すると、とたんに元気になって、彼は舌をぺらぺらと回転させはじめた。；どうでもいいことだったら日頃の三郎ならぺらぺら喋っているだろう。；偏差値の高い友人とは聞いていたが、英語までぺらぺらだとは思わなかった。；いつもなら頼まれもしないことまでぺらぺらしゃべってくれるのだが。；何百年と生きてきた木をぺらぺらにはいでしまったら、それはもう木ではない。；辰五郎は自分でもわけのわからないことをぺらぺらとやりだした。；ぺらぺらの白シャツを着てやつがきたのは、週が明けた月曜日の夕方だった。；僕の耳には、まだ東京の詞は慣れていないのに、話家はぺらぺらしゃべる。；彼のほうからぺらぺらと薄い舌を動かしたわけではない。；細長くてまっすぐに通った鼻筋が、体がぺらぺらの西洋犬を彷彿させた。；みんな留学経験があるので英語はぺらぺら、仕事を必ずといっていいぐらい持っている。；ぺらぺらと紙をなめる青い焔を見ていると、云い知れぬ涙が出て来た。；かなりぺらぺら喋れるみたいなんだけど、字を読むのはまだ苦手らしくてさ。；金紙の眼玉が爛々と陽に輝き、赤く長い舌がぺらぺらと微風に翻つた。；ぺらぺらとまだしゃべる彼の顔を見ずに、私は心の中で毒づいた。；しかしそれをぺらぺらとしゃべる正直さは買ってやっていい。；そうでなければ、自分があんなふうにぺらぺら打ち明け話をするはずない。；何か、紙のようなぺらぺらなものになった気がした。；「あんな薄っぺらぺらの文章で何が伝わるとお思いか」 とまでは言わなかった。；繊維がぺらぺらしているからさ、光が反射すると女の人の肌がくすんで見えるんだ。；だが、里奈がひと汗かいた後にぺらぺらしゃべっては今度こそ私の命はないかもしれない。；小田垣が黙っていても、勝手にぺらぺらと口を動かし続ける。；日本人の奥さんがいるそうで、日本語がぺらぺらでした。；さっきの話の続きですけど、いろいろ回った中で、一番ぺらぺら喋ってくれたのは誰だと思いますか?；ぺらぺらで、うすっぺらくても、一人は決して無力ではないのだって。；それをきれにしみこませて火をつけると、火さきがぺらぺらと青くなります。；年齢の話が契機になって、娘はぺらぺらと身の上話をおっぱじめた。</t>
        </is>
      </c>
      <c r="J7589">
        <f>HYPERLINK("https://www.weblio.jp/content/ぺらぺら", "词义详情")</f>
        <v/>
      </c>
      <c r="K7589">
        <f>HYPERLINK("https://yourei.jp/ぺらぺら", "查看例句")</f>
        <v/>
      </c>
    </row>
    <row r="7590">
      <c r="A7590" t="inlineStr">
        <is>
          <t>縁</t>
        </is>
      </c>
      <c r="B7590" t="inlineStr">
        <is>
          <t>成功</t>
        </is>
      </c>
      <c r="C7590" t="inlineStr">
        <is>
          <t>読み方：えに
《「えん（縁）」の「ん」を「に」で表記したもの》えん。ゆかり。ちなみ。和歌では「江に」に掛けて用いることが多い。
「みをつくし恋ふるしるしにここまでもめぐり逢ひける—は深しな」〈源・澪標〉</t>
        </is>
      </c>
      <c r="D7590" t="inlineStr">
        <is>
          <t>縁種(3%)；縁取り(2%)；縁取ら；縁部；縁なし</t>
        </is>
      </c>
      <c r="E7590" t="inlineStr">
        <is>
          <t>家；間；際；関係；側</t>
        </is>
      </c>
      <c r="F7590" t="inlineStr">
        <is>
          <t>前縁；後縁；林縁；全縁；法縁</t>
        </is>
      </c>
      <c r="G7590" t="inlineStr">
        <is>
          <t>縁起；縁談；縁者；縁故；縁戚</t>
        </is>
      </c>
      <c r="H7590" t="n">
        <v>29</v>
      </c>
      <c r="I7590" t="inlineStr">
        <is>
          <t>これらのほとんどは、かつてはカラス属に近縁だろうと考えられていた。；羽縁が白い羽がササの葉に見え、和名の由来になったと考えられている。；近縁の化学物質であっても別のグループに分類されている場合がある。；その縁で福林正之にも紹介され、坂井の著書が出版されることになった。；近年では縁なし畳と同様、見栄えの良さから様々な場所に使用されている。；縁あって入った球団の指導者は何をしていいかいけないかを選手に教えるべき。；日没時刻は、太陽の縁が西の地平線の下に沈んだ瞬間として定義される。；近縁種を見分けるには背びれと側線の間にある鱗の列がポイントとなる。；複数の研究から、現存する最も近縁な種はミノバトと示唆されている。；しかしその後ふたたび、スズメ小目に近縁である可能性も指摘されている。；子供には・若木がおり、いずれも鳥と縁のある一族であると伝えられている。；古くはチドリ科 と近縁だと考えられたこともあったが、特に近縁ではない。；カッコウ目も に含まれるが、エボシドリ目とそれ以上には近縁でない。；彼女はどこもすぐに暇を出されるので、奉公先に縁がないとのことだった。；なお、近縁の数亜科にまたがる種類の魚をまとめてプレコと呼んでいる。；更に最高司令室は、スーパーレーザー・デッシュの縁に位置していた。；キヌバネドリ目と近縁な目との系統関係は次のようになっている。；縁と再会した後は15年前に巴を斬殺した罪に再び苛まれることとなる。；ほとんどの種で葉縁は全縁であるが、ユリノキ属では大きな陥入がある。；古代断層の多くはプレートの縁よりもプレートの中にあると見られている。；またペルシャの伝説に登場する巨鳥、シームルグとも近縁のものである。；マスクの白い縁取りの目の部分が尖っていないタイプの戦闘員もいる。；近縁種も含めサバ科の仲間でも特に前後に細長い体型で、左右に平たい。；姉と日本人男性の拉致事件を若宮が演劇化したことが縁であるという。；さらに近縁種のユウレイボヤでもゲノムプロジェクトが行われている。；これらは赤花の園芸品種であったが、近縁の品種であったと考えられている。；当寺に多くの日蓮の遺文が遺されているのはその縁であると言われている。；最も近縁な種はわずかに古い時代に生息したである。；没後も團の名を被せたコンサートが開かれるなど、八丈島との縁は深い。</t>
        </is>
      </c>
      <c r="J7590">
        <f>HYPERLINK("https://www.weblio.jp/content/縁", "词义详情")</f>
        <v/>
      </c>
      <c r="K7590">
        <f>HYPERLINK("https://yourei.jp/縁", "查看例句")</f>
        <v/>
      </c>
    </row>
    <row r="7591">
      <c r="A7591" t="inlineStr">
        <is>
          <t>謙る</t>
        </is>
      </c>
      <c r="B7591" t="inlineStr">
        <is>
          <t>成功</t>
        </is>
      </c>
      <c r="C7591" t="inlineStr">
        <is>
          <t>読み方：へりくだる
［動ラ五（四）］相手を敬って自分を控えめにする。謙遜(けんそん)する。卑下する。「—・ったものの言い方」</t>
        </is>
      </c>
      <c r="D7591" t="inlineStr">
        <is>
          <t>遠慮する；卑下する；顔色をうかがう；気兼ねする；かしこまる</t>
        </is>
      </c>
      <c r="H7591" t="n">
        <v>29</v>
      </c>
      <c r="I7591" t="inlineStr">
        <is>
          <t>そうやって謙って頭を下げるのが我慢ならないんでしょ。；おそらく謙る心のみが、彼らの仕事を清め深めるでありましょう。；動作の主体を謙す言い方であり、主体=話し手の場合には自分が謙ることになる。；それを辛く思えたのはドストエフスキーの博さと謙りとである。；されば、心を締め気を許さず、謙って勉強をすれば、仕事は段々と上がって行く。；主に武士、侍、忍者などが自分のことを謙って使用する。；洪熙帝は刑事司法に慎重であったが、虞謙らは司法の公平であることを求めた。；彼は謙るより外に行き道がなきに至った。；ブロックの交わした文書を見れば、ブロックがインディアンを父親のような謙りでみていたことが分かるが、テカムセ自身を非常に高く評価していた。；無駄に謙る理由などどこにもない。；さうして未だ見えざるものを未だ見えずとして、謙り、嘆き、仰ぎ見る。；また謙りの重要性は早課のルカ福音書の詠みでも強調されている。；士と接する時はどのような相手でも偏見を持たずに謙って待遇し、善道について諮問したという。；謙るもの、質素なもの、飾らないもの、それは当然人間の敬愛を受けてよいのである。；また、警護の対象者は白分よりも年上で地位が上のことも多いだろうから、謙った態度と物言いになるのも、これまた当然だ。；卑下はせぬが、謙った思いで生きている。；さもなくば自己に帰って、客観的には謙ってすべてに顕わるる神を見、主観的には自己を核にして内にも外にも好きな世界を創造すべく努めるか。；友達でも作れればまた違っていたのだろうが、親の言葉を引き移し、女郎の子、父なし子と自分を蔑む連中を相手に、謙ってみせるつもりは毛頭なかった。；次いで橋口夫人も入ったが、これが又今の仇討ちの積りか、妙に敷居際を恋しがって端近に謙った。；陸遜は謙った態度の手紙を送って関羽の軍功を称えた。；海上自衛隊では勤務年数に乏しい若い尉官が、本来は階級が上でありながら現場での経験の差から年長の海曹に謙り、場合によっては必要以上な忖度なども発生している現実こそが問題であり、そういった士官が曹士を指導出来ないからといって先任伍長を置くのは本末転倒であるとの意見を主張している者もいる。；虞翻は、謙った内容の上書をして陳謝し、その中で虞翻が自分のことに関して深く反省した。；卞太后の計らいで曹洪は死罪を免れた事を喜び、謙った内容の上書をして陳謝したという。；なお無闇に謙って迎える側の誘導を無視して下座に陣取ると出口が近い事もあり「おまえの所は不快なのですぐ帰る」という意思表示に取られかねないため、注意が必要である。；春琴を九天の高さに持ち上げ百歩も二百歩も謙っていた佐助であるからかかる言葉をそのまま受け取る訳には行かないが、技の優劣はとにかくとして春琴の方がより天才肌であり佐助は刻苦精励する努力家であったことだけは間違いがあるまい。；イエスも述べました通り、心の謙る者、貧しき者に、天国は近く寄り添うているのであります。；また、慕容皝へ対しては謙った返書を送った。；また、最澄や親鸞のように「禿」の字を用いて自称するなど、僧みずからが謙って称する場合もある。；しかし、9時に石礼謙ら建制派の議員が会議室に入り、会議を乗っ取ろうとしたため、議員の間でもみ合いになり、建制派の議員は数分後に退室、休憩室に1時間ほどとどまった後会議室4で議論した。</t>
        </is>
      </c>
      <c r="J7591">
        <f>HYPERLINK("https://www.weblio.jp/content/謙る", "词义详情")</f>
        <v/>
      </c>
      <c r="K7591">
        <f>HYPERLINK("https://yourei.jp/謙る", "查看例句")</f>
        <v/>
      </c>
    </row>
    <row r="7592">
      <c r="A7592" t="inlineStr">
        <is>
          <t>減る</t>
        </is>
      </c>
      <c r="B7592" t="inlineStr">
        <is>
          <t>成功</t>
        </is>
      </c>
      <c r="C7592" t="inlineStr">
        <is>
          <t>読み方：へる
［動ラ五（四）］
１数・量・程度などが少なくなる。とぼしくなる。「収入が—・る」「水かさが—・る」⇔増える／増す。
２すりへる。摩耗する。「タイヤが—・る」「靴が—・る」
３（「腹が減る」の形で）空腹である。「腹が—・っては戦(いくさ)はできぬ」
４（打消しの語を伴って用いる）気おくれする。ひるむ。臆する。「口の—・らない若僧だ」
「祐慶は少しも—・らず」〈盛衰記・五〉</t>
        </is>
      </c>
      <c r="D7592" t="inlineStr">
        <is>
          <t>減るだろ；減るかもしれ；減る可能性</t>
        </is>
      </c>
      <c r="E7592" t="inlineStr">
        <is>
          <t>減少；低下；落ちる；衰退；縮小</t>
        </is>
      </c>
      <c r="F7592" t="inlineStr">
        <is>
          <t>磨り減る；減るということ；大きく減る；それだけ減る；少し減る</t>
        </is>
      </c>
      <c r="H7592" t="n">
        <v>29</v>
      </c>
      <c r="I7592" t="inlineStr">
        <is>
          <t>唯一異なるのが、戦後再開の時点での参加校が減ってしまった点がある。；これによって多くの工場が生産が減りその中には閉鎖されたものもある。；長く使用していると磨り減るので、そのときは交換しなければならない。；野犬が増えてヤンバルクイナを食べて減ってきているとも言われている。；研究所に行く頻度が減るとすぐに、家を出ることがほとんどなくなった。；もともと歩荷の仕事をしていた人も歳をとり退職し、数が減っていった。；場所間の距離が長くなると、各地点で測定された風速の相関関係は減る。；しかし、第四期でエリオスに恋をすると二人の邪魔をすることは減った。；ただし、近年は市場への供給が減っており、貴重な木材となりつつある。；リリーフとしての起用が増えたため、勝ち数は減ったが登板数は増えた。；喜劇的な要素が減って正攻法のドラマになっているため、批判を受けた。；森林や河沿いの草場などが主で、収入は少しも減らなかったわけなんです。；人気商売ですから、恋愛の話が出れば出るほどお客さんは減りますよね。；しかし、これで離婚の率が減るかどうかは、ちょっと判断をゆるすまい。；偶然相打ちしたとしても、相手の大尉が確実に減った事しか分からない。；それぞれ進めるところやパラメーターの減り方などの能力や性能が違う。；またリーグ中マジックナンバーは減ることはあっても増えることはない。；このため、持ち点を賭けた時点では持ち点が減らないルールになっている。；そのため今後観客を入れてのレースが再開されても運行本数が減る。；このため今後観客を入れてのレースが再開されても運行本数が減る。；光と闇はお互いに強い関係になっている為、ダメージが減る事はない。；できたとしてもそれは、相手の数が半分にでも減らない限りは無理だ。；指じゃあ、自己は減らないかもしれないが、首ならどうなんですかね。；こんなに分解してみると、違った音の数はもっと減るのであります。；減らないところで見るとほかの旦那様は旦那様らしくしているに違ない。；みんな道也のようだとすれば、この先結婚をする女はだんだん減るだろう。；と、こういう具合にすれば、いつまでたってもおしるこは減らないのだ。；ゲーム中は制限時間が設けられており、0になるとライフが1個分減る。；日本の人口が増えていったのに、映画人口が減っていったのはなぜか。</t>
        </is>
      </c>
      <c r="J7592">
        <f>HYPERLINK("https://www.weblio.jp/content/減る", "词义详情")</f>
        <v/>
      </c>
      <c r="K7592">
        <f>HYPERLINK("https://yourei.jp/減る", "查看例句")</f>
        <v/>
      </c>
    </row>
    <row r="7593">
      <c r="A7593" t="inlineStr">
        <is>
          <t>経る</t>
        </is>
      </c>
      <c r="B7593" t="inlineStr">
        <is>
          <t>成功</t>
        </is>
      </c>
      <c r="C7593" t="inlineStr">
        <is>
          <t>読み方：へる
［動ハ下一］［文］ふ［ハ下二］
１時日が過ぎる。時がたつ。「20年の歳月をへて工事が完成した」
２その場所を通る。通過する。経由する。「アメリカをへてヨーロッパへ行く」
３ある定まった過程・道筋を通る。「委員会の審議をへる」「多くの困難をへて成功した」</t>
        </is>
      </c>
      <c r="D7593" t="inlineStr">
        <is>
          <t>経ることなく(6%)；経る毎；経るべき</t>
        </is>
      </c>
      <c r="E7593" t="inlineStr">
        <is>
          <t>経験；知る；与える；通過；通る</t>
        </is>
      </c>
      <c r="F7593" t="inlineStr">
        <is>
          <t>経れば経る</t>
        </is>
      </c>
      <c r="H7593" t="n">
        <v>29</v>
      </c>
      <c r="I7593" t="inlineStr">
        <is>
          <t>情報処理の過程では大別して情報整理・分析・総合・結論の過程を経る。；この大部分の水は高圧力の氷の段階を経るだろうと考えられている。；両者とも、一定の期間を経れば完全な人間になるとされることもある。；しかも日を経るに従って、この感はいよいよ深くならざるを得なかった。；時代を経るに従い装飾性が増し、現在は、銀や金で作られる場合が多い。；行政と民意との一致を見るまでに極めて多様な開発の展開を経ることが多い。；通常、この過程を経ることで有効な抗菌薬を絞り込むことが可能となる。；進化は、生物の形質が世代を経る中で変化していく現象のことである。；それでも日を経るにしたがって、彼の元気もだんだんに回復して来た。；この結果、全エルフの中で彼女のみが真の死を経ることになったのであった。；ところが時代を経ると、評価のされ方もまったく異なるものとなる。；専門家の言によると呑んでから約一時間を経れば全く絶息するそうだ。；中国の造船技術は進化しており、競争力も年を経るごとに高まっている。；皮膚の色は生まれた時は茶色だが、年を経るごとに灰色がかってくる。；かかる記録は多くの人の手を経るので、当分の間は皇帝の手許に達しない。；法王の初代彼得よりこの法王に至るまで、二百六十三代を経るという。；時間さえ経れば、以前と同じような姿を見ることができるだろう。；しかし、1つの細胞に複数の核が存在する状態を経る生物も多く知られている。；悩みを経るごとに少しづつ活路か開けて来るかのやうな感じであつた。；今後年月が経ると共にその愛慕がいや募ってゆくのを私は知っている。；理事会の承認を経れば正式に予算をつけることができますからね。；あれはもう百万回も眠りを経る前のことでございました。；以上のような訓練を経ることによって精神分析家となることができる。；フィルンの層は一定の年月を経ると、さらに圧縮されて氷河の氷となる。；したがって、宿主への被害は世代を経るうちに小さくなる例がある。；そうして、数十日を経るあいだに虫はだんだんに生長して犬よりも大きくなった。；袈裟や法衣をつけている者の正体はたしかに年経る狐に相違なかった。；彼らは反応の速度が鞍部を経る系の運動によって決定される、と結論付けた。；比較的複雑な発生過程を経るために下大静脈には異常や変異が多い。</t>
        </is>
      </c>
      <c r="J7593">
        <f>HYPERLINK("https://www.weblio.jp/content/経る", "词义详情")</f>
        <v/>
      </c>
      <c r="K7593">
        <f>HYPERLINK("https://yourei.jp/経る", "查看例句")</f>
        <v/>
      </c>
    </row>
    <row r="7594">
      <c r="A7594" t="inlineStr">
        <is>
          <t>変</t>
        </is>
      </c>
      <c r="B7594" t="inlineStr">
        <is>
          <t>成功</t>
        </is>
      </c>
      <c r="C7594" t="inlineStr">
        <is>
          <t>読み方：へん
［音］ヘン（呉）（漢）　［訓］かわる　かえる
［学習漢字］4年
１それまでとは別の状態になる。かわる。かえる。「変化・変革・変形・変更・変色・変身・変遷・変動／一変・応変・激変・神変・千変・転変・豹変(ひょうへん)・不変」
２突然起こる異常な出来事。「変乱／異変・凶変・事変・政変・大変・天変地異」
３普通でない。「変死・変人」
４音楽で、本位音より半音低い音。「変音・変記号」</t>
        </is>
      </c>
      <c r="D7594" t="inlineStr">
        <is>
          <t>変つて(3%)；変てこ(2%)；変な顔；変光；変な気</t>
        </is>
      </c>
      <c r="E7594" t="inlineStr">
        <is>
          <t>特別；不思議；妙；奇妙；異常</t>
        </is>
      </c>
      <c r="F7594" t="inlineStr">
        <is>
          <t>相変；変ホ長調；薬子の変；変異型；変てこりんな</t>
        </is>
      </c>
      <c r="G7594" t="inlineStr">
        <is>
          <t>変化；変え；変わら；変わり；変わる</t>
        </is>
      </c>
      <c r="H7594" t="n">
        <v>29</v>
      </c>
      <c r="I7594" t="inlineStr">
        <is>
          <t>変法運動は支持基盤があまりなく、広い支持を得ることはできなかった。；つまり変法とは、それまでの伝統的な政治外交礼制などの大変革を指す。；また両方の変光タイプが混合した脈動を起こしている天体も発見された。；普通種だが世間に知られていない虫であり、かつ変な虫の代表といえよう。；回転変光星の変光範囲は小さいものが多いので、眼視観測には適さない。；この変が起きなければ、後の大友宗麟は存在していなかったといえる。；パンドラの過去に干渉し良くも悪くも未来が変れる可能性は存在する。；関係無い時に関係無い夢を見せても「変な夢だった」で済まされてしまう。；しかし、光電測光を用いなくても写真観測で僅かに変光するのが分かる。；しかし20世紀半ばになるとこの星の変光の幅は急速に減少した。；僕が口を開けたらきっと変に思われるだろうと考えていた。；回転変光星でありごくわずかに変光するが、眼視観測では変光はわからない。；「負けられないということを変に意識してしまった」と敗北を認めている。；先の2段階をひとつにまとめた、酢酸を用いる変法も報告されている。；しかし中国には変法維新が必要と確信して、天津で教育事業を始めた。；ただし変光範囲が小さいので眼視観測では光度変化はわからない。；さらに各方法には変爻の有無や位置を選ぶ操作があり状況変化を表現する。；しかしアーサーのみ移送先が変更されてしまい、変な岩の大ホールに出る。；例えば恒星を極方向から観測している場合は変光の幅は小さくなる。；変法運動の時期には、女性解放運動の草分けにあたる運動も展開された。；目的に応じて、一部の公式を省いたり、別の公式にするなどした変法も多い。；この天は、他人の変現する楽事をかけて自由に己が快楽とするからこの名がある。；しかし、管楽器で演奏する場合を想定すると変ホ長調のほうが適当である。；それによると、夜になると神父の部屋から変な音が聞こえてきた。；一方Aは人知れず悪いことをした後のような変に淋しい気持ちが残っていた。；これほど男女差が歴然とする通変も少なく、男女で事象の予想に違いが出る。；ネットで流れたら変な連中に知られて邪魔されたり危険なことになったりしかねないから。；社会制度上憲法刑事訴訟法との関係はまさに通変の関係の反映である。；変法運動の時期には、当時最先端の思想である社会進化論の紹介も行われた。</t>
        </is>
      </c>
      <c r="J7594">
        <f>HYPERLINK("https://www.weblio.jp/content/変", "词义详情")</f>
        <v/>
      </c>
      <c r="K7594">
        <f>HYPERLINK("https://yourei.jp/変", "查看例句")</f>
        <v/>
      </c>
    </row>
    <row r="7595">
      <c r="A7595" t="inlineStr">
        <is>
          <t>辺</t>
        </is>
      </c>
      <c r="B7595" t="inlineStr">
        <is>
          <t>成功</t>
        </is>
      </c>
      <c r="C7595" t="inlineStr">
        <is>
          <t>読み方：へ
［名］
１そのものにごく近い場所、また、それへの方向を示す。近く。ほとり。あたり。
「大君の—にこそ死なめ」〈続紀・聖武・歌謡〉
２（多く「沖」と対句になって）海のほとり。うみべ。
「沖見ればとゐ波立ち—見れば白波さわく」〈万・二二〇〉
［接尾］名詞、動詞の連体形の下に付く。普通「え」と発音され、また濁音化して「べ」ともなる。
１その辺り、その方向などの意を表す。「片(かた)—」「行(ゆ)く—」「海—(うみべ)」「水—(みずべ)」
２その頃の意を表す。「去(い)にし—」「春—(はるべ)」「夕—(ゆうべ)」</t>
        </is>
      </c>
      <c r="D7595" t="inlineStr">
        <is>
          <t>辺一帯；辺防；辺約；辺区；辺沿海村順</t>
        </is>
      </c>
      <c r="E7595" t="inlineStr">
        <is>
          <t>際；側；近く；あたり；横</t>
        </is>
      </c>
      <c r="F7595" t="inlineStr">
        <is>
          <t>一辺；どの辺；此辺；各辺；東辺</t>
        </is>
      </c>
      <c r="G7595" t="inlineStr">
        <is>
          <t>辺境；辺境伯；辺鄙；辺縁；辺見</t>
        </is>
      </c>
      <c r="H7595" t="n">
        <v>29</v>
      </c>
      <c r="I7595" t="inlineStr">
        <is>
          <t>例えば は一辺に点を個並べたときに該当するので三角数の一つである。；短い辺に9本ずつ、長い辺に11本ずつ柱が配されたと考えられている。；五以上の正多角形の各辺を左右に延ばした図形を芒星と呼ぶ場合がある。；複数の頂点を結ぶ直線の辺と、その辺に囲まれた面によって構成される。；TATSUJI選手はその辺を越えないと、世界に行っても活躍できない。；そのほかには寺域区画線と見られる溝が寺域東辺・南辺で見つかっている。；これらの辺はそれぞれ、やや小さな鱗に接し、ロゼットを形成している。；この辺は作者である江口の趣味が色濃く反映されているものである。；ポーランドなどのものは逆に左上辺が長く上に伸び、側頭部を守る。；辺の長さが明示的に与えられていない限り、道の長さは道中の辺の数である。；本形式は終始手宮近辺で使用され、早くに入換用となっていたようである。；恒子に女は男衆が食事を済ませてから頂く、この辺の習慣だと言われる。；だから、日本語がわからないのに、その辺をすごく気を使ってくれた。；三角形の辺の長さを計算できることは、特に建築において重要である。；この公園の東辺をなすパウリーネン通り沿いにゼーンライン邸がある。；当駅は鞍手町の東辺部に位置し町中心部から2kmほど離れた場所に存在する。；そのためにその辺はほとんど茶屋ばかりになり、他業の家はほとんどなかった。；条里制においては、一辺の長さが1町の正方形の面積を1町としていた。；陣の大きさは一辺数メートル程度が一般的である。；それぞれの辺に関連した複数の重みが存在するかもしれない。；丸めて左右の辺を張り合わせて円柱面にし、あとは同じようにすればいい。；辺 の対角が直角 であるとき となり を含む第一余弦定理は のようになる。；正四面体の各面と各辺の中心を持ち上げたような形にもなっている。；これらすべてを使用して、短辺が5以上の長方形はすべて作成可能である。；そのことを、同僚の辺名に相談すると、「それは恋だ」と指摘される。；のちに偏師を率いて、西南辺大詳穏となり、党項の討伐に功績を挙げた。；その辺がタレント映画を作るのとはちょっと違う。；遺跡南側の倉庫群跡は一辺150メートルほどの堀で四方を囲まれている。；一般的に一辺が短い方からしぼる、そこで次の4つの判断ができる。</t>
        </is>
      </c>
      <c r="J7595">
        <f>HYPERLINK("https://www.weblio.jp/content/辺", "词义详情")</f>
        <v/>
      </c>
      <c r="K7595">
        <f>HYPERLINK("https://yourei.jp/辺", "查看例句")</f>
        <v/>
      </c>
    </row>
    <row r="7596">
      <c r="A7596" t="inlineStr">
        <is>
          <t>便</t>
        </is>
      </c>
      <c r="B7596" t="inlineStr">
        <is>
          <t>成功</t>
        </is>
      </c>
      <c r="C7596" t="inlineStr">
        <is>
          <t>読み方：びん
⇒べん</t>
        </is>
      </c>
      <c r="D7596" t="inlineStr">
        <is>
          <t>便運行；便運航；便墜落事故；便槽；便程度</t>
        </is>
      </c>
      <c r="E7596" t="inlineStr">
        <is>
          <t>手紙；状；書；文；有利</t>
        </is>
      </c>
      <c r="F7596" t="inlineStr">
        <is>
          <t>簡便；発着便；区間便；旅客便；バス便</t>
        </is>
      </c>
      <c r="G7596" t="inlineStr">
        <is>
          <t>便所；便宜；便宜上；便り；便乗</t>
        </is>
      </c>
      <c r="H7596" t="n">
        <v>29</v>
      </c>
      <c r="I7596" t="inlineStr">
        <is>
          <t>日本の高速バスでは便または路線ごとで愛称を付けているケースが多い。；ほとんど全郡でバス路線を運行しており、多くの都市にもバス便がある。；しかし施設面や交通の便、および行政側の影響などでいずれも頓挫した。；敷地の広さや自動車交通の便が重要な施設の多くは駅北側にある。；アイルランド政府の要請に応じて中国との間で数百便の運航が予定された。；同一の区間で設備と運賃に格差をつけた複数の便が運行されている例がある。；首都は、国政の中心として交通の便が良い場所が選定されることが多い。；理解の便に該当箇所を挙げると、たとえば以下のような点である。；主要な島々には定期便があり、他の島への便はそれほど頻繁ではない。；交通の便の良さを生かして以前より企業・大学誘致に力を注いでいる。；鉄道にも囲まれており、近距離・遠距離の移動ともに交通の便は大変良い。；これらの交通の便を活かし、工業団地の開発などを積極的に行っている。；近年では、格安航空会社や航空便の増加がさらなる増大に貢献している。；なおこの系統の新設に伴う他系統の減便などは行われていない。；これはより交通の便が良く、早い時期から発展したためである。；しかし、2013年4月1日のバスダイヤ改正で日中の便が廃止された。；発着時のコストの安さから格安航空会社や貨物便の利用が多くなっている。；こちらのバスは夜行高速バスと昼行の徳島便の一部に使われている。；これは、同じ手続きを異なるデータセットで簡便に利用する方法となる。；この便は臨時列車扱いであるが実際には定期便として利用されている。；また、積み残しが発生した場合には当該便の7分後に臨時便を運転する。；全区間を直通する便はなく、静内を境に以下の通り細分化されている。；そして3日遅れてパリとロンドンを結ぶ初の国際航空便が生まれた。；州内主要都市にはグレイハウンドのバス便が運行されている。；テレホート国際空港は航空会社の便を運行せず、民間の用に供している。；その後数年のうちに、現在のような綱島とを結ぶ便が開業した。；また、上記以外の都市へも他社とのコードシェアで就航している便もある。；これらの地域では、現代でも交通の便が悪いため古い文化・習慣が根強く残っている。；これ以降、期間延長が継続されており、現在は1日2便で運航されている。</t>
        </is>
      </c>
      <c r="J7596">
        <f>HYPERLINK("https://www.weblio.jp/content/便", "词义详情")</f>
        <v/>
      </c>
      <c r="K7596">
        <f>HYPERLINK("https://yourei.jp/便", "查看例句")</f>
        <v/>
      </c>
    </row>
    <row r="7597">
      <c r="A7597" t="inlineStr">
        <is>
          <t>変化</t>
        </is>
      </c>
      <c r="B7597" t="inlineStr">
        <is>
          <t>成功</t>
        </is>
      </c>
      <c r="C7597" t="inlineStr">
        <is>
          <t>読み方：へげ
「へんげ」の撥音の無表記。
「我子の仏、—の人と申しながら」〈竹取〉</t>
        </is>
      </c>
      <c r="D7597" t="inlineStr">
        <is>
          <t>変化する(15%)；変化量；変化しうる；変化しやすい；変化し続ける</t>
        </is>
      </c>
      <c r="E7597" t="inlineStr">
        <is>
          <t>変更；異なる；歴史；展開；違う</t>
        </is>
      </c>
      <c r="F7597" t="inlineStr">
        <is>
          <t>大きく変化；温度変化；急激な変化；環境変化；微妙な変化</t>
        </is>
      </c>
      <c r="G7597" t="inlineStr">
        <is>
          <t>変化率；変化形；変化記号；変化観音；変化の風</t>
        </is>
      </c>
      <c r="H7597" t="n">
        <v>29</v>
      </c>
      <c r="I7597" t="inlineStr">
        <is>
          <t>ただし、と同様に、現在のは初期のものから非常に大きく変化している。；これは酵素の立体構造に変化が起きているからであると考えられている。；惑星の明るさが変化することは古代ギリシャ人の時代から知られていた。；しかし、いつどのように活動が変化するかを予測することは非常に難しい。；スペイン語で が に変化したのはこの の影響であると考えられている。；温度の増加に伴う種種の性質の変化は螺旋構造の崩壊の進行に比例する。；取材場所に変化があれば、いつ起きたのかを、取材元へ詳細に尋ねている。；この理論はまた、気体系が変化に対してどう反応するかを説明している。；人工張りは環境の変化に強い反面、高く鋭い音になりやすい特徴がある。；この変化を観察することである生物種がどのように分化したかを調べる。；これらの要因から攻撃先が変化し、以前ほどは攻撃されなくなった。；日本では事情は異なり、急速な普及や変化には難しい部分があった。；表水層と深水層との間には水温躍層と呼ばれる温度変化の大きい層がある。；圧力をかけたり変化させたりすることで、以下のような性質を示す物質がある。；もしこれが本当なら月は2倍近くも大きさが変化するように見えるはずである。；日本の仏教が、本来の仏教から変化・変形している事は、知られている。；電話通信には目に見えないところで大きな変化も起きている。；これは、核間軸の周りのMOの回転が位相を変化させないことを意味する。；この現象のうち特に形態的な変化を示すものを細胞変性効果と呼ぶ。；対比されている概念は、交流つまり周期的に方向が変化する電流である。；大気は、温度変化を基準にして、鉛直方向に4つの層に区分されている。；これを受け植物界の範囲はさらに限定的なものへと変化していく。；日本の外食産業は成熟期に入り、価格から質へと方向が変化している。；もはや中国人民銀行だけでは資金需給の変化に対応しきれなくなった。；この変革の背景には社会環境の変化が大きな影響を与えたと考えられている。；さらに各方法には変爻の有無や位置を選ぶ操作があり状況変化を表現する。；同じ理由で、地球から見て逆行する期間も8日から15日まで変化する。；高度成長後になると、方言に対する意識に変化が見られるようになった。；この変化から、過去の地球磁場がどのように変化したかを知ることができる。</t>
        </is>
      </c>
      <c r="J7597">
        <f>HYPERLINK("https://www.weblio.jp/content/変化", "词义详情")</f>
        <v/>
      </c>
      <c r="K7597">
        <f>HYPERLINK("https://yourei.jp/変化", "查看例句")</f>
        <v/>
      </c>
    </row>
    <row r="7598">
      <c r="A7598" t="inlineStr">
        <is>
          <t>弁解</t>
        </is>
      </c>
      <c r="B7598" t="inlineStr">
        <is>
          <t>成功</t>
        </is>
      </c>
      <c r="C7598" t="inlineStr">
        <is>
          <t>読み方：べんかい
［名］(スル)言い訳をすること。言いひらき。「—しても遅い」「—がましい」</t>
        </is>
      </c>
      <c r="D7598" t="inlineStr">
        <is>
          <t>弁解するよう(5%)；弁解しよ(2%)；弁解じみ；弁解がましく；弁解すれ</t>
        </is>
      </c>
      <c r="E7598" t="inlineStr">
        <is>
          <t>説明；解釈；解説；講義；明かし</t>
        </is>
      </c>
      <c r="F7598" t="inlineStr">
        <is>
          <t>あわてて弁解；苦しい弁解；どんな弁解；慌てて弁解；弁解する気</t>
        </is>
      </c>
      <c r="H7598" t="n">
        <v>29</v>
      </c>
      <c r="I7598" t="inlineStr">
        <is>
          <t>この様にして行けば人間の生命全体が一つの巨きな弁解になってしまう。；テレーズには弁解の言葉を用意するためにはあまり時間も残っていない。；彼女は何となしにそれについて自分にまで弁解がましいことを考えていた。；妙にわたしは、昔から弁解したり説明したりすることを避けるからである。；しかしかれはもはや女のために弁解してやる必要を少しも感じない。；弁解してから後、兄の機嫌をどうして取り直したものだろうとも考えた。；何故ならばそれがため余計に私の弁解が益立たなくなってしまいました。；今考えているところだと弁解すると、ああそうかと云って、また話をする。；それも、なにを弁解せねばならないのか、それは自分にもわからなかつた。；あの普通のものにかえって豊かな美を示している古作品の前に何の弁解があるか。；角三は家へ帰って、女房にいつのまに取られたかわからないと弁解した。；かくて彼らは何と弁解しても写実の路を歩こうとしている事は否めない。；その弁解をするようであるが、実はこういうことも少し考えているのである。；しかし彼は先生のために弁解してみる気には、少しもなれなかった。；こんなことは口に出していうべきじゃないし、弁解を求めるべきでもないわ。；「ぼく、何もしてないよ」かれはほとんど無意識のうちに弁解していた。；どんなに弁解して見ても、あなた方が納得して下さる筈はありません。；これには深いわけがあることだとしきりと弁解しておりました。；その行に相当の弁解ができないとこの事を役頭まで届けて出なければならない。；マックスが必死に弁解するのを聞いていたイヴリンは突然涙を流し始めた。；この研究の以下の部分はかなりくどい説明と弁解なしには、公表できない。；秀吉はこの弁解を納得したかのように、船長一行を款待して船に帰らせた。；少なくとも、田中嘉雄は友人にもこの家の人たちにも弁解していない。；「いや、これはどうも失礼しました」やがて弁解するように彼は言った。；それは考えがあってのことであるが、理由にも弁解にもなるまい。；当人はまた母の遺伝で体質から来るんだから仕方がないと弁解していた。；みんなあなたの為ですと、弁解か何かのやうに云つたこともある。；彼は下手な弁解をしたが、それは彼を処刑すべき理由にはならない。；「何の役にもたたないかもしれないけれど」と彼女は弁解がましく言った。</t>
        </is>
      </c>
      <c r="J7598">
        <f>HYPERLINK("https://www.weblio.jp/content/弁解", "词义详情")</f>
        <v/>
      </c>
      <c r="K7598">
        <f>HYPERLINK("https://yourei.jp/弁解", "查看例句")</f>
        <v/>
      </c>
    </row>
    <row r="7599">
      <c r="A7599" t="inlineStr">
        <is>
          <t>変革</t>
        </is>
      </c>
      <c r="B7599" t="inlineStr">
        <is>
          <t>成功</t>
        </is>
      </c>
      <c r="C7599" t="inlineStr">
        <is>
          <t>読み方：へんかく
［名］(スル)変えて新しいものにすること。また、変わって新しいものになること。改革。「認識の—を迫る」「制度を—する」</t>
        </is>
      </c>
      <c r="D7599" t="inlineStr">
        <is>
          <t>変革すること(2%)；変革しよ；変革運動；変革事業；変革する可能性</t>
        </is>
      </c>
      <c r="E7599" t="inlineStr">
        <is>
          <t>変更；変化；改造；改善；改良</t>
        </is>
      </c>
      <c r="F7599" t="inlineStr">
        <is>
          <t>大きな変革；大変革；体制変革；自己変革；大きく変革</t>
        </is>
      </c>
      <c r="G7599" t="inlineStr">
        <is>
          <t>変革連合軍；変革管理；変革のための同盟；変革連合軍最高司令官；変革連合軍司令部</t>
        </is>
      </c>
      <c r="H7599" t="n">
        <v>29</v>
      </c>
      <c r="I7599" t="inlineStr">
        <is>
          <t>クラブが大きな変革の時を迎えたのは1950年代に入ってからになる。；つまり変法とは、それまでの伝統的な政治外交礼制などの大変革を指す。；エトルリア系の王が追放されたことでローマの国政は大きく変革された。；この期間に、船の推進方法、武装および建造法に大きな変革が起こった。；オマハが地域経済構造を変革させていくのにはしばらく時間がかかった。；そして、その上で中華民国の政治体制を変革することを目標としている。；ただし、この敗戦時の変革は、特に必要に応じて行われたわけではない。；この変革の背景には社会環境の変化が大きな影響を与えたと考えられている。；キリスト教の伝統においては、生の変革をも意味することとなっていった。；ソ連時代には不可能であったこれらの特質はロシアの音楽史を変革させた。；バンディが前述の自己変革に取り組んだのはこの失恋がきっかけである。；文はソビエト連邦で進行中の政治的・経済的変革への支持を表明した。；卒業後はそれぞれの道を歩み、世界に少しずつ変革をもたらしていく。；この記事はアメリカ合衆国の社会保障システムの変革の諸提案に関わる。；同様な食の変革が中国で進行中であり、食肉の消費が拡大している。；それは天の川の精神的な変革の転換点として機能する特別な場所であるのだ。；世界の変革後に裏世界の東側に並ぶ形で融合し、東方大陸と呼ばれる。；そのような変革の対象の一つである自然は、この作品の主要な主題に含まれている。；ここで、セガンティーニはと呼ばれる変革運動のメンバーと友人となった。；スィナンはこれらすべてをゆっくりと時間をかけて変革していった。；そして、変革をもたらす存在として各勢力から協力を求められる主人公。；ナノテクノロジーとそれによって変革していく社会を描いた作風が特徴。；様々な建築さらには都市規模の変革プロジェクトを提示した。；この時期に起こった明確な科学の変革はまず、従来の宇宙体系の変革にあった。；通常、その結果に基づいてなんらかの変革を行い、改善に導こうとする。；この大会は既存のサッカー戦術に変革をもたらした大会であった。；このグループは革命的ではなく、むしろ緩やかな変革を志向していた。；世界を変革しようとする試みは、全て危険で有害であるとみなされる。；ただ、長井の思想は体制変革等の具体的方策にまで及ぶものではなかった。</t>
        </is>
      </c>
      <c r="J7599">
        <f>HYPERLINK("https://www.weblio.jp/content/変革", "词义详情")</f>
        <v/>
      </c>
      <c r="K7599">
        <f>HYPERLINK("https://yourei.jp/変革", "查看例句")</f>
        <v/>
      </c>
    </row>
    <row r="7600">
      <c r="A7600" t="inlineStr">
        <is>
          <t>変換</t>
        </is>
      </c>
      <c r="B7600" t="inlineStr">
        <is>
          <t>成功</t>
        </is>
      </c>
      <c r="C7600" t="inlineStr">
        <is>
          <t>読み方：へんかん
［名］(スル)
１入れ変わること。また、変えること。「交流を直流に—する」「仮名を漢字に—する」
２数学で、点を他の点に移したり、式を他の式に変えたり、座標を取り替えたりすること。</t>
        </is>
      </c>
      <c r="D7600" t="inlineStr">
        <is>
          <t>変換する(25%)；変換される(8%)；変換できる(2%)；変換器；変換効率</t>
        </is>
      </c>
      <c r="E7600" t="inlineStr">
        <is>
          <t>変更；変化；交換；改造；移行</t>
        </is>
      </c>
      <c r="F7600" t="inlineStr">
        <is>
          <t>周波数変換；変数変換；デジタル変換；変換アダプタ；変換させる</t>
        </is>
      </c>
      <c r="G7600" t="inlineStr">
        <is>
          <t>変換符号化；変換キー；変換エンジン；変換辞書；変換できない</t>
        </is>
      </c>
      <c r="H7600" t="n">
        <v>29</v>
      </c>
      <c r="I7600" t="inlineStr">
        <is>
          <t>これら二つの問題を解決する装置として導入されたのが変換規則である。；しかし、それらは強力すぎるため、変換の適用は制限される必要がある。；すなわち、1秒あたりに変換・使用・消費されているエネルギーを表す。；いずれにしてもその変換は、翻訳元と翻訳先の言語に特化したものになる。；代表的な変換には射影変換とその特別な場合であるアフィン変換がある。；また、作成された形状は下の表のルールでほかの形状に変換できる。；ただし、ビジネスで頻繁に使われる言葉を例外的に変換するようにした。；中国語対応版では拼音に対応するアルファベットの列を漢字に変換する。；したがって変換という言葉もさらに広い意味で用いられることがある。；運動以外のエネルギーを電力に変換する発電には以下のようなものがある。；これは、ボートが魚の上を通過すると魚と変換器の間の距離が変化するためである。；この時、 x に依存する量 g が のように変換されると仮定する。；しかし高温にするとやはりアミンと同じように相互変換が起こるようになる。；再生は録音の逆で、再生ヘッドで磁気を電気信号に変換することで行う。；仕事は熱に容易に変換することができるが、熱を仕事に変換するのは容易ではない。；東京電力から送られる交流を直流1500Vに変換して電車に供給する。；そのような場合は実際に信号を変換するアダプタを挟む必要がある。；ただし、回転や平行移動などの図形の形状を変化させない変換もある。；上記に加え、マイクロソフト仕様は変換時にも問題が起こる文字を以下に示す。；ここに外惑星と同様の変換をすると、今度は平均的な太陽が中心の理論が得られた。；通常の抵抗体であれば、この仕事の殆ど全てが熱エネルギーに変換される。；しかしながら、変換規則なしには自然言語を記述できないとされた。；そのような構造を派生するために、新たに導入されたタイプの規則が変換規則である。；後述するように斜柱は適当な座標変換で直柱に変換することができる。；変圧器は交流でしか機能しないが、電圧変換を行うのには適している。；変換に使用したソフトウェアがその特殊効果を再現する所まで対応しきれていないためである。；分裂期にはいると、光学顕微鏡下で観察可能な棒状の構造体に変換される。；上式を展開すると、3次元応力状態での各応力の変換式は以下のようになる。；YIGを音響エネルギー発信機や変換器に用ると高効率のものが得られる。</t>
        </is>
      </c>
      <c r="J7600">
        <f>HYPERLINK("https://www.weblio.jp/content/変換", "词义详情")</f>
        <v/>
      </c>
      <c r="K7600">
        <f>HYPERLINK("https://yourei.jp/変換", "查看例句")</f>
        <v/>
      </c>
    </row>
    <row r="7601">
      <c r="A7601" t="inlineStr">
        <is>
          <t>返還</t>
        </is>
      </c>
      <c r="B7601" t="inlineStr">
        <is>
          <t>成功</t>
        </is>
      </c>
      <c r="C7601" t="inlineStr">
        <is>
          <t>読み方：へんかん
［名］(スル)もとに戻すこと。持ち主に返すこと。「優勝旗を—する」「領土—」</t>
        </is>
      </c>
      <c r="D7601" t="inlineStr">
        <is>
          <t>返還する(10%)；返還される(5%)；返還後(3%)；返還請求；返還運動</t>
        </is>
      </c>
      <c r="E7601" t="inlineStr">
        <is>
          <t>復帰；帰り；帰還；再現；戻し</t>
        </is>
      </c>
      <c r="F7601" t="inlineStr">
        <is>
          <t>全額返還；中国返還；一部返還；北方領土返還；居留地返還</t>
        </is>
      </c>
      <c r="G7601" t="inlineStr">
        <is>
          <t>返還交渉</t>
        </is>
      </c>
      <c r="H7601" t="n">
        <v>29</v>
      </c>
      <c r="I7601" t="inlineStr">
        <is>
          <t>預かった念金は主宰者が数年間保管した後に返還することになっていた。；なお、学校側は、以下のような理由で返還請求できないと主張していた。；これらは最後の部隊が撤退した1998年になって初めて完全に返還された。；劇場は一時アメリカ軍に接収されたが、長男ヴィーラントに返還された。；その後、数千点が返還されたものの、今なお数千点が行方不明のままである。；事実上の夫婦関係の成立が認められない場合は返還義務を生じる。；中華人民共和国への返還後もその権利義務を継承することで加盟領域となっている。；出資金は入学時など加入の際に納入し、卒業時など脱退の際に返還される。；当事者双方に返還義務を生じる場合には両者は同時履行の関係に立つ。；北方領土問題で日本はロシアに4島一括返還を求め続けるべきとしている。；返還直前の香港市民の中にはイギリスの植民地から中国の植民地に変わるだけで政治的な転換はないとみる者もいた。；しかし、ウラジカフカスを含む西部は北オセチアから返還されなかった。；いずれも管轄省庁の指定する職に一定期間勤務すれば返還免除となる。；その後の日仏政府間の交渉の結果、フランス側は条件付きで返還に応じることとなった。；ここにはおもにアメリカ軍から返還された絵画が展示された。；地理学書の執筆に必要なその記録の返還を求め続けたが結局戻されることはなかった。；これを巡り、東亜日報は周波数返還を求める訴えを起こしたが敗訴した。；過払い金の返還を求められる状態であるのに借り手が気づいていないことも多い。；この時没収された土地はアンティオコス2世の時代に返還された。；返還前から現在まで主に香港で用いられている。；運河返還交渉によってアメリカにパナマ運河の返還の承認を実現させた。；西の宮廷は両管区の返還を求めていたが、この問題に東の宮廷は敏感に反応した。；結納はその目的たる婚姻が成立すれば返還は問題とはならない。；後者は、私立学校と違い入学しなかった場合返還すればよいので後者の方法を採用することとした。；土地を返還する者の氏名と土地を記したものが退田文書である。；香港を返還したことで、イギリスは主要な植民地のほぼ全てを喪失することになった。；同年、長期に渡って旱魃が続いたので、百姓へ徴収していた租税を返還した。；この営業所の敷地は借地で、那覇交通時代から地主に返還を求められていた。；この為草津町は協約違反として助成金の返還を求めるように訴えている。</t>
        </is>
      </c>
      <c r="J7601">
        <f>HYPERLINK("https://www.weblio.jp/content/返還", "词义详情")</f>
        <v/>
      </c>
      <c r="K7601">
        <f>HYPERLINK("https://yourei.jp/返還", "查看例句")</f>
        <v/>
      </c>
    </row>
    <row r="7602">
      <c r="A7602" t="inlineStr">
        <is>
          <t>便宜</t>
        </is>
      </c>
      <c r="B7602" t="inlineStr">
        <is>
          <t>成功</t>
        </is>
      </c>
      <c r="C7602" t="inlineStr">
        <is>
          <t>読み方：びんぎ
［名・形動］
１都合のよいこと。また、そのさま。好都合。べんぎ。
「—ノ地デ買ッテクダサレ」〈和英語林集成〉
２よい機会。好機。ついで。べんぎ。
「おのづから—ありて助くべからん事あらん時は」〈今昔・二七・四〇〉
３たより。音信。べんぎ。
「勝様からは—もなし」〈浄・淀鯉〉</t>
        </is>
      </c>
      <c r="D7602" t="inlineStr">
        <is>
          <t>便宜的(12%)；便宜上(8%)；便宜を図るため(3%)；便宜供与(2%)；便宜主義</t>
        </is>
      </c>
      <c r="E7602" t="inlineStr">
        <is>
          <t>得；為；便；有利；よろしい</t>
        </is>
      </c>
      <c r="F7602" t="inlineStr">
        <is>
          <t>様々な便宜；便宜品や愉楽；便宜的な呼称；便宜的な総称；便宜的な区分</t>
        </is>
      </c>
      <c r="G7602" t="inlineStr">
        <is>
          <t>便宜的；便宜置籍船；便宜的国教徒禁止法案；便宜置籍船国；便宜的国教徒禁止法</t>
        </is>
      </c>
      <c r="H7602" t="n">
        <v>29</v>
      </c>
      <c r="I7602" t="inlineStr">
        <is>
          <t>なお、この区別は便宜的なもので分類上においては明確なものではない。；第二與禰丸型貨物船以外の各形式の名称は、便宜上でつけたものである。；また、乗客の便宜のために最終バスの時刻を特に案内することもある。；その点においてはロシアは確かに英国よりも便宜の地位に立って居る。；だが、私はそれ等を使わずに、ただ一人この中老人の社長を便宜に頼んだ。；パトロヌスはその地位などを利用してクリエンテスに様々な便宜を図る。；そして近ければ近いほど、その透過力は一点に集中できる便宜があった。；全ての対象を網羅しているわけではなく、区分も便宜的なものである。；この路線は紅茶の輸送と避暑客の便宜を図るために建設が開始された。；どちらも、および付近にあるその他の墓地に便宜を与えるために設置された。；特に名称などが定められていないため、本記事では便宜的にこの名称を用いる。；また、この項目で用いるシリーズの便宜上の略称は以下の通りにする。；もっとも便宜的に住所を移動することが可能である為実際的な問題にはならない。；しかし、当初よりこれらの分類は便宜的なものと考えられていた。；分類は便宜的なもので、複数のグループに属する場合は一つのグループに入れた。；彼は自分の地位に伴って入ってくる収入の全てを自分の教区民の便宜の為に使用した。；流量係数には計算の便宜上から となるK も用いられることがある。；ただしこれらは数学的に正確なものではなく、あくまで便宜的なものである。；しかし我我人間は衣食住の便宜を失つた為にあらゆる苦痛を味はつてゐる。；そんな中でも、これをケカビ科とする扱いもあるが、便宜的なものである。；それ以外にも不動産関係企業などで便宜的に区分を細分化している場合がある。；これは当駅を利用する笠田高等学校の生徒の便宜を図ったものである。；市の公共投資は彼らの事業に便宜を図るように実施されてきた。；その代りに相手の方からは、薄暗いこちらの様子は見えぬ便宜がある。；さて此機会に、供物と容れ物との関係を物語る便宜を捉へさせて貰はう。；道中の便宜を得る為に、彼等の群に投じたといふやうなことがあつたのだ。；私は以下の記述の便宜のために、この表を次のように増補したい。；この中には便宜的にIRAの名前を使っただけでストーリーとは関係のない作品もある。；私は多くの場合、それを監督の仕事にすることが一等便宜だと考えるものである。</t>
        </is>
      </c>
      <c r="J7602">
        <f>HYPERLINK("https://www.weblio.jp/content/便宜", "词义详情")</f>
        <v/>
      </c>
      <c r="K7602">
        <f>HYPERLINK("https://yourei.jp/便宜", "查看例句")</f>
        <v/>
      </c>
    </row>
    <row r="7603">
      <c r="A7603" t="inlineStr">
        <is>
          <t>ペンキ</t>
        </is>
      </c>
      <c r="B7603" t="inlineStr">
        <is>
          <t>成功</t>
        </is>
      </c>
      <c r="C7603" t="inlineStr">
        <is>
          <t>《(オランダ)pekから》ペイント。特に油ペイント。</t>
        </is>
      </c>
      <c r="D7603" t="inlineStr">
        <is>
          <t>ペンキ屋(7%)；ペンキ塗(3%)；ペンキ職人；ペンキ画；ペンキ書き</t>
        </is>
      </c>
      <c r="E7603" t="inlineStr">
        <is>
          <t>漆；塗料；顔料；絵具；絵の具</t>
        </is>
      </c>
      <c r="F7603" t="inlineStr">
        <is>
          <t>白ペンキ；赤いペンキ；赤ペンキ；青いペンキ；青ペンキ</t>
        </is>
      </c>
      <c r="G7603" t="inlineStr">
        <is>
          <t>ペンキ絵；ペンキ絵師</t>
        </is>
      </c>
      <c r="H7603" t="n">
        <v>29</v>
      </c>
      <c r="I7603" t="inlineStr">
        <is>
          <t>ところが、ちょうど同じアパートに一人の若いペンキ屋が住んでいた。；アパートの建物の中に入ると、プンと新しいペンキの臭いが鼻をついた。；木や竹で骨組みを作った後に白木綿を巻きつけて赤いペンキで着色する。；なんだって世間じゃあんなに家を建てたりペンキを塗りたくるんだろう?；また、こちらの道具はチョークではなくペンキで囲む仕様となっている。；ペンキの色も分らぬ科学者に名墨の色が分る筈もないといわれそうである。；それもこれも壁を叩いてペンキを重ねていく技法がむずかしいからだ。；老人は、その百姓家の裏手のペンキもぬってない小屋の一つに住んでいた。；最近、白ペンキを塗り直したらしい、その扉の閂錠を開けて外へと出た。；その部屋でペンキを塗っていたんですよ、気がつきませんでしたか?；赤と緑のペンキを塗ったその家には窓があり、小さな玄関があった。；わしの兄貴は、いつもそのきたない色のペンキでおおわれていましたよ。；そのためその後しばらくはコスチュームにはペンキが付いたままになっていた。；床が沈んだところは補修されていないし、ペンキはあちこちで剥げている。；青いペンキで塗られた二の鎖小屋が、明るい日射しの下に立っていた。；ペンキ職だが、彼の場合は雇われているのではなく、父親の業を継いでいる。；そのころの夫の両手や足には、いつも、ペンキがくっついていました。；これらはペンキハンマーで叩いて塗ることで再び機能するようになる。；それを買ったとき私は爺さんに、ペンキを剥がすようにと頼んだのだ。；ここまでをプラスチックの白だとすると、その先は安ペンキの白だ。；なお自身の顔や体がペンキで塗られる願望は以前からあったという。；外装のペンキだってほとんどはげていて小さな部屋が二つしかなかった。；帽子もペンキが積もって蟇の肌みたいになったのを皆かぶっている。；彫られたものもあれば、ペンキで描かれたものも、刻印されたものもある。；どの山へ登って見てもペンキ塗の偉大なる建築物が、必ず一つずつは見えた。；コールタールでもなし、黒ペンキでもなし、為体の知れないものである。；慌てて塗りつけられたらしく、端の方は下の古いペンキが覗いている。；ペンキと電灯とをもって広告と称する下等なる装飾を試みることでもない。；その際に車号表記は他形式と同じペンキによる手書きとなっている。</t>
        </is>
      </c>
      <c r="J7603">
        <f>HYPERLINK("https://www.weblio.jp/content/ペンキ", "词义详情")</f>
        <v/>
      </c>
      <c r="K7603">
        <f>HYPERLINK("https://yourei.jp/ペンキ", "查看例句")</f>
        <v/>
      </c>
    </row>
    <row r="7604">
      <c r="A7604" t="inlineStr">
        <is>
          <t>返却</t>
        </is>
      </c>
      <c r="B7604" t="inlineStr">
        <is>
          <t>成功</t>
        </is>
      </c>
      <c r="C7604" t="inlineStr">
        <is>
          <t>読み方：へんきゃく
［名］(スル)借りたものや預かったものを持ち主に返すこと。「借用した資料を—する」</t>
        </is>
      </c>
      <c r="D7604" t="inlineStr">
        <is>
          <t>返却する(16%)；返却される(5%)；返却時；返却口；返却できる</t>
        </is>
      </c>
      <c r="E7604" t="inlineStr">
        <is>
          <t>復帰；帰り；帰還；再現；戻し</t>
        </is>
      </c>
      <c r="F7604" t="inlineStr">
        <is>
          <t>返却回送；すべて返却；ご返却；返却値；自動返却</t>
        </is>
      </c>
      <c r="H7604" t="n">
        <v>29</v>
      </c>
      <c r="I7604" t="inlineStr">
        <is>
          <t>これらの車両は9月23日に電車運転が再開された後に返却されている。；なお、親は返却後は画像だけでなく名前も言葉や文字の上で一切出てこない。；われわれが臆病者でなければ、一緒になってそれを返却してもよかろう。；その後、KGBの同僚に売却したが、大統領再就任後に返却されている。；一旦受け取った高額の手術料のほとんどを、患者に返却することもある。；他人の所有物を借りた場合は、本人の許可がないと自動で返却される。；これらと引き換えに提示されたのは原稿88ページの返却にすぎなかった。；令夫人の奪われた品物が匿名の手紙と一緒に小包で返却されたからです。；返却日までに返せない場合は期間を一度のみ延長することができる。；返却されなかったものは記念となるものに再生された後、設置される予定である。；ただしなぜかこの絵は数箇月後には外され、レンブラントへ返却された。；その場合に元のカードは返却されないので注意が必要である。；しかし、この時の馬と鷹はどれも信長が気に入らずに返却されている。；前者の書籍については返却期限を超過しているという記録が残っていた。；また、翌1879年に大阪府病院が中之島に移転して建物が返却された。；返却時には詳細を記した報告書が担当者の名前入りで添付されていた。；NOCの請求額は事故車両を店舗まで自走して返却できたか否かで異なる。；ギリシア政府はこれら彫刻の返却を求めているが、実現には至っていない。；しかし、前回の戦争で獲得したウェイイの土地は返却することに合意した。；二軍戦やアマチュア野球では最寄の係員に返却することが一般的である。；図書館が閉まっているときは玄関のブックポストに蔵書のみ返却できる。；そしてオリジナルの文書は図書館に収容され、写本の方を返却した。；そうして小生の旅行免状を返却されながら次の如く訓戒をされました。；また親衛隊から離れた場合や死亡した場合も返却が求められた。；結局、とりあえず高基元から借りた100万円を返却したにとどまった。；教科書にはカバーを付け、1年間使ったあとにカバーを取って返却する。；参加者は返却されたものを元にもう一本レポートを書き上げ提出する。；もし絵が返却されたら、どんな気持ちになるか分かるでしょう。；ただ鐘が他寺からの借り物で返却したため、明治末期に絶えたという。</t>
        </is>
      </c>
      <c r="J7604">
        <f>HYPERLINK("https://www.weblio.jp/content/返却", "词义详情")</f>
        <v/>
      </c>
      <c r="K7604">
        <f>HYPERLINK("https://yourei.jp/返却", "查看例句")</f>
        <v/>
      </c>
    </row>
    <row r="7605">
      <c r="A7605" t="inlineStr">
        <is>
          <t>勉強</t>
        </is>
      </c>
      <c r="B7605" t="inlineStr">
        <is>
          <t>成功</t>
        </is>
      </c>
      <c r="C7605" t="inlineStr">
        <is>
          <t>読み方：べんきょう
［名］(スル)
１学問や技芸などを学ぶこと。「徹夜で—する」「音楽を—する」
２物事に精を出すこと。努力すること。
「何時までもこんな事に—するでもなし」〈福沢・福翁自伝〉
３経験を積むこと。「今度の仕事はいい—になった」
４商人が商品を値引きして安く売ること。「思い切って—しておきます」</t>
        </is>
      </c>
      <c r="D7605" t="inlineStr">
        <is>
          <t>勉強する(8%)；勉強部屋；勉強家；勉強机；勉強しよ</t>
        </is>
      </c>
      <c r="E7605" t="inlineStr">
        <is>
          <t>研究；調査；学；検討；学び</t>
        </is>
      </c>
      <c r="F7605" t="inlineStr">
        <is>
          <t>試験勉強；勉強してる；一緒に勉強；勉強好き；勉強不足</t>
        </is>
      </c>
      <c r="G7605" t="inlineStr">
        <is>
          <t>勉強法；勉強ができない；勉強小僧；勉強させていただきます；勉強していたい</t>
        </is>
      </c>
      <c r="H7605" t="n">
        <v>29</v>
      </c>
      <c r="I7605" t="inlineStr">
        <is>
          <t>そしてしっかり勉強して来年入段できなかったら韓国に帰ると約束した。；その時に持って出た資金を元に小金貸しをしながら占いの勉強を始めた。；登録を希望する者は最初に認定大学レベルの建築学校で勉強する必要がある。；学校では勉強をしながらも、動物や自然などの様々な絵を描いていた。；もともとは地図は書く予定はなくお勉強の回のときだけ描いていた。；上記のエピソードは、皆、彼の勉強に裏付けられた自信の現れでもある。；物語の舞台は大阪などに移り、次は気象予報士になるための勉強を開始。；大学では心理学に興味を持ち、カウンセラーになるために勉強していた。；学校では勉強に精を出し、家に帰っては両親を助けて野良仕事に励んだ。；初井言榮が付き人を探していたことから付き人をしながら勉強していた。；本人によれば、この頃、勉強や稽古を強制されたことはなかったという。；一方で勉強した後にどのような職業に就くかはあまり考えていなかったという。；その後ミュンヘン大学で生物学と哲学・人類学・社会学の勉強を始めた。；また、当時は芸能の仕事の勉強の一環で藤村俊二の付き人を務めていた。；引越しの多い生活のため、ほとんど学校に行かず、独学同様に勉強した。；高校時代に演劇を勉強していたことなどから、芝居や映画などに関心が高い。；各月ごとに別のキャラクターがいて、様々な話をしながら勉強を進めていく。；日本語を勉強し、いつか日本に戻ってくることをファンに伝えた。；現在は医療チームに参加したまま研究と勉強を続けている。；しかし実際には一人で勉強し、芸術の新しい流れにほとんど影響を受けなかった。；当時アメリカにいた姉と一緒に勉強する道も示してくれた。；三島は、川端の養女・政子の学校の勉強を見てやることもあったという。；大人になってから、もっと勉強しておけばよかった、と語っている。；子供がいる家庭に、日本のように勉強机や本棚がある家庭は珍しい。；本はまったく読んだことが無く、勉強もしたことがないという。；「将来はロシアに行ってみたい」と、ロシア語を勉強する姿も映された。；このような子供時代を送ったため、ワインは勉強をしなかった。；ペンシルベニア大学に学んだ後ヨーロッパを遊学し更に勉強を続けた。；東嶽大帝打倒後は魔界に帰って勉強しているとメフィストが語っている。</t>
        </is>
      </c>
      <c r="J7605">
        <f>HYPERLINK("https://www.weblio.jp/content/勉強", "词义详情")</f>
        <v/>
      </c>
      <c r="K7605">
        <f>HYPERLINK("https://yourei.jp/勉強", "查看例句")</f>
        <v/>
      </c>
    </row>
    <row r="7606">
      <c r="A7606" t="inlineStr">
        <is>
          <t>変形</t>
        </is>
      </c>
      <c r="B7606" t="inlineStr">
        <is>
          <t>成功</t>
        </is>
      </c>
      <c r="C7606" t="inlineStr">
        <is>
          <t>読み方：へんけい
［名］(スル)形や状態が変わること。また、変えること。その変わって生じたものにもいう。「熱で—する」「関節が—する」</t>
        </is>
      </c>
      <c r="D7606" t="inlineStr">
        <is>
          <t>変形する(14%)；変形させる(2%)；変形機構(2%)；変形できる；変形可能</t>
        </is>
      </c>
      <c r="E7606" t="inlineStr">
        <is>
          <t>変更；変化；版；改造；調整</t>
        </is>
      </c>
      <c r="F7606" t="inlineStr">
        <is>
          <t>大きく変形；式変形；非変形；変形能力；完全変形</t>
        </is>
      </c>
      <c r="G7606" t="inlineStr">
        <is>
          <t>変形体；変形性関節症；変形性膝関節症；変形学生服；変形労働時間</t>
        </is>
      </c>
      <c r="H7606" t="n">
        <v>29</v>
      </c>
      <c r="I7606" t="inlineStr">
        <is>
          <t>映画の範囲のために、新しいセットや古いセットの変形が多く作られた。；この減算を直接計算する代わりに、この式を次のように変形してみよう。；流体の粘性が小さいほど変形させたり運動させたりするのが容易である。；物体の変形や破壊などに対する負担の大きさを検討するのに用いられる。；これらの構造は種類により多様な機能に合わせ変形したり退化している。；この骨板は鱗が変形したものとみられ、鱗板あるいは甲板とも呼ばれる。；イネ科の小穂の変形の過程を考えて幾つかの型に分けることが行われる。；日本の仏教が、本来の仏教から変化・変形している事は、知られている。；さらに、対象ユニットは移動後に「変形」することが可能となっている。；設定のみで劇中に登場しなかったロードアタッカー形態への変形も可能。；むしろ幅の広すぎる靴で足を変形させたり痛めたりするケースが広く見られる。；現在でも学名などでギリシア語を使用するときにはこのような変形を行う。；この弱い結合により、DNAの全体的な形状は変形せず、のままとなる。；この再現部分はスケルツォの提示部分と比べると変形されていて短い。；再現部は第1主題の再現から始まるが、幾分変形されて展開的に扱われる。；アキレス腱痛を庇う走り方もしてきたため足の甲や踵も変形していった。；第二稿も変形できるとされてはいるものの具体的な変形方法は描かれていない。；もともとのスキーマを新しい目的に合うように変形することを同調という。；展開部では、提示部で提示された主題をさまざまに変形、変奏させる。；これ以降数々の合体・変形ロボットアニメが製作されるようになった。；ジャンプの練習を重ねたため、かかとが角張って変形するようになった。；それにより形状構造的に考えれば無理のある変形合体も可能となっている。；これは平行四辺形を面積を変えずに長方形に変形させることで説明できる。；ティップは的に当たった際に折れたり、強く変形したりする消耗品である。；原子核には、球形のみならず様々に変形した状態があることが知られている。；その際無限軌道は長さ・幅ともに縮む変形機構を持つとも言われる。；さらに、このような変形を得るための決定的な手続きも知られている。；力を出すときはこれが伸びる方向に変形するから、軸を回転させることができる。；植物が葉を変形させて、様々な用途に対応することは、色々な場合に見られる。</t>
        </is>
      </c>
      <c r="J7606">
        <f>HYPERLINK("https://www.weblio.jp/content/変形", "词义详情")</f>
        <v/>
      </c>
      <c r="K7606">
        <f>HYPERLINK("https://yourei.jp/変形", "查看例句")</f>
        <v/>
      </c>
    </row>
    <row r="7607">
      <c r="A7607" t="inlineStr">
        <is>
          <t>偏見</t>
        </is>
      </c>
      <c r="B7607" t="inlineStr">
        <is>
          <t>成功</t>
        </is>
      </c>
      <c r="C7607" t="inlineStr">
        <is>
          <t>読み方：へんけん
かたよった見方・考え方。ある集団や個人に対して、客観的な根拠なしにいだかれる非好意的な先入観や判断。「—を持つ」「人種的—」</t>
        </is>
      </c>
      <c r="D7607" t="inlineStr">
        <is>
          <t>偏見なし；偏見なき</t>
        </is>
      </c>
      <c r="E7607" t="inlineStr">
        <is>
          <t>傾向；傾き；思い込み；不公平；偏り</t>
        </is>
      </c>
      <c r="F7607" t="inlineStr">
        <is>
          <t>強い偏見；あらゆる偏見；そういう偏見；人種的な偏見；妙な偏見</t>
        </is>
      </c>
      <c r="H7607" t="n">
        <v>29</v>
      </c>
      <c r="I7607" t="inlineStr">
        <is>
          <t>また、それらの多様な解釈や定義が偏見や差別の原因となる場合がある。；古典に類する作品には古い固定観念・偏見が含まれている可能性もある。；母は当時の偏見をものともせず未婚の母を支援する活動を行っていた。；ヨーロッパではアメリカほど人種的な偏見が過酷でなかったためである。；またその主張はイデオロギー的偏見を含んでおり科学ではないと批判した。；このような女性観または偏見は他の男性中心の世界でも同様であった。；同インタビューの中で自分はユダヤ人に対して偏見はないと主張した。；また、無知であることは先入観や偏見から自由であることをも意味する。；マクラウドには地域から偏見の眼差しを向けられる、ある過去があった。；科学的に立証された例は無く、欧米諸国ではこういった偏見は見られない。；これらの行動は戦後にイタリア系への偏見を拭うのに大きく貢献した。；根本的な帰属の誤りとは、他人の行動を解釈しようとする際の偏見を指す。；そして開放性は他の五因子モデルの特性よりも偏見と強い負の関係を持つ。；このような話は、単なる偏見でも郷に入れば郷に従えという話でもない。；彼女もまた性的少数者という理由で差別と偏見に晒されてきたのだった。；しかしながらフロイトのアメリカに対する偏見は変わることは無かった。；社会的にも偏見と侮蔑の目で見られ、決して名誉とされることはなかった。；彼は北が上で南が下になっている他の多くの地図を文化的偏見と結び付けていた。；そうでない日本人には服のデザインなどできないという偏見や差別があった。；一次資料をもとにしているため、偏見や先入観を含んでいる可能性がある。；当時は障害者への偏見も根強く、選ばれた者も当初は消極的であったという。；彼等は彼等の偏見を生徒の心へ種痘する為には如何なる手段をも選ばなかった。；彼等は彼等の偏見を生徒の心へ種痘する為には如何なる手段をも選ばなかつた。；初期の伝記は彼を知っていた人によって作成され、その偏見を反映している。；これは野球を職業とすることへの偏見が強かったためであった。；これは、当時の東洋人に対するイメージや偏見に加えて法の存在もあった。；後世の偏見を持っていない作家達はアルビヌスの作品を称賛している。；一方、性的指向への偏見に基づいて5件の殺人と6件の強姦が行われた。；また小宮の独断と偏見で放送中に『番組卒業』を言い渡される者がいる。</t>
        </is>
      </c>
      <c r="J7607">
        <f>HYPERLINK("https://www.weblio.jp/content/偏見", "词义详情")</f>
        <v/>
      </c>
      <c r="K7607">
        <f>HYPERLINK("https://yourei.jp/偏見", "查看例句")</f>
        <v/>
      </c>
    </row>
    <row r="7608">
      <c r="A7608" t="inlineStr">
        <is>
          <t>弁護</t>
        </is>
      </c>
      <c r="B7608" t="inlineStr">
        <is>
          <t>成功</t>
        </is>
      </c>
      <c r="C7608" t="inlineStr">
        <is>
          <t>読み方：べんご
［名］(スル)その人の利益になるように主張して助けること。また、その人に代わって事情をよく説明してかばうこと。「非難の矢面に立たされた友人を—する」「自己—」</t>
        </is>
      </c>
      <c r="D7608" t="inlineStr">
        <is>
          <t>弁護する(14%)；弁護人(3%)；弁護団(3%)；弁護活動(2%)；弁護しよ</t>
        </is>
      </c>
      <c r="E7608" t="inlineStr">
        <is>
          <t>防衛；守備；警備；守り；守</t>
        </is>
      </c>
      <c r="F7608" t="inlineStr">
        <is>
          <t>自己弁護；国選弁護；弁護方針；弁護官；対策弁護</t>
        </is>
      </c>
      <c r="G7608" t="inlineStr">
        <is>
          <t>弁護人；弁護側；弁護団；弁護士会；弁護士事務所</t>
        </is>
      </c>
      <c r="H7608" t="n">
        <v>29</v>
      </c>
      <c r="I7608" t="inlineStr">
        <is>
          <t>彼の弁護に当たったのは進化論裁判に参加したことで知られるであった。；弁護士団の一員であったエイブラハム・リンカーンは鉄道側を弁護した。；ルソーが嫌いな人物をヒュームが弁護するのが我慢できなくなっていた。；逮捕された3名への裁判は創価学会が大弁護団を結成し弁護にあたった。；しかし、多くの人々は彼を弁護し、その寛大さを挙げることが多かった。；「ガマー事件」と呼ばれる事件の弁護に関わったのが最初の事件となる。；意識を取り戻した富豪も男のことをすっかり忘れていて弁護してくれない。；この裁判には多くの元老院議員も出席し、息子に弁護の機会を与えた。；アダムズは自分の評判が傷つけられることを恐れたが弁護を引き受けた。；ベーコンはこの告発を認めたが、判決には影響を与えていないと弁護した。；ラフーンは自分が出した任命と、前任者が出して任命を活発に弁護した。；オットー・イェスペルセンは音象説を弁護して、このように書いている。；どちらの裁判でもキケロが弁護を行ったが、その詳細は不明である。；弁護士として主に良心的兵役忌避者や平和運動家の弁護を担当していた。；さらに彼女は朱全忠の怒りを買った多くの者を弁護して助けた。；弁護に成功した依頼人が恋人を殺害したことをきっかけに辞職した元。；支援団体はまた、一般への啓発活動や弁護活動への従事を行うことがある。；それには元南軍兵士のために意図された反逆罪に対する弁護が含まれていた。；ただし、その時代にあっても少数派ではあるが正儀を弁護する者は存在した。；彼は自身の全ての罪を弁護し、処刑され、死後に四肢を切り刻まれた。；CRが付き、監獄へ送られてしまったプレイヤーを弁護することができる。；このことで李陵一族は処刑され、彼を弁護した司馬遷は宮刑に処された。；この種の論議と弁護の試みとして文献的に最も早いものの一つと考えられている。；時の政府は戦犯弁護の費用を出すのはもっての外という態度であった。；その内容は、自らの第一審での弁護活動を痛烈に自己批判するものであった。；被告人の一部は、自分たちの弁護のために証言することを認められていなかった。；シックルズは殺人で起訴され、何人かの指導的政治家をその弁護人に確保した。；登録後、大阪で日本の刑事弁護の第一人者である後藤貞人に約1年師事。；彼女は性別に基づくバイアスに立ち向かう男性と女性のどちらも弁護した。</t>
        </is>
      </c>
      <c r="J7608">
        <f>HYPERLINK("https://www.weblio.jp/content/弁護", "词义详情")</f>
        <v/>
      </c>
      <c r="K7608">
        <f>HYPERLINK("https://yourei.jp/弁護", "查看例句")</f>
        <v/>
      </c>
    </row>
    <row r="7609">
      <c r="A7609" t="inlineStr">
        <is>
          <t>変更</t>
        </is>
      </c>
      <c r="B7609" t="inlineStr">
        <is>
          <t>成功</t>
        </is>
      </c>
      <c r="C7609" t="inlineStr">
        <is>
          <t>読み方：へんこう
［名］(スル)決められた物事などを変えること。「計画を—する」</t>
        </is>
      </c>
      <c r="D7609" t="inlineStr">
        <is>
          <t>変更すること(3%)；変更点；変更できる；変更可能；変更する必要</t>
        </is>
      </c>
      <c r="E7609" t="inlineStr">
        <is>
          <t>変化；改造；調整；移行；改め</t>
        </is>
      </c>
      <c r="F7609" t="inlineStr">
        <is>
          <t>一部変更；大きな変更；商号変更；大きく変更；社名変更</t>
        </is>
      </c>
      <c r="G7609" t="inlineStr">
        <is>
          <t>変更登記；変更管理；変更検査；変更報告書；変更子</t>
        </is>
      </c>
      <c r="H7609" t="n">
        <v>29</v>
      </c>
      <c r="I7609" t="inlineStr">
        <is>
          <t>メニューでプレイしたいゲームを選ぶ事で自由に変更することが出来た。；アニメは原作と違いストーリーが大幅に変更されたものになっている。；運用の変更に伴い車両基地の改修・新設・移転などを実施する場合もある。；前述の通り型番変更が発表されたため、旧型番最後のシリーズとなった。；各種設定が原作および以前の作品と異なるように変更されている。；移管後の初めての打ち上げとなる13号機では、以下の点が変更された。；そのページが変更されている場合、その内容をスワップ領域に書き出す。；技術系制服も更新され、青ベースの制服から灰色ベースの制服に変更となった。；一度職業を決めると4種類の職業から違う種類に途中変更は効かない。；ただし、これは大会の主催者によって変更されることもしばしばある。；なお、いくつかの観点から、それまでの歴代天皇から変更された部分もある。；承認後、最終的な文章には編集上のわずかな変更しか加えることができない。；ストーリーはFC版に基づいているが、大幅な要素の追加・変更が行われた。；下記の一覧は1928年に行われた称号規定変更後の形式をまとめたものである。；このルールではドアを変更したほうがよいことが直感的に分かる。；この場合も変更ルール3同様、変更してもしなくてもよいのである。；ただし、これはイギリスの対中政策の変更を意味するものではないとされた。；車内の自動放送も変更され、新たに英語による案内放送が開始された。；変更を支持する憲法専門家の主張では、違憲性はないと判断している。；国内版からそのまま移植されているのではなく、様々な変更が加えられている。；ベースにしたPOWERの特徴に、さらにいくつかの変更を加えた。；日本は2009年7月16日に国家標準を光周波数コム装置へ変更した。；その他、連載時との時代相違を考慮した変更が行われている。；以前のコースとの主な変更点は次のとおりである。；後期はシンセサイザーのリース元がMACから別の会社に変更された。；大本営と海軍は天皇の勅許まで取り付けて方針を変更するよう促した。；演奏形態の変更のために行うことをのみ編曲と言うのはクラシックの場合である。；この制度は使用機材の変更などによって年ごとに条件を変更しつつ継続している。；特に問題とされたのは伝統的字体から簡略字体に変更されたものであった。</t>
        </is>
      </c>
      <c r="J7609">
        <f>HYPERLINK("https://www.weblio.jp/content/変更", "词义详情")</f>
        <v/>
      </c>
      <c r="K7609">
        <f>HYPERLINK("https://yourei.jp/変更", "查看例句")</f>
        <v/>
      </c>
    </row>
    <row r="7610">
      <c r="A7610" t="inlineStr">
        <is>
          <t>偏向</t>
        </is>
      </c>
      <c r="B7610" t="inlineStr">
        <is>
          <t>成功</t>
        </is>
      </c>
      <c r="C7610" t="inlineStr">
        <is>
          <t>読み方：へんこう
［名］(スル)
１考え方がかたよっていること。また、その傾向。「—した教育」「保守主義的—」
２電子線に電界や磁界をかけ、進行方向を変化させること。ブラウン管などに応用。「—コイル」</t>
        </is>
      </c>
      <c r="D7610" t="inlineStr">
        <is>
          <t>偏向させる(4%)；偏向的(3%)；偏向板(2%)；偏向性；偏向シールド</t>
        </is>
      </c>
      <c r="E7610" t="inlineStr">
        <is>
          <t>傾向；流れる；好み；傾斜；傾向がある</t>
        </is>
      </c>
      <c r="F7610" t="inlineStr">
        <is>
          <t>静電偏向；音響光学偏向</t>
        </is>
      </c>
      <c r="G7610" t="inlineStr">
        <is>
          <t>偏向教育；偏向コイル</t>
        </is>
      </c>
      <c r="H7610" t="n">
        <v>29</v>
      </c>
      <c r="I7610" t="inlineStr">
        <is>
          <t>そのため、彼らが途中から偏向した態度で裁判に臨むことが考えられる。；だから彼は鋭い知性偏向の破壊的関係を救うために一つの要求をなす。；偏向点に到達するのが少しでも遅れれば、それだけ問題は複雑になります。；量産型にみられる脚部およびバックパックの偏向板は設置されていない。；報道については、双方が相手に有利な偏向報道を行っていると主張している。；理念的偏向性とストレートな政治関連発言で批判を受けたこともある。；ほかに映像出力用のパワートランジスタや偏向用のトランジスタがいる。；増加した揚力は構造をさらに偏向させ、最終的に構造を発散点に持っていく。；過保護に育てられたから辛抱出来ない子に育って、と偏向した性格を嘆く。；ただし、伝えられる逸話には彼を称揚しようとする偏向も認められる。；メディアのアメリカの人権侵害に関する報道は偏向しているのかもしれない。；右翼的偏向は、複雑な組合わせと多様と度合とをもって現れたのであった。；すると2本の線が現れ、2種類の偏向放物線を描いていることが判明した。；多くの研究が、一方の方向または別の方向に偏向している。；そのために、そもそものはじめから存在する偏向に注意をうながしただけなんだよ。；自己開発型で、偏向も大きく、未開発ではありますが、それでも第三型なのです。；その答の一部は艦の偏向スクリーンのスイッチが入るとほとんど同時に得られた。；第一、私有財産権を確認したために少しも平等的共産主義に偏向せず。；偏向される角度を観測することによりこの過程の性質を調べることができる。；トレッド要素が接地面内を移動する間、車輪中心面からさらに偏向される。；双方の偏向が互いに矯正される可能性が、そこから生れるのである。；当時は類似する賞の中でも最も権威のあるものだったが、年を経るに連れ偏向を指摘されるようになった。；広い意味では習慣の一種とみられるが、極端な場合には通常よりも不必要に偏向した反応として現れる。；また、日本の領土教育が、外国在住者から偏向であると批判された例がある。；性の扱いかたの偏向、フロイドの或種の亜流や何か、をも見ながら。；從つてそれはそれ自身のうちに或る前提、或る先入主見、或る偏向を含んでゐる。；母親が在日朝鮮人出身であるがゆえの政治的偏向であると見なされかねないからである。；性格診断テストの結果もこのような回答の偏向で歪められることが知られている。；光速よりずっと低い速度では、可視光線はごくわずかながら偏向する。</t>
        </is>
      </c>
      <c r="J7610">
        <f>HYPERLINK("https://www.weblio.jp/content/偏向", "词义详情")</f>
        <v/>
      </c>
      <c r="K7610">
        <f>HYPERLINK("https://yourei.jp/偏向", "查看例句")</f>
        <v/>
      </c>
    </row>
    <row r="7611">
      <c r="A7611" t="inlineStr">
        <is>
          <t>返済</t>
        </is>
      </c>
      <c r="B7611" t="inlineStr">
        <is>
          <t>成功</t>
        </is>
      </c>
      <c r="C7611" t="inlineStr">
        <is>
          <t>読み方：へんさい
［名］(スル)借りた金や物を相手に返すこと。「毎月一定額を—する」「ローンの—」</t>
        </is>
      </c>
      <c r="D7611" t="inlineStr">
        <is>
          <t>返済するため(3%)；返済でき(2%)；返済期限；返済不能；返済計画</t>
        </is>
      </c>
      <c r="E7611" t="inlineStr">
        <is>
          <t>返し；返す；返還；補償；返却</t>
        </is>
      </c>
      <c r="F7611" t="inlineStr">
        <is>
          <t>借金返済；債務返済；全額返済；ローン返済；借入金返済</t>
        </is>
      </c>
      <c r="G7611" t="inlineStr">
        <is>
          <t>返済負担</t>
        </is>
      </c>
      <c r="H7611" t="n">
        <v>29</v>
      </c>
      <c r="I7611" t="inlineStr">
        <is>
          <t>夫妻宅にあった返済日を裏書きして渡した自分の名刺を奪って去った。；飢餓の最悪期にも中国はソ連からの借款の返済に農作物を輸出していた。；それまでに返済出来なかった場合、家も妖精の樹も取り上げられてしまう。；出した金を後から返済して、身長が縮むのを待ってもらうことはできない。；また返済のための手段を明確化し、そのための適切な規制の必要性も出てくる。；観光バスで乗りに来る人も出てきて、借入金を返済することができた。；有利子負債は、会社が利子をつけて返済しなければならない負債である。；再建の約束の年となった1957年に債務をほぼ返済し、再建を達成。；商人からは借金・返済以外にも、米の売買および武器の購入ができる。；返済金の一部は日米教育文化交流計画に、大部分は低開発地域援助に充てられた。；彼のところに、以前五円を借りた友人が金の返済を迫りに訪れる。；借金返済のため、携帯電話の販売や人材派遣など様々な商売を手掛けた。；残った漁船の借金を共同で返済した後は、名瀬に移り住み小学校に入学。；競売にかけたりして国の返済能力が落ちたらどうするのかと凄んでみせたのである。；チャウシェスクは、これらの手段で得たお金を対外債務の返済に回した。；しかし彼らの社会的立場は仕えていた貴族に依存しており、貴族が返済に応じない事もあった。；男性の犯行理由は、キャバクラ通いでできた借金の返済のためであった。；このプロジェクトは6年かかり、完了後に費用を返済しなければならなかった。；残ったマンションを売却した資金で不動産の転売を続け、借金を返済した。；技術的負債を返済するために必要な作業量を正確に見積もることは困難である。；八代目の死により返済できなくなった市川家の借財は新勝寺が処理した。；作家として復活したのは雑誌の発行により抱えた借金を返済するためであった。；その一方、開催資金用の借入金の返済が2008年初頭までかかった。；つまり、資産をすべて売却しても、負債を返済しきれない状態である。；設立後は順調に業績を伸ばし、日本図書館協会整理部の負債を返済した。；これらは通常、故人やその家族から借りた負債の返済とされるためである。；また他の5億ドルも低利子で返済期間が長く、事実上の無償援助と言われた。；集めた資金は運転資金と幹部の借金返済に消えたとされている。；しかし、これは無理をし過ぎており1893年には債務を返済できなくなった。</t>
        </is>
      </c>
      <c r="J7611">
        <f>HYPERLINK("https://www.weblio.jp/content/返済", "词义详情")</f>
        <v/>
      </c>
      <c r="K7611">
        <f>HYPERLINK("https://yourei.jp/返済", "查看例句")</f>
        <v/>
      </c>
    </row>
    <row r="7612">
      <c r="A7612" t="inlineStr">
        <is>
          <t>返事</t>
        </is>
      </c>
      <c r="B7612" t="inlineStr">
        <is>
          <t>成功</t>
        </is>
      </c>
      <c r="C7612" t="inlineStr">
        <is>
          <t>読み方：へんじ
［名］(スル)
１呼びかけに対して答える言葉。答え。返答。「大きな声で—する」
２返答の手紙。返信。返書。「諾否の—が届く」
[用法]返事・返答——「速やかに誠意のある返事（返答）を期待する」ではともに用いられる。◇「返事」は呼びかけや問いかけに対する答えから、手紙・質問・依頼・招待などへの答えまで広く用いられる。「気のない返事」「返事はすぐ書いた方がいい」「読者の質問に返事を出す」◇「返答」は、特に質問・要求などに対する答えで、改まった感じが強い。「返答につまる」「あいまいな返答では納得できない」◇類似の語に「回答」がある。「回答」は公的な質問・要求などに対して文書または口頭で正式に答えること。「アンケートに回答する」「会社側の回答には不満だ」</t>
        </is>
      </c>
      <c r="D7612" t="inlineStr">
        <is>
          <t>返事をしよ；返事を出さ；返事をしたため；返事しろ；返事次第</t>
        </is>
      </c>
      <c r="E7612" t="inlineStr">
        <is>
          <t>答え；反応；返し；答える；応え</t>
        </is>
      </c>
      <c r="F7612" t="inlineStr">
        <is>
          <t>すぐに返事；よい返事；曖昧な返事；短い返事；どんな返事</t>
        </is>
      </c>
      <c r="H7612" t="n">
        <v>29</v>
      </c>
      <c r="I7612" t="inlineStr">
        <is>
          <t>それが島の未来のためだと理解しながらもコトーは返事を出来ずにいた。；だっていきなりどうだって言ったって、返事に困ってしまうじゃないの?；そこで私はこれに対してほぼ次のような意味の返事を出したのである。；上官は新しい指示がないので群衆を帰らせた方がいいとの返事であった。；ぼくは彼女の態度につられて、思わず知人のような返事をしてしまった。；見習士官だから、馬鹿気た返事をしなくてはならないと思ふのである。；けれども木村からの返事は、それに対する返事はいつでも同一なんです。；すると妻も気づいたと見え、まだ何とも言わないうちに僕の疑問に返事をした。；にもかかわらずマイトナーはすぐに返事を書いて次のように述べた。；英語で書かれたファンレターに感激し英語で返事を出したこともある。；女は雑誌を肘の下にしたまま、例の通りためらひ勝ちな返事をした。；実際に、いくつかのなぞかけは今日まで返事のないままのものもある。；しかし総司令部からの返事は阿南軍司令官の期待したものではなかった。；時間はかかったが、返事を書かない方が負担になると考えていた。；僕は善い加減な返事をしながら、だんだんこの散歩を苦にし出しました。；本人からも父親からも色よい返事をもらい、秋に二人は結婚した。；海外に従事するGIからのファンレターに自ら返事を出すことも多かった。；父親は大変心配して兄弟の所へ二度も手紙を出しましたが何の返事もありませんでした。；とにかく二三日中にはっきりした返事をすると約束しておせいはようやく父の宿を出た。；が、己にはその返事の容易だったのが、意外だったばかりではない。；ある朝かかって来た妙な電話に、宗太郎は適当な返事をしてしまう。；内気な性格から宮の御方自身は匂宮からの文に返事を出そうともしない。；近所の男性は「鼻や耳から血が出ていて呼びかけても返事もしない」と語った。；そして葉子が返事をする暇もなく立ち上がって階子段を降りて行こうとした。；メンバーがいくら連絡しても返事が来ず、そのうち本人からの連絡もなくなった。；福岡が電話で依頼した際も、工藤からははっきりした返事は無かった。；その場では返事できないので翌日返事をすることになる。；どちらかと云へば生來太い方の聲なので、返事をするのが自分にも聞える。；けれどもこの奥さんはすぐにもの静かに返事をしました。</t>
        </is>
      </c>
      <c r="J7612">
        <f>HYPERLINK("https://www.weblio.jp/content/返事", "词义详情")</f>
        <v/>
      </c>
      <c r="K7612">
        <f>HYPERLINK("https://yourei.jp/返事", "查看例句")</f>
        <v/>
      </c>
    </row>
    <row r="7613">
      <c r="A7613" t="inlineStr">
        <is>
          <t>編集</t>
        </is>
      </c>
      <c r="B7613" t="inlineStr">
        <is>
          <t>成功</t>
        </is>
      </c>
      <c r="C7613" t="inlineStr">
        <is>
          <t>読み方：へんしゅう
［名］(スル)一定の方針に従って資料を整理し、新聞・雑誌・書物などにまとめること。また、撮影済みの映像を映画などにまとめること。また、その仕事。「週刊誌を—する」「動画を—する」</t>
        </is>
      </c>
      <c r="D7613" t="inlineStr">
        <is>
          <t>編集者(8%)；編集長(6%)；編集部(5%)；編集局長；編集方針</t>
        </is>
      </c>
      <c r="E7613" t="inlineStr">
        <is>
          <t>構成；版；編纂；カット；要約</t>
        </is>
      </c>
      <c r="F7613" t="inlineStr">
        <is>
          <t>担当編集；雑誌編集；副編集；初代編集；編集機能</t>
        </is>
      </c>
      <c r="G7613" t="inlineStr">
        <is>
          <t>編集長；編集部；編集委員；編集技師；編集プロダクション</t>
        </is>
      </c>
      <c r="H7613" t="n">
        <v>29</v>
      </c>
      <c r="I7613" t="inlineStr">
        <is>
          <t>俳優ごとに別々に録音され、様々な部分を編集でつなぎ合わせたようだ。；編集者は、本や新聞などの刊行物や論文などの内容を編集する者である。；当時の担当編集者とは、よく映画や漫画以外の本についての話をしていた。；内容の難しさのみならず、原稿が未完成であったことも編集を困難にした。；ブリタニカの編集を望む者は、事前に本名と住所を登録する必要がある。；その最も一般的な方法は、ある特定のユーザの編集を禁止することである。；これはLPやCD時代の演奏技術の編集にも大いに影響を与えている。；冒頭の編集句を除いて、言葉が発せられた状況の描写や解説は一切ない。；社会的な団体に対する編集禁止措置を取ったのはこれが初めてとなる。；なお、大学や高等学校で学生が編集する新聞は学生新聞とも呼ばれる。；また、データ編集によってユニットの配置ルールを変更することもできた。；承認後、最終的な文章には編集上のわずかな変更しか加えることができない。；テキストエディタの利用目的のひとつに、日常的な文書の編集がある。；この他にOVAの内容を編集して1巻にまとめた劇場版が発売されている。；日本初の合作映画となるはずであったが、未編集のまま公開されなかった。；編集方針の決定や原資料の選択は政治的に有力者が主導したものと推測されている。；放送日当日の昼か夕方に収録が行われ、編集作業を終えた後に放送されていた。；大学の授業にはあまり出席せず、新太陽社で編集のアルバイトをしていた。；上記の番組と同様、過去の放送回の一部を5分に編集した番組である。；ポスト紙編集委員会の支持決定は、編集室の運営とは別のものである。；自身の精神的苦痛を訴えると同時に、歴代担当編集者を実名で批判した。；他局・前後番組との違いは、全記事を編集長であるラサールが選んだ。；また現在でも、当時の写真を再編集した書籍や写真集が発売されることがある。；現存する映像はすべてテレビ画面をフィルムカメラで撮影し編集したものである。；都道府県委員会など地方組織の指導機関が編集・発行する地方機関紙もある。；そのため撮影が終了する頃には、編集もほとんど済んでしまうことが多かった。；また、記事編集の際には以下のスタイルを基本として自由に拡張してください。；TIFFは画像を編集する中間段階で用いることが下記のような理由で効果的である。；山口県下関市に本社を置くみなと山口合同新聞社が編集・発行している。</t>
        </is>
      </c>
      <c r="J7613">
        <f>HYPERLINK("https://www.weblio.jp/content/編集", "词义详情")</f>
        <v/>
      </c>
      <c r="K7613">
        <f>HYPERLINK("https://yourei.jp/編集", "查看例句")</f>
        <v/>
      </c>
    </row>
    <row r="7614">
      <c r="A7614" t="inlineStr">
        <is>
          <t>便所</t>
        </is>
      </c>
      <c r="B7614" t="inlineStr">
        <is>
          <t>成功</t>
        </is>
      </c>
      <c r="C7614" t="inlineStr">
        <is>
          <t>読み方：びんしょ
中世、将軍や貴族の邸宅で、髪を整えたり衣服をあらためたりした室。</t>
        </is>
      </c>
      <c r="D7614" t="inlineStr">
        <is>
          <t>便所掃除；便所付き；便所なし；便所へ行つて；便所サンダル</t>
        </is>
      </c>
      <c r="E7614" t="inlineStr">
        <is>
          <t>トイレ；憚；洗面所；便器；厠</t>
        </is>
      </c>
      <c r="F7614" t="inlineStr">
        <is>
          <t>汲み取り式便所；辻便所；落下式便所；改良便所；起きて便所</t>
        </is>
      </c>
      <c r="G7614" t="inlineStr">
        <is>
          <t>便所の落書き；便所紙；便所虫；便所コオロギ；便所遺構</t>
        </is>
      </c>
      <c r="H7614" t="n">
        <v>29</v>
      </c>
      <c r="I7614" t="inlineStr">
        <is>
          <t>一般室と特別室の境界部に一体化した便所及び洗面所が設置されている。；彼は罪跡をくらます為にあんな便所を借りた男のことを云ったのですよ。；便所のところには板でこしらえた小さい屏風のようなものが立ててある。；一時間程して下女が便所に出て来たので下女を呼んで内へ入れて貰つた。；そのために便所はそれらの生物の飼育場所に隣接して作られることがある。；便所は撤去され立席スペースとなったほか、一部の座席が撤去されている。；その夜のことだ、私はどうしても便所へ入る必要に迫られたものであった。；或る朝、氏が帯の端を垂らしてだらしなく廊下を歩いて便所に行く後姿。；僕も便所が下にあるくらいのことは何でもないと思って、平気で聞いていた。；十のつく日、即ち十日、二十日、三十日には便所の掃除をしてはならぬ。；これは、便所のある場所をわかりやすく示すことが主な目的である。；トイレは後述のとおり使用停止だったため、便所流し管が撤去された。；便所は登場時は全て和式であったが、のちに一部が洋式に改造されている。；そしてすぐに食堂の隣の便所へ入り、ジャケットと鞄を床に放り投げた。；便所は駅スペースの都合上、駅とは離れた場所に設置されている。；おれはその時だれにも見せないで、すぐ便所へほうり込んでしまった。；キリストと同じように、みんな牛小屋か便所の中かなんかに生れているのである。；これらの便所では、手を拭くための紙が使用後無料で渡されることもある。；移つてから二月ほど経つた或夜の事、私の母が夜半に起きて便所に行く。；しかも一部は便所付き車両を導入するなど旅客サービス水準は高かった。；離れの後を廻って便所の裏、そんなところは誰も水を運んでこない。；離れの後を廻つて便所の裏、そんなところは誰も水を運んでこない。；僕は幾度も、あるいは便所で、あるいは自分の室で、そっとそれをした。；各車両とも便所側にロッカー・ビデオ装置・カラオケ装置を設置した。；母屋には便所はないので、一旦外へ出ないと便所に行けないのである。；個人住宅跡では一般的に穴を1個空けただけの便所が台所かその近くにあった。；この部屋にある、地面に直接掘られた穴が彼らのための便所だった。；便所は洋式のものが前後に1箇所ずつ設置され、水タンクも増量された。；教師達は五人も六人も玄関から出て来て、交る交る裏手の便所へ通つた。</t>
        </is>
      </c>
      <c r="J7614">
        <f>HYPERLINK("https://www.weblio.jp/content/便所", "词义详情")</f>
        <v/>
      </c>
      <c r="K7614">
        <f>HYPERLINK("https://yourei.jp/便所", "查看例句")</f>
        <v/>
      </c>
    </row>
    <row r="7615">
      <c r="A7615" t="inlineStr">
        <is>
          <t>返上</t>
        </is>
      </c>
      <c r="B7615" t="inlineStr">
        <is>
          <t>成功</t>
        </is>
      </c>
      <c r="C7615" t="inlineStr">
        <is>
          <t>読み方：へんじょう
［名］(スル)返すことを、相手をうやまい、へりくだっていう語。また、一般に、返すこと。または、受け取らないこと。「タイトルを—する」「休日を—して働く」「汚名—」
「ちゃんと金が出来るからすぐに—する」〈福沢・福翁自伝〉</t>
        </is>
      </c>
      <c r="D7615" t="inlineStr">
        <is>
          <t>返上すること(3%)；返上しよ；返上願い；返上する事；返上する旨</t>
        </is>
      </c>
      <c r="E7615" t="inlineStr">
        <is>
          <t>戻し；返す；返還；戻す；還元</t>
        </is>
      </c>
      <c r="F7615" t="inlineStr">
        <is>
          <t>政権返上；位記返上；開催返上；王座返上；領地返上</t>
        </is>
      </c>
      <c r="H7615" t="n">
        <v>29</v>
      </c>
      <c r="I7615" t="inlineStr">
        <is>
          <t>革命検察部長在職時に残った予算を政府に返上したことで話題となった。；そのため位以外の栄典は、返上についての規定自体存在していなかった。；また、返上ではなく、剥奪という表現となったことへの不満を表明した。；そのため、土曜日にプロ野球中継がある時はしばしば番組が返上された。；長期休業に入らざるを得なくなったため、世界ヘビー級王座を返上した。；快復した翌年に少し騎乗したが、体の調子が悪く、騎手免許を返上した。；そのうち現存するのは85家、返上または廃止されたのは3家である。；杜弢は秀才に推挙された時の推薦書を返上すると、辞職して家に帰った。；同王座は2度防衛した後に返上し、階級をスーパーフェザー級に上げた。；代表権を返上して会長となり、アトラス社長・奥出信行に社長職を譲る。；その後リーガンは同王座を1度も防衛することなく返上し現役を引退した。；また、Jリーグなどのサッカー中継で枠を返上することが年に数回あった。；しかしそのままCMLLに定着することはなく再び離脱し王座も返上。；町は1875年に正式に法人化されたが、1933年に法人を返上した。；獲得した王座はすぐに返上し、この試合を最後に現役を引退した。；大須賀氏の領地は榊原家に吸収されたりはせず、幕府に返上となった。；認定こども園として新たに開設されたが、2015年に認定を返上した。；なお、同賞が返上されるのは創設以来初めての事態であった。；当初は、インドでの開催が決定していたが、政情不安などを理由に開催を返上。；状況を打破しようとして帝位の返上も考えたが、部下たちから反対された。；ノンタイトル戦であるが、敗北したらタイトルを返上すると宣言した。；ところがその年の4月にブラディーらが大量離脱、同時に同王座も返上。；返上された市側には運営の余力はなかったため三施設とも直ちに閉鎖となった。；また領主の権利を三代で王に返上する法を定め、民衆、特に農民層を重視した政策を取った。；しかし、慶応3年に実美が罪を許され帰京したことで家督を返上した。；山形新聞や河北新報のように一部の休刊日を返上する新聞も稀にある。；万年最下位という汚名を返上し、チームを躍進させるきっかけを作った。；これを受けた黒澤は競技ライセンスを返上し、一時は現役を去った。；その後、12月15日に世界王座挑戦へ専念するため同王座を返上した。</t>
        </is>
      </c>
      <c r="J7615">
        <f>HYPERLINK("https://www.weblio.jp/content/返上", "词义详情")</f>
        <v/>
      </c>
      <c r="K7615">
        <f>HYPERLINK("https://yourei.jp/返上", "查看例句")</f>
        <v/>
      </c>
    </row>
    <row r="7616">
      <c r="A7616" t="inlineStr">
        <is>
          <t>弁償</t>
        </is>
      </c>
      <c r="B7616" t="inlineStr">
        <is>
          <t>成功</t>
        </is>
      </c>
      <c r="C7616" t="inlineStr">
        <is>
          <t>読み方：べんしょう
［名］(スル)人に与えた損害を、金銭または物品によって埋め合わせすること。「割った窓ガラスを—する」</t>
        </is>
      </c>
      <c r="D7616" t="inlineStr">
        <is>
          <t>弁償する(18%)；弁償金(8%)；弁償しろ(2%)；弁償代</t>
        </is>
      </c>
      <c r="E7616" t="inlineStr">
        <is>
          <t>報酬；払う；手当；代償；補償</t>
        </is>
      </c>
      <c r="F7616" t="inlineStr">
        <is>
          <t>たら弁償；弁償すること</t>
        </is>
      </c>
      <c r="H7616" t="n">
        <v>29</v>
      </c>
      <c r="I7616" t="inlineStr">
        <is>
          <t>しかしながら具体的な弁償効果は多くを期待することはできないだろう。；ブルナ・ブリアシュはエジプトに犯人の処刑と被害の弁償を訴えている。；金額的にも大きなものではなく、弁償するにしてもたいしたことはない。；そうすれば学校側で弁償金を立て替えておくそうだが、どうするかね?；その小さな部署の長は無影の父であり、当然、彼の弁償額が一番多い。；この時は大久保の父が損害を弁償して示談となり、不起訴処分となった。；そうなったのはぼくだけの責任ではないにしても、いくらかは弁償しなければならないであろう。；二見 弁償するつて云つても、向うぢや気持よく思はないでせう。；分かりやすく言うと、うちの相棒がぶち壊した船の代金を弁償してくれ。；養家から出してもらった学資は、実家で弁償する事になったのです。；故郷の村で火事を出し、弁償の費用を稼ぎに海を渡ったのである。；その後、小屋の主人にこのことを話し弁償する約束をした。；これ以上破壊されたら君から弁償代を払ってもらうからな。；実際にはブラジル大使館員の車であり、後に弁償することとなる。；この事件を受け、銀行は全被害者に弁償した上で新たなセキュリティシステムを導入した。；買いもしなかった他人の配当を弁償しなくてはならない。；さらに借金が増加したが、ビデオテープを弁償する形で決着をつけた。；しかし、光子は弁償のために働いた看板屋の社長、中尾重蔵の娘だった。；いっぺんには無理でも、バイトを増やして少しずつ弁償するつもりでいた。；はじめから抵抗すると、結局、交渉ごとがもつれて弁償が高いものにつくからだ。；いつかきっちり弁償してもらうが、今はとにかく目先の宿と食い物である。；此兄が自分の放蕩費を苦情も云はずに弁償して呉れた事があるんだから可笑しい。；なんとかして、わしは、あの気の毒な男に弁償してやらねばならん。；気の強いドライバーで、かえって弁償金を取られそうになった。；と申すのはその持主に代価を弁償せずに、切り開ける事は出来ないのです。；父に弁償してもらうことにして許された。；スタジオには事務所が弁償してくれたけどな。；その兵士のポケットマネーで君のヘッドライトの弁償でもさせようという気かね。；それをお前が助けにいくか、それとも金で弁償するか。</t>
        </is>
      </c>
      <c r="J7616">
        <f>HYPERLINK("https://www.weblio.jp/content/弁償", "词义详情")</f>
        <v/>
      </c>
      <c r="K7616">
        <f>HYPERLINK("https://yourei.jp/弁償", "查看例句")</f>
        <v/>
      </c>
    </row>
    <row r="7617">
      <c r="A7617" t="inlineStr">
        <is>
          <t>変身</t>
        </is>
      </c>
      <c r="B7617" t="inlineStr">
        <is>
          <t>成功</t>
        </is>
      </c>
      <c r="C7617" t="inlineStr">
        <is>
          <t>読み方：へんしん
［名］(スル)他のものに姿を変えること。別の姿・ようすになること。「人間が鬼に—する話」「ダイエットに励んでスリムに—する」
[補説]書名別項。→変身</t>
        </is>
      </c>
      <c r="D7617" t="inlineStr">
        <is>
          <t>変身する(22%)；変身後(3%)；変身できる(3%)；変身能力(2%)；変身前(2%)</t>
        </is>
      </c>
      <c r="F7617" t="inlineStr">
        <is>
          <t>変身ヒロイン；強化変身；変身解除；変身ぶり；変身完了</t>
        </is>
      </c>
      <c r="G7617" t="inlineStr">
        <is>
          <t>変身ヒーロー；変身アイテム；変身ベルト；変身ブーム；変身願望</t>
        </is>
      </c>
      <c r="H7617" t="n">
        <v>29</v>
      </c>
      <c r="I7617" t="inlineStr">
        <is>
          <t>男性体と女性体の二つの姿に変身する力があるようで、男性体で初登場。；人が中に入って動物の姿を思い浮かべると、その動物の姿に変身できる。；それは、変身したバンパイヤを本物の動物に変えてしまう作用があった。；ただし変身には全身の細胞を作り変えるため、ある程度の時間を要する。；両手を封じられてポーズがとれないときは、その場で回転して変身する。；目を閉じながらこれを飲んで再び目を開けると、最初に見た物に変身できる。；かつては速球派投手であったが、韓国球界在籍時に技巧派へと変身した。；また、メフィストと契約してウサギ・馬・花に変身する能力を得たことも。；さらに、出木杉の頭には角が生えており、先生に至っては怪物に変身。；そのため、戦闘はさまざまなヒーローに変身しながら行うことになる。；日本ではこぐま座はアルカスが変身させられたとする話が主流となっている。；この法則とは別に特定の組み合わせでのみ変身できる特殊変身もある。；このパターンが基本だが、変身ポーズを省略したことも何度かあった。；ゲットアミをサルに奪われ使用された場合、変身状態のまま捕獲される。；二段変身後はスカート部分が変化し、髪形がツインテールになっている。；デュナミスト自身の力を解放してアンファンスから二段変身した戦闘形態。；鳴き声を出す動物の場合、姿が変身する前に鳴き声を出すことがある。；変身すれば、実際の年齢とは無関係に全盛期の肉体を得ることが可能。；ヒロインが憧れる男性が、自身が変身した姿のほうに恋したりするのである。；なお、その際は本来の効用もしっかり発揮され、狼にも変身していた。；服装は変身前から上着のないものとなるが、変身を解くと服装も元に戻る。；頭に浮かべたイメージがいい加減だった場合、変身した姿もいい加減になる。；ダンがセブンに変身できない時や時間稼ぎが必要な際、彼の代わりに戦う。；変身能力を持つラセスタ星人は5歳を過ぎると元の姿に戻れなくなる。；人形を手に入れて変身できるようになったカワルの日常生活を描く。；人間に変身していない巨大ファントムなどの宿主やゲートは記さない。；ギリシア神話でゼウスがさまざまな動物に変身して女性と交わる話が有名。；アイテムに化けたり、他のモンスターに見た目だけ変身する能力を持つ。；しかし、小学生になると先生からのが疑われるような目立つ子に変身した。</t>
        </is>
      </c>
      <c r="J7617">
        <f>HYPERLINK("https://www.weblio.jp/content/変身", "词义详情")</f>
        <v/>
      </c>
      <c r="K7617">
        <f>HYPERLINK("https://yourei.jp/変身", "查看例句")</f>
        <v/>
      </c>
    </row>
    <row r="7618">
      <c r="A7618" t="inlineStr">
        <is>
          <t>返信</t>
        </is>
      </c>
      <c r="B7618" t="inlineStr">
        <is>
          <t>成功</t>
        </is>
      </c>
      <c r="C7618" t="inlineStr">
        <is>
          <t>読み方：へんしん
［名］(スル)返事の手紙や電子メールを送ること。また、その手紙やメール。返書。「友人からのメールに—する」⇔往信。</t>
        </is>
      </c>
      <c r="D7618" t="inlineStr">
        <is>
          <t>返信する(7%)；返信用封筒(2%)；返信メール；返信先；返信用切手</t>
        </is>
      </c>
      <c r="E7618" t="inlineStr">
        <is>
          <t>答え；返事；返し；応え；回答</t>
        </is>
      </c>
      <c r="F7618" t="inlineStr">
        <is>
          <t>すぐに返信；書いて返信</t>
        </is>
      </c>
      <c r="H7618" t="n">
        <v>29</v>
      </c>
      <c r="I7618" t="inlineStr">
        <is>
          <t>さらに出席の返信枚数から実際に会へ出席する者が何十名かを推定する。；だからと言ってアルフェッカ号からの返信がなかったことにはならない。；相互フォローを行っているほか、できる限りの範囲で返信を行っている。；出来る限り返信するようにしていますので良かったら送ってくださいませ。；また往復はがきは往信部分と返信部分のサイズが同様である必要がある。；その返信は来なかったが、明乃はそれを実行して山手線に揺られている。；彼は、ジャイルズが出したヘレンの情報を求める広告に返信をしてくる。；これまで、手紙は常にこちらからの一方通行で、返信はなかったという。；ほぼ全てのユーザーの書き込みにプロデューサー自らが返信を行っている。；するとわずか三十秒ほどで返信があったらしく、俺はほっと息をついた。；サマンサはこの手紙が発表されたことを喜んだが、返信が来なかった。；それは当分仕方がないだろう、誰の人生にも一度はあることだ、と返信。；この手紙が本物である場合、日遙は二通目の返信を送っていたことになる。；その後、返信があった中から熱意を持ってくれたチームと直接交渉している。；私はすぐに返信を出したが、メールは受け取り拒否されて戻ってきた。；店の在庫ではなく、個人のコレクションである旨を書いて返信したんです。；なお、使用していた旧電池パックは返信用封筒にて返送する必要がある。；誰にでも通話できるわけではなく、返信をした相手のみかけることが可能。；加賀香子からの返信らしきものは一通もなくて、一応それだけは安心した。；それのご返信数百枚にのぼるものを編集の手をへて私も拝見した。；以前にも書きましたが、当方いささか事情あって、返信ができません。；ポアロは返信するが、その後音信は無く依頼主は死亡したことを知る。；兄さんが返信をしても、お父様のところで止められていただけでしょうから。；往人は自分の正気を疑いながらもメールに返信するようになっていた。；僅少の返信料といえども、九地建か貴庁が負担すべきものと思われます。；こちらの方は申し訳ありませんが、早い段階での返信はできません。；ベリカードの発行には140円相当の返信用切手を同封する必要がある。；しかしどちらからの返信も、ここへ届くまで長い時間がかかります。；川端はそれに返信したが、その後初代からの返事がすぐに来ないので焦燥した。</t>
        </is>
      </c>
      <c r="J7618">
        <f>HYPERLINK("https://www.weblio.jp/content/返信", "词义详情")</f>
        <v/>
      </c>
      <c r="K7618">
        <f>HYPERLINK("https://yourei.jp/返信", "查看例句")</f>
        <v/>
      </c>
    </row>
    <row r="7619">
      <c r="A7619" t="inlineStr">
        <is>
          <t>編成</t>
        </is>
      </c>
      <c r="B7619" t="inlineStr">
        <is>
          <t>成功</t>
        </is>
      </c>
      <c r="C7619" t="inlineStr">
        <is>
          <t>読み方：へんせい
［名］(スル)個々のものを集めて組織的なまとまりとすること。「番組を—する」「予算—」「十両—の列車」</t>
        </is>
      </c>
      <c r="D7619" t="inlineStr">
        <is>
          <t>編成される(4%)；編成局；編成部；編成以降；編成替え</t>
        </is>
      </c>
      <c r="E7619" t="inlineStr">
        <is>
          <t>構成；設立；組織；系；システム</t>
        </is>
      </c>
      <c r="F7619" t="inlineStr">
        <is>
          <t>全編成；特別編成；両編成；部隊編成；大編成</t>
        </is>
      </c>
      <c r="G7619" t="inlineStr">
        <is>
          <t>編成単位</t>
        </is>
      </c>
      <c r="H7619" t="n">
        <v>29</v>
      </c>
      <c r="I7619" t="inlineStr">
        <is>
          <t>その後両編成は下記の通り装飾が変遷し、イベントなどにも使用された。；それ以外の編成では横から見て中央より1つ右の側窓上部に設置している。；この編成以降は扉と主電動機の出力、台車などの設計は統一されている。；X編成では当初速度表示もなされていたが後に取りやめとなっている。；初期に改造された4編成は種別表示器が他車よりも低い位置にあった。；軍事力は中央政府に統一されたが、連隊以下は民族別編成とされている。；朝ラッシュ時は5編成が、そのほかの時間は4編成が運用に入っている。；ルクッルスは現地のものと合わせて5個軍団を中核とする軍を編成した。；離脱した編成の経年の浅い車両を他編成に組み込む組成変更が行われた。；ほとんど地下区間での運用となることから、大半の編成が冷房準備車だった。；本形式は登場以来需要の変化に対応するため、頻繁に編成が組みかえられた。；本系列の編成総数は、東京地下鉄における同一形式の最大編成数である。；これらは中川短絡線を経由する名阪特急の編成に合わせているためである。；ただし、1編成しか在籍していなかったため、検査日は0系が代走した。；内陸国ゆえに海軍は存在せず、大きな河川も無いため河川軍も編成していない。；その後は第01・02編成のみ後年に改造で車椅子スペースを設置した。；第14編成と同様に電動車の床に設置されていたトラップドアは廃止された。；なお、これよりもさらに大きな編成で書かれた巨大編成の作品もある。；現行の編成では編成組成や機器の違いからそれぞれ呼称方法がある。；なお後述の通り、R1編成は2022年現在も和田岬線で活躍している。；これはW1編成でテストを行って騒音値について調べてから装着された。；同社に入籍後は、既存車と編成を組み替えられ、以下の配置経歴を持つ。；現在までに運用を離脱した編成と時期は以下の通り。；各形式とも同一編成中で下2桁は同番号または同番号+50となっている。；なお、2022年9月23日現在で最長編成の列車は以下の通りとなる。；日比谷線内では全ての編成で自動放送と共に表示することが出来る。；他編成と完全共通運用であり、大阪環状線内のみの運用にも充当されている。；これらを運転中に編成落としをしたり、分離運転したりする。；各編成の運転開始日・終了日・テーマは次の通り。</t>
        </is>
      </c>
      <c r="J7619">
        <f>HYPERLINK("https://www.weblio.jp/content/編成", "词义详情")</f>
        <v/>
      </c>
      <c r="K7619">
        <f>HYPERLINK("https://yourei.jp/編成", "查看例句")</f>
        <v/>
      </c>
    </row>
    <row r="7620">
      <c r="A7620" t="inlineStr">
        <is>
          <t>変遷</t>
        </is>
      </c>
      <c r="B7620" t="inlineStr">
        <is>
          <t>成功</t>
        </is>
      </c>
      <c r="C7620" t="inlineStr">
        <is>
          <t>読み方：へんせん
［名］(スル)時の流れとともに移り変わること。「歌もまた時代につれて—する」</t>
        </is>
      </c>
      <c r="D7620" t="inlineStr">
        <is>
          <t>変遷表；変遷史；変遷過程；変遷を知る上；変遷明治時代</t>
        </is>
      </c>
      <c r="E7620" t="inlineStr">
        <is>
          <t>変更；変化；歴史；化する；移行</t>
        </is>
      </c>
      <c r="F7620" t="inlineStr">
        <is>
          <t>様々な変遷；王座変遷；大きな変遷；歴史的な変遷；大きく変遷</t>
        </is>
      </c>
      <c r="H7620" t="n">
        <v>29</v>
      </c>
      <c r="I7620" t="inlineStr">
        <is>
          <t>その後両編成は下記の通り装飾が変遷し、イベントなどにも使用された。；そして時代の変遷にともない以下のポイントルールに厳格化していった。；歴史は短いながら車両規定の変遷が激しく、廃止と復活も経験している。；多少の変遷があるが、説が確立した時期には星野通は次のように述べる。；合併などによる名称変更など、地名の変遷は各町のページを参照のこと。；トゥビンがあまり有名とはいえないのは、このような変遷のためである。；その後の仙台放送制作・東北電力提供番組は以下のように変遷している。；自動車はその歴史のなかで様々な構造が現れ、変遷を繰り返してきた。；時の権力の変遷に伴って法住寺はいくつかの近隣寺院と関係を持った。；国府は数度変遷したと見られており、現在では次のように推定されている。；本拠地の変遷は先述の通りであるが、他に下記のような移転計画があった。；半世紀以上の歴史の中で、部門数・名称・内容は数々の変遷を重ねている。；以降メンバーの変遷を経ながらも、コンスタントに作品をリリースする。；時代は必然的に変遷するのであり、それに合わせて政治も変わるのである。；朝日遺跡の変遷を考える上で無視できないのが、中期後葉の変化である。；その後、以下のような変遷を経て、流路を北にずらして今の流れになった。；以下にその変遷を記述するが、いずれも推定であることに注意されたいところ。；このデータを活用して製作過程における図像の変遷も明らかにされた。；この内、造形表現が豊かで時代の変遷を最もよく示す遺物が土器である。；このころからのルールの変遷は比較的正確に知ることができる。；以後は加盟の変遷を繰り返しながら現在の近畿学生野球連盟へと至る。；千葉県内の事情や国内の変遷に合わせて変化してきた学校である。；オートバイの構造は、その歴史のなかで様々な形態が現れ、変遷してきた。；また人件費削減も頻繁に行われており、選手給与も大きく変遷している。；名称と渡船場所は時代とともに変遷しているため、代表的なものを記す。；また、考古学的知見は新事実の発見や分析の発展で変遷することがある。；全国総合開発の歴史は国の地域政策の変遷の歴史でもある。；この大会の出場の条件や出場校数は過去に数度の変遷を辿っている。；独立してからの日本語での正式名称は、以下のように変遷している。</t>
        </is>
      </c>
      <c r="J7620">
        <f>HYPERLINK("https://www.weblio.jp/content/変遷", "词义详情")</f>
        <v/>
      </c>
      <c r="K7620">
        <f>HYPERLINK("https://yourei.jp/変遷", "查看例句")</f>
        <v/>
      </c>
    </row>
    <row r="7621">
      <c r="A7621" t="inlineStr">
        <is>
          <t>偏重</t>
        </is>
      </c>
      <c r="B7621" t="inlineStr">
        <is>
          <t>成功</t>
        </is>
      </c>
      <c r="C7621" t="inlineStr">
        <is>
          <t>読み方：へんちょう
［名］(スル)物事の一面だけを重んじること。「学力を—する教育」</t>
        </is>
      </c>
      <c r="D7621" t="inlineStr">
        <is>
          <t>偏重主義(3%)；偏重論；偏重傾向；偏重教育；偏重しがち</t>
        </is>
      </c>
      <c r="E7621" t="inlineStr">
        <is>
          <t>だけ；のみ；ばかり；しか；ばっかり</t>
        </is>
      </c>
      <c r="F7621" t="inlineStr">
        <is>
          <t>技術偏重；自白偏重；攻撃偏重；受験偏重；内容偏重</t>
        </is>
      </c>
      <c r="H7621" t="n">
        <v>29</v>
      </c>
      <c r="I7621" t="inlineStr">
        <is>
          <t>日本のドイツ音楽偏重志向はこのときから始まると言えるかもしれない。；特に世界遺産観光での偏重傾向にはマスツーリズムの影響が強いと指摘。；また大学を選ぶ学生に、首都圏の大学進学に偏重する傾向も指摘される。；機械の偏重から得たものは、新たな深刻な生活の不安に過ぎない。；また、漢学に偏重した内容に異議を唱え、国学を学ぶことを認めさせた。；化学は偏重、解剖は体系的でなく、怪奇事件と犯罪記録は及ぶものなし。；理由の1つには、過去に行われた実験や研究では、選択に偏重が生じていた点がある。；日本における教育の内容は、知識偏重と批判されることがあった。；この物語も亦決して日本のみに偏重したことは述べてない。；しかし、暗算偏重の方法には批判があり筆算中心の水道方式が提唱された。；逆に近くの商店街まで延伸することで駅ナカ偏重を回避することも期待される。；日本において標準語が偏重され方言が軽んじられていることを批判している。；このことは、フィクション偏重の読書界からは、つい忘れられがちである。；それを経験学習していくんですから、影響を受けて、同じ思考傾向の偏重を見せる。；こうした工学偏重の動きに対して、建築の芸術性を主張したものであった。；そうしてこの傾向は真の一字を偏重視するからして起った多少病的の現象だと云うてもよいだろうと思います。；近年のブランド偏重のマーケティングの一変形パターンともいえる。；番組はゲーム偏重の内容で占められ、放送時間の大半がこれらの再放送となった。；それは、権力の偏重が生じないようにするためである。；それほどこの行列は内容を脱却した英国人通弊の趣向偏重に陥つて居る。；単にデザインに偏重するだけでなく、線に変化をつけることで、安全性も確保している。；作品内容は「本番」と呼ばれる性行為そのものに偏重したものが中心であった。；また、かねてから温暖化対策に偏重したエネルギー政策を批判している。；長調偏重の時代にもかかわらず短調を主調とした曲を多く書くところにもそれが現れている。；問題として挙げられるのが、欧州馬偏重となっていることである。；そういう意味では、脳死が死だというほど脳を偏重するのは、一種の信仰にちかい。；近年は住宅市場向け偏重から一般建築市場向けも含めた建築・土木市場全体に成長機会を求めるべく事業の再構築を進めている。；特にフラッテドフィフスのサウンドが好きで何かというとその音を偏重する。；事実、新卒採用がなかった時期があるなど経営改善に偏重しすぎた面も見受けられた。</t>
        </is>
      </c>
      <c r="J7621">
        <f>HYPERLINK("https://www.weblio.jp/content/偏重", "词义详情")</f>
        <v/>
      </c>
      <c r="K7621">
        <f>HYPERLINK("https://yourei.jp/偏重", "查看例句")</f>
        <v/>
      </c>
    </row>
    <row r="7622">
      <c r="A7622" t="inlineStr">
        <is>
          <t>返答</t>
        </is>
      </c>
      <c r="B7622" t="inlineStr">
        <is>
          <t>成功</t>
        </is>
      </c>
      <c r="C7622" t="inlineStr">
        <is>
          <t>読み方：へんとう
［名］(スル)問いに対して答えること。また、その答え。返事。「—に窮する」「手紙で—する」
→返事［用法］</t>
        </is>
      </c>
      <c r="D7622" t="inlineStr">
        <is>
          <t>返答でき；返答次第；返答書；返答ぶり；返答しろ</t>
        </is>
      </c>
      <c r="E7622" t="inlineStr">
        <is>
          <t>答え；反応；返事；返し；答える</t>
        </is>
      </c>
      <c r="F7622" t="inlineStr">
        <is>
          <t>明確な返答；口返答；御返答；曖昧な返答；短い返答</t>
        </is>
      </c>
      <c r="H7622" t="n">
        <v>29</v>
      </c>
      <c r="I7622" t="inlineStr">
        <is>
          <t>定家はそのようなことになった場合は籠居すれば良い、と返答している。；また、読者からの手紙・質問にはほとんど返答を出すことでも知られる。；それに対し、男が笑ってこう返答した事が、以下の通りに書かれていた。；この二つの返答から法廷はどうか私の判断を認識していただきたいのです。；これらの結論は多くの人から容易に信じられないという返答を受けた。；ヘンリーの返答を聞いた博士は、時間が進んでいないことに気が付いた。；またその文書の返答に使われる言語も送付した文書と同じ言語で作成される。；機長は着陸許可は得たかと聞き、副操縦士はまだ得ていないと返答した。；説得工作は返答から分かる武将の性格に応じて行うことで成功率が高くなる。；他の近くの個体からの返答を導き出さないこの行動の目的はまだ知られていない。；この手紙に対して、井上は返事の手紙を送ったが伊藤は返答しなかった。；糜芳は姿を見せず返答もしなかったが、急いで虞翻の船を避けさせた。；これに答えてしまうと、甘酒がある、ないのいずれの返答でも病気になる。；しかし特別委員を倍数の候補者の中から選定することを近衛に返答した。；しかしながらドイツは何の返答もしないままに、絵画はソ連から返還された。；その返答は「メロディが変わっているようですね」というものであった。；このようなメッセージに対してどう返答することができるだろうか?；その返答に失望した同士は、それでも以下の様な記述を残している。；他の否定語と異なり と は単独で返答に使うことはできないが、強調されていれば良い。；この際、近衞は「ご命令とあれば身命を賭していたします」と返答した。；香港政府ではの局長李家超が4月にとを通じて交渉を行ったと返答した。；これに対し、将軍・徳川家茂は翌年上京し返答すると勅旨を受け取った。；しかしその翌年、毛利輝元にその約束の実行を訴えたが、返答は空分となる。；その盗聴された会話の中で、安藤は「まだ大丈夫です」と返答している。；しかしやはり写真の少年のことは知らないと返答される。；返答しなかった場合は市民に香港政府庁舎の包囲を呼びかけるとした。；中国に続いて韓国も否定的な返答を寄せたという。；職員のなぜ解散するのかという質問には「天の声である」と返答した。；セテワヨは12月11日の要求を拒否してこの年の終わりまで返答しなかった。</t>
        </is>
      </c>
      <c r="J7622">
        <f>HYPERLINK("https://www.weblio.jp/content/返答", "词义详情")</f>
        <v/>
      </c>
      <c r="K7622">
        <f>HYPERLINK("https://yourei.jp/返答", "查看例句")</f>
        <v/>
      </c>
    </row>
    <row r="7623">
      <c r="A7623" t="inlineStr">
        <is>
          <t>変動</t>
        </is>
      </c>
      <c r="B7623" t="inlineStr">
        <is>
          <t>成功</t>
        </is>
      </c>
      <c r="C7623" t="inlineStr">
        <is>
          <t>読み方：へんどう
［名］(スル)事態に動きがあって、変化すること。「激しく—する社会」</t>
        </is>
      </c>
      <c r="D7623" t="inlineStr">
        <is>
          <t>変動する(17%)；変動期；変動リスク；変動性；変動率</t>
        </is>
      </c>
      <c r="E7623" t="inlineStr">
        <is>
          <t>変更；変化；異なる；違う；化する</t>
        </is>
      </c>
      <c r="F7623" t="inlineStr">
        <is>
          <t>大変動；大きな変動；価格変動；季節変動；順位変動</t>
        </is>
      </c>
      <c r="G7623" t="inlineStr">
        <is>
          <t>変動幅；変動金利；変動費；変動地形；変動為替相場制</t>
        </is>
      </c>
      <c r="H7623" t="n">
        <v>29</v>
      </c>
      <c r="I7623" t="inlineStr">
        <is>
          <t>またそれに伴って精神的にも周期的に変動すると指摘されることもある。；太陽の活動状態の変動も地球の気候に非常に大きな影響を与えている。；ポイントの有効期限は最後にポイントの変動があってから1年間である。；一つのコマンドを実行すると日が進み、3回日が進むと季節が変動する。；ダメージ値は通常2点であるが、武器・魔法などで変動することもある。；それぞれの食事に割り当てられた被験者の体重は以下のように変動した。；自然界では環境条件は常に変化し、個体群変動のパターンも様々となる。；年毎に難易度と傾向が大きく変動するので、予想することは困難である。；しかし、このような平均値は年間流量の変動が大きいことを隠してしまう。；これはゲーム中にプレイヤーがさまざまな行動をすることによって変動する。；第二次大戦後になると、経済変動の二次的波及を受ける地域となっている。；この変動性も、赤色矮星の近くでの生命の発達と存続を難しいものにしうる。；市内線の運賃は、距離によって変動する区間制を開業時から採用していた。；コースの総プレイヤー数により取得アイテムの種類や数が変動する。；超音速への加速時や超音速からの減速時には揚力中心の位置が変動する。；それらの観測から地磁気が約10年の周期で変動していることを発見した。；気圧計が作られるようになると、気圧が日々変動することがわかってきた。；こうしたモンスーン変動がインダス文明の地域にも影響を与えたとされる。；雨量は季節や年により変動し、少な過ぎても多過ぎても災害となりうる。；重要なものだけでも以下に示すような変動が起こっている。；通常、日々の症状に大きな変動はなく、同様の症状が暫く継続される。；この出来事は海流の変動を呼び、地球規模の気候形成に影響を与えた。；これらの限界と変動を打開するいくらかの方法が実際の診療で試みられている。；このように金利を目標としなくなることで金利の変動は激しくなる。；そこで価格変動の影響を排除した国内総生産も定義されており、これをと呼ぶ。；給料日が毎日変動するのが主流になるとの考えを唱える学者もいる。；タイム誌の大学ランキングの中でのETHの順位の変動は右の通りである。；大きさや形で価値が変動し、丸く小さいものが商品価値が高いとされている。；他にも、アイテムの価格が時間とともに変動する要素も導入された。</t>
        </is>
      </c>
      <c r="J7623">
        <f>HYPERLINK("https://www.weblio.jp/content/変動", "词义详情")</f>
        <v/>
      </c>
      <c r="K7623">
        <f>HYPERLINK("https://yourei.jp/変動", "查看例句")</f>
        <v/>
      </c>
    </row>
    <row r="7624">
      <c r="A7624" t="inlineStr">
        <is>
          <t>弁当</t>
        </is>
      </c>
      <c r="B7624" t="inlineStr">
        <is>
          <t>成功</t>
        </is>
      </c>
      <c r="C7624" t="inlineStr">
        <is>
          <t>読み方：べんとう
１外出先で食べるために持っていく食べ物。「手—」
２料理店などで出す、主食と副食を箱などに詰めたもの。「幕の内—」
３俗に、幼児などの口のまわりについた飯粒のこと。「お—つけてどこ行くの」
４俗に、執行猶予のこと。「—持ち」</t>
        </is>
      </c>
      <c r="D7624" t="inlineStr">
        <is>
          <t>弁当箱；弁当持参；弁当工場；弁当代；弁当作り</t>
        </is>
      </c>
      <c r="F7624" t="inlineStr">
        <is>
          <t>手作り弁当；腰弁当；持ち帰り弁当；弁当併用外注；弁当仕出屋</t>
        </is>
      </c>
      <c r="G7624" t="inlineStr">
        <is>
          <t>弁当屋；弁当店；弁当チェーン店；弁当男子；弁当の呪い</t>
        </is>
      </c>
      <c r="H7624" t="n">
        <v>29</v>
      </c>
      <c r="I7624" t="inlineStr">
        <is>
          <t>生徒は朝起きて母親からお弁当を受け取り挨拶をしてから学校へ行った。；昼飯時に弁当を開いた父娘だったが、箸を忘れてきたことに気がついた。；弁当類の掛け紙にはデザインに凝ったものがありコレクターも存在する。；これに怒ったドナルドは公園から持ってきた弁当を食べることにする。；こうして叙々苑焼肉弁当を持って各メンバーにその事を報告することに。；インドネシア人は、職場や学校へ行く時に弁当を持っていく習慣がない。；生きているのが嫌になるくらい不味い弁当の研究もしているという。；判決後は専門家のカウンセリング以外は自宅で息子の弁当を毎日作っていた。；ロケ弁当以外にも、会議用弁当など一般向けにも販売・配達をしている。；先生はあのユリの花のべんとう箱のことをすっかりわすれていたのだ。；本作品でも見事な料理の腕を披露しており、実際にいくつかの弁当を作っている。；高校生は弁当や食堂で販売している食事を、教室または食堂で食べる。；同年7月以降はが当駅限定の弁当を新幹線改札内の売店で販売している。；遠足で訪れる団体が持参した弁当を食べる場所は別に設けられている。；そして、子供からの返事は、お弁当が空になって返ってくることだという。；また家庭科ではお弁当づくりで全国大会に出場し全国二位になった事もある。；食べた弁当のから箱におちょこをのせて、なにか書いて庭の小川に流す。；川崎はまた学校に出てくるようになり、昼は一緒に弁当を食べることになる。；お弁当を忘れるちょっと頼りない姉に届けに行くのが日課になっている。；もう跡はわけがないから弁当にしようということにして桐の蔭に戻る。；竜児が祐作の祖母の弁当をみて対抗心を燃やしエスカレートしていく話。；ごみ箱も、弁当殻などが多く出ることを考慮し大型のものを設置している。；同時にスーパーマーケットの惣菜コーナーにも弁当が並ぶようになった。；べんとうまでが心の重荷になっていたことに気づき、それでほっとした。；学校での引率を伴った遠足などでは弁当の持ち込みは許可されていた。；母は、息子との会話が減ったことから、毎朝の登校時に弁当を持たせる。；国鉄末期には1・2番線ホーム中間に森川弁当部が売店を営業していた。；冷凍食品としても販売されており、弁当のおかずに使われることも多い。；その日もバイトに明け暮れる天地のために弁当を差し入れに行っていた。</t>
        </is>
      </c>
      <c r="J7624">
        <f>HYPERLINK("https://www.weblio.jp/content/弁当", "词义详情")</f>
        <v/>
      </c>
      <c r="K7624">
        <f>HYPERLINK("https://yourei.jp/弁当", "查看例句")</f>
        <v/>
      </c>
    </row>
    <row r="7625">
      <c r="A7625" t="inlineStr">
        <is>
          <t>返品</t>
        </is>
      </c>
      <c r="B7625" t="inlineStr">
        <is>
          <t>成功</t>
        </is>
      </c>
      <c r="C7625" t="inlineStr">
        <is>
          <t>読み方：へんぴん
［名］(スル)いったん仕入れた、または買った品物を返すこと。また、その品物。「傷物を—する」「—の山」</t>
        </is>
      </c>
      <c r="D7625" t="inlineStr">
        <is>
          <t>返品率(4%)；返品される(3%)；返品制；返品不可；返品期限</t>
        </is>
      </c>
      <c r="H7625" t="n">
        <v>29</v>
      </c>
      <c r="I7625" t="inlineStr">
        <is>
          <t>全ての麦を返品されたら、その時点で村が破産することは目に見えている。；しかし友人達は店に返品しないのは、かえっておかしいと言います。；購入は48時間以内であれば返品して払い戻しを受けることができる。；私は商品の性質上返品は一切しないという条件ならば応じましょうと返事してやった。；まだなにも手付かずになっていると思いますから返品して下さい。；つまり、そのままでの動作保証はなく、クレーム・返品などはできない。；子供服のクレームは、大きすぎるので返品したいというのがほとんどだ。；これによる返品率の増加が出版業界内で問題となっていた。；返品・下取りは可能だが、価格は買った金額より格段に低くなってしまう。；と思われるだろうそれらの雑誌が入荷されては返品されていくのは彼らを懐かしむからだ。；ハニー・マスタードが返品のため、自動ドアの外の世界から出戻ってきた。；返品不可システムの確立にはこのような自由度の高い発注制度が不可欠だった。；月に何度か返品を処分する業者が訪れてくる。；私どもでわずかな返品額と考えても、小さなお取引先だったら、生きるか死ぬかの問題になるのです。；通常の通販と同じく送料が必要であり、返品や修理の場合にも負担となりやすい。；で、実際に返品して金を貰ったやつがオーストラリアにいて。；開業当初はチーズなどの自家生産に失敗し、出荷したが返品されたこともあった。；どうせ返品されるんだもの、言いたい放題言ってやるなのよ。；また、一度買った商品は何がどうであれ返品できない。；動けることがばれたら返品だとリンに言われていたので、あわてて静止した。；原因が特定されたころには苦情の嵐となっており、本社の廊下には返品されたウォシュレットの山ができていたという。；しまったあ、と思ったが後の祭り、返品できる店とできない店が世の中にはあることも私は知っている。；紛失と信じられていた指輪が返品だったと聞いて、団員はいずれも衝撃をうけたのだった。；もし勝手に動くようなぬいぐるみなら、返品するのだそうよ。；返品率の低い理由の一つがここにある。；ちなみにこの号の返品部数は実に7割を超えるほどであった。；返品された物は賞味期限内であってもどのように保管されていたか不明なため、多くは廃棄される。；一方で返品には応じないとしている。；七十万部発行して、返品率一割以内という目標を、どうしても達成できないのである。</t>
        </is>
      </c>
      <c r="J7625">
        <f>HYPERLINK("https://www.weblio.jp/content/返品", "词义详情")</f>
        <v/>
      </c>
      <c r="K7625">
        <f>HYPERLINK("https://yourei.jp/返品", "查看例句")</f>
        <v/>
      </c>
    </row>
    <row r="7626">
      <c r="A7626" t="inlineStr">
        <is>
          <t>変容</t>
        </is>
      </c>
      <c r="B7626" t="inlineStr">
        <is>
          <t>成功</t>
        </is>
      </c>
      <c r="C7626" t="inlineStr">
        <is>
          <t>読み方：へんよう
［名］(スル)姿や形が変わること。姿や形を変えること。「街がめまぐるしく—する」
[補説]書名別項。→変容</t>
        </is>
      </c>
      <c r="D7626" t="inlineStr">
        <is>
          <t>変容する(8%)；変容させる(3%)；変容学習；変容ぶり；変容過程</t>
        </is>
      </c>
      <c r="E7626" t="inlineStr">
        <is>
          <t>変更；変化；化する；移行；転換</t>
        </is>
      </c>
      <c r="F7626" t="inlineStr">
        <is>
          <t>意識変容；行動変容；大きな変容；自己変容；社会変容</t>
        </is>
      </c>
      <c r="H7626" t="n">
        <v>29</v>
      </c>
      <c r="I7626" t="inlineStr">
        <is>
          <t>でも制御されてない混沌を浴びただけなら、変容は一時的なはずなのよ。；公共性への参加の自由は受益と消費の自由に変容してしまったのである。；もちろん、産業社会を変容させるものに戦争は巨大な場を占めてはいた。；それは一回転してもどってくるたびに予想もつかない形に変容した。；なぜなら、このようにして歴史すら意味を変容して哲学になっていく。；カレンダーの赤い印を境にして突然自分が変容するというものではない。；受難は神の恩恵を示すものであり神々しい変容を象徴するものであった。；このように対象が実現可能な目標へ変容することを「結晶作用」という。；そうやって世代交代するたびに、この古い家は少しずつ変容してきたのだ。；現実が変容するときにのみ感じる、冷え切った炎のような感覚だった。；この場合、行動変容ないし行動修正の呼称が用いられることもある。；基礎世界が、元々この世界に無かった技術により変容していった時代。；この火災を受け城は二ノ丸を中心とした構造に大きく変容することになった。；加えて、当作戦はアメリカ・サウジアラビア関係を完全に変容させた。；街はムスリムが多数派を占めるようになり、街の景観は大きく変容した。；少女がゆっくりと女へと変わるのに比べて、男の変容は一瞬のうちに終えてしまう。；通報している本人そのものが何らかの意識の変容に襲われている例が、多数。；時間の時熟の仕方が変容すれば、存在は異なって理解されるだろう。；もう一つはドイツ自身の「変容」に引っかけているのではないでしょうか。；高度経済成長に伴い多くの伝統的な日本文化が変容を余儀なくされた。；やがて陳朝の仏教は、道教・ラマ教の影響を受けて次第に変容していく。；しかし、どれほど松平が優秀でも、人間の記憶は少しずつ変容していく。；こうした変容はかなり早い速度で進められているようだった。；肉は言の本性に変容させられるのでも、言は肉に変化されるのでもないからである。；今の志津夫は肉体の変容に直面したばかりで、心が対応できないでいるのだ。；しかしこれらは社会の変化に伴って、弱体化し、大きく変容している。；その変容形が舟形石棺であり、それに先行して使用されたと推定されている。；ほんまの正体が知れたら、この像はここの寺に祀られへんようになる。；リデルは生涯に亘ってこの話をしているが、内容がすこしずつ変容している。</t>
        </is>
      </c>
      <c r="J7626">
        <f>HYPERLINK("https://www.weblio.jp/content/変容", "词义详情")</f>
        <v/>
      </c>
      <c r="K7626">
        <f>HYPERLINK("https://yourei.jp/変容", "查看例句")</f>
        <v/>
      </c>
    </row>
    <row r="7627">
      <c r="A7627" t="inlineStr">
        <is>
          <t>便利</t>
        </is>
      </c>
      <c r="B7627" t="inlineStr">
        <is>
          <t>成功</t>
        </is>
      </c>
      <c r="C7627" t="inlineStr">
        <is>
          <t>読み方：べんり
［名・形動］
１目的を果たすのに都合のよいこと。あることをするのに重宝で、役に立つこと。また、そのさま。「生活するのに—な所」「—な調理器具」「地下鉄ができて—になった」
２あることをする都合やぐあい。「買い物の—が悪い」
３大小便。通じ。
「大小の—の不浄を出して」〈今昔・一・四〉
[派生]べんりさ［名］</t>
        </is>
      </c>
      <c r="D7627" t="inlineStr">
        <is>
          <t>便利である(14%)；便利なもの(4%)；便利な道具；便利な場所；便利な方法</t>
        </is>
      </c>
      <c r="E7627" t="inlineStr">
        <is>
          <t>便；有利；よろしい；有用；役立つ</t>
        </is>
      </c>
      <c r="F7627" t="inlineStr">
        <is>
          <t>一番便利；便利重宝；便利至極；便利なツール；便利しごく</t>
        </is>
      </c>
      <c r="G7627" t="inlineStr">
        <is>
          <t>便利堂；便利な物；便利グッズ</t>
        </is>
      </c>
      <c r="H7627" t="n">
        <v>29</v>
      </c>
      <c r="I7627" t="inlineStr">
        <is>
          <t>そういう構成をとった方が科学的な議論をする上で便利だからである。；評価は、見る人の便利のため、星の数に換算したものも公開されている。；以下のページは、サッカー関連の未執筆記事を探すのにとても便利です。；それを真似て装った女性らに流行し、その便利さから庶民にも定着した。；複数の会社のカメラを併用するユーザーにとっては便利な存在であった。；べんりじゃないか、ぼくはもともと大人にならないことにしてるんだもの。；雨を防ぐのに特化した道具が発明される前は、明らかに便利なものだった。；その頃までは便利なように主人の姓でジャック・デュクロと呼ばれていた。；これは、連続部分と離散部分がある確率分布を扱う際に特に便利である。；この作品は未来のテレビを予測したもので、かなり便利なテレビが登場する。；目的によっては、以上のような方法とは異なる表現法が便利なこともある。；編集に便利なご使用中のサンド・ボックスがあれば下記に追加して下さい。；アクセス面ではとても重要な役割を果たしており、水路と空港も近く便利。；一部のカードは進行系・便利系のどちらかの分類にランダムで入る。；編み進んで目数が増えたら、輪針に取り換えて編み進むと便利であ る。；この記事を理解するにはマインスイーパのルールを知っておくと便利である。；高架完成時に西口が開設され、国道26号側からの利用が便利になった。；なお阪神高速道路の中で八尾市へ行く場合に一番便利な出口と思われる。；市の中心へのアクセスにはメリー・ド・モンルージュ駅のほうが便利である。；四次元ポケットと併用してこそ便利さが十二分に発揮できる道具と言える。；多くのプログラムで、データ型の大きさがわかると便利な状況がある。；多くの場合操作は順次行われ、多くの組合せが最も便利な形で可能である。；乱戦になった場合に振り回して斬るという便利さを考えてのことである。；これは、整理するには便利ではあるが、極めて機械的な分類である。；特徴的な緯度や便利な縦横比の場合については個別名が付けられている。；また単品での注文や、贈答用に便利なセット商品も数多く用意されている。；基本的には便利とされる物を中心とし、子供から大人まで射幸性を刺激する。；そのため、学名同様に使えるような日本語の名前があった方が便利である。；アクセスが便利な立地にあるためタレントからの人気が高いことでも知られている。</t>
        </is>
      </c>
      <c r="J7627">
        <f>HYPERLINK("https://www.weblio.jp/content/便利", "词义详情")</f>
        <v/>
      </c>
      <c r="K7627">
        <f>HYPERLINK("https://yourei.jp/便利", "查看例句")</f>
        <v/>
      </c>
    </row>
    <row r="7628">
      <c r="A7628" t="inlineStr">
        <is>
          <t>弁論</t>
        </is>
      </c>
      <c r="B7628" t="inlineStr">
        <is>
          <t>成功</t>
        </is>
      </c>
      <c r="C7628" t="inlineStr">
        <is>
          <t>読み方：べんろん
［名］(スル)
１大勢の前で、意見を述べること。「壇上で—する」「—大会」
２互いに論じ合うこと。また、その議論。
３法律用語。
㋐民事訴訟法上、訴訟当事者の陳述。→口頭弁論
㋑刑事訴訟法上、公判手続きのこと。特に、公判期日における訴訟関係人の陳述。→最終弁論</t>
        </is>
      </c>
      <c r="D7628" t="inlineStr">
        <is>
          <t>弁論術(2%)；弁論要旨；弁論部；弁論権；弁論作家</t>
        </is>
      </c>
      <c r="E7628" t="inlineStr">
        <is>
          <t>主張；判断；態度；議論；論</t>
        </is>
      </c>
      <c r="F7628" t="inlineStr">
        <is>
          <t>法廷弁論；学生弁論；自ら弁論；議会弁論；大学弁論</t>
        </is>
      </c>
      <c r="G7628" t="inlineStr">
        <is>
          <t>弁論術；弁論大会；弁論部；弁論準備手続；弁論主義</t>
        </is>
      </c>
      <c r="H7628" t="n">
        <v>29</v>
      </c>
      <c r="I7628" t="inlineStr">
        <is>
          <t>弁護士はそれでもいよいよ最後の日が迫って来るので弁論の準備をした。；で、私はいろんな意味で、あともう一人の弁護士の弁論を待つたのです。；すべての弁護士が、その登録された州の法廷で弁論を行うことができる。；一般弁論から個人反証に移ったのは、法廷から夏姿が消えたころだった。；各成員にはに出席する権利、弁論で発言する権利、投票する権利がある。；そしてこの弁論はまた、事件と同様に普遍的なものになるべきものである。；彼の弁論が大変高尚であるという印象もやはりぶちこわされてしまった。；後にこの手法はソフィストと呼ばれる弁論を商売とする者たちに真似をされる。；武道だけではなく弁論、演劇、音楽の練習の基礎ともなると主張している。；大阪拘置所にもどった四人は、それぞれ、最終弁論の感想を寄せてきた。；弁論補強のため限定的な証拠の提出や証言がなされる場合もある。；最終弁論前夜、遠い実家に避難させたはずの妻が嵐の中、車で戻ってきた。；議会で演説した記録はなかったが、弁論の記録を頻繁に父に送った。；また、部活ではないが、全国英語弁論大会へ出場している生徒もいる。；近年、高等学校で弁論部や雄弁会を呼称する部活が新設される傾向がある。；その弁論術と弁護士としての有能さで知られるようになったのはこの頃だった。；最後のときがどんどん迫ってくるので、弁護士は、弁論を用意した。；そのほかに弁論家リュシアスやデモステネスらが生まれ弁論も発達した。；その友人の弁護士の弁論の模様を記事はこう結んでいる。；議事が禁止されてはいたが、議会はそれでも摂政についての弁論を始めた。；議会弁論の目的は有用性であり、それについては比較のところで触れている。；検死官の前で行われた弁論は、ほとんど形式だけのものであった。；悪徳から解放された人間のみが厳格な弁論術に関わるべきである。；この時の弁論が彼の弁護士人生のクライマックスと評価されているのも尤もだった。；まず弁護人が弁論を行い、最後に被告人が最終陳述を行うのが通常である。；辞達学会は、この精神に基づきわかりやすい弁論を第一としている。；ところが、弁護士の弁論は小説の上に小説を組み立てたものでなくてなんでしょう?；それで、私は、相変らず、こののぞみのない弁論をして見る気でいるのだ。；どんな裁判官でも自分の事件の弁論をさせて、法律の説明をさせてごらんなさい!</t>
        </is>
      </c>
      <c r="J7628">
        <f>HYPERLINK("https://www.weblio.jp/content/弁論", "词义详情")</f>
        <v/>
      </c>
      <c r="K7628">
        <f>HYPERLINK("https://yourei.jp/弁論", "查看例句")</f>
        <v/>
      </c>
    </row>
    <row r="7629">
      <c r="A7629" t="inlineStr">
        <is>
          <t>穂</t>
        </is>
      </c>
      <c r="B7629" t="inlineStr">
        <is>
          <t>成功</t>
        </is>
      </c>
      <c r="C7629" t="inlineStr">
        <is>
          <t>読み方：すい
［常用漢字］　［音］スイ（漢）　［訓］ほ
〈スイ〉
１穀物のほ。「穂状／禾穂(かすい)・麦穂・出穂期」
２ほのような形をしたもの。「花穂」
〈ほ（ぼ）〉「穂先／稲穂・空穂(うつぼ)・初穂・瑞穂(みずほ)」
［名のり］お・みのる</t>
        </is>
      </c>
      <c r="D7629" t="inlineStr">
        <is>
          <t>穂吉；穂軸；穂全体；穂数；穂集</t>
        </is>
      </c>
      <c r="E7629" t="inlineStr">
        <is>
          <t>先；端；先端；先頭；岬</t>
        </is>
      </c>
      <c r="F7629" t="inlineStr">
        <is>
          <t>落穂；接ぎ穂；奈穂；胞子嚢穂；白い穂</t>
        </is>
      </c>
      <c r="G7629" t="inlineStr">
        <is>
          <t>穂積；穂高；穂子；穂波；穂状</t>
        </is>
      </c>
      <c r="H7629" t="n">
        <v>29</v>
      </c>
      <c r="I7629" t="inlineStr">
        <is>
          <t>小穂は軸の節ごとに柄のあるものとないものが一つずつ対を成している。；小穂は有柄の第一小穂と無柄の第二小穂が一つずつの対をなして生じる。；その中でも小穂が紐のようにだらりとしている様子はかなり独特である。；さらに衝撃的なことに地方検事が証拠のトウモロコシの穂軸を提出する。；イネ科の小穂の変形の過程を考えて幾つかの型に分けることが行われる。；小穂には多くの小花を含むものが多く、スゲ属では数十個も含む例がある。；後に進化し、長柄の穂と反対側の端には石突きが付けられるようになった。；穂の形はオヒシバに非常によく似ており、慣れないと見誤ることがある。；なお、この属の穂が小穂であるのか小穂の集合であるかには議論がある。；南へ行くほどムラサキネズミノオのように穂が広がる型になるという。；細く直線状の柄が葉の間から高く抜き出て、その先端に1個の穂がつく。；父親は中国唐の翰林学士を務めていた時に新羅に派遣された盧穂である。；そのような小穂がほとんど柄がなくて軸につき、密着して並んでいる。；また、総からなる花序では小穂が二つずつ組になって生じる例がある。；小穂は節ごとにひとつずつつき、多数の小穂を軸の左右に交互に並べる。；小穂は左右から扁平なので、穂全体も多少とも左右に扁平な印象となる。；また、それぞれに近縁種もあるから、穂が出ないうちは判断は難しい。；これが知られた住吉仲皇子は反乱を起こして去来穂別の宮殿に火を放った。；この円錐花序の側枝が長いものはまばらに広がった円錐形の穂をつける。；穂には小さな花が密生しており、下から上へと次々に咲き上がっていく。；穂は茎の上の方のあちことから出て、葉腋から出る柄の先に一つずつつく。；小穂が大きく目立つことでこれ以外の属と混同することはあまりない。；小穂は小花が螺旋状に並んだもので、同一の小穂に雌雄両方の花を含む。；小穂には柄がなくて多数の場合には頭状に集まる例が多いが短い柄を持つ例もある。；簡便なものは中心機構のみが可動で、それぞれの穂は紙に斜めに接する。；また花茎の上部の小穂3-5個が、より接近してつく傾向があるという。；穂が未熟な間は、まるで緑色の金平糖をお皿に盛り付けたように見える。；この類では比較的よく知られたものであるカンスゲに似ているが、穂が細い。；多くのものでは花茎は葉の間から長く伸び、その先に小穂をつける。</t>
        </is>
      </c>
      <c r="J7629">
        <f>HYPERLINK("https://www.weblio.jp/content/穂", "词义详情")</f>
        <v/>
      </c>
      <c r="K7629">
        <f>HYPERLINK("https://yourei.jp/穂", "查看例句")</f>
        <v/>
      </c>
    </row>
    <row r="7630">
      <c r="A7630" t="inlineStr">
        <is>
          <t>保育</t>
        </is>
      </c>
      <c r="B7630" t="inlineStr">
        <is>
          <t>成功</t>
        </is>
      </c>
      <c r="C7630" t="inlineStr">
        <is>
          <t>読み方：ほいく
［名］(スル)
１乳幼児を保護し、育てること。
２乳幼児の心身の正常な発達のために、幼稚園・保育所などで行われる養護を含んだ教育作用。「三年—」</t>
        </is>
      </c>
      <c r="D7630" t="inlineStr">
        <is>
          <t>保育所(7%)；保育科(5%)；保育士(5%)；保育室(3%)；保育事業(3%)</t>
        </is>
      </c>
      <c r="E7630" t="inlineStr">
        <is>
          <t>育成；育てる；培養；育む；涵養</t>
        </is>
      </c>
      <c r="F7630" t="inlineStr">
        <is>
          <t>幼児保育；型保育；保育院；延長保育；児童保育</t>
        </is>
      </c>
      <c r="G7630" t="inlineStr">
        <is>
          <t>保育所；保育士；保育施設；保育者；保育器</t>
        </is>
      </c>
      <c r="H7630" t="n">
        <v>29</v>
      </c>
      <c r="I7630" t="inlineStr">
        <is>
          <t>一部では直接発生をするもの、腕に保育装置を持つものが知られている。；なにもしないということではなく、これも保育の形のひとつなのである。；夫婦の間には、三歳の子が一人いて、今年から三年保育の幼稚園に行く。；また芸術保育類型を設立しており校内外の行事に活発的に活動している。；病児保育士とは病気や病後時の子どもの保育を専門に行う者の総称である。；そして、未熟児を収容する保育箱に子供を入れてもらいたいと言った。；その変わった姿だけでなく、メスが子どもを保育することでも知られている。；保育筐を使うか使わないかで、夫とはなんども議論を繰り返してきた。；伊勢学園高等学校に隣接しており、同校の保育実習にも利用されている。；保育習性があることに基づいて、現在の名が使われるようになった。；過去には育児放棄された虎の仔を雌犬が保育することもあり話題となった。；声優になる前銀行員であった服巻浩司はその後保育士と声優を兼業している。；その、手で赤ん坊を育てる技術を持った保育官はいないものですから。；里恵には費を節して此家に住み、専ら幼女陽の保育に任じてもらひたい。；このゾウは自然保育でないながらも3頭の子供を産んだことで知られている。；受精卵は口柄上で保育されて発生する種もあり、プラヌラ幼生となる。；過去には、保育進学コースや福祉進学コースなどの専門コースが設置されていた。；この頃には保育事業を支援する人々も徐々に現れはじめて、後援会も結成された。；これがやがて麻溝台託児所となり、その後保育所と呼ばれるようになった。；そこは一斉保育をせずに、好きなことを好きなようにさせる自由な雰囲気の場所だった。；そして赤児から三歳ぐらいまでの保育が、幾回となく繰返される。；昭和23年度春からは季節的保育所として農繁期に子供達を受け入れた。；母親は保育院へつくと、少しの躊躇もなく、つかつかと入って行った。；子供たちは、年齢や必要な保育状況によって様々なグループがある。；また、チャイルドマインダーが保育する子どもの人数基準も設定されている。；あたたかき乳房に取りすがって十二のときまで保育を受けた母である。；本学は既設の保育専門学校を発展改組する形で2009年に新設された。；たとえば保育のための構造や、配偶行動に際して使われる構造などである。；昨日神保町の停留場で腹がたつまで私を見て居た人が保育会の会員だとかで挨拶をする。</t>
        </is>
      </c>
      <c r="J7630">
        <f>HYPERLINK("https://www.weblio.jp/content/保育", "词义详情")</f>
        <v/>
      </c>
      <c r="K7630">
        <f>HYPERLINK("https://yourei.jp/保育", "查看例句")</f>
        <v/>
      </c>
    </row>
    <row r="7631">
      <c r="A7631" t="inlineStr">
        <is>
          <t>法</t>
        </is>
      </c>
      <c r="B7631" t="inlineStr">
        <is>
          <t>成功</t>
        </is>
      </c>
      <c r="C7631" t="inlineStr">
        <is>
          <t>読み方：のり
《動詞「の（宣）る」の連用形が名詞化したもので、神仏・天皇の宣告の意からという。一説に、動詞「の（乗）る」の連用形からとも》
１守るべき規範。法律。おきて。「—を守る」
２手本。模範。「後進に—を示す」
３人としての道理。人道。「心の欲するところに従えども—を踰(こ)えず」
４仏の教え。仏法。また、戒律。「—の道」
５基準とする長さ。尺度。
㋐差し渡し。寸法。「内—」
㋑土木工事で、切り土・盛り土などの斜面の傾斜。また、その斜面。
㋒距離。道のり。
「道ノ—五里ナリ」〈日葡〉</t>
        </is>
      </c>
      <c r="D7631" t="inlineStr">
        <is>
          <t>法第；法縁；法執行；法改正；法施行</t>
        </is>
      </c>
      <c r="E7631" t="inlineStr">
        <is>
          <t>手；方法；決め；定め；約束</t>
        </is>
      </c>
      <c r="F7631" t="inlineStr">
        <is>
          <t>治療法；弁証法；利用法；公職選挙法；解決法</t>
        </is>
      </c>
      <c r="G7631" t="inlineStr">
        <is>
          <t>法人；法的；法則；法案；法廷</t>
        </is>
      </c>
      <c r="H7631" t="n">
        <v>29</v>
      </c>
      <c r="I7631" t="inlineStr">
        <is>
          <t>「法」を通し、語られた教えの中に肉身の仏をみようとしたのである。；床に座って食事をする場合、片膝立座で座るのが朝鮮の正式座法である。；教科書に載っているような半古典近似法に関連した議論は次節で述べる。；仏教の時代に入ると「法」は非常に重要な言葉・思想・実践となった。；この方法には様々なものが存在するが、実用的にはインコ法が主流である。；大学院は法第102条に基づき、下記のいずれかに該当する者が対象となる。；導線法を長い距離にわたって続けると、段々と誤差が大きくなってくる。；しかし、一部の科学者はこういった使用法を合法化する事を提唱している。；さらに各方法には変爻の有無や位置を選ぶ操作があり状況変化を表現する。；たとえばイギリスや日本は首都の地位を明示する法が存在しない。；また同じ漢字で時と読む言葉は、昔の日本の時法における単位である。；その代りに会社に関する法の総称として会社法の用語が用いられていた。；各国は、それぞれ多様な国際法の国内法秩序への編入方式を採用している。；これを直接塩素化法と同様に熱分解すればクロロエチレンが得られる。；法を手に犯罪者を捕らえる新しい形のヒーローが誕生したからである。；その他、その医師の独自の考え方により特殊な治療法が実施されることもある。；詩法は口承文化においてテクストのよりよい伝承を確保する手段でもある。；科学では考えられない特徴であり、例えばパラメータ変化法がある。；最終的には、16世紀にヨーロッパに導入された法に置き換えられた。；未完了形からは願望形・命令形・指示形の3種類の法の動詞形が作られる。；分子動力学法以外に、カー・パリネロ法などでも使用されることがある。；さらに同年、学校を人種分離することを要求する法が認められた。；固有の意味の憲法とは、国の統治の基本に関する国家の基礎法をいう。；翌年、州議会は結婚を認める最少年齢を15歳に設定する法を成立させた。；ポーランドの解読法は不安定なもので、ドイツ側がいつでも変更可能だった。；一方、狭義の著作権概念は英米法の諸国で用いられる著作権概念である。；thumb|最高裁判所 司法の独立は法により完全に保証されている。；これは可能なペアノシステムの構成法として唯一のものではない。；連鎖法の場合は見つかったエントリリストをさらにたどる必要がある。</t>
        </is>
      </c>
      <c r="J7631">
        <f>HYPERLINK("https://www.weblio.jp/content/法", "词义详情")</f>
        <v/>
      </c>
      <c r="K7631">
        <f>HYPERLINK("https://yourei.jp/法", "查看例句")</f>
        <v/>
      </c>
    </row>
    <row r="7632">
      <c r="A7632" t="inlineStr">
        <is>
          <t>方</t>
        </is>
      </c>
      <c r="B7632" t="inlineStr">
        <is>
          <t>成功</t>
        </is>
      </c>
      <c r="C7632" t="inlineStr">
        <is>
          <t>読み方：え
［接尾］おおよその位置・方向・時間などを表す。…のあたり。…のころ。「行(ゆく)—」「古(いに)し—」→へ（方）</t>
        </is>
      </c>
      <c r="D7632" t="inlineStr">
        <is>
          <t>方がいい(3%)；方がよい；方が良い；方が多い；方がずっと</t>
        </is>
      </c>
      <c r="E7632" t="inlineStr">
        <is>
          <t>人；者；人間；側；方向</t>
        </is>
      </c>
      <c r="F7632" t="inlineStr">
        <is>
          <t>三方；おいた方；徳川方；先生方；織田方</t>
        </is>
      </c>
      <c r="G7632" t="inlineStr">
        <is>
          <t>方向；方面；方式；方針；方角</t>
        </is>
      </c>
      <c r="H7632" t="n">
        <v>29</v>
      </c>
      <c r="I7632" t="inlineStr">
        <is>
          <t>年齢が高い人よりも低い人の方が、症状が重い人は多いと言われている。；歴史的に跨座式より古く、商業的に成功したのも懸垂式の方が先である。；イギリスの場合、「」の方が人を前に置く表現よりも一般に都合が良い。；少ないながらも存在していた記事はウィキペディアの方へ吸収された。；用語「ヨーロッパ」は、歴史が展開する中で使われ方が様々に発展した。；台風の通過・被害が多いが、九州のほかの県と比べると少ない方である。；本プロジェクトへ参加を表明される方は/参加者へ署名をお願いします。；形式の与え方は鉄道事業者によって様々であり、統一されたものはない。；その使われ方や形式は様々な変遷をへて、現在用いられる形に至っている。；これには神々も驚き、動物に姿を変えてエジプトの方へと逃げてしまった。；注意すべきは線型写像を表す行列は基底の取り方に依存することである。；久米は「レミさんだけはやめた方がいいと思いますよ」と返したという。；その大きさは同じ温度ならばイオンの方が電子よりはるかに大きい。；好きなものは鉄道と鳥で、後者の方は特に文鳥がお気に入り、とのこと。；時間はかかったが、返事を書かない方が負担になると考えていた。；当時の技術ではCPUとは別にROMを置く方がコストが掛かっていた。；PS版には草薙京の目が開いている方と閉じている方の2種類があった。；この時代の重要な技術的発明としてはほかに、弦の張り方もあげられる。；男子の方が女子よりも出席率が高い傾向が報告されている。；形態素には、いくつかのタイプがあると考えた方が良いことが分かっている。；なお、であっても認証者の方は認証場所に直接アクセスするとは限らない。；そのため色彩学では面色と表面色という色の見え方の違いが重要とされている。；また新木場駅の蘇我方ではJR東日本の京葉線と線路が接続されている。；当時の日本人としては、そして俳優としても、かなり背が高い方だった。；なぜこのような人物像が作られたかというと、その方がわかりやすいからだという。；近頃すっかり逆になってきちゃってね、曲の方が簡単になってきてるんですね。；時間と空間の捉え方も2人の見解が大幅に相違しており、互いに衝突していた。；人々が前進したときよりも後退したときの方が短期記憶が優れている。；本人によるとピローニの事故に遭遇するまでは、雨の方が得意だった。</t>
        </is>
      </c>
      <c r="J7632">
        <f>HYPERLINK("https://www.weblio.jp/content/方", "词义详情")</f>
        <v/>
      </c>
      <c r="K7632">
        <f>HYPERLINK("https://yourei.jp/方", "查看例句")</f>
        <v/>
      </c>
    </row>
    <row r="7633">
      <c r="A7633" t="inlineStr">
        <is>
          <t>棒</t>
        </is>
      </c>
      <c r="B7633" t="inlineStr">
        <is>
          <t>成功</t>
        </is>
      </c>
      <c r="C7633" t="inlineStr">
        <is>
          <t>読み方：ぼう
［音］ボウ（呉）
［学習漢字］6年
１細長い木や金属。「棒術／相棒(あいぼう)・片棒・金棒(かなぼう)・警棒・棍棒(こんぼう)・心棒・打棒・痛棒・鉄棒・綿棒・麺棒(めんぼう)・針小棒大・用心棒」
２棒で打つ。「棒喝」
３まっすぐに描いた線。「棒線」
４一本調子であるさま。「棒暗記」
［難読］篦棒(べらぼう)・棒手振(ぼてふ)り</t>
        </is>
      </c>
      <c r="D7633" t="inlineStr">
        <is>
          <t>棒杭；棒きれ；棒みたい；棒高跳び；棒材</t>
        </is>
      </c>
      <c r="E7633" t="inlineStr">
        <is>
          <t>柱；杖；ポール；竿；ステッキ</t>
        </is>
      </c>
      <c r="F7633" t="inlineStr">
        <is>
          <t>辛棒；金属棒；細い棒；握り棒；肉棒</t>
        </is>
      </c>
      <c r="G7633" t="inlineStr">
        <is>
          <t>棒状；棒術；棒切れ；棒線；棒高跳</t>
        </is>
      </c>
      <c r="H7633" t="n">
        <v>29</v>
      </c>
      <c r="I7633" t="inlineStr">
        <is>
          <t>はこの文字が点と棒を使った数字を使用していることを最初に指摘した。；眠っている相手を棒で触ると、棒を持っている人の命令を聞いてくれる。；中には棒を始めとする全長の長い物などの持込が禁止されることもある。；左遣いは差金と呼ばれる棒を用いて人形から少し離れた位置で操作する。；地面に足をつけた状態から始め、体を後方に回転させながら棒上に上がる。；手棒に十手や鉄扇の使用法があり、それが現在の一角流十手術となった。；この棒の一群に主塔にあけられた穴がかみ合うことで両者は連結される。；平方根の計算を行う場合は、これ以外に平方数を並べた棒が必要になる。；カリンバとは、箱に並んだ細い金属棒を弾いて演奏するアフリカの楽器。；客が高いところに陳列してある商品を取るために白い取り棒が置かれている。；翌は飛躍が期待されたが手首の故障でシーズンの大半を棒に振ってしまう。；針や棒の影の先端の一点の位置で時刻を読み取る精密なタイプもある。；また、彼らは所属する報道機関の旗をつけるために旗棒を取り付けていた。；特には故障でほぼ1年を棒に振り、彼に代わって瀬戸が正捕手を務めた。；形状も作る人によって様々で、並んでいる棒の数すら決まっていない。；各名が先に網のついた長い棒を手に持ち、先を川に沈めて棒の端を握っている。；ルールは至って簡単で、まず棒が競技場内に描かれた円の中に設置される。；ヤードという言葉は、まっすぐな枝または棒が語源であるとされている。；また、扉付近だけではなく座席の中間部にも枕木方向に吊手棒を設置した。；合計250本の棒からより多くの棒を取ったチームを勝ちとする。；その鯖を利用して、いつからか各家庭にて棒寿司が作られるようになった。；そのまま手術となり残りのシーズンとワールドカップを棒に振った。；かぎ針は棒針より短く、先端に糸を引っ掛けるために鉤状になっている。；棒術は棒に体の動きが影響されやすく、体を使う基礎練習ともなる。；幼少期より新聞で丸めたボールを棒で打つ野球に似た遊びをしていた。；このため、客用扉付近と扉間で吊り革の引き通し棒が分離している。；以下では4尺前後の杖と呼ばれる棒を用いる日本武術について解説する。；さらに袖仕切上部の保護棒には座席モケットと同じ布地が巻かれている。；特に棒でなければならない理由はなく、海外ではカードやチップも使われる。</t>
        </is>
      </c>
      <c r="J7633">
        <f>HYPERLINK("https://www.weblio.jp/content/棒", "词义详情")</f>
        <v/>
      </c>
      <c r="K7633">
        <f>HYPERLINK("https://yourei.jp/棒", "查看例句")</f>
        <v/>
      </c>
    </row>
    <row r="7634">
      <c r="A7634" t="inlineStr">
        <is>
          <t>法案</t>
        </is>
      </c>
      <c r="B7634" t="inlineStr">
        <is>
          <t>成功</t>
        </is>
      </c>
      <c r="C7634" t="inlineStr">
        <is>
          <t>読み方：ほうあん
法律の案文。法律案。</t>
        </is>
      </c>
      <c r="D7634" t="inlineStr">
        <is>
          <t>法案成立；法案審議；法案作成；法案通過；法案可決</t>
        </is>
      </c>
      <c r="E7634" t="inlineStr">
        <is>
          <t>法律案</t>
        </is>
      </c>
      <c r="F7634" t="inlineStr">
        <is>
          <t>改正法案；重要法案；改革法案；廃止法案；本法案</t>
        </is>
      </c>
      <c r="G7634" t="inlineStr">
        <is>
          <t>法案寺</t>
        </is>
      </c>
      <c r="H7634" t="n">
        <v>29</v>
      </c>
      <c r="I7634" t="inlineStr">
        <is>
          <t>田中内閣のもう一つの重要法案が地方制度改正のための整備案であった。；人々の基本的人権を規定するための300以上の法案が議会を通過した。；法案が提案された当初は誰も予想していなかった選挙権の大幅拡大となった。；そのための手段は修正案提出権と、法案を拒否し棚上げする権利である。；そしていくつかの修正が加えられた末、この法案は正式に可決された。；また6月にアメリカは国民党政府に向けて対中軍事援助法案を採択した。；また法案成立後は「その点を修正するための改正が必要である」としている。；一連の議論の間、議会の外では援助法案の成立を側面から支援する動きが現れた。；この要求は1840年に法案が提出され、ヒルは郵便局の職員となった。；一般に大統領は議会の法案への拒否権を持つが、法案の提出権はない。；これらの法案は法令上、立法機関が作成することはできないとされている。；これら超党派でこの法案は見かけ上広い合意上の支持を得ている。；この法案は、対独戦勝記念日を規定した法に条文を追加する形で成立した。；この要求の理由は、国璽が捺印されたことで法案が有効になるからであった。；ダービー伯爵はこの法案の貴族院の通過にとりわけ大きな貢献をした。；そのため同じ法案に緑風会から賛成・反対両方の討論を行ったこともある。；そして、同年の夏に連邦議会はこれらの法案に対する公聴会を開催した。；また政府の支持者を含む他の国会議員もそれぞれの法案を提示した。；法案自体も、マフティー襲撃の直前にすでに可決されてしまっていた。；成立時に若干の報道がなされたが、その時点では当初法案のような危険なものではなくなっていた。；年3回開催される議会の目的は法案を通過させることである。；また、担当している重要土地利用規制法案の成立に最後まで努力する旨を伝えた。；家電業界と音楽業界の歴史的な妥協案であるこの法案はすぐに発効された。；つまりこれを取り去ると路線位置が変更されかねず、本法案の趣旨が変わる。；摂政法案が提出されたが、議決にかけられる前にジョージ3世が回復した。；この法案は当時の知識人からも批判を受けていた。；また、彼らは公正で平和的な方法で戦闘員が民間の生産的な生活に戻る法案を望むと宣言した。；法案成立の背景には、職業性疾病問題がとみに重視されている状況があった。；ウォーレスの反対にも関わらず、議会の大勢は法案支持に傾いていた。</t>
        </is>
      </c>
      <c r="J7634">
        <f>HYPERLINK("https://www.weblio.jp/content/法案", "词义详情")</f>
        <v/>
      </c>
      <c r="K7634">
        <f>HYPERLINK("https://yourei.jp/法案", "查看例句")</f>
        <v/>
      </c>
    </row>
    <row r="7635">
      <c r="A7635" t="inlineStr">
        <is>
          <t>防衛</t>
        </is>
      </c>
      <c r="B7635" t="inlineStr">
        <is>
          <t>成功</t>
        </is>
      </c>
      <c r="C7635" t="inlineStr">
        <is>
          <t>読み方：ぼうえい
［名］(スル)他からの攻撃に対して、防ぎ守ること。「祖国を—する」「タイトルを—する」「正当—」</t>
        </is>
      </c>
      <c r="D7635" t="inlineStr">
        <is>
          <t>防衛する(7%)；防衛線(2%)；防衛戦；防衛拠点；防衛用</t>
        </is>
      </c>
      <c r="E7635" t="inlineStr">
        <is>
          <t>見る；備え；保護；守る；抑え</t>
        </is>
      </c>
      <c r="F7635" t="inlineStr">
        <is>
          <t>王座防衛；本土防衛；国土防衛；地球防衛；防衛記録</t>
        </is>
      </c>
      <c r="G7635" t="inlineStr">
        <is>
          <t>防衛線；防衛省；防衛大；防衛庁；防衛施設</t>
        </is>
      </c>
      <c r="H7635" t="n">
        <v>29</v>
      </c>
      <c r="I7635" t="inlineStr">
        <is>
          <t>防衛ではその国家の地理的に置かれている環境が常に重要になってくる。；しかし各戦線ともすでに防衛のみの姿勢に転じざるを得なくなっていた。；しかし都市が攻撃された場合は防衛に貢献しなければならなかった。；新聞・雑誌・テレビ等の各メディアで防衛問題の解説もおこなっている。；交通の要衝であることは、国土防衛上重要な地点であることも意味する。；これは河川の水運の規模の大きさと、強力な防衛力に支えられていた。；地上に出ると防衛軍と謎の戦闘機部隊とが激しい戦闘を始めていた。；丘陵地が多く、古代より多くの都市が防衛のため丘陵上で営まれてきた。；日本は自国防衛のためこれを主張したが、米英とも受け入れなかった。；当時は防衛や監視のためイタリアの他の都市でもこういった塔の建設が行われていた。；一般的には、革命後のイスラム主義体制を防衛する軍隊と考えられている。；その名称通り地球を防衛することを主目的とする組織である。；これらは、主に経済的な事情や国家・企業の防衛的な目的によるものである。；ジューコフは新国境での防衛上の不利を訴え、旧国境での防衛を重視した。；当時、広大なローマ帝国の統治と防衛を単独で行うのは困難だと考えられた。；宇宙防衛勇者隊に再編成されたGGGは三つ巴の戦いを繰り広げていく。；アメリカに防衛を委ねることで、戦争を国家の想定外としてきたのだ。；集団防衛は防衛的な性格のみを持つために集団安全保障の側面も持つ。；ユーゴスラビア連邦軍とは別個に地域防衛軍を配置し、武器も配備した。；同盟にはその作戦目標から侵略的な場合と防衛的な場合がある。；このことは、頼盛・重盛が京都防衛の責任者であったことを示している。；そこで女王はパタニの防衛を強化するため、巨大砲の製造を命じた。；これが1960年代からの社会防衛的入院から外来治療への転換を生んだ。；作戦は第一想定正面であるパラオ近海において防衛を行うこととした。；このことで各地に城が築かれ都城も防衛しやすい近江大津宮に移された。；しかし後半の主要防衛線への攻撃は第9師団がP堡塁を占領した以外は失敗。；ジェネシス防衛のために第二次ヤキン・ドゥーエ攻防戦へ投入される。；ただし、戦車を防衛兵器として使用する判断をしたのは西であったとする説もある。；他の天然プロテアーゼ阻害剤は、生物の防衛機構として使用されている。</t>
        </is>
      </c>
      <c r="J7635">
        <f>HYPERLINK("https://www.weblio.jp/content/防衛", "词义详情")</f>
        <v/>
      </c>
      <c r="K7635">
        <f>HYPERLINK("https://yourei.jp/防衛", "查看例句")</f>
        <v/>
      </c>
    </row>
    <row r="7636">
      <c r="A7636" t="inlineStr">
        <is>
          <t>貿易</t>
        </is>
      </c>
      <c r="B7636" t="inlineStr">
        <is>
          <t>成功</t>
        </is>
      </c>
      <c r="C7636" t="inlineStr">
        <is>
          <t>読み方：ぼうえき
［名］(スル)
１国際間の商品の取引。輸出と輸入の総称。
２互いに財貨を交換して取引を行うこと。交易。</t>
        </is>
      </c>
      <c r="D7636" t="inlineStr">
        <is>
          <t>貿易相手；貿易風；貿易関係；貿易商人；貿易会社</t>
        </is>
      </c>
      <c r="E7636" t="inlineStr">
        <is>
          <t>商業；取引；商売；商；交易</t>
        </is>
      </c>
      <c r="F7636" t="inlineStr">
        <is>
          <t>海外貿易；海上貿易；貿易拠点；貿易ルート；貿易政策</t>
        </is>
      </c>
      <c r="G7636" t="inlineStr">
        <is>
          <t>貿易港；貿易船；貿易会社；貿易協定；貿易摩擦</t>
        </is>
      </c>
      <c r="H7636" t="n">
        <v>29</v>
      </c>
      <c r="I7636" t="inlineStr">
        <is>
          <t>交易先も管理され、申告した地方や国以外との貿易は認められていない。；ローマの金貨が出土していることから貿易も行われていたようである。；これは、福建省南部を中心とした地域が貿易の中心地であったためである。；貿易はそれに関わった双方の国に利益をもたらす事が知られている。；非金銭的コモンズの形で非金銭的形態の貿易を支持するものもあります。；貿易風は寒い季節に極の方向から多く発生し、夏よりも冬の方が風が強い。；しかし産出は少なく、後述のように貿易で輸入された銀が流通の中心となる。；彼の両親はそこで海上貿易に携わっており、彼も常に海の上で育った。；これは、間接的には大陸にある清の出先機関・デレンとの貿易であった。；民信局は郵便局と為替銀行の面をもっており、貿易を兼業する者もいた。；また李暠は農耕・養蚕や西域との貿易を奨励して安定した国家を築いた。；フォードは海外との貿易に依存することなく一から自動車を生産することだった。；既に日本人との貿易が始まっていたことが記されている。；シルクロードの名は、ほぼ中国で生産される絹織物の貿易に由来している。；その他、主要貿易相手国によるものや主要物資に掛かるものなどがある。；愛称の由来は、江戸時代に長崎がオランダとの貿易で栄えたことから。；これに勝利したプラント側は完全な自治権獲得と対等貿易を要求する。；当時の日本は銀が輸出の主力品であり、特に中国との貿易で銀本位制が発達した。；貿易風の最も強い部分で、夏を中心に対流圏界面くらいに出現する。；このため、日本との貿易ではモーリタニアは大幅な黒字を計上している。；こうした貿易風の発生域で生じる逆転層のことを、貿易風逆転と呼ぶ。；速水奨は貿易会社勤務の傍ら劇団四季の研究所などに所属していた。；また、貿易を巡って西ヨーロッパ諸国と対立するようになっていった。；これは、海禁政策で貿易が自由にできなくなっていたためである。；日本と元の間には民間レベルで貿易が活発に行われていた。；アフリカ諸国が最大の貿易相手国だが、EUとの結びつきも強い。；アメリカでも統一教会との結びつきが非常に強い貿易商社が輸入元となっている。；近年ではこの合法的な貿易を推進しようとする動きもある。；国内取引と貿易取引には次のような違いがある。</t>
        </is>
      </c>
      <c r="J7636">
        <f>HYPERLINK("https://www.weblio.jp/content/貿易", "词义详情")</f>
        <v/>
      </c>
      <c r="K7636">
        <f>HYPERLINK("https://yourei.jp/貿易", "查看例句")</f>
        <v/>
      </c>
    </row>
    <row r="7637">
      <c r="A7637" t="inlineStr">
        <is>
          <t>望遠鏡</t>
        </is>
      </c>
      <c r="B7637" t="inlineStr">
        <is>
          <t>成功</t>
        </is>
      </c>
      <c r="C7637" t="inlineStr">
        <is>
          <t>読み方：ぼうえんきょう
遠くにある物体を拡大して見るため、レンズや反射鏡を組み合わせて筒にはめこんだ光学器械。屈折望遠鏡・反射望遠鏡などがある。</t>
        </is>
      </c>
      <c r="D7637" t="inlineStr">
        <is>
          <t>望遠鏡製作；望遠鏡用；望遠鏡本体；望遠鏡みたい；望遠鏡内部</t>
        </is>
      </c>
      <c r="F7637" t="inlineStr">
        <is>
          <t>大型望遠鏡；小さな望遠鏡；x線望遠鏡；大きな望遠鏡；小型望遠鏡</t>
        </is>
      </c>
      <c r="H7637" t="n">
        <v>29</v>
      </c>
      <c r="I7637" t="inlineStr">
        <is>
          <t>中心部まで星に分離するには口径20cm程度の望遠鏡が必要とされる。；主鏡の中央に穴があってそこから光を後方に導く形式の望遠鏡である。；現在の研究用望遠鏡には以下のようないくつかの装置が付いている。；望遠鏡が発明されてしばらくするうちに軍事利用も開始されている。；地球も熱を出すので、望遠鏡は地球の近くで観測することができない。；これらの新しい望遠鏡と機器はクエーサー研究によく利用されている。；衝突痕は小型望遠鏡でも観測できたため、各地でも観測会が開かれた。；望遠鏡は、メインミッション中に約200を観測すると推定されている。；日本国外に設置される望遠鏡に日本人の名前がつくのはこれが初めてである。；衛星は望遠鏡と惑星のすぐ近くの恒星とを結ぶ視線方向に沿って移動する。；望遠鏡や釣竿やラジオアンテナや警棒などで利用されている構造である。；今後望遠鏡が増えればより多くの例が観測されると期待されている。；光といっても私たちが望遠鏡でのぞいて観測できるような光でない。；マイネルは、現役中にいくつかの大きな望遠鏡の設計や製造に携わった。；口径20cmの望遠鏡で条件が良いときに周辺の星がかすかに見えてくる。；これは飛行中の望遠鏡周辺の空気の流れの影響を見極めるためのものであった。；アメリカではイェール・カレッジでとによる望遠鏡での観測が行われた。；ウィリアムは自らつくった望遠鏡で新たな惑星を発見したのだった。；この映像は直径が約 7r 0 の望遠鏡を用いて得られたものである。；全部の星を分離するためには口径40cm程度の望遠鏡が必要である。；望遠鏡を持参する場合は、使用資格がなくても観測スペースを利用できる。；なお原作にも望遠鏡は登場するが、この道具の名称や機能は原作には出てこない。；SKAの誘致に向けて、2グループともに試験的な望遠鏡が建設された。；これらの望遠鏡は日震学や太陽の性質変化の研究に用いられている。；望遠鏡は材料だけ買って、注意と知識と忍耐で自作するのが主義であった。；全天掃天を目的とした、F値の低い望遠鏡を製作するための技術が一つ。；大きな望遠鏡では少なくとも数百個の球状星団を見ることができる。；天文台には観測のための望遠鏡が一つまたは複数設置されている。；大学は当時最大のサイズの15インチのドイツ製の望遠鏡を購入した。</t>
        </is>
      </c>
      <c r="J7637">
        <f>HYPERLINK("https://www.weblio.jp/content/望遠鏡", "词义详情")</f>
        <v/>
      </c>
      <c r="K7637">
        <f>HYPERLINK("https://yourei.jp/望遠鏡", "查看例句")</f>
        <v/>
      </c>
    </row>
    <row r="7638">
      <c r="A7638" t="inlineStr">
        <is>
          <t>防火</t>
        </is>
      </c>
      <c r="B7638" t="inlineStr">
        <is>
          <t>成功</t>
        </is>
      </c>
      <c r="C7638" t="inlineStr">
        <is>
          <t>読み方：ぼうか
火災の起こるのを防ぐこと。また、引火や延焼を防ぐこと。「—設備」「—訓練」</t>
        </is>
      </c>
      <c r="D7638" t="inlineStr">
        <is>
          <t>防火管理(6%)；防火設備(5%)；防火対策(5%)；防火服(4%)；防火用(4%)</t>
        </is>
      </c>
      <c r="F7638" t="inlineStr">
        <is>
          <t>共同防火；防火活動；防火隊；防火責任者；防火防災</t>
        </is>
      </c>
      <c r="G7638" t="inlineStr">
        <is>
          <t>防火管理者；防火壁；防火帯；防火対象物；防火用水</t>
        </is>
      </c>
      <c r="H7638" t="n">
        <v>29</v>
      </c>
      <c r="I7638" t="inlineStr">
        <is>
          <t>泉邸に火の手が迫ったときには他の元気な人たちとともに防火に努めた。；防火服着用の消防士が炎の中から幾つかの人影を連れ出したところだった。；また、共同で防火管理を行うための協議会を設置する構想すらもなかった。；学校や会社で行なわれる防火訓練にはたいてい予告がなされている。；おれも毎晩、弟ができたらなにをやって遊ぼうか、そればかり考えてた。；町の人々は、必死となって防火に努めたけれど、手がつけられない。；スプリンクラーなどの防火設備の不備が指摘されていた矢先に出火した。；建築様式として特徴的なのは、書庫の前に防火用に開鑿された池である。；全身防火衣に包まれた者が、炎の色を服に映しつつ煙の中に飛び込んでくる。；拓一は何をして遊ぼうかと、昨夜から考えていたことを今また考える。；寺院の防火および発展を祈願して金毘羅が勧進されたと書かれている。；このため、武家は亥の月亥の日に火道具を使い始め、家の防火を祈った。；このほか、甲板作業などに備えた防火服なども装備されている。；また、それを知らせては誰も初期防火をしないので、知らせてないのだともいう。；すぐ近くに待機していた一群の防火隊が駈け集ってこれに水をかけ出した。；防弾・防火装備については従来の陸軍戦闘機と同じく当初から装備されている。；そしてもし誰かに何か訊かれたら、船高新聞部で防火特集をやると言え。；そこで必死になって防火に努めたものの火の勢いは止まらない。；その方向へ、隔壁の防火ドアに向かって行くと、ドアが開いて男が一人出てきた。；防火という意味では、やはり消火のプロである消防に任せるのが一番だ。；換気は防火上有効であるとともに、後述する中毒の防止にも有効である。；だがサイズの都合で防火服を一人で所有している俺は、ラックも一人で一つ使っている。；特に木造駅舎の防火設備の設置状況が適正かどうか精査するとした。；また、成人の男女が幼児と会話する時に使われる事があると遊ぼうか?；日本橋の大火のあとで、都心に防火路線をつくったのは、彼の功績である。；敷地奥に建つ土蔵は町境になると共に、一種の防火帯として機能していた。；最近のマンションはよく出来ていて、防火対策の為に延焼しないように出来ているらしい。；しかし、村垣の日記には、防火演習や花火を見たことだけしか出ていない。；ぼくは先生に命じられた防火週間のポスターを、まだ描いていなかったからだ。</t>
        </is>
      </c>
      <c r="J7638">
        <f>HYPERLINK("https://www.weblio.jp/content/防火", "词义详情")</f>
        <v/>
      </c>
      <c r="K7638">
        <f>HYPERLINK("https://yourei.jp/防火", "查看例句")</f>
        <v/>
      </c>
    </row>
    <row r="7639">
      <c r="A7639" t="inlineStr">
        <is>
          <t>崩壊</t>
        </is>
      </c>
      <c r="B7639" t="inlineStr">
        <is>
          <t>成功</t>
        </is>
      </c>
      <c r="C7639" t="inlineStr">
        <is>
          <t>読み方：ほうかい
［名］(スル)
１くずれてしまうこと。こわれてしまうこと。「地震で建物が—する」「家庭の—」
２放射性原子核が放射線を出して他の種類の原子に変化する現象。放出される放射線により、α(アルファ)崩壊・β(ベータ)崩壊・γ(ガンマ)崩壊という。壊変。
３素粒子が自然に他の素粒子に変化すること。
[補説]書名別項。→崩壊</t>
        </is>
      </c>
      <c r="D7639" t="inlineStr">
        <is>
          <t>崩壊する(11%)；崩壊後(6%)；崩壊寸前；崩壊状態；崩壊生成物</t>
        </is>
      </c>
      <c r="E7639" t="inlineStr">
        <is>
          <t>失敗；混乱；崩れ；分解；陥落</t>
        </is>
      </c>
      <c r="F7639" t="inlineStr">
        <is>
          <t>バブル経済崩壊；大崩壊；バブル景気崩壊；ユーゴスラビア崩壊；帝国崩壊</t>
        </is>
      </c>
      <c r="G7639" t="inlineStr">
        <is>
          <t>崩壊系列；崩壊モード；崩壊定数；崩壊エネルギー；崩壊学園</t>
        </is>
      </c>
      <c r="H7639" t="n">
        <v>29</v>
      </c>
      <c r="I7639" t="inlineStr">
        <is>
          <t>しかしこの政府でも政権は安定せず、統制を失った経済は再び崩壊した。；温度の増加に伴う種種の性質の変化は螺旋構造の崩壊の進行に比例する。；原は不満であったが、内閣崩壊を防ぐためこの役割を果たすこととなった。；人工的に原子核の崩壊を起こすには加速器などを用いなくてはならない。；この氷床はわずかながらも崩壊する可能性が指摘され、注目を集めている。；アルゼンチン経済の崩壊後、アルゼンチンの世界的な評価は地に落ちた。；日本の勝利と清の敗北により東アジアの冊封体制は崩壊することになる。；そもそもバブル景気の崩壊以降若者が自動車に興味を示さなくなっていった。；西ローマ帝国の崩壊後、この都市はさまざまな民族による支配を受けた。；ムガル帝国の版図は没年までに最大となったが、死後に帝国は崩壊した。；寿命の短いものはすぐに崩壊するが、安定な粒子は地上で観測される。；ライン同盟は崩壊し、多くのドイツ諸邦が連合軍に加入することになる。；結局政府は土地の私有を認めざるを得なくなり、律令制度は崩壊した。；軍の組織崩壊も始まり、今までほとんど見られなかった集団投降も増えてきた。；開発時期はバブル景気まっただ中だったが販売直前にバブル経済が崩壊。；これらの現象は伝統的な身分体制の崩壊も表している。；この時橋本が敗れていれば、関西棋院は崩壊していたと見る者も多い。；また、堤防が崩壊して一気に堤防内に水があふれ出すことを破堤という。；連邦崩壊後も何度か再統合が試みられたが成功していない。；他は建物下部の石垣崩壊や屋根・壁の破損などの被害が報告された。；コラムはパリ・コミューン崩壊後に再建され、現在の姿で残っている。；この火砕流は振子山溶岩ドームの崩壊により発生したものと考えられる。；この事件は国際世論やイスラエル国民の反発を買い、ベギン政権も崩壊。；さらに侵食が著しくなると、海蝕洞が崩壊し、大きな谷状の地形となる。；ソ連側は1990年に崩壊するまでドイツの仕業と主張していた。；北棟の崩壊により、北棟の屋上に設置されていた通信アンテナも破壊された。；逆に原子崩壊しなければ毒ガスは発生せず猫が死ぬことはない。；原子がいつ崩壊するのかは量子力学的には確率的にしか説明することができない。；しかし実際には、この関係を満たさない崩壊の例が多くあった。</t>
        </is>
      </c>
      <c r="J7639">
        <f>HYPERLINK("https://www.weblio.jp/content/崩壊", "词义详情")</f>
        <v/>
      </c>
      <c r="K7639">
        <f>HYPERLINK("https://yourei.jp/崩壊", "查看例句")</f>
        <v/>
      </c>
    </row>
    <row r="7640">
      <c r="A7640" t="inlineStr">
        <is>
          <t>妨害</t>
        </is>
      </c>
      <c r="B7640" t="inlineStr">
        <is>
          <t>成功</t>
        </is>
      </c>
      <c r="C7640" t="inlineStr">
        <is>
          <t>読み方：ぼうがい
［名］(スル)邪魔をすること。「議事の進行を—する」「営業—」</t>
        </is>
      </c>
      <c r="D7640" t="inlineStr">
        <is>
          <t>妨害する(17%)；妨害しよ(3%)；妨害される(2%)；妨害装置；妨害活動</t>
        </is>
      </c>
      <c r="E7640" t="inlineStr">
        <is>
          <t>壁；困難；荷物；障害；故障</t>
        </is>
      </c>
      <c r="F7640" t="inlineStr">
        <is>
          <t>走塁妨害；電波探知妨害；治安妨害；安眠妨害；列車妨害</t>
        </is>
      </c>
      <c r="G7640" t="inlineStr">
        <is>
          <t>妨害行為；妨害電波；妨害排除；妨害排除請求権；妨害運転</t>
        </is>
      </c>
      <c r="H7640" t="n">
        <v>29</v>
      </c>
      <c r="I7640" t="inlineStr">
        <is>
          <t>こうすることで他局の通信に妨害を与えないように運用することが出来る。；しかし公式記録にこうした妨害をうかがわせる記録は一切残っていない。；他人の恋愛を妨害することを目的に結成された、もてない男たちの集団。；または威力を用いて人の業務を妨害することを内容とする犯罪である。；カナダ兵は高速で走行するジープから応戦したが、一人が妨害を受けた。；そのためドイツ艦隊は妨害を受けずに東に向かうことができた。；バックギャモンのように相手を妨害出来るルールのゲームも存在する。；妨害されたときに実行しようとしていた行動はキャンセルされる。；しかし、学生らの活動は警察の注意を引き、妨害を受けることが多くなった。；怪物達を妨害しているのは、真夜中の都会に現れたあの少女であった。；起爆が妨害された場合、10秒以内に爆発するように設計されていた。；彼の進めていた計画が妨害されたためだけでなく、国王が秘密に事を進めていたためである。；これに反対しようとした動物たちもいたが、抗議は犬や羊たちに妨害されてしまう。；彼をロンドンで発見するものの、作戦着手寸前で酔っ払いに妨害される。；この米仏間の貿易をイギリスが妨害しようとしたことから、米英関係が緊張した。；道中ではビルの住人から物が落とされるほか、さまざまな妨害がなされる。；こうした動きは南部出身の民主党議員により主に妨害されるのが常であった。；これはフランスなどの妨害で巡礼者が難儀することを考えての措置であった。；妨害される可能性が少しでもあるなら、計画を明かすと思うかね?；このような展示を余儀なくされた背景には野村の後妻・沙知代の妨害があった。；敵飛行場施設に損害を与え、一晩中、上空を飛行し修復作業を妨害する。；また敵戦車の内部に直接乗り込み、発射の妨害を行うことも可能。；報道によると、ブッシュ政権はこの事件の調査を妨害したと言う。；宇宙を食い荒らす人類の宇宙進出を恐れ、妨害するために地球に来た宇宙人。；ヨハンは息子の行動に驚き、そのデビューをあらゆる手段を使って妨害しようとした。；コート上で特殊な妨害やスコア調整が行われるコートがある。；敵勢力からの妨害を排除し、味方勢力による海上輸送の維持を目的としている。；途中の妨害攻撃なんでもありのレースでもある。；戦場では相手の進行を塞ぎ、妨害するために様々なバリケードが築かれる。</t>
        </is>
      </c>
      <c r="J7640">
        <f>HYPERLINK("https://www.weblio.jp/content/妨害", "词义详情")</f>
        <v/>
      </c>
      <c r="K7640">
        <f>HYPERLINK("https://yourei.jp/妨害", "查看例句")</f>
        <v/>
      </c>
    </row>
    <row r="7641">
      <c r="A7641" t="inlineStr">
        <is>
          <t>法学</t>
        </is>
      </c>
      <c r="B7641" t="inlineStr">
        <is>
          <t>成功</t>
        </is>
      </c>
      <c r="C7641" t="inlineStr">
        <is>
          <t>読み方：ほうがく
法に関する学問。法解釈学・法哲学・法社会学・法史学・比較法学などを含む。狭義には、法解釈学をさす。法律学。</t>
        </is>
      </c>
      <c r="D7641" t="inlineStr">
        <is>
          <t>法学部長(3%)；法学者(2%)；法学的(2%)；法学教授；法学上</t>
        </is>
      </c>
      <c r="F7641" t="inlineStr">
        <is>
          <t>法学予備；法学専攻；法学研究所；法学界；大学院法学</t>
        </is>
      </c>
      <c r="G7641" t="inlineStr">
        <is>
          <t>法学者；法学博士；法学校；法学院；法学士</t>
        </is>
      </c>
      <c r="H7641" t="n">
        <v>29</v>
      </c>
      <c r="I7641" t="inlineStr">
        <is>
          <t>父の勧めで法学を学ぶが、自分の性質と合わない学問に非常に苦しんだ。；法学では立場による法律に対する視点の違いが研究の対象となっている。；ハッチンソンは法学の訓練を受けておらず、その地位を求めていなかった。；実際には写真の人物はニューヨーク大学に通う25歳の法学生であった。；その後大学に進学し、哲学と法学を学ぶが、卒業することはなかった。；哲学、法学などの分野ではフランスやドイツの大陸諸国と対比される。；法学者として大学の法学部長まで務めたが弁護士資格はもっていなかった。；環境法とは、環境の保護に関連する法、ないしそれを扱う法学上の分野。；ベルリンとテュービンゲンで法学を学び、さらには哲学と歴史を学んだ。；同じように、オシエク大学が経済や法学のプログラムを提供している。；父親の希望によりまず法学を学んだが、のち専門を哲学に変更した。；彼の法学に関する著書が初めに出版され、生涯にわたって出版され続けた。；リュブリャナ大学で法学を学び、1978年から同大学で講師を務めた。；大学に進学して法学を学んでいたが、2年後には演劇学校に進み演劇を学ぶ。；全てのスンナ派の信徒がある特定の法学派の考え方を選んでいるわけではない。；さらに、過去の判例や法学者の学説、条理も補充的な法源とされている。；法学に関するものを見つけた場合には、適宜こちらにも追加してください。；その間、カリフォルニア大学ロサンゼルス校で法学を学んだこともある。；法学を学んで弁護士資格を獲得し、ルイストンで事務所を開設した。；ライプツィヒ大学で法学を学んだと信じられているが、その証拠は存在しない。；例えば、法学を社会科学に含める場合もあればそうでない場合もある。；彼はまたごく若い頃から法学の研究で有名であった。；ラファイエットで法学を学んだ彼は、1843年に弁護士資格を取得した。；ごく少数ながら、学部段階で法学を学ぶことのできる教育機関も存在する。；この時期に出版された諸著作は台湾独立運動の法学・歴史学上の基礎となっている。；法学上の用語であり、商法及び会社法と、労働法の双方で使用される。；シドニー大学で経済学と法学を専攻し、学生代表委員会会長を務める。；文学はフランスやスペイン、イギリスなどの文学が法学の本と同程度に所蔵されている。；現実の具体的問題に法学的解釈を下す際、最も重要な法源は預言者の伝承である。</t>
        </is>
      </c>
      <c r="J7641">
        <f>HYPERLINK("https://www.weblio.jp/content/法学", "词义详情")</f>
        <v/>
      </c>
      <c r="K7641">
        <f>HYPERLINK("https://yourei.jp/法学", "查看例句")</f>
        <v/>
      </c>
    </row>
    <row r="7642">
      <c r="A7642" t="inlineStr">
        <is>
          <t>方角</t>
        </is>
      </c>
      <c r="B7642" t="inlineStr">
        <is>
          <t>成功</t>
        </is>
      </c>
      <c r="C7642" t="inlineStr">
        <is>
          <t>読み方：ほうがく
１ある地点をもとにして、東西南北で表した方向。「北の—」
２吉凶にかかわる方位。「—が悪い」
３そのもののある方向。「火事は家の—だ」
４考え方の方向。見当。「違った—から考えてみる」
５事をする方法。やり方。てだて。「和解させる—が立たない」
→方向［用法］</t>
        </is>
      </c>
      <c r="D7642" t="inlineStr">
        <is>
          <t>方角へ歩き出し；方角へ歩きだし；方角めざし；方角火消；方角へぶらぶら</t>
        </is>
      </c>
      <c r="E7642" t="inlineStr">
        <is>
          <t>方；路線；方向；方面；過程</t>
        </is>
      </c>
      <c r="F7642" t="inlineStr">
        <is>
          <t>同じ方角；あらゆる方角；正しい方角；思い思いの方角；とんでもない方角</t>
        </is>
      </c>
      <c r="G7642" t="inlineStr">
        <is>
          <t>方角ちがい；方角地名；方角違</t>
        </is>
      </c>
      <c r="H7642" t="n">
        <v>29</v>
      </c>
      <c r="I7642" t="inlineStr">
        <is>
          <t>任氏は方角が悪いといって辞退したが、鄭六は何とか説得して旅に出た。；しかし、明らかに朝風の方角へ通過したにもかかわらず爆発しなかった。；かつて日和山に置かれた方角石もうち捨てられて失われたところが多い。；影の先端からスタートして、指定された方角へ指定された歩数を進める。；ジャワでは、西側の海の方角から突然音がしたことが報告されている。；基準となる場所からの方角、国や地方の中での位置から付けた地名。；兄媛は吉備氏の娘であり故郷の方角を見て望郷の念にかられたのだった。；そして見ていると、だんだんと首を違った方角に向け直していった。；側面にあるいくつかの通気孔が北西の方角に向いた割れ目に発生している。；また太陽の位置から自分が向いている方角を把握することもできる。；北西から南東の方角を軸としており、主要な建物は北西の壁面に接している。；具体的には伊勢神宮の方角を拝んだことを意味すると考えられている。；神明造板葺の社殿は南の方角を向いており、一重の玉垣に囲まれている。；怪人が、どちらの方角へ飛びさったかさえ、すこしもわからないのです。；数多くの旅行者が間違った方角や行き止まりや通れない道に案内された。；方角を基準に定めており、基本的に西・南から東・北に向かって振られている。；以下街道沿いに残る道標および方角を示した石製物の位置を示す。；人々は京子だけをその場に残して、指し示された方角へ駈け出して行った。；太陽の輝いている方向が、どうも自分たちの考えている方角と違っているのだった。；映像は海の上空の雲の中から太陽の方角を色々な角度で撮影したものである。；メシカは土地の支配を表すために4つの方角に矢を投げる儀式を行う。；以下は全て、駅から見て北西から南西にかけての方角に点在している。；この町を中心とすると、どちらの方角にも大きなタウンやシティーがある。；ノズパスの鼻の指す方向を見て方角を確かめる旅人もいると言われている。；これは、西が太陽の沈む方角であり死者の世界に接すると信仰されたためである。；方角は南向きまたは東向きに設置するのが基本とされる。；正円形の構造にバスの進む方角と合わせた乗り場配置を特徴とする。；良い方角とは日が昇る方角である東であり、西は悪いとされている。；東・西・南・北・中という方角にその武術家の特徴を表す一字を加えて称号とする。</t>
        </is>
      </c>
      <c r="J7642">
        <f>HYPERLINK("https://www.weblio.jp/content/方角", "词义详情")</f>
        <v/>
      </c>
      <c r="K7642">
        <f>HYPERLINK("https://yourei.jp/方角", "查看例句")</f>
        <v/>
      </c>
    </row>
    <row r="7643">
      <c r="A7643" t="inlineStr">
        <is>
          <t>放棄</t>
        </is>
      </c>
      <c r="B7643" t="inlineStr">
        <is>
          <t>成功</t>
        </is>
      </c>
      <c r="C7643" t="inlineStr">
        <is>
          <t>読み方：ほうき
［名］(スル)
１投げ捨ててかえりみないこと。「責任を—する」
２自分の権利・資格などを捨てて行使しないこと。「権利を—する」</t>
        </is>
      </c>
      <c r="D7643" t="inlineStr">
        <is>
          <t>放棄すること(4%)；放棄しよ；放棄させる；放棄すれ；放棄する代わり</t>
        </is>
      </c>
      <c r="E7643" t="inlineStr">
        <is>
          <t>与える；拒否；諦め；譲渡；断念</t>
        </is>
      </c>
      <c r="F7643" t="inlineStr">
        <is>
          <t>権利放棄；まま放棄；すべて放棄；自ら放棄；全て放棄</t>
        </is>
      </c>
      <c r="H7643" t="n">
        <v>29</v>
      </c>
      <c r="I7643" t="inlineStr">
        <is>
          <t>放棄された国有地を周辺の住民が耕している共同の畑にも参加している。；次第にパンとサーカスに没頭して働くことを放棄した者も増えていった。；カカオの一大生産地であった地域でも農地が放棄される事例が出ている。；後継の写譜師達からは仕事を断る者、途中放棄する者が出たほどである。；この計画は、費用の問題や自然保護の理由から実現せずに放棄された。；その後西部への移住が進んだので、この砦は1827年に放棄された。；しかし、いくつかの理由から欧米諸国での一般的な使用は放棄された。；社会党はまず階級政党を放棄して国民政党となるべきであると主張した。；繁殖中はより敏感であり、危険を感じると雛や卵を放棄することもある。；また放棄された総構も畑や空き地として再建が可能な形で維持されていた。；むしろ、そのようなものを計画することを積極的に放棄していた。；しかしながら、この2曲はスケッチは作成されたが、途中で放棄された。；このためアルファベットとしての読みはその後は放棄されることになった。；戦争によって勝ち得た権利を放棄することをアメリカは決して同意しない。；また、火事等の後放棄されるビルが多く、事態を一層悪化させている。；その数行も事実確認をするのみで、特に何かを放棄しているわけではない。；その代わりにエドワード3世が放棄したのはフランス王位のみだった。；いずれの場合も部分放棄となるが、部分的な払戻は一切行われない。；その領域はジョージア州とサウスカロライナ州が権利放棄したものだった。；しかしながら製作資金の調達が頓挫し、映画製作が放棄されてしまった。；管理できなくなったペットを放棄する行為が問題となっている。；曹操は白馬の住民を移住させると、白馬の拠点を放棄して西に敗走した。；また当時建設中であった、取付道路の陸橋の一部が未完成のまま放棄された。；単行本は5巻まで発売中だが、杉崎本人が連載そのものを放棄している。；最終的に大破した機体は基地へ放棄されるが、搭乗者は無事脱出に成功する。；橋牟礼川遺跡は9世紀末の噴火によって放棄された代表的な集落である。；その一方で、成氏が鎌倉を放棄することも正式に決定したのである。；世俗を放棄する必要はなく、僧になる必要もなく、修道院に入る必要もない。；ポーランドが外交交渉を放棄したことで、開戦は避けられなくなった。</t>
        </is>
      </c>
      <c r="J7643">
        <f>HYPERLINK("https://www.weblio.jp/content/放棄", "词义详情")</f>
        <v/>
      </c>
      <c r="K7643">
        <f>HYPERLINK("https://yourei.jp/放棄", "查看例句")</f>
        <v/>
      </c>
    </row>
    <row r="7644">
      <c r="A7644" t="inlineStr">
        <is>
          <t>箒</t>
        </is>
      </c>
      <c r="B7644" t="inlineStr">
        <is>
          <t>成功</t>
        </is>
      </c>
      <c r="C7644" t="inlineStr">
        <is>
          <t>読み方：ははき
《「羽掃き」の意で、古く鳥の羽毛を用いたところからという》ほうき。
「庭はくとて、—を持ちて」〈かげろふ・下〉</t>
        </is>
      </c>
      <c r="D7644" t="inlineStr">
        <is>
          <t>箒目(2%)；箒尻；箒沢；箒スギ；箒置き場</t>
        </is>
      </c>
      <c r="E7644" t="inlineStr">
        <is>
          <t>帚</t>
        </is>
      </c>
      <c r="F7644" t="inlineStr">
        <is>
          <t>鉄箒；棕櫚箒；座敷箒；小さな箒；高箒</t>
        </is>
      </c>
      <c r="G7644" t="inlineStr">
        <is>
          <t>箒星；箒虫動物；箒木；箒草；箒川ダム</t>
        </is>
      </c>
      <c r="H7644" t="n">
        <v>29</v>
      </c>
      <c r="I7644" t="inlineStr">
        <is>
          <t>それから少し川とは反対側に傾いて箒のような木が空に突出しています。；君のうちには、何かの草で作った箒のような形の洋服ブラシがあったね。；箒に乗っていて、こんなに冷たく感じたのはこれまでたった一度だけだ。；君のような目に遭えば、どんな人間だって箒から落ちても不思議はない。；俺は余りのことに、ぼんやりと箒を杖にしてそれを見とるだけやった。；箒目の立った校庭に足跡をつけて行くのは、何か気のひける思いだった。；箒を店の中にいる店員さんに返してから、リトルスマキンが先頭に立つ。；ところが気がつくと箒はまったく言うことを聞かなくなっていた。；長い竹の柄のついた椶櫚箒を使ふことも、私には初めての経験であつた。；それを打役が箒尻と称する鞭で、肩から尻へかけて打ちたたくのである。；そうはないようにと、箒を手ばなさなかったところがあるでしょう。；箒や嘘のことをだれに聞いたか覚えてないけど、両方とも知ってるよ。；その武器はガンロッドと呼ばれる箒のような銃と数々の魔法であった。；ハリーの箒が変な動きをしていることに誰も気づかないようだ。；窓の硝子に箒のようにぼさぼさした頭を凭せかけて昏睡していたりした。；婆やが曲つた腰つきで箒を持つて無花果の樹の下から私の方へ歩いて來た。；ハリーは知っていたが、ハーマイオニーも箒には自信がなかったのだ。；さらに、アンブリッジの部屋のドアには箒の形の大穴が二つ空いていた。；玉箒と呼ばれて古くから箒の材料とされ、正月の飾りなどにもされた。；駱駝草によく似た草で、箒のように、細い緑の葉を素直に伸ばしている。；庭使いは、箒持ちの小者の仕事のようではあるが、事実はそうでない。；この兄弟はそこで頭に袋をかぶせられ箒を手に踊ることを強要された。；箒は激しく震え、ハリーもこれ以上つかまっていられないようだった。；どこからか、箒を待ったさっきの老人が現れてぼくらを案内しはじめました。；さて箒を振り上げていた老人はどうしたかというと、驚く前に死んでいました。；頭の中にはただ、朝のパリを洗うあの箒の動きの感覚が残っているだけだった。；その近くにいたデス・イーターは箒から吹きとばされ、見えなくなった。；私は箒を持ち出して鹿のお尻を突いてみましたがなかなか動きません。；ケイティは空中でもんどり打ったが、なんとか箒からは落ちずにすんだ。</t>
        </is>
      </c>
      <c r="J7644">
        <f>HYPERLINK("https://www.weblio.jp/content/箒", "词义详情")</f>
        <v/>
      </c>
      <c r="K7644">
        <f>HYPERLINK("https://yourei.jp/箒", "查看例句")</f>
        <v/>
      </c>
    </row>
    <row r="7645">
      <c r="A7645" t="inlineStr">
        <is>
          <t>封建</t>
        </is>
      </c>
      <c r="B7645" t="inlineStr">
        <is>
          <t>成功</t>
        </is>
      </c>
      <c r="C7645" t="inlineStr">
        <is>
          <t>読み方：ほうけん
《封土を分けて諸侯を建てるの意》天子・皇帝・国王などが、直轄領以外の土地を諸侯に分け与え、領有・統治させること。また、そのような制度。</t>
        </is>
      </c>
      <c r="D7645" t="inlineStr">
        <is>
          <t>封建的(35%)；封建性(7%)；封建貴族(3%)；封建制；封建勢力</t>
        </is>
      </c>
      <c r="F7645" t="inlineStr">
        <is>
          <t>反封建；封建遺制；封建政治；封建化；封建家臣</t>
        </is>
      </c>
      <c r="G7645" t="inlineStr">
        <is>
          <t>封建制；封建時代；封建制度；封建領主；封建社会</t>
        </is>
      </c>
      <c r="H7645" t="n">
        <v>29</v>
      </c>
      <c r="I7645" t="inlineStr">
        <is>
          <t>そういう関係をもっているのが封建的な土地と農民の関係でございます。；それらは日本の社会の歴史のなかではどれも一種の封建性であるといえる。；それとも東山道中の特別な要害地域を守る封建組織のためにあったのか。；領主とは、一定の土地とそこに生活する人々の封建的な支配権を有する者。；まず日本は大へんに封建的な社会であったというようにいわれております。；自我の分裂の苦悩を封建人は知らないで生き、そして死んだのであった。；だがこれは封建性社会の中で育った彼らには無理な注文でしょう。；これらはいずれも、当時の封建反動に抵抗して起こった農民反乱であった。；ただし、その領域的支配は封建的な人的関係に依存するものであった。；清輝は、日本の封建的な社会に対して不満や憤懣を抱いていたとされる。；匿名の作者はこれらの詩の中で封建的な価値や宮廷的なモラルを嘲笑した。；過去の、殊に封建的な時代の愛情は、互いに相手を束縛するものだった。；日本語の封建性は日本の人民の実質的な民主化の水準を示すものである。；実に血みどろな封建ボスとの闘いの均衡の中で行なわれているのである。；封建思想の謬れることを科学的に説破したのは、実に医者の知識であった。；再建されてより純粋な封建制が成立したとする見解である。；それは他と親まずに秘密主義を守つて居た封建割拠時代の遺風である。；君権の脆弱な封建制への回帰を主張しないのが穂積八束の立場である。；ちょっとそういえば、お父さんは封建的な感じはするなあ、たしかに。；それから今までの日本は半分近代化して半分はまだ封建的な気分が非常に強く残っております。；いかにもいい意味での封建の磨きのかかったような料理であった。；中世期の封建的なヨーロッパに支配権をもっていたのは王と貴族と僧侶だった。；溝口は生涯を通して、封建的な社会や男性の犠牲となる女性を描き続けた。；封建思想はこういう形でつい最近まで残っていたのである。；こういうぼくの如き人間の素質を封建的だといわれるのは、むりもない。；封建思想風だといふ言ひ方も、少し圧倒的だが、其も認めてよいと思ふ。；領地を持つ封建貴族と、官職を得て政府に奉職する法衣貴族の二種類だ。；この過程に、日本につよくのこっている封建性が十分利用されている。；歌舞伎の内部のように、だから封建的な秘密給金制は当然ないわけだ。</t>
        </is>
      </c>
      <c r="J7645">
        <f>HYPERLINK("https://www.weblio.jp/content/封建", "词义详情")</f>
        <v/>
      </c>
      <c r="K7645">
        <f>HYPERLINK("https://yourei.jp/封建", "查看例句")</f>
        <v/>
      </c>
    </row>
    <row r="7646">
      <c r="A7646" t="inlineStr">
        <is>
          <t>方言</t>
        </is>
      </c>
      <c r="B7646" t="inlineStr">
        <is>
          <t>成功</t>
        </is>
      </c>
      <c r="C7646" t="inlineStr">
        <is>
          <t>読み方：ほうげん
１一定の地域社会に行われる言語。一つの国語が地域によって別々な発達をなし、音韻・文法・語彙(ごい)などの上で相違のあるいくつかの言語圏に分かれたとき、それぞれの地域の言語体系をいう。九州方言、琉球方言など。
２共通語・標準語に対して、ある地方で用いられる特有の言葉。俚言(りげん)。
３特定の階層に用いられる独自の言葉。隠語・俗語の類。</t>
        </is>
      </c>
      <c r="D7646" t="inlineStr">
        <is>
          <t>方言差；方言群；方言研究；方言話者；方言集</t>
        </is>
      </c>
      <c r="E7646" t="inlineStr">
        <is>
          <t>訛り；訛；訛音</t>
        </is>
      </c>
      <c r="F7646" t="inlineStr">
        <is>
          <t>南部方言；北部方言；下位方言；各方言；話される方言</t>
        </is>
      </c>
      <c r="G7646" t="inlineStr">
        <is>
          <t>方言学；方言連続体；方言指導；方言区画；方言字</t>
        </is>
      </c>
      <c r="H7646" t="n">
        <v>29</v>
      </c>
      <c r="I7646" t="inlineStr">
        <is>
          <t>その言葉は、隣接する地方の方言からの影響を大なり小なり受けていた。；その一方で関西地方の方言が多く入ってきていることが指摘されている。；これも他地域ではまず目にすることはない地域変種で、方言現象である。；このような流れの中で、伝統的な方言を見直し尊重する動きも出てきた。；このことから現在の発音が当時は関東の方言音であったことが分かる。；その問題に対し、学校・教育側は方言の授業を設ける等を検討している。；これらを総称する丹波方言は一般的な関西弁とは若干異なる方言である。；仙台弁には、東北地方の他の方言に広く見られるような次の特徴がある。；東部のモーノー族はヌミック語派だがと関係が深いの方言を話している。；日本語諸方言では原則として、同じ類の語は同じ型のアクセントを持つ。；各地の方言の発音を構成する要素の数には下記のような違いがある。；また国際SIL自体も、方言であるとの意見を排除しないと表明している。；高度成長後になると、方言に対する意識に変化が見られるようになった。；以上を総合し、岐阜県の方言は例えば以下のような区分が行なわれている。；安明進も韓国各地の方言をミスなく言えるようになるまで訓練されたという。；その後、廃藩置県を経てもそれぞれの方言のもつ従来よりの特徴は残った。；訛りが強いだけではなく、グラスウィージャンの方言も使用されている。；ロマンス諸語は個々の言語である前にラテン語の方言であるともいえる。；方言であることがあまり知られていない言葉のひとつである。；ドイツ語学では広義のドイツ語の方言の低地フランク語の一つとされる。；新方言とは、日本各地の方言で比較的新しく成立した表現などのことである。；この方言の中にはナワトル語話者同士でも意志の疎通が困難なものもある。；方言は日本全国で観光PRや企画・公共施設の名称などに活用されている。；マレー語や中国語の南方方言からの借用語が多く見られるのが特徴である。；アメリカ英語は、アメリカ合衆国で使用されている英語の方言の一種である。；周辺の他の方言との比較については日本語の方言の比較表を参照されたい。；一口にグアラニー語と言っても研究者は様々な方言に分かれるとしている。；またシュト方言は他の方言に比べて、その方言の内部での差が小さい。；研究の対象とするのは方言であるが、方言と言語との区別は必ずしも明確でない。</t>
        </is>
      </c>
      <c r="J7646">
        <f>HYPERLINK("https://www.weblio.jp/content/方言", "词义详情")</f>
        <v/>
      </c>
      <c r="K7646">
        <f>HYPERLINK("https://yourei.jp/方言", "查看例句")</f>
        <v/>
      </c>
    </row>
    <row r="7647">
      <c r="A7647" t="inlineStr">
        <is>
          <t>冒険</t>
        </is>
      </c>
      <c r="B7647" t="inlineStr">
        <is>
          <t>成功</t>
        </is>
      </c>
      <c r="C7647" t="inlineStr">
        <is>
          <t>読み方：ぼうけん
［名］(スル)危険な状態になることを承知の上で、あえて行うこと。成功するかどうか成否が確かでないことを、あえてやってみること。「前途に多くの—が待ち受ける」「—してみる価値がある」「—者」「—心」</t>
        </is>
      </c>
      <c r="D7647" t="inlineStr">
        <is>
          <t>冒険的(4%)；冒険心(3%)；冒険談(2%)；冒険譚(2%)；冒険者</t>
        </is>
      </c>
      <c r="E7647" t="inlineStr">
        <is>
          <t>山；危険；恐れ；危機；リスク</t>
        </is>
      </c>
      <c r="F7647" t="inlineStr">
        <is>
          <t>様々な冒険；海洋冒険；新しい冒険；危険な冒険；ちょっとした冒険</t>
        </is>
      </c>
      <c r="G7647" t="inlineStr">
        <is>
          <t>冒険家；冒険小説；冒険の旅；冒険者たち；冒険活劇</t>
        </is>
      </c>
      <c r="H7647" t="n">
        <v>29</v>
      </c>
      <c r="I7647" t="inlineStr">
        <is>
          <t>これは冒険物語ではなく宗教などをテーマにした随筆で構成されている。；プレイヤーは、一回の冒険で基本的に下の動作を順番にすることになる。；異世界にある二つの国をめぐる冒険と戦いをテーマとしたゲームである。；冒険の目的も炎の杖の入手ではなく7つの至宝を探す内容となっている。；本作では様々な場所・形で冒険者をサポートしてくれるサービスが登場する。；文書で残された最初の冒険といわれるのは、ギルガメシュ叙事詩だろう。；南名義では少年向け冒険小説を多数執筆、特に秘境冒険物を得意とした。；大半がプレイヤーに協力的で、冒険の先々で様々な手助けをしてくれる。；冒険モードではイベントがあればそれを解決するのが目的となる。；基本的には通常の番組を組むが、冒険的な企画が行われることがある。；最初の頃の飛行は冒険に近く、一般の人の旅行に使われるレベルではなかった。；村に持ち帰ったアイテムは、売却または次の冒険に持ち出すことが可能。；基本的に主要メンバーの親たちがのび太たちの冒険に気付くことはない。；様々な施設を利用して、旅の準備を整えたり、冒険に出発したりする。；そのことがルイスの本当の家族を捜すため、少年の奇跡の冒険が始まる。；主人公は仲間と力を合わせ、世界を再生させるための冒険に出る。；それゆえ、次の段階の装備品を手に入れたらそれだけで冒険が格段に楽になる。；冒険に帽子を忘れてきたビルボには、自分の濃い緑色の帽子を貸した。；週の頭に、その週の後半に冒険に向かう場所が王様から発表される。；古代にはその他にも報告として残されている冒険がいくつかある。；小さくなった時には動物と会話ができるおばさんの、幻想的な冒険を描く。；当初、この物語は教訓本と冒険物語のない交ぜになったものであった。；またナルトたちが語る自らの冒険談が真実であるかを判定することもある。；主人公と、一緒に冒険するプラトンは精神のみの存在で身体を持っていない。；強くしたい勇者を冒険に出して育てながら進めていくことになる。；放送初期は、小説を原作とした冒険、ミステリー作品が中心であった。；一人が所持出来るカードの枚数はその冒険者の実力に応じて増加する。；また、日本では少年向け冒険SFやそれを匂わせるものを意味したりする。；ポコを元の世界に返してあげるため、ドラえもん達の冒険が再び始まった。</t>
        </is>
      </c>
      <c r="J7647">
        <f>HYPERLINK("https://www.weblio.jp/content/冒険", "词义详情")</f>
        <v/>
      </c>
      <c r="K7647">
        <f>HYPERLINK("https://yourei.jp/冒険", "查看例句")</f>
        <v/>
      </c>
    </row>
    <row r="7648">
      <c r="A7648" t="inlineStr">
        <is>
          <t>方向</t>
        </is>
      </c>
      <c r="B7648" t="inlineStr">
        <is>
          <t>成功</t>
        </is>
      </c>
      <c r="C7648" t="inlineStr">
        <is>
          <t>読み方：ほうこう
１物が向いたり、進んだりする方。向き。方角。「北の—を指す」「右の—から風が吹く」「進行—」
２気持ちや行動の向かうところ。めざすところ。方針。「将来の—を決める」「妥協の—で話し合いがまとまる」
[用法]方向・方角——「県庁の方向（方角）に火の手が上がった」のように、向きの意では相通じて用いる。◇「方向」は上下左右などに向いたり進んだりする向きで、特に東西南北を基準にはしない。「右の方向へハンドルを切れ」「方向転換」「x軸の負の方向」◇「方角」はある地点を基準にした東西南北の向き。「艮(うしとら)の方角を鬼門という」◇類似の語の「方位」は東西南北を基準として位置づけた向きの意で、専門用語として多く用いる。「羅針盤で方位を確かめる」「方位計」</t>
        </is>
      </c>
      <c r="D7648" t="inlineStr">
        <is>
          <t>方向性；方向感覚；方向に約；方向別；方向レバー</t>
        </is>
      </c>
      <c r="E7648" t="inlineStr">
        <is>
          <t>方；路線；方面；過程；コース</t>
        </is>
      </c>
      <c r="F7648" t="inlineStr">
        <is>
          <t>東西方向；南北方向；同じ方向；反対方向；水平方向</t>
        </is>
      </c>
      <c r="G7648" t="inlineStr">
        <is>
          <t>方向転換；方向幕；方向舵；方向指示器；方向キー</t>
        </is>
      </c>
      <c r="H7648" t="n">
        <v>29</v>
      </c>
      <c r="I7648" t="inlineStr">
        <is>
          <t>そこから南西方向と南東方向の二方向に分かれて遠くまで移動を続けた。；全てのベクトルのように大きさと方向を持ち、これら両方が重要である。；現代では方向の基準は宇宙測地観測局の位置から逆に定義されている。；すなわち自発的に進行する方向に反応の速度を増加させる働きを持つ。；駒は移動方向を変えることもできるし、異なる複数の駒を進めてもよい。；川や河川の流れてくる方向や風の吹いてくる方向を表すときにも用いられる。；平日夕方の下り方向では運行されず、後述する通勤快速が代わりとなる。；この方向の違いを共に取り入れたのが現代の日本の花火技術である。；地震計の観測結果を基に図に表し、断層の位置や動いた方向を解析する。；一方の既存線は、上下4車線を下り一方向として運用することになった。；それはレーザービームのように一致し、みんな同じ方向を向いていた。；落合の名は、3方向から路線が合流する地となったことから名付けられた。；さらに次駅の開くドア方向を予告する「次駅開扉予告灯」が設置された。；対比されている概念は、交流つまり周期的に方向が変化する電流である。；こういうのは出資方向と関係なく、主導権は外資が握っているのである。；そして一般の方向に進む波はその知識を基礎にして考える。；日本の外食産業は成熟期に入り、価格から質へと方向が変化している。；そこで、ある方向を定め、そちらを向いた時の左右で指定する方法がある。；が負のときは を今度は逆方向に伸び縮みさせることで同様に定める。；飛行方向の制御から武器選択と発射まではスティック部でおこなえる。；リアクションホイールを用い機体低部を地球中心方向に向けさせる。；こうした中で要塞攻略の主軸をどの方向からにするかが議題となった。；あるいは南を下、北を上とした時、東の方向が右、西の方向が左となる。；すなわち温度とはエネルギーが自然に移動していく方向を示す指標であるといえる。；等方性物質はその性質が方向によって変化することの無い物質のことである。；軌道制御には東西方向の制御と南北方向の制御がある。；放射方向の道路が環状道路の一部にもなっており、それらと連絡する。；テレビでは事件発生直後から、さまざまな場所・方向から記録された映像が放送された。；蒸気は常に吸気口から排気口へ一方方向へ流れるのでこの名称で呼ばれる。</t>
        </is>
      </c>
      <c r="J7648">
        <f>HYPERLINK("https://www.weblio.jp/content/方向", "词义详情")</f>
        <v/>
      </c>
      <c r="K7648">
        <f>HYPERLINK("https://yourei.jp/方向", "查看例句")</f>
        <v/>
      </c>
    </row>
    <row r="7649">
      <c r="A7649" t="inlineStr">
        <is>
          <t>報告</t>
        </is>
      </c>
      <c r="B7649" t="inlineStr">
        <is>
          <t>成功</t>
        </is>
      </c>
      <c r="C7649" t="inlineStr">
        <is>
          <t>読み方：ほうこく
［名］(スル)告げ知らせること。特に、ある任務を与えられた者が、その経過や結果などを述べること。また、その内容。「出張の—」「事件の顛末(てんまつ)を—する」「研究の中間—」</t>
        </is>
      </c>
      <c r="D7649" t="inlineStr">
        <is>
          <t>報告する(7%)；報告書(3%)；報告例；報告しよ；報告義務</t>
        </is>
      </c>
      <c r="E7649" t="inlineStr">
        <is>
          <t>情報；記事；案内；報道；ニュース</t>
        </is>
      </c>
      <c r="F7649" t="inlineStr">
        <is>
          <t>最終報告；ご報告；近況報告；御報告；詳細な報告</t>
        </is>
      </c>
      <c r="G7649" t="inlineStr">
        <is>
          <t>報告会；報告記号；報告文書；報告漏れ</t>
        </is>
      </c>
      <c r="H7649" t="n">
        <v>29</v>
      </c>
      <c r="I7649" t="inlineStr">
        <is>
          <t>同じ報告では最終的な決定は国家発展開発委員会に委ねられたとされる。；後の研究より幾つかの前兆現象が発生していたことが報告されている。；その説明責任を果たすために行う会計報告が企業会計の主な目的である。；従来は行われていなかったが超音波断層撮影の有用性が報告されている。；これらの報告を受けた北海道は財政負担の低いほうを選ぶとバス転換を主張。；この報告を受けた連合艦隊は計画が崩れたことに何ら対策を取らなかった。；この種のオーガズムが初めて報告されたのは脊髄損傷を持つ人々であった。；これらの報告によりヨーロッパでは多数の人々が研究実験を行った。；報告の中には、西アフリカの約9割が既に破壊されたというものもある。；午前6時頃には全指揮官から任務は指示された通り実行されたとの報告を受けた。；干しシイタケの戻し汁などでも症状が発生することが報告されている。；その成果にはその時点での最高速のメッセージパッシングの報告もあった。；オーストラリアでは死亡例があるが、日本では報告されていない。；男子の方が女子よりも出席率が高い傾向が報告されている。；上記と近い意味もあるが、より、現地報告的な色彩が強い作品を意味する。；また、ある場合には精子数の減少が見られることが報告されている。；貨幣委員会の作業報告会にはフリードマンも参加しゼミ生の指導を行った。；なお、水温が高いほど時間当たりの吸水率が低下するとの報告がある。；また国境を越えた酸性雨の被害も世界中で広く報告されている。；また報告徴収・質問は犯罪捜査のために認められたものと解釈してはならない。；江口も何人かの読者が本作に影響され女装を始めたと報告している。；後に同様の説明が他のアルプス地方の各地からも報告された。；符号は発見が報告された年、月、発見報告順を元にしてつけられる。；幸福の科学の発表では数千人数万人の規模だと報告している。；また生徒からの直接の支払いや賄賂に要求する教員もいると報告されている。；他は建物下部の石垣崩壊や屋根・壁の破損などの被害が報告された。；症例数は少ないが花粉症の原因植物となることが報告されている。；この事件の際に道長は天皇の失踪を関白・頼忠に報告する役割を果たした。；高圧条件下においては、複数の同素体の形を取ることが報告されている。</t>
        </is>
      </c>
      <c r="J7649">
        <f>HYPERLINK("https://www.weblio.jp/content/報告", "词义详情")</f>
        <v/>
      </c>
      <c r="K7649">
        <f>HYPERLINK("https://yourei.jp/報告", "查看例句")</f>
        <v/>
      </c>
    </row>
    <row r="7650">
      <c r="A7650" t="inlineStr">
        <is>
          <t>防災</t>
        </is>
      </c>
      <c r="B7650" t="inlineStr">
        <is>
          <t>成功</t>
        </is>
      </c>
      <c r="C7650" t="inlineStr">
        <is>
          <t>読み方：ぼうさい
台風・地震・火事などの災害を防ぐこと。「—訓練」</t>
        </is>
      </c>
      <c r="D7650" t="inlineStr">
        <is>
          <t>防災団(3%)；防災行政無線(3%)；防災情報(3%)；防災計画(3%)；防災機能(3%)</t>
        </is>
      </c>
      <c r="F7650" t="inlineStr">
        <is>
          <t>地域防災；防災体制；火山防災；地震防災；防災事業</t>
        </is>
      </c>
      <c r="G7650" t="inlineStr">
        <is>
          <t>防災拠点；防災訓練；防災対策；防災上；防災センター</t>
        </is>
      </c>
      <c r="H7650" t="n">
        <v>29</v>
      </c>
      <c r="I7650" t="inlineStr">
        <is>
          <t>現在も研究が進み、防災の面から新たな発見も期待されている分野である。；消防防災博物館の資料によると以下のような被害拡大の要因があった。；そのほか、誰にも出来る住宅の設計、建築防災と都市防災など多数執筆。；それでも、いろいろなユーザーに伝え防災に役立てることが期待される。；日本では、災害などの有事の際に閣僚らが防災服を着用することもある。；実際、地方のローカルテレビでは地元限定で防災情報が共有化されている。；入鹿池は確かにこの様な大災害を起こしたが、防災の面での貢献も大きい。；また、防災計画に地震対策がなく対応が不十分だった自治体もあった。；その他はできるだけ防災施設・公園施設となるよう策定し実現させている。；また、この他にも防災行政無線でラジオ体操を流している自治体もある。；学内で実施される認定試験に合格することで防災士の資格が得られる。；旧駅跡地は防災機能を備えたショッピングセンターが建設されている。；また、気象予測に基づく防災操作も考えられるが、次のような課題がある。；防災局によると、2011年末の洪水でタイ王国は大きな打撃を受けた。；日本国内の市町村および区が、防災行政のために設置・運用するものである。；大規模災害時の救援活動の拠点となる「防災道の駅」に選定されている。；また、防災関係機関が所在する立川広域防災基地が公園に隣接している。；最後に支援についての領域には保健、産業、教育、防災が含まれている。；建築物の利用者の安全を確保するための防災計画、避難計画を行う分野。；防災機関は救助などの準備を整え、被害地域外の機関も救援の準備を行う。；これらの防災組織には防災要員を置き、広範な知識と技術が必要とされる。；この事故を教訓にして、トンネル内での防災設備の重要性が再認識された。；防災のため海上での油流出事故に対応するための設備を有している。；世界防災研究所連合を組織し、防災に関する世界の拠点となっている。；消防防災政策などについて日本国民の理解を求めるために作成されている。；防災計画を念入りに練って段階的に対応する点でフランスに類似する。；そのため、活断層の調査を中心とした地震防災に対する批判も存在している。；特に砂防、防災の場面でこのような分類・説明をすることが多い。；防災の強化を行っていれば、今回の事故で近隣の住民の被爆が避けられたと報道される。</t>
        </is>
      </c>
      <c r="J7650">
        <f>HYPERLINK("https://www.weblio.jp/content/防災", "词义详情")</f>
        <v/>
      </c>
      <c r="K7650">
        <f>HYPERLINK("https://yourei.jp/防災", "查看例句")</f>
        <v/>
      </c>
    </row>
    <row r="7651">
      <c r="A7651" t="inlineStr">
        <is>
          <t>方策</t>
        </is>
      </c>
      <c r="B7651" t="inlineStr">
        <is>
          <t>成功</t>
        </is>
      </c>
      <c r="C7651" t="inlineStr">
        <is>
          <t>読み方：ほうさく
１はかりごと。計略。また、手段。方法。「—を立てる」「事故防止の—がない」
２《「方」は木の板、「策」は竹簡。中国で古代、紙の代わりに用いたところから》文書。記録。</t>
        </is>
      </c>
      <c r="D7651" t="inlineStr">
        <is>
          <t>方策要綱；方策研究会；方策調査報告書；方策関数；方策案</t>
        </is>
      </c>
      <c r="E7651" t="inlineStr">
        <is>
          <t>書；政策；手段；方針；対策</t>
        </is>
      </c>
      <c r="F7651" t="inlineStr">
        <is>
          <t>具体的方策；様々な方策；あらゆる方策；推進方策；何らかの方策</t>
        </is>
      </c>
      <c r="H7651" t="n">
        <v>29</v>
      </c>
      <c r="I7651" t="inlineStr">
        <is>
          <t>首相はこの時点ですでにこのとっておきの方策を考えていたことになる。；繰り返し言うが、私に今あげたような提案や方策を聞かせないでほしい。；向うにも充分方策があるでしょうが、私だって遊んでいるわけじゃない。；こう云った方策がアメリカ国民の受けが良いと考えられていたためである。；病気を防ぐための方策はその原因の正しい知識に基づかなければならない。；他に方策が見当たらない以上、不可能に思える案でも選択の余地はない。；これは開発のコストや期間を削減するには当然と考えられた方策であった。；人手も不足しており、軍では状況を改善するための方策を考えている。；上記は混ぜ物処理を発見し防止する方策の単に短いスケッチに過ぎない。；私はこれ等の手紙が安全にあなたのお手に入る方策をとります。；その稼動および独立を維持するための方策は、いまのところ一つしかない。；そのすべとして春海は以前より自ら考案した一つの方策を用意していた。；方策については専門家ごと、立場ごとに見解がそれなりに分かれている。；状態に基づいて制御変数を決定するこのような関数を、方策関数と呼ぶ。；そのため何とか砲力を維持ないし向上するための方策に迫られた。；昨夜、羅旋と今後の方策を練っていたため、ほとんど眠っていないのだ。；司祭さまの力を借りて、父を安全に国境を越えさせる方策を何よりも考えたい。；別に古風に則っているわけではなくて暗殺防止のための方策であった。；とにかく、船の上へ追い込んでからの方策だといっておられたから。；空軍は「市民を落ち着かせるために何らかの方策をとる必要」があった。；他にも多くの極端な方策がとられたことが歴史家たちによって記録されている。；ああ、二つの方策がどんどん勝ち目をふやしながら進むさまが手にとるよう。；それよりも、最初から、あんな事故に遭わない方策はなかったのだろうか。；そうしてそれによって彼のメキシコ王国征服の方策が立てられ得たのである。；ただ、長井の思想は体制変革等の具体的方策にまで及ぶものではなかった。；それが社会問題化したことから各国がそれぞれ独自の方策を打ち出している。；半三郎が帰ったあと、金之助はこう思っていろいろ方策を考えめぐらせた。；バスレーンの設置など、様々な方策がとられ、この問題は改善された。；だが、それにはどうやったらいいのか、まだぼくらには方策が立っていない。</t>
        </is>
      </c>
      <c r="J7651">
        <f>HYPERLINK("https://www.weblio.jp/content/方策", "词义详情")</f>
        <v/>
      </c>
      <c r="K7651">
        <f>HYPERLINK("https://yourei.jp/方策", "查看例句")</f>
        <v/>
      </c>
    </row>
    <row r="7652">
      <c r="A7652" t="inlineStr">
        <is>
          <t>豊作</t>
        </is>
      </c>
      <c r="B7652" t="inlineStr">
        <is>
          <t>成功</t>
        </is>
      </c>
      <c r="C7652" t="inlineStr">
        <is>
          <t>読み方：ほうさく
１作物がよく実って収穫が多いこと。満作。《季秋》⇔凶作／不作。
２（比喩的に）よい作品が多いこと。「昨年はミステリー—の年だった」</t>
        </is>
      </c>
      <c r="D7652" t="inlineStr">
        <is>
          <t>豊作祈願(5%)；豊作凶作</t>
        </is>
      </c>
      <c r="E7652" t="inlineStr">
        <is>
          <t>豊穣；五穀豊穣；実り豊か；たわわに実る</t>
        </is>
      </c>
      <c r="F7652" t="inlineStr">
        <is>
          <t>朝丘豊作；西尾豊作</t>
        </is>
      </c>
      <c r="H7652" t="n">
        <v>29</v>
      </c>
      <c r="I7652" t="inlineStr">
        <is>
          <t>このあたりのヌケた味が出てくるのも、今週が豊作であった証拠である。；それ以来山頂に神旗を掲げ豊作などを祈ったのが始まりとされている。；仏歯は雨を呼ぶともいわれ、作物の豊作をもたらす祈願の対象でもある。；大西、江包共に、泥がつけばつくほどその年は豊作になるとされている。；なお米が豊作の年には、米の質の関係から、醸造に失敗しやすい事もある。；初期は豊作に感謝していたが、特別な記念日として祝われることもあった。；片田舎の豊作の神がその巻き添えにならないとはとても言えなかった。；客の相手をしている農夫ノ頭の豊作まちがいなしという保証つきだった。；今年の豊作を感謝する言葉に、来年もまた豊作になるようにという言葉。；豊作のための模像の死骸を君は昨年 君の畑に植えたが、芽が出たかい?；発展途上にあった帯広の町で、商売熱心であった豊作の魚屋は繁盛した。；だがこの種の豊作も自然の他の諸産物のそれと同じことである。；豊作というものがこんなに見事なものとは知らなかったのである。；そうしていた3年の間も平和と豊作が続いた、と伝えられている。；朝になって王は心が軽くなって起床し次の収穫から豊作になった。；やがてホームセンター組も到着し、思いがけぬ豊作ぶりに歓声を上げた。；これらの地域は豊作・凶作のイベントカードを引いた時の発生判定単位となる。；そんなわけで、雨が多いような年には、びわが豊作ということになります。；ブドウが花をつける時期にその年の豊作を占う、農民のための祭だからである。；綿花栽培は豊作と不作を繰り返していたので、決して生活は楽ではなかった。；山辺の里に田植えの始まりを告げ、秋の豊作を祈願する伝統行事である。；豊作の神がいなくなるとなれば困るだろうからな。；試合が白熱するほど雨が降り豊作になると信じられていた。；また、大豊作の年には米が余って米価が暴落するというリスクもあった。；もっとも、この寒い中の雨は豊作の神でなくとも皆が嫌がることだ。；毎年春に皇帝自らが地方を巡行し、豊作を祈る籍田の儀式を執り行った。；すると翌年は豊作になったため、諸社において相撲を奉納したという。；そして、もし豊作だったら、湯のなかへ茶の葉を浮かせることもできるだろう。；ホロと出会った時、ホロは麦の一大産地を司る豊作の神と呼ばれていた。</t>
        </is>
      </c>
      <c r="J7652">
        <f>HYPERLINK("https://www.weblio.jp/content/豊作", "词义详情")</f>
        <v/>
      </c>
      <c r="K7652">
        <f>HYPERLINK("https://yourei.jp/豊作", "查看例句")</f>
        <v/>
      </c>
    </row>
    <row r="7653">
      <c r="A7653" t="inlineStr">
        <is>
          <t>坊さん</t>
        </is>
      </c>
      <c r="B7653" t="inlineStr">
        <is>
          <t>成功</t>
        </is>
      </c>
      <c r="C7653" t="inlineStr">
        <is>
          <t>読み方：ぼうさん
１僧を親しみ敬っていう語。
２男の子供を親しんでいう語。</t>
        </is>
      </c>
      <c r="D7653" t="inlineStr">
        <is>
          <t>坊さんたち(6%)；坊さん達；坊さんみたい；坊さん仲間；坊さんらしくない</t>
        </is>
      </c>
      <c r="E7653" t="inlineStr">
        <is>
          <t>息子；息；男子；僧；男の子</t>
        </is>
      </c>
      <c r="F7653" t="inlineStr">
        <is>
          <t>偉い坊さん；禅坊さん；えらい坊さん；小がらな坊さん；高い坊さん</t>
        </is>
      </c>
      <c r="H7653" t="n">
        <v>29</v>
      </c>
      <c r="I7653" t="inlineStr">
        <is>
          <t>坊さんにはしない条件で私はいよいよ寺の方へ養子にゆくことになった。；その頃叔父は、一時坊さんをやめて船乗りになろうとしていたのだった。；本当の坊さんと見えて毎日二食、それも日中を過ぎては少しも喰わない。；さういふことで坊さん達が躍起となつて此人を攻撃したのであります。；去年は先生も子供の芝居に一と役かって、インドの坊さんの役になった。；その祈祷にはやはり今ここに問題になっている坊さんが出たのだった。；ただ坊さんが取つておいた葉巻の灰を見ると、指でそれにさわつてみた。；そういうことを考えていると、若い坊さんは急に改めて両手をついた。；長い眼ェでみたら捨吉は坊さんになって、よかったと感謝する日がくる。；坊さんにお経だけでもあげてもらおうじゃねえか、葬式のついでだしよ。；きっと坊さんのお出なされたのは、彼の娘を迎いに来られたのだと思う。；これは坊さんが多少とも怪しい霊媒に似ていると思つたからではなかつた。；前にも言ったように、叔父は十二、三の頃に坊さんになるのだと言い出した。；最初おまえに会ったときに、うちの入口で坊さんに行き会ったのさ。；村の年よりどもはビックリして早速教会の坊さんのところへかけつけた。；それに頬の肉が肩までたれているし、頭ったら坊さんみたいに丸禿げ!；坊さんたちの言行から判断するに、どうもそう思われる節が多々あるわ。；だが好人物の坊さんはちっとも気を悪くしているようなようすはなかった。；その両側にはいろいろな楽器を持った坊さんが、一列にずっと並んでいる。；詩人と会見してから何かがいつまでも坊さんの頭から離れなかつた。；私はその時彼の生活の段々坊さんらしくなって行くのを認めたように思います。；それでな、事情を察した偉い坊さん達が寄って集って調べ始めた訳だよ。；それはおもに彼女が仏教や道教の坊さんたちから聞いてきた話だった。；最初坊さんは銀行へはいつて行つて、そこでは支配人と十分間密談した。；堂のところに、この小柄な坊さんは跼んで、いろいろな話をしてくれた。；「それはたしかにあんたが見られたものじゃ」と坊さんは話し続けた。；しかし職人や武士や百姓はたくさん通りますが坊さんはなかなか通りません。；その坊さんが自分の弟子をほかのお寺にしばらく修行に出してやった。；その坊さんたちは、私が礼拝堂の中にはいることに異議をとなえました。</t>
        </is>
      </c>
      <c r="J7653">
        <f>HYPERLINK("https://www.weblio.jp/content/坊さん", "词义详情")</f>
        <v/>
      </c>
      <c r="K7653">
        <f>HYPERLINK("https://yourei.jp/坊さん", "查看例句")</f>
        <v/>
      </c>
    </row>
    <row r="7654">
      <c r="A7654" t="inlineStr">
        <is>
          <t>奉仕</t>
        </is>
      </c>
      <c r="B7654" t="inlineStr">
        <is>
          <t>成功</t>
        </is>
      </c>
      <c r="C7654" t="inlineStr">
        <is>
          <t>読み方：ほうし
［名］(スル)《古くは「ほうじ」とも》
１神仏・主君・師などに、つつしんでつかえること。「神に—する」
２利害を離れて国家や社会などのために尽くすこと。「社会に—する」
３商人が品物を安く売ること。「特価で御—しております」「—品」</t>
        </is>
      </c>
      <c r="D7654" t="inlineStr">
        <is>
          <t>奉仕する(20%)；奉仕団；奉仕しよ；奉仕会；奉仕員</t>
        </is>
      </c>
      <c r="E7654" t="inlineStr">
        <is>
          <t>務め；サービス；扱い；勤務；勤め</t>
        </is>
      </c>
      <c r="F7654" t="inlineStr">
        <is>
          <t>労働奉仕；無料奉仕；軍事奉仕；無償奉仕；性的奉仕</t>
        </is>
      </c>
      <c r="G7654" t="inlineStr">
        <is>
          <t>奉仕者</t>
        </is>
      </c>
      <c r="H7654" t="n">
        <v>29</v>
      </c>
      <c r="I7654" t="inlineStr">
        <is>
          <t>この時点で内苑はほぼ完成していたため主な奉仕の場所は外苑であった。；一般的に奉仕により神は良い状態を保つことができると考えられていた。；教会は通常、信仰の奉仕と結婚式のような特別なイベントに使用される。；そこでは「一連の動作祭典奉仕ができるように指導」しているとされる。；インドで奉仕している時、若い婦人が手紙で宣教の働きについて尋ねた。；なお、誦経奉仕は一つの公祈祷に一名とは限らず、数名で務めても良い。；これは、新嘗祭当日の午後に掌典長以下が奉仕して用意するものである。；それは全て公に奉仕する為にそなたたちに一時預けられているものである。；奉仕会が整備していた水道付き宿泊施設は防空隊員の居住に転用された。；奉仕的理想を抱くことが大切であるとして数々の社会貢献活動を行った。；彼らは自国の代表としてではなくスカウティング全体の利益に奉仕する。；この奉仕に参加する人は、大変重要なホロコースト関連研究所で従事する。；さらに、国家に奉仕するための生徒の公民教育、訓練にも重きを置いた。；その体験のためにすべての演劇的要素は奉仕すべきである。；連合の隠し部屋提供者の要望に応じての出張奉仕をすることである。；惣領はその他の男子や女子を統率して幕府や荘園領主に奉仕していた。；かつては家庭奉仕員と呼ばれ、現在は一般にホームヘルパーと呼ばれている。；彼は残りの人生をかけて、神のために奉仕することに専念することを誓った。；戦国時代に国分氏の尊崇を受け、江戸時代にもその旧臣の奉仕を受けた。；その通りに彼女の奉仕に応じてチョイ役をくれてやったりした。；自分の天職は「日本」と「イエス」に奉仕することだと彼は信じていた。；奉仕会は本部を飯田橋に置く全国組織であったが、道場はここだけであった。；学生は最低50時間の地域奉仕を卒業前にすることが義務付けられている。；幼少時から苦労を重ねたためか、事業の第一目的は社会への奉仕と言い切っている。；そんな奉仕部の活動を通して、三人の関係は少しずつ良い方向に変わっていく。；この追加雇用には緊急事業や1931年から始まった労働奉仕などがある。；ロータリークラブの活動も行っており、地区国際奉仕委員長などを務めている。；鋤奉仕土地保有として土地を保有する者は、国王にのみ臣従するのである。；社会・共同体への義務・奉仕を意味するのである。</t>
        </is>
      </c>
      <c r="J7654">
        <f>HYPERLINK("https://www.weblio.jp/content/奉仕", "词义详情")</f>
        <v/>
      </c>
      <c r="K7654">
        <f>HYPERLINK("https://yourei.jp/奉仕", "查看例句")</f>
        <v/>
      </c>
    </row>
    <row r="7655">
      <c r="A7655" t="inlineStr">
        <is>
          <t>防止</t>
        </is>
      </c>
      <c r="B7655" t="inlineStr">
        <is>
          <t>成功</t>
        </is>
      </c>
      <c r="C7655" t="inlineStr">
        <is>
          <t>読み方：ぼうし
［名］(スル)防ぎとめること。「少年の非行を—する」</t>
        </is>
      </c>
      <c r="D7655" t="inlineStr">
        <is>
          <t>防止するため(11%)；防止用(3%)；防止対策(2%)；防止等；防止装置</t>
        </is>
      </c>
      <c r="E7655" t="inlineStr">
        <is>
          <t>禁止；停止；中止；防ぐ；邪魔</t>
        </is>
      </c>
      <c r="F7655" t="inlineStr">
        <is>
          <t>転落防止；偽造防止；まん延防止；危険防止；盗難防止</t>
        </is>
      </c>
      <c r="H7655" t="n">
        <v>29</v>
      </c>
      <c r="I7655" t="inlineStr">
        <is>
          <t>もちろんカルテで分かる内容だが、取り違い防止のために質問している。；また、近年では外来種を水際で防止するために必要な対策となっている。；また車体の腐食防止という観点から以下の工事が一部車両に施工された。；健康麻将とも呼ばれ、脳のトレーニングや老化防止にも活用されている。；災害の防止や資源の保護のために植生を利用することも広く行われている。；砂地を好み根が深くなるため、砂丘などの土壌流出の防止に効果が高い。；交差適合試験は輸血に伴う副作用を防止するために行われる検査である。；社会風潮の悪化防止のために規制の強化が必要とする意見が述べられることもある。；タイフォン内部に雪が入るのを防止するため円筒状のカバーが装着された。；子供が小指を入れると危ないため、誤作動防止の機能を持つものもある。；中央分離帯は、対向する車両同士の正面衝突を防止するために設置される。；この高速化のためにはバッファーアンダーランの防止技術も必要とされた。；これを防止するのが法律の目的とするところであります。；また荷物室は、手荷物落下防止のためのベルトが全車に装備されている。；感染拡大防止を目的として初めて国境を閉鎖したのは、モンゴルである。；ハイジャックを防止するために様々な対策が複合的にとられている。；他にも偽造防止用のホログラムシートの作成にも同様の技術が用いられる。；これは三相交流誘導電動機と路面との干渉を防止することも兼ねている。；外科的治療が困難な場合は再出血防止のための保存的治療を行う。；ただし感電防止のために、作業は通電しない場合に限られているものが多い。；換気は防火上有効であるとともに、後述する中毒の防止にも有効である。；また、道路やグラウンドなどで土ぼこりの発生防止用としても使われる。；政府は、独占とカルテルの創造を防止する目的で法律を実施してきた。；車内では蛍光灯を飛散防止形を採用したため、蛍光灯保護棒を省略した。；多額の水銀防止施設を整備していては採算が取れなくなるのが理由であった。；また、着雪防止のためにパンタグラフがシングルアーム式に変更されていた。；鉄道車両の塗装は、基本的には車体の腐食防止を目的として実施される。；またホーム上ベンチは転落防止のため、外側線ホームに向けて設定されている。；危険防止のため、可動式の透明アクリルカバーが全席に設けられている。</t>
        </is>
      </c>
      <c r="J7655">
        <f>HYPERLINK("https://www.weblio.jp/content/防止", "词义详情")</f>
        <v/>
      </c>
      <c r="K7655">
        <f>HYPERLINK("https://yourei.jp/防止", "查看例句")</f>
        <v/>
      </c>
    </row>
    <row r="7656">
      <c r="A7656" t="inlineStr">
        <is>
          <t>帽子</t>
        </is>
      </c>
      <c r="B7656" t="inlineStr">
        <is>
          <t>成功</t>
        </is>
      </c>
      <c r="C7656" t="inlineStr">
        <is>
          <t>読み方：ぼうし
１寒暑やほこり・直射日光などを防ぎ、また身なりを整えるために頭にかぶるもの。
２綿帽子などの女性のかぶりもの。
３「野郎帽子」の略。
４「烏帽子(えぼし)」の略。
５物の頭部にかぶせるもの。
６「鋩子(ぼうし)」に同じ。</t>
        </is>
      </c>
      <c r="D7656" t="inlineStr">
        <is>
          <t>帽子をまぶか；帽子箱；帽子店；帽子を深く；帽子をつかん</t>
        </is>
      </c>
      <c r="E7656" t="inlineStr">
        <is>
          <t>笠；キャップ；ハット；被り物；シャッポ</t>
        </is>
      </c>
      <c r="F7656" t="inlineStr">
        <is>
          <t>白い帽子；赤い帽子；大きな帽子；広い帽子；鳥打帽子</t>
        </is>
      </c>
      <c r="G7656" t="inlineStr">
        <is>
          <t>帽子掛け；帽子男；帽子岩；帽子収集狂事件；帽子屋お松</t>
        </is>
      </c>
      <c r="H7656" t="n">
        <v>29</v>
      </c>
      <c r="I7656" t="inlineStr">
        <is>
          <t>今日では特定の帽子を身につけるように求められる状況は限られている。；今日も我慢できずに街の高級店でかなり値の張る帽子を買ってしまった。；この時代の軍服の標準として高い帽子が採用されたのはそのためである。；張本自身は相手の帽子を張っただけで手は出していないと話している。；例え、土管などの中に隠れても帽子自身が向きを変えて端から水を出す。；レアの大きな羽を使って作った巨大な帽子をかぶって踊るのが特徴である。；基本的に顔は見えず、それぞれ正面に数字が入った帽子を被っている。；彼の頭は帽子風の兜をかぶっていたにもかかわらず完全に叩き潰されていた。；かぶった者は一寸法師のように帽子のサイズに丁度合う程度に小さくなる。；トレードマークにもなっており、この帽子でゴールを守った事もある。；周りが阪神ファンばかりの中、赤い帽子をかぶって甲子園球場に通った。；学説によると看護師の帽子の線の数を真似したものだとも言われる。；学校の建物の中には、比較的最近までかつて帽子工場だった建物が含まれている。；ロゴの特徴は翼の付いた髑髏で、ベガの帽子の徽章にも使用されている。；なお、幼年期には星がなく縁のある黄色い帽子をかぶっていたこともある。；この帽子をかぶって物の形を考えると、その形が実体化して現れる。；本物の提灯の内輪に帽子を模した飾りや、照明が入ったものもみられる。；原作でも時期によっては帽子を上げて表情を明らかにしている。；アーミステッドはその剣の先に帽子を載せて旅団を率いていたと言われている。；自宅には多くの靴や帽子やバッグがあり、一度も使った事の無い物も少なくない。；帽子を手に入れたホーニゴールドは、平和裏に船から退去していった。；可視光では帽子のように見える銀河も、赤外域では目のような感じに見える。；この帽子をかぶった人の目を見ると、その人の命令に従わなくてはいけなくなる。；男性の帽子・タイ等の小物も、徐々に現代に近いスタイルが完成していく。；元来男性用の帽子だが、ボリビアなど南米の一部では女性も被っている。；帽子を任意の動物の頭に乗せると、頭の大きさにあわせて帽子の大きさが変わる。；自分の姿を透明にできる帽子を被っていて、これがないと透明になれない。；ハッブスオウギハクジラの特徴は頭部に帽子のような白い模様と全身の傷である。；普段は帽子として使用でき、中に入る際には中央のボタンを押して巨大化させる。</t>
        </is>
      </c>
      <c r="J7656">
        <f>HYPERLINK("https://www.weblio.jp/content/帽子", "词义详情")</f>
        <v/>
      </c>
      <c r="K7656">
        <f>HYPERLINK("https://yourei.jp/帽子", "查看例句")</f>
        <v/>
      </c>
    </row>
    <row r="7657">
      <c r="A7657" t="inlineStr">
        <is>
          <t>方式</t>
        </is>
      </c>
      <c r="B7657" t="inlineStr">
        <is>
          <t>成功</t>
        </is>
      </c>
      <c r="C7657" t="inlineStr">
        <is>
          <t>読み方：ほうしき
ある一定のやり方。定まった形式・手続き。「入札の—を決める」「所定の—に従う」「仮名漢字変換—」</t>
        </is>
      </c>
      <c r="D7657" t="inlineStr">
        <is>
          <t>方式トーナメント戦にて試合；方式台車；方式vvvfインバータ制御；方式ボルスタレス台車；方式ケーブルテレビ</t>
        </is>
      </c>
      <c r="E7657" t="inlineStr">
        <is>
          <t>手；方法；法；手段；スタイル</t>
        </is>
      </c>
      <c r="F7657" t="inlineStr">
        <is>
          <t>制御方式；荷役方式；誘導方式；作動方式；支持方式</t>
        </is>
      </c>
      <c r="H7657" t="n">
        <v>29</v>
      </c>
      <c r="I7657" t="inlineStr">
        <is>
          <t>この仮想機械方式による の実行方法は の言語仕様にも含まれている。；日本では使用例が少ないが、それ以外ではかなり見られる方式である。；しかし通常の使用には問題がなく、多くのカメラがこの方式を採用している。；スティックを傾けるのではなく滑らせて操作する方式の製品も存在する。；このため、人間の目の残像特性を利用した飛び越し走査方式を採用した。；インクジェット方式は1980年代に電機系の会社を中心に開発された。；逆T字方式は、中央案内軌条式の新交通システムと類似した構造を持つ。；この方式は1989年の消費税導入時に総額表示が行われるまで続いた。；この方式は高速ネットワークの時代にはふさわしくないという意見もある。；この問題を解決するために多くの方式が開発されてきた。；企業向けシステムのメインフレーム用OSなどもほぼ全てこの方式である。；各国は、それぞれ多様な国際法の国内法秩序への編入方式を採用している。；以後に跨座式を採用して開業した路線はすべてこの方式である。；同一の線路上の複数の車両を個別に制御する方式の総称である。；個別の方式の構成や動作についてはそれぞれの見出し項目を参照されたい。；メッセージ認証の代表的な方式はメッセージ認証符号を用いたものである。；SDSLは東京めたりっく通信などが提供していた上下速度対称の方式。；これまでに説明した方式を使い、次のような同期プリミティブが構築できる。；そのため以下のように様々な方式が用いられてきた。；この方式でも優先順位の逆転やデッドロックは発生する可能性がある。；次節で述べるスカイレールも車体の支持・案内方式はIビーム式である。；こうした使い分けが行われる背景には、それぞれの方式の特徴が関連している。；文字・マーク式のものもあるが、近年は液晶ディスプレイ方式が増加している。；技術者や研究者の用語としては「方式」という語が使われることもある。；暗号とデジタル署名を実現できる方式として最初に公開されたものである。；以降は延長戦も前・後半フルタイム行う旧来の方式に改められている。；回転をプラッターに伝えるための方法として次のような方式がある。；各期ごとに試行錯誤が重ねられ、挑戦者決定リーグの開催方式が変更された。；特殊な用途向けに独自の録音方式も開発された。</t>
        </is>
      </c>
      <c r="J7657">
        <f>HYPERLINK("https://www.weblio.jp/content/方式", "词义详情")</f>
        <v/>
      </c>
      <c r="K7657">
        <f>HYPERLINK("https://yourei.jp/方式", "查看例句")</f>
        <v/>
      </c>
    </row>
    <row r="7658">
      <c r="A7658" t="inlineStr">
        <is>
          <t>放射</t>
        </is>
      </c>
      <c r="B7658" t="inlineStr">
        <is>
          <t>成功</t>
        </is>
      </c>
      <c r="C7658" t="inlineStr">
        <is>
          <t>読み方：ほうしゃ
［名］(スル)
１一点からまっすぐ四方八方へ出すこと。また、四方八方へひろがり出ること。「中心から—する車の輻(や)」
２物体が電磁波または粒子線の形でエネルギーを放出すること。また、その電磁波または粒子線。輻射(ふくしゃ)。</t>
        </is>
      </c>
      <c r="D7658" t="inlineStr">
        <is>
          <t>放射する(11%)；放射される(7%)；放射器(4%)；放射相称(3%)；放射雑音</t>
        </is>
      </c>
      <c r="E7658" t="inlineStr">
        <is>
          <t>放出；放つ；発する；放射線；照射</t>
        </is>
      </c>
      <c r="F7658" t="inlineStr">
        <is>
          <t>黒体放射；水中放射；赤外線放射；ビーム放射；放射型</t>
        </is>
      </c>
      <c r="G7658" t="inlineStr">
        <is>
          <t>放射能；放射状；放射性物質；放射性；放射性同位体</t>
        </is>
      </c>
      <c r="H7658" t="n">
        <v>29</v>
      </c>
      <c r="I7658" t="inlineStr">
        <is>
          <t>放射口の中心部分から放出されるエネルギー集合体は刃のように見える。；熱の放射の物理的性質が光と同じであることを実験的に示したことで知られる。；これが対流層からのエネルギーを吸収し、可視光を含む光の放射を行う。；さらに、強力な放射が必要であるため、範囲が制限されることである。；武器は口から放射するガランガスで、触れたものを分解吸収する力を持つ。；アマルテアは、太陽から受け取るよりもわずかに多く熱を放射している。；放射方向の道路が環状道路の一部にもなっており、それらと連絡する。；二次木部と同様、二次師部にも軸方向の要素と放射方向の要素が存在する。；頭部中央の甲羅状の器官から高熱を放射する能力と身軽さを武器とする。；スペクトルの型は物体からの放射の性質によって区別することができる。；また歩脚の隙間に向かって溝が走ることも多く、これを放射溝という。；太陽放射のうち、ほぼ全てを光が占めるが、そのほかの放射も微量ある。；体は四放射相称で、口腕の伸びる方向を正軸、その中間の軸を間軸という。；物体はそれぞれ熱を持っており、その温度に応じた電磁波を放射している。；止むを得ず天ぷら油火災に使用する場合は放射距離以上離れて放射する。；線源から試料へのエネルギー移動の過程は放射加熱の一形態である。；しかし実際には、恒星はスペクトルのすべての範囲で放射をしている。；線形動物は左右相称であると同時に左右および背側の三放射相称でもある。；全ての物質は、その温度によってさまざまな波長の光を放射している。；全てのクエーサーが強い電波を放射しているわけではないことが分かっている。；多くのレーザー装置が放射するビームはそのような形になっている。；燃焼筒の奥に熱の反射板を持ち、機器正面へ集中して熱が放射される。；その後50秒の間にいくつかの小さなピークを残しながら放射は消えていった。；固着性の生活をする動物が放射相称の体制になるのは、珍しいことではない。；全ての炎には、多少の差はあるがUVBバンドの放射が存在する。；レーナルトが実験を行うと、まさに何かが窓から放射されていた。；二枚貝の輪肋・放射肋と同様に共に形成され格子状となることも多い。；基本的には放射相称の形を取るが、実際には環境によっても大いに変化する。；この放射は理論からの予想と実験が良く一致するので、放射の標準とされる事もある。</t>
        </is>
      </c>
      <c r="J7658">
        <f>HYPERLINK("https://www.weblio.jp/content/放射", "词义详情")</f>
        <v/>
      </c>
      <c r="K7658">
        <f>HYPERLINK("https://yourei.jp/放射", "查看例句")</f>
        <v/>
      </c>
    </row>
    <row r="7659">
      <c r="A7659" t="inlineStr">
        <is>
          <t>放射能</t>
        </is>
      </c>
      <c r="B7659" t="inlineStr">
        <is>
          <t>成功</t>
        </is>
      </c>
      <c r="C7659" t="inlineStr">
        <is>
          <t>読み方：ほうしゃのう
放射線を出す性質、または能力。ある種の原子核は自発的に壊れてα線、β線、γ線などの放射線を放出し、別の安定した原子核に変化する。この性質を放射能、また放射能をもつ原子核を放射性核種という。放射能の強さはベクレルという単位で表される。
[補説]一般的には、「放射能を浴びる」「放射能漏れ」のように、放射線や放射性物質の意味と混同して用いられることが多い。物理学的には、放射能は原子核の性質、放射線は放射性核種が放出する高エネルギーの粒子または電磁波、放射性物質は放射線を放つ物質を意味し、それぞれ明確に区別される。</t>
        </is>
      </c>
      <c r="D7659" t="inlineStr">
        <is>
          <t>放射能測定；放射能障害；放射能除去；放射能火炎；放射能物質</t>
        </is>
      </c>
      <c r="E7659" t="inlineStr">
        <is>
          <t>活躍；動き；活性；放射；放射線</t>
        </is>
      </c>
      <c r="F7659" t="inlineStr">
        <is>
          <t>強い放射能；高い放射能；環境放射能；強烈な放射能；放射能量</t>
        </is>
      </c>
      <c r="G7659" t="inlineStr">
        <is>
          <t>放射能漏れ；放射能泉；放射能兵器；放射能濃度；放射能爆弾</t>
        </is>
      </c>
      <c r="H7659" t="n">
        <v>29</v>
      </c>
      <c r="I7659" t="inlineStr">
        <is>
          <t>以前にこの放射能の源を調べた時はトリウムの試験しか行っていなかった。；地表の大部分は絶望的なまでに放射能で汚染され、用をなさなくなった。；日本の投入量は、放射能では少なく、容積では英国や旧ソ連よりも多い。；わたしたちが放射能を警戒しなければならないのはこのためである。；対放射能防御場を展開した宇宙船がそこから通常宇宙に舞いおりてきた。；そのうちの一つは化学的にビスマスと似ているが強い放射能を持っていた。；当時は放射能をあびるとどうなるのか、だれもよく知らなかったのである。；接触した瞬間、両者は結合して消滅し、多量の強烈な放射能を発生する。；また、放射能部隊は放射能の存在が認められなかったことを発表しました。；集められたスクラップは使用前に成分検査や放射能探知検査が行われる。；彼女の呪力は、まるで放射能のように、周囲にある物すべてを汚染した。；放射能とは違い、人間を含む生物への長期に亘る影響はほとんど無い。；アスタチンは強い放射能と短い半減期のため、研究用以外に用途はない。；パロマーでも、フィルムの膜面に放射能反応を見たことが何度もあった。；通過したあとには何も残らず、付近の空間は殺人的な放射能で満たされる。；しかしね、どこででも、残りの放射能はもうそれほど強くないはずだ。；わたしは、おまえたちが放射能塵を多量に用意していたことを知っている。；俺たちが放射能にかかってるかどうか、わかる方法があるのかね?；これは彼らの眼が或る種の放射能をもっている証拠である。；それらのほとんどは非常に強い放射能があり、用途はほとんどない。；家に残されたスイッチが入ったままのラジオが、放射能を含んだ雲の接近を伝えた。；身体の組織は連続十時間も分類できない放射能の強烈な波に晒されてきた。；また標準的な放射能を持つ標準試料も測定して比較の基準とする。；私は放射能雲のあやしく輝いて低迷する空を胸のつまる思いで眺めていた。；このあたり、李文明の石から放射能が出ていてそれに刺激されたのだとしか思えない。；地球は詳しく言及されない核戦争のために放射能を帯びていると説明される。；特に同一の放射性物質を単位質量だけ集めた時の放射能の強さのことを言う。；化学薬品にも放射能と同じ力がひそむことを知る人はどれほどいるだろうか。；かれらは初めて本当に効果のある放射能除けの装備をつけていた。</t>
        </is>
      </c>
      <c r="J7659">
        <f>HYPERLINK("https://www.weblio.jp/content/放射能", "词义详情")</f>
        <v/>
      </c>
      <c r="K7659">
        <f>HYPERLINK("https://yourei.jp/放射能", "查看例句")</f>
        <v/>
      </c>
    </row>
    <row r="7660">
      <c r="A7660" t="inlineStr">
        <is>
          <t>報酬</t>
        </is>
      </c>
      <c r="B7660" t="inlineStr">
        <is>
          <t>成功</t>
        </is>
      </c>
      <c r="C7660" t="inlineStr">
        <is>
          <t>読み方：ほうしゅう
１労務または物の使用の対価として給付される金銭・物品など。「—を支払う」
２脳科学において、人に特定の行動を促す、快感をもたらす刺激。また、その原因となるもの。食欲を満たす食事や、性欲を満たすパートナーなど。</t>
        </is>
      </c>
      <c r="D7660" t="inlineStr">
        <is>
          <t>報酬額；報酬等；報酬金；報酬制度；報酬を獲得できる</t>
        </is>
      </c>
      <c r="E7660" t="inlineStr">
        <is>
          <t>利益；賞金；給料；特典；メリット</t>
        </is>
      </c>
      <c r="F7660" t="inlineStr">
        <is>
          <t>高額な報酬；莫大な報酬；高い報酬；正当な報酬；金銭的報酬</t>
        </is>
      </c>
      <c r="G7660" t="inlineStr">
        <is>
          <t>報酬委員会；報酬返上</t>
        </is>
      </c>
      <c r="H7660" t="n">
        <v>29</v>
      </c>
      <c r="I7660" t="inlineStr">
        <is>
          <t>また、彼は自身の報酬を維持するために勢力を変えていた可能性もある。；現代では生きたまま捕縛しなければ報酬は得られず逆に犯罪となってしまう。；アメリカの実業家が招待する形で興行試合に出場し、報酬を受け取った。；タグをつけられた選手はプレーを拒否することもできるが、無報酬となる。；リストには氏名だけではなく、彼らの評価や毎月の報酬まで書かれていた。；仕事に成功すると報酬を得られると同時にボーナスレートがアップする。；逆に失敗した場合は当然報酬は得られず、治安度が低下してしまう。；村の全財産を持ってきたと言っても、1人わずか20ドルしか報酬はない。；この報酬はこれまで明らかになった中では、日本人最高額である。；このうち報酬が支払われるのは社長のみで、その他の役職は無給である。；ただし、人を乗せて報酬を得る業務には第二種運転免許が必要となる。；ビアフラは敗訴し、他のメンバーへの適切な報酬を支払うこととなった。；また、手術で稼いだ報酬を投入して個人的な研究を行うこともあるようである。；発明が社会に貢献した程度に比例して、その報酬を受ける権利があるとする説。；報酬とは、動物の適応能力向上を目的として進化したメカニズムである。；届け出では、報酬を年30万円と記載したが、実際には受取っていない。；日本の地方議会議員は、他の国の地方議員に比べると比較的報酬が多い。；また自邸に招いて演奏させた人々は絶賛するが、報酬は出し惜しみした。；旧町村時から比較すると、報酬額が大幅に増えて、2倍近くになっている。；この頃の代表監督は契約でなく、協会の組織の中の役職のため無報酬だった。；プレイしても特に報酬がないため、初心者向けが練習するためのモードである。；なお、報酬を得た後には、バカンスを湖畔の別荘で楽しみたかった模様。；さらに弁護士においては、成功報酬と類似した解決報酬が規定されている。；そのため、一般的には女性モデルよりも報酬は低い場合が多い。；一説には報酬に不満があったためともされるが、事情は定かでない。；依頼者が求める結果や状況になった場合にのみ報酬が発生する。；そこで街の食い詰め者に2000ドルの報酬で運ばせることにした。；ドイツでは施主の都合で追加業務が要求される場合、別途報酬の対象となる。；それにもかかわらず軍備の増強は行わず、兵士への報酬を惜しみすらした。</t>
        </is>
      </c>
      <c r="J7660">
        <f>HYPERLINK("https://www.weblio.jp/content/報酬", "词义详情")</f>
        <v/>
      </c>
      <c r="K7660">
        <f>HYPERLINK("https://yourei.jp/報酬", "查看例句")</f>
        <v/>
      </c>
    </row>
    <row r="7661">
      <c r="A7661" t="inlineStr">
        <is>
          <t>放出</t>
        </is>
      </c>
      <c r="B7661" t="inlineStr">
        <is>
          <t>成功</t>
        </is>
      </c>
      <c r="C7661" t="inlineStr">
        <is>
          <t>読み方：ほうしゅつ
［名］(スル)
１吹き出すこと。また、あふれ出ること。「熱を—する」「エネルギーを光にかえて—する」
２蓄えていたものを外部に出すこと。持っているものを手放すこと。「戦力外の選手を—する」「冬物衣料の大—」「—物資」</t>
        </is>
      </c>
      <c r="D7661" t="inlineStr">
        <is>
          <t>放出する(17%)；放出される(16%)；放出させる；放出量；放出品</t>
        </is>
      </c>
      <c r="E7661" t="inlineStr">
        <is>
          <t>解放；発射；射撃；放つ；発する</t>
        </is>
      </c>
      <c r="F7661" t="inlineStr">
        <is>
          <t>エネルギー放出；ボーナス放出；大量放出；再放出；米軍放出</t>
        </is>
      </c>
      <c r="G7661" t="inlineStr">
        <is>
          <t>放出駅；放出ガス；放出スペクトル；放出リスト；放出東</t>
        </is>
      </c>
      <c r="H7661" t="n">
        <v>29</v>
      </c>
      <c r="I7661" t="inlineStr">
        <is>
          <t>この時期には宇宙での有人実験のほか衛星の放出などが盛んに行われた。；室内に放出させてしまうと酸欠状態になる可能性があり非常に危険である。；その状態から基底状態に戻ろうとする時に放出する光および現象をいう。；放射口の中心部分から放出されるエネルギー集合体は刃のように見える。；光電子の放出は物質に一定の振動数以上の光を照射した時のみ発生する。；アメリカの基準では財貨を取得するために放出した価値も原価に含まれる。；表面温度が高い極からは、表面からガスが放出され、強い極風が生じる。；電子を放出するためのエネルギーは以下のようなものがある。；また自身の冠番組の再放送や、外部への二次使用的な映像放出も少ない。；第一形態時に放出されるエネルギーは平面宇宙から流入してくるものであった。；前者の放出株がどこに買われたかを示す資料は公表されていない。；農場や工場から無駄にメタンガスが放出されていると指摘している。；広義には電子のみならず、原子や分子が外部に放出される現象も含める。；ガスの放出も2016年夏以降は1日あたり数十トン以下の状態が続いている。；科学実験では蓄電器の内部の電気を放出させるのに短絡が利用される。；それゆえ、おそらく持続的に大気中に放出されているとも推測される。；こうしてできたグルコースは血液中に放出され、他の細胞に運ばれる。；こうした放出は熱的運動をともなうが、同じく使用可能な酸素を減じる。；放出された電子が蛍光体に衝突し蛍光を発することで画素を点灯させる。；帰国後は軍放出のトラックを元にトラクターの製造販売を行う。；気体が液体に変化するときに放出される熱を凝縮熱または凝結熱という。；火災発生時の発生煙を外部に放出するために利用されるもの。；一般的に機器から放出される妨害電波の解析は、電波暗室内で行われる。；米陸軍の放出品のコートだがテレビシリーズでは中田商店製が使用された。；火星軌道への到着に先立ち12月19日にビーグル2の放出に成功した。；また、電気エネルギーを手から放出して戦うという設定も追加された。；戦後は収容所で生活していた住民らに米軍から放出された衣類が支給された。；シートベルトをしていれば、車外放出は避けられた可能性が高いからである。；ケレスでは表面の水の氷からガス状の水蒸気が放出されている兆候が見られる。</t>
        </is>
      </c>
      <c r="J7661">
        <f>HYPERLINK("https://www.weblio.jp/content/放出", "词义详情")</f>
        <v/>
      </c>
      <c r="K7661">
        <f>HYPERLINK("https://yourei.jp/放出", "查看例句")</f>
        <v/>
      </c>
    </row>
    <row r="7662">
      <c r="A7662" t="inlineStr">
        <is>
          <t>報じる</t>
        </is>
      </c>
      <c r="B7662" t="inlineStr">
        <is>
          <t>成功</t>
        </is>
      </c>
      <c r="C7662" t="inlineStr">
        <is>
          <t>読み方：ほうじる
［動ザ上一］「ほう（報）ずる」（サ変）の上一段化。「テレビが異変を—・じる」「恨みを—・じる」</t>
        </is>
      </c>
      <c r="D7662" t="inlineStr">
        <is>
          <t>放送；案内；報道；伝える；授業</t>
        </is>
      </c>
      <c r="H7662" t="n">
        <v>29</v>
      </c>
      <c r="I7662" t="inlineStr">
        <is>
          <t>この地震は津波を起こすほどのものではなく、被害は報じられていない。；この旅行の様子は、アメリカのニュースメディアが大々的に報じていた。；のちに同書を通じてメディアも頻繁に彼らの活動を報じるようになった。；韓国人が現地でロシア人に襲撃され、死亡した例も複数報じられている。；前年の2014年にはタリバーンの代表団が訪中したと報じられていた。；尚、これに関してはLG化学のものであると報じられている場合がある。；走る気がまるで見られないことから引退の危機とも報じられた。；このレンタル移籍は久保自身の提案により実施されたと報じられている。；新聞やテレビが報じるよりも早く、ネット内をニュースが駆けめぐった。；イギリスのBBCは、「不幸な結婚は終了することになった」と報じた。；事前調査では優勢と伝えられ、最有力候補と報じるニュースもあった。；リメイクではノーチラス号を建造する物語が描かれるとも報じられていた。；数人殺された白人の数は、数十人、数百人となって報じられたのである。；その後、2016年にはアドバイザーを終了していることが報じられた。；高校時代には柔道で全国優勝したとアメリカのメディアが報じている。；彼が死亡した時にニューヨーク・タイムズは1ページを使って報じた。；大人たちがそれを報じる新聞を手にして口々に何か言うていた。；また、ドバイで秘密刑務所を中国が運営していると報じられたことがある。；同年9月にはイランへの攻撃計画準備も国防総省に指示したと報じられた。；人に言われるまでもなく今まさに鐘が再び一時を報じるところであることを知った。；北朝鮮メディアは表敬訪問と報じたが会談内容は明らかになっていない。；に引退し、学生野球資格回復のプロ側研修会に参加したことが報じられた。；そこで2014年に韓国向けの整備をオーストラリアで行うことが報じられた。；また開業については2018年度中を目指していると報じられている。；ただどちらも「旅行に関して新しい規則ができた」と報じただけであった。；その際、報道で同年1月中旬に一般女性と結婚していたと報じられた。；その後、インド・スーパーリーグ参戦も報じられたが、現役を引退した。；また、同年の9月5日には、第一子となる男児が誕生したと報じられた。；しかしその後もこの調査では明らかにされていなかった副収入の存在が報じられている。</t>
        </is>
      </c>
      <c r="J7662">
        <f>HYPERLINK("https://www.weblio.jp/content/報じる", "词义详情")</f>
        <v/>
      </c>
      <c r="K7662">
        <f>HYPERLINK("https://yourei.jp/報じる", "查看例句")</f>
        <v/>
      </c>
    </row>
    <row r="7663">
      <c r="A7663" t="inlineStr">
        <is>
          <t>方針</t>
        </is>
      </c>
      <c r="B7663" t="inlineStr">
        <is>
          <t>成功</t>
        </is>
      </c>
      <c r="C7663" t="inlineStr">
        <is>
          <t>読み方：ほうしん
１方位を示す磁石の針。磁針。
２めざす方向。物事や計画を実行する上の、およその方向。「—を決める」「—を誤る」「教育—」</t>
        </is>
      </c>
      <c r="D7663" t="inlineStr">
        <is>
          <t>方針転換(3%)；方針変更；方針決定</t>
        </is>
      </c>
      <c r="E7663" t="inlineStr">
        <is>
          <t>路線；方向；方面；政策；手段</t>
        </is>
      </c>
      <c r="F7663" t="inlineStr">
        <is>
          <t>させる方針；捜査方針；治療方針；指導方針；大方針</t>
        </is>
      </c>
      <c r="H7663" t="n">
        <v>29</v>
      </c>
      <c r="I7663" t="inlineStr">
        <is>
          <t>こうした対応策から後北条氏は上杉・武田との関係回復に方針を転じた。；どのような車両を新製するかの方針が決まると、具体的な設計が行われる。；さらに、陸軍が戦争の首謀者であることにする方針が掲げられていた。；しかし、作業開始当日になって解体の方針は凍結されることになった。；センターは引き続き、胎児への影響を含めて調査を続ける方針である。；この秘密主義の方針は、しばしば世界的な批判の的となっている。；カーネルが提供する機構または方針は、いくつかの基準で分類できる。；幼少期・少年期は母と父の厳格な教育方針のもと家庭教育で育てられた。；編集方針の決定や原資料の選択は政治的に有力者が主導したものと推測されている。；富士通は1985年半ばにこの方針を転換したが、既に手遅れであった。；しかしこの方針には利用各国から強い反対が表明された。；この方針に怒ったのがこれまでの地方選挙で力をつけてきたいわゆる地方派系である。；安全だという医師もいれば、毎年はやらないという方針の医師もいる。；大本営と海軍は天皇の勅許まで取り付けて方針を変更するよう促した。；なおE7系は2022年度末までに全ての車両を製造する方針に変わりはない。；この時に著者名がつけられていないのは同盟の方針である。；ただしこの両方針は必ずしも対立するものではない。；アーノルドに叱咤されたルメイは大胆な作戦方針の変更を行うこととした。；この方針に反対した岡本の辞任もあって、樺太の開拓は進展しなかった。；ここで確立されたさまざまな方針は、現在の広島にも連綿と受け継がれている。；株主を構成員とし、株式会社の基本的な方針や重要な事項を決定する。；JR西日本も被害を受けた2編成の補充の方針を明らかにしている。；党の度重なる方針転換は少なくない離脱者を党内で生む事となった。；政府は従来の方針を維持し、不法滞在者については取締りを強化している。；この方針は広く知られなかったらしく、後に陸軍も同内容の問い合わせを行っている。；これは解読者に数学よりも語学のセンスを要求したイギリスの方針を転換させた。；この方針転換にはAppleがGecko採用を見送ったことによる。；そこで、中国でも将来的には命名に使える漢字を制限する方針にある。；日本と積極的に戦わず退いたこと自体は国民政府の方針通りであった。</t>
        </is>
      </c>
      <c r="J7663">
        <f>HYPERLINK("https://www.weblio.jp/content/方針", "词义详情")</f>
        <v/>
      </c>
      <c r="K7663">
        <f>HYPERLINK("https://yourei.jp/方針", "查看例句")</f>
        <v/>
      </c>
    </row>
    <row r="7664">
      <c r="A7664" t="inlineStr">
        <is>
          <t>邦人</t>
        </is>
      </c>
      <c r="B7664" t="inlineStr">
        <is>
          <t>成功</t>
        </is>
      </c>
      <c r="C7664" t="inlineStr">
        <is>
          <t>読み方：ほうじん
１自国の人。
２日本人。また、外国にいる日本人。「—居留地」</t>
        </is>
      </c>
      <c r="D7664" t="inlineStr">
        <is>
          <t>邦人保護(5%)；邦人作品(2%)；邦人たち；邦人作曲家；邦人向け</t>
        </is>
      </c>
      <c r="E7664" t="inlineStr">
        <is>
          <t>同胞；同国人</t>
        </is>
      </c>
      <c r="F7664" t="inlineStr">
        <is>
          <t>わが邦人；在米邦人；一般邦人；本邦人；居留邦人</t>
        </is>
      </c>
      <c r="G7664" t="inlineStr">
        <is>
          <t>邦人輸送；邦人曲</t>
        </is>
      </c>
      <c r="H7664" t="n">
        <v>29</v>
      </c>
      <c r="I7664" t="inlineStr">
        <is>
          <t>簡単な洋装だが髪の形といい顔の様子といい、明かに邦人の女である。；民衆の生活雰囲気から同感を持たれない者は、常に一種の異邦人である。；仏教渡来以後、邦人の身体は必ずその思想と共に変化したのは疑いない。；海外邦人保護を目的の一つとする在外公館員だから、それは適格だろう。；そういう時に君だけは自分が彼らの間に不思議な異邦人である事に気づく。；ぼくはずっと遠くの国からやってきた人間で、きみの国では異邦人だ。；これらの点は、いくぶんかわが邦人に似たるところあるがごとく感ぜり。；また邦人の中には日本へ引き揚げるつもりで準備している者もある模様だった。；ここで注意しなければならないのは作業大隊の中に一般邦人も加えられている事実だ。；軍に属さぬ一般邦人は既にそれぞれ群をなして東海岸に向っていた。；在満邦人で召集された者が多かったから、家族のいる場所に帰ったのである。；彼女は、彼女のために作られていない世界での異邦人となるのだ。；近くの民間邦人を加えても二千名にはならないだろう。；そこには、開拓民の家族を主とする邦人婦女子と老人たちが宿泊していた。；この興味津々の異邦人と意志を通じる方法を何か見つけなければならない。；日本軍の慰安婦には、当時の邦人の他、日本軍が進出した先の住民もいた。；大部分の者は、そのときに会議が異邦人に死刑を宣告することを望んでいた。；しかしてかつわが邦人民はさらに一の記憶しかつ注意せざるべからざることあり。；掃部助がともなった客は、意外にも、一人のよぼよぼの異邦人であった。；前者がユダヤ人を対象としたのに対して、後者が異邦人を対象としたからである。；数えてみると邦人の数は三百人を超えている。；家族や邦人一同は、無事帰還を祈るのみであったが、何の手掛りもなかった。；南アルプスは北アルプスと殆ど同時に邦人によりて初めて跋渉されている。；これだけでは、300万人を超える在留一般邦人の運命は明らかにならない。；在米邦人の資産は既に凍結され、対日本の石油輸出が禁止されていた。；この件で、現地の居留邦人らからは、言ったことがあてにならないと見られたともいう。；西洋人の十三の数をいとうは、わが邦人の四の数を忌むよりもはなはだし。；彼もまた人の子であることを理解するには、全く別世界からの異邦人を必要としたのである。；古くから住んでいた居留邦人も「避難組」と同じような苦労を強いられている。</t>
        </is>
      </c>
      <c r="J7664">
        <f>HYPERLINK("https://www.weblio.jp/content/邦人", "词义详情")</f>
        <v/>
      </c>
      <c r="K7664">
        <f>HYPERLINK("https://yourei.jp/邦人", "查看例句")</f>
        <v/>
      </c>
    </row>
    <row r="7665">
      <c r="A7665" t="inlineStr">
        <is>
          <t>法人</t>
        </is>
      </c>
      <c r="B7665" t="inlineStr">
        <is>
          <t>成功</t>
        </is>
      </c>
      <c r="C7665" t="inlineStr">
        <is>
          <t>読み方：ほうじん
自然人以外のもので、法律上の権利義務の主体とされるもの。一定の目的のために結合した人の集団や財産について権利能力（法人格）が認められる。公法人と私法人、社団法人と財団法人、営利法人と公益法人・中間法人・NPO法人などに分けられる。⇔自然人。</t>
        </is>
      </c>
      <c r="D7665" t="inlineStr">
        <is>
          <t>法人化(13%)；法人営業；法人組織；法人設立；法人会員</t>
        </is>
      </c>
      <c r="E7665" t="inlineStr">
        <is>
          <t>会社；組織；企業；団体；組合</t>
        </is>
      </c>
      <c r="F7665" t="inlineStr">
        <is>
          <t>別法人；運営法人；旧法人；新法人；愛馬会法人</t>
        </is>
      </c>
      <c r="G7665" t="inlineStr">
        <is>
          <t>法人化；法人向け；法人税；法人名；法人税法</t>
        </is>
      </c>
      <c r="H7665" t="n">
        <v>29</v>
      </c>
      <c r="I7665" t="inlineStr">
        <is>
          <t>なお、法人が申請人となる場合、以下の事項も記載しなければならない。；設立時社員など法人を設立しようとする者が作成し署名又は記名捺印する。；ただし社員となっている人物が法人の業務に従事することに法令上の規制はない。；法人化された都市全ては市長と市政委員会で市政府を構成している。；しかしながら、すべての法人が自由な政治活動を認められるわけではない。；保証人が自然人である場合は個人保証、法人である場合は法人保証という。；これは法人の合併や買収に関連する法人間の紛争を扱うことが多い。；なお、日本法人は、海外法人中では成績が良く、黒字での閉鎖となった。；同年にはJリーグへの準加盟承認を受け、同年に運営法人を株式会社化。；州が経営する法人であり、北部のいくつかの民間バス会社を統合して設立された。；同法人は野球チーム運営のみならず、居酒屋を経営していたが、閉店した。；個人会員も少なくは無いが、主な利用層は法人会員であり接待等に利用されている。；また、医学部および大学病院を持つ大学を経営している法人も上位にいる。；日本の法人では、とカクダイの2社だけが現在も生産・発売を継続している。；発行元の法人そのものは存続し、奈良新聞などの広告代理店となった。；ただし、法人経営上は日本聖公会からは独立しており、宗教色はあまりない。；日本の学校法人の中で、この格付けを維持しているのは2法人のみである。；これは、法人税率の低さが海外の企業が本社を設置する際に魅力的であるためである。；主な学者では、美濃部達吉は法人説、佐々木惣一は非法人説を主張した。；その他企業、法人施設などの名称に「武蔵野」の名を冠することがある。；被害が補償されることがあるのは個人のみで、法人の場合は補償されなかった。；帝塚山学院は、帝塚山学園の創立に関わった経緯があるが別法人である。；その後法人化し蒸気軌道に変更し工事に着手するも開業できなかった。；なお、提携カード及び法人カードは一部対応していないものもある。；無線電信法では免許人を法人に限定することはなく、個人でも許可された。；なお、当館収蔵品のほか個人や法人からの寄託品も数多く保管している。；自然人に特有の性別・年齢・親族などの権利義務は法人には発生しない。；都市と村は法人化され都市化された地域である。；解散した法人である労働組合の財産は、規約で指定した者に帰属する。</t>
        </is>
      </c>
      <c r="J7665">
        <f>HYPERLINK("https://www.weblio.jp/content/法人", "词义详情")</f>
        <v/>
      </c>
      <c r="K7665">
        <f>HYPERLINK("https://yourei.jp/法人", "查看例句")</f>
        <v/>
      </c>
    </row>
    <row r="7666">
      <c r="A7666" t="inlineStr">
        <is>
          <t>宝石</t>
        </is>
      </c>
      <c r="B7666" t="inlineStr">
        <is>
          <t>成功</t>
        </is>
      </c>
      <c r="C7666" t="inlineStr">
        <is>
          <t>読み方：ほうせき
産出量が少なく、硬度が高くて、美しい光彩をもち、装飾用としての価値が高い非金属鉱物。ダイヤモンド・エメラルド・サファイア・ルビーなど。</t>
        </is>
      </c>
      <c r="D7666" t="inlineStr">
        <is>
          <t>宝石類(4%)；宝石店(4%)；宝石細工；宝石屋；宝石入り</t>
        </is>
      </c>
      <c r="E7666" t="inlineStr">
        <is>
          <t>玉；珠；宝珠；珠玉；ジェム</t>
        </is>
      </c>
      <c r="F7666" t="inlineStr">
        <is>
          <t>赤い宝石；貴重な宝石；金銀宝石；美しい宝石；小さな宝石</t>
        </is>
      </c>
      <c r="G7666" t="inlineStr">
        <is>
          <t>宝石箱；宝石泥棒；宝石学；宝石彫刻師；宝石サンゴ</t>
        </is>
      </c>
      <c r="H7666" t="n">
        <v>29</v>
      </c>
      <c r="I7666" t="inlineStr">
        <is>
          <t>宝石でよくあるのと同様に、完全に開示されていないことが頻繁にある。；宝石を見たホームズは、新聞に毎日掲載されている記事のことを話した。；この寺院はその長い歴史の中で金や宝石など多くの寄進を集めている。；その外観は、羽根や頭部や脚に宝石や装飾具が着いているとされている。；すなわち彼はそのノートが宝石である文書の販売で数十万ドルを期待していた。；この光文社版と区別して推理小説誌時代を旧『宝石』と呼ぶこともある。；東洋や中南米では古くから人気が高い宝石であり、金以上に珍重された。；六福集団は香港を拠点に宝石関連製品の卸売・販売を行っている企業。；宝石が12個そろうと、夢の国が再び地球に降りてくると言われている。；時代が下ると、高級な碁石は「玉」と呼ばれる一種の宝石から作られた。；また日本でも、色ではなく宝石を意味する漢字としても使われている。；当初の主な事業は、ホテルの宴会場などでの宝石や毛皮販売であった。；大きな石彫だけでなく、ヒスイのような宝石を使った小さなものもあった。；また、一度作成してしまうと、後から人形や宝石の追加はできない。；世界中を旅した宝石だけあって、その大きさは徐々に縮小している。；なお斜体字は宝石の固有名ではなく、ある一定の特徴を示すタイプを示す。；ただし国や専門家によりその基準は異なり、宝石業界内でも統一されていない。；彼女は王冠のために自身の宝石の大部分を用いて、後世に王冠を遺した。；逆に真珠のように日本国内よりも海外の方が高額で取引される宝石も存在する。；また、彼の暮らしが苦しいと知ると自分の宝石をすべて売り払おうとした。；しかし不幸にも宝石はローマに運ばれる途中、嵐にあって海のもくずと消えた。；ただし、消した宝石数が9999個に達して以降は出現しなくなる。；そのため、宝石は石英より硬度の高いものが選ばれていることが多い。；宝石を合成し武器や書を作ると魔法による攻撃を行えるようになる。；この人々は優れた職人であり、トルコ石の宝石や精巧な土器を生産した。；なお、このカラットは宝石の重量を表すカラットとは異なるものである。；冒険家風のロボットが、塔を落ちて行きつつ、宝石を獲得するゲーム。；ほうせきばこを、べつのところにかくして、おいらがはいっていたのさ。；模倣宝石とは、天然の宝石や貴石をまねて製造された素材のことである。</t>
        </is>
      </c>
      <c r="J7666">
        <f>HYPERLINK("https://www.weblio.jp/content/宝石", "词义详情")</f>
        <v/>
      </c>
      <c r="K7666">
        <f>HYPERLINK("https://yourei.jp/宝石", "查看例句")</f>
        <v/>
      </c>
    </row>
    <row r="7667">
      <c r="A7667" t="inlineStr">
        <is>
          <t>紡績</t>
        </is>
      </c>
      <c r="B7667" t="inlineStr">
        <is>
          <t>成功</t>
        </is>
      </c>
      <c r="C7667" t="inlineStr">
        <is>
          <t>読み方：ぼうせき
［名］(スル)
１《古くは「ほうせき」とも》糸をつむぐこと。動植物などの繊維を処理・加工して糸にすること。
２「紡績糸」の略。</t>
        </is>
      </c>
      <c r="D7667" t="inlineStr">
        <is>
          <t>紡績工場(25%)；紡績会社(10%)；紡績所(3%)；紡績産業；紡績事業</t>
        </is>
      </c>
      <c r="F7667" t="inlineStr">
        <is>
          <t>三重紡績；綿糸紡績；宮城紡績；機械紡績；摂津紡績</t>
        </is>
      </c>
      <c r="G7667" t="inlineStr">
        <is>
          <t>紡績機</t>
        </is>
      </c>
      <c r="H7667" t="n">
        <v>29</v>
      </c>
      <c r="I7667" t="inlineStr">
        <is>
          <t>綿糸工場も運営し、また紡績機械を生産し修理する機械工場を運営した。；その後は紡績技術を応用しての繊維新素材の開発・研究に注力している。；その頃、私は独自で或る紡績会社の本社に出入りをしはじめていた。；そんな八王子は昔は紡績の町として多くの工場を持っていた街だった。；あの樫の樹のあった家のところには大きな大きな紡績の工場が出来ていました。；例の紡績会社の糸田さんが部長に昇進したのはそんな頃であった。；最近では紡績工場の製品が普及して、こういう風景はもう見られなくなりました。；少女はまた昔のように紡績工場に働き、売られて行く子もふえました。；日本の紡績女工の賃金の低さは世界の注目をひいているわけであった。；ここは香川県東部では唯一の工業町で、紡績や製糖の工場が集まっている。；また紡績技術も発達し簡易な道具を用いた衣服の製作を行っていた。；この建物はかつては紡績工場だったが、安価な共同住宅に転用された。；これに次いで着目したのが、当時の新興工業である紡績事業であった。；業界全体が長い低迷期にいたとはいえ、その紡績会社は大物であった。；東洋紡とはレンガ場から少し離れた所にある紡績工場のことである。；綿花の栽培が始まってからは、綿花から綿糸への紡績作業も担っている。；この装置を装備した同社の自動ワインダーが世界中の紡績工場に導入されるようになる。；紡績のほうは、戦後もちょっと復興したんだが、まあ人件費で負けたなあ。；整備工場をそのまま活用した紡績工場も過去にあった。；この工場は、その後ヨーロッパ最大の機械紡績工場に成長した。；この後三重紡績は大阪紡績と合併し、東洋紡績株式会社となっている。；恒豊紡績工廠の経営権を回復し、さらに会社組織を有限公司に改組した。；紡績工場用とされる以前にも渡しはあったらしい。；昭和に入ると、五明にのちのニッケとなる昭和毛織紡績弥富工場が開業。；これらは漢代の高度に発達した紡績技術を示すものである。；繊維を紡績糸にするために、通常は数千本の繊維の束が使用される。；中心街でホテルを経営し、かなりの額をホーランドの紡績工場に投資した。；紡績工場跡地に建設された商業施設で、今治港の鳥生地区に接している。；弟は、三兄の経営する紡績工場の工場長をしていて、日に何回も工場の中を歩く。</t>
        </is>
      </c>
      <c r="J7667">
        <f>HYPERLINK("https://www.weblio.jp/content/紡績", "词义详情")</f>
        <v/>
      </c>
      <c r="K7667">
        <f>HYPERLINK("https://yourei.jp/紡績", "查看例句")</f>
        <v/>
      </c>
    </row>
    <row r="7668">
      <c r="A7668" t="inlineStr">
        <is>
          <t>呆然</t>
        </is>
      </c>
      <c r="B7668" t="inlineStr">
        <is>
          <t>成功</t>
        </is>
      </c>
      <c r="C7668" t="inlineStr">
        <is>
          <t>読み方：ぼうぜん
［ト・タル］［文］［形動タリ］
１あっけにとられているさま。「意外な成り行きに—とする」
２気抜けしてぼんやりしているさま。「ひとり残され—と立ちつくす」</t>
        </is>
      </c>
      <c r="D7668" t="inlineStr">
        <is>
          <t>呆然自失状態；呆然立つ</t>
        </is>
      </c>
      <c r="E7668" t="inlineStr">
        <is>
          <t>唖然；ボンヤリ；放心状態；あんぐり；ポカン</t>
        </is>
      </c>
      <c r="F7668" t="inlineStr">
        <is>
          <t>半ば呆然；たまま呆然；一瞬呆然；なかば呆然；唖然呆然</t>
        </is>
      </c>
      <c r="H7668" t="n">
        <v>29</v>
      </c>
      <c r="I7668" t="inlineStr">
        <is>
          <t>地面から枝のように張り出した太い根に腰をかけて、彼女は呆然とした。；最初、私は自分がどこにいるのかもわからぬくらい呆然としていました。；「王弁」 僕僕は吹き終わって満足げに呆然としている彼に声をかける。；硬直したように座って呆然としたようすのタカが、長いため息をついた。；姉の表情はわからないが、呆然としているだろうことは間違いがない。；王達は自分の手の中にある異界の神剣を見て呆然とするばかりであった。；母親に促されて出かける準備をする間も、どこか呆然としたままだった。；呆然たる静寂のなかで、かれらは雨空に消えていく巨大な獣を見上げた。；それが現実のものとなったのであるから、私はしばらく、呆然としていた。；呆然とする彼女に、傍らにいた若い術師が、おそるおそる言葉をかけた。；男は床の上で一瞬何が起きたのか理解できずに、呆然としてしまう。；涼之助は呆然としたが、次の瞬間には弾かれたように立ちあがっていた。；呆然としていた間に、彼女はどうやら一番最後になってしまっていたらしい。；私はほとんど呆然として、しばらく何も考えず、われを忘れていました。；去っていく使者の一行を、町の人々は衝撃のあまり呆然として見守った。；みんなが呆然としている間に、伊良部はジャンプ台に上がってしまった。；それらの観念は絶望の特質たる一種の呆然たる機械的な働きを取ってきた。；女々に連れられてやってきた駐輪場で、真は最高の呆然を味わっていた。；あとには、信じられないといった表情で呆然とするズールーが残された。；いろいろなことに慣れているフェロン人もこれには呆然としている。；寺内氏はただ呆然として、しばらくなすところを知らなかったのである。；船長はと言えば、彼は呆然としたように看板を見つめながら突っ立っていた。；私は呆然としたまま、秋山氏が私の携帯電話のボタンを押すのを見ていた。；ドイル夫妻の方を見ると、リンネットはまだ呆然としている様子だった。；しかし、彼女が呆然としていたのは、自分の感じよりずっと短い時間だった。；私はそれ等のすべてを目に見、耳に聞きながら、ただ呆然としていました。；呆然とする内面の私のことなど知るよしもなく、私はさらに話し続けていた。；人々は息つく暇もなく、遊び楽しんだというよりは、呆然としてしまった。；呆然としたまま、俺は中華ランチに手をつけることなく店を後にした。</t>
        </is>
      </c>
      <c r="J7668">
        <f>HYPERLINK("https://www.weblio.jp/content/呆然", "词义详情")</f>
        <v/>
      </c>
      <c r="K7668">
        <f>HYPERLINK("https://yourei.jp/呆然", "查看例句")</f>
        <v/>
      </c>
    </row>
    <row r="7669">
      <c r="A7669" t="inlineStr">
        <is>
          <t>包装</t>
        </is>
      </c>
      <c r="B7669" t="inlineStr">
        <is>
          <t>成功</t>
        </is>
      </c>
      <c r="C7669" t="inlineStr">
        <is>
          <t>読み方：ほうそう
［名］(スル)
１物品を包むこと。また、そのうわづつみ。「商品を—する」「—紙」
２荷造りすること。「—がゆるむ」</t>
        </is>
      </c>
      <c r="D7669" t="inlineStr">
        <is>
          <t>包装用(3%)；包装材料；包装技術；包装容器；包装機械</t>
        </is>
      </c>
      <c r="E7669" t="inlineStr">
        <is>
          <t>包み；梱包；荷造り；パッキング；梱</t>
        </is>
      </c>
      <c r="F7669" t="inlineStr">
        <is>
          <t>個別包装；容器包装；簡易包装；密封包装；包装等</t>
        </is>
      </c>
      <c r="G7669" t="inlineStr">
        <is>
          <t>包装資材；包装用フィルム；包装フィルム；包装米飯；包装硬貨</t>
        </is>
      </c>
      <c r="H7669" t="n">
        <v>29</v>
      </c>
      <c r="I7669" t="inlineStr">
        <is>
          <t>店員が包装してくれるのを待ちながら、彼はそうしたことを考えていた。；強度が高い紙となるため主に重包装用途や段ボールの材料に使用される。；そのため購入した商品を包装する資材類もTDRのものを使用している。；こうした変化の背景には、自動包装機械の開発などの技術革新があった。；私たちはいくつかの薬の包装を取り変えることを検討していました。；油単とは、一重の紙に油を引いた物で、主に敷物や包装用に使用される。；その包装はとても同時代的な雰囲気であるとともにとても女性的である。；Eveは包装とたばこ自体に花または他の女性的な主題を売り物にした。；この中にはポリ袋などの包装用品や各種農業用フィルムが含まれている。；なにより、運搬物の包装に青い布が使われているのがその証拠だった。；といって、その場合作者が本を買って帰っていちいち包装するんじゃない。；警官たちは次から次へと、あわてて包装したプレゼントを運んで来た。；撮影した映像を自ら編集したり、グッズの包装等を行ったりしている。；いや、爆発物かと恐れられて包装のまま警察に届けられるかもしれない。；なるほど引きの強い良い紙だったから、包装用にはもって来いだったろう。；前の日には、ようやく完成したその二百の数珠を箱に入れ包装したのである。；紙製の袋で包装され、開封時に製品が崩れた場合は、商品の交換が可能。；「事務所へ来てくれ、話がある」そして彼は包装工場の間を抜けて行った。；包装が簡単なので数量が多く出る飲食店向けに使用される傾向が強い。；「あ」 何の包装も施されていない紙製の大きな箱が、そこにはあった。；ふと可奈子さんのほうを見ると、彼女は商品の包装をしているところだった。；これも本質が変ったというよりは、包装が流行によって変ってきたものだ。；残ったら持って帰れるようにとの配慮からラップで個別包装されている。；ひとつの引き出しの中に、包装したたばこの巻き紙がたくさん入っていた。；対象は、包装技術の向上や包装産業の発展に貢献した製品・アイデアなど。；不景気と人種差別のため瀬戸物の包装などの仕事をしていたこともあった。；いっけん習字か何かの反古紙にも見える包装用の紙には、図柄があった。；しかし、海外工場との包装設計の共有化を進めるには効果的である。；きれいに包装された包みが、いくつも積み込まれているのが見えた。</t>
        </is>
      </c>
      <c r="J7669">
        <f>HYPERLINK("https://www.weblio.jp/content/包装", "词义详情")</f>
        <v/>
      </c>
      <c r="K7669">
        <f>HYPERLINK("https://yourei.jp/包装", "查看例句")</f>
        <v/>
      </c>
    </row>
    <row r="7670">
      <c r="A7670" t="inlineStr">
        <is>
          <t>放送</t>
        </is>
      </c>
      <c r="B7670" t="inlineStr">
        <is>
          <t>成功</t>
        </is>
      </c>
      <c r="C7670" t="inlineStr">
        <is>
          <t>読み方：ほうそう
［名］(スル)特定または不特定の受信者に向けて、無線・有線などの電気通信技術を用いて、映像・音声・文字などの情報を同時的に送信すること。放送法では、「公衆によって直接受信されることを目的とする電気通信の送信」と定義している。「海外に向けて—する」「FM—」「車内—」
[補説] 放送のデジタル化や情報通信ネットワークのブロードバンド化の進展に伴い、インターネットを利用したテレビ放送（IPTV）、携帯端末向けのワンセグ放送、CATV事業者によるインターネット接続サービスなど、通信と放送を融合・連携させたサービスが実現されている。</t>
        </is>
      </c>
      <c r="D7670" t="inlineStr">
        <is>
          <t>放送される(6%)；放送分(3%)；放送当時；放送局；放送内容</t>
        </is>
      </c>
      <c r="E7670" t="inlineStr">
        <is>
          <t>番組；プログラム；伝える；宣伝；触れる</t>
        </is>
      </c>
      <c r="F7670" t="inlineStr">
        <is>
          <t>レギュラー放送；ニッポン放送；自動放送；未放送；番組放送</t>
        </is>
      </c>
      <c r="G7670" t="inlineStr">
        <is>
          <t>放送開始；放送時間；放送終了；放送作家；放送枠</t>
        </is>
      </c>
      <c r="H7670" t="n">
        <v>29</v>
      </c>
      <c r="I7670" t="inlineStr">
        <is>
          <t>内容の大部分は後半に放送するいくつかの小さなコーナーで占められる。；放送上のキャラクターを最初から陰性と陽性に分けて選んだものでした。；翌年に同じ枠でドラマの続編も放送され、2009年には映画化された。；本作終了後、2019年現在、この枠でアニメが放送されたことはない。；このため、通信や放送などの長距離の情報送信に使用されることが多い。；今もケーブルテレビ専門のチャンネルがあり、毎日一日中放送している。；交流は現在でも続いており時々スポーツニュースでも放送されている。；近年ではCM劇場の形をとらない形態でCMが放送される作品も増えている。；また、地元球団がある局では当該球団が出場した場合のみ放送する局もある。；他にも、駅到着時の接続列車の案内などは従来通り肉声放送で行われている。；ただし副駅名としての扱いではないので、案内放送では呼称されていない。；車内の自動放送も変更され、新たに英語による案内放送が開始された。；なお、放送ではADTSと呼ばれるヘッダ形式で伝送されることが多い。；途中で打ち切られた局や、しばらくの間放送する他系列ネットの局がある。；また、自動放送装置を搭載しており、日本語と英語に対応している。；ワンマン運転は行われていないが、車内放送は、自動放送になっている。；放送内容は通常使用しているものと基本的に変更はない。；また、テレビで放送されたり、ネットで配信されたりすることもある。；ワンマン運転は行われていないが、豊田線内でも自動放送が行われている。；車内放送は自動放送で行われ、車掌による案内放送はあまり行われない。；放送話数が全53話と昭和ウルトラシリーズの中では最多となっている。；新人の失敗というストーリーは放送のための演出と考えるのが妥当である。；放送は終了したが、復活できる機会があれば復活させたいと最終回で語っていた。；その他には、テレビ局向け放送機器や人工衛星の開発・製造を行っている。；海外記者のリポートはJRNのニュースでも録音で放送されている。；テレビでは事件発生直後から、さまざまな場所・方向から記録された映像が放送された。；テレビ広告でも同じような内容のものが放送された。；また、通過運転を行う区間では、到着放送の結びに到着駅名の再案内を行う。；ただし、自動放送が未更新の車両は到着時の放送を車掌が肉声で行っている。</t>
        </is>
      </c>
      <c r="J7670">
        <f>HYPERLINK("https://www.weblio.jp/content/放送", "词义详情")</f>
        <v/>
      </c>
      <c r="K7670">
        <f>HYPERLINK("https://yourei.jp/放送", "查看例句")</f>
        <v/>
      </c>
    </row>
    <row r="7671">
      <c r="A7671" t="inlineStr">
        <is>
          <t>放送局</t>
        </is>
      </c>
      <c r="B7671" t="inlineStr">
        <is>
          <t>成功</t>
        </is>
      </c>
      <c r="C7671" t="inlineStr">
        <is>
          <t>読み方：ほうそうきょく
ラジオ・テレビの放送を業務として行う施設。</t>
        </is>
      </c>
      <c r="D7671" t="inlineStr">
        <is>
          <t>放送局名；放送局側；放送局用；放送局ごと；放送局向け</t>
        </is>
      </c>
      <c r="F7671" t="inlineStr">
        <is>
          <t>地元放送局；地方放送局；地域放送局；同放送局；帯広放送局</t>
        </is>
      </c>
      <c r="H7671" t="n">
        <v>29</v>
      </c>
      <c r="I7671" t="inlineStr">
        <is>
          <t>放送局出身アナウンサーや、契約アナウンサー出身も多く在籍している。；北海道では放送局レベルで営業部が廃止され、札幌局に集約されている。；その他、放送局から指定された事項があればそれに従うのは当然である。；本部・大阪・名古屋に次いで規模の大きな拠点放送局として機能している。；同時にユニテルや放送局による映像収録も積極的に行われるようになる。；そのためネットを終了する放送局がその後出てくる事態にもなった。；この節では各放送地域ごとの放送局や放送時間などに関連した情報を扱います。；FNN結成後は系列放送局が独自のタイトルを付けるようになっていった。；以下の放送局は、NNS加盟期間中も、本大会に一度も参加しなかった。；そのため、各放送局が個別で契約アナウンサーを採用する例が比較的多い。；稀な例ではあるが、地方放送局がローカルに独自の速報を出すこともある。；この放送事故は時差ネットしている放送局を中心に起きたものと思われる。；これが全国の放送局の注目を浴び、他県でも同様の方法 がとられるようになった。；同じKNBを呼称とする日本の放送局・北日本放送は関連会社ではない。；鹿児島県内の放送局が末吉中継局をはじめとする中継局を設置している。；ローカル放送の場合は、基本的に各放送局のアナウンサーが担当している。；社員・職員として放送局に所属せずに、アナウンサーの仕事をする人のこと。；即ち、全ての放送局は放送エリアが限られている「ローカル局」である。；地方局を中心に複数の放送局に在籍している局のアナウンサーは多く存在している。；この作品は現在でも人気が高く、全国各地の放送局で再放送もされている。；室井滋が部屋の中でシーエス日本で開設した放送局のテレビ番組を行う。；放送局ではまず、マスターフィルムから放送用のコピーを複数作成した。；そのため、2005年時点でほとんどの放送局では面接調査は廃止された。；近年は対象エリア外の放送局が独自に制作した旅番組を再編集して放送されることもある。；ラジオでの中継はテレビでの中継よりも古くから行われ、複数の放送局が中継を行っている。；この判断の基準は原則として各放送局や各放送系列の持つ自主規定である。；各国ともこのような電波塔の設置権利は地方ごとに存在する放送局に付与される。；また、バックネット裏に、放送局の札が下げられた座席群も存在していた。；平成に入ってからは、作品によって制作・放送局が異なる場合が多い。</t>
        </is>
      </c>
      <c r="J7671">
        <f>HYPERLINK("https://www.weblio.jp/content/放送局", "词义详情")</f>
        <v/>
      </c>
      <c r="K7671">
        <f>HYPERLINK("https://yourei.jp/放送局", "查看例句")</f>
        <v/>
      </c>
    </row>
    <row r="7672">
      <c r="A7672" t="inlineStr">
        <is>
          <t>法則</t>
        </is>
      </c>
      <c r="B7672" t="inlineStr">
        <is>
          <t>成功</t>
        </is>
      </c>
      <c r="C7672" t="inlineStr">
        <is>
          <t>読み方：ほうそく
１守らなければならない決まり。規則。おきて。「—を守る」
２一定の条件下で、事物の間に成立する普遍的、必然的関係。また、それを言い表したもの。「遺伝の—」「因果の—」</t>
        </is>
      </c>
      <c r="D7672" t="inlineStr">
        <is>
          <t>法則性；法則崩れ；法則どおり；法則そのもの；法則記号</t>
        </is>
      </c>
      <c r="E7672" t="inlineStr">
        <is>
          <t>法；決め；定め；約束；規定</t>
        </is>
      </c>
      <c r="F7672" t="inlineStr">
        <is>
          <t>一般法則；諸法則；同じ法則；支配する法則；第二法則</t>
        </is>
      </c>
      <c r="H7672" t="n">
        <v>29</v>
      </c>
      <c r="I7672" t="inlineStr">
        <is>
          <t>日本の伝承では、このような姓に関する特徴や法則は特には見られない。；また、現実とは違った法則を設定した世界を作り出すことも考えられる。；理想気体に成立する法則として代表的なものには次のものがあげられる。；価値法則とは資本制経済の基本的な運動を規制する一般的な法則をいう。；上記の法則などを発展させたものが「保険料率表」の根拠になっている。；この法則は、気体の構成粒子の存在を前提としなければ意味を持たない。；この法則は、もともとは残像の大きさ知覚を説明するために提案された。；まだ神さえ生まれていない昔、地球は自然の法則によって形成されていた。；生物学の歴史を見れば、非常に多くの法則が提唱されては消えている。；これらの法則は、天体の運行などの観測結果をよく説明することができた。；それぞれ関連する2つの法則があるが、通常は後述の前者の方を指す。；ブルックスによれば、この法則が成り立つ主な理由は以下の通りである。；これは法則が似るように回転運動での量を定義したものだからである。；その判断は論理法則や経験則に基づく合理的なものでなければならない。；第二法則が確立する以前には、永久機関を作る試みが何度もなされた。；この法則が広く知られるようになったのはブレジネフの時代である。；この法則は他のさまざまな脱離反応にも適用できることが分かった。；運動量保存の法則が成立する限り、それはどこかになくてはならない。；アリストテレスはそれぞれの世界は別な法則に従っていると考えた。；強法則の方が弱法則より強い主張をしているが、その分証明が難しい。；経験則とは、実際に経験された事柄から見いだされる法則のことである。；経済活動に規則性、存続性をもたらす法則を明らかにしようとしたのだ。；これは脊椎動物全体に見られる特徴で、ウィリストンの法則と呼ばれる。；というよりも法則が似るように回転運動での量を定義したのである。；この法則とは別に特定の組み合わせでのみ変身できる特殊変身もある。；また、同じビル・ジョイが提唱した法則にがあるが、当記事とは関係ない。；これらの現象は規則的な音韻法則であり、特定の語にのみ起こるものではない。；熱傷面積を大まかに計測する方法として以下の法則がよく知られている。；しかし、あるアイテムはこの法則を無視して装備する事が出来る。</t>
        </is>
      </c>
      <c r="J7672">
        <f>HYPERLINK("https://www.weblio.jp/content/法則", "词义详情")</f>
        <v/>
      </c>
      <c r="K7672">
        <f>HYPERLINK("https://yourei.jp/法則", "查看例句")</f>
        <v/>
      </c>
    </row>
    <row r="7673">
      <c r="A7673" t="inlineStr">
        <is>
          <t>包帯</t>
        </is>
      </c>
      <c r="B7673" t="inlineStr">
        <is>
          <t>成功</t>
        </is>
      </c>
      <c r="C7673" t="inlineStr">
        <is>
          <t>読み方：ほうたい
傷口などを保護するために巻く、ガーゼや晒木綿(さらしもめん)などの細長い布。</t>
        </is>
      </c>
      <c r="D7673" t="inlineStr">
        <is>
          <t>包帯を巻か；包帯だらけ；包帯姿；包帯をまい；包帯所</t>
        </is>
      </c>
      <c r="E7673" t="inlineStr">
        <is>
          <t>繃帯</t>
        </is>
      </c>
      <c r="F7673" t="inlineStr">
        <is>
          <t>ギプス包帯；新しい包帯；全身包帯；仮包帯；包帯代わり</t>
        </is>
      </c>
      <c r="G7673" t="inlineStr">
        <is>
          <t>包帯パンツ</t>
        </is>
      </c>
      <c r="H7673" t="n">
        <v>29</v>
      </c>
      <c r="I7673" t="inlineStr">
        <is>
          <t>彼女は荷物の中から薬草の小さな包みと包帯を出しているところだった。；まだ医者の手が加えられてない為、不細工な包帯の巻き付けをしている。；真もまた、包帯で固定された足の先端を眺めて、折った日のことを思う。；私が顔の下半分を包帯で覆い隠していたのは、その時の怪我が原因でした。；鞘は包帯型になっており従来の晒を彷彿とさせるデザインになっている。；アルルでの耳切り事件の後に描かれた自画像は、左耳に包帯をしている。；でも、昨日は包帯なんかしてなかったのに、何かあったんでしょうか?；色眼鏡で、包帯だらけの頭で、日曜日にも教会へ行こうともしないでさ。；そして、隣のベッドに寝ている人は包帯を巻いていることもわかった。；薄い上掛けのうえに出した左手に包帯がぐるぐる巻きにされている。；包帯の先端を二つに裂き、上の鎖穴、下の鎖穴それぞれで蝶結びにする。；テーブル上の椅子がすべて包帯でまとめられているのを、彼が見る。；しまいに、患者のほうを向いて、彼はオメーの持ってきた包帯を調べた。；女は、目を落として、包帯の右手をゆっくり握ったり開いたりしている。；それは彼女が、包帯だらけの姿で描かれていたからだと、私は思う。；口は包帯で覆われているため、食べるためにはそれを解かなくてはならない。；居酒屋の主人も、頭に包帯を巻いたままの姿で起きた事態を説明した。；クー夫人の弟が足に包帯をしてもらった小さい農園からも見えないんですよ。；包帯の巻かれた左手の指を見せて、安心させるためにおどけてみせました。；包帯に巻かれた右腕は肩で吊ってあり、左の肩も手厚く保護されている。；療法師が二人、痺れ草の溶液に浸した包帯を彼女の脚に巻きつけている。；包帯を巻いているせいか、目を開いても昼なのか夜なのか判然としなかった。；また、バスターソードにはボロボロになった包帯が巻きつけられている。；包帯の男はまさしくスタート位置についたランナーの姿勢をとっていたのだ。；この包帯術の図は古代に描かれ9世紀の稿本に残されたものである。；たびたびふたりは舟を止めて、ビルの包帯を消毒しなくてはならなかった。；そこで今度は通常の包帯に戻したところ一転して綿の排出が再度始まった。；わたしのパートナーが頭に包帯をして、部屋で寝こんでいるんです。；彼女が第一に見せた心づくしは、ぼくの傷の包帯を換えることだった。</t>
        </is>
      </c>
      <c r="J7673">
        <f>HYPERLINK("https://www.weblio.jp/content/包帯", "词义详情")</f>
        <v/>
      </c>
      <c r="K7673">
        <f>HYPERLINK("https://yourei.jp/包帯", "查看例句")</f>
        <v/>
      </c>
    </row>
    <row r="7674">
      <c r="A7674" t="inlineStr">
        <is>
          <t>膨大</t>
        </is>
      </c>
      <c r="B7674" t="inlineStr">
        <is>
          <t>成功</t>
        </is>
      </c>
      <c r="C7674" t="inlineStr">
        <is>
          <t>読み方：ぼうだい
［名］(スル)ふくれて大きくなること。「国家予算が—する」
［形動］［文］［ナリ］「厖大(ぼうだい)」に同じ。「—な費用」
[派生]ぼうだいさ［名］</t>
        </is>
      </c>
      <c r="D7674" t="inlineStr">
        <is>
          <t>膨大な数(10%)；膨大な量(10%)；膨大な時間；膨大な資料；膨大なエネルギー</t>
        </is>
      </c>
      <c r="E7674" t="inlineStr">
        <is>
          <t>多い；多くの；展開；巨大；大きい</t>
        </is>
      </c>
      <c r="F7674" t="inlineStr">
        <is>
          <t>膨大部；膨大な費用；膨大な著作；膨大な借金；膨大な額</t>
        </is>
      </c>
      <c r="H7674" t="n">
        <v>29</v>
      </c>
      <c r="I7674" t="inlineStr">
        <is>
          <t>これだけ膨大な作品の中には、互いに類似する作品が数多くみられる。；漢字4文字で構成される言葉は、ほぼ無数と言えるほど膨大に存在する。；鉄道事業には膨大な資金が必要であるが、収益発生までに時間がかかる。；これがヒットし、年間7000万個とも言われる膨大な数を販売した。；またそれら企業の株式を多数保有するため膨大な株式含み益を得ている。；これは収録時間が膨大であることや編集時間に莫大な時間がかかるためである。；この掛け合わせのパターンが非常に膨大であり、120種類の魔法がある。；一方ですべてを大学記事にまとめてしまうと大学記事が膨大な長さになりかねません。；一般に、我々が経験しているのは膨大な数の粒子を含む巨視的温度である。；あまりにも膨大な量になるため、ここでは主要なものをカテゴリ別に示した。；また、一回の質問をするのに膨大な勉強をし3冊のノートを作成したという。；サイトスワップの詳細については、膨大になるためここでは記述しない。；一方で電車と同じように膨大な地上設備を必要としている。；党務の中には、党の膨大な資金配分や、選挙の総指揮も含むことが多い。；この膨大な需要は、運河周辺に様々な産業を立地させることになった。；しかしながら我々は日々、膨大な意味を共有し、会話し、物を書いている。；高度で膨大な内容を有し、ピアノの持つ表現能力を極限まで追求している。；このため失業保険の支払いが膨大な額となり、何らかの対策が迫られた。；粒子数が膨大な場合は、様々な近似を使って問題を単純化してから計算する。；膨大な数の兵士達の遺体を前に、正教会の司祭がパニヒダを捧げている。；また、彼は膨大な数のバレットの絵画作品をコレクションしているという。；とりわけ刊行した資料集に基づくや、は膨大な情報を提供している。；第3次長期計画は3兆円近い膨大な金額の設備投資を伴う計画であった。；スチューレンは何の問題もないと請け合い、必要な膨大な数値を求めた。；機能が膨大であるため、取扱説明書に詳細が載っていない部分が多い。；そのような本に載っている公式の数は膨大であり、かつそれぞれの形も複雑である。；報告は数年にも及ぶ膨大なアンケートと面接調査をもとにしたものであった。；全ての打ち上げ機が軌道に到達する際に必要となる膨大なエネルギーの元を保持している。；人間は一生のなかで、膨大な量の記憶を大脳の生理学的な機構に刻む。</t>
        </is>
      </c>
      <c r="J7674">
        <f>HYPERLINK("https://www.weblio.jp/content/膨大", "词义详情")</f>
        <v/>
      </c>
      <c r="K7674">
        <f>HYPERLINK("https://yourei.jp/膨大", "查看例句")</f>
        <v/>
      </c>
    </row>
    <row r="7675">
      <c r="A7675" t="inlineStr">
        <is>
          <t>放置</t>
        </is>
      </c>
      <c r="B7675" t="inlineStr">
        <is>
          <t>成功</t>
        </is>
      </c>
      <c r="C7675" t="inlineStr">
        <is>
          <t>読み方：ほうち
［名］(スル)そのままにしてほうっておくこと。所かまわず置きっぱなしにしておくこと。「問題を未解決のままに—する」「—自転車」</t>
        </is>
      </c>
      <c r="D7675" t="inlineStr">
        <is>
          <t>放置する(10%)；放置すれ(3%)；放置状態；放置禁止区域；放置されれ</t>
        </is>
      </c>
      <c r="E7675" t="inlineStr">
        <is>
          <t>残す；置き去り；遺棄；放っておく；ほったらかし</t>
        </is>
      </c>
      <c r="F7675" t="inlineStr">
        <is>
          <t>ないまま放置；長期間放置；以上放置；長年放置；長時間放置</t>
        </is>
      </c>
      <c r="G7675" t="inlineStr">
        <is>
          <t>放置プレイ；放置車両；放置違反金；放置駐車；放置ゲーム</t>
        </is>
      </c>
      <c r="H7675" t="n">
        <v>29</v>
      </c>
      <c r="I7675" t="inlineStr">
        <is>
          <t>商人はその馬を放置し、歩いて家まで着いたが、すでに夜になっていた。；また、他の仲間を画面外に放置したまま移動できるようになっている。；今まで放置されていた河川内部にまで改修が入ることが多くなったためである。；戦闘後は充分な修理を受けられず、損傷部分も放置されたままで運用される。；もはや用済みとなった後藤新平像は、長年神社の境内に放置され続けた。；そうする代わりに彼はエラムを破壊したまま無防備な状態のまま放置した。；しばらく放置した場合、火傷のように爛れる場合があるので注意が必要。；下部デッキのハッチなども換気のために解放されたまま放置されていた。；LDLコレステロールが低いからと放置すると膵炎を起こすことがある。；閉鎖後はしばらく放置されていたが、2013年になって建物が解体された。；心臓や呼吸が停止している場合、そのまま放置しておくと間違いなく死亡する。；服部の死後、遺族が管理しきれずに山形県に寄贈したが放置されていた。；そのような事情があり、この主題はしばらくの間放置されていた。；シンボル的存在であった観覧車は数年間放置されたが解体され廃棄された。；自覚症状がなければ放置してもいいが、患者が希望すれば治療の対象になる。；玉子状態の敵をしばらく放置していると、表面がひび割れて元の姿に戻る。；それらを拒否した場合、ただ赤子を放置して息を引き取るのを待つという。；このとき、放置されていた戦前製内燃機関車が再生された例もある。；再整備して使用する計画であった旧宇佐美トンネル等は放置された。；寒いある日、彼はジュースに混ぜ棒を挿したまま外に放置してしまった。；また国鉄内部でも再開の構想があったとされているが、再開されることなく放置。；一方で戦略的価値が低い地点に存在するため、半ば放置されていた。；また軌道跡と架線柱も戦後まで放置されていたが、いずれも現在は撤去されている。；放置すると死亡するため、こういった飲み方は絶対しないこと。；そのため、放置された遺体が見つかっても別に不思議ではない。；これらの子供たちは長らく北朝鮮政府から完全に放置されたままの状態でいた。；その後、十分な管理がされないまま放置されている物がある。；主の居なくなったゾウ舎は、暫く放置された後に解体され、広場になった。；その後、建物は約3年間放置されていたが、2009年春から夏頃に解体。</t>
        </is>
      </c>
      <c r="J7675">
        <f>HYPERLINK("https://www.weblio.jp/content/放置", "词义详情")</f>
        <v/>
      </c>
      <c r="K7675">
        <f>HYPERLINK("https://yourei.jp/放置", "查看例句")</f>
        <v/>
      </c>
    </row>
    <row r="7676">
      <c r="A7676" t="inlineStr">
        <is>
          <t>包丁</t>
        </is>
      </c>
      <c r="B7676" t="inlineStr">
        <is>
          <t>成功</t>
        </is>
      </c>
      <c r="C7676" t="inlineStr">
        <is>
          <t>読み方：ほうちょう
１料理に使用する刃物。出刃(でば)包丁・刺身(さしみ)包丁・薄刃包丁などがある。包丁刀。
２一般に薄刃の刃物の称。畳包丁・紙裁ち包丁・裁縫用の裁ち物包丁など。
３料理をすること。料理。割烹(かっぽう)。「—始め」
「折ふし御坊は、見事なる鯉を—して御座ある」〈咄・きのふはけふ・上〉
４「包丁人」の略。</t>
        </is>
      </c>
      <c r="D7676" t="inlineStr">
        <is>
          <t>包丁捌き；包丁塚；包丁をつかん；包丁を取り上げられ；包丁をふりおろす</t>
        </is>
      </c>
      <c r="E7676" t="inlineStr">
        <is>
          <t>ナイフ；コック；小刀；クック；庖丁</t>
        </is>
      </c>
      <c r="F7676" t="inlineStr">
        <is>
          <t>肉切包丁；大きな包丁；大包丁；ハモ切り包丁；首に包丁</t>
        </is>
      </c>
      <c r="G7676" t="inlineStr">
        <is>
          <t>包丁さばき；包丁人味平；包丁無宿；包丁藤四郎；包丁式</t>
        </is>
      </c>
      <c r="H7676" t="n">
        <v>29</v>
      </c>
      <c r="I7676" t="inlineStr">
        <is>
          <t>そしてもう片方の手には番頭が持っていた包丁が握られていたのである。；包丁を握るまえに正しい心をもった人間になっていなければならない。；将校は老人の手や顔に包丁で切ったような小さい傷をつけるのがいやになった。；さっきまでその腹に刺さっていた包丁がいつの間にやら無くなっている。；壁の一点を見詰めていた少女の目が、ふいに机の上の包丁に据えられた。；凶器の包丁は腹に根元まで刺さった状態で、柄は抜けて側に落ちていた。；悪魔の王宮で働いていた料理人が包丁で魚の腹を割くと赤子が出て来た。；琥珀は、これまたどこからか取り出した包丁を両手に一本ずつ持っている。；ああ、でも僕は・・・・用意周到な僕は・・・ 右手に、包丁を握ってた!；ただし関東でも関西型の包丁を使う料理人はおり、その逆も然りである。；当人は包丁を手にしたことは認めたが、殺すと脅したことは否定した。；そのようすを見ますと、まま母がほうちょうをわたして、いいました。；魚屋に現れた二人の話を聞いて、仁子は包丁を持って円を探しに行く。；すると、岩影から伸びた手が娘に包丁を渡しているのを見つけた。；副島が見ている前で、立ち上がった彼の身体は懐から包丁を取りだした。；このやり取りの後に包丁を購入したとみられるが、襲撃の動機は不明である。；鍋や包丁を備えた機械だが、作中では使用していないため詳細は不明。；多目的性を志向した包丁で、日本の家庭では最も一般的な包丁である。；口に刺さった包丁を、自分で抜いて突きかかってきたので、少しやられた。；魚を捌くための包丁であり、現代では肉を切る用途にも使われている。；料理中に包丁で怪我をするなんてもう何年もないことだった。；わたしは包丁から目を離さずに、いまここで一番してはいけないことを考えた。；うちの台所では、いつもお母さんが魚をさばくときは、包丁でやっていた。；そして、片手にもう、ほうちょうを持っているおばあさんをとめました。；でも、その右手に握られていた包丁が、僕の脇腹に深くめり込んでいた。；この包丁は魚の首を落とし、三枚おろしにするために設計されている。；持ち上げた死体の足に包丁の歯を下からあてて肉を切りました。；入営するまで包丁を握ったことのない者が多く、行届いた料理はできない。；しかもこれに包丁をいれてみれば、かれらの失敗はなお歴然とする。</t>
        </is>
      </c>
      <c r="J7676">
        <f>HYPERLINK("https://www.weblio.jp/content/包丁", "词义详情")</f>
        <v/>
      </c>
      <c r="K7676">
        <f>HYPERLINK("https://yourei.jp/包丁", "查看例句")</f>
        <v/>
      </c>
    </row>
    <row r="7677">
      <c r="A7677" t="inlineStr">
        <is>
          <t>膨脹</t>
        </is>
      </c>
      <c r="B7677" t="inlineStr">
        <is>
          <t>成功</t>
        </is>
      </c>
      <c r="C7677" t="inlineStr">
        <is>
          <t>読み方：ぼうちょう
［名］(スル)
１ふくれあがること。
２規模が広がって大きくなること。また、数量が増大すること。「都市が—する」「予算が—する」
３物体の長さまたは体積が増大すること。「熱—」</t>
        </is>
      </c>
      <c r="D7677" t="inlineStr">
        <is>
          <t>膨脹する(9%)；膨脹させる(3%)；膨脹力；膨脹式；膨脹政策</t>
        </is>
      </c>
      <c r="E7677" t="inlineStr">
        <is>
          <t>発生；展開；発展；増加；成長</t>
        </is>
      </c>
      <c r="F7677" t="inlineStr">
        <is>
          <t>急膨脹</t>
        </is>
      </c>
      <c r="H7677" t="n">
        <v>29</v>
      </c>
      <c r="I7677" t="inlineStr">
        <is>
          <t>それゆえガスを膨脹させて浮かんでいなければならなかったのである。；ところが内部には、一部溶融した物質と、高度に膨脹した気体があった。；東京のような膨脹した都会でも、何とか夏のよさを甦らせたいものである。；ガスが膨脹し、新しいヴィクトリア号は地上六一メートルまでのぼった。；ここに於て露西亜の西に向い南に向うところの膨脹力は全く止められてしまった。；そしてその膨脹しきった渇望を、どのようにして癒そうとするのかも。；かくの如く露西亜の膨脹は欧羅巴文明の国際間競争と性質が違っている。；高く飛ぼうとするなら、ガスを強く膨脹させなければならなかったからである。；最近におけるわが国の都市の膨脹はまつたくその企画性を無視したものである。；そして、いまは、直接に、物理的にぼくたちのからだが膨脹したのだ。；その時は、ファインダーの中で男の姿がすさまじく膨脹するような気がした。；丁度これは、膨脹しつつある団雲に近付いて行く一片の雲に似ている。；柾木はかつてこの死体膨脹の現象について記載されたものを読んだことがあった。；そのまま自分の股間に運び、ズボンの上から膨脹した陰茎に触れさせた。；そのうちどれかが、まるで爆発でもするように、急激な膨脹を始める。；射出された榴弾がファンネルと正面衝突し、膨脹する火球に姿を変える。；満蒙の権益の活用なくしては、膨脹してゆく日本の人口のはけ口がない。；熱がたかまってきて、まもなく膨脹した水素のために気球は上昇した。；けれど日本だけは膨脹衝動が道を生まなかった唯一といってよい例外ではあるまいか。；濃い黒煙が天を突くように膨脹し、重油の赤い炎が錐揉み状に迷走する。；あそこでちょっととまって、バーナーの膨脹装置に必要な水を補給しよう。；それは上方へと急速に膨脹して流れ、天空にひろがる潮にも似ていた。；しばしば汗とともに私は強さや堅さや膨脹を味わうことさえできた。；不安は膨脹する一方であったが、連絡が取れないので、どうすることもできない。；その頃からすると信長の身代は大膨脹したが、家康の身代もまた大きくなっている。；かれらは、奈良屋の膨脹のために生活をおびやかされているのだ。；全身の約四百種類六百五十の強化筋肉が限界まで膨脹。；しかし、群衆はも早警官の活動力には手にあまるほど膨脹していた。；また若し、日本が膨脹主義で成功したとすればどうなつたか。</t>
        </is>
      </c>
      <c r="J7677">
        <f>HYPERLINK("https://www.weblio.jp/content/膨脹", "词义详情")</f>
        <v/>
      </c>
      <c r="K7677">
        <f>HYPERLINK("https://yourei.jp/膨脹", "查看例句")</f>
        <v/>
      </c>
    </row>
    <row r="7678">
      <c r="A7678" t="inlineStr">
        <is>
          <t>放っておく</t>
        </is>
      </c>
      <c r="B7678" t="inlineStr">
        <is>
          <t>成功</t>
        </is>
      </c>
      <c r="C7678" t="inlineStr">
        <is>
          <t>読み方：ほうっておく
［動カ五（四）］放置したままにする。「仕事をやりかけの状態で—・く」</t>
        </is>
      </c>
      <c r="D7678" t="inlineStr">
        <is>
          <t>放っておくわけ(20%)</t>
        </is>
      </c>
      <c r="E7678" t="inlineStr">
        <is>
          <t>無視；避ける；残す；放置；見守る</t>
        </is>
      </c>
      <c r="F7678" t="inlineStr">
        <is>
          <t>しばらく放っておく</t>
        </is>
      </c>
      <c r="H7678" t="n">
        <v>29</v>
      </c>
      <c r="I7678" t="inlineStr">
        <is>
          <t>わたしは放っておいても成長するような企業にはあまり興味はないんだ。；こっちへ何と話をして来る気か、とそのときまで放っておくつもりです。；他人のことなどどうでもいいし、自分のことも放っておいてほしいのだ。；用があればもちろん人を呼ぶから、それまでは放っておいて欲しいとな。；けれど、もしそれが本当なら兄を放っておいてはいけないと思いました。；いやな言葉だが、放っておいても業界は自然淘汰されるものなのである。；私は放っておいても、人一倍うまくやる子どもだと母は思っていたのだ。；艦長は、この二人をしばらく放っておいた後、処分することに決定した。；このまま放っておかれていたなら、深雪は朝までこの状態だっただろう。；目覚める様子がない彼女を放っておけず、家まで連れてきたのは自分だ。；謎と見ると放っておかれず、仕事抜きで事件に関わっていくことも多い。；丸一日放っておいたのですから、時計が止ってしまうのも当然でしょう。；弟子が調子に乗っていれば諭しもするが、そうでない場合は放っておく。；こうなっては幕府への手前もあることだし、薩摩藩でも放っておけない。；病院なんてのはな、放っておけばいつまでも入院させようとするんだよ。；足が萎えてしまっているヱイのことも放っておくことは出来ないだろう。；いくらか離れているようにも思うが、こいつは放っておけないと思った。；放っておくと、彼はいつまでもそのまま瞑想を続けているような様子だ。；放っておけば、また、わたくしのような犠牲者が生まれることでしょう。；男が放っておくわけもなく、当然のことながら男性遍歴も豊かであった。；ぼくが彼女を心配させたまま放っておくほど無粋な男だと思ってるのかね?；皆が私を放っておいてくれるのだから、私も皆を放っておいてあげる。；しかもしばらく放っておいたら、どんどん火膨れがひどくなってきてな。；そんなに放っておかれたら、他の男に心が動くのは当然かもしれない。；確かにあのまま放っておいたら、大変なことになってたかもしれない。；お前はまだ、放っておけば他人に仕掛けられてしまうばかりなんだからな。；この敵を放っておいて予定通り敵の背後に向って進むあるのみである。；何を言っても無駄なので貴重生物として大切に放っておきましょうね。；しかし、いつまでもこのまま放っておくわけにはいかないのかもしれない。</t>
        </is>
      </c>
      <c r="J7678">
        <f>HYPERLINK("https://www.weblio.jp/content/放っておく", "词义详情")</f>
        <v/>
      </c>
      <c r="K7678">
        <f>HYPERLINK("https://yourei.jp/放っておく", "查看例句")</f>
        <v/>
      </c>
    </row>
    <row r="7679">
      <c r="A7679" t="inlineStr">
        <is>
          <t>ぼうっと</t>
        </is>
      </c>
      <c r="B7679" t="inlineStr">
        <is>
          <t>成功</t>
        </is>
      </c>
      <c r="C7679" t="inlineStr">
        <is>
          <t>［副］(スル)
１物がぼやけて見えるさま。「島影が—かすんで見える」
２意識が正常でなく、ぼんやりしているさま。「—していて大事なことを忘れた」
３明るさや色あいなどがかすかに感じられるさま。ほんのり。「東の空が—赤らんできた」
４音をたてて燃え上がるさま。「—火の手が上がる」</t>
        </is>
      </c>
      <c r="D7679" t="inlineStr">
        <is>
          <t>ぼうっとかすん(4%)；ぼうっと見；ぼうっと明るく；ぼうっと浮かん；ぼうっとなり</t>
        </is>
      </c>
      <c r="E7679" t="inlineStr">
        <is>
          <t>ちらちら；ほんのり；ほのぼの；うすうす；薄々</t>
        </is>
      </c>
      <c r="F7679" t="inlineStr">
        <is>
          <t>ぼうっと赤い；ぼうっと白い；ぼうっと明るん；ぼうっと照らし；ぼうっと青く</t>
        </is>
      </c>
      <c r="H7679" t="n">
        <v>29</v>
      </c>
      <c r="I7679" t="inlineStr">
        <is>
          <t>ようやく闇にも目が慣れてきて、彼の白い肌がぼうっと浮かんで見えた。；あいつがぼうっとおまえを見ていたとしたら、必ず残像が見えるはずだ。；ひとつひとつが奇妙な内にこもるような光でぼうっと明るくなっていた。；野島は二人の会話に割って入ることができず、ただぼうっと眺めていた。；ぼうっと観音様を見あげていると、彼がお盆にお茶をのせて帰ってきた。；エリンはわずかに目をあけただけで、ぼうっと、その調べに身を任せた。；エマは少しからだをひねって、暖炉の上をぼうっと眺めているのだった。；廊下は暗かったけれど、突きあたりの窓がぼうっと灰色に光っていた。；満月がのぼりかけているので、霧の幕の上側がぼうっと赤くなっていた。；とっくに酒もきれているはずなのにぼうっと霞がかかったようだった。；私はぼうっとなって寝台の上のガラス屑みたいなものの小山をみつめた。；俺はその様子をぼうっと眺めながら、もう少しだけ待って確信する。；半五郎が淡々と絵解きしてくれるのを、おようはぼうっと聞いていた。；家の低い軒下に設けられた連子窓の奥から、ぼうっと赤い光が滲み出る。；するとぼうっと空いた時間に、なんだか相手はうまく入ってくるのよ。；やがてそのぼうっと明るい中で二歳の子がキョトンと目をあけた。；連れはなし、本を読むでもなく、ただぼうっと立ってたってことで。；白と灰色の中に、彼の姿はぼうっと浮かんでいるようであった。；つまりああいう著者には人間がたいてい同様にぼうっと見えたのでありましょう。；これだけ警官がいて、全員一日中ただぼうっと突っ立ってるだけなんだからな。；フィリエルがぼうっと見回していると、マリエが握った手に力をこめた。；背後で、ゴルたちが松明をつけている音がして、ぼうっと光がともった。；見た者に聞いてみますと、ぼうっと青く光る大きな動物だと一致しています。；しかし書類作成中に頭がぼうっとなってミスでもしたら取り返しがつかない。；みなは疲れたのだろうと考えたが、実はあまりの不思議さにぼうっとなっているのだった。；ぼうっと白く、かすかに光を発しているとばりの方に、船は流されていた。；誰もがせわしなく動いている中で、彼だけがぼうっと動かなかった。；すぐには貴子に気づかず、ひどくくたびれた顔で、ぼうっと空を見ていた。；すると、黒い眸のなかに鮮に見えた自分の姿が、ぼうっと崩れて来た。</t>
        </is>
      </c>
      <c r="J7679">
        <f>HYPERLINK("https://www.weblio.jp/content/ぼうっと", "词义详情")</f>
        <v/>
      </c>
      <c r="K7679">
        <f>HYPERLINK("https://yourei.jp/ぼうっと", "查看例句")</f>
        <v/>
      </c>
    </row>
    <row r="7680">
      <c r="A7680" t="inlineStr">
        <is>
          <t>法廷</t>
        </is>
      </c>
      <c r="B7680" t="inlineStr">
        <is>
          <t>成功</t>
        </is>
      </c>
      <c r="C7680" t="inlineStr">
        <is>
          <t>読み方：ほうてい
裁判の行われる場所。ふつう、裁判所またはその支部にある。</t>
        </is>
      </c>
      <c r="D7680" t="inlineStr">
        <is>
          <t>法廷内；法廷外；法廷弁論；法廷記録；法廷戦術</t>
        </is>
      </c>
      <c r="E7680" t="inlineStr">
        <is>
          <t>裁判所；裁判官；ジャッジ；法院；司法官庁</t>
        </is>
      </c>
      <c r="F7680" t="inlineStr">
        <is>
          <t>本法廷；当法廷；号法廷；戦犯法廷；上訴法廷</t>
        </is>
      </c>
      <c r="G7680" t="inlineStr">
        <is>
          <t>法廷闘争；法廷侮辱罪；法廷侮辱；法廷ドラマ；法廷もの</t>
        </is>
      </c>
      <c r="H7680" t="n">
        <v>29</v>
      </c>
      <c r="I7680" t="inlineStr">
        <is>
          <t>すべての弁護士が、その登録された州の法廷で弁論を行うことができる。；この二つの返答から法廷はどうか私の判断を認識していただきたいのです。；経営権を巡る争いが数度生じており、法廷に持ち込まれたケースもある。；よって本法廷は、これに従来の著作物と同程度の保護を与えることはしない。；刑事法廷では裁判を回避するわけにはいかず、判決を出さなければならない。；そして午後に個別の量刑判決を受けるため一人ずつ法廷へ連れて行かれた。；たとえば、村長へはより多くの権利を譲渡、法廷も近代的に管理された。；法廷の証言台に立ったフランクは最初に「自分の恐るべき罪」を認めた。；しかしながら、様々な初期の法廷の文献は生殖器の自己露出を議論する。；この法廷の裁判記録にはジャンヌの驚くべき思考力が記録されている。；また、法廷で私が教えていた大学院生たちが傍聴席に座っているのを見た。；もし天皇を裁判に付せば、裁判の法廷で天皇はそのように主張するであろう。；検察側は予定していた3人の証人を法廷に連れてくることができなかった。；また別の国家犯罪でも法廷にかけられたが、こちらは無罪となった。；不動産の譲渡は法廷においてすることを要するとするのがその例である。；ただし法廷の中と外では、この記憶戦争に対する評価は大きく異なっている。；結局法廷からは何ら罪に問われることなく1948年5月に釈放された。；数日前一人の学生と一本の縄で縛られ法廷に出頭したことがあった。；これは彼の犯罪ゆえではなく、法廷での発言や態度ゆえである。；全体的に言ってジャクソンには反対尋問の法廷テクニックが欠けていた。；結局A子と対面したのは彼女が証人として呼ばれた一審の法廷であった。；本作品は「法廷バトル」と呼ばれるジャンルを生み出したゲームである。；法廷の仕事の特徴は、法廷審問への参加への子供たちの積極的な関与でした。；ただし、訴訟の形式による法廷そのものを開いての裁判を行うことはない。；スタンシルは少年が証言する際、法廷を非公開にすることを提案した。；法廷ではこの戦略がドラマと議論をもたらし、最終的に弁護側の勝利となった。；彼女はマレーシアの法廷に彼女の改宗を法的に認めるよう訴えを起こした。；そこで1912年には離婚法廷を扱う部門が入る建物が増築された。；彼は、法廷に米軍との取引の存在を主張したが、認められなかった。</t>
        </is>
      </c>
      <c r="J7680">
        <f>HYPERLINK("https://www.weblio.jp/content/法廷", "词义详情")</f>
        <v/>
      </c>
      <c r="K7680">
        <f>HYPERLINK("https://yourei.jp/法廷", "查看例句")</f>
        <v/>
      </c>
    </row>
    <row r="7681">
      <c r="A7681" t="inlineStr">
        <is>
          <t>方程式</t>
        </is>
      </c>
      <c r="B7681" t="inlineStr">
        <is>
          <t>成功</t>
        </is>
      </c>
      <c r="C7681" t="inlineStr">
        <is>
          <t>読み方：ほうていしき
１未知数を含み、その未知数が特定の値をとるときだけに成立する等式。この特定の値を解または根という。
２（比喩的に）問題を解決するための方法。解答を得るための決まったやり方。「先行逃げ切りが勝利の—」「不動産投資、成功の—」</t>
        </is>
      </c>
      <c r="D7681" t="inlineStr">
        <is>
          <t>方程式論；方程式f；方程式群</t>
        </is>
      </c>
      <c r="F7681" t="inlineStr">
        <is>
          <t>ヤコビ方程式；ショールズ方程式；記述する方程式；ゴルドン方程式；次方程式</t>
        </is>
      </c>
      <c r="G7681" t="inlineStr">
        <is>
          <t>方程式もの</t>
        </is>
      </c>
      <c r="H7681" t="n">
        <v>29</v>
      </c>
      <c r="I7681" t="inlineStr">
        <is>
          <t>時刻 での値から での値を求めるときの方程式は以下のように定める。；殆どの公式と方程式は、標準表記ではなくマセマティカで書かれている。；これら拡張式とよく似た方程式がさまざまな文献にて参照される可能性がある。；誤解が元になっているが、ペルは次の方程式で最もよく知られている。；これは自己回帰方程式が以下のように書き直せることからもまた分かる。；であるとき斉次あるといい、 を元の方程式に属する斉次方程式という。；同書に記されている方程式の一部はディオファントス方程式と呼ばれる。；方程式には様々な種類があり、数学のすべての分野において目にする。；この方程式のおかげでロケットの推進の理論的考察ができるようになった。；様々な方程式と様々な行動があり、結果はモデルと方程式に依存する。；と直線 との交点を とすると、 の方程式に を代入して、 を得る。；論文でシュレーディンガーは自分でこの方程式を以下のように説明している。；変数の動く範囲を変えることにより方程式の性質が大幅に変わり得る。；は同次多項式の方程式の系を解くための新しいアルゴリズムを提示した。；この の場合の線型微分方程式は斉次あるいは同次な 方程式と呼ばれる。；また、折り紙を用いた4次方程式までの方程式の解法が発見されている。；方程式の最も典型的な形は未知数 と呼ばれる項を含んだ等式である。；のとき、方程式 は中心となる一点 のみを解とし、点球の方程式と言う。；これは「夢の方程式」とも呼ばれ、小森が特に強調するモットーである。；これら方程式から と をすれば、楕円の射影的方程式 が回復される。；因数分解は、方程式や関数について考える上で重要な概念の一つである。；この形の方程式は、円だけでなく一般にはを表すものである。；このような方程式は対象とする気体の特定の条件を満たすよう理想化されている。；このことはカロザース方程式を拡張することにより以下のように表現される。；hと cの両方を同時に解くためには、もう一つ別の方程式を必要とする。；この式は両辺にf があり陰的な方程式であるため直接解くことはできない。；超自然的な現象や奇跡ではなく、単純に方程式の解として捉えられている。；この場合出現する式は6通りであり、6次方程式を解くことに帰着する。；方程式を調べるために使われる方法は方程式の種類に応じて異なる。</t>
        </is>
      </c>
      <c r="J7681">
        <f>HYPERLINK("https://www.weblio.jp/content/方程式", "词义详情")</f>
        <v/>
      </c>
      <c r="K7681">
        <f>HYPERLINK("https://yourei.jp/方程式", "查看例句")</f>
        <v/>
      </c>
    </row>
    <row r="7682">
      <c r="A7682" t="inlineStr">
        <is>
          <t>報道</t>
        </is>
      </c>
      <c r="B7682" t="inlineStr">
        <is>
          <t>成功</t>
        </is>
      </c>
      <c r="C7682" t="inlineStr">
        <is>
          <t>読み方：ほうどう
［名］(スル)
１告げ知らせること。また、その内容。報知。
「松村から手紙が来て、容易ならぬ事件を—した」〈蘆花・思出の記〉
２新聞・ラジオ・テレビなどを通して、社会の出来事などを広く一般に知らせること。また、その知らせ。ニュース。「—の自由」</t>
        </is>
      </c>
      <c r="D7682" t="inlineStr">
        <is>
          <t>報道される(4%)；報道班員；報道部；報道関係；報道各社</t>
        </is>
      </c>
      <c r="E7682" t="inlineStr">
        <is>
          <t>情報；報告；記事；案内；ニュース</t>
        </is>
      </c>
      <c r="F7682" t="inlineStr">
        <is>
          <t>広く報道；マスコミ報道；ニュース報道；報道等；報道取材</t>
        </is>
      </c>
      <c r="G7682" t="inlineStr">
        <is>
          <t>報道陣；報道番組；報道局；報道部；報道官</t>
        </is>
      </c>
      <c r="H7682" t="n">
        <v>29</v>
      </c>
      <c r="I7682" t="inlineStr">
        <is>
          <t>警察は深い交際があったのではないかと捜査を進めていると報道された。；同じころロンドンでタイムズ誌でそれが偽書であるとの報道がなされた。；ニヤゾフ政権時代は極端な報道規制により海外から多くの批判を受けた。；また、同グループは新たな第I相臨床試験を予定していると報道された。；前者は事業者や報道関係でも広く知られ広まり、後者は定着しなかった。；これは現地でニュースとして扱われており、日本でも一部報道された。；経済的な影響は大きく、毎時間400億円を超える規模と報道された。；日本の報道では上記のように無期刑と終身刑は別の刑とし表現されてきた。；さらにその後、全体の完成が2031年度にずれ込むとの報道があった。；ただ、2017年9月1日には、再度検討しているとの報道がなされた。；国民に向けて最も多くの戦争報道をしたのが新聞であった。；投げられるプーチンの姿は印象的で、その写真や映像は世界中に報道された。；アナウンサーはアナウンス部が編成局に設けられるまで報道部の所属であった。；そのような画像は各種報道やインターネット上で公開されていた。；なお、テレビ取材用報道カメラ車は日本テレビの移動1号車の後に付く。；そのため、政府もその報道された内容が政府案と異なるとする声明を発表した。；入社後にはアナウンス室に所属し、スポーツや報道などを担当した。；この報道は、再びユダヤ系グループの反発を招き、大きな非難を受けた。；テレビやラジオ、新聞、雑誌などのメディアもこれを報道している。；また日本の報道などではペルチーニと表記されることが多かった。；日本の報道では「米国電気電子学会」と記述されることが多いようである。；しかし、海外に事件が報道され、公に公表せざるをえなくなった。；自費でのキャンプ参加となり、否定的な報道や一部世論の反発に遭った。；だが数百万人の虐殺などという報道は私にはまったくありえないことに思われた。；報道ではジャマーリーを縮めてジャマリと表記されるのが一般的である。；同年10月には、新設された罰則による初の書類送検事例が報道された。；亡命前後の日本の報道ではパーレビ国王と呼ばれることが多かった。；PTAが任意加入の団体であることは、報道等により近年周知されてきた。；一連の原発事故報道が評価され2012年度の日本新聞協会賞を受賞した。</t>
        </is>
      </c>
      <c r="J7682">
        <f>HYPERLINK("https://www.weblio.jp/content/報道", "词义详情")</f>
        <v/>
      </c>
      <c r="K7682">
        <f>HYPERLINK("https://yourei.jp/報道", "查看例句")</f>
        <v/>
      </c>
    </row>
    <row r="7683">
      <c r="A7683" t="inlineStr">
        <is>
          <t>暴騰</t>
        </is>
      </c>
      <c r="B7683" t="inlineStr">
        <is>
          <t>成功</t>
        </is>
      </c>
      <c r="C7683" t="inlineStr">
        <is>
          <t>読み方：ぼうとう
［名］(スル)物価・株価などが急激に大幅に上がること。「地価が—する」⇔暴落。</t>
        </is>
      </c>
      <c r="D7683" t="inlineStr">
        <is>
          <t>増加；飛躍；急増；一躍；急上昇</t>
        </is>
      </c>
      <c r="H7683" t="n">
        <v>29</v>
      </c>
      <c r="I7683" t="inlineStr">
        <is>
          <t>それもおれたちに有利な下げの波がきたのではなく、一方的な暴騰を演じたのだ。；大正初めから計算しても、実に二百倍から一千倍の地価に暴騰している。；店を開くための、土地の所有価値を暴騰させるための投資であった。；急に大量発注され、そこへ国際カルテルが便乗し、キニーネは暴騰した。；そのため生糸価格は暴騰、粗悪品が出回り、日本の生糸の評判が落ちた。；しかし、十日以内に急に暴騰するという情報を手に入れた。；払戻金が暴騰するまで、誰が銀溜杯に勝ったか分からなかった。；なぜなら、そのころ満州事変が起こって、炭価が暴騰したからである。；これをきっかけに市場の流れは変わり、暴騰相場が始まった。；一九八七年から八八年にかけてコメの国際価格が暴騰しました。；もっとも、物価も暴騰し、大正八年には大正三年の二・五倍ぐらいに上昇している。；朝鮮に動乱が起こってから東京近郊の地所はものすごく暴騰した。；このため、世界景気拡大期には鉄鉱石価格が暴騰することもある。；今までは円に四斗もあったものが、こう暴騰すれば世の中も騒がしくなるは当り前である。；この街区も地価の暴騰によって、風俗営業店の経営が苦しくなっている。；しかし国際原油価格の暴騰は台湾の消費物価の急激な状況を招いた。；土地の所有価値が暴騰して来たため、地主の彼等は、何等職業らしい職業を必要としなくなっていたからである。；一九七二年、それから七九年、八七年と、七、八年おきにコメが暴騰しているんです。；いよいよ征長戦が始まると言うので、軍事上の必要から米の買い集めが行われると、米の値段が暴騰し始めた。；しかし当五銭もまた名目貨幣価値が実際の流通価値より低かったし、物価も暴騰させた。；これを受けてOPECは価格を調整しようとしたが、日々価格が暴騰する情勢下で統一価格を維持することは不可能であり、合意の形成に失敗。；しかし、その街並みの美しさから地価が暴騰し、ゴーストタウン化している。；第一次世界大戦の影響による銀価格の暴騰を受け、量目を更に減量させたものである。；日本ではB'zが使用した事により一気に話題となり、特に価格が暴騰した機器の一つである。；その後モネの作品の価格はさらに暴騰し始めた。；現在のナショナル・ギャラリーは価格が暴騰しているオールド・マスターの絵画を単独で購入できるだけの資金力はなく、広く公衆に呼びかけて資金協力を求めないとそのような絵画を購入することはできない。；これで一応スミソニアン体制は落ち着いたと思われたが、今度は金相場が暴騰。；人命の価格そのものが突如として急暴騰した、とは考えにくいから、これは一種の反動現象ではあるまいか。；むしろ入荷予定の大量の阿片が失われて、町の売値は暴騰する。</t>
        </is>
      </c>
      <c r="J7683">
        <f>HYPERLINK("https://www.weblio.jp/content/暴騰", "词义详情")</f>
        <v/>
      </c>
      <c r="K7683">
        <f>HYPERLINK("https://yourei.jp/暴騰", "查看例句")</f>
        <v/>
      </c>
    </row>
    <row r="7684">
      <c r="A7684" t="inlineStr">
        <is>
          <t>冒頭</t>
        </is>
      </c>
      <c r="B7684" t="inlineStr">
        <is>
          <t>成功</t>
        </is>
      </c>
      <c r="C7684" t="inlineStr">
        <is>
          <t>読み方：ぼうとう
１文章・談話のはじめの部分。「手紙の—」
２物事のはじめの部分。「交渉が—から難航する」</t>
        </is>
      </c>
      <c r="D7684" t="inlineStr">
        <is>
          <t>冒頭部分(4%)；冒頭シーン；冒頭主題；冒頭文；冒頭ナレーション</t>
        </is>
      </c>
      <c r="E7684" t="inlineStr">
        <is>
          <t>最初；始め；当初；入り；初期</t>
        </is>
      </c>
      <c r="F7684" t="inlineStr">
        <is>
          <t>物語冒頭；映画冒頭；記事冒頭；本編冒頭；幕冒頭</t>
        </is>
      </c>
      <c r="G7684" t="inlineStr">
        <is>
          <t>冒頭手続</t>
        </is>
      </c>
      <c r="H7684" t="n">
        <v>29</v>
      </c>
      <c r="I7684" t="inlineStr">
        <is>
          <t>終章でも時間軸上冒頭の時点で書かれた、日本語の文章が登場している。；どちらも番組後期では時間の関係で冒頭部分が省略されることが多かった。；映画冒頭とラストのノルマンディー墓地は実際の場所で撮影されている。；冒頭の編集句を除いて、言葉が発せられた状況の描写や解説は一切ない。；なお、冒頭の定義の中には、いわゆる都市内で完結するものも含まれる。；冒頭のサブストーリーでは、祖父が病気の孫に本を読んでやっている。；義務になると上記の文が命令されるかたちとなり冒頭のものとなる。；その模様を録音したカセットテープがあり、冒頭には以下の発言があった。；スチュワート博士もまた映画冒頭の科学者と同じ行為に至ったのであった。；物語の冒頭で、膕から火を吐き、馬のように竿立つ姿が印象的であった。；連作第二作の表題作冒頭には、その初演のコンサートの場面が出てくる。；ただし、日本語では最卓越した元素を冒頭に持ってくるのが一般的である。；冒頭に説明したように、何が病気であるかそうでないかを決めるのは容易ではない。；最後に、冒頭よりも半音低い嬰へ音上で動機aが現れ、次の部分に続く。；各話の事件発生後から真相直前の回の冒頭に表示される事件関係者のリスト。；この番組の冒頭やCMの間に観客とダンスをしたり歌ったりする。；名称の冒頭1文字は階級、末尾の語は、もとの生物の種別を表している。；本作品のシナリオは、冒頭でどの組織を選ぶかにより3ルート存在する。；テレビCM冒頭に流れるサウンドロゴは現在30秒版のみになっている。；冒頭に挙げた「人生はドラマだ」はもっとも初歩的なメタファーである。；冒頭には、その神社について知っておくべき最も重要な事項を記述します。；冒頭や後述の路線データに示す3つの路線から構成されている。；冒頭でサルやモンキーの定義を述べるのに使った系統を以下に示す。；冒頭で挙げた定義文以外に、自転車の定義には、たとえば次のようなものがある。；番組の冒頭では、まず出場者たちが週替わりの体を張ったゲームに参加した。；シリーズ初の要素としてはもう一つ、冒頭部分の変更が行なわれた。；冒頭で述べたように緊急警報放送は以下の条件のいずれかに該当する場合に行われる。；単発の作品のため、冒頭にダイジェストでテレビ版の内容が語られた。；一時期は番組の冒頭で、当日の出演歌手全員が揃って出てきていた。</t>
        </is>
      </c>
      <c r="J7684">
        <f>HYPERLINK("https://www.weblio.jp/content/冒頭", "词义详情")</f>
        <v/>
      </c>
      <c r="K7684">
        <f>HYPERLINK("https://yourei.jp/冒頭", "查看例句")</f>
        <v/>
      </c>
    </row>
    <row r="7685">
      <c r="A7685" t="inlineStr">
        <is>
          <t>防犯</t>
        </is>
      </c>
      <c r="B7685" t="inlineStr">
        <is>
          <t>成功</t>
        </is>
      </c>
      <c r="C7685" t="inlineStr">
        <is>
          <t>読み方：ぼうはん
犯罪を防ぐこと。「—ベル」</t>
        </is>
      </c>
      <c r="D7685" t="inlineStr">
        <is>
          <t>防犯上(10%)；防犯用(5%)；防犯課(5%)；防犯協会(4%)；防犯ベル(4%)</t>
        </is>
      </c>
      <c r="F7685" t="inlineStr">
        <is>
          <t>防犯オリエンテーション；防犯展覧；防犯連絡；防犯体制；防犯効果</t>
        </is>
      </c>
      <c r="G7685" t="inlineStr">
        <is>
          <t>防犯ブザー；防犯対策；防犯設備；防犯灯；防犯意識</t>
        </is>
      </c>
      <c r="H7685" t="n">
        <v>29</v>
      </c>
      <c r="I7685" t="inlineStr">
        <is>
          <t>私も防犯センサーのことばかり考えて、日々を送っているわけではない。；ビデオも出版されており、主な内容はサバイバル関連や防犯などである。；この方法は外食産業等でも使われる手法で、防犯効果もあるとされている。；建築中のビルや家などを風よけや防犯などのために覆うあのシートだ。；防犯板に否定的な事業者を中心に煙幕発生装置を設置している場合もある。；かなめのマンションも少し前に工事を行って、防犯装置を取り付けていた。；帰って来たのが九時頃で、隣人が防犯ベルのことを通報したのが十一時。；内側には防犯用チェーンが装備されてあるが、これはかけてなかった。；こんなこと、町内会の防犯部に何言ったって始まる話じゃあるまいしねえ。；一抹の防犯効果を狙って、電気を終日つけっぱなしにしているのだろう。；実直な防犯課長は、まだ資料の山ととっくみあいをしているようだった。；警視庁少年防犯関係者も「大したことはない」と問題視していなかった。；防犯上の理由から、外から中には入れない仕組みになっているのだ。；南城は律義にすべての部屋の様子を覗いたのち、防犯ロックを仕掛けた。；ピンタンブラー錠の機構を高度にしたもので、一般的に防犯性は高い。；もちろんご存じでしょうが、店にはすっかり防犯装置ができとります。；アパートの防犯についてはしばらくあのまま放っといても大丈夫だろう。；一般家庭では防犯や雑草の生育を阻害する目的で用いられることがある。；新城先生に紹介してもらった、防犯コンサルタントなんだけど、優秀よ。；居住者の名前の表記がないが、これは防犯上の理由によるものだろう。；目の粗い、防犯上からみれば何の役にも立ちそうにない格子造りの門がある。；自主防犯活動を行うにあたり、申請の際は次の各項を満たす必要がある。；ただ実際は警察業務に防犯も含まれていることから、やや揶揄的意味が含まれる。；屋上階には停止しないというシステムも、防犯上の事情から実行されている。；防犯装置などの交換をさせたことを言っているのだ。；初期からあった防犯用センサーは、窓や扉の開閉を感知するものであった。；地下式でありながらガラス屋根のため明るくなっており防犯効果も高めている。；もし殺人なら、防犯課の担当ではないが、宮島は今夜の宿直主任なのだ。；このアパートは建物は古いが、鍵だけは防犯性に優れた最新のものが使用されている。</t>
        </is>
      </c>
      <c r="J7685">
        <f>HYPERLINK("https://www.weblio.jp/content/防犯", "词义详情")</f>
        <v/>
      </c>
      <c r="K7685">
        <f>HYPERLINK("https://yourei.jp/防犯", "查看例句")</f>
        <v/>
      </c>
    </row>
    <row r="7686">
      <c r="A7686" t="inlineStr">
        <is>
          <t>褒美</t>
        </is>
      </c>
      <c r="B7686" t="inlineStr">
        <is>
          <t>成功</t>
        </is>
      </c>
      <c r="C7686" t="inlineStr">
        <is>
          <t>読み方：ほうび
１ほめて与える金品。褒賞。「—をとらせる」
２ほめること。褒賞。
「あまり及ばぬ風体(ふうてい)のみなれば、又諸人の—欠けたり」〈花伝・五〉</t>
        </is>
      </c>
      <c r="D7686" t="inlineStr">
        <is>
          <t>褒美として与えられ；褒美画像；褒美金；褒美をとらせる；褒美をやろう</t>
        </is>
      </c>
      <c r="E7686" t="inlineStr">
        <is>
          <t>利益；報酬；賞金；特典；メリット</t>
        </is>
      </c>
      <c r="F7686" t="inlineStr">
        <is>
          <t>御褒美；莫大な褒美</t>
        </is>
      </c>
      <c r="H7686" t="n">
        <v>29</v>
      </c>
      <c r="I7686" t="inlineStr">
        <is>
          <t>一か月以上放っておいたのだから、少しくらいの褒美をやるのは当然だ。；人の幸せを願うことができた人にだけ与えられる天からのご褒美です。；それも自分で出かけていって、褒美の女を奪いとっておさえているのさ。；彼らは海戦をフランスの勝利と報告したことで王から多くの褒美を得ていた。；そして待ち抜いたご褒美にお零れと機会が巡り、一人の人間は選ばれた。；受注したクエストを遂行・達成することでご褒美が得られることがある。；このとき天皇は無端事を問うので正しく答えれば褒美を与えると言った。；そんな地獄のような日々にも、ご褒美を手にする瞬間というのは必ずある。；しかし、実際に働いてみると結果を出し、翌年には褒美までもらっている。；わたしより早い人がいたら、褒美にこの身を妻としてさしあげましょう。；だが、どうだな、彼にふさわしいように二等の褒美をやろうではないか。；今目一日のご褒美のケーキ一切れ、別のことに賭けた方がよさそうだ。；あたしを無事にかれのもとに返してくれたら、うんと褒美をあげましょう。；すぐに少年は大人しく従い、ご褒美を抱いて背中でドアを静かに閉めた。；あっぱれに思った王は、男にメロンを献上した褒美をたくさん持たせた。；全部のご褒美獲得ゲームに勝利し、罰ゲームを一度も受けずに優勝となった。；フェルナンの姿を認めた王は彼に褒美は何が欲しいかと質問する。；というのはあれのもらった褒美を、自分が奪っておさえておりますので。；主人が余計に食べて犬には噛み切れないような固いところを御褒美にやる。；いきなり一人目のボスを倒すと、お金かいかさまカードのご褒美がある。；一部始終を袁紹に告げて、わずかな褒美をもらって姿をくらましていた。；おかげで井深は、その玩具を褒美にもらい意気揚々と帰って来たという。；さうすれやそいつを潰ぶして銭にした上に褒美の酒手が貰へるつて訳だ。；誇りは自分の心に忠実に行動した者だけに与えられる天からのご褒美なのです。；計算結果があっていればご褒美に鳥の卵がもらえ、間違えればミスとなる。；誰もが喜んで他の者にその褒美とやらを取らせようとしていた。；彼らは自由を与えられ、うまくいけば褒美をもらえるのではないかと期待した。；十五年も書き続けてきたのだもの、自分で自分に褒美をあげてもいいではないか。；もしあの児を助けたら、神様はきっと何かの褒美を下さるに違いない。</t>
        </is>
      </c>
      <c r="J7686">
        <f>HYPERLINK("https://www.weblio.jp/content/褒美", "词义详情")</f>
        <v/>
      </c>
      <c r="K7686">
        <f>HYPERLINK("https://yourei.jp/褒美", "查看例句")</f>
        <v/>
      </c>
    </row>
    <row r="7687">
      <c r="A7687" t="inlineStr">
        <is>
          <t>豊富</t>
        </is>
      </c>
      <c r="B7687" t="inlineStr">
        <is>
          <t>成功</t>
        </is>
      </c>
      <c r="C7687" t="inlineStr">
        <is>
          <t>読み方：ほうふ
［名・形動］豊かであること。ふんだんにあること。また、そのさま。「—な天然資源」「—な知識」
[派生]ほうふさ［名］</t>
        </is>
      </c>
      <c r="D7687" t="inlineStr">
        <is>
          <t>豊富な経験；豊富な資金；豊富な知識；豊富な運動量；豊富な水量</t>
        </is>
      </c>
      <c r="E7687" t="inlineStr">
        <is>
          <t>多く；大きい；たくさん；大量；充分</t>
        </is>
      </c>
      <c r="F7687" t="inlineStr">
        <is>
          <t>栄養豊富；豊富かつ；豊富な観光資源；豊富な森林資源；豊富な湯量</t>
        </is>
      </c>
      <c r="G7687" t="inlineStr">
        <is>
          <t>豊富村；豊富温泉；豊富駅；豊富バイパス；豊富な直線束</t>
        </is>
      </c>
      <c r="H7687" t="n">
        <v>29</v>
      </c>
      <c r="I7687" t="inlineStr">
        <is>
          <t>淡水は比較的に豊富で東湾に注ぐ川の他、いくつかの小河川が見られる。；州内の豊富な歴史と南北戦争後の雰囲気が多くの文学作品を生んできた。；ガニメデの後行半球は二酸化硫黄が豊富に存在しているように思われる。；かつて繊維産業が多かったのも豊富な地下水を生かしてのものであった。；市内にはこの豊富な水を利用した大規模工場や水田地帯が多くある。；海岸地帯の料理にはセビッチェのように魚介類を豊富に使った料理が多い。；都市部の中小企業に就職したかれらの豊富な労働力が日本経済を支えた。；海に囲まれているため魚介類も豊富で、魚やエビなどを使った料理も多い。；守備においては技術よりも、豊富な運動量や視野の広さが重視される。；この付近は地下水が豊富で古くからの日本酒の名産地として知られている。；その埋蔵量は陸地および州領域に入る海面下で豊富に発見されている。；最後の階では、豊富な記録写真で描かれる工場の歴史が詳しく紹介されている。；この遺跡は遺構が豊富であり、比較的探索しやすいと考えられていた。；この地から豊富な金や銀などが産出するとスペイン人の植民が進んだ。；BDNFは中枢神経に特に豊富で、神経活動依存的に合成・分泌される。；農園のある地域では籠の材料の種類も豊富で、籠編み技術にも影響を与えた。；上記のように、酸味がまったくないのにビタミンCが豊富な食品も多い。；一般に海は生物相が豊富であり、海水に起源のある湖は豊富な生物相を持つ。；この高い農業生産力を支えているのは豊富な黄河の水である。；次に酸素を豊富に含んだ後気嚢内の空気が後方から肺管に送り込まれる。；パプアニューギニアは、世界で最も言語の豊富な国といわれている。；そのボディのコンパクトさにもかかわらず、装備も非常に豊富である。；メリーランド州は東海岸にある州と同様に植物が豊富で繁殖している。；栄養的にも優れ、特にビタミンCが豊富に含まれていることが知られている。；また、豊富な工業用アタッチメントの一部や工業用ミシン針が利用出来る。；土佐は木材が豊富だったことから、かなり細則に及ぶ規律が定められた。；また豊富な水資源自体も工業、特に半導体産業等に有利となっている。；特に色の豊富なバリエーションはロシア正教会で整備されていった。；技術レベルは非常に高く、日本のみならず、海外での演奏活動の実績も豊富である。</t>
        </is>
      </c>
      <c r="J7687">
        <f>HYPERLINK("https://www.weblio.jp/content/豊富", "词义详情")</f>
        <v/>
      </c>
      <c r="K7687">
        <f>HYPERLINK("https://yourei.jp/豊富", "查看例句")</f>
        <v/>
      </c>
    </row>
    <row r="7688">
      <c r="A7688" t="inlineStr">
        <is>
          <t>方法</t>
        </is>
      </c>
      <c r="B7688" t="inlineStr">
        <is>
          <t>成功</t>
        </is>
      </c>
      <c r="C7688" t="inlineStr">
        <is>
          <t>読み方：ほうほう
１目標に達するための手段。目的を遂げるためのやり方。てだて。
２哲学で、真理に到達するための考えの進め方。
→手段［用法］</t>
        </is>
      </c>
      <c r="D7688" t="inlineStr">
        <is>
          <t>方法論；方法学派；方法乃至</t>
        </is>
      </c>
      <c r="E7688" t="inlineStr">
        <is>
          <t>手；部分；技術；法；方式</t>
        </is>
      </c>
      <c r="F7688" t="inlineStr">
        <is>
          <t>操作方法；同じ方法；表現方法；様々な方法；何らかの方法</t>
        </is>
      </c>
      <c r="G7688" t="inlineStr">
        <is>
          <t>方法論的個人主義；方法序説；方法的懐疑；方法詩；方法論争</t>
        </is>
      </c>
      <c r="H7688" t="n">
        <v>29</v>
      </c>
      <c r="I7688" t="inlineStr">
        <is>
          <t>かつては人間側の用途で分類する方法もしばしば用いられたことがある。；表面にマグネタイトを形成する方法が一般的だがまったく充分ではない。；また、文字を表形式にして扱う方法も古くから存在し、利用されてきた。；この仮想機械方式による の実行方法は の言語仕様にも含まれている。；分類方法はさまざまであるが、たとえば以下のように分類する方法がある。；そのため、以下に示すような非摂動論的な方法も、並行して用いられる。；リフレッシュを行う行アドレスを指定するには、次のような方法がある。；単純な方法は導出過程の途中の文字列を全て書き出していく方法である。；彼は実解析の大部分を可述的な方法だけを用いて展開できることを示した。；能力の証明を用いたで代表的なものは、電子署名を用いた方法である。；平安時代には朝廷は儀式で使う金品を折った紙で包む方法を定めていた。；本作ではこの方法で敵を踏みつけるのが最も基本的な攻撃方法となる。；宇宙の誕生から現在までの経過時間は様々な方法やモデルに基づいて計算されている。；固定化とは、工業用酵素を土台となる物質に固定して用いる方法である。；やがてこの選出方法は1356年の金印勅書で法制化されることになる。；頻繁に操作しているデータも同様の方法でそこに格納されている。；フランシス・ベーコンは知識獲得の方法の発展に重大な貢献をした。；この定義は、計算可能性を定義する多くの方法のうちのひとつである。；この方法には様々なものが存在するが、実用的にはインコ法が主流である。；彗星の発見数が増加してくると、この方法の運用に綻びが生じてきた。；「ところがある日、彼の身に不幸なイベントが発生します」 ほうほう。；苦しみを和らげるために、あらゆる方法を取ることは全く問題がない。；これらは制御方法が異なるため、それぞれ別のドライバが必要である。；梟は大人に教わったようにほうほうと鳴くわけではないことに気づいた。；旅の分類と言ってもさまざまな方法があるが、例えば次のような分類が可能である。；そこで、ある方向を定め、そちらを向いた時の左右で指定する方法がある。；西洋の方法での予測が的中し見える位置、時刻ともに正確であった。；この族は元素を分類する上で最も重要な方法と考えられている。；この問題を回避する伝統的な方法として、以下のようなものがある。</t>
        </is>
      </c>
      <c r="J7688">
        <f>HYPERLINK("https://www.weblio.jp/content/方法", "词义详情")</f>
        <v/>
      </c>
      <c r="K7688">
        <f>HYPERLINK("https://yourei.jp/方法", "查看例句")</f>
        <v/>
      </c>
    </row>
    <row r="7689">
      <c r="A7689" t="inlineStr">
        <is>
          <t>方々</t>
        </is>
      </c>
      <c r="B7689" t="inlineStr">
        <is>
          <t>成功</t>
        </is>
      </c>
      <c r="C7689" t="inlineStr">
        <is>
          <t>読み方：かたがた
［名］
１（方方）「人々」の敬称。かたたち。「お世話になった—」
２あちこちの貴人の部屋。
「あまたの御—を過ぎさせ給ひて」〈源・桐壺〉
３いろいろの方角・場所。また、いろいろの方面の事柄。あちらこちら。ほうぼう。あれこれ。
「男君達はみな、…—に流され給ひて」〈大鏡・時平〉
［代］尊敬の意を含んだ二人称の人代名詞。本来は複数をさすが、単数にも用いる。
１あなたがた。みなさん。
「—は定めて聞き及ばせ給ひたる事も候ふらん」〈太平記・五〉
２あなた。
「—のお名をば何と申すぞ、と問へば」〈虎清狂・鈍根草〉
［副］
１いろいろなことをするさま。あれこれ。さまざま。なにやかや。
「私の御事をし給はむと、—劣らずしつらはれて」〈宇津保・沖つ白浪〉
２いろいろの所へ向かうさま。あちこち。ほうぼう。
「—に鳴きてわかれし群鳥(むらどり)の古巣にだにも帰りやはする」〈風雅・雑下〉
３いろいろのことを考え合わせるさま。いずれにしても。どっちみち。
「かれと言ひこれと言ひ—難治の様にて候」〈平家・一〉
［接］二つ以上の事実、状態が併存することを表す。一方で。さらに。
「代々武道の御心がけ深くおわしまし、—、歌道茶事までも」〈鴎外・興津弥五右衛門の遺書〉
［接尾］
１動作性の意をもった名詞に付いて、二つの動作を兼ねて行う意を表す。…のついでに。…がてら。…を兼ねて。「食後の運動—散歩する」「墓参—帰省する」「ご挨拶—お礼まで」
２物事を表す名詞に付いて、そのことがあれやこれやとあっての意を表す。
「そんな事—で、私の著訳書は…古風な人の気に入る筈はない」〈福沢・福翁自伝〉
[補説]、は多く「旁」と書く。また、1は「旁旁」とも書く。</t>
        </is>
      </c>
      <c r="D7689" t="inlineStr">
        <is>
          <t>方々探し；方々歩い；方々歩き；方々捜し；方々案内</t>
        </is>
      </c>
      <c r="F7689" t="inlineStr">
        <is>
          <t>若い方々；所々方々；諸々方々；立派な方々；おられる方々</t>
        </is>
      </c>
      <c r="H7689" t="n">
        <v>29</v>
      </c>
      <c r="I7689" t="inlineStr">
        <is>
          <t>障がい者の方々の地域移行をサポートする仕事を、地域移行支援と呼ぶ。；その後は方々の新聞社において記者生活をした後、小説を執筆し始めた。；運営は、活動を応援する法人・個人の多くの方々からのサポートによる。；実は鶴子は方々から縁談があるけれど、何処へも行かないと言っている。；この女の先生はスミレ学園につとめているが、方々の学校へもよく来る。；わしらは三十どころでないのであるから、頭も最も古い方々に属する。；それに気づくと、みんなは急に思い出したように方々から彼を呼びとめた。；ところが骨は方々に散ってしまった様子で容易に何ものも発見できなんだ。；又それがこの道にたずさわる方々の私に期待されるところかと存じます。；遊んだ女性がたまたまそういうヤンチャな方々の女性だったらしくて。；そこで方々に借金をして自転車修理工場を開き、新たな事業を始めた。；空の方々に散在していたきれぎれの雲は、どこかへ消え失せてしまった。；とにかく一風変りものであるがために、彼は方々の家へ招かれて行つた。；私は一秒一秒自分の命もここにいられる方々の命も危険に曝しているのだ。；方々の家の門に立つても一文の錢だつて容易に惠んでくれるものではない。；正直なかれは、この機会に方々の小さい借金を返してしまおうと思った。；それらは部分的ではあったが、方々で勝手に破壊されていった。；教師や教師を目指す方々は一度は学芸図書の本を開いたことがあるといわれている。；その基地といっても、一国に一箇所では目に立つからというので、方々に分けた。；そういう生徒さんの作った問題が、会場の方々に陳列されています。；お医者の方々はお兄様のお話を聞くために超満員だったといいました。；わしがお前のように方々飛び廻りたく思わないのは何故だろうな。；方々に借りができたのを、自分で形をつけたつて、さう云つてやつたのよ。；同時に、地域の方々の理解を得るための活動を今後も続けたい。；先生方は、孤独者の人生の遍歴について、誰よりも理解の深い方々です。；あなた方花に深い関心をお持ちになる方々の考へるべき事です。；ただし家族の方々は庭に毛布を敷いて露宿の準備をしておられる。；まず最初に、編集者の方々に知っておいていただきたい大切な事柄を。；順治は俺が考えた通り、方々の女と遊んでいたが、ズブの素人も一人いた。</t>
        </is>
      </c>
      <c r="J7689">
        <f>HYPERLINK("https://www.weblio.jp/content/方々", "词义详情")</f>
        <v/>
      </c>
      <c r="K7689">
        <f>HYPERLINK("https://yourei.jp/方々", "查看例句")</f>
        <v/>
      </c>
    </row>
    <row r="7690">
      <c r="A7690" t="inlineStr">
        <is>
          <t>葬る</t>
        </is>
      </c>
      <c r="B7690" t="inlineStr">
        <is>
          <t>成功</t>
        </is>
      </c>
      <c r="C7690" t="inlineStr">
        <is>
          <t>読み方：はぶる
［動ラ四］《「はふる」とも》
１死者を埋葬する。ほうむる。
「神(かむ)—・り—・りいませて」〈万・一九九〉
２火葬にする。
「薪を積みて—・りて、上に石の卒塔婆を立てけり」〈著聞集・二〉</t>
        </is>
      </c>
      <c r="D7690" t="inlineStr">
        <is>
          <t>葬るべき(2%)；葬るべく；葬るよう遺言；葬るべし</t>
        </is>
      </c>
      <c r="E7690" t="inlineStr">
        <is>
          <t>埋葬；忘れる；埋める；忘却；葬り去る</t>
        </is>
      </c>
      <c r="H7690" t="n">
        <v>29</v>
      </c>
      <c r="I7690" t="inlineStr">
        <is>
          <t>私も彼を自分の子供同様に葬ってやりたかったが、それが出来なかった。；それを何の知らせもないままに芽生えたばかりの生命を闇に葬ったのだ。；彼女を葬って以来、こんなことを考えるのも感じるのも初めてのことだ。；どちらにしてもオレンジベルグは死者を葬るためのところではないのだ。；葬れないにしても、彼の名声に泥をかけることくらいはできるだろうと。；そこでもとの場所へ、その首をかえして、体と一緒に葬ろうと決心した。；ところが、悪魔は完全には葬りさられていないことが明らかになった。；そして私達はもはや私達の過去は永久に葬り去られたものと信じていた。；あえて礼をもって葬ろうとする者は、罰さえ受ける覚悟が必要であった。；そんなことになったらたいへんだから、あたしの手で葬ってやりましょう。；僕は霊魂不滅の説を信じないが、死者は鄭重に葬るべきだと思っている。；だが、もしも少しでも僕が変わっていたら、あの文書を闇に葬るだろう。；周囲の人たちもただ安らかに葬ってあげたい気持ちでいっぱいであろう。；けれども地球の氷雪の下に人間の文明を葬るのは六百万年の後ださうである。；彼等は彼等の謬見のために二人の将来ある人を葬り去つたことになるのだ。；同寺は家康の外祖母である華陽院や家康の五女である市姫の葬地である。；それを闇に葬った上での平和なんて、それこそ罪深い欺瞞でしかないわ。；ガロアの遺体は別の共同墓地に葬られ、現在は正確な位置が不明である。；城外には多くの遺体が散乱していたが、神儁はこれらを収容して葬った。；そういう具合に葬むられた自分も早桶の中であまり窮屈な感じもしない。；死亡した当日に葬ったことと、陵地・陵戸がないことは、他に例が無い。；この罪を清算するためにも、僕は自分の生命を自分で葬る決心をした。；戦場に立てば何千何万の生霊を、一日で葬ることさえあるじゃないか。；この死んで生まれた子を葬るために、彼は大へんなお金を使ったわ。；同時に731の秘密を闇に葬るための膨大な証拠の隠滅作業が始まった。；それとも本気で、神を餓死させるつもりで人を葬っていたのだろうか。；生は歴史を生あらしめるものであると同時に、歴史を葬るものも生である。；私を発見された方は、どうぞ、私の身体と一緒に、これを葬って下さい。；普通の人間には何の効果もないが、相手が聖人なら一撃で葬る力を誇る。</t>
        </is>
      </c>
      <c r="J7690">
        <f>HYPERLINK("https://www.weblio.jp/content/葬る", "词义详情")</f>
        <v/>
      </c>
      <c r="K7690">
        <f>HYPERLINK("https://yourei.jp/葬る", "查看例句")</f>
        <v/>
      </c>
    </row>
    <row r="7691">
      <c r="A7691" t="inlineStr">
        <is>
          <t>訪問</t>
        </is>
      </c>
      <c r="B7691" t="inlineStr">
        <is>
          <t>成功</t>
        </is>
      </c>
      <c r="C7691" t="inlineStr">
        <is>
          <t>読み方：ほうもん
［名］(スル)人をたずねること。他人の家などをおとずれること。「友人宅を—する」「会社—」</t>
        </is>
      </c>
      <c r="D7691" t="inlineStr">
        <is>
          <t>訪問する(10%)；訪問者；訪問しよ；訪問団；訪問記</t>
        </is>
      </c>
      <c r="E7691" t="inlineStr">
        <is>
          <t>訪れ；訪れる；見物；面会；視察</t>
        </is>
      </c>
      <c r="F7691" t="inlineStr">
        <is>
          <t>相互訪問；公式訪問；親善訪問；外国訪問；中国訪問</t>
        </is>
      </c>
      <c r="G7691" t="inlineStr">
        <is>
          <t>訪問客；訪問先；訪問販売；訪問着；訪問看護</t>
        </is>
      </c>
      <c r="H7691" t="n">
        <v>29</v>
      </c>
      <c r="I7691" t="inlineStr">
        <is>
          <t>公務であっても外国訪問の場合にはこれらの服を着ていくこともあった。；最初の訪問国であるケニアは夫の北朝鮮訪問を質問されることになった。；多くの場合、彼は現在の協力者に次にどこを訪問すればよいか尋ねていた。；街で見かけた気になる奥さんの夫を訪問するバラエティー番組である。；社会的に死を迎えているヨブを訪問する行為は賞賛に値する行為である。；この後、女王は十数回にわたり、オーストラリアを訪問することとなる。；また地域貢献の一環として、小学校での訪問授業をこの時期開始した。；また2017年にチームを訪問すると、ファンから大きな歓迎を受けた。；この頃、日本を訪問したアメリカ人によって日本に野球が伝えられた。；県外からの上五島訪問には長崎港からのジェットフォイルの利用がよい。；欧米諸国の王族が日本を訪問したのはこの時が初めてとされている。；この訪問は、日本とインドの首相が相互訪問を行うきっかけとなった。；同年の皇太子夫妻のポルトガル訪問にも夫妻は別々に寝所をとっている。；同年の王太子夫妻のポルトガル訪問にも夫妻は別々に寝所をとっている。；駅移転後も遺跡・覆屋はそのまま残され、県道側から訪問可能である。；一方では、合計372万人のチリ人が、2011年に他の国を訪問した。；晩年にも孫たちの訪問をなによりも喜び、孫たちの方からも愛される祖父だった。；その後には林道妙高線が開通し、自動車での訪問が容易になった。；客人として訪問した際には、食べきれないほどの料理が出てくることが多い。；労働党のモスクワ訪問中にウラジーミル・レーニンに会ったことがある。；さらに、同番組の放送期間中に、番組の企画を兼ねて残り2県を訪問した。；その結果、バーティは11月6日にロシアを訪問することになった。；チャーチルはとにかく明日にもパリを訪問することを約束した。；オバマは同国では育てられていないが、過去にケニアを数回訪問している。；高校の先輩である秋本治の仕事場を訪問したこともあったという。；海外では美容師は通常は美容院で働くか、顧客の自宅を訪問している。；民間人はツアーに参加しなければ、板門店を訪問することはできない。；その店は問屋からガチョウを買ったということなので、問屋も訪問した。；ドイツ兵は親睦だけでなく監視も兼ねて帝国総領事館を訪問したものと思われる。</t>
        </is>
      </c>
      <c r="J7691">
        <f>HYPERLINK("https://www.weblio.jp/content/訪問", "词义详情")</f>
        <v/>
      </c>
      <c r="K7691">
        <f>HYPERLINK("https://yourei.jp/訪問", "查看例句")</f>
        <v/>
      </c>
    </row>
    <row r="7692">
      <c r="A7692" t="inlineStr">
        <is>
          <t>坊や</t>
        </is>
      </c>
      <c r="B7692" t="inlineStr">
        <is>
          <t>成功</t>
        </is>
      </c>
      <c r="C7692" t="inlineStr">
        <is>
          <t>読み方：ぼうや
《「や」は接尾語》
１幼い男の子を親しんでいう語。江戸時代は男女両方に用いた。
２世なれていない若い男を親しんで、または軽んじていう語。「いつまでたっても—で困る」</t>
        </is>
      </c>
      <c r="D7692" t="inlineStr">
        <is>
          <t>坊やたち；坊やちゃん；坊やみたい；坊や人形；坊や達</t>
        </is>
      </c>
      <c r="E7692" t="inlineStr">
        <is>
          <t>子；子供；息子；少年；息</t>
        </is>
      </c>
      <c r="F7692" t="inlineStr">
        <is>
          <t>ヘアトン坊や；可愛い坊や；小さな坊や；セヴェリアン坊や；バーデル坊や</t>
        </is>
      </c>
      <c r="H7692" t="n">
        <v>29</v>
      </c>
      <c r="I7692" t="inlineStr">
        <is>
          <t>それに今は、この小さな坊やを安心させてやるのが一番だと思いますが。；あと一〇年もして、坊やがいい男になったら、名前を呼ばせてもらうわ。；でも、坊やがこいつの面倒をよく見て、ちゃんとしつけをすればだがね。；しかし夫には、坊やに心をうごかされるようなものは何もなかったのだ。；あの坊やがどれだけの速さで成長するか、本当に楽しみにしているんだ。；あたしと坊やのためにまた一緒に暮すようになった母が店にいました。；坊やがいたら、母親をなくして、ここであの子はどうすることでしょう!；「坊や」と呼ばれるような年齢のうちには、やはり死にたくないものだ。；坊やちゃんもなかなか自信家だから容易に姉の云う事なんか聞きそうにしない。；単なる天才パイロットの坊やから何か別のものに変わる過程のようだ。；あの女の好みからいって、坊やのような若い相手では気がすすまないのだ。；そこへ婢やが、竹籠と白いずつくの坊やの鞄を持つて息せき切つて来る。；坊やがその子と友達だったなら、とっくに知ってるはずじゃないのかね?；坊やは細い手でキャンデーの入った透明な袋をしっかりとにぎっている。；それを見てわたしが坊やか何か抱いてる写真を探してくださらない?；というより、こっちの坊やは家に電話をかけた方がいいんじゃないか?；なにしろ気を失っている坊やをタクシーに乗せるわけにはいかないからね。；ほんの一分でもいいから、坊やを呼びもどすことはできないだろうか?；私はその坊やに教わって粉焼きをはじめたが、最初はどうもできが悪い。；「ここに来て寝るのよ、坊や」二人は、大きなベッドで並んで横になる。；ぼうや、最初に覚えなければならないのはおまえの言葉をつつしむことだ。；「ドアをしめて、ぼうや」かれを待っていた端正な顔だちの男が言った。；気がついてみると、目の前に、死んだ坊やがいるではありませんか。；敬虔なキリスト教信者の坊やたちはどんなサッカーをするのだろうか。；もしかしたら、ミツバチぼうやの姿が見えるかもしれないと思ったのだ。；坊やが直接村上ちゃんに対してケリをつけたなら、俺の出る幕はないよ。；その坊やは布帯で姉の小さな背中に結びつけられているのである。；「そうともいえるし、そうでないともいえるわね、坊や」養母はいった。；それからふと思い出したように、坊やを連れて来てくれと云った。</t>
        </is>
      </c>
      <c r="J7692">
        <f>HYPERLINK("https://www.weblio.jp/content/坊や", "词义详情")</f>
        <v/>
      </c>
      <c r="K7692">
        <f>HYPERLINK("https://yourei.jp/坊や", "查看例句")</f>
        <v/>
      </c>
    </row>
    <row r="7693">
      <c r="A7693" t="inlineStr">
        <is>
          <t>放り込む</t>
        </is>
      </c>
      <c r="B7693" t="inlineStr">
        <is>
          <t>成功</t>
        </is>
      </c>
      <c r="C7693" t="inlineStr">
        <is>
          <t>読み方：ほうりこむ
［動マ五（四）］投げて中に入れる。勢いよく、または無造作に入れる。「紙くずをごみ箱に—・む」「暴漢を留置場に—・む」</t>
        </is>
      </c>
      <c r="D7693" t="inlineStr">
        <is>
          <t>投げ込む；投げ入れる；放り入れる</t>
        </is>
      </c>
      <c r="H7693" t="n">
        <v>29</v>
      </c>
      <c r="I7693" t="inlineStr">
        <is>
          <t>いきなり知らない人だらけの所へ放り込まれて不安じゃなかったですか?；誰かが放り込んでいったのであろうが、いつ来たのかは全く分からない。；おれは頭ン中にどじょうを放り込まれたみたいに訳がわからなくなった。；逃げるエネルギーをためたいために、なんでも口の中に放り込みました。；植物や土や川の話なんか出来ないような場面に放り込んでやりたかったの。；とあれば、この発煙筒はビルの外から放り込まれたと判断するしかない。；一発目を放り込んでから相手が動かなくなるまでが、恐ろしいほど速い。；何かのとき、その檻の中に人を放り込んで、外から鍵を下ろしてしまう。；監獄で私達を保護するものは、私達を放り込んだ人間以外にはないんだ。；その夜は風呂に入れてもらい、今まで着ていた服は洗濯機に放り込んだ。；この紙目掛けて物を放り込むと、紙の中に吸い込まれて絵のようになる。；何人かの死体が実際にそこに放り込まれたことを彼は知っていた。；仕事から帰るとその日着た制服をまるめて二槽式の洗濯機に放り込んだ。；一行の武器は奪われることもなくまとめて放り込まれていたのだ。；突然レースに放り込まれてルールもわからないまま走らされた気分だ。；残りのほとんども捕虜となり監獄に放り込まれた後に殺害されることになる。；そしていつかは焼かるべきこの紙片を火の中に放り込んでしまうことだ。；駐車場の車のそばまで押して行くと、品物を座席へ次々に放り込んだ。；あまりにも正直すぎたため魔女の怒りを買い、蔵に放り込まれてしまった。；白けた気持ちで残り一口の貴重なバナナオムレットを口の中に放り込む。；あいつは、わたしが放り込んだここの主塔の中にいつまでもおいておくといい。；全部やると兄やたちの機嫌が悪くなるので、半分は己の口の中に放り込んだ。；子供動物園に同時に放り込んだら、結構なシーンが見られるのではないか。；自分がどこか違う世界に放り込まれたような感じがしていた。；残酷なのは、まだ男を知らない処女の設定で放り込まれた娘の場合だよね。；修羅の巷に放り込むには、心も体も、成熟しきっていないように思えた。；むしろ大きな磨臼を首にかけられて、海に放り込まれるほうがましだ。；洗濯物は少し前まで売っていた青いゴミ袋にまとめて放り込んである。；街では、若い娘がポストの前で拝むようにしてから手紙を放り込んだ。</t>
        </is>
      </c>
      <c r="J7693">
        <f>HYPERLINK("https://www.weblio.jp/content/放り込む", "词义详情")</f>
        <v/>
      </c>
      <c r="K7693">
        <f>HYPERLINK("https://yourei.jp/放り込む", "查看例句")</f>
        <v/>
      </c>
    </row>
    <row r="7694">
      <c r="A7694" t="inlineStr">
        <is>
          <t>放り出す</t>
        </is>
      </c>
      <c r="B7694" t="inlineStr">
        <is>
          <t>成功</t>
        </is>
      </c>
      <c r="C7694" t="inlineStr">
        <is>
          <t>読み方：ひりだす
［動サ五（四）］内部のものを体外に強く出す。「糞を—・す」</t>
        </is>
      </c>
      <c r="D7694" t="inlineStr">
        <is>
          <t>発射；追放；放棄；射撃；放出</t>
        </is>
      </c>
      <c r="H7694" t="n">
        <v>29</v>
      </c>
      <c r="I7694" t="inlineStr">
        <is>
          <t>彼は大きなベッドの上に帽子を放り出して、彼女のほうへ進んで行った。；最後には夢の世界からおっ放り出されるように現実の世界に戻ってきた。；通訳なしで言葉も習慣も異なる外国へ放り出されたような気分になった。；顔を上げて私と目が合うと、彼はボルトを放り出してそばへ寄って来た。；がそうかといって、誰の眼にもつく場所に放り出して置くのも不自然だ。；生まれて初めて、世界に裸で放り出されたような、よるべなさを感じた。；黒い猫なんて縁起が悪そうだし今のうちに窓から放り出してしまおうか。；でもそれは、本来人間がするべき義務を、放り出して遊んでいるだけだ。；そんなわけで、生徒会室から二人して一瞬で放り出されてしまいました。；この娘は人魚なんだから、嵐の海に放り出されても、死んだりしないわ。；外の世界の近くにいると、外の世界に放り出されるかもしれないわよ?；廊下に放り出しておくわけにもいかないんだし、それしかないんじゃない?；コウは仕事を途中で放り出すような性格ではないことは承知していた。；爆発力は密閉された車室の弱い部分に集中し、砲塔を空中に放り出した。；着換えも持たず、すべてを放り出していったいどうして生きているのだ。；彼らは闇の中に不安定な姿勢のまま放り出されているのに気がついた。；それはテーブルのどちらかといえばぼくの側よりに放り出してある。；かれは掌を合わせてその中で三枚をよく振り、デッキの上に放り出した。；メルキュールのことは心配だったが、任務を放り出すわけにもいかない。；しかもそいつだって彼とほとんどおなじような時期に放り出されてしまった。；それに気がついたらしく、ポワロはその包みを再び放り出してしまった。；どうにもならない転落の中間に、ぽつんと放り出された二人ではないか。；急にひとりで放り出されたような寂しさだけが、自分に寄り添っていた。；ステラが殺されて、裏口のドアから放り出されるのではないかと恐れた。；どちらかが血の証明をすれば、この嵐の中を放り出されずにすむんだ。；何が何だかわからないうちに、軍曹は自分の機体から放り出されていた。；母子で放り出すような結果になって、きっと恨んでいることだろうとね。；たった一人の人を、心のすべてを丸ごと放り出すみたいに想ってみたい。；私もまた度を失った悲鳴を上げ、手に取った頭蓋骨を放り出してしまった。</t>
        </is>
      </c>
      <c r="J7694">
        <f>HYPERLINK("https://www.weblio.jp/content/放り出す", "词义详情")</f>
        <v/>
      </c>
      <c r="K7694">
        <f>HYPERLINK("https://yourei.jp/放り出す", "查看例句")</f>
        <v/>
      </c>
    </row>
    <row r="7695">
      <c r="A7695" t="inlineStr">
        <is>
          <t>法律</t>
        </is>
      </c>
      <c r="B7695" t="inlineStr">
        <is>
          <t>成功</t>
        </is>
      </c>
      <c r="C7695" t="inlineStr">
        <is>
          <t>読み方：ほうりつ
１（ハフ‐）
㋐社会秩序を維持するために強制される規範。法。
㋑国会の議決を経て制定される法の一形式。
２（ホフ‐）
㋐仏陀の教えと定めたきまり。
㋑仏が制定した戒律。小乗戒や大乗戒などをいう。</t>
        </is>
      </c>
      <c r="D7695" t="inlineStr">
        <is>
          <t>法律第；法律実務；法律科；法律制定；法律改正</t>
        </is>
      </c>
      <c r="E7695" t="inlineStr">
        <is>
          <t>法；法令；条例；法制；法規</t>
        </is>
      </c>
      <c r="F7695" t="inlineStr">
        <is>
          <t>禁止する法律；新しい法律；関スル法律；規制する法律；制限する法律</t>
        </is>
      </c>
      <c r="G7695" t="inlineStr">
        <is>
          <t>法律事務；法律家；法律学科；法律的；法律学校</t>
        </is>
      </c>
      <c r="H7695" t="n">
        <v>29</v>
      </c>
      <c r="I7695" t="inlineStr">
        <is>
          <t>であるから漢初の法律は秦の法律を基本としていると考えて良いだろう。；しかしながら、発明の定義を法律の条文で明らかにしている国は少ない。；セルビアの法律と文化はローマとビザンツの基礎の上に打ち建てられた。；この法律はヴィシー政権の統治下にあるフランスの植民地にも適用された。；本法が法律として制定されるまで、以下のような主張と進行が行われた。；この報告書に基づく新たな規制は、開発途上国の法律に影響を与えている。；ただし法律以外の命令は議会の協賛無しでも政府が出すことができた。；捜査行為はすべて法律の規定の範囲内で行わなければならない。；また、標章を使用できるのは法律で定められた組織・団体に限られる。；モリヨンの名称が使用された最古の記録は1283年の法律文書だった。；裁判所に、法律が憲法に適合するか否か審査する権限が与えられている。；ムスリムが多数を占める地域・イスラム世界で現行している法律である。；のみならずこの3機関を通過した法律であっても大統領には拒否権があった。；その組織員は、市や郡の条例を含め州内全ての法律を執行する権限がある。；これに対して、大統領制の下では大統領の法律発案権は認められていない。；オーストリアでも同様の法律があり、取り締まりの対象になっている。；彼は不公正な法律に反対することはキリスト教徒の義務であると信じていた。；憲法裁判所は法律が憲法に違反しているか否かを審査する権限を有する。；国民の要件は憲法で定めている場合もあれば法律に委ねている場合もある。；は英語で書かれているものの、民法などの幾つかの法律はフランス語である。；当時は公安管轄の法律であり規制と罰則を中心とした内容であった。；紀元前111年に制定された法律では再びあらゆる再定住が禁止されている。；災害は法律で定義される場合もあるがその対象や規模は一律ではない。；しかし彼らは同じ法律、宗教、道徳の規範に従うことを期待されていた。；モルモン教徒が開いた州なので、政治、法律にもそれが影響している。；法律の定義以外にも、施設の収容人数・目的等によって様々な形態がある。；一夫多妻制は一般的には法律で禁止されているが、例外が存在する。；よって、法律や契約書もこれを意識しながら読むと、正しく理解できる。；現在独立している法律もかつては本法の一部を構成していた。</t>
        </is>
      </c>
      <c r="J7695">
        <f>HYPERLINK("https://www.weblio.jp/content/法律", "词义详情")</f>
        <v/>
      </c>
      <c r="K7695">
        <f>HYPERLINK("https://yourei.jp/法律", "查看例句")</f>
        <v/>
      </c>
    </row>
    <row r="7696">
      <c r="A7696" t="inlineStr">
        <is>
          <t>暴力</t>
        </is>
      </c>
      <c r="B7696" t="inlineStr">
        <is>
          <t>成功</t>
        </is>
      </c>
      <c r="C7696" t="inlineStr">
        <is>
          <t>読み方：ぼうりょく
１乱暴な力・行為。不当に使う腕力。「—を振るう」
２合法性や正当性を欠いた物理的な強制力。
[補説]書名別項。→暴力</t>
        </is>
      </c>
      <c r="D7696" t="inlineStr">
        <is>
          <t>暴力的(13%)；暴力沙汰(3%)；暴力性；暴力描写；暴力犯罪</t>
        </is>
      </c>
      <c r="E7696" t="inlineStr">
        <is>
          <t>乱暴；暴行；狼藉；暴挙；乱行</t>
        </is>
      </c>
      <c r="F7696" t="inlineStr">
        <is>
          <t>激しい暴力；過激な暴力；組織暴力；身体的暴力；政治的暴力</t>
        </is>
      </c>
      <c r="G7696" t="inlineStr">
        <is>
          <t>暴力的；暴力行為；暴力団員；暴力事件；暴力革命</t>
        </is>
      </c>
      <c r="H7696" t="n">
        <v>29</v>
      </c>
      <c r="I7696" t="inlineStr">
        <is>
          <t>両者の暴力停止が合意されたが、交渉再開は停戦継続を条件としている。；被害者に性的暴行はしていないが、極度に暴力を加えていることである。；Aの発言を反証するためには、暴力が好きでない男の存在を示せばよい。；また、拒否すると暴力を振るわれたりするなどの事件が発生している。；そして町の住民と衝突した際に、暴力を振るったために逮捕されてしまった。；暴力的な活動は是とせず、純粋に思想を平和的に推進する思想・理論保守。；暴力犯罪を抑制する最も効果的な方法は治療だと考えられている。；その一方で、本作の暴力的な表現が問題視され、常に論争の的となってきた。；また彼らはスピード・技術・暴力といったものへの愛を支持した。；ゲームの主題に同じく非常に暴力的な演出になるためアメリカではR指定になる。；このような経験から、女性に暴力を振るう男を異常に敵視する傾向がある。；しかしこれは植民者からの暴力をやめさせることはできなかった。；しかし、近年製作する映画では彼の暴力描写はかなり控え目になってきている。；子供らを1日14時間労働させ、食事も十分に与えず、暴力も加えていた。；彼らは暴力と戦争を、国家の再生や精神や活力を創造する行動であるとみる。；本人談によると、父親は妻に暴力をふるう男で、息子にも愛情がなかった。；また、暴力だけでなく、事故や治療による痛みまでも跳ね返してしまう。；この時期はアリンのキャリアの中でも、最も暴力に満ちあふれていた。；代わりにスピード・技術・暴力といったものへの愛を支持した。；力と暴力によって生きる権利を奪おうとしているのはだれなのか。；暴力描写の数々は、それまでの大地丙太郎作品とは全く異なる作風である。；ここで予想を破壊する、宿命も何も無い、もっと暴力的な図式を提示する。；村上の小説としては初めて、戦争等の巨大な暴力を本格的に扱っている。；暴力が発生していなかった幾つかの都市でもユグノー人口の顕著な減少が見られる。；単なる恋人からの暴力は保護命令の対象にはならない。；ポグロムは標的とされた人々に対する物理的な暴力と殺戮を伴っている。；このような話は、暴力的なエピソードと同様にヘッドラインを飾った。；歴史的に見て、暴力はいつの時代にも存在していたといえよう。；その後は暴力や陵辱がストレートな筆致で描写される作品も多くなる。</t>
        </is>
      </c>
      <c r="J7696">
        <f>HYPERLINK("https://www.weblio.jp/content/暴力", "词义详情")</f>
        <v/>
      </c>
      <c r="K7696">
        <f>HYPERLINK("https://yourei.jp/暴力", "查看例句")</f>
        <v/>
      </c>
    </row>
    <row r="7697">
      <c r="A7697" t="inlineStr">
        <is>
          <t>放る</t>
        </is>
      </c>
      <c r="B7697" t="inlineStr">
        <is>
          <t>成功</t>
        </is>
      </c>
      <c r="C7697" t="inlineStr">
        <is>
          <t>読み方：はなる
［動ラ下二］「はな（放）れる」の文語形。</t>
        </is>
      </c>
      <c r="D7697" t="inlineStr">
        <is>
          <t>置く；停止；中止；止める；終える</t>
        </is>
      </c>
      <c r="H7697" t="n">
        <v>29</v>
      </c>
      <c r="I7697" t="inlineStr">
        <is>
          <t>彼はすこしずつ降りはじめたボートに放りこむようにして彼女を入れた。；次々と銃を放ると、指示もしてないのに床に伏せて頭の上で手を組んだ。；中をあけ、目指すものが入っていないと分かると、他の人の近くに放る。；さうして同じ放館にゐるスポオツの好きな或る兄妹に夢中になつてゐた。；二階の窓から放り投げられた男の姿が、夜の暗がりの中に白くにじんだ。；野外では夜になると毎日のように放卵放精が行われるものと考えられる。；その鉤詰に左手をかけ、騎士長は一気に竜の背中へと自らを放り上げた。；自身最後のライブでギターを空中に放り投げてステージを後にした。；黙ってかれをコーヒー・ショップの中へ放りこんでしまうべきなんだ。；知られて困ることもないのだが、放二に家庭のある方が無難には相違ない。；そんな配慮を忘れなかったが、放二は裏をかかれたことを知らなかった。；遺体は発見当時、頭を下にして仰向けで放り投げられたように倒れていた。；わたしの欲望の方がかえってわたしの理性ほどには放埓でないのである。；こんなことを考えながらいつも警策や放禅鐘を気にしながら坐っていた。；最年長の少年二人が力を合わせて、巨大な蛇の頭部を空中高く放り投げた。；俺はその剣の柄を掴むと、目を丸くしている須郷に向かって放り投げた。；これ以上放ッておいては、一人の鼻介に十里四方が征服されたようなもの。；複素係数の場合にはその群は放物型メビウス変換からなる群に対応する。；こんなにワケのわからないことは、今まで言ったことのない放二であった。；それが怠慢や放埓の結果ではなく、勤勉な労働の結果であるからだろう。；混乱したまま僕は目に付くものをどんどん旅行鞄に放りこんでいった。；それから籠のなかへ放りこんで、あんたの家に持って行ったのです。；俺は新たにパンを、ふわっと空中に放りあげるようにして犬に与えた。；つぎに、男女二人がまるで投げ棄てられるようにボートへ放りこまれた。；若い男が、ゴルフのクラブを網棚に放りあげて、さし向いに席を占めた。；駒の移動は投げ棒や、しばしば指関節の骨を放る事によって決定された。；これは彼が金を返済した日、無頓着にそこに放りこんでおいたものである。；東京で再会したとき、二人にはもう「放」すことも残されていなかった。；そしてすぐに食堂の隣の便所へ入り、ジャケットと鞄を床に放り投げた。</t>
        </is>
      </c>
      <c r="J7697">
        <f>HYPERLINK("https://www.weblio.jp/content/放る", "词义详情")</f>
        <v/>
      </c>
      <c r="K7697">
        <f>HYPERLINK("https://yourei.jp/放る", "查看例句")</f>
        <v/>
      </c>
    </row>
    <row r="7698">
      <c r="A7698" t="inlineStr">
        <is>
          <t>ほうれん草</t>
        </is>
      </c>
      <c r="B7698" t="inlineStr">
        <is>
          <t>成功</t>
        </is>
      </c>
      <c r="C7698" t="inlineStr">
        <is>
          <t>読み方：ほうれんそう
ヒユ科の一・二年草。根は赤みを帯びる。4、5月ごろ、とう立ちして黄緑色の花が穂状につく。雌雄異株。代表的な葉菜の一。品種が多く、葉に切れ込みのある東洋種とない西洋種とに分けられる。アジア西部の原産で、菠薐はネパールの地名、または、ペルシアのことという。日本には16世紀ごろ中国から東洋種が渡来し、明治時代に米国から西洋種も導入。《季春》「しをらしや細茎赤き—／鬼城」→報連相</t>
        </is>
      </c>
      <c r="D7698" t="inlineStr">
        <is>
          <t>ホウレンソウ；ホウレン草；菠薐草；エピナール；法蓮草</t>
        </is>
      </c>
      <c r="H7698" t="n">
        <v>29</v>
      </c>
      <c r="I7698" t="inlineStr">
        <is>
          <t>季節ごとに種類を変えるほうれん草やトマトなどのシャーベットがある。；なおこの作品が制作された当時、ほうれん草の缶詰は製造されていなかった。；きみはあのとき、ほうれん草がうまくなってると言ってたな。；ここのところほうれん草の高値が続いているんで、こちらは少し弱っている。；最近は胚芽入り・ほうれん草味・イチゴ味・ココア味のものも発売されている。；特にそばやほうれん草が誘因となって発作を起こしたそうです。；このとき、バザンがほうれん草と卵とを持ってはいってきた。；そして純一がほうれん草を食べている音だと気がついた。；一般の打辺炉は上記のものとは違い、魚介類や牛肉、ほうれん草を入れる。；「ほうれん草も食べなさい」妻がパン皿の横に緑色のペーストを押してよこした。；ひとり三太太はいつもそこへ行ってほうれん草をやっていたから、いつもそこへ行くと想い出した。；ほうれん草はアクが強いため、予め下茹でを施しておくほうが望ましい。；この調子だとほうれん草が大好きな人間はポパイ君で、犯人だったらヤス君となる。；それらが大切なことはわかるが、ほうれん草にかけて言われると馬鹿にされたような気分になる。；ほうれん草のひたしでも食べたがずっといいんだぜ。；今日の食卓には貰つたほうれん草と盗んだ熟柿とあるだけだつた。；ほうれん草の胡麻和えとの違いは、胡麻でなくカツオ節をかけることもある。；生のほうれん草がこんなに甘く、美味しいものとは思わなかった。；この他ほうれん草やパンチェッタを入れる事もあり、シチリア内でも、中の具が地方独特のものである事もある。；いまも言ったように、妹は頭がすこし変なものだから、神さまの話であろうが、ほうれん草の話であろうが、同じことだった。；ほうれん草はあく抜きしなくちゃ体に悪いのかしら?；「出世のことしか頭にない男ってやだよね」 私はほうれん草のサラダを食べながらいった。；製鉄の関連企業であったため、ほうれん草が鉄分をたくさん含むところから命名された。；食物繊維も豊富で、ほうれん草よりも多く含まれている。；あとは、椀の中に入っている具材は、ほうれん草だけである。；菓子も食べるし、ほうれん草のうでたのも食べる。；対策は「ポパイのようにほうれん草食べればいいんだろ」なんていっているようでは、鉄不足から逃れられない。；海老やほうれん草を詰めサルサロハで味付けするレストランも一部にある。；ピングーは食事の時間、嫌いなほうれん草を残しパパに叱られる。</t>
        </is>
      </c>
      <c r="J7698">
        <f>HYPERLINK("https://www.weblio.jp/content/ほうれん草", "词义详情")</f>
        <v/>
      </c>
      <c r="K7698">
        <f>HYPERLINK("https://yourei.jp/ほうれん草", "查看例句")</f>
        <v/>
      </c>
    </row>
    <row r="7699">
      <c r="A7699" t="inlineStr">
        <is>
          <t>飽和</t>
        </is>
      </c>
      <c r="B7699" t="inlineStr">
        <is>
          <t>成功</t>
        </is>
      </c>
      <c r="C7699" t="inlineStr">
        <is>
          <t>読み方：ほうわ
［名］(スル)
１含みもつことのできる最大限度に達して、それ以上余地のないこと。「—状態の交通事情」
「光に—した僕の眼にはそこは真暗に見えた」〈有島・宣言〉
２ある条件のもとで、ある量が増加していき、それ以上増加しなくなる最大限に達した状態。
３やっていることに飽きがくること。疲労とは区別される。心的飽和。</t>
        </is>
      </c>
      <c r="D7699" t="inlineStr">
        <is>
          <t>飽和状態(20%)；飽和式(10%)；飽和点(3%)；飽和度；飽和温度</t>
        </is>
      </c>
      <c r="F7699" t="inlineStr">
        <is>
          <t>可飽和；磁気飽和；気筒飽和；飽和量；飽和液</t>
        </is>
      </c>
      <c r="G7699" t="inlineStr">
        <is>
          <t>飽和炭化水素；飽和潜水；飽和蒸気；飽和攻撃；飽和水</t>
        </is>
      </c>
      <c r="H7699" t="n">
        <v>29</v>
      </c>
      <c r="I7699" t="inlineStr">
        <is>
          <t>腹の中で行われていた自壊作用がもう完全に飽和点に達したのであろう。；この事実は、核力が何かある理由のために飽和することをしめしている。；かく性欲を無視してはわれらの恋愛の要求は飽和することができないと。；本形式は他形式のように過熱式ではなく従来どおりの飽和式で製造された。；痺れの波には山と谷があり、山の時にはすべての感覚が飽和しました。；これは結果的には、空気が水と平衡状態にあり飽和している温度である。；なお、実際の交通需要を飽和交通流率で割った値を「需要率」と称する。；一度1区画を空にしたのちに再び使用したため、既に飽和状態になっていた。；反強磁性体の一種で、磁化の特性が突然進んで突然飽和してしまうもの。；セピヤ色の水分をもって飽和したる空気の中にぼんやり立って眺めている。；四方の壁から嘆きの声が聞えて来ても、私のいまの幸福感は、飽和点よ。；昭和六十年である一九八五年には、既に飽和状態に達していた。；すでに人類の進歩は飽和状態であり、ほとんど現代と変わるところはない。；いくつものスクリーン発生機が、なすすべもなく飽和し、機能停止した。；痛みの感覚はもはや飽和状態を超えていて、逆に麻痺し始めている。；それに耐えているだけでも神経は飽和して、意思が萎えていくのだ。；やがて一帯が飽和状態となり、空気中の水分が霧となって発生する。；明るい曳光弾は、大量に発射した時に暗視装置を飽和させることができる。；しかし、これは物理メモリが飽和状態を続けている場合さほど深刻では無い。；同様の理由から、サウンド面においても音の飽和を避ける演出が取られた。；その空気は一定気圧の断熱された理想的な飽和槽の中で飽和に達している。；青より緑の方へ接近した色は「いき」であるためには普通は飽和の度と関係してくる。；ケリュケイオンが自動実行する対抗コードで弓子の肉体は飽和状態だ。；ヒル係数が1ならば、リガンドは飽和率に関係なく全く独立に結合する。；こっちの風景は明媚であるけれども、景色そのものが自身で飽和している。；それは爆発的な人口の増加で飽和状態にあった人類にとって最高の福音であった。；これにより、迎撃不可能な飽和攻撃を連続して行う事を可能としてしまった。；現在は天界が飽和状態になってしまい成仏が規制中とされている。；脳の許容量は常識的に考えてすでに飽和点を超えていたのに、止まらない。</t>
        </is>
      </c>
      <c r="J7699">
        <f>HYPERLINK("https://www.weblio.jp/content/飽和", "词义详情")</f>
        <v/>
      </c>
      <c r="K7699">
        <f>HYPERLINK("https://yourei.jp/飽和", "查看例句")</f>
        <v/>
      </c>
    </row>
    <row r="7700">
      <c r="A7700" t="inlineStr">
        <is>
          <t>吠える</t>
        </is>
      </c>
      <c r="B7700" t="inlineStr">
        <is>
          <t>成功</t>
        </is>
      </c>
      <c r="C7700" t="inlineStr">
        <is>
          <t>読み方：ほえる
《原題Howl》ギンズバーグの詩。1955年、サンフランシスコで行われた朗読会で発表後、他の詩編とともに翌年刊行。その際に、わいせつ文書にあたるとして告訴されるが、1957年に無罪判決となった。</t>
        </is>
      </c>
      <c r="D7700" t="inlineStr">
        <is>
          <t>吠えるような声(4%)；吠えるような大声</t>
        </is>
      </c>
      <c r="E7700" t="inlineStr">
        <is>
          <t>叫ぶ；絶叫；鳴く；咆哮；怒号</t>
        </is>
      </c>
      <c r="F7700" t="inlineStr">
        <is>
          <t>向かって吠える；激しく吠える；ひと声吠える；一声吠える；キャンキャン吠える</t>
        </is>
      </c>
      <c r="H7700" t="n">
        <v>29</v>
      </c>
      <c r="I7700" t="inlineStr">
        <is>
          <t>瞬間がすぎる毎にその吠え声がだんだん近くだんだん大きくなつてきた。；一匹の犬は台所の傍で、骨を押へて立つたまま、声を限りに吠え立てた。；犬も、それを心配して空に向って徒らに吠えているのかとも思われます。；お君はそれも気にかかるけれど、いま吠えたムクの声も気にかかります。；窓の下には嫌悪すべき人群が吠えている、私を待っている、笑っている。；どこかで廊下を歩く草履の音がし、もっと遠くで犬の吠えるのが聞える。；そこには李汾のくるのを見て、眼を怒らして吠えかかってきた豕がいた。；吠えるような悲鳴をあげた国王にシャーミアンが笑顔で言ったものだ。；それは獣が吠えるような声、とても人間が発したものとは思えない声だった。；つまり吠え声には本能的な衝動を示す以上の複雑な表現力がないのである。；けれどそれは殆ど何を吠えているのか意味をなさないものが多い。；彼はけもののように吠えながら自分より軽量の相手に向かって突進した。；「みんな殺されるど」 森の獣の啼き声のように、男の吠える声がした。；平日だから子供たちの声も小学校に集ってるし、吠えるのは犬ぐらいね。；真中の芝生に鶴が一羽歩いているのを小さな黒犬が一疋吠えついていた。；痙攣して吠える獣人は、もはや人間とほとんど変わらぬ姿に戻っていた。；ちょうど獣が、鼻づらを地面に当ててじっくり吠える時のようであった。；と、その声に答えて、遠くのほうから狼の吠える声がきこえだしてきた。；その声は、どんな意味のことかというと、こんなように吠えたのです。；それは深夜のことで、ここまで来る間には犬が吠えないではありませんでした。；「ここにわしらがいることをわからせたくない」 外で悪魔がまた吠えた。；人を吠えつけることで、その人を自宅にいられないような状況を作り出す。；犬があんなふうに吠えるのを最後に耳にしたのはいつだったろうか。；そこでは、吠える獣は純白であり、狐よりも小さく美しいとされている。；遠くでこの吠え声を聞いた百姓は、こんなひとりごとをいいました。；オオカミは四回吠えて、二人を脅かしたが、その後は沈黙を守っている。；頭の中でそれを計算している間に、空地の一隅で犬が吠えるのが聞こえた。；犬はそれを自分たち自身の声とは知らずに、再びより激しくそれへ吠え返した。；最後はマイクが彼らを転ばせ、サリーが腹の底から出した大声で吠えた。</t>
        </is>
      </c>
      <c r="J7700">
        <f>HYPERLINK("https://www.weblio.jp/content/吠える", "词义详情")</f>
        <v/>
      </c>
      <c r="K7700">
        <f>HYPERLINK("https://yourei.jp/吠える", "查看例句")</f>
        <v/>
      </c>
    </row>
    <row r="7701">
      <c r="A7701" t="inlineStr">
        <is>
          <t>頬</t>
        </is>
      </c>
      <c r="B7701" t="inlineStr">
        <is>
          <t>成功</t>
        </is>
      </c>
      <c r="C7701" t="inlineStr">
        <is>
          <t>読み方：きょう
［常用漢字］　［音］キョウ（ケフ）（呉）（漢）　［訓］ほお
ほお。「豊頰」</t>
        </is>
      </c>
      <c r="D7701" t="inlineStr">
        <is>
          <t>頬っぺた；頬を赤く；頬髯；頬冠；頬ぺた</t>
        </is>
      </c>
      <c r="E7701" t="inlineStr">
        <is>
          <t>頬っぺた；頬辺；頬桁；頬げた；頬っぺ</t>
        </is>
      </c>
      <c r="F7701" t="inlineStr">
        <is>
          <t>左頬；白い頬；右頬；赤い頬；頬ッぺた</t>
        </is>
      </c>
      <c r="G7701" t="inlineStr">
        <is>
          <t>頬骨；頬ずり；頬張り；頬ひげ；頬かむり</t>
        </is>
      </c>
      <c r="H7701" t="n">
        <v>29</v>
      </c>
      <c r="I7701" t="inlineStr">
        <is>
          <t>しかし兄は謎の悪魔に憑依され、妹の頬に傷をつけて姿を消してしまう。；どの言語でも使用されていないが、頬は気流を生成するために使われる。；鼻に角を持つと考えられたこともあったが、頬の角の間違いであった。；このコーナーの中では主に頬に描かれる線を「コテ線」と定義している。；容貌は原作アニメとほぼ同じだが、左頬の上部に傷跡が追加されている。；若者が承知すると、女は若者の頬に噛み付き、頬に傷がついてしまった。；外側核からの線維は顔面神経頬枝となって頬筋と頬唇筋を支配している。；パンを出し闇の中で頬ばりながら、さあ一晩中歩いてもいいと思った。；逆上したラツァは思わず手に持っていたナイフで彼女の頬を切りつける。；それから、血色のいい頬の上で、かすかに動いてゐる睫毛の影を味つた。；炎を見上げながら立ち尽くす吉野の頬を数条の涙が光っていたという。；しかしその目にはかすかにもしろ、頬笑みらしいものが動いてゐる。；都電車両の形をしているため、一口では頬張れないほどの大きさである。；その折には敵兵の頬肉をあぶって酒の肴にしたという話が伝わっている。；赤銅色の頬には不敵にも、誇らかな勝利の微笑さえ浮かんだではないか。；あの顔は頬から耳のあたりをコオルド・ビフのように料理するが好い。；彼の顔は頬の上へ徐ろに涙を流しはじめる、力のない朝日の光の中に。；幼魚では区別が難しいが、成魚では頬に青い斑点がないので区別できる。；それを知った阿里虎は激怒し、重節を強く非難して頬を平手打ちにした。；冬羽は頬がやや赤みを帯びた褐色になる他、頭部と胸が淡い褐色になる。；柔かい手が彼の肩にかかり、頬のあたりへかすかにそれが触れるのだった。；口周辺だけが隠れた、武者の頬当をイメージしたマスクが特徴だった。；雄の個体の頬は特に肉付きが良いことから、垂れているようにすら見える。；ツラミは、食用に処理されたウシの肉の内で頬から製造されたものである。；妻はしゃがんだままで時々頬に来る蚊をたたき殺しながら泣いていた。；それだから春の日が喜んでその顔に接吻して、娘の頬が赤くなって居るのだ。；また大半のキャラがえびす樣のように頬が大きくたれているのが特徴。；吻部には広がった角質の嘴を持ち、数百の発達した頬歯を備えていた。；イイスス・ハリストスが生神女マリヤに頬を寄せている姿で描かれている。</t>
        </is>
      </c>
      <c r="J7701">
        <f>HYPERLINK("https://www.weblio.jp/content/頬", "词义详情")</f>
        <v/>
      </c>
      <c r="K7701">
        <f>HYPERLINK("https://yourei.jp/頬", "查看例句")</f>
        <v/>
      </c>
    </row>
    <row r="7702">
      <c r="A7702" t="inlineStr">
        <is>
          <t>ホース</t>
        </is>
      </c>
      <c r="B7702" t="inlineStr">
        <is>
          <t>成功</t>
        </is>
      </c>
      <c r="C7702" t="inlineStr">
        <is>
          <t>読み方：ほーす
ゴム・ビニールなどで作った、液体や気体などを送るための管。蛇管。</t>
        </is>
      </c>
      <c r="D7702" t="inlineStr">
        <is>
          <t>ホースマン；ホースショー；ホースクラブ；ホースカラー；ホース車</t>
        </is>
      </c>
      <c r="E7702" t="inlineStr">
        <is>
          <t>パイプ；配管；ダクト；導管</t>
        </is>
      </c>
      <c r="F7702" t="inlineStr">
        <is>
          <t>クラシックホース；消火ホース；ブレーキホース；用ホース；消防ホース</t>
        </is>
      </c>
      <c r="G7702" t="inlineStr">
        <is>
          <t>ホースメン；ホースシュー；ホースマン；ホースト；ホーストラスト</t>
        </is>
      </c>
      <c r="H7702" t="n">
        <v>29</v>
      </c>
      <c r="I7702" t="inlineStr">
        <is>
          <t>産駒は数が少ないながらも平均的に質が高く、トップホースも多かった。；それには短いゴムホースがついており、その先端にノズルがついている。；水がホースなどで継続的に供給可能な場合は、川や湖を模すこともできる。；「上からの指令だ」 ホースを持った連中が橋をわたって退避してきた。；申し訳程度にホースで水を掛けてはいるが、ほとんど役に立っていない。；このようにして、ホースの表面を這う蟻は2次元的に動くことができる。；肉はすっかり取り除かれて、男たちはホースでデッキの下を洗っていた。；伊藤はホースで狙いを定めて、水を勢いよくノンノンの耳後ろにかけた。；またテネシー・ウォーキング・ホースの飼育者協会と展示者協会がある。；ホースの痛みは、皮膚から中にしみこんだまま、そこに溜まっていった。；目を見張るような高額賞金のレースは全国のホースマンに衝撃を与えた。；家の脇に水道の蛇口があり、緑色のホースがのびてとぐろをまいていた。；なんにしても、この古びた撒水ホースの長さはわずか三〇メートルなのだ。；彼はホースを引っぱり出したが、それはぼくのモノにとても似ていた。；これを耕作地の一方の端に置き、パイプの一方からホースで水を供給する。；ホースをもった男たちが、そのオレンジの山に石油をふりかけてしまう。；私が感心したのは、インターナショナル・ホース・ショウを見たときだ。；生き物のように動き回るホースをしっかりと掴んで、方向を一定にした。；自動車の排気口から、掃除機に使われる太いホースが車内に伸びていた。；いま息を吹きこんでいるホースの端を中央のパイプにはめこむんだ。；ふつうは水が溜ってくると、ホースの口が沈んで音は小さくなるはずである。；まるで高圧ホースから迸る水のように、次々とかれの口から言葉が出てきた。；まだ燃えている左側の家々に、警防団の人々が細いホースをむけていた。；レコード決着の中で前年同様JRAのG1ホース相手に好走を果たした。；そのため、金属のコイルが埋め込まれた構造のホースが使われている。；その他郡内に住んだ者としてはライトホース・ハリー・リー将軍もいた。；十何本かのホースが全部いっぺんに外れてしまったようである。；ホースの水で口をすすいでから、盆に乗っているものを食っていった。；そして、見覚えのある男が、ホースからの水でトレーラーを洗っていた。</t>
        </is>
      </c>
      <c r="J7702">
        <f>HYPERLINK("https://www.weblio.jp/content/ホース", "词义详情")</f>
        <v/>
      </c>
      <c r="K7702">
        <f>HYPERLINK("https://yourei.jp/ホース", "查看例句")</f>
        <v/>
      </c>
    </row>
    <row r="7703">
      <c r="A7703" t="inlineStr">
        <is>
          <t>保温</t>
        </is>
      </c>
      <c r="B7703" t="inlineStr">
        <is>
          <t>成功</t>
        </is>
      </c>
      <c r="C7703" t="inlineStr">
        <is>
          <t>読み方：ほおん
［名］(スル)温度を一定に保つこと。特に、温かさを保つこと。「室内を—する」「—材」</t>
        </is>
      </c>
      <c r="D7703" t="inlineStr">
        <is>
          <t>保温する(8%)；保温効果(5%)；保温材(4%)；保温用(3%)；保温力(3%)</t>
        </is>
      </c>
      <c r="F7703" t="inlineStr">
        <is>
          <t>保温装置；保温できる；保温能力；保温状態；保温保冷</t>
        </is>
      </c>
      <c r="G7703" t="inlineStr">
        <is>
          <t>保温折衷苗代；保温調理鍋；保温釜</t>
        </is>
      </c>
      <c r="H7703" t="n">
        <v>29</v>
      </c>
      <c r="I7703" t="inlineStr">
        <is>
          <t>一層構造と二層構造のタイプがあり、それぞれ保温できる時間が異なる。；保温する場合も水分と油の比率が変化しないように注意する必要がある。；建築用のものは断熱材、工業用のものは保温材と呼称されることが多い。；初期の羽毛は繊維状であり保温目的のものであったとする説が有力である。；また、保温状態の炊飯ジャーを利用し水を使わずに作ることも可能である。；本来の目的は寒さを備えた保温だが、戦闘で保護具の役割もした。；カマボコ型、保温式布張り鉄骨宿舎三棟が予定より三日遅れて完成した。；横に置かれた炊飯器からは白い湯気が立ち、保温のランプが光っている。；服装の役目は身体の保護や保温などだが、未来にはその心配は減るだろう。；多くの種において、日本での越冬の際にヒーターで保温する必要がある。；このとき母親は筋肉を痙攣させて体温を上げ、卵を保温して発生を促す。；また、保温効果よりも見た目の効果を狙って利用される場面もある。；薄くはあっても裏に保温材のついたシートが作られていたのだった。；気温が低くなると集団が幾重にも重なった上に子供たちを置いて保温する。；体の形に合わせた形状のため無駄なすき間ができず封筒型に比べて保温性能が高い。；室内は適度に保温されて、床脇の違い棚の上に華奢な鶯の籠が載せてある。；これは重層的な構造を持っていたため、ヨーロッパ北部では保温目的でも着用された。；冬季保温のため、車両中1つのドアだけを開閉する装置が設けられている。；また藁の断面が中空構造が多重になっているため保温にも優れている。；それは、生きている鶏を保温機構の一部にするというものであった。；それらには足指の間を含め脚を保温するという実利的な意義もあった。；化石記録からは、羽毛が最初に備えた機能が保温であったことが推測されている。；このときは保温カバーが付けられ、長期間の観測が可能となった。；調理だけではなくタピオカティーの店舗ではタピオカの保温にも使われる。；電源は太陽電池であるが、保温用に少量のプルトニウムを搭載している。；また寒さに弱いため気温が下がると身を寄せ合って保温を行う。；この扉は冬季の閑散時の車内保温のため、一枚のみの開閉も可能であった。；温度が低下しすぎないようにヒータで保温することができる。；こうすることによって鼻の保温を行い、呼吸器を保護しているのだ。</t>
        </is>
      </c>
      <c r="J7703">
        <f>HYPERLINK("https://www.weblio.jp/content/保温", "词义详情")</f>
        <v/>
      </c>
      <c r="K7703">
        <f>HYPERLINK("https://yourei.jp/保温", "查看例句")</f>
        <v/>
      </c>
    </row>
    <row r="7704">
      <c r="A7704" t="inlineStr">
        <is>
          <t>他/外</t>
        </is>
      </c>
      <c r="B7704" t="inlineStr">
        <is>
          <t>无结果</t>
        </is>
      </c>
      <c r="H7704" t="n">
        <v>0</v>
      </c>
      <c r="J7704">
        <f>HYPERLINK("https://www.weblio.jp/content/他/外", "词义详情")</f>
        <v/>
      </c>
      <c r="K7704">
        <f>HYPERLINK("https://yourei.jp/他/外", "查看例句")</f>
        <v/>
      </c>
    </row>
    <row r="7705">
      <c r="A7705" t="inlineStr">
        <is>
          <t>捕獲</t>
        </is>
      </c>
      <c r="B7705" t="inlineStr">
        <is>
          <t>成功</t>
        </is>
      </c>
      <c r="C7705" t="inlineStr">
        <is>
          <t>読み方：ほかく
［名］(スル)
１動物などを捕らえること。いけどること。「鹿を—する」
２国際法上、戦時に、交戦国の軍艦が敵国または中立違反の船舶を取り押さえること。海上捕獲。</t>
        </is>
      </c>
      <c r="D7705" t="inlineStr">
        <is>
          <t>捕獲する(11%)；捕獲される(4%)；捕獲者；捕獲用；捕獲しよ</t>
        </is>
      </c>
      <c r="E7705" t="inlineStr">
        <is>
          <t>逮捕；占領；攻略；抑える；捉える</t>
        </is>
      </c>
      <c r="F7705" t="inlineStr">
        <is>
          <t>捕獲枠；再捕獲；捕獲調査；捕獲審検；捕獲装置</t>
        </is>
      </c>
      <c r="G7705" t="inlineStr">
        <is>
          <t>捕獲岩；捕獲説</t>
        </is>
      </c>
      <c r="H7705" t="n">
        <v>29</v>
      </c>
      <c r="I7705" t="inlineStr">
        <is>
          <t>ウミガメは捕獲や生息環境の悪化などのために生息数が減少している。；これまでに捕獲された個体の記録には全長5mを超えるものが何例かある。；そして黒ひげは犠牲を払いながらも人魚を一匹捕獲することに成功した。；一方の最重要駒が、相手の駒により完全に捕獲が確定された状態を指す。；警備員が彼らを捕獲するまで彼女は必死に無視しようと努めていた。；大型のものは顎の力が大変強く、釣り等で捕獲する際には注意が必要である。；鵜飼いのためのウミウの捕獲が日本で唯一許可されている鵜の岬がある。；以下の航空機の例は、イギリス空軍が捕獲または抑留しテストしたもの。；ここでは、動物や人間を捕獲・拘束・殺害を目的とした道具や仕掛けを扱う。；奄美大島では1960年に捕獲・撮影されて以降は確実な記録はない。；火鬼には、駒を取るときは普通の取り方の他に特別な捕獲のルールがある。；これは、当時のこの地域で捕獲されたソ連戦車に共通の標識であった。；しかし、狂暴で噛む力が強力な点を考慮すると捕獲には怪我の危険が伴う。；どのような刺激によって捕獲器を形成するのかが研究されている。；しかし、深海魚を生体のまま捕獲することには実際上の多くの困難がある。；こうした野鳥捕獲活動にはクライミングのかなりの能力を必要とした。；捕獲停止時の南極海の通常型の個体数は約700頭と推定されている。；可能性のある主因として生息環境の変化・捕獲圧が原因と考えられている。；駒を取るときは普通の取り方の他に特別な捕獲のルールがある。；それにも拘わらずドイツ兵は前進し、捕獲されていた大砲を取り戻した。；捕獲を開始してからは、年々捕獲数、被害相談件数ともに減少している。；ゲットアミをサルに奪われ使用された場合、変身状態のまま捕獲される。；この捕獲作戦がまさに今から実行されるところなのである。；捕獲された時は皿1枚程の大きさであり、6歳だろうと推定された。；写真の個体は2008年に捕獲されたもので、新種と考えられている。；当時の記録では、駆除のため捕獲した数だけで360億匹を超えたという。；小型で捕獲が容易であることから、捕鯨の発達初期から捕獲対象であった。；途中高知県でも捕獲されていて、世界第二位の長距離の移動が確認された。；日本では鯨は捕獲の対象であると同時に信仰の対象であった。</t>
        </is>
      </c>
      <c r="J7705">
        <f>HYPERLINK("https://www.weblio.jp/content/捕獲", "词义详情")</f>
        <v/>
      </c>
      <c r="K7705">
        <f>HYPERLINK("https://yourei.jp/捕獲", "查看例句")</f>
        <v/>
      </c>
    </row>
    <row r="7706">
      <c r="A7706" t="inlineStr">
        <is>
          <t>朗らか</t>
        </is>
      </c>
      <c r="B7706" t="inlineStr">
        <is>
          <t>成功</t>
        </is>
      </c>
      <c r="C7706" t="inlineStr">
        <is>
          <t>読み方：ほがらか
［形動］［文］［ナリ］
１心にこだわりがなく、晴れ晴れとして明るいさま。「—な性格」「—に話す」
２明るく光るさま。日ざしが明るく、空が晴れわたっているさま。「—な春の日」
「姿、秋の月の—に」〈後拾遺・序〉
３広く開けて明るいさま。
「木蓮の枝はいくら重なっても、枝と枝の間は—に隙(す)いている」〈漱石・草枕〉
「心—に融(かよ)ひ達(いた)る」〈霊異記・上〉
４あいまいさがなく、はっきりしているさま。
「打ち忍び嘆きあかせばしののめの—にだに夢を見ぬかな」〈紫式部集〉
[派生]ほがらかさ［名］</t>
        </is>
      </c>
      <c r="D7706" t="inlineStr">
        <is>
          <t>朗らかな声(5%)；朗らかな笑顔；朗らかな顔；朗らかな笑い声；朗らかな調子</t>
        </is>
      </c>
      <c r="E7706" t="inlineStr">
        <is>
          <t>明るい；元気；活発；陽気；賑やか</t>
        </is>
      </c>
      <c r="F7706" t="inlineStr">
        <is>
          <t>明るい朗らか；静かな朗らか；朗らかな口調；朗らかな微笑；朗らかな様子</t>
        </is>
      </c>
      <c r="H7706" t="n">
        <v>29</v>
      </c>
      <c r="I7706" t="inlineStr">
        <is>
          <t>非常に骨が折れたが、仕事が楽しみであるかのように、朗らかにやった。；兄に似ず朗らかで、一人でいると周囲の男性の注目を集めるほどの美人。；そこには、古典が朗らかにしかも現実によみがえっているかと思われる。；一切の苦悶を解放して安心立命した人のように彼の容貌は朗らかである。；いったん信用すると、彼はまるで人が変わったように朗らかになった。；善良な女で、私と双方でよく理解し合っていますから朗らかなものです。；私は朗らかに強くなった感じがしたが、これは久しぶりのことだった。；その時彼はコゼットのことを考えて、また心が朗らかになるのだった。；だから、すっかりあっしも朗らかになってね、あそこへ回ったんですよ。；マリラはなんだかばかにされているようで、その朗らかさに腹が立った。；腹がいっぱいになり、気分が朗らかだったので、少し運動したいのだ。；夕食の時間になっても、女子グループの様子は朗らかで楽しげだった。；一小隊ほどな信長方の兵が、朗らかに、秋の朝を、囃しているのだった。；叙事詩や歴史は朗らかで自然的な人間の生活を鮮やかに示してくれる。；そして思はず多くの見物人に朗らかな笑ひを漂はせることもあるのです。；極楽の空がほがらかに澄んで居るように、心の中も朗らかに澄んで居た。；閉じきっていない口は満足そうに、ほとんど朗らかにさえ見えた。；内心はどうか知らないが、朗らかな男で、同年兵からは人気がありました。；「まったくだ」新城はこれ以上はないほどの朗らかさを示しつつ同意した。；夕食になると初代の緊張もほぐれて朗らかな美しい表情となった。；そしてその朗らかさのまま、生涯の朋友の口から最期の言葉が告げられた。；見つめ合う2人の顔には、朗らかな微笑が浮かんでいるのであった。；長い伝統を誇る学校であり、児童は全体に心優しく明るく朗らかである。；あの夜は強いて朗らかに酒を酌んだが、いまのような軽さはなかった。；日が朗らかにさし、縁側に坐って庭を見て居ると、日の光が魂を吸い出す。；年上の女性二人は、突然小さく吹き出すと、次いで朗らかに笑い始めた。；彼女のような朗らかさんには、健やかに逞しく生きていって欲しかった。；さすれば一家は常に朗らかで滅多に病気などには罹らぬものである。；あたしが太って朗らかになってゆくのを黙って見ていると思う?</t>
        </is>
      </c>
      <c r="J7706">
        <f>HYPERLINK("https://www.weblio.jp/content/朗らか", "词义详情")</f>
        <v/>
      </c>
      <c r="K7706">
        <f>HYPERLINK("https://yourei.jp/朗らか", "查看例句")</f>
        <v/>
      </c>
    </row>
    <row r="7707">
      <c r="A7707" t="inlineStr">
        <is>
          <t>保管</t>
        </is>
      </c>
      <c r="B7707" t="inlineStr">
        <is>
          <t>成功</t>
        </is>
      </c>
      <c r="C7707" t="inlineStr">
        <is>
          <t>読み方：ほかん
［名］(スル)物品を預かって、傷つけたり失ったりしないように保存・管理すること。「忘れ物を受付で—する」</t>
        </is>
      </c>
      <c r="D7707" t="inlineStr">
        <is>
          <t>保管する(9%)；保管場所(3%)；保管所；保管室；保管庫</t>
        </is>
      </c>
      <c r="E7707" t="inlineStr">
        <is>
          <t>維持；保護；保存；保持；挙げる</t>
        </is>
      </c>
      <c r="F7707" t="inlineStr">
        <is>
          <t>一時保管；長期保管；まま保管；文書保管；入れて保管</t>
        </is>
      </c>
      <c r="G7707" t="inlineStr">
        <is>
          <t>保管船；保管証明書；保管ボックス</t>
        </is>
      </c>
      <c r="H7707" t="n">
        <v>29</v>
      </c>
      <c r="I7707" t="inlineStr">
        <is>
          <t>阪神百貨店で発売された優勝限定ビールを飲まずに大切に保管している。；預かった念金は主宰者が数年間保管した後に返還することになっていた。；このため印刷版などは廃棄されずに保管されていることがほとんどである。；この時に朝廷の歴史書を保管していた書庫までもが炎上したと言われる。；当面使う予定の無いものや、雑多なものを保管しておく場所の事である。；結局エンジンを交換することは無かったため飛行すること無く保管されていた。；よって、安全のためにナフサのような非反応性の化合物中に保管される。；日本に現存する最も古い墨壺は、正倉院に保管されているものとされる。；チョロQは300台ほど所有していてケースに入れて大事に保管している。；その後、東京都立航空高等学校にて分解された状態で保管されていた。；勿論、そのジャージはトレーニングに使わず大切に保管してあるという。；ただし事務所に保管されていた鍵で解錠することは任意でおこなえた。；そのため、現在ブラジルに保管されているのはレプリカとなっている。；それらがどのくらいの量なのか、いつ頃まで保管されていたのかはわかっていない。；この聖槍はサン・ピエトロ大聖堂に保管されているが公開はされていない。；これらの布製品を洗濯したあと保管するための部屋はリネン室という。；本来は歴史資料館や公文書館などで保管し、活用されるべきとされている。；雄別鉄道線ホームへの案内板は、駅舎内の飲食店に保管・展示されている。；紛失したボタンに極力似た物を付けるため世界中のボタンを保管している。；またイエーガーは通行を許した者のリストを保管しておくことも命じられた。；公文書館は、重要な法令の原本をはじめ、歴史的な文書を保管している。；スペインのオビエドには、遺体の頭を包んでいたとされるが保管されている。；誤った使用や保管をすると、媒体寿命を極端に縮めてしまうことがある。；軍からの許可が出て、市民に迎えられた遺骨は、市内浄応寺で保管された。；今後、同館はコレクションの学術的分類・保管を進めていく予定である。；原稿類は一番古くからの友人が保管しているとされる。；この点は、毒薬と劇薬とで保管の規制に差があることと対照的である。；それ以降、防虫剤などと一緒に保管しないよう注意書きがなされている。；上村松園、松篁・淳之の作品などの収集・保管・展示を目的としている。</t>
        </is>
      </c>
      <c r="J7707">
        <f>HYPERLINK("https://www.weblio.jp/content/保管", "词义详情")</f>
        <v/>
      </c>
      <c r="K7707">
        <f>HYPERLINK("https://yourei.jp/保管", "查看例句")</f>
        <v/>
      </c>
    </row>
    <row r="7708">
      <c r="A7708" t="inlineStr">
        <is>
          <t>補給</t>
        </is>
      </c>
      <c r="B7708" t="inlineStr">
        <is>
          <t>成功</t>
        </is>
      </c>
      <c r="C7708" t="inlineStr">
        <is>
          <t>読み方：ほきゅう
［名］(スル)足りなくなった分を補うこと。「ガソリンを—する」「栄養—」</t>
        </is>
      </c>
      <c r="D7708" t="inlineStr">
        <is>
          <t>補給物資(5%)；補給路(5%)；補給基地(3%)；補給船(3%)；補給車</t>
        </is>
      </c>
      <c r="E7708" t="inlineStr">
        <is>
          <t>付加；補充；補；足し；補完</t>
        </is>
      </c>
      <c r="F7708" t="inlineStr">
        <is>
          <t>物資補給；洋上補給；補給地；補給廠；補給部</t>
        </is>
      </c>
      <c r="G7708" t="inlineStr">
        <is>
          <t>補給部隊；補給艦；補給品；補給所；補給処</t>
        </is>
      </c>
      <c r="H7708" t="n">
        <v>29</v>
      </c>
      <c r="I7708" t="inlineStr">
        <is>
          <t>最後まで海上補給路が維持されていたからこそ可能な撤退作戦であった。；エンポリウムでは遠征した軍隊のために補給や戦利品の処分も行なった。；非補給下にあるかどうかは普通、プレイヤーターンの開始時に判定する。；そのため弱点は少なく、部隊運用の際には補給する味方機の防衛をも行う。；それに加え用途の限られる拳銃弾の補給は兵站への余分な負担となる。；ステージ中にある補給ポイントに接近し、補給ボタンを押すと回復する。；彼はオーストリア皇帝や廷臣たちと作戦計画や補給関連の協議を持った。；エネルギー補給は地上に設置されたエネルギータンクと接触することで行う。；ところが遭難したとたんに、通常の水補給ができなくなることになる。；また、武器の交換・弾薬補給はこのモードでしか行うことが出来ない。；弾薬の共有すら考慮されなかった為、時に補給面の問題を引き起こした。；また、弾薬補給や作戦終了時には着陸の操作を行わなくてはならない。；米国へ補給はその約9割が補給艦に対して行われたことが明らかにされた。；この場合、途中の補給拠点として日本の港を利用することが望まれた。；全ての主要目標の攻略が失敗に終わると共に、補給の困難さを招いた。；また、外部からの補給なしに30日間行動を続けることが可能であるとされた。；潜水艦をさらに活用すべく、ドイツでは1916年に補給潜水艦が提案された。；この島はカリカットへ向かう前の物資補給地点としてよく利用されていた。；これは嘔吐物に水分を補給して排出しやすくするための働きと考えられる。；そのほか、ビタミンB12の補給に頭痛軽減の効果のある可能性がある。；すでにマルタの補給状況は限界に達し、現地では降伏も視野にはいっていた。；これ以上時間をかけると補給能力の差で英軍ばかりがどんどん強化されるからである。；また潜水艦への物資補給時に必要となる艦載艇も搭載されていた。；当時の袁紹軍は補給に苦しんでおり、物資の供給を韓馥に依存していた。；連続した戦いによって戦力は減少し、補給上の困難はより深刻になり始めた。；これらは補給・輸送任務を行う傍ら、捜索救難や負傷兵護送も行なった。；彼はこの戦略を実現するため、兵器と補給システムの革新と拡張を促進した。；ロシアへの侵攻作戦が決まった時、戦場となる広大な領域での補給路確保が重要な問題だった。；駆逐艦母艦として海軍艦艇の整備を行い、補給任務や医療業務も行った。</t>
        </is>
      </c>
      <c r="J7708">
        <f>HYPERLINK("https://www.weblio.jp/content/補給", "词义详情")</f>
        <v/>
      </c>
      <c r="K7708">
        <f>HYPERLINK("https://yourei.jp/補給", "查看例句")</f>
        <v/>
      </c>
    </row>
    <row r="7709">
      <c r="A7709" t="inlineStr">
        <is>
          <t>補強</t>
        </is>
      </c>
      <c r="B7709" t="inlineStr">
        <is>
          <t>成功</t>
        </is>
      </c>
      <c r="C7709" t="inlineStr">
        <is>
          <t>読み方：ほきょう
［名］(スル)弱い部分や足りないところを補って強くすること。「投手陣の—に力を入れる」「堤防を—する」</t>
        </is>
      </c>
      <c r="D7709" t="inlineStr">
        <is>
          <t>補強する(12%)；補強工事(3%)；補強材(2%)；補強用；補強帯</t>
        </is>
      </c>
      <c r="E7709" t="inlineStr">
        <is>
          <t>強化；改善；援助；修正；補助</t>
        </is>
      </c>
      <c r="F7709" t="inlineStr">
        <is>
          <t>大型補強；戦力補強；積極的な補強；選手補強；緊急補強</t>
        </is>
      </c>
      <c r="G7709" t="inlineStr">
        <is>
          <t>補強土壁工法；補強土</t>
        </is>
      </c>
      <c r="H7709" t="n">
        <v>29</v>
      </c>
      <c r="I7709" t="inlineStr">
        <is>
          <t>このような訴えは双方とも外国の騎士を効果的に補強することとなった。；この年は3連覇を逃したこともあり、は投手補強を一番の方針に掲げた。；膜様のものを用いる場合は形を維持するために、補強用の部材を用いる。；そのため、建造中の艦も含む多くの艦に補強と改善が実施される事となった。；これは恐らく支配階層の神聖性を補強するために用いられたのであろう。；これにより、補強作業に入る予定だった脇鳥居の再建も余儀なくされた。；限られた予算の中で積極的な補強を行い、田中誠、高橋泰らを獲得した。；ただし、これを補強する考古学的発見は十分でないことも指摘される。；弁論補強のため限定的な証拠の提出や証言がなされる場合もある。；船体は1番砲搭載のために付近の甲板を補強せざるを得なくなった。；そんな中、補強していた田単の一族は無事に即墨へ逃れることができた。；本格的なチーム補強が実り、に念願の都市対抗野球に初出場を果たした。；角になる部分には隅石が使われ、隅の角となる部分を補強するために大きな石が使われる。；また正則は城の西側を補強し、本川を西側の外堀と位置づけて整備した。；魔法補強アイテムを手に入れると剣に付随する魔法を強化できる。；詳細は明らかでないがDS鋼による部分的な補強を行ったようである。；そのため第81回大会から1チームの補強選手の上限が引き下げられた。；同時にこの改修で、震度7程度の揺れでも天井の落下を防ぐ補強が行われた。；したがって、他の材料を補強したり触媒として機能するために使用される。；ケリーが退団したが、若手へシフトする意味で大きな補強はしなかった。；ダーウィンは彼からの情報を自分の理論の補強に用いていた。；荒田忠典を中心に環境整備や静岡県内の有望な高卒選手の補強を進めた。；橋脚は煉瓦作りで要所を花崗岩で補強したもので、橋面は木の板であった。；キューバンはその後も豊富な資金力を活かしてチームの補強に取り組んだ。；チームは本大会出場を逃したが、JR九州の補強選手に選ばれて出場した。；翌年の第34回都市対抗野球大会では熊谷組の補強選手として出場した。；古い街の中には、古代ローマ時代の城壁を再建・補強して用いた場合もあった。；基本的に防御の値を上げるが、それ以外を補強できる防具もある。；小国同士が互いに戦争をくり返したことが明らかになったことからこの説は補強された。</t>
        </is>
      </c>
      <c r="J7709">
        <f>HYPERLINK("https://www.weblio.jp/content/補強", "词义详情")</f>
        <v/>
      </c>
      <c r="K7709">
        <f>HYPERLINK("https://yourei.jp/補強", "查看例句")</f>
        <v/>
      </c>
    </row>
    <row r="7710">
      <c r="A7710" t="inlineStr">
        <is>
          <t>募金</t>
        </is>
      </c>
      <c r="B7710" t="inlineStr">
        <is>
          <t>成功</t>
        </is>
      </c>
      <c r="C7710" t="inlineStr">
        <is>
          <t>読み方：ぼきん
［名］(スル)寄付金などをつのって集めること。「街頭で—する」「共同—」
[補説] 本来は集める側からいう語だが、「赤十字に募金する」のように、金銭を差し出す行為をいうこともある。</t>
        </is>
      </c>
      <c r="D7710" t="inlineStr">
        <is>
          <t>募金額(3%)；募金キャンペーン；募金集め；募金受付；募金総額</t>
        </is>
      </c>
      <c r="F7710" t="inlineStr">
        <is>
          <t>支援募金；救済募金；白衣募金；樽募金；おっぱい募金</t>
        </is>
      </c>
      <c r="G7710" t="inlineStr">
        <is>
          <t>募金箱；募金運動；募金詐欺</t>
        </is>
      </c>
      <c r="H7710" t="n">
        <v>29</v>
      </c>
      <c r="I7710" t="inlineStr">
        <is>
          <t>いろいろな社会施設の人たちが、毎日のように募金をしているじゃないか。；この募金も、センターの募金の時と同様に、事は速やかに運ばれていた。；会場到着後はそちらの進行役を務めたり募金の受け渡しを行っていた。；それは全てが慈善事業の義援金募金のためのものであったためである。；その後、英国ヒューマニスト協会が公式の支援と募金の管理を申し出た。；募金結果の発表ではこの加入者数も実績に含まれている。；アメリカ合衆国ではポーランド独立の大義のため、募金が集められた。；フォーブスは、その機会を利用して効果的な募金のガイドを発行した。；私だけでなく、すべての募金に応じた人に返されたものだと思う。；今までの募金で相当満足しているのだが、ドイツではおそろしく困難な目にあった。；この時集まった募金の一部は日本一の大フクロウ像の建設資金に充当された。；彼女は子供向けのイベントや、子供たちのための募金イベントでこれらの楽曲を歌った。；礼拝堂の入り口の扉に工事に関わった職人や募金者の名前が刻まれている。；十五名ほどの会員たちは集めた募金の中から日当分のみを取り、残りは会長に渡した。；組織の使命は公園の保存のみのために使われるよう集められた募金で公園を維持することである。；このトンネル群を買い取るためのナショナルトラスト募金が行われている。；俺は手の中に残った百六十円、外で募金を訴える人たちの箱に投げ入れた。；石像の費用は、同年9月に生徒たちが中心となって行われた募金で賄われた。；また、ある日、学校で愛の運動の募金があったので、父に頼んだ。；ところが驚いたことに、この募金委員会は、只の二度しか開かれずに終わった。；それらが無意識のうちに募金を忌避させていたのかも知れない。；この目的は国内各地に飛行場を整備する基金の募金を呼びかけるものだった。；この企画のグッズ収益の一部を緊急支援募金へ寄付することが発表された。；その募金は主にユニフェムがアジアで進めるプロジェクトに提供されたのである。；募金集めと並行して記念碑建設が開始された。；これ以降、災害時には各テレビ局でダイヤルQ2を使った募金が行われた。；これらの大衆が、巨額な資本の募金に応じようとしていたからである。；わしは募金の話をしながら、よく注意して見まわした。；通常は有料放送だが、広く募金を呼びかける為に無料で24時間放送した。</t>
        </is>
      </c>
      <c r="J7710">
        <f>HYPERLINK("https://www.weblio.jp/content/募金", "词义详情")</f>
        <v/>
      </c>
      <c r="K7710">
        <f>HYPERLINK("https://yourei.jp/募金", "查看例句")</f>
        <v/>
      </c>
    </row>
    <row r="7711">
      <c r="A7711" t="inlineStr">
        <is>
          <t>僕</t>
        </is>
      </c>
      <c r="B7711" t="inlineStr">
        <is>
          <t>成功</t>
        </is>
      </c>
      <c r="C7711" t="inlineStr">
        <is>
          <t>読み方：しもべ
１雑用に使われる者。召使い。「神の—」
２身分の低い者。
「この魚…頭は—も食はず」〈徒然・一一九〉
３官に仕えて、雑役を勤めた下級の役人。
「—ども参ってさがし奉れ」〈平家・四〉</t>
        </is>
      </c>
      <c r="D7711" t="inlineStr">
        <is>
          <t>僕たち(4%)；僕等；僕ハ；僕固；僕ガ</t>
        </is>
      </c>
      <c r="E7711" t="inlineStr">
        <is>
          <t>私；自分；わたし；俺；おら</t>
        </is>
      </c>
      <c r="F7711" t="inlineStr">
        <is>
          <t>侍僕；いつか僕；少くとも僕；僕ノ；井伏僕</t>
        </is>
      </c>
      <c r="G7711" t="inlineStr">
        <is>
          <t>僕達；僕自身；僕は君；僕のこと；僕射</t>
        </is>
      </c>
      <c r="H7711" t="n">
        <v>29</v>
      </c>
      <c r="I7711" t="inlineStr">
        <is>
          <t>僕はアメリカに来て野球が楽しいと思えるだけで、成功だと思うんです。；よく考えたら、僕はほとんど彼女のことを知らないんじゃないだろうか?；もしこのチームで不可能なら僕の代わりにいい選手を獲ってもらいたい。；でもそれを歌うと全然別の話で、僕はそのせいで周りの目が気になった。；僕もそこで自分からすり寄って合わせられるタイプじゃありませんしね。；僕はいつもそれを007の映画の主題歌を書くようなものと考えていた。；僕の人生、家族の人生がこのまま終わっていくのかという不安があった。；アパートについたとき、彼女は中絶したばかりであることを僕に告げた。；その結果ジャッジがああいう結果を出して、僕はそれに従っただけです。；僕はその番組を観ていないが、複数の人に聞いたから多分事実なのだろう。；僕はあれをミスレフェリングだなどとはこれっぽっちも思っていません。；こうなると僕にも分かるんですが新監督は自分の色でやりたいんですよね。；こんな勝ち方は僕の望んでいるものではないけれど、これもレースなんだ。；でも、今、自分でやりたいこともあって、それが僕の目標でもあるんだ。；僕は世の中のためにならない人間を殺しているつもりだったのかと。；僕も森島さんのようなプレーができるようになりたいと思っています。；その犯人を特定することができた「僕」は、ある計画を実行することに。；彼はイギリスで過ごした時間を「僕の人生を形作った」と表現している。；ファンの人たちが僕の決断を理解し、尊重してくれることを望んでいる。；審判の方も僕のせいでジャッジに迷いが出るようになったかもしれない。；だから僕は世代間の争いなんてするべきじゃないとずっと言い続けているんだ。；父がいなければ僕もいないんだし、父のことは尊敬していますしね。；僕はそのころよく父に保育園で描いたり作ったりした物を見せていたんだよ。；彼らは僕のような音楽を作る者にとってのインスピレーションそのもの!；なぜって僕たちには常に問題と向き合い、解決することが必要だからね。；僕はこの小説の中で、その小説的構図を使ってみようと思ったのです。；その上、僕の詩の鍵を握った連中は、概して僕を外界から守ってくれた。；残念な結果になったんですが、僕は今でもあれは正攻法だったと思う。；これは僕ひとりの勝利ではなく長年やってやっと勝てたんですから。</t>
        </is>
      </c>
      <c r="J7711">
        <f>HYPERLINK("https://www.weblio.jp/content/僕", "词义详情")</f>
        <v/>
      </c>
      <c r="K7711">
        <f>HYPERLINK("https://yourei.jp/僕", "查看例句")</f>
        <v/>
      </c>
    </row>
    <row r="7712">
      <c r="A7712" t="inlineStr">
        <is>
          <t>牧師</t>
        </is>
      </c>
      <c r="B7712" t="inlineStr">
        <is>
          <t>成功</t>
        </is>
      </c>
      <c r="C7712" t="inlineStr">
        <is>
          <t>読み方：ぼくし
《新約聖書で、キリストがみずからを羊を飼う牧者にたとえたところから》プロテスタント教会の聖職者。教会の礼拝・礼典を執行し、信徒の教育・指導、布教などにあたる。</t>
        </is>
      </c>
      <c r="D7712" t="inlineStr">
        <is>
          <t>牧師さん(4%)；牧師補；牧師たち；牧師さま；牧師夫人</t>
        </is>
      </c>
      <c r="E7712" t="inlineStr">
        <is>
          <t>大臣；神父；公使；聖職者；副牧師</t>
        </is>
      </c>
      <c r="F7712" t="inlineStr">
        <is>
          <t>教区牧師；副牧師；ガイ牧師；榎本牧師；神戸牧師</t>
        </is>
      </c>
      <c r="G7712" t="inlineStr">
        <is>
          <t>牧師の仕事；牧師館の殺人；牧師rocks</t>
        </is>
      </c>
      <c r="H7712" t="n">
        <v>29</v>
      </c>
      <c r="I7712" t="inlineStr">
        <is>
          <t>父はイギリス生まれの牧師でアメリカに移住し、母はカナダ人であった。；ベルンの教会の牧師が1625年に始めたのが起源だと言われている。；長老派教会の牧師である父の仕事の性質により頻繁に引っ越しを行った。；主教の監督下に司祭が置かれ、主に地域の個教会の牧師の任務に従事する。；彼が公式に牧師として任じられる日に、ヨーロッパで戦争が勃発した。；その町の牧師と親しくなったフィニーは教会に出席するようになった。；聖ヴァルブルガ・ヴィンケル牧師教会の墓地にカロリーネは埋葬された。；当時札幌には教会がなかったので、彼らは牧師の役を交代で務めた。；広島には父の妹・井出睦世が牧師の夫ともに住んでいたので、そこから通った。；また同話には、監督と親交のあった小倉一郎が牧師役でゲスト出演している。；彼の見解は、牧師としての在任したデトロイトでの期間のうちに発展した。；牧師は考古学者でもあり、遺跡の銘によると呪いがあるらしいと注意した。；日本基督教団は戦時中から多くの女性牧師を採用し、教会で語らせた。；これはジョンが一連の犯行を認めた地元の教会の牧師宛の手紙を残していたためである。；牧師館とは各教区の牧師が居住する、または以前に居住していた家屋。；この署名者達の中では唯一の現役牧師かつ大学の学長であった。；アダムズは自分でも語る言葉で影響を与えたいと思い、将来は牧師になろうと考え始めた。；これは彼の牧師年金だけでは望めなかったような経済的自立をもたらした。；この出来事に深く心を痛めた彼は牧師になる決意をした。；ツツはまた隣接するフォート・ヘア大学の聖公会牧師として任命された。；カルヴァン派の牧師であった経歴はゴドウィンを理解する場合重要である。；バプテスト教会は、牧師と信徒の間の身分的上下関係や区別はないとする。；父はイェータランドの高等学校長、牧師であり、4歳のときに死別した。；父は会衆派教会の牧師で、息子にも聖職者の道を歩んで欲しいと思っていた。；父は牧師にしたいと思っていたが、ジョンソンは法律の世界で経験を積むことにした。；一時牧師をするが、フランス啓蒙思想に接して信仰に揺さぶりをかけられた。；ハント牧師は最初の年を生き残れなかった者の中に入っていた。；しかし卒業後は父が望んだように牧師としての経歴を歩みたいとは思わなかった。；その後すぐにアイルランドから別のいとこで牧師のコラムがきた。</t>
        </is>
      </c>
      <c r="J7712">
        <f>HYPERLINK("https://www.weblio.jp/content/牧師", "词义详情")</f>
        <v/>
      </c>
      <c r="K7712">
        <f>HYPERLINK("https://yourei.jp/牧師", "查看例句")</f>
        <v/>
      </c>
    </row>
    <row r="7713">
      <c r="A7713" t="inlineStr">
        <is>
          <t>牧場</t>
        </is>
      </c>
      <c r="B7713" t="inlineStr">
        <is>
          <t>成功</t>
        </is>
      </c>
      <c r="C7713" t="inlineStr">
        <is>
          <t>読み方：ぼくじょう
牛・馬・羊などの家畜を放牧する設備をもった場所。まきば。</t>
        </is>
      </c>
      <c r="D7713" t="inlineStr">
        <is>
          <t>牧場主(5%)；牧場経営；牧場内；牧場時代；牧場賞</t>
        </is>
      </c>
      <c r="E7713" t="inlineStr">
        <is>
          <t>草原；牧；牧野；放牧地；牧草地</t>
        </is>
      </c>
      <c r="F7713" t="inlineStr">
        <is>
          <t>同牧場；育成牧場；大牧場；シンボリ牧場；小さな牧場</t>
        </is>
      </c>
      <c r="G7713" t="inlineStr">
        <is>
          <t>牧場物語；牧場物語シリーズ；牧場の朝；牧場の少女カトリ；牧場の小道</t>
        </is>
      </c>
      <c r="H7713" t="n">
        <v>29</v>
      </c>
      <c r="I7713" t="inlineStr">
        <is>
          <t>前後して、無事成長し牧場に嫁いでいた妹との再会も果たすのであった。；主人公は、自分の手で、牧場をかつての立派な姿に蘇らそうと決意した。；生産は世界中の牧場で行われ、各地の競馬界に強い影響を及ぼしている。；早生まれで大きく育った仔は牧場で評判が高く、病気せず健康であった。；これは牧場所有施設で和田が自ら陣頭指揮をとり調教するためであった。；牧場の運営は新たな会社「プーキーファーム」が行う予定になっている。；また、長い胴は乗馬時にも、牧場での作業時にも石やトゲから脚を守る。；世界の良血を日本に導入しては、牧場で内国産馬を産み出し続けていた。；紗那沼周辺など比較的平地が多く、牧場では馬だけでなく牛も飼われた。；実際に牧場で飼育されている馬などにもそのような姿を見られることがある。；ネブラスカ州の住民は、大草原を牧場や農場に科学的な方法で転換した。；・農場に牧草の種が追加され、それを買わないと牧場に牧草が生えない。；山の頂上の平坦な地点には牧場があり、ヒツジが草を食む姿も見られる。；続いて同年公開の清水宏監督『村の牧場』では早くも主役に抜擢された。；現在ヨークシャーにあるホイテカーの自宅前の牧場に埋葬されている。；なお、現在も牧場であった当時の建物の一部が使用されている。；明治時代までは農業が広く行われており、地域内には牧場もあった。；一方で、輸送用ではなくラクダ乳を入手を目的とした牧場も運営されている。；このため、財力があっても「牧場主」となることは法制度上困難である。；同じく牛欄村という村は、元々は糜竺所有の荘園・牧場であったという。；なわばりを持ち、林の中の湖のほとりや、牧場と林の境などでも見られる。；一度引退して競走馬の牧場を経営していたブーズー・チェイヴィスも復活。；市の中央部の上品山には牧場があり、周辺では畜産業も行われている。；怪我は重症であったが何とか回復し、故郷の藤原牧場で繁殖牝馬となる。；牧場の関係者によれば、朝放牧に出そうとしていたところ、死んでいたという。；第4期の在学生は当時、学校の敷地は以前は牧場だったと聞かされていた。；その後1965年にドイツのシュロースフレンズ牧場へ輸出されたという。；集落には郵便局や小学校などあるが、集落の外に出ると牧場などが広がっている。；なお、撤退に先だって、戸川牧場など関係者の牧場へ移転した馬もいる。</t>
        </is>
      </c>
      <c r="J7713">
        <f>HYPERLINK("https://www.weblio.jp/content/牧場", "词义详情")</f>
        <v/>
      </c>
      <c r="K7713">
        <f>HYPERLINK("https://yourei.jp/牧場", "查看例句")</f>
        <v/>
      </c>
    </row>
    <row r="7714">
      <c r="A7714" t="inlineStr">
        <is>
          <t>牧畜</t>
        </is>
      </c>
      <c r="B7714" t="inlineStr">
        <is>
          <t>成功</t>
        </is>
      </c>
      <c r="C7714" t="inlineStr">
        <is>
          <t>読み方：ぼくちく
馬・牛・羊などの家畜を飼育し繁殖させること。また、その産業。</t>
        </is>
      </c>
      <c r="D7714" t="inlineStr">
        <is>
          <t>牧畜領主(3%)；牧畜犬(2%)；牧畜生活；牧畜家；牧畜状態</t>
        </is>
      </c>
      <c r="F7714" t="inlineStr">
        <is>
          <t>老牧畜</t>
        </is>
      </c>
      <c r="G7714" t="inlineStr">
        <is>
          <t>牧畜民；牧畜民族；牧畜文化；牧畜社会</t>
        </is>
      </c>
      <c r="H7714" t="n">
        <v>29</v>
      </c>
      <c r="I7714" t="inlineStr">
        <is>
          <t>牧畜も冬になればほとんど出来難いので他へ移転する者もある位です。；牧畜県の一つはカザフ族、他の二つの県は蒙古族が大部分を占めている。；また、新石器時代の牧畜活動を示唆する考古学的証拠が発見されている。；集落には小さな農場があったが、牧畜と森林開拓が主要な活動であった。；しかし、近年では牧畜をやめ定住し、都市部で生活する人が増えてきた。；逆に漁村に住む者は、オフシーズンには牧畜や都市生活を営む人もいる。；カドー郡では牛の牧畜とコムギおよびピーナッツの農業が行われている。；しかし諸部の民がほしいままに牧畜して、かえって侵攻を招くようになった。；ソマリランドの経済は牧畜や農業などの一次産業に大きく依存している。；フラニ族やベドウィン族のような牧畜を行ってきた集団では多く分布する。；この地域の土地の豊かさのおかげで、牧畜は地域の住民のための重要な活動である。；公園に指定されている地域は既に一万年以上前から狩りや牧畜を行う人が住んでいた。；農業や牧畜に経験はなくても、本を買って研究すれば食糧ぐらいは賄える。；しかし日本で羊の牧畜が行なわれたのは、おそらく明治以後でありましょう。；遊牧民には主に家畜の羊やヤクを移動させる牧畜犬として使われていた。；戦士でもあるこれらの牧畜者の野営地には、多くの女がいたが子供はいなかった。；紀元前7000年頃、こうした中から本格的な農耕牧畜生活が始まった。；歴史的に騎馬民族が活躍した地域であり、昔から牧畜が盛んである。；また牧畜国では、放牧により失われた森林の緑化が課題となる事もある。；その地で農業は困難であったため一家は牧畜に転じ、今日に至るまでそれを続けている。；たとえば牧畜生活と都市生活ではエネルギー消費の差が1000倍ともいわれる。；可耕地の多くが農地とされているため牧畜はあまり行われていない。；欧州の農業経済を知るにはその基礎たる牧畜の知識を切要したからである。；大人以下、それぞれに牧畜を仕事とし、徭役にかり出されることはない。；夕張地域は夕張メロンを始め稲作、牧畜等農業が次第に発展していった。；農業は連邦政府の助成を受けて牧畜が細々と行われている程度である。；牧畜状態の性質そのものが戦争に対する不断の機会を与えるように思われる。；農業と牧畜が盛んで、特にアルザス側のブドウ栽培とワインが有名である。；この傍証としては半乾燥地域での牧畜が人間の管理色の強い面が挙げられる。</t>
        </is>
      </c>
      <c r="J7714">
        <f>HYPERLINK("https://www.weblio.jp/content/牧畜", "词义详情")</f>
        <v/>
      </c>
      <c r="K7714">
        <f>HYPERLINK("https://yourei.jp/牧畜", "查看例句")</f>
        <v/>
      </c>
    </row>
    <row r="7715">
      <c r="A7715" t="inlineStr">
        <is>
          <t>ぼけ</t>
        </is>
      </c>
      <c r="B7715" t="inlineStr">
        <is>
          <t>成功</t>
        </is>
      </c>
      <c r="C7715" t="inlineStr">
        <is>
          <t>読み方：ぼけ
１ぼけること。また、その人。「時差—」「連休—」
２漫才で、つっこみに対して、とぼけた役を演じる者。また、そのとぼけ。ぼけ役。
３（暈け）カメラのレンズの被写界深度を意図的に浅くすることによって生じる効果。人物や花などの主たる被写体にのみピントを合わせ、背景から浮かび上がらせたり（後ぼけ）、手前にある物体をぼかして遠近感を強調したり（前ぼけ）することをいう。</t>
        </is>
      </c>
      <c r="D7715" t="inlineStr">
        <is>
          <t>ぼけて来；ぼけ老人；ぼけてしまい；ぼけてる；ぼけてくる</t>
        </is>
      </c>
      <c r="E7715" t="inlineStr">
        <is>
          <t>ぼやけ；暈け</t>
        </is>
      </c>
      <c r="F7715" t="inlineStr">
        <is>
          <t>煤ぼけ；そらっとぼけ；うすぼけ；薄ぼけ；寢ぼけ</t>
        </is>
      </c>
      <c r="G7715" t="inlineStr">
        <is>
          <t>ぼける；ぼけーっと；ぼけーと；ぼけよ；ぼけナース</t>
        </is>
      </c>
      <c r="H7715" t="n">
        <v>29</v>
      </c>
      <c r="I7715" t="inlineStr">
        <is>
          <t>だんだんぼけてきたみたいだと、母は、父のことをそんなふうに言った。；記者はちょっととぼけた奴でしたが、あなたの情報を欲しがってました。；空の色はもう春のそれで、うすぼけた雲の輪郭もまた春そのものだった。；ぼけているのか本気で言っているのか判断のつかない女性だった。；普通にしていてもどこかとぼけた雰囲気のある、目の大きな三枚目だった。；だが、川島先生は石塚の前に立つと、少しもぼけの気配も見せなかった。；頭がぼけていたせいか、殺されて運ばれている最中だな、と思った。；孫一郎は、眼やにをつけて薄ぼけたような顔でぼんやり庭へ向って坐っていた。；「ご承知のようなわけでねえ」 刑事部長が空っとぼけた調子でいった。；皆と一緒にぼけた爺様を馬鹿にしたのは、ついこの前のことではなかったのか。；まだ頭がぼけているのかもしれないが、もっとここにいたいと思った。；ある朝、ぼけの枝に、きれいな小鳥が飛んできて、いい声でなきました。；ご門のところに、ぼけの花のいっぱいに咲いている家もありました。；台員の行動は統一性に欠けるところが多く、どこか意識がぼけていた。；仕方なく、上り端のところに、きちっと坐って、空っとぼけて見ていた。；老人ぼけのようなものが少し始まっているのかもしれない。；宿屋女のジャレットは太っていたけど、決してぼけているわけじゃない。；英語で話して居るのを見てぼけたような顔をして居る。；目を開けても、ピントのぼけたカメラのように、視界がぼんやりとしていた。；すると、真実の鏡に映っていた教王の像が、溶けるようにしてぼけた。；いくらぼけて来ても、感覚までがおかしくなるところまでは来ていないはずだ!；ぼけたふりをしたって、ぼけ老人の気持ちなんてわかるはずがないからな。；きっと村木先生の頭の中では、私はただの色ぼけの変人の主婦なのだ。；いくらぼけても、夫婦同然だった男のことぐらい覚えているだろう。；彼女はまだ全然といっていいほど頭がぼけていなかった。；不思議なものだと思うが、ぼけた老人の考えを理解するのは不可能だと経験者たちはいう。；そのとき引き残された窓布のすきに妙に黄ぼけた腓がふと動いた。；「忘れ物でもしたかな」 とぼけて言ってやると、コルは下唇を噛んだ。；「さあて、どうしてでござろう」 とぼけたが、修理にはわかっている。</t>
        </is>
      </c>
      <c r="J7715">
        <f>HYPERLINK("https://www.weblio.jp/content/ぼけ", "词义详情")</f>
        <v/>
      </c>
      <c r="K7715">
        <f>HYPERLINK("https://yourei.jp/ぼけ", "查看例句")</f>
        <v/>
      </c>
    </row>
    <row r="7716">
      <c r="A7716" t="inlineStr">
        <is>
          <t>捕鯨</t>
        </is>
      </c>
      <c r="B7716" t="inlineStr">
        <is>
          <t>成功</t>
        </is>
      </c>
      <c r="C7716" t="inlineStr">
        <is>
          <t>読み方：ほげい
鯨をとること。くじらとり。いさなとり。《季冬》→国際捕鯨取締条約</t>
        </is>
      </c>
      <c r="D7716" t="inlineStr">
        <is>
          <t>捕鯨者(7%)；捕鯨基地(5%)；捕鯨業(4%)；捕鯨船(2%)；捕鯨産業</t>
        </is>
      </c>
      <c r="F7716" t="inlineStr">
        <is>
          <t>生存捕鯨；小型捕鯨；近代捕鯨；南氷洋捕鯨；捕鯨銃</t>
        </is>
      </c>
      <c r="G7716" t="inlineStr">
        <is>
          <t>捕鯨母船；捕鯨砲；捕鯨国；捕鯨問題；捕鯨文化</t>
        </is>
      </c>
      <c r="H7716" t="n">
        <v>29</v>
      </c>
      <c r="I7716" t="inlineStr">
        <is>
          <t>また、市内には捕鯨を専門としたヨーロッパ唯一の博物館であるがある。；スペインやフランスに残る岩絵には、捕鯨の場面が描かれたものもある。；ぼくたち捕鯨者がどんなものであり、またどんなものであったか見てみよ。；伝統的な捕鯨地域では現在でもこうした方式を用いている例がある。；紀元前から、捕鯨を行う民族がいたと推察される遺跡が発見されている。；ところが、捕鯨者は光の源を求めているのだから、光の中に生活している。；捕鯨用の矛は、軍艦で同じ名前で呼ばれている敵艦侵入用のと似ている。；が、そうはいうものの、それは捕鯨の危険な運命の一つを示している。；たったひとつしか捕鯨の場面の絵がないが、それが失敗であるのは悲しい。；また彼の到達したスヴァールバル諸島は、直後から捕鯨の拠点となった。；これにより、基地設備の無い場所でも捕鯨を行うことが可能となった。；こうして日本の大捕鯨漁場が一般に知られるようになったのである。；もう人気のなくなった捕鯨場を歩いているとき、ジルがぼくに言った。；北岸にある捕鯨基地を直接目指していくのは危険性が高いと判断した。；だが、捕鯨者たちがみんな、その存在を知っているわけではなかった。；アメリカ海軍が建設した埠頭の一つは後にハヴァル捕鯨会社が使用した。；私は今でも捕鯨についての日本の主張はまちがっていなかったと思う。；以前から大西洋で盛んだった捕鯨が北太平洋での新たな産業になった。；これが功を奏し、捕鯨会社と地域の関係の改善につなげることができた。；その各捕鯨場は三隻のキャッチャーボートしか持つことを許されていないのだ。；小笠原諸島での捕鯨に成功して、塩飽衆の将来が見えてきた気がした。；もっとも、古式捕鯨の行われた地域は近代捕鯨産業でも重要な拠点だった。；ここで言っておくが、捕鯨業では閑職があるなどとは聞いていない。；それもよし、だが、だれもが、捕鯨はなんとなく尊敬できないというが。；なお、当時捕鯨は職業の中で最も収益が高額であったといわれている。；島に移住した中尾氏が小川島を本拠地とし、千人以上を率いて捕鯨を行った。；銛と網を併用する鯨網組を始めるなど捕鯨組織有川組の発展に尽力した。；捕鯨活動に関連して、捕鯨従事者など特有の文化が生まれた例がある。；太地が再び捕鯨の町となるのは25年ほど経った日露戦争後のことである。</t>
        </is>
      </c>
      <c r="J7716">
        <f>HYPERLINK("https://www.weblio.jp/content/捕鯨", "词义详情")</f>
        <v/>
      </c>
      <c r="K7716">
        <f>HYPERLINK("https://yourei.jp/捕鯨", "查看例句")</f>
        <v/>
      </c>
    </row>
    <row r="7717">
      <c r="A7717" t="inlineStr">
        <is>
          <t>惚ける</t>
        </is>
      </c>
      <c r="B7717" t="inlineStr">
        <is>
          <t>成功</t>
        </is>
      </c>
      <c r="C7717" t="inlineStr">
        <is>
          <t>読み方：とぼける
［動カ下一］［文］とぼ・く［カ下二］
１聞かれたことに対して、わざと知らないふりをする。しらばくれる。「肝心の点になると—・ける」
２どことなく間のぬけたこっけいな表情やしぐさをする。「—・けた味がある」
３老いて頭の働きが鈍くなる。ぼける。
「—・ケテ我ガ子ノ顔モ知ラヌ」〈和英語林集成〉</t>
        </is>
      </c>
      <c r="H7717" t="n">
        <v>29</v>
      </c>
      <c r="I7717" t="inlineStr">
        <is>
          <t>けど、一瞬惚けた顔をしたあと、大事なことを思い出したように言った。；本当に知らなかったのか、知っていて惚けたのか、は判断がつかない。；古惚けたアパートがあるのだが、いったい住人がいるのやらいないのやら。；その惚けた会の名が示す通り、本格的な登山をやるグループではない。；女王は俺に横抱きにされたまま、惚けたように炎が躍る様を見つめている。；四人は畏怖と感動に打たれ、惚けたようにその光景を見つめていた。；その爺さん、どう考えたって素っ惚けてるようにしか思えないですから。；気がつくと姿を消しており、ああして一日中でも惚けている。；ああ、惚けていない人は僕とおんなじIDカードを持たせてあります。；惚けたようにそれだけを考えながらじっと空を見ていた。；そんなことを忘れていたこと自体、おれはラトーニャ惚けをしていたのだ。；「誰かに何か言われたんですか」 「どうかな」と、惚けた顔をした。；そして、その隕石の一件から五日後、俺は惚けた毎日を送っていた。；その膝の上で、心なしか「定やん」も惚けた顔をしているように見える。；入り口に惚けたように突っ立っていた二人の高校生が慌ててドアを閉めた。；その束の間だけ、彼女はふと、ぼんやり心惚けた人間のように見えた。；自分の身になにが起きているのか気づいたはずだが、男は惚けたように海の方角を見ていた。；モモコは惚けた口調で「作戦が終わったら教えるわよ」とウインクした。；少少惚けておられるとはいっても、下のほうはしっかりしてるわ。；その、僕自身は一生涯寝泊まりしそうもない部屋で、一人惚けていた。；それは惚けているのではなく、本当に思い出せないようであった。；「何の用だかあてて御覧なさい」 津田は空っ惚けて、考える真似をした。；直郎は口を半ば開けたまま、惚けたように女を見つめた。；誰もが、ただ瞬間瞬間の悦楽を求めて、惚けたような顔で彷徨い歩いている。；惚けているようにも、本当に何も知らないようにも見えた。；ここ一週間ぐらい、夜、いちどはいったベッドから惚け出もしません。；こうして惚けたようにしていたかわからなかった。；俺とディーは声もなく、惚けたようにその姿を見上げていた。；黒い帽子を目深くかぶって、どこか惚けたような表情で。</t>
        </is>
      </c>
      <c r="J7717">
        <f>HYPERLINK("https://www.weblio.jp/content/惚ける", "词义详情")</f>
        <v/>
      </c>
      <c r="K7717">
        <f>HYPERLINK("https://yourei.jp/惚ける", "查看例句")</f>
        <v/>
      </c>
    </row>
    <row r="7718">
      <c r="A7718" t="inlineStr">
        <is>
          <t>保健</t>
        </is>
      </c>
      <c r="B7718" t="inlineStr">
        <is>
          <t>成功</t>
        </is>
      </c>
      <c r="C7718" t="inlineStr">
        <is>
          <t>読み方：ほけん
健康を守り保つこと。</t>
        </is>
      </c>
      <c r="D7718" t="inlineStr">
        <is>
          <t>保健医療(7%)；保健福祉(4%)；保健相(3%)；保健局(3%)；保健機関(2%)</t>
        </is>
      </c>
      <c r="E7718" t="inlineStr">
        <is>
          <t>衛生；養生；摂生；健康法</t>
        </is>
      </c>
      <c r="F7718" t="inlineStr">
        <is>
          <t>地域保健；福祉保健；環境保健；総合保健；保健部</t>
        </is>
      </c>
      <c r="G7718" t="inlineStr">
        <is>
          <t>保健室；保健体育；保健省；保健師；保健婦</t>
        </is>
      </c>
      <c r="H7718" t="n">
        <v>29</v>
      </c>
      <c r="I7718" t="inlineStr">
        <is>
          <t>障害を理由に、医療や保健などの健康サービスを拒否されてはならない。；女性は、必要とされる保健部門やその他の部門で働くことができる。；保健医療の開発と医療支援は、協力活動の主な成功分野の一つである。；公共の保健医療施設はサービスレベルに応じて3段階に分けられている。；政府形成が遅れたため、同年5月まで代理で保健担当を保持していた。；これによる改革は保健制度のみではなく、陸軍全体の組織改革につながった。；健康保健の患者は1950年に初めて温泉に入ることを許された。；この大学は、社会・保健課程および社会奉仕員の育成課程を有している。；国民保健制度は、公立病院の医療費が原則無料である従来の制度を堅持。；頼子は学校で、保健の先生に成りすましていた悪魔の部下に襲われる。；最後に支援についての領域には保健、産業、教育、防災が含まれている。；医者としての教育を受け、1992年保健・社会安全相に任命された。；政府の定住政策は普通、学校や保健、法などのサービス実施の都合からくる。；この本によれば李は保健医師に過ぎず、毛沢東と話をする機会はほとんどなかった。；保健では性教育や健康・環境・福祉・家族に関する教育が行なわれる。；国民一人あたりの保健支出は、OECD各国において米国に次いで高い。；北朝鮮では国家の保健・医療政策によって無料医療制が確立されているとされている。；学校保健の領域は、保健管理と保健教育に2つに大別することができる。；外務ほど重要ではない地位に就いていたが、数ヶ月後に保健副大臣に任命された。；休んだ自分が悪いと冷たく言われ仕方なく保健委員の仕事をする。；米国では、この抗毒素がCDCを介して地元の保健局から入手可能である。；村では福祉・医療・保健施設を集約した「やすらぎの里」を運営している。；また、季節によっての新聞を出したり、毎月の保健注意なども発布する。；本校には独立した保健棟があり、治療室と休養室の設備があった。；私財によって国内に多くの教育・保健施設を建設し、維持費を支払った。；これまで病院中心アプローチが主であった援助機関も地域保健プログラムを重視するようになった。；そのため、人の健康状態を守るために行われるのが保健換気である。；この抗議運動で活動家がスウェーデン保健福祉庁を占拠する事件が起こった。；水質は保健局が行っており、地元の漁師が魚の管理と施設の保守を行っている。</t>
        </is>
      </c>
      <c r="J7718">
        <f>HYPERLINK("https://www.weblio.jp/content/保健", "词义详情")</f>
        <v/>
      </c>
      <c r="K7718">
        <f>HYPERLINK("https://yourei.jp/保健", "查看例句")</f>
        <v/>
      </c>
    </row>
    <row r="7719">
      <c r="A7719" t="inlineStr">
        <is>
          <t>保険</t>
        </is>
      </c>
      <c r="B7719" t="inlineStr">
        <is>
          <t>成功</t>
        </is>
      </c>
      <c r="C7719" t="inlineStr">
        <is>
          <t>読み方：ほけん
火災・死亡など偶然に発生する事故によって生じる経済的不安に備えて、多数の者が掛け金を出し合い、それを資金として事故に遭遇した者に一定金額を給付する制度。生命保険・損害保険など。「—を掛ける」「—に入る」</t>
        </is>
      </c>
      <c r="D7719" t="inlineStr">
        <is>
          <t>保険給付(3%)；保険適用(3%)；保険商品；保険適応；保険外交員</t>
        </is>
      </c>
      <c r="E7719" t="inlineStr">
        <is>
          <t>確信；保証；保障；担保；保険証券</t>
        </is>
      </c>
      <c r="F7719" t="inlineStr">
        <is>
          <t>保険サービス；保険金；保険期間；保険業者；公的保険</t>
        </is>
      </c>
      <c r="G7719" t="inlineStr">
        <is>
          <t>保険金；保険料；保険者；保険証；保険契約</t>
        </is>
      </c>
      <c r="H7719" t="n">
        <v>29</v>
      </c>
      <c r="I7719" t="inlineStr">
        <is>
          <t>ただし、それはそのような加入者が保険に加入できないことを意味しない。；後述の保険付通常の場合もRから始まる番号の場合が多いので注意が必要。；これらは保険の適用審査が厳格になるに従って行われなくなっていった。；保険が適用されるような重大事故となると問題が起きることがある。；保険の条件は、全ての損害を担保する全危険担保が最も利用されている。；この結果自転車に特化した保険は団体向け販売のみになっている。；海外では頻用されるが、我が国では保険適用になっておらず使用できない。；自分の物か他人の物かの違いがあるが、物の損害を対象とする保険に性質上近い。；また、バストに1億5000万円の保険が掛けてある事で話題になった。；また保険窓口の平日18時までの営業時間延長も継続して行われている。；保険やコーリングカードなど様々なマイル加算方法が用意されている。；これらは保険が適用されるため、美容整形よりも安く施術が可能である。；他の保険では、この事故発生ベースとすることが一般的である。；このうちいくつかの段階では洪水保険への加入強制要件が適用される。；労働者が故意に事故を生じさせた場合は、保険給付は全く行われない。；患者は病気にかかっており、契約した保険会社の保険に入っている。；全日本鍼灸マッサージ師会も、賠償保険に加入する治療家が増えてきた。；日本では2001年2月に保険適用となり、以降広く使用されている。；その欠点を補うために販売されるようになった保険が終身保険である。；個々の建設現場の保険関係の処理を本社で一括して行う場合等が想定される。；世界の金・商品・長短期資本・海運・保険の諸取引はロンドンを中心市場とした。；また、かつては政府が運営していた簡易保険は、公営保険の一つであった。；ここ数十年で雇用の多くは金融サービス、保険、医療に移行していった。；後に、自衛隊保険として協栄生命の大きな顧客となっていくこととなる。；その結果、彼はニューヨークで保険業界の調査を任命された。；バンドは成功を収め、デボラ自身も自らの唇に保険がかけられるほどの人気を得る。；傘のように、他の保険を上からカバーしていることから、この名称となっている。；保険の質に問題があるかどうかは、船舶が座礁するまで証明されない問題もある。；また造船場で働く工員のために、日本で初めて障害保険を導入した。</t>
        </is>
      </c>
      <c r="J7719">
        <f>HYPERLINK("https://www.weblio.jp/content/保険", "词义详情")</f>
        <v/>
      </c>
      <c r="K7719">
        <f>HYPERLINK("https://yourei.jp/保険", "查看例句")</f>
        <v/>
      </c>
    </row>
    <row r="7720">
      <c r="A7720" t="inlineStr">
        <is>
          <t>保護</t>
        </is>
      </c>
      <c r="B7720" t="inlineStr">
        <is>
          <t>成功</t>
        </is>
      </c>
      <c r="C7720" t="inlineStr">
        <is>
          <t>読み方：ほご
［名］(スル)
１外からの危険・脅威・破壊などからかばい守ること。「傷口を—する」「森林を—する」
２応急の救護を要する理由のあるとき、警察署などに留め置くこと。「迷子を—する」</t>
        </is>
      </c>
      <c r="D7720" t="inlineStr">
        <is>
          <t>保護するため(4%)；保護される(3%)；保護下；保護者；保護活動</t>
        </is>
      </c>
      <c r="E7720" t="inlineStr">
        <is>
          <t>管理；維持；保存；守る；保持</t>
        </is>
      </c>
      <c r="F7720" t="inlineStr">
        <is>
          <t>過保護；法的保護；保護団体；手厚く保護；保護する目的</t>
        </is>
      </c>
      <c r="G7720" t="inlineStr">
        <is>
          <t>保護区；保護国；保護領；保護地域；保護観察</t>
        </is>
      </c>
      <c r="H7720" t="n">
        <v>29</v>
      </c>
      <c r="I7720" t="inlineStr">
        <is>
          <t>州内には31の国が保護する原生地の全体あるいは一部が含まれている。；同じく、一部の衣服のデザインが保護されることが特に定められている。；近代以降は観光地・名勝地としてさらに保護されるようになっていった。；その後、1892年までに全ての首長国がイギリスの保護下に置かれた。；海上交易を保護されたフェニキア人はこの時代にも大きな足跡を残した。；英国病で保護しきれなくなったフォレスタルは1969年に解体された。；このためDoS攻撃からサービスを保護する助けとなる場合もある。；保護すべきとの声もあったが、それでもまだ莫大な数がおり検討されなかった。；現在では、生物の持込には厳しい制限を敷く保護政策がとられている。；両者は労働者保護に関する志は共有していたが方法論に違いがあった。；これは通常の奴隷には与えられていない保護であった。；機密情報の保護の観点からは適切な廃棄方法を徹底することが重要になる。；以下に表示されている保護記録等も参照してください。；新しい町と古代の町に分けられて、遺跡群は保護されている。；外国人投資家を保護するために闇株を駆逐することになったのである。；この建物は19世紀後期に建設されたもので、保護文化財に指定されている。；その一方で、労働者保護のための社会保障政策の拡充も成し遂げられる。；災害の防止や資源の保護のために植生を利用することも広く行われている。；伎楽面の展示は、作品保護のため、金曜日・土曜日のみ公開されている。；そのため、ソテツと同様に天然記念物に指定され保護されているものも多い。；独立後、政府は主要産業を国有化し、保護政策の下で工業を発展させてきた。；ボイル自身は帰国してロンドンに着き、姉とその夫の保護を受けた。；頚椎を保護して移動させたりするには知識も機材も必要になる。；Architectのタイトルは英国で法律で保護されている。；各国の文化遺産は国内でそれぞれ保護される他、国際的な保護体制も構築されている。；そのような中で、種子の元である胚珠は胞子葉の間に保護される傾向がある。；著作者の権利の保護の目的は、大きく分けて二つの立場から説明されることが多い。；この建物は1888年に建設され、1997年に保護文化財に指定された。；首都の開封に入った趙匡胤は柴宗訓を保護して禅譲を受け、宋を建てた。</t>
        </is>
      </c>
      <c r="J7720">
        <f>HYPERLINK("https://www.weblio.jp/content/保護", "词义详情")</f>
        <v/>
      </c>
      <c r="K7720">
        <f>HYPERLINK("https://yourei.jp/保護", "查看例句")</f>
        <v/>
      </c>
    </row>
    <row r="7721">
      <c r="A7721" t="inlineStr">
        <is>
          <t>母校</t>
        </is>
      </c>
      <c r="B7721" t="inlineStr">
        <is>
          <t>成功</t>
        </is>
      </c>
      <c r="C7721" t="inlineStr">
        <is>
          <t>読み方：ぼこう
その人が学んで卒業した学校。出身校。
[補説] 現在学んでいる学校についていうこともある。</t>
        </is>
      </c>
      <c r="D7721" t="inlineStr">
        <is>
          <t>母校である早稲田大学；母校である静岡；母校東京；母校愛；母校舎</t>
        </is>
      </c>
      <c r="F7721" t="inlineStr">
        <is>
          <t>我が母校；わが母校；母校東大；母校早稲田大学；母校教授</t>
        </is>
      </c>
      <c r="H7721" t="n">
        <v>29</v>
      </c>
      <c r="I7721" t="inlineStr">
        <is>
          <t>学校間競争が行われ掲載されることは母校の名を挙げる名誉なことだった。；社業を終えた後に母校の体育館で練習を続けながらの競技生活を送る。；また母校・多摩美術大学の講師を勤めた他、自動車レースにも出場した。；第二次世界大戦中は政府の情報部に勤め、戦後は母校の教授に迎えられた。；昨年まで母校である中京大学で女子ソフトボール部のコーチをしていた。；その他にも、母校をはじめとした多くの学校の校歌も作曲している。；また母校東京大学をはじめ、いくつか大学や教育機関の講師を務める。；また母校のHaughton高校は彼を記念した公園を設立した。；小柳ルミ子の母校の夜警アルバイトなどをしながら競技生活をつづけた。；舞台の蒼陵高校の寮は、作者の地元にある弟の母校がモデルになっている。；同年の秋に母校である日本大学の硬式野球部の監督に就任する。；卒業後は母校の教師となり講義を行っていたが、ロシア革命が起こる。；舞台となる吉野北高校のモデルは作者の母校である徳島県立城北高等学校。；引退後に同年7月から母校の朝日大学の職員として働く予定が示された。；現在は母校である青山学院大学女子バレーボール部でコーチを務めている。；この際に母校・松山商業のユニフォームに約30年ぶりに袖を通している。；卒業後は専修大学へ進むが、家庭の事情から中退して母校でコーチをしていた。；また、卒業した者を卒業生といい、卒業した学校を母校、出身校などという。；故郷に戻り母校の代用教員となるが、またしても家族に内緒で家を飛び出した。；なお、1996年には、母校である東京大学より博士の学位を取得した。；大学や高等学校の応援団には、母校の漢字を表す動きも取り入れられている。；現役引退後は母校の日本大学サッカー部などでコーチを務めていた。；また、母校である九州大学では高等研究院にて特別主幹教授に就任した。；ピオリア市の母校ウッドラフ高では父親が音楽活動の傍ら教師を務めていた。；チュンサンが転校したのは母の母校で父のことを調べるためだった。；晩年は、母校の広島大学附属中・高等学校で主に中学生の指導にあたった。；この学校の建築はボールドウィンの母校であるイェール大学をモデルにしていた。；現在は母校の東京音楽大学および付属高等学校で講師を務める。；現在は母校の三重県立桑名西高等学校で生徒の指導にあたっている。</t>
        </is>
      </c>
      <c r="J7721">
        <f>HYPERLINK("https://www.weblio.jp/content/母校", "词义详情")</f>
        <v/>
      </c>
      <c r="K7721">
        <f>HYPERLINK("https://yourei.jp/母校", "查看例句")</f>
        <v/>
      </c>
    </row>
    <row r="7722">
      <c r="A7722" t="inlineStr">
        <is>
          <t>歩行者</t>
        </is>
      </c>
      <c r="B7722" t="inlineStr">
        <is>
          <t>成功</t>
        </is>
      </c>
      <c r="C7722" t="inlineStr">
        <is>
          <t>読み方：ほこうしゃ
道路上を歩いている人。「—優先」</t>
        </is>
      </c>
      <c r="D7722" t="inlineStr">
        <is>
          <t>歩行者専用(13%)；歩行者用(10%)；歩行者通路；歩行者動線；歩行者および自転車</t>
        </is>
      </c>
      <c r="F7722" t="inlineStr">
        <is>
          <t>歩行者検知；自転車歩行者；歩行者街路；歩行者天国；歩行者通行量</t>
        </is>
      </c>
      <c r="G7722" t="inlineStr">
        <is>
          <t>歩行者専用道路；歩行者道；歩行者専用橋；歩行者デッキ；歩行者空間</t>
        </is>
      </c>
      <c r="H7722" t="n">
        <v>29</v>
      </c>
      <c r="I7722" t="inlineStr">
        <is>
          <t>通学路にもなっている場所では歩行者の安全が確保できないこともある。；上下線の自動車用トンネルの間には歩行者用トンネルが設けられている。；馬車などは道の中央を走り、歩行者は道の端を歩くということになった。；なお、歩行者用の通路でも自転車が猛スピードで走っていくことが多い。；この広場には2005年に多くの歩行者用のスペースが再整備された。；バイクおよび歩行者用のポータブル・カメラなどもいくつか使用された。；これはベルン中央駅の西側入口となる線路上を覆った歩行者通路である。；当バイパスの開通により歩行者の安全が確保され渋滞も解消されている。；さらに歩道も整備されておらず、歩行者安全確保が長年の課題であった。；歩行者用トンネルの出入り口と車両用トンネルと出入口は場所が異なる。；マルクト広場と修道院教会の間に小さな歩行者専用区域が設けられた。；空港へは歩行者専用のトンネル、あるいは専用フェリーでアクセスする。；市内環状線内は、いくつかの箇所が歩行者専用区域に指定されている。；歩行者にとっても事故に巻き込まれる可能性が低くなる事が知られている。；近年は歩行者を跳ねてしまった場合の安全対策も求められるようになった。；歩行者自転車用柵は以下の表に示す設計強度に応じて、種別を区分する。；かつて当駅のホーム東側には歩行者専用の踏切が設置されていた。；近隣のヴィルマースドルファー通り は歩行者専用空間となっている。；パセオは自転車や歩行者を自動車道から分離して安全を確保している。；同じ方向でも、歩行者、馬車などは区別したほうが良いということになる。；このような環境では歩行者が極めて少ないので通常はほとんど問題にならないとされている。；これらの車両および歩行者は並行する側道を通行しなければならない。；横断歩道で手を上げている歩行者がいても無視して止まらずに進む。；橋の上流側すぐ隣には自転車・歩行者用の橋が架けられている。；また、歩行者や自転車などの通行は危険が伴い、まさに命懸けであった。；鉄道の海岸線側の自転車と歩行者の道、レイル・トレイルが建設中である。；インネンシュタットは自由交通地区と歩行者専用地区に交通の分離がなされた。；歩行者に加え、手押し状態であれば自転車・バイクの通行も可能である。；当ビルでは公開空地を広く設けており、一般の歩行者が自由に出入りできる。</t>
        </is>
      </c>
      <c r="J7722">
        <f>HYPERLINK("https://www.weblio.jp/content/歩行者", "词义详情")</f>
        <v/>
      </c>
      <c r="K7722">
        <f>HYPERLINK("https://yourei.jp/歩行者", "查看例句")</f>
        <v/>
      </c>
    </row>
    <row r="7723">
      <c r="A7723" t="inlineStr">
        <is>
          <t>母国</t>
        </is>
      </c>
      <c r="B7723" t="inlineStr">
        <is>
          <t>成功</t>
        </is>
      </c>
      <c r="C7723" t="inlineStr">
        <is>
          <t>読み方：ぼこく
自分の生まれ育った国。祖国。故国。
[用法]母国・祖国・故国——「四〇年ぶりに母国（祖国・故国）の土を踏んだ」のような場合はともに用いられる。◇「母国」は自分の生まれた国。主として外国に住んでいる人の立場で用いる。「母国語」「母国を愛する」◇「祖国」は祖先からずっと住んでいる自分の国。「祖国を守る」「祖国を捨てる」「祖国防衛」◇「故国」は自分の生まれた国、また、故郷の意で、その国や故郷を長いあいだ離れている人の言い方。「一五歳のとき故国を捨てて都会に出た」「故国で余生を送りたい」</t>
        </is>
      </c>
      <c r="D7723" t="inlineStr">
        <is>
          <t>母国アメリカ(6%)；母国イギリス(4%)；母国ブラジル；母国開催；母国フランス</t>
        </is>
      </c>
      <c r="E7723" t="inlineStr">
        <is>
          <t>本国；自国；祖国；故国；出身国</t>
        </is>
      </c>
      <c r="F7723" t="inlineStr">
        <is>
          <t>母国アルゼンチン；母国オーストラリア；母国ベネズエラ；母国gp；母国ノルウェー</t>
        </is>
      </c>
      <c r="G7723" t="inlineStr">
        <is>
          <t>母国党</t>
        </is>
      </c>
      <c r="H7723" t="n">
        <v>29</v>
      </c>
      <c r="I7723" t="inlineStr">
        <is>
          <t>彼の活躍で母国イスラエルでも中国リーグが放送されるようになった。；また家族の事情で母国への移籍を希望し試合への出場を拒否した。；連盟は3年おきにメンバー組織の母国で国際カリヨン会議を開催している。；母国ドイツを基盤とするレース活動はF3時代以来13年ぶりとなった。；世界レベルの選手を目指し母国を離れオランダでトレーニングを行っている。；家族との時間を大切にしたいという思いから母国へ居住を移した。；永山はこの出演を終えて母国・北朝鮮へ帰国、その後消息は不明である。；グループの母国アメリカ以外でも、本作はセールス的に成功を収めた。；学校教科書にも掲載されたことで母国以上に親しまれる歌となった。；母国には被害者Aと同じくらいの年齢の子供を残してきていた。；母国ではトップ・グループに位置し、全米チャートの常連となっている。；なお、兄ヒョードルと同様日本での表記は母国ロシアと逆で姓・名の順となる。；母国の米国の記憶が殆ど無い彼には台湾が世界の全てであり中国は遠い異世界であった。；母国アメリカにも同様の国立美術館を造りたいとの夢を実現させたものである。；そして獲得した賞金で母国タイに土地を買い両親にプレゼントした。；現在は母国のイタリアに戻ってピアノの教鞭をとり続けている。；英国でも良い成果が得られなかったため、1806年に母国アメリカへ戻った。；その後、2008年に母国で現役復帰し、翌年でのプレーを最後に引退した。；この二人は母国フランスの年代別代表にも選ばれた。；クルゼイロを去ってから13年ぶりに母国ブラジルに戻ってのプレーとなる。；極右はドイツよりもヒトラーの母国であるオーストリアで強い支持を得ている。；この成功はポーランド軍人の受けた母国での何年にもわたる長く厳しい訓練の結果と思われる。；日本ではほとんど知られていないが、母国や周辺国では高い人気を誇っている。；その後の半年間は祖父の母国である韓国の延世大学校 韓国語学堂に留学。；また、たけしの協力を得て、母国ベナンに学校を作る計画を実現した。；殆どの作品は母国イタリアにあるが、イタリア国外でもいくつか作品を残している。；ところが1904年に彼の母国ロシアと日本の間で日露戦争が勃発。；エジプト代表を選択する権利も持っていたが、母の母国であるイタリア代表を選択。；母国を自分の意志で離れた、又は強制的に追われた人々を指す。</t>
        </is>
      </c>
      <c r="J7723">
        <f>HYPERLINK("https://www.weblio.jp/content/母国", "词义详情")</f>
        <v/>
      </c>
      <c r="K7723">
        <f>HYPERLINK("https://yourei.jp/母国", "查看例句")</f>
        <v/>
      </c>
    </row>
    <row r="7724">
      <c r="A7724" t="inlineStr">
        <is>
          <t>埃</t>
        </is>
      </c>
      <c r="B7724" t="inlineStr">
        <is>
          <t>成功</t>
        </is>
      </c>
      <c r="C7724" t="inlineStr">
        <is>
          <t>読み方：あい
［音］アイ（呉）（漢）　［訓］ほこり
ちり。ごみ。ほこり。「塵埃(じんあい)」
［難読］埃及(エジプト)</t>
        </is>
      </c>
      <c r="D7724" t="inlineStr">
        <is>
          <t>埃だらけ(6%)；埃まみれ(3%)；埃臭い；埃っぽい；埃一つ</t>
        </is>
      </c>
      <c r="E7724" t="inlineStr">
        <is>
          <t>ほこり；砂塵；微塵；土埃；塵埃</t>
        </is>
      </c>
      <c r="F7724" t="inlineStr">
        <is>
          <t>綿埃；うっすらと埃；薄く埃；厚い埃；白く埃</t>
        </is>
      </c>
      <c r="G7724" t="inlineStr">
        <is>
          <t>埃及；埃っぽく；埃っぽ；埃吹く街</t>
        </is>
      </c>
      <c r="H7724" t="n">
        <v>29</v>
      </c>
      <c r="I7724" t="inlineStr">
        <is>
          <t>しかし埃はもう今になんとか処分せずにはおられぬことになると思う。；家の外につづいてゐるのは昼間の熱のまだ残つてゐる埃だらけの路である。；日に当てていない間は切った殻を被せて昆虫や埃が入らないようにする。；埃にまみれてるだけで、血も見えないし、怪我してるらしくもなかった。；薄くなっているらしい場所にも十分な埃があったので、確信はもてない。；馬場の埃といったって、さっきの埃は、もう十里も先へ飛んでいる頃だ。；これは駅の売店で埃をかぶって店ざらしになっていたしろものに違いない。；勝った人間の顔は汗と埃りにまみれながらも太陽の如くかがやいていた。；我々をこの上もなく驚かしたのは、埃や油がまるで無いことであった。；地を掠つて走りつゝある埃が彼の頬を打つて彼の横たへた身體を越えた。；袖の上の埃を払うにも静かにしよう、 それとても花の乙女の変え姿よ。；そこへ馬の蹄に掻き立てられた軽い埃が、車の下から濛々と飛んで来る。；皆が手拭で身体の埃を払いながら、薄暗い階段を下りて行った時だった。；それから半刻ばかりすると、ガラツ八は埃と汗に塗れて飛んで來ました。；それから半刻ばかりすると、ガラッ八は埃と汗に塗れて飛んで来ました。；机の上にも埃がたまっていてしばらくそこに倚らなかったことを示していた。；その男の黒紋付は、毎日埃を浴びて歩くので裾のところの色が変っている。；彼のまわりに、風と埃とが起こるほど早く、腕で空気をうつのである。；かれは、そこにある池のなかにいる埃と煤だらけの鯉をながめていた。；起き上つて服の埃を払つてる兵を見た時には、更にそれに違ひないと思つた。；どれもこれも埃だらけで何年も手に触れる者がなかったと見える。；だからわたしもせめてきょうからは、と埃まびれにもなった次第でした。；これは空気中の埃などが半導体表面の膜生成に影響したためである。；しかも遠路を歩いて来たように、その着物は埃だらけになっていた。；その日は朝からから風が吹き荒んで、折々埃と共に行く人の帽を奪った。；この圧力がケーブルの至るところで水や他の埃などが集まるのを阻止する。；あるいは急に埃などが飛込んだ場合で、その痛みに泣いていたのかも分らない。；巷の埃りに汚れているのは例のことながら、今夜はまたどうしたというのだ!；また、外部から埃や土砂が機械内部へ侵入するのを防ぐ機能もある。</t>
        </is>
      </c>
      <c r="J7724">
        <f>HYPERLINK("https://www.weblio.jp/content/埃", "词义详情")</f>
        <v/>
      </c>
      <c r="K7724">
        <f>HYPERLINK("https://yourei.jp/埃", "查看例句")</f>
        <v/>
      </c>
    </row>
    <row r="7725">
      <c r="A7725" t="inlineStr">
        <is>
          <t>誇り</t>
        </is>
      </c>
      <c r="B7725" t="inlineStr">
        <is>
          <t>成功</t>
        </is>
      </c>
      <c r="C7725" t="inlineStr">
        <is>
          <t>読み方：ほこり
誇ること。名誉に感じること。また、その心。「一家の—」「—を傷つけられる」</t>
        </is>
      </c>
      <c r="D7725" t="inlineStr">
        <is>
          <t>誇り高い(4%)；誇り高き(2%)；誇り高く(2%)；誇りたい；誇り得る</t>
        </is>
      </c>
      <c r="E7725" t="inlineStr">
        <is>
          <t>得意；自慢；自尊心；プライド；自負</t>
        </is>
      </c>
      <c r="F7725" t="inlineStr">
        <is>
          <t>強い誇り；高い誇り；たる誇り；ひそかな誇り；大変誇り</t>
        </is>
      </c>
      <c r="G7725" t="inlineStr">
        <is>
          <t>誇りの報酬；誇り高き野望；誇りと情熱；誇りある日本をつくる会；誇りある日本</t>
        </is>
      </c>
      <c r="H7725" t="n">
        <v>29</v>
      </c>
      <c r="I7725" t="inlineStr">
        <is>
          <t>市民はそれまでレニングラードが文化都市であることを誇りとしてきた。；歴史的な背景もあり、ソシオの会員はクラブに非常に誇りを持っている。；アジアでも強い人気を誇り、特に日本には現在でも根強いファンが多い。；もちろん強い愛国心を抱いているし、英国民であることは大きな誇りだ。；この彫像の光景は、神秘主義と一家の誇りの両方を示しているのである。；圧倒的な科学力と技術力を誇り、自分たちを優秀な種族だと思っている。；前半は安定感を誇り、シーズン途中より荻野に代わって抑えに定着した。；いずれにしても日本軍はどのような国とでも誇り高く戦える特徴を有していた。；現役22年で肘や肩の故障はほとんどなかったことを誇りにしている。；スイスで第二のワイン生産量を誇り、そのうち多くは白ワインである。；驚異的な勝負強さを誇り、土壇場でチームを救うプレーが数多くあった。；これは必ずしも彼の個人的な誇りから来るものではなかった。；ただカスター自身は強運の持ち主である事に一番誇りを持っていたという。；しかし、国内では無類の強さを誇り、休養を経てから帝王賞を勝利する。；この競走は当時英国内で最高額の賞金を誇り、現在もG1に指定されている。；開催地への誇りや愛着を表現し、大会を盛り上げるために作られる曲。；果ては主義主張や誇りなど形がないものへも縁故が設定されることもある。；トラヤヌス自身も後にウルピウス氏族が誇りとする祖先の一人となった。；彼がクラブにもたらしてくれたことに誇りを持っている。；バルサで6年間彼と共にプレーしたが、彼の傍にいれたことが私の誇りだ。；トップクラスの人気を誇り多品種展開しているのは日本のみである。；その誇りからか、代々の当主は家祖・大江広元の広の字を用いている。；従業員が求めていたのは、自分の仕事に対する責任感と誇りとの結論に達した。；国内のみならず世界中から学部・院共に絶大な人気を誇り入学は非常に困難である。；その歌詞は自らのもつ差異を肯定し、誇りとするものとされている。；そのなかで、連戦連勝の名将であった郭侃の活躍は漢人の誇りであった。；また連続の稼動でも安定した性能を誇り、日本初の夜間無人運転を開始。；プラチャーティポックは国王になった後もこのときに軍人であったことを誇りにしていた。；フランス参戦のもう一つの結果といえば、啓蒙主義の誇りを新たに得たことである。</t>
        </is>
      </c>
      <c r="J7725">
        <f>HYPERLINK("https://www.weblio.jp/content/誇り", "词义详情")</f>
        <v/>
      </c>
      <c r="K7725">
        <f>HYPERLINK("https://yourei.jp/誇り", "查看例句")</f>
        <v/>
      </c>
    </row>
    <row r="7726">
      <c r="A7726" t="inlineStr">
        <is>
          <t>誇る</t>
        </is>
      </c>
      <c r="B7726" t="inlineStr">
        <is>
          <t>成功</t>
        </is>
      </c>
      <c r="C7726" t="inlineStr">
        <is>
          <t>読み方：ほこる
［動ラ五（四）］
１すぐれていると思って得意になる。また、その気持ちを言葉や態度で人に示す。自慢する。「技(わざ)を—・る」
２誇示すべき状態にある。また、そのことを名誉に思う。「輝かしい実績を—・る」「長い歴史と文化を—・る都市」
[可能]ほこれる</t>
        </is>
      </c>
      <c r="D7726" t="inlineStr">
        <is>
          <t>誇るべき(3%)；誇る超；誇る最；誇るわが；誇る名門チーム</t>
        </is>
      </c>
      <c r="E7726" t="inlineStr">
        <is>
          <t>自慢；吹く；豪語；得意げ；誇り高い</t>
        </is>
      </c>
      <c r="H7726" t="n">
        <v>29</v>
      </c>
      <c r="I7726" t="inlineStr">
        <is>
          <t>また豊かな歴史をもち芸術の様々な面で卓越性と長い伝統を誇っている。；当時の宮殿は部屋数1500におよびヨーロッパ一の規模を誇っていた。；香港一の高さを誇るビルではあるが、展望施設などは設置されていない。；月給十三日分で買つた靴だと何日か雀部の誇つた顔を思出したのである。；クラブ通算では歴代3位の記録を誇っており、現在も更新し続けている。；古代ローマ社会は非常に高い識字文化を誇っていたことが知られている。；これらは民族の芸術としては世界に誇つていいものであるが国際性はない。；才華を誇つてと見る人が有るとしたら、私はそれにさへ反対したくなる。；われわれ日本人の精神は、どういふ点でその「美しさ」を誇つてゐたか?；また、この視聴率予想の的中率が異常とも言える程の高さを誇っていた。；また、広大な面積を誇る北海道では以下4つのトヨタ店が存在している。；できるだけ多くの注意を惹こうとする浮誇の活動さえ至る所に出現した。；日本の誇と言われる大選手も、頭のよさではどうしても妹にかないません。；彼らが設計及び開発した機体やエンジンは高い性能を誇っている。；最近では、MODの中でも高い人気を誇る要素を公式が追加している。；彼は温泉と畑づきの家主たることに誇をもちすぎてしまったのである。；同様にイギリスやソ連の大半の戦車にも圧倒的な優位を誇っていた。；たとえ人間の十倍以上の動作時間を誇ろうと、そのことに違いはない。；伸ちゃんの自尊心を傷つけてまでも自分の優越を誇ろうとしたのである。；ニュータイプ専用に開発されており、サイコミュを利用した武装を誇る。；彼等は飜訳書を軽蔑することをもって学者の誇であるかのように考えている。；翌年は成績も上昇し、年間アシスト数は、既に国内8位の成績を誇った。；そうして、その夫の妻としての誇を、胸の奥深くにしっかり持っていた。；本校の前身が商業高校だったことから、開校時以来の伝統を誇ってきた。；日本軍は狂ったように人間を殺すことで、自分達の勝利を誇って見せました。；図書館の書籍量、各研究機関など、世界でも屈指の規模とレベルを誇る。；私は十二から十四まで位の少女には誰もいえないようなある事を誇としていい得る。；そしていはゆる普通民もこのもつともらしい誇やかな歴史の前に讓歩した。；呉の軍は戦争が強く、一時は北の後梁と互角に争い合う程の勢力を誇った。</t>
        </is>
      </c>
      <c r="J7726">
        <f>HYPERLINK("https://www.weblio.jp/content/誇る", "词义详情")</f>
        <v/>
      </c>
      <c r="K7726">
        <f>HYPERLINK("https://yourei.jp/誇る", "查看例句")</f>
        <v/>
      </c>
    </row>
    <row r="7727">
      <c r="A7727" t="inlineStr">
        <is>
          <t>綻びる</t>
        </is>
      </c>
      <c r="B7727" t="inlineStr">
        <is>
          <t>成功</t>
        </is>
      </c>
      <c r="C7727" t="inlineStr">
        <is>
          <t>読み方：ほころびる
［動バ上一］［文］ほころ・ぶ［バ上二］
１縫い目などがほどける。「袖口が—・びる」
２花の蕾(つぼみ)が少し開く。咲きかける。「梅が—・びる」
３表情がやわらぐ。笑顔になる。「思わず顔が—・びる」
４隠していた事柄や気持ちが隠しきれずに外へ現れる。
「いかならむをりにか、その御心ばへ—・ぶべからむと」〈源・若菜上〉
５鳥が鳴く。さえずる。
「かすみだに月と光とをへだてずはねぐらの鳥も—・びなまし」〈源・梅枝〉</t>
        </is>
      </c>
      <c r="D7727" t="inlineStr">
        <is>
          <t>微笑；笑う；微笑む；目を細める；破顔</t>
        </is>
      </c>
      <c r="H7727" t="n">
        <v>29</v>
      </c>
      <c r="I7727" t="inlineStr">
        <is>
          <t>彗星の発見数が増加してくると、この方法の運用に綻びが生じてきた。；また、日本代表経験者を要する守備も綻びがみられたシーズンとなった。；ここで相手の話を聞いてしまっては、どんな綻びがでるかしれない。；張りつめていた精神にほんのわずかだが綻びが生じてしまったのだ。；これに影響されたアメリカ経済はあちこちで綻びが生じ、続いて崩壊した。；そのころ、おもいがけない方角から錯綜した事件の糸が綻びかけてきた。；綻びがでてくるとしたら、たぶん、あなただろうとは思っていた。；駄目になっている夫婦は、どう取り繕ってもその綻びが見えるものだ。；物持らしい家の南に向った気の早い梅は、塀越しに一輪二輪綻びかけていた。；と云って亭主や子供に綻びの切れた着物を着せて平気な質ではない。；口やや大きく唇薄く、そこから綻びる歯の白さ、象牙のような光がある。；それに、彼の作り話にわずかでも綻びが見えたらすべては終わりだ。；ゴール前、集団先頭に位置していたボーラトレインに僅かな綻びが生じる。；口元はいつまで經つても綻びず、固く結ばれたままにゆがむのであつた。；それは着物の綻びから不用意に現している白い肌のように愛らしくもあった。；あの時、私の中の綻びを少しでも見せていたら、と今も思う。；そこに綻びが出来たかのように、ただ涙が出てとまらなかった。；十日許りの間に庭の梅の木は主人のいないのも知らぬ気に一輪、二輪綻びかけていた。；けれども、数句を聞いているうちに、正隆の唇は、自然と綻びて来た。；人生は綻びのためにこそある、と固く信じていたようなところが、てるにはあった。；美妙な純潔さが光明のうちに綻びて姿を変えようとしてるありさまだった。；乱れた髪かたちを直してから、自分の着物の綻びを繕っているものらしい。；縁のところがところどころ綻びているだけじゃありませんか。；当日の宗和の席は加藤にとって僅かの綻びもなく、一切の隙も感じられなかった。；仮令京極堂が何かの解決に至ったのだとしても、どこかに必ず綻びがある筈だ。；しかし、ミンスの両親が夫婦の生活に関与し始めたことで、計画に綻びが生じる。；同じような綻びは、もしかすると、ほかにもたくさん見つかっているのだろうか。；この世界はわずかな綻びがあれば、世界が世界自身のためにその綻びを修復します。；それが生命の綻びなのか、分子の接合点の弱い部分なのか、式は知らない。</t>
        </is>
      </c>
      <c r="J7727">
        <f>HYPERLINK("https://www.weblio.jp/content/綻びる", "词义详情")</f>
        <v/>
      </c>
      <c r="K7727">
        <f>HYPERLINK("https://yourei.jp/綻びる", "查看例句")</f>
        <v/>
      </c>
    </row>
    <row r="7728">
      <c r="A7728" t="inlineStr">
        <is>
          <t>星</t>
        </is>
      </c>
      <c r="B7728" t="inlineStr">
        <is>
          <t>成功</t>
        </is>
      </c>
      <c r="C7728" t="inlineStr">
        <is>
          <t>読み方：しょう
〈井〉⇒せい
〈正〉⇒せい
〈生〉⇒せい
〈声〉⇒せい
〈姓〉⇒せい
〈性〉⇒せい
〈青〉⇒せい
〈政〉⇒せい
〈星〉⇒せい
〈省〉⇒せい
〈清〉⇒せい
〈聖〉⇒せい
〈精〉⇒せい
〈請〉⇒せい</t>
        </is>
      </c>
      <c r="D7728" t="inlineStr">
        <is>
          <t>星形；星区；星良；星状；星船</t>
        </is>
      </c>
      <c r="E7728" t="inlineStr">
        <is>
          <t>星章；エトワール；スタア；星印；星斗</t>
        </is>
      </c>
      <c r="F7728" t="inlineStr">
        <is>
          <t>異星；伴星；赤い星；辺境星；型星</t>
        </is>
      </c>
      <c r="G7728" t="inlineStr">
        <is>
          <t>星人；星系；星座；星間；星空</t>
        </is>
      </c>
      <c r="H7728" t="n">
        <v>29</v>
      </c>
      <c r="I7728" t="inlineStr">
        <is>
          <t>そしてそれは彼が社会民主党の新しい希望の星となったことでもあった。；皆既日食が起こると空がかなり暗くなり星の観測も可能な状態になる。；このこともあり、多くのアメリカ人は冥王星に特別な愛着を抱いてきた。；このため参宿の距星を別の星に置くなどの措置が取られるようになった。；機械と生命を結合させる改造技術に長けているボーグ星から来た宇宙人。；新布石ブームが去った後も、星は隅を占める着点として完全に定着した。；このように星を色で見分けた表現は、世界的に類を見ないと言われている。；別の惑星から地球へやってきた異星知性体、それがラヴォスだったのだ。；川は流れるので星も流れる、足が流れるというので好まれなくなったという。；これにより炭素は星のなかで無尽蔵に作られる性質があることが判った。；しかし低質量の星は暗いために地球に近いものしか観測できない。；SFファンが選ぶ年間ベスト賞である星雲賞を星は一度も受賞していない。；狡猾な戦略で知られ、地球侵入以前にもいくつかの星を侵略している。；しかし、バックスタッフとは違い、六分儀は星の直接観測が可能である。；星の球形を表した典型的な象形字で、楷書とは言いがたい文字であった。；ボイジャー2号はもともと冥王星に接近するような軌道ではなかった。；最後まで残った冥王星の特徴的な点は、巨大な衛星カロンと大気である。；ここに竜虎山から解き放たれた百八の魔星が一堂に集結したのであった。；この理論には星の重力により光が曲げられるという予言も含まれていた。；そして、ガス領域の至る所で新しい星の生成を連鎖反応的に起こす。；故郷である星を失ったため、ファルガイアを第二の故郷にするべく侵攻を開始。；棒構造は主に年齢の古い赤い星から形成されている。；北半球において南を向いて星空を観察すると星は東から昇り西へと沈む。；なぜなら地球から観測できる天の川の中の星の分布が一様に見えたからである。；ただしこれは、全ての星が放つ真の明るさは一定という前提に立っていた。；固有名がついていない星の中で有名な星としては、以下の星がある。；全てのステージで100点を獲るとタイトル画面に星印が表示される。；暗い場所で目を慣らすと、より多くの星が見えてくるようになる。；この旗は緑の地に、白い三日月と三つの白い星があしらわれていた。</t>
        </is>
      </c>
      <c r="J7728">
        <f>HYPERLINK("https://www.weblio.jp/content/星", "词义详情")</f>
        <v/>
      </c>
      <c r="K7728">
        <f>HYPERLINK("https://yourei.jp/星", "查看例句")</f>
        <v/>
      </c>
    </row>
    <row r="7729">
      <c r="A7729" t="inlineStr">
        <is>
          <t>欲しい</t>
        </is>
      </c>
      <c r="B7729" t="inlineStr">
        <is>
          <t>成功</t>
        </is>
      </c>
      <c r="C7729" t="inlineStr">
        <is>
          <t>読み方：ほしい
［形］［文］ほ・し［シク］
１自分のものにしたい。手に入れたい。「果物が—・い」「返事が—・い」
２あることが望ましい。「政府の対応に柔軟さが—・い」
３（「…てほしい」の形で）そうしてもらいたい。「見せて—・い」「無事でいて—・い」
[派生]ほしがる［動ラ五］ほしげ［形動］ほしさ［名］</t>
        </is>
      </c>
      <c r="D7729" t="inlineStr">
        <is>
          <t>欲しいもの(6%)；欲しいと思う；欲しい物；欲しいと頼ん；欲しいと言う</t>
        </is>
      </c>
      <c r="E7729" t="inlineStr">
        <is>
          <t>下さい；お願い；頼む；願う；呉れ</t>
        </is>
      </c>
      <c r="F7729" t="inlineStr">
        <is>
          <t>来て欲しい；教えて欲しい；やって欲しい；おいて欲しい；聞いて欲しい</t>
        </is>
      </c>
      <c r="H7729" t="n">
        <v>29</v>
      </c>
      <c r="I7729" t="inlineStr">
        <is>
          <t>この項目では特に作成して欲しい文学上重要な記事を記載しています。；いつからか、心のどこかで彼には死んで欲しくないとずっと思っていた。；わしらが無性に肉を欲しがっておるのを承知の上でやったんじゃからな。；あの状況であの行動に出るのが当然、と言えるだけの強さが欲しかった。；近づいて欲しくなかったわけではない、これは単なる癖で習慣なんだと。；だから作品の宗教的なものを支えるためにぼくは信仰の力が欲しかった。；大事だから、明日死ぬ場所にはいて欲しくないに決まってるじゃないか。；市場経済は、人々が市場で自分の欲しいものを選択し購入する場である。；お前が心配で、どうしてもこれ以上戦いを続けて欲しくなかったんだよ。；おれはルリちゃんの体だけ が欲しくてこんなことをしたんじゃない!!；これはふみ子から雑誌に発表しないで欲しいとの依頼があったためである。；「どんな女でも良いから夫の子を産んで欲しい」旨の言葉も残している。；どう考えてもここにある調査書類が欲しくてやった仕事に間違いない。；それに映画で起こることを事前に原作を読むことで知って欲しくなかった。；また通販も行なっており全国の欲しい物が手に入れやすくなっている。；Kanaによれば夫であるマイク眞木に一番言って欲しい言葉とのこと。；欲しくなると、すぐにでもその本が他人に売れてしまうような気がする。；わたしは彼女がわたしの喪のために陰気になることを欲しなかったのだ。；走ったために喉が乾ききっていたので水が欲しくてたまらなかったのだ。；いったい、誰になんと言われて、そんなものが欲しくなったんだろうか。；父の願いは女として生きて欲しかったのかもしれないと今になって思う。；だめよってふり払う私の気持ちはその男が欲しくて気が狂いそうなわけ。；しかし彼は姫を可愛く思えば思うほど、一層お金が欲しくなるのでした。；兄の世界を理解したかったし、自分の試合も見にきて欲しかったのだ。；学校に行かなくなって半年ほど経ったころ、祐司は友達が欲しくなった。；俺が血沼を説得しようとしたのは、あいつにも諦めて欲しかったからだ。；これほどの美人になると、自分の手に入らないものが欲しくなるんですね。；あの状況ではあの行動に出るのが当然、と言えるだけの強さが欲しかった。；自転車を欲しがる鬼太郎のためにバイトして自転車を買ったこともある。</t>
        </is>
      </c>
      <c r="J7729">
        <f>HYPERLINK("https://www.weblio.jp/content/欲しい", "词义详情")</f>
        <v/>
      </c>
      <c r="K7729">
        <f>HYPERLINK("https://yourei.jp/欲しい", "查看例句")</f>
        <v/>
      </c>
    </row>
    <row r="7730">
      <c r="A7730" t="inlineStr">
        <is>
          <t>星空</t>
        </is>
      </c>
      <c r="B7730" t="inlineStr">
        <is>
          <t>成功</t>
        </is>
      </c>
      <c r="C7730" t="inlineStr">
        <is>
          <t>読み方：ほしぞら
晴れて星がきらめいている空。</t>
        </is>
      </c>
      <c r="D7730" t="inlineStr">
        <is>
          <t>星空亭；星空を見あげ；星空連合；星空放送局；星空ワイド</t>
        </is>
      </c>
      <c r="F7730" t="inlineStr">
        <is>
          <t>降るような星空；宇宙星空連合；有楽町星空放送局；こちら有楽町星空</t>
        </is>
      </c>
      <c r="G7730" t="inlineStr">
        <is>
          <t>星空の守り人；星空へ架かる橋；星空案内人；星空観察；星空保護区</t>
        </is>
      </c>
      <c r="H7730" t="n">
        <v>29</v>
      </c>
      <c r="I7730" t="inlineStr">
        <is>
          <t>美しい星空を仰ぐには、やはりここでも冬の季節のほうがよいのだろう。；オリジナル企画を依頼された星空が起こした企画書の1つが本作となる。；ノートンにも、星空が実際にゆっくり回転しているとしか思えなかった。；もしこれが回転しているという設定なら星空も回転して見えるはずである。；最後に星空を目におさめたとき、船は地表から十メートルほど下にいた。；テストに失敗し、星空の階段も発見できず、梅里とも別れねばならない。；ホテルのエレベーターには、プラネタリウムのような星空が光っていた。；二人はくつわを並べて星空に向かってそそりたつ尖峰の下を歩いていた。；その、星空に占められた視界の外側から、話しかける声が聞こえてきた。；やっとまた目をあけると、星空や下の通りは見ないように気をつけた。；冷たい眼は、もやの底から星空へ聳える本館の三階の空を見上げていた。；生きてゆくことができるのかしらと僕は星空にむかって訊ねてみた。；そこでひとりっきりで、すきとおるような夜の星空のなかへ出ていった。；かれは、星空を見上げながら自分がひどく冷静なことに満足していた。；もちろん山の星空にはない海の星空のよさもたくさんあるでしょう。；彼女は星空を見上げながら、ポウルがそばに近づいてきたのを感じた。；と思った次の瞬間、あたいはもう目の眩むような 星空の真ン中にいた。；北半球において南を向いて星空を観察すると星は東から昇り西へと沈む。；夢魔は二人の少女をぶら下げたまま、星空に向かって急上昇を開始した。；この怖いほどに美しい星空を目にすることを拒まれたせいではないだろうか。；星空のように冷めた光の下にいるせいか、顔色は余計に悪く見えてしまう。；この世界は精巧に創られたセットにすぎず、星空は書き割りだったのだ!；テッラはその噴水の縁に腰を掛け、頭上の星空を静かに見上けている。；四人を送って離れの外へ出ると、降りこぼれるばかりの星空が頭上にあった。；もう一度スクリーンを見ると、そこには静止した星空だけが映っていた。；惑星リンディスファーンをまわる二つの月は星空の中天にかかっていた。；日時と場所を指定することでその場所、その時間で見られる星空を再現する。；生きてゆくことができるのかしらと僕は星空にむかつて訊ねてみた。；鉄の階段は星空へ向いて限りもなく伸びているようだった。</t>
        </is>
      </c>
      <c r="J7730">
        <f>HYPERLINK("https://www.weblio.jp/content/星空", "词义详情")</f>
        <v/>
      </c>
      <c r="K7730">
        <f>HYPERLINK("https://yourei.jp/星空", "查看例句")</f>
        <v/>
      </c>
    </row>
    <row r="7731">
      <c r="A7731" t="inlineStr">
        <is>
          <t>干し物</t>
        </is>
      </c>
      <c r="B7731" t="inlineStr">
        <is>
          <t>成功</t>
        </is>
      </c>
      <c r="C7731" t="inlineStr">
        <is>
          <t>読み方：ほしもの
日に干して乾かすこと。また、そのもの。特に、洗濯物にいう。</t>
        </is>
      </c>
      <c r="D7731" t="inlineStr">
        <is>
          <t>干し物ばさみ(6%)；干し物綱(6%)</t>
        </is>
      </c>
      <c r="H7731" t="n">
        <v>29</v>
      </c>
      <c r="I7731" t="inlineStr">
        <is>
          <t>やっとまがり角の家の庭で干しものをしているおかみさんが見つかった。；母のおむつのやうなものなどの洗ひ物をしなければならなかつたからです。；「おい、干し物あないか、夕立模様だぜ」 四辺はすっかり暗くなった。；台所に五十ヤードの干しもの用の綱があるから、あれでしばれますよ。；一度これだけのステッキを持つと、まがひ物の中等品は持てないのだ。；其の賑やかな大馬路を右の婦人は買ひ物でもするつもりで歩いてゐた。；母が干し物を畳み、夕食の仕度をするのを、部屋の隅でじいと眺めている。；郊外住宅者は干し物を東南方の側には出して乾せない日である。；それに女の作家は男の作家よりは幾らか買ひ物も多かつたから。；今少し広く喰ひ物から喰ひ物の進め主までを含めて言ふ語であつたらうと思ふ。；女はまだ干し物ばさみを手にもって芝生に立ち、いくつもの長い列にシャツを掛けていた。；どこかゝら使ひ物に貰つたのだらう、四五日前から其処に入つてゐた。；風が強くて干し物がいくつか砂利の上に落ちている。；干しものがかわかなくて、あした着て出るものに不自由しがちなこと。；ローマ中を探して笑ひ物に出来る男はこのサターナイナスの他に誰も見附からなかつたとでも言ふのか?；火鉢は割れて居て使ひ物にならず、仕事場の隅に置いてあるだけだと思つて居ました。；川の中も芥で一杯ですが、その芥の中で洗ひ物をして居ります。；コンクリートを使はぬ限り、年中水がたまつてゐて使ひ物にはならないのだ。；ディックはドアに向かって突進したが、勢いあまって目の前の干しもの掛けと一緒に倒れた。；おかみさんも裏庭に出てきたので、宇佐は干し物の手を休めないまま言った。；みのるは干し物を椽に取り入れてから、又椽に立つて雨の降る小さな庭を眺めた。；拾ひ物をするかと思つた松緑の勝奴が、何ものも客に拾ひ得を感じさせなかつた。；辛くも干し物をしまい終えたところで、投げ槍のような雨がどっと降り注ぎ始めた。；干しもののことをすっかり忘れちゃったわ。；これで拾ひ物をしたのは山本嘉一老で、今後も主演映画がとれやうと言ふものである。；御者は彼女の手荷物と其の子供とを貰ひ物でもしたやうに気おひながら積み込んだ。；もし彼が皆に話して、自分をいい笑ひ物にでもしたら、それこそ何よりも堪へられない侮辱ではないか。；洗濯をしていると向うからみつめるし、干し物をするときなど腋の下を見たりするようである。；辛くも一椀を挙げ、また干し物に手間取って出発したのは午前八時五十分であった。</t>
        </is>
      </c>
      <c r="J7731">
        <f>HYPERLINK("https://www.weblio.jp/content/干し物", "词义详情")</f>
        <v/>
      </c>
      <c r="K7731">
        <f>HYPERLINK("https://yourei.jp/干し物", "查看例句")</f>
        <v/>
      </c>
    </row>
    <row r="7732">
      <c r="A7732" t="inlineStr">
        <is>
          <t>保守</t>
        </is>
      </c>
      <c r="B7732" t="inlineStr">
        <is>
          <t>成功</t>
        </is>
      </c>
      <c r="C7732" t="inlineStr">
        <is>
          <t>読み方：ほしゅ
［名］(スル)
１正常な状態を保つこと。「休業時も機械を—する」「線路の—点検」
２旧来の風習・伝統・考え方などを重んじて守っていこうとすること。また、その立場。「—派」⇔革新。</t>
        </is>
      </c>
      <c r="D7732" t="inlineStr">
        <is>
          <t>保守的(36%)；保守派(5%)；保守勢力(2%)；保守管理(2%)；保守点検(2%)</t>
        </is>
      </c>
      <c r="E7732" t="inlineStr">
        <is>
          <t>運営；管理；整備；維持；続ける</t>
        </is>
      </c>
      <c r="F7732" t="inlineStr">
        <is>
          <t>保守整備；保守業務；保守面；保守性；保守系</t>
        </is>
      </c>
      <c r="G7732" t="inlineStr">
        <is>
          <t>保守派；保守的；保守主義；保守系；保守政党</t>
        </is>
      </c>
      <c r="H7732" t="n">
        <v>29</v>
      </c>
      <c r="I7732" t="inlineStr">
        <is>
          <t>州道の建設と保守、および州全体の交通計画は州交通局が担当している。；政治的・文化的にはやや保守化し、一部の人権拡大の要求は軽視された。；これには道路の保守など地方レベルのサービスが含まれている。；このような事態に対応するため、プログラムを保守していく作業が必要になる。；同社の証明の多くは急いで生産され、同社はそれらの保守に追われることになった。；保守の容易化の観点から、けん引装置は1本リンク方式を採用している。；しかし、保守部品が徐々に製造されなくなり充分な部品の確保が困難となっていた。；この区間では2002年度の上半期に月一回の保守運休を行っていた。；本形式では基礎ブレーキに保守の容易なユニットブレーキを採用した。；以上のような諸要素から、本映画は保守的な作品として批判されることがある。；リアリズムを基調とした、保守的な思想で知られる国際政治学者である。；技術部は、各装置群の保守・点検および実験装置作成などの業務を行う。；駅舎側には旧貨物側線が残っており、時折保守車両の留置に使われている。；また、車両保守部門からも重装備過ぎる車両として敬遠されがちであった。；保守傾向の社会民主党議員の中にも、帝政復活を支持する議員がいる。；新たに政権を握った海軍中将は保守化し、外資導入が再び進められた。；紀伊田辺方面は線路保守目的で一部の列車が停車するのみである。；淘汰完了直前の段階で本形式の保守費はDD51形の18倍にも達していた。；しかしこの問題は地主の多い保守党内では慎重に扱わねばならない問題であった。；また内燃機関を用いた車両と比較すると、一般に車両の検査・保守は容易である。；これは主に北部などユーロへの参加に保守的な立場の人々の票が影響したと思われる。；福音派など保守的なキリスト教派では、このような伝統的な説が支持される。；ただしヘルトリング自身は議会主義に反対する保守的な人物であった。；このために複雑な構造をしており、保守には多くの手間を要する結果となった。；その内容は保守的であり、民選の立法機関帝国議会の力は制限されていた。；彼は、その保守的な姿勢のため、人気であると同時に異論もあった。；その後保守派の多くもベトナム戦争の継続に懐疑的になっていった。；晩年にはその作風はすでに保守的とみなされるようになっていた。；事業竣工の際には保守車両の留置線1線を設置する予定としている。</t>
        </is>
      </c>
      <c r="J7732">
        <f>HYPERLINK("https://www.weblio.jp/content/保守", "词义详情")</f>
        <v/>
      </c>
      <c r="K7732">
        <f>HYPERLINK("https://yourei.jp/保守", "查看例句")</f>
        <v/>
      </c>
    </row>
    <row r="7733">
      <c r="A7733" t="inlineStr">
        <is>
          <t>補充</t>
        </is>
      </c>
      <c r="B7733" t="inlineStr">
        <is>
          <t>成功</t>
        </is>
      </c>
      <c r="C7733" t="inlineStr">
        <is>
          <t>読み方：ほじゅう
［名］(スル)不足しているものを補うこと。「欠員を—する」</t>
        </is>
      </c>
      <c r="D7733" t="inlineStr">
        <is>
          <t>補充する(12%)；補充兵(6%)；補充される(4%)；補充執政官(4%)；補充できる</t>
        </is>
      </c>
      <c r="E7733" t="inlineStr">
        <is>
          <t>代わり；更新；代り；補給；付加</t>
        </is>
      </c>
      <c r="F7733" t="inlineStr">
        <is>
          <t>補充員；陸軍補充；補充部隊；軍備補充；補充令</t>
        </is>
      </c>
      <c r="G7733" t="inlineStr">
        <is>
          <t>補充券；補充大隊；補充現象；補充立候補；補充法</t>
        </is>
      </c>
      <c r="H7733" t="n">
        <v>29</v>
      </c>
      <c r="I7733" t="inlineStr">
        <is>
          <t>基本的には少数の経験者と、補充された初参加者とで構成されている。；新しく形成された党は、人々の運動への支援を補充することができた。；後述の理由で選挙は行われなかったので欠員が補充されることはなかった。；自軍勢力下のVPがある拠点・都市等に将軍が留まることで補充される。；補充国際調査を管轄する国際調査機関は補充国際調査機関と呼ばれる。；戦争が終了すると、帰還兵を帰国させその補充兵を運ぶ任務に就いた。；その間は傘下マイナーリーグなどから代替選手を補充することができる。；その後、両大隊は訓練・補充用車両をもって再建のため予備に回された。；第2回以降は欠員補充のため下位当選の何人かが半期議員となっている。；エネルギー銃は弾薬補充の必要がないが、プレイヤーの体力を消費する。；第24条 この合意書は双方の合意によって修正・補充することができる。；武器の補充も不十分で赤軍から鹵獲したロシア製の武器を利用していた。；補充すればするだけ犠牲にされてしまうと恐れたためである。；銃を画面外に向けると盾が出現し回避行動となって弾丸の補充を行う。；ミスした場合は残り弾数がそのまま継承されるが、一定数以下の場合は補充される。；郡の兵員補充局が廃止されるまで、ジーゲンはその本部所在地であった。；他の乗り物は燃料を補充すれば耐久度を減らさずに使うことが可能となる。；このような場合には、生活の仕方で対応するか、医療的に補充する。；一部の若者はドイツに送られ、ドイツの軍備生産の補充に大きく向けられた。；同年にはUAEから補充の機体が到着したが、これは非武装だった。；さらに調査すると、ランプ複数は掃除され補充されていることがわかった。；これらの物質を補充するための反応をアナプレロティック反応という。；部隊行動は基本的に国防軍との共同で、補充も国防軍から供給された。；小銃などの武器弾薬も不足し補充兵だけが送られてくる状況だった。；要約は、国際出願日に影響を与えることなく後日補充することができる。；一部の地域では、食物を補充するために狩りや野生の植物の採集を行う。；長期下士は下士候補生であって卒業試験に及第した者を以って補充した。；また、母オーガスタは補充の収入として娘に収入を分けてやっていた。；JR西日本も被害を受けた2編成の補充の方針を明らかにしている。</t>
        </is>
      </c>
      <c r="J7733">
        <f>HYPERLINK("https://www.weblio.jp/content/補充", "词义详情")</f>
        <v/>
      </c>
      <c r="K7733">
        <f>HYPERLINK("https://yourei.jp/補充", "查看例句")</f>
        <v/>
      </c>
    </row>
    <row r="7734">
      <c r="A7734" t="inlineStr">
        <is>
          <t>募集</t>
        </is>
      </c>
      <c r="B7734" t="inlineStr">
        <is>
          <t>成功</t>
        </is>
      </c>
      <c r="C7734" t="inlineStr">
        <is>
          <t>読み方：ぼしゅう
［名］(スル)広く呼びかけて必要な人や物を集めること。「標語を—する」</t>
        </is>
      </c>
      <c r="D7734" t="inlineStr">
        <is>
          <t>募集する(8%)；募集広告；募集定員；募集人数；募集停止</t>
        </is>
      </c>
      <c r="F7734" t="inlineStr">
        <is>
          <t>生徒募集；一般募集；懸賞募集；会員募集；広く募集</t>
        </is>
      </c>
      <c r="G7734" t="inlineStr">
        <is>
          <t>募集要項；募集型企画旅行；募集中；募集人員；募集告知</t>
        </is>
      </c>
      <c r="H7734" t="n">
        <v>29</v>
      </c>
      <c r="I7734" t="inlineStr">
        <is>
          <t>現在も各研究部門および研究センターの各分野で学生の募集を行っている。；そこでは内地や朝鮮、あるいは現地で募集された慰安婦が存在していた。；と付いているのは同年度入学者の募集で学区制が適用されている普通科。；録音となる場合は事前に録音を行う告知が行われ、お便りの募集を行う。；最近では、テレビ局などがインターネットで募集するケースも見られる。；高校募集を停止して完全中高一貫校になる学校が徐々に増えつつある。；結果的に、この募集方法はプレイヤーの大量獲得に失敗する結果となった。；募集方法が変えられ、もはや士族出身者を積極採用することはなくなった。；大学院改組に合わせて2016年度入学者からの学生募集は停止している。；新入社員も1名を募集すると100名200名が簡単に集まったという。；一般に公募が行われており、市報や自治体のウェブサイトで募集をする。；また、事前に視聴者から募集した筒井への質問に本人が答える企画も実施。；また、最近では番組などでのプレゼント募集等にも利用されている。；事前に番組が決めたテーマを発表し、その境界線を募集する形がとられている。；前半は各曜日の決まったテーマで、リスナーからお便りを募集している。；そのため、立地の都道府県外から全国募集を実施する高校も増加している。；事前に電話やFAXで募集されて選ばれた人が電話でみのやゲストに相談する。；その当時は杉良太郎が全国から研究生を募集しており、応募して合格。；そのため、うたい人の募集も通常のオーディションと別内容で行われる。；学校や廃工場のシーンでは、多くのエキストラが募集されて撮影に参加した。；募集終了後もカードフェイスを変更した上で既会員向けの更新が継続されている。；番組のエンディングではお便り募集の告知が以下のように掲載された。；受験生は大学募集群別でそれぞれ1つずつ計三つの大学に志願できる。；ただし風俗店が女性や男性従業員を募集すること自体は違法ではない。；番組末期には変わった職業の情報を募集し、そこから採用、放送されたものもある。；中学募集のみで高校募集を行わず、6年間完全中高一貫教育を行う学校。；このほか、ロシアでも第一次世界大戦時には婦人志願兵の募集が組織的に行われた。；時代や流行に敏感な観客をうならせるようなフレーズを募集するコーナー。；助監督募集を聞いて試験に参加し、200人が応募する中で合格であった。</t>
        </is>
      </c>
      <c r="J7734">
        <f>HYPERLINK("https://www.weblio.jp/content/募集", "词义详情")</f>
        <v/>
      </c>
      <c r="K7734">
        <f>HYPERLINK("https://yourei.jp/募集", "查看例句")</f>
        <v/>
      </c>
    </row>
    <row r="7735">
      <c r="A7735" t="inlineStr">
        <is>
          <t>保守的</t>
        </is>
      </c>
      <c r="B7735" t="inlineStr">
        <is>
          <t>成功</t>
        </is>
      </c>
      <c r="C7735" t="inlineStr">
        <is>
          <t>読み方：ほしゅてき
［形動］考え方や行動などに保守の傾向があるさま。「—な人」⇔進歩的／革新的。</t>
        </is>
      </c>
      <c r="D7735" t="inlineStr">
        <is>
          <t>保守的傾向(4%)；保守的かつ；保守的価値観；保守的立場；保守的信仰</t>
        </is>
      </c>
      <c r="E7735" t="inlineStr">
        <is>
          <t>地味；スクエア；慎重派；因循；スクェア</t>
        </is>
      </c>
      <c r="F7735" t="inlineStr">
        <is>
          <t>保守的見解；保守的白人；保守的設計；保守的潮流；保守的体質</t>
        </is>
      </c>
      <c r="H7735" t="n">
        <v>29</v>
      </c>
      <c r="I7735" t="inlineStr">
        <is>
          <t>これと同様の保守的俗論がなお続々と日本人の間に頭を挙げるでしょう。；州内の多くの地方と同様、保守的が考えが強く残る地域とされている。；体の関係ができたとたん、女性は自分の恋愛に保守的になってしまうのです。；昔から土地が豊かだったため、保守的だが、新しいもの好きな一面もある。；学長として長く務めるうちにマッケンジーは非常に保守的になっていく。；創刊当初から保守的で反共主義的な観点で政治や社会問題を扱ってきた。；体系と核分裂性物質の位置形状をなるべく保守的かつ悲観的に記述する。；しかしこの草案は内容が保守的にすぎるとしてGHQに拒絶されている。；フレームスはもともとは保守的とされたサンノゼ市に熱狂をもたらした。；むしろどちらかといえば保守的で、左のほうから文句を言われてもいいようなものであった。；カークは、常にステレオタイプな保守的投票を維持していたわけではない。；機械化以前の技能で生きる職工の多くは非常に保守的だったのである。；じっと、保守的に構えを持っているのが呼吸いっぱいであった。；アローン人は保守的でなかなか新しい考えを受け入れようとはしないからだ。；その第二の理由は、一般にフランス人は保守的なりということである。；こうして、下層階級を保守的にするように作用する、というわけである。；過去40年間でカンザス州は国内の他の地域よりも社会的に保守的になっている。；即ちあり振れた単なる保守的反動の意識とだけ云っては済まされない。；若いうちは保守的に、年をとったら進歩的に、というのも悪くはない。；男の好みが保守的で封建的のせいもあろうが、映画やテレビ・ドラマの影響でもある。；しかしながら、社会政治的に彼は保守的見解も主張していた。；このとき、保守的だった父は、泉のために民主党へ鞍替えしたという。；大学の大部分が保守的だったことは容易に理解できる。；家康が関ケ原まで待たねばならなかったことは、彼を必要以上に保守的にした。；概して言えば保守的の英国にして、欧州大陸風に漸化せる傾向あるを見る。；一方で、カトリックの多い農村部の人々は保守的で教区を維持したがった。；ハントはまたその保守的気質を反映した砲兵演習の提唱者でもあった。；アーミッシュをより最近に離れてきた者からできた保守的メノナイト教会もある。；言語項目としての水名は、ほとんどの地名より保守的で変化しにくい。</t>
        </is>
      </c>
      <c r="J7735">
        <f>HYPERLINK("https://www.weblio.jp/content/保守的", "词义详情")</f>
        <v/>
      </c>
      <c r="K7735">
        <f>HYPERLINK("https://yourei.jp/保守的", "查看例句")</f>
        <v/>
      </c>
    </row>
    <row r="7736">
      <c r="A7736" t="inlineStr">
        <is>
          <t>補助</t>
        </is>
      </c>
      <c r="B7736" t="inlineStr">
        <is>
          <t>成功</t>
        </is>
      </c>
      <c r="C7736" t="inlineStr">
        <is>
          <t>読み方：ほじょ
１［名］(スル)不足しているところを補い助けること。また、その助けとなるもの。「生活費を—する」
２法律で、被補助人の重要な法律行為を補助人が助けること。→法定後見</t>
        </is>
      </c>
      <c r="D7736" t="inlineStr">
        <is>
          <t>補助的(9%)；補助する(8%)；補助電源装置(4%)；補助金(3%)；補助員</t>
        </is>
      </c>
      <c r="E7736" t="inlineStr">
        <is>
          <t>支；サービス；助け；支え；改善</t>
        </is>
      </c>
      <c r="F7736" t="inlineStr">
        <is>
          <t>補助装置；補助艦艇；補助具；補助用；補助手段</t>
        </is>
      </c>
      <c r="G7736" t="inlineStr">
        <is>
          <t>補助翼；補助席；補助機関；補助機関車；補助記憶装置</t>
        </is>
      </c>
      <c r="H7736" t="n">
        <v>29</v>
      </c>
      <c r="I7736" t="inlineStr">
        <is>
          <t>以降は呼吸補助器を携行しながら、公の場にも積極的に顔を出していた。；この頃から補助戦力であった航空機を主力にする主張が各国で現れる。；バハイ教は世界が一つの国際的な補助言語を採用することを主張する。；北海道などから一部補助を受け、敷地内に調教用施設が設置されている。；また携帯しやすいため補助的な武装としても利用されたと考えられている。；バスカード導入で補助対象になったのはこれらが日本初の事例である。；そのため軍はドイツ義勇軍組織を充実させ、軍の補助部隊としようとした。；前肢を補助的に使いながら全身を蠕動させ、イモムシのように移動する。；初期の硬骨魚類の系統には肺が存在し、鰓のガス交換の補助をしていた。；国際補助言語の選択と制度化の原則は、バハイ教の重要な教義の中にある。；つまり、始めた当時は両替商は呉服業の補助的な商売だったのである。；補助的に様々な機能を提供することで、コンピュータの利便性を向上させる。；中国語の音を示すために補助的に用いられている注音符号も音素文字である。；これは栽培の補助に用いられる製品であり、肥料の代替とはならない。；図書館などの周辺施設の復興にあたっては、内務省から補助がなされた。；営業状態は当初政府の補助を受けていたが、成績は良好であった。；推進ブースターが発射時の加速補助のために外部装着される事もある。；なお、補機に補助されて列車を牽引する機関車のことを本務機関車という。；艇体脇に引上式の車輪を持ち、補助的に陸地での離着陸も可能であった。；キュリロスの補助を得ながら、教会スラヴ語への聖書の翻訳に従事した。；これら補助指導機関の設置には中央委員会の承認が必要である。；それ以外の形を使ったり補助的に切ったり切り取るものもある。；新たに孵化した雛は、狭い場所で飼育され、補助的に暖房が与えられる。；現在はゲノムプロジェクトの補助的技術として盛んに用いられている。；この間、市は開催年に1億円、開催されない年には5千万円の補助をしていた。；パーティが大人数の場合はサブリーダーも置き、リーダーの補助をさせる。；陪餐の補助などを行う信徒奉事者は水色のスカーフをつけることがある。；なお復帰力以上で補助すると一旦吸引したまま自己保持する。；背圧と動作圧力の両方に厳しい圧力制限があり、補助ポンプは必須である。</t>
        </is>
      </c>
      <c r="J7736">
        <f>HYPERLINK("https://www.weblio.jp/content/補助", "词义详情")</f>
        <v/>
      </c>
      <c r="K7736">
        <f>HYPERLINK("https://yourei.jp/補助", "查看例句")</f>
        <v/>
      </c>
    </row>
    <row r="7737">
      <c r="A7737" t="inlineStr">
        <is>
          <t>保障</t>
        </is>
      </c>
      <c r="B7737" t="inlineStr">
        <is>
          <t>成功</t>
        </is>
      </c>
      <c r="C7737" t="inlineStr">
        <is>
          <t>読み方：ほしょう
［名］(スル)ある状態がそこなわれることのないように、保護し守ること。「国家の安全を—する」「社会—」</t>
        </is>
      </c>
      <c r="D7737" t="inlineStr">
        <is>
          <t>保障する(23%)；保障される(7%)；保障でき；保障制度；保障措置</t>
        </is>
      </c>
      <c r="E7737" t="inlineStr">
        <is>
          <t>安全；確信；カバー；保証；警備</t>
        </is>
      </c>
      <c r="F7737" t="inlineStr">
        <is>
          <t>所得保障；最低保障；医療保障；憲法上保障；手続保障</t>
        </is>
      </c>
      <c r="H7737" t="n">
        <v>29</v>
      </c>
      <c r="I7737" t="inlineStr">
        <is>
          <t>就職しても収入額に応じて段階的な保障が受けられる制度に変更した。；声に相当する通信も少ない情報のみで届くことすら保障されていない。；そのため、契約当事者には形式的な平等しか保障されていないといえる。；彼らは自身の宗教を保持することが許され、生命権や財産権も保障される。；もっとも、そもそも恒久的な再生は保障されていないという意見もある。；特に手術給付金など、加入者が受診を選択できる保障でこの傾向が強い。；ドイツの影響下におかれた地域にとってはこれが国家独立の保障となった。；グランプリの数は決まっておらず、卒業まで出られるという保障もない。；国家は社会的な権利を保障するため積極的に関与することを求められるようになった。；ただ、報道の自由の保障は新聞と放送とでは異なる扱いを受けている。；何度かの法令改正で、兵員の将来と権利を保障する制度が導入された。；いわば、都市労働者の就業は基本的に国によって保障されていたのである。；採用された公務員の身分は基本的に保障され、昇進も個人の能力に応じる。；付属中学校から付属高等学校へは原則進学が保障されている。；もはやエジプトの使者であることが身の安全を保障するものではなかった事が明らかである。；百官たちの多くは労力がかかるだけで田地が拓ける保障がないと述べた。；よって、日本プロ野球とは違い、必ず雇用先が保障されるわけではない。；これらの作業は欧州大陸周辺の指定海域の安全が保障されるまで続けられた。；阿波丸は日米間の協定で安全航行を保障されていたものの、攻撃を受けた。；校則が無いことを標榜しており、生徒は責任の伴う高度な自由が保障される。；などを根拠に安全性を保障する実績がないとして忌避する意見も根強い。；それがなくなってしまったら、前にすすむ保障はなくなってしまうでしょう。；通信の秘密の保障にも一定の内在的制約があることは一般に承認されている。；内弟子は「食住」を保障されるかわりに、師匠の家の雑用なども行った。；秘密選挙とは投票内容を秘密にする選挙をいい、15条4項で保障される。；なお、同寺には寺の権利を保障した秀吉の朱印状も残っている。；そのうえで市民は国家から生命と財産の安全を保障されるという考えを提示した。；また高校1年生が義務教育になることで、全員の高校進学が保障されることになる。；ちなみに横浜との入団契約の際には、故障の治療を保障する条件が盛り込まれている。</t>
        </is>
      </c>
      <c r="J7737">
        <f>HYPERLINK("https://www.weblio.jp/content/保障", "词义详情")</f>
        <v/>
      </c>
      <c r="K7737">
        <f>HYPERLINK("https://yourei.jp/保障", "查看例句")</f>
        <v/>
      </c>
    </row>
    <row r="7738">
      <c r="A7738" t="inlineStr">
        <is>
          <t>保証</t>
        </is>
      </c>
      <c r="B7738" t="inlineStr">
        <is>
          <t>成功</t>
        </is>
      </c>
      <c r="C7738" t="inlineStr">
        <is>
          <t>読み方：ほしょう
［名］(スル)
１間違いがない、大丈夫であると認め、責任をもつこと。「品質を—する」「彼の人柄については—する」
２債務者が債務を履行しない場合に、代わって債権者に債務を履行する義務を負うこと。「—責任」</t>
        </is>
      </c>
      <c r="D7738" t="inlineStr">
        <is>
          <t>保証する(20%)；保証される(5%)；保証できる；保証つき；保証金</t>
        </is>
      </c>
      <c r="E7738" t="inlineStr">
        <is>
          <t>安全；確信；警備；断言；保険</t>
        </is>
      </c>
      <c r="F7738" t="inlineStr">
        <is>
          <t>政府保証；最低保証；保証出来；保証付き；保証外</t>
        </is>
      </c>
      <c r="G7738" t="inlineStr">
        <is>
          <t>保証金；保証書；保証期間；保証債務；保証料</t>
        </is>
      </c>
      <c r="H7738" t="n">
        <v>29</v>
      </c>
      <c r="I7738" t="inlineStr">
        <is>
          <t>連続して作戦を実施するには機動力とそれを保証する火力が必要となる。；公式には専用基板扱いとなっており、ほかのタイトルの動作保証はない。；そのためかマドレーヌだけは好きな役を勝手に選ぶ権利が保証されていた。；この特徴的な整備体制や保証体制が自動車業界関係者の間で話題になった。；ただし発祥には異説も存在し、いずれの説も正確性が保証されていない。；この機関は自前のガス工場で、市へのガス供給を保証する機関であった。；その他、資格・質保証局より認定された専門学校・カレッジも存在する。；長期的に家主の利益を保証する契約ではないため十分な注意が必要である。；この制約の有効性はプログラム著作者の著作権によって保証されている。；保証が切れても有償で修理や交換に応じてくれるメーカーや代理店もある。；稀に上乗せが行われ、当選した場合は更に5回のボーナスが保証される。；フィリピンに独立を保証するという彼らの最近の約束は全く信頼できない。；これは型安全性と言われて、安全なデータ計算を保証する概念である。；これは表示される成分がきちんと含まれているかを保証しているとのことである。；これはまた、楔積を取った結果が向きを持つことを保証するものでもある。；アプリケーションは適切な伝送特性を使うことを保証しなければならない。；中でもジェノヴァとの様々な協約は国の商業力の保証と強化に役立った。；帝国内部での自由な移動と居住の保証が大英帝国隆盛の大きな要因となった。；しかし、全く白血球が残存していないことが保証されているわけではない。；家電製品やPCの場合、一定の保証がつけられていることが一般的である。；この成果はハイゼンベルクの理論の信頼性を保証した点で重要な結果だった。；そのため、このリストは増えつつあり、発見済みの全てである保証もない。；これらのプロトコルは転送されるデータが秘匿されていることを保証する。；参照透過性を持つことは、その関数が状態を持たないことを保証する。；積分がルベーグ積分であることは完備性を保証するために本質的である。；フェラーリは僕の希望したことを何も保証してくれなかった。；さらに学校の宗教的基盤を、同志社と同一にすることの保証も確約した。；履歴の保証されていない測定器には、そもそも不確かさの値が付かない。；BIPではゲインズボロと比べてより良い条件と高い独立性が保証された。</t>
        </is>
      </c>
      <c r="J7738">
        <f>HYPERLINK("https://www.weblio.jp/content/保証", "词义详情")</f>
        <v/>
      </c>
      <c r="K7738">
        <f>HYPERLINK("https://yourei.jp/保証", "查看例句")</f>
        <v/>
      </c>
    </row>
    <row r="7739">
      <c r="A7739" t="inlineStr">
        <is>
          <t>補償</t>
        </is>
      </c>
      <c r="B7739" t="inlineStr">
        <is>
          <t>成功</t>
        </is>
      </c>
      <c r="C7739" t="inlineStr">
        <is>
          <t>読み方：ほしょう
［名］(スル)
１損失を補って、つぐなうこと。特に、損害賠償として、財産や健康上の損失を金銭でつぐなうこと。「労働災害を—する」「公害—裁判」「—金」
２心理学で、身体的・精神的な原因によって劣等感をもつとき、それを補おうとする心の働き。アドラーの用語。→防衛機制</t>
        </is>
      </c>
      <c r="D7739" t="inlineStr">
        <is>
          <t>補償交渉(8%)；補償額(2%)；補償制度；補償選手；補償基準</t>
        </is>
      </c>
      <c r="E7739" t="inlineStr">
        <is>
          <t>満足；喜び；カバー；報酬；払う</t>
        </is>
      </c>
      <c r="F7739" t="inlineStr">
        <is>
          <t>移転補償；金銭的補償；遺族補償；損害補償；労災補償</t>
        </is>
      </c>
      <c r="G7739" t="inlineStr">
        <is>
          <t>補償問題；補償光学；補償内容；補償範囲；補償コンサルタント</t>
        </is>
      </c>
      <c r="H7739" t="n">
        <v>29</v>
      </c>
      <c r="I7739" t="inlineStr">
        <is>
          <t>住民が納得し補償交渉が再開したのは翌1954年4月のことであった。；したがって試合に出るには仕事を休まなければならず、補償もなかった。；このことは後に日本とフィリピン政府との間で補償問題へと発展した。；地震で住宅被害を受けた人の生活再建に必要な費用を補償する。；河川、道路事業など関してとりわけ重要となる用地買収・補償等を所管。；このことで被害を受けた住民が補償要求運動を展開している。；クビなら補償しなければならないが、私の都合で降りたならその必要もない。；しかしCBAはNBAから補償がなかったとし訴訟を起こす事態に発展。；当項ではこれまでに日本が行ってきた主要な賠償・補償について概観する。；多くのコレクターは絵の交換のみでなく、お金で補償することも望みました。；なお、他基地で実施されている移転補償については実施していない。；結局相場通りの補償額に落とさざるを得なかったが住民は再び態度を硬化。；但し、以下の場合は補償の一部または全部が行われないことがある。；その移転を求める際も、十分な補償が行われなければならない。；だが、1970年8月21日に補償交渉は妥結し本格的な工事に入った。；翌年の大正13年8月9日には、買収地内の建物等の補償交渉も成立。；この機能は記録機と異なる装置で再生を行う場合の互換性を補償するためにも用いられた。；測定技術の目的は、測定回路の影響を最小化あるいは補償することである。；被害が補償されることがあるのは個人のみで、法人の場合は補償されなかった。；だが、ダム建設補償に伴う道路整備によって冬季交通が可能になった。；日本政府はまた、被害者に補償と公式の謝罪の手紙を与える組織を設立した。；所有する土地に対する補償交渉に一切応じず補償金の受け取りも拒否した。；この「再補償」は田瀬ダムでしか見られなかった特色ある事柄であった。；日本の出水平野では政府により土地の買収や被害補償などの対策がとられている。；補償は、人が労働の産物と同等の価値があると判断したものの形で提供されます。；そのため中国側は、双方の事故補償とも同じ事故水準で解決しようとしていた。；労災補償法は裁判所で否定されたが、再度提案され1910年に施行になった。；補償交渉の妥結後住民たちは住み慣れた故郷を離れ、各地へ散っていった。；保険契約上、補償対象としない損害の主なものは次のとおりである。</t>
        </is>
      </c>
      <c r="J7739">
        <f>HYPERLINK("https://www.weblio.jp/content/補償", "词义详情")</f>
        <v/>
      </c>
      <c r="K7739">
        <f>HYPERLINK("https://yourei.jp/補償", "查看例句")</f>
        <v/>
      </c>
    </row>
    <row r="7740">
      <c r="A7740" t="inlineStr">
        <is>
          <t>干す</t>
        </is>
      </c>
      <c r="B7740" t="inlineStr">
        <is>
          <t>成功</t>
        </is>
      </c>
      <c r="C7740" t="inlineStr">
        <is>
          <t>読み方：ほす
［動サ五（四）］
１水分・湿気を取り除くために、日光・風・火気などにあてる。かわかす。「洗濯物を—・す」「布団を—・す」
２中の水を全部除いてからにする。「井戸を—・す」「池を—・す」
３残ることなく飲みつくす。「杯を—・す」
４故意に仕事や役割を与えないでほうっておく。また、無視する。「役を—・される」
５涙をかわかす。泣くのをやめる。
「うち語らひつつ、—・す世もなくて過ぐし給ふに」〈源・椎本〉
６飲食をしないで腹の中をからにする。
「腹ヲ—・ス」〈日葡〉
[可能]ほせる</t>
        </is>
      </c>
      <c r="D7740" t="inlineStr">
        <is>
          <t>流す；排水；換気；脱水；空ける</t>
        </is>
      </c>
      <c r="F7740" t="inlineStr">
        <is>
          <t>掛けて干す</t>
        </is>
      </c>
      <c r="H7740" t="n">
        <v>29</v>
      </c>
      <c r="I7740" t="inlineStr">
        <is>
          <t>作られた土のままの人形を蔭干しにして庭にならべている少女があった。；さうして完全に底を干す瞬間は、彼の全身が期待で一杯になる時であつた。；彼がその海を干しあげるには、おそらく永劫の時間を必要とするだろう。；熱は恐ろしい脳の栄養まで干してしまうのか、思考が非常に単純になる。；お城の下の麥を干したらしい空くひの列に沿って小さな犬が馳けて來る。；男は一パイントの酒を注文し、三十分かけて生のままで干してしまった。；干した姿が三味線のばちに似ていることから、ばちことも呼ばれている。；いさが夏や秋に貯めた山菜や茸の塩漬けや干したものが入っているのだ。；この後、書斎の整理管理を行っていたとき、経典を干す作業をしていた。；同会が行ってきた油夫池の池干し等の活動が評価されたものであった。；風の強い日は干しているものを洗濯ばさみで留めておくことが望ましい。；二階のテスリに干しておいたネマキが風で落ちているのを見つけましたし。；これで自信がつきましたから、今日もまた干しているところですよ。；それが通用もせぬ紙きれだったら、この身ばかりか女房子は乾干しだわ。；布団を上げるつもりも干すつもりもない事を態度で見せておくのだ。；ペットボトル一本分はありそうな中身を干すのにどれほどかかったものか。；天の香具山の辺には今日は一ぱい白い衣を干している、というのである。；或る子は前掛けの衣嚢から干した無花果を出して遣ろうといたしました。；一息つく暇もなく、洗い終えた服を干そうとベランダに出たときだった。；木村は店の裏にいて、何をしているのかと思ったら、大量の靴を干していた。；田干しされていたたんぼに水が流れ込むまで、もういくらも時間がない。；他のさまざまな干し海鼠同様に中華料理などの材料に使用されている。；そこには洗濯したばかりのわたしたちの下着がそっくり干してあった。；酒の席で助けると言えば、回された杯を代わりに干すことを意味する。；ボートに乗ろうとする二人に、干した魚やせんべいをくれる者もいた。；そして大きな数階の家の高い窓に干してあるせんたく物が目についたりした。；平干しはピアノ線などを使って1cm程度の厚さに切ってから干される。；二階に蒲団を干してあるのが眼について、りよはその家の格子を開けた。；ハルオは縁側に腰掛けて、私が洗濯物を干すのを子供のように見ていた。</t>
        </is>
      </c>
      <c r="J7740">
        <f>HYPERLINK("https://www.weblio.jp/content/干す", "词义详情")</f>
        <v/>
      </c>
      <c r="K7740">
        <f>HYPERLINK("https://yourei.jp/干す", "查看例句")</f>
        <v/>
      </c>
    </row>
    <row r="7741">
      <c r="A7741" t="inlineStr">
        <is>
          <t>細い</t>
        </is>
      </c>
      <c r="B7741" t="inlineStr">
        <is>
          <t>成功</t>
        </is>
      </c>
      <c r="C7741" t="inlineStr">
        <is>
          <t>読み方：こまい
［形］（多く西日本で）
１形や量、数などが小さい。こまかい。
「何歳(いくつ)かい。何、十二、—・いな」〈蘆花・思出の記〉
２けちけちしている。お金に細かい。「金に—・いことをいう」</t>
        </is>
      </c>
      <c r="D7741" t="inlineStr">
        <is>
          <t>細い道(5%)；細い目(3%)；細い指(2%)；細い路地；細い声</t>
        </is>
      </c>
      <c r="E7741" t="inlineStr">
        <is>
          <t>小さい；狭い；薄い；細かい；細長い</t>
        </is>
      </c>
      <c r="F7741" t="inlineStr">
        <is>
          <t>細い手；細い枝；細い肩；細い通路；細い紐</t>
        </is>
      </c>
      <c r="H7741" t="n">
        <v>29</v>
      </c>
      <c r="I7741" t="inlineStr">
        <is>
          <t>ソウルでの大怪我の後は腕も細くなり左手に力が入らない状態であった。；その姿は細かなコケのようであったり細い枝状であったりと様々である。；また先端が細くなっていることは、圧入の作業を容易にする目的もある。；大きいものから小さいもの、また細いものから太いものまで様々ある。；カリンバとは、箱に並んだ細い金属棒を弾いて演奏するアフリカの楽器。；林冠は細い枝が互いに触れ合うか触れ合わないかで接した姿をしている。；軸柱がはっきりせず、細毛体が寄り集まっているだけに見えるものも多い。；路地状敷地は、建築物と道路の間に細い部分を持った敷地のことである。；HR図上での主系列が単なる細い線にならないのはこのためである。；太線で描かれているものもあるが、多くは細く流麗な線で描かれている。；海は一部の細くなっている海峡を除き、軍船が無いと渡る事が出来ない。；額から長い冠羽が突き出ており、目の後ろには細くて白い飾り羽もある。；耳は飾り毛のある大きな立ち耳、尾は細く先細りで飾り毛がある垂れ尾。；古くからの住宅密集地帯が多く、細く狭い道や急な山坂が多いのが特徴。；太い方で描いた円の中に入ると翌日へ、細い方だと前日へ行くことができる。；杣川から北へ少し離れた所にあり、駅付近は細い路地が入り組んでいる。；最初期の競馬は森の中の細い道やあるいは町中の街路で行われていた。；昨日の品のようにも見え、あれはもう少し鎖が細かったようにも考えられた。；類似の構造で細いものを針と言うが、その境界ははっきりしない。；樹木の上に木の枝や草の茎、樹木の細い根などを組み合わせた巣を作る。；毛の太さは100分の1ミリメートルほどで、動物の中でも極めて細い。；細く直線状の柄が葉の間から高く抜き出て、その先端に1個の穂がつく。；近縁のイスズミも似ているが、こちらは黄色っぽい細い縦帯が多数ある。；前翅が細く、先端がさらに鋭角的になるほかはほとんど差がみられない。；かつての両島の境界には、両側に細い入り江が伸びるのみとなっている。；細い糸で作られた網を空中に渡し、そこに飛んできた野鳥を捕らえる。；右の婦人細き竹杖で壁隙より刺すと婢腹病むというて戸を開き厠に如く。；以下ではレンズに入射する光束が光軸付近の十分細い領域を通るとする。；細眼にした間から穏かな瞳をしずかに私の胸の辺に投げて楽器を奏でます。</t>
        </is>
      </c>
      <c r="J7741">
        <f>HYPERLINK("https://www.weblio.jp/content/細い", "词义详情")</f>
        <v/>
      </c>
      <c r="K7741">
        <f>HYPERLINK("https://yourei.jp/細い", "查看例句")</f>
        <v/>
      </c>
    </row>
    <row r="7742">
      <c r="A7742" t="inlineStr">
        <is>
          <t>舗装</t>
        </is>
      </c>
      <c r="B7742" t="inlineStr">
        <is>
          <t>成功</t>
        </is>
      </c>
      <c r="C7742" t="inlineStr">
        <is>
          <t>読み方：ほそう
［名］(スル)耐久性を増すために、道路などの表面をアスファルトやセメントで敷き固めること。「駐車場を—する」「—道路」</t>
        </is>
      </c>
      <c r="D7742" t="inlineStr">
        <is>
          <t>舗装路(8%)；舗装面；舗装化；舗装材；舗装道</t>
        </is>
      </c>
      <c r="F7742" t="inlineStr">
        <is>
          <t>コンクリート舗装；道路舗装；再舗装；簡易舗装；カラー舗装</t>
        </is>
      </c>
      <c r="G7742" t="inlineStr">
        <is>
          <t>舗装工事；舗装施工管理技術者；舗装工事業</t>
        </is>
      </c>
      <c r="H7742" t="n">
        <v>29</v>
      </c>
      <c r="I7742" t="inlineStr">
        <is>
          <t>道路を保護する目的のもので、舗装されていない部分を保護路肩という。；この州には舗装された道路も水運に利用できる河川も無く孤立している。；神殿は東側の別の宗教建造物に続く舗装路に向かって入口が開かれていた。；頂上近くまで舗装された道路が整備されており車で行くことが可能である。；なお、市内の殆どの道が舗装されているものの、高速道路は存在しない。；公園は施設間輸送の為、単層アスファルト舗装された道路を備えている。；舗装は完了しているものの、多くの区間は未だに狭隘道路のままである。；自動車で走行可能な道路は多いが、舗装された道路はほとんどない。；舗装路でも広く利用されており、用途によって様々な形態が存在する。；この坂は自動車の登攀できない急勾配で、舗装も二厘対応となっている。；仙台市地下鉄東西線工事でも、舗装下に残された軌道敷跡が撤去された。；これらは1980年代に舗装し直す際に行った発掘調査で判明している。；起点の岩間温泉から一軒宿の新岩間温泉までの区間は舗装されていない。；かつては舗装もされていなかったが、現在は全線に渡って舗装されている。；舗装された道路もあるが、鉄道や空港はなく、外部との交通は脆弱である。；道路は未舗装であったため、トロリーバスの通る中央部のみ舗装された。；ただし、この道路は舗装はもちろん手入れすら満足になされていない。；街道はそこから北に向かうが、今では近代的な舗装が施されている。；舗装されたクローズドコースにて同時に複数台がスタートし順位を競う。；多くの建造物や舗装された道路などは、気温よりも大幅に温度が高くなる。；舗装路面で運用できるように主翼端に小さな補助輪を付けた機種もある。；この道路はナポレオンの時代には既に一部で舗装がなされていた。；この道路は舗装されており、駅周辺の鉄道施設は跡形も無くなっている。；島内の道路の整備は遅れており、舗装されている道は島の半分ほどだけである。；これは舗装の透水性が高く、間隙水凍結の影響を受けやすいためである。；またこの頃には道路が舗装され、カテリーニの町では電気が敷かれた。；近年までコンクリートの蓋が残っていたが、現在は舗装されている。；出入口は妻面にあり、周辺の集落とは舗装された坂道や階段で連絡している。；現在も石炭などはそのまま舗装された園路や生垣の下に存在している。</t>
        </is>
      </c>
      <c r="J7742">
        <f>HYPERLINK("https://www.weblio.jp/content/舗装", "词义详情")</f>
        <v/>
      </c>
      <c r="K7742">
        <f>HYPERLINK("https://yourei.jp/舗装", "查看例句")</f>
        <v/>
      </c>
    </row>
    <row r="7743">
      <c r="A7743" t="inlineStr">
        <is>
          <t>補足</t>
        </is>
      </c>
      <c r="B7743" t="inlineStr">
        <is>
          <t>成功</t>
        </is>
      </c>
      <c r="C7743" t="inlineStr">
        <is>
          <t>読み方：ほそく
［名］(スル)不十分なところを付け足して、補うこと。「—して説明する」</t>
        </is>
      </c>
      <c r="D7743" t="inlineStr">
        <is>
          <t>補足する(19%)；補足的(8%)；補足説明(5%)；補足情報；補足事項</t>
        </is>
      </c>
      <c r="E7743" t="inlineStr">
        <is>
          <t>増加；追加；補給；添；付加</t>
        </is>
      </c>
      <c r="F7743" t="inlineStr">
        <is>
          <t>補足質問；補足版；補足基準；補足資料；補足撃滅</t>
        </is>
      </c>
      <c r="G7743" t="inlineStr">
        <is>
          <t>補足投票；補足インデックス；補足面</t>
        </is>
      </c>
      <c r="H7743" t="n">
        <v>29</v>
      </c>
      <c r="I7743" t="inlineStr">
        <is>
          <t>記事を補足するため、対応する地域の地図が雑誌に付属することがある。；つまり、村上はすでに知っている話をおれに補足させただけにすぎない。；ここで補足しておくが、あの惑星の消滅は外見以上に重大な問題である。；本書も第一冊、第二冊目と同じように、それを補足しなくてはならない。；曲名の後ろに名義、括弧の中には収録されているシリーズと補足を掲載。；食事をしつつの鹿島の話は、今までの自分達の調査を補足するものだった。；またネクロノミコンに書かれていないことや補足的な情報も存在する。；その際にナレーションで心霊現象への解釈が補足され、映像が終了する。；なぜなら、この両者は対立的であるばかりか相互補足的でもあるからである。；結局のところ細部にわたって補足してくれたのは、あの技術監督だった。；「でも、その人は自分流に解釈しているのね」とわたしは補足しました。；俺が釈然としないでいると、それを見抜いたように里志は補足を入れた。；その内容は絵の動きとセリフ、芝居の意図を説明する補足などが書かれる。；補足予審をして私からさらに聴取することを裁判所が要求したからだった。；正成はそのあと、多くもいわず、ただ久子のことばにこう補足していた。；このため、科学共同体は2つの追加観測で南天の情報の補足を決定した。；この二つの概念は後に建造された全ての潜水艦においてお互いを補足し合った。；むろん次ぎになお一つの重要な補足的説明が附け加えられねばならぬ。；NTSBは酸素を得ることが出来なかった理由を次のように補足した。；御質問に答える形でさらに私の考えを補足させていただきます。；人捜しの件は以前に伝えてあるので、赤い手紙などの部分を簡単に補足した。；いまの言葉には補足の説明がいるという考えも、浮かんでいないようだった。；しかし、ロッシが補足する少し手前でエネルギー体はそのコースを変えた。；この文庫版で必要最低限の補足はできたと思いますが、如何でしょうか。；きのう、私の出しました報告に補足を望んでおいでのご様子でしたからね。；わたしは彼とのいきさつを今度は警察に説明し、ミチルもこれを補足した。；さて、前にあげた自分の放言的会話について、少しばかり補足して置く。；この「補足法」は純粋に「国内の」貿易についても規制を拡大していた。；七月上旬に発行された新聞が奇妙にもブレイクの日記の記述を補足している。</t>
        </is>
      </c>
      <c r="J7743">
        <f>HYPERLINK("https://www.weblio.jp/content/補足", "词义详情")</f>
        <v/>
      </c>
      <c r="K7743">
        <f>HYPERLINK("https://yourei.jp/補足", "查看例句")</f>
        <v/>
      </c>
    </row>
    <row r="7744">
      <c r="A7744" t="inlineStr">
        <is>
          <t>細長い</t>
        </is>
      </c>
      <c r="B7744" t="inlineStr">
        <is>
          <t>成功</t>
        </is>
      </c>
      <c r="C7744" t="inlineStr">
        <is>
          <t>読み方：ほそながい
［形］［文］ほそなが・し［ク］
１細くて長い。「—・い土地」
２細々と長く続くさま。「—・く商売する」</t>
        </is>
      </c>
      <c r="D7744" t="inlineStr">
        <is>
          <t>細長い形状；細長い体；細長い部屋；細長い顔；細長い葉</t>
        </is>
      </c>
      <c r="E7744" t="inlineStr">
        <is>
          <t>細い；長細い；狭長；細長；長っ細い</t>
        </is>
      </c>
      <c r="F7744" t="inlineStr">
        <is>
          <t>東西に細長い；やや細長い；縦に細長い；細長い楕円形；非常に細長い</t>
        </is>
      </c>
      <c r="H7744" t="n">
        <v>29</v>
      </c>
      <c r="I7744" t="inlineStr">
        <is>
          <t>地区は南北に細長く面積も広いため、場所ごとにまったく用途が異なる。；やや細長くて平らな動物で、形はやや舌に似ており属名もこれに基づく。；多くは竹を切って蓋をしたもので、側面には細長い穴が開いている。；進化して体が細長くなり、リーフィーシードラゴンのような姿になった。；細長い体には付属物がほとんどなく、頭部の方がとがっているものが多い。；江戸時代には細長港付近に橋はなく、細長には渡しが設けられていた。；鈴鹿山脈から琵琶湖まで愛知川に沿って東西に細長い地域を占めていた。；コムカデと総称され、細長い体と多数の足をもっている土壌動物である。；南の谷に面する傾斜には、細長い平場が上・中・下の3段作られていた。；駅の正面側が市街地であり、町は駅を中心に、南北へ細長く発展して来た。；近縁種も含めサバ科の仲間でも特に前後に細長い体型で、左右に平たい。；大津京駅から北は活断層が活動した結果できた細長い平地に沿って走る。；細長い布からなっており、様々なスタイルで体を包み込むようにまとう。；彼らの腹面には体に沿って細長いひれが一対あったと考えられる。；特にその中でも有肺類のうちの殻が細長くないものを言う場合が多い。；東側、山地と海岸に挟まれた南北に細長い地域に地形の名はついていない。；動物の体は一般に繰り返し構造によって前後に細長く作られている。；南北180km、東西は広いところで65kmと南北に細長い島である。；長さはしばしば10センチメートル近くに達し、柳の葉のように細長い。；また、ぶらさげて用いる細長い旗のことをペンダントと呼ぶこともある。；これらのものは用紙に合わせて縦に細長い形のものを用いるのが普通である。；体系は細長く頭が小さくマルタンヤンマに似ているが本種はツヤがある。；従って、直線を描きたいときは細長い長方形を使って内側を塗りつぶす。；細長い首の部分に帯状のラベルがあり、ここに原材料等が記されている。；開けた場所では大型になり、細長い枝と比較的短く広い葉を持つ。；前川さんは更に加速して、その細長な身体を縦に縮小して去っていった。；ただし歩脚が後ろほど細長いのは他のクダヒゲエビ科にも共通する。；島の長さは東西約7km、南北約4kmで東西に細長い形をしている。；頭部は細長く多数の細かい歯を備えた明らかに魚食動物の特徴を持つ。</t>
        </is>
      </c>
      <c r="J7744">
        <f>HYPERLINK("https://www.weblio.jp/content/細長い", "词义详情")</f>
        <v/>
      </c>
      <c r="K7744">
        <f>HYPERLINK("https://yourei.jp/細長い", "查看例句")</f>
        <v/>
      </c>
    </row>
    <row r="7745">
      <c r="A7745" t="inlineStr">
        <is>
          <t>ぼそぼそ</t>
        </is>
      </c>
      <c r="B7745" t="inlineStr">
        <is>
          <t>成功</t>
        </is>
      </c>
      <c r="C7745" t="inlineStr">
        <is>
          <t>［副］(スル)
１低く小さい声で話すさま。「—（と）つぶやく」
２食物の水分がぬけて食べにくいさま。「—（と）した冷や飯」
［形動］2に同じ。「—なパン」
［アクセント］はボソボソ、2はボソボソ。</t>
        </is>
      </c>
      <c r="D7745" t="inlineStr">
        <is>
          <t>ぼそぼそと話し(4%)；ぼそぼそと答え；ぼそぼそ話し；ぼそぼそと呟く；ぼそぼそと呟い</t>
        </is>
      </c>
      <c r="E7745" t="inlineStr">
        <is>
          <t>もじもじ；ブツブツ；まごまご；ボソボソ；もごもご</t>
        </is>
      </c>
      <c r="F7745" t="inlineStr">
        <is>
          <t>小声でぼそぼそ；なにやらぼそぼそ；何やらぼそぼそ；ぼそぼそと語り；ぼそぼそ食べ</t>
        </is>
      </c>
      <c r="H7745" t="n">
        <v>29</v>
      </c>
      <c r="I7745" t="inlineStr">
        <is>
          <t>そんな風にTはプラットホームを歩きながら低い声でぼそぼそと言った。；それを気がかりそうに見て、坊主はあわててぼそぼそ口の中で説明した。；キングのそばに先ほどの入れ墨男が立って小声でぼそぼそと話していた。；すると今度は香苗の腕の中で、何事かを呟くようにぼそぼそ語り始めた。；その壁の後ろからね、ぼそぼそと人の話し声が聞こえたような気がしてね。；ぼそぼそ声はしているんだがなにを云ってるかは聞えなかった。；奥まった小さい部屋から、二人の話声が、夜更までぼそぼそ聞えていた。；秀吉と官兵衛が暗い本陣で床几に座ったまま、ぼそぼそと話をしていた。；甘いささやきと本人たちが思うのは、単なるぼそぼそ声にしかすぎない。；一人は腹がへってるから金をくれと私にぼそぼそした声で告げた。；皆の衆、どうしたことだと催促すると、うつむいてぼそぼそ食べだした。；先生も困った顔で、うん、まあ、それは大事だよな、とぼそぼそと言う。；おちつきもなく何かに脅えた臆病な眼色をしてぼそぼそとものを云ふ。；俯いて話し出すと、ぼくの声は自分でも驚くほどぼそぼそとしていた。；彼は、まるで誰も横にいないかのように、口髭の中でぼそぼそとつぶやいた。；関永と小松崎は作戦を練るようにぼそぼそと話しながら酒を呑んでいる。；源太が、申しわけのようなことを口の中でぼそぼそとつぶやきました。；茶の室では母親とお銀とが、声を潜めて時々何やらぼそぼそと話していた。；どこかに出かけていた父親と母親の声もぼそぼそとする。；連絡を受けた一人がもう一人にぼそぼそと何か告げた。；父が金を渡すと、ぼそぼそと口の中で何か言い、おとなしく帰って行った。；低い声でぼそぼそと何かをしゃべった後、彼はすぐに戻ってきた。；何かぼそぼそと喋っているような声が聞こえ、かと思うと、唐突に切れた。；息子と娘は何事か二人でぼそぼそ話しながら歩いている。；ひさは無感動に、抑揚の乏しい声で康三郎を相手にぼそぼそと話していた。；二人は目を合わせないように並んで立ち、ぼそぼそと何事か言葉を交わしている。；次郎兵衛は奥のしれぬようなぼそぼそ声でおのれの半生を語りだした。；店で働いている時と同じくぼそぼそ話しているだけだが、悪い雰囲気ではなかったと思う。；てってと近づいてきて俺の耳に顔を寄せ、ぼそぼそと真相を告げた。</t>
        </is>
      </c>
      <c r="J7745">
        <f>HYPERLINK("https://www.weblio.jp/content/ぼそぼそ", "词义详情")</f>
        <v/>
      </c>
      <c r="K7745">
        <f>HYPERLINK("https://yourei.jp/ぼそぼそ", "查看例句")</f>
        <v/>
      </c>
    </row>
    <row r="7746">
      <c r="A7746" t="inlineStr">
        <is>
          <t>保存</t>
        </is>
      </c>
      <c r="B7746" t="inlineStr">
        <is>
          <t>成功</t>
        </is>
      </c>
      <c r="C7746" t="inlineStr">
        <is>
          <t>読み方：ほぞん
［名］(スル)そのままの状態に保っておくこと。「文化財を—する」「永久—」</t>
        </is>
      </c>
      <c r="D7746" t="inlineStr">
        <is>
          <t>保存する(10%)；保存状態(5%)；保存される(4%)；保存性；保存できる</t>
        </is>
      </c>
      <c r="E7746" t="inlineStr">
        <is>
          <t>管理；維持；保護；書く；保持</t>
        </is>
      </c>
      <c r="F7746" t="inlineStr">
        <is>
          <t>動態保存；保存用；保存地区；保存車両；保存法</t>
        </is>
      </c>
      <c r="G7746" t="inlineStr">
        <is>
          <t>保存食；保存鉄道；保存則；保存料；保存量</t>
        </is>
      </c>
      <c r="H7746" t="n">
        <v>29</v>
      </c>
      <c r="I7746" t="inlineStr">
        <is>
          <t>現地で地名が変化したのに、周辺言語が古い地名を保存することもある。；提供されるサービスは主に計算処理とデータの保存・利用に大別される。；対して、動作・運用可能な状態で保存されている場合は動態保存と言う。；以下の表はリチャードが保存していた旅行記録に基づいたものである。；これを最後に国鉄の蒸気機関車は保存用を除いてそのすべてが姿を消した。；盛岡市には実家が保存されており、隣には原敬記念館が開設されている。；その一方で、メーカー側などでは80年前後保存が可能とする指摘もある。；石炭貨物列車に使用されていたことから北海道・九州での保存が多い。；保存状態は悪くなく多くの浮彫で飾られた宮殿の城壁が発掘されている。；もち米をついた後に、保存するための形成方法は地方によって異なる。；ピクセルは通常、左下から右下へ、これを下から上に向かって保存する。；つまり基本的な生命現象は進化的に保存されていると言える。；この映画のフィルムは保存状態の悪さのため、非常に傷み色あせていた。；本体に搭載されている記憶装置に数百から数万曲の音楽を保存することができた。；また古い版のジャーゴンファイルは多くのサイトに保存されている。；また、多孔質でにおいを吸着しやすいので保存時には注意が必要である。；この博物館には1900年頃の古い教室が完全に保存されている。；記録は、安定した形で定着・保存された状態にある情報である。；いずれも保存されている車両は中に入ることができるが、公開時間が限られている。；それ以前のシステムは、磁気テープへのデータの順次保存に依っていた。；この当時に描いた漫画の一部は今でも記念館に保存されている。；Kunstbunkerは今でも保存、公開され訪れる歴史ファンは多い。；GIMP は以下のファイル形式を開いたり保存したりすることができる。；保存用のキャップを兼ねた短いものと、延長専用の長いものがある。；フランスなどでは一般家庭でもワイン保存用の地下室が存在することがある。；マビカは画像をディスクに保存し画像自体はテレビに表示するものであった。；この海進はベアパウ海と呼ばれ、巨大なに海洋堆積物が保存されている。；洗濯工場博物館には、オリジナルの状態で保存された洗濯工場がある。；一般家庭では長期保存、特に夏を越しての保存は考えないほうがよい。</t>
        </is>
      </c>
      <c r="J7746">
        <f>HYPERLINK("https://www.weblio.jp/content/保存", "词义详情")</f>
        <v/>
      </c>
      <c r="K7746">
        <f>HYPERLINK("https://yourei.jp/保存", "查看例句")</f>
        <v/>
      </c>
    </row>
    <row r="7747">
      <c r="A7747" t="inlineStr">
        <is>
          <t>墓地</t>
        </is>
      </c>
      <c r="B7747" t="inlineStr">
        <is>
          <t>成功</t>
        </is>
      </c>
      <c r="C7747" t="inlineStr">
        <is>
          <t>読み方：はかち
墓場。ぼち。</t>
        </is>
      </c>
      <c r="D7747" t="inlineStr">
        <is>
          <t>墓地内；墓地遺跡；墓地跡；墓地に移葬；墓地教会</t>
        </is>
      </c>
      <c r="E7747" t="inlineStr">
        <is>
          <t>墓所；青山；塚；墓場；霊園</t>
        </is>
      </c>
      <c r="F7747" t="inlineStr">
        <is>
          <t>教会墓地；国立墓地；地下墓地；ヒル墓地；古い墓地</t>
        </is>
      </c>
      <c r="G7747" t="inlineStr">
        <is>
          <t>墓地埋葬法</t>
        </is>
      </c>
      <c r="H7747" t="n">
        <v>29</v>
      </c>
      <c r="I7747" t="inlineStr">
        <is>
          <t>自ら地元の教会内に用意し、死後に埋葬された墓地は極めて質素である。；墓地は一般集落構成員の墓と有力者層の墓とは別に造られるようになった。；メレディスの遺体は同郡にあるメレディス一家の個人墓地に埋葬された。；それに加えて、大神殿の西側の市域はそれ自体が墓地で構成されていた。；また、墓地そのものが地理的条件の悪い土地に設けられることもあった。；平和公園は日本の各地に存在する公園であり、墓地であることが多い。；まず大きな教会がある島がありその先にイスラム教徒居住区と墓地がある。；これは第一には墓地が個人崇拝の対象となることを避けるためである。；人目につかないよう夜に教えたり、場所も人里離れた墓地などで教えた。；ふたりの遺体は現在メリーランド州ロックビルの墓地に埋葬されている。；一方で元の寺域では、江戸時代から昭和期にかけて墓地利用されている。；エジプト最大の都市であるカイロでは数十万人が郊外の墓地で生活している。；そしてマクレーンの遺体は同市内のグリーンマウント墓地に埋葬された。；築城前は発掘調査によって中世の墓地があったことが明確になっている。；遺体はグリーンの風車の近くにある聖ステファン教会墓地に埋葬された。；故に現在も神社脇に旧寺の墓地が存在する、珍しい状態となっている。；映画冒頭とラストのノルマンディー墓地は実際の場所で撮影されている。；長い歴史を持つ緑の多い公園墓地であり、著名人の墓も多数所在する。；また下記のように仏事に関係が深く、寺社や墓地によく植栽されている。；ライプツィヒ近郊の自宅に埋葬されたが、後にリガの墓地に改葬された。；同教会の墓地には歴史上の重要人物が数多く埋葬されている。；彼の遺体はアレクサンドル・ネフスキー大修道院の墓地に埋葬された。；こうした場所がその後大きくなって墓地の形態をなしていく。；ここの雷台地区には雷台漢墓という後漢の張将軍の一族の墓地がある。；南米のブラジルでは、墓地自体を高層ビル化したというような例もある。；遺体はベルリンの軍人墓地に埋葬され、後に妻エリザの遺体も埋葬された。；ウッドベリーの遺体は同市内のハーモニー・グロウヴ墓地に埋葬された。；正式には国立墓地の外にあり、内務省国立公園局が所有し管理している。；当初教会とは道路向かいにあるハンコック墓地に埋葬されていた。</t>
        </is>
      </c>
      <c r="J7747">
        <f>HYPERLINK("https://www.weblio.jp/content/墓地", "词义详情")</f>
        <v/>
      </c>
      <c r="K7747">
        <f>HYPERLINK("https://yourei.jp/墓地", "查看例句")</f>
        <v/>
      </c>
    </row>
    <row r="7748">
      <c r="A7748" t="inlineStr">
        <is>
          <t>ぼちぼち</t>
        </is>
      </c>
      <c r="B7748" t="inlineStr">
        <is>
          <t>成功</t>
        </is>
      </c>
      <c r="C7748" t="inlineStr">
        <is>
          <t>［副］
１ゆっくり物事にとりかかるさま。また、ある事態に近づくさま。そろそろ。「—出かけよう」「—昼だ」
２水滴などが続けて落ちる音や、そのさまを表す語。〈日葡〉
３小さなものが散らばってあるさま。
「—ぼちと斑(ふ)があるのさ」〈滑・浮世風呂・二〉
４小声で話すさま。特に、男女が仲むつまじく話すさま。
「息子は薄舞がしめつけて—と契ってゐる」〈洒・遊僊窟烟之花〉
［名］「ぽちぽち2」に同じ。「背中に—がある」
［形動ナリ］男女の仲がむつまじいさま。
「—で居ながらいい加減になんしよ」〈洒・二筋道〉
［アクセント］はボチボチ、はボチボチ。</t>
        </is>
      </c>
      <c r="D7748" t="inlineStr">
        <is>
          <t>徐々に；緩やかに</t>
        </is>
      </c>
      <c r="H7748" t="n">
        <v>29</v>
      </c>
      <c r="I7748" t="inlineStr">
        <is>
          <t>捜査会議の開かれる部屋に、ぼちぼち捜査員たちが集まって来ている。；噂を聞きつけてか、妖精さんがぼちぼちと集まってくるようになりました。；あの坊主に言われなくてもぼちぼち潮時だと思っていたところだ。；コーヒーを飲みながら、ぼちぼちと事件の話に入っていく。；時間はあるんだ、ぼちぼちうまくやっていくようにすりゃいい!；で、そんな感じに椎菜と別れて、俺もぼちぼち帰ることにした。；そのことを、ぼくもぼちぼち知りはじめていたのだ。；ぼちぼち教室に帰ってきた人たちも、なんだなんだって感じで、遠巻きにこっちを見てる。；さーて、ぼちぼちあんたたちに餌を与えて肥えてもらうとするかな。；いっそ水屋をよして、どこへも出かけず、この金をぼちぼち使っていようか。；しかし、それは名ばかりのようなもんで、ぼちぼちの扱いですわ。；夏休みもそろそろ終わりだって頃、ぼちぼち下水道の地図作成にとりかかった。；ぼちぼち常連以外の客が暖簾を割って入ってくる時間になった。；とくれば、ぼちぼち追いかけっこを切り上げて殴り合いをするしかない。；ぼちぼち、仕事の話に入った方がよさそうだ。；「もう終わりやね、ぼちぼち」 寄ってきたのは、中老の男である。；ぼちぼち返済していたのでは利息に追われて、いつまで経っても元金が減らない。；留守居の大事な仕事である対幕府関係のことは、四月に入ってからぼちぼち学海にもまわってきた。；「ぼちぼちね」 やがて二人に、それぞれ新しいいのちが誕生することだろう。；そういうケースがぼちぼち出はじめたので、政府は明治六年春、つぎのような通達を出した。；まあ戸部に人が戻ったらと思ってたんだけど、姫さんの薬のおかげでぼちぼち戻ってきそうだから、まあ七日とか、そんくらいかな?；ぼちぼち戻ろうかと声をかけられ、時計を見るといつの間にか三時間近くが経っている。；うちはまあそれからもぼちぼち値上げして3800円にしてるが、3600円以上にはしてないところも多いよな。；夜光虫が美しく光る海を前にして、K君はその不思議な謂われをぼちぼち話してくれました。；この頃ぼちぼち出てきている女の職人は、男ほどの量を運べないにしろ、そういうことを甘えずにちゃんとやっている。；喫茶店から戻ると、文化祭はもうぼちぼち後片付けが始まっていた。；そしてぼちぼちと帰るかと言った。；「ぼちぼち、はじめろうかのうし」 道夫が、隆直にいうのが聞こえた。；ぼちぼちアルバイトなんかもやるようになりました。</t>
        </is>
      </c>
      <c r="J7748">
        <f>HYPERLINK("https://www.weblio.jp/content/ぼちぼち", "词义详情")</f>
        <v/>
      </c>
      <c r="K7748">
        <f>HYPERLINK("https://yourei.jp/ぼちぼち", "查看例句")</f>
        <v/>
      </c>
    </row>
    <row r="7749">
      <c r="A7749" t="inlineStr">
        <is>
          <t>歩調</t>
        </is>
      </c>
      <c r="B7749" t="inlineStr">
        <is>
          <t>成功</t>
        </is>
      </c>
      <c r="C7749" t="inlineStr">
        <is>
          <t>読み方：ほちょう
１歩くときの調子。特に大勢で歩くときの足どり。足並み。「—を速める」「—をとる」
２大勢で行動するときのお互いのそろいぐあい。足並み。「仕事の—を合わせる」</t>
        </is>
      </c>
      <c r="D7749" t="inlineStr">
        <is>
          <t>歩調を共に；歩調を合わせる形；歩調をはやめ；歩調正しく；歩調をともに</t>
        </is>
      </c>
      <c r="E7749" t="inlineStr">
        <is>
          <t>足並み；足並；歩くペース</t>
        </is>
      </c>
      <c r="F7749" t="inlineStr">
        <is>
          <t>同じ歩調；速い歩調；同一歩調</t>
        </is>
      </c>
      <c r="H7749" t="n">
        <v>29</v>
      </c>
      <c r="I7749" t="inlineStr">
        <is>
          <t>彼は火のほうは見ずに、やはりおなじ歩調で部屋のなかを歩きまわった。；老婆は同じ歩調でその建物の一つだけあいている入口へ私を連れて行く。；先生は弟子に自分の前を走らせて、その歩調を判断すべきでございます。；三人はフードをかぶったまま、儀式的なゆっくりした歩調で歩いてきた。；歩調が激しくなるにつれて彼女の影も男性的な活溌の度を増して見える。；葉つぱは頭の上で彼女の歩調と共に進みながら月光を浴びて青黝かつた。；二人は歩調をゆるめ、イリヤは一歩一歩さぐるようにして歩いていった。；その歩調にあわせていると、まるで階段がこの先無限に続いているようだ。；あの晩、おれたちはゆっくりとした歩調で練習場へむかって行進した。；僕の歩調はアスファルトの上で不確かな運命を追っているように思われた。；後にピアースはその閣僚達に指示の変化に同一歩調を取るよう伝えた。；これ以後は写真技術の発展はカメラの発展と歩調を合わせることになる。。；二人の、歩調の合つてゐない足音が廊下に何時までも聞えてゐた。；眼が見ている秒針の動きは止まりはしなかった、確実な歩調で動いていた。；眼が見てゐる秒針の動きは止まりはしなかつた、確実な歩調で動いて居た。；判で押したように、同じ歩調で、同じようにくるりと向きを変えながら。；私の家が道の角にあるものだから、私の家の傍では歩調をゆるめて通つてゐる。；何十人もの裸足の足が歩調を合わせて地面を踏んでいるような音だ。；ホールを歩く足音が聞こえたが、外の芝生に出ると歩調は早くなったようだ。；戦争の進歩が人類文明の進歩と歩調を一にしているのは余りに自然である。；心にはややゆとりが出来たが、足は前と同じ歩調ですたすたと歩いている。；話はまだ初端から相手にそのやうに出られたので、歩調が亂れてしまつた。；この写真のみメンバーの歩調や写真全体のバランスがきれいに取れている。；しかも明瞭な意志に導かれてるものよりもいっそう確かな歩調だった。；実に適当な歩調と配置で、しかも充分な変化をもって火花の音楽が進行する。；休息をとるのだって、停止するのではなく、歩調を変えることでやるんだ。；ときどき微かに歩調をゆるめたかと思うと、また元のように歩いて行った。；彼はせかせかと昂奮した歩調で彼らの先に立ち、微笑を浮かべていた。；お袖は一とき、ひた走りに駈けたが、すぐもとの歩調にもどっていた。</t>
        </is>
      </c>
      <c r="J7749">
        <f>HYPERLINK("https://www.weblio.jp/content/歩調", "词义详情")</f>
        <v/>
      </c>
      <c r="K7749">
        <f>HYPERLINK("https://yourei.jp/歩調", "查看例句")</f>
        <v/>
      </c>
    </row>
    <row r="7750">
      <c r="A7750" t="inlineStr">
        <is>
          <t>北極</t>
        </is>
      </c>
      <c r="B7750" t="inlineStr">
        <is>
          <t>成功</t>
        </is>
      </c>
      <c r="C7750" t="inlineStr">
        <is>
          <t>読み方：ほっきょく
１地軸が北半球で地表と交わる点。北緯90度の地点。北極点。
２地軸の延長線が北側で天球と交わる点。天の北極。
３地磁気の北の極。磁北極。北磁極。
４北極星。また、北天の高所にあって動かないということから、天子の位。
「紫宸(ししん)—の高きに座して」〈太平記・三〉
北極地方および北極圏の略称。</t>
        </is>
      </c>
      <c r="D7750" t="inlineStr">
        <is>
          <t>北極探検(5%)；北極出地(3%)；北極付近；北極地域；北極遠征</t>
        </is>
      </c>
      <c r="E7750" t="inlineStr">
        <is>
          <t>北極地方</t>
        </is>
      </c>
      <c r="F7750" t="inlineStr">
        <is>
          <t>北極探険；北極上空；北極近く；北極回り；亜北極</t>
        </is>
      </c>
      <c r="G7750" t="inlineStr">
        <is>
          <t>北極圏；北極点；北極星；北極海航路；北極諸島</t>
        </is>
      </c>
      <c r="H7750" t="n">
        <v>29</v>
      </c>
      <c r="I7750" t="inlineStr">
        <is>
          <t>昼の最も長い夏至のときは円が最も小さくなって北極に近い軌道をとる。；北極付近の湖や海に、大量の液体が存在していることが明らかになった。；これまでで夏の北極の氷の面積が最小を記録したのは2012年である。；この旅は私の全部で十二回に及ぶ北極遠征のうちの最初のものだった。；別な面では同時に、北極の氷海に対する積極的な改造計画が進んでいた。；数年前の北極出地のことで酒井が何か質問するのはこれが初めてである。；人にも事物にも見られないとすれば南極か北極かの空を見るしかあるまい。；僕たちはもう殆んど東の方へ東の方へと北極を一まわりするようになるんだ。；北極でもオゾンホールの存在は確認されているが、南極ほど大きくない。；たとえば仮りに北極をワシントンへ持っていったとしたらどうであろうか。；北極の巨大な悪魔に不意に襲われる恐れのない時間は、ただの一瞬もなかった。；逆に昼の最も短い冬至のとき円が最も大きくなって北極から離れた軌道をとる。；この北極風が労農共和国の氷原を撫でて来るために現在の寒さであると。；当時も私は北極研究にかかわっていたが、これまた、昔とは大違いだった。；ああその遠い北極圈の氷の上で、ぼんやりと海豹のやうに坐つて居たい。；真の北極は428日の周期で反時計まわりに回っていることが分かる。；ほんとにあんなやつ、北極の海かどこかで、凍え死にするといいのです。；多くの犠牲を出した島は北極の最終作戦への参加を決定する。；これはによって設計されたもので、北極探検をしたを記念したものである。；人気があるのとモテるのは、北極と南極みたいに似てはいるが全然違うぜ。；北極には巨大な穴が開いており、地表との行き来が可能になっている。；けれども僕は、北極に向って探検の旅の途上にあるのだと答えました。；それは球ではなくすこし扁平な半球で、北極がほぼ中心をなしていた。；極地に流星球が多いのなら北極でも同様なことが観測されてもよいはずである。；これは純粋な文学書ではなくて、ソ連の北極探検飛行の記録である。；これは結局人間が汚した水が北極や南極に流れていったからである。；何せ北極のぢき近くまで行くのですからみんなはすつかり用意してゐました。；期待通り、マーズ・オデッセイは北極付近に巨大な水の塊を発見した。；北緯45度線が郡を横切っており、北極と赤道の中間にあることになる。</t>
        </is>
      </c>
      <c r="J7750">
        <f>HYPERLINK("https://www.weblio.jp/content/北極", "词义详情")</f>
        <v/>
      </c>
      <c r="K7750">
        <f>HYPERLINK("https://yourei.jp/北極", "查看例句")</f>
        <v/>
      </c>
    </row>
    <row r="7751">
      <c r="A7751" t="inlineStr">
        <is>
          <t>発作</t>
        </is>
      </c>
      <c r="B7751" t="inlineStr">
        <is>
          <t>成功</t>
        </is>
      </c>
      <c r="C7751" t="inlineStr">
        <is>
          <t>読み方：ほっさ
［名］(スル)病気の症状が急激に起こること。ふつう短時間でおさまる。
「右膝に疾を得て、時々—しければ」〈中村訳・西国立志編〉</t>
        </is>
      </c>
      <c r="D7751" t="inlineStr">
        <is>
          <t>発作的(11%)；発作性；発作時；発作型；発作焦点</t>
        </is>
      </c>
      <c r="E7751" t="inlineStr">
        <is>
          <t>攻撃；襲撃；襲来；アタック；不機嫌</t>
        </is>
      </c>
      <c r="F7751" t="inlineStr">
        <is>
          <t>部分発作；激しい発作；喘息発作；性発作；痛風発作</t>
        </is>
      </c>
      <c r="G7751" t="inlineStr">
        <is>
          <t>発作性夜間ヘモグロビン尿症；発作性夜間血色素尿症</t>
        </is>
      </c>
      <c r="H7751" t="n">
        <v>29</v>
      </c>
      <c r="I7751" t="inlineStr">
        <is>
          <t>原因は分かっていないが何らかの発作が起こったものと見られている。；長期管理薬を使用しても発作が起こった場合は、発作治療薬を使用する。；当新田は発作新田に囲まれており、同時期の開発されたものと思われる。；主人公はマラリアにかかっており、一定時間が経過すると発作が起こる。；てんかんの発作は神経の異常な電気活動に関係すると考えられている。；彼は精神分裂の発作に悩まされながらも、精力的に作品を発表し続けた。；そんな生活を送りつつも、ララァは発作的に脱走を試みたこともあった。；汽車の中で遺書を書いたのも、発作的な行動に過ぎなかった、と述べた。；中心脳発作という用語自体はてんかん発作国際分類には残されていない。；部分発作が発展して二次的に全般化して強直間代発作を示すこともある。；しかし彼の家族がホテルの部屋に戻ると、彼が発作で倒れているのを見つけた。；この頷きの発作が激しく出ると患者が転倒して怪我をすることもある。；意識障害が起こる場合もあり、これが発作開始時の症状である場合もある。；ホームズは病に倒れて間もなく心臓の発作で1947年1月に死去した。；発作を引き起こすことがあるため、てんかん患者には注意が必要である。；発射が辺縁系に広がると複雑部分発作とくに自動症を伴うことになる。；出血量が多いと電撃性卒中と言われ、発作と同時に死に至ることもある。；一方で興奮性細胞が関与しない疾患では発作性、周期性の症状は示さない。；JET研究では最終発作から3週間以上経過したあとに行なっている。；笑い発作は笑いや泣きの形での突然のエネルギーの暴発を伴う珍しい発作。；彼はまれにてんかん様の発作を起こすが、通常生活は問題なくこなせた。；部分発作が発展して二次的に全般化し、強直間代発作を示すこともある。；彼がパリで舞台に現れたとき、酒の飲み過ぎによる発作で失敗に終わった。；単純部分発作の間欠期の脳波は簡単にいうと局在性反対側発射である。；単純部分発作か、複雑部分発作か、明確には区別できない場合もある。；昨日届いた手紙を読み、脳卒中の発作を起こしてしまったのだという。；彼女は発作持ちのために、付き添い人の居ない状態にしないようにに頼んでいた。；てんかんの発作などで転倒した際頭部を保護する目的で使用される。；酒豪の影響で肝臓病に悩まされていて、発作的に自殺したといわれている。</t>
        </is>
      </c>
      <c r="J7751">
        <f>HYPERLINK("https://www.weblio.jp/content/発作", "词义详情")</f>
        <v/>
      </c>
      <c r="K7751">
        <f>HYPERLINK("https://yourei.jp/発作", "查看例句")</f>
        <v/>
      </c>
    </row>
    <row r="7752">
      <c r="A7752" t="inlineStr">
        <is>
          <t>没収</t>
        </is>
      </c>
      <c r="B7752" t="inlineStr">
        <is>
          <t>成功</t>
        </is>
      </c>
      <c r="C7752" t="inlineStr">
        <is>
          <t>読み方：ぼっしゅう
［名］(スル)
１強制的に取り上げること。
２刑法上の付加刑。犯罪行為に関連した物の所有権を取り上げて国家の所有に移すこと。</t>
        </is>
      </c>
      <c r="D7752" t="inlineStr">
        <is>
          <t>没収される(8%)；没収点；没収しよ；没収財産；没収地</t>
        </is>
      </c>
      <c r="E7752" t="inlineStr">
        <is>
          <t>占領；奪取；占拠；接収；罰金</t>
        </is>
      </c>
      <c r="F7752" t="inlineStr">
        <is>
          <t>全て没収；すべて没収；領地没収；供託金没収；全額没収</t>
        </is>
      </c>
      <c r="H7752" t="n">
        <v>29</v>
      </c>
      <c r="I7752" t="inlineStr">
        <is>
          <t>理由や経緯は書かれていないが、この1万石は同年中に没収されている。；没収された不動産は後に市民に売却されて、土地の流動化につながった。；もしチームがこの権利を行使したい場合は、1巡目指名権は没収された。；没収は、犯人以外の者に属しない物に限り、これをすることができる。；移送された人々の財産は没収され、多数派民族と国家のものとされた。；明治時代では武器の没収に関連して反乱が起きたこともあった。；親族に与えられた資産の多くはスペインよりの人々から没収したものであった。；このような借り上げでは返還の当てもなく、事実上の没収になってしまう。；彼女の写真は明らかに批判的だったので軍によって没収された。；その全部又は一部を没収することができないときは、その価額を追徴する。；ただし敗北までにかけたターン数が少なすぎる場合は没収されないこともある。；チェーザレが多くの金を必要とするようになると教皇は資産の没収を始めた。；新たに名乗った皇帝は、秦の所有でない武器は全て没収し溶かすよう命じた。；没収するか否かは裁判所の裁量に委ねられている、任意的没収である。；そしてどちらが勝っても彼らの領土は没収され、部族は散り散りにさせられた。；この小説は、その題材からスキャンダルとなり、警察に没収されてしまった。；主な業務は不正荘園の調査・摘発、書類不備の荘園の没収などを行った。；一方のスイッリウスは財産を半分没収された上でバレアレス諸島へ追放された。；自殺の原因としては先の天草領没収による精神的動揺が考えられている。；しかも全員が供託金没収点未満だったため、供託金はすべて没収された。；この時没収された土地はアンティオコス2世の時代に返還された。；没収喪失した中には占領軍を恐れてやみくもに出された名刀も多く含まれた。；しかし、またも皇帝の嫉妬を招き、すべての財産は没収され幽閉された。；戦後は大山家の財産の大半が没収されたこともあって、再興されることはなかった。；罵倒されなくてもごく稀に突き飛ばして座布団を没収する事もある。；こうして没収された土地はユダヤ人入植者たちに与えられた。；助命はされたが弟・景佐と共に所領を没収され、以後は甲賀に隠遁した。；犯罪収益等の没収・追徴について、その範囲を拡大し、手続を整備した。；親三好派や所領没収を恐れた多数の幕臣が帰京して幕府は崩壊した。</t>
        </is>
      </c>
      <c r="J7752">
        <f>HYPERLINK("https://www.weblio.jp/content/没収", "词义详情")</f>
        <v/>
      </c>
      <c r="K7752">
        <f>HYPERLINK("https://yourei.jp/没収", "查看例句")</f>
        <v/>
      </c>
    </row>
    <row r="7753">
      <c r="A7753" t="inlineStr">
        <is>
          <t>発足</t>
        </is>
      </c>
      <c r="B7753" t="inlineStr">
        <is>
          <t>成功</t>
        </is>
      </c>
      <c r="C7753" t="inlineStr">
        <is>
          <t>読み方：はっそく
［名］(スル)⇒ほっそく（発足）</t>
        </is>
      </c>
      <c r="D7753" t="inlineStr">
        <is>
          <t>発足後(6%)；発足時(5%)；発足当初(4%)；発足当時；発足以来</t>
        </is>
      </c>
      <c r="E7753" t="inlineStr">
        <is>
          <t>最初；始め；当初；設置；開始</t>
        </is>
      </c>
      <c r="F7753" t="inlineStr">
        <is>
          <t>政権発足；再発足；jリーグ発足；制度発足；内閣発足</t>
        </is>
      </c>
      <c r="H7753" t="n">
        <v>29</v>
      </c>
      <c r="I7753" t="inlineStr">
        <is>
          <t>区の発足から1945年頃まで、東京市内で最も人口の多い区であった。；本郡の発足前から同藩の領域は、郡名にかかわらず相馬と通称されていた。；各種テレビ番組の開発推進と共に、タレント開発部門を発足させている。；その後全国リーグの発足で一旦消滅したが1989年から再開されている。；これに伴い発足した第四北越フィナンシャルグループの傘下に入った。；発足当初は、現在の大阪市北東部の大半を管轄する広大な区であった。；ここではこのとき発足したバクーニン派の新組織をと呼称する。；発足当時は福岡市の区の中で唯一、地域固有の地名に由来する区名であった。；このため、両局は発足当初からJRN・NRN両方とも加盟している。；かつて吉田は同所発足時に所長就任を要請されたときはこれを断っていた。；メルケル政権は発足当初から積極的な対露・対米外交を展開して高支持率を記録。；これら会社・機構の発足とともにほぼ50年続いた当公団は解散した。；南口はJR発足後の1989年に地下通路を延長して新設、整備された。；JR発足後もJR東日本とJR西日本ではこの体制は続けられている。；かつての35区が22区に移行した1947年に発足した区である。；こうして、1970年には部落解放同盟正常化全国連絡会議が発足した。；当時はJリーグの発足直後でサッカーが話題になっていた。；また、TXNが正式に発足する以前は他系列とのクロスネット局も存在した。；JRグループでは、日本国有鉄道の車両をそのまま継承して発足した。；従って、夢空間車両はJR発足後に新造された唯一の24系客車である。；九州でも民権派が結束して九州改進党が発足し、玄洋社にも誘いが来た。；本巣市の発足時から旧町村役場庁舎を活用した分庁舎方式を採っている。；発足時に隣接していた郡は以下の通り。；茨城県発足から県南地域の商業・行政の中心的な役割を担っていた町である。；行政区画として発足した当時に隣接していた郡は以下の通り。；世界遺産は発足当初、上限を100件程度とする案さえあったという。；その後いくつかの教会組織が発足した。；モリーゼ州が実際に自治体として発足したのは、1970年のことである。；Jリーグ発足前に、人気が低迷していた日本サッカー界を支えた人物の一人。</t>
        </is>
      </c>
      <c r="J7753">
        <f>HYPERLINK("https://www.weblio.jp/content/発足", "词义详情")</f>
        <v/>
      </c>
      <c r="K7753">
        <f>HYPERLINK("https://yourei.jp/発足", "查看例句")</f>
        <v/>
      </c>
    </row>
    <row r="7754">
      <c r="A7754" t="inlineStr">
        <is>
          <t>発端</t>
        </is>
      </c>
      <c r="B7754" t="inlineStr">
        <is>
          <t>成功</t>
        </is>
      </c>
      <c r="C7754" t="inlineStr">
        <is>
          <t>読み方：はったん
⇒ほったん（発端）</t>
        </is>
      </c>
      <c r="D7754" t="inlineStr">
        <is>
          <t>発端部；発端句</t>
        </is>
      </c>
      <c r="E7754" t="inlineStr">
        <is>
          <t>最初；元；始め；開始；初</t>
        </is>
      </c>
      <c r="G7754" t="inlineStr">
        <is>
          <t>発端丈山</t>
        </is>
      </c>
      <c r="H7754" t="n">
        <v>29</v>
      </c>
      <c r="I7754" t="inlineStr">
        <is>
          <t>アメリカ国内でアメリカ市民が反対することが発端となることが多い。；それはある有名写真家の作品が次々と切りつけられた事件が発端だった。；より歴史の長いG7も、経済金融危機を発端としていたのは同じである。；家庭の秘密を知った事を発端に、全てを失ってしまう少年の転落を描く。；インドネシアでは、この戦闘が以後の武力衝突の発端であるとしている。；瀧がボイスチェンジャーで遊んでいたことが製作の発端となっている。；この二つの動きのどちらかがブリットポップの発端になったと後に言われている。；同工場から阿賀野川へ流出した水銀が発端となり新潟水俣病が発生した。；この事件の発端は、翌朝自宅で発見された身代金要求の手紙であった。；なお、「強竜打線」はこの年の様子を形容したことが発端とされている。；その発端は名古屋電灯と名古屋市の間に締結されていた報償契約であった。；マーティ・ブラウン監督の有名なベース投げ事件の発端となった選手でもある。；この事は支配的な少数派のツチと多数派のフツとの間の争いの発端となった。；これを発端に今では全国の受験生に圧倒的な人気となっている。；この大会の成功が、その後の五輪に影響を与える商業主義の発端となった。；そして即興的に興奮にまたは合図に用いられたのが発端であるといわれている。；このことが発端となり、海岸の埋め立てが行われ町屋敷が建設された。；それが発端となり、その後の日本で起きていた死の予告電話の事件に多く関与した。；作曲の発端となったのは1910年にペデル・メレルが帰国したことであった。；これは解結の娘が発端となって始められたものであるという。；衆議院議員平沢勝栄の元にこの作品を問題視する投書があったことが発端。；この議論の発端は、1992年1月29日であったと記録されている。；以後全国で温泉偽装問題が次々と発覚し、その発端として話題を呼んだ。；元々は「広島フォーク村」の音楽仲間で結成されたグループが発端である。；これがモータウンと彼らとの間に生まれたわだかまりの発端だった。；ムーやアトランティスなどの伝承や創作文学などを発端とするものが多い。；また、事件の発端である集団窃盗事件の主犯も懲役4年の判決が下った。；これが発端となって国を追われ、妻子を連れてハンガリー王国へ亡命した。；この貧困ビジネス批判報道の発端となったのは、千葉県の施設である。</t>
        </is>
      </c>
      <c r="J7754">
        <f>HYPERLINK("https://www.weblio.jp/content/発端", "词义详情")</f>
        <v/>
      </c>
      <c r="K7754">
        <f>HYPERLINK("https://yourei.jp/発端", "查看例句")</f>
        <v/>
      </c>
    </row>
    <row r="7755">
      <c r="A7755" t="inlineStr">
        <is>
          <t>坊ちゃん</t>
        </is>
      </c>
      <c r="B7755" t="inlineStr">
        <is>
          <t>成功</t>
        </is>
      </c>
      <c r="C7755" t="inlineStr">
        <is>
          <t>読み方：ぼっちゃん
１他人の男の子を敬っていう語。「—はお元気ですか」
２大事に育てられて、世事にうとい男性。「苦労知らずの—」→御(お)坊ちゃん</t>
        </is>
      </c>
      <c r="D7755" t="inlineStr">
        <is>
          <t>坊ちゃん育ち(3%)；坊ちゃんたち；坊ちゃんズ；坊ちゃん嬢；坊ちゃん坊ちゃん</t>
        </is>
      </c>
      <c r="E7755" t="inlineStr">
        <is>
          <t>息子；息；男子；男の子；坊</t>
        </is>
      </c>
      <c r="F7755" t="inlineStr">
        <is>
          <t>坊ちゃん嬢ちゃん</t>
        </is>
      </c>
      <c r="G7755" t="inlineStr">
        <is>
          <t>坊ちゃん列車</t>
        </is>
      </c>
      <c r="H7755" t="n">
        <v>29</v>
      </c>
      <c r="I7755" t="inlineStr">
        <is>
          <t>その時お父様もお母様も坊ちゃんも楽しいお昼の御飯を食べていました。；まさかメガネ一つであんなにお坊ちゃん風になるとは思わなかったなあ。；その娘がその先、どうなるのかまで坊ちゃんは考えていたんですよ。；僕はこの二人のレファインされたお坊ちゃんらしさが気にくわなかった。；この花は、あの坊ちゃんが、ご自分で、持ってきてくださったんですよ。；前にお出での坊ちゃん方が皆ああやっておっしゃっておいでじゃねえか。；私は見ないようなふりをして、私と同年輩の坊ちゃんを観察することにした。；山田らが入学した当初は、お坊ちゃんが多い学校という描写がされていた。；きっとまた御隣の別荘の坊ちゃんが、悪戯をなすったのでございますよ。；世の中のことは、お坊ちゃんの理想通に行くものではありません。；ヒースクリフの坊ちゃんはこのたびは大元気で私たちを迎えました。；坊ちゃんはあくまで数学の教師であって英語の教師ではない。；あのころは、坊ちゃんのお顔をすっかり埋めてしまうほどでしたのに。；若いころから自己中心にしかものを考えないわがまま坊ちゃんではあった。；坊ちゃんが道を通るだけで、娘達は黄色い声を上げることだろうよ。；「坊ちゃん、もう眼が覚めましたか」 老婆はそこへ起きて来て云った。；昔のお坊ちゃん面を知っている者には、まるで別人に見えたそうでございます。；坊ちゃんに病気にでもなられた日にゃ奥様がなんと仰しゃることだろう?；多くの金持ちの坊ちゃんが共産主義の影響を受けたのは、そのためである。；坊ちゃんタイプも、それが聞こえたのか、まっかになって逃げていた。；他のお客様にはどうであろうと、この坊ちゃんだけにゃ飽かしたくない。；自分も生まれたときは乳母なんかがいて、坊ちゃんと呼ばれていたからだろうか。；ことによれば坊ちゃんのバットに打ち殺されてしまうかも知れません。；ここでは坊ちゃんは海表の世界から縁あって、鶴見に授けられたものとする。；女とのことが起こるまえは、彼は温和しくて学問好きなお坊ちゃんであった。；どうしてもこの坊ちゃんを殺すと云うんなら、妾にも覚悟があるわ。；うっかりすると金魚も猫も犬も坊ちゃんもみんなひどい目に合いそうです。；自分はまるでお金持ちの坊ちゃんみたいにして、ここに寝てるんだ。；うちの娘と、大将ンとこの坊ちゃんとが結婚することになってね。</t>
        </is>
      </c>
      <c r="J7755">
        <f>HYPERLINK("https://www.weblio.jp/content/坊ちゃん", "词义详情")</f>
        <v/>
      </c>
      <c r="K7755">
        <f>HYPERLINK("https://yourei.jp/坊ちゃん", "查看例句")</f>
        <v/>
      </c>
    </row>
    <row r="7756">
      <c r="A7756" t="inlineStr">
        <is>
          <t>ほっと</t>
        </is>
      </c>
      <c r="B7756" t="inlineStr">
        <is>
          <t>成功</t>
        </is>
      </c>
      <c r="C7756" t="inlineStr">
        <is>
          <t>［副］(スル)
１大きく息を吐くさま。ためいきをつくさま。「—息を吐く」
２緊張がとけて、安心するさま。「—胸をなでおろす」「大役を終えて—した」
３持て余して嫌けがさすさま。
「こっちの釜は物を懸けると、穴があくので—した」〈伎・幼稚子敵討〉</t>
        </is>
      </c>
      <c r="D7756" t="inlineStr">
        <is>
          <t>ほっとする(9%)；ほっと息をつい(3%)；ほっと一息つい；ほっと胸を撫で；ほっと息をつく</t>
        </is>
      </c>
      <c r="F7756" t="inlineStr">
        <is>
          <t>内心ほっと；むしろほっと；心底ほっと；ようやくほっと；思わずほっと</t>
        </is>
      </c>
      <c r="G7756" t="inlineStr">
        <is>
          <t>ほっとけ；ほっとく；ほっといてくれ；ほっともっとフィールド神戸；ほっとき</t>
        </is>
      </c>
      <c r="H7756" t="n">
        <v>29</v>
      </c>
      <c r="I7756" t="inlineStr">
        <is>
          <t>周囲を見わたしてみて誰も彼も頭の悪い少年だとわかると、ほっとした。；イリヤは店の中で待っていたが、店の者がまた出てきたのでほっとした。；私は不思議だったけれど喧嘩にならないのがさいわいとほっと安心した。；しかし私はそれでほっと安心をして朝の九時まで寝てしまった次第である。；彼女が用を終って顔をあげたのを見ると、その面にはほっとした色があった。；が新聞記者が嘉子に少しも嫌疑をかけていないのを発見してほっとした。；白々と事なく明けた町を見て、ほっとしたのは洛内万戸の市民であった。；明るい月の下に立って、藻はよみがえったようにほっと長い息をついた。；進行検査にも間に合ったてんで、監督たちもほっとしてゐたやうでした。；そしてこれで大丈夫とほっと太いため息をついてあたりを見まわした。；まずほっとして左右を見まわしたが、そっちにも怪しいものは見えない。；ブリーには、それが気にくわないと同時にほっとさせることでもあった。；激しい運動後や緊張が解けてほっとした時、休日などにも起こりやすい。；しかし議題が楽曲選びであることが判明してからはほっとしていたという。；私は初めてほっとして上野行きの電車が来る線路の縁の方へ行った。；船長は心ならず留守にした間、何も変わってないと分かり、ほっとした。；そんなとき、私たちは一刻も早くそこから離れて、ほっとするのでした。；うちに帰って、ほっと息をつくと、太郎はチロの頭をなでてやりました。；ようやくほっと安心するのは、楽手たちが席についてからであった。；木立が開けてきたので、彼は教会の橋の真近かに来たと思ってほっとした。；少しほっとしたのはスライトが来て、夕食が出来たと告げた時だった。；これで先ずほっとしていると、やがて又、彼は人間のすがたで現われた。；そのときは、たまたまだれにも見られていなかったのでほっとした。；会場から外に出て、初めてほっとする者が、いくらもあることだろう。；ああ閉口と、行かなければならないと思っていたからほっといたしました。；意外ではあったが、とにかくほっとした氣持で、彼は部屋へひき返した。；とにかく大学生にはなることができ関係者をほっとさせたのである。；月面の雲が分散しないうちに、光のない闇の中をほっとして駆けつづけた。；心臓のおもしがだんだんひいて行って、ふたたびほっと楽な気持になる。</t>
        </is>
      </c>
      <c r="J7756">
        <f>HYPERLINK("https://www.weblio.jp/content/ほっと", "词义详情")</f>
        <v/>
      </c>
      <c r="K7756">
        <f>HYPERLINK("https://yourei.jp/ほっと", "查看例句")</f>
        <v/>
      </c>
    </row>
    <row r="7757">
      <c r="A7757" t="inlineStr">
        <is>
          <t>ぼっと</t>
        </is>
      </c>
      <c r="B7757" t="inlineStr">
        <is>
          <t>成功</t>
        </is>
      </c>
      <c r="C7757" t="inlineStr">
        <is>
          <t>［副］(スル)
１火が音をたてて燃え立つさま。「ストーブに—火がつく」
２ぼんやりしているさま。ぼうっと。「—した顔で立っている」</t>
        </is>
      </c>
      <c r="D7757" t="inlineStr">
        <is>
          <t>ぼっと明るく(3%)；ぼっとかすん；ぼっという音；ぼっと燃え</t>
        </is>
      </c>
      <c r="F7757" t="inlineStr">
        <is>
          <t>ぼっという</t>
        </is>
      </c>
      <c r="H7757" t="n">
        <v>29</v>
      </c>
      <c r="I7757" t="inlineStr">
        <is>
          <t>そして霙は間もなく雪に変って、あたりの山さえぼっと霞んでしまった。；野だも山だも分ンねえ、ぼっとした海の中で、晩めに夕飯を食ったあとでよ。；ぼっと緑にけぶったかたまりが二つ、樹立ちの中を吹き過ぎていった。；ぼっと嫌な音がして、先頭何千匹かの蚕が一瞬で火につつまれた。；それは単に夜眼にも白く、チーズのようにぼっとしていた顔のことばかりではありません。；ぼっと向うに蒼白い光がさしているのが見えて来たのだ。；あの、ぼっと霧雨に包まれた山を背後に、向って、この辻へ入る時だ。；この一心から間もなく、月が草をぼっと明るくしている山腹へ出た。；そう思ってスロットルを開けようとした瞬間、ぼっと音がして大気が震えた。；頬はもの腰の弱りとは違い、まだ醒めぬ興奮で色艶もぼっと良かった。；ぼっと立っている庭の人影は、同じ姿勢で動かなかった。；その星の光をよく見ていると虹色の暈がぼっとさしていた。；そこにいるお許の姿も、墨で描いたようにぼっと影しか見えぬ。；水と空の界だけが、ぼっと夜明けのように明るいだけだった。；頭の中はぼっと霧がかかったようだった。；信じられないほど大きな人が、長い灰色のスカートをはいて、ぼっと立っていたのです。；それはぼっとした夢のような音だった。；頭の中はぼっとして来たが、元気は出て来た。；空はだんだんに低く垂れてきて、いつか遠くの方は、ぼっと霞んでしまっている。；神妙な面もちでなにやら考えていたかと思うと、ぼっと顔を赤らめた。；それどころか夜の暗さがぼっと白ずむほど明るい明日が彼の前に揺らめいていた。；手当てをしているのは津留である、彼女はぼっと嬌めかしく上気していた。；譲を呑みこんだ老人の巨大な顔が苦痛に歪むや、ぼっと音をたててガス化してしまったのだ。；ごぼっという音がその喉の奥でした。；見つめていると、ありし日の女の姿が、ぼっと、眸にひろがって来る気さえする。；はね起きる隙はあったのだろうが、あまりきれいにきまったのでぼっとしたらしい。；それでも、ぼっと青白い霧がしぶくと、老人の身体は奥の壁に吸いこまれた。；男たちの輪の中に、ぼっと赤い灯がついた。；神に捧げる供物のための、神聖な火を守る火焼屋のみ、ぼっと明るい。</t>
        </is>
      </c>
      <c r="J7757">
        <f>HYPERLINK("https://www.weblio.jp/content/ぼっと", "词义详情")</f>
        <v/>
      </c>
      <c r="K7757">
        <f>HYPERLINK("https://yourei.jp/ぼっと", "查看例句")</f>
        <v/>
      </c>
    </row>
    <row r="7758">
      <c r="A7758" t="inlineStr">
        <is>
          <t>没頭</t>
        </is>
      </c>
      <c r="B7758" t="inlineStr">
        <is>
          <t>成功</t>
        </is>
      </c>
      <c r="C7758" t="inlineStr">
        <is>
          <t>読み方：ぼっとう
［名］(スル)一つの事に熱中して他を顧みないこと。「事業に—する」</t>
        </is>
      </c>
      <c r="D7758" t="inlineStr">
        <is>
          <t>没頭するよう(3%)；没頭できる；没頭するあまり；没頭しよ；没頭する日々</t>
        </is>
      </c>
      <c r="E7758" t="inlineStr">
        <is>
          <t>夢中；熱中；無我夢中；一心不乱</t>
        </is>
      </c>
      <c r="F7758" t="inlineStr">
        <is>
          <t>自己没頭；没頭できるよう</t>
        </is>
      </c>
      <c r="H7758" t="n">
        <v>29</v>
      </c>
      <c r="I7758" t="inlineStr">
        <is>
          <t>最初は週に一度のレッスンだったが徐々に没頭するようになったという。；次第にパンとサーカスに没頭して働くことを放棄した者も増えていった。；以後、修道院から一歩も外に出ることなく詩作に没頭して生涯を終えた。；そうした入学の経緯からか、予科時代には学問ではなく演劇に没頭した。；その仕事に没頭するあまり、私の存在などどこへやらという風であった。；今は文明交流学に没頭しておりこれももっと学ばねばならないだろう。；海岸での争いに没頭してきた現地諸侯は内陸からの攻撃に虚を突かれた。；中学3年の頃兄の影響でギターを手にし、高校に進学後は音楽に没頭。；私の心は果てしもなく拡がる想像の中にすべてを忘れて没頭していた。；研究に好きなだけ没頭できる環境はエジソン自身が求めていたものであった。；海が強風波浪になり、何もできなくなると、今度は科学試験に没頭した。；大学では神学を学ぶために入学したが、東洋の諸言語の勉強に没頭した。；帰って来るとはすぐにまた、洗濯や食事の仕度やお掃除などに没頭する。；しかしほんの短期間しか保持せず、それから再度絵を描くことに没頭した。；趣味は歯医者と言われるほど歯学の研究と治療に没頭した人生だった。；この頃パリでは、ギターの前身楽器について歴史の研究に没頭している。；大学在学中から直木松太郎に師事し、野球のルールの翻訳や研究に没頭。；これに答えるかのように作風は変わって特にシュルレアリスムに没頭した。；それ以降、渡辺は人が変わったように回天の訓練に没頭するようになる。；最後の王ナボニドゥスは、祭祀に没頭し政治を顧みなかったともされる。；若月が訪ねた際、山名はちょうど中城ふみ子の記事執筆に没頭していた。；地域活動にも没頭し、東京都世田谷区の食糧メーデーなどでも活躍した。；学生時代はテニスをする為に通っていたと公言するほど没頭していた。；これらのアングルと曲線美は全ての魅力を出して、あなたを没頭させます。；この時に小説に没頭し、自分の途方もない空想の世界を豊かにしたのである。；あまりものを食べず、波乗りを中心にして波と海とに没頭しているように見えた。；高校で3年間サッカーに没頭し、大学でも1年目はサッカーを続けていた。；その間にも哲学的要求が独特の熱を加え、深く原理の学問に没頭する。；平素からあまり政治に口出しすることはなく、趣味の世界に没頭していく。</t>
        </is>
      </c>
      <c r="J7758">
        <f>HYPERLINK("https://www.weblio.jp/content/没頭", "词义详情")</f>
        <v/>
      </c>
      <c r="K7758">
        <f>HYPERLINK("https://yourei.jp/没頭", "查看例句")</f>
        <v/>
      </c>
    </row>
    <row r="7759">
      <c r="A7759" t="inlineStr">
        <is>
          <t>ほっぺた</t>
        </is>
      </c>
      <c r="B7759" t="inlineStr">
        <is>
          <t>成功</t>
        </is>
      </c>
      <c r="C7759" t="inlineStr">
        <is>
          <t>読み方：ほっぺた
《「ほおべた」の音変化》ほおのあたり。また、ほお。</t>
        </is>
      </c>
      <c r="D7759" t="inlineStr">
        <is>
          <t>ほっぺたをぴしゃり；ほっぺたを軽く</t>
        </is>
      </c>
      <c r="H7759" t="n">
        <v>29</v>
      </c>
      <c r="I7759" t="inlineStr">
        <is>
          <t>ミカのほっぺたからは、大きな涙が筋になって、川のように流れていた。；うしろから見てもほっぺたの肉が顔の横にでっぱっているのがわかる。；むぐむぐ、と小さな顔の中でほっぺただけが別の生き物みたいに動いた。；気弱になっている自分に活を入れるべく、自分のほっぺたを何度か叩く。；お別れに男のほっぺたにキスしてあげたけど、男は気づかないみたいだった。；ヴィクトリカはいつもどおりの表情で、ほっぺたもぷくぷくとしていた。；笑うと、彼女の左のほっぺたにえくぼができることに、孝史は気づいた。；お餅食べ過ぎたと笑うほっぺたは冗談ではなくふっくらとしている気がする。；車内の人々も、りんごのようなほっぺたをした地元の人が殆どだった。；右のほっぺたがマンガみたいに腫れてしまって、物も満足に食べられない。；ほっぺたのホクロがなかったら、俺だって気づかなかったかも知れん。；つかえたり、数をまちがえたりした方は、ほっぺたをたたかれましてよ。；彼女はもう片方の手でほっぺたを押さえ、どこか顔を赤くして目を泳がせていた。；「先生」と聞くと、ほっぺたが赤くなるのが条件反射になっているようだ。；ほっぺたがわずかに赤くなっているような気もする。；姫神の太股がある辺りにほっぺたが当たっているので、妙にムズムズした。；私のほっぺたを叩いたことで気がすんで浄化したのだろうか。；私がゴトウカズコさんのほっぺたをなめたのはその一回だけである。；友だちが彼女のほうを見ても、態度に変化がないのに、僕が見るとほっぺたが赤くなる。；わたしはほっぺたを五へんも打たれましたよ。；それを見た建宮が笑い、オルソラがまぁまぁとほっぺたに片手を当てる。；ほっぺたがでたあるかわりに、鼻がなかのほうへ高い。；こないだのテレビでやった奴じゃ、何かほっぺたにも少し銀粉つけてたっけ。；十日ぐらいの入院でほっぺたも赤く、顔も丸くなりすっかり元気をとりもどす。；鏡餅のようにほっぺたを膨らませた女が不機嫌そうな顔を出した。；言葉は似ていても、ほっぺたではまるで意味が違う。；何かほっぺたにくすぐったさを覚え、指でさぐってみると、その指が濡れていた。；意を決して、僕は両手でそれぞれ、今日子さんの左右のほっぺたをつねった。；さっきから人のほっぺたを摘んでいるあなたは誰なの?</t>
        </is>
      </c>
      <c r="J7759">
        <f>HYPERLINK("https://www.weblio.jp/content/ほっぺた", "词义详情")</f>
        <v/>
      </c>
      <c r="K7759">
        <f>HYPERLINK("https://yourei.jp/ほっぺた", "查看例句")</f>
        <v/>
      </c>
    </row>
    <row r="7760">
      <c r="A7760" t="inlineStr">
        <is>
          <t>ぼつぼつ</t>
        </is>
      </c>
      <c r="B7760" t="inlineStr">
        <is>
          <t>成功</t>
        </is>
      </c>
      <c r="C7760" t="inlineStr">
        <is>
          <t>［副］
１小さい点や穴が散らばっているさま。「紙に—（と）穴をあける」
２物事が徐々に進行するさま。また、ゆっくりと物事にとりかかるさま。ぼちぼち。「—（と）帰ろう」「—（と）人が集まってくる」
３雨の降りはじめるさま。「—（と）降ってきた」
［名］散在している点や穴。つぶつぶ。「からだ中に—ができる」
［アクセント］はボツボツ、はボツボツ。</t>
        </is>
      </c>
      <c r="D7760" t="inlineStr">
        <is>
          <t>ぼつぼつ話し；ぼつぼつ歩い；ぼつぼつ帰り始め；ぼつぼつ暮れかけ；ぼつぼつ出かけ</t>
        </is>
      </c>
      <c r="F7760" t="inlineStr">
        <is>
          <t>頃からぼつぼつ；ぼつぼつ帰り</t>
        </is>
      </c>
      <c r="H7760" t="n">
        <v>29</v>
      </c>
      <c r="I7760" t="inlineStr">
        <is>
          <t>その樹は日本の茶畑のような具合にぼつぼつと生えて居てみな針がある。；ぼつぼつ、二人の娘に母らしいことをしてみたいとおふくは考えていた。；席について注文したものを待っているうちに、ぼつぼつ人がやってきた。；食べたり、注文の品を待っていたりするうちに、ぼつぼつ客が入ってきた。；ぼつぼつだが、自分の生い立ちや、家族のことなども語るようになった。；おれが電報を打ってしまったところへ、ぼつぼつ連中が起き出して来た。；夜店商人は夕方の三時頃からぼつぼつ検査場横の空地に集まってきた。；だらしのねえ話ですがね、這うように、ぼつぼつともどってきたんです。；奥筋までお供をした人足たちの中にも、ぼつぼつ帰路につくものがある。；彼は涙と涙の間をぼつぼつ綴る三千代のこの一語を聞くに堪えなかった。；ぼつぼつ畑の土を掘り返そうとやって来た百姓はおりんの顔を知っていた。；GHQの日本占領史といったものは、今ではぼつぼつ現れはじめている。；敵の飛行機がカゲロウ島の上空にもぼつぼつ現われるようになりました。；例によって用もないものを買いたい衝動がぼつぼつ始まっていたのだ。；それを見ると松尾さんが、はっとした顔になって、ぼつぼつ話し始めた。；その辺から、まあ、ぼつぼつ始めてみたらいいだろうという事なんだよ。；まだ話さねえことが一つあるだが、これからぼつぼつ話してゆくべえ。；彼はそれを再実験すると同時にぼつぼつ老の手で紙に書き留めた。；この頃から、眠っていた乗客がぼつぼつ眼を醒まして洗顔に立ったりした。；大勢からいえば、オランダ語はぼつぼつ過去のものになりつつあった。；ぼつぼつ蔵から出して、納戸へ運んでおいたほうがいいと香苗は判断した。；今夜の会は七時からだが、六時半ごろからぼつぼつ客があつまりはじめた。；どういう衝撃を受けたかは、この映画を紹介しながらぼつぼつ語っていこう。；約半年のあいだに、ぼつぼつ此処へ運ばれていた武器の覚えである。；「ぼつぼつ出る時間じゃないのか」 時計を見て、秋津は立ち上がった。；八軒長屋のあった近所に、ぼつぼつとバラックが建ち並びはじめていた。；粒子の荒れた写真のように道や空気がぼつぼつと網の目になっている。；自分の気が向いた時に、その支度のほうは、ぼつぼつやればいいんでしょう。；晩の十時ごろからぼつぼつ集まり、午前二時ごろになって漸く帰り出す。</t>
        </is>
      </c>
      <c r="J7760">
        <f>HYPERLINK("https://www.weblio.jp/content/ぼつぼつ", "词义详情")</f>
        <v/>
      </c>
      <c r="K7760">
        <f>HYPERLINK("https://yourei.jp/ぼつぼつ", "查看例句")</f>
        <v/>
      </c>
    </row>
    <row r="7761">
      <c r="A7761" t="inlineStr">
        <is>
          <t>没落</t>
        </is>
      </c>
      <c r="B7761" t="inlineStr">
        <is>
          <t>成功</t>
        </is>
      </c>
      <c r="C7761" t="inlineStr">
        <is>
          <t>読み方：ぼつらく
［名］(スル)
１栄えていたものが衰えること。「—した貴族」
２城や陣地などが敵の手に落ちること。陥落。
「六波羅(ろくはら)—して」〈太平記・一〇〉</t>
        </is>
      </c>
      <c r="D7761" t="inlineStr">
        <is>
          <t>没落する(9%)；没落後(7%)；没落期；没落両班；没落士族</t>
        </is>
      </c>
      <c r="E7761" t="inlineStr">
        <is>
          <t>敵；減少；崩れ；衰退；滅亡</t>
        </is>
      </c>
      <c r="F7761" t="inlineStr">
        <is>
          <t>一時没落；平家没落；受けて没落；失って没落；主家没落</t>
        </is>
      </c>
      <c r="H7761" t="n">
        <v>29</v>
      </c>
      <c r="I7761" t="inlineStr">
        <is>
          <t>没落していた長尾景春は扇谷家に味方して再び山内家と戦うことになる。；南部ではアメリカ連合国の没落で農業習慣にも大きな変化が起こった。；しかし北方の強国はこのまま黙って没落を受け入れていた訳ではなかった。；岩津松平家は滅亡・没落したため親長以降の子孫の正確な記録はない。；棟義は治家を没落させた後も軍事指揮権を維持したまま、土着化する。；父慶宗の代に没落した神保氏は長職の代になって急速に勢力を拡大。；天正5年に伊東氏が没落すると母の縁者である大友宗麟の保護を受けた。；オルメカの技術と概念がその没落後に周辺の文化に影響を与えた。；祖父の代までは藩の重職にあったが、父の代には没落し経済的に困窮していた。；しかし、寛の生まれたころ家は没落し、父親は小学校の庶務係をしていた。；以後ナポレオン1世の没落まで、オランダはフランスの支配を受けた。；実家の没落で小学校卒業と同時に郵便局に勤め、のちに一家で上京。；家の歴史こそ古いがモルトケが生まれた頃にはモルトケ家はすでに没落していた。；田中家は庄屋の出ではあったが、守平が生まれたころは没落していた。；しかし、スウェーデンが没落すると、この説は忘れられてしまった。；サリルなど近代以前に戦いに敗れて没落した部族はここでは表されていない。；さらに、エルフの形成と没落は創世記の人類の形成と没落を想起させる。；没落の前、ヌーメノールのほとんどの人間もまたこの言葉を使った。；家が没落し、夫と別れてから家政婦紹介所を開いた母と娘達の物語。；彼はランゴバルド王国の没落以前から 修道僧であったと考える向きもある。；ただ勢力が大きく削がれたのは間違いなく、これ以後江戸惣領家は没落した。；時期は不明だが、この抗争のなかで没落していったとみられる。；そのため光復軍出身は金九没落後に軍部内の主導権的地位を喪失した。；伝統的な手法と高い水準に執着したことが最終的に没落に繋がった。；加えて山名氏の没落はこの時期ではなく、天文年間ではないかと推定されている。；この時代のスウェーデンは、大北方戦争以後の没落の時代であった。；両親は共に、その父の代に家が没落した裕福な商家の出身である。；一方、バブルが崩壊しこの頃から日本の家電メーカーの没落が始まる。；これらの中世叙情歌も騎士階級の没落とともに衰退することになった。</t>
        </is>
      </c>
      <c r="J7761">
        <f>HYPERLINK("https://www.weblio.jp/content/没落", "词义详情")</f>
        <v/>
      </c>
      <c r="K7761">
        <f>HYPERLINK("https://yourei.jp/没落", "查看例句")</f>
        <v/>
      </c>
    </row>
    <row r="7762">
      <c r="A7762" t="inlineStr">
        <is>
          <t>程</t>
        </is>
      </c>
      <c r="B7762" t="inlineStr">
        <is>
          <t>成功</t>
        </is>
      </c>
      <c r="C7762" t="inlineStr">
        <is>
          <t>読み方：てい
［音］テイ（漢）　［訓］ほど
［学習漢字］5年
〈テイ〉
１物事をはかる基準。決まり。度合い。「程度／規程・章程・方程式」
２ある範囲を一定の長さ・分量で一区切りずつにしたもの。また、道のり。道筋。「音程・過程・教程・工程・行程・射程・道程(どうてい)・日程・里程・歴程」
〈ほど〉「程程／先程」
［名のり］たけ・のり・みな
［難読］道程(みちのり)</t>
        </is>
      </c>
      <c r="D7762" t="inlineStr">
        <is>
          <t>程前；程離れ；程穫；程経；程ヶ</t>
        </is>
      </c>
      <c r="E7762" t="inlineStr">
        <is>
          <t>度；程度；限り；範囲；領域</t>
        </is>
      </c>
      <c r="F7762" t="inlineStr">
        <is>
          <t>名程；分程；出来ない程；程物凄い天部；程プルトネル</t>
        </is>
      </c>
      <c r="G7762" t="inlineStr">
        <is>
          <t>程なく；程遠い；程近い；程よく；程遠く</t>
        </is>
      </c>
      <c r="H7762" t="n">
        <v>29</v>
      </c>
      <c r="I7762" t="inlineStr">
        <is>
          <t>同作は4年に渡り連載が続けられ、アニメ化される程のヒットを収める。；打ち上げの模様がはじめて中継放送され、自信の程を世界にあらわした。；路線車向けの車両も、北海道中央バスが十数台程導入した程度である。；また駅から徒歩15分程の国道342号線沿いにも店舗が集中している。；反対に自分の感じた感情が弱い程覚えていないのが短期記憶である。；程無くしてゴヴの活動は露見し、その正体が明かにされることとなった。；かつて引っ越しをした際には書物を30台の車に載せた程であった。；この内9割程が北海道で生産され、その中でも日高地方は特に重要である。；この時に一年間程、茶々の世話をしたのが、信長の妹のお犬の方である。；その口程もなく、ここに在陣し続けて、その卑怯な事は前代未聞である。；成田空港から車で20分ほどのところに位置する人口5千人程の小さな町。；このホームは現行の銀座線電車の床面より15センチ程高くなっている。；また、大半が市街化されており、市街化調整区域は町土の1割程である。；呉の軍は戦争が強く、一時は北の後梁と互角に争い合う程の勢力を誇った。；湯の児は当駅から約3km程離れているが、当駅からの交通機関は一切ない。；この年も参加者はバスで広場を離れ、5分程の距離の中心街まで送られた。；旧約聖書には彼が発狂したと述べられているが、信憑性の程は分からない。；イラストが得意なため、趣味・特技にこれを挙げている程である。；そのため、一時期1分程テレビとラジオの放送がかぶっていた時期があった。；メンバーは、日本各地にいて現在トラックの数は250台程ある。；「声優になっていなかったら料理人になっていた」と語る程料理も好きである。；また、飛翔能力が高く、近くに居る時にはその音が聞こえる程である。；一方でこの独占は、国からも目をつけられる程のものであった。；現在は1男2女の母親である傍ら、年1度程帰国して様々な番組に出演する。；これから程ない9月に老祖母の病状が悪化したので土佐に帰国した。；NTTドコモの第一期アドバイザリーボードのメンバーを1年程務める。；一方で今後半世紀程は世界中の空軍や海軍で各仕様が運用されることが決まっている。；試験はほぼ徹夜で行われ、1畳程の狭い空間の中で回答しなければならない。；駅への階段入口から錦川を越えて500メートル程の所にある。</t>
        </is>
      </c>
      <c r="J7762">
        <f>HYPERLINK("https://www.weblio.jp/content/程", "词义详情")</f>
        <v/>
      </c>
      <c r="K7762">
        <f>HYPERLINK("https://yourei.jp/程", "查看例句")</f>
        <v/>
      </c>
    </row>
    <row r="7763">
      <c r="A7763" t="inlineStr">
        <is>
          <t>歩道</t>
        </is>
      </c>
      <c r="B7763" t="inlineStr">
        <is>
          <t>成功</t>
        </is>
      </c>
      <c r="C7763" t="inlineStr">
        <is>
          <t>読み方：ほどう
人が歩くように車道と区別して設けた道。人道。「横断—」→車道
[補説]書名別項。→歩道</t>
        </is>
      </c>
      <c r="D7763" t="inlineStr">
        <is>
          <t>歩道上；歩道沿い；歩道部分；歩道側；歩道通行</t>
        </is>
      </c>
      <c r="E7763" t="inlineStr">
        <is>
          <t>人道；ペーブメント；ペーヴメント；ペイヴメント；ペイブメント</t>
        </is>
      </c>
      <c r="F7763" t="inlineStr">
        <is>
          <t>広い歩道；狭い歩道；両側歩道；自歩道；暗い歩道</t>
        </is>
      </c>
      <c r="H7763" t="n">
        <v>29</v>
      </c>
      <c r="I7763" t="inlineStr">
        <is>
          <t>フランス兵の大部分は銃火を避けるため歩道の陰に伏せるしかなかった。；歩道も東側にもある場合があるが、よく整備されているのは西側だけである。；この先百合ヶ丘駅手前まで津久井道と歩道一つを挟んで完全に並行する。；また、歩道や中央線、信号機などはすべての区間で設置されていない。；このことがきっかけとなり、当時の道を再現した遊歩道が整備された。；橋には歩道も設置されており、徒歩で空港と対岸の行き来も可能である。；ラガン川のほとりは整備され、市中心部のほとんどが歩道になっている。；橋には車道と並んで歩道があったが、車両のみ通行料金を徴収していた。；左岸側の横堤上の取り付け道路は上流側のみに歩道が設置されている。；駅はサバナ・グランデ歩道の下にあり、出口はこの道路の中に複数ある。；しらかば大通りとも呼ばれる区間には歩道の脇に白樺が植えられている。；しかし実際には、日本の自歩道と同様の通行空間は諸外国にも見られる。；その歩道カラーブロックには様々な種類の魚の絵がはめ込まれている。；現在でも旧侍町には多くの侍屋敷が残り周辺の歩道の整備などに力を入れている。；並行する晴海大橋と同様、展望部分が歩道上の4箇所に設置されている。；なお、取り付け道路は片側の幅員8メートルで歩道は設置されていない。；道路や歩道の溝蓋や工場やプラントなどの足場など広範囲に使用される。；北新田橋の歩道部分には今も駅舎が接続していた痕跡が残っている。；周辺には野生のニホンザルが生息しており遊歩道で目にすることが出来る。；東側でもようやく歩道の整備などを含めた工事が終了した。；また、同じく駅前通りの北側歩道上には降車専用の看板が設けられていた。；また上流側の自歩道のエレベーターは、同年8月1日に供用を開始した。；歩道や自転車通行帯が整備されている点が本区間の特徴である。；道路も余裕をもって配置され道幅も広く歩道も確保されている。；今里筋線ホームから中央線ホームへ向かう連絡通路に動く歩道が設置されている。；アルゼンチンの他の街のものより大きな広場や広い道路、歩道が造られた。；前後のアプローチ部は車道のみの構造となっており、この間に歩道はない。；北には歩道が設けられており、沿道の建物との間には空間がある。；また、歩道のバリアフリー化、自転車通行部分の設置も進められている。</t>
        </is>
      </c>
      <c r="J7763">
        <f>HYPERLINK("https://www.weblio.jp/content/歩道", "词义详情")</f>
        <v/>
      </c>
      <c r="K7763">
        <f>HYPERLINK("https://yourei.jp/歩道", "查看例句")</f>
        <v/>
      </c>
    </row>
    <row r="7764">
      <c r="A7764" t="inlineStr">
        <is>
          <t>解く</t>
        </is>
      </c>
      <c r="B7764" t="inlineStr">
        <is>
          <t>成功</t>
        </is>
      </c>
      <c r="C7764" t="inlineStr">
        <is>
          <t>読み方：とく
［動カ五（四）］
１結んだりしばったりしてあるものをゆるめて分け離す。ほどく。「帯を—・く」「包みを—・く」
２縫い合わせてあるものの糸を抜き取って離す。また、編んであるものをほどく。「着物を—・く」「セーターを—・く」
３
㋐もつれたものをもとに戻す。ほぐす。「からまった釣り糸を—・く」
㋑（「梳く」とも書く）もつれた髪に櫛(くし)を入れて整える。とかす。すく。「乱れた髪を—・く」
４着ていたもの、身に取り付けたものをはずす。「旅装を—・く」
５命令・束縛・制約などから解放する。「鎖を—・く」「統制を—・く」「契約を—・く」
６任務・職をやめさせる。免じる。「任を—・く」
７拘束していた態勢を崩してもとの状態に戻す。「警備を—・く」「武装を—・く」
８心のわだかまりや緊張状態をほぐす。ふさがっていた気持ちをすっきりさせる。「怒りを—・く」「疑いを—・く」「誤解を—・く」
９筋道をたどって解答を出す。「問題を—・く」「なぞを—・く」
[可能]とける
［動カ下二］「と（解）ける」の文語形。
[用法]とく・ほどく——「帯を解く（ほどく）」「もつれた糸を解く（ほどく）」「着物を解く（ほどく）」など、ばらばらにする意では相通じて用いられるが、「ほどく」の方が口語的である。◇「問題を解く」「謎を解く」「誤解を解く」「禁止を解く」「武装を解く」「警戒を解く」「緊張を解く」など、結び目、縫い目をばらばらにする意以外の場合は「解く」だけを用いる。◇類似の語に「ほぐす」がある。解けた状態、ほどけた状態にする意で、「からんだ糸をほぐす」のほか、「緊張をほぐす」「肩の凝(こ)りをほぐす」などと用いる。
[下接句]印綬(いんじゅ)を解く・頤(おとがい)を解く・帯を解く・帯紐(おびひも)を解く・褐(かつ)を釈(と)く・産(さん)の紐を解く・綬(じゅ)を解く・刃(じん)を迎えて解く・謎(なぞ)を解く</t>
        </is>
      </c>
      <c r="D7764" t="inlineStr">
        <is>
          <t>解くべき；解くべく；解くべから；解く間もなく；解くプログラムh</t>
        </is>
      </c>
      <c r="E7764" t="inlineStr">
        <is>
          <t>解決；答える；解答；外す；離す</t>
        </is>
      </c>
      <c r="F7764" t="inlineStr">
        <is>
          <t>言い解く</t>
        </is>
      </c>
      <c r="H7764" t="n">
        <v>29</v>
      </c>
      <c r="I7764" t="inlineStr">
        <is>
          <t>この強力なマシンの前では、多くの問題が簡単に解かれるようであった。；過去に解いたことのある問題によく似た問題に出会うことは珍しくない。；このポータルを使って様々な仕掛けを解いていくのが本作の目的である。；ここに解きがたい混乱が生じてしまったとマルクスは批判するのである。；この草稿は現存していて血液運動の謎を解いていたことが示されている。；効果を発揮するには、手に入れた次のステージで封印を解く必要がある。；私はこれだけの結果を用いて次に空間に就いての一つの問題を解こうと思う。；このような状況が改められたのは戒厳が解かれた1987年からである。；シリーズの中で定着していった変装を解くパターンは次のような順である。；様々なところでアイテムを入手し、それらを使って障害や謎を解いていく。；ヒメがそれを行う時まで、ヒメの心は全ての人に解きがたい謎であろう。；次の三つの条件を式にすることで、あらゆる構造を解くことができる。；これを解いて得られるを用いてパラメータベクトルの推定値を更新する。；なんと1ヶ月以内に魔法を解かないと本物の猫になってしまうという。；これは PP に属する問題を解くのがいかに困難であるかの証拠である。；物語上に配置された謎を解くことが主なゲームプレイとなるジャンル。；何よりも大事なのは、あの人がもう自分の人生の問題を解いていることだわ。；観察を続けながら、彼女の体の動きの美しさの謎を、彼は解こうと試みた。；傍にいた女の一人が傍へ寄って創を捲いている布をそろそろと解いた。；彼が日本に帰国できない事由を両者で話し合い、誤解を解く事が出来た。；ソーマキューブを解く上で、パリティの考え方が必要になることがある。；それはその數學に得意な友人さへ、解き得ずに苦しんでゐたものだつた。；さうして忘却の錨を解き 記録のだんだんと消えさる港を訪ねて行かう。；地上や迷宮にて敵を倒し、様々な人物から得た情報を基に謎を解いていく。；稼ぎの者が坑口から出る際には、出口の小屋で帯を解き裸で検査された。；怪しんでその束を解いてみると、緡になっている銭一万五千を発見した。；謎を解こうとでもするかのように、重大な秘密を見破ったかのように。；入手したシールはコースで仕掛けを解いたり、敵とのバトルで使用する。；この方法は今、偏微分方程式を数量的に解く最重要な方法となっている。</t>
        </is>
      </c>
      <c r="J7764">
        <f>HYPERLINK("https://www.weblio.jp/content/解く", "词义详情")</f>
        <v/>
      </c>
      <c r="K7764">
        <f>HYPERLINK("https://yourei.jp/解く", "查看例句")</f>
        <v/>
      </c>
    </row>
    <row r="7765">
      <c r="A7765" t="inlineStr">
        <is>
          <t>解ける</t>
        </is>
      </c>
      <c r="B7765" t="inlineStr">
        <is>
          <t>成功</t>
        </is>
      </c>
      <c r="C7765" t="inlineStr">
        <is>
          <t>読み方：とける
［動カ下一］［文］と・く［カ下二］《「と（解）ける」と同語源》
１固体が、熱や薬品などによって、液状になる。「氷が—・ける」「暑さでアスファルトが—・ける」
２ある物質が液体の中に平均にまじって、液体と一体になる。「砂糖が水に—・ける」「油は水に—・けない」
[補説]1で、特に金属の場合は「鎔ける」「熔ける」とも書く。</t>
        </is>
      </c>
      <c r="D7765" t="inlineStr">
        <is>
          <t>解けるだろ</t>
        </is>
      </c>
      <c r="E7765" t="inlineStr">
        <is>
          <t>弛緩；緩む；弛む；ほぐれる；だれる</t>
        </is>
      </c>
      <c r="F7765" t="inlineStr">
        <is>
          <t>解けるかもしれ；使って解ける；すぐに解ける；早く解ける</t>
        </is>
      </c>
      <c r="H7765" t="n">
        <v>29</v>
      </c>
      <c r="I7765" t="inlineStr">
        <is>
          <t>そうしなければ主体の問題は少なくとも具体性に於ては解けないからだ。；けれど、一晩中いっしょにいたところで謎が解けるわけでもないだろう。；宗教も芸術も何も彼もその中に解けて入つて行つてしまつてゐるのである。；本位田又八がここにいさえすれば明らかに解けることではないかと思う。；しかし雪竜の存在が消えても、それが与えた災厄が解けるわけではない。；だがどちらか一方が明らかにならない限り謎が解けるわけもなかった。；一一一 このようにして多数の商品の間の交換の問題は解けたように見える。；このような単純な問題でも、正しく解けない方法ばかりだったのである。；僧三 しかし今のままではとても御勘気の解ける見込みはありませんね。；あの男はまるで雪達磨が解けるように、床の上に倒れてしまったのです。；それで夫人の怒りもすぐ解けて元豊を敲くことをやめていってしまった。；最後は完現術が解け元に戻ったが、月島のことは一切覚えていなかった。；色の青白い顔に根の弛んだ髪は解けて肩のあたりまで散りかかっている。；筆者はその謎が解けるまでこの物語を続けなければならないのである。；誘導形式が多く、解けない問題があると、その先はできないことがある。；を満たすので、この式を解けば4周期点の の値を求めることができる。；その内容は暗号のようなものだったが、天才児ならば解けるはずである。；この謎が解けたら、それこそ、濡れずに水の中から出て来るようなものだ。；夏に氷が解けた後も、道路の影響を上空からの窓越しに見ることができる。；それに人生を聞いてるんだから、ちょっとやそっとじゃ解けるわけがない。；あの事件を解けるのはホータローをおいて他にない、って言われたんだ。；今まで解けたところを穴に入れて書いてみると上のとおりになる。；激しい運動後や緊張が解けてほっとした時、休日などにも起こりやすい。；それに、今すぐやっておいたほうが石の呪いが 早く解けるから・・・。；ただマキの心を自分のものにすれば謎は自然に解けると思っている。；急に解けそうもないものを、いまにも解けるようにいうとるのはおかしい。；かかる意味での概念を用いては問題が解けないことをその場合明らかにしておいた。；これを子細に検討すれば、あの家に関する謎もきっと解けるに違いない。；張り詰めた緊張が解けると同時に、圧倒的な勝利感が湧き上がってきた。</t>
        </is>
      </c>
      <c r="J7765">
        <f>HYPERLINK("https://www.weblio.jp/content/解ける", "词义详情")</f>
        <v/>
      </c>
      <c r="K7765">
        <f>HYPERLINK("https://yourei.jp/解ける", "查看例句")</f>
        <v/>
      </c>
    </row>
    <row r="7766">
      <c r="A7766" t="inlineStr">
        <is>
          <t>施す</t>
        </is>
      </c>
      <c r="B7766" t="inlineStr">
        <is>
          <t>成功</t>
        </is>
      </c>
      <c r="C7766" t="inlineStr">
        <is>
          <t>読み方：せす
［動サ変］ほどこす。施行(せぎょう)する。
「檀特山に入るとも、兼雅らけだものに—・すべき身かは」〈宇津保・俊蔭〉</t>
        </is>
      </c>
      <c r="D7766" t="inlineStr">
        <is>
          <t>施す必要(2%)；施す事；施す作業；施す方針；施す施設</t>
        </is>
      </c>
      <c r="E7766" t="inlineStr">
        <is>
          <t>行う；つける；寄付；付ける；寄贈</t>
        </is>
      </c>
      <c r="F7766" t="inlineStr">
        <is>
          <t>施すすべもなく</t>
        </is>
      </c>
      <c r="H7766" t="n">
        <v>29</v>
      </c>
      <c r="I7766" t="inlineStr">
        <is>
          <t>その量を正確に測定し、適切な対策を施すことが絶対に必要とされている。；雑誌や書籍の記事では、同様の装備を施した改造例が掲載されている。；限られた予算の中でこのような内装を施すのは苦労したと伝えられる。；使用感と清拭・吸収性の向上のためにエンボス加工を施した製品もある。；購入したマシンにチューニングを施すことで、マシンの性能が向上する。；早期にこれらの適切な一般療法を施し、悪化させないことが重要である。；寒冷地などでは水道管等の装置が凍結しないよう対策を施す必要がある。；この作品ではまたテニエル自身が自分の過去の挿絵に彩色を施している。；三次元の回転は一般には可換でないから、回転を施す順番は重要である。；やがそれで、どちらもセル・オートマトンの定義に何らかの修正を施す。；交流広場の一部にはかつての棒二森屋を思わせるデザインを施すとしている。；そこで日本海軍では各種爆弾を制定して専用設計を施す必要があった。；との部分は人の顔と手の形を施した独自の表示をしている。；ヤマンバで流行したヘアスタイルに新たに特徴的なメイクを施している。；ギター本体に切削などの大きな改造を施すことなく後付けできる点が長所。；このような変更を施した後の前口動物が単系統であることが支持されている。；彫り口の凹部に何も入れない場合と、呂色や金彩などを施す場合がある。；そこで炭素処理を施した厚紙を使ったが最終的には竹を使用することになった。；いずれも溶結凝灰岩の岩壁に高肉彫とし、像表面には彩色を施している。；初層は各面の中央を扉とし、その両脇の柱間には十六羅漢の彫刻を施す。；全身に写経を施した耳なし芳一スタイルで出場し、観客の度肝を抜いた。；下地になる和紙の層と漉き込み模様を施す表の層の二層構造になっている。；同学校ではブルガリアで特に優秀な学生らに教育を施している。；このように加工を施した物も、単にキャンバスとも呼ぶので紛らわしい。；作曲はまずピアノで行なってから、後でオーケストレーションを施した。；そのEz8を戦場が宇宙に移る際、宇宙用に再び改修を施したものである。；千代田工場にて塗装を変更し、その上から装飾ラッピングを施した編成。；もとは70人の貧しい少年たちに無料で学問を施すために設立された。；この時にはロウ・キーも顔や体に黒師無双のようなペイントを施していた。</t>
        </is>
      </c>
      <c r="J7766">
        <f>HYPERLINK("https://www.weblio.jp/content/施す", "词义详情")</f>
        <v/>
      </c>
      <c r="K7766">
        <f>HYPERLINK("https://yourei.jp/施す", "查看例句")</f>
        <v/>
      </c>
    </row>
    <row r="7767">
      <c r="A7767" t="inlineStr">
        <is>
          <t>ほとり</t>
        </is>
      </c>
      <c r="B7767" t="inlineStr">
        <is>
          <t>成功</t>
        </is>
      </c>
      <c r="C7767" t="inlineStr">
        <is>
          <t>読み方：ほとり
熱くなること。熱を帯びること。また、熱。
「—ヲ冷マス」〈和英語林集成〉</t>
        </is>
      </c>
      <c r="D7767" t="inlineStr">
        <is>
          <t>ほとりに建てられ；ほとりに着きまし；ほとりに云いまし</t>
        </is>
      </c>
      <c r="H7767" t="n">
        <v>29</v>
      </c>
      <c r="I7767" t="inlineStr">
        <is>
          <t>湖のほとりに沿った道路は、街の人口や観光客が非常に頻繁に訪れます。；そして彼等は大自然を訪ねて、熱帶のほとりにその秘密を探りに行つた。；そして彼等は大自然を訪ねて、熱帯のほとりにその秘密を探りに行った。；川・池のほとりが選ばれるが、これは水の神の信仰があつたからだ。；ほとりには青々とした木々が立っていて、湖にかげを落としていました。；ラガン川のほとりは整備され、市中心部のほとんどが歩道になっている。；中央公園も、改修され池のほとりに「労働創造世界」の碑が掲げられた。；事件が発生した地点は、現在の魯迅公園北側にある池のほとりである。；美しい小さな森の中にある池のほとりに、小さな一匹のかえるが住んでいた。；僧侶は代々池のほとりに居住していたことから「池坊」と呼ばれていた。；村落は10-15戸の家が集まって形成され、どれも湖のほとりにある。；加茂川のほとりに建っていたときは、非常によく調和のとれた家でした。；それから二人はいつもの小屋へはいってドアをしめて、火のほとりに腰をおろした。；しばらくすると、きゅうに流れが音をたてている谷川のほとりに出ました。；私は水のほとりに坐って 草の上に 疲れた手足を 伸ばした。；大聖堂の建物は、ブライア湖のほとりにある丘の上に建てられている。；なわばりを持ち、林の中の湖のほとりや、牧場と林の境などでも見られる。；ローマから南東へ約21km離れた、アルバーノ湖のほとりに位置する。；一度わたしは石の多い池のほとりを猫があるいているのを見てびっくりしたことがあった。；そこで私はこの老婦人を見る度に去年の河のほとりでの旅を思ひ出して自分に言つて見る。；池のほとりには鳳翔閣の前庭に植えられていたソテツが移植されている。；この河の名を狭井河と言うのは、その河のほとりには山百合草が多かった。；そのうちの一枚は湖のほとりの家を描いたものだった。；当時の駅名標は芦田湖のほとりにある郷土民俗資料館に展示されている。；鉄路のほとりは、私と青白き大佐が歩いていたのをみかけたのでしょうか。；ガリラヤ湖のほとりにあり、ユダヤ人の習慣で訪問者が小石を置いている。；しかしすぐには死に切れず、水を求めて泉のほとりまで下りてから絶命した。；川は墓でもなかつたのか 川のほとりでのみ相逢へる男女がある。；ほとりの樹木など沢山に枯死しているのはその熱泥を吹き上げた処である。</t>
        </is>
      </c>
      <c r="J7767">
        <f>HYPERLINK("https://www.weblio.jp/content/ほとり", "词义详情")</f>
        <v/>
      </c>
      <c r="K7767">
        <f>HYPERLINK("https://yourei.jp/ほとり", "查看例句")</f>
        <v/>
      </c>
    </row>
    <row r="7768">
      <c r="A7768" t="inlineStr">
        <is>
          <t>ほとんど</t>
        </is>
      </c>
      <c r="B7768" t="inlineStr">
        <is>
          <t>成功</t>
        </is>
      </c>
      <c r="C7768" t="inlineStr">
        <is>
          <t>読み方：ほとんど
《「ほとほと」の音変化》
［名］大多数。大部分。「在庫の—を売りきる」
［副］
１全部とはいえないが、それに近い程度に。おおかた。大部分。「病気は—治った」
２もう少しのところで。すんでのことに。「—気を失うところだった」
３切実であるさま。
「十に一つもおぼつかなしと案じ続くる程に、—心細くて」〈おらが春〉</t>
        </is>
      </c>
      <c r="D7768" t="inlineStr">
        <is>
          <t>ほとんどなく；ほとんど同じ；ほとんど同時に；ほとんど知ら；ほとんど無い</t>
        </is>
      </c>
      <c r="E7768" t="inlineStr">
        <is>
          <t>多く；約；主に；ほぼ；近くに</t>
        </is>
      </c>
      <c r="F7768" t="inlineStr">
        <is>
          <t>ほとんど忘れ；ほとんど消え；ほとんど動か；ほとんど一文無し；ほとんど疑う余地</t>
        </is>
      </c>
      <c r="G7768" t="inlineStr">
        <is>
          <t>ほとんど全て；ほとんどすべての；ほとんど全ての；ほとんど確実に；ほとんど首無しニック</t>
        </is>
      </c>
      <c r="H7768" t="n">
        <v>29</v>
      </c>
      <c r="I7768" t="inlineStr">
        <is>
          <t>米国では理論だけの研究はほとんどなく理論と実証の往復が重視される。；これはほとんどの場合は、水がある時期に外から侵入してくるためである。；この機種は教育市場向けモデルのため一般にはほとんど出回っていない。；そのためほとんどの地域はプロパンガスによってガスが供給されている。；また、銀や銅、鉄なども金の場合と同様現在ではほとんど払底している。；以後、イギリスでタロットと言えば、ほとんどこれを指すほどになった。；鉄道はほとんどが廃止され、代わりにチューブトレインを開設している。；ほとんどの形式では正規表現を構築するために次の演算子を提供している。；ほとんどの連合軍諸国は、自らの作戦及び戦闘を様々な名称で呼んだ。；特急列車も含めた県内の鉄道のほとんどがワンマン運転を実施している。；それらの文書のほとんどはリチャード・ストールマンにより作成された。；ほとんどは撮影部と録画部が一体化したカムコーダ様式のものである。；古くからホンダを除く主要日本メーカーのほとんどが参戦、活躍を見せた。；これらの電話の会話はほとんどが機体の破壊の時まで続いた。；狂犬病の人への感染源のほとんどがイヌで、その点は特に危険視される。；水島新司とは、ほとんど同じ時期にデビューした同期みたいな存在だった。；現在も残るイエズス会布教所跡はこのときに建設されたものがほとんどである。；しかしF1ドライバーの参戦は少なく、ほとんど名目上のものであった。；このため、国内輸送において航空輸送はほとんど意味を持っていない。；非公認であるため、サーバを公開しているのは、個人がほとんどである。；そのほとんどは1年から長くて十数年の非常に短い期間しか持続しなかった。；その腕前はプロ級と言われており、演奏はほとんどが暗譜であったという。；しかもほとんどは、テレビ画面などとは関係の無いアルバイトである。；以前は発泡スチロール製容器が多用されたが、今はほとんど使われない。；御油から先はまたほとんど測量を行わず、2月24日に大坂に着いた。；家康の重臣のほとんどは三河以来の代々仕えてきた家臣たちであった。；この種類のゲームは文房具以外の専門的な機器をほとんどまたは全く必要としない。；また、スパイを倒したかどうかを判断することは、ほとんどできない。；この結果、惑星上には有意な季節変化がほとんどないと考えられる。</t>
        </is>
      </c>
      <c r="J7768">
        <f>HYPERLINK("https://www.weblio.jp/content/ほとんど", "词义详情")</f>
        <v/>
      </c>
      <c r="K7768">
        <f>HYPERLINK("https://yourei.jp/ほとんど", "查看例句")</f>
        <v/>
      </c>
    </row>
    <row r="7769">
      <c r="A7769" t="inlineStr">
        <is>
          <t>骨</t>
        </is>
      </c>
      <c r="B7769" t="inlineStr">
        <is>
          <t>成功</t>
        </is>
      </c>
      <c r="C7769" t="inlineStr">
        <is>
          <t>読み方：こつ
［音］コツ（漢）　［訓］ほね
［学習漢字］6年
〈コツ〉
１ほね。「骨格・骨髄／筋骨・枯骨・人骨・接骨・頭骨・軟骨・白骨」
２死者のほね。「遺骨・納骨」
３からだ。「病骨・風骨・老骨」
４人柄。品格。「気骨・侠骨(きょうこつ)・反骨・無骨・凡骨」
５物の骨組み。「鉄骨・木骨・竜骨」
６物事の要点。「骨子」
７かんどころ。要領。「骨法」
〈ほね（ぼね）〉「骨身／背骨・頰骨(ほおぼね)」
［難読］骨牌(カルタ)・河骨(こうほね)</t>
        </is>
      </c>
      <c r="D7769" t="inlineStr">
        <is>
          <t>骨片；骨箱；骨板；骨付き；骨つき</t>
        </is>
      </c>
      <c r="E7769" t="inlineStr">
        <is>
          <t>骨法；骨組織</t>
        </is>
      </c>
      <c r="F7769" t="inlineStr">
        <is>
          <t>歯骨；白い骨；獣骨；皮骨；後頭骨</t>
        </is>
      </c>
      <c r="G7769" t="inlineStr">
        <is>
          <t>骨格；骨董；骨髄；骨組み；骨盤</t>
        </is>
      </c>
      <c r="H7769" t="n">
        <v>29</v>
      </c>
      <c r="I7769" t="inlineStr">
        <is>
          <t>化石を含む骨の形態情報から推定された属の進化史は以下の通りである。；このグループは、アジア産と北米産では角を構成する骨が異なっていた。；この目の他のグループではほとんど退化している涙骨がまだ存在している。；その中にはわずか4歳で衰弱死した妹・節子の小さな骨片が入っていた。；清はおしんに礼を言い、竜三の骨を一片胸に抱いて佐賀へ帰っていった。；例えば日本人は頬骨やあご骨が発達していない顔を美人とする傾向がある。；しかしこの当時、ディアデクテスは既に骨性二次口蓋を完成させていた。；関節とは骨と骨の連結部分であり、骨と骨が向かい合っている面がある。；この骨板は鱗が変形したものとみられ、鱗板あるいは甲板とも呼ばれる。；そして息子の漂白された骨の形から、最初のウードの着想を得たという。；現在は「大好きな日本に骨をうずめたいと思っています」と語っている。；たとえば骨塩と骨コラーゲンはどちらも一般に食餌よりも 濃度が高い。；槌骨は砧骨と同じく哺乳類になってから新たに獲得された耳小骨である。；その他の全ての骨は、必ず何らかの骨と連結しており、骨格を形成する。；これらの重量増を考慮して、車体の横骨や、屋根部分に梁が追加された。；しかし研究者は本種が骨を頻繁にかじっていた訳でないとしている。；体の内側を除く全身は、皮膚が変化した骨状の板で形成された甲皮で覆われる。；他の動物では骨性ラチリスムと呼ばれる骨格異常が生じることがある。；体毛はコートなどに利用され、肉や骨が薬用になると信じられている。；硬組織用レーザーは歯や骨を治療するためのレーザーということである。；骨も金属元素を多く含んでいることから、数百HU程度の高吸収値を示す。；初期の釘は鉄などの金属ではなく木や動物の骨が用いられた。；精密な石器・骨器などの道具を製作し、優れた洞窟壁画や彫刻を残した。；なお、骨の成長が終わった後に発症した同様の病態を、骨軟化症と言う。；骨箱の包みの間には浩太から預かってきた100円と加代の手紙があった。；機動性を重視し、機体重量を軽くするために装甲に強獣の骨を用いている。；骨付きのラム肉や若いソラマメのさやをドルマの間に入れることもある。；頭部や顎の力が弱く、獲物の骨などは噛み砕くことができないため残す。；人間の歯は顎の骨に強く固定されているが、両者の結びつきはそれほど古いことではない。</t>
        </is>
      </c>
      <c r="J7769">
        <f>HYPERLINK("https://www.weblio.jp/content/骨", "词义详情")</f>
        <v/>
      </c>
      <c r="K7769">
        <f>HYPERLINK("https://yourei.jp/骨", "查看例句")</f>
        <v/>
      </c>
    </row>
    <row r="7770">
      <c r="A7770" t="inlineStr">
        <is>
          <t>炎</t>
        </is>
      </c>
      <c r="B7770" t="inlineStr">
        <is>
          <t>成功</t>
        </is>
      </c>
      <c r="C7770" t="inlineStr">
        <is>
          <t>読み方：えん
［常用漢字］　［音］エン（呉）（漢）　［訓］ほのおほむら
１ほのお。「火炎・外炎・内炎・余炎」
２燃え上がる。「炎炎・炎上」
３ほのおのように激しい感情。「気炎・情炎」
４燃えるように熱い。「炎暑・炎天・炎熱」
５体の局部に熱や痛みの症状を起こすこと。炎症。「胃炎・筋炎・肺炎・結膜炎」
［難読］陽炎(かげろう)</t>
        </is>
      </c>
      <c r="D7770" t="inlineStr">
        <is>
          <t>炎髪灼眼；炎剣；炎弾；炎菌；炎神</t>
        </is>
      </c>
      <c r="E7770" t="inlineStr">
        <is>
          <t>火；焔；暖炉；火炎；ファイア</t>
        </is>
      </c>
      <c r="F7770" t="inlineStr">
        <is>
          <t>屈腱炎；青い炎；赤い炎；青白い炎；小さな炎</t>
        </is>
      </c>
      <c r="G7770" t="inlineStr">
        <is>
          <t>炎症；炎天；炎天下；炎熱；炎暑</t>
        </is>
      </c>
      <c r="H7770" t="n">
        <v>29</v>
      </c>
      <c r="I7770" t="inlineStr">
        <is>
          <t>そして帆柱の先端に青い炎が踊り出した、と伝えられているからである。；古くは雷と火山の神であったと思われるが、後に炎と鍛冶の神とされた。；伝説では大聖堂に炎が出現しその威信が破滅の直前だったとされている。；使用するには先端に着火し、最初に出る炎を吹き消して燠の状態にする。；多様化する犯罪から人々を守るために、3つの魂が炎となって燃えた!；一般的に発射台の構造は発射塔と発射炎を避けるための堀から構成される。；晩年は目がほとんど見えず、歯も無く、関節炎に苦しんでいたとのこと。；もう1つの非常口は炎の熱と避難する人々の重さに耐えきれず崩壊した。；炎を見上げながら立ち尽くす吉野の頬を数条の涙が光っていたという。；鉄工では、線や文字が炎や水でも消えないため、現在でも使用されている。；周囲に炎が出現して回転する技であり、炎が出現している間は無敵。；恋愛感情や怒りのような高ぶる感情はしばしば火や炎にたとえられる。；この方式は発射炎が小さく、射手へ発射炎がかかることを防ぐことができる。；これはテンポイントが脚に慢性的な骨膜炎を抱えていたことが原因だった。；炎のように激しく・また熱く、火のように明るく・また暖かい人物である。；映画は作動時に機体後方から噴出する青い炎を確認する事ができる。；大吾は落合を発見するも、周囲は炎に囲まれ絶望的な事態となってしまった。；燃えても炎が出ない炭はそのために有効だったと考えられる。；赤色の体に炎の衣を纏い、二面二臂で七枚の舌を持つ姿で描かれる事が多い。；炎硝蔵が設置された時期もあるが、空間地として利用が主であった。；事故直後に彼の車は燃え出したが、炎に包まれる前に自力で車内から脱出した。；山口は、股関節炎の痛みを庇ってそうなったのだろうと推測している。；火種は細いガス管で供給され、筒の口のところに常に小さな炎を作る。；台風の命名やフェーン現象に風炎の字を当てたことでも知られる。；この為、「炎で貝が開く」ことの比喩で蛤御門と呼ばれるようになった。；炎は制御不能なまでに燃え盛り、地元の消防隊が出動する事態となった。；この時、初めて炎の昇龍拳を発動させ、ケンは自身の腕を火傷している。；それ以前の花火は、煙や炎が噴き出す花火であったと考えられている。；不死鳥は自らを炎の中で燃やし、その灰の中から再生するといわれる。</t>
        </is>
      </c>
      <c r="J7770">
        <f>HYPERLINK("https://www.weblio.jp/content/炎", "词义详情")</f>
        <v/>
      </c>
      <c r="K7770">
        <f>HYPERLINK("https://yourei.jp/炎", "查看例句")</f>
        <v/>
      </c>
    </row>
    <row r="7771">
      <c r="A7771" t="inlineStr">
        <is>
          <t>ほぼ</t>
        </is>
      </c>
      <c r="B7771" t="inlineStr">
        <is>
          <t>成功</t>
        </is>
      </c>
      <c r="C7771" t="inlineStr">
        <is>
          <t>読み方：ほぼ
保育所・養護施設（現在の児童養護施設）などの児童福祉施設で、児童の保育にあたる女子職員の俗称。正式名称は男女とも保育士。</t>
        </is>
      </c>
      <c r="D7771" t="inlineStr">
        <is>
          <t>ほぼ同じ(10%)；ほぼ同時期；ほぼ同時に；ほぼそのまま；ほぼ全</t>
        </is>
      </c>
      <c r="E7771" t="inlineStr">
        <is>
          <t>多く；ほとんど；約；一般；主に</t>
        </is>
      </c>
      <c r="F7771" t="inlineStr">
        <is>
          <t>ほぼ上下同大；ほぼぶっつけ本番；ほぼ上下対称；ほぼ完存する；ほぼ同形同大</t>
        </is>
      </c>
      <c r="G7771" t="inlineStr">
        <is>
          <t>ほぼ日；ほぼほぼ；ほぼ日手帳；ほぼイコール；ほぼテキストブラウザ</t>
        </is>
      </c>
      <c r="H7771" t="n">
        <v>29</v>
      </c>
      <c r="I7771" t="inlineStr">
        <is>
          <t>製作される映画は英語のものと現地語のものがほぼ半分ずつと言われている。；写真はジョンのものとほぼ同一の仕様だがテールピースの形状が異なる。；現在運用されている電車の制御装置はほぼすべてが日立製作所製である。；運転出来ない若年層を考慮すると平均ではほぼ1人に1台の状態である。；ほぼ完成していたとされるが、それを発売中止にしての正式発売となった。；つまり反復のたびに正しい桁数が直前のもののほぼ倍になるのである。；これは最初のリリースの翌日からほぼ正確に40年後のことである。；大西洋沿岸のほぼすべての地域には有史以前から人類が居住していた。；機体構成は一部がダミーであることを除いてM-4Sとほぼ同じである。；軍事的理由から、ドイツとの国境線はほぼ最短となるように調整された。；使用方法は、アナログ式とほぼ同じであるので、その節を参照されたい。；上記の三つの系は効率の高低はあるがほぼ共通の手法を用いることができる。；カタログスペックはほぼ同一ながら、細かな改良が多数加えられている。；近年のプロの対局では、第一手のほぼすべてが隅から始まっている。；中学生の頃に初めてビールを飲み、大人になってからはほぼ毎日飲んでいる。；このように、現在ではほぼ使われなくなって、モル濃度に統一されている。；その後フリーホイール機構が普及し、自転車の基本がほぼ完成された。；ただし、漫画の中での内容と実際の高校は、ほぼ無関係といってよい。；企業向けシステムのメインフレーム用OSなどもほぼ全てこの方式である。；初等教育学校を含めてほぼ全ての学校が国立だが、私立学校も存在する。；他では、島の2つの地域は、文化や習慣のほぼすべての要素を共有している。；このことは、複素平面上の直線と円はほぼ同等であることを表している。；アーミッシュでは独自の農業を行いほぼ完全な自給自足の生活を送っている。；地形的には武蔵野台地のほぼ中央に位置し、関東ローム層に覆われている。；これはゴロが多いことで知られるイチローとほぼ同じ数字であった。；こうして一眼レフの自動露出システムもほぼ完成を見ることとなった。；太平洋は沈み込み帯にほぼ全てぐるりと囲まれている唯一の海である。；国道17号とほぼ並行し、一部区間を除き同じ市町村を経由している。；周辺機器の一つであるスーパーゲームボーイもほぼ同様の特徴である。</t>
        </is>
      </c>
      <c r="J7771">
        <f>HYPERLINK("https://www.weblio.jp/content/ほぼ", "词义详情")</f>
        <v/>
      </c>
      <c r="K7771">
        <f>HYPERLINK("https://yourei.jp/ほぼ", "查看例句")</f>
        <v/>
      </c>
    </row>
    <row r="7772">
      <c r="A7772" t="inlineStr">
        <is>
          <t>微笑む</t>
        </is>
      </c>
      <c r="B7772" t="inlineStr">
        <is>
          <t>成功</t>
        </is>
      </c>
      <c r="C7772" t="inlineStr">
        <is>
          <t>読み方：ほおえむ
［動マ五（四）］⇒ほほえむ</t>
        </is>
      </c>
      <c r="D7772" t="inlineStr">
        <is>
          <t>微笑むべき；微笑む遠子先輩；微笑む遠子さん</t>
        </is>
      </c>
      <c r="E7772" t="inlineStr">
        <is>
          <t>微笑；笑う；目を細める；破顔；微笑みかける</t>
        </is>
      </c>
      <c r="F7772" t="inlineStr">
        <is>
          <t>優しく微笑む；にっこり微笑む；げに微笑む；薄く微笑む；柔らかく微笑む</t>
        </is>
      </c>
      <c r="G7772" t="inlineStr">
        <is>
          <t>微笑むブッダ</t>
        </is>
      </c>
      <c r="H7772" t="n">
        <v>29</v>
      </c>
      <c r="I7772" t="inlineStr">
        <is>
          <t>彼は微笑んでいたが、声や態度には脅迫的な様子がかすかに見てとれた。；さらには赤く形よく整ってはいるもののほとんど微笑むことをしない唇。；階段をのぼっていくぼくに微笑みかけ、ぼくと妹が話すのを聞いていた。；少女は勝利を確信したように微笑み、彼の上に静かにのしかかってきた。；百合さんは窓の中の書卓から時をり眼をあげて父や私と微笑みかはす。；微笑み返したのか、それとも無表情に彼を見つめ返しただけだったのか。；負けを認めざるを得なくなったトムはどうしようもなく微笑むのだった。；頬に鉛筆で鏡面印刷された計算式を見て、声を殺して緑さんは微笑んだ。；そして彼女はなにかを決意したように、肩の力を抜いて僕に微笑んだ。；私がいくら明るく彼女に話しかけても、彼女は力なく微笑むだけだった。；ハリーは彼の息子の姿が見えなくなるまで、微笑んで手を振り続けた。；唐紙を開けて見ると、もうそこへ友達が微笑み乍ら立つて居たのである。；それは不幸な日々を送っている孤独な少女の微笑みには見えなかった。；世界で最も有名な数々の絵が旧友のごとく微笑みかけている気がする。；すぐそばまで近づいてきたとき、メレランはその女の子に微笑みかけた。；逆に微笑みかけられたりしたらどう反応したらいいのか分からない。；それを聞いたスカイ・レイカーは、再び微笑むとそっと首を横に振った。；無視されるのではと不安だった江利子は、その微笑みに感激さえ覚えた。；彼は胸の中で貪るように、彼に微笑みかけているある考えを思い返した。；あまり表情を変えることはないが、ごく稀に微笑んで見せる事もある。；彼女の頬の色や微笑み、まじめな顔をしようとしているが無駄なんだ。；そして未来はいつも思わせぶりな女のように意味深に微笑むだけだった。；トムラが微笑みとも苦笑ともつかぬ笑みを浮かべて、こちらを見ていた。；その次のときには、生け垣のもとに横たわって眠りながら微笑んでいた。；「何か特別なお好みがあるのかしら」そう言って肩越しに微笑みかける。；ウーラが大きく微笑んでいるのが、目には見えなくてもその声で分かった。；本当に、何も分かっていない子供を見て微笑む、疲れ切った大人のように。；人心地がついたところで、微笑むレニにふと疑問に思ったことを尋ねた。；「どこでもそう言うわよ」横にいた明日未が、馬鹿にしたように微笑む。</t>
        </is>
      </c>
      <c r="J7772">
        <f>HYPERLINK("https://www.weblio.jp/content/微笑む", "词义详情")</f>
        <v/>
      </c>
      <c r="K7772">
        <f>HYPERLINK("https://yourei.jp/微笑む", "查看例句")</f>
        <v/>
      </c>
    </row>
    <row r="7773">
      <c r="A7773" t="inlineStr">
        <is>
          <t>褒め称える</t>
        </is>
      </c>
      <c r="B7773" t="inlineStr">
        <is>
          <t>成功</t>
        </is>
      </c>
      <c r="C7773" t="inlineStr">
        <is>
          <t>読み方：ほめたたえる
［動ア下一］［文］ほめたた・ふ［ハ下二］大いにほめる。称賛する。「完成までの意志と努力を—・える」</t>
        </is>
      </c>
      <c r="D7773" t="inlineStr">
        <is>
          <t>望む；尊敬；感心；賞賛；拍手</t>
        </is>
      </c>
      <c r="H7773" t="n">
        <v>29</v>
      </c>
      <c r="I7773" t="inlineStr">
        <is>
          <t>敵を褒め称えることにより、その上をいく自らの力を誇示する東征将軍。；誰もが褒め称える美しい容姿を持っているのに、恋や結婚には関心がなかった。；兄はその力を才能と褒め称えるが、当人にとっては呪いにも等しかった。；内野安打も記録したことがあり、俊足を褒め称える記事を書かれたこともある。；郷田さんが席の近くを通りかかる度に、味とその工夫を褒め称えるのだった。；何ら疑念を招かず、同卿の行為は最高の勝負師だと褒め称えるだろう。；それぞれ魅入られたようにポーズを取り、さらに鏡面の自分を褒め称える。；その後、番組ディレクターの提案で番組ゲストに本田を呼んで褒め称える放送を行った。；また、インタビューを「中国語も英語も流暢で立派だ」と褒め称えるところもあった。；それはともかくとして、私は人を、たとえ非常に優秀であっても、そういうふうに褒め称えることはできない。；これらパピルスの一部には神の行動を褒め称える賛美歌が含まれており、しばしばそれらの行動を定義する神話に言及している。；深澤は素直にその作品を褒め称えるが、富田は自分が手がけたのは作画のみでそれ以外はすべて担当編集者のものだと不満げに言う。；比較的稀な用法として、分野を問わず特に優れた技術を持っている人を指す場合に、その技術を褒め称える意味で芸人と呼ぶことがある。；判決文では事件を重罪に当たるものとしながら、被告人らの憂国の志を褒め称える内容となっていた。；ショスタコーヴィチはこの事業を褒め称えるオラトリオを作曲することで、地位回復を図ることにした。；良い成績など褒め称えることばを書いて与えるために使用される賞状作成のための用紙を賞状用紙という。；社会の規範が守られているかを口承詩人は確認し、権力者を褒め称えるか非難するかを決める。；祖先の恩に報い、その功労を褒め称えることが、神を敬う理由なのだという。；イカルディは暮らしぶりが贅沢であるとか、ホロハンを殺害したことに関連して非難された一方、彼が誠実で勇気ある男だと褒め称える者もいた。；馮勤に会うごとに、光武帝は周囲に「これこそ能吏だ」と褒め称える。；倭国には、死者の前で生前の功績を褒め称える風習があった。；このため、仏教式で祀るのは、人物を褒め称えるという目的にはそぐわないといえるだろう。；自分の推奨した馬が思い描いていた通りの強い勝ち方で勝つと、レース回顧の際に手放しで褒め称える。；しかし、彼がすべての人の仕事を褒め称えるならば、これは低い弁別性であり、その行動をその人、この場合はスタントン博士に帰するだろう。；多くの意見は、彼の学識を褒め称えるものであり、彼の学識をもってすれば、教養ある人々にキリスト教が信ずるに足る宗教であることを示すことができるのではないかと期待した。；だが、源左のことを、常人の及ばない優れた人間だと一方的に褒め称えることは、私の本意ではない。；ボニファティウスは手紙でエゼルバルドの信仰心や施し物を与える行為を褒め称えることも忘れなかったが、その批判はエゼルバルドのその後の考え方に影響を与えた。；内容を尋ねてみると、桜花の絵を褒め称えるもの、色が見えないことに負けずにがんばれというもの、桜花の見た目も好きという絵とはあまり関係ないものまで、さまざまであるそうだ。；イングランドではロザモンドを褒め称える数々の戯曲・バラードが書かれ、彼女とを重ね合わせた伝説が生まれた。</t>
        </is>
      </c>
      <c r="J7773">
        <f>HYPERLINK("https://www.weblio.jp/content/褒め称える", "词义详情")</f>
        <v/>
      </c>
      <c r="K7773">
        <f>HYPERLINK("https://yourei.jp/褒め称える", "查看例句")</f>
        <v/>
      </c>
    </row>
    <row r="7774">
      <c r="A7774" t="inlineStr">
        <is>
          <t>褒める</t>
        </is>
      </c>
      <c r="B7774" t="inlineStr">
        <is>
          <t>成功</t>
        </is>
      </c>
      <c r="C7774" t="inlineStr">
        <is>
          <t>読み方：ほめる
［動マ下一］［文］ほ・む［マ下二］
１人のしたこと・行いをすぐれていると評価して、そのことを言う。たたえる。「勇気ある行動を—・める」「手放しで—・める」「あまり—・めた話ではない」⇔そしる／けなす。
２祝う。ことほぐ。
「真木柱(まけばしら)—・めて造れる殿のごといませ母刀自面変(おめが)はりせず」〈万・四三四二〉</t>
        </is>
      </c>
      <c r="D7774" t="inlineStr">
        <is>
          <t>褒めるべき(3%)</t>
        </is>
      </c>
      <c r="E7774" t="inlineStr">
        <is>
          <t>望む；尊敬；感心；賞賛；拍手</t>
        </is>
      </c>
      <c r="H7774" t="n">
        <v>29</v>
      </c>
      <c r="I7774" t="inlineStr">
        <is>
          <t>歌を聞いてもらった人に声を褒めてもらった事が最初のきっかけだという。；無理ではなかった、恋人のことを、お立派であると褒められたのだから。；毎日行われる朝礼でメンバーに感謝を述べたり、褒めるようにしている。；彼はこの若い年長の婦人から自分の才能を褒められたことを思出した。；だからそう云う議論を褒めるには、動かない議論だと云うじゃないか。；声優になろうと思ったきっかけは友人に声を褒められたことから。；ファンの方がいなかったのは残念でたまらないが、馬を褒めてあげたい。；悟郎は他人を褒めることに、一時間かけても惜しまない人間だったのだ。；そして、相手の正直なことを褒める印に、そのまま解放してやりました。；その際、教師らに褒められた嬉しさから演劇を楽しいと思うようになった。；一人でよくまあこんなところへ来られたつて、褒めてあげたんですよ。；僕は或點に就いては、君から身分不相應に褒められてゐる事を感じてゐる。；褒めてくれたのもリップサービス程度にしか思っていなかったと話している。；見たことのある者には、彼に感謝するにも褒め言葉が出てこない。；一方で民衆からはその勤勉ぶりを褒め称えられ、絶大な人気を得ていた。；子供の頃は転校が多く、その頃に唯一、声を褒められたことがあるという。；面と向かってこの眼を不気味だと言う者も、反対に美しいと褒める者もいた。；もっと言えば、明乃の夫は僕の進歩ぶりを褒めるだろうとすら考えていた。；父親が母以外を褒める場面に、真は居合わせたことがなかったからだ。；谷村は自分のラジオ番組でも頻繁にこの歌を流して、彼女を褒め称えた。；総監督の富野喜幸からは「いい仕事をしてくれた」と褒められたという。；選手に対しては批判的な発言をすることがほとんどで滅多に褒めない。；人に言われた皮肉も痛くなければ、褒められたのにも浮き立ちもしません。；むしろソフィアは彼が姉の従順さを褒めているのを耳にしています。；この場所の活躍により石浦は生まれて初めて父親に褒められたという。；一日も早く世に出してみんなに褒められたいと思ひますわ。；老いても元気な人を「矍鑠」と褒めるのはこの故事が由来となっている。；既存作家の作品でも、この四人が揃ってここまで褒めることは滅多にない。；ドッジボールの際に肩の強さを褒められたことから野球を始める。</t>
        </is>
      </c>
      <c r="J7774">
        <f>HYPERLINK("https://www.weblio.jp/content/褒める", "词义详情")</f>
        <v/>
      </c>
      <c r="K7774">
        <f>HYPERLINK("https://yourei.jp/褒める", "查看例句")</f>
        <v/>
      </c>
    </row>
    <row r="7775">
      <c r="A7775" t="inlineStr">
        <is>
          <t>ぼやく</t>
        </is>
      </c>
      <c r="B7775" t="inlineStr">
        <is>
          <t>成功</t>
        </is>
      </c>
      <c r="C7775" t="inlineStr">
        <is>
          <t>［動カ五（四）］ぶつぶつ不平や泣き言を言う。「仕事がきついと—・く」</t>
        </is>
      </c>
      <c r="D7775" t="inlineStr">
        <is>
          <t>呟く；零す；愚痴る；苦情を言う；ごねる</t>
        </is>
      </c>
      <c r="H7775" t="n">
        <v>29</v>
      </c>
      <c r="I7775" t="inlineStr">
        <is>
          <t>途中でイヴンが、こういうのは道とは言わないとぼやいたくらいである。；それが身体の左右に別れてさらに落ちていくのを見ながら、始はぼやいた。；まるで現代と同じ兄弟間のぼやきに、文を読む珠実の頬もついほころぶ。；彼のぼやきはむろん、物理的な距離のことを指しているわけではない。；武道館を一人後にして校舎に向かって歩きながら、ぼやきたくなった。；時々子供が泣きぼやくので、馬のように長い顔をしかめて婦は頭を振った。；何で電柱の上なんかにとぼやきながらも素早く下り、適当な線を探した。；何故あんな話になったのだろうかと、エリカは声に出さずぼやいた。；このごろは旅行をするのが大変な難事業だと友人知人たちはぼやいている。；紙コップの中のお茶を手で揺らしながら、ジュウはぼやくように言った。；馨は、ぼやきに似た父の言葉を聞いても、何のことかまるでわからなかった。；そして予想外の料金をとられたと言って、いつまでもぼやいてるんだから!；ぼやきたくなりながら、護堂は先陣を切って教室の外へ飛び出していった。；「これまでに火を作れた人間がいるとは信じられないな」わたしはぼやいた。；「会社もねえのに、社長ってことがあるかよ」しわがれた声でぼやいた。；「いいよなあ」 景はまたもぼやきながら、門に向かって歩みを進めた。；子どもの頃のわしにむかってよくぼやいていたものじゃ。；欲しい本を見つけるのが大変だ、などとぼやくのは、横着もいいとこだ。；ああ、そんなふうにぼやいていたら、またも呼び出しがかかってしまった。；最近はその教室からでも瞬間移動の術で飛んで帰ってくるのだと父がぼやくのは聞いていた。；集団の中で「偉そうに何様のつもりだよ」とぼやく男の声が聞こえた。；あのとき先生は、ぼやいているのではなかったのかもしれない。；エンジンがなかなか掛からないなどとぼやいている場合ではない。；「あれ、なんでこの男はわしらを呼んだのだ」 と、お大尽がぼやいた。；こちらの組織の人間が、CIAと接触した、とぼやいていたそうだ。；微かに順応し始めている自分がどこか憎らしくなって、露骨にぼやいた。；このままいけば、ぼやきの達人になれそうな気がしてきていた。；ややあって、ラダーマンがぼやきながら巨大なジョッキを乱暴に置いた。；その前に会った時には、バイトをクビになって金がないってぼやいてたのに。</t>
        </is>
      </c>
      <c r="J7775">
        <f>HYPERLINK("https://www.weblio.jp/content/ぼやく", "词义详情")</f>
        <v/>
      </c>
      <c r="K7775">
        <f>HYPERLINK("https://yourei.jp/ぼやく", "查看例句")</f>
        <v/>
      </c>
    </row>
    <row r="7776">
      <c r="A7776" t="inlineStr">
        <is>
          <t>ぼやける</t>
        </is>
      </c>
      <c r="B7776" t="inlineStr">
        <is>
          <t>成功</t>
        </is>
      </c>
      <c r="C7776" t="inlineStr">
        <is>
          <t>［動カ下一］はっきりとしなくなる。ぼんやりとする。ぼける。「論点が—・ける」</t>
        </is>
      </c>
      <c r="D7776" t="inlineStr">
        <is>
          <t>かすむ</t>
        </is>
      </c>
      <c r="H7776" t="n">
        <v>29</v>
      </c>
      <c r="I7776" t="inlineStr">
        <is>
          <t>なにか世界に霧がかかっているようなそんな感じで全てがぼやけている。；このシーンでは画面や焦点がぼやけたように見える演出がなされていた。；具体的な形とかイメージとか、そういうのもほとんどぼやけてるんです。；みえないというより、みようとすると、ぼやけてしまうような気がした。；じっと見ていないと、アキラの姿がなぜかぼやけてしまっていたからだ。；近くの物ははっきり感じられるが、遠くの物はぼやけて把握しきれない。；視界はまだぼやけたままで、目の前にあるものもはっきりとは見えてない。；その火の帯もしだいにぼやけはじめたとき、やっと彼女が近づいてきた。；ずいぶん昔のことだからといって、記憶がぼやけてしまったわけではない。；バンドの手前には水が流れていて、メンバーの顔をぼやけさせている。；世界が白くぼやけて過ぎ行くに連れて、自分の心臓の音が耳の中で聞えた。；只この欲しい物と買いたい物との境界がぼやけてしまった女たるに過ぎない。；私は考えを巡らせましたがまだ頭がぼやけてて何も思い出せませんでした。；嘘を言い続けていると、意識の中では自分が殺したことさえぼやけてきていた。；四歩か五歩ごとに急に前傾姿勢になり、森が一瞬ぼやけるように思える。；異様な存在感を見せつけていた工業地帯の明かりもぼやけて見え始めた。；何度か目を瞬かせると、ぼやけていた視界が次第にはっきりしていく。；なぜだかわからないが、水の幕を張ったように視界がぼやけてしまったからだ。；やがて畳の目は次第にぼやけ、どんどん畳ごと自分の体が浮上を始めた。；なんというか、頭の中でぼやけていたものに、彼女の話は形を与えてくれる。；ぼやけた活字を前に、もう理解する努力を放棄したくなってしまった。；心の中でそうののしるカークの頬を涙がしたたり落ち、視野がぼやけた。；見ないようにはしていても、旗島の遠い顔がぼやけた視野のなかに動いた。；夕方あたりから少しリツ子の気持のピントがぼやけてきたように思われた。；ただし、いったい何が写っているのかわからないぐらい、ぼやけている。；忠相の眼にゆえ知らぬ涙がわいて手を突いている畳がぽうっとぼやけた。；家は皆それ程高くなくて、それの上半分は霧の中にぼやけてしまつて居る。；彼らの顔は、頭上でちらついている靄のために、ぼやけてしまっている。；退院を知った友人からの色とりどりの花が、涙に滲んでぼやけて見えた。</t>
        </is>
      </c>
      <c r="J7776">
        <f>HYPERLINK("https://www.weblio.jp/content/ぼやける", "词义详情")</f>
        <v/>
      </c>
      <c r="K7776">
        <f>HYPERLINK("https://yourei.jp/ぼやける", "查看例句")</f>
        <v/>
      </c>
    </row>
    <row r="7777">
      <c r="A7777" t="inlineStr">
        <is>
          <t>保養</t>
        </is>
      </c>
      <c r="B7777" t="inlineStr">
        <is>
          <t>成功</t>
        </is>
      </c>
      <c r="C7777" t="inlineStr">
        <is>
          <t>読み方：ほよう
［名］(スル)
１からだを休ませて健康を養うこと。養生すること。「山の温泉で—する」「—地」
２心をなぐさめ楽しむこと。「目の—になる」</t>
        </is>
      </c>
      <c r="D7777" t="inlineStr">
        <is>
          <t>保養センター(6%)；保養所(3%)；保養都市(2%)；保養客(2%)；保養院(2%)</t>
        </is>
      </c>
      <c r="E7777" t="inlineStr">
        <is>
          <t>楽しみ</t>
        </is>
      </c>
      <c r="F7777" t="inlineStr">
        <is>
          <t>温泉保養；有名な保養；近郊保養；転地保養；病気保養</t>
        </is>
      </c>
      <c r="G7777" t="inlineStr">
        <is>
          <t>保養所；保養施設</t>
        </is>
      </c>
      <c r="H7777" t="n">
        <v>29</v>
      </c>
      <c r="I7777" t="inlineStr">
        <is>
          <t>馬鹿な話さ、保養に来ていながら働くことを考えるのが何よりの楽みだ。；私は病後の保養をしているところで、ほかに何もすることがありません。；それは父の病後の保養もあり、弱い私の健康のためでもあったのである。；戦後は岩手県の職員保養所となっていたが1972年に閉鎖されている。；うるさくて忙しい町の暮らしをしていた私には、いい保養になりました。；かといって、船の団体で遊山保養をしての帰りがけの一行らしくもない。；一般公開されている唯一の公園は温泉保養地であるゲルメーテ地区にある。；思わぬ眼の保養をしたと喜び、且は大そうなもてなしをうけたと謝した。；この公園には保養やスポーツ活動のための施設が用意されている。；温泉場に来ているからといって、みんなのんきな保養客ばかりではない。；温泉場に来ているからと云って、みんなのんきな保養客ばかりではない。；充分に目の保養をしてから、宝を取り出して、その目録を作ったのです。；二日前から、店員全部が、保養に伊豆の温泉に出かけていたからである。；思いがけない出費もあるだろうし、保養にならないことがわかっていた。；あなたには、あの人をすこしばかり保養させてあげる義理がありますよ。；その意味では、療養地というより健康保養地の性格が強くなっている。；彼は保養の船旅に出るに先だって調べた地図のことをはっきり覚えていた。；実際、このホテルは、合衆国の正式な保養・療養施設に指定されていた。；現在、ここは、方伯の城の南側に位置する保養・余暇公園となっている。；紺屋地獄は、泥湯で有名な別府温泉保養ランドの所にあった地獄である。；このため、夏期には街の人口よりも多くの保養客がこの町を訪れた。；これでは保養中の文豪と云うより、隔離病棟の神経症患者のようである。；もっと実用的なもので、治療や保養を目的に長逗留する場所であった。；私は目下温泉保養の決心をして、やすくて閑静なところを調査中です。；町の南外れは、2つの湖がある広さ19 haの近郊保養地となっている。；あなたはあの人を保養に出してあげる義務がおありですよ。；勝手に取って持って来ることは許されないが、見るだけでも目の保養にはなる。；して見ればこれをただの趣味や娯楽や道楽や保養とだけ考えることは出来ない。；幸にその時は快方に向って、それから郷里の松山で保養する事になった。</t>
        </is>
      </c>
      <c r="J7777">
        <f>HYPERLINK("https://www.weblio.jp/content/保養", "词义详情")</f>
        <v/>
      </c>
      <c r="K7777">
        <f>HYPERLINK("https://yourei.jp/保養", "查看例句")</f>
        <v/>
      </c>
    </row>
    <row r="7778">
      <c r="A7778" t="inlineStr">
        <is>
          <t>ほら</t>
        </is>
      </c>
      <c r="B7778" t="inlineStr">
        <is>
          <t>成功</t>
        </is>
      </c>
      <c r="C7778" t="inlineStr">
        <is>
          <t>［感］何かを指し示して、相手の注意をひくときに発する声。「—、見て」「—、言ったとおりだろ」</t>
        </is>
      </c>
      <c r="D7778" t="inlineStr">
        <is>
          <t>ほら話；ほら見ろ；ほらごらん；ほらみろ；ほらここに</t>
        </is>
      </c>
      <c r="E7778" t="inlineStr">
        <is>
          <t>嘘；うそ；虚偽；偽り；虚</t>
        </is>
      </c>
      <c r="F7778" t="inlineStr">
        <is>
          <t>まっくらなほら；ほらごらんなさい</t>
        </is>
      </c>
      <c r="G7778" t="inlineStr">
        <is>
          <t>ほらほら；ほら貝；ほら吹き；ほらふき；ほらー</t>
        </is>
      </c>
      <c r="H7778" t="n">
        <v>29</v>
      </c>
      <c r="I7778" t="inlineStr">
        <is>
          <t>このあなをほらせた人の子どもか孫が、きっとまだ権利を持っているよ。；それは大きなほらの貝でも遠くのほうで吹き鳴らしているような音です。；ほら、ちゃんとこう列車番号から車室の番号まで書いてあるじゃないの。；でも、ほら、雪の上には僕たちの足跡の外に誰の足跡もついていないよ。；ほら、おれ、ふだんやるようなことをやっているわけじゃないでしょう。；ほら、この小さな女の靴跡は、厚板に腰をおろしたことを物語っている。；そして第三に、これが一番大切な事なんだが、ほら、踵の処をよく御覧。；僕はほら地名や職業の名や数字を夥しく作品の中にばらまくでしょう。；棒を背後へ匿してましたから、遠くで見たんじゃ、ほら、分りませんや。；長い船旅で退屈をしていた乗客達は、ほら話を披露し合うことになる。；ところが、ほら此麼ところにゐると毎日いろいろなことを見るでせう。；ほら、水晶はこのとおりぼくの腰にぶら下っている袋の中にあるんだ。；ピッピはまた、物語を語るのが好きで、それはしばしばほら話の形をとる。；ほら、横須賀の旅に、あの辺は君と二人で歩いて通ったところなんですがね。；ほら、この一日は十年かそれ以上も頭から離れることはないだろうね。；ほら、教会で会うだろう、ほかの場所ではめったに会いはしないけれどね。；そのほらあなのまわりの林には、ひじょうに高い木がいく本もありました。；目のぱっちりした小犬で、ほら、長い長い茶色の巻き毛が生えてるのよ!；新しい服でね、ほら、事実、いまこうしてその服を着てるじゃないか。；今日は生憎顔はみえなかつたが、ほらあいつのところはどうだらう。；ほら、お前たちにもわたしが教えてあげたじゃないか、教えてあげたじゃないか。；しかし馬がなんであれ、老人がほらを吹いているような気がした。；ほら、あいつらが城の正面の門をぶち破ろうとしているのが見えるだろう。；つまりほら、いつか君の芝居でニーナさんが演じたあれみたいなね。；ほらあの雄の鶴がカアつていうとすぐ雌の鶴がカアカアつていうだろう。；ほら、あの葉蔭から、大きな眼で、あたしの方をじっと見つめているのよ。；ほら、あの夢中になつて何か探してらつしやる眼がわからないの。；「ほら私が君に望んでいた通り」彼に向かってヴォートランが言った。；ほら、頭を動かすと細い身体を下の方へ、ずっとさざなみが立っていくわ。</t>
        </is>
      </c>
      <c r="J7778">
        <f>HYPERLINK("https://www.weblio.jp/content/ほら", "词义详情")</f>
        <v/>
      </c>
      <c r="K7778">
        <f>HYPERLINK("https://yourei.jp/ほら", "查看例句")</f>
        <v/>
      </c>
    </row>
    <row r="7779">
      <c r="A7779" t="inlineStr">
        <is>
          <t>堀/濠</t>
        </is>
      </c>
      <c r="B7779" t="inlineStr">
        <is>
          <t>无结果</t>
        </is>
      </c>
      <c r="H7779" t="n">
        <v>0</v>
      </c>
      <c r="J7779">
        <f>HYPERLINK("https://www.weblio.jp/content/堀/濠", "词义详情")</f>
        <v/>
      </c>
      <c r="K7779">
        <f>HYPERLINK("https://yourei.jp/堀/濠", "查看例句")</f>
        <v/>
      </c>
    </row>
    <row r="7780">
      <c r="A7780" t="inlineStr">
        <is>
          <t>捕虜</t>
        </is>
      </c>
      <c r="B7780" t="inlineStr">
        <is>
          <t>成功</t>
        </is>
      </c>
      <c r="C7780" t="inlineStr">
        <is>
          <t>読み方：ほりょ
戦争などで敵に捕らえられた人。とりこ。俘虜(ふりょ)。
[補説]作品名別項。→捕虜</t>
        </is>
      </c>
      <c r="D7780" t="inlineStr">
        <is>
          <t>捕虜たち(5%)；捕虜交換；捕虜生活；捕虜達；捕虜全員</t>
        </is>
      </c>
      <c r="F7780" t="inlineStr">
        <is>
          <t>兵捕虜；ドイツ人捕虜；元捕虜；連合軍捕虜；アメリカ人捕虜</t>
        </is>
      </c>
      <c r="G7780" t="inlineStr">
        <is>
          <t>捕虜虐待；捕虜裁判</t>
        </is>
      </c>
      <c r="H7780" t="n">
        <v>29</v>
      </c>
      <c r="I7780" t="inlineStr">
        <is>
          <t>設立時には満州で捕虜となった日本軍人や整備士が中国兵を訓練している。；当時の報道を見ると、捕虜処刑を当然視する考えや論調は見られない。；中にはゴローニンや高田屋嘉兵衛のように相手国の捕虜になった人もいた。；英宗が捕虜になったという報を聞くと北京は上下ともに大混乱となった。；ポロヴェッツ人のある者はスノヴィ川で溺死し、ある者は捕虜にされた。；名古屋では自由散歩で自転車を運転していた捕虜将校が事故を起こしているほどである。；残りのほとんども捕虜となり監獄に放り込まれた後に殺害されることになる。；この時、別働第3旅団は多くの薩軍兵捕虜の対応をするために解団した。；また、敵の権力内に陥った場合は捕虜としての待遇を受ける権利を有する。；また、呉より派遣された諸葛誕の援軍で捕虜となった者もみな赦免した。；幾人かの大人は、後の捕虜交換の協議によって交換もしくは解放された。；しかし731年以後におそらく再びティカルの攻撃を受けて捕虜になった。；一方パリでは9月3日に皇帝が捕虜になったとのニュースが届いた。；様々な任務の中にはイラク軍捕虜の拘留施設としての任務も含まれた。；翌10日に艦長を初めとするエムデンの乗員は収容され捕虜となった。；心の捻れた騎士が彼女の愛人を捕虜にして、土地を奪ってしまったという。；そのうえ、このときの日本陸軍は捕虜管理のための機構を設置しなかった。；劉邦は慌てて脱出したが、劉太公と呂雉が楚軍の捕虜となってしまった。；日本側は撃墜された米軍機の捕虜から、作戦参加艦船の情報を入手した。；民間でも国内の雑誌でも捕虜収容所を大きくとりあげ捕虜の写真が掲載された。；この映画ではナチスのプロパガンダであるサッカー試合に出場する捕虜を演じた。；サラディンは訳を訊ねるが弟は答えず、彼の言う通りに捕虜を与えてやった。；この戦闘で15人が戦死し、40人が負傷し、355人が捕虜になった。；収容所の脱走に成功した捕虜達は、様々な手段で逃走を続けていった。；この作戦で15年にアルミニウスの妻を捕虜にするなど戦功も挙げた。；ドイツが戦争初期に捕らえたソ連兵の捕虜500万人はほとんど死亡している。；そのため奴隷や捕虜が使用されたとの通念があるが、古代のは一般に自由民であった。；喜ぶ兵士たちの姿を見たサラディンは捕虜を殺さないことを決心したという。；なおテロリスト等は国際法上交戦者とはされず、捕虜にはなり得ない。</t>
        </is>
      </c>
      <c r="J7780">
        <f>HYPERLINK("https://www.weblio.jp/content/捕虜", "词义详情")</f>
        <v/>
      </c>
      <c r="K7780">
        <f>HYPERLINK("https://yourei.jp/捕虜", "查看例句")</f>
        <v/>
      </c>
    </row>
    <row r="7781">
      <c r="A7781" t="inlineStr">
        <is>
          <t>彫る</t>
        </is>
      </c>
      <c r="B7781" t="inlineStr">
        <is>
          <t>成功</t>
        </is>
      </c>
      <c r="C7781" t="inlineStr">
        <is>
          <t>読み方：える
［動ラ五（四）］
１彫刻する。ほりつける。
「この二つの法諡は孰(いず)れも石に—・られなかった」〈鴎外・渋江抽斎〉
２ほり刻んで、金銀・珠玉をはめ込む。
「朧に薄紅の螺鈿(らでん)を—・る」〈漱石・虞美人草〉
３くりぬく。穴をあける。
「穴を—・りて獄をつくりて」〈愚管抄・七〉</t>
        </is>
      </c>
      <c r="D7781" t="inlineStr">
        <is>
          <t>彫刻；刻；刻む；削る；彫物</t>
        </is>
      </c>
      <c r="H7781" t="n">
        <v>29</v>
      </c>
      <c r="I7781" t="inlineStr">
        <is>
          <t>そのほか金属のものも中にはあったが、ほとんど木に彫ったものである。；あのかたが、その詩がはじめて彫られたころをおぼえておいでですなら。；頬にナイフで彫ったような傷があり、はだけた胸に金の鎖が光っていた。；彫眉さんが向いで仕事をしている時に、この子が上がって来ることはない。；腕の囚人番号もユダヤ人だと偽るために自分たちで彫ったものだという。；僧侶のような生活をしていた時期に、母親をモデルに木像を彫っていた。；顔を含めた全身に無数のタトゥーが彫られていることが知られている。；彫眉さんは三日が過ぎても五日が過ぎても、れいの箱を取りに来なかった。；その山が、おのれの首にかかる首飾りに彫ってあるものと同じ名だとは?；木ぎれや骨などを彫って作った部品が町でもまた田舎でも見つかっている。；どうしてもそれから先を刀を逆に使わなければならぬから一刀に彫れない。；それには昔からの習慣どおり、処刑された者の名と罪状が彫ってあるのだ。；そのときのことについて、彫亀はあとでつぎのように語ったそうである。；一個の恒星といくつかの惑星の図が彫ってある、スポックもやって来た。；背中には、深い緑色をした蛇のような竜のような絵が彫られている。；円の中心部分に蓮弁が彫られていて、その外側に同心円状の輪帯がある。；涙であやうくなる視界の中で彫刻刀に力をこめて机の上に傷を彫った。；開墾の暇をみて彫ったものはすでに一度、瀬棚で売って金に替えていた。；然しこの場合に於ても、否特に、その作品は丸彫にせられたものである。；それぞれ、一体を彫るのに半年ずつかかり、最後が西の広目天となった。；かつて岩王帝君がある岩元素生物と会い、彼と契約して龍の形に彫った。；直接銅板に線を彫っていく直接法よりも線を意のままに描きやすい。；姫はその時の快感が忘れられず、自身も二の腕に同じ刺青を彫っていた。；阿比留文字で詩が彫られてかなりの量のテクストとなっているのは珍しい。；此の立場から他人に彫らせると云ふ事は如何な場合でも無意味である。；そこに切り彫まれている脳を両手で下から持ちあげて、頭の中に押しこんだ。；そういえば、仇っぽい女彫青師の話を聞いたことがあるような気がする。；大抵初めは人物より動物の方が面白いから、それを彫らせるのである。；まるで壁に彫られた罪と怠惰の図が、いきなり実体化したような気がした。</t>
        </is>
      </c>
      <c r="J7781">
        <f>HYPERLINK("https://www.weblio.jp/content/彫る", "词义详情")</f>
        <v/>
      </c>
      <c r="K7781">
        <f>HYPERLINK("https://yourei.jp/彫る", "查看例句")</f>
        <v/>
      </c>
    </row>
    <row r="7782">
      <c r="A7782" t="inlineStr">
        <is>
          <t>掘る</t>
        </is>
      </c>
      <c r="B7782" t="inlineStr">
        <is>
          <t>成功</t>
        </is>
      </c>
      <c r="C7782" t="inlineStr">
        <is>
          <t>読み方：ほる
［動ラ五（四）］
１地面に穴をあける。「トンネルを—・る」「井戸を—・る」
２地面に埋まっているものを取り出す。「芋を—・る」
[可能]ほれる
［動ラ下二］「ほ（掘）れる」の文語形。</t>
        </is>
      </c>
      <c r="D7782" t="inlineStr">
        <is>
          <t>掘るべき</t>
        </is>
      </c>
      <c r="E7782" t="inlineStr">
        <is>
          <t>採掘；掘り出す；掘り進む；掘進；掘りだす</t>
        </is>
      </c>
      <c r="F7782" t="inlineStr">
        <is>
          <t>掘れば掘る；穴掘る；尺掘る；全部掘る</t>
        </is>
      </c>
      <c r="H7782" t="n">
        <v>29</v>
      </c>
      <c r="I7782" t="inlineStr">
        <is>
          <t>建物正面の玄関付近の雪が掘られていて、中に入る道がつけられていた。；地球上どこでも人は平均した温度を得るためには穴を掘るからである。；その上をまた石で囲んであるので、地を掘つて埋葬しては無いのである。；庭のこれこれの場所を掘ってみよと言われ、そこを掘れば銭が出てくる。；これには通りの下に45フィートの高さの穴を掘る工事が含まれていた。；水に達するにはかなり深く掘る必要があることはきわめて明らかであった。；ロボットたちは、地下で鉱石を掘る仕事をするように作られていたのだ。；だから学校の周りの土を掘ると面白いように土器とか椀などがでてきた。；長方形に掘られた洞窟の地面には、大きな石がいくつも並べられている。；地域を流れる小河川の拡張・掘り込みを行うなど治水対策がされている。；掘れば絶対に大儲けができるなどというのが理由になったときもあった。；そのような中でこれまでの手掘りからさく岩機の導入も進められていった。；処刑される二人が、自分の死体を埋める穴を、自分で掘らせられたのだ。；それから夜になって穴を掘るような音がしたら、それはぼくたちだよ。；いずれも最後の数分にねほりんとぱほりんによる穴掘りの映像が流れる。；身の容器上部に溝を掘り横から蓋をスライドして入れられる様にした蓋。；先客だったあの人は、掘る前に土の色が違っていたと言っていたのだ。；木に登ったり、発達した前肢と爪を使って素早く穴を掘ることもできる。；試合に勝利した際に墓掘りのパフォーマンスをすることで有名である。；その際に香取の要石を掘らしたが根元を見ることが出来なかったという。；垂直に掘ってある穴だ、井戸かと思って、ぼくは中へ石を落としてみた。；地下に斜めに洞窟を掘るようにして作った、トンネル状の防空壕である。；民さんは野菊が大変好きであったに野菊を掘ってきて植えればよかった。；吻部を動かして穴を掘り砂泥を食べてそれに含まれる有機物を消化する。；その砂が一ところ深く掘られて、沢山の人がその中に立ってございました。；ところが、彼が口にする前に、息子は掘るべき池の大きさをたずねている。；雪の中を掘って見ましたがちょうど鳩の卵位のものが沢山ありました。；炉の下には六角形を作るために掘ったと見られる穴が保存されている。；そして便穴が一杯になると埋め戻され、新しい場所に便穴が掘られた。</t>
        </is>
      </c>
      <c r="J7782">
        <f>HYPERLINK("https://www.weblio.jp/content/掘る", "词义详情")</f>
        <v/>
      </c>
      <c r="K7782">
        <f>HYPERLINK("https://yourei.jp/掘る", "查看例句")</f>
        <v/>
      </c>
    </row>
    <row r="7783">
      <c r="A7783" t="inlineStr">
        <is>
          <t>ホルモン</t>
        </is>
      </c>
      <c r="B7783" t="inlineStr">
        <is>
          <t>成功</t>
        </is>
      </c>
      <c r="C7783" t="inlineStr">
        <is>
          <t>読み方：ほるもん
生体内の内分泌腺で生成され、血液中に分泌されて運ばれ、特定の器官にのみ作用する微量の化学物質。成分はたんぱく質・ポリペプチド・フェノール誘導体・ステロイドなど。</t>
        </is>
      </c>
      <c r="D7783" t="inlineStr">
        <is>
          <t>ホルモンバランス(3%)；ホルモン分泌(2%)；ホルモン注射；ホルモン料理；ホルモン受容体</t>
        </is>
      </c>
      <c r="E7783" t="inlineStr">
        <is>
          <t>器官；内臓；腸；臓器；臓腑</t>
        </is>
      </c>
      <c r="F7783" t="inlineStr">
        <is>
          <t>分泌されるホルモン；暗視ホルモン；ストレスホルモン；重要なホルモン；刺激ホルモン</t>
        </is>
      </c>
      <c r="G7783" t="inlineStr">
        <is>
          <t>ホルモン焼き；ホルモン補充療法；ホルモン剤；ホルモン異常；ホルモン焼きうどん</t>
        </is>
      </c>
      <c r="H7783" t="n">
        <v>29</v>
      </c>
      <c r="I7783" t="inlineStr">
        <is>
          <t>その核の中にホルモンが入っていって、そこにある本を開いて活用する。；ホルモンかなにかの分泌状態が変わって性格にまで影響するのだろうか。；これにはホルモン分泌と、それが神経系統に与える影響が関係している。；これらの類似構造を持つホルモンを総称してエクジステロイドとも呼ぶ。；ホルモン犯罪を背景に少年の頃に暴行により去勢された男の運命を描く。；上記のホルモンの2種のみが検査される時は、ダブルテストと呼ばれる。；これは、胎児から分泌されるホルモンの影響を防ぐためだと考えられる。；甲状腺も心に大きな影響を及ぼすホルモンを分泌していることは有名だ。；ホルモンも基本的には同じだが、進化の過程で多少の変更点がある。；こうして分けられた3つの部分からは異なったホルモンが分泌される。；すでにホルモンが発見されていた一九四二年のことである。；詳細は明確に理解されていないが、POMCホルモン間にがあるようである。；このことは結果として男性性ホルモンの上昇につながる可能性がある。；内分泌学でホルモンの作用不全があるといえば次の2つの病態を考える。；サイトカインのホルモンとの明確な違いについては現在研究途上にある。；私は手術後ずっとホルモン注射を打っているので、お月様がこない。；これは、前にも紹介したように、脳に快感や意欲をもたらすホルモンだ。；卵巣が残っている限り、ホルモンの分泌に変化が起こることはありません。；内臓がそっくりホルモンと入れ替わったような気にさえなることがあるのだ。；このような群の形成は、神経・ホルモンの作用が加わることで徐々に進化した。；人間の細胞が、進化したホルモンの要求する力に耐えきれず、崩壊を始めている。；蛹化の制御には複数のホルモンが関係していることが知られる。；とにかく、人の身体を変化させる秘密はホルモンにあるのです。；それでもホルモン注射を受けるなど男性になることを進めていく。；カリウムチャネルはいくつかのホルモンの分泌の調整に関わっている。；やがて体内から発するホルモンに依存する様になり成長が大幅に加速する。；衣がついているため、通常のホルモンが苦手な人でも食べやすいとされることがある。；現在ではこの分画は、アンドロゲンホルモンの一種であると理解されている。；もちろんホルモンなどは発見されていない時代である。</t>
        </is>
      </c>
      <c r="J7783">
        <f>HYPERLINK("https://www.weblio.jp/content/ホルモン", "词义详情")</f>
        <v/>
      </c>
      <c r="K7783">
        <f>HYPERLINK("https://yourei.jp/ホルモン", "查看例句")</f>
        <v/>
      </c>
    </row>
    <row r="7784">
      <c r="A7784" t="inlineStr">
        <is>
          <t>ぼろ～</t>
        </is>
      </c>
      <c r="B7784" t="inlineStr">
        <is>
          <t>成功</t>
        </is>
      </c>
      <c r="C7784" t="inlineStr">
        <is>
          <t>［接頭］《形容詞「ぼろい」の語幹から》動詞の連用形から変化した名詞に付いて、程度のはなはだしい意を表す。「—儲(もう)け」「—負け」</t>
        </is>
      </c>
      <c r="D7784" t="inlineStr">
        <is>
          <t>非；穴；傷；難；欠点</t>
        </is>
      </c>
      <c r="H7784" t="n">
        <v>29</v>
      </c>
      <c r="I7784" t="inlineStr">
        <is>
          <t>何度も質問に答えているうちに、いずれぼろを出すだろうと読んでいた。；ずたぼろの格好でふらふらになりながら立つのがやっとだったのだから。；第一におそばに近づくことからして問題だ、まさかぼろじゃ近寄れめえ。；あらゆる種類のぼろを着ていた男たちは、そのぼろに血痕がついていた。；昔は貧乏で、ジェンキンスがくれたぼろ切れで作った服などを着ていた。；戦前に建てられたらしい木造のぼろ家であるが、それでも二階建だった。；そして、わたしのしていることを見ると、ぼろ布と油を持ってきてくれた。；ぼろをまとっていても、モランには優れたものがないわけではなかった。；いずれも古いぼろ傘ばかりであるが、にわか雨を防ぐ程度の役には立つ。；ぼろ服には相も変わらずボタンをかけず、帯をだらしなくしめていた。；叔父のぼろ家の垂木に何かがぶらさがっていたことは一度もなかった。；このぼろきれの下には、あの犬を殺す理由になる傷が一つ二つある。；彼は失意の身でぼろをまとう乞食になっていが、驚くべき物語を話した。；彼女は自分の後ろの箱から、古いぼろと小さな鉛の剣とを取り出した。；もし番人らに見つかったら、ぼろ着物の彼らは追い出されたに違いない。；それとも、どこかの貧民窟にある同名のぼろアパートのことなんですか?；生まれてすぐ父に捨てられ、母や弟たちとスラム街のぼろ家に住んだ。；もし彼に金をあたえれば彼はおそらくそれでもっと多くのぼろを買うだろう。；彼女はうしろの箱から古いぼろ切れと小さな鉛の剣とをとり出した。；ほかにからだに傷はなく、ただ首がぼろきれみたいにグニャリとしている。；でもそのうちにどこを調べてもぼろが出ないよう、現実が操作されるはずです。；ところがぼろを着て目を血走らせたアメリカ人が、この土地へ流れこんだ。；棒とぼろ布でできているのに、生きていて、中に入りこもうとしています。；昔ならば、ぼろの扉ではあっても自分の机から扉まで優に二十歩はあった。；彼ははいって行って、廊下で出会ったぼろ服の男に部屋を尋ねた。；彼はいきなりその町のとある不潔な汚れ腐ったぼろ屋へ馬を乗り着けた。；男たちが去っても、草の上にぼろ布のように横たわったまま動けなかった。；と大きな声を出した拍子に、手にしたぼろ布で和尚を叩いてしまった。；おかみさんは自分のぼろ家に入ると、シャツ用の亜麻布を測ろうとした。</t>
        </is>
      </c>
      <c r="J7784">
        <f>HYPERLINK("https://www.weblio.jp/content/ぼろ～", "词义详情")</f>
        <v/>
      </c>
      <c r="K7784">
        <f>HYPERLINK("https://yourei.jp/ぼろ～", "查看例句")</f>
        <v/>
      </c>
    </row>
    <row r="7785">
      <c r="A7785" t="inlineStr">
        <is>
          <t>滅びる</t>
        </is>
      </c>
      <c r="B7785" t="inlineStr">
        <is>
          <t>成功</t>
        </is>
      </c>
      <c r="C7785" t="inlineStr">
        <is>
          <t>読み方：ほろびる
［動バ上一］［文］ほろ・ぶ［バ上二］
１なくなる。絶える。滅亡する。「国が—・びる」
２すたれる。衰亡する。
「いと異様(ことやう)に、—・びて侍るなれば」〈枕・一八五〉
３死ぬ。
「其の人の—・びたらば其の国はあきなん」〈平家・一〉</t>
        </is>
      </c>
      <c r="D7785" t="inlineStr">
        <is>
          <t>滅びるだろ；滅びるなら；滅びる可能性；滅びることなく；滅びるでしょ</t>
        </is>
      </c>
      <c r="E7785" t="inlineStr">
        <is>
          <t>滅亡；破滅；倒れる；失墜；滅ぶ</t>
        </is>
      </c>
      <c r="F7785" t="inlineStr">
        <is>
          <t>必ず滅びる；滅びるしかない</t>
        </is>
      </c>
      <c r="H7785" t="n">
        <v>29</v>
      </c>
      <c r="I7785" t="inlineStr">
        <is>
          <t>私が本当に太陽へ顔を向けられるためには、世界が滅びなければならぬ。；しかしそれもこれも滅びぬものに較べれば皆夢のようなものかも知れぬ。；儒教を基礎となした江戸時代の文化は滅びた後まで国民の木鐸となった。；儒教を基礎となした江戸時代の文化は滅びた後まで国民の木鐸となつた。；俳諧の滅びるまではおそらく日本が完全に赤化する日は来ないであろう。；神々は人間の概念でいうような死を迎えても決して滅びることはない。；天の二竜 三千年前の事件で都が滅びたときに元の里から外に移住した竜族。；だがそう思いつつ、木蘭はなお本気で隋が滅びるとは考えられずにいた。；もし神がいないのなら、彼女は滅びるがいい、生きていて何になるだろう。；過去に滅びを繰り返した世界のCITYと呼ばれる時代を描いた作品。；現実は滅びても心の中に印象されたものはいつまでもいつまでも残つてゐる。；この戦いで滅びの危機を経験した人類はやがて地球外に移住する計画を実行する。；しかし、人々が魔法を信じなくなり、魔法の国は力を失い滅びつつあった。；豐臣家は二世で滅びても、太閤の英雄たることは否定出來ぬではないか。；しかし、ほかの臣たちは信じなかったので、ほとんど滅びそうであった。；この惑星が滅びるまで、彼の時間であと十二日を残すばかりであった。；滅びを回避するには、かつて滅ぼした10のGの概念の力が必要だった。；ただ彼の計算式の答えが『この土地で祖が滅びる』という物だっただけ。；第二の太陽は、天が我々の上に落ちすべての生物をおし殺したときに滅びた。；しかも他者の所有は同時に無に打勝つた新たなる滅びぬ自己の所有である。；結局は、滅びるのがほんの少し遅くなるぐらいのことでしかないのだ。；蛇人間の奴隷であったヴーアミ族は、主人が滅びたことで解放される。；信じて洗礼を受ける者は救われるが、信じない者は滅びの宣告を受ける。；ここには滅びゆく火星の過ぎさった古代の光景が展開しているからだ。；形態は滅びるといっても、それは、波が引いて砕けるのと同じことである。；古いものが滅びてしまったのに、新しいものがまだ生れないなんて!；御二方の身命を捧げられた大伽藍は、一朝にして滅びて行ったのである。；まどかが夢で見た、やがて来る滅びの運命は変えることができるのだろうか?；古代ギリシャのストア派も、世界はやがて滅びまた再生されると考えた。</t>
        </is>
      </c>
      <c r="J7785">
        <f>HYPERLINK("https://www.weblio.jp/content/滅びる", "词义详情")</f>
        <v/>
      </c>
      <c r="K7785">
        <f>HYPERLINK("https://yourei.jp/滅びる", "查看例句")</f>
        <v/>
      </c>
    </row>
    <row r="7786">
      <c r="A7786" t="inlineStr">
        <is>
          <t>滅ぶ</t>
        </is>
      </c>
      <c r="B7786" t="inlineStr">
        <is>
          <t>成功</t>
        </is>
      </c>
      <c r="C7786" t="inlineStr">
        <is>
          <t>読み方：ほろぶ
［動バ五（四）］「滅びる」に同じ。「美しい自然が—・ぶ」
［動バ上二］「ほろびる」の文語形。</t>
        </is>
      </c>
      <c r="D7786" t="inlineStr">
        <is>
          <t>滅ぶべき(5%)；滅ぶしかない</t>
        </is>
      </c>
      <c r="E7786" t="inlineStr">
        <is>
          <t>滅亡；絶滅；破滅；倒れる；廃絶</t>
        </is>
      </c>
      <c r="H7786" t="n">
        <v>29</v>
      </c>
      <c r="I7786" t="inlineStr">
        <is>
          <t>確かに古代王国は強大な魔法の失敗によって滅んだと言えなくもないわ。；彼らの中には、古代王国が滅んでなお存在しつづけている者もいるという。；その為ならば、自分以外の世界中の人間が滅んでもいいと考えていた。；とにかくそのシステムのおかげで東京は生き残り、あとの世界は滅んだ。；おまえ達がみんな滅んだのを見届けたなら、私も一緒に燃えてしまおう。；その王家がどこかで滅んだ後も、住人はこの地で繁栄を続けていること。；五百年ものあいだに、いくつもの王国が生まれ、あるいは滅んでいった。；そしてそれが真実ならば、人類はとっくの昔に滅んでしまっているはずだ。；ヒッタイト帝国が滅んだ後は、と呼ばれる独立した都市国家群になった。；ヨーロッパでさえも、世界が滅んで終わりだと思ってるヒトが多いものよ。；しかし根の一族も完全に滅んだわけではなく、復活の機会を待っていたのである。；それにひきかえ、あの人々は、自分の心の傲りから身を滅ばしたのです。；冬子「滅んだんじゃないわ」 とんでもなく哲学的な答えが戻ってきた。；だけどあの場所に林檎の木がなくなったら村も滅ぶって言われてるの。；しかし、光と闇は表裏一体でありどちらか一方だけが滅ぶことはない。；世界が滅ぶかどうかより、今日、明日を生き抜くほうが肝心なのである。；八九寺が生きている所為で世界が滅んだなんて理屈は、絶対に認めない。；滅んだ国を再興したいとも、離散した民を集めたいとも言わなかった。；放っておけば、先生のおっしゃる剣術そのものが滅んでしまうでしょう。；まあ国の前に、滅んでいるのは僕の好感度のような気もするけれど。；滅んだ世界と聞いて、人はどんな世界をイメージするのだろうか。；最後の一人まで戦って、日本が滅んだらそれでいいじゃあねえか。；マリが滅んだあとも勢力圏を拡大しオリエントの大国の地位を維持した。；これにより、それまでの音素文字に存在した頭音の原理はついに滅んだ。；かつては広く使われ、現在は衰退したが完全に滅んだわけではない。；古の国が滅んだ原因を見ますに、その殆どが婦人に由来します。；しかし肉体が滅んでいくのに、精神はそれまでになく強くなった。；仮りに僕が言うようなものがあったとしても、滅んでしまったわけだ。；われわれ人間がこの世に生をうけ、成長しやがて死に滅んでいく。</t>
        </is>
      </c>
      <c r="J7786">
        <f>HYPERLINK("https://www.weblio.jp/content/滅ぶ", "词义详情")</f>
        <v/>
      </c>
      <c r="K7786">
        <f>HYPERLINK("https://yourei.jp/滅ぶ", "查看例句")</f>
        <v/>
      </c>
    </row>
    <row r="7787">
      <c r="A7787" t="inlineStr">
        <is>
          <t>滅ぼす</t>
        </is>
      </c>
      <c r="B7787" t="inlineStr">
        <is>
          <t>成功</t>
        </is>
      </c>
      <c r="C7787" t="inlineStr">
        <is>
          <t>読み方：ほろぼす
［動サ五（四）］滅びるようにする。滅亡させる。また、台無しにする。「国を—・す」「酒で身を—・す」
[可能]ほろぼせる</t>
        </is>
      </c>
      <c r="D7787" t="inlineStr">
        <is>
          <t>滅ぼすべく；滅ぼすべき；滅ぼすだろ</t>
        </is>
      </c>
      <c r="E7787" t="inlineStr">
        <is>
          <t>壊滅；破る；大破；撃つ；殲滅</t>
        </is>
      </c>
      <c r="F7787" t="inlineStr">
        <is>
          <t>打ち滅ぼす；撃ち滅ぼす；焼き滅ぼす</t>
        </is>
      </c>
      <c r="H7787" t="n">
        <v>29</v>
      </c>
      <c r="I7787" t="inlineStr">
        <is>
          <t>大勢力であっても隙を衝かれて小勢力に滅ぼされるという事態も起こる。；彼は無謀にも彼の領内に侵入して来た敵を、立派に滅ぼすことができた。；あの一発の爆弾が家と両親を滅ぼすまでは、りっぱな家庭にあったのだ。；そのとき、自分の国の大臣の軍が弟王の国に攻めてきて、これを滅ぼした。；祭司長・学者らはこれを聞き、何とかしてイエスを滅ぼそうと相談した。；村の伝承ではマハゲラと呼ばれ、国を滅ぼす力を持つと言われていた。；しかし、太陽神はあまりにも強大な力をもっていたため地球を滅ぼした。；おまえがその気になって いれば、国をいくつも滅ぼすことができただろう。；そうすりゃ、この手にかかっちゃ、お前は身を滅ぼすよりほかあるめえ。；きみも知っているだろうが、魂を滅ぼすものは、いつでも肉体なのだ。；あんな男一人滅ぼすのには余る位の力を、持っているように思います。；あんな男一人滅ぼすのには余る位の力を、持つてゐるやうに思ひます。；現実に発達した科学の力が、いずれ我々の身をも滅ぼしていくのではないかと。；これらの融和策を行わなかったゆえに李自成・呉三桂に明が滅ぼされた。；彼が生涯をかけて滅ぼそうとしたのは、東京という土地などではない。；さすがに後に博打で身を滅ぼすだけのことはあって、なかなか読みが鋭い。；しかしこれは神が私どもを滅ぼそうとしていられるのではない。；滅びを回避するには、かつて滅ぼした10のGの概念の力が必要だった。；いやびっくりさせるばかりじゃない、世界を滅ぼすことだってできる。；文明が発達して、人間が自分達自身を滅ぼすなんて事は簡単になってしまった。；あるいは目の前の敵を滅ぼすことしか頭にないのかもしれない。；魔王は戦争で敗れることはあっても、決して滅ぼされることはなかった。；「世界を滅ぼす闇にも、世界を救う光にもなる」との占いが出たからだ。；「兄たちは自分の身を滅ぼそうとしているのです」と彼は語をついだ。；これは、天が私を滅ぼそうとしているためであり、戦い方のせいではない。；この怪物を滅ぼすことは英雄ヘラクレスの十二の仕事の一つだった。；夜明けの到来時にまだ半分に分かれたままでいると彼女は滅ぼされる。；富は魂を滅ぼすという考えは、クリストフの頭に深く根をおろしていた。；人間だけを、人類だけを滅ぼそうという地球の意志を感じることができる。</t>
        </is>
      </c>
      <c r="J7787">
        <f>HYPERLINK("https://www.weblio.jp/content/滅ぼす", "词义详情")</f>
        <v/>
      </c>
      <c r="K7787">
        <f>HYPERLINK("https://yourei.jp/滅ぼす", "查看例句")</f>
        <v/>
      </c>
    </row>
    <row r="7788">
      <c r="A7788" t="inlineStr">
        <is>
          <t>ぼろぼろ</t>
        </is>
      </c>
      <c r="B7788" t="inlineStr">
        <is>
          <t>成功</t>
        </is>
      </c>
      <c r="C7788" t="inlineStr">
        <is>
          <t>［副］(スル)
１粒状の物がこぼれ落ちるさま。「飯粒を—（と）こぼす」「大粒の涙を—（と）こぼす」
２もろく崩れたり、砕けたりするさま。「この岩はすぐ—（と）砕ける」
３水分や粘りけがなく、ばらばらになっているさま。「—（と）した冷や飯」
４知られていなかった事実が次々と表に出るさま。「余罪が—出てくる」
［形動］
１ひどくいたんでいるさま。「—な本」「—な社屋」
２水分がなく、ばらばらであるさま。「乾いて—になったパン」
３心身とも疲れきっているさま。「身も心も—だ」
［アクセント］はボロボロ、はボロボロ。</t>
        </is>
      </c>
      <c r="D7788" t="inlineStr">
        <is>
          <t>ぼろぼろこぼし；ぼろぼろ流し；ぼろぼろにな；ぼろぼろ泣い；ぼろぼろ落ち</t>
        </is>
      </c>
      <c r="E7788" t="inlineStr">
        <is>
          <t>ふらふら；ボロボロ；傷だらけ；くたくた；へとへと</t>
        </is>
      </c>
      <c r="F7788" t="inlineStr">
        <is>
          <t>涙がぼろぼろ；もうぼろぼろ；すっかりぼろぼろ；身も心もぼろぼろ；みんなぼろぼろ</t>
        </is>
      </c>
      <c r="H7788" t="n">
        <v>29</v>
      </c>
      <c r="I7788" t="inlineStr">
        <is>
          <t>てっぺんに、ぼろぼろになってあちこち穴のあいた石の球が乗っている。；家はもうぼろぼろだったから、人がいなくなって結構経っていそうだ。；大変な困難の末、ぼろぼろの姿になりながらも彼らはそれに成功した。；彼はぼろぼろに破れて、ボタンもとれてしまった黒の燕尾服を着ていた。；水を吐き出した岩はもろくなるのか、砂のようにぼろぼろと崩れていく。；被弾して、ぼろぼろになった機体がゆっくりと補給車へと向かってゆく。；才能はあるけどわたしがいなければあなたはぼろぼろに壊れてしまう。；着ているものは、ぼろぼろで、もとの形を見定めることもできなかった。；材質も不明なほどに古びて、触ればぼろぼろに崩れてしまいそうである。；しかし子供は、靴がぼろぼろになるまで何度も歩いて家に帰ってきてしまう。；泥だらけの頬に、涙をぼろぼろと流しながら、幼女は叫びつづけている。；地図に書いてあるぼろぼろの観音堂をすぎると、もう初冬の世界である。；ぼくとおチビは、その古いぼろぼろになった本の上にとびうつってみた。；隣の教会のぼろぼろのピアノで毎日下さらいをせねばならなかった。；ぼろぼろになった二番機を抱え起こし、トレーラーへと引きずってゆく。；ワンピースはぼろぼろで袖はなくなるし、時計だって傷がついたのよ。；盾はあちこちがへこんでおり、古代の剣はぼろぼろに刃こぼれしていた。；数十日して太郎が戻ってくると、船の中の草履はぼろぼろのものになっていた。；春奈の世界が、春奈の見ている目の前で、ぼろぼろと崩れ落ちていった。；あなたはそのまま苦痛に苛まれ、ぼろぼろになって死ぬべきなのです。；朝、鏡の前に立ったら肌がぼろぼろに荒れていたので決心がついた。；どこへ行くのか、二人共ぼろぼろのシャツを着て、裸足で歩いている。；ぼろぼろになった状態でようやく立っており、つきつけられた死に恐怖している。；友と言えばごみの山で見つけたぼろぼろの雑誌だけで、そこから字を覚えた。；かれは古船の帆布やその他の古布のぼろぼろになったのを着ていた。；しかし、土のなかに長いあいだあったため、さびてぼろぼろになっていた。；彼れは腹がけの丼の中を探り廻わしてぼろぼろの紙の塊をつかみ出した。；ぼろぼろの体で暗い道を歩きながら、その様子を微笑ましく想像する。；そこの所で川はまるで白と水色とぼろぼろになって崩れ落ちてゐた。</t>
        </is>
      </c>
      <c r="J7788">
        <f>HYPERLINK("https://www.weblio.jp/content/ぼろぼろ", "词义详情")</f>
        <v/>
      </c>
      <c r="K7788">
        <f>HYPERLINK("https://yourei.jp/ぼろぼろ", "查看例句")</f>
        <v/>
      </c>
    </row>
    <row r="7789">
      <c r="A7789" t="inlineStr">
        <is>
          <t>本</t>
        </is>
      </c>
      <c r="B7789" t="inlineStr">
        <is>
          <t>成功</t>
        </is>
      </c>
      <c r="C7789" t="inlineStr">
        <is>
          <t>読み方：ほん
［音］ホン（呉）（漢）　［訓］もと
［学習漢字］1年
〈ホン〉
１草木の根や茎。植物。「本草(ほんぞう)／草本・藤本(とうほん)・木本・禾本(かほん)科」
２物事の根源。もと。「本源・本質・本性・本能・本末／元本・基本・根本・資本・大本・張本・抜本」
３中心となる部分。主となる。「本業・本社・本州・本宅・本店・本部・本論」
４当の。この。わが。「本案・本官・本件・本日・本書・本人・本邦」
５正式の。本当の。「本意・本妻・本式・本名・本物(ほんもの)」
６もとにすべきもの。てほん。「標本・見本(みほん)」
７書物。文書。「異本・絵本・刊本・脚本・原本・古本(こほん・ふるほん)・写本・春本・正本(しょうほん・せいほん)・抄本・新本・製本・謄本・読本・配本・副本・返本・和本・単行本」
〈もと〉「大本・旗本」
［名のり］なり・はじめ</t>
        </is>
      </c>
      <c r="D7789" t="inlineStr">
        <is>
          <t>本形式(3%)；本大会(2%)；本番組；本級；本系列</t>
        </is>
      </c>
      <c r="E7789" t="inlineStr">
        <is>
          <t>作品；元；制作；作；書</t>
        </is>
      </c>
      <c r="F7789" t="inlineStr">
        <is>
          <t>三本；二本；単行本；五本；本事件</t>
        </is>
      </c>
      <c r="G7789" t="inlineStr">
        <is>
          <t>本来；本当に；本人；本社；本部</t>
        </is>
      </c>
      <c r="H7789" t="n">
        <v>29</v>
      </c>
      <c r="I7789" t="inlineStr">
        <is>
          <t>これらの問題を総合的に解決するために導入されたのが本形式である。；本説は下記に述べる生化学分野からのアプローチからも支持されている。；本を読む場合はページをめくる事によって次々と情報を得る事が出来る。；ここでペレルマンが本賞を受賞するのかどうかが一部の関心を呼んでいた。；またバックナンバーも通常の本と同じように流通し、買うことが出来る。；本シリーズはウォー・シミュレーションゲームのジャンルに分類される。；だが、その内容は、紙の本では記しきれないものに限られているようだ。；当時の担当編集者とは、よく映画や漫画以外の本についての話をしていた。；本プロジェクトへ参加を表明される方は/参加者へ署名をお願いします。；本鉄道は路線延長を申請または計画したが、いずれも実現していない。；本記事では、かつてこの路線を運営していた多摩鉄道についても述べる。；これが明確に子どもに向けて書かれた最初の絵入り本であると考えられている。；本シリーズの一部は第1作とその他の東宝特撮作品の世界観を反映した。；本研究は治験者が実際に瞑想を行い、ペアワイズ比較を用いて行われた。；家庭用の数本用の小型のものから、大型の数十本入るものまである。；北宋に入ると木版印刷は広く普及し、多くの本が印刷されるようになった。；太陽の的には三本足の烏が描かれ、月の的にはウサギが描かれることが多い。；一方、かつては読み捨てられていたような本が高騰することもある。；この本は手紙や写真やその他真実を物語る多くの資料によって書かれている。；出版社はトールキンの腕前に満足し、本のカバーのデザインも依頼した。；ただし、本の帯などでミステリ作品にあるまじき種明かしがされている。；資料を手にとって見ることができ、実際の本を見ながら探すことができる。；本シリーズに登場するアイテムは、主に次のように分類される。；膜には、二重らせんよりも一本鎖のDNAへの吸着性が強いものを選ぶ。；ホームの西側には線路一本分の土地があり、飯能短絡線との合流用とされていた。；一九五五年に作家出版社本が出版され、以降標点本として広く流布した。；高校一年生の時にサッカー部を辞め、漫画一本に集中することに決める。；宋代話本の特色は白話小説と呼ばれ、白話を用いて描写される点にある。；同部屋の力士は疑似的な「家族」であることから、本割では対戦しない。</t>
        </is>
      </c>
      <c r="J7789">
        <f>HYPERLINK("https://www.weblio.jp/content/本", "词义详情")</f>
        <v/>
      </c>
      <c r="K7789">
        <f>HYPERLINK("https://yourei.jp/本", "查看例句")</f>
        <v/>
      </c>
    </row>
    <row r="7790">
      <c r="A7790" t="inlineStr">
        <is>
          <t>盆</t>
        </is>
      </c>
      <c r="B7790" t="inlineStr">
        <is>
          <t>成功</t>
        </is>
      </c>
      <c r="C7790" t="inlineStr">
        <is>
          <t>読み方：ぼに
《「ぼん」の撥音「ん」を「に」と表記したもの》
１盂蘭盆(うらぼん)。ぼん。
「十五、六日になりぬれば、—などするほどになりにけり」〈かげろふ・上〉
２盆の供養の布施物。
「御—どもは例の数候ふや」〈宇津保・内侍督〉</t>
        </is>
      </c>
      <c r="D7790" t="inlineStr">
        <is>
          <t>盆休み；盆茣蓙；盆唐；盆棚；盆興行</t>
        </is>
      </c>
      <c r="E7790" t="inlineStr">
        <is>
          <t>お盆；トレイ；トレー；一錠；御盆</t>
        </is>
      </c>
      <c r="F7790" t="inlineStr">
        <is>
          <t>水盆；大きな盆；朱盆；丸盆；莨盆</t>
        </is>
      </c>
      <c r="G7790" t="inlineStr">
        <is>
          <t>盆栽；盆踊り；盆唐線；盆踊；盆暮</t>
        </is>
      </c>
      <c r="H7790" t="n">
        <v>29</v>
      </c>
      <c r="I7790" t="inlineStr">
        <is>
          <t>余は更に此の土地にも盆には踊があるかと聞いたらありませんといつた。；盆休みが過ぎてから、お雪は師匠のところへ来て又こんなことを云った。；南北方向へ断裂した湖盆内構造をしており、北東方向へ長くなっている。；建物といふよりは盆の聖霊棚のやうな簡単なものに屋根だけはついてゐた。；道子は今年もいつか盆の十三日になったのだと初めて気がついた時である。；人を訪問に出る事はあるが、年始とか盆とかの廻礼などは絶対にしない。；菓子盆ごと貰って、一つ食べては後を自分の手でしまって置きたがった。；彼等は盆を運ぶための、腕のような二つの大きな爪状のものを持っている。；そうして盛って出すが、盆は用いないで、椀の底の方を手で持って出す。；その翌年も盆になると足音が聞こえ何日も続いたので妻の方は発狂して死んだ。；盆に載せた土鍋と茶碗を持って席を立つ前、細君はもう一度こういった。；三沢は盆を持ったまま、引く事もできず進む事もできない態度で立っていた。；すなわちこの土地では盆の後先に、両度の燈籠送りをしているのである。；そして、小さな銀盆の上に洋酒の瓶とグラスを二つのせたのを持っていた。；そして、小さな銀盆の上に洋酒の壜とグラスを二つのせたのを持っていた。；それが盆に行う土地と正月の十五日にするものとが入交っているのである。；三度青年が振り返った時、老人は腎臓を掌に載せ、銀の盆を待っていた。；待つことしばらくして、盆で突き出したやつを見ると、丼がたった一つ。；女が坐って盆をすすめると客のような男がぺこぺこ頭を下げているのが見えた。；彼女はその盆をテーブルの隅へ置いてからお辞儀をして出て往った。；扉がひらいて、一人の機械人間が、銀の盆の上に朝食をのせてあらわれた。；そして鯛の刳り盆を見ると、てんでに言ひ合はせたやうに首をひねつた。；私は彼女を呼んで、何故盆をここに置いて行くのかと質ねた。；一年に二度行はれたらしい様子も、盆の行事に、其名残りが見えて居る。；盆でも暮でもないのに、それも疑へば變でないことでもございません。；葬儀以外にも盆や正月などに剣菱の酒樽が神社に奉納されることも多い。；盆が過ぎてすぐ内山自身が一つの葬式を出してやつてくれと栄一に依頼した。；六畳の室には、茶箪笥の上にいつもの通り茶器や菓子盆が並んでいた。；そういえば去年の盆前にも一度二十両しぼり出しに行ったことがあったっけ。</t>
        </is>
      </c>
      <c r="J7790">
        <f>HYPERLINK("https://www.weblio.jp/content/盆", "词义详情")</f>
        <v/>
      </c>
      <c r="K7790">
        <f>HYPERLINK("https://yourei.jp/盆", "查看例句")</f>
        <v/>
      </c>
    </row>
    <row r="7791">
      <c r="A7791" t="inlineStr">
        <is>
          <t>本～</t>
        </is>
      </c>
      <c r="B7791" t="inlineStr">
        <is>
          <t>成功</t>
        </is>
      </c>
      <c r="C7791" t="inlineStr">
        <is>
          <t>読み方：ほん
［音］ホン（呉）（漢）　［訓］もと
［学習漢字］1年
〈ホン〉
１草木の根や茎。植物。「本草(ほんぞう)／草本・藤本(とうほん)・木本・禾本(かほん)科」
２物事の根源。もと。「本源・本質・本性・本能・本末／元本・基本・根本・資本・大本・張本・抜本」
３中心となる部分。主となる。「本業・本社・本州・本宅・本店・本部・本論」
４当の。この。わが。「本案・本官・本件・本日・本書・本人・本邦」
５正式の。本当の。「本意・本妻・本式・本名・本物(ほんもの)」
６もとにすべきもの。てほん。「標本・見本(みほん)」
７書物。文書。「異本・絵本・刊本・脚本・原本・古本(こほん・ふるほん)・写本・春本・正本(しょうほん・せいほん)・抄本・新本・製本・謄本・読本・配本・副本・返本・和本・単行本」
〈もと〉「大本・旗本」
［名のり］なり・はじめ</t>
        </is>
      </c>
      <c r="H7791" t="n">
        <v>0</v>
      </c>
      <c r="J7791">
        <f>HYPERLINK("https://www.weblio.jp/content/本～", "词义详情")</f>
        <v/>
      </c>
      <c r="K7791">
        <f>HYPERLINK("https://yourei.jp/本～", "查看例句")</f>
        <v/>
      </c>
    </row>
    <row r="7792">
      <c r="A7792" t="inlineStr">
        <is>
          <t>本格</t>
        </is>
      </c>
      <c r="B7792" t="inlineStr">
        <is>
          <t>成功</t>
        </is>
      </c>
      <c r="C7792" t="inlineStr">
        <is>
          <t>読み方：ほんかく
［名・形動］本来の格式。もともとの方式。また、それに従っているさま。本式。「流儀の—にのっとる」「—な（の）床の間」「—派」</t>
        </is>
      </c>
      <c r="D7792" t="inlineStr">
        <is>
          <t>本格的(73%)；本格化する(3%)；本格導入；本格採用；本格デビュー</t>
        </is>
      </c>
      <c r="E7792" t="inlineStr">
        <is>
          <t>本格的；本格的な；本式の</t>
        </is>
      </c>
      <c r="F7792" t="inlineStr">
        <is>
          <t>本格参戦；本格稼働；本格進出；本格化；本格稼動</t>
        </is>
      </c>
      <c r="G7792" t="inlineStr">
        <is>
          <t>本格派；本格化；本格運行；本格ミステリ；本格推理小説</t>
        </is>
      </c>
      <c r="H7792" t="n">
        <v>29</v>
      </c>
      <c r="I7792" t="inlineStr">
        <is>
          <t>その後事故や問題などは発生しなかったことから本格導入に移行した。；実際の企業・工場で使用される本格的な機械が多数設置されている。；三波にとってはこの番組が初めての本格的な歌謡番組での司会であった。；なお翌年、当駅で日本で初めての本格的な駅弁が発売されたとされる。；しかし英仏軍とドイツ軍の間に本格的な戦闘は発生していなかった。；日本とチベットの本格的な接触・交流が始まるのは近代以降である。；家電製品は戦前から登場していたものの、本格的な普及は戦後となる。；また本格的な四川料理には欠かすことの出来ない調味料のひとつである。；この計画に基づき2010年度から本格的な調査や対策が行われた。；本格的な開発が着手されたのは光緒初年に民官が設置された後である。；この為、フェリペ2世は遂にイングランドとの本格的な戦争を決意する。；その後本格的にプロの道に進み、1949年にレコーディングを初経験。；同時期に古代教会内でも正典化の議論が本格化したと推定される。；ワインとチーズ文化およびパティスリーの世界も本格的な開明を迎えた。；本大会では、ドーピング問題に本格的に注目の集まった初の大会ともいえる。；日本では、後楽園球場に初の本格的な電光式スコアボードが導入された。；運転室はそのまま残した状態で、本格的な客室化改造などはされていない。；つまり蔣経国は万竹小学校で初めて本格的な近代的な教育を受けることになった。；その工事中、陰陽連絡線として本格的な鉄道建設の計画が持ち上がった。；しかし、本格的な経営は困難な状態で、西域都護を派遣できずにいた。；これは、日本における本格的なフリージャーナリストの始まりであった。；律令制導入の動きが本格化したのは、660年代に入ってからである。；浄瑠璃が本格的な芸術性を備えるようになるのは江戸時代に入ってからである。；しかし、電気に関する研究が本格化するのは19世紀になってからである。；人気ソフトウェアは本格的な商売を目指すようになった。；艦砲の導入については本格的な導入は16世紀に入ってからとなった。；その後9月30日に朝鮮総督府官制が制定され本格的な機構が設置された。；本格的に外国人避暑客が減少したのは、戦後に入ってからである。；アメリカで本格的に流行したのは、第二次世界大戦後のことである。</t>
        </is>
      </c>
      <c r="J7792">
        <f>HYPERLINK("https://www.weblio.jp/content/本格", "词义详情")</f>
        <v/>
      </c>
      <c r="K7792">
        <f>HYPERLINK("https://yourei.jp/本格", "查看例句")</f>
        <v/>
      </c>
    </row>
    <row r="7793">
      <c r="A7793" t="inlineStr">
        <is>
          <t>本格的</t>
        </is>
      </c>
      <c r="B7793" t="inlineStr">
        <is>
          <t>成功</t>
        </is>
      </c>
      <c r="C7793" t="inlineStr">
        <is>
          <t>読み方：ほんかくてき
［形動］
１本来の格式・方式に従うさま。本式。「剣道を—に習う」
２本調子になるさま。「年明けから—に活動する」「—な暑さ」</t>
        </is>
      </c>
      <c r="D7793" t="inlineStr">
        <is>
          <t>本格的修理；本格的反攻；本格的かつ</t>
        </is>
      </c>
      <c r="E7793" t="inlineStr">
        <is>
          <t>正式；本当の；まとも；本式；プロパー</t>
        </is>
      </c>
      <c r="F7793" t="inlineStr">
        <is>
          <t>本格的トーキー；本格的に女優業；本格的航空母艦；本格的に描き始め；本格的に演劇活動</t>
        </is>
      </c>
      <c r="H7793" t="n">
        <v>29</v>
      </c>
      <c r="I7793" t="inlineStr">
        <is>
          <t>収穫用機械が本格的に導入されるのは1950年代になってからである。；本格的に使用された初の戦争は1936年からのスペイン内戦とされる。；修史事業が本格的になるのは、藩主に就任した寛文期以後のことである。；ゴルフを本格的にしたいがためにギターをやめたという逸話があるほど。；また本格的修理をする場合は、ドイツ本国に戻る事も検討されていた。；日本において按摩が本格的に興隆するのは江戸時代に入ってからである。；野球を本格的に始めてからは誰にも見せないようにしていた。；吉野川の河川開発が本格的に開始されたのは江戸時代に入ってからのことである。；結局、武術の稽古を本格的に始めるのは大学進学後になってからになる。；チーズが本格的に普及するのは第二次世界大戦の終結後のことである。；台湾が本格的に開発されたのは日本統治時代になってからである。；本格的に演劇をやりたいと思うようになり、2年生で大学を中退して上京。；この間、16歳で短篇が雑誌に掲載され、本格的に作家活動をはじめる。；この事実はこの城が初めて本格的に石垣を積んだ城であったことを示している。；翌年の同作の発表をもってジャレットは本格的に演奏活動を再開。；彼はその機械を本格的に開発する資金を集められなかった。；翌1996年の秋から状態に良化が見られ、本格的に戦線に復帰する。；高校卒業後に声優の勉強を本格的に始めようとしたが、親の猛反対を受ける。；本格的に登場を始めるのはボストン大学を卒業後の1999年からである。；この事件を機にキッドは本格的に海賊行為を行っていくことになる。；この事件を機に富士川らの薦めで日本哲学思想史の本格的研究を始めた。；拉致問題の報道が本格的になると同時に国民の関心も徐々に高まっていった。；一般庶民に普及したのは江戸時代で、本格的に重箱が製造されてからである。；中学に入学したころから本格的に歌手になることを決意。；日軍の攻撃本格的となるや、わが守備軍は正当防衛の目的をもって抵抗を開始す。；それまでの職業作家的な曲作りから、本格的ロックに音楽性が変化する重要作。；また、1887年には東京専門学校に入学して本格的に文学の道を歩む。；実際、チームが危機に陥った2006年には本格的に復帰している。；本格的に参加を始めた第5次作戦でも竹が続けて投入された。</t>
        </is>
      </c>
      <c r="J7793">
        <f>HYPERLINK("https://www.weblio.jp/content/本格的", "词义详情")</f>
        <v/>
      </c>
      <c r="K7793">
        <f>HYPERLINK("https://yourei.jp/本格的", "查看例句")</f>
        <v/>
      </c>
    </row>
    <row r="7794">
      <c r="A7794" t="inlineStr">
        <is>
          <t>本館</t>
        </is>
      </c>
      <c r="B7794" t="inlineStr">
        <is>
          <t>成功</t>
        </is>
      </c>
      <c r="C7794" t="inlineStr">
        <is>
          <t>読み方：ほんかん
１主となる建物。
２この館。
［アクセント］1はホンカン、2はホンカン。</t>
        </is>
      </c>
      <c r="D7794" t="inlineStr">
        <is>
          <t>本館前；本館内；本館棟；本館正面；本館thumb</t>
        </is>
      </c>
      <c r="F7794" t="inlineStr">
        <is>
          <t>新本館；東京本館；店本館；大学本館；病院本館</t>
        </is>
      </c>
      <c r="H7794" t="n">
        <v>29</v>
      </c>
      <c r="I7794" t="inlineStr">
        <is>
          <t>その後に施設はユニーへ売却され、本館との一体的な運営方式となった。；本館の前には外来食堂の建物があり、その横にはベンチが置かれている。；本館の建物と隣接した場所につくられるものは別館といい、区別される。；エアコンは、本館のほぼ全ての教室、別館の一部教室に設置されている。；ミュンヘンの中心にある位置し、ミュンヘン大学の歴史的な本館がある。；この場所にあった旧女子師範学校を改装して埼玉県立図書館本館とした。；当初、改装すると表明していた本館の西半分を建て替えると発表した。；都道府県庁所在地でない都市に本館が置かれている場合は太字で示す。；本館の展示は地域展示と通文化展示に大きく分かれている。；本館と別館は共に平成19年度の県の景観形成重要建造物に指定された。；本館の低層部には当初テレビ・ラジオ合わせて3つのスタヂオ があった。；閉鎖後、本館・別館とも解体され、別館跡地はマンションが建設された。；旧制高校本館の一部と講堂が現存し、登録有形文化財に登録されている。；エレベーターは設置されておらず、本館からの連絡通路もない。；新本館完成の時は記念公演をセンターホールにて行った。；以前は、中等部の生徒が利用していた校舎のため、中学校本館と呼ばれていた。；本館と接続されているが現在は外からしか入れない。；これに伴い、日帰り入浴は「ホテル森の風鶯宿」本館にて対応している。；山頂の白亜殿が建てられる以前は、本館が光瑞の活動の中心であった。；使用しないときは、本館駅出てすぐの車両基地もしくは先端駅に留置される。；また、この本館の各国室には、大谷探検隊の収集品も展示されていた。；同年10月25日付でトミダヤの無人販売も撤退し、本館は閉鎖された。；フランク・ロイド・ライト設計の帝国ホテル旧本館食堂の柱の一部も展示。；なお、この建物は、今もなお大英博物館の本館として使用されている。；本館及びセカンドが大規模小売店舗立地法対象の大規模施設となっている。；近年新校舎が竣工したが、創立時より所在する本館も大切に使い続けられている。；ただし店舗名称はマルイ本館オープンと同日にいち早く変更された。；当初は、本館西側に仙台市の施設「女性センター」の建設が計画されていた。；特に最もデザイン的に類似点が多いとされるのが、モスクワ大学本館である。</t>
        </is>
      </c>
      <c r="J7794">
        <f>HYPERLINK("https://www.weblio.jp/content/本館", "词义详情")</f>
        <v/>
      </c>
      <c r="K7794">
        <f>HYPERLINK("https://yourei.jp/本館", "查看例句")</f>
        <v/>
      </c>
    </row>
    <row r="7795">
      <c r="A7795" t="inlineStr">
        <is>
          <t>本気</t>
        </is>
      </c>
      <c r="B7795" t="inlineStr">
        <is>
          <t>成功</t>
        </is>
      </c>
      <c r="C7795" t="inlineStr">
        <is>
          <t>読み方：ほんき
［名・形動］
１まじめな気持ち。真剣な気持ち。また、そのさま。「—を出す」「—で取り組む」
２めんこなどの子供の遊びで、勝てば相手の出したものを取れるというルール。ほんこ。</t>
        </is>
      </c>
      <c r="D7795" t="inlineStr">
        <is>
          <t>本気でそう(2%)；本気じゃない；本気で言ってる；本気度；本気で思ってる</t>
        </is>
      </c>
      <c r="E7795" t="inlineStr">
        <is>
          <t>真；実；熱心；正直；真剣</t>
        </is>
      </c>
      <c r="F7795" t="inlineStr">
        <is>
          <t>なかば本気；本気でやばい；本気で死の；本気で悔し；本気で思いこん</t>
        </is>
      </c>
      <c r="G7795" t="inlineStr">
        <is>
          <t>本気汗；本気戦隊ガチレンジャー；本気でオンリーユー；本気出す</t>
        </is>
      </c>
      <c r="H7795" t="n">
        <v>29</v>
      </c>
      <c r="I7795" t="inlineStr">
        <is>
          <t>自分で本気で何かをやると決めたのはこれが初めてだったと語っている。；あんな先生の言う事は真面目になって本気で聞いていられるものでない。；本気で神になると信じていた訳ではなく、彼の最後のユーモアであった。；小さなことからでも、確実に世の中を変えていけると本気で思っている。；この町に来てから本気に誰ッかが見ていた腕前の話がききてもんだわ。；普段内村がほとんど料理をしない事もあり南原は本気で悔しがっていた。；社会人予備軍の学生に夢を持って本気で頑張っている会社を紹介したい。；今度という今度は本気になってなんとか身の振り方を付けなければならない。；教育勅語を本気で復活させかねない人物であり、非常に危険だと思います。；あの人はあの人なりに、本気で日本の青年のことを考えているにちがいないよ。；むしろ僕が登場してから彼はほん気になり出したのかも知れないよ。；生涯の中でも数度、本気で修道者になりたいと思案していた時期があった。；同じ法螺を幾度も吹いている中に、自分でも本気にしてしまうのらしい。；あの短い対面の際にもあれだけのことを言っているし、やつは本気だと思う。；だから多分博士は、張のいったことを今本気で信じているのではなかろうか。；中学・高校では、実力が近い相手がおらず本気で練習をしない時期もあった。；そして重い腰を上げ、とうとうレース活動に本気で取り組むようになった。；けれども、それ以上に進むことなんか、本気で考えたことはなかった。；私はたしかに或る程度の彼女なりに本気なものをそこに読まずにゐられなかつた。；本気で自殺を考えた田代だったが、夢枕に立った母親に止められたという。；山村教室に通い始め、本気でプロの小説家を目指すようになったという。；本気を出すと全身の色が緑になり全身から無数の目を開く。；また強い人が本気で殴るとパッドが壊れてしまうという事態が発生した。；そして彼を家へ連れもどすことについて、本気に気をもむようになった。；人はどんなに妙なことでも、それが連続して現われると、本気で信じます。；嘘から始めた喧嘩だったが、ふたりはだんだん本気になっていく。；あの人が本気になって仕事をしたら、こんにち売れないわけがない。；ポールが本気で愛した人とは死んだ兄ルイであることが示唆される。；最初私は、叔父が本気にそんなことを言っているのではなかろうと考えていた。</t>
        </is>
      </c>
      <c r="J7795">
        <f>HYPERLINK("https://www.weblio.jp/content/本気", "词义详情")</f>
        <v/>
      </c>
      <c r="K7795">
        <f>HYPERLINK("https://yourei.jp/本気", "查看例句")</f>
        <v/>
      </c>
    </row>
    <row r="7796">
      <c r="A7796" t="inlineStr">
        <is>
          <t>本国</t>
        </is>
      </c>
      <c r="B7796" t="inlineStr">
        <is>
          <t>成功</t>
        </is>
      </c>
      <c r="C7796" t="inlineStr">
        <is>
          <t>読み方：ほんごく
１その人の生まれ育った国。祖国。また、その人の国籍がある国。母国。
２植民地などに対して、その国本来の領土。「—から独立する」</t>
        </is>
      </c>
      <c r="D7796" t="inlineStr">
        <is>
          <t>本国アメリカ(2%)；本国イギリス(2%)；本国フランス；本国議会；本国以外</t>
        </is>
      </c>
      <c r="F7796" t="inlineStr">
        <is>
          <t>アメリカ本国；ドイツ本国；フランス本国；スペイン本国；オランダ本国</t>
        </is>
      </c>
      <c r="G7796" t="inlineStr">
        <is>
          <t>本国政府；本国送還；本国寺；本国人；本国法人</t>
        </is>
      </c>
      <c r="H7796" t="n">
        <v>29</v>
      </c>
      <c r="I7796" t="inlineStr">
        <is>
          <t>かつてはオランダ本国に属する特別自治体と総称される地域の一部である。；しかし、この方面の作戦はローマ本国ではあまり注意が払われなかった。；その後別ルートでヨーロッパ本国製のものも日本に伝来した可能性はある。；日本国内での放送では、本国で最初と最後のCM部分は、放送されない。；しかし2018年2月にはオランダ本国が直接統治することを決定した。；オランダは本国を失い、東インドネシアの植民地が主要な領土になった。；インド本国の他、ネパールやチベットなど周辺の地域でも行われている。；また本格的修理をする場合は、ドイツ本国に戻る事も検討されていた。；この映画は当たり、しかも本国公開から2年も経ずに外国でもヒットした。；アメリカ本国ではテレビCMや雑誌などの広告にはほとんど出演していない。；行政上はオランダ本国に属する特別自治体と総称される地域のひとつである。；この時期のモデルは本国のものに比べてカラーバリエーションが豊富である。；アメリカ本国ではベースモデルが8975ドルという低価格で登場した。；日暮吉延はこれはオーストラリア本国に向けて書かれたものとした。；特に日本では根強い人気があり、日本での発行部数は本国ドイツに次ぐ。；本国ドイツより先に中国の上海で実用線が建設され営業運転している。；アメリカでは人気が高まる一方、本国イギリスでの人気に陰りが出始めた。；前回の敗戦後、明軍では本国からの増援を得て兵力は約10万となった。；アメリカを本国とし、世界18カ国とラテンアメリカで出版されている。；本国アメリカでは、ナインティーン・イレブンと呼称されることが多い。；これは本国においても同様であり、過去のVTRは非常に貴重である。；赦免は刑期満了の他に、本国で改めて投獄・処刑するためにもなされる。；フェリペ5世はスペイン本国とアメリカ大陸の領土の間での貿易を推進した。；本国イギリスで最も商業的に成功したアルバムとなった。；レキシントンは修理のためアメリカ本国へ帰還することとなった。；本国以上の演出を行なって見せ、柿の木坂にスタジオを持っていた。；本国韓国の初期のCMやWebカタログではそれを売り文句にもしていた。；その後は23年間、本国に帰還すること無く太平洋で過ごすこととなる。；第一に、日本滞在中のドイツ人教師にドイツ本国の教育状況を伝えることである。</t>
        </is>
      </c>
      <c r="J7796">
        <f>HYPERLINK("https://www.weblio.jp/content/本国", "词义详情")</f>
        <v/>
      </c>
      <c r="K7796">
        <f>HYPERLINK("https://yourei.jp/本国", "查看例句")</f>
        <v/>
      </c>
    </row>
    <row r="7797">
      <c r="A7797" t="inlineStr">
        <is>
          <t>本質</t>
        </is>
      </c>
      <c r="B7797" t="inlineStr">
        <is>
          <t>成功</t>
        </is>
      </c>
      <c r="C7797" t="inlineStr">
        <is>
          <t>読み方：ほんしつ
１物事の根本的な性質・要素。そのものの、本来の姿。「—に迫る」「—を見きわめる」
２哲学で、存在するものの基底・本性をなすもの。
㋐偶有性に対立し、事物に内属する不変の性質。
㋑実存に対立し、そのもののなんであるかを規定し、その本性を構成するもの。
３論理学で、思惟の対象を定義する諸限定。類・種のごとき普遍をさす。→実体→属性→本体</t>
        </is>
      </c>
      <c r="D7797" t="inlineStr">
        <is>
          <t>本質的(23%)；本質上；本質論；本質そのもの；本質観</t>
        </is>
      </c>
      <c r="E7797" t="inlineStr">
        <is>
          <t>地；性；そのもの；キャラクター；性格</t>
        </is>
      </c>
      <c r="F7797" t="inlineStr">
        <is>
          <t>非本質的；人間的本質；社会的本質；政治的本質；本質的な複雑性</t>
        </is>
      </c>
      <c r="G7797" t="inlineStr">
        <is>
          <t>本質主義；本質的スペクトル；本質部分加群；本質的値域；本質拡大</t>
        </is>
      </c>
      <c r="H7797" t="n">
        <v>29</v>
      </c>
      <c r="I7797" t="inlineStr">
        <is>
          <t>しかし、これは戦争の限定された本質を明らかにしているに過ぎない。；名誉ある職ではなく、名義上の職であるというのが本質的な意味である。；しかし、その本質は人間の生態改造にあるのではなく、精神強化にある。；目的は異なるが、本質は変わらないため、混同して扱われる場合も多い。；旧過失論とは主観的な予見可能性が過失の本質であるとする見解である。；しかし、問題の本質がそこにないことは塩沢の指摘するとおりである。；積分がルベーグ積分であることは完備性を保証するために本質的である。；彼は2つの宗教を折衷したのではなく、諸宗教の本質を追求したのである。；方式による違いは用語の使い方や記述順序であり、本質的な違いはない。；冷めた態度を見せるがそれは本質ではなく、実際は熱さも思いやりも持つ。；このため異類の本質が動物そのものであることは少ないという指摘もある。；画題の本質を新鮮な目で見て、新しい方法で実験を行った時代である。；本質的な違いは容量だけであるが、一般用と医療用で種類が分かれている。；子供には大人とは異なる価値があり、価値の本質は純真無垢であるとする。；この実験からニューウェルは組織活動の本質は情報処理であると確信した。；状況や概念の「本質」に近いものを提供するもの、と考えることができる。；なぜこの結びつきが存在するのか、その本質は何かを研究するのが美学である。；よって、心は本来の自己である純粋精神とは本質が異なる物質的なものであるとする。；なお、同事故の本質的な原因はオーバーランではないとされている。；しかし、色の本質が明らかになるのは20世紀になってからである。；描かれた姿はいくつものパターンがあって、それぞれに本質と側面が明らかに異なる。；このような膨張はほとんどの現在の宇宙論や構造形成論の本質的な特徴である。；その本質は適切な行動を決定する助けとなることである。；高等学校卒業程度認定試験になっても、制度の本質は変わっていない。；本質は日常生活を送る住居ではなく、余暇のためのレジャー施設である。；シェリングの哲学に関心があり、『人間的自由の本質』を熟読している。；しかし、この見かけの違いはもっと本質的な違いの帰結でしかない。；ところで、別な観点からは、この二面性は本ブランドの本質でもある。；意志は本質の駆動力であり、いかなる本質も意志なくしては生じないという。</t>
        </is>
      </c>
      <c r="J7797">
        <f>HYPERLINK("https://www.weblio.jp/content/本質", "词义详情")</f>
        <v/>
      </c>
      <c r="K7797">
        <f>HYPERLINK("https://yourei.jp/本質", "查看例句")</f>
        <v/>
      </c>
    </row>
    <row r="7798">
      <c r="A7798" t="inlineStr">
        <is>
          <t>本日</t>
        </is>
      </c>
      <c r="B7798" t="inlineStr">
        <is>
          <t>成功</t>
        </is>
      </c>
      <c r="C7798" t="inlineStr">
        <is>
          <t>読み方：ほんじつ
この日。きょう。「—休業」</t>
        </is>
      </c>
      <c r="D7798" t="inlineStr">
        <is>
          <t>本日休業；本日午後；本日ここに；本日只今；本日ハ</t>
        </is>
      </c>
      <c r="E7798" t="inlineStr">
        <is>
          <t>現在；今；今日；現代；最近</t>
        </is>
      </c>
      <c r="F7798" t="inlineStr">
        <is>
          <t>本日天気；本日最大；本日分</t>
        </is>
      </c>
      <c r="G7798" t="inlineStr">
        <is>
          <t>本日休診；本日のスープ；本日も晴天なり；本日ハ晴天ナリ；本日のスープカレーのスープ</t>
        </is>
      </c>
      <c r="H7798" t="n">
        <v>29</v>
      </c>
      <c r="I7798" t="inlineStr">
        <is>
          <t>グラウンド整備のため、本日の競技はこれで中止とさせていただきます。；これで本日の収穫は去年度と比較して三千パーセント以上の増加である。；すでに本日の営業を終えた食堂には、窓から夕日が差し込んできている。；二十分ぐらいで、本日の初雨を頭皮で観測することに成功してしまった。；本日より二階の香港案内所に入っていただくことになった匪天の方です。；本日一八時までに以下のものは事業団の事務所に出頭と書いてあった。；なんとか起きて本日のライブ会場へと向かうのだが、どうにも体が重い。；私はベッドの上でアグラをかいて、本日はどのように行動するかを検討した。；捕虜とされたのは他ならぬ本日の戦闘の主たる目標であったご両人である。；本日の討論の結果から、カートの考えをテストに移すことになるだろう。；こちらから相談所の方に連絡しまして、結果を本日中にご連絡させていただきます。；本日ついに、彼らはそれぞれの課題を発表することになっていた。；本日の夕食に給与した雑煮は、小職が家内を説得して作らせしめたもの。；ゲストとのトークで本日の企画の内容が明らかにされ、企画の場所へ移動する。；そんな意外な面が見られたことも、本日の収穫の一つだったと言っていいだろう。；本日の夕食は午後十四時にカフェテリアに準備いたしております。；本日絵島先生はお具合がすぐれなくて出席できないとのことでした。；父の健康がすぐれませんので、本日は父の代理でお迎えにまいりました。；本日現在八百九十五万八百十四枚とやっぱり手帳もみないでいったのは次の年の秋だ。；いよいよ、本日のメイン・イベント、時間無制限一本勝負の開始だ。；五日以来日に一度の行事も、本日分は終ったというわけでしょうか。；まあ、本日の紅白試合は試合に勝って勝負に負けたというものだろう。；そして本日、どうやらジェットコースターは最高地点へ到達したようです。；最後に3つ企業に向けて、元木大介から本日の企業様へのメッセージ。；石橋検察官からの電話で、本日の出発は延期せよとの命令があったという。；手前どもに何かご用は、本日入荷したばかりの品をお目にかけなれば。；とにかく、本日只今から、男子と女子の交際は、絶対にこれを禁止する。；そういえばこのふたりは、本日の結婚によって縁戚関係になるわけだ。；本日の地震は、むしろ地殻構造上の原因によって起こったものである。</t>
        </is>
      </c>
      <c r="J7798">
        <f>HYPERLINK("https://www.weblio.jp/content/本日", "词义详情")</f>
        <v/>
      </c>
      <c r="K7798">
        <f>HYPERLINK("https://yourei.jp/本日", "查看例句")</f>
        <v/>
      </c>
    </row>
    <row r="7799">
      <c r="A7799" t="inlineStr">
        <is>
          <t>本質的</t>
        </is>
      </c>
      <c r="B7799" t="inlineStr">
        <is>
          <t>成功</t>
        </is>
      </c>
      <c r="C7799" t="inlineStr">
        <is>
          <t>読み方：ほんしつてき
［形動］物事の根本的な性質にかかわるさま。「—な問題に触れる」「両者は—に異なる」</t>
        </is>
      </c>
      <c r="D7799" t="inlineStr">
        <is>
          <t>本質的に同じ；本質的要素；本質的特徴；本質的価値；本質的性格</t>
        </is>
      </c>
      <c r="E7799" t="inlineStr">
        <is>
          <t>必要；重要；由来；主要；本来</t>
        </is>
      </c>
      <c r="F7799" t="inlineStr">
        <is>
          <t>本質的変化；本質的要求；本質的傾向</t>
        </is>
      </c>
      <c r="G7799" t="inlineStr">
        <is>
          <t>本質的値域；本質的上限；本質的下限；本質的属性；本質的上限と本質的下限</t>
        </is>
      </c>
      <c r="H7799" t="n">
        <v>29</v>
      </c>
      <c r="I7799" t="inlineStr">
        <is>
          <t>同じ季節に競合して提供しないものを比較する事は本質的に意味がない。；スペイン領フロリダに着くことができた奴隷は本質的には自由であった。；人間には心身ともに癒やし要素を持つものが本質的には受け入れられる。；主観性は本質的に社会の中の無数の相互作用を通じた社会的様式である。；これは本質的に危険なものだが、一部のユーザが求めるため実装された。；これらの公理を満たす群の系は本質的に1つしかないことが再びわかる。；このモデルは本質的に有限状態機械の持つ命令セットに制限されている。；これは本質的にはケクレ構造の間の共鳴という古い考え方のままである。；本質的には、この悲劇の構造は一つの非常に単純な公式で表現できる。；を適用することを考えれば、これは本質的にライプニッツの証明である。；グルーダーは、家の悪名がそれを本質的に売れないようにしたと述べた。；彼らの仕事は本質的に主権と自由であることを彼は認識していた。；マイケルはクマムシが草食性であり本質的には危険ではないと推測する。；彼は本質的にはフレデリック・グリフィスの実験を再現していたのであった。；本質的に、 と 以内にある点は、 の精度で を近似するものである。；メッセージベースの通信は本質的に非同期であり、不一致が生じている。；よって、地下水脈の意味とは本質的に異なることに注意が必要である。；米ソ関係の問題は、本質的には米国の価値が試されることなのである。；当時の殆どの国の通貨は、本質的には金の重さを測定する手段に過ぎなかった。；本質的には情報でしかない遺伝子が機能するためには発現される必要がある。；コネチュニはこの文明はラテン系民族の文明に本質的に劣ると見ている。；このように市場は本質的に統合と分裂を繰り返す存在なのである。；Anthotyrosと本質的に同じものであるが、後者は牛乳も含む。；神学形成の本質的働きはキリスト教会の諸活動を支援することである。；本質的には外国から避難してきた無国籍のユダヤ人が標的だったとされる。；しかし、本質的にはいずれも体を構成する細胞の構成物質として重要である。；その絵は本質的にはここに描かれているのと同じである。；ヘルダーリンは本質的名前付けと存在の諸領域を探索しているように見えた。；肉体で操作することもできるが本質的には変わっていない。</t>
        </is>
      </c>
      <c r="J7799">
        <f>HYPERLINK("https://www.weblio.jp/content/本質的", "词义详情")</f>
        <v/>
      </c>
      <c r="K7799">
        <f>HYPERLINK("https://yourei.jp/本質的", "查看例句")</f>
        <v/>
      </c>
    </row>
    <row r="7800">
      <c r="A7800" t="inlineStr">
        <is>
          <t>本社</t>
        </is>
      </c>
      <c r="B7800" t="inlineStr">
        <is>
          <t>成功</t>
        </is>
      </c>
      <c r="C7800" t="inlineStr">
        <is>
          <t>読み方：ほんしゃ
１会社の業務を行う本拠となっている事業所。⇔支社。
２《古くは「ほんじゃ」》その神域内の中心となる神社。本宮。→末社→摂社
３この会社。また、この神社。当社。</t>
        </is>
      </c>
      <c r="D7800" t="inlineStr">
        <is>
          <t>本社ビル(3%)；本社所在地；本社を置く企業；本社工場；本社機能</t>
        </is>
      </c>
      <c r="F7800" t="inlineStr">
        <is>
          <t>大阪本社；旧本社；西部本社；本社編集局長；本社ヶ丸</t>
        </is>
      </c>
      <c r="G7800" t="inlineStr">
        <is>
          <t>本社ターミナル；本社指定組成駅</t>
        </is>
      </c>
      <c r="H7800" t="n">
        <v>29</v>
      </c>
      <c r="I7800" t="inlineStr">
        <is>
          <t>茶屋町への本社屋移転を機に設定された初代のマスコットキャラクター。；利用者は東京本社版もしくは大阪本社版のどちらかが選択することができる。；本社移転と同時に日本テレビタワーに新設した送出マスターに更新した。；一部の番組は山陽新聞社本社ビル20階の談話室で収録される事がある。；このような状況から大企業の本社機能の移転などが行われるには至っていない。；北九州市に本社を置くTOTOはトイレ等衛生機器のトップ企業である。；やがて自己資金で開発できる環境が整うと、本社を埼玉県上尾市へ移転。；広島FM本社スタジオ以外のスタジオでは公開生放送・録音を行っている。；この駅は三岐鉄道の基地でもあり、東口を出た先には本社ビルがある。；本社・各支社のバスは合併前の会社エリアを主に運行している。；これは本社ビルと隣接していたため、当時の社員が多く利用していた事による。；日本の広島県に本社を置くテレビ局・株式会社中国放送が運営している。；中国最大のソフトウェア開発・ITサービス会社も本社を置いている。；本社と工場の建物は解体されマンションが建設された。；本社は三重県四日市市にあったが後に事務所は大阪に移転した。；西部総局は、紙面構成の関係から、格下げ時に東京本社傘下に置かれた。；州内にはフォーチュン500に入る会社24社が本社を置いている。；山口県下関市に本社を置くみなと山口合同新聞社が編集・発行している。；thumb|旧駅舎旧・弘前電気鉄道時代には本社があり車庫もあった。；このクラブが本社側のクラブであるHonda FCの母体となっている。；本社は当初大阪市であったが、後に東京に本社機能を移して大阪は支社扱いとなる。；立派な本社でいい格好をするより、事業の成長を最優先すべきだ。；愛知県に本社を置く食品会社のカゴメやコーミなどから販売されている。；なお上記に挙げたのは東京本社版の場合である。；半田市に本社を置く知多乗合が市内の一般路線バス全線を運行している。；株式会社は、かつて日本の東京都大田区に本社を置いていた大手航空会社。；旧本社・南本館にあったマイスタジオの名称は汐留移転後も使用されている。；山陽電気鉄道の現本社前には椎名麟三の文学碑が建立されている。；過去には十字屋・長崎屋・ダイクマが本社や本店を平塚市に置いていた。</t>
        </is>
      </c>
      <c r="J7800">
        <f>HYPERLINK("https://www.weblio.jp/content/本社", "词义详情")</f>
        <v/>
      </c>
      <c r="K7800">
        <f>HYPERLINK("https://yourei.jp/本社", "查看例句")</f>
        <v/>
      </c>
    </row>
    <row r="7801">
      <c r="A7801" t="inlineStr">
        <is>
          <t>本心</t>
        </is>
      </c>
      <c r="B7801" t="inlineStr">
        <is>
          <t>成功</t>
        </is>
      </c>
      <c r="C7801" t="inlineStr">
        <is>
          <t>読み方：ほんしん
《「ほんじん」とも》
１本当の心。真実の気持ち。「—を打ち明ける」
２本来あるべき正しい心。良心。「—に返る」
３たしかな心。正気。「酔って—を失う」
４本来の性質。うまれつき。
「—曲がった釣針に」〈浄・川中島〉</t>
        </is>
      </c>
      <c r="D7801" t="inlineStr">
        <is>
          <t>本心からそう；本心鏡智流；本心だったろ；本心刀流</t>
        </is>
      </c>
      <c r="E7801" t="inlineStr">
        <is>
          <t>考え；つもり；意向；内心；良心</t>
        </is>
      </c>
      <c r="H7801" t="n">
        <v>29</v>
      </c>
      <c r="I7801" t="inlineStr">
        <is>
          <t>男性の本心はそこに大きな空虚を感じない訳には行かないのであります。；しかし私は次兄の顏をよくないと本心から感じたことが一度もないのだ。；母が本心からそう望んで云ったのでないことは、疑ってみるまでもない。；女の商売はなんだつておんなじだつていうが、それはお前の本心かしら?；マークがこんなことをいろいろ話すのは妙だ、と本心では思っていたのだ。；まだ、本心からああいうメッセージを残したというほうが信じられます。；あなたの本心がどうしてもわからないと思うことが、ときどきあるのです。；彼は新たに自分の本心と運命との決定的時期に遭遇しているように感じた。；その一方、予備知識を持たない興味本心だけの参加者の増加もしている。；しばらく二人は見つめあい、おたがいがあらわにした本心に驚いていた。；またあくまで朝廷は朝廷としてあがめおくのが尊氏の本心でもあるのだ。；本心からか、それとも議論の場で優位に立つ目的だったかは不明とされる。；強がっているだけなのかもしれないが、これもまた彼女の本心なのだろう。；レインは言葉とは裏腹に、本心では金にも地位にも見向きもしない男だ。；あたしがあんたたちの付き合いを、本心では認めてなかったと仮にして。；年配の男が、本心からびっくりした表情で彼女を見ながら立っていた。；かれは本心からそう考えたのか、あるいは如才ない人間でそう言ったのか。；こういう客は容易なことでは本心を見せようとはしないものだった。；伊庭秀明は本心刀流を学ぶ以前に新陰流等の剣術を学んでいたとされる。；でも、罪を犯したのはわたくしの虚栄心であって、本心ではありません。；姉はそんなことは彼女の本心でなんかあるものかといっている。；お前さんの今望んでいることは本心から出たことにちがいない。；しかし香坂の裏の顔や、上條の本心などを知る内に惹かれ合う様になる。；あたしゃあ、お世辞でいうんじゃないが、あれは本心じゃないと思った。；「そのほうがいいわ」母は言ったが、それが本心でないのはわかった。；しかし、本心を言えば、いまの状態だと警察の捜査には期待できそうにない。；しかしこれは女の子の本心ではなく本当は王子と離れたくなかった。；尋ねながら、本心では否定してもらいたいと思っていた気がする。；しかしそれが本心ならば、まったく進歩がないとしか言いようがない。</t>
        </is>
      </c>
      <c r="J7801">
        <f>HYPERLINK("https://www.weblio.jp/content/本心", "词义详情")</f>
        <v/>
      </c>
      <c r="K7801">
        <f>HYPERLINK("https://yourei.jp/本心", "查看例句")</f>
        <v/>
      </c>
    </row>
    <row r="7802">
      <c r="A7802" t="inlineStr">
        <is>
          <t>本筋</t>
        </is>
      </c>
      <c r="B7802" t="inlineStr">
        <is>
          <t>成功</t>
        </is>
      </c>
      <c r="C7802" t="inlineStr">
        <is>
          <t>読み方：ほんすじ
１本来の筋道。また、正当な道理。「話を—に戻す」「頼むほうからあいさつに来るのが—だ」
２本来の血統や流派。</t>
        </is>
      </c>
      <c r="H7802" t="n">
        <v>29</v>
      </c>
      <c r="I7802" t="inlineStr">
        <is>
          <t>また各ストーリーでの結果がどうなっても本筋のストーリーに影響はない。；それは、田舎の本筋のものだからかえってすっきりとしているのである。；問題のいちばん本筋のところは頭のなかですでに解決ずみだったのである。；きくべき話の本筋に、できる限り早く入って貰った方がいいからである。；いろいろあると思いますが、物語の本筋とはまったく関係ありません。；なお、今回は都道府県を選択可能だが、物語の本筋に大きな影響はない。；それはそれとして調べますが、本筋の任務は、京の情勢探索であります。；それを親分に伝えるのが本筋だが、金次第で他の親分へ流すこともある。；再び本筋の仕事に戻って、その声価をいよいよ高めたいものと思います。；この作品で描いているのは、シリーズの本筋から少し外れたエピソードです。；帝銀事件捜査は、最初の段階では本筋の方向にむかっていたと思える。；本筋とは関係無いことが多いので、分からなければ無視して下さい。；しかし、僕はやっと、この事件の本筋にぶつかったような気がしてきたよ。；自ら不利益を被る、一本筋が通った奴の振りをするべきだったんだろうか?；そして、それが私のお話の本筋に、大いに関係があるわけなのである。；前おきのやうなことをくどくどいつてなかなか本筋にはいつていかなかつた。；君にはその大事な本筋が、まだわかっていないんじゃないかね。；それも本筋の仕事なのだから、頼んでもやりたかったのである。；ちょっと本筋へはいる前にその一例を挙げておきましょう。；ここまでくると、なにかを早々にやめてしまうことにも一本筋が通って見える。；将来にはっきりした夢があるので、行動に一本筋が通っている。；また、何人かの登場人物には物語の本筋から独立した固有のエピソードがある。；本来なら寝てから後悔してあしたの朝でもあやまりに来るのが本筋だ。；文字を知らなくとも彼は、事業はどうやるべきかの本筋を知悉しているのだった。；彼の袖には三つの星とその脇に一本筋がついていた。；従って少しくらい名前が違っていても、話の本筋には関係のないことと御承知を願いたい。；前者が本筋で、後者は前者を別の視点から考察するような構成になっている。；改訂のほとんどは劇の本筋に対してなされ、より演じやすくなっている。；また、本筋とは関係のない形でエイリアンが登場するエピソードも執筆された。</t>
        </is>
      </c>
      <c r="J7802">
        <f>HYPERLINK("https://www.weblio.jp/content/本筋", "词义详情")</f>
        <v/>
      </c>
      <c r="K7802">
        <f>HYPERLINK("https://yourei.jp/本筋", "查看例句")</f>
        <v/>
      </c>
    </row>
    <row r="7803">
      <c r="A7803" t="inlineStr">
        <is>
          <t>本体</t>
        </is>
      </c>
      <c r="B7803" t="inlineStr">
        <is>
          <t>成功</t>
        </is>
      </c>
      <c r="C7803" t="inlineStr">
        <is>
          <t>読み方：ほんたい
《古くは「ほんだい」とも》
１そのものの本当の姿。正体。
「—の得知れぬ、一種不思議な力に誘(いざな)われて」〈二葉亭・浮雲〉
２付属物を除いた、主になる部分。「カメラの—」「—価格」
３神社の神体。また、寺の本尊。
４哲学で、現象を超えて存在する恒存的なもの。もろもろの存在の根底にあるもの。理体。</t>
        </is>
      </c>
      <c r="D7803" t="inlineStr">
        <is>
          <t>本体側；本体内蔵；本体部；本体上部；本体内部</t>
        </is>
      </c>
      <c r="F7803" t="inlineStr">
        <is>
          <t>銃本体；エンジン本体；wii本体；車本体；ミサイル本体</t>
        </is>
      </c>
      <c r="G7803" t="inlineStr">
        <is>
          <t>本体価格；本体部分；本体サイズ；本体設定；本体論</t>
        </is>
      </c>
      <c r="H7803" t="n">
        <v>29</v>
      </c>
      <c r="I7803" t="inlineStr">
        <is>
          <t>米国では光線銃と対応ソフトが本体と同梱されたセット等も発売された。；電源や制御は外部に依存しており、本体は主に駆動部で構成されている。；制御用コンピュータと本体は光ファイバーのケーブルで接続されている。；装置本体は冷房ダクトとの位置関係から、トイレ前に床置きされている。；一部の種では植物体本体の葉が退化し、一生を原糸体に頼って生活する。；現在は原子炉本体以外の施設・設備が残され研究利用されている。；その時に使用された本体写真は、製品版と比べ以下の違いがあった。；このため本体の重量は1号と比較して約6倍の 508kg となった。；彼らは、イギリスではMG本体に対しても影響力を持つと言われている。；どちらも一般に長方形で鍵盤が窪んだ場所に位置し本体から突き出ない。；パケットは、ヘッダ部に本体が続く形で構成されるオクテット列である。；いずれも1990年代後半までに本体、対応ソフトとも販売を終えた。；この部分は戦闘時になると、本体からせり上がるようになっている。；ATC 装置本体は未設置のため、単独では海峡線の走行はできない。；また、カバン本体にはレントゲンカメラや顕微鏡の機能も付属している。；本体を作ろうとする試みもあったが結局、完成には至っていない。；脚とボックス本体の間に回転軸を設け首振りを可能にした製品も発売されている。；しかしカードに記録されたゲームで遊ぶ場合も本体を接続したままでなくてはならない。；測距儀は残っているがカバーが外れて本体が剥きだしになっている。；本体は袋状の帽子で、その周りに数センチか十数センチの縁がつく。；シュツルム・ブースターが本体に固定されており、頭部形状も異なる。；形状はブレインと同様だが、一つ眼の本体の上に球状の部品が追加されている。；また、アニメでは本体のロボットモードは描写されなかった。；本体部・商品棚の後ろ側には商品のストックが入っている。；これはクエーサーの本体が非常に小さいことを示唆している。；軸が天井固定でモーター本体に羽根がついて回転する形式が多い。；それに伴ってminiSDカードを本体に内蔵する改造も流行する。；カメラ本体の上部中央に取り付けられる場合が多い。；グリーンマックス本体が既に出している製品の仕様違いモデルが販売されることが多い。</t>
        </is>
      </c>
      <c r="J7803">
        <f>HYPERLINK("https://www.weblio.jp/content/本体", "词义详情")</f>
        <v/>
      </c>
      <c r="K7803">
        <f>HYPERLINK("https://yourei.jp/本体", "查看例句")</f>
        <v/>
      </c>
    </row>
    <row r="7804">
      <c r="A7804" t="inlineStr">
        <is>
          <t>本棚</t>
        </is>
      </c>
      <c r="B7804" t="inlineStr">
        <is>
          <t>成功</t>
        </is>
      </c>
      <c r="C7804" t="inlineStr">
        <is>
          <t>読み方：ほんだな
書物をのせておく棚。書棚。</t>
        </is>
      </c>
      <c r="D7804" t="inlineStr">
        <is>
          <t>書棚；書架；本箱；ブックケース；書物棚</t>
        </is>
      </c>
      <c r="F7804" t="inlineStr">
        <is>
          <t>小さな本棚；高い本棚；巨大な本棚；式本棚；仮想本棚</t>
        </is>
      </c>
      <c r="H7804" t="n">
        <v>29</v>
      </c>
      <c r="I7804" t="inlineStr">
        <is>
          <t>いまではその種の小説でかなりの大きさの本棚がいっぱいになるはずだ。；一度本棚を駄目にしてしまい、それ以来三重にはしないようにしている。；名前は本棚に置くことを考えてのもので、かつては実際に本棚に置いた。；駅舎内には本棚があり、1000冊以上の本を自由に読むことができる。；本棚の前を一度廻るとそのまま會釋を誰れにともつかずにして外へ出た。；四百冊あるかは分からないが、一つの本棚のほとんどを占領している。；裏板は本棚の裏側に貼る薄い板で、横からの衝撃を吸収する役割を持つ。；また、本棚に実物の本と同じ背表紙が表示されるのも独自の特徴である。；本棚の上にも本が積み上げられてあるが、そこはちょっと手が届かない。；つぎに井戸のまわりの壁を見ると、そこは戸棚や本棚がいっぱいでした。；その本棚は家族共同のもので、本と云っても碌なのは一冊もなかった。；次には引きかえして一同からみてドアの左手の本棚を動かしはじめた。；本棚も机もぼくのものじゃないみたいに、冷たい顔をして、そこにあった。；しかしこれは、一年近くも前から本棚にあると、里村が記憶していた。；ここにまた大きな本棚があって本が例のごとくいっぱい詰まっている。；父の部屋の本棚に入っているのは、ほとんど手塚治虫のマンガですから。；本棚は背を低く抑えられ、表紙が見えるように置かれている本が多い。；低い建物の並ぶ露地の入口のようなそれは、よく見るとすべて本棚だった。；空になったグラスをテーブルに置き、本棚のあるほうの壁へ歩いた。；子供がいる家庭に、日本のように勉強机や本棚がある家庭は珍しい。；司書が長い本棚にアルファベット順に本を陳列しようとしているとする。；兄猫は昼間は本棚の中に避難することにしたので、本を出して場所を作った。；それよりあの本棚にあれほどあった予約本がどうなったのでしょう。；本棚においてあったアルバムが、机の上に出しっぱなしになっている。；机の引き出しの中を調べ、本棚に差してあるノート類を全部開いてみた。；栞子さんは無言で本棚を見つめていたが、やがてその横の壁に視線を移した。；先生が出て来て、黙って床の間の本棚から算術の例題集を出してくれる。；私が「敦煌」という文字を最初に目にしたのは父の書斎の本棚であった。；こんなものが本棚の横に置かれるようになったのは、いつ頃からのことだろうか。</t>
        </is>
      </c>
      <c r="J7804">
        <f>HYPERLINK("https://www.weblio.jp/content/本棚", "词义详情")</f>
        <v/>
      </c>
      <c r="K7804">
        <f>HYPERLINK("https://yourei.jp/本棚", "查看例句")</f>
        <v/>
      </c>
    </row>
    <row r="7805">
      <c r="A7805" t="inlineStr">
        <is>
          <t>盆地</t>
        </is>
      </c>
      <c r="B7805" t="inlineStr">
        <is>
          <t>成功</t>
        </is>
      </c>
      <c r="C7805" t="inlineStr">
        <is>
          <t>読み方：ぼんち
周囲を山地によって囲まれた平地。成因により、浸食盆地・断層盆地などに分けられる。</t>
        </is>
      </c>
      <c r="D7805" t="inlineStr">
        <is>
          <t>盆地内；盆地南部；盆地状；盆地西部；盆地東部</t>
        </is>
      </c>
      <c r="E7805" t="inlineStr">
        <is>
          <t>流域；流域面積</t>
        </is>
      </c>
      <c r="F7805" t="inlineStr">
        <is>
          <t>京都盆地；福島盆地；小盆地；長野盆地；堆積盆地</t>
        </is>
      </c>
      <c r="H7805" t="n">
        <v>29</v>
      </c>
      <c r="I7805" t="inlineStr">
        <is>
          <t>しかしそうした小盆地には必ずといって良いほど集落や農地が存在する。；なお盆地内から他地域に出る際は必ず峠や峡谷と言った難所を経由する。；町の中央を北から南に長良川が通り、この川沿いの盆地が町の中心である。；盆地であり夏は高温となり、日本の年間最高気温を記録することもある。；盆地内の地形は平坦で土壌も肥沃であり、古くから農業が発達してきた。；このため、神城盆地にはかつては湖が広がっていたと考えられている。；旭川と備中川が合流する地点は小盆地を形成し町の中心となっている。；月の手前を支配する他の大きな盆地もこの時期に形成された。；米沢盆地が実り豊かな地域になるようにとの思いを込めて命名されている。；また、比較的風の弱い京都盆地の気象条件は青ネギの栽培に適していた。；州の南北を弧を描くようにが流れており、北部は複雑な形の盆地になっている。；なだらかな丘と広いモンゴルの平野と盆地が広大な草原を形成している。；カラカス盆地の南の山に発し、東から西に流れ、グアイレ川に合流する。；一つの盆地を分けた治世の違いは見えないところで軋轢を生じていたようである。；周囲の土地が隆起し、静止していた部分が結果的に盆地となる場合もある。；町の中心は吉井川と金剛川が合流する地点にあたり小盆地を形成している。；盆地のため夏の日中は気温が上がりやすいものの熱帯夜は非常に少ない。；西条盆地と呼ばれる盆地の北西にあり周囲を山に囲まれている。；最上流部では盆地を形成し、古くは戦いに敗れた落人が隠れ住んだ場所ともいわれる。；大口盆地付近は噴出物の層が薄かったため、これが盆地の原型となった。；県の西部に位置し、クアダルキビル川が形成した盆地の中にある。；多くの山脈に囲まれた巨大な盆地のような地形をしている。；他にも中世には平野部から山間の盆地まで、各地に集落や武士の館が作られた。；続いて下渕頭首工を建設してここから紀の川の水を奈良盆地に送水する。；米沢盆地は上杉氏15万石の主要な穀倉地帯として農業が盛んであった。；古代には盆地西部が中央政府の支配拠点となり、国衙や古代寺院も出現する。；盆地の中に位置するため夏と冬で寒暖の差が非常に激しい。；よって市域中央部から北部は山に囲まれた盆地となっている。；この霧と盆地ゆえの寒暖差が米の食味を高めて米どころとして知られる。</t>
        </is>
      </c>
      <c r="J7805">
        <f>HYPERLINK("https://www.weblio.jp/content/盆地", "词义详情")</f>
        <v/>
      </c>
      <c r="K7805">
        <f>HYPERLINK("https://yourei.jp/盆地", "查看例句")</f>
        <v/>
      </c>
    </row>
    <row r="7806">
      <c r="A7806" t="inlineStr">
        <is>
          <t>本店</t>
        </is>
      </c>
      <c r="B7806" t="inlineStr">
        <is>
          <t>成功</t>
        </is>
      </c>
      <c r="C7806" t="inlineStr">
        <is>
          <t>読み方：ほんだな
「ほんてん（本店）1」に同じ。</t>
        </is>
      </c>
      <c r="D7806" t="inlineStr">
        <is>
          <t>本店を置く信用金庫(3%)；本店所在地(3%)；本店を置く農業協同組合(3%)；本店ビル(2%)；本店を置く信用組合</t>
        </is>
      </c>
      <c r="E7806" t="inlineStr">
        <is>
          <t>本社；本部；本拠；本省；本局</t>
        </is>
      </c>
      <c r="F7806" t="inlineStr">
        <is>
          <t>日本車輌製造本店；銀行本店；旧本店；池袋本店；日本橋本店</t>
        </is>
      </c>
      <c r="H7806" t="n">
        <v>29</v>
      </c>
      <c r="I7806" t="inlineStr">
        <is>
          <t>鎮火後、本店に残された多くの遺体は性別も判断できない状態であった。；なお、実際の清水本店は両作品とは異なりビルの階下に店舗を構えていた。；また、最近では日本でも東京本店でドボシュトルタは提供されている。；市内に本店・支店・出張所等の窓口を置く金融機関一覧は以下のとおり。；本店を設置している銀行・協同組織金融機関は以下のとおりである。；過去には十字屋・長崎屋・ダイクマが本社や本店を平塚市に置いていた。；日本勧業銀行と合併し第一勧業銀行となった後も新銀行の初代本店となった。；古くから金融業が盛んで、多くのフランスの銀行の本店が置かれる。；本社スタジオのほか、マエダ本店にサテライトスタジオを設置している。；本社は東京都新宿区に置き、登記上の本店は福井県福井市に置いている。；本作の舞台は4号店であるが、イベントで本店や2号店も登場する。；営業範囲は、ほぼ本店所在地である一都道府県内に限定されていた。；さらにその本店の所在地において設立の登記をなすことが必要である。；その後は本店に移り、大手法人融資や広報などの本部勤務を長く務める。；なお「技のデパート・本店」である舞の海との取組も数度実現している。；本社を静岡県伊東市荻、登記上の本店を静岡県伊東市渚町においていた。；グループ会社の東武百貨店が運営する池袋本店よりも長い歴史を有する。；現在営業している銀行では世界最古の歴史を持ち、現在もシエーナに本店がある。；しかしこの初期単端車は、本店ではとうに製造中止した旧式モデルであった。；本店の駐車場には、大型バスが停車できる広大な駐車場がある。；岩見沢市に本店を置き、南空知の市部を中心に営業活動が行われている。；新本店は1階の窓を減らしコンクリートで覆うなど防災対策を強化した。；むつ市に本店を置き、主に下北半島の地域を中心に営業活動が行われていた。；は、かつて存在した長崎県佐世保市に本店を置いていた第二地方銀行である。；現在の福岡銀行本店は、建築家の黒川紀章により設計されたものである。；駅の位置はかつて横浜銀行旧本店があった場所の真下にあたる。；同時に登記上の本店を大阪から東京に移転させ、全国紙への本格展開を執った。；これに伴い、本店の鉄道コーナーはなんばCITY店に移転した。；本店は旧しょみん本店に、本部は旧山形しんきん本部にそれぞれ置いた。</t>
        </is>
      </c>
      <c r="J7806">
        <f>HYPERLINK("https://www.weblio.jp/content/本店", "词义详情")</f>
        <v/>
      </c>
      <c r="K7806">
        <f>HYPERLINK("https://yourei.jp/本店", "查看例句")</f>
        <v/>
      </c>
    </row>
    <row r="7807">
      <c r="A7807" t="inlineStr">
        <is>
          <t>本当</t>
        </is>
      </c>
      <c r="B7807" t="inlineStr">
        <is>
          <t>成功</t>
        </is>
      </c>
      <c r="C7807" t="inlineStr">
        <is>
          <t>読み方：ほんと
［名・形動］「ほんとう」の音変化。「うそじゃない、—だよ」「あいつは—に天才だ」</t>
        </is>
      </c>
      <c r="D7807" t="inlineStr">
        <is>
          <t>本当かどう；本当だったら</t>
        </is>
      </c>
      <c r="E7807" t="inlineStr">
        <is>
          <t>実際；事実；まったく；全く；実際に</t>
        </is>
      </c>
      <c r="F7807" t="inlineStr">
        <is>
          <t>本当かどうかわかり；本当らしくない；本当の恐ろし；本当ならもっと</t>
        </is>
      </c>
      <c r="G7807" t="inlineStr">
        <is>
          <t>本当は；本当の自分；本当の話；本当にあった；本当の気持ち</t>
        </is>
      </c>
      <c r="H7807" t="n">
        <v>29</v>
      </c>
      <c r="I7807" t="inlineStr">
        <is>
          <t>やはり、本当の男は本当の男でなければならないと信じているからです。；本当の野外ではこのような関係だけが存在することは珍しいはずである。；今が俺達の本当の姿だし、これが俺達の最高傑作である事に間違いない。；そのために『本当の解決に至っていない』とする批判が出ることもある。；どの情報が本当であっても、このときは彼女が男装を始めたときである。；実際の中止の記録が残っておらず、本当の中止日は今のところわからない。；ウェリントン公爵の本当の考えはおそらくこの2つの極端の中間にある。；また彼らの本当の力はプレダキングとなったときに現れると発言する。；作者が初めてルフィの本当の姿に気付いたのはウソップ編になってから。；イデオロギーは彼が協力しようとしている本当の動機ではないかもしれない。；その瞬間、金賢姫はそれが彼女の本当の名前なのではないかと思った。；親しい立場にあった漫画家でさえ本当の年齢を知って驚いたほどであった。；とくにこの時代は本当の意味での現代文学の萌芽が見られた時代とされる。；それは本とうは海岸ではなくて、いかにも海岸の風をした川の岸です。；これが本当であれば、第一次世界大戦で負傷したという噂は退けられる。；そしてそれぞれの憧れの場所へと行ってしまった彼らの本当の居場所とは?；この年、夫ウラジーミルとの仲は契約結婚から本当の結婚になっている。；本当の北条政子産湯の井戸は隣接する北条氏邸内にあったと考えられる。；もしこれが本当なら月は2倍近くも大きさが変化するように見えるはずである。；でも、そういったものって本当のことを見せてくれているのかな、とか。；サムネイル 真理は、確実な根拠によって本当であると認められたこと。；本当の自治組織として再編されたのは1919年になってからであった。；前述のとおり、本当の意味のフェティシズムと言えるかは不明である。；さて、彼は本当のことを言っているか、それとも嘘をついているか?；ただ、さいとう自身はどのルーツが本当なのかは考えないようにしている。；大きな花弁に見えるのは苞葉で、果指の部分が本当のバナナの花である。；彼はその本当の形はだと言い、この言葉を真理のひとつとする宗教を創設した。；そしてもう1年が過ぎた翌年の春、今度こそ、本当のお別れがやってきた。；当時の恋人と別れた後、本当の年齢を打ち明けると仕事を解雇された。</t>
        </is>
      </c>
      <c r="J7807">
        <f>HYPERLINK("https://www.weblio.jp/content/本当", "词义详情")</f>
        <v/>
      </c>
      <c r="K7807">
        <f>HYPERLINK("https://yourei.jp/本当", "查看例句")</f>
        <v/>
      </c>
    </row>
    <row r="7808">
      <c r="A7808" t="inlineStr">
        <is>
          <t>本当に</t>
        </is>
      </c>
      <c r="B7808" t="inlineStr">
        <is>
          <t>成功</t>
        </is>
      </c>
      <c r="D7808" t="inlineStr">
        <is>
          <t>本当にいい；本当によく；本当にそんな；本当に死ん；本当に愛し</t>
        </is>
      </c>
      <c r="E7808" t="inlineStr">
        <is>
          <t>特に；実際；こそ；事実；まったく</t>
        </is>
      </c>
      <c r="F7808" t="inlineStr">
        <is>
          <t>今度こそ本当に；まさか本当に；本当に本当に；本当に伝染病；本当にひさしぶり</t>
        </is>
      </c>
      <c r="G7808" t="inlineStr">
        <is>
          <t>本当にありがとうございました；本当にあった笑える話；本当に僕でいいんですか；本当にあった怖い話；本当にヤバイホラーストーリー</t>
        </is>
      </c>
      <c r="H7808" t="n">
        <v>29</v>
      </c>
      <c r="I7808" t="inlineStr">
        <is>
          <t>春が旬の魚とイメージされているが、本当に味が良いのは秋・冬である。；本当に国民の生活を考えている政治家からは土の匂いがするものです。；あなたは知っているんだと思うが、俺は本当にこの訛りを練習したんだ。；その時私は初めて、本当にこのスポーツで死ぬ事があるのだと思いました。；たしかに練習の後だから眠くなることもありましたが本当に面白かった。；また、2つの世代が本当に別の世代と見なせるかどうかには問題がある。；経験豊富で実績もある相手なので勝てるかどうかは本当に分からない。；その前、イギリスのテレビに出演し、本当に歌うのではないと説明した。；実際のクレオについて、本当に貴族の出であったのかは謎のままである。；本当に妻が流産し、彼が妻の側に行ったのかどうかは明らかではない。；姉から妹への手紙の朗読の場面では感動して本当に泣いたと振り返っている。；私はウサギを本当に探していた大勢の人々への、深い責任を感じています。；ほとんどの場合、本当に評価される人の名声は死後に高まるものだから。；おれの心を本当に判ってくれるのが、この世の中に何人いるだろうか?；しかし、両者の間に本当に軌道共鳴が起きていることはないとされている。；もっとも、この記事に書かれている事件が本当に起きた訳ではない。；夫人の母親は「娘は道路に倒れており、本当に怖かった」と話している。；本当に必要な装置だけが利用され、機関車にきちんとすえつけられていた。；本当にサッカーって最高な所を見せたいのでこれからも続けさせてください。；本当に生きるか死ぬかと言った状況でなければ先にお金の支払いを求められる。；誰が本当に統治しているのかを知るためには、経験的に観察しなければならない。；本人によると、その人が本当に存在していた証を確かめたくなるとのこと。；本当に、すべての死を取り消し、すべての涙を鎮めてくれるのだろうか。；技術面では本当に成功したのに、画期的な応用を創造しなかったからだ。；本当にそれでもその僧は浄土に往生できるのかを確認しようとしたのである。；実際に出版した後に、本当にご迷惑をお掛けした方も多数おられます。；ブルックナーが本当に書いた部分を再現しようと試みた最初の校訂版。；全ての連続関数は本当に微分可能なのかが疑われることとなったのである。；しかし、本当にケクレがこれらの夢を見たかについては疑う向きもある。</t>
        </is>
      </c>
      <c r="J7808">
        <f>HYPERLINK("https://www.weblio.jp/content/本当に", "词义详情")</f>
        <v/>
      </c>
      <c r="K7808">
        <f>HYPERLINK("https://yourei.jp/本当に", "查看例句")</f>
        <v/>
      </c>
    </row>
    <row r="7809">
      <c r="A7809" t="inlineStr">
        <is>
          <t>本人</t>
        </is>
      </c>
      <c r="B7809" t="inlineStr">
        <is>
          <t>成功</t>
        </is>
      </c>
      <c r="C7809" t="inlineStr">
        <is>
          <t>読み方：ほんにん
１その事に直接関係のある人。当事者。当人。「—に確かめる」「—次第」
２首領。張本人。
「城の—平野将監入道」〈太平記・六〉</t>
        </is>
      </c>
      <c r="D7809" t="inlineStr">
        <is>
          <t>本人曰く(3%)；本人たち；本人役；本人達；本人自身</t>
        </is>
      </c>
      <c r="E7809" t="inlineStr">
        <is>
          <t>自分；自身；自ら；自己；我</t>
        </is>
      </c>
      <c r="F7809" t="inlineStr">
        <is>
          <t>作者本人；患者本人；直接本人；作曲者本人；被害者本人</t>
        </is>
      </c>
      <c r="G7809" t="inlineStr">
        <is>
          <t>本人名義；本人確認書類；本人認証；本人訴訟；本人証明</t>
        </is>
      </c>
      <c r="H7809" t="n">
        <v>29</v>
      </c>
      <c r="I7809" t="inlineStr">
        <is>
          <t>特に初期作品にはアーヴィング本人の人生が反映されているといわれる。；ラジオドラマの制作を目標に本人が書いた同名の小説も連載されていた。；本人は「社員だけに責任を転嫁したわけではない」と語っていたという。；休載になることもしばしばで作品の量は多くなく、本人も自覚している。；相手認証とはある人が他の人に自分が確かに本人であると納得させるをいう。；おおむね購入時に本人の年齢を確認できる公的証明書の提示を求められる。；見た目は皆ソックリの外見だが、本人たちはそう思っていないとのこと。；絶対音感を持っていると噂されたことがあるが、本人がこれを否定している。；本人のコメントによるとアメリカ時代には1試合で2万ドル稼いでいた。；しかし本人や家族の希望があれば第一制服を着用して通学することも可能である。；その遺体は仏教に傾倒していた本人の希望で火葬されたようである。；その夜には秀吉本人が家康に秘かに会いにきて、改めて臣従を求めた。；原本人はこの評価を受けて「今までの苦労は何だったんだろう」と語っている。；患者本人は少なくとも場の文脈に応じた行動を取ることが難しい。；本人はこの変化を国王としての責任の重圧が原因だと主張している。；本人によるとピローニの事故に遭遇するまでは、雨の方が得意だった。；真奈美との別れから6年が過ぎたある日、その本人が正樹の目の前に現れる。；しかし本人はただ面倒だったからだとのちに述べている。；メディアには顔を出さないので、本人を知っている人は少ない。；本人の著書と称されているものが、日本では2冊出版されている。；本人の証言に基づき、犯人はサッチャー政権の保守党幹部だったと伝えた。；しかし本人の意志だけでは解決することが難しいため、周囲の理解や協力が求められる。；フランシス本人は大きな歓声に驚いてそのようになったと語っている。；玄田本人は「長年担当していたため次にどう動くかが分かる」と語っている。；映像と切り離して音楽だけ発売することに本人が否定的なこともあり未公開となっている。；本人は自身の遺体の献体を望んだが、これは鄧楠の希望で実施されなかった。；各種書籍の編集者が団本人に確認を取っていなかったことを裏付けている。；そして、本人自らが頻繁に秘書室に行って顔をよく出したりした。；作者本人が登場して自虐ギャグ的に理不尽な婿いびりをすることもある。</t>
        </is>
      </c>
      <c r="J7809">
        <f>HYPERLINK("https://www.weblio.jp/content/本人", "词义详情")</f>
        <v/>
      </c>
      <c r="K7809">
        <f>HYPERLINK("https://yourei.jp/本人", "查看例句")</f>
        <v/>
      </c>
    </row>
    <row r="7810">
      <c r="A7810" t="inlineStr">
        <is>
          <t>本音</t>
        </is>
      </c>
      <c r="B7810" t="inlineStr">
        <is>
          <t>成功</t>
        </is>
      </c>
      <c r="C7810" t="inlineStr">
        <is>
          <t>読み方：ほんね
１本来の音色。本当の音色。
２本心からいう言葉。「—が出る」「—を吐く」</t>
        </is>
      </c>
      <c r="D7810" t="inlineStr">
        <is>
          <t>本音をはい；本音禰；本音を出さ；本音をぶつけ合う；本音をズバズバ</t>
        </is>
      </c>
      <c r="E7810" t="inlineStr">
        <is>
          <t>考え；つもり；意向；内心；思惑</t>
        </is>
      </c>
      <c r="G7810" t="inlineStr">
        <is>
          <t>本音と建前；本音でハシゴ酒</t>
        </is>
      </c>
      <c r="H7810" t="n">
        <v>29</v>
      </c>
      <c r="I7810" t="inlineStr">
        <is>
          <t>そして意外に、そのほうに彼の本音が見られるものではありますまいか。；あわてたとたん、口をついて出た言葉は、あまりにも単純な本音だった。；本音を言えば、遠坂の父親は芝村を小さくしたような人物と聞いている。；本音を言いますとね、彼女に何か頼まれたら絶対に嫌だとは言えんのです。；彼らが自分たちの愛を追い求めるその姿と愛の本音などを描いた作品。；隣にいる男に聞かせる気もない、本音でも何でもない言葉のノイズだった。；あんたのやうに云つてしまへば、人間の本音は永久にわからないんです。；憲兵と出会っても、うまく通り抜けられると思っていたのが本音だった。；即ち近代の絵の技法は人間の本音から出発しなくては面白くないのである。；本音を言うか言わないか、それだけの問題だと考える人もいるかも知れない。；本音を言えば、地球軍などひづめで蹴っ飛ばしてやりたいところである。；私は本音でしか人とつきあったことがないから、他のことは知らない。；生徒たちの前ではいい教師面をしていたが、本音はそうではない。；本音を言うと、他人の往診なんてしてる場合じゃないんだろうけどね。；しかしそれは、敗北を余儀なくされている指導者の本音でもあった。；そして二人はどんなに腹の立つときでも決して本音を吐かなかつた。；それに俺だって、本音を言えば、琥珀さんを自分のものに、したいんだ。；いままで知ろうともしなかった妹の姿を、本音を、たくさん見てきた。；気付けば俺は立ち上がり、御鏡に向かって心の底からの本音を言っていた。；考えてみたら私が本音をもらすなんてことは一度もなかったのだ。；それも意図的にいうのでなく、話しているうちにポロッと本音が出てしまう。；世の中で今、流行している様々なことを忖度なしの本音で検証・調査する。；冗談であることに違いはないが、一面では真由美の本音でもあった。；彼は酔わなくても、いつでもその場で本音で物を言い、行動していたからだ。；三人連れが帰ったあと、気分が乗ってきたのか、男は私に本音を聞かせてくれた。；言ってしまってから、結局それが自分の本音だったと気がついた。；本音からすれば、こんな汚いところに犯人が隠すわけがないと思っていた。；でも、選手のいろんな姿を見ていたいし、本音で話せる仲でありたい。；穏かであるだけに、その本音がどこにあるのか読み取るのはやはり難しい。</t>
        </is>
      </c>
      <c r="J7810">
        <f>HYPERLINK("https://www.weblio.jp/content/本音", "词义详情")</f>
        <v/>
      </c>
      <c r="K7810">
        <f>HYPERLINK("https://yourei.jp/本音", "查看例句")</f>
        <v/>
      </c>
    </row>
    <row r="7811">
      <c r="A7811" t="inlineStr">
        <is>
          <t>本の</t>
        </is>
      </c>
      <c r="B7811" t="inlineStr">
        <is>
          <t>成功</t>
        </is>
      </c>
      <c r="C7811" t="inlineStr">
        <is>
          <t>読み方：ほんの
［連体］次にくる言葉が取るに足りないものであることを表す語。まったくわずかの。「—一つ」「—名ばかり」「—少ししかない」</t>
        </is>
      </c>
      <c r="D7811" t="inlineStr">
        <is>
          <t>本形式(3%)；本大会(2%)；本番組；本級；本系列</t>
        </is>
      </c>
      <c r="E7811" t="inlineStr">
        <is>
          <t>作品；元；制作；作；書</t>
        </is>
      </c>
      <c r="F7811" t="inlineStr">
        <is>
          <t>三本；二本；単行本；五本；本事件</t>
        </is>
      </c>
      <c r="G7811" t="inlineStr">
        <is>
          <t>本来；本当に；本人；本社；本部</t>
        </is>
      </c>
      <c r="H7811" t="n">
        <v>29</v>
      </c>
      <c r="I7811" t="inlineStr">
        <is>
          <t>これらの問題を総合的に解決するために導入されたのが本形式である。；本説は下記に述べる生化学分野からのアプローチからも支持されている。；本を読む場合はページをめくる事によって次々と情報を得る事が出来る。；ここでペレルマンが本賞を受賞するのかどうかが一部の関心を呼んでいた。；またバックナンバーも通常の本と同じように流通し、買うことが出来る。；本シリーズはウォー・シミュレーションゲームのジャンルに分類される。；だが、その内容は、紙の本では記しきれないものに限られているようだ。；当時の担当編集者とは、よく映画や漫画以外の本についての話をしていた。；本プロジェクトへ参加を表明される方は/参加者へ署名をお願いします。；本鉄道は路線延長を申請または計画したが、いずれも実現していない。；本記事では、かつてこの路線を運営していた多摩鉄道についても述べる。；これが明確に子どもに向けて書かれた最初の絵入り本であると考えられている。；本シリーズの一部は第1作とその他の東宝特撮作品の世界観を反映した。；本研究は治験者が実際に瞑想を行い、ペアワイズ比較を用いて行われた。；家庭用の数本用の小型のものから、大型の数十本入るものまである。；北宋に入ると木版印刷は広く普及し、多くの本が印刷されるようになった。；太陽の的には三本足の烏が描かれ、月の的にはウサギが描かれることが多い。；一方、かつては読み捨てられていたような本が高騰することもある。；この本は手紙や写真やその他真実を物語る多くの資料によって書かれている。；出版社はトールキンの腕前に満足し、本のカバーのデザインも依頼した。；ただし、本の帯などでミステリ作品にあるまじき種明かしがされている。；資料を手にとって見ることができ、実際の本を見ながら探すことができる。；本シリーズに登場するアイテムは、主に次のように分類される。；膜には、二重らせんよりも一本鎖のDNAへの吸着性が強いものを選ぶ。；ホームの西側には線路一本分の土地があり、飯能短絡線との合流用とされていた。；一九五五年に作家出版社本が出版され、以降標点本として広く流布した。；高校一年生の時にサッカー部を辞め、漫画一本に集中することに決める。；宋代話本の特色は白話小説と呼ばれ、白話を用いて描写される点にある。；同部屋の力士は疑似的な「家族」であることから、本割では対戦しない。</t>
        </is>
      </c>
      <c r="J7811">
        <f>HYPERLINK("https://www.weblio.jp/content/本の", "词义详情")</f>
        <v/>
      </c>
      <c r="K7811">
        <f>HYPERLINK("https://yourei.jp/本の", "查看例句")</f>
        <v/>
      </c>
    </row>
    <row r="7812">
      <c r="A7812" t="inlineStr">
        <is>
          <t>本能</t>
        </is>
      </c>
      <c r="B7812" t="inlineStr">
        <is>
          <t>成功</t>
        </is>
      </c>
      <c r="C7812" t="inlineStr">
        <is>
          <t>読み方：ほんのう
動物個体が、学習・条件反射や経験によらず、生得的にもつ行動様式。帰巣本能・生殖本能・防御本能など。</t>
        </is>
      </c>
      <c r="D7812" t="inlineStr">
        <is>
          <t>本能的な恐怖；本能的な嫌悪；本能的生活；本能的な行動；本能的な警戒</t>
        </is>
      </c>
      <c r="E7812" t="inlineStr">
        <is>
          <t>インスティンクト</t>
        </is>
      </c>
      <c r="F7812" t="inlineStr">
        <is>
          <t>ほとんど本能的；自衛本能；動物的本能；階級本能；動物的な本能</t>
        </is>
      </c>
      <c r="G7812" t="inlineStr">
        <is>
          <t>本能寺；本能行動；本能寺合戦；本能寺ホテル；本能寺飛鳥</t>
        </is>
      </c>
      <c r="H7812" t="n">
        <v>29</v>
      </c>
      <c r="I7812" t="inlineStr">
        <is>
          <t>ウィリアム・ジェームズは多くの人間の行動を本能と言う語で説明した。；人間には誰にもこの本能が大事に心の中に隠されていると私は信じている。；彼を無罪なりとする自分の本能的直感を捨てきれなかったこともあろう。；本能とは大自然の持っている意志を指すものと考えることが出来る。；そしてそれがより以上の本能の力によって統合されているに相違ない。；その時、わたくしは宙に白い足を見て、それに本能的に飛び付きました。；長年の柔道の経験で本能のまま体が自然に動いたとしか言いようがないわね。；したがって複数の定義された本能との相関関係も説明が不可能である。；つまり吠え声には本能的な衝動を示す以上の複雑な表現力がないのである。；雨に濡れたあとの動物的な感覚が、たしかにその本能へ拍車を掛けていた。；本能的に手がすっと短剣に触れたのは、女王が姿を現されたときだった。；然しそれだけで満足し切ることを、私の本能の要求は明かに拒んでいる。；また類人猿と人間では公正さの感覚も本能的であると考えられている。；本能的の愛は一時は炭火のごとく灼熱しても愛して倦まぬ持久性がない。；確実なる生活の根本基礎を女の本能的な愛の中に据えつけようとした。；その関心の中で、一番強いのは、やはり娘の体への本能的な好奇心だった。；また経験は行動の獲得に、遺伝子は本能に影響を与えると言及される。；本能という言葉を用いるに当って私は多少の誤解を恐れないではない。；人間には雪を丸めて投げ合って遊びたいという本能があると思います。；もとよりもう一つの方面である所の模造の本能も美術の原因にはなる。；即ち男女の天職は本能的に定められて、自然の分業を為しおるんである。；適度の警戒心を有するが、狩猟本能はわずかで、決して攻撃的ではない。；そして画家は何が何んでも封だけは切って見せたいという本能を持っている。；本能が人間を間違はすものなら、また人間を救つてくれる筈だと思ふ。；たとえば性欲というような本能は誰でも持ってる共通的なものである。；母が自分をきつく思ってくれていることは、私は本能的に感じていたのだから。；次の瞬間、銑吉の身は、ほとんど本能的に大榎の幹を小盾に取っていた。；しかし前述の通り人間に本能があるかどうかは「本能」の定義次第である。；しかしながら本能的な愛は私の期待したごとくけっして鞏固ではなかった。</t>
        </is>
      </c>
      <c r="J7812">
        <f>HYPERLINK("https://www.weblio.jp/content/本能", "词义详情")</f>
        <v/>
      </c>
      <c r="K7812">
        <f>HYPERLINK("https://yourei.jp/本能", "查看例句")</f>
        <v/>
      </c>
    </row>
    <row r="7813">
      <c r="A7813" t="inlineStr">
        <is>
          <t>本場</t>
        </is>
      </c>
      <c r="B7813" t="inlineStr">
        <is>
          <t>成功</t>
        </is>
      </c>
      <c r="C7813" t="inlineStr">
        <is>
          <t>読み方：ほんば
１ある物事が本式に行われる場所。また、盛んに行われている所。「—のフランス料理」「—仕込み」
２ある物の本来の産地。また、主要・有名な産地。「ワインの—」
３取引所で、午前中の立ち会い。前場(ぜんば)。</t>
        </is>
      </c>
      <c r="D7813" t="inlineStr">
        <is>
          <t>本場開催(2%)；本場アメリカ；本場中国；本場仕込み；本場物</t>
        </is>
      </c>
      <c r="E7813" t="inlineStr">
        <is>
          <t>発祥地</t>
        </is>
      </c>
      <c r="F7813" t="inlineStr">
        <is>
          <t>本場ニューヨーク；本場結城紬；本場フランス；本場ロシア；強盗本場</t>
        </is>
      </c>
      <c r="G7813" t="inlineStr">
        <is>
          <t>本場大島紬；本場奄美大島紬；本場ぢょしこうマニュアル；本場所の一覧；本場大館きりたんぽまつり</t>
        </is>
      </c>
      <c r="H7813" t="n">
        <v>29</v>
      </c>
      <c r="I7813" t="inlineStr">
        <is>
          <t>それにはその本場の作品を、読むことよりほかには手がないと思はれる。；いくら温泉峡とはいえ、そこまで本場風になっているとは思わなかった。；本場フランスの貝殻型のマドレーヌを日本で初めて販売した店とされる。；いなそんなはずがないがといったって、本場で知らぬものはどうもできぬ。；ただし、本場であるアメリカ代表はこの2大会とも参加していなかった。；戦争のこととなりますと、あの喧嘩好きの西洋の方が本場らしいのでございます。；本場のパリへ行ったのじゃ、好きな道に精進したくもなるでしょう。；イタリアでサッカーを続けるんだ、サッカーの本場だからむしろ好都合だ。；それが本場物らしいすっきりとしたいい匂いだったので私はいっそう気を悪くした。；なお、店舗の中には本場開催時しか営業していない店舗もある。；居ながら本場物のイタリア歌劇団を見られるなども今日の歴史だ。；タンゴの本場であるので、タンゲリアも40以上はあるといわれている。；じぶんじゃ本場仕込みのつもりだろうが、あいつの義太夫には恐れいるよ。；乾吉はこうした生れ変った近代奇術を本場のパリで目の前に見ていたのです。；ドイツが音楽の本場の国であるというのは、ウソだと思えてくるほどである。；なにしろ一九〇四年のことで、当時のパリはまだ文化の本場だと目されていたからだ。；PTAの本場であるアメリカでは、その会合が夜開かれることが多い。；こんな本格的なショーが間近で観られるのだから本場のカジノはいい。；本場の米国人ゴスペルシンガーが多数在籍していることでも知られる。；いまだに謎が多いとして九谷焼の本場ではこの説を認めない人が多い。；このときに定められた「本場 沖縄そば」の定義は以下の通りである。；それで私は戦争の歴史を、特に戦争の本場の西洋の歴史で考えて見ようと思います。；日本酒や洋酒は質が劣ってきたが、紹興本場の美事な老酒は豊富にある。；冠詞が一格だか二格だか考えずに出るからドイツ語はドイツが本場だと見える。；真の本場物の味は、現地のひとの舌にだけあうものなのだろう。；せっかく日本に来たんだから本場スモウンスラーを見てみたいって?；従って本場の季節ものは、台所などへは顔を見せてくれない。；本場でこの学問を学びたいと考え交換留学制度を利用して1年間の留学を終えた。；AVデビューはセックスの本場で修業したかったからだと述べている。</t>
        </is>
      </c>
      <c r="J7813">
        <f>HYPERLINK("https://www.weblio.jp/content/本場", "词义详情")</f>
        <v/>
      </c>
      <c r="K7813">
        <f>HYPERLINK("https://yourei.jp/本場", "查看例句")</f>
        <v/>
      </c>
    </row>
    <row r="7814">
      <c r="A7814" t="inlineStr">
        <is>
          <t>本部</t>
        </is>
      </c>
      <c r="B7814" t="inlineStr">
        <is>
          <t>成功</t>
        </is>
      </c>
      <c r="C7814" t="inlineStr">
        <is>
          <t>読み方：ほんぶ
組織・団体などで、活動の中枢となるところ。また、その置かれてある場所。「捜査—」</t>
        </is>
      </c>
      <c r="D7814" t="inlineStr">
        <is>
          <t>本部所在地；本部ビル；本部事務所；本部道場；本部キャンパス</t>
        </is>
      </c>
      <c r="F7814" t="inlineStr">
        <is>
          <t>事業本部；県警本部；作戦本部；推進本部；部隊本部</t>
        </is>
      </c>
      <c r="G7814" t="inlineStr">
        <is>
          <t>本部町；本部朝勇；本部御殿；本部御殿手；本部流</t>
        </is>
      </c>
      <c r="H7814" t="n">
        <v>29</v>
      </c>
      <c r="I7814" t="inlineStr">
        <is>
          <t>中量産品事業本部の生産はそれぞれの事業本部で生産を集約している。；本部・大阪・名古屋に次いで規模の大きな拠点放送局として機能している。；書籍見本市を組織しているドイツ書籍協会もフランクフルトに本部がある。；現在の大学本部は当時の大学の建物をそのまま用いている。；本部はエジプトの首都カイロ近郊にある10月6日市に置かれている。；日本の東京都に本部を置くが、日本の学校教育法上の「大学」ではない。；会の総本部はローマにあり、かつて本部がおかれていたジェズ教会とも呼ばれた。；本部基地以外にも、レーダー基地や燃料基地などの地上施設を持つ。；地方銀行では初めて本部機能を東京に移し、情報収集機能を強化した。；パリの本部のほか、世界各地に通常複数国を管轄する地域事務所が置かれている。；教師の役職はすべて本部の職員で、一部の助教師も職員の者がいる。；当店は商業開発本部が運営しており、専門店の導入を積極的に行っている。；このため古い時代の本部には、短波通信用のアンテナが立っていた。；のみならずその又枝の間に人の脚が二本ぶら下つてゐた。；赤十字社連盟本部は同年パリから中立国・スイスのジュネーブに移転した。；中央本部の建物と土地は40億円を超えるとみられている。；警察に通報した丸大は、大阪府警本部の指導で犯人の要求通りに行動する。；そのため、当駅と西荻窪駅の間に首都圏本部との境界標が設置されている。；感染症流行時も、本部に相談の上でないと着用は認められない。；ランディーズは、吉本興業大阪本部に所属していたお笑いコンビである。；かつては本部もあったが、中国自動車道西宮北IC内に移転している。；会員約500人と国内でも最少の組合である石工協会の本部があった。；現在、本部はブリュッセルの北部にあるエヴェレ地区におかれている。；サムネイル|NATO本部にはベルリンの壁の一部が設置されている。；エホバの証人の「世界本部」は後者の協会施設内に設置されている。；スイス・ジュネーブは、世界で最も多くの国際機関の本部がある都市である。；レーアに本部を置く福音改革派教会に属している改革派教会も一つある。；海軍部隊は、半分が赤軍本部の襲撃に参加し、半分は領事館の警備に残った。；本部は当初スイスのジュネーブに置かれた が、のちにウィーンへと移転した。</t>
        </is>
      </c>
      <c r="J7814">
        <f>HYPERLINK("https://www.weblio.jp/content/本部", "词义详情")</f>
        <v/>
      </c>
      <c r="K7814">
        <f>HYPERLINK("https://yourei.jp/本部", "查看例句")</f>
        <v/>
      </c>
    </row>
    <row r="7815">
      <c r="A7815" t="inlineStr">
        <is>
          <t>本文</t>
        </is>
      </c>
      <c r="B7815" t="inlineStr">
        <is>
          <t>成功</t>
        </is>
      </c>
      <c r="C7815" t="inlineStr">
        <is>
          <t>読み方：ほんぶん
「ほんもん（本文）」に同じ。</t>
        </is>
      </c>
      <c r="D7815" t="inlineStr">
        <is>
          <t>本文中(3%)；本文学会；本文イラスト；本文系統；本文研究</t>
        </is>
      </c>
      <c r="E7815" t="inlineStr">
        <is>
          <t>文；文章；本項；テキスト；この件</t>
        </is>
      </c>
      <c r="F7815" t="inlineStr">
        <is>
          <t>記事本文；メール本文；聖書本文；近い本文；条本文</t>
        </is>
      </c>
      <c r="G7815" t="inlineStr">
        <is>
          <t>本文批判</t>
        </is>
      </c>
      <c r="H7815" t="n">
        <v>29</v>
      </c>
      <c r="I7815" t="inlineStr">
        <is>
          <t>記事の本文には、以下に示す情報を記述するように努めるものとします。；項目の本文には、以下に示す情報を記述するように努めるものとします。；それは聖書本文を6ヶ国語で同時に参照できるようにしたものであった。；またその中からどのような基準で本文を選んだのかもわからない。；複数の系統の本文を混合したもので、宮内庁書陵部蔵のものが知られる。；やがて、明治末年ごろから学問的な本文研究の努力が本格的に始まった。；これら諸版の間には本文の違いがあることが指摘されている。；この2者には取り扱っている文書に差異があり、本文も多少違っている。；そして本文が当てられ、ここでは左揃え右ラグ組の使用頻度が最も高い。；世阿弥の自筆本はいくつか現存しており、本文は片仮名で記されている。；巻子装は軸を中心に本文料紙を巻き取ったもので最も古い本の形態である。；なお、この名称はラテン語本文の最初の数単語から採られたものである。；実は本文が未完成だったのではないかとも考えうるが散逸があったのだとされている。；漢文の章の中に、本文の文字よりも小さな文字で書かれた注釈である。；共産党系を排除したあとの新日本文学会の中心的な人物として活躍した。；本文の先頭の文字は拡大されて装飾が施され、それに続く文字は点で囲まれる。；ただし、手習巻の本文を別本とすることについては疑問が出されている。；以下のような本写本と近い本文を持った写本の存在することが指摘されている。；そのため本文には一般的な手順のみ紹介し主な変化手順はここにまとめる。；広告表示の収入で運用されているが、本文への広告表示はない。；後期五号と呼ばれる本文用活字の系統に属するものを翻刻したもの。；作品だけでなく、本文広告なども当時のものが掲載されている。；本文に関しては、特に記述が無い限り登場する各作品の時間軸での設定とする。；熟語は字義の説明に必要なものを本文に書いている以外、掲載されていない。；公開されている資料本文をPDF形式でダウンロードすることが可能である。；しかし、『和歌山市史本文編』などでは異なる3人の人物とされている。；既存の書籍との最大の違いは、本文が「横書き」になっていることである。；記事本文には引用・参観されていないものの、記事に関係がある文献の一覧。；以下は、銀八名義で小説の口絵・本文イラストを担当した作品である。</t>
        </is>
      </c>
      <c r="J7815">
        <f>HYPERLINK("https://www.weblio.jp/content/本文", "词义详情")</f>
        <v/>
      </c>
      <c r="K7815">
        <f>HYPERLINK("https://yourei.jp/本文", "查看例句")</f>
        <v/>
      </c>
    </row>
    <row r="7816">
      <c r="A7816" t="inlineStr">
        <is>
          <t>本名</t>
        </is>
      </c>
      <c r="B7816" t="inlineStr">
        <is>
          <t>成功</t>
        </is>
      </c>
      <c r="C7816" t="inlineStr">
        <is>
          <t>読み方：ほんみょう
筆名・芸名・偽名などに対して、本当の名前。実名。ほんめい。</t>
        </is>
      </c>
      <c r="D7816" t="inlineStr">
        <is>
          <t>本名および旧芸名；本名名義；本名及び旧芸名；本名及び旧リングネーム；本名なのか</t>
        </is>
      </c>
      <c r="F7816" t="inlineStr">
        <is>
          <t>芸名および本名；本名徹次；本名および旧名；本名ウィリアム・ジェームズ；本名および旧リングネーム</t>
        </is>
      </c>
      <c r="G7816" t="inlineStr">
        <is>
          <t>本名ダム；本名町；本名川；本名駅；本名村</t>
        </is>
      </c>
      <c r="H7816" t="n">
        <v>29</v>
      </c>
      <c r="I7816" t="inlineStr">
        <is>
          <t>改名の理由は本名と通称の名前が二つある事に不便さを感じたためである。；将来的には本名の藤波怜於南で戦う意思があることも明らかにしている。；なお、一部のキャラクターはこの企画本で本名が明らかになっている。；初期は本名で活動し、現在でも演劇を演出する時は本名の名義で行っている。；ブリタニカの編集を望む者は、事前に本名と住所を登録する必要がある。；言い換えればほとんどが本名以外の別名を女優名にして出演している。；ここまで本名の杉浦孝昭名義で出版、以降はおすぎ名義で出版したもの。；本名発覚当初は困惑していたが段々と受け入れ、使用するようになった。；以前は本名名義で活動していたが、1994年4月に現在の表記に改めた。；本名は敬三だが、少年のころからなぜか「ケンちゃん」と呼ばれていた。；当初は本名での作品発表であったが、後に現在のペンネームに改名。；本名で呼ぶのは、後輩のロンドンブーツ1号2号などごくわずかである。；また、日本人でも本名以外で登録されている選手を本名のまま表記することもある。；当初は本名の「加川良」名義で執筆していたが、後にペンネームにした。；本名はイルモだが、彼の住む庭園の名前を取ってローリエンと呼ばれる。；本名に「ハンス」は含まなかったが、のちに役所に正式に登録している。；プロ入団時から2001年までと、コーチ時代は本名を登録名にしていた。；かつては青二プロダクションに所属しており、その当時は本名で活動していた。；キャリア初期は、本名の櫻井 良子や桜井 良子名義でも活動していた。；なお、作詞者名にペンネームではなく本名で名前が書かれている場合もある。；両親も届け通りの本名を指摘されるまで忘れていたという。；グレコは晩年に至るまで自身の作品にギリシア語の本名でサインをしていた。；一方、本名の表記を読みやすい漢字に変えたリングネームも存在する。；番組企画や構成等では、本名名義でクレジットされることもある。；本名でもあるMelodyは、両親が大の音楽好きであることから名付けられた。；本名で活動する者が多いが、中には芸名を用いる者も存在する。；なおこの作品から本名で発表するようになった。；後に紹介するが本名は藤原香子とされるものの真偽は不明である。；政治家も、本名とは違う名前で議員活動をする事がある。</t>
        </is>
      </c>
      <c r="J7816">
        <f>HYPERLINK("https://www.weblio.jp/content/本名", "词义详情")</f>
        <v/>
      </c>
      <c r="K7816">
        <f>HYPERLINK("https://yourei.jp/本名", "查看例句")</f>
        <v/>
      </c>
    </row>
    <row r="7817">
      <c r="A7817" t="inlineStr">
        <is>
          <t>本物</t>
        </is>
      </c>
      <c r="B7817" t="inlineStr">
        <is>
          <t>成功</t>
        </is>
      </c>
      <c r="C7817" t="inlineStr">
        <is>
          <t>読み方：ほんもの
１にせものや作りものでない、本当のもの。また、本当のこと。「—の真珠」「—の情報」
２見せかけでなく実質を備えていること。本格的であること。「彼の技量は—だ」</t>
        </is>
      </c>
      <c r="D7817" t="inlineStr">
        <is>
          <t>本物そっくり；本物じゃない；本物志向；本物さながら；本物の伊勢伊勢守</t>
        </is>
      </c>
      <c r="E7817" t="inlineStr">
        <is>
          <t>真；実物；現物；正真正銘；真正</t>
        </is>
      </c>
      <c r="H7817" t="n">
        <v>29</v>
      </c>
      <c r="I7817" t="inlineStr">
        <is>
          <t>自分が本物か迷いつつもルパンは不二子の依頼を受け新たな仕事へ出発。；中国の高校教科書でも本物と印象づけられる紹介をされている例がある。；この姿で本物のゼロの前に現れた後、すぐに元の姿に戻って正体を現す。；これで紙に絵を描くと、その絵が紙から飛び出して本物と同じように動く。；左側の写真から本物かどうか確認するためにつけられた傷が確認できる。；詩は風化作用を受けないものと見えるのね、それが本ものでさえあれば。；それは、変身したバンパイヤを本物の動物に変えてしまう作用があった。；水晶球が本物であるかどうか判断する場合は、複屈折を確認するとよい。；しかし一般には人気が高く、学者の一部にも本物説を唱える人がいる。；姿や声は本物と変わらないが、右手から攻撃用の赤い光球を発射する。；実際の線路を走ることも可能で、スピードは本物の列車以上である。；なんと1ヶ月以内に魔法を解かないと本物の猫になってしまうという。；一方、ブロンドレースは本物のレースとは違うものに発展していった。；隕石と称して岩石を売る業者があるが、本物である可能性は極めて低い。；当初、シェーンの挙げた諸成果は科学者全般に本物だと信じられていた。；するとドアを開けて入ってきたのは本物のバンドのメンバー。；過去に本物の旧型客車を使用して運行されたことが何度かあった。；本物は無事であるために、翌日以降も数百発ものロケット攻撃が可能となる。；想像した物が食べ物であれば本物と同じ味や匂いもし、食べることもできる。；本物のブン大将がパリに爆弾を投げつけると言う事態に陥ったのである。；缶の中に粘土が入っており、これで動物などを作ると本物同様に動く。；車には本物のしんのすけと、以前彼を助けたジャージの女性が乗っていた。；本物の提灯の内輪に帽子を模した飾りや、照明が入ったものもみられる。；稲穂の数から横線の数まで本物の五円玉とそっくりな形状で作られている。；これまで、番組では一切姿を見せなかった本物の飯村氏も出演した。；漫画のキャラクターの葬儀が本物の寺院で営まれるのは初めてのことである。；所員の引率なしにして本物の機器を間近で見られる機会は貴重である。；それが本物の伝国璽である証拠だと伝えられているが、定かではない。；白子温泉からの本物の温泉を足湯に使用し、ファンとの交流を楽しんだ。</t>
        </is>
      </c>
      <c r="J7817">
        <f>HYPERLINK("https://www.weblio.jp/content/本物", "词义详情")</f>
        <v/>
      </c>
      <c r="K7817">
        <f>HYPERLINK("https://yourei.jp/本物", "查看例句")</f>
        <v/>
      </c>
    </row>
    <row r="7818">
      <c r="A7818" t="inlineStr">
        <is>
          <t>翻訳</t>
        </is>
      </c>
      <c r="B7818" t="inlineStr">
        <is>
          <t>成功</t>
        </is>
      </c>
      <c r="C7818" t="inlineStr">
        <is>
          <t>読み方：ほんやく
［名］(スル)
１ある言語で表された文章を他の言語に置き換えて表すこと。また、その文章。「原文を—する」
２符号やわかりにくい言葉、特殊な言葉などを一般的な言葉に直すこと。「技術用語を—して説明する」
３細胞質内にあるリボゾーム上で、運搬RNA（リボ核酸）が、伝令RNAの遺伝情報としての塩基配列を読み取り、それに対応するアミノ酸を運んでたんぱく質に合成する過程。→転写2</t>
        </is>
      </c>
      <c r="D7818" t="inlineStr">
        <is>
          <t>翻訳される(2%)；翻訳出版；翻訳版；翻訳書；翻訳作業</t>
        </is>
      </c>
      <c r="E7818" t="inlineStr">
        <is>
          <t>転写；訳す；訳書；書き換える；飜訳</t>
        </is>
      </c>
      <c r="F7818" t="inlineStr">
        <is>
          <t>翻訳作品；翻訳物；翻訳開始；翻訳活動；翻訳事業</t>
        </is>
      </c>
      <c r="G7818" t="inlineStr">
        <is>
          <t>翻訳者；翻訳後修飾；翻訳文；翻訳機；翻訳権</t>
        </is>
      </c>
      <c r="H7818" t="n">
        <v>29</v>
      </c>
      <c r="I7818" t="inlineStr">
        <is>
          <t>英語・およびフランス語に翻訳・出版したものでは、以下が著名である。；このうち第3版が英語へ翻訳され、主な議論はその版の内容で行われた。；また、こうした翻訳が重要な役割を果たした国として日本が挙げられる。；さらに数々の翻訳・翻案作品が発表されたほか、芝居や映画も製作された。；とは翻訳した語であるが例外もあり、その意味は事例によって様々である。；例えば一般に英日翻訳に比べて日英翻訳の能力は低い段階にあった。；いずれにしてもその変換は、翻訳元と翻訳先の言語に特化したものになる。；この公開書簡はまもなくベストセラーとなり、複数の言語に翻訳された。；高橋の作品の多くは英語や他のヨーロッパ言語に翻訳されている。；このようにして出来た mRNA は核外に輸送され翻訳される。；また海外での翻訳の多い村上春樹の小説にも非常に刺激を受けた。；作品は海外でも高く評価され、世界30数か国で翻訳出版されている。；コドンの割り当ては翻訳が開始される先頭のヌクレオチドから行われる。；それをまた西欧が翻訳し直して、自然科学の基礎が復活したのだった。；思考を促すような西洋の小説が続々とロシア語に翻訳されるようになった。；ただし翻訳物の存在を確認できた作品においてはその翻訳を記載している。；これは明治36年に刊行されたもので、最初の『神曲』の翻訳でもある。；ヨーロッパに渡った三国志も満洲語訳をフランス語に翻訳したものであった。；これらの本の多くは、現在翻訳されて、オンラインで利用可能である。；企画と脚本段階で英語に翻訳し、CIEで許可されたもののみ製作がなされた。；そのため封じられた部分と翻訳を命じられた部分に一時的に分解された可能性がある。；大半は英語で書かれるか、または英語に翻訳されており、現在でも人気が高い。；以下の著作は海外での翻訳版の刊行が確認されている。；将来的にはディレクトリが多くの言語に翻訳され得ることを望まれている。；しかし、一部キャラクターの声や第12回の翻訳ではミスがあった。；一方、中国語や朝鮮語に翻訳する際は、漢字が統一されていない例も多い。；また翻訳や意思決定など高度なスキルを必要とする分野への応用も進んでいる。；中間言語を翻訳に用いなければ、その可能性は1度に抑えられている。；台湾では日本の作品の翻訳だけでなく、現地作家の作品もあり、高い人気がある。</t>
        </is>
      </c>
      <c r="J7818">
        <f>HYPERLINK("https://www.weblio.jp/content/翻訳", "词义详情")</f>
        <v/>
      </c>
      <c r="K7818">
        <f>HYPERLINK("https://yourei.jp/翻訳", "查看例句")</f>
        <v/>
      </c>
    </row>
    <row r="7819">
      <c r="A7819" t="inlineStr">
        <is>
          <t>ぼんやり</t>
        </is>
      </c>
      <c r="B7819" t="inlineStr">
        <is>
          <t>成功</t>
        </is>
      </c>
      <c r="C7819" t="inlineStr">
        <is>
          <t>［名］気持ちが集中せず間が抜けていること。また、その人。
［副］(スル)
１物の形や色などがはっきりせず、ぼやけて見えるさま。「島影が—（と）見える」
２事柄の内容などがはっきりしないさま。「記憶が—（と）している」
３元気がなく、気持ちが集中しないさま。「終日—（と）過ごす」
４気がきかず、間が抜けているさま。「—（と）して手伝おうともしない」</t>
        </is>
      </c>
      <c r="D7819" t="inlineStr">
        <is>
          <t>ぼんやりと見つめ；ぼんやりしてる；ぼんやりと照らし；ぼんやり見える；ぼんやり見つめ</t>
        </is>
      </c>
      <c r="E7819" t="inlineStr">
        <is>
          <t>かすか；微妙；ぼんやりと；何となく；曖昧</t>
        </is>
      </c>
      <c r="F7819" t="inlineStr">
        <is>
          <t>ぼんやり歩い；ぼんやりと白く；ぼんやりとかすん；ぼんやり煙草を吹かし；ぼんやり煙草をふかし</t>
        </is>
      </c>
      <c r="H7819" t="n">
        <v>29</v>
      </c>
      <c r="I7819" t="inlineStr">
        <is>
          <t>彼はぼんやりと、なにか頭の中で考えているらしく見えたのであります。；運命の前に静かに頭を下げ得るためには、今ボンヤリしてはいられない。；かれはボンヤリと寝てばかりゐて、何も面白いことがなささうであつた。；僕も隣に腰を下ろし、それからボンヤリとそこからの風景を眺めてみた。；ただぼんやり、それはつまり、母親の声の大きいのくらいに考えていた。；私は二日ほど家をあけた後で、夕方になつてから、ぼんやり家へ帰つた。；これまでぼんやり育って来た鶴見にはまだ買物をする呼吸がわからない。；この皮肉の描かれ方はぼんやりとしているかもしれないがやり過ぎでもない。；彼は鼻を鳴らしながら、しばらくはただぼんやりと岩の天井を眺めていた。；ボートに到着して間もなく、大きな嵐があったのをぼんやりと覚えている。；頭の上の白い雲が雪のように溶けて消えるのをぼんやりと見あげていた。；ぼんやりとした悲しみが、夜となれば、寝台の上にそっと来て乗る。；ジェシは座って、隣でおしゃべりしている女の話をぼんやり聞いていた。；一二日ぼんやり机の上を眺めてゐたが厭になつて原稿を破ぶいて了つた。；全盲ではなく、物の形がぼんやり分かる程度の視力は残っていたらしい。；なにも考えられず、なにも言えず、ただボンヤリするしかなかったんだ。；いかにボンヤリ者でも、あの恐ろしい獣人の名を知らぬはずはないのだ。；ぼんやりと見てる間に、扉だか部屋だかへ消えてしまいましたがね。；私は女のいなくなった部屋に一人残され、ぼんやりと部屋を見回した。；ぽかんと口を開いたまま、そはへ寄って来るその男をぼんやりながめた。；今自分たちが見ているのは、川からぼんやりと現れた巨大な建物だ。；なぜマックなのだろうかとぼんやり思いながら、ぼくは自分の名を告げた。；意味の深いものであるように、その輪郭をぼんやりながらつかみかけた。；彼は寝衣の乾かしやうのないのに困つて、ぼんやりと窓外を眺めて居た。；すると、その小さい部屋の中に、ぼんやりと光っているものがあるのです。；その意味で自分にもボンヤリした不安はあるということが出来ると思った。；いつかまた、敏ちゃんは、ひとりぼんやりと考えこんでしまったのです。；なるほどぼんやり耳を貸していると、ああ云う風にも聞えないことはない。；あまりに回転が早いので、ボンヤリとした塊りにしか見えないほどだった。</t>
        </is>
      </c>
      <c r="J7819">
        <f>HYPERLINK("https://www.weblio.jp/content/ぼんやり", "词义详情")</f>
        <v/>
      </c>
      <c r="K7819">
        <f>HYPERLINK("https://yourei.jp/ぼんやり", "查看例句")</f>
        <v/>
      </c>
    </row>
    <row r="7820">
      <c r="A7820" t="inlineStr">
        <is>
          <t>本来</t>
        </is>
      </c>
      <c r="B7820" t="inlineStr">
        <is>
          <t>成功</t>
        </is>
      </c>
      <c r="C7820" t="inlineStr">
        <is>
          <t>読み方：ほんらい
（副詞的にも用いる）
１もともとそうであること。元来。「—の目的を考える」「人間は—感情の動物だ」
２それが当たり前であること。道理であること。「—向こうからあいさつに来るべきだ」
[用法]本来・元来——「学校は本来（元来）知識を学ぶための施設である」のように、両語とも相通じて用いられる。◇「本来」には、正式にはとか、現状はそうでないが本当はといった意があり、「本来あってはいけないことだ」「本来、当事者間で解決すべき問題だ」などと使われる。◇「元来」は、はじめからそうであることを示す意がある。「元来病弱な体質なので」「元来日本人はこうした方面のことに疎かったようである」◇両語は「〜の」の形でも使うが、「本来の目的を見失う」「本来の所有者に返す」などは「元来」で置き換えられない。また、「本来なら（ば）」も「本来」だけの用法。「本来なら直接伺ってお願いすべきところですが」</t>
        </is>
      </c>
      <c r="D7820" t="inlineStr">
        <is>
          <t>本来的；本来想定</t>
        </is>
      </c>
      <c r="E7820" t="inlineStr">
        <is>
          <t>通常；そもそも；本当は；普段は；それ自体</t>
        </is>
      </c>
      <c r="F7820" t="inlineStr">
        <is>
          <t>本来的実存；本来の分布域；本来的な形而上学；本来的なあり方；本来的な真理</t>
        </is>
      </c>
      <c r="G7820" t="inlineStr">
        <is>
          <t>本来業務；本来無一物；本来的一罪；本来空</t>
        </is>
      </c>
      <c r="H7820" t="n">
        <v>29</v>
      </c>
      <c r="I7820" t="inlineStr">
        <is>
          <t>委員会から任命された建築家たちは市の本来の設計には手を加えなかった。；焚書坑儒も、この状態を本来の姿に戻そうとする側面があったと述べた。；また、これはMITのプロジェクトが本来想定していた方向性でもある。；だが、本来の意味とは異なる意味でこれらの語句が使用されることがある。；それぞれ を表す字を変形させたもので、本来の字の次に配置される。；本来同じ言葉だが、現代日本語では以下のように使い分けることが多い。；日本の仏教が、本来の仏教から変化・変形している事は、知られている。；そのため、本来は女である白雪姫までも男の工藤が担当することになった。；本来は二拍子だったものが、現在知られるような四拍子にされたとされる。；したがって本来は必ずしも笑えるものだけを意味するとは限らない。；これらの車両は後に本来の設計通り、冷房装置を搭載する改造がされている。；また、その物が本来持っている価値を低下させるのも損壊とみなされる。；これは、本来「自分で気づかなければいけない」とされているためである。；参拝する前に、本来は神の前に向かう前に心身を清める禊が必要である。；本来あるべき数学はこれを多次元化する試みであると考えられる。；つまり戦争の本来の目標とは敵の戦闘力を破壊することに他ならないと考えられる。；リズムとは本来音楽用語であるが、転じて様々な時間の動きを表すものを表す。；本来はマッピングペンと呼び、地図の等高線を描くために利用されていた。；しかしそれらは本来的には「精力善用」に内包された概念となっている。；このことが本来の由来を離れて使用されるに至った。；本来、理は文字自身から、璞を磨いて美しい模様を出すことを意味する。；本来が劇場とは関係なく発展してきたので、劇的な表現は少ない。；ただし本来これは演奏様式の拡張用ではなく、誤差を調整するためのものである。；これによる混同を避けるために本来の桜を地桜と呼ぶこともある。；また、シラーは本来は歴史学ではなく哲学教授の資格を持っていた。；本来は子供を対象としたアニメ・漫画・特撮ヒーロー番組などに夢中になっている大人のファン。；恒星までの距離が判明すれば、本来の明るさである絶対等級が計算できる。；よって本来大の月である明治5年12月は公式には2日しかないことになった。；これらは本来は別の名前がつけられていたが、1921年の独立後に改名されたものである。</t>
        </is>
      </c>
      <c r="J7820">
        <f>HYPERLINK("https://www.weblio.jp/content/本来", "词义详情")</f>
        <v/>
      </c>
      <c r="K7820">
        <f>HYPERLINK("https://yourei.jp/本来", "查看例句")</f>
        <v/>
      </c>
    </row>
    <row r="7821">
      <c r="A7821" t="inlineStr">
        <is>
          <t>本来ならば</t>
        </is>
      </c>
      <c r="B7821" t="inlineStr">
        <is>
          <t>成功</t>
        </is>
      </c>
      <c r="D7821" t="inlineStr">
        <is>
          <t>本来ならば改易；本来ならば死罪</t>
        </is>
      </c>
      <c r="H7821" t="n">
        <v>29</v>
      </c>
      <c r="I7821" t="inlineStr">
        <is>
          <t>本来ならば背の低い私はパレードに参加できなかったかもしれなかった。；本来ならば、全くの第三者にはこの場にいてもらいたくないはずだった。；本来ならばこの任務は自分に課せられるべきものであったろうことを。；本来ならば、そうやって、幸せになることだけを考えていればいい女性だ。；本来ならば私は知名の作家に知遇を求めるような事はしない方である。；本来ならば君が竹林に手を出せるような筋合いではないことを心に刻め!；本来ならば多様であるべき生産領域は輸出の制限から更に縮小させてしまった。；本来ならば王族の生き残りを奉じて戦うべきなのに、それもしていない。；特に、最後の話など、本来ならば毎日、百官が居流れるべき場所である。；本来ならば、トレーダーに損をさせないようにするのもセールスの腕だ。；本来ならばぼくだってそんな名は知らずにいたところである。；本来ならば怒り、どうにかして切り返さなければならないところだった。；本来ならばそういう苦しみはすべて家臣が引き受けるものであった。；本来ならば彼はこのように一人で一室を完全に占領して眠るのが好きであった。；なぜなら、彼は第三王子であり、本来ならば王になれるはずではなかった。；だから、本来ならば二時まえにあの別荘へついてなきゃならんはずです。；このビーム兵器は対艦用の装備で、本来ならば地上で用いるものではない。；本来ならばわたしではなく、お兄様が新入生総代を務めるべきですのに!；本来ならばそれだけで、もう他に言うべきことはないのである。；本来ならばツェルニほどに時を経ていれば、もっと成長していても良いはずだ。；光に照らされて本来ならば折れて存在しない刃の、影が浮かび上がる。；突き当たりは、本来ならば校舎の正面玄関に使われている扉だった。；本来ならば、前年の優勝国フランスで開催されるべきだったのだが。；すなわち本来ならば、主人公は父親を殺した伯父に復讐すべきである。；本来ならば神田議員の視察予定を達也たちはまだ知らないはずなのだ。；本来ならば、海水や川の水をもって身体を清めないと神に近づけなかった。；本来ならば悪い意味しか持たないはずの言葉が、妙に心に染み入った。；本来ならば裸になるべき浴室で、逆に肌を覆っているからだろうか。；だから、本来ならばもっと長くそこに住んでいたかったのだ。</t>
        </is>
      </c>
      <c r="J7821">
        <f>HYPERLINK("https://www.weblio.jp/content/本来ならば", "词义详情")</f>
        <v/>
      </c>
      <c r="K7821">
        <f>HYPERLINK("https://yourei.jp/本来ならば", "查看例句")</f>
        <v/>
      </c>
    </row>
    <row r="7822">
      <c r="A7822" t="inlineStr">
        <is>
          <t>間</t>
        </is>
      </c>
      <c r="B7822" t="inlineStr">
        <is>
          <t>成功</t>
        </is>
      </c>
      <c r="C7822" t="inlineStr">
        <is>
          <t>読み方：あい
１（「間」とも書く）「合い着」「合い服」の略。「—の服」
２名詞の下に付いて接尾語的に用いる。
㋐互いにある動作をすることを表す。「話し—」「触れ—」
㋑様子・調子などの意を表す。「色—」「風(ふう)—」
㋒それに近いこと、そのあたり、の意を表す。「意味—」「沖—」「横—」</t>
        </is>
      </c>
      <c r="D7822" t="inlineStr">
        <is>
          <t>間違；間じゅう；間切；間桐；間にはさん</t>
        </is>
      </c>
      <c r="E7822" t="inlineStr">
        <is>
          <t>時；関係；部屋；時間；室</t>
        </is>
      </c>
      <c r="F7822" t="inlineStr">
        <is>
          <t>半年間；瞬く間；永い間；ic間；畳間</t>
        </is>
      </c>
      <c r="G7822" t="inlineStr">
        <is>
          <t>間もなく；間隔；間に合わ；間違え；間近</t>
        </is>
      </c>
      <c r="H7822" t="n">
        <v>29</v>
      </c>
      <c r="I7822" t="inlineStr">
        <is>
          <t>代わりのボール代だけでも半年間で10万円を超えることになったという。；システム間でメッセージをやりとりするには接続を確立させる必要がある。；数学の範囲と定義については、数学者や哲学者の間で様々な見解がある。；しかし、各分野間には関連領域が存在するため明確に区別することは難しい。；江戸時代初期、各藩は隣接する藩との間で境界争いが盛んとなった。；これが、奈良を中心とする寺院の間に、出版事業を興させるようになる。；各種のマグニチュードの値の間では差異を持つので注意が必要である。；作品の文学性の基準は学者の間の数々の論争の的となってきた。；これが後500年間にわたってヨーロッパの大学で教えられたという。；個人間で行うものから組合やギルド等の特定のグループ内で行うものがある。；舞楽が演じられる際には、その中にさらに3間四方の敷舞台が置かれた。；しかし、ケーブルテレビが発達して間もない時期は、局数が少なかった。；エンジンの位置は前輪と後輪の間に搭載されるものが一般的である。；もっとも、パリとその郊外の県との間では、下水道組合の再編を行った。；このような宗教が広まることで庶民の間にもその宗教は広まっていく。；博士号を取得した後、半年の間のソシュールの行動はわかっていない。；しかし海軍関係者の間で巨大戦艦建造の事実そのものは公然の事実だった。；彼は彗星は惑星の間を直線軌道で運行していると信じていた。；掲載作品がこれらの姉妹誌の間で移籍することも多い。；また震央距離と震度、マグニチュードの間には以下の関係があるとした。；だが、結婚してから1年ほどの間に、彼女の容姿は変わり果てていった。；日本国憲法施行までの半世紀以上の間、一度も改正されることはなかった。；独立の経緯以来、インドとの間では緊張関係が継続している。；これは から見ると引数の論理変数間の関係を記述可能に拡張したものである。；野球の試合結果を利用した賭博が一部の人間の間で行われている。；この不平等さはエリートと土地なし農民の間に強い緊張状態をもたらしている。；間に立ったのは布枝の母の弟で、この叔父の妻の実家が武良家の遠縁だった。；ホームと改札口階との間にはエレベーターが設置されている。；著作権は、著作者が死亡してから70年を経過するまでの間、存続する。</t>
        </is>
      </c>
      <c r="J7822">
        <f>HYPERLINK("https://www.weblio.jp/content/間", "词义详情")</f>
        <v/>
      </c>
      <c r="K7822">
        <f>HYPERLINK("https://yourei.jp/間", "查看例句")</f>
        <v/>
      </c>
    </row>
    <row r="7823">
      <c r="A7823" t="inlineStr">
        <is>
          <t>真～</t>
        </is>
      </c>
      <c r="B7823" t="inlineStr">
        <is>
          <t>成功</t>
        </is>
      </c>
      <c r="C7823" t="inlineStr">
        <is>
          <t>読み方：まな
［接頭］人を表す名詞に付いて、非常にかわいがっている、大切に愛し育てている、などの意を表す。「—弟子」「—娘」</t>
        </is>
      </c>
      <c r="D7823" t="inlineStr">
        <is>
          <t>実際；事実；まったく；全く；実際に</t>
        </is>
      </c>
      <c r="H7823" t="n">
        <v>0</v>
      </c>
      <c r="J7823">
        <f>HYPERLINK("https://www.weblio.jp/content/真～", "词义详情")</f>
        <v/>
      </c>
      <c r="K7823">
        <f>HYPERLINK("https://yourei.jp/真～", "查看例句")</f>
        <v/>
      </c>
    </row>
    <row r="7824">
      <c r="A7824" t="inlineStr">
        <is>
          <t>まあ</t>
        </is>
      </c>
      <c r="B7824" t="inlineStr">
        <is>
          <t>成功</t>
        </is>
      </c>
      <c r="C7824" t="inlineStr">
        <is>
          <t>［副］
１とりあえずするように勧めるさま。何はともあれ。まず。「話はあとにして、—一杯どうぞ」「—お掛けください」
２結果に自信を持てないが、一応してみるさま。とにかく。「ちょっと厄介だが—やってみるか」
３多少のためらいをもちながら、意見を述べるさま。「—やめたほうがいい」「—彼が勝つだろう」
４十分ではないが、一応はがまんできる程度であるさま。「—よくできたほうだ」
［感］驚きや意外な気持ちを表す語。あら。おや。「—、お久しぶり」「—、そうでしたか」「—、失礼ね」</t>
        </is>
      </c>
      <c r="D7824" t="inlineStr">
        <is>
          <t>まあまあ(3%)；まあいい(3%)；まあそんな；まあこんな；まあそういう</t>
        </is>
      </c>
      <c r="E7824" t="inlineStr">
        <is>
          <t>あら；わあ；あらあら；あらまあ；おやまあ</t>
        </is>
      </c>
      <c r="F7824" t="inlineStr">
        <is>
          <t>なんとまあ；よくもまあ；あらまあ；おやまあ；まあそういった</t>
        </is>
      </c>
      <c r="G7824" t="inlineStr">
        <is>
          <t>まあちゃん；まあだ；まあたらしい；まあー；まあだだよ</t>
        </is>
      </c>
      <c r="H7824" t="n">
        <v>29</v>
      </c>
      <c r="I7824" t="inlineStr">
        <is>
          <t>まあこん中に何の位の人間がゐるか知らないけれど、大したものだらう?；二人が全然相互に理解するというようなことはまあまあないことだと思う。；四十歳の彼等の母親は、それをまあどんな心持で眺めているのであろう。；まあいうたら子供の流行歌手ですよってな、多くは期待しませんでした。；まあこういうわけだと、叔父が自分のわかい時の昔話をはじめたのです。；まあ車が好きだったこともあるし、そういうことしか能がないからね。；まあそれもお前が先きに手を出すと云ふ法はないのだから仕方がない。；まあその木のいることなど、まるで、忘れられてしまったのでしょう。；とも子 まあいやだ、誰がひとの食べかいたものなんか食べるもんですか。；まあ斯ういふわけだと、叔父が自分のわかい時の昔話をはじめたのです。；私にはそれがまあまあの成果には見えるが、このような事全てが批判されている。；彼女は「まあ」と言って、びっくりしたような顔をしてはいって来た。；まあ、おれほどいろんな呼ばれ方をされた横綱はいなかったんじゃないかな。；まあ文化の低い地球人類には、そのわけがわからないのも無理ではないがね。；まあ、魚にしたら、いきが悪くなったように思えるんだが、どうかね。；まああなたの言葉を借りればアンニュイそれ自身のような生活だわね。；柳 まあ、そんなことは何うでもいいから、早くお酒をお始めなさいよ。；まあ半分は、高い価を出した大事の切符を使えば気が済むのでもあった。；それにまあ、あの中の一羽は何て妙ちきりんな顔をしてるんだろう。；まあ窓だな、店をひろげたようにいろいろな物がならんでいるだろう。；長吉が僕の部屋へ逃げ込んで来たのは、まあそういう訳だったのです。；昔の人もまあそんな風に考えてしまったのでございます。；まあ、事件に片が付いたら、刑務所で定期的に風呂に入るんでしょうが。；まあ、そのじぶんは毎日、朝と晩に、ダイヤモンドのお茶をのんでいた。；文字清 わたしの方でも頼むから、まあ気の済むようにして下さいよ。；営利を目的とするものですから、まあかってに会社と呼んでいるわけです。；それがまあ、どんなに三郎の変態的な嗜好を満足させたことでしょう。；まあそんなわけで、この村には興味ふかい謎がウンと落ちているのだ。；本當にまあ私、何かあなたのおためになるやうなことがしたいわ。</t>
        </is>
      </c>
      <c r="J7824">
        <f>HYPERLINK("https://www.weblio.jp/content/まあ", "词义详情")</f>
        <v/>
      </c>
      <c r="K7824">
        <f>HYPERLINK("https://yourei.jp/まあ", "查看例句")</f>
        <v/>
      </c>
    </row>
    <row r="7825">
      <c r="A7825" t="inlineStr">
        <is>
          <t>マージャン</t>
        </is>
      </c>
      <c r="B7825" t="inlineStr">
        <is>
          <t>成功</t>
        </is>
      </c>
      <c r="C7825" t="inlineStr">
        <is>
          <t>読み方：まーじゃん
《(中国語)》136個の牌(パイ)を用いて行う室内遊戯。東(トン)（親役）・南(ナン)・西(シャー)・北(ペイ)の場に着いた四人に各13個の牌を配し、各自がルールに従って牌の組み合わせを作って上がりを競うもの。中国で起こり、日本には明治末期に伝わった。</t>
        </is>
      </c>
      <c r="D7825" t="inlineStr">
        <is>
          <t>マージャン屋(5%)；マージャンクラブ；マージャン仲間；マージャン好き；マージャン牌</t>
        </is>
      </c>
      <c r="E7825" t="inlineStr">
        <is>
          <t>麻雀</t>
        </is>
      </c>
      <c r="G7825" t="inlineStr">
        <is>
          <t>マージャン・カキマゼ</t>
        </is>
      </c>
      <c r="H7825" t="n">
        <v>29</v>
      </c>
      <c r="I7825" t="inlineStr">
        <is>
          <t>つまりは、彼がわれわれのマージャン仲間に加わったということである。；マージャンの不健康さは、これまたやった人の誰でも知っている通りである。；どこかの部屋でマージャンでも打っているか、酒でも飲んでいるのであろう。；しかし、彼の場合は徹夜マージャンをやった結果の睡眠不足なのである。；こういう時は家にいてマージャンでもやってるのが一番いいの。；今頃、マージャンをしているに違いない夫が、急に憎らしくなりました。；酒やマージャンも好きだが、仕事も抜群にできる、と聞いていますよ。；彼は隣の離れのマージャンに誘われたのを幸いそちらへ行っている。；しかも、困ったことに犯人は犯行の直前までマージャンをやっておりました。；同じ舟で着いたひとの半分はさっさとマージャン牌を探しに行ってしまった。；マージャンをやっているときには、手の甲から腕にかけての毛が目につく。；自分のはコミック・マージャンじゃないと思ってたってんだからどうもおかしい。；白状すると、マージャンでレコード代を浮かそうかと迷ったことがある。；いや、私の自宅でやるマージャンに呼び集めるメンバーの一人にすぎなかった。；マージャンをする鬼たちも昼間はいなくて、居間はなんだかとても静かだった。；その辛苦万苦を映画やマージャンや酒やゴルフで忘れようとしているのだ。；どうして人々は、船の中で楽しくマージャンしたりできるのだろう。；そんなわけで、わたしはマージャンをやめてしまったのである。；やがてメンバーを変えた男たちはマージャンを再開した。；一人が酒の話をし、一人がマージャンの話をしている。；そうして用意しておいた羽織や帯などを、マージャン台に置いた。；花札はこの先生のあぐらの膝の上で覚えたし、マージャンもそうだ。；独身時代、二人はテニス、マージャンの遊び仲間、飲み仲間でもあった。；ポケットの中に友人とやったマージャンの借用証の入っていることもある。；つまり彼は私とマージャンが打ちたかったのだろう。；彼はその晩友人たちと、マージャンをしていたのである。；マージャンを半荘やる間の時間で十分彼女の死亡は遂行された。；済まないのはマージャン屋の二階で死んでしまっているサラリーマンたちである。；園山俊二がマージャン仲間に加わったときには、ほぼ初心者であった。</t>
        </is>
      </c>
      <c r="J7825">
        <f>HYPERLINK("https://www.weblio.jp/content/マージャン", "词义详情")</f>
        <v/>
      </c>
      <c r="K7825">
        <f>HYPERLINK("https://yourei.jp/マージャン", "查看例句")</f>
        <v/>
      </c>
    </row>
    <row r="7826">
      <c r="A7826" t="inlineStr">
        <is>
          <t>まあまあ</t>
        </is>
      </c>
      <c r="B7826" t="inlineStr">
        <is>
          <t>成功</t>
        </is>
      </c>
      <c r="C7826" t="inlineStr">
        <is>
          <t>《「まあ」を重ねた語》
［形動］十分ではないが、一応は満足できるさま。「—な出来」「客の入りは—だ」
［副］
１に同じ。「彼にしては—よくやった」
２とりあえずある事をするようにすすめるさま。まず。とにかく。「あいさつはあとにして、—お上がりください」
［感］
１驚きや意外な気持ちを表す語。あらあら。おやおや。「—、よくいらっしゃいました」「—、こんなことをして」
２相手を抑えなだめるときに用いる語。「—そう言うなよ」</t>
        </is>
      </c>
      <c r="D7826" t="inlineStr">
        <is>
          <t>まあまあまあ；まあまあ満足；まあまあ順調；まあまあ可愛い</t>
        </is>
      </c>
      <c r="E7826" t="inlineStr">
        <is>
          <t>やや；ある程度；平凡な；それなりに；そこそこ</t>
        </is>
      </c>
      <c r="H7826" t="n">
        <v>29</v>
      </c>
      <c r="I7826" t="inlineStr">
        <is>
          <t>まあまあ、その件についてはそれでいいことにしておいてあげましょう。；二人が全然相互に理解するというようなことはまあまあないことだと思う。；それでこんな気持で、ぼくは夕方こんなまあまあの平凡な一日をおえた。；まあまあ何よりでしたねえ、 今夜からよくねられる様になるでしょう。；目だけじゃなくて、顔も頭も清い心も、まあまあよく出来てるっつーの!；あなたは毎日、手ごろな食堂でまあまあの食事をきちんととりたいですか?；資産は、まあまあ、この辺では一、二だと世間の人に云われております。；私にはそれがまあまあの成果には見えるが、このような事全てが批判されている。；正面から見るとまあまあだが、横から見るとウルトラセブンみたいである。；間に職工長がまあまあと入って、今度は別の仕事場へ連れていかれた。；そこで決意し、前記の減量をやり、まあまあのスタイルを保持している。；顔はまあまあで、胸の大きく開いた真っ赤なドレスを着ていただろう?；三〇歳のまあまあ好男子と言えそうな男が、落ち着かない表情をしている。；まあまあこれまでになりまして大安心をいたしております。；私はまあまあの出来だと思うようなようすをしてみせた。；これならまあまあ、と思っていると、むこうのほうで逃げていってしまう。；学内には彼を理解する、もちろんまあまあなんかではなく美しい少女がいる。；「まあまあ」 シルビナがそういいながら、勢いよく部屋に入ってきた。；家賃もまあまあ、平均的な東京のアパートと同じと考えていただいていい。；食事や部屋の広さもまあまあだったし、海もほとんど人がいないので気持ちがよかった。；献帝はいまは曹操の保護監督下に置かれてまあまあのいい暮らしをしている。；欲をいえばきりはないが、お互いに相手をまあまあの線だと思う。；で、この山の中からまあまあ良いものをこのくらい別にする。；絵のほうはまあまあで、たとえば荒野の風景といったようなものです。；しかしそういう考え方が「まあまあ居士」と言われる所以かもしれない。；生意気だけどまあまあ可愛いし、ガールフレンドができたと思えばいい。；完全な訳とは言えないが、まあまあ適当な訳ということにしといてください。；妹とは二年前に結婚したのですが、まあまあいい男だと私は見ていたのでございます。；「まあまあ、興奮するな」かれは羊皮紙を近くのテーブルへ持っていった。</t>
        </is>
      </c>
      <c r="J7826">
        <f>HYPERLINK("https://www.weblio.jp/content/まあまあ", "词义详情")</f>
        <v/>
      </c>
      <c r="K7826">
        <f>HYPERLINK("https://yourei.jp/まあまあ", "查看例句")</f>
        <v/>
      </c>
    </row>
    <row r="7827">
      <c r="A7827" t="inlineStr">
        <is>
          <t>舞い上がる</t>
        </is>
      </c>
      <c r="B7827" t="inlineStr">
        <is>
          <t>成功</t>
        </is>
      </c>
      <c r="C7827" t="inlineStr">
        <is>
          <t>読み方：まいあがる
［動ラ五（四）］
１舞うようにして空中高くあがる。「ひばりが—・る」「ほこりが—・る」
２浮かれていい気になる。有頂天になる。「すっかり—・って、我を忘れる」</t>
        </is>
      </c>
      <c r="D7827" t="inlineStr">
        <is>
          <t>喜ぶ；夢中になる；舞いあがる；翔ける；嬉しくなる</t>
        </is>
      </c>
      <c r="F7827" t="inlineStr">
        <is>
          <t>もうもうと舞い上がる；ふわりと舞い上がる</t>
        </is>
      </c>
      <c r="H7827" t="n">
        <v>29</v>
      </c>
      <c r="I7827" t="inlineStr">
        <is>
          <t>別れた彼のことも、夫として理想に近いと思ったから舞い上がっていた。；その光の中に、ばらばらになった屋根や柱が高く舞い上がるのが見えた。；それで、その子は伽藍が舞い上がるのは奇蹟でもなんでもないと考えた。；視界の隅に、頬を赤らめ、異様に舞い上がった様子の女性がいることに。；そのうちに屋根でも落ちたかのように新しい火の粉が林の上に舞い上がった。；あたかも目に見えぬ翼で高く舞い上がり、空を飛んでいるかのようだった。；竜巻ではなく、ただ砂が勢よく天に向って舞い上がって行くのである。；黒い鳥がどこからともなく飛んで来て、海面をついばんでは舞い上がる。；彼女の魂はマリーヌのレースの翼をつけて蒼空のうちに舞い上がっていた。；そして一人で舞い上がっていた俺はなんだったんだと情けなく思う。；近くの山や森の中から、無数の黒い影がいっせいに空に舞い上がった。；お父さんは、お母さんと結婚できて空に舞い上がりそうなほど幸せだったよ。；桜丸は子どもを背負い、そのあたりで一番高い寺の屋根へと舞い上がった。；だって、あの女に真相を教えたら、さらに舞い上がっちゃいそうだもの。；メンベリーの上空に舞い上がった時の興奮を何度思い出したかしれない。；その時風が吹き、広告が煙突から舞い上がって飛んで行ってしまった。；車道の両側は舗装されていないので、そこから埃りが舞い上がっている。；いつの間にか全身を現して宙に舞い上がっていた女がそれに加わった。；洞窟に積もった埃を舞い上がらせ、相手の視界をふさごうと考えたのだ。；仲間と一緒にフライングドラゴンの背に乗り、空に舞い上がっていった。；その後尾からはき出す強い風はたくさんの草の葉を舞い上がらせていった。；砂塵が大きく舞い上がったのは、急な速度でほぼ直角に曲がったからだ。；みな舞い上がって一晩中飲み明かして、そのままの勢いでここに来た。；舞い上がった爆煙を利用して、近づいてきた狼面衆に不意打ちをかける。；砂利の道であるが、その上に置かれてある砂が舞い上がるのである。；これは舞い上がってわけがわからなくなっても誰も責めることはできないだろう。；高く舞い上がったボールは、そのまま 俺達の味方陣地に落ちてくる。；ふたりの声、かれの声、彼女の声が、いっしょに舞い上がるのが聞こえた。；僕が石を投げると、一時に空へ舞い上がって、それはきれいであった。</t>
        </is>
      </c>
      <c r="J7827">
        <f>HYPERLINK("https://www.weblio.jp/content/舞い上がる", "词义详情")</f>
        <v/>
      </c>
      <c r="K7827">
        <f>HYPERLINK("https://yourei.jp/舞い上がる", "查看例句")</f>
        <v/>
      </c>
    </row>
    <row r="7828">
      <c r="A7828" t="inlineStr">
        <is>
          <t>毎回</t>
        </is>
      </c>
      <c r="B7828" t="inlineStr">
        <is>
          <t>成功</t>
        </is>
      </c>
      <c r="C7828" t="inlineStr">
        <is>
          <t>読み方：まいかい
繰り返しめぐってくる、そのたびごと。毎度。「—違う相手と現れる」</t>
        </is>
      </c>
      <c r="D7828" t="inlineStr">
        <is>
          <t>毎回ゲスト(3%)；毎回異なる(2%)；毎回同じ；毎回テーマ；毎回登場</t>
        </is>
      </c>
      <c r="E7828" t="inlineStr">
        <is>
          <t>毎日；定期的に；伝統的に；何かと；しょっちゅう</t>
        </is>
      </c>
      <c r="F7828" t="inlineStr">
        <is>
          <t>毎回参加；毎回変わる；毎回番組；毎回放送；毎回スタジオ</t>
        </is>
      </c>
      <c r="H7828" t="n">
        <v>29</v>
      </c>
      <c r="I7828" t="inlineStr">
        <is>
          <t>毎回、1つのテーマを設定しそれに基づいたエピソードを展開している。；旅のテーマは毎回異なり、その回ごとの到達目標を定めて行っていた。；この民衆祭は千年の歴史を有し、毎回1日あたり数千人の来訪者がある。；上田たちは毎回番組側から出される指令に基づいて企画を遂行していた。；ほか上記以外にも様々な競技が存在し、毎回構成が変わるのが特徴であった。；物語内ではほぼ毎回のように奇妙な張り紙が貼られた場所が登場する。；毎回の調査・報告内容は、番組「独自の調査」によるものとされている。；毎回やるわけではなく内村の気分次第であった為半年に一回行う程度であった。；ここでは、毎回ゲストを呼んで様々なテーマでトークするものだった。；豊橋エコテクノレースに機械部が出場し、毎回良好な成績を収めている。；中期あたりから、アイキャッチのセリフが毎回異なるものとなっていた。；番組の前半期には佐野が毎回さまざまな役に扮して番組を進行した。；当初は毎回2組のアーティストが登場していたが、最近は1組が多い。；毎回収録のたびに、彼女の美しい姿を見ることができたからです。；毎回母娘が出場し、悩みや不満をエピソードをしたりしていく番組である。；毎回数名のゲストと共にテーマ別のトークを行うバラエティ番組である。；シリーズではあるものの、各作品の世界観は独立しており毎回設定が異なる。；またピアノも得意で三枝家で感情が高ぶった時にほぼ毎回弾いていた。；大会規定は毎回異なり、大会実績を反映させて毎回改良されている。；秋にはその他毎回様々な企業の主催による謎解きイベントが開催されている。；エンディングも毎回違い、これも原作のエピソードから作られている。；エンディングは、キャラクターやアイテムの数・動きが毎回変わっている。；また、毎回ではないが、ドラマの最後で出演者のトークコーナーがあった。；次の第21回参院選からは毎回、山陽地方出身の首相の下で行われている。；公開生放送のため、ほぼ毎回の音楽に合わせて観客の手拍子が入っていた。；同じ曲でも毎回ニュアンスを変えており、同じように演奏することはまずない。；地元の品川神社で催されたのど自慢大会には毎回姉妹で参加していた。；これらは毎回同じ動作をするようプログラムされていた。；各セッションの終了後には、毎回必ず再アセスメントを実施すべきである。</t>
        </is>
      </c>
      <c r="J7828">
        <f>HYPERLINK("https://www.weblio.jp/content/毎回", "词义详情")</f>
        <v/>
      </c>
      <c r="K7828">
        <f>HYPERLINK("https://yourei.jp/毎回", "查看例句")</f>
        <v/>
      </c>
    </row>
    <row r="7829">
      <c r="A7829" t="inlineStr">
        <is>
          <t>マイク</t>
        </is>
      </c>
      <c r="B7829" t="inlineStr">
        <is>
          <t>成功</t>
        </is>
      </c>
      <c r="C7829" t="inlineStr">
        <is>
          <t>読み方：まいく
「マイクロホン」の略。</t>
        </is>
      </c>
      <c r="D7829" t="inlineStr">
        <is>
          <t>マイクロフト(2%)；マイクリス；マイク片手；マイクなし；マイク端子</t>
        </is>
      </c>
      <c r="E7829" t="inlineStr">
        <is>
          <t>マイクロフォン；マイクロホン</t>
        </is>
      </c>
      <c r="F7829" t="inlineStr">
        <is>
          <t>集音マイク；盗聴マイク；隠しマイク；用マイク；小型マイク</t>
        </is>
      </c>
      <c r="G7829" t="inlineStr">
        <is>
          <t>マイクロ；マイクロ波；マイクロプロセッサ；マイクロバス；マイクロフォン</t>
        </is>
      </c>
      <c r="H7829" t="n">
        <v>29</v>
      </c>
      <c r="I7829" t="inlineStr">
        <is>
          <t>ヒンデンブルクはマイクの前に立つのが初めてだったのであがっていた。；故郷を後にし放浪の旅に出たマイクは、離れた街の図書館の司書となる。；継父のマイクとスーザンの間に生まれた息子MJは父違いだが弟である。；近年の店舗ではマイクの下に注文を表示するディスプレイが導入されている。；世界王座獲得後に藤はこれをマイクの前で絶叫し、日本人の心を打った。；技術基準も改正されPTTスイッチ付マイクを使用することが可能となった。；付属のマイクに向かって話したことが実際にタイプされる道具。；それぞれがお金を出し合って機材やマイクを購入して作曲をしていく。；言葉ではない、意味のない音でもこのマイクが拾えば感動させることが可能。；マイク・カメラを接続することによって、音声及び映像で会話ができる。；マイク部分は回転させることができ、狙った方向の音を録音しやすくなっている。；MEIKOでは当初マイクのイラストが候補として挙がっていたという。；ハンドマイクに手足の付いたような姿で、マイクの部分に目と口がある。；本作はマイクを除いたメンバーでそのほとんどが録音された。；この機械を椅子に取り付け、マイクで命令するとその通りの形に椅子が改良される。；マイク前から楽器に移動する様子も放送に収録されている。；マイクはザックがあまりうまくいっていないという事実を拾い上げます。；マイクはコンピュータとしては動作するが全く会話をしなくなってしまっていた。；マイクの運転する車は激しく横転したものの、二人は命に別条はなかった。；固定用マイクは机に置いたまま、マイクロフォンに向かって話しかける。；収録では声だけでなくマイクの位置も意識しており、かなりの注文を行っているという。；また現場には吉野の両親が訪れ、交代でマイクで投降するよう呼びかけた。；逆に必要のない出入口部のガイド席や客席のマイクなどは装備されていない。；マイクの周遊はクララによって記録されており、現在も保管されている。；ようやく島球審がマイクで場内に状況を説明したのは午後11時41分。；マイク・ウォレスは番組開始当時から出演していたが、2006年に引退。；その後、プロモーターは夫婦とマイクを連れてアメリカ中を興行に周った。；彼女はまだ小さかったため、ビールの木枠の上に立ちマイクで歌った。；アクセルは歴史上マイクを握ったフロントマンのなかでも最高のひとりだよ。</t>
        </is>
      </c>
      <c r="J7829">
        <f>HYPERLINK("https://www.weblio.jp/content/マイク", "词义详情")</f>
        <v/>
      </c>
      <c r="K7829">
        <f>HYPERLINK("https://yourei.jp/マイク", "查看例句")</f>
        <v/>
      </c>
    </row>
    <row r="7830">
      <c r="A7830" t="inlineStr">
        <is>
          <t>迷子</t>
        </is>
      </c>
      <c r="B7830" t="inlineStr">
        <is>
          <t>成功</t>
        </is>
      </c>
      <c r="C7830" t="inlineStr">
        <is>
          <t>読み方：まいご
《「まよいご」の音変化》道がわからなくなったり、連れにはぐれたりすること。また、その子供やその人。まよいご。</t>
        </is>
      </c>
      <c r="D7830" t="inlineStr">
        <is>
          <t>迷子札(2%)；迷子になりそう；迷子探し；迷子事件；迷子センター</t>
        </is>
      </c>
      <c r="E7830" t="inlineStr">
        <is>
          <t>迷い子</t>
        </is>
      </c>
      <c r="F7830" t="inlineStr">
        <is>
          <t>小さな迷子；はぐれて迷子；単なる迷子</t>
        </is>
      </c>
      <c r="G7830" t="inlineStr">
        <is>
          <t>迷子犬と雨のビート</t>
        </is>
      </c>
      <c r="H7830" t="n">
        <v>29</v>
      </c>
      <c r="I7830" t="inlineStr">
        <is>
          <t>この家はそれほどでもないにしろ、やっぱり迷子になりそうなほど広い。；考えはじめるとわからないことばかりで、思考が迷子になりそうだった。；あいつだってできたら助けてあげなくちゃいけない迷子のひとりだよ。；あたしは裸になった木の前で迷子になったときのショックに襲われていた。；不逞な、人を人とも思わない男が、まるで迷子のような表情をしていた。；透は迷子になった少女のように身をふるわせて、両手でからだを抱いた。；梨花ちゃんはヘンな道を通ることが多いからね、よく迷子になるんだよ。；「迷子になってしまったにきまってるわ」 女はそう言ってまた泣いた。；迷子の女の子がいましたから、追いかけて建物の外に案内してたんですよ。；それに、いなくなった連中は、洞窟のなかで迷子になってる可能性が高え。；きっとあちこちに、私のような存在が何人も迷子になっていることでしょう。；わたし、迷子になったことなんて、生まれてこの方一度もありませんよ?；分かりやすく雪口うと、迷子になって怯える子供に接するような感じで。；迷子になっていたのに遊んでいるつもりだったというのは気に入っている。；迷子になった子供をやっと見つける事ができた、父親の顔でしかなかった。；いまは遊んでいるつもりが、実は迷子になっているのかもしれない。；それを悪く疑えば、わざと迷子札をつけずに置いたとも云われるんです。；迷子になるまでの毎日を、おしのは正吉と片時も離れずに過ごしてきた。；ひとの真似ばかしする厄介な癖の白崎も、迷子になったのかとあわてた。；地図をしっかりと読める力がないと、迷子になってしまう危険もある。；ついさっき迷子になったばかりだというのに、もう元気に走り回っている。；迷子になるほど自由に城内を散策することを、はたして誰が許したのか。；わたし、迷子の犬みたいに、あの人のことを広告に出したいと思っているの。；この際発見された部分は非常に複雑で、事故はなかったが迷子騒動があった。；迷子の犬にも見えないから、鎖を外されて散歩しているのだろうか。；つまり、あの祭りでの迷子は、現在の私を予想していたことになる。；人間が竹藪の中に入ってくると、術をかけてその者を迷子にさせる。；そのためか敷地が非常に広く、不慣れな生徒はほぼ確実に迷子になるという。；彼は迷子になってしまったが、ほとんどそれを気にかけなかった。</t>
        </is>
      </c>
      <c r="J7830">
        <f>HYPERLINK("https://www.weblio.jp/content/迷子", "词义详情")</f>
        <v/>
      </c>
      <c r="K7830">
        <f>HYPERLINK("https://yourei.jp/迷子", "查看例句")</f>
        <v/>
      </c>
    </row>
    <row r="7831">
      <c r="A7831" t="inlineStr">
        <is>
          <t>毎週</t>
        </is>
      </c>
      <c r="B7831" t="inlineStr">
        <is>
          <t>成功</t>
        </is>
      </c>
      <c r="C7831" t="inlineStr">
        <is>
          <t>読み方：まいしゅう
1週間ごと。週がかわるたび。「—メニューが変わる」「—金曜日に集まる」</t>
        </is>
      </c>
      <c r="D7831" t="inlineStr">
        <is>
          <t>毎週金曜日(7%)；毎週土曜日(6%)；毎週日曜日(6%)；毎週月曜日(5%)；毎週水曜日(4%)</t>
        </is>
      </c>
      <c r="F7831" t="inlineStr">
        <is>
          <t>毎週ゲスト；毎週更新；毎週異なる；毎週開催；毎週週替わり</t>
        </is>
      </c>
      <c r="H7831" t="n">
        <v>29</v>
      </c>
      <c r="I7831" t="inlineStr">
        <is>
          <t>大半の作品が毎週更新だが、一部月1更新・隔週更新の作品も存在する。；ゲストの組数やなどによっては毎週必ずしも放送されるわけではない。；番組開始当初は今のような隔週交代出演制ではなく、毎週出演が多かった。；毎週一つのテーマに沿って、基本的にはJIRO本人が選曲をしている。；その日に予定がなければ毎週土曜日夜8時から30分ほど行われている。；音楽院で毎週行われていた週末ライブに2年間すべての公演に出場する。；毎週、社会情勢や流行等様々なテーマを定めて掘り下げる内容であった。；この番組は毎週、その週のニュースをドラマ仕立てで紹介するものだった。；毎週特定のテーマに沿って経済やお金についての情報を伝える番組。；また体力如何に関係なくイベントがない限り毎週日曜日は取材出来ない。；毎週視聴者プレゼントがあり、公開抽選会が番組の最後で行われている。；毎週1人のゲストがプロデューサーとなって自らVTRを企画・制作する。；家庭の主婦のため、暮らしに役立つ情報を毎週この日に紹介していた。；また、六本木の居酒屋で毎週会うなど、その後の交流も多かったという。；更に生放送番組であることから小堺は毎週土曜日は大阪で朝を迎えていた。；番組開始当初から季節問わず毎週放送されていたコーナー。；毎週原則として1頭の馬を取り上げていたが、2頭を取り上げた回もある。；農学部を挟んで数百メートルの距離にあるが、毎週談話会が開催されている。；日曜日付けで毎週発行される、タブロイド版の通常36面の新聞である。；同年8月にはマーキー・クラブに毎週水曜日の夜に出演する様になる。；この他、テレ朝チャンネルでも毎週金・土・日曜日に放送されている。；毎週放送時代はコーナーが番組後半に設定されていた。；他、吉本興業所属の芸人を中心に、毎週数名のゲストが出演していた。；通常は、毎週木曜日に収録したうえで、翌日の午前中に更新していた。；また、寒冷期を除いては、毎週チーズ市が開催されることでも有名である。；中にはほぼ毎週出演するゲストもいれば、不定期に継続的に出演するゲストもいた。；番組では後述するように毎週週替わりの企画を展開していく。；特に北海道では札幌放送局制作の地域番組を毎週放送していた。；内容は健康に関してのテーマを毎週1つ、専門家と共に取り上げていく。</t>
        </is>
      </c>
      <c r="J7831">
        <f>HYPERLINK("https://www.weblio.jp/content/毎週", "词义详情")</f>
        <v/>
      </c>
      <c r="K7831">
        <f>HYPERLINK("https://yourei.jp/毎週", "查看例句")</f>
        <v/>
      </c>
    </row>
    <row r="7832">
      <c r="A7832" t="inlineStr">
        <is>
          <t>枚数</t>
        </is>
      </c>
      <c r="B7832" t="inlineStr">
        <is>
          <t>成功</t>
        </is>
      </c>
      <c r="C7832" t="inlineStr">
        <is>
          <t>読み方：まいすう
紙や板などの数。「限られた—」</t>
        </is>
      </c>
      <c r="D7832" t="inlineStr">
        <is>
          <t>枚数分；枚数限定；枚数制限；枚数以上；枚数集める</t>
        </is>
      </c>
      <c r="F7832" t="inlineStr">
        <is>
          <t>出荷枚数；売り上げ枚数；発行枚数；販売枚数；規定枚数</t>
        </is>
      </c>
      <c r="H7832" t="n">
        <v>29</v>
      </c>
      <c r="I7832" t="inlineStr">
        <is>
          <t>獲得枚数が100枚を超えた時点で、選択されていた楽曲が確定される。；その認定枚数はリリース形式と出荷数によって以下のように違ってくる。；カードの枚数が多い以外に、ルールの上でいくつかの異なる点がある。；大量にプリントする場合は枚数にもよるが数年で元が取れる場合がある。；ここに表記されていないものも含めると倍以上の枚数がリリースされている。；料理が完成するまでの間に指定された枚数分しりとりを完成させる。；パイ・レコードでの契約枚数を合わせるためにリリースされたともされる。；しかし、後に発売された日本盤とほとんど変わらない枚数を売り上げた。；彼らの記録的な総販売枚数は、世界中で2億から3億枚と推定されている。；元々の発行枚数が少なく現存数は非常に少ないと推測される。；それはセル画の枚数をかけずに面白く見せるために開発した手法でもあった。；女房の服装規定にはその他に、綾の制限や、袿の枚数の制限等があった。；イベントシーンは合計で約30時間に及び、作画枚数は1万枚を超える。；なお、使用目的の範囲であれば、1人あたりの発行枚数に制限はない。；一人が所持出来るカードの枚数はその冒険者の実力に応じて増加する。；それまでのパチスロのBIGの最大獲得枚数は711枚とされていた。；枚数が多いほど、関連する技・魔法・スキルカードの入手確率に影響する。；規定枚数以上に原稿を書いてしまい、後から削ることが多いという。；手の最初の攻撃では、攻撃の枚数を5枚までに制限する人がいる。；また刃の枚数が多いほどヘッドが大きくなり、細かい操作が難しくなる。；同じ表現をするものであっても、表示方法によりフラップの枚数は変わる。；今作はレベルの概念はなく、イベントでHPと使用カード枚数が上昇する。；ただし混雑するために人数制限があり、入場券の枚数は限られている。；本作で使用されたセルの枚数は約6万枚で、平均3万枚の2倍以上に及ぶ。；中国のカードは一般的にトランプなどに比べて枚数が多く、幅の細いものが多い。；また2010年度中に累計発売枚数が10万枚を超えるとされている。；販売されるチケットの枚数に制限はなく、1000枚以上が販売されていた。；基本構造はロール状の印刷済み切手を、販売枚数でカットして販売する。；そのため27枚撮りフィルムの枚数情報部分はすべて絶縁となっている。</t>
        </is>
      </c>
      <c r="J7832">
        <f>HYPERLINK("https://www.weblio.jp/content/枚数", "词义详情")</f>
        <v/>
      </c>
      <c r="K7832">
        <f>HYPERLINK("https://yourei.jp/枚数", "查看例句")</f>
        <v/>
      </c>
    </row>
    <row r="7833">
      <c r="A7833" t="inlineStr">
        <is>
          <t>埋蔵</t>
        </is>
      </c>
      <c r="B7833" t="inlineStr">
        <is>
          <t>成功</t>
        </is>
      </c>
      <c r="C7833" t="inlineStr">
        <is>
          <t>読み方：まいぞう
［名］(スル)
１地中に埋め隠すこと。また、埋もれ隠れていること。「—されていた小判」
２鉱物資源が地中に埋もれていること。「石油の—量」</t>
        </is>
      </c>
      <c r="D7833" t="inlineStr">
        <is>
          <t>埋蔵量(48%)；埋蔵金；埋蔵品；埋蔵地；埋蔵場所</t>
        </is>
      </c>
      <c r="F7833" t="inlineStr">
        <is>
          <t>確認埋蔵；原油埋蔵；豊富な埋蔵；石炭埋蔵；莫大な埋蔵</t>
        </is>
      </c>
      <c r="G7833" t="inlineStr">
        <is>
          <t>埋蔵金；埋蔵文化財センター；埋蔵文化財包蔵地；埋蔵物；埋蔵施設</t>
        </is>
      </c>
      <c r="H7833" t="n">
        <v>29</v>
      </c>
      <c r="I7833" t="inlineStr">
        <is>
          <t>さらに天然ガスは地域に大量の埋蔵量があるために広く利用されている。；これらすべての要因は現在、世界の埋蔵量に寄与すると考えられている。；その埋蔵量は陸地および州領域に入る海面下で豊富に発見されている。；しかし恒藤はリンを含有した石灰石が大量に埋蔵されていると判断した。；中央埋蔵経はニンマ派の九乗と類似しているが、北伝埋蔵経は失われた。；金沙江・瀾滄江・怒江沿岸には100種類以上の金属が埋蔵されている。；その他、島のほとんどの地表付近にリン土やリン鉱石が埋蔵されていた。；シモンズはそこに含まれる埋蔵硝石のために巨大洞窟を開発し始めた。；また、70万両の古金銀を石の蓋匣に入れて地中に埋蔵したと言われる。；本来何を目的としてボグ・バターが埋蔵されたのかは明らかではない。；また、資源埋蔵量にも限りがあるため持続性からも問題視されている。；カーボン郡は郡内に豊富に発見された石炭埋蔵量に因んで名付けられた。；ウユニ塩原はリチウム埋蔵量で世界の半分を占めると見積もられている。；また、近年ポーランドで巨大なシェールガス埋蔵量が確認されている。；埋蔵ストランデッド・ガスの採掘方法を開発している企業はいくつかある。；そのような解析は、将来における埋蔵量の増加を考慮に入れていない。；世界中に大量に埋蔵されており、枯渇することはまず無いと言える。；油田の位置とその埋蔵量は近代以降、各国の紛争の原因の一つとなっている。；郡名は地域に莫大な石炭が埋蔵されていたことから名付けられた。；埋蔵量については種々の試算方式があり、それぞれに大きな開きがある。；それでなくとも今残っている鉱山もセルニウムの埋蔵量に不安を抱えていた。；樺太周辺の大陸棚の地下には、豊富な原油・天然ガスが埋蔵されている。；もちろん、鉱山に埋蔵されたセルニウムにもいずれは底を突く時が来る。；同島には何十トンもの埋蔵量の金があると推定されている。；大方の意見によれば、そこには莫大な宝が埋蔵されているとのことであった。；我々はもはや原油の自然埋蔵に依存しないでガソリンを合成することができる。；埋蔵量の予測は、楽観的であるか悲観的であるかによっても影響を受ける。；郡名は特に石炭が埋蔵されていたので、鉱物からミネラルと名付けられた。；また、褶曲に伴って形成されたと考えられる天然ガスや石油の埋蔵も多い。</t>
        </is>
      </c>
      <c r="J7833">
        <f>HYPERLINK("https://www.weblio.jp/content/埋蔵", "词义详情")</f>
        <v/>
      </c>
      <c r="K7833">
        <f>HYPERLINK("https://yourei.jp/埋蔵", "查看例句")</f>
        <v/>
      </c>
    </row>
    <row r="7834">
      <c r="A7834" t="inlineStr">
        <is>
          <t>毎月</t>
        </is>
      </c>
      <c r="B7834" t="inlineStr">
        <is>
          <t>成功</t>
        </is>
      </c>
      <c r="C7834" t="inlineStr">
        <is>
          <t>読み方：まいげつ
月ごと。つきづき。まいつき。</t>
        </is>
      </c>
      <c r="D7834" t="inlineStr">
        <is>
          <t>毎月第(7%)；毎月一回；毎月最終；毎月二；毎月十</t>
        </is>
      </c>
      <c r="E7834" t="inlineStr">
        <is>
          <t>月々；月例；マンスリー；月ごと；月次</t>
        </is>
      </c>
      <c r="F7834" t="inlineStr">
        <is>
          <t>毎月数；毎月毎月；毎月連載；毎月一定；毎月百</t>
        </is>
      </c>
      <c r="G7834" t="inlineStr">
        <is>
          <t>毎月抄；毎月分配型投資信託；毎月勤労統計</t>
        </is>
      </c>
      <c r="H7834" t="n">
        <v>29</v>
      </c>
      <c r="I7834" t="inlineStr">
        <is>
          <t>ただし、それは毎月作品を採用かつ量産された場合の契約条件であった。；平綴じになってからのページ数は毎月ほぼ500ページ強となっている。；月ごとに季節に合わせたパンフェアが行われ、毎月新製品が発売される。；毎月の代表委員会の司会進行運営、その他学校の行事の計画などを行う。；しかし毎月末に進級テストを行い最下位となった生徒は番組降板となる。；リストには氏名だけではなく、彼らの評価や毎月の報酬まで書かれていた。；なお、創刊号から続く巻頭言には毎月著名な学者が雑記を執筆している。；ある年には一年を通して7月以外は毎月雪が必ず降ったこともあるという。；主に毎月1回程度の土・日曜日または祝日の午後に44分間放送された。；夏までには毎月30万名もの兵士がアメリカから輸送されている。；ファッション関係の記事を中心に以下のような企画が毎月、連載されている。；このように毎月売上原価が伸び続けることで年間CFがマイナスになる。；そのような出版社は、同じタイトルの書籍を毎月出す形で事実上の雑誌としている。；その後、イベントは毎月一回のペースで都内各地の公園で開催された。；入門編部分は、通年となっていて、毎月1つのテーマが決められている。；毎月一回、各委員会委員長と一部の計画委員が参加して代表委員会が行われる。；天文学的な内容については、毎月開かれた学芸委員会で吟味されていた。；燁子と婚姻中の傳右衛門からは毎月相当額の功光の学費が送られていた。；そして情操教育の一環として、ほぼ毎月のように映画の上映会があった。；現在は、毎月25日に翌月分の抽選実施日を公式サイトで公表している。；リスナーからの意見を元に毎月そのテーマのベストなものを決める。；その名の通り月刊ペースで更新され、毎月の最新情報を収録していた。；毎月12日と24日に開かれ、プレイヤー同士での対戦が可能となっている。；その後、徐々にレギュラー化しほぼ毎月出演するようになった。；ラムズイベントホールにて毎月イベントを開催しておりゲームやライブ等を行っていた。；前者の試験日はほぼ毎月、試験地は全国十数か所となっている。；毎月2回更新なのでタイムラグが生じるが選手や試合などの情報が放送されている。；現在は主に企画もの作品を毎月リリースしている。；また、季節によっての新聞を出したり、毎月の保健注意なども発布する。</t>
        </is>
      </c>
      <c r="J7834">
        <f>HYPERLINK("https://www.weblio.jp/content/毎月", "词义详情")</f>
        <v/>
      </c>
      <c r="K7834">
        <f>HYPERLINK("https://yourei.jp/毎月", "查看例句")</f>
        <v/>
      </c>
    </row>
    <row r="7835">
      <c r="A7835" t="inlineStr">
        <is>
          <t>毎度</t>
        </is>
      </c>
      <c r="B7835" t="inlineStr">
        <is>
          <t>成功</t>
        </is>
      </c>
      <c r="C7835" t="inlineStr">
        <is>
          <t>読み方：まいど
１同じ事が繰り返されること。そのたびごと。「遅刻は—のこととはいえ」
２（副詞的に用いて）いつも。「—ありがとうございます」</t>
        </is>
      </c>
      <c r="D7835" t="inlineStr">
        <is>
          <t>毎度毎度(6%)；毎度おなじみ(3%)；毎度お馴染み；毎度どうも；毎度同じ</t>
        </is>
      </c>
      <c r="E7835" t="inlineStr">
        <is>
          <t>毎日；毎回；定期的に；伝統的に；通例で</t>
        </is>
      </c>
      <c r="G7835" t="inlineStr">
        <is>
          <t>毎度おおきに；毎度ゴメンなさぁい</t>
        </is>
      </c>
      <c r="H7835" t="n">
        <v>29</v>
      </c>
      <c r="I7835" t="inlineStr">
        <is>
          <t>会長夫人と社長夫人が食事時間に遅れてくるのは、毎度のことであった。；毎度のことであるが旅から帰った私は妙にやさしい心持ちになっている。；ロレンスは毎度のことそう思うのだが、一度だってそうしたことはない。；わたしは毎度のように訪ねてやり、ママンがいっしょのこともよくある。；毎度のことで、これではうんざりする、と旅をしながら私は思っている。；この人が著作を公にすると毎度煩さい程いろんな手紙が舞ひ込んで来る。；時間帯によって、少しずつ客の年齢が上って行くのは毎度のことであった。；毎度いうことだが、中国や朝鮮はそれがなんであろうと内容が乏しい。；それに医者は毎度病人の便を取らしてはそれを検査するために届けさせる。；毎度のことだけに、そんな事件は彼女に何の変化ももたらさなかった。；中にいる若い男が毎度ありがとうございますと円町君に頬笑みをむけた。；さて、それでは毎度の通り、内容の方に少しだけ触れたいと思います。；ことに小児は単純だから、毎度こういう思いちがいをしやすいのである。；まあ、これは毎度のことなのだが、今回ははっきりした理由がある。；毎度変わり映えのしない謝辞ですが、感謝の気持ちに偽りはありません。；我儘娘は母親と毎度遣り合った経験上、兵を動かすこと神に入っている。；向島もその通りで、江戸に来てから毎度人の話には聞くが一度も見たことがない。；別に毎度のことではあるのだが、鳳の心配はなにも夜闇の生命にあるのではない。；毎度のことではあるが、死者が出た事件に関わるのは気分のいいものではない。；冬木がその席にいたせいではなく、そういうのが毎度のことらしい。；私だって懲役の身ですから、毎度空のばかりを押しているわけではありません。；そして毎度、瓦版の立ち読みでもするような人だかりをみたのであった。；店員がはいって来て挨拶するところで、 毎度ありイと書いてあった。；いつもなら毎度の事と何一つ心配をしないのだが、今は話が別だ。；これは毎度話しに出た彼の塩田真氏の世話で参った人であります。；毎度お馴染み縦ロールも、今日はどこか力が入っているように見えた。；私は毎度昔し風の御老人にライスプデンなんぞを御馳走した事があります。；毎度のことではあるが、やることはそれで全部決まってしまう。；もっともそれは毎度のことなので、ある程度の覚悟はしていた。</t>
        </is>
      </c>
      <c r="J7835">
        <f>HYPERLINK("https://www.weblio.jp/content/毎度", "词义详情")</f>
        <v/>
      </c>
      <c r="K7835">
        <f>HYPERLINK("https://yourei.jp/毎度", "查看例句")</f>
        <v/>
      </c>
    </row>
    <row r="7836">
      <c r="A7836" t="inlineStr">
        <is>
          <t>毎年</t>
        </is>
      </c>
      <c r="B7836" t="inlineStr">
        <is>
          <t>成功</t>
        </is>
      </c>
      <c r="C7836" t="inlineStr">
        <is>
          <t>読み方：まいとし
「まいねん（毎年）」に同じ。</t>
        </is>
      </c>
      <c r="D7836" t="inlineStr">
        <is>
          <t>毎年開催(4%)；毎年夏(2%)；毎年行わ；毎年恒例；毎年春</t>
        </is>
      </c>
      <c r="E7836" t="inlineStr">
        <is>
          <t>年々；年毎に；年々歳々；年年；歳々</t>
        </is>
      </c>
      <c r="F7836" t="inlineStr">
        <is>
          <t>以来毎年；毎年発行；以後毎年；毎年開か；毎年発表</t>
        </is>
      </c>
      <c r="H7836" t="n">
        <v>29</v>
      </c>
      <c r="I7836" t="inlineStr">
        <is>
          <t>その中でもアメリカ産が非常に人気があり日本にも毎年輸入されている。；選考は毎年1月に新聞・放送の競馬担当記者の投票を元に行われている。；毎年2億円前後の赤字運営が続いていたことから導入を決めたものである。；特に毎年の主演女優は必ずと言ってよいほど途中で体調を崩していた。；春になると溶けてしまうので基本的に冬季限定であり、毎年再建される。；悲しいことに実際に毎年数千人もの子どもがそうした被害に遭っている。；以後毎年10校前後が開校し、数年のうちにほぼ現在の学校数となった。；必要なときは、毎年年初に就任する2名の執政官の名前を並べて呼んだ。；このコンサートには毎年1名または数名の有名なソリストが登場する。；毎年必ず選出されるわけではなく、該当者が存在する場合に設定されている。；当初は毎年開催されていたが現在は4年に一度開催されている。；大阪府では毎年本種による被害が発生しているが、重篤者は出ていない。；毎年その長さが競われ、最長のリボンを導入した会社が高い賞賛を得る。；基本的には各都道府県一代表の大会がほとんどで、毎年開催される。；安全だという医師もいれば、毎年はやらないという方針の医師もいる。；人口は明治時代中期以降しばらく、毎年1万の増加を見せるようになった。；ロンドンには世界中から毎年数百万人が観光に訪れる。；他にもさまざまな量が年当たりで算出されるが、毎年は省略することが多い。；毎年のトップチーム始動日には全員で被災地訪問をするのが恒例である。；海外で働いている労働者からの送金は、毎年500万ドル以上である。；その結果、毎年2000匹ほどが遡上し、産卵も行われるようになった。；科挙に合格することは非常に困難であり、毎年数百人の落第者が生まれていた。；同調査は1995年から毎年行われ、マスメディアでも話題にされる。；この町では毎年アウステルリッツの戦いを再現するイベントが催されている。；ラオスでは、毎年約220万 - 250万トンの米が生産されている。；毎年一度、年齢、性別無制限で開催される国内大会で最も権威のある大会。；この方法は毎年の再生産が可能な優れた製造方法であった。；上高地にはウェストン碑があり、また毎年ウェストン祭が行われている。；これ以降、会場を変えながら、日本国内でも毎年アジア地区予選が開催されている。</t>
        </is>
      </c>
      <c r="J7836">
        <f>HYPERLINK("https://www.weblio.jp/content/毎年", "词义详情")</f>
        <v/>
      </c>
      <c r="K7836">
        <f>HYPERLINK("https://yourei.jp/毎年", "查看例句")</f>
        <v/>
      </c>
    </row>
    <row r="7837">
      <c r="A7837" t="inlineStr">
        <is>
          <t>毎日</t>
        </is>
      </c>
      <c r="B7837" t="inlineStr">
        <is>
          <t>成功</t>
        </is>
      </c>
      <c r="C7837" t="inlineStr">
        <is>
          <t>読み方：まいにち
来る日も来る日も。日ごと。</t>
        </is>
      </c>
      <c r="D7837" t="inlineStr">
        <is>
          <t>毎日毎日(4%)；毎日放送；毎日運行；毎日同じ；毎日学校</t>
        </is>
      </c>
      <c r="E7837" t="inlineStr">
        <is>
          <t>毎回；定期的に；伝統的に；通例で；毎度</t>
        </is>
      </c>
      <c r="F7837" t="inlineStr">
        <is>
          <t>毎日毎夜；毎日夕方；毎日毎晩；毎日午後；毎日必ず</t>
        </is>
      </c>
      <c r="G7837" t="inlineStr">
        <is>
          <t>毎日新聞；毎日新聞社；毎日王冠；毎日オリオンズ；毎日映画コンクール</t>
        </is>
      </c>
      <c r="H7837" t="n">
        <v>29</v>
      </c>
      <c r="I7837" t="inlineStr">
        <is>
          <t>また毎日三食饅頭だけで過ごし健康を害しかかったこともよく知られる。；通勤列車は毎日勤務先と家との間を往復する大量の住民を運んでいる。；毎日の生活に必要で基本的な一連の身体的動作群を日常生活活動という。；宝石を見たホームズは、新聞に毎日掲載されている記事のことを話した。；刊行間隔の分類では、最も一般的なものは毎日刊行される日刊紙である。；鉄鎖も使っていくうちに摩耗するため、間棹で毎日長さを確認していた。；彼は仕事をすることもなく毎日バーに現れては午後10時に帰宅した。；今もケーブルテレビ専門のチャンネルがあり、毎日一日中放送している。；そのため毎日食べつづけることは栄養学的に好ましくないとされている。；ドアに毎日チョークで印をつけたことから始まったとすることもある。；大都市で毎日牛のパレードが行なわれるのはフォートワースのみである。；なのに毎日畳の上に正座させて説教するんだけど急に変わるわけないよね。；中学生の頃に初めてビールを飲み、大人になってからはほぼ毎日飲んでいる。；チームは優勝した毎日の選手を中心に編成されたが、大下も選ばれて同行する。；後者の印旛学園線は大幅に増発された上に毎日運行に切り替えられた。；このため、毎日1回から数回決まった時間に決まった場所の上空に現れる。；街中には約40万台と言われるリキシャが毎日行き交う事でも知られる。；地方版は毎日17個面あり、地域に密着した紙面作りを特徴としている。；いわゆるYouTuber活動を主体に、ほぼ毎日更新を行っている。；それまでは毎日記していた日記も6月に入ってからは途切れがちになっている。；この路線には毎日三本の遠距離列車、および三本の地域内列車が運行されている。；このことで、『スピーク』は週末も含めて毎日放送されることとなった。；吹田方面の出口側も吹田IC付近を先頭にほぼ毎日渋滞が発生している。；セント・キルダでの生活のもう1つの側面は、毎日の「議会」であった。；母親が判事の鑑別所送りの勧めに応じたため、束縛された毎日を過ごす。；父親は仕事があったため、母親が毎日の練習への送り迎えをした。；毎日1つのテーマについて取材報告と識者ゲストへのインタビューを行う。；彼らはほとんど毎日親方に接触し、徒弟として仕え、多くの仕事をした。；そのため予定より早く、同年4月22日から毎日運転となっている。</t>
        </is>
      </c>
      <c r="J7837">
        <f>HYPERLINK("https://www.weblio.jp/content/毎日", "词义详情")</f>
        <v/>
      </c>
      <c r="K7837">
        <f>HYPERLINK("https://yourei.jp/毎日", "查看例句")</f>
        <v/>
      </c>
    </row>
    <row r="7838">
      <c r="A7838" t="inlineStr">
        <is>
          <t>毎晩</t>
        </is>
      </c>
      <c r="B7838" t="inlineStr">
        <is>
          <t>成功</t>
        </is>
      </c>
      <c r="C7838" t="inlineStr">
        <is>
          <t>読み方：まいばん
よごと。毎夜。「—よく眠れる」</t>
        </is>
      </c>
      <c r="D7838" t="inlineStr">
        <is>
          <t>毎晩毎晩(2%)；毎晩十；毎晩同じ；毎晩遅く；毎晩ここ</t>
        </is>
      </c>
      <c r="F7838" t="inlineStr">
        <is>
          <t>毎朝毎晩；毎晩電話；毎晩夜；毎晩九時；毎晩酒</t>
        </is>
      </c>
      <c r="H7838" t="n">
        <v>29</v>
      </c>
      <c r="I7838" t="inlineStr">
        <is>
          <t>毎晩お湯に行きたがって、行ったが最後一時間半もかかるんですからね。；その画家の所へ毎晩のやうに遊びに来る村の駐在所の巡査がありました。；そのうちにイギリス人が私のことを聴きつけて毎晩のように遊びに来る。；毎晩悪夢を見るようになり、そして部屋から出られなくなってしまった。；子供が十人ちかいから生活が大変で、毎晩一合の酒に人生を托している。；その頃、尾張町の角のところには毎晩のやうに八百屋の市が立ちました。；彼らは毎日の食事もしていない、しかも気が向けば毎晩興行物を見に行く。；若いころから夜遊び好きであり、毎晩のように夜の街に繰り出していた。；また他流試合を商売のようにして、毎晩、喧嘩にみんなを連れて歩いた。；あんな猿虎蛇のような声を毎晩黙って聞いていらっしゃるのでしょうか?；それはこの四五日毎晩のように来ている綺麗な女の子の顔であった。；ほんとうに逢いとうてねえ、何年も何年も毎晩夢に見ぬ事はないのです。；先生は毎晩お寝みになりますが、あのときは何かお仕事をなさいますか。；もっとも、それは毎晩二時過ぎに、窓の下あたりでよく聞いたものである。；そしてあの電気看板は毎晩、あのようにして点けっぱなしになっている。；この店へ、毎晩ほとんど九時ごろに必ず現れる三人づれの客があるのです。；毎晩同じような服装をした同じような刑事が現われて来やがる。；毎晩沈んで行く日輪とも思えないほどの生き生きとした美しいものでした。；主人夫婦は事件の落着するまでは毎晩旧宅へ帰って寝なければならぬ。；ガイガーは毎晩セットに通ってきて、熱心にこの映画のことを聞いた。；ひと月前あたりは、毎晩のように七八人もの客が混み合っていたようじゃ。；彼らは毎晩こう暮らして行く裡に、自分達の生命を見出していたのである。；俺が飲むや飲まずの生活をしているのに、あいつは派手に毎晩飲んでいる。；僕は毎晩、南京虫に攻められてゐるので、昔の空襲警報の頃を思ひ出す。；空の星を一つ選んで、毎晩二人とも同じ時刻にそれを見ようと誓った。；何の爲めに毎晩かうして 寒い中を母親が走るのか、彼は未だ知ら無い。；西引佐へ毎晩のように出掛けて早川君の兄貴達と折衝を重ねたのは僕だ。；精神病院に入院している少女・みなもは、同じ夢で毎晩うなされていた。；容易く逢われた頃になぜ毎晩通わなかったのか、と歎く気持の歌である。</t>
        </is>
      </c>
      <c r="J7838">
        <f>HYPERLINK("https://www.weblio.jp/content/毎晩", "词义详情")</f>
        <v/>
      </c>
      <c r="K7838">
        <f>HYPERLINK("https://yourei.jp/毎晩", "查看例句")</f>
        <v/>
      </c>
    </row>
    <row r="7839">
      <c r="A7839" t="inlineStr">
        <is>
          <t>マイペース</t>
        </is>
      </c>
      <c r="B7839" t="inlineStr">
        <is>
          <t>成功</t>
        </is>
      </c>
      <c r="C7839" t="inlineStr">
        <is>
          <t>《(和)my＋pace》自分に合った進度・方法。「—で勉強する」</t>
        </is>
      </c>
      <c r="D7839" t="inlineStr">
        <is>
          <t>マイペースな性格(5%)；マイペースぶり(2%)；マイペースな活動；マイペースでのんびり</t>
        </is>
      </c>
      <c r="E7839" t="inlineStr">
        <is>
          <t>鷹揚；おっとり；おおらか；自然体；大様</t>
        </is>
      </c>
      <c r="H7839" t="n">
        <v>29</v>
      </c>
      <c r="I7839" t="inlineStr">
        <is>
          <t>周りのことは気にしないマイペースな性格で、常にのほほんとしている。；この場合は警戒されにくいためマイペースで競走することが可能だからである。；共演者には撮影直前までマイペースで薀蓄を語り続けることで知られる。；発馬からまもなくフレーモアが先頭に立ち、マイペースの逃げを打った。；わざとマイペースなキャラを自己演出していたほうが、いい面もあるのだ。；人の意見に左右されず、マイペースを保って低調期を切り抜けましょう。；室さんもしっかりマイペースで歩いているんだな、という気がしていたのだが。；性格はマイペースな面もあるがきちんと言うべきことは言う。；その後はマイペースにドラマ、映画、舞台、などの仕事をこなしていく。；各自が自主的にやるのならと、私は急がず遅れず、マイペースで登った。；どちらかというとマイペースで、知らぬ間にいなくなってしまうことがしばしばあった。；私が追いかけてるのに気づかず、マイペースに歩いてるコイツが悪いのだ。；撮影中もチョコレートを食べイタリア小説を読んでマイペースに過ごした。；性格はマイペースで悪戯好きなお調子者だが、根は熱い正義感の持ち主。；マイペースの女子たちも、こちらに手を振りながら走っていく。；明日死ぬかもしれないというのに、どうしてウチの隊はこうもマイペースなのか。；しかし、レコーディングやコンサート活動はマイペースで進めてきた。；そんなジュウの心情を知ってか知らずか、雪姫はマイペースで話を続けた。；俺の好きなように、マイペースでやっていけばいいのだと。；ディナーショーなどのステージを中心に、マイペースな活動を続ける。；ああいうのはマイペースとも違う気がするのだが。；よくいえばマイペース、悪くいえば、個人プレイに徹するほうである。；たださすがにマイペースの敦樹も、問題そのものは把握しているようだった。；相手の気持を読むとか、盤外作戦を考えるとかはせず、いつもマイペースで戦う。；そのマイペースな牛の歩みを見つめながら、俺は急に切ない気持ちに襲われた。；本人はジョークだと思っていないようで、いつものんきで、マイペースだ。；周囲からはマイペースと言われるが、負けず嫌いで勝負では何でも負けたくないという。；平義は選手たちには禁じている煙草を吸い、マイペースで話を続ける。；でも彼は気にしない様子で、マイペースに生きていた。</t>
        </is>
      </c>
      <c r="J7839">
        <f>HYPERLINK("https://www.weblio.jp/content/マイペース", "词义详情")</f>
        <v/>
      </c>
      <c r="K7839">
        <f>HYPERLINK("https://yourei.jp/マイペース", "查看例句")</f>
        <v/>
      </c>
    </row>
    <row r="7840">
      <c r="A7840" t="inlineStr">
        <is>
          <t>マイホーム</t>
        </is>
      </c>
      <c r="B7840" t="inlineStr">
        <is>
          <t>成功</t>
        </is>
      </c>
      <c r="C7840" t="inlineStr">
        <is>
          <t>《(和)my＋home》
１自分の家庭。わが家。
２自分の持ち家。</t>
        </is>
      </c>
      <c r="D7840" t="inlineStr">
        <is>
          <t>マイホームパパ(6%)；マイホーム購入(4%)</t>
        </is>
      </c>
      <c r="E7840" t="inlineStr">
        <is>
          <t>家；家庭；自宅；実家；わが家</t>
        </is>
      </c>
      <c r="G7840" t="inlineStr">
        <is>
          <t>マイホームタウン；マイホームダディ</t>
        </is>
      </c>
      <c r="H7840" t="n">
        <v>29</v>
      </c>
      <c r="I7840" t="inlineStr">
        <is>
          <t>受け皿にあるのと同じマイホームの広告がゆっくりと送られてくるのだ。；自分で望んだわけではないが、マイホーム型の人間にならざるを得なかった。；こいつは俺よりも二歳も下のくせに、もうマイホームを手に入れてるんだ。；ついに念願のマイホームを手に入れ、まさに順風満帆な時を迎えていた。；横田も緑山にマイホームを入手したし、子供もできて、生活も安定した。；郊外に移ることにより、念願のマイホームが現実のものになったからだ。；自分のマイホームを一から建設するグーフィーであったが・・・。；一戸建てのマイホームを買うか、それともここにいて、車でも買うか。；念願のマイホームを手に入れた熟年夫婦に隠し子が発覚して騒動となる。；ブルドッグのスパイクは自ら設計した夢のマイホームを建てようとしていた。；マイホームを手に入れた平凡な家族に降りかかる恐怖を描いたホラー漫画。；杉田平介のマイホームは、三鷹駅からバスに乗って数分のところにあった。；そんなマイホームをユキエのようなお母さんたちが守ってきた。；つまり、満員電車と会社とマイホームの往復を一齣ずつ一進一歩してゆく。；専業主婦である橋本路子はマイホームと同時に幸せも手に入れたと信じていた。；マイホームなんかいらないという人々の代表的な意見でもあった。；しかし、そこからは前者の「マイホームパパ説」を採用すべきであるという。；人の思いがこもったマイホームを建てるのは、わたしの方針だって。；夢のマイホームを舞台に、家族それぞれのドタバタ劇が展開される。；ミッションに参加してポイントをためると、マイホームアイテムが手に入る。；マイホームだマイカーだと言っているうちはまだよかった。；こんな機会でもなければ、会社とマイホームの間の往復の軌道に閉じこめられた人生から脱出できない。；ただ、その感情がマイホームと繋がりがあることは確かである。；マイホームのことを言われたとき、彼は自分の貯金があまりに少ないことに愕然とした。；かつては夢見たマイホーム購入は、もはや絶望的な状況だった。；仕事に追われ、マイホームの夢に追われて、すっかり気弱になっているんじゃないかなあ。；彼女はそれぞれの好みの女性を演じることで、マイホームを手に入れようと考える。；また、町ランドには配置順とマイホームからの距離によって店レベルが設定される。；マイホームの神聖感は、国家的規模にまで拡大されている。</t>
        </is>
      </c>
      <c r="J7840">
        <f>HYPERLINK("https://www.weblio.jp/content/マイホーム", "词义详情")</f>
        <v/>
      </c>
      <c r="K7840">
        <f>HYPERLINK("https://yourei.jp/マイホーム", "查看例句")</f>
        <v/>
      </c>
    </row>
    <row r="7841">
      <c r="A7841" t="inlineStr">
        <is>
          <t>参る</t>
        </is>
      </c>
      <c r="B7841" t="inlineStr">
        <is>
          <t>成功</t>
        </is>
      </c>
      <c r="C7841" t="inlineStr">
        <is>
          <t>読み方：まいる
［動ラ五（四）］《上一段活用動詞「まいる」に「い（入）る」の付いた「まいいる」の音変化で、貴人のもとに参入する意が原義》
１「行く」の謙譲語で、行く先方を敬う。
㋐神仏に詣でる。参詣する。「墓に—・る」
㋑貴人のもとや貴所に参上する。宮中に出仕する。入内する。⇔罷出(まかず)。
「暁に御迎へに—・るべきよし申してなむまかで侍りぬる」〈源・夕顔〉
２主として会話に用い、聞き手に対し、「行く」「来る」を、へりくだる気持ちをこめて丁重に表現する丁寧語。
㋐「行く・来る」の先方が聞き手のところの場合には、その先方を敬いながら、「行く・来る」を丁重にいう。「明日、お宅へ—・ります」「御当地に—・って、はじめて知りました」
㋑単に「行く・来る」を丁重にいう場合。このときにも謙譲の気持ちは残るので、敬うべき人の動作には用いない。現在、「先生もまいられますか」のような言い方は適切でないとされる。「私の家に弟が—・るはずです」「列車が—・ります」「雨が降って—・りました」
３2のへりくだる気持ちが失せて、「行く」を重々しくいう。「そう簡単には—・らぬぞ」
「日本の王政維新のように旨く—・るか—・らぬか」〈福沢・福翁自伝〉
相手に優位を占められる、屈するの意に変化したもの。
１負ける。降参する。「どうだ、—・ったか」
２閉口する。よわる。困る。「今年の暑さには—・った」
３死ぬ。やや、卑しめて言う。「とうとうあいつも—・ったか」
４異性などに心を奪われる。「彼女に—・っている」
貴人のもとへ物などが行くところから、差し上げる意に変化したもの。
１貴人・上位者に対する下位者の行動についての謙譲語。
㋐貴人に対して何かをさし上げる。献上する。
「親王に、うまの頭(かみ)大御酒(おほみき)—・る」〈伊勢・八二〉
㋑貴人のために何かをしてさし上げる。奉仕する。
「（源氏ノタメニ）加持など—・るほど」〈源・若紫〉
㋒上位者に対して、この手紙をさし上げますの意で、男女ともに手紙の脇付に用いる語。終止形だけが用いられる。
「母様—・る冠者丸と書てあり」〈浄・嫗山姥〉
２奉仕を受ける貴人の動作そのものを表すように変化した尊敬語。
㋐「食う」「飲む」の尊敬語。召し上がる。
「心地もまことに苦しければ、ものもつゆばかり—・らず」〈源・総角〉
㋑「する」の尊敬語。なさる。
「大殿油短く—・りて御覧ずるに」〈源・梅枝〉
[可能]まいれる</t>
        </is>
      </c>
      <c r="D7841" t="inlineStr">
        <is>
          <t>参るまい；参るだろ；参るでしょ；参るべし；参るべき</t>
        </is>
      </c>
      <c r="E7841" t="inlineStr">
        <is>
          <t>くる；行く；参加；来る；至る</t>
        </is>
      </c>
      <c r="F7841" t="inlineStr">
        <is>
          <t>戻って参る；忍んで参る；訪ねて参る；必ず参る；出て参る</t>
        </is>
      </c>
      <c r="H7841" t="n">
        <v>29</v>
      </c>
      <c r="I7841" t="inlineStr">
        <is>
          <t>わしはお前の家へ行くのに、 二十と五人だけしか連れては参れぬのか?；そのヤクに乗って一人の人に案内されて恐ろしい坂を登って参りました。；それでは手前がここへ参りましたより以前のことでございますよ、はい。；しかしこの娘さんはそんなことで参ってしまうような女ではございません。；そうして、こういうような状態のもとに、前いった晩が参ったのでした。；見物人がゐないに越したことはないが、なかなかそんなわけには参らぬ。；わたくしに大事なことは、上田さまのところへ参ることしかありません。；この冷え込みには参るけど、ぼく一人なら自転車で行ってしまう距離だ。；あわれなマルファもやっぱりおせじには手もなく参ってしまう女でした。；余り深く熱心になり過ぎるからであると云う事が次第に分って参りました。；それで皆さんが 私の無知を叱責されるために参られたのではないかと。；では諸卿、 エドワード王の下へ参って王を慰めようではありませんか?；或日良秀は突然御邸へ参りまして、大殿様へ直の御眼通りを願ひました。；それきり同人はコリコリしたと見え沓島へは再び参らないと云つて居た。；身体よりも神経が参っていたのです、皆さんは体と思っていたようですが。；それではすぐに拙者でもいってあの人形をとって参ろうと申したらな。；反対されると知りながら、どうしてわたしは告げに参ったのでしょう?；儂の息子は、そんなこと位でへなへなと参ってしまうような奴ではない。；私ははじめ、彼が一本参ったので口惜しがって居るものとのみ思って居た。；このような配置の神社は「下り宮」・「下り参りの宮」と呼ばれている。；ぐったりとして半ば参ってしまっているようなようすはぼくと同じであった。；実はここへ出て参る前ちょっと先番の牧君に相談をかけた事があるのです。；わたしは死んだように眠ったが、翌朝はすっかり参ってだめになっていた。；人を乗せたら、何歩で参るかわからへん、そんな力なしや思ったんや。；昨夜一時ごろ、あのひどい濃霧の中を、私は屍蝋室の窓下へ参りました。；運動というのは名だけで実はその辺の民間の様子を見に参りました。；この前の参覲交替の節、俺も殿のお供をして、江戸へ参ったことがある。；この五社すべてを参拝することを「五社参り」といい、盛んに行われた。；で、私、そのハガキにあります麻布の元のお内へ参ったんでございます。</t>
        </is>
      </c>
      <c r="J7841">
        <f>HYPERLINK("https://www.weblio.jp/content/参る", "词义详情")</f>
        <v/>
      </c>
      <c r="K7841">
        <f>HYPERLINK("https://yourei.jp/参る", "查看例句")</f>
        <v/>
      </c>
    </row>
    <row r="7842">
      <c r="A7842" t="inlineStr">
        <is>
          <t>舞う</t>
        </is>
      </c>
      <c r="B7842" t="inlineStr">
        <is>
          <t>成功</t>
        </is>
      </c>
      <c r="C7842" t="inlineStr">
        <is>
          <t>読み方：まう
［動ワ五（ハ四）］
１音楽などに合わせて手足を動かし、ゆっくり回ったり、かろやかに移動したりする。「ひと差し—・う」「銀盤に—・うスケーター」
２円形を描くようにして空を飛ぶ。空中をただよい動く。「とんびが—・う」「紙ふぶきが—・う」「ほこりが—・う」
３くるくるまわる。
「をかしく—・ふものは…平等院なる水車」〈梁塵秘抄・二〉
４あわただしく動きまわる。
「きのふ今日(けふ)雲のたち—・ひ隠ろふは花の林を憂しとなりけり」〈伊勢・六七〉
５畑の作物が枯れる。
「茄子(なすび)の枯るるをば、百姓みな—・ふといふなり」〈咄・醒睡笑・七〉
[可能]まえる
[補説] 「踊る」が、本来、とびはねる意であるのに対し、「舞う」は地をするように旋回する意を本義とする。</t>
        </is>
      </c>
      <c r="D7842" t="inlineStr">
        <is>
          <t>舞う篠芙；舞う白い</t>
        </is>
      </c>
      <c r="E7842" t="inlineStr">
        <is>
          <t>ダンス；踊る；くるくる；舞踏；乱舞</t>
        </is>
      </c>
      <c r="F7842" t="inlineStr">
        <is>
          <t>桜舞う；ゆっくりと舞う；ちらちらと舞う</t>
        </is>
      </c>
      <c r="H7842" t="n">
        <v>29</v>
      </c>
      <c r="I7842" t="inlineStr">
        <is>
          <t>一羽は翼を上下して飛んでおり、一羽は静かに輪をかいて舞うていました。；御所からすぐに朱雀院へ行ってその次に六条院へ舞い手はまわって来た。；今射ち落した雉の連れらしいのが頭の上をしきりと舞っているのである。；しかし主人は何のために書斎で鏡などを振り舞わしているのであろう。；お互い言葉を出す余裕も無く、息を出すたび白い息が舞っては消えていく。；一本の糸の上をのろのろ動いている一つの黒点、その下に舞う鳥の群れ。；何よりも先に翁の謡は舞いぶりとソックリの直線的な大きな声であった。；同時に宙に舞った土砂が、煙幕の代わりになると計算してのことだった。；首のない男の体や、人間の腕みたいな形をした物体が宙に舞っている。；風立ってきたとみえ、往来へ出ると乾ききった道に埃が舞いたっていた。；雪は葉を落とし終えて広くなった広葉樹林の間をたよりなげに舞っていた。；そのとき、シルクハットの上に、何か小さなものが舞いおりてきました。；私がそのそばを飛び舞って、刃先をまっすぐに向けるようにしますから。；打撃によって武神の長銃が空に舞ったが、飛場は既に相手を見ていない。；香りの高い紫色の夏の暮方に舞う様子を私は今っから想像して居ます。；まだやるのかと思った久慈は、頭が首から放れて舞い立ちそうに感じた。；私はだれかと一緒にバンに乗っており、鳥がけだるく頭上を舞っている。；小さな魚の群れが風に舞う木の葉のように水路を埋めて吹き過ぎていった。；訊ねてもまた歴史宇宙に舌を舞わせて、結局答えは分からないに違いない。；空高く舞っている女王の目もあやな姿は、たしかに見る者に影響を与えた。；チャンピオン決定の際には、天井から大量の紙吹雪が舞う演出があった。；か細いシルヴィアの身体が、空中で舞うように激しい動きを演じたのを。；天人達は、空を飛ぶ月の車に乗ってこの現し世に舞い下りて来るのじゃ。；だがプラットホームと呼ばれる通路は白々と砂埃と春とを舞わせている。；ただし、今度は先のように華麗にのんびり宙を舞う類の跳び方ではない。；棒はぶんぶん鳴って、彼自体の前後を、まるで車のように旋回して舞う。；わたしは大岩の肩が海にむかって突き出しているところに舞いおりました。；ふと南の浦のほうを見たら一羽の鴨が白っぽい胸をみせて低く舞っていた。；じっと寝転んでいると、すぐ顔の上を小鳥が空に舞い上って囀っている。</t>
        </is>
      </c>
      <c r="J7842">
        <f>HYPERLINK("https://www.weblio.jp/content/舞う", "词义详情")</f>
        <v/>
      </c>
      <c r="K7842">
        <f>HYPERLINK("https://yourei.jp/舞う", "查看例句")</f>
        <v/>
      </c>
    </row>
    <row r="7843">
      <c r="A7843" t="inlineStr">
        <is>
          <t>真上</t>
        </is>
      </c>
      <c r="B7843" t="inlineStr">
        <is>
          <t>成功</t>
        </is>
      </c>
      <c r="C7843" t="inlineStr">
        <is>
          <t>読み方：まうえ
まっすぐ上。すぐ上。直上(ちょくじょう)。⇔真下(ました)。</t>
        </is>
      </c>
      <c r="D7843" t="inlineStr">
        <is>
          <t>真上あたり；真上に浮かん；真上断層</t>
        </is>
      </c>
      <c r="E7843" t="inlineStr">
        <is>
          <t>頭上</t>
        </is>
      </c>
      <c r="F7843" t="inlineStr">
        <is>
          <t>真上から振り下ろす</t>
        </is>
      </c>
      <c r="H7843" t="n">
        <v>29</v>
      </c>
      <c r="I7843" t="inlineStr">
        <is>
          <t>注意してみると、それらは走っている線路の真上に一個ずつ置かれている。；中世以降は、この地の領主をしていた真上氏の崇敬が厚かったとされる。；トンネルの真上には、トンネルの開通に合わせて風の道公園が建設された。；そのため軍事境界線の真上に、建物が建てられている唯一の場所である。；ホーム真上のメザニンから各ホームまでは階段が2つずつ連絡している。；離れた草原で女たちが真上から日に照らされながら足を投げ出していた。；月は片眼のロンドンでデイリー・メイル社の電気広告の真上を歩いている。；真上に向けて発射された弾丸は、その終端速度で戻ってくるだけである。；だが顔のすぐそばに、真上に、興奮しきっている若い男の顔があった。；そしてベッドの真上の、クリーム色の壁面に掛けてある絵に目を止めた。；畑の他の場所へ移って、一休みしていると、またも頭の真上から火の雨。；私にしても、東京大空襲のときたくさんの焼夷弾が真上から落ちてきた。；真上から見るとバラの形をしていることが名称の由来となっている。；しばらく天井を眺めていると、出てきたバロットが真上から見下ろした。；もっとも、いまでは真上からの攻撃を心配する必要はなくなったわけである。；見上げると十六日十七日と思える月が真上を少し外れたところにかかっていた。；月は台地の真上にあり、そこから雪山だけに照明を当てているのである。；つまり真上から見たら正三角形を構成する形になっているのである。；ショットは前方と真上に発射され、UFOや岩を壊すことで得点が入る。；風のない大気の中に、煙だけが細い柱となって真上へと伸びていく。；空を見上げると、駅の真上あたりをヘリコプターが何機か旋回している。；今や暑い太陽が頭の真上にあり、周囲の地面は穴だらけになってしまった。；いまこの瞬間に、自分の真上で、無言のドラマが進行しているのだ。；この為、真上にのみ射出するタイプに比べて攻撃範囲が大幅に広がっている。；広い林道に出てからも滝があり、その真上で転倒して肝を冷したりした。；頭の真上に焼夷ダンが落ちて大の字になって威張って死んでる男がいた。；腰に手をあててそり返ると、丁度頭の真上あたりに白い小さな雲があった。；いうまでもありませんが、わたしは自分の真上の部屋も丹念に調べてみました。；その噴火口のすぐ真上に、何か白い破片のようなものが浮かんでいた。</t>
        </is>
      </c>
      <c r="J7843">
        <f>HYPERLINK("https://www.weblio.jp/content/真上", "词义详情")</f>
        <v/>
      </c>
      <c r="K7843">
        <f>HYPERLINK("https://yourei.jp/真上", "查看例句")</f>
        <v/>
      </c>
    </row>
    <row r="7844">
      <c r="A7844" t="inlineStr">
        <is>
          <t>前</t>
        </is>
      </c>
      <c r="B7844" t="inlineStr">
        <is>
          <t>成功</t>
        </is>
      </c>
      <c r="C7844" t="inlineStr">
        <is>
          <t>読み方：さき
１元から遠い、突き出ている部分。先端。突端。「岬の—」「針の—で突く」「鼻の—」
２長いものの末端。はし。「ひもの—」
３続いているものなどの一番はじめ。先頭。「列の—」「みんなの—に立って歩く」
４ある点や線を基準にして、その前方。「仙台から—は不通」「三軒—の家」「駅は目と鼻の—だ」「—を行く車に追いつく」
５金額・数量などが、ある額・量を超えること。「千円から—の品はない」
６継続している物事の残りの部分。「話の—を聞こう」「—を急いでいる」
７行き着く所。目的の場所。「—へ着いてからのことだ」「行く—」
８未来のある時点。将来。前途。「—を見通しての計画」「—の楽しみな青年」
９時間的に前。あることより前。「代金を払うのが—だ」「ひと足—に帰る」⇔あと。
10現在からそう遠くない過去。以前。「—の台風の被害」「—の大臣」
11順序の前の方。「名簿の—の方に出ている」「だれが—に入りますか」「お—にどうぞ」⇔あと。
12優先すべき事柄。「地震のときは何より火を消すのが—だ」「あいさつより用件が—だ」
13交渉の相手方。先方。「—の出方しだいだ」
14相場で、「先物」の略。
15行列の先導をする役。さきおい。さきばらい。
「—なるをのこども、疾(と)う、促せや、など行ふ」〈かげろふ・上〉
16「先駆け」の略。先陣。
「内々は—に心を掛けたりければ」〈平家・九〉
17「幸先(さいさき)」の略。
「其様な—の悪い事をおしゃるぞ」〈虎寛狂・河原太郎〉
[下接語]明かり先・宛(あて)先・後(あと)先・売り先・売れ先・襟先・縁先・生い先・老い先・衽(おくみ)先・櫂(かい)先・肩先・門(かど)先・気先・切っ先・口先・下馬先・玄関先・剣先・小手先・此(こ)の先・幸(さい)先・潮先・仕事先・舌先・正(しょう)先・太刀先・旅先・使い先・筒先・勤め先・爪(つま)先・褄(つま)先・手先・出先・手羽先・得意先・嫁ぎ先・突(とつ)先・届け先・供先・取引先・庭先・軒先・刃先・鼻先・鼻の先・馬場先・春先・筆先・舳(へ)先・ペン先・棒先・矛(ほこ)先・火(ほ)先・穂先・真っ先・水先・店先・胸(むな)先・目先・矢先・槍(やり)先・行き先・行く先・指先（ざき）先先</t>
        </is>
      </c>
      <c r="D7844" t="inlineStr">
        <is>
          <t>前番組；前縁；前走；前段階；前シーズン</t>
        </is>
      </c>
      <c r="E7844" t="inlineStr">
        <is>
          <t>以前；お前；そば；表；正面</t>
        </is>
      </c>
      <c r="F7844" t="inlineStr">
        <is>
          <t>日前；ヶ月前；開始前；分前；第二次世界大戦前</t>
        </is>
      </c>
      <c r="G7844" t="inlineStr">
        <is>
          <t>前述；前作；前年；前方；前身</t>
        </is>
      </c>
      <c r="H7844" t="n">
        <v>29</v>
      </c>
      <c r="I7844" t="inlineStr">
        <is>
          <t>またこの事件の直後の6億年前には最後の大規模な陸地形成が起こった。；その姿は今から1000年ほど前までは維持されていたと考えられる。；地球上の生命は、およそ37億年前には存在していたという証拠がある。；この遺跡は農耕社会出現前の食料採集民の戦争の確実な例とされている。；地下10階に下り先へ進む彼らの前に村正を手にした侍が立ちはだかる。；アメリカ大陸の各地では、約2000年以上前から栽培が行われていた。；全線開通前からCMやドラマ・映画等の撮影を積極的に受け入れている。；金および隕鉄だけが、人類が銅より前に使用していたという証拠がある。；結婚時に妻は結婚前の姓をそのまま用いることも、夫の姓に変えることも可能。；少なくとも5万年前には現在のアフガニスタンには人間が住んでいた。；前1500年頃にはパンジャーブ地方に進行し国の基礎を築いたとされる。；しかし、連載の終了は4週間前に通告されるという突然なものであった。；この作品では、大阪府庁前の上町筋を封鎖して撮影を行う必要があった。；この場合、いずれも食の最大を迎える前と食の最大を過ぎた後に分類される。；静的型付けでは、全ての式の型はそのプログラムを実行する前に決定される。；参拝する前に、本来は神の前に向かう前に心身を清める禊が必要である。；数世紀前の実験で得られた基礎的なデータですら重要性を失わない。；小学校入学前からの熱烈な野球少年で、将来の夢はプロ野球選手だった。；現在はもはや非公式な通称であるが、改名前の略称はMSKKであった。；しかし一人あたりの生活支出は未だにイラン・イラク戦争前よりも低い。；彼らの前に表示されている国名はフランス語で表記されている。；生物が現れる前は、二酸化炭素が多くを占める構成であったと推測されている。；集められたスクラップは使用前に成分検査や放射能探知検査が行われる。；川端は伊藤の死の数日前から自身の体にも違和を感じていたという。；時代的比較では、死刑が廃止された国での廃止前・廃止後を比較する試みがされる。；なお、N800形まで伝統的に車外側面の車番の前に社章をつけていた。；同学園の生徒は当駅が設置される前までは主に田端駅か日暮里駅を利用していた。；しかしその前にはすでに二人の関係には亀裂が入っていた。；一方で、石器時代の35000年前に暦を創ったらしいとの意見もある。</t>
        </is>
      </c>
      <c r="J7844">
        <f>HYPERLINK("https://www.weblio.jp/content/前", "词义详情")</f>
        <v/>
      </c>
      <c r="K7844">
        <f>HYPERLINK("https://yourei.jp/前", "查看例句")</f>
        <v/>
      </c>
    </row>
    <row r="7845">
      <c r="A7845" t="inlineStr">
        <is>
          <t>前売り</t>
        </is>
      </c>
      <c r="B7845" t="inlineStr">
        <is>
          <t>成功</t>
        </is>
      </c>
      <c r="C7845" t="inlineStr">
        <is>
          <t>読み方：まえうり
［名］(スル)切符や入場券などを、使用当日よりも前に売ること。また、その券。「利用日の一か月前から—する」</t>
        </is>
      </c>
      <c r="D7845" t="inlineStr">
        <is>
          <t>前売りチケット(14%)；前売りオッズ(3%)；前売り発売(2%)；前売り馬券(2%)；前売り入場券</t>
        </is>
      </c>
      <c r="H7845" t="n">
        <v>29</v>
      </c>
      <c r="I7845" t="inlineStr">
        <is>
          <t>直後に行われたケンタッキーダービーの長期前売りで1番人気となった。；この頃にはすでに公演チケットは前売り段階で完売するほどになっていた。；前売りの窓口のわきの壁にもたれて、眠ってるのか、身動き一つしない。；歴史めぐりの幾つかは無料だが、その他は前売り切符を購入する必要がある。；マリアが前売りで買ったのは前から三列目の席で、一席三千円ほどだ。；あのシリーズは第7戦の前売りを控え目にしていたんでしょうね。；当日券を期待してきたのだろうが、チケットは全て前売りで処理してしまっていた。；この段階で、本馬はダービー前売りの1番人気に挙げられるようになった。；当日発売のほか乗車日の1か月前から前売り発売も行っている。；東京でキップを買いそこね、かろうじて横浜の前売りを一枚だけ手に入れた。；前売り制となっており、利用日の1か月前から3日前までに購入する必要がある。。；事前販売された入場チケットは、全席指定の前売りで販売された。；なお、前売りの場合は乗車予定日と指定した日となる。；この勝利から2005年の2000ギニーの前売り1番人気に一時的に支持されている。；今日だって、サエコのために映画の前売り買ったんだぜ。；ラウレンティスは配給権を前売りすることで300万ドルの予算を調達した。；前売りのチケットは発売日当日に完売する等、世間から脚光を浴びた。；前売り券とは、前売りに応じて購入した客に渡される証票である。；封切間近に前売りに火がついたものだから12億円は固いですよと言い始めたがそんな程度だった。；幸い多額の宣伝費をかけただけあって、前売りチケットは完売だ。；この他、ローソンチケットなどの前売りコンビニチケットが購入できる。；アメリカ以外では、本作品は、39の市場で450万枚のチケットが前売りされた。；半年分・一年分のチケット前売り販売が行われたが実質解散したにもかかわらず団体からは積極的な払い戻しなどの告知がなく、問題となっている。；映画を鑑賞するための入場券は前売り・ないし当日券という形で販売される。；別の支店に居たときの同僚でね、競輪狂が居て、毎朝前売りを買いに行くんですよ。；後にコスプレイベントを再開しても、参加人数を制限する、完全前売り制にするなど規模を縮小せざるを得なくなっている。；千名の欠席があっても、券は前売りしているので主催者に損はない。；後楽園ホールのように前売りチケットの販売はおこなっていない。；もちろん私の切符はスカラ座のてっぺん天井棧敷のそれであって、前売りではなく当日その場で並んで買うものなのである。</t>
        </is>
      </c>
      <c r="J7845">
        <f>HYPERLINK("https://www.weblio.jp/content/前売り", "词义详情")</f>
        <v/>
      </c>
      <c r="K7845">
        <f>HYPERLINK("https://yourei.jp/前売り", "查看例句")</f>
        <v/>
      </c>
    </row>
    <row r="7846">
      <c r="A7846" t="inlineStr">
        <is>
          <t>前置き</t>
        </is>
      </c>
      <c r="B7846" t="inlineStr">
        <is>
          <t>成功</t>
        </is>
      </c>
      <c r="C7846" t="inlineStr">
        <is>
          <t>読み方：まえおき
［名］(スル)
１文章や談話などで、本題に入る前に述べること。また、その言葉。「事情を—してから話し始める」
２立花(りっか)の役枝(やくえだ)の一。水際に挿す草木。→七つ道具</t>
        </is>
      </c>
      <c r="D7846" t="inlineStr">
        <is>
          <t>前置き抜き；前置きエンジン；前置きつき</t>
        </is>
      </c>
      <c r="E7846" t="inlineStr">
        <is>
          <t>導入；冒頭；序；序文；手引き</t>
        </is>
      </c>
      <c r="F7846" t="inlineStr">
        <is>
          <t>こんな前置き；そんな前置き</t>
        </is>
      </c>
      <c r="H7846" t="n">
        <v>29</v>
      </c>
      <c r="I7846" t="inlineStr">
        <is>
          <t>この前置きが何を言わんとしているのかを、はっきりさせようと努めた。；前置きが長くなったのは、実は次のようなことを言いたかったからである。；そして、たくみな前置きの後に父の出発以後の生活の辛さを述べたてた。；前置きが長くなったが、私の悲劇はこんなことでは終わらなかったのだ。；ながながと前置きしたが、実は最初から、この話をしたかったのである。；その最中に、さきほどの会話で感じた疑問をなんの前置きもなく尋ねてみた。；彼は前置きもなく、公式報告を読み上げるような単調な声で語り始めた。；平手打ちの前に、まあ前置きのつもりで二言三こと言う必要はないかな?；前置きが長くなつたが、僕が君に言ひたかつたことは次のやうなことなのだ。；さて、前おきはこのくらいにして、いよいよ物語にうつることにします。；さて、それを始めるに当つて、上述のやうな前置きが自然に浮んで来た。；「これも何かの御縁ですから」と前置きして自分の身の上話をはじめた。；まあとにかく、こういったことは全部前置きにすぎないんですがね。；また、複数拠点を結ぶものの場合、拠点番号を前置きするものもある。；さて、ここまでの前置きは、不必要なら後で削除してもらって構わない。；「電話口で話すようなことではないんだが」 と長谷部は前置きした。；しかし、ここまで書いた前置きの部分は、棄ててしまった方がいいようだ。；前おきのやうなことをくどくどいつてなかなか本筋にはいつていかなかつた。；なお黒崎は件の発言の前に「空手では私より強くても」と前置きしている。；「いくら持ってんの」 いきなり何の前置きもなく、オバサンは言った。；こんな長たらしい前おきをやったのも、つまりはその話が目的だったのです。；視野はすぐにまた晴れたが、それがほんの前おきなのを、彼は知っていた。；さて前置きが長くなりましたが、本状は公式のものではありません。；前置きが図らずも長くなったが、私の説を要約するとこういうことになる。；捜査関係者によると、と前置きしたその記事の内容を追っていった。；「ローマから次の電報が入っている」と前置きして、それを読み上げた。；あるいは「私の錯覚かもしれませんが」と前置きする方もいらっしゃる。；かれらが手綱をひいて馬をとめると、男は前置きぬきでいきなり言った。；さて、前置きはそのくらいにして、教信沙弥の逸話をみることにしよう。</t>
        </is>
      </c>
      <c r="J7846">
        <f>HYPERLINK("https://www.weblio.jp/content/前置き", "词义详情")</f>
        <v/>
      </c>
      <c r="K7846">
        <f>HYPERLINK("https://yourei.jp/前置き", "查看例句")</f>
        <v/>
      </c>
    </row>
    <row r="7847">
      <c r="A7847" t="inlineStr">
        <is>
          <t>前書き</t>
        </is>
      </c>
      <c r="B7847" t="inlineStr">
        <is>
          <t>成功</t>
        </is>
      </c>
      <c r="C7847" t="inlineStr">
        <is>
          <t>読み方：まえがき
［名］(スル)本文に入る前に簡単に書き添えること。また、その文章。序文。端書き。序。⇔後書(あとが)き。</t>
        </is>
      </c>
      <c r="D7847" t="inlineStr">
        <is>
          <t>導入；冒頭；序；序文；手引き</t>
        </is>
      </c>
      <c r="H7847" t="n">
        <v>29</v>
      </c>
      <c r="I7847" t="inlineStr">
        <is>
          <t>その詩集の前書きでは、貧乏人が生活する状態の惨めさが強調された。；作者は次ぎの物語を書くために、予めこれだけの前書きをしておく次第である。；話はまだよく通じないんだがね、そのまえに、ちょっと前書きを書いておいてもらいたいんだ。；本作品の前書きによると、春樹が佐々木に何でもいいから絵を描いてほしいと頼んだ。；この書に寄せた前書きで、物理学者はこの見方に賛意を示している。；ゴムボジャブは前書きを記した後、全体を二章に分けている。；内容のわからないものだけ目次を見て、前書きを見て、まれに第一章くらいを読んだりする。；それがどんなに素敵で満ち足りた毎日だったのか、前書きを読めば伝わってくるわ。；さて、長くなったがここまでが前書きで、以下が本論である。；ちょっと気の利いた会議通訳の理論書や実践書の前書きには、ほとんど必ず記されているほどだ。；前書きはこの特別版の目的についての説明である。；キャンベルはその記事の前書きでそれは精神衛生上の「科学的な手法」であると言及した。；以上は私がこんどかこうとした『WC』という短篇の前がきにすぎません。；文は三人称で書かれ、前書きと後書きでは作者のケストナー自身も物語の中の人物かのように登場する。；日本の政治体制が明らかに日本国憲法で規定されたものとは異なる点については前書きにも書かれているように判っていてやったことであるらしい。；前がきができれば、次にはついその本を書かざるを得ません。；また前後には前書きとあとがきが記されている。；なお、これらのテーマは当初予定からの変更が行われているらしく、2巻前書きで説明された各巻テーマとは異なる。；節はまた最も予とも親しいので、先生と節との関係は予が最もよく知っている様で、それはとにかくそんなことを書いて何が面白いかと思う人もあろうからちょっと前がきがいる。；最初に出版した本『トロイ史集成』の前書きにケントので生まれ育ったと書いている。；なお、漫画や海外の作品に関しては、カバーしきれないので敢えて回避する旨を前書きにて述べている。；いったい何がブラジルかと問われれば、世界にあるものすべてが揃っている国、それがブラジル、と旅行書は前書きで宣言していた。；前書きでは、自分を変えたい人や何か大きな問題に直面した人は自分自身の環境を変えることが効果的であり、それに失踪が適していることが強調されている。；つまり、自分を単純な戦後派と見ないでくれ、自分はもっと独自な苦悩している人間だということを前書きしているのである。；中川の前書きによると、遠方だけでなく近在の人でも、これ一冊あれば人に聞いたりせずに自由にどこでも行けるように作ったとのこと。；氏は前がきにこう書かれている。；作者がチャンピオンコミックスの前書きで記した所によると、これは編集や読者の要望でなく、描いているうちに自然にこうなっていったという。；パトリックは父の旅行に同行していたので、その年のアフリカでの出来事をよく知っており、『ケニア』の前書きにもそのことが書かれている。；しかし、それはともかく、いま一つの事を読者に伝えて、それでこの前書きを終りたいと思う。</t>
        </is>
      </c>
      <c r="J7847">
        <f>HYPERLINK("https://www.weblio.jp/content/前書き", "词义详情")</f>
        <v/>
      </c>
      <c r="K7847">
        <f>HYPERLINK("https://yourei.jp/前書き", "查看例句")</f>
        <v/>
      </c>
    </row>
    <row r="7848">
      <c r="A7848" t="inlineStr">
        <is>
          <t>前向き</t>
        </is>
      </c>
      <c r="B7848" t="inlineStr">
        <is>
          <t>成功</t>
        </is>
      </c>
      <c r="C7848" t="inlineStr">
        <is>
          <t>読み方：まえむき
１正面に向くこと。前方に向くこと。まむき。「—に座る」⇔後ろ向き。
２物事に対する姿勢が積極的、建設的であること。「—に考える」⇔後ろ向き。</t>
        </is>
      </c>
      <c r="D7848" t="inlineStr">
        <is>
          <t>前向きな姿勢(7%)；前向きな気持ち(2%)；前向きな性格；前向きシート；前向きな態度</t>
        </is>
      </c>
      <c r="E7848" t="inlineStr">
        <is>
          <t>積極的；肯定的；楽観的；ポジティブ；楽天的</t>
        </is>
      </c>
      <c r="F7848" t="inlineStr">
        <is>
          <t>前向きな発言；前向きな気分；前向きコホート研究；前向きに考えよ；前向きアルゴリズム</t>
        </is>
      </c>
      <c r="G7848" t="inlineStr">
        <is>
          <t>前向き連鎖</t>
        </is>
      </c>
      <c r="H7848" t="n">
        <v>29</v>
      </c>
      <c r="I7848" t="inlineStr">
        <is>
          <t>各メンバーの今後の活動を尊重しあっての前向きな結論であるとのこと。；私は、グループを作って気持ちを前向きにしている人たちに胸を打たれた。；なら前向きに歩いていって、誰もが幸せになれるようにしなくちゃ損だ。；加えて普及機はスピーカーが前向き配置から下向き配置に変わっている。；実験をすることで前向きな貢献ができることほどわくわくすることはない。；常に明るく前向きな彼女の姿は、周囲の人間たちの心を次第に動かしていく。；プロデューサーの谷川貞治も60kg級の設立に前向きな姿勢を示した。；最初は前向きに回転しているが、途中で後ろ向きの回転に変わる物が多い。；新車両の導入は前向きな宣伝材料となることも期待されていた。；末っ子のブリックは前向きな性格だが世間的には風変わりな子供である。；まだ直接会うことはできないが、今後に期待が持てる前向きな内容だった。；それらを前向きな気持ちでもって補いながら、少しずつ形にしてきた。；このうち立憲民主側は拒否したものの、希望側は前向きな考えを表明。；私が前向きの姿勢になれないのもそのせいなのかもしれない。；ヤダフは首相はフォーラムの要求に対する議論に前向きであると述べた。；彼女はそれらを前向きな気持ちでもって補いながら、少しずつ形にしてきた。；冬の間は一進一退だった男女の仲がにわかに前向きになる月だとも言われる。；休息はまた、ケアを受けている人にも前向きな体験を提供するものである。；まだ誰も殺してないワケだし、少しは前向きになってもいいと思う。；後にシートベルトを外して通常の前向きとして使用された後に廃止された。；前向きになった気持ちから力がわいて、毛色の変わった新しい本ができた。；前向きな性格にしてくれたAV業界にはありがとうの気持ちしかないという。；彼に少しでも投げるようなところがあれば別だが、非常に前向きにやっている。；前向きな性格で根性があり、「漫画に生涯を捧げた」ような人物である。；この前向きな姿勢は今後も変えずに続けなければならない。；無意識に死を求めていたあの娘が、生きることに前向きになっている。；親露家のヤナーチェクはこの話に前向きであったが、立ち消えとなった。；前向きの歌を作ったところで、前向きの社会が近づくわけではない。；その後、彼が時間を取れることと役に対して前向きであることがわかった。</t>
        </is>
      </c>
      <c r="J7848">
        <f>HYPERLINK("https://www.weblio.jp/content/前向き", "词义详情")</f>
        <v/>
      </c>
      <c r="K7848">
        <f>HYPERLINK("https://yourei.jp/前向き", "查看例句")</f>
        <v/>
      </c>
    </row>
    <row r="7849">
      <c r="A7849" t="inlineStr">
        <is>
          <t>前もって</t>
        </is>
      </c>
      <c r="B7849" t="inlineStr">
        <is>
          <t>成功</t>
        </is>
      </c>
      <c r="C7849" t="inlineStr">
        <is>
          <t>読み方：まえもって
［副］あらかじめ。かねてから。「—準備する」「—承諾を得ておく」</t>
        </is>
      </c>
      <c r="D7849" t="inlineStr">
        <is>
          <t>前もって知らせ；前もって聞い；前もって知る；前もって知らさ；前もってきめ</t>
        </is>
      </c>
      <c r="E7849" t="inlineStr">
        <is>
          <t>前に；以前；先に；以前から；事前に</t>
        </is>
      </c>
      <c r="H7849" t="n">
        <v>29</v>
      </c>
      <c r="I7849" t="inlineStr">
        <is>
          <t>これほどの竜の姿を前もって語ってくれた歌や物語がどこにあったろう。；そういうものはみな前もってテーブルの上に用意されていたのである。；確信がありすぎるから前もっておれに尋ねておかなかったとでもいうのか?；前もってある行為の内面的ないきさつを調べてみたうえでの話なのかい。；前もって食糧を蔵い込んであるのかしらんがとにかく食いに出て来ない。；おれは前もって考えてプラスチックの容器を色付きのものにしておいた。；前もって情報を得ていなかったから、先入観のもちようがなかったのだ。；ラ・ロシェル港から出る船に、前もって席が取ってあるとのことだった。；若い作家の一人が、前もって電話で都合を訊いてから、野上家に行った。；私たちにいとまごいに見えたのですが、前もってそう決めてありました。；人間の意志や行為が経済によって前もって決められているということだ。；前もって義指とわかっていなければ、普通は気づかないかもしれない。；野田が前もって電話しているので、彼女は今夜は店に出ないで待っていた。；空のグラスの中へ誰かが前もって毒物を入れておいたのだろうと判断される。；ブラックストーン大尉は、この連中が来ることも前もって知らせてきた。；IWAジャパンとは一切前もっての話し合いは無かったと証言している。；前もって今の境涯を問われるだろうと、あらかじめ考えてあったことだ。；露骨ないやがらせが行なわれるだろうことは、前もって予測されていた。；前もってその結果はわかりすぎていたが、それを延ばそうとつとめていた。；前もってそのことを知っていたとしたら、どういう行動をとったか?；彼は前もって戸棚から出しておいた古い葉巻入れをテーブルの上に置いた。；前もっておことわりしておくが、ひとの名前や土地の名を少し変えてある。；操縦士は前もって予定された飛行計画とは異なった機体操作を行っていた。；もしそんなことを何か耳にしていたら、きみに前もって警告していたはずだ。；放送における収録とは、番組素材を前もって録音・録画・編集すること。；宇宙曲芸をやるなら、前もってそのむね知らせてくれてもいいでしょう!；もちろん、前もっての話がまだおこなわれていなければの話ですがね。；これは、つまりあなたを守るために、前もって御注意するのでございます。；だがそれも田園ほどの価値はないということを前もって確信していた。</t>
        </is>
      </c>
      <c r="J7849">
        <f>HYPERLINK("https://www.weblio.jp/content/前もって", "词义详情")</f>
        <v/>
      </c>
      <c r="K7849">
        <f>HYPERLINK("https://yourei.jp/前もって", "查看例句")</f>
        <v/>
      </c>
    </row>
    <row r="7850">
      <c r="A7850" t="inlineStr">
        <is>
          <t>負かす</t>
        </is>
      </c>
      <c r="B7850" t="inlineStr">
        <is>
          <t>成功</t>
        </is>
      </c>
      <c r="C7850" t="inlineStr">
        <is>
          <t>読み方：まかす
［動サ五（四）］勝負などで相手を負けさせる。「ライバルを—・す」
[可能]まかせる</t>
        </is>
      </c>
      <c r="D7850" t="inlineStr">
        <is>
          <t>負かすでしょ；負かすべき</t>
        </is>
      </c>
      <c r="E7850" t="inlineStr">
        <is>
          <t>倒す；勝つ；破る；討つ；やっつける</t>
        </is>
      </c>
      <c r="F7850" t="inlineStr">
        <is>
          <t>言い負かす；うち負かす</t>
        </is>
      </c>
      <c r="H7850" t="n">
        <v>29</v>
      </c>
      <c r="I7850" t="inlineStr">
        <is>
          <t>その貴族は五十人の武士を率いてきたが、これも皆負かしてやりました。；我々は彼らを攻撃し打ち負かすことができるし、我々がそれをやるのだ!；私は学生達と数回やって見たが、いつでも僅かな石で負かされて了った。；負かすやうにしたのは役者ではない俺のために泣いた時のお前なのだ。；火は負かされて、逃げなければならなかったので竹や石の中に隠れていた。；インガリーが攻めこんできておれたちを打ち負かし、国を占領したんだ。；わたしは、あんたなんかよりずっと強い男を負かしてきたのだからな。；その測り知れないねうちを思ふと、彼の智力も打ち負かされてしまつた。；これは、そのような箇所こそ論敵を打ち負かすのに最適だからであった。；その時もし敵が現れたら、彼らは簡単に僕を打ち負かしてしまったであろう。；われわれのほうがたいてい打ち負かされるのは、驚くに当たりません。；わたしの知恵の働きがその限界をでず、結果がわたしを打ち負かしたのだ。；ESSは打ち負かされない戦略と違い、大規模な侵略を想定していない。；第一、私には先生を言い負かすだけの能力も学識もありはしなかった。；眠気に打ち負かされそうになった直前、向かいの斜面を動くものが見えた。；しかし波に打ち負かされた者には埋葬はないときみはいったね。；その気になればまわりの誰をも簡単に言い負かすことができた。；すべてがあきらかになった今、相手を打ち負かす方法はわかっていた。；自分自身を言い負かすための力すら、今のハルユキには不足していた。；この戦いは1849年の夏まで続き、ハンガリーの軍は打ち負かされた。；いつでも、いつの間にかこういった形で祥子さまが言い負かされるのだ。；ある日、口論で私に負かされた鍛冶屋の子が多勢の前であきらかにした。；あれよりも二三年下、小学校の五六年であれを負かすのも珍しくはありませんな。；ものの十分もしないうちに、彼はあっさりわたしを負かしてしまった。；つまりそのときは明らかに自分が負かされてしまっているのだ。；僕の記憶する限りでは、仕事で人を負かすことについて何か言っていました。；僕は、言い負かしてやったかと思って少しいい気分になったがそうではなかった。；しばらくの間、ソランはもう少しで私を打ち負かしそうになっていた。；打ち負かされた恋敵と雪の上に書かれた恋物語は、すでに忘れられていた。</t>
        </is>
      </c>
      <c r="J7850">
        <f>HYPERLINK("https://www.weblio.jp/content/負かす", "词义详情")</f>
        <v/>
      </c>
      <c r="K7850">
        <f>HYPERLINK("https://yourei.jp/負かす", "查看例句")</f>
        <v/>
      </c>
    </row>
    <row r="7851">
      <c r="A7851" t="inlineStr">
        <is>
          <t>任す</t>
        </is>
      </c>
      <c r="B7851" t="inlineStr">
        <is>
          <t>成功</t>
        </is>
      </c>
      <c r="C7851" t="inlineStr">
        <is>
          <t>読み方：まかす
［動サ五（四）］「任せる」に同じ。「この仕事は君に—・す」
［動サ下二］「まかせる」の文語形。</t>
        </is>
      </c>
      <c r="D7851" t="inlineStr">
        <is>
          <t>任すべき(7%)；任すべし(3%)；任すべから</t>
        </is>
      </c>
      <c r="E7851" t="inlineStr">
        <is>
          <t>委託；任せる；委任；預ける；信託</t>
        </is>
      </c>
      <c r="H7851" t="n">
        <v>29</v>
      </c>
      <c r="I7851" t="inlineStr">
        <is>
          <t>無感情で多少無元気な人のよい紙屋は、彼女のするままに任しておいた。；遠征で国内を空ける事の多かった同王によって国内統治を任されていた。；あとはイタリア軍から一部の部隊の指揮を任されているというだけだった。；しかしながら、ONUCが最初に任された活動は平和維持のみであった。；彼らにはそれぞれ頭がありまして、大抵はその自治に任しておりました。；要所を任されていることからも、それなりの地位にあったと考えられる。；イエス一行の会計係を任されており、不正を行う事が可能な立場にいた。；そして彼らのなすままに任して、彼らを軽蔑する楽しみを味わっていた。；既に一人の男に身を任したことのある女性のみが知る鎖だった。；そんなところに、オリエンタル製薬のような大企業の仕事を一手に任す。；アイレインにママ・パパスの護衛を完全に任している状態となっている。；運に任して、でき得る限り良い方法を尽して事の成就を謀るまでである。；「任しといて下さい、警部」彼は部屋を出たが、すぐにまた戻って来た。；勝手の用はほかの女どもに任して置いて、まあこゝで少し話してゆけ。；この時代にジャンプボールを任された選手が現在のセンターの起源に当たる。；様々な年齢の生徒がいるため生徒個人の判断に任されている。；カルパの終焉に当たり宇宙を解散させるのは、この両神に任されている。；湘南ではレギュラーに定着し、シーズン途中からキャプテンを任された。；平太郎は運を天に任して妖怪と根比べをするより他に手段がないと思った。；少しもったいないが、折角言ってくれたのだから、全部任すことにした。；社員は一斉に任し、事態を開設する見解の公表に踏み切った人も数名いる。；現在、旧ヘボン式の採用に強制力はなく鉄道各社の判断に任されている。；「こうなったら、運を天に任すほかはないね」 と、篠原大尉は言った。；永禄6年に上野厩橋城主に任命され、関東方面の政治や軍事を任された。；姉さんが帰った以上は姉さんになんでも任して安心して勉強してくださいよ。；越後屋の屋号は重俊が江戸店を任されるようになった時代に使われ始めた。；「おぬしに任す」 秋水がそう言うが早いか、左京は腕を振り下ろした。；メルセデス・ベンツのドイツ現地工場の風水的設計を任されたこともある。；テナルディエの女房はいつものとおり亭主のなすままに任しておいた。</t>
        </is>
      </c>
      <c r="J7851">
        <f>HYPERLINK("https://www.weblio.jp/content/任す", "词义详情")</f>
        <v/>
      </c>
      <c r="K7851">
        <f>HYPERLINK("https://yourei.jp/任す", "查看例句")</f>
        <v/>
      </c>
    </row>
    <row r="7852">
      <c r="A7852" t="inlineStr">
        <is>
          <t>任せる</t>
        </is>
      </c>
      <c r="B7852" t="inlineStr">
        <is>
          <t>成功</t>
        </is>
      </c>
      <c r="C7852" t="inlineStr">
        <is>
          <t>読み方：まかせる
［動サ下一］［文］まか・す［サ下二］
１仕事などを他にゆだね、その自由にさせる。「経営を—・せる」
２相手の好きなようにさせる。「御想像に—・せます」「身を—・せる」
３そのままにしておく。ほうっておく。「髪の毛が乱れるに—・せる」「成り行きに—・せる」
４（「…にまかせて」の形で）自然の勢いのままにする。「口に—・せてでたらめをいう」「足に—・せて歩く」
５従う。
「然ればすなはち先例に—・せて」〈平家・四〉</t>
        </is>
      </c>
      <c r="D7852" t="inlineStr">
        <is>
          <t>任せるべき(3%)；任せる制度が導入</t>
        </is>
      </c>
      <c r="E7852" t="inlineStr">
        <is>
          <t>依頼；信頼；信用；頼む；委託</t>
        </is>
      </c>
      <c r="F7852" t="inlineStr">
        <is>
          <t>任せるよりほか；任せるより他；任せるより仕方がない</t>
        </is>
      </c>
      <c r="H7852" t="n">
        <v>29</v>
      </c>
      <c r="I7852" t="inlineStr">
        <is>
          <t>私はいずれこの二人に月の使者を任せる事になるであろうと考えていた。；彼女は何の不安もなく息子のジャックをこの少年に任せることができた。；私は息をつめて眼を閉じて、運命を天に任せるより外に仕方がなかった。；こっちはやれるだけのことはやったから、あとは運を天に任せるだけね。；コード感をキーボード的なものに任せたということが今までと違うかな。；政府は、州が保有する鉄道は州の責任に任せるべきだと判断していた。；やったんだかなんだか、それは警察に任せておけばいいと思ってるの。；もし夫のほうが彼女を守ることができないなら自分に任せるがいい。；出走できるかどうかについては皆さんの判断に任せるしかありませんね。；今や彼女は、数人の男の目の前で、一人の男に身を任せることもできた。；地球周辺の宇宙開発は民間に任せるといった動きが非常に良く見られる。；ウェイン郡が形成されたとき、郡政府を任せる5人の委員が指名された。；それでスタッフに任せたら、スタッフの人達も決められなかったらしく。；どちらがより不正直な職業かという点は神の裁きに任せるしかないがね。；いずれにせよ、いまの自分には娘を信頼して任せる以外に道はない。；そのため横安定はアウトリガーに任せ、主脚は一本だけになったのである。；番組側は特に企画は用意せず、トークの流れに任せて自由に進行する。；当初から自動車の運転免許を持っておらず、運転は妻や息子に任せている。；いずれも他馬とのスピードの違いに任せて逃げきるという内容であった。；小学校を万人に強請し、中学校は万人の意に任せる、それが定法である。；戦闘を殷雷に任せると決めたら、後は自分の体の力を抜けばいいのであった。；しかし、そのほとんどは別の指揮者に実際の指揮を任せていたという。；永禄9年以降は実質的にも隠居し息子達に多くの戦を任せるようになる。；他人に任せることで人に対する感謝の気持ちを持たせるのが狙いだという。；もしそれが決定されるならば、尾張藩に任せるようにとも述べている。；高く飛ぶことを知るものは、風の力に身を任せることをも知つてゐるのだ。；血のついた金のために断頭台の下で身を任せる女だといわれるのだぞ、と。；父は工場を次男のに任せ、アルフレッドと両親はスウェーデンに帰国した。；前者の反発に対し、会社はを雇って外装の設計を任せることで対応した。</t>
        </is>
      </c>
      <c r="J7852">
        <f>HYPERLINK("https://www.weblio.jp/content/任せる", "词义详情")</f>
        <v/>
      </c>
      <c r="K7852">
        <f>HYPERLINK("https://yourei.jp/任せる", "查看例句")</f>
        <v/>
      </c>
    </row>
    <row r="7853">
      <c r="A7853" t="inlineStr">
        <is>
          <t>賄う</t>
        </is>
      </c>
      <c r="B7853" t="inlineStr">
        <is>
          <t>成功</t>
        </is>
      </c>
      <c r="C7853" t="inlineStr">
        <is>
          <t>読み方：まかなう
［動ワ五（ハ四）］
１費用・人手などを用意する。ととのえる。「寄付で費用を—・う」
２食事をととのえて出す。「夕食を—・う」
３事を処理する。切り盛りする。「親からの仕送りで—・う」
４とりはからう。とりしきる。
「疎略なき様に—・ふべし」〈浄・娥歌かるた〉
[可能]まかなえる</t>
        </is>
      </c>
      <c r="D7853" t="inlineStr">
        <is>
          <t>賄うべき</t>
        </is>
      </c>
      <c r="F7853" t="inlineStr">
        <is>
          <t>全て賄う</t>
        </is>
      </c>
      <c r="H7853" t="n">
        <v>29</v>
      </c>
      <c r="I7853" t="inlineStr">
        <is>
          <t>その日の食事は誰が賄っているのかわからなくなる時もしばしばあった。；別に生徒会の金で賄っているわけではないんだし、何か問題があるかい?；それを構成する〝存在の力〟は、ビルの中にいるトーチで賄われていた。；この時、坂本は資金のほとんどを銀行からの借り入れで賄ったとされる。；船の設備だけでは2人分の酸素しか賄えないことが判明したのである。；これではとても国内需要を賄えないため他国からアヘンを輸入している。；建築費は焼失した初代記念館の保険金と大学の基本金の一部から賄われた。；銀行の最初の役目はイギリスとの戦争の資金を賄うことであった。；室代はもちろん食費もセンテュパンのほうで賄ってくれるらしいのである。；計画への費用はソ連領での収奪や強制労働で賄われるものとされた。；打狗山の丘陵の自然水だけでは賄うことができず、水質も高硬度だった。；これは、本級で想定される戦闘時最大負荷を2基で賄うことができる。；高規格ではない道路の建設と維持は地方政府の資金で賄われている。；また、下り線側も広大な収容数を賄う駐車スペースが確保されている。；その費用を賄う為にこの時期は生涯で最も盛んに篆刻し、人の求めに応じている。；活動資金は個人・団体からの寄付金で賄われ、政府からの資金は受けない。；現在では2005年にオープンしたぷららてんまがその機能を賄っている。；また、大学入学前に父親も亡くし、珠子が働きに出ることで学費を賄う。；由来は中野が滞在費の一部を公文教育研究会の支援で賄っていた縁からである。；米の収穫だけにたよっていたのでは厖大な戦費を賄うことはできなかった。；両国王はと呼ばれる新たな種類の税を制定し、聖地への遠征費をそれで賄った。；ノートや給食費は自分で賄えても、なにしろ、自分の家がないのである。；こうして集められた資金が史上空前の賞金の大半を賄うことになる。；企業に資金が必要となった場合に、それを外部から調達して賄うということ。；この際に使用された水銀が全て伊勢産で賄われていたかは不明。；推進委員会は次のような体制であり、運営資金は寄付によって賄われている。；選挙資金は勤務中に事故で首を骨折して支払われた労災の一時金で賄ったという。；フランスからの借款で賄われた軍事への投資が結実したのであった。；これらのアイテムは出稿料を賄うために高利益商品という側面を持つ。</t>
        </is>
      </c>
      <c r="J7853">
        <f>HYPERLINK("https://www.weblio.jp/content/賄う", "词义详情")</f>
        <v/>
      </c>
      <c r="K7853">
        <f>HYPERLINK("https://yourei.jp/賄う", "查看例句")</f>
        <v/>
      </c>
    </row>
    <row r="7854">
      <c r="A7854" t="inlineStr">
        <is>
          <t>曲がる</t>
        </is>
      </c>
      <c r="B7854" t="inlineStr">
        <is>
          <t>成功</t>
        </is>
      </c>
      <c r="C7854" t="inlineStr">
        <is>
          <t>読み方：まがる
［動ラ五（四）］
１まっすぐなものが弓形・くの字形などになる。「雪の重みで竹が—・る」「背中が—・る」
２道の方向が変わる。「土手の手前で道が—・っている」
３進行する向きを変える。「次の角を左に—・る」
４正しい位置や方向からそれる。傾く。ゆがむ。「ネクタイが—・っている」
５（「まがった」「まがっている」の形で）性質や考えなどが正しくない。すなおでない。「心の—・っている人」「—・ったことはきらいだ」
６衰える。「身代が—・る」
[可能]まがれる</t>
        </is>
      </c>
      <c r="D7854" t="inlineStr">
        <is>
          <t>曲がるとすぐ；曲がるべき；曲がると進行方向；曲がる細い；曲がる屈曲部</t>
        </is>
      </c>
      <c r="E7854" t="inlineStr">
        <is>
          <t>カーブ；回る；廻る；ターン；湾曲</t>
        </is>
      </c>
      <c r="F7854" t="inlineStr">
        <is>
          <t>ねじ曲がる；鋭く曲がる；よく曲がる；くねくねと曲がる；沿って曲がる</t>
        </is>
      </c>
      <c r="H7854" t="n">
        <v>29</v>
      </c>
      <c r="I7854" t="inlineStr">
        <is>
          <t>はいっていく時には右に曲がり続けて、出て行く時には左ばかりなんだ。；曲がった生物の動きは不自然な印象を与えるために逆再生が使用された。；階段を上って左に曲がると、両側に小さな研究室の並んだ廊下が現れる。；一つ角を曲がればまったく異国の文化様式が出現する不思議な街だった。；下顎の先端は互いの方に向かって曲がっておらず、内側で接触している。；鏡もさっきの部屋の壁や床と同じように、不思議な曲がり方をしています。；俺だって、もうどこへ行っても、曲がったことなんて絶対にしたくない。；台所の手前を右に曲がると、庭に建てられた離れへ続く廊下になっていた。；そのせいで道路が妙な形に曲がり、しばしば渋滞が起こるようになった。；うしろをふり向くと、あとに続く二台の自動車はまだ曲がってきません。；それと同時に曲がっていた指は、突然もとのように動くようになった。；その濠に沿って曲がって一町ほど行った所が役場だと清三は教えられた。；ドラッグストアのある角を曲がりかけたところで貴子は声をかけられた。；そのモーメントを小さくするためには、首の曲がりを小さくすればよい。；きっと角を曲がるときも直角に曲がるだろうと思われるような人だった。；日曜日に近所を散歩して歩くのだが不思議とあの角は曲がらなかった。；薄暗い廊下の半ばで左に曲がると、短い通路の先にビルの配電室がある。；前胸背の側面の縁は黄白色になっており、僅かに内側に向かって曲がる。；しかしそこを左へ曲がるとすると、かなりの距離を歩くつもりだろう。；アビゲイルの体は明らかに不可能な位置に曲がったと主張されている。；羽片の先端は尾状に伸び、また先端に向かって葉先方向に弓状に曲がる。；周辺は大きく変わっていないが、ジョージ卿は老けて腰が曲がっていた。；地震が発生した場合に、高層建築物のように曲がるように造られている。；町人は左手の通りへ曲がって行くと、後ろも見ずにすたすた歩き出した。；朝倉は角を曲がり、男たちが乗ってきたブルーバードの方に戻っていく。；何度か角を曲がり、一度は多少広い道に出て、そこで地図を確認した。；男がその脇道の角を曲がり、私も足を早めて十秒後にはその角に達した。；そこから一分くらいしたところで、闇の中を鈍角に右に曲がった気がする。；固定してる期間中に指が曲がっていると、完治するまでに時間がかかる。</t>
        </is>
      </c>
      <c r="J7854">
        <f>HYPERLINK("https://www.weblio.jp/content/曲がる", "词义详情")</f>
        <v/>
      </c>
      <c r="K7854">
        <f>HYPERLINK("https://yourei.jp/曲がる", "查看例句")</f>
        <v/>
      </c>
    </row>
    <row r="7855">
      <c r="A7855" t="inlineStr">
        <is>
          <t>巻き込む</t>
        </is>
      </c>
      <c r="B7855" t="inlineStr">
        <is>
          <t>成功</t>
        </is>
      </c>
      <c r="C7855" t="inlineStr">
        <is>
          <t>読み方：まきこむ
［動マ五（四）］
１巻いて中へ入れる。「機械に—・まれる」
２ある人間関係や事態に引き入れる。巻き添えにする。「無関係な他人を—・む」「内紛に—・まれる」</t>
        </is>
      </c>
      <c r="D7855" t="inlineStr">
        <is>
          <t>巻き込むまい；巻き込む大規模；巻き込む大騒動；巻き込む多重クラッシュ；巻き込む大きな</t>
        </is>
      </c>
      <c r="E7855" t="inlineStr">
        <is>
          <t>巻く；纏う；巻きつける；絡める；絡ませる</t>
        </is>
      </c>
      <c r="H7855" t="n">
        <v>29</v>
      </c>
      <c r="I7855" t="inlineStr">
        <is>
          <t>運命はふたりをそれぞれ少年にし、地球をかけた戦いに巻き込みました。；彼が来たことでその家のみならず、他の家をも巻き込んで波紋が起こる。；船の外輪は回転を続けたので、水に落ちた人々を巻き込んで負傷させた。；文枝をそんな目には巻き込みたくないと思えるだけの分別は残っていた。；さっきから嫌な気分なのは、一般市民を巻き込もうとする作戦だからだ。；俺の部屋を巻き込んだところで、当然いつかは同じことになるわけで。；この場合は接近しないと、女の子も一緒に巻き込む危険があるからだ。；その時の彼女の行動は周りを巻き込むくらいの壮絶な自殺行為が多い。；俺の罪は俺に留め、世の中を巻き込んで滅ぼしたりしないでくださいと。；王女を巻き込むことになったとしてもこの人は自分の身は自分で守れる。；孫運璿は技術官僚出身とは言え政治的混乱に巻き込まれることとなった。；抵抗することは同居人を巻き込む恐れがあると思わなければならない。；アリオッホを始めとする混沌の神と法の神の対立の中に巻き込まれていく。；戦後になり、競技では現在と同様に限界までゴムを巻き込むようになった。；そして、戦争はさらに多くの人を巻き込み、また自発的に動かしていく。；いや、戦う意思などない傍観者を無理に巻き込んだ女神様が原因だろう。；両者の対立はイタリアの王党派組織を巻き込んだものにまで発展していった。；父は自分を事件に巻き込むのをもっとも恐れたようだ、と冴子は思う。；その後は全選手を巻き込んだ世代抗争に突入したため活動は停止した。；でもこれは地球上のあらゆる国の政府を恐怖の渦に巻き込みました。；モノレールから降りたときには、すでに誰を巻き込むべきかを決めていた。；そのような人物を戦争に巻き込むのは忍びないと思っていたからだ。；それを乗り越えるためには、理解ある教員を巻き込んでいく必要がある。；やがて主人公は、二度目の戦場にて大規模な銃撃戦に巻き込まれていく。；その裏にはアメリカとロシアを巻き込む恐るべき陰謀が秘められていた。；だがホスの極寒の吹雪に巻き込まれ、雪の中で気を失って倒れてしまう。；首を傾げながらも見つけた以上はこいつを巻き込もうと決めた真田だった。；成り行きから彼は地球を守る戦いへと巻き込まれていくことになる。；ほかにもアメリカ軍や一般市民を巻き込んだ攻撃が計画されていた。</t>
        </is>
      </c>
      <c r="J7855">
        <f>HYPERLINK("https://www.weblio.jp/content/巻き込む", "词义详情")</f>
        <v/>
      </c>
      <c r="K7855">
        <f>HYPERLINK("https://yourei.jp/巻き込む", "查看例句")</f>
        <v/>
      </c>
    </row>
    <row r="7856">
      <c r="A7856" t="inlineStr">
        <is>
          <t>紛らわしい</t>
        </is>
      </c>
      <c r="B7856" t="inlineStr">
        <is>
          <t>成功</t>
        </is>
      </c>
      <c r="C7856" t="inlineStr">
        <is>
          <t>読み方：まぎらわしい
［形］［文］まぎらは・し［シク］《古くは「まきらはし」》
１似ていて区別がつきにくい。「本物と—・いレプリカ」「—・い名前」
２まぶしい。まばゆい。
「上野(かみつけの)まぐはしまとに朝日さし—・しもなありつつ見れば」〈万・三四〇七〉
３気持ちがまぎれるようである。
「おのづからうちたゆみ、—・しくてなむ、過ぐし来るを」〈源・橋姫〉
４めまぐるしく多忙である。
「わが身も—・しき事あれば、えこそ助け奉るまじけれ」〈仮・伊曽保・下〉
[派生]まぎらわしげ［形動］まぎらわしさ［名］</t>
        </is>
      </c>
      <c r="D7856" t="inlineStr">
        <is>
          <t>紛らわしいこと(12%)；紛らわしいため(11%)；紛らわしいもの(4%)；紛らわしい場合(3%)；紛らわしい名称(3%)</t>
        </is>
      </c>
      <c r="E7856" t="inlineStr">
        <is>
          <t>曖昧；はっきりしない；曖昧な；あいまい；不明瞭</t>
        </is>
      </c>
      <c r="F7856" t="inlineStr">
        <is>
          <t>紛らわしいということ；やや紛らわしい；紛らわしいので注意</t>
        </is>
      </c>
      <c r="H7856" t="n">
        <v>29</v>
      </c>
      <c r="I7856" t="inlineStr">
        <is>
          <t>それでもそのあたりまでは、寂しさを紛らわしているのだと思っていた。；そんな紛らわしい名付け方をしたバチでも当たったのかとさえ思った。；形容詞節と紛らわしいことが多いが、節の中で文の要素が十分である。；しかし今の気持ちを紛らわしてくれるような番組は見つからなかった。；さらに紛らわしいことに、日本の計量法はまた別の独自の定義をしている。；紛らわしいことに、この駅は歴史的なサザーク地区よりもかなり西にある。；多少とも気を紛らわしてくれたのはヴェーラ・レーベジェフであった。；この建物は17世紀にこの紛らわしい名前で呼ばれるようになった。；紛らわしいことに後にこのどちらもモートロック諸島と呼ばれている。；京で名高い柄糸を売る鼠屋に紛らわして栗鼠屋と名乗る店が出た事あり。；それらの丘の形が似ていて見分けにくいことから、紛らわしいことのたとえ。；剥がれなくても、自然にできるような傷などで紛らわしくなるようでは困る。；しかし極めて紛らわしいため、現在ではキロカロリーが使われている。；算木を実際に使うときは誤解がないが、それを書写するときは紛らわしい。；最も簡単なのはで、字牌では がわかりやすい一方、とはやや紛らわしい。；このように加工を施した物も、単にキャンバスとも呼ぶので紛らわしい。；このように、色だけで多様なタイカレーを判別するのは少々紛らわしい。；特に波括弧は標準的な集合を表す記法と紛らわしいため注意すべきである。；おそらく誰かと話す事で緊張を紛らわしたいのだろう。；また、他の意味と紛らわしくないとき、補集合を表すためにも用いる。；同部位に対しては医学用語の外側が日常語の内側に当たり、紛らわしい。；合計119両が製作されたが旧形式に似た車番の車両が発生し紛らわしい結果となった。；残されたアンドレアは毎週末に実家に帰って寂しさを紛らわしていた。；紛らわしいので誤った記述をする書籍があるので注意を有する。；プライム記号は、分の単位記号であるので紛らわしく使用しない方がよい。；紛らわしいため度々混同されるが、どちらとも活動期間は重複していない。；コードが理解しにくく紛らわしくなるように構文規則が設計された。；これらのクエーサーは座標による名前が混在しており非常に紛らわしい。；これをヨーロッパではアラビア数字と呼ぶので、紛らわしい名称となっている。</t>
        </is>
      </c>
      <c r="J7856">
        <f>HYPERLINK("https://www.weblio.jp/content/紛らわしい", "词义详情")</f>
        <v/>
      </c>
      <c r="K7856">
        <f>HYPERLINK("https://yourei.jp/紛らわしい", "查看例句")</f>
        <v/>
      </c>
    </row>
    <row r="7857">
      <c r="A7857" t="inlineStr">
        <is>
          <t>紛れる</t>
        </is>
      </c>
      <c r="B7857" t="inlineStr">
        <is>
          <t>成功</t>
        </is>
      </c>
      <c r="C7857" t="inlineStr">
        <is>
          <t>読み方：まぎれる
［動ラ下一］［文］まぎ・る［ラ下二］
１入りまじって区別がつかなくなる。また、はっきりしなくなる。「人込みに—・れて見失う」「勝負の行方が—・れてくる」
２似通っていて見分けがつかなくなる。「—・れやすい色」
３他と見分けのつかない状況などをうまく利用する。混乱などに乗じる。「騒ぎに—・れて盗みを働く」「夜陰に—・れて逃げる」
４他に心が奪われて、本来行うべきことがおろそかになる。「多忙に—・れて返事が遅れる」
５他に心が移って、悲しみなどを忘れる。「気が—・れる」
６他に差し障りがある。
「舞も見たけれども、けふは—・るる事いできたり」〈平家・一〉</t>
        </is>
      </c>
      <c r="D7857" t="inlineStr">
        <is>
          <t>紛れるだろ(4%)；紛れる保護色(2%)；紛れるかもしれ；紛れるともなく</t>
        </is>
      </c>
      <c r="E7857" t="inlineStr">
        <is>
          <t>隠れる；浸透する；紛れ込む</t>
        </is>
      </c>
      <c r="H7857" t="n">
        <v>29</v>
      </c>
      <c r="I7857" t="inlineStr">
        <is>
          <t>話し続けている方が気が紛れると、無意識に知っているのかもしれない。；都の女が恋しくなっている若者たちも、源氏を見て気が紛れるのである。；淡色になっていても縞が明確に見える時と砂に紛れるような色の時がある。；おれは人の波に紛れるように横断歩道を渡り、喫茶店の前を通りすぎた。；金で孤独が紛れるなら、それが一時的なものであってもよかったのだ。；何か身体を動かしていたい、何かしてたら少しは気も紛れるのに。；いくら敵地で群衆に紛れるためとはいえ、また随分と体を張ったものだ。；最近は、幸福クラブの活動に便乗し、それに紛れるようにしてやっていた。；めくれ上がったカーテンに紛れるようにして、小さな人影が飛び出した。；気が紛れるっていうのなら、橋本と付き合ってみるのも一つの方法だよ。；まだ〈神人〉なりがいてくれたほうが動きがあって気が紛れるだろう。；鶴姫の相手をして遊んでいると、心の悩みが、しぜんに紛れるのである。；その光点が星の光に紛れるのを待って、バナージはひとつ息をついた。；皆はできるだけ山の斜面に紛れるようにいわばその斜面を滑り降りた。；我々は紛れる事に意義があり、浮き出る事はマイナスでしかありません。；そして、ヒカゲさんだけなら、この包囲でも闇に紛れるのは難しくない。；配下たちの間に紛れるのはよいが、顔を改められればわかってしまう。；名所の類を巡れば退屈も紛れるだろうかと思い、あちこちを巡ってみた。；追っ手の目を欺くには、 『他の乗客に紛れる』のが一番効率的なのだ。；体を動かしている方が気持ちが紛れることがわかったわ。；何かしていた方が気が紛れるあたり、峻護と性格はよく似ているかもしれない。；皆が取って、急いでこの仮屋の道を 花園に紛れるようになさるが好い。；それに紛れるようにして、 「無駄なことだ」 大牙は苦くつぶやいた。；店はみな闇に紛れるように暗く、自動販売機がぼんやり光っている。；成虫の体色は、この時に枯草に紛れるための保護色と考えられている。；教会に行くことで気分が紛れることもあったという。；人を好きになったら、気が紛れるかもしれない、と思っていた。；それで、物淋しいようだが、一面また何かと気の紛れる折もあるのだった。；早紀に会えば気が紛れるかと思ったので病院に行ってみました。</t>
        </is>
      </c>
      <c r="J7857">
        <f>HYPERLINK("https://www.weblio.jp/content/紛れる", "词义详情")</f>
        <v/>
      </c>
      <c r="K7857">
        <f>HYPERLINK("https://yourei.jp/紛れる", "查看例句")</f>
        <v/>
      </c>
    </row>
    <row r="7858">
      <c r="A7858" t="inlineStr">
        <is>
          <t>間際</t>
        </is>
      </c>
      <c r="B7858" t="inlineStr">
        <is>
          <t>成功</t>
        </is>
      </c>
      <c r="C7858" t="inlineStr">
        <is>
          <t>読み方：まぎわ
１物事がまさに行われようとするとき。寸前。「出発—に電話がくる」
２境界に接する直前の部分。「がけの—まで家が建つ」</t>
        </is>
      </c>
      <c r="D7858" t="inlineStr">
        <is>
          <t>直前；寸前；間近；目前；ギリギリ</t>
        </is>
      </c>
      <c r="F7858" t="inlineStr">
        <is>
          <t>終戦間際；卒業間際；閉店間際；発車間際；出発間際</t>
        </is>
      </c>
      <c r="H7858" t="n">
        <v>29</v>
      </c>
      <c r="I7858" t="inlineStr">
        <is>
          <t>例えば死の間際のスターリンはソ連のユダヤ人を攻撃しようとしていた。；だからね、要求書を出す間ぎわになって、それを見せて意見を聞いたら。；この女性が死ぬ間際に見せた目の力で、全てのものが支配されていく。；卒業間際に現在所属している事務所から声を掛けられ準所属となった。；死の間際、田部が最後に叫んだ名は太宰の名ではなかったと伝えられる。；また、装置そのものが煙が覆う地域の間際に位置することが必須となる。；死の間際の描写から、死ぬ直前にいくらか正気を取り戻せたようである。；いずれも試合も終了間際のゴールで決着するという劇的な展開となった。；前半終了間際で交代をしたときは目に涙を浮かべながらベンチに下がった。；死の間際に比叡山に入り、そこで念仏を唱えながら亡くなったとされる。；また終戦間際には日本政府も独立に向けての協力を行うようになった。；だがローガンは死の間際に自分こそがジェームズの父親であると告げる。；敗戦間際には、一部の部隊はほぼ全員が女性で構成されるほどになっていた。；しかし終了間際にファン・アラーノにゴールを許し引き分けに終わった。；角館には死の間際に直武が着ていたとされる血の付いた着物が今も残っている。；間ぎわになってばたばたするといけないから、六畳だけ先にはじめる。；終戦間際の中国と日本を舞台に一人の若き女性の人生を描いた作品。；しかし、前半終了間際にPKを与えてしまい、前半の出場のみで交代した。；なお、死の間際、ウッソのことを本当の弟のように思っていたと語っている。；この事は死の間際にエンドルフィン値が上がる事を示唆している。；死ぬ間ぎわにせめてわたしのことを思い出してくれたのだろうか。；通話履歴と妻の証言では死の間際まで仕事を探していたという。；死の間際に送られた感謝の手紙を読んでアンディとレッドは苛まれる。；立ち去る間ぎわにジャンナン夫人は、墓の方へ最後にも一度振り向いた。；卒業間際の添削会で出版社からスカウトされ、漫画家デビューを果たす。；同曲の終わり間際では、森がいしだの涙をハンカチで拭う場面があった。；治癒した痕跡はなく、この負傷は死の間際に負ったことが示唆される。；しかしブランド教授は老齢で死の間際にマーフに自身の罪を告白する。；僕が高等学校を卒業する間際に、父から叔父へ手紙が行った。</t>
        </is>
      </c>
      <c r="J7858">
        <f>HYPERLINK("https://www.weblio.jp/content/間際", "词义详情")</f>
        <v/>
      </c>
      <c r="K7858">
        <f>HYPERLINK("https://yourei.jp/間際", "查看例句")</f>
        <v/>
      </c>
    </row>
    <row r="7859">
      <c r="A7859" t="inlineStr">
        <is>
          <t>巻く</t>
        </is>
      </c>
      <c r="B7859" t="inlineStr">
        <is>
          <t>成功</t>
        </is>
      </c>
      <c r="C7859" t="inlineStr">
        <is>
          <t>読み方：まく
［動カ五（四）］
１物のまわりに、ゆるみのないようにからみつける。「包帯を—・く」「グリップにテープを—・く」
２長い物・平らな物を、その一端を軸にするように丸める。「反物を—・く」「紙を筒状に—・く」
３渦巻き状にする。また、渦巻き状になる。「蛇がとぐろを—・く」「朝顔のつるが—・く」
４ねじ・ぜんまいなどをねじり回して締める。「ぜんまいを—・く」「竜頭を—・く」
５物を、それについている綱や鎖を軸にからませて、持ち上げる。「錨(いかり)を—・く」
６まわりを取り囲む。包み込む。「煙に—・かれる」
７連歌・俳諧の付合(つけあい)をする。「歌仙を—・く」
８登山で、ルートの途中にある難所を避け、迂回して登る。また、そのように道がついている。「大滝を—・いて沢筋をつめる」「頂上を—・く道」
９テレビ・演劇などで、予定した時間よりも早まる。「撮影が1時間—・いて終わる」⇔押す。
10（「舌をまく」の形で）言葉も出ないほど驚いたり、感心したりする。「子供ながらも巧みな演奏に舌を—・く」
11（「管(くだ)をまく」の形で）酒に酔って、とりとめのないこと、不平などを繰り返し言う。「飲んではくだを—・いてばかりいる」
12（「証文をまく」の形で）借りをなしにする。
「丁度いいから証文位はきれいに—・いてやろうかと思っているんだ」〈荷風・腕くらべ〉
13呼吸が荒くなる。
「息ガ—・ク」〈日葡〉
[可能]まける
[下接句]くだを巻く・煙(けむ)に巻く・舌を巻く・尻尾(しっぽ)を巻く・面(つら)に似せてへそを巻く・蜷局(とぐろ)を巻く・長い物には巻かれよ・螺子(ねじ)を巻く・旗を巻く</t>
        </is>
      </c>
      <c r="D7859" t="inlineStr">
        <is>
          <t>巻く風；巻く黒い</t>
        </is>
      </c>
      <c r="E7859" t="inlineStr">
        <is>
          <t>包囲；図る；回る；巡る；囲む</t>
        </is>
      </c>
      <c r="F7859" t="inlineStr">
        <is>
          <t>吹き巻く</t>
        </is>
      </c>
      <c r="H7859" t="n">
        <v>29</v>
      </c>
      <c r="I7859" t="inlineStr">
        <is>
          <t>隊員たちが全員首に赤いマフラーを巻いていることからこの名がついた。；しかしながらこれは、いよいよ米友を煙に巻くようなものとなりました。；犬は水を飲む時、舌を裏に巻くようにして水をすくって飲む特徴がある。；そして、似たような感情はイングランド側でも巻き起こったのである。；なお、のちに巻いておけばよかったかもと多少後悔している旨を語った。；尾は物に巻きつけることができ、四肢も含め樹上での生活に適している。；背が高いの一名、キラキラしたの一名、布団を巻くの一名ときたもんだ。；どうしても、一方から一方へ手で渡しながら帯は巻くものなのである。；なお、どちらも窓上に深緑や黄緑がどちらも同じ巻き方で巻かれている。；蛇を体に巻きつけ、三つの目を持つ象頭の人の姿をしているという。；経験的な証拠を異なって解釈することからいかに科学的な論争が巻き起こるか。；爪には自ずから巻く力があり、歩くことで逆に巻きを広げる力がかかる。；爪には自ずから巻く力があり、歩くことで逆に巻きを広げる力がかかる。；登場前には窓上にも赤帯を巻くことも検討されたが、実現しなかった。；BPEL の開発の方向については徐々に論争が巻き起こってきている。；あまりにも野球人気が高くなりすぎたために賛否両論が巻き起こったのである。；それらの滝はいずれの滝も容易に巻いて登っていくことができる。；脅威に曝されると、体を巻いて眼を尾で覆い隠した特徴的な姿勢を取る。；また駒と反対側に備えられ、弦を巻き取りながら調律することができる。；ベーゴマの場合、上にも下にも軸はないので、特殊な巻き方が必要になる。；光秀は父親ながら舌を巻くような思いでその児を見つめてしまうことがある。；マルチフォートは1934年に発売された半回転自動巻き時計である。；かもじは初めから三つに組んで置いて地毛の束髪の外を巻く様である。；尾は長く物に巻きつけることができ、和名や英名の由来になっている。；賀茂真淵に師事して日本の古典を研究し、彦根の地に国学の種を巻いた。；そのことから巻き起こる彼の不安定な日常を中心に描いたドラマシリーズである。；アンドロメダ銀河は実際に既に歪んでおり、端が巻いた形になっている。；この若い葉が先端部分を内側にして巻いた状態をワラビ巻きと呼ぶ。；俺が黙ってうなずくと、長い黒髪が渦を巻くほど激しく首を横に振った。</t>
        </is>
      </c>
      <c r="J7859">
        <f>HYPERLINK("https://www.weblio.jp/content/巻く", "词义详情")</f>
        <v/>
      </c>
      <c r="K7859">
        <f>HYPERLINK("https://yourei.jp/巻く", "查看例句")</f>
        <v/>
      </c>
    </row>
    <row r="7860">
      <c r="A7860" t="inlineStr">
        <is>
          <t>膜</t>
        </is>
      </c>
      <c r="B7860" t="inlineStr">
        <is>
          <t>成功</t>
        </is>
      </c>
      <c r="C7860" t="inlineStr">
        <is>
          <t>読み方：まく
［常用漢字］　［音］マク（呉）
１体内の器官を覆い、また仕切る薄い皮。「角膜・隔膜・鼓膜・粘膜・脳膜・皮膜・腹膜・肋膜(ろくまく)」
２物の表面を覆う薄い皮。「被膜・半透膜」</t>
        </is>
      </c>
      <c r="D7860" t="inlineStr">
        <is>
          <t>膜貫通(4%)；膜結合；膜上；膜内；膜厚</t>
        </is>
      </c>
      <c r="E7860" t="inlineStr">
        <is>
          <t>映画；フィルム；薄膜；フイルム</t>
        </is>
      </c>
      <c r="F7860" t="inlineStr">
        <is>
          <t>薄い膜；核膜；包膜；酸化膜；間膜</t>
        </is>
      </c>
      <c r="G7860" t="inlineStr">
        <is>
          <t>膜状；膜電位；膜タンパク；膜構造；膜貫通タンパク質</t>
        </is>
      </c>
      <c r="H7860" t="n">
        <v>29</v>
      </c>
      <c r="I7860" t="inlineStr">
        <is>
          <t>発砲したところ、弾は翼膜を貫通したがそのままどこかへ消えたという。；膜様のものを用いる場合は形を維持するために、補強用の部材を用いる。；核膜は細胞分裂の際に一時消失することがあるが終期には再形成される。；この構造は核膜が解体された後でのみ、染色体の表面に組み立てられる。；その「膜」を叩いて音を出すので、構造が普通の太鼓と全く変わらない。；膜には、二重らせんよりも一本鎖のDNAへの吸着性が強いものを選ぶ。；左右の腹鰭が融合し、吸盤状になっているか、間に膜がある種類が多い。；微粉末を使用するもの、膜を形成させるもの、含浸させるもの等がある。；包膜は杯状で、葉の縁から伸び出して上を向き、先端が大きく広がる。；これは空気中の埃などが半導体表面の膜生成に影響したためである。；このように膜に与える張力を変化させることで、その形態は大いに変化する。；回腸部の膜は逆に脂肪を多く含み、厚く存在する一方で窓は見られない。；構造は半導体性のセレンと極めて薄い金の膜とを接合したものである。；現在は膜ろ過技術の発達・普及により、さらに利用分野が広まっている。；最初に発見されたタイトジャンクションを構成する膜貫通蛋白質である。；光伝導膜が白い部分であり、その上の黒い部分が電極を構成している。；隔離膜の起源について決定的な証拠がなく長年結論の出ない状態であった。；真核細胞の内部には、細胞小器官と呼ばれる膜に包まれた構造体がある。；両方とも指先と導電膜の間での静電容量の変化を捉えて位置を検出する。；また金属表面にガラス質の膜を作った「琺瑯」も近代以前から知られてきた。；卵巣の表面は、1層の細胞からなる漿膜と結合組織性の白膜に覆われる。；歯垢は細菌が集まって膜を形成したバイオフィルムだとも捉えられている。；糸を重ねてできた膜を枝葉の先端に水平に張り、クモはその上に乗る。；核小体以外にも、核には膜で区切られていない構造体が多数含まれている。；糸の膜を支えるように、上に向かって籠状に組まれた糸が膜の上部に広がる。；核小体は膜に囲まれておらず、サブオルガネラと呼ばれることもある。；FeRAMに用いられる強誘電体膜の材料には以下のような性質が要求される。；内側のネットワークは内膜の内側に形成される核ラミナである。；胎盤中隔は、絨毛膜板には付着しておらず、全ての区画は開通している。</t>
        </is>
      </c>
      <c r="J7860">
        <f>HYPERLINK("https://www.weblio.jp/content/膜", "词义详情")</f>
        <v/>
      </c>
      <c r="K7860">
        <f>HYPERLINK("https://yourei.jp/膜", "查看例句")</f>
        <v/>
      </c>
    </row>
    <row r="7861">
      <c r="A7861" t="inlineStr">
        <is>
          <t>幕</t>
        </is>
      </c>
      <c r="B7861" t="inlineStr">
        <is>
          <t>成功</t>
        </is>
      </c>
      <c r="C7861" t="inlineStr">
        <is>
          <t>読み方：ばく
⇒まく</t>
        </is>
      </c>
      <c r="D7861" t="inlineStr">
        <is>
          <t>幕閣(7%)；幕軍(2%)；幕舎；幕目；幕第</t>
        </is>
      </c>
      <c r="E7861" t="inlineStr">
        <is>
          <t>カーテン；覆い；帳；帷；緞帳</t>
        </is>
      </c>
      <c r="F7861" t="inlineStr">
        <is>
          <t>三幕；四幕；映写幕；反幕；表示幕</t>
        </is>
      </c>
      <c r="G7861" t="inlineStr">
        <is>
          <t>幕末；幕下；幕僚；幕内；幕臣</t>
        </is>
      </c>
      <c r="H7861" t="n">
        <v>29</v>
      </c>
      <c r="I7861" t="inlineStr">
        <is>
          <t>なお249編成では幕板部の帯が表記類を避けた高い位置となっている。；大塔宮は隠れながらも帝の代わりになり令旨を発して反幕勢力を募った。；竹内康晃は自身の優勝で幕を閉じたブロレス終了後も更新を続けている。；先頭部分と側面窓上中央部には幕式の種別・行先表示器が設けられた。；明和年間に幕を下賜されたとの記録が屋台に関する最も古い記録である。；この表示部は電照幕設定器を兼ねているが通常時には使用しない。；後期幕領期には箱館通宝の発行が行われ、前期同様道路開削も行われた。；ずっと伝えられずにいた彼女への想いを口にして、物語は幕を閉じる。；写真の車両は西部方面行きの系統に使用中のため、青色幕を掲示している。；この公演が好評を博したことから、全幕蘇演に向けた準備が開始された。；正面の愛称表示器は幕式、車体側面の行先表示器は3色LED式である。；光が新たに生まれた国の名付けを読者に委ねるシーンで物語は幕を閉じる。；初代から8代目で38年の日本での歴史に一旦は幕を閉じることとなった。；種別表示幕は白地に赤文字で「=急=」と表記されているのが特徴だった。；車輪は板車4輪で他に戻し車を備え、屋台中段は般若の大幕で覆われる。；劇中主題歌は幕が開く前にスクリーンにて歌詞を表示して流している。；イベント名の表示された幕を掲示して運行される場合もある。；番組は1982年4月4日放送分をもって10年間の放送に幕を下ろした。；これによりシルビアは1975年の復活から27年の歴史に幕を閉じた。；幕閣の命で代官が派遣され、建物壁の落書消しや石垣修復が行なわれた。；後に州刺史も節度使に倣い、その下に幕職官・曹官を抱えるようになる。；好評だったが、2001年1月号をもって23年間の歴史に幕を閉じた。；ディズレーリはイギリスの帝国主義時代の幕を開いた政治家である。；長州処分が不振を極める中で幕兵の士気は落ち、幕府の財政は悪化した。；そして1994年9月25日をもって15年7か月の歴史に幕を閉じた。；全国の歴史教科書なども「幕領」への表記の変更が進められている。；ここまでで幕が開いてから一時間経っている。；なお、幕領のような村方三役のうち農民の代表である百姓代はおかなかった。；ただし、幕末頃には相当に荒廃していたようで、大幅な修理が加わっている。</t>
        </is>
      </c>
      <c r="J7861">
        <f>HYPERLINK("https://www.weblio.jp/content/幕", "词义详情")</f>
        <v/>
      </c>
      <c r="K7861">
        <f>HYPERLINK("https://yourei.jp/幕", "查看例句")</f>
        <v/>
      </c>
    </row>
    <row r="7862">
      <c r="A7862" t="inlineStr">
        <is>
          <t>撒く</t>
        </is>
      </c>
      <c r="B7862" t="inlineStr">
        <is>
          <t>成功</t>
        </is>
      </c>
      <c r="C7862" t="inlineStr">
        <is>
          <t>読み方：まく
［動カ五（四）］《「蒔(ま)く」と同語源》
１広い範囲に細かく振るようにして散らす。散布する。ばらまく。「玄関先に水を—・く」「塩を—・いて土俵に上がる」
２散らして、大勢に行き渡らせる。「びらを—・く」
３話などを周囲に広める。「うわさを—・く」
４連れの者などの目をくらまし、故意にはぐれる。「尾行を—・く」
[可能]まける</t>
        </is>
      </c>
      <c r="D7862" t="inlineStr">
        <is>
          <t>放つ；散布；散らす；発散する；播種</t>
        </is>
      </c>
      <c r="F7862" t="inlineStr">
        <is>
          <t>バラ撒く；ふり撒く</t>
        </is>
      </c>
      <c r="H7862" t="n">
        <v>29</v>
      </c>
      <c r="I7862" t="inlineStr">
        <is>
          <t>お父さまがご自分で水を撒いていたり、戸川くんがお茶を運んできたり。；犯人が被害者の血を保存しておいて、あとから撒いたということはない?；そうかと云って男がベッドに睡っている間にあの煙草を撒いたのでもない。；頭の方と脚の方とには、花束が置かれ、身体には、一面に花が撒かれた。；鋭い飛翔音が空を切り、飛来したものが彼の周囲で黒い血をふり撒いた。；すでに充分知れ渡った商品を無料でばら撒くような宣伝をするだろうか。；さっき、投げた弾倉に向こうが目を奪われた隙にバラ撒いておいたのだ。；極端な事例では地面に撒いて染込ませた状態でも爆発させることが出来る。；塩を撒いた後に顔、まわしを強く叩いて気合を入れる仕草も特徴である。；それは地面の上に、コップの水を撒いたように大きい水たまりを作った。；最後の仕上げに路上に水を撒いて、完全に流し終わると作業終了となる。；滝の名は大きな樽の水を撒いたように豪快に流れ落ちることに由来する。；若いときの教育は適当な季節に土地に種を撒くようなものである。；砂地に水を撒いたように、中身は太郎の頭の中にしみ通るようであった。；五十嵐氏は瓶のなかの血を、床のうえ一面に撒き散らしているのである。；周囲には他の誰の姿もなく、撒き散らされた札が闇に漂っているばかり。；庭に血が撒かれていたと聞き、ただそのままに受け取っていたのだ。；他の部屋にもガソリンが撒いてあって、そこに仕掛けてある可能性もある。；さっそく又一台の赤自動車がやって来て小さな白い紙を撒いて行ったのです。；そのまわりに羽毛を撒き散らしたような光も現われ、ともに動いている。；小さな男の子が往来でバケツから手で水を撒いているのを見ることがある。；暗くはあるし煩雑な道筋だからいつ撒かれてしまうとも限らなかった。；内庭に清水を撒く国は日本以外に見られなかったのを彼は思い出した。；時々ポリバケツですくっては、まだ広がっていない部分に撒いていった。；汽車の掃除に塩を撒かせる位な事は一令の下に実行が出来るでありませんか。；もし狼人間がみんなをうまく撒いて、誰かに噛みついたらどうなったの?；カレン・トレーシーは検査用機器を周囲に撒き散らして床に倒れている。；雨のホームに佇んだまま、しばらく漆を撒いたような闇に目を凝らした。；遥か下方には白い砂を撒いたように細かな建物がびっしりと落ちていた。</t>
        </is>
      </c>
      <c r="J7862">
        <f>HYPERLINK("https://www.weblio.jp/content/撒く", "词义详情")</f>
        <v/>
      </c>
      <c r="K7862">
        <f>HYPERLINK("https://yourei.jp/撒く", "查看例句")</f>
        <v/>
      </c>
    </row>
    <row r="7863">
      <c r="A7863" t="inlineStr">
        <is>
          <t>蒔く</t>
        </is>
      </c>
      <c r="B7863" t="inlineStr">
        <is>
          <t>成功</t>
        </is>
      </c>
      <c r="C7863" t="inlineStr">
        <is>
          <t>読み方：まく
［動カ五（四）］
１植物の種子を畑などに散らす。また、土に散らし埋める。「もみを—・く」
２（「種をまく」の形で比喩(ひゆ)的に用いて）物事の原因をつくる。「騒動の種を—・く」「自分で—・いた種」
３蒔絵(まきえ)をつくる。「流水の文様を—・いた文箱(ふばこ)」
[可能]まける</t>
        </is>
      </c>
      <c r="D7863" t="inlineStr">
        <is>
          <t>撒く；播種；種まき；作付け；播く</t>
        </is>
      </c>
      <c r="F7863" t="inlineStr">
        <is>
          <t>振り蒔く</t>
        </is>
      </c>
      <c r="H7863" t="n">
        <v>29</v>
      </c>
      <c r="I7863" t="inlineStr">
        <is>
          <t>それは母親と源とお隅の三人で、しかも夏、蒔きつけたところなんです。；そのときはじめて文学的光栄への愛が私の魂のなかに蒔かれたといえる。；そろそろ春蒔き用のタネもいろいろ売り出している頃なんじゃないかね。；ドーラの庭は、僕と同じ時に種を蒔いたのに、ちゃんと育っているなあ。；君の家庭の平和を乱し、君たち二人の間に不信の種子を蒔いてしまった。；冬の作物の種を全部蒔くことができるだけの畑がまだできていない。；それは黒い板木に白い粉を振り蒔いて竹でもってその上へ書いて居るです。；こんな目にあうのも、半分は自分が蒔いた種から生まれたものである。；人はそれぞれ勝手な因を蒔いて果を得て、現在を標準として得意である。；一年いっぱいその五合蒔きの畑を操業するのがおまえの役目だという。；従令自分が蒔いた種とは云へ、余り自分が馬鹿気てゐて笑へもしなかつた。；これ以外に、春から秋にかけて種を蒔き、水なしで成長する牧草がある。；彼に今最も必要なことは、そこに蒔かねばならない麦の種であった。；先づ此の植物の種を蒔いて、半年あまりの間それを栽培しなければならない。；貧しさでも苦しみでも自分で蒔いたことには正直に耐えしのぶことが出来る。；すべての禍の種を蒔いたのはこのあたし、浅墓な神尾秀子だったのです。；おかげで、丸三日を費やしたのみで、五町歩の籾蒔きが見事に終わった。；今己の雑誌が無く成つても此の八九年間に蒔いた種はいつか芽を吹くだらう。；勘次は自分の麥を蒔くべき畑の用意がまだ十分でないことを思つた。；庭に埋めた弟の死体の上に、どんな花の種を蒔こうかと考える。；道端の畑では、頭に白い手拭いをかぶった女が新しい畝に種を蒔いていた。；古いのは、私がいよいよ蒔く段になって失望するようなことはまずないだろう。；種を蒔いて発芽させても、葉を製品として収穫するまでに五年はかかる。；どのようにして、あの二人に不幸な種が蒔かれたのであろう。；そこにはまた近い所に、金の砂を 振り蒔いたように、火花が散っている。；お婆さんの禿頭は、頭の上を掻きむしって、毛の種を蒔いてやりました。；結局この大災害も、自分が蒔いたタネが元で始まったのかもしれない。；そして、総裁政府との間に重大なトラブルの種を蒔く結果にもつながった。；木原自身が殺人を犯したわけではないが、その種は彼が蒔いたのだ。</t>
        </is>
      </c>
      <c r="J7863">
        <f>HYPERLINK("https://www.weblio.jp/content/蒔く", "词义详情")</f>
        <v/>
      </c>
      <c r="K7863">
        <f>HYPERLINK("https://yourei.jp/蒔く", "查看例句")</f>
        <v/>
      </c>
    </row>
    <row r="7864">
      <c r="A7864" t="inlineStr">
        <is>
          <t>枕</t>
        </is>
      </c>
      <c r="B7864" t="inlineStr">
        <is>
          <t>成功</t>
        </is>
      </c>
      <c r="C7864" t="inlineStr">
        <is>
          <t>読み方：ちん
［常用漢字］　［音］チン（慣）　［訓］まくら
〈チン〉まくら。「枕席・枕頭／陶枕・氷枕」
〈まくら〉「枕木・枕詞(まくらことば)／草枕・氷枕・高枕・膝枕(ひざまくら)・夢枕」</t>
        </is>
      </c>
      <c r="D7864" t="inlineStr">
        <is>
          <t>枕もと(16%)；枕山(3%)；枕カバー；枕絵；枕梁</t>
        </is>
      </c>
      <c r="E7864" t="inlineStr">
        <is>
          <t>敷妙</t>
        </is>
      </c>
      <c r="F7864" t="inlineStr">
        <is>
          <t>肱枕；羽根枕；枕吊り；白い枕；枕代わり</t>
        </is>
      </c>
      <c r="G7864" t="inlineStr">
        <is>
          <t>枕木；枕許；枕頭；枕詞；枕ばね</t>
        </is>
      </c>
      <c r="H7864" t="n">
        <v>29</v>
      </c>
      <c r="I7864" t="inlineStr">
        <is>
          <t>枕が変わると寝られなくなってしまうと言っているが、気のせいだった。；複数の参加者と、適当な広さの場所、十分な数の枕があれば実行できる。；このような場合には、心皿や枕梁を持たない仮想心皿方式が有利となる。；その又僕の枕もとには妻と伯母とが差向ひに庭の向うの海を見てゐた。；彼女の声を聞いた兵士達が銃剣を構えて迫ると、枕で身を守ろうとした。；頭を北向きにする枕直しをし、胸の上で合掌させ手に数珠をかけたりする。；夫の哀れな状態に耐えられず、デナーリスは枕を夫の顔にかぶせて殺す。；葉柄の基部にある葉枕は強く発達し、その節の部分は横に少しふくれる。；まるで首の下に肉色の男枕をくくりつけたような畸形人間となり果てた。；その夜は、同じ座敷に床を取って貰って、私達は枕を並べて寝についた。；東京を出発する前に我々は大きな枕蓋か袋のような形の寝間着をつくらせた。；この書き物を草している部屋の隣りにお前たちは枕を列べて寝ているのだ。；枕に就いて、この見える時は、実際子守唄で賺かされるように寝られる。；この石枕は元治元年に出土したものというが、経緯等の詳細は明らかでない。；そのため、箱の上に布製の括り枕を取り付け高さを上げた枕が使用された。；また、頭や足を乗せる枕に相当する凸部分を端に持たせたものもある。；この枕で寝て見た夢は必ず正夢となり、夢の出来事が現実にも起きる。；台車は330形と同様の上揺れ枕式に変更され、藤屋鉄工で製造された。；枕は、そのまま用いずに薄い布でできた枕カバーで包んで使うことが多い。；木賃の夜寒の枕にも、雨の夜の苫船からも、夢はこの処に宿るであろう。；葉は茎に螺旋状につくが、やや2列になり、また茎に葉枕が発達しない。；治療椅子の枕を新らしくしたという事実が、この考えを強力に裏書きしました。；冬の長枝の先端部の表面にある縦筋は葉枕で、その先には葉痕がある。；枕ばね部分は特殊内揺れ枕と懸架装置を用いる独特の設計が採用されている。；僕は起きて、戸をしめて電燈をつけて、眠くなるまで枕もとの本を読んだ。；枕に顔を押し付け、止め処も無く流れる涙を堪えるほか無かったとのこと。；枕もとにはベッドテーブルがあり、傍に来客用の椅子が置いてある。；膝を枕のように用いることから名付けられたと考えられる。；僕はその次の晩も僕の母の枕もとに夜明近くまで坐っていた。</t>
        </is>
      </c>
      <c r="J7864">
        <f>HYPERLINK("https://www.weblio.jp/content/枕", "词义详情")</f>
        <v/>
      </c>
      <c r="K7864">
        <f>HYPERLINK("https://yourei.jp/枕", "查看例句")</f>
        <v/>
      </c>
    </row>
    <row r="7865">
      <c r="A7865" t="inlineStr">
        <is>
          <t>負け</t>
        </is>
      </c>
      <c r="B7865" t="inlineStr">
        <is>
          <t>成功</t>
        </is>
      </c>
      <c r="C7865" t="inlineStr">
        <is>
          <t>読み方：まけ
１まけること。敗北。⇔勝ち。
２値段を安くすること。また、その代わりのもの。→お負け
３名詞に付いて、その事柄において他に圧倒される、それに値しない、などの意を表す。「気力—」「根—」「位(くらい)—」「名前—」</t>
        </is>
      </c>
      <c r="D7865" t="inlineStr">
        <is>
          <t>負けない(10%)；負けたら；負けず劣ら；負け越し；負けたく</t>
        </is>
      </c>
      <c r="E7865" t="inlineStr">
        <is>
          <t>死；解放；敗北；敗戦；喪失</t>
        </is>
      </c>
      <c r="F7865" t="inlineStr">
        <is>
          <t>一本負け；競り負け；大負け；ピンフォール負け；勝ったり負け</t>
        </is>
      </c>
      <c r="G7865" t="inlineStr">
        <is>
          <t>負け越し；負けず嫌い；負けれ；負け惜しみ；負け犬</t>
        </is>
      </c>
      <c r="H7865" t="n">
        <v>29</v>
      </c>
      <c r="I7865" t="inlineStr">
        <is>
          <t>それが原因で喧嘩になることもあったが、負けたことがなかったという。；ひじ・ひざ・頭・背中・お尻いずれかが先に地面に着いたら負けとなる。；これは、皆と同じ戦略で相手を探せば負けてしまう人もいるからである。；あいこの場合、基本的にはあいことせず、勝ちか負けのどちらかになる。；ベレグは彼への愛情に負け、彼もトゥーリンの仲間になることになった。；もし条件を一つでも満たしていない場合は宣言した者の負けとなる。；一方で辻は「ノモンハン戦で日本は負けていなかった」と主張していた。；監督もそうまで言われると、負けたくないのでつい別所を登板させた。；ガブリ左四つになればともかく、その他の格好だったら絶対に負けない。；投げ手はポイント確定後に7の目を出して負けた時に左隣の客と交替する。；負けた市は勝った市のPRポスターを1年間掲示することになっている。；ポイント確定前の負けの場合には、基本的には投げ手を交替することはない。；極端に言えば与えられたミッションを達成しても戦争には負けてしまう事もある。；ソフトで県大会に出場した時には1回戦負けを喫したこともあった。；終局後に反則が判明した場合も、原則として反則をした側の負けとなる。；また、投げられて背中を着かないようにブリッジをすると一本負けとなる。；負けた側は罰ゲームを受け、その模様が次回のスペシャルで放送される。；負け越しとは、主にスポーツで負けの数が勝ちの数よりも多くなることである。；この他、応援しているチームが負けたら罰ゲームという形式も存在する。；トーヨーアサヒ行くかと思えましたが、タニノチカラ負けずに行きます。；負けはしたけれどもいいレースをしてくれたと思った。；従来のしりとり同様最後に「ん」のついた物を持ってきた場合は負けとなる。；足の裏以外の部分が先に地面に着いたら負けとなる。；選手もやっても負けだなと思ってしまいますからね。；なお、立ち技で一本負けしたのは自身初めてのことだったという。；師の道策と同じく、残された棋譜の中には黒番での負けはない。；しかしこの後17年間チームは負け越しのない栄光の時代を迎えることとなる。；だが関羽には打ち負けて、逃亡時に追撃を受け背後から斬殺されてしまう。；絶対に勝たなくちゃいけない、絶対に負けられないと思っていた。</t>
        </is>
      </c>
      <c r="J7865">
        <f>HYPERLINK("https://www.weblio.jp/content/負け", "词义详情")</f>
        <v/>
      </c>
      <c r="K7865">
        <f>HYPERLINK("https://yourei.jp/負け", "查看例句")</f>
        <v/>
      </c>
    </row>
    <row r="7866">
      <c r="A7866" t="inlineStr">
        <is>
          <t>負ける</t>
        </is>
      </c>
      <c r="B7866" t="inlineStr">
        <is>
          <t>成功</t>
        </is>
      </c>
      <c r="C7866" t="inlineStr">
        <is>
          <t>読み方：まける
［動カ下一］［文］ま・く［カ下二］
１相手と戦ったり争ったりした結果、力の劣った立場になる。敗れる。「試合に—・ける」「賭けに—・ける」⇔勝つ。
２他と比べて劣る。圧倒される。劣勢である。「腕力では誰にも—・けない」「—・けずにやり返す」⇔勝つ。
３欲望や働きかけなどを抑えることができなくなる。また、悪い条件や困難な状態を切り抜けられなくなる。「誘惑に—・ける」「夏の暑さに—・ける」「相手の熱意に—・ける」⇔勝つ。
４金銭を失う。損をする。「パチンコで五千円—・ける」⇔勝つ。
５薬品や漆(うるし)などにかぶれる。「かみそりに—・ける」
６値段を安くする。また、おまけとして付ける。「売れ残りを—・けて売る」「一個—・けてもらう」
７相手に従う。ゆずる。
「火に焼かむに、焼けずはこそまことならめと思ひて、人の言ふことにも—・けめ」〈竹取〉</t>
        </is>
      </c>
      <c r="D7866" t="inlineStr">
        <is>
          <t>負けるだろ；負ける可能性；負けるべき；負ける確率；負ける気づかい</t>
        </is>
      </c>
      <c r="E7866" t="inlineStr">
        <is>
          <t>敗北；失う；敗戦；足りない；落とす</t>
        </is>
      </c>
      <c r="F7866" t="inlineStr">
        <is>
          <t>必ず負ける；競り負ける；負けるかもしれ；たら負ける；わざと負ける</t>
        </is>
      </c>
      <c r="H7866" t="n">
        <v>29</v>
      </c>
      <c r="I7866" t="inlineStr">
        <is>
          <t>こういったら高いから、おまえのほうで二十二円に負けろというだろう。；売り手は二匹八両二歩と云っているのであるが、二歩はたしかに負ける。；そして本命が負ける率は十レースのうちに一回以上多いのが通例である。；俺達が無理に抜こうとすれば その瞬間に接近戦を仕掛けられて負ける!；そんなら石が何にでも勝つかというに、紙には負けるではありませぬか。；もうだめだからと言って、負けるつもりになっていることがいけないんだ。；貞奴に負けるものかとの自負はあっても、他から見るとそうは許されぬ。；それはおれたちが、たとえ負けることになってもやりたくないことだった。；想像の方が負けるようなものを見たの、あたし生まれてはじめてだわ。；その後も出走数こそ減少したものの、負けることなく勝ちを重ねていった。；当初の脚本ではレッドソックスはプレイオフで負けることになっていた。；負ければやり直しになるため、相手より早くゴールしなければならない。；実力のない国は戦争には負けるし、平和もいつ破壊せられるか知れない。；まさか負けるつもりで、政府がこんな悲劇の幕を開けたのではなかろう。；これが彼の戦いに負ける悪い前兆であったと、ヘロドトスは述べている。；今では兄弟で駆けっこをしてもサイモンが負けることは滅多になかった。；しかしそれは子に対する愛にはならず寧ろ自分の感情に負けるだけなのだ。；そのため基本的に、精神に作用する魔法でも使わない限り負けることはない。；契約を結んだ人は時々悪魔の裏をかこうとするが、最終的には負ける。；おれがいなくたって、わが組織は活動を続け、サピロテは選挙に負ける。；就任1年目の2020年は、一度も負けることなくシーズンを終了した。；周りの空気からは負ければ軍団の解散は避けられないものであった。；教授は学生達が酒と女の誘惑に負ける事を深く悩み、心配するのであった。；モレル夫人も負ける気はなくて、いつもの、自分の椅子に腰掛けていた。；負けることを望むなどとは考えることさえ出来ないことだった。；負けず嫌いな性格で、幼い頃は負けるたびに号泣して周囲の目を惹いた。；負ければ、一位の巨人との間に、二・五ゲームの差が出来てしまう。；チームが自分たちの力を十分発揮しないまま負けることも大嫌いだ。；好きな野球チームが負けると途端に機嫌が悪くなって手を出すこともあった。</t>
        </is>
      </c>
      <c r="J7866">
        <f>HYPERLINK("https://www.weblio.jp/content/負ける", "词义详情")</f>
        <v/>
      </c>
      <c r="K7866">
        <f>HYPERLINK("https://yourei.jp/負ける", "查看例句")</f>
        <v/>
      </c>
    </row>
    <row r="7867">
      <c r="A7867" t="inlineStr">
        <is>
          <t>曲げる</t>
        </is>
      </c>
      <c r="B7867" t="inlineStr">
        <is>
          <t>成功</t>
        </is>
      </c>
      <c r="C7867" t="inlineStr">
        <is>
          <t>読み方：まげる
［動ガ下一］［文］ま・ぐ［ガ下二］
１まっすぐな物などを弓形にする。まがった状態にする。たわめる。「針金を—・げる」「腰を—・げる」
２傾ける。傾斜させる。「首を—・げる」
３（「枉げる」とも書く）本来の主義・考え・希望などをむりに変える。「信念を—・げる」
４（「枉げる」とも書く）道理・事実などを意図的にゆがめる。「法を—・げる」「事実を—・げた報道」
５《「質」と同音の「七」の字の第2画を曲げるところから》質に入れる。「時計を—・げる」
[下接句] 己を枉(ま)げる・駕(が)を枉げる・冠(かんむり)を曲げる・旋毛(つむじ)を曲げる・肘(ひじ)を曲げる・臍(へそ)を曲げる</t>
        </is>
      </c>
      <c r="D7867" t="inlineStr">
        <is>
          <t>曲げることなく；曲げる作用を持つ</t>
        </is>
      </c>
      <c r="E7867" t="inlineStr">
        <is>
          <t>カーブ；湾曲；曲がる；改竄；歪曲</t>
        </is>
      </c>
      <c r="F7867" t="inlineStr">
        <is>
          <t>捩じ曲げる；少し曲げる；軽く曲げる</t>
        </is>
      </c>
      <c r="H7867" t="n">
        <v>29</v>
      </c>
      <c r="I7867" t="inlineStr">
        <is>
          <t>周囲は別の選手を高く評価していたが、持論を曲げずに声をあげ続けた。；馬鹿でも何でも事実は曲げる訳には行かぬ、逆かさにする訳にもならん。；大きなからだを猫背に曲げて陰気な顔をしていつでも非常に急いでいる。；内部のDNAは入口の所でその先にある壁のために無理やり曲げられる。；左右に視点を移動する場合は曲げるのではなく移動したい方向に向ける。；柱は、軸方向の力のみ、または軸方向の力と曲げの両方を伝達する要素。；渾身の力をこめて首を後ろに曲げると、滝子の身体がすぐそこにあった。；その下に、折曲げ式の、皮張りの板が立てられて、机の代用をしていた。；こんなに背を低く見せるために、女の子は脚を曲げていたに違いない。；今や彼は一個の旅行鞄の中に折曲げてある死んだ英國人に繋がれてゐた。；彼はレスリング技術ではなく、その卓越した指曲げ技術で知られている。；わたしは身体を曲げなければならず、ほとんどあなたを起こしてしまうの。；しかし、そう言ってしまうと事実を曲げることになるかもしれないな。；そこで彼らは申し合せたようにこそこそと他人の生産物を曲げはじめる。；およそ物の曲ったのを直すには、反対の側へ曲げる位にせねば効がない。；腰を曲げるようにして、崖の上の細い坂路を、馬を曳いて上って行った。；他のヴァルカン人は、基本的に自分達の文化や風習を曲げる事はしない。；ただ妻の歓心を得るために吾が行く道を曲げぬだけが普通の夫と違うのである。；僕も事実を発見する力はあるが、事実そのものを曲げる能力はないからねえ。；しかし、その故に、人々が節を曲げることがあっても、責めてはいかん。；そして三本の溝で板を四等分し、その溝の部分をゆっくりと曲げるのだ。；右の膝をかなり深く曲げ、膝から下は椅子に向けて引き込んであった。；また自分が間違っていないと思っている時は決して考えを曲げない。；厚板を配置していくと、船の表面を望むとおりに曲げることができる。；膝を曲げる代わりに指を曲げてテーブルを叩き感謝の意を表明した。；だれかといっしょになるのは、自分の意志をいくらかは曲げることを意味した。；それは私が地上で犯した罪で、これが私の体を下へ曲げるのだった。；無理に地面を突いて歩こうとすると、私は腰を少し折曲げなければならぬ。；この理論には星の重力により光が曲げられるという予言も含まれていた。</t>
        </is>
      </c>
      <c r="J7867">
        <f>HYPERLINK("https://www.weblio.jp/content/曲げる", "词义详情")</f>
        <v/>
      </c>
      <c r="K7867">
        <f>HYPERLINK("https://yourei.jp/曲げる", "查看例句")</f>
        <v/>
      </c>
    </row>
    <row r="7868">
      <c r="A7868" t="inlineStr">
        <is>
          <t>孫</t>
        </is>
      </c>
      <c r="B7868" t="inlineStr">
        <is>
          <t>成功</t>
        </is>
      </c>
      <c r="C7868" t="inlineStr">
        <is>
          <t>読み方：うまご
《「むまご」とも表記》
１まご。
「翁の、いといみじきぞいで来たる。むすめにや—にや」〈源・末摘花〉
２子孫。
「又、この山の族(ぞう)七人にあたる人を、三代の—に得べし」〈宇津保・俊蔭〉</t>
        </is>
      </c>
      <c r="D7868" t="inlineStr">
        <is>
          <t>孫悟空(2%)；孫たち(2%)；孫四郎；孫左衛門；孫晧</t>
        </is>
      </c>
      <c r="E7868" t="inlineStr">
        <is>
          <t>お孫さん；令孫</t>
        </is>
      </c>
      <c r="F7868" t="inlineStr">
        <is>
          <t>曽孫；世孫；孫淳；孫介；孫八</t>
        </is>
      </c>
      <c r="G7868" t="inlineStr">
        <is>
          <t>孫娘；孫文；孫策；孫堅；孫子</t>
        </is>
      </c>
      <c r="H7868" t="n">
        <v>29</v>
      </c>
      <c r="I7868" t="inlineStr">
        <is>
          <t>第二に、すでに子や孫がいる場合は彼らも処刑しなければ意味がない。；投獄された者の中にはフランシス・スコット・キーの孫も含まれていた。；金丸の長男と竹下の長女は結婚し共通の孫までいる関係なのは有名である。；これは、オスの母親から見れば50頭の孫を期待できると言うことである。；巫蠱の獄を生き延びた孫の劉病己は、民間の家庭にて育てられ成人した。；神がアブラハムの子孫に与えたと聖書に書かれている土地は次の通りである。；だが、彼らの孫の世代は英語のみしか知らないのが普通である。；ヒンデンブルクは孫と公園を散歩したり、遊んだりして過ごしていた。；後に、劉嬰は王莽の孫にあたる王宇の娘の一人と婚姻することとなった。；孫の一人である小島優は、日本プロ麻雀連盟に所属するプロ雀士である。；晩年にも孫たちの訪問をなによりも喜び、孫たちの方からも愛される祖父だった。；そうこうしているうちに、最後は州知事にまで孫は電話で交渉することになった。；家族の間で使われる言葉で、子供や孫を中心に据えて家族の自分の立場を表現する。；その男は、孫達の乳母が日本人で、私たちと一緒にいることを知っていました。；撮影時から孫に伝えたいメッセージをこの番組を通して残したいと話していた。；元代に書かれた版を除いて、実際的な主人公は孫悟空と考えられる。；同じく孫の篠田江里子は静かにロシア語の本を読んでいたと回想している。；関は当然のこと、赤坂も孫六兼元ら関物の刀工が在住していた地である。；用明天皇は蘇我稲目の孫でもあり、敏達天皇とは異なり崇仏派であった。；長州藩の支藩である長府藩のさらに支藩であり、長州藩の孫藩にあたる。；これは基熙の孫に当たる当時の関白近衛家久を指したものと見られている。；これらのなかには「神孫だから現人神と称し奉る」とする例が複数存在した。；王化貞に派遣された劉渠は戦死、孫得功は剃髪してヌルハチに降伏した。；元光の孫の武田義統の時代には家督争いも加わりさらに弱体化が進行した。；彼女は息子や孫に会社を引き継がせたいと考えていた。；順帝は孫程などの宦官を重用し、養子を取って財産の継承を認めた。；元祖ドンキーコングの孫である新世代のドンキーコングが登場した初の作品。；このように、二人の子や孫はすべて怪物となった。；鳩山は友愛の普及に努め、彼の孫の代に引き継がれるに至っている。</t>
        </is>
      </c>
      <c r="J7868">
        <f>HYPERLINK("https://www.weblio.jp/content/孫", "词义详情")</f>
        <v/>
      </c>
      <c r="K7868">
        <f>HYPERLINK("https://yourei.jp/孫", "查看例句")</f>
        <v/>
      </c>
    </row>
    <row r="7869">
      <c r="A7869" t="inlineStr">
        <is>
          <t>真心</t>
        </is>
      </c>
      <c r="B7869" t="inlineStr">
        <is>
          <t>成功</t>
        </is>
      </c>
      <c r="C7869" t="inlineStr">
        <is>
          <t>読み方：まごころ
真実の心。偽りや飾りのない心。誠意。「—のこもった贈り物」「—を尽くす」</t>
        </is>
      </c>
      <c r="D7869" t="inlineStr">
        <is>
          <t>真心こめ；真心籠めて</t>
        </is>
      </c>
      <c r="E7869" t="inlineStr">
        <is>
          <t>真；実；正直；本気；信</t>
        </is>
      </c>
      <c r="H7869" t="n">
        <v>29</v>
      </c>
      <c r="I7869" t="inlineStr">
        <is>
          <t>いうまでもなく、優れた美術や芸術はみな人の真心が基調となっている。；しかし宋江の真心には深く感じたもののようでついに素直にうなずいた。；我心に満ちる愛やまごころを思えば それの与えられぬのが不思議に思う。；こうして変わらぬ愛をかける源氏に真心から信頼している様子に同情がされた。；昔はと顧るとき、古えの人はいかに考えても、今の人よりは真心が多い。；真心というものは、或る大きさのものが初めから存在するのではない。；見せるための絵なら、真心をもって、見てわからぬはずはありません。；この一家が真心のこもらないことをしたのはこれが初めてであった。；だってわたし、これほどまごころをこめて、あの人を愛しているのだもの。；それらが、彼女の真心から出たものと、全面的に言えないにしてもである。；そして、この巨人の両手を真心をこめて握りながら、悲しそうに言った。；だって、今日ほど、真心のある献身的な恋人が必要なときはないのだから。；ディミートリアス 嘘とはなんだ、ぼくの真心がわかっちゃいないくせに。；そこで彼はアラミスの両手をとって、真心をこめて、それを握り締めた。；娘の方でも、兄のこれほどの真心を、どうしていやに思いましょう。；この年になるとまごころと若さとを一緒にお目にかけようとするのは大へんね。；とりわけ、その話にどこか真心の親切がこもっているのがうれしかった。；その真心が天に通じて、自然にそんな不思議があらわれたのかも知れません。；とはいっても、エラナの言葉が真心からのものであることはよくわかっていた。；真心から話を聞いていれば、俺の敵は間違いなくそう判断する。；私が真心のある友人を持たなかったということ、それは確かである。；世の中にはどんなに真心をもってつき合っても、真心の通じない者もいる。；まるで忠実な犬のように、まごころこめて仕えてくれそうに見えた。；もっとも真心のある感情さえ、それ自体では芸術を創り出すことができない。；私があなたにマゴコロこめて奉仕することを許していたゞきたいものです。；俺は金で買ひ損つたものを、俺の真心で、買はうと思ひ立つたのです。；嘘でない証拠にこんな立派な真心のしるしまで見せているのに?；これまでの偽りの結婚を、俺の真心で浄めることは出来んでしょうか。；わたしには真心もないし、信仰も宗教もないとお思いですの。</t>
        </is>
      </c>
      <c r="J7869">
        <f>HYPERLINK("https://www.weblio.jp/content/真心", "词义详情")</f>
        <v/>
      </c>
      <c r="K7869">
        <f>HYPERLINK("https://yourei.jp/真心", "查看例句")</f>
        <v/>
      </c>
    </row>
    <row r="7870">
      <c r="A7870" t="inlineStr">
        <is>
          <t>まごつく</t>
        </is>
      </c>
      <c r="B7870" t="inlineStr">
        <is>
          <t>成功</t>
        </is>
      </c>
      <c r="C7870" t="inlineStr">
        <is>
          <t>［動カ五（四）］迷ってうろうろする。うろたえる。まごまごする。「大きな駅で—・く」</t>
        </is>
      </c>
      <c r="D7870" t="inlineStr">
        <is>
          <t>まごつくだろ(2%)</t>
        </is>
      </c>
      <c r="E7870" t="inlineStr">
        <is>
          <t>うろたえる；落ち着かなくなる；まごまごする；ナーバスになる</t>
        </is>
      </c>
      <c r="H7870" t="n">
        <v>29</v>
      </c>
      <c r="I7870" t="inlineStr">
        <is>
          <t>会場の様子は分らないけれど、別にまごつくような事はありますまいから。；不敬だと思うこの自分の傾向がだんだん強くなるので、彼女はまごつく。；この医者は伸子がまごつくような質問をするためにだけ質問しているのだった。；しかし、そういう話を聞いても、デュケーヌはまごつくばかりであった。；三島夫人が自分の家に入っていくのを、佐智はまごつきながら眺めていた。；私はまごつき、タバコを口におしこみながら、窓のほうに歩いていった。；二と二でなぜ四になるか証明しろといわれたら、君だってちょっとまごつくだろう?；そして第三点は、彼らが明かりにさらされるとあきらかにまごつくこと。；新来の客はこんな場合にも決してまごつくようなことはなかった。；そういうごくつまらないことで、狡猾な連中が一番よくまごつくものさ。；私はまごつき、どんなふうに対応したらいいのか、見当もつかなくなってしまった。；オコシップは艫で舵をとる郡平もまごつくほど早く網を投げていた。；顔もなく、入ってきても様子を変えたりしない私でさえ、うろうろとまごつくの。；だから、田毎は隆司から声を掛けられて、まごつきながら腰を浮かせた。；私は人から煙草の火の借用を申し込まれる度毎に、いつもまごつく。；結構まごつきがちなこんな用語、どこまで英語で言えますか?；今度は鍵屋の辻だが、案内者がいないから、嘸又まごつくことだろう。；無論、朝倉は改竄した内容を覚えているから、まごつくようなことはない。；出しぬけに、烈しいものがこの針を衝き進め、寿女はまごつく時がある。；まごつくとワイアに、はね飛ばされねばならぬ破目になるのであった。；僕は、まごつきながらも、その軍刀を右手に持って君を待った。；彼にしてみればホモなどという妙な動物を相手にするのはこれが初めてのことだから、ただまごつくばかりである。；彼は文句にまごつき、適当な言葉が見当たらず、馬鹿なことを言っては顔を赤らめた。；ご婦人はぼくのまごつくのをみて、おかしそうに笑った。；そんなことで動揺して、まごつく所を見せたくもなかった。；どちらにしていいか、私の方でまごつくのだ。；メグレが人間を前にしてこれほどまごつくのもめずらしい。；そんなとき女の店員が傍から、その返事をきいていて、次の折にはそのような問いにまごつくまいとしている様子はない。；妙なもので、毎日見ているものでも、だしぬけに部屋のどの辺にあったかと聞かれると、ちょっとまごつくわね。</t>
        </is>
      </c>
      <c r="J7870">
        <f>HYPERLINK("https://www.weblio.jp/content/まごつく", "词义详情")</f>
        <v/>
      </c>
      <c r="K7870">
        <f>HYPERLINK("https://yourei.jp/まごつく", "查看例句")</f>
        <v/>
      </c>
    </row>
    <row r="7871">
      <c r="A7871" t="inlineStr">
        <is>
          <t>誠</t>
        </is>
      </c>
      <c r="B7871" t="inlineStr">
        <is>
          <t>成功</t>
        </is>
      </c>
      <c r="C7871" t="inlineStr">
        <is>
          <t>読み方：せい
［音］セイ（漢）　［訓］まこと
［学習漢字］6年
うそ偽りのない心。まごころ。まこと。「誠意・誠実／至誠・赤誠・丹誠・忠誠・熱誠」
［名のり］あき・あきら・かね・さと・さね・しげ・すみ・たか・たかし・たね・とも・なが・なり・なる・のぶ・のり・まさ・み・もと・よし</t>
        </is>
      </c>
      <c r="D7871" t="inlineStr">
        <is>
          <t>誠實(2%)；誠さん；誠ちゃん；誠六；誠久</t>
        </is>
      </c>
      <c r="E7871" t="inlineStr">
        <is>
          <t>実際；事実；まったく；全く；実際に</t>
        </is>
      </c>
      <c r="F7871" t="inlineStr">
        <is>
          <t>學誠；高宮誠；瀧本誠；茂誠；長誠</t>
        </is>
      </c>
      <c r="G7871" t="inlineStr">
        <is>
          <t>誠に；誠意；誠一；誠心；誠一郎</t>
        </is>
      </c>
      <c r="H7871" t="n">
        <v>29</v>
      </c>
      <c r="I7871" t="inlineStr">
        <is>
          <t>なお誠臣塾は現在もこの行為が正当なものであるとの見解を示している。；タクシーで耀子を帰す時、誠は彼女に重要な書類と称して封筒を渡した。；世界は誠が戻ってくることに期待するが、逆に彼は言葉とヨリを戻していく。；不幸にして軍が敗れたとはいえ、その誠の心は天地にただして疑いは一切ない。；その一方で誠は自制心を失い、次々と他の女子とも肉体関係を結んでいく。；子の小八郎は幼いため従兄弟の植誠が養子となって家督を相続した。；その代表的なものが朋誠堂喜三ニの『文武ニ道万石通』と本作品である。；誠は必死で抵抗したが、父の手下の兄たちによって鉛筆は捨てられた。；しかし、留加は誠の死後、精神的なショックから昏睡状態に陥っていた。；中には誠の死の瞬間を収めた写真が入っていた。；「誠」の大切さを小村に伝授したのは、祖母の熊だったといわれている。；家督は長徳が相続し、庶長子の長誠は300石を与えられ分家している。；時を得て学び何事にも動じない心を養い、自立して誠を尽くす精神である。；その後、学校・教師・生徒を相手に誠イジメの犯人探しを始める。；水原誠の通う県立東雲高校の地下に奇妙な遺跡が発見されたことから話は始まる。；そんな中、愛は次第に深まっていく誠と美咲の仲をよく思ってはいなかった。；その後、五所や誠の家族たちは老いていき、やがて亡くなっていく。；校医も兼任していた誠は美咲の過去も知っており、彼女のことを気にかけていた。；後任には当時副社長職を務めていた兵頭誠が昇格し社長となった。；彼女に渡した封筒には、誠が探偵に調べさせた報告書が入っていた。；衛には天国の誠が敵を討ってくれと言わんばかりに写真を送ってきたと錯覚させた。；麻子は実の父親の誠が、どういう人間なのかを確かめるためにやって来たのだった。；誠のことを身近に思っていたが、彼の自殺によって不幸になってしまった6人。；五代十国時代には誠州の管轄地域とされたが県名に関しては記録が残されていない。；彼は言霊を使い、「織部誠」という地位を得て里の外で生活する事になる。；ユニットとして成立したのはYanKee5より誠の方が先である。；しかし、近年は誠進コースへの高校からの入学者の募集を積極的に行っている。；広域通信制・単位制高等学校である緑誠蘭高校と技能連携を結んでいる。；誠は世間の様々なことに懐疑的だったが、真理や大学の権威は疑っていなかった。</t>
        </is>
      </c>
      <c r="J7871">
        <f>HYPERLINK("https://www.weblio.jp/content/誠", "词义详情")</f>
        <v/>
      </c>
      <c r="K7871">
        <f>HYPERLINK("https://yourei.jp/誠", "查看例句")</f>
        <v/>
      </c>
    </row>
    <row r="7872">
      <c r="A7872" t="inlineStr">
        <is>
          <t>誠に</t>
        </is>
      </c>
      <c r="B7872" t="inlineStr">
        <is>
          <t>成功</t>
        </is>
      </c>
      <c r="C7872" t="inlineStr">
        <is>
          <t>読み方：まことに
［副］まちがいなくある事態であるさま。じつに。本当に。「—彼女は美しい」「—ありがとうございます」
［感］「まこと」に同じ。
「—雪少しうち散りて、折節とり集めて、さることやは候ひしとよ」〈大鏡・道長下〉</t>
        </is>
      </c>
      <c r="D7872" t="inlineStr">
        <is>
          <t>誠に結構(2%)；誠に御；誠に申し訳ない；誠によく；誠にありがとう</t>
        </is>
      </c>
      <c r="E7872" t="inlineStr">
        <is>
          <t>よく；最も；実際；非常；非常に</t>
        </is>
      </c>
      <c r="F7872" t="inlineStr">
        <is>
          <t>誠に困；誠に有難う；誠にありがとうござい；誠に悲しむべき；誠に申し訳ござい</t>
        </is>
      </c>
      <c r="H7872" t="n">
        <v>29</v>
      </c>
      <c r="I7872" t="inlineStr">
        <is>
          <t>彼の日の彼の時に彼が去ったと云う事は互のために誠によい事であった。；夫れゆえ大きな声を出して蹴破って中へ飛込みさえすれば誠に楽な話だ。；今日の事は危ないと思って心配して居りましたが誠にうまく行きました。；皮仕事をする人間が屠所へ行って買って来るのですがその皮は誠に柔い。；亡父卿が歌を作られた様子こそ誠に秀逸な歌も生まれて当然だと思われる。；対手が世間を知らぬ小児同様の人間だけに、斯うなると誠に始末が悪い。；誠に滋味の豊かな歌で、くり返して味わうほど味が出てくるように思う。；孔明一人は太陽の如く輝いて居るが、その以外の人物は誠に寥々である。；お前も店にいてそういう事を聞いているだろうに、私に隠していられては誠に困る。；彼等の間に唯一の外国人としていることは、誠に気持がよかった。；どこの海にあっても日本の艦であることが一目瞭然で誠に結構だ。；男は嘘を誠にし、現実とファンタジーとの境界線をあいまいにしてゆく。；実に人にそういって飽かずに進められたそのことこそ誠に能率的であった。；然し事情を聞いて見ると誠に同情に値するやうなことを亭主は云うて居る。；誠に妙好人の日々の暮し方の面目が端的に言い現わされていると思います。；勿論田舎の婆さんでその中の一人が誠に小い一尺ばかりの熊手を持って居る。；味は一體に大味ですが、色や形には誠に見ごとなのゝ多いのが特色です。；その日すでに二度食事をしたにかかわらず、正餐は誠に美味であった。；誠にそのとおりにて、不思議といえば天地万物みな不思議に相違ない。；しかし来られる時に誠に失礼ですが御註文申し上げたいことがあります。；で、今朝方の新聞であの老人夫婦が殺されたと知つて誠に驚いとる譯です。；新聞には誠に好都合な事件だが、残念ながら残酷な現実は認めがたい。；それを主人夫婦にも食べさせて、お前たちは誠に立派な人だ。；誠に実験は理解力のある以外の者には興味無之ものに御座候。；翁の歌風を知るには誠に便宜と思うからその和歌を左に掲げておく。；誠に不幸には違ひないが、罪は何れにあるかわからぬと言ひたいところである。；それは存在を考えるべき使命を持つ思惟としては誠に奇妙なことではないか。；これについて私の思うところを言うことにすると、誠に結構なことであると思う。；どこの海に在っても日本の艦であることが一目瞭然で誠に結構だ。</t>
        </is>
      </c>
      <c r="J7872">
        <f>HYPERLINK("https://www.weblio.jp/content/誠に", "词义详情")</f>
        <v/>
      </c>
      <c r="K7872">
        <f>HYPERLINK("https://yourei.jp/誠に", "查看例句")</f>
        <v/>
      </c>
    </row>
    <row r="7873">
      <c r="A7873" t="inlineStr">
        <is>
          <t>まごまご</t>
        </is>
      </c>
      <c r="B7873" t="inlineStr">
        <is>
          <t>成功</t>
        </is>
      </c>
      <c r="C7873" t="inlineStr">
        <is>
          <t>［副］(スル)まごつくさま。うろたえるさま。「道がわからず—（と）した」
[用法]まごまご・うろうろ——「東京駅で新幹線ホームがわからずまごまご（うろうろ）してしまった」「妻は不意の来客にまごまご（うろうろ）してしまった」などのように、うろたえる意では相通じて用いられる。◇「まごまご」は、どうしたらよいかわからず、困惑しているようすを表し、「突然、スピーチの指名を受け、まごまごしてしまった」「財布が見つからず、まごまごした」「まごまごしていると、また留年だぞ」など、いろいろな状態に使える。◇「うろうろ」は動き回ったり歩き回ったりするさまを表す。「変な男が家のまわりをうろうろしている」「時間があったので、盛り場をうろうろした」のように用いる。</t>
        </is>
      </c>
      <c r="D7873" t="inlineStr">
        <is>
          <t>まごまごする(9%)；まごまごしてる(5%)；まごまごしながら；まごまごしやがる</t>
        </is>
      </c>
      <c r="E7873" t="inlineStr">
        <is>
          <t>もじもじ；ボソボソ；もごもご</t>
        </is>
      </c>
      <c r="H7873" t="n">
        <v>29</v>
      </c>
      <c r="I7873" t="inlineStr">
        <is>
          <t>まごまごしているうちに駅は遠ざかって小さな工場めいたところに出た。；だから、まだ彼等は、倫理学などでまごまごしていたと誰も言いたがる。；なぜわたしたちはここにすわってまごまごしていなくてはいけないの?；緊張した様子もなければ、マゴマゴもせず、ごく普通の顔をしていました。；海べでまごまごしているうちに、ゲリラ部隊によってたかって殺される。；しかし彼は自分が間抜けでまごまごしているような気がしました。；何にしろまごまごして弱りかえって度を失っていたことは思いやられる。；札を買ってちゃ、いまごろこんなところにまごまごしてやアしませんや。；まごまごと此処にかうしちや居られない孫公さまは先にいただらう。；年とった女中はなにをどうしていいのかまごまごしていた。；芳枝は土堤を半ば下りた所で、上りも下りもならずまごまごしている。；金蓮が中へはいると西門慶がまごまごズボンをはいているところだった。；その見知らない道で少しまごまごしてゐた私にはそれがいかにも異樣に聞えた。；まごまごしてる所を、玄関から上ってくる俊子とばったり眼を見合った。；毎日、こんな奥の部屋でまごまごしていたって、いい文学は出来ない。；そして目立たぬ程度で長廊下をまごまごしながら小江の来るのを待っていた。；こんなにあっちゃまごまごして、何を拾ったらいいのか知らんのさ。；この娘は、三吉叔父の方から移って間もないことで、唯マゴマゴしていた。；役人達の提灯が、明るくなった丘の中腹にまだまごまごしているのが見えた。；まごまごしていれば何人かがきっと探し当てて官へ密訴して出るにちがいない。；まごまごすると、ここで一人残らず殺されてしまわなければならない。；まごまごしていると、リスのやつにみんなもっていかれちまうからね。；まごまごしていると、また見つけて、こんどは許しておかないから。；二人の貴族はまごまごして手にした書類を見つめるのだった。；そうしてまごまごしている中に、呼び戻され警備隊に廻される心配がある。；僕がまごまごしているのを見て、よその男の子が、笑っていました。；どうしたらいいかと思って、まごまごしていますと、その中に日の光がさしてきました。；何かたいへんまごまごして、それに少しふるえておいでのようですが。；「まごまごしていると追っ払われるぞ」 こう云ったのは弦四郎であった。</t>
        </is>
      </c>
      <c r="J7873">
        <f>HYPERLINK("https://www.weblio.jp/content/まごまご", "词义详情")</f>
        <v/>
      </c>
      <c r="K7873">
        <f>HYPERLINK("https://yourei.jp/まごまご", "查看例句")</f>
        <v/>
      </c>
    </row>
    <row r="7874">
      <c r="A7874" t="inlineStr">
        <is>
          <t>まさか</t>
        </is>
      </c>
      <c r="B7874" t="inlineStr">
        <is>
          <t>成功</t>
        </is>
      </c>
      <c r="C7874" t="inlineStr">
        <is>
          <t>読み方：まさか
《「マサ化」とも書く》花崗岩からなる基盤岩が風化して土壌化すること。また、その状態。→真砂土(まさつち)</t>
        </is>
      </c>
      <c r="D7874" t="inlineStr">
        <is>
          <t>まさかこんな(3%)；まさかそんな(2%)；まさか本当に；まさかあんな；まさかあれ</t>
        </is>
      </c>
      <c r="E7874" t="inlineStr">
        <is>
          <t>もしや；ひょっとすると；よもや；あろうことか</t>
        </is>
      </c>
      <c r="F7874" t="inlineStr">
        <is>
          <t>まさか死ぬ；まさかあんた；まさかこんなに早く；まさかそんな馬鹿；まさかお前さん</t>
        </is>
      </c>
      <c r="G7874" t="inlineStr">
        <is>
          <t>まさかに；まさかり；まさかとは思いますが；まさかのミステリー；まさかシンガポール</t>
        </is>
      </c>
      <c r="H7874" t="n">
        <v>29</v>
      </c>
      <c r="I7874" t="inlineStr">
        <is>
          <t>まさかこんなに遠い処とは思はないでせう、来てみて驚いてしまつたわ。；まさかそんな書物の間に西洋の童話がはさまっていたとも思われませぬ。；本人は「まさかこんなに長く使うとは思っていなかった」と述べている。；コソ泥は今夜ここに数時間いましたが、まさかそこは探しませんでした。；まさかお前さんがそんなことを思うだろうとは、わたし思わなくってよ。；まさか君にそんなことはあるまいと思うが、とにかく面白くないことだ。；まさかあれを取るためにああ急いで駆けて行ったのでもあるまいが。；まさかおれが殺人をする目的で、こんな装置をしたとは思っていない。；本人たちもまさか一位通過するとは思っていなかったと語っている。；私もいろいろ噂には聞いていたが、まさかそれほどとは思わずにいた。；貴女はまさかボーセアン夫人が死ぬかもしれないとか思ってるんですか?；まさか彼は、そのような細心の注意が、もはや無駄だとは知らなかった。；私はこう思って見たが、心の隅ではまさかそうでもあるまいと言う声がした。；まさか一人の女のためにこんな馬鹿になるとは思いもしなかった。；といって、まさか幽霊などというものがこの世にあろうとは思われない。；あたしまさかそんな事する人とは思わなかったんですけれどもね。；まさかガラッ八の真似をして鈴屋になって出かけるわけにも行きません。；審査員で出られるとは思っていましたが、まさかこんな話になるとは。；でもまさか街で踊っている人たちを連れてきたんじゃないですよね。；まさか死体糜爛のあとが、偶然この様な形を現わした訳ではあるまい。；まさか、女中の赤い手を見たのが原因だったとは、気づく筈もなかった。；ではまさかあのスーパーテセウスがこの宇宙に唯一存在していると言うのか。；あなたは、まさか、それを、言葉どほりにお取りにならなかつたでせう?；して見ると、まさか電車の車掌がその度に寝惚けたとも申されますまい。；これはまさか書かせて置いて後から会社の広告を取りに来るんじゃなかろうね?；まさかそんなことが起るとは知らないからウカツに喋っちゃッたけどさ。；彼女はまさか悲鳴を上げる訳にも行かず、仕方なくわしについて来た。；まさか妾の全然知らない人物が入りこんで殺していったとは考えられない。；まさか最初の発見者が百姓の小せがれだろうとは思っても見なかった。</t>
        </is>
      </c>
      <c r="J7874">
        <f>HYPERLINK("https://www.weblio.jp/content/まさか", "词义详情")</f>
        <v/>
      </c>
      <c r="K7874">
        <f>HYPERLINK("https://yourei.jp/まさか", "查看例句")</f>
        <v/>
      </c>
    </row>
    <row r="7875">
      <c r="A7875" t="inlineStr">
        <is>
          <t>正しく</t>
        </is>
      </c>
      <c r="B7875" t="inlineStr">
        <is>
          <t>成功</t>
        </is>
      </c>
      <c r="C7875" t="inlineStr">
        <is>
          <t>読み方：まさしく
［副］《形容詞「まさし」の連用形から》まちがいなく。まさに。「あの声の持ち主は—彼だ」「それは—本物だ」</t>
        </is>
      </c>
      <c r="D7875" t="inlineStr">
        <is>
          <t>正しくない(10%)；正しく認識；正しく理解する；正しく行わ；正しく伝える</t>
        </is>
      </c>
      <c r="E7875" t="inlineStr">
        <is>
          <t>実際；事実；まったく；全く；実際に</t>
        </is>
      </c>
      <c r="F7875" t="inlineStr">
        <is>
          <t>規律正しく；順序正しく；必ずしも正しく；秩序正しく；折り目正しく</t>
        </is>
      </c>
      <c r="G7875" t="inlineStr">
        <is>
          <t>正しくなれない</t>
        </is>
      </c>
      <c r="H7875" t="n">
        <v>29</v>
      </c>
      <c r="I7875" t="inlineStr">
        <is>
          <t>しかし、現在のものが、当時の姿を正しく伝えているとは考えられない。；同様に、左右逆のシグマも正しくない場所にある行を示すことがあった。；視界を確保するためであり、また風向きを正しく観測するためでもある。；多くの場合、これは正しく波形が伝わる信号速度と考えることができる。；経営側が正しく判断できるようにいくつかのビジネス選択肢を用意する。；手札を正しく交換し、高い役を作り多くの配当を得ることを目的とする。；正書法は、言語を文字で正しく記述する際のルールの集合のことである。；このとき天皇は無端事を問うので正しく答えれば褒美を与えると言った。；通常の運用環境下で正しく使用されていれば、発生する事象ではない。；単に従来よりも性能がいいことを「上位互換」と称するのは正しくない。；またクリアの内部動作に差があると正しくリセットされない段が生じる。；よって、法律や契約書もこれを意識しながら読むと、正しく理解できる。；太陽と惑星の黄経の差と説明されることもあるが正しくない。；シェーンは多くの論文でデータが正しくなかったことまでは認めた。；が、正しくは中央から離れて大きな権限を認められた地方長官である。；和声の課題の実施は、理論的に正しくても音楽的に美しくなければならない。；図は先手の攻めが単純そうであるが、後手も正しく受けるのは大変である。；モザイク型は受精卵の体細胞分裂が正しく行われないことが原因となる。；このモデルでは、歴史的な状況を正しく理解することはできない。；各数式は構文論的に構築され、正しく並べられたものでなければならない。；これは日本語で区別のない のうち、2つ以上が正しくない場合が大半である。；全能者はどんなことでもなし得る、と考えることは論理学的に正しくない。；三段論法では2つの前提文から結論文を正しく導くことが目的になる。；ここで、構文規則を正しく翻訳するには空白が必要であるとしている。；なお、この時彼の年齢が47歳と紹介されたが、正しくは44歳であった。；しかし類似のイメージを繋ぐこの手法は、正しくはマッチカットである。；テーマは歴史的に正しく評価されていない人物、組織の復権に定める。；ところが少し経った後、同じ種族が別のイコンを今度は正しく開いた。；学校指定の制服を正しく着用しない場合は校則違反となり処罰される。</t>
        </is>
      </c>
      <c r="J7875">
        <f>HYPERLINK("https://www.weblio.jp/content/正しく", "词义详情")</f>
        <v/>
      </c>
      <c r="K7875">
        <f>HYPERLINK("https://yourei.jp/正しく", "查看例句")</f>
        <v/>
      </c>
    </row>
    <row r="7876">
      <c r="A7876" t="inlineStr">
        <is>
          <t>摩擦</t>
        </is>
      </c>
      <c r="B7876" t="inlineStr">
        <is>
          <t>成功</t>
        </is>
      </c>
      <c r="C7876" t="inlineStr">
        <is>
          <t>読み方：まさつ
［名］(スル)
１物と物とがすれ合うこと。また、こすり合わせること。「肌を—して暖をとる」「乾布—」
２人間の社会関係で、二者の間に意見や感情の食い違いによって起こる、不一致・不和・抵抗・紛争など。軋轢(あつれき)。「貿易—」
３互いに接触している二つの物体のうち、一方が運動しようとするとき、または運動しつつあるとき、その接触面に運動を妨げようとする力が働く現象。また、その力。相対速度により運動摩擦・静止摩擦に、運動状態により滑り摩擦・転がり摩擦などに分けられる。</t>
        </is>
      </c>
      <c r="D7876" t="inlineStr">
        <is>
          <t>摩擦面；摩擦力；摩擦材；摩擦クラッチ；摩擦式</t>
        </is>
      </c>
      <c r="E7876" t="inlineStr">
        <is>
          <t>戦い；争い；衝突；論争；抗争</t>
        </is>
      </c>
      <c r="F7876" t="inlineStr">
        <is>
          <t>米自動車摩擦；大きな摩擦；低摩擦；動摩擦；潮汐摩擦</t>
        </is>
      </c>
      <c r="G7876" t="inlineStr">
        <is>
          <t>摩擦力；摩擦係数；摩擦熱；摩擦抵抗；摩擦攪拌接合</t>
        </is>
      </c>
      <c r="H7876" t="n">
        <v>29</v>
      </c>
      <c r="I7876" t="inlineStr">
        <is>
          <t>しかし組織の拡大は、公権力やその土地の有力者との摩擦を生じさせた。；実際には真実接触面積を減らすことで摩擦を低減することは可能である。；通常、機械の摩擦部分には機械を動きやすくするために潤滑油を入れる。；もっとも単純な火おこし法は摩擦法であり、世界中に広く分布している。；このモデルは適用範囲が広いことから摩擦の計算に一般に用いられている。；ホイール2は摩擦レベルが大幅に上昇していたものの両方向に回転した。；一方では、船の推進の摩擦による熱が発生し、船の周りに温水ができる。；これはいわゆる自己潤滑材料で摩擦や摩耗を低減するために利用される。；接触面の摩擦を考慮せず、接触面の圧力分布を仮定している点が特徴である。；第2の場合には、回転するボールベアリングの摩擦から生じる熱もある。；死んだ個体の腹を押して上翅と人為的に摩擦しても音を聴くことができる。；また、貧しい環境の自然児的な主人公が、微妙な摩擦を起こす話が多い。；その方向は、摩擦がなければその物体が動いたであろう方向の逆向きになる。；歯輪軸の右側には摩擦板を設けられ、思わぬ衝撃に対して保護していた。；これは東條が、陸海軍の摩擦や衝突を回避しようと考えていたことによる。；玉が自転することで、2つの表面が接して回転するよりも摩擦が低くなる。；見た目は普通の裏ソフトだが、摩擦が極端に少なく回転がかかりにくい。；aは主に車軸と軸受の摩擦に依存する値で、速度とは無関係の項である。；絶縁体同士を摩擦することなどにより、この現象を起こすことができる。；摩擦を減らすために中央が凹んでいるものや、中央に穴のあるものもある。；人類は、有史以前から火を起こすなど積極的に摩擦や摩耗を利用してきた。；以下に示す方法のうち、主に摩擦で火種を作り、保存していたとされている。；鎖の摩擦を小さくするために頂部にある丸太に鎖を巻きつけさせた。；より大型のものでは、摩擦が邪魔にもなるから、体を持ち上げて歩く。；中国人移民を受け入れているが一部移民と国民の間で摩擦が発生している。；これは太さに比較して摩擦面積を小さく出来るため、温度を上げやすいからである。；戦闘において摩擦はさまざまな形で現れるが、その一つに情報的要素がある。；本シリーズは、そのような中世の社会構造から来る社会的な摩擦を反映する。；そのため仲間からの反発や組織内での摩擦に苦慮する姿も見られた。</t>
        </is>
      </c>
      <c r="J7876">
        <f>HYPERLINK("https://www.weblio.jp/content/摩擦", "词义详情")</f>
        <v/>
      </c>
      <c r="K7876">
        <f>HYPERLINK("https://yourei.jp/摩擦", "查看例句")</f>
        <v/>
      </c>
    </row>
    <row r="7877">
      <c r="A7877" t="inlineStr">
        <is>
          <t>まさに</t>
        </is>
      </c>
      <c r="B7877" t="inlineStr">
        <is>
          <t>成功</t>
        </is>
      </c>
      <c r="C7877" t="inlineStr">
        <is>
          <t>読み方：まさに
［副］
１ある事が確かな事実であるさま。まちがいなく。本当に。「事実は—予言のとおりだった」
２実現・継続の時点を強調するさま。ちょうど。あたかも。「彼は—車から降りた瞬間、凶弾に倒れた」
３《漢文訓読から起こった用法》
㋐（「当に」とも書く。「まさに…べし」などの形で）当然あることをしなければならないさま。ぜひとも。「学生たる者—学問に励むべきだ」
㋑（「将に」とも書く）（「まさに…せんとする」などの形で）ある事が実現しそうだという気持ちを表す語。今にも。「飛行機が—飛び立とうとしている」
４（主に、あとに反語表現を伴って）どうして…しようか。
「あやしかりつるほどのあやまりを、—人の思ひとがめじや」〈源・紅葉賀〉</t>
        </is>
      </c>
      <c r="D7877" t="inlineStr">
        <is>
          <t>まさにその(8%)；まさにこの(4%)；まさにそういう；まさにそうした；まさにこういう</t>
        </is>
      </c>
      <c r="E7877" t="inlineStr">
        <is>
          <t>特に；こそ；まったく；全く；ちょうど</t>
        </is>
      </c>
      <c r="F7877" t="inlineStr">
        <is>
          <t>いままさに；これこそまさに；それこそまさに；まさに驚く；まさに超人的</t>
        </is>
      </c>
      <c r="H7877" t="n">
        <v>29</v>
      </c>
      <c r="I7877" t="inlineStr">
        <is>
          <t>だが時はまさに第一次大戦の最中であり、そしてついにアメリカも参戦。；まさにその中心に位置する原野がフォロ・ロマーノのある場所であった。；現在のムールハイゼン通りは初期の城壁のあったまさにその場所である。；自分の考えや経験や毎日の事をまさに今学習している言葉で書こうとする。；まさにこのゲームを完全攻略するためにとって重要なアイテムである。；彼らの生活は、まさに木の持つ特性と構造物に囲まれていたのである。；地球がまさに失われようとする時に母親によって外宇宙へ送り出された。；この幕府の事件解決方針は、まさに嘉兵衛の予想と合致するものだった。；そこにはまさに彼が撮りたいと思っていた映像表現が存在していた為であった。；それはまさにチカーノカルチャーを代表するローライダーの姿であった。；そして拠り所にしていたファシズムも今まさに崩壊しようとしている。；多次元への移行は、まさにその定義からしてもっと複雑なものになる。；放蕩息子の譬え話に登場する父親の姿はまさにそのことを教えている。；まさにその時に、ドイツ帝国海軍の有力な軍艦2隻が到着した事になる。；都市の周囲には三重の城壁を建設し、まさに難攻不落となったのである。；墓碑に刻まれている言葉はまさに永瀬義郎の人生そのものを表している。；それはまさに大人の感情模様である、だからセクシーでもあるのです。；この人形のモデルはまさに生き別れた両親に違いないと確信した彼はアメリカに逃亡。；かれの思想はまさに農民主義、職人主義そのものと言っていいだろう。；早く開通しながら早く廃止になったのはまさに皮肉であった。；まさにランドスケープの歴史は、いつの時代も植物の歴史そのものである。；そのような運動のまさに第一歩となったのが呉鳳神話打破運動であった。；まさに二人は戦後のアメリカが黄金期を謳歌していた時代の体現者だった。；そしてそれはまさに、この疾患が最初に明るみに出た時なのであった。；科学的な場とは、まさにそのような場で客観性を獲得できる場である。；人類が初めて地球の全体像をひと目で見たのは、まさにこの瞬間であった。；彼はまさに近代の神学的課題やジレンマを一手に引き受けたと評価される。；考えもなく口真似することこそは、まさに彼が一番閉口したことであった。；ついに念願のマイホームを手に入れ、まさに順風満帆な時を迎えていた。</t>
        </is>
      </c>
      <c r="J7877">
        <f>HYPERLINK("https://www.weblio.jp/content/まさに", "词义详情")</f>
        <v/>
      </c>
      <c r="K7877">
        <f>HYPERLINK("https://yourei.jp/まさに", "查看例句")</f>
        <v/>
      </c>
    </row>
    <row r="7878">
      <c r="A7878" t="inlineStr">
        <is>
          <t>勝る</t>
        </is>
      </c>
      <c r="B7878" t="inlineStr">
        <is>
          <t>成功</t>
        </is>
      </c>
      <c r="C7878" t="inlineStr">
        <is>
          <t>読み方：すぐる
［動ラ下二］「すぐれる」の文語形。</t>
        </is>
      </c>
      <c r="D7878" t="inlineStr">
        <is>
          <t>勝るとも劣ら(14%)；勝るカルタゴ軍；勝るとも劣る；勝ると評価；勝ると云</t>
        </is>
      </c>
      <c r="E7878" t="inlineStr">
        <is>
          <t>超える；光る；越える；上回る；突出</t>
        </is>
      </c>
      <c r="F7878" t="inlineStr">
        <is>
          <t>大きく勝る；立ち勝る</t>
        </is>
      </c>
      <c r="H7878" t="n">
        <v>29</v>
      </c>
      <c r="I7878" t="inlineStr">
        <is>
          <t>どちらかというと、目の前に座った女への興味のほうが勝り始めている。；一人の利益は多数の利益に勝る場合もあると、カークに教えられたこと。；でも恐ろしさより真実を考察する興奮のほうが勝るので泣いてしまった。；近年では輸送力に勝る他の種類のリフトが増え、その数は減少している。；それが料理を作る者には、どんなほめ言葉にも勝る喜びなのでございます。；父と同じく勇力は諸人に勝り、常に大刀を帯びていたと伝えられている。；数に勝り、力に勝る魔族たちの死の翼に、一人、また一人と倒れてゆく。；数に勝り、力に勝る魔族たちの死の翼に、一人、また一人と倒れてゆく。；あなたのお役に立てたという幸福に勝るものは何ひとつありません。；兄弟にのみ挨拶すとも何の勝ることがある、異邦人も然するにあらずや。；兄弟にのみ挨拶すとも何の勝ることかある、異邦人も然するにあらずや。；南蛮貿易で多額の利益を得ており、他の勢力よりも兵力・資金力で勝る。；それだからこそ、港の数は多いのですが、この横浜に勝る港はないでしょう。；只一人の妹に先立たれた姉の心はその両親にも勝るほど悲しいものである。；代わって息子の政が国王に即位し、呂不韋は王にも勝る権力を手に入れた。；こうして考えてみると、自分の洞察力は信長に勝るとも劣らぬではないか。；また効果的な防衛作戦の展開となると、ベンデン提督に勝る人はいません。；あの魔犬にすら勝る呪力を、この少女は魔術もなく発露させているのだ。；愛子は以前にも勝る熱心な調子で彼女の学友のことを書いてよこした。；あなたに勝るひとはいませんが、ぼくの場合は言い得ています。；十五日にはそれにも勝る穏やかなお顔が見られたからでございます。；最初、彼は君がより勝る技で彼を負かしたのではないかと恐れた。；聞きしに勝る勇猛さを、彼等はここ数日の戦いで、味わわされたのだ。；自分は、そのことでは、ほかの多くの少年に勝るとも劣らぬにちがいない。；ファラーは劣るというよりも、むしろ勝るほど美しい男児に成長します。；会談後には蔣介石夫人宋美齢を「夫よりはるかに勝る」と評価している。；江戸におのれに勝る剣術者がいないと思っているわけではなかった。；この世に自分の作戦がまんまと成功したときに勝る喜びはない。；その力強く独特な走りから、ベストタイムや実績にも勝る人気を得ている。</t>
        </is>
      </c>
      <c r="J7878">
        <f>HYPERLINK("https://www.weblio.jp/content/勝る", "词义详情")</f>
        <v/>
      </c>
      <c r="K7878">
        <f>HYPERLINK("https://yourei.jp/勝る", "查看例句")</f>
        <v/>
      </c>
    </row>
    <row r="7879">
      <c r="A7879" t="inlineStr">
        <is>
          <t>混ざる/交ざる</t>
        </is>
      </c>
      <c r="B7879" t="inlineStr">
        <is>
          <t>无结果</t>
        </is>
      </c>
      <c r="H7879" t="n">
        <v>0</v>
      </c>
      <c r="J7879">
        <f>HYPERLINK("https://www.weblio.jp/content/混ざる/交ざる", "词义详情")</f>
        <v/>
      </c>
      <c r="K7879">
        <f>HYPERLINK("https://yourei.jp/混ざる/交ざる", "查看例句")</f>
        <v/>
      </c>
    </row>
    <row r="7880">
      <c r="A7880" t="inlineStr">
        <is>
          <t>まし</t>
        </is>
      </c>
      <c r="B7880" t="inlineStr">
        <is>
          <t>成功</t>
        </is>
      </c>
      <c r="C7880" t="inlineStr">
        <is>
          <t>［助動］［（ませ）ましか｜○｜まし｜まし｜ましか｜○］動詞・助動詞の未然形に付く。
１反実仮想を表す。
㋐多く上に「ませば」「ましかば」「せば」などを伴って、事実に反する状態を仮定し、それに基づく想像を表す。もし…だったら…だろう。
「草枕旅行く君と知らませば岸の埴生(はにふ)ににほはさましを」〈万・六九〉
㋑事実とは反対の状態を想像して希望する意を表す。もし…ならよかったのに。
「思ひけむ人をぞともに思はましまさしやむくひなかりけりやは」〈古今・雑体〉
２上に疑問語を伴って、疑いためらう気持ちを含む意志を表す。…しようかしら。…したものだろうか。
「これになにを書かまし」〈枕・三一九〉
「あな恋し行きてや見まし津の国の今もありてふ浦の初島」〈後撰・恋三〉
３推量・決意を表す。…だろう。…う（よう）。
「やがて失(う)せぬる人にてこそあらましか」〈宇津保・俊蔭〉
「飛騨たくみほめてつくれる真木柱たてし心は動かざらまし」〈賀茂翁家集〉
[補説]未然形「ませ」「ましか」は「ば」を伴って、「ませば」「ましかば」の形で用いられるが、「ませ」は主に奈良時代に用いられ、平安時代以降は和歌以外には用いられなくなる。また、已然形「ましか」は、ほとんど係助詞「こそ」の結びとして用いられる。3は主として中世以降、擬古文などで「む」と同じ意味で使われる用法である。</t>
        </is>
      </c>
      <c r="D7880" t="inlineStr">
        <is>
          <t>ましたら；ましがた；ましたろ；ましい事；ましくも</t>
        </is>
      </c>
      <c r="E7880" t="inlineStr">
        <is>
          <t>マシ</t>
        </is>
      </c>
      <c r="F7880" t="inlineStr">
        <is>
          <t>ありまし；なりまし；おりまし；きまし；来まし</t>
        </is>
      </c>
      <c r="G7880" t="inlineStr">
        <is>
          <t>まして；ましてや；まします；ましゅう；ましろ</t>
        </is>
      </c>
      <c r="H7880" t="n">
        <v>29</v>
      </c>
      <c r="I7880" t="inlineStr">
        <is>
          <t>そして多くがドイツ語を学びたいと思うようになってほしいと思います。；準備が足りず、自分だけのために練習しているような印象を受けました。；現在は記事を作ることよりも内容を充実させることが求められています。；一般的にこういった分類には大きくわけて2通りの分類方法があります。；これらの提案に従う義務があるなどと感じたりするべきではありません。；我が国の国民がこのようなゲームを買うなどとはとても信じられません。；内部の者はそれが科学的というよりも政治的な書物であると知っています。；以下のメッセージはあなたに宛てられているメッセージではありません。；僕もそこで自分からすり寄って合わせられるタイプじゃありませんしね。；たいていの場合にうまくいっていると考えられる構成を以下に説明します。；きちんとその仕事が出来る体制があれば独立行政法人でいいと思います。；そんなこと、私は知ったことではありません、私の責任ではありません。；このところ、弟との思い出が次から次へといっぱい浮かんできましたね。；患者らからも怒りや悲しいという声が寄せられたと述べておられました。；特に代表的な生物が含まれる群の場合、それらの生物も記入しましょう。；また、一つの記事に複数の番組をまとめて書くのは望ましくありません。；そしてその背景には、戦前の苦い経験があることを忘れてはなりません。；僕はあれをミスレフェリングだなどとはこれっぽっちも思っていません。；常に私たちは、私たちの子供たちのぶんを残すよう教えられてきました。；私の案を立てた父の肖像画もこの点に就いては真を写しては居りません。；彼女に勝ちの味を教えてあげられなかったことには悔しさも感じています。；ほとんどの学校種では、次の通り学校種別ごとに単独の一覧があります。；河右のような小さい地は取るに足りず、気にかけるほどもありません。；この火の中に、サタンと人間の形をした魂とが閉じ込められていました。；じわじわくる馬には強いが、一気にこられてなす術がありませんでした。；また、宇宙探査機のプロジェクトがないためその範囲も含まれています。；日本の海軍は米英を相手に戦争ができるように建造されておりません。；天におられるわたしたちの父よ、 み名が聖〔せい〕とされますように。；その中で「大阪と愛知が連携して日本を変えていきましょう」と語った。</t>
        </is>
      </c>
      <c r="J7880">
        <f>HYPERLINK("https://www.weblio.jp/content/まし", "词义详情")</f>
        <v/>
      </c>
      <c r="K7880">
        <f>HYPERLINK("https://yourei.jp/まし", "查看例句")</f>
        <v/>
      </c>
    </row>
    <row r="7881">
      <c r="A7881" t="inlineStr">
        <is>
          <t>交える</t>
        </is>
      </c>
      <c r="B7881" t="inlineStr">
        <is>
          <t>成功</t>
        </is>
      </c>
      <c r="C7881" t="inlineStr">
        <is>
          <t>読み方：まじえる
［動ア下一］［文］まじ・ふ［ハ下二］
１つけ加えて一つにする。加え入れる。「学生を—・えて討論する」「身ぶりを—・えて話す」「私情を—・えない仕事上の付き合い」
２入りこませる。組み合わせる。「ひざを—・えて語り合う」
３互いにやり合う。やりとりする。「砲火を—・える」「言葉を—・える」
[補説]室町時代以降はヤ行にも活用した。→交ゆ
[下接句]干戈(かんか)を交える・語を交える・膝(ひざ)を交える・兵刃(へいじん)を交える・砲火を交える</t>
        </is>
      </c>
      <c r="D7881" t="inlineStr">
        <is>
          <t>交えることなく終戦；交えることなく停戦</t>
        </is>
      </c>
      <c r="E7881" t="inlineStr">
        <is>
          <t>合併；交換；加える；混合；混同</t>
        </is>
      </c>
      <c r="H7881" t="n">
        <v>29</v>
      </c>
      <c r="I7881" t="inlineStr">
        <is>
          <t>ライブでは歌やダンスのほかにアクロバットや演劇を交えることもある。；戦闘が始まったのか、建物の外からは刃を交える激しい音が響いてきた。；内容は国解に、役に参加した武士の体験談等を交えたものとなっている。；しかし生活の中に深く美を交えることこそ大切ではないでしょうか。；これが解説を交えながら実況を伝える放送形式を生み出すことになった。；今の若い者が敵と一戦交えるのが戦争だと思っていたら大間違いだ。；演目には宗教的な曲も交えその内容を説明しながら教義を伝えていた。；また趣味であった園芸においても自らの体験を交えた作品を発表している。；ただし、仮定を交えると仮定が間違っていた場合は質問への答えはない。；原作では語られなかった詳細が、一部で科学的考察も交えて記載されている。；このようなやり取りがあったと思われているが両藩は戦を交えることはなかった。；後に十二支・八卦を交えた細かい二十四方が用いられるようにもなった。；ゲストとのトークを交えながら雑学をベースとしたクイズが出題された。；勝利画面のメッセージでもドイツ語を交えているものが多い。；プレイヤーキャラクターと何度か刃を交えることになるキャラクター。；武田軍と一戦を交えるならば、山家三方衆の総力を上げて戦いたかった。；後者は、インタビューを交えながらチームの日常を取り上げていく番組だった。；そして俺は、その最悪の連中と一戦交えるつもりになっているのだ。；だが姉弟はそんな事を気にする風もなく彼を遊び仲間に交えた。；演奏の休憩時間にはゲストとのトークを交えながら作品を解説を行っている。；ビックスバーグではその包囲には参加したが、戦闘を交えることは無かった。；問答体形式を取ることが多く、散文の句を交えていることを特徴とする。；「おれはここで最後の一戦を交えるつもりだった」 キカハはいった。；以後もチベットと中国との間では、しばしば戦火を交える緊張状態が続く。；彼は自分の仕事に友の面影を交える癖がついていたのである。；戦火を交えるにあたり、卿らに一言あいさつをしたいと思ったのです。；専門家や記者の解説を交えながら、話題の背景などを検証していく。；剣心は剣を交える理由が無いと刀を置き、そのまま捕縛されてしまう。；どう尾けてきたのか知らないが、また一戦交えるのも面倒だ。</t>
        </is>
      </c>
      <c r="J7881">
        <f>HYPERLINK("https://www.weblio.jp/content/交える", "词义详情")</f>
        <v/>
      </c>
      <c r="K7881">
        <f>HYPERLINK("https://yourei.jp/交える", "查看例句")</f>
        <v/>
      </c>
    </row>
    <row r="7882">
      <c r="A7882" t="inlineStr">
        <is>
          <t>真下</t>
        </is>
      </c>
      <c r="B7882" t="inlineStr">
        <is>
          <t>成功</t>
        </is>
      </c>
      <c r="C7882" t="inlineStr">
        <is>
          <t>読み方：ました
まっすぐ下。ちょうど下。直下(ちょっか)。「塔の上から—を見る」⇔真上。</t>
        </is>
      </c>
      <c r="D7882" t="inlineStr">
        <is>
          <t>真下あたり；真下教授；真下付近；真下辺り；真下方向</t>
        </is>
      </c>
      <c r="E7882" t="inlineStr">
        <is>
          <t>足元；足もと；足下；直下；すぐ下</t>
        </is>
      </c>
      <c r="G7882" t="inlineStr">
        <is>
          <t>真下耕一；真下家所蔵文書；真下信一；真下晩菘；真下専之丞</t>
        </is>
      </c>
      <c r="H7882" t="n">
        <v>29</v>
      </c>
      <c r="I7882" t="inlineStr">
        <is>
          <t>ほど経て社長は五階の社長室の真下の街路上に死体となって発見された。；なお、このホームの真下に地上線時代のホームが撤去されずに残っている。；ちょうどわれわれの真下にもそういう豪華な大型車が一台とまっていた。；彼が手にしたオペラグラスでさしたのは、真下の平土間のある席だった。；すでに真火は浮かんでいるので、真火の真下に六十四卦盤を置くだけだ。；その真下のテーブルで二人は静かに茶を飲みながら、復一は反対に訊いた。；それは百姓屋とそれに食ひ込んだやうな飯場の真下あたりの処だつた。；以前は、手紙を書くのに、発信人の名前を受信人の名前の真下に書いた。；明りが、かれの真下に長い金属の棘が並んでいるのを照らしだしていた。；船長の居住区画は標準的な仕様通り、艦橋の真下、すぐ下の階にあった。；橇は私の見ている窓の真下あたりの木造のプラットフォームに止まった。；そのため、やや複雑な前方向と真下に開く二分割構造になっている。；真下の部屋の源田さんが、暗い部屋の中でじっと天井を見あげている。；そのときになってフロイドは、真下の風景がいやに明るいのに気づいた。；目をおし当てて見ると、真下よりやや左にそれて神尾永勝の姿があった。；そうすれば水は上昇しはじめて、外壁そのものの真下の土にしみとおる。；とにかくもう、ほんの目の前の目のま下のところでこれをやられる。；ちょうどバーの真下あたりの位置に、一人の男が身動きもせずに立っていた。；水平尾翼が垂直尾翼と方向舵の真下にある場合に発生する可能性がある。；その間にこの真下のレベルまで工業用X線装置を運んできて欲しい。；後方から真下を超えて斜め前方にまで角度変更が可能なことがわかる。；最後の秘密を知られたのは、地上に繋がる穴の真下に来た時だった。；真下に駐車場が広がっており、さきほどの自動販売機の明かりが見える。；それは玄関の内部を照らす小さなランプの真下にいつも置いてあった。；その時窓の真下の家の、竹格子の奥に若い娘がぼんやり立っている事があった。；それは屋敷の二階にあって、ちょうどエーレナの部屋の窓の真下にあたる。；最後にピタッと音がして、巻き物の先が球のちょうど真下にはりついた。；だが、落ちてくる骨百足のちょうど真下にいた三人の動きが、わずかに遅れた。；ヴェスタの頭の真下に、セントラリア人の服装をした男がすわっている。</t>
        </is>
      </c>
      <c r="J7882">
        <f>HYPERLINK("https://www.weblio.jp/content/真下", "词义详情")</f>
        <v/>
      </c>
      <c r="K7882">
        <f>HYPERLINK("https://yourei.jp/真下", "查看例句")</f>
        <v/>
      </c>
    </row>
    <row r="7883">
      <c r="A7883" t="inlineStr">
        <is>
          <t>まして</t>
        </is>
      </c>
      <c r="B7883" t="inlineStr">
        <is>
          <t>成功</t>
        </is>
      </c>
      <c r="C7883" t="inlineStr">
        <is>
          <t>読み方：まして
［副］
１前の場合でさえそうなのだから、この場合はもちろんそうだという気持ちを表す語。なおさら。いわんや。「大人でも大変なのだから、—子供には無理だ」
２いっそう。さらに。もっと。
「瓜食(は)めば子ども思ほゆ栗食めば—偲(しぬ)はゆ」〈万・八〇二〉</t>
        </is>
      </c>
      <c r="D7883" t="inlineStr">
        <is>
          <t>ましていわんや；まして美しい；まして強く；まして恐ろしい；まして愛し</t>
        </is>
      </c>
      <c r="E7883" t="inlineStr">
        <is>
          <t>当然；ましてや；もちろん</t>
        </is>
      </c>
      <c r="F7883" t="inlineStr">
        <is>
          <t>何にもまして</t>
        </is>
      </c>
      <c r="H7883" t="n">
        <v>29</v>
      </c>
      <c r="I7883" t="inlineStr">
        <is>
          <t>ましてその時はもちろん、今よりもっとわかるはずがなかったのである。；一つの専門の芸術家は他の専門の芸術を理解出来ない、まして素人をや。；ましてその人は家のためまた大事な父のためには疎かならぬ恩人である。；だが之は少しも問題の内容の説明でもなければ、ましてその解決でもない。；まして私はS夫人がその謎の鍵を握っているとは少しも知らなかった。；そしてこの日の高座が、いつにもましていいできだったのだな、これが。；ましてそれを他人に宣伝するまでになった人はいよいよ幸福である。；まして倉地のように身分不相応な金づかいをしていた男にはなおの事だ。；しかし子供たちだけでの飼育、まして盲目の犬の世話には限界があった。；まして男は最後まで彼女に好意をもって、大切にしてくれたのである。；まして学校を少し離れた聖護院には下宿らしいものはほとんどなかった。；つかれは、一歩一歩とまして行くのが自分にもはっきり感じられたのです。；すると彼女は顔色を変へ、「あなたはあたしを欺ましてゐた」と言つた。；まして電車の通らない前には一度も通ったことはなかったであろう。；まして美僧でもあろうものなら、殺してやりたいとさえ思いました。；まして天罰をかけて起請する様なのは、遥かに遅れての代の事であつた。；まして、その柱の意味を知る人はおそらく一人もないかもしれない。；ましてそれは彼女に、満足以外の何ものをも与えぬだろうじゃないか。；まして壁の建設は想像してもまず不可能という判断で思いも寄らなかった。；まして完全な分類にとってこの分類原理を欠くことは絶対に許されない。；ましてお君とか米友とかいうものの名は、誰の口にも上るではありません。；まして一般の世界にこの青眉の美をほとんど見出すことは出来ない。；まして学問は精神能力によって正面的に把握されないことは明らかである。；まして今夜は月が明るいのに、どうしてこんな間違いを仕出来したのか。；まして、夫の家を飛び出したといふことになると、事は面倒になりさうだ。；まして眼のつぶれて感の鋭くなった耳にその声が入らないはずはありません。；隣に座って居る彼が組頭の恵比寿顔した爺さんが眼を霑まして見て居る。；まして学窓にあるほどの青年が環境をつぶやいたりなどできるものであろうか?；まして家老という重い立場であれば、必死になって諌めるのが筋である。</t>
        </is>
      </c>
      <c r="J7883">
        <f>HYPERLINK("https://www.weblio.jp/content/まして", "词义详情")</f>
        <v/>
      </c>
      <c r="K7883">
        <f>HYPERLINK("https://yourei.jp/まして", "查看例句")</f>
        <v/>
      </c>
    </row>
    <row r="7884">
      <c r="A7884" t="inlineStr">
        <is>
          <t>真面目</t>
        </is>
      </c>
      <c r="B7884" t="inlineStr">
        <is>
          <t>成功</t>
        </is>
      </c>
      <c r="C7884" t="inlineStr">
        <is>
          <t>読み方：しんめんぼく
［名・形動］「しんめんもく（真面目）」に同じ。
「一夕医話(いっせきいわ)等と趣を殊(こと)にした、—な漢蘭医法比較研究」〈鴎外・渋江抽斎〉</t>
        </is>
      </c>
      <c r="D7884" t="inlineStr">
        <is>
          <t>真面目な顔(8%)；真面目な性格；真面目そう；真面目な話；真面目な表情</t>
        </is>
      </c>
      <c r="E7884" t="inlineStr">
        <is>
          <t>真；実；明るい；正しい；熱心</t>
        </is>
      </c>
      <c r="F7884" t="inlineStr">
        <is>
          <t>大真面目；ひどく真面目；真面目一徹；真面目な優等生；真面目な顔付き</t>
        </is>
      </c>
      <c r="G7884" t="inlineStr">
        <is>
          <t>真面目くさ；真面目くさり</t>
        </is>
      </c>
      <c r="H7884" t="n">
        <v>29</v>
      </c>
      <c r="I7884" t="inlineStr">
        <is>
          <t>このコーナーは真面目に回答する場合もあれば適当に返すこともあった。；メンバーは女子中心の構成で、よく声を出す真面目な校風は変わらない。；それらは公式の真面目なものもあれば非公式のユーモラスなものもある。；政治的な報酬として任命されたが仕事には真面目に取り組んだとされる。；真面目で地道で仲がいいだけが取り柄の和気あいあいとしたのん気な部。；この時点で多くの研究者は彼の考えを真面目に受け取ることをしなくなった。；本人は自然哲学を単なる趣味だとしていたが、真面目に取り組んでいる。；僕はこれを大真面目に言っていて、やっぱり人間は引き際が重要だと思う。；真面目で学校の成績も良く、高校の卒業式では彼の作った詩が唱和された。；他の機関車と比べて性格が真面目で優しいが、怒らせるとさすがに怖い。；父親は、真面目で為になる宗教漫画を描いてくれると思っていた。；その様子は非常に真面目で、とても一時の感情に駆られただけとは思えない。；学究肌の真面目な研究者のため、このような噂が一人歩きした模様。；実家の隣人たちや地元の友人の間では、真面目な良い子という評判だった。；授業は真面目に受けず、友人の持ってきた超合金の玩具で遊んでいた。；また、李が真面目なクリスチャンであったことも支持を受けた理由とされる。；基本的には真面目な兄との性格の違いが明確な描写が多い。；本人も自分の性格を真面目でちょっと温度差が激しいかもしれないと語っている。；この日頃の不真面目さが原因で、叔父からは次第に信用されなくなっていった。；真面目な顔の次の瞬間には大きな口を開けて笑っている。；勤務態度は非常に真面目で、三年後には店を取り仕切るようになった。；不真面目で校内の厄介者だった主人公・友也はその候補になっていた。；私たちはしっかりと政策を真面目に訴えていきたいんです。；しかし主犯の男は真面目に学校に通っていたわけではなかった。；真面目な性格で、日本でのプレーが決まると日本語学校に通っていた。；その真面目さが一部には評価されたが一般ウケはしなかった。；そして物語を真面目に作るかわりに映像面で攻めることにした。；正座して真面目に話を聞いてるのは慶應大学の学生たちだという。；仕事には真面目に取り組む一方で、一晩中遊び歩くことも珍しくなかった。</t>
        </is>
      </c>
      <c r="J7884">
        <f>HYPERLINK("https://www.weblio.jp/content/真面目", "词义详情")</f>
        <v/>
      </c>
      <c r="K7884">
        <f>HYPERLINK("https://yourei.jp/真面目", "查看例句")</f>
        <v/>
      </c>
    </row>
    <row r="7885">
      <c r="A7885" t="inlineStr">
        <is>
          <t>混じる/交じる</t>
        </is>
      </c>
      <c r="B7885" t="inlineStr">
        <is>
          <t>无结果</t>
        </is>
      </c>
      <c r="H7885" t="n">
        <v>0</v>
      </c>
      <c r="J7885">
        <f>HYPERLINK("https://www.weblio.jp/content/混じる/交じる", "词义详情")</f>
        <v/>
      </c>
      <c r="K7885">
        <f>HYPERLINK("https://yourei.jp/混じる/交じる", "查看例句")</f>
        <v/>
      </c>
    </row>
    <row r="7886">
      <c r="A7886" t="inlineStr">
        <is>
          <t>交わる</t>
        </is>
      </c>
      <c r="B7886" t="inlineStr">
        <is>
          <t>成功</t>
        </is>
      </c>
      <c r="C7886" t="inlineStr">
        <is>
          <t>読み方：まじわる
［動ラ五（四）］
１行きあう。互いに交差する。「国道と県道とが—・る所」
２つきあう。交際する。「友と親しく—・る」「朱に—・れば赤くなる」
３交合する。性交する。「恋い焦がれた人と—・る」
４数学で、線と線、線と面、面と面などが、ある点を共有する。また、二つ以上の集合が共通の要素をもつ。「二直線が—・る」
５互いにまじりあう。入り乱れる。
「色々—・り輝けり」〈栄花・音楽〉
６分け入る。また、まぎれ入って、身を隠す。
「世を遁(のが)れて、山林に—・るは」〈方丈記〉
[可能]まじわれる</t>
        </is>
      </c>
      <c r="D7886" t="inlineStr">
        <is>
          <t>合流；結合；連結；抱く；セックス</t>
        </is>
      </c>
      <c r="F7886" t="inlineStr">
        <is>
          <t>相交わる；互いに交わる；深く交わる</t>
        </is>
      </c>
      <c r="H7886" t="n">
        <v>29</v>
      </c>
      <c r="I7886" t="inlineStr">
        <is>
          <t>一方、一人としか交わっていない女は四八一人中たった一七一人だった。；母親になった女は、おれと交わったことさえ覚えてはいないのだからな。；今までに交わった女性の中で、間違いなく最高の魅力を持った女だった。；この切れ刃は中心で交わらず、それぞれの逃げ面が先端で峰を形成する。；市は初めは市場の町であり、いくつかの商業路が交わる場所となった。；その交点から到る場所の名称や交わる方向から名付けられることも多い。；適度にひとと交わるのがいいのです、どちらかに多く偏りすぎないでね。；慣れた男とばかり交わっていた愛子は、この秀松の瞬間を知らなかった。；これは、2つの河川が交わる場所にある町の位置を表していると見られる。；それに、たしかに学校は子供がほかの子供たちと交わる場所でもある。；そして彼はそのうちに立ち交わって彼の順番が来ると声高に話しかけた。；このように物点からの光が像点で交わらずにできる像を虚像と呼ぶ。；のちにはほかの人と同じように、私はモーティマーとも交わっていました。；あの人々は始めから私の日本人であるということを知って交わったのでない。；どの組も交わるのに夢中で、空中を飛んでくる男のことなど気にもしていない。；肥薩おれんじ鉄道の線路は当駅の八代寄りで九州新幹線と交わっている。；聞くところによると、ゼノンは一生に一度しか女と交わらなかったそうだ。；上職者に仕えてはその職務に励み、人々とは尊敬の念をもって交わった。；この墓地は、3本の幹線道路が交わる大きな交差点沿いに位置している。；またその御前ですらも、両人の視線は時々ちょっと交わるばかりでした。；その子が成長してから、タナは我が子と交わって子孫を殖やしていった。；さすればやはり前嗣とも交わったのかと、久秀はかすかな妬心を覚えた。；中には物好きな客もいて、自分たちの交わっている姿を描いてもいいという。；そのためには、とにかく数多く交わって、多く子をなさねばならない。；決して男と女が交わったから赤子が生まれたのだと考えてはならない。；このように物点からの光が像点で交わってできる像を実像と呼ぶ。；直線と円は二点または一点で交わるか、さもなくば交わらないかである。；直線と円は二点または一点で交わるか、さもなくば交わらないかである。；そうでない者は私塾を開き、魔術師ギルドなどとは交わろうとはしない。</t>
        </is>
      </c>
      <c r="J7886">
        <f>HYPERLINK("https://www.weblio.jp/content/交わる", "词义详情")</f>
        <v/>
      </c>
      <c r="K7886">
        <f>HYPERLINK("https://yourei.jp/交わる", "查看例句")</f>
        <v/>
      </c>
    </row>
    <row r="7887">
      <c r="A7887" t="inlineStr">
        <is>
          <t>増す</t>
        </is>
      </c>
      <c r="B7887" t="inlineStr">
        <is>
          <t>成功</t>
        </is>
      </c>
      <c r="C7887" t="inlineStr">
        <is>
          <t>読み方：ます
［動サ五（四）］
１数量や程度が大きくなる。⇔減る。
㋐多くなる。ふえる。「体重が—・す」
㋑高まる。進む。「秋になると食欲が—・す」「不安が—・す」
㋒（「…にもまして」の形で）あるものよりも、もっと程度が上であることを表す。「前にも—・して元気になる」
２数量や程度を大きくする。⇔減らす。
㋐加える。また、加えて大きくする。ふやす。「人員を—・す」「紅葉が渓谷の景観を—・す」
㋑高める。伸ばす。進める。「興味を—・す」「親しみを—・す」
㋒すぐれるようにする。まさらせる。
「待てと言ふに散らでしとまるものならば何を桜に思ひ—・さまし」〈古今・春下〉
[可能]ませる
[用法]ます・ふやす——「権力が増す」「人気が増す」「水かさが増す」のように、「増す」が「が」をともなう場合は、物の量・程度が多くなる意で用いる。◇「速度を増す」「明るさを増す」「人手を増す」と「増す」が「を」をとる場合、物の量・程度を多くする意で用いる。◇「ふやす」は「貯金をふやす」「文庫の本をふやす」のように「を」をとる用法だけで、物の数・量を多くする意に使う。◇類似の語の「ふえる」は、「町の人口がふえた」「体重が五キロふえた」と「が」をともない、具体的な物の数・量が多くなる意に用いる。</t>
        </is>
      </c>
      <c r="D7887" t="inlineStr">
        <is>
          <t>増す可能性；増すべし；増す毎</t>
        </is>
      </c>
      <c r="E7887" t="inlineStr">
        <is>
          <t>発展；得る；増加；上げる；広がる</t>
        </is>
      </c>
      <c r="F7887" t="inlineStr">
        <is>
          <t>増せば増す；一層増す；積み増す</t>
        </is>
      </c>
      <c r="H7887" t="n">
        <v>29</v>
      </c>
      <c r="I7887" t="inlineStr">
        <is>
          <t>われわれの願いは何であるか、個人の権力を増そうというのではないか。；その事件に対する彼女の説明は一層迫害の度を増さしめたのみであつた。；今後精神科をはじめとした医療機関の負担もさらに増すと見られている。；上部に翼を設置することで飛行時の横安定性を増すことが可能となる。；経験を増すために2003年春に彼はNFLヨーロッパのに派遣された。；出演するアーティストも回を増す毎に20〜40組以上に増加している。；すなわち人間は、いかに文明が進歩しても相対的には幸福量を増さない。；また音楽の展開に合わせて合唱の重みは徐々に増されていかねばならない。；しかし、意図していなかったコードの性質から危険性が増すこととなった。；例えば周りが青い物ばかりならば反射光によって環境光は青さが増す。；ペダルから足を離す方法に比べて安定度が増す、とする奏者も存在する。；燃料タンクは三十二個に増され、六七千キロは飛行出来るやうになりました。；然し金を持たずに街を歩くのは彼の憂鬱を増させるばかりであつた。；この要求が拒絶されたとき大国の間の緊張関係を著しく増すことになった。；平坦部は移動中に敵に姿を曝け出し被害を増す危険があったので却下された。；それ以上、かがやきを増さぬ光が示したものを、女貴族は唇に乗せた。；増さんが「大きなしくじり」と云ったのはそのときのことをさすらしい。；さらに実家への過重な仕送りや不意の妊娠が将来への不安を増すのだった。；これは建築の構造強度を増すだけでなく柱を減らす事にも貢献した。；背景が夜であったり特殊音が鳴ったりすると期待度がさらに増す。；受動喫煙により、危険性が増すとされる代表的な障害を以下に提示する。；またシリーズを重ねるごとに声が高くなり、発言内容にも冗長さが増す。；多くの州で同一日に投票を行うことにより自らの州の重要性を増すこともできる。；それは、金属を燃焼させると、その金属の質量が増すという現象である。；凧の安定度を増すために、尻尾と呼ばれる細長い紙を付けることがある。；しかし然したる実効力はなく、かえって東條批判を増すばかりであった。；将棋では取られた駒は相手の持ち駒となって相手の戦力を増すことになる。；また、深みでは光量が減少して暗くなるために水の青さに深みが増す。；バーゴインの軍隊はその周りで数を増すアメリカ軍のために既に孤立していた。</t>
        </is>
      </c>
      <c r="J7887">
        <f>HYPERLINK("https://www.weblio.jp/content/増す", "词义详情")</f>
        <v/>
      </c>
      <c r="K7887">
        <f>HYPERLINK("https://yourei.jp/増す", "查看例句")</f>
        <v/>
      </c>
    </row>
    <row r="7888">
      <c r="A7888" t="inlineStr">
        <is>
          <t>まず</t>
        </is>
      </c>
      <c r="B7888" t="inlineStr">
        <is>
          <t>成功</t>
        </is>
      </c>
      <c r="C7888" t="inlineStr">
        <is>
          <t>読み方：まず
［副］
１はじめに。最初に。「—下ごしらえをして、その後料理する」
２とりあえず。ともかく。何はともあれ。「これで—一安心だ」「—一休みしよう」
３ある程度の確信をもって判断や見通しを述べるときに用いる。おおよそ。多分。「この調子だと—大丈夫だろう」「—助かるまい」
４（下に否定的な表現を伴って）どうにも。いかにも。
「—心も得ぬことなれば」〈今昔・二八・七〉</t>
        </is>
      </c>
      <c r="D7888" t="inlineStr">
        <is>
          <t>まず第(3%)；まず間違いなく；まず間違いない；まず無い；まず驚い</t>
        </is>
      </c>
      <c r="E7888" t="inlineStr">
        <is>
          <t>まずは；真っ先に；取りあえず；何よりもまず；いの一番に</t>
        </is>
      </c>
      <c r="F7888" t="inlineStr">
        <is>
          <t>なによりもまず；読まず；沈まず；さきにまず；とにかくまず</t>
        </is>
      </c>
      <c r="G7888" t="inlineStr">
        <is>
          <t>まずは；まずまず；まずく；まずさ；まずしい</t>
        </is>
      </c>
      <c r="H7888" t="n">
        <v>29</v>
      </c>
      <c r="I7888" t="inlineStr">
        <is>
          <t>これも他地域ではまず目にすることはない地域変種で、方言現象である。；まず大陸反攻が非現実的であることが誰の目にも明らかになったことである。；まず文献を調査し、その後交霊会で観察した現象をテストしようと試みた。；これよりも高音を出すことは可能であるが、書かれることはまずない。；新聞の製作は、まず記者が取材を行い記事を書くところから始まる。；生きているうちにキリストにあって死んだ人々が、まず最初によみがえる。；ルールは至って簡単で、まず棒が競技場内に描かれた円の中に設置される。；それを受けてまずジェームズ・ゴスリンがC++の拡張言語を提出した。；まず王朝の名に用いられるサーサーンが何者なのかもはっきりしない。；ばねの設計上でまず重要となるのは、何の用途に使うかを明確にする点である。；まず施行されたのがトイレ付きで製造されたクハ111-2100番台。；まず、形容詞に属する語の数については、多い言語と少ない言語がある。；まず、救急患者の前に来たとき、痙攣が持続しているか否かを確認する。；まず平原の低いところに水が集まって河道が形成されるのが幼年期である。；まず県に属する県尉と路・州に属する巡検とが犯罪者の逮捕に当たる。；まして壁の建設は想像してもまず不可能という判断で思いも寄らなかった。；従ってまず、現地で停戦協定を実行して空気を緩和することが重要である。；可視光では前述の通り非常に暗い為に、輪が明瞭に撮影される事はまず無い。；まず「ミサ」という名称の由来を神学大全の中で次のように言っている。；周辺の状況を確認し、自身の安全をまず確保する必要がある。；まずそのchaosがあり、そこから万物が生成した、とされたのである。；鉄道は歴史的に見て、まずイギリスやヨーロッパで発展した。；まず最初に問題が起きたのは言語の違いだった。；記事を投稿する場合、まず投稿に利用したサーバにのみ記事が登録される。；まずパーソンズは行為を行為システムと捉えるところから、出発している。；作戦が策定された後、上級指揮官からまず各級指揮官に作戦内容が伝えられる。；英国の家庭では来客にまず紅茶を勧める事がよいマナーとされている。；この要因として、まず1995年に新土地法が施行されたことが挙げられる。；まず床に要求されるのは構造的な性能である。</t>
        </is>
      </c>
      <c r="J7888">
        <f>HYPERLINK("https://www.weblio.jp/content/まず", "词义详情")</f>
        <v/>
      </c>
      <c r="K7888">
        <f>HYPERLINK("https://yourei.jp/まず", "查看例句")</f>
        <v/>
      </c>
    </row>
    <row r="7889">
      <c r="A7889" t="inlineStr">
        <is>
          <t>麻酔</t>
        </is>
      </c>
      <c r="B7889" t="inlineStr">
        <is>
          <t>成功</t>
        </is>
      </c>
      <c r="C7889" t="inlineStr">
        <is>
          <t>読み方：ますい
一時的に神経機能を低下させて、痛みの感覚をはじめ知覚や意識を失わせること。外科手術の場合、また一般に痛みを除く目的で行われ、全身麻酔と局所麻酔とがある。麻酔薬のほか、冷却・鍼(はり)などの刺激も利用される。「—をかける」「—から醒(さ)める」</t>
        </is>
      </c>
      <c r="D7889" t="inlineStr">
        <is>
          <t>麻酔薬(4%)；麻酔作用(3%)；麻酔ガス(3%)；麻酔弾(2%)；麻酔なし(2%)</t>
        </is>
      </c>
      <c r="F7889" t="inlineStr">
        <is>
          <t>無麻酔；産科麻酔；麻酔室；エーテル麻酔；伝達麻酔</t>
        </is>
      </c>
      <c r="G7889" t="inlineStr">
        <is>
          <t>麻酔剤；麻酔科医；麻酔科；麻酔銃；麻酔医</t>
        </is>
      </c>
      <c r="H7889" t="n">
        <v>29</v>
      </c>
      <c r="I7889" t="inlineStr">
        <is>
          <t>その後ランボーはナイフの柄から針と糸を取り出し麻酔なしで腕を治療。；まだ導入麻酔もかけられていない彼は、三本のベルトで固定されていた。；その夜、すぐに麻酔をかけ、手術をする決心をしなければならなかった。；固定された左肩はまったく動かないが、麻酔のせいかあまり痛みはない。；実施する予定の手術方式や患者の状態に応じ、適切な麻酔方法を選択する。；はっきりした記録が残っているものでは世界最初の麻酔手術である。；麻酔はなかったが、顔に布を巻かれた彼女は痛がる様子を見せなかった。；小夜子は麻酔で眠ったまま、なにも知らずにその命を終えることになる。；そして和也も、麻酔をかけられたように意識が遠のいていくのを感じた。；麻酔で痛みが消えているため、声は低いが、言葉はしっかりしていた。；ボンベの手術は麻酔を一切使わず、しかも患者に痛みを与えないのが特徴。；しかしそれらは非常に経験的であるため必ず麻酔範囲の確認が必要となる。；麻酔科医でなくても医師であれば麻酔を行うことが法的に認められている。；また、おって指示があるまで麻酔ガスの注入を続けるように伝えるのよ。；いや眠っていたのではなくて、麻酔でもかけられたように眠らされていたの。；麻酔がかかっていることを理由にして、話を打ちきることはできなかった。；過去100年の間に、麻酔の研究および管理はより複雑になってきた。；麻酔をかけた の鶏が圧縮空気砲に装填され、 で正面から発射された。；翌日の再試合では、腰の痛みを訴えたことから、麻酔注射を打って登板。；すべりこむ際、痛みを覚えたが、麻酔の世話にならずに済んだ傷である。；これらの目的を達成させるためには、麻酔前投薬が必要となってくる。；それとも犯人が麻酔をかけ、あるいは絞め殺したのちに裸にしたのか。；三人とも抜いてこそいないものの、腰に大きめの麻酔短銃を吊っている。；麻酔科医の数が多かった理由は、牛の麻酔には多くの困難が伴うためである。；産むときは、麻酔をかけないというのも、二十五過ぎてはじめて知った。；「患者さんが歩くまでは麻酔管理の責任は終わらない」とも例えられる。；麻酔にかけられかすんでいたアリスの目が、ガラスのようにこわばった。；麻酔を打てばその場は楽だが、切れたときに苦しむことになるからだ。；麻酔が深く効いているのかどうかを、肉眼で判断するには限界がある。</t>
        </is>
      </c>
      <c r="J7889">
        <f>HYPERLINK("https://www.weblio.jp/content/麻酔", "词义详情")</f>
        <v/>
      </c>
      <c r="K7889">
        <f>HYPERLINK("https://yourei.jp/麻酔", "查看例句")</f>
        <v/>
      </c>
    </row>
    <row r="7890">
      <c r="A7890" t="inlineStr">
        <is>
          <t>まずい</t>
        </is>
      </c>
      <c r="B7890" t="inlineStr">
        <is>
          <t>成功</t>
        </is>
      </c>
      <c r="C7890" t="inlineStr">
        <is>
          <t>読み方：まずい
［形］［文］まづ・し［ク］
１味が悪い。うまくない。「冷めると料理が—・くなる」「こんな—・いものが食えるか」⇔うまい。
２（「拙い」とも書く）下手だ。つたない。「—・い絵」⇔うまい。
３醜い。みっともない。「—・い顔」
４ぐあいが悪い。不都合である。「話を聞かれると—・い」⇔うまい。
[派生]まずさ［名］</t>
        </is>
      </c>
      <c r="D7890" t="inlineStr">
        <is>
          <t>まずいこと(14%)；まずいもの(3%)；まずいだろ(2%)；まずいでしょ；まずいコーヒー</t>
        </is>
      </c>
      <c r="E7890" t="inlineStr">
        <is>
          <t>悪い；ひどい；下手；厭；不良</t>
        </is>
      </c>
      <c r="F7890" t="inlineStr">
        <is>
          <t>膝まずい；何かまずい；ちゃまずい；ちょっとまずい；非常にまずい</t>
        </is>
      </c>
      <c r="G7890" t="inlineStr">
        <is>
          <t>まずい棒；まずいッ</t>
        </is>
      </c>
      <c r="H7890" t="n">
        <v>29</v>
      </c>
      <c r="I7890" t="inlineStr">
        <is>
          <t>わたしにはどこがまずいのか、どう修正したらよいのかすぐにわかった。；普段は入れていない電源を入れておいたのがまずかったのかもしれない。；書物はうまく書かれているか、まずく書かれているかのいずれかである。；腕輪通信器を使っていることを周囲の人々に気づかれるのはまずかった。；まずいろいろと食べてみたがこんなまずいものはなかったということだ。；かれは茶を飲みながら二三枚写生したまずい水彩画を出して友に示した。；ハース氏がその掲示文を読んで文章のまずい所を指摘して教えてくれた。；まず耳をかして、その後で約束をするなんてまずいことをしたものだね。；あんたと俺のあいだだから教えとくがね、こいつはまずいことになるぜ。；いつしか、人はおれがそばにいるだけで酒がまずくなると言いはじめた。；わたしは、きみの極めてまずい所にき合わせたとは思っていないのだがね。；わしは考えるんじゃが、ビットン夫人をああしておいてはまずくないか?；わたしがあの男のことをなにか知っていると本人に知られてはまずいのです。；どれもが、つけていないとマズイと思って後からとってつけたようだ。；自分がしたかどうか分からないが、こんな場所を人に見られるのはマズイ。；警察のためにまずいばかりでなく、一般民衆のためにもよくありません。；あまりにまずかったんでしょうね、すぐに口を離したからよかったけど。；死体の身元をすぐには知られないように、服を脱がせたのもまずかった。；始めのうちはうまいのかまずいのかそんな事はまるで問題にならなかった。；夫との間がいよいよまずくなつて、結局、宣戦布告をしたのであろうか?；ソロはこんなことをして貴重な時間をつぶしてはまずいと気がついた。；それにしても、僕は、ずいぶんまずいことを言ってしまったように思う。；なるほど当時の佐藤栄作氏はその立場上まずいことも相当あったであろう。；だがそれがまずかった、二人はそういうきっかけを待っていたらしい。；でも私たちはお互いに姿を見合ってまずいいと思ってしまったんだわ。；僕は日本へ来て、料理がまずいなどと思った事は一度もありません。；流石にこのままではまずいと思った2人はホテルを予約することにした。；傷をつけられるのも、言いつけられるのも、どちらにしてもまずかった。；でも、なかのよさには問題ないにしろ、これはまずい組みあわせでした。</t>
        </is>
      </c>
      <c r="J7890">
        <f>HYPERLINK("https://www.weblio.jp/content/まずい", "词义详情")</f>
        <v/>
      </c>
      <c r="K7890">
        <f>HYPERLINK("https://yourei.jp/まずい", "查看例句")</f>
        <v/>
      </c>
    </row>
    <row r="7891">
      <c r="A7891" t="inlineStr">
        <is>
          <t>マスコミ</t>
        </is>
      </c>
      <c r="B7891" t="inlineStr">
        <is>
          <t>成功</t>
        </is>
      </c>
      <c r="C7891" t="inlineStr">
        <is>
          <t>「マスコミュニケーション」の略。</t>
        </is>
      </c>
      <c r="D7891" t="inlineStr">
        <is>
          <t>マスコミ関係(2%)；マスコミ各社；マスコミ報道；マスコミ等；マスコミ向け</t>
        </is>
      </c>
      <c r="E7891" t="inlineStr">
        <is>
          <t>マスメディア；報道陣；放送局；報道関係者；放送媒体</t>
        </is>
      </c>
      <c r="F7891" t="inlineStr">
        <is>
          <t>大手マスコミ；各マスコミ；芸能マスコミ；地元マスコミ；マスコミ取材</t>
        </is>
      </c>
      <c r="G7891" t="inlineStr">
        <is>
          <t>マスコミ批判；マスコミ四媒体；マスコミ不祥事；マスコミ不信；マスコミドラゴンズ</t>
        </is>
      </c>
      <c r="H7891" t="n">
        <v>29</v>
      </c>
      <c r="I7891" t="inlineStr">
        <is>
          <t>当時は世間で名の知れたタレントや文化人の出場もマスコミの話題となった。；ビートルズ解散直後の二人の確執はファンやマスコミにも知られていた。；後者は一時マスコミにて注目されたが、ロタウイルスよりも症状が軽い。；また、釈放された後も積極的にマスコミ等でドイツの犯罪を批判し続けた。；車を追跡していたマスコミたちと通りすがりの医師が第一発見者となった。；その時点ですでにマラソンへの挑戦がマスコミでは期待されていた。；これは当時マスコミがその写真しか得られなかったためである。；地雷原を歩く姿をマスコミに撮影させ、地雷問題への世界の関心を集めた。；この対策はマスコミで取り上げられたこともあって、全国から意見が寄せられた。；現在でも日本のマスコミはこの表記を用いて報道している。；この事件でポランスキーは、マスコミから根拠のない誹謗中傷を受けた。；このCMで各マスコミ媒体に登場する機会が増え、雑誌やテレビにも出演。；マスコミなどはセナがシーズンを圧倒するのではないかと予想する者までいた。；マスコミに追跡されないよう王立海軍の協力を得て極秘裏に行われた。；マスコミ宣伝を重視し、会社規模の割には大きな広告宣伝費をかけてきた。；テレビなどのメディア・マスコミ関係の批評記事も掲載している。；国内のトーナメント試合に欠場して、マスコミの批判を浴びたこともある。；マスコミに取り上げられることもこの頃を境に急激に減っていった。；全盛期の写真週刊誌は日本のマスコミの記事作成手法に大きな影響を与えた。；マスコミから単独での写真撮影を依頼されたことについての相談の電話だった。；戦場マスコミ報道の出現は空前のレベルで人々の注目を集めた。；マスコミに追いまわされないよう王立海軍の協力を得て極秘裏に行われた。；この経営手法を当時のマスコミが揶揄して物品税の滞納王などと報道された。；マスコミを使って選手にメッセージを伝えるのはやめた。；放送ブース前には机などが設けられた放送関係も使用できるマスコミ用の記者席が用意されている。；テレビ・ラジオなどマスコミによるチャリティー活動も行われている。；これに付け込んだマスコミは、サクラスターオーの不安説を展開していた。；マスコミ技術としてのテレビは、1950年代に急速に拡大していた。；本作の開発は遅れに遅れ、当初マスコミリリースされたものとは全く異なる内容で発売されるに至った。</t>
        </is>
      </c>
      <c r="J7891">
        <f>HYPERLINK("https://www.weblio.jp/content/マスコミ", "词义详情")</f>
        <v/>
      </c>
      <c r="K7891">
        <f>HYPERLINK("https://yourei.jp/マスコミ", "查看例句")</f>
        <v/>
      </c>
    </row>
    <row r="7892">
      <c r="A7892" t="inlineStr">
        <is>
          <t>貧しい</t>
        </is>
      </c>
      <c r="B7892" t="inlineStr">
        <is>
          <t>成功</t>
        </is>
      </c>
      <c r="C7892" t="inlineStr">
        <is>
          <t>読み方：まずしい
［形］［文］まづ・し［シク］
１財産や金銭がとぼしく、生活が苦しい。貧乏である。「暮らしが—・い」「—・い家に生まれる」
２量・質ともに劣っている。粗末である。貧弱である。乏しい。「—・い食卓」「想像力の—・い人」「—・い経験」
３満たされていない。「心の—・い人」
[派生]まずしげ［形動］まずしさ［名］</t>
        </is>
      </c>
      <c r="D7892" t="inlineStr">
        <is>
          <t>貧しい人々(7%)；貧しい生活(4%)；貧しい家庭(4%)；貧しい者(4%)；貧しい人たち(2%)</t>
        </is>
      </c>
      <c r="E7892" t="inlineStr">
        <is>
          <t>低い；不足；薄い；足りない；貧乏</t>
        </is>
      </c>
      <c r="F7892" t="inlineStr">
        <is>
          <t>貧しい百姓；貧しい男；非常に貧しい；貧しい労働者；貧しい農村</t>
        </is>
      </c>
      <c r="G7892" t="inlineStr">
        <is>
          <t>貧しい富豪たち</t>
        </is>
      </c>
      <c r="H7892" t="n">
        <v>29</v>
      </c>
      <c r="I7892" t="inlineStr">
        <is>
          <t>それを理解しようとしないのも、基本的にはこの心の貧しさからだろう。；一家は貧しかったが、両親は弟をなんとか高校に入れたいと望んでいた。；しかし、奴隷は大変貧しく生きていくだけのものしか与えられなかった。；それでも彼らは貧しくとも日々の生活の中で幸せを得て暮らしていた。；一方で貧しくて財産は全くなく、食事にも事を欠くほどであったという。；李胤は内外の職を歴任したが、家は貧しく子供の薬を買う金もなかった。；そのような心の貧しさがあっては、どんな学問をしても何もならない。；体の弱い子だけでなく、貧しくて育てられぬ子供も捨てていたようである。；彼女も、若い頃は、しばしば貧しさを口にしたが、これは大違いである。；両親はポルトガル中東部出身で、少女期は貧しい生活を余儀なくされた。；幼いころの貧しさが、経済的な豊かさを求める現在の性格を形成した。；子どもの頃過ごした村では、人びとはここよりずっと貧しかったからだ。；家族からはレース活動を反対され援助されず、貧しい下積み時代を送る。；そしてホアはどんどん豊かになっていき、民衆は貧しくなってきている。；そのため一家は貧しかったが、それでも娘と息子は父親を深く愛していた。；かれの足音が表へ消えると私は静かに貧しかった時代の自分を考えた。；貧しい農民たちが間引きを行っていたことが人口抑制の原因とみられる。；そこでこれよりいよいよ貧しくなつて更に荒い心を起して攻めて來ます。；世間へ出れば、ここより貧しくても、ここより自由な日があるのである。；しかし、清兵衛は自らの身分の低さと貧しさを理由にその申し出を断る。；村は貧しかったが、結束が強く独立心旺盛で集団化に応じていなかった。；この貧しき寡婦のような真実な心をもてば、神を見ることができるのだ。；貧しさの中で成長し、数人の支援者によって教育を受けることができた。；昔、あるところに貧しい敬虔な娘がおり、母親とふたりで暮らしていた。；フィリピンの豊かさと貧しさ、そこにいる日本人のいい奴、悪い奴をね。；占いをする大事な所だというのに、貧しくて十分な修繕ができなかった。；当時、貧乏人が貧しさから抜けだすには二つの道しかありませんでした。；ふと自分の余生の虚無や精神的な貧しさを感じない日がなかったろうか。；更に貧しい患者の為の無料の施療院も併設して人々の尊敬をも集めていた。</t>
        </is>
      </c>
      <c r="J7892">
        <f>HYPERLINK("https://www.weblio.jp/content/貧しい", "词义详情")</f>
        <v/>
      </c>
      <c r="K7892">
        <f>HYPERLINK("https://yourei.jp/貧しい", "查看例句")</f>
        <v/>
      </c>
    </row>
    <row r="7893">
      <c r="A7893" t="inlineStr">
        <is>
          <t>益々</t>
        </is>
      </c>
      <c r="B7893" t="inlineStr">
        <is>
          <t>成功</t>
        </is>
      </c>
      <c r="C7893" t="inlineStr">
        <is>
          <t>読み方：ますます
［副］《動詞「ま（増）す」を重ねた語》程度が一層はなはだしくなるさま。いよいよ。「風雨は—激しくなる」「老いて—盛んだ」</t>
        </is>
      </c>
      <c r="D7893" t="inlineStr">
        <is>
          <t>益々深く；益々強く；益々多く；益々大きく；益々激しく</t>
        </is>
      </c>
      <c r="E7893" t="inlineStr">
        <is>
          <t>加えて；次第に；ますます；弥；愈々</t>
        </is>
      </c>
      <c r="F7893" t="inlineStr">
        <is>
          <t>愈々益々；益々美しく；益々御；益々固く；益々はげしく</t>
        </is>
      </c>
      <c r="H7893" t="n">
        <v>29</v>
      </c>
      <c r="I7893" t="inlineStr">
        <is>
          <t>雪は益々ひどくなり、真暗なこの田舎の街には人は一人も通っていない。；人々の惨状は目も当てられず、益々ひどいものとなって行ったのである。；だまって聞いてなはるから益々図に乗ってひどい事云うのやあらへんか。；波は益々高くなったようであったけれど、出ている船の数は多かった。；女はそれに勢を得たのか、益々せッせと無言でキャラメルを押しこんだ。；どっかで見た様な、と思うと、その人形が、益々誰やらに似て来るのだ。；ここに於て候補者に立つものは、金を散ずる必要が益々多くなって来た。；のみならず、見てゐるうちに益々わからなくなつて来るやうな顔なのである。；それに今は朝鮮という特殊な社会が彼を益々混迷にぶち込んだのである。；それを白い皿に載せて窓際に置いてさてよく見ると益々大変である。；そのために元々陰鬱な性格が益々暗くひねくれて無口となり動作が重い。；浮び出ようとすればするほど、益々流の中に沈んでゆくような気がします。；彼が黙っていればいるほど、兼子の眼は益々彼の内心へ向けられていった。；ただ自分の今の生活を愛し尊重する氣持が彼には益々深まつて行つた。；私が対局室へ戻つたとき、両棋士面色益々赤く、全く態度が変つてゐる。；そして、そう思って見れば見る程、その事実は、益々ハッキリして来る。；老人が好きなくらいだから、現今の青年は益々これを好むべきはずである。；哲学や文学への関心が高揚しつつある傾向は、今後益々著しくなるだろう。；重明にもっと力になってやらなかった事が、益々後悔されるのだった。；我々は知識の進むと共に益々自由の人となることができる。；彼の才発はその家の商売を益々盛んにしたので、喜兵衞は大変喜んだ。；むしろ多々益々よそへとられてもかまわぬという気持にさえなっている。；父はひどく落胆しきって、益々一人で憂欝そうに考え込むようになった。；その慌てかたは益々つよくなっていって何かじッとしていられなくなってきた。；守君まで誘拐されたとすると、事態は益々切迫したと考えなければならん。；その内に彼の武勇の名は、益々多くの敵味方を部落の中につくって行った。；そして私は貧乏であることによって益々人間的になり得るらしく信じている。；而かも学問の種類は文明の進歩発達と共に益々その数が増加して行く。；だから益々人気がなかつたが、私だけはだんだんひかれたのである。</t>
        </is>
      </c>
      <c r="J7893">
        <f>HYPERLINK("https://www.weblio.jp/content/益々", "词义详情")</f>
        <v/>
      </c>
      <c r="K7893">
        <f>HYPERLINK("https://yourei.jp/益々", "查看例句")</f>
        <v/>
      </c>
    </row>
    <row r="7894">
      <c r="A7894" t="inlineStr">
        <is>
          <t>混ぜる/交ぜる</t>
        </is>
      </c>
      <c r="B7894" t="inlineStr">
        <is>
          <t>无结果</t>
        </is>
      </c>
      <c r="H7894" t="n">
        <v>0</v>
      </c>
      <c r="J7894">
        <f>HYPERLINK("https://www.weblio.jp/content/混ぜる/交ぜる", "词义详情")</f>
        <v/>
      </c>
      <c r="K7894">
        <f>HYPERLINK("https://yourei.jp/混ぜる/交ぜる", "查看例句")</f>
        <v/>
      </c>
    </row>
    <row r="7895">
      <c r="A7895" t="inlineStr">
        <is>
          <t>また</t>
        </is>
      </c>
      <c r="B7895" t="inlineStr">
        <is>
          <t>成功</t>
        </is>
      </c>
      <c r="C7895" t="inlineStr">
        <is>
          <t>読み方：また
［副］
１前にあったことがもう一度繰り返されるさま。ふたたび。「あした—来ます」「いつか—お話を聞かせてください」「—失敗した」
２ほかのものと同じ状態にあるさま。ひとしく。同じく。「息子も—父親と同様、学者だ」
３そのものと別であるさま。「忙しいから—にしてくれ」「—の機会」
４さらに別の事柄がつけ加わるさま。その上に。「秋は—収穫の季節でもある」
５驚きや疑問の気持ちを表す。まったく。それにしても。「—えらい失敗をしたものだ」「—なんときれいな花だ」
［接］
１事柄を並列・列挙するときに用いる。ならびに。「彼は、英語もドイツ語も、—フランス語も話せる」
２さらに別の事柄をつけ加えるときに用いる。その上。「おもしろいだけでなく、—役に立つ」「医者であり、—文学者でもある」
３並列・列挙した事柄のうち、どれを選択してもいいときに用いる。あるいは。または。「行ってもいいし、—行かなくてもいい」
［接頭］名詞に付いて、間接である意を表す。「—聞き」「—貸し」</t>
        </is>
      </c>
      <c r="D7895" t="inlineStr">
        <is>
          <t>また別；また同日；またべつ；また格別；また時には</t>
        </is>
      </c>
      <c r="E7895" t="inlineStr">
        <is>
          <t>そして；さらに；あるいは；再び；または</t>
        </is>
      </c>
      <c r="F7895" t="inlineStr">
        <is>
          <t>なんでまた；またあるとき；何でまた；さてはまた；じきにまた</t>
        </is>
      </c>
      <c r="G7895" t="inlineStr">
        <is>
          <t>またもや；またがる；またし；またも；またい</t>
        </is>
      </c>
      <c r="H7895" t="n">
        <v>29</v>
      </c>
      <c r="I7895" t="inlineStr">
        <is>
          <t>また、安彦とは以前は彼のスタジオによく遊びに行っていた仲でもある。；またこの事件の直後の6億年前には最後の大規模な陸地形成が起こった。；またこの年の初夏、初めてフランスを中心とするヨーロッパに旅行した。；また女優業からは一線を退き、映画やドラマでの復帰はないとしている。；またタイに渡った山田長政のように、その国で重用される例も見られた。；また、低価格で信頼性が高いことから医療機器分野でも多く使用された。；またTVアニメ版でも西武鉄道の配色に似た黄色の車両が登場している。；また、DMAコントローラーに従来よりも高速なものが使用されていた。；また、印刷された文字にマージナルゾーンが見られるなどの特徴がある。；また、プライバシーの問題に強い意識を抱いていることでも知られている。；また、ゲームを行うごとに新規カードが払い出されるようになっている。；また、法令で規定されている場面以外では鳴らしてはならないとされている。；また、セットをカメラの反対側から撮るようなこともなかったという。；また、海水魚は塩湖に生息する魚も含めて塩水魚と呼ばれることもある。；またそれが残っている場合でも、今生きている素材のように扱うことは出来ない。；また敵を無視して味方同士を対戦させることも可能である。；また、宗教・民族の少数者を差別した記事を載せた場合の罰則もある。；また、内容語にはたくさんの語が属するが、機能語は数が限られている。；また、日本国家の形成に影響を与えたとされている宗教である。；専門料理は技術であり、また特に高度なものは芸術の一種と捉えられることもある。；また世界的に関心の高い分野への受賞など社会的なメッセージともとれる例がある。；また友人の画家の作品を交換や購入によって相当数持っていた。；また、公演旅行はプレスリーの評判をテネシー中に広げることとなった。；また、彗星が地球へ衝突するという状況を描いた作品も多数存在する。；また震央距離と震度、マグニチュードの間には以下の関係があるとした。；また、サブルーチンの定義部分だけを先に記述する方法で解決した。；またこの頃から一般的に音楽が芸術として見られるようになる。；また、大気圏外にあって生存してはいても地球由来の生物はこれを含まない。；また、アマチュア的な生物研究を指すためにこの言葉が用いられることもある。</t>
        </is>
      </c>
      <c r="J7895">
        <f>HYPERLINK("https://www.weblio.jp/content/また", "词义详情")</f>
        <v/>
      </c>
      <c r="K7895">
        <f>HYPERLINK("https://yourei.jp/また", "查看例句")</f>
        <v/>
      </c>
    </row>
    <row r="7896">
      <c r="A7896" t="inlineStr">
        <is>
          <t>股</t>
        </is>
      </c>
      <c r="B7896" t="inlineStr">
        <is>
          <t>成功</t>
        </is>
      </c>
      <c r="C7896" t="inlineStr">
        <is>
          <t>読み方：こ
［常用漢字］　［音］コ（漢）　［訓］またもも
１もも。また。「股間／四股」
２重要な臣下。「股肱(ここう)」
［難読］蟹股(がにまた)・股座(またぐら)</t>
        </is>
      </c>
      <c r="D7896" t="inlineStr">
        <is>
          <t>股立ち(2%)；股倉；股裂き；股甲板；股肉</t>
        </is>
      </c>
      <c r="E7896" t="inlineStr">
        <is>
          <t>あれ；腿；付け根；太腿；太もも</t>
        </is>
      </c>
      <c r="F7896" t="inlineStr">
        <is>
          <t>洲股；三つ股；三股；五股；割股</t>
        </is>
      </c>
      <c r="G7896" t="inlineStr">
        <is>
          <t>股引；股関節；股肱；股份有限公司；股旅</t>
        </is>
      </c>
      <c r="H7896" t="n">
        <v>29</v>
      </c>
      <c r="I7896" t="inlineStr">
        <is>
          <t>左右の腹甲板の継ぎ目の長さよりも、左右の股甲板の継ぎ目の方が長い。；起きないうちはわからなかったが、起きて歩いて見ると股根が非常に痛む。；もう一本は石の上ではねかえって、かれの股のあいだを抜けていった。；痩せた女の股ほどもある腕をもっている体格の、腕力の強い母親だった。；彼は指の股に挟んで居た専門器械を以て電光の早さの中に鎖を切断した。；股のあいだのぬるぬるした感覚、彼の精液を体のなかにおさめた感覚を。；陰は男女に通じ用いられた語で、今ならば股倉と言うくらいの意味であろう。；左右の股甲板の継ぎ目の長さは左右の喉甲板の継ぎ目の長さより短い。；浅田は掃除し終えた竹箒を股に挟んで、のんびりした顔をしていたのだ。；一週間ほど湯に入って頭を洗わんので指の股が油でニチャニチャする。；時には脚が膝のところで切れており、時には股のつけ根から切れていた。；あぐらをかいた両股の間へさし交しに手を入れ体をゆすぶっている者。；奈々子の腕といわず股といわず無数の注射の跡で肉が堅くなっているのだ。；そして帽子をふりあげて、力まかせに自分の股をもう一度なぐりつけた。；生れて始めて凹んですき間の出来た股を 湯のなかで自分は愛撫した。；左右の肩甲板の継ぎ目の長さは、左右の股甲板の継ぎ目の長さよりも長い。；股の間に男のあれがあるので、それが邪魔になるのでしょうか。；男は自分の股の間あたりにカメラを置いているようだった。；それ以外では本名で、日米を股にかけ様々な音楽活動を展開している。；そこでふと俺は、黒猫が俺の股のあたりを見ていることに気が付いた。；目の前で姫が股を開いている、 この信じられないような光景。；礼は両方の膝にもおできが出来ていて、膝と股が痛いとて可哀そうである。；回転時に脚を相手の股に入れるなどして回転を促すことが多い。；というよりも、木の股へおき忘れたのは、もう半年も前のことだ。；この時期は日本に滞在しつつCMLLとを股に掛けて活躍した。；彼らは、自分の同胞を、股の下で生活させ、乞食をさせ続けて来たからだ。；背の高さが二米突ぐらいあって左右の腕が日本人の股とおんなじ大きさをしていた。；両股かけるような真似は、そぶりにも見せないのが身のためだぞ!；いずれも必要以上に股を開き、男たちは真剣な表情でペダルを漕いでいた。</t>
        </is>
      </c>
      <c r="J7896">
        <f>HYPERLINK("https://www.weblio.jp/content/股", "词义详情")</f>
        <v/>
      </c>
      <c r="K7896">
        <f>HYPERLINK("https://yourei.jp/股", "查看例句")</f>
        <v/>
      </c>
    </row>
    <row r="7897">
      <c r="A7897" t="inlineStr">
        <is>
          <t>まだ</t>
        </is>
      </c>
      <c r="B7897" t="inlineStr">
        <is>
          <t>成功</t>
        </is>
      </c>
      <c r="C7897" t="inlineStr">
        <is>
          <t>読み方：まだ
オマーンの飛び地。アラビア海に面し、周囲をアラブ首長国連邦に囲まれる。フジャイラの北約20キロメートルに位置し、この飛び地の中にはさらにアラブ首長国連邦の飛び地がある。</t>
        </is>
      </c>
      <c r="D7897" t="inlineStr">
        <is>
          <t>まだ生き；まだ若い；まだ少し；まだ早い；まだわから</t>
        </is>
      </c>
      <c r="E7897" t="inlineStr">
        <is>
          <t>未；全然；未だ；まだまだ；いまだ</t>
        </is>
      </c>
      <c r="F7897" t="inlineStr">
        <is>
          <t>まだ起き；まだ寝；まだ新しい；まだかなり；まだそれほど</t>
        </is>
      </c>
      <c r="G7897" t="inlineStr">
        <is>
          <t>まだしも；まだら；まだら模様；まだ生きてる；まだるっこし</t>
        </is>
      </c>
      <c r="H7897" t="n">
        <v>29</v>
      </c>
      <c r="I7897" t="inlineStr">
        <is>
          <t>まだ正式公開されていない上記以外の環境やカーネル版もいくつかある。；まだその時には彼女がモーリス・ルブランの妹とは知らなかったという。；なお、世界にはまだ読み方が分かっていない文字がいくつも残っている。；当時高川はまだ実績がなく、期待する者はほとんどなかったといわれる。；その後も何度か製作再開が発表されたが、まだ実現には至っていない。；ただし、この時点でもまだ日本指導者の国際裁判には同意していなかった。；ただしとはまだアメリカがイギリスの植民地だった頃のことである。；ナノスケールの部品の操作や配置が必要な用途はまだ研究段階である。；ただ、まだ改正工事や追加工事などがあり、工廠で多くの工事を行った。；しかしながらそれが具体的にどのような関係にあるのかはまだ明らかではない。；ヒエログリフがいつ頃使われ始めたかについてはまだ解明されていない。；原作に超サイヤ人がまだ登場していなかった為、その様な描写になった。；例外規定適用で最高出塁率打者と公式に認定された例はまだ出ていない。；まだ無数の未発見の矮小銀河が存在し、今も頻繁に新しく発見されている。；どのサイトもまだ市場の優位性も批判的なサポートも得ることができていない。；しかしそのようなプレート活動があった証拠はまだ確認されていない。；しかしこのような島の存在の理由はまだよく分かっていない。；ただし当時の花火はまだ真円には開かず、また入りも単色に限られていた。；この構想は、まだ正式な概念研究を行う段階には到達していない。；しかし当時の北多摩地域はまだ人口も少なく、経営状態は良くなかった。；長野県では、まだ警察が動員されていないと思われていたためである。；パリに到着したが、このときはまだこの地に居を構えるか迷っていた。；キラは無事脱出していた友人達と再会するが、戦闘はまだ続いていた。；今日の人口の大部分はあの当時子どもだったか、まだ生まれてもいませんでした。；マンデラの解放は当時まだ国際的な重大事とはなっていなかった。；この時点ではまだあまり注目されていなかったようである。；原作小説がまだ連載中であった頃に制作されたため、結末が大幅に異なる。；この時はアメリカ側は証拠となる空中写真をまだ公開していない。；この時点ではまだ声優個人としての日本俳優連合への加盟はできない。</t>
        </is>
      </c>
      <c r="J7897">
        <f>HYPERLINK("https://www.weblio.jp/content/まだ", "词义详情")</f>
        <v/>
      </c>
      <c r="K7897">
        <f>HYPERLINK("https://yourei.jp/まだ", "查看例句")</f>
        <v/>
      </c>
    </row>
    <row r="7898">
      <c r="A7898" t="inlineStr">
        <is>
          <t>跨る</t>
        </is>
      </c>
      <c r="B7898" t="inlineStr">
        <is>
          <t>成功</t>
        </is>
      </c>
      <c r="D7898" t="inlineStr">
        <is>
          <t>跨るメンフィス大都市圏；跨るチャタヌーガ大都市圏；跨るパデューカ小都市圏；跨るレバノン小都市圏；跨るミズーリ・ラインランドと呼ば</t>
        </is>
      </c>
      <c r="E7898" t="inlineStr">
        <is>
          <t>分布；及ぶ；乗る；わたる；跨ぐ</t>
        </is>
      </c>
      <c r="H7898" t="n">
        <v>29</v>
      </c>
      <c r="I7898" t="inlineStr">
        <is>
          <t>以下では複数の言語に跨って広く用いられている詩型の一部を記述する。；歴史的に跨座式より古く、商業的に成功したのも懸垂式の方が先である。；見ていると、階下の窓から何人もの騎士が飛び出してきて、竜に跨った。；彼は店の前に置いてある古い自転車に跨り、どこかへ出かけていった。；主な競合相手はドイツで設計された跨座式のALWEGシステムである。；彼女のアパートの方へ駆け戻り、倒れている自転車を起こして跨がる。；プラスミドは、複数に跨ってこれらの機能クラスの属することができる。；研究結果として懸垂式と一緒にまとめられたものが、日本跨座式である。；そしてこれらの女の神官達は祭礼の時などには皆馬に跨ったのである。；彼れはそれを物ともせずに、しつかりした歩き方で堤の上を大跨に歩いた。；だが僕にはある欠点があってそれらの背に跨ることができないのだ。；父は三メートルほど上の天井の梁の一つに跨っている彼を見つけた。；以後に跨座式を採用して開業した路線はすべてこの方式である。；跨がっていても相手の足のほうを向いて抑え込む場合は崩上四方固となる。；木馬へ跨がった老人が妖精どもを従えて、こっちへ走って来るのである。；彼は灰色の馬にうち跨がり、頬に鬚なく、ばら色の顔をしておりました。；その後の東跨院は教会の主な建築物で、西跨院は住居となっている。；酒津の中央部を西南方向へ大きく跨る形となり、多くの土地が水没した。；私が自分のつもりを母に話してしまった時分には、一同はもう馬に跨っていた。；ここまでの道中で、クリスとは彼が跨っている馬のことだとわかった。；ただし、過去に懸垂式にも跨座式にも分類できないものも存在した。；今度の事件は二か国に跨っていて、警察としても非常にやりにくいわけだ。；マレー郡には21の湖があり、そのうち3つは隣接する郡に跨っている。；一人の金髪の男の子が、才人の上に跨って、じっと顔を覗き込んでいる。；で一里余り進むと向うの方から非常に強そうな馬に跨った奴が三人やって参りました。；そうして馬に跨ったまま、その森の方へいつまでも目を遣っていた。；ワセカ郡には21の湖があり、そのうち3つは隣接する郡に跨っている。；烏桓軍は総崩れとなったが、白馬に跨がったその男は逃げようとしない。；階級を跨って作成された公共心は、ナチズムの重要なアピールとなった。</t>
        </is>
      </c>
      <c r="J7898">
        <f>HYPERLINK("https://www.weblio.jp/content/跨る", "词义详情")</f>
        <v/>
      </c>
      <c r="K7898">
        <f>HYPERLINK("https://yourei.jp/跨る", "查看例句")</f>
        <v/>
      </c>
    </row>
    <row r="7899">
      <c r="A7899" t="inlineStr">
        <is>
          <t>跨ぐ</t>
        </is>
      </c>
      <c r="B7899" t="inlineStr">
        <is>
          <t>成功</t>
        </is>
      </c>
      <c r="C7899" t="inlineStr">
        <is>
          <t>読み方：またぐ
［動ガ五（四）］
１足を開いて物の上を越える。「水たまりを—・ぐ」
２かけ渡す。またがる。「谷を—・ぐつり橋」
[可能]またげる
［動ガ下二］「またげる」の文語形。</t>
        </is>
      </c>
      <c r="D7899" t="inlineStr">
        <is>
          <t>跨ぐ形で設置；跨ぐ形で立体</t>
        </is>
      </c>
      <c r="E7899" t="inlineStr">
        <is>
          <t>跨る；跨がる；股がる</t>
        </is>
      </c>
      <c r="H7899" t="n">
        <v>29</v>
      </c>
      <c r="I7899" t="inlineStr">
        <is>
          <t>時を跨ぐことのできない僕には、時間とは今のこの瞬間がすべてだからだ。；この駅を跨いで運転される列車は少ないが一日数本が設定されている。；そして、軌道を跨ぎ、軌道面に作られたホームまでの階段が施工された。；府中市の北東端に位置し、敷地の北側は市境を越えて小金井市に跨がる。；他の区間と跨いで乗車する際は特急料金は特例区間外のみで計算される。；宿と宿とが、二階の縁から縁へ跨ぎ越えられるほどに建て詰んでいる。；逆に跨ぐのに成功すると、翌年の成功が保障されると信じられている。；そして城門が開かれたときには、王子が最初にこれを跨いだ人でした。；そこから降りてきた学生風の男が、分離帯を跨いでこちらに向かってくる。；当シリーズ内でのみ作品を跨いで登場するオリジナルの登場人物も多数存在する。；上記の通り他社線を跨ぐ場合でも首都圏電鉄のような通算運賃ではない。；基本一話完結のストーリーだが、たまに回を跨ぐエピソードも存在する。；地区によっては川を跨ぐ橋の上に飾り付けを行っているところもある。；足許の瓦礫の山を跨いで通路に入り、二歩目のところでしゃがみこんだ。；そこならば距離は最短、道路を一跨ぎだから目撃者の可能性もすくない。；県境を跨いで市街地が連続し、一体化した人口集中地区を形成している。；右手の方の窓を開けて跨ぐと、外の小さいバルコニーに出られるのだといふ。；その為、乗客の利便性を考慮して西荻窪駅を跨いでの乗車が可能である。；前作までとは異なり二作を跨ぐ壮大な物語が展開されるのが特徴。；本作では一部を除くほとんどのワールドを時を跨いでから二度訪れることになる。；それは自由落下で四階分の距離を跨ぎ、充分な速度でもって僕の手に。；クロスオーバー・イベントのような複数の作品を跨ぐ内容ではない。；「橋爪君、しっかりせんか」と僕は、塀の崩れた箇所を跨いで外に出た。；駅舎からホームへの移動用に、1番線を跨ぐ跨線橋が設置されている。；そしておれたちを踏んづけねえようにヒラリと跨いでいくじゃねえか。；道を妨げて外にせん方もなければ、ついにこれを跨ぎて家に帰りたり。；橋が外界を隔てていた堀を跨ぐ前に、國子の目は広場に飛び込んでいた。；例年、年を跨いで決勝が行われていたが第8回は2016年中に行われた。；跨いだ方は、そのまま何事もなかったかのように、立ち去って行った。</t>
        </is>
      </c>
      <c r="J7899">
        <f>HYPERLINK("https://www.weblio.jp/content/跨ぐ", "词义详情")</f>
        <v/>
      </c>
      <c r="K7899">
        <f>HYPERLINK("https://yourei.jp/跨ぐ", "查看例句")</f>
        <v/>
      </c>
    </row>
    <row r="7900">
      <c r="A7900" t="inlineStr">
        <is>
          <t>瞬く</t>
        </is>
      </c>
      <c r="B7900" t="inlineStr">
        <is>
          <t>成功</t>
        </is>
      </c>
      <c r="C7900" t="inlineStr">
        <is>
          <t>読み方：しばたたく
［動カ五（四）］《「しばだたく」とも》しきりにまばたきをする。目をぱちぱちさせる。「煙がしみて目を—・く」</t>
        </is>
      </c>
      <c r="D7900" t="inlineStr">
        <is>
          <t>瞬く間(70%)</t>
        </is>
      </c>
      <c r="E7900" t="inlineStr">
        <is>
          <t>光る；輝く；輝いている；瞬き；きらめく</t>
        </is>
      </c>
      <c r="F7900" t="inlineStr">
        <is>
          <t>チカチカと瞬く；ひとつ瞬く；きらきらと瞬く</t>
        </is>
      </c>
      <c r="H7900" t="n">
        <v>29</v>
      </c>
      <c r="I7900" t="inlineStr">
        <is>
          <t>これが地元で瞬く間に評判となり夏子の耳にも入ってくるようになった。；高速なコンピュータで見ると瞬いて見えることからこの名前がついた。；いくつかの紫色の光がちらちら瞬いているのが見えるが、詳細は不明だ。；次に空が瞬いたときには、リズは目の前にいて、エドガーの手を取った。；十日ばかり前の薄曇りのした晩で、期節外れの蛍が時たまに瞬いてゐた。；何を言われているのか分からずに、目を瞬かせたままその場に立ち尽くす。；宇宙空間で物が瞬いて見えるとしたら、それは回転していると考えていい。；この町はネオンが少ないせいか、濃い闇の中で星がきれいに瞬いている。；光がひとつ瞬くたびに、自分が何をやっているのか、わからなくなる。；呼吸することをやめた男の目は瞬くことなく、青空を見上げたままだ。；何度か目を瞬かせると、ぼやけていた視界が次第にはっきりしていく。；驚いた様に何度も眼を瞬かせながら彼女はフォロンを見つめていた。；瞬く内に言葉も動作も物の考え方も、疑いようのない現代娘になってしまった。；このゲットーをきっかけにして瞬く間に教皇領中にゲットーが作られた。；瞬くひまもなく、彼女は幾千という銀河系の間を通過しているのである。；それから、その目が何回か瞬く間、可憐な口はきゅっと閉じられていた。；顔を上げると、香子が不安そうに目を瞬かせて万里の傍らに座っている。；それを待っていたかのように、全員が瞬く間に、姿を消していった。；しかしそのLBXたちは圧倒的な力で敵性LBXを瞬く間に倒していく。；鼻腔内のわずかな水分が瞬く間に乾燥して凍りついてゆくのがわかった。；そしてこの分ならば瞬く間に第二城壁も第三城壁も越えてしまうに違いない。；その火は瞬く間に広がり、家屋の大半を含め町の4分の3が破壊された。；空には星がきらびやかに瞬いて、銀河が白く帯のように落ちかかっていた。；周囲の墓碑の列を見渡して、葵はやや気後れしたかのように目を瞬いた。；視界は一瞬のうちに暗転し、瞼の裏で火花に似た赤い光がぱっと瞬いた。；そして、時間は瞬く間に過ぎて行き、とうとうあの時間がやって来た。；一寸二寸と瞬く間に茎が伸びたと思ふと、最後に小さい花がぱつと開く。；とにかく、ここに瞬くんはいないし、居場所を教えることもできないわ。；敷かれたレールの上を疾走しているような日々は瞬く間に過ぎていく。</t>
        </is>
      </c>
      <c r="J7900">
        <f>HYPERLINK("https://www.weblio.jp/content/瞬く", "词义详情")</f>
        <v/>
      </c>
      <c r="K7900">
        <f>HYPERLINK("https://yourei.jp/瞬く", "查看例句")</f>
        <v/>
      </c>
    </row>
    <row r="7901">
      <c r="A7901" t="inlineStr">
        <is>
          <t>または</t>
        </is>
      </c>
      <c r="B7901" t="inlineStr">
        <is>
          <t>成功</t>
        </is>
      </c>
      <c r="C7901" t="inlineStr">
        <is>
          <t>読み方：または
［接］似通った二つ以上の事柄のうち、どれか一つを選ぶときに用いる語。あるいは。もしくは。「ペン—ボールペンで記入のこと」「雪—みぞれでしょう」
→或(ある)いは［用法］
[用法]または・もしくは——「本人または（もしくは）代理の者に限る」などと相通じて用いられるが、「もしくは」は文章語的であらたまった言い方である。◇「家庭裁判所は、証人を尋問し、又は鑑定、通訳若しくは翻訳を命ずることができる」（少年法）、「汚染し、若しくはき損された郵便切手又は料額印面の汚染し、若しくはき損された郵便葉書」（郵便法）のように、法令用語としては、選択される語句に段階が二つあるとき、「または」は大きな段階に用いられ、小さい段階には「もしくは」が用いられる。</t>
        </is>
      </c>
      <c r="D7901" t="inlineStr">
        <is>
          <t>または単に；または一部；またはその他；または複数；または全部</t>
        </is>
      </c>
      <c r="F7901" t="inlineStr">
        <is>
          <t>生または；または大二十面体；または現金機デジパチ；またはアルカリ土類金属；または愛知環状鉄道</t>
        </is>
      </c>
      <c r="H7901" t="n">
        <v>29</v>
      </c>
      <c r="I7901" t="inlineStr">
        <is>
          <t>この仕様の中では外部データの入力または計算結果の出力は供給しない。；または自然の地形を利用して、既存の小さな丘を用いることもあった。；出場時には自動精算機で現金または他のカードで精算することもできた。；さまざまな考え方を反映するために一部が統合または分割される。；中国やその周辺の東アジア諸国で信仰・研究されていた宗教、または学問。；山岳会には山または歩くことにちなんだ名前が付けられることが多い。；国鉄またはその関連組織が行っていた鉄道事業以外の事業を下記に挙げる。；カーネルが提供する機構または方針は、いくつかの基準で分類できる。；高度なモデリングまたはレンダリングソフトウェアで扱うことができる。；電位差が発生した雲または大地などの間に発生する光と音を伴う放電現象。；濃い黄色または琥珀色は、より多くの水を飲む必要があることを示している。；以上の理由から、司令部またはその近くには将官が1枚以上あるとよい。；この種類のゲームは文房具以外の専門的な機器をほとんどまたは全く必要としない。；またはそうした経験をしているのは人間だけだろうか。；歯科とは、歯または歯に関連した組織に関する疾患を扱う診療科である。；その宮廷の中で曲を作り、演奏または指揮をこなし活動していた。；これから基準振動のエネルギーまたはフォノンバンドを得る事ができる。；鉄道車両は、線路またはそれに準ずる軌道の上を走行する車両である。；インドのパールシーのほとんどがムンバイまたはプネーに暮らしている。；直流専用車または交流専用車を使用することができるが、地上設備が複雑になる。；この地平線はドゥアトに通じる門または扉として説明されることもある。；交通の手段・方法として整備された体系を交通機関または交通システムと呼ぶ。；九州大学ではそれぞれの校地を地区またはキャンパスと呼んでいる。；守るべきルールがあり、環境または他人との相互作用を元に行われる活動である。；車両は全列車221系で運転され、4両または6両編成で運転されている。；登場人物以外にも頻繁に登場するテーマまたはアイデアがある。；特徴的な散形花序をつけるので、古くは散形科または傘形科と呼ばれた。；天文台には観測のための望遠鏡が一つまたは複数設置されている。；また、エプシロンの上下に縦線または点を付けたものもしばしば使われる。</t>
        </is>
      </c>
      <c r="J7901">
        <f>HYPERLINK("https://www.weblio.jp/content/または", "词义详情")</f>
        <v/>
      </c>
      <c r="K7901">
        <f>HYPERLINK("https://yourei.jp/または", "查看例句")</f>
        <v/>
      </c>
    </row>
    <row r="7902">
      <c r="A7902" t="inlineStr">
        <is>
          <t>まだまだ</t>
        </is>
      </c>
      <c r="B7902" t="inlineStr">
        <is>
          <t>成功</t>
        </is>
      </c>
      <c r="C7902" t="inlineStr">
        <is>
          <t>［副］まだるっこく感じられるさま。ぐずぐず。だらだら。のんべんだらりん。
「—ながらへ、臆病者、腰抜けと指さされんは」〈浄・嫗山姥〉</t>
        </is>
      </c>
      <c r="D7902" t="inlineStr">
        <is>
          <t>まだまだこれから；まだまだ遠い；まだまだ続く；まだまだ多く；まだまだ若い</t>
        </is>
      </c>
      <c r="E7902" t="inlineStr">
        <is>
          <t>まだ；全然；未だ；まだ足りない；まだ不十分</t>
        </is>
      </c>
      <c r="F7902" t="inlineStr">
        <is>
          <t>まだまだ甘い；まだまだつづく；まだまだいろいろ；まだまだ少ない；まだまだ発展途上</t>
        </is>
      </c>
      <c r="G7902" t="inlineStr">
        <is>
          <t>まだまだだね；まだまだ現役倶楽部</t>
        </is>
      </c>
      <c r="H7902" t="n">
        <v>29</v>
      </c>
      <c r="I7902" t="inlineStr">
        <is>
          <t>まだまだいろいろ経験してから考えを決め度いと思って居るんですもの。；あるいはまだまだ近い将来には解決されない問題であるかも知れない。；映画では語られていないストーリー、場所、動物はまだまだ存在します。；生まれてきた子のためにも、これからまだまだ頑張らなければいけない。；我々がその晩のうちにやったことは、まだまだそれだけではなかった!；時間は止まっていないですし、やりたい未来がまだまだたくさんあります。；つまる所は私はまだまだこの俗世に執着を感じているのではあるまいか。；まだまだ今のうちは、手をつないでなきやどうにもならないんぢやない?；今日の生活、社会の習慣はまだまだ此等の獲得を困難なものにしています。；といって、まだまだようやくそれは世の中に顔を出した位のものであります。；まだまだ至らない点がありますが、少しずつ修正のほうをお願いします。；それから芽が出て何かになっていくかどうかはまだまだ疑問がある。；わたしはそういうことのためにまだまだ駈けまわれませんから困るわ。；胸締めつける思い出は、まだまだ東京中のそこにもここにも残っていた。；しかし科学と科学とのつらなりには、まだまだ温かいものが残っていた。；実際その当時はまだまだ不純物も多く、色や匂いも良いとは言えなかった。；当時の日本ではまだまだきらびやかで華麗なサウンドが求められていた。；一応宍道湖大橋は執筆しましたがまだまだ執筆されていないものがあります。；無限の愛情を注がれても、お君はまだまだ満足したとは思いませんでした。；よく読んだつもりでいても、まだまだ至らぬところがあるものである。；フェミニズムの目標を達成するためになすべき仕事はまだまだあったからだ。；言葉と文字とは分っていても、その実際に達するにはまだまだ遠かった。；しかし、これらの銀行はまだまだ生きて音も立てずにその活動をつづけている。；しかしまだまだ本当の意味で自主性が恢復されたとはいえないようだ。；怪人のほうには、まだまだ奥の手がのこっていたのではないでしょうか。；しかしそれでもロス氏の頭の隅には、まだまだ一縷の望みが宿っていた。；これも一應は出來ている物があるが、まだまだ改良の餘地があるらしい。；丘の頂上に立って見るとお日さまは山にはいるまでまだまだ間がありました。；夫はまだまだ開墾して畑になつたゞけでは満足してゐないやうすです。</t>
        </is>
      </c>
      <c r="J7902">
        <f>HYPERLINK("https://www.weblio.jp/content/まだまだ", "词义详情")</f>
        <v/>
      </c>
      <c r="K7902">
        <f>HYPERLINK("https://yourei.jp/まだまだ", "查看例句")</f>
        <v/>
      </c>
    </row>
    <row r="7903">
      <c r="A7903" t="inlineStr">
        <is>
          <t>町</t>
        </is>
      </c>
      <c r="B7903" t="inlineStr">
        <is>
          <t>成功</t>
        </is>
      </c>
      <c r="C7903" t="inlineStr">
        <is>
          <t>読み方：ちょう
［音］チョウ（チャウ）（呉）　［訓］まち
［学習漢字］1年
〈チョウ〉
１市街の一区画。また、市街地。まち。「町内・町人」
２地方自治体の一。「町制・町村・町長・町立／市町村」
〈まち〉「町役場／色町・裏町・下町・門前町」</t>
        </is>
      </c>
      <c r="D7903" t="inlineStr">
        <is>
          <t>町全体；町境；町線；町一丁目；町割り</t>
        </is>
      </c>
      <c r="E7903" t="inlineStr">
        <is>
          <t>村；里；部落；村落；小さな町</t>
        </is>
      </c>
      <c r="F7903" t="inlineStr">
        <is>
          <t>麹町；各町；栄町；大井町；大きな町</t>
        </is>
      </c>
      <c r="G7903" t="inlineStr">
        <is>
          <t>町内；町域；町村；町人；町長</t>
        </is>
      </c>
      <c r="H7903" t="n">
        <v>29</v>
      </c>
      <c r="I7903" t="inlineStr">
        <is>
          <t>これらは一つの町の飛び地ではなく、関係のないまったく別の町である。；多くの市民が包囲された町から地下トンネル等を使って脱出した。；一方国分寺の存在した隠岐の島町にも行在所があったと伝えられている。；モデルとなった大井路は医療の町ではなく大きな井戸がある街だった。；この町の建築物や装飾物の多くははっきりと分かるスウェーデン様式である。；また、字区域の一種である字丁目をもつ町区域は、町名欄に示している。；彼は外出禁止命令が出ていたにもかかわらず町に遊びに出て見つかってしまった。；主人公たちと同時に船も移動先の城や町の近くへ移動する。；そして人々の様子や上空の月の状態もまた、町を訪れた時のように戻っていた。；大学は町の中心部にあり、この町の住民にとって最大の職場となっている。；市にあるものを市道、町にあるものを町道、村にあるものを村道という。；その他にも複数の小さな川が町やその郊外を流れている。；町の南西部には広大な人造林であるアムステルダムセ・ボス公園がある。；町は後に再建に向かったものの、完全に復旧されることはなかった。；東京近郊の時計坂という町にある木造2階建ての建物で、本作の主な舞台。；スキピオはヌマンティア人を奴隷にして売り払い、町を完全に破壊した。；木曽川の西側、長良川の東側に位置し、町の中央部を境川が流れていた。；日本では近世の城下町の建設期に、職業を冠した町に職人を集住させた。；このうち錦町から六日市までの区間は大半の路盤が完成していた。；新しい町と古代の町に分けられて、遺跡群は保護されている。；それとともに、町と町を結ぶ新たなライトレール網も計画されている。；彼女はキエフに近い町ボリスピルで両親のためにアパートを購入した。；物語は大阪の町を舞台に展開し、大半の人物のセリフは関西弁となっている。；生き残ったものは山上にも町があり、観光以外の需要があるものだけだった。；後述するバーブルの登場以前のカーブルの前身となる町は小さな町にすぎない。；この時点での大井町線の冷房車は全23編成中わずか2編成であった。；セゲダは禁止されたのは新規の町の建設であって旧市の城壁ではないと答えた。；これらの憲章は、これらの町のデザインを具体的に規定していた。；敗れたケルティベリア人の一部は、コンプレガに町を築いて要塞化した。</t>
        </is>
      </c>
      <c r="J7903">
        <f>HYPERLINK("https://www.weblio.jp/content/町", "词义详情")</f>
        <v/>
      </c>
      <c r="K7903">
        <f>HYPERLINK("https://yourei.jp/町", "查看例句")</f>
        <v/>
      </c>
    </row>
    <row r="7904">
      <c r="A7904" t="inlineStr">
        <is>
          <t>街</t>
        </is>
      </c>
      <c r="B7904" t="inlineStr">
        <is>
          <t>成功</t>
        </is>
      </c>
      <c r="C7904" t="inlineStr">
        <is>
          <t>読み方：まち
１住宅や商店が多く人口が密集している所。都会。「—に住む」
２（「街」とも書く）商店の並ぶにぎやかな場所。市街。「—をぶらつく」
３地方公共団体の一。市と村の中間に位する。→ちょう（町）
４市や区を構成する小区画。
５田の区画。区画されてある田。
６人家が密集し、道路で分かれた一区域。
「中宮の御旧(ふる)き宮のほとりを、四—を占めて造らせ給ふ」〈源・少女〉
７物を商う店の集まった場所。市場。
「帷(かたびら)を脱ぎて童子に与へて—に魚を買ひに遣りつ」〈今昔・一二・三五〉
８宮殿または邸宅内の一区画。
「姫君のおはします—は…さまことに造りみがき」〈夜の寝覚・五〉
[補説]書名別項。→街
[下接語]市場町・稲荷(いなり)町・色町・裏町・雄(お)町・片側町・片町・上(かみ)の町・傾城(けいせい)町・下町・下(しも)の町・宿場町・城下町・竹屋町・谷町・寺町・唐人町・鳥居前(とりいまえ)町・酉(とり)の町・南京(ナンキン)町・二の町・日本人町・日本町・花街・袋町・港町・門前町・屋形町・屋敷町・横町</t>
        </is>
      </c>
      <c r="D7904" t="inlineStr">
        <is>
          <t>街並み(3%)；街地；街燈；街全体；街線</t>
        </is>
      </c>
      <c r="E7904" t="inlineStr">
        <is>
          <t>地区</t>
        </is>
      </c>
      <c r="F7904" t="inlineStr">
        <is>
          <t>商店街；専門店街；繁華街；迷宮街；小さな街</t>
        </is>
      </c>
      <c r="G7904" t="inlineStr">
        <is>
          <t>街路；街灯；街中；街頭；街区</t>
        </is>
      </c>
      <c r="H7904" t="n">
        <v>29</v>
      </c>
      <c r="I7904" t="inlineStr">
        <is>
          <t>当時まだ比較的小さな街であったが、翌15世紀には重要な都市となる。；このように、映画との関わりが深い街であるが、市内には映画館がない。；両館合わせて51店舗の日本国内最大規模のレストラン街となっている。；街はアーレ川によって形成された半島の西の境の方向に成長していった。；パリは、フランス全土でも医師の密度がもっとも高い街のひとつである。；モデルとなった大井路は医療の町ではなく大きな井戸がある街だった。；その後1941年までポートモレスビーの街はゆっくり成長していった。；街の成長は主に港の施設や他の設備が徐々に改善されていった半島部で起きた。；デュッセルドルフの街が発展するのはそのような集落からであった。；藤田曰く、この頃に初めて街で視聴者から声をかけられるようになった。；その一方で、上野の森口周辺には静かな雰囲気の街並みが広がっている。；駅周囲は閑静な住宅街となっており、中・低層のマンションも立地する。；もう2度とあの街へ戻ることはできないだろうと考えたのだろう。；当駅は御坊市街の北端に位置し、市街はこの駅から南側に広がっている。；多くの芸術作品を街のあちらこちらにある博物館で見ることができる。；その結果、商業施設やホテル・住宅を併設した高層ビル街が形成された。；街の中心にカールトン・ヒルと呼ばれる小高い丘があり街を一望できる。；西口が新設され、東西に分断された街の一体化と交通渋滞の緩和を図る。；バグダードの街には6万の礼拝所と3万の公衆浴場があったといわれる。；フランクフルトはドイツで最も労働密度が高く、通勤者の多い街である。；街には敵が殺到し、包囲された将軍は敗戦を認めて8月30日に降伏した。；ここで博士の説明を聞く男性たちの中に医者はおらず、全員が街の名士であった。；街の入り口付近に商業施設が開業するなど、今後の発展が期待される。；こうして街から次々と若い女性がいなくなっていった。；これが現在も戦前とほとんど変わらない区画の街並みとなっている理由である。；やがて西武園線が左にそれ、住宅街ながら緑の多い一帯を北に進む。；急な坂だらけの街であるので、長く住んでいる人でも息が切れて苦痛を感じることが多い。；ビーレフェルトは現在、ドイツ第5位の機械製造業の街になっている。；待ち受けアプリに設定すれば、眺めているだけで街が発展していく。</t>
        </is>
      </c>
      <c r="J7904">
        <f>HYPERLINK("https://www.weblio.jp/content/街", "词义详情")</f>
        <v/>
      </c>
      <c r="K7904">
        <f>HYPERLINK("https://yourei.jp/街", "查看例句")</f>
        <v/>
      </c>
    </row>
    <row r="7905">
      <c r="A7905" t="inlineStr">
        <is>
          <t>待合室</t>
        </is>
      </c>
      <c r="B7905" t="inlineStr">
        <is>
          <t>成功</t>
        </is>
      </c>
      <c r="C7905" t="inlineStr">
        <is>
          <t>読み方：まちあいしつ
駅や病院などで、時間や順番がくるのを待つ部屋。</t>
        </is>
      </c>
      <c r="D7905" t="inlineStr">
        <is>
          <t>待合室内(2%)；待合室兼用；待合室部分；待合室程度；待合室みたい</t>
        </is>
      </c>
      <c r="E7905" t="inlineStr">
        <is>
          <t>ロビー；ラウンジ；待ち合わせ場所；詰め所；待機場所</t>
        </is>
      </c>
      <c r="F7905" t="inlineStr">
        <is>
          <t>等待合室；広い待合室；屋内待合室；バス待合室；特別待合室</t>
        </is>
      </c>
      <c r="H7905" t="n">
        <v>29</v>
      </c>
      <c r="I7905" t="inlineStr">
        <is>
          <t>駅舎はなく、ホーム入口横にトイレを備えた待合室棟が設けられている。；各ホームには北側改札と連絡するエレベーターと待合室を設置している。；駅舎内に待合室とトイレが設置されているが、券売機は置かれていない。；ホーム中程の外側にプレハブの白い待合室が同じ高さに設置されている。；開業当時から駅舎はなく無人駅で、かつてはホーム上に待合室があった。；ホームには待合室が設置され、隣に2階建ての駐輪場が設置されていた。；ホーム上には明治後期に建てられたとされる古い木造の待合室がある。；また、中標津側に有ったホームへの階段近くには待合室が置かれていた。；無人駅であり、ホーム上には簡易な待合室が設置されているのみである。；駅舎内には待合室、トイレが、駅舎横には自動販売機が設置されている。；無人駅で転換時には木造駅舎があったが、現在駅舎はなく待合室がある。；ホームは線路の東側に設置されており、ホーム上に待合室が設置されていた。；現在は待合室内にオレンジカード未対応の自動券売機が設置されている。；無人駅で駅舎は設置されなかったが、ホーム上に待合室が設置されていた。；ホーム上の待合室には公衆電話があり、駅前の階段横にはトイレがある。；ホーム上には1番線、2・3番線の各階段下に待合室が設けられている。；ホーム下の北西寄りに待合室があるが、自動券売機等は設置されていない。；駅舎は線路の西側に位置しており、待合室の機能のみとなっている。；木造の待合室がホーム上にあり、かつてはそこで乗車券を販売していた。；駅ノートが待合室に設置されており、当時の写真等も保存されている。；待合室は閉鎖されておらず、廃線当時の時刻表が掲出されたままである。；下りホームに面して待合室があり、上りホームへは跨線橋で結ばれている。；待合室は2010年に改修されて、西新湊駅と同様の構造になっている。；新山口駅が管理する無人駅で駅舎はなく、ホーム上に待合室があるのみ。；無人化されて久しく、末期には待合室は閉鎖されたままになっていた。；両ホームとも、階段とエレベーターの間に待合室が設けられている。；待合室は階段の手前の林の中にあったが、この写真では確認出来ない。；ホームは北見枝幸に向かって左手に設置され、近くに待合室があった。；駅舎側の線路を廃止し、新設した駅舎・待合室の床をホームと同じ高さとしている。</t>
        </is>
      </c>
      <c r="J7905">
        <f>HYPERLINK("https://www.weblio.jp/content/待合室", "词义详情")</f>
        <v/>
      </c>
      <c r="K7905">
        <f>HYPERLINK("https://yourei.jp/待合室", "查看例句")</f>
        <v/>
      </c>
    </row>
    <row r="7906">
      <c r="A7906" t="inlineStr">
        <is>
          <t>待ち合わせ</t>
        </is>
      </c>
      <c r="B7906" t="inlineStr">
        <is>
          <t>成功</t>
        </is>
      </c>
      <c r="C7906" t="inlineStr">
        <is>
          <t>読み方：まちあわせ
待ち合わせること。「—の場所」「—時間」</t>
        </is>
      </c>
      <c r="D7906" t="inlineStr">
        <is>
          <t>待ち合わせ場所(19%)；待ち合わせ時間(3%)；待ち合わせスポット；待ち合わせ相手；待ち合わせ時刻</t>
        </is>
      </c>
      <c r="E7906" t="inlineStr">
        <is>
          <t>ランデブー；ランデヴー</t>
        </is>
      </c>
      <c r="F7906" t="inlineStr">
        <is>
          <t>早く待ち合わせ；列車待ち合わせ</t>
        </is>
      </c>
      <c r="G7906" t="inlineStr">
        <is>
          <t>待ち合わせよ；待ち合わせれ</t>
        </is>
      </c>
      <c r="H7906" t="n">
        <v>29</v>
      </c>
      <c r="I7906" t="inlineStr">
        <is>
          <t>彼らはここで韓国のある企業の社長と待ち合わせをしているのだという。；待ち合わせに遅れたせいで、怒って先に帰ってしまったのかもしれない。；ちょっとおかしいなと思ったけど、ぼくも待ち合わせをしていたからね。；待ち合わせをしている男の子はもう到着しているのだろうかと考えていた。；まだ私たちが子供のころ、ここが待ち合わせ場所だったじゃないですか。；どうやら彼女は誰かと待ち合わせをしているわけではないようだった。；待ち合わせ場所と時間を確認してから、俺は校門を出て駅へと向かった。；誰かと待ち合わせているような気配もないので、思い切って声を掛けた。；・・・・・・やっぱり、杉崎先生と待ち合わせたあの場所でいいだろう。；俺は待ち合わせ場所である横浜コスモワールド前に向かって歩いていた。；心配で早く家を出たので、待ち合わせの場所へ行っても相手はいない。；最初に席を決めるとき、待ち合わせなので後から一人来ると言ったそうだ。；僕は担当編集さんとの待ち合わせ場所に向かう為、電車に乗っていました。；駅前で待ち合わせをしなければならない必要が、あるわけではなかった。；先に待ち合わせ場所に来ていた春香が、泣きそうな顔で駆け寄ってきた。；これから玉岡一郎の妻との待ち合わせの場所へ向かうことになっている。；待ち合わせ時間は夕方になりましたが、ほとんど今日と同じ様な感じです。；誰かと待合わせをしているのか、男の一人がしきりに時計を気にしていた。；だが、いつも待ち合わせをしているのに、どうも相手がなかなか来ない。；彼はここでお時を待ち合わせていたらしく、女と向い合って酒を飲んでいた。；裕生が公園に着いたのは、待ち合わせの時間を五分ほど過ぎてからだった。；時計とか見てるんだったら待ち合わせだろうが そんな気配などゼロ。；すでに先輩たちとの待ち合わせ時間まであと十五分を切っている。；待ち合わせの場所に指定されたのは、俺の自宅近くにある駅前の広場。；待ち合わせの相手に発見されやすいし、こちらも相手を発見しやすいからだ。；待ち合わせ場所にやって来たのは先刻電話をしてきた男がただ一人。；そのうちに誰か待ち合わせの相手が来るんだろうと僕は思った。；待ち合わせの時間、その場所には僕の知り合いは誰もいませんでした。；そして今度は、あの女と待ち合わせをした人物が失踪しているという。</t>
        </is>
      </c>
      <c r="J7906">
        <f>HYPERLINK("https://www.weblio.jp/content/待ち合わせ", "词义详情")</f>
        <v/>
      </c>
      <c r="K7906">
        <f>HYPERLINK("https://yourei.jp/待ち合わせ", "查看例句")</f>
        <v/>
      </c>
    </row>
    <row r="7907">
      <c r="A7907" t="inlineStr">
        <is>
          <t>待ち合わせる</t>
        </is>
      </c>
      <c r="B7907" t="inlineStr">
        <is>
          <t>成功</t>
        </is>
      </c>
      <c r="C7907" t="inlineStr">
        <is>
          <t>読み方：まちあわせる
［動サ下一］［文］まちあは・す［サ下二］前もって場所と時間とを決めておいて、そこで相手の来るのを待つ。「喫茶店で—・せる」「特急の通過を—・せる」</t>
        </is>
      </c>
      <c r="H7907" t="n">
        <v>29</v>
      </c>
      <c r="I7907" t="inlineStr">
        <is>
          <t>一時間後に例の喫茶店で待ち合わせることにして、滝沢は電話を切った。；ほとんど声を出すこともなければ、だれかと待ち合わせることもない。；すぐに出かけて、 地獄の穴で、あすの朝わたしを 待ち合わせるのよ。；待ち合わせるとジョルジュの妻で、夫の最後の女を見たかったという。；長いこと、学園の外で誰かと待ち合わせるような機会はなかった。；それから特に誰と待ち合わせることもなく、恭介は一人で図書館へと向かった。；家にいったん帰って、明の家の前で待ち合わせることにした。；近くに住んでいるのに、必ずデートする場所の最寄りの駅で待ち合わせる。；午後になったらあの公園で待ち合わせるのは、もう暗黙の了解になっていた筈だ。；二三人の仲間が誘いに来るのを秋山の室で待ち合わせることになっているのだそうだった。；日曜日の立川駅前にいた彼女は、まさに好きな男と待ち合わせる直前だった。；手紙には写真が同封されていて、あとは待ち合わせるべき場所の住所しかない。；私たちは金曜の夕方八時に六本木の例のパブで待ち合わせる習慣ができていた。；会社を別々に出た二人は音楽会のあるホールの近くのバーで待ち合わせることにしてあった。；二人は、会社の電話で連絡をとりあって、帰りに待ち合わせるのだ。；いきなりホテルで待ち合わせるとは思っていなかった。；丸当の剛さんたちが入ってきて、ここでもう一人の友達を待ち合わせるのだといった。；家を出ておれの下宿で八千代を待ち合わせることになったんだ。；その日も桜木町で待ち合わせる筈の約束を重んじたのであるか。；なにしろ彼と待ち合わせると指定したのは将軍のほうで、今は約束どおりの正確な時間だったのである。；そこで警視庁の面会許可状を持った二人の巡査と待ち合わせる予定になっている。；いつも待ち合わせるホテルのラウンジで一時間待ったが、矢代は現われない。；どこかで待ち合わせるとしたら、その場所もきめて、いっしょに教えてください。；始業は八時半だったが、今日は初出社なので八時に待ち合わせる約束だったのだ。；深川には行かず、そのまま不破と待ち合わせる京橋の自身番に向かった。；すなわち、偶然二つが接近して同方向に動くようになるとそれからは、いつでも先へ立つほうが乗客の多いために時間をとってあとのを待ち合わせるような結果になるからである。；結婚式の夜に時間調整で入った高いバーで待ち合わせる。；たとえ、あそこで待ち合わせる約束をしたとしても、どこの窓の下とまでの指定は出来ないよ。；僕とズズはいつもそのお墓の前で待ち合わせるんです。</t>
        </is>
      </c>
      <c r="J7907">
        <f>HYPERLINK("https://www.weblio.jp/content/待ち合わせる", "词义详情")</f>
        <v/>
      </c>
      <c r="K7907">
        <f>HYPERLINK("https://yourei.jp/待ち合わせる", "查看例句")</f>
        <v/>
      </c>
    </row>
    <row r="7908">
      <c r="A7908" t="inlineStr">
        <is>
          <t>間近</t>
        </is>
      </c>
      <c r="B7908" t="inlineStr">
        <is>
          <t>成功</t>
        </is>
      </c>
      <c r="C7908" t="inlineStr">
        <is>
          <t>読み方：まぢか
［名・形動］間近いこと。また、そのさま。「駅に—な住居」「正月が—に迫る」</t>
        </is>
      </c>
      <c r="D7908" t="inlineStr">
        <is>
          <t>間近に観察できる；間近紀子；間近に迫つて；間近にせまる；間近に迫る死</t>
        </is>
      </c>
      <c r="E7908" t="inlineStr">
        <is>
          <t>側；近く；あたり；近い；周囲</t>
        </is>
      </c>
      <c r="F7908" t="inlineStr">
        <is>
          <t>卒業間近；終戦間近；定年間近；出産間近；終了間近</t>
        </is>
      </c>
      <c r="G7908" t="inlineStr">
        <is>
          <t>間近く；間近か；間近う；間近し；間近き</t>
        </is>
      </c>
      <c r="H7908" t="n">
        <v>29</v>
      </c>
      <c r="I7908" t="inlineStr">
        <is>
          <t>一方日本でも多くの都市が焼け野原となり、降伏は間近と見られていた。；音楽活動始動のきっかけが訪れたのは高校卒業を間近に控えていた時期。；終わり間近では音楽が早まることで父親が馬を急がせることを表現する。；一時期は退院間近まで回復していた中、再度悪化した後のことであった。；滝の周辺は散策道が整備されているため、滝を間近で観ることが出来る。；当時の関心は間近に迫っていたスコットの国営南極遠征に集まっていた。；それは宇宙に浮遊する脅威の戦闘能力を持つ完成間近の衛星兵器の破壊。；フランス相手の戦争間近で、町の男たちは強制徴募で駆り出されていた。；規模が小さいため、どの座席からでも間近に踊りを見られるのが魅力である。；所員の引率なしにして本物の機器を間近で見られる機会は貴重である。；その後天皇杯でベンチ入りし、優勝の瞬間を間近に見ることができた。；ただし、大学受験を間近に控えた高校3年生の参加は認められていない。；落ちていく水を上流側から間近に見ることができるのはザンビア側だけである。；これはアメリカ軍の上陸が間近に迫ったことを意味していた。；その後、オランダが降伏するとフランス侵攻にも終結間近に参加した。；過去には現在地よりも更に川の間近に鎮座していたものが現在の地に移転した。；留学期間の1年が終わる時期が近づき、日本帰国の日が間近となってきた。；制止しようとした警備兵は、男を間近に見ると思わず引き下がるのだった。；定年退職を間近に控えていたマーカスは、手際よく捜査を進めていった。；プロの踊りに間近で接したことは、二山にとっての大きな収穫になった。；また、高校卒業を間近に控えていたが、卒業式には出席できなかった。；日程が出産間近に予定されていたコンサートは約半年の延期となった。；展示されている鯨類を間近で観察できるように水槽の縁が低く設計されている。；また、終戦間近には昼間から文一郎を小屋へ送ることもあったという。；これほど間近に飛行機を見られる公園は全国でも稀である。；大阪国際空港の北側に位置する公園であり、同空港の滑走路が間近にある。；一般の人が正殿を間近に見ることのできる唯一の機会でもある。；愛国者達は戦争が間近に迫っていることを恐れ、直ぐに行動に移った。；契約が締結間近でないことは関係者ならみんな知っている。</t>
        </is>
      </c>
      <c r="J7908">
        <f>HYPERLINK("https://www.weblio.jp/content/間近", "词义详情")</f>
        <v/>
      </c>
      <c r="K7908">
        <f>HYPERLINK("https://yourei.jp/間近", "查看例句")</f>
        <v/>
      </c>
    </row>
    <row r="7909">
      <c r="A7909" t="inlineStr">
        <is>
          <t>間違い</t>
        </is>
      </c>
      <c r="B7909" t="inlineStr">
        <is>
          <t>成功</t>
        </is>
      </c>
      <c r="C7909" t="inlineStr">
        <is>
          <t>読み方：まちがい
１真実と違うこと。誤り。まちがえ。「—を正す」
２しくじり。過失。あやまち。まちがえ。「—がないか確かめる」
３異常な出来事。事故。まちがえ。「途中で何か—でもなければよいが」
４情事、特に分別のない男女の関係についていう。まちがえ。「若い男女が—を起こす」</t>
        </is>
      </c>
      <c r="D7909" t="inlineStr">
        <is>
          <t>間違いないだろ；間違いなし；間違いありません；間違いじゃない；間違いないでしょ</t>
        </is>
      </c>
      <c r="E7909" t="inlineStr">
        <is>
          <t>失敗；非；罪；事故；ミス</t>
        </is>
      </c>
      <c r="F7909" t="inlineStr">
        <is>
          <t>大きな間違い；とんでもない間違い；大変な間違い；間違いなく祥子さま；間違いなく即死</t>
        </is>
      </c>
      <c r="G7909" t="inlineStr">
        <is>
          <t>間違い探し；間違いの喜劇；間違いだらけのクルマ選び；間違い以上に間違っている；間違いつづき</t>
        </is>
      </c>
      <c r="H7909" t="n">
        <v>29</v>
      </c>
      <c r="I7909" t="inlineStr">
        <is>
          <t>分割する際の乗り間違いを防ぐために以下の方法を用いるところもある。；しかしメディアが今もこのレベルにあることは間違いなく現実なのだ。；そのため、よく安彦の弟子と語られることが多いがこれは間違いである。；少なくとも左右の臣たちに好かれていなかったことは間違いないだろう。；それを低予算で、人間の動きだけで何とかしようと思ったのが間違い。；余り広く支持されていない、間違いだと証明された別の解釈がある。；表明の引数である式の副作用に依存するという間違いをすることもある。；現在であれば水源地域対策特別措置法が間違いなく適用される規模である。；ただし当時の武士の第一人者とされていたのは間違いないとされる。；ただしこれは年代からして信長ではありえず、信秀の間違いであろう。；また民族に歴史を与えた孔子は間違いなくそれだけで不朽の存在であった。；従って、情報量が多いほど、測定の間違いがより少ないことを意味する。；初期に作られたクルックス管もX線を発生させていたのは間違いない。；しかしながらそれは現在では間違いであることがわかっている。；早すぎる死がなければノーベル賞の受賞は間違いなかったといわれている。；しかしながら、ペローの手が入ったことは間違いないといわれている。；一番確かなのは水を抜くなりして、間違いなく全個体を確認することである。；多くの本が誤ってバーラーを発明者としているが、これは間違いである。；この動きの中にイスラエル人たちの部族が含まれていたことは間違いが無い。；なお、一部でいわれている滝沢馬琴に由来するとした話は、間違いらしい。；次のものは、欧州旗を描いたり掲揚したりする時によくある間違いである。；このため、乗り間違いを防ぐために先頭車の前面に方向板が設けられた。；ところが、方法に間違いがあったことから失敗し、不具の子であった。；紙に番地を書いて見せたり、地図を指したりすればより間違いない。；このような間違いの引き写しは江戸時代の他の和算書にも見られる。；すくなくともマルキオンの活躍した時代に存在していたことは間違いがない。；廉価版のパッケージでは修正されているが、説明書の間違いはそのまま。；試合前の予想ではハンガリーの勝利は間違いないと考えられていた。；状況から考えて、犯人はパーティーの参加者の中にいることは間違いない。</t>
        </is>
      </c>
      <c r="J7909">
        <f>HYPERLINK("https://www.weblio.jp/content/間違い", "词义详情")</f>
        <v/>
      </c>
      <c r="K7909">
        <f>HYPERLINK("https://yourei.jp/間違い", "查看例句")</f>
        <v/>
      </c>
    </row>
    <row r="7910">
      <c r="A7910" t="inlineStr">
        <is>
          <t>間違う</t>
        </is>
      </c>
      <c r="B7910" t="inlineStr">
        <is>
          <t>成功</t>
        </is>
      </c>
      <c r="C7910" t="inlineStr">
        <is>
          <t>読み方：まちがう
［動ワ五（ハ四）］
１あるべき状態や結果と異なる。違う。「—・った考え方」「この手紙は住所が—・っている」
２「間違える1」に同じ。「勘定を—・う」「一人が—・うと全体に影響する」
３「間違える2」に同じ。「誰かが—・って渡した書類」「約束の日時を—・う」
４（「まちがっても」の形で、あとに打消しの語を伴って）どんなことがあっても。決して。「—・っても他言してはいけない」
［動ハ下二］「まちがえる」の文語形。</t>
        </is>
      </c>
      <c r="D7910" t="inlineStr">
        <is>
          <t>間違う可能性(2%)；間違うことなく；間違うとる；間違う確率</t>
        </is>
      </c>
      <c r="E7910" t="inlineStr">
        <is>
          <t>失敗；誤解；勘違い；挫折；誤認</t>
        </is>
      </c>
      <c r="F7910" t="inlineStr">
        <is>
          <t>一歩間違う；一つ間違う；ひとつ間違う</t>
        </is>
      </c>
      <c r="H7910" t="n">
        <v>29</v>
      </c>
      <c r="I7910" t="inlineStr">
        <is>
          <t>間違う事無くその形状はどこかの学校で指定されていそうな女子用水着。；花茎はあるが、この種の場合には葉と見間違うような姿は取っていない。；すでにそれは背中だけの存在となっているが見間違うはずもなかった。；ひとつ間違うとこれまでの苦労が水泡に帰してしまうかもしれないのだ。；こんなところを誰かに見られた日には、犯人と間違われること確実だ。；さらにその向こうには雑木林かと見間違うほどの広大な庭が広がっている。；メディアではこの問題がモーターの電磁界の問題だと間違って伝わった。；だが、実際視聴者からの評判は良く、我々の予想が間違っていたようだ。；この考えは数学的には間違っているが、その支持者達の神経には訴えた。；モンクが「ピアノは間違った音を出さない」と言ったことは有名である。；床は非常に弾力性があり、稽古中に揺れて地震と間違われることもある。；間違うはずは絶対にない、たしかにあれはブラウンリーだと言うんです。；このことをつねに忘れぬようにせぬといろいろ間違うた考えが起こる。；もし彼が誰かと戦いたかったなら、彼は間違ったスポーツをしていると思う。；死んだ状態であるため骨の姿となっており、ゲーム中では人形と間違われる。；俺は彼らが正しいと思っていることは間違っていることだと認識しているけどな。；この場合、方三間の間が寸法の間と間違われやすいので注意が必要である。；僕は異様に老けてみられることもあれば、逆に学生と間違われたりもする。；実際に合成を行なったところ導かれた構造が間違っていた例も多く存在する。；ほんの一瞬のことだったが、その武骨な造りは見間違うはずもなかった。；間違った判断をすることもあるし、人格や人間性に問題がある場合もある。；それで練習しているうちに、姉が間違うてそのギターに穴をあけてしまった。；今までのやり方が間違っていたのだとコート内外を問わず考えさせられた。；交渉時にミッチェル地図が使われたが、その地図が間違っていたのが原因。；ときどき私を、死んだはずの姉と間違う瞬間があったと、父は言った。；その結果、後になってみれば大きく間違っていることが判明することが多い。；六年生ともなれば、大人と見間違うほどの成長した身体を持つ生徒もいる。；男にしては背が低く、容姿は遠目に見れば女と見間違うような青瓢箪だ。；彼はその効果をエーテルによるものと説明したがこの説明は間違っていた。</t>
        </is>
      </c>
      <c r="J7910">
        <f>HYPERLINK("https://www.weblio.jp/content/間違う", "词义详情")</f>
        <v/>
      </c>
      <c r="K7910">
        <f>HYPERLINK("https://yourei.jp/間違う", "查看例句")</f>
        <v/>
      </c>
    </row>
    <row r="7911">
      <c r="A7911" t="inlineStr">
        <is>
          <t>間違える</t>
        </is>
      </c>
      <c r="B7911" t="inlineStr">
        <is>
          <t>成功</t>
        </is>
      </c>
      <c r="C7911" t="inlineStr">
        <is>
          <t>読み方：まちがえる
［動ア下一］［文］まちが・ふ［ハ下二］
１しそこなう。失敗する。しくじる。まちがう。「計算を—・える」
２他のものと取り違える。まちがう。「人の傘と—・える」「道を—・える」
[用法]まちがえる・あやまる——「計算を間違える（誤る）」のように、やりそこなうの意では相通じて用いられる。◇「間違える」には本来選ぶべきものを取り違えて他のものを選ぶ意がある。「右折するところを間違えて左折した」◇「誤る」は、正しい方法・方向を選ばずに、よくない方法・方向を選ぶ意がある。そこから道理・正道からそれる、ふみはずすの意が生じる。「ふとしたきっかけで人生を誤る」「身を誤って罪を犯す」◇「道を間違える」は、直進するか、右折するか、左折するかを選びそこなうだけだが、「道を誤る」は生き方の問題になる。</t>
        </is>
      </c>
      <c r="D7911" t="inlineStr">
        <is>
          <t>間違えることなく；間違える可能性；間違えるとゲームオーバー；間違えるとバッドエンド；間違えるとやり直し</t>
        </is>
      </c>
      <c r="E7911" t="inlineStr">
        <is>
          <t>失敗；非；罪；事故；間違い</t>
        </is>
      </c>
      <c r="F7911" t="inlineStr">
        <is>
          <t>聞き間違える；言い間違える；一歩間違える；よく間違える；読み間違える</t>
        </is>
      </c>
      <c r="H7911" t="n">
        <v>29</v>
      </c>
      <c r="I7911" t="inlineStr">
        <is>
          <t>彼女への対応を一つ間違えるとどんな影響が出るのか誰もわかりません。；髪の色が白いせいか後ろから見ると時折老人に間違えられることもある。；最近では姉妹と間違えられるほど風貌まで良く似ていると言われている。；一番間違えやすいのが異なる位置にピリオドを置いてしまうことである。；短髪だったので、初めて会った人は私を男の子だと間違える人もいたよ。；進んでいるとすれば、間違えるはずのないある振動が生じているはずだ。；これで豊満な胸がなかったら、ほとんどの相手が男と見間違えるだろう。；たった一度しか見てはいないけれど、俺がその姿を見間違えるはずがない。；一方で間違えて余命がある人間も連れて去ってしまう場合もあるとされる。；しかし北村は何を聞き間違えたか大凧ならぬ大蛸を持ってきてしまった。；姉と見間違えた地元住人たちには、例外なく戦慄の表情が浮かんでいた。；チョ・ウジンは同じ俳優のと顔立ちが似ているため間違えることがある。；解答を間違えたり、自分の顔の皿がレーンの端まで到達すると爆発する。；それでも出来る事と、やらなければならない事を間違える事はしない。；少しでも里香のことを知っている人間なら、間違えるはずはなかった。；いずれの場合も、埋め込み長さ、出の長さを間違えないように注意する。；外見的にはっきりした特徴があり、日本では他に間違えそうなものはない。；ジュウは彼女の空手着姿を見るのは初めてだが、見間違えるはずがない。；戦闘機のBf 109と間違えて攻撃されるなどの混乱もあったという。；正確に取ればポイントを獲得し、予想が間違えばその分ポイントを失う。；位置や順番を間違えると、畳は最後の一枚がどうしてもはいらなくなる。；この科の名前は、元々はLaplysianaと間違えて綴られていた。；そして一体どうして紳士たちがこいつらを本物の紳士と間違えるのか想像しかねた。；彼は優秀ではなく、訓練中に左右を間違えたり、銃の扱いも散々であった。；帰途には「船を間違えた」と称して、予定にはなかったブラジルを訪問。；従僕は清国人であったが、服装から欧米人と間違えられたとされている。；こういう申し込みは多いが、相手を間違えると大変なことになってしまう。；もしそうならば、被害者を獣と間違えることはありえないはずである。；読者はそんなことを間違えるはずはないとお思いだろうが、これが結構ある。</t>
        </is>
      </c>
      <c r="J7911">
        <f>HYPERLINK("https://www.weblio.jp/content/間違える", "词义详情")</f>
        <v/>
      </c>
      <c r="K7911">
        <f>HYPERLINK("https://yourei.jp/間違える", "查看例句")</f>
        <v/>
      </c>
    </row>
    <row r="7912">
      <c r="A7912" t="inlineStr">
        <is>
          <t>街角</t>
        </is>
      </c>
      <c r="B7912" t="inlineStr">
        <is>
          <t>成功</t>
        </is>
      </c>
      <c r="C7912" t="inlineStr">
        <is>
          <t>読み方：まちかど
１町の通りの曲がりかど。「—の交番」
２街頭。「—の風景」</t>
        </is>
      </c>
      <c r="D7912" t="inlineStr">
        <is>
          <t>街角ステーション；街角屋外；街角アンケート；街角ピアノ；街角レース</t>
        </is>
      </c>
      <c r="E7912" t="inlineStr">
        <is>
          <t>角；辻；曲がり角；曲り角；町角</t>
        </is>
      </c>
      <c r="F7912" t="inlineStr">
        <is>
          <t>暗い街角；あらゆる街角；どの街角</t>
        </is>
      </c>
      <c r="G7912" t="inlineStr">
        <is>
          <t>街角のカフェ；街角トワイライト；街角のメルヘン；街角のラブソング</t>
        </is>
      </c>
      <c r="H7912" t="n">
        <v>29</v>
      </c>
      <c r="I7912" t="inlineStr">
        <is>
          <t>しかしこの街角はまた年を取った若者にとっても魅力があるのであった。；そんなある日、マヤは街角であのときの兵士によく似た男性を発見した。；おれや街角で携帯をかけてる馬鹿なガキどもが解決しなくちゃいけない。；ちょうど一人の警官が街角に立って、中尉の罵言を聞いていたのである。；街角に立っている女たちの一人が、ほとんど毎日顔をあわせています。；つまりさ、彼が今度の街角で待ってるようなことがいつもありうると?；また『ある街角の物語』などの大人向けの実験作品を自主製作していた。；なんだって遠野家の長男が、街角で花を売らなければならないんですか!；今日でもライデンに行くとあらゆる街角で彼の跡を見ることができる。；そして、街角に小さな机と椅子を置いて占いをしていたその女に出会った。；別の世代の人類は、ある街角を一目見ただけでおぼえこむことができた。；またときには露店が店を畳む時刻まで街角のレストランに腰をかけていた。；街角にたたずんでいた男たちが、詩乃の方に不審と警戒の視線を向けた。；すべては、街角で演奏したという特殊な状況のせいだったのだろうか。；いくつかの街角を走るように歩いてこの恥かしさから早く醒めようとした。；街角に地図が設置してあったので、もっとも近い場所にある交番を探した。；街角を左にまがって少し行ったところに朝倉先生の家があるのである。；腰に籠を下げた女たちがときどき、街角で黄色い声を張りあげている。；僕は朝の街角で、すぐ僕の眼の前を歩いて行く若い女の後姿に眼をとめた。；苦手なのは例えば日本の街角で、不意に外人に道を訊かれたりすること。；街角を変えるには、乗りやすくしかも買いやすい製品にしなければならない。；コン棒を手にして鍵を腰にいっぱいぶら下げた男が街角に立っている。；いる筈のない場所、あるける筈のない街角を、彼はあるいていたという。；もっというと、広告代理店の社員のような雰囲気で街角に立っていた。；全く、十年前に見た街角が、そっくりそのままパパの目の前にあるのだ。；街角に達しないうちに、例の止まっていた車が動いて追跡してきた。；表の扉口から出ると、こそこそと鋪道の内側に沿って街角へ歩いていった。；高校生の時に友人達とのグループで地下鉄の駅や街角で歌っていた。；何の配給をうけるのか、街角の店の前に長い行列を作っている人々がいた。</t>
        </is>
      </c>
      <c r="J7912">
        <f>HYPERLINK("https://www.weblio.jp/content/街角", "词义详情")</f>
        <v/>
      </c>
      <c r="K7912">
        <f>HYPERLINK("https://yourei.jp/街角", "查看例句")</f>
        <v/>
      </c>
    </row>
    <row r="7913">
      <c r="A7913" t="inlineStr">
        <is>
          <t>待ち遠しい</t>
        </is>
      </c>
      <c r="B7913" t="inlineStr">
        <is>
          <t>成功</t>
        </is>
      </c>
      <c r="C7913" t="inlineStr">
        <is>
          <t>読み方：まちどおしい
［形］［文］まちどほ・し［シク］《「まちどお」の形容詞化》待っていてもなかなか来ず、早く来るようにと願っているさま。「お正月の来るのが—・い」「入学式が—・い」
[派生]まちどおしがる［動ラ五］まちどおしげ［形動］まちどおしさ［名］</t>
        </is>
      </c>
      <c r="D7913" t="inlineStr">
        <is>
          <t>待ち遠しい気持</t>
        </is>
      </c>
      <c r="E7913" t="inlineStr">
        <is>
          <t>待つ；我慢できない；待ち続ける；待たれる；切望する</t>
        </is>
      </c>
      <c r="H7913" t="n">
        <v>29</v>
      </c>
      <c r="I7913" t="inlineStr">
        <is>
          <t>その祖父の帰りが待ち遠しくて、夜になるとあてもなく迎えに出かけた。；それからはただただ大人になるのが待ち遠しい日々を過ごしていました。；こんなにも待ち遠しい思いをしたことは、これまで一度もありませんよ。；次の日の夜まで、なんという長く待ち遠しい一日であったことだろう。；ただ二人の子供がございますが、老い先ははるかで待ち遠しいものです。；早くバードがこの場によみがえってこないかと、待ち遠しい気さえした。；考えるのを止めたお陰で、それを知る瞬間が待ち遠しく、楽しみだった。；待ち遠しくもあるが、終わりがいつまでも来なければいいのにとも思うのだ。；近年急に年を取ったせいか毎年春の来るのが待ち遠しくなった。；そう思ったほどに、わたしには彼の訪問が待ち遠しかったのである。；その日は父の帰りが待ち遠しくて、顔を見るなりたずねてしまった。；この次の号は、どちらが正しいと説明するのか、彼は少し待ち遠しくなった。；待ち遠しいが、もし予定より早く船団が現れたら激しく落胆するだろう。；ああ、その日の暮れるのがどんなに待ち遠しくおもわれたことでしょう!；学校がない日がこんなに待ち遠しいと思ったことは初めてです。；そう考えますと、私は酒宴の終るのが待ち遠しくてしようがありません。；ここを抜ければ新しいなにかが訪れる、そんな待ち遠しい思いでいました。；兄弟は、父の姿の見えるまでが、待ち遠しくもあり、心配でもあった。；古いし狭苦しい部屋なのだが、それでも帰りつくのが待ち遠しかった。；Tはその日に限って退社時間が待ち遠しくて仕方がありませんでした。；とっても重要なことらしいので、始まるのが待ち遠しくてなりません。；味方の増援が来るのが、こんなに待ち遠しいと思ったことは今までなかった。；その待ち遠しさを別にすれば、現在の状況にさして不満はなかった。；連中は黒いかたまりになって、こちらを待ち遠しそうに眺めている。；私は彼女とまた話のできる時間が、待ち遠しくてならなかった。；わたしはジールックの芝居を見るのが待ち遠しくてならんのだよ。；一日一日を非常に待ち遠しがった末に、ようやく当日が来た。；いったいぼくは、何歳のときから夏休みを待ち遠しく思わなくなったのだろう。；待ち遠しい人物の代わりにそうしている彼の顔を見つめると、背中に電気が走る。</t>
        </is>
      </c>
      <c r="J7913">
        <f>HYPERLINK("https://www.weblio.jp/content/待ち遠しい", "词义详情")</f>
        <v/>
      </c>
      <c r="K7913">
        <f>HYPERLINK("https://yourei.jp/待ち遠しい", "查看例句")</f>
        <v/>
      </c>
    </row>
    <row r="7914">
      <c r="A7914" t="inlineStr">
        <is>
          <t>待ち望む</t>
        </is>
      </c>
      <c r="B7914" t="inlineStr">
        <is>
          <t>成功</t>
        </is>
      </c>
      <c r="C7914" t="inlineStr">
        <is>
          <t>読み方：まちのぞむ
［動マ五（四）］今か今かと心待ちにする。期待して待つ。「朗報を—・む」</t>
        </is>
      </c>
      <c r="D7914" t="inlineStr">
        <is>
          <t>期待；求める；待つ；望む；希望する</t>
        </is>
      </c>
      <c r="H7914" t="n">
        <v>29</v>
      </c>
      <c r="I7914" t="inlineStr">
        <is>
          <t>これこそはスペンサーがかねてから待ち望んできた瞬間だったのである。；これまでずっと待ち望んできた瞬間なのに、何と現実は怖いものなのか。；そして、彼こそ今まで待ち望んできた真実の恋の相手ではないかと考える。；だが最初の五晩は、待ち望んでいたような有利な状況は生じなかった。；西部の多くの者は、東部との違いを認識し、長い間別の州を待ち望んだ。；あまりにも待ち望みすぎて、まるで夢でも見ているかのように思えた。；空も森も水も、何者かを待ち望んで、はち切れそうに見えるではないか。；観客がそれを待ち望んでいたためだけにそれを出現させることもあったという。；今夜も倉地が葉子から待ち望んでいたものを葉子は明らかに知っていた。；信仰にはいることなどをそこに待ち望むことは明らかにできなかったのである。；待ち望んでいた仲間からの接触があったのはその夜、深夜に近い時刻だった。；気分が昂揚しているところにやってきた、彼らの待ち望んていた獲物だ。；それはいまの世の人たれもが待ち望む一つの明晳判断に似た希望であった。；リーザが待ち望んでいたのはその出ていってくれることだけだったのである。；それはまさに彼女の心が長いあいだ待ち望んでいたものであった。；これが死神の腕か、とどこか待ち望んでいたような気持ちで納得した。；待ち望んでいた子が亡くなったのでは、立つこともできなかったに違いない。；それらの諸問題を解決する新たな植物育成システムの開発が待ち望まれる。；そう思った瞬間ひらめいたのが、待ち望んでいた小説のアイデアだった。；すべての味方がこの報告を待ち望んでいたことが、肌で感じられた。；この夜こそ、パロマー天文台の全員が何週間か待ち望んでいた夜だった。；あれは肉体の逸楽を待ち望んでいる表情ではないのだろうか、と彼は思った。；それぞれ約3年ぶりの開催とあって待ち望んでいたファンの盛況となった。；長い間私の復活を待ち望んできたと公言していたのは嘘だったのか?；少々誇張して申しますなら、救世主の来るのを待ち望むに似ていました。；待ち望んでいた出版の日を僕は忘れ、恐らく鷹原も忘れていることだろう。；空も森も水も、何者かを待ち望んで、ハチ切れ相に見えるではないか。；また空に飛び立てるのを、ハリーと同じく待ち望んでいるかのようだった。；それを待ち望んではいないけれど、事実、そういうものだから仕方ない。</t>
        </is>
      </c>
      <c r="J7914">
        <f>HYPERLINK("https://www.weblio.jp/content/待ち望む", "词义详情")</f>
        <v/>
      </c>
      <c r="K7914">
        <f>HYPERLINK("https://yourei.jp/待ち望む", "查看例句")</f>
        <v/>
      </c>
    </row>
    <row r="7915">
      <c r="A7915" t="inlineStr">
        <is>
          <t>まちまち</t>
        </is>
      </c>
      <c r="B7915" t="inlineStr">
        <is>
          <t>成功</t>
        </is>
      </c>
      <c r="C7915" t="inlineStr">
        <is>
          <t>読み方：まちまち
［名・形動］物事や意見などが、それぞれ異なっていること。また、そのさま。さまざま。「—な（の）服装」「各人が—に意見を述べる」</t>
        </is>
      </c>
      <c r="D7915" t="inlineStr">
        <is>
          <t>まちまちである(28%)；まちまちであり(6%)</t>
        </is>
      </c>
      <c r="E7915" t="inlineStr">
        <is>
          <t>様々；いろいろ；数々；多様；色々</t>
        </is>
      </c>
      <c r="H7915" t="n">
        <v>29</v>
      </c>
      <c r="I7915" t="inlineStr">
        <is>
          <t>もっとも竜の足も、人間の足と同じように長さも幅もまちまちだったが。；このソフトは広く受け入れられているが、その評価はまちまちであった。；現存する5体は像高もまちまちで、すべてが一具の作とは考えられない。；箱の大きさがまちまちなので、手や足を引っかける場所はあるにはある。；いずれもが同じ内容をもち同じ配列を示しているのでなくまちまちである。；これは試験日が全国まちまちで問題の流出を防ぐためだと考えられる。；副作用がなく習慣性がないことになっていたが、意見は賛否まちまちだ。；この改正に伴って、全国でまちまちだった標識の統一が進むこととなる。；同じ石に複数の色を塗ろうとした者もいたが、成果はまちまちだった。；大きさはまちまちで私の方に向かって近づいて来ることもあった。；女子は見た目重視で、好みもまちまちで、様々なものを選ぶ傾向がある。；しかしあまりの損害に混乱しているのか、敵の目標はまちまちだった。；家の大きさは二部屋のものから五、六部屋くらいのものまでまちまちであった。；昨夜は、霧の降りた場所がまちまちであった為、電車は止らなかった由。；子の名前はまちまちで、同一県内で取材した話でも全く別々な場合がある。；コースは日によってまちまちだが、行きと帰りとは必ず逆方向である。；位置はまちまちだったが、方向はすべて、太陽からの放射にそっていた。；そこでいよいよ九月の節供の日はまちまちならざるを得なかったのである。；まちまちの服装で、だれもかれも大きい袋持参で子供づれのひとも多い。；具体的にどのような行為が近親相姦なのかに関してもまちまちである。；しかしそれに関する三人の話は、以前と同じように三者三様まちまちだ。；服装がまちまちで統一されたところがないのが、その証拠である。；その正確性には差があり、まちまちな解説がなされることもある。；その高さはまちまちで、低いところでは石が苔むし、殆ど埋まっている。；このことから以前に戦闘が起こっていたとされるが、意見としてはまちまち。；文章のスタイルや項目や様式はまちまちだが、趣旨はほとんど一致していた。；各自することはまちまちながらけっこう神経を使っているのであった。；所在がわからないのではない、教える人の、教え方がまちまちなのだ。；人々の頭も肩も、高さがまちまちだったし、間隔も同じではなかった。</t>
        </is>
      </c>
      <c r="J7915">
        <f>HYPERLINK("https://www.weblio.jp/content/まちまち", "词义详情")</f>
        <v/>
      </c>
      <c r="K7915">
        <f>HYPERLINK("https://yourei.jp/まちまち", "查看例句")</f>
        <v/>
      </c>
    </row>
    <row r="7916">
      <c r="A7916" t="inlineStr">
        <is>
          <t>待つ</t>
        </is>
      </c>
      <c r="B7916" t="inlineStr">
        <is>
          <t>成功</t>
        </is>
      </c>
      <c r="C7916" t="inlineStr">
        <is>
          <t>読み方：まつ
［動タ五（四）］
１物事・人・時が来るのを予期し、願い望みながら、それまでの時間を過ごす。また、用意して備える。「回復を—・つ」「駅で友だちを—・つ」「日の出を—・つ」「楽屋で出番を—・つ」
２しようとする動作を途中でやめる。普通、相手に要求する形で用いる。「ちょっと、—・ちなさい」
３相手の反応や態度がわかるまで静観する。「むこうの出方を—・って対処する」
４（「俟つ」とも書く）それを頼りにしてまかせる。望みを託する。期待する。「良識に—・つ」「手腕に—・つ」
５（「俟つ」とも書く）（「…をまたない」の形で）…するまでもない。その必要がない。「言を—・たない」
[可能]まてる
[下接句]縁と浮き世は末を待て・河清を俟(ま)つ・果報は寝て待て・言を俟たない・子(こ)養わんと欲すれども親待たず・歳月人を待たず・人事を尽くして天命を待つ・時は人を待たず・時を待つ・百年河清を俟つ・待ちに待った・論を俟たない</t>
        </is>
      </c>
      <c r="D7916" t="inlineStr">
        <is>
          <t>待つべき；待つあいだ；待つほどもなく；待つ間もなく；待つてる</t>
        </is>
      </c>
      <c r="E7916" t="inlineStr">
        <is>
          <t>待機；保留；控える；待ち受ける；待ち続ける</t>
        </is>
      </c>
      <c r="F7916" t="inlineStr">
        <is>
          <t>しばらく待つ；じっと待つ；待つよりほか；長く待つ；つて待つ</t>
        </is>
      </c>
      <c r="H7916" t="n">
        <v>29</v>
      </c>
      <c r="I7916" t="inlineStr">
        <is>
          <t>メッセージを待っている状態ではノードはブロックされて何も出来ない。；彼らはイブン・バットゥータを案内するために何日も前から待っていた。；彼女はナポレオンの部屋に通されるのを朝から夜までずっと待っていた。；我々は階段をのぼり死刑判決を受けた人間が待っている部屋に向かった。；バスを待っているうちに突然、別のバスで女の子はどこかへ行ってしまう。；大本営はリ号研究の結果を待って作戦の可否を決定することにしていた。；それよりも彼は明るいところで互に顔の合せられる時まで待とうとした。；部屋に戻ると五郎が来ており、シュウが待つ北時計に行くように勧める。；ところが欧州議会は欧州司法裁判所の最終的な判断を待つことを決めた。；このとき、彼らは隣の人の声を聞くのを待たずに声をあげることができる。；これによりドラムの回転を待たずに次々と命令を実行できるようにした。；彼女は近くの喫茶店で待っている友人・小林ひろと会ってほしいという。；彼女はピアノの前に座ると、リストの霊が現れてくるのを待っていた。；普段は命令を待っているといい、命令以外のことはしようとしない。；さらに同社の内容充実を待って3年以内に合併するという契約も結んだ。；しかしこの決定にGHQから待ったがかかり、自殺説発表は見送られた。；もし外で待とうというつもりならなぜはじめから外で待たなかったのか?；ようやく待ちわびたキムや孫娘との幸せな生活が待っているはずだった。；しかし3年待っても5年待っても主人が旅から帰ってくることは無かった。；のぞみは弁護士になりたいから結婚を待つよう頼んだことを知られてしまう。；ただし決定は清に出張中の副島の帰国を待ってから行うこととなった。；彼は3人の護衛を連れていたが、護衛を外に待たせて一人でビルに入った。；彼は月に一度会いに来るアルテミスを楽しみに待っているとされる。；日本のファンに最後のKO勝ちを捧げたいと思ってるから待っていてくれ!；しかしピエールは逃げも隠れもせず、現場で静かに警察の到着を待つ。；アルバムカバーは、通りで客を待つ売春婦の写真をコラージュしたもの。；左右に一人ずつ位置するウイングと中央でボールを待つCFで構成される。；そして香芳が通りすぎるのを待とうとしたところで、目が醒めたのです!；ただし、「人待つ女」を本曲のごく一部の装飾とみなす立場も存在する。</t>
        </is>
      </c>
      <c r="J7916">
        <f>HYPERLINK("https://www.weblio.jp/content/待つ", "词义详情")</f>
        <v/>
      </c>
      <c r="K7916">
        <f>HYPERLINK("https://yourei.jp/待つ", "查看例句")</f>
        <v/>
      </c>
    </row>
    <row r="7917">
      <c r="A7917" t="inlineStr">
        <is>
          <t>松</t>
        </is>
      </c>
      <c r="B7917" t="inlineStr">
        <is>
          <t>成功</t>
        </is>
      </c>
      <c r="C7917" t="inlineStr">
        <is>
          <t>読み方：しょう
［音］ショウ（漢）　［訓］まつ
［学習漢字］4年
〈ショウ〉木の名。マツ。「松柏(しょうはく)・松籟(しょうらい)・松露・松竹梅／青松・老松」
〈まつ〉「松風・松原／門松」
［名のり］ときわ・ます
［難読］松魚(かつお)・落葉松(からまつ)・松明(たいまつ)・杜松(ねず)・松毬(まつかさ)・海松(みる)・水松(みる)</t>
        </is>
      </c>
      <c r="D7917" t="inlineStr">
        <is>
          <t>松濤；松伯；松組；松雲；松千代</t>
        </is>
      </c>
      <c r="E7917" t="inlineStr">
        <is>
          <t>松明；トーチ；炬火；炬；スギ科</t>
        </is>
      </c>
      <c r="F7917" t="inlineStr">
        <is>
          <t>大きな松；松乃；鍋松；松右衛門；代官松</t>
        </is>
      </c>
      <c r="G7917" t="inlineStr">
        <is>
          <t>松岡；松平；松山；松尾；松田</t>
        </is>
      </c>
      <c r="H7917" t="n">
        <v>29</v>
      </c>
      <c r="I7917" t="inlineStr">
        <is>
          <t>鉾との最大の違いは屋根の上に舁山同様に真松を立てていることである。；小松の地名は付近に背の低い松が群生していたことに由来するという。；江戸時代の絵図によると、当時は三保半島のすべてが松で覆われていた。；郊外には農業可能な土地もあり、丘は松などの木で覆われている。；翠松は論語の一節から取られており創設以来たいせつに伝承されている。；儀式は一般的な神道のものに似るが、大本では榊の代わりに松を用いる。；だが8月4日、小笠原方面への輸送作戦に従事していた松が失われた。；前世紀にこの地域は林業が盛んになり、多くのトウヒや松が植林された。；岩の中央には杉の枝、両側には松の枝という配置をすることが多い。；渇水期には、かつて街道の並木だった松の切り株が水面に現れるという。；京方の使者である押松はその少し後に到着し、警戒していた幕府方に捕らえられた。；警察関係者は何者かが金剛松を横流しし、費用を着服したと見ている。；事実、大谷勢の陣は松尾山城に向かって構築されていたことが確認されている。；畿内では松や海をモチーフとした伝承が古くから広く知られていたと考えられている。；その他の柱用材は欅・松・犬桜など堅い樹種を二寸角にして使用している。；家が松の大樹の下にあったところから松下の姓を用いたとする。；同時に東武バスも松04系統を設定し同一区間に2社が運行している。；小松の地名は、陣屋付近に背の低い松が群生していたことに由来するという。；松は冬でも青々とした常緑高木で、新しい生命力の象徴となっている。；これはホタルイカが松の肥料として利用されることが多かったからとされる。；松類の多様さは他の州に無いものである。；また前述のように栗原は安のために厚い松板で拵えた特別な棺を用意していた。；画面中央奥には、本蔵が松の枝を切って若狭之助に差し出す場面が描かれる。；現在もその場所には松があり、「白眼合松」と呼ばれているという。；戦後も皮が剥がれた痕やV字の傷跡のある松が各地に残されている。；南から柳通・桜通・橘通・松通などの東西の道路が作られた。；高い松があったからとの言い伝えられているが、その松がどこにあったのかは分かっていない。；古書院が松の角柱を使用するのに対し、中書院の柱は杉の面皮柱である。；字は初め、仲慎、後に叔父の諸葛亮の養子となった時に伯松と改めた。</t>
        </is>
      </c>
      <c r="J7917">
        <f>HYPERLINK("https://www.weblio.jp/content/松", "词义详情")</f>
        <v/>
      </c>
      <c r="K7917">
        <f>HYPERLINK("https://yourei.jp/松", "查看例句")</f>
        <v/>
      </c>
    </row>
    <row r="7918">
      <c r="A7918" t="inlineStr">
        <is>
          <t>真っ赤</t>
        </is>
      </c>
      <c r="B7918" t="inlineStr">
        <is>
          <t>成功</t>
        </is>
      </c>
      <c r="C7918" t="inlineStr">
        <is>
          <t>読み方：まっか
［名・形動］
１非常に赤いこと。充血して赤いこと。また、そのさま。「—な花」「西の空が—だ」「—になって怒る」「目を—にする」
２全くそうであるさま。まるっきり。「—なにせ物」</t>
        </is>
      </c>
      <c r="D7918" t="inlineStr">
        <is>
          <t>真っ赤な顔(5%)；真っ赤な血(3%)；真っ赤な嘘；真っ赤な唇；真っ赤な色</t>
        </is>
      </c>
      <c r="E7918" t="inlineStr">
        <is>
          <t>赤い；真赤；紅い</t>
        </is>
      </c>
      <c r="F7918" t="inlineStr">
        <is>
          <t>真っ赤なtシャツ；真っ赤なルージュ；真っ赤な鮮血；真っ赤な夕焼け；真っ赤な絨緞</t>
        </is>
      </c>
      <c r="H7918" t="n">
        <v>29</v>
      </c>
      <c r="I7918" t="inlineStr">
        <is>
          <t>全身真っ赤になったのは、あの男にキスをしたことを思い出したからだ。；その時大きな音を立てて真っ赤に燃えた太い薪が竈の口から飛び出した。；セ・ネドラは聞くまい聞くまいと努力しながら、顔を真っ赤にしていた。；たまに視線の間に江美が入ると、突然真っ赤な顔をして歯ぎしりをした。；お前は思わず真っ赤な顔をして、あの方の部屋を飛び出してしまった。；子供が濡れた靴ではいってこようものなら、真っ赤になって怒るくせに。；そのまわりは、ひどい暴風雨のときのように、真っ赤になっていました。；喉のあたりの筋が怒りでひきつり、顔はみるみる真っ赤になっていった。；あ・・・ またやってしまったのか・・・ 俺まで真っ赤になっているのがわかる。；わたしは畳に座りこんだまま、ただ顔を真っ赤にしていたと思います。；真っ赤な味噌みたいなものが彼のいる辺りまで刎ねて来たからである。；背中に真っ赤なランドセルをしょっているのは、学校帰りのせいだろう。；後期のオープニングは真っ赤な画面から同じく渦巻きの模様から始まる。；ウッドはサッカーボールぐらいの大きさの真っ赤なボールを取り出した。；脚を切られた蛸みたいに真っ赤なものが、そこに転がっているのである。；ヒルダの目はまるで激しく泣いたあとのように真っ赤になっていた。；額と左手からは真っ赤な血を流し、右手には折れた封水剣が握られている。；子供は熱にうかされて真っ赤な顔をし、父親がわからないほどだった。；すぐ後ろには、真っ赤なたてがみと尾を持つ、巨大な猫科の動物がいた。；夏場でも葉が真っ赤に枯れることから、景観上の問題となることもある。；いつも暗澹と樹々の風ばかりしている山裾のほうが、真っ赤なのである。；「この親父は真っ赤な顔をして、何をわめいてるのよ」てなもんである。；彼女がこっそりと笑っている姿を思うと、彼の顔は真っ赤にほてってきた。；多分、今の自分は頬を真っ赤に染めて、熟した柿のような顔色のはずだ。；この時、境内にあった池は僧兵や兵士の血で真っ赤に染まったと言われる。；走り疲れ、真っ赤になっていた頬は雨に濡れて元の肌色を取り戻してゆく。；その一本の枝のさきに、小さい真っ赤なものが、ついていたのです。；もう目が真っ赤に充血しちゃってるのね、正気の沙汰じゃなくなってる。；真っ赤な目で睨むことで大人をも硬直させ動けなくしてしまう能力を持つ。</t>
        </is>
      </c>
      <c r="J7918">
        <f>HYPERLINK("https://www.weblio.jp/content/真っ赤", "词义详情")</f>
        <v/>
      </c>
      <c r="K7918">
        <f>HYPERLINK("https://yourei.jp/真っ赤", "查看例句")</f>
        <v/>
      </c>
    </row>
    <row r="7919">
      <c r="A7919" t="inlineStr">
        <is>
          <t>末期</t>
        </is>
      </c>
      <c r="B7919" t="inlineStr">
        <is>
          <t>成功</t>
        </is>
      </c>
      <c r="C7919" t="inlineStr">
        <is>
          <t>読み方：まっき
ある物事の末の時期。終わりに近いころ。「戦争の—」「平安—」</t>
        </is>
      </c>
      <c r="D7919" t="inlineStr">
        <is>
          <t>末期頃；末期以降；末期患者；末期腎不全；末期発症</t>
        </is>
      </c>
      <c r="E7919" t="inlineStr">
        <is>
          <t>最後；末；結局；最終；終わり</t>
        </is>
      </c>
      <c r="F7919" t="inlineStr">
        <is>
          <t>明治末期；第二次世界大戦末期；太平洋戦争末期；後漢末期；鎌倉時代末期</t>
        </is>
      </c>
      <c r="G7919" t="inlineStr">
        <is>
          <t>末期症状；末期癌；末期がん；末期古墳；末期ガン</t>
        </is>
      </c>
      <c r="H7919" t="n">
        <v>29</v>
      </c>
      <c r="I7919" t="inlineStr">
        <is>
          <t>日本には明治時代の末期にアメリカから輸入されたのが始まりとされる。；しかし旧石器時代の最末期は遺跡が激減していることが確認されている。；末期には日本国内の店舗は長野県を除き営業エリアが明確に分けられていた。；なお、末期の寝台列車で運用されたものの編成は以下の通りであった。；前述のアナログ放送末期に使用されていたものをイメージして製作。；元々は、清朝末期に李鴻章が結成した地方軍・淮軍が主体となっている。；リトアニアは独ソ戦末期までドイツ軍の占領下に置かれることとなった。；殷末期の王に対しては帝乙や帝辛など帝の字が用いられるようになった。；は、日本の歴史のうち、江戸幕府が政権を握っていた時代の末期を指す。；しかし、王朝末期に弱体化した清朝はロシアの進出を抑えきれなかった。；むろん、まっきちゃんはその女を殺そうとして殺したのではありません。；特に連載末期は流行に敏感であり、時事ネタが非常に多くなってきていた。；レギュラー末期に放送された、電車内を舞台にした携帯電話を使ったコント。；一年戦争末期に再設計され、わずかな数が試験的に建造されている。；帝政末期にはその鎮圧のために軍隊が投入される騒動も発生している。；しかし春秋末期最強の都市国家晋が三分割されたころから様子が変わる。；この54という郡数は鎌倉時代の最末期の状態を反映したものである。；私はその電話に出てみて、それがまっきちゃんからであるのにまず驚きました。；しかし戦争末期には資源不足から安易な代用品を選択することも多い。；地球の月は、地球形成末期に起きた巨大衝突の産物であるとする説が有力である。；朝鮮王朝の末期になると、近代化の動きの中で仏教への圧迫も弱まった。；第二次世界大戦末期の1944年にはソ連に再占領され、併合された。；なお、末期まで本系列が所属した車両基地について以下で解説を行う。；第二次世界大戦末期のドイツに最も合致した戦車とも言われる。；これ以後、三部会はブルボン朝末期の1789年まで開催されていない。；国鉄末期には1・2番線ホーム中間に森川弁当部が売店を営業していた。；詩序・毛伝に対して再注釈を加えたのが、後漢末期の学者の鄭玄である。；このため末期には工事施工車と未施工車が混在する編成も存在した。；歴代天皇を確定するための基準が定まったのは、大正時代末期のことである。</t>
        </is>
      </c>
      <c r="J7919">
        <f>HYPERLINK("https://www.weblio.jp/content/末期", "词义详情")</f>
        <v/>
      </c>
      <c r="K7919">
        <f>HYPERLINK("https://yourei.jp/末期", "查看例句")</f>
        <v/>
      </c>
    </row>
    <row r="7920">
      <c r="A7920" t="inlineStr">
        <is>
          <t>真っ暗</t>
        </is>
      </c>
      <c r="B7920" t="inlineStr">
        <is>
          <t>成功</t>
        </is>
      </c>
      <c r="C7920" t="inlineStr">
        <is>
          <t>読み方：まっくら
［名・形動］
１まったく暗いこと。また、そのさま。「—な夜道」「停電で街が—になる」
２まったく見通しがたたず希望のないこと。また、そのさま。「お先—」
３「真っ黒4」に同じ。
「可愛いとなると舐殺(なめころ)しかねない程—になって可愛がる」〈宮本・貧しき人々の群〉</t>
        </is>
      </c>
      <c r="D7920" t="inlineStr">
        <is>
          <t>真っ暗な中(3%)；真っ暗な部屋(3%)；真っ暗な闇；真っ暗な夜；真っ暗な穴</t>
        </is>
      </c>
      <c r="E7920" t="inlineStr">
        <is>
          <t>黒い；絶望的；真暗；まっ暗；暗澹たる</t>
        </is>
      </c>
      <c r="F7920" t="inlineStr">
        <is>
          <t>くらい真っ暗；真っ暗な夜道；真っ暗な夜空；真っ暗な山道；真っ暗な洞窟</t>
        </is>
      </c>
      <c r="H7920" t="n">
        <v>29</v>
      </c>
      <c r="I7920" t="inlineStr">
        <is>
          <t>両側の家は真っ暗で人が住んでいるとは思われないほどしんとしている。；小屋の中は真っ暗なので、裸であっても本来とくに問題もないのである。；それをこんな真っ暗な中この小さな身体で一人飾り付けをしたってのか?；真っ暗な空と夜の気配が明るい部屋に黒い裂け目を作ったように見えた。；出てみると辺りはすでに真っ暗になっており、一晩野宿することにした。；昭の破った部分から光が入っていなければ、本当に真っ暗だっただろう。；ジムは真っ暗な中を手探りで下りていかなければならないと思っていた。；そんな展望のないことを考えただけで、目の前が真ッ暗になってしまう。；さっき見たときは明かりのついていた、二階の端の窓も、今は真っ暗だ。；部屋は真っ暗でしたから、二人はそれをどちらもうれしいと思いました。；もし真っ暗で、鍵でもかかっていたらどうしようかと心配していたのです。；真っ暗な山の方を見つめていても、影の塊がぼんやり浮かんでいるだけだ。；目を開けても周囲は真っ暗で、耳が痛くなるほどの大音響に満ちていた。；それは真っ暗なトンネルの中でたくさんの鐘を鳴らすようなものである。；一階には人の住んでいる気配がしたが、二階へ上がると、真ッ暗だった。；やがて二人は、真っ暗な螺旋階段を上って、光の穴からその塔上に出た。；リングワールドの夜は、何も見えないほど真っ暗になることはまずない。；まるで真っ暗な洞窟の中を手をつないでそろそろと歩いているようだった。；ずっと先の真っ暗になった所で、やっとまっすぐに立つことができた。；そのときわしは、急に眼の前が真っ赤になり、それから真っ暗になって。；急に目の前が真っ暗になってバタッと倒れてしまうことも少なくない。；真っ暗で何も見えないが、とにかく生きていることだけは間違いない。；海は真っ暗で、いつか大粒の雨がスレートの屋根に重い音を立てている。；この建物は三階までは明かりがついていたが、それより上は真っ暗だった。；ほとんど真っ暗だから、その姿は見えないが、深い寝息が聞こえていた。；そのときはどうやってこの真っ暗なトンネルから抜け出したのだろう。；目の前が真っ暗なのは、スカートの中に顔を突っ込んでいるからだった。；彼女は目の前が真っ暗になり、そのために行と行が入り乱れて見えた。；駅のそばとはいっても夜になるとあたりは真ッ暗になってしまう。</t>
        </is>
      </c>
      <c r="J7920">
        <f>HYPERLINK("https://www.weblio.jp/content/真っ暗", "词义详情")</f>
        <v/>
      </c>
      <c r="K7920">
        <f>HYPERLINK("https://yourei.jp/真っ暗", "查看例句")</f>
        <v/>
      </c>
    </row>
    <row r="7921">
      <c r="A7921" t="inlineStr">
        <is>
          <t>真っ黒</t>
        </is>
      </c>
      <c r="B7921" t="inlineStr">
        <is>
          <t>成功</t>
        </is>
      </c>
      <c r="C7921" t="inlineStr">
        <is>
          <t>読み方：まっくろ
［名・形動］
１純粋に黒いこと。また、そのさま。「—な（の）髪」
２日焼け、雪焼けなどで肌が黒いこと。また、そのさま。「海水浴帰りの—な（の）顔」
３汚れて黒ずんでいること。また、そのさま。「あかじみた—な（の）手」
４いちずになること。また、そのさま。
「—に惚れ込むと」〈蘆花・思出の記〉</t>
        </is>
      </c>
      <c r="D7921" t="inlineStr">
        <is>
          <t>真っ黒な煙；真っ黒な顔；真っ黒な雲；真っ黒な影；真っ黒な髪</t>
        </is>
      </c>
      <c r="F7921" t="inlineStr">
        <is>
          <t>真っ黒な猫；真っ黒な液体；真っ黒な穴；真っ黒な服；真っ黒な背景</t>
        </is>
      </c>
      <c r="G7921" t="inlineStr">
        <is>
          <t>真っ黒く；真っ黒か</t>
        </is>
      </c>
      <c r="H7921" t="n">
        <v>29</v>
      </c>
      <c r="I7921" t="inlineStr">
        <is>
          <t>その名の通り、人間の影のような真っ黒な人型のものが現れる謎の現象。；真っ黒な雲が動いているのが見え、白い雨の線がその雲から降ってくる。；そんな事を二時間ばかりしていたら、真っ黒な人影が病院から出てきた。；日本では見かけない真っ黒なナマズが底のほうでウナギに囲まれている。；影絵のような真っ黒の男の人が現れて、私に和穂さんの話をするんです。；ザフォド達がレストランの駐車場にいくと、真っ黒な船が止めてあった。；少年の全身の中で、その真っ黒な黒瞳のみが、強い存在感を放っていた。；河が真っ黒であったばかりでなく、河原の砂もまた真っ黒でありました。；ふきの真っ黒になった腕がぱたりと地面に落ち、身体が動かなくなった。；そして、突然有紀の身体が真っ黒な炭のような身体に変わったのだった。；頭の中ではっきり言葉にしたら、目を閉じているのに視界が真っ黒になった。；だが右の瞳のなかに、一点針でつついたように真っ黒な部分があった。；真っ黒に焼けており、年は分かりにくいが自分と同じぐらいであろうか。；かつて市内で産出された石炭をイメージした真っ黒な色調が特徴である。；悪魔が真っ黒な姿で説教壇に立つと、皆が『ここにおります』と答えた。；君だって、僕だって、同じように真っ黒な部分を持って生きてるんだ。；真っ黒に焦げたところで彼に与えられるが、彼は立ったままで食べる。；動いている方の、真っ黒で長い時計の針は九時五分を指していた。；毅然と煙草を吸っていた祖母の内側は、真っ黒にむしばまれていたのか。；と、その中にこれもまた昔の母のような真っ黒に泥と垢で汚れた女がいた。；半透明のそのアクリル板は、向こう側に光さえなければ真っ黒に見える。；両手を泥田へ入れたらしく、真っ黒にして何か藁苞に容れて持っている。；あの親父、ここで芝居をやりたいがためにわざわざ真っ黒になるんや。；真っ黒な壁が、そこにあるはずの廊下のかわりに立ちはだかっていた。；写真に写った二人は、目の周りだけを残して真っ黒に雪焼けしているのだ。；窓の外に広がる、タールを敷きつめたような真っ黒な海を僕は眺めていた。；まるで闇が爆発したかのように、摩耶の前に真っ黒な夢魔が出現した。；視界の先では真っ黒な天井がブラックホールのように広がっている。；やがて図画の時間も終わる頃、M君の絵は真っ黒にぬりつぶされていた。</t>
        </is>
      </c>
      <c r="J7921">
        <f>HYPERLINK("https://www.weblio.jp/content/真っ黒", "词义详情")</f>
        <v/>
      </c>
      <c r="K7921">
        <f>HYPERLINK("https://yourei.jp/真っ黒", "查看例句")</f>
        <v/>
      </c>
    </row>
    <row r="7922">
      <c r="A7922" t="inlineStr">
        <is>
          <t>まつげ</t>
        </is>
      </c>
      <c r="B7922" t="inlineStr">
        <is>
          <t>成功</t>
        </is>
      </c>
      <c r="C7922" t="inlineStr">
        <is>
          <t>読み方：まつげ
《「目(ま)つ毛」の意》まぶたの縁に生えている毛。「つけ—」「逆(さか)さ—」</t>
        </is>
      </c>
      <c r="D7922" t="inlineStr">
        <is>
          <t>まつげ状</t>
        </is>
      </c>
      <c r="F7922" t="inlineStr">
        <is>
          <t>濃いまつげ；黒いまつげ</t>
        </is>
      </c>
      <c r="G7922" t="inlineStr">
        <is>
          <t>まつげエクステンション</t>
        </is>
      </c>
      <c r="H7922" t="n">
        <v>29</v>
      </c>
      <c r="I7922" t="inlineStr">
        <is>
          <t>長いまつげにかかる涙をぬぐおうとした時、女王が眼の前におられた。；黒いまつげに光るものがあって、「いくらかはね」と小さな声でいった。；漫画で少女の瞳に下まつげを描いたのは花村が最初だと言われる。；彼女はまだ眼を伏せたままで、羽毛のような長いまつげが頬に触れている。；彼女は長いまつげを上げようともせず、かれを見ようともしなかった。；まつげの色は薄く、中国絵画の繊細な一筆のように優美な眉をしている。；あまりこまかくてよく見えないのだが、まつげまでついているらしい。；柔らかな身体のラインとか、シュッと墨を引いたような長いまつげとか。；子実体は小さく赤い傘を持ち先端にまつげのような毛を持っている。；形のよい生き生きした瞳は濃いまつげにふちどられて底が知れない。；品の良い頬の丸みと、長いまつげをした半円形に近い目に間違いはなかった。；彼がふりかえった時、長いブロンドのまつげに、一滴の涙が光っていた。；目が丸くてまつげの濃いところは、少しキリコに似ていると言えなくもない。；それから数瞬後には、涙で湿った目とまつげが、凜とした光に輝いていた。；薄い色のまつげをそっと伏せた彼女の唇が、かすかに彼に触れた。；こんなふうでは、まつげに触れたくなるようなあまい雰囲気になりようがない。；ふと気がつくと、彼女の黒い眸を覆う長いまつげが、いっぱい濡れていた。；そしてパッと見ひらいたまつげとまつげとの間に銀の様な糸をはり始めた。；かれは静かに横たわったまま、まつげのあいだからちらりとあたりを見た。；長い絹糸のようなまつげが、黒い、けぶったような瞳に影を落としている。；まぶたが垂れてきてついに眼のふちの長いまつげが頬に触れんばかりとなった。；次の瞬間、石になったかのように、まつげにいたるまで体が動けなくなった。；キャップからもまつげからも唇からも、水滴がしたたり落ちてきた。；だが、長いまつげに縁どられた大きな瞳は、どう見ても成熟した女のそれだ。；これらのまつげ状の構造は最も特徴的であり、虫眼鏡でも簡単に見ることができる。；とじられたお芦のまつげの下から、二すじの細い血の糸が垂れていた。；濃いまつげの陰では、緑色の瞳がなにやら思惑ありげにきらめいている。；瞬きすれば音がしそうなほどに長いまつげ、伏せられたそれがゆっくりと開く。；まつげと頬がびっしょり濡れていたが、表情はもう落ち着いていた。</t>
        </is>
      </c>
      <c r="J7922">
        <f>HYPERLINK("https://www.weblio.jp/content/まつげ", "词义详情")</f>
        <v/>
      </c>
      <c r="K7922">
        <f>HYPERLINK("https://yourei.jp/まつげ", "查看例句")</f>
        <v/>
      </c>
    </row>
    <row r="7923">
      <c r="A7923" t="inlineStr">
        <is>
          <t>真っ青</t>
        </is>
      </c>
      <c r="B7923" t="inlineStr">
        <is>
          <t>成功</t>
        </is>
      </c>
      <c r="C7923" t="inlineStr">
        <is>
          <t>読み方：まっさお
［名・形動］
１純粋に青いこと。また、そのさま。「—な湖」
２血の気がひいて顔色が悪いこと。青ざめること。また、そのさま。「ショックで—になる」</t>
        </is>
      </c>
      <c r="D7923" t="inlineStr">
        <is>
          <t>真っ青な顔(17%)；真っ青な空(5%)；真っ青な瞳；真っ青な海；真っ青な光</t>
        </is>
      </c>
      <c r="E7923" t="inlineStr">
        <is>
          <t>青い；青白い；蒼白；蒼い；蒼白い</t>
        </is>
      </c>
      <c r="H7923" t="n">
        <v>29</v>
      </c>
      <c r="I7923" t="inlineStr">
        <is>
          <t>一口飲むと、驚いたことに、目の前に真っ青な海が広がって見えました。；真っ青な顔の船長を連れて、テロリストたちはステージを降りていった。；それはそれは真っ青な、おびえきった、絶望しきったご様子でしたもの。；恐ろしいものでも見たように両目が見開かれ、顔は真っ青になっている。；が、相手の顔をじっと見たとたんに、彼女は急に真っ青になってしまった。；ママは、真っ青になって僕と押しよせる人たちとの間に立ちはだかった。；運良く男に背を向けていたので、真っ青な驚き顔を見られなかった。；自分といっしょに解剖室にやってきた少年をみると、真っ青になっていた。；郁美は気づかなかったが、不安と緊張で真っ青な顔をしていたらしい。；彼女は顔が真っ青であったが、しかし神経いっぱいになって起ち上がった。；背中を丸めてテレビの色を調整しているうちに画面は真っ青になってしまった。；アウダ夫人は生きた心地もなく、真っ青になって客車の中に残っていた。；コモモが真っ青な顔でうちの店先に立ったのは、その日の真夜中である。；榊の真っ青になった顔を下から睨めまわした久間は、やがて口を開いた。；そう言ったとたん、君は急にお腹を抱えて顔を真っ青にしてかがみこんだ。；その顔は真っ青でこわばり、明らかになにかを恐れているようだった。；顔は真っ青で、昨夜は眠れなかったらしく目の下に黒い隈ができていた。；橋の欄干に掴まって、真っ青な顔をしてしゃがみこんでいる自分もいた。；だから、事前に論文を手に入れて、もう真っ青になって調べていくんですね。；一点の曇りもない空を映して真っ青な海が水平線の彼方まで続いている。；今これを知った加藤さんは営業を考えて真っ青になっている。；が、その真っ青な顔を見ていると、何か真剣なものが私にまでも迫ってきた。；これらの経緯を経て、今日では真っ青のことを広く群青色とする傾向がある。；はっと顔を上げると、思いがけなく野田が真っ青な顔をして立っていた。；手が震えていたし、顔は真っ青、こいつ泣き出すんじゃないかと思ったほどだ。；少し間隔をおいて英生か托雄かどちらかが真っ青になって座っていた。；正面には真っ青な竹の繁みが太陽の光りを浴びて背を伸ばしていた。；振り上げたら、美良さんが真っ青になって下から止めようとしたんです。；だって、テーブルの向かいに座った男の顔が真っ青になったもの。</t>
        </is>
      </c>
      <c r="J7923">
        <f>HYPERLINK("https://www.weblio.jp/content/真っ青", "词义详情")</f>
        <v/>
      </c>
      <c r="K7923">
        <f>HYPERLINK("https://yourei.jp/真っ青", "查看例句")</f>
        <v/>
      </c>
    </row>
    <row r="7924">
      <c r="A7924" t="inlineStr">
        <is>
          <t>真っ先</t>
        </is>
      </c>
      <c r="B7924" t="inlineStr">
        <is>
          <t>成功</t>
        </is>
      </c>
      <c r="C7924" t="inlineStr">
        <is>
          <t>読み方：まっさき
［名・形動］いちばん初めであること。また、そのさま。「—に駆けつける」</t>
        </is>
      </c>
      <c r="D7924" t="inlineStr">
        <is>
          <t>真っ先に浮かん；真っ先に疑われる；真っ先に駈けつけ；真っ先に狙われる</t>
        </is>
      </c>
      <c r="E7924" t="inlineStr">
        <is>
          <t>最初；初め；第一；トップ；一等</t>
        </is>
      </c>
      <c r="F7924" t="inlineStr">
        <is>
          <t>誰よりも真っ先</t>
        </is>
      </c>
      <c r="H7924" t="n">
        <v>29</v>
      </c>
      <c r="I7924" t="inlineStr">
        <is>
          <t>見るとかれの真ッ先へ猫に追われた鼠のように駆け出してゆく男がある。；今日来る人を決める時、真っ先に手を上げたのは藍子ちゃんだったから。；僕が成人してまっ先にやったことは、そういう手術を受けることだった。；まっ先に元軍の襲撃を受けたのは、対馬であり、つぎは壱岐の島だった。；だが、これに真っ先に反対したのは他ならぬ増時本人であったとされる。；その中で、真っ先に走ってくるのは、どちらかといえば鈍重そうな音だ。；今度越した家を自分の空気でこしらえようということがまっ先であった。；反対に濃い緑は、早く雪が消えて若草が真っ先に萌え出たところだろう。；まっ先に飛んでいくのではと、わたくしが思ったとおりのことをしてくれて。；私たちは一時間かかって頂上に着いたが、まっ先に着いたのは私であった。；「風はまだとまったままだの」 真っ先におりて来た重右衛門が言った。；戻ってくる三人のうち、真っ先に正房に駆けこんできたのは桂桂だった。；真ッ先に手を上げてふりながら走り出して来るのは、三人の弟等であった。；すると彼はまっ先に笑い出して、されるままになって少しも怒らなかった。；ことに私は、あの晩真っ先に自分の肉体を隅々まで調べられているのです。；おみつにあんなことでもなかったら、お文は真っ先に伝えただろうと思う。；だから国境戦となれば、真っ先に衝突するのは津和野ということになる。；彼がそれさえまっ先に飛び越えたら、第一着は疑いないところであろう。；予期していたことが現実になった、という感じがまっ先に頭にうかんだ。；ロシアに入って真っ先に印象されたのは第一万事が珍しいということ。；太陽ののぼるのをまっ先に見んがために、クリストフは兜の影から出た。；でもソフィーがまっ先に目をとめたのはこの客の大きな帽子でした。；警察が真っ先に捜査するにきまっているから、そんなところは駄目です。；もし、なんとかできるものなら、真っ先に駈けつけて救いだしただろう。；わしらは、みないそいで腰をあげたが、テセウスがまっ先に口をきった。；タクシーに飛び乗ったとき、真っ先にももこのところに行くべきだった。；そのようなものがあるのなら、バハモンデが真っ先に見つけていただろう。；真っ先に思ったのは「ま、人間はいつか死ぬもんな」ということだった。；僕はどうしてあなたのことをまっ先に考えたのかわかりません。</t>
        </is>
      </c>
      <c r="J7924">
        <f>HYPERLINK("https://www.weblio.jp/content/真っ先", "词义详情")</f>
        <v/>
      </c>
      <c r="K7924">
        <f>HYPERLINK("https://yourei.jp/真っ先", "查看例句")</f>
        <v/>
      </c>
    </row>
    <row r="7925">
      <c r="A7925" t="inlineStr">
        <is>
          <t>真っ先に</t>
        </is>
      </c>
      <c r="B7925" t="inlineStr">
        <is>
          <t>成功</t>
        </is>
      </c>
      <c r="D7925" t="inlineStr">
        <is>
          <t>真っ先に浮かん；真っ先に疑われる；真っ先に駈けつけ；真っ先に狙われる</t>
        </is>
      </c>
      <c r="E7925" t="inlineStr">
        <is>
          <t>最初；初め；第一；トップ；一等</t>
        </is>
      </c>
      <c r="F7925" t="inlineStr">
        <is>
          <t>誰よりも真っ先</t>
        </is>
      </c>
      <c r="H7925" t="n">
        <v>29</v>
      </c>
      <c r="I7925" t="inlineStr">
        <is>
          <t>見るとかれの真ッ先へ猫に追われた鼠のように駆け出してゆく男がある。；今日来る人を決める時、真っ先に手を上げたのは藍子ちゃんだったから。；僕が成人してまっ先にやったことは、そういう手術を受けることだった。；まっ先に元軍の襲撃を受けたのは、対馬であり、つぎは壱岐の島だった。；だが、これに真っ先に反対したのは他ならぬ増時本人であったとされる。；その中で、真っ先に走ってくるのは、どちらかといえば鈍重そうな音だ。；今度越した家を自分の空気でこしらえようということがまっ先であった。；反対に濃い緑は、早く雪が消えて若草が真っ先に萌え出たところだろう。；まっ先に飛んでいくのではと、わたくしが思ったとおりのことをしてくれて。；私たちは一時間かかって頂上に着いたが、まっ先に着いたのは私であった。；「風はまだとまったままだの」 真っ先におりて来た重右衛門が言った。；戻ってくる三人のうち、真っ先に正房に駆けこんできたのは桂桂だった。；真ッ先に手を上げてふりながら走り出して来るのは、三人の弟等であった。；すると彼はまっ先に笑い出して、されるままになって少しも怒らなかった。；ことに私は、あの晩真っ先に自分の肉体を隅々まで調べられているのです。；おみつにあんなことでもなかったら、お文は真っ先に伝えただろうと思う。；だから国境戦となれば、真っ先に衝突するのは津和野ということになる。；彼がそれさえまっ先に飛び越えたら、第一着は疑いないところであろう。；予期していたことが現実になった、という感じがまっ先に頭にうかんだ。；ロシアに入って真っ先に印象されたのは第一万事が珍しいということ。；太陽ののぼるのをまっ先に見んがために、クリストフは兜の影から出た。；でもソフィーがまっ先に目をとめたのはこの客の大きな帽子でした。；警察が真っ先に捜査するにきまっているから、そんなところは駄目です。；もし、なんとかできるものなら、真っ先に駈けつけて救いだしただろう。；わしらは、みないそいで腰をあげたが、テセウスがまっ先に口をきった。；タクシーに飛び乗ったとき、真っ先にももこのところに行くべきだった。；そのようなものがあるのなら、バハモンデが真っ先に見つけていただろう。；真っ先に思ったのは「ま、人間はいつか死ぬもんな」ということだった。；僕はどうしてあなたのことをまっ先に考えたのかわかりません。</t>
        </is>
      </c>
      <c r="J7925">
        <f>HYPERLINK("https://www.weblio.jp/content/真っ先に", "词义详情")</f>
        <v/>
      </c>
      <c r="K7925">
        <f>HYPERLINK("https://yourei.jp/真っ先に", "查看例句")</f>
        <v/>
      </c>
    </row>
    <row r="7926">
      <c r="A7926" t="inlineStr">
        <is>
          <t>真っ白</t>
        </is>
      </c>
      <c r="B7926" t="inlineStr">
        <is>
          <t>成功</t>
        </is>
      </c>
      <c r="C7926" t="inlineStr">
        <is>
          <t>読み方：まっしろ
［名・形動］
１純粋に白いこと。また、そのさま。純白。「—な雲」
２（比喩的に）そこに何もないこと。空白であること。「頭の中が—になる」「定年を迎えスケジュール表が—だ」
３混じりもののないこと。純粋・無垢(むく)であること。「—な気持ちで事に当たる」</t>
        </is>
      </c>
      <c r="D7926" t="inlineStr">
        <is>
          <t>真っ白な肌；真っ白な雪；真っ白な歯；真っ白な光；真っ白な髪</t>
        </is>
      </c>
      <c r="F7926" t="inlineStr">
        <is>
          <t>真っ白に塗ら；真っ白なテーブルクロス；真っ白なしぶき；真っ白な閃光；真っ白な砂浜</t>
        </is>
      </c>
      <c r="G7926" t="inlineStr">
        <is>
          <t>真っ白く；真っ白なキャンバス；真っ白なものは汚したくなる；真っ白か</t>
        </is>
      </c>
      <c r="H7926" t="n">
        <v>29</v>
      </c>
      <c r="I7926" t="inlineStr">
        <is>
          <t>謎の黒い影にお前は選ばれた存在等といわれ、その後目の前が真っ白に。；初カラミはまったく覚えてなく頭が真っ白になるぐらい緊張したという。；その本は一部のページを除いて真っ白だが、ノートではなさそうだった。；真っ白になっていた彼女の頭に、冷たい水のように恐怖が流れこんで来た。；表情が完全に真っ白になっていて、口から半分くらい魂が抜けかけている。；彼の作品の多くは、陰影を際立たせるために真っ白な紙で作られている。；あのお顔は、両のおみ足の真ん中は雪のように真っ白だと言わんばかり。；遠い昔に建てられて、目がくらむほど真っ白な大理石でできていました。；それがために真っ白の犬を人間に近いといったものでございましょう。；この男、男性にしては顔の造作が繊細で、しかも真っ白な肌をしている。；さっきまで喘いでいた秋葉みたいに、こっちの頭が真っ白になっていく。；おまけに屋敷の外にほとんど出たことがないのだろう、肌が真っ白である。；真っ白だった恭子の頭の中に、次々と言葉が浮かんでは消えていった。；先月まではまだ灰色だった母親の髪がいまでは真っ白になっていた。；母が椅子の背を両手で握りしめる余り、拳が真っ白、腕との境が出来た。；それには抵抗も反抗もできないような、何も知らない真っ白な少年がいい。；頭の中が真っ白になるというのはこういう状態なのだろうと思った。；あの真っ白な手が痙攣的にその新聞を握りしめているさまが目に浮かんだ。；当然事情を知らない救助隊が真っ白になっていたが気にする真田ではない。；辺り一面真っ白の 世界で、いくら歩いても風景がまったく変わらないのだ。；その頃すでに頭は真っ白だったけれど、父には子供みたいなところがあってね。；はなやかな笑みで、目に白目があるのと同じように、歯も真っ白だった。；買ってもらったばかりの真っ白のナイキに掠れたような靴跡が付いた。；黒い影のような姿をしており、憑依された者は髪が真っ白の乱髪へ変わる。；そうして私の見ている間に目の前の谷は再び真っ白になった。；背中や頭は灰色の縞模様だが、それ以外の部分、腹や顔の半分は真っ白だ。；そこに入っていたのは、真っ白な雪に包まれたかのような純白のスイーツ。；雪が一面を被い尽くしており、どこもかしこもただ真っ白なだけだった。；そして、あの真っ白な光は、この地底湖の底から溢れ出ているのだった。</t>
        </is>
      </c>
      <c r="J7926">
        <f>HYPERLINK("https://www.weblio.jp/content/真っ白", "词义详情")</f>
        <v/>
      </c>
      <c r="K7926">
        <f>HYPERLINK("https://yourei.jp/真っ白", "查看例句")</f>
        <v/>
      </c>
    </row>
    <row r="7927">
      <c r="A7927" t="inlineStr">
        <is>
          <t>まっすぐ</t>
        </is>
      </c>
      <c r="B7927" t="inlineStr">
        <is>
          <t>成功</t>
        </is>
      </c>
      <c r="C7927" t="inlineStr">
        <is>
          <t>読み方：まっすぐ
［名・形動］
１少しも曲がることのないこと。また、そのさま。「—な（の）線」「—に歩く」
２寄り道などしないで、直接に目的に向かうこと。また、そのさま。「家へ—に帰る」
３かくしだてのないさま。正直。「—な性格」</t>
        </is>
      </c>
      <c r="D7927" t="inlineStr">
        <is>
          <t>まっすぐに伸ばし；まっすぐに伸び；まっすぐに見つめ；まっすぐに歩い；まっすぐ歩い</t>
        </is>
      </c>
      <c r="E7927" t="inlineStr">
        <is>
          <t>すぐに；必死；直；本気；真剣</t>
        </is>
      </c>
      <c r="F7927" t="inlineStr">
        <is>
          <t>そのまままっすぐ；まっすぐな道；まっすぐにのび；まっすぐにのばし；まっすぐ進ん</t>
        </is>
      </c>
      <c r="G7927" t="inlineStr">
        <is>
          <t>まっすぐにいこう</t>
        </is>
      </c>
      <c r="H7927" t="n">
        <v>29</v>
      </c>
      <c r="I7927" t="inlineStr">
        <is>
          <t>開いてある窓の枠に両手を軽く置き、まっすぐに立って彼女は外を見た。；それは金属の竜骨でまっすぐになり、尾には針の列が二重についている。；肩甲骨は非常に長く、側面図では非常にまっすぐな前後の縁が見られる。；天井はもう、まっすぐに立っていられないほどさがってきているのです。；その巨人が、まっすぐに、こちらへ歩いてくるように感じられるのです。；私はあの女の下腹をまっすぐに愛してやればよかったのだと思います。；飛行艇はまっすぐこちらに向かって飛びながら、高度を下げつつあった。；そうこうしているうちに、船は異星系の太陽へとまっすぐに落ちてゆく。；しかし、イザベルの眼には、ローマへと続くまっすぐな道が見えていた。；帰りは従来からの線路を使ってまっすぐモーク・チャンクへと帰着した。；店に向けて脇道がまっすぐにあって、私はその道を歩いていたのです。；その折れた路がまっすぐに付いているのを見ると、どうも誰か登ったらしい。；山には、黒々とした森が、空にむかって、まっすぐつき立っていました。；階段を上がりきったところは、まっすぐにのびている廊下の途中だった。；カメラはイメージの制作行為を撮影すると同時に私達をまっすぐに見つめている。；作品中、白いローブを着た老人がベッドの上にまっすぐに座っている。；彼のめのまえには一条の大道が現われて、まっすぐに彼の家まで続いていた。；個人の感情をすこしだけ越えたような何かを、まっすぐに運んできてくれる声。；奴は口を閉じ、尾をまっすぐ上下させて、俺たちは兄弟のように進んで行く。；星は8ポイントのもので、星の発する光線がまっすぐに表現されている。；「僕」は家を出てまっすぐにブルーラインの地下鉄の駅まで行ってみた。；元気に活動している時はこの尾がまっすぐに高く掲げられる。；双葉もまた、まっすぐで素直な音を出すことで先輩に目を付けられていた。；ヤードという言葉は、まっすぐな枝または棒が語源であるとされている。；なおこの駅からまっすぐ西へ2Kmほど進むと紀勢本線の宮前駅がある。；雌雄とも約65センチメートルに達する、ほぼまっすぐの長い角を持つ。；まっすぐに五百メートル泳ぐことの出来る場所を、僕はほかに知らない。；青年はまっすぐに歩きつづけたので、ついに舞台の下まで行きついた。；アダムの眼は神を見つめ、神の眼はまっすぐにアダムへと向けられている。</t>
        </is>
      </c>
      <c r="J7927">
        <f>HYPERLINK("https://www.weblio.jp/content/まっすぐ", "词义详情")</f>
        <v/>
      </c>
      <c r="K7927">
        <f>HYPERLINK("https://yourei.jp/まっすぐ", "查看例句")</f>
        <v/>
      </c>
    </row>
    <row r="7928">
      <c r="A7928" t="inlineStr">
        <is>
          <t>まったく</t>
        </is>
      </c>
      <c r="B7928" t="inlineStr">
        <is>
          <t>成功</t>
        </is>
      </c>
      <c r="C7928" t="inlineStr">
        <is>
          <t>読み方：まったく
［副］《形容詞「まったい」の連用形から》
１完全にその状態になっているさま。すっかり。「—新しい企画」「回復の希望は—絶たれた」
２打消しの語を伴って、完全な否定の意を表す。決して。全然。「彼は事件とは—関係がない」「—話にならない」
３ある事実・判断を強調する気持ちを表す。本当に。実に。「今日は—寒い」「—けしからん話だ」「—君の言う通りだよ」
４（「まったくだ」「まったくです」などの形で）話し言葉で、相手の言葉を受けて、それを強く肯定または否定する意を表す。「『腹が立つといったら、殴りたい気分だよ』『—だね』（肯定）」「『旅行の準備はできたかね』『—ですよ』（否定）」
５（「まったくの」の形で）話題になっていることについて、その通りの、文字通りの、嘘偽りなしなどの意を表す。「抜けているといったら、—の抜け作さ」「料理については—の素人だ」
６（感動詞的に用いて）強い怒りや失望などの気持ちを表す。「全線不通とは、—」</t>
        </is>
      </c>
      <c r="D7928" t="inlineStr">
        <is>
          <t>まったく同じ(4%)；まったく違う；まったくわから；まったく異なる；まったく新しい</t>
        </is>
      </c>
      <c r="F7928" t="inlineStr">
        <is>
          <t>まったく常軌を逸し；まったく疑う余地；まったく無防備；まったく歯が立た；まったく正反対</t>
        </is>
      </c>
      <c r="H7928" t="n">
        <v>29</v>
      </c>
      <c r="I7928" t="inlineStr">
        <is>
          <t>これを聞いた田文はその客に料理がまったく同じだと言うことを示した。；表面にマグネタイトを形成する方法が一般的だがまったく充分ではない。；これらは一つの町の飛び地ではなく、関係のないまったく別の町である。；今までのニュースとはまったく違う番組にするし、組織も新しく作る。；二つの小宗教はアブラハムの宗教のどの区分にもまったく該当しない。；引退後の姿はまったく謎に包まれており、人々の興味の対象となった。；当時の琢磨自身もF1を引退する考えはまったくないことを表明していた。；あて布を必要とするものや、まったくアイロン掛けができないものもある。；この見解は現代の生物学者のある重要な一派の見解とまったく同じである。；これらのほとんどは、今日ではまったく効果がないことが明らかになっている。；どちらもサイレントで配給ルートも得られずまったく相手にされなかった。；彼がよく歌ったとされるプロバンス語の歌はまったく残っていない。；これはギーガーにとってはまったく理解に苦しむ出来事であったという。；実際に放送されたテレビ版では前述の通り生死に関する描写はまったくない。；隼人は、黒潮邸の秘密を警察に訴えに行くがまったく相手にされない。；そのため脳波図を調べたが、まったく異常が無いことが確認された。；本はまったく読んだことが無く、勉強もしたことがないという。；バーク哲学が事実上まったく導入されなかったのは、ドイツとロシアである。；互変異性と共鳴は表現は良く似ているもののまったく別の概念である。；ほとんどが手作業で、機械化はわずかか、またはまったくされていない。；上記のように、酸味がまったくないのにビタミンCが豊富な食品も多い。；なかにはまったく広告表示もなくて無料のものもある。；だが数百万人の虐殺などという報道は私にはまったくありえないことに思われた。；ここで言うMP4は、一般的に言われるMP4とはまったく別である。；特に、搭載レーダーとその関連システムはまったく別系統のものに変更された。；タロナスはまったく信用されておらず、ルーブルは非常に不安定だった。；岩場に植物がまったくないのもこれが原因だとするという伝承が紹介されている。；これはまったく自然なことであってワイン醸造の不備によるものではない。；二つの異なる関係がまったく同じグラフを持つことがありうる。</t>
        </is>
      </c>
      <c r="J7928">
        <f>HYPERLINK("https://www.weblio.jp/content/まったく", "词义详情")</f>
        <v/>
      </c>
      <c r="K7928">
        <f>HYPERLINK("https://yourei.jp/まったく", "查看例句")</f>
        <v/>
      </c>
    </row>
    <row r="7929">
      <c r="A7929" t="inlineStr">
        <is>
          <t>全うする</t>
        </is>
      </c>
      <c r="B7929" t="inlineStr">
        <is>
          <t>成功</t>
        </is>
      </c>
      <c r="C7929" t="inlineStr">
        <is>
          <t>読み方：まっとうする
［動サ変］［文］まったう・す［サ変］《「まったくする」の音変化》完全に果たす。完全に終わらせる。「本分を—・する」「天寿を—・する」</t>
        </is>
      </c>
      <c r="D7929" t="inlineStr">
        <is>
          <t>全うすること(28%)；全うするため(16%)；全うする為；全うする覚悟；全うする義務</t>
        </is>
      </c>
      <c r="E7929" t="inlineStr">
        <is>
          <t>行う；実行；達成；果たす；完了</t>
        </is>
      </c>
      <c r="H7929" t="n">
        <v>29</v>
      </c>
      <c r="I7929" t="inlineStr">
        <is>
          <t>ここまでやったら許されるというなら、絶対にそれを全うして見せる!!；そして己れに勝つ力のある者は、ただの一人も命を全うしはしなかった。；それを一度も表面に出すことなく、彼はおれの相棒たることを全うした。；ところがあとになってみると、この二隻とも航海を全うしなかったのだ。；だから、わたしは信仰の道に入ってそこで命を全うしたくなりました。；あくまで俳優として職を全うすることを公言したエピソードが知られる。；この年は一度もマイナーリーグでプレイすることなくシーズンを全うした。；帝国軍人の任務は、与えられた職務を全う することにあるというのだ。；エンゲルスは家族と別れを告げてでも信念を全うする覚悟を固めていた。；その歩きぶりは其等の凡ての条件を全うすべき資格をもっているのである。；生を全うすることが母の望みである以上、自殺することもできない。；現役晩年は代打に役割が変わっても、与えられたその役割を全うした。；人生の終わりを全うするということで、思い出されることがあるんです。；殷雷には、機能を全うする為に、自分の破壊を望む殻化宿が哀れだった。；その後9年間に渡って同職を全うしたが、この間に多くの改革を施した。；その場その場の問題を片付け続けることで人生を全うする者がほとんどだろう。；そして彼らはみな、それらの権限を行使し、それらの義務を全うしていた。；この天職を全うするために、たまたま手をつけたのが孤児の世話であった。；そのさい唯一の逃れて生命を全うする途は財宝を捨て去ることであると。；そうだ、ヴェーラは死んでしまった、そして僕は命を全うしているのだ。；そういう立場に生まれたんだし、その立場を全うすることも自分で決めたことだし。；ネパール国王に紹介をしてあなたの望みを全うするということは出来ない。；しかし、その地で発見されることとその地で生活を全うしていることは同じではない。；しかしそれは任務を全うし帰還が叶えば、修復可能な微細な破損である。；ヤンキースでキャリアを全うすると考えられていたため、移籍は驚きを与えた。；彼の人生もやすらぎと幸福にめぐまれ、最後を全うすることができた。；この世に生を受ける前の自分と云うのは、生を全うした後の自分と同義なのではないか。；天は人民の生を全うせしむるために土地を与え、主権者を命じたのである。；当時犬はすでに里親に出ており、家庭の中で寿命を全うしたという。</t>
        </is>
      </c>
      <c r="J7929">
        <f>HYPERLINK("https://www.weblio.jp/content/全うする", "词义详情")</f>
        <v/>
      </c>
      <c r="K7929">
        <f>HYPERLINK("https://yourei.jp/全うする", "查看例句")</f>
        <v/>
      </c>
    </row>
    <row r="7930">
      <c r="A7930" t="inlineStr">
        <is>
          <t>真っ二つ</t>
        </is>
      </c>
      <c r="B7930" t="inlineStr">
        <is>
          <t>成功</t>
        </is>
      </c>
      <c r="C7930" t="inlineStr">
        <is>
          <t>読み方：まっぷたつ
きっちりと半分にすること。また、半分になること。「りんごを—に切る」「意見が—に分かれる」</t>
        </is>
      </c>
      <c r="D7930" t="inlineStr">
        <is>
          <t>真っ二つに分け</t>
        </is>
      </c>
      <c r="H7930" t="n">
        <v>29</v>
      </c>
      <c r="I7930" t="inlineStr">
        <is>
          <t>黒々した森を真っ二つに切り裂いた光の刃の上を走っているようだった。；このままだとあと十数分で、中央から真っ二つになる可能性もあるって。；それは真っ二つに折れていて、事件現場にあった残りの半分と一致した。；人形は次の瞬間に、己の体が縦に真っ二つに切断されているのを知った。；鋭い鎌でどんな物も真っ二つにしてしまうがこんにゃくだけは切れない。；川本の判断は現役を離れたOB役員の間でも評価が真っ二つに分かれた。；そして、まるで開閉を始めたかのように天井が真っ二つに割れていった。；そこで戦前と戦後が、私の年齢を真っ二つにした形で比較されます。；もし逃れられなければ北麿の体は真っ二つにされていたことだろう。；頭が真っ二つになったかと思ったのは、この一時間のうちにこれで二度目だ。；腕を固定していた雑誌が、ほとんど真っ二つになって床に落ちた。；普通の人間なら身体を真っ二つにされていても不思議は無い。；一振りで六尺棒を真っ二つにし、次の瞬間には二人を同時に倒した。；その正体については、連邦内でも、意見は真っ二つに別れているらしい。；雨は個体のように真っ二つに切れて、草薙の周りから消えていった。；だが見てみると、家は真っ二つになり、その間を鉄道が通ってるではないか!?；正体不明の攻撃は素通りして、そのまま俺の体を真っ二つにしやがった。；これをかぶっていた為にあぶなく真っ二つにされるところでした。；兵士は小夜子が地上につくまでにメスで真っ二つにされてしまった。；山鹿も初めて見たのか、目をまん丸にして真っ二つになった麺を見ている。；さらに、港が大事にしていたサーフボードは真っ二つに折れていた。；その残骸は機雷によって前方の砲部分から真っ二つになったものであった。；そのままじっとしていれば、人形の如く真っ二つになるのは必然だ。；ヘルメットが真っ二つに割れたのに、2日後には安打を打っているのだ。；金槌を叩きつけたり、刀で真っ二つにするような、派手な破壊ではない。；刀身に触れた猫の身体を真っ二つに斬った伝承からその名がある。；クワガタがそのアゴでとなりの甲虫の胴を真っ二つにしている音だった。；ちなみに今カゼルは、人形のうちの一体を、真っ二つにしたところであった。；が、それは真っ二つに割れ、内部はくり貫いたように空洞になっている。</t>
        </is>
      </c>
      <c r="J7930">
        <f>HYPERLINK("https://www.weblio.jp/content/真っ二つ", "词义详情")</f>
        <v/>
      </c>
      <c r="K7930">
        <f>HYPERLINK("https://yourei.jp/真っ二つ", "查看例句")</f>
        <v/>
      </c>
    </row>
    <row r="7931">
      <c r="A7931" t="inlineStr">
        <is>
          <t>祭り</t>
        </is>
      </c>
      <c r="B7931" t="inlineStr">
        <is>
          <t>成功</t>
        </is>
      </c>
      <c r="C7931" t="inlineStr">
        <is>
          <t>読み方：まつり
１神仏・祖先をまつること。また、その儀式。特定の日を選んで、身を清め、供物をささげて祈願・感謝・慰霊などを行う。祭祀(さいし)。祭礼。俳諧では特に夏祭をさす。《季夏》「宵に睡(ね)て又目の醒(さ)めし—かな／草田男」
２特に、京都賀茂神社の葵(あおい)祭。
３記念・祝賀・商売・宣伝などのために行うもよおしもの。「港—」「着物—」
４江戸の日枝(ひえ)山王神社と神田明神の二大祭りのこと。
「—には御かしなさいと暑気見廻」〈柳多留・一八〉
５男女の性交。→御祭(おまつ)り
「仲人は宵の程、もはや—が渡ったと」〈浄・八百屋お七〉
６（比喩的に）ブログなどで、特定の個人・企業などが社会的に問題がある言動をしているのが他のユーザーに発見され、広く知れ渡ること。インターネット内の騒動にとどまらず、職場や学校・警察・マスコミなどへの匿名の通報に至るケースもある。炎上。「飲酒運転の告白が—に発展した」
[下接語]秋祭り・悪態祭り・後の祭り・暴れ祭り・甘酒祭り・磯(いそ)祭り・牛神祭り・浦祭り・裏祭り・恵比須(えびす)祭り・押し合い祭り・御(お)田植え祭り・御船祭り・御祭り・陰祭り・風(かざ)祭り・風の神祭り・竈(かま)祭り・神祭り・川獺(かわうそ)祭り・甲子(きのえね)祭り・首祭り・熊(くま)祭り・暗闇(くらやみ)祭り・喧嘩(けんか)祭り・荒神祭り・蚕玉(こだま)祭り・事祭り・地曵(じび)き祭り・地祭り・霜月祭り・精霊(しょうりょう)祭り・七夕祭り・鎮魂(たましずめ)の祭り・霊(たま)祭り・血祭り・月並みの祭り・辻(つじ)祭り・天気祭り・祈年(としごい)の祭り・夏祭り・裸祭り・花祭り・春祭り・雛(ひな)祭り・火祭り・鞴(ふいご)祭り・星祭り・本祭り・盆祭り・御霊(みたま)祭り・水口(みなくち)祭り・雪祭り・宵祭り・夜祭り・夜宮祭り・臨時の祭り</t>
        </is>
      </c>
      <c r="D7931" t="inlineStr">
        <is>
          <t>祭り気分；祭りあげ；祭り好き；祭り会場；祭り見物</t>
        </is>
      </c>
      <c r="E7931" t="inlineStr">
        <is>
          <t>式；会；祭；儀式；儀</t>
        </is>
      </c>
      <c r="F7931" t="inlineStr">
        <is>
          <t>行われる祭り；村祭り；開催される祭り；本祭り；桜祭り</t>
        </is>
      </c>
      <c r="G7931" t="inlineStr">
        <is>
          <t>祭りの準備；祭り上げる；祭りのあと；祭りの場；祭り上げよ</t>
        </is>
      </c>
      <c r="H7931" t="n">
        <v>29</v>
      </c>
      <c r="I7931" t="inlineStr">
        <is>
          <t>会場の外には出店などがありお祭りのような雰囲気として設定している。；また、この通りは姫路市の主なイベントや祭りが行われる場所でもある。；この社は主要な祭りの間の宗教的な行進のために使われたと信じられている。；祭り広場の中央には櫓があり、餅まきなどのイベントに活用されている。；近年では正装であるたすきをかけずに祭りに参加する女性が増加している。；約700本の桜が植えられており、毎年春にはさくら祭りが開催される。；また土壇の上には木が生えており、この木を中心に祭りをしたと考えられる。；また、祭りを破壊しに来るカラス族を少なくさせることにも成功した。；実際に行われている地方の祭りや催事をロケーションすることが多かった。；村の最も大きなイベントは、守護聖人である聖ベルナルドの祭りである。；祭りは年数回不定期で開催され、市場とミニコンサートで賑わっている。；祭りの当日には地元の人々が針やはさみを手にしない習わしがある。；家庭では主に夏・秋の祭りの時期に作られることが多い。；祭りは現在で100年以上の歴史があり、高度に組織化されている。；会場となっている寺院で昔から行われていた祭りが起源。；次の日は午前中に労働組合のデモや集会が行われ、午後はお祭りとなる。；お祭りモードは存在せず、チャンスタイム中の演出で使用されている。；そのため祭りが行われる10月から始まるカレンダーが毎年作成されている。；各地の裸祭りの中には、通過儀礼としての禊が祭り化されたものも多い。；上り子たちが山を駆け下った後も、祭りの儀式は続いている。；商店などでは祭り当日まで他人に飾りを見せないしきたりになっているという。；お祭りや稲の植え付けの際に田のあぜに旗を立てていたからと言う説。；お祭りの騒がしさの中、太鼓と笛の音が響き、神秘的な世界に包まれる。；同様の祭りはポーランドの他の都市でも開催される。；この戦いによって城下町は疲弊し、祭りの古式が失われていったという。；なお、木もれ陽4祭の中では唯一一般市民が参加できる祭りとなっている。；それが後に、祭りの時に歌われた行列聖歌として、その使用が拡大した。；かつて、北口は広場になっており、祭りなどはここで行われていた。；一部の演劇、また伝統的な祭りの際にみられるだけである。</t>
        </is>
      </c>
      <c r="J7931">
        <f>HYPERLINK("https://www.weblio.jp/content/祭り", "词义详情")</f>
        <v/>
      </c>
      <c r="K7931">
        <f>HYPERLINK("https://yourei.jp/祭り", "查看例句")</f>
        <v/>
      </c>
    </row>
    <row r="7932">
      <c r="A7932" t="inlineStr">
        <is>
          <t>祭る</t>
        </is>
      </c>
      <c r="B7932" t="inlineStr">
        <is>
          <t>成功</t>
        </is>
      </c>
      <c r="C7932" t="inlineStr">
        <is>
          <t>読み方：まつる
［動ラ五（四）］
１儀式をととのえて神霊をなぐさめ、また、祈願する。「先祖のみ霊(たま)を—・る」「死者を—・る」
２神としてあがめ、一定の場所に安置する。「菅原道真を—・ってある神社」
３上位にすえて尊ぶ。
「微妙な、奥ゆかしい礼儀が、自然と忍を上に—・る結果に」〈横光・家族会議〉
[可能]まつれる</t>
        </is>
      </c>
      <c r="D7932" t="inlineStr">
        <is>
          <t>祭るべき；祭る最高司祭者；祭る古い</t>
        </is>
      </c>
      <c r="H7932" t="n">
        <v>29</v>
      </c>
      <c r="I7932" t="inlineStr">
        <is>
          <t>きっとこの村はこの先も、こんな感じで二つの神様が祭られるのだろう。；太室祠は太室山の神を祭るための施設で、古代には重要な意味を持った。；俊寛われわれはもはや神を捨てて外道を祭ったほうがいいかもしれない。；百姓は恩に思って己の家の中へ宮を建てて雀大明神と云って雀を祭った。；ここで市民は長く続いたスパルタとの戦争の勝利を祈って女神を祭った。；キリストの遺骸を祭る墓があるかもしれないと主張する人たちも居る。；この天神様は、対馬ではいつごろから祭られるようになったのだろうか。；それにもかかわらず、祭る者が神となる事実は多くの人々に信じられていく。；火防の神が祭られていて、金魚市が今も毎年7月24日に開かれている。；彼のフェティシズムが、彼女の持ち物を神と祭ったほどの相手であった。；そもそもダム戦争以前は、オヤシロさまはそんなに祭られていなかった。；その子孫が先の過ちを悔いて神社の木を抜いて家に殖やし、祭っていた。；街の名前は、この地のヒンドゥー教寺院で祭られていたに由来している。；わが夫をすら外泊させて一人神を祭る夜に忍び男の来る事かと言ふのである。；神社の社の字、支那では古く二十五家を一社とし、樹を植えて神を祭る。；ただ天を祭っていた原始的な日本人から、おいおいと脱皮したのである。；子孫は現実にはあるかも知れぬが、死んでも祭ってくれずまた記憶してもくれぬ。；日本の神はみずから立ち現れず、これらの神を祭る者に神の態をさせる。；その後、供の者は村に残り天に帰っていった神を祭るために社を建ました。；神とその神を祭る人間の間に、その両者を結びつける一人の人間が選ばれる。；そこで母に袋を縫ってもらって中に入れ、神棚に祭ることにしたのだ。；現在の日本でも、木製の巨大な男性器像が神社に祭られている場合がある。；先祖を祭る義務と数十人に及ぶ一族を養う義務を一人で背負い込んでいた。；当時の地主の手によって墳丘上には古墳の主を祭る祠が建てられていた。；一体歳徳神とも年神とも言はれる正月の神は、今も迎へ祭る地方が多い。；この塔こそ、天を祭る大王家の柱に挑戦した異国の神の柱であった。；遺体を祭るのは生者のためであり、魂は神の御手に委ねられるのだ。；古くから国境の峠となっており、峠付近には地蔵が祭られている。；その四つは皆寺ではありますけれども、神様を祭ってあるところです。</t>
        </is>
      </c>
      <c r="J7932">
        <f>HYPERLINK("https://www.weblio.jp/content/祭る", "词义详情")</f>
        <v/>
      </c>
      <c r="K7932">
        <f>HYPERLINK("https://yourei.jp/祭る", "查看例句")</f>
        <v/>
      </c>
    </row>
    <row r="7933">
      <c r="A7933" t="inlineStr">
        <is>
          <t>的</t>
        </is>
      </c>
      <c r="B7933" t="inlineStr">
        <is>
          <t>成功</t>
        </is>
      </c>
      <c r="C7933" t="inlineStr">
        <is>
          <t>読み方：てき
１戦い・競争・試合の相手。「大国を—に回して戦う」「—の意表をつく」「—をつくりやすい言動」⇔味方。
２害を与えるもの。あるものにとってよくないもの。「民衆の—」「社会の—」「ぜいたくは—だ」
３比較の対象になる相手。「—のほうがもてる」「弁舌にかけては彼の—ではない」
４遊里で、客と遊女とが互いに相手をさしていう語。相方。おてき。
「—もをかしき奴(やつ)にて」〈浮・一代男・二〉
５（「的」とも書く。代名詞的に用いて）多少軽蔑して、第三者をさしていう語。やつ。やつら。
「—めもえらい痴呆(へげたれ)めぢゃ」〈滑・浮世風呂・前〉
[用法]敵(てき)・かたき——自分にとって害をなすもの、滅ぼすべき相手の意では「敵」も「かたき」も相通じて用いられるが、普通は「敵」を使う。「かたき」はやや古風ないい方。◇「敵」は戦争・競争・試合の相手全般について使う。「敵を負かす」「敵に屈する」「敵が多い」◇争いなどの相手の意で使う「かたき」は、「恋がたき」「商売がたき」「碁(ご)がたき」のように複合語として用いられることが多い。◇深い恨みを抱き、滅ぼしたいと思う相手の意では「かたき」を使う。「親のかたきを討つ」「父のかたきを取る」「目のかたきにする」など。◇類似の語に「あだ」がある。「かたき」と同じように使われ、「あだ（かたき）討ち」などという。ただし「恩をあだで返す」は「かたき」で置き換えられない。</t>
        </is>
      </c>
      <c r="D7933" t="inlineStr">
        <is>
          <t>中心；目標；核；狙い；獲物</t>
        </is>
      </c>
      <c r="F7933" t="inlineStr">
        <is>
          <t>積極的；基本的；伝統的；代表的；本格的</t>
        </is>
      </c>
      <c r="G7933" t="inlineStr">
        <is>
          <t>的中；的場；的外れ；的屋；的はずれ</t>
        </is>
      </c>
      <c r="H7933" t="n">
        <v>29</v>
      </c>
      <c r="I7933" t="inlineStr">
        <is>
          <t>表面にマグネタイトを形成する方法が一般的だがまったく充分ではない。；この統一的な状態を破壊したものが、近代的な国民国家の成立と言える。；テレビや新聞などで一般的に使用される震源は震央の位置を示している。；前衛的音楽のためアルバムはあまり売れなかったが、後に再評価された。；コロイドが持つ特徴的な性質を理解する分野はコロイド化学と呼ばれる。；ナンバリングタイトルのパロディ的な要素を含んでいるタイトルもある。；初連載ながらも1999年にはアニメ化され、国民的人気作品となった。；安定的な秩序が維持されており、各国は基本的に平和に過ごしている。；時期的には『スター・ウォーズ』のほうが制作開始・公開いずれも早い。；こうして遺伝現象の基本的な部分は分子の言葉で記述されるようになった。；様々なローカルルールが存在するが、以下は基本的なルールの紹介である。；他の人々はソフトウェアは全く工学的に扱うことはできていないと考えている。；キリスト教を積極的に保護し、豊後国の信者は3万人を超えたとされる。；絵の腕は大人も驚く出来だったが、あまり外向的な子供ではなかったという。；説明的妥当性を持つ理論は初期状態である普遍文法の性質を記述する。；ただし乾燥した地中海沿岸では、古くから森林の発達は限定的であった。；代わりにこれらがゲームをする人の中心的な指示者である。；しかし、政治的な理由で輸出ができなくなるなど不安定な要素も含んでいる。；ゲームにSFアニメ的なエッセンスを加えるために行った設定といえる。；地雷が勝った場合は爆発したとみなし撤去されるのが一般的である。；次のような理由で、一般的には分散学習のほうが効率的だと言われている。；数学における群とは、最も基本的と見なされる代数的構造の一つである。；数世紀前の実験で得られた基礎的なデータですら重要性を失わない。；集団防衛は防衛的な性格のみを持つために集団安全保障の側面も持つ。；また世界的に関心の高い分野への受賞など社会的なメッセージともとれる例がある。；最初の子どもが生まれるのは結婚して3年というのが平均的だった。；もっとも、両者の差異は相対的なものであることに注意が必要である。；最後まで残った冥王星の特徴的な点は、巨大な衛星カロンと大気である。；この種類のゲームは文房具以外の専門的な機器をほとんどまたは全く必要としない。</t>
        </is>
      </c>
      <c r="J7933">
        <f>HYPERLINK("https://www.weblio.jp/content/的", "词义详情")</f>
        <v/>
      </c>
      <c r="K7933">
        <f>HYPERLINK("https://yourei.jp/的", "查看例句")</f>
        <v/>
      </c>
    </row>
    <row r="7934">
      <c r="A7934" t="inlineStr">
        <is>
          <t>窓</t>
        </is>
      </c>
      <c r="B7934" t="inlineStr">
        <is>
          <t>成功</t>
        </is>
      </c>
      <c r="C7934" t="inlineStr">
        <is>
          <t>読み方：そう
［音］ソウ（サウ）（漢）　［訓］まど
［学習漢字］6年
〈ソウ〉
１まど。「窓外／蛍窓・獄窓・車窓・船窓」
２まどのある部屋。「学窓・深窓・同窓」
〈まど〉「窓口・窓辺／出窓・天窓」
[補説]「窗」は異体字。</t>
        </is>
      </c>
      <c r="D7934" t="inlineStr">
        <is>
          <t>窓下；窓越し；窓配置；窓硝子；窓周り</t>
        </is>
      </c>
      <c r="E7934" t="inlineStr">
        <is>
          <t>ウィンドウ；車窓；ウインドウ；ウインドー；ウィンドー</t>
        </is>
      </c>
      <c r="F7934" t="inlineStr">
        <is>
          <t>側窓；小さな窓；前面窓；大きな窓；側面窓</t>
        </is>
      </c>
      <c r="G7934" t="inlineStr">
        <is>
          <t>窓ガラス；窓際；窓辺；窓枠；窓ぎわ</t>
        </is>
      </c>
      <c r="H7934" t="n">
        <v>29</v>
      </c>
      <c r="I7934" t="inlineStr">
        <is>
          <t>その性質から、自動車の窓や子供の多い学校などで広く利用されている。；側窓高さは拡大され、車端部は固定窓としたほか、妻面窓もやや大きい。；窓の下には各座席ごとに引き出して使用する折畳みテーブルを設置した。；それ以外の編成では横から見て中央より1つ右の側窓上部に設置している。；元々大阪プール側のホームには窓は無く、反対側のホームと同じだった。；使用されていたアスベストが全て撤去され、全ての窓が密閉式になった。；当初は両方の窓ともに透明ガラスとされ、ともに遮光幕を設置していた。；窓配置についても基本構造とした223系と同様に5連窓となっている。；また1次車で窓かまちに取り付けられていた小形テーブルは廃止された。；側窓はドア間は下降窓と固定窓の組み合わせ、車端部は固定窓としている。；この線と実際の絵を比較すると、窓やテーブルの角のラインが一致している。；なお側頭窓はヒトでは顎の筋肉と側頭部とを結ぶための穴に相当する。；連結面は各車に貫通扉が設置されており、妻面には窓が設置されている。；また、座席の前後及び窓下にモバイル用コンセントが新たに設置された。；側面の設置位置はワイドドア車のみ車体中央部の側窓の上に設置されている。；紙幣表面は窓や門が描かれているのに対して、裏面は橋が描かれている。；非貫通型と初期の貫通型も後に貫通型・独立方向幕窓に改造されている。；登場後にすべての側面窓をポリカーボネート板で覆う改造工事がなされた。；連結面はすべてに妻面窓が設置されたが、それまでよりも若干小さくなった。；登場前には窓上にも赤帯を巻くことも検討されたが、実現しなかった。；静かに窓を開ける音が聞こえた後、白い物を抱えた犯人が出てきた。；エンジンや車体設計は本系列と同一であるが、側窓など細部が異なっていた。；一部事業者向けには非常口窓が開閉式となっているものも設定されていた。；客室部の側窓は209系各区分と同様、車端部を除き固定窓を用いた。；そのほか妻面は貫通扉の戸袋となっている個所へ妻面窓が設置された。；また正面にある窓または潜望鏡によって位置を確認することができた。；高圧機器が車内に搭載されたため、換気のため窓の一部が鎧戸とされた。；仕様は9次車と共通であるが、全車両の側窓がUVカットガラス化された。；地上に採光窓があり、地下のホームまで自然光が届く設計となっている。</t>
        </is>
      </c>
      <c r="J7934">
        <f>HYPERLINK("https://www.weblio.jp/content/窓", "词义详情")</f>
        <v/>
      </c>
      <c r="K7934">
        <f>HYPERLINK("https://yourei.jp/窓", "查看例句")</f>
        <v/>
      </c>
    </row>
    <row r="7935">
      <c r="A7935" t="inlineStr">
        <is>
          <t>窓口</t>
        </is>
      </c>
      <c r="B7935" t="inlineStr">
        <is>
          <t>成功</t>
        </is>
      </c>
      <c r="C7935" t="inlineStr">
        <is>
          <t>読み方：まどぐち
１官庁・郵便局・銀行・駅などで、外来者に応対し、金銭や書類の受け渡しなどの事務を執る所。
２外部との折衝をする役。「文化交流の—」</t>
        </is>
      </c>
      <c r="D7935" t="inlineStr">
        <is>
          <t>窓口業務(4%)；窓口係；窓口営業時間；窓口機関；窓口役</t>
        </is>
      </c>
      <c r="E7935" t="inlineStr">
        <is>
          <t>受付；受け付け；格子窓；受付け；交渉役</t>
        </is>
      </c>
      <c r="F7935" t="inlineStr">
        <is>
          <t>受付窓口；営業窓口；有人窓口；総合窓口；販売窓口</t>
        </is>
      </c>
      <c r="G7935" t="inlineStr">
        <is>
          <t>窓口処理機；窓口指導；窓口規制</t>
        </is>
      </c>
      <c r="H7935" t="n">
        <v>29</v>
      </c>
      <c r="I7935" t="inlineStr">
        <is>
          <t>有人駅当時の駅舎をそのまま使用しているが、窓口の跡は塞がれている。；松江駅管理の無人駅であり、駅舎には最初から窓口は設けられていない。；いずれのホームも改札窓口がなく、直接ホームに入る形になっている。；このため、一部の収納業務は市内の郵便局の貯金窓口でも対応している。；トランパスを導入している駅の自動券売機か窓口で購入することができた。；簡易委託駅であった当時は、事務室窓口にてきっぷの発売を行っていた。；開業当初は売店もあったが後に撤去され、窓口で新聞を販売する形態になった。；きっぷを利用する乗客は窓口前の通路を通るよう案内されている。；市内に本店・支店・出張所等の窓口を置く金融機関一覧は以下のとおり。；飯山駅管理の簡易委託駅で、駅舎内の窓口にて乗車券が発売されている。；開設当初からの臨時窓口があり、そこで乗車券が発売されたこともあった。；東京都が英語と中国語に対応する訪日外国人向けの観光案内窓口を設置している。；簡易委託で使用されていた窓口は閉鎖されたまま残されている。；自動券売機は設置されてないため、乗車券の発行は窓口発券のみである。；窓口での対応を必要とする場合は、北側を利用する必要がある。；国鉄バスも発着していたことから、窓口は沢辺駅としての営業もあった。；終日無人駅であり、駅舎には窓口も残っているものの使われていない。；宇治駅管理の簡易委託駅となっており、窓口の営業を行う時間帯がある。；また窓口横にはしなの鉄道関連グッズなどを販売するコーナーがある。；現在も当時の窓口の一部や店舗の基礎部分が僅かに残っている。；自動改札機は元々窓口があった場所より少し出口に近い位置に設置されている。；この頃は明智光秀が取次役として、元親・信長の交渉窓口となっていた。；駅舎内部の待合所にはシャッターが閉じた状態で窓口が残っている。；この際に東側駅舎内にあった窓口を西側に移転した。；かつては有人駅で、有人駅当時の窓口跡が板貼りされた状態で残っている。；郵便局により異なるが、ここでは主な郵便局の窓口での取扱いを挙げる。；窓口と同じスペースには待合室もあり、6時から24時まで利用できる。；窓口及び自動券売機があるが、営業は駅員配置時間のみとなっている。；窓口業務のほとんどは現在、本庁および支所でそれぞれ行われている。</t>
        </is>
      </c>
      <c r="J7935">
        <f>HYPERLINK("https://www.weblio.jp/content/窓口", "词义详情")</f>
        <v/>
      </c>
      <c r="K7935">
        <f>HYPERLINK("https://yourei.jp/窓口", "查看例句")</f>
        <v/>
      </c>
    </row>
    <row r="7936">
      <c r="A7936" t="inlineStr">
        <is>
          <t>まとまり</t>
        </is>
      </c>
      <c r="B7936" t="inlineStr">
        <is>
          <t>成功</t>
        </is>
      </c>
      <c r="C7936" t="inlineStr">
        <is>
          <t>読み方：まとまり
まとまること。また、その状態。「話の—がつかない」「—のないグループ」</t>
        </is>
      </c>
      <c r="D7936" t="inlineStr">
        <is>
          <t>まとまりまし(3%)；まとまりはじめ；まとまりませ；まとまりやすい；まとまりにくい</t>
        </is>
      </c>
      <c r="F7936" t="inlineStr">
        <is>
          <t>政治的まとまり；地理的なまとまり；文化的なまとまり；小さくまとまり；ゆるやかなまとまり</t>
        </is>
      </c>
      <c r="H7936" t="n">
        <v>29</v>
      </c>
      <c r="I7936" t="inlineStr">
        <is>
          <t>それ自身の悲劇性と芸術的なまとまりを持った独立した作品だと言える。；しかし書かねば此文章のまとまりがつかぬ、いやでも書かねばならない。；皆がやる気になってくれたのはいいけど、これじゃ全然まとまりがない。；いくつかの刺激がある時、同種のもの同士がひとまとまりになりやすい。；村と呼ぶほどの数はないが、村であるかのようにひとまとまりを見せていた。；二人の会話を聞いているうちに、和穂の中で一つの考えがまとまりだした。；文明は包括的な概念であり、広範な文化のまとまりであると考えられる。；概してひとまとまりと感じられる単位は分かち書きをしない傾向にある。；そして、ようやくのことで話がまとまりかけたところで新たな問題が生じた。；こうなったら虫を使う以外にないと、みなの意見がまとまりました。；よりよい保存システムは情報の個々の「まとまり」を含むカードとなる。；それでパリの郊外に居酒屋を作ろうということに相談がまとまりました。；せっかく、せっかく話がまとまりそうだった瞬間になんということをっ!；まとまりがつかないで始まり一字が思う様に出て来なかった。；それは曲をなしているようなものではなく、まとまりもなかった。；やっと話がまとまり、さあ行こうかという時になって、今度は甲高い声。；霧のように消してしまうか、すこしはまとまりそうにしてみるか。；二つの池は赤く輝く一つの湖にまとまり、彼はそこで溺れるように感じた。；やがて作品にはさらに物語的でまとまりのある話し言葉が含まれるようになる。；複数の犯罪者集団の統合であるためまとまりがなく、戦闘経験も乏しい。；ベルツはこの物語はシリーズの中で最もまとまりのあるストーリーだと述べた。；今のところでは私の考えは少しも具体的にまとまりません。；それはやがて整然とまとまり、一人の人物の姿と顔になっていった。；けれど、このままではクラスの意見がまとまりそうもありません。；束になって生じ、株立ちになるが、あまり大きなまとまりにはならない。；地形や礫・石造物の分布状況から墳墓のまとまりは50以上認められる。；宮城野区が設けられる以前にこの地域が一つのまとまりとされたことはなかった。；現在でもこれら7つの大字は地域的、行政的にまとまりとなっている。；特定の用途のために設計された物体群や機械類のひとまとまり。</t>
        </is>
      </c>
      <c r="J7936">
        <f>HYPERLINK("https://www.weblio.jp/content/まとまり", "词义详情")</f>
        <v/>
      </c>
      <c r="K7936">
        <f>HYPERLINK("https://yourei.jp/まとまり", "查看例句")</f>
        <v/>
      </c>
    </row>
    <row r="7937">
      <c r="A7937" t="inlineStr">
        <is>
          <t>纏まる</t>
        </is>
      </c>
      <c r="B7937" t="inlineStr">
        <is>
          <t>成功</t>
        </is>
      </c>
      <c r="C7937" t="inlineStr">
        <is>
          <t>読み方：まとまる
［動ラ五（四）］
１ばらばらのものが統一のとれたひとかたまりになる。「引っ越し荷物が—・る」「—・った金額」
２物事の筋道が立って整う。「計画が—・る」「考えが—・る」
３決まりがつく。互いの意志を一致させる。「交渉が—・る」「縁談が—・る」</t>
        </is>
      </c>
      <c r="D7937" t="inlineStr">
        <is>
          <t>分かれる；分けられる；統合する；分類できる；統合される</t>
        </is>
      </c>
      <c r="H7937" t="n">
        <v>29</v>
      </c>
      <c r="I7937" t="inlineStr">
        <is>
          <t>そして考えが纏まったらそれこそ犬を殺すように君を一発で殺してやる。；ところが今日はそれほどの閑暇もなし、また考えも纏まっておりません。；元はバラバラの組織だったが、リーダーが現れてから纏まりが見られる。；景が大き過ぎ広過ぎ纏まりが無さ過ぎ同じような島が多過ぎるからだ。；纏まった金ができたらいつでも言って来るようにと前々から話はついていた。；使者を遣わす件は一応纏まったが、誰が使者になるかは纏まらなかった。；汽車の窓から外の景色を見ると、どんなところでもよく纏まって見える。；それなのに自分の心の中ではまだ何も纏まった考えがないということにも。；だからもう内の方さへうまく行けば、此の話は纏まるにきまつて居る。；身内で結婚する嫌いはあるが、わけをいえば纏まらないことはないよ。；事実、事件の纏まりというものが世の中にないこともないからであります。；死んだ後でいくら探したところで、十両と纏まった金が出て来るわけはない。；他の大学や専門学校の生徒も来ていたが、各学校ごとに纏まって行動していた。；親の眼にはこれ以上のはないと思うようなのがあっても、それがなかなか纏まらん。；これらはカゼインよりも水溶性が高いため、大きな構造には纏まらない。；水に濡れたことで髪の先端は冬のつららのように纏まり、尖っている。；同年9月12日までに交渉が纏まらなければ入札になることになった。；仏蘭西の旅に来てから以来のことが何となく岸本の胸に纏まって来た。；手をつけるほど纏まった事件ではないと思ったのでしょう。；私が主人に連れられて東海道を始めてみたのは結婚の相談が纏まって間もない頃である。；兄はまた、その縁談の纏まることを希望しているとも書いてよこした。；あの二人が纏まると王府の役人の八割以上が結集する最大勢力になる。；それにそんな纏まった金を持ってきているやつなんていやしねえ。；ある時、この方法で、少し纏まった金を友達の家から盗み出しました。；これはその緩やかな纏まりの故に、国家とは呼び得ないものであった。；すべてこれらの父に関する記憶が旅にある岸本の胸に纏まって来た。；村はつい先頃まで、何の問題もなく平和に、人の輪によって纏まっていた。；これが、たいてい古くは、大體二つの句に、纏まるものだつたようです。；少し纏まった銭の取れる書き物なんかする気には何うしてもなれない。</t>
        </is>
      </c>
      <c r="J7937">
        <f>HYPERLINK("https://www.weblio.jp/content/纏まる", "词义详情")</f>
        <v/>
      </c>
      <c r="K7937">
        <f>HYPERLINK("https://yourei.jp/纏まる", "查看例句")</f>
        <v/>
      </c>
    </row>
    <row r="7938">
      <c r="A7938" t="inlineStr">
        <is>
          <t>まとめ</t>
        </is>
      </c>
      <c r="B7938" t="inlineStr">
        <is>
          <t>成功</t>
        </is>
      </c>
      <c r="C7938" t="inlineStr">
        <is>
          <t>読み方：まとめ
まとめること。また、まとめたもの。「—の段階に入る」</t>
        </is>
      </c>
      <c r="D7938" t="inlineStr">
        <is>
          <t>まとめられる(2%)；まとめ上げる；まとめて出版；まとめて記述；まとめてみる</t>
        </is>
      </c>
      <c r="E7938" t="inlineStr">
        <is>
          <t>結論；世話；整理；結び；仲介</t>
        </is>
      </c>
      <c r="F7938" t="inlineStr">
        <is>
          <t>一覧形式でまとめ；全部まとめ；短くまとめ；うまくまとめ；まとめて購入</t>
        </is>
      </c>
      <c r="G7938" t="inlineStr">
        <is>
          <t>まとめ役；まとめあげ；まとめよ；まとめサイト；まとめあげる</t>
        </is>
      </c>
      <c r="H7938" t="n">
        <v>29</v>
      </c>
      <c r="I7938" t="inlineStr">
        <is>
          <t>剣術では一連の動作をまとめた形の習得から開始するのが一般的である。；また既知の動物の属と科をまとめてそれらの地理的分布をリストにした。；これらの中には一つの巻物に複数の書をまとめたものも含まれている。；ほとんどの場合は発生から年月が経過してからまとめの形で掲載している。；これら作曲に必要な技術をまとめて作曲法またはエクリチュールと呼ぶ。；複数の敵をまとめて蹴り落とすと、敵の数に応じて得点に倍率がかかる。；デフォルトでの表記は作品毎にまとめてオリジナルの発売順とした。；袋という言葉があるが、箱など袋以外の外装にまとめた物も福袋と呼ぶ。；以上をまとめて命名の先頭に立体配置命名を付けると次のようになる。；にまとめられた彼らの詩はその後ヴィシュヌ派の重要な聖典へと発展する。；この演説に感動した一高生の何人かは荷物をまとめて一高を去ったという。；研究結果として懸垂式と一緒にまとめられたものが、日本跨座式である。；なお、近縁の数亜科にまたがる種類の魚をまとめてプレコと呼んでいる。；残りの条件は「この群が 上の加群となる」という条件にまとめられる。；以下に示すのは笠井倭人がまとめた天皇の系譜まとめからの抜粋である。；この他にOVAの内容を編集して1巻にまとめた劇場版が発売されている。；彼はこれらの旅で得た知見をまとめ『歴史』と呼ばれる著作を残した。；下記の一覧は1928年に行われた称号規定変更後の形式をまとめたものである。；漫画版でもパロディ的なものが行われ、最終巻にまとめて収録された。；ネタニヤフ党首は右派勢力をまとめ、自身が首相になると表明している。；自分のいた世界とプリンプタウンの相違点を日記にまとめていた。；特に必要がある場合に期間を決めてまとめて打つこと、指すことがあった。；これをまとめて従わせようとする合衆国の考え自体に無理があった。；また、哀歌はエルサレム陥落を嘆いたとされる歌をまとめたものである。；これは、読者より寄せられた告白体験をまとめたと称する書籍である。；導き出された情報を予報の種類に合わせてまとめ、適切な形式で発表する。；このような対称操作とキラリティーの関係は表のようにまとめられる。；さらに、それに動物群集をまとめて考えることで生態系の概念が生まれた。；他にも彼の日ごろからの社会的主張もいくつかのエッセイにまとめられている。</t>
        </is>
      </c>
      <c r="J7938">
        <f>HYPERLINK("https://www.weblio.jp/content/まとめ", "词义详情")</f>
        <v/>
      </c>
      <c r="K7938">
        <f>HYPERLINK("https://yourei.jp/まとめ", "查看例句")</f>
        <v/>
      </c>
    </row>
    <row r="7939">
      <c r="A7939" t="inlineStr">
        <is>
          <t>纏める</t>
        </is>
      </c>
      <c r="B7939" t="inlineStr">
        <is>
          <t>成功</t>
        </is>
      </c>
      <c r="C7939" t="inlineStr">
        <is>
          <t>読み方：まとめる
［動マ下一］［文］まと・む［マ下二］
１ばらばらのものを集めてひとかたまりのものにする。「作文を—・めて本にする」「一年分—・めて払い込む」
２物事の筋道を立てて整える。「アイデアを—・める」
３決まりをつける。互いの意志を一致させる。「紛争を—・める」「商談を—・める」</t>
        </is>
      </c>
      <c r="D7939" t="inlineStr">
        <is>
          <t>準備；強化；統一；都合；収集</t>
        </is>
      </c>
      <c r="H7939" t="n">
        <v>29</v>
      </c>
      <c r="I7939" t="inlineStr">
        <is>
          <t>そしてそれだけの物は私から一度に纏めてではないが確かに来ている。；室の方の話を纏めるにしても、浅井の力を借りないわけに行かなかった。；作品の単品販売も行われているが、基本的に雑誌ごとに纏められている。；私は信州で小説を書く外に、外の四冊の詩集を一冊に纏めたいと思つた。；彼は何か纏めてみようと企てていたが、それは全く無益のことであった。；このほかに歌のある人のは纏めてヴォーカルの中へ全部入れてしまう。；作り話は繰り返しているうちにだんだん合理的な方向に纏められていく。；これも自分の父と母が口を利いて、話を纏めてやったのだそうである。；今はほのぼのしてる場合でも、式に招待する人を纏めてる場合でもない。；その本には若い恋人が使うことのできる多くの感傷的な詩が纏められました。；そうしてひとまず帰って荷物を纏めた上またここへ来る約束をして宿を出た。；数枚が一気に掲載されても纏めて一括りで1ポイントとなるのが基本。；研究成果は論文として発表されたり、書籍として纏められたりしている。；幼児の体験から出発して、今日までに思想にまで纏め上げたつもりの考え。；しかし彼女はその微かな感じを言葉に纏めるほどの頭を有っていなかった。；中城御殿で荷物を纏めた王族たちはまだ見ぬ東京に不安を覚えていた。；誰かがちゃんと全体の利害を考えて、纏めていかなければならないんだよ。；纏めの男はまるで見当違いのところに薙刀を振り下ろしたのである。；今夜も荷作りの達しが来たが、自分と家来ばかりでは纏め方が判らない。；確か盛岡の印刷会社が岩手で起きた重要犯罪を纏めた本を出版している。；が衣裳までも第四階級のものを纏めて来ようとする所に現代の興味がある。；彼は独りになってから、その日の兄の置いて行った話を自分の胸に纏めて見た。；恋愛は私の全部生命を内より直接に力学的に纏めているのである。；一晩でこれだけの事が起きたんだから、そりゃあ考えも纏めたくなるだろう。；気は逸っても、それらを纏めあげるだんになると、たやすくはいかない。；また家族を纏めて、そこから五十里ばかり隔てた次の都会へ流れて行った。；畑氏のいふのでは、今度の赴任には家族を纏めて往かなければならぬ。；その若い思想を、彼は静かなところで纏めてみたに過ぎなかった。；客車の形式変更に関わる規定の主な歴史、改正を纏めると次のとおりである。</t>
        </is>
      </c>
      <c r="J7939">
        <f>HYPERLINK("https://www.weblio.jp/content/纏める", "词义详情")</f>
        <v/>
      </c>
      <c r="K7939">
        <f>HYPERLINK("https://yourei.jp/纏める", "查看例句")</f>
        <v/>
      </c>
    </row>
    <row r="7940">
      <c r="A7940" t="inlineStr">
        <is>
          <t>まとも</t>
        </is>
      </c>
      <c r="B7940" t="inlineStr">
        <is>
          <t>成功</t>
        </is>
      </c>
      <c r="C7940" t="inlineStr">
        <is>
          <t>読み方：まとも
［名・形動］《「真(ま)つ面(も)」の意》
１まっすぐに向かい合うこと。正しく向かい合うこと。また、そのさま。真正面。「—に風を受ける」「—に相手の顔を見る」
２策略や駆け引きをしないこと。また、そのさま。「—に戦ってはとても勝てない」
３まじめなこと。正当であること。また、そのさま。「—な人間になりたい」「これは—な金だ」
[派生]まともさ［名］</t>
        </is>
      </c>
      <c r="D7940" t="inlineStr">
        <is>
          <t>まともな人間(2%)；まともに受け；まともな仕事；まともじゃない；まともな生活</t>
        </is>
      </c>
      <c r="E7940" t="inlineStr">
        <is>
          <t>いい；よい；直接；良い；正式</t>
        </is>
      </c>
      <c r="F7940" t="inlineStr">
        <is>
          <t>まともな社会生活；まともに吹きつける；まともに見る勇気；まともな判断力；まともに生きよう</t>
        </is>
      </c>
      <c r="H7940" t="n">
        <v>29</v>
      </c>
      <c r="I7940" t="inlineStr">
        <is>
          <t>アニメ制作が本来の活動だが、いまだまともな作品を作ったことがない。；そのため昆自身周囲の人間がまともに踊れるか不安に思っているという。；新聞がまともに受け取るとは思わないので秘密にしておいたと彼は言った。；地球に来た目的は、彼らがまともに説明しようとしないため一切不明。；詩は文がバラバラに書かれていて、まともに読めないようになっていた。；しかし製作者側はこれらの否定的な意見をまともに受け留めなかった。；ここはまともに当てますから雨戸を開けて置くこともできないのです。；彼のすぐ背後にある波の壁は、その太陽の光をまともに受けとめていた。；いくら完全な別人になっても、これなしではまともな生活は送れません。；事実、冬の戦いには基本である、冬装備もまともに準備されていなかった。；幼少期からまともな教育を受けず、誰からも手をかけてもらえなかった。；ただし、放流時には水しぶきをまともに受ける点には注意が必要である。；しかも第一回は非常に読みづらく、最後までまともに読める人がいない。；モランときょうだいは両親からはほとんどまともな教育を受けなかった。；この頃になると社員ですらまともに生活ができないほど経営が苦しくなった。；しかし現代においては、この伝説をまともに信じる者は誰もいなかった。；トマは自分の名前さえまともに口にすることができなくなっていた。；少年は検事スネドンの質問にさえまともに答えようとしない事もあった。；朝霧はその光を柔げて、まともにそれを眺める事を出来るやうにします。；ただし、このような商品がまともなショップに並ぶことは稀であった。；これは、まともに決まるとパンチを打った相手の拳が破壊されてしまう。；故郷に帰ってきてはみたが、まともな仕事ほどしづらい状況に変わりはない。；中学校卒業までまともにチームに所属したことがなかっという。；派内の支持をまともに得られない中で藤井は落選し、小泉が再選された。；旅行はまともにしたことが無く、流行のファッションも知らなかった。；その世界では能力者はまともにおらず、微妙に違った人間関係があった。；アンネもマルゴーもドイツでまともな教育を受けることは不可能であった。；また雨が降ると地面は泥濘化し、雨季のまともな作戦行動は困難だった。；こうなるとプレイヤーもCOMもまともな行動が出来ない状態に陥ってしまう。</t>
        </is>
      </c>
      <c r="J7940">
        <f>HYPERLINK("https://www.weblio.jp/content/まとも", "词义详情")</f>
        <v/>
      </c>
      <c r="K7940">
        <f>HYPERLINK("https://yourei.jp/まとも", "查看例句")</f>
        <v/>
      </c>
    </row>
    <row r="7941">
      <c r="A7941" t="inlineStr">
        <is>
          <t>惑わす</t>
        </is>
      </c>
      <c r="B7941" t="inlineStr">
        <is>
          <t>成功</t>
        </is>
      </c>
      <c r="C7941" t="inlineStr">
        <is>
          <t>読み方：まどわす
［動サ五（四）］
１判断や考えなどを混乱させる。「巧妙な手口で人を—・す」
２だます。あざむく。「誇大広告で消費者を—・す」
３まぎれてわからないようにする。見失う。
「幼き人—・したり」〈源・夕顔〉</t>
        </is>
      </c>
      <c r="D7941" t="inlineStr">
        <is>
          <t>乗せる；計る；ごまかす；欺瞞；欺く</t>
        </is>
      </c>
      <c r="H7941" t="n">
        <v>29</v>
      </c>
      <c r="I7941" t="inlineStr">
        <is>
          <t>加えて味方をした際の恩賞は領主たちの心を惑わすに充分なものがあった。；そのためには彼は一見彼に利益らしく見える結果にも惑わされない。；自分が幻術に惑わされているのだ、という意識さえすでに失われていた。；登場人物の多くは秘密を持っていて、主人公が惑わされる展開が多い。；禺は人の心の裏を読むが、これもまた気を抜けば主人の心を読んで惑わす。；マスコミに惑わされているのは自分たちのほうかもしれないと思った。；そしてなお私が心を惑わしたことは、秀子までが彼女の夢をみたのだった。；人間だったときの感覚に惑わされたり、調節を誤ったりすることもない。；しかし周囲の女性に惑わされ、結果山本に振られる形となってしまった。；思いがけない魔法の力に惑わされることが少ないだろうというだけだ。；彼女たちの奇妙な行いや、色欲で自分を惑わそうとしたことまで話した。；三人のまわりには脱すべくもない惑わしが立ち罩めているような気がした。；お山にあるこの寺は時に惑わされず、いつも人々を遇してきたのだろう。；彼女の頭脳は純粋であり、いかなる迷信にも惑わされることはなかった。；誰にも惑わされないで、私の思った道を、ずっと強く歩いてゆきたかったの。；桜の花は、人を惑わして自らの下に集めることだけを考えて咲いている。；甘い言葉に惑わされた彼女が、興味本位でクスリに手を出したのだろう。；これが主を惑わすことが分かり、達王は、後に鞘を作ってこれを封じた。；外国風景の色の奇麗さだけでは、もう観る方も惑わされはしませんよ。；それをお疑いになったりして、惑わされることのないようにお願いしますわ。；この光景を描いている近代絵画に惑わされないようにしよう。；あんな、知美の言葉などに惑わされて本屋になど行ったのが間違いなのだ。；とにかくおめえさんは馬鹿だぜ、こんな所まで来て女に惑わされよって。；瞳の奥に人を惑わす魅力を宿し、他人の痛みにいっさい関心を持たない女。；この珍人類どもの一挙手一投足には、人心を惑わす妙な作用があるのだ。；だとしたらこの妖しい美しさに惑わされるのは、男でも同じなのか。；それを犠牲者だったかのようにしている宣伝工作に惑わされすぎだ。；なぜ汝は、惑わされやすい人間の心に、実際にはない物事をみせるのだ!；小走りに運ぶ足は不規則なでこぼこに惑わされずその身体を運んでいく。</t>
        </is>
      </c>
      <c r="J7941">
        <f>HYPERLINK("https://www.weblio.jp/content/惑わす", "词义详情")</f>
        <v/>
      </c>
      <c r="K7941">
        <f>HYPERLINK("https://yourei.jp/惑わす", "查看例句")</f>
        <v/>
      </c>
    </row>
    <row r="7942">
      <c r="A7942" t="inlineStr">
        <is>
          <t>眼差し</t>
        </is>
      </c>
      <c r="B7942" t="inlineStr">
        <is>
          <t>成功</t>
        </is>
      </c>
      <c r="C7942" t="inlineStr">
        <is>
          <t>読み方：まなざし
目つき。目の表情。視線。「熱い—を向ける」「疑わしい—」</t>
        </is>
      </c>
      <c r="D7942" t="inlineStr">
        <is>
          <t>眼差しで見つめるぼく</t>
        </is>
      </c>
      <c r="E7942" t="inlineStr">
        <is>
          <t>目；目つき</t>
        </is>
      </c>
      <c r="F7942" t="inlineStr">
        <is>
          <t>鋭い眼差し；げな眼差し；優しい眼差し；虚ろな眼差し；熱い眼差し</t>
        </is>
      </c>
      <c r="H7942" t="n">
        <v>29</v>
      </c>
      <c r="I7942" t="inlineStr">
        <is>
          <t>その仏性をもつ少年のような眼差しは特定の者に視線をむけてはいない。；この彼女の眼差しには、個人的な感情はすこしもふくまれていなかった。；そこに沖田の眼差があり、じっとこちらを見つめているような気がした。；他の刑事たちの眼差しも、昨日までのそれとは明らかに変化している。；涙だけは二人とも堪えたが、二人の眼差は濡れた月のやうに霑むで居た。；娘がちらりと咎めるような眼差しを向けたが、男は気にした様子もない。；女たちは、見るからに姿の良い品のある若い男に賞賛の眼差しを向けた。；何も見るものはないや、というかのように、それは力のない眼差しだった。；だが、その眼差しはそれと調子を協せることに直ぐには成功しなかった。；普通の下級生なら、萎縮してしまったであろう声と口調と眼差しだった。；死んだ魚の目のように虚ろな眼差しで、その様子を見ているだけである。；そんな子供の眼差を父はかなしみのせいなのだと勘違いをしたのであろう。；その眼差しは、明らかに晴美を人間ではないものとみなしはじめていた。；そういえば、眼差しや眉のあたりが、美しいレエヌさんによく似ている。；最近妹が、俺のことを、熱い眼差しで見詰めているような気がするんだ。；どこか遠くを見るような眼差しであったが、やがてゆっくりと光國を見た。；彼女の目も眼差しも微笑も、すべてモレルに向けられていたのである。；自分のクラスに入ろうとすると皆は僕を奇異の眼差しで見つめていた。；ベッドに横になったまま、シエルはじろりと非難の眼差しを向けてくる。；おそらく僕は、近づいてくるアオを恐怖の眼差しで見ていたにちがいない。；その男に媚びる眼差しを向けながら、私は祖母のための曲を作りました。；小さく燃えるものがあるような眼差しで、彼女は家を出るのであった。；そんなものよりはるかにすばらしい眼差しがぼくの上に注がれていたんだ。；睨むような眼差しをするうちにも尚子は笑いを抑えられない風である。；私はそれを彼の眼差しの中に見て、得意にならざるを得なかった。；その透明な眼差は私を見つめ、その少年らしい生一本な声は私を搏った。；その熱い眼差しから推測するに、すっかり不審者扱いされているようだ。；向けられた眼差しは反抗のものではなく、逆に余裕を表したものだったのだ。；マクラウドには地域から偏見の眼差しを向けられる、ある過去があった。</t>
        </is>
      </c>
      <c r="J7942">
        <f>HYPERLINK("https://www.weblio.jp/content/眼差し", "词义详情")</f>
        <v/>
      </c>
      <c r="K7942">
        <f>HYPERLINK("https://yourei.jp/眼差し", "查看例句")</f>
        <v/>
      </c>
    </row>
    <row r="7943">
      <c r="A7943" t="inlineStr">
        <is>
          <t>学ぶ</t>
        </is>
      </c>
      <c r="B7943" t="inlineStr">
        <is>
          <t>成功</t>
        </is>
      </c>
      <c r="C7943" t="inlineStr">
        <is>
          <t>読み方：まなぶ
《「まねぶ」と同語源》
［動バ五（四）］
１勉強する。学問をする。「大学で心理学を—・ぶ」「同じ学校で—・んだ仲間」
２教えを受けたり見習ったりして、知識や技芸を身につける。習得する。「よく—・びよく遊べ」
３経験することによって知る。「苦労して人間のすばらしさを—・んだ」
４まねをする。
「五月に雨の声を—・ぶらむもあはれなり」〈枕・四〇〉
[可能]まなべる
［動バ上二］《「まねぶ」が和文体に多いのに対して、漢文訓読体に多く見られる》に同じ。
「僧多かれど、—・ぶる所少し」〈三宝絵・下〉</t>
        </is>
      </c>
      <c r="D7943" t="inlineStr">
        <is>
          <t>学ぶべき(2%)；学ぶ事；学ぶべく；学ぶべし；学ぶためパリ</t>
        </is>
      </c>
      <c r="E7943" t="inlineStr">
        <is>
          <t>研究；指導；勉強；学問；学習</t>
        </is>
      </c>
      <c r="F7943" t="inlineStr">
        <is>
          <t>自ら学ぶ</t>
        </is>
      </c>
      <c r="H7943" t="n">
        <v>29</v>
      </c>
      <c r="I7943" t="inlineStr">
        <is>
          <t>このシステムは現在主に共通教育棟で学んでいる学生に使用されている。；私は不幸のなかにいかにして人生を祝福すべきかを学ばねばなりません。；しかし、現代のように多様化した社会では、学ぶ意味はそれぞれに違う。；これは明治時代の日本が主にドイツから医学を学んだことの影響である。；これは 医学を学ぶにあたり、より高度な知識が必要となるためである。；音楽を学びたい場合は総合コースの音楽系で学ぶことが可能である。；ここではさらに、プロレベルのパントマイム演劇芸術を学ぶ機会もある。；アメリカ合衆国の大学には学部に独立して学ぶ地球物理学部が存在する。；この大学では、12 の専門分野で 2 万人以上の学生が学んでいる。；最初は写真の基礎を学ぶため、新聞社か通信社で働くことを考えていた。；小さいころから科学へ興味を抱き、多くのことを読書により学んでいた。；哲学への関心が芽生えたのは石川県専門学校に学んだときのことである。；その間にも若い仲間の句から何かを学ぼうとしていたのかも知れない。；彼らには環境の事を考える余裕はない、学ぶ機会すらない状態の地域もある。；せめて末の子だけには学ばせたい、とは彼が心からの願いであったのだ。；私たちはそこに何がかれらを美しくさせているかの法則を学ばねばならぬ。；中学から続けてきた映画制作は全て独学だったが、ここで編集技術を学ぶ。；高校卒業後は音楽学校などへ進学せず、美術学校で映画と美術を学んだ。；大学で学んで資格を取得すれば、開業して治療を行うことができる。；今は文明交流学に没頭しておりこれももっと学ばねばならないだろう。；息子を育て、医学を学ばせ、開業地を選んでやっただけではまだだめだ。；そういうものは経験から学ばない人間には身につかないものなんだ。；モデルのアルバイトをしながらリー・ストラスバーグの元で演技を学ぶ。；あなたは確かに、あなた以外のだれよりも多くを学ばれているのです。；日々の英語の授業に加え、大英博物館を訪れたりして文化歴史も学ぶ。；これは、外国人がドイツの総合大学で学ぶことを重視しているためである。；わしたちこそ、この少年の純粋を学ばなければいけないのかも知れません。；この思想をいかに理解すべきかは、キリスト自身より学ばねばなりませぬ。；これらを若者は学ぶべき点は学び、また後代に伝えるべき物とされる。</t>
        </is>
      </c>
      <c r="J7943">
        <f>HYPERLINK("https://www.weblio.jp/content/学ぶ", "词义详情")</f>
        <v/>
      </c>
      <c r="K7943">
        <f>HYPERLINK("https://yourei.jp/学ぶ", "查看例句")</f>
        <v/>
      </c>
    </row>
    <row r="7944">
      <c r="A7944" t="inlineStr">
        <is>
          <t>間に合う</t>
        </is>
      </c>
      <c r="B7944" t="inlineStr">
        <is>
          <t>成功</t>
        </is>
      </c>
      <c r="C7944" t="inlineStr">
        <is>
          <t>読み方：まにあう
［動ワ五（ハ四）］
１役に立つ。その場の用が足りる。「まだこの靴で—・う」「コップがなくても茶碗で—・う」
２物が十分である。足りる。「酒はいま—・っている」
３きまった時間に遅れない。「今から行けば列車に—・う」</t>
        </is>
      </c>
      <c r="D7944" t="inlineStr">
        <is>
          <t>間に合うだろ(6%)；間に合うかどう(4%)；間に合うかもしれ(2%)；間に合うまい(2%)；間に合うでしょ</t>
        </is>
      </c>
      <c r="E7944" t="inlineStr">
        <is>
          <t>行く；来る；至る；到着；到達</t>
        </is>
      </c>
      <c r="F7944" t="inlineStr">
        <is>
          <t>充分間に合う；なんとか間に合う；何とか間に合う；ぎりぎり間に合う；すぐ間に合う</t>
        </is>
      </c>
      <c r="H7944" t="n">
        <v>29</v>
      </c>
      <c r="I7944" t="inlineStr">
        <is>
          <t>こういう試験は半年ぐらい前から準備をしなくては間に合いそうもない。；それは新しい発見や発明が起るまではそれで間に合うにすぎないものだ。；けれども何か変更を加えたほうがよいならば、今からでも間に合います。；会社からそう遠くないので、こんな時間に出ても結構間に合うのである。；でも、それでも始めに距離を開けられていたため 間に合いそうにない!；けれども、それは一九六三年のことだから、いまからでもまだ間に合う。；早い時間に店に寄り、そうすれば約束の電車に間に合うと考えていたのか。；今なら、意識がはっきりしている今なら、まだ間に合うかも知れないわ。；別に疲れたから怒っているんでもないし、ちゃんと時間には間に合ったし。；あいにくこの巻の執筆に間に合う期間に手にいれることができなかった。；ホテルから南座へは車で十五分ほどというから充分に間に合うだろう。；チームはポストシーズンに進出したが、自身の復帰は間に合わなかった。；やっと見当をつけて、歩き出したが、間に合うことはもう断念していた。；猛スピードで事故ったりしたら間に合う間に合わない以前の問題だもん。；進行検査にも間に合ったてんで、監督たちもほっとしてゐたやうでした。；間に合うのかとひやひやしながら、原稿を送り終えたのは、十時だった。；私たちはちょうど間に合って行列が帰って来るのを見ることができた。；二つ違いの兄弟とは言っても泉太と繁とは殆ど同じ丈の着物で間に合った。；彼は人々にいつもミサには間に合うと言って酒を飲むように強要していた。；せっかく間に合うように帰ってくれたのに、一と足違いになってしもた。；いささか遅れて到着してしまうものの、主人の登場にはどうやら間に合う。；他社への売却も検討されたとされるが、この時には間に合わなかった。；主人がほうぼうに頼んでいますが、早急に間に合いそうにありませんわ。；今から行けば午後の授業には間に合うだろうがそのつもりもない。；暗い内に村を出て一の関まで車で飛ばせたら一番汽車の間に合うだろう。；かけてもかけなくとも、間に合っても合わなくてもいいのではないか。；食べて行っても間に合うだろう、時間が来たら途中で立っても構わん。；他の講師達は、五時半からの会議に間に合うように帰ってくるだろう。；二十分ぐらいだったら、歩いて行っても間に合うなァと思っていました。</t>
        </is>
      </c>
      <c r="J7944">
        <f>HYPERLINK("https://www.weblio.jp/content/間に合う", "词义详情")</f>
        <v/>
      </c>
      <c r="K7944">
        <f>HYPERLINK("https://yourei.jp/間に合う", "查看例句")</f>
        <v/>
      </c>
    </row>
    <row r="7945">
      <c r="A7945" t="inlineStr">
        <is>
          <t>免れる</t>
        </is>
      </c>
      <c r="B7945" t="inlineStr">
        <is>
          <t>成功</t>
        </is>
      </c>
      <c r="C7945" t="inlineStr">
        <is>
          <t>読み方：まぬがれる
［動ラ下一］［文］まぬが・る［ラ下二］《「まぬかれる」とも》身に受けては好ましくないことから逃れる。また、避けてそれにかかわらない。「戦火を—・れる」「責任を—・れる」</t>
        </is>
      </c>
      <c r="D7945" t="inlineStr">
        <is>
          <t>免れる可能性；免れるべく</t>
        </is>
      </c>
      <c r="E7945" t="inlineStr">
        <is>
          <t>脱出；避ける；回避；逃げる；逃亡</t>
        </is>
      </c>
      <c r="H7945" t="n">
        <v>29</v>
      </c>
      <c r="I7945" t="inlineStr">
        <is>
          <t>義とされて我々は来たるべき神の怒りから免れることができるのである。；そういう男ほど他人の子を育てさせられてしまう危険を免れるだろう。；その間、逮捕を免れた幹部が臨時指導部を設けて組織の再建にあたった。；逮捕を免れるものなら、どんなことでもする、と私はその時そう思った。；しかし法廷に出てきている間は、そういう苦痛から免れることができた。；この事件で、鈴木も任意同行を何度も求められたが、逮捕を免れている。；もしフランス語を習得すればフランスの奴隷になるのを免れるのは難しい。；それから、どうなつたにしても練吉自身の責任は免れるといふものだつた。；その時に、同時に必ずその地獄から免れる道が無くてはならぬと思うのです。；個人資産の差し押さえを免れるための資産隠しが目的であったとされる。；私のただひとつの願いは私のかつての部下たちが私と同じ運命を免れることにある。；わずかに地下へ待避し得た人々の運命も死を免れることはできない。；それでも、仲間の乗客への義務があり、それを免れることはできなかった。；両者は相互に独立しており、政治的影響力を免れるべきものである。；複数の話例では一人の子だけくっついた指を切断して難を免れている。；李広利は遠征に出ていたので誅殺は免れたが、匈奴軍に敗れて投降した。；しかし日本で各種の和刻本が刊行されたおかげで、完全な散佚を免れた。；この鳥居は空襲の被害を免れており、国の重要文化財に指定されている。；爆発による航空機墜落の事態は免れたが、日本人の乗客1名が死亡した。；彼等が居た家には逃亡用のトンネルがあり、何度か逮捕を免れるために使われた。；被災を免れるために鉄道や道路、港湾、空港も閉鎖を行うようになった。；廃止を免れたばんえい競馬の再建に向けて厳しい状況下での開催となった。；そのほか、墓の中で略奪を免れた他の工芸品の数々も展示されている。；法律には触れないが、一人の女を死なせた責を免れることはできない。；それで眼で見ることだけは免れるようなものだが、私は楽でない。；辛うじて破壊を免れた箇所を17世紀に強化・拡張し、要塞が作られた。；彼はまた、発見を免れるために少人数を用いる点でも先駆的であった。；これで、やつとさうした過失に陥ることから免れることが出来たと思つた。；いかに多くの人が同情しようと、刑事的な訴追を免れるわけにはゆかない。</t>
        </is>
      </c>
      <c r="J7945">
        <f>HYPERLINK("https://www.weblio.jp/content/免れる", "词义详情")</f>
        <v/>
      </c>
      <c r="K7945">
        <f>HYPERLINK("https://yourei.jp/免れる", "查看例句")</f>
        <v/>
      </c>
    </row>
    <row r="7946">
      <c r="A7946" t="inlineStr">
        <is>
          <t>真似</t>
        </is>
      </c>
      <c r="B7946" t="inlineStr">
        <is>
          <t>成功</t>
        </is>
      </c>
      <c r="C7946" t="inlineStr">
        <is>
          <t>読み方：まぬ
［動ナ下二］「まねる」の文語形。</t>
        </is>
      </c>
      <c r="D7946" t="inlineStr">
        <is>
          <t>真似でき；真似をしよ；真似しよ；真似しや；真似をしやがる</t>
        </is>
      </c>
      <c r="E7946" t="inlineStr">
        <is>
          <t>漫画；コピー；模倣；模写；マネ</t>
        </is>
      </c>
      <c r="F7946" t="inlineStr">
        <is>
          <t>馬鹿な真似；こんな真似；勝手な真似；あんな真似；みたいな真似</t>
        </is>
      </c>
      <c r="G7946" t="inlineStr">
        <is>
          <t>真似事；真似ごと；真似よ；真似れ；真似ろ</t>
        </is>
      </c>
      <c r="H7946" t="n">
        <v>29</v>
      </c>
      <c r="I7946" t="inlineStr">
        <is>
          <t>ギリシアやエジプトから輸入したものや真似て作ったものと見られている。；天保頃から江戸の女性を真似て往々髪を洗う女性が現れるようになった。；米国のボーカルグループで最も一般的にみられる形式を真似たものである。；その際に、お父さんはウクレレを弾いている真似をしながら歌っていた。；彼の騎乗スタイルはイギリス内外の多くの騎手が真似をするようになる。；それを真似て装った女性らに流行し、その便利さから庶民にも定着した。；子が子を真似しても認められるルールになっていることもある。；小山内によると、イギリスのグラインの独立劇場を真似ていたのである。；ラジオの優しさに溢れた行動は町の人々には真似できない行動だった。；真似されないように毎回その点を指摘するテロップを画面右下に表示。；動きそのものは正常人が真似できる随意運動と同等の性質のものである。；これは規則では禁止であるがこちらの方が都合が良く、皆も真似しだしたという。；真似ばかりして、自分に合っているのかどうかが分かっていない。；また、彼がヒゲをピンクにしているのを真似している観客も多数いた。；人間の会話を真似て、ユーザーと会話を行うよう設計されている。；学説によると看護師の帽子の線の数を真似したものだとも言われる。；この時代、技術を真似して盗むことは決して悪いことではなかったのである。；現在は昆虫の動きを研究し、それを真似て虫型ロボットを研究する。；河童が人間を真似た歌は、節は奇麗だが、言葉は不明だったとされている。；ひまわりを見てロボットが真似をして花びらのようなものを開いてタイトル。；これはナチス・ドイツの組織原則を真似たものであると言われる。；詩劇を制作し始めたころは作品を真似するほどに尊敬していた。；生徒は古典作品を何度も読み、この形式を真似て文章を書いた。；ネットで遊んでいた子供がアグモンを真似て作ったと言われている。；堺がゲストのコメントをそのまま真似て星の数を言うこともあった。；小学生時代には、いつも頻繁にエア・ベースで弦を弾く真似をしていた。；学校でもホウキをギター代わりに演奏の真似をしたりしていた。；こうした技術は、他社が真似しようと思っても容易に実現できるものではない。；これは宇宙戦艦ヤマトのクルーの敬礼を真似て採用したという説がある。</t>
        </is>
      </c>
      <c r="J7946">
        <f>HYPERLINK("https://www.weblio.jp/content/真似", "词义详情")</f>
        <v/>
      </c>
      <c r="K7946">
        <f>HYPERLINK("https://yourei.jp/真似", "查看例句")</f>
        <v/>
      </c>
    </row>
    <row r="7947">
      <c r="A7947" t="inlineStr">
        <is>
          <t>招き</t>
        </is>
      </c>
      <c r="B7947" t="inlineStr">
        <is>
          <t>成功</t>
        </is>
      </c>
      <c r="C7947" t="inlineStr">
        <is>
          <t>読み方：まねき
１招くこと。招待。招聘(しょうへい)。「お—にあずかる」
２烏帽子(えぼし)の正面の部分名。立(たて)烏帽子では前の上部の突き出た部分、折(おり)烏帽子では正面の三角状の部分。
３近世、幟(のぼり)や指物(さしもの)の竿(さお)先につけた細長い小旗。
４江戸時代、芝居小屋などの木戸口で出演者の名を読み上げたり、声色(こわいろ)を使ったりして客を招いた者。また、その役。
５「招き看板」に同じ。
６船から他の船や陸に合図のために掲げる標識。</t>
        </is>
      </c>
      <c r="D7947" t="inlineStr">
        <is>
          <t>招きかね(3%)；招き寄せ(3%)；招きやすい；招きよせる；招きたい</t>
        </is>
      </c>
      <c r="E7947" t="inlineStr">
        <is>
          <t>招待；誘い；勧誘；招；お呼び</t>
        </is>
      </c>
      <c r="F7947" t="inlineStr">
        <is>
          <t>さし招き；招き行燈；招きたく；招き寄せる；招き寄せて</t>
        </is>
      </c>
      <c r="G7947" t="inlineStr">
        <is>
          <t>招き猫；招き入れる；招き入れよ；招きねこ；招き猫ミュージアム</t>
        </is>
      </c>
      <c r="H7947" t="n">
        <v>29</v>
      </c>
      <c r="I7947" t="inlineStr">
        <is>
          <t>このときも賛否両論を招きながらも世論の中では時期尚早の感があった。；右手を挙げている猫は金運を招き、左手を挙げている猫は人を招くとされる。；この報道は、再びユダヤ系グループの反発を招き、大きな非難を受けた。；同社は一つずつ解決するため、メンバーを招き同じテーブルでの食事会を開く。；ただし疲労度も高くなってしまうので、病気や怪我を招きやすくなる。；そこで協力してボーアを自分たちのところに招き、質問ぜめにした。；メンテナンスを行わないエレベーターは重大な事故を招きかねない。；このため「科学的」でさえあれば未来の予測は正しいとの確信を招きがちである。；いずれの行為も、火事場の混雑を招き、避難の障害になるためであった。；首都における不満は市民の抗議活動を招き、時には政権に影響を与えた。；このため発射地点を特定され敵の反撃を招きやすいという欠点がある。；これが同盟内聖職者の激しい反発を招き、しばらく交渉は前進しなかった。；後述するように、近年では誤解を招きかねない不正確な用語とする見解が主流となっている。；不必要なサービスの利用は無駄なオーバヘッドになり逆効果を招きかねない。；しかしフィンランドの抵抗で思わぬ損害を招き、国際連盟からも追放された。；使節待遇の変更は朝鮮側の誤解を招き、抗議を受ける場面もあった。；月2回程度、様々な分野からのゲストを招き、トークを繰り広げていく。；隠元は長崎・興福寺の僧逸然性融らの招きに応じて来日したものである。；主に保守系政治家をゲストに招きインタビューする形式である。；毎週8人程度の芸能人を招き、視聴者からの疑問・質問・相談に答える。；こちらでは招きたい人を直接操っている様子で、また特に名前は呼んでいない。；このような方法は農民の反発を招き、1820年代前半には大規模な反乱が起こった。；しかし、またも皇帝の嫉妬を招き、すべての財産は没収され幽閉された。；ギシギシと音を立て、咬頭に異常な力が働くので、歯質の崩壊を招きやすい。；特に相手が全く行為に満足していなかった場合には、このような態度は悲劇的な結果を招きかねない。；動的スコープは強力な反面、ミスを招きやすいため使用に注意が必要である。；毎回2人のギャンブラーを招き、行われていたチーム対抗戦形式の番組。；明治初期には灘から三役と呼ばれる技術者を招き新醸造法を導入したこともあるが失敗。；そこで田嬰は食客を屋敷に招き、田文にその世話をさせることにした。</t>
        </is>
      </c>
      <c r="J7947">
        <f>HYPERLINK("https://www.weblio.jp/content/招き", "词义详情")</f>
        <v/>
      </c>
      <c r="K7947">
        <f>HYPERLINK("https://yourei.jp/招き", "查看例句")</f>
        <v/>
      </c>
    </row>
    <row r="7948">
      <c r="A7948" t="inlineStr">
        <is>
          <t>招く</t>
        </is>
      </c>
      <c r="B7948" t="inlineStr">
        <is>
          <t>成功</t>
        </is>
      </c>
      <c r="C7948" t="inlineStr">
        <is>
          <t>読み方：おく
［動カ四］まねく。呼び寄せる。
「月立ちし日より—・きつつうち偲(じの)ひ待てど来鳴かぬほととぎすかも」〈万・四一九六〉</t>
        </is>
      </c>
      <c r="D7948" t="inlineStr">
        <is>
          <t>招く可能性(2%)；招くおそれ；招くかもしれ；招く結果となり；招くかも知れ</t>
        </is>
      </c>
      <c r="E7948" t="inlineStr">
        <is>
          <t>受ける；呼ぶ；生じる；起こす；もたらす</t>
        </is>
      </c>
      <c r="F7948" t="inlineStr">
        <is>
          <t>自ら招く</t>
        </is>
      </c>
      <c r="H7948" t="n">
        <v>29</v>
      </c>
      <c r="I7948" t="inlineStr">
        <is>
          <t>これは時制上の混乱を招くほか、行と行の関連を曖昧にする効果を持つ。；こうしたエジプトの分裂と混乱は外部勢力の侵入を招くことになる。；教会のリーダーは男性であるべきと主張し、結婚は苦難を招くと説いた。；第三に、この語は歴史的に様々な意味で用いられており混乱を招く。；両者をひとつの言語の中で認めると、論理的な混乱を招くことになる。；毎年10月を中心に企業の経営者層を招いて技術展示会を行っている。；しかし、同化政策の遅れは言語分断を招くなど大きな問題となっている。；条約改正反対の急先鋒だったイギリスの態度変更は各国の追随を招いた。；その一つが注目を集め、イタリア各地の劇場に招かれてオペラを作曲。；フィオナの結婚を知って、祝福するために2人を王国へ招いているのだ。；一方で、平行ダイヤの導入前よりも到達時間の増加を招くことがある。；今後どのような危険が訪れるかも分からないが、これも我々が招いたことである。；その事が、後に思ったよりも恐ろしい事態を招く事に気づくよしもなかった。；以上のように、この発言は促進派の感情を刺激し、強い反発を招いた。；だが一方にはこのように妻を娶ってその祝宴に人を招こうとしている者もいる。；その部分性ゆえに再び矛盾の拡大を招いて次なる段階に突入する。；改革自体は高潔なものだったが、教会の反発を招くことにもなった。；主にゲストには、中継先の自治体出身のタレント・文化人を招くことが多い。；なぜ彼はそう事を好んでひとり跛者や貧者ばかりを招こうとするのか?；この結果は、当然ながらシュタウフェン家の不満を招くものであった。；しかし自治体区域内とは直接関係ない施設の名称を借りることも批判の嵐を招いた。；折に触れ、後輩芸人を自宅に招いて手作りの料理の腕を披露している。；ロッシュの助力もあり、フランス人講師を招いて本格的な授業を行った。；また自邸に招いて演奏させた人々は絶賛するが、報酬は出し惜しみした。；生活するうえでの利便性が増した一方で、中心市街地の空洞化を招いた。；産婦人科を訪れたリカは研修医として働く三上と再会し自宅に招かれる。；まさか、こんなに急に最悪の事態を招こうとは思ってもいなかったことである。；全ての主要目標の攻略が失敗に終わると共に、補給の困難さを招いた。；しかしこれはフランス革命を引き起こした社会的混乱を招く原因になった。</t>
        </is>
      </c>
      <c r="J7948">
        <f>HYPERLINK("https://www.weblio.jp/content/招く", "词义详情")</f>
        <v/>
      </c>
      <c r="K7948">
        <f>HYPERLINK("https://yourei.jp/招く", "查看例句")</f>
        <v/>
      </c>
    </row>
    <row r="7949">
      <c r="A7949" t="inlineStr">
        <is>
          <t>真似る</t>
        </is>
      </c>
      <c r="B7949" t="inlineStr">
        <is>
          <t>成功</t>
        </is>
      </c>
      <c r="C7949" t="inlineStr">
        <is>
          <t>読み方：まねる
［動ナ下一］［文］ま・ぬ［ナ下二］他の人や物に似せる。まねをする。模倣する。「父親の口ぶりを—・ねる」「文体を—・ねる」</t>
        </is>
      </c>
      <c r="D7949" t="inlineStr">
        <is>
          <t>真似；コピー；追随；模写；マネ</t>
        </is>
      </c>
      <c r="H7949" t="n">
        <v>29</v>
      </c>
      <c r="I7949" t="inlineStr">
        <is>
          <t>姿形を真似るわけではないが、敵の目を攪乱させるくらいの効果はある。；これにあこがれた地方人は皆これを真似ることを名誉とするようになる。；ただこれを真似るをのみ芸とする後世の奴こそ気の知れぬ奴には候なれ。；それでは自分を真似ろというほど立派に生きている教師がどれだけいるのか。；茜になりきったつもりだけでは、彼女の筆跡を真似ることなどできない。；それらの声はときにオウチュウ類など他の鳥の鳴き声を真似るともされる。；そして僕の食べかたを注意深く見守った末、それをそのまま真似るのだ。；大人の文学が物語性を持たないからとて、どうしてそれを真似る必要があろう。；お前たちも、こうした正確な言葉づかいをパパから真似るとよいだろう。；二人はこうして顔を合わせるたんびにお互いの態度を真似るのでした。；これではとても、乃木大将の私生活を真似ることなど出来るはずもない。；ある研究者が調査したところでは18種類の動物の声を真似ることができたという。；文体なども人を真似るのがいやだったから、あんな風にやって見たに過ぎない。；造船所で見たことを真似るように、ヨットを改造してみようと思ったからだ。；男たちの中にも真似る者が見られるようになりました。；あれは手製の楽器で〈至後者〉の音楽言語を真似るための練習だったのだ。；右手も鍵型に、舞衣には真似ることのできない格好になっていた。；その動きをそっくり真似るようにして、U君も自分の煙草をくわえる。；ここがうまく行けば余所でも真似るようにならぬものでもなかろう。；これはともセンパイの動きを真似るだけだから簡単であります!；人間以外のものでも、真似るということに大変興味を持っているものがあります。；持主をはるか彼方に置いたまま、その姿を真似ることしかできない者たちだ。；今人がこれを真似ると、とても嫌な感じになるに違いありません。；ただ動物を真似るだけでなく、実際にその動物の能力が身に付く。；凱旋式の様式は、中世以降にヨーロッパの王族が真似るようになった。；二頭の舟魚が、メノリの動作を真似るかのようにそのひれ足で水をたたいた。；胸の感覚器官が明滅し、口だけの顔が人間の行動を真似るかのように上を向いた。；杏が小さな皿に料理をいくつか取ると、恵美は急いでそれを真似る。；つまり弟子はその師匠が教えるのを聞いて、大きな注意をもってこれを真似るのである。</t>
        </is>
      </c>
      <c r="J7949">
        <f>HYPERLINK("https://www.weblio.jp/content/真似る", "词义详情")</f>
        <v/>
      </c>
      <c r="K7949">
        <f>HYPERLINK("https://yourei.jp/真似る", "查看例句")</f>
        <v/>
      </c>
    </row>
    <row r="7950">
      <c r="A7950" t="inlineStr">
        <is>
          <t>瞬き</t>
        </is>
      </c>
      <c r="B7950" t="inlineStr">
        <is>
          <t>成功</t>
        </is>
      </c>
      <c r="C7950" t="inlineStr">
        <is>
          <t>読み方：またたき
［名］(スル)《古くは「まだたき」とも》
１またたくこと。まばたき。「—する間」「—もせずに見入る」
２光がちらちら明滅すること。「星の—」</t>
        </is>
      </c>
      <c r="D7950" t="inlineStr">
        <is>
          <t>瞬きする(8%)；瞬き一つ(3%)；瞬きひとつ(2%)；瞬き始め；瞬きはじめ</t>
        </is>
      </c>
      <c r="E7950" t="inlineStr">
        <is>
          <t>瞬；瞬く；まばたき；転瞬；瞬ぎ</t>
        </is>
      </c>
      <c r="F7950" t="inlineStr">
        <is>
          <t>ゆっくりと瞬き；三度瞬き；目瞬き；パチと瞬き；ほんの瞬き</t>
        </is>
      </c>
      <c r="H7950" t="n">
        <v>29</v>
      </c>
      <c r="I7950" t="inlineStr">
        <is>
          <t>そういう晩には空の星の光までじっとして瞬きをしないような気がする。；その光に酔ったように頭がぼんやりして、私は足を止めて瞬きしていた。；今のわたし達の動作は、あの人達が瞬き一つする間に終ってしまうのよ。；拾われた胸と左腕が首に着いたとみるや、瞬きする間に一体化していた。；はっきりしない色の小さな眼は、顔のずっと奥の方で瞬きをしている。；本物の眼のようにぱちぱちと瞬きしながら、じわ、じわと近づいてくる。；しかし直後、ぎゅっと一度強く瞬きし、鋭い声で集声器に向けて叫んだ。；彼女の目は、男たちの足元に倒れたメルカを捉えたまま瞬きすらしない。；瞬きをするほどの短い時間であったにもかかわらず、少女の姿は消えていた。；何度も瞬きすると、高みにある窓から水が落ちて来ているのだとわかった。；何度か瞬きしたとき、そこにあるのは二つの大きな卵になっていた。；概念空間の天井、高さ約二キロの地点に生まれるのは星のような瞬きの群れ。；そいつが不意に動いた気がして、おれはぎょっとして瞬きを繰り返した。；ぼんやりした頭をはっきりさせようと瞬きすると、父の大きな声が聞こえた。；しばしの沈黙のあと、謡がゆっくりと瞬きしながらかすかな声で応じた。；それから少しの間眼を瞬き、傍のリポートを取り上げ、眼を通し始めた。；それは幻想ではないかと思うほどの、わずかな光の瞬きでしかなかった。；食い終わったころには、空は暗くなり、頭上に星々が瞬きはじめていた。；そして何度か素早く瞬きしてから、身を返して足早に病室を出ていった。；必死に目をつぶろうとしたが、どうしたことか瞬き一つ不可能だった。；少しも恐れた気色がなく、瞬きもしないで彼の眼中を見すえているのだ。；わけがわからず何度も瞬きしたそのとき、異様な気配が全身を包んだ。；星が一個流れて、足元に置かれたリュックの上でポーリーが瞬きをした。；ゆっくり一度瞬きをすれば、自分の視界に見える世界を変えることができる。；それから向うの遠い山のずつと先から火が一つ瞬きをしてゐる。；躰は指一本動かすこともできず、目は見開いたまま瞬きすら許されない。；数メートルの距離をゼロにして攻撃動作に至るまでが、瞬きより短い。；その瞬きごとに、堀の胸にあった不満や憤りが吸い取られてしまうのだ。；再びマリエに起こされたときには、既に街にはネオンが瞬き始めていた。</t>
        </is>
      </c>
      <c r="J7950">
        <f>HYPERLINK("https://www.weblio.jp/content/瞬き", "词义详情")</f>
        <v/>
      </c>
      <c r="K7950">
        <f>HYPERLINK("https://yourei.jp/瞬き", "查看例句")</f>
        <v/>
      </c>
    </row>
    <row r="7951">
      <c r="A7951" t="inlineStr">
        <is>
          <t>まばら</t>
        </is>
      </c>
      <c r="B7951" t="inlineStr">
        <is>
          <t>成功</t>
        </is>
      </c>
      <c r="C7951" t="inlineStr">
        <is>
          <t>読み方：まばら
［形動］［文］［ナリ］
１物が少なくて、間がすいているさま。すきまのあいているさま。「人通りも—な住宅街」
２順序だっていないさま。ばらばらであるさま。
「わづか二百騎あまりに打ちなされ、沖へ—にざっと引く」〈幸若・屋島軍〉</t>
        </is>
      </c>
      <c r="D7951" t="inlineStr">
        <is>
          <t>まばらな拍手；まばらな人影；まばらな林；まばらな星；まばらな地域</t>
        </is>
      </c>
      <c r="E7951" t="inlineStr">
        <is>
          <t>閑散；ガラガラ</t>
        </is>
      </c>
      <c r="F7951" t="inlineStr">
        <is>
          <t>まばらにはえ；まばらな街燈；まばらに伏毛；まばらに短い毛；まばらな群落</t>
        </is>
      </c>
      <c r="H7951" t="n">
        <v>29</v>
      </c>
      <c r="I7951" t="inlineStr">
        <is>
          <t>やがて、木立ちがまばらになった平坦なところに出たことに気がついた。；原稿を送って再び阪急の構内へ戻って来ると、急に人影はまばらだった。；リンドンの地の人影はまばらになり、その多くは灰色港に留まっていた。；かつては人家もまばらだったが、電車の開通により発展した地域である。；この円錐花序の側枝が長いものはまばらに広がった円錐形の穂をつける。；まだ宵であるから、両側の町屋も店をあけていて人通りもまばらにある。；他種は多くは花が頭状につくので、本種のまばらな穂状の花は独特である。；濃いドレッシングは、通常はブラシでまばらになった状態で撮影される。；中央公民館図書室は雰囲気の暗さもあって、訪れる住民はまばらだった。；葉は緑色でややつやがあり、縁に沿って長くて白い毛がまばらに生えている。；さっきまで大にぎわいだった小屋のあたりには、もう人影もまばらだった。；COWの主な利点は、メモリを空間的にまばらに利用する可能性にある。；リメナリアは島の反対側に位置するとても小さな村で、観光客もまばら。；形は栄養葉と基本的には同じだが、小葉の幅が狭く、ややまばらに出る。；それは自分が家のまばらな郊外に住んでいるからであった。；人気のないホールのなかに、まばらな二人の拍手だけがひびいていた。；まばらというほどではないが、騒々しいという感じはほとんどなかった。；まばらに会う人たちは、不気味な魚めいた顔立ちをした者が少なくない。；現在では国道42号が本線となったため、当路線の交通量はまばらである。；草があまり密集せずまばらであるか、丈がそれほど高くない所に多い。；葉身の上面にはまばらに毛があるのが普通だが、まれに無毛の場合もある。；表面には初めは星状毛が密生するが、時間が経つとまばらになるものが多い。；温暖で木がまばらに生えた開けた土地でよく見られる鳥である。；この主軸からは少数の枝がまばらな方向に出て、さらにその上に小枝が多数出る。；腹面には管足が密生しており、背中側にも疣の間にまばらに見られる。；気候は全体的に過酷で冬の気温が低く、人の居住は極めてまばらである。；つづいて二人は、木のまばらな、草の密生した斜面をのぼっていった。；ここまでくると木もまばらになり、雪も締ってラッセルが楽になってきた。；だが、星影まばらな光の下では、かっこうの場所はさがしうべくもない。</t>
        </is>
      </c>
      <c r="J7951">
        <f>HYPERLINK("https://www.weblio.jp/content/まばら", "词义详情")</f>
        <v/>
      </c>
      <c r="K7951">
        <f>HYPERLINK("https://yourei.jp/まばら", "查看例句")</f>
        <v/>
      </c>
    </row>
    <row r="7952">
      <c r="A7952" t="inlineStr">
        <is>
          <t>麻痺</t>
        </is>
      </c>
      <c r="B7952" t="inlineStr">
        <is>
          <t>成功</t>
        </is>
      </c>
      <c r="C7952" t="inlineStr">
        <is>
          <t>読み方：まひ
［名］(スル)
１しびれて感覚がなくなること。しびれ。「あまりの冷たさに指先が—する」
２通常のはたらきや動きが停止すること。「大雪で交通が—状態だ」「彼の良心は—している」
３脳・神経や筋肉が働かなくなって、運動機能や精神作用・知覚機能が失われること。</t>
        </is>
      </c>
      <c r="D7952" t="inlineStr">
        <is>
          <t>麻痺させる(6%)；麻痺状態(5%)；麻痺銃；麻痺性；麻痺毒</t>
        </is>
      </c>
      <c r="E7952" t="inlineStr">
        <is>
          <t>痺れ；しびれ；中風；無感覚；中気</t>
        </is>
      </c>
      <c r="F7952" t="inlineStr">
        <is>
          <t>性麻痺；呼吸麻痺；感覚麻痺；注視麻痺；交通麻痺</t>
        </is>
      </c>
      <c r="G7952" t="inlineStr">
        <is>
          <t>麻痺性痴呆；麻痺ペプチド</t>
        </is>
      </c>
      <c r="H7952" t="n">
        <v>29</v>
      </c>
      <c r="I7952" t="inlineStr">
        <is>
          <t>殺人と聞いて交通麻痺を起こすくらい大量の野次馬がクラブに集まった。；しばらく前に突然麻痺の症状が出たというが、原因は分かっていない。；ショックの時点では患者が将来完全麻痺となるのかは全く予測ができない。；全ての事が終わるとすぐに、ピエリーナが煩っていた体の麻痺が消えた。；いずれの攻撃も雷属性であるため、喰らうと麻痺してしまうことがある。；彼は腰から下が麻痺して、車椅子を使わなければ移動できなくなった。；この時のヘスは最晩年であり、目は見えず、体はほぼ完全に麻痺していた。；パリの夜間の抗議運動に匹敵せずとも、アミアンの街は急速に麻痺した。；重要なことは、呼吸麻痺に陥った場合に人工呼吸器管理を行うことである。；ショックから離脱した時点で不完全麻痺であったら回復する可能性がある。；血管や神経が傷ついて、手の血流が低下したり麻痺が生じることがある。；危険なのはいわゆる良心の麻痺のために悪を行うて悪を悟らざることである。；その後、麻痺は一般的に新しい神経筋接続が形成されるにつれて改善する。；また、大きな動物が体に触れたときも発電して麻痺させ、その間に逃げる。；さらに重くなると体全体が麻痺し、嘔吐や失禁などの全身症状が現れる。；従って、麻痺側眼の像は常に健側眼の像の外側に生じることになる。；また、腕や脚の麻痺を生じうる他、嚥下と心機能にも影響を与える事もある。；実際にエルヴィスと手紙をやり取りした女性と小児性麻痺の少女の実話。；生物分野では生きた生物の神経に電流や針など刺激を与え一時的に麻痺させることを指す。；上記の感覚伝導路のうちどこかが障害されれば感覚麻痺は起こりえる。；ポリオウイルスが麻痺を起こす分子機構はほとんど理解されていない。；効力を最強にすると、体が麻痺して痛みを感じなくなるため、非常に危険。；損傷したレベルより下の神経が完全麻痺するからである。；これらの物質は副交感神経を麻痺させるため、先述のような症状が起こる。；身体が麻痺して寝たきりの状態になって看護婦が付きっきりになった。；占領期間には療養施設の機能は麻痺し、戦闘で多くの施設が完全に破壊された。；小人族には、生き物の神経を麻痺させ、神経を操る力が秘められている。；一時は心停止状態に陥り、意識の回復後も両足に麻痺が残る恐れがあった。；そのため、この期間にポリオの感染による麻痺や死者の割合が増加した。</t>
        </is>
      </c>
      <c r="J7952">
        <f>HYPERLINK("https://www.weblio.jp/content/麻痺", "词义详情")</f>
        <v/>
      </c>
      <c r="K7952">
        <f>HYPERLINK("https://yourei.jp/麻痺", "查看例句")</f>
        <v/>
      </c>
    </row>
    <row r="7953">
      <c r="A7953" t="inlineStr">
        <is>
          <t>眩しい</t>
        </is>
      </c>
      <c r="B7953" t="inlineStr">
        <is>
          <t>成功</t>
        </is>
      </c>
      <c r="C7953" t="inlineStr">
        <is>
          <t>読み方：まぶしい
［形］［文］まぶ・し［シク］
１光が強すぎて、まともに見にくい。まばゆい。「裸電球が—・い」
２まともに見ることがためらわれるほど美しい。また、尊い。「彼女の輝くばかりの笑顔が—・い」
[派生]まぶしがる［動ラ五］まぶしげ［形動］まぶしさ［名］</t>
        </is>
      </c>
      <c r="D7953" t="inlineStr">
        <is>
          <t>眩しい光(9%)；眩しいよう(5%)；眩しいもの(4%)；眩しい太陽；眩しい陽光</t>
        </is>
      </c>
      <c r="E7953" t="inlineStr">
        <is>
          <t>輝かしい；まぶしい；まばゆい；眩い；燦然たる</t>
        </is>
      </c>
      <c r="F7953" t="inlineStr">
        <is>
          <t>眩しい陽射し；眩しいほど白い；とても眩しい；眩しい輝き；眩しいほど明るく</t>
        </is>
      </c>
      <c r="H7953" t="n">
        <v>29</v>
      </c>
      <c r="I7953" t="inlineStr">
        <is>
          <t>僕はそこでまともな子供の多いのに眩しくて眼をあけていられなかった。；日の光が眩しいのか、わずかに首を振るような動作をすることもあった。；むこうはわたしの上前方にいて、しかも眩しい太陽を背にしていたのよ。；白い眩しい光を浴びた男は微かに伊三次に向けて笑ったような気がした。；その精悍な顔は演技のようにもみえたが、どこか眩しいところがあった。；しかしそんなに眩しいのはその緑色の葉のせいばかりではないかも知れない。；手にした黒い指揮棒のような杖の頭部には、眩しい水晶球がついていた。；かつてこんなに眩しいわが家をみた記憶が、私にはなかったからである。；しかしそんなに眩しいのはその緑色の葉のせゐばかりではないかも知れない。；白く大きな鳥が群れをなして飛びながら眩しい頭上を通過していく。；頭上の太陽は、こうしているだけで気持ちがよくなるほど眩しかった。；だけどこの青空は、もうじっと見てもそれほど眩しくはなくなっている。；空は雲ひとつなく、その青さもその下できらきら光る雪の表面も眩しい。；暗い道を歩き続けて来たせいか、その店のネオンが、ひどく眩しかった。；小鳥は眩しいほどの黄色い腹をして、黒い縞のある灰色の翼をしていた。；源次の眼に印象的に残ったのは、その女の眩しいような臀の白さだった。；生命にひきかえても、この眩しい悪魔の魂を屈服させることはできない。；まるで手術台の上に固定され、眩しい光を当てられているかのよう!；眩しいのが口のなかまで押込んで来て息が出来なくなるんだよ。；K夫人は眩しいように明るい大ホールの中を抜けて、奥へ行きました。；現実を知った八歳の時、鉄は以前のように眩しい存在ではなくなった。；その顔はとても楽しそうで、なぜかフォロンには眩しくさえ感じられた。；そのまっすぐな騎士のような心根に、ロレンスは少し眩しい思いがした。；私は鏡の中の自分の姿を、眩しいシャンデリア越しに振り返ってみた。；眩しくなって眼を庭の草へ移すと大きな黄色の斑点がいくつも見える。；そりゃもう、こっちが眩しくって目、あけてられないくらいだったわよ。；私は鏡の中の自分の姿を、眩しいシャンデリヤ越しに振り返ってみた。；綿飴のような雲が数個浮いているだけで、日差しは朝から眩しくて強い。；夏の日射しが地上に濃い影を作り、空には眩しい銀色の雲が浮かんでいた。</t>
        </is>
      </c>
      <c r="J7953">
        <f>HYPERLINK("https://www.weblio.jp/content/眩しい", "词义详情")</f>
        <v/>
      </c>
      <c r="K7953">
        <f>HYPERLINK("https://yourei.jp/眩しい", "查看例句")</f>
        <v/>
      </c>
    </row>
    <row r="7954">
      <c r="A7954" t="inlineStr">
        <is>
          <t>まぶた</t>
        </is>
      </c>
      <c r="B7954" t="inlineStr">
        <is>
          <t>成功</t>
        </is>
      </c>
      <c r="C7954" t="inlineStr">
        <is>
          <t>読み方：まぶた
《目のふたの意》眼球をおおって開いたり閉じたりする皮膚。眼瞼(がんけん)。まなぶた。まぶち。「—が重くなる」</t>
        </is>
      </c>
      <c r="D7954" t="inlineStr">
        <is>
          <t>まぶたをおしあけ；まぶたを押しあけ；まぶたをぱちぱち；まぶたをぴくぴく；まぶたをそっと</t>
        </is>
      </c>
      <c r="E7954" t="inlineStr">
        <is>
          <t>目；眼；瞳；目玉；眼球</t>
        </is>
      </c>
      <c r="F7954" t="inlineStr">
        <is>
          <t>下まぶた；上まぶた；重いまぶた；ひとえまぶた；ゆっくりとまぶた</t>
        </is>
      </c>
      <c r="H7954" t="n">
        <v>29</v>
      </c>
      <c r="I7954" t="inlineStr">
        <is>
          <t>安堵の夢を見ることはなく閉じたまぶたの裏側に何人もの顔が浮かんだ。；まぶたは町医者が閉じてくれたので、もう驚いたような顔もしていない。；どのくらい時間がたったのか知る由もなく、ずっとまぶたを閉じていた。；すべてが終わったあと、彼女はまぶたを閉じ、そのまま動かなくなった。；この日も軽くまぶたを閉じ、これから行う演技に意識を集中していた。；すでにまぶたの裏には、二人のあとをつけてくるかれの姿が見える。；額が火のようで、まぶたがちくちくしたが、肌は氷のように冷たかった。；ほんのわずかに開いたまぶたの間から、彼は用心深くあたりを偵察した。；もともと一重まぶたの細い目だが、笑うと糸のようになってしまう。；すぐそこの風景なのに遠い風景に感じられ、隼子のまぶたはまた閉じる。；周囲に等間隔で並ぶ四個の目は、大きな眉と固いまぶたで守られている。；しかし、まぶたの内側には、ドロンと白く濁った眼があるだけであった。；切れ長のひと重まぶたは、育ちのいい男だけがもっている端整さである。；と、彼女の顔でも唇とまぶたとが、神経的にぴくぴくひきつりはじめた。；彼はまぶたの赤い目で二人を見たが、主にラ=ジャに目を向けていた。；まぶたの外が規則的に、明るくなったり、暗くなったりするのがその証拠だ。；かれは眼を開き、その強い光にやられそうな気がして、慌ててまぶたを閉じた。；茜は全身を金属に変えられていたが、よく見るとまぶたの奥の目は動いている。；髪の毛を引っ張ったり、まぶたを押しあけたりしても、じっとしていた。；そのまま、氷が溶けていくように、ゆっくりと翡翠のまぶたが開かれた。；上まぶたが上がり、口が開いた状態で唇の左右が水平に伸びています。；井出夫人の張りのあるまぶたが、口元の微笑とともに彼女を待つていた。；梨花は、必死に、夜八郎のせなかにしがみついて、まぶたを閉じていた。；かれのまぶたの裏にいま潜んでいるのは、あの灰色のものだろうか?；まぶたを開くことができるようになるまでに時間がかかった。；影村一夫の一重まぶたの細い眼はいつも光を放っていた。；これらはまぶた、鼻、口、耳の形に影響を与え、腕と脚の動きを制限する。；もっと長く書きたいのですが、まぶたが下がってきてしまってもう限界です。；答えるべき回答が、まぶたの裏に書いてあるのを探しているとでもいうように。</t>
        </is>
      </c>
      <c r="J7954">
        <f>HYPERLINK("https://www.weblio.jp/content/まぶた", "词义详情")</f>
        <v/>
      </c>
      <c r="K7954">
        <f>HYPERLINK("https://yourei.jp/まぶた", "查看例句")</f>
        <v/>
      </c>
    </row>
    <row r="7955">
      <c r="A7955" t="inlineStr">
        <is>
          <t>豆</t>
        </is>
      </c>
      <c r="B7955" t="inlineStr">
        <is>
          <t>成功</t>
        </is>
      </c>
      <c r="C7955" t="inlineStr">
        <is>
          <t>読み方：ず
〈豆〉⇒とう
〈頭〉⇒とう</t>
        </is>
      </c>
      <c r="D7955" t="inlineStr">
        <is>
          <t>豆六(13%)；豆ランプ；豆柴；豆潜水艇；豆八</t>
        </is>
      </c>
      <c r="E7955" t="inlineStr">
        <is>
          <t>穀物；小麦；トウモロコシ；コーン；穀</t>
        </is>
      </c>
      <c r="F7955" t="inlineStr">
        <is>
          <t>エジプト豆；はじめ辰と豆；豆盧；豆府；駿豆</t>
        </is>
      </c>
      <c r="G7955" t="inlineStr">
        <is>
          <t>豆腐屋；豆類；豆粒；豆電球；豆乳</t>
        </is>
      </c>
      <c r="H7955" t="n">
        <v>29</v>
      </c>
      <c r="I7955" t="inlineStr">
        <is>
          <t>器種は豆が増加し、水器である鑑などの大型器が作られるようになった。；一般的には豆の原形が存在するものを指して用いられるが、例外もある。；大佐が残っていた豆を代わりの餌として与えると、妻とまた口論になる。；後には病気を経て、野菜・豆中心の食材を用いた料理を紹介している。；その記述では、当時の赤味噌と白味噌は材料の豆や麹が異なったという。；こうした輸入豆はその需要のほとんどが喫茶店であったとみられる。；一部の愛好家の中には自分で生の豆を購入して自家焙煎する人もいる。；お得な豆知識からゲームバランスを崩壊させかねないものまで様々。；生産されたままの生の状態を生豆、加熱加工されたものを焙煎豆という。；特に豆は小豆がよいとされており冬至の日には小豆粥が各地で食されていた。；メキシコのさまざまな料理で豆が重要な役割を果たしている。；ロブスタ種と同様に豆の流通市場で栽培品種が区別されることは少ない。；アニメ第2作第2期では、豆を食べると食べた本人が外に出る効果があった。；豆崙は何度も阿伏至羅に敗れたが、那蓋は勝利と戦利品の獲得を重ねた。；また、有野が挑戦ソフトの発売当時のエピソードや豆知識を語ることがある。；言い伝えによれば、彼の最後の食事は毒の入った豆のスープであったという。；このほか、地形由来の「真間処」に「豆」の字を当てたとする説もある。；彼らは豆や日や風など、サイシャット族のそれぞれの苗字の先祖である。；また日本語においては、小さいものや形の似たものを豆と表現する。；仕事の開始前には、自分で豆を挽いてコーヒーを淹れることが習慣だという。；忠左衛門が豆を食べようと袋を開けると、中には五十両が入っていた。；さらに長期的には、この豆自体が地球の軌道に沿って往復運動する。；町の南にはラズメタニツァ平原がストルマ川が豆の形であったことによる。；これらには、全ての豆戦車と24台の装甲車のうちの6台を使用した。；ところがそこには、もう一人、魔法の豆を狙っている黒装束のネコがいた。；各面に豆ゲームが存在し、クリアすればスペシャルアイテムが手に入る。；もししゃべってしまうと、反対に鬼がやってきて豆をぶつけられてしまう。；その後、東京で弁護士となり、豆陽金属工業株式会社監査役などを務めた。；水痘の「痘」は病と豆の併せ字で、体に豆の様な物が出来る病気を指す。</t>
        </is>
      </c>
      <c r="J7955">
        <f>HYPERLINK("https://www.weblio.jp/content/豆", "词义详情")</f>
        <v/>
      </c>
      <c r="K7955">
        <f>HYPERLINK("https://yourei.jp/豆", "查看例句")</f>
        <v/>
      </c>
    </row>
    <row r="7956">
      <c r="A7956" t="inlineStr">
        <is>
          <t>まもなく</t>
        </is>
      </c>
      <c r="B7956" t="inlineStr">
        <is>
          <t>成功</t>
        </is>
      </c>
      <c r="C7956" t="inlineStr">
        <is>
          <t>読み方：まもなく
［副］時間がさしてたたないさま。ほどなく。じきに。「—幕が開く」「君が帰って、—彼が来た」</t>
        </is>
      </c>
      <c r="D7956" t="inlineStr">
        <is>
          <t>まもなく死ん；まもなく死ぬ；まもなく没し；まもなく散騎；まもなく消え</t>
        </is>
      </c>
      <c r="E7956" t="inlineStr">
        <is>
          <t>もう；近く；やがて；いずれ；間もなく</t>
        </is>
      </c>
      <c r="F7956" t="inlineStr">
        <is>
          <t>戦後まもなく；いとまもなく；生後まもなく；思うまもなく；死後まもなく</t>
        </is>
      </c>
      <c r="H7956" t="n">
        <v>29</v>
      </c>
      <c r="I7956" t="inlineStr">
        <is>
          <t>ちなみにこのパターンでは、まもなく列車が到着することを表している。；その後まもなく、同作は本人の監督によって映画化されることとなった。；こうして営業を始めた古川駅だったが、まもなく一つの問題が発生した。；しかし、その後まもなく事故死したため詳細を発表しないまま終わった。；だがウェールズも燃料不足になっており、まもなく本隊を離脱している。；市の幹部たちはまもなく水の供給が絶たれるのではないかと惧れ始めていた。；まもなくして彼のギターの腕を買い、クオリーメンへの加入を認めた。；この公開書簡はまもなくベストセラーとなり、複数の言語に翻訳された。；しかしまもなくこの弾圧は政治的には失敗であったことが明らかになっていく。；この都市はまもなくギリシア人の航海者や商人と交流を持つようになった。；水を主成分とする海は地球誕生後まもなく形成され、現在まで継続している。；しかし親友の体験談を聞いてまもなく同様の症状が自分にも出現したという。；当初は4階建てであったが、完成後まもなく7階建てに増築されている。；まもなくコントはパリに戻ったものの精神状態はなかなか回復しなかった。；チームはその年のオセアニアクラブ選手権大会で結成まもなく優勝を決定。；当初戦艦と判断していたが、まもなく浮上航走中の米潜水艦と訂正した。；その後まもなくエーリヒ1世と市との関係は独特の穏やかさが特徴となった。；彼らは戦後まもなく新作曲派協会を結成することになる。；第一次世界大戦が勃発した直後には参戦に反対していたが、まもなく参戦派に転じた。；その後まもなく、森田は活動を停止して表に出ることはなくなった。；このインの誕生からまもなく、タヴァンの原型が誕生したと考えられる。；当初は苦戦するものの、まもなく高い戦闘力を発揮し数々の勝利を挙げた。；白色矮星は発見されてまもなく、非常に高密度であることが判明した。；最終コーナーまでに好位に上がり、直線に入ってまもなく先頭を奪取。；軽く促されただけで鋭い伸びを見せ、直線に入ってまもなく先頭を奪取した。；武帝の時代に雍州が設置されたこともあるが、まもなく廃止された。；当初はSLは保有していなかったが、発足後まもなく1両を復元した。；探検がほぼ終了すると、まもなくこの地域もアフリカ分割の対象となった。；まもなく故郷は董卓の部将の李傕らの軍勢が襲来し、多くの被害が出た。</t>
        </is>
      </c>
      <c r="J7956">
        <f>HYPERLINK("https://www.weblio.jp/content/まもなく", "词义详情")</f>
        <v/>
      </c>
      <c r="K7956">
        <f>HYPERLINK("https://yourei.jp/まもなく", "查看例句")</f>
        <v/>
      </c>
    </row>
    <row r="7957">
      <c r="A7957" t="inlineStr">
        <is>
          <t>守る</t>
        </is>
      </c>
      <c r="B7957" t="inlineStr">
        <is>
          <t>成功</t>
        </is>
      </c>
      <c r="C7957" t="inlineStr">
        <is>
          <t>読み方：まぶる
［動ラ四］「まぼる」の音変化。
「わらはが顔をあいつに—・らせうと思うて」〈虎清狂・鏡男〉</t>
        </is>
      </c>
      <c r="D7957" t="inlineStr">
        <is>
          <t>守るべき(3%)；守るべく；守るべし</t>
        </is>
      </c>
      <c r="E7957" t="inlineStr">
        <is>
          <t>見る；維持；続ける；保護；継続</t>
        </is>
      </c>
      <c r="F7957" t="inlineStr">
        <is>
          <t>守る護畜犬；守るべく戦う；守る兵たち</t>
        </is>
      </c>
      <c r="H7957" t="n">
        <v>29</v>
      </c>
      <c r="I7957" t="inlineStr">
        <is>
          <t>現代でも軍隊や警察などで敵の攻撃から身を守るために使用されている。；さらに他にも寮弟など独特な伝統や制度に守られた特殊な場所であった。；だが、区分の原則が守れているか否かを常に意識することは重要である。；ユダヤ人を守ろうとした人も、ユダヤ人と一緒に殺されることがあった。；また政府では勧誘時の約束を守るつもりがなかったことも発覚している。；これに対し国王は適切な取引価格を守ることを求めるのみにとどまった。；つまり武器を持たない者もこうして主人の身を守ろうとしたのである。；このことは息子の明夫も後者の発言までは言っていないが守っている。；こっちの姿は見えてるはずなのに、隊形を組んで扉を守ろうとしてない。；消えていく赤い眼が、少女を見つめたまま、おまえが守れと告げていた。；約束を守れないのは志貴のほうなんだから、その時は文句はないでしょ?；その官名は城郭の四方を守る将軍である大率に由来するとする説もある。；伝統的には、これらは捕食者から身を守るための武器と考えられてきた。；今後もし宇宙からの攻撃を受けても平和を守ってくれる平和の象徴なのである。；この旗を掲げた船は村上水軍に他の海賊などから守ってもらえたそうだ。；彼等が眺めているのは、自分たちが守れなかった祖国の一部なのだった。；そして、人々の笑顔を守るために蘇った怪人たちと戦うことを決意する。；あのときの約束を守ろうとしているのだということがわかったからである。；その上、僕の詩の鍵を握った連中は、概して僕を外界から守ってくれた。；局後の検討では、43の手で上辺を守っていれば半目勝負だったという。；そうすることで天敵などから身を守る効果があると推測されている。；斧足はヒトデなどの外敵から身を守るために砂の中に潜るのに使われる。；しかし竜が泉を守っていた為派遣された家来たちの大部分がこの竜に殺された。；これにより1977年以来守ってきた政権の座を明け渡すこととなった。；しかしスカルノ大統領がなぜここまで沈黙を守ったのかは謎である。；本来、約束を守れというのは社会でトップに来るルールのはずでした。；両派ともに、それぞれの伝統を守っている点を高く評価しておきたい。；そして、軌道を外れることなく、約束の時を守ろうとしているのだった。；私たち組合員は、家庭も、そして国をも守ろうとしているだけなのです。</t>
        </is>
      </c>
      <c r="J7957">
        <f>HYPERLINK("https://www.weblio.jp/content/守る", "词义详情")</f>
        <v/>
      </c>
      <c r="K7957">
        <f>HYPERLINK("https://yourei.jp/守る", "查看例句")</f>
        <v/>
      </c>
    </row>
    <row r="7958">
      <c r="A7958" t="inlineStr">
        <is>
          <t>眉</t>
        </is>
      </c>
      <c r="B7958" t="inlineStr">
        <is>
          <t>成功</t>
        </is>
      </c>
      <c r="C7958" t="inlineStr">
        <is>
          <t>読み方：み
〈弥〉⇒び
〈眉〉⇒び
〈美〉⇒び
〈微〉⇒び</t>
        </is>
      </c>
      <c r="D7958" t="inlineStr">
        <is>
          <t>眉ひとつ；眉一つ動かさ；眉さん；眉斑；眉輪</t>
        </is>
      </c>
      <c r="E7958" t="inlineStr">
        <is>
          <t>眉毛；眉根；黛；眉宇；まゆ毛</t>
        </is>
      </c>
      <c r="F7958" t="inlineStr">
        <is>
          <t>濃い眉；片眉；細い眉；黒い眉；眉ひとつ動かさ</t>
        </is>
      </c>
      <c r="G7958" t="inlineStr">
        <is>
          <t>眉毛；眉根；眉をひそめて；眉目；眉山</t>
        </is>
      </c>
      <c r="H7958" t="n">
        <v>29</v>
      </c>
      <c r="I7958" t="inlineStr">
        <is>
          <t>どの方向から眺めても眉の姿に見えることからその名がついたといわれる。；私のいままで描いた絵の青眉の女の眉は全部これ母の青眉であると言ってよい。；男性の肌の色は緑で、眉とこめかみがつながっている容姿の人物が多い。；もはやその眉や髪さえが貞吉には色彩としての働きを持つだけであった。；手を顔の上にあげ、人眼につく拍手であったから、人々は眉をひそめた。；成鳥の目の上には眉のような黄色の羽毛があるのが大きな特徴である。；複眼の周りに黒い模様があり、その上には眉のように淡褐色の帯が入る。；眼上部にある眉状の斑紋は白く明瞭で、眉班の上部に黒い筋模様が入る。；眉が仕上げのうえにもっとも注意を払う部のひとつであるゆえんである。；主人は眉の根に、わざと深く皺を寄せて、鼻で撓めるように顔を向けた。；この少年は遠山のような眉と、やわらかな感覚的な肢体とを持っていた。；江戸後期以降は眉を剃る、または抜いたあと眉を描かない場合が多い。；たとえばいわゆる演説家とクリスチャンの増加するのは私は眉を顰める。；このときから左眉の上に大きな十字の傷が描かれるようになった。；いつも僕の隣りにいた荒畑は泣き出しそうな顔をして眉をぴりぴりさせた。；眼後部に黒い筋模様が入り、中国語名である黒眉錦蛇の由来になっている。；そしてその眉がひそめられたその瞬間、事を察した私に胸騒ぎが起こる。；振り返らなくても眉をひそめ目を見開いて首をふる様子が見えるようだ。；また、逆に薄い眉や不揃いな眉の場合は眉のラインを描きたすこともある。；眉を高く挙げたまま、気が抜けたように、ぼんやりと外界を見つめている。；そして眉の根に小ジワをよせてからでなければ物を云わないようになった。；眉も女性の髪や帯と同様にそのひとの階級を現わすものである。；博士はちょっと眉の間に皺をこしらえただけで、何ともいわなかった。；男性の間でも眉を細く手入れする習慣が定着するようになっている。；眼の周り及びその後方に眉状に伸びた特徴的な白い紋様を持つ。；私はこの日記を繙くに当つて、忽ち眉を寄せ、脇の下に汗をさへかいた。；輪郭・髪型・目・鼻・口・眉の形を、用意されたパーツの中から選ぶ。；彼の濃い眉は毛虫のようにうねって、その大きい眼は火のように燃えていた。；高い眉の下にひどく窪んだ細い眼をいつもしょぼしょぼさせていた。</t>
        </is>
      </c>
      <c r="J7958">
        <f>HYPERLINK("https://www.weblio.jp/content/眉", "词义详情")</f>
        <v/>
      </c>
      <c r="K7958">
        <f>HYPERLINK("https://yourei.jp/眉", "查看例句")</f>
        <v/>
      </c>
    </row>
    <row r="7959">
      <c r="A7959" t="inlineStr">
        <is>
          <t>迷う</t>
        </is>
      </c>
      <c r="B7959" t="inlineStr">
        <is>
          <t>成功</t>
        </is>
      </c>
      <c r="C7959" t="inlineStr">
        <is>
          <t>読み方：まよう
［動ワ五（ハ四）］《7が原義で、のちに「まど（惑）う」と混同された》
１まぎれて、進むべき道や方向がわからなくなる。「山中で道に—・う」
２どうしたらよいか決断がつかない。「進学か就職かで—・う」「判断に—・う」
３心が乱れてよくない方向へ行く。欲望・誘惑に負ける。「色香に—・う」
４死者の霊が成仏できないでいる。「—・わず成仏して下さい」
５区別がつかなくなる。まぎれる。
「霜を待つ籬(まがき)の菊の宵の闇に置き—・ふ色は山の端(は)の月」〈新古今・秋下〉
６秩序なくあちこちへ行ったり来たりする。
「上の御局に参りちがふ気色どもしげく—・へば」〈源・花宴〉
７布の織糸が弱り、糸が乱れかたよる。
「御褥(しとね)の少し—・ひたるつまより」〈源・若菜下〉</t>
        </is>
      </c>
      <c r="D7959" t="inlineStr">
        <is>
          <t>迷うことなく(13%)；迷う事なく；迷う様子もなく；迷うことなし；迷うような様子</t>
        </is>
      </c>
      <c r="E7959" t="inlineStr">
        <is>
          <t>躊躇；脱線；ためらう；戸惑う；躊躇する</t>
        </is>
      </c>
      <c r="F7959" t="inlineStr">
        <is>
          <t>べきか迷う；踏み迷う；思い迷う；どうか迷う；逃げ迷う</t>
        </is>
      </c>
      <c r="H7959" t="n">
        <v>29</v>
      </c>
      <c r="I7959" t="inlineStr">
        <is>
          <t>この戦いで重要なのは、僕が迷わずに心を強くしていられるかどうかだ。；ただそいつを公にしたものかどうか、迷わずにはいられないでしょうね。；森の中で道に迷われた方を無事に送り返すのが第一の勤めでございます。；もちろん花があれば間違いようはないが、むしろ花がないと判断に迷う。；朝の出発をもう一時間早くすれば、ここで迷うことはなかったであろう。；彼の心は、多少逆らいながらもあれかこれかと一時間もの間迷っていた。；それは迷わないためではなくて、癖になって半ば無意識にそうしている。；どこも同じような綜合病院の広い構造がマヤを迷わせたのかもしれない。；自分が母と兄の間に迷っている間、彼女はほとんど一言も口にしなかった。；不思議と、誰かに尋ねなくても迷わずに正しい道を選ぶことができた。；そんなもんがねえ奴は、そもそも行こうかどうしようかなんて迷わねえよ!；「やっと助けられるときが来たね」 彼は迷わず彼女に手を伸べていた。；もし、戸を開けてよいのか悪いのか迷うことがあったら薫に問えばよい。；そのことを思うとわたしは、それだけにまたどうしていいか心が迷うの。；質問すること自体を迷うような疑問をホロが持っているとは思えない。；迷えばそれだけ、払わなければならない犠牲は大きくなっていくからだ。；いろいろな細い道があって、自分ながらすこし迷ったかと思いますね。；迷わずというより、最初から数に含めていなかっただけかもしれない。；その底に女の気がする、酉年生れの女の星が飛去り得ずして迷っている!；誰がいいか、つまりふたりのうちどちらがいいか、日比谷は迷っていた。；ジャンは家族とパリの自宅に戻る途中で逃げ出し、道に迷ったのである。；フロアに入った吉田は、迷うことなく右手にある小会議室へと向かった。；彼女は石畳を踏みながら店に入り、真九郎のいるテーブルに迷わず接近。；しかしこれらの人たちの仕事ではどちらを賛美すべきか迷ってしまう。；かなり曲りくねった狭い道で多少時間はかかるが迷うことはないでしょう。；特に顔だけの演技をする際、どうやって演じたらいいか非常に迷ったという。；訪問販売員を含めて全国二万人のステラの人間が路頭に迷うことになる。；パリに到着したが、このときはまだこの地に居を構えるか迷っていた。；プロとしてやるかどうか迷っていたが、1955年の関東プロで初優勝。</t>
        </is>
      </c>
      <c r="J7959">
        <f>HYPERLINK("https://www.weblio.jp/content/迷う", "词义详情")</f>
        <v/>
      </c>
      <c r="K7959">
        <f>HYPERLINK("https://yourei.jp/迷う", "查看例句")</f>
        <v/>
      </c>
    </row>
    <row r="7960">
      <c r="A7960" t="inlineStr">
        <is>
          <t>丸い/円い</t>
        </is>
      </c>
      <c r="B7960" t="inlineStr">
        <is>
          <t>无结果</t>
        </is>
      </c>
      <c r="H7960" t="n">
        <v>0</v>
      </c>
      <c r="J7960">
        <f>HYPERLINK("https://www.weblio.jp/content/丸い/円い", "词义详情")</f>
        <v/>
      </c>
      <c r="K7960">
        <f>HYPERLINK("https://yourei.jp/丸い/円い", "查看例句")</f>
        <v/>
      </c>
    </row>
    <row r="7961">
      <c r="A7961" t="inlineStr">
        <is>
          <t>まるごと</t>
        </is>
      </c>
      <c r="B7961" t="inlineStr">
        <is>
          <t>成功</t>
        </is>
      </c>
      <c r="C7961" t="inlineStr">
        <is>
          <t>読み方：まるごと
［副］分割したり変形したりしない、その形のまま。そっくり全部。まるのまま。「—ほおばる」「財産を—譲る」</t>
        </is>
      </c>
      <c r="D7961" t="inlineStr">
        <is>
          <t>まるごと食べ；まるごと超決戦；まるごとメロンパン号；まるごと一匹；まるごと信じ</t>
        </is>
      </c>
      <c r="E7961" t="inlineStr">
        <is>
          <t>全て；完全に；すっかり；皆；全部</t>
        </is>
      </c>
      <c r="F7961" t="inlineStr">
        <is>
          <t>秋田まるごと</t>
        </is>
      </c>
      <c r="G7961" t="inlineStr">
        <is>
          <t>まるごと福岡トクテレ；まるごとバナナ；まるごと林檎</t>
        </is>
      </c>
      <c r="H7961" t="n">
        <v>29</v>
      </c>
      <c r="I7961" t="inlineStr">
        <is>
          <t>自分たちの生まれてきた形をまるごと受け入れている、とでも云うのか。；完全に一方ずつをまるごと分け持つというのは、これがはじめてでした。；直江文吾は今夜、それを一包みまるごと手に入れることになるのである。；ただ己の歯と顎だけで、自分より大きい生物をまるごと食べきった。；自分の過ごしたある時間をまるごと否定された気がしたのだ。；まるで一つの都市が、まるごと洋上に浮かんでいるようなものだった。；人はそれらをまるごとわれわれの記憶の中につめ込むのでございます。；一曲だけ選ぶかCD1枚をまるごとプレイするかを選ぶことができる。；ゲーム作成用にフロッピーをまるごとコピーするツールが付属していた。；よく見れば、そのビルがまるごとおしゃれのための店で埋められているのだ。；一国まるごと地球脱出しようなんて言い出すのはツハミくらいのもんだよ。；一軒まるごと学生たちが住んでいる家で、奈良にはそんな借家が多かった。；輸送のために航宙艦隊をまるごと投入するはめになっても、かまわない。；初めて雛見沢はまるごとでひとつの意思を持った「殺人執行者」となる。；ようするに俺は一つの未来を片腕一本でまるごと消滅させてしまったのだ。；惑星からまるごと生命を消し去ることのできる兵器に、対抗する手段はない。；私はあの年の冬を最後に、自分の中にあった素直な感覚をまるごと失ってしまった。；屍体まるごとでは持ち運びができないから、だから首だけにしたのだ。；でも、できたらその件まるごと、軽くスルーしてあげてくれないかな?；あいつがうちのなかへはいってきたら、おまえたちはまるごと食べられてしまうからね。；脳をまるごと火薬に変えて体を吹き飛ばす、なんて手の込んだ殺し方だよな。；掃除するのが城まるごとでなく、たった四部屋でいいと思うとほっとします。；鳥をまるごと一羽平らげたことで、とりあえず腹はいっぱいになった。；近年ではまるごと一匹をたこ焼きに入れるという利用法もみられる。；やはり私が軍隊の階級の仕組みにまるごと寄りかかっていられたからだろうか。；そうなってはじめて、その真の名を、そのまるごとの存在を知ることができるのだから。；そういう細工をするために、涼子は、喫茶店をまるごと借りきったのだ。；まるごとの風景が自分の中に飛び込んでくる、あのときの、あの感覚と同じだ。；当たれば心臓どころか内臓をまるごと持っていきそうなほど高速のナイフ。</t>
        </is>
      </c>
      <c r="J7961">
        <f>HYPERLINK("https://www.weblio.jp/content/まるごと", "词义详情")</f>
        <v/>
      </c>
      <c r="K7961">
        <f>HYPERLINK("https://yourei.jp/まるごと", "查看例句")</f>
        <v/>
      </c>
    </row>
    <row r="7962">
      <c r="A7962" t="inlineStr">
        <is>
          <t>まるっきり</t>
        </is>
      </c>
      <c r="B7962" t="inlineStr">
        <is>
          <t>成功</t>
        </is>
      </c>
      <c r="C7962" t="inlineStr">
        <is>
          <t>読み方：まるっきり
［副］「まるきり」に同じ。「料理は—だめだ」「—手も足も出ない」</t>
        </is>
      </c>
      <c r="D7962" t="inlineStr">
        <is>
          <t>まるっきり違う(2%)；まるっきりわから；まるっきり同じ；まるっきり知ら；まるっきりちがう</t>
        </is>
      </c>
      <c r="E7962" t="inlineStr">
        <is>
          <t>まるで；まったく；全く；何も；すっかり</t>
        </is>
      </c>
      <c r="F7962" t="inlineStr">
        <is>
          <t>まるっきりちがいます；まるっきり理解でき；まるっきり似</t>
        </is>
      </c>
      <c r="H7962" t="n">
        <v>29</v>
      </c>
      <c r="I7962" t="inlineStr">
        <is>
          <t>それがいまでは、もうまるっきり特別な土地になってしまったのである。；君は知らないのか、事実はまるっきり彼が言ったのと反対だってことを。；といっても、住んでいるものがまるっきりなかったわけではありません。；まるっきり育ってくれない、あいつの面倒を見ることに疲れてたことに。；ただし目的がまるっきり違っていることは、表情を見れば明らかだった。；まるっきり姉のようにあの子を愛しているのだとも私は言いますまい。；あの妙な男の話したことは、僕をまるっきり混乱させてしまったのである。；やがて月が出てくると、森は昼間とはまるっきり違った顔を向けてきます。；彼はわたしのことなど、まるっきり忘れてしまっているかのように見えた。；外から見た感じと、こうして中に入って見た感じとはまるっきり違う。；顔も夜だったからよく見えなかったし、雰囲気なんてまるっきり別物だ。；さうお前たちは思ってゐる、けれどもこの地面はまるっきり平らなのだ。；だが、まるっきり父親のことを見ていなかったわけではなかったのだ。；お前がまるっきり馬鹿じゃないかどうか、おれによくわかるだろうからな。；それじゃ、あなたって人がまるっきりわからなくなるじゃありませんか。；自分のところでどんな候補が出ているのかは、まるっきりわからない。；私はどういうことになっているのか、まるっきり見当がつかなかった。；父も祖父の前に出た時とはまるっきり違った隔てのない態度で叔父に接した。；昼間はまるっきり大人のいない家に放ったらかしにされてるんですものね。；あなたはあたしの言うことなんかまるっきり信じてないんでしょう?；まるっきり推理小説っていう事件をこれまでにいくつも調査しておいて。；ところでこういう性格であるから、私はモノもまるっきり捨てられない。；問 しかし、まるっきり何も聞こえなかったとは、いいきれんでしょう?；しかし、これをいかに有効に使うべきか、それがまるっきり判らぬのだ。；彼はチラリと、まるっきりなんのことか通じないような目で私を見た。；私はそう勘が悪くない方だと思うんだけど、まるっきり気づかなかったわ。；とはいっても、この作品にまるっきりエジプト的な意味がないわけでもない。；目の前で進行している出来事がまるっきり他人事のような気がする。；前にはあれほど評判だった君の柔和なところなどまるっきりないじゃないか。</t>
        </is>
      </c>
      <c r="J7962">
        <f>HYPERLINK("https://www.weblio.jp/content/まるっきり", "词义详情")</f>
        <v/>
      </c>
      <c r="K7962">
        <f>HYPERLINK("https://yourei.jp/まるっきり", "查看例句")</f>
        <v/>
      </c>
    </row>
    <row r="7963">
      <c r="A7963" t="inlineStr">
        <is>
          <t>まるで</t>
        </is>
      </c>
      <c r="B7963" t="inlineStr">
        <is>
          <t>成功</t>
        </is>
      </c>
      <c r="C7963" t="inlineStr">
        <is>
          <t>読み方：まるで
［副］
１違いがわからないほどあるものやある状態に類似しているさま。あたかも。さながら。「この惨状は—地獄だ」「—夢のよう」
２（下に否定的な意味の語を伴って）まさしくその状態であるさま。すっかり。まったく。「—だめだ」「兄弟だが—違う」</t>
        </is>
      </c>
      <c r="D7963" t="inlineStr">
        <is>
          <t>まるで違う；まるでわからない；まるでちがう；まるで生き；まるで死ん</t>
        </is>
      </c>
      <c r="E7963" t="inlineStr">
        <is>
          <t>ように；まったく；全く；何も；実際に</t>
        </is>
      </c>
      <c r="F7963" t="inlineStr">
        <is>
          <t>まるで薔薇；まるで恋人どうし；まるで無関心；まるで無防備；まるで化物屋敷</t>
        </is>
      </c>
      <c r="G7963" t="inlineStr">
        <is>
          <t>まるで六文銭のように；まるで成長していない</t>
        </is>
      </c>
      <c r="H7963" t="n">
        <v>29</v>
      </c>
      <c r="I7963" t="inlineStr">
        <is>
          <t>テレビで彼のことを見ていると、まるで急にギアを変えられるみたいだ。；物語一つ一つがおもしろくて、まるで魔法にかけられたかのようだった。；まるで拉致被害者が亡くなっていたほうがいいというような発言だった。；上から見るとまるで蝶が羽を広げたように見えとても優雅な金魚である。；それはまるでメクラグモのようにとても足の長い虫のような姿だった。；まるで中世の武器のフレイルのように肋骨が動揺するさまから来ている。；しかし当のビビはまるで初めて会ったような反応をパックに見せていた。；そのためまるでパイロットを乗せたシートのみが飛行しているように見える。；一頭はこの地で死に血水跡はまるで紅の河のようになって流れた。；まるで一太郎が本当は高校入学以前は存在していないかのようだった。；だから、ヨワムシとかナキムシとか言ってたけどあれはまるで嘘ですよ。；しかしそこはまるで少女漫画に登場するようなお嬢様ばかりの学園だった。；カリグラはまるで島全土が自分に服従したかのようにこれを受け止めた。；まるで処刑されるためにのこのこ這いつくばって出ていくようなものだろ。；新しい建物の外観はまるでアマンダ・プライスのイメージのようである。；彼女は赤い石のついた指輪を無言で渡し、まるで消えるようにいなくなる。；身体の形や色から、まるで彼らが眠っていたかのように見える。；まるで古くからの友人のように共に楽しい時間を過ごした。；すぐ上の兄とも10歳は年が離れており、まるで一人っ子のように育った。；さらに融合直後のシーンでは、まつ毛がまるで植物のように増加していた。；義経はただ当惑するばかりで、兄の勘気の理由がまるでわからなかった。；それをまるですごいことでも発見したようにいう人、いるじゃない。；自治権などを持つ発展した街は、まるで独立国のようになっていった。；サルペードーンの遺体はまるで眠っているかのようだったという。；その死に様は、まるで重い荷物を背負った馬のような姿だったという。；走る気がまるで見られないことから引退の危機とも報じられた。；ティベリウス・グラックスは数ヶ月の間、まるで王のように振る舞った。；女性の身体はまるで電気のように充電したり放電したりするように記述される。；これがまるで分身したように見えることからこの名前が付いた。</t>
        </is>
      </c>
      <c r="J7963">
        <f>HYPERLINK("https://www.weblio.jp/content/まるで", "词义详情")</f>
        <v/>
      </c>
      <c r="K7963">
        <f>HYPERLINK("https://yourei.jp/まるで", "查看例句")</f>
        <v/>
      </c>
    </row>
    <row r="7964">
      <c r="A7964" t="inlineStr">
        <is>
          <t>丸々</t>
        </is>
      </c>
      <c r="B7964" t="inlineStr">
        <is>
          <t>成功</t>
        </is>
      </c>
      <c r="C7964" t="inlineStr">
        <is>
          <t>読み方：まるまる
［名］
１ある事物を伏せて暗示するときに用いる符号。「〇〇」と書く。
２二重の圏点。二重丸。
３団子(だんご)をいう女房詞。
［副］
１よく太っているさま。「—（と）した赤ん坊」
２ある数量や事柄の全体に及ぶさま。完全に。「一袋—残っている」「—二日かかる」
３全く。すっかり。「—損をする」</t>
        </is>
      </c>
      <c r="D7964" t="inlineStr">
        <is>
          <t>丸々と肥え(4%)；丸々一日；丸々三日；丸々と肥つた；丸々と膨らん</t>
        </is>
      </c>
      <c r="E7964" t="inlineStr">
        <is>
          <t>全て；完全に；すっかり；皆；全部</t>
        </is>
      </c>
      <c r="H7964" t="n">
        <v>29</v>
      </c>
      <c r="I7964" t="inlineStr">
        <is>
          <t>原作での品のないネタは丸々カットするか、違う場面に変更されている。；ピアノに男がつき、見事なくらい丸々と太った女がマイクを握っている。；男にしては低い丸々とした躯を彼は品のよいモーニングに包んでいた。；おんじょう殿は何もかも知っていて、丸々この男をさし出したのだろう。；金谷ヒデユキはその初期にほぼ曲1番分を丸々変えるのを得意にした。；その後丸々一分は誰一人声も出せないほどの、それは大惨事であった。；さて紙面はつきたが、私たちのヨットの旅はまだ丸々四日間残っている。；そいつのせいで先週は丸々、自分の仕事がまともに出来なかったんだから。；ただし、内容次第ではどちらか一方のみを丸々1時間放送することがあった。；白川祐美と初めて会った時、彼女は丸々と太った一一歳の小学生だった。；そして片側は丸々として、上のほうはまことにほっそりとしています。；今回の旅行でこの地に滞在できるのは、丸々二十四時間である。；中大は山一つが丸々キャンパスであり、歩いていけないエリアの方が多い。；翼には丸々聞こえていたのだが、寝ているふりをしていた。；最初は曲丸々の作成予定はなくカバーを行う予定だった。；体毛が長く密集して生えているので、丸々と太った立派な体型に見える。；丸々として眠そうな犬をかかえている婦人が赤帽と口論をはじめたのだ。；その男は球突きの球のように丸々と肥っていたからである。；灰色の人々と、丸々とした紫色の指が顔のようにうなずいている太い白い足が残された。；丸々と太った体をもてあまし、跳び上がるようにして少しずつ前進した。；溝のなかには馬が丸々としたお臀だけを高々とあげて死んでいた。；目の前の扉はその高価なガラスを、丸々一枚の板として使ってある。；なにかしら畸形な、丸々とした、非常に美しい桃色の生きものであった。；そこへおめえを連れてってみな、辺境ひとつ丸々買えるくらいの銭が手に入る。；ほおが赤くて丸々しているのでみんなが私のことを元気そうだとほめてくれるのです。；どちらも大森署の巡査であるが、一人は猪村といって丸々したイガ栗頭。；礼服に合わせて頭付きの丸々一頭を毛皮に仕立てたものが使われる場合もある。；また海藤家自体で大型豪華客船や島1つ丸々の別荘地などを所有している。；丸々と太っていて、それこそ純血の柴犬くらいは大きさがありそうだ。</t>
        </is>
      </c>
      <c r="J7964">
        <f>HYPERLINK("https://www.weblio.jp/content/丸々", "词义详情")</f>
        <v/>
      </c>
      <c r="K7964">
        <f>HYPERLINK("https://yourei.jp/丸々", "查看例句")</f>
        <v/>
      </c>
    </row>
    <row r="7965">
      <c r="A7965" t="inlineStr">
        <is>
          <t>丸める</t>
        </is>
      </c>
      <c r="B7965" t="inlineStr">
        <is>
          <t>成功</t>
        </is>
      </c>
      <c r="C7965" t="inlineStr">
        <is>
          <t>読み方：まるめる
［動マ下一］［文］まる・む［マ下二］
１丸い形にする。「紙を—・めて捨てる」
２頭髪をそる。剃髪(ていはつ)する。「頭を—・めて脱俗する」
３他人を巧みに操る。言いくるめる。まるめこむ。「うまく—・めて味方に引き入れる」
４端数を切り上げたり、切り捨てたりして扱いやすい数にする。「100円未満を—・めて計算する」
５全体をひっくるめて一つにする。
「樊噌が力でこそ、天下は—・めて取られたれ」〈中華若木詩抄・下〉</t>
        </is>
      </c>
      <c r="H7965" t="n">
        <v>29</v>
      </c>
      <c r="I7965" t="inlineStr">
        <is>
          <t>彼はその話を子供のおり、パンを小さな球に丸めたときにはじめたのだ。；私にはその建物が、闇を抱えて体を丸めている一匹の巨大な生物に思えた。；休み時間になると教室の隅で、小さな体を丸めて一人、本を読んでいた。；床に音もなく倒れ、まるで眠っているように体を丸めてしまいました。；ほかの子供たちとは離れて、ポーチの階段下に背を丸めてすわっていた。；そのあいだ、子どものほうは男のひとの横に体を丸めて座っていた。；それまで丸めた背中しか見えなかったアキヒロの方に、彼女の顔が向く。；彼は大声で絶叫し、体を丸め、自分の流した血だまりの上に倒れこんだ。；幼少期より新聞で丸めたボールを棒で打つ野球に似た遊びをしていた。；その横には、同じように背中を丸めて伏し目がちに座っている少女がいる。；部屋に入った瞬間、肩を丸めた三人の姿を見て泣いているのかとびっくりした。；そこへ若花田がまだ若いのに多少背を丸めるようにして歩いてきた。；唇は両方とも歯の上に丸め、上唇がさらに「」に沿っていることが多い。；「おめえは一体なんだ」 背を丸めてうずくまったオカマに俺は言った。；もし勝負を避けたら、久保は頭を丸めて故郷に帰ることになっている。；しばらくすると、右の手が煙草箱の方へ動いてその太い指が煙草を丸めだした。；筒のように丸めた新聞を手に持って、運転席の男が窓から腕を外に出した。；背を丸めるように杖によりかかり、ぼんやりと壁の彫刻をながめている。；人間には雪を丸めて投げ合って遊びたいという本能があると思います。；本人によると、特に反省はしていなかったが一応頭を丸めて行ったとのこと。；埃だらけの家の中にひっそりと体を丸める、年老いた自分の姿があった。；ポケットに手を入れ、背を丸めている姿はどこか可愛らしくもあった。；冷めてから丸めて前の通りに揚げますが魚は何でも白い身の者がよいのです。；するといつもわたしは背中を丸めて歩いていたのだと気づいた。；彼は、背を丸めて、眩しそうに眼を細めながら、紙の上に筆を動かした。；また泣く時に備えて、賢明にも皿のそばに丸めて置いてあったのだが。；外敵に襲われると尾を丸めて震わせて尾に注意を向ける威嚇行動を取る。；この上で体を猫のように丸めて眠ると、なんと体が痛くないのである。；体を丸めるようにして、まるで怖くなって狭い場所に隠れているかのように。</t>
        </is>
      </c>
      <c r="J7965">
        <f>HYPERLINK("https://www.weblio.jp/content/丸める", "词义详情")</f>
        <v/>
      </c>
      <c r="K7965">
        <f>HYPERLINK("https://yourei.jp/丸める", "查看例句")</f>
        <v/>
      </c>
    </row>
    <row r="7966">
      <c r="A7966" t="inlineStr">
        <is>
          <t>稀</t>
        </is>
      </c>
      <c r="B7966" t="inlineStr">
        <is>
          <t>成功</t>
        </is>
      </c>
      <c r="C7966" t="inlineStr">
        <is>
          <t>読み方：け
〈気〉⇒き
〈希〉⇒き
〈稀〉⇒き</t>
        </is>
      </c>
      <c r="D7966" t="inlineStr">
        <is>
          <t>稀である(14%)；稀であり(3%)；稀なる(2%)；稀な例；稀れな</t>
        </is>
      </c>
      <c r="E7966" t="inlineStr">
        <is>
          <t>異常；珍しい；たま；まれ；珍</t>
        </is>
      </c>
      <c r="F7966" t="inlineStr">
        <is>
          <t>類稀；史上稀；たぐい稀；近年稀；稀譚月報</t>
        </is>
      </c>
      <c r="G7966" t="inlineStr">
        <is>
          <t>稀薄；稀少；稀代；稀勢の里；稀少性</t>
        </is>
      </c>
      <c r="H7966" t="n">
        <v>29</v>
      </c>
      <c r="I7966" t="inlineStr">
        <is>
          <t>ポルトガル語の曲がアメリカでヒットしたのは、きわめて稀な例である。；他にも稀に作品の中に過去の作品やキングの名が登場することがある。；日本では稀に見られる冬鳥であり、被害こそ少ないが害鳥とされている。；また女人禁制があった旧来の仏教の中では稀な女性の救済が挙げられる。；しかし、後述するようにジュブナイルポルノと呼ばれることは稀である。；なお現在でもごく稀に前述の一般路線車で運行されることがある。；男子ほどではないものの、非黒人選手が上位入賞するケースは稀である。；ヨーロッパの中世では広く神の存在が信じられ、神を疑う人は稀であった。；通常このような事故は稀であるが、全く発生していない訳ではない。；ただし、どの試合でもベンチ入り捕手を全て使うようなことは稀である。；この病気自体が稀でもあるので、一般にはあまり周知されてはいない。；彼女は類い稀な変わらぬ美貌を得たが、結婚や子宝には恵まれなかった。；さらに、音楽の質は現代の作曲家の中において非常に稀なものだった。；日本国内でも近年稀に見る価格下落が始まり取引に影響が出始めた。；筋生検をしても筋内神経にリンパ腫細胞が認められることは稀である。；夏は猛暑日を記録することも多いが熱帯夜は稀で過去に数例しかない。；時刻変更のときは番組終了と同時に切り替えになることも稀にある。；また、政治を二つに分権するのも、禍のきっかけとならないのは稀です。；稀に一度は中止にされた作品が時を経て再起動するケースもある。；また、稀にではあるが、他系列キー局製作作品をネットする場合もある。；稀に上乗せが行われ、当選した場合は更に5回のボーナスが保証される。；歴史上で見ても稀にみる長い期間王位に就いている国王であった。；特に1970年前後に個人でVTRを所有するケースは極めて稀であった。；生物の学名に、遺跡・歴史上の人物の名前が献名されることは稀である。；そのため、交渉先の住民に怒られたり、撮影拒否された家も稀にある。；今回の公共施設の建設を巡る住民投票は全国的に見ても稀な事例である。；ただし、中継権や番組編成の都合で稀にTBS自社で中継する事もある。；なお、哲学では、強力な還元主義が主要な立場になることは稀である。；稀に、愛好者のみならず一般の人も記念行動として預入することがある。</t>
        </is>
      </c>
      <c r="J7966">
        <f>HYPERLINK("https://www.weblio.jp/content/稀", "词义详情")</f>
        <v/>
      </c>
      <c r="K7966">
        <f>HYPERLINK("https://yourei.jp/稀", "查看例句")</f>
        <v/>
      </c>
    </row>
    <row r="7967">
      <c r="A7967" t="inlineStr">
        <is>
          <t>回す</t>
        </is>
      </c>
      <c r="B7967" t="inlineStr">
        <is>
          <t>成功</t>
        </is>
      </c>
      <c r="C7967" t="inlineStr">
        <is>
          <t>読み方：まわす
［動サ五（四）］
１軸を中心にして、円を描くように動かす。回転させる。「腕を—・す」「プロペラを—・す」
２周囲を取り巻くようにする。めぐらす。「敷地に柵を—・す」
３順に送り渡す。「杯を—・す」「通知を—・す」
４人や物を必要とする場所へ移す。「総務から営業へ人員を—・す」「出先に車を—・す」「預金の一部を学費に—・す」
５物事をとどこおりなく進める。「仕事をうまく—・す」
６その立場に置く。「敵に—・す」
７配慮などを行き渡らせる。「気を—・す」「手を—・す」
８利益を得るように金銭を運用する。「高利で—・す」
９
㋐自分の意のままに人を使う。
「あの女に—・さるる女郎いとしや」〈浮・好色盛衰記〉
㋑遊里で、客が遊女や幇間(ほうかん)を思うままに従わせる。
「太鼓持ちは、ある知恵を隠して、我より鈍い客に—・さるるがよし」〈浮・禁短気・三〉
10動詞の連用形に付いて、全体に…する、あちこち…する、また、さんざん…する、の意を表す。「いじくり—・す」「追っかけ—・す」「引っ張り—・す」
[可能]まわせる
[下接句]金を回す・切っ刃を回す・気を回す・手を回す・向こうに回す・目を回す・悪気(わるぎ)を回す</t>
        </is>
      </c>
      <c r="D7967" t="inlineStr">
        <is>
          <t>回すべき；回すことにより運動エネルギー；回す金属音</t>
        </is>
      </c>
      <c r="E7967" t="inlineStr">
        <is>
          <t>回転；回る；旋回；囲む；廻る</t>
        </is>
      </c>
      <c r="F7967" t="inlineStr">
        <is>
          <t>使い回す；眺め回す；撫で回す；舐め回す；ふり回す</t>
        </is>
      </c>
      <c r="H7967" t="n">
        <v>29</v>
      </c>
      <c r="I7967" t="inlineStr">
        <is>
          <t>ついには自らが所属するCIAそのものを敵に回すこととなるのだった。；エンジン・キイを回そうとしたところで、僕はひどく気分が悪くなった。；そしてこの刳られた空間の中心に軸が生えておりその軸をつまんで回す。；その後はローターの回転に合わせて手首を回す事で回転数を上げていく。；男性と女性が手をつかみ合い、男性が中心となり女性をその周りで回す。；その時、鍵が回され、そしてドアが開いて、誰かが入ってくる音がした。；陸軍の予算を削った分を、海軍の強化に回すべきであると強調していた。；孫韶のおかげで、他の部署の軍を遠征に回すことができるようになった。；どうしてこの方面に大軍を回さないのか、ふしぎに思って来てみたのよ。；剣とは別に、さらに背後から回された手に、喉を押さえつけられていた。；ルイズを戦の道具に使うというなら、王政府を敵に回すと言い放った父。；絶望して、再びボートを回そうとしたとき、助けをもとめる声を聞いた。；自分の背中に回された腕に込められる力に、痺れるような喜びを感じる。；さらにはスウェーデン政府内の親フランス勢力をも敵に回すことになった。；これもレコーディング中に完成させることができず、B面に回された曲。；部屋に来る友達なんて何年もいなかったから、そこまで気を 回さなかった。；少し震えている肩に、俺はほとんど無意識のうちに腕を回そうとした。；誰かに頭の中をきっかけ回されたかのようにごちゃごちゃしていた。；そこで、より大きい独楽を回す方法として発達したのがこの方法である。；だめだ、これからは場所だけでなく時間を敵に回すことになるのだ。；けれど、その時は背中に回されているこの手が守ってくれるだろう。；また辻回しも誰でも綱を曳くことができ、大きな山を回すことができる。；同時に背中から腰に回されていた手にきゅっと力がこめられたような気がした。；先ほどとは逆の手でタブローが回され、反対の周回でボールが放たれた。；更に検査を受けてこれに合格した車はディーラーへの配送準備に回される。；あの狭いスペースに一遍に四人も入って、扉を回そうとしたのである。；様々な攻め方ができるキャラクターのため、敵に回すと厄介な相手となる。；その後、両大隊は訓練・補充用車両をもって再建のため予備に回された。；よほどいいバックの根回しがないと、なかなかこの方面には回されない。</t>
        </is>
      </c>
      <c r="J7967">
        <f>HYPERLINK("https://www.weblio.jp/content/回す", "词义详情")</f>
        <v/>
      </c>
      <c r="K7967">
        <f>HYPERLINK("https://yourei.jp/回す", "查看例句")</f>
        <v/>
      </c>
    </row>
    <row r="7968">
      <c r="A7968" t="inlineStr">
        <is>
          <t>回り</t>
        </is>
      </c>
      <c r="B7968" t="inlineStr">
        <is>
          <t>成功</t>
        </is>
      </c>
      <c r="C7968" t="inlineStr">
        <is>
          <t>読み方：まわり
［名］
１（回り・廻り）まわること。まわり方。転じて、ものの働きぐあい。「モーターの—が悪い」「頭の—が早い」
２（ふつう「周り」と書く）
㋐そのものの外側の縁の部分。また、その長さ。周囲。ぐるり。「湖の—に沿った道」
㋑そのものを囲んでいる近くの部分。近辺。周辺。あたり。「口の—をふく」「—に迷惑をかける」
３（回り・廻り）一定の範囲を順にめぐること。「年始—」
４（回り・廻り）ある地点を経由したり、ある方向のコースをとったりすること。「常磐線—で仙台へ行く」「北—の航空便」
５（回り・廻り）遠くなるほうの道をとること。また、その道。回り道。遠回り。
「—になるのを承知で、電車通りを行った」〈里見弴・安城家の兄弟〉
６（回り・廻り）及ぶこと。行き渡ること。「火の—を食い止める」「酒の—が早い」
７おかずをいう女房詞。飯のまわりに置いたところからいう。
［接尾］（回り・廻り）
１物事の大きさ・規模などを比較するとき、その程度を漠然と表すのに用いる。「一—小さいサイズ」「からだが一—大きくなった」
２長さを表す語に付いて、周囲の長さがそれだけあることを表す。
「何処に何尺何寸—の松が何本あって」〈蘆花・思出の記〉
３助数詞。
㋐まわる回数を表すのに用いる。「グラウンドを一—する」
㋑十二支を年に当てることから、12年を1期として、年齢の差を表すのに用いる。「年が二—も違う夫婦」
㋒祈願・服薬などで、7日を1期として数えるのに用いる。「三—分の薬」
[下接語]足回り・田舎回り・居回り・内回り・馬回り・襟回り・大回り・御(お)回り・金回り・空(から)回り・木回・首回り・腰回り・小回り・先回り・下回り・地(じ)回り・定廻(じょうまわり)・外回り・立ち回り・旅回り・近回り・月回り・手回り・胴回り・遠回り・得意回り・時計回り・どさ回り・年回り・供回り・泥棒回り・庭回り・根回り・年始回り・膝(ひざ)回り・左回り・一(ひと)回り・火回り・星回り・町回り・右回り・水回り・身の回り・見回り・胸回り・持ち回り・役回り・夜(よ)回り・利回り・礼回り</t>
        </is>
      </c>
      <c r="D7968" t="inlineStr">
        <is>
          <t>回りこん(3%)；回り始め；回りはじめ；回り小さく；回りこむ</t>
        </is>
      </c>
      <c r="E7968" t="inlineStr">
        <is>
          <t>回転；廻り；循環；旋回；ターン</t>
        </is>
      </c>
      <c r="F7968" t="inlineStr">
        <is>
          <t>足回り；二回り；ぐるぐる回り；西回り；腰回り</t>
        </is>
      </c>
      <c r="G7968" t="inlineStr">
        <is>
          <t>回り込む；回り道；回り込み；回りくどい；回り込ま</t>
        </is>
      </c>
      <c r="H7968" t="n">
        <v>29</v>
      </c>
      <c r="I7968" t="inlineStr">
        <is>
          <t>その理由は様々であるが、水回りの環境の悪化が大きな原因と思われる。；回りには、非常に予算をかけた飾り付けが行われ、地域の財政力を示す。；タム500形との最大の違いは足回りがボギー台車となったことである。；車体はステンレス製で高速走行が可能なように足回りも強化してある。；バンドはクラブや大学をライブして回り、彼らの運命を復活させようとした。；足回りは当時同クラスでは既に珍しくなっていたFRが採用された。；それらを用いて身近なものを覗いて回り、様々なものを見て感動していた。；そのため、スポーツセダンに入るかどうかは足回りなどの調整で決まる。；この自動車はアメリカなどいくつかの国を回り、様々な記録を打ち立てた。；重いV6エンジンを搭載するために足回りは比較的硬めに設定されている。；交通整理が完全に済まない内にカメラが回りはじめたという感じだった。；胴体の部分で上下に分割でき、その中には一回り小さい人形が入っている。；回りの人がどう思うか知らないけど、そういう風に思うこと自体がどうかなと思う。；創業時から運行していた大町回り本線の系統を踏襲するものであった。；男性が女性の席を回りながら進行する形式が一般的で全員との会話・挨拶をかわす。；JR西宮は、朝 - 昼間の西回りと午後以降の東回りの一部便が経由。；また昼休みには、ファンに現役時代より一回り大きくなった姿を披露した。；娘のドラ代は頭と胸の飾りがリボン状、腰回りがスカート状になっている。；足回りには新開発のリアマルチリンクサスペンションが採用された。；現在は3Dをテーマにしたツアーを行っており、各地を回りながら活動している。；足回りは板ばね懸架のニ軸で、貨車の下回りを強化した様なものである。；廃車後、台車などの足回りの機器の一部が新製された20形に流用された。；よく父の王益に連れられて各地域に回り、民間の事情を目にした。；神的な世界はこの世界の回りを廻り、すべてが相互依存している。；この時期に、彼はアメリカやイングランドを公演して回り、またを指揮している。；キハ71系のように車体のみの新製ではなく、足回りも含めての完全な新製車となった。；こうしてマゼランが開拓しようとした西回りでのアジア航路は失敗に終った。；通年営業していたが、積雪期は自動車の足回りには充分な配慮が必要である。；これは子供を産むためにそなえているものだが、腰回りがふくよかになる。</t>
        </is>
      </c>
      <c r="J7968">
        <f>HYPERLINK("https://www.weblio.jp/content/回り", "词义详情")</f>
        <v/>
      </c>
      <c r="K7968">
        <f>HYPERLINK("https://yourei.jp/回り", "查看例句")</f>
        <v/>
      </c>
    </row>
    <row r="7969">
      <c r="A7969" t="inlineStr">
        <is>
          <t>周り</t>
        </is>
      </c>
      <c r="B7969" t="inlineStr">
        <is>
          <t>成功</t>
        </is>
      </c>
      <c r="C7969" t="inlineStr">
        <is>
          <t>読み方：まわり
［名］
１（回り・廻り）まわること。まわり方。転じて、ものの働きぐあい。「モーターの—が悪い」「頭の—が早い」
２（ふつう「周り」と書く）
㋐そのものの外側の縁の部分。また、その長さ。周囲。ぐるり。「湖の—に沿った道」
㋑そのものを囲んでいる近くの部分。近辺。周辺。あたり。「口の—をふく」「—に迷惑をかける」
３（回り・廻り）一定の範囲を順にめぐること。「年始—」
４（回り・廻り）ある地点を経由したり、ある方向のコースをとったりすること。「常磐線—で仙台へ行く」「北—の航空便」
５（回り・廻り）遠くなるほうの道をとること。また、その道。回り道。遠回り。
「—になるのを承知で、電車通りを行った」〈里見弴・安城家の兄弟〉
６（回り・廻り）及ぶこと。行き渡ること。「火の—を食い止める」「酒の—が早い」
７おかずをいう女房詞。飯のまわりに置いたところからいう。
［接尾］（回り・廻り）
１物事の大きさ・規模などを比較するとき、その程度を漠然と表すのに用いる。「一—小さいサイズ」「からだが一—大きくなった」
２長さを表す語に付いて、周囲の長さがそれだけあることを表す。
「何処に何尺何寸—の松が何本あって」〈蘆花・思出の記〉
３助数詞。
㋐まわる回数を表すのに用いる。「グラウンドを一—する」
㋑十二支を年に当てることから、12年を1期として、年齢の差を表すのに用いる。「年が二—も違う夫婦」
㋒祈願・服薬などで、7日を1期として数えるのに用いる。「三—分の薬」
[下接語]足回り・田舎回り・居回り・内回り・馬回り・襟回り・大回り・御(お)回り・金回り・空(から)回り・木回・首回り・腰回り・小回り・先回り・下回り・地(じ)回り・定廻(じょうまわり)・外回り・立ち回り・旅回り・近回り・月回り・手回り・胴回り・遠回り・得意回り・時計回り・どさ回り・年回り・供回り・泥棒回り・庭回り・根回り・年始回り・膝(ひざ)回り・左回り・一(ひと)回り・火回り・星回り・町回り・右回り・水回り・身の回り・見回り・胸回り・持ち回り・役回り・夜(よ)回り・利回り・礼回り</t>
        </is>
      </c>
      <c r="D7969" t="inlineStr">
        <is>
          <t>周りじゅう；周りクリームイエロー</t>
        </is>
      </c>
      <c r="E7969" t="inlineStr">
        <is>
          <t>側；近く；あたり；周囲；周辺</t>
        </is>
      </c>
      <c r="F7969" t="inlineStr">
        <is>
          <t>首周り；フロント周り；腰周り；軸周り；車体周り</t>
        </is>
      </c>
      <c r="H7969" t="n">
        <v>29</v>
      </c>
      <c r="I7969" t="inlineStr">
        <is>
          <t>この軌道の近日点は太陽の周りを周回する形でゆっくりと移動している。；その死体たちを杭で固定して騎乗の状態にさせ、王墓の周りに配置する。；小さな家族で暮らし、草と泥で作られた巣とダムの周りに縄張りを持つ。；島国とは、領土の周りが海に囲まれ、海上に国境がある国のことである。；主人公に都合よく周りの環境が操作されることを「主人公補正」と呼ぶ。；一般的には使用されず風俗嬢の周りでしか使用されていない使い方である。；萼の周りには羽状の腕が多く配置されており、萼の中央には口がある。；これは、核間軸の周りのMOの回転が位相を変化させないことを意味する。；周りが阪神ファンばかりの中、赤い帽子をかぶって甲子園球場に通った。；この道具を使うとその周りだけ現在の季節と違う環境を作り出すことができる。；そのためにも、火の周りに断熱的な構造を作るのは重要な工夫である。；太陽暦とは、地球が太陽の周りを回る周期を基にして作られた暦である。；ブレスレットはピンを調整することで腕周りを調整することができる。；これは死者を弔うために花を死体の周りに添えたと解釈されている。；日本は周りを海に囲まれていることもあり、世界有数の魚大国である。；一方では、船の推進の摩擦による熱が発生し、船の周りに温水ができる。；このとき周りには複数のライオンがいたが、攻撃を加えたのは一頭のみである。；しかし周りの中学が反対したためにできたのが、この旧制府立高校である。；切れてしまうと完全に機能が停止してしまうため、周りからは死んだように見える。；たとえばワイシャツでは首周りと袖丈とでサイズ分けされていることが多い。；これは海王星の周りの軌道上の物質を掃き集めた結果であると考えられている。；ここでは、太陽以外の恒星周りでの生命誕生の可能性について述べる。；周りにはスキー場、山と沢山の川があり、大自然を楽しむことができる。；例えば周りが青い物ばかりならば反射光によって環境光は青さが増す。；腐食が予想される扉周りの台枠や屋根にはステンレス材を併用している。；ここから先は標高は低いものの軽い峠越えであり、山を周り込むように走る。；アリエルは天王星周りの降着円盤の中で形成されたと考えられている。；これは、核間軸の周りのMOの回転が位相の変化が起きることを意味する。；チタニアは天王星周りの降着円盤の中で形成されたと考えられている。</t>
        </is>
      </c>
      <c r="J7969">
        <f>HYPERLINK("https://www.weblio.jp/content/周り", "词义详情")</f>
        <v/>
      </c>
      <c r="K7969">
        <f>HYPERLINK("https://yourei.jp/周り", "查看例句")</f>
        <v/>
      </c>
    </row>
    <row r="7970">
      <c r="A7970" t="inlineStr">
        <is>
          <t>回りくどい</t>
        </is>
      </c>
      <c r="B7970" t="inlineStr">
        <is>
          <t>成功</t>
        </is>
      </c>
      <c r="C7970" t="inlineStr">
        <is>
          <t>読み方：まわりくどい
［形］［文］まはりくど・し［ク］遠回しでわずらわしい。「—・い解説」</t>
        </is>
      </c>
      <c r="D7970" t="inlineStr">
        <is>
          <t>回りくどいこと(15%)；回りくどい言い方(6%)；回りくどい事(5%)；回りくどい方法(4%)；回りくどいやり方(2%)</t>
        </is>
      </c>
      <c r="E7970" t="inlineStr">
        <is>
          <t>間接的な；遠回し；遠回しな；婉曲的な</t>
        </is>
      </c>
      <c r="F7970" t="inlineStr">
        <is>
          <t>そんな回りくどい</t>
        </is>
      </c>
      <c r="H7970" t="n">
        <v>29</v>
      </c>
      <c r="I7970" t="inlineStr">
        <is>
          <t>無礼かとも思えたが、この男も回りくどいことは嫌いのように思えたのだ。；こんな回りくどいことをしなくても他に楽な方法がいくらもある。；どうせいつかは知られてしまう事だし、回りくどい事は嫌いだもの。；食事が終わってから聞いてもよかったが、そういう回りくどいのは苦手だ。；ことに男性とはきわめて回りくどい操作を行なわなくては実現できない状態である。；どうも未来人の考えることは朝比奈さんといい、回りくどいことが多いな。；いつものとおり、少しも回りくどいところのないズバリとした言いかただ。；お前にしちゃ考えてる事がどうにも回りくどいとは思ってたんだ。；妙に回りくどいことになったのは、自分が相談されるのを渋ったからに違いない。；随分と回りくどい方法ではあるが、これ以上無いくらいには結果は出している。；どうして、こんな回りくどい真似をしなければならなかったのか?；相手がジェンツェン王ならば、そのように回りくどいことをするはずはない。；妻の話が回りくどいのもいつものことであり、放っておいた方が早く本題に入るのだ。；リディアをいい気分にさせておいて、殺すことを考えるような回りくどさはない。；直接手を下すのが嫌だから、こんな回りくどい手段を用いたのだ。；まあいいわ、時間もないし回りくどい事は止めにしてあげる。；回りくどいことをせずに、いきなり殺してもいいのですが、私はそうはしませんでした。；短絡的と言えなくも無いが、こんなもの回りくどく考えたところで時間の無駄だ。；老人相手にあまり回りくどいことを言うと、話がややこしくなることが多いのだ。；私はそんな回りくどいような答えは予想していなかったから、その意味を考えるのに少し時間がかかった。；知識、情報が氾濫しているから年寄りの回りくどい話などに耳をかさない。；何も回りくどい話をするまでもない、現にこういう例があります。；回りくどいが、センターの設立目的からそう離れてはいない、と言いたいわけである。；このような回りくどい感染経路をたどる理由ははっきりしていない。；どうしてそうしないで、わざわざ回りくどいことをしたの?；だからこそこんなに回りくどい手を打ち、時を待つほうを選んだ。；ひどく、回りくどい言いわけが必要になるだろうと、僕は瞬時に身構えていた。；本物の悪党なら、こんな回りくどいことはしないんじゃないか。；今回は修学旅行の時のように回りくどいことをせず、直接麻帆良を狙って鬼達を放ってきた。</t>
        </is>
      </c>
      <c r="J7970">
        <f>HYPERLINK("https://www.weblio.jp/content/回りくどい", "词义详情")</f>
        <v/>
      </c>
      <c r="K7970">
        <f>HYPERLINK("https://yourei.jp/回りくどい", "查看例句")</f>
        <v/>
      </c>
    </row>
    <row r="7971">
      <c r="A7971" t="inlineStr">
        <is>
          <t>回り道</t>
        </is>
      </c>
      <c r="B7971" t="inlineStr">
        <is>
          <t>成功</t>
        </is>
      </c>
      <c r="C7971" t="inlineStr">
        <is>
          <t>読み方：まわりみち
遠回りして行くこと。遠回りになる道。迂路(うろ)。「—になるが確実な方法」</t>
        </is>
      </c>
      <c r="D7971" t="inlineStr">
        <is>
          <t>脇；バイパス；逸脱；脱線；余談</t>
        </is>
      </c>
      <c r="F7971" t="inlineStr">
        <is>
          <t>無駄な回り道；長い回り道；通って回り道；こんな回り道</t>
        </is>
      </c>
      <c r="H7971" t="n">
        <v>29</v>
      </c>
      <c r="I7971" t="inlineStr">
        <is>
          <t>しかし、寺山にしてみれば自分の勝手な用で回り道をしたわけではない。；そうして次の日同僚の手紙を持ってわざわざ回り道をして訪問に出かけた。；これは主要テーマからの最後の大きな回り道であることを約束する。；さて回り道をしたが二重峠で起きていた出来事というのは次のようなものだ。；回り道をするつもりだったが、例の墓場を抜ける道を歩くことになった。；善いことをするのなら、宗教という回り道をしなくても出来るんだから。；しかし彼は回り道をして、暇があるのでホルステン塔を出て散歩した。；しかしニコの表情は、とても回り道など許してくれそうにないものだった。；それはたしかに無駄な回り道、無意味な芝居にすぎないかもしれない。；山あり河あり海ありで、回り道しなければならないかもしれない。；店の前に車を横付けするために、ぐるりと回り道しなければならなかった。；自分がどれほど回り道をしていたかを私は教えられたのである。；寺院の裏手に達するためには、かなり長い回り道をしなければならなかった。；地蔵峠ではなく立石峠を利用した場合、大変な回り道となることがわかる。；そのために首都防衛のための軍隊の大半は時間の掛かる回り道をせざるを得なくなった。；じっさいどこでも回り道をして巌洞人以外の人間に会うのを避けた。；回り道をする必要があったためにかなり長くなり、また雪は深く柔らかだった。；交渉は回り道も何もなく、ズバリと要求を出し、向こうもはっきり答える。；もともと公衆衛生に打ち込むつもりはなく回り道でこのようになった。；街道を通って回り道して行くとなると、そうはいかなかっただろう。；何度も回り道をさせられたが、今度の手応えはしっかりしている。；おかげでこんな回り道をして、結局はなんにもならなかった。；だけど、いまになってみれば自分の人生に回り道があったことを後悔してませんけどね。；実のところ、僕が庭を横切る回り道を選んだのも、おまえを恐れたからではない。；ジョオオグナアアン星系へ寄港するのは、さほどの回り道にもならない。；ずいぶん回り道だが、それがもっとも安全のように思われた。；上野に出る前に神田に寄ったとしてもたいして回り道になるわけではない。；そしてあの様子では、回り道をする精神的な余裕は、紗耶香に残っていないはずだ。；出がけに妻には、少し回り道をして帰るからと言ってあった。</t>
        </is>
      </c>
      <c r="J7971">
        <f>HYPERLINK("https://www.weblio.jp/content/回り道", "词义详情")</f>
        <v/>
      </c>
      <c r="K7971">
        <f>HYPERLINK("https://yourei.jp/回り道", "查看例句")</f>
        <v/>
      </c>
    </row>
    <row r="7972">
      <c r="A7972" t="inlineStr">
        <is>
          <t>回る</t>
        </is>
      </c>
      <c r="B7972" t="inlineStr">
        <is>
          <t>成功</t>
        </is>
      </c>
      <c r="C7972" t="inlineStr">
        <is>
          <t>読み方：まわる
［動ラ五（四）］
１軸を中心にして円を描くように動く。回転する。「車輪が—・る」「地球は—・る」
２物の周囲に沿って、円を描くように移動する。「地球のまわりを月が—・る」「岬を—・る船」
３順々に決まった場所などをめぐる。「あいさつに—・る」「観光地を—・る」
４遠くなるほうの道をとる。迂回(うかい)する。「危険な沢筋を避けて稜線へ—・る」「急がば—・れ」
５寄り道をする。「外出のついでに先生のお宅へ—・る」
６物事が順に移る。「仕事が—・ってくる」「週単位で当番が—・る」
７それまでとは異なった立場に変わる。「賛成に—・る」「受け身に—・る」
８効力などが隅々まで及ぶ。また、配慮などが行き届く。「酔いが—・る」「手が—・る」「気が—・る」
９よく動く。よく働く。「舌が—・る」「頭が—・る」
10物事がとどこおりなく進む。「仕事がうまく—・る」
11金銭の運用で利益が生じる。「月に三分で—・る」
12《時計の針が円を描いて動くところから》ある時刻が過ぎる。「そろそろ三時を—・ろうとするところだ」
13（「目が回る」の形で）めまいがする。「急に立ち上がって目が—・る」
14金銭上のやりくりができる。
「女房お民が手一つで、—・らぬ暮し常なれど」〈人・梅児誉美・四〉
15遊里で、遊女などが客の気に入るようにふるまう。
「さのみ物もつかはぬ男に—・りておもしろがるに」〈浮・置土産・五〉
16動詞の連用形に付いて、そのあたりを…する、あちこち…する意を表す。「のたうち—・る」「走り—・る」「逃げ—・る」
[可能]まわれる
[用法]まわる・めぐる——「月をめでながら池を回る（巡る）」「名所を回る（巡る）」など、動く、移動するの意では相通じて用いられる。◇「回る」の方が多く使われ、意味の範囲も広い。「車が回る」のように、その物自体が回転する意では「巡る」を使わない。◇「巡る」は文章語的で、「寺の本堂を巡る回廊」のように、取り囲むの意。「規制緩和をめぐる議論」のように、…に関するの意は、「回る」にはない。
[下接句]急がば回れ・御鉢(おはち)が回る・気が回る・首が回らない・米の飯とお天道様はどこへ行っても付いて回る・酒が回る・舌が回る・知恵が回る・手が後ろに回る・手が回る・目が回る・焼きが回る・呂律(ろれつ)が回らない</t>
        </is>
      </c>
      <c r="D7972" t="inlineStr">
        <is>
          <t>回るような忙し；回る忙し；回るミサイルと航空機；回るよう命令；回るシャカシャカという乾い</t>
        </is>
      </c>
      <c r="E7972" t="inlineStr">
        <is>
          <t>普及；回転；包囲；広がる；一回</t>
        </is>
      </c>
      <c r="F7972" t="inlineStr">
        <is>
          <t>這い回る；暴れ回る；ぐるぐる回る；跳ね回る；泳ぎ回る</t>
        </is>
      </c>
      <c r="H7972" t="n">
        <v>29</v>
      </c>
      <c r="I7972" t="inlineStr">
        <is>
          <t>節子が亡くなったあとの部屋でレコードが回っているシーンを担当した。；あなたは常に自分のことで一杯で、妻の問題などには手が回らないのよ。；これはテロの影響で保守派に回った人々が多いことが原因とされている。；また、テレビ番組ではカメラが回っていても喧嘩を始めるときがあった。；なぜ、あのような怪我で私が動き回れたのか、医者は不思議がっていた。；政治、行政、商業および法律のような概念が郡庁舎を中心に回っている。；外側を回る別の衛星には彼女の夫であるエピメテウスの名が付いている。；このことから完全に地球側に回ったことは間違いないとみられる。；回らぬ頭で思い出そうとしていた時、突然顔の上にぬっと影がかかった。；かつてなら考えずとも気づいたことに、気が回らなくなってしまっている。；道を歩きながらあちこち眺め、虫のいそうなところを見て回る方法である。；借金で首が回らず、ついに顔を上げて町を歩くのさえ気がとがめ出した。；かれは盆にも百二十軒ほどの檀家のうち、十軒くらいしか回らなかった。；入口には赤い風車が回っており、当時の新宿の街の名物にもなっていた。；インディー団体をいくつか回った後に事実上引退し結婚、娘を授かった。；社長だとはいえ、一介の従業員のように飛んで回らないといけなくてね。；山の西側の麓から火を付け、山の北と南を回った火が東で合流する。；かつては自転車に看板を積み、狭い路地に分け入って貼って回っていた。；西署に頼まれた黒いコートの男までには手が回らなくなっていたのだ。；あまり早いと、ヤーさんたちに路地に回られたりしてもいけないからね。；彼女は表の大きな窓のほうへ回れと小さな声で教えてくれました。；一度死亡すると、以降は他の将軍と同じ扱いになり、敵に回ることもある。；彼の2人の弟はこれを機に、ヴァシーリー2世の支持に回ることになる。；少年の頃より音楽の才能を見出され、バンドを結成し各地を演奏して回った。；県内の刀屋を回らなかった理由は、業者に顔を知られていたからです。；数は千ほどとはいえ、これをわれらの背後に回らせるわけにはいきませぬ。；食事はいつも姉妹が交替で部屋に運んでいるが、今日は手が回らないのだ。；鍵が鍵穴にはいることははいるのだけど、はいった鍵が回らないのだ。；この時はアメリカも賛成に回ったが、イスラエルはこの決議を無視した。</t>
        </is>
      </c>
      <c r="J7972">
        <f>HYPERLINK("https://www.weblio.jp/content/回る", "词义详情")</f>
        <v/>
      </c>
      <c r="K7972">
        <f>HYPERLINK("https://yourei.jp/回る", "查看例句")</f>
        <v/>
      </c>
    </row>
    <row r="7973">
      <c r="A7973" t="inlineStr">
        <is>
          <t>万一</t>
        </is>
      </c>
      <c r="B7973" t="inlineStr">
        <is>
          <t>成功</t>
        </is>
      </c>
      <c r="C7973" t="inlineStr">
        <is>
          <t>読み方：ばんいち
［副］
１もしも。ひょっとして。まんいち。
「—に危(あやぶ)む心から、暫く差控(さしひかえ)ていた」〈二葉亭・浮雲〉
「—おめえがつまらねえこといひ出しては」〈滑・大山道中・初〉
２わざわざ。とりたてて。
「珍しくもねえ喧嘩を、—に持ってくでもねえから」〈滑・浮世風呂・四〉
［名］
１めったにないこと。もしもの場合。まんいち。
「—には大きな事(こつ)た」〈洒・船頭深話〉
２すべてのこと。万事。
「—に飽きっぽくて」〈滑・浮世風呂・初〉</t>
        </is>
      </c>
      <c r="D7973" t="inlineStr">
        <is>
          <t>万一そんなこと；万一そういうこと；万一さういふ；万一どうしても；万一にも敵</t>
        </is>
      </c>
      <c r="E7973" t="inlineStr">
        <is>
          <t>もし；もしも；仮に；もしか；万が一</t>
        </is>
      </c>
      <c r="F7973" t="inlineStr">
        <is>
          <t>万一そういう；若し万一；もしも万一；万一さう</t>
        </is>
      </c>
      <c r="H7973" t="n">
        <v>29</v>
      </c>
      <c r="I7973" t="inlineStr">
        <is>
          <t>余はその車に跟いて行きながら万一を心配したが、それも無事であった。；船に乗る事は万一の時の事にして必ず汽車で来るようにとまた書いて来た。；わたくしはどうしてもその万一の事のないようにいたしとうございます。；智恵子に相違ないと理窟の表は示して居ても、万一違って居ては大変だ。；この万一の場合のために、彼はレベジャートニコフに期待をかけていた。；彼女はどこで手に入れたか、万一の場合に備えて毒薬を用意していたのだ。；万一そんな奇蹟が起ったのなら、決して望みのない訳ではありませんよ。；万一僕の書いたものが旨かったら、あれは誰だということになるだろう。；万一ラエーフスキイの耳にはいったところで、まさか本当にしはしまい。；万一といふのはその事実が万分の一の公算で発生することをいふんでせう。；しかしもし万一のとき心配だからと云って、他の子供たちがきかない由。；煙をくぐって縁の下を出るとすれば、万一にそなえる用意は必要だなア。；おかげで葉子に万一のことがあってはと気が気じゃなかったからな。；万一に備えて市役所から放送が可能となるように放送設備を整えている。；こんな光栄を持つ夫人に万一のことがなければよいとだれも思った。；万一の事をなさいますと、瑠璃も生きていないつもりでございますよ。；でもまア、万一そういうときには又その時の策もあるかもしれません。；万一の事をなさいますと、瑠璃も生きてゐないつもりでございますよ。；万一、襄江の水がこれ以上増したら諸陣は水底に没してしまいましょう。；私に万一の過失をさせないやうに、私の手までも痺れさせてゐるのだ。；万一わたしが妙な気でも出したら、姐さん、お前さんはどうしなさるね?；鉱物などを惜しんで、娘に万一のことがあっては取り返しがつきません。；あの娘が万一、看護婦が駄目だったら女中にでも使って遣りましょうよ。；万一この脚の見つかった日には会社も必ず半三郎を馘首してしまうのに違いない。；姫草さんが万一無事に帰って来たら、暇を出そうか出すまいかってね。；ぼくに万一のことがあったとき、ぼくをたすけるのが、きみの役だからね。；大事な虎痴に万一があっては、全軍の士気にも関わると見たからである。；そして、その内の一人が万一に備えて僕の身辺を離れなかったのだ。；万一そういうことがあった時は、友様、お前にも一つ頼みがあるのだ。</t>
        </is>
      </c>
      <c r="J7973">
        <f>HYPERLINK("https://www.weblio.jp/content/万一", "词义详情")</f>
        <v/>
      </c>
      <c r="K7973">
        <f>HYPERLINK("https://yourei.jp/万一", "查看例句")</f>
        <v/>
      </c>
    </row>
    <row r="7974">
      <c r="A7974" t="inlineStr">
        <is>
          <t>満員</t>
        </is>
      </c>
      <c r="B7974" t="inlineStr">
        <is>
          <t>成功</t>
        </is>
      </c>
      <c r="C7974" t="inlineStr">
        <is>
          <t>読み方：まんいん
定員に達すること。また、余地がないほど人がいっぱいにはいっていること。「—の聴衆」「—御礼」</t>
        </is>
      </c>
      <c r="D7974" t="inlineStr">
        <is>
          <t>満員状態；満員札止め；満員補助；満員列車；満員つづき</t>
        </is>
      </c>
      <c r="E7974" t="inlineStr">
        <is>
          <t>いっぱい；混雑；ラッシュ；人混み；人ごみ</t>
        </is>
      </c>
      <c r="F7974" t="inlineStr">
        <is>
          <t>大入り満員；大入満員；連日満員；殆んど満員；毎回満員</t>
        </is>
      </c>
      <c r="G7974" t="inlineStr">
        <is>
          <t>満員御礼</t>
        </is>
      </c>
      <c r="H7974" t="n">
        <v>29</v>
      </c>
      <c r="I7974" t="inlineStr">
        <is>
          <t>アメリカツアーは予定通り行われた が満員にならない会場も多かった。；エレベーターが到着しても満員で乗れないといった状況も問題であった。；といって、ベッドもおそらく満員で一台の余裕もなかったのでしょう。；三等が満員になったので団員の一部は二等客車へどやどや雪崩れ込んだ。；生徒で満員の場合は運転手の判断で途中のバス停に停車しない場合があった。；開幕戦カードは普通ほとんどの試合で満員に近い観客動員数を記録する。；そしてその電車の中は多少着飾った労働者の夫婦者や子供連れで満員だった。；満員の観客を前に、大きなステージの上でライブをすることを夢見ている。；私の乗っていた二等車も満員で、立っている人もずいぶんありました。；幌馬車が満員なことは御存じなのにね、こんな子どもなんかつれてきて。；その連中の子孫はそこを訪問し、それらの観光ホテルをも満員にするのだ。；これらの街々はカフェで埋まっていて、この時刻にはどれも満員である。；この時、国技館は開設以来初めて満員になるほど人が集まったという。；ライブは後輩や友人らが来て満員となり、すぐに事務所がついたほどだった。；客はほとんど満員の有様なので、ようやく庭の隅の方の腰掛に席を取った。；この日のために全国からファンが訪れライブハウスは満員となった。；このパブがこんなに満員になったのを見たのは初めてなのだろう。；満員の観衆の前で演じる方が得意だったでしょ、と自分に言い聞かせた。；サロン春なんてのへ入ってみる、カフェーは満員だ、妙な世の中である。；小林多喜二のところへ来た人たちで、少くとも女の室は満員となっていた。；船は満員でなかったので、ほとんどの人が遊歩甲板に面した船室がとれた。；時がたつほど、ほかのホテルも満員になってゆく心配が目に見えた。；満員で混み合う中へ来ると彼の職業意識は急に働き始めて居た。；日本武道館を満員にしてワンマンライブを行うことを目標にしている。；見れば田舎の小劇場はもはや満員で、殆んど入ることが出来ない位だ。；この前泊った川岸の宿は満員というので名も知らぬ小さな船宿へ入る。；すでに車内が満員のため、兵士たちは列車の屋根や扉につかまっている。；ウラージンの陸軍監獄が満員だとて、何の不思議もなかろうじゃないか。；それほど大きな劇場ではないし、たぶん満員にはならないだろう。</t>
        </is>
      </c>
      <c r="J7974">
        <f>HYPERLINK("https://www.weblio.jp/content/満員", "词义详情")</f>
        <v/>
      </c>
      <c r="K7974">
        <f>HYPERLINK("https://yourei.jp/満員", "查看例句")</f>
        <v/>
      </c>
    </row>
    <row r="7975">
      <c r="A7975" t="inlineStr">
        <is>
          <t>漫画</t>
        </is>
      </c>
      <c r="B7975" t="inlineStr">
        <is>
          <t>成功</t>
        </is>
      </c>
      <c r="C7975" t="inlineStr">
        <is>
          <t>読み方：まんが
１単純・軽妙な筆致で描かれた、こっけい・誇張・風刺・ナンセンスなどを主とする絵。
２絵を連続させ、多くは台詞(せりふ)を伴って物語風にしたもの。「少女—」</t>
        </is>
      </c>
      <c r="D7975" t="inlineStr">
        <is>
          <t>漫画連載；漫画単行本；漫画制作；漫画以外；漫画好き</t>
        </is>
      </c>
      <c r="E7975" t="inlineStr">
        <is>
          <t>真似；戯画；カリカチュア；ポンチ；ポンチ絵</t>
        </is>
      </c>
      <c r="F7975" t="inlineStr">
        <is>
          <t>成人向け漫画；短編漫画；好きな漫画；コマ漫画；おまけ漫画</t>
        </is>
      </c>
      <c r="G7975" t="inlineStr">
        <is>
          <t>漫画版；漫画作品；漫画雑誌；漫画化；漫画原作者</t>
        </is>
      </c>
      <c r="H7975" t="n">
        <v>29</v>
      </c>
      <c r="I7975" t="inlineStr">
        <is>
          <t>しかし今回は、漫画の内容が恋愛ものばかりであることに不満を抱いた。；全国に公演回数が増加していることから、漫画制作がさらに遅れている。；この子供向け漫画を中心とした第 2期の活動は1966年まで続いた。；また、漫画にもレイティングが設けられている地域が日本以外にもある。；その結果、漫画を描いた背景には「アニメ化されたから」と答えている。；当初は漫画の主人公の名前だったが、後にペンネームもそれへと改める。；なおアメリカ合衆国ではこれ以前から漫画にもトーンが使われていたという。；それらの作業を機械化するには漫画に出てくるようなロボットの開発が必要である。；なお、本誌の漫画だけではなく、現地の漫画家の作品も掲載されている。；この冊子には下記の2本の漫画と、映画最新情報などが掲載されていた。；著名な絵画や人物像、ゲームや漫画の登場人物などが題材にされることが多い。；あーみん作品には数々の漫画やテレビの影響を受けたネタが存在する。；そのため、二人は手塚が使っていた机と同じ机で漫画を描いていた。；ちなみにこの髪型はブラジルの漫画のキャラクターがモデルである。；おまけページに各作品執筆時のエピソードが漫画で描かれている。；ただし、漫画の中での内容と実際の高校は、ほぼ無関係といってよい。；後に漫画の投稿活動を再開したときから、このペンネームを使用している。；明治大学漫画研究会に在籍し、在学中から漫画を描いて収入を得ていた。；漫画とアニメとの違いを肌で感じ、この経験をきっかけにアニメ制作に興味を持つ。；本作は漫画以外のメディアでもその世界を展開している。；この当時に描いた漫画の一部は今でも記念館に保存されている。；絶版になった漫画は中古で売買されているが、漫画家の利益にならない。；そのまま大阪に住み、アルバイトをしながら漫画の執筆・投稿を続けた。；売買対象は主に漫画や文庫本など大量出版され希少価値の低い書籍である。；小説などの文学作品や漫画の場合は「アンソロジー」と呼ぶことが多い。；アニメや漫画などの評論では登場人物の象徴的なものを記号と呼ぶことがある。；その頃から映画に興味を持ち始め、一時漫画から離れて映画漬けの日々を送る。；高校一年生の時にサッカー部を辞め、漫画一本に集中することに決める。；その他、漫画・小説のガンダム作品などにも必ず名前が入っている。</t>
        </is>
      </c>
      <c r="J7975">
        <f>HYPERLINK("https://www.weblio.jp/content/漫画", "词义详情")</f>
        <v/>
      </c>
      <c r="K7975">
        <f>HYPERLINK("https://yourei.jp/漫画", "查看例句")</f>
        <v/>
      </c>
    </row>
    <row r="7976">
      <c r="A7976" t="inlineStr">
        <is>
          <t>満開</t>
        </is>
      </c>
      <c r="B7976" t="inlineStr">
        <is>
          <t>成功</t>
        </is>
      </c>
      <c r="C7976" t="inlineStr">
        <is>
          <t>読み方：まんかい
［名］(スル)花が十分に開くこと。また、すべての花が開くこと。はなざかり。「公園の桜が—になる」</t>
        </is>
      </c>
      <c r="D7976" t="inlineStr">
        <is>
          <t>満開時；満開の紫陽花</t>
        </is>
      </c>
      <c r="F7976" t="inlineStr">
        <is>
          <t>大満開</t>
        </is>
      </c>
      <c r="G7976" t="inlineStr">
        <is>
          <t>満開製作所</t>
        </is>
      </c>
      <c r="H7976" t="n">
        <v>29</v>
      </c>
      <c r="I7976" t="inlineStr">
        <is>
          <t>雲の目の色と同じだから好きな月見草が満開だのに喜びを感じなかった。；此処ではすでに桜が満開で、通りには花に浮かれた人の波が続いていた。；ちょうどツツジが満開でそのそばには八重ザクラもまだ花をつけている。；谷川を歩いているうちにいつの間にか満開の桃の花に囲まれた村に来た。；それから或る年の暮、青山墓地通りの満開の桜の下を二人は歩いて居た。；満開の夜桜を見る度、最近では心が責め苛まれるようになってきている。；満開を過ぎた桜の大木が三本並ぶ、その真下に二台の車が駐車中だった。；桜といえば、新兵で横須賀へ行ったとき、満開の桜が彼を迎えてくれた。；黒磯あたりの桜が満開で、東京では見られない濃艶ないろを見せてゐた。；満開の花のアーチの中を歩きながら、カイルロッドは大きく伸びをした。；昨日まで七、八分だった桜も今日のこの陽射しでいやでも満開になる。；満開の頃、車椅子に乗せて花の下へ連れてったら、声を上げて笑ったんだ。；満開をちょっと過ぎた山桜が、日本の桜事情と同じようにたくさん見えた。；その声は、眼の前の、満開の桜の中から聴こえてくるようにも思えた。；また種子島では1990年代以降満開にならない年も増えてきていた。；ただ一面に満開の桜の森のただ中に、ぽつりとひとり立っているのだった。；見つめ合ったとき、二人の問に演出的 なお花が満開だったような気がするわ!；花の咲くのを追って北へ進む形になるので、長いあいだ満開を楽しめる。；県道との間には幾らかのスペースがあり、春になると桜が満開となる。；十文字小屋には三時過ぎに着いて、小屋の前のシャクナゲは満開であった。；大阪辺では余り見られない白い桜が庭の隅で二本満開であった。；地球温暖化のせいか東京では例年より二週間も早く桜が満開になっていた。；梅が満開になる頃、母親は近所の神社までひとりで散歩に出かけた。；薄桃色の花を着け始めているが、満開はあと十日ほど経ってからだという。；春休みを利用して、ここに越してきた時、目の前の桜は満開だった。；その満開の一枝に寒くぶらんとぶらさがっている縄きれを見つめていた。；生まれた時に近所の梨の花が満開だったことから名付けられた。；桜の木々は昼すぎに蕾を膨らませ、夕方には満開になっていたそうだ。；春の満開のときはまるで花のドームのなかで酔っぱらっているような気がする。</t>
        </is>
      </c>
      <c r="J7976">
        <f>HYPERLINK("https://www.weblio.jp/content/満開", "词义详情")</f>
        <v/>
      </c>
      <c r="K7976">
        <f>HYPERLINK("https://yourei.jp/満開", "查看例句")</f>
        <v/>
      </c>
    </row>
    <row r="7977">
      <c r="A7977" t="inlineStr">
        <is>
          <t>満喫</t>
        </is>
      </c>
      <c r="B7977" t="inlineStr">
        <is>
          <t>成功</t>
        </is>
      </c>
      <c r="C7977" t="inlineStr">
        <is>
          <t>読み方：まんきつ
［名］(スル)
１存分に飲み食いすること。「新鮮な魚介を—する」
２十分に楽しむこと。「釣りの醍醐(だいご)味を—する」</t>
        </is>
      </c>
      <c r="D7977" t="inlineStr">
        <is>
          <t>満喫する(23%)；満喫できる(9%)；満喫しよ(3%)；満喫出来る</t>
        </is>
      </c>
      <c r="E7977" t="inlineStr">
        <is>
          <t>味わう；噛み締める</t>
        </is>
      </c>
      <c r="F7977" t="inlineStr">
        <is>
          <t>満喫するはず；満喫するため</t>
        </is>
      </c>
      <c r="H7977" t="n">
        <v>29</v>
      </c>
      <c r="I7977" t="inlineStr">
        <is>
          <t>弟が起こしてくれなかったせいで二度目の睡眠を満喫してしまったのだ。；イギリスでは短い夏の日々を満喫するために欠かせない飲み物とされる。；ふたたび得た自由を満喫するために、旅へ出るようにと妻が勧めてくれた。；当然幸せな気分を満喫していいはずなのに、それがそうではないのだ。；そして、地球を離れてから初めての、ちゃんとした入浴の味を満喫した。；それとも、あいだを往ったり来たりして、両方の粋を満喫する手もある。；両親からは立ち入りを禁止されていたが、こっそり入っては満喫していた。；入試デュエルでクロノス教諭に勝利した十代は学園生活を満喫していた。；やがて年月が過ぎ、兄は王子として何不自由ない暮らしを満喫していた。；本など読むより、二人で船の旅を満喫していたかったのである。；彼は独身生活を満喫しており、1度に複数の女性と関係を持っていた。；俺はあいつに平穏な学生生活を満喫してもらいたいと考えている。；美しい景色を十分に満喫させた後、人目につかぬうちに刑が執行される。；都合に出て来ると都合の空気を腹一杯に満喫したいのが念願である。；ケビンはうるさい家族がいなくなった事を喜び、1人暮らしを満喫する。；新天地での生活を満喫するジュリアと不自由な生活に不満を抱く娘たち。；相手が失神しているのをいいことに、女の香を満喫する快楽ばかりではない。；思えば、もう何十年、一人きりの時間を満喫できていないだろう。；宇宙軍の通常任務から解放されて、あらためて自由を満喫している様子だ。；王位継承権からは遠く公務とは無縁であったため自由を満喫していた。；その頃、大冒険村ではラルシオン達が久々の平和な休日を満喫していた。；どんな片田舎でも僕は声をかけられ、日本人であることの楽しさを満喫した。；マイアミビーチにやって来た二人はすっかりバカンスを満喫していた。；事件の経過の一部始終を満喫するには、これほど好都合な状況もない。；彼は今有頂天ですので、ひとりで幸せを満喫していればいいでしょう。；そんなナルシシズムを満喫させるほど、そのカッティングは見事だった。；彼女が用心して徐々にその復活の度を進めたので、夫の眼にはその喜びが満喫できた。；当然、このときだけは私も、下僕生活の甘味を残りなく満喫するのでした。；二匹の走りかたは、なにものにも束縛されない自由を満喫している強い喜びに満ちていた。</t>
        </is>
      </c>
      <c r="J7977">
        <f>HYPERLINK("https://www.weblio.jp/content/満喫", "词义详情")</f>
        <v/>
      </c>
      <c r="K7977">
        <f>HYPERLINK("https://yourei.jp/満喫", "查看例句")</f>
        <v/>
      </c>
    </row>
    <row r="7978">
      <c r="A7978" t="inlineStr">
        <is>
          <t>満月</t>
        </is>
      </c>
      <c r="B7978" t="inlineStr">
        <is>
          <t>成功</t>
        </is>
      </c>
      <c r="C7978" t="inlineStr">
        <is>
          <t>読み方：まんげつ
１全面が輝いて円く見える月。月と太陽の黄経の差が180度になったときに起こる。十五夜の月。望(ぼう)。もちづき。《季秋》→新月
２琵琶(びわ)の部分の名。隠月(いんげつ)の異称。
[補説]書名別項。→満月</t>
        </is>
      </c>
      <c r="D7978" t="inlineStr">
        <is>
          <t>満月都市；満月亭；満月会；満月台；満月型</t>
        </is>
      </c>
      <c r="E7978" t="inlineStr">
        <is>
          <t>望月</t>
        </is>
      </c>
      <c r="F7978" t="inlineStr">
        <is>
          <t>如月満月；大きな満月；明るい満月；たる満月；軒満月</t>
        </is>
      </c>
      <c r="G7978" t="inlineStr">
        <is>
          <t>満月の夕；満月をさがして；満月寺浮御堂；満月寺；満月様顔貌</t>
        </is>
      </c>
      <c r="H7978" t="n">
        <v>29</v>
      </c>
      <c r="I7978" t="inlineStr">
        <is>
          <t>目をあげると、もうあと少しで満月になるかと思える月が出ていました。；例月祭とは、月と地上の距離が最も近くなる満月の日に行う祭りである。；この二つの橋の他に、昨夜空港から来る途中に満月を眺めた鉄橋がある。；彼らはその後必ず、満月はこれから欠けていくだけの月なのだとも言う。；ふたたび月が満ちて満月に近くなり、緑色の林檎のように空にかかった。；ところで今夜は満月だし、場所はどこかこのあたりのはずなんだがね。；火星の姿が、地球から見る満月の倍くらいの大きさに見えるようになった。；モニターの映像がゆっくりとパンさせていって、満月を視界に入れてみた。；また、満月を撮影した時に起こる「青被り」を防ぐ目的でも使用される。；ただし、満月が出ていてもオーロラを見たり撮影したりすることはできる。；このティカの儀式はダサミから四日続き、満月の日にお祭りが終了する。；満月は堀江由衣の歌をイメージしたキャラだと作者がコメントしている。；いくら満月で道が明るくても川に落ちないとは限らないからだ。；下北沢の屋根の波のうえに満月にはすこし足りない月がさがっている。；「そんなことがあったんですね〜」 満月はあくまで煌々と輝いていた。；満月がのぼりかけているので、霧の幕の上側がぼうっと赤くなっていた。；それが満月ほどの大きさになると、そのなかにひとつずつ顔があるのがわかった。；それぞれが満月、満ちる過程にある月、掛けた月に照応しているという。；あの場合、満月の作る影と考えることは、極めて自然な考えだと思いました。；満月になりきれない月を背にして、二人の姿は目映いばかりだった。；だが満月を過ぎた月はロンドンの大荒野の上に今昇ろうとしている。；しかも、月に関わる祭りは、多くが新月か満月の頃に行われたという。；赤く濁つた満月が低く空にかゝつてゐて、暗い波は渚まで打寄せてゐる。；そう思って満月を見ると、手桶をもった子どもの姿が見えてきます。；否応なしに千六の尻を押いて金輪際、満月を身請させいでおこうものか。；満月でしたが、その丸さはただの丸さではなく、何かしら不安な丸さでした。；第二戦線はやがて近く、次の満月か満潮時がその時となるかも知れぬ。；一枚のVISTA画像は広さにして満月の約10倍の天域を占める。；満月とは、月と太陽の黄経差が180度となること、あるいはその瞬間。</t>
        </is>
      </c>
      <c r="J7978">
        <f>HYPERLINK("https://www.weblio.jp/content/満月", "词义详情")</f>
        <v/>
      </c>
      <c r="K7978">
        <f>HYPERLINK("https://yourei.jp/満月", "查看例句")</f>
        <v/>
      </c>
    </row>
    <row r="7979">
      <c r="A7979" t="inlineStr">
        <is>
          <t>漫才</t>
        </is>
      </c>
      <c r="B7979" t="inlineStr">
        <is>
          <t>成功</t>
        </is>
      </c>
      <c r="C7979" t="inlineStr">
        <is>
          <t>読み方：まんざい
二人の芸人がこっけいなことを言い合って、客を笑わす寄席演芸。万歳2が現代化したもので、大正初期に大阪で起こった。初め「万才」と書き、のち形式も多種多様に発達。</t>
        </is>
      </c>
      <c r="D7979" t="inlineStr">
        <is>
          <t>漫才作家；漫才デモ；漫才師；漫才大会；漫才台本</t>
        </is>
      </c>
      <c r="F7979" t="inlineStr">
        <is>
          <t>トリオ漫才；東京漫才；組んで漫才；漫才番組；漫才屋</t>
        </is>
      </c>
      <c r="G7979" t="inlineStr">
        <is>
          <t>漫才コンビ；漫才ブーム；漫才協会；漫才トリオ；漫才教室</t>
        </is>
      </c>
      <c r="H7979" t="n">
        <v>29</v>
      </c>
      <c r="I7979" t="inlineStr">
        <is>
          <t>当初は漫才等も放送されていたが、現在は落語のみの放送となっている。；秋田が東京で仕事がある際は自宅に招き漫才談義をよくしていたという。；だけどそういう漫才の上手い下手じゃないところでトップを走っていた。；落語をメインにしていた寄席番組で、他に漫才や漫談も取り上げていた。；日本の漫才と同様、面白い話をして客を笑わせるのが基本的内容である。；即席バンドが大体を占めるのだが、稀に漫才や手品等をする生徒もいる。；主に漫才を中心に活動していたが、コントもまれに披露することがあった。；本格的に漫才の修行のために大阪に行くが地に馴染めず東京に上京を決意。；漫才に作り変えることもあるが最近は漫才を全く披露していない。；結成当初はコントが中心であったが、現在は主に漫才を行っている。；歌ネタを使用しない漫才の時も、グループ名を間違えたりしていたようだ。；漫才を変えたといわれるスピードとスタイルで、大きな反響を巻き起す。；が執筆する主に畜産をネタにした『農業漫才』を行っていたことがあった。；漫才やコントで使われる他、新聞記事の見出し等に使われることもある。；同郷の先輩には漫才のルーツの一人ともいわれる初代市川順若がいる。；それ以前から、漫才の舞台などコンビでの仕事も行われなくなった。；テレビでは歌ネタが中心だが、ライブでは漫才やコントも演じている。；戦前・戦後の大阪を舞台とした漫才を愛した男の物語。；絶大な人気を得たにもかかわらず、主要な漫才賞を獲得することができなかった。；小道具などは多く持ち込まないため、漫才コントの形になることが多い。；大阪局の製作であるため、上方の漫才師と落語家による高座が主だった。；漫才を始めたのは、テレビへ出るようになってからであった。；また、漫才をしながら意味もなく激しい叩き合いをするネタも持っている。；ストリート漫才を続ける過程で現在のスタイルに変わっていった。；こういった新しい尾張萬歳の中から漫才の基礎となる形のものも生み出された。；ネタは主に漫才であるが、過去にはネタ中に大道芸も取り入れていた。；真栄田が長年育ててきたキャラクターであり、漫才でも演じている。；主に漫才を得意としていたが、2007年10月4日にコンビを解散した。；この時出ていた非常事態宣言とは無関係にzoom漫才の練習を開始。</t>
        </is>
      </c>
      <c r="J7979">
        <f>HYPERLINK("https://www.weblio.jp/content/漫才", "词义详情")</f>
        <v/>
      </c>
      <c r="K7979">
        <f>HYPERLINK("https://yourei.jp/漫才", "查看例句")</f>
        <v/>
      </c>
    </row>
    <row r="7980">
      <c r="A7980" t="inlineStr">
        <is>
          <t>まんざら</t>
        </is>
      </c>
      <c r="B7980" t="inlineStr">
        <is>
          <t>成功</t>
        </is>
      </c>
      <c r="C7980" t="inlineStr">
        <is>
          <t>読み方：まんざら
《語源未詳。「満更」は当て字》
［副］
１（否定的な表現のあとにさらに打消しの語を伴って）否定的な意味合いをやわらげたり、むしろ逆に肯定したりする気持ちを表す。必ずしも。「—捨てたものでもない」
２全く。ひたすら。
「—の下手が造ったものとは異(ちが)う」〈露伴・太郎坊〉
［形動］《あとに来る否定的な意味の語を省略した形。近世語》まったく好ましくないさま。
「いづれ—なことさね」〈黄・孔子縞〉</t>
        </is>
      </c>
      <c r="D7980" t="inlineStr">
        <is>
          <t>まんざら捨て(3%)；まんざら悪い(2%)；まんざら悪く(2%)；まんざらじゃない；まんざらお世辞</t>
        </is>
      </c>
      <c r="E7980" t="inlineStr">
        <is>
          <t>まるで；まったく；全く；何も；すっかり</t>
        </is>
      </c>
      <c r="F7980" t="inlineStr">
        <is>
          <t>まんざら悪い気持ち</t>
        </is>
      </c>
      <c r="H7980" t="n">
        <v>29</v>
      </c>
      <c r="I7980" t="inlineStr">
        <is>
          <t>敵の陣営に味方を一人作っておくのもまんざら捨てたものではない、と。；おれは何もしてゐないやうに見えるだらうが、まんざら、さうでもない。；彼にしても、まんざら逃げようと思ったことがないわけではなかったが。；とはいうものの、そう持ちあげられてみると、まんざら悪い気もしない。；そんなことを知らぬ武士のほうは、思わぬ役得にまんざらでもなかった。；この調子で行くと雲仙の女中さんの話もまんざら嘘でもないらしいぞ。；吉原の酒の味も知っている人ですから、まんざらの野暮ではありません。；ひがみ根性かも知れないが、まんざらそうとも言えぬ気配も感じられた。；あの週刊誌の記事もまんざら嘘ばかりではなかったかもしれないってね。；そんな芸術家のお友達があるなんて、あなたもまんざらじゃないわね。；そんなことを思うと、毛皮の商売も、まんざら悪いものではありません。；ツンとして顔をそらしたが、心の中では、まんざらでもない気持だった。；本店勤務になりそうだとしか言ってないが、まんざらでもなさそうだった。；どうやら、文代の言っていたことは、まんざらでたらめでもないらしい。；何ともわからないが、まんざら悪くもない風味、そしてよい香りがする。；彼も喉の後ろから歌わないならば、その声はまんざらでもないのです。；あの話し振りでは、まんざらでたらめでもなさそうだと川端さんがいう。；雄次さんの方も、あたしにまんざらでないのでは、という気がしました。；不愉快そうにしつつも拍手喝采を受けまんざらでもない顔をするのだった。；妻がそうした態度に出る理由も、まんざらわからないではないような気がした。；あんたもひさしぶりに暴れることができて、まんざらじゃないはずだぜ。；わたしが餌代わりに使われることも、まんざら考えられないことでもない。；男の子の方もまんざらではないらしく、電話をくれるということになった。；ここの暮らしだって、まんざら捨てたもんではないという気がするからね。；この賭けに勝ったら、あちしの運もまんざら捨てたものじゃないと思ってさ。；バプティスタ氏は立派な紳士、わたしの父ともまんざら知らぬ仲ではない。；氏にとって、邪魔されることは、べつにまんざらでもなさそうであった。；それで俺の言っていることがまんざら嘘でもねえと分かってくれよう。；二番の子がどうしよーとか騒いでいるけどまんざらではなさそうだ。</t>
        </is>
      </c>
      <c r="J7980">
        <f>HYPERLINK("https://www.weblio.jp/content/まんざら", "词义详情")</f>
        <v/>
      </c>
      <c r="K7980">
        <f>HYPERLINK("https://yourei.jp/まんざら", "查看例句")</f>
        <v/>
      </c>
    </row>
    <row r="7981">
      <c r="A7981" t="inlineStr">
        <is>
          <t>満場</t>
        </is>
      </c>
      <c r="B7981" t="inlineStr">
        <is>
          <t>成功</t>
        </is>
      </c>
      <c r="C7981" t="inlineStr">
        <is>
          <t>読み方：まんじょう
会場に満ちていること。会場全体。また、その場にいる人すべて。満堂。「—の拍手」</t>
        </is>
      </c>
      <c r="D7981" t="inlineStr">
        <is>
          <t>満場総立ち</t>
        </is>
      </c>
      <c r="H7981" t="n">
        <v>29</v>
      </c>
      <c r="I7981" t="inlineStr">
        <is>
          <t>満場はこれを合図に目の前で行われた夫婦の組み替えを承認しました。；満場の諸君が世界的の事業に力を尽さるることを実に感謝致すのである。；少女は部屋の真中に立って、満場を見まわしてから、踊りの姿勢をとりました。；このときには常磐津の林中もまたその名音で満場の観客を陶酔させた。；それを祝福するように、戦い終えた弁護士には満場の拍手が捧げられていた。；わたしにとっては、満場の拍手というやつが、やっぱり魅力なんですな。；「大変な人だね」と椅子に腰をおろしながら中野君は満場を見廻わす。；それから間もなく二人は、満場の喝采を浴びて見物の前に跳り出た。；満場を埋め尽くす観客たちは、一人残らず立ち上がって彼等を迎えていることだろう。；展覧会のパーティに姿をみせた彼女には満場の拍手があびせられた。；満場騒然となり、あるものは悲鳴を発し、前列にいた二人の婦人が気を失って倒れた。；前者は力で権力をもぎ取り、後者は満場の拍手に迎えられて花道から登場する。；ピット作業での逆転劇に、満場のフェラーリファンから大歓声が上がった。；然し、続いて今度は、満場を総立ちにさせたほどの出来事が起った。；満場の視線を浴びながら、松岡は宣言書の草案を手にすると、発言を求め登壇した。；昔日本語では満場総立ちと表現することがあった。；満場水をうったようなしずけさのなかに、京子の歌の一節がおわった。；満場水を打ったように静粛に聞き入って、他の女義席とは全然異なった空気である。；なにしろ二人のダンスは今や、満場の注目の的だったのだ。；元々あまり無かった人気をさらになくしたといわれ、満場の罵声を浴びせられていたといわれる。；満場の視線はすべてオルテガの剣の上に注がれている。；満場がひっそりと静まりかえり、ちょっとのあいだそれがつづいた。；満場のドヨメキの中に弟の身体が運び出されますと、私はもう嬉し泣きの涙で向うが見えなくなってしまいました。；ぼくたち三人も、また満場の聴衆たちもそのすさまじい光景におもわず悲鳴をあげた。；頑之助に注がれた満場の人々の眼には、明かに嫌悪と、そして、それ以上に恐怖の色があった。；満場の拍手を耳に残しながら、しんみりとした控室に帰って来たピエロのような気持だった。；店内で飲んでいた十数人の男たちは、だれもがティガを知っていて、入るなり満場の目がそそがれた。；応援団ばかりじゃなしに、満場の大半が拍手を送っている。；満場は声なく、巨大な落日の紅炎は、西の空へ、刻々に沈んでゆく。</t>
        </is>
      </c>
      <c r="J7981">
        <f>HYPERLINK("https://www.weblio.jp/content/満場", "词义详情")</f>
        <v/>
      </c>
      <c r="K7981">
        <f>HYPERLINK("https://yourei.jp/満場", "查看例句")</f>
        <v/>
      </c>
    </row>
    <row r="7982">
      <c r="A7982" t="inlineStr">
        <is>
          <t>慢性</t>
        </is>
      </c>
      <c r="B7982" t="inlineStr">
        <is>
          <t>成功</t>
        </is>
      </c>
      <c r="C7982" t="inlineStr">
        <is>
          <t>読み方：まんせい
１症状はあまりひどくないが、治りにくく、経過が長びく病気の性質・状態。⇔急性。
２望ましくない状態が長く続くこと。「—化した不景気」</t>
        </is>
      </c>
      <c r="D7982" t="inlineStr">
        <is>
          <t>慢性的(48%)；慢性化(10%)；慢性期(3%)；慢性腎臓病；慢性型</t>
        </is>
      </c>
      <c r="E7982" t="inlineStr">
        <is>
          <t>慢性的</t>
        </is>
      </c>
      <c r="F7982" t="inlineStr">
        <is>
          <t>慢性髄膜炎；慢性腎炎；慢性消化器病；慢性感染；慢性進行性外眼筋</t>
        </is>
      </c>
      <c r="G7982" t="inlineStr">
        <is>
          <t>慢性疾患；慢性炎症；慢性骨髄性白血病；慢性肝炎；慢性閉塞性肺疾患</t>
        </is>
      </c>
      <c r="H7982" t="n">
        <v>29</v>
      </c>
      <c r="I7982" t="inlineStr">
        <is>
          <t>シーズン終了後には慢性的な痛みを抱えてきた右股関節の手術を受けた。；根本的治療法のない病気なので下記のように慢性進行性の経過をとる。；これはテンポイントが脚に慢性的な骨膜炎を抱えていたことが原因だった。；しかしながらその後、一部区間で慢性的な渋滞が発生し問題となっていた。；市内は上水道設備の整備の遅れなどから慢性的な水不足になっている。；その後は膝の慢性的な怪我に悩まされて徐々に下降線を辿っていった。；しかしその結果、慢性的な多臓器障害を有する患者の割合は増加している。；激しい痛みがあり、その痛みは急性でも慢性でも両方の場合がある。；だが、慢性のものでは徐々に身体に影響が出てくることがある。；慢性的な胃腸の弱い状態などではお茶代わりに飲用する場合もある。；競走後には大型馬ゆえに持病としていた裂蹄が慢性化し、休養に入る。；慢性的な紛争状態が続いた時代だが、毎日が戦争状態にあったわけではない。；開業以来、慢性的な赤字に悩まされ続けており、存亡の機に瀕していた。；サイトによっては人気番組の更新後の混雑が慢性化しているところもある。；実際の原因は長いレスラー生活の中での慢性的な首と腰の痛みによるものであった。；病像はウェルニッケ脳症とかなり違っており、それが慢性化した状態ではない。；市内の台鉄の線路は、慢性的な渋滞解消のため、すべて地下化が完了している。；特に旧南米州では治安悪化や反政府活動が慢性的な問題となっている。；後に歩道部分が増設されたものの、慢性的な交通渋滞が発生していた。；サルコイドーシスのリンパ節も慢性期は石灰化を伴うことが少なくない。；なお、急性期を過ぎて数年から数十年経過すると慢性期の症状が発症する。；手術は回避したものの、この年から慢性的な背中の痛みに悩まされ続ける事になる。；日中は国道23号高架下の信号交差点付近では慢性的な渋滞が起こる。；こうして全ての原虫を排除することができずに慢性的な感染が継続することになる。；しかし交通量の増大はその後も続き、市内中心部は渋滞が慢性化していた。；その後も膝と肩に慢性的な故障を抱え、出場が不安定な時期が続く。；痛みには、筋肉由来の緊張性腰痛と、鈍い痛みを伴う慢性の腰痛がある。；鍼治療は、頻繁もしくは慢性的な緊張性頭痛に有効だと言われている。；慢性経過では特徴的な症状を示さないことが多い。</t>
        </is>
      </c>
      <c r="J7982">
        <f>HYPERLINK("https://www.weblio.jp/content/慢性", "词义详情")</f>
        <v/>
      </c>
      <c r="K7982">
        <f>HYPERLINK("https://yourei.jp/慢性", "查看例句")</f>
        <v/>
      </c>
    </row>
    <row r="7983">
      <c r="A7983" t="inlineStr">
        <is>
          <t>満席</t>
        </is>
      </c>
      <c r="B7983" t="inlineStr">
        <is>
          <t>成功</t>
        </is>
      </c>
      <c r="C7983" t="inlineStr">
        <is>
          <t>読み方：まんせき
乗り物や劇場などの座席がすべてふさがること。</t>
        </is>
      </c>
      <c r="D7983" t="inlineStr">
        <is>
          <t>満席状態(3%)；満席時</t>
        </is>
      </c>
      <c r="F7983" t="inlineStr">
        <is>
          <t>すぐに満席</t>
        </is>
      </c>
      <c r="H7983" t="n">
        <v>29</v>
      </c>
      <c r="I7983" t="inlineStr">
        <is>
          <t>他の席はほぼ満席なのに、この机はその女子一人が座っているだけである。；その日は金曜日のせいか、夜十時を回っても、店はまだ満席状態だった。；最初は三人だった客が、一つか二つゲームが進むうちに満席になった。；人気の高い作品は予約開始から数分で満席となることもしばしばある。；満席に近かった観客の大半はすでに席を立ち、数えるほどになっていた。；混雑期には開園してすぐに満席となり予約受付が終了する場合もあった。；こんなことで武道館が満席になるんだろうかと、心配になったくらいである。；母の料理の腕はなかなかの評判で、店はいつも満席だったのにね。；ただし、リクエストした列車が満席もしくはそれに近い場合は利用不可。；ソファ席はすでに客とホステスで満席なので今度はカウンター席だった。；そのあとマジェスティック劇場は数週間、床から天井まで満席になった。；彼らはご飯を食べられる場所を探したのだが、あいにくどこも満席だった。；当日は1200席が満席となり、その光景を見たメンバーは次々に涙を流した。；会場の隅に喫茶コーナーが設けられているが、ずっと満席のようだ。；劉輿の下を訪れる賓客はいつも満席であり、文案は机に満ち溢れていた。；満席であるが、一角に彼等のコーナーがあって席を融通しあったりしている。；満席になれば百人近く収容できるのではないだろうか。；ただし、リクエストした列車が満席もしくはそれに近い場合は利用できない。；また、映画の舞台となった名古屋市では映画館が満席になるなど好評だった。；松多を一週間満席するのが、下北で芝居をやってる小劇団共通の夢なんだ。；そのとき学生風のグループが入って来て、ほぼ満席になった。；十人たらずで満席になってしまう小型機の中は、ムッとした熱気に包まれていた。；確かに、満席にでもなっていたら、ちょっとつらかったかもしれない。；とくに10時ちょうど発の博多行は、ほぼ満席の状況でございました。；この列車は人気があって、食堂車もほぼ満席だったからでもある。；日帰りを予定していたが、帰りの飛行機が満席だったためらしい。；給仕が、いまは満席だから予約がなければどうにもならない、という。；このため、当システムで満席であっても、他のシステムでは席が残っている場合もある。；市から少し離れたところに幟を揚げていた酒家に入ると、ほぼ満席であった。</t>
        </is>
      </c>
      <c r="J7983">
        <f>HYPERLINK("https://www.weblio.jp/content/満席", "词义详情")</f>
        <v/>
      </c>
      <c r="K7983">
        <f>HYPERLINK("https://yourei.jp/満席", "查看例句")</f>
        <v/>
      </c>
    </row>
    <row r="7984">
      <c r="A7984" t="inlineStr">
        <is>
          <t>満足</t>
        </is>
      </c>
      <c r="B7984" t="inlineStr">
        <is>
          <t>成功</t>
        </is>
      </c>
      <c r="C7984" t="inlineStr">
        <is>
          <t>読み方：まんぞく
［名・形動］(スル)
１心にかなって不平不満のないこと。心が満ち足りること。また、そのさま。「—な（の）ようす」「今の生活に—している」
２十分であること。申し分のないこと。また、そのさま。「—な答え」「料理も—にできない」
３数学で、ある条件を満たしていること。
[派生]まんぞくげ［形動］まんぞくさ［名］</t>
        </is>
      </c>
      <c r="D7984" t="inlineStr">
        <is>
          <t>満足する(7%)；満足そう(6%)；満足させる(5%)；満足できる；満足感</t>
        </is>
      </c>
      <c r="E7984" t="inlineStr">
        <is>
          <t>良い；充分；喜び；丸；面白い</t>
        </is>
      </c>
      <c r="F7984" t="inlineStr">
        <is>
          <t>大満足；五体満足；御満足；十分満足；ご満足</t>
        </is>
      </c>
      <c r="G7984" t="inlineStr">
        <is>
          <t>満足度；満足保証</t>
        </is>
      </c>
      <c r="H7984" t="n">
        <v>29</v>
      </c>
      <c r="I7984" t="inlineStr">
        <is>
          <t>しばらくして妻との生活に満足したアガスティヤは子を作ろうと考えた。；だが、一方では兄の書いた凡庸なオペラでは弟は満足しなくなっていた。；によれば、職務特性と職務満足度の関係は中程度に強いことが示された。；そして、松本は薬師丸に書いたすべての曲に満足していると答えている。；この一つの大きな改革でカール15世は満足しなければならなかった。；これらの住民は近代的な都市生活に満足せず、占拠した家を破壊した。；これらは全体的に大きさと出力が必要だったが満足のゆく結果は得られなかった。；とはいえ、月の重力がこのために満足いくものなのかはまだ不明である。；晩年は助けを得なければ歩くことも満足にできなかったという。；このことは境界が空集合であるときにも満足されることに注意する。；がともに空間的ベクトルの場合は、通常通りの三角不等式が満足される。；これにより、様々な場からゲージ対称性を満足する項を作る事が出来る。；自身が目指した教会像が実現したことに満足していたという。；もちろん、そのような族はある種の性質を満足するようにしなければならない。；しかし、高額な消費財を国民に提供することは、満足にはできなかった。；冷笑的でサディスティックな性格設定にはカー自身が満足できなかった。；これが成り立つことは両辺が微分方程式 を満足することを見ればよい。；結局、国王の譲位を求めた連合側はこの成果だけで満足せねばならなかった。；付近で良質の粘土質が満足に取れない場合などに用いられる型式である。；は主力打者の故障や不振が相次ぎ、満足の行く成績を上げられなかった。；スターリンは、エジョフの存在を数か月間無視するだけで満足していた。；ボッシュは様々な方法を試してみたが、満足のいく結果は見られなかった。；厄介なプロジェクトに際してだれが満足のいく指導力を発揮できると思いますか?；次に作られた曲は静的で不気味なものであり、スタッフを満足させた。；出版社はトールキンの腕前に満足し、本のカバーのデザインも依頼した。；すると自ら徒歩で彼らのもとへ趣き、両者と語り合って大いに満足した。；ただ、満足のいくキャラクターモデルを制作することは困難であった。；貧農の家に生まれたため、満足な教育を受けられなかったとされる。；記念表彰は計画終了後に起業家たちが収集家を満足させるために制作した。</t>
        </is>
      </c>
      <c r="J7984">
        <f>HYPERLINK("https://www.weblio.jp/content/満足", "词义详情")</f>
        <v/>
      </c>
      <c r="K7984">
        <f>HYPERLINK("https://yourei.jp/満足", "查看例句")</f>
        <v/>
      </c>
    </row>
    <row r="7985">
      <c r="A7985" t="inlineStr">
        <is>
          <t>満点</t>
        </is>
      </c>
      <c r="B7985" t="inlineStr">
        <is>
          <t>成功</t>
        </is>
      </c>
      <c r="C7985" t="inlineStr">
        <is>
          <t>読み方：まんてん
１規定の点数の最高点。また、それに達すること。「試験で—をとる」
２申し分のないこと。非難すべきところがないこと。「栄養—」</t>
        </is>
      </c>
      <c r="D7985" t="inlineStr">
        <is>
          <t>満点中二つ星；満点獲得；満点大笑；満点中三ツ星；満点合格</t>
        </is>
      </c>
      <c r="E7985" t="inlineStr">
        <is>
          <t>頂点；完璧；極限；完備；万全</t>
        </is>
      </c>
      <c r="F7985" t="inlineStr">
        <is>
          <t>スリル満点；迫力満点；百点満点；栄養満点；効果満点</t>
        </is>
      </c>
      <c r="H7985" t="n">
        <v>29</v>
      </c>
      <c r="I7985" t="inlineStr">
        <is>
          <t>もはや子供に百点満点を期待する親のような気持ちになっているのだ。；すると翌日の試験には満点百のものをようよう十四点だけもらった。；十四年式軍用拳銃で満点を記録したこともある鋭いカンと感覚が甦った。；費やした時間と労力とを考えれば当然と言うべきだろうが、満点だった。；やはり満点の5点が良く、3点では次の入団試験で苦労する可能性が高い。；その代わり次の学期には算数で満点を取る約束をさせられたけどね。；カサルス・トリオのこの曲の演奏は、満点以上であったと言っていい。；試験を受けるときは満点ではなく平均点を基準にする連中。；そういえばバナナは消化効率が良く、エネルギーも満点だと聞きました。；満点を出すと曲選択画面でEXCELLENTの文字が表示される。；おかげで名前と顔は知られるようになったけど、胡散臭さは満点ね。；入学試験の数学は15点しかとっていなかったが、英語は満点を得た。；満点が保証されている試験にむかう興奮を隠して、おれは退屈そうにいった。；満点だったのは数学だけで、あとは平均点にも満たない惨憺たるものだった。；私の世界が訪れるまでに、柩の蓋が開けられるかどうか、スリル満点だわ。；あれでちょっと首でもひねってみせようものなら、それこそ色気満点だ。；これまで公式の大会で満点のものはいないはずだった。；其がたとひ満点に近い感じのある出来であつた時でもある。；この歌はレコードの上にも三つ四つ入っているが、満点を付けられるのはまだない。；感心しますね、紳士として満点を与えていいくらいの立派な紳士ですよねえ。；まるで幼い子供が満点を貰った答案を親に見せているようである。；試験の問題が事前に全て公表されたとしても、満点を取ることは容易じゃないはずだ。；当初は「満点体操第1」のみであったが、その後第2・第3が作られた。；なにも、百点満点の女房になろうとしなくたっていいじゃないか。；今日は数学の試験があって私は満点でありました。；これは当時の最年少出場記録であり、そして満点で個人金メダルを獲得した。；こんなにスリル満点のお話、今までに一度もきいたことがないのよ!；ユーザーは商品に対して星5つを満点として評価をすることができる。；だけど僧正が言う通り、一〇〇点満点の結果だったと断言できるか。</t>
        </is>
      </c>
      <c r="J7985">
        <f>HYPERLINK("https://www.weblio.jp/content/満点", "词义详情")</f>
        <v/>
      </c>
      <c r="K7985">
        <f>HYPERLINK("https://yourei.jp/満点", "查看例句")</f>
        <v/>
      </c>
    </row>
    <row r="7986">
      <c r="A7986" t="inlineStr">
        <is>
          <t>真ん中</t>
        </is>
      </c>
      <c r="B7986" t="inlineStr">
        <is>
          <t>成功</t>
        </is>
      </c>
      <c r="C7986" t="inlineStr">
        <is>
          <t>読み方：まんなか
《「まなか」の撥音添加》距離・場所・順序などで、ちょうど中央にあたるところ。中心。「町の—にある建物」「三人兄弟の—」</t>
        </is>
      </c>
      <c r="D7986" t="inlineStr">
        <is>
          <t>真ん中あたり(3%)；真ん中辺り；真ん中分け；真ん中にぽつんと；真ん中付近</t>
        </is>
      </c>
      <c r="E7986" t="inlineStr">
        <is>
          <t>中；心；中心；中央；センター</t>
        </is>
      </c>
      <c r="F7986" t="inlineStr">
        <is>
          <t>ド真ん中；真ん中高目；真ん中にどっしり；真ん中ホール</t>
        </is>
      </c>
      <c r="H7986" t="n">
        <v>29</v>
      </c>
      <c r="I7986" t="inlineStr">
        <is>
          <t>家に帰ると壁にかけておいたひょうたんが部屋の真ん中に置かれていた。；だから真ん中にイラストを配置して、枠状に周りが白くなるようにした。；最も単純なものは一方の真ん中に上から下に開くジッパーがついている。；国境はとても複雑で、いくつかの家は真ん中で2つの国に分かれている。；移動時には額の真ん中にあるダイヤモンドを目の代わりにしていたという。；真ん中の画像は、同じモデルを描いており、同様にどの面も同じ色である。；そしてふたりの雇い主が、うつぶせになって部屋の真ん中に倒れていた。；西播地域の真ん中位置にあり、鉄道や幹線道路も比較的整備されている。；四分割されている部分の真ん中には白い帯があり、三隻の黒い船が描かれている。；その荒涼とした世界の真ん中にあの男と女がいるのだと、私は思いました。；最後列と真ん中の列の席は前を向き、最前列の席は後ろを向いていた。；それらの共通部分は 5 つの要素からなる層の真ん中の要素である。；コガネグモ類は明るいところで昼間も網の真ん中にいるものが多い。；市の拡張に伴って、皇帝宮殿は中核市区の真ん中に位置することとなった。；ある書物のちょうど真ん中の文字はどれになるのかといったことが書かれている。；アメリカ支配地域とフランス支配地域との境界線はこの町の真ん中を通っていた。；石の真ん中にはトンネルがあり、トンネルを抜けるとスペースがある。；琉球棒術のように棒の真ん中を持って両側で打ち合うのが特徴である。；Mirithの西にある大きな島のほぼ真ん中に位置する巨大な砦。；真ん中の指が大きく発達しており、後ろ指はわずかに現れている程度である。；ところが川の真ん中で、カエルは背中に痛みを感じ刺されたことを知った。；大仏がドーム型の屋根の真ん中に空いた穴から頭だけ突き出して見える。；銀行の頭取クラスの老紳士がファミレスの真ん中で酒を飲んでるような印象。；胸骨の下半分、胸の真ん中に手の付け根を置き両手を重ねて、圧迫する。；真ん中にある部屋2は一箇所の出入り口で部屋3とのみ接続している。；真ん中の黒い部分が裏側の環で、地球からは観測できない範囲である。；その下の右側と真ん中奥を結ぶ道路は上側が天神北から百道へ向かう道路。；四角形の布の真ん中に穴があいていて、そこに首を通し、かぶって着用する。；この作品以降から幼虫の尾の先端の三つに分かれた突起の真ん中が立っている。</t>
        </is>
      </c>
      <c r="J7986">
        <f>HYPERLINK("https://www.weblio.jp/content/真ん中", "词义详情")</f>
        <v/>
      </c>
      <c r="K7986">
        <f>HYPERLINK("https://yourei.jp/真ん中", "查看例句")</f>
        <v/>
      </c>
    </row>
    <row r="7987">
      <c r="A7987" t="inlineStr">
        <is>
          <t>マンネリ</t>
        </is>
      </c>
      <c r="B7987" t="inlineStr">
        <is>
          <t>成功</t>
        </is>
      </c>
      <c r="C7987" t="inlineStr">
        <is>
          <t>「マンネリズム」の略。「—に陥る」「—化」</t>
        </is>
      </c>
      <c r="D7987" t="inlineStr">
        <is>
          <t>マンネリ気味(4%)；マンネリ打破(3%)；マンネリ感(3%)</t>
        </is>
      </c>
      <c r="E7987" t="inlineStr">
        <is>
          <t>習慣；慣習；通例；お決まり；慣わし</t>
        </is>
      </c>
      <c r="G7987" t="inlineStr">
        <is>
          <t>マンネリズム；マンネリング；マンネリスム</t>
        </is>
      </c>
      <c r="H7987" t="n">
        <v>29</v>
      </c>
      <c r="I7987" t="inlineStr">
        <is>
          <t>私たちは店に入りテーブルにつくと「なんたるマンネリだ」と話し合う。；マンネリになったらおしまいだということを知らなかったんじゃないかな。；一夫一婦のマンネリの性生活は速やかに夫婦間の性を鈍磨させてしまう。；読みもしないで、どうしてマンネリだと断定することができるのか。；毎日ただの30カウントじゃ マンネリだったんで変化つけたんだ!；こうなるとあっと言うまにマンネリの坂を転げ落ちることになります。；さらにまた、沢山読むからこそ、マンネリに陥っているかどうかが判るのだ。；食事はアポロのころよりは大幅に改善されていたが、味が薄く内容もマンネリだと報告された。；王道やマンネリなどくみ取り式トイレの脇に置かれている紙くらいの価値としか思えないのさ。；最初は気楽な気分で過ごしていたが、最近ではマンネリな生活に倦みきってしまっていた。；モンモランシーにかける言葉さえ、次第にマンネリになっていった。；日本の結婚制度維持のため、夫婦のマンネリ解消のため、せいぜい貢献してほしい。；できる限りマンネリな心境に陥るのは回避したいという思いが働いているのでしょう?；あるのだったら、すでにマンネリになっているはずだ。；世の中のものにマンネリを感じたようなときに、物事を新鮮に捉えるために使う。；反響を呼び4年半に及ぶ長寿番組となるが、マンネリを嫌い自ら終わりにする。；あとはいかに、その偉大なるマンネリの中に恋心を持ち続けられるか、しかない。；減少の理由としてバブル崩壊、観光施設のマンネリ化などが指摘されている。；しかし彼の作品にはプレイメイト・銃・爆発が出てきて、どれを見ても同じように見え、マンネリの為か1990年代以降は映画制作から手を引く形となった。；しかし、最近はマンネリ気味でどこか物足りなさを感じていた。；ギャグ作品を多く手がけており、マンネリを生かしたギャグの演出を得意とする。；グループセックスによってマンネリを解消しようとしたこともあったが、結局失敗に終わってしまった。；そしてランキング番組によくあったランキングやかかる曲においてのマンネリを解消するために以下のようにハンデ方式を導入していた。；いつも同じ公園でデートをしていた僕は、実は由美子はマンネリを感じているのではないかと心配し、翌月から特別な日を作ったのだ。；永山を交えての3Pに、ややマンネリになっていた森下は新鮮味を感じていた。；そういえば、あれだけ作品を書いていながら、小松さんからマンネリという感じを受けたことがない。；戦闘システムは試遊版ではオートプレイで進行する簡単な内容だったがマンネリを防ぐためシステムを一新する。；ベルリンでの在任期間が長くなってもラトルが音楽上のやりとりをドイツ語ではなくほとんど英語で行うことで誤解や演奏のマンネリを深めた可能性があると言われる。；勝新太郎も自分が思い描く通りの映画を作りたく、マンネリの人気シリーズばかりに主演する状況に不満を持って独立していた。</t>
        </is>
      </c>
      <c r="J7987">
        <f>HYPERLINK("https://www.weblio.jp/content/マンネリ", "词义详情")</f>
        <v/>
      </c>
      <c r="K7987">
        <f>HYPERLINK("https://yourei.jp/マンネリ", "查看例句")</f>
        <v/>
      </c>
    </row>
    <row r="7988">
      <c r="A7988" t="inlineStr">
        <is>
          <t>万年筆</t>
        </is>
      </c>
      <c r="B7988" t="inlineStr">
        <is>
          <t>成功</t>
        </is>
      </c>
      <c r="C7988" t="inlineStr">
        <is>
          <t>読み方：まんねんひつ
《fountain pen》ペン軸の中にインキを入れ、使用時にインキがペン先に伝わり出るようにした携帯用のペン。
[補説]1884年、米国人ウォーターマンが実用化に成功。万年筆の訳語を与えたのは内田魯庵(うちだろあん)というのが通説。</t>
        </is>
      </c>
      <c r="D7988" t="inlineStr">
        <is>
          <t>万年筆型(3%)；万年筆売り場；万年筆屋；万年筆メーカー；万年筆用</t>
        </is>
      </c>
      <c r="E7988" t="inlineStr">
        <is>
          <t>筆；ペン</t>
        </is>
      </c>
      <c r="F7988" t="inlineStr">
        <is>
          <t>高級万年筆；赤い万年筆；オノト万年筆</t>
        </is>
      </c>
      <c r="H7988" t="n">
        <v>29</v>
      </c>
      <c r="I7988" t="inlineStr">
        <is>
          <t>彼はまた、万年筆で慎重に原稿を書く習慣があることでも知られていた。；製作した万年筆を構成する部品の大半にはエボナイトが使用されている。；校正そこで待ったりしているとき出来るように一つ万年筆をかいました。；青年は小切手帳を見ると、胸のポケットから万年筆を抜いて彼に渡した。；子は万年筆を手にとつてゐる父を見ると、急に父が恐ろしくなつて来た。；胸には最高級の万年筆がさし込んであり、口には高価な葉巻きがあった。；万年筆がお嫌いだったように、新しいものはあまりお好きではないのです。；とりわけ万年筆で書くやうになつてから、文字に感じが出なくなつた。；世の中には万年筆を死ぬほど愛している人だっているかもしれない。；それに万年筆一本持って行くだけで仕事ができるのは君の商売くらいだからね。；万年筆の最上等になると一本で三百円もするのがあるとかいう話である。；日記には万年筆で思い付く事を何でも書き、授業用のメモも少なくない。；初め閣下は明治四十年に買ったという万年筆を出してお見せになりました。；箱に入れる前、この万年筆をもらった時の平目の気持を彼は想像した。；万年筆でひかれてある条の傍に更に点をうってゆくようなこともあります。；すいとり紙を持っていくのを忘れ、万年筆はもるときているんですもの。；私がこのところ研究を重ねて作りあげた万年筆型拳銃を持っていきましょう。；「別にほめたわけじゃないよ」と万年筆は面白くなさそうに言いました。；実際、どこかの万年筆売り場をお邪魔するときは今もよく使っている。；家にある物を思い泛べても、金というと万年筆のペン先ぐらいなものだ。；あの河童はちょうど一月ばかり前にわたしの万年筆を盗んだのですから。；当初はシャープペンシルや万年筆の部品を製造するメーカーであった。；現に今私がこうやって万年筆を走らしている間も、ぐうぐう寝ています。；まだ両手に書類をひらひらさせて持っており、万年筆を耳にはさんでいた。；それほど魅力的には見えていなかった万年筆が、彼の手の中で映えている。；軽井沢へも持って行ったし、伊東で仕事をするにも、この万年筆だった。；その二枚のカードのうちの一枚に、彼は万年筆で次のように書いた。；送られてきた万年筆の軸には、孫娘の姓名が金色で刻みつけられていた。；言われた彼は一瞬私を見ただけで、すぐに万年筆へ目を落とした。</t>
        </is>
      </c>
      <c r="J7988">
        <f>HYPERLINK("https://www.weblio.jp/content/万年筆", "词义详情")</f>
        <v/>
      </c>
      <c r="K7988">
        <f>HYPERLINK("https://yourei.jp/万年筆", "查看例句")</f>
        <v/>
      </c>
    </row>
    <row r="7989">
      <c r="A7989" t="inlineStr">
        <is>
          <t>万引き</t>
        </is>
      </c>
      <c r="B7989" t="inlineStr">
        <is>
          <t>成功</t>
        </is>
      </c>
      <c r="C7989" t="inlineStr">
        <is>
          <t>読み方：まんびき
［名］(スル)買い物客を装い、商品をさがすふりをして盗むこと。また、その者。</t>
        </is>
      </c>
      <c r="D7989" t="inlineStr">
        <is>
          <t>万引き事件(2%)；万引き防止；万引き対策；万引きしよ；万引き常習犯</t>
        </is>
      </c>
      <c r="E7989" t="inlineStr">
        <is>
          <t>収縮</t>
        </is>
      </c>
      <c r="G7989" t="inlineStr">
        <is>
          <t>万引きgメン；万引き家族；万引き被害；万引き防止システム；万引き癖</t>
        </is>
      </c>
      <c r="H7989" t="n">
        <v>29</v>
      </c>
      <c r="I7989" t="inlineStr">
        <is>
          <t>顧客の妻であるディキンソン夫人が店で万引きをしているらしいと話す。；私と一緒に万引きして、お互いに好きな方を選んだときのものなのだ。；となれば、万引き以外に彼があの雑誌を手に入れる方法はないはずだ。；次に彼女が万引きしたというカレールウの箱に視線を移してから言った。；最初に警察沙汰になったのは1907年に万引きで検挙された時である。；小学生にして酒を覚えたこと、古本屋で万引きした経験も告白している。；別の場所でその警備員に万引きを見つかったことがあったから。；万引きをするという目標が達成できなかったのは自分に問題がある。；翼の心も歪んでいた為か、万引きに対して何も感じていなかったのだ。；犯人は店の外に出してある一番安い花を、ひと握り万引きしていくのです。；伯母さんが警備やってるのに、なかなか万引きがなくならないんだろう。；もっとも、警察が知らないとみれば、二つやった万引きも一つにしておいた。；そんなある日のこと店に通っていた女子高生の岬が本を一冊万引きしてしまう。；ところが、私は、十時から始まるデパートで、カメラの万引きをやった。；万引きの現場を柳田に目撃されていたことに気づいた顔だった。；もし万引きできないのなら、何か悪いことしてとったお金で買ったんだろうか。；そこでめぐみは万引きを見つけられそうになったところを一人の女性に助けられる。；同選手は4月19日に百貨店で万引きを行ったとして逮捕されていた。；万引き対策の実施を知らせる簡単な掲示を行うことで万引きを抑制する。；万引きをしなかったことは立派だが、さすがにこれはいただけない。；当時より、女学生の万引き及び青年男性のパクリは問題となっていた。；女性が生理期間に万引きをしてしまう話も拙者、これまで聞いたことがある。；あの万引き事件を目撃してからすぐ後のことであった。；カナエの万引きに、法則性がないことをぼくも本人もよく知っている。；中には「買うのが恥ずかしいから万引きした」という奴もいたほどである。；はじめの万引きから、やることがだんだん悪くなってきている。；妙だとは思ったが、店内で本を持って歩いているだけじゃ、万引きとは言えない。；以前万引きをした子供の親は子供が泥棒呼ばわりされたと怒鳴り込んでくる。；酒のはしごはよく耳にするが、万引きのはしごというのは初めてであるな。</t>
        </is>
      </c>
      <c r="J7989">
        <f>HYPERLINK("https://www.weblio.jp/content/万引き", "词义详情")</f>
        <v/>
      </c>
      <c r="K7989">
        <f>HYPERLINK("https://yourei.jp/万引き", "查看例句")</f>
        <v/>
      </c>
    </row>
    <row r="7990">
      <c r="A7990" t="inlineStr">
        <is>
          <t>真ん前</t>
        </is>
      </c>
      <c r="B7990" t="inlineStr">
        <is>
          <t>成功</t>
        </is>
      </c>
      <c r="C7990" t="inlineStr">
        <is>
          <t>読み方：まんまえ
そのまっすぐ前。真正面。「車は家の—に止まった」</t>
        </is>
      </c>
      <c r="H7990" t="n">
        <v>29</v>
      </c>
      <c r="I7990" t="inlineStr">
        <is>
          <t>一方、真ん前には、あふれんばかりの光の塊りとなった監視所があった。；五円玉は真ん前の大きな背なかの老婆にどこまで行くのかと声をかける。；亜希子さんの車は家の真ん前にとまっていたのですぐ玄関にたどりつく。；真ん前に陣取って待っていた女の子が、七色の幻想に喜んで手を叩いた。；モルギフの柄がおれの真ん前にくるよう立ち、両手を揃えて中腰になる。；つまり、百合川はこのマンションの真ん前にいるということじゃないか!；しかしそのあいだに、横合いから来た電車が馬車の真ん前にとまっていた。；まるで一時間もあったのではないかと思われた時ハリーはダンブルドアの真ん前にいた。；女は自分の顔の真ん前にオレの顔を持ってきて、にっこりと笑った。；鏡に近寄って透明になったところをもう一度見たくて、真ん前に立ってみた。；教卓の真ん前の席にどっかりと陣取って、こっちをじっと見つめてくる。；吉田の顔が知らぬ間に真ん前にある姿勢になって、慌ててそこから身をそらす。；二人の男の正面、泣きながらフルートを吹き続ける女の真ん前である。；四年前には鉄道が敷かれて、わしの土地の真ん前に町ができました。；図書館は校舎の真ん前にあって、遠くもなければ危険な場所に建っているわけでもない。；その人だかりの場所が、まさに優美の住むアパートの真ん前であった。；その親友と富田アキには時計台のある地元駅の真ん前で悲劇な過去があった。；お初は腕まくりすると、彼の顔の真ん前で、ぽんとひとつ柏手を打った。；派手に地面へぶつかり、眼を開けると、真ん前に陣十郎の顔があった。；すると、さっと車が真ん前に止まって、男の人が降りてきてドアを開けるのね。；明るい東の海の真ん前に、その景色に目をつぶるような部屋を作って。；あの白いホテルの真ん前にある道で、バイクの事故を起こして。；これは茶の木稲荷の真ん前に引っくり返ったことは言うまでもありません。；ちょうど家の真ん前には灰色をした長い柵が連なっていて、釘が植えてある。；ただならぬ叫びを耳にしたディーノの鼻の真ん前を、銀の光がかすめ飛ぶ。；それは沖縄の北部、普天間基地のゲートの真ん前にある土地であった。；調整室の窓の真ん前からスタジオを見ることができて、いや、凄い迫力でした。；本郷にある楽譜屋の真ん前で、偶然正寛に出会ったのはちょうどその頃だった。；私と母が立ちどまっているのは、そのビクターの建物の真ん前だ。</t>
        </is>
      </c>
      <c r="J7990">
        <f>HYPERLINK("https://www.weblio.jp/content/真ん前", "词义详情")</f>
        <v/>
      </c>
      <c r="K7990">
        <f>HYPERLINK("https://yourei.jp/真ん前", "查看例句")</f>
        <v/>
      </c>
    </row>
    <row r="7991">
      <c r="A7991" t="inlineStr">
        <is>
          <t>真ん丸い</t>
        </is>
      </c>
      <c r="B7991" t="inlineStr">
        <is>
          <t>成功</t>
        </is>
      </c>
      <c r="C7991" t="inlineStr">
        <is>
          <t>読み方：まんまるい
［形］全くまるい。完全な円形または球形である。「—・い十五夜の月」</t>
        </is>
      </c>
      <c r="D7991" t="inlineStr">
        <is>
          <t>真ん丸い頭(10%)</t>
        </is>
      </c>
      <c r="E7991" t="inlineStr">
        <is>
          <t>丸い；円い；丸っこい；円か；円やか</t>
        </is>
      </c>
      <c r="H7991" t="n">
        <v>29</v>
      </c>
      <c r="I7991" t="inlineStr">
        <is>
          <t>目を真ん丸くしていたミチルは、光浦の姿が見えなくなると訊いてきた。；真ん丸い頭頂部から一気にたれ下がった髪は肩甲骨の下まで流れていた。；そのたびにママは目を真ん丸くさせて、私の顔をじっと見返してくる。；古い石段を下りて行くと真ん丸い広場が、まるで土の池みたいに広がっていた。；それをこらえて顔を上げると、フードの下でホロが目を真ん丸くしていた。；すべてが真ん丸い目と巨大な口を彫り込まれ、胸の手前で短い手を合わせている。；見ず知らずの人にそういわれた子供は、目を真ん丸くしてその場に固まり、動かなくなった。；窓の外では、まだ高い位置に真ん丸い月が輝いている。；私がホテルの料金をいうと目を真ん丸くして驚き、 「今まで怖い思いをしていなければそれでもいいけど」 と不満そうにいった。；日本人というのは、写真や漫画で見るときは、細い吊り目の顔が多いが、ここへ来た二人の娘は、二人とも目が真ん丸く大きい。；銀蔵はずんぐりした男で真ん丸い目に特徴があった。；可愛い顔だちで真ん丸い大きな目玉をしているくせに、その奥に意外に鋭いものがあるのを感じて、入口へ出かかって逃げ出そうとした者も、みな立止まって後ろへ下った。；記憶にある元老チュデルキンは、丸い頭を同じく真ん丸い体に乗せた雪人形のような体格だったはずだ。；ほぼ真球形の胴体に、これまた真ん丸い頭が乗っかり、まるで雪だるまだ。；わたしが聞くと、最前列の席に座っている小塚瞳さんは、目を真ん丸くしてお下げ頭をぶんぶん振った。；真ん丸く太った風体の男が入口に立っていた。；真ん丸い顔の下半分を占める真っ赤で巨大な口、同じく巨大な団子鼻、そしてスマイルマークのように弧を描いた目と眉。；黄色の長い髪、大きな唇と真ん丸い目のユニークな顔をした、赤いドレスを着たような人間の女性に近い容姿を持つメス固定ポケモン。；仕方なくまっかっかの糸を顔にあてて見せると、彼は目を真ん丸くして、 「よく似合う」 といった。；その背中が真ん丸いので、あたしは拳骨でコツコツ叩いた。；十四日の大きい月はなかぞらに真ん丸く浮き上がって、その影をひたしている大川の波は銀を溶かしたように白くかがやきながら流れていた。；階段は真ん丸い衛星ナビゲーションの受信装置を段差の向こうに見下ろす箇所にあった。；頭を大五郎みたいにされ、ほっぺたや唇はおてもやんみたいに口紅で真ん丸く塗られている。；目を真ん丸く見開いて、香子は自分の姿を見下ろそうとしてか顔を傾けたのだが、その、表情だ。；導火線に火のついた真ん丸い爆弾を、あっちのやつ、こっちのやつとあたふたしながら押しつけ合っているようなシーンを。；そう思いながら乃木は、その西欧系の顔だちをしている女の方に近づき、タレントの岸山加世子そっくりの大きな目を、一層真ん丸く開いて、まじまじと相手を見つめた。；真ん丸い鼻が、彼の容姿全体を幼く見せている。；乃木はふだんは、一見亡くなったタレントの夏目正子にそっくりの真ん丸い目玉をした可愛い子なのだが、いつのまに警視正の取り調べ方を身につけたのか、表情の全くない、仲代達哉が更に遠くの方を見ているような目で見ることができるようになった。；タイトルにある虹の谷とは、作中でフィリピン・セブ島にあるとされる谷の名で、雨季になると真ん丸い虹が浮かぶという。</t>
        </is>
      </c>
      <c r="J7991">
        <f>HYPERLINK("https://www.weblio.jp/content/真ん丸い", "词义详情")</f>
        <v/>
      </c>
      <c r="K7991">
        <f>HYPERLINK("https://yourei.jp/真ん丸い", "查看例句")</f>
        <v/>
      </c>
    </row>
    <row r="7992">
      <c r="A7992" t="inlineStr">
        <is>
          <t>身</t>
        </is>
      </c>
      <c r="B7992" t="inlineStr">
        <is>
          <t>成功</t>
        </is>
      </c>
      <c r="C7992" t="inlineStr">
        <is>
          <t>読み方：しん
［音］シン（呉）（漢）　［訓］みみずから
［学習漢字］3年
〈シン〉
１人のからだ。「身体・身長／護身・焼身・心身・全身・長身・病身・満身・裸身」
２自分。わがみ。「献身・自身・修身」
３社会的な地位や立場。みぶん。「身上(しんじょう・しんしょう)・身代／出身・前身・独身・保身・立身」
４なかみ。物の本体。「銃身・刀身」
〈み〉「身軽・身銭・身近・身分／親身(しんみ)・総身(そうみ)・中身」
［名のり］これ・ただ・ちか・のぶ・みる・む・もと・よし
［難読］文身(いれずみ)・随身(ずいじん)・正身(そうじみ)</t>
        </is>
      </c>
      <c r="D7992" t="inlineStr">
        <is>
          <t>身體；身体中；身を沈め；身を屈め；身仕度</t>
        </is>
      </c>
      <c r="E7992" t="inlineStr">
        <is>
          <t>体；身体；肉体；ボディ；体躯</t>
        </is>
      </c>
      <c r="F7992" t="inlineStr">
        <is>
          <t>抜き身；身替農道；身狭村主；身を翻えすと；身ぶるひする</t>
        </is>
      </c>
      <c r="G7992" t="inlineStr">
        <is>
          <t>身分；身長；身動き；身近；身の上</t>
        </is>
      </c>
      <c r="H7992" t="n">
        <v>29</v>
      </c>
      <c r="I7992" t="inlineStr">
        <is>
          <t>従ってこの実身数制約を拡張するためには、再設計と実装が必要である。；細かく形の特徴を表す時には、葉身の葉柄の側を脚、先端側を頭という。；いずれの分野も一朝一夕で身につくものではなく、奥の深い趣味と言える。；「法」を通し、語られた教えの中に肉身の仏をみようとしたのである。；長州藩からは下級の身分から身を起こした人物が多く運動に参加した。；ミッキーはマックが娘のために傭兵に身を落とした事情を知ってしまう。；郷里の環境に身を置くことで、ミホの神経症状は次第に回復していった。；店は売春宿で、加代は息子の希望とこの店に身を寄せていたのだった。；依頼を受けた万次は、凜と共に逸刀流との戦いに身を投じることになる。；しかし本来は臨時職である征夷大将軍の称号を生涯に渡って身に帯び続けた。；寒さから身を守るため、輪状になって体を寄せ合う群れを形成する。；つまり母衣を身に付けているのといないのでは、首の扱いに待遇差があった。；これを身に着けていれば、どんな激しい戦いの中でも身を守ってくれるという。；そのため能力を身に着けるならば自身の系統にマッチしたものが良いとされる。；ヘルシンキにいたシベリウスの友人たちは彼の身の安全を案じていた。；身を引くしかない百合は絶望して田倉家を出、希望の窯元にやってくる。；遂に天皇は病の身となってしまい、薬や祈祷をもってしても効果はなかった。；葉身が葉鞘に至るところで膨らむことがあるがここを葉耳と呼ぶ。；探偵活動の基礎技術をどこまで身につけているかについては不明確な部分もある。；歯は木を削ったり堅果類の皮をかじったり身を守ったりするために使われる。；はフアン1世が解放するまでの数ヶ月間カイロで捕らわれの身となる。；トリニティ・カレッジに復学してふたたび哲学の世界に身を置くこととなる。；これら匹人とならないものは役人の家に身を寄せて名子となった。；柔は彼らをコーチすることになるが、真由美以外は全く練習に身が入らない。；なおこの頃身を隠していた辻政信に会い、逃亡資金を渡している。；競技中はけがのおそれのあるものは身につけてはならない。；一部のトカゲは、外敵に襲われたときに身を守るために尾を自切する。；この右足対策を十分に身に付けたまま、安藝ノ海は本番を迎えたのである。；一時はホームレスとなり ホームレス緊急一時宿泊施設に身を寄せていた。</t>
        </is>
      </c>
      <c r="J7992">
        <f>HYPERLINK("https://www.weblio.jp/content/身", "词义详情")</f>
        <v/>
      </c>
      <c r="K7992">
        <f>HYPERLINK("https://yourei.jp/身", "查看例句")</f>
        <v/>
      </c>
    </row>
    <row r="7993">
      <c r="A7993" t="inlineStr">
        <is>
          <t>実</t>
        </is>
      </c>
      <c r="B7993" t="inlineStr">
        <is>
          <t>成功</t>
        </is>
      </c>
      <c r="C7993" t="inlineStr">
        <is>
          <t>読み方：さね
《「真(さ)根(ね)」の意》
１果実の中心にある堅い部分。種。
２板と板をつなぎ合わせるとき、一方の板の側面に作る細長い突起。
３陰核。
４障子や壁の下地となる骨組み。壁下地。
５根本のもの。実体。
「学問し候ふべき器量などのあるを後世者(ごせぢゃ)の—と申しあひて候ふなり」〈一言芳談〉</t>
        </is>
      </c>
      <c r="D7993" t="inlineStr">
        <is>
          <t>実朝(2%)；実数直線；実用品；実娘；実部</t>
        </is>
      </c>
      <c r="E7993" t="inlineStr">
        <is>
          <t>実際；種；事実；まったく；全く</t>
        </is>
      </c>
      <c r="F7993" t="inlineStr">
        <is>
          <t>実績；実休；実動；実軸；実射</t>
        </is>
      </c>
      <c r="G7993" t="inlineStr">
        <is>
          <t>実施；実現；実は；実験；実行</t>
        </is>
      </c>
      <c r="H7993" t="n">
        <v>29</v>
      </c>
      <c r="I7993" t="inlineStr">
        <is>
          <t>石から鉄になっても中実の砲弾ではそれほど使用法に変化はなかった。；従ってこの実身数制約を拡張するためには、再設計と実装が必要である。；一般の平面角の大きさは、単位となる角の大きさの実数倍で表しうる。；また、実のところその建設については法的根拠があるわけでもなかった。；突然一人の僧が現れ、手に持っていた梨の実を私に与えて食べさせてくれた。；ハイチは反乱軍に占拠された北と政府に維持された南とに実上分割された。；失ったものは帰ってくるのだろうか、いつか思いは実を結ぶのだろうか、と。；代表的な実時間処理による動画生成の用途はコンピュータゲームである。；任意の実でない四元数は に同型な の部分空間上にあることを見よう。；植物を栽培して花や実を収穫し、市場に売却することなどができる。；母は姉のことをもはや実の娘とはわからなくなっていた。；スロバキア人であった実の父親とは、マルチナが7歳の時に別れている。；義時はそれを聞くと幕府に参じ、政子と実朝の妻を八幡宮に逃れさせた。；ごく稀に夏から秋にかけて温度が高い時に実を結ぶことがある。；実がつかない雄花も食べることができるので、収穫して料理に利用できる。；古事記と同様に物実の持ち主の子とするならば天照大神の勝ちとなる。；投影されたのは実のところ写真ではなく、写真をもとに描かれた絵であった。；ただし、山田線内の実キロ数は旧青山トンネル経由の距離が記されている。；複素数平面上では、虚数全体は複素数平面から実軸を除いた部分である。；梅の実に付いている茎は竹串などで取り除き、傷のある実があれば除く。；これはアダムが知恵の樹の実を喉に詰まらせたとする伝説に由来する。；実部が のときに上記と同じく軌跡は繰り返し原点を通る曲線になる。；長らく理論のみで実観測例がなかったが、チリ地震で観測に成功した。；松田実によると、そのために両親や姉の溺愛を受けて育ったという。；またこの工事に合わせて、国鉄で最初の電子連動装置の実運用が開始された。；ザヒディ種はバグダードを中心に栽培されており、もっとも早く実がなる。；そのような対ふたつの和および実数倍は および で定義される。；二条種と六条種は皮が実と糊状のもので固着しており、はがすのが難しい。；例えば が実数直線 やその区間あるいは の他の部分集合などのときである。</t>
        </is>
      </c>
      <c r="J7993">
        <f>HYPERLINK("https://www.weblio.jp/content/実", "词义详情")</f>
        <v/>
      </c>
      <c r="K7993">
        <f>HYPERLINK("https://yourei.jp/実", "查看例句")</f>
        <v/>
      </c>
    </row>
    <row r="7994">
      <c r="A7994" t="inlineStr">
        <is>
          <t>未～</t>
        </is>
      </c>
      <c r="B7994" t="inlineStr">
        <is>
          <t>成功</t>
        </is>
      </c>
      <c r="C7994" t="inlineStr">
        <is>
          <t>読み方：び
⇒み</t>
        </is>
      </c>
      <c r="H7994" t="n">
        <v>0</v>
      </c>
      <c r="J7994">
        <f>HYPERLINK("https://www.weblio.jp/content/未～", "词义详情")</f>
        <v/>
      </c>
      <c r="K7994">
        <f>HYPERLINK("https://yourei.jp/未～", "查看例句")</f>
        <v/>
      </c>
    </row>
    <row r="7995">
      <c r="A7995" t="inlineStr">
        <is>
          <t>見合い</t>
        </is>
      </c>
      <c r="B7995" t="inlineStr">
        <is>
          <t>成功</t>
        </is>
      </c>
      <c r="C7995" t="inlineStr">
        <is>
          <t>読み方：みあい
［名］(スル)
１見合うこと。また、その状態。「土俵上での—が続く」
２結婚の相手を求めて、男女が第三者を仲介として会うこと。「いい人がいれば—してもいい」「—写真」
３両方がうまくつりあっていること。対応すること。「収支の—がとれる」
４囲碁で、ほぼ同等の価値のある二つの方向への着点を双方が選択できる状態。
５隣接する住宅の窓が、それぞれ相手の方向に設けられていること。互いの生活空間が見えるため、設計上、嫌われる。</t>
        </is>
      </c>
      <c r="D7995" t="inlineStr">
        <is>
          <t>見合い結婚(11%)；見合い相手(4%)；見合い話(4%)；見合い写真(3%)；見合い型</t>
        </is>
      </c>
      <c r="F7995" t="inlineStr">
        <is>
          <t>お見合い；見合いなんか；平凡な見合い；見合い船</t>
        </is>
      </c>
      <c r="H7995" t="n">
        <v>29</v>
      </c>
      <c r="I7995" t="inlineStr">
        <is>
          <t>傍から見れば、もみ合いの喧嘩でもしているように見えたかもしれない。；その服が今日の見合いのためにわざわざ作られたことは明らかだった。；そのあまりの美貌さに妹は驚き、見合いの失敗を確信するほどであった。；きわめて複雑な利害と力のからみ合いのままでこの年は暮れるであろう。；このもみ合いがどんな経緯をたどったか、ぼく自身にもよくわからない。；座席はリクライニングシートだが回転はせず、見合い型の固定式である。；見合い話の進んでいた母を、父は半ば奪うようにして結婚したのだそうだ。；今でも見合いのランデヴーには毎日のように利用されているくらいである。；森中は、過去の見合い話もすべて静子さんに依頼している可能性がある。；そのようなにらみ合いの時、本堂のほうから複数の足音が聞こえてきた。；父が見合いで母を初めてみたときに、働き者だと思ったといっていた。；見合いのような、恋愛のような形で結婚した夫が初めての男である。；これを規制しようとする制服警官ともみ合いになる場面もあった。；娘が見合いをするとき母親がついていってはならぬという話がある。；それやったらいくら見合いせい言うたかて、うんとは言えんはずやなあ。；父親と母親はピアノ会社のお偉いサンの紹介で見合いをして結婚した。；父の態度が軟化したと知り、見合いを受ける気持ちになったのだった。；そのため妹の内親王たちは形式的とは言え、見合いの場が設けられた。；そして弟は知美さんのことを忘れられないまま成長し、見合いで結婚した。；俺達が一声バラせばてめーだって明日には見合い話が沸いて出るんだぞ!；彼等はもともと過去に於てもさう親しみ合つたといふ間柄ではなかつた。；安藤は見合いだといっていたが、やはり医者の娘で、きれいな人だった。；それなら田舎に帰って見合い結婚することに、どれほどの意味があるのか。；それでも彼女は両親が選んだ青年と見合いをし、十六歳で結婚をした。；彼女は一年ほど働くと、通常の韓国の女のように見合い結婚をして会社をやめた。；男女が見合いをするようになったのは、武士の方では天保以降のことである。；座席についてはかなり以前から集団見合い式に固定された形で運用されている。；私はその人と見合いもしましたが、どんな人でしたかよくも見ませんでした。；こんなハンサムな男性が、自分の妻を見合いで選ぶとも思えなかった。</t>
        </is>
      </c>
      <c r="J7995">
        <f>HYPERLINK("https://www.weblio.jp/content/見合い", "词义详情")</f>
        <v/>
      </c>
      <c r="K7995">
        <f>HYPERLINK("https://yourei.jp/見合い", "查看例句")</f>
        <v/>
      </c>
    </row>
    <row r="7996">
      <c r="A7996" t="inlineStr">
        <is>
          <t>見上げる</t>
        </is>
      </c>
      <c r="B7996" t="inlineStr">
        <is>
          <t>成功</t>
        </is>
      </c>
      <c r="C7996" t="inlineStr">
        <is>
          <t>読み方：みあげる
［動ガ下一］［文］みあ・ぐ［ガ下二］
１下から上を見る。仰ぎ見る。「夜空を—・げる」「—・げるばかりの大男」
２りっぱであると感心する。「—・げた心がけだ」</t>
        </is>
      </c>
      <c r="D7996" t="inlineStr">
        <is>
          <t>見上げるような大男；見上げると空；見上げるような長身；見上げるような石段；見上げると天井</t>
        </is>
      </c>
      <c r="E7996" t="inlineStr">
        <is>
          <t>望む；尊敬；感心；賞賛；崇拝</t>
        </is>
      </c>
      <c r="F7996" t="inlineStr">
        <is>
          <t>じっと見上げる；驚いて見上げる；越しに見上げる；呆然と見上げる</t>
        </is>
      </c>
      <c r="H7996" t="n">
        <v>29</v>
      </c>
      <c r="I7996" t="inlineStr">
        <is>
          <t>下には僅か五六人の男女が口をあけて彼女の狂態を見上げているだけだ。；そして両手に赤と青の旗をもってそらを見上げて信号しているのでした。；そして両手に赤と青の旗をもってそらを見上げて信号してゐるのでした。；教室へ入ってくる者は決まって驚いたように天井を見上げ、何か言った。；四辺は水を打ったように静かであって誰れ一人翁を見上げたものがない。；始めから川を離れなかった荷物の連中は下から見上げて笑っている。；そして兩手に赤と青の旗をもつてそらを見上げて信號してゐるのでした。；見上げると三階建の大きな家がある、右の崖の上にも新しい家が見える。；空を見上げると、あとからあとから来ては飛んでいく雲に蔽われていた。；凜子は三歳になる息子・遊真がすべり台に上っているのを見上げていた。；二人は何という事なく顔を見合せると、改めて高い三階の窓を見上げた。；兄のレフェニュウが少し驚いた表情で見上げた眼には、不信感があった。；下の方から遠くに、他の人たちが仕事をするのを見上げるようになるんだ。；僕は 秋の夜の、目がぐらぐらするほどな 星の無数の穴を見上げて立つ。；一瞬の出来事にガニュメデスは驚愕し、目を赤くして空を見上げている。；街道が畑から見上げると二間ばかり高さの処に台になつて横たはつてゐる。；見上げると壁にかかった時計の針は七時を少し回ったところだった。；時々彼女は目をあげて、言い難い一種の安心と信頼とで彼を見上げた。；白い天井を見上げると、黒い蠅が一匹、絵に書いたように止まっていた。；豆のように小さく見えているその番兵は槍を持ってこっちを見上げている。；炎を見上げながら立ち尽くす吉野の頬を数条の涙が光っていたという。；女は化銀杏の下で、行きかけた体を斜めに捩ってこっちを見上げている。；ウルフが見上げると、たくさんの小さな黒いものがそこに浮かんでいた。；そして、忘れまいとするように、じっと若者の顔を見上げていました。；彼等はまるで空を見上げるように、おそるおそる彼の顔を見つめました。；一方のモーセも両手を天に向かって大きく広げて神を見上げている。；どうもあんまり見上げた考えとは言えないようですね、え、どうですかね?；今、自分の見ているものが信じられなくて、何度もその景色を見上げる。；市内のほとんどの場所から、その特徴的な姿を見上げることができる。</t>
        </is>
      </c>
      <c r="J7996">
        <f>HYPERLINK("https://www.weblio.jp/content/見上げる", "词义详情")</f>
        <v/>
      </c>
      <c r="K7996">
        <f>HYPERLINK("https://yourei.jp/見上げる", "查看例句")</f>
        <v/>
      </c>
    </row>
    <row r="7997">
      <c r="A7997" t="inlineStr">
        <is>
          <t>見当たる</t>
        </is>
      </c>
      <c r="B7997" t="inlineStr">
        <is>
          <t>成功</t>
        </is>
      </c>
      <c r="C7997" t="inlineStr">
        <is>
          <t>読み方：みあたる
［動ラ五（四）］さがしていたものが見つかる。「どこをさがしても—・らない」
「奉公口ふたつ—・りぬ」〈一葉・花ごもり〉</t>
        </is>
      </c>
      <c r="D7997" t="inlineStr">
        <is>
          <t>見付ける；見付け出す；めっける；めっかる</t>
        </is>
      </c>
      <c r="H7997" t="n">
        <v>29</v>
      </c>
      <c r="I7997" t="inlineStr">
        <is>
          <t>自分のいるこの部屋へはいるためのドアが、どこを見ても見当たらない。；期待してはいたが前には見当たらなかったいくつかの顔があったのだ。；誰もがレースのことを知っていても、レースはどこにも見当たらなかった。；しかし地にも空にも海にも、動くものとて何ひとつ見当たらなかった。；なぜといえば、ほかにこれと比較すべきものが見当たらぬからである。；がっしりした方形の家にはまったく特徴らしいものが見当たらなかった。；彼らに言ってやるべきことは何にも見当たらなかったではないか。；もし頭がいいならば、その事実を隠す理由は何ら見当たらないのである。；警備兵は見当たらないが、探知器が設置されていることはまちがいない。；職員室に他の教師の姿はあったが、リチャードの姿は見当たらなかった。；他に方策が見当たらない以上、不可能に思える案でも選択の余地はない。；現代の中国では使われておらず、日本の資料には用例自体が見当たらない。；こののち歴史からグレゴリウス6世の名前は見当たらなくなったとされる。；だが、どこにも、この土地に人間の住んでいた跡は見当たらなかった。；僕が思っている以上に力をつけてくれて、課題という課題が見当たらない。；以上の三種類のものがもっとも現在でも多く見当たるところのものである。；ヨーロッパや北米では種類数が少ないが、南米に大型種が見当たらない。；葉子を心の底から動かしそうなものは一つも身近には見当たらなかった。；二人が超都市に運んでこられた飛行船は、どこにも見当たらなかった。；しかし、いまだに彼女の姿もほかの人間の姿も影も形も見当たらない。；これらの過程に前田がどのような関与をしたのか記載した文献は見当たらない。；ウォーナー師の観察を確認できるような印刷物はまったく見当たらない。；さあ、よくわかったぞ、それでこの子の姿がいつも見当たらないんだ!；耳らしきものは見当たらず、小さな鼻はまるで黒いボタンのように見えた。；寝過ぎてしまったと思うが、護衛していたはずの警官達はどこにも見当たらない。；ただし、日本裁判所が台湾の判決を承認・執行する例がまだ見当たらない。；しかし近ごろは昔あったような高い籐椅子はもうめったに見当たらない。；第一に、きみのいわゆる夜盗たちが残していった証拠が見当たらない。；ユダヤ人が乗っていないヴェネツィア船はほとんど見当たらないほどだった。</t>
        </is>
      </c>
      <c r="J7997">
        <f>HYPERLINK("https://www.weblio.jp/content/見当たる", "词义详情")</f>
        <v/>
      </c>
      <c r="K7997">
        <f>HYPERLINK("https://yourei.jp/見当たる", "查看例句")</f>
        <v/>
      </c>
    </row>
    <row r="7998">
      <c r="A7998" t="inlineStr">
        <is>
          <t>見合わせる</t>
        </is>
      </c>
      <c r="B7998" t="inlineStr">
        <is>
          <t>成功</t>
        </is>
      </c>
      <c r="C7998" t="inlineStr">
        <is>
          <t>読み方：みあわせる
［動サ下一］［文］みあは・す［サ下二］
１互いに見る。見交わす。「顔を—・せて笑う」
２あれこれと見比べる。対照する。「原簿と決算書を—・せる」
３事情を考慮し実行するのを差し控えてようすを見る。「今回は出席を—・せる」
４好機を待つ。また、好機に会う。
「後(のち)は知らず、程なう世を—・せつるかな、と嬉しうて」〈栄花・見果てぬ夢〉</t>
        </is>
      </c>
      <c r="D7998" t="inlineStr">
        <is>
          <t>見合わせる事態；見合わせる閣議決定がなさ</t>
        </is>
      </c>
      <c r="E7998" t="inlineStr">
        <is>
          <t>延期；伸ばす；猶予；保留；遅らせる</t>
        </is>
      </c>
      <c r="F7998" t="inlineStr">
        <is>
          <t>当面見合わせる；一時見合わせる</t>
        </is>
      </c>
      <c r="H7998" t="n">
        <v>29</v>
      </c>
      <c r="I7998" t="inlineStr">
        <is>
          <t>僧たちは膳に手をつけず、黙って顔を見合わせるばかりであったという。；ただしこの日の決定を外部へ公表するのは、当分見合わせることにした。；一同はしばし言葉を失って、顔見合わせるよりほかはありませんでした。；三人の商人はたがいに顔を見合わせるばかりで、答えられるはずがない。；これが五十近い御夫婦かと、あきれ顔の目と目を見合わせるのであった。；夫妻はメグのほうに目が行くと、気がかりそうな表情で顔を見合わせる。；残された二人の兄弟は、しばらくはたがいに顔を見合わせるばかりだった。；それでも男女は顔を見合わせるばかりで、明快な返事をしようとはしない。；こんなに近くで顔を見合わせることは、もう何年もないことだった。；また、前述の特別番組の配信も見合わせることになったと発表された。；老いたる太陽夫婦は三宝の奴となって礼拝し、満足して顔を見合わせる。；ともかく今日はまだ決断がつかないから、会への参加は見合わせるよ。；このままがいいのだ、というと皆がきょとんと顔を見合わせるのが分かった。；二人で顔を見合わせると野口君は私の着く時日の違った不平を言った。；また晩秋の新雪期には登山経験のない人は訪問を見合わせることが妥当。；わけもわからず、とにかく走りながら、あたしたちは一瞬顔を見合わせる。；顔を正面から見合わせるように、ナオの前に鮎太は膝をついて立った。；才人たちは顔を見合わせると、楽器の中に隠しておいた杖を取り出す。；互いに顔を見合わせる彼らの表情は、泥でつくった面のように硬い。；善行と原は顔を見合わせると、次の瞬間には外に飛び出していた。；二人は顔を見合わせると、佐助が腕を伸ばし、若だんなの額に手をあてた。；何とも言いがたい顔をゆっくりと見合わせると、二人して身を乗り出した。；翌日より当駅への列車の停車を見合わせる事態となった。；二人で強張った顔を見合わせる間にも、女子生徒たちの声はどんどん大きくなる。；彼らは互いに顔を見合わせるようにしながら、ええ、とうなずいた。；「箕輪さん、みたいですね」 私が言うと、奥さん達は顔を見合わせる。；その連中がお互いに顔を見合わせるのはどういうわけか。；光に気付かれぬように、お互い顔を見合わせるモモグループであった。；きっと、ロレンスたちの姿が見えなくなったら共に顔を見合わせることだろう。</t>
        </is>
      </c>
      <c r="J7998">
        <f>HYPERLINK("https://www.weblio.jp/content/見合わせる", "词义详情")</f>
        <v/>
      </c>
      <c r="K7998">
        <f>HYPERLINK("https://yourei.jp/見合わせる", "查看例句")</f>
        <v/>
      </c>
    </row>
    <row r="7999">
      <c r="A7999" t="inlineStr">
        <is>
          <t>見入る</t>
        </is>
      </c>
      <c r="B7999" t="inlineStr">
        <is>
          <t>成功</t>
        </is>
      </c>
      <c r="C7999" t="inlineStr">
        <is>
          <t>読み方：みいる
［動ラ五（四）］
１（見入る）気をつけて見る。じっと見つめる。また、見とれる。「合格者発表の掲示に—・る」
２外から中を見る。のぞき込む。
「家ノ奥ヲ—・ル」〈和英語林集成〉
３（「魅入る」と書き、多く受身の形で用いる）執念ぶかくとりつく。たたる。「死霊に—・られる」
［動ラ下二］
１2に同じ。
「こなたに几帳(きちゃう)立てたれど、側の方より—・るれば」〈落窪・一〉
２1に同じ。
「何か来たるとも—・れねば」〈かげろふ・上〉
３面倒を見る。目をかける。
「わらはべを、—・れらうたがりて」〈枕・二八〉
４3に同じ。
「荒れたりし所に住みけむものの我に—・れけむ便りに」〈源・夕顔〉</t>
        </is>
      </c>
      <c r="D7999" t="inlineStr">
        <is>
          <t>見る；みる；凝視；見つめる；観戦</t>
        </is>
      </c>
      <c r="F7999" t="inlineStr">
        <is>
          <t>つくづく見入る；しげしげと見入る</t>
        </is>
      </c>
      <c r="H7999" t="n">
        <v>29</v>
      </c>
      <c r="I7999" t="inlineStr">
        <is>
          <t>彼女は男の頭の横に埋めていた頭を上げると、彼の顔にじっと見入った。；彼は仕事から顔を上げると、人生の満ちあふれた幸福に見入るのだった。；佐沼は相手が自分の眼を見入るようにしているのを、逆に見守っていた。；有間の家にいた頃は、眠れないときには深夜にテレビに見入っていたな。；一人静かに書物に見入るあなたのお姿は、まるで一幅の絵のようです。；指揮所の掩蔽壕に置かれた砲隊鏡で、日本軍戦車の進撃を見入っていた。；それからまた私達はしばらく無言のまま、再び同じ風景に見入っていた。；煙客翁はまるで放心したように、いつまでもこの画を見入っていました。；その時私はテレビの画面に見入りながら入り組んだ気持にさせられた。；ホームズはしばらくじっと見入っていたが、蓋をして卿の手にかえした。；説明を聞き終えてもなおしばらく蓮見は茫然と村井の顔に見入っていた。；なんだか私にはよく分らないけれども私はそれにうっとりと見入っている。；孔子は少し離れたところに一人腰を下して、じっと水に見入っていた。；この先の長い戦いの決意を固めるように、みな無言で映像に見入っていた。；彼は少し前屈みになりながら、自分の体の或る部分をじっと見入っていた。；通行人も何かのライブかと足を止めて見入り、観客の数は増えていく。；わたしは膝を抱えて、聞こえない振りをして、テレビに見入っていた。；最初の激しい衝撃が去った後、冷静に画面に見入っている千花がいる。；とりわけ心を奪われたのは草花で、花にはいちばん長く見入っていた。；若いボクサーたちは圧倒され、練習の手を休めてその姿に見入っていた。；彼は手を少しずつ伸ばし、その髪を手に取り上げてじっと見入った。；しばらく掌に見入ったかと思うと、来須は放心したように空を見上げた。；塗料の棒に見入るトラ十のからだに、わずかの隙を見出したのであった。；メリリーは殺人の間もテレビの画面に見入るなど無関心な様子だったという。；単品を飾ってあるケースに見入っている若いカップルなど話にならない。；しばらくその奇妙な絵に見入っていたが、やがて彼はそっと立ちあがった。；彼は一つの光景をながめてるのではなく、一つの幻影に見入ってるのだった。；二人は、ほかにだれもいないときに、銀貨を取り出して見入っていました。；久保は契機となった『彼の娘』の名前を知り、ただそれに見入っていた。</t>
        </is>
      </c>
      <c r="J7999">
        <f>HYPERLINK("https://www.weblio.jp/content/見入る", "词义详情")</f>
        <v/>
      </c>
      <c r="K7999">
        <f>HYPERLINK("https://yourei.jp/見入る", "查看例句")</f>
        <v/>
      </c>
    </row>
    <row r="8000">
      <c r="A8000" t="inlineStr">
        <is>
          <t>見失う</t>
        </is>
      </c>
      <c r="B8000" t="inlineStr">
        <is>
          <t>成功</t>
        </is>
      </c>
      <c r="C8000" t="inlineStr">
        <is>
          <t>読み方：みうしなう
［動ワ五（ハ四）］今まで見ていたものの所在がわからなくなる。「人込みの中で友達を—・う」「目標を—・う」</t>
        </is>
      </c>
      <c r="D8000" t="inlineStr">
        <is>
          <t>見失うまい(9%)；見失う可能性</t>
        </is>
      </c>
      <c r="E8000" t="inlineStr">
        <is>
          <t>喪失；落とす；紛失；落す；無くす</t>
        </is>
      </c>
      <c r="H8000" t="n">
        <v>29</v>
      </c>
      <c r="I8000" t="inlineStr">
        <is>
          <t>多くの人がこれがために美の目標を見失っているのではないでしょうか。；その存在に気づかないほど己を見失っていたことに改めて気づかされた。；われわれには見失ってはならぬ義務と目的があるということだったのだ。；こんな状況で自分を見失わない男性は、日本人でもあまりいないだろう。；我々はテレビのおかげで何か大事なものを見失ってしまっているんだ。；わたしは、この広大な建物のなかに一匹の昆虫のように自己を見失った。；そうだったら、船から数千キロはなれただけで、見失ってしまうはずだ。；そしてその温もりや動きは、僕が見失ってはならないはずのものなんだ。；この子を見失ってうろうろしてたら、木の陰にいるそいつを見つけたの。；私は自分でひがんでイエの姿を見失ってしまったことが一度ならずある。；いまここで、本当に憐れまねばならないものを見失ってはいけませんよ。；方向音痴は、自身のいる位置を見失いがちな性質のある人のことである。；男を見失わないように人混みをぬってついていかなければならなかった。；自分を見失う、といえば格好もつくが見失うべき自分すら知らなかった。；虫を見失ったあと、遠藤に目を戻したときにはもう完全に狂ってました。；現代はそれを見失っているのではないかと思うことがしばしばある。；だから建物を出てみたものの、すぐに自分の位置を見失ってしまった。；しかし彼は美しさや偉大さの中に自分を見失うようなことはなかった。；この巨大な惑星系の中でいったん見失えば、容易には発見できないだろう。；僕は夢中になって追いかける間に何度もその姿を見失おうとしました。；標的を見失ったクラーの発射した光弾は宇宙の果てへ飛び去っていった。；その玉太郎の姿を見失ったので、大騒ぎになったのも無理はありません。；森の中を追っているうちに、バリカイたちは、二人を見失っていたのだ。；警察の視界から出ることで、警察はプレイヤーを見失った状態となる。；帰りに送って行こうとしたものの、どうしても途中で見失ってしまう。；かつてヒルメスは生涯をかけて戦うべき敵を見失ってしまったことがある。；しばらくの間、かれら四人の姿を見失ったのではないかと心配した。；隠れていたものの姿も見失いかけたのですが、気になるものを見つけました。；ちょっと油断すれば先行者の姿は草か倒木の下に隠れて見失うのである。</t>
        </is>
      </c>
      <c r="J8000">
        <f>HYPERLINK("https://www.weblio.jp/content/見失う", "词义详情")</f>
        <v/>
      </c>
      <c r="K8000">
        <f>HYPERLINK("https://yourei.jp/見失う", "查看例句")</f>
        <v/>
      </c>
    </row>
    <row r="8001">
      <c r="A8001" t="inlineStr">
        <is>
          <t>見える</t>
        </is>
      </c>
      <c r="B8001" t="inlineStr">
        <is>
          <t>成功</t>
        </is>
      </c>
      <c r="C8001" t="inlineStr">
        <is>
          <t>読み方：まみえる
［動ア下一］［文］まみ・ゆ［ヤ下二］《「みえる」は見られるの意で、相手から見られるというところから》
１「会う」の意の謙譲語。お目にかかる。「主君に—・える」
２顔を合わせる。対面する。「両雄相—・える」
３妻として夫に仕える。「貞女は二夫に—・えず」</t>
        </is>
      </c>
      <c r="D8001" t="inlineStr">
        <is>
          <t>見えるかもしれ；見えるでしょ；見えるかも知れ；見えるだら；見えるはずです</t>
        </is>
      </c>
      <c r="E8001" t="inlineStr">
        <is>
          <t>らしい；発生；出る；思われる；考えられる</t>
        </is>
      </c>
      <c r="F8001" t="inlineStr">
        <is>
          <t>透けて見える；はっきり見える；らしく見える；若く見える；小さく見える</t>
        </is>
      </c>
      <c r="G8001" t="inlineStr">
        <is>
          <t>見えるラジオ；見える子ちゃん；見える物と見えない物；見える歴史</t>
        </is>
      </c>
      <c r="H8001" t="n">
        <v>29</v>
      </c>
      <c r="I8001" t="inlineStr">
        <is>
          <t>利用する側から見ると全く複数のコンピュータが存在するように見える。；一見不可能に見えることも再現したり、実験したりしてみせるのが特徴。；背後に見えるモン・ロワイヤル山より高いビルの建設は禁止されている。；それまでの天球図は、天球の外側から見える形で書くのが通常であった。；そんな二人を五郎は夜景の見える場所に連れ出し、感謝の言葉を述べる。；仏事と関連のあるように見える言葉が多いのは当て字によるものである。；このような状態で見える水の色を、日本語ではそのまま水色と呼んでいる。；中国と日本の利害は一致するように見えるが良いニュースは聞こえて来ない。；もともと、集団ごとの差異を論じるのはエジプトの古代絵画にも見える。；ユーザーから見れば、複数のプログラムが同時に動作しているように見える。；もしこれが本当なら月は2倍近くも大きさが変化するように見えるはずである。；ただ燃やしているチラチラ見える中には、英語の物もあったと思います。；滝の多くは水槽の裏にあるが、一部は来場者に見える形で設置されている。；町の境界線を北西を上にして見ると羊のように見えるとされている。；奥中央に見えるのは拾翠亭現在の京都御苑の南西部に旧九条邸はあった。；なぜなら用語が逆に使われているように見えるからである。；この区間は互いに隣同士の駅が見えるほど駅間距離が短い。；顔の形は耳からの長い飾り毛の為に横に広がって見える。；大きな花弁に見えるのは苞葉で、果指の部分が本当のバナナの花である。；左手に小学校が見えると、右にカーブして南下しトンネルで峠越えをする。；西洋の方法での予測が的中し見える位置、時刻ともに正確であった。；外耳は小さいが周囲の体毛が長いため、特に南部亜種では大きく見える。；このとき人間も機械も人間らしく見えるように対応するのである。；これは後退にも見えるが、当時の人材事情から来る時代の要請である。；紙幣を光源の反対側に置くと、中央部分の黒く磁気を帯びた筋が見える。；結果として、観測者に対して相対運動する時計は進み方が遅れて見える。；前方に見える高塚山や額取山が次第に近づいてくると磐梯熱海駅である。；このモデルでは大まかに言えば、宇宙はいつでも同じように見えることになる。；この機能により、様々な空間情報の相関関係が目に見えるようになった。</t>
        </is>
      </c>
      <c r="J8001">
        <f>HYPERLINK("https://www.weblio.jp/content/見える", "词义详情")</f>
        <v/>
      </c>
      <c r="K8001">
        <f>HYPERLINK("https://yourei.jp/見える", "查看例句")</f>
        <v/>
      </c>
    </row>
    <row r="8002">
      <c r="A8002" t="inlineStr">
        <is>
          <t>見送り</t>
        </is>
      </c>
      <c r="B8002" t="inlineStr">
        <is>
          <t>成功</t>
        </is>
      </c>
      <c r="C8002" t="inlineStr">
        <is>
          <t>読み方：みおくり
１見送ること。また、その人。「—を受ける」
２実行をさしひかえてようすを見ること。「昇格は—となる」
３野球で、打者が投球に対してバットを振らずにいること。「—の三振」
４相場のようすを眺めるだけで売買を手控えること。</t>
        </is>
      </c>
      <c r="D8002" t="inlineStr">
        <is>
          <t>見送り人(3%)；見送りまし；見送り客；見送り乍；見送り幕</t>
        </is>
      </c>
      <c r="E8002" t="inlineStr">
        <is>
          <t>延期；見合わせ；先延ばし</t>
        </is>
      </c>
      <c r="F8002" t="inlineStr">
        <is>
          <t>盛大な見送り；開催見送り；昇格見送り；推薦見送り；御見送り</t>
        </is>
      </c>
      <c r="H8002" t="n">
        <v>29</v>
      </c>
      <c r="I8002" t="inlineStr">
        <is>
          <t>何んの気で見送りに来たのか分らないような人たちだと婆やは思った。；そしてこの院の役人たちを御寺へお見送りにお出しになるのであった。；それぎりで客へは何の挨拶もしない、その後ろ姿を見送りもしなかった。；空港まで彼とふたりでいき、空港にはたくさんの人たちが見送りに来ていた。；却って自分が神田三河町の兄の家へ見送りに来なければならなくなった。；入口は空港へ向かうほどには急ぐ必要がないとみて見送りとされた。；伊予和田駅には彦一を見送りにきた妻の邦子と二人の子供の姿もあった。；たね子は夫を見送りながら、ちょっと憂鬱にならずにはいられなかった。；出発の日は見送りにゆくつもりでいるという風にかいてありました。；病院であれば、患者が亡くなった後、お見送りするまでを含めていう。；知り合いが見送りに来ていないかと、首藤は今更ながら岸を探してみた。；例によつて濱邊には見送りの島の者がずらりと竝んで別を惜しんでゐる。；公園へむかう二人を見おくり、キューピットは日よけの上でつぶやいた。；女どもはそれを見送り果てて、いずれも泣く泣く元の洞へ帰って行った。；元親はそれを見おくりながら、会心の微笑とともにつぶやいたのである。；また、強化委員会の一部からも派遣見送りを疑問視する声があがった。；サービス時間が終了すると、最後に付いた女性の見送りを受けて退店する。；屋根となる部分の色や、見送りの柄などは地区ごとに様々である。；柏の木はみんな踊のままの形で残念そうに横眼で清作を見送りました。；明智小五郎は、それを見送りながら、ふとある恐ろしい疑いに打たれた。；例によって浜辺には見送りの島の者がずらりと並んで別を惜しんでいる。；理由は省くが、普通の見送り人ではない一種妙な感情家にならされた。；トクヨがイギリスに出発した時には、道明は横浜港まで見送りに行った。；間もなく彼はSの町へ帰りましたが、わたしはそれを見送りもしませんでした。；寄席の終演後には、出演した落語家がロビーで観客の見送りに出ている。；この人もきっと会社の人で、上役が旅行をするのを見送りに来たのに違いない。；町の人々は顔をしかめて、そのあわれな子供の後ろ姿を見送りました。；帽子もない法衣のうしろ姿を見送りながら私は大きな声で呼びかけた。；静子夫人は僕を見送りもせず、坐ったままで、ぼんやり窓の外を眺めていた。</t>
        </is>
      </c>
      <c r="J8002">
        <f>HYPERLINK("https://www.weblio.jp/content/見送り", "词义详情")</f>
        <v/>
      </c>
      <c r="K8002">
        <f>HYPERLINK("https://yourei.jp/見送り", "查看例句")</f>
        <v/>
      </c>
    </row>
    <row r="8003">
      <c r="A8003" t="inlineStr">
        <is>
          <t>見送る</t>
        </is>
      </c>
      <c r="B8003" t="inlineStr">
        <is>
          <t>成功</t>
        </is>
      </c>
      <c r="C8003" t="inlineStr">
        <is>
          <t>読み方：みおくる
［動ラ五（四）］
１遠ざかる物や人をその後方で眺める。「飛行機を—・る」「玄関先で客を—・る」
２訪れた人が帰るのにある場所までついていく。「ちょっとそこまで—・るよ」
３出発する人をその場所まで行って送る。「駅で友人を—・る」
４人が死ぬまで世話をする。「親を最期まで—・る」
５葬送する。「亡き母を—・る」
６やりすごす。さしひかえる。「バスを一台—・る」「好球を—・る」
７今、事を行うのは不利と考えて、そのままにしておく。「時期尚早で計画は—・られた」
８相場の見通しがつかないために売買を手控える。「新株の買いを—・る」</t>
        </is>
      </c>
      <c r="D8003" t="inlineStr">
        <is>
          <t>見送ることしかでき；見送るべく</t>
        </is>
      </c>
      <c r="E8003" t="inlineStr">
        <is>
          <t>伴う；送る；同行；行かない；別れる</t>
        </is>
      </c>
      <c r="F8003" t="inlineStr">
        <is>
          <t>呆然と見送る；じっと見送る；見送るしかない；振って見送る；当面見送る</t>
        </is>
      </c>
      <c r="H8003" t="n">
        <v>29</v>
      </c>
      <c r="I8003" t="inlineStr">
        <is>
          <t>私は何にも気がつかずに廊下へ出て行くその人の後姿を見送つてゐます。；仕方なく教室から出て行くクラスメイトを横になりながら見送ることに。；朝出かけて挨拶をし、花やで見送るときもってゆく花をさがしたがない。；なお、再放送時に局側の判断で放送が見送られた作品は無数に存在する。；導入は見送ったものの、爾後の導入の可能性を含めて研究は続けられた。；実際に披露された曲の内、後述するいくつかの曲の収録が見送られた。；他の水主たちの家族も何人か見送る中に、なぜか琴の姿が見えなかった。；荷物を抱いてただ目を見開いて船が出ていくのを見送ることしかできない。；そしてビルの世話をするために家を出て行くアンをジェームズは見送る。；しかしこの決定にGHQから待ったがかかり、自殺説発表は見送られた。；エリクソンは何も言葉を返す事が出来ず、彼女をただ見送るのであった。；ハルゼーの更迭も考えられたが、国民的人気などを考慮して見送られた。；雄は初子の身体を強く抱きしめ、家族だけに見送られて自宅を後にする。；主人と監督と見張りは、黒人たちが飛んでいくのを見送るばかりだった。；秋のよく晴れた日、私は妻や子供達と、横浜の桟橋まで長男を見送った。；人々は振返って自然から今切り取ったばかりのようなこの男を見送った。；私は外に立って、右と左とへ別れて馳せ去ってゆく二台の俥を見送った。；その光を見送ることが出来るのは、南に川を渡った沿いにある田園だ。；なお、参考人招致は中田の予定を確認せずセットされたため見送られた。；明らかに、あの人は、われわれの出発を最後まで見送ろうとはしないのだ。；さすがに見ぬ顔もできないので、葬式には近所の人が五、六人見送った。；其処まで見送るつもりで、私は友人親子と今一人の女客と共に宿を出た。；また、参加申請を見送ったのが判明しているのは以下のとおりである。；海のうえに広がる空のなかの、小さな点になるまで、彼らは見送った。；見送ると並ぶ軒下から頭の影だけが斜に出て、蕎麦屋の方へ動いて行く。；加藤は、ふたりを見送る人たちとやや離れたところで、黙って立っていた。；それを見送ると山崎はやれやれとため息をつきつつベッドに横になった。；それを受け入れた康はユリに見送られながら遺跡へと入っていくのだった。；パンタグラフの移動機構や、移動心皿方式台車の採用も見送られている。</t>
        </is>
      </c>
      <c r="J8003">
        <f>HYPERLINK("https://www.weblio.jp/content/見送る", "词义详情")</f>
        <v/>
      </c>
      <c r="K8003">
        <f>HYPERLINK("https://yourei.jp/見送る", "查看例句")</f>
        <v/>
      </c>
    </row>
    <row r="8004">
      <c r="A8004" t="inlineStr">
        <is>
          <t>見落とす</t>
        </is>
      </c>
      <c r="B8004" t="inlineStr">
        <is>
          <t>成功</t>
        </is>
      </c>
      <c r="C8004" t="inlineStr">
        <is>
          <t>読み方：みおとす
［動サ五（四）］見ていながらそれに気づかずにいる。見もらす。見過ごす。「スクイズのサインを—・す」「問題の本質を—・す」</t>
        </is>
      </c>
      <c r="D8004" t="inlineStr">
        <is>
          <t>見落とすまい(10%)；見落とす可能性(3%)</t>
        </is>
      </c>
      <c r="E8004" t="inlineStr">
        <is>
          <t>落とす；落す；見逃す；漏らす；見のがす</t>
        </is>
      </c>
      <c r="H8004" t="n">
        <v>29</v>
      </c>
      <c r="I8004" t="inlineStr">
        <is>
          <t>彼女はわたしが見落としていたものを発見し、最後にここにやってきた。；何かを見落としている気はするのだが、しかしその何かとは、何なのか。；自分が見落としていた重要なことを指摘されたような気がしたからだ。；重要な事を見落としている気がしたが、どうしても理由が判らなかった。；現場検証は半年も前に終わっているから、証拠の見落としはないだろう。；一部の担当職員が、書類を見落としていたことが原因と見られている。；注意して観察していなければ見落としてしまいそうな自然さだった。；地図の上でその町名は見落としそうなほど小さな文字で書かれていた。；眠っているあいだに大事なものを見落としたりはしなかったはずだ。；考え方そのものはよかったのですが、見落としていた点があるのです。；見落としているだけで、秘密のルートが必ずどこかにあるに違いない。；警察が見落としていたような新しい観点の推測がじゃんじゃん出てくるか?；警視の説明は見事なようでいて、どこかにまだ見落としがありそうだった。；そしてその見落としがあるせいで旅行になんていけないんだ、と考えていた。；その眼は何も見ていないようでも、じっさいは何も見落とさないのである。；その作業をしながら、ひろみは自分の見落としに青くなりはじめていた。；言われてみれば当たり前のことで、あまりにも単純で私は見落としていた。；そんな風に直視できずにいるから、何かを見落としているのだろうか?；専門家の蓑田先生じゃなければ、だれもが見落とすような刺し傷だった。；帰るのを見落とさないように、そこから三〇分ごとに電話かけてね。；私は天吾の姿を求めて、どんな些細なことも見落とすまいと努めている。；ただ、その背後にあるものを見落としているとしか私には思えない。；それとも、何か見落としている可能性があるとでも言うのだろうか。；見落としや都道府県ごとの差も見られ、今後改善していくとしている。；それはあたりまえの物で、簡単に見落とされそうな物でなければならない。；われわれは、あいつの動きを、ひとっかけらだって見落としていません。；さらにもうひとつ、従来は見落とされていた注目すべき事実がある。；何か見落としている気はしたが、それは漠然とした不安みたいなものである。；ひょっとすると、自分はなにか重大な見落としをしていたのではあるまいか。</t>
        </is>
      </c>
      <c r="J8004">
        <f>HYPERLINK("https://www.weblio.jp/content/見落とす", "词义详情")</f>
        <v/>
      </c>
      <c r="K8004">
        <f>HYPERLINK("https://yourei.jp/見落とす", "查看例句")</f>
        <v/>
      </c>
    </row>
    <row r="8005">
      <c r="A8005" t="inlineStr">
        <is>
          <t>見劣り</t>
        </is>
      </c>
      <c r="B8005" t="inlineStr">
        <is>
          <t>成功</t>
        </is>
      </c>
      <c r="C8005" t="inlineStr">
        <is>
          <t>読み方：みおとり
［名］(スル)
１他のものと比較して劣っているように見えること。「一流店の品と比べても—しない」
２予想より劣って見えること。
「まことかと見もてゆくに、—せぬやうはなくなむあるべき」〈源・帚木〉</t>
        </is>
      </c>
      <c r="D8005" t="inlineStr">
        <is>
          <t>見劣りするもの(5%)；見劣りする点；見劣りする結果；見劣りする物</t>
        </is>
      </c>
      <c r="F8005" t="inlineStr">
        <is>
          <t>比べて見劣り；大きく見劣り；比べると見劣り；かなり見劣り；若干見劣り</t>
        </is>
      </c>
      <c r="H8005" t="n">
        <v>29</v>
      </c>
      <c r="I8005" t="inlineStr">
        <is>
          <t>そんなもんこの刀身の前に何をつけたところで見劣りしてしまうだろう。；芸術面の実績が輝かしいだけに他の方面が目立って見劣りするのである。；他人より優れているように振舞いたがる人間は後々見劣りするであろう。；非常に貧乏なクラブで、当時所属していた3部の中でも見劣りしていた。；昔の品を熟知する者にとっては、見劣りがしてならないからであります。；それに、僕の皿に盛ってある料理に較べると見劣りがするじゃあないか。；多分、俺が今持っている剣だってそれに比べれば数段見劣りするんだろう。；背丈は同年齢の男と比べても見劣りせず、また四肢も引き締まっていた。；彼が生まれ育った宮殿とくらべれば、どこだって見劣りして当たり前だ。；一瞬の切れでは見劣りしても「スピードを持続できる」馬に適している。；それが、信長の代になると、他に比べて見劣りせぬほど強壮になった。；その頃はそれほど見劣りも為なかつたかも知れぬが、今日ではどうにもならない。；江戸時代の鎖国によってその技術は西洋に比べて見劣りするようになった。；ただ一番見劣りがして来たのは金具の部分で、段々細く瘠せて来ました。；夫は脊椎側彎症のため容姿は見劣りしたが、夫婦仲は比較的良好だった。；もしまた近隣よりもはるか見劣りする店ではもちろんよろしくない。；多少よくなって来たが、それでも近所の麦畑の中で一番見劣りする。；エンジンが非力なため速度性能や運動性能は当時の他国機に比べて見劣りした。；将軍様のお城よりはうんと小さいけれど、美しさでは見劣りしないと思う。；第一次世界大戦を経て近代化されていた諸外国の陸軍に比べ日本の装備は見劣りがしていた。；県大会と比べたら、タイムはかなり見劣りするものであったけれど。；鉄のように固かった彼の体に、さほど見劣りはしないだろうと思う。；決して仏式に比べて見劣りするようなもんじゃありませんから。；ぼくは当然「その他・一般」なのだが、「その他・一般」は見劣りがする。；そこより少し見おとりのするほうの宿屋では、二号室はナゾだった。；他の閣僚たちはユミコス首相ほど若くはなく、また容貌も見劣りがした。；ほんものにくらべてはだいぶ見劣りするが、しかし使えないことはない。；東京のどんな男にくらべても、見おとりしないほどの美男であった。；オチャーコフは航続距離や装備の面で若干他艦より見劣りがした。</t>
        </is>
      </c>
      <c r="J8005">
        <f>HYPERLINK("https://www.weblio.jp/content/見劣り", "词义详情")</f>
        <v/>
      </c>
      <c r="K8005">
        <f>HYPERLINK("https://yourei.jp/見劣り", "查看例句")</f>
        <v/>
      </c>
    </row>
    <row r="8006">
      <c r="A8006" t="inlineStr">
        <is>
          <t>見覚え</t>
        </is>
      </c>
      <c r="B8006" t="inlineStr">
        <is>
          <t>成功</t>
        </is>
      </c>
      <c r="C8006" t="inlineStr">
        <is>
          <t>読み方：みおぼえ
以前に見た記憶があること。「その筆跡には—がある」</t>
        </is>
      </c>
      <c r="D8006" t="inlineStr">
        <is>
          <t>見覚えのある風景；見覚えのある人影；見覚えの無い；見覚えのある景色；見覚えのある後ろ姿</t>
        </is>
      </c>
      <c r="H8006" t="n">
        <v>29</v>
      </c>
      <c r="I8006" t="inlineStr">
        <is>
          <t>その顔には妙に見覚えのある感じがしたが、誰なのかはわからなかった。；それにそのとき訪ねて来た男が、どこかで見覚えのある男なんですよね。；顔は見覚えのある家の近所の何とかいう児だが、言ってる事が分らない。；君は向うの顔を見おぼえただろうが、向うだって君の顔をおぼえたろう。；きみはいくつ顔をもっているかしらないが、この顔にも見おぼえがある。；物置の奥に見覚えのない扉を見つけ、その奥に進むとそこは湖の修道院。；昌作が見るともなく眼をやると、その中に見覚えのある顔が一つあった。；私は赤犬の眼を見つめているうちに、なんだか見覚えがあるなと思った。；その手紙を読みながら、彼はふとその文字に見覚えがあるような気がした。；彼はそれを下へ下ろし、開いても見たが全然見覚えのないものだった。；すべての人の目はジュリアンにも見覚えのある一人の人を追っていた。；弁護士は、それではこの奥さんに見覚えがありますか、と医師に尋ねた。；しかも私はなぜその男の顔に見覚えがあるのかはっと気がついたのである。；何より驚いたことに、鎖についていたのは見覚えのある金色の鍵だった。；ようやく見おぼえのある場所へきたが、そこはもう畑ではなくなっていた。；すると前方から見覚えのある聖機人が一体、こちらに向かって飛んできた。；かれは残りの階を急いで降りてゆき、見覚えのある中央通路に達した。；どつかしら、その女の身體つきに見おぼえがあるような氣がしたのです。；そこにあったのは、これ以上ないくらいに見覚えのある顔だったから。；見覚えのない記事が載っていることに気づいたのはそのときであった。；幕の所へ寄ってのぞいて見たが、その男の顔に見覚えのある気がした。；では彼子は国にゐた時分、七八歳だつたから、僕の顔を見覚えない筈だ。；人々は彼を知っていると言ったり、彼の顔を見おぼえていると言ったりした。；匂いを辿って走っては来たが、ずっと見覚えのある道を進んでいたはずだ。；白い靄のかかっている早い朝、役所の連中と行って見おぼえた道である。；見覚えのある太い門柱が、陽を浴びて立っているのが眼に入ってきました。；二十数年にもなろうか、この寺の門は彼の見覚えのあるものだった。；背のいくらか低い若いほうの男の顔に、そう言えばかすかに見覚えがあった。；制服には見覚えがあったが、木場はそれがどこの制服なのか知らなかった。</t>
        </is>
      </c>
      <c r="J8006">
        <f>HYPERLINK("https://www.weblio.jp/content/見覚え", "词义详情")</f>
        <v/>
      </c>
      <c r="K8006">
        <f>HYPERLINK("https://yourei.jp/見覚え", "查看例句")</f>
        <v/>
      </c>
    </row>
    <row r="8007">
      <c r="A8007" t="inlineStr">
        <is>
          <t>見下ろす</t>
        </is>
      </c>
      <c r="B8007" t="inlineStr">
        <is>
          <t>成功</t>
        </is>
      </c>
      <c r="C8007" t="inlineStr">
        <is>
          <t>読み方：みおろす
［動サ五（四）］
１上方から下の方を見る。「山頂から平野を—・す」
２見さげる。あなどる。「人を—・した横柄な態度」</t>
        </is>
      </c>
      <c r="D8007" t="inlineStr">
        <is>
          <t>見下ろす小高い丘；見下ろす高い；見下ろす高さ；見下ろすような位置；見下ろす丘陵上</t>
        </is>
      </c>
      <c r="E8007" t="inlineStr">
        <is>
          <t>見下す；軽視する；蔑む；侮る；軽んじる</t>
        </is>
      </c>
      <c r="F8007" t="inlineStr">
        <is>
          <t>見下ろす高い崖</t>
        </is>
      </c>
      <c r="H8007" t="n">
        <v>29</v>
      </c>
      <c r="I8007" t="inlineStr">
        <is>
          <t>ちょうど、ビルの三階ぐらいから地上を見下ろしたような調子であった。；窓から外を見下ろす彼の背中に彼の顔のイラストがオーバーラップする。；そして、その二人に見下ろされるようにして床に正座させられている奴。；窓から外を見下ろすと、大勢の人が歩いている様子が上から俯瞰できる。；窓から見下ろすと男がドアの外に立って誰かが開けるのを待っていた。；視点が高くなり、寺院の高い屋根の上から見下ろしているように見える。；それを見下ろしながら、僕は父親の行動を想像のなかに再現してみた。；彼の上から、シルエットになった緑の影が、われわれを見下ろしていた。；一瞬かれはそこが窓になっていて、手術室を見下ろしているのだと思った。；見下ろせば逆に低くなるが、見下ろさない限りどんどん高くなってゆく。；見下ろせば逆に低くなるが、見下ろさない限りどんどん高くなってゆく。；その部屋の天井の丸窓から中を見下ろしているような感じだった。；あの野原を見下ろしてみろよ、鉄砲をもった二人の男が目に入らんのか?；階段の上は吹き抜けとなっており、一階の廊下を見下ろすことができた。；墓地と白色の高い十字架の向こうには、周囲を見下ろす塔が立っている。；こめかみを指で支えながら、テーブルの縁のあたりをぼんやり見下ろす。；そんな人間の少年を見下ろす神の美貌は、すこしだけ以前の彼に似ていた。；エヴァは勝ち誇って竜の死体を見下ろしている女騎士のような気がした。；この部屋は教会の二階にあり、出窓からは隣の家を見下ろすことができる。；いまその水の面には船が浮かんでいて見下ろす者の目を捉えた。；あの額があそこつからおれ達を見下ろしてるつていふのは妙なものだなア。；階は観客の入り口で、入り口はホールの内部を見下ろすことができます。；見下ろすとやつは、石にでもなったかのようにその場に立ちつくしている。；裸の身体を見下ろして、彼は自分がどんなに骨と皮ばかりになったかを知った。；建物の群に見下ろされながら、おれは人の流れに乗って歩いていく。；彼女は相変わらず、ぼんやりした顔で、自分の自転車を見下ろしている。；フィールド上は一般的なRPGのように上方から見下ろした画面となる。；通常のレースゲームとは違い、見下ろし視点で操作するのが特徴である。；俺は他の本とは別にされている『第八巻 それから』を見下ろした。</t>
        </is>
      </c>
      <c r="J8007">
        <f>HYPERLINK("https://www.weblio.jp/content/見下ろす", "词义详情")</f>
        <v/>
      </c>
      <c r="K8007">
        <f>HYPERLINK("https://yourei.jp/見下ろす", "查看例句")</f>
        <v/>
      </c>
    </row>
    <row r="8008">
      <c r="A8008" t="inlineStr">
        <is>
          <t>未開</t>
        </is>
      </c>
      <c r="B8008" t="inlineStr">
        <is>
          <t>成功</t>
        </is>
      </c>
      <c r="C8008" t="inlineStr">
        <is>
          <t>読み方：みかい
１文化・文明がまだ十分に発達していないこと。「—の奥地」
２土地がまだ開拓されていないこと。「—の荒野」
３仕事や研究のある分野がまだ開拓されていないこと。「—の領域」
４花がまだ咲かないこと。「—のままのつぼみ」</t>
        </is>
      </c>
      <c r="D8008" t="inlineStr">
        <is>
          <t>未開民族(8%)；未開時代(2%)；未開状態；未開部族；未開惑星</t>
        </is>
      </c>
      <c r="F8008" t="inlineStr">
        <is>
          <t>未開土</t>
        </is>
      </c>
      <c r="G8008" t="inlineStr">
        <is>
          <t>未開社会；未開拓；未開野蛮；未開の入江</t>
        </is>
      </c>
      <c r="H8008" t="n">
        <v>29</v>
      </c>
      <c r="I8008" t="inlineStr">
        <is>
          <t>この星には未開ながらも、われわれのあまり知らないことがあるのです。；しかし未開の地に長く住んでいるハリーの耳は私よりも鋭いのだろう。；未開の社会では多少一般より知識才能ある婦人が産婆をしたからであろう。；昔と今と、未開と文明とを問はず、子供たちの住む世界は共通してゐる。；いくら未開民族だって、あの祭司を見れば一と目で死んでいるのが判る。；船みたいなもので交通しなければならぬほどの未開な火星ではない!；未開の地と言われどのような種が住んでいるか未だにすべて確認されていない。；しかしわれわれは、この非合理的な未開民族を嘲笑することはできない。；石の時代が、今とくらべて未開で貧しいということはないようであった。；この未開の土地で孤立無援の彼女には数多くの危険が襲うかもしれぬ。；広大な未開の地に、住んでいるのは、ひとにぎりのアイヌ族だけだった。；それは、どこか未開の土地で、狩か何かしているようで、二人は興奮した。；未開から文明への変化は単純から複雑への変化の一つである。；船みたいなもので交通しなければならぬような、そんな未開な火星ではない。；このときアメリカには、まだたしかに未開のフロンティアが残されていた。；文明に対する野蛮・未開な状態と同様の意味に用いられる場合もある。；道路と木の柱の列は、文明と未開とを結ぶあやふやな線のように思われてくる。；だから、この島で魔女と言ったら、それは広大な未開の森の主を指す。；そしてあの河をこえた向こうの、名も知れぬ未開の人間たちともくらべた。；ジェファーソン大統領は、この未開の地を調査する必要性を感じていた。；紛争の影響でこれまでは未開であったが、今後の開発が期待される。；しかしこんな未開の僻地まで、教えを伝えに来るとはもう驚くだけであった。；これは未開から文明への最も初期的な段階の一つだというのがわたしの見解である。；北部の多くの者にとって、奴隷社会の未開さを絵に描いたような事件であった。；その上戦争はこうした未開地方では依然として慢性的につづいていた。；これは雑草が生い茂る未開の荒地であったことから命名されたものである。；しかしこの未開の島にある、ありとあらゆる形態の死に自ら接近して行った。；この部落の中の、未開な生活の単調さが、堪えがたいものになってきた。；さらに主人公はハンググライダーで空を飛び、未開の島へとたどり着く。</t>
        </is>
      </c>
      <c r="J8008">
        <f>HYPERLINK("https://www.weblio.jp/content/未開", "词义详情")</f>
        <v/>
      </c>
      <c r="K8008">
        <f>HYPERLINK("https://yourei.jp/未開", "查看例句")</f>
        <v/>
      </c>
    </row>
    <row r="8009">
      <c r="A8009" t="inlineStr">
        <is>
          <t>磨く</t>
        </is>
      </c>
      <c r="B8009" t="inlineStr">
        <is>
          <t>成功</t>
        </is>
      </c>
      <c r="C8009" t="inlineStr">
        <is>
          <t>読み方：みがく
［動カ五（四）］
１物の表面を研いでなめらかにする。「レンズを—・く」
２こすって汚れをとったり、つやを出したりする。「歯を—・く」「床を—・く」
３念入りに手入れをして美しくする。「肌を—・く」
４努力して学問や芸をますます上達させる。「腕を—・く」
５栄えを増す。光彩を加える。
「対の上の御もてなしに—・かれて」〈源・若菜上〉
[可能]みがける</t>
        </is>
      </c>
      <c r="D8009" t="inlineStr">
        <is>
          <t>磨くべし</t>
        </is>
      </c>
      <c r="E8009" t="inlineStr">
        <is>
          <t>洗練；研磨；擦る；推敲；リファイン</t>
        </is>
      </c>
      <c r="H8009" t="n">
        <v>29</v>
      </c>
      <c r="I8009" t="inlineStr">
        <is>
          <t>そして僕だってもし必要なら、あの人の靴を磨いて上げてもいいんです。；この先腕を磨いていけば、いつかはこの男に勝てる日がくるのだろうか。；俺も一度だけ、四十二年前にこれと同じタイプの靴を磨いたことがある。；窓はあの磨かれた板張りの廊下に沿って並んでいた部屋のものに違いない。；はじめが磨いているのは自分の身体ではなくつばさ先輩の身体なのだから。；しかし玉を磨く前に腕を磨かねばならないのは言うまでもありません。；何時まで経っても研究のための実験であり技術を磨くための練習であった。；この世に誰でも光を持って生まれてくるが、玉も磨かざれば濁ってくる。；そのためにセシリアは己の能力を磨く事には人一倍の努力を傾けていた。；相当はき古してあるが、ごく最近磨いてあることも、一見してわかった。；こうした商人たちとの交渉を通じて実業家としての才能を磨いていった。；しかし壁は滑らかに磨いてあり、三〇〇メートルあるのも同然であった。；きみこそ、腕にそんなものをくっつけて、どうやって歯を磨いてるんだ?；好きな家具や調度を磨いたり眺めたりするのが唯一の道楽のようである。；作家は自分の顔を映しながら鏡を磨く、彼の鏡師のやうなものであります。；殺された彼女が毎日毎日、食器を磨くために使っていた布だと確信できた。；キャサリンが床を磨いていた時、誰かがドアをノックする音が聞こえた。；この街で暮らしていれば、そういうカンだけは嫌でも磨かれていくのだ。；どちらも水で磨くのが基本だが、薄めたアルコールを用いる方法もある。；きれいに磨かれたガラスの壁面にはわずかな傷さえついていないようだった。；毎日が二日酔いなので、まず歯を磨いている時に軽い吐き気に襲われる。；ピカピカに磨かれた木目調の通路が広がるだけで、動くものは何もない。；間に横たわる海の様子は生銀板が太陽の手で磨かれるのを待っているかのよう。；彼は横笛が上手で、それをさらに磨くことをツアーの目的の1つとした。；自分の手にかける手錠を自分で磨くのだからこれ以上の皮肉はない。；朝起きてすぐじゃなく、朝ごはんの後で歯を磨いた方がいいんじゃない?；しかしこれは磨いた後で手の型がつくから、よくよく拭き込まねばならぬ。；その写真を見上げ、それからそっと執務机の磨かれた木の表面をなでる。；あたしたちはその家の人々が起きてくる前に公園に戻り、トイレで歯を磨いた。</t>
        </is>
      </c>
      <c r="J8009">
        <f>HYPERLINK("https://www.weblio.jp/content/磨く", "词义详情")</f>
        <v/>
      </c>
      <c r="K8009">
        <f>HYPERLINK("https://yourei.jp/磨く", "查看例句")</f>
        <v/>
      </c>
    </row>
    <row r="8010">
      <c r="A8010" t="inlineStr">
        <is>
          <t>見かけ</t>
        </is>
      </c>
      <c r="B8010" t="inlineStr">
        <is>
          <t>成功</t>
        </is>
      </c>
      <c r="C8010" t="inlineStr">
        <is>
          <t>読み方：みかけ
外から見たようす。外側から見た印象。外見。外観。うわべ。「—にだまされる」「—はうまそうだ」</t>
        </is>
      </c>
      <c r="D8010" t="inlineStr">
        <is>
          <t>見かけ上(5%)；見かけられる(2%)；見かけまし；見かけなく；見かけたら</t>
        </is>
      </c>
      <c r="E8010" t="inlineStr">
        <is>
          <t>顔；姿；表面；格好；外観</t>
        </is>
      </c>
      <c r="F8010" t="inlineStr">
        <is>
          <t>偶然見かけ；見かけよりずっと；見かけませんでし；見かけた人；見かけ申し</t>
        </is>
      </c>
      <c r="G8010" t="inlineStr">
        <is>
          <t>見かけの等級；見かけの二重星；見かけれ；見かけん；見かけよ</t>
        </is>
      </c>
      <c r="H8010" t="n">
        <v>29</v>
      </c>
      <c r="I8010" t="inlineStr">
        <is>
          <t>つまり見かけ上は対生する葉のところから根が出ているように見える。；各点の大きさは主星の見かけの明るさに対応しており、小さいほど暗い。；街で見かけた気になる奥さんの夫を訪問するバラエティー番組である。；生息地での生息数が多いようで民家の庭先などでも見かけられるという。；上記のような共通の特徴は認められるが、実際の見かけは非常に様々である。；日本以外で実際にこの製品が売られているのを見かけたという報告はない。；山の修行者がよく見かけたといわれ、山鬼が玩具にしていた物ともいう。；それなのに、この付近一帯に牛の姿は一頭も見かけないのも不思議だった。；このため、その集団の見かけ上の遺伝子の進化速度が速まることになる。；景気回復時には見かけ上での労働生産性の伸びが高めに出る傾向がある。；しかし、残念ながら5年以上も放置されているケースが見かけられます。；波打つので、見かけ上は押し合って南北に上下しているように見える。；見かけ上の年齢や知能は他の訓練生と同程度だが、実年齢は5歳ぐらい。；なお古典的なアイピースは、その多くが40度前後の見かけ視界である。；視線速度は、見かけ上ではなく、実際に恒星が移動している速度を表す。；小さい個体は手に入りやすいが、大きな個体はなかなか見かけない。；しかし大連市内は坂が多いため、元々自転車の姿はあまり見かけない。；夜の猟を終えて帰る途中、与市兵衛が死んでいるのを見かけたのだという。；頻繁には見かけられないが、こちらも息の長い商品となっている。；従って新しい理論はしばしば古い理論の見かけをもっている。；現代の日本では観光用や祭礼用などを除いてほとんど見かけられなくなっている。；枝先まで登っていって、そこから羽を広げて飛び立つのがよく見かけられる。；当初は女性的な言葉遣いが目立ったが、中盤以降はほとんど見かけない。；分離公理のほとんどは意味は同じだが見かけの違う定義の仕方をすることがある。；そして、その中にはあの晩見かけた少年・ロックの姿があった。；ベーマガ休刊から十数年を経ても登場人物の見かけや設定が変わっていない。；見かけの大きさが小さいため、視覚的に研究することは困難である。；このため20世紀初頭の物体を測定すると見かけの年代が実際より古くなる。；そのため、同じ軟骨魚類のサメ類とは全く異なった見かけをしている。</t>
        </is>
      </c>
      <c r="J8010">
        <f>HYPERLINK("https://www.weblio.jp/content/見かけ", "词义详情")</f>
        <v/>
      </c>
      <c r="K8010">
        <f>HYPERLINK("https://yourei.jp/見かけ", "查看例句")</f>
        <v/>
      </c>
    </row>
    <row r="8011">
      <c r="A8011" t="inlineStr">
        <is>
          <t>見掛ける</t>
        </is>
      </c>
      <c r="B8011" t="inlineStr">
        <is>
          <t>成功</t>
        </is>
      </c>
      <c r="C8011" t="inlineStr">
        <is>
          <t>読み方：みかける
［動カ下一］［文］みか・く［カ下二］目にとめる。「あの人はよく駅で—・ける」</t>
        </is>
      </c>
      <c r="D8011" t="inlineStr">
        <is>
          <t>めっける</t>
        </is>
      </c>
      <c r="H8011" t="n">
        <v>29</v>
      </c>
      <c r="I8011" t="inlineStr">
        <is>
          <t>普通に見掛ける葉の場合、葉の面全体に筋が走っているのが見られる。；車で通っていた親父が途中でその子供を見掛ける可能性は十分にある。；橋の上でぼんやり客待ちしている羅宇屋を伊三次も見掛けることがある。；そんな女性たちを、最近では東京でも見掛けるようになりました。；現在では国内でも育成が増えており、店頭でも見掛ける回数が増えた。；一ヶ月新聞を読み続けた人は必ず如上の実例を二つ三つは見掛けるに相違ない。；本所の回向院前の露店や近くの薬師堂の植木市でも見掛けることが多い。；地方の盛場には時々見掛ける、吹矢の機関とは一目視て紫玉にも分った。；地方の盛場には時々見掛ける、吹矢の機関とは一目視て紫玉にも分つた。；遠州屋は、その辺のどこにでも見掛けることのできる代表的な町の商店だった。；新羅の民らは都でも多く見掛けるので衣もよく知っている。；途中目にしたのは、アメリカの街でよく見掛ける立て看板だった。；神社を見掛けると、なんの神様を祀っているのか確認するクセがある。；今日でも稀には見掛けるが、昔の凧屋の看板というものが面白かった。；見知らぬよその人の持ちものになったのを見掛けるよりはマシなのである。；これと言って親しい友達もないらしく、どこで見掛ける時も、常に一人であった。；通常家屋内に侵入することはなく、日常生活で見掛けることもない。；神領さんのところでよく見掛ける人が運転してたから。；現在でも地方の駅でこのスタンプ台を見掛けることがある。；本文では触れていないが、九四年に入ってから、ロシア人の姿を見掛けるようになった。；その頃、山谷の山内には、よくこんな寺小姓を見掛けることがありました。；この辺の神棚には大きな目無し達磨の飾ってあるのをよく見掛ける。；洗車機といっても、最近あちこちのスタンドで見掛けるようなタイプのものではない。；アジアの奥地において電柱を見掛けるのはむしろ奇異な感じがしないではない。；お文は二人の姿を毎朝見掛けるようになった。；南の地域では、一回り大きくて朱色のアカイソウロウグモ も見掛ける。；流れの岸には楊樹、雲杉、白樺などがあり、時々、路傍に包を見掛ける。；やはりよくオーディションで見掛ける子の親どうしが三人でひそひそ話をしている。；侵攻軍の機動兵器を見掛ける頻度も少しづつ上がって来ていた。</t>
        </is>
      </c>
      <c r="J8011">
        <f>HYPERLINK("https://www.weblio.jp/content/見掛ける", "词义详情")</f>
        <v/>
      </c>
      <c r="K8011">
        <f>HYPERLINK("https://yourei.jp/見掛ける", "查看例句")</f>
        <v/>
      </c>
    </row>
    <row r="8012">
      <c r="A8012" t="inlineStr">
        <is>
          <t>味方</t>
        </is>
      </c>
      <c r="B8012" t="inlineStr">
        <is>
          <t>成功</t>
        </is>
      </c>
      <c r="C8012" t="inlineStr">
        <is>
          <t>読み方：みかた
［名］(スル)《「かた」の敬称「御方」の意。「味方」「身方」は当て字》
１対立するものの中で、自分が属しているほう。また、自分を支持・応援してくれる人。「心強い—」⇔敵。
２対立するものの一方を支持したり、応援したりすること。「いつも女性に—する」
３天皇の軍勢。官軍。
「—の軍おぢおそれ三たび退き返る」〈今昔・一一・一〉</t>
        </is>
      </c>
      <c r="D8012" t="inlineStr">
        <is>
          <t>味方機；味方同士；味方ユニット；味方なのか；味方但馬</t>
        </is>
      </c>
      <c r="E8012" t="inlineStr">
        <is>
          <t>友人；仲間；同士；友達；利益</t>
        </is>
      </c>
      <c r="F8012" t="inlineStr">
        <is>
          <t>心強い味方；強力な味方；味方艦；味方識別；味方全員</t>
        </is>
      </c>
      <c r="G8012" t="inlineStr">
        <is>
          <t>味方陣；味方冬樹；味方地区；味方良介</t>
        </is>
      </c>
      <c r="H8012" t="n">
        <v>29</v>
      </c>
      <c r="I8012" t="inlineStr">
        <is>
          <t>決勝では運が味方しなかったものの予選レースでは年間3勝を挙げた。；本作では戦闘中に味方を攻撃したり、敵に回復呪文を使うことができる。；何故なら、彼が若い頃下手なもみ方をして一人腸捻転で殺した事がある。；最初に味方が行動し、味方が行動し終わったら敵のターンに移り変わる。；貴族・僧侶に多額の金銭や領土を与え、国内勢力を次々に味方につける。；前作では不可能だった味方からの攻撃の回避も、今作では可能となっている。；画面左下には、味方全体で共有されている緑色のゲージが表示されている。；ゲーム中ではステージのそこかしこにいるが味方でも敵でもない。；しかしこのようなときには母・エーディトは常にアンネの味方だった。；また敵を無視して味方同士を対戦させることも可能である。；このように、序盤のボラーは味方勢力であるかのような描写となっている。；トゥーリンの提案した石の橋は味方にとって今や災いとなってしまった。；味方がエラーをしても怒らずに慰めるなど、冷静な投手であったという。；味方については、選択したほうに全員がついていくシステムである。；作品内では味方キャラクターからも馬鹿にされている。；新聞も国内外問わず大半がカミングの味方でバーティは再び非難の的となった。；この攻撃で敵爆撃機12機を撃墜したが、味方にも1機の損害を出した。；そこから索敵機に味方上空であることが伝えられ、ようやく解決した。；そこから公は敵軍に向かって小便をし、味方軍を勝利に導いたという。；ボローズをはじめ多くの味方を巻き添えとなり、バース星は破壊された。；プログラムを書き換えることで、人間側の味方にすることもできる。；直家が秀吉の薦めで織田氏に味方すると、直家の命令で毛利氏と戦った。；味方が撤退してもプレイヤーは戦闘を継続できる。；この旅で、彼女は周辺諸国の反ナポレオンの人々を味方につけることになる。；戦闘時の配置も、後方爆風が味方に危害を与えない場所が選ばれる。；もしこれがどっしりとあると、ベッドに横になった時の沈み方が違う。；敵と味方の技・術を連携させることも可能。；常に敵より多い機数が災いし、味方同士の衝突という悲劇も多かった。；だが味方機と判明し、ふたたび第二次攻撃隊発進準備に努めた。</t>
        </is>
      </c>
      <c r="J8012">
        <f>HYPERLINK("https://www.weblio.jp/content/味方", "词义详情")</f>
        <v/>
      </c>
      <c r="K8012">
        <f>HYPERLINK("https://yourei.jp/味方", "查看例句")</f>
        <v/>
      </c>
    </row>
    <row r="8013">
      <c r="A8013" t="inlineStr">
        <is>
          <t>三日月</t>
        </is>
      </c>
      <c r="B8013" t="inlineStr">
        <is>
          <t>成功</t>
        </is>
      </c>
      <c r="C8013" t="inlineStr">
        <is>
          <t>読み方：みかづき
１陰暦で3日の夜に出る細い弓形の月。また、その前後の、月齢の若い月。《季秋》「—や膝へ影さす舟の中／太祇」
２「三日月形」に同じ。
[補説]書名別項。→三日月</t>
        </is>
      </c>
      <c r="D8013" t="inlineStr">
        <is>
          <t>三日月形(14%)；三日月型(10%)；三日月状(5%)；三日月宗近；三日月刀</t>
        </is>
      </c>
      <c r="F8013" t="inlineStr">
        <is>
          <t>赤い三日月；白い三日月；大きな三日月；三日月槍；三日月眉</t>
        </is>
      </c>
      <c r="G8013" t="inlineStr">
        <is>
          <t>三日月藩；三日月大造；三日月パン；三日月町；三日月山</t>
        </is>
      </c>
      <c r="H8013" t="n">
        <v>29</v>
      </c>
      <c r="I8013" t="inlineStr">
        <is>
          <t>三日月くんの精神はもう良い子を演ずることができなくなってきている。；月といふのは三日月のことであつて、その形が剣に似てゐるからである。；塔の両側には、顔のある金の太陽と顔のある金の三日月がそれぞれ輝く。；また何枚かの絵の中のどこかしらに、まるい月や三日月を描いています。；指には、三日月が下を向いたような形の、小さな白い傷跡が残っていた。；だが、彼の三日月刀は、ただの一度も相手をとらえる事ができていない。；中間部にある白い領域には、イスラム教を象徴する大きな三日月がある。；野には、いくつかのかすかな塔影を背に、三日月がのぼりかかっている。；その三日月型の地球が小さくなるにつれて、月がますます大きくなった。；石の床の上には、銀色の金属でできた三日月が四個、はめこまれてある。；ちょうどいまは夕刻で、三日月形のナムケム星が空に低くかかっていた。；中心に、月とそっくりの小さな三日月の形をしたものが輝いている。；細胞は三日月の中央部分に細胞核を持ち、その上下で半細胞に分かれる。；長細い三日月型の形をした砂州の小島で島の周囲はバンクになっている。；各葉片には葉の中ほどに特徴的な三日月型の白い模様が入る。；この場合、金星は地球から常に三日月型にしか見えないはずであった。；ふと見れば三日月があつた、それはあまりにはかないものではなかつたか。；いま、そののぞき窓の一方の隅に、小さな、三日月型の星があらわれた。；すばらしいくさりを首にかけ、その先端には、銀の三日月がついていた。；三日月さん、あなたいつになったら大人になるの、と言いたそうな目で。；三日月の湾の内側では珊瑚礁や干潟がこの湾に守られる形で存在している。；炎の脇に星と三日月が描かれ、左に日付、右に鋳造地の名が記されている。；耳の長い猫や額に三日月の入った猫を売っている机もある。；この旗は緑の地に、白い三日月と三つの白い星があしらわれていた。；そしてその三日月形の眉にはなぜかおおいがたい悲痛な色がこめられていた。；また中央には進歩を示す三日月と、光と知識を示す星があしらわれている。；その地形は三日月形で、さしわたし九千マイルと記述されている。；海底にはほかにも、三日月の形をしたものや蝶の形をしたものが一杯ある。；ロデオを行う会場は60m程度の半径の三日月形の囲いで囲まれている。</t>
        </is>
      </c>
      <c r="J8013">
        <f>HYPERLINK("https://www.weblio.jp/content/三日月", "词义详情")</f>
        <v/>
      </c>
      <c r="K8013">
        <f>HYPERLINK("https://yourei.jp/三日月", "查看例句")</f>
        <v/>
      </c>
    </row>
    <row r="8014">
      <c r="A8014" t="inlineStr">
        <is>
          <t>蜜柑</t>
        </is>
      </c>
      <c r="B8014" t="inlineStr">
        <is>
          <t>成功</t>
        </is>
      </c>
      <c r="C8014" t="inlineStr">
        <is>
          <t>読み方：みかん
１ミカン科ミカン属の常緑小高木。また、その実。暖地に産し、葉は長楕円形。初夏、白色の小さな5弁花をつけ、黄橙色の実を結ぶ。果樹として広く栽培され、ウンシュウミカン・キシュウミカンなど多くの品種がある。たちばな。こみかん。《季冬 花＝夏》「—の香染みたる指を洗はずに／誓子」
２ミカン科の双子葉植物の総称。約2000種が温帯から亜熱帯に分布し、主に木本で、樹皮や葉に油腺をもつ。ミカン・キンカン・カラタチなどの属が含まれる。
[補説]書名別項。→蜜柑</t>
        </is>
      </c>
      <c r="D8014" t="inlineStr">
        <is>
          <t>蜜柑畑(8%)；蜜柑箱(5%)；蜜柑畠；蜜柑口；蜜柑園</t>
        </is>
      </c>
      <c r="E8014" t="inlineStr">
        <is>
          <t>柑橘類；マンダリン；シトラス；マンダリンオレンジ；カンキツ類</t>
        </is>
      </c>
      <c r="F8014" t="inlineStr">
        <is>
          <t>大きな蜜柑；上にある蜜柑；つた蜜柑；青き蜜柑；小さな蜜柑</t>
        </is>
      </c>
      <c r="G8014" t="inlineStr">
        <is>
          <t>蜜柑色；蜜柑水；蜜柑色の夏休み；蜜柑いろ</t>
        </is>
      </c>
      <c r="H8014" t="n">
        <v>29</v>
      </c>
      <c r="I8014" t="inlineStr">
        <is>
          <t>箱ごと出された蜜柑を前にしたとき少年は故郷に戻ったような気がした。；老人が口を開くのを待つ間、籠の中で大人しくしている蜜柑を手に取る。；わたしは数本の筆と一個の蜜柑の載ったテーブルのところに坐っている。；東京では蜜柑の皮でさえ薬種屋へ買いに行かねばならぬのにと思った。；裏の差出人のところには、蜜柑か橙のような絵が描いてあるだけである。；富士山の見える四日市場に、紀州の蜜柑船がつくのさへもう見られまい。；あなたは一と袋の蜜柑を、スーツケースと一緒にさげてこられましたね。；彼はその時、蜜柑の皮を上に投げては受取り、投げては受取りしていた。；それには蜜柑の皮が数枚と、橄欖の実がいくつかはいっておりました。；初物の蜜柑を二つづつ膝の上へのせてやると、子供たちは眼を丸くした。；何も知らない顔をしていて、実は蜜柑の皮を食うすべまで知っていたのだ。；おれが蜜柑の事を考えているところへ、偶然山嵐が話しにやって来た。；私が蜜柑に惹きつけられたのは廿日市で五百目五円で買った時からだ。；あなたは、一袋の蜜柑を、スーツケースと一緒に下げて来られましたね。；と思つて彼が顔をあげて見ると、蜜柑畑に挟まれた蔭の豊かな小径だつた。；いつのまにか私がいる二階の縁側には、蜜柑の皮が一杯になっていた。；右には高からぬ岡が二つほど並んで、ここにもあるは蜜柑のみと思われる。；農夫は爪立ちをしながら手を伸ばして、枝から蜜柑の一つをもぎとった。；その時皿の中へ問題の蜜柑を盛り分けていた下女が突然笑い出した。；焜炉を一船ぶん買ったときも、蜜柑酒三十樽を買ったときも半分を譲った。；さきほど用意したまま出しそびれていた蜜柑の罐詰が彼の目にとまった。；蜜柑畑の番人が、今日は新しい洋服を着てステツキを振りながら通つた。；台所の役人に聞いたところが、蜜柑などはお館にもないという。；ヒグチノクニでは、蜜柑と蛍用の制服を作ってもらったと書いている。；東京を出た事のないものには蜜柑の生っているところはすこぶる珍しいものだ。；ただの蜜柑より少しばかり葉が大きく、その葉も疎らのようだった。；針につけた餌は、ほかになにもないので蜜柑の果実をちぎったものだった。；妹は蜜柑だけ摂取していれば存命可能な生物で、肌も心なしか黄色だった。；蜜柑の畑の中に遊んでいたらしい子供が声を上げた。</t>
        </is>
      </c>
      <c r="J8014">
        <f>HYPERLINK("https://www.weblio.jp/content/蜜柑", "词义详情")</f>
        <v/>
      </c>
      <c r="K8014">
        <f>HYPERLINK("https://yourei.jp/蜜柑", "查看例句")</f>
        <v/>
      </c>
    </row>
    <row r="8015">
      <c r="A8015" t="inlineStr">
        <is>
          <t>幹</t>
        </is>
      </c>
      <c r="B8015" t="inlineStr">
        <is>
          <t>成功</t>
        </is>
      </c>
      <c r="C8015" t="inlineStr">
        <is>
          <t>読み方：から
１草木のみき・茎。「粟—(あわがら)」「黍—(きびがら)」
２矢の篦(の)。矢がら。
３道具の柄(え)。〈和名抄〉</t>
        </is>
      </c>
      <c r="D8015" t="inlineStr">
        <is>
          <t>幹比古(5%)；幹周；幹候；幹回り；幹肌</t>
        </is>
      </c>
      <c r="E8015" t="inlineStr">
        <is>
          <t>柱；柄；茎；中枢；基幹</t>
        </is>
      </c>
      <c r="F8015" t="inlineStr">
        <is>
          <t>滋幹；貞幹；蒋幹；本幹；清幹</t>
        </is>
      </c>
      <c r="G8015" t="inlineStr">
        <is>
          <t>幹線道路；幹線；幹事；幹事長；幹細胞</t>
        </is>
      </c>
      <c r="H8015" t="n">
        <v>29</v>
      </c>
      <c r="I8015" t="inlineStr">
        <is>
          <t>いずれも樹木の幹や枝の中に根を下ろした灌木のような姿の植物である。；そのため、根が伸びた後で幹を切り二年後に期待するという方法がある。；幹の部分にキツツキの穴があるほかは損傷もなく樹勢も盛んで姿もよい。；葉に含まれる栄養素を幹に回収して、翌年の春に再利用するためである。；足に鋭い爪があり、それを引っ掛けて木の幹や枝の上を走ることができる。；現在でも幹と枝だけになった白骨林の姿が山腹に広がっているという。；その他の母音幹はほとんど文証されていないが、再建することはできる。；夜間に狩りを行い、日中は木の幹に近い枝や丸太などの上で休んでいる。；しかし、それらは地上から離れて存在する幹から伸びたものである。；ここ江西青幹班を舞台に蔣経国は自らの派閥を形成し始めることになる。；幹と枝に喩えて「干支」と呼ばれるようになったのは後漢代からである。；むしろ幹を支えているようにも見えるので、支柱根と言うこともある。；前腮類では足神経幹の間のはしご状がわずかに見られる場合もある。；脊髄神経はこの幹を経由して上位または下位の髄節の神経と交通している。；遺骸がしばしば木の幹の周辺から発見されることからつけられた。；このような再生が起きるため、古い木は多数の幹を持つことになる。；「身」字は人間の体の幹となる首より下で腿よりも上の部分を指す。；木の幹や葉の上に爪を立てたあと、背が割れて白い成虫が顔を出す。；樹木ではこの成長が長く維持されるために、巨大な幹に成長することができる。；単独で横から見れば、幹の上の方に傘をかぶったような形である。；実子がいなかったため、実弟の真壁重幹が養嗣子となって家督を継いだ。；幹の一端は気胞体といって空気を含んだ小胞になり、これが上の端である。；文帝は西辺が安定しないのを憂慮して、子幹に命じて涼州に駐屯させた。；alt= 目を閉じたフクロウが、同じような色をした木の幹の前にいる。；日本海側の多雪地帯では、幹が積雪で倒されて横に伸びていることが多い。；こうなった部分を、枝で起こったものを神、幹で起こったものを舎利と呼ぶ。；葉はその先端に輪生し、全体としては幹の先に杯状にまとまって葉がつく。；幹に枝がなく、先端部にのみ葉がみられることが特徴である。；樹皮には幹から垂直に伸びる大小の鋭い棘が多くつくことが特徴である。</t>
        </is>
      </c>
      <c r="J8015">
        <f>HYPERLINK("https://www.weblio.jp/content/幹", "词义详情")</f>
        <v/>
      </c>
      <c r="K8015">
        <f>HYPERLINK("https://yourei.jp/幹", "查看例句")</f>
        <v/>
      </c>
    </row>
    <row r="8016">
      <c r="A8016" t="inlineStr">
        <is>
          <t>右</t>
        </is>
      </c>
      <c r="B8016" t="inlineStr">
        <is>
          <t>成功</t>
        </is>
      </c>
      <c r="C8016" t="inlineStr">
        <is>
          <t>読み方：う
［音］ウ（呉）ユウ（イウ）（漢）　［訓］みぎ
［学習漢字］1年
〈ウ〉
１みぎ。「右折・右辺・右腕・右往左往」
２保守的なこと。「右傾・右派・右翼／極右」
３野球で、右翼。ライト。「右飛・右中間」
〈ユウ〉
１みぎ。「机右・左右・座右」
２たっとぶ。「右文」
３補佐する。「右筆」
〈みぎ〉「右腕・右側・右手・右端」
［名のり］あき・あきら・これ・すけ・たか・たすく
［難読］右近(うこん)・左右(そう)・左右(とかく)・左右(とにかく)・右手(めて)</t>
        </is>
      </c>
      <c r="D8016" t="inlineStr">
        <is>
          <t>右下(2%)；右上(2%)；右脚；右門；右京之介</t>
        </is>
      </c>
      <c r="E8016" t="inlineStr">
        <is>
          <t>右手；右側；右寄り</t>
        </is>
      </c>
      <c r="F8016" t="inlineStr">
        <is>
          <t>右拳；右奥；右胸；右陣；右脇</t>
        </is>
      </c>
      <c r="G8016" t="inlineStr">
        <is>
          <t>右衛門；右側；右腕；右翼；右岸</t>
        </is>
      </c>
      <c r="H8016" t="n">
        <v>29</v>
      </c>
      <c r="I8016" t="inlineStr">
        <is>
          <t>そのため北を上にした現代の地図上では右にありながら左京と呼ばれる。；右に述べた以外のどのような解釈も、この条約を無効にするものである。；右下の隅または左上の隅を空所とした配置を最終目標とするものが多い。；音高に合わせて左から右に小さくなるように円弧に配置するのが一般的。；それ以外の編成では横から見て中央より1つ右の側窓上部に設置している。；上部は天上世界であり右の太陽の中に日烏が月の中にヒキガエルがいる。；より多くの数量が対応するように変化した場合、曲線は右方に移動する。；なお、案内標では各ホームを右表のように色で区分して案内している。；小数点より左を整数部と呼んで、右から一の位、十の位の数を記述する。；中央にバイイ、中央寄り右下で胸に手を当てているのがロベスピエール。；このとき、右に余る白マスの数nを基準に以下のとおりに処理していく。；ピクセルは通常、左下から右下へ、これを下から上に向かって保存する。；右下には100年前のアメリカ合衆国が小さい地図で示されている。；右図では、進路が主要な線路より右方に開通しているときを表示している。；午前10時頃、高陽原に明軍は左・右・中央の三隊の陣形で押し寄せた。；右の図はドルトンが実験を記録する際に使った記号群を示している。；左手に小学校が見えると、右にカーブして南下しトンネルで峠越えをする。；内曲輪における櫓や門の位置関係については右の画像の説明文を参照。；奏者は正面ではなくやや左を向き、右に首をかしげて唇を歌口に当てる。；そのそれぞれについて、右投げ用・左投げ用・両投げ用が存在する。；あるいは南を下、北を上とした時、東の方向が右、西の方向が左となる。；左右の静脈は走行が異なり、右副腎静脈は下大静脈へとつながっている。；左がヨーロッパ、右がアジアで、両者の間を隔てるのがボスポラス海峡。；例えばキャラクターが右を向いている場合、左に入力するとガードになる。；以下の例はキャラクターが右を向いているときの場合。；不思議なことに右葉の上下亜区を境界する構造は存在しない。；五線の左右は時間を表しており、左から右へと時間が進んでゆく。；左右同じ大きさにならず、左の耳たぶが右に比べて大きくなった。；同様に の生成する右、両側イデアルはそれぞれ によって与えられる。</t>
        </is>
      </c>
      <c r="J8016">
        <f>HYPERLINK("https://www.weblio.jp/content/右", "词义详情")</f>
        <v/>
      </c>
      <c r="K8016">
        <f>HYPERLINK("https://yourei.jp/右", "查看例句")</f>
        <v/>
      </c>
    </row>
    <row r="8017">
      <c r="A8017" t="inlineStr">
        <is>
          <t>右側</t>
        </is>
      </c>
      <c r="B8017" t="inlineStr">
        <is>
          <t>成功</t>
        </is>
      </c>
      <c r="C8017" t="inlineStr">
        <is>
          <t>読み方：うそく
みぎがわ。「—通行」⇔左側(さそく)。</t>
        </is>
      </c>
      <c r="D8017" t="inlineStr">
        <is>
          <t>右側面(6%)；右側頭部；右側車線；右側部分；右側背</t>
        </is>
      </c>
      <c r="E8017" t="inlineStr">
        <is>
          <t>右；右手；右寄り</t>
        </is>
      </c>
      <c r="F8017" t="inlineStr">
        <is>
          <t>画面右側；進行方向右側；車体右側；一番右側；向って右側</t>
        </is>
      </c>
      <c r="G8017" t="inlineStr">
        <is>
          <t>右側通行；右側左側</t>
        </is>
      </c>
      <c r="H8017" t="n">
        <v>29</v>
      </c>
      <c r="I8017" t="inlineStr">
        <is>
          <t>左側眼・右側眼の両方の種類がいて、種の中では向きが統一されている。；同一ラインに並んでいる選手については右側から順に番号が付けられた。；細胞に有る唯一の共生体は、必ず腹面から見て右側の細胞に入ると言う。；行き違いがない場合の下り列車は進行方向右側の線路を通って通過する。；右側に写っている緑色の屋根の建物は、JR時代に建てられた駅舎です。；また、上下線とも、ホームは下り方向に向かって右側に設けられている。；トイレは改札を入ってすぐ右側にあり、多目的トイレも設置されている。；台風の右側は台風自身の風に台風の移動速度が加えられ、風が強くなる。；湯浅隊は大田街道右側の小山を駆け下りて敵の側面から攻撃し撃退した。；ドイツでも販売されドイツは右側走行だが、運転席配置は変更されていない。；この塔はテージョ川の右側の小さな島に建っていて、周囲は水辺である。；右側奥の前髪の男が、縦縞に市松模様のような柄の入った絣を着ている。；さらにコンウェイはチェーン途中のの右側の全ても無視されるとした。；親の次にプレイするのは親から見て右側のプレイヤーである。；船は接近する船とすれ違うときは右側を航行するものとされていた。；右側の上の写真は真っ白な雪の部分をスポット測光して撮影したものである。；駅舎の中央を通路が通り、その右側が待合室で左側がトイレとなっている。；ストックは、銃の右側面に折り畳むことができる構造のものが採用された。；また各日とも右側の半分に「すぐ使える遊びニュース」を掲載している。；ホーム番号は駅舎側から見て、右側から1・2・3・4番線となっている。；その下の右側と真ん中奥を結ぶ道路は上側が天神北から百道へ向かう道路。；両作品における構成上のもっとも大きな相違は画面右側の天使の描写である。；この際に元々は愛称だった右側の名称が正式名称となっている。；右側の二つのエンジンがクラッチを介して一つのプロペラを回している。；ゲスト患者は入口から見て右側の一番奥のベッドに入る。；輪荘の場合、直前の親の右側のプレイヤーが次局の親を担当する。；演奏終了時にゲージが右側の黄色い部分に達していればクリアとなる。；一般的にカレイ類は体の右側に眼をもつ右側眼、ヒラメは左側眼である。；右側の線路は中央本線1日平均乗車人員は以下の通りとなっている。</t>
        </is>
      </c>
      <c r="J8017">
        <f>HYPERLINK("https://www.weblio.jp/content/右側", "词义详情")</f>
        <v/>
      </c>
      <c r="K8017">
        <f>HYPERLINK("https://yourei.jp/右側", "查看例句")</f>
        <v/>
      </c>
    </row>
    <row r="8018">
      <c r="A8018" t="inlineStr">
        <is>
          <t>右手</t>
        </is>
      </c>
      <c r="B8018" t="inlineStr">
        <is>
          <t>成功</t>
        </is>
      </c>
      <c r="C8018" t="inlineStr">
        <is>
          <t>読み方：みぎて
１右の方の手。
２右の方。右側。「—に見える建物」</t>
        </is>
      </c>
      <c r="D8018" t="inlineStr">
        <is>
          <t>右手側；右手奥；右手親指；右手中指；右手人差し指</t>
        </is>
      </c>
      <c r="E8018" t="inlineStr">
        <is>
          <t>右；右側；右寄り</t>
        </is>
      </c>
      <c r="F8018" t="inlineStr">
        <is>
          <t>正面右手；はるか右手；画面右手；進行方向右手；右手後方</t>
        </is>
      </c>
      <c r="G8018" t="inlineStr">
        <is>
          <t>右手系；右手の法則；右手の復讐</t>
        </is>
      </c>
      <c r="H8018" t="n">
        <v>29</v>
      </c>
      <c r="I8018" t="inlineStr">
        <is>
          <t>装備箇所の左手と右手には、両方に武器を装備することが可能になった。；無数の老若男女の顔を持ち、右手には書物を持った姿で現れるとされる。；片手のためのピアノ曲とは、右手もしくは左手だけで演奏する曲である。；また攻撃部門の右手と独立しているので防御と攻撃を同時に出来る。；かつては駅舎に入って右手に売店があったが、現在は閉鎖されている。；右手と左手は機能としては、非対象になっていることが多いのである。；続いて右手に残ったパケットの上の部分を左手のパケットの上に移し取る。；足を前後に開き右手を挙げている独特のポーズで表されることが多い。；左手でベース、右手でハーモニーを伴ったメロディを演奏するのが標準。；開幕直前に右手薬指を骨折したが完治しないまま開幕戦を強行出場する。；ハンマーの位置が異なる右手用、左手用が組になっていた例もある。；その証拠として、食事や書字の際には右手を使っていたことが挙げられる。；スミスの右手には、犯人のものと思われる金縁の鼻眼鏡が握られていた。；下の左手には、下の右手には、上の左手には、上の右手にはを持つ。；右手を挙げている猫は金運を招き、左手を挙げている猫は人を招くとされる。；嬬恋村の商業の中心となる三原地区の様子や町並みが車窓右手に広がる。；第2変奏では右手は16分音符の音型となり、その中に主題が隠される。；その像は天女のような姿をし、子供を1人抱き、右手には吉祥果を持つ。；初期の作品内では、リンクが右を向いたときのみ剣を右手に持つ。；エスカレーターから中・小スタジオ入口に向かう通路右手にある。；ホームは、常に進行方向右手となるよう全駅で島式ホームとなっている。；通常は右手で柄を、左手でリカッソを持ち、両手の親指は内側に向ける。；ローレンツ力の向きを表すために右手の姿で示す方法がある。；天上のペルセウスは、右手に剣、左手にはメドゥーサの首を持っている。；左手の槍は平和を象徴し、掲げた右手はハワイの繁栄を表している。；攻撃は主に右手から繰り出されるパンチと腰につけている鋼鉄の剣を用いる。；これらが右手親指を除く9本の指で操作できるようになっている。；その右手には金の湾曲部を持つ銀の司教杖、左手には開いた書物を持っている。；右手を完全に開くことができなかったため、特注のグラブで守備を行っていた。</t>
        </is>
      </c>
      <c r="J8018">
        <f>HYPERLINK("https://www.weblio.jp/content/右手", "词义详情")</f>
        <v/>
      </c>
      <c r="K8018">
        <f>HYPERLINK("https://yourei.jp/右手", "查看例句")</f>
        <v/>
      </c>
    </row>
    <row r="8019">
      <c r="A8019" t="inlineStr">
        <is>
          <t>見極める</t>
        </is>
      </c>
      <c r="B8019" t="inlineStr">
        <is>
          <t>成功</t>
        </is>
      </c>
      <c r="C8019" t="inlineStr">
        <is>
          <t>読み方：みきわめる
［動マ下一］［文］みきは・む［マ下二］
１十分に確認する。また、最後まで確認する。「彼の居場所を—・めてから戻る」「心底を—・める」
２物の真偽を十分検討したうえで、判定する。確かめる。「正体を—・める」「真相を—・めてから結論を出す」
３物事の奥底を知りつくす。深いところまで会得する。「芸道の奥義を—・める」</t>
        </is>
      </c>
      <c r="D8019" t="inlineStr">
        <is>
          <t>見極めるべき；見極めるべく</t>
        </is>
      </c>
      <c r="E8019" t="inlineStr">
        <is>
          <t>見る；みる；調査；確認；検査</t>
        </is>
      </c>
      <c r="H8019" t="n">
        <v>29</v>
      </c>
      <c r="I8019" t="inlineStr">
        <is>
          <t>彼は雄二の車の後ろに立つと、状況を見極めるように少し腰をかがめた。；が、表には出ない社会の潮流を見極めることはもっと重要と思えてきた。；その限界を見極めるためには、まず科学の本質を知ることが必要である。；恐怖に耐えかねて、女の正体を見極める前に矢を放ってしまったのだ。；また私に物をはっきり見極める暇を与えてくれることはできないでしょうか?；ただ、見極めるために慎重になっている点だけはわかってあげてください。；ただ危険のない程度で、彼に近づいて、その正体を見極める積りでした。；ヤコの眼には、なにが起こったのかを正確に見極めることはできなかった。；出入りを見張っていれば広人殺しが誰か、見極めることが出来るはずだ。；彼を病院送りにしたことがどう未来に影響しているのかを見極める必要がある。；これは飛行中の望遠鏡周辺の空気の流れの影響を見極めるためのものであった。；ある店の中で行う設定の中、ゲストの人気商品を見極める力をかけたコーナー。；長野主馬の人物を見極めることはいろいろな意味でお家に関わって来る。；そのときにそれらのキズの生活反応の有無を見極めることが重要である。；咄嗟のことだから私がどんな状態にいるか見極めることもできなかったろうに。；また、他の選手がどのような作戦で動いてくるかある程度見極める機会になる。；それよりも恐怖の正体を見極めることが大切だと考えたのだ。；今まで上条達と行動を共にしていたのは、単に標的を見極めるためか。；見極めるには、毎年の新しい暦と、それを読み解く知識が必要であった。；でも今はまだ、その嘘がどこから来るものなのか、じっと見極めるしかない。；だが、なにが本当の真実かは自分自身の目で見極める必要がある。；スペイン語の場合には、そもそも標準語の数を見極めること自体難しい。；そういうお店かどうか見極めるためのコツも、食べながらお教えできますし。；すべては一瞬の間だったが、周二はその特徴ある翼の形を見極めることができた。；その計画に協力するか否かを、謡はこの一戦で見極めるつもりらしい。；どう云って慰めていいか、私には、その正体を見極めることが出来なかった。；基本的に使用痕があるかどうかが石器であるかどうかを見極める目安となる。；美術品の価値を見極めるところまではまったく同じといって良い。；必要なのは自分の強さを振るうべき時を見極めることだけだ。</t>
        </is>
      </c>
      <c r="J8019">
        <f>HYPERLINK("https://www.weblio.jp/content/見極める", "词义详情")</f>
        <v/>
      </c>
      <c r="K8019">
        <f>HYPERLINK("https://yourei.jp/見極める", "查看例句")</f>
        <v/>
      </c>
    </row>
    <row r="8020">
      <c r="A8020" t="inlineStr">
        <is>
          <t>見苦しい</t>
        </is>
      </c>
      <c r="B8020" t="inlineStr">
        <is>
          <t>成功</t>
        </is>
      </c>
      <c r="C8020" t="inlineStr">
        <is>
          <t>読み方：みぐるしい
［形］［文］みぐる・し［シク］
１見た感じが不愉快である。みっともない。みにくい。「—・い身なり」「—・いまねはよしなさい」
２見るのに難渋する。見づらい。
「目をいみじう煩ひ給ひて、よろづ治し尽させ給ひけれど、猶(なほ)いと—・しく」〈栄花・玉の村菊〉
[派生]みぐるしげ［形動］みぐるしさ［名］
→みっともない［用法］</t>
        </is>
      </c>
      <c r="D8020" t="inlineStr">
        <is>
          <t>見苦しいこと(7%)；見苦しいもの(7%)；見苦しいところ；見苦しい姿；見苦しい真似</t>
        </is>
      </c>
      <c r="E8020" t="inlineStr">
        <is>
          <t>厭；まずい；醜い；醜；醜悪</t>
        </is>
      </c>
      <c r="F8020" t="inlineStr">
        <is>
          <t>あまり見苦しい；実に見苦しい；はなはだ見苦しい；こんな見苦しい；見苦しい事</t>
        </is>
      </c>
      <c r="H8020" t="n">
        <v>29</v>
      </c>
      <c r="I8020" t="inlineStr">
        <is>
          <t>確かに次郎は自分でもそれほど見苦しい字を書くとは思っていなかった。；きっと見苦しい顔をしているんだろうな、と思って自分に腹が立った。；あの汚れた私の靴も靴下も掃除されてゐて、見苦しくはなくなつてゐた。；つまり三本勝負の上には見苦しい負けかたを致したのでございまする。；とうとう二人は、この見事な部屋々々のなかで一番見苦しい部屋に来た。；泣き泣き息をきらして走っていく彼女の姿は見苦しくもあわれであった。；あるいは他に例を見ないほど見苦しい老人になるのかもしれない。；今思えば見苦しいくらい自分自身にいいわけをしていましたから。；見苦しく肩で息をするおれの背中に、冴え冴えとした声が掛けられた。；このような光景は 戦場にはふさわしいが、このような場所では見苦しい。；人に見られて見苦しい様なこともせず、顧みて自ら疚しい様なこともせぬ。；見苦しい行為を行い、一般的な自然の姿を気にしたり敬うことをしなかった。；日本の家は高いのがあったり低いのがあったりして見苦しい。；よく見ると、二人とも一週間も髯を伸ばしたままでたいへん見苦しかった。；何といっても通夜の席でこうした姉妹喧嘩は見苦しい代物に違いなかった。；さほど見苦しくもないその靴は、茶とも黒ともつかない一種変な色をしていた。；クリストフはそれを見て、見苦しいようなまた猥らなような気がした。；実際老入道がこの一行に加わっているとしたら見苦しいことでなかったであろうか。；見苦しいよりは、身ぎれいなほうがいいけれど、動機が不純ではないか。；もし砂漠の中で命を落とすとき私は見苦しい恰好をしていたくなかった。；尚お此外にも今の世間に見苦しく聞き苦しきことは一にして足らず。；尾道から帰って来た私は又以前の屋根裏の見苦しい書斎に入れられた。；無茶苦茶な心ない料理よりは、まだ型にはまったものの方が見苦しくない。；見苦しい言い逃れに落ちそうで、能弁な弁護士は現実の言葉を失っていた。；己れの真の姿を知らぬ者ほど世に見苦しいものはない。；私たちは、その見苦しさを目の当りにすることがいたたまれないのです。；右の二人 あんな見苦しい奴はここにいさせたくないな。；ジニーはいつもホールで、見苦しい模様入りのタイルの上で踊ってるわ。；もつれた髪には白いものが混じり、裸体には見苦しく贅肉がついていた。</t>
        </is>
      </c>
      <c r="J8020">
        <f>HYPERLINK("https://www.weblio.jp/content/見苦しい", "词义详情")</f>
        <v/>
      </c>
      <c r="K8020">
        <f>HYPERLINK("https://yourei.jp/見苦しい", "查看例句")</f>
        <v/>
      </c>
    </row>
    <row r="8021">
      <c r="A8021" t="inlineStr">
        <is>
          <t>見事</t>
        </is>
      </c>
      <c r="B8021" t="inlineStr">
        <is>
          <t>成功</t>
        </is>
      </c>
      <c r="C8021" t="inlineStr">
        <is>
          <t>読み方：みごと
《が原義。「美事」は当て字》
［形動］［文］［ナリ］
１すばらしいさま。りっぱなさま。「バラが—に咲く」「—な床柱」
２巧みなさま。あざやか。「予想が—に的中した」「—な腕前」
３（反語的に用いて）完全であるさま。すっかり。「ものの—に失敗した」「—な負けぶりだ」
[派生]みごとさ［名］
［副］に同じ。「—やり通した」
［名］みるべきこと。みるべき価値のあるもの。
「—いとおそし。そのほどは桟敷不用なり」〈徒然・一三七〉
[補説]12は、「お見事」の形で感動詞的にも用いられる。</t>
        </is>
      </c>
      <c r="D8021" t="inlineStr">
        <is>
          <t>見事勝利；見事合格；見事成功；見事優勝；見事な花</t>
        </is>
      </c>
      <c r="E8021" t="inlineStr">
        <is>
          <t>いい；よい；美しい；良い；最高</t>
        </is>
      </c>
      <c r="F8021" t="inlineStr">
        <is>
          <t>見事に陽焼け；見事な手綱さばき；見事な袈裟掛け；見事な出来映え；見事な出来栄え</t>
        </is>
      </c>
      <c r="H8021" t="n">
        <v>29</v>
      </c>
      <c r="I8021" t="inlineStr">
        <is>
          <t>ところが直線に入ったとたん突然の猛スパートをかけ、見事に優勝した。；そして、その外観を見事にやってのけることができた人々はごく僅かだ。；しばらくして都の外れにある家にたいへん見事な紅梅が見つかった。；トールは巨人の妻を味方につけて弱点を聞き、見事割ることに成功する。；そして、見事優勝し「嘘つき王」の称号を手にするのは、一体誰なのか。；この時の黒沢村長の指揮ぶりは、迅速適切で見事なものであったという。；決勝では1回戦で敗れた岸和田に見事リベンジし挑戦権を手に入れた。；フィッシャーはこの試合に見事勝利し、300万ドル以上の賞金を得た。；結局古谷は最後まで鹿児島商工を無失点に抑え見事に勝利をもたらした。；初仕事でいきなり命を失いかけながらも、見事成功を収めたドミノ。；この年は30試合に登板して防御率3点台前半と、見事に復活を遂げた。；前作以上の期待が寄せられたのは言うまでもなく、彼らは見事にそれに答えた。；それでも前が開くと鋭い脚を使って見事に差し切ってくれた。；そして、最後のチャンスに訪れたで見事ケツァールの撮影に成功した。；パスツールの成果は見事で、微生物学の基礎が開かれることになった。；しかし市川局は城兵を指揮して大内軍を撃退し、見事に城を防衛した。；以来、画僧たちは仕事に打ち込み、見事な大画像が完成したという。；ドーハティは「なんとまあ、彼は見事な大統領となるだろうよ」と語った。；翌日、選手権大会に出場した彼らは、見事優勝を果たしたのだった。；別の場所で再挑戦すると今度は見事に蹴破ることができた。；しかし彼女が直感で選んだのは見事にチヤヴァナその人であった。；わずかな期間をテスト走行しただけで出場するも見事9位。；彼女は地上に出るためのはしごを要求し、見事に地上に戻った。；しかし意を決してスカニヤーが選んだのは見事にチヤヴァナだった。；見事不二子を担当することになったという。；その時にケロロの父に共鳴をしてほしいと言われた際は見事に共鳴してみせた。；エンゲルスの予想は見事に的中し、記事は世間からの評価を受けることとなる。；全国47都道府県の全てを網羅しようという企画を行い、見事に達成した。；慎重な飛行をして何度も母艦の上を往復した後、今度は一度で見事に着艦を成功させた。</t>
        </is>
      </c>
      <c r="J8021">
        <f>HYPERLINK("https://www.weblio.jp/content/見事", "词义详情")</f>
        <v/>
      </c>
      <c r="K8021">
        <f>HYPERLINK("https://yourei.jp/見事", "查看例句")</f>
        <v/>
      </c>
    </row>
    <row r="8022">
      <c r="A8022" t="inlineStr">
        <is>
          <t>身ごなし</t>
        </is>
      </c>
      <c r="B8022" t="inlineStr">
        <is>
          <t>成功</t>
        </is>
      </c>
      <c r="C8022" t="inlineStr">
        <is>
          <t>読み方：みごなし
からだの動かし方。身のこなし。挙動。「—が軽い」</t>
        </is>
      </c>
      <c r="D8022" t="inlineStr">
        <is>
          <t>姿勢；ポーズ；体勢；身構え；熟し</t>
        </is>
      </c>
      <c r="F8022" t="inlineStr">
        <is>
          <t>優雅な身ごなし；軽い身ごなし；柔軟な身ごなし</t>
        </is>
      </c>
      <c r="H8022" t="n">
        <v>29</v>
      </c>
      <c r="I8022" t="inlineStr">
        <is>
          <t>その身ごなし、まるで喧嘩をするために地上に生まれてきたような男である。；彼はいっそう足音をしのばせて歩いたが、身ごなしもなめらかにできた。；彼の身ごなしにはなにか猫のようなところがあって、爪のある手が感じられた。；日ごろ鍛錬を欠かしていないことが、自信に満ちた身ごなしに出ていた。；やがて王はこの鳥の歩き方や身ごなしを真似て、慎重に梯子を下っていった。；ますみは微笑を消さず、立ち上がると五郎の膝に軽い身ごなしで坐った。；若いときから水商売の世界で過ごしてきたような身ごなしの女だ。；しかし彼のはにかみの身ごなしと微笑は昔と少しも変っていない。；男の身ごなしには余裕があり、斜めに構えた棒には一分の隙も見えなかった。；薬売りの直線的な身ごなしは、この男がもと軍人であったことを裏書きしていた。；まずはじめに着物をお脱ぎになって、身ごなしを自由になさいまし。；科挙に合格した文官だが、体格や身ごなしはむしろ武官のものに見える。；しかも、彼らの身ごなしには、なにかひじょうに沈着なところがあった。；けれども彼はそのほうが、身ごなしが楽でよいと思いました。；これらが女性の身ごなしの魅力のひとつになっている。；身ごなしに彼独特の美しい大きい線があらわれている。；両者の技倆は伯仲しており、ともに機敏で柔軟な身ごなしをしていた。；人より鳥に近い身ごなしで一回転して立ちあがった男は、口もとをゆがめた。；さらに美しい子や身ごなしの品のいい子などを選んで、舞姫の付添いにするのである。；お待ち申しておりました、と優雅な身ごなしで二人を迎えたのは、意外にも女だった。；彼女は女王のような身ごなしで、むこうへ立ちさっていきました。；二人は軽い身ごなしで道の端に飛び降り、ぶらぶらと歩き始めた。；かれはひと束のメモを手にすると、きびきびした身ごなしで立ちあがった。；なぜか、今はあなたのよくなさる軽い身ごなしの一つ、額に手をお当てになるご様子が目の前に浮かんで来ます。；当の紀子自身でさえ、思わずとった自分のそんな身ごなしにおどろいていた。；全体が酒場の脚高椅子のわきに立っている身ごなしである。；さて、姫は早くも大将の身ごなしを見てとって、その意中を看破してしまった。；一瞬の幻影を思わせるに充分な身ごなしであった。；敵手は身ごなしが将校らしく、良家の子弟といふ型の、冷静な男でした。</t>
        </is>
      </c>
      <c r="J8022">
        <f>HYPERLINK("https://www.weblio.jp/content/身ごなし", "词义详情")</f>
        <v/>
      </c>
      <c r="K8022">
        <f>HYPERLINK("https://yourei.jp/身ごなし", "查看例句")</f>
        <v/>
      </c>
    </row>
    <row r="8023">
      <c r="A8023" t="inlineStr">
        <is>
          <t>見込み</t>
        </is>
      </c>
      <c r="B8023" t="inlineStr">
        <is>
          <t>成功</t>
        </is>
      </c>
      <c r="C8023" t="inlineStr">
        <is>
          <t>読み方：みこみ
１先行きの予想。あて。「来春卒業の—」「明日は晴れの—です」
２将来の可能性。「なかなか—のある男だ」「治る—のない病人」
３《茶席で茶碗拝見のとき、まず内部をのぞき込むところから》茶碗の内部の底のあたりのこと。
４建築で、部材の側面、奥行き。
５見たようす。外観。
「—のやさしさ」〈浮・五人女・三〉</t>
        </is>
      </c>
      <c r="D8023" t="inlineStr">
        <is>
          <t>見込みがない(7%)；見込み違い；見込みなし；見込みがつい；見込み通り</t>
        </is>
      </c>
      <c r="E8023" t="inlineStr">
        <is>
          <t>思い；光；可能性；予定；期待</t>
        </is>
      </c>
      <c r="F8023" t="inlineStr">
        <is>
          <t>かかる見込み；卒業見込み；見込み一本勝ちを収め；見込み薄；見込みがたた</t>
        </is>
      </c>
      <c r="G8023" t="inlineStr">
        <is>
          <t>見込み捜査；見込み顧客</t>
        </is>
      </c>
      <c r="H8023" t="n">
        <v>29</v>
      </c>
      <c r="I8023" t="inlineStr">
        <is>
          <t>今後駅の西側で開発が予定されていて、利用客が増加する見込みがある。；医者は気さくに話してくれ、あまり見こみはありませんなと答えました。；そして彼はその言葉を己れの心の深い部分が嚥み込んだのを意識した。；今後は各イベント主催者同士の横の関係の強化が図られる見込みである。；これらの新たなトンネルと橋の計画は2015年には完成の見込みである。；いゝ事に嚥み込んでゐなかつたものだから、翌くる朝は癒りましたがね。；ところが、日本軍の占領が始まってから二日で、この見込みは一変した。；自然的な人の動作の内に知らず知らずに人形振りが浸み込んで来る。；父や祖父のように、死亡時には回復の見込みのない精神錯乱状態にあった。；その後は解体され、2024年に新たな施設の供用が開始される見込み。；成功の見こみは薄いが、いまのかれはあえてそれを試みるつもりだった。；警察では今のところいっこう見こみもないと、はっきり言明しています。；おしろには前の日曜のさみしさがまだ浸み込んで残ってゐるからだめだ。；ここでもまた、お役ごめんとなった読み込み用プログラムは消えていく。；「わかった」彼女は棚に本を戻してから、僕の前まできて、屈み込んだ。；この時点で開発見込みのない計画番号の再検討、集約も始まっていた。；但し駅設備などは完成に近づいており、そう遠くない未来に開業の見込み。；しかしてそこには水があると見こみをつけてそっちに行ってみました。；うまくいく見こみがなければ、危険に身をさらす気にはなりませんわ。；この町ではいい商売があると、ブロッサムは見こみをつけていました。；此の水はトンネルの上の辺りで地面に浸み込んでなくなっているとのことである。；だいたいのことは調べてみたが、どうやら解決はつきそうな見こみだ。；もうどんな事をしても救われる見こみの無い、暗い暗い穴の中で泣きました。；北線を中心に運用されているが、2028年までに全編成が離脱する見込み。；ですから、ここへ帰ってくる見こみは、いちばんありそうでございます。；だが、せめて見こみがあるのかないのか、それが知りたいというわけだ。；すべてのデータはアメリカ合衆国統計局 州人口見込みからの情報である。；もっとも、見こみで金を貸す者はいないし、それに借りるところもない。；まるで共通の目的を達成する見こみが立ったかのようだった。</t>
        </is>
      </c>
      <c r="J8023">
        <f>HYPERLINK("https://www.weblio.jp/content/見込み", "词义详情")</f>
        <v/>
      </c>
      <c r="K8023">
        <f>HYPERLINK("https://yourei.jp/見込み", "查看例句")</f>
        <v/>
      </c>
    </row>
    <row r="8024">
      <c r="A8024" t="inlineStr">
        <is>
          <t>見込む</t>
        </is>
      </c>
      <c r="B8024" t="inlineStr">
        <is>
          <t>成功</t>
        </is>
      </c>
      <c r="C8024" t="inlineStr">
        <is>
          <t>読み方：みこむ
［動マ五（四）］
１あてにする。望みをかける。「値上がりを—・んで大量に仕入れる」「君を男と—・んで頼む」
２将来有望だと思う。「—・まれて養子になる」
３予想して勘定に入れる。「損失を—・む」
４ねらいをつけたものに執念深くとりつく。「蛇に—・まれたカエル」</t>
        </is>
      </c>
      <c r="D8024" t="inlineStr">
        <is>
          <t>期待；依頼；計算；予想；推定</t>
        </is>
      </c>
      <c r="H8024" t="n">
        <v>29</v>
      </c>
      <c r="I8024" t="inlineStr">
        <is>
          <t>また飛行場西側からの攻撃は地形上の障害が見込まれたことも影響した。；悪い虫のつかんうちに、お祖父やんのこれと見込んだ男と結婚しなはれ。；入学当初は一塁手であったが、秋から肩の強さを見込まれて投手となる。；現在日本では2割程度の普及率とされるが今後の普及が見込まれている。；こちら側からの利用の方が多いので、やや混雑が見込まれる道路である。；悪い虫のつかんうちにお祖父やんのこれと見込んだ男と結婚しなはれ。；その点を見込まれて、探し物以外でも事件の調査を依頼されることがある。；第8師団が設置された地であり今後の発展を見込んでのことであった。；これはケーブルの定着性も良いと見込まれたうえでの採用でもあった。；そもそも私の能力を最初に見込んでくれたのはまた別の商会でしてね。；時期については病院建築解体の関係から2016年度と見込まれていた。；土地の岡っ引きの姿がないのは、それを見込んで頬被りを決めたものか。；腕に覚えがあればこそ、刀の抜きばえのある相手と見込んだものでしょう。；彼らはこの遠征で大きな利益が得られると見込んでいたのである。；米国防総省の社会主義的な受注調整の対象になると見込まれた為である。；テレビ用途を見込んで複数の方式が開発されたが、普及には至らなかった。；出荷開始は十二月からで、三年間に三万台の販売を見込むとされていた。；また、現道からの通過交通の転換による交通環境の改善が見込まれている。；上記予測結果に基づき、新駅設置で一定の経済効果が見込まれるとした。；おれが見込んだ男なんだから、なにをやったってうまくいくはずだ。；これについては、タクシー用としての需要を見込んでいるためだという。；事故で影響を受けた駅間を結ぶ代行バスは長時間の遅れが見込まれている。；見込んで託けられて見れば、こっちだって相当のことはしなければならん。；しかし、開発費用は当初見積に比べて大幅に超過することが見込まれた。；奴はそういう仕事はてめえで見込んだ奴にじかにやらせる主義なんだ。；てめえの気性を見込んだからこそ、今度の旅にも連れてきたのじゃねえか。；年間八〇万トンから一〇〇万トンも見込んでおけば十分と考えられていたのかもしれない。；そこを見込んで、わたしの知っているだけのことはお話しいたします。；また、声の良さを見込まれて他の部署から呼ばれたケースもあった。</t>
        </is>
      </c>
      <c r="J8024">
        <f>HYPERLINK("https://www.weblio.jp/content/見込む", "词义详情")</f>
        <v/>
      </c>
      <c r="K8024">
        <f>HYPERLINK("https://yourei.jp/見込む", "查看例句")</f>
        <v/>
      </c>
    </row>
    <row r="8025">
      <c r="A8025" t="inlineStr">
        <is>
          <t>未婚</t>
        </is>
      </c>
      <c r="B8025" t="inlineStr">
        <is>
          <t>成功</t>
        </is>
      </c>
      <c r="C8025" t="inlineStr">
        <is>
          <t>読み方：みこん
まだ結婚したことがないこと。結婚の経験がないこと。⇔既婚。→非婚</t>
        </is>
      </c>
      <c r="D8025" t="inlineStr">
        <is>
          <t>未婚男女(3%)；未婚のまま死去(3%)；未婚婦人；未婚の若い；未婚化</t>
        </is>
      </c>
      <c r="F8025" t="inlineStr">
        <is>
          <t>若い未婚；当時未婚；既婚未婚</t>
        </is>
      </c>
      <c r="G8025" t="inlineStr">
        <is>
          <t>未婚の母；未婚者；未婚率；未婚男性；未婚の貴族</t>
        </is>
      </c>
      <c r="H8025" t="n">
        <v>29</v>
      </c>
      <c r="I8025" t="inlineStr">
        <is>
          <t>私は未婚の由基子をこのような立場に置かせたことに苦痛を感じていた。；このように非常に特殊な環境が未婚の若い男女の自由な交際を可能にした。；ユリとは相愛の間柄のはずながら十数年後の未来でも未婚のままである。；未婚の娘たちは両親といっしょにうちの小屋で寝ることになっている。；未婚の男性の場合は多くが「やはり結婚はしたい」というのに、である。；未婚の女性が男と数泊の旅行に同行したことは、彼女の覚悟を示している。；そのためには、未婚時代に何人ものひとと交渉をもった方がよいって。；未婚で死去したため、当時17歳だった弟アルベルトが家督を継承した。；今年で四十になるにも拘らず未婚の市田の瞳の奥には常に美津子がいた。；町の有力者たちも同様で、例えば未婚の青年たちの団体が作られたりしている。；核家族は、一組の夫婦と未婚の子どもによって構成される家族のこと。；未婚の男女が使用しても問題にされないのはそのためである。；当時としては30歳を過ぎた公が未婚だというのは異例のことであった。；いつたい伊太利では未婚の婦人は社交界へは滅多に出ないものなのである。；なお、「女房に累が及ぶ」との理由から結婚せず、生涯を未婚で通した。；カリフォルニアで未婚の人物に認められた最初の養子の1人であった。；そして一三二四年には彼はすでに未婚の娘一人のほかに、既婚の娘が二人あった。；生涯未婚で通したが、アイルランド人の人気女優の恋人だったとされている。；そうした階級の未婚の女性は滅多に外へは出ないし、出してはもらえない。；二人の間には既に第一子も誕生しており、未婚の父であったことも明かした。；ロイドの両親は未婚で若く、父親はほとんど刑務所にいる状態で育った。；彼のいちばん上の姉で未婚の人が家の世話をしていた。；未婚の娘が入院先を秘すのは、たいてい産婦人科関係のトラブルである。；彼の年齢が18歳に達していなかった為、未婚のシングルマザーとなった。；未婚の十代の母親に生まれてくる子供の数は年間に五十万人だ。；ちなみに、当時の電話交換手は一四歳から二五歳までの未婚の女子。；彼女は未婚であるかあるいは子供がいなかったとされる。；列女・王桃と妹の王悦は漢末の時の人で、共に笄年を超え未婚であった。；全ての男たちが、未婚のOLや女子大生に手を出しているとは考えられない。</t>
        </is>
      </c>
      <c r="J8025">
        <f>HYPERLINK("https://www.weblio.jp/content/未婚", "词义详情")</f>
        <v/>
      </c>
      <c r="K8025">
        <f>HYPERLINK("https://yourei.jp/未婚", "查看例句")</f>
        <v/>
      </c>
    </row>
    <row r="8026">
      <c r="A8026" t="inlineStr">
        <is>
          <t>岬</t>
        </is>
      </c>
      <c r="B8026" t="inlineStr">
        <is>
          <t>成功</t>
        </is>
      </c>
      <c r="C8026" t="inlineStr">
        <is>
          <t>読み方：こう
［常用漢字］　［音］コウ（カフ）（漢）　［訓］みさき
みさき。「岬角(こうかく)」</t>
        </is>
      </c>
      <c r="D8026" t="inlineStr">
        <is>
          <t>岬ちゃん(2%)；岬沖；岬付近；岬周辺；岬先生</t>
        </is>
      </c>
      <c r="E8026" t="inlineStr">
        <is>
          <t>先；端；先端；先頭；頂</t>
        </is>
      </c>
      <c r="F8026" t="inlineStr">
        <is>
          <t>和田岬；小さな岬；ジュアン岬；ケメア岬；バージニア岬</t>
        </is>
      </c>
      <c r="G8026" t="inlineStr">
        <is>
          <t>岬美由紀；岬にての物語；岬角；岬太郎；岬之町</t>
        </is>
      </c>
      <c r="H8026" t="n">
        <v>29</v>
      </c>
      <c r="I8026" t="inlineStr">
        <is>
          <t>中央には岬があることから、池全体は「つ」の字のような形をしている。；北部の海岸線は小さな入り江と岬が連続するリアス式海岸となっている。；隠岐の島町の中心地から南に約3km離れた岬半島の先端部に位置する。；二次予選では日向や岬らも戻り、圧倒的攻撃力を得たチームを率いた。；島の南西部に位置するフローラ岬が、歴史的に重要な地点になっている。；当初はリカ姉と二人で行くはずだったが騙され、岬島に一人で行くこととなる。；これによると、新シリーズでは岬の直接の師は友里ではなく舎利弗である。；東のNifti岬との間は湾となっており、この島で唯一の街がある。；岬から5 kmの地点には人口2000 人程の居住区が位置している。；現在は陸続きの岬であるが、かつては離島であったとも言われている。；先に帰還した隊員たちは、2月末までに全員エヴァンズ岬の基地に到着した。；この地の岬の付近でニシンがよく取れたころに命名されたという。；西からこの場所に近づく時はホーン岬と同じような位置関係でこの岬を見ることになる。；与那国島は日本最西端の島であり、西崎はその西端に位置する岬である。；他にもオーストラリアの地名にはペリュー岬とエクスマス湾とがある。；岬の公園には、岬名の由来でもある男女が抱き合う像が立っている。；美容整形外科医の顔を持つ岬京助は、人間同士の醜い争い事が嫌いな男。；彼は北東岬と名付けたが、現在はチェリュスキン岬と呼ばれている。；これは、高い乾燥した砂地の岬にあるカロリング朝の城塞を指している。；岬の先端にはギリシャ神話でハーデースの住居とされる洞窟がある。；島の北西に位置する夢ヶ岬に角島灯台が立ち、島のシンボルとなっている。；駐車場等の施設はないが、県道から岬突端までは海岸沿いに遊歩道がある。；東南端の岩がちな半島の先にヨーロッパ最南端の地・トリピティ岬がある。；さらに南下を続け、次の岬を回ったところで3人は船を降り、海岸に立った。；果たして、隆史は性知識を持たない岬を満足させることができるのであろうか。；岬への取り付け道路は車一台分程度の幅である。；遼東半島の先端の岬は大連市旅順口区にあり、崖海岸の公園になっている。；湖に突き出たトリブシェンの岬にはワーグナーが長く住んだ館がある。；海を見渡す浦田岬の崖上の松林に美人作家・野添紫の文学碑が立っている。</t>
        </is>
      </c>
      <c r="J8026">
        <f>HYPERLINK("https://www.weblio.jp/content/岬", "词义详情")</f>
        <v/>
      </c>
      <c r="K8026">
        <f>HYPERLINK("https://yourei.jp/岬", "查看例句")</f>
        <v/>
      </c>
    </row>
    <row r="8027">
      <c r="A8027" t="inlineStr">
        <is>
          <t>短い</t>
        </is>
      </c>
      <c r="B8027" t="inlineStr">
        <is>
          <t>成功</t>
        </is>
      </c>
      <c r="C8027" t="inlineStr">
        <is>
          <t>読み方：みじかい
［形］［文］みじか・し［ク］
１端から端までの隔たりが小さい。「—・いスカート」「髪の毛が—・い」⇔長い。
２ある時点までの間隔が小さい。久しくない。「人生は—・い」「日が—・くなる」⇔長い。
３（「気が短い」の形で）短気だ。せわしい。「気が—・くてすぐどなる」⇔長い。
４位が低い。身分が卑しい。
「身は沈み位—・くて人げなき」〈源・帚木〉
５思慮が浅い。劣っている。
「おのれが—・き才をもて長物語のこの小冊」〈滑・浮世床・序〉
[派生]みじかげ［形動］みじかさ［名］</t>
        </is>
      </c>
      <c r="D8027" t="inlineStr">
        <is>
          <t>短い時間(4%)；短い期間(3%)；短いもの(3%)；短い言葉；短い距離</t>
        </is>
      </c>
      <c r="E8027" t="inlineStr">
        <is>
          <t>低い；小さい；簡潔；小さ；ちび</t>
        </is>
      </c>
      <c r="F8027" t="inlineStr">
        <is>
          <t>より短い；非常に短い；比較的短い；最も短い；短い毛</t>
        </is>
      </c>
      <c r="G8027" t="inlineStr">
        <is>
          <t>短いファイル名；短いい；短いページ</t>
        </is>
      </c>
      <c r="H8027" t="n">
        <v>29</v>
      </c>
      <c r="I8027" t="inlineStr">
        <is>
          <t>一人でこんな長い旅をするには人間の一生は比較にならぬ程短か過ぎる。；曲の長さも短いものが多く、数秒で終わるような極端に短いものもある。；歴史は短いながら車両規定の変遷が激しく、廃止と復活も経験している。；ジャンヌは戦場にいたときも監禁されていたときも髪を短く整えていた。；またそれ以外の時期でも、朝か夕方のごく短い時間しか観測できない。；バンド名を短くしたのは当時のマネージャーの進言によるものであった。；両時代の在城時期は短く、同時代の明確な遺構は殆ど確認されていない。；尾の短い鳥翼類の系統のうち、最初に多様化を遂げたのが反鳥類である。；脚は短く、長く先の尖った翼とツバメのように二股に分かれた尾を持つ。；だが検討期間が短かったことが、議論に大きな影響を与えることになった。；その中でも亜熱帯性気候とあって春と秋と冬は短く、夏は非常に長い。；記念目的の利用者は200人弱で、午後に入ると局前の列は短くなった。；比較的短い作品にはサットルと呼ばれ、サガから区別されるものがある。；われわれの精神が完全に発達するには一生が短か過ぎるからである。；期間を短くすることによって複雑なブーケと豊かな口当たりが実現した。；サマセット・モームに執筆を依頼し短い作品を連載したところ評判になった。；代謝率の高い生物ほど寿命が短くなる傾向にあることから考えられた。；近代にはステムは短くなり、ベースラインにも達しないようになった。；レモンが乗船してから海に落ちるまでの時間は、かなり短かったんだね。；ふと、私が十代の頃、女の子にしては髪がとても短かった頃を思い出した。；ごく短い期間ではあるが、この称号が実際に一定の根拠を持っていた時期もある。；すなわち指の先と同じとし、長すぎても短かすぎてもいけないというのだ。；この時期、大陸は南極域にあり、短い期間であるが大陸氷河が発達した。；かぎ針は棒針より短く、先端に糸を引っ掛けるために鉤状になっている。；特有の黒い線が前足にあり、名前の由来となる先端が黒い短い尾を持つ。；球果と枝とを結ぶ柄についても長いものから短いものまで種類は様々である。；考えてみれば、長かったのか短かったのか分からない時間の流れがあった。；そのほとんどは1年から長くて十数年の非常に短い期間しか持続しなかった。；エノキタケも光のある場所では、柄が短くしっかりした傘を持つ姿になる。</t>
        </is>
      </c>
      <c r="J8027">
        <f>HYPERLINK("https://www.weblio.jp/content/短い", "词义详情")</f>
        <v/>
      </c>
      <c r="K8027">
        <f>HYPERLINK("https://yourei.jp/短い", "查看例句")</f>
        <v/>
      </c>
    </row>
    <row r="8028">
      <c r="A8028" t="inlineStr">
        <is>
          <t>惨め</t>
        </is>
      </c>
      <c r="B8028" t="inlineStr">
        <is>
          <t>成功</t>
        </is>
      </c>
      <c r="C8028" t="inlineStr">
        <is>
          <t>読み方：みじめ
［形動］［文］［ナリ］《「見じ目」の意》かわいそうで見るにしのびないさま。いたいたしいさま。「—な暮らし」「—に負ける」
[派生]みじめさ［名］</t>
        </is>
      </c>
      <c r="D8028" t="inlineStr">
        <is>
          <t>惨めな姿(3%)；惨めな思い(2%)；惨めな気持ち(2%)；惨めな生活；惨めな気分</t>
        </is>
      </c>
      <c r="E8028" t="inlineStr">
        <is>
          <t>気の毒；哀れ；悲惨；情けない；みすぼらしい</t>
        </is>
      </c>
      <c r="F8028" t="inlineStr">
        <is>
          <t>こんな惨め；そんな惨め；あまりにも惨め；惨めったらしい；惨めったらしく</t>
        </is>
      </c>
      <c r="H8028" t="n">
        <v>29</v>
      </c>
      <c r="I8028" t="inlineStr">
        <is>
          <t>そんなことをしたらかえって自分が惨めになることはよく承知していた。；これほど惨めなクリスマスを送ったのは後にも先にもこの年だけである。；我々はこんなに惨めな居住地にいるお前達を恨みに思う必要はないのだ。；そう考えると、自分はなんと惨めなのだろうかと涙があふれてきました。；口を開いたら自分が惨めになるってわかっていたのに、我慢できなくて。；きみはここから出るべきだ、きみはこの惨めな境遇にもう耐えられない。；陰鬱に雲った空の下を歩いていると、自分の姿が如何にも惨めに思えた。；エルトン氏が再び現れたため、彼女はいっそう惨めな状態に陥っている。；僕が惨めな思いをすればするほど、あとの楽しみが大きくなっていきます。；彼等はその殆んどが半自由労働者なので、どれも惨めな生活をしていた。；あなたのために私の生涯は永久に暗い惨めなものとなってしまいました。；それにしても村の人の生活をこんなに惨めにするものは何であろう。；お父さまの御返事が、わたしを惨めにさせないようにと祈っております。；地球攻撃は失敗であっただけではない、惨めに撥ねかえされたのである。；それは自分たちの惨めな境遇を訴えて総督に救済を求めたものであった。；いや過去の栄華があったぶん、かれらよりよほど惨めで哀れに思われた。；魔法のかかった天井はハリーの気分を映して、惨めな灰色の雨雲だった。；しかしあの時でも、彼は発田の動作に惨めな笑いを感じていたのであった。；作者がこの惨めな事実の上に立つことが出来ないためではないか。；その破屋に住んでいた人々のうちで最も惨めなのは、四人の一家族だった。；自分の書いた脚本が上演されて、それと同じ驚きを感じるなどは、惨めだ。；あれからあと、あんな惨めな思いをしたことはなかった、と彼は考えた。；ようやく、別の空地に出た時には、二人は惨めを通りこした気分だった。；自分自身が堪らなく惨めに思えたり、この上もなく悲壮に思えたりした。；私の人生はとても惨めでしたが、そんなにひどいものでもありませんでした。；自分を導く何物かが、すでに自分に知られてゐるのが、惨めではないか。；即ち栗栖按吉がこのようなたった一人の惨めな生徒であったのである。；おそらく山口にしても、同じか、またはもっと惨めな気持ちだったろう。；自らの宿命がいかに惨めで絶望的かをハイタが初めて意識し始めたのは。</t>
        </is>
      </c>
      <c r="J8028">
        <f>HYPERLINK("https://www.weblio.jp/content/惨め", "词义详情")</f>
        <v/>
      </c>
      <c r="K8028">
        <f>HYPERLINK("https://yourei.jp/惨め", "查看例句")</f>
        <v/>
      </c>
    </row>
    <row r="8029">
      <c r="A8029" t="inlineStr">
        <is>
          <t>未熟</t>
        </is>
      </c>
      <c r="B8029" t="inlineStr">
        <is>
          <t>成功</t>
        </is>
      </c>
      <c r="C8029" t="inlineStr">
        <is>
          <t>読み方：みじゅく
［名・形動］
１果実・作物などがまだ十分に熟していないこと。また、そのさま。「—な梅の実」「実はまだ小さくて—だ」
２学問や技術などの経験・修練がまだ十分でないこと。また、そのさま。「—な技」「処理のしかたが—だ」
[派生]みじゅくさ［名］</t>
        </is>
      </c>
      <c r="D8029" t="inlineStr">
        <is>
          <t>未熟性(7%)；未熟期(5%)；未熟果(3%)</t>
        </is>
      </c>
      <c r="E8029" t="inlineStr">
        <is>
          <t>若い；青い；幼い；下手；雑</t>
        </is>
      </c>
      <c r="H8029" t="n">
        <v>29</v>
      </c>
      <c r="I8029" t="inlineStr">
        <is>
          <t>ここに勤め始めて二箇月だそうで、女の体はまだ未熟なように思えた。；宇宙や空に関連した魔法を得意とし、未熟だがそのバリエーションは広い。；経営や商業の実務に未熟な軍人が乗り出すことによって経済は混乱した。；何もかも生理的にさえまだ出来上っていないかと思われる未熟な女なのだ。；未熟な時は有毒である果物、アキーを食べたのが原因であったとされる。；それは彼の未熟を、まつたくの言うに言われぬ未熟を広告していた。；それは彼の未熟を、まったくの言うに言われぬ未熟を広告していた。；選択の道を誤っているか、もしくは良否の判別が出来得ない未熟からだ。；穂が未熟な間は、まるで緑色の金平糖をお皿に盛り付けたように見える。；しかし天野いちごに製菓の経験はほとんどなく、その腕も未熟であった。；この地域の土壌は1万年前より新しいもので、今でも未熟な土壌である。；不良少年のように未熟な振る舞いをしてしまい、非常に後悔しています。；大きな問題は、この障害に対する福祉制度がまだ未熟であることにある。；医師の未熟なために臣民が危険に陥らないように余はこのように配慮する。；外に遊覧に出た際、ある者が一握りの未熟な稲を持っているのを見かけた。；この遅れの一部は原子炉建設で未熟な下請けの監督の欠如が原因であった。；未熟な血管が存在することもあり、この場合血行性転移を起こしやすい。；亡くなった母・そなたのようなプリズムスターを目指しているが、未熟。；シロッケの卵にわ未熟なものが多いが、ブナッケには未熟なものわ無い。；未熟児とは、早産児や低出生体重児などの未熟性の強い児のことである。；芸名は「未熟なときの気持ちを忘れないように」とTAKUROが命名。；この学生演劇は未熟なものであったが、次第に上海で広まっていった。；これは単なるスケッチで多くの点が未熟で将来の大作の草案であった。；でも負けたのは、左ステッキに持ち替えられなかった自分の未熟さのせい。；技術が未熟であった頃は、その価格差が2倍に達するケースもあった。；骨髄系を違う分化をたどることになった未熟な細胞がリンパ芽球である。；未熟時には果胞は軸に密着しているので、かなり異なった印象になる。；果皮は未熟な果実では緑色で、成熟すると薄い黄色から濃い橙色になる。；急ごしらえの未熟な兵には、枝葉は間合いをはかる役にも立ったという。</t>
        </is>
      </c>
      <c r="J8029">
        <f>HYPERLINK("https://www.weblio.jp/content/未熟", "词义详情")</f>
        <v/>
      </c>
      <c r="K8029">
        <f>HYPERLINK("https://yourei.jp/未熟", "查看例句")</f>
        <v/>
      </c>
    </row>
    <row r="8030">
      <c r="A8030" t="inlineStr">
        <is>
          <t>ミシン</t>
        </is>
      </c>
      <c r="B8030" t="inlineStr">
        <is>
          <t>成功</t>
        </is>
      </c>
      <c r="C8030" t="inlineStr">
        <is>
          <t>《sewing machineから》
１布・紙・革などを縫い合わせたり、刺繍(ししゅう)したりするのに使う機械。
２紙などの切り取り線上にあけた点線状の穴。</t>
        </is>
      </c>
      <c r="D8030" t="inlineStr">
        <is>
          <t>ミシン針；ミシンメーカー；ミシン会社；ミシン台；ミシン糸</t>
        </is>
      </c>
      <c r="F8030" t="inlineStr">
        <is>
          <t>工業用ミシン；足踏みミシン；電動ミシン；式ミシン；自動刺繡ミシン</t>
        </is>
      </c>
      <c r="G8030" t="inlineStr">
        <is>
          <t>ミシン油</t>
        </is>
      </c>
      <c r="H8030" t="n">
        <v>29</v>
      </c>
      <c r="I8030" t="inlineStr">
        <is>
          <t>同じ仕事をミシンでやれば一日でできるものを、一週間もかけてやった。；部屋の呼び鈴を押すとミシンが出てきたが、見たこともないものだった。；そして明治の末には早くも学校にミシンが入って洋裁を教えたという。；それから、ミシン針が鉄で出来ている事も知らないものはありません。；見れば確かに、姉の愛用しているミシン台の上に、白い服が載っていた。；ここでは巨大なミシンを使って五人の男性が補修をしているみたいだった。；そのミシンには現代のミシンとも共通する3つの基本的特徴を備えていた。；マージの部屋は裁縫室らしく、隅にミシンや各種の生地が置かれていた。；その知識はパリで有名なミシン製造者から学んだものであった。；足ぶみのミシンではありませんから、坐っていてお仕事が出来るのです。；後に独自にミシンを発明したエリアス・ハウとの間で、裁判となった。；ちなみに、日本で最初にミシンを扱ったのは、天璋院だといわれている。；この期間中に彼は、最初の発明となったミシンのベルト留め具を開発した。；ミネの家の中の凡ての物の中でミシンはその最高の部類のものである。；彼は六畳の間借へつれてきて、裸になった彼女をミシン用の椅子にかけさせた。；電気蓄音機を買ったのも、ミシン機械を買ったのもこういう時だったのです。；家の中に四台のミシンを並べ、第一グループはパンツを縫っていった。；また、豊富な工業用アタッチメントの一部や工業用ミシン針が利用出来る。；更生のため販売活動を中心にした業態となり、ミシン製造からは撤退した。；通常のミシンのような直線縫いはできず、布の端だけを縫うことができる。；ミシンが規則的な音を立てて、前掛けの天地を重ねて縫い合わせていく。；製造設備は三和精密機械などに売却され工業用ミシンの生産に使われている。；ミシンのセールスの世界は女に関する情報にかけてはしっかりしている。；カナリアがいちばんいっしょにうたいたいと思う楽器は、ミシンですね。；昨日まで、元気にミシンのペタルを押していた安さん夫婦を想い出すなり。；しかし、ミシンを使うのに、なぜ防音装置をほどこさねばならないのか。；戦後に武器製造は中止し、使用していた工作機械を活用しミシンを作り始めた。；大正初めにドイツから輸入したミシン二台は残ってましたがね。；このときに、自宅にミシンを保管するためのロッカーと鍵が二つ必要です。</t>
        </is>
      </c>
      <c r="J8030">
        <f>HYPERLINK("https://www.weblio.jp/content/ミシン", "词义详情")</f>
        <v/>
      </c>
      <c r="K8030">
        <f>HYPERLINK("https://yourei.jp/ミシン", "查看例句")</f>
        <v/>
      </c>
    </row>
    <row r="8031">
      <c r="A8031" t="inlineStr">
        <is>
          <t>微塵</t>
        </is>
      </c>
      <c r="B8031" t="inlineStr">
        <is>
          <t>成功</t>
        </is>
      </c>
      <c r="C8031" t="inlineStr">
        <is>
          <t>読み方：びじん
⇒みじん（微塵）</t>
        </is>
      </c>
      <c r="D8031" t="inlineStr">
        <is>
          <t>微塵もなく(8%)；微塵も動か；微塵数；微塵たり；微塵に粉碎</t>
        </is>
      </c>
      <c r="E8031" t="inlineStr">
        <is>
          <t>粒子；一点；埃；少量；かけら</t>
        </is>
      </c>
      <c r="F8031" t="inlineStr">
        <is>
          <t>藍微塵；ぱ微塵；木ッ端微塵；真向微塵；宇宙微塵</t>
        </is>
      </c>
      <c r="G8031" t="inlineStr">
        <is>
          <t>微塵切り；微塵流；微塵粉</t>
        </is>
      </c>
      <c r="H8031" t="n">
        <v>29</v>
      </c>
      <c r="I8031" t="inlineStr">
        <is>
          <t>が、その底には微塵の如き本体の分らぬものが無数に押し合っていた。；革袋が一瞬にして炎の塊と化し、巨大な扉の一部を微塵に吹き飛ばした。；微塵の隙もないないその姿を見届けた豪軍は、鼻を鳴らして目を眇める。；彼は同じ人から昨日叱責された恨みなどは、もう微塵も残っていなかった。；何年もそこに置かれていた彫像のように雄司は微塵も動かなかった。；ここで見つめていることに微塵も気がついている様子はない。；この若くて艱難をした新領主に楯を突く心は微塵もなくなつて居たのです。；だから、その点に於ては、微塵、人も許さず、自分も許してはいない。；少年たちがつき従ってくることに、微塵の疑念も抱いていないようだ。；そんな四人なのに、今はこうして微塵の暗い影もなくドラッグの話をしている。；天文学者が「宇宙」と云っている所は無限大の実在の一微塵に過ぎない。；さっきまで湧きあがっていた衝動は、もう微塵も残っていないけれど。；往路に抱いていた功名心も、多少のうぬ惚れも、今は微塵に崩れていた。；それ以下の程度の五人の奴は、大方木葉微塵となつたかも知れやしない。；まるで、時計が床に落ちて微塵に壊れでもしたような挨拶である。；お通さん、わしの今いう言葉には微塵、嘘も衒いもないことを信じてくれ。；ぼくが漠然と感じていたあの不安定感が、今は微塵となくなっている。；気をつけて見ると、唇もいつのまにか微塵のひびに犯されているのである。；遺体が発見されたのは、村落の南東にある微塵間という波打ち際であった。；若し人工心臓が出来た暁には、筋肉説も神経説も木っ葉微塵に砕かれる。；だって、自分は兄の面影なんて微塵も覚えていなかったのだから。；もう一度、向かい合ったなら、自分の意志なんて微塵に砕かれるだろう。；それでこの物質微粒子は、間もなく微塵体の中心に向かって落下し始める。；同時にくぐりの小門にはさまれて頭蓋骨を微塵に砕かれた一頭がある。；「何か御用ですか」藤村の声には微塵の暖かさも含まれていなかった。；父の頭部と左手は、微塵間の近くからすぐに発見された。；星が微塵に砕け始め、雲のようなこまかい星屑が虚空を舞い落ちてきた。；彼らはその船を微塵に砕いた上で、来た道から帰って行った。；それでもなお、彼女の美しさは微塵も失われていなかった。</t>
        </is>
      </c>
      <c r="J8031">
        <f>HYPERLINK("https://www.weblio.jp/content/微塵", "词义详情")</f>
        <v/>
      </c>
      <c r="K8031">
        <f>HYPERLINK("https://yourei.jp/微塵", "查看例句")</f>
        <v/>
      </c>
    </row>
    <row r="8032">
      <c r="A8032" t="inlineStr">
        <is>
          <t>微塵も</t>
        </is>
      </c>
      <c r="B8032" t="inlineStr">
        <is>
          <t>成功</t>
        </is>
      </c>
      <c r="D8032" t="inlineStr">
        <is>
          <t>微塵もない(24%)；微塵も感じ(14%)；微塵もなかった(12%)；微塵もなく(2%)；微塵もあり</t>
        </is>
      </c>
      <c r="E8032" t="inlineStr">
        <is>
          <t>まるで；全く；全然；毛ほど；毛ほども</t>
        </is>
      </c>
      <c r="F8032" t="inlineStr">
        <is>
          <t>微塵も不安；微塵も想像；微塵も動揺；微塵も浮かん；微塵も感じさせ</t>
        </is>
      </c>
      <c r="H8032" t="n">
        <v>29</v>
      </c>
      <c r="I8032" t="inlineStr">
        <is>
          <t>私は、そんな事を考えているとは微塵も表情に出さずにはじめ君に言う。；君がいくら邪魔立てしようとも、僕の予定は微塵も変更されないのです。；そのような事を考えているのを微塵も顔に出さず、私は笑顔で挨拶をした。；不意に喉元に冷たい刃をあてられても、彼は微塵も表情を変えなかった。；そのときの私には、だれに対する愛情も微塵も残っておりませんでした。；最後の選択を実行に移してからは、自由の意識などは微塵もなかった。；キッチンと同様に、部屋の中には誰かが生活していた痕跡は微塵もない。；そんなことをする余裕など微塵もないのに、そうせざるを得なかった。；これから自分の身に何が起こるかを微塵も感じていない顔を見て。；あとで判つたところによると、当太郎は微塵も怪我をしてゐないのだ。；彼らの誰一人として、自分たちの仕事に微塵も誇りを抱いていなかった。；もちろんそんなことなど、微塵も表情に出したりはしなかったけれど。；それを斃したからといって先の勢力が微塵も減殺されるわけでもない。；父は最初から二人を別れさせようとする意志は微塵も見せなかつた。；数時間前は自宅の庭を手入れする幸せな女性、暗い影など微塵もなかった。；必死にもみあう二人の顔には、もはや曾ての仲のやさしさは微塵もない。；私の心のどこをさぐってみても、典子に対する愛情など微塵もないのだ。；我子に対する愛着など微塵もなく、ただ自分達の罪の発覚を恐れたのだ。；しかし普段はそんな重い過去を微塵も見せず、飄々とした態度を取る。；わたしのすぐ側を通りすぎることは何度かあったが、気づいた様子は微塵もない。；当太郎を訪ねたい気持は微塵もなかつたのだし、どこへ行きたい気持もなかつた。；こいつは、俺が裏切って逃げ出す、なんて事を微塵も考えていないんだ。；彼女は手に入れたいまの生活に微塵も疑問をもってはいないのだ。；パンチドランカーとは微塵も感じられないトリッキーで早い動きだった。；直前まで自ら命を断とうとしていたと云う悲愴感などは微塵も感じられない。；ケネディが何かをつかんでいるとは微塵も感じなかったのである。；かなり大変な作業だったろうが、そんなそぶりは微塵も見せなかった。；小坂は自分のしていることが分裂しているなどとは微塵も思っていなかったのだろう。；この程度のことで妹が躓くなどと、達也は微塵も考えていなかったが。</t>
        </is>
      </c>
      <c r="J8032">
        <f>HYPERLINK("https://www.weblio.jp/content/微塵も", "词义详情")</f>
        <v/>
      </c>
      <c r="K8032">
        <f>HYPERLINK("https://yourei.jp/微塵も", "查看例句")</f>
        <v/>
      </c>
    </row>
    <row r="8033">
      <c r="A8033" t="inlineStr">
        <is>
          <t>水</t>
        </is>
      </c>
      <c r="B8033" t="inlineStr">
        <is>
          <t>成功</t>
        </is>
      </c>
      <c r="C8033" t="inlineStr">
        <is>
          <t>読み方：すい
［音］スイ（呉）（漢）　［訓］みず
［学習漢字］1年
〈スイ〉
１みず。「水火・水害・水滴・水道・水分・水泡／汚水・温水・海水・給水・洪水(こうずい)・散水・浸水・薪水・断水・排水・噴水・防水・名水・用水・流水・霊水」
２川・湖など、水のある場所。「水域・水運・水軍・水産・水陸／湖水・山水・治水・背水」
３液体状のもの。「水銀／経水・香水・化粧水」
４水素のこと。「水爆」
〈みず〉「水色／大水・塩水・泥水・生水・湯水・若水」
［名のり］たいら・な・なか・み・みな・ゆ・ゆく
［難読］水綿(あおみどろ)・水黽(あめんぼ)・水夫(かこ)・水鶏(くいな)・水母(くらげ)・水団(すいとん)・手水(ちょうず)・礬水(どうさ)・水脈(みお)・水翻(みずこぼし)・水準(みずばかり)・水上(みなかみ)・水無月(みなづき)・水泡(みなわ)・水松(みる)・水雲(もずく)</t>
        </is>
      </c>
      <c r="D8033" t="inlineStr">
        <is>
          <t>水面上；水桶；水飛沫；水需要；水タンク</t>
        </is>
      </c>
      <c r="E8033" t="inlineStr">
        <is>
          <t>給水；ウォーター；お水；ウオーター</t>
        </is>
      </c>
      <c r="F8033" t="inlineStr">
        <is>
          <t>扇水；黒い水；京水；湛水；青い水</t>
        </is>
      </c>
      <c r="G8033" t="inlineStr">
        <is>
          <t>水中；水平；水準；水路；水田</t>
        </is>
      </c>
      <c r="H8033" t="n">
        <v>29</v>
      </c>
      <c r="I8033" t="inlineStr">
        <is>
          <t>後にシューマンは長い手紙を書いてリストに送ってこの件を水に流した。；これはほとんどの場合は、水がある時期に外から侵入してくるためである。；現代でも食料・飲み水・農業・輸送などあらゆる面で国民生活を支えている。；安全な飲み水を確保することは、古の時代から重要な課題であった。；水の雲は惑星内部から供給される熱を受けて、雷のエネルギーを蓄積する。；表水層と深水層との間には水温躍層と呼ばれる温度変化の大きい層がある。；さらに、アンモニアの雲の下には薄い水の雲が存在すると予想される。；逆に暑さには強く、夏が近づくと水を大量に飲み、大量に汗をかいた。；油漏れ・錆・その他水による機械系統への損傷の徴候は見られなかった。；水を主成分とする海は地球誕生後まもなく形成され、現在まで継続している。；一定圧力下で常温の水をゆっくり加熱すると、ある温度で蒸気に変わる。；雲から凝縮して大きめの水滴となって地上に落ちてくる水は雨と呼ぶ。；濃い黄色または琥珀色は、より多くの水を飲む必要があることを示している。；湖沼は、周囲を陸に囲まれ海と直接連絡していない静止した水の塊である。；まず平原の低いところに水が集まって河道が形成されるのが幼年期である。；水にフッ素を反応させると、激しく反応してフッ化水素と酸素が生じる。；時期により水の流れない場合があるものもあるが、それも含めて川と呼ばれる。；中国の五行説では、5つで木・火・土・金・水の五行に対応している。；また、保温状態の炊飯ジャーを利用し水を使わずに作ることも可能である。；飲むことができる水を確保しておくことは大切である。；津波による水の圧力は非常に大きく、沿岸の広い地域に被害を与える。；これらを水に溶かした際に示す性質がアルカリという概念の始まりである。；生物体を構成する物質で、最も多くを占める物質は水である。；これらの事がらは、水に限らず一般の物質に共通した性質である。；水の用途は様々で、採掘現場から土や余分な岩を取り除くのにも使われた。；水は人類にとって身近であって、地球上の生物の生存に必要な物質である。；液体の水が存在できるのはヘラス盆地など限られた場所のみである。；吸収器でアンモニアを水が吸収しているアンモニア水溶液がつくられる。；このトマトソースは水も油も入れずトマトだけを煮詰めたものだった。</t>
        </is>
      </c>
      <c r="J8033">
        <f>HYPERLINK("https://www.weblio.jp/content/水", "词义详情")</f>
        <v/>
      </c>
      <c r="K8033">
        <f>HYPERLINK("https://yourei.jp/水", "查看例句")</f>
        <v/>
      </c>
    </row>
    <row r="8034">
      <c r="A8034" t="inlineStr">
        <is>
          <t>湖</t>
        </is>
      </c>
      <c r="B8034" t="inlineStr">
        <is>
          <t>成功</t>
        </is>
      </c>
      <c r="C8034" t="inlineStr">
        <is>
          <t>読み方：こ
［音］コ（漢）　［訓］みずうみ
［学習漢字］3年
１みずうみ。「湖岸・湖沼・湖上・湖水・湖畔／鹹湖(かんこ)・江湖・大湖」
２中国の洞庭湖。「湖南・湖北」
［名のり］ひろし</t>
        </is>
      </c>
      <c r="D8034" t="inlineStr">
        <is>
          <t>湖周辺；湖広；湖付近；湖群；湖辺</t>
        </is>
      </c>
      <c r="E8034" t="inlineStr">
        <is>
          <t>湖水；レーク</t>
        </is>
      </c>
      <c r="F8034" t="inlineStr">
        <is>
          <t>大きな湖；小さな湖；相模湖；蕪湖；ロプ湖</t>
        </is>
      </c>
      <c r="G8034" t="inlineStr">
        <is>
          <t>湖水；湖沼；湖面；湖南省；湖岸</t>
        </is>
      </c>
      <c r="H8034" t="n">
        <v>29</v>
      </c>
      <c r="I8034" t="inlineStr">
        <is>
          <t>湖の周囲には遊歩道が整備されているが、岸は自然なままにされている。；北極付近の湖や海に、大量の液体が存在していることが明らかになった。；たとえば湖のある種の魚がどれだけ生息しているかを考えてみる。；島はどれも沿岸近くに位置し、湖の中心部近くには全く存在しない。；湖や川には約500種の魚類が生息しており、その多くは固有種である。；海上での伝承が多いが、海のない地方でも河、湖、沼に現れたともいう。；助はこの話を大いに不思議に思ったけれど、残っていた膾を湖に捨てさせた。；島の最南端の半島にグレート・ソルト池と言う湖に近い大きな池がある。；湖の北側と南側で水深は大きく異なり、北側は深く、南側は比較的浅い。；琵琶湖に接する搦手口にも城下町があり、湖には百間橋が架かっていた。；地方の豪族が築いた、大陸の南西に位置する森と湖に囲まれる自然豊かな王国。；他には各山脈から湖や海岸に向かって流れる多数の中小河川がある。；この小さな火山がかつて巨大なクレーターを作り、湖にしたのである。；メリーランド州の地形で特徴的なのは自然湖が無いことである。；五大湖の中で米国国内のみにあり、カナダとの国境の一部でない唯一の湖である。；この湖に棲息する魚類のコミュニティは長期に渡って変化していない。；アイヌの湖のヘビの伝説もこれから連想されたのではという見方もある。；一般に海は生物相が豊富であり、海水に起源のある湖は豊富な生物相を持つ。；川、湖、ダムなどの中に作られたものがある一方、人工のものもある。；また、湖を形成する前に砂漠の途中で消滅してしまいワジとなる河川も多い。；動物同様に、人類も昔から河川・池・湖・海などで泳いでいた。；湖の周囲には数多くの町があり、3万人以上の都市だけでも16を数える。；湖が生まれたのは今から約千年前と言われる。；時間旅行者の行為は大きな湖に石を投げ込むようなものだとする。；中央部を相模川・相模湖・中央本線・国道20号・中央道が横断している。；イジェフスクの工場の多くは今でもこの湖の周りに立地している。；湖の面積の約5割が水深5m以上であり、湖底はほぼ水平となっている。；古代には福井平野は大きな湖であり、洪水のたびに水害が起きていた。；絵の趣味は弟子の北の湖や息子の増位山にも受け継がれている。</t>
        </is>
      </c>
      <c r="J8034">
        <f>HYPERLINK("https://www.weblio.jp/content/湖", "词义详情")</f>
        <v/>
      </c>
      <c r="K8034">
        <f>HYPERLINK("https://yourei.jp/湖", "查看例句")</f>
        <v/>
      </c>
    </row>
    <row r="8035">
      <c r="A8035" t="inlineStr">
        <is>
          <t>自ら</t>
        </is>
      </c>
      <c r="B8035" t="inlineStr">
        <is>
          <t>成功</t>
        </is>
      </c>
      <c r="C8035" t="inlineStr">
        <is>
          <t>読み方：みずから
《「み（身）つから」の音変化。「つ」は「の」の意の助詞。身そのもの、の意》
［名］自分。自分自身。「彼は—の力で勝った」「—をかえりみる」
［代］一人称の人代名詞。多く、身分の高い女性が自分をさしていう。わたくし。
「—は九重のうちに生ひ出で侍りて」〈源・少女〉
［副］ほかの人の力に頼らないで自分の力で行うさま。手ずから。自分で。「—あやまちを認める」「—命を絶つ」</t>
        </is>
      </c>
      <c r="D8035" t="inlineStr">
        <is>
          <t>自ら命；自ら志願；自ら望ん；自ら指揮；自ら死</t>
        </is>
      </c>
      <c r="E8035" t="inlineStr">
        <is>
          <t>自分；自身；直接；本人；自己</t>
        </is>
      </c>
      <c r="F8035" t="inlineStr">
        <is>
          <t>自ら率いる；自ら陣頭；自ら皇帝；自ら任じ；自ら考案</t>
        </is>
      </c>
      <c r="H8035" t="n">
        <v>29</v>
      </c>
      <c r="I8035" t="inlineStr">
        <is>
          <t>労働者は自らの労働力を商品化し、資本家にそれを売って生活している。；しかし彼は、最期まで自らが発見した島をアジアだと主張し続けたという。；興行の中においては自らの役割を確実に果たすことが求められるのである。；すなわち仏がその悟りの奥深広大なるを自ら楽しんで受けることをいう。；ほとんどの連合軍諸国は、自らの作戦及び戦闘を様々な名称で呼んだ。；人間は、知識だけでなく、自らの精神や心にも注意を向けることができる。；歴史家で自らも戦時中に暗号解読に従事していたは次のように述べている。；中華民国は戦後も自らが中国の唯一の正統な国家だと主張していた。；古代ローマでは、個々の市民が自ら訴えを提起しなければならなかった。；シュミットはその後、自らの体験を自費出版した後に行方不明となった。；当初は社長であるダグ自らプログラムを組み、セールスして回っていた。；このとき作った節を、作曲家になった後で気に入って自ら出版したこともある。；戦後の監督作品では、映画の中の小道具や看板のデザインを自ら手がけている。；自らの作品のほか、多くの楽曲をほかの歌手に提供している。；自らの体型に合わせた特注品であり制作費用は100万円以上であった。；神の命令の範囲内で、人は自らの進路を選択する自由意志が与えられている。；特に後者は、まるで相手が自らミルコの足に当たりに行っているように見える。；数年間取り組んでいた交響曲第8番は彼が自ら焼却してしまっている。；狂人は自らの行為について責任をもたない、とみなされているのである。；昭和後期以降は、自ら積極的に大衆小説作家を名乗る作家は多くない。；犯人自ら警察に通報したものの、警察は特に法的措置は取らなかった。；そうすることで信長は「鬱憤を散じ」たのだと、自ら書状に記している。；フランス軍は追撃したが、直ぐに自らが困難な状況にあることに気づいた。；つまり経済の自由放任を維持することで市場は自らの調整能力を発揮することが可能となる。；鉄雄はやがて、薬物でも自らの力を抑えられないようになっていく。；この発想は、チベット仏教が対中国的に自らの権威を強調するのに利用された。；企業などの団体が自身を紹介するため自ら構築したサイトをその団体の公式サイトなどと呼ぶ。；ゲドは先の旅で全ての力を失い、大賢人の地位を自ら降りて故郷の島へ帰ってきた。；国人や家臣は守護の影響を排除して自らの地盤を固め、領主化していった。</t>
        </is>
      </c>
      <c r="J8035">
        <f>HYPERLINK("https://www.weblio.jp/content/自ら", "词义详情")</f>
        <v/>
      </c>
      <c r="K8035">
        <f>HYPERLINK("https://yourei.jp/自ら", "查看例句")</f>
        <v/>
      </c>
    </row>
    <row r="8036">
      <c r="A8036" t="inlineStr">
        <is>
          <t>水着</t>
        </is>
      </c>
      <c r="B8036" t="inlineStr">
        <is>
          <t>成功</t>
        </is>
      </c>
      <c r="C8036" t="inlineStr">
        <is>
          <t>読み方：みずぎ
水泳のときに身につけるもの。海水着。《季夏》</t>
        </is>
      </c>
      <c r="D8036" t="inlineStr">
        <is>
          <t>水着グラビア(2%)；水着審査；水着着用；水着写真；水着特集</t>
        </is>
      </c>
      <c r="E8036" t="inlineStr">
        <is>
          <t>海水着；水泳着；スイムスーツ</t>
        </is>
      </c>
      <c r="F8036" t="inlineStr">
        <is>
          <t>ハイレグ水着；ビキニ水着；白い水着；赤い水着；新しい水着</t>
        </is>
      </c>
      <c r="G8036" t="inlineStr">
        <is>
          <t>水着キャンペーンガール；水着モデル；水着の女王；水着少女；水着のサイズ</t>
        </is>
      </c>
      <c r="H8036" t="n">
        <v>29</v>
      </c>
      <c r="I8036" t="inlineStr">
        <is>
          <t>そしてその新しい水着を彼女がまだ着ていないことも、じきにわかった。；なお、2年ほどのモデル時代は水着の仕事さえも経験がなかったという。；なにぶん彼女の水着を選ぶなんて初めてのことだったから、緊張したよ。；あのオレンジ色の水着を手はじめに、次から次へと新しい服を贈られた。；勝利後には着ていた水着と必殺技を獲得し次の試合に使用できるようになる。；薄目を開けてみると、そこには水着を着た若い女性が立っていました。；小学校3年生以下の子供は、水着を着用した大人が同伴する必要がある。；そしてからだにぴったり合った絹の水着を着て、ふたたび姿を現わした。；水には裸で入ればいいのに、水着という専用の服を作って身につける。；その後、ミズノとデサントがこの素材を一部に使用した水着を発表した。；水ぎはの波の色は糸を引いたやうな黄色い湯花の波で、不思議な景色だ。；すわっている私のすぐ前に、競泳用の水着を身につけた彼女が立っていた。；とはいっても、才人の世界でいう水着のようなものを身につけて入るのだが。；マリイはわれわれ二人の水着とタオルとを入れた、防水袋を私に示した。；非常な困難を伴ったが、なんとか適切な水着を見つけることができた。；それと女々さんはなぜか、水着に着替えないで先に部屋から出て行った。；赤い水着を着た女と、小さな子供が二人、そのあたりの岩場で遊んでいる。；中身が買ったばかりのビキニの水着であることも、野々山は知っている。；また、壁面の水着やヌード写真を採用した垂れ幕も当時の話題となった。；水泳は後々まで趣味としており、営業には欠かさず水着を持参していた。；中国および日本において女性向けの水着を中心に販売を展開している。；海外通信の、水着の女性の写真が掲載されているあたりを、熱心に読んでいる。；誰もみなウエット・スーツの下には水着をつけているものと思っていたからだ。；どこから見ても大人の女だと思わせる身体には、去年の水着のあとが残っている。；女性用には水着のパレオの様に短いスカートを付属させていることもある。；その夜、メグは水着をどんどん脱いでいくストリップ風の曲に出演する。；袋の中に二人の水着とビーチサンダルを入れる事は、直前に決めた。；日本以外の温泉や公衆浴場では水着や前掛けを着用して入るのが一般的である。；全員で昼食を食べたあと、夏子はその部屋で水着に着替えて庭に出て来た。</t>
        </is>
      </c>
      <c r="J8036">
        <f>HYPERLINK("https://www.weblio.jp/content/水着", "词义详情")</f>
        <v/>
      </c>
      <c r="K8036">
        <f>HYPERLINK("https://yourei.jp/水着", "查看例句")</f>
        <v/>
      </c>
    </row>
    <row r="8037">
      <c r="A8037" t="inlineStr">
        <is>
          <t>水気</t>
        </is>
      </c>
      <c r="B8037" t="inlineStr">
        <is>
          <t>成功</t>
        </is>
      </c>
      <c r="C8037" t="inlineStr">
        <is>
          <t>読み方：すいき
１みずけ。しめりけ。
２水蒸気。水煙。
３からだがむくむこと。水腫(すいしゅ)。浮腫(ふしゅ)。
「少し—が来たようにむくんでいる」〈芥川・鼻〉</t>
        </is>
      </c>
      <c r="D8037" t="inlineStr">
        <is>
          <t>水気をふくん(3%)；水気をよく；水気技術；水気エネルギー；水気付い</t>
        </is>
      </c>
      <c r="E8037" t="inlineStr">
        <is>
          <t>湿気；湿；湿り気；湿り；しとり</t>
        </is>
      </c>
      <c r="H8037" t="n">
        <v>29</v>
      </c>
      <c r="I8037" t="inlineStr">
        <is>
          <t>あるいは油っ濃いものと水気の多いものとの組み合わせも考えられます。；どこにも木や植物がありそうにない、したがって水気はどこにもない。；周囲の壁は地下の水気がにじみ出た、洞窟の壁のような状態になっている。；全身が汗をかいていて、寝巻は水をかぶったように水気を帯びている。；僕僕は熱の病だから水気を切らさぬように、と注意して立ち上がった。；これは煮魚のような食物の水気を切るには、この上なしの仕掛けである。；つまり、皮膚が水気を吸収してふくらむ状態になる前に抜けてしまったのよ。；ぶるる、とかぶりを振って水気を飛ばす姿は、まるで本物の猫みたいだ。；臀の下に男の海水パンツの水気が感じられたので、すこし腰を浮かせる。；わずかでも水気を含んだものは、体の中に還元してやらなければならないのだ。；この新しい家はよく実が入っていて、おいしくて、水気がありました。；水気をふくんで重いお新さんの髪が、夜の畳の表でばさりっと鳴った。；そしてしまりのない顔を山下に向けて、水気の多い口調でこう云った。；強くはないものの、水気を含んだ冷たい風が容赦なく体温を奪っていく。；タオルで充分に水気をとった後の髪にざっとドライヤーをあてて乾かす。；すぐ、この前に会ったときの蒼い水気をふくんだ顔をすぐ思い出した。；水気の多いところを好み、渓流のそばや水路の脇などによく出現する。；遊馬は犬のように頭を振って髪の水気を切り、青い前髪を掻き上げた。；水気を帯びた音は次第に高く、くちゃくちゃと卑猥なものに変化していく。；口に含むと、確かに王方平が言っていたとおりの甘みと水気の多さである。；たっぷりと水をやったので、畝の地面にはうっすらと水気が浮いている。；宇宙服の下になっていたフロアには、なお薄く水気の跡が残っていた。；まだ十分に感じさせていなかったせいか、アルクェイドの中は水気が足りない。；その水とも霧ともつかない水気が、室の中まで押しこんできます。；水気を失った背の低い雑草がところどころに生えているだけだった。；だいたい洞窟や滝のような暗くて水気のあるところに出現する。；長い髪にも水気が多く、それが彼女の薄い胸にべったりとへばりついていた。；たぶん、かれの水気はのこらず奥さんが吸い上げてしまったのだろう。；幸いまだ水気が多かったためか、火は大きくはならなかった。</t>
        </is>
      </c>
      <c r="J8037">
        <f>HYPERLINK("https://www.weblio.jp/content/水気", "词义详情")</f>
        <v/>
      </c>
      <c r="K8037">
        <f>HYPERLINK("https://yourei.jp/水気", "查看例句")</f>
        <v/>
      </c>
    </row>
    <row r="8038">
      <c r="A8038" t="inlineStr">
        <is>
          <t>水溜り</t>
        </is>
      </c>
      <c r="B8038" t="inlineStr">
        <is>
          <t>成功</t>
        </is>
      </c>
      <c r="F8038" t="inlineStr">
        <is>
          <t>大きな水溜り；浅い水溜り；ところどころに水溜り；深い水溜り；巨大な水溜り</t>
        </is>
      </c>
      <c r="H8038" t="n">
        <v>29</v>
      </c>
      <c r="I8038" t="inlineStr">
        <is>
          <t>水溜まりの上にゴミ袋を置き壁に手を伸ばして電気のスイッチを押した。；廊下は、濡れた足で入って行く客のために、方々に水溜りが出来ていた。；道に出来ていた広い水溜りの上を、車は満足な減速もせずに突っ切った。；所々に水溜りができているので、柵の所まで行くのが容易ではなかった。；老人の命じた命令は音をたてずして水溜りの中に放尿せよということだった。；彼は薄日の光を浴びて、水溜りの多い往来にゆつくりと靴を運んでゐた。；それに、水溜りに落ちたわけでもないのに濡れているように見える。；なるほど床は水びたしになっており、隅のほうには水溜りさえできている。；坂の途中からは真暗であるが、慣れた道と見えて巧に水溜りを避けて行く。；極端な場合には、馬の足型だけの水溜りがあれば、千匹もいるなどという。；そこには昨日の台風の雨をなみなみと湛え、巨大な水溜りができていた。；ときどき彼女の足はその水溜りの中に入つて、鈍い、かすかな音を立てた。；太陽は柳の羽毛で覆われた水溜りにまっすぐに光を落しているのだと。；何か当てがあったわけではなく、彼は足を縺れさせて水溜まりにへたり込んだ。；水溜まりの焦土を走る車は、國子が少年院から出るときに乗って以来だ。；ただ、どんなに小さくなっても、水溜りくらいにしておいてください。；世界一美しい水溜りだ、と葉子が言った光景が目の前に広がっていた。；女の子は、水溜まりに波紋を残しながら、男の子の元に駆け寄っていた。；さらに、流れ込んできた雨水が、あちこちに水溜まりや池を作っている。；翌々日、空は晴れあがっていたが、街道にはまだ処々に水溜りがあった。；停留場より余の家に来る途中、道低きため膝まで没する水溜りできたり。；沼の西に血ノ池というのがあるが、小さな水溜りに過ぎないものである。；その水溜まりの臭いが今も鼻について、気が遠くなりそうではないか。；雨がふりつづいて、本町通りの街灯の下には小さな水溜りが輝いていた。；バンドの練習場が浸水し、そこに泥の水溜りが残ったことに由来する。；そこの土を上の方へ掘って行きますと、深い水溜りの底へ出ます。；空は地面にのこっている水溜りにその碧色と白い小さな雲とをうつす。；彼女は、甲板の上の水溜りをよけながら、右へ左へと歩きまはつた。；額からは汗が垂れて、お頭のまわりに大きな水溜りとなっていた。</t>
        </is>
      </c>
      <c r="J8038">
        <f>HYPERLINK("https://www.weblio.jp/content/水溜り", "词义详情")</f>
        <v/>
      </c>
      <c r="K8038">
        <f>HYPERLINK("https://yourei.jp/水溜り", "查看例句")</f>
        <v/>
      </c>
    </row>
    <row r="8039">
      <c r="A8039" t="inlineStr">
        <is>
          <t>水っぽい</t>
        </is>
      </c>
      <c r="B8039" t="inlineStr">
        <is>
          <t>成功</t>
        </is>
      </c>
      <c r="C8039" t="inlineStr">
        <is>
          <t>読み方：みずっぽい
［形］水けを含んでいる。水分が多くて味が薄い。「—・いカレー」
[派生]みずっぽさ［名］</t>
        </is>
      </c>
      <c r="D8039" t="inlineStr">
        <is>
          <t>水っぽい音(4%)；水っぽいスープ；水っぽい匂い；水っぽい酒；水っぽい雪</t>
        </is>
      </c>
      <c r="E8039" t="inlineStr">
        <is>
          <t>薄い；希薄；水臭い；水くさい</t>
        </is>
      </c>
      <c r="H8039" t="n">
        <v>29</v>
      </c>
      <c r="I8039" t="inlineStr">
        <is>
          <t>この辺りの家では一日二回の食事も、ほとんど水っぽいものだけだった。；そんな水っぽいものをそばで飲まれたら、僕の酒までまずくなりますよ。；判断のぬけ落ちている感情は、水っぽい薬のようなものにちがいない。；おのれの声までが水っぽくなったような気がして、百来はさらに声を高くした。；「美人だけどさあ、ちょっと水っぽいんじゃないの」 という奴もいた。；琵琶湖に近いせいか、この町には海とも川ともつかない独特の水っぽい匂いがする。；ウイスキーやビールはまあ普通の品だが、日本酒はひどく水っぽい。；それは、ちょっと臭みがあって、驚くほど水っぽく、何の味もしなかった。；その眼からは、水っぽい膜がなくなって、はげしく、燃えあがっていた。；井崎は鼻の奥が水っぽくなって、うっすらと涙がたまってきたのに気づいた。；刺身は水っぽくて、どう見てもスーパーで買ってきたものに見える。；麦茶は飲むそばから水っぽい汗となって吹き出し、滝のようにしたたり落ちる。；どこか水っぽい匂いがしたが、ナンパや宗教の勧誘ではなさそうだ。；私も、自分で作るとポテトサラダってどうしても水っぽくなっちゃうの。；わたしたち姉妹の目は水っぽいと思えるほど色が薄いのに、カンペンたちは大きく黒い目をしている。；汚れたガラスの向うから、白い光が水っぽく差しこんでいた。；体調が悪くなると鼻水が水っぽくなり、氷技の威力が減退してしまう。；コップの中の氷はすっかり溶けてしまって、水割りはひどく水っぽい。；そのほかに黒いスーツに原色のシャツやネクタイをあわせた水っぽい団体がいる。；特に氷が入っている場合はどんどん水っぽくなってしまうため冷たいうちに飲み干すことが薦められている。；したがって、煮物などはいつも水っぽくて塩っ辛いばかりであった。；延々と続く水っぽい擦音もだんだんと気にならなくなって参ります。；白と緑と灰色の色調の水っぽくて人気ない風景は、いかにも北の海近い土地に入って来た感じだった。；血のように赤く、また汗のごとくに水っぽいのだ。；わたしはすっかり水っぽくなってしまったレモンスカッシュの残りを飲みほした。；水っぽく相貌を変えていた夏は、やがて激しく沈潜していった。；ハリーの「ふくれ薬」は水っぽ過ぎたが、頭はもっと重要なことでいっぱいだった。；お前の娘だった、そして俺の女房になる筈だった 頬っぺたの青い、いつもしめった様に水っぽい髪をした奴はおれ達のところから居なくなりやがった。；水っぽい音が耳と体に直接伝わってきて、頭が痺れる。</t>
        </is>
      </c>
      <c r="J8039">
        <f>HYPERLINK("https://www.weblio.jp/content/水っぽい", "词义详情")</f>
        <v/>
      </c>
      <c r="K8039">
        <f>HYPERLINK("https://yourei.jp/水っぽい", "查看例句")</f>
        <v/>
      </c>
    </row>
    <row r="8040">
      <c r="A8040" t="inlineStr">
        <is>
          <t>見捨てる</t>
        </is>
      </c>
      <c r="B8040" t="inlineStr">
        <is>
          <t>成功</t>
        </is>
      </c>
      <c r="C8040" t="inlineStr">
        <is>
          <t>読み方：みすてる
［動タ下一］［文］みす・つ［タ下二］
１見ていながら、そのままにしておく。「怪我人を—・てて道を急ぐ」
２世話をしたり、関係を保ったりするのをやめる。見限る。「不行跡がたたって身内からも—・てられる」</t>
        </is>
      </c>
      <c r="D8040" t="inlineStr">
        <is>
          <t>見捨てるということ；見捨てるべき；見捨てる形となり；見捨てるしかない</t>
        </is>
      </c>
      <c r="E8040" t="inlineStr">
        <is>
          <t>放棄；去る；振る；捨てる；裏切る</t>
        </is>
      </c>
      <c r="H8040" t="n">
        <v>29</v>
      </c>
      <c r="I8040" t="inlineStr">
        <is>
          <t>お前もよく知っているとおり、わしは田舎で少し見捨てられていたんだ。；次にアレンディアの見捨てられた家で発見された薄い一冊を手にとった。；また、彼に見捨てられた時や彼が浮気した時は彼に抵抗することがある。；このため、家臣達も重経を見捨てて三経や宣家の家臣になってしまった。；ボートは、ほとんど見捨てるように走って行ってしまったのですからね。；どうしてこのことはあの人たちを見捨てないかぎり、やめられないのだ。；それは売家というだけではなく、見捨てられた家でもあるように見えた。；もう気持ちの底では、美津子さんを見捨てておられたのかも知れません。；もしあの男が、あたしを恐れて、家族を見捨てるような男であってもね。；もう大村にまで見捨てられたからにはどこへも行き所のない人間なのだ。；それらのみじめなる刑人らを見捨てるのは彼の苦痛とするところだった。；わしらの先祖が血と汗さ流した土地を見捨てることは誰にも出来ない。；嵐の丘に見捨てられたこのわたしを、雨から守る小屋とてありません。；この小人数の一行には、仲間を見捨てるようなものはひとりもいなかった。；ある南翼は完全に見捨てられて、何世紀も昔に屋根が丸ごと落ちていた。；しかし吉三郎は親の敵を知ることになりお七を見捨て敵討ちに出発する。；わたしの兄弟ですら、われわれの作り出した世界を見捨てて逃げ去った。；まさかあの青年が、われわれが彼を見捨てるなんて考えはしないだろうが!；父が皆を見捨てた以上は、皆を助けてゆくのは長男たる彼の役目であった。；私はそして、到頭その朝、そんな風にして父から見捨てられてしまった。；今出て行くのは、何か娘を見捨てることになるような気がして仕方なかった。；その時私はあらゆる幸福が私を見捨ててしまったように思えたわ。；CIAに追われたことで、韓国にも北朝鮮にも見捨てられた人物だった。；わたしは心をこわばらせ、父神に見捨てられた気持ちで高みより下りた。；かつて人間に科学の力で創造されたが、事故で見捨てられた旨を語る。；さう思ふと、彼は家族の誰からも黙殺され見捨てられた自分を感じた。；百四十九名の人員を乗せた巨大な筏はこうして見捨てられたのである。；誰からも見捨てられたと云つたやうな寂しさが、心の隅々を掻き乱した。；しかし進退これきわまっても、神は彼ら四人をお見捨てにならなかった。</t>
        </is>
      </c>
      <c r="J8040">
        <f>HYPERLINK("https://www.weblio.jp/content/見捨てる", "词义详情")</f>
        <v/>
      </c>
      <c r="K8040">
        <f>HYPERLINK("https://yourei.jp/見捨てる", "查看例句")</f>
        <v/>
      </c>
    </row>
    <row r="8041">
      <c r="A8041" t="inlineStr">
        <is>
          <t>みすぼらしい</t>
        </is>
      </c>
      <c r="B8041" t="inlineStr">
        <is>
          <t>成功</t>
        </is>
      </c>
      <c r="C8041" t="inlineStr">
        <is>
          <t>［形］［文］みすぼら・し［シク］外見が貧弱である。身なりが見苦しい。「—・い建物」「—・い風体」
[補説] 「すぼらし」は動詞「窄(すぼ)る」の形容詞化。「身窄らしい」で、身がすぼまるさま、また「見窄らしい」で、すぼまるように見えるさまの意ともいう。
[派生]みすぼらしげ［形動］みすぼらしさ［名］</t>
        </is>
      </c>
      <c r="D8041" t="inlineStr">
        <is>
          <t>みすぼらしい身なり(3%)；みすぼらしい姿(3%)；みすぼらしいもの(3%)；みすぼらしい服装(2%)；みすぼらしい家</t>
        </is>
      </c>
      <c r="E8041" t="inlineStr">
        <is>
          <t>哀れ；惨め；情けない；惨めな；憐れ</t>
        </is>
      </c>
      <c r="F8041" t="inlineStr">
        <is>
          <t>みすぼらしい建物；みすぼらしいふう；小さなみすぼらしい；いかにもみすぼらしい；こんなみすぼらしい</t>
        </is>
      </c>
      <c r="H8041" t="n">
        <v>29</v>
      </c>
      <c r="I8041" t="inlineStr">
        <is>
          <t>それからかの女は不意に一軒の小さなみすぼらしい家の前に立ち止まる。；昼の光の下で見ると、その一画は、夜見るよりさらにみすぼらしかった。；あのみすぼらしい男が、なぜこんな高価なものを持っていたのだろうか。；一軒の薄暗いみすぼらしいバーが目についたので、そこへ入って行った。；だが、地元の英雄が眠っているにしては、ずいぶんとみすぼらしい寺だ。；そこへ一人のみすぼらしい男が、一行の中から抜擢されて走つて行つた。；彼はしばらく黙って、わたしの手に移ったみすぼらしい袋を見つめていた。；たとえ、みすぼらしい服装をしていても、靴は上等なものをはくんだよ。；また同じ商売をするにしても、あまりみすぼらしい思いをしたくなかった。；何でもなくそっと伺候をするようなことはみすぼらしくてよろしくない。；だれがこのみすぼらしい一医局員を教授の娘に結びつけて考えるだろう。；おそらくこれ以上みすぼらしい風をした旅人はめったに見られなかった。；そんなある日、やつれてみすぼらしい身なりをした妹が女の家を訪れた。；しかしみすぼらしい階段もそれぞれの変つたおもむきを有してゐること。；しかしその後ろ姿に、どこかみすぼらしさのようなものも織田は感じた。；と、一人の領民が見るもみすぼらしい着物を着て、寒さにふるえている。；店に入ってきたみすぼらしい行商人に注意を払う者は誰もいなかった。；みすぼらしい丘陵族の服装をした背の高い毛むくじゃらの七人の男たち。；これから千花には、ずっとみすぼらしい未来しか残されてはいない。；こんなみすぼらしい徒弟は仲間にはいるべきではないとでもいうように。；老婆はそのみすぼらしい服のためにしわくちゃにされたように見えた。；その姿はなんだか家庭に見るには、あまりにみすぼらしい気のするものだった。；道路もみすぼらしかったし、風景も小さく、人間もまた同じであった。；墓地はみすぼらしい草の小さな山が互に見分けがつかないまでになっていた。；宿に来たときは、この客もひどくみすぼらしいなりだったのを思い出したらしい。；おそらくこのシャルロッテンブルクでもっともみすぼらしい建物だろう。；急に自分の手が老いてみすぼらしいものに思えて、私は眼を逸らした。；無名時代の画家の絵が妙にみすぼらしいのは女房をモデルにするからに他ならない。；つぎに、また、みすぼらしいふうをした、ほかの男が立ち上がりました。</t>
        </is>
      </c>
      <c r="J8041">
        <f>HYPERLINK("https://www.weblio.jp/content/みすぼらしい", "词义详情")</f>
        <v/>
      </c>
      <c r="K8041">
        <f>HYPERLINK("https://yourei.jp/みすぼらしい", "查看例句")</f>
        <v/>
      </c>
    </row>
    <row r="8042">
      <c r="A8042" t="inlineStr">
        <is>
          <t>水増し</t>
        </is>
      </c>
      <c r="B8042" t="inlineStr">
        <is>
          <t>成功</t>
        </is>
      </c>
      <c r="C8042" t="inlineStr">
        <is>
          <t>読み方：みずまし
［名］(スル)
１水を加えて分量をふやすこと。「—して徳利の数を増やす」
２見かけの数や量をふやすこと。「定員を—して経費を計上する」「—予算」</t>
        </is>
      </c>
      <c r="D8042" t="inlineStr">
        <is>
          <t>水増しする(9%)；水増し請求(7%)；水増しされる；水増し分</t>
        </is>
      </c>
      <c r="H8042" t="n">
        <v>29</v>
      </c>
      <c r="I8042" t="inlineStr">
        <is>
          <t>掲載数の水増しのために意図的に行われているケースがある。；だが依頼人側の協力が得られないぶん、報酬は水増しさせてもらった。；このため、報告中の中国軍の遺棄死体は水増しされていると見られる。；数十人の架空のアシスタントを立て、給与を水増ししていたとされている。；いったいこのカセットの値段はどれだけ水増ししてあるのだろうか。；水増しがあり実際はそれよりも少ないともされる。；人民解放軍の人数は水増しして登録されていたというのである。；つまり各県の選挙管理者が、バチスタのために水増しの報告をしていたわけである。；涙で水増しされるべき恋愛を続けている割に、沙織は滅多に泣かなかった。；国税庁に収入を申告していなかったり、控除額を水増ししている夫婦が十九組。；何だか自分の真剣な気持を水ましされているような気がした。；上の様子は魔力で水増しした目で捉えられるが、あそこまで登るのは大変だ。；それが全く興味本位的に水増しされて書かれてあった。；この元取締役は、自らの報酬を水増しする形で過大に受け取っていた模様である。；調査の結果、過去5期で計1億2900万円利益を水増ししていたことが判明。；火山礫の層の上には前の水増しの時の水が、沼のようになって処々溜っていました。；火山礫の層の上には前の水増しの時の水が、沼のやうになって処々溜ってゐました。；その切ない一瞬を、他の時間で水増ししながら生きていた。；CM後に「CM前のシーン」がまた放送され、番組が水増しされることも多い。；人並み外れて目のいい自分が、魔力で視力を水増ししてようやく判る高さだ。；平田隆太郎は、北朝鮮の人口の水増しの根拠として以下をあげている。；そこでもやはり、淡島は水増しした勘定書きを持ってこさせた。；折紙時計は最初から底上げの水増しされていたのである。；なまじ水増しなどしたおかげで、孫権はよけいな心配をしなければならなかった。；これも説明し、納得してもらったつもりだが、それを水増しみたいに言われたら、大変に迷惑な話だ。；おまえさんの分は水増ししてあるよ。；なお、これは水増しも含めた数字と推測される。；これ以降、東芝では利益の水増しが常態化することとなった。；しかし大学の将来を考えた際に、量より質への転換が必要になり入学者はそのままにし入学定員を増やすことで水増し入学を防いだ。</t>
        </is>
      </c>
      <c r="J8042">
        <f>HYPERLINK("https://www.weblio.jp/content/水増し", "词义详情")</f>
        <v/>
      </c>
      <c r="K8042">
        <f>HYPERLINK("https://yourei.jp/水増し", "查看例句")</f>
        <v/>
      </c>
    </row>
    <row r="8043">
      <c r="A8043" t="inlineStr">
        <is>
          <t>みずみずしい</t>
        </is>
      </c>
      <c r="B8043" t="inlineStr">
        <is>
          <t>成功</t>
        </is>
      </c>
      <c r="C8043" t="inlineStr">
        <is>
          <t>読み方：みずみずしい
［形］［文］みづみづ・し［シク］光沢があって若々しい。また、新鮮で生気がある。「—・い野菜」「—・い肌」「—・い感性」
[派生]みずみずしさ［名］</t>
        </is>
      </c>
      <c r="D8043" t="inlineStr">
        <is>
          <t>みずみずしい緑(4%)；みずみずしい女；みずみずしい肉体；みずみずしい姿；みずみずしい生気</t>
        </is>
      </c>
      <c r="E8043" t="inlineStr">
        <is>
          <t>新鮮な；瑞々しい；フレッシュな；瑞々しく；出来立ての</t>
        </is>
      </c>
      <c r="F8043" t="inlineStr">
        <is>
          <t>まだみずみずしい；みずみずしい草；みずみずしい若葉；みずみずしい色；みずみずしい肌</t>
        </is>
      </c>
      <c r="H8043" t="n">
        <v>29</v>
      </c>
      <c r="I8043" t="inlineStr">
        <is>
          <t>顔の皮膚はみずみずしく張り詰めて、白い歯が青年のように輝いていた。；その写真は私の心の中にそっくり元のままみずみずしい美しさで残っていた。；触れてみなくても、張りやみずみずしさのある肌だとわかるくらいだ。；床には刈り取ったばかりのみずみずしい香りの強い草がまいてあった。；教室の中から廊下へと、少女たちのみずみずしい歌声があふれ出てくる。；顔は、まるでイギリスにでもいるかのようにみずみずしい、と彼は思った。；やはり生命のみずみずしい影がその顔の上にたわむれているように思われる。；まだみずみずしく濡れた土の中から、小さく頭を持ちあげてきたものがあった。；皮膚のみずみずしい色は、彼女がまだ大人でないことを教えている。；薔薇のようにみずみずしい新たな健康が私の精神の中心に育ち始めた。；彼はそうした木立のあざやかでみずみずしい緑を見るのが好きだった。；年齢に似ないみずみずしい魅力を、彼女はその肢体にひめていたのだろう。；少年を思わせるみずみずしさで彼が語るのは、宗教の話、芸術の話ばかりだった。；天井近くに神棚が祀られていて、まだみずみずしい榊が供えられていた。；ベッドが微かに揺れ、それが二五歳のみずみずしい肢体にも伝わった。；それは四十をすぎた女とはみえないほどみずみずしく、凄絶であった。；六十五とは見えぬほどみずみずしい肉体と重量感を持っている。；もっとみずみずしく持っていたかったものを、戦争によって失ってしまった。；昼夜の区別なく活動し、食樹の葉や若枝のみずみずしい樹皮を後食する。；あんなのは、もうみずみずしさを失ったつまらぬ女さ、とでも考えることだ。；孤独感を根にして、みずみずしい心と体の揺らぐ思いを詠みすえている。；こんなみずみずしい大きな木は、王子はいままで見たことがありませんでした。；一面にみずみずしい緑草が生い繁って、あたりの墓標を埋めていた。；自分の腕を凝視ると皮膚にみずみずしさが蘇っているようだった。；心は常にみずみずしく、悦びも悲しみも、まだうす汚れてはいなかった。；いったいに梨の若木よりもみずみずしく、仔羊の毛よりも柔かにみえた。；まず、皮膚からみずみずしさが失われ、各所にひび割れができはじめる。；今落ちたばかりの葉は、枝から離れたとはいえ、まだ生きているようにみずみずしい。；その表面は朝の湖のようにみずみずしく輝いていた。</t>
        </is>
      </c>
      <c r="J8043">
        <f>HYPERLINK("https://www.weblio.jp/content/みずみずしい", "词义详情")</f>
        <v/>
      </c>
      <c r="K8043">
        <f>HYPERLINK("https://yourei.jp/みずみずしい", "查看例句")</f>
        <v/>
      </c>
    </row>
    <row r="8044">
      <c r="A8044" t="inlineStr">
        <is>
          <t>店</t>
        </is>
      </c>
      <c r="B8044" t="inlineStr">
        <is>
          <t>成功</t>
        </is>
      </c>
      <c r="C8044" t="inlineStr">
        <is>
          <t>読み方：たな
１《「見せ棚」の略》商店で、商品を陳列しておく場所。みせ。
２奉公先の商店。また、職人の出入り先の商店。→御店(おたな)
３貸家。借家。
「末造の気に入った—が二軒あった」〈鴎外・雁〉</t>
        </is>
      </c>
      <c r="D8044" t="inlineStr">
        <is>
          <t>店座敷；店じゅう；店売り；店づくり；店開店</t>
        </is>
      </c>
      <c r="E8044" t="inlineStr">
        <is>
          <t>店舗；商店；ショップ；売店；ストア</t>
        </is>
      </c>
      <c r="F8044" t="inlineStr">
        <is>
          <t>支店；代理店；中華料理店；小さな店；飲食店</t>
        </is>
      </c>
      <c r="G8044" t="inlineStr">
        <is>
          <t>店員；店内；店長；店主；店頭</t>
        </is>
      </c>
      <c r="H8044" t="n">
        <v>29</v>
      </c>
      <c r="I8044" t="inlineStr">
        <is>
          <t>ただし、それ以外決めごとはなくお店で出されているものに統一感がない。；映画では大阪店・東京店が撮影に使用され、そごうが衣装提供も行った。；由来は、その名の通り伝統的に道の角に店があるのがその名の由来である。；既存店が建物・駐車場の拡張のため同じ街道沿いの近隣地に移転することも多い。；この店では人を見つけないとペナルティというルールがあったという。；サウナ店などに併設されている場合は24時間入浴が可能な施設も多い。；以後マクドナルドコーポレーションは、世界の至るところに店を開いた。；上記ゲームをプレイする場合は店に一言断りを入れておくなどの注意が必要である。；日本では主に法律上「性風俗関連特殊営業」に分類されている店を指す。；簡易な椅子や机などを用意し、客が店で買った商品を飲食することができる。；CD店、図書館、音楽関連書籍ではしばしば以下のように分類される。；このころから、中小商店から大型店への人の流れが急速に移行しつつあった。；日本では、かき氷を売っている店は氷旗を掲げていることが多い。；どちらも高級店が集まっており、主要な観光地となっている。；客は店に入ってすぐにそれらを取ってきて、食べながらうどんが出てくるのを待つ。；ヨーロッパでは、書店の他に雑誌と新聞のみを扱う専門店がある。；カプセルホテル単独の施設のほか、サウナ店に併設されるケースも多い。；しかし、提供する時間は多様化しており、中には24時間営業の店まである。；大阪周辺の立ち食いうどん店などでは天かすは無料で提供されている事がある。；実家は淡路島の洲本市街地で堀井ガラス店というガラス屋を営んでいた。；現代は貞操帯はアダルトグッズ店や、貞操帯メーカーで販売されている。；彼らもただ集っていただけではなく、店の手伝いを無償でやったりしていた。；ヨーロッパ諸国とは異なり、日曜日でも比較的多くの店が開いている。；事務所は新宿歌舞伎町にあり、顧問になっている店も風俗店が多かった。；この蒲焼を提供する専門店もあり、長く営業をしている老舗店も多い。；このスタイルの店は、お好み焼きがあまり一般的ではない地方都市にも多い。；続いて1970年にはハリウッドの中心部に同じく大規模店を出店した。；昭和40年代ごろまでは、家から卵や肉をお店に持っていって入れてもらうことができた。；我々は、きれいできちんと挨拶もして高いものは売らない店にすることを目指しました。</t>
        </is>
      </c>
      <c r="J8044">
        <f>HYPERLINK("https://www.weblio.jp/content/店", "词义详情")</f>
        <v/>
      </c>
      <c r="K8044">
        <f>HYPERLINK("https://yourei.jp/店", "查看例句")</f>
        <v/>
      </c>
    </row>
    <row r="8045">
      <c r="A8045" t="inlineStr">
        <is>
          <t>未成年</t>
        </is>
      </c>
      <c r="B8045" t="inlineStr">
        <is>
          <t>成功</t>
        </is>
      </c>
      <c r="C8045" t="inlineStr">
        <is>
          <t>読み方：みせいねん
まだ成年に達しないこと。また、その人。</t>
        </is>
      </c>
      <c r="D8045" t="inlineStr">
        <is>
          <t>未成年期；未成年時代；未成年女性；未成年後見監督人；未成年保護</t>
        </is>
      </c>
      <c r="G8045" t="inlineStr">
        <is>
          <t>未成年者喫煙禁止法；未成年飲酒；未成年者飲酒禁止法；未成年の主張；未成年メンバー</t>
        </is>
      </c>
      <c r="H8045" t="n">
        <v>29</v>
      </c>
      <c r="I8045" t="inlineStr">
        <is>
          <t>未成年層が多い地域であるため、学習塾や各種教室は多く開業している。；兄さんはまだ未成年なんですから、夜の街になんか行かないでください。；また、これらの未成年が家族の下に戻る際にはしばしば問題が生じる。；家を出て、ウエイトレスの仕事をみつけたのはまだ未成年のころである。；未成年の少年と一緒にいるブルースは、車で家に送ると少年に申し出る。；もっとも、したくても、未成年にそういう機会は滅多にないんだけれど。；中学時代にドラマ「未成年」を観たことをきっかけに俳優に興味を持つ。；これは作者が未成年であったためとの説があるが、はっきりしない。；まだ未成年のハリーが、そこに一人で住むことを許されるだろうか?；このコーナーはAKB48のメンバーが未成年ということで録音である。；つまり、現行犯なら民間人の未成年でも逮捕することができるんですよ。；ただ、未成年の女の子だったらしいということが判明したそうです。；おれたち、四人のうち三人までが未成年の身で作者を養ってやってるんだぜ。；兄さんはまだ未成年なんですから、夜の街になんかいないでください。；こちらが未成年なのは確かだが、家の中でなにをしていようが勝手だと思う。；この事件は被害者の一人が未成年のため、発表が控えられていた。；君が年齢よりもしっかりしているのはわかったが、何といっても未成年だからね。；各国内では、未成年に対する旅行の自由はしばしばより大きく制限される。；未成年の魔法使いの子供が、背伸びしすぎず、できるような類のことか?；未成年でアメリカへ留学中の長女と次女の親権は元夫が持つこととなった。；父が死去した時点で未成年だったため、母方の祖父が保護者を務めた。；それに未成年とはいえ、いまどき十八歳といえば立派に成熟した大人だ。；病気がちの夫や未成年の息子に代わり、長くサヴォイア家領の統治を行った。；裁判では終身刑も検討されたが、未成年であることを考慮した刑期となった。；アンドリューは未成年であり、地元の貴族は彼を追放しようとした。；今回の場合はきみが未成年だということで特に民宿を認めたわけだ。；むしろ未成年禁止に指定すべき残酷絵画のオンパレードといっていい。；それに先生は良が一応まだ未成年だというのをお忘れのようだ。；また闕腋のときは、未成年のゆえをもって鴛鴦丸が間を詰めて織られる。</t>
        </is>
      </c>
      <c r="J8045">
        <f>HYPERLINK("https://www.weblio.jp/content/未成年", "词义详情")</f>
        <v/>
      </c>
      <c r="K8045">
        <f>HYPERLINK("https://yourei.jp/未成年", "查看例句")</f>
        <v/>
      </c>
    </row>
    <row r="8046">
      <c r="A8046" t="inlineStr">
        <is>
          <t>見せびらかす</t>
        </is>
      </c>
      <c r="B8046" t="inlineStr">
        <is>
          <t>成功</t>
        </is>
      </c>
      <c r="C8046" t="inlineStr">
        <is>
          <t>読み方：みせびらかす
［動サ五（四）］自慢らしく見せつける。誇示する。「札束を—・す」「新車を—・す」</t>
        </is>
      </c>
      <c r="D8046" t="inlineStr">
        <is>
          <t>示す；表示；展示；見せる；表す</t>
        </is>
      </c>
      <c r="H8046" t="n">
        <v>29</v>
      </c>
      <c r="I8046" t="inlineStr">
        <is>
          <t>なぜそんなことをしたかというと、私に見せびらかしたかったからです。；自分で好みもせぬのに、人に見せびらかすためにやたらと買う者もいる。；もうすっかり姿を現わして、わざと見せびらかそうとしているかのようだ。；常にパンツ見せびらかしながら生活してるようなもんじゃねえか、それ!；心にもない悲しみを見せびらかすのが 裏切者どもの得意な手なのだからな。；そして何もないはずの布をまるであるかのように見せびらかせました。；いや、あいつはあの晩に、その見せびらかす理由を言っていたじゃないか。；自分のヌードを半時間ばかり見せびらかしてから、虹子は帰っていった。；母は又、私の処に帰って来て、大きな乳を私に見せびらかすようになった。；それは軌道上で、巨大さを見せびらかすように、かすかに揺れている。；私はジムの手を引いて外に導き、私は彼を、諸君の前に見せびらかした。；身につけてひとに見せびらかしたくなるのだから、どうしようもない。；嬉しくなった彼は、ご丁寧に手紙を裏打ちした上友人に見せびらかした。；プライドの高い鳥だったら、けっして見せびらかそうとはしないだろう。；そんなふうにして、少なくとも十万フラン以上の金を見せびらかした。；それを見せびらかしたいがために、ある日彼は私を招待してくれた。；思い切り楽しみ、見せびらかすつもりの予定が延びてしまったのだから。；知識や能力はあくまで道具であり、それ自体を見せびらかすためのものではない。；っつかアンタの場合はわざと見せびらかして喜んでる節があるし!；だが清子はそれを見せびらかすでもなく、かといって憶するでもない。；右手のなすところは左手どころか群衆に見せびらかしてやったものだ。；新しい服を見せびらかすように回転する少女は、確かに怪我人には見えない。；それとも、美しい肉体のすべてを見せびらかすように広げているのかも知れない。；警官を襲っては奪った制服を着て街を闊歩し、女友達に見せびらかした。；あの男は少し自己を見せびらかしはしなかったか、あの餓えた男は。；ましてや、自分の書生の強さを見せびらかそうというわけでもあるまい。；おまえのその美しいからだを、みんなに見せびらかしてやるんだ。；生まれてはじめて、この純朴な青年も自分を見せびらかそうとした。；他人の持ってるものを、自分が自慢そうにほかの人に見せびらかすんですからね。</t>
        </is>
      </c>
      <c r="J8046">
        <f>HYPERLINK("https://www.weblio.jp/content/見せびらかす", "词义详情")</f>
        <v/>
      </c>
      <c r="K8046">
        <f>HYPERLINK("https://yourei.jp/見せびらかす", "查看例句")</f>
        <v/>
      </c>
    </row>
    <row r="8047">
      <c r="A8047" t="inlineStr">
        <is>
          <t>見世物</t>
        </is>
      </c>
      <c r="B8047" t="inlineStr">
        <is>
          <t>成功</t>
        </is>
      </c>
      <c r="C8047" t="inlineStr">
        <is>
          <t>読み方：みせもの
１珍しい物・奇術・曲芸などを見せて料金を取る興行。また、その出し物。「—小屋」
２人々から興味の対象として見られること。また、そのもの。「人々の—になる」</t>
        </is>
      </c>
      <c r="D8047" t="inlineStr">
        <is>
          <t>見世物師(3%)；見世物的；見世物興行；見世物王国；見世物じゃねえ</t>
        </is>
      </c>
      <c r="E8047" t="inlineStr">
        <is>
          <t>発表；披露；芝居；上演；ショー</t>
        </is>
      </c>
      <c r="F8047" t="inlineStr">
        <is>
          <t>すばらしい見世物；単なる見世物；見世物学校；いろんな見世物；見世物飛行</t>
        </is>
      </c>
      <c r="G8047" t="inlineStr">
        <is>
          <t>見世物学会</t>
        </is>
      </c>
      <c r="H8047" t="n">
        <v>29</v>
      </c>
      <c r="I8047" t="inlineStr">
        <is>
          <t>今となっては、君の持っている力はたかだか見世物にしか過ぎないんだ。；ジプシーが市のときに出す見世物の中に、運命判断の小屋がありました。；映画というやつは、もともと闇のなかだけでの見世物だったはずである。；見る者に見世物的な関心は生じさせても、感動は与えられないだろう。；すなわち広場の上に並んだ見世物のうちに、一つの動物小屋があった。；まだ着物中心だった時期は、菊人形や見世物人形に着せて展示していた。；自分の国のなかで捕虜になった女王とは、何という奇妙な見世物であろう。；日本では私がまだ小学生の時分に非常に流行した一つの見世物なのだ。；これを、アメリカに曳いて行かれて、見世物にされたら、何としますか。；その後は映画業界にはかかわることはなく、再び見世物稼業へと戻った。；再び王子の見世物が始まるから、森へ一緒に行こうとのことだった。；ナミたちの作戦は最初から見抜かれており観客の見世物にされていた。；考えて見ると、今度の犯罪と見世物とは、妙に縁があったではありませんか。；江戸へ連れて行って見世物にかけたいような大入道が現れやがった。；サーカスが発明されて以来、あれほどの見世物は一つもなかったからね。；しかし、いっておきますがね、わたしを見世物あつかいはよして下さい。；この男が人魚を発見して見世物に出しているというので、見にいったものだ。；おまえさんの見世物は、おまえさんの方針のとおりにやらせている。；これらの遺体は白人に盗まれ、見世物にされたり大学に展示されたりした。；河原の東寄りの一角で、十重もの人垣をつくらせている見世物師がいた。；下手に冷やかしたりしては楽しい見世物が終わってしまうではないか。；こうして、朝までかくれていて、月世界の見世物が開くのを待つのです。；あんたは、とっくの昔に、見世物商売の仲間入りするはずの人だったよ。；ザザの戦士と将校は門近くまでひきつけられて、見世物に熱中している。；日本服を着て巴里の街を歩くと何処へ行つても見世物の様に人の目が自分に集る。；博士はふと、こんな見世物を興行させて置くのは人道問題だと思った。；大ポンペイウスはユニコーンをローマに連れて来て見世物にさせたという。；俳優の一人が四十八日間の断食を宣言して、これを見世物にしたのだ。；獣や不具者を引き連れて旅から旅を巡って歩く面白くもない見世物商売。</t>
        </is>
      </c>
      <c r="J8047">
        <f>HYPERLINK("https://www.weblio.jp/content/見世物", "词义详情")</f>
        <v/>
      </c>
      <c r="K8047">
        <f>HYPERLINK("https://yourei.jp/見世物", "查看例句")</f>
        <v/>
      </c>
    </row>
    <row r="8048">
      <c r="A8048" t="inlineStr">
        <is>
          <t>店屋</t>
        </is>
      </c>
      <c r="B8048" t="inlineStr">
        <is>
          <t>成功</t>
        </is>
      </c>
      <c r="C8048" t="inlineStr">
        <is>
          <t>読み方：てんや
商店。特に、飲食店。
「少し行くときたない—がある」〈蘆花・思出の記〉</t>
        </is>
      </c>
      <c r="D8048" t="inlineStr">
        <is>
          <t>店屋さん(6%)</t>
        </is>
      </c>
      <c r="E8048" t="inlineStr">
        <is>
          <t>店；店舗；レストラン；食堂；商店</t>
        </is>
      </c>
      <c r="F8048" t="inlineStr">
        <is>
          <t>小さな店屋；店屋さんごっこ</t>
        </is>
      </c>
      <c r="G8048" t="inlineStr">
        <is>
          <t>店屋もの；店屋町</t>
        </is>
      </c>
      <c r="H8048" t="n">
        <v>29</v>
      </c>
      <c r="I8048" t="inlineStr">
        <is>
          <t>さっき墓地の入り口のところの店屋の時計を見たら七時二十分だった。；私があるとき、町の店屋に入つて、蜂蜜を買はうとした事がありました。；その他あの作に出てくるいろいろな場所や店屋などにも案内されたように思う。；通りの店屋では自分の家の前に出る夜店に一晩五銭の燈油代を払ったという。；店屋の並ぶ順に視線を移動させているうちに、どこかが変だぞ、と思いはじめた。；すると道をゆく人たちは逃げ、店屋は慌てて大戸を閉めるのであった。；この頃でも、北海道の奥地へ行くと、こういう店屋を見ることがある。；店屋の前を通り過ぎると、買物客や店の者の視線が二人に集まった。；したがって店屋はどこもそこが商うものを絵柄にして、店先に掲げていた。；成程兵隊の居さうなといふ事が町に並んで居る店屋の種類からも想像されるのであつた。；その為めにあの通りの店屋さんは意外の儲けがあつたといつて嬉んでゐますの。；店屋の人自身がこれはほんのその時きりのものですから永持ちはしませんよと云って断っていたそうである。；その店屋のなかには、私が検印用の判をいつも頼んでいたハンコ屋があった。；そして明るい店屋のある通りを避けて、裏を行き行きした。；なるほど兵隊のいそうなという事が町に並んでいる店屋の種類からも想像されるのであった。；そして店屋の店先には、驚くばかり沢山の商品が並べてありました。；相手を支えながら、彼は素早く辺りの店屋の看板から番地を読んだ。；旗本屋敷などに出入りする武具商であり、江戸・京橋に店屋敷をおいた。；補導されるリスクを冒してまで、僕はお店屋さんの窓を見たかったのだろうか?；どうして新開地の桜並木通りの店屋のように今風の建て方をしなかったのだろう。；町の店屋なんかよりいくら気持がいいか知れない。；私がシーボニアのマンションに来てから、崖の上の店屋よりも遠くに出かけたのは初めてのことです。；人々は彼に一歩譲ってくれたし、店屋も現金を要求しなかった。；前述のように都市の各所に店屋があったが、当然都市の中でも盛寂が分化した。；街道にそった、ごく小さな村で、両側に、それぞれ十軒ほどの店屋が並んでいた。；店屋がならんでいるのですが、夜ふけなので、おおかた戸をしめています。；これは店屋の出入口に備えつけたタンクの蛇口であることがわかった。；このあたりは小さな店屋がひしめき合っており、ほとんどが飲み屋だ。；或る店屋のお上さんが、その稲荷様を大変信仰していたらしい。</t>
        </is>
      </c>
      <c r="J8048">
        <f>HYPERLINK("https://www.weblio.jp/content/店屋", "词义详情")</f>
        <v/>
      </c>
      <c r="K8048">
        <f>HYPERLINK("https://yourei.jp/店屋", "查看例句")</f>
        <v/>
      </c>
    </row>
    <row r="8049">
      <c r="A8049" t="inlineStr">
        <is>
          <t>見せる</t>
        </is>
      </c>
      <c r="B8049" t="inlineStr">
        <is>
          <t>成功</t>
        </is>
      </c>
      <c r="C8049" t="inlineStr">
        <is>
          <t>読み方：みせる
［動サ下一］［文］み・す［サ下二］
１見えるようにする。人にわかるように示す。「人前に姿を—・せる」「定期券を—・せる」
２行動・態度・表情などに表して、そうであることを人にわからせる。「意地を—・せる」「関心を—・せる」「弱みを—・せる」
３経験させて、わからせる。「痛い目を—・せる」「憂き目を—・せる」
４ある状態やようすに見えるようにする。そのように見せかける。「年齢より若く—・せる」「故意を過失に—・せる」
５あるきざしが現れる。「景気がかげりを—・せる」
６診察・鑑定などをしてもらう。「子供を医者に—・せる」「茶器を目利きに—・せる」
７すばらしい芸や技などで人の心を引きつける。「幅広い演技で—・せる俳優」
８嫁がせる。結婚させる。
「少将などいふほどの人に—・せむも」〈源・東屋〉
９ようすを調べさせる。検分させる。
「跡なきことにはあらざめりとて、人をやりて—・するに」〈徒然・五〇〉
10（補助動詞）動詞の連用形に助詞「て」の付いた形に接続して用いる。
㋐実際にその行為をして、人に示す。「歌って—・せる」「おどけて—・せる」
㋑強い決意を表す。「絶対に勝って—・せる」
[補説]6は、診察してもらう意では「診せる」とも書く。7は、「魅する」からの連想で多く「魅せる」と書く。
[下接句]後ろを見せる・尾を見せる・顔を見せる・白い歯を見せる・泣きを見せる・抜く手も見せず・目に物見せる・目を見せる</t>
        </is>
      </c>
      <c r="D8049" t="inlineStr">
        <is>
          <t>見せるべき；見せるつもりです；見せるよう要求；見せること無く</t>
        </is>
      </c>
      <c r="E8049" t="inlineStr">
        <is>
          <t>示す；得る；出す；指摘；表示</t>
        </is>
      </c>
      <c r="F8049" t="inlineStr">
        <is>
          <t>美しく見せる；出して見せる；時折見せる；らしく見せる</t>
        </is>
      </c>
      <c r="H8049" t="n">
        <v>29</v>
      </c>
      <c r="I8049" t="inlineStr">
        <is>
          <t>近年は入院状態が続いており、国民の前に姿を見せる事はほとんどない。；きっと荷物を見せろと言うし、本当のことを言っても信じないでしょう。；そのストレスでこの頃から後の拒食症の初期症状を見せるようになった。；屋敷内で彼の前に姿を見せてしまったために解雇された使用人もいた。；これら演武用の武器は房や動きを良く見せる効果をもたせたものが多い。；この流れの中で初めから見せることを考えて作られた下着も広まった。；当時からICカード化にも意欲を見せていたが、この時は断念している。；通常は露出しない内部の機構を見せて、同館の展示物の一つとしている。；ジャケットでタイトル通りの背中を大胆に見せたセミヌードを披露した。；一部自治体の条例では販売はもちろん、見せることすら禁止している。；古くからホンダを除く主要日本メーカーのほとんどが参戦、活躍を見せた。；プレイヤー達は自分の手札を他のプレイヤーに見せないように自分だけで見る。；そのため作品によっては胸を豊満に見せるために色々工夫がされている。；この頃から時忠は清盛の思惑から外れ、独自の動きを見せるようになる。；一方で以下のような反仲麻呂的な行動や立場を見せるようになる。；この間も総合格闘技への参戦も並行して行いそちらでも活躍を見せる。；数々の大一番で見せた勝負強さから、「七番勝負の鬼」の異名も取った。；クロマタは逆に出現は見せることなく、帰るところは見せるとされる。；そしてとりわけ田中逮捕に憤りを見せたのが主を逮捕された田中派であった。；聞くことがなくなると刑事は、加藤が手に持っている本を見せろといった。；そこで船長は、例の資料を相手に見せろと、シャーラとわたしに命じた。；その後植物全体に伝わっていくのだが、その際に特徴的なふるまいを見せる。；試合は1-2で敗れたが、ペレ自身は唯一の得点を決める活躍を見せた。；この作品でもヒップアタックや奇妙な踊りなどのコミカルな動きを見せる。；引退後は公の場所に姿を見せることなく、隠棲生活のうちに死去した。；より魅力的に見せるために使われる物で、通常は実用的な目的が無いもの。；ところが今、警視庁の名探偵から証拠を見せろといわれているのである。；父に見せろというのだが、どうせいいことが書いてあるわけはない。；農業と並んで、靴の製造などの手工業も発展を見せるようになった。</t>
        </is>
      </c>
      <c r="J8049">
        <f>HYPERLINK("https://www.weblio.jp/content/見せる", "词义详情")</f>
        <v/>
      </c>
      <c r="K8049">
        <f>HYPERLINK("https://yourei.jp/見せる", "查看例句")</f>
        <v/>
      </c>
    </row>
    <row r="8050">
      <c r="A8050" t="inlineStr">
        <is>
          <t>味噌</t>
        </is>
      </c>
      <c r="B8050" t="inlineStr">
        <is>
          <t>成功</t>
        </is>
      </c>
      <c r="C8050" t="inlineStr">
        <is>
          <t>読み方：みそ
１調味料の一。大豆を蒸してつき砕き、麹(こうじ)と塩を加えて発酵させたもの。原料の米麹・麦麹・豆麹の別により米味噌・麦味噌・豆味噌、色から赤味噌・白味噌など、味から甘味噌・辛味噌などに分けられる。
２カニやエビの殻の中にある、色や状態が1に似ているもの。「かに—」
３自慢とする点。工夫・趣向をこらした点。「万一の場合、手動に切り換わるところが—だ」「手前—」
４弱者をあざけっていう語。「泣き—」「弱—」</t>
        </is>
      </c>
      <c r="D8050" t="inlineStr">
        <is>
          <t>味噌醤油；味噌味；味噌煮；味噌蔵；味噌仕立て</t>
        </is>
      </c>
      <c r="E8050" t="inlineStr">
        <is>
          <t>香；未醤</t>
        </is>
      </c>
      <c r="F8050" t="inlineStr">
        <is>
          <t>人間の脳味噌；柚味噌；生味噌；焼味噌；味噌炒め</t>
        </is>
      </c>
      <c r="G8050" t="inlineStr">
        <is>
          <t>味噌ラーメン；味噌漬け；味噌漬；味噌田楽；味噌屋</t>
        </is>
      </c>
      <c r="H8050" t="n">
        <v>29</v>
      </c>
      <c r="I8050" t="inlineStr">
        <is>
          <t>また、柔らかく筋がないので生のまま味噌を付けて食べることもできる。；したがって、味噌を食事の一部にすることは非常に良いと考えられている。；統合先の金沢市立兼六小学校は味噌蔵町小学校のあった場所に所在する。；また、味噌などと同様に、各集落で共同で作られることもしばしばあった。；お好み焼きのソースに味噌を入れるのは、さすが名古屋と驚く人が多い。；調味液には、醤油ベースが主で、他に味噌ベース・塩ベースなどがある。；このような味噌玉は、地元で取れる食材や保存食品を利用して作られた。；女たちは、木炭を売った金で米や味噌を購入してまた稲子まで戻った。；そしてその店で一日の賃金の中から一銭でも二銭でも勝手に味噌を買つてゆく。；これで味噌と源次郎は極った訳だが、一斗五升の米が無いのに閉口した。；社名は個人事業で味噌の醸造を始めたのが旧徳地町であることに由来する。；店ごとにオリジナルのたれが用意されているが市内の多くの店では味噌だれが主流となっている。；味噌摺る音だけでは平凡であるが、尼寺というので一種の興味を感ずる。；このため、時期は定かではないが古くから味噌作りが行われていたと考えられる。；なお、味噌や醤油など他の醸造メーカーではこのような習慣は見られない。；小麦粉を練って一口大にしたものを野菜とともに味噌味に煮込んだもの。；お神さんがサービスに沢庵と生味噌を、小皿に一つ添えてくれたのである。；自分の算術教科書と、紙の様なものや味噌や鰊などを買って来ました。；このたらい舟は明治初期に味噌樽を半分に切り改造したものである。；戦後は日本で生産・消費されている味噌の約4割が、信州味噌となっている。；鮎は蓼酢で食べるのが一般的だが、ほかにも蓼味噌を添える場合もある。；机の傍に円火鉢引寄せ書を読みながら柚味噌煮る楽しみも十二月である。；間もなくお民は古い味噌納屋の方へ夫を連れて行って見せた。；社名や社章に壺が入っている会社が多いが、これは味噌からきている。；重兵衛は自ら路地裏の家々に足を運んで味噌を売り、成功したという。；米や味噌を負つて、渋や田中の温泉へ人々は群を成して行く頃となりました。；中国にも、味噌と味が似ている甜麺醤などの醤を使った麺料理が存在する。；女は物をいふ事には非常に愛嬌に富んだ少し味噌齒の口を開いて嫣然とする。；明治時代に入ると専門の味噌工場が出現し、生産規模が大きくなった。</t>
        </is>
      </c>
      <c r="J8050">
        <f>HYPERLINK("https://www.weblio.jp/content/味噌", "词义详情")</f>
        <v/>
      </c>
      <c r="K8050">
        <f>HYPERLINK("https://yourei.jp/味噌", "查看例句")</f>
        <v/>
      </c>
    </row>
    <row r="8051">
      <c r="A8051" t="inlineStr">
        <is>
          <t>溝</t>
        </is>
      </c>
      <c r="B8051" t="inlineStr">
        <is>
          <t>成功</t>
        </is>
      </c>
      <c r="C8051" t="inlineStr">
        <is>
          <t>読み方：うなて
田や畑に水を引くみぞ。
「神田(みとしろ)に潤(つ)けむと欲(おもほ)して—を掘る」〈神功紀〉</t>
        </is>
      </c>
      <c r="D8051" t="inlineStr">
        <is>
          <t>溝状；溝板；溝口；溝墓；溝跡</t>
        </is>
      </c>
      <c r="E8051" t="inlineStr">
        <is>
          <t>違い；差；開き；隙間；違</t>
        </is>
      </c>
      <c r="F8051" t="inlineStr">
        <is>
          <t>深い溝；大溝；縦溝；岡溝；下水溝</t>
        </is>
      </c>
      <c r="G8051" t="inlineStr">
        <is>
          <t>溝口健二；溝渠；溝川；溝辺町；溝呂木</t>
        </is>
      </c>
      <c r="H8051" t="n">
        <v>29</v>
      </c>
      <c r="I8051" t="inlineStr">
        <is>
          <t>原型は中国にもあるが多数の溝を付けたすり鉢は日本の備前焼に始まる。；しかし、彼らは晩年、お互いに大きな溝を作り、距離を置くようになる。；そのほかには寺域区画線と見られる溝が寺域東辺・南辺で見つかっている。；僕は、その溝を使って移動し、他にも閉じ込められている人を見つける。；しかし、建物や区画のための溝は、室町時代以降まで発見されていない。；地下に流雪溝を設けて道路脇の穴から雪を落とすようにしている場所もある。；大溝を中心とした近江国の植物図鑑であったとされるが、現存していない。；全体の構造は巨大な顎のようで、酸性のDNAをくわえる深い溝がある。；また歩脚の隙間に向かって溝が走ることも多く、これを放射溝という。；道路や歩道の溝蓋や工場やプラントなどの足場など広範囲に使用される。；またカズマ地形と呼ばれる溝状の地形やトラフも多数発見されている。；この大溝の発掘調査の際には、円筒埴輪のほか形象埴輪が出土している。；全身の皮膚には細い溝が走っており、これは全て口へ繋がっている。；歌っていないときには、他の人々のように採掘灌漑溝での労働を要求された。；階段にはジッグラトからの排水に使用された溝が並行に走っていた。；大きなクレーターに関連して、いくつかの崖や溝、谷も存在している。；これを機に、それまで良好な関係を築いていたセナとの間に溝が出来始める。；砲口用と照準器用とで分かれた開口部や、車輪用の溝が設けられている。；稲荷塚古墳の全長は38メートルで周囲には幅2メートルの周溝がある。；牙は後牙類と同じく溝状であるが、完全に管状になっている種も多い。；条件は極めて限られ、音溝に対し同一形状の針先を用いた場合にのみ可能となる。；錠島は腹を立て、一度は通じた二人の心に溝が生まれ錠島は美月を捨てる。；簡単に言えば上部に渡されているレールや溝の付いた水平材のことである。；基本はオープンサイトと同じだが、照門が溝ではなく穴になっている。；溝の多い地形はそれよりもいくらか若いが、どの程度若いのかは分かっていない。；斜長石はその抱合的な双晶か「レコードの溝効果」の観察で特定される。；口側の中央に口があり、そこから腕の先端に向けて歩帯溝と呼ばれる溝が伸びる。；この時の観測では溝の多い地形も発見されている。；前4000年頃にろくろの使用が見られる仰韶廟底溝類型文化が現れた。</t>
        </is>
      </c>
      <c r="J8051">
        <f>HYPERLINK("https://www.weblio.jp/content/溝", "词义详情")</f>
        <v/>
      </c>
      <c r="K8051">
        <f>HYPERLINK("https://yourei.jp/溝", "查看例句")</f>
        <v/>
      </c>
    </row>
    <row r="8052">
      <c r="A8052" t="inlineStr">
        <is>
          <t>味噌汁</t>
        </is>
      </c>
      <c r="B8052" t="inlineStr">
        <is>
          <t>成功</t>
        </is>
      </c>
      <c r="C8052" t="inlineStr">
        <is>
          <t>読み方：みそしる
野菜・豆腐・海藻・貝などを実にして、だし汁に味噌を溶かした汁物。おみおつけ。</t>
        </is>
      </c>
      <c r="D8052" t="inlineStr">
        <is>
          <t>味噌汁作り；味噌汁椀；味噌汁好き；味噌汁鍋</t>
        </is>
      </c>
      <c r="E8052" t="inlineStr">
        <is>
          <t>すまし；汁物；吸物；みそ汁；吸い物</t>
        </is>
      </c>
      <c r="F8052" t="inlineStr">
        <is>
          <t>お味噌汁；インスタント味噌汁；薄い味噌汁；即席味噌汁；精進味噌汁</t>
        </is>
      </c>
      <c r="H8052" t="n">
        <v>29</v>
      </c>
      <c r="I8052" t="inlineStr">
        <is>
          <t>お負けに味噌汁が淡くってお湯を呑むようで味も何もあったものでない。；目の前に味噌汁を置くと、姉はぶつぶついいながら朝御飯を食べ始めた。；散らかった家の中からは味噌汁の匂いや、焼いた魚の匂いが漂ってきた。；娘の方では、パンの包みを取り出して、味噌汁を飲みながら食べはじめた。；が、この時は彦兵衛が命じて、味噌汁を全部、捨てさせただけで終った。；ミソ汁のある日には、それの好きな少年は自分の家でやった通り三杯かえた。；ここで採取された川ノリは、地元で味噌汁に入れるなどして食されている。；同時刻、失神していた啓太は暖かなお味噌汁の匂いで目を覚ましていた。；これは味噌汁の一件のことから彼のやった報復手段かも知れない。；飯の上に野菜や魚を刻んで乗せ、その上から味噌汁を注いで食べたもの。；これは本当に味噌汁なのかと疑いたくなるほど、味噌の味がしない。；となれば、ミソ汁からコーヒーへと移行するのは、時間の問題であったはずだ。；結局、お豆腐は一人半丁ずつ食べて、翌朝私がそれでお味噌汁を作った。；この霧を見たのと湯葉の味噌汁を飲んだだけでこんどの旅はもう充分だと思ってしまう。；味噌汁の具を増やすための乾燥させた具が単独で市販されている場合もある。；味噌汁の、かつおの香りを嗅いだ時、美和子は気が遠くなる思いがした。；ワカメの味噌汁は毎日食べているが、それだけでは足りないようだ。；食事は木ノ葉天狗のジイサンが御飯とミソ汁を持ってきてくれるだけだ。；日本でいえば味噌汁のように、庶民的でかつ各家庭ごとに味の異なるものである。；僕は味噌汁の入った鍋を覗こうとしたが、少し考えてやめておいた。；味噌汁を作ったら酢の物の用意もしなくちゃと、手を早めた時のことだった。；そのうえお菜には三食とも魚か肉を要求し、味噌汁もなくてはならなかった。；その疲れで三人は黙し、運ばれて来た飯に味噌汁をぶっかけて流し込む。；家では立場が低く味噌汁の具のことで喧嘩をしている。；南九州では、煮物や揚げ物などにしたり、味噌汁の具にすることが多い。；味噌汁を飲むときは左手は膝におき、右手のスプーンですくって飲む。；味噌汁は汗をかいた体のために力がつきますが、召上るでしょうか。；味噌汁を一口飲む夫の顔色で、リタはそれが合格か不合格かをいやでも知るのだった。；「あら、味噌汁があるんだよ」 ガス台の上に味噌汁の鍋がのっている。</t>
        </is>
      </c>
      <c r="J8052">
        <f>HYPERLINK("https://www.weblio.jp/content/味噌汁", "词义详情")</f>
        <v/>
      </c>
      <c r="K8052">
        <f>HYPERLINK("https://yourei.jp/味噌汁", "查看例句")</f>
        <v/>
      </c>
    </row>
    <row r="8053">
      <c r="A8053" t="inlineStr">
        <is>
          <t>見出し</t>
        </is>
      </c>
      <c r="B8053" t="inlineStr">
        <is>
          <t>成功</t>
        </is>
      </c>
      <c r="C8053" t="inlineStr">
        <is>
          <t>読み方：みだし
１新聞・雑誌などで、記事内容が一見してわかるように、文章の前に示す簡単な言葉。標題。タイトル。
２書籍・帳簿などの目次・索引。
３「見出し語」の略。「親—」「子—」
４多くの中からすぐれたものを見つけだすこと。
「手前事は天理教祖様のお—にあずかりまして」〈志賀・暗夜行路〉</t>
        </is>
      </c>
      <c r="D8053" t="inlineStr">
        <is>
          <t>見出し得る；見出しがたい；見出し難い；見出し句；見出しにくい</t>
        </is>
      </c>
      <c r="E8053" t="inlineStr">
        <is>
          <t>目；内容；タイトル；称号；中身</t>
        </is>
      </c>
      <c r="F8053" t="inlineStr">
        <is>
          <t>大きな見出し；段見出し</t>
        </is>
      </c>
      <c r="H8053" t="n">
        <v>29</v>
      </c>
      <c r="I8053" t="inlineStr">
        <is>
          <t>正しい設計を見出したならば、これは会社全体にとっての標準とされた。；そしてリクは戦いの中で己の中の闇をも味方につける道を見出した。；国鉄のすべての鉄道路線と自動車線には独立した見出しが与えられている。；民衆はあくまで内政の中での腐敗に悪役の芽を見出していたことである。；Qは友人に囲まれていたが、彼らは皆はみ出し者として知られていた。；人生の意味を見出している人間は苦しみにも耐えることができるのである。；そんなことを考えながら、自分の車に戻るために数歩歩み出したときだった。；彼は文化の一部分と生態学との相互によく似た機能を見出している。；ただし、現在でも新聞の見出しなどでトーリーと呼ばれることはある。；ここにも静けさや寂しさのなかに美を見出したことが示されている。；漫才やコントで使われる他、新聞記事の見出し等に使われることもある。；一通り挨拶がすむと祖母はすぐ操さんの着物に汗が泌み出ているのを認めた。；ここでは路線呼称とルートマークを見出しに記載している。；またこの時点では多くの研究では大麻による悪影響を見出していなかった。；シェイクスピアの外典は以下の見出しの通りに分類することができる。；しかしながら、大規模な試験はそのような傾向を見出していない。；私は少年のようにあせって連峰の中から早くそれを選み出したかった。；前記のページから呼び出す都合上、見出しのレベルは4にしてください。；習慣化されている行動と健康状態に関連性を見出している研究は多数存在する。；人の長所を見出し人を引き込むことを志向しており、人脈が豊富である。；大勢のなかから選み出されたのは三人の名誉であるといってよい。；からだはベッドから半ばはみ出し、頭ががっくりとたれ下がっていた。；そのため、最近では冒頭の見出しでウソの記事だと分かるようにもしている。；この見出しは、ニュースコーナー以外でも使われることがあった。；不幸な結婚をした彼女は、信仰と愛国心に心の慰めを見出していたようである。；プロテスタントは労働そのものに価値を認める天職の概念を見出した。；新聞各紙も一面に大見出しで事件を伝えたほか、号外も発行された。；それを我慢して見詰めていると目が渋くなって涙が浸み出して来た。；彼は自然に見られるさまざまな様相に神の諸属性を見出している。</t>
        </is>
      </c>
      <c r="J8053">
        <f>HYPERLINK("https://www.weblio.jp/content/見出し", "词义详情")</f>
        <v/>
      </c>
      <c r="K8053">
        <f>HYPERLINK("https://yourei.jp/見出し", "查看例句")</f>
        <v/>
      </c>
    </row>
    <row r="8054">
      <c r="A8054" t="inlineStr">
        <is>
          <t>満たす</t>
        </is>
      </c>
      <c r="B8054" t="inlineStr">
        <is>
          <t>成功</t>
        </is>
      </c>
      <c r="C8054" t="inlineStr">
        <is>
          <t>読み方：みたす
［動サ五（四）］
１容器の中いっぱいに入れる。満ちるようにする。「コップに水を—・す」「腹を—・す」
２求められているものを実現してやり、満足させる。「条件を—・す」「要求を—・す」「—・されない思い」
[可能]みたせる</t>
        </is>
      </c>
      <c r="D8054" t="inlineStr">
        <is>
          <t>満たすべき；満たすべく；満たすような任意；満たすもの全体</t>
        </is>
      </c>
      <c r="E8054" t="inlineStr">
        <is>
          <t>満足；占める；回る；注ぐ；埋める</t>
        </is>
      </c>
      <c r="F8054" t="inlineStr">
        <is>
          <t>全て満たす；同時に満たす</t>
        </is>
      </c>
      <c r="H8054" t="n">
        <v>29</v>
      </c>
      <c r="I8054" t="inlineStr">
        <is>
          <t>実際には、この条件を完全には満たさない国家もいくつか存在している。；この式からさらに 0 でない数 が を満たすとき ならば となる。；誰の条件も満たさなかった場合はスタッフロールのみが流れて終了する。；電子は満たされていないバンド中の任意のエネルギーをとることができる。；これを満たしていれば、自分の手牌がどのような形であるかは関係ない。；一部のキャラクターは特定の条件を満たさないと会うことができない。；ただし条件を満たさなければ行くことができないステージも存在する。；しかし、駅の建築基準を満たさなかったため、結局新たに建設し直した。；オフサイドポジションとは以下の条件を全て満たした位置のことを指す。；一般的に他人が行う場合は下記の4条件を全て満たす場合に容認される。；別の郡がこの条件を満たさなくさせる場合は、新郡の創設が認められない。；もし条件を一つでも満たしていない場合は宣言した者の負けとなる。；また、アイテムの中には特殊な条件を満たさないと出現しないものがある。；この賠償を受ける事ができたのは、以下の2つの条件を満たす国である。；これは純粋に基準を満たす人材の確保ができない点が挙げられている。；一定の受験資格を満たさなければならない、詳細は下記のとおりである。；しかし札幌市の調査の結果当施設が耐震強度を満たしてないことが判明。；条件を満たしていない場合、使用しても煙が出るだけで効果は発揮されない。；汲み上げられた水はそれが再び地下に満たされるよりも早く失われる。；それらを満たすために、ワタにおける例では次のものが用いられている。；を満たしている点であり、写像を適用しても変化しない点を意味する。；三角不等式よりもさらに強い条件 が満たされる距離は超距離と呼ばれる。；これらの3条件に加えて条件 を満たすとき を対称双線型形式という。；日本のルールとアメリカのルールの両方を満たした問題を作ることは可能である。；最初から存在する場合と一定条件を満たすと登場する場合がある。；イベントに関しても特定の条件を満たしさえすればいつでも発生する。；最初は皆レベル1からスタートし、条件を満たすことで階級審査が発生。；規模が小さいながら一種の公園連絡道路的な役割を満たしている。；すなわち、要件を満たさない場合には高い旨等の表示を行ってはならない。</t>
        </is>
      </c>
      <c r="J8054">
        <f>HYPERLINK("https://www.weblio.jp/content/満たす", "词义详情")</f>
        <v/>
      </c>
      <c r="K8054">
        <f>HYPERLINK("https://yourei.jp/満たす", "查看例句")</f>
        <v/>
      </c>
    </row>
    <row r="8055">
      <c r="A8055" t="inlineStr">
        <is>
          <t>乱す</t>
        </is>
      </c>
      <c r="B8055" t="inlineStr">
        <is>
          <t>成功</t>
        </is>
      </c>
      <c r="C8055" t="inlineStr">
        <is>
          <t>読み方：みだす
［動サ五（四）］ばらばらの状態にする。秩序をなくする。また、物事を平穏でなくする。「髪を—・す」「風紀を—・す」</t>
        </is>
      </c>
      <c r="D8055" t="inlineStr">
        <is>
          <t>乱すことなく(4%)；乱すまい；乱すおそれ</t>
        </is>
      </c>
      <c r="E8055" t="inlineStr">
        <is>
          <t>崩す；働きかける；揺るがす；揺さぶる；かき乱す</t>
        </is>
      </c>
      <c r="F8055" t="inlineStr">
        <is>
          <t>心乱す；著しく乱す</t>
        </is>
      </c>
      <c r="H8055" t="n">
        <v>29</v>
      </c>
      <c r="I8055" t="inlineStr">
        <is>
          <t>悲嘆と絶望があの老婦人の精神を乱してしまったのははっきりしている。；私はどうも周囲の出来ごとに心を乱されずに生活することはできません。；もっとも二本とも新たに宗助の心を乱すような心配事は書いてなかった。；ここでペースを乱さないようにして良い位置を確保しなければならない。；しかしハイルナーは修道院の平和を乱すようなことはなにもしなかった。；もはやあらゆる性の問題に心乱されることのない身体となり得たのだ。；中国の古代の帝のひとりである少昊の時代などに天下を乱したとされる。；自分のペースがあんな馬鹿に乱されているかと思うと、本当に腹が立つ。；然し彼には家庭の調子を乱したくない気が知らず知らずの間に働いていた。；しかし彼には家庭の調子を乱したくない気が知らず知らずの間に働いていた。；新発明の導入が成功することにより、通常の経済生活の流れが乱される。；しかし、今また彼は、駈け込んだ秋蘭のために乱されて来たのであった。；コースを乱して壁に向ってすべっていった輸送車の姿はすでになかった。；彼女の心をすっかり乱させることができないのを、不満に思っていた。；何か物を考えている時でもそのために妨げ乱されるようなことはない。；ラジオや電話が切れたと思って、市民の心を乱してゆこうというのだな。；この文を書いた人たちは、実行主義で権力主義者の算を乱させたのよね。；余の左右前後の人々はようやくに列を乱して入口の方へなだれかかる。；時間の流れを乱す力が作用し、過去か未来へ押し流されたのではないか。；彼が競子を蹴ったのは、彼が競子のために乱されたからではなかったか。；人の感情の高ぶりにすぐに気持ちを乱されてしまうのが、僕の悪い癖だった。；が、その間にも、このごく平静な気持を乱すたった一つのことがあった。；彼らの間にはある種の規律があるらしく、だれ一人列を乱すものがいない。；その半暗を乱して、パッ、奥の廊下を渡って来た風のような人影がある。；光が収まった後も、服装すら乱すことなくレイグルが立っていたからだ。；心が乱されるのを恐れて母を見ないようにしながら、終わりまで言い進んだ。；呼吸一つ乱していないわりに、彼の声には疲れたような響きがあった。；彼女の全努力は、最後の数か月の平和な気持を乱すまいとすることだった。；音もなく二つの星が消滅し、あおりを食って近くの星々が軌道を乱した。</t>
        </is>
      </c>
      <c r="J8055">
        <f>HYPERLINK("https://www.weblio.jp/content/乱す", "词义详情")</f>
        <v/>
      </c>
      <c r="K8055">
        <f>HYPERLINK("https://yourei.jp/乱す", "查看例句")</f>
        <v/>
      </c>
    </row>
    <row r="8056">
      <c r="A8056" t="inlineStr">
        <is>
          <t>満たない</t>
        </is>
      </c>
      <c r="B8056" t="inlineStr">
        <is>
          <t>成功</t>
        </is>
      </c>
      <c r="D8056" t="inlineStr">
        <is>
          <t>満たない小さな；満たない短い；満たない大き；満たない狭い；満たない低</t>
        </is>
      </c>
      <c r="H8056" t="n">
        <v>29</v>
      </c>
      <c r="I8056" t="inlineStr">
        <is>
          <t>州内の高校を卒業した者でカレッジに進学する者は半分に満たなかった。；一緒に住んだのは、東京でのわずか10ヶ月にも満たない期間であった。；そのうち生きて本州に戻った者はその半数にも満たなかったと言われる。；日本では義務教育である小学校の就学年齢に満たない児童のことを表す。；始めから終わりまで急な下り道で、幅は一キュビットにも満たなかった。；他のユダヤ教の書物では、1日に満たなかったと述べているものもある。；そのため、一人当たりの居住面積は10m2にも満たない状況であった。；設立された当初は二十に満たなかった加盟国も、今では百五十以上になる。；これは生徒教育のためのもので料金は千円にも満たない安価なものである。；人口は一万人にも満たない街だけあって、かなりこぢんまりとしていた。；茎にふつうは翼はないが、ときに幅1mmに満たない幅の狭い翼がある。；モレオンはこの地域唯一の町だったが、人口は350人に満たなかった。；それに対して東側の土塁に残った門徒といえば、二百にも満たなかった。；この分野の研究は当時日本では唯一、世界でも10に満たない分野であった。；親でない側の点数が40点に満たないときは、親側のチームの勝利である。；従って制装とはいっても本来の機能を完備したのは半数にも満たなかった。；木箱には粉末の袋も入っていたが、重量は五百グラムにも満たなかった。；一説によると軍への入隊期間は数週間にも満たなかったとも言われる。；おそらく5ドルに満たない金だったが、私が貯めたなけなしの金だった。；クラブ収益の一割にも満たない金のためにクラブの独立性を捨てるのか!；以降の作品も含めてリリースは8本のみで1年に満たない活動期間であった。；そのとき、漢中の守備兵が三万に満たなかったため、諸将は恐れ慄いた。；だが、陸也の言葉が真実ならば、燁はまだ生後三年にも満たないはずだ。；お輿入があってから僅か三年に満たないうちに、将軍が亡くなりました。；流通数に満たない為、CDショップなどの商業ルートでは販売されていない。；迷唐の一人息子が漢に降伏してきたが、その戸数は数十に満たなかった。；嘉吉の乱から半年に満たないその急な死は裏に何か事件があったことを示唆している。；しかし適用をうけられたのは大尉への任用のみで10名に満たない。；エンジンが一基破壊され、加速がこれまでの三分の二にも満たなかった。</t>
        </is>
      </c>
      <c r="J8056">
        <f>HYPERLINK("https://www.weblio.jp/content/満たない", "词义详情")</f>
        <v/>
      </c>
      <c r="K8056">
        <f>HYPERLINK("https://yourei.jp/満たない", "查看例句")</f>
        <v/>
      </c>
    </row>
    <row r="8057">
      <c r="A8057" t="inlineStr">
        <is>
          <t>みだりに</t>
        </is>
      </c>
      <c r="B8057" t="inlineStr">
        <is>
          <t>成功</t>
        </is>
      </c>
      <c r="D8057" t="inlineStr">
        <is>
          <t>みだりにこの(7%)；みだりにその(4%)</t>
        </is>
      </c>
      <c r="H8057" t="n">
        <v>29</v>
      </c>
      <c r="I8057" t="inlineStr">
        <is>
          <t>野守がここに置かれ、人々がこの野原にみだりに入ることは禁じられた。；私はみだりにこの自由を要求してよいものだろうか?；共に語るに足りない人に会って、みだりにその人と語れば言葉を失うことになる。；みだりにおのれの本分を捨て他の行為をまねるのは両方とも物にならないこと。；余計な若僧をみだりに俺の城の中に入れるな、と宮地はいったのだ。；部屋の主が不在であれば、留守中、みだりに入るわけにはいかない。；人おのおの与えられた運命がつくってくれるところの料理に満足し、みだりに分を越えた他の世界を羨望するものではない。；当時、局内では捕虜とみだりに言葉をかわさぬことという布令が出されていた。；みだりに嘲り笑うよりも、むしろ気の毒な痛ましい人々ではあるまいかと思われた。；さようなことは、みだりに云うものではない。；それらの記事は荒唐無稽としてみだりに捨て去るべきものではない。；前にもいう通り、この声と、かの僧との関係がはっきりしない以上、みだりに邪魔に出てよいか悪いか。；すなわち木曾の山林をみだりに伐ることを禁ずる法を確立したのは長安なのである。；みだりにそれを変更することは禁じられている。；何人も、海岸保全区域内において、みだりに次に掲げる行為をしてはならないとされている。；私はそれを知っているので、いかに愚劣な作品と雖も、みだりにそれを破棄することが出来ない。；みだりに「江戸前寿司」と看板に標榜する無責任さは叱責せねばなるまい。；艦長たる者、みだりに怒鳴り声をあげるべきではない。；原則的に車両は、みだりにその進路を変更してはならない。；そこへみだりに踏み込むことは出来ないので、半七が一応の念を押すと、良助はうなずいた。；それというのは、キリストにとってはそれは大切なことであるために、みだりにそれを人間におあかしにならないのだ。；業界用語というものは、一般の人間がみだりにマネすべきものではない、と私は考える。；したがって、客もまた、そういう席では、みだりに不作法なふるまいをしてはならないことになっている。；やがてたとえ権力者であろうとみだりにこれらの芸を披露すべきものではないという気骨を生んだ。；むかしから、ここの家の先祖は、みだりにこの木の枝を払ったり、葉をとったりしないように心していた。；それというのは、賢者は先ず己が心に諮った上でなければ、みだりにわが口から言葉を洩らさぬがゆえであります。；神のご希望としては哲学者がみだりにこの仙石の発見法を明記しないことでありますから、なるべく錬金術はよしたほうがよいのです。；そこで、俳聖芭蕉は、みだりに作らないといふ覚悟を非常に持つてゐたさうであるが、その事は、私には此の場合特に重要な事と考へられる。；長崎では規則があって、みだりに彼らの宿への出入りはできないのであるが、江戸のほうは、しばらくの間のことであるから、自然にかまいもしないというありさまであった。</t>
        </is>
      </c>
      <c r="J8057">
        <f>HYPERLINK("https://www.weblio.jp/content/みだりに", "词义详情")</f>
        <v/>
      </c>
      <c r="K8057">
        <f>HYPERLINK("https://yourei.jp/みだりに", "查看例句")</f>
        <v/>
      </c>
    </row>
    <row r="8058">
      <c r="A8058" t="inlineStr">
        <is>
          <t>乱れる</t>
        </is>
      </c>
      <c r="B8058" t="inlineStr">
        <is>
          <t>成功</t>
        </is>
      </c>
      <c r="C8058" t="inlineStr">
        <is>
          <t>読み方：みだれる
［動ラ下一］［文］みだ・る［ラ下二］
１まとまりがなくなる。ばらばらになる。「髪が—・れる」「風に—・れて木の葉が舞う」
２本来なら整っているはずのものが崩れる。順序などがめちゃめちゃになる。「列が—・れる」「呼吸が—・れる」「ダイヤが—・れる」
３規律・けじめなどがなくなる。だらしなくなる。「風紀が—・れる」「生活が—・れる」
４心が平静でなくなる。思いまどう。「気持ちが—・れる」
５騒乱が起きたりして、平和でなくなる。「国が—・れる」「世が—・れる」</t>
        </is>
      </c>
      <c r="D8058" t="inlineStr">
        <is>
          <t>乱れることなく(2%)；乱れる長い髪</t>
        </is>
      </c>
      <c r="F8058" t="inlineStr">
        <is>
          <t>心乱れる；大きく乱れる；大いに乱れる；いり乱れる；降り乱れる</t>
        </is>
      </c>
      <c r="H8058" t="n">
        <v>29</v>
      </c>
      <c r="I8058" t="inlineStr">
        <is>
          <t>乱れる髪も頬に当たる風も、彼女を映画の中にいるような気分にさせた。；事実、呼吸は無奇にして気の乱れることのないのが、一番よいのである。；手にすることがなくなって、父も母も心の思いはいよいよ乱れるのである。；なぜそんなに乱れるのかなんて、われわれなどにはわかりゃあしないよ。；さすがに裾が乱れるほど気が急いていた様子だったが、目に涙はなかった。；部屋に電話なんて引かせたら風紀が乱れるとでも思ってんじゃないのかな。；むっつりとした顔だが、乱れる思いを完全に隠しおおせてはいなかった。；香村つかさは髪が風で乱れるのを気にしてか、ずっと髪に手を当てていた。；お文も着物の前が乱れるのも構わずこちらに向かって駆けて来た。；皇帝がこれほど公私の別がつかないのでは、国政が乱れるのは当然である。；暑熱は人間の思惑の乱れるこの相場の街に特に内攻しているようである。；誰かの顔を見るだけで感情が乱れるようなこともなくなった。；僕がそこに一人いることによって、磁場が乱れるように空間が変貌する。；呼吸が乱れると全体的に動きが鈍くなりフォールも奪われやすくなる。；朝食のあとではちょっとした議論をしても、すぐ心が乱れるものでしてね。；たとえ言わなくても、家庭へ介入して来て、家庭が乱れるもとになる。；われらが死ねば、ふたたび天下が乱れるようであってはならないのじゃ。；が、あれは足がすごく太く見えるしな、と千々に思いが乱れる私である。；唐突なぼくの発言に、彼女は風に乱れる髪を押さえたまま小首を傾げた。；その後、何晏達が政治を壟断したため、魏の政治は乱れることになった。；数十年間平和だった地が乱れるのは大鳥にとって堪えられないことだった。；映像はサムネイルの画像と、羊の絵文字が並ぶ画像が乱れる構成であった。；記者連中にうろつかれては、こちらの捜査の足並みが乱れる可能性がある。；雲に乗っている最中に、心が乱れると神通力を失って地面に落下してしまう。；腹が破れそうな一撃に、私の肉体は一瞬結合力を失い、その形態が乱れる。；私の生活の乱れるのは多くの場合このためなのでした。；箍の外れた乱れる心が、ただ膨大な声となって溢れ出しているだけだった。；どんな状況でもどんな話題でも、その緩やかなペースが乱れることはない。；私は沈痛な心を抱いて、花の吹き乱れる野を越えて死地に向かった。</t>
        </is>
      </c>
      <c r="J8058">
        <f>HYPERLINK("https://www.weblio.jp/content/乱れる", "词义详情")</f>
        <v/>
      </c>
      <c r="K8058">
        <f>HYPERLINK("https://yourei.jp/乱れる", "查看例句")</f>
        <v/>
      </c>
    </row>
    <row r="8059">
      <c r="A8059" t="inlineStr">
        <is>
          <t>道</t>
        </is>
      </c>
      <c r="B8059" t="inlineStr">
        <is>
          <t>成功</t>
        </is>
      </c>
      <c r="C8059" t="inlineStr">
        <is>
          <t>読み方：とう
〈洞〉⇒どう
〈道〉⇒どう</t>
        </is>
      </c>
      <c r="D8059" t="inlineStr">
        <is>
          <t>道庵；道沿い；道誉；道b；道夢斎</t>
        </is>
      </c>
      <c r="E8059" t="inlineStr">
        <is>
          <t>通り；路線；道路；路；コース</t>
        </is>
      </c>
      <c r="F8059" t="inlineStr">
        <is>
          <t>細い道；連邦道；現道；同じ道；狭い道</t>
        </is>
      </c>
      <c r="G8059" t="inlineStr">
        <is>
          <t>道具；道場；道徳；道中；道理</t>
        </is>
      </c>
      <c r="H8059" t="n">
        <v>29</v>
      </c>
      <c r="I8059" t="inlineStr">
        <is>
          <t>このように中央道の調査は非常に大雑把で信用に足るものではなかった。；馬車などは道の中央を走り、歩行者は道の端を歩くということになった。；由来は、その名の通り伝統的に道の角に店があるのがその名の由来である。；南の道はタジキスタンに向かうが、北の道はキルギスの南部を通過する。；古くからの住宅密集地帯が多く、細く狭い道や急な山坂が多いのが特徴。；なお、市内の殆どの道が舗装されているものの、高速道路は存在しない。；内道がブッダの教えであり、外道がブッダの教えから外れたものである。；州道の建設と保守、および州全体の交通計画は州交通局が担当している。；ブランドは次の年に復学するように認められたが、自ら退学の道を選んだ。；中央道派が言うには、立法は今年は中央道、東海道は来年にしろという。；一方で、使命を終えて事実上、管理が行われなくなった道も存在する。；駅東西および南には線路と平行に走る道があり、商店街となっている。；辺の長さが明示的に与えられていない限り、道の長さは道中の辺の数である。；六甲山系の登山道は無数にあり、多くの主要な道は名前がつけられている。；王者の王道政治を理想とするのは、孟子と同じく儒家の基本思想である。；市内では国道同士や国道と県道を含め、多くの道が重複する区間がある。；道教では、道は学ぶことはできるが教えることはできないと言われる。；息子の眞によれば、手塚は血を見るのが嫌いで道を断念したとも言う。；その普通の人間が欲望を持ったまま「仏」となる道が求められねばならない。；やがて芝居そのものが楽しくなってしまい、大学をやめて演劇の道を志す。；この一年かけて太陽がゆっくりと星座間を移動する道を黄道という。；これを、違う目的に到達できる別々の道がある、と考えるのは誤りなのだ。；日本の和暦の暦注においても、宿曜道に基づく二十七宿が書かれていた。；線路と並行に伸びている道の線路側には大きな駐輪場がある。；中央道の大半は山地部を通過するために、沿道には多くの山がある。；この「道」は言葉によって客観的に捉えることができないとされている。；純粋な古道をもって皇道の本領であるとし、仏意も儒意もどちらも斥けた。；学道を完成してこれ以上に学ぶ要がないので阿羅漢果を無学位という。；宇宙飛行士への道を選ぶことにはもはや何のためらいもなかった。</t>
        </is>
      </c>
      <c r="J8059">
        <f>HYPERLINK("https://www.weblio.jp/content/道", "词义详情")</f>
        <v/>
      </c>
      <c r="K8059">
        <f>HYPERLINK("https://yourei.jp/道", "查看例句")</f>
        <v/>
      </c>
    </row>
    <row r="8060">
      <c r="A8060" t="inlineStr">
        <is>
          <t>未知</t>
        </is>
      </c>
      <c r="B8060" t="inlineStr">
        <is>
          <t>成功</t>
        </is>
      </c>
      <c r="C8060" t="inlineStr">
        <is>
          <t>読み方：みち
まだ知らないこと。また、まだ知られていないこと。「—へのあこがれ」「—の分野」⇔既知。</t>
        </is>
      </c>
      <c r="D8060" t="inlineStr">
        <is>
          <t>未知なるもの；未知の読者；未知なるカダス；未知領域；未知なる世界</t>
        </is>
      </c>
      <c r="F8060" t="inlineStr">
        <is>
          <t>新しい未知；未知試料；未知変数；未知の試料中</t>
        </is>
      </c>
      <c r="G8060" t="inlineStr">
        <is>
          <t>未知の世界；未知子；未知との遭遇；未知なるカダスを夢に求めて；未知関数</t>
        </is>
      </c>
      <c r="H8060" t="n">
        <v>29</v>
      </c>
      <c r="I8060" t="inlineStr">
        <is>
          <t>このことは後の未知の地への探検行を促した点で重要な出来事となった。；それ以外の技は雑誌に写真付きで紹介されるまで全く未知の技だった。；製作者や製作意図などが謎の、未知のテクノロジーで作られたロボット。；慰めようとした光は思わずキスしそうになるが、未知はそれを拒否する。；中に入っていたのは未知の昆虫で、彼女が目を離したすきに姿を消した。；また、有理数範囲での一般的判定方法が存在するかどうかも未知である。；有性生殖は未知であるが、ゲノム情報からはその存在が示唆されている。；未知の相手と仕事をすることである程度の縛りを自分に与えるためであった。；よって技術的に未知の部分が多く、幾多の調査研究を経て設計された。；未知なるものを「x」と呼ぶことには、このような背景があるとされる。；画像解析すると、未知の言語や、奇妙な立体のようなものが表示された。；他種を区別することが出来ると見られるが、その方法は未知である。；未知の命令語が入っている場合は無視されてしまうことが多い。；分析・合成が不可能な未知の物質でできており、偽造は不可能である。；また中央の白い楕円は躍動する学生たちの未知なる力を表現している。；ギリシア語だけでなく、と呼ばれる未知の言語の表記にも用いられた。；この未知の島は地理学会に報告され、世界中の研究者たちに知れ渡った。；当初、未知のウイルスの関連が考えられていたが、現在は否定されている。；ただし、毒を持たない未知の類似種の存在が複数確認されており。；物語開始の5年前、世界各地に突然現れた未知の巨大生物で、人類の敵。；これは系の中の未知の惑星のせいであると考えられている。；中には未知の土地への神秘的経路を描いたものもあったと見られる。；未知のウイルスや感染症などを題材にした映画・小説に登場することが多い。；また未知のいくつかのタンパク質切断過程も働いているかもしれない。；ところが、突如未知の惑星で作業を行っていたロボットたちが反乱を起こす。；彼の父・フリッツ博士はこれを使って未知のエネルギーを開発することを決心する。；本作の主な舞台となる、人工衛星により宇宙から発見された未知の島。；また、一般化されてはいても動力源には未知の力を使用している例が多く見られる。；その貨車を調べてみると、中には未知の生物の死体が入っていた。</t>
        </is>
      </c>
      <c r="J8060">
        <f>HYPERLINK("https://www.weblio.jp/content/未知", "词义详情")</f>
        <v/>
      </c>
      <c r="K8060">
        <f>HYPERLINK("https://yourei.jp/未知", "查看例句")</f>
        <v/>
      </c>
    </row>
    <row r="8061">
      <c r="A8061" t="inlineStr">
        <is>
          <t>身近</t>
        </is>
      </c>
      <c r="B8061" t="inlineStr">
        <is>
          <t>成功</t>
        </is>
      </c>
      <c r="C8061" t="inlineStr">
        <is>
          <t>読み方：みぢか
［名・形動］
１自分のからだの近くであること。また、その場所やそのさま。身辺。「愛読書をいつも—に置く」「危険が—に迫る」
２自分と深い関係にあること。また、そのさま。「—な問題をとりあげる」</t>
        </is>
      </c>
      <c r="D8061" t="inlineStr">
        <is>
          <t>身近なもの(5%)；身近な存在(3%)；身近なところ(2%)；身近な例；身近に感じられる</t>
        </is>
      </c>
      <c r="E8061" t="inlineStr">
        <is>
          <t>近い；密接；親しい；親密；手近</t>
        </is>
      </c>
      <c r="F8061" t="inlineStr">
        <is>
          <t>身近な人々；身近な話題；身近な生活；身近な物；身近な食材</t>
        </is>
      </c>
      <c r="G8061" t="inlineStr">
        <is>
          <t>身近か；身近い；身近な自然；身近う；身近き</t>
        </is>
      </c>
      <c r="H8061" t="n">
        <v>29</v>
      </c>
      <c r="I8061" t="inlineStr">
        <is>
          <t>身近な世界が舞台となった話にアメリカ中の子供たちが夢中になった。；母親は大の映画好きで、幼少から映画が身近にあった家庭環境で育った。；バスはその初めから、鉄道と同様に身近な存在の公共交通機関であった。；生息環境は様々であり、上記のゴキブリのように極めて身近な例もある。；幼い頃から身近に流れている音楽に触れたのが音楽に興味を持ったきっかけ。；身近な道具やおもちゃを精緻に観察・製作し、実際に使っていたという。；また、幼い頃は台湾在中だったこともあり、海外は身近な存在であった。；身近にあるものを利用した簡単な遊びに、記録で挑戦するのが特徴。；講師が学生たちに見せている情報を全ての学生が、より身近に実感できる。；父が趣味でギターを弾くこともあり、自宅にはギターが身近にあった。；その後筆を口にくわえ始め身近にあった花などを描くようになった。；地元の子供たちにプロ野球を身近に感じて欲しくて磐田を選んだという。；また地理教育においては、身近な地域や環境を自由に描いた地図を指す。；ルイ14世はこの絵画を購入して、自分が死ぬまで身近に置いていた。；それらを用いて身近なものを覗いて回り、様々なものを見て感動していた。；身近な例では、両の手を合わせ力を入れることで感覚的に認識することができる。；多数の地方名があることから、身近な食用藻であったと考えられている。；地球と月はこの構造の一つの例で、地球人に最も身近な例でもある。；水は人類にとって身近であって、地球上の生物の生存に必要な物質である。；しかし、二つの誘拐事件の陰には身近な人間の悪意に満ちた意図があった。；このことが作品をより身近な物にしているとも考えられる。；また番組専用電話番号もあり視聴者から身近な情報を提供してもらっていた。；したがって、日本では人間にとって最も身近なコウモリであると言える。；分子生物学的技術が身近になったことで、近年多く取り入れられてきている。；登場人物はしばしば彼の身近な人々、家族・友達・仲間の画家・恋人・子供が多い。；身近で今使える心理学をわかりやすく解説したものを動画投稿している。；身近な海域に生息する大型魚だけに、昔から食用として漁獲されてきた。；身近な花木のほとんどは、日本や中国などの東アジア原産の植物である。；身近な用途で使用される場合は、ホウ砂やホウ酸の状態であることが多い。</t>
        </is>
      </c>
      <c r="J8061">
        <f>HYPERLINK("https://www.weblio.jp/content/身近", "词义详情")</f>
        <v/>
      </c>
      <c r="K8061">
        <f>HYPERLINK("https://yourei.jp/身近", "查看例句")</f>
        <v/>
      </c>
    </row>
    <row r="8062">
      <c r="A8062" t="inlineStr">
        <is>
          <t>見違える</t>
        </is>
      </c>
      <c r="B8062" t="inlineStr">
        <is>
          <t>成功</t>
        </is>
      </c>
      <c r="C8062" t="inlineStr">
        <is>
          <t>読み方：みちがえる
［動ア下一］［文］みちが・ふ［ハ下二］
１見て他のものと思う。みちがう。「—・えるほど立派になった」
２見方をまちがえる。見まちがえる。みちがう。「地図を—・えて迷う」</t>
        </is>
      </c>
      <c r="F8062" t="inlineStr">
        <is>
          <t>すっかり見違える；見違えるほど綺麗；見違えるほど大きく</t>
        </is>
      </c>
      <c r="H8062" t="n">
        <v>29</v>
      </c>
      <c r="I8062" t="inlineStr">
        <is>
          <t>そして旅行から帰ったときは、二人とも見違えるほど明るくなっていた。；そして童子が僅かな間に見違えるくらい大きくなられたのに驚きました。；私が、あの晩の学生達は着物の色を見違えたと考えるのが無理でしょうか。；こんな山の中でも、以前とは見違えるような大型のバスが通っていた。；あれたち二人がうちへやってきたときとはまるで見違えるほどにな。；だがあの後あのひとはまるで見違えた姿で戻ってきたではないか。；ところが、梅沢はこの二級部隊を見違えるような戦闘部隊に変貌させた。；見違えるように血色もよくなって、顔も随分とふっくらとしてきていた。；実際だんだんにやせて来た時とは見違えるように細長くなるようであった。；よく行った松の湯は新しく普請をして見違えるようにりっぱになった。；見違えるようにすがすがしくなった畳が、何枚か青い表を見せていた。；夫人は全く肥えて太ってしまったので、すっかり見違えてしまいました。；たった一年、必要な訓練を受けるだけで、見違えるように成長するだろう。；一度決心すると、細胞の中で、ぼくは見違えるほど、活溌になりました。；駅からの道は昔のままだったが、両側の商店街は見違えるほど変わっていた。；陽焼けしていた首筋が、今は見違えるように白く、力強さを失っていた。；近所の町は見違えるほど変っていたが古寺の境内ばかりは昔のままに残されていた。；このあたりの様子は、四年前に来た時とは見違える程に変っていた。；彼女の顔は、しばらくのうちに見違えるように明るくなっていた。；彼らは見違えるほど綺麗になった自分たちの部屋を、眼を丸くして眺めた。；彼は見違えるようになっていて、自分でもそれに気づいていた。；それはパリで見たときよりも見違えるほどの美しさだった。；自分から見違えられていたために、小父は悲しんでいるのだと考えた。；皮膚も見違えるほど黒くなって、もうすっかり、浜の青年になっている。；立ち上がったとき、その全身には、見違えるようなオーラが漲っていた。；竜介を病院まで運んでくれたその人だが、見違えるほどに威厳がある。；肌が白いから、化粧をすれば見違えるようになるかもしれない顔だ。；生れて初めての自然生活は、俊寛を見違えるような立派な体格にした。；空には間違いなく、見違えようもなく、月が二つきれいに並んで浮かんでいる。</t>
        </is>
      </c>
      <c r="J8062">
        <f>HYPERLINK("https://www.weblio.jp/content/見違える", "词义详情")</f>
        <v/>
      </c>
      <c r="K8062">
        <f>HYPERLINK("https://yourei.jp/見違える", "查看例句")</f>
        <v/>
      </c>
    </row>
    <row r="8063">
      <c r="A8063" t="inlineStr">
        <is>
          <t>道順</t>
        </is>
      </c>
      <c r="B8063" t="inlineStr">
        <is>
          <t>成功</t>
        </is>
      </c>
      <c r="C8063" t="inlineStr">
        <is>
          <t>読み方：みちじゅん
進むべき道すじ。順路。</t>
        </is>
      </c>
      <c r="D8063" t="inlineStr">
        <is>
          <t>道順を詳しく；道順をくわしく</t>
        </is>
      </c>
      <c r="E8063" t="inlineStr">
        <is>
          <t>方；道；路線；方向；道路</t>
        </is>
      </c>
      <c r="F8063" t="inlineStr">
        <is>
          <t>正しい道順</t>
        </is>
      </c>
      <c r="H8063" t="n">
        <v>29</v>
      </c>
      <c r="I8063" t="inlineStr">
        <is>
          <t>どうやら彼女は、今まで聞いた道順の説明をちゃんと覚えているらしい。；やはり電話はかかってきて、私が道順を教えたのではなかったのかと。；目に見えないことも大事だし、人生の道順は五感の全てで選べばいいの。；そしてその思念の中に、ぼくは、もっと詳細な道順をつかんだのである。；家から塾までの道順を頭に浮かべ、途中に公園があったことを思いだした。；自宅へのバスの乗り継ぎ方と、降りてからの道順まで教えられていた。；あまり医者に縁のない家なのだろう、とにかく電話で道順を聞いた。；地図を見なくても、以前走った道順はしっかり頭に刻み込まれていた。；仲本は駅の裏手のラブホテルへの道順のことを考えながら歩きはじめた。；なぜそういう道順にきめたのか、いつきめたのか、もう覚えてはいない。；中央診療室まで何度も往復したことがあるのに、その道順を覚えない。；道順は記憶していたので、貝原家には迷わずにたどりつくことができた。；一枚は地図をコピーしたもので、どこかの公民館への道順が描かれていた。；目は見えなくても、だいたいの道順は沢の音や風の気配で覚えている。；私はホテルから車で行く道順を伯母に聞き、メモを手にタクシーに乗った。；自宅の方に行く道順を説明しながら、ハンカチで額や腕の汗を拭いた。；しかたなく、郵便局長から二軒ほどの民宿とその道順を教えてもらった。；この道順は、あるいは伊東忠介が来たかも知れない道を逆に進むのである。；案内された部屋から階段まで戻る道順すら間違いそうだった。；何よ、あれだけ道順を説明してもらっていたのに、全然理解してないじゃない!；つまり、その通廊への入口までの道順を知っているものがいなかったのだった。；まるで、進んでいくべき道順を示すかのように、そこここに固まっている。；そして一同はおれの教えておいた道順を踏んで、庭園の方に向かった。；駅からめざす建物への道順は、忘れようと思っても忘れられはしない。；道順も始めのうちは覚えていたが、途中から皆目わからなくなった。；牧場老人のアパートには一度しか行ったことがなかったが、道順は覚えていた。；昔は三日にあげずその道順で飲みまわったものであった。；彼女はまだ行ったことがないと答えたので、私は道順とその寺の名前とを運転手に告げた。；それはいつもこの道順をとる習慣らしいことを示していた。</t>
        </is>
      </c>
      <c r="J8063">
        <f>HYPERLINK("https://www.weblio.jp/content/道順", "词义详情")</f>
        <v/>
      </c>
      <c r="K8063">
        <f>HYPERLINK("https://yourei.jp/道順", "查看例句")</f>
        <v/>
      </c>
    </row>
    <row r="8064">
      <c r="A8064" t="inlineStr">
        <is>
          <t>道連れ</t>
        </is>
      </c>
      <c r="B8064" t="inlineStr">
        <is>
          <t>成功</t>
        </is>
      </c>
      <c r="C8064" t="inlineStr">
        <is>
          <t>読み方：みちづれ
１連れ立って行くこと。同行。また、その人。同行者。「よい—ができる」「旅は—世は情け」
２一緒に行動させること。同じ道をとらせること。「子を—に心中する」</t>
        </is>
      </c>
      <c r="D8064" t="inlineStr">
        <is>
          <t>道連れにしよ(4%)；道連れ小平；道連れにしてやろ；道連れに自爆しよ</t>
        </is>
      </c>
      <c r="E8064" t="inlineStr">
        <is>
          <t>同行；同行する；伴侶；一緒に行く；道づれ</t>
        </is>
      </c>
      <c r="H8064" t="n">
        <v>29</v>
      </c>
      <c r="I8064" t="inlineStr">
        <is>
          <t>発疹チフスは戦争および革命の不可避で予想される道連れとなっていた。；反乱軍の一部のものがネパールへ逃げたとき、私も道連れにされました。；その男は向う側に胡床をかいた自分の道連れらしいのに話しかけてゐた。；岩は頭に当たって、男はふたりの仲間を道連れにして、山腹を転落した。；ダバルプスは最期に、どうあっても俺たちを道連れにするつもりなのだ。；しかし今私の道連の者どもの心を動かしたのは、その木の大きさではなかった。；弟のひとりぐらいはちゃんと道連れにつけてやっているはずです。；そうしなければ自分は明日の晩、家族を道連れに死んでしまうだろうと思った。；彼はあなたを道連れにするのではなく、一人で責任をとることを選びました。；自分には敵わないから、和穂を道連れにするつもりなのかと殷雷は考えた。；姫も息子を道連れにするのが忍びなく天皇に息子を引き取るように頼んだ。；女性たちは奴隷となることをよしとせず、子供を道連れに自らの命を絶った。；才槌頭は、自らの死を代償に奇狼丸を道連れにしようとしたに違いない。；しかも、死ぬ時には、ジョージの身内の人々を道連れにしていくだろう。；道連の女に此は何といふものかと聞いたら此はケラといふものだといつた。；次の夜に同じ所を通ると、又道連の男が出て来て、前夜と同じ問を発した。；妻は道連れにできませんが、私はすべての責任をとって死にます。；負け戦を前にして、妻や姉を己の自我だけで道連れにはできなかった。；彼はひどくそれを憾んだが、道連れたちは彼のその様子を見て大いに笑った。；ぼくが一番に心がけていたのは、道連れを見失わないということだった。；貴公を道連れにしたくはないが、そうまで言うのならば致し方ござらぬ。；一〇人くらいは道連れにできるかもしれないが、それで終わりだ。；その人が大勢をその気にさせて道連れにしようとします。；そんな約束の男があるなら、おれのような者と道連れは迷惑だろう。；自らの死が近いことを知って、執念で夜叉を道連れにしようとしているのだ。；それにしても、この娘は男を道連れにしてまるで怖れを感じないのかと思った。；こんな具合に旅は続き、ぼくはこの奇妙な道連れと一緒にいるのを楽しみ始めていた。；旅人は「道ヅレさん」のサポートのもとで、やりたいことを実現させる。；心配ではあるけれども、追いかけて強引に道連れになるほどの話でもない。</t>
        </is>
      </c>
      <c r="J8064">
        <f>HYPERLINK("https://www.weblio.jp/content/道連れ", "词义详情")</f>
        <v/>
      </c>
      <c r="K8064">
        <f>HYPERLINK("https://yourei.jp/道連れ", "查看例句")</f>
        <v/>
      </c>
    </row>
    <row r="8065">
      <c r="A8065" t="inlineStr">
        <is>
          <t>道程</t>
        </is>
      </c>
      <c r="B8065" t="inlineStr">
        <is>
          <t>成功</t>
        </is>
      </c>
      <c r="C8065" t="inlineStr">
        <is>
          <t>読み方：どうてい
１ある地点に着くまでの距離。みちのり。行程。「一日の—」
２ある境地・状態になるまでの時間。過程。「完成までの—」</t>
        </is>
      </c>
      <c r="D8065" t="inlineStr">
        <is>
          <t>道程帳</t>
        </is>
      </c>
      <c r="E8065" t="inlineStr">
        <is>
          <t>道；路線；道路；事情；背景</t>
        </is>
      </c>
      <c r="F8065" t="inlineStr">
        <is>
          <t>かかる道程；困難な道程；遠い道程</t>
        </is>
      </c>
      <c r="H8065" t="n">
        <v>29</v>
      </c>
      <c r="I8065" t="inlineStr">
        <is>
          <t>部室までの道程で何人か知った顔から挨拶をされたが、すべて無視した。；道程は、どんな風なものだか、それさえも思考の材料とはなって来ない。；学校から映画館までの道程をえっちらおっちら歩いてきたところだった。；途中の道程で箱の中身が何枚の貨幣になっていようと誰も気にはしない。；歩くにしては気の重いときがあるが、バスに乗るほどの道程でもない。；この出来事は確かに、人間になるための最も重要な道程のひとつであった。；どうせ私は、その森を脱けて、丘を越えなければならない道程であつた。；エロチシズムの演技場に行くまでの道程については云う必要もあるまい。；ルートヴィヒによると、絵画は魂の浄化への理想的な道程を表している。；プロでの二十勝は、僕にとっては気の遠くなるほどはるかな道程だった。；それから大分道程が進んで来たと思ふ頃一人の壮夫が坂をのぼつて来た。；その道程で、死が通りすぎたかのような灰を線路に、森に暗く残していく。；カリまでの道程を半分ほど進んだとき、小高い丘の上で尖兵が停止した。；この道程の中に於て、人は『狭き門』を見遁すことが出来ないであろう。；死もまた、ああいう完全な状態に入る道程として願い求められている。；のみならずたいていは動機に至る道程を示しているだけである。；タリファへの道程は、まっすぐ太陽にとびこんでゆくようなものだった。；それに道程が案外短距離だったので、二分後には目的の場所へ到着した。；しかしそういうものへの道程の第一歩に似たようなものは考えられなくはない。；そしていま、その遠いところから帰ってくる不安な道程の途中のような気分だ。；車や人や自転車とすれ違う十五分ほどの道程で、俺は何を考えてもいない。；だがそれは駄目だと知るために必要な道程であったようでもある。；その道程もまたそういう想像説を拵えた宣言者によって書かれてある。；下りだと云うにも拘わらず、来た時以上にそれは大変な道程だった。；これから到達する地点は「前」にあり、歩いてきた道程は「後」にある。；硝子の街が崩壊したので行きの道程帰りの道は大した距離ではない。；今まででさえ大変だったのに、これで取るまでの道程が長くなったのは間違いない。；今に至るまでの緊張は、結論に至るまでの道程を表したものだ。；その後の道程は決して平坦ではなかったし、それは今もって同じことなのだが。</t>
        </is>
      </c>
      <c r="J8065">
        <f>HYPERLINK("https://www.weblio.jp/content/道程", "词义详情")</f>
        <v/>
      </c>
      <c r="K8065">
        <f>HYPERLINK("https://yourei.jp/道程", "查看例句")</f>
        <v/>
      </c>
    </row>
    <row r="8066">
      <c r="A8066" t="inlineStr">
        <is>
          <t>道端</t>
        </is>
      </c>
      <c r="B8066" t="inlineStr">
        <is>
          <t>成功</t>
        </is>
      </c>
      <c r="C8066" t="inlineStr">
        <is>
          <t>読み方：みちばた
道路の端のあたり。道路のほとり。路傍。「—に車を止める」</t>
        </is>
      </c>
      <c r="D8066" t="inlineStr">
        <is>
          <t>道端に落ちてる</t>
        </is>
      </c>
      <c r="E8066" t="inlineStr">
        <is>
          <t>辻；路傍；道ばた；路肩；路頭</t>
        </is>
      </c>
      <c r="G8066" t="inlineStr">
        <is>
          <t>道端アンジェリカ；道端カレン</t>
        </is>
      </c>
      <c r="H8066" t="n">
        <v>29</v>
      </c>
      <c r="I8066" t="inlineStr">
        <is>
          <t>すると道端にこれまで見たこともないほど美しい木が優雅に立っていた。；道端には、親や小さな子供たちが並んで生徒たちの通るのを眺めている。；道端で風に揺れている、正式な名前など誰も知らないような小さな花だ。；彼女がアパートの近くまで帰ってくると、男が道端でうずくまっていた。；私たちは女の死体を道端の茂みの中に運ぶと、村を目指して歩きだした。；道端でタクシーを待っている客の頭上には目的地のイラストが表示される。；彼はずつと前から胃病だつたので時々道端で吐くことがあつたのである。；村内では道端などでも空いているスペースがあれば、植物の栽培に使う。；だがすぐに訪ねていくことができず、私は道端でずっとドアを見上げていた。；道端の植物を観察しながら、二人の後からゆっくり歩いていたかもしれない。；ロシアでは、道端や公園など場所問わず設置されている小さな商店を指す。；海へいく道端に、春になると桜が咲いて、それはきれいだといっていたよ。；そんな美しい女が深夜の道端に立ち、昔ながらに男の袖を引いている。；何か食べられるものはないかと、多くもない道端の家を軒別に覗き込む。；そのまま道端で泥のように眠ってしまいたかったが、人に見つかっては危険だ。；するといくらも行かない内に、道端の大木の陰から、侍が顔を出してきた。；お札をくれたのは、後にも先にも道端でお経を求めたあのおばさんだけだ。；「九野さん」声がして振り向くと、子供を連れた男が道端に立っていた。；そう認識した僕は一気に力が抜けてしまい、道端にへたり込んでしまった。；道端の石にも人間の脳髄にも同様の決定性がはたらいてゐる筈なのである。；樹木が道端に迫つて、蔭を爲してゐたので、彼は帽子を手にして歩いた。；彼はどこでもいいから道端に腰をおろすか、あるいは横になるかしたかった。；だが、人々は道端にもう一時間以上、そうやって只待っているのであった。；道端を歩いている生徒たちの後ろ姿には、既に終わりの気配が漂っていた。；そして店を出た後、深夜の歓楽街の道端で倒れ、「長い眠り」についた。；精神異常者と思われたのか周りの人々も自然と道端にそれていく。；マミと坂口とは、長中を卒業後も、たまに道端などで顔を合わせていた。；道端に、打ち捨てられたヤシの実があり、そこから新たな芽が出ていた。；仲間に金を巻き上げられて道端で呆然としていた公明を、なぜ誘ったか。</t>
        </is>
      </c>
      <c r="J8066">
        <f>HYPERLINK("https://www.weblio.jp/content/道端", "词义详情")</f>
        <v/>
      </c>
      <c r="K8066">
        <f>HYPERLINK("https://yourei.jp/道端", "查看例句")</f>
        <v/>
      </c>
    </row>
    <row r="8067">
      <c r="A8067" t="inlineStr">
        <is>
          <t>導く</t>
        </is>
      </c>
      <c r="B8067" t="inlineStr">
        <is>
          <t>成功</t>
        </is>
      </c>
      <c r="C8067" t="inlineStr">
        <is>
          <t>読み方：みちびく
［動カ五（四）］
１道案内をする。案内して目的の所に連れていく。「車を迂回路に—・く」「客を席に—・く」
２正しい方向に手引きをする。指導する。「生徒を—・く」「神に—・かれる」
３物事がそうなるように働きかける。事柄をある方向へ動かす。「状況を有利に—・く」
４答えや結論を引き出す。「結論を—・く」「解決方法を—・く」
５男女の間を仲介する。手引きをする。
「よに忘れず恋しくのみおぼえさせ給へるに、仏—・き給へるにこそありけれ」〈落窪・二〉
[可能]みちびける</t>
        </is>
      </c>
      <c r="D8067" t="inlineStr">
        <is>
          <t>導くべき；導く可能性；導くべく；導く役割を果たし；導くゴールを挙げ</t>
        </is>
      </c>
      <c r="E8067" t="inlineStr">
        <is>
          <t>行う；呼ぶ；指揮；経営；指導</t>
        </is>
      </c>
      <c r="F8067" t="inlineStr">
        <is>
          <t>正しく導く</t>
        </is>
      </c>
      <c r="H8067" t="n">
        <v>29</v>
      </c>
      <c r="I8067" t="inlineStr">
        <is>
          <t>高校・大学での野球経験はないながらも監督を務め、全道大会へと導く。；そして、それは彼女に彼女の夫を取り戻すことに決めるように導きます。；田舎の教会にいたが、ニューヨークに行けという神の導きを聞いたと言う。；主鏡の中央に穴があってそこから光を後方に導く形式の望遠鏡である。；それらのローカルな特性もまた新たなジャンルの開発を導くなどした。；しかし、その後の研究の蓄積は、同じ分野でも異なる結論を導いている。；「単位量あたりの差より全体量を導く」という考え方が基本になる問題。；彼女はしばしば現地人のチームを獲得し、彼女が指揮し、遠征に導いた。；制限時間内に迷路の奥にあるゴールまでボールを導く事を目的としたゲーム。；博士とのあいだにできた子どもを、自分で育て、自分で導こうとした。；このような現実を現実として見て、それを改善の方向に導こうとする意志。；アメリカは明らかにこれまでなしてきたように世界を導き続けなければならない。；同年の産業対抗では決勝で日本ビールを降し、チームを初優勝に導いた。；このことは、学校を二つのキャンパスに分離させるという結果を導いた。；神自身が関わっているしるしとされ、人々を信仰へと導くものである。；簡単なプログラムでシミュレーションを行い、答えを導くこともできる。；このような形からすべての植物の構造を導こうとするのがテローム説である。；この両王国に危機が迫った時代にはトゥオルを使者に選んで導いた。；人々を導くための形式を義と呼び、釈迦の教えを形式の上から分類したもの。；また、あるチームがすべて正解を導きだした時点で終了にもならない。；そして、それがついに、俊一を新たな音楽の境地へと導くことになった。；強力な戦争指導体制と総力戦体制を構築し、イギリスを勝利に導いた。；老獪な将軍はイギリスとの関係を改善し、平和的な解決に導くことができた。；チームを日本選手権優勝に導き、1997年には優秀選手にも選ばれる。；この実験の結果、初期の地球の状態がアミノ酸の生成を導くことを発見した。；他のスポーツも勉強も得意で数々の学校を優勝に導き、偏差値も上げている。；そこから公は敵軍に向かって小便をし、味方軍を勝利に導いたという。；これより早く、 誌にも、同様の結論を導く記事が掲載されている。；導き親と子の関係は以後継続し、導き親は子信者の教化の手助けをする。</t>
        </is>
      </c>
      <c r="J8067">
        <f>HYPERLINK("https://www.weblio.jp/content/導く", "词义详情")</f>
        <v/>
      </c>
      <c r="K8067">
        <f>HYPERLINK("https://yourei.jp/導く", "查看例句")</f>
        <v/>
      </c>
    </row>
    <row r="8068">
      <c r="A8068" t="inlineStr">
        <is>
          <t>満ちる</t>
        </is>
      </c>
      <c r="B8068" t="inlineStr">
        <is>
          <t>成功</t>
        </is>
      </c>
      <c r="C8068" t="inlineStr">
        <is>
          <t>読み方：みちる
［動タ上一］［文］み・つ［タ上二］
１一定の枠、空間や限界を越えそうになるほどいっぱいになる。あふれる。「会場は熱気に—・ちている」「香りが部屋に—・ちる」「危険に—・ちた戦線」
２ある感情・気持ちなどがいっぱいにゆきわたる。「希望に—・ちた青春」「敵意に—・ちる」
３整って欠けたところがなくなる。特に、満月になる。「月が—・ちる」⇔欠ける。
４海面の水位が最も高くなる。満潮になる。「潮が—・ちる」
５決められた期間・期限に達する。一定の期間が終わる。「任期が—・ちる」「月が—・ちて子供が生まれる」</t>
        </is>
      </c>
      <c r="D8068" t="inlineStr">
        <is>
          <t>普及；広がる；一杯；占める；流通</t>
        </is>
      </c>
      <c r="H8068" t="n">
        <v>29</v>
      </c>
      <c r="I8068" t="inlineStr">
        <is>
          <t>林に満ちる緑の匂いのすべてが、ここから流れ出ているような気がした。；こんな恐怖は、父に命じられて死者の満ちる川を泳がされて以来だった。；この年に妻と離婚しているが、あまり希望に満ちた結婚では無かったという。；物語は虚実に満ちており、何が真実であるかは不明確なままにされる。；それからも彼女との関係は続き、幸せに満ちた日々を過ごすジャクソン。；我心に満ちる愛やまごころを思えば それの与えられぬのが不思議に思う。；学部学生のころから優秀で自信に満ちた学生として有名になっていた。；その瞬間、女王様の全身に、えもいわれぬ解放感が満ち満ちるのである。；この世界は現存在が責任を負えず、選んだ訳でもない事物に満ちている。；この不完全と言う意味は特にその矛盾に満ちたスコアに対して言われる。；死者の世界は陰鬱とした空気に満ちた地上世界と大違いであった。；器の大きさは明らかだが、その器が満ちるのに時間がかかるのは当然だろう。；光が生命の躍動に満ちた生であり存在なら、闇は死であり無である。；この世のものとは思えない程の美しさで、家の中には暗い場が無く光に満ちている。；がんの研究は研究者たちにとって多くの困難と挫折に満ちたものであった。；大きな貨物船が頻繁に出入りし、また、労働者も多く活気に満ちている。；悪意に満ちたその叫びを遠くから聞くだけで、人の意志はくじけてしまう。；スペインの伝承をもとに女性美を賛美した喜悦に満ちた作品である。；満ちるとは、どういう状態であるかを、説明したようなことばである。；彼らの陣はその土地に満ちた気脈を維持・制御するものである。；クリーブランドの街全体が喜びに満ち溢れたことは言うまでもなかった。；生まれたときには産室に「黒気」が満ち、数日無くならなかったという。；威厳に満ちたディアナは相互に理解を深めるためパーティの開催を宣言。；このため、閨房の扉を開くと、部屋にはとぐろを巻いた蛇が満ちていた。；英雄の自信に満ちた行動に敵は圧倒され、英雄の一撃で敵は総崩れになる。；広場に満ちる悲鳴と驚声のなか、男が何かを叫んだような気がした。；時満ちて子供が生まれたが、6人の息子も1人の娘も金の鎖を首に付けていた。；これらの作品は、晩年の寂寥と宗教的境地に満ちていると評されている。；人の世に満ちた罪を贖うために自ら罪を背負って娘の桜花に討たれた。</t>
        </is>
      </c>
      <c r="J8068">
        <f>HYPERLINK("https://www.weblio.jp/content/満ちる", "词义详情")</f>
        <v/>
      </c>
      <c r="K8068">
        <f>HYPERLINK("https://yourei.jp/満ちる", "查看例句")</f>
        <v/>
      </c>
    </row>
    <row r="8069">
      <c r="A8069" t="inlineStr">
        <is>
          <t>蜜</t>
        </is>
      </c>
      <c r="B8069" t="inlineStr">
        <is>
          <t>成功</t>
        </is>
      </c>
      <c r="C8069" t="inlineStr">
        <is>
          <t>読み方：みち
「みつ（蜜）」に同じ。
「ひとつには—、ひとつには甘葛(あまづら)入れて」〈宇津保・蔵開上〉</t>
        </is>
      </c>
      <c r="D8069" t="inlineStr">
        <is>
          <t>蜜酒(2%)；蜜液；蜜源；蜜色；蜜月旅行</t>
        </is>
      </c>
      <c r="E8069" t="inlineStr">
        <is>
          <t>蜂蜜；ハニー；ハチミツ；花蜜；白蜜</t>
        </is>
      </c>
      <c r="F8069" t="inlineStr">
        <is>
          <t>野蜜；抜悉蜜；蜜糖；分蜜；蜜夜</t>
        </is>
      </c>
      <c r="G8069" t="inlineStr">
        <is>
          <t>蜜蜂；蜜月；蜜蝋；蜜腺；蜜柑山</t>
        </is>
      </c>
      <c r="H8069" t="n">
        <v>29</v>
      </c>
      <c r="I8069" t="inlineStr">
        <is>
          <t>二人はやがて結婚する仲で、その関係は蜜よりも濃厚であるべき筈です。；夫人の艶美な微笑も蜜のような言葉も、今は空の空なることを知った。；きみがいつも蜜入りのコーヒーを飲んでいるかどうかを教えるような記憶だ。；なにか果実を蜜に漬けてあったのだろうか、かすかに果実の香りがした。；一羽の小鳥よりもたくさんの蜜のほうが確かに食料になるからだった。；ヒインコは主に花の蜜を食べているが、他のインコも同様に蜜を食べる。；その上あちらは大型で、無理に蜜を吸おうとするから花を壊してしまう。；彼の遺体は保存のために蜜を塗られて埋葬のためにスパルタへと輸送された。；夫人の艶美な微笑も蜜のやうな言葉も、今は空の空なることを知つた。；それなら待っておいで、私がいま蜜の甘さのぶどう酒を持ってくるから。；蜜を吸いながらからだに花粉をつけて、それをほかの花へはこんで行く。；鳥は花の蜜に依存し、花は鳥による花粉拡散で生殖が可能になっている。；お前の吐息の蜜を吸取つた死神も、この美しさには手が出せぬと見える。；誰にも知られずにああいう女と蜜の部屋にこもる時間を持てぬはずはないのだ。；それは私にとって物哀しくもあり、また甘い蜜の日々でもあったようだ。；アブラムシやカイガラムシの一部が蜜を出すのも同様な理由と考えられる。；話しおえたときには、窓から射しこむ光が夕暮れの蜜色に変わっていた。；僕がリヤカーを引いて村を出ていく蜜枝アネサマのお供をすることになる。；そう、この男を魅了せずにはおかない蜜のような女こそ、ユウリの実の母。；だけど、その蜜に惹かれて寄っていく自分も、すごく嫌なヤツだと思う。；あふれてくる蜜液が、股をつたって流れているのさえもわかるのだった。；餌は花の蜜や花粉であり、蜜や花粉を食べるのに適した舌を持っている。；映画公開後の同年2月11日にアルバム『蜜』に収録され発売された。；その後採取された蜜で作られたものも、9月1日に当年度分は完売した。；苦い薬を飲ませるには杯の縁に蜜を塗らなければならない、と言っている。；成虫は一部の種を除いて昼行性であり、植物の蜜を主な餌としている。；そしてそのもとの方の内面には、よく蜜が分泌せられているのが見られる。；柔らかな感触が琢磨の肌を撫で、蜜のような匂いが彼の嗅覚を刺激した。；そのうちの一箱を年に一度ずつ石からおろして蜂のために蜜を切り取るといっていた。</t>
        </is>
      </c>
      <c r="J8069">
        <f>HYPERLINK("https://www.weblio.jp/content/蜜", "词义详情")</f>
        <v/>
      </c>
      <c r="K8069">
        <f>HYPERLINK("https://yourei.jp/蜜", "查看例句")</f>
        <v/>
      </c>
    </row>
    <row r="8070">
      <c r="A8070" t="inlineStr">
        <is>
          <t>三日坊主</t>
        </is>
      </c>
      <c r="B8070" t="inlineStr">
        <is>
          <t>成功</t>
        </is>
      </c>
      <c r="C8070" t="inlineStr">
        <is>
          <t>読み方：みっかぼうず
物事に飽きやすく、長続きしないこと。また、その人。「日記付けも—に終わる」</t>
        </is>
      </c>
      <c r="H8070" t="n">
        <v>29</v>
      </c>
      <c r="I8070" t="inlineStr">
        <is>
          <t>ブログを始めたが三日坊主に終わる、2代目のブログはなんとか継続中。；私の坐禅が三日坊主に終ったことは、これは云うまでもない。；ダイエットを始めてもいつも三日坊主で終わってしまう私。；彼はこれまでにも自己啓発の本を読んだり、自らを変えようとしていたが、三日坊主の性格が災いして失敗し続けてきた。；下腹が気になっているようで、三日坊主のダイエットを度々繰り返す。；飽きっぽいおれのことだから、三日坊主になりそうだ。；私は前月号のこのページで、ダンベル運動をするために、ダンベルを購入した話を書いたが、自分が予想した通り、三日坊主に終わった。；さて、三日坊主となることが望ましい日課を開始するか。；飛行機の操縦は、ほんの少しだけ習いかけたことがあるが、お話にならないほどのちょっとのことで、それこそ三日坊主だった。；でも、あたしって、いつでも三日坊主だから、その決心を思いださしてくれるものが始終そこらにあれば、きっとうまくいきそうな気がするの。；病む最中に、この体操をやってみると、すーっと軽快になることは、すでに知っていたが、三日坊主ではダメなのだ。；痩せるためにダイエットをしている描写も多いが、しんのすけまたはひまわりの妨害や本人の忍耐力の無さが原因で大抵は三日坊主で終わるか運動している途中でド忘れしてしまい、たまに成功しても再び過食してリバウンドするなどで失敗ばかりしている。；ただ、世話の方が三日坊主になり、気が付いたら、土はからから、葉は虫に食われて穴だらけ、というのが落ちかも知れない。；何をやっても典型的な三日坊主って奴でして、大抵のことは長続きしないし、根性はまるでない、努力は何より嫌い。；幼少の頃から日記を書いても三日坊主で長続きがしないため「日記を書かずとも集めればよい」という結論に至り、日記収集家として活動をする。；三日坊主で、すぐ飲んでしまいます。；熱しやすく冷めやすいタイプのため、ダイエットもろくに出来ておらず、いわゆる三日坊主である。；長期間にわたる気力の持続というものがいかに大変かは、なにかをはじめて三日坊主で終りにした体験者には、よくわかることである。；もともと私は三日坊主だ。；散歩することも冷水摩擦をすることも、つねに三日坊主に終ってしまうほど克己心にとぼしいわたしだが、珍しい例外として日記だけは十五年ちかくつけ続けている。；新鹿での農業は借家近くの山で土地を購入し、ジャガイモやトウモロコシなどを栽培し、本格的な有機農法であったが、娘の中上紀によると中上健次は次第に畑に通う頻度が下がり、三日坊主であったという。；小学校5年の時には剣道を習い始め、高野佐三郎の道場に通うも三日坊主で終わり、自信も失くして放棄した。；これは、これだけは、三日坊主じゃなかったもんっ!；成程、三日坊主というものでもないようだ。；去年はあれやこれやと失敗つづきだったが、ことしはなんとかふんどしをしめてかかろうとか、この正月を契機として、おおいに発奮しようとか、たとえそれが三日坊主におわるにしろ、そういう気持ちになるだけでもいい。；それも三日坊主で聞き流した。；「もう、やめたあッと」ということになり、まさに文字通り、三日坊主で、この難行は一巻の終り。；じゃ、三日坊主の坊主は何だ?；もう辞めるだなんて、三日坊主な。</t>
        </is>
      </c>
      <c r="J8070">
        <f>HYPERLINK("https://www.weblio.jp/content/三日坊主", "词义详情")</f>
        <v/>
      </c>
      <c r="K8070">
        <f>HYPERLINK("https://yourei.jp/三日坊主", "查看例句")</f>
        <v/>
      </c>
    </row>
    <row r="8071">
      <c r="A8071" t="inlineStr">
        <is>
          <t>見つかる</t>
        </is>
      </c>
      <c r="B8071" t="inlineStr">
        <is>
          <t>成功</t>
        </is>
      </c>
      <c r="C8071" t="inlineStr">
        <is>
          <t>読み方：みつかる
［動ラ五（四）］
１人の目にとまる。発見される。「いたずらが—・る」「虫歯が—・る」
２見つけることができる。捜し出せる。「捜し物が—・る」「言うべき言葉が—・らない」</t>
        </is>
      </c>
      <c r="D8071" t="inlineStr">
        <is>
          <t>見つかるだろ(5%)；見つかる可能性；見つかるまい；見つかるでしょ；見つかることなく</t>
        </is>
      </c>
      <c r="E8071" t="inlineStr">
        <is>
          <t>ばれる；バレる；暴露される</t>
        </is>
      </c>
      <c r="F8071" t="inlineStr">
        <is>
          <t>すぐに見つかる；よく見つかる；すぐ見つかる；見つかるかも知れ；きっと見つかる</t>
        </is>
      </c>
      <c r="H8071" t="n">
        <v>29</v>
      </c>
      <c r="I8071" t="inlineStr">
        <is>
          <t>また、バクトリア地方から出土した数体の石製女性像が見つかっている。；また、これ以外にもこの女性の写真と同じ写真が数点見つかっている。；一人で隠れてそんなことをしても意味がないし、見つかれば死刑である。；この動きが行われている間に町の民に見つかり、民衆は警鐘を鳴らした。；また哲学雑誌の第三と第四シリーズでも、16の寄稿が見つかっている。；発掘調査で古墳周囲の堀が見つかったのはこれが初めてのことであった。；しばらくは職が見つからず、一時は自給自足を行っていた時期もあった。；しかし、前漢代の遺跡から紙の原型とされるものが多数見つかっている。；この噴火を直接記録した文献記録は現地では見つかっていないとされている。；やがて、或る土地の病院で死期を待っている注文通りの人物が見つかる。；広い地域で貿易を行っており、ミケーネの銀器・金器も見つかっている。；警察がここへ来るからには、死体がどこで見つかろうと同じだと思った。；遺体の収容作業は進んだが、最後の2遺体がなかなか見つからなかった。；相手が見つからないうちは、自分で自分の体を痛めつける必要があった。；これまでに、板状の木製品と木の柱を使った建物跡が見つかっている。；また、この型の菌根が古生代から存在したらしい証拠も見つかっている。；このような文書には、から見つかった次のような法的文書などがある。；だれかに見つかるといけませんから、ちょっと細工をしておきましょう。；その後の調査によりエンジン内のタービンブレードに損傷が見つかった。；一方の鈴木は指輪が見つからず、諦めて道路に出てきたところであった。；よく見つかるものでこちらに含めていないものとしては以下のものがある。；しばらくして都の外れにある家にたいへん見事な紅梅が見つかった。；日本中央競馬会で馬に胆石が見つかったのは初めてのケースだったという。；スホドルスコイエ湖の南岸では小さないくつもの墓墳が見つかっている。；夕方になってから、向うに高い御殿が立っているのが、見つかりました。；再度調査をすると、不明の者は見つからず、原住民は武器を取り始めた。；それが見つかるまでは、知らない人の子供をもらうことはできません。；このような粒子が存在することを示す実験的証拠は見つかっていない。；それが見つかると信じられないほど激しい溜息と心臓の苦しみに襲われる。</t>
        </is>
      </c>
      <c r="J8071">
        <f>HYPERLINK("https://www.weblio.jp/content/見つかる", "词义详情")</f>
        <v/>
      </c>
      <c r="K8071">
        <f>HYPERLINK("https://yourei.jp/見つかる", "查看例句")</f>
        <v/>
      </c>
    </row>
    <row r="8072">
      <c r="A8072" t="inlineStr">
        <is>
          <t>見つける</t>
        </is>
      </c>
      <c r="B8072" t="inlineStr">
        <is>
          <t>成功</t>
        </is>
      </c>
      <c r="C8072" t="inlineStr">
        <is>
          <t>読み方：みつける
［動カ下一］［文］みつ・く［カ下二］
１発見する。見いだす。「落とし物を—・ける」「仕事を—・ける」
２いつも見ていてなれている。見なれる。「いつも—・けている景色」</t>
        </is>
      </c>
      <c r="D8072" t="inlineStr">
        <is>
          <t>見つけるべく；見つけるつもりです；見つけるまじない</t>
        </is>
      </c>
      <c r="E8072" t="inlineStr">
        <is>
          <t>見る；発見；理解；得る；わかる</t>
        </is>
      </c>
      <c r="H8072" t="n">
        <v>29</v>
      </c>
      <c r="I8072" t="inlineStr">
        <is>
          <t>それを見つけることが出来ないまま何ヶ月も過ごしてしまうことがある。；その後付近に都市の建設に好ましい土地を見つけたためそこへ移転する。；私の姿を見つけるとそれらは近づいてきて、私の意識を読むのを感じた。；武力でなく解決の方向を見つけていくためには、九条は必要だと思うね。；ジョナスはドアを見つけたが、鍵はかかっていないが開けられなかった。；撒き餌とは、敵が見つけて拾うように何か物を落としておくことである。；その後浮上し、搭載機を使用して相手を探したが、見つけられなかった。；研究には多くの時間と資金が必要で、パトロンを見つける必要があった。；隠れ家ではお祝いをするきっかけを見つけては頻繁にお祝いをしていた。；また、与えられた問題に最善の選択を見つける一般的方法も存在しない。；相手が誰であっても、見つけ次第俺はこの手でそいつを殺してやる。；製造数自体は決して多くは無く、店頭で見つける事が難しい場合もある。；多くの歯が見つけられるにつれてさらに多くの属が設立される結果になった。；私は、貴方が私に見つけてほしいと思っているものを見つけたのです。；福井県関連の記事を執筆された方、見つけた方はここに追加してください。；そこでマルセイユ行きの船を見つけ、同行させてもらえることになった。；彼ら白人があなたを森の中で見つけたら、動物のように殺すでしょう。；そして彼は、奴隷達の代わりになる人を見つけることができなかった。；ある人物が空から落ちてきた双子の赤ちゃんを見つけたところから始まる。；そこでまた新しい自分達のスタイルを見つけられた時期だった。；これは代替財を見つけるのに時間がかかることがその一因と考えられる。；その中に自分の息子の名を見つけた母親は、その場で自ら命を絶ったという。；これは動きまわって繁殖相手を見つけることが出来ないためと考えられる。；この店では人を見つけないとペナルティというルールがあったという。；これらの小動物を見つけると気づかれないようにゆっくりと近づく。；その夜、万里は荷物の中からタロウの手紙とお金の入った袋を見つける。；さらに、逃亡した副王の息子アルフォンスを見つけ次第処刑すると語る。；だが、通信士は信号表からこの命令を表す信号を見つけられなかった。；賢治は音楽に深い関心を持っており、暇を見つけてはレコードを買っていた。</t>
        </is>
      </c>
      <c r="J8072">
        <f>HYPERLINK("https://www.weblio.jp/content/見つける", "词义详情")</f>
        <v/>
      </c>
      <c r="K8072">
        <f>HYPERLINK("https://yourei.jp/見つける", "查看例句")</f>
        <v/>
      </c>
    </row>
    <row r="8073">
      <c r="A8073" t="inlineStr">
        <is>
          <t>密集</t>
        </is>
      </c>
      <c r="B8073" t="inlineStr">
        <is>
          <t>成功</t>
        </is>
      </c>
      <c r="C8073" t="inlineStr">
        <is>
          <t>読み方：みっしゅう
［名］(スル)すきまもないほどぎっしりと集まること。「人家が—した地域」</t>
        </is>
      </c>
      <c r="D8073" t="inlineStr">
        <is>
          <t>密集する(12%)；密集地(6%)；密集隊形(3%)；密集度；密集陣形</t>
        </is>
      </c>
      <c r="F8073" t="inlineStr">
        <is>
          <t>木造密集；密集団；密集編隊；家屋密集；密集住宅市街地</t>
        </is>
      </c>
      <c r="G8073" t="inlineStr">
        <is>
          <t>密集方陣；密集市街地整備法</t>
        </is>
      </c>
      <c r="H8073" t="n">
        <v>29</v>
      </c>
      <c r="I8073" t="inlineStr">
        <is>
          <t>しかし、既に建物が密集しているために頭端駅とならざるを得なかった。；このことは、彼らが密集した集団を作りやすい要因の一つになっている。；耕地と集落は南部の海岸沿いに密集しており、島の東と西に集落がある。；かつては町工場の密集していた地域だが現在は閑静な住宅街の中にある。；山が迫る北側を除いて周囲は市街地となっており、住宅が密集している。；駅舎がない北口は駅前整備も長年行われず、寺院や住宅が密集している。；産卵期には大量の個体が一箇所に密集して上陸している姿も確認されている。；古くからの住宅密集地帯が多く、細く狭い道や急な山坂が多いのが特徴。；昔から家が密集している所では、道路が狭いうえにかなり入り組んでいる。；このことは密集化され、かつ近代化された輸送ネットワークに反映されている。；付近も住宅が密集していないので武蔵野ののどかな風景が残っている。；狭い通りにビル・看板のネオンが密集しているため華やかなのが特徴。；その様子は極度に密集した状態で行われる激しい押し競饅頭のようである。；槍兵には密集隊形を組ませ、周囲と両翼に袖のように投射兵を配置した。；町一帯が飲食店やビジネスホテルなどが密集する歓楽街を形成している。；中心部はひどく密集しているが、よく注意すれば星が見えてくる。；病害虫はサクラの密集地では互いに伝染し、集団発生する可能性がある。；福岡空港の西側の住宅や店舗・事業所が密集する中を南東方向に進んでいく。；特に、古い木造建築が密集した駅の北東地区は壊滅的な被害を受けた。；顎から喉にかけても白色で、体下面では密集した灰色がかった毛になる。；散村の対義語として用いられ、散村に比べて住宅が密集して並んでいる。；草があまり密集せずまばらであるか、丈がそれほど高くない所に多い。；現在では住宅が非常に密集しているため、周辺の道路の混雑が問題となっている。；中心部は住宅や商店、サービス業の店から構成される密集した地区である。；エシュヴェーゲは、木組み建築が密集した中世風の中核部を有している。；矢田を出ると次第に密集していた住宅は間が開き始め、線路は大和川を渡る。；甲状腺は周囲に血管や気管が密集し、これまでは手術が困難とされてきた。；高松市の中心部に接していることから住宅が非常に密集し道も入り組んでいる。；また緑色の点はイタリア系移民が密集している場所を意味している。</t>
        </is>
      </c>
      <c r="J8073">
        <f>HYPERLINK("https://www.weblio.jp/content/密集", "词义详情")</f>
        <v/>
      </c>
      <c r="K8073">
        <f>HYPERLINK("https://yourei.jp/密集", "查看例句")</f>
        <v/>
      </c>
    </row>
    <row r="8074">
      <c r="A8074" t="inlineStr">
        <is>
          <t>密接</t>
        </is>
      </c>
      <c r="B8074" t="inlineStr">
        <is>
          <t>成功</t>
        </is>
      </c>
      <c r="C8074" t="inlineStr">
        <is>
          <t>読み方：みっせつ
［名・形動］(スル)
１すきまのないほどぴったりとくっついていること。「家々の—している辺り」
２深い関係にあること。また、そのさま。「両国は—な関係にある」</t>
        </is>
      </c>
      <c r="D8074" t="inlineStr">
        <is>
          <t>密接な関係(29%)；密接な関連(2%)；密接な関わり；密接なつながり；密接な協力</t>
        </is>
      </c>
      <c r="E8074" t="inlineStr">
        <is>
          <t>近い；ぴったり；身近；ぴたり；ぴたりと</t>
        </is>
      </c>
      <c r="F8074" t="inlineStr">
        <is>
          <t>密接な交流；密接な連絡；密接不離；密接な關係；密接な連関</t>
        </is>
      </c>
      <c r="H8074" t="n">
        <v>29</v>
      </c>
      <c r="I8074" t="inlineStr">
        <is>
          <t>香港は同じくイギリス植民地だったシンガポールと密接な関係にあった。；心臓と小腸は共に中国の五行でいうと火に属するため密接な関係を持つ。；ヨーロッパの中世における畜産の改良は他の発展と密接に関係していた。；その発展の歴史は戦闘教義や軍事技術の歴史と密接な関係を持っている。；ただし良い音の出る楽器と木目の美しさにはかなり密接な関係がある。；養豚にどのような飼料を用いるかは、その地の文化と密接な関係がある。；したがってあらゆる戦略的な行動は戦闘と密接な関係を持っている。；これはもちろん昭和10年代の社会情勢に密接に関わったものであった。；火と水とは工業の基をなすもので、切っても切れない密接な関係にあります。；膀胱と腎臓は共に中国の五行でいうと水に属するため密接な関係を持つ。；肝臓と胆嚢は共に中国の五行でいうと木に属するため密接な関係を持つ。；このため私は大統領との間にかなり密接な関係を持つことができるようになった。；建築基準法はそれらと密接な関連性を持ちながら機能する法律である。；心包と三焦は共に中国の五行でいうと火に属するため密接な関係を持つ。；教育公務員とは、教育に密接な関係性を有している公務員のことである。；パンチェンラマの名跡の保持者と中国との密接な関係は、清末に始まる。；ペンシルバニア鉄道は辞めたがその経営陣とは密接な関係を保っていた。；その色から大きさ、製作まで信仰と密接に繋がっていたことがわかる。；多くの国が加盟国と変わらないほどの欧州連合と密接な関係を持っている。；エンジン供給先ではレッドブルとの関係がより密接になって行った。；これは、咬合などの顎口腔機能が歯科と密接に関わっているためである。；むしろ、フィンランド語やドイツ語のほうが密接に関わりを持っている。；スマトラサイは他の現生種との関係よりケブカサイとの関係が密接だった。；とくに最近は、コスプレ文化とも密接に関連しているものと思われる。；この言葉は、大学の歴史と街の歴史がいかに密接に関係しているのかを示している。；近代科学の黎明期から有機化合物と生物とは互いに密接な関係にあった。；警察機関だけなく、警察と密接に関係している関連機関にも設置されている。；古代には大宰府と密接に繋がっていたことが、文献上記録されている。；歴史的に華僑を多く輩出している土地であり、海外との交流が密接である。</t>
        </is>
      </c>
      <c r="J8074">
        <f>HYPERLINK("https://www.weblio.jp/content/密接", "词义详情")</f>
        <v/>
      </c>
      <c r="K8074">
        <f>HYPERLINK("https://yourei.jp/密接", "查看例句")</f>
        <v/>
      </c>
    </row>
    <row r="8075">
      <c r="A8075" t="inlineStr">
        <is>
          <t>密着</t>
        </is>
      </c>
      <c r="B8075" t="inlineStr">
        <is>
          <t>成功</t>
        </is>
      </c>
      <c r="C8075" t="inlineStr">
        <is>
          <t>読み方：みっちゃく
［名］(スル)
１ぴったりとつくこと。「生活に—した詩」「スターに—取材」
２写真で、印画紙を原板にくっつけて、原寸大に焼き付けること。また、その印画。べた焼き。</t>
        </is>
      </c>
      <c r="D8075" t="inlineStr">
        <is>
          <t>密着する(9%)；密着させる(4%)；密着自動連結器(3%)；密着型(3%)；密着取材(2%)</t>
        </is>
      </c>
      <c r="E8075" t="inlineStr">
        <is>
          <t>付く；付着；接着；膠着；凝集</t>
        </is>
      </c>
      <c r="F8075" t="inlineStr">
        <is>
          <t>ぴったりと密着；生活密着；完全密着；小型密着；密着式</t>
        </is>
      </c>
      <c r="G8075" t="inlineStr">
        <is>
          <t>密着取材；密着結合；密着位相；密着空間</t>
        </is>
      </c>
      <c r="H8075" t="n">
        <v>29</v>
      </c>
      <c r="I8075" t="inlineStr">
        <is>
          <t>前体と後体は区別できるものもあるが、密着して明瞭でない種類が多い。；この穴の上へボールを置くことで位置を固定し、密着したラックを作る。；胸を相手に密着させずに手を畳についたりして返されないようにする。；放送時はグローバル化の中で、地域と密着した看板番組のひとつだった。；また熱膨張は、機械用途で部品を互いに密着させる場合にも使用される。；しかし、後期型ではよりスリム化された半密着型装備に置き換えられた。；ただし砲台に密着している時や上に乗っている時は発射されないことが多い。；機体に接する末端は蛇腹になっていて、機体の形状にあわせて密着する。；生徒のボランティア活動への参加など地域に密着した教育を目指している。；番記者とは、特定の取材対象者に密着して取材を行う記者のことを言う。；このとき、フィルムの反りを避け密着させるために上にガラス板を置く。；そのような小穂がほとんど柄がなくて軸につき、密着して並んでいる。；その誕生と時を同じくして周辺の町で働き始めた2人の女性に密着。；また密着自動連結器を採用していない一部の私鉄などでも使用されている。；地方版は毎日17個面あり、地域に密着した紙面作りを特徴としている。；このような課題の中で打ち出されたのが「地元密着」という方針だった。；現在は、それぞれの地域にある球団に密着した記事を載せている。；そう言うには個体間が密着しすぎているとの判断になろう。；町内に唯一の中学校とあって、地域と密着した活動を展開している。；島民は音楽や伝承が生活に密着した、伝統的な暮らしを続けている。；他方でこれらは上記のように生活に密着して利用されても来た。；また近年は体に密着するタイト仕様のものが主流となりつつある。；なお、手が体に密着していたのでハンドではないとする見方が一般的である。；生活に密着したテーマ設定で、非常にイギリス的であるとしばしば評される。；信号音を発音する小型スピーカーを持ち、送話器に密着させて使用する。；そのような実験にはガラス同士を直接密着させることが望ましい。；なお、顔に尻が密着することで、下になった相手の呼吸は非常に苦しくなる。；問題は上側の選手が寝技が不得意などの理由で密着しない場合である。；まわしをつかんでいても体を密着させずに腕を伸ばして攻めれば押し出しになる。</t>
        </is>
      </c>
      <c r="J8075">
        <f>HYPERLINK("https://www.weblio.jp/content/密着", "词义详情")</f>
        <v/>
      </c>
      <c r="K8075">
        <f>HYPERLINK("https://yourei.jp/密着", "查看例句")</f>
        <v/>
      </c>
    </row>
    <row r="8076">
      <c r="A8076" t="inlineStr">
        <is>
          <t>密度</t>
        </is>
      </c>
      <c r="B8076" t="inlineStr">
        <is>
          <t>成功</t>
        </is>
      </c>
      <c r="C8076" t="inlineStr">
        <is>
          <t>読み方：みつど
１粗密の度合い。単位体積・面積・長さあたりに、ある量が分布する割合。「人口の—が高い」
２物事の充実している度合い。「—の高い仕事」
３各種物理量の単位体積あたりの量。ふつう、質量についての密度を指す。単位にキログラム毎立方メートル（kg/m3）、グラム毎リットル（g/l）など。体積密度。</t>
        </is>
      </c>
      <c r="D8076" t="inlineStr">
        <is>
          <t>密度が高い(3%)；密度が高く(3%)；密度が低い(2%)；密度が低く；密度分布</t>
        </is>
      </c>
      <c r="E8076" t="inlineStr">
        <is>
          <t>濃度；濃さ</t>
        </is>
      </c>
      <c r="F8076" t="inlineStr">
        <is>
          <t>親密度；生息密度；高い密度；平均密度；個体群密度</t>
        </is>
      </c>
      <c r="G8076" t="inlineStr">
        <is>
          <t>密度汎関数理論；密度効果；密度汎関数法；密度定理；密度演算子</t>
        </is>
      </c>
      <c r="H8076" t="n">
        <v>29</v>
      </c>
      <c r="I8076" t="inlineStr">
        <is>
          <t>パリは、フランス全土でも医師の密度がもっとも高い街のひとつである。；サンゴ礁はきわめて多様な生物が、高い密度で生息している環境である。；この中でX線回折パターンから回折物質の密度を計算する方法を示した。；密度の全領域に対する解析表式は多体摂動論に基づいて提案されてきた。；ジオイド表面の高さの変動は、地球内の異常な密度分布に関連している。；赤色矮星内部は温度に比べて密度が高く、内部ののため対流が発生する。；フランクフルトはドイツで最も労働密度が高く、通勤者の多い街である。；ホール電圧の符号と大きさから半導体のキャリアの種類と密度がわかる。；以下に、星間空間の相についての温度・密度・主な構成粒子をまとめた。；戦争の悲劇と犠牲を内面的に描き、難解で密度の高い作品となっている。；計算によれば、タイタンの砂の密度は地球上の砂の3分の1とされている。；これらの衛星は低密度であるため、衛星表面と自身のヒル球の端は近い。；吉田光由は密度そのものの物理的な関心が無かったことを示している。；これを2004年から再編してより密度の濃い試合を提供することになった。；しかしこの定義であれば、主惑星の密度や自転速度には依存しない。；なお、東京湾の東沿岸でも、とりわけ千葉市内は分布密度が高いとされる。；温度による流体の密度の変化が原因となる熱対流が最も一般的な例である。；特に遺跡密度が高いのは北海道と九州で、近畿地方では遺跡数が極端に少ない。；街村のように商業が発達しておらず、住居の密度はやや低く、道路への依存は低い。；とはこうした低密度開発を支持する代表的な人物である。；その時代の和算家は金属や水や土の密度に深い関心を持ち、値を改善しようとした。；密度は、一般には、対象とする何かの混み合いの程度を示す語である。；複雑形状の成形体を作ることができ、密度は均一でかつ寸法精度も良い。；コード密度を改善する機構として実行ファイル圧縮が研究されてきた。；恒星は、周囲より僅かに物質の密度が高い領域である分子雲から生まれる。；緊急地震速報の情報源である観測点の密度が低い地域が日本には存在する。；巨大分子雲は主に水素分子からなる非常に低温で密度の高い雲である。；この密度の値からは、組成の 60% 以上は氷であることが示唆される。；物質 X の密度を とすると、体積 と質量 の間には次の関係がある。</t>
        </is>
      </c>
      <c r="J8076">
        <f>HYPERLINK("https://www.weblio.jp/content/密度", "词义详情")</f>
        <v/>
      </c>
      <c r="K8076">
        <f>HYPERLINK("https://yourei.jp/密度", "查看例句")</f>
        <v/>
      </c>
    </row>
    <row r="8077">
      <c r="A8077" t="inlineStr">
        <is>
          <t>みっともない</t>
        </is>
      </c>
      <c r="B8077" t="inlineStr">
        <is>
          <t>成功</t>
        </is>
      </c>
      <c r="C8077" t="inlineStr">
        <is>
          <t>［形］《「みともない」の音変化》見た目にわるい。体裁がわるい。「—・いなり」「—・いまねはしないでくれ」
[派生]みっともなさ［名］
[用法]みっともない・みぐるしい——「客の前で兄弟げんかをするなんてみっともない（見苦しい）」「前をはだけたみっともない（見苦しい）格好」「みっともない（見苦しい）行為」など、相手に不快感を与えるさまの意では相通じて用いられる。◇「三年も浪人して、また不合格ではみっともない」のように、人目に対して体裁が悪いという本人の気持ちをいう場合は「みっともない」が、「相手の逃げ腰の態度が、見ていて見苦しかった」のように、他人の行為などについていう場合は「見苦しい」がより適切。◇類似の語の「みにくい（醜い）」は、対象についての分析的な評価であって、より客観的である。「遺産をめぐるみにくい争い」「親友のみにくい心を知って絶望した」など。</t>
        </is>
      </c>
      <c r="D8077" t="inlineStr">
        <is>
          <t>みっともないこと(12%)；みっともない姿(3%)；みっともない顔；みっともないところ；みっともない真似</t>
        </is>
      </c>
      <c r="F8077" t="inlineStr">
        <is>
          <t>なんてみっともない；こんなみっともない；みっともないじゃ；たらみっともない；みっともない女</t>
        </is>
      </c>
      <c r="H8077" t="n">
        <v>29</v>
      </c>
      <c r="I8077" t="inlineStr">
        <is>
          <t>姫をわがものと出来なかったのも残念だが、みっともない結果となった。；子供のように早く早くとせかすのはみっともないと思っていたのだろう。；みっともないところを子供に見せられないと思って我慢してきたのよ。；かといって悲鳴をあげて人を呼ぶようなみっともない真似はしたくなかった。；けれどもいいトシをした大人が、すぐに近づいていくのはみっともない。；日本の女は、男にこびるようにばかりしていて、みっともないと云って。；かといって人間世界ではあまり表に出すのもみっともないけどね。；重大事であるし、すごくみっともないことだという思いが私の中にある。；この時もし韓国に帰ることとなったらみっともなさのあまり死を覚悟したという。；みっともないくらいに動揺している証拠に、頬から上が熱くなってくる。；韓国では、四十歳になってもなお人に雇われることはみっともないこと。；父が、なんとみっともないことをするのだと憤っていても不思議ではない。；ところであたしのようなみっともない娘はどこへ努力を集中したらいいのだろう。；少なくとも、女が一人で飲んでいてもあまりみっともなくないような場所だ。；自分が軍事才能を鼻にかけみっともないことをしたことを恥じたのである。；そして成功しないジャコバン以上にみっともないものがあるだろうか?；こいつに私の立場がいかにも滑稽な、みっともないものに思えたのだろう。；女房がいればみっともないことだが、今のケネスにはそういう存在もない。；自分は世間の若い男に比べて、それほどみっともないわけではない。；せめてわたしがいる場所では、そのみっともない帽子をお脱ぎなさいね。；笙子がそんなみっともないことをするはずがないことを知っている三宅だった。；みっともないのも承知の上で、それでもその考えを捨てることはできない。；みっともなくたってどうでもいいのよ、日焼けもなにもどうだっていいの。；みっともないことになってもなんだから、この話はオフレコだからな。；女たちは男たちよりも、もっとみっともない顔をしていましたわ。；一人になったら、何がどうなっても、みっともないことなんかないんだから。；君だって舌をつき出した、みっともない死顔を人にさらしたくはないだろう。；自分がみっともないことやってた場所から、目をそらしたくなかった。；いい年をして、みっともなかったことこのうえなかったものである。</t>
        </is>
      </c>
      <c r="J8077">
        <f>HYPERLINK("https://www.weblio.jp/content/みっともない", "词义详情")</f>
        <v/>
      </c>
      <c r="K8077">
        <f>HYPERLINK("https://yourei.jp/みっともない", "查看例句")</f>
        <v/>
      </c>
    </row>
    <row r="8078">
      <c r="A8078" t="inlineStr">
        <is>
          <t>見つめる</t>
        </is>
      </c>
      <c r="B8078" t="inlineStr">
        <is>
          <t>成功</t>
        </is>
      </c>
      <c r="C8078" t="inlineStr">
        <is>
          <t>読み方：みつめる
［動マ下一］［文］みつ・む［マ下二］対象から目をそらさずにじっと見つづける。凝視する。「顔をじっと—・める」「現実を—・める」</t>
        </is>
      </c>
      <c r="D8078" t="inlineStr">
        <is>
          <t>見つめる生徒たち</t>
        </is>
      </c>
      <c r="E8078" t="inlineStr">
        <is>
          <t>見る；みる；眺める；凝視；観戦</t>
        </is>
      </c>
      <c r="F8078" t="inlineStr">
        <is>
          <t>まじまじと見つめる；呆然と見つめる；しげしげと見つめる；げに見つめる；まっすぐに見つめる</t>
        </is>
      </c>
      <c r="H8078" t="n">
        <v>29</v>
      </c>
      <c r="I8078" t="inlineStr">
        <is>
          <t>見つめているうちに、彼の顔がだんだん青ざめていくではありませんか。；ひどく緊張して、ぼくはじっとその男のほうを見つめるように努力した。；彼女の瞳はこの回転を完了し、男性が手に持った小型の鏡を見つめている。；でもそこに見えたのは、自分自身を見つめる明るい緑色の目だけだった。；しかしぼくはただ自分の言葉が目の前の空間に開けた空洞を見つめていた。；常々、理論的に理想を指向しながら現実を見つめた実現への過程を重視。；軍官民のあらゆる防空監視員は耳と目ばかりになって空を見つめていた。；だが、安心したことには、そこには彼を見つめている一つの顔もなかった。；ただ先生の前の生徒のように、じっと相手の顔を見つめている外はないのだ。；まるで、お化けにでもあったような恐ろしい顔で、窓を見つめています。；この時の純粋さとは汚れを避けることではなく、汚れを見つめうる純粋さだ。；私は一人の小説家として自然よりもより多く人の姿を見つめてゐる。；彼の目はどこか遠くを見つめたまま、釘づけのように動かなくなった。；学生たちも、今までにない真剣な顔で、僕を穴のあくほど見つめている。；カメラはイメージの制作行為を撮影すると同時に私達をまっすぐに見つめている。；彼らのほうでもみな彼を見つめて、同じくびっくりした様子だった。；しかし一人一人の目を見つめながらの女王の強い意思に、国民も納得した。；僕は黙ってこの青年を見つめ、彼の鼻の左の側に黒子のあることを発見した。；本人は様々な仕事を経験し、自分自身を見つめ直す時間が多くなった。；黄金仮面はまるで人形の様に無感覚に、じっとこちらを見つめたままだ。；顔を見合わせお互いじっと見つめ合う2人にはもう言葉はいらなかった。；女はその言葉には驚いたと見え、急に半身を起しながら僕の顔を見つめた。；寅次郎の顔を見つめていた早苗は、振り返ると駅に向かって駈けだした。；暫くジッと見つめていたが、車のなかからは誰も這いだしてこなかった。；そしてその哲朗をそれぞれ遠くから見つめる二人の少女の姿があった。；男性の視線は鑑賞者に向けられているが、女性の視線は男性を見つめている。；その白い、緊張した顔を見つめることに夢中になっていたせいだったろうか。；映画の最後ではインタビューに応じた全員が暗い廊下に立ちカメラを見つめて終わる。；彼女は瞬きもせず新一の顔を見つめて、静かに階段を降りて来るのであった。</t>
        </is>
      </c>
      <c r="J8078">
        <f>HYPERLINK("https://www.weblio.jp/content/見つめる", "词义详情")</f>
        <v/>
      </c>
      <c r="K8078">
        <f>HYPERLINK("https://yourei.jp/見つめる", "查看例句")</f>
        <v/>
      </c>
    </row>
    <row r="8079">
      <c r="A8079" t="inlineStr">
        <is>
          <t>見積もり</t>
        </is>
      </c>
      <c r="B8079" t="inlineStr">
        <is>
          <t>成功</t>
        </is>
      </c>
      <c r="C8079" t="inlineStr">
        <is>
          <t>読み方：みつもり
１見積もること。また、その数字。「—を立てる」
２「見積書」の略。</t>
        </is>
      </c>
      <c r="D8079" t="inlineStr">
        <is>
          <t>見積もり額；見積もり時間；見積もりすぎ；見積もりモデル</t>
        </is>
      </c>
      <c r="E8079" t="inlineStr">
        <is>
          <t>評価；予算；鑑定；積り；推計</t>
        </is>
      </c>
      <c r="F8079" t="inlineStr">
        <is>
          <t>低く見積もり；中期業務見積もり；コスト見積もり；正確な見積もり</t>
        </is>
      </c>
      <c r="H8079" t="n">
        <v>29</v>
      </c>
      <c r="I8079" t="inlineStr">
        <is>
          <t>地球工学の信頼できる費用の見積もりは公表されていないと判断された。；しかしこれには異論もあり、は年間であるとの見積もりを発表している。；当初の見積もりでは図書館の建設に9億5400万ペソが必要とされた。；見積もり時にはこうした内容についてよく確認することが必要である。；亀裂の入った会堂塔屋部分の復旧の見積もりは数千万円に上ったという。；あたくしの妹が家にポーチを増築するときの見積もりも二週間だったの。；そしてそれはさらにクエリ内の述語の選択結果の見積もりに依存している。；だが相手は、こちらのオツムの程度を低く見積もりすぎていたようだ。；私の見積もりでは、時速二百キロと三百キロのあいだの風速になります。；一般的には、近在の工務店を中心にした業者に見積もりや工事を依頼する。；そんな見積もりをしつつ、ずっと部屋から出ないで実験を進めた。；金属量は、見積もりに幅があるが、太陽と比較して数割増と考えられる。；ソフトウェアプロジェクトの一般的な見積もり方法は次の通り。；プロの運送屋が、見積もり額を後から変えるなんてことはやらんぞ、普通。；彼の見つもりだと、異星の物体の大きさは、地球の月くらいと考えられた。；が、こうなるとその見積もりが甘かったことを認めないわけにはいかなかった。；被験者の自己得点の見積もり方法に差があるだけではないかという批判がある。；スタジオの見積もりでは、これによる収益は250万ドルとなっている。；この技法は個々の述語の選択結果の見積もりについてはうまく機能する。；一方で太陽までの距離の見積もりは根拠に乏しい推測的なものにとどまっている。；この見積もりにはレントの法則を使ったり、既存の設計での経験を活用する。；これらの値を決定するため、作業とその標準見積もり時間は判っているものとする。；相手が見積もりを呑めないことを承知の上で出したいわゆる「喧嘩状」である。；地球との距離はまだ四千万キロあったが、どんな見積もりでも地球はその円内に含まれていた。；組織は時には、一つの現場から他に移動するため必要なスペースを低く見積もります。；となる重要な特殊ケースでは、次のような誤差見積もりがある。；しかし、きみの見積もりほどの力もわたしにはないのだ。；見積もりを頼んで、友人の車に乗ってまたフィレンツェに戻ると、数日後電話があった。；見積もりでは、モルバス全体で一億ほど収容できるとされている。</t>
        </is>
      </c>
      <c r="J8079">
        <f>HYPERLINK("https://www.weblio.jp/content/見積もり", "词义详情")</f>
        <v/>
      </c>
      <c r="K8079">
        <f>HYPERLINK("https://yourei.jp/見積もり", "查看例句")</f>
        <v/>
      </c>
    </row>
    <row r="8080">
      <c r="A8080" t="inlineStr">
        <is>
          <t>見積書</t>
        </is>
      </c>
      <c r="B8080" t="inlineStr">
        <is>
          <t>成功</t>
        </is>
      </c>
      <c r="C8080" t="inlineStr">
        <is>
          <t>読み方：みつもりしょ
見積もりを記した書類。みつもりがき。</t>
        </is>
      </c>
      <c r="H8080" t="n">
        <v>29</v>
      </c>
      <c r="I8080" t="inlineStr">
        <is>
          <t>会社には行き、机の上に並ぶ書類をパソコンに作成し直し、見積書の計算もした。；ただし、見積書の数が多い場合、最頻度価格を採用することになる。；発明の実際的方面、直接的方面については、詳細な見積書ができてゐる。；もちろん、いずれその連中がこの見積書に目を通すことになるんだろう、建造にとりかかる前に。；それで採算も度外視してあんなに安い見積書を出されとるわけでしょうからな。；山田洋行はライン社でなく、エイベックス社の見積書を防衛省に出すようになった。；落札基準である予定価格も担当職員が天井を向いて算定したものではなく、過去の契約実績や何らかの基準で選ばれた特定の企業の提供する見積書の計上値を基礎としているのである。；見積書なので、通関で使用したり、商工会議所の公的な証明を受けることは出来ない。；これは見積書を一社から提出させるだけでは、比較対象が無く、業者が提出してきた見積がその分野の妥当な価格なのか、それとも業者があわよくば利益を多めに確保しようと価格を標準より高めに提示しているのか判断がつきにくいためである。；予算要求の金額は、官公庁の職員が天井を向いて算出したものではなく、過去の契約実績や特定の企業が提供する見積書の計上値が基礎となっている。；この前の見積書には、宇宙空間での作業のための純粋に簿記上の数字が含まれていましたが、いまではそれをナロードニー・マルスが出資することに同意しています。；加世田店に勤務する社員が見積書を取った女性の名義を勝手に使用し、契約書を作成して新車を販売したように見せかけた。；その後、現地調査に入り配置図と見積書が掲示され予算とのすり合わせを行い、導入が決定すれば注文となる。；予定価格が少額の場合に、二以上の者から見積書を徴取して契約者を決める方式。；わしも、じいさんに見積書の清書をしてもらっています。；予定価格論では、入札を業者選定や契約代金の決定の中心に置いておらず、企業の提供する見積書を官公庁がどのように評価するかを理論の柱にしている。；そして見積を設計の一つであると考えれば、見積書は基本設計での将来目標を、将来消費する金額に置き換えたものであるとなる。；見積書を主催者に発行しないケースは無い。；しかし、ほどなくして官公庁が自動車を求めるようになると信用が求められるようになり、見積書の提出も必要になったため、輸入代理店は会社として信用のあるところが残って行く。；現在では見積書のように一覧の表形式で、品物等の名称や形番等からその数量、単価、金額が項目ごとに記載される。；見積書は比較的低価格で単機能の既製品を除いて、契約を履行する上で将来消費する費用を合理的に予測したものである。；さらに『越前人物誌』にはこの時の制作にかかる費用の見積書の写しが掲載されており、この時代の絵事御用の経費の算出法が分かる点で貴重な資料である。；そうなれば、入札公告や企業への仕様書提供時期と見積書の提出時期に十分な期間を設けるか、事業検討や予算要求の段階から、要求の検討状況を企業にアナウンスしておくことが必要となる。；この見積書の価格が、ライン社がエイベックス社に卸した価格と比べて大幅に引き上げられていたことが防衛省調査により判明している。；信次郎はゆっくりとうなずき、出された見積書に目を走らせる。；見積書の作成・管理が可能。；実を云えば、見積書をもって行って手金を受取るまで、石川は大して当にしていなかった。；森係長は、あらゆる資料を分析し整理して見積書を作成し、本店の営業部と検討した上、艦政本部に提出した。；その際、本来契約時に提出が義務付けられてる見積書が提出されていなかったため、市職員がその事を隠すためにアール・アイ・エー社に見積書の制作を指示。</t>
        </is>
      </c>
      <c r="J8080">
        <f>HYPERLINK("https://www.weblio.jp/content/見積書", "词义详情")</f>
        <v/>
      </c>
      <c r="K8080">
        <f>HYPERLINK("https://yourei.jp/見積書", "查看例句")</f>
        <v/>
      </c>
    </row>
    <row r="8081">
      <c r="A8081" t="inlineStr">
        <is>
          <t>見積もる</t>
        </is>
      </c>
      <c r="B8081" t="inlineStr">
        <is>
          <t>成功</t>
        </is>
      </c>
      <c r="C8081" t="inlineStr">
        <is>
          <t>読み方：みつもる
［動ラ五（四）］
１目分量や心づもりではかっておおよその見当をつける。目算する。「入場者数を—・る」
２工事や製品などの、原価・日数・経費などを前もって計算して出す。「経費を—・る」「工事を—・る」</t>
        </is>
      </c>
      <c r="D8081" t="inlineStr">
        <is>
          <t>計算；予想；推定；予測；予算</t>
        </is>
      </c>
      <c r="H8081" t="n">
        <v>29</v>
      </c>
      <c r="I8081" t="inlineStr">
        <is>
          <t>多く見積もると二〇〇個分艦隊に相当する兵力を投入してくるという。；市内自体には如何なる日でもおよそ35万人がいると見積もられている。；しかし一般に論理積による選択結果を見積もることは非常に困難である。；プロジェクトの全体は、2011年までに完成するものと見積もられた。；買収額は発表されていないが、10億ポンドあたりと見積もられている。；それによると19世紀には国中で数千人の従事者がいたと見積もられる。；するとハレー彗星は1000万年近く存在していることが見積もられた。；そのとき初めて、彼には、まっすぐな廊下の長さを見積もることができた。；彼はこの観測から、地球の直径は月の直径の約3倍であると見積もった。；この場所での作戦にはドイツ55個師団が必要であると見積もられた。；それがないために、その航行に必要な時間を見積もることができなかった。；二十二歳と教えられていたけれど、どう見積もっても十代としか見えなかった。；政府の統計では少なく見積もられているが実際はロマ人もかなり含まれる。；お前は以降の人生で、少なく見積もって二度はこんな現場を体験する気なのか。；最初の提案の時点では車体の空虚重量は16トンと見積もられていた。；どう見積もっても、強いAIに向けての実際の進歩は未だ限定的である。；アメリカ軍は西側に集まった西ベルリン市民を2000人と見積もった。；そのようなことが起こるのは飛行中で10億時間に1回と見積もられていた。；本当をいうと、私たちは最低でも20万フランと見積もっていたのです。；本大会の開催にかかる費用はおよそ16億米ドルと見積もられている。；ウユニ塩原はリチウム埋蔵量で世界の半分を占めると見積もられている。；体重を多めに見積もっても、しゃべっているのが不思議なくらいだった。；高速自動車国道ネットワーク構築の総予算は2兆元と見積もられている。；これは日本軍の3倍以上の兵力になると、アメリカ軍では見積もっていた。；このため事故が起きた時の642便の着陸重量はと見積もられている。；自分の能力を低く見積もっておいた方が、あとで楽ですもんね。；資産価値はどれだけ高く見積もっても、一〇〇〇円紙幣三枚分もないだろう。；その標準酸化還元電位はおよそ以下のような値が見積もられている。；あるアルゴリズムの実行に必要な計算資源の量を見積もることは重要である。</t>
        </is>
      </c>
      <c r="J8081">
        <f>HYPERLINK("https://www.weblio.jp/content/見積もる", "词义详情")</f>
        <v/>
      </c>
      <c r="K8081">
        <f>HYPERLINK("https://yourei.jp/見積もる", "查看例句")</f>
        <v/>
      </c>
    </row>
    <row r="8082">
      <c r="A8082" t="inlineStr">
        <is>
          <t>未定</t>
        </is>
      </c>
      <c r="B8082" t="inlineStr">
        <is>
          <t>成功</t>
        </is>
      </c>
      <c r="C8082" t="inlineStr">
        <is>
          <t>読み方：みてい
まだ決まっていないこと。「日時は—です」⇔既定。</t>
        </is>
      </c>
      <c r="D8082" t="inlineStr">
        <is>
          <t>未定である(18%)；未定地；未定であり；未定部分；未定雑姓</t>
        </is>
      </c>
      <c r="E8082" t="inlineStr">
        <is>
          <t>不明；不安定；怪しい；疑わしい；おぼろげ</t>
        </is>
      </c>
      <c r="F8082" t="inlineStr">
        <is>
          <t>時期未定；所属未定；境界未定；発売日未定；発売未定</t>
        </is>
      </c>
      <c r="G8082" t="inlineStr">
        <is>
          <t>未定義；未定乗数法；未定乗数；未定係数法</t>
        </is>
      </c>
      <c r="H8082" t="n">
        <v>29</v>
      </c>
      <c r="I8082" t="inlineStr">
        <is>
          <t>将来未定の工場と同じ敷地内に単独工場を建設するとなればどうなるか。；現在は飲食物の販売はされていないが今後どうなるかは未定となっている。；さらに2022年大会も非開催となっており、以降の大会も未定である。；日本語化されていないタイトルは日本での公開が未定の作品である。；その部隊名はチーム・ワイルドと決定されていたがメンバーが未定だった。；なお、2020年内の完成予定であったが、正式な開業日は未定である。；一部に東京都江戸川区と千葉県市川市の間での境界未定地の地域がある。；発売時期は未定ですが、冬前にはお届けできたらいいなと思っております。；この実験がいつ・どのように行われるかは、立法問題のために未定である。；その後も5月29日の開業予定を凍結し、新たな開業時期は未定とした。；店の人がみていなくても、誰の目がどこで光っているかわからない。；古川道路は2000年度に調査区間に指定されているが着工時期は未定。；今後、断層のない場所に移転する予定としているが時期は未定である。；ここまで詳しい資料があれば助かるが、具体的にどう動くかはまだ未定。；活動再開の時期は未定で、今後は各メンバーがソロ活動を展開していく。；実際には、同空港は近隣の所属未定地であるヘブロンに位置している。；ディアブはパリ南部にあるに収監されたが、裁判の開廷は未定であった。；前作では未定だった、別の肉体に魂を宿らせる能力の名称・また行為を指す。；建設場所や開設時期は未定だが青森操車場跡地が建設候補地になっている。；長男夫妻と同居する予定だったが、彼は海外勤務になり、帰国時期は未定。；途中安全となりましたし、寿の方針も未定だしわたしは一日も早く行きたいし。；路線は1840年に建設されたが、まだ工場の位置は未定であった。；整備中の上流部は橋梁名未定のものが多く、今後定まる可能性がある。；ただし、開発時期は未定とされ、最終決定は2011年に持ち越された。；出産後も仕事を続ける予定だが番組への復帰は未定としていた。；将来は、陽子-反陽子型の実験も行われる可能性もあるが、未定である。；解散発表後、発売中止・発売日未定となったソフトの動向は下記の通り。；閉店後の跡地利用は未定となっていたが、翌年早春から建物が解体された。；三人娘の仮埋葬は昨夜のうちにすませたが、本葬の日取りは未定である。</t>
        </is>
      </c>
      <c r="J8082">
        <f>HYPERLINK("https://www.weblio.jp/content/未定", "词义详情")</f>
        <v/>
      </c>
      <c r="K8082">
        <f>HYPERLINK("https://yourei.jp/未定", "查看例句")</f>
        <v/>
      </c>
    </row>
    <row r="8083">
      <c r="A8083" t="inlineStr">
        <is>
          <t>見通し</t>
        </is>
      </c>
      <c r="B8083" t="inlineStr">
        <is>
          <t>成功</t>
        </is>
      </c>
      <c r="C8083" t="inlineStr">
        <is>
          <t>読み方：みとおし
１《「みどおし」とも》初めから終わりまで見つづけること。「朝からテレビの—だ」
２さえぎるものがなく遠くまで見えること。また、その場所。「—のきく展望台」
３人の心や目に見えない内面の物事を見抜くこと。洞察。「何でもお—だ」
４物事のなりゆきや、将来のことを予測すること。「復旧の—がつかない」</t>
        </is>
      </c>
      <c r="D8083" t="inlineStr">
        <is>
          <t>見通し指数；見通し線；見通し距離；見通し範囲</t>
        </is>
      </c>
      <c r="E8083" t="inlineStr">
        <is>
          <t>先；光；可能性；予定；希望</t>
        </is>
      </c>
      <c r="F8083" t="inlineStr">
        <is>
          <t>かかる見通し；楽観的な見通し；明るい見通し；甘い見通し；困難な見通し</t>
        </is>
      </c>
      <c r="H8083" t="n">
        <v>29</v>
      </c>
      <c r="I8083" t="inlineStr">
        <is>
          <t>従って景虎のような人物にも正確な見とおしはつけられないのであろう。；見通しをよくするために周囲には広大なオープンスペースが設けられた。；雨や霧では見通しが悪くなり、光が届かなくなるため避けるべきである。；こうした状況下で、ロシアとの戦争には暗く不安な見通しが立ち始めた。；アメリカの国力を調査し、日米の戦力を比較して戦争の見通しを立てた。；あの人はこの世の将来についてとてもくらい見とおししか持っていません。；ふりかえったメガンの目は、彼の心のなかを見とおしているようだった。；構想の再構築が必要となり、初飛行は2011年になる見通しとなった。；今後の見通しとして、ホテル事業を新たな成長の柱とする方針を発表した。；この方法では分類体系的な見通しはよくないが、現実的には扱いやすい。；見通しの悪い真壁付近では、自転車と自動車の衝突事故が発生している。；今後は公演などの形をとってゆくのかなど、課題は多く見通しが立っていない。；お茶屋関係者によると、今後の営業再開の見通しは立っていないという。；彼のキャスティングが発表されると成功の見通しに疑問を呈する者もいた。；おれは微笑しながら、君たちの単純な魂を見とおしているではないか。；彼らは旅をつづけたが、前途の見とおしは決して明るいものではなかった。；階段を降りますまえにも、うえからこの廊下が見とおしなんでございますから。；天吾の考えていることなどすべて見とおしているというような視線だった。；これらの資金援助なしでは、StUBの実現は見通しがつかなかった。；そこからは道の見とおしがよくなり、かなり前を歩いている兵士の姿が見えました。；あとはもう見とおしが出来たので楽だが、どうしても毎日二十枚は書けない。；その見とおしが心をひきつけるのであすこへ行って見たいとつい歩く。；ただし、具体的なルートや着工の見通しはそれ以後の決定とされた。；それは仲間の者の心の動きを見とおしていたからである。；濃霧発生時だけでなく見通しの悪い夜間にも稼働している場合がある。；が、取りたてが進展しているのでも、見とおしがでてきたのでもなかった。；ぼくの内心の動きを、ヤン提督はきっとすべて見とおしていたのだと思う。；この区間を通る日韓トンネルの構想があるが、実現の見通しは立っていない。；屋根裏は屋根の奥にキャラクターが描画されるため見通しが悪くなっている。</t>
        </is>
      </c>
      <c r="J8083">
        <f>HYPERLINK("https://www.weblio.jp/content/見通し", "词义详情")</f>
        <v/>
      </c>
      <c r="K8083">
        <f>HYPERLINK("https://yourei.jp/見通し", "查看例句")</f>
        <v/>
      </c>
    </row>
    <row r="8084">
      <c r="A8084" t="inlineStr">
        <is>
          <t>見所</t>
        </is>
      </c>
      <c r="B8084" t="inlineStr">
        <is>
          <t>成功</t>
        </is>
      </c>
      <c r="C8084" t="inlineStr">
        <is>
          <t>読み方：けんじょ
《「けんしょ」とも》
１見物席。観客席。また、見物人。主に能楽でいう。
２芸の上で悟りえたところ。芸のみどころ。
「目利きの見出だす—にあるべし」〈花鏡〉
３見地。立場。
「親句、疎句の—をはなれ侍るべしとなり」〈ささめごと〉</t>
        </is>
      </c>
      <c r="D8084" t="inlineStr">
        <is>
          <t>見所紹介</t>
        </is>
      </c>
      <c r="E8084" t="inlineStr">
        <is>
          <t>ハイライト；見せ場；見どころ；圧巻；呼び物</t>
        </is>
      </c>
      <c r="F8084" t="inlineStr">
        <is>
          <t>主な見所；大きな見所；特別な見所；有名な見所</t>
        </is>
      </c>
      <c r="H8084" t="n">
        <v>29</v>
      </c>
      <c r="I8084" t="inlineStr">
        <is>
          <t>大学が使用しているツォイクハウスもこれと関連して見所に挙げられる。；顔の他の部分は日に焼けてはいたが、薄皮だけにかえって見所があった。；キャラクター達の新装備や新設定等が多いのも見所となっている。；で放送されているコーナーの傑作選やリニューアル後の見所を紹介した。；上流の支流八手俣川には君が野ダムがあり桜の見所として知られている。；聞いた話では感情のない殺人鬼を想像していましたが、中々に見所がある。；また村の小博物館も見所の一つで、村の概要と歴史を知るのに最適である。；その声がトテモ大きくて烈しいので舞台から見所まで筒抜けに聞こえた。；これこそパガネルの是非見なければというこの見物の見所なのであった。；週末にFAカップの試合が組まれている場合、その見所などを紹介する。；境内には、鎌倉市天然記念物に指定されている があり見所となっている。；なかなか見所がある奴だな、さりげに俺と同じ物を食べているとは。；エッシャースハウゼン周辺のその他の文化財と見所には以下のものがある。；構造は能のそれのように、三方の見所からは全く切り離されていた。；他にも数多くの博物館や教会など見所が多い街である。；SEに多くの銃声が使われており、この曲の見所のひとつでもある。；その中でも最大の見所はドールと人間の間に生まれた恋心を描く話であると指摘された。；市郊外の丘の上に位置するため、山形市の景色を一望できるのが見所。；大観の作品には少しは見所のあるものもあらうからである。；お前には何か見所があると思ふて居つたのだ。；私がこの後輩の本富士警察署長を見所があると思ったのは、その後の事だった。；小さいながら美しく歴史のある旧市街には多くの絵になる風景や見所が点在している。；シリーズ開始前に、東海道の見所を紹介する15分番組が4本放送された。；ある日編集部に送られてきた原稿が見所ありということで、作者に会いに行ってびっくり。；他の見所としてはパドック近くに建てられたハイセイコーの像がある。；「彼女はSSAのなかでは見所のある人材だわ」 ぶっきらぼうに言う。；これらの市区は、歴史的な数多くの見所、特に遺跡や歴史的建造物がある。；この他に、シリフケ近くの主な見所には次のようなものがある。；本市の建造文化財や見所の多くがこの時代に建設された。</t>
        </is>
      </c>
      <c r="J8084">
        <f>HYPERLINK("https://www.weblio.jp/content/見所", "词义详情")</f>
        <v/>
      </c>
      <c r="K8084">
        <f>HYPERLINK("https://yourei.jp/見所", "查看例句")</f>
        <v/>
      </c>
    </row>
    <row r="8085">
      <c r="A8085" t="inlineStr">
        <is>
          <t>認める</t>
        </is>
      </c>
      <c r="B8085" t="inlineStr">
        <is>
          <t>成功</t>
        </is>
      </c>
      <c r="C8085" t="inlineStr">
        <is>
          <t>読み方：したためる
［動マ下一］［文］したた・む［マ下二］
１書き記す。「手紙を—・める」
２食事をする。
「夕餉を—・めに階下へ下りる頃は」〈梶井・冬の日〉
３整理する。処理する。
「万の事ども—・めさせ給ふ」〈源・須磨〉
４支度する。
「河中の橋を踏まば落つるやうに—・めて」〈平家・五〉</t>
        </is>
      </c>
      <c r="D8085" t="inlineStr">
        <is>
          <t>認めるべき；認めるよう要求；認める特別継承；認めるよう求め</t>
        </is>
      </c>
      <c r="E8085" t="inlineStr">
        <is>
          <t>受ける；知る；表記；与える；聞く</t>
        </is>
      </c>
      <c r="F8085" t="inlineStr">
        <is>
          <t>自他ともに認める；認めるしかない；認める特別継承権；認めるべきか否；認める範囲内</t>
        </is>
      </c>
      <c r="H8085" t="n">
        <v>29</v>
      </c>
      <c r="I8085" t="inlineStr">
        <is>
          <t>国王は名称の利用を認めただけで学会の運営は国王とは独立していた。；また台湾は島の地位が確定するまで漁業権を認めるようにも主張している。；機関銃は配備されていたがその価値が認められるまでには時間を要した。；また適当と認めるときは、居室外に限り、分離しないようになっている。；したがって戦争法が存在する価値を認めることはできないものである。；しかし、英米法では裁判所自身に規則制定権を認める制度が発達してきた。；伯爵はボヘミア王であると認めてマスクを取り、依頼の内容を語り出す。；ただし、当初は国内でそれを認めていた人は必ずしも多くなかった。；彼の時代から正式に皇帝の称号を使用し、西欧諸国からも認められた。；戦前、検察官は捜査を主宰するとされ、強い指揮権限が認められていた。；選手交代が認められるのは、ゲームクロックが止められている時である。；サムネイル 真理は、確実な根拠によって本当であると認められたこと。；適性試験に合格すれば学位取得のための研究を開始することを認められる。；これは世界の理解に一定の限界を認めることであり、不可知論を伴う。；しかし、2019年以降の国際単位系はこの単位の使用を認めていない。；どういう行為が認められているか、で大きく分けて3種に分けられる。；この手法は更に管理的で不変の破片の創造を認めることで効率を上げた。；まもなくして彼のギターの腕を買い、クオリーメンへの加入を認めた。；釈迦は自分の教説のなかで輪廻を超越する唯一神の存在を認めなかった。；ただし尊重すべき理由があるときはそれ以下の年齢でも認められる場合がある。；小霊通サービスが信息産業部に正式に認められたのは2003年である。；そして、入門時に所属した部屋から、他部屋への移籍は原則認められない。；私は西洋の言葉でこれを表現するのは適さないということを認めるものです。；ただしそれは絶対ではなく、適切な理由があれば複数同時提案も認められる。；名誉殺人も存在しているとされ、認められれば罪に問われないことが多い。；この場合も、上記と同じく多数の者が飛地であると認める事が多い。；日本相撲協会主催の大相撲は土俵上への女性の立ち入りを認めていない。；貴族たちが国王大権を認める代わりに、王は貴族や教会の特権を承認した。；結局政府は土地の私有を認めざるを得なくなり、律令制度は崩壊した。</t>
        </is>
      </c>
      <c r="J8085">
        <f>HYPERLINK("https://www.weblio.jp/content/認める", "词义详情")</f>
        <v/>
      </c>
      <c r="K8085">
        <f>HYPERLINK("https://yourei.jp/認める", "查看例句")</f>
        <v/>
      </c>
    </row>
    <row r="8086">
      <c r="A8086" t="inlineStr">
        <is>
          <t>緑</t>
        </is>
      </c>
      <c r="B8086" t="inlineStr">
        <is>
          <t>成功</t>
        </is>
      </c>
      <c r="C8086" t="inlineStr">
        <is>
          <t>読み方：みどり
《元来、新芽の意で、そこから色名に転じたといわれる》
１色の名。青と黄色の中間色。
㋐草木の葉の色。また、草木。特に新緑のころのものをいう。「一面の—」《季夏》「満目の—に坐る主かな／虚子」
㋑海水のような深い藍色。碧(へき)。「—の大海原(おおうなばら)」
㋒黒くつややかな色。多く毛髪にいう。→緑の黒髪
２新芽。特に、松の新芽。若緑。松の芯。
３緑色の草木、植物。転じて、自然。「—豊かな土地」「—を守れ」</t>
        </is>
      </c>
      <c r="D8086" t="inlineStr">
        <is>
          <t>緑道；緑褐色；緑さん；緑雨；緑の多い</t>
        </is>
      </c>
      <c r="E8086" t="inlineStr">
        <is>
          <t>緑色；グリーン；翠；青葉；濃緑</t>
        </is>
      </c>
      <c r="F8086" t="inlineStr">
        <is>
          <t>深い緑；鮮やかな緑；淡い緑；美しい緑；喜緑</t>
        </is>
      </c>
      <c r="G8086" t="inlineStr">
        <is>
          <t>緑地；緑区；緑化；緑川；緑茶</t>
        </is>
      </c>
      <c r="H8086" t="n">
        <v>29</v>
      </c>
      <c r="I8086" t="inlineStr">
        <is>
          <t>男性の肌の色は緑で、眉とこめかみがつながっている容姿の人物が多い。；黒は国民、赤は独立のために流れた血、緑は豊かな自然を表している。；赤・黄・緑など様々な色合いを持つ為、童謡では色を錦と表現している。；体色にはやや個体差があるが、背側の体色は青灰色や緑灰色をしている。；しかし、現実に得られる黄は赤気味であったり、緑気味であったりする。；これは赤と緑を十分に区別できないいわゆる「赤緑色盲」の状態である。；緑の服をまとった女性の姿をしているが、時に木そのものの形を取る。；本船も上空に到着して求めていた水と緑の豊かな惑星を手に入れる事が出来た。；また腹部に色抜けが見られるため、緑や青の地色のものは存在しない。；緑は国の主要な経済を構成する森林を表し、黄色は太陽・赤道を表す。；濃い緑がその時代の領土、薄い緑がルーマニアが領有したことのある地域。；適切な赤・緑・青の輝度の組み合わせで様々な色が表現される。；さらに前は当時の南海電車の塗装と同じ緑を基調としたデザインであった。；キャノピーの窓の色が緑に変更された以外には、デザインに大きな変更はない。；海外のものは四方緑に囲まれているが、日本のものは上の部分に緑の部分がない。；町の東端には遠賀川が流れており、水と緑に囲まれた自然豊かな土地である。；共通の形状の制服を着用するが、善は赤、愛は緑のスーツを着ている。；現在の緑豊かな六甲山からは想像もできない全山はげ山の姿であった。；旗のデザインは、緑の地に、中央からやや旗竿寄りに赤い円が描かれている。；阪和線の高架化事業の完成後は、線路の西側に緑道が整備される予定である。；なお、当初は解答者の色は 緑 ・ 赤 ・ 青 ・ 黄 だった。；やがて西武園線が左にそれ、住宅街ながら緑の多い一帯を北に進む。；赤・白・緑の汎アラブ色を使用し、アラブ民族の統合を象徴している。；また、緑・白・赤の同じ構成色を持つ三色旗にはハンガリーの国旗がある。；これを暴走させたブルーディスティニーはカメラ部分が緑から赤に変化する。；和名のアオは緑も含めた古い意味での青の意でオスの色彩に由来する。；なお青漆という名ではあるものの、実際の色は青ではなく緑である。；建物は木々の緑・空気の青・土の色がイメージされている。；日本産業規格の規格では、緑およびグリーンがそれぞれ定義されている。</t>
        </is>
      </c>
      <c r="J8086">
        <f>HYPERLINK("https://www.weblio.jp/content/緑", "词义详情")</f>
        <v/>
      </c>
      <c r="K8086">
        <f>HYPERLINK("https://yourei.jp/緑", "查看例句")</f>
        <v/>
      </c>
    </row>
    <row r="8087">
      <c r="A8087" t="inlineStr">
        <is>
          <t>みな</t>
        </is>
      </c>
      <c r="B8087" t="inlineStr">
        <is>
          <t>成功</t>
        </is>
      </c>
      <c r="C8087" t="inlineStr">
        <is>
          <t>読み方：みな
サウジアラビア中西部、イスラム教の聖地メッカの東約5キロメートルにある谷。メッカとアラファト山の間に位置する。メッカに訪れた巡礼者が巡礼月の10日にミナに集まり、七つの石を拾って、ジャムラーとよばれる大きな壁に向かって投げるという最後の儀式が行われる。</t>
        </is>
      </c>
      <c r="D8087" t="inlineStr">
        <is>
          <t>みな同じ；みなそれぞれ；みな死ん；みなはれ；みな一様</t>
        </is>
      </c>
      <c r="E8087" t="inlineStr">
        <is>
          <t>全て；みんな；完全に；すっかり；皆</t>
        </is>
      </c>
      <c r="F8087" t="inlineStr">
        <is>
          <t>みな無事；みな相当；みな疲れ；みな兄弟；みなおなじ</t>
        </is>
      </c>
      <c r="G8087" t="inlineStr">
        <is>
          <t>みなさん；みなし；みなす；みなさま；みなこ</t>
        </is>
      </c>
      <c r="H8087" t="n">
        <v>29</v>
      </c>
      <c r="I8087" t="inlineStr">
        <is>
          <t>朝臣の中で彼を恐れない者はおらず、みな程氏に取り入るようになった。；・・・墓の中にいる者がみな、子の声を聞いて出て来る時が来ます。；だがかれらもエレッサール王が世を去るころにはみな渡海してしまった。；これらはみな通常文といい、どのような場合にも必ず同じ典礼文を用いる。；また24年組の漫画家はみな、主人公が少年である作品を手がけている。；以上の傾向はみな程度の差はあれロマン派音楽以前にも現れていた。；特に行李の運搬手はわずかしか残らず、彼らもみな荷物を放棄していた。；現在は笠松みなと公園として整備されており、川灯台が建てられている。；利益は関係者みなに等しく配分し自分自身の金のことは考えなかった。；その儀式は若い女性を村人みなで輪姦して妊娠させるというものだった。；これらはみな広域地名をその一部を占める市町村が取ったものである。；捕獲されたオランダ艦はみな、修繕が不可能なほどに破壊されていた。；典韋と十数人の部下は多数の敵に囲まれたが、みな一人で十人を相手にした。；これらの人々はみな修道院が提供する仕事について生活していた。；ビデオがようやく普及し始めた時期だから、みな同時に見ている。；学校の西隣に城浜公園、さらにその西隣にみなと100年公園がある。；また、呉より派遣された諸葛誕の援軍で捕虜となった者もみな赦免した。；王子が再度韮作りの娘に求婚すると、娘は承諾し、みな幸せに暮らした。；それはいくつのときも同じだったが、一日はみな異なっている。；インドの叙事詩の英雄達はみな名を持った白い法螺貝を持っていた。；殿の傍らにはみな内官の公署を置き、みな各方面の色と同一の彩色とした。；キャラクターはみなフロートの高いところにいて降りてはこない。；その際に自分は死ぬのではないかと考え、罪をみな神に告白した。；この際には「私の半分がイラン人であることはみな知っている」とも述べた。；なお死体がみな裸なのは運んだのが親族なら帰った後に盗られたのかもしれない。；すると突然、空中に大声が響き渡ったかと思うと、鬼神達はみな姿を消した。；家族はみな勝手気ままだったがそれなりに幸せな生活を手に入れる。；しかし、その領内ではみな彼の事を王と称するようになっていた。；しかし面と向かって注意する事もできず、みなで困っていた。</t>
        </is>
      </c>
      <c r="J8087">
        <f>HYPERLINK("https://www.weblio.jp/content/みな", "词义详情")</f>
        <v/>
      </c>
      <c r="K8087">
        <f>HYPERLINK("https://yourei.jp/みな", "查看例句")</f>
        <v/>
      </c>
    </row>
    <row r="8088">
      <c r="A8088" t="inlineStr">
        <is>
          <t>見直す</t>
        </is>
      </c>
      <c r="B8088" t="inlineStr">
        <is>
          <t>成功</t>
        </is>
      </c>
      <c r="C8088" t="inlineStr">
        <is>
          <t>読み方：みなおす
［動サ五（四）］
１もう一度改めて見る。また、その結果気づいた欠点を是正する。「提出前に作文を—・す」「仕事の進め方を—・す」
２それまでの認識を改める。「今回のことで新しい市長を—・した」
３病気や景気などが回復してよいほうに向かう。
「八月の半ば過ぎになると、稲穂もよほど—・した」〈藤村・夜明け前〉</t>
        </is>
      </c>
      <c r="D8088" t="inlineStr">
        <is>
          <t>見直すべき(4%)；見直す気運が高まり；見直す可能性</t>
        </is>
      </c>
      <c r="E8088" t="inlineStr">
        <is>
          <t>見直し；再検討；再審；再確認する；見つめ直す</t>
        </is>
      </c>
      <c r="F8088" t="inlineStr">
        <is>
          <t>もう一度見直す；あらためて見直す；fm補完中継局制度を見直す</t>
        </is>
      </c>
      <c r="H8088" t="n">
        <v>29</v>
      </c>
      <c r="I8088" t="inlineStr">
        <is>
          <t>私は画面から目を放してもう一度君を見直さないではいられなくなった。；そのため、一度に大量の結果を出力しても、後から見直すことができた。；近年になって、いくつかの属は、後者から前者へ所属が見直されている。；これには私も驚くと同時に、この吃り男を見直さずにはいられなかった。；私は驚きながら改めてその男をしげしげと見直さなければならなかった。；そのため前述のような扁形動物と関連させた位置づけは見直されている。；ただし、以下に記載するようにシリーズ分けの基準は数回見直されている。；また、上記のような男性に求められる役割を見直す動きも生まれつつある。；徴税の体制も見直されたが、これは以前のものと大差なかったとされる。；これを受けて、ソ連軍はこれまでの戦車のあり方を見直すことになった。；何時の間にこんなに成長していたのだろう、と見直すと眼が熱くなった。；しかも、それでも私には今一度窓の外を見直す勇気がどうしても出なかった。；さらに、中学校と言う分類を除くことで全教育体系を見直す提案が行われた。；あの人はものを識っているというので、たいへんおまえさんを見直すね。；今回、資料を見直すにあたり、キリスト教の本にも目を通してみました。；その結果、初代の問題点は大幅に見直され、根本的な再設計が行われた。；その後駅舎跡周辺の道路配置が見直され、白山公園側は広場が設けられた。；これをきっかけにソニー株は見直され、一気に一〇〇〇円台に突入する。；これが自分かと改めて見直すほどいろいろな変化が肉体に見出されるのだった。；したがってナベカムリ目内部の系統関係も早晩見直されることになろう。；頭を振って見直すと、アパートが火に包まれているのが分かった。；しかし同時に自分に足りないものを見直すきっかけにもなった。；表だって批判できなかったものが、次々と批判され見直されるようになっている。；法施行後5年をめどに状況を確認し、必要があれば法の規定を見直す。；その事実に安堵しながらも、真九郎は、少しだけ世界を見直そうと思った。；東京の朝も見直すような心持ちで、私は娘と一緒に家に帰りついた。；写真のほとんどが入れ替えられ、一部の散歩ルートが見直されている。；低くスラントしたフロントノーズのために補機類配置が見直されている。；機器の配置を見直すことで標準軌向けと同等の車内通路幅を確保している。</t>
        </is>
      </c>
      <c r="J8088">
        <f>HYPERLINK("https://www.weblio.jp/content/見直す", "词义详情")</f>
        <v/>
      </c>
      <c r="K8088">
        <f>HYPERLINK("https://yourei.jp/見直す", "查看例句")</f>
        <v/>
      </c>
    </row>
    <row r="8089">
      <c r="A8089" t="inlineStr">
        <is>
          <t>漲る</t>
        </is>
      </c>
      <c r="B8089" t="inlineStr">
        <is>
          <t>成功</t>
        </is>
      </c>
      <c r="C8089" t="inlineStr">
        <is>
          <t>読み方：みなぎる
［動ラ五（四）］
１水が満ちて、あふれるほど勢いが盛んになる。「雪どけ水が川面いっぱいに—・る」
２力や感情などがあふれるばかりにいっぱいになる。「—・る若さ」「意欲が—・る」</t>
        </is>
      </c>
      <c r="D8089" t="inlineStr">
        <is>
          <t>漲る煙です</t>
        </is>
      </c>
      <c r="E8089" t="inlineStr">
        <is>
          <t>あふれる；溢れ出る；湧きあがる；溢れ出す；零れる</t>
        </is>
      </c>
      <c r="H8089" t="n">
        <v>29</v>
      </c>
      <c r="I8089" t="inlineStr">
        <is>
          <t>一点の不安もなく、全身にこれまで感じたこともないほどの力が漲った。；考えてみればこんな悲惨なことはないのに、母の目には力が漲っていた。；彼は美角夫人の前で血を漲らせながら、かなりの注意を怠らずに語った。；どうやら俺と同じことを考えていたようで、体には緊張が漲っている。；そして読み終えたとき、何か充実したものが躯の内に漲るのを感覚した。；しかし前方の観覧室には、とうていこの世ならぬ異様な光が漲っていた。；強い緊張のために、肩の凝りきった時のような感じが体全体に漲った。；ついさっきまで戦っていた日本軍には、一歩も退かない決意が漲っていた。；三宅やす代が帰ったあと、保郎は何か不思議な力が体に漲るのを覚えた。；枕につけた片方の耳の奥では、動脈の漲る音が高く明らかに鳴っている。；全身に漲っていた欲望が消えてしまうと、元の萎んだ風船となっていた。；他人の眼には、その地震は、その内部の大漲溢は、少しも見えなかった。；今までに味ふことの出来なかつたやうな歓喜がかれの胸に漲り渡つた。；食欲の秋というのは確かにその通りであって、体に力が漲るのを感ずる。；庭一面に漲り込んだ水上に水煙を立てて、雨は篠を突いているのである。；海は絶えず膨れ上つて、雪のやうな波の水沫を二人のまはりへ漲らせた。；ただの実業家ではない、立志伝中の傑物という印象が全身に漲っていた。；身内に漲っている力が、自然とじっとしていられなくしたのである。；男具那の体内で、これまで味わったことがないような熱気が漲っていた。；こうなると、漲り切った力は、最も抵抗の弱いところに向わざるを得ない。；彼は幸福な男のあらゆる表情を漲らせながら、私の手を握りました。；そこに立って、姫路方面を望めば、朝の陽も暗いほど黒煙が漲っている。；人喰い熊とはいえ、山を領していたものの威容が辺りいっぱいに漲ぎる。；その奥に飽くことのない好奇心とお節介が漲っているのは知っている。；学生の僕はこの坂路を歩くとき、突然あたり一杯に生命感が漲ることがあつた。；力が漲っていて、何だかみんなが白い歯を見せて笑ってたみてえな気がする。；立ち上がったとき、その全身には、見違えるようなオーラが漲っていた。；其は彼の作に漲っている深い力強い意向を考えれば解るのだろうと思う。；そしてまた、もの凄い魔道力が体じゅうに漲っていることを感じていた。</t>
        </is>
      </c>
      <c r="J8089">
        <f>HYPERLINK("https://www.weblio.jp/content/漲る", "词义详情")</f>
        <v/>
      </c>
      <c r="K8089">
        <f>HYPERLINK("https://yourei.jp/漲る", "查看例句")</f>
        <v/>
      </c>
    </row>
    <row r="8090">
      <c r="A8090" t="inlineStr">
        <is>
          <t>皆さん</t>
        </is>
      </c>
      <c r="B8090" t="inlineStr">
        <is>
          <t>成功</t>
        </is>
      </c>
      <c r="C8090" t="inlineStr">
        <is>
          <t>読み方：みなさん
「みなさま」のややくだけた言い方。「職場の—」「—お静かに」</t>
        </is>
      </c>
      <c r="D8090" t="inlineStr">
        <is>
          <t>皆さん方；皆さんご存じ；皆さん御；皆さんがた；皆さんご存知</t>
        </is>
      </c>
      <c r="F8090" t="inlineStr">
        <is>
          <t>おられる皆さん；小さい皆さん；皆さん御承知</t>
        </is>
      </c>
      <c r="H8090" t="n">
        <v>29</v>
      </c>
      <c r="I8090" t="inlineStr">
        <is>
          <t>皆さんは建築が完成してから殺人が行なわれたとお考えになっている。；この本はそういう地図を皆さんにお見せするために書かれるのであります。；これは私としての記録ではなく、ファンの皆さんの記録だと思ってます。；皆さんのなかには、ここで一つの疑問をもたれる方があるかもしれない。；皆さんの前にどんな美しくむごたらしい光景が展開いたしますことやら。；私はただそういう問題を考える緒口を皆さんに示したというにすぎません。；皆さんどんな人でも一生のうちに手紙を書かない人はないでしょう。；出走できるかどうかについては皆さんの判断に任せるしかありませんね。；それはやがて固有な美しい日本を皆さんに示すことになるでありましょう。；わたしはまだ皆さんに聞かせるようなお話をいくらも書いていません。；私たちは私たちのことを考えて祈ってくれた皆さんに感謝したいです。；そして今回もさらに多くの場所を訪ね、多くの皆さんとお会いします。；でも、どうしてここはこんなに、皆さん死にたくなるんでございませう。；直ちに皆さんがこれに賛成すれば、もう明日にもこれは成立をしますよ。；身体よりも神経が参っていたのです、皆さんは体と思っていたようですが。；前線に行っていらした皆さんの御兄弟はお帰りになった方もあるでしょう。；皆さん、悪魔の狡智は、考え得るあらゆる場合を計算に入れていました。；だもんですから皆さん方の間ではたいへんな評判らしいんですの。；私の義務は皆さんの中から妻を娶ることであり、今それに従っている。；ファンの皆さんをガッカリさせてしまった責任は他でもない自分にあります。；女教 さあ皆さん、揃いましたから問題を出します、ようございますか。；そこで皆さんがやらなかったのです、ええと、夫れから最う一つあります。；最初にその苦労を背負ったのは日本の皆さんで、私は敬意を払っている。；皆さんも知っておられるように、日本は南北にとても細長い国であります。；先達は皆さん此所は不淨場でありますといつて自分が先に小便をした。；しかし、皆さんそれぞれにご自分の好きな歌があるじゃないですか。；信者の皆さんも応えて、一人じゃなく二人用の家を近くに用意しましょう。；皆さんは今河原さんの質問を笑いましたが、それは大きな心得違いです。；黒が来たと大勢してこの犬を迎えて、皆さんがお悦びになりました。</t>
        </is>
      </c>
      <c r="J8090">
        <f>HYPERLINK("https://www.weblio.jp/content/皆さん", "词义详情")</f>
        <v/>
      </c>
      <c r="K8090">
        <f>HYPERLINK("https://yourei.jp/皆さん", "查看例句")</f>
        <v/>
      </c>
    </row>
    <row r="8091">
      <c r="A8091" t="inlineStr">
        <is>
          <t>見なす</t>
        </is>
      </c>
      <c r="B8091" t="inlineStr">
        <is>
          <t>成功</t>
        </is>
      </c>
      <c r="C8091" t="inlineStr">
        <is>
          <t>読み方：みなす
［動サ五（四）］
１仮にそうと見る。そうでないものをそうとする。仮定する。「雪を花と—・す」
２判断してそうと決める。「返事のない者は欠席と—・す」
３法律で、ある事物と性質の異なる他の事物を、一定の法律関係について同一視し、同じ法律効果を生じさせる。「住所が知れない場合には、居所を住所と—・す」
４見とどける。
「命長くて、なほ位高くなど—・し給へ」〈源・夕顔〉
５世話をして育てあげる。
「人なみなみに—・したらむこそ嬉しからめ」〈源・総角〉</t>
        </is>
      </c>
      <c r="D8091" t="inlineStr">
        <is>
          <t>見なすべき(4%)；見なす研究者</t>
        </is>
      </c>
      <c r="E8091" t="inlineStr">
        <is>
          <t>見る；思う；考える；推定；推測</t>
        </is>
      </c>
      <c r="H8091" t="n">
        <v>29</v>
      </c>
      <c r="I8091" t="inlineStr">
        <is>
          <t>彼女の失敗は宗教分裂を政治的問題とのみ見なしていたことであった。；デカルトは、人間も含めて全ての生物は神が制作した機械だと見なした。；角は強さの象徴と見なされ、特別な力があると信じられる場合も多かった。；一部の歴史家はこの二つが同じ品種の異なる系統であると見なしている。；つまり、人は他の人々も自分と同じように考えていると見なしたがる。；環境は、ある程度の負荷に耐えられる自己再生系と見なすことができる。；明朝はこれらの者達を倭寇と見なしていたがその大半は中国人であった。；聖書信仰の立場が誤った霊感説と見なして排除するのは以下の説である。；は を形容詞と見なすのが普通であり、これも句動詞には分類されない。；一般的に人間に本能行動はほとんど無いかわずかであると見なされている。；彼は心理学を生理学の一分野であると見なした最初期の人々の一人である。；もちろん、当たったと見なされている予言もなくはないが、数は少ない。；それに対して、芸術家は、生産物を自己表現であると見なすことが多い。；彼は技術進歩を、社会と文化の発展の最も基本的な要因だと見なした。；加盟していない機関の中にも十分に公設試と見なすことのできるものもある。；数学における群とは、最も基本的と見なされる代数的構造の一つである。；日中いずれの場合も漢文を自己の属する文化のものと見なしている。；大陸出身の中国系住民と同様と見なすかは、議論の対象となっている。；これは、地球環境分析を使用した業界分析の一部と見なすことができます。；戦場でも決闘の場でも、両手剣は使い勝手の良い武器と見なされていた。；英語圏の国ではほとんどが建築調査測量を明確な職業と見なしている。；これを以って、行列式の概念がきっちりと確立されたと見なされている。；ローマの法律では奴隷は人間ではなく財産と見なされていた。；通常は名詞とは異なる品詞と見なすが、名詞の一種とされることもある。；つまり、選手は勝手に自分や他の選手を失格と見なしてはいけないのである。；ある が存在して のとき となるようなものは多項式と見なすことができる。；これは無罪であると多くの場合見なされる者に、石打が行われた例である。；彼は、自分の考えを表すために、自ら必要と見なす言葉を使うことができる。；郭再祐の挙兵は反乱と見なされ、朝鮮官軍との間で戦闘が起こっている。</t>
        </is>
      </c>
      <c r="J8091">
        <f>HYPERLINK("https://www.weblio.jp/content/見なす", "词义详情")</f>
        <v/>
      </c>
      <c r="K8091">
        <f>HYPERLINK("https://yourei.jp/見なす", "查看例句")</f>
        <v/>
      </c>
    </row>
    <row r="8092">
      <c r="A8092" t="inlineStr">
        <is>
          <t>港</t>
        </is>
      </c>
      <c r="B8092" t="inlineStr">
        <is>
          <t>成功</t>
        </is>
      </c>
      <c r="C8092" t="inlineStr">
        <is>
          <t>読み方：こう
［音］コウ（カウ）（呉）（漢）　［訓］みなと
［学習漢字］3年
〈コウ〉
１みなと。「港湾／開港・寄港・漁港・出港・良港」
２飛行場。「空港」
〈みなと〉「港町」
［難読］桑港(サンフランシスコ)・香港(ホンコン)</t>
        </is>
      </c>
      <c r="D8092" t="inlineStr">
        <is>
          <t>港北区；港町；港市；港近く；港周辺</t>
        </is>
      </c>
      <c r="E8092" t="inlineStr">
        <is>
          <t>津；港湾；湊；築港；海港</t>
        </is>
      </c>
      <c r="F8092" t="inlineStr">
        <is>
          <t>名古屋港；大阪港；重要な港；小さな港；神奈川県横浜市港</t>
        </is>
      </c>
      <c r="G8092" t="inlineStr">
        <is>
          <t>港区；港町；港湾都市；港内；港湾施設</t>
        </is>
      </c>
      <c r="H8092" t="n">
        <v>29</v>
      </c>
      <c r="I8092" t="inlineStr">
        <is>
          <t>港からの攻撃を予測していたハスドルバルは付近の倉庫群に火を放った。；以上に見た経緯と連動して、名古屋港横断道路の構想は激しく変化した。；やつでの葉のような形状と佐世保の文字から古くは「葉港」と呼ばれた。；県の北側から東側にかけては海に面しており、多くの港が設置されている。；また、港は複数の島に囲まれており、一部は定期航路が設定されている。；川から上がって市の港へ入るガレー船を妨げるようになったのである。；写真のように、台湾向け車両も名古屋港まで甲種輸送されるケースもある。；メソポタミア南部で生産された穀物やナツメヤシなどの輸出港でもある。；埋め立てが完了したばかりの新港や中央港を走った最初の路線である。；城や港などから端を発して、それが巨大化したのが特徴的である。；この港は集住の起源であり、カンペールの経済基盤の一つとなってきた。；特に南部のサラーラには経済特区や大きなコンテナ港が設置されている。；また、港の予想に反して、開始直後から高視聴率を叩き出すことになる。；紀元前260年にカルタゴが町を掌握してから、重要な海軍港となった。；名古屋港が誰からも愛され、さらに発展することを願って命名された。；撮影場所は兵庫県、大阪港近郊等が撮影場所として紹介されたことがある。；この火は市の港に最も近い区域まで燃え広がり、かなりの被害をもたらした。；港のように様々な情報を発信できるようにという願いがこめられて命名された。；それだからこそ、港の数は多いのですが、この横浜に勝る港はないでしょう。；メルボルン港はオーストラリアで最大のコンテナと一般貨物の港である。；室戸など遠洋漁業中心の港では、風評を恐れて被曝は公にならなかった。；前3千年紀後半にはウルと関連する港であり交易の中心であったと見られる。；その後、岸壁などが整備され主に資材を扱う工業港へと変貌していく。；ウェストバージニア州の石炭は五大湖の港から大きな需要が来ていた。；中世にはあまり振るわなかったが、港での交易は18世紀に盛んになった。；アメリカ合衆国が独立してからも国際貿易港であるボストンは栄え続けた。；幕府はまず横浜鎖港の交渉を始めることとした。；上記2港をはじめとした4地域・11港が中枢国際港湾に指定されている。；さらに特定重要港湾に指定されている場合は、港の名称の背景を水色にする。</t>
        </is>
      </c>
      <c r="J8092">
        <f>HYPERLINK("https://www.weblio.jp/content/港", "词义详情")</f>
        <v/>
      </c>
      <c r="K8092">
        <f>HYPERLINK("https://yourei.jp/港", "查看例句")</f>
        <v/>
      </c>
    </row>
    <row r="8093">
      <c r="A8093" t="inlineStr">
        <is>
          <t>南</t>
        </is>
      </c>
      <c r="B8093" t="inlineStr">
        <is>
          <t>成功</t>
        </is>
      </c>
      <c r="C8093" t="inlineStr">
        <is>
          <t>読み方：な
⇒なん</t>
        </is>
      </c>
      <c r="D8093" t="inlineStr">
        <is>
          <t>南蛮；南麓；南向き；南軍；南半分</t>
        </is>
      </c>
      <c r="F8093" t="inlineStr">
        <is>
          <t>済南；南縁；南流；南壁；南征</t>
        </is>
      </c>
      <c r="G8093" t="inlineStr">
        <is>
          <t>南側；南北；南西；南東；南方</t>
        </is>
      </c>
      <c r="H8093" t="n">
        <v>29</v>
      </c>
      <c r="I8093" t="inlineStr">
        <is>
          <t>南御門から入ると正式な入口である式台があり、奥に玄関が建っていた。；三崎口駅南の国道134号を潜る形で僅かな距離だが線路は続いている。；そこで駅建設には集落よりも南に少し離れたところにその地を求めることになった。；南棟で死亡した民間人は計630人であり、北棟の半分以下の数字だった。；日本のドーム球場としては2番目に建造されており、最も南に所在する。；駅東西および南には線路と平行に走る道があり、商店街となっている。；線路とホームは駅の東側で南向きにカーブしていて、その辺りには屋根はない。；前線の通過にともない、南よりの風から北または西よりの風に変わる。；日本では走路の決勝線のある側の外周に東-南向きに設置されることが多い。；あるいは南を下、北を上とした時、東の方向が右、西の方向が左となる。；南改札口の外はLoop金山の地下2階となっており、店舗が数軒ある。；駅前は南から北に向かう一方通行の道路で、全体的にマンションが多い。；日本では東北地方南部より南の地域でしか見ることはできない。；ノヴゴロドの南にあるプスコフも、やはり同様の政治体制を取っていた。；北半球において南を向いて星空を観察すると星は東から昇り西へと沈む。；駅名の由来である玉造温泉は当駅から南に約2km離れた場所にある。；線路の南にホームが置かれており、その南側に木造の駅舎がある。；その際には高輪から南の馬込へ伸びる区間も東京都が建設することになった。；直後の第四段階ではドゥオモンのすぐ南にあるをめぐって激しい戦闘が行われた。；敵の創造物はほとんど一掃され、ゴンドールの南にも東にも平和が戻った。；しかし、現在北と南の統一の試みが積極的に行われており統一の実現は近いとされる。；このため山東省は黄河を境に北は海河流域、南は淮河流域となっている。；一般的には関ヶ原の南に位置する霊仙山から鈴鹿峠までの範囲を指す。；現在の上海人の8割以上は、北の江蘇省と南の浙江省からの移民である。；バレッタは三方を海に囲まれており、陸地と繋がっているのは南だけである。；南を相模湾、東・西・北の三方を山に囲まれた地形である。；駅南側には農協や医療センターがあり、そのまま南へ進むと杣川に至る。；この二手の他、紀伊の浅野長晟に南から大坂に向かうよう命じている。；東から西へ、または南から北へ進むにつれて数字は増えていく。</t>
        </is>
      </c>
      <c r="J8093">
        <f>HYPERLINK("https://www.weblio.jp/content/南", "词义详情")</f>
        <v/>
      </c>
      <c r="K8093">
        <f>HYPERLINK("https://yourei.jp/南", "查看例句")</f>
        <v/>
      </c>
    </row>
    <row r="8094">
      <c r="A8094" t="inlineStr">
        <is>
          <t>南側</t>
        </is>
      </c>
      <c r="B8094" t="inlineStr">
        <is>
          <t>成功</t>
        </is>
      </c>
      <c r="C8094" t="inlineStr">
        <is>
          <t>読み方：みなみがわ
南に向いている部分。また、あるものの南に当たる所。「山の—の斜面」</t>
        </is>
      </c>
      <c r="D8094" t="inlineStr">
        <is>
          <t>南側斜面；南側一帯；南側部分；南側境界；南側に設けられ</t>
        </is>
      </c>
      <c r="E8094" t="inlineStr">
        <is>
          <t>南面</t>
        </is>
      </c>
      <c r="F8094" t="inlineStr">
        <is>
          <t>挟んで南側；駅南側；駅舎南側；部南側；構内南側</t>
        </is>
      </c>
      <c r="H8094" t="n">
        <v>29</v>
      </c>
      <c r="I8094" t="inlineStr">
        <is>
          <t>当駅には、広場口南側と広場口北側のそれぞれにバスターミナルがある。；駅は、東西方向に走る五条通と南北方向の千本通の交差点の南側にある。；移転前の駅は現行の駅よりも南側の像がある広場付近に南北に建っていた。；トルコの南東にある今日のディヤルバクルの東側および南側に相当する。；この碑は当初は東海道本線の線路の北側にあったが、後に南側に移転した。；駅の西または南側は河内長野市との境界になるため同市の利用者が多い。；駅舎南側部分の跡地の一部は再開発され、シティタワー蕨が建設された。；このうち北側の室には上層への階段と勝手口、南側の室には押入がある。；ホームの南側に、バスが折り返すための回転場と駐車場が設けられている。；ホーム上の乗り場番号は南側から6番線・7番線の順で付番されている。；南のホームは、北側に柵が設置されており、南側の線路の列車が使用する。；当駅は御坊市街の北端に位置し、市街はこの駅から南側に広がっている。；この他、田島大牧線の南側に駐車場、南・北側に駐輪場を整備している。；湖の北側と南側で水深は大きく異なり、北側は深く、南側は比較的浅い。；埼玉県の県営公園の一つである加須はなさき公園は駅の南側に位置する。；当駅の建設に伴い、駅の南側に都市計画道路牛久保中川線が整備された。；北側は旧駅舎で利用していた物をそのまま使用し、南側は新しい物を使用している。；南側の線路に泊方面の列車が、北側の線路に直江津方面の列車が発着する。；従来の駅舎の駅長室は南側にあったが、新駅舎になってからは北側に移動した。；かつては2番ホーム南側に2線の側線があったが既に撤去されている。；なお、南側の路線に下り列車が、北側の路線に上り列車が停車する。；駅舎は上り線南側益田寄りにあり、ホームへは構内踏切で連絡している。；thumb|ホーム線路は西から東に通り、駅舎は南側に設けられている。；駅舎は線路の南側にあり、ホームとの間は地下道により連絡している。；境内には明神川が流れ、境内の外の南側にはかつての社家町が残っている。；橋の上からはすぐ南側に高野川と賀茂川の合流点を見ることができる。；JR・十鉄貨物受渡線が駅南側にあったが、のちに線路が撤去されている。；丘陵の南側は武蔵野台地の西の外れにあたり平坦な土地が広がっている。；また、3番線の南側にも主に貨物列車が使用する下り待避線が1線ある。</t>
        </is>
      </c>
      <c r="J8094">
        <f>HYPERLINK("https://www.weblio.jp/content/南側", "词义详情")</f>
        <v/>
      </c>
      <c r="K8094">
        <f>HYPERLINK("https://yourei.jp/南側", "查看例句")</f>
        <v/>
      </c>
    </row>
    <row r="8095">
      <c r="A8095" t="inlineStr">
        <is>
          <t>源</t>
        </is>
      </c>
      <c r="B8095" t="inlineStr">
        <is>
          <t>成功</t>
        </is>
      </c>
      <c r="C8095" t="inlineStr">
        <is>
          <t>読み方：げん
［音］ゲン（漢）　［訓］みなもと
［学習漢字］6年
１水流の発する所。「源泉・源流／水源地・抜本塞源(ばっぽんそくげん)」
２物事の出てくるもと。「淵源(えんげん)・起源・語源・光源・根源・財源・資源・字源・震源・電源・病源・本源」
３四姓の一。源氏。「源平藤橘(げんぺいとうきつ)」
［名のり］はじめ・もと・よし</t>
        </is>
      </c>
      <c r="D8095" t="inlineStr">
        <is>
          <t>源氏(18%)；源頼朝(7%)；源三郎(3%)；源太郎；源十郎</t>
        </is>
      </c>
      <c r="E8095" t="inlineStr">
        <is>
          <t>最初；元；始め；もと；由来</t>
        </is>
      </c>
      <c r="F8095" t="inlineStr">
        <is>
          <t>情報源；栄養源；源七；供給源；源作</t>
        </is>
      </c>
      <c r="G8095" t="inlineStr">
        <is>
          <t>源氏；源泉；源三；源氏物語；源次</t>
        </is>
      </c>
      <c r="H8095" t="n">
        <v>29</v>
      </c>
      <c r="I8095" t="inlineStr">
        <is>
          <t>このため、悪の源となる種々の力や悪の源であるような神は否定される。；多くの川では漁業も盛んであり、重要な食料供給源の一つとなってきた。；両手首にエネルギーボールが7個ずつあり、勇気と力の源とされている。；理性は知識を獲得する信頼にたる源であり、啓示と完全に調和している。；ビールのデンプン源に何を使用するかで、その濃さや風味が左右される。；しかし、このことをもってイギリスが発生源であるかどうかは分からない。；対輻射源ミサイルを評価するうえで、次のような要素が評価基準となる。；それが喜びの源となっている場合もあれば、葛藤の源となっている場合もある。；その力こそが悟郎の前世が奪った四聖獣の力の源である獣神具であった。；問題の源を特定したら、次はどのようにその問題を修正するかを決定する作業である。；これにより髑髏部隊は親衛隊特務部隊の重要な人材供給源となっていた。；後に延暦寺から浄土教や禅宗の宗祖を輩出した源がここにあるといえる。；この時代を通じて彼らのアイデンティティの源は、正教の信仰であった。；直接経験に基づく証拠を用いるか、二次的な情報源からの証拠を用いるかを決定すること。；修験道とは柱源の境界を得ることを究極の目的とする宗教である。；またこれらの山脈を源としてリオニ川やクラ川などの主要な河川がある。；また島津氏が藤原氏から源氏になったように「姓」を変えることもあった。；そのための技術と霊感の源は世俗的な物品にも影響を与えずにはおかなかった。；ファン・ゴッホは、後の時代に盛んに研究や新たなる創作の源となっている。；最も重要な感染源は、患者の糞便や吐瀉物に汚染された水や食物である。；中国国内の砂漠化・乾燥化地域のほとんどが黄砂の発生源と考えられている。；観光部門がGDPの約3分の1を占めており、最大の外貨獲得源でもある。；安価に安定な電子源が得やすいため、ブラウン管などに広く用いられている。；他のノイズ源として、外部の電気信号や設計が不十分な部品などがある。；同時に、養殖用水源にも影響を得る為、養殖業者への影響も懸念される。；同様に高句麗も夫余との同源神話を持っており、多数の記録が残されている。；資金調達源と消費者はシンクタンクの活動が定義されることを意図している。；韓国においては英語、北朝鮮においてはロシア語が主な輸入源となった。；代替肉タンパク質源としても利用され食肉に似た食味の製品も作られる。</t>
        </is>
      </c>
      <c r="J8095">
        <f>HYPERLINK("https://www.weblio.jp/content/源", "词义详情")</f>
        <v/>
      </c>
      <c r="K8095">
        <f>HYPERLINK("https://yourei.jp/源", "查看例句")</f>
        <v/>
      </c>
    </row>
    <row r="8096">
      <c r="A8096" t="inlineStr">
        <is>
          <t>見習う</t>
        </is>
      </c>
      <c r="B8096" t="inlineStr">
        <is>
          <t>成功</t>
        </is>
      </c>
      <c r="C8096" t="inlineStr">
        <is>
          <t>読み方：みならう
［動ワ五（ハ四）］人のすることを見て覚える。見て学ぶ。また、見てまねをする。「先輩を—・う」「よいところだけ—・いなさい」</t>
        </is>
      </c>
      <c r="D8096" t="inlineStr">
        <is>
          <t>見習うべき(32%)；見習うべし(3%)</t>
        </is>
      </c>
      <c r="E8096" t="inlineStr">
        <is>
          <t>真似る；倣う</t>
        </is>
      </c>
      <c r="H8096" t="n">
        <v>29</v>
      </c>
      <c r="I8096" t="inlineStr">
        <is>
          <t>指導者・責任者が立派であれば、部下も見習って自然と強くなっていく。；信長に学ぶならばその精神、その思想の原則をなすものを見習うべきである。；見習って間違いのない先達が、われわれの前方を常に走っていたのである。；床に座ったまま、うまく勝ち残った人間を見習っているだけで良かった。；男子の子どもは15歳になると、江戸の商人の下に送って商売を見習わせた。；それであの子は健康な上にスマートなんだから、逆に見習うべきなんだって。；近頃彼は何かにつけて権右衛門の処世術を見習わねばならぬと思っている。；こういう部分は私も見習わなければならないと思ったりした。；僕も鈴音さんを見習って、現実に強く立ち向かって行こうと思っています。；しばしば「日本はドイツを見習うべき」という趣旨の発言を行っていた。；オットーの服の着方、歩き方、ある言葉の言い方、などを彼は見習った。；また東南アジア諸国からも「日本の成功を見習うべし」との声が上がった。；それで少しは世の中のことを見習おうかと、ここに来たのです。；それを見習った敬節も初期は後世派や折衷派などの他派を鋭く批判した。；結局私は、ある人を見習って、自分の欲求に素直になろうと決めたの。；先生たちはしばしば生徒にテレーズ・ラロックを見習えといったものである。；これは昨夜、汽車の中で鍛冶屋の大将のやったのを見習ったのだった。；そこでぼくは、東部へ行って証券会社の仕事を見習おうと決心した。；彼等は、先輩の徹底ぶりを見習って、何ごともない顔つきで坐っていた。；そんな雛見沢に住んでいるからこそ、それを見習わずにはいられないんです!!；私は、お聞きのみなさんに、彼らを見習っていただきたいと訴えます。；自分の能力を忘れてやがるどっかのマヌケに見習わしたいぐらいだ。；見習わせるために、部下を連れてくればよかったとさえ思わされる。；だから黒田さんのような戦士が現れても私たちは他の戦士たちに見習えとは勧めませんでした。；お手本を、好むと好まざるとにかかわらず、見習っているのにすぎない。；人の国へ来たら、その国の人のやることを見習うもんです。；子どもは、子ども同士見習って学んでいくものが多くあります。；ジントたちに見習って、そこらをうろついている馬と話をつけたのだろう。；一二度、吉之助のやる型を見習って、すぐ自分で床に膝をついてやって見たりした。</t>
        </is>
      </c>
      <c r="J8096">
        <f>HYPERLINK("https://www.weblio.jp/content/見習う", "词义详情")</f>
        <v/>
      </c>
      <c r="K8096">
        <f>HYPERLINK("https://yourei.jp/見習う", "查看例句")</f>
        <v/>
      </c>
    </row>
    <row r="8097">
      <c r="A8097" t="inlineStr">
        <is>
          <t>身なり</t>
        </is>
      </c>
      <c r="B8097" t="inlineStr">
        <is>
          <t>成功</t>
        </is>
      </c>
      <c r="C8097" t="inlineStr">
        <is>
          <t>読み方：みなり
１衣服をつけた姿。また、その服装。「きちんとした—」「—を構わない」
２からだのかっこう。からだつき。
「—はだつきの細やかに美しげなるに」〈源・胡蝶〉</t>
        </is>
      </c>
      <c r="D8097" t="inlineStr">
        <is>
          <t>身なりをきちんと；身なりを整えさせ</t>
        </is>
      </c>
      <c r="E8097" t="inlineStr">
        <is>
          <t>顔；姿；見え；体；様子</t>
        </is>
      </c>
      <c r="F8097" t="inlineStr">
        <is>
          <t>みすぼらしい身なり；貧しい身なり；質素な身なり；粗末な身なり；いい身なり</t>
        </is>
      </c>
      <c r="H8097" t="n">
        <v>29</v>
      </c>
      <c r="I8097" t="inlineStr">
        <is>
          <t>だっていまのあの娘には身なりをきれいにすることが大切ですからな。；きちんとした身なりの若者で、本を前にひろげてテーブルにかけていた。；まったく文句のつけようもないくらい規定どおりの身なりをしている。；それから身なりを変えて、まえとは違ったおばあさんの姿になりました。；どの家にも、午寅と同じ程度かややましな身なりをした子供たちがいた。；ホテルに着くと中のバーに入り、そこで立派な身なりの男2人と話をした。；王さまも、身分を知られないようにするため、おなじ身なりをしました。；女のほうは四十前後の痩せて小さい、身なりのきちんとしたひとでした。；そんなある日、やつれてみすぼらしい身なりをした妹が女の家を訪れた。；身なりは似たような物だが、上っ張りがかれらの灰色と違って黄色だった。；声を発した者は、身なりもよく、工場には似つかわしくない格好でした。；朝のうちから、こんな身なりをしている彼女を、彼は見たことがなかった。；この男は普通の人なら噴き出したくなるような格好の、身なりをしていた。；その次に、神官の身なりをした三人の男性を弟たちといって紹介した。；けさ、身なりのいい紳士が同公園の通りで倒れているのが発見された。；それでようやく、少しは自分の身なりなどを気にするようになったのである。；が、身なりはちゃんとしていますから、どこか相当な家の奥さんでしょう。；私は自分の容貌も身なりも、あまり女のひとに見せたくないのである。；あれで身なりだけはいつもさっぱりした恰好をしてる男だったんですがね。；彼女は百姓着物を脱いで、昔通りさっぱりした可憐な身なりをしていた。；さて金曜、青年は娘を訪れる前に床屋を呼んで身なりを整える事にした。；そういういやな刺戟のない、全体がまとまった感じの身なりが好きです。；桃川の身なりは近代的で洗練され、加えて相当の資産家のようであった。；私の身なりは、さういふことを申しでる男の例と違つてゐたからに相違ない。；美しい身なりというものを生活的に感じとるようになって来ていると思う。；彼女は、わたしが裕福な暮らしをしているのではないと身なりから判断した。；奇妙なことに、この滑稽な身なりを見てもわたしは笑う気にはなれなかった。；そんな時、私も、きちんとした身なりをさせられ、御挨拶せねばならない。；身なりはきちんとしているが、体つきや大きな目は門野澄夫に似ていた。</t>
        </is>
      </c>
      <c r="J8097">
        <f>HYPERLINK("https://www.weblio.jp/content/身なり", "词义详情")</f>
        <v/>
      </c>
      <c r="K8097">
        <f>HYPERLINK("https://yourei.jp/身なり", "查看例句")</f>
        <v/>
      </c>
    </row>
    <row r="8098">
      <c r="A8098" t="inlineStr">
        <is>
          <t>見慣れる</t>
        </is>
      </c>
      <c r="B8098" t="inlineStr">
        <is>
          <t>成功</t>
        </is>
      </c>
      <c r="C8098" t="inlineStr">
        <is>
          <t>読み方：みなれる
［動ラ下一］［文］みな・る［ラ下二］
１何度も見てよく知っている。「ラッシュアワーの—・れた光景」「—・れない顔」
２なれ親しむ。親しく交わる。
「まだよくも—・れ給はぬに、幼き人をとどめ奉り給はむも」〈源・玉鬘〉</t>
        </is>
      </c>
      <c r="H8098" t="n">
        <v>29</v>
      </c>
      <c r="I8098" t="inlineStr">
        <is>
          <t>同時にしかし彼の心の目は、例のたくさんの見慣れぬ人物の跡を追った。；日常見慣れた現象をただ時間の尺度を変えて見せられただけの事である。；しかし中には誰もおらず、見慣れない足跡が残されていただけであった。；なぜなら、自分が欧米にいた頃見慣れた緑色の瞳がそこにあったからだ。；拾い上げて中を開いた葉は、見慣れぬ奇妙な文字が並んでいるのを見る。；彼らの知っているあらゆる星、見慣れたあらゆる星座は姿を消していた。；二、三日たつと、この港に見慣れない一そうの黒い船が入ってきました。；日本の海は見慣れたカリフォルニアの海よりおだやかな表情をしていた。；さらに大型テレビとソファとの間に、見慣れないテーブルが増えている。；それからすぐに狭い道に入り、そして見慣れた港が目の前に現われた。；文章が映るように鏡をおくと、鏡の中に見慣れた文字が浮かびあがった。；見慣れた文字のようでいてたしかに違う、こちらのほうが勢いがある。；その道はどういうわけかわたくしには見慣れた馴染みの道なのである。；一つには余り見慣れているが故に、特に見なおさないのだとも思えます。；彼はの影響で見慣れた動物が判別できない状態になっているのだと強調した。；見慣れた町は一面の廃墟に変わっていて、映画で見る戦場跡のようだった。；確かにそこには他のメイドさんや執事たちに紛れて見慣れた顔があった。；母親を探して里の中に駆けこんだが、見慣れない人々に出会っただけだった。；日常の生活の中で、3次元である空間と 1次元の時間は見慣れている。；一羽の見慣れない小鳥が妙な節で木に止まって歌をうたっていました。；それは、ダンブルドアの見慣れた細い流れるような筆跡で書かれていた。；いなみの膝のところに見慣れない石が置いてあるのに不破は気づいた。；外の世界へ出ようと道を進んでいるうちに見慣れぬトンネルに出くわした。；そこには、見慣れない二羽の鳥たちが、自分のうわさをしていたのでした。；見慣れているはずでも、さすがに鼻先に顔があると勝手が違うらしい。；そこは多くの点でびっくりするほど見慣れた雰囲気を漂わせていた。；そんな中、見慣れないセーラー服の女の子がぽつんと一人で立っていた。；暗号のような、見慣れぬ型の器械類は、何の音も立てず、動きもしない。；廃屋など見慣れたものなのに、なぜかひどく心に引っかかってならない。</t>
        </is>
      </c>
      <c r="J8098">
        <f>HYPERLINK("https://www.weblio.jp/content/見慣れる", "词义详情")</f>
        <v/>
      </c>
      <c r="K8098">
        <f>HYPERLINK("https://yourei.jp/見慣れる", "查看例句")</f>
        <v/>
      </c>
    </row>
    <row r="8099">
      <c r="A8099" t="inlineStr">
        <is>
          <t>醜い</t>
        </is>
      </c>
      <c r="B8099" t="inlineStr">
        <is>
          <t>成功</t>
        </is>
      </c>
      <c r="C8099" t="inlineStr">
        <is>
          <t>読み方：みにくい
［形］［文］みにく・し［ク］
１顔や姿かたちがよくない。「—・い姿」
２見て不快な感じがする。嫌な気持ちがする。見苦しい。「—・い争い」
[派生]みにくげ［形動］みにくさ［名］</t>
        </is>
      </c>
      <c r="D8099" t="inlineStr">
        <is>
          <t>醜い顔(7%)；醜いもの(6%)；醜い姿(3%)；醜い女(3%)；醜い男</t>
        </is>
      </c>
      <c r="E8099" t="inlineStr">
        <is>
          <t>厭；まずい；汚い；俗；卑劣</t>
        </is>
      </c>
      <c r="F8099" t="inlineStr">
        <is>
          <t>決して醜い；こんな醜い；醜い若者；醜い傷；醜い容姿</t>
        </is>
      </c>
      <c r="H8099" t="n">
        <v>29</v>
      </c>
      <c r="I8099" t="inlineStr">
        <is>
          <t>その醜い姿を見た父王は、こんな者は自分の娘ではないといってしまう。；嫌いと感じる人の数だけ、自分に醜さがあると思って間違いありません。；又その醜化であるがために人間と人生とがよく出てゐないかも知れない。；自分のどこかに醜いところが少しでもあれば我慢出来ないというのです。；いったいこの島にはえている草や木はどうしてこんなに醜いのでしょう。；それでも、元は老人の話に驚いて、すぐにその醜さなど忘れてしまった。；「きっと悪魔たちだって世間で言われるほどには醜くないんだわ」とね。；そのやうな己れの醜くさを感じることは、すこしも立派なことではない。；それは何歳位だったか覚えませんが、自分の顔の醜いことを知った頃です。；これまで散々利用して来たこちらの醜い心を見すかすような笑顔なのだ。；宮殿の上には一人の醜い形をした王がいて、几に憑って罪を決めていた。；これまで醜く見えていたすべてのものが、今はことごとく美しく見えた。；私などの毎日している事はそれと比べてなんという醜い事でしょう。；実際これらの絣類には醜いものが一つとしてないといい得るでしょう。；醜と目された部分を四年の間に何とかせよという意味がふくまれていた。；永えな美がなくば、過去のものも近代のものも醜たることに変りはない。；私が手を触れたのは、彼女の手へではなく、彼女の醜い耳へだったようだ。；もし犬の眼が涙を流すなら犬が笑うと同様に醜怪きわまるものであろう。；その中で希望に縋る醜さと戦いながら、彼を守ってほしいと願ったのだ。；自己をいつわる自分の姿の醜さにおびえて、手も足も出なくなっている!；私の心にはどうしてこのように卑しい醜いものが住んでいるのだろう?；あのいまわしい醜関係をやめさせる方法が、そもそも他にあるだろうか?；美人だというからには、醜くない娘だろうが、どんな顔をしているのか。；あれほどの苦心と喜びとで定めた住居は、もう狭く醜いものに思われた。；自らの過去に蓋をする為、封印すべき過去と同じ手段を重ねるその醜さ。；多分、友美と自分が星虫を醜く感じているからだろうと寝太郎は思った。；木野塚氏の観察でも、心の醜さは、不思議に顔に出てしまうものなのだ。；人間の生活様式のなかでしか生きることを許されていない動物は醜い。；けれども目の前へ来たのを見ると、小皺のある上に醜い顔をしていた。</t>
        </is>
      </c>
      <c r="J8099">
        <f>HYPERLINK("https://www.weblio.jp/content/醜い", "词义详情")</f>
        <v/>
      </c>
      <c r="K8099">
        <f>HYPERLINK("https://yourei.jp/醜い", "查看例句")</f>
        <v/>
      </c>
    </row>
    <row r="8100">
      <c r="A8100" t="inlineStr">
        <is>
          <t>見抜く</t>
        </is>
      </c>
      <c r="B8100" t="inlineStr">
        <is>
          <t>成功</t>
        </is>
      </c>
      <c r="C8100" t="inlineStr">
        <is>
          <t>読み方：みぬく
［動カ五（四）］奥底まで見とおす。表に現れない真実・本質を知る。「本心を—・く」</t>
        </is>
      </c>
      <c r="D8100" t="inlineStr">
        <is>
          <t>見抜くだろ；見抜く洞察力</t>
        </is>
      </c>
      <c r="E8100" t="inlineStr">
        <is>
          <t>区別；認識；気づく；認知；分る</t>
        </is>
      </c>
      <c r="F8100" t="inlineStr">
        <is>
          <t>見抜くかもしれ</t>
        </is>
      </c>
      <c r="H8100" t="n">
        <v>29</v>
      </c>
      <c r="I8100" t="inlineStr">
        <is>
          <t>わしはもう今では自分の病気を間違いなしに見抜いておりますのじゃ。；それをマリオンが見抜きはしないかと、わたしは不安になったのである。；若林は男たちがみんな拳銃をひそかに携帯していることを見抜いていた。；そこんとこを見抜けない協会幹部もどうかと思うが、まあそれはいいや。；そういうことを見抜く目はわれわれ男どもにはあるが、女にはないのさ。；音で釘調整者の技量まで見抜いてしまうような不確実な習慣も存在する。；その目の中にサディスティックな光が混ざっていることも見抜いていた。；夏野は相手がどういうところに興味を持つかを瞬時に見抜く才能がある。；私はこの双方の点においてよく彼の心を見抜いていたつもりなのです。；あたしが寝たふりをしているのを、ちゃんと見抜いているようだった。；あたしのもう一つの心が、あなたの正体をちゃんと見抜いていたからです。；私もこういう立場の人間ですのでそれなりに人を見抜く目を持っています。；まるでいつまでも幸福でいることはできないと見抜いたかのように。；兄の言葉に少しでも偽りがあれば、深雪にはそれを見抜く自信があった。；彼女が、輝樹の嘘を見抜けなかったのではないことは、すぐにわかった。；妻が立ちどころに真実を見抜いたことを、あくまで認めない覚悟だった。；わたしたちは、君の瞞着には慣れているし、そいつは見抜いているんだ。；監督は人の心を見透かす方なので、自身の葛藤を見抜いたかもしれない。；本来ならアンジェリナはいままでにもう見抜いてしまっているはずなのだ。；朝比奈にすらバレるような嘘、おれが見抜けないとでも思ってんのかよ。；その鋭い目を人々の顔から顔へ移して、何かを見抜こうとしていた。；彼の心は、もうすっかり決定してしまっていることを、私は見抜いていた。；彼女は情熱の中の幾千もの宝物を見抜くことを私に教えてくれました。；と、世の母親たちは見抜き、娘たちにこの真理を説いて語ってきたのだ。；もしかしたら警察の捜査だということすら見抜いているのかも知れない。；彼だけがジムの言葉の才能を見抜き、その後のことはご存じのとおりだ。；おれの心を見抜いているのなら、すこしはおれに同情できないものだろうか?；大阪時代の知り合いに見抜かれたときの取り乱しようは、何だったのか。；各ボスは独特の弱点があり、それを見抜くことが攻略のポイントである。</t>
        </is>
      </c>
      <c r="J8100">
        <f>HYPERLINK("https://www.weblio.jp/content/見抜く", "词义详情")</f>
        <v/>
      </c>
      <c r="K8100">
        <f>HYPERLINK("https://yourei.jp/見抜く", "查看例句")</f>
        <v/>
      </c>
    </row>
    <row r="8101">
      <c r="A8101" t="inlineStr">
        <is>
          <t>峰</t>
        </is>
      </c>
      <c r="B8101" t="inlineStr">
        <is>
          <t>成功</t>
        </is>
      </c>
      <c r="C8101" t="inlineStr">
        <is>
          <t>読み方：お
１山の高い所。みね。尾根。
「—の上に降り置ける雪し風のむたここに散るらし春にはあれども」〈万・一八三八〉
２おか。
「我が逃げのぼりし在(あり)—の榛(はり)の木の枝」〈記・下・歌謡〉</t>
        </is>
      </c>
      <c r="D8101" t="inlineStr">
        <is>
          <t>峰丹波；峰頭；峰探偵；峰学園；峰道</t>
        </is>
      </c>
      <c r="E8101" t="inlineStr">
        <is>
          <t>山頂；冠；頂上；頂点；頂</t>
        </is>
      </c>
      <c r="F8101" t="inlineStr">
        <is>
          <t>言峰；氷峰；回峰；ヶ峰；三峰</t>
        </is>
      </c>
      <c r="G8101" t="inlineStr">
        <is>
          <t>峰岸；峰子；峰山；峰吉；峰山町</t>
        </is>
      </c>
      <c r="H8101" t="n">
        <v>29</v>
      </c>
      <c r="I8101" t="inlineStr">
        <is>
          <t>この切れ刃は中心で交わらず、それぞれの逃げ面が先端で峰を形成する。；噴火口の縁を形成する峰のうち顕著に高い頂にそれぞれ命名されている。；峰治が生きている間は彼が白虎隊士であったことなどは知られていなかった。；阿蘇の峰や谷の変化に富む地勢を落合直文によく説明してやったとある。；赤城山は一つの大きな火山体の名称であり、同名の峰は存在していない。；各峰を縦走する登山道や室の内火口に下りる登山道等が整備されている。；忍者頭高峰家の屋敷があった場所が、現在の球団クラブハウスに当たる。；血はつながっていないとはいえ、たった一人の孫娘の姿に目を細める峰靖。；峰の一つにはヒョウの浅浮彫りが特徴のキリスト教の寺院の遺跡がある。；台地とその表面から突き出す高峰や山脈こそがこの大陸の特徴である。；その場所は現在の高野町上筒香の東の峰に際して遷ったとする説がある。；さらに母狩山から摩耶山にいたる広大な山域は、逆峰修験の場となった。；一番有力なのは、山の峰が3つに分かれていることからその名前が付いたといわれる。；その後、大勘定のために、お峰が2円を盗んだことが露見しそうになる。；父二峰からさらに東進し美川を経て45番岩屋寺を先に回る場合もある。；葉がイチイに似ていること、高い峰に生えることから、由来となっている。；かつては久峰随道と呼ばれており戦時中の主要道路だったとのこと。；しかしラーセンがこの峰を観測した地点は遠く、詳細な地図は作れなかった。；そのなかで最も気圧の高いところを結んだ線を峰線という。；肩峰は肩の最も上の部分となる大きくやや三角型あるいは楕円形の突起である。；シラ峰では190万年前に北側に大規模な崩壊を起したようである。；敵の剣を峰の凹凸にかませて折ったり、叩き落としたりするのに使う。；番組は毎回、峰とその日のゲストによる本音トークを中心に展開していた。；中間より左右交互に峰が分岐しており、葉のような姿をしている。；立花山は7つほどの峰からなる山群であり、そのうち3つの峰が目立つ。；巫山の十二峰をはじめとする秀麗な景観が多くの文人に霊感を与えてきた。；中央部には溶岩ドームや溶岩台地が多数あり、いくつもの峰を形成している。；しかし、その後も混乱は続き、このため同じ峰でも複数の呼称が存在している状態が続いた。；山名の由来は、この山が五つの主要な峰によって構成されていることによる。</t>
        </is>
      </c>
      <c r="J8101">
        <f>HYPERLINK("https://www.weblio.jp/content/峰", "词义详情")</f>
        <v/>
      </c>
      <c r="K8101">
        <f>HYPERLINK("https://yourei.jp/峰", "查看例句")</f>
        <v/>
      </c>
    </row>
    <row r="8102">
      <c r="A8102" t="inlineStr">
        <is>
          <t>身の上</t>
        </is>
      </c>
      <c r="B8102" t="inlineStr">
        <is>
          <t>成功</t>
        </is>
      </c>
      <c r="C8102" t="inlineStr">
        <is>
          <t>読み方：みのうえ
１その人にかかわること。また、その人の境遇。「不幸な—」「—を案じる」
２人間の運命。「—を占う」</t>
        </is>
      </c>
      <c r="D8102" t="inlineStr">
        <is>
          <t>身の上話(16%)；身の上相談；身の上ばなし；身の上判断；身の上語り</t>
        </is>
      </c>
      <c r="E8102" t="inlineStr">
        <is>
          <t>立場；定め；運命；身分；運</t>
        </is>
      </c>
      <c r="F8102" t="inlineStr">
        <is>
          <t>不幸な身の上；悲しい身の上；哀れな身の上；我が身の上；幸福な身の上</t>
        </is>
      </c>
      <c r="H8102" t="n">
        <v>29</v>
      </c>
      <c r="I8102" t="inlineStr">
        <is>
          <t>したがって身の上話が人々に信用されない理由もそこにあったのである。；何か不思議な運命が、自分の身のうえにあるように、お島は考えていた。；何か非常に変わったことがあなたの身の上に起こっているようですな。；二人は明かに一人の不幸な友の身の上を案じ合っているのを同情し合った。；私の身の上を知らぬ人は、私に会うと第一に私の頭に不審の目を向ける。；弟は、苦しい中からも自分のことを忘れて、兄の身の上を心配しました。；つい口を開けて物を言えば、己の身の上が分からないことはあるまい。；夫人の身のうえはごく大ざっぱに説明すると、つぎのようなものである。；万年屋の前に荷物の番をさせて置いた悴の身の上が気遣われて来ました。；そこで宿の主人は、次のような布団の身の上話をきくことが出来ました。；木之助は御隠居から、彼女の身の上を少しばかりきかされた事があった。；彼女は今や何の遠慮も気兼もなく彼女の恋を楽しみ得る身の上であった。；そして、できたら彼と同じ調子で僕の身の上話を聞かせてやりたいと思った。；少女は、おばあさんなので安心して、つい自分の身の上を語ったのです。；では何か危険なことでも、あの人の身の上に起こったのであろうか?；だんだん心やすくなるにつれて、お民の身の上も大分明かになって来た。；背中の曲った親爺も娘の身のうえを憐んだのか、よく仕事を与えていた。；何故父の問うたことが僕の身の上のことと自分で信ずるに至ったでしょう。；お金ばかりでなく、身の上にも、よくよく気をつけなければなりませんぞ。；あるいはこの詩の意味をわれらの身の上に引きつけて解釈しても愉快だ。；あなたの興味をそそった物語は、勿論私達の身の上話ではありません。；そうだ、私は自分の身の上を自分で彼女に知らせなければならない。；彼女はわが身に引きくらべて、奉公にやられたお光の身の上に同情した。；この短からぬ時間は私の身の上にも私相当の変化をひき起こしていた。；なぜなら、自分の知りたいと思っている友の身の上のような気がしたからです。；「これも何かの御縁ですから」と前置きして自分の身の上話をはじめた。；男は妻が女性の身の上をさまざまに推測するのに、うわの空の返事をする。；家族を捨てた父親に自分の身の上を伝えたいという願いからだった。；彼は今になって自分が殺したダンカン王の身のうえをうらやみ始めました。</t>
        </is>
      </c>
      <c r="J8102">
        <f>HYPERLINK("https://www.weblio.jp/content/身の上", "词义详情")</f>
        <v/>
      </c>
      <c r="K8102">
        <f>HYPERLINK("https://yourei.jp/身の上", "查看例句")</f>
        <v/>
      </c>
    </row>
    <row r="8103">
      <c r="A8103" t="inlineStr">
        <is>
          <t>見逃す</t>
        </is>
      </c>
      <c r="B8103" t="inlineStr">
        <is>
          <t>成功</t>
        </is>
      </c>
      <c r="C8103" t="inlineStr">
        <is>
          <t>読み方：みのがす
［動サ五（四）］
１見ていながら気づかないでそのままにする。見落とす。「わずかな失敗も—・さない」
２見ていながら、とがめない。大目に見る。「スピード違反を—・す」
３見ていながら、また知りながら対処することなくすます。「好球を—・す」「展覧会を—・す」</t>
        </is>
      </c>
      <c r="D8103" t="inlineStr">
        <is>
          <t>見逃すまい(11%)；見逃す可能性；見逃すべから；見逃すべき</t>
        </is>
      </c>
      <c r="E8103" t="inlineStr">
        <is>
          <t>落とす；助ける；無視する；落す；放っておく</t>
        </is>
      </c>
      <c r="F8103" t="inlineStr">
        <is>
          <t>みすみす見逃す；決して見逃す</t>
        </is>
      </c>
      <c r="H8103" t="n">
        <v>29</v>
      </c>
      <c r="I8103" t="inlineStr">
        <is>
          <t>ただその量があまりにも少ないために、従来は見逃されていたのである。；しかたなく眼につくものは見逃さないように注意しながら歩いて行った。；車の窓に見かけないアクセサリーがついているのを私は見逃さなかった。；死体を抱えているような不審な人物を、三人もいて見逃すとは思えない。；ワープ・スピードを出していたとしたら、見逃すことも充分にありうる。；殺人の犯行現場になった部屋を特に指定した客を見逃すわけにはいかない。；あわてて検査をこなしている私が見逃すことを期待しての行為である。；彼の顔に、ほんの少し、安堵の色が浮かんだのを彼女は見逃さなかった。；まして、彼は日本におるといわれた以上、黙って見逃すわけにはいかん。；そして、この男はそんな隙を見逃すような戦士ではなかったのである。；自分のまわりの人間たちの心の動きを彼はなにひとつ見逃さなかったのである。；しかし水上刑事は、主人の手がかすかに顫えているのを見逃さなかった。；しかし第三のものがここに多くの問題を提供することを見逃すことができない。；両者は互いに動かず、相手のどんな小さな動きも見逃すまいと睨み合う。；そしてこれまで見逃されて来た多くの現象が明らかになってきた。；しかし次の三つの明かな事実を見逃すことはできなかったのです。；メールに書いてあることが本当ならば、弓子は見逃すわけにはいかない。；だが吉住はそのとき、妻が一瞬見せた蔑むような視線を見逃さなかった。；この時王はその仕事に励むならば彼の不正の数々を見逃すと約束した。；橙子がそれを見逃すはずもなく、彼女がそれを黙って見ているはずもない。；メイフィールドのまぶしいシャツに血がついているのを見逃さなかった。；私は彼女の白い面高の美しい顔が当惑しているのを見逃さなかった。；その視線が、微妙に人を避けているのを見逃すような羅旋たちではない。；向こうの男子があわててカメラを構えるのを、江利子は見逃さなかった。；だが隠しきれない部位、唇が小さく動いたのを俺の視界は見逃さなかった。；自分一人では解決できない問題だから見逃そうとしていた何か。；むしろ女がその手を彼の身辺へ延した機会を見逃さなかつたばかりである。；彼は院長の表情の変化を見逃すまいと彼女をひたと見すえながら言った。；シナンの顔に点るどのような表情も見逃すまいとしている眼であった。</t>
        </is>
      </c>
      <c r="J8103">
        <f>HYPERLINK("https://www.weblio.jp/content/見逃す", "词义详情")</f>
        <v/>
      </c>
      <c r="K8103">
        <f>HYPERLINK("https://yourei.jp/見逃す", "查看例句")</f>
        <v/>
      </c>
    </row>
    <row r="8104">
      <c r="A8104" t="inlineStr">
        <is>
          <t>身の回り</t>
        </is>
      </c>
      <c r="B8104" t="inlineStr">
        <is>
          <t>成功</t>
        </is>
      </c>
      <c r="C8104" t="inlineStr">
        <is>
          <t>読み方：みのまわり
衣類・装身具・文房具など、日常生活に必要なこまごまとした物。また、自分の周囲。身辺。そこから生じる雑用。「—の世話をする」「—を整える」</t>
        </is>
      </c>
      <c r="D8104" t="inlineStr">
        <is>
          <t>身の回りのあらゆる</t>
        </is>
      </c>
      <c r="E8104" t="inlineStr">
        <is>
          <t>身近；手近；すぐそこ；自分の足元；すぐそば</t>
        </is>
      </c>
      <c r="H8104" t="n">
        <v>29</v>
      </c>
      <c r="I8104" t="inlineStr">
        <is>
          <t>だが、やがて身の回りで異常な事態が起きつつあることに気づいたのだ。；おれは自分の身のまわりで宗教を信じている人間を見たのは初めてだった。；はたまた身のまわりの世話をしてくれる人がいないからするものなのか?；奥さんの話だと、夜、身の回りのものだけ持って家を出たらしいんです。；いつでも引揚列車に乗れるように身の回りの品をもって作業をしていた。；身の回りにある建造物やマークなどの正しい画像を、4つの中から選ぶ。；少女の身のまわりの世話をするとなると、男性というわけにはいかない。；身の回りのことも一人でできるし、計算や読み書きもしっかりしている。；衣類や身の回りの品の収納あるいは旅行用の荷物入れなどに用いられた。；刑事はうなずいて、身のまわりのものを手早く用意するといいといった。；そのため無数に技法あるいは画材が身の回りに無数にあると言って良い。；つまり身の回りから姿が消えていれば、その理由は一つしかないのだ。；ただ、食事や、身の回りの世話はしてくれるのだが、それだけのことだ。；でもこれからは、身のまわりのことを自分でする覚悟はできているかしら?；その乗客が自分の身の回りのこともできないとすればなおさらだった。；遊さんは身のまわりのことをだれかがやってくれなければ自分でやる。；だがそんな父親の身の回りの世話をよくする気立てのいい娘でもある。；身のまわりの人に頼んで一筆ずつ書いて貰ったものがその蓋の左右にあった。；毎日の生活の中に、日々の暮らしの中に、ごく身の回りにあるものなのよ。；小林さりが身の回りで気になったものを写真で撮影して発表するコーナー。；ただ、できるだけ身のまわりの整理をつけて出ていこうとしたのだった。；これを理解している人は、身の回りに現れても気にしない事が多い。；そうなると、やっぱり私の身の回りの世話をする奴がいなくなって困るのよ。；二声宮は、主とその身の回りを世話する小官が十人ほどの小さな宮である。；町方の耳にもはいって、だんだんに自分の身のまわりが危くなって来た。；わたしは身の回りに起こっていることはほとんど目にはいらなかった。；ある者は自分を指名してくれたら数年は身の回りの世話をすると申し出た。；そのために、彼女の身の回りにいる人間はみんな殺しておかないといけない。；それからもぞもぞと動くと、ロレンスの胸の上に身の回りの品が現れた。</t>
        </is>
      </c>
      <c r="J8104">
        <f>HYPERLINK("https://www.weblio.jp/content/身の回り", "词义详情")</f>
        <v/>
      </c>
      <c r="K8104">
        <f>HYPERLINK("https://yourei.jp/身の回り", "查看例句")</f>
        <v/>
      </c>
    </row>
    <row r="8105">
      <c r="A8105" t="inlineStr">
        <is>
          <t>実る</t>
        </is>
      </c>
      <c r="B8105" t="inlineStr">
        <is>
          <t>成功</t>
        </is>
      </c>
      <c r="C8105" t="inlineStr">
        <is>
          <t>読み方：みのる
［動ラ五（四）］《「実(み)乗(の)る」の意》
１草木や穀物などが実を結ぶ。また、実が熟する。「ミカンが—・る」
２努力が報いられて、成果があがる。「長年の苦労が—・る」</t>
        </is>
      </c>
      <c r="D8105" t="inlineStr">
        <is>
          <t>なる；発生；発展；成長；発達</t>
        </is>
      </c>
      <c r="H8105" t="n">
        <v>29</v>
      </c>
      <c r="I8105" t="inlineStr">
        <is>
          <t>けどさ、それだけ手を入れて自分好みに実らなかったらどうするんだよ。；一方で、数回の挑戦も実らず韓国でプロ入りすることはできなかった。；だがロキシーはその一方で、美しい貴族の青年に実らぬ恋をしていたのだ。；あそこはいろんな畑があっていいですよ、一年中何かが実ってます。；彼女が身をひそめた三本目の木には、熟れた果実がたわわに実っていた。；努力が実らないと感じるのは、自分のしていることが俗なる努力だからです。；しかし、それは彼にも相手のほうにも事情があって実らなかった。；メイシェンだって、別に実らなくてもいいなんて思っているわけじゃない。；これらの地域では、人の手を入れなくとも過剰にブドウが実ることはない。；その大地が、その土が、今年は、一切の食物を実らせなかったのである。；実はのどかの恋は実らない恋であり、綾子はそのことに気づいていた。；近い距離にあってこそ実ったタイプの恋愛だったのだろう。；そして、すべての荷台に青々とした麦が実った直後、再び声が上がった。；夏には肝試しもできるし、それをきっかけに恋が実ることもあろう。；たわわに実って頭を垂れている稲の穂に、黒い虫がいっぱいついている。；どうだ、こんな果実が狂ったように実っている場所へ行きたくないか?；そしてそれが実ったとき、私たちや他の人々も生きていけるようになるだろう。；すぐに消えてしまうはずのその一致が長く続いたとき、それは地に実って町になるんだわ。；闇の中で鶴吉が抱いているのは、ひとりの豊かに実った女だった。；コンクリートの隙間からスイカが実る様子がしばしば目撃されている。；品種名は、稲穂の実る食欲の秋の澄み渡る空をイメージして命名された。；それで大正の末年に手をつけたところが、数年たってその努力が実ってきた。；巨人のように背が高く、髪は実った麦の色、日に焼けた肌は深い蜂蜜色だ。；神よ、わたしを、 あなたの平和を実らせるために、用いてください。；結局この恋は、原・源氏物語の最終巻である藤裏葉で実ることになる。；この村では、見事に実った麦穂が風に揺られることを狼が走るという。；実の実っている梅の樹の下で、微かな風を感じたような、懶さである。；地方各地でも穀物が実らず、王は各地へ安撫の使者を派遣して慰問に努めた。；道の右手は稲穂の実った田圃、左手側には古い市営住宅の一画がある。</t>
        </is>
      </c>
      <c r="J8105">
        <f>HYPERLINK("https://www.weblio.jp/content/実る", "词义详情")</f>
        <v/>
      </c>
      <c r="K8105">
        <f>HYPERLINK("https://yourei.jp/実る", "查看例句")</f>
        <v/>
      </c>
    </row>
    <row r="8106">
      <c r="A8106" t="inlineStr">
        <is>
          <t>見栄え</t>
        </is>
      </c>
      <c r="B8106" t="inlineStr">
        <is>
          <t>成功</t>
        </is>
      </c>
      <c r="C8106" t="inlineStr">
        <is>
          <t>読み方：みばえ
見た感じがよいこと。外観がよく見えること。「—のする衣装」「—のいい盛りつけ」</t>
        </is>
      </c>
      <c r="D8106" t="inlineStr">
        <is>
          <t>見栄えがよく(2%)；見栄えが良い(2%)；見栄えが良く；見栄えが悪く；見栄えが悪い</t>
        </is>
      </c>
      <c r="E8106" t="inlineStr">
        <is>
          <t>顔；姿；見え；体；様子</t>
        </is>
      </c>
      <c r="H8106" t="n">
        <v>29</v>
      </c>
      <c r="I8106" t="inlineStr">
        <is>
          <t>見栄えのしない女だが、二号を持ったような得意な気持だったのである。；見栄えのよさが生きることもあって映像収録にも特に積極的であった。；絵は復元作業がなされたが、煙の影響で非常に暗い見栄えになっている。；近年では縁なし畳と同様、見栄えの良さから様々な場所に使用されている。；見栄えがしなければしない程、二人の芸は毒々しいものになっていった。；たとえその身分を知らなくても、これだけ見栄えのする二人である。；その他の人々は気圧されたかして、見栄えせぬものになってしまった。；古い行動は再び戻ってきて、新しく異なる環境で見栄えを良くする。；てっきり、もっと見栄えのいい研究に関心を寄せられると思っていました。；また、学者としても中国に赴任した5人のうち最も見栄えがしなかった。；また地図や写真などの見栄えを良くするため全面フルカラーのものも多い。；六人部は目の覚めるような美男子ではないが、見栄えはいい方に属する。；現在、橋は見栄えが新しくなっただけでなく、以前よりも錆に強くなった。；いかに斧乃木ちゃんが怪力といっても、そのほうが見栄えがいいもんな?；大きいほうが見栄えがするという彼の希望で、大型のものばかりが出された。；見栄えのしない中年の刑事だが、なかなか面白い見方をすると思ったのだ。；彼はまた「見栄えするもので着やすい物などないだろう」と語った。；彼は手のおそいほうだし、見栄えのするような仕事はできなかった。；その夫とは到底思われぬ見栄えのしない小柄なグレイ伯爵にも紹介される。；見栄えを考えてそんなことをしたらしいが、結果的にその試みは失敗していた。；完全に使用不可能になったのか、それともいくらか見栄えを悪くしたにすぎないのか。；文書を組版した結果としては、以下のような見栄えになることが多い。；ただし、水分が不足すると葉の先端から枯れてくるので見栄えは悪くなる。；両目の上に布を巻き、腕と足には見栄えのする腫れ物をいくつも作っている。；ところが彼はどちらの役でもあまり見栄えがよくなかった。；昔は白黒のものしかなかったが、見栄えの面から朱色のものも作られている。；四十坪ほどある館内の展示物には、これと云って見栄えのする物はない。；峰岸は、ひとみが今まで寝た男の中で、最高に見栄えのいい男だった。；象牙製のものが暗殺の後で博物館に展示されたときに見栄えが良いと思ったのでそれを選んだ。</t>
        </is>
      </c>
      <c r="J8106">
        <f>HYPERLINK("https://www.weblio.jp/content/見栄え", "词义详情")</f>
        <v/>
      </c>
      <c r="K8106">
        <f>HYPERLINK("https://yourei.jp/見栄え", "查看例句")</f>
        <v/>
      </c>
    </row>
    <row r="8107">
      <c r="A8107" t="inlineStr">
        <is>
          <t>見計らう</t>
        </is>
      </c>
      <c r="B8107" t="inlineStr">
        <is>
          <t>成功</t>
        </is>
      </c>
      <c r="C8107" t="inlineStr">
        <is>
          <t>読み方：みはからう
［動ワ五（ハ四）］
１時間などのおおよその見当をつける。「食事の済んだころを—・って訪れる」
２品物などを見て適当なものにきめる。見つくろう。「夕食の材料を—・う」</t>
        </is>
      </c>
      <c r="H8107" t="n">
        <v>29</v>
      </c>
      <c r="I8107" t="inlineStr">
        <is>
          <t>それで誰も傍にいない折を見計らって、母にどうかしてくれと頼んだ。；時間が経って、人が少なくなったころを見計らって行ったのだろうね。；あとは、お前の帰ってくるのを見計らって、気絶したふりをすればよい。；父がいない時を見計らって持ち出して、こっそり読んでは返していたわ。；休んでいる時は外側のラインを走りながら交代のタイミングを見計らう。；やがて、彼の表情が少しでも和らいできた時を見計らって口を開けば良い。；それを見計らってから、エリオが『さえ』とは別のことを質問してきた。；人のいない夕方を見計らって川倉地蔵に行ったまでは微かに記憶がある。；夕方の人気が少なくなったのを見計らって、そっと後に従いて歩きました。；経済的に落ちつくのを見計らったように吟子に新しい不安が訪れてきた。；スキー場に溢れる学生たちが学校に戻るころを見計らってきたのだという。；治療がおわるのを見計らったかのように、列翼翔士が医療室に入ってきた。；事務長はしばらく風向きを見計らって立っていたが突然部屋を出て行った。；ゆっくりと食後のコーヒーを飲み、時間を見計らって県警本部へ行った。；もちろんおれも頃合いを見計らって駆け着けるがね、警部さんと一緒に。；そして都合の良いときを見計らって、後から連れて来てもらいたい。；二度目は何も起きないうちにハリィデールが時を見計らって一行を止めた。；その頃合を見計らってロレンスの袖を引いたのは、他ならぬホロだった。；やがておトラは村長と助役が居なくなったのを見計らい、全てを教えた。；真が一息吐くのを見計らったように、隣のベッドの少年が声をかけてくる。；僕は彼女に言われた通り、店がはねる時間を見計らって路上で待っていた。；修司が自分の後ろについたのを見計らって、八環がドアに手をかけた。；店では飲み頃かどうかを判断して、客に提供する時期を見計らう。；その点、西村はまるで見計らってでもいたようなあらわれかただった。；庭の鍵ももらえたので、人気のない時間を見計らって散歩することができた。；細心の注意を払い、人気がないことを、十分見計らったつもりであった。；クラスのみんながいない時を見計らって、声を掛けただけだった。；こっちが訓練に出てるころを見計らって接続しているくせに。；人目につかない時間を見計らって家の方に訪ねてくるだけだから。</t>
        </is>
      </c>
      <c r="J8107">
        <f>HYPERLINK("https://www.weblio.jp/content/見計らう", "词义详情")</f>
        <v/>
      </c>
      <c r="K8107">
        <f>HYPERLINK("https://yourei.jp/見計らう", "查看例句")</f>
        <v/>
      </c>
    </row>
    <row r="8108">
      <c r="A8108" t="inlineStr">
        <is>
          <t>見晴らし</t>
        </is>
      </c>
      <c r="B8108" t="inlineStr">
        <is>
          <t>成功</t>
        </is>
      </c>
      <c r="C8108" t="inlineStr">
        <is>
          <t>読み方：みはらし
１広く遠くまで見渡すこと。また、その景色。眺望(ちょうぼう)。「霧もなく—がきく」「山頂からの—がいい」
２「見晴らし台」に同じ。</t>
        </is>
      </c>
      <c r="D8108" t="inlineStr">
        <is>
          <t>見晴らしのいい(12%)；見晴らしの良い(11%)；見晴らし台(11%)；見晴らしのよい(7%)；見晴らし茶屋(3%)</t>
        </is>
      </c>
      <c r="E8108" t="inlineStr">
        <is>
          <t>眺め；背景；光景；風景；景色</t>
        </is>
      </c>
      <c r="F8108" t="inlineStr">
        <is>
          <t>大変見晴らし；一番見晴らし；見晴らしのよい高台；見晴らしのよい場所</t>
        </is>
      </c>
      <c r="H8108" t="n">
        <v>29</v>
      </c>
      <c r="I8108" t="inlineStr">
        <is>
          <t>私は見晴らし台の向こうの端に腰掛けている女の顔をもう一度よく見た。；一面池になっている庭の景色丈けは閣の二階からゆっくりと見晴らした。；ほかに高いビルが少ないせいか、予想していたよりも見晴らしがいい。；二人は地下駐車場の中心地点、最も見晴らしの良い場所へと移動する。；その方角には近くに家がなく、そこからの見晴らしはひろいものだった。；ようやく見晴らし台まで上ったけれど、やはり霧ばかりでなにも見えない。；ところどころにある踊り場に見晴らし台のようなスペースが設けてある。；森の奥まった辺りが開けていて、見晴らしのいい広場のようになっている。；見晴らし台の木造の階段を登ってくる足音がして、ドアが勢いよく開いた。；単に、この境内からとても見晴らしのいい場所があるのを知っていたからだ。；両地区は、数多くの見晴らしの良い場所や自然の美しい場所に囲まれている。；ということで、彼女は試しに見晴らしのいい場所を選んで止まってみた。；さらに一瞬で周囲の見晴らしのいい場所を確認すると、そこへ向かって走る。；残り四人が見晴らし茶屋に、立て籠もっていると考えるべきであった。；見晴らしのいい海岸は敵に発見される恐れがあって危険だった。；海の見晴らしがよいのはマツクイムシに松がやられたせいであった。；峠から道はさらに見晴らしのきく展望台のようなところへ出ていった。；ここは見晴らしもいいし、クルーザーをおいておくのにも都合がいい。；高いところに位置する城砦のもっとも高い階層は北も南も見晴らしがよい。；みんなは王子を見晴らし台の城壁のまえまで運んでいかなくてはならなかった。；条件はいくらかクリアしてるけど、見晴らしが良すぎるのがどうもね。；そんな見晴らしのよい坂を下り、ロレンスたち一行は畑の間を進んでいった。；この楼台はその中のひとつで、とりわけ見晴らしがよいことで知られていた。；こんな見晴らしのいい道路でも、交通事故を起こす間抜けがいるらしい。；兎平の様に「〜平」とついているところは、見晴らしがいい場所が多い。；白神山地は山頂が高い樹木に覆われ見晴らしは決して良くない山が多い。；やがて見晴らしのいい場所に出て、私たちはそこを終点ということにした。；大見晴らしの大きさは、その接触点に立つの大きさであります。；二人の姿は、まもなく、不忍の池を見晴らした蓮見茶屋に上がっていた。</t>
        </is>
      </c>
      <c r="J8108">
        <f>HYPERLINK("https://www.weblio.jp/content/見晴らし", "词义详情")</f>
        <v/>
      </c>
      <c r="K8108">
        <f>HYPERLINK("https://yourei.jp/見晴らし", "查看例句")</f>
        <v/>
      </c>
    </row>
    <row r="8109">
      <c r="A8109" t="inlineStr">
        <is>
          <t>見張る</t>
        </is>
      </c>
      <c r="B8109" t="inlineStr">
        <is>
          <t>成功</t>
        </is>
      </c>
      <c r="C8109" t="inlineStr">
        <is>
          <t>読み方：みはる
［動ラ五（四）］
１（「瞠る」とも書く）目を大きく開いて見る。「驚いて目を—・る」「目を—・るばかりの美しさ」
２注意深く目を配って監視する。「敵の行動を—・る」</t>
        </is>
      </c>
      <c r="D8109" t="inlineStr">
        <is>
          <t>見張るべき</t>
        </is>
      </c>
      <c r="E8109" t="inlineStr">
        <is>
          <t>見る；みる；守る；監視；警戒</t>
        </is>
      </c>
      <c r="H8109" t="n">
        <v>29</v>
      </c>
      <c r="I8109" t="inlineStr">
        <is>
          <t>なんだかよってたかって私のすることを見張っているような気がします。；又太郎が江戸へ到着するまでは、自分が半之助を見張るつもりであった。；わたしはこの人がここへ来てからずっと油断なく彼を見張ってきました。；いま先生をおつれしてくるから、あなたはここで見張っていてください。；優に一時間もわたしを待っていた母は、階段の上に立って見張っていた。；おれはおまえたち二人がしっかりあいつを見張ってるものと思ってた。；黒い奴が、どこに移動してもお前さんに連絡できるよう、見張っておく。；ひょっとすると竜憲を見張るためにこの場にいるのかもしれなかったが。；事実、私はあの男が部屋の外で見張っているのをこの目で見て来たんです。；窓際で見張っていた一人の生徒が学寮から出てくる校長の姿を見たのだ。；表二階の障子をたてた部屋の内から、一人はかならず外を見張っていた。；年の頃は、二十歳を少し出たくらいで、目を見張るような美青年だった。；フェリシテはボヴァリーが家にはいってこないように見張っていたのだ。；私は心配やよって、さっきから入口の前をひとりで見張ってたくらいや。；わたしたちはこっちのすることを見張っているような男は好きになれないわ。；それに、フィルチさんが城に続くすべての秘密の通路を見張っています。；こうまで見張られているんでは、と勇気もくじけ、前を通るのをやめた。；あるいは彼女は見張られていることに気づいていたのかもしれない。；しかしそこで、と気づいたかれは、また井口邸の門を見張ることにした。；と思うと二人は背中合わせになり、三人を守ろうと前後を見張っていた。；花壇に働く男女の助手たちは彼の部下で、その部下にも見張らせている。；そして今一つこの年代が活躍した業界の発展も目を見張るものがある。；少なくとも今朝、あなたは奥さんの会社に行くところを見張られている。；なにか邪悪な知性を持ったものが、自分を見張っているような気がする。；かれの周囲を取り巻く女たちすら、息をのんで眼を見張ったほどだった。；よく注意して仕掛の動きを見張っているどころか、本を読んでいるのだ。；あの晩は伯母さんが見張っていたんで鳴き返すことができなかったんだ。；おれに課せられたのは、トラクを見張っておくことだけだったんだから。；母は魅力的な人柄でしたし、その行動力には目を見張るものがありました。</t>
        </is>
      </c>
      <c r="J8109">
        <f>HYPERLINK("https://www.weblio.jp/content/見張る", "词义详情")</f>
        <v/>
      </c>
      <c r="K8109">
        <f>HYPERLINK("https://yourei.jp/見張る", "查看例句")</f>
        <v/>
      </c>
    </row>
    <row r="8110">
      <c r="A8110" t="inlineStr">
        <is>
          <t>身振り</t>
        </is>
      </c>
      <c r="B8110" t="inlineStr">
        <is>
          <t>成功</t>
        </is>
      </c>
      <c r="C8110" t="inlineStr">
        <is>
          <t>読み方：みぶり
１感情や意志を伝えるためのからだの動き。しぐさ。ゼスチャー。「—手振りで知らせる」
２身なり。いでたち。
「大門口の茶屋にて—を直し」〈浮・一代男・七〉</t>
        </is>
      </c>
      <c r="D8110" t="inlineStr">
        <is>
          <t>身振り手振り(12%)；身振りよろしく；身振り手真似；身振りおかしく；身振り可笑しく</t>
        </is>
      </c>
      <c r="E8110" t="inlineStr">
        <is>
          <t>仕方；合図；サイン；振る舞い；挙動</t>
        </is>
      </c>
      <c r="F8110" t="inlineStr">
        <is>
          <t>大袈裟な身振り；大きな身振り；手振り身振り；大仰な身振り；ちょっとした身振り</t>
        </is>
      </c>
      <c r="H8110" t="n">
        <v>29</v>
      </c>
      <c r="I8110" t="inlineStr">
        <is>
          <t>二人ともヘクバが娘の方を向いて身振りでこう言うのを見ていなかった。；美しい娘はその訳がわからず、ひそかな身振りでそのことを彼に伝えた。；盛んに身振りをしながら店に入ってきた姿がいまでも眼にうかびますよ。；そしてブライアンは兵士のひとりに馬を連れていくよう身振りで示した。；その最中に運悪くおれは革命的性質をおびた唐突な身振りをやったのだ。；彼は少年が台所で身振りをしたり、ひとりごとをいっているのを見つめた。；ただ武器を放っただけではなく、それに馬鹿にするような身振りを加えた。；ただその人がどういう風に口を利き身振をし行動するかを知るだけである。；これはフランス人が軽蔑の意味をあらはすときにいつもする身振である。；その一方でコレッジョはイエスの身振りに宗教的な意味を持たせている。；ドライバーは乗ってきた車の側面に描いてある文字を身振りで示した。；けれども、そこには父の姿が控えていて、怒った身振りや眼付をしていた。；笑いが一種の社会的反応を示す身振りだというのはつまりこれであります。；なぜなら、女の子が身振りをするために両手が必要だったからである。；何人かは大げさな身振りで手を触れ、笑いながら大声で願い事を言った。；身振りや雰囲気については、ほとんどアメリカ人のようであったという。；そいつは答える代わりに、両拳を振りあげて勝ったという身振りをした。；高度な術はこれに加えて特殊な身振りや道具、魔法薬を必要とする。；きっとぼくのことを知り合いかどうか身振りと目配せで確認しているのだ。；気短かな身振りで、判事は時計の問題をそのままにして、質問を続けた。；それこそ文字通りに彼自身が言った貪婪な悪魔の身振りに違いなかった。；その身振りや歩き方に独特の癖があって、その癖が一種の愛嬌になっている。；彼女はブリッジに入るよう、でも黙っているようにと身振りで示した。；それから彼女は、後になってやっとその意味が私に分った或る身振りをした。；たゞ私は全い受諾の、信頼の身振りを現実に示したいと思ったばかりだ。；それからテュポーンは身振りをして、わたしに否応なしに外を見させた。；だが、幸いなことに、彼には私の声や身振りが気に入ったようでした。；私はたった一度しか、これに似た敵意を含む身振を経験していない。；唐突な身振りで頭巾を深く引きおろしたので、声だけが陰から毒づいた。</t>
        </is>
      </c>
      <c r="J8110">
        <f>HYPERLINK("https://www.weblio.jp/content/身振り", "词义详情")</f>
        <v/>
      </c>
      <c r="K8110">
        <f>HYPERLINK("https://yourei.jp/身振り", "查看例句")</f>
        <v/>
      </c>
    </row>
    <row r="8111">
      <c r="A8111" t="inlineStr">
        <is>
          <t>身分</t>
        </is>
      </c>
      <c r="B8111" t="inlineStr">
        <is>
          <t>成功</t>
        </is>
      </c>
      <c r="C8111" t="inlineStr">
        <is>
          <t>読み方：みぶん
１ある集団・組織における、その人の地位・資格。「—を明かす」
２封建的社会における上下の序列。「—の違いを考える」
３境遇。身の上。やや皮肉をこめていう。「まったく気楽な御—だ」
４人の法律上の地位。民法では親族法上の夫・妻というような特定の地位をいう。</t>
        </is>
      </c>
      <c r="D8111" t="inlineStr">
        <is>
          <t>身分違い；身分不相応；身分相応；身分秩序；身分関係</t>
        </is>
      </c>
      <c r="E8111" t="inlineStr">
        <is>
          <t>ところ；等；位置；位；立場</t>
        </is>
      </c>
      <c r="F8111" t="inlineStr">
        <is>
          <t>低い身分；高貴な身分；御身分；高い身分；武士身分</t>
        </is>
      </c>
      <c r="G8111" t="inlineStr">
        <is>
          <t>身分証；身分制度；身分証明；身分制；身分制議会</t>
        </is>
      </c>
      <c r="H8111" t="n">
        <v>29</v>
      </c>
      <c r="I8111" t="inlineStr">
        <is>
          <t>身分とセットで考える必要もあるため、現在への換算は難しいのである。；これは歴史的に氏や姓が身分が上の者から与えられるものだったためである。；実効的な作業は委員会でなされ、ここでは各身分の代表は分けられていた。；日本でも弥生時代に生口と呼ばれる奴隷的身分がすでに存在したとされる。；僧は都の漢陽に入ることを禁止された上、賎民階級に身分を落とされた。；軽い家内労働に従事できる者や奴隷身分から解放される者はごく少数だった。；一方で、老年まで勤め上げた奴隷を奴隷身分から解放する主人もいた。；単位を取得するには、研究生でなく科目等履修生の身分が必要である。；高麗時代には民の身分に応じて制度の内容も異なっていたようだ。；また、これらの下に雇や嘱託の身分で図書館専門の仕事を行う職員がいた。；この他にも1871年には異なる身分・職業間の結婚も認められるようになった。；百姓身分の農民を武士身分の役人が支配する郷村制度が確立した。；ただし上洛の際は定めの通り、役目は身分にふさわしいものにすること。；下って江戸時代等に全国の諸身分集団を組織化した公家も本所と呼ばれている。；機内放送を行っても彼の身分に気付いた乗客はほとんどいなかった。；これ以降は騎兵であることは武士の身分を示すものでもあった。；上杉隆は政府自らが記者の身分を確認しない現状の方が危険だと指摘している。；身分の上下問わず数多くの女性と性交したので漁色家として知られた。；生まれた直後の戦闘力で、身分がランク分けされる身分制度社会である。；これらの現象は伝統的な身分体制の崩壊も表している。；高知衆は後期には細分化したほか、藩主一族のための身分も設けられている。；日興は、その後も弘安期に至るまで四十九院の供僧の身分を持っていた。；これには生母の身分が大きく関与していると見るのが妥当である。；開陳が容易になることで、身分を証明する証票部分を呈示し易くなった。；就職により生活の目途が立ったため、学生の身分を維持したまま結婚した。；この身分違いの結婚は貴族たちからの不評を買うことになる。；採用された公務員の身分は基本的に保障され、昇進も個人の能力に応じる。；商行為は行為の性質に着目するのであって行為をした人の身分・性質を問題としない。；基本的な4つのカーストとカースト外の身分には、以下のものがある。</t>
        </is>
      </c>
      <c r="J8111">
        <f>HYPERLINK("https://www.weblio.jp/content/身分", "词义详情")</f>
        <v/>
      </c>
      <c r="K8111">
        <f>HYPERLINK("https://yourei.jp/身分", "查看例句")</f>
        <v/>
      </c>
    </row>
    <row r="8112">
      <c r="A8112" t="inlineStr">
        <is>
          <t>見本</t>
        </is>
      </c>
      <c r="B8112" t="inlineStr">
        <is>
          <t>成功</t>
        </is>
      </c>
      <c r="C8112" t="inlineStr">
        <is>
          <t>読み方：みほん
１商品などの質や形状を買い手に知らせるために示す品。また、そのために作った物。サンプル。「実物—」「束(つか)—」
２具体的な例。手本。「使い方の—を示す」</t>
        </is>
      </c>
      <c r="D8112" t="inlineStr">
        <is>
          <t>見本みたい(3%)；見本林(2%)；見本帳；見本誌；見本用</t>
        </is>
      </c>
      <c r="E8112" t="inlineStr">
        <is>
          <t>例；代表；モデル；標本；抽出</t>
        </is>
      </c>
      <c r="F8112" t="inlineStr">
        <is>
          <t>いい見本；内容見本；悪い見本；すばらしい見本；良い見本</t>
        </is>
      </c>
      <c r="G8112" t="inlineStr">
        <is>
          <t>見本切手；見本ロット</t>
        </is>
      </c>
      <c r="H8112" t="n">
        <v>29</v>
      </c>
      <c r="I8112" t="inlineStr">
        <is>
          <t>彼女はその両手をいつまでも商品見本みたいに僕の前に差し出していた。；あなたが見たイメージを見本にして、絵を描き、次の言葉を添えなさい。；生きた雛型見本をそばに置いて作ってもなかなかうまくいかぬものらしい。；あそこに出ている見本の程度で一枚七千五百ベルギーフランくらいだ。；その手紙は、立派さの見本みたいだったが、それがかれを心配させた。；まず二、三見本にその特色をしめす話をしてみればお察しがつくだろう。；東は見た目で人を判断してはいけないという見本のような人間だった。；泉さんを見本にしているのだから趣味が合うのは当然でもある。；おまえは見本を持っているし、なすべきこともわかっているはずだ。；部屋の中は、この地下の国に住む奇妙な人間の見本で一杯だった。；四軒ほどまわったが四軒とも、見本を持って来てくれなくては出来ないと言った。；そしてそのためには、まずその見本をせしめなければならなかったのです。；かつてルアサには繁殖用のもっとずっとよい見本がたくさんあったのだが。；それが今では見本林のそばまで赤や青やみどりの屋根の家々が建っている。；魂たちは「くじ」の番号順に「生涯の見本」の中から望みの生涯を選ぶ。；社会の手は荒っぽい、そしてこの男はその手の細工の著しい見本である。；その会社で発売している薬の見本袋が封筒の中にはいっていた。；そんなわけなので、向井から見本版を手渡された時は不思議な感じがした。；世の中に簡単な仕事などというものがあるとしたら、これこそその見本だよ。；テレビの画面の顔は、だれもあいそのいい見本みたいなものばかりだからだ。；わたしたちは間もなく、この最後に述べた彼の才能の見本に接することができた。；ついでながら見本としてこの絵本の第一ページの文句だけを紹介する。；その時はそれは美において、遥かに見本よりも美しくなっているであろう。；しかし、何よりも本当にすることのできないのは、あの弱気の見本ですね!；可能ならば、大佐の写真と署名の見本を手に入れなければならない。；わたくしの今いる家の隣りに、そいつのりっぱな見本がふたつまである。；若さと健康が必ずしも美の条件ではないという、生きた見本だった。；だから灰色の男の見本を手に入れるのを助けてくれるかね?；見本を一瞥もしないで書いたのに、鏡花の書いた文字は完璧な鏡文字だった。</t>
        </is>
      </c>
      <c r="J8112">
        <f>HYPERLINK("https://www.weblio.jp/content/見本", "词义详情")</f>
        <v/>
      </c>
      <c r="K8112">
        <f>HYPERLINK("https://yourei.jp/見本", "查看例句")</f>
        <v/>
      </c>
    </row>
    <row r="8113">
      <c r="A8113" t="inlineStr">
        <is>
          <t>見舞い</t>
        </is>
      </c>
      <c r="B8113" t="inlineStr">
        <is>
          <t>成功</t>
        </is>
      </c>
      <c r="C8113" t="inlineStr">
        <is>
          <t>読み方：みまい
１病人や災難にあった人などを訪れて慰めたり、書面などで安否をたずねたりすること。また、その手紙や贈り物。「病人の—に行く」「暑中—」「火事—」「陣中—」
２見回ること。巡視。巡回。
「今日は畠へ—に参らばやとぞんずる」〈虎明狂・竹の子〉
３訪ねること。訪問。
「久しう—にもまゐらぬ程に、—に参らうと思うて出てをりやらします」〈虎明狂・鬼の継子〉</t>
        </is>
      </c>
      <c r="D8113" t="inlineStr">
        <is>
          <t>見舞い客(3%)；見舞い金；見舞い品；見舞いに駈けつけ；見舞いに行かなけれ</t>
        </is>
      </c>
      <c r="E8113" t="inlineStr">
        <is>
          <t>訪問；見物；視察；見舞；見まい</t>
        </is>
      </c>
      <c r="F8113" t="inlineStr">
        <is>
          <t>毎日見舞い；時候見舞い</t>
        </is>
      </c>
      <c r="H8113" t="n">
        <v>29</v>
      </c>
      <c r="I8113" t="inlineStr">
        <is>
          <t>彼女は父親を見舞いに行くのだと称しては、三日にあげず家を外にした。；私が日本でお留守をしているお母様を見舞いに最初に帰って来た時です。；手首を切って病院に運ばれた女性を見舞いに行った場面が歌われている。；そして、その見舞いは、彼のその後の何年間かの仕事となってしまった。；彼女は五たび目に見舞いに行って、帰って来るとすぐに熱を出したのです。；そもそも人自体があまりいないし、他の見舞い客など見たこともない。；そんな時には見舞いに行ってもいいことにして下さらないじゃ困るわ。；十日ばかりの入院中を毎日のようにかわるがわる子供らが見舞いに行った。；初めて雄一が見舞いに来たのは、裕生の手術が終わってすぐの頃だった。；その療養生活の体験が、見舞いの時間の短縮となって現われたのだろう。；僕はこの男が見舞いに来るのを千葉での不愉快なことの一つに数えていた。；当然見舞いに来るだろうと有己子は考えていたが、久坂は現れなかった。；次の日の夜、私は明日は必ず見舞いに行こうと決心して床についた。；そしてわしも少し休んだらあとから見舞いにゆくと言ってくれないか。；ポトツカ夫人が見舞いに訪れており、病床の彼のために歌を歌っている。；無一文で、病気になってから親族や友人が見舞いに来ることもなかった。；見まいとしても、眼が自然にゆきの方へ吸い寄せられてしまうのである。；知人などの見舞いのものでその日を過ごしていたような有様でありました。；次に、町の人たちが囚人に見舞いの金品を与えようとしたのを邪魔した。；だがわたしは、彼を看護することはおろか、見舞いにさえ行けなかった。；そして人々は彼が落ちてゆくのを見まいとして各瞬間ごとに顔をそむけた。；いつだったか、ここへ見舞いに来てくれた髪の長い女の子がくれたものだった。；だが彼は、私の方から見舞いに行くまで、そのことを知らせなかった。；入院後は子供たちが毎日見舞いをして、1970年7月6日に死去した。；斎藤茂吉をはじめとする多くの文人たちが見舞いに訪れたといわれている。；倒れた翌日に見舞いに行った際は、竜助の手を握ったまま涙を流したという。；日本では、絵を描いて見舞いに持って行くなどということはなかった。；一週間ほどは検査ばかり続いたので、僕は見舞いには行かなかった。；おふくろが、交通事故の時、病院に見舞いに来てくれたことがあってね。</t>
        </is>
      </c>
      <c r="J8113">
        <f>HYPERLINK("https://www.weblio.jp/content/見舞い", "词义详情")</f>
        <v/>
      </c>
      <c r="K8113">
        <f>HYPERLINK("https://yourei.jp/見舞い", "查看例句")</f>
        <v/>
      </c>
    </row>
    <row r="8114">
      <c r="A8114" t="inlineStr">
        <is>
          <t>見舞う</t>
        </is>
      </c>
      <c r="B8114" t="inlineStr">
        <is>
          <t>成功</t>
        </is>
      </c>
      <c r="C8114" t="inlineStr">
        <is>
          <t>読み方：みまう
［動ワ五（ハ四）］
１病人や災難にあった人などを訪れて慰める。また、書面などで安否をたずねる。「けがをした友人を—・う」
２望ましくない事が訪れる。災難などが襲う。「パンチを—・う」「台風に—・われる」
３見回る。巡視する。
「この間何かと隙のなさに、田を—・ふ事もござらぬほどに」〈虎明狂・水掛聟〉
４訪問する。あいさつに行く。
「二階に宰府の源様が来てござる、—・うたか」〈浄・博多小女郎〉</t>
        </is>
      </c>
      <c r="D8114" t="inlineStr">
        <is>
          <t>見舞うべく；見舞うべき</t>
        </is>
      </c>
      <c r="E8114" t="inlineStr">
        <is>
          <t>行く；行う；訪問；訪れる；見物</t>
        </is>
      </c>
      <c r="H8114" t="n">
        <v>29</v>
      </c>
      <c r="I8114" t="inlineStr">
        <is>
          <t>もし毎日貞世を見舞う事ができるのならばこのままここにいるのもいい。；白いこの海岸の町を、私はおそらくふたたび見舞うこともないであろう。；ここしばらく取りまぎれて見舞ってあげられなかったので行ってくるよ。；また、この妖怪を目にすると病気に見舞われてしまうともいわれている。；息子の新一さえも少佐の許しを受けずして父を見舞う事は出来なくなった。；このような変わり方が、いずれは、家族全員を見舞うに違いない、とね。；それに反してこの女は、娘を見舞う前に死者の財産を狙ってやって来た。；彼は、彼女の父を見舞ってやったほうがいいのではないかと思った。；その間藤を、わたしよりも前川正の方が数多く見舞っていたようである。；仕事を終えると、子供を迎えにいき、いつもどおり病院に夫を見舞った。；そして父親が娘を病気にしたてあげない限りは、見舞ってもらうこともない。；どちらか一方が病気にかかれば、他の一人は彼を見舞ってはならない。；しばしばぼくの心を見舞ってくるやさしい愛の思いに、不安を覚えたのだ。；父ジョセフに至っては、一度たりとも彼女のもとに見舞うことはなかった。；例の老医師が同行していて、今は日に二、三回は見舞ってくれていた。；これは、浪人たちの復讐が仁三郎を見舞うことを考慮したからであった。；殺されたのか、あるいは突然の急死が彼女を見舞ったのかわからない。；菅原さんの依頼で、一度だけ仕方なく見舞ってくれたのかもしれない。；誰かの口にタックルを見舞ったら、そいつと友達にはなれないだろう。；九州各地が雪に見舞われた時でも宮崎市のみは晴れていることが多い。；彼の病気の時私がすぐに見舞ったことを覚えていたのだろう。；恒藤権右衛門、降りてこぬと、右門の槍先がこのとおり見舞っていくぞ!；妻の房子と交代で友康を見舞っては、何くれとなく面倒をみようとする。；だから先生は、病人をそれまでにどれだけ見舞ったかわかりはしない。；ただし、フランス革命期には多くの城が破壊され、盗難にも見舞われた。；川口勉は、わたしが結核に倒れた時、誰よりも一番先に見舞ってくれた。；サトがつぎに一郎を見舞ったのは、それからちょうど一週間目だった。；友人や知人が次々と見舞ってくれたし、お見舞いの花も次々ととどいた。；町が天変地異に見舞われ、原因調査のため迷宮への調査団が結成された。</t>
        </is>
      </c>
      <c r="J8114">
        <f>HYPERLINK("https://www.weblio.jp/content/見舞う", "词义详情")</f>
        <v/>
      </c>
      <c r="K8114">
        <f>HYPERLINK("https://yourei.jp/見舞う", "查看例句")</f>
        <v/>
      </c>
    </row>
    <row r="8115">
      <c r="A8115" t="inlineStr">
        <is>
          <t>見守る</t>
        </is>
      </c>
      <c r="B8115" t="inlineStr">
        <is>
          <t>成功</t>
        </is>
      </c>
      <c r="C8115" t="inlineStr">
        <is>
          <t>読み方：みまもる
［動ラ五（四）］
１無事であるように注意しながら見る。また、なりゆきを気をつけながら見る。「子供の成長を—・る」「事業の発展を—・る」
２目を離さずにじっと見る。熟視する。凝視する。「かたずをのんで画面を—・る」</t>
        </is>
      </c>
      <c r="D8115" t="inlineStr">
        <is>
          <t>見守ることしかでき；見守る生徒たち</t>
        </is>
      </c>
      <c r="E8115" t="inlineStr">
        <is>
          <t>見る；みる；守る；監視；警戒</t>
        </is>
      </c>
      <c r="F8115" t="inlineStr">
        <is>
          <t>呑んで見守る；飲んで見守る；温かく見守る；じっと見守る；呆然と見守る</t>
        </is>
      </c>
      <c r="H8115" t="n">
        <v>29</v>
      </c>
      <c r="I8115" t="inlineStr">
        <is>
          <t>父は畳一畳ほどの前をじっと見守って遠いことでも考えているようだった。；最後の最後に彼女は自分の家族みんなに見守られて死んでいったのだった。；かつて彼女はそういう考えを平気で見守ることはできなかったのである。；イベントは、これまでは起こしたら展開を見守るだけの作品が多かった。；人の世を見守り続けた龍神は、この星のどこかに今も必ず存在している。；で私の友人は、籔の後ろに隠れてその男の動作を見守っていたそうです。；おれは自分の隠れ場に身をひそめて、その男のすることを見守っていた。；四人が見守るあいだに、だれも魚を取ろうとしないときが何度かあった。；基本的に自由に見守られながら表現することが重要であるといわれている。；おそらくウイリアムズを始め何人かはこっちを見守っているに違いない。；それは仲間がバックの野営から出てゆくのを見守つているときであつた。；博士を初め誰も彼も花の働きを見守ったまま片唾を飲んで立っていた。；他にも一人の者が、この愛と憎しみとの競技を寛大な眼で見守っていた。；砂場で一歳くらいの男の子が母親に見守られてよちよち歩きをしている。；何とか意志を通じようとする、この必死の努力を見守るのは苦痛だった。；下に集っていた連中はその鞄が下りてくるのを興味ぶかく見守っていた。；姉の声は自分にしか聞こえないけれど、自分を確実に見守ってくれていた。；常勝への階段を上り始めたチームをこれからも温かい目で見守っていく。；でも、それ以上に今の自分の周りには見守りたいと思わせる人たちがいる。；様子を見守っていたクリストフは、彼女が口をきこうとしてるのを見た。；生きても死んでも、アズィーザはあなたを見守りつづけているのですわ。；私は次第に父の面上から、ある種の疑念の消えてゆくのを見守つてゐた。；それからわたくしは、ひそかに清さんの様子を見守っていてやりました。；けれども立ったなりじっと彼の様子を見守らずにはいられなかった。；接地後は一切の操作ができず、減速していくのをただ見守るのみである。；愛する「あなた」は星になり見守っていてくれていると云う内容である。；男性は家族の名誉を守る義務を負っており、家族の行動を見守っている。；賭けている男たちが部屋を出入りし、壁際の高い椅子に座って見守った。；彼女を見守るうちに、一人の男が同じように登ってくるのが目にとまった。</t>
        </is>
      </c>
      <c r="J8115">
        <f>HYPERLINK("https://www.weblio.jp/content/見守る", "词义详情")</f>
        <v/>
      </c>
      <c r="K8115">
        <f>HYPERLINK("https://yourei.jp/見守る", "查看例句")</f>
        <v/>
      </c>
    </row>
    <row r="8116">
      <c r="A8116" t="inlineStr">
        <is>
          <t>見回す</t>
        </is>
      </c>
      <c r="B8116" t="inlineStr">
        <is>
          <t>成功</t>
        </is>
      </c>
      <c r="C8116" t="inlineStr">
        <is>
          <t>読み方：みまわす
［動サ五（四）］ぐるりとまわりを見る。「あたりを—・す」</t>
        </is>
      </c>
      <c r="D8116" t="inlineStr">
        <is>
          <t>見まわす；見廻す；目配り；眺めまわす；眺め回す</t>
        </is>
      </c>
      <c r="F8116" t="inlineStr">
        <is>
          <t>きょろきょろと見回す；ゆっくりと見回す；じろじろ見回す；素早く見回す；ゆっくり見回す</t>
        </is>
      </c>
      <c r="H8116" t="n">
        <v>29</v>
      </c>
      <c r="I8116" t="inlineStr">
        <is>
          <t>三人の若い男たちは手を腰にあてて、あてもなくあたりを見回していた。；どこかにコップ一杯の水でもないかと、ハリーは夢中で周りを見回した。；あたりを見回すと、旧校舎の廊下にいるのは裕生と葉だけになっていた。；驚いて周囲を見回すと、どの席にももれなくお一人ずつ付いてきている。；すっかり沈黙状態になった教室を見回しながらそんなことを考えていると。；誰か解説してくれないかと、辺りを見回したが、誰もが首を傾げていた。；そう思いながら、何か妖気を発しているようなものでもないかと見回す。；そうやってしばらく立ったまま、顔を動かさずにあたりを見回していた。；農婦は人の気配に気づいて顔をこちらに向けじろじろとぼくを見回した。；残る二人はどうしたのかと見回すと、簣巻きにされて床に転がっている。；自己のまわりを見回しても、そんなことを口にするものは一人もなかった。；私は女のいなくなった部屋に一人残され、ぼんやりと部屋を見回した。；そこで辺りを見回すと私の持ってきた旅行用のトランクが目に入った。；自分のまわりを見回している彼女の視線はそっと僧服の老人の上に落ちた。；しかし彼はそうしないで、まだ自由な首をまわしてあたりを見回した。；周囲を見回すようになり、逆に自分の立場が理解できるようになった。；普通の女の子の身体へと戻って、キョロキョロとあたりを見回している。；わたしは起き上がり、あの兵士が見えるとよいがと思いながら見回した。；「でもあの火は本物じゃなかったんです」かれは残りの面々を見回した。；そう言われて秋葉は、にわかに人数が多くなった俺の部屋の中を見回す。；貴子はすっかり満足して、わずかに酔いの回った頭で部屋中を見回した。；ある程度腹が脹れてきて、それでようやくあたりを見回す余裕ができる。；周囲の顔を見定めようと苦闘するかのように、彼女はあたりを見回した。；周囲を見回し、肩をすくめてトゥコロムの言葉に無理に頭を集中させた。；そして人目があるかどうか素早く見回してから、そのドアを鍵で開けた。；彼はあたりを見回して、とある酒場の傍に立っている自分に気がついた。；力に支配され、穢れた動物となり果てていた私は、辺りを見回しました。；彼女は困ったように室内を見回していたがやがて笑みを浮かべた。；馬車があるかと思って見回したが、どこにもそれらしいものは見えなかった。</t>
        </is>
      </c>
      <c r="J8116">
        <f>HYPERLINK("https://www.weblio.jp/content/見回す", "词义详情")</f>
        <v/>
      </c>
      <c r="K8116">
        <f>HYPERLINK("https://yourei.jp/見回す", "查看例句")</f>
        <v/>
      </c>
    </row>
    <row r="8117">
      <c r="A8117" t="inlineStr">
        <is>
          <t>見回る</t>
        </is>
      </c>
      <c r="B8117" t="inlineStr">
        <is>
          <t>成功</t>
        </is>
      </c>
      <c r="C8117" t="inlineStr">
        <is>
          <t>読み方：みまわる
［動ラ五（四）］警戒・監督などのため、あちこちを回って見て歩く。巡視する。「夜警がビルの中を—・る」</t>
        </is>
      </c>
      <c r="D8117" t="inlineStr">
        <is>
          <t>回る；哨戒；巡回；廻る；パトロール</t>
        </is>
      </c>
      <c r="H8117" t="n">
        <v>29</v>
      </c>
      <c r="I8117" t="inlineStr">
        <is>
          <t>二人の話からすると、応召していない者がいないか見回っているらしい。；妻と母には、村を見回って来ると言ったが、嘘を言ったわけではない。；リフトが下がっていることに気づいたのは居住階層全てを見回った後だ。；それも予定コース外のところをたまたま見回っていた兵士である。；いずれにしろまだ先のことで、ゴンドラの内部を見回る時間は十分にある。；でも、帰ってきた返事は「とりあえず見回ってみる」というだけだった。；見回らぬ部屋は一部屋もなく、駆け回らなかった廊下はひとつもなかった。；思戸は部屋をひとつひとつ見回って誰も残っていないか確認する。；その日は初目に見回れなかった艦内を引きずり回されることになった。；一日に三回、きめられた時間に学校へきて、プールとその周囲を見回る。；現に私は今も館内をこうして見回り魔法的な異常がないか見回っている。；先ほど見回ったときは、マンション内に大倉が潜んでいる気配はなかった。；校舎の周囲を見回ったのも、なにか武器になりそうなものはないか探すためだった。；暴漢に襲われた翌日に買った木刀を手にし、由紀子は室内を見回った。；アーサーがあそこにいなければ、蛇のやつはもっと時間をかけて見回ったはずだ。；そろそろ休もうかと思いまして、一応、中をぐるっと見回っていたのです。；だが、交代で見回ることになっているから、一人は、仮眠をとっている筈だ。；その際、イギリス鉄道のポーターが習慣として列車中を歩いていて見回った。；ここを見回るようになって結構経つけど、来るたびに顔ぶれは変わっていく。；駅の近くは結構先生たちが見回っているので、用心しなきゃいけないのである。；結城三郎はなんとはなしに不安を感じながら、邸内を見回って歩いていた。；工房の手伝いをしたり、地回りと一緒に縄張りを見回ったりしてただけ。；それにあの界隈は南町に俺が居た時分にしょっちゅう見回っていた場所だ。；手の空いている教師たちが授業中に敷地内のあちこちを見回ることにしたのかもしれない。；村内をくまなく見回った子分たちが、家の中にも外にもだれも隠れていないと報告した。；そうは言っても、万一のことがありますから、こうして見回っているわけです。；何か足りないものはないか見回って、みんなの仕事がやりやすいように段取りをつけるのよ。；台所も見回って、火の不始末等がないことをすべて確認した。；ざっと見回ったところ、簡単に乗り越えられそうな箇所が幾つかあったからだ。</t>
        </is>
      </c>
      <c r="J8117">
        <f>HYPERLINK("https://www.weblio.jp/content/見回る", "词义详情")</f>
        <v/>
      </c>
      <c r="K8117">
        <f>HYPERLINK("https://yourei.jp/見回る", "查看例句")</f>
        <v/>
      </c>
    </row>
    <row r="8118">
      <c r="A8118" t="inlineStr">
        <is>
          <t>耳</t>
        </is>
      </c>
      <c r="B8118" t="inlineStr">
        <is>
          <t>成功</t>
        </is>
      </c>
      <c r="C8118" t="inlineStr">
        <is>
          <t>読み方：じ
［音］ジ（漢）　ニ（呉）　［訓］みみのみ
［学習漢字］1年
〈ジ〉
１みみ。「耳朶(じだ)・耳鼻科／外耳・心耳・俗耳・内耳・馬耳」
２耳で聞くこと。「耳順」
〈みみ〉「耳元／空耳・早耳・福耳」</t>
        </is>
      </c>
      <c r="D8118" t="inlineStr">
        <is>
          <t>耳もと；耳に当て；耳を当て</t>
        </is>
      </c>
      <c r="E8118" t="inlineStr">
        <is>
          <t>耳朶；外耳</t>
        </is>
      </c>
      <c r="F8118" t="inlineStr">
        <is>
          <t>垂れ耳；聞く耳；耳硬化症；耳をつん裂く；耳断尾</t>
        </is>
      </c>
      <c r="G8118" t="inlineStr">
        <is>
          <t>耳打ち；耳鳴り；耳障り；耳朶；耳たぶ</t>
        </is>
      </c>
      <c r="H8118" t="n">
        <v>29</v>
      </c>
      <c r="I8118" t="inlineStr">
        <is>
          <t>ちなみにこの企画を先に耳にしていたら絶対反対したとも告白している。；村を逐われた農民の中にはその罪に応じて鼻や耳を削がれるものもいた。；ただし、私が耳にしたこと全てを信じなければならないとは思わなかった。；下は顎の先端から上は頭髪の生え際まで、左右は耳までがほぼ顔である。；ところが球団が聞く耳を持たなかったから水原さんは去っていくわけです。；まわりの音楽状況やほかのアーティストのヒット状況に耳を傾けるように。；そのため今日でもこの時代を題材にした映画や演劇などで耳にすることがある。；しかしプロデューサーの池田は耳にこびりついて仕方がなかったという。；また、接眼レンズを耳に当てると見ている場所の音を聞くこともできる。；チョコレートを食べると耳の中で黒板を引っ掻くような音がするという。；目の電飾用のスイッチは耳に設置されており、古谷が自分で操作していた。；耳にした批判は、黒人への差別にはたちどころに抗議をすることだった。；この作品では、テキストを聴き取るには並外れて鋭い耳が必要になろう。；この一連の藩内騒動が幕府の耳にも入り、幕府の裁定が入ることとなった。；アシカには耳たぶがあるが、アザラシの耳は穴が開いているだけである。；美容整形手術によって耳を小さくしたり形を整えたりすることはと言う。；第4話のアイキャッチでは鏡の前で耳のセットを気にする姿が描かれている。；等身大時には、地球人の言語を理解するために箱状の赤い耳を出している。；ゾウの足の裏は非常に繊細であり、そこからの刺激が耳まで伝達される。；平衡感覚に関係しているのは、耳では内耳と呼ばれる部分のみである。；歌詞に合わせた振付を随所に取り入れ、目と耳から憶えやすくしている。；超音波とは人間の耳には聞こえない高い振動数をもつ弾性振動波である。；アルルでの耳切り事件の後に描かれた自画像は、左耳に包帯をしている。；顔の形は耳からの長い飾り毛の為に横に広がって見える。；手は耳ハンドであるため、ジャンケンではパーしか出すことができない。；騎士とは、常に助けを求められているがごとく耳を傾ける者である。；を呼んで、「この品を大事に取っておいてくれ」と言って自分の耳を渡した。；髪を耳に挟むことは、品のないこととされ「耳挟み」といって嫌われた。；猫の耳のついた髪飾りあるいは演劇・コスプレのコスチュームの一種である。</t>
        </is>
      </c>
      <c r="J8118">
        <f>HYPERLINK("https://www.weblio.jp/content/耳", "词义详情")</f>
        <v/>
      </c>
      <c r="K8118">
        <f>HYPERLINK("https://yourei.jp/耳", "查看例句")</f>
        <v/>
      </c>
    </row>
    <row r="8119">
      <c r="A8119" t="inlineStr">
        <is>
          <t>身元</t>
        </is>
      </c>
      <c r="B8119" t="inlineStr">
        <is>
          <t>成功</t>
        </is>
      </c>
      <c r="C8119" t="inlineStr">
        <is>
          <t>読み方：みもと
１その人の出生・出自・経歴などの事柄。素性(すじょう)。「—を調べる」
２一身上の事柄。「—を引き受ける」</t>
        </is>
      </c>
      <c r="D8119" t="inlineStr">
        <is>
          <t>身元引受人(4%)；身元調査(4%)；身元調べ；身元証明；身元引き受け人</t>
        </is>
      </c>
      <c r="E8119" t="inlineStr">
        <is>
          <t>生まれ；門；生；系統；生れ</t>
        </is>
      </c>
      <c r="F8119" t="inlineStr">
        <is>
          <t>身元引受；身元を知る手がかり；身元割り出し；身元証明書；身元証明書</t>
        </is>
      </c>
      <c r="G8119" t="inlineStr">
        <is>
          <t>身元確認；身元保証人；身元保証；身元特定；身元判明</t>
        </is>
      </c>
      <c r="H8119" t="n">
        <v>29</v>
      </c>
      <c r="I8119" t="inlineStr">
        <is>
          <t>最初の記事に情報を提供したとされるハワード医師の身元は不明である。；それは犯人グループの一人であり、そこから犯人たちの身元が判明する。；男の身元は公表されず、捜査の過程で釈放されたことが報道されている。；それにより、翌日になって被害者の父親が遺体の身元を正式に確認した。；その後も、新たに身元が確認されたり遺体片が発見されたりしている。；死体の身元をすぐには知られないように、服を脱がせたのもまずかった。；そこではインタビューのためにチャンの身元調査を行った件に触れている。；その鮨屋には女客も多かったが、ちょっと身元の不明な彼女は目立った。；犯人の身元は最終的にデュアン・ロジャー・モリソンであると判明した。；身元も勤務先もはっきりしており、留置する必要はないように思われた。；それとも、長屋の身元・素行調査の結果がひどいものだったのだろうか。；彼は、身元なり高い地位なりを示す、どんな証拠をもっていたのでしょう?；息子の身元は、彼がおばにかけていた携帯電話の番号から確認された。；徹底的な身元調査が行われた後に警察が最終決定を下し所持が可能となる。；紹介者を必要とし、身元のしっかりした娘であることが求められた。；また、身元調査に合格し高額な維持管理費を支払えることも条件となる。；ある時には、突然出て行って身元証明の書類を求めてみようかとも彼は考えた。；バーバーとロウは残りの人生を彼女の身元を特定しようとして過ごした。；氏名や所属部隊を偽る者が多かったので身元が確定できない者も多かった。；後日、身元が判明してみると十歳や二十歳も違っていることはざらである。；殺された女性の身元は事件直後の所持品調査で明らかになっている。；死後二年ばかり経っているらしく、身元を示すような所持品はありません。；なおこの数字には身元が特定できなかったものは含めていない。；歯から血を採り死体の身元を確認する手法を発見し法歯学を確立した。；身元がわかり、また現場の様子を総合すると自殺の状況はなかった。；このため、遺体が発見されてから身元が判明するのに1週間かかった。；菜々の身元は調べられても、二人の出会いとなると本人に聞かないことには。；君とよく似た男の身元はそのうちきっと明らかになるでしょう。；しかし、警察はアノニマスによって公開された身元は間違いだと述べた。</t>
        </is>
      </c>
      <c r="J8119">
        <f>HYPERLINK("https://www.weblio.jp/content/身元", "词义详情")</f>
        <v/>
      </c>
      <c r="K8119">
        <f>HYPERLINK("https://yourei.jp/身元", "查看例句")</f>
        <v/>
      </c>
    </row>
    <row r="8120">
      <c r="A8120" t="inlineStr">
        <is>
          <t>脈</t>
        </is>
      </c>
      <c r="B8120" t="inlineStr">
        <is>
          <t>成功</t>
        </is>
      </c>
      <c r="C8120" t="inlineStr">
        <is>
          <t>読み方：みゃく
［音］ミャク（呉）
［学習漢字］5年
１血液の流れる管。「脈拍／気脈・静脈・動脈」
２脈拍。「脈動／死脈・平脈」
３漢方で、気血の通う道。つぼを結ぶすじ道。「督脈・任脈」
４筋をなして連なり続くもの。「脈絡／一脈・金脈・語脈・鉱脈・山脈・支脈・水脈・文脈・命脈・葉脈・乱脈」
５連なり続くさま。「脈脈」
[補説] 「脉」は異体字。
［難読］水脈(みお)</t>
        </is>
      </c>
      <c r="D8120" t="inlineStr">
        <is>
          <t>脈診；脈上；脈うつ；脈状；脈拍数</t>
        </is>
      </c>
      <c r="E8120" t="inlineStr">
        <is>
          <t>期待；希望；当て；望み；鎖</t>
        </is>
      </c>
      <c r="F8120" t="inlineStr">
        <is>
          <t>地脈；翅脈；法脈；竜脈；連山脈</t>
        </is>
      </c>
      <c r="G8120" t="inlineStr">
        <is>
          <t>脈動；脈搏；脈拍；脈打つ；脈々と</t>
        </is>
      </c>
      <c r="H8120" t="n">
        <v>29</v>
      </c>
      <c r="I8120" t="inlineStr">
        <is>
          <t>長田はその中でも特に3行脈である点を取り上げて似た点としている。；その他には、蛇紋岩などの超塩基性岩の隙間に脈状に産することがある。；鰭の前縁には一連の脈が並んでおり、付け根は肩のようにやや出張った。；この生物においては、葉脈が葉の中を通っていて、中央脈をなしている。；それとは別に触診法で有効な脈拍数を別に数えておくのが重要である。；名前の由来は薄くて側脈がはっきりした葉の感じがクリの葉に似るため。；山西省・山東省の地名は、この太行山脈の西・東にあることに由来する。；一部には普通の形の葉裏に生じるものもあり、その場合には裏面の脈上につく。；経脈は十二の正経と呼ばれるものと、八の奇経と呼ばれるものがある。；江戸府内の民衆から「脈をとらせても当代一」と謳われるほどであった。；この並行して走る側脈の間をつなぐように双方から更に細かい葉脈が出る。；試掘を行ったところ新たな金鉱脈の発見と新源泉を得ることとなった。；その状態によっては「地脈異常」と呼ばれる現象が発生する事がある。；普通、花弁の脈に沿って色が濃くなるので、筋が入ったような模様が出る。；内容の中心は脈法と脈論であり、それに半分以上の頁が割かれている。；ビーチャムはアンナの脈が感じられなくなるまで彼女の所に留まっていた。；地脈異常が発生している場合、神の目を持つ者や生物に反応した様々な異常現象が発生する。；また海外の試験で見られたその他の直後反応は、血管拡張、頻脈であった。；遊離脈は大葉シダ植物に普通に見られ、原始的な段階であると言われる。；葉全体に毛が多いが、次第に少なくなり、柄と脈状に粗い毛が残る。；崑崙山脈の西端をなすコングール山脈と呼ばれる小山脈を形成している。；胞子嚢群は丸く小さく、あるいは脈に沿って少し長くなるが包膜はない。；表面は脈上にだけ毛があるが、裏面では腺点や星状毛などが多い。；誰が正しい法脈なのかに気付き、弟子になった者もいるという。；なお、1978年版では東ではなく助教授の金井達夫が最後の脈を取った。；胞子嚢群は、葉の裂片の葉縁沿いの脈の上に、長く伸びた形で形成される。；これらの多数の動静脈は脳外髄液の吸収に寄与していると考えられている。；雲嶺は脈が2列から構成されており、東は哀牢山、西は無量山からなる。；脈診ができ、さらに、その診断に対するシステム化された治療が出来る。</t>
        </is>
      </c>
      <c r="J8120">
        <f>HYPERLINK("https://www.weblio.jp/content/脈", "词义详情")</f>
        <v/>
      </c>
      <c r="K8120">
        <f>HYPERLINK("https://yourei.jp/脈", "查看例句")</f>
        <v/>
      </c>
    </row>
    <row r="8121">
      <c r="A8121" t="inlineStr">
        <is>
          <t>土産</t>
        </is>
      </c>
      <c r="B8121" t="inlineStr">
        <is>
          <t>成功</t>
        </is>
      </c>
      <c r="C8121" t="inlineStr">
        <is>
          <t>読み方：どさん
《「とさん」とも》
１その土地の産物。
２みやげもの。みやげ。</t>
        </is>
      </c>
      <c r="D8121" t="inlineStr">
        <is>
          <t>土産店(4%)；土産屋；土産用；土産袋；土産物品</t>
        </is>
      </c>
      <c r="E8121" t="inlineStr">
        <is>
          <t>現在；記憶；思い出；現行；供</t>
        </is>
      </c>
      <c r="F8121" t="inlineStr">
        <is>
          <t>お土産；観光土産；東京土産；江戸土産；本土産</t>
        </is>
      </c>
      <c r="G8121" t="inlineStr">
        <is>
          <t>土産物屋；土産品；土産話；土産菓子；土産もの</t>
        </is>
      </c>
      <c r="H8121" t="n">
        <v>29</v>
      </c>
      <c r="I8121" t="inlineStr">
        <is>
          <t>手捜に取り上げた洋筆軸は父が西洋から買って来てくれた昔土産である。；この大きな土産は、通禧の使者が京都からもたらして帰って来たものだ。；こういう本は子供のある家にはどこにもありまた土産にもしたものであった。；帰るときには、その代り立派な土産をいろいろ持ってきてあげるからね。；僕は父が僕に土産を買ってきてくれたことがないのを思いだした。；昨夜アメリカ人の船長がクイーンズタウンでこいつを土産にくれたのだよ。；だが、土産がないと、絶対にわたしはあいつの前に出られないだろう。；僧が土産の杖を買へと勧めたりするのは他に見られない事である。；だが夕方の帰りがけには、しこたま猪の肉や鳥を土産に置いてくからな。；近年では本土産の馬刺しを提供する店もあるが、沖縄の食文化ではない。；何か一手柄たててそれを土産に家臣に加えてくれといえば待遇もいいだろう。；日が落ちて間もなく、周吉たちは土産をどっさり鞍につけて帰ってきた。；何よりも先ず岸本は兄や自分の子供等への旅の土産を取出そうとした。；そして母親の土産に持って来た果物の罐詰を開けて試みなどしていた。；山の土産に、あそこに落ちて居る美しい水晶でも一つ拾つて行つて下さい。；俺は苦笑しながら、そうなるとこの土産は不似合いだったかと考えた。；かつて松の枝を投げて怪我をさせた安西の子供へ、京都土産の玩具をやった。；中国へ旅行した友人が買ってきてくれた土産は、一粒の米でした。；車のなかから現れたのは供の者に大きな土産包みを持たせた支離遜だった。；唯、最後にすこしはましなお土産になるかと思つて、書き添へるけれど。；婦人は間もなく健康になって、かの一夕の談を置き土産に都に帰られた。；智の上から言へば、悪い病気を土産に持つて来て貰ふにも及ぶまいなどと云ふ。；土産屋の前は自動車を廻せる程度の広場なので足場がいいのだろう。；これは花魁へいつもの土産だといって、二百両の金包みを出した。；無料のプラスチック製道しるべは港のそばの土産店の横の壁にある。；停車場で買った五加棒などを土産に持って、お庄はその夕方に家へ帰った。；センター内では魚介類の他にも地元でとれる野菜や土産などを販売している。；私は玉子を土産に持って行って、下駄を貰って帰って来たものだった。；へべれけは思わぬ土産を伸二の精神に残し、中国に去っていったのであった。</t>
        </is>
      </c>
      <c r="J8121">
        <f>HYPERLINK("https://www.weblio.jp/content/土産", "词义详情")</f>
        <v/>
      </c>
      <c r="K8121">
        <f>HYPERLINK("https://yourei.jp/土産", "查看例句")</f>
        <v/>
      </c>
    </row>
    <row r="8122">
      <c r="A8122" t="inlineStr">
        <is>
          <t>都</t>
        </is>
      </c>
      <c r="B8122" t="inlineStr">
        <is>
          <t>成功</t>
        </is>
      </c>
      <c r="C8122" t="inlineStr">
        <is>
          <t>読み方：つ
⇒と</t>
        </is>
      </c>
      <c r="D8122" t="inlineStr">
        <is>
          <t>都宮城；都會；都宮駅；都督；都指揮</t>
        </is>
      </c>
      <c r="F8122" t="inlineStr">
        <is>
          <t>主都；郡都；遷都；県都；軍都</t>
        </is>
      </c>
      <c r="G8122" t="inlineStr">
        <is>
          <t>都合；都会；都道府県；都内；都市計画</t>
        </is>
      </c>
      <c r="H8122" t="n">
        <v>29</v>
      </c>
      <c r="I8122" t="inlineStr">
        <is>
          <t>なお、現段階で都ハエ所属でも宮ハエ表記をしている車両が大半である。；長政軍が稷山に至ると漢城では恐れ戦いた多くの人々が都から逃亡した。；等伯の作品には都でもあまり見られないほど良質の顔料が使われている。；なお首都のブダペスト都はいずれにも属さない、独立した自治体である。；都の機関でありながら、その全区域を担当しない特殊な機関である。；僧は都の漢陽に入ることを禁止された上、賎民階級に身分を落とされた。；軍都熊本の名前もあるように、太平洋戦争終戦前は陸軍が使用していた。；しばらくして都の外れにある家にたいへん見事な紅梅が見つかった。；運ばれた物資は都の中にある大きな2つの市に送り、人々の生活を支えた。；紀元前606年には兵を周の都・洛邑の郊外にまで進めそこに駐屯した。；頼盛は都に戻るが、すでに池殿は全焼しており後白河院に保護を求めた。；彼らは京都鴨川河原に小屋住まいをし、都の民のために賤業に従事した。；抵抗した中には、浙江を都にして王を名乗った壮息という人物もいた。；朱元璋の軍は、即位するや大規模な北伐を開始して元の都・大都に迫った。；そのため呉の使者が都に派遣されると、朝廷から尋問を受けて抑留された。；しかし1943年7月1日には東京市が都制に移行して消滅している。；パリは「光の都」と呼ばれ、ロンドンに匹敵する経済都市に成長した。；例えばエメラルドの都の門や住宅を描く際、文章には登場しない国民の姿も描いた。；また、明治に入ると付近に陸軍基地が置かれ、軍都として発展した。；恐れをなした洪信は、皆にこの事を固く口止めして山を降り、都へ戻った。；中央官であり、通常は都に居住して神宮関係の行政に従事した。；また、以下のように国力による分類と都からの距離による分類が行われた。；時代や統治形態などにもよるが都は現在のチエンマイとしていた。；最大の都市は首都で、グランドコモロ島の主都でもあるモロニである。；そして都で散楽を見た地方出身者らによって、日本各地に広まっていった。；マーニヤケータに都が定められたのは彼の治世だとする説もある。；北京遷都前の都であった盛京は奉天府と改称されて副都として扱われた。；都は現役の学生小説家としてデビューし、さらに小説を書き続けていくことになる。；駅名は奈良時代の都である平城京の南端に位置することが由来とされている。</t>
        </is>
      </c>
      <c r="J8122">
        <f>HYPERLINK("https://www.weblio.jp/content/都", "词义详情")</f>
        <v/>
      </c>
      <c r="K8122">
        <f>HYPERLINK("https://yourei.jp/都", "查看例句")</f>
        <v/>
      </c>
    </row>
    <row r="8123">
      <c r="A8123" t="inlineStr">
        <is>
          <t>見破る</t>
        </is>
      </c>
      <c r="B8123" t="inlineStr">
        <is>
          <t>成功</t>
        </is>
      </c>
      <c r="C8123" t="inlineStr">
        <is>
          <t>読み方：みやぶる
［動ラ五（四）］たくらみや秘密などを見抜く。「正体を—・る」「陰謀を—・る」</t>
        </is>
      </c>
      <c r="D8123" t="inlineStr">
        <is>
          <t>見破るだろ</t>
        </is>
      </c>
      <c r="E8123" t="inlineStr">
        <is>
          <t>看破；汲み取る；はかり知る；看破る</t>
        </is>
      </c>
      <c r="H8123" t="n">
        <v>29</v>
      </c>
      <c r="I8123" t="inlineStr">
        <is>
          <t>わたしの正体を見破る者が一人としていないのは、つねに驚きであった。；水夫の服を着て行けば見破られる心配はないというので、私は承知した。；この浪人もおのれの技が見破られたのが信じられなかったのに違いない。；もちろん、事件で調べているのを見破られるようなヘマなことはしない。；生かしておいては我より先に千頭家の秘密の財宝を見破る怖れが充分だ。；それだけに彼女の計画を見破るのは決して容易な業でなかったのも事実だ。；一枝の心が自分に傾いていることを悦生が見破らないはずはありません。；他人がおれに嘘をつく、その嘘を見破って、とっちめてやるのが好きだ。；スキャンダルを最も見破られやすいのは、ホテルの出入りのときである。；君がまだ気づかない頃に、私が彼の秘密を見破ったのは不思議ではあるまい。；どこの屯でも、その風貌からみて、彼を医師に非ずと見破った者はない。；この二人の関係をいちはやく見破るのは小兵衛ではなく、おはるである。；自分の仕掛けは、まず他の〝徒〟に見破られたりはしないはずなのだが。；兄さんは敵を甘く見ているために敵の策を見破ることができませんでした。；謎を解こうとでもするかのように、重大な秘密を見破ったかのように。；外部に目撃者をおくとすると、研究室の回転を見破られるおそれがある。；彼等が計画を見破られたことに気づいたかどうかはもちろんこちらにはわからぬ。；そいつを早く見破って教えてくれるのがあんたの役じゃないかね。；そして過去にそれを一瞥して見破ったのは他ならぬ関本人ではないか。；この連中は毒を見破られたと聞くと周章狼狽して急いで降りて行った。；その瞬間、ぼくはもう一人のぼくの正体を見破ってしまったのです。；事件の日に、ロナルドが大佐のインチキを見破ったんじゃないかしらん。；日本人であることを見破られたら、この場で、殺されてしまうだろう。；しかし、私はあなたがあんなに早く秘密を見破ったのには驚いてしまった。；私が作り上げた見えない部屋の正体を、この男ならば見破ることができる。；もし相手が相対論を知っていて、こちらの嘘を見破ったらどうするね?；慧眼な読者のうちには、早くもその正体を見破った方もあることだろう。；だが、巨人のブロック・サインは一〇〇パーセントは見破られなかった。；こんな場所で偶然見かけただけで、見破られたことが不思議だった。</t>
        </is>
      </c>
      <c r="J8123">
        <f>HYPERLINK("https://www.weblio.jp/content/見破る", "词义详情")</f>
        <v/>
      </c>
      <c r="K8123">
        <f>HYPERLINK("https://yourei.jp/見破る", "查看例句")</f>
        <v/>
      </c>
    </row>
    <row r="8124">
      <c r="A8124" t="inlineStr">
        <is>
          <t>妙</t>
        </is>
      </c>
      <c r="B8124" t="inlineStr">
        <is>
          <t>成功</t>
        </is>
      </c>
      <c r="C8124" t="inlineStr">
        <is>
          <t>読み方：たえ
［形動］［文］［ナリ］
１不思議なまでにすぐれているさま。何ともいえないほど美しいさま。「—なる楽の音」
２きわめてじょうずなさま。
「歌にあやしく—なりけり」〈古今・仮名序〉</t>
        </is>
      </c>
      <c r="D8124" t="inlineStr">
        <is>
          <t>妙な顔；妙な話；妙高；妙な気分；妙な音</t>
        </is>
      </c>
      <c r="E8124" t="inlineStr">
        <is>
          <t>特別；不思議；奇妙；立派；異常</t>
        </is>
      </c>
      <c r="F8124" t="inlineStr">
        <is>
          <t>善妙；こんな妙；妙な癖；妙真；妙ヶ谷幾乃</t>
        </is>
      </c>
      <c r="G8124" t="inlineStr">
        <is>
          <t>妙心寺；妙心寺派；妙見；妙技；妙味</t>
        </is>
      </c>
      <c r="H8124" t="n">
        <v>29</v>
      </c>
      <c r="I8124" t="inlineStr">
        <is>
          <t>調査のため城を訪れたブラウン神父一行は、妙なものを次々と発見する。；それが書かれていたメモ用紙の一部が、妙な形に切られていたのである。；他にも妙な噂が広がったり、他の組織からの警告を受けたといわれる。；大滝と桐野は立場こそ全く違ったが、妙に気の合う友情で結ばれていた。；毎日のように妙な人間が万吉を訪ねて来ては、妙な騒動を持ち込んでくる。；けだるそうな口の利き方であったが、その口調には妙な魅力があった。；ある朝かかって来た妙な電話に、宗太郎は適当な返事をしてしまう。；体に比べて足が細く、それがあまり長くないのが妙にアンバランスである。；標本作成の処理によって妙な構造ができたりするのは避けなければならない。；登場人物のほとんどは、妙に人間離れした身体能力を持っているものが多い。；外側の一枚だけが特に大きいので、妙に不対称な変わった花形になる。；さらに妙なことに、アスタが回ったどの町にも人間の姿はなかった。；「円教」では当然、妙に象徴される完全な教えを説いたとされている。；妙高は大型軍艦としては、太平洋戦争で最初に損害を受けた艦となった。；またグループごとに競わせると、妙な対抗意識が生じることもある。；その後には林道妙高線が開通し、自動車での訪問が容易になった。；現在は3代目・歸一の夫人・妙が邸宅の保存維持事業を行なっている。；仕方なく鏡を買って帰った真一の左手には、妙な模様が浮かび上がっていた。；また、現日本語吹替え版では、時々語尾が妙な丁寧語になることが多い。；最終節に上位争いの直接対決が組まれるという組み合わせの妙となった。；また、子供たちに謎の症状が現れたり、妙な人影が出現し始める。；江戸時代後期の文化10年に美濃の僧妙心が入山し、人々の信仰を集めた。；彼らは「妙な魔術を使う」ことを理由に心ない人間たちから迫害されていた。；長らく日本盤のレコードやCDでは妙な訳詞だったが今は改められている。；妙瑞師の中院流目録には大門寺次第について以下のように記されている。；その最中に妙な雰囲気になった2人は、浮気の寸前まで進んでしまう。；奇跡的にかすり傷で済んだその日から妙なモノを目にするようになる。；近くには近江妙連で有名な近江妙連公園・近江妙連資料館がある。；いったいどんな形で掲載したのかそれにあの長篇を妙に歪めたりはしなかったかと思ってね!</t>
        </is>
      </c>
      <c r="J8124">
        <f>HYPERLINK("https://www.weblio.jp/content/妙", "词义详情")</f>
        <v/>
      </c>
      <c r="K8124">
        <f>HYPERLINK("https://yourei.jp/妙", "查看例句")</f>
        <v/>
      </c>
    </row>
    <row r="8125">
      <c r="A8125" t="inlineStr">
        <is>
          <t>明後日</t>
        </is>
      </c>
      <c r="B8125" t="inlineStr">
        <is>
          <t>成功</t>
        </is>
      </c>
      <c r="C8125" t="inlineStr">
        <is>
          <t>読み方：あさって
《「あさて」の音変化》
１明日の次の日。みょうごにち。
２見当違いであること。向くべき方向や判断を誤っていること。「—の方向に走り出す」「—の方を向く」</t>
        </is>
      </c>
      <c r="D8125" t="inlineStr">
        <is>
          <t>明後日あたり；明後日ごろ；明後日以降；明後日出発；明後日来い</t>
        </is>
      </c>
      <c r="H8125" t="n">
        <v>29</v>
      </c>
      <c r="I8125" t="inlineStr">
        <is>
          <t>今日みたいなことが、明日や明後日もあればいいのになってくらいにさ。；それで、明日か明後日また様子を聞きに来ると約束して引きとって来た。；でも明後日は、あたしがバンドを組んでから最高のステージになるはず。；明日も、明後日も、世界は同じ姿で同じように活動を続けていくだろう。；その視線は頑なに明後日の方向を向いており、こちらを見る気配はない。；私は明後日また第三度目の手術を受けなければならないことになりました。；明後日の独立記念日をひかえて、何かパレードが行われているのだろう。；あるいは明日は行かれないかもしれないが、明後日には行くつもりだ。；スイッチを入れる音が響いて光の筋が生まれ、明後日の方向を照らした。；「今日と明日の違いは明日と明後日の違いより大きい」と説明されている。；今回はいつまでいるつもりなのかと問うと、明後日の昼の便で帰るという。；明後日は僕の教室で実験があるからもし暇だつたらやつて来たまへ。；明日の日記を最後にして、明後日からはこの日記は一般公開される。；それが遂に完成し、明後日には落成式が行われることになっております。；明後日で帰京だ、六・七・八のプランだけは立てゝ置きたいものである。；まだ坐禅もしないうちから、早く明後日の昼になればいいのにと思う。；そして、明後日から完全に私の手に部屋が引き渡されるという契約です。；折り畳椅子に座った花音が、ムスッとした顔を明後日の方へ向けている。；明日となっては気忙しないから、明後日の門祝いをやってしまうのじゃ。；スミルノーフ こっちが金のいるのは、明後日じゃない、今日なんです。；音で弾の飛んだ方向は明後日だと分かったが、助手席には真奈がいる。；正直な者でも明後日来いとか明日来いとか云う人ばかりでございます。；そして明後日の日曜は、一日中お待ちしてますと書いてきたのだった。；明日になっても、明後日になっても、またご飯を食べさせてあげたかった。；ご両親には明後日来てもらい、モルグにある遺品だけを渡すことになる。；明後日の予定であったのだが、今日の午後五時に変更になったのだ。；それらは、明後日になれば新年のそれへと変わってしまう、今だけの光景。；出発が明後日に近づいた夜、いつもよりは早く山手の家へ源氏は出かけた。；さあ、この議案を上下両議院に通過させ、これを明後日提出するのじゃ。</t>
        </is>
      </c>
      <c r="J8125">
        <f>HYPERLINK("https://www.weblio.jp/content/明後日", "词义详情")</f>
        <v/>
      </c>
      <c r="K8125">
        <f>HYPERLINK("https://yourei.jp/明後日", "查看例句")</f>
        <v/>
      </c>
    </row>
    <row r="8126">
      <c r="A8126" t="inlineStr">
        <is>
          <t>名字</t>
        </is>
      </c>
      <c r="B8126" t="inlineStr">
        <is>
          <t>成功</t>
        </is>
      </c>
      <c r="C8126" t="inlineStr">
        <is>
          <t>読み方：みょうじ
１家の名。姓。家名。
２古代、氏(うじ)と姓(かばね)を総合した称。
３同一の氏(うじ)から分かれ出て、その住む地名などにちなんで付けた名。源氏から出た新田・足利(あしかが)、平氏から出た千葉・梶原の類。</t>
        </is>
      </c>
      <c r="D8126" t="inlineStr">
        <is>
          <t>名字尽；名字呼び；名字領；名字難必和會；名字規定</t>
        </is>
      </c>
      <c r="E8126" t="inlineStr">
        <is>
          <t>氏；姓；苗字</t>
        </is>
      </c>
      <c r="F8126" t="inlineStr">
        <is>
          <t>珍しい名字；多い名字；羽柴名字；部名字；家中名字</t>
        </is>
      </c>
      <c r="G8126" t="inlineStr">
        <is>
          <t>名字の地；名字書出；名字拝領；名字由来net；名字帯刀御免</t>
        </is>
      </c>
      <c r="H8126" t="n">
        <v>29</v>
      </c>
      <c r="I8126" t="inlineStr">
        <is>
          <t>そして、ヨーロッパでは基本的に貴族の名字は所有する土地の名前です。；本作に登場するキャラクターの名字は全て漢字3文字の地名などである。；広島県の浄土真宗の僧侶が名字を名乗った際に命名した姓の一つである。；当初は名字のアルファベット順の前半と後半でチーム分けをしていた。；数百戸の無家号の人がとにかく何か名字を持たなければならぬことになった。；本作では天地など地球出身者以外の人物に名字が設定されていない。；日本人選手としては初めて、名字を除いた名前での選手名登録となった。；また、それまで言及されていなかった理恵の名字が判明する回である。；そして同じ家名が他に無いように創作された「作り名字」であるという。；一部登場人物を除き、名前か名字に自然や動物の文字が入っている。；なお、登場キャラの名字は全て京都市内の通りの名前が付けられている。；武田家家臣である三井氏の娘とされる事があるが、これは夫の名字である。；ペンネームの由来は本名の名字である「石田」の文字を分解した物から。；そのため同団地内にはこのあたりではあまり見かけない名字が数多く存在する。；また、作品のキャラクターの名字は熊本の地名から多く取られている。；名字が事実上の在名と合致しなくなり初めたのはずいぶんと古いことである。；夫が椎木家に入籍する形になるため、自身の名字は変わらないとしている。；さらに、5人の名字には車でドライブできる場所の漢字が含まれている。；ただし、注意すべきは、名字は異なろうとも姓は同じということである。；登場人物の名字はベルニナなどの外国人を除き国鉄の路線名に由来する。；本作の登場人物で名前が判明している人物の多くは名字が漢字一文字になっている。；登場人物の名字は静岡市清水区及び近隣地域の地名である事が多い。；名字を変えたのは家庭の事情で本名が変わっていたからであり、結婚ではないとのこと。；登場人物の名字は基本的に日本の九州地方に実在する地名で統一されている。；その時点において奄美で公式に名字を名乗れたのは田畑氏のみであった。；モデルの時は名字なしのKyosuke という名前で活動している。；本名の名字は非公表、結婚前は旧姓の木村 亜希の名前で活動していた。；各人物の名字は、かつて茨城県にあった自治体の名称から来ている。；登場人物の名字には兵庫県の地名や、施設名などが付けられている。</t>
        </is>
      </c>
      <c r="J8126">
        <f>HYPERLINK("https://www.weblio.jp/content/名字", "词义详情")</f>
        <v/>
      </c>
      <c r="K8126">
        <f>HYPERLINK("https://yourei.jp/名字", "查看例句")</f>
        <v/>
      </c>
    </row>
    <row r="8127">
      <c r="A8127" t="inlineStr">
        <is>
          <t>未来</t>
        </is>
      </c>
      <c r="B8127" t="inlineStr">
        <is>
          <t>成功</t>
        </is>
      </c>
      <c r="C8127" t="inlineStr">
        <is>
          <t>読み方：みらい
１現在のあとに来る時。これから来る時。将来。「—に向けて羽ばたく」「—都市」
２仏語。三世(さんぜ)の一。死後の世。来世。後世(ごせ)。未来世。
３主として西欧語の文法で、時制の一。過去・現在に対して、これから実現するものとして述べる場合の語法。動詞の語形変化で示される。
→将来［用法］</t>
        </is>
      </c>
      <c r="D8127" t="inlineStr">
        <is>
          <t>未来都市；未来像；未来予知；未来視；未来図</t>
        </is>
      </c>
      <c r="E8127" t="inlineStr">
        <is>
          <t>後；先；以後；将来；後方</t>
        </is>
      </c>
      <c r="F8127" t="inlineStr">
        <is>
          <t>近い未来；輝かしい未来；はるか未来；遠未来；未来デパート</t>
        </is>
      </c>
      <c r="G8127" t="inlineStr">
        <is>
          <t>未来人；未来永劫；未来世界；未来のために；未来社会</t>
        </is>
      </c>
      <c r="H8127" t="n">
        <v>29</v>
      </c>
      <c r="I8127" t="inlineStr">
        <is>
          <t>このイベントは現在のところ数万年後の未来に起こると予言されている。；それが島の未来のためだと理解しながらもコトーは返事を出来ずにいた。；人間・猫・犬たちの未来を掛けた戦いはいずれどうなるのであろうか。；未来学とは未来に起こりそうなことを想定する学問・技術・実践である。；時間や物理法則が存在する限り未来の到来は避けられないものとされる。；この未来仏の概念は過去七仏から発展して生まれたものと考えられている。；この虫眼鏡で物を見ると、その物の過去や未来の姿を見ることができる。；SF系の漫画・アニメ作品でも以前は未来的な兵器として多数登場した。；さらに、本人の意思に関係なく、未来のことも日記に書くことができる。；人や動物に当てた場合、当たった人は未来へ来たことに気づかない。；ところが、あることがきっかけで寛の行動は妹の未来の知るところとなる。；過去に自分たちが死ぬことでエリアル・ベースが救われる未来を見ていた。；多様化する未来型犯罪に敢然と挑戦する特別救急捜査隊の誕生である!；また、明日では近すぎて未来では遠すぎるという意味が込められている。；物語の舞台は30年ほど先の未来と、さらに先の未来の2つの時代である。；これらの記述からも未来記の名が当時良く知られていたことがうかがわれる。；毛皮は寝具とすると夢により未来を予知できると信じられたこともある。；過去や未来などを見るためのテレビで、どんな時代や場所でも見ることができる。；また、それは過去・現在・未来の三世にわたっているとされる。；未来の時刻を設定して使用すると、未来にその場で発生する音声が再生される。；SFに登場する未来の乗り物のようなとても変わった姿をしている。；ドラッカーは未来予想でも知られるが、その予想は必ずしも当たっていない。；プレッシャーに耐えられず未来の両親の元に帰りたがっていた。；ニューミュータンツは未来から現れたケーブルに牽引されることになる。；そこは未来の科学力で築かれたレジャーランドの残骸の残る場所であった。；舞台は未来の地球で、具体的に何世紀なのかは記述されていない。；接続法が直接法に吸収されているため、現在形が未来の出来事も表す。；有名な宗教的人物は予言者や占い師のように未来が見通せると主張する。；ドイツ自身の未来はまだ何も分からない状態であった。</t>
        </is>
      </c>
      <c r="J8127">
        <f>HYPERLINK("https://www.weblio.jp/content/未来", "词义详情")</f>
        <v/>
      </c>
      <c r="K8127">
        <f>HYPERLINK("https://yourei.jp/未来", "查看例句")</f>
        <v/>
      </c>
    </row>
    <row r="8128">
      <c r="A8128" t="inlineStr">
        <is>
          <t>魅了</t>
        </is>
      </c>
      <c r="B8128" t="inlineStr">
        <is>
          <t>成功</t>
        </is>
      </c>
      <c r="C8128" t="inlineStr">
        <is>
          <t>読み方：みりょう
［名］(スル)人の心をすっかりひきつけて、うっとりさせてしまうこと。「見る者の心を—する絵画」</t>
        </is>
      </c>
      <c r="D8128" t="inlineStr">
        <is>
          <t>魅了する(13%)；魅了される(7%)；魅了し続ける；魅了しつくし；魅了しつづけ</t>
        </is>
      </c>
      <c r="E8128" t="inlineStr">
        <is>
          <t>魅力；捉える；掴む；魅惑；捕らえる</t>
        </is>
      </c>
      <c r="F8128" t="inlineStr">
        <is>
          <t>強く魅了；深く魅了；魅了する力</t>
        </is>
      </c>
      <c r="H8128" t="n">
        <v>29</v>
      </c>
      <c r="I8128" t="inlineStr">
        <is>
          <t>しかしこの世の物とは思えない美しさで周りの人間たちを魅了していく。；その「本」に魅了された主人公は次々と現実を思うがままに変えていく。；最初は退屈に思えたものの、投げを決めているうちにすぐに魅了された。；本人によると、間違い電話をかけてきた男性を声で魅了したことがある。；その理由は卓越したその才能に誰もが魅了されることとなったからだ。；彼女はスターリンの思想のみならずスターリン自身にも魅了されていた。；自身にはギターの才能があると確信をもち、ますますギターに魅了された。；幼少期、祖母と一緒に見に行った芝居に魅了され、芝居の勉強を始める。；その神秘的な風貌を目にした人々はリロイに一層魅了されることになる。；彼がショウジョウバエの研究に魅了されたのはこの時期のことだった。；この島は異教徒の時代からキリスト教の時代まで人々を魅了し続けた。；若い頃は驚くほど美しかったと言われ、父親を含めて誰をも魅了した。；今回は不二子も操作でき、魅了で男性職員から情報を聞き出す事も可能。；県で最も長い海岸線を誇り、町は多くの観光客や行楽客を魅了している。；練習したダンスで恵一を魅了し、元の姿に戻るまで至福の時を楽しんだ。；小学校のときジャッキーチェンに魅了されて映像の世界に興味を持つ。；それらの美しさはマリアを魅了し、また種類の膨大さは彼女を圧倒した。；このことによって24時間営業が可能になり、多くの深夜客を魅了した。；シンクレアは十代の頃からエレクトロニクスと小型化に魅了されてきた。；ドラマ中で使われた音楽は現在でも多くの人を魅了している。；一方、娘・だいこは周囲の大人を次々と魅了してメロメロにしてしまう。；これが初めての舞台出演となり、演劇の世界に魅了されていった。；そんなある日、車いすラグビーに出会いすぐにその激しさに魅了された。；この結婚はシュザンヌに魅了されたことがきっかけとなったらしい。；単なる事実や日付だけでなく、各執筆者の精神の働きと個性に魅了される。；若者は最初は戸惑ったがあまりにも美しい妖精の女王に魅了されてしまう。；この時期、ニーロは様々なエキゾチックな楽器や編曲に魅了されていた。；様々な部族の伝統的な踊りは、観客をアフリカの精神へと魅了する。；映画デビュー直後から、いきなりトップ女優として多くの観客を魅了した。</t>
        </is>
      </c>
      <c r="J8128">
        <f>HYPERLINK("https://www.weblio.jp/content/魅了", "词义详情")</f>
        <v/>
      </c>
      <c r="K8128">
        <f>HYPERLINK("https://yourei.jp/魅了", "查看例句")</f>
        <v/>
      </c>
    </row>
    <row r="8129">
      <c r="A8129" t="inlineStr">
        <is>
          <t>魅力</t>
        </is>
      </c>
      <c r="B8129" t="inlineStr">
        <is>
          <t>成功</t>
        </is>
      </c>
      <c r="C8129" t="inlineStr">
        <is>
          <t>読み方：みりょく
人の心をひきつけて夢中にさせる力。「—のある人柄」「—的な笑顔」</t>
        </is>
      </c>
      <c r="D8129" t="inlineStr">
        <is>
          <t>魅力的な女性；魅力的な男性；魅力あふれる；魅力的なキャラクター；魅力発信</t>
        </is>
      </c>
      <c r="E8129" t="inlineStr">
        <is>
          <t>美しさ；誘惑；魅了；色気；魅惑</t>
        </is>
      </c>
      <c r="F8129" t="inlineStr">
        <is>
          <t>大きな魅力；人間的魅力；新しい魅力；新たな魅力；強い魅力</t>
        </is>
      </c>
      <c r="H8129" t="n">
        <v>29</v>
      </c>
      <c r="I8129" t="inlineStr">
        <is>
          <t>歌や踊りを披露を通して明治時代の魅力を伝えるために活動をしている。；鶴瓶らの旅ロケとは別に、スタッフが旅の舞台となった町の魅力を取材。；彼はその財と個人的な魅力を巧みに使い、イタリア内の安定を実現した。；このことは関連する医薬品を開発する立場からすると魅力的でもある。；パンチ力のある打撃が魅力だが、盗塁阻止率の低さが課題となっていた。；サンプル本を読んだ岩上は本作に魅力を感じ映像化したいと考えはじめた。；どこか捨てがたい魅力ある競技の進歩発展を阻害してきたものと思う。；本兵器の利点としては、炸薬量が多いのが魅力だったと戦後話している。；両性愛の人々は必ずしもそれぞれの性に同等に魅力を感じるとは限らない。；その広東語訛りの口調が魅力となり、日本での芸能活動の中で定着した。；その後映画の魅力にとりつかれ、映画業界の仕事に興味を持ち始める。；アネルカ自身、様々な土地のクラブでプレーすることに魅力を感じている。；あわせて外国出身者としての視点から見た多くの日本の魅力を紹介している。；ケストナーもそれだけの魅力を備えた女性であることを知っていたからであった。；しかしヘプバーンは自分が魅力ある女性だとは思っていなかった。；そして彼らに会った後でさえ、彼らの個人的魅力に再び心打たれた。；また、同市は南部的な魅力やサザン・ホスピタリティでも知られている。；車両類を一発で倒せるのは大きな魅力で周囲にいる敵も誘爆できる。；CDでは実際の演奏の魅力を伝えきれないと言われるゆえんである。；恐ろしいことかもしれないが、戦争の準備は私には魅力的です。；その中で、魅力的な女性が登場するを売りにしたゲームが登場するようになった。；そのためTualatinは本来の性能や魅力を発揮しないまま終わりを迎えた。；もし鳴き声がひとつの音だけでできていたとしたら魅力は減じていたことだろう。；しかし、その低俗性と野次馬根性がこの企画の最大・唯一の魅力と言える。；テーマパークの成功のためには、コンテンツの魅力と充実が求められる。；その題材上の魅力から小説やゲームなどの創作世界において度々登場する。；このスタジアムはヨーロッパでも最大規模で魅力的な室内競技場の一つである。；また、魅力的な少年だったにもかかわらず、彼はまた奔放であった。；画家たちがイヴリーヌに魅力を感じたのは、風景とパリからの近さの両方であった。</t>
        </is>
      </c>
      <c r="J8129">
        <f>HYPERLINK("https://www.weblio.jp/content/魅力", "词义详情")</f>
        <v/>
      </c>
      <c r="K8129">
        <f>HYPERLINK("https://yourei.jp/魅力", "查看例句")</f>
        <v/>
      </c>
    </row>
    <row r="8130">
      <c r="A8130" t="inlineStr">
        <is>
          <t>見る</t>
        </is>
      </c>
      <c r="B8130" t="inlineStr">
        <is>
          <t>成功</t>
        </is>
      </c>
      <c r="C8130" t="inlineStr">
        <is>
          <t>読み方：みる
［動マ上一］［文］［マ上一］
１目で事物の存在などをとらえる。視覚に入れる。眺める。「みればみるほど良い服」「星空をみる」
２見物・見学する。「映画をみる」
３（「看る」とも書く）そのことに当たる。取り扱う。世話をする。「事務をみる」「子供のめんどうをみる」
４調べる。たしかめる。「答案をみる」
５（「試る」とも書く）こころみる。ためす。「切れ味をみる」
６観察し、判断する。また、うらなう。評価する。「人をみる目がない」「運勢をみる」「しばらくようすをみる」
７（「診る」とも書く）診断する。「脈をみる」
８読んで知る。「新聞でみた」
９身に受ける。経験する。「痛い目をみる」
10（ふつう、前の内容を「と」でくくったものを受けて）見当をつける。そのように考える。理解する。「遭難したものとみられる」「一日の消費量を三千トンとみて」
11夫婦になる。連れ添う。
「さやうならむ人をこそみめ」〈源・桐壺〉
12（補助動詞）動詞の連用形に「て」を添えた形に付く。
㋐「てみる」の形で、ためしに…する、とにかくそのことをする意を表す。「一口、味わってみる」
「男もすなる日記といふものを、女もしてみむとてするなり」〈土佐〉
㋑「てみると」「てみたら」「てみれば」などの形で、その結果、ある事実に気づいたり、その条件・立場が認められたりすることを表す。「踏みこんでみるともぬけのからだった」「親としてみれば、そう言わざるをえない」
[下接句] 足を重ねて立ち目を側(そばだ)てて視(み)る・足元を見る・大目に見る・形(かた)を見る・眼下に見る・木を見て森を見ず・様(ざま)を見ろ・鹿(しか)を逐(お)う者は山を見ず・下目に見る・獣(じゅう)を逐(お)う者は目に太山を見ず・白い目で見る・盾(たて)の両面を見よ・縦から見ても横から見ても・血を見る・罪無くして配所の月を見る・面(つら)あ見ろ・時を見る・長い目で見る・泣きを見る・馬鹿(ばか)を見る・人には添うてみよ、馬には乗ってみよ・日の目を見る・脈を見る・目八分(めはちぶん)に見る・面倒を見る・夢を見る・余所(よそ)に見る</t>
        </is>
      </c>
      <c r="D8130" t="inlineStr">
        <is>
          <t>見るべき；見る影もなく；見るべし；見るかげもなく；見るべから</t>
        </is>
      </c>
      <c r="E8130" t="inlineStr">
        <is>
          <t>思う；みる；評価；考える；比較</t>
        </is>
      </c>
      <c r="F8130" t="inlineStr">
        <is>
          <t>初めて見る；ふと見る；つて見る；見れば見る；はじめて見る</t>
        </is>
      </c>
      <c r="G8130" t="inlineStr">
        <is>
          <t>見る見る；見るも；見る見る間に；見るなのタブー；見るなの座敷</t>
        </is>
      </c>
      <c r="H8130" t="n">
        <v>29</v>
      </c>
      <c r="I8130" t="inlineStr">
        <is>
          <t>利用する側から見ると全く複数のコンピュータが存在するように見える。；ここではあまり他の言語では見られない 特有の機能を中心に解説する。；また完全に無色透明で中の機構を外側から見ることのできるものもある。；本節ではステージレースで最も頻繁に見られる展開の各段階を解説する。；謎と見ると放っておかれず、仕事抜きで事件に関わっていくことも多い。；このようなことが見られることが日本では大きな問題になっている。；少女向けアニメは、少女が見ることを想定して製作されたアニメの総称。；日本では使用例が少ないが、それ以外ではかなり見られる方式である。；そこでエルヴィスはテレビを見ながらベースを練習してくつろいでいた。；構成といい、絵といい、とても質の高いもので、こんなの見たこと無い。；おまえがもし男の子を生んだらば、その成長の後に南の山を見ろといえ。；またタイに渡った山田長政のように、その国で重用される例も見られた。；これらの現象が調査されるうち、雨水の変質に原因を見ることとなった。；だめだ、お前は信じていないらしい、お前の目を見りゃわしにもわかる。；おれがその秘密からどんな超人間的な力を引きだせるか、考えても見ろ!；が単射であることを見るのは容易であるから、定義により が得られる。；基本的な機構は他の生物でも同じであるが、細部には違いが見られる。；午後には、各方面行きの列車に新聞を積み込む様子を見ることができる。；このため体を側面から見ると、両眼のある側と眼がない側に分かれている。；データを数ベクトルと見る考え方は相関係数の導入と命名につながった。；歌垣のように、求愛のために音楽を用いることも世界中に広く見られる。；通常目にすることはできず、謀叛などで独立しないと見ることができない。；まだ使ってない、だから大事にしてるのだって、見りゃわかるだろうが。；改善が見られない場合はアーミッシュを追放され、家族から絶縁される。；これは厚い大気の層に阻まれた地球上の岩石には見られないものである。；これは色眼鏡で見ると、見たままを信じてしまうことを表現している。；また、印刷された文字にマージナルゾーンが見られるなどの特徴がある。；本作品では、過去のシリーズとは異なる独自の要素が多く見られる。；しかし宇宙全体で見ると、実は液体の状態で存在している量は少ない。</t>
        </is>
      </c>
      <c r="J8130">
        <f>HYPERLINK("https://www.weblio.jp/content/見る", "词义详情")</f>
        <v/>
      </c>
      <c r="K8130">
        <f>HYPERLINK("https://yourei.jp/見る", "查看例句")</f>
        <v/>
      </c>
    </row>
    <row r="8131">
      <c r="A8131" t="inlineStr">
        <is>
          <t>診る</t>
        </is>
      </c>
      <c r="B8131" t="inlineStr">
        <is>
          <t>成功</t>
        </is>
      </c>
      <c r="C8131" t="inlineStr">
        <is>
          <t>読み方：みる
［動マ上一］［文］［マ上一］
１目で事物の存在などをとらえる。視覚に入れる。眺める。「みればみるほど良い服」「星空をみる」
２見物・見学する。「映画をみる」
３（「看る」とも書く）そのことに当たる。取り扱う。世話をする。「事務をみる」「子供のめんどうをみる」
４調べる。たしかめる。「答案をみる」
５（「試る」とも書く）こころみる。ためす。「切れ味をみる」
６観察し、判断する。また、うらなう。評価する。「人をみる目がない」「運勢をみる」「しばらくようすをみる」
７（「診る」とも書く）診断する。「脈をみる」
８読んで知る。「新聞でみた」
９身に受ける。経験する。「痛い目をみる」
10（ふつう、前の内容を「と」でくくったものを受けて）見当をつける。そのように考える。理解する。「遭難したものとみられる」「一日の消費量を三千トンとみて」
11夫婦になる。連れ添う。
「さやうならむ人をこそみめ」〈源・桐壺〉
12（補助動詞）動詞の連用形に「て」を添えた形に付く。
㋐「てみる」の形で、ためしに…する、とにかくそのことをする意を表す。「一口、味わってみる」
「男もすなる日記といふものを、女もしてみむとてするなり」〈土佐〉
㋑「てみると」「てみたら」「てみれば」などの形で、その結果、ある事実に気づいたり、その条件・立場が認められたりすることを表す。「踏みこんでみるともぬけのからだった」「親としてみれば、そう言わざるをえない」
[下接句] 足を重ねて立ち目を側(そばだ)てて視(み)る・足元を見る・大目に見る・形(かた)を見る・眼下に見る・木を見て森を見ず・様(ざま)を見ろ・鹿(しか)を逐(お)う者は山を見ず・下目に見る・獣(じゅう)を逐(お)う者は目に太山を見ず・白い目で見る・盾(たて)の両面を見よ・縦から見ても横から見ても・血を見る・罪無くして配所の月を見る・面(つら)あ見ろ・時を見る・長い目で見る・泣きを見る・馬鹿(ばか)を見る・人には添うてみよ、馬には乗ってみよ・日の目を見る・脈を見る・目八分(めはちぶん)に見る・面倒を見る・夢を見る・余所(よそ)に見る</t>
        </is>
      </c>
      <c r="D8131" t="inlineStr">
        <is>
          <t>診る医術師</t>
        </is>
      </c>
      <c r="H8131" t="n">
        <v>29</v>
      </c>
      <c r="I8131" t="inlineStr">
        <is>
          <t>静かな住宅街の自宅で紹介だけで患者を診ているような高級の開業医か。；師匠がいなくなってから二ヶ月ほど経った頃、私は歯を診てもらった。；猫の面倒を診ることがこんなに大変だとは彼女にしてみれば予想外だった。；実は先刻御婦人の病気を診て、ついそれが頭に残つてゐたものですから。；しかしピュジョールを診た医師は、特に心配することはないと説明した。；何人かの信頼できる医者に、その伝で診てもらったが、ガンはなかった。；医者の名前まで貰いながら、生きた人間が診られねえとは、変った人だ。；彼を診ていた医師グリュコは、毒殺の疑いをかけられて一時逮捕された。；あれほど永い間診ていてくれたのだからと、そういうことも嬉しかった。；けれども私は医者にも誰にも診てもらう気にはなりませんでした。；また病院の医者は、私の指を診て何か処置をしてくれたかも知れない。；彼は朝まで苦しみ通したが、バザーロフに診てもらおうとはしなかった。；いずれにしても、わたしにはもう新たな患者を診る時間は残されていません。；かといって医者に診せる金はないし、隔離したくてもその余裕がない。；以前に診てもらつた病氣がまだ癒つてはゐないと云はうとするのである。；わたしは人間の体を診るほうの医者だが、患者の精神も少しは診断します。；死んでからでも、名医に診てもらわなければならないわけはここにある。；無細胞ワクチンは短期間の深刻ではない腫れが腕に診られることがある。；その眼を一度診てやるから明日改めて出て来いと十円の金を与えた。；身体を診れば、身体にとって何が問題となっているのかが、わかります。；どんな健康体でも、医師が診ればどこか不完全な個所があるに相違ない。；なんのつもりかしらないけど、まずシュヴァルツ先生に診てもらいます。；前から僕はこの家の主人に、医者に診てもらへと、そつと注意されてゐた。；しかし症状は軽いもので、医者に診てもらうほどのこともないくらいでした。；彼等は医者に診てもらふためにわざわざ河原町へ出て来るのではなかつた。；自分は患者を診によびだされたんだろうと、女は考えたかもしれない。；たとえば、君に身体を診てもらうというようなことを云っては出かける。；しかし、多重人格の患者を診るようになって、考えをすこし変えました。；被害者を診ていると、これは事故ではなく殺人だと主張する奇妙な男が現れる。</t>
        </is>
      </c>
      <c r="J8131">
        <f>HYPERLINK("https://www.weblio.jp/content/診る", "词义详情")</f>
        <v/>
      </c>
      <c r="K8131">
        <f>HYPERLINK("https://yourei.jp/診る", "查看例句")</f>
        <v/>
      </c>
    </row>
    <row r="8132">
      <c r="A8132" t="inlineStr">
        <is>
          <t>未練</t>
        </is>
      </c>
      <c r="B8132" t="inlineStr">
        <is>
          <t>成功</t>
        </is>
      </c>
      <c r="C8132" t="inlineStr">
        <is>
          <t>読み方：みれん
［名・形動］
１執心が残って思い切れないこと。あきらめきれないこと。また、そのさま。「—が残る」「過去に—はない」「—な気持ちを引きずる」
２熟練していないこと。また、そのさま。未熟。
「船軍は—なるべし」〈盛衰記・四三〉
[派生]みれんげ［形動］</t>
        </is>
      </c>
      <c r="D8132" t="inlineStr">
        <is>
          <t>未練たっぷり；未練なく；未練気もなく；未練があつ；未練ありげ</t>
        </is>
      </c>
      <c r="E8132" t="inlineStr">
        <is>
          <t>若い；幼い；愛着；幼稚；稚拙</t>
        </is>
      </c>
      <c r="F8132" t="inlineStr">
        <is>
          <t>未練気；女に未練；強い未練；少しも未練；深い未練</t>
        </is>
      </c>
      <c r="G8132" t="inlineStr">
        <is>
          <t>未練がましい；未練たらしく；未練げ；未練たらしい；未練がまし</t>
        </is>
      </c>
      <c r="H8132" t="n">
        <v>29</v>
      </c>
      <c r="I8132" t="inlineStr">
        <is>
          <t>未練をもってまだ空を見上げているのは、もう彼女ひとりになっていた。；警察が大挙してやってくれば、何の未練もなく消えてしまうに違いない。；御弟子になった上でこんなことでは仏様も未練をお憎みになるでしょう。；もし彼女が未練をもっていたのであれば、彼を探しに人をやったであろう。；街での生活に未練がなくなってきたのが、二十四歳のときだったかしら。；芸能界への復帰の話は何度かあったが本人は未練はないと語っている。；自分へ心が傾きながらも、お藤はまだ半七郎に未練があると思ったんだ。；またたとえそういうことで得意を失うとしても未練はないと考えていた。；と臆病な取越し苦労をして私は未練のあまり思はず唇を噛むのであつた。；倉地が去った人たちに未練を残すようならば自分の恋は石や瓦と同様だ。；すでに愛は心になくとも、未練は心にありうるのだ、と野々宮は思つた。；心の中で呟いているように、彼女はまだ人なき昼を未練そうに眺めていた。；思わぬ事故で川に転落し、命を落としてしまった夏己には未練があった。；まだ汝はあの女に未練があるのかいと俺の眼が剃刀の下からにつと笑ふ。；別れた相手が、自分が期待したほどこちらに未練がないのはよくあることだ。；未練があるために現世に留まった魂を本作品では「霊」と表現している。；自分の未練さや、執拗さが物笑いの種にされると思うと堪らなくなった。；まだ彼と一緒にいたいなどと未練を持っていたわけじゃありません。；というわけで、わたしは家にも妻にも未練がなくなってしまいました。；父は、捨てられたのに女に未練を持つ男に似ていたのかも知れぬ。；私は内心事件の成行きに未練があったけれど、一人居残る訳にも行かぬ。；未練を残しながらも死を覚悟したその時、謎の声が聞こえてきた。；思えば、ぼくはそのミレンとナレアイの遊びをしていたようなものさ。；あの未練のなさは何だったのだろうと自分でも不思議に思う。；優秀な学者だったが、アカデミズムの世界にはとくに未練もないみたいだ。；そんなものに未練残して、不具にでもされたんじゃ、取返しがつかない。；完治はさとみへの未練とリカから目を離してはならないことを自覚する。；それよりもわたしは隣の庭にいる白の雑種犬に未練があるんだわ。；やっぱりあなたは、菊野氏の財産や、重役夫人の地位に未練があるのだ。</t>
        </is>
      </c>
      <c r="J8132">
        <f>HYPERLINK("https://www.weblio.jp/content/未練", "词义详情")</f>
        <v/>
      </c>
      <c r="K8132">
        <f>HYPERLINK("https://yourei.jp/未練", "查看例句")</f>
        <v/>
      </c>
    </row>
    <row r="8133">
      <c r="A8133" t="inlineStr">
        <is>
          <t>未練がましい</t>
        </is>
      </c>
      <c r="B8133" t="inlineStr">
        <is>
          <t>成功</t>
        </is>
      </c>
      <c r="C8133" t="inlineStr">
        <is>
          <t>読み方：みれんがましい
［形］［文］みれんがま・し［シク］思い切りが悪い。あきらめが悪い。未練たらしい。「—・くぐちを言う」
[派生]みれんがましさ［名］</t>
        </is>
      </c>
      <c r="D8133" t="inlineStr">
        <is>
          <t>未練がましいこと(7%)；未練がましい男(3%)；未練がましい目(3%)</t>
        </is>
      </c>
      <c r="E8133" t="inlineStr">
        <is>
          <t>忘れられない；執着する；割り切れない；女々しい；未練がある</t>
        </is>
      </c>
      <c r="H8133" t="n">
        <v>29</v>
      </c>
      <c r="I8133" t="inlineStr">
        <is>
          <t>未練がましく慕っているのではなく、習慣を変えていないだけのことだ。；そんな都合の良いものがあったら良いなっていつでも未練がましく思ってる。；別れた男を誘惑するなんて未練がましいじゃないの、と彼女は自嘲した。；未練がましく耳を澄ませたが、上の部屋からは何も聞こえてこなかった。；すでに目を通しているページを未練がましくもう一度眺めていた。；それゆえ、かれのことばには絶えず未練がましさが感じられもしたのだった。；未練がましく、過去を美化したところで、なにも始まりはしないのだ。；テーブルの上の酒瓶を未練がましく見てから、王女の待つ部屋へ向かった。；「未練がましい・・・」 先輩の視線の先にいるのはアルクェイドだ。；未練がましくこの生に執着し、忘れたい、忘れたいと思い続けながら。；ここまでやって来ても、頭の一部では、未練がましく寝床のことを考えていた。；僕は未練がましく母を見上げていたが目を伏せてしまった。；それで、何に使うのか、という未練がましい一ト言を言ってみました。；あのりっぱな馬を奪ったのが敵だったとしたら彼も未練がましく考えたりしなかったろう。；背中を丸め膝の上に顎をのせ、未練がましい視線を指輪へ向けてつぶやく。；正直いって、僕がこんなに未練がましくベッドにしがみついているのは珍しい。；そのときは、自分がその〈未練がましい男〉になるなんて思ってもみなかった。；僕は歩道に立ったまま、車が発進するのを未練がましく見送っていた。；レストランの近くで、まだ未練がましく立っていると、多江が店から出て来た。；満は机の携帯電話をふたたび手に取り、未練がましそうに画面をのぞいている。；こちらから電話をかけてみようかとも思うが、用事もないのにかけるのは未練がましいような気もする。；すると、岬の村がいっそうなつかしくなり、思わず未練がましくいった。；しかし何の役にも立たず、車の去った方角を未練がましく眺めた。；残されたのは彼女の言葉の残骸と、未練がましい僕のみじめな思いだけだったのだから。；男のように、いつまでも未練がましく立ち止ってはいないのだ。；そんなわけでロレンスは未練がましく修道院のほうを見ていたのだが、不意に目を細めた。；その間にも未練がましく表の自動車の音に鋭く聞き耳を立てた。；まだ、まだ事態が収拾できるのではないかという未練がましい期待があったからだ。；かなり高価だっただけに惜しくて捨てもならず、未練がましく取っておいたのである。</t>
        </is>
      </c>
      <c r="J8133">
        <f>HYPERLINK("https://www.weblio.jp/content/未練がましい", "词义详情")</f>
        <v/>
      </c>
      <c r="K8133">
        <f>HYPERLINK("https://yourei.jp/未練がましい", "查看例句")</f>
        <v/>
      </c>
    </row>
    <row r="8134">
      <c r="A8134" t="inlineStr">
        <is>
          <t>見分ける</t>
        </is>
      </c>
      <c r="B8134" t="inlineStr">
        <is>
          <t>成功</t>
        </is>
      </c>
      <c r="C8134" t="inlineStr">
        <is>
          <t>読み方：みわける
［動カ下一］［文］みわ・く［カ下二］見て区別する。識別する。弁別する。「偽物と本物とを—・ける」</t>
        </is>
      </c>
      <c r="D8134" t="inlineStr">
        <is>
          <t>知る；区別；認識；承知；認める</t>
        </is>
      </c>
      <c r="F8134" t="inlineStr">
        <is>
          <t>はっきりと見分ける；はっきり見分ける</t>
        </is>
      </c>
      <c r="H8134" t="n">
        <v>29</v>
      </c>
      <c r="I8134" t="inlineStr">
        <is>
          <t>どれが最も価値あるものであるかを、彼は見分けることができなかった。；それを発見するのは、目で見るだけでなく、心の目で見分けるのである。；玉木由加利が犯人か否かを見分けるのは江美の言うように簡単ではない。；私はじっと眼をこらしましたが、何も見分けることができませんでした。；顔じゅう髭だらけの男がどんな表情をしているのか見分けるのは難しい。；遠くのものを見分けるのに慣れた船乗りの目には船長は見えなかったのだ。；あの二人がどこかにいるのかどうか、とても見分けることはできなかった。；だが、かなり離れているため、種類を見分けることまではできなかった。；子供であっても、赤ん坊でさえも、人の顔を見分ける能力を持っている。；前者は、己れの妻や子を見分けることさえできなくなって、狂い死んだ。；雨に洗われて、もとのぬり色ももう見分けることができなくなっていた。；市内にあったこれらの路線の駅は、現在ほとんど見分けることができない。；近縁種を見分けるには背びれと側線の間にある鱗の列がポイントとなる。；われわれはこの幻影の場面に思いもよらない人影をはっきりと見分ける。；色の違いによってどちらの路線の電車なのかを見分けることができる。；とすると、そこを守っている人々は敵と味方をどうやって見分けるだろうか?；私の眼は、辛うじてその呪いの文字を見分けるだけの力がございました。；座席にいる若い男の姿を窓ごしにぼんやり見分けることができた。；本物を見分けるのには、自分がまず本物を身につけてみなければわからない。；暗闇の中、ギルガメッシュの線と点を見分けるのは容易なことではない。；平野の大部分は耕され、人が住んでいるところも見分けることができた。；数マイル先から近づいてくる一台の車を見分けることすらできる。；種ごとに食草がはっきり異なるので、その方向から見分ける方が容易である。；そこでは、保護局はそこにいる者の一人でも見分けることは難しいだろう。；次のように違いははっきりしているので、見分けるのは簡単である。；私は、日が落ちた中であなた方一人一人を見分ける自信がありません。；そうなると、その聖遺物が本物かどうか見分けるのは不可能に近いだろう。；それは、トミーならどこにいても必ず見分けることのできる影だった!；それに私たちのすることの善悪を見分ける権利は神さまだけのものですわ。</t>
        </is>
      </c>
      <c r="J8134">
        <f>HYPERLINK("https://www.weblio.jp/content/見分ける", "词义详情")</f>
        <v/>
      </c>
      <c r="K8134">
        <f>HYPERLINK("https://yourei.jp/見分ける", "查看例句")</f>
        <v/>
      </c>
    </row>
    <row r="8135">
      <c r="A8135" t="inlineStr">
        <is>
          <t>見渡す</t>
        </is>
      </c>
      <c r="B8135" t="inlineStr">
        <is>
          <t>成功</t>
        </is>
      </c>
      <c r="C8135" t="inlineStr">
        <is>
          <t>読み方：みわたす
［動サ五（四）］遠くまで広く眺める。広い範囲にわたって見る。「—・すかぎり雪の原」「全体を—・して力の配分を決める」</t>
        </is>
      </c>
      <c r="D8135" t="inlineStr">
        <is>
          <t>見渡す限り人影；見渡す限り田；見渡すかぎり緑；見渡すかぎり雪；見渡す限り雪</t>
        </is>
      </c>
      <c r="E8135" t="inlineStr">
        <is>
          <t>望む；眺める；見やる；見通す；一望する</t>
        </is>
      </c>
      <c r="F8135" t="inlineStr">
        <is>
          <t>広く見渡す；遠く見渡す；ざっと見渡す；ずっと見渡す</t>
        </is>
      </c>
      <c r="H8135" t="n">
        <v>29</v>
      </c>
      <c r="I8135" t="inlineStr">
        <is>
          <t>建物のあいだの細い通路を抜けてはじめて、海岸を見渡すことができた。；エドワード2世の像が町を見渡す王の門の入口の上の壁龕に立っている。；そこでわたしに今一度外へ出て、 あの果のない海を見渡させて下さい。；台鉄と高鉄のホームは中間の仕切りがなく、互いに見渡すことができる。；と思って泉州侍どもを密かに見渡したが、敵は意外な反応を示していた。；スガ氏は我々の顔を見渡すと、端から順に我々の名前を一人ずつ呼んだ。；私どもは何事をするのでも常に広い視野を一まわり見渡さねばならぬ。；通りに面した二つの窓からアルベールは邸の外を見渡すことができた。；見渡す大空が先ず雪に埋められたように何所から何所まで真白になった。；この高い有利な地点からは、周囲の地域をかなり見渡すことができた。；彼は四五歩先の方へ立ち止って、線路の上を遠く見渡すような様子をした。；そして、今はまた、その地下に、見渡すかぎり山また山がつづいていた。；わたしたちはそれらを見渡すというよりはむしろ推測するのである。；それから彼は不安げに自分を取りまいているたくさんの顔を見渡した。；だが、全工事を見渡したところ、朝から少しも捗った跡は見えなかった。；見渡すところ、芝居の世界で僕の働けさうな場所は何処にもないのである。；見渡す限り牧草地が続き、そばには川が美しい曲線を描いて流れている。；何処を見渡しても椅子一つ空いてゐないので、紳士は少しどぎまぎした。；どこかの高校の制服姿で、困ったようにおろおろと辺りを見渡している。；今、野球界全体を見渡しても野球をする子供が減ってるじゃないですか。；こっちも適当な椅子に腰を下ろして、しずしずと秋葉の部屋を見渡した。；私は事務所の内部を見渡し、誰もいないのを確かめてから中に入った。；そのガラスごしに、七階の高さから外の光景を広く見渡すことが出来た。；「戻ってくるまでに、少し考えた」 ネルは二人の姿を見渡して言った。；改めて店内を見渡すと、泥棒に入られたかのように商品が散乱していた。；峠を示すものは残っていないが、周山地区を見渡すことができる峠である。；津野田は肚をすえ、知った顔はないかと改めて客の顔を見渡していった。；其時どうしたものか見渡す沖には一艘の小舟も汽船も影を見せなかつた。；その部屋の扉を開けば、設計室前の廊下を一目で見渡すことができる。</t>
        </is>
      </c>
      <c r="J8135">
        <f>HYPERLINK("https://www.weblio.jp/content/見渡す", "词义详情")</f>
        <v/>
      </c>
      <c r="K8135">
        <f>HYPERLINK("https://yourei.jp/見渡す", "查看例句")</f>
        <v/>
      </c>
    </row>
    <row r="8136">
      <c r="A8136" t="inlineStr">
        <is>
          <t>見渡す限り</t>
        </is>
      </c>
      <c r="B8136" t="inlineStr">
        <is>
          <t>成功</t>
        </is>
      </c>
      <c r="C8136" t="inlineStr">
        <is>
          <t>読み方：みわたすかぎり
目に見える範囲のすべて。「—の雄大な自然」</t>
        </is>
      </c>
      <c r="D8136" t="inlineStr">
        <is>
          <t>見渡す限り人影；見渡す限り田；見渡す限り雪；見渡す限り続い；見渡す限り平坦</t>
        </is>
      </c>
      <c r="H8136" t="n">
        <v>29</v>
      </c>
      <c r="I8136" t="inlineStr">
        <is>
          <t>それに私のまわりには誰ひとりいないし、見渡す限り誰ひとりいない。；ニューヨークの郊外にある彼らの家の周辺は見渡す限りの平原である。；周囲は見渡す限りぶどう畑で、山全体が緑の絨毯に覆われている感じだ。；見渡す限り牧草地が続き、そばには川が美しい曲線を描いて流れている。；それがここでは見渡す限りぎっしりと、すてきなものばかり並んでいる。；飛行機の窓から見渡す限りの雲海を眺めながらふと僕はそう思った。；すると次の瞬間ぱーっと目の前に見渡す限りの美しい草原が展開した。；ことに或る場所では見渡す限り唐檜のみの茂っているところがあった。；ことに或る場所では見渡す限り唐檜のみの茂つてゐるところがあつた。；見渡す限りの雲海の中に長大な柱に支えられた島が点在している世界。；後方へ目をやると、林に包まれた低い山が見渡す限り連なっている。；大粒の雨が降り続けている道路には、見渡す限り人の姿はなかった。；しかもその見渡す限りの斬り傷が、一面に血まみれのように赤いのだ。；海には遊船はもとより、何の舟も見渡す限り見えないようになっていました。；それとも、見渡す限りの岩山が、絶望の象徴のように見えただろうか。；見渡す限りの空を、数千隻の宇宙船がびっしりと埋め尽くしているのだ。；見渡す限りの景観はどうしても、われわれが住んでいる地球とは思われない。；目を上げて見ると、見渡す限り、山はその戸帳のような色になった。；日本では絶対に目にできない風景が、見渡す限り広がっている。；見渡す限りなにも見えないのだから、塔の向こう側からだろう。；眺望は開けているが、見渡す限りあたりには人家はひとつも見えない。；裏山に登ると、丘が幾うねりにもうねって、見渡す限り丘また丘である。；見渡す限り白景色で、行けども行けども冷たい雪しか目に入らない。；我々は草原地帯に在り、見渡す限り草以外になに一つ見えない場所である。；実際、見渡す限りに草原が広がっているというのに人っ子一人歩いていない。；やはり見渡す限り草の海で、他と変わったところは何もない。；見渡す限りの丘や広場にさまざまな人間の色彩が動いていた。；一面に月の光りが流れてるきりで、見渡す限りひっそりとしていた。；こう見渡す限りじゃ、わざわざ焼跡を探して歩くまでもありません。</t>
        </is>
      </c>
      <c r="J8136">
        <f>HYPERLINK("https://www.weblio.jp/content/見渡す限り", "词义详情")</f>
        <v/>
      </c>
      <c r="K8136">
        <f>HYPERLINK("https://yourei.jp/見渡す限り", "查看例句")</f>
        <v/>
      </c>
    </row>
    <row r="8137">
      <c r="A8137" t="inlineStr">
        <is>
          <t>民間</t>
        </is>
      </c>
      <c r="B8137" t="inlineStr">
        <is>
          <t>成功</t>
        </is>
      </c>
      <c r="C8137" t="inlineStr">
        <is>
          <t>読み方：みんかん
１一般の人々の社会。世間一般の人々。「—に伝わる風習」
２公の機関に属さないこと。「—の企業」「—人」</t>
        </is>
      </c>
      <c r="D8137" t="inlineStr">
        <is>
          <t>民間航空(2%)；民間会社；民間向け；民間船；民間資本</t>
        </is>
      </c>
      <c r="E8137" t="inlineStr">
        <is>
          <t>野；在野</t>
        </is>
      </c>
      <c r="F8137" t="inlineStr">
        <is>
          <t>民間旅客機；民間型；民間主導；民間説話；民間市場</t>
        </is>
      </c>
      <c r="G8137" t="inlineStr">
        <is>
          <t>民間企業；民間伝承；民間放送；民間療法；民間信仰</t>
        </is>
      </c>
      <c r="H8137" t="n">
        <v>29</v>
      </c>
      <c r="I8137" t="inlineStr">
        <is>
          <t>パワードスーツ自体は民間で開発が進められており販売もされている。；民間所有のものを私奴婢と言い、子孫に相続させることが可能であった。；この民間が運行し、州が所有する鉄道は2006年7月に運転を始めた。；現在は駅舎・駅施設とも既に撤去され、跡地は市や民間に売却された。；それ以外のものは公認されていないが、民間でときどき使われている。；民間の貨物輸送機は旅客機を元に派生設計され、製造されたものも多い。；だからアメリカから見ると安心して受け入れられる民間の資金。；しかしこの時代から幕府の許可なく発行された民間の暦には記載されていた。；また、エンジンや駆動系に、民間の自動車の部品を流用したものもある。；民間からも難民を助ける会などのNGOが現地で援助活動をしていた。；巫蠱の獄を生き延びた孫の劉病己は、民間の家庭にて育てられ成人した。；フランスでは他の自治体も民営化したが、9割は民間管理を更新した。；ただし、多くの国において主に住宅を建設しているのは民間である。；戦後民間航空が再開された時に現在のスタイルになった。；このほかに、樺太庁鉄道向けに4両、民間向けに1両が製造されている。；民間向けのスポーツモデルをベースにしたものと、競技専用に設計されたものがある。；この際には建設費は約80億円で民間資本を活用して行うことが構想されていた。；そのメンバーの一部を子分にして甘粕機関という民間の特務機関を設立。；試行錯誤により成長したが、民間と連携しないわけにはいかなかった。；このことで民間の健康保険が無い市民でもその大半が医療を受けられるようになった。；なお、住民票コードを民間が利用することは、法律で禁止されている。；これは民間の企画であるが、日本の秘境100選にも選定されている。；民間金融機関同様、店舗内のみならず店舗外にも設置されていた。；一部の地域ではルーンの知識は初期近代まで民間に残存していた。；インターフルークは、以下の5つの部門で民間航空事業を行っていた。；日本と元の間には民間レベルで貿易が活発に行われていた。；官舎であった建物は民間に売却され、現在もアパートとして使用されている。；このような民間の活動が全国的なムーブメントとなって撲滅への礎となった。；民間の式典で使用する場合のルールは特に決められていない。</t>
        </is>
      </c>
      <c r="J8137">
        <f>HYPERLINK("https://www.weblio.jp/content/民間", "词义详情")</f>
        <v/>
      </c>
      <c r="K8137">
        <f>HYPERLINK("https://yourei.jp/民間", "查看例句")</f>
        <v/>
      </c>
    </row>
    <row r="8138">
      <c r="A8138" t="inlineStr">
        <is>
          <t>民主</t>
        </is>
      </c>
      <c r="B8138" t="inlineStr">
        <is>
          <t>成功</t>
        </is>
      </c>
      <c r="C8138" t="inlineStr">
        <is>
          <t>読み方：みんしゅ
１その国の主権が国民にあること。
２人間の自由や平等を尊重すること。「—の精神」</t>
        </is>
      </c>
      <c r="D8138" t="inlineStr">
        <is>
          <t>民主的(28%)；民主党員(12%)；民主化(6%)；民主共和国(2%)；民主社会</t>
        </is>
      </c>
      <c r="F8138" t="inlineStr">
        <is>
          <t>民主系；民主改革；反民主；民主政府；人民民主</t>
        </is>
      </c>
      <c r="G8138" t="inlineStr">
        <is>
          <t>民主主義；民主化；民主的；民主化運動；民主党候補</t>
        </is>
      </c>
      <c r="H8138" t="n">
        <v>29</v>
      </c>
      <c r="I8138" t="inlineStr">
        <is>
          <t>祖父が工場創始者で、市議会の民主勢力の指導者的立場であったという。；共産系候補が民主的な選挙で政権をとる、欧州では異例の事態となった。；指導と被指導の関係は不可避的に非民主的であると考えるからである。；これは民主的なシステムの確立と公平な分配を保証する概念でもある。；こうした政権の姿勢に反発したのが南部の民主党員たちであった。；これは民主的な選挙としては世界で2番目に大規模なものであった。；完全に民主的な組織構成へ移行中であると発表している。；会員はそれぞれの事業内容にかかわらず平等で民主的に運営する。；ここでヨーロッパ式の近代的民主義思想に触れ、その後、帰国した。；新しい議会は普通選挙に基づき、民主的な共和国が誕生することになった。；民主的な改革に反対する右翼の白人至上主義団体は事実上の終わりとなった。；参政権のための組織は民主的であるべきだと、あなたは反対するかもしれません。；そして第45回では民主大勝の風に乗り高井が悲願の選挙区議席を獲得。；戦略上の必要性は民主的な理想主義を制限することになると主張する。；憲法の民主的な改正に関する議論は継続され、2005年に再改正された。；結果、民主などの推薦を受けた川村秀三郎が漁夫の利を得て当選した。；ダールは閉鎖的抑圧体制が民主化する経路として次の三つを想定している。；後に占領軍から民主的なスポーツとして実施するよう勧告された。；当時は世界で最も民主的な憲法とされ、第1条では国民主権を規定している。；また独裁者の多くは、共和制や民主制の実現や防衛を主張している。；これはハイチ史上で初めての平和的で民主的な権力の移行だった。；そして、何よりも人権を重視した明るく民主的な社会の形成が極めて重要であると考えた。；中央と地方の民主的な関係を自ら破壊している。；ブリストル時代にはヘンリー・ハインドマンが設立した民主連盟に参加した。；陳雲はの中で、「民主化した中国は共産中国より危険」と述べている。；後には、当時世界で最も民主的な憲法とされたワイマール憲法が制定された。；しかし現在ではそうした国も民主化し、経済的に発展している。；さらに民主的な世俗国家であることが憲法上で規定されている。；また1993年からの後、最初の民主的な選挙による大統領である。</t>
        </is>
      </c>
      <c r="J8138">
        <f>HYPERLINK("https://www.weblio.jp/content/民主", "词义详情")</f>
        <v/>
      </c>
      <c r="K8138">
        <f>HYPERLINK("https://yourei.jp/民主", "查看例句")</f>
        <v/>
      </c>
    </row>
    <row r="8139">
      <c r="A8139" t="inlineStr">
        <is>
          <t>民宿</t>
        </is>
      </c>
      <c r="B8139" t="inlineStr">
        <is>
          <t>成功</t>
        </is>
      </c>
      <c r="C8139" t="inlineStr">
        <is>
          <t>読み方：みんしゅく
一般の民家が営業許可を得て営む宿泊施設。</t>
        </is>
      </c>
      <c r="D8139" t="inlineStr">
        <is>
          <t>民宿街；民宿業；民宿等；民宿客</t>
        </is>
      </c>
      <c r="F8139" t="inlineStr">
        <is>
          <t>農林漁業体験民宿</t>
        </is>
      </c>
      <c r="H8139" t="n">
        <v>29</v>
      </c>
      <c r="I8139" t="inlineStr">
        <is>
          <t>民宿の女主人が警察へ電話している間に、どこかへ行ってしまったのです。；それがこんな老人と民宿客だけの過疎村相手の作戦に引っ張り出された。；ただ、民宿から最も離れていた二軒の老人は、すでに半分ほど食していた。；同じ民宿に泊まる客も、車で五分ほどの砂浜に泳ぎにいってしまうのだ。；温泉街は無いが宿泊施設は、ホテルが一軒と数軒の民宿が点在している。；周辺に一周する散策路が整備されており、貸しボートと民宿が数軒ある。；村人を一冬養うほか、不特定の民宿の客にも備えておかなければならない。；この近くは民宿もないから私のような事情を知らない観光客をよくとめてあげるそうだ。；民宿の玄関先に立つと、風もないのに波の音がはっきり聞こえた。；今どき日本の民宿だって、トイレくらいは部屋に付いているものだが。；駅舎をそのまま利用した民宿がある駅は、全国で当駅のみである。；しかたなく、郵便局長から二軒ほどの民宿とその道順を教えてもらった。；民宿の中には自前の温泉施設を持たず、共同浴場を利用する施設もある。；民宿へ戻ってもやはり無言のまま一人食事をし、部屋へと戻る順一。；そのような民宿は1980年代から北海道や信州などで開業が増えた。；一刻も早く、東京へと戻りたかった二人は朝食も摂らずに民宿を後にした。；シャツが汗で背中にはりつき始めたころ、ようやく目指す民宿が見えてきた。；温泉のない民宿が低く見られるのでは、と不安もあったものの。；だから、ホテルはおろか民宿みたいなものも、ここには一軒もありません。；春子さんにいっても同じよ、彼女のいる民宿へすぐにひっぱっていかれる。；奥さんが急に口を開いたのは、民宿の玄関が見えた時だった。；ホテルのほかにも、ペンションや民宿などの宿泊施設に数百の部屋がある。；今回の場合はきみが未成年だということで特に民宿を認めたわけだ。；ホテルと民宿は合わせて2万ベッド以上の収容力を持っている。；まだ島内に数軒の旅館と民宿が残っているが、すでに日は暮れかけている。；女は犯人たちに車で連れ去られ、男が近くの民宿へ助けを求めて駈け込んだ。；一方、震災前に2軒あった民宿はどちらも再開しておらず、食堂等もない。；真紀子が気がついたおかげで、民宿の一同はきわどいところで救われた。；民宿の管理人および二人の男客がなにか仕掛けたにちがいない。</t>
        </is>
      </c>
      <c r="J8139">
        <f>HYPERLINK("https://www.weblio.jp/content/民宿", "词义详情")</f>
        <v/>
      </c>
      <c r="K8139">
        <f>HYPERLINK("https://yourei.jp/民宿", "查看例句")</f>
        <v/>
      </c>
    </row>
    <row r="8140">
      <c r="A8140" t="inlineStr">
        <is>
          <t>民俗</t>
        </is>
      </c>
      <c r="B8140" t="inlineStr">
        <is>
          <t>成功</t>
        </is>
      </c>
      <c r="C8140" t="inlineStr">
        <is>
          <t>読み方：みんぞく
古くから民間に伝承してきた風俗・習慣。</t>
        </is>
      </c>
      <c r="D8140" t="inlineStr">
        <is>
          <t>民俗的(8%)；民俗社会(5%)；民俗学(4%)；民俗博物館(4%)；民俗行事(3%)</t>
        </is>
      </c>
      <c r="F8140" t="inlineStr">
        <is>
          <t>日本民俗；民俗技術；民俗慣行；民俗舞曲；民俗衣装</t>
        </is>
      </c>
      <c r="G8140" t="inlineStr">
        <is>
          <t>民俗学者；民俗資料；民俗音楽；民俗芸能；民俗舞踊</t>
        </is>
      </c>
      <c r="H8140" t="n">
        <v>29</v>
      </c>
      <c r="I8140" t="inlineStr">
        <is>
          <t>当時、彼は旅行中の民俗グループの民族音楽に大きな影響を受けていた。；おまけに最近では、地方の風習や民俗を題材にして小説まで書いている。；公演内容も大半が享楽的な大衆文化公演と剥製化された民俗遊びだった。；たとえば、日本民俗学だけにたよってこの問題を解くことはできません。；州内では文化、歴史、民俗に焦点を当てた多くの祭も開催されている。；すべて民俗芸術の成立は、たつた一つの原因からばかりは見られない。；現代ならともかく、過去の民俗社会では死んだ子供が祟ることはない。；故郷のコッガラ村には、その活動を記念して民俗博物館が建てられた。；師と呼ぶ方は、民俗方面では第一に折口信夫先生、第二に柳田国男先生。；民俗文化センターは取り壊されず、現在もそのままの状態となっている。；宜野湾市を中心とする沖縄の歴史・考古・民俗・自然を専門分野とする。；民俗社会における「神隠し」とはどのような出来事であったのだろうか。；現在、兵庫県博物館協会、全国歴史民俗系博物館協議会に加入している。；それぞれの建物は内部を公開しており、江戸時代の民俗関係の資料が展示されている。；竹富島の民俗研究に功績があり、島の自然を守る思想的指導者的存在であった。；明らかに民俗社会の天狗は、かつてのようなパワーを失ってしまっている。；それらが複合した形態をもって、一つの一貫した民俗体系が構築されている。；民俗建築に関する学術文化の向上と普及発展に寄与するために設立された。；民俗的文化の神話上の人物の中には中国仏教と結びついたものもある。；これは今なお生き続けている民俗慣行でも特にカラフルな例である。；民俗技術とは、生活や生産のための用具・用品などの製作技術のことである。；著述のほとんどは美術史であるが、本人は民俗学徒の自覚をもっていた。；歴史・民俗・自然科学の総合博物館として、宮崎県内の資料を展示する。；アイヌの民俗や文化は芸術家なら誰でもとりつかれるものだからよ。；これに関連する民俗的事象については「人間との関係」の項を参照のこと。；これをもとにこれまで数多くの民俗調査がおこなわれてきた。；後者はこの地方の豊かな民俗文学にも関連している。；民間信仰・民俗芸術の上の諸相は、単純化の容易に行はれるものではない。；キルヒヴァイの他に、村祭りや民俗祭がそれぞれの伝統に則って開催される。</t>
        </is>
      </c>
      <c r="J8140">
        <f>HYPERLINK("https://www.weblio.jp/content/民俗", "词义详情")</f>
        <v/>
      </c>
      <c r="K8140">
        <f>HYPERLINK("https://yourei.jp/民俗", "查看例句")</f>
        <v/>
      </c>
    </row>
    <row r="8141">
      <c r="A8141" t="inlineStr">
        <is>
          <t>民族</t>
        </is>
      </c>
      <c r="B8141" t="inlineStr">
        <is>
          <t>成功</t>
        </is>
      </c>
      <c r="C8141" t="inlineStr">
        <is>
          <t>読み方：みんぞく
言語・人種・文化・歴史的運命を共有し、同族意識によって結ばれた人々の集団。「騎馬—」「少数—」</t>
        </is>
      </c>
      <c r="D8141" t="inlineStr">
        <is>
          <t>民族的(3%)；民族文化；民族構成；民族グループ；民族解放戦線</t>
        </is>
      </c>
      <c r="E8141" t="inlineStr">
        <is>
          <t>部族；種族；人種；エスニックグループ</t>
        </is>
      </c>
      <c r="F8141" t="inlineStr">
        <is>
          <t>テュルク系民族；北方民族；様々な民族；主要民族；山岳民族</t>
        </is>
      </c>
      <c r="G8141" t="inlineStr">
        <is>
          <t>民族的；民族音楽；民族主義者；民族衣装；民族学</t>
        </is>
      </c>
      <c r="H8141" t="n">
        <v>29</v>
      </c>
      <c r="I8141" t="inlineStr">
        <is>
          <t>ただし現在のような民族構成になったのは第二次世界大戦以降である。；また、ここから転じて中国全土や中国の主要民族を指す名称ともなった。；これらの民族に属する者は実際には数字よりもかなり多いと考えられている。；しかし、幕末までは民族の伝統に即した命名のもとに人生を送っていた。；武器はその能力以外に民族や権力の象徴のような特別な意味を持つ場合がある。；各個人が自由な実存のうちに民族の実存を求めているのであればよい。；ある民族の言語が国語になれば、その民族が国を支配するからである。；民族の違いは若い年代ではあまり意味を持たなくなりつつある。；軍事力は中央政府に統一されたが、連隊以下は民族別編成とされている。；文明初期の中心となったのは民族系統が不明のシュメール人である。；ドニエプル川流域では古代よりさまざまな民族が生活の拠点を築いてきた。；西ローマ帝国の崩壊後、この都市はさまざまな民族による支配を受けた。；ロンドンは多くの民族的な多様性から料理の幅がかなり広い。；ブルガール人はおそらくフン族の民族同盟の主要構成員であったであろう。；中国大陸の民族も少なくとも紀元前300年までに天気を予測していた。；旧明領の漢人以外の民族には有力者に土司の地位を与え統治させた。；一部の資料では連邦軍やアフリカ民族解放戦線でも運用されているとされる。；書かれた言語や民族、国、時代などを限定して研究することも多い。；また、宗教・民族の少数者を差別した記事を載せた場合の罰則もある。；これらの植民地も第二次世界大戦後民族独立の波に乗って次々に独立していった。；こうして3つの国家、2つの国民、1つの民族と呼ばれる時代が始まる。；多民族・多言語国家であり、民族とカーストが複雑に関係し合っている。；現在のアフリカ各国の国境線は地形や民族構成などを反映しない単純な直線が多い。；約2000年前ごろ、この地域にはポリネシア系民族が住みついていた。；いずれにせよ混成民族であることはすべての欧州国家の例にもれない。；ペルー太平洋岸の民族にはポリネシアとの交流を示唆する伝承が存在する。；しかしこの時点では、どの民族も「帝国からの独立」を望んではいなかった。；州内では市民の歴史遺産を祝って多くの民族祭が開催されている。；帝国内の各民族の地位については、時代が下るにつれて向上してきていた。</t>
        </is>
      </c>
      <c r="J8141">
        <f>HYPERLINK("https://www.weblio.jp/content/民族", "词义详情")</f>
        <v/>
      </c>
      <c r="K8141">
        <f>HYPERLINK("https://yourei.jp/民族", "查看例句")</f>
        <v/>
      </c>
    </row>
    <row r="8142">
      <c r="A8142" t="inlineStr">
        <is>
          <t>みんな</t>
        </is>
      </c>
      <c r="B8142" t="inlineStr">
        <is>
          <t>成功</t>
        </is>
      </c>
      <c r="C8142" t="inlineStr">
        <is>
          <t>読み方：みんな
「みな」の撥音添加。「一人で—食べてしまう」「—、集まれ」→みな（皆）</t>
        </is>
      </c>
      <c r="D8142" t="inlineStr">
        <is>
          <t>みんな同じ；みんな死ん；みんなそれぞれ；みんな忘れ；みんな知ってる</t>
        </is>
      </c>
      <c r="E8142" t="inlineStr">
        <is>
          <t>広く；全員；皆；あらゆる；全ての</t>
        </is>
      </c>
      <c r="F8142" t="inlineStr">
        <is>
          <t>わたしたちみんな；みんな逃げ；みんな心配；みんな疲れ；みんな一様</t>
        </is>
      </c>
      <c r="G8142" t="inlineStr">
        <is>
          <t>みんなの党；みんなといっしょ；みんなみんな；みんないっしょに；みんな元気</t>
        </is>
      </c>
      <c r="H8142" t="n">
        <v>29</v>
      </c>
      <c r="I8142" t="inlineStr">
        <is>
          <t>決まっているのは一人ではなくみんなで力を合わせて挑戦する宿題だけ。；出演者はみんなこれは面白い作品になりそうだと大変撮影に入れ込んだ。；現代の若者達は、意識の奥でみんなババを引いてしまったと感じている。；周りの者がみんな逃げて一人残った高時の前に数名の田楽法師が現れる。；日本だってみんながその気になれば、あのくらいのものは出来ると思うの。；ある日、馬がみんなどこかへ連れて行かれて、友だちを失ってしまった。；一人目は外国で酒を買ってきたのがいいがみんな飲んでしまった。；その場の人たちみんなから寄せられる信頼、それを強く感じるからだ。；どちらかと言うと、みんなが来てくれる感じになっていったんです。；クラスのみんなが教室に来てみたら教室の窓ガラスが割れていたのだ。；どうしてみんな普通に自分達の名前をバンド名にしないのかな?；しかし、この二人の恋愛は周りのみんなから祝福されるものではなかった。；今はみんなロボットみたいでどれもこれも顔は違うけど言っていることは同じだわ。；インディアンにとって土地はみんなのものであり、だれのものでもない。；みんな大人になってどうでもいいこと話さなくなるじゃないですか。；しかし、またみんなが同じ夢を見た夜、夢の中の世界は荒れ果てていた。；スタジオにみんなで集まってやらないと、この番組の雰囲気は出ないんですよ。；互いに自分の主張ばかりで歩み寄りが少ない、みんながそうだったんです。；みんながこの老人が八仙の一人だと気づいたのは、老人が去ってからである。；決局、プロの現場に残った者はほとんどおらず、みんなカタギになった。；それはレーザービームのように一致し、みんな同じ方向を向いていた。；私は神様に、私たちみんなを一緒にいさせてくださるように祈りました。；「みんなで探検」モードでは残機はプレイヤー全員で共有となっている。；同時に、みんなでゲーム作りをする楽しみを覚えたと語っていた。；すると他のみんなも自分の名前をつけるべきだといい始め、争いになってしまう。；実はあの機械は、みんなの夢を繋げて、みんなで同じ夢を見る装置だった。；響の周りにいる少女たちは、みんな明確な夢を持って行動している。；でも、俺が受けた反応はみんなが俺を無視するってことだけだった。；これはみんなであり、また同時に誰でもないことを具象化している。</t>
        </is>
      </c>
      <c r="J8142">
        <f>HYPERLINK("https://www.weblio.jp/content/みんな", "词义详情")</f>
        <v/>
      </c>
      <c r="K8142">
        <f>HYPERLINK("https://yourei.jp/みんな", "查看例句")</f>
        <v/>
      </c>
    </row>
    <row r="8143">
      <c r="A8143" t="inlineStr">
        <is>
          <t>民謡</t>
        </is>
      </c>
      <c r="B8143" t="inlineStr">
        <is>
          <t>成功</t>
        </is>
      </c>
      <c r="C8143" t="inlineStr">
        <is>
          <t>読み方：みんよう
民衆の、労働・儀礼などの集団の場において自然に発生し、伝承されてきた歌謡。素朴な生活感情を反映し、地域性が強い。遊び歌・祝い歌・仕事歌・酒盛り歌・盆踊り歌などがある。広義には俗謡・新民謡なども含む。俚謡(りよう)。</t>
        </is>
      </c>
      <c r="D8143" t="inlineStr">
        <is>
          <t>民謡歌手(3%)；民謡風(2%)；民謡集；民謡調；民謡コンクール</t>
        </is>
      </c>
      <c r="E8143" t="inlineStr">
        <is>
          <t>フォークソング</t>
        </is>
      </c>
      <c r="F8143" t="inlineStr">
        <is>
          <t>古い民謡；伝統的な民謡；ハンガリー民謡；朝鮮民謡；津軽民謡</t>
        </is>
      </c>
      <c r="G8143" t="inlineStr">
        <is>
          <t>民謡をたずねて；民謡女子ハピネス組；民謡ガールズ</t>
        </is>
      </c>
      <c r="H8143" t="n">
        <v>29</v>
      </c>
      <c r="I8143" t="inlineStr">
        <is>
          <t>この地域に伝わる民謡の通りにカエルの像のボタンを押すと扉が開いた。；民謡なのでさまざまな歌詞があるが、次のものが一般的だといわれている。；これに関連し、作曲時にハイドンが参考にした可能性がある民謡がある。；元々はイギリスの民謡を元に作られたといわれているが、詳細は不明である。；初期の作品はアルメニアの民謡や宗教曲の旋律が頻繁に使用されていた。；民謡はこの戦いを歌ったもので日露戦争当時に士気高揚のため作られた。；このため、民謡の言葉や魅力を理解できず、その力を信用しきれなかった。；他にも各国の民謡やCMソングなど個性的な選曲のカバーを行っている。；彼の民謡への興味と背景知識はデンマーク人に特別共鳴するのである。；クラリネットにより開始される主題はスウェーデン民謡に基づいている。；民謡を近代化しようとすることは、民謡をだめにすることなのです。；彼女はBalkantonとの契約を果たし、多くの民謡曲を演じた。；儀助は、民謡を好み、市の立つ日は学校を終えてから町へ通うようになる。；世界の民謡一覧は、主に世界に存在する日本以外の民謡を集めた項目である。；ルーマニア民謡で最も広くみられるのは、ドイナと呼ばれるものである。；非常に有名になったために一般には民謡と思われている。；初期の作品は民謡を題材にとった社会主義リアリズムの路線に沿ったものだった。；彼らも作品中で民謡や古い音楽を引用しなかったわけではない。；祖母が民謡教室で講師を務めていたこともあり、2歳から民謡を歌っていた。；比較的最近に、相馬地方に伝わる従来の民謡を合わせて作られたものである。；民謡風の旋律であるが西洋音階を取り入れた新しい型の楽曲である。；ニ長調の第2主題はクラリネットで明るく出るが、やはり民謡風である。；またフランスにも、おそらく同じ源流と思われる同様の内容の民謡が現存する。；無名の作者による民謡のような類で、世代から世代へと受け継がれてきた。；またFMPの職員は民謡の調査を行い、現在でいう音楽民族学に貢献した。；第1の時期にはピアノ・ソナタ第1番のように民謡が創作の源となっていた。；各地の祭りでも民謡が聞かれないところはない程で、民謡専門番組も放送されている。；このビールには長寿の効果があるといわれ、民謡にも謳われている。；古い民謡のメロディーが借用されたという説もあるが詳細はわかっていない。</t>
        </is>
      </c>
      <c r="J8143">
        <f>HYPERLINK("https://www.weblio.jp/content/民謡", "词义详情")</f>
        <v/>
      </c>
      <c r="K8143">
        <f>HYPERLINK("https://yourei.jp/民謡", "查看例句")</f>
        <v/>
      </c>
    </row>
    <row r="8144">
      <c r="A8144" t="inlineStr">
        <is>
          <t>無</t>
        </is>
      </c>
      <c r="B8144" t="inlineStr">
        <is>
          <t>成功</t>
        </is>
      </c>
      <c r="C8144" t="inlineStr">
        <is>
          <t>読み方：ぶ
⇒む</t>
        </is>
      </c>
      <c r="D8144" t="inlineStr">
        <is>
          <t>無関心(8%)；無防備(3%)；無制限(3%)；無期限(3%)；無影(2%)</t>
        </is>
      </c>
      <c r="E8144" t="inlineStr">
        <is>
          <t>逆；非；不；未；否</t>
        </is>
      </c>
      <c r="F8144" t="inlineStr">
        <is>
          <t>無雑作；無投票；無い事；無作為；無反応</t>
        </is>
      </c>
      <c r="G8144" t="inlineStr">
        <is>
          <t>無理；無視；無事；無く；無料</t>
        </is>
      </c>
      <c r="H8144" t="n">
        <v>29</v>
      </c>
      <c r="I8144" t="inlineStr">
        <is>
          <t>また、自分に直接関知しないことには無関心であったとも言われている。；島内の至る所で猫が無防備な姿でいるため、猫好きの人間もよく訪れる。；議会の無関心の一方でロベスピエールはこの事件に注目して記事を執筆した。；無誘導の兵器であったが、自動的に高度を維持する装置は必須であった。；簡単な管理、無制限のユーザー数、無制限のデータサイズなどを特徴とする。；引用は権利者に無許可で行うことができ、これは著作権侵害にならない。；設置基準で病室の半数は無差額でなければならないと定められている。；この理論によれば量子宇宙は無からトンネル効果により生成したとされる。；擬人名とは人間以外の動物や無生物、行為などを擬人化して呼ぶ名前である。；しかし、必ずしもその論を無批判で受け入れたわけではない。；学道を完成してこれ以上に学ぶ要がないので阿羅漢果を無学位という。；代謝と生殖をしないものは無生物であり、移動し感覚のあるものは動物である。；毎年一度、年齢、性別無制限で開催される国内大会で最も権威のある大会。；アクセント核のない型を無核型、アクセント核のある型を有核型と言う。；泳いで移動するときも有眼側が上、無眼側が下となっている。；他宗教と比べて特徴的なのはの無所有であり、とくに裸行派の伝統に強く生きている。；後継の万国電信連合は同年に企業の無制限参加を認めている。；咽喉への感染では、喉が痛くなり痰が増えたりするが無症状の場合もある。；剣を抜く・しまう動作中は防御も出来ない無防備な状態となる。；ここで名前の無いカードと無のカードが一体となり「ホープ」のカードとなる。；一切の生物はプシュケーを有しており、これを以て無生物と区別されるとした。；前述のように、無利子銀行には無配当の口座と有配当の口座が存在する。；もちろん許容値を超える無信号があった場合は無信号絶対停止のためEBが動作する。；無停車通過を前提とするため、列車自体の到達時間も短縮する。；ただし、実際には限定的ではなく無差別的で、民間人の死傷者も出ている。；しっかりした分類が無い国もあるが、その一方で明確な分類ルールを定めている国もある。；これは無制限の時間停止が可能になるとゲームバランスが崩れるため。；特に皇后テオドラは単性論が無制限に受け入れられることを望んだであろう。；被造物はそれ自体では存在すらできない純粋な無である。</t>
        </is>
      </c>
      <c r="J8144">
        <f>HYPERLINK("https://www.weblio.jp/content/無", "词义详情")</f>
        <v/>
      </c>
      <c r="K8144">
        <f>HYPERLINK("https://yourei.jp/無", "查看例句")</f>
        <v/>
      </c>
    </row>
    <row r="8145">
      <c r="A8145" t="inlineStr">
        <is>
          <t>無意義</t>
        </is>
      </c>
      <c r="B8145" t="inlineStr">
        <is>
          <t>成功</t>
        </is>
      </c>
      <c r="C8145" t="inlineStr">
        <is>
          <t>読み方：むいぎ
［名・形動］意義のないこと。価値がなくつまらないこと。また、そのさま。無意味。⇔有意義。
「そんな—な死に方を」〈山本有三・同志の人々〉</t>
        </is>
      </c>
      <c r="D8145" t="inlineStr">
        <is>
          <t>無意義なる(6%)；無意義なもの(5%)</t>
        </is>
      </c>
      <c r="E8145" t="inlineStr">
        <is>
          <t>空；無意味；ナンセンス；出鱈目；ささい</t>
        </is>
      </c>
      <c r="H8145" t="n">
        <v>29</v>
      </c>
      <c r="I8145" t="inlineStr">
        <is>
          <t>僕はいつも思ふ事だが多数の文字を扱つたものは無意義な努力だと思ふ。；しかしそれが正しいことは直ちに自分の労作を無意義にするものでない。；それも無意義ではなかったが、もう今日に至っては、意義も理由もない。；私は自分の内にメフィストが住むのもまた無意義でなかったと思う。；彼女が会を設立した意味は今日ほど無意義なものではなかった。；これは日本にとって、どういう角度からも決して無意義なことではない。；そこで私は、窒素は決して無意義に人体に出入りして居るのではない。；それを無意義だとすると、なんの興行だって無意義になりはすまいか。；唯だ私が存在した事も、弟の存在には決して無意義でもなかつた。；しかしそれは国防が不必要であり無意義であるという意味ではない。；私が常磐津の稽古をしてゐるといふと町田さんはそれは無意義ですねといつた。；私は二十世紀の文明は皆な無意義になるんじゃないかと思う。；それを思うと母が死んだのは矢張無意義ではないのでした。；しかし、馬がすでに死んでしまったあとで、その馬がなん里走るとわかっても無意義だ。；従つて日本の学校でやる、講釈の倫理教育は、無意義のものだと考へた。；物の本体を証得しないものには形も声も無意義である。；いや、少くとも、私はその死を無意義にしてはならないのでした。；無意義だと思うのは、人間が窒素の価値に気がつかぬに過ぎないのだと考えました。；要するに此の意味にての国民性を言ふは殆ど無意義なり、重語なり。；四六時ちゅう勝手に降ったり上ったりする、じつに無意義な灰色の水粒だ。；この問題に比する時、自余の諸問題は殆んど無意義なるが如き感がある。；然し此の旅行は決して無意義ではなかつたのであります。；この世をただ無意義だときめてしまうのではなく、もっと生きていることを大切にしなくてはいけないだろう。；こういう自然の中に生まれた国民のまねを日本人がしようとするのはほんとうに無意義なことである。；否、日々、己れの生存を続けてゆくことさえ、今は全く無意義とさえ思われてきていた。；かくの如き無意義の恐怖が権力説において最も適当なる道徳的動機であると考える。；賦物の如き、無意義な制約の守られて居たのも、出発点がさうだからである。；だから、歴史的にも、風俗的にも無意義であり、従って無価値である。；空想に空想ばかりを積みかさねて無意義に生きて来た自分を見た。</t>
        </is>
      </c>
      <c r="J8145">
        <f>HYPERLINK("https://www.weblio.jp/content/無意義", "词义详情")</f>
        <v/>
      </c>
      <c r="K8145">
        <f>HYPERLINK("https://yourei.jp/無意義", "查看例句")</f>
        <v/>
      </c>
    </row>
    <row r="8146">
      <c r="A8146" t="inlineStr">
        <is>
          <t>無意識</t>
        </is>
      </c>
      <c r="B8146" t="inlineStr">
        <is>
          <t>成功</t>
        </is>
      </c>
      <c r="C8146" t="inlineStr">
        <is>
          <t>読み方：むいしき
［名・形動］
１意識がないこと。正気を失うこと。「—の状態が続く」
２自分のしていることに気づいていないこと。また、そのさま。「—に足が向く」
３精神分析学で、意識下の領域、種々の人間現象の背後にあって影響を与える混沌(こんとん)としたもの。催眠・自由連想・投影検査、麻酔などの薬物作用によってのみ表出が可能となる。潜在意識。</t>
        </is>
      </c>
      <c r="D8146" t="inlineStr">
        <is>
          <t>無意識下(12%)；無意識界(5%)；無意識的(5%)；無意識状態(3%)；無意識層(2%)</t>
        </is>
      </c>
      <c r="E8146" t="inlineStr">
        <is>
          <t>不覚；前後不覚；人事不省；無意識的；無自覚</t>
        </is>
      </c>
      <c r="F8146" t="inlineStr">
        <is>
          <t>全く無意識</t>
        </is>
      </c>
      <c r="H8146" t="n">
        <v>29</v>
      </c>
      <c r="I8146" t="inlineStr">
        <is>
          <t>意識してやったような気もするし、無意識の行動だったような気もする。；ここで議論の中心となっているのは、人間の無意識の欲望の概念である。；一番上に置かれてある一巻の経文を手に取ると若侍は無意識に開けた。；これは、人が無意識に光のある方向に動くことを応用したものである。；ガンはこの音楽性への変化は無意識のうちに行われたと主張している。；同時にあらゆるものの価値の急激な修正が無意識のうちに行はれてゐる。；画家達は激しい作品からの衝撃を無意識的に避けようとするのであらう。；深い無意識や時間の境界を越えた空間まで小説の中に登場している。；真の芸術家は彼が制作するときには常に半ば自分自身のことには無意識である。；しかし選んで棄てたものとは思われない、無意識に棄てているのである。；動物好きで、捨てられているのを見つけると無意識に拾ってきてしまう。；つまり、日本人の神社への対し方はおよそ無意識的なものである。；而も大概の人は此事を自身には少しも感ぜず、全く無意識に行うて居る。；無意識のうちに品のあるものを選び無意識のうちにそれが表現されている。；こういう風に一つに集まると、彼等は無意識のうちにその力を頼んでいた。；その行動は全く無意識にやったことだと、ウッドラフはあとで強調している。；たまたま円満な家庭との評を得たのはその無意識な結果に過ぎないのです。；自分で現在認識しておらず、努力しても思い出せない内容を無意識という。；意味性以前の言葉の無意識性にまで遡ろうとする前衛的な句風である。；なにか無意識で予想していた人物がいたような気がするがそれもどこかに消し飛んだ。；まったく無意識の動き、体だけが自然に動いた反射的な動きだった。；その仕事の慾望が半ば無意識にあの言葉を吐かせたと見ることである。；知らず知らず無意識のうちに、なるべく敵が少ないところを選んだりしてない?；無意識を活用すれば、人は超記憶などの超人的な力を発揮できるとしている。；自我は人間の精神において無意識と外部環境とを調整するように努力する。；また涎は、口から無意識のうちに外部へと流れ出てしまった唾液を指す。；助けなくては、とまったく無意識のまま詠の背中へと銃を向けた。；楼主も女将も自分が何を言っているのか全然無意識状態にあった。；それに昔からの馴染で、出るとつい自然に無意識に足が向いてしまうんだよ。</t>
        </is>
      </c>
      <c r="J8146">
        <f>HYPERLINK("https://www.weblio.jp/content/無意識", "词义详情")</f>
        <v/>
      </c>
      <c r="K8146">
        <f>HYPERLINK("https://yourei.jp/無意識", "查看例句")</f>
        <v/>
      </c>
    </row>
    <row r="8147">
      <c r="A8147" t="inlineStr">
        <is>
          <t>無意味</t>
        </is>
      </c>
      <c r="B8147" t="inlineStr">
        <is>
          <t>成功</t>
        </is>
      </c>
      <c r="C8147" t="inlineStr">
        <is>
          <t>読み方：むいみ
［名・形動］意味のないこと。価値なく、つまらないこと。また、そのさま。無意義。ナンセンス。「—な論争」
[派生]むいみさ［名］</t>
        </is>
      </c>
      <c r="D8147" t="inlineStr">
        <is>
          <t>空；無駄；無力；無益；ナンセンス</t>
        </is>
      </c>
      <c r="H8147" t="n">
        <v>29</v>
      </c>
      <c r="I8147" t="inlineStr">
        <is>
          <t>こういうお別れの無意味な相手をすることは一層面倒であったからだ。；今日を最後の日とし今年を最後の年と思うほど、無意味なことはない。；それが無意味でないためにはそこに座標が予想されていなければならない。；そうしてその無意味なところに、余は一種の価値を見出して喜んでいる。；それでは空間に於て結合と計量とを区別することは全く無意味であるのか。；かういふお別れの無意味な相手をすることは一層面倒であつたからだ。；は、本書が無意味な世界で生き続ける方法を示した一冊であると評した。；意味あると考へ過ぎるのも、又無意味だと考へるのもよくないのである。；この特性から、手話等と違って無意味な音を伝達することも可能である。；こうした用語の拡大は無意味であるようにさえ見えるかも知れない。；存在を一般に主観的であるとか客観的であるとか呼ぶのは無意味である。；もしそうでなければ今日の同人雑誌ぐらい無意味なものはないだろう。；もし客観的な価値が存在しないとすれば、人生は無意味なのだろうか?；精神能力を交換したり精神能力を蓄積したりすることは、無意味であろう。；此の立場から他人に彫らせると云ふ事は如何な場合でも無意味である。；人生が形而上的に巨大なる無意味だといい得る事はこの処から確証を得る。；しかし、なんのために、なんのために、この無意味な試練が必要なんだ?；そのいずれも無意味だが、帰るべきものとすれば一刻も早い方がよい。；だから形が出来ていても、内容が無ではそれは無意味な書といわねばなりません。；自らに対して有する債権を存続させても無意味であるという理由による。；意味を知りすぎた人間が意味から無意味へ駈けこんで行ぐ遁走ですよ。；これはもう一度、反事実的条件をランダムに尋ねることが無意味になる。；しかし打ち出しができない為、出玉を受けることができず無意味である。；我々の忠勇の血をこれ以上無意味に浪費することをやめてもらいたい。；無意味に束縛されていた人々が、今度は無意味に解放されるようになった。；危険と無意味さを認識して、接近や消火のための努力は払われなくなった。；ただし、改正後も例外が多く無意味になっているともされている。；この際より強い動機が決定させたということを強制ととるのは無意味である。；しかしながら神を棄て神を否定する時人生は全然無意味となるを如何。</t>
        </is>
      </c>
      <c r="J8147">
        <f>HYPERLINK("https://www.weblio.jp/content/無意味", "词义详情")</f>
        <v/>
      </c>
      <c r="K8147">
        <f>HYPERLINK("https://yourei.jp/無意味", "查看例句")</f>
        <v/>
      </c>
    </row>
    <row r="8148">
      <c r="A8148" t="inlineStr">
        <is>
          <t>向かい</t>
        </is>
      </c>
      <c r="B8148" t="inlineStr">
        <is>
          <t>成功</t>
        </is>
      </c>
      <c r="C8148" t="inlineStr">
        <is>
          <t>読み方：むかい
１向き合っていること。正対すること。また、正面。「駅の—にある喫茶店」
２自分の家の正面にある家。また、その家の人。「お—の坊や」</t>
        </is>
      </c>
      <c r="D8148" t="inlineStr">
        <is>
          <t>向かうべく；向かう支線；向かう道すがら；向かう上りホーム；向かう下りホーム</t>
        </is>
      </c>
      <c r="E8148" t="inlineStr">
        <is>
          <t>行く；反対；抵抗；対戦；対抗</t>
        </is>
      </c>
      <c r="F8148" t="inlineStr">
        <is>
          <t>向かう公共交通機関；向かう最短ルート；向かうローカル列車；向かう行楽客；向かう増援部隊</t>
        </is>
      </c>
      <c r="H8148" t="n">
        <v>29</v>
      </c>
      <c r="I8148" t="inlineStr">
        <is>
          <t>駅に向かう通路には屋根が設置されていたが、ホームには屋根がなかった。；ここまでの区間は名神経由で各地へ向かう高速バスも多く通過している。；この場合で当駅より先に向かう場合は、隣のホームに移動する必要がある。；川を挟んで東側には大口東総合病院、川沿いに北へ向かうと公園がある。；愛に抱かれ、ここで統一された多様な力は再び外へ向かって広がりゆく。；しかし鎮圧に向かった兵士は次々に反乱を起こして労働者側についた。；生きのこったものは東西へ移動したが、南北には向かおうとしなかった。；階段に向かおうとしたが、廊下にでるための扉には鍵がかかっていた。；ロシア第1軍が救助に向かおうと試みたときには既に大勢は決していた。；その厳しい関門を私たちは突破していよいよ南壁に向かおうとしている。；火薬が後方から起爆されると、爆発は後方から前方に向かって進行する。；またホームの向かいに乗務員・保線要員が利用していた鉄道建物がある。；南の道はタジキスタンに向かうが、北の道はキルギスの南部を通過する。；脚本も同様に、どこからストーリーを始めてどこに向かって進んでいくのか。；噂が噂を呼び、農民たちは目をつりあげて権田村に向かおうとしていた。；かれが向かおうとしているのは、ダーナたちがいるのとは反対の方角だ。；二階の入院室へと向かおうと診療室に出たときに、インタホンが鳴った。；二人は町を出てどこかへ向かおうとしたのかが議論の的になった。；その後モスクワへ向かい、その地の赤衛隊を用いて町の制圧に貢献した。；桜のクラスを覗いて、誰もいない事を確認したらバイトに向かえばいい。；奇数番号車のドアは品川方に向かって開き、偶数番号車はこの逆に開く。；すなわち、当駅から三次方面へ向かう際にはICカードの利用ができない。；同年パリにある国立現代東洋語学校へ向かい、日本語と中国語を学んだ。；また、駅からバスターミナルへ向かう際は横断歩道を渡る必要があった。；この絵が学生たちに好評だったことが、ルイスをこの方向に向かわせた。；ピクセルは通常、左下から右下へ、これを下から上に向かって保存する。；彼らは、過去に亡命したことのあるクリミア半島へ向かおうとしていた。；二人で広い道に向かおうとしたちょうどそのとき、道の先で騒ぎが起こった。；どうやら彼は、大野夕雨子が殺された現場に向かおうとしているようだ。</t>
        </is>
      </c>
      <c r="J8148">
        <f>HYPERLINK("https://www.weblio.jp/content/向かい", "词义详情")</f>
        <v/>
      </c>
      <c r="K8148">
        <f>HYPERLINK("https://yourei.jp/向かい", "查看例句")</f>
        <v/>
      </c>
    </row>
    <row r="8149">
      <c r="A8149" t="inlineStr">
        <is>
          <t>向かい合う</t>
        </is>
      </c>
      <c r="B8149" t="inlineStr">
        <is>
          <t>成功</t>
        </is>
      </c>
      <c r="C8149" t="inlineStr">
        <is>
          <t>読み方：むかいあう
［動ワ五（ハ四）］互いに相手の正面に向く。相対する。むきあう。「テーブルを挟んで—・う」</t>
        </is>
      </c>
      <c r="D8149" t="inlineStr">
        <is>
          <t>向かい合う二人</t>
        </is>
      </c>
      <c r="E8149" t="inlineStr">
        <is>
          <t>向かう；対戦；対抗；向う；出会う</t>
        </is>
      </c>
      <c r="F8149" t="inlineStr">
        <is>
          <t>はさんで向かい合う；互いに向かい合う；隔てて向かい合う</t>
        </is>
      </c>
      <c r="H8149" t="n">
        <v>29</v>
      </c>
      <c r="I8149" t="inlineStr">
        <is>
          <t>隣のテーブルでは、仲の良さそうな男女が向かい合って食事をしている。；ところが、驚いたことにもう一人の人間が彼と向かい合って坐っている。；私と向かい合うように置いてあるテレビは、午後から雨だと告げている。；他に誰もいないところで、俺たちと向かい合いたくないのかもしれない。；姉と弟で向かい合って立っているのが、どこか別の世界のことのようだ。；ミラーの向こう側には灰色の髪の少年と近江が向かい合って座っている。；いざ向かい合って坐ってしまうと、何を言っていいのかわからなかった。；下女が茶を持って来るあいだ二人はぼんやり向かい合ってすわっていた。；だが実際彼と向かい合うと正気に戻り、その危険が本当に分かってきた。；こうやって誰かと向かい合って一緒に食事をするのは、珍しいことなんだ。；二人は、この世にもまずそうな食事を挟んでテーブルの前に向かい合った。；関節とは骨と骨の連結部分であり、骨と骨が向かい合っている面がある。；寒夜、二列に向かい合っての総員修正、寒さと痛みだけの存在になった。；子供のころから姉と向かい合うたび奇妙な感じになったものである。；両軍は映画に出てくるような互いに向かい合った形にはならなかった。；互いに向かい合うことで、自分の存在を意識できる鏡のような存在だった。；向かい合って立っている被害者に最初からそんな凶器の用い方はしません。；あるいは、ただ税理士と向かい合っている時間に疲れたのかもしれない。；家にいることを、夫人と向かい合っていることを忘れたような顔をしていた。；いざ向かい合ってみると、私は何を言ったらいいのか、わからなかった。；人の命に終わりがある限り、この恐怖と向かい合わずにはおれないのだから。；原爆ドームがある広島平和記念公園とは道路を挟んで向かい合っている。；彼は自分の意志で影と向かい合い、生きた手でそれをつかまえようとした。；二つ空いていた席がくっ付けられ、四人は二人ずつ並んで向かい合った。；それが終わるとエプロンを取って、黒髪の少女と向かい合う席に着いた。；屍骸を隔てて教授と向かい合った位置には二人の男が講義を聴いている。；左右の棘は向かい合うように内側に弧を描き、内側には数個の歯もある。；かれと向かい合って椅子に座っている二人の男女も同様だった。；二人は間もなく最後の遠慮を撤廃して赤裸裸で向かい合うようになった。</t>
        </is>
      </c>
      <c r="J8149">
        <f>HYPERLINK("https://www.weblio.jp/content/向かい合う", "词义详情")</f>
        <v/>
      </c>
      <c r="K8149">
        <f>HYPERLINK("https://yourei.jp/向かい合う", "查看例句")</f>
        <v/>
      </c>
    </row>
    <row r="8150">
      <c r="A8150" t="inlineStr">
        <is>
          <t>向かう</t>
        </is>
      </c>
      <c r="B8150" t="inlineStr">
        <is>
          <t>成功</t>
        </is>
      </c>
      <c r="C8150" t="inlineStr">
        <is>
          <t>読み方：むかう
［動ワ五（ハ四）］
１ある物・方向を正面に見るように位置する。顔やからだをその方向に向ける。「鏡に—・って化粧する」「舞台に—・って右側を上手という」
２相手とする。「親に—・って生意気な口をきく」
３ある方向をさして動いていく。
㋐目的地を目差して進む。「会場へ—・う」「頂上に—・って歩き出す」
㋑状態・時間がそれに近づく。「快方に—・う」「冬に—・う」「争議が解決の方向に—・う」
４はむかう。対抗する。「敢然として敵に—・う」
５相当する。匹敵する。
「直(ただ)に逢ひて見てばのみこそたまきはる命に—・ふ我(あ)が恋やまめ」〈万・六七八〉
[可能]むかえる
［動ハ下二］向かうようにする。
「母屋(もや)の御座に—・へて大臣(おとど)の御座あり」〈源・若菜上〉</t>
        </is>
      </c>
      <c r="D8150" t="inlineStr">
        <is>
          <t>向かうべく；向かう支線；向かう道すがら；向かう上りホーム；向かう下りホーム</t>
        </is>
      </c>
      <c r="E8150" t="inlineStr">
        <is>
          <t>行く；反対；抵抗；対戦；対抗</t>
        </is>
      </c>
      <c r="F8150" t="inlineStr">
        <is>
          <t>向かう公共交通機関；向かう最短ルート；向かうローカル列車；向かう行楽客；向かう増援部隊</t>
        </is>
      </c>
      <c r="H8150" t="n">
        <v>29</v>
      </c>
      <c r="I8150" t="inlineStr">
        <is>
          <t>駅に向かう通路には屋根が設置されていたが、ホームには屋根がなかった。；ここまでの区間は名神経由で各地へ向かう高速バスも多く通過している。；この場合で当駅より先に向かう場合は、隣のホームに移動する必要がある。；川を挟んで東側には大口東総合病院、川沿いに北へ向かうと公園がある。；愛に抱かれ、ここで統一された多様な力は再び外へ向かって広がりゆく。；しかし鎮圧に向かった兵士は次々に反乱を起こして労働者側についた。；生きのこったものは東西へ移動したが、南北には向かおうとしなかった。；階段に向かおうとしたが、廊下にでるための扉には鍵がかかっていた。；ロシア第1軍が救助に向かおうと試みたときには既に大勢は決していた。；その厳しい関門を私たちは突破していよいよ南壁に向かおうとしている。；火薬が後方から起爆されると、爆発は後方から前方に向かって進行する。；またホームの向かいに乗務員・保線要員が利用していた鉄道建物がある。；南の道はタジキスタンに向かうが、北の道はキルギスの南部を通過する。；脚本も同様に、どこからストーリーを始めてどこに向かって進んでいくのか。；噂が噂を呼び、農民たちは目をつりあげて権田村に向かおうとしていた。；かれが向かおうとしているのは、ダーナたちがいるのとは反対の方角だ。；二階の入院室へと向かおうと診療室に出たときに、インタホンが鳴った。；二人は町を出てどこかへ向かおうとしたのかが議論の的になった。；その後モスクワへ向かい、その地の赤衛隊を用いて町の制圧に貢献した。；桜のクラスを覗いて、誰もいない事を確認したらバイトに向かえばいい。；奇数番号車のドアは品川方に向かって開き、偶数番号車はこの逆に開く。；すなわち、当駅から三次方面へ向かう際にはICカードの利用ができない。；同年パリにある国立現代東洋語学校へ向かい、日本語と中国語を学んだ。；また、駅からバスターミナルへ向かう際は横断歩道を渡る必要があった。；この絵が学生たちに好評だったことが、ルイスをこの方向に向かわせた。；ピクセルは通常、左下から右下へ、これを下から上に向かって保存する。；彼らは、過去に亡命したことのあるクリミア半島へ向かおうとしていた。；二人で広い道に向かおうとしたちょうどそのとき、道の先で騒ぎが起こった。；どうやら彼は、大野夕雨子が殺された現場に向かおうとしているようだ。</t>
        </is>
      </c>
      <c r="J8150">
        <f>HYPERLINK("https://www.weblio.jp/content/向かう", "词义详情")</f>
        <v/>
      </c>
      <c r="K8150">
        <f>HYPERLINK("https://yourei.jp/向かう", "查看例句")</f>
        <v/>
      </c>
    </row>
    <row r="8151">
      <c r="A8151" t="inlineStr">
        <is>
          <t>迎え</t>
        </is>
      </c>
      <c r="B8151" t="inlineStr">
        <is>
          <t>成功</t>
        </is>
      </c>
      <c r="C8151" t="inlineStr">
        <is>
          <t>読み方：むかえ
来る人を迎えること。迎えに行くこと。また、その人。むかい。「—の車が来る」「—をやる」</t>
        </is>
      </c>
      <c r="D8151" t="inlineStr">
        <is>
          <t>迎えるべく；迎えるべき；迎える個体が多い</t>
        </is>
      </c>
      <c r="E8151" t="inlineStr">
        <is>
          <t>受け入れる；もてなす；迎え入れる；受け容れる；受けいれる</t>
        </is>
      </c>
      <c r="H8151" t="n">
        <v>29</v>
      </c>
      <c r="I8151" t="inlineStr">
        <is>
          <t>この曲は彼を支持する者にも批判的な者にも驚きをもって迎えられた。；周が混乱の時代を迎えると、漢字は各地で独自の発展をすることになる。；アトス山修道院が最大の危機を迎えるのは20世紀になってからである。；また、留学や研究等で青森県内に在住している外国人をゲストに迎える。；そのため、車両自体の寿命を迎える前に大量淘汰を受けることとなった。；その状況でボカはホームにリーベルを迎えて直接対決をする事になった。；そして今、人間族の時代が4000年を迎えるまであと16日となった。；想像されたような激しい競り合いもなく淡々とレースは流れ直線を迎えた。；そこで門下が協議し、冬を迎える前に温泉での療養を行うことになった。；存命であれば1000年代に生まれた全員がこの年に100歳を迎える。；このデータを基にして平均的に何歳までに寿命を迎えるかを出す。；しかしキャンプ中に故障し、調整不足のままシーズンを迎えることになる。；一般にはハッピーエンドとされる形で物語は終幕を迎えるパターンである。；ワインとチーズ文化およびパティスリーの世界も本格的な開明を迎えた。；江戸時代には家元四家を中心としたプロ組織もでき、興隆の時期を迎えた。；仏教信仰に熱心だった西夏支配の敦煌では最後の繁栄の時代を迎えていた。；この場合、いずれも食の最大を迎える前と食の最大を過ぎた後に分類される。；土地はその後分譲され、巡礼者を迎える商店やホテルの建設が行われた。；激動の時代を迎えて、新たな気持ちでまた1からやってみたいと思います。；幹部に昇進すれば京都に家を持ち、妻子や妾を迎えることが許された。；全ヒロインの物語を体験すると、トゥルーエンドを迎えることができる。；だが同月25日の運転開始を前に終戦を迎えたため未実施に終わった。；後にプリアモスの子であることが明らかとなって、王宮に迎えられた。；そのほか夫妻には夫人の娘と、ボリビアから養子に迎えた男児がいる。；試合に出場しない選手をゲスト解説に迎えることがある。；メキシコでは迎える年の願いを示す色で家庭やパーティ会場を飾る。；同年11月18日には東京から多数の来賓を迎えて作業開始式が祝われた。；作品の展開としては、登場人物の一人が物語の中で死を迎えるパターンが多い。；そのためTualatinは本来の性能や魅力を発揮しないまま終わりを迎えた。</t>
        </is>
      </c>
      <c r="J8151">
        <f>HYPERLINK("https://www.weblio.jp/content/迎え", "词义详情")</f>
        <v/>
      </c>
      <c r="K8151">
        <f>HYPERLINK("https://yourei.jp/迎え", "查看例句")</f>
        <v/>
      </c>
    </row>
    <row r="8152">
      <c r="A8152" t="inlineStr">
        <is>
          <t>迎える</t>
        </is>
      </c>
      <c r="B8152" t="inlineStr">
        <is>
          <t>成功</t>
        </is>
      </c>
      <c r="C8152" t="inlineStr">
        <is>
          <t>読み方：むかえる
［動ア下一］［文］むか・ふ［ハ下二］《「向かう」と同語源》
１人の来るのを待ち受ける。「旧友を駅に—・える」「拍手で—・える」
２呼んで、来てもらう。呼びよせる。「医者を—・える」
３招いて仲間や家族に加え入れる。「会長に—・える」「養子を—・える」
４（確実にやってくる）ある時期や段階を目前にする。また、その時期や段階が訪れる。「還暦を—・える」「死を—・える」「正月を—・える」
５よしとして受け入れる。ごきげんをとる。「上司の意を—・える」
６相手の攻撃を待ち構えて防ぐ。「敵を—・える」</t>
        </is>
      </c>
      <c r="D8152" t="inlineStr">
        <is>
          <t>迎えるべく；迎えるべき；迎える個体が多い</t>
        </is>
      </c>
      <c r="E8152" t="inlineStr">
        <is>
          <t>受け入れる；もてなす；迎え入れる；受け容れる；受けいれる</t>
        </is>
      </c>
      <c r="H8152" t="n">
        <v>29</v>
      </c>
      <c r="I8152" t="inlineStr">
        <is>
          <t>この曲は彼を支持する者にも批判的な者にも驚きをもって迎えられた。；周が混乱の時代を迎えると、漢字は各地で独自の発展をすることになる。；アトス山修道院が最大の危機を迎えるのは20世紀になってからである。；また、留学や研究等で青森県内に在住している外国人をゲストに迎える。；そのため、車両自体の寿命を迎える前に大量淘汰を受けることとなった。；その状況でボカはホームにリーベルを迎えて直接対決をする事になった。；そして今、人間族の時代が4000年を迎えるまであと16日となった。；想像されたような激しい競り合いもなく淡々とレースは流れ直線を迎えた。；そこで門下が協議し、冬を迎える前に温泉での療養を行うことになった。；存命であれば1000年代に生まれた全員がこの年に100歳を迎える。；このデータを基にして平均的に何歳までに寿命を迎えるかを出す。；しかしキャンプ中に故障し、調整不足のままシーズンを迎えることになる。；一般にはハッピーエンドとされる形で物語は終幕を迎えるパターンである。；ワインとチーズ文化およびパティスリーの世界も本格的な開明を迎えた。；江戸時代には家元四家を中心としたプロ組織もでき、興隆の時期を迎えた。；仏教信仰に熱心だった西夏支配の敦煌では最後の繁栄の時代を迎えていた。；この場合、いずれも食の最大を迎える前と食の最大を過ぎた後に分類される。；土地はその後分譲され、巡礼者を迎える商店やホテルの建設が行われた。；激動の時代を迎えて、新たな気持ちでまた1からやってみたいと思います。；幹部に昇進すれば京都に家を持ち、妻子や妾を迎えることが許された。；全ヒロインの物語を体験すると、トゥルーエンドを迎えることができる。；だが同月25日の運転開始を前に終戦を迎えたため未実施に終わった。；後にプリアモスの子であることが明らかとなって、王宮に迎えられた。；そのほか夫妻には夫人の娘と、ボリビアから養子に迎えた男児がいる。；試合に出場しない選手をゲスト解説に迎えることがある。；メキシコでは迎える年の願いを示す色で家庭やパーティ会場を飾る。；同年11月18日には東京から多数の来賓を迎えて作業開始式が祝われた。；作品の展開としては、登場人物の一人が物語の中で死を迎えるパターンが多い。；そのためTualatinは本来の性能や魅力を発揮しないまま終わりを迎えた。</t>
        </is>
      </c>
      <c r="J8152">
        <f>HYPERLINK("https://www.weblio.jp/content/迎える", "词义详情")</f>
        <v/>
      </c>
      <c r="K8152">
        <f>HYPERLINK("https://yourei.jp/迎える", "查看例句")</f>
        <v/>
      </c>
    </row>
    <row r="8153">
      <c r="A8153" t="inlineStr">
        <is>
          <t>昔</t>
        </is>
      </c>
      <c r="B8153" t="inlineStr">
        <is>
          <t>成功</t>
        </is>
      </c>
      <c r="C8153" t="inlineStr">
        <is>
          <t>読み方：せき
［音］セキ（漢）シャク（呉）　［訓］むかし
［学習漢字］3年
〈セキ〉過ぎ去った時。久しい以前。むかし。「昔時・昔日・昔年／往昔・古昔・在昔」
〈シャク〉に同じ。「今昔(こんじゃく)」
〈むかし〉「昔話／大昔」
［名のり］つね・とき・ひさ・ふる</t>
        </is>
      </c>
      <c r="D8153" t="inlineStr">
        <is>
          <t>昔どおり；昔馴染み；昔みたい；昔噺；昔なつかしい</t>
        </is>
      </c>
      <c r="E8153" t="inlineStr">
        <is>
          <t>過去；従来；古；従前；往年</t>
        </is>
      </c>
      <c r="F8153" t="inlineStr">
        <is>
          <t>とっくの昔；はるか昔；古い昔；昔からずっと；昔今帰仁按司丘</t>
        </is>
      </c>
      <c r="G8153" t="inlineStr">
        <is>
          <t>昔ながらの；昔日；昔風；昔々；昔ながら</t>
        </is>
      </c>
      <c r="H8153" t="n">
        <v>29</v>
      </c>
      <c r="I8153" t="inlineStr">
        <is>
          <t>今みたいに30球団で、そんな昔よりもレベルは落ちてはいるとは思う。；さらに、晩年になっても友人に昔の作品を処分するよう依頼している。；昔から伝わる妖精は人間と同じかもしくは人間より背が高いとされている。；両者は遥か昔から対立しており、その戦いは現代まで受け継がれてきた。；人類と向精神性作用のある植物との関係は遥か昔まで遡ることができる。；昔生産が盛んだった唐辛子の栃木三鷹を使っての町おこしも行っている。；しかし、実際に昔から日本で使われていたかは不明な武器である。；昔の中国人は徐福が台湾か日本に辿り着いたのではないかと推測した。；文字を特定の符号で扱う手段はコンピュータが誕生するよりも昔から存在した。；日本のダートコースは昔は砂馬場と呼ばれていたものを改良したものである。；日本では雁木を設けて雪が道に積もらないようにする工夫が昔からあった。；自然を保護しようとする考え方は、太古の昔から世界各地に存在していた。；駅がある田川市は、昔の伊田町と後藤寺町が合併して発足した市である。；また同じ漢字で時と読む言葉は、昔の日本の時法における単位である。；ギリシア人は彼らより昔の人々はオークの木の実を食べていたと想像した。；すでに高い科学力をもった文明が昔のこととなった世界。；昔の風合いを出すために、時間をかけずに科学的なと呼ばれる処理も行われる。；その後は弟子や昔の友人と団欒をし、同年12月10日に自宅で死去する。；このため、2つの山は昔は一つではなかったかと推測されている。；北側の川に挟まれた一帯は下鴨神社などがある昔からの住宅街である。；昔は祇園祭の山鉾巡行も行われていたりする歴史のある通りである。；芸人の博多大吉が昔からのファンでライブの度によく花を贈っている。；また、昔の番勝負とは異なり、現代の番勝負ではコミが採用されている。；早くも古代文明の昔に、男女の性愛を描いた絵画や彫刻が存在している。；人類がどれくらい昔から馬に乗るようになったのかということは正確には知られていない。；ヨーロッパでも昔から優等列車にはおおむね愛称が付けられていた。；青い藍染めには防虫効果や汗への消臭効果があって昔から広く使われていた。；今も昔も加持祈祷のために訪れる人が多いことでも知られる。；また、昔あったとされる水堀の面積は現在確認されている城の中で最大を誇る。</t>
        </is>
      </c>
      <c r="J8153">
        <f>HYPERLINK("https://www.weblio.jp/content/昔", "词义详情")</f>
        <v/>
      </c>
      <c r="K8153">
        <f>HYPERLINK("https://yourei.jp/昔", "查看例句")</f>
        <v/>
      </c>
    </row>
    <row r="8154">
      <c r="A8154" t="inlineStr">
        <is>
          <t>昔話</t>
        </is>
      </c>
      <c r="B8154" t="inlineStr">
        <is>
          <t>成功</t>
        </is>
      </c>
      <c r="C8154" t="inlineStr">
        <is>
          <t>読み方：むかしばなし
１以前の出来事・経験などについての話。むかしがたり。むかしものがたり。「今ではすっかり—になった」
２民俗学で、口承文芸の一。子供に語って聞かせるたぐいの、空想的な世界を内容とする話。ふつう、「むかしむかし、ある所に」などの句で始まる。「桃太郎」「舌切り雀」「かちかち山」など。</t>
        </is>
      </c>
      <c r="D8154" t="inlineStr">
        <is>
          <t>昔話集；昔話研究；昔話村；昔話風；昔話大成</t>
        </is>
      </c>
      <c r="E8154" t="inlineStr">
        <is>
          <t>伝え；物語；伝説；伝承；神話</t>
        </is>
      </c>
      <c r="F8154" t="inlineStr">
        <is>
          <t>そんな昔話；老人昔話；こういう昔話；魔法昔話；遠い昔話</t>
        </is>
      </c>
      <c r="G8154" t="inlineStr">
        <is>
          <t>昔話法廷</t>
        </is>
      </c>
      <c r="H8154" t="n">
        <v>29</v>
      </c>
      <c r="I8154" t="inlineStr">
        <is>
          <t>まったく同じ系統の昔話でも、日本のものは韓国のそれとはちがいます。；既存の昔話で起きた展開を現代の法律になぞらえて裁判形式で展開する。；収録された作品は、おとぎ話や昔話を題材とする作品が主となっている。；この類の昔話は、妙にいつまでも心の底にしみ込んで消えぬものである。；まあこういうわけだと、叔父が自分のわかい時の昔話をはじめたのです。；そうして彼等にはまた昔話の、時刻というものがあったらしいのである。；以前は若い人たちの教育に、昔話というものがなかなかよく働いていた。；こういう耳の方言の保存は多分はその背後にある昔話の力であろうと思う。；どうしてあんなに虫好きであったろうと母が今でも昔話の一つに数える。；外場周辺に熊が出たなどという話は老人の眉唾物の昔話でしか聞かない。；また昔話を題材にした作品も黎明期から現在に至るまで作られている。；五年も前の昔話を覚えていた誰かが、今回の作戦に俺を登録したとの事だ。；当たりがないのが気にくわないのか、そもそも昔話は性に合わないのか。；まあ斯ういふわけだと、叔父が自分のわかい時の昔話をはじめたのです。；眠ったままゴチミルに連れ去られる昔話が各地に残っているといわれる。；西洋や中国の有名な昔話も、ことわざも、有名でなくなっているらしい。；父親は好んで昔話を語る人であり、母親は書物を大切にする人だった。；この二十数年、様々の機会に、数多くの昔話に接する機会を私は得た。；どうもこういう古駅には一たいに昔話なぞが少ないのではないかね。；しかし相手が当時からのホステスとなれば、昔話から入るのも仕方はない。；瓢箪石ができた経緯について地元では次のような昔話が伝わっている。；もちろんこれはほんの昔話であるが、ここについ近ごろの事実談がある。；その中でも特に印象が残るとされることが多い題材が「昔話・伝説」である。；中国の昔話にある武陵桃源とは、こういうところのことだったのであろう。；他の昔話同様、いくつかの地方に細部の異なる民話の存在が知られている。；毎回、声優が交代制で童話や昔話などの作品を朗読していくプログラム。；「いいえ、何も」 柄にもなく昔話なんかしたせいだと、彼女は思った。；黒竜など、もう昔話にしか出てこない衰亡した種だと誰もが考えていたのだ。；昔話の語りには「これが最良の語りだ」という統一的な答はありません。</t>
        </is>
      </c>
      <c r="J8154">
        <f>HYPERLINK("https://www.weblio.jp/content/昔話", "词义详情")</f>
        <v/>
      </c>
      <c r="K8154">
        <f>HYPERLINK("https://yourei.jp/昔話", "查看例句")</f>
        <v/>
      </c>
    </row>
    <row r="8155">
      <c r="A8155" t="inlineStr">
        <is>
          <t>むかむか</t>
        </is>
      </c>
      <c r="B8155" t="inlineStr">
        <is>
          <t>成功</t>
        </is>
      </c>
      <c r="C8155" t="inlineStr">
        <is>
          <t>［副］(スル)
１心の奥底から怒りがこみ上げてくるさま。「勝手な言い分に、つい—（と）してくる」
２吐き気がして気持ちの悪いさま。「船酔いで胸が—（と）する」</t>
        </is>
      </c>
      <c r="D8155" t="inlineStr">
        <is>
          <t>むかむかするよう(6%)</t>
        </is>
      </c>
      <c r="E8155" t="inlineStr">
        <is>
          <t>吐き気；悪心；吐気；嘔気；むかつき</t>
        </is>
      </c>
      <c r="H8155" t="n">
        <v>29</v>
      </c>
      <c r="I8155" t="inlineStr">
        <is>
          <t>あのみちるにこんなことをさせていると思うと、むかむかと腹が立った。；車がスタートすると、彼女は胸がムカムカして気分がわるくなってきた。；外国へはまえにも何度か行きましたが、いつも胸がむかむかしましてねえ。；ストーブなんかが変な燃え方をすると、ムカムカすることありますよね。；だから自分も負けずに、ムカムカしていたことをぶつけてやることにした。；喉の痛みは以前にも増してひどくなっており、また胸がむかむかした。；思い出せばムカムカして来るような原とのやりとりの記憶はいくつもある。；とたんに、なにかの毒気にあたったかのように、胸がむかむかして来た。；見ているうちに、「何、真面目に働いているのよ」とムカムカしてきた。；エイビスがいるだけで恐ろしくなり、むかむかして気が遠くなりそうだ。；むかむかとした臭いのする胃液が舌のつけねのあたりまであがってきていた。；だが、彼はむかむかするような自己嫌悪をおさえることができなかった。；最近の親は会社に娘のしつけをさせる気かとムカムカした。；クリストフはそれを不愉快に感じ、腹をたて、心の底までむかむかした。；江戸者の露八には、そうした声や世態が、本能的に、むかむかして来る。；機が地上に下りると、僕は急に胸先がわるくなって、むかむかしてきた。；がさつな人をみると、わたしはむかむかして、腹がたってくるんです。；うまくやられたような気がして、エシリは腹の中がむかむかしてきた。；ニュースで見た鶴嘴を構えた少女のことを思い出すと、胸がむかむかした。；十分も顔を合わせていたら、胸がムカムカして来る此小さな男。；私は胸がむかむかしていたので、自分の感動を彼に証明することができなくて残念だった。；私は非常に驚いたと同時に、胸がムカムカするほど不愉快を感じた。；章二郎が笑ったのは、これだったかと思い、お鶴はむかむかと腹が立った。；今日は皆むかむかして、何かあれば喧嘩を吹きかけたくなっている。；私はまだムカムカしているので、ビールを啜りながら、じっと眺めている。；また、彼らがかならずつけているむかむかするにおいも、消しはしない。；憎しみをこめて彼女のことを思い、あんな女を愛したかと思うとムカムカしてきた。；何のことはない後半のムカムカはお腹が空きすぎて、気分が悪かったのだ。；内心むかむかしていたので、最終検査をいいかげんにやってしまった。</t>
        </is>
      </c>
      <c r="J8155">
        <f>HYPERLINK("https://www.weblio.jp/content/むかむか", "词义详情")</f>
        <v/>
      </c>
      <c r="K8155">
        <f>HYPERLINK("https://yourei.jp/むかむか", "查看例句")</f>
        <v/>
      </c>
    </row>
    <row r="8156">
      <c r="A8156" t="inlineStr">
        <is>
          <t>無関心</t>
        </is>
      </c>
      <c r="B8156" t="inlineStr">
        <is>
          <t>成功</t>
        </is>
      </c>
      <c r="C8156" t="inlineStr">
        <is>
          <t>読み方：むかんしん
［名・形動］関心がないこと。興味を持たないこと。また、そのさま。「—を装う」「教育に—な（の）親」</t>
        </is>
      </c>
      <c r="D8156" t="inlineStr">
        <is>
          <t>無関心ぶり；無関心派；無関心らしく；無関心層；無関心そうに</t>
        </is>
      </c>
      <c r="E8156" t="inlineStr">
        <is>
          <t>冷たい；適当；平気；公平；冷淡</t>
        </is>
      </c>
      <c r="F8156" t="inlineStr">
        <is>
          <t>まったく無関心；ほとんど無関心；まるで無関心；全然無関心；決して無関心</t>
        </is>
      </c>
      <c r="H8156" t="n">
        <v>29</v>
      </c>
      <c r="I8156" t="inlineStr">
        <is>
          <t>もとより青年たる者が時代の流行に無関心でゐられる筈のものではない。；彼が周りの人々に全く無関心なのはすぐにみんな分かってしまいますね。；私は世界の他の場所で起きていることに無関心でいることはできなかった。；また、自分に直接関知しないことには無関心であったとも言われている。；かれらもその女と同じく、ひどい汚れようで、同じように無関心だった。；彼らはホーン岬周辺の厳しい気候に全く無関心だったことで有名だった。；警官はドアのところに立って無関心に私を見ながら歯をつついていた。；わたしは希望したゆえに姉上は無関心だと信じたわけではないのです。；あなたが手紙に無関心になれるなどと言うつもりはありませんでした。；すると、部落の人々も何時とはなしに彼に対して無関心になって行った。；好意を受けてもらおうと思ったことにも無関心でおいでになるのですね。；ときどき夢遊病者のようにぼんやりと無関心でいるようなときがある。；その無関心ぶりでは、巨大な球型宇宙船の修理などできるものではない。；いまは、自分の子供に関係のないことには、まったく無関心なのだった。；あらぬ方を眺め、無関心をよそおっているが、ちゃんと観察はしている。；研究室に錠を下して、殺人にも無関心だし、同情もしようとしないのだ。；しかし、いつもは他人のすることに無関心なタバサにしては意外である。；女戦士たちはまだ無関心で、われわれにも他の誰にも注意を向けていない。；ジーキルは父親以上の関心をもち、ハイドは息子以上に無関心であった。；一、偶然は原因の単に否定に過ぎず、心に全体的な無関心・中立を産む。；多勢の人が見ているのも無関心のようにわき見もしないで急いで行く。；海は、何事にも無関心で、千古のままの波を岸に寄せているらしかった。；君は昨日、僕が無関心だとか同情心がないとかいって非難したっけね。；議会の無関心の一方でロベスピエールはこの事件に注目して記事を執筆した。；そのためには自分自身のことも、自分の財産のことにも無関心なんだ。；こんな時、英語がほとんど分からない夫と何事にも無関心な娘は得である。；無関心とみなす詳細な条件では状況を全体的に考慮すると定められている。；従って、彼が画人であったことなどは、全然、一般には無関心であった。；ここで非平等とは、平等への無関心と積極的な不平等を含む用語である。</t>
        </is>
      </c>
      <c r="J8156">
        <f>HYPERLINK("https://www.weblio.jp/content/無関心", "词义详情")</f>
        <v/>
      </c>
      <c r="K8156">
        <f>HYPERLINK("https://yourei.jp/無関心", "查看例句")</f>
        <v/>
      </c>
    </row>
    <row r="8157">
      <c r="A8157" t="inlineStr">
        <is>
          <t>麦</t>
        </is>
      </c>
      <c r="B8157" t="inlineStr">
        <is>
          <t>成功</t>
        </is>
      </c>
      <c r="C8157" t="inlineStr">
        <is>
          <t>読み方：ばく
［音］バク（漢）　［訓］むぎ
［学習漢字］2年
〈バク〉五穀の一。ムギ。「麦芽・麦稈(ばっかん)・麦秋／燕麦(えんばく)・菽麦(しゅくばく)・精麦・米麦」
〈むぎ〉「麦茶・麦畑／大麦・小麦・裸麦・丸麦」
［難読］蕎麦(そば)・瞿麦(なでしこ)・麦酒(ビール)・麦稈(むぎわら)</t>
        </is>
      </c>
      <c r="D8157" t="inlineStr">
        <is>
          <t>麦畠(3%)；麦子；麦類；麦粒；麦束</t>
        </is>
      </c>
      <c r="E8157" t="inlineStr">
        <is>
          <t>小麦；コムギ；麦芽</t>
        </is>
      </c>
      <c r="F8157" t="inlineStr">
        <is>
          <t>青麦；ビール麦；麦州；麦積山；麦孟才</t>
        </is>
      </c>
      <c r="G8157" t="inlineStr">
        <is>
          <t>麦茶；麦酒；麦芽；麦飯；麦藁帽</t>
        </is>
      </c>
      <c r="H8157" t="n">
        <v>29</v>
      </c>
      <c r="I8157" t="inlineStr">
        <is>
          <t>その崩れた穴から数百万の銭が発見されたので、麦などはもうどうでもいい。；しかし、事故麦問題が起きている麦に対してはまだ義務化されていない。；周囲に心配をされても麦との恋に夢中な朝子にはそんな事は気にならなかった。；村というても平地は殆どないが、やや緩やかな傾斜地に麦が作ってある。；ときどきは押麦だけを炊いて、それでカレーライスにすることもあった。；彼に今最も必要なことは、そこに蒔かねばならない麦の種であった。；「ムギ」には麦のほか段丘の意味もあり、地名の由来は複数の説がある。；当時の烏梅は収益率がよく、年によっては米や麦の数倍の値段となった。；麦の畑に生うる雑草を取ることは、彼の半日の仕事として、十分だった。；日本に伝来した麦類は最初は米と同じようには普及しなかった。；原田 麦子は日本で活動するミュージカル俳優およびダンス指導者である。；自作するだけの畑はあったため、サツマイモや麦を交代で作っていた。；そこは一反歩くらいな広い畑で、四五人の人が麦を播いていたのだ。；また、麹菌が麦の表面のみに繁殖しやすいという点も不利に働いていた。；船の中で食べさせるために、乾草を一袋と麦を一袋、用意しました。；彩子のためにとんかつを作った麦子だが、彩子はそれを食べて嘔吐する。；この麦の酒の製法はビールなどのような訳ではなくごく単純な方法で拵えて居る。；物語は母親が生きて麦子たちのアパートで一緒に暮らしていた時代の回想シーンとなる。；また、古くは麦の粥に米麹を入れて二、三日発酵させるやり方であった。；当初の対象となったのは米の他、はだか麦・大麦・小麦などの麦類である。；この地域は麦を中心とした農耕が最も早く始まった地域の1つであるといわれている。；農業は自給の麦のほか、椿油用のツバキや養蚕用のクワを栽培していた。；そしてある日、麦は上海に旅立ったまま朝子のもとに帰って来なくなった。；白味噌は熟成期間が短いので色が白く材料の麦などの粒子が残るものもある。；人間に米や麦が必要であるのと同じようなものだ。；人間に米や麦が必要であるのと同じやうなものだ。；稲や麦は肥料を多く与えると、背が高くなりすぎて倒れやすくなる性質がある。；ボーローグは小麦農林10号を親に用いて背の低い丈夫な麦を作った。；校庭は麦やサツマイモの畑に転換され、下級生が栽培の任に当たった。</t>
        </is>
      </c>
      <c r="J8157">
        <f>HYPERLINK("https://www.weblio.jp/content/麦", "词义详情")</f>
        <v/>
      </c>
      <c r="K8157">
        <f>HYPERLINK("https://yourei.jp/麦", "查看例句")</f>
        <v/>
      </c>
    </row>
    <row r="8158">
      <c r="A8158" t="inlineStr">
        <is>
          <t>無気力</t>
        </is>
      </c>
      <c r="B8158" t="inlineStr">
        <is>
          <t>成功</t>
        </is>
      </c>
      <c r="C8158" t="inlineStr">
        <is>
          <t>読み方：むきりょく
［名・形動］何をする気力もないこと。やる気のないこと。また、そのさま。「—な（の）学生」</t>
        </is>
      </c>
      <c r="D8158" t="inlineStr">
        <is>
          <t>無気力状態(4%)；無気力感(2%)；無気力な状態；無気力な生活；無気力な男</t>
        </is>
      </c>
      <c r="E8158" t="inlineStr">
        <is>
          <t>無関心；倦怠；昏睡；無感動；不熱心</t>
        </is>
      </c>
      <c r="F8158" t="inlineStr">
        <is>
          <t>ひどい無気力；いえば無気力</t>
        </is>
      </c>
      <c r="G8158" t="inlineStr">
        <is>
          <t>無気力試合</t>
        </is>
      </c>
      <c r="H8158" t="n">
        <v>29</v>
      </c>
      <c r="I8158" t="inlineStr">
        <is>
          <t>何か fatal なものの前にわれわれを無気力にさせてしまいます。；足が棒のように疲れ、彼はただ義務のように無気力な歩を運んでいた。；この腑抜けたような無気力さも、あるいはそのためであるかも知れない。；小学校の先生も今ではどこでも全く無気力のやうで頼りにならなかった。；なにか腹に入れないことには、この無気力から抜けだせそうになかった。；再上京の理由も田舎の無気力な様子に閉口したというくらいのものだった。；キレる脳と同様、無気力もまた前頭葉機能の低下によると考えられます。；ぼくは無気力で、弱くて、だれかに従属せずにはいられない人間だろう。；記憶に残っているのは、無気力そうにうなだれている父親の姿だけだ。；どこも俺たちのクラスの無気力アンケートよりは何段階かは楽しそうだな。；哲学的な意味は失せて、まったくの無気力な小藩としかいえなかった。；たかぶった気持のかげからもうおそろしい無気力が顔を出しかけていた。；昨日までの無気力ぶりはなんだったのかと思えるくらいである。；そのぼんやりとした、無気力な表情に、男は重ねて失望させられてしまう。；奇妙なほど静かで、ほっとしたような無気力さが家々を支配していた。；啓子は、無気力感に襲われながらも、キッチンからグラスを持ってきた。；無気力を酒やなにかではねかえすという年齢も過ぎてしまったようだ。；大抵のことに、まったくと言ってよいほど無気力な態度を示すようになった。；空の籠下げて、無気力な婆さんみたいに列に立ってばかりいるときじゃない。；部長を怒り、その下で働いている自分を怒り、無気力になっている私を怒った。；戦争から無気力に目を逸らし続ける大人がこの国にはたくさんいます。；その挫折感から無気力な生活を送り、恋人との関係もぎくしゃくしていた。；あまり楽な処にいると水から出た魚の様に無気力になる。；この無気力な生活を始めて、そろそろ数日になろうとしていた。；四人に気づいても、何の反応も示さず、無気力にのろのろ歩いている。；彼女は椅子の上に無気力にくずれ折れ、そのあいだに王子は連れ去られた。；牙神の無気力は、妻と子を亡くする不幸にみまわれたのが原因と思われた。；たしかに身体の方は回復していたが、心は混乱し、無気力だった。；あるいは、これが燃え尽きてゆくことによる無気力の表れなのだろうか。</t>
        </is>
      </c>
      <c r="J8158">
        <f>HYPERLINK("https://www.weblio.jp/content/無気力", "词义详情")</f>
        <v/>
      </c>
      <c r="K8158">
        <f>HYPERLINK("https://yourei.jp/無気力", "查看例句")</f>
        <v/>
      </c>
    </row>
    <row r="8159">
      <c r="A8159" t="inlineStr">
        <is>
          <t>剥く</t>
        </is>
      </c>
      <c r="B8159" t="inlineStr">
        <is>
          <t>成功</t>
        </is>
      </c>
      <c r="C8159" t="inlineStr">
        <is>
          <t>読み方：すく
［動カ五（四）］薄く切る。薄く削り取る。そぐ。「皮を—・く」
[可能]すける［カ下一］</t>
        </is>
      </c>
      <c r="D8159" t="inlineStr">
        <is>
          <t>剥くだろ</t>
        </is>
      </c>
      <c r="E8159" t="inlineStr">
        <is>
          <t>剥がす；剥ぐ；剥ぎ取る；はぎ取る；剥す</t>
        </is>
      </c>
      <c r="H8159" t="n">
        <v>29</v>
      </c>
      <c r="I8159" t="inlineStr">
        <is>
          <t>相変らず薄い笑いが老人の顔に残っているが、眼は大きく剥かれていた。；すると、水兵服嬢は意外にも突然眼鼻を一つにして白い歯を剥きだした。；それ以外の男達は、手にした銃がひん曲がっているのを見て目を剥いた。；赤い柱の先端には、目を剥き、口を大きく開けた雪の民の首があるはずだ。；白いものの混った髪が熱で縮れだし、瞳は発狂した者のように剥かれた。；過つて白肌まで剥いだやうな場合にはお土を塗りつけて置かねばならぬ。；鼻が削がれ、顔の皮も剥かれた血みどろの肉塊を顔と呼べるのならだが。；車を運転するのはもちろん、二の腕を剥き出しても、白い目で見られる。；顔や首に矢を受けながら雀は馬から落ちるまで眼を剥き続けていた。；ベッドの横に座ってリンゴを剥いている姿は、ごく普通の女の子のようだ。；先ほどから機嫌よくミカンの皮を剥いていた父の指が止まっているのだ。；作り方はほぼ同じであるが、パンノキは外側の青い皮を剥く必要がある。；此奴等のためにパンツ一枚に剥かれた夜を思いだしたのかもしれない。；「会議は雑談ばかりか」 そう訊くと加藤は目を剥いて首を横に振った。；石のように黙りこくったまま、白目を剥いて床を睨んでいたのだという。；俺は目を剥いて肩をすくめて見せたが、彼女はくすりとも笑わなかった。；腹の中に何かを隠している事がバレた途端に牙を剥かれる可能性は高い。；一つ食ってじっと空中を見つめていたが、また一つ取り出して皮を剥いた。；ふたりが待っているあいだ彼は大きな歯を剥きだして笑いながらささやいた。；さかさまになった柴山の顔は白眼を剥き、唇の端から泡がこぼれていた。；全身に怪我はしているが、目を剥くばかりの早さでそれも治りつつあった。；早苗の顔を見ると、歯を剥き出して泣きっ面のような表情になった。；かれらの服装は、乗り着けて来た海賊どもの死体から剥いだものであった。；これまで彼に微笑んでいた空域が急に敵意を剥き出したように感じられた。；結局、それは茸を洗うのや、芋の皮を剥いたりするのと同じことだった。；全く想像もしていなかった倭建の言葉に、武彦は眼を剥き声が詰まった。；父が食後の林檎の皮を剥いてゐるのに、三千代はまだ箸を動かしてゐた。；伊三次が眼を剥いたのは直次郎の手が血糊で濡れていたせいではなかった。；エスキモーが動物の皮を剥いだ石器の形状は日本の石匙と酷似している。</t>
        </is>
      </c>
      <c r="J8159">
        <f>HYPERLINK("https://www.weblio.jp/content/剥く", "词义详情")</f>
        <v/>
      </c>
      <c r="K8159">
        <f>HYPERLINK("https://yourei.jp/剥く", "查看例句")</f>
        <v/>
      </c>
    </row>
    <row r="8160">
      <c r="A8160" t="inlineStr">
        <is>
          <t>向く</t>
        </is>
      </c>
      <c r="B8160" t="inlineStr">
        <is>
          <t>成功</t>
        </is>
      </c>
      <c r="C8160" t="inlineStr">
        <is>
          <t>読み方：むく
［動カ五（四）］
１その方向に正面が位置するようにする。対する。面する。「上を—・く」「東に—・く」
２その方向を指し示す。「磁石の針は北を—・く」
３その方向・状態にかたむく。「気が—・く」「心は故郷に—・いている」
４適する。ふさわしい。「若者に—・いた仕事」
[可能]むける
［動カ下二］「む（向）ける」の文語形。</t>
        </is>
      </c>
      <c r="D8160" t="inlineStr">
        <is>
          <t>向くまい；向くまま気；向くと判断；向くだら</t>
        </is>
      </c>
      <c r="E8160" t="inlineStr">
        <is>
          <t>向う；面する</t>
        </is>
      </c>
      <c r="F8160" t="inlineStr">
        <is>
          <t>俯向く；ぷいと横を向く；そっぽ向く</t>
        </is>
      </c>
      <c r="H8160" t="n">
        <v>29</v>
      </c>
      <c r="I8160" t="inlineStr">
        <is>
          <t>コロニーの設計では、ほとんどの鏡が太陽に向くことが要求されている。；変化に痛みを感じながら、けれど未来を信じて、前を向こうと思います。；僧の方へ背を向けて坐っていた者は、体をねじ向けて俯向くようにした。；子はもう母が自分の方を向くだろうと思ってその方を長らく見ていた。；私が再びその人の方を向くと、ちょうどその時二人の視線が打つかった。；盾は剣をしまった状態ではギルの正面、剣を抜いた状態では左側を向く。；歩脚は大まかには横行性、つまり4対の歩脚全部の先端がやや前を向く。；横を向くと室内はもう薄闇くて外の光を見て居た眼には俄にぼんやりとした。；このステイツビルは狩猟に向く動物が豊富であり、水も豊かに得られた。；もし事実そうだったら、あちらを向きこちらを向くどこに信を置くべきか。；これはブレードの前縁が進行方向に向くように回転させることを意味する。；そこへいくとQは勉強の時となると誰が何をいっても横を向くことさえ稀である。；彼は政治的な関心がこの改革案に向くよう様々な試みを行ったものの成功しなかった。；安曇川地区の中心部から西の郊外へ、徐々に進行を変えて南へと向く。；珍しいのは、前三対が前を向き、第4脚のみが後ろを向くことである。；上へ向う曲折はある事柄を意味し、それが下へ向くと全然別の意味になる。；泉州侍の全部がそっぽを向こうとも、この大男だけは自分を知っている。；その後、人物は右を向くが、その際の映像は一時的に崩れたように見える。；しかし顔が上に向くよう動かしてもすぐに裏返り、思うような形にならない。；歩脚の向きは前2対が前、後ろ2対が後ろを向く、いわゆる前行性である。；この葉先が上を向くのを立ち葉、葉先がうんと下を向くのを湾曲葉という。；それ以来といふものは私が物を言ふ毎に、人は聞かないふりをして横を向くのだ。；彼の背がこちらを向くとすぐ犬共はまた始めるのであつた。；彼はそのまま外へ出たが、足を止めるのが恐ろしいので足の向くままに歩いた。；彼はそのまま外へ出たが足を止めるのが恐ろしいので、足の向くままに歩いた。；手と足と顔とが、それぞれに異なった方向を向こうとしている。；話題は文章のことから離れて、矢杉の好奇心の向く方へ動いていった。；首を曲げ頻繁に後ろを向くことから、不吉の象徴とされることもある。；気の向くままに放浪さえしていれば、俺には希望があった、光明があった。</t>
        </is>
      </c>
      <c r="J8160">
        <f>HYPERLINK("https://www.weblio.jp/content/向く", "词义详情")</f>
        <v/>
      </c>
      <c r="K8160">
        <f>HYPERLINK("https://yourei.jp/向く", "查看例句")</f>
        <v/>
      </c>
    </row>
    <row r="8161">
      <c r="A8161" t="inlineStr">
        <is>
          <t>報いる</t>
        </is>
      </c>
      <c r="B8161" t="inlineStr">
        <is>
          <t>成功</t>
        </is>
      </c>
      <c r="C8161" t="inlineStr">
        <is>
          <t>読み方：むくいる
［動ア上一］［文］むく・ゆ［ヤ上二］
１受けた事に対して、それに見合う行為を相手に行う。むくう。「恩に—・いる」「努力に—・いる」
２仕返しをする。むくう。「一矢を—・いる」</t>
        </is>
      </c>
      <c r="D8161" t="inlineStr">
        <is>
          <t>報いるべく(3%)；報いるべき(2%)</t>
        </is>
      </c>
      <c r="E8161" t="inlineStr">
        <is>
          <t>返す；払う；表彰；代償；補償</t>
        </is>
      </c>
      <c r="F8161" t="inlineStr">
        <is>
          <t>もって報いる</t>
        </is>
      </c>
      <c r="H8161" t="n">
        <v>29</v>
      </c>
      <c r="I8161" t="inlineStr">
        <is>
          <t>これは当時重病であった弟の功績に報いるためだったと考えられている。；一、二の藩が関ヶ原の旧怨を報いるようなものであってはなりませんね。；ようやく今夜、その恩に少し報いることができたとシラスは思っていた。；秀吉公から長年頂いた義理に報いるとの一言で、大坂方に味方していた。；もちろん彼のその献身に報いる力が彼女にあるとは限らないのだが。；小さな男たちは彼女の親切さに報いることを望み、それぞれが希望を言った。；彼女は恩義に報いる為、死後もこの地方の為に尽くすといって亡くなった。；ここまでは、主馬の期待に報いることができたといってよいだろう。；いったいどうしたら、きみがぼくに与えてくれた幸福に報いることができるだろう?；編輯者の同情に報いる為にも私は、思うところを正直に述べなければならない。；次第に彼はそれを受け入れるようになり、そしてそれに報いるようになった。；銃士長のこの率直な真実な言葉には一矢も報いることはできなかった。；「受けた侮辱に報いるにはまずもってその怒りを忘れなければならない」と。；何もできぬ無力な女王ですが、忠誠には報いるところがなければなりません。；サイト殿の貢献に報いるには、これでも少ないといえましょう。；だったら、自分はそれに報いるようなことができただろうか。；時はどんどん経っていったが、狩りに報いるものは何もなかった。；それが、学費を出してくれた亡くなったお父さんの好意に報いる道だと思う。；メレアガンの妹はランスロの好意に報いるために彼の求めるものを探す。；それに報いるために、まきはじぶんから旅の男たちを誘ったのに違いない。；そのような人物に死をもって報いるべきでしょうか?；御心配に報いるためには、一段とありったけの力を出して努力をします。；いつも恩に報いることを考えておりましたが、今がその時です。；その名目は将門の反乱を鎮圧する際の兼家の働きに報いるためとされている。；自分はやはりそうすることに依って先達にも報いることが出来る。；それに報いるために僕が何をしたらいいのか。；ならば、いまは宗勝に従うのが、あのときの恩義に報いることであると。；それぐらいの事でしか、あいつに報いる事ができなかった。；星川社長の期待に報いるためばかりではなく、彼は急がなければならなかった。</t>
        </is>
      </c>
      <c r="J8161">
        <f>HYPERLINK("https://www.weblio.jp/content/報いる", "词义详情")</f>
        <v/>
      </c>
      <c r="K8161">
        <f>HYPERLINK("https://yourei.jp/報いる", "查看例句")</f>
        <v/>
      </c>
    </row>
    <row r="8162">
      <c r="A8162" t="inlineStr">
        <is>
          <t>報う</t>
        </is>
      </c>
      <c r="B8162" t="inlineStr">
        <is>
          <t>成功</t>
        </is>
      </c>
      <c r="C8162" t="inlineStr">
        <is>
          <t>読み方：むくう
［動ワ五（ハ四）］《「むくゆ」の音変化》「報いる」に同じ。「亡き師の恩に—・う」「—・われない一生」
[可能]むくえる</t>
        </is>
      </c>
      <c r="D8162" t="inlineStr">
        <is>
          <t>返す；払う；表彰；代償；補償</t>
        </is>
      </c>
      <c r="H8162" t="n">
        <v>29</v>
      </c>
      <c r="I8162" t="inlineStr">
        <is>
          <t>自分のひそかな愛情が報われないと知ると、ますます相手に執着します。；いずれにしてもアックアからすれば報われないの一言に尽きるだろうが。；その様子を見るだけで、入社以来のこれまでの苦労が報われた気分だった。；努力すればするほど報われない報酬体系の事業が長続きするはずはない。；その忍耐は、彼が覚悟していたより早い時期に、報われることになった。；がっかりしないように周到な準備をしてきたことが報われたような気分だ。；全ての苦労が報われ、夢は叶うと言い続けて実現させた瞬間であった。；人間の行動はいつか必ず何らかの形で報われていくものなのだと。；己が祈っても決して報われぬ人間であるのを知っているからだった。；そして努力をしたからといって報われるとは限らないのが、受験です。；労多くして報われることの少ない分野に光を当てた珍しい賞である。；さらには真武の、あまりにも報われなさ過ぎる恋の行方はどうなるのか。；そうした厳しい訓練の報われる日が来たのかと思うと緊張した。；だが、真実に生きた結果が、やはり報われるものであってほしいのだ。；報われる日は神でも知り得ないが、その日は約束されているのだ。；命をかけた自分の行動が、きちんと報われたかどうか知りたかった。；そしてそのかわりに報わるべきものの報われない不満を感じ始めた。；そうとすれば、長いあいだの苦労がこれで幾分なりとも報われたことになる。；本大会の銅メダリストは50年後まで報われなかったことで知られている。；彼女が報われるとしたら、その人生を清算させるだけではないのか。；王はあなたの父王の一番の大敵で、父王に報うべき宿怨があるのです。；接続率がわるければ、いくら長くやってもそんなに努力は報われない。；来る日も来る日も軍用双眼鏡を覗いていた甲斐はようやく報われたのだ。；みんなが楽しくて、みんなが笑顔で、そうでなくては報われないのだ。；私は毎日仕事をしても、何か報われないような気がしてきた。；野球と本の売り上げはどんなに努力しても報われるとは限らない。；結局、それらさえ亡くなるというのに、それではあまりにも報われない。；あれだけがんばっていたんだし、その努力が報われないはずがない。；わがレディは尽くしてくれた者に対して、報わないようなひとではない。</t>
        </is>
      </c>
      <c r="J8162">
        <f>HYPERLINK("https://www.weblio.jp/content/報う", "词义详情")</f>
        <v/>
      </c>
      <c r="K8162">
        <f>HYPERLINK("https://yourei.jp/報う", "查看例句")</f>
        <v/>
      </c>
    </row>
    <row r="8163">
      <c r="A8163" t="inlineStr">
        <is>
          <t>無口</t>
        </is>
      </c>
      <c r="B8163" t="inlineStr">
        <is>
          <t>成功</t>
        </is>
      </c>
      <c r="C8163" t="inlineStr">
        <is>
          <t>読み方：むくち
［名・形動］口数の少ないこと。おしゃべりでないこと。また、そのさまや、その人。寡黙。「—な（の）青年」</t>
        </is>
      </c>
      <c r="D8163" t="inlineStr">
        <is>
          <t>無口な男(4%)；無口な女；無口メイド長さん；無口な方；無口で無愛想</t>
        </is>
      </c>
      <c r="E8163" t="inlineStr">
        <is>
          <t>寡黙；寡言</t>
        </is>
      </c>
      <c r="F8163" t="inlineStr">
        <is>
          <t>無口なギエルモ；無口メイド長；無口で陰気；無口で無表情；無口な大男</t>
        </is>
      </c>
      <c r="G8163" t="inlineStr">
        <is>
          <t>無口湖；無口系</t>
        </is>
      </c>
      <c r="H8163" t="n">
        <v>29</v>
      </c>
      <c r="I8163" t="inlineStr">
        <is>
          <t>表面無口でも行動へ行動へと心がいつも急いでいるらしくありました。；最初わたしは、無口に押し黙っている住民の性格からだと解釈していた。；しかし明るく元気だったみちるは、無口で陰のある少女に成長していた。；先生はいつもの無口にも似ず興奮した熱情を顔に示しておられるのを見た。；無口になってなにかを必死で考えるように自分の中に籠ってしまっている。；飢えや渇きの心配はなくなったが、三人はこれまで以上に無口になった。；主人は青年ながら家で父と晩酌を飲む口なので、私の顔をちょっと見た。；間もなく、ふたりは山を降りていたが、ふたりとも妙に無口になっていた。；「そうか」無口な父は微笑を苦笑いに押し包んだような顔をして言った。；実際に会ってみると、写真から想像していた以上に無口な子だった。；私はとても無口で遠慮勝ちになり、大いに勤勉になろうとつとめました。；無口にならざるを得ない状況に置かれており、どうしようもないのである。；やがて、無口な老人の手でお堂が開かれ、一同はその内部にはいった。；そんなことで、あるいは自分でも気づかずに無口になっていたかも知れない。；無口が彼の性格になりかかって、店の者は、彼の人間が変って来たといった。；そのせいで無口な久美子も、彼に話しかける気持になったらしいのです。；無口な子だったが、調子のいいことを言わないところが好きだった。；前に注意しておいたとおり、不幸ほど子供を無口になすものはない。；また無口であり、人材不足になったのも彼女の性格が元であるようだ。；そのために元々陰鬱な性格が益々暗くひねくれて無口となり動作が重い。；五年前倒れて床につくようになってから、庄平は次第に無くちになった。；いつも笑顔のあの人も、いつも無口なあの子も、全て失ったあいつも。；極く無愛想な無口な五十ばかりの痩せた女も黙って炬燵にあたっていた。；電車は一日に何回こんな無口の人たちを広島の焼跡へ送りこむことか。；極端に無口なので、誤解されやすいが、本当は驚くほど知能が高いんだ。；銀髪の無口なバーテンさんが一人でやってる古い作りのバーでしょう。；那柁は背の高い無口な男で、どきりとするほど色のうすい目をしていた。；この無口な男は、ただ黙ったまま、無言で畳の目を見つめていたのではないか。；前に注意しておいた通り、不幸ほど子供を無口にするものはない。</t>
        </is>
      </c>
      <c r="J8163">
        <f>HYPERLINK("https://www.weblio.jp/content/無口", "词义详情")</f>
        <v/>
      </c>
      <c r="K8163">
        <f>HYPERLINK("https://yourei.jp/無口", "查看例句")</f>
        <v/>
      </c>
    </row>
    <row r="8164">
      <c r="A8164" t="inlineStr">
        <is>
          <t>無計画</t>
        </is>
      </c>
      <c r="B8164" t="inlineStr">
        <is>
          <t>成功</t>
        </is>
      </c>
      <c r="C8164" t="inlineStr">
        <is>
          <t>読み方：むけいかく
［名・形動］はっきりした見通しも立てずに、事を行うこと。また、そのさま。「—な開発」</t>
        </is>
      </c>
      <c r="D8164" t="inlineStr">
        <is>
          <t>だらしない</t>
        </is>
      </c>
      <c r="H8164" t="n">
        <v>29</v>
      </c>
      <c r="I8164" t="inlineStr">
        <is>
          <t>世界の食糧問題を考えても、無計画にやたらと子供を作ってはいけない。；都市の無計画な拡張は、一般的に自動車への依存度の増加と関連している。；こうした多くの宮殿や寺院が無計画に造営されたとは考えられない。；八月も終わりに近づく頃、無計画な友人どもはあわてて宿題をはじめる。；無計画に歩いていると思っていたが、そうではなかったらしい。；この複雑さは、しかし単なる無計画性や試行錯誤の結果だけではなさそうである。；モルガーニの時代の前には観察を無計画に集めたり限られた領域を説明する以上のことはされていなかった。；乾季ですら、無計画に採掘された砂岩の壁が崩壊して死ぬこともあるらしい。；ヘイエルダールはこの構造物が無計画に積み上げられた石ではないと主張している。；地方都市では、イスタンブール以上に都市は無計画に形成されたと言ってよい。；十代の家出は行動範囲も狭く無計画なので、発見される確率は高い。；わたしは彼女の猫的な気まぐれさに付き合い、無計画にそのビルへ入っていったのだ。；石井の云うように結界の外側では、この事件は単なる無計画な撲殺事件なのだ。；このあたりの開拓は無計画に行われたため、各地で旱魃となった。；この病院は無計画な建て増しや改築を繰り返してきたため、ひどく構造が複雑だ。；無計画な連中が暗期の地上に取り残されるという昔話があるでしょう。；このルールにより、無計画な配置ができないようになっている。；彼のような男は、特定の情況を考える可能性が残っているかぎり、無計画に行動することはない。；保護者などからは「市は無計画すぎる」などの批判が寄せられた。；それは信太郎の貢がせる男の無計画さと純粋さだと恭子は好意的に解釈している。；中世の都市は城や僧院の近くに無計画に発展した。；真新しい設備を放棄するような無計画なことが、はたして行なわれるものだろうか?；たとえば、あなたがたが、ことしの新卒業生として、無計画でしょうか。；いい加減で、無計画な生き方を排除し、毒気のある考え方を毛嫌いする。；そこで姉の帰るのを待っていようという気持ちが、無計画ながら伸子のなかには動いていた。；大昔から無計画に、でたらめにやってきた農業がきちんと儀式のように行なわれるようになった。；他人には無計画に見えることでしょう。；わたしなど無計画な性格なので、三浦によく注意される。；このような処刑は一般的にはドイツの下級士官によって大規模で、ほぼ無計画に行われた。</t>
        </is>
      </c>
      <c r="J8164">
        <f>HYPERLINK("https://www.weblio.jp/content/無計画", "词义详情")</f>
        <v/>
      </c>
      <c r="K8164">
        <f>HYPERLINK("https://yourei.jp/無計画", "查看例句")</f>
        <v/>
      </c>
    </row>
    <row r="8165">
      <c r="A8165" t="inlineStr">
        <is>
          <t>向ける</t>
        </is>
      </c>
      <c r="B8165" t="inlineStr">
        <is>
          <t>成功</t>
        </is>
      </c>
      <c r="C8165" t="inlineStr">
        <is>
          <t>読み方：むける
［動カ下一］［文］む・く［カ下二］
１その方向に正面が位置するようにする。ある方向を向かせる。「視線を—・ける」「背を—・ける」「マイクを—・ける」「怒りを他人に—・ける」
２その方向をめざす。「現地へ—・けて出発する」「母校に足を—・ける」
３ある目的・用途にそれをあてる。ふりあてる。ふりむける。「寄付金を人件費に—・ける」
４使いとして行かせる。さしむける。「使者を—・ける」
５たむける。ささげる。
「幣(ぬさ)取り—・けてはや帰り来(こ)ね」〈万・六二〉
６従わせる。服従させる。
「韓国(からくに)を—・け平(たひ)らげて」〈万・八一三〉</t>
        </is>
      </c>
      <c r="D8165" t="inlineStr">
        <is>
          <t>向けるべき；向けるよう命令；向けるvサイン；向ける鋭い</t>
        </is>
      </c>
      <c r="E8165" t="inlineStr">
        <is>
          <t>出す；派遣；送る；狙う；差し出す</t>
        </is>
      </c>
      <c r="F8165" t="inlineStr">
        <is>
          <t>ふり向ける</t>
        </is>
      </c>
      <c r="H8165" t="n">
        <v>29</v>
      </c>
      <c r="I8165" t="inlineStr">
        <is>
          <t>更に中国共産党は台湾との問題に向けるアメリカ合衆国の援助を求めた。；ローマ人がローマに軍を向けるのは、これが史上初めてのことであった。；左右に視点を移動する場合は曲げるのではなく移動したい方向に向ける。；彼女は死への過程のみならず、死後の世界に関心を向けるようになった。；墳形は前方部が発達した後期の前方後円形で、前方部を西方向に向ける。；下になった男性の足の方に、上になった女性が体正面を向ける座り方。；人間は、知識だけでなく、自らの精神や心にも注意を向けることができる。；墳形は前方部が未発達の柄鏡形の前方後円形で、前方部を南方に向ける。；室内で銃器を扱う場合は、上や下に向けるのは安全でない場合がある。；カメラを登場人物だけではなく、その周辺の建物や看板、内装に向ける。；だが彼はなぜかあからさまにベラを避け、冷たい視線を向けるのだった。；墳形は前方部が開かない柄鏡式の前方後円形で、前方部を東方に向ける。；線は芸術家が見る人の目を向けることを可能にする光学現象である。；墳形は前方部が大きく発達した前方後円形で、前方部を北東方に向ける。；墳形は前方部が未発達の柄鏡式の前方後円形で、前方部を北西方に向ける。；エンジンの推力を前方に向けるには、バケットを閉じなければいけない。；またユダヤ人だったため、人種的偏見を向けるのにも格好の標的だった。；エンジンは外側に向けるように付けられ、インテイクの位置も後退した。；下になった男性の頭頂部の方に、上になった女性が体正面を向ける座り方。；ヨーロッパに眼を向けると、フランスでもパリの市民は喧嘩好きだったという。；墳形は前方部が開かない柄鏡形の前方後円形で、前方部を西方向に向ける。；自然と友人たちは彼の見解に疑いの目を向けるようになった。；外敵に襲われると尾を丸めて震わせて尾に注意を向ける威嚇行動を取る。；その直後、曲世愛が正崎の前に現れ、曲世に拳銃を向けるのであった。；墳形は前方部が大きく発達した前方後円形で、前方部を南西方に向ける。；フランス世論は外国人に向ける目は厳しく、差別の対象にもなっていた。；通常は右手で柄を、左手でリカッソを持ち、両手の親指は内側に向ける。；だが彼はなぜかあからさまにベラを避け、敵意の視線を向けるのだった。；銃を画面外に向けると盾が出現し回避行動となって弾丸の補充を行う。</t>
        </is>
      </c>
      <c r="J8165">
        <f>HYPERLINK("https://www.weblio.jp/content/向ける", "词义详情")</f>
        <v/>
      </c>
      <c r="K8165">
        <f>HYPERLINK("https://yourei.jp/向ける", "查看例句")</f>
        <v/>
      </c>
    </row>
    <row r="8166">
      <c r="A8166" t="inlineStr">
        <is>
          <t>無限</t>
        </is>
      </c>
      <c r="B8166" t="inlineStr">
        <is>
          <t>成功</t>
        </is>
      </c>
      <c r="C8166" t="inlineStr">
        <is>
          <t>読み方：むげん
［名・形動］《infinity》数量や程度に限度がないこと。また、そのさま。インフィニティー。「—な（の）空間」「—に続く」⇔有限。</t>
        </is>
      </c>
      <c r="D8166" t="inlineStr">
        <is>
          <t>無限次元(3%)；無限の可能性；無限個；無限回；無限性</t>
        </is>
      </c>
      <c r="E8166" t="inlineStr">
        <is>
          <t>無数；常；永遠；永久；恒久的</t>
        </is>
      </c>
      <c r="F8166" t="inlineStr">
        <is>
          <t>無限小；無限次元ノルム空間；無限次元ヒルベルト空間；無限ek；無限次元ベクトル空間</t>
        </is>
      </c>
      <c r="G8166" t="inlineStr">
        <is>
          <t>無限軌道；無限小；無限遠；無限遠点；無限集合</t>
        </is>
      </c>
      <c r="H8166" t="n">
        <v>29</v>
      </c>
      <c r="I8166" t="inlineStr">
        <is>
          <t>こんどは上の例での箱に入っているコインの数は無限であると仮定する。；レピュニット素数は無限にあると予想されているが、証明されていない。；家の広さが無限にあったら集めたい欲を抑え切れないと発言している。；アペレスが特に卓越していたのは無限の優美さであったと言われている。；この中では皇帝も旗王の一人であり、無限の権力が振るえるわけではない。；これは算術が様々な無限大の数に拡張されうることを示唆している。；この名前は、そのような素数は無限に存在すると証明した陳景潤による。；対極的な性質を持つ無限アーベル群の重要な二つのクラスに、とがある。；開集合の無限個の交わりは開集合とは限らないことに注意すべきである。；無限であり一つとなると、その意思と権能が達し得ないことなどなかった。；簡単のため、以下の記述では無限とは可算無限を意味するものとする。；この集積点 でバンドの数は無限となり、 の値は の値と一致する。；チャニングは、人間は自分を変えて行く無限の可能性があると信じた。；このため他のテトリスとは異なり、無限にゲームを続けることは出来ない。；フーリエ変換は、無限に続く信号を処理するシステムの解析に使われる。；無限に指定するものや、多くの数を指定してフリーズさせるものなどがある。；しかし、分割が無限に可能ならば、無限の問題を解かなければならない。；一方で、無限個の数を加えるということはそれほど自明な操作ではない。；と言い、無限分割される空間には無限分割される時間が対応する、とする。；また行や列の数を無限に増やした行列というものを考えることもできる。；シリーズ通して無限フィールドが全く存在しない唯一の作品である。；次の3つはいずれも、無限に増え続けるパターンに成長する初期配置である。；しかし、そのころには他の学術団体も設立され、成長は無限ではなかった。；全てを考慮すると無限の時間がかかってしまうからである。；またブロック層が存在しない無限層と呼ばれるものもある。；極限の概念や無限小の性質が日常の感覚と大きく異なっていることがその理由とされる。；この番組は視聴者に無限の概念について教育することを目的としたものだった。；上の等式 は、 などの実数の無限十進小数展開を用いても説明できる。；有限なる我々は無限なるものを直接に表現することはできない。</t>
        </is>
      </c>
      <c r="J8166">
        <f>HYPERLINK("https://www.weblio.jp/content/無限", "词义详情")</f>
        <v/>
      </c>
      <c r="K8166">
        <f>HYPERLINK("https://yourei.jp/無限", "查看例句")</f>
        <v/>
      </c>
    </row>
    <row r="8167">
      <c r="A8167" t="inlineStr">
        <is>
          <t>婿</t>
        </is>
      </c>
      <c r="B8167" t="inlineStr">
        <is>
          <t>成功</t>
        </is>
      </c>
      <c r="C8167" t="inlineStr">
        <is>
          <t>読み方：せい
［常用漢字］　［音］セイ（漢）　［訓］むこ
〈セイ〉むこ。「女婿・令婿」
〈むこ〉「婿養子／花婿・娘婿」
[補説] 「壻」は異体字、「聟」は俗字。</t>
        </is>
      </c>
      <c r="D8167" t="inlineStr">
        <is>
          <t>婿さん(7%)；婿入り(5%)；婿君；婿選び；婿どの</t>
        </is>
      </c>
      <c r="E8167" t="inlineStr">
        <is>
          <t>別当；花婿；新郎；花聟；花むこ</t>
        </is>
      </c>
      <c r="F8167" t="inlineStr">
        <is>
          <t>お婿；姉婿；相婿；孫婿；よい婿</t>
        </is>
      </c>
      <c r="G8167" t="inlineStr">
        <is>
          <t>婿入り；婿殿；婿取り；婿入；婿がね</t>
        </is>
      </c>
      <c r="H8167" t="n">
        <v>29</v>
      </c>
      <c r="I8167" t="inlineStr">
        <is>
          <t>しかもお前はその婿を生涯忘れないほどに思つてゐると云ふぢやないか。；婿も娘も強く引き留めたが、老人は二人に礼を言って洞窟を出たという。；信子の両親は、娘の家庭を心配しつつ、婿の出資の求めに応じてしまう。；一度は村長までした人だし、まあお前の婿にして申し分のないつもりじゃ。；得意の人相見で、劉邦を娘の呂雉の婿にしたエピソードが知られている。；女系家族に一風変わったお婿さんがやって来て巻き起こった騒動を描く。；他吉の眼からは、次郎は働き者で、申し分ない婿に見えていたのだった。；初生子が女子の場合に、その女子が婿を取って家督を相続することをいう。；作者本人が登場して自虐ギャグ的に理不尽な婿いびりをすることもある。；また伊能忠敬の養子婿先の地でもあり、地図の町としても有名である。；津軽華子も婿を取るであろうと言う予測から、候補から外れていた。；その婿も四五年の後には学士になると、末の見込も着いてゐるのだ。；源実朝は婿にあたるため、朝廷における鎌倉幕府との交渉役ともなった。；ところが、夫妻が婿たちの実家を訪ねて世界を旅して帰ると、新たな問題が勃発。；そしてなんと彼女は皇帝がもっとも可愛がっている皇女の婿になってしまう。；婿に入って以来、遊びもせず身を粉にして働いた身体は労咳に蝕まれていた。；「おまえは婿を取るために家へ帰ったんだろう」と、半七は笑いながら訊いた。；それは、彼の娘とその婿アイルランガの結婚式のときだったと伝えられる。；父は花村の祖母が営む相模屋への婿だったが、花村が生まれた後、離婚。；故郷に戻り津村家に婿入りしていた叔父の津村磯次郎の養子となっている。；そうすれば、いやでも娘のお雪に婿を取らなければならない。；また自分の妹と結婚した男性、すなわち妹婿や配偶者の弟も本人から見たら弟になる。；娘はこの時すでに婿を迎えて、誰も羨むような夫婦仲であった。；彼には一人の娘がいて、婿を迎えて家督を継いでいた。；また、ある地方ではこの花で婿選びの式で用いる花輪を作るという。；第一省作が婿になる時にゃ、おとよはまだ清六の所にいたじゃないか。；帝は元服した皇子を臣籍降下させ源姓を与えて、左大臣家の娘の婿とする。；妻は松方正義の娘で、神戸川崎財閥を継いだ松方幸次郎の妹婿にあたる。；別の見方では、バルザーンの息子を婿にするように求めたとされる。</t>
        </is>
      </c>
      <c r="J8167">
        <f>HYPERLINK("https://www.weblio.jp/content/婿", "词义详情")</f>
        <v/>
      </c>
      <c r="K8167">
        <f>HYPERLINK("https://yourei.jp/婿", "查看例句")</f>
        <v/>
      </c>
    </row>
    <row r="8168">
      <c r="A8168" t="inlineStr">
        <is>
          <t>無効</t>
        </is>
      </c>
      <c r="B8168" t="inlineStr">
        <is>
          <t>成功</t>
        </is>
      </c>
      <c r="C8168" t="inlineStr">
        <is>
          <t>読み方：むこう
［名・形動］
１ききめのないこと。効力を持たないこと。また、そのさま。「今回の投票では—な票が多い」「途中下車前途—」⇔有効。
２法律行為が当事者の意図した法律効果を生じないこと。例えば、遺言がその方式を欠くために無効となるなど。⇔有効。</t>
        </is>
      </c>
      <c r="D8168" t="inlineStr">
        <is>
          <t>無効化する(6%)；無効化できる；無効確認；無効性；無効審判</t>
        </is>
      </c>
      <c r="E8168" t="inlineStr">
        <is>
          <t>無駄；いたずら；無益；不毛；効かない</t>
        </is>
      </c>
      <c r="F8168" t="inlineStr">
        <is>
          <t>選挙無効；全て無効；すべて無効；違憲無効；解雇無効</t>
        </is>
      </c>
      <c r="G8168" t="inlineStr">
        <is>
          <t>無効試合；無効票；無効電力；無効論；無効化の危機</t>
        </is>
      </c>
      <c r="H8168" t="n">
        <v>29</v>
      </c>
      <c r="I8168" t="inlineStr">
        <is>
          <t>右に述べた以外のどのような解釈も、この条約を無効にするものである。；これはアフリカで選挙結果が法的に無効にされた初めてのケースである。；これは、そのような契約を将来に渡って無効化することを目的としている。；ただしアプリケーション側で設定出来る場合は無効化される事がある。；これに伴い、この問題で取った美川組の得点は無効となってしまった。；ソ連政府は12月22日にガガウズ共和国の独立の無効を宣言している。；また武器を持った敵はこちらの武器攻撃や飛び道具をはじき無効にできる。；ただしMRSAには無効であり、主にグラム陽性菌用と考えられている。；しかし、セキュリティ上の理由から、これはしばしば無効になっている。；もし貸主が説明を怠った場合は、契約の更新がない旨の定めは無効となる。；また、取引安全の立場からも無効の効力に制限が加えられている場合もある。；音声を無効にすることも可能だが、その場合は従来通りの発声音が流れる。；反対者たちは、この点で先の住民投票が無効であると主張している。；しかし、相手を状態異常にする技では無効タイプには効果がない場合もある。；日本では1965年の条約締結以降に無効になったと考えている。；ただし古いゲームでは無効化しないと動作不安定になる事もある。；また、魔法が書かれたページを破れば、その部分の魔法が無効になる。；効果変更される前の旧カードも使用できるが、当然ながら変更前の効果は無効である。；取消しの場合はその意思表示があると法律行為の時に遡って無効となる。；また分野間だけでなく、同分野の異なる研究領域間でも比較が無効になる可能性もある。；更新手続きを行わないまま更新日を過ぎるとカードが無効となり使用できなくなる。；したがって、合格した年の初めから3年を過ぎると課目合格は無効となる。；防護手段自体を無効化するための裏をついた化学兵器を使ってくる場合もある。；英米法の法原理ではこれに反する契約や私的取引等の行為は無効とされる。；なお、保有しなくとも工事担任者としての資格が無効になるものではない。；数時間後に更迭は無効と最高裁判所からの宣告がなされ、対立が高まった。；このように、経済を刺激しようとする努力は、それ自身を無効にするものでしかない。；DECは後に非常によく似た設計のの特許を取得したが、後に裁判で無効とされた。；しかしこの授与は連盟の他の支部の承認を得られなかったため、公式には無効である。</t>
        </is>
      </c>
      <c r="J8168">
        <f>HYPERLINK("https://www.weblio.jp/content/無効", "词义详情")</f>
        <v/>
      </c>
      <c r="K8168">
        <f>HYPERLINK("https://yourei.jp/無効", "查看例句")</f>
        <v/>
      </c>
    </row>
    <row r="8169">
      <c r="A8169" t="inlineStr">
        <is>
          <t>向こう</t>
        </is>
      </c>
      <c r="B8169" t="inlineStr">
        <is>
          <t>成功</t>
        </is>
      </c>
      <c r="C8169" t="inlineStr">
        <is>
          <t>読み方：むこう
１正面。前方。また、前方の比較的離れた場所。「—に見える山」「—にいる人を手招きする」
２
㋐物を隔てた、あちらの方。「山の—の村」「通りの—」
㋑距離を隔てた、あちらの方。目的とする地や、外国など。「—へ着いたら昼食だ」「—での生活が長い」
３相手。先方。「—が悪い」
４今後。これから先。「—三日間」
５
㋐向こう正面2のこと。
㋑「向こう桟敷(さじき)」の略。
㋒歌舞伎劇場で、花道への出入り口。
[補説]動詞「むかう」の終止形・連体形の名詞化として、歴史的仮名遣いは「むかふ」とするが、連用形「むかい（むかひ）」のウ音便形とみて「むかう」とする説もある。</t>
        </is>
      </c>
      <c r="D8169" t="inlineStr">
        <is>
          <t>向こう側(14%)；向こうむき；向こうにも；向こう傷；向こうはし</t>
        </is>
      </c>
      <c r="E8169" t="inlineStr">
        <is>
          <t>相手；あそこ；後世；彼方；あちら</t>
        </is>
      </c>
      <c r="F8169" t="inlineStr">
        <is>
          <t>ずっと向こう；メートルほど向こう；挟んだ向こう；向こう臑；向こう側にいて</t>
        </is>
      </c>
      <c r="G8169" t="inlineStr">
        <is>
          <t>向こう見ず；向こう正面；向こう脛；向こうみず；向こう付け</t>
        </is>
      </c>
      <c r="H8169" t="n">
        <v>29</v>
      </c>
      <c r="I8169" t="inlineStr">
        <is>
          <t>フランスから見てローマはアルプスを隔てた向こう側であることによる。；しかしブースの向こうのスタッフからは全く笑いが来なかったという。；左に進むと本路線であり、線路の向こう側に西新宿超高層ビル群を望む。；これを使って壁などを見ると、透視してその向こう側を見ることができる。；一人で喜んでいると、向こうから声がかかって師匠は行ってしまう。；スッポンタケ城と仲が良いが、向こうは一時的に組んでいるだけである。；ロンドンに友達がいて、向こうでは映画を学べると教えてくれました。；すなわち川の向こう側へ移住させたか死を選ばせたのである。；向こうは社名を入れることで手を打ったんじゃないのかな、今にして思えば。；墓地と白色の高い十字架の向こうには、周囲を見下ろす塔が立っている。；その向こうには、宇宙空間に浮かぶ巨大な眼魂の形をした島があった。；景観に配慮するため向こう側が見えるガードパイプの設置も増えている。；ブライアンは正直選挙同盟の大会を無規則で向こうだと非難した。；そして山の向こうから初めて通過する予定の列車の汽笛が鳴った。；こちらが一つの事案を送ると、向こうは他の問題も加えて送り返して来る。；左手の線路の向こうには使用されていないホームがある。；この頃は自身は表舞台にはほとんど出ず、ヴェールの向こうで姿を隠している。；それから機首を下げた姿勢で降下し、空港付近の林の向こうに消えた。；中央のスクリーンが取られ、向こうにフォーティンブラスの軍が見える。；二人は鏡を見つけて覗き込むと、その鏡の向こう側の世界に入ってしまった。；一首目、煙が手前にあれば、その向こうのけむりの影は、普通は見えない。；しかし、同時にその限界より向こうに必要な情報が存在することも分かってきていた。；ホールの向こう側にもまた天井から照らされた八角形の部屋がある。；その東側はヤズー川の向こう側に広がる崖が境界になっている。；病身のジム・ボウイは自らの要求で線の向こう側に移されたとされる。；そして、我々が見ることができるよりもさらに向こう側がある。；向こうも完全には自分を忘れてはいないことを幸いに、イアンに勝負を挑む。；門の向こうの長くない廊下を抜けると一旅が布陣できるほどの広さの広場がある。；力をため過ぎると当然崖の向こうの海に落ちて潰れてしまう。</t>
        </is>
      </c>
      <c r="J8169">
        <f>HYPERLINK("https://www.weblio.jp/content/向こう", "词义详情")</f>
        <v/>
      </c>
      <c r="K8169">
        <f>HYPERLINK("https://yourei.jp/向こう", "查看例句")</f>
        <v/>
      </c>
    </row>
    <row r="8170">
      <c r="A8170" t="inlineStr">
        <is>
          <t>無言</t>
        </is>
      </c>
      <c r="B8170" t="inlineStr">
        <is>
          <t>成功</t>
        </is>
      </c>
      <c r="C8170" t="inlineStr">
        <is>
          <t>読み方：むごん
１物を言わないこと。「—でうなずく」「—電話」
２「無言の行(ぎょう)」の略。</t>
        </is>
      </c>
      <c r="D8170" t="inlineStr">
        <is>
          <t>無言のままうなずい；無言でじっと；無言亭</t>
        </is>
      </c>
      <c r="E8170" t="inlineStr">
        <is>
          <t>沈黙；静寂；静けさ；黙；黙り</t>
        </is>
      </c>
      <c r="F8170" t="inlineStr">
        <is>
          <t>無言裡；無言で歩き続け；無言のままひかえ</t>
        </is>
      </c>
      <c r="G8170" t="inlineStr">
        <is>
          <t>無言劇；無言歌；無言館；無言症；無言歌集</t>
        </is>
      </c>
      <c r="H8170" t="n">
        <v>29</v>
      </c>
      <c r="I8170" t="inlineStr">
        <is>
          <t>松原大佐夫人が無言で、小さい身体を一行のあとに運んでいるのを見た。；「それはあるかもしれないね」 ふたりはしばらくのあいだ無言だった。；そこでは教頭に感想や対応策を質問したが、会場は無言のままであった。；表面に現はれない、無言の抗議は相当の数にのぼつてやしないかと思ふ。；園と小母さんとは無言のままで互いの眼から離れて下を向いてしまった。；彼は無言でラエーフスキイとその妻の手を握り、重い気分で別れて出た。；娘達は一斉に振り返ったが、やはり無言で笑いながら水中を逃げて来る。；食事どころではないじゃありませんか、私は無言で首を振って見せました。；彼女は無言のまま、わたしの手をとると、自分の部屋へ連れて行った。；女はそれに勢を得たのか、益々せッせと無言でキャラメルを押しこんだ。；かれはニヤニヤ笑いながら、無言のまま、ふたりのほうへ近よってきた。；調査中のインタビューも9割方の選手には無言あるいは拒否を受けたという。；軍服を着ている場合は無言のまま国旗に顔を向け、軍隊式の敬礼を行う。；私は片手で夫れを支え、火をさえ凍らせる冷い眼で彼女の顔を無言で見た。；目を細くして無言で考へて居るは、胸の中に十露盤を置いて見るらしい。；それでも試合が終わって戻るとすぐ、根本が無言で書類を持ってきた。；いつもの通り、容疑者を加えて、私たち六人は、無言の行を始めました。；セラピオン師はしばらく無言で立っていましたが、やがて私に言いました。；また、同意を求める文や無言でいる場合の疑問の気持ちを表すのに用いられる。；この仏像は全然無言で、自分を補足するような一ツの言葉もないのです。；あるいはまた西洋間の電燈の下に無言の微笑ばかり交わすこともある。；そう主張するシボを霧亥は無言で担ぎ上げ、自動工場に向けて歩き出す。；しかし、これとてもけっして無言の悲しみより忍びやすいわけではない。；かっぽれまで、思案深げな顔をして、無言で首を振ったり何かしている。；彼女は赤い石のついた指輪を無言で渡し、まるで消えるようにいなくなる。；彼は食事には手もつけずに、なお無言のうちに苦しみつづけた。；彼女はしばらく無言で坐っていたが、やはりまたそばの寝床に寝た。；たまたまここを過ぎる人力車があっても、それは徐かに無言で走ってゆく。；眇目の男は無言で向こうを指さすと、武者はうなずいて馬に一鞭あてた。</t>
        </is>
      </c>
      <c r="J8170">
        <f>HYPERLINK("https://www.weblio.jp/content/無言", "词义详情")</f>
        <v/>
      </c>
      <c r="K8170">
        <f>HYPERLINK("https://yourei.jp/無言", "查看例句")</f>
        <v/>
      </c>
    </row>
    <row r="8171">
      <c r="A8171" t="inlineStr">
        <is>
          <t>むさ苦しい</t>
        </is>
      </c>
      <c r="B8171" t="inlineStr">
        <is>
          <t>成功</t>
        </is>
      </c>
      <c r="C8171" t="inlineStr">
        <is>
          <t>［形］［文］むさくる・し［シク］だらしなくてきたならしい。むさくろしい。「—・い服装」「—・い部屋の中」
[補説]明治以降、「苦しい」と結びついて「むさ苦しい」と書くことが多くなった。
[派生]むさくるしさ［名］</t>
        </is>
      </c>
      <c r="D8171" t="inlineStr">
        <is>
          <t>むさ苦しい男(7%)；むさ苦しいところです(3%)；むさ苦しい感じ(3%)；むさ苦しい部屋</t>
        </is>
      </c>
      <c r="E8171" t="inlineStr">
        <is>
          <t>汚い；乱雑；ごちゃごちゃ；もじゃもじゃ；ごっちゃ</t>
        </is>
      </c>
      <c r="H8171" t="n">
        <v>29</v>
      </c>
      <c r="I8171" t="inlineStr">
        <is>
          <t>かれは、この船の内部はかなりむさ苦しいだろうと予想していた。；そういえばあの黒ずくめたちは彼女に輪をかけてむさ苦しい格好をしているのだった。；それは今となっては、ただ、むさ苦しいそして陳腐な光景にすぎなかった。；そのうちだれかがこのむさ苦しい部屋に無駄話をしにやって来るじゃろう。；涼しそうな感じを出すためにしたことだろうが、むさ苦しい感じしか出ていなかった。；大半はむさ苦しい男どもで、彼らは拳を突きあげ、何事かを大声で喚いていた。；裸の壁はむさ苦しく、一枚の絵も飾りも掛かっていなかった。；そして現在に至るまで、むさ苦しい野郎二人に挟まれているのだ。；だがふと、かれは自分の住まいが、ルアサ同様にむさ苦しいものに見えてきた。；むさ苦しい若い女たちがそれぞれの籠を前にして、歩道の縁石に腰をおろしていた。；もしかしたらむさ苦しい男所帯の警備部隊から向けられた期待の視線に同情したからかもしれないが。；誰かあのむさ苦しい水夫を早くどこかへ連れて行け。；部屋の中の暑さと、こいつのむさ苦しい顔を見ていたら、何もかもがどうでもよくなってきた。；扉が開き、髭面のむさ苦しい男が、目をこすりながら顔を出した。；このようなむさ苦しい所にご案内して申し訳ござりませぬ。；家主のポープ大佐は居間をむさ苦しいが、くつろげる場所にしていた。；彼の服装が粗略であるばかりでなく、むさ苦しくすらもあったのは、三年前に女房を失ったせいだ。；三人が通されたのはむさ苦しい六畳だつた。；振り向く間もなく、貴子の視界にむさ苦しい滝沢の姿が入ってきた。；なんか力持ちって、体がでかくってむさ苦しい男の人って感じがして嫌だな。；そこに、むさ苦しい男たちの顔が並んでいる。；同時に、彼は校番のむさ苦しい部屋が、無性に恋しくなって来た。；むさ苦しい亡者たちはガラス扉の向こうから、様々な呪いの言葉を投げつけている。；Tシャツにジーパンにスニーカーで、それでむさ苦しいと言われても困ってしまう。；洗面前だとみえて頬には不精ヒゲが生え、それが目の大きな美少年であるだけに一層むさ苦しくみえた。；とにかく明るい安村は当初、監督の指示では「裸のむさ苦しい男たちが走ってくる図」であった。；お妙 むさ苦しうございますが、どうぞお通り下さいまし。；一階にはむさ苦しい小さな店、洗濯屋、靴屋、文房具屋がならんでいた。；むさ苦しいのに颯爽として、しかも女の胸に強烈な印象を残すあの顔とからだを持っていた男。</t>
        </is>
      </c>
      <c r="J8171">
        <f>HYPERLINK("https://www.weblio.jp/content/むさ苦しい", "词义详情")</f>
        <v/>
      </c>
      <c r="K8171">
        <f>HYPERLINK("https://yourei.jp/むさ苦しい", "查看例句")</f>
        <v/>
      </c>
    </row>
    <row r="8172">
      <c r="A8172" t="inlineStr">
        <is>
          <t>貪る</t>
        </is>
      </c>
      <c r="B8172" t="inlineStr">
        <is>
          <t>成功</t>
        </is>
      </c>
      <c r="C8172" t="inlineStr">
        <is>
          <t>読み方：むさぼる
［動ラ五（四）］《「むさ」は「むさと」と同語源、「ぼる」は「欲(ほ)る」の意》
１飽きることなくほしがる。また、際限なくある行為を続ける。「暴利を—・る」「惰眠を—・る」
２がつがつ食べる。「残飯を—・る野良犬」
[可能]むさぼれる</t>
        </is>
      </c>
      <c r="D8172" t="inlineStr">
        <is>
          <t>貪るなかれ</t>
        </is>
      </c>
      <c r="E8172" t="inlineStr">
        <is>
          <t>求める；食べる；探す；食う；捜す</t>
        </is>
      </c>
      <c r="H8172" t="n">
        <v>29</v>
      </c>
      <c r="I8172" t="inlineStr">
        <is>
          <t>彼らは死体を埋めたばかりの土の上で狂ったようにたがいを貪り合った。；果たして先生は本当に貪りたくなるほどに飢えたことがあるのだろうか。；ハリーは貪るようにみんなを見つめ、両手をぴったりと鏡に押し当てた。；その頃妻は貪るようにものを食べるのであったが、どうも元気がなかった。；右の河は貪りや執着の心を表し、左の河は怒りや憎しみをそれぞれ表す。；自分からは何もせず、人から与えられる好意を貪り食うことしかしない。；ソレ程に私が金を大事にするから、又同時に人の金も決して貪らない。；のちに宝慶元年、処州の知州をつとめたが、ひどい貪官であったという。；人前を堂々と美冬を連れて歩くことができ、夜には彼女の肉体を貪れる。；紀久子がいままでに接したいかなる男よりも貪婪に彼女を貪りつくした。；君はその忌まわしくも圧倒的な繁栄の意図で我々を貪り尽くすのだろう。；それにしてもどうも私には旅を貪りすぎる傾向があつていけない。；男が唇を落とすと、それを待っていたように、下から女がそれを貪る。；例えば空襲の焼け跡で牛女が動物の死骸を貪っていたとする噂があった。；お君の眼には、物を貪る時のような張りきった光が満ちていました。；気持ちの整理がつかないまま 体はこの快感を貪りたいと思ってる。；自分はその時思う存分に自分の感情の満足を貪り味わおうとしたのであった。；そこでも甘寐の安さを貪ることは出来ずに、 恐ろしい夢に驚かされる。；彼はその小さな草の上に、顔をじかにつけて、貪るように、露を吸った。；声もなく腰をひねって快楽を貪ろうとする姿は、感動的でさえあった。；そうした娘たちは数十人におよび、このため馮熙は「貪縦」と号された。；彼はかねて追い求めていた二人のほうへ気ぜわしく貪るような視線を投げた。；朝倉は部屋の左隅についた極度に簡単な台所で、水道の水を貪り飲んだ。；意識を失った男や女は、いつ醒めるとも知れない眠りを貪っている。；二人は長い時間をかけて貪り合い、どちらからもやめようとはしなかった。；血に飢えることもないし、肉を貪る必要もないのに、狼のふりをしてきた。；時おり、窓の外を流れる町の灯を意識しながら私は浅い眠りを貪った。；彼女は絶えずパリに想いをはせ、世俗的な新聞を貪るように読んでいた。；信一郎は胸を躍らしながら、貪るようにその一行々々を読んだのである。</t>
        </is>
      </c>
      <c r="J8172">
        <f>HYPERLINK("https://www.weblio.jp/content/貪る", "词义详情")</f>
        <v/>
      </c>
      <c r="K8172">
        <f>HYPERLINK("https://yourei.jp/貪る", "查看例句")</f>
        <v/>
      </c>
    </row>
    <row r="8173">
      <c r="A8173" t="inlineStr">
        <is>
          <t>無残</t>
        </is>
      </c>
      <c r="B8173" t="inlineStr">
        <is>
          <t>成功</t>
        </is>
      </c>
      <c r="C8173" t="inlineStr">
        <is>
          <t>読み方：むざん
［名・形動］
１（無慙・無慚）仏語。戒律を破って心に少しも恥じるところがないこと。「放逸—」「破戒—」
２残酷なこと。乱暴なこと。また、そのさま。「—な仕打ちをする」
３いたましいこと。あわれなこと。また、そのさま。「—な最期を遂げる」「見るも—な光景」</t>
        </is>
      </c>
      <c r="D8173" t="inlineStr">
        <is>
          <t>無残な姿(6%)；無残な死体(3%)；無残な最期；無残な光景；無残な敗北</t>
        </is>
      </c>
      <c r="E8173" t="inlineStr">
        <is>
          <t>悪い；ひどい；不幸；残念；悲劇</t>
        </is>
      </c>
      <c r="F8173" t="inlineStr">
        <is>
          <t>凶悪無残；兇悪無残；あまりにも無残；無残な死に方；無残な傷口</t>
        </is>
      </c>
      <c r="H8173" t="n">
        <v>29</v>
      </c>
      <c r="I8173" t="inlineStr">
        <is>
          <t>驚いて目を開けた源八の眼前に広がる光景は見るも無残なものだった。；ところが、そこに見たのは、主人に抱えられた美津子の無残な姿でした。；そのために血が塗りひろげられて、男の顔はいっそう無残に汚れていた。；こうして汚れた西瓜の無残な形骸が処々の草の中に発見されるのである。；私を待っていたのは、無残にも、そのような運命でしかなかったのだ。；それはいうまでもなく、こんな大それた、無残な行為を誰がやったか?；いや、上手下手の問題ではなくて、文章を書く力が無残に低下してゐる。；最も無残な情景を呈したのは、やはり第一項にある土佐兵の処刑である。；知らせを聞いて急行しても、燃える小屋や無残な殺戮の跡があるだけだ。；藤七が戻れといわなければ、小栗が無残な死に方をすることもなかった。；無残なことに串刺しとなった源爺の体は、倒れることも許されなかった。；殺害した両親の死体に錘をつけ、無残にも海中に投げ捨てたものである。；伊佐間はやれ首がないの足がないの、その手の無残な話は苦手なのである。；新聞の煽情的な見出し、被害者の無残な顔のイラストが厭でも目に入る。；彼は貴族社会は守ったが、 無残にもイタリア中に市民の血の雨を降らせた。；彼がうけた、あの無残な仕打ちを、女はいったいどう受取ったのだろう?；車ごと焼け焦げた無残な死体になって、ロンドン郊外の森で発見された。；目の前の無残な光景に、ガリオンは心臓をつかまれたような気持ちがした。；幸い火はすぐに消えたけど、置かれた機材は見るも無残なありさまだった。；彼らは探索の最中で、番兵が何者かに無残に殺されている様子を発見する。；しかし後に思ひ出して見ると、それは無残にもこんなものだつた。；棒切れと苔の間にひそんでいた未知のものが、鼻を無残につかんでいた。；どうしてあの最初の狂暴無残な一撃に耐えたのか、知るのは神だけである。；大きく口をあいていたはずの無残な傷は、跡形もなく消え失せていた。；ベンが家に戻ると、家主である妹のアンジェラが無残な死を遂げていた。；直撃を食らった青い聖機人の右肩は、無残に崩れて大きく破損していた。；一時的に英雄的に表現されるキャラクターも最後には無残に殺される場面が多い。；あまりに無残な体ですけれども、誰も手を出すものがありません。；神はそうした無残な姿のキリストをこそ肯定しているからである。</t>
        </is>
      </c>
      <c r="J8173">
        <f>HYPERLINK("https://www.weblio.jp/content/無残", "词义详情")</f>
        <v/>
      </c>
      <c r="K8173">
        <f>HYPERLINK("https://yourei.jp/無残", "查看例句")</f>
        <v/>
      </c>
    </row>
    <row r="8174">
      <c r="A8174" t="inlineStr">
        <is>
          <t>虫</t>
        </is>
      </c>
      <c r="B8174" t="inlineStr">
        <is>
          <t>成功</t>
        </is>
      </c>
      <c r="C8174" t="inlineStr">
        <is>
          <t>読み方：ちゅう
［音］チュウ（漢）　［訓］むし
［学習漢字］1年
〈チュウ〉
１むし。「虫媒花／益虫・回虫・害虫・駆虫・甲虫・昆虫・成虫・精虫・防虫・幼虫・寄生虫」
２動物の総称。「羽虫（＝鳥）・裸虫（＝人間）」
〈むし〉「虫歯／青虫・鈴虫・長虫・水虫・弱虫」
［難読］虫唾(むしず)</t>
        </is>
      </c>
      <c r="D8174" t="inlineStr">
        <is>
          <t>虫たち；虫籠；虫卵；虫類；虫体</t>
        </is>
      </c>
      <c r="E8174" t="inlineStr">
        <is>
          <t>昆虫；細菌；微生物；虫けら；黴菌</t>
        </is>
      </c>
      <c r="F8174" t="inlineStr">
        <is>
          <t>小虫；食虫；個虫；悪い虫；砂虫</t>
        </is>
      </c>
      <c r="G8174" t="inlineStr">
        <is>
          <t>虫けら；虫の音；虫の息；虫食い；虫食</t>
        </is>
      </c>
      <c r="H8174" t="n">
        <v>29</v>
      </c>
      <c r="I8174" t="inlineStr">
        <is>
          <t>アメリカ合衆国ではこの虫のことを何と呼ぶのかを広く調査している。；また、内部型においては虫体が卵状の形態を示すことが報告されている。；また、棍自体を強化するのにも猟虫が一定まで成長している必要がある。；練習の虫と言われていたが、一軍出場の無いままに戦力外通告を受けた。；それはまるでメクラグモのようにとても足の長い虫のような姿だった。；道を歩きながらあちこち眺め、虫のいそうなところを見て回る方法である。；しかし、新しいコロニーを形成できるのはごく一部の生殖虫に限られる。；虫が混入した食物も、虫を誤って食べるおそれがあるために避けられる。；人間界に存在する大地や岩の力、人間外の獣や虫の力を己の力とする。；このためダメージを与えてもすぐに幻光虫が集められ、治癒してしまう。；ちょうど日本で、人間の心に虫がいて感情を左右するとされた事に相当する。；この対比はこれらの層で報告された膨大な数の貝虫に支持されている。；虫こぶは、植物組織が異常な発達を起こしてできるこぶ状の突起のこと。；鳴く虫は秋のものと考えられがちだが、キリギリスも夏が最盛期である。；虫の正体は分からずじまいで女医ではなく老医師に注射を1本打たれる。；空を飛んでくる虫が主体であるが、地表性のものも入る場合がある。；従来は死んで落ちた虫が腐敗して根から吸収されるといわれていた。；葉が大きく落葉樹である、虫がつきにくい等の特徴から街路樹に適する。；それらのうちの1個体が新たな生殖虫となると、他のものは殺される。；虫媒のみに頼る、または一部を虫媒とする花は16万種に及ぶとされる。；虫体よりかなり長い円筒形のキチン質の棲管を作り体の前部を外に出す。；ヒドロ虫類の群体性ポリプでは個虫の形態に分化が見られる場合がある。；現在は昆虫の動きを研究し、それを真似て虫型ロボットを研究する。；投げ縄で獣を捕らえるようにして虫を捕らえることが名の由来である。；この場合、虹は春に発生して秋に姿を消す虫や蛇のように考えられていた。；空気は出入りさせるが虫は出入りさせないようにする場合、網戸を加える。；生き物を愛し、家の中に虫がいても殺さずに優しく外に放つほどであった。；これは、土台の部分を歩く虫がくっつくようになっているものである。；ポリプの時期を持たないものは、硬クラゲ類や若干の鉢虫類に見られる。</t>
        </is>
      </c>
      <c r="J8174">
        <f>HYPERLINK("https://www.weblio.jp/content/虫", "词义详情")</f>
        <v/>
      </c>
      <c r="K8174">
        <f>HYPERLINK("https://yourei.jp/虫", "查看例句")</f>
        <v/>
      </c>
    </row>
    <row r="8175">
      <c r="A8175" t="inlineStr">
        <is>
          <t>無視</t>
        </is>
      </c>
      <c r="B8175" t="inlineStr">
        <is>
          <t>成功</t>
        </is>
      </c>
      <c r="C8175" t="inlineStr">
        <is>
          <t>読み方：むし
［名］(スル)存在価値を認めないこと。また、あるものをないがごとくみなすこと。「人の気持ちを—する」「信号—」</t>
        </is>
      </c>
      <c r="D8175" t="inlineStr">
        <is>
          <t>無視する(14%)；無視でき(6%)；無視される(3%)；無視しよ；無視すれ</t>
        </is>
      </c>
      <c r="E8175" t="inlineStr">
        <is>
          <t>油断；除外；見逃し；軽視；不覚</t>
        </is>
      </c>
      <c r="F8175" t="inlineStr">
        <is>
          <t>完全無視；無視されれ；無視しや；無視する態度；無視するわけ</t>
        </is>
      </c>
      <c r="G8175" t="inlineStr">
        <is>
          <t>無視可能；無視可能函数</t>
        </is>
      </c>
      <c r="H8175" t="n">
        <v>29</v>
      </c>
      <c r="I8175" t="inlineStr">
        <is>
          <t>いずれかの要素ばかり気にして、他の要素を無視するようでは良くない。；しかし、物語の研究をする者には今でも、無視できない作品となっている。；しかし両軍の一部には停戦の成立を無視して戦闘を継続する者がいた。；最初から当該国裁判所を無視して人権裁判所に提訴することはできない。；同委員会またはある特定ジャンルの大部分を無視していることで非難されている。；この時、ルコセビシウスは周囲に助けを求めたが無視されたとされる。；投球術や駆け引きが無視されるほどの絶対的な武器であることも多い。；それを無視した上で表現活動をするっていうのは無理だと思うんです。；多数の防衛施設を抱えているため、地元経済への影響は無視できない。；しかし、検索ロボットによってはこのような指定を無視するものもある。；また敵を無視して味方同士を対戦させることも可能である。；それを無視して、ふと気が付けば、村中の男たちが彼を殺す準備をしていた。；首長は現在でも強力な権威を持っており、無視しえない存在である。；しかしフランスやイギリスなどの同盟諸国はこの布告を無視した。；中国とのつながりを否定する時に科学的な事実を無視している。；酷い振動が起こり、寿命も短くなると言って、完全に無視しているのだ。；発案者が信念を持っていない意見やアイデアは無視すると決めている。；周期項を無視し、長い期間にわたって平均すると両者は以下の関係にある。；ここでは地球の影響による時間の流れの変化は無視するとする。；また鉄道の運行自体に与える影響も無視できなくなった。；これはエジプト人自身が常に伝承してきたクフの矛盾した伝統を無視している。；そこに至る上で本作の存在は無視できないものがある。；アクセルロッドはゲーム理論からの批判を意図的に無視し続けているという。；世間は、彼を無視し彼の作品の多くがコレクションされていない。；またこの頃から、増大するカラス族の問題が無視できなくなってきた。；無視してもゲームの進行には全く影響がないが、ここでしか手に入らないアイテムもある。；応用ではこの記憶の必要性はいつも決まって無視されている。；ただし、原作者の意向が無視されたため、バローズは複雑な思いだった。；しかしこれは全く支持されることなく無視された。</t>
        </is>
      </c>
      <c r="J8175">
        <f>HYPERLINK("https://www.weblio.jp/content/無視", "词义详情")</f>
        <v/>
      </c>
      <c r="K8175">
        <f>HYPERLINK("https://yourei.jp/無視", "查看例句")</f>
        <v/>
      </c>
    </row>
    <row r="8176">
      <c r="A8176" t="inlineStr">
        <is>
          <t>無地</t>
        </is>
      </c>
      <c r="B8176" t="inlineStr">
        <is>
          <t>成功</t>
        </is>
      </c>
      <c r="C8176" t="inlineStr">
        <is>
          <t>読み方：むじ
全体が同じ色で模様のないこと。「—のカーテン」「色—」</t>
        </is>
      </c>
      <c r="D8176" t="inlineStr">
        <is>
          <t>無地藩王アジュマーン；無地のtシャツ；無地ちりめん；無地の白い；無地木綿</t>
        </is>
      </c>
      <c r="F8176" t="inlineStr">
        <is>
          <t>無地藩王；紺無地；黒無地；ステンレス無地；白い無地</t>
        </is>
      </c>
      <c r="H8176" t="n">
        <v>29</v>
      </c>
      <c r="I8176" t="inlineStr">
        <is>
          <t>此時も明治四十一年の春初めて来た時着て居た彼無地の木綿羽織だった。；べっとりとした紫色の雲に覆われた、月も星も何も見えない無地の天空。；一つ一つをみればやや長めの白無地に家紋を入れただけの灯籠である。；奥さんが織っているのは無地で、こちらは一日あれば十分とのことであった。；よその国には絵のついていない無地の葉書というのはないのだろうか。；危篤 むじゆん だと言ったり、逃げたとか、矛盾しているではないか。；男子は黒の無地が正式とされ女子では羽二重の他縮緬や綸子が用いられる。；一つ穴のむじなゆえ、名は知っているが面識はないと言うたにちがいないのだ。；また、本部付きの隊員などは所属番号側の襟章が無地となっていた。；屋上の赤い看板は現在は無地であるが、かつては西友の看板であった。；腰の袋から、いつも身につけている無地の骨牌札を出して小刀をあてる。；卵には柄つきとそうでないものがあり、ベージュの無地で2cmほど。；目的の用途に合わせて縦横の罫線が引かれていたり無地だったりする。；無地のシャツにジーンズなんつー格好の俺とは、なるほど釣り合うまい。；色無地とは、日本の和服の中で柄のない黒以外の無地の和服のことをいう。；この平ゴムには、文字や柄がデザインされているものが多く無地のものは少ない。；このごろ着て居る紺無地のネルは大変落付いた感じを与えて好い着物だ。；無地の大きなもので父にも私にも大の氣に入りの杯である。；模様があるわけでも彫刻が彫られているわけでもない、無地の橙色だ。；なお、モケットとカーテンは、後に従来車と同じ無地のものへ交換された。；その反対に、日本にある無地の葉書は私たちの宝だと言いたいのだ。；無地で紋織のもありますが、品がよく間違いのない品であります。；すべて、そのあたりをいつもうろついている、むじなのためであった。；なおモノクロページではいずれもトーンの貼られていない無地だった。；二十年以上も前のことで、私は紺無地の飛切上等のネクタイをしていた。；白絵掛けの無地が得意のようであるが、このほかに飴釉や黒釉も沢山使う。；これを想うと、仕事はもう一度無地を立て前として再興すべきではないか。；側扉は交換され、ステンレス車では室内側はステンレス無地のものとなった。；そのとき、無地になってしまったモニターになにやら文字が走るのが見えた。</t>
        </is>
      </c>
      <c r="J8176">
        <f>HYPERLINK("https://www.weblio.jp/content/無地", "词义详情")</f>
        <v/>
      </c>
      <c r="K8176">
        <f>HYPERLINK("https://yourei.jp/無地", "查看例句")</f>
        <v/>
      </c>
    </row>
    <row r="8177">
      <c r="A8177" t="inlineStr">
        <is>
          <t>蒸し暑い</t>
        </is>
      </c>
      <c r="B8177" t="inlineStr">
        <is>
          <t>成功</t>
        </is>
      </c>
      <c r="C8177" t="inlineStr">
        <is>
          <t>読み方：むしあつい
［形］［文］むしあつ・し［ク］風がなくて湿気が多く、むされるように暑い。「—・くて寝苦しい」《季夏》</t>
        </is>
      </c>
      <c r="D8177" t="inlineStr">
        <is>
          <t>蒸し暑い日(11%)；蒸し暑い夏(9%)；蒸し暑い夜(8%)；蒸し暑い晩(4%)；蒸し暑い空気(2%)</t>
        </is>
      </c>
      <c r="E8177" t="inlineStr">
        <is>
          <t>暑い；多湿；暑苦しい；むし暑い；ホットな</t>
        </is>
      </c>
      <c r="F8177" t="inlineStr">
        <is>
          <t>非常に蒸し暑い；少し蒸し暑い；いやに蒸し暑い；妙に蒸し暑い；蒸し暑い夏と温暖</t>
        </is>
      </c>
      <c r="H8177" t="n">
        <v>29</v>
      </c>
      <c r="I8177" t="inlineStr">
        <is>
          <t>さて、この土地にしては、ごく稀な、朝から蒸し暑い日の午後であつた。；そこまで来てようやく、彼は今夜が蒸し暑い夜だったのを思い出した。；ミリアムが休憩室の大きな窓を開けたのは、急に蒸し暑くなったからだ。；両河川は湿度の上昇をももたらし、特に真夏には蒸し暑さの要因となる。；六月半ばの蒸し暑い午後だというのに、俺は背中に冷たい汗を感じていた。；夜になって雲がひろがったようだが、かえって蒸し暑さを加えていた。；今年は冷夏だというが、彼の住むアパートの蒸し暑さといったらない。；しめきった部屋の蒸し暑さがいまさらのように一同ののどをしめあげる。；驚くべき事実がはじめて明らかになったのは蒸し暑い夜だった。；蒸し暑い晩であったし、別に急いで家へ帰ることもないと思った。；冷房を切ってしまったから部屋のなかは徐々に蒸し暑くなってくる。；いまはちょうど、春と夏の境であるが、それにしては妙に蒸し暑い。；しかし、中にはゆっくりと風が舞っていて、蒸し暑さは感じられなかった。；まだ六月の初めだっていうのに、この蒸し暑さはどうしたもんでしょうかね。；エアコンが故障している蒸し暑い店内で常連客が淡々と食事をしている。；日当りの悪い納戸の奥の部屋は、夏になるとおそろしく蒸し暑くなった。；風のない蒸し暑いある日の夕方私はいちばん末の女の子をつれて鋏を買いに出かけた。；一足先に夏がやってきたような蒸し暑い日々が続いていますね。；蒸し暑さは一層酷くなって、蒸気機関を構成する部品になった気分だ。；蒸し暑い真夏の図書館には二、三人の高校生がいるだけで閑散としていた。；あの晩は、ちょっと蒸し暑い晩でしたので、窓は、みんなあけたままでした。；その蒸し暑さは一層人の神経をいらだたせて、暴風雨の物凄さを拡大した。；川の上は風があるだろうと思ったのが誤算で、じっとりと蒸し暑い。；しかし、彼女の声には私を興奮させるような蒸し暑くてスマートなものがあります。；その日は四月の夜にしては蒸し暑く、啓介は窓を開けていたのだ。；いやに蒸し暑かった夜が、深夜にはいってから嘘のようにそら寒くなっていた。；風通しの悪い脱衣場は蒸し暑く、男の額や首は汗でじめじめしている。；盛りの夏が駆けもどってきたかのような、蒸し暑い夕暮れであった。；梅雨は細い雨と蒸し暑いのが普通だが、今年は雨があまり降らない。</t>
        </is>
      </c>
      <c r="J8177">
        <f>HYPERLINK("https://www.weblio.jp/content/蒸し暑い", "词义详情")</f>
        <v/>
      </c>
      <c r="K8177">
        <f>HYPERLINK("https://yourei.jp/蒸し暑い", "查看例句")</f>
        <v/>
      </c>
    </row>
    <row r="8178">
      <c r="A8178" t="inlineStr">
        <is>
          <t>無実</t>
        </is>
      </c>
      <c r="B8178" t="inlineStr">
        <is>
          <t>成功</t>
        </is>
      </c>
      <c r="C8178" t="inlineStr">
        <is>
          <t>読み方：むじつ
［名・形動］《古くは「むしつ」》
１事実がないこと。実質がないこと。「有名—」
２罪を犯していないのに、罪があるとされること。冤罪(えんざい)。「—の罪」「—を訴える」
３誠実さがないこと。また、そのさま。
「破戒なれども比丘をば敬ひ、—なれども勧進をば奉加す」〈盛衰記・一八〉</t>
        </is>
      </c>
      <c r="D8178" t="inlineStr">
        <is>
          <t>無実を証明しよ；無実化；無実を訴え続け；無実を晴らすべく</t>
        </is>
      </c>
      <c r="E8178" t="inlineStr">
        <is>
          <t>白；無邪気；無罪；潔白；クリーン</t>
        </is>
      </c>
      <c r="G8178" t="inlineStr">
        <is>
          <t>無実はさいなむ</t>
        </is>
      </c>
      <c r="H8178" t="n">
        <v>29</v>
      </c>
      <c r="I8178" t="inlineStr">
        <is>
          <t>ドクターは本当に二人の無実が証明されるとでも思っていたのだろうか?；まだあなたは、われわれが無実な男を迫害しているものとお思いですか?；少年の無実の根拠、検察が主張する証拠の不証明は下記のとおりである。；彼らが真実に興味がないとしたら、自分が無実を証明する方法はあるのか?；ハートは裁判を通して無実を主張したが、証言台に立つことは拒否した。；無実の男を一人絞首刑にするのに、この上ないことをやってきたんだぞ。；君は無実の人を危険な目に遭わせてしまったのではないかと恐れ始めるだろう。；だが、はっきりした証拠があるのだから、無実とはいえないと思った。；「無実の人間がひとり殺されるのですよ」 だが時間が来てしまった。；その結果は、無実の少年を有罪の少年と一緒に殺すことになるのです。；データを捏造する人間や組織が無実の人の罪を捏造しない保証はない。；「あんたは無実の者を殺そうとしているんだよ」 多くの者がそう答えた。；どんな場合にも想定してあるから、きみは無実の被害者でいられる。；結果は無実であったが、この事件がきっかけで音楽界から引退する。；同じ梨花女専出身で金とも深交があった毛允淑は金の無実を訴えていた。；かれらは泣いて無実を訴えたが、ひとまず裁判所へ送られてしまった。；獄中でも無実を訴えていたことから仮釈放は認められなかったという。；ジョンは無実の人間を殺すことができず、イグリットが代わりに矢で殺す。；この部屋で我々が探すのはエリスの無実の証拠だっていったのは君なんだよ。；沢山の無実の人を殺しているキャラクターの名前は赤色で表示される。；無実なものなら出て来るだろうが、うしろめたい奴は逃げてしまうよ。；そして何よりも、事件の状況からしてが、彼女の無実を明示していた。；もう一人を告発しようとして、他の一人の無実を証明しておくのです。；グリーンは、自分が無実だとして恩赦を受けることを完全に信じていた。；三人はブラックが無実である可能性があると考えていたようです。；中には無実の者も含まれており、オランダの単なる報復行為の側面もあった。；そうすればきっと、一人を除いてあとの三人は無実とわかります。；渡しながらあなたが無実なことを説明し、その保証人となります。；彼は自分が無実だということ以外に、何も私に話すことはなかった。</t>
        </is>
      </c>
      <c r="J8178">
        <f>HYPERLINK("https://www.weblio.jp/content/無実", "词义详情")</f>
        <v/>
      </c>
      <c r="K8178">
        <f>HYPERLINK("https://yourei.jp/無実", "查看例句")</f>
        <v/>
      </c>
    </row>
    <row r="8179">
      <c r="A8179" t="inlineStr">
        <is>
          <t>虫歯</t>
        </is>
      </c>
      <c r="B8179" t="inlineStr">
        <is>
          <t>成功</t>
        </is>
      </c>
      <c r="C8179" t="inlineStr">
        <is>
          <t>読み方：むしば
歯の硬い組織が、口腔内の細菌の作用による食べかすの発酵で溶解し、破壊される状態。また、その歯。虫食い歯。齲歯(うし)。</t>
        </is>
      </c>
      <c r="D8179" t="inlineStr">
        <is>
          <t>虫歯予防(4%)；虫歯だらけ(2%)；虫歯治療</t>
        </is>
      </c>
      <c r="E8179" t="inlineStr">
        <is>
          <t>う蝕</t>
        </is>
      </c>
      <c r="G8179" t="inlineStr">
        <is>
          <t>虫歯予防デー；虫歯車</t>
        </is>
      </c>
      <c r="H8179" t="n">
        <v>29</v>
      </c>
      <c r="I8179" t="inlineStr">
        <is>
          <t>虫歯が痛んだときに数回だけ歯医者へ行った以外はずっと家の中にいた。；彼が観察した歯科的問題とは、虫歯の他、適切な顔の構造の発達を含む。；最初は虫歯を調べているのかとも思ったが、そうでもなさそうだった。；行きたくないと思っているうちに、虫歯が悪化してしまったのである。；彼らはフッ化物に効果があるのならば、虫歯は発生しないだろうと主張する。；フッ化物は1940年代に虫歯を防ぐために使用されるようになった。；痛む虫歯をゆり動かしてさらに痛くせずにいられない気持に似ていた。；砂糖は肥満や虫歯の一因とされ、その消費を抑制することが目的である。；美というものは、そうだ、何と云ったらいいか、虫歯のようなものなんだ。；虫歯のありそうな顔をしているからあの男のに違いない。；まず第一の常識はキャラメル会社の広告なのに虫歯を強調したこと。；地元の健康管理専門家は市が虫歯を流行らせていると主張している。；右下の奥の臼歯に詰め物をした箇所に、虫歯の兆候が見られるという。；子供のときに虫歯がなかったせいもあるが、私は歯医者に一度も行ったことがない。；虫歯した事すらないという健康な白い歯を 一本一本舐めていく。；寝てる間は痛くない虫歯も、起きたとたんに天地も割れよと疼くだろう。；歯が悪い時は、舌の先をソロソロと悪い虫歯の方に近づけて行きたくなるものなんです。；虫歯になったことを娘が報告したら『暖かくして寝なさい』と指示したあの人の。；朝の歯みがきだけでは虫歯を防げないことをぼくは明らかにした。；一方街では、大流行する虫歯と、沖合に出るという怪物が問題となっていた。；一番ひどい歯に金を入れてもらい、四本の虫歯も処置してもらった。；普段なら絶対に嫌な歯医者にでも、いよいよ虫歯が本格化すれば飛んで行きたくなる。；貴婦人が笑い顔を見せる肖像画が皆無なのも、虫歯と関係があるのだろうか。；自分の虫歯など、何万分の一、ごくささいなものに思えてくるから、妙だ。；秋のはじめから、奥様は虫歯の御煩で時々酷い御苦痛をなさいましたのです。；それでも虫歯持ちなことは重々承知していたので、一大決心をしていったのである。；歯科の先生に骨折って虫歯の根っ子を抜いてもらってよかったです。；また、一度歯の根管治療を受けたらそれ以上虫歯になったりしないと多くの人が信じている。；そんな時ちょうどわたしは虫歯になり、姉から彼の勤めている歯科医院を勧められたのだ。</t>
        </is>
      </c>
      <c r="J8179">
        <f>HYPERLINK("https://www.weblio.jp/content/虫歯", "词义详情")</f>
        <v/>
      </c>
      <c r="K8179">
        <f>HYPERLINK("https://yourei.jp/虫歯", "查看例句")</f>
        <v/>
      </c>
    </row>
    <row r="8180">
      <c r="A8180" t="inlineStr">
        <is>
          <t>無邪気</t>
        </is>
      </c>
      <c r="B8180" t="inlineStr">
        <is>
          <t>成功</t>
        </is>
      </c>
      <c r="C8180" t="inlineStr">
        <is>
          <t>読み方：むじゃき
［名・形動］
１素直で悪気がないこと。いつわりや作為がないこと。また、そのさま。「—ないたずら」「質問に—に答える」
２あどけなくかわいらしいこと。また、そのさま。「赤ん坊の—な笑顔」
３思慮に欠けること。また、そのさま。
「両親や教師は—にもこの事実を忘れている」〈芥川・侏儒の言葉〉
[派生]むじゃきさ［名］</t>
        </is>
      </c>
      <c r="D8180" t="inlineStr">
        <is>
          <t>無邪気な笑顔(2%)；無邪気な顔；無邪気な子供；無邪気そう；無邪気な声</t>
        </is>
      </c>
      <c r="E8180" t="inlineStr">
        <is>
          <t>初；やすい；単純；純；無罪</t>
        </is>
      </c>
      <c r="F8180" t="inlineStr">
        <is>
          <t>無邪気そのもの；あまりにも無邪気；無邪気な歓声；無邪気な微笑み；無邪気な寝顔</t>
        </is>
      </c>
      <c r="H8180" t="n">
        <v>29</v>
      </c>
      <c r="I8180" t="inlineStr">
        <is>
          <t>無学者は頭から何にも知らないと云つてるから無邪気で罪が軽いやうだ。；いえ、春さんはあの調子で無邪気一方なんだから、なんて事は無いのよ。；父は馬鹿だと言うけれど、馬鹿気て見える程無邪気なのが私は可愛ゆい。；二人の子供は母親との別れが近いことも知らず無邪気に遊んでいる。；その上僕の眼には、沢子がごく無邪気な少女のように映じていたのです。；そしていかにも無邪気にそれをつとめたので、三人の主人らを微笑ました。；僕はぼんやりしているかと思うと、又余り無邪気でない処のある子であった。；いつもはドSなキャラの沖田だが姉の前では無邪気な少年のようだった。；その時僕の眼前の彼女は、もう可愛い無邪気な少女ではなかったのです。；そうかと思えばまた、まるで無邪気に何事も気づいていない様でもあります。；何も知らない御米はまた平常の通り無邪気にそれからそれへと聞きたがった。；先生はよくこの無邪気な子供らしく美しい笑顔を見せたものであった。；かういふことになると、彼の話振りには一種の無邪気さが現れて来る。；なんでも一日の中に一時間か二時間は無邪気に盛んに運動するが宜い。；その言葉を、短い無邪気な歌でも唄うように節をつけて言うのである。；始めのうちは葉子もそれを木部の詩人らしい無邪気さからだと思ってみた。；胸をうつような無邪気さで、夫が格別好きな小曲を歌っているのだった。；無邪気な山の人々もこの光に引きつけられてくるのかも知らぬ。；また、性格面では素直に感情を表に出す無邪気さや気の強さが語られている。；頭がよくて悧口だけれど、余り無邪気な所のないのがいけないんです。；ヘプバーンのようなのッけからのあどけなさ無邪気さには安定感がない。；お高は、恩があるだけに、この無邪気な人の心臓を傷つけたくなかった。；魔子は臆面のない無邪気な子で、来ると早々私の子と一緒に遊び出した。；少しずつ認知症の症状が進み、少女に戻り無邪気な様子を見せるみつえ。；コッペリウスの向かいに住むスワニルダは明るく無邪気な人気者の少女。；伸子はそこへはいって行ったときの無邪気さを失ってその女カフェーを出た。；こうした結局無邪気な学生の意識が当時の「書生気質」だったのである。；しかし我々の両親や教師は無邪気にもこの事実を忘れている。；無邪気でやるのなら、私そんなに気になりはしないと思いますわ。</t>
        </is>
      </c>
      <c r="J8180">
        <f>HYPERLINK("https://www.weblio.jp/content/無邪気", "词义详情")</f>
        <v/>
      </c>
      <c r="K8180">
        <f>HYPERLINK("https://yourei.jp/無邪気", "查看例句")</f>
        <v/>
      </c>
    </row>
    <row r="8181">
      <c r="A8181" t="inlineStr">
        <is>
          <t>矛盾</t>
        </is>
      </c>
      <c r="B8181" t="inlineStr">
        <is>
          <t>成功</t>
        </is>
      </c>
      <c r="C8181" t="inlineStr">
        <is>
          <t>読み方：むじゅん
［名］(スル)
１ほことたて。
２《昔、中国の楚の国で、矛(ほこ)と盾(たて)とを売っていた者が、「この矛はどんなかたい盾をも突き通すことができ、この盾はどんな矛でも突き通すことができない」と誇ったが、「それではお前の矛でお前の盾を突けばどうなるか」と尋ねられて答えることができなかったという「韓非子」難一の故事から》二つの物事がくいちがっていて、つじつまが合わないこと。自家撞着(じかどうちゃく)。「発言の—を突かれる」「二人の話が—する」
３論理学用語。
㋐伝統的論理学で、二つの概念または命題が一定の事象を同一の観点から同時に、一方が肯定し他方が否定する場合の両者の関係。
㋑命題論理学で、複合命題からなる論理式の各要素命題にいかなる真理値を与えても必ず偽となる式。
４ヘーゲル弁証法で、概念の発展に必要不可欠な契機。</t>
        </is>
      </c>
      <c r="D8181" t="inlineStr">
        <is>
          <t>矛盾する(14%)；矛盾点(2%)；矛盾的自己同一；矛盾だらけ；矛盾してる</t>
        </is>
      </c>
      <c r="E8181" t="inlineStr">
        <is>
          <t>反する；相反；抵触；相反する；不一致</t>
        </is>
      </c>
      <c r="F8181" t="inlineStr">
        <is>
          <t>相矛盾；大きな矛盾；一見矛盾；とも矛盾；社会矛盾</t>
        </is>
      </c>
      <c r="G8181" t="inlineStr">
        <is>
          <t>矛盾許容論理；矛盾律；矛盾螺旋；矛盾論；矛盾脱衣</t>
        </is>
      </c>
      <c r="H8181" t="n">
        <v>29</v>
      </c>
      <c r="I8181" t="inlineStr">
        <is>
          <t>これは古くから言われていた民主主義の持つ危険性であり、矛盾である。；双方の記述で異なる場合は、各王の記事と矛盾しないものを採用した。；この事実は、一見すると自然選択説の予想と矛盾するように感じられる。；同時に、旧作の矛盾点や設定上の不備も解消されるよう構成されている。；主にテレビ番組をネタにすることが多く、番組の矛盾をつく内容が多い。；新しいデータは、以前の捏造されたデータとは矛盾するものであった。；一つの言葉で矛盾した二つの意味を同時に言い表す表現方法である。；これらの記念施設は、その政治的な目的性や様々な矛盾から非難を受けている。；この不完全と言う意味は特にその矛盾に満ちたスコアに対して言われる。；この文に古典的な二値の真理値をあてはめようとすると矛盾が生じる。；そのため上記の小島の証言のような、批判論の矛盾に気づかない場合が多い。；そのためすでに完成したシーンがストーリーと矛盾していれば再撮影する必要が生じた。；設定の矛盾をものともしない展開と飛びぬけた発想を身上としている。；中にはお互いに対立する主張もあり、論理的な矛盾が生まれている。；など、鎌倉幕府の討幕を目的とするのであれば矛盾する内容になっている。；郊外に人流をつくろうとしたことから矛盾が起きたためである。；この矛盾を改善するために考えられたのがシトフスキーの二重基準である。；ここで言う「真値」とは「定義に矛盾しない観測量の値 」のことである。；これらの記述、伝承、記録は互いに矛盾するため、非常に混乱させられる。；これは、信雄の誕生が同年3月末と伝わっていることと矛盾が生じる。；したがって、少なくともこの協定とバルフォア宣言の間には矛盾はない。；彼の中では帝政と国民主権は矛盾するものではなかったようである。；この修正された質量に基づいて外惑星の軌道を決定することで矛盾は解消した。；これはエジプト人自身が常に伝承してきたクフの矛盾した伝統を無視している。；しかし芸術性と商業性との矛盾に悩み失敗と試行錯誤を繰り返した。；開発側はこれを「仕様上の矛盾が解消されなかった」と説明した。；この e を、それ自身を表すゲーデル数に適用すると矛盾が導かれる。；また同役員の話には、横領の件と不適切会計の件の間に矛盾があるという。；このように過去にデビットを認知した発言を行っていることの矛盾が批判された。</t>
        </is>
      </c>
      <c r="J8181">
        <f>HYPERLINK("https://www.weblio.jp/content/矛盾", "词义详情")</f>
        <v/>
      </c>
      <c r="K8181">
        <f>HYPERLINK("https://yourei.jp/矛盾", "查看例句")</f>
        <v/>
      </c>
    </row>
    <row r="8182">
      <c r="A8182" t="inlineStr">
        <is>
          <t>無性に</t>
        </is>
      </c>
      <c r="B8182" t="inlineStr">
        <is>
          <t>成功</t>
        </is>
      </c>
      <c r="C8182" t="inlineStr">
        <is>
          <t>読み方：むしょうに
［副］
１ある感情が激しく起こるさま。むやみに。やたらに。「—腹が立つ」「—故郷が恋しい」
２あとさきを考えずにやみくもに行うさま。むやみに。やたらに。
「—めでたがるまい」〈浄・反魂香〉</t>
        </is>
      </c>
      <c r="D8182" t="inlineStr">
        <is>
          <t>無性に悲しく(2%)；無性に腹が立つ；無性に腹立たしく；無性に嬉しく；無性に腹が立ち</t>
        </is>
      </c>
      <c r="E8182" t="inlineStr">
        <is>
          <t>あまり；余り；あんまり；過剰；やたら</t>
        </is>
      </c>
      <c r="F8182" t="inlineStr">
        <is>
          <t>何だか無性に；やたら無性に；もう無性に；何故か無性に；無性に楽しく</t>
        </is>
      </c>
      <c r="H8182" t="n">
        <v>29</v>
      </c>
      <c r="I8182" t="inlineStr">
        <is>
          <t>だがそのときは無性に彼をあっと言わせてやりたいと思っただけだった!；わしらが無性に肉を欲しがっておるのを承知の上でやったんじゃからな。；気を失ったきり何時間も目覚めない君を見て、俺は無性に心配になった。；仏師屋で木彫を続けているうちにかれは無性に絵も描きたくなって来た。；何故か彼がビールを飲む姿を見ると、無性にビールがうまく感じるのだ。；軽い頭痛が残っているが無性におなかが空いて何か食べずにおられない。；一人で食事をしているセイバーを想像したら、無性に腹が立ってきた。；彼が騒ぎを起こしたわけではなかったが、ミックは無性に腹が立っていた。；二人がテーブルのほうへ近づいて来ると、彼は無性に元気づいてきた。；さすがに息をつかねばやっていられず、無性に左近に会いたくなった。；無性に東京に戻りたくなったのは、きっと東京の人に会ったせいだ。；夏の間まぶしい日々を与えてくれたこの学園が、無性に息苦しくなった。；古着屋でどんなことがあったか、ルコックはそれが無性に知りたかった。；聞いてるうちに彼は無性に悲しくなって、母の膝に取縋って泣き出した。；旅に出てみたいと無性に思ったのは、一年ほど前のことであった。；彼女を指名する客も増えたが、細川しのぶは無性に実家に帰りたくなった。；東京のような乱雑な町に生きていると無性に人間にあいたくなくなる。；なぜかガリオンは無性にさえぎるもののない広大な距離を見たいと思った。；大自然と隣り合わせて気ままに生きていた日々が無性になつかしくなる。；犬だと思うだけで、これほど無性に強い抵抗を感じるものなのか。；確かに、ああいう番組を見たあとは、無性に怖くなったりしたものだ。；親が僕の名の呼んだとき、無性に物を壊したくなって部屋の鏡を割りました。；無性にその中に飛び込んで行きたい気がしたが、それは許されないことだった。；妻の使っていた湯飲みなど平気で使ったりするのが無性に腹が立つ。；彼はほとんど酒も飲まず、女も相手にしなかったが、無性に歌が好きだった。；そして無性に、光春の姿の消えたあたりに向って、矢弾を盲射し出した。；河内の奥にばかりいると、無性に正行は遠くが知りたくなって来ます。；すべてを書き終ったとき、私は無性に百合子さんに会いたくなった。；ここのところ汗をかいているためだろうか、首筋が無性に痒くなった。</t>
        </is>
      </c>
      <c r="J8182">
        <f>HYPERLINK("https://www.weblio.jp/content/無性に", "词义详情")</f>
        <v/>
      </c>
      <c r="K8182">
        <f>HYPERLINK("https://yourei.jp/無性に", "查看例句")</f>
        <v/>
      </c>
    </row>
    <row r="8183">
      <c r="A8183" t="inlineStr">
        <is>
          <t>毟る</t>
        </is>
      </c>
      <c r="B8183" t="inlineStr">
        <is>
          <t>成功</t>
        </is>
      </c>
      <c r="C8183" t="inlineStr">
        <is>
          <t>読み方：むしる
［動ラ五（四）］
１つかんだりつまんだりして引き抜く。「草を—・る」「羽を—・る」「毛を—・る」
２肉や魚などの身をほぐす。「あぶった干鱈(ひだら)を—・って食べる」
３おどして、財産などをすべて奪いとる。「金を—・られる」
４綿などをちぎってふっくらとさせる。
「絹、綿…皆賜はりて、ひきちらして—・りなどす」〈宇津保・国譲下〉
[補説] 「毟」「挘」は国字。
[可能]むしれる</t>
        </is>
      </c>
      <c r="D8183" t="inlineStr">
        <is>
          <t>取る；採る；摘む；脱穀；もぎ取る</t>
        </is>
      </c>
      <c r="H8183" t="n">
        <v>29</v>
      </c>
      <c r="I8183" t="inlineStr">
        <is>
          <t>体の毛の半分ほどが、毟り取られでもしたかのようにまだらに抜けている。；悪い女に引っ掛かって正吉が金を毟り取られるとでも思っているのだ。；闇のなかで相手の髪を毟り、爪を立てて戦う二匹の獣の姿が見えた。；自宅の窓の向こうを彼女が横切るのや、庭で母親と草毟りをしているのを見た。；うっかり引っかかったりすれば、やっぱり金を毟り取られるんだろうか。；そしてその後は、庭の草毟りと水撒きと、夕食の支度が待ち受けていた。；気づくと同時に点滴の針を毟りとり暴れ出したのだがそれもまた記憶の外だ。；英国の軍人が降伏を知らせた時、怒りのあまり彼は肩章を毟り剣を壊したという。；その事件で犯人に襲われた道平は、とっさに毟り取った体毛を保存していた。；ほくそ笑む気分で短い眠りに落ち、目覚めてから残りを毟ってほおばる。；家の周囲に生える雑草は毟っても毟っても後から後からと頭を擡げつつあった。；髪を毟りとられ、顔中痣だらけの少女は鳩を抱き、私に向かって頭を下げた。；「なぜ花を毟ったりする」と、後ろから駈け込んで来た看視人がつめ寄った。；以前に弓枝から満州は日本が中国から無理矢理に毟り取った国だと聞いたことがあった。；爪の色が見る見る灰色となり、握った指先に毟られたのは一本の桔梗の花であった。；急いであたしは一掴の草を毟つて、此児の口と手を拭いてやつて、かう言つた。；うち半数は全身の肉を、まるでゆでた豚みたいに毟り取られていた。；賭場で最後まで目が出ず、きれいに毟られて懐中は一文なしである。；歳三は政の頭を両手で抱え込み、政の顔の肉を毟り取りながら食っていた。；沓も踵も、刀で切ったように、すっぱりと、肉ごと毟り取られていた。；いきなり徳松を突き飛ばすと、その膝の上から、娘のお菊を毟り取ります。；力強くメモを毟り取ると、男は満足そうに笑ってから一気に表情を険しくした。；牛や豚の臓物、毛を毟られた鳥肉などが入っているのが分かった。；食性は植物食であり、水辺の草や木の葉などを鼻で毟って食べていたとされる。；昨日、俺が同じ台詞言ってたら、間違いなく毟り取られてたね。；僕は擦り切れた畳を何気なく毟って、ふと思いついて囁き声で迫った。；それは文字通り、腹の肉を毟り取られるようなものだった。；それでもし不幸にして離婚になると、その男は大いに怒ってその女の結婚玉瑜をその頭の飾りからしてひん毟ってしまう。；わたくしは何か心の記念のように渚の草の葉を毟り、流れに一葉舟を泛べてからまた小丘の上へ登って行きました。</t>
        </is>
      </c>
      <c r="J8183">
        <f>HYPERLINK("https://www.weblio.jp/content/毟る", "词义详情")</f>
        <v/>
      </c>
      <c r="K8183">
        <f>HYPERLINK("https://yourei.jp/毟る", "查看例句")</f>
        <v/>
      </c>
    </row>
    <row r="8184">
      <c r="A8184" t="inlineStr">
        <is>
          <t>むしろ</t>
        </is>
      </c>
      <c r="B8184" t="inlineStr">
        <is>
          <t>成功</t>
        </is>
      </c>
      <c r="C8184" t="inlineStr">
        <is>
          <t>読み方：むしろ
［副］二つを比べて、あれよりもこれを選ぶ、また、これのほうがよりよいという気持ちを表す。どちらかといえば。「休日は遊びに行くより—家で寝ていたい」
→却(かえ)って［用法］</t>
        </is>
      </c>
      <c r="D8184" t="inlineStr">
        <is>
          <t>むしろ当然；むしろ喜ん；むしろそういう；むしろほっと；むしろ一種</t>
        </is>
      </c>
      <c r="F8184" t="inlineStr">
        <is>
          <t>ほうがむしろ；むしろ凄愴；むしろ反對；むしろ喜ぶべき；むしろ驚くべき</t>
        </is>
      </c>
      <c r="H8184" t="n">
        <v>29</v>
      </c>
      <c r="I8184" t="inlineStr">
        <is>
          <t>いやむしろ、あなたがそれに与えた解釈は真の命題でなければならない。；西洋楽器以外の楽器ではむしろ積極的に利用されていることが多い。；むしろ、元々日本にも生息していたものらしいと考えられるに至っている。；これらの区分は歌手の声域というよりむしろ声の特性、音色に関係する。；むしろ相互におこない、された側が喜びを露にするのが一般的である。；むしろ、それらの形式があればこそ、初めて感覚が成立するのである。；むしろ第二次世界大戦勃発におけるモダニズムへの反対表明を意味する。；むしろ、その料理を作る土地やそこにいる人間にストーリー性を持たせている。；むしろ時刻表に記載された到着時刻より5分以上早く着くことが多い。；その頃には香港の他地域よりもむしろ城内の方が安全であったと伝えられている。；私はいい後輩に破ってもらったことをむしろ喜ばしくさえ思っている。；守屋山を神体山とする説はむしろ明治時代以降から見られるものである。；しかし2000年代頃からはむしろ作詞家が注目される機会が増えている。；なお、自然と読んだ場合、むしろあり得ないものが勝手に生まれるのを指す。；本種は形態上では刺撃型だが、食性的にはむしろ両方の中間程度に近い。；むしろ、職種は変更せず雇用主だけを変更することを意味することも多い。；むしろそういった指揮官たちの考えを栗田中将らが抑えてきた面もある。；この頃は特にピアノが好きではなく、むしろ苦痛だったという。；しかし、その価値はむしろヨーロッパのクラシック系の作曲家に認められた。；その事を考えるに総合的な火力はむしろ向上したとも言える。；高速化よりはむしろ再現性の向上を第一の目標として開発されている。；むしろ織田軍の先鋒としての侵攻戦での手柄のほうが多く記録されている。；むしろいまの日本で宗教をやっている人の中で、稀にみる素直な人なんじゃないかな。；このため中世の高千穂町は、むしろ阿蘇山と連動した歴史を歩んでいた。；写真制作のみならず、むしろ、写真クラブの活動や雑誌の編集・発行に力を入れた。；大規模な戦争はむしろ、経済的な余裕があるから行えるのである。；しかしウォレスはむしろその行為に満足し、ダーウィンを安心させた。；ただし必ずしも史実に即したものではなく、むしろその伝説に由来している。；F, v, w の発音の区別はむしろドイツ語式だと考えた方がよい。</t>
        </is>
      </c>
      <c r="J8184">
        <f>HYPERLINK("https://www.weblio.jp/content/むしろ", "词义详情")</f>
        <v/>
      </c>
      <c r="K8184">
        <f>HYPERLINK("https://yourei.jp/むしろ", "查看例句")</f>
        <v/>
      </c>
    </row>
    <row r="8185">
      <c r="A8185" t="inlineStr">
        <is>
          <t>無神経</t>
        </is>
      </c>
      <c r="B8185" t="inlineStr">
        <is>
          <t>成功</t>
        </is>
      </c>
      <c r="C8185" t="inlineStr">
        <is>
          <t>読み方：むしんけい
［名・形動］
１感覚が鈍いこと。感じ方が弱いこと。また、そのさま。鈍感。「騒音に—な都会人」
２恥や外聞、他人の気持ちなどを気にしないこと。また、そのさま。「—な言葉」</t>
        </is>
      </c>
      <c r="D8185" t="inlineStr">
        <is>
          <t>鈍感</t>
        </is>
      </c>
      <c r="H8185" t="n">
        <v>29</v>
      </c>
      <c r="I8185" t="inlineStr">
        <is>
          <t>貴様のような無神経な奴が事情を知らずにいるのはかえって危険だからだ。；クラスで騒いでいる男子も馬鹿で無神経だけど、お父さんも同じだった。；おそらく、あの男がちょっぴり無神経な言葉使いをしただけなのだろう。；この圧力に耐えられるほど、ぼくは無神経な人間にはなれそうもない。；ただ無神経で出て来るのとは目付きや何かが違ってきますからね。；ぼくが頭にきたのは、末期の頃のポールのこういった無神経さなんだ。；よくいえば学ぶことを恥とせず、悪くいえばものまねに無神経であった。；元はと言えば、圭一くんが無神経なことを言うからいけなかったんだよね。；私にそれを言う人が、特に無神経なタイプの人というわけではないからだ。；離婚の原因となった女性と元妻の前に現れるなど、無神経な性格が窺える。；三四郎はこの無神経をまったく夜と昼の差別から起こるものと断定した。；同じリポーターが何度も電話してきては、同じ無神経な質問を浴びせる。；これらの兄の無神経な行動にエドゥアルトは激しい怒りを抱いていたという。；だいたい男の子の前で食い気ばかり発散しているのは無神経ではないか。；こんなときに結婚を申しこんでくるなんて無神経としか思えない。；あの無神経な女は私に憎まれていることなんて、考えてもいなかった。；その無神経さに耐えられないのは若いひとに多いと思うんです。；混雑したエレベーターの中で携帯電話を使う無神経さに腹が立った。；物知りげな女たちや無神経な娘たちが、唇に微笑を浮かべて見物していた。；この男のもっとも目立つ点は、言わば、ある種の非個人的な無神経さだ。；愛情豊かで優しさに溢れ、そして無神経に人の心をえぐる手紙だったな。；あまりに無神経な発言を不用意にする人が多くて驚いてしまうほど。；帽子の一件というのは、今でも私は母が無神経だったと思っている。；そのことが、夫が或る点で無神経な人間の証拠であるように思われることもあった。；無神経な人もいるとは思うが、こうも徹底的にとなると、異様である。；もしこれが彼女以外の女性だったら、無神経だなと思っただろう。；胸の奥がもやもやと揺れ、自分の無神経さに、絶望的なほど腹が立つ。；無神経に眺めていたことを咎められるかと思ったけれど、そうではなかった。；それは神経を使わないから胃腸が無神経同様になって下等動物に近いのです。</t>
        </is>
      </c>
      <c r="J8185">
        <f>HYPERLINK("https://www.weblio.jp/content/無神経", "词义详情")</f>
        <v/>
      </c>
      <c r="K8185">
        <f>HYPERLINK("https://yourei.jp/無神経", "查看例句")</f>
        <v/>
      </c>
    </row>
    <row r="8186">
      <c r="A8186" t="inlineStr">
        <is>
          <t>蒸す</t>
        </is>
      </c>
      <c r="B8186" t="inlineStr">
        <is>
          <t>成功</t>
        </is>
      </c>
      <c r="C8186" t="inlineStr">
        <is>
          <t>読み方：むす
［動サ五（四）］
１むし暑く感じられる。むしむしする。「密閉されて部屋の中が—・す」
２湯気を当てて熱を通す。ふかす。「芋を—・す」「冷めた御飯を—・す」
３賭博(とばく)で、倍にする。
「勝てば—・して十六貫」〈浄・丹波与作〉
[可能]むせる</t>
        </is>
      </c>
      <c r="D8186" t="inlineStr">
        <is>
          <t>蒸らす；蒸かす</t>
        </is>
      </c>
      <c r="F8186" t="inlineStr">
        <is>
          <t>少し蒸す；入れて蒸す；苔蒸す</t>
        </is>
      </c>
      <c r="H8186" t="n">
        <v>29</v>
      </c>
      <c r="I8186" t="inlineStr">
        <is>
          <t>隣の卓子で中年の男が食べてゐる蒸し饅頭のやうなものを私も注文した。；雨季にはいるまでには、まだ間があって、腹が立つくらいに蒸していた。；さらにエアコンが止まっているらしく、家の中全体がひどく蒸していた。；夏の熱気に蒸されて絞り出された緑の匂いが辺り一面を支配していた。；鉄輪温泉の蒸し湯と滝湯は、江戸時代前半にはその存在が知られていた。；これはゴボウを使わず蒸すようになっており、現在の形にかなり近い。；これほどの高所にあっても風はなく、蒸すような暑気が立ち込めていた。；それには一旦里芋をよく蒸してそれから章魚と一所に味をつけて煮ます。；その人形を抱いて共焼きに蒸され死にした弥七郎の了見がわからねえんだ。；うっとうしい、蒸しむしするような晩でな、車の窓はみな開けておいた。；何を蒸すのでもこういう風にして検査しなければなりません。；地から発散する水蒸気が風なき空気に籠つて、少し蒸す様な午後の三時頃。；生の状態では出荷されず一度蒸して芋の良否を判別してから出荷される。；甑とは米を蒸す木桶のことで、山の形から名付けられたと考えられる。；それによって見ると、飯を焚いているのではなく蒸しているものらしい。；豚肉などと一緒にバナナの葉に包み、焼いたり蒸したりする料理もある。；灰色の屋根の下では、女たちが蒸籠で赤飯を蒸しているにちがいない。；部屋の中は蒸し熱く、膿の匂いと血の匂いと薬の匂いとで充たされていた。；すると、腸詰めと蒸したばかりの熱々のじゃがいもの皿が机に置かれた。；それを蒸す時は水で少し捏ねてそれをサラサラするようにほごして蒸す。；仕事の性質上、暖房には手をかけているので、室内は蒸しばむほどだった。；それから一日狭い蒸し殺されるような室に待たされていたんだ。；製造人は早速にそれを窯に入れて未来の蝶を殺すのに蒸気で蒸すのだ。；刈り取った茶葉はその日のうちに蒸した後、揉捻を行わずに乾燥させる。；そのふところからは蒸すやうな蕋の香がゆらゆらと燃えあがつてゐた。；秋に果実が黄褐色になったときに採って、蒸した後に天日で乾燥させる。；家へ帰る前に菓子屋へ寄って、町の名物たるある蒸し菓子を注文した。；かなり広い庭も、大木が造る影にすっかり苔蒸して日中も夜のようだった。；熱に蒸されて私の背中は滝のように汗が流れている。</t>
        </is>
      </c>
      <c r="J8186">
        <f>HYPERLINK("https://www.weblio.jp/content/蒸す", "词义详情")</f>
        <v/>
      </c>
      <c r="K8186">
        <f>HYPERLINK("https://yourei.jp/蒸す", "查看例句")</f>
        <v/>
      </c>
    </row>
    <row r="8187">
      <c r="A8187" t="inlineStr">
        <is>
          <t>無数</t>
        </is>
      </c>
      <c r="B8187" t="inlineStr">
        <is>
          <t>成功</t>
        </is>
      </c>
      <c r="C8187" t="inlineStr">
        <is>
          <t>読み方：むすう
［名・形動］数えきれないほど多いこと。また、そのさま。「—な（の）星」</t>
        </is>
      </c>
      <c r="D8187" t="inlineStr">
        <is>
          <t>無数の白い；無数の黒い；無数の細い；無数の赤い；無数の小さい</t>
        </is>
      </c>
      <c r="E8187" t="inlineStr">
        <is>
          <t>無限；膨大な数；無窮；広大無辺；百萬</t>
        </is>
      </c>
      <c r="F8187" t="inlineStr">
        <is>
          <t>その他無数；無数の宝具；無数のポリゴン片；無数のサンジェルマン達；無数の黒い影</t>
        </is>
      </c>
      <c r="H8187" t="n">
        <v>29</v>
      </c>
      <c r="I8187" t="inlineStr">
        <is>
          <t>世界はどのようにも解釈される可能性があり、世界は無数の意味を持つ。；市内には無数のタクシーが走っており、こちらも個人で運行されている。；無数の老若男女の顔を持ち、右手には書物を持った姿で現れるとされる。；ソフィー・ジェルマン素数が無数に存在するかどうかは分かっていない。；また岩石でできた分身体ともいえる存在を無数に作り出すことができる。；中の中央部から東部にかけて無数の湖が分布していることが読み取れる。；オスティナート・バスの例はバロック期の作品を中心に無数に見られる。；その場にあるはずのないものが無数に降り注ぐ現象を指す用語である。；なお、再放送時に局側の判断で放送が見送られた作品は無数に存在する。；グルーは、緑と青の切れ目にどの時点をとるかで無数の定義がありうる。；このために現在でも、この灯籠の受け皿には無数の刀傷が残されている。；宇宙全体に無数にいる小さな海賊団が集まってできたパイレーツギルド。；これは日本全国に無数にあるガソリンスタンドなども含んだ数字である。；そこは、男女一対の首のない巨大な像が無数にあるだけの荒野だった。；無数の壁画がある内の1つ、黒い牛の絵の角に遠近法が用いられている。；右下のアンパパから、無数の歩帯板の列がそれぞれ伸びて歩帯をなす。；そのほかにも表面には無数の対空砲を備え、多数の航空機も搭載している。；まだ無数の未発見の矮小銀河が存在し、今も頻繁に新しく発見されている。；主観性は本質的に社会の中の無数の相互作用を通じた社会的様式である。；主に丸い円形で、中央に穴が開いており周辺に無数の横穴が開いている。；半年ごとの雨季の終わり頃には、その間だけ存在する無数の湖が出現する。；このような窓の中にあるバンドの中にも、無数の窓がまたさらに存在している。；そのため無数に技法あるいは画材が身の回りに無数にあると言って良い。；そのため、双子素数は無数に存在するかどうかは引き続き未解決である。；また、偶数であるノントーシェントは無数に存在する事が知られている。；パタウィウムは、すぐに無数の戦闘要員を集められるほど強力であった。；ライバルであったスヴェンは諦めずに彼らの間には無数の闘争があった。；彼女が指示された部屋に入ると、そこは無数に時計が置いてある妙な部屋だった。；無数の色の組み合わせのものもあるので、様々な色が得られます。</t>
        </is>
      </c>
      <c r="J8187">
        <f>HYPERLINK("https://www.weblio.jp/content/無数", "词义详情")</f>
        <v/>
      </c>
      <c r="K8187">
        <f>HYPERLINK("https://yourei.jp/無数", "查看例句")</f>
        <v/>
      </c>
    </row>
    <row r="8188">
      <c r="A8188" t="inlineStr">
        <is>
          <t>難しい</t>
        </is>
      </c>
      <c r="B8188" t="inlineStr">
        <is>
          <t>成功</t>
        </is>
      </c>
      <c r="C8188" t="inlineStr">
        <is>
          <t>読み方：むずかしい
［形］［文］むづか・し［シク］《「むずかる（むつかる）」と同語源。「むつかしい」とも》
１理解や習得がしにくい。複雑でわかりにくい。難解である。「説明が—・い」「—・い文章」⇔易しい。
２解決するのが困難である。「—・い事件」「—・い注文」「—・い病気」⇔易しい。
３実現するのが不可能に近い。「生還は—・い」「登頂は—・い」⇔易しい。
４状況などが込み入っていて、対処するのがやっかいである。「立場が—・くなる」「事態を—・くする」
５人の扱いがめんどうである。「一緒に仕事をするのに—・い相手」「—・い年頃」
６好みなどがうるさい。「服装に—・い人」
７不機嫌である。「—・い顔をする」
８不愉快である。うっとうしい。
「女君は、暑く—・しとて」〈源・若菜下〉
９むさくるしい。きたない。
「かく—・しき所にのみ籠(こも)り侍れば」〈宇津保・吹上上〉
10気味が悪い。
「あな—・しと思ひける心地皆さめて」〈源・夕顔〉
[派生]むずかしがる［動ラ五］むずかしげ［形動］むずかしさ［名］</t>
        </is>
      </c>
      <c r="D8188" t="inlineStr">
        <is>
          <t>難しいこと(9%)；難しいため(3%)；難しいもの(3%)；難しい顔(2%)；難しい問題</t>
        </is>
      </c>
      <c r="E8188" t="inlineStr">
        <is>
          <t>できない；困難；大変；厳しい；面倒</t>
        </is>
      </c>
      <c r="F8188" t="inlineStr">
        <is>
          <t>なかなか難しい；かなり難しい；極めて難しい；とても難しい；最も難しい</t>
        </is>
      </c>
      <c r="H8188" t="n">
        <v>29</v>
      </c>
      <c r="I8188" t="inlineStr">
        <is>
          <t>この点では一人でプレイする従来のRPGよりも難しい問題が発生する。；また経済的に自動車及び駐車場の保持が難しいという例もよく見られる。；個人が弁護士などに依頼するのも費用などの問題で難しい場合が多い。；身分とセットで考える必要もあるため、現在への換算は難しいのである。；しかし、それぞれの要素に例外が多く、全員の共通項を示すのは難しい。；彼はゲームのある部分で叫ばなければならないのが難しかったと述べた。；売り物ではないため、外国人が目にしたり購入することはとても難しい。；初期のシステムは同期式コード設計だったが、機械の同期が難しかった。；しかし、いつどのように活動が変化するかを予測することは非常に難しい。；各分野間には関連領域が存在するため明確に区別することは難しい。；しかし新たにライターを制作チームに入れて依頼することも難しかった。；特に美少女ゲームの声優は動きを出す技術が必要でそれがすごく難しい。；具体的にその場で何が話し合われているのか、説明するのは難しかった。；しかし系統誤差の原因と傾向をこのように特定することは一般には難しい。；娘たちの中にはいって、食事をいっしょに摂ってやることは難しかった。；年輪がないので樹齢を知ることは難しいが、数千年に達するといわれる。；シンプルにするための、しない作業をするのが難しかったと述べている。；その類の化石の中で最も大きいものでも損傷が激しく同定は難しかった。；電気的に中性であるため、観測だけでなく中性子を制御するのも難しい。；現在カタリ派がどのような思想をもっていたのかを正確に知ることは難しい。；いまは頭が白くなってきたのでブルー系は難しくなってきたと話した。；しかし、各分野間には関連領域が存在するため明確に区別することは難しい。；機械はすぐに組み上がったけれど、それを動作させることが難しかった。；信号の強さ自体はすぐ変化するため目標を正確に捉え続けるのは難しかった。；そうでもしないと、彼女が自分だけの時間を確保するのは難しかったから。；日本では事情は異なり、急速な普及や変化には難しい部分があった。；そのため、ある製品向けのコードを別の製品で動作させるのは難しかった。；だから知り合いが大勢いる学校に、大手を振って入ることは難しかった。；この様に、観念的には物質の概念と存在概念と分離することは難しい。</t>
        </is>
      </c>
      <c r="J8188">
        <f>HYPERLINK("https://www.weblio.jp/content/難しい", "词义详情")</f>
        <v/>
      </c>
      <c r="K8188">
        <f>HYPERLINK("https://yourei.jp/難しい", "查看例句")</f>
        <v/>
      </c>
    </row>
    <row r="8189">
      <c r="A8189" t="inlineStr">
        <is>
          <t>息子</t>
        </is>
      </c>
      <c r="B8189" t="inlineStr">
        <is>
          <t>成功</t>
        </is>
      </c>
      <c r="C8189" t="inlineStr">
        <is>
          <t>読み方：むすこ
《「生(む)す子」の意》
１親にとって自分の子である男性。せがれ。「跡取り—」「どら—」⇔娘。
２陰茎の俗称。
[補説]作品名別項。→息子
[下接語]掛かり息子・生(き)息子・総領息子・道楽息子・どら息子・のら息子・一人息子・継(まま)息子・貰(もら)い息子</t>
        </is>
      </c>
      <c r="D8189" t="inlineStr">
        <is>
          <t>息子さん；息子達；息子夫婦；息子ジョン；息子ジョージ</t>
        </is>
      </c>
      <c r="E8189" t="inlineStr">
        <is>
          <t>息；男子；男の子；坊；ジュニア</t>
        </is>
      </c>
      <c r="F8189" t="inlineStr">
        <is>
          <t>ひとり息子；末息子；孫息子；跡取り息子；わが息子</t>
        </is>
      </c>
      <c r="G8189" t="inlineStr">
        <is>
          <t>息子の部屋</t>
        </is>
      </c>
      <c r="H8189" t="n">
        <v>29</v>
      </c>
      <c r="I8189" t="inlineStr">
        <is>
          <t>この息子は人間の姿をしていたが、額の中央に一本の角が生えていた。；二人の息子は父の死後に彼が朝鮮人であることを知ったということである。；神を生み出す神話は王が神の息子であり継承者であると主張している。；さらに息子は父親を、ハリーがクラムと歩いていた日に殺したという。；そして息子の漂白された骨の形から、最初のウードの着想を得たという。；その娘の息子が、慶應高校に進学して高校野球で活躍した田村圭である。；しかし、息子のそうした文学への傾倒を父フリードリヒは許さなかった。；この伝説では、息子の死を悲しむレメクがその死体を木に架けたという。；これは蔣介石が友人の呉稚暉に息子の教育係を依頼する意味があった。；そこで彼女は娘を出産した後の5歳頃から息子に正式なピアノ教育を始める。；父親が驚いて計算をやり直したところ、息子が指摘した通りであったという。；王には息子がいたが、彼を王にするという考えはローマ市民にはなかった。；特に息子を失った時は半ば狂乱となった状態で立ち直れなかったと言われる。；しかし、彼女の息子のジャンポールは彼の母親を狂ったと説明しています。；息子が科学者になれると知った父は息子のために投資の準備を始めた。；同年10月13日、それらの品をルドルフの息子が父のものだと確認した。；息子の眞によれば、手塚は血を見るのが嫌いで道を断念したとも言う。；これらの物語のバージョンでは、誕生はそれぞれ息子3人組である。；この決定に反発した息子は独立してウダーシー派を結成した。；初代国王アブドゥルアズィーズが数多くの妻の中で最も寵愛したの息子である。；バッティングコーチも長嶋茂雄の息子だって言うんで遠慮あっただろう。；ジョサイアの死後、その息子であるジョサイア二世が経営を引き継いだ。；星新一自身は、手塚の息子の手塚眞にちなんでいる可能性も考えていた。；同年出会った女性との間に2000年に息子が、2002年に娘が生まれた。；さらに長慶自身も弟達、息子のあとを追うように1564年に病死する。；両親は息子の健康を第一とし、喘息の治療に良い環境を求めて数回転居している。；建設者の死後、息子のナタナエル・シュトゥーニケンがこの館を相続した。；アイフェは自身の息子の殺害に使われる事になる槍を作りあげた。；山口瞳の息子・正介は、父親は川端家の養子になりたかったようだと語っている。</t>
        </is>
      </c>
      <c r="J8189">
        <f>HYPERLINK("https://www.weblio.jp/content/息子", "词义详情")</f>
        <v/>
      </c>
      <c r="K8189">
        <f>HYPERLINK("https://yourei.jp/息子", "查看例句")</f>
        <v/>
      </c>
    </row>
    <row r="8190">
      <c r="A8190" t="inlineStr">
        <is>
          <t>結び</t>
        </is>
      </c>
      <c r="B8190" t="inlineStr">
        <is>
          <t>成功</t>
        </is>
      </c>
      <c r="C8190" t="inlineStr">
        <is>
          <t>読み方：むすび
１ひも状のものを結ぶこと。また、結んだ部分。「—がゆるい」「男—」
２人と人とを関係づけること。縁を結ぶこと。「—の神」「縁—」
３文章や相撲の取り組みなどの、終わり。結末。「—の言葉」「—の大一番」
４握り飯。おむすび。
５係り結びで、係助詞に応じて語尾を変化させた文末の活用語。→係り結び
６⇒和集合(わしゅうごう)</t>
        </is>
      </c>
      <c r="D8190" t="inlineStr">
        <is>
          <t>結びつき(21%)；結び合わせ；結び直し；結び文；結びたい</t>
        </is>
      </c>
      <c r="E8190" t="inlineStr">
        <is>
          <t>最後；落；落ち；末；結局</t>
        </is>
      </c>
      <c r="F8190" t="inlineStr">
        <is>
          <t>引き結び；固く結び；深い結び；結び呪文をとなえ；結びあわさ</t>
        </is>
      </c>
      <c r="G8190" t="inlineStr">
        <is>
          <t>結びつい；結びつける；結びつく；結び付け；結び目</t>
        </is>
      </c>
      <c r="H8190" t="n">
        <v>29</v>
      </c>
      <c r="I8190" t="inlineStr">
        <is>
          <t>しばらくはソ連との結びつきの強い高崗が独自の地方運営を行っていた。；オランダとも防御・通商同盟を結び来たるべき対スペイン戦争に備えた。；知識の各分野と神・人間・自然の相互の結びつきが表現されている。；英語が第二公用語であるため、医療関係でも英語圏との結びつきが強い。；このため抽象代数学はそれ以外の数学の分野との間に数々の結びつきがある。；都市同士の結びつきが、相互に、幅広い分野で、文化交流を行っている。；また涙も単に眼を洗浄する役割以上に感情と強い結びつきを持つ。；これら刀鍛冶集団は石山本願寺とも結びつきが強いと推定されている。；このような朝廷との結びつきには、中臣氏の存在が背景にあったと指摘される。；オフに再取得したFA権を行使した上で新たに3年契約を結び残留した。；この単純な引き結びの使用は、1人で旗を掲げるときに許されている。；隣国サウジアラビアとは橋で結ばれているため、経済的な結びつきが強い。；日本の国家統治と太陽の結びつきはますます強くなった。；一般的に、検察庁は弁護士と比べて裁判所との結びつきが強いと言われている。；その結果、彼らは過去・現在などの歴史的結びつきを重視する。；一方、北九州都市圏にも属しているため、北九州市との結びつきも強い。；主に、地域と結びつきの強い高等学校とその地域の中学校が連携して取り組む。；また、通過運転を行う区間では、到着放送の結びに到着駅名の再案内を行う。；強い結びつきを持つ複数のものを指す言葉としても用いられる。；人間の歯は顎の骨に強く固定されているが、両者の結びつきはそれほど古いことではない。；各結びの名称が種類を直接表している場合もあるが、そうでない物もあるので注意が必要。；アフリカ諸国が最大の貿易相手国だが、EUとの結びつきも強い。；ピピン3世の時代には、キリスト教と王国組織の結びつきが強まった。；以下の海外大学と協定を結び、学生交換事業や海外研修などを実施している。；大本は小本の前後に序と結びの部分を加筆したものともいわれている。；その他の国々も中立・同盟を結びスウェーデンの勢いは頂点に達した。；また同年に英国と協定を結び、メキシコとの間で米墨戦争を行って勝利した。；アメリカでも統一教会との結びつきが非常に強い貿易商社が輸入元となっている。；なぜこの結びつきが存在するのか、その本質は何かを研究するのが美学である。</t>
        </is>
      </c>
      <c r="J8190">
        <f>HYPERLINK("https://www.weblio.jp/content/結び", "词义详情")</f>
        <v/>
      </c>
      <c r="K8190">
        <f>HYPERLINK("https://yourei.jp/結び", "查看例句")</f>
        <v/>
      </c>
    </row>
    <row r="8191">
      <c r="A8191" t="inlineStr">
        <is>
          <t>結び付き</t>
        </is>
      </c>
      <c r="B8191" t="inlineStr">
        <is>
          <t>成功</t>
        </is>
      </c>
      <c r="C8191" t="inlineStr">
        <is>
          <t>読み方：むすびつき
あるものと他のものとのかかわり合い。また、つながり。「親と子の—」「—が深い」</t>
        </is>
      </c>
      <c r="D8191" t="inlineStr">
        <is>
          <t>結び付きが強い(6%)；結び付きが強く(5%)；結び付きにくい；結び付きやすい；結び付き得る</t>
        </is>
      </c>
      <c r="E8191" t="inlineStr">
        <is>
          <t>間；関係；関連；縁；連絡</t>
        </is>
      </c>
      <c r="F8191" t="inlineStr">
        <is>
          <t>深い結び付き；密接な結び付き</t>
        </is>
      </c>
      <c r="H8191" t="n">
        <v>29</v>
      </c>
      <c r="I8191" t="inlineStr">
        <is>
          <t>そのためどちらかといえば車両面などでは中央線との結び付きが強い。；地方の指導者は多くがイギリスとの結び付きを維持することを強く主張した。；カント的な立場に於ては一切の精神内容は形式と内容との結び付きであった。；処が博士の例の性格上の構造はそこに独特な結び付きの可能性を暗示する。；中でもフランスの文化と強い結び付きを持っている点が挙げられている。；あれは何か魂と魂の結び付きみたいなものを欲しがっているんだ。；その強い結び付きを説明するのに、それが一番しっくりくる気がした。；古代も現代も事情はまったく同じであり、政治的結び付きは経済関係なのである。；いかにわたしを仇にしようと思うても、所詮むすび付いた羈絆は離れぬ。；アメリカ合衆国の経済はヨーロッパの経済との結び付きが強くなっていった。；そして思惟に真に結び付き得る処に空間の直観の特徴があるのである。；彼ら三人は、それぞれお互いに結び付きを感じているようだった。；女と男の結び付きは、いかに脆弱な基盤の上に築かれたものであるのか。；三つの作品には、明白な、かつもっともらしい秘密の結び付きがあります。；心の結び付きを描写することも目指しているようである。；大橋巨泉の他にビートたけしや所ジョージとも結び付きを深くしている。；私たちの過去の結び付き、キズを含めてすべて明らかにしましょう。；奈良県に所属するものの、南側に接する和歌山県との結び付きが強い。；この結び付きを化学結合と呼び、これを理解することで化学は発展してきた。；少数の例外を除いて党は地方の労働組合と弱いかあるいは存在しない結び付きしかなかった。；海岸に垂直方向の結び付きが強いため、平行に北と南を結ぶような路線は無い。；古い時代では、不思議な働きをするからくりは、すぐに宗教に結び付きますな。；毛利家臣団は必ずしも強固な結び付きを保っているとは言えなかったのだ。；ヤマト政権と強い結び付きのある人物であったと推測された。；中大兄と大海人の仲を保つためには、両者がより深い結び付きをすればいい。；政治的な敵対関係とは裏腹に民間での結び付きの強さがうかがえる。；ペッティングの向こう側にある、心と心の結び付きが大事だった。；名古屋の弘道会との強い結び付きを有すると見られている。；現在ではともにG20の一員として、経済的な結び付きを強めている。</t>
        </is>
      </c>
      <c r="J8191">
        <f>HYPERLINK("https://www.weblio.jp/content/結び付き", "词义详情")</f>
        <v/>
      </c>
      <c r="K8191">
        <f>HYPERLINK("https://yourei.jp/結び付き", "查看例句")</f>
        <v/>
      </c>
    </row>
    <row r="8192">
      <c r="A8192" t="inlineStr">
        <is>
          <t>結び付く</t>
        </is>
      </c>
      <c r="B8192" t="inlineStr">
        <is>
          <t>成功</t>
        </is>
      </c>
      <c r="C8192" t="inlineStr">
        <is>
          <t>読み方：むすびつく
［動カ五（四）］
１結ばれて一つになる。ある目的などのために一緒になる。「両者が—・けば強大な勢力になる」
２関係ができる。関連する。つながる。「その話は前後が—・かない」「努力が成功に—・く」
［動カ下二］「むすびつける」の文語形。</t>
        </is>
      </c>
      <c r="D8192" t="inlineStr">
        <is>
          <t>結び付くことなし；結び付くべき</t>
        </is>
      </c>
      <c r="E8192" t="inlineStr">
        <is>
          <t>関連する；接続する；繋がる；協力する；結合する</t>
        </is>
      </c>
      <c r="H8192" t="n">
        <v>29</v>
      </c>
      <c r="I8192" t="inlineStr">
        <is>
          <t>忘れられない出来事や、人との出会いと別れに結び付いた本もあります。；およそ関連を持たない二人の被害者が、どこでどう結び付いてくるのか。；いま我々のいう形成説は存在を歴史的なものと見ることと結び付いている。；実在は任意の諸部分が平面的に結び付いて出来上っているものではない。；それは作品や設備機関に結び付いた主体であると云うことが出来る。；併しカントも考えたように両者が結び付くためには第三者が必要である。；この教会はペトロー・モヒーラと直接結び付いていると主張している。；処が空間表象の感覚内容は他の感覚内容と結び付いて始めて意識に表われる。；山裾一帯は町の主要な農産地として、人々の生活と深く結び付いている。；それでは次に平面性と結び付いて見える処の空間の有限無限はどうなるか。；この言葉と考古学とどう結び付くかは普通の人にはわからない。；お互いに必要として結び付いたのだが、ここで、新たな脅威が現れたのだ。；また犯人に結び付くような有力な証言も得られなかった。；戦いは先の第六次イゾンツォの戦いの様に大きな勝利に結び付く事はなかった。；デビューを飾ったニューヨークでのソロ・コンサートはいくつかの契約に結び付いた。；しかし、藩と朝廷が直接結び付こうとするのを幕府が見過ごすわけは無かった。；現在の自分は仕事の処理の仕方まで三年前の自分のそれと結び付いてしまったのであろうかと思った。；そして、その考えは後のハウス・ハズバンド生活にも結び付いていく。；一方では次第に分れて行く傾向があり、一方では次第に結び付いて行く傾向がある。；このことで1800年代後半には大きな政治論争の1つに結び付いた。；内外でホンダファンが増え、それが着実にホンダ車の販売に結び付いた。；音楽とダンスは、リオのカーニバルのあらゆる場面に結び付いている。；存在の概念はいつでも領域の概念と結び付いてゐる。；そうしてその堕落の最近の原因を尋ねると必ず彼の大震災に結び付く。；現在、この謎はもう1つ別の謎と結び付いているように見える。；ウィリアムズの手紙は、1912年にパリで開催されたの実現に結び付いた。；そして、このような構造は、私たちの言語と深く結び付いている。；知識と行為とは単に外面的に結び付くのでなく、内面的に結び付いている。；知識と行為とは単に外面的に結び付くのでなく、内面的に結び付いている。</t>
        </is>
      </c>
      <c r="J8192">
        <f>HYPERLINK("https://www.weblio.jp/content/結び付く", "词义详情")</f>
        <v/>
      </c>
      <c r="K8192">
        <f>HYPERLINK("https://yourei.jp/結び付く", "查看例句")</f>
        <v/>
      </c>
    </row>
    <row r="8193">
      <c r="A8193" t="inlineStr">
        <is>
          <t>結び付ける</t>
        </is>
      </c>
      <c r="B8193" t="inlineStr">
        <is>
          <t>成功</t>
        </is>
      </c>
      <c r="C8193" t="inlineStr">
        <is>
          <t>読み方：むすびつける
［動カ下一］［文］むすびつ・く［カ下二］
１結んで固定させる。ゆわえつける。「髪にリボンを—・ける」
２密接に関係づける。つながらせる。「愛情が二人を—・けている」</t>
        </is>
      </c>
      <c r="D8193" t="inlineStr">
        <is>
          <t>結び付けるといふ必然性</t>
        </is>
      </c>
      <c r="E8193" t="inlineStr">
        <is>
          <t>結ぶ；合併；結合；合成；連結</t>
        </is>
      </c>
      <c r="H8193" t="n">
        <v>29</v>
      </c>
      <c r="I8193" t="inlineStr">
        <is>
          <t>お前の運命を己の体に結び付けてしまうという権利は己には無いからな。；我々はただ二三本の軌条を当てがって結び付けさえすればよかったのだ。；そこでこれらの各種表記は全て結び付けられて管理されなければならない。；この道のほかには人の子の生活を天国に結び付ける道は考えられません。；オットー1世はいかなる領土に結び付けることなく帝国の名称を用いた。；ところが先生の言葉の底には両方を結び付ける大きな意味があった。；ホロは食べたふりして、糸を池の底に結び付けているのだからたちが悪い。；だがそれでも世間は私の名と人間とを彼女に結び付けて考へました。；よく覚えてはいないが風船には小さな輪が結び付けられていたような気がする。；またローマ建国神話自体が直接各国の伝説に結び付けられた例もある。；その槍の柄に短冊を結び付けてあって、何か書いてあるのを弥兵衛は見た。；ある原子がその電子をどれだけ強く結び付けているのかの目安である。；教皇庁の組織は強化され、数多くの修道院がローマに結び付けつけられた。；私は後に、同様な方法で、価格曲線を生産方程式に結び付けるであろう。；市場では誰もが、共通の規則・契約・法律で結び付けられている。；この伝説はバルセロナ伯の称号と明確に結び付けらるようになった。；次に歴史のなかから関連のある項目を見つけ出し、上のものと結び付ける。；スペードの女王は伝統的に死や復讐と結び付けられてきたカードである。；遊技の分析のためには、ゲームを任意の盤面に結び付けるのが有効である。；落下に備えた安全策として、鎖や紐に結び付けて首に吊すようになった。；農作物を通した地域の人間の心を結び付ける演奏会をスタートさせる。；彼は北が上で南が下になっている他の多くの地図を文化的偏見と結び付けていた。；設立の正確な日付は他の多くの日付と同様に家系図に結び付けられている。；断続説のもう一つの大きな誤解は跳躍進化説と結び付けられたことである。；利己主義は通常は以下のような観念と結び付けられて理解されることが多い。；複雑性の定義は、「システム」の概念と結び付けられていることが多い。；この区間は空港・高鉄・台鉄を有機的に結び付ける役割を果たす。；光と闇は自然的な何かを意味しているのではなく、善と悪とに結び付けられている。；桜から話を聞いた僕は、穴とペット誘拐事件とをすぐに頭の中で結び付けた。</t>
        </is>
      </c>
      <c r="J8193">
        <f>HYPERLINK("https://www.weblio.jp/content/結び付ける", "词义详情")</f>
        <v/>
      </c>
      <c r="K8193">
        <f>HYPERLINK("https://yourei.jp/結び付ける", "查看例句")</f>
        <v/>
      </c>
    </row>
    <row r="8194">
      <c r="A8194" t="inlineStr">
        <is>
          <t>結ぶ</t>
        </is>
      </c>
      <c r="B8194" t="inlineStr">
        <is>
          <t>成功</t>
        </is>
      </c>
      <c r="C8194" t="inlineStr">
        <is>
          <t>読み方：むすぶ
［動バ五（四）］
１ひもなど、細長いものを組んでつなぐ。また、結び目をつくる。「髪を—・ぶ」「包帯を—・ぶ」
２手の指をからませるなどして形をつくる。
㋐（ふつう「掬ぶ」と書く）手のひらを組み合わせて水をすくう。
「花を採り水を—・んでは」〈露伴・二日物語〉
㋑仏教で、手の指でさまざまの形をつくる。「印(いん)を—・ぶ」
３開いたものを閉じる。「口をへの字に—・ぶ」「手を—・んだり開いたりする」
４互いに関係をつくる。
㋐交わりを緊密にする。「親交を—・ぶ」「縁を—・ぶ」
㋑同じ考えの者どうしが一緒になる。組む。「強い勢力と—・ぶ」「同盟を—・ぶ」
㋒互いに約束する。「条約を—・ぶ」「契りを—・ぶ」
５二つの地点をつなぐ。連絡する。「本州と四国とを—・ぶ橋」「東京と北京とを四時間で—・ぶ空路」
６まとめて形にする。また、まとまって形になる。
㋐植物が実をつくる。結実する。みのる。「ぶどうがたわわに—・ぶ」
㋑空中の水分などが固まる。結露する。「ハスの葉に露が—・ぶ」
㋒結果が出る。「努力が実を—・ぶ」
７建物を構える。「庵(いおり)を—・ぶ」
８文章などを終わりにする。締めくくる。「話を—・ぶ」
９係り結びで、文末の活用語を、上の係助詞に応じた活用形とする。「こそ」を受けて已然形とする類。
10誓いや願いを込めて、草や木の枝の端などをつなぎ合わせる。
「君が代も我が代も知るや磐代(いはしろ)の岡の草根をいざ—・びてな」〈万・一〇〉
[可能]むすべる
[下接句]縁を結ぶ・同じ流れを掬(むす)ぶ・局(きょく)を結ぶ・草を結ぶ・口を結ぶ・綬(じゅ)を結ぶ・契りを結ぶ・手を結ぶ・実を結ぶ・夢を結ぶ</t>
        </is>
      </c>
      <c r="D8194" t="inlineStr">
        <is>
          <t>結ぶ道道；結ぶ高速バス路線</t>
        </is>
      </c>
      <c r="E8194" t="inlineStr">
        <is>
          <t>閉鎖；接する；接続する；付ける；繋がる</t>
        </is>
      </c>
      <c r="F8194" t="inlineStr">
        <is>
          <t>結ぶ近畿日本鉄道；結ぶ地下自由通；結ぶ無料送迎バス；結ぶ韓国鉄道公社；結ぶ無料シャトルバス</t>
        </is>
      </c>
      <c r="H8194" t="n">
        <v>29</v>
      </c>
      <c r="I8194" t="inlineStr">
        <is>
          <t>かれは権力を得ることができなかったために、民衆に結ぼうとしました。；ホームと駅舎は跨線橋で結ばれており、エレベーターも設けられている。；これに加えて様々な地方バスがこの地域の都市とハムとを結んでいる。；なお側頭窓はヒトでは顎の筋肉と側頭部とを結ぶための穴に相当する。；ソ連から独立した中央アジア諸国と中国との国境協定も個別に結ばれた。；各駅舎へのアクセスは、駅の南北を結ぶ徳山駅南北自由通路を利用する。；これは明治政府がアメリカの企業と結んだ最初の契約であると言われている。；総理大臣公邸とはインターネットを経由しない専用回線で結ばれている。；バリアフリー対応であり、道路とホームの間はスロープで結ばれている。；やがて王は、ローマよりずっと強大だったエトルリアとの同盟を結んだ。；市壁の南をゴーテ川が流れ、この頃には運河でライネ川と結ばれていた。；現在両都市を結んでいるイラワヤ線はおよそ2時間で運行されている。；また、新設された改札口とホームの間はエレベーターで結ばれている。；駅舎は下りホーム側にあり、上りホームとは構内踏切で結ばれている。；北海道横断自動車道と結ばれ、北海道の縦貫軸の強化を目的としている。；イギリス国内およびヨーロッパのいくつかの都市を結んでいる。；しかし彼女の選択によって二つの種族は結ばれることとなるのである。；ヒンドゥー教の神話では、インドとはラマと呼ばれる橋で結ばれていた。；複数の頂点を結ぶ直線の辺と、その辺に囲まれた面によって構成される。；タソガレドキ城がカワタレドキ城と同盟を結ぼうとしたが失敗に終わる。；そしてようやく今、その恋が実を結ぼうとしているのを、私は感じるのだ。；初期の姉妹都市縁組の大半はアメリカ合衆国の都市との間に結ばれた。；公はルーシの商人の利益の保護のため、外国と特別な条約を結ぼうとした。；イラクは鉄道が発達しており、国内の主要都市すべてが鉄道で結ばれている。；ホームと駅舎は同じ高さにあるが両者は橋で結ばれておりその下には別の道が通っている。；これを機に信長は今川氏の支配から独立した徳川家康と手を結ぶことになる。；球果と枝とを結ぶ柄についても長いものから短いものまで種類は様々である。；駅舎は下り線側にあり、平岡方にある構内踏切でホームと結ばれている。；高架上のホームと地平の駅舎を階段およびエレベーターが結んでいる。</t>
        </is>
      </c>
      <c r="J8194">
        <f>HYPERLINK("https://www.weblio.jp/content/結ぶ", "词义详情")</f>
        <v/>
      </c>
      <c r="K8194">
        <f>HYPERLINK("https://yourei.jp/結ぶ", "查看例句")</f>
        <v/>
      </c>
    </row>
    <row r="8195">
      <c r="A8195" t="inlineStr">
        <is>
          <t>娘</t>
        </is>
      </c>
      <c r="B8195" t="inlineStr">
        <is>
          <t>成功</t>
        </is>
      </c>
      <c r="C8195" t="inlineStr">
        <is>
          <t>読み方：じょう
［常用漢字］　［音］ジョウ（ヂャウ）（漢）　［訓］むすめ
〈ジョウ〉
１少女。女子。「娘子軍」
２母。「爺娘(やじょう)」
〈むすめ〉「娘心／生娘(きむすめ)・愛娘(まなむすめ)」
［難読］姑娘(クーニャン)</t>
        </is>
      </c>
      <c r="D8195" t="inlineStr">
        <is>
          <t>娘たち(4%)；娘さん(2%)；娘達；娘っ子；娘御</t>
        </is>
      </c>
      <c r="E8195" t="inlineStr">
        <is>
          <t>女；少女；姉；女子；女の子</t>
        </is>
      </c>
      <c r="F8195" t="inlineStr">
        <is>
          <t>美しい娘；父娘；月娘；姉娘；田舎娘</t>
        </is>
      </c>
      <c r="G8195" t="inlineStr">
        <is>
          <t>娘役；娘よ；娘の結婚；娘子；娘細胞</t>
        </is>
      </c>
      <c r="H8195" t="n">
        <v>29</v>
      </c>
      <c r="I8195" t="inlineStr">
        <is>
          <t>ミッキーはマックが娘のために傭兵に身を落とした事情を知ってしまう。；ヘーラクレースの妻の一人であるメガラーも彼らの娘とされる場合がある。；マルカム2世には娘2人しかおらず、王位は娘たちの息子らが継承した。；その娘の息子が、慶應高校に進学して高校野球で活躍した田村圭である。；彼は娘に直接に願ったが拒否され、とうとう娘をさらって家を飛び出した。；兄媛は吉備氏の娘であり故郷の方角を見て望郷の念にかられたのだった。；この間11月、龍家の一族、佐栄志の娘・とまを紹介されて島妻とした。；そのほか夫妻には夫人の娘と、ボリビアから養子に迎えた男児がいる。；この娘の婿は阿仁と言ったので、人々は彼のことを「阿仁殿」と言った。；ハルピュイアイはタウマースの娘たちで、女の頭部に鳥の体を持っていた。；イルマリネンは娘を要求するが、娘が拒否、彼は悲嘆に暮れて帰国する。；しかしこの縁談は、二人、特に娘が若すぎると思ったに反対された。；詳細な時期は不明であるが、この頃に吉川国経の娘を妻に迎える。；箸が流れてきた川を上ると、美しい娘を間に老夫婦が泣いていた。；訝った李鏡殊は食べずに隠しておいたが、娘の浪奸がそれを食べてしまう。；同年出会った女性との間に2000年に息子が、2002年に娘が生まれた。；現在、二人の娘が日本とエジプト・アラブとの橋渡しとして活躍中である。；元々は、裕福な貴族の娘のために書かれた作品で、当初から教育的作品であった。；両者は力づくで娘を奪うことはしないと約束し、ポホヨラへ向かった。；娘で各種アイテム開発のプロであるからくり博士の日向おぼろの下に逃れた。；ベルンシュタインには脳に障害を持つ娘がおり、3歳まで音を発しなかった。；上洛前の4月に庄屋の娘・友子と結婚、帰藩した7月に式を挙げている。；集落形成の核となったのは、貴族の娘たちの施設とベネディクト会の修道院であった。；激しい恋愛の末に学生結婚した妻との間に1人娘である百合子をもうけるも離婚。；娘に相談し、鋼の轡と鉄の馬ろくを作るよう教えられ、これをやり遂げる。；女主人は娘の死を聞いて怒り、二度と娘はやらないと告げた。；これは見かけの半減期が約3秒である 254 102の娘粒子である。；資金は母からの援助で「いつか来るであろう娘明の結婚資金」を切り崩したもの。；王子は結局ルナと結婚して新王に即位し、娘のカナも7歳になった。</t>
        </is>
      </c>
      <c r="J8195">
        <f>HYPERLINK("https://www.weblio.jp/content/娘", "词义详情")</f>
        <v/>
      </c>
      <c r="K8195">
        <f>HYPERLINK("https://yourei.jp/娘", "查看例句")</f>
        <v/>
      </c>
    </row>
    <row r="8196">
      <c r="A8196" t="inlineStr">
        <is>
          <t>無責任</t>
        </is>
      </c>
      <c r="B8196" t="inlineStr">
        <is>
          <t>成功</t>
        </is>
      </c>
      <c r="C8196" t="inlineStr">
        <is>
          <t>読み方：むせきにん
［名・形動］
１責任がないこと。「事故についての—を主張する」
２責任を自覚しないこと。責任感がないこと。また、そのさま。「—な発言」</t>
        </is>
      </c>
      <c r="D8196" t="inlineStr">
        <is>
          <t>でたらめ；いい加減；与太；出任せ；ちゃらんぽらん</t>
        </is>
      </c>
      <c r="H8196" t="n">
        <v>29</v>
      </c>
      <c r="I8196" t="inlineStr">
        <is>
          <t>どんな生物であれ、性質や目的を変えるとなれば無責任にはできません。；彼女のことをちゃんと考えたら、そんな無責任なことは言えないはずだ。；これは子供をもった母親にしてはあまりに無責任な質問だったからである。；会社側は、事業として非常に無責任な結果に終わったことを認めている。；こんな無責任なことを言わせる今の洋学は考えて見たばかりでも心細い。；ただ、それではあまりに無責任だし、社会で生きてゆくことはできない。；がしかし、もしほかの理由で平畠を離れたのであれば、きわめて無責任。；この村は血が濃過ぎるなんて無責任なことを言う人の方を信じるんですか?；村の無責任な人たちが、今年もきっと祟りがあるに違いないと言っている。；可奈子さんは鋭い人ではあるが、けっこう無責任なことも言うから困る。；エルジア政府はこれに対し、無責任を通り越して殺人行為だと非難した。；ところが、案外にも別なことでかの女から無責任になることができた。；十分くらいぼくは新聞をよみ、無責任な人間の精神を目から吸収した。；無責任に真里亞のことを可愛いとか言って現実から目を逸らさないで!!；与党は「代替案を示さず廃止だけ主張するのは無責任」と反対している。；酔つて居るからと云つて無責任なことは云はさぬと覚悟して居る。；失敗しても大丈夫なんて、大人のくせに無責任なことを言うなと私は思った。；でもね、無責任なことを言うようだけど、親も大事だけど自分が一番大切よ。；まわりの大人がそんな謙一を無責任に笑っているのを見てハナは腹を立てた。；考えてみれば、自分の無責任な言葉なんかで彼女が救われるわけもないのだ。；その無責任さから他の社員からの評判は悪いが、営業手腕は認められている。；自分の言うことにもすることにも、まるで無責任のようであった。；多田警部は無責任に「近く」だと云ったが、必ずしもそうではなかった。；ひとつの打牌が無責任になれば、お互いに相手を確かめられないのです。；ときたま素直になったと思うと、小児のように無責任な答えしかしない。；朝倉主殿が、そうした無責任な世間の声に動かされていないとは思えない。；彼女の愛情に疑いを抱いていたし、無責任さに腹を立てていた。；我々が善意でやったことを責めたてるほうが無責任じゃありませんか。；彼は、イギリスの問題は一部がアメリカの無責任によるものだと感じていた。</t>
        </is>
      </c>
      <c r="J8196">
        <f>HYPERLINK("https://www.weblio.jp/content/無責任", "词义详情")</f>
        <v/>
      </c>
      <c r="K8196">
        <f>HYPERLINK("https://yourei.jp/無責任", "查看例句")</f>
        <v/>
      </c>
    </row>
    <row r="8197">
      <c r="A8197" t="inlineStr">
        <is>
          <t>無線</t>
        </is>
      </c>
      <c r="B8197" t="inlineStr">
        <is>
          <t>成功</t>
        </is>
      </c>
      <c r="C8197" t="inlineStr">
        <is>
          <t>読み方：むせん
１電線を架設しないこと。ワイヤレス。⇔有線。
２「無線電信」の略。
３「無線電話」の略。</t>
        </is>
      </c>
      <c r="D8197" t="inlineStr">
        <is>
          <t>無線連絡(3%)；無線装置(2%)；無線交信；無線技術；無線信号</t>
        </is>
      </c>
      <c r="E8197" t="inlineStr">
        <is>
          <t>ラジオ；無電；無線電話；ワイヤレス；ラディオ</t>
        </is>
      </c>
      <c r="F8197" t="inlineStr">
        <is>
          <t>日本無線；無線送信；無線封止；無線士；無線アンテナ</t>
        </is>
      </c>
      <c r="G8197" t="inlineStr">
        <is>
          <t>無線通信；無線局；無線lan；無線電話；無線電信</t>
        </is>
      </c>
      <c r="H8197" t="n">
        <v>29</v>
      </c>
      <c r="I8197" t="inlineStr">
        <is>
          <t>規模の大きい無線局ではその無線局の長を無線局長と称する場合がある。；この船は無線を搭載していなかったが、当時これは珍しくはなかった。；ブリッジ中央には無線装置が設置され、通信を聴くのもここで行われる。；その後、無線に興味があったことから電気学園福島工業高等学校に入学。；無線による意思疎通が始まった時期であるが、重要な命令は旗によった。；地上から航空機へ無線を使ってエンドレスで放送するサービスである。；そのため逓信省では私設無線施設を認める方向で法改正の検討に入った。；運転手席と無線手席の天井にはペリスコープ付きの小ハッチが設けられた。；携帯電話の無線ネットワークに接続して無線通信をおこなう装置である。；また、空港との無線等には、事件当時の実際の音声が一部使用されている。；激しい銃撃戦が展開され、最初に被弾した無線係のブラウンが死亡する。；無線交信の開始時、相手局に受信状態を大雑把に報告する際に使われる。；運転席側の側窓下の位置には青函無線用の板状アンテナを設けている。；音楽と並行して機械いじりにも興味を示し、無線装置などで遊んでいたという。；飛行士たちは実際に見える色や様子などを、無線を使って解説した。；中央奥は九七式車載重機 戦車の組織運用に重要な装備として無線がある。；絶望に打ちひしがれるサキに届いたのはマッコイからの無線連絡だった。；単独で攻撃する代わりに無線で連絡を取りながら連携を取る群狼作戦を採用した。；無線に関する日本で最初の法律 「電信法」から独立する形で成立した。；列車無線装置には誘導無線装置と東武用の空間波無線装置を搭載していた。；その場合、無線の規格変更にもプログラムの変更で柔軟に対応可能である。；各部隊は無線の発信を厳禁され、作戦目的も数日前まで極秘とされた。；適応変調は現在の携帯電話などの基礎的無線技術として用いられている。；車両仕様・乗車券・無線配車なども含めて同社にグループ化された。；ヘリの無線は破壊されていたため警察への通報は不可能となった。；これは民間企業、私立学校、個人が開設する無線施設の運用資格である。；もう一つは内蔵された小型無線受信機に接続する通信センサーである。；一般人で無線の受信機を所有していたのはアマチュア無線家達だけである。；心電図モニタには、有線式と無線式があるが基本的な構成は次の通りである。</t>
        </is>
      </c>
      <c r="J8197">
        <f>HYPERLINK("https://www.weblio.jp/content/無線", "词义详情")</f>
        <v/>
      </c>
      <c r="K8197">
        <f>HYPERLINK("https://yourei.jp/無線", "查看例句")</f>
        <v/>
      </c>
    </row>
    <row r="8198">
      <c r="A8198" t="inlineStr">
        <is>
          <t>無造作</t>
        </is>
      </c>
      <c r="B8198" t="inlineStr">
        <is>
          <t>成功</t>
        </is>
      </c>
      <c r="C8198" t="inlineStr">
        <is>
          <t>読み方：むぞうさ
［名・形動］
１たやすいこと。また、そのさま。「頼みを—に引き受ける」
２技巧をこらさないこと。念入りでないこと。また、そのさま。「—な筆づかい」</t>
        </is>
      </c>
      <c r="D8198" t="inlineStr">
        <is>
          <t>何気ない；偶発的；偶然的</t>
        </is>
      </c>
      <c r="H8198" t="n">
        <v>29</v>
      </c>
      <c r="I8198" t="inlineStr">
        <is>
          <t>床には引きはがされた皮膚や切断した指などが無造作に捨てられていた。；立派な建築が出来たらこんな風に無造作には行かなくなるかも知れぬ。；彼女は抜き取ったCDケースをそばの机へ無造作に置き再び棚を眺めた。；レナード・マッコイは腕で無造作に目を覆って寝だなに横になっていた。；彼は胸のポケットから葉巻を一本とり出すと、無造作に端を噛みきった。；私は幾らか興奮していたので、無造作に振りきって隅の方へ腰を下ろした。；あの家の押し入れへ入れたままで、二人は無造作に出て来たからであった。；外出しないつもりでいる時は、いつも無造作な恰好をしているからです。；信長から拝領した名碗をこんな所へも持って来て無造作に用いている。；吾々のようなものならば、その前を無造作に通りすぎてしまう筈だった。；そこで私は無造作にこれを十七字にするお手本をお見せしましょう。；今取散らした室内に無造作にはいって来たのは正しくその男であった。；プレインは無造作に両手を広げ、おかげで天井にぶつかりそうになった。；わかっておったとて、人間がそう無造作に自分を零にされるものではない。；いい句を作ってお目にかけたのではなく、無造作に作ってお目にかけたのです。；無造作なのか、熟考を重ねたのかは流麗の表情からはみてとれなかった。；長い髪を無造作に頭の後でたばねて短い棒をかんざしのかわりにさしていた。；今から十年ほど前までは、堂々たるものを無造作に焼いていたのですから。；丸いままの石が無造作に積み上げられてその間を漆喰で固められていた。；何の罪もないサブリナが無造作に殺害される場面は特に陰惨な印象を与えた。；しかし考えてみれば是もやや無造作に過ぎて、命名の詮もないようである。；バルサは無造作に槍をつかむと、片手で枝の上までもちあげてしまった。；我々の「根柢」は、非聖書的な領域から無造作に輸入したものではない。；起きた直後の姿は、無造作に伸びた髪に無精髭を生やし痩せこけている。；女房が茶をいれてテーブルの上へ置くと、無造作にとりあげて飲みはじめた。；それが無造作に、切出した時の自然のままの面を利用して列べてある。；「私の品でございますが」 金次の答えも、それに劣らず無造作でした。；彼女の考えでは、花はそんなことはしないで、無造作に胸につけるものだった。；朝部たちは今、富者たちが最も無造作に捨てているものに目をつけている。</t>
        </is>
      </c>
      <c r="J8198">
        <f>HYPERLINK("https://www.weblio.jp/content/無造作", "词义详情")</f>
        <v/>
      </c>
      <c r="K8198">
        <f>HYPERLINK("https://yourei.jp/無造作", "查看例句")</f>
        <v/>
      </c>
    </row>
    <row r="8199">
      <c r="A8199" t="inlineStr">
        <is>
          <t>無駄</t>
        </is>
      </c>
      <c r="B8199" t="inlineStr">
        <is>
          <t>成功</t>
        </is>
      </c>
      <c r="C8199" t="inlineStr">
        <is>
          <t>読み方：むだ
［名・形動］
１役に立たないこと。それをしただけのかいがないこと。また、そのさま。無益。「—な金を使う」「時間を—にする」
２「むだぐち」に同じ。
「しゃれも—もいっかう言はず」〈滑・膝栗毛・初〉
[補説] 「無駄」は当て字。</t>
        </is>
      </c>
      <c r="D8199" t="inlineStr">
        <is>
          <t>無駄話(3%)；無駄な努力；無駄な時間；無駄な動き；無駄な抵抗</t>
        </is>
      </c>
      <c r="E8199" t="inlineStr">
        <is>
          <t>だめ；駄目；無効；いたずら；無意味</t>
        </is>
      </c>
      <c r="F8199" t="inlineStr">
        <is>
          <t>そんな無駄；考えるだけ無駄；無駄な足掻き；無駄な費え；無駄な贅肉</t>
        </is>
      </c>
      <c r="G8199" t="inlineStr">
        <is>
          <t>無駄口；無駄足；無駄骨；無駄使い；無駄死に</t>
        </is>
      </c>
      <c r="H8199" t="n">
        <v>29</v>
      </c>
      <c r="I8199" t="inlineStr">
        <is>
          <t>このことは意識関連の文献を読む読者を無駄に混乱させている面がある。；しかし後に金が発見されたことでこの買収が無駄ではないことが分かった。；母親は説教をするのだが、それが無駄なことであることはわかっていた。；スポーク光がほぼ無いので、正確な色作りをしても無駄光が発生しない。；外観は機能的な無駄のなさから美しさを見出せるようにデザインされた。；無駄のない艦形だが、武装過剰で兵器の更新に余裕がない欠点があった。；一方で、科学的という概念を無駄に潔癖な方法と誤解している者もいる。；そのためリサイクル時にはそれを酸化して除かねばならず無駄が生じる。；日本では大臣はすぐに代わるから特定の大臣と仲良くなっても無駄である。；もっともこのフォルツァーノへの接触はまったくの無駄ではなかった。；中央党幹部会は拒否しても無駄であると考える者が多数となった。；模倣が試みられたが全て無駄となり、貴腐の利用は秘密のまま維持された。；最初は題名を考えてたんですが、あるときから無駄だと思い付きました。；型をたくさん覚えても時間の無駄であるという考えからであった。；それはすでに無駄であると分かっていたからに他ならない。；一般的な学校に子供を収容することは、子供の時間を無駄にしているという。；金応南は泥濘を這いずり回ってこれらを制止しようとしたが無駄だった。；トラップのないポイントを警戒した場合はアドレナリンが無駄になる。；人間の歩き方は日常生活では無駄な部分が多いため必要な動きだけに単純化したもの。；完全二分木ならば、この方法でもスペースを無駄にすることはない。；これは天敵に食べられるよりは自分で食べた方が無駄にならないからだと考えられる。；従って、メッセージを送信して返事を待つまで、全く無駄な点がない。；フィルムを無駄にしないために入念なリハーサルを行いながら撮影された。；無駄のない明るい不純物のない音楽と指揮振りが特徴的である。；序盤は無駄弾を撃っても余裕があるので、弾幕を張ることで練習できる。；瀕死の王子が無駄な流血を避けるため抵抗を拒否したためであった。；過去に過ごした無駄な時間を取り戻し、また使うことのできる道具。；ユグノー戦争中にフランソワ・ド・ボーモンが包囲したが無駄に終わった。；戦力を無駄に消耗させるような作戦指導は一度も行われなかった。</t>
        </is>
      </c>
      <c r="J8199">
        <f>HYPERLINK("https://www.weblio.jp/content/無駄", "词义详情")</f>
        <v/>
      </c>
      <c r="K8199">
        <f>HYPERLINK("https://yourei.jp/無駄", "查看例句")</f>
        <v/>
      </c>
    </row>
    <row r="8200">
      <c r="A8200" t="inlineStr">
        <is>
          <t>無駄遣い</t>
        </is>
      </c>
      <c r="B8200" t="inlineStr">
        <is>
          <t>成功</t>
        </is>
      </c>
      <c r="C8200" t="inlineStr">
        <is>
          <t>読み方：むだづかい
［名］(スル)金銭などを、必要のないことや役に立たないことに使うこと。浪費。「デパートで—する」「石鹸(せっけん)の—」</t>
        </is>
      </c>
      <c r="D8200" t="inlineStr">
        <is>
          <t>無駄；浪費；空費；費消；濫費</t>
        </is>
      </c>
      <c r="H8200" t="n">
        <v>29</v>
      </c>
      <c r="I8200" t="inlineStr">
        <is>
          <t>無駄遣いはしていないということが、一緒に生活しているとよく分かる。；その自由な四年間で私が何をしたかと言うと、バイトと恋愛と無駄遣い。；わたしヒンズーの店で事務員をして、お金を無駄遣いしていただけなの。；こういうものは広告主義に汚染された、資源の無駄遣いでしかないのだ!；つまり二人は一緒になってせっせと無駄遣いを続けていたのである。；しかし、ぼくはそこまで頭脳を無駄遣いしたいとは思いませんけどね。；大した額でなくてもお金をそんなことに使うのは無駄づかいというものだ。；どうして下らない議論に息を無駄遣いしなければならないのですか。；それに世界連邦は、無駄遣いできるほど多くの船を持っていなかった。；この命令を受けた地上隊の一人が、燃料の無駄遣いではないかと提督に発言した。；無駄遣いせずに貯めていたからどうにかなったけど、なんかおかしいよね。；決してその銀を、無駄遣いしたわけでも、持ち逃げしたわけでもない。；そのほうが米の無駄遣いにならないのではないだろうか。；変な人だと思われるより、私は時間を無駄遣いする方が今は恐い。；四、やりたくない事柄をあれこれ考えて時間を無駄づかいしてはいけない。；空気の無駄づかいをしないように、あそこで圧力バルブを調節するからな。；その大事な水を姑が無駄遣いし、嫁は大変な苦労を強いられていた。；こうした無駄遣いは、兵器の選定が政治的な思惑で左右されてきたことによる。；競争性がないため落札率が高止まりして予算の無駄遣いとなりやすい。；月までいくのに大変な金を遣ったけれども、私などはまず無駄遣いであろうと思います。；金銭に合理的な星野花江は、一円の無駄づかいもしないと思っていたのだ。；食事の前にコーヒーを飲むのは金の無駄遣いらしい。；その結果さっきのようなことになったら、時間と体力を無駄遣いしなければならない。；手元にあれば無駄遣いをするから、それを師匠に預けることにした。；では今日の願い事は、ジャマールと犬のために無駄づかいしましょう。；スケールが大きいというより、大き過ぎて無駄遣いしているようにすら感じられる。；お祭りの日は無駄遣いしちゃいけないって、言われているから。；だが何にしても、かういふ外聞の惡い無駄遣ひはやめて貰ふつもりだ。；だから、お前の稼ぎは今までだって一厘一銭だって無駄遣いをした事はないだろう。</t>
        </is>
      </c>
      <c r="J8200">
        <f>HYPERLINK("https://www.weblio.jp/content/無駄遣い", "词义详情")</f>
        <v/>
      </c>
      <c r="K8200">
        <f>HYPERLINK("https://yourei.jp/無駄遣い", "查看例句")</f>
        <v/>
      </c>
    </row>
    <row r="8201">
      <c r="A8201" t="inlineStr">
        <is>
          <t>無断</t>
        </is>
      </c>
      <c r="B8201" t="inlineStr">
        <is>
          <t>成功</t>
        </is>
      </c>
      <c r="C8201" t="inlineStr">
        <is>
          <t>読み方：むだん
相手に断らないこと。承諾や許可を得ないこと。「—で借用する」「—外泊」</t>
        </is>
      </c>
      <c r="D8201" t="inlineStr">
        <is>
          <t>無断欠席(3%)；無断欠勤；無断外出；無断借用；無断外泊</t>
        </is>
      </c>
      <c r="F8201" t="inlineStr">
        <is>
          <t>無断帰国；無断離脱；無断キャンセル；無断欠場；無断撮影</t>
        </is>
      </c>
      <c r="G8201" t="inlineStr">
        <is>
          <t>無断使用；無断転載；無断駐車；無断引用；無断リンク</t>
        </is>
      </c>
      <c r="H8201" t="n">
        <v>29</v>
      </c>
      <c r="I8201" t="inlineStr">
        <is>
          <t>自分だけの秘密が第三者に無断で暴かれてしまう時代が来てしまった。；彼らは軍の指揮下を離れ、無断でそれを強奪することを計画し、実行する。；この頃には飲酒量も多くなり、しばしば二日酔いで練習を無断欠席した。；巨人には無断の行動であり、所属も太田プロダクションに移っている。；また、見知らぬ人が自身を無断撮影した際にも抗議したことがある。；また、バビル2世は韓国で独自の作品の続編が無断で作られたという。；パスクアル・コントゥルシが作曲者に無断でつけた歌詞が定着している。；しかしその後も他のサイトに無断で転載され見ることが出来た。；ボレスは無断で試合欠場するなどもあってチーム内での評判は悪かった。；に無断出品しており、著作権侵害の疑いがあることが明らかになった。；陸地で行われる場合、当然他人の私有地に無断で行うことができない。；また、藤原紀香との合同写真が台湾選挙で無断使用され、波紋を広げた。；国替えは、笠間城を無断修復した事をとがめられたためとする説がある。；担任教諭に反対される中、学校を無断欠席して名古屋地区予選に出場。；撮影当日に無断欠勤されてしまうと、現場に穴が開くからである。；五段階全てクリアするとその授業に参加しなくても無断欠席扱いにならなくなる。；その後の調査で、これらの記事の殆どが無断で翻訳されたものであったことが明らかになっている。；誰でも水路に管を挿し込んで水を無断で利用することが可能だったためである。；河原を無断占有して畑を作ったり、住居を設置したりする人もいる。；しかし開業に際して交通部への届出が行われず無断開業となっている。；帰りの船路には、悪魔を恐れた村の少女ピアニャが無断でついてきてしまう。；これで富永は無断で任務を捨てて、敵前から逃亡したこととなった。；しかし何者かによって無断で山頂にコンクリート製の標柱が設置された。；また、他のユーザに無断でイメージのリストアをすることもできない。；この解任理由は、無断上京を咎められたからとされるが定かではない。；しかし、農地は工場に変わり、何千人もが無断居住するようになってしまった。；また、子供が無断で何千ドルもの浪費をするのを防ぐとも付け加えた。；この際、幕府に無断で小田原まで弔問した者が閉門処分を受けている。；脱獄は、収監されている刑事施設から無断で施設外に脱出する行為である。</t>
        </is>
      </c>
      <c r="J8201">
        <f>HYPERLINK("https://www.weblio.jp/content/無断", "词义详情")</f>
        <v/>
      </c>
      <c r="K8201">
        <f>HYPERLINK("https://yourei.jp/無断", "查看例句")</f>
        <v/>
      </c>
    </row>
    <row r="8202">
      <c r="A8202" t="inlineStr">
        <is>
          <t>無知</t>
        </is>
      </c>
      <c r="B8202" t="inlineStr">
        <is>
          <t>成功</t>
        </is>
      </c>
      <c r="C8202" t="inlineStr">
        <is>
          <t>読み方：むち
［名・形動］知らないこと。知識がないこと。知恵のないこと。また、そのさま。「相手の—につけ込む」「—な人間」</t>
        </is>
      </c>
      <c r="D8202" t="inlineStr">
        <is>
          <t>無知な人間；無知蒙昧；無知ゆえ；無知な人々；無知な大衆</t>
        </is>
      </c>
      <c r="E8202" t="inlineStr">
        <is>
          <t>不明；無学；不案内；無明；不知</t>
        </is>
      </c>
      <c r="F8202" t="inlineStr">
        <is>
          <t>知らない無知；完全な無知；こういう無知；無知そのもの；ひどく無知</t>
        </is>
      </c>
      <c r="G8202" t="inlineStr">
        <is>
          <t>無知な者；無知の知；無知の涙；無知のヴェール；無知に訴える論証</t>
        </is>
      </c>
      <c r="H8202" t="n">
        <v>29</v>
      </c>
      <c r="I8202" t="inlineStr">
        <is>
          <t>地元民たちはあなたが無知だったから気づかなかったと主張するだろう。；無知たる者に学ぶチャンスをあたえたかどうかを考えてみる必要がある。；わたしの無知は、わたしに危惧の機会と同じ程度に希望の機会を与える。；もちろん彼らは芸術にかなり無知で、ことに外国の芸術には無知だった。；しかし笑いも無知の人の笑いなる以上は気にするほどのこともない。；きっと、わたくしの無知な説明がよほどこっけいに思われたのでしょう。；それで皆さんが 私の無知を叱責されるために参られたのではないかと。；無知の罪悪について、まず今言ったような感情的な面から考えてみよう。；また、無知であることは先入観や偏見から自由であることをも意味する。；この時の質問は全く自分の無知に驚いた結果から出た好奇心に過ぎなかった。；しかしそれはかえって大なる無知を表明するにすぎないであろう。；彼はまるで何か無知な美しい生物のようにも思えるではないか。；この無知はどんな新聞にも、どんな大衆的な小説や劇にも、見られます。；法律の無知あるいは不本意ながらで犯罪になってしまう可能性のあるもの。；人間は対立のただなかにあり、対立するものは無知であり無明である。；日本の社会には、こういう意味での無知がまだたくさん残っている。；彼は、これまでにもまして、自分がこれほど無知であることを悲しんだ。；しかしあの無知なやつらには、そんなカラクリは見えるはずもありません。；そう思ったのも無知のせいだが、現在では沈んだと分かっておる。；だが、彼女の部下の無知な荒くれ男どもは、決して彼を崇拝しなかった。；そして、彼が他の人々よりも賢いのは自分の無知を意識していたからだとした。；子供は大人に比べて無知であるから、そのようなものに縛られなくてすむ。；無知な努力に至っては、曾ての軍の仕事に似通うもので労して効はない。；自然は荒廃し民衆は無知であり、インテリは又芸術の高貴さを知らない。；また壁にはおよそ無知な文句や絵が、木炭でいちめんに書かれていた。；全く他人に委せきった純粋な無知の方が、ずっと有効であり聡明であった。；また住民が必要なものや直面した問題について全くの無知であることが多い。；しかしヨーロッパの人々は煙の効能について無知だったわけではない。；そして時々驚くのは、彼等が多くの事柄に就いて、無知なことである。</t>
        </is>
      </c>
      <c r="J8202">
        <f>HYPERLINK("https://www.weblio.jp/content/無知", "词义详情")</f>
        <v/>
      </c>
      <c r="K8202">
        <f>HYPERLINK("https://yourei.jp/無知", "查看例句")</f>
        <v/>
      </c>
    </row>
    <row r="8203">
      <c r="A8203" t="inlineStr">
        <is>
          <t>無茶</t>
        </is>
      </c>
      <c r="B8203" t="inlineStr">
        <is>
          <t>成功</t>
        </is>
      </c>
      <c r="C8203" t="inlineStr">
        <is>
          <t>読み方：むちゃ
［名・形動］
１筋道が立たず、道理に合わないこと。また、そのさま。「—を言う」「—な考え」
２程度がはなはだしいこと。度を越していること。また、そのさま。「—な飲酒」
３知識がないこと。また、そのさま。
「生国はいづれ片田舎の者…江戸の事は—なり」〈滑・浮世床・初〉
[補説] 「無茶」は当て字。</t>
        </is>
      </c>
      <c r="D8203" t="inlineStr">
        <is>
          <t>無茶先生(3%)；無茶な話(3%)；無茶な要求(2%)；無茶ぶり；無茶な行動</t>
        </is>
      </c>
      <c r="E8203" t="inlineStr">
        <is>
          <t>無理；馬鹿；極端；おかしい；過剰</t>
        </is>
      </c>
      <c r="F8203" t="inlineStr">
        <is>
          <t>こんな無茶；あんな無茶；どんな無茶；かなり無茶；そういう無茶</t>
        </is>
      </c>
      <c r="G8203" t="inlineStr">
        <is>
          <t>無茶振り；無茶の猫丸；無茶くちゃ</t>
        </is>
      </c>
      <c r="H8203" t="n">
        <v>29</v>
      </c>
      <c r="I8203" t="inlineStr">
        <is>
          <t>そうでないと、この女性だって無茶なことはしなかったと思いますから。；すでに事実上の勝利を収めてはいたが、とにかくここまでが無茶だった。；たしかにここから何かの意味を汲み取れと言うほうが無茶かもしれない。；いかにも若そうな僧侶に見えたからこそ、無茶を言ってみる気になった。；心の底ではそんなの無茶だとわかっていたけど、言わずにいられなかった。；そうでなければ重力制御機関もない船で無茶な機動ができるはずがない。；ただでさえ症状が悪化してたのに、僕はかなりの無茶をしてしまった。；どなたもそれが恐ろしいので、その無茶先生のところへは行かれませぬ。；「無茶なことをする奴だ」 さすがの弥次馬も舌を振ってしまいました。；実際に起こったことは変だとか無茶だとかいうことはあり得ないのです。；もともと王の名のもとに多少の無茶が通るのが君主制のいいところだ。；クーラーのない部屋で無茶なことだが、誰もそのことに不平は言わない。；私が狸であるから本物と偽物の区別がつかないのだと無茶なことを言った。；別居同然でも夫がちゃんといると、あまり無茶なことはできないものよ。；あいつが無茶するときといえば、そういうケースに限られるからです。；殺されるために育てたのではないから、無茶な酒の飲み方はするな。；と考えはしたが、いくらなんでも、そんな無茶をやるやつは出ないだろう。；確かに二人には子供がいなかったのだが、それにしても無茶な話だ。；その背後の父が、あまり無茶するんじゃないぞという表情を浮かべていた。；こんな世の中だ、無茶をしてまで基地に侵入しようとする輩はいない。；現代の仏蘭西人が革命当時の事を考えたら無茶だと思うかも知れず。；八時までのバイトを選んでるんだから、これ以上無茶言わないでくれ。；普通なら尻込みするのが当然だし、無茶もいいところだと思うだろう。；無茶という人もあろうが、眠る前に酒を飲むのが私の習慣なのである。；いま電話で話している相手は、放っておくと平気で無茶をしそうな気がする。；だが、闘うことばかり考えていると、つい、無茶をやるようになるんだ。；だから俺や秋葉が無茶してケガをすると、琥珀さんがすぐ心配するんだ。；そもそも女を二十代前半で結婚させるなんて、私からみると無茶だと思う。；その様子を見ると、無茶先生は歌をやめて、腹をかかえて笑い出しました。</t>
        </is>
      </c>
      <c r="J8203">
        <f>HYPERLINK("https://www.weblio.jp/content/無茶", "词义详情")</f>
        <v/>
      </c>
      <c r="K8203">
        <f>HYPERLINK("https://yourei.jp/無茶", "查看例句")</f>
        <v/>
      </c>
    </row>
    <row r="8204">
      <c r="A8204" t="inlineStr">
        <is>
          <t>無茶苦茶</t>
        </is>
      </c>
      <c r="B8204" t="inlineStr">
        <is>
          <t>成功</t>
        </is>
      </c>
      <c r="C8204" t="inlineStr">
        <is>
          <t>読み方：むちゃくちゃ
［名・形動］「むちゃ」を強めていう語。「—を言うな」「—に暴れる」「—な値段」
[補説] 「無茶苦茶」は当て字。</t>
        </is>
      </c>
      <c r="D8204" t="inlineStr">
        <is>
          <t>無茶苦茶な話；無茶苦茶な世界；無茶苦茶ぶり</t>
        </is>
      </c>
      <c r="E8204" t="inlineStr">
        <is>
          <t>無理；馬鹿；極端；おかしい；過剰</t>
        </is>
      </c>
      <c r="F8204" t="inlineStr">
        <is>
          <t>そんな無茶苦茶；あんな無茶苦茶</t>
        </is>
      </c>
      <c r="H8204" t="n">
        <v>29</v>
      </c>
      <c r="I8204" t="inlineStr">
        <is>
          <t>非常に正確な様に言はれてゐるが、その一歩前に行つたら無茶苦茶です。；顔が真っ赤になっていると自分で分かるほどの、無茶苦茶な熱さだった。；戦車で突っ込んできたりするなど行動がかなり無茶苦茶な人物である。；そして急にヒステリツクな声をあげて、無茶苦茶に私の腕を叩いたりした。；おやじはその弱い立場をええことにして、ますます無茶苦茶を云いよる。；「こんどは四国のときと違って、もう無茶苦茶ですよ」 と私は言った。；どんなに横暴で無茶苦茶でも大妖狐は彼女のたった一人の父親なのだ。；こんな無茶苦茶な命令は、長い宇宙軍生活の中でも聞いたためしがない。；訳の分らぬものが、無茶苦茶に自分を押し倒して、馬乗りになって来る。；いつもどおり、おれは無茶苦茶な姉の尻ぬぐいをさせられるわけだろ?；大仏へ行つて見れば天井や壁やを槍で以つて無茶苦茶に突き荒してありました。；も一つは向うの我とこちらの我とが無茶苦茶に衝突もしなかったのでもあろう。；こんなところに入っている店って、どれも無茶苦茶、高いんじゃないのか?；もう無茶苦茶に書いてあったり、丁寧に考えて書いてあったりした。；無茶苦茶な心ない料理よりは、まだ型にはまったものの方が見苦しくない。；無茶苦茶な言いがかりなのだが、 聞いていた生徒の大半は納得してしまっだ。；因縁をつけて無茶苦茶な要求をし、相手がどう逃げようとするかを見て笑う。；無茶苦茶であったうえになんでそんなことをするのか訳の分からないこともしてあった。；勝手な音を無茶苦茶に衝突させ合ったのではいたずらに耳を痛めるだけであろう。；ああ、かくのごとく無茶苦茶に狩り立てられたこれらの運命は何を意味するか?；ぼくはこの手の遊びが無茶苦茶弱いから、恥をさらしたくなかっただけだ。；まったく、我ながらあんな無茶苦茶なミッションをよくぞ成功させたものだ。；「ただ計算するだけなら、無茶苦茶早いんですが」と、明日未は言った。；だけど、そのために私の人生の前半は無茶苦茶になったのよ。；あなたは調子に乗るとすぐに無茶苦茶をするんだから。；俺が、こんな無茶苦茶な行動にでたのには、きちんと理由がある。；ただ途中からオサムが無茶苦茶を始めて、みんな爆発してしまった。；そんな無茶苦茶な力にこれ以上身を任せることが、たまらなく恐かった。；みんなそう考えとるから、みかたによっちゃ無茶苦茶な有り様になっとりますと。</t>
        </is>
      </c>
      <c r="J8204">
        <f>HYPERLINK("https://www.weblio.jp/content/無茶苦茶", "词义详情")</f>
        <v/>
      </c>
      <c r="K8204">
        <f>HYPERLINK("https://yourei.jp/無茶苦茶", "查看例句")</f>
        <v/>
      </c>
    </row>
    <row r="8205">
      <c r="A8205" t="inlineStr">
        <is>
          <t>夢中</t>
        </is>
      </c>
      <c r="B8205" t="inlineStr">
        <is>
          <t>成功</t>
        </is>
      </c>
      <c r="C8205" t="inlineStr">
        <is>
          <t>読み方：むちゅう
［名・形動］
１物事に熱中して我を忘れること。また、そのさま。「—で本を読む」「競馬に—になる」「無我—」
２夢を見ている間。夢の中。
「多数は猶安眠の—にあり」〈独歩・愛弟通信〉
３正気を失うこと。また、そのさま。
「余りの嬉しさに…—な程でした」〈若松訳・小公子〉</t>
        </is>
      </c>
      <c r="D8205" t="inlineStr">
        <is>
          <t>夢中遊行；夢中になりすぎ；夢中で走り；夢中になるあまり；夢中で逃げ</t>
        </is>
      </c>
      <c r="E8205" t="inlineStr">
        <is>
          <t>集中；専念；熱中；没頭；一向</t>
        </is>
      </c>
      <c r="F8205" t="inlineStr">
        <is>
          <t>みんな夢中；夢中歩行；夢中で接吻；夢中で追；夢中で拍手</t>
        </is>
      </c>
      <c r="G8205" t="inlineStr">
        <is>
          <t>夢中遊行症；夢中機；夢中夢</t>
        </is>
      </c>
      <c r="H8205" t="n">
        <v>29</v>
      </c>
      <c r="I8205" t="inlineStr">
        <is>
          <t>彼は夢中になって友を探した、けれども彼に来るものは一人もなかった。；緊張の高い時のほか、何かに夢中になっているときにも笑いは生じない。；あまり使いすぎると夢中になって離せなくなってしまう道具だとされる。；中学に入った頃から映画に夢中になり、当時の夢は映画評論家であった。；船のやつらは潜水作業にむちゅうで、だれも気づいたものはありません。；身近な世界が舞台となった話にアメリカ中の子供たちが夢中になった。；僕は夢中になつて追ひかける間に何度もその姿を見失はうとしました。；母のサロンに2人が現れるとウジェニーたちは彼らの話に夢中になった。；エッダは中国滞在中に夢中となった張学良と恋人関係にあったともされる。；このわたしを忘れて、目新らしい生活に夢中になつてゐるのかしらん。；見知らぬ人が出てきて、夢中になってあたりを見まわしている様子だった。；でもかれはわたしがいい人であることをむちゅうになって主張した。；遊んでいると夢中になって時間を忘れ、時には慎重さも忘れてしまう。；また、人をすっかり夢中にさせてしまうことを意味する熟語でもある。；私は個人的に悪魔の歌詞を書くことにはまったく夢中になれませんでした。；僕は夢中になって追いかける間に何度もその姿を見失おうとしました。；短編小説を書くのは1943年夏ごろから夢中になった彼女の趣味だった。；小学生の大翔は夢中になれるものが何もなく冴えない日常を送っている。；それを背中に聞きながら、二人の泥棒は夢中で表に逃げて出ました。；道々も夢中に停車場に入るとそこのベンチに荷物を投げるように置いた。；物事にふけりやすい葉子は身も魂も打ち込んでその仕事に夢中になった。；見せ物に夢中になっている男性の背後から、一番左の男が掏り取っている。；周囲に心配をされても麦との恋に夢中な朝子にはそんな事は気にならなかった。；貴族たちはこの社交人の典型を理想とし、到達しようと夢中になった。；その歌を聴いたアントナンは夢中になり、彼女を愛していると告白する。；エルフォード卿は妻がオラスに夢中であるとの疑いを徐々に強めている。；ゲームのように夢中にさせて虜にする仕組みは広く応用されている。；母親は受験が控えている為ギターに夢中になり勉強をしなくなる事を心配していた。；子供のころは一年に一度巡業しに来た活動写真に夢中になっていた。</t>
        </is>
      </c>
      <c r="J8205">
        <f>HYPERLINK("https://www.weblio.jp/content/夢中", "词义详情")</f>
        <v/>
      </c>
      <c r="K8205">
        <f>HYPERLINK("https://yourei.jp/夢中", "查看例句")</f>
        <v/>
      </c>
    </row>
    <row r="8206">
      <c r="A8206" t="inlineStr">
        <is>
          <t>空しい</t>
        </is>
      </c>
      <c r="B8206" t="inlineStr">
        <is>
          <t>成功</t>
        </is>
      </c>
      <c r="C8206" t="inlineStr">
        <is>
          <t>読み方：むなしい
［形］［文］むな・し［シク］
１空虚である。内容がない。「—・い言葉」
２無益である。むだである。かいがない。「—・く時が過ぎる」「奮闘—・く敗退する」
３かりそめである。はかない。「—・い世の中」
４（「己をむなしゅうする」などの形で）我欲・先入観などを捨てる。「心を—・くして対処する」→己を虚しゅうする
５事実無根である。根拠がない。
「—・しき事にて人の御名やけがれむ」〈源・少女〉
６死んで魂がない。
「跡の妻子共、今一度—・しき貌(かたち)をもさこそ見度く思ふらめとて」〈太平記・一六〉
[派生]むなしさ［名］</t>
        </is>
      </c>
      <c r="D8206" t="inlineStr">
        <is>
          <t>空しいもの(11%)；空しい努力(8%)；空しい抵抗；空しい希望；空しい望み</t>
        </is>
      </c>
      <c r="E8206" t="inlineStr">
        <is>
          <t>無駄；だめ；駄目；無効；いたずら</t>
        </is>
      </c>
      <c r="F8206" t="inlineStr">
        <is>
          <t>空しい音；空しい日；空しい時間；空しい後悔；みんな空しい</t>
        </is>
      </c>
      <c r="H8206" t="n">
        <v>29</v>
      </c>
      <c r="I8206" t="inlineStr">
        <is>
          <t>しかしあの時とは違って、心のどこかに烈しい空しさを感じていました。；空しく九時が過ぎて十時近くになった時、両親は不安のドン底に沈んだ。；自分たちは大勝利を収めているのに、空しさと徒労感だけが残っている。；しかしこの空しいもののために、私は私の最後の力を振り絞りたいのだ。；血を分けた二人きりのうちの一つの生命が、ここに空しく消えたのだ。；考えつづけるうち、ふと彼はそれまで気づかなかった空しさを意識した。；しかも捜査も空しかったので、頭は決心して洞窟にはいることにしました。；希望をもつことは空しいといって、希望せずにいられるものだろうか。；数回同じ行を空しく追っていたが、ようやく言葉が意味をなしてくる。；なるほど、ベッドに寝たきりでいるのだったら、見えるのは空しかない。；事を決裂させまいとあらゆる空しき努力をしていたに違いないのです。；私のかかる思想はある人々にはおそらく愚かにまた空しく見えるであろう。；何事だろう、彼があのように怖れていたのは全く空しいことであったのか?；で、ついに手を空しゅうして、女をあとに残したままピザに帰りました。；あたかも彼の空しい魂の中に生ける神が飛び込んできたかのようだった。；幾台かの自動車はそのために空しく幾日かを立番をして暮したほどである。；この試みの空しさは彼には最初からわかりきっていたはずである。；北にしてみればここまで歩いて来たのに、空しく帰るわけには行かなかった。；それもこれも、今では煙の如く空しい過去の思出となつて了つてゐる。；私ひとりは、精神的に大変元気だが、ひとりの力など空しいものである。；真ちゅうでできた引き具が空しく地面に置かれ、雪の上で輝いていました。；数台電車が空しくすぎるのを待つあいだに不安やら怒りやらで気分が悪くなった。；しかし、その言葉はまったく動かず、口が空しく開いただけなのを知った。；しかしわれわれは町を前にして空しくしびれをきらしていたのであります。；それはかつて自然に隷属していた不安な生に劣らず空しいものである。；けれども、その光は、闇の中を空しく走ったのみで、何も映らなかった。；その時になってあなたは自分のなさったことの空しさに気がつくでしょう。；どこにとて取りつくものもないような空しさが心には残っているばかりだった。；あるいはこれらの考えは、事のあとへくる空しき知恵なのであろうか?</t>
        </is>
      </c>
      <c r="J8206">
        <f>HYPERLINK("https://www.weblio.jp/content/空しい", "词义详情")</f>
        <v/>
      </c>
      <c r="K8206">
        <f>HYPERLINK("https://yourei.jp/空しい", "查看例句")</f>
        <v/>
      </c>
    </row>
    <row r="8207">
      <c r="A8207" t="inlineStr">
        <is>
          <t>胸</t>
        </is>
      </c>
      <c r="B8207" t="inlineStr">
        <is>
          <t>成功</t>
        </is>
      </c>
      <c r="C8207" t="inlineStr">
        <is>
          <t>読み方：きょう
［音］キョウ（漢）　［訓］むね　むな
［学習漢字］6年
〈キョウ〉
１首と腹の間の部分。むね。「胸囲・胸郭・胸腔(きょうこう)・胸骨・胸部／気胸」
２胸のうち。心。「胸懐・胸襟・胸中・胸底・胸裏」
〈むね〉「鳩胸」
〈むな〉「胸板・胸毛・胸先・胸元・胸算用」
［難読］胸繋(むながい)</t>
        </is>
      </c>
      <c r="D8207" t="inlineStr">
        <is>
          <t>胸ポケット；胸もと；胸甲；胸びれ；胸背</t>
        </is>
      </c>
      <c r="E8207" t="inlineStr">
        <is>
          <t>心；腹；魂；心臓；内心</t>
        </is>
      </c>
      <c r="F8207" t="inlineStr">
        <is>
          <t>右胸；わが胸；豊かな胸；白い胸；厚い胸</t>
        </is>
      </c>
      <c r="G8207" t="inlineStr">
        <is>
          <t>胸元；胸中；胸像；胸の内；胸壁</t>
        </is>
      </c>
      <c r="H8207" t="n">
        <v>29</v>
      </c>
      <c r="I8207" t="inlineStr">
        <is>
          <t>黒色の毛に覆われており、たいていは胸・腰のあたりに白い模様がある。；上から背中の横の部分を持つか、胸の小さい方の角を持つと負担が少ない。；通常一人の人物の頭部または胸から上が正面を向いた姿で描かれる。；清はおしんに礼を言い、竜三の骨を一片胸に抱いて佐賀へ帰っていった。；中央にバイイ、中央寄り右下で胸に手を当てているのがロベスピエール。；名前は相沢の愛猫から取られており、胸の大きさは相沢が決めたという。；日本語の「胸」の概念は、英語における次の語の内容を含むことがある。；メインの5人は、全員胸が薄いというのが、本作品では最も重要な特徴。；その形はクワガタムシの大顎を胸の上に折り畳んだようなものである。；また、イングランドでは二枚の布を胸に縫い付けることが義務化された。；歌舞伎俳優の雄弁術がもっとも効果をあげる胸のすくような場面である。；そのため作品によっては胸を豊満に見せるために色々工夫がされている。；なんとか絞り出したコメントは「胸を張って帰ってきて欲しい」だった。；冬羽は頬がやや赤みを帯びた褐色になる他、頭部と胸が淡い褐色になる。；敬礼は右拳を左胸に当てる形式が基本だが、挙手の礼をする場合もある。；男性の胸に片方の手をついて行えば安定して腰を下ろすことができる。；目から胸びれにかけて濃い灰色の模様があり、胸びれも濃い灰色である。；一部では胸脚の一部が広がって抱卵肢のようになることが知られる。；全員軍服を着用しており、胸の前で右腕を水平にする独特の敬礼をする。；融合する際にはベースとなる個体がもう1人の胸に手を置き融合する。；ただ沼や川での無理な採集がたたって、この頃から胸を病むようになる。；また、胸や腰の曲線を強調するためにタイトなデザインが採用された。；は、人の胸から下が魚になったような姿をしているとされる。；頭を北向きにする枕直しをし、胸の上で合掌させ手に数珠をかけたりする。；胸を突くようにして登らなくてはならない事からこの名前がついたと言われる。；衛の胸の中でゴールデン・クリスタルが光っていることに最初に気づいた。；町の縁に位置し、胸を打つような浜辺と町の眺めを見わたすことができる。；頭の幅より広く左右後方に突き出し、それから胸の方に曲がっている。；意志を持たず戦うだけの人形と、それぞれの想いを胸に戦う少年たち。</t>
        </is>
      </c>
      <c r="J8207">
        <f>HYPERLINK("https://www.weblio.jp/content/胸", "词义详情")</f>
        <v/>
      </c>
      <c r="K8207">
        <f>HYPERLINK("https://yourei.jp/胸", "查看例句")</f>
        <v/>
      </c>
    </row>
    <row r="8208">
      <c r="A8208" t="inlineStr">
        <is>
          <t>無念</t>
        </is>
      </c>
      <c r="B8208" t="inlineStr">
        <is>
          <t>成功</t>
        </is>
      </c>
      <c r="C8208" t="inlineStr">
        <is>
          <t>読み方：ぶねん
［名・形動］注意が足りないこと。考えが足りないこと。また、そのさま。不注意。
「お前さんに黙って公債証書を民蔵に渡したのは妾の—だが」〈魯庵・社会百面相〉</t>
        </is>
      </c>
      <c r="D8208" t="inlineStr">
        <is>
          <t>無念そう(5%)；無念やる；無念流；無念腹；無念だったろ</t>
        </is>
      </c>
      <c r="E8208" t="inlineStr">
        <is>
          <t>残念；気の毒；遺憾；申し訳ない；済まない</t>
        </is>
      </c>
      <c r="F8208" t="inlineStr">
        <is>
          <t>ご無念；無念やるかた；無念そうに；無念やる方；無念そうな表情</t>
        </is>
      </c>
      <c r="G8208" t="inlineStr">
        <is>
          <t>無念残念；無念至極；無念千万</t>
        </is>
      </c>
      <c r="H8208" t="n">
        <v>29</v>
      </c>
      <c r="I8208" t="inlineStr">
        <is>
          <t>ただ、心の底には、まだ何といっても、いくらかの無念さが残っていた。；じぶんでは使用できなかった無念が消えず、それを他の者にやらせる。；いかにもそれは、押し流されて没した若い魂の無念さを思わせたからだ。；彼は口辺に微笑さえ浮かべていて、公方さまほど無念そうではなかった。；門を出ると、無念さが急にこみあげて来て、涙がひとりでに頬を流れた。；昨日の無念さを飲み込んだまま眠ってしまったので、目覚めが良くない。；無念そうな微笑を口辺に浮かべて、わたしを見つめたまま横になっている。；無念ながら、これ以上この場に愚図愚図していることは出来ないのである。；無念がる気持の底に、との不満を、つねにくすぶらせている姉妹なのだ。；無念をのんで目をふさいだお綱の顔へも、水のような微光が這っている。；などなどの、彼らの無念を思うと、更にいっそう幸せな気持ちになる。；ただし、囁いてくれるのは、無念の想いを抱いた被害者ではありません。；身を裂かれるような無念の裏側で、フランソワは同時に安心してもいた。；私は申し込みを受けたとき、まず私の胸にわき上がるのは無念さであった。；たとえばどのように無念な死であろうと、左内が武士なら覚悟すべき場合である。；その時の父には無念の表情よりもむしろ責苦をのがれた安堵の色が見えた。；それがからだから離れていくことの無念さは礼子にはわからない。；それをにらみ下ろしている麻也姫の瞳から、無念の涙があふれはじめた。；以上三人の場合、いかにも無念としか言いようがない事件である。；現在の自分は一人の人とも調和し得ない無念さがあるからです。；繰り返しになるが、本人にとってみれば、無念な思いであったろう。；それでも屋敷へ戻ってから、よくあの無念をこらえることが出来たと思った。；敵をただ眺めておるなど、この乃美宗勝が無念に思わぬはずがなかろうが。；あるいは弟兵之助の無念な姿を見ていなければ、あるいはという気がした。；どれだけ多くの若者がこのマーナに挑み、そして無念の涙を流したことか。；それで何とか彼の無念を晴らしたいと考えるようになったのです。；山腹には無念に思った波多氏の家臣百人が腹を切った集団墓地もある。；どれほど多くの無念さに満ちた肉片をくわえ込んでいるのであろうか。；それも功を奏さずハーンは無念の思いを胸に秘めて大学を去ったのだった。</t>
        </is>
      </c>
      <c r="J8208">
        <f>HYPERLINK("https://www.weblio.jp/content/無念", "词义详情")</f>
        <v/>
      </c>
      <c r="K8208">
        <f>HYPERLINK("https://yourei.jp/無念", "查看例句")</f>
        <v/>
      </c>
    </row>
    <row r="8209">
      <c r="A8209" t="inlineStr">
        <is>
          <t>無能</t>
        </is>
      </c>
      <c r="B8209" t="inlineStr">
        <is>
          <t>成功</t>
        </is>
      </c>
      <c r="C8209" t="inlineStr">
        <is>
          <t>読み方：むのう
［名・形動］能力や才能がないこと。役に立たないこと。また、その人や、そのようなさま。「—な指揮官」「—無策」⇔有能。</t>
        </is>
      </c>
      <c r="D8209" t="inlineStr">
        <is>
          <t>無能者(5%)；無能ぶり(3%)；無能な人間；無能な人物；無能な指揮</t>
        </is>
      </c>
      <c r="E8209" t="inlineStr">
        <is>
          <t>不能；ゴミ；無力；非力；低能</t>
        </is>
      </c>
      <c r="F8209" t="inlineStr">
        <is>
          <t>無能王；無力無能；無能呼ばわり；無能な指揮官；無能な政治家</t>
        </is>
      </c>
      <c r="G8209" t="inlineStr">
        <is>
          <t>無能力者；無能の人；無能無策</t>
        </is>
      </c>
      <c r="H8209" t="n">
        <v>29</v>
      </c>
      <c r="I8209" t="inlineStr">
        <is>
          <t>むしろ私は多くの場合にその責任が教師の無能にあるような気がする。；わたしは、あなたを無能な王子のひよことしか評価していませんでした。；彼は全く無能であり、たびたび教会や修道院の収入の世話になっている。；あの無能な王たちのようにわたしを吊るそうと、敵がやってきたのです!；私は自分がこの靴の問題に関して、全く無能であることを自覚していた。；その後の出来事は、軍事的な面での両執政官の完全な無能さを示した。；平賀にはその文面がいかにも自分たちの無能を嘲っているように見えた。；勝家が有能な道具であり、通勝が無能な道具であっただけのことである。；いつもながらこういう場合ほど我我の無能がよくあらわれることはない。；無能な士官どものために、中隊員を危険にさらすわけにはいかんからな。；このとんがり耳の男はただ自分の無能ぶりを取り繕おうとしているだけだ!；光化学スモッグが発生しているのに、様子を見るとは政府と同じ無能さだ。；反董卓連合軍の関東諸侯の中でも、特に無能な人物として描かれている。；こういう女性を処女でほっておくほど世界の男性は無能ではあるまい。；しかし、これだって、僕のような無能者には決して楽な仕事ではありません。；その結果が、凡百の無能者と人口の増大だけを生み出してゆくのである。；三輪は無能だが、イエスマンなので、その地位を保っているといわれる。；けれども我我の音樂的無能は、之れを音の形式に再現することができない。；この状況からも、私がホステスとしてどんなに無能だったかよくわかる。；自分の無能が悔しく、それに気づかなかった不明がいっそう悔しかった。；日頃無能だと言われている自治委員も案外なところでその役割を発揮した。；無愛想で、怠け者で、たぶん無能なやつだろうとしか思っていなかった。；この無能な政府を信用して働いていたなんてバカもいいところだ。；与えられた仕事もこなせねえ無能って評判は、組織じゃ致命的だからな。；彼はいまや上司のことを、無能よばわりできるほどの知識を持っていた。；無能な人間が大臣になる方法はいまも昔も変わりはしない。；ほぼ三万に達する彼等の行動を阻害するのは無能と偶然と寒気のみ。；しかしその多くは、帝国の時代、虐げられてきた無力、無能の者どもだ。；ベルリン協定の結果任命された三国を代表する監督者も無能であった。</t>
        </is>
      </c>
      <c r="J8209">
        <f>HYPERLINK("https://www.weblio.jp/content/無能", "词义详情")</f>
        <v/>
      </c>
      <c r="K8209">
        <f>HYPERLINK("https://yourei.jp/無能", "查看例句")</f>
        <v/>
      </c>
    </row>
    <row r="8210">
      <c r="A8210" t="inlineStr">
        <is>
          <t>無謀</t>
        </is>
      </c>
      <c r="B8210" t="inlineStr">
        <is>
          <t>成功</t>
        </is>
      </c>
      <c r="C8210" t="inlineStr">
        <is>
          <t>読み方：むぼう
［名・形動］結果に対する深い考えのないこと。また、そのさま。無茶。無鉄砲。「—な旅程」「—運転」</t>
        </is>
      </c>
      <c r="D8210" t="inlineStr">
        <is>
          <t>無謀な行動(2%)；無謀な作戦；無謀な計画；無謀な行為；無謀な突撃</t>
        </is>
      </c>
      <c r="E8210" t="inlineStr">
        <is>
          <t>軽い；やたら；むやみ；無茶；軽率</t>
        </is>
      </c>
      <c r="F8210" t="inlineStr">
        <is>
          <t>無謀な賭け；無謀な戦争；無謀な企て；こんな無謀；無謀な攻撃</t>
        </is>
      </c>
      <c r="G8210" t="inlineStr">
        <is>
          <t>無謀な夢は覚めることがない；無謀キャプテン</t>
        </is>
      </c>
      <c r="H8210" t="n">
        <v>29</v>
      </c>
      <c r="I8210" t="inlineStr">
        <is>
          <t>無論私は手紙にあの晩以来の出来事を書くような無謀な事はしなかった。；合理主義的な観点からすればこれは矛盾というよりはむしろ無謀である。；といふのもすべての人がこの無謀な賭事に興味を抱いてゐたからである。；彼は無謀にも彼の領内に侵入して来た敵を、立派に滅ぼすことができた。；そのために、無謀とも思われるような計画を樹てて実行したのだった。；しかし、いずれにしても、今この門を潜るのは少し無謀なことであった。；これで、バロットがどれだけ無謀な素人かが誰の目にも明らかになった。；自分に出来ることと、出来ないこととが判れば、無謀なことはしません。；そこに無謀な戦を仕掛けてきたのが、我がクラスの松平瞳子さんなのだ。；父親がその無謀らしい望みを容易に許さなかったのも無理のないことであった。；この火を見るより明らかな無謀な決定は何故出されたのだろうか。；わたしの無謀な考えというのが、ひとつ残らず金になってるじゃないか。；思えば、自分の無謀さはあのときからあまり変わっていないような気がする。；しかし問題なのはカークが次第に無謀な行動をとるようになってきたことだ。；それが、翌年長篠に於て、無謀の戦いをする自負心となったのであろう。；はじめは確かに怪奇だったが、結局は無謀な強盗事件となってしまった。；というよりも、あの無謀な振る舞いが彼の成功の真の原因だったのだ。；自分達を根絶しようとする人間達の試みは、最初から無謀だったのだ。；もしも知っていたなら、そんな無謀なことはおやめなさいと言ったはずだ。；一つ目は、無謀な実験を強行した魔法師たちを止められなかったこと。；たくさんのわき道と交差しているこの通りでは、無謀なスピードだった。；その無謀とも言える方法に、家族は一言の文句も言わず従っている。；対抗法の確立していない相手に、ただ突っ込んでいくのは無謀すぎる。；それはまるで狂戦士のような無謀なまでの戦いぶりであったやもしれない。；とはいえ、文献だけを元に突き進むのは無謀とさすがにわかったらしい。；いかに無謀であろうとも、われらはこれを明らかにしなければならぬ。；少ないのはいいが、それを心得ずして俳優を志すことは無謀も甚だしい。；思えば無謀の極みではあったが、しかし今はそれをしなければならなかった。；スワッキィは、冬にそんな長旅をするのは無謀だと懸命の説得に努めた。</t>
        </is>
      </c>
      <c r="J8210">
        <f>HYPERLINK("https://www.weblio.jp/content/無謀", "词义详情")</f>
        <v/>
      </c>
      <c r="K8210">
        <f>HYPERLINK("https://yourei.jp/無謀", "查看例句")</f>
        <v/>
      </c>
    </row>
    <row r="8211">
      <c r="A8211" t="inlineStr">
        <is>
          <t>無闇</t>
        </is>
      </c>
      <c r="B8211" t="inlineStr">
        <is>
          <t>成功</t>
        </is>
      </c>
      <c r="C8211" t="inlineStr">
        <is>
          <t>読み方：むやみ
［名・形動］
１結果や是非を考えないで、いちずに物事をすること。また、そのさま。「—な約束はしない方がよい」
「なぜそんな—をした」〈漱石・坊っちゃん〉
２物事の状態が度を超えて甚だしいさま。ひどい。「—に金がかかる」
「—な大わらんじの片足を」〈柳田・山の人生〉
[補説] 「無闇」「無暗」は当て字。
[用法]むやみ・やたら——「夜はむやみに（やたらに）出歩かないほうがいい」「むやみな（やたらな）ことは言えない」「説明がむやみに（やたらに）長い」など、度が過ぎるようすの意では相通じて用いられる。◇「むやみ」は、善悪やあとさきを考えないで事を行う点に重点がある。「むやみに酒を勧めてはいけない」「むやみに進学しても意味はない」◇「やたら」は、理由やけじめもなく繰り返すようすをいう。「やたらに文句を言う」「やたらぺこぺこ頭を下げる候補者」◇類似の語に「無性に」があり、感情や欲求などが強くわき起こるようすに多く使われる。「最近、無性に故郷が恋しくなることがある」「汚職の報道に無性に腹が立つ」</t>
        </is>
      </c>
      <c r="D8211" t="inlineStr">
        <is>
          <t>無闇に悲しく；無闇に重い</t>
        </is>
      </c>
      <c r="E8211" t="inlineStr">
        <is>
          <t>余り；軽い；過剰；やたら；過度</t>
        </is>
      </c>
      <c r="G8211" t="inlineStr">
        <is>
          <t>無闇矢鱈</t>
        </is>
      </c>
      <c r="H8211" t="n">
        <v>29</v>
      </c>
      <c r="I8211" t="inlineStr">
        <is>
          <t>だから揉み療治などと云ってそう無闇と軽蔑すべきものではないだろう。；無闇に外に出ていって、またあの黒犬に襲われたらどうするつもりだったの?；近附いた時に見ると、眼鏡をかけた・鼻の無闇に大きな・醜い女だつた。；士官用のラウンジとして使われていた場所は無闇に広くなにもなかった。；参加できるかもわからない話で、無闇に期待させるのは愚かなことだ。；前と違ったところといえば、無闇に武士が訪れて来ることだった。；いつまでも持ち歩いていれば人の記憶に残るし、無闇な場所に置くのも危険。；昨夜以来無闇にこはげ立つたる余はこの言葉に驚きてあわてて片方へ寄りぬ。；彼らにはただ無闇にきびしいだけの先生に思われたかもしれない。；自分が育ったところも無闇となにもないところだったのだ。；いくら魅力的な女性が相手でも無闇に心惑わせることはないはず。；しかし、そうであるからと言って、無闇に私は先生顔をする訳ではないのである。；それでも無闇に突進したりしなかったのは、女の子の身の安全を考えたからだ。；詰まり何と云う事もなく、ただもう無闇に変った真似をする事が好きな女なのだ。；しかし、世間に活躍が認められると、学校側は無闇に廃部にできない。；己れの身分、姓名を忘れた数々の、ただ無闇に慌ててゐる手紙を書いてゐる。；もちろん、今までこんなことは無闇に喋ったりしませんでしたがね。；先生は無闇に使うなって言ってたけど、相手が殺人鬼なら許してくれるだろう。；テンポを速めるといっても、何も無闇に速くすることを意味してはいない。；古い、たてつけが悪くて蝶番も錆びて無闇に重い、扉が開く音がした。；どんな親しい友達にでも、女の関係なぞを無闇に話すものじゃないわ。；紙ナプキンを使うのは現状を無闇に変更することで、避けてしまった。；これなんか無闇と堀を埋めちまって水はけを悪くしたせいでしょうね。；盗聴器の集音範囲をかなり外れた位置から無闇に明るい女の声が近づいてくる。；だからそんなものを無闇に造って使われたら大変なので、重い罪にしてあるそうだ。；なぜそんなことに無闇に力を入れねばならないのか。；そして午後から学校へ行くとなれば、午前中に無闇な外出をすることもない。；それを捨てて無闇に西洋を取りたがるのは間違いだ。；探そうにも暗闇の水の中、見当もつかねば、無闇に歩き廻る訳にも行かぬ。</t>
        </is>
      </c>
      <c r="J8211">
        <f>HYPERLINK("https://www.weblio.jp/content/無闇", "词义详情")</f>
        <v/>
      </c>
      <c r="K8211">
        <f>HYPERLINK("https://yourei.jp/無闇", "查看例句")</f>
        <v/>
      </c>
    </row>
    <row r="8212">
      <c r="A8212" t="inlineStr">
        <is>
          <t>無用</t>
        </is>
      </c>
      <c r="B8212" t="inlineStr">
        <is>
          <t>成功</t>
        </is>
      </c>
      <c r="C8212" t="inlineStr">
        <is>
          <t>読み方：むよう
［名・形動］
１役に立たないこと。使い道のないこと。また、そのさま。無益。「—な（の）臓器はない」⇔有用。
２いらないこと。また、そのさま。不要。「ここでは遠慮は—です」「心配御—」「問答—」
３用事のないこと。「—の者立ち入るべからず」
４してはいけないということ。禁止。「立ち入り—」「開放—」「貼紙—」</t>
        </is>
      </c>
      <c r="D8212" t="inlineStr">
        <is>
          <t>無用論；無用者；無用な混乱；無用視；無用な争い</t>
        </is>
      </c>
      <c r="E8212" t="inlineStr">
        <is>
          <t>無駄；だめ；駄目；不要；余計</t>
        </is>
      </c>
      <c r="F8212" t="inlineStr">
        <is>
          <t>御無用；心配無用；ルール無用；一切無用；他言無用</t>
        </is>
      </c>
      <c r="G8212" t="inlineStr">
        <is>
          <t>無用心；無用の用；無用ノ介；無用有害；無用庵隠居修行</t>
        </is>
      </c>
      <c r="H8212" t="n">
        <v>29</v>
      </c>
      <c r="I8212" t="inlineStr">
        <is>
          <t>その疑問を今ここに提出する事は、決して無用に非ずと思うのである。；そして要するにぼくの場合は、これだけですむようなところがあるのだ。；今までどなたも心よく応じてくれましたからお坊様も遠慮は無用ですよ。；仁兵衛は付き馬にでた先で、酔っぱらうほど酒をのむような男ではない。；バスの山登りには私はまったく賛成できないが、開発を無用とはしない。；これらの使用が戦術に対応しなくなり、無用な犠牲者を出したからである。；口に甘きものは和洋の別なくわたしの身には全く無用のものとなった。；玄徳の人物もこの程度ならまず世に無用な人と観てしまったのである。；私たちは極めて発達したあの武器が、無用となる日を嘆ずべきであろうか。；それで時々偸むようにまた先方の気のつかないように兄の様子を見た。；切り倒された森が見えないですむように、遠くの丘の木にすればいい。；これがわかっている以上、陳弁と抵抗は無用であるのみでなく不信仰です。；度をこえた無用な関心の的にされたことに腹が立って、ローワンはいった。；すると、煙草のむようにこれをあけてすこし書いて休むというわけです。；女王には、無用な話をして時間をつぶしてはならないのが判っていた。；目を閉じて愉しむようにそんな仕事をする彼女の顔を、僕はじっと見ていた。；この歌などは色彩の音楽を言葉で表現したものでそれ以上詮索は無用である。；ゆえにこの石をば無用とて、ここに埋めその上に社を建立なされて候。；視線を感じて顔を上げると、制服を着た男の子が息をのむような表情で立っていた。；おそらくだれかが、もうそれは無用になった、とでも言ってやったのだろう。；ファウヌスは誰が見ても怪むような、絶望の様子をしていたのである。；真事を相手にビー珠を転がしていた小林が偸むようにしてこっちを見た。；雄同士の闘いは儀式的で、相手の頭部・体を押さえこむようなものである。；しかし人は他人から無用視せられることをもっとも許しがたく思うものである。；意味の妥当問題は意味の存在問題を無用になし得るものではない。；新聞紙のために無用なりとすると、絶待に無用なりとするとの差である。；西洋や支那の「文学」といふ語の定義などを並べたるは全く無用に属す。；無用な戦いを避けるべく、覚悟は戦わずして自らの負けを宣言した。；商用周波数での起動の困難のために無用に大出力の電動機を採用していた。</t>
        </is>
      </c>
      <c r="J8212">
        <f>HYPERLINK("https://www.weblio.jp/content/無用", "词义详情")</f>
        <v/>
      </c>
      <c r="K8212">
        <f>HYPERLINK("https://yourei.jp/無用", "查看例句")</f>
        <v/>
      </c>
    </row>
    <row r="8213">
      <c r="A8213" t="inlineStr">
        <is>
          <t>斑</t>
        </is>
      </c>
      <c r="B8213" t="inlineStr">
        <is>
          <t>成功</t>
        </is>
      </c>
      <c r="C8213" t="inlineStr">
        <is>
          <t>［名・形動］
１（「斑」とも書く）雪などが不規則に濃淡になっているさま。まだら。
「川岸の—に消えかかった道を行った」〈犀星・幼年時代〉
２「はだれ」に同じ。
「夜を寒み朝戸を開き出で見れば庭も—にみ雪降りたり」〈万・二三一八〉</t>
        </is>
      </c>
      <c r="D8213" t="inlineStr">
        <is>
          <t>斑模様(5%)；斑晶；斑が入る個体；斑痕；斑點</t>
        </is>
      </c>
      <c r="E8213" t="inlineStr">
        <is>
          <t>スポット；不規則；斑点；点々；斑紋</t>
        </is>
      </c>
      <c r="F8213" t="inlineStr">
        <is>
          <t>一斑；眉斑；白い斑；縦斑；赤斑</t>
        </is>
      </c>
      <c r="G8213" t="inlineStr">
        <is>
          <t>斑紋；斑鳩；斑鳩宮；斑入り；斑岩</t>
        </is>
      </c>
      <c r="H8213" t="n">
        <v>29</v>
      </c>
      <c r="I8213" t="inlineStr">
        <is>
          <t>背中は赤あるいは灰色がかっており、明るい灰色の斑があるものもいる。；大型の成魚は側面に小さな黄色の斑が入ることがあることが知られている。；表面にさまざまな斑模様が入るが、雲紋状の斑が入るものが普通である。；すると向うの窓硝子は斑らに外気に曇った上に小さい風景を現していた。；すると向うの窓硝子は斑らに外気に曇つた上に小さい風景を現してゐた。；春型は夏型よりも小形で、赤斑が発達し、色もより濃い黒色をしている。；栄養葉の表面の中央に白い斑が入るものが、園芸的に利用されている。；小型のヤツデのような葉をしており、斑入りのものと斑なしのものがある。；そのあたりに斑のある馬がいることは知られていたという。；周囲に明るい星がないが一度見つけて目が慣れれば淡い光斑はわかりやすい。；その後この斑はさらに強大になり、その色も白から赤へと変化した。；主として葉に斑模様が入る突然変異個体を対象に収集・栽培がされている。；斑の形は基本的には縞で、葉の葉脈沿いに縦に白い模様が入るものである。；中には卵のやうに滑らかで、或ひは白く、或ひは赤い斑が入つたりしてゐます。；毛色に制限は無いが、ホワイト地に一色の斑があるものが好まれている。；但しこの眼状斑は個体差があり、斑がないものや、複数あるものもいる。；若魚は黄褐色の体に多数の紫色斑があるが、成魚では一様な褐色となる。；ノリ夫の目に見えている動物達は猿人の本来の姿と斑類の本来の姿だったのである。；喉からの体下面は、白地に黒い縦縞が密に入り、脇には黒い横斑がある。；軟条部に眼状斑が2個あるためホシテンスの若魚である可能性が高い。；夏羽の色彩は、頭が暗紅褐色で黒い軸斑があり、胸と腹は暗褐色である。；冬羽では後頭部が黒褐色の斑がある他は、頭部から腹にかけてが白くなる。；鋸歯のある広葉樹の葉のような形なので、この模様を葉状斑と呼んでいる。；生まれた子は足に斑点があったことから斑足と名付けられた。；大型個体はシームは暗色だが、その周辺の暗色斑が消失することもある。；一方で尾羽の形態や腰の白色斑は遺伝的要因が影響していると考えられている。；彦根藩は毎年の寒中に赤斑牛の味噌漬けを将軍と御三家に献上している。；体の上面と胸は緑褐色がかった灰色で、脇には白、黒、褐色の斑が並ぶ。；第2肋甲板の眼状斑は肋甲板中央部の後方かそれよりも外側に入る。</t>
        </is>
      </c>
      <c r="J8213">
        <f>HYPERLINK("https://www.weblio.jp/content/斑", "词义详情")</f>
        <v/>
      </c>
      <c r="K8213">
        <f>HYPERLINK("https://yourei.jp/斑", "查看例句")</f>
        <v/>
      </c>
    </row>
    <row r="8214">
      <c r="A8214" t="inlineStr">
        <is>
          <t>村</t>
        </is>
      </c>
      <c r="B8214" t="inlineStr">
        <is>
          <t>成功</t>
        </is>
      </c>
      <c r="C8214" t="inlineStr">
        <is>
          <t>読み方：そん
［音］ソン（呉）（漢）　［訓］むら
［学習漢字］1年
〈ソン〉
１むらざと。いなか。「村落／寒村・漁村・郷村・山村・農村・僻村(へきそん)・離村」
２地方行政区画の一。「村長・村民税／町村」
〈むら〉「村人・村八分」
［名のり］すえ・つね</t>
        </is>
      </c>
      <c r="D8214" t="inlineStr">
        <is>
          <t>村内；村出身；村はずれ；村高；村全体</t>
        </is>
      </c>
      <c r="E8214" t="inlineStr">
        <is>
          <t>町；里；部落；村落；小さな町</t>
        </is>
      </c>
      <c r="F8214" t="inlineStr">
        <is>
          <t>小さな村；三田村；各村；宮村；里村</t>
        </is>
      </c>
      <c r="G8214" t="inlineStr">
        <is>
          <t>村上；村長；村落；村田；村々</t>
        </is>
      </c>
      <c r="H8214" t="n">
        <v>29</v>
      </c>
      <c r="I8214" t="inlineStr">
        <is>
          <t>この過程はアッティカの多くの以前からの郊外や村も覆い、続いている。；王質が山を下り村に帰ると知っている人は誰一人いなくなっていた。；なお、これ以前から村の中で起こった小さな事件などを解決しているらしい。；一方でドイツ人は、上記の村のうちの一つタンネンベルクの名をとった。；大東諸島の村制施行に伴って沖大東島は北大東村に属することになった。；また面積が日本一小さな村で有名となり、記念観光で訪れる人も多かった。；列村は村落で行われる産業などの性格により、以下のように細分される。；日本では町や村は郡の下に続くが、伊豆諸島は例外として郡が存在しない。；このモンロッチの村の環境がミロの芸術に大きな影響を与えたようである。；市にあるものを市道、町にあるものを町道、村にあるものを村道という。；こうして出会った2人は、村の外れにある隠れ家で密会するようになる。；ここは当時ウースターシャーの村で、現在はバーミンガムの一部である。；自然豊かな村や谷は、4月になると杏の花でピンク色に埋め尽くされる。；江戸時代から島の北西部に鳥打、南東部に宇津木の2村が置かれていた。；忠敬は名主や村の有力者と、江戸にある津田氏の屋敷に挨拶に出向いた。；村の面積は小さく河口近くのわずかな部分を占めるのみである。；ただし、彼は今後戦に出かけないこと、彼女は村へ遊びに出ないことを約束した。；伝説によれば、祖先の時代に人口増加に伴い、村を分けることになった。；この命令は英蘭軍の戦線は尾根ではなくその奥の村にあると想定していた。；ただし、協同村建設の夢はオウエンの志となってその後も胸中に残った。；当時の所在地は浅口郡六条院村であり、同郡鴨方村は別の場所であった。；それぞれの村は都市の中に自分の区画をもち、母胎となった村と結ばれていた。；ちょうどその頃ミロンの住むイシュタル村にある危険が迫っていた。；教授職を退いた後は村の子供にフランス語やダンスを教えながら余生を過ごした。；ここはタンネンベルク村から北東20kmに離れていた場所である。；しかし村内の対立は解消されず、分村問題が浮上することになった。；芸名は自らつけたもので、長野県東筑摩郡にある麻績村に由来している。；ほか3村は大字未設置であったが、合併後は旧村名を住所に表記している。；この村は今日でもまだほとんど昔のままの姿を留めている。</t>
        </is>
      </c>
      <c r="J8214">
        <f>HYPERLINK("https://www.weblio.jp/content/村", "词义详情")</f>
        <v/>
      </c>
      <c r="K8214">
        <f>HYPERLINK("https://yourei.jp/村", "查看例句")</f>
        <v/>
      </c>
    </row>
    <row r="8215">
      <c r="A8215" t="inlineStr">
        <is>
          <t>群がる</t>
        </is>
      </c>
      <c r="B8215" t="inlineStr">
        <is>
          <t>成功</t>
        </is>
      </c>
      <c r="C8215" t="inlineStr">
        <is>
          <t>読み方：むらがる
［動ラ五（四）］たくさんのものが一つ所に寄り集まる。「サインを求めてファンが—・る」「鯉(こい)が餌(えさ)に—・る」
［動ラ下二］に同じ。
「蠅—・れて西に向ひて巨坂(おほさか)を飛び踰(こ)ゆ」〈斉明紀〉</t>
        </is>
      </c>
      <c r="D8215" t="inlineStr">
        <is>
          <t>群がる男たち；群がる釣師</t>
        </is>
      </c>
      <c r="E8215" t="inlineStr">
        <is>
          <t>群衆；群集；人だかり；集る；たかる</t>
        </is>
      </c>
      <c r="H8215" t="n">
        <v>29</v>
      </c>
      <c r="I8215" t="inlineStr">
        <is>
          <t>あれほど自分を忌み避けていた男の一般患者が、彼女の周囲に群がった。；アジアの青年は現代的教育を受けるために、西洋の大学に群がってゆく。；マンションの廊下には住人が、建物の前には弥次馬が群がり始めている。；ホームにはたくさんの人が群がり、カメラを持っている人も多かった。；すべてを一瞬にして理解し、把握し、思考する才能に群がる多くの人々。；時間が時間だけに、すでにかなりの人間が群がりはじめているようだ。；潮が残していった海草の山には何千ものイソノミが群がって跳ねていた。；博士は仲間を、島の突端にある岩が群がっているところまで連れていった。；その上のほうの枝には、褐色に熟した小さな種子が群がってついていた。；通りで見たのと同じような若い男女が、あちらこちらに群がっていた。；ラスコーリニコフは女たちがたくさん群がっているそばに足をとめた。；それはさながら群がるとらの前にでた羊のごとく弱々しい態度であった。；彼女のまわりには、いつも何人もの混血児の青年たちが群がっていた。；社員がお金に群がるなか彼らは進み、会社の重役達の部屋の前に来る。；餅に群がる子供のように、僕はそれを、空中にあるうちにキャッチした。；表通りに動く人影は少ないが、立ち飲み屋の前に男たちが群がっている。；私は水桶に群がる者たちの後ろに立って、皆が洗い終わるのを待っていた。；・小学校に馬車一台分の石炭が運ばれてきた際、皆で群がり石炭を食べた。；続く3年間に10万人以上と見られる金探求者が地域に群がり集まった。；だがそれは並んでいるというよりは群がっているという感じだった。；マスコミは我々に群がり、捜査を思わぬ方向に狂わせてしまうでしょう。；外の仕事に群がっている二本足の狼どものことを、かれは考えていたのだ。；子供らが豆を買って、地面の上に群がっているはとに投げやっていました。；イオノクラフトから足が離れ、地上に群がるミミズの中へと落ちていく。；寺院へ入ってゆく路地にも、表通りにも、たいへんな人が群がっている。；三人の戦士がたいまつのあとから中にはいり、他の者は戸口に群がった。；船階子の上り口には労働者が十四五人群がって船の着くのを見守って居た。；一番機に群がっていた小型幻獣が次々と炎に包まれ、撃破されてゆく。；彼の最も深い苦悩と歓喜は此の時に一番群がり湧いて居たのであろう。</t>
        </is>
      </c>
      <c r="J8215">
        <f>HYPERLINK("https://www.weblio.jp/content/群がる", "词义详情")</f>
        <v/>
      </c>
      <c r="K8215">
        <f>HYPERLINK("https://yourei.jp/群がる", "查看例句")</f>
        <v/>
      </c>
    </row>
    <row r="8216">
      <c r="A8216" t="inlineStr">
        <is>
          <t>紫</t>
        </is>
      </c>
      <c r="B8216" t="inlineStr">
        <is>
          <t>成功</t>
        </is>
      </c>
      <c r="C8216" t="inlineStr">
        <is>
          <t>読み方：し
［常用漢字］　［音］シ（呉）（漢）　［訓］むらさき
〈シ〉むらさき。「紫煙・紫紺・紫斑(しはん)・紫外線／紅紫」
〈むらさき〉「紫色／青紫・若紫」
［難読］紫陽花(あじさい)・紫雲英(げんげ)</t>
        </is>
      </c>
      <c r="D8216" t="inlineStr">
        <is>
          <t>紫褐色(2%)；紫光禄大夫；紫外；紫玉；紫微</t>
        </is>
      </c>
      <c r="F8216" t="inlineStr">
        <is>
          <t>濃い紫；灰紫；鳳院紫；紫帯；紫冠</t>
        </is>
      </c>
      <c r="G8216" t="inlineStr">
        <is>
          <t>紫外線；紫の上；紫式部；紫陽；紫煙</t>
        </is>
      </c>
      <c r="H8216" t="n">
        <v>29</v>
      </c>
      <c r="I8216" t="inlineStr">
        <is>
          <t>観察された爆発の光の色は紫から緑、そして最後には白色へと変わった。；これらの列車は白を主色調とし、両側にそれぞれ濃い紫の飾り帯がある。；すると、空から紫の雲が降りてきて、その雲の中より一羽の鶴が現れた。；色の並ぶ順序も暈と同様に太陽に近い側が赤、遠い側が紫となっている。；紫外発散が小さくなる他にも、超重力理論には以下のような特徴がある。；初期から後期にまで発売された紫、黄、緑には薄い色や濃い色の違いも存在。；その後はカラータイマーは紫のままで、赤く点滅するような描写はない。；色は赤・紫から黄色など様々だが、総じて派手な色合いのものは少ない。；なお紫砂の表記は中国陶芸で主に用いられ、日本では一般的に紫泥という。；初めは泉殿と呼ばれていたらしいがいつからか紫金台寺と呼ばれるようになった。；座席表布は木の枝をモチーフとした紫系のジャガード織が採用された。；これらの都市群は、陶器・ガラス・紫の染料の生産の中心地であった。；一時太陽スペクトルの紫外域の研究のために海軍研究所で働いた。；居所である紫宮は四柱が支える大きなひさしを持つ 巨大な宮殿であった。；また、オシャレのつもりなのか、左の髪に紫の玉のようなものを付けている。；柄の基部付近においては多くは紫黒色のしみを生じ、特徴的な味はない。；最後に、紫の曲線は根本的に赤および青の曲線とは性状が異なっている。；また暈の色は内側が赤、外側が紫の色の順序で、光冠とは逆になっている。；また、ダウン中の敵を攻撃すると、攻撃回数が回復する紫炎石が得られる。；神族は色が違い、順に黄色・紫・赤・青であるが白・黒・赤・青と呼ばれることが多い。；紫から受け取った血だらけのハンカチも、真っ白なままに戻っていた。；また劇団ウェブページなどでは濃い紫や赤が使用されることがある。；やがて青年2人は、女の話ぶりや説明から、彼女が野添紫の霊だとわかる。；紫帯以上の指導者はいつでも門下生に自分の帯のより一段階下の帯を認定することが出来る。；しかし実際には赤・橙・黄・緑・青・紫・朱・空・茶の9騎がある。；作中では下記の他に、紫竜会、白竜会、赤竜会、緑竜会が登場している。；目撃者の中には、「眼のある紫の煙と緑の雲」と表現した者もいる。；以下は代表的な3種のもので駆動する歯車は青、もう一方は紫で示す。；また彼女の紫玉の笛は、嫦娥からもらったものであるという伝説もあった。</t>
        </is>
      </c>
      <c r="J8216">
        <f>HYPERLINK("https://www.weblio.jp/content/紫", "词义详情")</f>
        <v/>
      </c>
      <c r="K8216">
        <f>HYPERLINK("https://yourei.jp/紫", "查看例句")</f>
        <v/>
      </c>
    </row>
    <row r="8217">
      <c r="A8217" t="inlineStr">
        <is>
          <t>無理</t>
        </is>
      </c>
      <c r="B8217" t="inlineStr">
        <is>
          <t>成功</t>
        </is>
      </c>
      <c r="C8217" t="inlineStr">
        <is>
          <t>読み方：むり
［名・形動］(スル)
１物事の筋道が立たず道理に合わないこと。また、そのさま。「—を言われても困る」「怒るのも—はない」「—な言いがかり」
２実現するのがむずかしいこと。行いにくいこと。また、そのさま。「—を承知で、引き受ける」「—な要求をする」
３しいて行うこと。押しきってすること。また、そのさま。「もう—がきかない」「—に詰め込む」「あまり—するなよ」</t>
        </is>
      </c>
      <c r="D8217" t="inlineStr">
        <is>
          <t>無理な話；無理な注文；無理な相談；無理な姿勢；無理な要求</t>
        </is>
      </c>
      <c r="E8217" t="inlineStr">
        <is>
          <t>押し；不可能；極端；駄目；不能</t>
        </is>
      </c>
      <c r="F8217" t="inlineStr">
        <is>
          <t>御無理；無理無理無理；無理ごもっとも；無理な減量；無理な追い越し</t>
        </is>
      </c>
      <c r="G8217" t="inlineStr">
        <is>
          <t>無理矢理；無理解；無理強い；無理難題；無理心中</t>
        </is>
      </c>
      <c r="H8217" t="n">
        <v>29</v>
      </c>
      <c r="I8217" t="inlineStr">
        <is>
          <t>やがて自分から無理に目立つことをしなくてもいいと思うようになった。；小牧はこのイベントを「今考えても無理のある企画」と振り返っている。；期間が30年になったことで同じ監督で続けるのに無理が出たためとのこと。；ただし、この理論は憲法上無理があったので国会は通常通り解散された。；これは自然な力で行われるため、無理に力を加えて介助しないようにする。；それ以降、会社側はカロザースが仕事を続けることは無理だと判断した。；クレンツはこの群衆を押しとどめるのはもはや無理であると感じていた。；自然にかなったものは無理にされるものとは異なった作用を生じる。；それを無視した上で表現活動をするっていうのは無理だと思うんです。；そして朝青龍が無理に向きを変えようとしたところをついて送り倒した。；それを聞いたア太郎は無理を承知の上で花を咲かせることを決意する。；ファンに気を使って、目の前で無理をして食べてみせることもあったという。；無事だといいが馬は無理させたことで故障することがある。；誰もを幸せにする為に自らの多少の無理はする主義だった。；あの時点では家宅捜索なりを行うことも無理であったとしている。；祖父はこの世話で少し無理して倒れただけで、そう大ごとでは無かったのだ。；そもそも合議制で編纂されたため、個人の著作物とするのは無理がある。；このような質的な労働力の低下と無理な増産も部品の劣質化につながった。；豊田は福留に、攻撃不可能と思える時は無理をすることはないと指示した。；入力環境が無かったり余力が無い場合などでは無理に表記しなくて結構です。；ラーベの報告は実験の詳細がなくとも信頼できるものと考えても特に無理はない。；ただ沼や川での無理な採集がたたって、この頃から胸を病むようになる。；現象的には類似すると言えなくはないが、つながりを考えるのには無理がある。；これをまとめて従わせようとする合衆国の考え自体に無理があった。；ヤガミトールは4曲は無理だと訴えて、2曲はボツにしたと述べている。；そもそも高等学校の学習指導要領に無理があるとする意見もある。；井口から相当離れた鵜沼を井口と一帯として岐陽と呼ぶのも無理がある。；ここでは駅から徒歩で無理なく行けるダムを幾つかご紹介します。；この点からも一茶が芭蕉のような俳句を詠むことには大きな無理があった。</t>
        </is>
      </c>
      <c r="J8217">
        <f>HYPERLINK("https://www.weblio.jp/content/無理", "词义详情")</f>
        <v/>
      </c>
      <c r="K8217">
        <f>HYPERLINK("https://yourei.jp/無理", "查看例句")</f>
        <v/>
      </c>
    </row>
    <row r="8218">
      <c r="A8218" t="inlineStr">
        <is>
          <t>無理やり</t>
        </is>
      </c>
      <c r="B8218" t="inlineStr">
        <is>
          <t>成功</t>
        </is>
      </c>
      <c r="C8218" t="inlineStr">
        <is>
          <t>読み方：むりやり
［副］《「矢理」は当て字》無理と知りながら、強引に行うさま。「ドアを—こじ開ける」「—に飲ませる」</t>
        </is>
      </c>
      <c r="D8218" t="inlineStr">
        <is>
          <t>無理やり連れ；無理やり結婚；無理やり立た；無理やり体；無理やりキス</t>
        </is>
      </c>
      <c r="E8218" t="inlineStr">
        <is>
          <t>強引に；強制的；無理矢理；強制的に；力ずく</t>
        </is>
      </c>
      <c r="F8218" t="inlineStr">
        <is>
          <t>無理やり押し込ん；無理やり従わ；無理やり引き；無理やり乗せ；なかば無理やり</t>
        </is>
      </c>
      <c r="H8218" t="n">
        <v>29</v>
      </c>
      <c r="I8218" t="inlineStr">
        <is>
          <t>第一、不思議でならないのだが、なぜ子供に無理やり詩を作らせるのか。；そうまで言われてしまうと、無理やり、返してくれとも言えなくなって。；内部のDNAは入口の所でその先にある壁のために無理やり曲げられる。；その中でわれわれが無理やりに書かされたことが、なんの証拠になるんだ!；本人はあまり気の進まない様子だったのを頼み込むようにして無理やり。；手紙によると、半ば無理やり、私は家に連れ戻されることになっていた。；その可能性を考えると、無理やりに忘れていた恐怖が鮮明に甦ってくる。；あたしの方こそ最初に騙されて、無理やり縁組させられたんじゃないの。；由佳はそう答えを引き出すことで、無理やり自分を納得させようとした。；無理やりに服まされました、何の薬のせいですか、有る命は死にません。；たったいま細いゴム管の中を無理やり通り抜けてきたような感じだった。；兵士に無理やり中へ入れられたときも、まだうしろをふり返っていました。；それが無理やりに作った笑みであることは、マナガには見え見えだったが。；女王様の一人が中継スタッフに抱きついて無理やりキスをしようとした。；子供時代を無理やり終わりにさせられたアグーは、昔のことを思い出す。；かえって無理やりにありもせぬことを言わせはしないだろうか。；まるで、認めたくないことを無理やり打ち消す私の心のきしみのようだ。；その中の1人が、あたしに抱きついて無理やりキスをしようとしたのだ。；聞かれたくないことを、お互い無理やり聞いたりしないから友達になれたのだ。；大きく何度か呼吸して無理やりに気を鎮め、可能な限り抑制した声を出す。；もっとも浮名の好みは承知していたので、するなら無理やりしかない。；「無理やりこんなとこさ連れてきてな」 女たちはみな息を殺して泣いた。；けれども、無理やりに息子を自分の考えに引きずりこもうとはしなかった。；他にも、特定の企業名を無理やり三文字に略すのもアウトの対象となる。；昨日生玉で無理やり毒を飲ませて死なせたはずの道哲の下部ではないか。；トマス・ベントンは法案に反対して無理やり発言する者達の中に居た。；相手が物を言はぬので、無理やりに、物を言はしむれば勝つのである。；警察は尋問をして、無理やりに罪を認めさせようとするかもしれない。；奴らは俺を無理やりつれ去ったんですが、機関がこわれちゃったんです。</t>
        </is>
      </c>
      <c r="J8218">
        <f>HYPERLINK("https://www.weblio.jp/content/無理やり", "词义详情")</f>
        <v/>
      </c>
      <c r="K8218">
        <f>HYPERLINK("https://yourei.jp/無理やり", "查看例句")</f>
        <v/>
      </c>
    </row>
    <row r="8219">
      <c r="A8219" t="inlineStr">
        <is>
          <t>無料</t>
        </is>
      </c>
      <c r="B8219" t="inlineStr">
        <is>
          <t>成功</t>
        </is>
      </c>
      <c r="C8219" t="inlineStr">
        <is>
          <t>読み方：むりょう
１料金を払わなくてよいこと。無代(むだい)。ただ。「入場—」「—券」⇔有料。
２人のために何かしてもお金を受け取らないこと。「—奉仕」</t>
        </is>
      </c>
      <c r="D8219" t="inlineStr">
        <is>
          <t>無料開放(3%)；無料公開；無料で利用できる；無料配信；無料化</t>
        </is>
      </c>
      <c r="E8219" t="inlineStr">
        <is>
          <t>サービス；おまけ；無償；タダ；フリー</t>
        </is>
      </c>
      <c r="F8219" t="inlineStr">
        <is>
          <t>手数料無料；無料招待；無料提供；無料ダウンロード；無料バス</t>
        </is>
      </c>
      <c r="G8219" t="inlineStr">
        <is>
          <t>無料化；無料配信；無料放送；無料通話；無料ライブ</t>
        </is>
      </c>
      <c r="H8219" t="n">
        <v>29</v>
      </c>
      <c r="I8219" t="inlineStr">
        <is>
          <t>日本では地方の路線などで一部無料の場合があるが、一般に有料である。；これらのものは寄付や自己資金をもとにして利用者に無料で提供される。；この無料航空券は、特に区間の指定が無く全路線に有効なものであった。；加入金が無料となる期間は合併後の2006年3月31日までとされた。；また番組の合間で行なわれている番組案内や天気予報も無料で見られる。；小型のキャリーバッグが入る無料のコインロッカーも新たに設置された。；サイト上で無料で参照できるランキングは一部に限定されている。；その結果、教育の無料化と非識字率の大幅な低下といった成果を上げた。；データ放送は無料で提供されており受信機以外に特別な機材は必要ない。；しかし無料で医療が受けられる範囲は、法定の範囲に限定されている。；いずれのサービスも無料になるのは申込月や契約月の翌月からとなる。；またアメリカやオーストラリアのフリーウェイも基本的に無料である。；オープン当初は離れた場所に無料の臨時駐車場も設け混雑を分散させた。；この雑誌は無料で、市内や周辺地区での約700件の情報が掲載されている。；ここに記述しているものは無料開放される直前当時の通行料金である。；さまざまなOSに応じたソフトを開発サイトから無料で入手できる。；また都市政策的な側面から都心部は無料となっているものが見られる。；なおPSNなどでもゲームソフトが無料で公開されている場合もある。；イベント等の際に根岸駅から無料のシャトルバスが運行されることがある。；アドウェアとは、広告を目的とした通常は無料のソフトウェアである。；他の地域会社の契約の場合は、基本料・無料通信分が異なるプランもある。；なお、同国の教育は憲法に基づき無料であることを義務付けられている。；ここで経由する自動車専用道路はすべて無料で通行することができる。；すなわち州内に入るときは無料であり、出て行くときが有料である。；これは、公立図書館の無料利用の原則の建前への依存によるものである。；同額区間であればどの路線と停留所間でも無料で乗降車が可能となる。；今シリーズよりBS無料局でも地上波との同時期放送が開始された。；韓国の食堂ではキムチが無料で提供されるが、これが再利用される問題がある。；本会員の家族に家族カードを発行する事が可能で年会費は無料。</t>
        </is>
      </c>
      <c r="J8219">
        <f>HYPERLINK("https://www.weblio.jp/content/無料", "词义详情")</f>
        <v/>
      </c>
      <c r="K8219">
        <f>HYPERLINK("https://yourei.jp/無料", "查看例句")</f>
        <v/>
      </c>
    </row>
    <row r="8220">
      <c r="A8220" t="inlineStr">
        <is>
          <t>群れ</t>
        </is>
      </c>
      <c r="B8220" t="inlineStr">
        <is>
          <t>成功</t>
        </is>
      </c>
      <c r="C8220" t="inlineStr">
        <is>
          <t>読み方：むれ
１たくさんの人や生物が集まっている状態。あつまり。むらがり。「水牛が—をなす」
２なかま。同類。やから。「無頼(ぶらい)の—に身を投ずる」</t>
        </is>
      </c>
      <c r="D8220" t="inlineStr">
        <is>
          <t>群れ全体；群れみたい；群れ飛ぶ；群れ集う；群れなす</t>
        </is>
      </c>
      <c r="E8220" t="inlineStr">
        <is>
          <t>グループ；仲間；群；連中；バンド</t>
        </is>
      </c>
      <c r="F8220" t="inlineStr">
        <is>
          <t>小さな群れ；小規模な群れ；大規模な群れ；ひと群れ；葉群れ</t>
        </is>
      </c>
      <c r="G8220" t="inlineStr">
        <is>
          <t>群れよ</t>
        </is>
      </c>
      <c r="H8220" t="n">
        <v>29</v>
      </c>
      <c r="I8220" t="inlineStr">
        <is>
          <t>この群れは冬になるとほぼ解消されるが、冬でも群れていることがある。；非繁殖期には家族群が集まった、大規模な群れを形成して生活していた。；雄は成長すると群れを離れ、やがて力をつけると、群れをもつ雄と戦う。；家族を基本にした5羽程度の群れで行動し、繁殖は群れで共同して行う。；例えば、群れを作る動物は数が少ないと問題を生じる例が少なくない。；それは若いトリケラトプスだけで群れを作っていた可能性を示唆する。；単独やペアで生活するが、小規模な群れを形成して生活することもある。；また、群れの仲間が死んだ場合に葬式ともとれる行動をとることがある。；同じくらいの大きさの個体同士で群れを作り、外洋域を高速で回遊する。；これは群れというより、生息環境で規定された結果的な集団と見た方がよい。；また、全長40cm程度の若い個体が群れを作ることも報告されている。；記録も詳細になり、被害の様子や群れの移動の様子も書かれるようになった。；足跡化石からは群れを作り四足歩行で移動していたことがわかっている。；多くの種は単独で生活するが、一部の種は群れを形成して生活する。；複数の異性が含まれる十数頭から100頭以上の群れを形成して生活する。；また返礼をしない個体は仲間からの援助を失い、群れから追い出される。；通常は単独でいるが、20-50匹の群れを作ることも記録されている。；単独で生活するが、渡りの途中には小規模な群れを形成する事もある。；渡りの時期には小さな群れを作り、市街地の公園で観察されることもある。；他種に対しては攻撃的だが同種には寛容で、日中には大きな群れを作る。；単独もしくは母親と幼獣からなる数頭の群れを形成することが多い。；渡りの時期には大きな群れを作り、平地でも普通に観察されるという。；群れの雄を倒すと、その群れの雌と交尾をすることができるようになる。；彼はこれを群れで行動していたことの根拠であると主張した。；すると、北から鳥の群れが飛んできて、蝗を食べ尽くしてしまいました。；遊牧的な生活を送る雌が新たな群れに加わるのは雄よりも遥かに難しい。；以前は数万頭に達する大規模な群れを形成していたとされる。；若い個体はおそらく身を守るため、緩く大きな群れを作ることが知られる。；するとその鳥はまた群れに戻って旅を続けていったのである。</t>
        </is>
      </c>
      <c r="J8220">
        <f>HYPERLINK("https://www.weblio.jp/content/群れ", "词义详情")</f>
        <v/>
      </c>
      <c r="K8220">
        <f>HYPERLINK("https://yourei.jp/群れ", "查看例句")</f>
        <v/>
      </c>
    </row>
    <row r="8221">
      <c r="A8221" t="inlineStr">
        <is>
          <t>無論</t>
        </is>
      </c>
      <c r="B8221" t="inlineStr">
        <is>
          <t>成功</t>
        </is>
      </c>
      <c r="C8221" t="inlineStr">
        <is>
          <t>読み方：むろん
［副］論じる必要のないほどはっきりしているさま。言うまでもなく。もちろん。「飛行機は—のこと、車も使わない」「—そのとおりだ」</t>
        </is>
      </c>
      <c r="D8221" t="inlineStr">
        <is>
          <t>無論そんなこと；無論さう；無論そうした；無論好い；無論分ら</t>
        </is>
      </c>
      <c r="E8221" t="inlineStr">
        <is>
          <t>当然；確かに；勿論；もち；成程</t>
        </is>
      </c>
      <c r="F8221" t="inlineStr">
        <is>
          <t>無論決して；可きは無論；云えば無論；併し無論；言へば無論</t>
        </is>
      </c>
      <c r="H8221" t="n">
        <v>29</v>
      </c>
      <c r="I8221" t="inlineStr">
        <is>
          <t>しかしそれがどんな事情のもとになされたものかは俺には無論解らない。；この場合も無論、私は少しだって疑いを受ける心配はありませんでした。；無論詩を書くといふ事は何人にあつても「天職」であるべき理由がない。；彼らも茶をやっておれば無論立派な書画であったと思うのであります。；かくの如き重大なる責任はこれを誰が持つかといえば、無論諸君である。；それと伴って必ず他の伴出遺物にも注意せねばならぬは無論であろう。；無論、JISに規定する建物雷対策システムなどにそのまま適用できる。；無論この手紙を送ったのは二葉亭と議論する意でも何でもなかった。；激情の過ぎ去った後の父は、無論その時ほどには私を憎みはしなかった。；あとで女房から証跡を発見されてはいけないと無論考えたのである。；無論一旦臣籍を継いだものが、天位に即きうべき資格のあろう筈はない。；無論、著者と出版社の間で交渉して、任意の値に設定することもできる。；その表現にしてからが、無論最上最的確のもので無ければならないのだ。；渠は、無論、主人の命令通り動かなければならないからと義雄に語つた。；私は無論、母がつれ出すときと話が大分違っているのを知っていた。；卒業して後は無論知らない嫌やな家庭に入らねばなりません。；そんなわけで、舐め筆の娘との縁談も無論お流れになってしまいました。；無論瀑に心当たりはなく、考えられるとすれば兄である漣の存在だった。；無論従来車との併結も不可能であり、終始本系列同士で編成を組んでいた。；無論、最初からここへ死体を隠すつもりで、見当をつけて置いたのだろう。；ここで法律といふ言葉は、無論、政治を含んでゐるものと解して欲しい。；また朝鮮人で立派な地位に上っている者も無論多い事であります。；要求に應じていい加減な原稿を送つてやらないのは無論のことである。；無論そういう事も含まれていたであろうが、彼等の真の目的はもっと別の所にあった。；無論通常のこの用語の用法は、空力作業の役割分担上でのトップとなる。；無論、空母でこのような命令が出されたのはこれが史上唯一である。；無論、あの仏像や仏画を偽物とすり変えたのも君の知ったことではない。；五十嵐博士は無論君のお母さんが第二代の混血児であることは知らなかった。；しかし肝心の機関長の姿もなければ、無論岩の姿も発見されなかった。</t>
        </is>
      </c>
      <c r="J8221">
        <f>HYPERLINK("https://www.weblio.jp/content/無論", "词义详情")</f>
        <v/>
      </c>
      <c r="K8221">
        <f>HYPERLINK("https://yourei.jp/無論", "查看例句")</f>
        <v/>
      </c>
    </row>
    <row r="8222">
      <c r="A8222" t="inlineStr">
        <is>
          <t>目</t>
        </is>
      </c>
      <c r="B8222" t="inlineStr">
        <is>
          <t>成功</t>
        </is>
      </c>
      <c r="C8222" t="inlineStr">
        <is>
          <t>読み方：ぼく
⇒もく</t>
        </is>
      </c>
      <c r="D8222" t="inlineStr">
        <is>
          <t>目を丸く；目を輝か；目蓋；目指名</t>
        </is>
      </c>
      <c r="E8222" t="inlineStr">
        <is>
          <t>見；眼；部；種；命</t>
        </is>
      </c>
      <c r="F8222" t="inlineStr">
        <is>
          <t>巡目；お目；本項目；ひどい目；段目</t>
        </is>
      </c>
      <c r="G8222" t="inlineStr">
        <is>
          <t>目標；目指し；目指す；目撃；目立つ</t>
        </is>
      </c>
      <c r="H8222" t="n">
        <v>29</v>
      </c>
      <c r="I8222" t="inlineStr">
        <is>
          <t>宇宙・航空に目をつけたのは、1950年代前半の渡米のころとされる。；通常目にすることはできず、謀叛などで独立しないと見ることができない。；このため、人間の目の残像特性を利用した飛び越し走査方式を採用した。；彼は四人兄弟の三人目で、幼いガガーリンの世話は姉が行うこともあった。；このために、マカオの人々は伝統的に海に目を向けて生計を立ててきた。；これにより、国内3大タイトルを全て獲得した5つ目のクラブとなった。；世界の諸都市のうち人口は25番目に多く、都市圏では18番目に多い。；地球型惑星としては最大であり、全惑星の中では5番目の大きさである。；電話通信には目に見えないところで大きな変化も起きている。；目で見たり、触れて感じたりすることのできないことを意味する。；その飲んでいる写真が新聞の記事になり牛乳会社の目に止まった。；この時期にはゼウスも他の女に目もくれずにヘーラーと愛し合うという。；現在の日本ルールでは、6目半を先手の黒が負担しなければならない。；これは2番目に傾斜が小さい木星の値に比べてもと非常に小さい値である。；第十一代天皇の活目入彦は諸国に多くの池溝を開いて農業を盛んにした。；また、17世紀半ばにはムスリムの農民集団が目につくようになっている。；マスクの白い縁取りの目の部分が尖っていないタイプの戦闘員もいる。；同時に城下町も碁盤目状に整備され、家臣や商人・職人などが定住した。；方程式には様々な種類があり、数学のすべての分野において目にする。；C型の1段目のモータケースを延長し、打ち上げ能力を大幅に強化した。；これにより、目には見えないが光のようなものが装置から出ていることを発見した。；暗い場所で目を慣らすと、より多くの星が見えてくるようになる。；世界で4番目に高い像であり、また世界で最も高い観音像でもある。；実際に目にするものは、よく整形され視覚化された文書だけである。；クリケットはサッカーに次いで2番目に人気のスポーツとなっている。；燃料タンクはジュピターCの1段目と同様の延長拡大されたものを用いた。；一方でこの独占は、国からも目をつけられる程のものであった。；いうまでもなく鼻の処置であるため、目の症状には効果はない。；周期表の考えは発表当初は疑いの目で見るものも多かった。</t>
        </is>
      </c>
      <c r="J8222">
        <f>HYPERLINK("https://www.weblio.jp/content/目", "词义详情")</f>
        <v/>
      </c>
      <c r="K8222">
        <f>HYPERLINK("https://yourei.jp/目", "查看例句")</f>
        <v/>
      </c>
    </row>
    <row r="8223">
      <c r="A8223" t="inlineStr">
        <is>
          <t>芽</t>
        </is>
      </c>
      <c r="B8223" t="inlineStr">
        <is>
          <t>成功</t>
        </is>
      </c>
      <c r="C8223" t="inlineStr">
        <is>
          <t>読み方：が
［音］ガ（漢）　［訓］めめぐむ
［学習漢字］4年
〈ガ〉
１草木のめ。「腋芽(えきが)・肉芽・胚芽・麦芽・発芽・葉芽」
２物事がめばえる。きざす。「萌芽(ほうが)」
〈め〉「新芽・若芽」
［名のり］めい</t>
        </is>
      </c>
      <c r="D8223" t="inlineStr">
        <is>
          <t>芽鱗(3%)；芽細胞；芽球；芽山；芽を出さ</t>
        </is>
      </c>
      <c r="E8223" t="inlineStr">
        <is>
          <t>芽生え；蕾；双葉；新芽；二葉</t>
        </is>
      </c>
      <c r="F8223" t="inlineStr">
        <is>
          <t>側芽；新しい芽；敏感な芽；青い芽；小さな芽</t>
        </is>
      </c>
      <c r="G8223" t="inlineStr">
        <is>
          <t>芽胞；芽生える；芽ばえ；芽吹き；芽吹い</t>
        </is>
      </c>
      <c r="H8223" t="n">
        <v>29</v>
      </c>
      <c r="I8223" t="inlineStr">
        <is>
          <t>その姿勢が弟子の可能性の芽を摘んでいたことも否定できない面である。；そのような場合、それが葉であれば、枝との接点に芽があるはずである。；成長を止めた先端は小さな芽状になっており、この部分は毛に覆われている。；秋に葉の塊の中心から、まだ開いていない棘状の葉の芽が伸び始める。；一般に、先端の成長点が活動を続ける間は、この芽の活動が抑えられる。；また、芽をたべることで同じような効果が期待できると言われている。；民衆はあくまで内政の中での腐敗に悪役の芽を見出していたことである。；この休芽は水鳥の足などにも付着し、遠くに運ばれることもあるらしい。；そのうち一つだけが活動している場合でも、他の芽が動き始める可能性がある。；第六の一書も本書とほぼ同様に葦の芽のような物体から神が生まれた。；インフゾリゲンの発生も蠕虫型幼生の発生と同様に軸芽細胞から起こる。；またナマケモノがこの植物の葉や芽を主食としているのもよく知られている。；従って高芽が出ると繁殖はさせられるものの花が見られなくなる。；芽に綿毛があるので近縁のヨーロッパカラマツとは簡単に見分けがつく。；紫芽白は晩生種で草勢は強く、品質こそ中の上であるが収量は多かった。；芋から発芽した芽や光に当たって緑色になった皮などに有害物質を含む。；特に分化した生殖個虫の側面に多数のクラゲ芽を発達させる例もある。；根元からも芽を出して株立ちになりながらも、匍匐茎を出すものもある。；豊作のための模像の死骸を君は昨年 君の畑に植えたが、芽が出たかい?；頂芽が損傷等によって活動しなくなった場合には側芽が活動を始める。；また、花茎が倒れて土や水に付いた場合、芽を出すのが見られることがある。；また、茎から水平に枝を伸ばし、その先端に芽が生じて新しい株を作る。；種子もよく取れるが、根を切って不定芽を出させることでも繁殖させる。；その他、群体性の種では走根から一種の休芽を形成することが知られる。；多くのものは冬を休芽で過ごし、春になると発芽して群体を形成する。；それゆえ芽の収束列について話すことはほとんどあるいは全く意味がない。；産毛が多く、一芽一葉の葉が芽と同じ位の大きさであるほど、高級品である。；ところが、皮肉にもあらゆる勢力が結集したことが、分裂の芽を生じさせた。；女優としても芽が出ず、今は地方を巡業して回る日々を過ごしている。</t>
        </is>
      </c>
      <c r="J8223">
        <f>HYPERLINK("https://www.weblio.jp/content/芽", "词义详情")</f>
        <v/>
      </c>
      <c r="K8223">
        <f>HYPERLINK("https://yourei.jp/芽", "查看例句")</f>
        <v/>
      </c>
    </row>
    <row r="8224">
      <c r="A8224" t="inlineStr">
        <is>
          <t>目当て</t>
        </is>
      </c>
      <c r="B8224" t="inlineStr">
        <is>
          <t>成功</t>
        </is>
      </c>
      <c r="C8224" t="inlineStr">
        <is>
          <t>読み方：めあて
１目標とするもの。目印。「真っ暗で—になるものがない」「灯台を—に進む」
２心の中で目指しているもの。行動のねらい。目的。「—の品」「金—」
３物事を行う場合などの基準。見当。「だれに頼めばいいか—をつけておく」「就職の—がついた」
４銃のねらいを定めるための突起物。照星(しょうせい)。</t>
        </is>
      </c>
      <c r="D8224" t="inlineStr">
        <is>
          <t>用；目的；機能；対象；意識</t>
        </is>
      </c>
      <c r="H8224" t="n">
        <v>29</v>
      </c>
      <c r="I8224" t="inlineStr">
        <is>
          <t>そこでこちらは、お目当ての門まで誰にも邪魔されずに進んで行った。；夫は死んでるけど、保険金目当てに彼女が殺した疑いまであるくらいだ。；自分たちを目当てに来てくれた人が200人もいることに感動したという。；もうとっくにお目当てのものの前を通り過ぎちゃったかもしれないのよ。；一方でドラベッラは1回目の結婚と同じく金が目当ての可能性が大きい。；彼は、石狩場所を目当てにして募られた漁夫のうちにいた一人であった。；昼間は通りの両側の歩道で観光客の目当てに様々な物売りが露店を開く。；部品として用いられている銅などの金属の売買が目当てと見られている。；わたしは足の向くままに、目当てもなく望みもなく気がねもなく歩いた。；歩き方や雰囲気から、明確にお目当てとするもはなさそうだと感じた。；バーでお目当ての女性を食事に誘うには、並々ならぬ努力がいるときく。；でもきっと違うわ、きっと違うわ、 わたしが目当てじゃありませんわね。；しかし実際はラマーの友人の多くはリーの心配通りに金目当てである。；私は個人的にこの仕事に惹かれたのであって、報酬が目当てではない。；露払いの半リューほど後ろには、群集の目当てである皇帝の馬車がいた。；彼のたずね求めんとするところには、おのずから一定の目当てがある。；上記の水犀の口伝からアジアに分布するサイが角を目当てに乱獲された。；期間中は関東近郊のみならず全国からこのイベント目当てに大勢の人が訪れる。；奴はもらうだけのものはもらってしまったし、金だけが目当てだったのですからね。；金目当てだったら、最初から好きな額の身代金を要求すればよかったはずだ。；それにまた、何が目当てでこんなところに横になっているんです。；恐竜の化石を目当てにしていなかったために発見できた化石であった。；これは、同じく賞金目当てに来る者たちへの警告の意味を兼ねていた。；野々山はその金庫の中に、目当てのアルバムが入っていることを確信した。；この頃から懸賞金目当てで様々な文学賞へ小説を送るようになる。；目当ての娘の友だちの信頼を得ることも同様に重要である、という。；すると、多くの人々がアートよりも音楽目当てで訪れるようになっていった。；どうせそうなるなら、始めから金を目当てに何かやった方が良さそうにさえ思えます。；こちらは、十二時過ぎまで、おみやげ目当ての子供のように待っていた。</t>
        </is>
      </c>
      <c r="J8224">
        <f>HYPERLINK("https://www.weblio.jp/content/目当て", "词义详情")</f>
        <v/>
      </c>
      <c r="K8224">
        <f>HYPERLINK("https://yourei.jp/目当て", "查看例句")</f>
        <v/>
      </c>
    </row>
    <row r="8225">
      <c r="A8225" t="inlineStr">
        <is>
          <t>姪</t>
        </is>
      </c>
      <c r="B8225" t="inlineStr">
        <is>
          <t>成功</t>
        </is>
      </c>
      <c r="C8225" t="inlineStr">
        <is>
          <t>読み方：めい
自分の兄弟姉妹の娘。⇔甥(おい)。</t>
        </is>
      </c>
      <c r="D8225" t="inlineStr">
        <is>
          <t>姪たち(2%)；姪孫；姪御さん；姪ごさん；姪達</t>
        </is>
      </c>
      <c r="E8225" t="inlineStr">
        <is>
          <t>姪御；姪っ子；姪御さん</t>
        </is>
      </c>
      <c r="F8225" t="inlineStr">
        <is>
          <t>小さな姪；義姪；美しい姪；皇姪；愚姪</t>
        </is>
      </c>
      <c r="G8225" t="inlineStr">
        <is>
          <t>姪浜駅；姪っ子；姪の浜；姪娘；姪浜車両基地</t>
        </is>
      </c>
      <c r="H8225" t="n">
        <v>29</v>
      </c>
      <c r="I8225" t="inlineStr">
        <is>
          <t>被害者には著名な作家キングズリー・エイミス卿の姪も含まれていた。；子供のない伯爵夫妻は、母親を亡くした姪孫を引き取って養育していた。；姪夫婦が梨本家の後継者となったことに、香淳皇后は大変喜んだという。；姪と結婚したレオン・ボエルマンもやはり優れたオルガニストであった。；まもなく現在グレイスランドと呼ばれる部分は彼女の甥と姪に与えられた。；織田信長の姪である少女・江は幼い頃からとある夢を見る事がある。；浜田は、当時10代半ばだった姪をイメージして本作を作ったという。；島崎藤村が姪の島崎こま子と関係を持った自身の実話をモデルにしている。；晩年、姪に当たるジノヴィエワ夫人と結婚したが、子どもはいなかった。；ネポスは東方領土のローマ皇帝であるレオ1世の妻の姪と結婚していた。；ジャンは貧しさから甥と姪のためにパンを一切れ盗んで警察に逮捕される。；現在は、実姉の娘である姪が立木久美子の芸名で歌手活動を行っている。；一時期は子供が欲しかったが、姪ができて母性本能が満たされたという。；なお正男の兄は三菱自動車工業の社長を務めた舘豊夫の姪と結婚した。；そんな五右衛門の元に信長の姪・浅井茶々の護衛の任を与えられる。；当時勤めていた会社の社長の姪と結婚していた。；叔父のバイエルン王は姪夫婦の屋敷としてバンベルクの新宮殿を譲った。；パッティ自身には子どもはいなかったが、彼女は甥や姪と親しかった。；一方、夫を奪われた格好のすえは、姪のあいに始終嫌味を言い続けている。；将軍は話を再開し、姪を医者に診てもらった際のことを語りだす。；命名に向けて姪孫であるイブキが後押ししたと報道されている。；父・憲賢が成田長泰と結んだ際に姪とされる太田資時の娘を正室に迎えた。；そんな中、初之輔の姪である里子が家出をして東京から大阪へやってきた。；この中で長年謎の歌手とされていた森田童子がなかにしの姪であったことが明らかにされた。；若い女性の写真が添えられているが、これは真の作者が自分の姪の写真を使ったものと言われている。；実行犯は、社長の姪の恋人の差別問題も関係があると仄めかしていた。；そのシュガがもちかけてきた相談が、おまえの姪っ子の話とそっくりなんだよ。；レカは姪のリサ・ストーリー にも自身がクーパーであることを告白した。；なお、このころに利家の妻・まつの姪である末守殿を妻に迎えた。</t>
        </is>
      </c>
      <c r="J8225">
        <f>HYPERLINK("https://www.weblio.jp/content/姪", "词义详情")</f>
        <v/>
      </c>
      <c r="K8225">
        <f>HYPERLINK("https://yourei.jp/姪", "查看例句")</f>
        <v/>
      </c>
    </row>
    <row r="8226">
      <c r="A8226" t="inlineStr">
        <is>
          <t>名～</t>
        </is>
      </c>
      <c r="B8226" t="inlineStr">
        <is>
          <t>成功</t>
        </is>
      </c>
      <c r="C8226" t="inlineStr">
        <is>
          <t>読み方：な
１ある事物を他の事物と区別するために、それに対応するものとして与える、言語による記号。名前。
㋐一般に、その事物の呼び方。「人と—の付く生き物」「花の—」
㋑ただ一つしか存在しないものとしての、その事物の固有の呼び方。「富士という—の山」「—もない島」
㋒その人の、固有の呼び方。氏名。姓名。また、姓に対して、家の中でその人を区別する呼び方。「初対面で—を名乗る」「子に—を付ける」
㋓その集団・組織などの呼び方。「学校の—」
２集団・組織などを代表するものとして、表向きに示される呼び方。名義。「会社の—で登記する」
３
㋐評判。うわさ。「好き者の—が広がる」
㋑名声。名誉。「世に—の聞こえた人物」「家の—を傷つける」
㋒守るべき分際。名分。→名を正す
４
㋐うわべの形式。体裁。「会社とは—ばかりの個人経営」
㋑表向きの理由。名目。「福祉事業の—で営利をむさぼる」
[下接語] 徒(あだ)名・渾(あだ)名・宛(あて)名・家名・一名・浮き名・氏(うじ)名・烏帽子(えぼし)名・大(おお)名・贈り名・幼(おさな)名・男名・替え名・隠し名・仮(か)名・唐(から)名・国名・源氏名・小路(こうじ)名・小(こ)名・醜(しこ)名・通り名・殿名・暖簾(のれん)名・又の名・真(ま)名・物の名・大和(やまと)名・呼び名・童(わらわ)名</t>
        </is>
      </c>
      <c r="H8226" t="n">
        <v>0</v>
      </c>
      <c r="J8226">
        <f>HYPERLINK("https://www.weblio.jp/content/名～", "词义详情")</f>
        <v/>
      </c>
      <c r="K8226">
        <f>HYPERLINK("https://yourei.jp/名～", "查看例句")</f>
        <v/>
      </c>
    </row>
    <row r="8227">
      <c r="A8227" t="inlineStr">
        <is>
          <t>明暗</t>
        </is>
      </c>
      <c r="B8227" t="inlineStr">
        <is>
          <t>成功</t>
        </is>
      </c>
      <c r="C8227" t="inlineStr">
        <is>
          <t>読み方：めいあん
１明るいことと暗いこと。転じて、物事の明るい面と暗い面。成功と失敗、幸と不幸など。「人生の—」「—を分ける」
２絵画・写真などで、色の濃淡や明るさ・暗さの対照。「—をはっきりさせ立体感を出す」
[補説]書名別項。→明暗</t>
        </is>
      </c>
      <c r="D8227" t="inlineStr">
        <is>
          <t>明暗二つ；明暗界線；明暗サイクル；明暗先生；明暗差</t>
        </is>
      </c>
      <c r="E8227" t="inlineStr">
        <is>
          <t>陰陽；光と影；プラスとマイナス</t>
        </is>
      </c>
      <c r="F8227" t="inlineStr">
        <is>
          <t>くっきりと明暗</t>
        </is>
      </c>
      <c r="G8227" t="inlineStr">
        <is>
          <t>明暗境界線；明暗寺；明暗対山流；明暗真法流</t>
        </is>
      </c>
      <c r="H8227" t="n">
        <v>29</v>
      </c>
      <c r="I8227" t="inlineStr">
        <is>
          <t>今迄は明暗だけは分つてゐたのが、それが全く見えなくなつてしまつた。；だがこのことが、戦前からの歌手にとっては明暗を分けることになった。；そこには俗界の生活とのあいだにはっきりと明暗黒白のけじめが出来る。；明るくもなく、暗くもなく、明暗の度を全く超越した、ただの空間です。；義貞の時代のことはこのシリーズ第二巻『中世の明暗』に記されていた。；明暗を分ける線はなく、どこからが夜でどこからが朝なのか判然としない。；緑の明暗が交錯するなかに浮遊するのは、ほどけかけた花ばかりである。；人物の明暗が明確なため、2人が光を囲んでいるような効果を与えている。；一千万年前の太陽の周期はいまよりはるかに短く、明暗の差も少なかった。；やはり、あの一枚の布きれが若い人生の明暗をわけたのだろうか。；一九六五年には明暗を分けた植村と松浦のドラマがこれから展開していくのだ。；それ以来明暗だけは分るが、ものの形は見わけがつかぬやうになつた。；冬の樹木と石が、深い水の底のように濡れた明暗をつくっていた。；過ぎて行く時間を示すのは、ただこの一筋の明暗の交替ばかりだった。；その冬の猟で一家の明暗が決まることを、身に染みて経験しているからだ。；望遠鏡は使わず、目で観察した月の表面の明暗を図に残している。；明暗が険しい波に押しあげられそうになって、漁師が一人網を打っていた。；光線は松林の間から洩れて、草と、白い地上に明暗の斑をつくっていた。；翠の濃い渓の空気が山の影を宿して、其処に面白い明暗の対照があった。；勝者敗者の明暗がくっきりと分かれて共にまさに人生の分岐点となった。；これが中生代における両者の明暗を分けることになった可能性がある。；漏斗型に電燈の被いが部屋のなかの明暗を区切っているような窓もあった。；この明暗の効果を巧みに用いている点は本作品の最も重要な点として挙げられる。；このころには、傷をおった男たちの明暗が、はっきりとわかれていた。；天が同血から出た二人の人生をこのような明暗二色に染めわけたものは、何だったのか?；近づいた青年の微笑の顔も明暗がはっきりしていた。；また物や人間の価値をも「明暗」を基準に判断する風潮が生まれた。；本作品の最も重要な特徴の1つは背景における明暗の効果である。；ホールの内と外とで、さっきとは明暗が逆になっていた。</t>
        </is>
      </c>
      <c r="J8227">
        <f>HYPERLINK("https://www.weblio.jp/content/明暗", "词义详情")</f>
        <v/>
      </c>
      <c r="K8227">
        <f>HYPERLINK("https://yourei.jp/明暗", "查看例句")</f>
        <v/>
      </c>
    </row>
    <row r="8228">
      <c r="A8228" t="inlineStr">
        <is>
          <t>明確</t>
        </is>
      </c>
      <c r="B8228" t="inlineStr">
        <is>
          <t>成功</t>
        </is>
      </c>
      <c r="C8228" t="inlineStr">
        <is>
          <t>読み方：めいかく
［名・形動］はっきりしていてまちがいのないこと。また、そのさま。「—な指示を与える」「立場を—にする」
[派生]めいかくさ［名］</t>
        </is>
      </c>
      <c r="D8228" t="inlineStr">
        <is>
          <t>明確化(3%)；明確な定義；明確な基準；明確な証拠；明確な区別</t>
        </is>
      </c>
      <c r="E8228" t="inlineStr">
        <is>
          <t>明らか；はっきり；きっと；必ず；正確</t>
        </is>
      </c>
      <c r="F8228" t="inlineStr">
        <is>
          <t>明確な線引き；明確な目的意識；明確な殺意；明確な乾季；明確な役割分担</t>
        </is>
      </c>
      <c r="G8228" t="inlineStr">
        <is>
          <t>明確性の原則</t>
        </is>
      </c>
      <c r="H8228" t="n">
        <v>29</v>
      </c>
      <c r="I8228" t="inlineStr">
        <is>
          <t>明確に子ども向けに作られた書物は17世紀までには既に存在していた。；他に以下の呼称があるが、これらの中には定義が不明確なものも多い。；このように多くの研究があるものの、明確な起源は今なお判明していない。；これらの名前が何の意味かは色々な解釈があるが明確には分からない。；各分野間には関連領域が存在するため明確に区別することは難しい。；映画をジャンル分けする際の明確な定義というものがある訳ではない。；なお、この区別は便宜的なもので分類上においては明確なものではない。；また、その仮説を立てた大まかな理由もある程度明確にしておくとよい。；日本のアニメを中心に通用しているものの、明確に定義されてはいない。；これは、値と参照を明確に区別するPascalなどとは対照的である。；一家を名称とするのは、明確ではないが明治・大正期に多く使われている。；つまり兵器名と核弾頭の形式番号が明確に分離されるようになったのである。；の中で、両陣営は長期的な戦争目的を明確にしなければならなかった。；しかし、各分野間には関連領域が存在するため明確に区別することは難しい。；末期には日本国内の店舗は長野県を除き営業エリアが明確に分けられていた。；前484年説がしばしば採用されるが、明確な根拠を伴ったものではない。；ただし現時点では明確な区分の基準が規定されているものではない。；ただし郊外など二つの管轄から外れる地域では明確な区別がないともいえる。；また、アリアとレチタティーヴォも明確には区別されなくなっていった。；コラード系は日本では明確に区別されず一般にケールと呼ばれている。；学派としての中観派が明確な形で形成されたのは6世紀の初め頃である。；これが明確に子どもに向けて書かれた最初の絵入り本であると考えられている。；古い時代においてはそれぞれの王号に地位上の明確な差異はなかった。；この各々の段階の信仰内容はどうであったのかを分析・研究し、明確にする。；また、明確に人と神とを隔てる特徴の一つが神が不死であることであった。；適当な条件の下では、この議論をもっと明確化することができる。；名詞だけ見る限り所属クラスが不明確な場合でも一致を確かめれば分かる。；かつては温度と熱の概念の区別が明確にされていなかった。；統一された明確な定義は無く団体や機関による様々な定義がある。</t>
        </is>
      </c>
      <c r="J8228">
        <f>HYPERLINK("https://www.weblio.jp/content/明確", "词义详情")</f>
        <v/>
      </c>
      <c r="K8228">
        <f>HYPERLINK("https://yourei.jp/明確", "查看例句")</f>
        <v/>
      </c>
    </row>
    <row r="8229">
      <c r="A8229" t="inlineStr">
        <is>
          <t>名作</t>
        </is>
      </c>
      <c r="B8229" t="inlineStr">
        <is>
          <t>成功</t>
        </is>
      </c>
      <c r="C8229" t="inlineStr">
        <is>
          <t>読み方：めいさく
すぐれた作品。名高い作品。</t>
        </is>
      </c>
      <c r="D8229" t="inlineStr">
        <is>
          <t>名作映画(2%)；名作選；名作集；名作アニメ；名作全集</t>
        </is>
      </c>
      <c r="E8229" t="inlineStr">
        <is>
          <t>傑作；大作；名曲；名画；名著</t>
        </is>
      </c>
      <c r="F8229" t="inlineStr">
        <is>
          <t>世界名作；大名作；古典名作；代表する名作；怪奇探偵小説名作</t>
        </is>
      </c>
      <c r="G8229" t="inlineStr">
        <is>
          <t>名作ゲーム；名作歌舞伎全集</t>
        </is>
      </c>
      <c r="H8229" t="n">
        <v>29</v>
      </c>
      <c r="I8229" t="inlineStr">
        <is>
          <t>J・C・チャンダー監督の印象に残る作品群にまた一つ名作が加わった。；本作に登場する人物はほとんどが名作物語の人物をモデルにしている。；作家の方にも、禁止されるようなものばかりが名作とは限っていない。；かくの如くして古代の名作は出来上っている事が頗る多いのである。；また小デュマの名作『椿姫』を中国語に翻訳したことでも知られている。；本作はいくつものゲームに影響を与えた作品であり、ゲーム史に残る名作である。；小学校に上がると、毎週土日に父と名作映画を見続けるのが習慣となった。；同作は舞台劇の古典的名作を見事に映画化した作品であると言える。；宝塚歌劇の過去の名作を、ストーリー・ナビゲーションを軸に紹介する。；名作名品、芸道のこととなると常人の目の届かぬところがあろうからな。；コブラ社最大の人気作と同時に、以降語り継がれる名作となったのである。；今日でも名作と呼ばれる作品に出演したことで知られる。；レイは自身の作品や過去の名作をリリースするレトロメディアの代表である。；またパブリックドメインと判断した名作映画のDVDを中心に販売している。；名作日本劇場では、映画に限らず旧作のテレビドラマの放送などもある。；ヒット作や名作とされる作品を全く放送しなかった訳ではない。；それで観客は家でテレビを観る、あるいは昔の名作をビデオを見るようになる。；それは実に美意識からできた名作ではなく、平凡な雑器の類であった。；そして最後には自らが復活させたメゾチントに没頭、数々の名作を発表した。；明治、大正の文壇で名作として残るものが、一体いくらあると思うのだ。；この分野で発表される作品には名作も数多く見られる。；リリースされた作品はトーキー以降1960年代頃までの名作を中心としていた。；八時から十二時まで「世界名作」いゝのか悪いのか見当つかなくなる。；今日でも名作短編としてアンソロジー収録で取り上げられることが多い。；続編には過去の名作だけではなく、新しく設計された新作も多く発売されている。；保護者でもあって、気楽に勉強が出来ると名作も出して見せるがな。；クローンたちの証言などから、名作映画はある程度おさえていた様子。；特にフランスのオペラ、オペレッタの演出で名作を多く制作している。；ミニシアターや昔の名作を観に名画座に一人で足を運ぶこともある。</t>
        </is>
      </c>
      <c r="J8229">
        <f>HYPERLINK("https://www.weblio.jp/content/名作", "词义详情")</f>
        <v/>
      </c>
      <c r="K8229">
        <f>HYPERLINK("https://yourei.jp/名作", "查看例句")</f>
        <v/>
      </c>
    </row>
    <row r="8230">
      <c r="A8230" t="inlineStr">
        <is>
          <t>名産</t>
        </is>
      </c>
      <c r="B8230" t="inlineStr">
        <is>
          <t>成功</t>
        </is>
      </c>
      <c r="C8230" t="inlineStr">
        <is>
          <t>読み方：めいさん
その土地の名高い産物。</t>
        </is>
      </c>
      <c r="D8230" t="inlineStr">
        <is>
          <t>名産物(3%)；名産菓子；名産館</t>
        </is>
      </c>
      <c r="F8230" t="inlineStr">
        <is>
          <t>地元名産；京都名産；名産地として有名</t>
        </is>
      </c>
      <c r="H8230" t="n">
        <v>29</v>
      </c>
      <c r="I8230" t="inlineStr">
        <is>
          <t>この地域はコーヒーの名産地であり、ブコバ・コーヒーの名で知られる。；この付近は地下水が豊富で古くからの日本酒の名産地として知られている。；本枠は、世界の名所・名産・人気者などを紹介する番組を主に放送していた。；経済的にも商業的にも非常に重要な地で、繊維業と布が名産であった。；西目では稲作が中心だが、他にもリンゴとリンゴジュースが名産である。；かつてはこの滝の水を使って、牟岐町名産のういろうが作られていた。；基本的には千葉県の人や名産など、生放送で地域情報を伝える番組である。；主人は、暴風の名産地石垣島の出身で、本来は絵の方の人なのである。；出場チームは、各地区の名産・地理・人物をモデルにした選手で構成されている。；このような物の交流は各地で起こっているが、これが現在の名産物になっている地域も多い。；古くから塩の生産が行われ、現在では柑橘類が名産となっている。；名産であるオレンブルク・ショールを織るために多くの女性も働いていた。；また、この地には神社仏閣が多数現存しており、納豆が名産となっている。；某ライトノベルと落花生の名産県の名前を合成したような効果音だな。；橋の親柱には四日市の名産でもある萬古焼のタイルが張り付けられている。；この種子から搾り採ったのが椿油で伊豆の大島はその名産地の一である。；雪ありて縮あり、されば越後縮は雪と人と気力相半して名産の名あり。；ワインの名産地に行って申しわけない話だが、フランスものを注文することになるのだ。；アメリカ国内ではビールやチーズの名産地としても知られている。；第一週と第二週の本編の終わりに、京都名産の視聴者プレゼントが用意されていた。；中から出て来たのは、岡山名産と書かれたブドウの形の菓子だった。；ブドウ以外にも山形の名産ラ・フランスなどを使ったワインも製造している。；明治以降にリンゴがこの地域にもたらされると、リンゴの名産地となる。；原産地はマレー半島で、日本では熊本県八代地方の名産となっている。；軍医長のすすめで、土地名産の文石という石を千円を投じて購入した。；壁には壁画のように、イタリア名産物案内の地図が描かれていた。；これは、信州名産のリンゴと風越山をイメージしたデザインとも言われる。；裏日本全域で米の生産が盛んであり、名産物ともなっている。；別便で土地の名産を送りました、と書いてある手紙もあった。</t>
        </is>
      </c>
      <c r="J8230">
        <f>HYPERLINK("https://www.weblio.jp/content/名産", "词义详情")</f>
        <v/>
      </c>
      <c r="K8230">
        <f>HYPERLINK("https://yourei.jp/名産", "查看例句")</f>
        <v/>
      </c>
    </row>
    <row r="8231">
      <c r="A8231" t="inlineStr">
        <is>
          <t>名刺</t>
        </is>
      </c>
      <c r="B8231" t="inlineStr">
        <is>
          <t>成功</t>
        </is>
      </c>
      <c r="C8231" t="inlineStr">
        <is>
          <t>読み方：めいし
《「刺」は、昔、中国で竹木を削って名前を書いたもの》氏名・住所・勤務先・身分などを印刷した長方形の小形の紙札。</t>
        </is>
      </c>
      <c r="D8231" t="inlineStr">
        <is>
          <t>名刺代わり；名刺をさし出し；名刺サイズ；名刺を出さ；名刺屋</t>
        </is>
      </c>
      <c r="F8231" t="inlineStr">
        <is>
          <t>名刺印刷；名刺交換</t>
        </is>
      </c>
      <c r="G8231" t="inlineStr">
        <is>
          <t>名刺交換；名刺相占い；名刺リーダー；名刺リーダ；名刺判</t>
        </is>
      </c>
      <c r="H8231" t="n">
        <v>29</v>
      </c>
      <c r="I8231" t="inlineStr">
        <is>
          <t>おまけに結果から考えると名刺の交換などはしない方がよかったのです。；名刺を渡したことがあるだけのロブションの推薦があったからだという。；その証拠には、肩書き付きの名刺を持っている人が日本には非常に多い。；わしの名刺に向うの番地を書いてやるから、そこへすぐ今夜行きなさい。；外にもう一枚岩形の形という字の上部から横に破り取った下半分の名刺。；夫妻宅にあった返済日を裏書きして渡した自分の名刺を奪って去った。；名刺エチケットへのこの注意は、相手の敬意を示すことを意図している。；島さんはすぐにそれと気づき、持っていた先生の名刺を先生に返した。；さっき組合へうさんなやつが名刺を置いて行ったさうだがこいつだらう。；名刺はと聞くと、後程上りますと申して帰りまして御座いますと答える。；さうして、名刺を受取るために、一本の指を差出さうとすらしなかつた。；端から目を通してゆくうちに、彼は眉を顰めて一葉の名刺を撮上げた。；そこで私は、プロットと名刺と自著を持っていくつかの社を回りました。；勤務中の警官に名刺をわたし、署長に個人的に話したいことがあると言った。；僕は、さきほどの名刺にあります通り、鉄道省の運輸局に勤めてゐます。；そして娘に眼で報せて、便所へ連れて来てそこで名刺を渡さうと考へた。；もしや名刺でも括りつけてはないかと葉裏まで覗いて見たが何もない。；ヴィラが少し不安で困ったように見えたのは、名刺の文に目を通した時だった。；よそのうちへ名刺だけじゃなく姪まで置いていくのがはやり出したのかね。；計一 さつきは、しかし、その名刺を見せて、「お父さんだ」と云つた。；警部は、奥さんにお会いしたいといって、公用の名刺を女中に渡した。；名刺を衛視さんに出しまして、手にとって調べさせてくれと頼みました。；ポケットから革の名刺入を出して、仕事用の名刺を出して警官にわたした。；ジャーヴィ坊ちゃまの名刺を持って、女中さんが姿をあらわしたのです。；頻に名刺の交換を迫つて他日人の名を利用して事をなさんとする曲者もあり。；それに門番が私の名刺の返事を持って来るのに、あまりてまがとれたので。；被害者の父親の名は、雄介が持っていた名刺の人物と同一人物だった。；名刺や雑誌・新聞の記事など、狭い範囲の原稿を読み取るのに適している。；名刺は内衣嚢に蔵つておいたので、示された番地へ出向くことに決心した。</t>
        </is>
      </c>
      <c r="J8231">
        <f>HYPERLINK("https://www.weblio.jp/content/名刺", "词义详情")</f>
        <v/>
      </c>
      <c r="K8231">
        <f>HYPERLINK("https://yourei.jp/名刺", "查看例句")</f>
        <v/>
      </c>
    </row>
    <row r="8232">
      <c r="A8232" t="inlineStr">
        <is>
          <t>名所</t>
        </is>
      </c>
      <c r="B8232" t="inlineStr">
        <is>
          <t>成功</t>
        </is>
      </c>
      <c r="C8232" t="inlineStr">
        <is>
          <t>読み方：などころ
１姓名と住所。
２景色・旧跡などで有名な場所。めいしょ。「桜の—」
３器物などの部分の名称。「鎧(よろい)の—」「馬の—」</t>
        </is>
      </c>
      <c r="D8232" t="inlineStr">
        <is>
          <t>名所図絵；名所旧蹟；名所案内；名所見物；名所記</t>
        </is>
      </c>
      <c r="F8232" t="inlineStr">
        <is>
          <t>江戸名所；東京名所；東都名所；桜名所；甲斐名所</t>
        </is>
      </c>
      <c r="G8232" t="inlineStr">
        <is>
          <t>名所図会；名所絵；名所江戸百景；名所古跡</t>
        </is>
      </c>
      <c r="H8232" t="n">
        <v>29</v>
      </c>
      <c r="I8232" t="inlineStr">
        <is>
          <t>その道を右へ進んだところに鹿島鉄道線撮影の名所である跨線橋がある。；また、広い敷地・整備された庭がある寺社や公園にも名所がみられる。；以下のものは駅からかなりの距離があるが、当駅が入口となる名所。；ここでは上記以外で町観光協会で紹介されている主な名所を列挙する。；周囲は以前から桜の名所であったため、桜の中央に「寶」の字を配した。；ストーリー前半の舞台が大阪であることから、その名所が数多く登場している。；プラハに埋葬された彼の墓石は、今なお有名な観光名所となっている。；明日はファンとの観光ツアーがあって名所を案内してもらう。；境内には約100本の梅の木が植えられており、梅の名所となっている。；この公園には日本の桜が多く植樹されており、桜の名所のひとつになっている。；司教座が置かれたアビラでは、いくつもの教会建築が名所となっている。；沿道に桜が植わっており、春は桜のトンネルとなる名所で知られている。；足を使わなければ行けない場所が多い一方で、車で訪れることのできる名所もある。；なお、当駅の駅名標では名所の紹介がされず、バッタの絵が描かれていた。；戦後に至り徐々に植栽・公園整備され現在は桜の名所となっている。；いくつかの戦前の建物も残っており、市内の名所となっている。；池の周辺は公園として整備され桜の名所として市民に親しまれている。；このキャンペーンでビジュアル展開した名所が紹介されることもある。；広島における戦前の名所絵葉書の中でも、ここを撮影したものは特に多い。；自動車道路沿いの桜並木は春には桜の名所として地元では有名である。；クライマックスとなる戦場には公開当時に話題となった名所が選ばれることが多い。；そのためバードウォッチングの名所となっている場所も少なくない。；その先の山林には梅の名所で知られる田浦梅林があり、春頃には賑わう。；各駅の駅名、周辺の名所や名物などにちなんだマークが制定されている。；映像には、京都や室町幕府のシンボル的な名所なども登場しなかった。；そこには、桜の名所・珠津山や枯れない池と伝えられる千年泉がある。；県内の特定地域に的を絞り、その地域の名物・名所を旅番組形式で紹介。；その保護区内にあるウィパーワディー滝は地元の名所として有名である。；この塔は保存がよく、現在では有名な観光名所となっている。</t>
        </is>
      </c>
      <c r="J8232">
        <f>HYPERLINK("https://www.weblio.jp/content/名所", "词义详情")</f>
        <v/>
      </c>
      <c r="K8232">
        <f>HYPERLINK("https://yourei.jp/名所", "查看例句")</f>
        <v/>
      </c>
    </row>
    <row r="8233">
      <c r="A8233" t="inlineStr">
        <is>
          <t>命じる</t>
        </is>
      </c>
      <c r="B8233" t="inlineStr">
        <is>
          <t>成功</t>
        </is>
      </c>
      <c r="C8233" t="inlineStr">
        <is>
          <t>読み方：めいじる
［動ザ上一］「めい（命）ずる」（サ変）の上一段化。「本社勤務を—・じる」</t>
        </is>
      </c>
      <c r="D8233" t="inlineStr">
        <is>
          <t>命じる決定を出し</t>
        </is>
      </c>
      <c r="E8233" t="inlineStr">
        <is>
          <t>させる；指揮；命令；指導；指示</t>
        </is>
      </c>
      <c r="F8233" t="inlineStr">
        <is>
          <t>来いと命じる；立ち退きを命じる</t>
        </is>
      </c>
      <c r="H8233" t="n">
        <v>29</v>
      </c>
      <c r="I8233" t="inlineStr">
        <is>
          <t>文明元年には四国・九州の諸大名に軍を率いて上京するよう命じている。；わが公に大政に参与するよう命じておきながら大事の決定にも相談せず。；プレイヤーは部隊のパイロットに移動と攻撃を命じる事で敵を撃破する。；燕軍を城から撤退させ九里離れたところに砦を築くようにするよう命じた。；しかし幕府はこれを採用せず、代わりに江戸府内の地図を作るよう命じた。；軍隊は輸送隊に別の保管場所の移動を命じるもショウ一味に襲撃される。；そこに王子の母親が現れ、明日行われる舞踏会で花嫁を選ぶよう命じる。；同年5月、備中高松城を攻撃中の秀吉の援軍に向かうことを命じられた。；船を出発させようとドナルド船長は甥っ子たちに碇を上げるよう命じる。；とはいっても、どうなろうとも『声』の命じるままに振舞ったでしょう。；そのため封じられた部分と翻訳を命じられた部分に一時的に分解された可能性がある。；そして現地に到着するとスキピオの助言に逆らって直ちに攻撃を命じた。；反乱の拡大を恐れた徳永は、販売局長である鷲尾に問題の解決を命じる。；保護を受ける代わりにユダヤ人は国王に命じられるままに金を献上せねばならなかった。；同時にイエスはレプロブスが持っていた杖を地面に突き刺すように命じた。；そして彼はレビ族の者を集め、偶像崇拝に加担した民衆の殺害を命じる。；林則徐は、攻撃の口実を作らないように十三行の警備の強化を命じる。；新政府は開拓のための最初の仕事として箱館裁判所に山川調査を命じた。；この裁判では結局発砲を命じた側は罪に問われなかった。；この験担ぎは遠征先でもバスやタクシーの運転士に命じてまで実行させていたという。；「まもなくゼレンスキー大統領が全軍に総攻撃を命じる」とも発言した。；この二手の他、紀伊の浅野長晟に南から大坂に向かうよう命じている。；「大和」はトラックで応急修理を受けた後、内地への帰還を命じられた。；長秀と津田信澄は大坂に先に行って家康をもてなす準備をするよう命じられた。；ユスティニアヌス帝はトリボニアヌスをして新たに勅法の集成を命じた。；中佐の指示を受けたセンターは、シャトルに軌道を変更するように命じる。；そこで大海人皇子は東海道と東山道に兵の動員を命じる使者を派遣した。；男は両脚の間にしゃがませられ、女性器に口を宛てがうよう命じられる。；そこで法正が劉備の前に立つと、劉備は法正に矢を避けるようにと命じた。</t>
        </is>
      </c>
      <c r="J8233">
        <f>HYPERLINK("https://www.weblio.jp/content/命じる", "词义详情")</f>
        <v/>
      </c>
      <c r="K8233">
        <f>HYPERLINK("https://yourei.jp/命じる", "查看例句")</f>
        <v/>
      </c>
    </row>
    <row r="8234">
      <c r="A8234" t="inlineStr">
        <is>
          <t>迷信</t>
        </is>
      </c>
      <c r="B8234" t="inlineStr">
        <is>
          <t>成功</t>
        </is>
      </c>
      <c r="C8234" t="inlineStr">
        <is>
          <t>読み方：めいしん
俗信のうちで、合理的根拠のないもの。一般には社会生活上実害を及ぼし、道徳に反するような知識や信仰をいう。</t>
        </is>
      </c>
      <c r="D8234" t="inlineStr">
        <is>
          <t>迷信的(9%)；迷信深い(4%)；迷信家(2%)；迷信深く；迷信じみ</t>
        </is>
      </c>
      <c r="F8234" t="inlineStr">
        <is>
          <t>かかる迷信；こんな迷信；単なる迷信；奇妙な迷信；たる迷信</t>
        </is>
      </c>
      <c r="H8234" t="n">
        <v>29</v>
      </c>
      <c r="I8234" t="inlineStr">
        <is>
          <t>私どもは人形や迷信に代るべき子供と信仰とを与えなければなりません。；この習慣を迷信だと考える人間もいるが、本当に信じている人間もいる。；この曲は、いくつかの迷信に言及してそれを否定している歌詞である。；東京は実に文明の中心であると同時に、迷信の中心といわなければならぬ。；どの途迷信は人間にはつきものであって、これのない人はどこにもない。；又ある一部の人々には真珠を持つて居ると命が危ないといふ迷信がある。；いわゆるエタが特に嫌われたのは、ただこの迷信があったためなのです。；連中のばかげた迷信なんて分りませんし、誰にも助けを求められません。；神に関した知識の有無は、一つ事をしても、信仰・迷信と岐れて現れる。；将軍は迷信を信じないが、もし証拠が見つかればシアを殺すと約束する。；それは総べて三面谷に伝わる古くからの迷信から発したのであった。；主人公は婚約者の母親が選んだ迷信好きの婆さんに世話されて住んでいる。；しかしながらこの迷信からの解放は今成就されんとしつつあるように見える。；文明の紳士がこれほどまで迷信に左右されるとは沙汰の限りである。；迷信に関する第九十一段なども頭の明らかなことを証する一例である。；だがこういうようなものは科学教育に於ける師範教育的迷信なのである。；彼らの迷信を利用し、これによりて生活しておるものがまたたくさんおる。；しかし、民間にていわゆる宗教信者と称するものの信仰は多く迷信である。；かかる迷信が今日なお盛んなるは、文明の体面を汚すと申さねばならぬ。；さて、この二州は風俗習慣とも大同小異にして、双方共通の迷信が多い。；国家国民の将来を危うくするような迷信が眼前の日本に流行してはいないか。；彼等は又その宗教的立場からして、支那人の祭祖を一種の迷信と認めた。；なお、他に現在は迷信とされる語源の説として次のようなものがある。；きわめて敬虔なことを云々する者は、多少迷信的な言葉を発するものだ。；古く日本では嵐を呼ぶという迷信があり鐘を船に乗せることは避けられた。；いずれも迷信を人に諭すに、最も分かりやすく、かつ興味ある話である。；学問や芸術や職業の方面まで、その迷信は根を下してゐるらしい。；と彼はやけに首を振った、そんな迷信で生活の調子を狂わしてはいけない。；他の学者からいえばあるいは迷信であるというかも知れない。</t>
        </is>
      </c>
      <c r="J8234">
        <f>HYPERLINK("https://www.weblio.jp/content/迷信", "词义详情")</f>
        <v/>
      </c>
      <c r="K8234">
        <f>HYPERLINK("https://yourei.jp/迷信", "查看例句")</f>
        <v/>
      </c>
    </row>
    <row r="8235">
      <c r="A8235" t="inlineStr">
        <is>
          <t>名人</t>
        </is>
      </c>
      <c r="B8235" t="inlineStr">
        <is>
          <t>成功</t>
        </is>
      </c>
      <c r="C8235" t="inlineStr">
        <is>
          <t>読み方：めいじん
１技芸にすぐれている人。また、その分野で評判の高い人。
２江戸時代、囲碁・将棋で九段の技量を持つ最高位者に与えられた称。現在は、それぞれタイトルの名称。名人戦の勝者がタイトルを手にする。</t>
        </is>
      </c>
      <c r="D8235" t="inlineStr">
        <is>
          <t>名人会；名人上手；名人挑戦；名人気質；名人碁所</t>
        </is>
      </c>
      <c r="E8235" t="inlineStr">
        <is>
          <t>主；先生；主人；部長；師匠</t>
        </is>
      </c>
      <c r="F8235" t="inlineStr">
        <is>
          <t>音楽名人；木村名人；大名人；ガラス玉演戯名人；三名人</t>
        </is>
      </c>
      <c r="G8235" t="inlineStr">
        <is>
          <t>名人位；名人芸；名人本因坊；名人リーグ；名人伝</t>
        </is>
      </c>
      <c r="H8235" t="n">
        <v>29</v>
      </c>
      <c r="I8235" t="inlineStr">
        <is>
          <t>一方の米長は勝っても負けても名人挑戦や降級には関係ない一番だった。；この名人はローマ以降もイタリアの案内をしばらく務めたことだろう。；名人・人気を妬んだ誰かに水銀を飲まされ声が出なくなったことがある。；十六世名人でかつ日本将棋連盟会長であったこともあり、著書は大変多い。；そして指し直しの第8局で敗れ、名人を獲得することができなかった。；名人はタマゴの中に居たため無事だった恐竜たちと共に冒険の旅に出た。；古くは木村義雄十四世名人が指した実戦例もあり、古くて新しい形である。；名人になった事はないが、史上最強棋士の候補としてあげる声も多い。；それは竜王や名人を初めて獲ったときとは全く異なるものであった。；この勝利により小野は次期名人候補であることを周囲に認めさせたという。；江戸時代に将棋九世名人の大橋宗英によって考案されたと言われている。；これは史上最高のレーティングで、既にほぼ名人を越える強さであった。；したがって、順位戦初参加から名人挑戦までには少なくとも5年かかる。；執筆法、法帖・諸碑の評論、古名人より張照に至るまでの書評論である。；そして名人の死に駆けつけて、死顔の写真も撮ったという縁があった。；以下のルールは、二世名人であった2代大橋宗古が成文化したものである。；これまでの名人は詰将棋を献上していたが、宗英の代でその伝統は絶えた。；このとき「名人候補を東京に取られた」と関西の棋士たちが嘆いたという。；話し上手で変装名人だが、生臭いので最後には正体が明かされてしまう。；その技巧は無双の名人と称されるに至ったのが始まりとされる。；名人の段をクリアした場合、天井から大量の紙吹雪が降ることになっていた。；次の代は7世名人・伊藤宗看が出現し、さらに新しい実験を試みた。；また、名人賞でない者も含む全出演者の中から「敢闘賞」が贈られた。；初唐に書道の名人大家が多数輩出されたことは古今にその例を見ない。；このことに不満の坂田は名人を称し、関東棋界と絶縁することになる。；なお、永朝は将棋を愛好し、八世名人九代大橋宗桂の弟子に名を連ねた。；弥三郎の名は、武田家などにも納めていた酒造りの名人の名であるという。；歴代の名人は詰将棋を作っているが、初期の作品はほとんどが実戦型であった。；いそいで買った花束を、私は名人のいる車のなかの夫人に渡した。</t>
        </is>
      </c>
      <c r="J8235">
        <f>HYPERLINK("https://www.weblio.jp/content/名人", "词义详情")</f>
        <v/>
      </c>
      <c r="K8235">
        <f>HYPERLINK("https://yourei.jp/名人", "查看例句")</f>
        <v/>
      </c>
    </row>
    <row r="8236">
      <c r="A8236" t="inlineStr">
        <is>
          <t>命中</t>
        </is>
      </c>
      <c r="B8236" t="inlineStr">
        <is>
          <t>成功</t>
        </is>
      </c>
      <c r="C8236" t="inlineStr">
        <is>
          <t>読み方：めいちゅう
［名］(スル)弾丸・矢などが、ねらった所に当たること。的中。「目標に—する」</t>
        </is>
      </c>
      <c r="D8236" t="inlineStr">
        <is>
          <t>命中弾(7%)；命中する(7%)；命中率(6%)；命中させる(3%)；命中すれ</t>
        </is>
      </c>
      <c r="E8236" t="inlineStr">
        <is>
          <t>ヒット；打撃；当たり；一撃；一発</t>
        </is>
      </c>
      <c r="F8236" t="inlineStr">
        <is>
          <t>爆弾命中；とも命中；発命中；高い命中；全弾命中</t>
        </is>
      </c>
      <c r="H8236" t="n">
        <v>29</v>
      </c>
      <c r="I8236" t="inlineStr">
        <is>
          <t>同時に軍用機の速度は高速化し、その点でも命中率の低下は問題であった。；しかしドイツ艦隊は、イギリスに比べ射撃指揮が優れ命中率が高かった。；目視で確認されただけで1・2・6番目の斉射で命中が確認されている。；敵が単一だった場合はたった一度の攻撃が命中しただけで主人公側の勝利となる。；更に日本の火縄銃は朝鮮の弓より威力や命中率の点で数倍優れていた。；攻撃する場合はバツ印がないマスを攻撃したほうが命中する可能性は高い。；d は意図的な動作であるが、彼に命中しなくても言うことができる文である。；命中箇所は弾薬庫付近だったが、誘爆しなかったのが不幸中の幸いだった。；確実な命中を求めるためには可能な限り近距離で射撃することが重要である。；そこでドイツ艦は魚雷を発射してこれは命中せず、次いで探照灯を消した。；敵が主人公を狙って撃つ弾の内、どの弾が命中弾なのかが分からない。；艦長はこれを撃墜するよう命じたが、どの砲も命中させることができなかった。；米潜水艦3隻が相次いで魚雷多数を発射するが、1本も命中しなかった。；基本的にアーマークラスが低いほど攻撃命中判定の目標値が高くなる。；そのため、後方の相手にアイテム攻撃が命中しやすくなっている。；攻撃が命中した場合は、忘れないようにお互いに記録しておく。；湾岸戦争時に一度使用した際は、最大射程で発射したため命中はしていない。；それでもウイングガンダムに向けて発射・命中させることには成功。；また、命中率も長大な城壁のどこかに当たるのがやっとというほどであった。；結局この戦闘は両軍とも互いに一発の命中弾も発生しなかった。；モラルが減少すると艦隊戦で命中率が悪くなるなど何かと不利になる。；フッドに最初に命中弾を与えたのは、重巡プリンツ・オイゲンであった。；黛は、大和型が第一命中弾を出すまでに必要な時間は5分と計算した。；水平爆撃は当時命中率が悪く大量の艦攻が必要になるため計算に入れなかった。；その分析結果によると命中魚雷は両艦とも4本ずつとされている。；これは魚雷に人間が乗って誘導し、確実に命中させるというものであった。；なお、この時に命中したのは爆弾だけであり、魚雷の命中は1発もない。；射程も5キロ程度まで伸び、以前のロケットよりも命中率も向上していた。；三水戦はそれぞれ単独で魚雷を発射するも、全て回避されて命中しなかった。</t>
        </is>
      </c>
      <c r="J8236">
        <f>HYPERLINK("https://www.weblio.jp/content/命中", "词义详情")</f>
        <v/>
      </c>
      <c r="K8236">
        <f>HYPERLINK("https://yourei.jp/命中", "查看例句")</f>
        <v/>
      </c>
    </row>
    <row r="8237">
      <c r="A8237" t="inlineStr">
        <is>
          <t>明白</t>
        </is>
      </c>
      <c r="B8237" t="inlineStr">
        <is>
          <t>成功</t>
        </is>
      </c>
      <c r="C8237" t="inlineStr">
        <is>
          <t>読み方：めいはく
［名・形動］《古くは「めいばく」とも》
１あきらかで疑う余地のないこと。また、そのさま。「—な証拠」
２⇒明晰(めいせき)2
[派生]めいはくさ［名］</t>
        </is>
      </c>
      <c r="D8237" t="inlineStr">
        <is>
          <t>明白である(11%)；明白な事実(3%)；明白であり(2%)；明白な証拠；明白な理由</t>
        </is>
      </c>
      <c r="E8237" t="inlineStr">
        <is>
          <t>明らか；はっきり；当然；確かに；単純</t>
        </is>
      </c>
      <c r="F8237" t="inlineStr">
        <is>
          <t>明白感；明白すぎるほど明白；明白ナリ；明白な実例；明白なアリバイ</t>
        </is>
      </c>
      <c r="G8237" t="inlineStr">
        <is>
          <t>明白性の原則</t>
        </is>
      </c>
      <c r="H8237" t="n">
        <v>29</v>
      </c>
      <c r="I8237" t="inlineStr">
        <is>
          <t>つまり少なくともここに挙げた三つの重大な条件の内一つは明白である。；島の発見前に条約が結ばれたので島について明白に指定されていなかった。；ただこの選挙によって国民が海軍増強を求めていることも明白となった。；この時点で病気および死因に関する適切な調査が必要なのは明白だった。；同時に敵が次の目標としているのがフィリピンであることは明白です。；誰かに虚偽を納得させるのは、現実には詐欺と明白な虚偽の言葉である。；町はこの地に泉があることがより明白になった時に設立された。；今日では、事実は明白であり、言葉の選択はあまり重要でなくなった。；主張は明白であり、いずれの合意もアザワドの解放を認めたものでは無い。；この類似性は共通の言語に由来していないクレオールの間でも明白である。；クフがどの程度の期間エジプトを統治したのかは未だに明白ではない。；またインパール作戦の失敗により日本の敗北は明白な情勢となってきた。；これは固体がポーラロンの性質を持つことの最も明白な証拠の一つである。；南軍の損失は明白になっていないが、僅かに多い程度と考えられている。；税金の一部を撤廃することは危機に対する明白な解決策の1つであった。；国王の裏切りは民衆の目にも明白なものとなっていったのである。；最も明白な例は、その直接の後継であるデモティックへの影響である。；このような気質の違いのいくつかは出生前ではないにしても明白に見られる。；かつて存在していた明白な対立は現代ではあまり見られない。；これら一連の会議の後、シリアとの戦争は避けられないことが明白となった。；しかし、この観測された明白な違いはどういう意味で正確なのか?；ゴードンの当初の脚本では、より明白に宗教的な表象が登場していた。；正統長老教会に二つのグループが存在することが明白になってきた。；条約文それ自体で十分に意味が明白である場合にはこうした解釈手段を用いる必要はない。；この頃すでにモンテプリンスは重馬場が苦手であることが明白になった。；彼らの両親は芸術に明白な興味を持っていなかったが、両方の息子は芸術家になった。；二つの大きな問題が正統長老教会のこれら二つのグループの存在を明白にした。；様々な場所で起きた障害を明白にこの目で見たのである。；その明白な結果や、そもそも戦争を始めた時の知恵についてである。</t>
        </is>
      </c>
      <c r="J8237">
        <f>HYPERLINK("https://www.weblio.jp/content/明白", "词义详情")</f>
        <v/>
      </c>
      <c r="K8237">
        <f>HYPERLINK("https://yourei.jp/明白", "查看例句")</f>
        <v/>
      </c>
    </row>
    <row r="8238">
      <c r="A8238" t="inlineStr">
        <is>
          <t>名物</t>
        </is>
      </c>
      <c r="B8238" t="inlineStr">
        <is>
          <t>成功</t>
        </is>
      </c>
      <c r="C8238" t="inlineStr">
        <is>
          <t>読み方：めいぶつ
１その土地で名高い産物。名産。
２その土地や社会で、特有な物事や評判になっている人。「ロンドン—の霧」「—教師」
３茶道具類で、美術的、歴史的価値においてすぐれたもの。利休以前のものを大(おお)名物、利休時代のものを名物、小堀遠州の選定したものを中興名物という。
４植物・動物・器物などの名と性質。また、それを研究する学問。
「其の—度数、訓詁、異同を研究するを以て事とす」〈童子問・下〉
５すぐれているもの。名器。
「元興寺と云ふ琶琵は—なり」〈江談抄・三〉</t>
        </is>
      </c>
      <c r="D8238" t="inlineStr">
        <is>
          <t>名物コーナー；名物企画；名物食堂；名物茶器；名物菓子</t>
        </is>
      </c>
      <c r="E8238" t="inlineStr">
        <is>
          <t>看板；アトラクション；売り物；売物；呼び物</t>
        </is>
      </c>
      <c r="F8238" t="inlineStr">
        <is>
          <t>東京名物；観光名物；新名物；番組名物；名物競走</t>
        </is>
      </c>
      <c r="G8238" t="inlineStr">
        <is>
          <t>名物男；名物学；名物かまど；名物記</t>
        </is>
      </c>
      <c r="H8238" t="n">
        <v>29</v>
      </c>
      <c r="I8238" t="inlineStr">
        <is>
          <t>入口には赤い風車が回っており、当時の新宿の街の名物にもなっていた。；駅や列車内以外に、各地の名物として百貨店等で販売されることもある。；夕食会ではバレンシア地方の名物であるパエリアが出されることが多い。；他にも多くの種類があり、さらに名物にちなんだ細かな分類もなされる。；江戸時代初期の随筆にも三方地域の名物としてウナギが紹介されている。；現在では、この峠の名物でもある「笹子餅」にもこの絵が描かれている。；亀の甲煎餅が名物とされたが、現在は提供している店舗は存在しない。；モチーフはロケ先の学校がある地域に縁のある生物および土地の名物。；いくつかの模擬店では市民の間にも名物として定着しているものがみられる。；人口は8万ほどで小さいが、チーズなどの名物で全国で知られている。；また、地元の名物はカイケム・チャイヤーと呼ばれる塩卵が有名である。；名物の大きな鉄屋根は戦時中に金属供出されたままで復元していなかった。；一部の列車に、当駅から名物のういろうを売る人が乗り込むことがある。；電車の中吊り広告などに掲載される「一行コピー」が名物となっている。；コンゴ川の名物となっているのが、連結式の押し船ともいうべきものである。；各駅の駅名、周辺の名所や名物などにちなんだマークが制定されている。；ちなみにグレプロ名物となった格闘技戦が行われるようになったのもこの大会。；県内の特定地域に的を絞り、その地域の名物・名所を旅番組形式で紹介。；また、湖畔亭で販売している「そばだんご」も名物として知られている。；初期の遊廓名物であった花火大会の仕掛け花火はこの池畔で行なわれた。；また多くの山鉾では小学生以下の少女が童歌を歌うのが名物となっている。；卵を竹籠に入れて青い地獄の湯に浸けて茹でた温泉卵が名物である。；創業以来100年以上の歴史を経て、今もなお行列ができる名物店である。；これらは新球場にも引き続き採用されるほどの名物になった。；江戸中期頃には、いわゆる深川芸者が羽織を着て名物になったという。；祭の名物であり、盛んに売られているものとして焼き鳥が挙げられている。；また、市内の名物はバミー・チャーカンラーオと呼ばれる麺料理である。；いずれの宿も、太平洋に面した露天風呂・日の出の光景を名物としている。；かつては車両の入口に大勢集まるオームリ売りの姿がこの駅の名物であった。</t>
        </is>
      </c>
      <c r="J8238">
        <f>HYPERLINK("https://www.weblio.jp/content/名物", "词义详情")</f>
        <v/>
      </c>
      <c r="K8238">
        <f>HYPERLINK("https://yourei.jp/名物", "查看例句")</f>
        <v/>
      </c>
    </row>
    <row r="8239">
      <c r="A8239" t="inlineStr">
        <is>
          <t>名簿</t>
        </is>
      </c>
      <c r="B8239" t="inlineStr">
        <is>
          <t>成功</t>
        </is>
      </c>
      <c r="C8239" t="inlineStr">
        <is>
          <t>読み方：なづき
自分の官位・氏名などを書いた札。入門・服従のしるしとして、また、貴人に会うときなどに差し出した。みょうぶ。
「人のそこら奉る—をとどめさせ給ひて」〈宇津保・藤原の君〉</t>
        </is>
      </c>
      <c r="D8239" t="inlineStr">
        <is>
          <t>名簿順位；名簿登載；名簿作成；名簿登録；名簿届出</t>
        </is>
      </c>
      <c r="E8239" t="inlineStr">
        <is>
          <t>表；リスト；一覧；目録；カタログ</t>
        </is>
      </c>
      <c r="F8239" t="inlineStr">
        <is>
          <t>乗客名簿；閣僚名簿；選手名簿；会員名簿；顧客名簿</t>
        </is>
      </c>
      <c r="G8239" t="inlineStr">
        <is>
          <t>名簿業者；名簿屋；名簿捧呈</t>
        </is>
      </c>
      <c r="H8239" t="n">
        <v>29</v>
      </c>
      <c r="I8239" t="inlineStr">
        <is>
          <t>乗客名簿の中にはタタールスタン共和国の大統領の長男が含まれていた。；その頃のものとされる北条家の編成名簿の中に五色備について見られる。；牛久保以来の家柄か否かは、この名簿である程度判断することができる。；セリ名簿はその馬の父や母を含む血統構成やその競走成績を記載する。；しかし、当該期の名簿に彼の名前がないことは、つとに指摘されている。；そのためか韓国のメディアや親日派名簿に載った者から批判を受けた。；裁判員候補者名簿に記載された者には12月頃までにその旨を通知する。；大統領は15日以内に閣僚名簿をマジュレスに提出しなければならない。；楊恵敏は感動し、全国に知らせるため全兵士の名簿をくれるよう頼んだ。；株主名簿とは、発行会社が株主を把握するために作成される名簿のこと。；卒業生名簿に名前が記載されていないことから、卒業はしなかったとされている。；トリガナ航空により公表された乗客名簿が別の便のものであることが判明した。；規模の大きい政党ではたいてい、名簿の最後のほうに地方の候補を記載している。；例えば、名簿が男女別になっている場合、多くの場合男性が先になっている。；名簿上の登録だけでなく、競技時間中は常にその三世代が同時に出場することが必要である。；番組の最初に団員名簿からランダムに選んで、出席を取っていた時期もある。；名簿登録者には、当団体による支援や他団体・行政への紹介が受けられるとしている。；その名簿は公示され、その人物の財産を没収しても罪に問われないものとされた。；ふとパソコンを見ると、ぼくのクラスの女の子のめいぼがうつってました。；名簿には遺族の申し出があった場合に記載することになっている。；そこで国際セリ名簿基準委員会がセリ名簿の作成基準を作ることとなった。；ロシア・ツアーオペレーター協会は9268便の乗客名簿を公表した。；これは乗客名簿に記載された名前と生存者からの情報に不一致が見られたためだった。；生徒は全員に名前と設定が存在し、校章を入手した学生はその詳細が名簿に記載される。；格付け制定のきっかけはセリ市におけるセリ名簿の基準作成に由来する。；現在は表面上はそのようなこともなくなり、職員の名簿も非公開となった。；メダルの授与が決定した場合はまず名簿に名前が載せられる。；田中は秘書の早坂茂三に命じて、電話作戦用の名簿を作らせていた。；コンベルソたちの名前はラ・マンタと呼ばれた大名簿の中に載せられて発行された。</t>
        </is>
      </c>
      <c r="J8239">
        <f>HYPERLINK("https://www.weblio.jp/content/名簿", "词义详情")</f>
        <v/>
      </c>
      <c r="K8239">
        <f>HYPERLINK("https://yourei.jp/名簿", "查看例句")</f>
        <v/>
      </c>
    </row>
    <row r="8240">
      <c r="A8240" t="inlineStr">
        <is>
          <t>銘銘</t>
        </is>
      </c>
      <c r="B8240" t="inlineStr">
        <is>
          <t>成功</t>
        </is>
      </c>
      <c r="C8240" t="inlineStr">
        <is>
          <t>読み方：めいめい
《「めんめん（面面）」の音変化》ひとりひとり。それぞれ。おのおの。「—が意見を述べる」「菓子を—に分ける」「進路は—違う」</t>
        </is>
      </c>
      <c r="D8240" t="inlineStr">
        <is>
          <t>個体；個々；各自；夫々；銘々</t>
        </is>
      </c>
      <c r="H8240" t="n">
        <v>17</v>
      </c>
      <c r="I8240" t="inlineStr">
        <is>
          <t>船客は銘めい自分の船のような顔をして大得意で船内を見て廻る。；それからいろいろいまのことを話しながら、丘を下って銘銘わかれておうちへ帰って行ったのです。；教会の事務や、銘めいの役目のことなどもふたりの口に上った。；リハーサルが全部終わって、銘銘が道具を片付けたり、部屋に戻ったりしていたの。；さうしてその中の手紙の持ち主が銘銘に印税を貰ふ事とする、なほいいですねとある人が云つた。；五時から六時といえば、舞台でのリハーサルが終わり、銘銘、部屋に戻ったり、シャワーを浴びたりしている時間だ。；刑事達は銘銘特大の懐中電灯を手にしていたのだが、幾筋かの光線に部分的に照らし出される風景の隙間は訳の判らぬ異様な光景でしかなく、地と図が反転して平衡感覚は失われ、登っているのか下っているのか、果ては天地の感覚さえなくなってしまった。；油紙を一枚屋根に掛けて雨の降った時の用意に備え、茣蓙を敷いて其上に寝転びながら、銘銘の持って行った蝙蝠傘を拡げて入口を囲い、風の当らないようにして眠に就いた。；銘めい柄を叩いて、一時に喚いた。；で、三人が三つの煩悩を追って、銘めい、各その方面で求めるものを掴み、他日なんらの形でその力を協わせて、煩悩出羽に立ち向かおうというので。；また、卓袱料理は「銘銘膳」などに象徴される日本食事形式に対比するものとも言われ、大正期から一般的になる小型の食卓「卓袱台」の語源となった。；銘めい、となり近処と小さなグルウプを作って、思い思いにひそひそ話し込んでいた一同が、これで、ひとつの長閑な笑い声を立てると、その中の間の一枚あけ限りになっているお杉戸のかげに隠れてすわって、さっきからその議論に聴耳を立てていた人かげが、同時に眼じりに皺を刻んでにっこりした。；何しろ、普段は退屈其のもののようなミシガンの田舎に昂奮の絶頂が襲来して、人の心が銘めい出鱈目に突っ走っている際だから、色んな珍聞が飛び出して来るのは無理もないが、斯うなると、青年補祭ロスリッジ君も仲なか負けていない。；うろ覺えの儘藝者と素人とが銘銘の古巣へ持ち歸つた土産が、銘銘の土地に今迄何處にもなかつた新らしい節を造り出します。；銘めい刀を引きつけて、悲壮なる面もちは、まるで出陣の宴だ。；また、必ずしも自分自らがたつた今打ち明けた、銘銘の戀愛の經驗と云ふものをS中尉のそれに較べて、それ程誇るに足るだけの幸福とも亦、愉悦であつたとも感じてはゐなかつたに違ひありません。；モリスで取り扱うルビーを『モリスルビー』と銘銘。</t>
        </is>
      </c>
      <c r="J8240">
        <f>HYPERLINK("https://www.weblio.jp/content/銘銘", "词义详情")</f>
        <v/>
      </c>
      <c r="K8240">
        <f>HYPERLINK("https://yourei.jp/銘銘", "查看例句")</f>
        <v/>
      </c>
    </row>
    <row r="8241">
      <c r="A8241" t="inlineStr">
        <is>
          <t>名誉</t>
        </is>
      </c>
      <c r="B8241" t="inlineStr">
        <is>
          <t>成功</t>
        </is>
      </c>
      <c r="C8241" t="inlineStr">
        <is>
          <t>読み方：めいよ
［名・形動］
１能力や行為について、すぐれた評価を得ていること。また、そのさま。「—ある地位」「—な賞」
２社会的に認められている、その個人または集団の人格的価値。体面。面目。「—を回復する」「—を傷つける」「—挽回」
３身分や職名を表す語に付けて、その人の功労をたたえて贈る称号とするもの。「—会長」
４有名であること。評判が高いこと。また、そのさま。よいことにも悪いことにもいう。
「かくれなき強盗—の大剛の者にて候」〈古活字本平治・中〉
５珍しいこと。また、そのさま。不思議。
「駿河の二郎は、—なことの、夏冬なしにふんどし嫌ひ」〈浮・諸国ばなし・一〉
［副］どういうわけか。不思議に。
「ここにて—悪心変はりて」〈浮・置土産・一〉
[補説]作品名別項。→名誉</t>
        </is>
      </c>
      <c r="D8241" t="inlineStr">
        <is>
          <t>名誉心(2%)；名誉欲；名誉昇進；名誉回復；名誉職</t>
        </is>
      </c>
      <c r="E8241" t="inlineStr">
        <is>
          <t>立派；評判；信用；尊敬；貸し</t>
        </is>
      </c>
      <c r="F8241" t="inlineStr">
        <is>
          <t>名誉記章；御名誉；名誉文学博士；大変な名誉；名誉感情</t>
        </is>
      </c>
      <c r="G8241" t="inlineStr">
        <is>
          <t>名誉会長；名誉毀損；名誉市民；名誉会員；名誉職</t>
        </is>
      </c>
      <c r="H8241" t="n">
        <v>29</v>
      </c>
      <c r="I8241" t="inlineStr">
        <is>
          <t>もっともこの会議は一度も開かれることはなく、単なる名誉職であった。；また、個人の正直さや誠実さが今日の名誉の主要な意味に含まれている。；ドイツに残っていたノルデらは戦後表彰を受けて名誉や地位を回復した。；名誉ある職ではなく、名義上の職であるというのが本質的な意味である。；彼の名誉に相応しくないとの理由から息子や弟子らからも反対された。；彼らが自らの組織を呼ぶ際に「名誉ある社会」と表現する場合もある。；今回の受賞は自分だけの名誉ではなく、業界の後押しもあってのこと。；社会的地位とは、社会の中に確立された、人々の名誉や威信を伴う位置。；それは最も名誉ある仕事であると同時に、苦痛と孤独を知る仕事でもあった。；後に本事件は詐欺を行った者が逮捕され、現妻の名誉も回復した。；名誉元帥として、長年の功績が認められた以下の老将軍が任命された。；数学基礎論を研究するフランスの数学者に名誉を与えることを目的とする。；これらの競技はテレビ放映され、優勝することは大変名誉なこととされている。；名誉スキー検定員となった者は検定員の育成・指導の補佐や助言を行う。；それらの中には名誉的なものもあれば、競技の結果に影響を与えるものまで様々である。；出場できるのは上位入賞者で、出場できることは大変な名誉となる。；このような名誉名称の継承はヨーロッパではよく行われる。；しかし、所領を支配する奉行の不正が認められ、後に名誉が回復される。；外国人で名誉ナイト号を受けた者が「サー」の敬称を用いることはない。；三島の名誉や著作権の保護において断固たる対応をとって話題となった。；その地位は2世紀前ならば、公選で選ばれる名誉ある地位だったのに。；彼は知事のスタッフの名誉あるメンバーで、グローバー少佐と呼ばれた。；この時代の特色は名誉や学問のために探検が行われたことにある。；にもかかわらず、初めに彼が滞在し都市を建設したことは彼の名誉を満たすと考えた。；後にピカードの協力で総裁になったガウロンによって名誉を回復される。；彼らの名誉を守るためにも匿っておくしかなかったのですよ。；本罪の行為は人の名誉を公然と事実を摘示して毀損することである。；世界的な名声を得ていたがナチスを支持し続けたため戦後、名誉は失墜した。；その多くで共通するのは、忠誠、信仰、勇気を名誉とすることである。</t>
        </is>
      </c>
      <c r="J8241">
        <f>HYPERLINK("https://www.weblio.jp/content/名誉", "词义详情")</f>
        <v/>
      </c>
      <c r="K8241">
        <f>HYPERLINK("https://yourei.jp/名誉", "查看例句")</f>
        <v/>
      </c>
    </row>
    <row r="8242">
      <c r="A8242" t="inlineStr">
        <is>
          <t>明瞭</t>
        </is>
      </c>
      <c r="B8242" t="inlineStr">
        <is>
          <t>成功</t>
        </is>
      </c>
      <c r="C8242" t="inlineStr">
        <is>
          <t>読み方：めいりょう
［名・形動］はっきりしていること。また、そのさま。明亮(めいりょう)。「—な発音」「—に記載する」
[派生]めいりょうさ［名］</t>
        </is>
      </c>
      <c r="D8242" t="inlineStr">
        <is>
          <t>明瞭な境界；明瞭な声；明瞭化；明瞭な形；明瞭すぎる</t>
        </is>
      </c>
      <c r="E8242" t="inlineStr">
        <is>
          <t>明らか；はっきり；当然；単純；明確</t>
        </is>
      </c>
      <c r="F8242" t="inlineStr">
        <is>
          <t>簡単明瞭；簡潔明瞭；明瞭な欠刻；明瞭な黒斑；明瞭すぎるほど明瞭</t>
        </is>
      </c>
      <c r="H8242" t="n">
        <v>29</v>
      </c>
      <c r="I8242" t="inlineStr">
        <is>
          <t>前体と後体は区別できるものもあるが、密着して明瞭でない種類が多い。；何人が事件の端を開いたかは極めて明瞭であり、責任は全部南軍にある。；雄の冬羽は雌に似ているが、頭央線が白く明瞭であることで区別できる。；作家のなかにはこの方法の意義と役割を明瞭に意識している者もいる。；眼上部にある眉状の斑紋は白く明瞭で、眉班の上部に黒い筋模様が入る。；少なくとも、その可能性を生理学も心理学も明瞭に示しているのである。；歴史的にみれば科学とオカルトの境界線というのは明瞭なものではない。；ただしこれらの間に明瞭な類縁関係が認められていたわけではない。；遊びの終わりは明瞭で、子がすべて捕まった時点でそのゲームは終了する。；またライムが非常に明瞭なことから聞きやすさも魅力の一つに挙げられる。；天と地の隠された事は、すべて明瞭にこれらの書冊の中に記されている。；これは界面である明瞭な表面を進む波となるため表面波とも呼ばれる。；Aronsonは物語の説明とアクションには明瞭さが必要だと主張した。；可視光では前述の通り非常に暗い為に、輪が明瞭に撮影される事はまず無い。；そのおかげで、プログラム全体の制御構造が単純化して意味が明瞭になる。；なお、これらの亜種の分布域は明瞭でないため、検討が必要とされている。；固着生活に伴って頭部が縮小しているため、明瞭な脳神経節は持たない。；大多数の専門家が同意するような明瞭な植物学的な定義は提唱されていない。；眼の上には明瞭な隆起線があり、その後方にはよく小さな凹みがある。；ただし、前者のほうが明瞭に見え、茶髪で短髪であることがよくわかる。；同時期の土師器とは色と質で明瞭に区別できるが、一部に中間的なものもある。；祖父はベルを教師にするために必要な信念と明瞭な話法を教え込んだ。；有機養液栽培では根に明瞭な特徴が現れ、根部病害抑止効果が見られる。；ただし明瞭な違いが幾つかあり、それは以下のような点である。；暗い背景の前で、その形はほとんど幾何学的な明瞭さで浮き出ている。；また、ブラウンはこの言語が全く規則的で明瞭であるよう意図した。；いずれにせよ、良いスタイルが志向するのはプログラムの明瞭な表現である。；アクセントのつけ方などもトスカニーニより明瞭だったとも言われる。；その後も都市区画は、非常に明瞭な都市化の意図に沿って開発されていった。</t>
        </is>
      </c>
      <c r="J8242">
        <f>HYPERLINK("https://www.weblio.jp/content/明瞭", "词义详情")</f>
        <v/>
      </c>
      <c r="K8242">
        <f>HYPERLINK("https://yourei.jp/明瞭", "查看例句")</f>
        <v/>
      </c>
    </row>
    <row r="8243">
      <c r="A8243" t="inlineStr">
        <is>
          <t>命令</t>
        </is>
      </c>
      <c r="B8243" t="inlineStr">
        <is>
          <t>成功</t>
        </is>
      </c>
      <c r="C8243" t="inlineStr">
        <is>
          <t>読み方：めいれい
［名］(スル)
１上位の者が下位の者に対して、あることを行うように言いつけること。また、その内容。「—を下す」「—に従う」「部下に—する」「—一下」
２国の行政機関が制定する法の形式、および、その法の総称。法律を実施するため、または法律の委任によって制定される。政令・総理府令・省令など。「執行—」
３行政庁が特定の人に対して一定の義務を課する具体的な処分。
４訴訟法上、裁判官がその権限に属する事項について行う裁判。「略式—」
５コンピューターで、コマンドのこと。</t>
        </is>
      </c>
      <c r="D8243" t="inlineStr">
        <is>
          <t>命令書；命令通り；命令どおり；命令系統；命令口調</t>
        </is>
      </c>
      <c r="E8243" t="inlineStr">
        <is>
          <t>目；法；命；指揮；指導</t>
        </is>
      </c>
      <c r="F8243" t="inlineStr">
        <is>
          <t>ご命令；攻撃命令；御命令；解散命令；停止命令</t>
        </is>
      </c>
      <c r="G8243" t="inlineStr">
        <is>
          <t>命令形；命令違反；命令一下；命令法；命令セットアーキテクチャ</t>
        </is>
      </c>
      <c r="H8243" t="n">
        <v>29</v>
      </c>
      <c r="I8243" t="inlineStr">
        <is>
          <t>なお、命の木の実はこの時は食べてはいけないとは命令されてはいない。；権威的には重要な称号だが、命令権や血統とは直接関係ないものだった。；神の命令がこの宇宙において最後の結果を支配していると信じている。；データと変数を保持するデータ要素を定義するのに使われる命令文がある。；ユダヤ人の子どもにとって友達と遊ぶのに大きな影響がある命令だった。；しかし最初の命令のゼウス殺しに失敗し追われる身となってしまう。；作った主人の命令だけを忠実に実行する召し使いかロボットのような存在。；従って、具体的事件の捜査についての指示や命令行うことはできない。；無線による意思疎通が始まった時期であるが、重要な命令は旗によった。；彼は外出禁止命令が出ていたにもかかわらず町に遊びに出て見つかってしまった。；既存の命令が32ビット演算に対応したほか、多くの新命令が追加された。；周王が天下を統治する権限は天からの命令を背景にしているとされたのである。；一部のEEPROMでは他に次のような命令をサポートしている。；信長の命令に背き、信貴山城に立て籠もり再び対決姿勢を明確に表した。；プロセッサはそこに格納されている命令を常に読み取り、実行している。；同じことをするのに必要な命令の数が異なるからである。；命令列は、先頭から最後尾に向かって逐次的に実行されるよう記述される。；その他の部分はオペランドと呼ばれ、その命令で使用する情報を示している。；メモリ上の実行すべき命令の位置はプログラムカウンタで指定される。；言葉を発することはできないが、命令を理解する能力は持っている。；素六もその騒動の中で指揮に当たっていたが、江戸に戻るよう命令が下った。；仙台藩ではこれを豊臣秀次の命令によるものであったと主張している。；この命令は英蘭軍の戦線は尾根ではなくその奥の村にあると想定していた。；彼は部下にトスカをリサイタル終了後にここに呼ぶように命令する。；CPU類は限られた数の明確で単純な命令しか持っていない。；このとき司令官から可能な限りタータンを揃えるよう命令が下されている。；神の命令の範囲内で、人は自らの進路を選択する自由意志が与えられている。；命令の一部の数値は命令コードと呼ばれ、実行すべき処理を指定する。；紛争が激化すると、戦闘の拡大を防ぐため停戦命令を発することがある。</t>
        </is>
      </c>
      <c r="J8243">
        <f>HYPERLINK("https://www.weblio.jp/content/命令", "词义详情")</f>
        <v/>
      </c>
      <c r="K8243">
        <f>HYPERLINK("https://yourei.jp/命令", "查看例句")</f>
        <v/>
      </c>
    </row>
    <row r="8244">
      <c r="A8244" t="inlineStr">
        <is>
          <t>明朗</t>
        </is>
      </c>
      <c r="B8244" t="inlineStr">
        <is>
          <t>成功</t>
        </is>
      </c>
      <c r="C8244" t="inlineStr">
        <is>
          <t>読み方：めいろう
［名・形動］
１こだわりがなく、明るくほがらかなこと。また、そのさま。「健康で—な青年」「—快活」
２内容をはっきりと示して、うそやごまかしがないこと。また、そのさま。「—な人事」「—会計」
[派生]めいろうさ［名］</t>
        </is>
      </c>
      <c r="D8244" t="inlineStr">
        <is>
          <t>明朗快活(4%)；明朗化(4%)；明朗な性格；明朗闊達；明朗活発</t>
        </is>
      </c>
      <c r="E8244" t="inlineStr">
        <is>
          <t>明るい；元気；陽気；快活；朗らか</t>
        </is>
      </c>
      <c r="G8244" t="inlineStr">
        <is>
          <t>明朗会；明朗闊達</t>
        </is>
      </c>
      <c r="H8244" t="n">
        <v>29</v>
      </c>
      <c r="I8244" t="inlineStr">
        <is>
          <t>紳士的で明朗闊達な男だと思ったが、それ以上の強い印象は持たなかった。；天中殺がない人は四柱の各機能が全開するため性格が明朗で理解しやすい。；気立のいい明朗な女性のようでしたし、手紙の中は読みませんでした。；此役に欠けぬと見える明朗に過ぎたのも、必しも適してゐるとは言へぬ。；その建議書は新聞雑誌に掲載され、国家予算の明朗化の第一歩となった。；むしろ明朗で屈託がなく、そうするほうが自然なことのように思えた。；一応、一時の気休めは出来たようなものの、気持は必ずしも明朗ではない。；どうして古の賢者が気高く明朗であることに、後世の人は及ばないのだ!；小学校へ入ると直ぐ級長になり、明朗で頭が鋭いと先生も褒めて下さる。；こゝには暗い影の些さかもない、明朗そのものゝやうな木造建築がある。；病気の終りごろには、少しもむらのない一種の明朗さをもってきた。；君の明朗さにひきずられて、僕の感じていることを君にお話しよう。；右肩にも麻痺が来ているとか聞いたが、にもかかわらず実に性格の明朗な方だ。；明朗とか陰鬱とかは、真の人生に於て別に大した問題ではあるまいと考える。；サムネイル アメリカ人の映画に求める明朗な嗜好があらわれた作品で知られる。；こっちの意識が数秒、失われていたのかと疑いたくなる明朗な即断。；と訊かれて明朗な女性と答えないのがいたらお目にかかりたいようなものである。；ルドガーの知るこの人物は、本来もっと明朗快活な人物だったはずだ。；ロベールは兄マルセルとは対照的に、身体が丈夫で明朗な性格であった。；黒目が大きいせいか明朗な印象の一重瞼の目が、心配そうに梨央を見ている。；そこにもし私一人いなかったら、家の中はどれほど単純明朗になっていたかわからない。；その機敏さは性格にも現われているようで、はきはきとした明朗な若者である。；ところが、その明朗な性格が、あの物語と、どういう関係があるのでしょう。；しかし天皇がそんなに「明朗ニアラセラレ」たかどうかは疑問である。；彼の性質が明朗だった上、小才が利くので、上官から可愛がられていた。；その明朗さが隼斗の傷を少しでも早く癒してくれるかもしれない。；明朗快活な性格で誰からも好かれているのに、彼女はそんな自分が嫌いだという。；明朗すぎて逆に店に悪いことをしたような気持になった。；彼は、何よりも音楽の明朗さを内に持っているはずだ。</t>
        </is>
      </c>
      <c r="J8244">
        <f>HYPERLINK("https://www.weblio.jp/content/明朗", "词义详情")</f>
        <v/>
      </c>
      <c r="K8244">
        <f>HYPERLINK("https://yourei.jp/明朗", "查看例句")</f>
        <v/>
      </c>
    </row>
    <row r="8245">
      <c r="A8245" t="inlineStr">
        <is>
          <t>迷惑</t>
        </is>
      </c>
      <c r="B8245" t="inlineStr">
        <is>
          <t>成功</t>
        </is>
      </c>
      <c r="C8245" t="inlineStr">
        <is>
          <t>読み方：めいわく
［名・形動］(スル)
１ある行為がもとで、他の人が不利益を受けたり、不快を感じたりすること。また、そのさま。「人に—をかける」「—な話」「一人のために全員が—する」
２どうしてよいか迷うこと。とまどうこと。
「一生の間煩悩の林に—し」〈倉田・出家とその弟子〉
[派生]めいわくがる［動ラ五］めいわくげ［形動］めいわくさ［名］</t>
        </is>
      </c>
      <c r="D8245" t="inlineStr">
        <is>
          <t>迷惑そう(5%)；迷惑な話；迷惑をかけたく；迷惑がら；迷惑な存在</t>
        </is>
      </c>
      <c r="E8245" t="inlineStr">
        <is>
          <t>非；困難；障害；故障；面倒</t>
        </is>
      </c>
      <c r="F8245" t="inlineStr">
        <is>
          <t>御迷惑；いい迷惑；近所迷惑；多大な迷惑；迷惑かける</t>
        </is>
      </c>
      <c r="G8245" t="inlineStr">
        <is>
          <t>迷惑千万；迷惑メール；迷惑防止条例；迷惑電話；迷惑料</t>
        </is>
      </c>
      <c r="H8245" t="n">
        <v>29</v>
      </c>
      <c r="I8245" t="inlineStr">
        <is>
          <t>モアレは迷惑な現象だけではなく、これを積極的に利用することもある。；無暗と人を殺したがる人に、一緒に生活されるのは、迷惑な話ではある。；耕太は家族に向けて先のことへの不安を口にし迷惑ばかりかけていると話す。；あんたのおかげで迷惑をこうむったみたいな気持ちなんでしょうかね。；後にご迷惑になっても相済みませぬ、門は開かなくとも結構でございます。；実際に出版した後に、本当にご迷惑をお掛けした方も多数おられます。；ナターリアは、今まで迷惑をかけてきた姉のためにとダンテスに近づく。；自殺と見られ遺書に「ご迷惑をお掛けして申し訳ない」と書かれていた。；大介はケイに迷惑をかけた詫びに後日相談に乗ると約束し、一旦別れた。；また娘や息子に迷惑がかからないように人生を終えるといつも言っていた。；北野誠のラジオ番組・イベントでの発言で迷惑をかけた関係者への謝罪。；こんな事になると御迷惑があなたにかからないとも限りませんから。；知りもしないものが、突然お驚かせ申して、御迷惑の所はお許し下さい。；しかし、今の鬼太郎が向かっても街を破壊し迷惑をかけるだけだった。；案里は複数の党幹部に電話し「ご迷惑をお掛けしている」と陳謝した。；こうして、一成にとっては迷惑ながら刺激的な生活が始まったのである。；非常に危険かつ迷惑な行為とされ、各自治体に置いて条例で規制されている。；この方は紳士だし、友人に迷惑をかけたくないのだと思いました。；何と、皆のもの、迷惑ながらこの所望を叶えてくれる訳には行くまいか。；また、迷惑をかけたファンや関係者への詫び状も送付したと報じられる。；もしこのことが知れわたって、どこかの誰かに迷惑をかけてはいけないから。；黄金仮面と聞くと、聊か迷惑そうにしていた明智の顔が俄かに緊張した。；ご婦人がまだお部屋なら、出向いてもお邪魔にもご迷惑にもなりますまい。；こうなると近所迷惑で、長屋中のものはみな自身番の取り調べをうけた。；「飛んだ御迷惑をかけまして」と大江山警部の口調は丁重を極めていた。；葬儀は親族らの「銀行に迷惑がかかる」との理由で密葬の形式となった。；宿に頼んで何か机を貸してくれというと、大抵の家では迷惑そうな顔をする。；宿に頼んで何か机をかしてくれというと、大抵の家では迷惑そうな顔をする。；これから弟子達に付添われてお宅にお礼に伺うという迷惑なものだった。</t>
        </is>
      </c>
      <c r="J8245">
        <f>HYPERLINK("https://www.weblio.jp/content/迷惑", "词义详情")</f>
        <v/>
      </c>
      <c r="K8245">
        <f>HYPERLINK("https://yourei.jp/迷惑", "查看例句")</f>
        <v/>
      </c>
    </row>
    <row r="8246">
      <c r="A8246" t="inlineStr">
        <is>
          <t>目上</t>
        </is>
      </c>
      <c r="B8246" t="inlineStr">
        <is>
          <t>成功</t>
        </is>
      </c>
      <c r="C8246" t="inlineStr">
        <is>
          <t>読み方：めうえ
階級・地位や年齢が自分より上であること。また、その人。⇔目下(めした)。</t>
        </is>
      </c>
      <c r="D8246" t="inlineStr">
        <is>
          <t>目上目下；目上運</t>
        </is>
      </c>
      <c r="E8246" t="inlineStr">
        <is>
          <t>上；先輩；上位；年上；シニア</t>
        </is>
      </c>
      <c r="H8246" t="n">
        <v>29</v>
      </c>
      <c r="I8246" t="inlineStr">
        <is>
          <t>私は、彼が目上の人に叱られている時は、きいていないふりをしていた。；相手が先輩であろうと目上であろうと言うべきことははっきり言う。；目上の人にそんなこと、わざわざ言いたかないんですよあたしだってさあ。；その反面、目上の人を相手にするときやビジネスの場では用いられない。；彼と愛蘭は目上のものたちから解放されるのをよろこんで招きに応じた。；あれも、目上の人間が文字通り目上になるための仕掛けだったのである。；現在では、転じて、事件などを急いで目上の人に報告することを指す。；また明るいこと、目上に向かって語ること、その地方の長などを意味する。；そして私は昔から少数の目上の人に愛されたことなんか一度もありませんでしたよ。；礼教のやかましい時代、目上の者を名で呼んではならないのである。；そんな目つきされたら、とても先輩とか目上とか思えないじゃないか。；また、先輩や監督など目上の人物にも物怖じせず、発言できる人物である。；目上の貴族たちの前で自分の考えを開陳するのは分不相応であると思っていた。；破壊された中には、票目上はKFORの保護下となっていた場所も含まれる。；目上の相手に話しかける言葉とも思えないが、若者は無言で会釈した。；目下の者がこの挨拶をすれば目上は必ず同じ挨拶で答えるのが礼儀となっている。；武術を学ぶ身が感情を抑制できず、目上の人間に対して暴行を働くとは。；目上の親族を訴えたお岩は儒教の教えに背くものとしてその罪が問われた。；よって目上は左に立ち、目下の者は二心なきことを示すために、右に立つ。；少なくともその二人の私服刑事よりは、長瀬の方が目上といった感じだ。；自分で付き添っていかなかったのは目上の人々に詫びるためである。；そもそも人間というのは目上の人、歳上の人には威圧されてしまうものだ。；かれらはクトゥーチクあるいは目上の人間の命令しか聞かないの。；さらに言えば、目上の人間とあまり口をきく必要がないのである。；これらは品のない印象があるため、目上の人に対して使う場合は注意が必要である。；召使たちは目上の者が許可してもよさそうなことを禁じた場合に不平を言います。；これから先は、もう目上のものをだまそうなどとは思わぬがよい。；誰一人、目上の人達で捨吉の焦っている心を知ろうとするものも無かった。；目上には長岡氏を名のる兄が二人、前野長岡両家に嫁した姉が二人ある。</t>
        </is>
      </c>
      <c r="J8246">
        <f>HYPERLINK("https://www.weblio.jp/content/目上", "词义详情")</f>
        <v/>
      </c>
      <c r="K8246">
        <f>HYPERLINK("https://yourei.jp/目上", "查看例句")</f>
        <v/>
      </c>
    </row>
    <row r="8247">
      <c r="A8247" t="inlineStr">
        <is>
          <t>目方</t>
        </is>
      </c>
      <c r="B8247" t="inlineStr">
        <is>
          <t>成功</t>
        </is>
      </c>
      <c r="C8247" t="inlineStr">
        <is>
          <t>読み方：めかた
物の重さ。はかりで量った重さ。重量。「—で売る」「—がふえる」</t>
        </is>
      </c>
      <c r="D8247" t="inlineStr">
        <is>
          <t>目方恵子(13%)</t>
        </is>
      </c>
      <c r="E8247" t="inlineStr">
        <is>
          <t>重量；重さ；重み；荷重；斤量</t>
        </is>
      </c>
      <c r="F8247" t="inlineStr">
        <is>
          <t>惣横目方</t>
        </is>
      </c>
      <c r="H8247" t="n">
        <v>29</v>
      </c>
      <c r="I8247" t="inlineStr">
        <is>
          <t>これこれというのは目方であるが、どれほどだったかは忘れてしまった。；彼はそれらを持ちあげてみて、適当な目方とバランスのやつを選んだ。；その頃の十兩は金の目方にしてざつと四十匁、容易ならぬ一と身上です。；目方を減らしたいのが、私のこの二十年来の山歩きの願いの一つである。；長すぎるし目方もかなりあるので、とても腕で構えて射つことは出来ない。；逆に充実しているというような賞め方をする人には次のような例を。；ラストをかなり強引と見るか上手いまとめ方とみるかで論が分かれている。；エリよりも頭ひとつぶん背が高いが、目方はおそらくずっと軽いに違いない。；そこでおれたちは、その認め方さえ教えてくれたら、そうしようと言った。；家督をついだせいか頬にも肉がつき、十年前よりは目方も増えている。；彼女を東京に呼んだ目方恵子は、この四月になって床につく日が多くなった。；ほかの舟より先にあがってたき火をし、着物を干して、魚を目方にかけた。；それはたいへん身の緊まった魚で、見かけの大きさよりは目方がある。；医局の前にある量りで目方を計ってみると、五十三キロになっていた。；まずあの捕虜のところまで行って、あの男の目方ぶんの砂袋を投げるんだ。；妊娠中は別にして、実に十数年自分の目方など正確に計ったことがなかった。；走らなければ目方が落ちないことを知っているからね、エディさんは。；薄い金属なので目方はかるく、シフトの一台へ二人でらくに運びこめた。；或る特殊な歴史生活が流した汗の目方がかかっている。；後部座席に坐った目方恵子は、それでも黙って目を閉じつづけていた。；硫安の薄め方となるとずいぶん色々ですがなあ、天気にもよりますしね。；しかし目方の重い象ではここまでは降りてこられないだろう。；豆板銀の中で特に小粒のものは露銀と呼ばれ、僅かな目方の調整に用いられた。；そしてそれらの測定資料から各結晶の目方と落下速度との関係も見ることが出来た。；とても普通の目方では数へる事が出来ないから、私が代りに返事して上げやう。；金の目方を計ってみると、それだけでも、相当の額になることがわかりました。；兄がパリへ出て来てから私は、こうしてあなた、目方が五キロから減りました。；本物の山だったら、これだけ大きいと、自分の目方で崩壊してしまうかもしれない。；まるで神さまが部屋にでも入ってきたかのようなながめ方だった。</t>
        </is>
      </c>
      <c r="J8247">
        <f>HYPERLINK("https://www.weblio.jp/content/目方", "词义详情")</f>
        <v/>
      </c>
      <c r="K8247">
        <f>HYPERLINK("https://yourei.jp/目方", "查看例句")</f>
        <v/>
      </c>
    </row>
    <row r="8248">
      <c r="A8248" t="inlineStr">
        <is>
          <t>眼鏡</t>
        </is>
      </c>
      <c r="B8248" t="inlineStr">
        <is>
          <t>成功</t>
        </is>
      </c>
      <c r="C8248" t="inlineStr">
        <is>
          <t>読み方：がんきょう
めがね。「—店」</t>
        </is>
      </c>
      <c r="D8248" t="inlineStr">
        <is>
          <t>眼鏡越し；眼鏡屋；眼鏡店；眼鏡をかけ直し；眼鏡なし</t>
        </is>
      </c>
      <c r="E8248" t="inlineStr">
        <is>
          <t>メガネ</t>
        </is>
      </c>
      <c r="F8248" t="inlineStr">
        <is>
          <t>なし眼鏡；大きな眼鏡；強い眼鏡；銀縁眼鏡；黒い眼鏡</t>
        </is>
      </c>
      <c r="G8248" t="inlineStr">
        <is>
          <t>眼鏡っ娘；眼鏡犬；眼鏡岩；眼鏡猿；眼鏡絵</t>
        </is>
      </c>
      <c r="H8248" t="n">
        <v>29</v>
      </c>
      <c r="I8248" t="inlineStr">
        <is>
          <t>本を読むときは眼鏡をかけるが、忘れやすいので結局ほとんど使わない。；戦争中には新しい眼鏡を手に入れるのはほとんど不可能であったのである。；登場人物は男女を問わず手袋・眼鏡を着用しているキャラクターが多い。；眼の周囲が白く左右の眼の間には白い横縞が入るため、眼鏡状に見える。；また、これ以外の眼鏡を私費で購入して着用することも認められていた。；眼鏡や柱時計のような改良は、毎日の暮らしに更に大きな影響を与えた。；眼鏡を取った顔は非常に小さい目をしており、この点は母親似である。；眼鏡を紛失しないように、首に掛けておき着脱を容易にする働きがある。；岩の手前は眼鏡岩寺の境内となっており、公園としても整備されている。；一方、眼鏡商人からは、流行するたびに必ずといってよいほど嫌われた。；海面に映る姿が眼鏡の形に似ていることから眼鏡岩と名付けられている。；レースの際も眼鏡を着用し、ずれないようにヘアバンドで固定している。；タレントゲストはほとんどの場合眼鏡をかけて知的な雰囲気を演出している。；そのため、漢民族が多数を占める社会では眼鏡は重要なアイテムであった。；また、ヒロインに眼鏡をつけたり外したりすることができる機能もある。；日常生活では眼鏡をかけるが、公の場ではコンタクトレンズを使用する。；眼鏡をかけている人用に、眼鏡の上に着用できるスキーゴーグルがある。；眼鏡を認められた溥儀が最初に見たものは、お妃候補たちの写真であった。；ライダーの表情や眼鏡利用者の視線を相手に見せないようにすることができる。；ここでは中世の眼鏡から最新機器まで様々な光学機器を見ることができる。；眼鏡は別の誰かの発明したものだが、その人物はそれを秘密にした。；眼鏡をかけたまま競技をすることがトレードマークの選手であった。；また、眼科医などのほかに眼鏡販売店の店長等を務めていた者もいた。；そのヒットもあり、眼鏡のマイナスイメージは次第に軽減されていった。；一族の成人は「先生」と呼ばれる職に就き、男子は眼鏡を着用している。；操縦室中央部には九七式特眼鏡を操作するための踏み台が備えられていた。；全員がタマネギ風の髪型で、同じ形の眼鏡をかけ、菱形の口をしている。；また徳川家康が使用したと伝わる眼鏡も久能山東照宮に現存している。；通常から眼鏡をかけており、舞台に立つ時もおおむね眼鏡を欠かさない。</t>
        </is>
      </c>
      <c r="J8248">
        <f>HYPERLINK("https://www.weblio.jp/content/眼鏡", "词义详情")</f>
        <v/>
      </c>
      <c r="K8248">
        <f>HYPERLINK("https://yourei.jp/眼鏡", "查看例句")</f>
        <v/>
      </c>
    </row>
    <row r="8249">
      <c r="A8249" t="inlineStr">
        <is>
          <t>めきめき</t>
        </is>
      </c>
      <c r="B8249" t="inlineStr">
        <is>
          <t>成功</t>
        </is>
      </c>
      <c r="C8249" t="inlineStr">
        <is>
          <t>［副］
１目に見えて、進歩・発展するさま。「—（と）腕をあげる」
２物がこわれたり、きしんだりする音を表す語。めりめり。「床が—（と）鳴る」</t>
        </is>
      </c>
      <c r="D8249" t="inlineStr">
        <is>
          <t>めきめきと頭角(9%)；めきめきと腕(4%)；めきめきと上達(3%)；めきめきと売り出し；めきめきと力</t>
        </is>
      </c>
      <c r="E8249" t="inlineStr">
        <is>
          <t>よく；最も；非常；非常に；かなり</t>
        </is>
      </c>
      <c r="H8249" t="n">
        <v>29</v>
      </c>
      <c r="I8249" t="inlineStr">
        <is>
          <t>男の腕の下であえいでいるのは、最近めきめき売り出し中の若い女優だ。；故郷に残った人の中にもめきめき状況を改善していった者があった。；めきめきと、音をたてて自分の肉体が強くなってゆくようであった。；こうして瀧は作曲とピアノ演奏でめきめきと才能を伸ばしていった。；お蔭で私は自分でも気がつくほどめきめきと元気が出てまいりました。；ここ、めきめきと、江戸市井の中に、男を売り出した一人の遊侠がある。；その健康がめきめきと回復してゆかない女は少ないが、この健康にこそ嘘はないのである。；生れた男の子は、初めのうちは小さくてひ弱だったが、めきめき大きくなった。；クイノネスの指導の下、デュランはめきめきと腕を上達させていった。；だんだん奥地へ進むにつれ、先生の植物語はめきめき上達してゆきました。；その日から、草は太陽の光を受けて、めきめきと成長いたしました。；かれは一年のあいだに身体がめきめきと発達したので制服の腕や胴は身体の肉がはちきれそうに見える。；ぼくが日頃の努力の結果、めきめきと頭角を現していることを知らないのだ。；かなり厳しいけど、さすがにいいコーチぶりで、うちのチームはめきめきと腕を上げています。；この二、三日、どうもアリやカブトムシが、めきめき殖えてきたようだ。；このところ、数年の間に、めきめきと売出した若手の私立探偵であった。；かれはなかなか頭がよくて、覚えも早く、わしが出発するまでにめきめきと上達した。；あの森の木のめきめき云うのをお聞きなさい。；彼はこの数年、若い女性を中心にめきめきと業績を伸ばしてきた。；それで一、二年の間にはめきめき腕が上がって私の手伝いも立派にするようになりました。；この頃からめきめき美しくなった千花を、まわりの男の子たちがほうっておくはずはなかったのだ。；するとそのとき、ふいに屋根の上がめきめきと鳴り出したのである。；最後の木が、めきめきばきばきすーん、と倒れて、戦車は止まりました。；隆ちゃんもやはりめきめきはっきりした手紙かくようになってまいりますね。；最近では珍しいほどの古典的美貌で、CMでもめきめき人気が出ている女優だ。；身体はめきめきとかたまって大人に近づいて来たが、心は彼の周囲の大人なみとも見えなかった。；ギター好きな母親の影響でギターの練習には絶好の環境にあったため、彼はめきめきと腕を上達させていった。；その若高見は後輩の小錦がめきめき力をつけてくるのに刺激されて自分も強くなることができなかった。；稽古熱心なたりたは朝夕千本の素振りを日課とし、めきめきと上達した。</t>
        </is>
      </c>
      <c r="J8249">
        <f>HYPERLINK("https://www.weblio.jp/content/めきめき", "词义详情")</f>
        <v/>
      </c>
      <c r="K8249">
        <f>HYPERLINK("https://yourei.jp/めきめき", "查看例句")</f>
        <v/>
      </c>
    </row>
    <row r="8250">
      <c r="A8250" t="inlineStr">
        <is>
          <t>目薬</t>
        </is>
      </c>
      <c r="B8250" t="inlineStr">
        <is>
          <t>成功</t>
        </is>
      </c>
      <c r="C8250" t="inlineStr">
        <is>
          <t>読み方：めぐすり
１眼病のとき、目に直接用いる薬。点眼剤。「—をさす」
２賄賂(わいろ)としてのきわめてわずかの金銭や贈り物。鼻薬。「—がきく」</t>
        </is>
      </c>
      <c r="D8250" t="inlineStr">
        <is>
          <t>目薬容器(2%)；目薬屋；目薬売り；目薬ハイボール；目薬さし</t>
        </is>
      </c>
      <c r="H8250" t="n">
        <v>29</v>
      </c>
      <c r="I8250" t="inlineStr">
        <is>
          <t>鏡のなかの美由紀は、目薬が頬をつたって涙を流しているように見える。；アレルギーのシーズンであれば目薬も大量に出まわっているであろう。；今なら、涙は無理でも目薬で演出すればそれなりの表情は出来そうだった。；目薬が口に入ってしまわないかと、こっちは、よけいな心配をしている。；目薬が切れていたので、作業の途中だったが購買部へ買いに行くことにした。；ハンカチティッシュさえ忘れた奴が、目薬なんて持っているわけもない。；内部で問題のある目薬が見つかり、それは現在は公表されていない。；工学部なので、薬自体ではなく、目薬の容器の開発に関する研究なのだ。；パンテノールは日本では目の疲れをとる目的で目薬に配合している製品もある。；現在でもその誘導体が目薬・胃薬などに配合され、一般に使用されている。；そこで残っていたのを目薬の瓶に入れてもう一度プレゼントした。；昨日それを気にして目薬さしながら、ひょっとしたらこれは重い病のように思う。；あの目薬の中身がなんなのかは知らないけど、これで公平になったわけでしょ?；そうか、目薬も、あちこちで見つかったけれど、最近ないね、もう終息?；写真ができたとか、目薬をお持ちじゃありませんかとか。；目薬に劇物を入れたのが誰なのか、についてはまったくわからない。；問題の目薬を、被害者は店で買ったあと、ずっと自分のバッグに入れていたのです。；「ちょっとさしてくれないかな」と目薬を渡された、と宮本は話した。；はっきりいって、目薬というのは、それほど管理されている商品ではないのです。；立ち上がって旅行鞄から目薬を取り出し、大げさな身振りで眼に注いだ。；目薬の効果は想像以上に的確で、桂子はうなだれるように眠っている。；戦前までに目薬を始め様々な薬を販売した。；まして、二階から階下にいる人間に目薬をさすとなると、大変である。；つぎに、目薬と、それを嫌がったときのための、頭を固定する器具はないか。；ミュージック・ビデオでは泣いているシーンでは演技にも挑戦したが目薬を使用したことを監督からバラされた。；目薬のことで、目に点眼して目の症状、疾患を治癒したりする薬剤の総称。；一五二〇号室の冷蔵庫に残されていた目薬も、日高晴子がそこに来ていたことを示している。；発明した目薬の作用も、これではっきりしたわけだ。；三 昔目薬の広告にそんな形のがあった。</t>
        </is>
      </c>
      <c r="J8250">
        <f>HYPERLINK("https://www.weblio.jp/content/目薬", "词义详情")</f>
        <v/>
      </c>
      <c r="K8250">
        <f>HYPERLINK("https://yourei.jp/目薬", "查看例句")</f>
        <v/>
      </c>
    </row>
    <row r="8251">
      <c r="A8251" t="inlineStr">
        <is>
          <t>恵まれる</t>
        </is>
      </c>
      <c r="B8251" t="inlineStr">
        <is>
          <t>成功</t>
        </is>
      </c>
      <c r="C8251" t="inlineStr">
        <is>
          <t>読み方：めぐまれる
［動ラ下一］［文］めぐま・る［ラ下二］《動詞「めぐ（恵）む」の未然形に受身の助動詞「れる」の付いた形から》よい機会・境遇・才能などが運よく与えられる。「天候に—・れる」「弁舌の才に—・れる」「子宝に—・れる」「—・れた体格」</t>
        </is>
      </c>
      <c r="D8251" t="inlineStr">
        <is>
          <t>恵まれる可能性</t>
        </is>
      </c>
      <c r="H8251" t="n">
        <v>29</v>
      </c>
      <c r="I8251" t="inlineStr">
        <is>
          <t>しかし夫婦仲は良好であり、子に恵まれ家庭生活は幸せなものであった。；彼女は類い稀な変わらぬ美貌を得たが、結婚や子宝には恵まれなかった。；今作も人気はあったがあまり再放送されずソフト化に恵まれなかった。；フリッツは、同じ研究室にいた友人にも恵まれ、才能を発揮していった。；ほしいことはほしいけど、ほしいからといって急に恵まれるものではない。；その後、たまたまある場所でテレビの実験放送を見る機会に恵まれる。；阿蘇山は巨大な火山ゆえに、その周辺はたくさんの温泉に恵まれている。；また、温暖な地域では、降雨に恵まれさえすれば冬にも発生がみられる。；以上これだけの数の結婚を繰り返したが、子女に恵まれることはなかった。；これから先も夫とのあいだに子どもが恵まれることはあるまい。；私もそう思うのだが、単に待っていればよき出会いに恵まれるわけではない。；産めることがわかったんだから、またチャンスに恵まれるかもしれない。；その分だけ、アーティストが機会に恵まれることはいうまでもない。；ただしその資格を発揮する機会には生涯、恵まれることがなかった。；これほどの高禄を恵まれるところは日本六十余州にないはずだぞ!；これは、武蔵国でもこの一帯が水に恵まれていたためであると考えられている。；しかしここでは登板機会にあまり恵まれず、1980年限りで現役引退。；米と同様に良い水に恵まれていることが麺の要因となっている。；しかしその後は僅かな佳作を除いて出演作に恵まれることは無かった。；道路を挟んだすぐ先にオホーツク海があるなど、豊かな自然に恵まれている。；恵北の名称は「北の地で幸せに恵まれるように」との意であるとされている。；この曲は1915年に作曲されたが、演奏の機会に恵まれなかった。；統計からは農業は減少傾向にあるが流通、豊富な水には恵まれている。；その先生のおかげで、普通の高校生活が送れ、良い友達にも恵まれた。；その一方、未完作品や雑誌掲載作品の単行本化に恵まれないことも多い。；本当にツキに恵まれるべき瞬間は、セイバーとの戦闘の最中にあったのだ。；しかし、このシーズンも出番には恵まれず、14試合の出場に終わった。；豊かな自然に恵まれたイサカとその周辺では観光業が発展している。；人間どんなに努力しても注意しても、ある者は恵まれるし、ある者は不幸になる。</t>
        </is>
      </c>
      <c r="J8251">
        <f>HYPERLINK("https://www.weblio.jp/content/恵まれる", "词义详情")</f>
        <v/>
      </c>
      <c r="K8251">
        <f>HYPERLINK("https://yourei.jp/恵まれる", "查看例句")</f>
        <v/>
      </c>
    </row>
    <row r="8252">
      <c r="A8252" t="inlineStr">
        <is>
          <t>恵み</t>
        </is>
      </c>
      <c r="B8252" t="inlineStr">
        <is>
          <t>成功</t>
        </is>
      </c>
      <c r="C8252" t="inlineStr">
        <is>
          <t>読み方：めぐみ
１めぐむこと。恩恵。また、いつくしみ。「自然の—」「天の—」
２キリスト教で、原罪にもかかわらず信仰によって与えられる神の愛による救済をいう。聖寵(せいちょう)。</t>
        </is>
      </c>
      <c r="D8252" t="inlineStr">
        <is>
          <t>恵み深い(3%)；恵み深き；恵み深く；恵み豊か；恵みぶかい</t>
        </is>
      </c>
      <c r="E8252" t="inlineStr">
        <is>
          <t>好意；優雅；愛想；恩；趣</t>
        </is>
      </c>
      <c r="F8252" t="inlineStr">
        <is>
          <t>御恵み；み恵み；豊かな恵み；大きな恵み</t>
        </is>
      </c>
      <c r="G8252" t="inlineStr">
        <is>
          <t>恵み野；恵み野駅；恵み野中央公園；恵み野駅西口周辺開発事業；恵みの庭</t>
        </is>
      </c>
      <c r="H8252" t="n">
        <v>29</v>
      </c>
      <c r="I8252" t="inlineStr">
        <is>
          <t>周りを山 めぐ に囲まれた村は、その山の恵みを受けて生活していた。；さわやかな夕風の恵みをうけたことはない肉体とは関係がなかったのだ。；深い愛を自分自身のうちに持っているもののみが、真に人類を恵み得る。；私は今のあの三人で分かちあった天の恵みを一生涯忘れはしませんよ。；おれたちがこんな恵みを受けるなんて、誰が考えていたものがあったろう。；自然の恵みが救ってくれたこのときの経験により自然への関心を強めた。；ここの人々は山の恵みに目を開かされ、生かされてきたともいえます。；これは天の特別のお恵みだ、と、そう考えるようになって来たのです。；すると、伯爵は、お恵みの代わりに女房にしろといって娘をくれてやった。；之を人が作るとは云ふが、自然の恵みが作らせるのだと云ふ方がもつと正しい。；即ち大なる恵みの理想化されたものが仏の像であるといつてもよい。；彼らは、自然の恵みから啓示を受けて、様々なものを創造してきました。；何人も自然の恵みを受けずして、一つだに美しき作を産むことはできぬ。；もともと日光の恵みなど当てにしていないような、窓の取り方である。；もし君の両親が正しい夢を見れば、夢の中でお恵みだと思うだろうよ。；森の恵みを体感できるツアーへの参加で地域とのつながりを強化している。；今の私は、神や仏の教へにしたがひ恵みに育つ神の子でもありませぬ。；この光は恵み深い自然が月のないこの惑星に与えたものである。；けれどもそれは、たまたま運命に許されての、偶然な恵みにすぎなかった。；周りは畑で、道の脇には天の恵みを受けようと木が緑の葉を一杯に広げていた。；大自然の恵みであるナイルの氾濫を人間が抑えてしまったからである。；神さまのお恵みってもの、いまあたしにその意味がはっきりわかったわ。；残してくれた恵みに感謝し、それを与えてくれた人の無事を祈願するために。；この恵みを十二分に受けて沖縄の本葺が屋根の美しさを生んでいるのです。；私にお恵みくださらなかった幸福な日々のすべてを君らに恵まれんことを。；キリスト教でも、神から届けられている恵みを感じることが重視されている。；なにしろ淑かで底がしっかりもので恵み深い夫人だったそうですから。；天に上って恵みを受けるのは多分わが輩の魂のほうなるやしれず。；人間が恵みを受けるのは、直接キリストからであるとされている。</t>
        </is>
      </c>
      <c r="J8252">
        <f>HYPERLINK("https://www.weblio.jp/content/恵み", "词义详情")</f>
        <v/>
      </c>
      <c r="K8252">
        <f>HYPERLINK("https://yourei.jp/恵み", "查看例句")</f>
        <v/>
      </c>
    </row>
    <row r="8253">
      <c r="A8253" t="inlineStr">
        <is>
          <t>恵む</t>
        </is>
      </c>
      <c r="B8253" t="inlineStr">
        <is>
          <t>成功</t>
        </is>
      </c>
      <c r="C8253" t="inlineStr">
        <is>
          <t>読み方：めぐむ
［動マ五（四）］
１気の毒に思って金品を与える。施し与える。「困っている人に金を—・む」
２神仏や上に立つ者が人々に恩恵や慈悲を与える。いつくしむ。
「道の中国つ御神は旅行きもし知らぬ君を—・み給はな」〈万・三九三〇〉</t>
        </is>
      </c>
      <c r="D8253" t="inlineStr">
        <is>
          <t>くれる；与える；上げる；提供する；送る</t>
        </is>
      </c>
      <c r="H8253" t="n">
        <v>29</v>
      </c>
      <c r="I8253" t="inlineStr">
        <is>
          <t>行きは何とも思わなかったが、帰りはかわいそうに感じて恵んであげた。；どこに、大自然の恵んでくれる本物を食いたくない人間などいるだろう。；たづねてくる人にはみな、いくらかのお金かパンかを恵んでやりました。；出発の時には僕が見届けてやる、そしてその時二万フランは恵んでやる。；わしは葱を一本恵んでやったために、こうしてここへ呼ばれたわけなのだ。；天は万人に皆生命を与え、生活の資料を給し、これに光を恵んで居る。；けれどもし昼間私を見たら、一スーの金でも恵んでくれるでしょうか。；おれはあの人の前に、罪を許して愛を恵んでやる男の役割で現われるわけだ!；ふらつく足で奥へと歩くうち、何かにつまずいて派手に恵んでしまった。；だが、運命が私に恵んでくれなかったおかげで、私は私自身を見出した。；あんたにしてからが、一度でも乞食に恵んでやったことがあるかい。；正雄が本家へと向かうと、何のかんのと言いながら恵も後を追ってきた。；ただ母は自分が作っている菜園に陽光を恵まなければならないのだ。；二人のものに、ものを恵んでくれたものは、このおじいさん一人だけでした。；百歳以上に三石、九十歳以上に二石、八十歳以上に一石の米を恵むと。；もしあなたが大金を恵んだりしたら、いんねんをつけに出てくるでしょう。；そこで一同は、この天の恵んでくれた食料をどんどん手づかみにした。；いちばん欲しいときに恵んでくれたのは坊さんじゃないんだよ。；といってもなにひとつ彼らに恵んでやりはしなかった。；一杯の水とお慈悲をちょっとばかり恵んでやったじゃないか。；世界中の事と人とが皆自分の為に動いて居る様で、哀れな者に恵まずには居られなかった。；待つうちに食うものに困るようになったので、仲間の卒が食事を恵んでやった。；二人の姉は追い払おうとするが、チェネレントラはパンとコーヒーを恵む。；かわいそうだったがたとえわずかの銭でも恵んでやることはかえって女のためにならない。；仕事に何日もあぶれた時には、食い物を恵んでくれることもあった。；慈悲ぶかい神はときに応じて、記憶の削除を恵んでくれるものなのだ。；チグリス河はその泥に濁った水の数滴を私に今恵んではくれないであろうか。；その途中で、出獄したばかりの二人組の男に出会い、パンを恵んでもらう。；あたしだって葱を一本恵んでやったことがあるんだものね。</t>
        </is>
      </c>
      <c r="J8253">
        <f>HYPERLINK("https://www.weblio.jp/content/恵む", "词义详情")</f>
        <v/>
      </c>
      <c r="K8253">
        <f>HYPERLINK("https://yourei.jp/恵む", "查看例句")</f>
        <v/>
      </c>
    </row>
    <row r="8254">
      <c r="A8254" t="inlineStr">
        <is>
          <t>巡り合う</t>
        </is>
      </c>
      <c r="B8254" t="inlineStr">
        <is>
          <t>成功</t>
        </is>
      </c>
      <c r="C8254" t="inlineStr">
        <is>
          <t>読み方：めぐりあう
［動ワ五（ハ四）］めぐりめぐって出あう。別れ別れになっていた相手や、長く求めていたものに出あう。「生き別れた親子が—・う」「幸運に—・う」</t>
        </is>
      </c>
      <c r="D8254" t="inlineStr">
        <is>
          <t>会う；遭遇；あう；出会う；面会</t>
        </is>
      </c>
      <c r="H8254" t="n">
        <v>29</v>
      </c>
      <c r="I8254" t="inlineStr">
        <is>
          <t>後に様々な人や師に巡り合ったことで人間的に大きく成長を果たす。；もう一度同じ状況に巡り合ったら、今度はなにも言わないような気もする。；人間という者は、死ぬまでにいろいろな人に巡り合って生きていくものだ。；自分用に用意された特定の男の人と、いつか巡り合って結婚する。；その間に、生涯にわたって愛情を捧げることになる妻と巡り合っている。；巡り合わせてもらえただけで幸運なら、与えられた幸運はこの手で守る。；初代こそは、一生涯に、たった一度巡り合った私の半身であったのだ。；親の讐に巡り合ったとて、恐らくこれほどの顔はして見せないだろう。；俺だけだったら絶対にあの作品に巡り合う事はできなかった。；最近そういう乱暴する男に巡り合わなかったもんで、私だって驚いたですよ。；そのうちの二つが俺の事務所に居るのは、えげつない運命の巡り合わせである。；この町に来て、初めて大人と巡り合った気がしないでもない。；何処にあるかは分からぬが、巡り合わせ次第では、この街にこそあるはずだ。；自主製作形式で制作が開始され、完成後に配給元となる日活を巡り合った。；でもそれは普段から権力を渇望していた人が、その機会に巡り合ったからじゃない。；クロスは、八年前も、そして今回も、私とあなたを巡り合わせてくれた。；そんな運命に巡り合わせたのはその種のせいじゃない。；だが、今まで自分たちは何度も巡り合って人生を交差させてきた。；取材には運も巡り合わせもあるが、それにしても当たりがない。；自分が遠いどこかへ戻って来、喪っていたものに今やっと巡り合ったような気持だった。；そして、何の巡り合わせか、今、本待に立っているのは、この自分である。；いつの時代に君と巡り合っても、僕は出会った瞬間に告白しただろうってことを。；ですから今日のご縁も、神仏の巡り合わせと思わずにおられません。；それがこの町で巡り合う確率は極端な偶然でもないはずだ。；金を手にすると、それまでは考えられないような特殊な人間と巡り合う機会に恵まれる。；そして同じ三十三歳の新しいママにあの子は巡り合うことになるのかもしれない。；あんな形で巡り合わなければ、ずっと知ることのなかった名前。；もしかすると東北の鉱山で油絵と巡り合ったのではないかと私は想像していた。；彼らはもういないけれど、その心は長い長い旅をして、ついに再び巡り合った。</t>
        </is>
      </c>
      <c r="J8254">
        <f>HYPERLINK("https://www.weblio.jp/content/巡り合う", "词义详情")</f>
        <v/>
      </c>
      <c r="K8254">
        <f>HYPERLINK("https://yourei.jp/巡り合う", "查看例句")</f>
        <v/>
      </c>
    </row>
    <row r="8255">
      <c r="A8255" t="inlineStr">
        <is>
          <t>めくる</t>
        </is>
      </c>
      <c r="B8255" t="inlineStr">
        <is>
          <t>成功</t>
        </is>
      </c>
      <c r="C8255" t="inlineStr">
        <is>
          <t>読み方：めくる
［動ラ五（四）］《「まくる」の音変化》
１おおっているものをはがす。「布団を—・る」
２上に重なっているものをはがすように上げる。「本のページを—・る」
[可能]めくれる</t>
        </is>
      </c>
      <c r="D8255" t="inlineStr">
        <is>
          <t>無学；文盲；めくら；明盲；明き盲</t>
        </is>
      </c>
      <c r="F8255" t="inlineStr">
        <is>
          <t>パラパラとめくる；一枚めくる；ぱらぱらめくる；ページめくる；引きめくる</t>
        </is>
      </c>
      <c r="G8255" t="inlineStr">
        <is>
          <t>めくるめき；めくるめく世界；めくるめか；めくるめい</t>
        </is>
      </c>
      <c r="H8255" t="n">
        <v>29</v>
      </c>
      <c r="I8255" t="inlineStr">
        <is>
          <t>本を読む場合はページをめくる事によって次々と情報を得る事が出来る。；カードをめくる代わりにとくぎを使って特殊な行動をすることができる。；あの新聞をめくって、関係のある記事を時間の順にそろえてくれたまえ。；未紀は黙ってぼくの手から本をとると、しばらくページをめくっていた。；しばらくすると自然に外側の扉がめくれ出てきて、本来の形にもどった。；シャワーを浴びて濡れた髪のまま、ベッドに横になってページをめくる。；自分の前に積んでおいた山から一番上のカードをめくって中央におく。；奥さんはそれから半時間ばかり、何冊もの本のページをめくっていました。；これはめくらましなのか、それとも、さっきは見えなかっただけなのか?；弟は私の書棚の本を何冊か抜き取って、そのうちに一冊をめくりだした。；彼は意識をそこに置かずに、反射的に札を出したりめくったりしていた。；すると清高はもうひとつあるのだと言って、ページをめくってみせました。；ぱらぱらと紙をめくってから女性はその中の一枚を見つつ指を止めた。；もはや私は自分の愛したこの懐しい書物の紙葉をめくることが出来ない。；わたしはぱらぱらとめくっただけで、そのまま本を閉じてしまいました。；彼は急いでペエジをめくって、ヨハネ書の一章を彼女に読んで聞かせた。；最初のページをめくると、次のページにはこんなことが書いてあった。；交通事故の記事など、亡くなった人の名前に注意しながら新聞をめくる。；もし彼がめくらでなかったなら、おそらく彼女は彼にこう言ったであろう。；口に出しては言わないけれど、書類をめくる顔にそう書いてあるのだ。；相手はめくらなのだから、むろんあのぐらいなことはいってやらなければ。；僕はそれをパラパラとめくって見ただけで、また別の一冊を取りあげた。；ただ、次々と本のページをめくっていくうちに気がついたことがある。；何となく慣れてきてそこに立ったままで必要なページをどんどんめくった。；テーブルの上に陽の光がまっすぐに落ちかかって写真の端がめくれ上っていた。；葉はベンチから少し離れて、熱心に例の手帳をめくっているだけだった。；賭けの最後のカードがめくられる時は、1人にしておいてやりたかった。；ロレンスは喋りながら一枚一枚めくっていたが、実際に見ていて面白い。；右手にもっているペンよりも、左手で辞書をめくる時間の方が多かった。</t>
        </is>
      </c>
      <c r="J8255">
        <f>HYPERLINK("https://www.weblio.jp/content/めくる", "词义详情")</f>
        <v/>
      </c>
      <c r="K8255">
        <f>HYPERLINK("https://yourei.jp/めくる", "查看例句")</f>
        <v/>
      </c>
    </row>
    <row r="8256">
      <c r="A8256" t="inlineStr">
        <is>
          <t>巡る</t>
        </is>
      </c>
      <c r="B8256" t="inlineStr">
        <is>
          <t>成功</t>
        </is>
      </c>
      <c r="C8256" t="inlineStr">
        <is>
          <t>読み方：めぐる
［動ラ五（四）］
１周囲をまわる。周囲に沿って進む。「池を—・る」
２周囲を取り囲む。取り巻く。「城の周りを堀が—・る」
３あちこちまわり歩く。巡回する。「諸国を—・る」
４まわって再びもとに返る。「春がまた—・ってくる」「—・る月日」
５ある事柄を中心としてそのことに関連する。「環境問題を—・って話し合う」「一人の女性を—・って争う」
６一点を中心として回転する。
「（水車ガ）大方—・らざりければとかく直しけれども」〈徒然・五一〉
７輪廻(りんね)する。
「深き契りある仲は、—・りても絶えざなれば」〈源・葵〉
８この世に生きる。世の中に交わる。
「我かくてうき世の中に—・るとも誰かは知らむ月のみやこに」〈源・手習〉
→回(まわ)る［用法］
[可能]めぐれる</t>
        </is>
      </c>
      <c r="D8256" t="inlineStr">
        <is>
          <t>巡る攻防戦；巡る激しい</t>
        </is>
      </c>
      <c r="E8256" t="inlineStr">
        <is>
          <t>回転；包囲；一回；回る；循環</t>
        </is>
      </c>
      <c r="F8256" t="inlineStr">
        <is>
          <t>星巡る方舟；巡る霊場巡拝；巡る最終決戦；巡る相論；巡る巨大な陰謀</t>
        </is>
      </c>
      <c r="H8256" t="n">
        <v>29</v>
      </c>
      <c r="I8256" t="inlineStr">
        <is>
          <t>地上に残された最後の恐竜の卵を巡る神と悪魔の決戦の物語が始まった。；半世紀を経た今日でも発生起源や分化を巡る議論には結論がでていない。；このため、配信記事の責任の所在を巡ってトラブルが起こることもある。；北側と南側は各代表団が用いる机の形を巡ってまで論争を繰り返した。；自分がコーチになっていろんな球団を巡るようになってあの時の経験が生きた。；一方で当時中国問題を巡って日米・日英関係が悪化していたことも影響した。；今回の公共施設の建設を巡る住民投票は全国的に見ても稀な事例である。；そこでは隣町との合併を巡って政治家たちの黒い取引が渦巻いていた。；もしチームがこの権利を行使したい場合は、1巡目指名権は没収された。；内容を巡って田原総一朗と論戦したものが別に本となって刊行されている。；運とは、その人の意思や努力ではどうしようもない巡り合わせを指す。；ドラフトは前年までの3巡までの指名から2巡までの指名に変更された。；日ソどちらが先に条約に違反したかを巡っては、様々な主張・見解がある。；何百年もの永きに渡って、神と悪魔は地上の覇権を巡って争い続けていた。；赤穂事件が起こると、幕府では浪士達の処分を巡り議論が紛糾していた。；日本各地の妖怪伝説を巡るのが趣味で、それを題材にした著書を記している。；また、88湯巡りを繰り返しを達成した者には、以下の称号が授与される。；しかしこの入仏の権利などを巡り、大宮と須走が争った経緯などもある。；また、貿易を巡って西ヨーロッパ諸国と対立するようになっていった。；その起用法を巡っては野球関係者や評論家の間でも賛否両論が巻き起こった。；一方で、ギリシャ王国も第一次世界大戦への対応を巡って国内が分裂した。；若い頃から糖尿病を患っており、病気との付き合い方を巡る文章も多い。；この中で仙台に駅が置かれることになったが、その位置を巡って問題が起きた。；ヴィアンはプロデューサーと作品の解釈を巡り、何度も衝突してきた。；予算を巡る対立の中には、大声で罵り合うような熾烈な議論もあった。；また、後西天皇の在位を巡る特殊事情も院政を継続させる要因となった。；数々の史跡を訪れ自らの足で巡り、手をあわせながら作詞をしている。；これら公爵家の子孫たちは、最終的には国王位を巡って相争うようになる。；この作品を巡り石橋忍月との間で論争が起こったことも文学史上有名である。</t>
        </is>
      </c>
      <c r="J8256">
        <f>HYPERLINK("https://www.weblio.jp/content/巡る", "词义详情")</f>
        <v/>
      </c>
      <c r="K8256">
        <f>HYPERLINK("https://yourei.jp/巡る", "查看例句")</f>
        <v/>
      </c>
    </row>
    <row r="8257">
      <c r="A8257" t="inlineStr">
        <is>
          <t>目先</t>
        </is>
      </c>
      <c r="B8257" t="inlineStr">
        <is>
          <t>成功</t>
        </is>
      </c>
      <c r="C8257" t="inlineStr">
        <is>
          <t>読み方：めさき
１すぐ目の前。眼前。「恋敵の顔が—にちらつく」
２目の前にある物事。その時その場。当座。「—の利益を追う」「—のことにとらわれる」
３ごく近い将来を見通すこと。また、先の見通し。「—の見えない人」</t>
        </is>
      </c>
      <c r="D8257" t="inlineStr">
        <is>
          <t>目先きの；目先きが；目先のきか；目先の見えねえ</t>
        </is>
      </c>
      <c r="E8257" t="inlineStr">
        <is>
          <t>側；傍；目前；手元；足下</t>
        </is>
      </c>
      <c r="H8257" t="n">
        <v>29</v>
      </c>
      <c r="I8257" t="inlineStr">
        <is>
          <t>目先の課題をおもしろがって追っているうちに、ここまで来てしまった。；目先の利益優先で施設に金をかける気はなかったのだろうと言われている。；深く考えることもなく、ただ目先の必要を満たすことにだけ夢中だった。；無影が欲しいのは、目先の利害に目がくらむような連中の支持ではない。；そのためには、目先のコストだけに注意をうばわれてはだめだったのだ。；このところ、目先の変ったことが何もなくて、くさくさしていましたの。；というより、目さきのきかない私の愚かさから生じたものだと思われた。；今度も淋しさと目先の愛情からリツ子と太郎を手許におきたがるだろう。；先ほどの攻撃もそうだったが、力を目先の相手にぶつけるような戦い方だ。；米国が目先、問題視しているのは自動車だが、長期的には半導体である。；目先の変わった物語であるが、原作の筋をほぼそのまま踏襲している。；目先の品薄感が強いが、将来的に供給が安定する可能性を暗示している。；どういう事態が引き起こされるのか、大体予想がついて目先が暗くなる。；妙な魔力が発生しているのは確かだが、優先すべきは目先の敵である。；目先を変えたエピソードを加えるなりし、独自なものにすることはできる。；目先の利く陸軍中央がすでにして行動を開始していたからである。；刺々しくなった雰囲気を和らげる為に、目先を変えただけかもしれない。；自分にとっての目先の利益さえ確保されるならそれ以外のことはどうでもいい。；私がこの春帰郷して義兄の事務所を訪れた時のことがまず目さきに浮んだ。；目先の利益だけでなく、どれだけお店のファンを増やせるかを重視している。；けっして目さきだけの短い期間の話でないことはきわめて明白であります。；会社にいるときは、ややもすると目先の仕事だけに追われてしまうことが多かった。；君達のような目先の見えない連中と一緒にされちゃ困る。；そして目先を変える度に違った自分が、まるで魔法のように眼前に立ち現れた。；彼の転任の話に、私はなぜ目先が真っ暗になるような思いをしたか。；その様子が、どうしても追う事の出来ない様に私の目先にチラツいた。；彼の改革による目先の結果については、この節の終わりで検討される。；今は自分に出来る目先の事に集中しなくてはいけない。；目先に大変なことがぶら下がっているから、他人の名誉などどうでもいい。</t>
        </is>
      </c>
      <c r="J8257">
        <f>HYPERLINK("https://www.weblio.jp/content/目先", "词义详情")</f>
        <v/>
      </c>
      <c r="K8257">
        <f>HYPERLINK("https://yourei.jp/目先", "查看例句")</f>
        <v/>
      </c>
    </row>
    <row r="8258">
      <c r="A8258" t="inlineStr">
        <is>
          <t>目指す</t>
        </is>
      </c>
      <c r="B8258" t="inlineStr">
        <is>
          <t>成功</t>
        </is>
      </c>
      <c r="C8258" t="inlineStr">
        <is>
          <t>読み方：めざす
［動サ五（四）］
１到達・達成の目標とする。「頂上を—・して進む」「年内完成を—・す」
２目当てとして見る。
「—・すとも知らぬ闇ではあり」〈平家・六〉
[可能]めざせる</t>
        </is>
      </c>
      <c r="D8258" t="inlineStr">
        <is>
          <t>目指すべき；目指すべく</t>
        </is>
      </c>
      <c r="E8258" t="inlineStr">
        <is>
          <t>進む；進行；意図；望む；前進</t>
        </is>
      </c>
      <c r="H8258" t="n">
        <v>29</v>
      </c>
      <c r="I8258" t="inlineStr">
        <is>
          <t>各プレイヤーは協力して各ステージごとに設定された勝利条件を目指す。；結果は反対多数だったため当面は合併をせず自立を目指すことになった。；日本でもそれを念頭に置いて合法化を目指すべきと考えている者もいる。；どちらの大会を目指すかの選択は各チームの任意により成り立っている。；これはプロ野球選手を目指させるうえで、父親が変えさせたものである。；このピラミッドはそもそも四角錐を目指していなかったとする説もある。；またイタリアやフランスと協定を結ぶことを目指すことが確認された。；前述の岩手軽便鉄道はこれとの接続を目指して計画されたものである。；大学や高校の山岳部が、より困難なルートの制覇を目指して山を登った。；イングランド軍はパリの再占領かノルマンディー攻略を目指していた。；再び病気が悪化したという理由もあるが、政治家を目指したからでもある。；また自ら皇帝を称するなど台湾王朝の建国を目指したものが6件あった。；また渥美が役者を目指すようになったのにはある刑事の言葉があると言う。；ここで野村は他球団で燻っていた投手たちの獲得を目指すことにした。；利潤を度外視し売上高を最大化することを目指す企業もかつて多かった。；これは、釜石製鉄所の再建を目指す田中によって開業させたものである。；中でも日本酒については、海外への普及を目指して活動を活発化させた。；は言語機能を必要十分の最低限まで単純化することを目指した言語である。；英国の植民地の住民が医師を目指す場合には英国の医大に入学することが多い。；このため、シュミットは、東ではなく西での成功を目指そうと決意する。；そのため、個人の実質的な一定の閾値以上の効用確保を目指すのである。；文化や観光を軸として、官民で交流を進めていくことが目指されている。；近年は交通事情の改善を目指し、近隣都市への鉄道の敷設が計画されている。；今の私にはどこを目指せばいいのか、何を成せばいいのかすらわからない!；競技の方は続行し、2020年東京オリンピック出場を目指すとされた。；トーナメントなどに勝利することでより上位の階級を目指すことが目的である。；双方のファンの取り込みを目指した共同キャンペーンなどを展開している。；今後は、ヨーロッパでも屈指の展覧会設備となることが目指されている。；リーダー育成により日本の社会に影響ある若者を育てることを目指す。</t>
        </is>
      </c>
      <c r="J8258">
        <f>HYPERLINK("https://www.weblio.jp/content/目指す", "词义详情")</f>
        <v/>
      </c>
      <c r="K8258">
        <f>HYPERLINK("https://yourei.jp/目指す", "查看例句")</f>
        <v/>
      </c>
    </row>
    <row r="8259">
      <c r="A8259" t="inlineStr">
        <is>
          <t>目覚まし</t>
        </is>
      </c>
      <c r="B8259" t="inlineStr">
        <is>
          <t>成功</t>
        </is>
      </c>
      <c r="C8259" t="inlineStr">
        <is>
          <t>読み方：めざまし
《「めさまし」とも》
１目を覚ますこと。また、目を覚まさせるもの。眠気ざまし。「—に濃いお茶を飲む」
２目を覚ましたとき子供に与える菓子の類。おめざ。
３「目覚まし時計」の略。「—を掛け忘れる」</t>
        </is>
      </c>
      <c r="D8259" t="inlineStr">
        <is>
          <t>目覚まし代わり</t>
        </is>
      </c>
      <c r="E8259" t="inlineStr">
        <is>
          <t>目覚まし時計；アラーム；目覚し時計；目覚；目覚し</t>
        </is>
      </c>
      <c r="G8259" t="inlineStr">
        <is>
          <t>目覚まし時計；目覚ましく；目覚ましき；目覚ましかぼちゃモーニング</t>
        </is>
      </c>
      <c r="H8259" t="n">
        <v>29</v>
      </c>
      <c r="I8259" t="inlineStr">
        <is>
          <t>いつもなら、目覚ましが鳴っても起きないし、起きてもまた寝てしまう。；ベッドの頭の方向には目覚まし用のラジオなどを置くためのスペースがある。；こんなことをしているのも全ては目覚ましが鳴らなかったせいである。；目覚ましの時間を一時間早くして太郎ちゃんに早起きしてもらったの!；私は自宅にいる時より一時間遅い、朝の七時に目覚ましをセットした。；私は九時半に合わせておいた目覚ましのスイッチをオフにし、窓を開けた。；何なら少し早いくらいの時間に目覚まし代わりに電話してさしあげましょうか?；コーヒーをすすったが、まずいし香りもないし、何の目覚まし効果もない。；鳴っているのは目覚ましではなかったし、私が寝ているのもベッドの上ではなかった。；なにより、目覚ましの力を借りずに起きられたこと自体が奇跡的だ。；それにしても、なんでこんな時間に目覚ましがセットしてあったのかしら。；朝、目覚ましにもやるが、帰って来たときにも習慣になっている。；六時に目覚ましをセットしておいたのに起きたのは七時過ぎ。；目覚ましが鳴らなかったとは思えないから、きっと止めて寝てしまったのだろう。；目覚ましはかけておいたのだが、無意識に止めてしまったらしい。；女は携帯電話の目覚ましをセットして、割とすぐに寝てしまった。；目覚ましを使わないのでほかの人を起こさなくて良いですね。；同じ時計でも、腕時計と違って、目覚ましは一軒にひとつあればいいでしょう。；それは私の心から人間の愛を目覚ましてくれた。；いくら仕事がなくても、日曜日ではないのだから時計は目覚ましのセットをしておくべきだった。；目覚ましはあきらかに凶行があったときの衝撃で止まったんだ。；今日もまた、フォロンは目覚ましの時間よりも少し早めに眼が覚めた。；あの小説を書くとき、水野は女性用の目覚ましを、意識の下にもっていたのだ。；なんで目覚まし鳴らないんだよと思いつつ探すと、足下に転がっていた。；六時直前に目が覚めるように、目覚ましタイマーをセットしていたんだろう。；彼女は六時半に目覚ましをセットして、束の間の仮眠を得ようとした。；まだ目覚ましのベルを止めていなかったことに気づいて、わたしは慌ててベッドから飛び出した。；目覚ましをセットするのを忘れていたんだ。；女性用の目覚ましを、記憶していたのは、女性とひとつベッドに寝たことがあるからではないのか。</t>
        </is>
      </c>
      <c r="J8259">
        <f>HYPERLINK("https://www.weblio.jp/content/目覚まし", "词义详情")</f>
        <v/>
      </c>
      <c r="K8259">
        <f>HYPERLINK("https://yourei.jp/目覚まし", "查看例句")</f>
        <v/>
      </c>
    </row>
    <row r="8260">
      <c r="A8260" t="inlineStr">
        <is>
          <t>目覚しい</t>
        </is>
      </c>
      <c r="B8260" t="inlineStr">
        <is>
          <t>成功</t>
        </is>
      </c>
      <c r="D8260" t="inlineStr">
        <is>
          <t>目覚しい活躍(19%)；目覚しいもの(8%)；目覚しい発展(8%)；目覚しい働き(5%)；目覚しい戦果(4%)</t>
        </is>
      </c>
      <c r="E8260" t="inlineStr">
        <is>
          <t>良い；最高；妙；立派；優れた</t>
        </is>
      </c>
      <c r="H8260" t="n">
        <v>29</v>
      </c>
      <c r="I8260" t="inlineStr">
        <is>
          <t>新名称は、周辺で目覚しい成長を遂げていた新興住宅地から付けられた。；軍医に協力して、同仁会の斑員が目覚しい活躍をしたのはこの時である。；それは、石田家の将兵がどの家中よりも目覚しく戦っていたからである。；この製品はスリーコムの販売網で人気となり、目覚しい成長を見せた。；元は法学者で、教皇庁では主に外交の分野で目覚しい業績を挙げていた。；そのため交通や通信などの発達が目覚しく、電気電子の産業が世界で最も進んでいる。；より大きな出力とトルクを手に入れたこの新エンジンは目覚しい性能の改善を見せた。；江戸時代後期には諸職・諸商の発達が目覚しく、豪農・豪商の出現もみた。；効果は覿面で、その後モートンと部下たちの挙げた戦果は目覚しかった。；しかしチチコフが婦人連に与えた感銘は、更に目覚しいものがあった。；彼が全ての種類のドグマおよび理論からどのようにして自由になっていたかは目覚しいことである。；記念対局で2子で加藤正夫九段に勝利するなど目覚しい活躍を見せる。；仕事に成功した彼女は、結婚にも目覚しい成功をしました。；ボリシェヴィキには真の党があり、それは目覚しい発展を遂げようとしている。；後の松本の目覚しい活躍は、夫人の理解と協力がなければ成し得ないものであった。；レオナルドはこの工房で、理論面、技術面ともに目覚しい才能を見せた。；幼い彼の成長は目覚しいものだったに違いない。；知恵袋の躍進は目覚しく、利用者は約1262万人/月に達したと言う。；その後に続く年月で、カールトンはより目覚しい速度で昇進するようになった。；両側に小屋を並べた見世ものの中に、一ヶ所目覚しい看板を見た。；仮りに加十がこの事件をスクープすることが出来たとすれば何んとそれは目覚しいことであるか。；このために彼の新しいマシンの設計はかなり大きく遅れてしまったが、新しい研究所での作業が開始されると進捗は目覚しかった。；非常に目覚しい例は、カントがいたころのケーニヒスベルクである。；とりわけ映画では大映を中心に目覚しい活躍を見せた。；ファビウスの功績は上記のように目覚しいものであるが、彼についての記録は少ない。；それはなア随分、白馬の上に跨がつて軍隊を指揮する勢は目覚しいものだつたよ。；そして、モンテヴェルディの声楽曲で目覚しい成果を挙げて注目される。；こうして政治的な領域では目覚しい進展があったものの、カナダ党の臨時政府に反対する計画は継続していた。；今春の議会に海軍拡張案を提出した政府が頻に日本を例に引いて反対党の気勢を挫いたのは目覚しい現象であつた。</t>
        </is>
      </c>
      <c r="J8260">
        <f>HYPERLINK("https://www.weblio.jp/content/目覚しい", "词义详情")</f>
        <v/>
      </c>
      <c r="K8260">
        <f>HYPERLINK("https://yourei.jp/目覚しい", "查看例句")</f>
        <v/>
      </c>
    </row>
    <row r="8261">
      <c r="A8261" t="inlineStr">
        <is>
          <t>目覚める</t>
        </is>
      </c>
      <c r="B8261" t="inlineStr">
        <is>
          <t>成功</t>
        </is>
      </c>
      <c r="C8261" t="inlineStr">
        <is>
          <t>読み方：めざめる
［動マ下一］［文］めざ・む［マ下二］
１眠りからさめる。目が覚める。「朝早くに—・める」
２感情・知覚・本能など、ひそんでいたものが働きだす。「仕事への意欲に—・める」「性に—・める」
３迷いが消え去って本心に立ち返る。「悪から—・める」「現実に—・める」</t>
        </is>
      </c>
      <c r="D8261" t="inlineStr">
        <is>
          <t>目覚めるとそこ；目覚めるとすぐ；目覚めると同時に</t>
        </is>
      </c>
      <c r="E8261" t="inlineStr">
        <is>
          <t>起きる；覚醒；覚める；醒める；目ざめる</t>
        </is>
      </c>
      <c r="F8261" t="inlineStr">
        <is>
          <t>再び目覚める；ふと目覚める；はっと目覚める；ハッと目覚める；目覚めるまえ</t>
        </is>
      </c>
      <c r="H8261" t="n">
        <v>29</v>
      </c>
      <c r="I8261" t="inlineStr">
        <is>
          <t>目覚める様子がない彼女を放っておけず、家まで連れてきたのは自分だ。；目覚めるとそこはどこかの基地の内部で、一家は事の経緯を説明される。；人は目覚める瞬間まで、自分が眠っていることを自分で認識していない。；式が目覚めるまでにあと数分あったのなら、事は終わっていただろう。；しかし半世紀も過ぎたら朝鮮の人たちの中にも目覚める人が出て来よう。；あなた方の文明に問題がなければ、私が目覚めることはなかったでしょう。；この夢を見るたびにかれはいつも震えながらはっと目覚めるのである。；その夢と共に男は目覚めるが、彼はそれまでのすべての記憶を失っていた。；翌朝、由梨子が目覚めるとそこには、もう一人の自分がいて・・・・!?；困るのは、なぜか目覚めるといまのことを覚えていないということだった。；眼で見る世界が消えてしまうと、代りに皮膚が目覚めるのであろうか。；キリトが目覚める瞬間までは、何が何でもこの世界にとどまらなくては。；目覚めるたびに、わたしはほとんど別の人間になってしまったように感じた。；外を馬で駆けている夢をみて目覚めることが数限りなくあった。；自分の部屋のベッドの上で目覚めるなり、彼女は大きく伸びをした。；そうしないと呼吸麻痺のため二度と目覚めることはないと思われたからである。；しかしある朝目覚めると、昨日までの3日間の記憶がないことに気付く。；彼が大統領の職分に目覚めるには、相当の勇気を必要としたに違いなかった。；薬から目覚める過程で、興奮やせん妄を引き起こすことが知られている。；目覚めると、どこからか謎の声が聞こえ、嗅覚が異常に良くなっていた。；朝、私は目覚めると、台所にあった桶を持って井戸へ水を汲みに行った。；いまになってもまだ目覚めることを知らないこの人は驚きに価する。；最後の楽曲「フィンランドは目覚める」はとりわけ高い人気を獲得した。；ソエルとラーグが誕生してから再び目覚めるまでの経緯が主な内容である。；あるときはベッドのなかで愛を交わしている夢を見てひとり目覚める。；この実を食べて眠ってしまった者は、接吻されない限り目覚めることはない。；ただ、目覚める瞬間に『夢だったらいいな』と思っていただけの話だ。；ジャックが目覚めると、彼は大きな空の水槽の中に閉じ込められていた。；正直いって、そのときでさえ、月子が性に目覚めるとは思っていなかった。</t>
        </is>
      </c>
      <c r="J8261">
        <f>HYPERLINK("https://www.weblio.jp/content/目覚める", "词义详情")</f>
        <v/>
      </c>
      <c r="K8261">
        <f>HYPERLINK("https://yourei.jp/目覚める", "查看例句")</f>
        <v/>
      </c>
    </row>
    <row r="8262">
      <c r="A8262" t="inlineStr">
        <is>
          <t>飯</t>
        </is>
      </c>
      <c r="B8262" t="inlineStr">
        <is>
          <t>成功</t>
        </is>
      </c>
      <c r="C8262" t="inlineStr">
        <is>
          <t>読み方：いい
米を蒸したり、炊いたりしたもの。麦・粟にもいう。めし。
「家にあれば笥(け)に盛る—を草枕旅にしあれば椎(しひ)の葉に盛る」〈万・一四二〉
[補説]古くは米を甑(こしき)で蒸した強飯(こわいい)のことで、煮たものは「かゆ」といった。現在の米の飯は「姫飯(ひめいい)」といい、「汁かゆ」に対して「固かゆ」ともいった。</t>
        </is>
      </c>
      <c r="D8262" t="inlineStr">
        <is>
          <t>飯盛山城；飯茶碗；飯田城；飯野城；飯を食つて</t>
        </is>
      </c>
      <c r="E8262" t="inlineStr">
        <is>
          <t>米；食事；食；膳；稲</t>
        </is>
      </c>
      <c r="F8262" t="inlineStr">
        <is>
          <t>丼飯；白い飯；鰻飯；一緒に飯；浦飯</t>
        </is>
      </c>
      <c r="G8262" t="inlineStr">
        <is>
          <t>飯塚；飯島；飯野；飯田線；飯場</t>
        </is>
      </c>
      <c r="H8262" t="n">
        <v>29</v>
      </c>
      <c r="I8262" t="inlineStr">
        <is>
          <t>家庭の食事は、メイン料理を意味する飯と菜と呼ばれるおかずからなる。；さうしてお前はその夢の半ばで飯と火とを持つて來てくれた女中に起されたらう。；飯の上に野菜や魚を刻んで乗せ、その上から味噌汁を注いで食べたもの。；鈴木は藤が留守でも藤の家へ遊びに来て藤の母親と飯を食っていたという。；夢中になって飯を掬う源次の傍らに、お蝶という名の若い娘が現われた。；そのまま食べる他にも、飯に乗せて湯等をかけ茶漬け風にして食べる場合もある。；魚を塩と飯で漬け込み熟成させる「なれずし」であると考えられている。；料理の提供手順も異なっているが、顕著に異なるのは飯の出る順番である。；お末はその時腹の空いたのを感じて居たが、飯を食つて出る程の勇気はなかつた。；これだけの事で飯の種にありつけるのはありがたい事だった。；今も岩村町の山上家には景廉が使用したと伝わる大きな飯椀があるという。；そのため部隊では口をつけた飯と口をつけていない飯を区分して払下げするようにしていた。；飯蔵の料理のコンセプトは「安くて、簡単で、身体に良いこと」である。；松屋では具材にサツマイモが追加されており、飯と一緒に提供された。；あの手合はあんな事さえ云ってりゃ、飯が食えて行くんだと見えらあ。；主人もこれで十分反省しただろうと蔵の中へと飯を持っていく。；私が井戸端で楊枝を使っていると、妻は台所で釜の飯を移している。；熊本では、仏飯を口にしたガラッパが力を失ってしまったという伝承がある。；今年七歳の良平は生まれた家の台所に早い午飯を掻きこんでいた。；昔は、祭の間には強飯を食べ、祭が終わると姫飯を食べていた。；日本の中世史、中世城郭史を研究する上で、飯盛山城は重要な位置を占める。；中国で飯を箸でつまむようになったのは明代の頃からと言われる。；人々はぶっかけ蕎麦を常食とし、その他のおかずも飯の上にぶっかけた。；現代の日本において「お茶碗」と言った場合には飯茶碗を指すことが多い。；箸はテーブルに置くべきであり、食べ物の中、特に飯の中に立ててはいけない。；元來この士官室なるものへは、副長以下大尉以上の將校が皆な來て、飯を食ふ。；丼飯の歴史の中で最も古く、文化年間に誕生したとされる。；酒礼の後には飯汁を中心とした饗膳に入り、茶や菓子も含まれる。；幕府内の地位を示す椀飯の沙汰では北条氏に次ぐ地位となっている。</t>
        </is>
      </c>
      <c r="J8262">
        <f>HYPERLINK("https://www.weblio.jp/content/飯", "词义详情")</f>
        <v/>
      </c>
      <c r="K8262">
        <f>HYPERLINK("https://yourei.jp/飯", "查看例句")</f>
        <v/>
      </c>
    </row>
    <row r="8263">
      <c r="A8263" t="inlineStr">
        <is>
          <t>召し上がる</t>
        </is>
      </c>
      <c r="B8263" t="inlineStr">
        <is>
          <t>成功</t>
        </is>
      </c>
      <c r="C8263" t="inlineStr">
        <is>
          <t>読み方：めしあがる
［動ラ五（四）］「食う」「飲む」の尊敬語。「何を—・りますか」</t>
        </is>
      </c>
      <c r="D8263" t="inlineStr">
        <is>
          <t>食事；食べる；上がる；食う；喫する</t>
        </is>
      </c>
      <c r="H8263" t="n">
        <v>29</v>
      </c>
      <c r="I8263" t="inlineStr">
        <is>
          <t>そのとき、どこからなりと、お好きなところから、私を召し上がりませ。；もし時間があるんなら、ケーキがあるんで、召し上がっていきませんか?；病のときにはなおさら、滋養のあるものを召し上がらないといけません。；ちょっと、あなたはまだ何も召し上がっていらっしゃらないんでしょう?；お二人がお見えになるまで、軽いものなど召し上がっていらしてください。；今日は特別に見逃してあげますから琥珀さんを召し上がっていいんですよ。；今日は私どもといっしょに御飯を召し上がって下さらなければいけません。；粥などを召し上がる院のほうを小侍従はもう見ることもできなかった。；これを召し上がればどんな病気だってなおらないことはありません。；粥、強飯などを召し上がり、この西の対からお車に召されるのであった。；心葉くんのお母さんたちに、召し上がってくださいって言っちゃった!；吾妻さん、最近あまり召し上がっていらっしゃらないんじゃないですか?；これが一番さっぱりしているかと思いますが、一つ召し上がって見てください。；ナオミさまが言うには、ほとんど毎日のようにワインを召し上がっているとか。；何を召し上がりますか、甘いものはおあいにくさんでございますけれどな。；なお花びらは観賞用となっておりますので避けてからお召し上がり下さいませ。；さあ、紅茶一杯召し上がるだけだったら、そんなに時間はかからないわ。；旦那様だけ他の人が飲まないものを召し上がったとは思えません。；ひとりですから、ちょっと上がって、お茶でも召し上がってくださいません?；冷たい水を召し上がると、ご気分が良くなるかもしれません。；建物内には団子を召し上がる為のスペースも設けられている。；もし、おいやでなければ、パンを召し上がっていただきたいのよ。；女房は酒類を店に置くと、あなたが召し上がってしまうから、いけないという。；御主人様には最高のマーマレードを召し上がっていただきたいのだ。；奥様もこれをひと切れ召し上がって、とてもおいしいと言って下さいました。；どうかおそばだけでも召し上がってみてくださいな。；お好きなものを召し上がっていればよいのです。；お茶を召し上がりますか、それともお下げいたしましょうか?；お大名衆は召し上がりの物はなかなか贅沢で、鯛なら鯛のお焼き物が出る。</t>
        </is>
      </c>
      <c r="J8263">
        <f>HYPERLINK("https://www.weblio.jp/content/召し上がる", "词义详情")</f>
        <v/>
      </c>
      <c r="K8263">
        <f>HYPERLINK("https://yourei.jp/召し上がる", "查看例句")</f>
        <v/>
      </c>
    </row>
    <row r="8264">
      <c r="A8264" t="inlineStr">
        <is>
          <t>目下</t>
        </is>
      </c>
      <c r="B8264" t="inlineStr">
        <is>
          <t>成功</t>
        </is>
      </c>
      <c r="C8264" t="inlineStr">
        <is>
          <t>読み方：めした
地位・年齢などが自分より下であること。また、その人。⇔目上(めうえ)。</t>
        </is>
      </c>
      <c r="D8264" t="inlineStr">
        <is>
          <t>目下調査中；目下研究；目下捜査；目下進行；目下最大</t>
        </is>
      </c>
      <c r="E8264" t="inlineStr">
        <is>
          <t>現在；今；今日；現代；最近</t>
        </is>
      </c>
      <c r="F8264" t="inlineStr">
        <is>
          <t>目下捜査中；目下独身；目下研究中；目下進行中</t>
        </is>
      </c>
      <c r="H8264" t="n">
        <v>29</v>
      </c>
      <c r="I8264" t="inlineStr">
        <is>
          <t>そして、目下かれの置かれている状況をゆっくり考えてみることにした。；目下のところぼくにもどうやってだかはっきり分かっていませんがね。；私が目下案を立てている箱類は、すぐ造らせてくれることになっている。；なるほど、この線が成長してゐる、この外の線は目下停止してゐますな。；幸い彼の目下の状態はそんな事に屈托している余裕を彼に与えなかった。；目下のところ覚えがあろうとなかろうとどうでもいいという気分だった。；彼女の思いは目下の問題からうまくそれ、想像もできない場所へと転じた。；したがってわしは、目下の事態をきみも知っておくべきだと思ったわけだ。；向うからやって来た見知らぬ男が、いきなり僕を叩きのめしたのである。；ただ、目下のところ文献で証明できる限りでは最も早い使用ではある。；それ故従って目下の社会情勢に適応した事を云々する資格もない訳です。；それで、きみは目下、何か依頼を受けて行なっている調査でもあるのかね?；海外からの参加は、目下のところ、ジュニア団体のみに限定されている。；目下のところでは、弁護士さん、私にはその資格があると思いますね。；まことに令夫人は目下の者に愛想よく親切にお目をかけてくださいます。；目下のところは、太宰さんの御家庭にはなんのお変わりもありません。；七月三・四日の会議も目下のわたしの健康事情では出席不可能です。；本作前景の廃墟の前に座っているヨハネは目下、この書を執筆中である。；目下、この童児がいちばん気にかけているのは臨月の雌獣のことだった。；目下の状況では別の説明をしたほうが、娘の耳には響きがいいような気がしたのだ。；すでに目下直面している事情のもとで苦しんでばかりいたくらいですもの。；目下のところウルゴで一番重要な人間は自分だと考えているらしい。；カークは寒さに抵抗して腕をばたつかせ、目下の問題に神経を集中させた。；始めに言及しておくが、目下の場合の困難は、事実に関することではない。；「目下のところ」サー・ブライアンは必要以上に言葉を強調して言った。；弁護士からの手紙で見れば、借金の外には目下何等の金もないようだ。；三宅さんが三日の始発に乗ったという確証は目下のところないようです。；何故なら、目下犯人の戦闘状態たるや、完全に僕等を圧しているんだ。；アキラの臍のななめ下に傷あとがあることをなぜ先生が知っているのか。</t>
        </is>
      </c>
      <c r="J8264">
        <f>HYPERLINK("https://www.weblio.jp/content/目下", "词义详情")</f>
        <v/>
      </c>
      <c r="K8264">
        <f>HYPERLINK("https://yourei.jp/目下", "查看例句")</f>
        <v/>
      </c>
    </row>
    <row r="8265">
      <c r="A8265" t="inlineStr">
        <is>
          <t>目印</t>
        </is>
      </c>
      <c r="B8265" t="inlineStr">
        <is>
          <t>成功</t>
        </is>
      </c>
      <c r="C8265" t="inlineStr">
        <is>
          <t>読み方：めじるし
１見てすぐわかるようにつけたしるし。「持ち物に—をつける」
２目標となる物。「角の郵便局を—においで下さい」
３江戸時代、商標をいった語。</t>
        </is>
      </c>
      <c r="D8265" t="inlineStr">
        <is>
          <t>目印代わり；目印みたい</t>
        </is>
      </c>
      <c r="E8265" t="inlineStr">
        <is>
          <t>目的；対象；意識；目標；気配</t>
        </is>
      </c>
      <c r="F8265" t="inlineStr">
        <is>
          <t>よい目印；著名な目印；やすい目印</t>
        </is>
      </c>
      <c r="H8265" t="n">
        <v>29</v>
      </c>
      <c r="I8265" t="inlineStr">
        <is>
          <t>目印はコートの線に触れずに完全にマスのなかに入っている必要がある。；何か、底が円いものを運んできて設置するための目印のようにも見えた。；また、商標のような目印となる場合もあるがそれは二次的なものである。；ビルはいくつか目印を見つけて、自分がどこにいるかを発信しはじめた。；弓には照準のための装置や目印をしたり、類似のことをしてはならない。；世間のものは誰しも、その目じるしとは傷痕か何かであろうと想像した。；私はまた、空を飛んでいて目印になりやすいのかな、と思いましたが?；たぶん、ご近所の人は小笠原邸を目印にしているのではないかと思われる。；将兵の背中につけた、小さな白い布や紙が、かすかな目じるしとなった。；この行動が合理的か否か、何を目印に決めればいいのかわからなかった。；その目印は私にだけ分って、彼には分らないようなものであれば一層よい。；各会場にはイベントロゴの入ったピンク色の旗が目印として使用された。；たぶんこれが、さっき地図を見ているとき目印にしようと考えた公園だろう。；指標とは、物事を判断したり評価したりするための目じるしとなるもの。；ゴール前十キロの目印が見えてきたときは、打ちのめされそうになった。；しかし生きている者の魂は、何を目印に進む方向を定めればいいのだろう。；二階家は上野から来て坂の上にある国民学校の建物が目じるしであった。；地名の由来は旅人の目印となった二本の松があったことからとされる。；枝折とは、木の枝を折ることで山道などを歩く際に目印としたことから。；あたりには、石を矩形にすえて、古い墓の目じるしとしたものがあった。；これを窪地の目印にして少しばかりあたりを歩いてみることにした。；年をくっちゃいても、ああいう目じるしがあっちゃ、すぐ思い出します。；サイロのてっぺんは納屋の沈んでいる場所の目印しであるにちがいない。；その地点には目印として柱が建てられ、説明看板など設置されている。；調査では各文化における幸福の目印は驚くほど普遍的だと示している。；だから私ら人間の子がもずの巣を捜すにはこの目印を目標としていくのだ。；そうだ、あれを目印にして下りて行けばいいと彼は自分に云った。；帆船時代、時々船長達はこの島を北へ針路を変える前の目印としていた。；彼はその寸法を綿密にはかった上で、周囲に木の枝を刺して目印にした。</t>
        </is>
      </c>
      <c r="J8265">
        <f>HYPERLINK("https://www.weblio.jp/content/目印", "词义详情")</f>
        <v/>
      </c>
      <c r="K8265">
        <f>HYPERLINK("https://yourei.jp/目印", "查看例句")</f>
        <v/>
      </c>
    </row>
    <row r="8266">
      <c r="A8266" t="inlineStr">
        <is>
          <t>雌</t>
        </is>
      </c>
      <c r="B8266" t="inlineStr">
        <is>
          <t>成功</t>
        </is>
      </c>
      <c r="C8266" t="inlineStr">
        <is>
          <t>読み方：め
《「男(お)」に対する語》
１女性。おんな。
「吾(あ)はもよ—にしあれば」〈記・上・歌謡〉
２配偶者、または愛人としての女性。妻。
「年頃あひ馴れたる—」〈伊勢・一六〉
３（「雌」「牝」とも書く）他の語の上または下に付いて複合語をつくる。
㋐女性、または動植物のめすを表す。「—神」「—鹿」「—蕊(しべ)」「手弱(たおや)—」
㋑一対の物のうち、小さいほう、または女性的と思われるほうの物を表す。「—滝」「—瓦」</t>
        </is>
      </c>
      <c r="D8266" t="inlineStr">
        <is>
          <t>雌性(4%)；雌馬(2%)；雌犬；雌株；雌狼</t>
        </is>
      </c>
      <c r="E8266" t="inlineStr">
        <is>
          <t>メス；牝；雌犬；牝犬</t>
        </is>
      </c>
      <c r="F8266" t="inlineStr">
        <is>
          <t>雌ライオン；雌成虫；雌親；雌トラ；雌羊</t>
        </is>
      </c>
      <c r="G8266" t="inlineStr">
        <is>
          <t>雌花；雌しべ；雌蕊；雌牛；雌雄異株</t>
        </is>
      </c>
      <c r="H8266" t="n">
        <v>29</v>
      </c>
      <c r="I8266" t="inlineStr">
        <is>
          <t>雌は血縁個体が近くにいるほど警戒声を発しやすいこともわかっている。；植物ではテンナンショウ類がやはり大きくなると雄から雌へと転換する。；雄の冬羽は雌に似ているが、頭央線が白く明瞭であることで区別できる。；これは雌の側に配偶者選択の権利があることを反映していると考えられる。；それらのものでは、卵は減数分裂を経ずに形成され、すべてが雌となる。；遊牧的な生活を送る雌が新たな群れに加わるのは雄よりも遥かに難しい。；これは雌に比べて雄の方が発達、もしくは何らかの構造が加えられる。；雄はその名の通り喉が赤い羽毛で覆われるが、この特徴は雌には無い。；本種もそうであれば、交接した雄が他の雌を探しに行く意義はなくなる。；雌の背は雄よりも明るい灰色であり、生殖器の周囲に白い模様がある。；雌が近づくと、その前で独特のダンスをして雌を巣に誘い込もうとする。；この時までは雄であるが、さらに成長すると雌となり体の大部分が黄色となる。；前者のグループは性的二色性であり、雌は特徴的な縞模様の羽毛をもつ。；雌の場合には、身体が小さいこともあって、雄ほどは深くまでは潜水しない。；縄張りを作ったり何かを防衛したりはせず、雄はひたすら雌を探し回る。；一連の配偶行動の中で、雌は交尾を終えると時々雄を食べる場合がある。；一部の種類では、雌に比べて雄の触肢は明らかに長くなる個体をもつ。；社名はかつて女木島と男木島で構成されていた旧・雌雄島村に由来する。；胎生の動物では、卵は雌親の体を出ないで体内受精で受精し胎児となる。；多くの場合、雌は尾を振り上げて腹を海底に押し付けることで抵抗する。；ゾウアザラシなどでは強い雄を中心に多数の雌からなる集団をつくる。；この動作はシャーク湾でのみ見られる行動であり、ほぼ雌のみが行う。；しかし初めは猫ではなく雌ライオンの頭部を持った姿で崇拝された。；雌性先熟で、生まれたときは全て雌であるが、成長すると雄に性転換する。；雄雌とも樹液や熟した果実に誘引され、花にはあまり訪れることがない。；蛹になる時に角が伸びるので、その分だけ雌よりも縦に長い蛹室を作る。；雄はその後、栄養を雌の皮膚から伸びた血管を通じて得るようになる。；この争いにより勝った雄は雌を多数従えたと呼ばれる繁殖集団を形成する。；しかし雌は産卵可能な程度に卵巣が発達していないと交尾を受け入れない。</t>
        </is>
      </c>
      <c r="J8266">
        <f>HYPERLINK("https://www.weblio.jp/content/雌", "词义详情")</f>
        <v/>
      </c>
      <c r="K8266">
        <f>HYPERLINK("https://yourei.jp/雌", "查看例句")</f>
        <v/>
      </c>
    </row>
    <row r="8267">
      <c r="A8267" t="inlineStr">
        <is>
          <t>召す</t>
        </is>
      </c>
      <c r="B8267" t="inlineStr">
        <is>
          <t>成功</t>
        </is>
      </c>
      <c r="C8267" t="inlineStr">
        <is>
          <t>読み方：めす
［動サ五（四）］《「見(め)す」と同語源。ごらんになるためにお呼び出しになるところから》
１「人を呼び寄せる」「招く」「取り寄せる」「呼び出して任ずる」などの尊敬語。「神に—・される」
「御硯(すずり)急ぎ—・して」〈源・帚木〉
「もろこしの判官に—・されて侍りける時に」〈古今・九九三・詞書〉
２《「お取り寄せになる」意から》身にとり込む、身につける、また身体に関連する動作をいう。
㋐「食う」「飲む」「着る」「履く」「買う」また、「乗る」などの尊敬語。「お酒をたくさん—・しておられる」「和服を—・していらっしゃる」「花を—・しませ」「車にお—・しになる」
㋑「（風邪を）ひく」「（風呂に）はいる」「（気に）いる」「（年を）とる」などの意の尊敬語。「お風邪を—・す」「お年を—・した方」「お気に—・しましたか」
㋒「切腹する」の尊敬語。「お腹を—・す」
３広く、「する」の尊敬語。なさる。→召される
４《命令して、無理に呼び寄せる、取り寄せるところから》命によって捕らえる。また、お取り上げになる。現在、複合語に用いる。「—・し取る」「—・し上げる」
５（補助動詞）尊敬語動詞の連用形に付いて尊敬の意を強める。通常、一語化したものと認める。「しらしめす」「きこしめす」「おもほしめす」など。</t>
        </is>
      </c>
      <c r="D8267" t="inlineStr">
        <is>
          <t>召すなら(5%)；召すでしょ(2%)；召すかも；召すだろ；召すらしい</t>
        </is>
      </c>
      <c r="E8267" t="inlineStr">
        <is>
          <t>なる；呼ぶ；使う；食事；購入</t>
        </is>
      </c>
      <c r="F8267" t="inlineStr">
        <is>
          <t>召す御；召すかも知れ</t>
        </is>
      </c>
      <c r="H8267" t="n">
        <v>29</v>
      </c>
      <c r="I8267" t="inlineStr">
        <is>
          <t>自分の子もおりましたんですけど、神さまに召されてしまったんですの。；もしよかったら先生もお茶を召し食りに、お出でになって下さいません?；鼻の穴には歯も舌も無いのに、どうして御飯や何かを召し上るのですか。；もっともお年を召した方の楽しみと、若いうちの楽しみとはちがいます。；それ以来、お舟の方が将軍に召された夜は十指で数えるにもあたるまい。；建設者よ、お気に召すことならば、なぜいけないわけがありましょうか?；翌日になると帰さない、其晩女中が云ふには、お奥で館が召しますつさ。；法に触れない場所なら、依頼人のお気に召す場所どこにでも向かう船だ。；良寛 京にいられた時には草鞋など召した事はなかったのでしょうからね。；先輩のお気に召すだけあって変な人には間違いないんだろうけどね。；キリストが天に召される時に、付き添ったのも力天使たちであるという。；清 召し上りのもののことやなんか、如何すればよろしいのでしょうか。；あの連中、お気に召さないかもしれませんが、合法的な組織なんですよ。；わたしにはもうひとつ陛下のお気に召さないような面がありますのよ。；わたくしがおそばにいない方がよいと思召すのでございますか。；私の召されるのは必ず、今日に違いないと申す事を、わしは知ったのじゃ。；「また来るがいい」 こんな人とすらも別れるのを悲しく宮は思召した。；お美代は藤乃側の妨害を受けながらも将軍に召される夜を増やしていく。；珍しい景をかたわらにした家であると風流心におもしろく宮は思召した。；二千両の金が出て来ないと、主人は腹でも召さなけりゃなりません。；確かに知りたく思召して、御自身の代わりにおよこしになった私は使いです。；内村鑑三先生が召されましたのは一九三〇年三月二十八日であります。；もう一人の小姓よりもこの小姓がいた方がお気に召したでございましょう。；それはきっと、わたくしがお気に召さなかったのにちがいありません。；ぼくがいろいろ見せた顔のうちのどれかが雌犬のお気に召さなかったらしい。；あなたはさきほど何かをおいしそうに召し上ったじゃございませんか。；併しその月の見せてくれる光景が、まあ、どんなものだつたと思召します。；唯一たよりにする父親には遠く離れて、不憫だとは思召さぬのですか。；一日、彼の敵どもは饗宴を張り、そこに彼を召して道化をやらせたのじゃ。</t>
        </is>
      </c>
      <c r="J8267">
        <f>HYPERLINK("https://www.weblio.jp/content/召す", "词义详情")</f>
        <v/>
      </c>
      <c r="K8267">
        <f>HYPERLINK("https://yourei.jp/召す", "查看例句")</f>
        <v/>
      </c>
    </row>
    <row r="8268">
      <c r="A8268" t="inlineStr">
        <is>
          <t>珍しい</t>
        </is>
      </c>
      <c r="B8268" t="inlineStr">
        <is>
          <t>成功</t>
        </is>
      </c>
      <c r="C8268" t="inlineStr">
        <is>
          <t>読み方：めずらしい
［形］［文］めづら・し［シク］《動詞「愛(め)ず」から派生した語》
１見聞きすることがまれである。普通とは違っていて目新しい。めったになくて貴重である。「—・い鳥を飼う」「—・く早起きする」「最近の彼には—・く機嫌がいい」「都会には—・い純朴な青年」
２賞美する価値がある。すばらしい。
「難波人葦火(あしひ)焚く屋のすしてあれど己が妻こそ常(とこ)—・しき」〈万・二六五一〉
[派生]めずらしがる［動ラ五］めずらしげ［形動］めずらしさ［名］</t>
        </is>
      </c>
      <c r="D8268" t="inlineStr">
        <is>
          <t>珍しいこと(12%)；珍しいもの(7%)；珍しいケース；珍しい存在；珍しい例</t>
        </is>
      </c>
      <c r="E8268" t="inlineStr">
        <is>
          <t>異常；変わった；特別な；特殊な；稀</t>
        </is>
      </c>
      <c r="F8268" t="inlineStr">
        <is>
          <t>極めて珍しい；決して珍しい；かなり珍しい；比較的珍しい；珍しい物</t>
        </is>
      </c>
      <c r="G8268" t="inlineStr">
        <is>
          <t>珍しいい</t>
        </is>
      </c>
      <c r="H8268" t="n">
        <v>29</v>
      </c>
      <c r="I8268" t="inlineStr">
        <is>
          <t>日本国内で現役のバスが外国まで足を伸ばした大変珍しい事例である。；それに、街を行くには当時地方ではまだ珍しかった自動車に乗っていた。；時間的な順序とは異なった流れの当時としては珍しい手法で構成される。；知らない人がはいってくることは、みんなにも珍しさを感じさせました。；ガソリンスタンドが設置されている休憩施設が連続している例は珍しい。；登場人物の中では珍しく、戦闘時にも負傷する場面が少ない人物でもある。；かつて動物園はこういった珍しい動物を可能なかぎり集めていたのである。；日本国内で航空会社自身でエンジンを交換したのは珍しいケースであった。；エンジンは近年では珍しい存在となりつつあるOHVを使用している。；ルパン三世の作品では珍しく同じ登場人物が度々登場するため記述する。；ある時番頭が、その頃極めて珍しかった時計を買ってきたことがあった。；ワイドショー番組で司会者が挨拶を行わない珍しいケースとなっている。；ホークス以外の球団のこうした立場のスタッフの登場は珍しい事例である。；ロマ語の音声システムはヨーロッパの言語の間ではそれほど珍しくない。；JRの駅が当市にはあるがJRの駅が中心駅ではない珍しい市である。；しかし、反メガトロンクーデターの発生が珍しくない状態となっている。；この本は厳密な体系学の調査研究であるが実用的でもある珍しい本である。；このためタイでは同じ姓を持つ他の家系は非常に珍しいと言われる。；ポエトリーリーディング作品がシングルになるのは当時珍しい事であった。；故に現在も神社脇に旧寺の墓地が存在する、珍しい状態となっている。；保護者も参加してままごとなどの親子課題が出されることも珍しくない。；和菓子・洋菓子の両方の要素を取り入れた菓子も珍しくなくなっている。；展示だけではあったものの当時は珍しかった外車も並べられ話題を呼んだ。；線内では珍しくアニメーション式の列車接近案内が使用されている。；その為か神社の建物に菊の紋章が入っていない珍しい神社でもある。；隣りのコートでは、下級生たちがぼくたちのことを珍しそうに見ていた。；石に大きな樹が生えてゐるといふことが非常に珍しかつたのであらう。；それまで舞台を中心に活動していたためテレビドラマの出演は珍しかった。；大規模な大学には珍しく教職員組合が無く、役職者は全て任命制である。</t>
        </is>
      </c>
      <c r="J8268">
        <f>HYPERLINK("https://www.weblio.jp/content/珍しい", "词义详情")</f>
        <v/>
      </c>
      <c r="K8268">
        <f>HYPERLINK("https://yourei.jp/珍しい", "查看例句")</f>
        <v/>
      </c>
    </row>
    <row r="8269">
      <c r="A8269" t="inlineStr">
        <is>
          <t>めそめそ</t>
        </is>
      </c>
      <c r="B8269" t="inlineStr">
        <is>
          <t>成功</t>
        </is>
      </c>
      <c r="C8269" t="inlineStr">
        <is>
          <t>［副］(スル)弱々しく泣きつづけるさま。また、意気地がなく、すぐに涙ぐむさま。「いつまでも—するな」</t>
        </is>
      </c>
      <c r="D8269" t="inlineStr">
        <is>
          <t>めそめそ泣い(16%)；めそめそする(8%)；めそめそ泣く(4%)；めそめそ泣き出す；めそめそしてる</t>
        </is>
      </c>
      <c r="E8269" t="inlineStr">
        <is>
          <t>泣く泣く</t>
        </is>
      </c>
      <c r="H8269" t="n">
        <v>29</v>
      </c>
      <c r="I8269" t="inlineStr">
        <is>
          <t>かうして着物を着がへて出て来てやつたら、もうめそめそしてるんだよ。；息子の死を前にして、父親がめそめそと泣いているわけにはいかない。；めそめそ泣き出して、寺へ行って和尚に経の一巻も上げてもらいたい。；君がめそめそしているのが好きだと云うならしてやってもいいがね。；十時頃まで床のなかで轉輾してから、私はめそめそ泣き出して起き上る。；つらかったのはコフの腕を切ったあとお母さんがめそめそしたことだった。；めそめそ泣くような質ではないので、石も、日も、少しずつ積りました。；僕がめそめそして居ったでは、母の苦しみは増すばかりと気がついた。；のんびり故郷のことを思い出してはめそめそしていたのも連れと出会ってすぐまでだ。；めそめそしてたらどうするか、少しばかり教えといたつもりだがな。；ああめそめそ、死んだ息子のことばかり言っててはいけません。；みんなで止めてようやくやめさせた時には うでも真っ赤になってめそめそ泣いてました。；なにせお前はいつまでもめそめそしているようなか弱い女の子ではないからな。；めそめそするな、と小さい頃に大人から何度言われただろう。；第一めそめそすることが恥辱だと彼には思われたのである。；それだというのに、今になってめそめそ泣いているなんて、何ということなの!；酒と食い物に目がない、故郷を思い出してはめそめそしている町娘ではないのだ。；私たちはお互いに感情におぼれたり、めそめそ泣いたりすることは好きませんでした。；わしが強く出ると涙をめそめそこぼして拝み倒そうとするのだよ。；とうとう次女の和子君が両手の甲を両目に押し当ててめそめそ泣き出した。；滋が運動着がないとか、パンツがどうしたとかと心配してめそめそしている。；彼らの後ろの生き物はめそめそ泣いていたが、ハリーはもう振り返らなかった。；しかし、彼女はいつまでもめそめそしてはいられなかった。；裏切り者の遠子先輩は、椅子の背に顔を埋めて、めそめそしていた。；男のくせになにめそめそしてんだ、腹でも減ってんのか、って声かけたらさ。；五年のときには、近所の三年生に殴られて、めそめそ泣いたことさえある。；ということは、ぼくはやはり弱虫で、めそめそすることが多かったのだろう。；おまえが、めそめそ泣きまわって自分だけいい子になろうとするから、ぶたれるんだよ。；おまえには信じられないだろうが、結婚した次の日からもう家へ帰りたがって、めそめそするんだ。</t>
        </is>
      </c>
      <c r="J8269">
        <f>HYPERLINK("https://www.weblio.jp/content/めそめそ", "词义详情")</f>
        <v/>
      </c>
      <c r="K8269">
        <f>HYPERLINK("https://yourei.jp/めそめそ", "查看例句")</f>
        <v/>
      </c>
    </row>
    <row r="8270">
      <c r="A8270" t="inlineStr">
        <is>
          <t>目立つ</t>
        </is>
      </c>
      <c r="B8270" t="inlineStr">
        <is>
          <t>成功</t>
        </is>
      </c>
      <c r="C8270" t="inlineStr">
        <is>
          <t>読み方：めだつ
［動タ五（四）］とりわけ人目をひく。きわだって見える。「—・って上達する」「—・たない存在」「—・つ色」</t>
        </is>
      </c>
      <c r="D8270" t="inlineStr">
        <is>
          <t>目立つ白い；目立つ相違点</t>
        </is>
      </c>
      <c r="E8270" t="inlineStr">
        <is>
          <t>顕著；明確な；著しい；目立った；顕著な</t>
        </is>
      </c>
      <c r="F8270" t="inlineStr">
        <is>
          <t>最も目立つ；特に目立つ；ひときわ目立つ；一際目立つ；かなり目立つ</t>
        </is>
      </c>
      <c r="H8270" t="n">
        <v>29</v>
      </c>
      <c r="I8270" t="inlineStr">
        <is>
          <t>やがて自分から無理に目立つことをしなくてもいいと思うようになった。；その後には目立った作品はないが、テレビや映画への出演を続けている。；多くはほぼ路線設計上の位置である中央分離帯に目立つ形で設置される。；その形はサクラソウの仲間に似ているが花は小さくてあまり目立たない。；英国病が指摘されるようになってからはロンドン家の活動が目立たない。；町中の看板のようによく目立ち、よく知られている候補ほど有利である。；攻撃的な音楽性に合わせ、歌詞の内容もやはり攻撃的なものが目立つ。；更に車はオープンカーだったため、周囲から悪目立ちすることになった。；位が着々と進んでも、目立ちすぎず騒ぎすぎず、じっと待ったのである。；地体が色の白いくせに、白粉を豊富に塗ったものだからなお目立ちます。；雄の特徴である下顎の2本の歯は比較的小さいためあまり目立たない。；ただし、特定の地点で目立った植物の生育不良などは報告されていない。；最高位幕僚のなかで最も官僚的な発言が目立つ狡猾な人物とされている。；この事件も、晩年の作品に目立つ暗い影の一因ではないかと言われている。；この差は版を重ねるごとに増大して行くので、次第に目立つようになる。；しかし、党の路線をめぐり、徐々に兄弟間で対立が目立つようになった。；基本的な性能に違いは無いが、あまり目立たない部分には若干の違いがある。；背景のビル群や学園の建物などには、目立たないようCGを使用している。；付けることになっている場合も目立たないようにされていることが多かった。；背中に巨大な一対の角や鋭い爪があるが特に目立った武器ではない。；目立たないようにしたいときは、赤い口紅をつけないようにしていた。；妊娠線では産後に縮小し目立たなくなるが完全には消えないことも多い。；また、ヘルメットや弾帯を白くする等で目立つようにしている場合もある。；当初は女性的な言葉遣いが目立ったが、中盤以降はほとんど見かけない。；市の境界とはいえ、住宅地の中を通り抜ける小さな目立たない川である。；また、感覚器官は目立つものではなく、その配置も全体に広がっている。；この地震では新潟市を中心に被害をもたらし、建物被害の多さが目立った。；目立ちもせず、すぐにまた忘れられてしまうような顔ではなかった。；このサイズが選ばれた理由は「目立ちたかったから」とのことである。</t>
        </is>
      </c>
      <c r="J8270">
        <f>HYPERLINK("https://www.weblio.jp/content/目立つ", "词义详情")</f>
        <v/>
      </c>
      <c r="K8270">
        <f>HYPERLINK("https://yourei.jp/目立つ", "查看例句")</f>
        <v/>
      </c>
    </row>
    <row r="8271">
      <c r="A8271" t="inlineStr">
        <is>
          <t>めちゃくちゃ</t>
        </is>
      </c>
      <c r="B8271" t="inlineStr">
        <is>
          <t>成功</t>
        </is>
      </c>
      <c r="C8271" t="inlineStr">
        <is>
          <t>読み方：めちゃくちゃ
［名・形動］《「くちゃ」は語調を整えるために添えた語。「苦茶」は当て字。「目茶苦茶」とも書く》
１まったく筋道が通らないこと。度外れなこと。また、そのさま。めちゃめちゃ。「—なストーリー」「—な値段」
２どうにもならないほどにこわれたり、混乱したりすること。また、そのさま。めちゃめちゃ。「せっかくの集まりを—にする」「書類の順序が—だ」
[補説]近年、「—楽しい」「—怒られる」のように、副詞的に用いて、程度のはなはだしいさまの意を表す例が増えている。</t>
        </is>
      </c>
      <c r="D8271" t="inlineStr">
        <is>
          <t>めちゃくちゃになってる；めちゃくちゃ怒ら；めちゃくちゃ嬉しそう；めちゃくちゃ面白い；めちゃくちゃ怖い</t>
        </is>
      </c>
      <c r="E8271" t="inlineStr">
        <is>
          <t>無理；馬鹿；極端；おかしい；乱れ</t>
        </is>
      </c>
      <c r="H8271" t="n">
        <v>29</v>
      </c>
      <c r="I8271" t="inlineStr">
        <is>
          <t>いろいろなもので遊んでいるうちに家の中はめちゃくちゃになっていた。；我を通すことができたら、自分の国がめちゃくちゃになってもいいのか?；それにあの時は、二人の間がどうもめちゃくちゃで、非紳士的でしたね。；彼は目をあげ、びっくりしてめちゃくちゃなかっこうの二人を見つめた。；自分のように人生をめちゃくちゃにしてしまった者がいるだろうか?；「めちゃくちゃ大事なことを忘れていた」深刻な顔をして山吹が言った。；私はただ自分の目指す方向へめちゃくちゃに進んで行くだけだった。；しかし、外套がからになっているのを見て、めちゃくちゃに腹をたてた。；めちゃくちゃな道を選んでいるが、向かう方向はきちんと定まっている。；あれはちょっとのことですぐ、めちゃくちゃな数字にまで上がるんだから。；そして昨夜のめちゃくちゃは、最後の抵抗の試みではなかったろうか。；嵐でも発生したかのように、部屋の中はめちゃくちゃになっている。；眼の中で降りて行くんだか、足の下で降りて行くんだかめちゃくちゃであった。；失業したりアルバイトしたり、金のないめちゃくちゃな生活をしていた。；この少年にめちゃくちゃに大事にされている自分を、ちょっと想像してみる。；お前はあまり遠出しすぎて、自分の運をめちゃくちゃにしてしまったんだ。；SF作家はめちゃくちゃな放言をするよう、他人に期待されているのだ。；ただ、めちゃくちゃの中で、この権利だけが絶対に正しいというのです。；その頭の良さは、めちゃくちゃさと同時に、この人のなかにあるものだ。；さっきも言ったように、すべてがめちゃくちゃになってしまった時代でしょ。；そして、自分の顔をめちゃくちゃにしてしまった運命を激しく呪いました。；こんなめちゃくちゃならんぼう者は、何をしだすかしれたものではない。；あと百年くらいすればもっとめちゃくちゃに変わるかもしれない。；とにかくもう前後も左右もないほどめちゃくちゃにぐるぐるまわって。；そしてそれは誰かの耳に入って結局めちゃくちゃになるのだ。；同性のアリスから見てもめちゃくちゃ綺麗な少女が、そこに立っていた。；彼は何かが頭とからだの中をめちゃくちゃにひっかきまわしているような気がした。；白雪姫は悪い女王が自分の人生をめちゃくちゃにしたのだという。；富春はおれの上に馬乗りになって、めちゃくちゃに頭を振り回していた。</t>
        </is>
      </c>
      <c r="J8271">
        <f>HYPERLINK("https://www.weblio.jp/content/めちゃくちゃ", "词义详情")</f>
        <v/>
      </c>
      <c r="K8271">
        <f>HYPERLINK("https://yourei.jp/めちゃくちゃ", "查看例句")</f>
        <v/>
      </c>
    </row>
    <row r="8272">
      <c r="A8272" t="inlineStr">
        <is>
          <t>めちゃめちゃ</t>
        </is>
      </c>
      <c r="B8272" t="inlineStr">
        <is>
          <t>成功</t>
        </is>
      </c>
      <c r="C8272" t="inlineStr">
        <is>
          <t>読み方：めちゃめちゃ
［名・形動］
１「滅茶苦茶1」に同じ。「言うことなすこと—だ」
２「滅茶苦茶2」に同じ。「ガラスが—に割れる」</t>
        </is>
      </c>
      <c r="D8272" t="inlineStr">
        <is>
          <t>めちゃめちゃにこわれ；めちゃめちゃにこわさ；めちゃめちゃにこわし</t>
        </is>
      </c>
      <c r="E8272" t="inlineStr">
        <is>
          <t>大きい；無理；重大；馬鹿；極端</t>
        </is>
      </c>
      <c r="H8272" t="n">
        <v>29</v>
      </c>
      <c r="I8272" t="inlineStr">
        <is>
          <t>あの男にあたしの心はすっかりめちゃめちゃにされちゃったんだからね。；きさまのおかげでおれは妻を殺され、人生をめちゃめちゃにされたんだ。；子どもというものは、家のなかをめちゃめちゃにしてしまいますからね。；おれはあまりしゃべりすぎて、先生の頭をめちゃめちゃにしてしまった!；こうなっては隠れていることも、書物を読むこともめちゃめちゃです。；彼女をあわてさせることになって、食事はめちゃめちゃになるだろう。；あんな男と一緒にいては妹の人生はめちゃめちゃになると思いました。；睨めっこのように鼻を天に向け、目を左右めちゃめちゃに上げ下げした。；きみのためにおれたちの計画はめちゃめちゃになってしまったのだぞ。；嘘だと思ったら二年でも三年でも、めちゃめちゃに道楽をしてみるがいい。；彼女の将来と計画をめちゃめちゃにしてしまった彼のロンドン行きを呪った。；本にあることと違ったことをして、何もかもめちゃめちゃにしたいのかい?；又、親の命にしたがえば女の心はめちゃめちゃになってしまうだろう。；こんなことをすれば、計画がめちゃめちゃになるではありませんか?；君が怒ったとすれば、僕をめちゃめちゃにやっつけることもできるだろう!；自身の魔法の力でめちゃめちゃにしてしまった、佗びしい港町の光景を。；それにお邸のなかは何から何までめちゃめちゃでございますよ。；伯爵のおかげで私の家庭はめちゃめちゃにこわされてしまいました。；数分前までは、すべてが順調に行っていたのに、計画がめちゃめちゃだ。；おかげでせっかくの訪問をめちゃめちゃにしてしまったじゃないの。；この騒ぎで、おそらく兵籍簿も何もめちゃめちゃになってしまっただろう。；しかもあなたは自分をそうした上に、そのために私の心をめちゃめちゃにしたのだ。；離陸はできるでしょうが、きっとめちゃめちゃに壊してしまうでしょう。；その後は場内上を下への大混乱となって芝居はめちゃめちゃとなった。；ぼくのまわりの窓という窓のガラスは、めちゃめちゃに砕けて、飛んだ。；このままでは、三河屋があなた達のためにめちゃめちゃにされてしまいます。；彼女は泣き笑いしながらめちゃめちゃに父の腕の下へ自分の頭を突っ込んだ。；あたしには兄の苦しみと、もう家庭がめちゃめちゃになったことがわかりましたわ。；そのまま城久子と抱き合った形で、雪の中をめちゃめちゃに転がされた。</t>
        </is>
      </c>
      <c r="J8272">
        <f>HYPERLINK("https://www.weblio.jp/content/めちゃめちゃ", "词义详情")</f>
        <v/>
      </c>
      <c r="K8272">
        <f>HYPERLINK("https://yourei.jp/めちゃめちゃ", "查看例句")</f>
        <v/>
      </c>
    </row>
    <row r="8273">
      <c r="A8273" t="inlineStr">
        <is>
          <t>目付き</t>
        </is>
      </c>
      <c r="B8273" t="inlineStr">
        <is>
          <t>成功</t>
        </is>
      </c>
      <c r="C8273" t="inlineStr">
        <is>
          <t>読み方：めつき
物を見るときの目のようす。「—が悪い」「鋭い—で見る」</t>
        </is>
      </c>
      <c r="D8273" t="inlineStr">
        <is>
          <t>目；目つき；眼差し</t>
        </is>
      </c>
      <c r="F8273" t="inlineStr">
        <is>
          <t>険しい目付き；厳しい目付き；奇妙な目付き</t>
        </is>
      </c>
      <c r="H8273" t="n">
        <v>29</v>
      </c>
      <c r="I8273" t="inlineStr">
        <is>
          <t>末吉はなによりもその女に向けられている人々の目つきに心を刺された。；ジュリヤンはその目つきを見て、地の底に隠れたいと思ったほどだった。；もう一人の子もこちらを見ているが、彼女の目付きとは明らかに違う。；言葉には出すことさえ出来なかったが、信じられないような目付きだった。；彼女の目付きがきつくなったから生まれてくる子は男の子だと思った。；で、旦那のほうが私を妙な目つきで見ていることが一二度ありました。；が、もう一人の薔薇色の方は私をなんだかこわい目つきをして見上げた。；その目つきは意志からきたものであり、その微笑は性質からきたものだった。；わたしは彼女がこんな目つきをしているのを見たことがなかった。；ハイティーンから始めるのはいいけれど、この目ツキはどうしたことか。；すると、たまたま先生が通りかかって、怒った目つきでKを降りさせた。；しかし、それはまるで路上の石ころでも眺めているような目付きだった。；それよりいやな気がしたのは、そいつの冷たく無感動な目付きだった。；嘘をついても、しばしば目付きに現れることは誰でも経験している。；女たちの目つきから、自分が噂の種になっているのを見てとった。；ノックをせずに入って来て、動物的な怒りに燃えた目つきで私をにらんだ。；彼女はこれまでに見たことのないような飢えた目つきをしていた。；その目付きの中に、ありとあらゆる拒否が含まれていると私は感じた。；それがすむと、彼は満足げな目つきで自分の裂けたシャツを見おろした。；仲間はみんな何かに憑かれたような目つきの狂信者になってしまった。；彼は椅子の中にうずくまり、顎を引き締めて、厳しい目つきをしていた。；当初は目つきが鋭く、調子に乗った万太郎に反目する態度も見せていた。；彼女の口はひとりの方へ返事をし、彼女の目つきはもひとりの方へ返事をしていた。；私はとろんとした目つきで彼ら一同を無遠慮にながめまわしてやった。；頬を紅潮させてはいたが、まだ容易には信じられないという目つきだった。；その目つきは彼女からあらゆる不安を除いてくれはしなかった。；まるで患者が薬を飲むのを見届けようとする医者の目つきだ、と私は思った。；でもかわいそうだったわ、殺されるときの目つきがまるで人間なのよ。；ルブラン氏が怒った目つきを自分に向けはすまいかとも想像した。</t>
        </is>
      </c>
      <c r="J8273">
        <f>HYPERLINK("https://www.weblio.jp/content/目付き", "词义详情")</f>
        <v/>
      </c>
      <c r="K8273">
        <f>HYPERLINK("https://yourei.jp/目付き", "查看例句")</f>
        <v/>
      </c>
    </row>
    <row r="8274">
      <c r="A8274" t="inlineStr">
        <is>
          <t>めっきり</t>
        </is>
      </c>
      <c r="B8274" t="inlineStr">
        <is>
          <t>成功</t>
        </is>
      </c>
      <c r="C8274" t="inlineStr">
        <is>
          <t>［副］
１状態の変化がはっきり感じられるさま。「—（と）涼しくなる」「—（と）老(ふ)けこむ」
２数量や物事の程度が十分に大きいさま。
「—と露がたれそうにえんだのを」〈中勘助・銀の匙〉</t>
        </is>
      </c>
      <c r="D8274" t="inlineStr">
        <is>
          <t>めっきり少なく(4%)；めっきり老け(2%)；めっきり痩せ；めっきり減り；めっきり涼しく</t>
        </is>
      </c>
      <c r="E8274" t="inlineStr">
        <is>
          <t>よく；最も；非常；非常に；かなり</t>
        </is>
      </c>
      <c r="F8274" t="inlineStr">
        <is>
          <t>近頃めっきり；ところめっきり；このごろめっきり；もうめっきり；近ごろめっきり</t>
        </is>
      </c>
      <c r="H8274" t="n">
        <v>29</v>
      </c>
      <c r="I8274" t="inlineStr">
        <is>
          <t>この赤い唇に自分の唇を触れることがめっきりとなくなった、と思った。；ある時期から父が夜に出かけていくことがめっきりと少なくなった。；見たこともないようなタイプのロボットが最近めっきり増えている。；香蔵は黒く日に焼けて来て、顔の色までめっきり丈夫そうに見える人だ。；でも最近では、そんな視線を浴びせられたりする機会がめっきり減った。；なるほど、重る不幸のあった後、お恵さんはめっきり年を取って見えた。；めっきり好色になって来た妻が、夢とうつつの区別をつかなくしてくれた。；日はめっきり短くなり、あっという間にあたりは夜のとばりに包まれた。；以来四次元のものの書籍の売行がめっきり減少したとその編集者は嘆く。；その泉の水が近年めっきり味が落ちて普通の水になって了った。；宿はめっきり閑になって、広くて見晴しのよい部屋が幾個も空いていた。；次にまた、以前に交換し合った二人の間にもめごとがめっきりふえ出した。；この頃はめっきり痩せた姉の頬に涙が流れると、弟の大きい眼にも露が宿る。；リップのまるい顔が、このところめっきりやつれて来たように思われた。；それで、めっきり年を取ったものだと、愕然としているところである。；エンジンの音が遠くなると、家の中はめっきりと静かになった。；最後の十二時間になって、その皺はめっきりと数を増したようだった。；ところが、四五日前からめっきり日がのび夕方があるようになった。；こっちもちょっとは変わったが、この一日二日でめっきり老けてね。；札幌の街のあちこちにあった喫茶店は最近めっきりとかずをへらしていた。；今はめっきり母親役が多くなったその女優は、アイドル時代の顔で叫んでいた。；赤児の出産後に増えた歌唱師の体重が、めっきり減ってしまったからだ。；以前はあちこちでこういう光景を見かけたらしいが、最近はめっきり少なくなった。；彼もまためっきり老いこみ、ひときわ背もしぼんだように小さく見えた。；だが、そうした話に耳を傾けてくれる人間は、めっきり少なくなった。；物を教える人がめっきり多くなって、しかも学ぶに難い世の中になって来た。；気がつくと、食堂にはめっきり人の数が少なくなっていた。；ようやく笑いを押さえ込んだ時にはめっきりとお腹が痛くなっていた。；農場で有名な小岩井を抜けると、人家の数がめっきり少なくなってきた。</t>
        </is>
      </c>
      <c r="J8274">
        <f>HYPERLINK("https://www.weblio.jp/content/めっきり", "词义详情")</f>
        <v/>
      </c>
      <c r="K8274">
        <f>HYPERLINK("https://yourei.jp/めっきり", "查看例句")</f>
        <v/>
      </c>
    </row>
    <row r="8275">
      <c r="A8275" t="inlineStr">
        <is>
          <t>めったに</t>
        </is>
      </c>
      <c r="B8275" t="inlineStr">
        <is>
          <t>成功</t>
        </is>
      </c>
      <c r="D8275" t="inlineStr">
        <is>
          <t>めったにない(24%)；めったに見られ(3%)；めったになく；めったにお目；めったに使わない</t>
        </is>
      </c>
      <c r="E8275" t="inlineStr">
        <is>
          <t>そう；滅多に；そうそう；滅多やたらに</t>
        </is>
      </c>
      <c r="F8275" t="inlineStr">
        <is>
          <t>めったにお目にかかれ；めったに姿を現；めったに姿を見せ；めったに聞け；めったに外へ出</t>
        </is>
      </c>
      <c r="H8275" t="n">
        <v>29</v>
      </c>
      <c r="I8275" t="inlineStr">
        <is>
          <t>活動を中止せずにリスクを完全に排除することはめったに不可能である。；めったになかったが、ときどき一頭か二頭しかあらわれないこともある。；自分のポシブルがどんな人物であるかを彼らが知ることはめったにない。；めったに外に出ないらしく窓から外を見て居る様子に自分は深い愛を覚えた。；その頃は、十銭の郵便切手を買うことは一年のうちにめったになかった。；そこまでスピードを出す肝っ玉のあるものが、めったにいないのである。；そういうことはそうめったにないと言って安心していてもよいものであろうか。；雷はめったに落ちるものでないから、この経験はそう当てにならない。；そうすればすぐ表へ出ても、めったに風を引くようなことはないんだからね。；社員を海外赴任させる企業が子供の障害まで考慮することはめったにない。；彼は春子が仕事をしている間は、自分からはめったに話しかけなかった。；アーサーの祖父は失踪しており、両親はめったに家に帰ってこなかった。；おそらくこれ以上みすぼらしい風をした旅人はめったに見られなかった。；ティツィアーノが他の作品を引用するために近づくことはめったにない。；会社などでたまに使われることもあるが、家庭用としてはめったにない。；院長さんには、めったにみてもらえないからかしらんとさえ思いました。；パパにしても、日本へ帰ってからはめったにドレスコートなんか着ない。；当時のポーランド貴族の間では、めったに見られないことだったためである。；彼はこれほど幸せに、これほど自分に満足を感じたことはめったになかった。；大切にしてめったに人にも見せないその三冊を寄宿舎の方から持って来ている。；犬にはこの手術はめったに行われないが、牛については一般的である。；自分で作詞・作曲をしていない曲をコンサートで歌うことはめったにない。；ジャクソムはそれから二度ほど、めったに人の行かない場所へ飛んでみた。；また、ここではエフェクト処理されていない楽器はめったに使用されない。；ドイツでは、この映画がエミー賞を受賞したことはめったに言及されない。；しかもこんどは、めったにこの交渉を物別れにさせてはならないのである。；こんなことはこれまでにも時々あるにはあったが、めったにないことであった。；よほど劣悪な環境でなければめったに感染しないため水槽の管理は大切。；だからこの島を見る船も一年や二年ではめったにないかも知れない。</t>
        </is>
      </c>
      <c r="J8275">
        <f>HYPERLINK("https://www.weblio.jp/content/めったに", "词义详情")</f>
        <v/>
      </c>
      <c r="K8275">
        <f>HYPERLINK("https://yourei.jp/めったに", "查看例句")</f>
        <v/>
      </c>
    </row>
    <row r="8276">
      <c r="A8276" t="inlineStr">
        <is>
          <t>滅亡</t>
        </is>
      </c>
      <c r="B8276" t="inlineStr">
        <is>
          <t>成功</t>
        </is>
      </c>
      <c r="C8276" t="inlineStr">
        <is>
          <t>読み方：めつぼう
［名］(スル)ほろびること。絶えてなくなってしまうこと。「国が—する」</t>
        </is>
      </c>
      <c r="D8276" t="inlineStr">
        <is>
          <t>滅亡後(17%)；滅亡する(10%)；滅亡時；滅亡寸前；滅亡以来</t>
        </is>
      </c>
      <c r="E8276" t="inlineStr">
        <is>
          <t>最後；敵；最終；減少；終わり</t>
        </is>
      </c>
      <c r="F8276" t="inlineStr">
        <is>
          <t>鎌倉幕府滅亡；平家滅亡；武田家滅亡；事実上滅亡；後北条氏滅亡</t>
        </is>
      </c>
      <c r="H8276" t="n">
        <v>29</v>
      </c>
      <c r="I8276" t="inlineStr">
        <is>
          <t>ブルグント王位自体は神聖ローマ帝国滅亡まで歴代皇帝が保持し続けた。；そして1234年、金の最後の皇帝哀宗は自殺し、金は完全に滅亡した。；戦争はローマの勝利に終わり、カルタゴとその国家は完全に滅亡した。；なお、これによって実質的に大内家は滅亡したとする見解も有力である。；その滅亡をもって、ヨーロッパ史では古代と中世との境界とする場合がある。；日本船が初めて宋の記録に現れるのは北宋滅亡後の1145年である。；以後イスラム側の大規模な侵入はなくなり、帝国の滅亡は回避された。；現在の安陽市の殷墟は紀元前1300年頃から殷滅亡までの後期の首都。；これは決して長篠敗戦が武田家滅亡の要因ではないことを示している。；もはや畠山家も滅亡しており、信長に仕えて報復の機会を待つことになった。；これにより、鎌倉時代から続く名族・少弐氏は完全に滅亡したのである。；野獣にも似たこの暴行は、もとより彼ら自身の滅亡を早めるものである。；しかし、五国が滅亡すると西の対秦国境に将軍を集め閉鎖した。；一部の残党は718年まで抵抗を続けたが、一般的にはこの年を滅亡年とする。；これはヴァンダル王国が滅亡してからたった1世紀後のことである。；戦争に突入すればその後の後北条氏のように、家康には滅亡の可能性も指摘する。；後に、グティ人が侵入し、シャル・カリ・シャッリ王を最後に滅亡した。；その滅亡を以って、ヨーロッパ史では中世と近世の境界とする場合がある。；その混乱の最中にスペインの侵攻があり滅亡した。；当然だが、人類の滅亡による人類史の終わりを意味するのではない。；しかし、総州家が滅亡したわけではなく、両家の対立は残ったままであった。；桓帝の時代には後漢の滅亡の要因となる清濁の争いの原因が形成された時代である。；こうした現象は、元からの銀の増加と、その後の滅亡による停止が原因とされる。；それが止まったのは、チャウシェスク政権滅亡後のことであった。；武田家滅亡後の4月、信長は信張に変えて信孝を総大将として任命した。；秦滅亡後の楚漢戦争に勝利した劉邦によって建てられ、長安を都とした。；クテシアスによればメディアはアッシリアが滅亡した後、アジアを支配した。；後趙の残党はその後しばらく抵抗したが、351年に完全に滅亡した。；以下、ダオス帝国滅亡の時代を経験している純粋なダイ族を挙げる。</t>
        </is>
      </c>
      <c r="J8276">
        <f>HYPERLINK("https://www.weblio.jp/content/滅亡", "词义详情")</f>
        <v/>
      </c>
      <c r="K8276">
        <f>HYPERLINK("https://yourei.jp/滅亡", "查看例句")</f>
        <v/>
      </c>
    </row>
    <row r="8277">
      <c r="A8277" t="inlineStr">
        <is>
          <t>めでたい</t>
        </is>
      </c>
      <c r="B8277" t="inlineStr">
        <is>
          <t>成功</t>
        </is>
      </c>
      <c r="C8277" t="inlineStr">
        <is>
          <t>［形］［文］めでた・し［ク］《動詞「め（愛）ず」の連用形「めで」に形容詞「いたし」の付いた「めでいたし」の音変化》
１喜び祝うに値するさま。喜ばしい。「—・く成功する」「—・い席」
２評価・評判などがよい。「社長の覚えが—・い」
３（多く「おめでたい」の形で）お人よしである。人がよすぎてだまされやすい。「これで承知するなんて—・い人だね」
４賞美する価値があるさま。みごとである。
「散ればこそいとど桜は—・けれうき世になにか久しかるべき」〈伊勢・八二〉
[補説] 「目出度い」「芽出度い」などと当てて書く。
[派生]めでたがる［動ラ五］めでたげ［形動］めでたさ［名］</t>
        </is>
      </c>
      <c r="D8277" t="inlineStr">
        <is>
          <t>めでたいこと(16%)；めでたい日(3%)；めでたいもの(3%)；めでたい席(3%)；めでたい事</t>
        </is>
      </c>
      <c r="E8277" t="inlineStr">
        <is>
          <t>記念すべき；喜ばしい；おめでたい；喜ぶべき；ハッピーな</t>
        </is>
      </c>
      <c r="F8277" t="inlineStr">
        <is>
          <t>こんなめでたい；覚えめでたい；実にめでたい；祝うめでたい；もっとめでたい</t>
        </is>
      </c>
      <c r="H8277" t="n">
        <v>29</v>
      </c>
      <c r="I8277" t="inlineStr">
        <is>
          <t>何にしても死なないで生きてゐたといふことはめでたいことではないか。；何年も留年しているらしい彼だったが、この度めでたく卒業が決まった。；初仕事としてはこの上なくめでたく、この上なく楽しいお勤めであろう。；そうではなく、富民侯のようにめでたい字で名前をつけることもあった。；赤ん坊の父親とめでたく一緒になった後、娘の禿げは嘘のように消えた。；だがそんなめでたい話なら、何故にこうも硬い顔をしているのだろうか。；そんな感じの身のこなしこそが、一番めでたいやり方なのだろうと思う。；昨日想像した以上にめでたく褒められているわけだが、全然嬉しくない。；長生をしてこの二人のように頭がたしかに使えるのはなおさらめでたい。；今年、一九七七年の年頭は、私にとってもめでたいもののはずであった。；ま、それで話はめでたしとなるところだが、実はそうはいかなかった。；その年が明けるとそうそう、お露はめでたく千々岩大八と女夫になった。；日露の講和が成就して乃木将軍がめでたく凱旋しても上がる事は出来ん。；そのままなら、ふたりが結婚する時にめでたくページが終わるはずだけれど。；もしかかる事のために殺されるならばこりゃ実にめでたい事である。；そして二人とも結婚成立を押せばめでたく結婚したということになる。；そんなめでたい席に、誰が、そんな物騒な物を持って行くというんです?；彼らは嘘をついて覚えめでたくしようなどと少しも思わない。；もしかかることのために殺されるならば、コリャ実にめでたいことである。；これで、めでたく医者になったとすると、ちょっと患者のことが心配になる。；また愛する許婚者も、彼のめでたく修学して帰って来る日を待っている。；一家の意見がめでたく一致したところで我々は席を立ち、六角堂に向かった。；娘さんの立場からすると、必ずしもめでたいかどうかなんてわからないことだし。；ただめでたいことばかり述べ立てて、餅や酒をもらうことにのみ熱心である。；もちろんめでたい生還などはまったく考えておられないことだろう。；そして三番目がここにおる田中君みたいにお覚えめでたい編集者たちだがの。；こんなことをしたと聞いては、きっと覚えはめでたくなくなるに違いないと思われた。；世間ではよほどめでたいことだと思ったに違いありません。；まったく世の中にはめでたい顔をした人もおるもんですな。</t>
        </is>
      </c>
      <c r="J8277">
        <f>HYPERLINK("https://www.weblio.jp/content/めでたい", "词义详情")</f>
        <v/>
      </c>
      <c r="K8277">
        <f>HYPERLINK("https://yourei.jp/めでたい", "查看例句")</f>
        <v/>
      </c>
    </row>
    <row r="8278">
      <c r="A8278" t="inlineStr">
        <is>
          <t>目処</t>
        </is>
      </c>
      <c r="B8278" t="inlineStr">
        <is>
          <t>成功</t>
        </is>
      </c>
      <c r="C8278" t="inlineStr">
        <is>
          <t>読み方：めど
目指すところ。目当て。また、物事の見通し。「九月実施を—に細部を詰める」</t>
        </is>
      </c>
      <c r="D8278" t="inlineStr">
        <is>
          <t>目処がつい(6%)；目処がたた(2%)；目処が全く</t>
        </is>
      </c>
      <c r="E8278" t="inlineStr">
        <is>
          <t>目的；可能性；目標；当て；意図</t>
        </is>
      </c>
      <c r="H8278" t="n">
        <v>29</v>
      </c>
      <c r="I8278" t="inlineStr">
        <is>
          <t>騎乗した菅原泰夫は好位につけた時点で勝利の目処がたったとしている。；くわえて建設資金も不足したため工事が遅れ開業の目処がたたなかった。；リングから切り離して運用する技術もまだ実現の目処が立っていません。；なお、開発中止時にはナセル・ストールを解消できる目処は立っていた。；現在までの所、小型化の目処は付いていないが、将来的には分からない。；一週間目にはおよその目処が立ったので、本橋教授は帰国することになった。；丸一年が経過した2010年5月時点でも、解決の目処すら立っていない。；彼にしてみれば、それを目処に、残された時間を粘り切ればすむのである。；現在は公式サイト閉鎖に伴い、バージョンアップの目処は立っていない。；特定にかかる期間は半年で完了することを目処としている。；離脱騒動も解決の目処が立ったため計画中止の事態は回避された。；今後2017年内を目処に、第2拠点を設立することを検討している。；この手でなんとか、ふたりでやってけば、もうかる目処はついたんだ。；同県では2017年度を目処に約100店舗の展開を目指している。；今回のように多少の遅れはあるにしても、四巻まではなんとか目処は立っています。；原子核融合の研究も進められているが、実用化の目処は立っていない。；扱えるのは身内である誰かである、目処も付いていると語られていた。；現在再開の目処は立っておらず、事実上の引退となっている。；製作資金の目処が付いて以降、本作の製作は急ピッチで進められることになった。；作曲家として自立する目処がついたことから1933年陸軍を除隊した。；周囲では2011年までを目処とした宅地開発が実施されていた。；しかしそれでも経営再建の目処はつかないとして、同部門売却の話が進む。；本技術はまだ試作段階であるが、すでに以下の特徴はほぼ目処が立っているとされる。；深い土がないので根菜類は難しいが、玉葱の栽培には目処が立っているという。；これで失敗した場合にどうなるかの目処がついた。；これがイギリスにむけて出荷されて評判を呼び、換金作物の目処が着いた。；他にも集まってた情報とあわせて、とりあえずの目処はたったよ。；事業の実現性研究がなされ、実現性に目処が立てば、予算要求が行われる。；感染拡大は加速し続けているため経済回復の目処が立っていない。</t>
        </is>
      </c>
      <c r="J8278">
        <f>HYPERLINK("https://www.weblio.jp/content/目処", "词义详情")</f>
        <v/>
      </c>
      <c r="K8278">
        <f>HYPERLINK("https://yourei.jp/目処", "查看例句")</f>
        <v/>
      </c>
    </row>
    <row r="8279">
      <c r="A8279" t="inlineStr">
        <is>
          <t>目の前</t>
        </is>
      </c>
      <c r="B8279" t="inlineStr">
        <is>
          <t>成功</t>
        </is>
      </c>
      <c r="C8279" t="inlineStr">
        <is>
          <t>読み方：めのまえ
１見ているすぐ前。眼前。「—で人が倒れる」
２時間的、空間的にごく近いこと。もくぜん。「試験が—に迫る」</t>
        </is>
      </c>
      <c r="D8279" t="inlineStr">
        <is>
          <t>前；側；お前；そば；傍</t>
        </is>
      </c>
      <c r="H8279" t="n">
        <v>29</v>
      </c>
      <c r="I8279" t="inlineStr">
        <is>
          <t>またこの事件の直後の6億年前には最後の大規模な陸地形成が起こった。；その姿は今から1000年ほど前までは維持されていたと考えられる。；地球上の生命は、およそ37億年前には存在していたという証拠がある。；この遺跡は農耕社会出現前の食料採集民の戦争の確実な例とされている。；地下10階に下り先へ進む彼らの前に村正を手にした侍が立ちはだかる。；宇宙・航空に目をつけたのは、1950年代前半の渡米のころとされる。；通常目にすることはできず、謀叛などで独立しないと見ることができない。；アメリカ大陸の各地では、約2000年以上前から栽培が行われていた。；全線開通前からCMやドラマ・映画等の撮影を積極的に受け入れている。；このため、人間の目の残像特性を利用した飛び越し走査方式を採用した。；彼は四人兄弟の三人目で、幼いガガーリンの世話は姉が行うこともあった。；このために、マカオの人々は伝統的に海に目を向けて生計を立ててきた。；金および隕鉄だけが、人類が銅より前に使用していたという証拠がある。；スタッフ会議や演技指導の際には、皆がルーカスに目を合わせている。；結婚時に妻は結婚前の姓をそのまま用いることも、夫の姓に変えることも可能。；少なくとも5万年前には現在のアフガニスタンには人間が住んでいた。；これにより、国内3大タイトルを全て獲得した5つ目のクラブとなった。；前1500年頃にはパンジャーブ地方に進行し国の基礎を築いたとされる。；世界の諸都市のうち人口は25番目に多く、都市圏では18番目に多い。；地球型惑星としては最大であり、全惑星の中では5番目の大きさである。；電話通信には目に見えないところで大きな変化も起きている。；目で見たり、触れて感じたりすることのできないことを意味する。；しかし、連載の終了は4週間前に通告されるという突然なものであった。；この作品では、大阪府庁前の上町筋を封鎖して撮影を行う必要があった。；この場合、いずれも食の最大を迎える前と食の最大を過ぎた後に分類される。；その飲んでいる写真が新聞の記事になり牛乳会社の目に止まった。；この時期にはゼウスも他の女に目もくれずにヘーラーと愛し合うという。；現在の日本ルールでは、6目半を先手の黒が負担しなければならない。；これは2番目に傾斜が小さい木星の値に比べてもと非常に小さい値である。</t>
        </is>
      </c>
      <c r="J8279">
        <f>HYPERLINK("https://www.weblio.jp/content/目の前", "词义详情")</f>
        <v/>
      </c>
      <c r="K8279">
        <f>HYPERLINK("https://yourei.jp/目の前", "查看例句")</f>
        <v/>
      </c>
    </row>
    <row r="8280">
      <c r="A8280" t="inlineStr">
        <is>
          <t>眩暈</t>
        </is>
      </c>
      <c r="B8280" t="inlineStr">
        <is>
          <t>成功</t>
        </is>
      </c>
      <c r="C8280" t="inlineStr">
        <is>
          <t>読み方：めまい
目が回ったり、くらんだりすること。回転・昇降・傾斜などを感じるものは平衡感覚の異常により、立ちくらみのものは血行障害により起こる。げんうん。
[補説]作品名別項。→眩暈</t>
        </is>
      </c>
      <c r="D8280" t="inlineStr">
        <is>
          <t>眩暈坂；眩暈くよう；眩暈感；眩暈心地；眩暈がひどく</t>
        </is>
      </c>
      <c r="E8280" t="inlineStr">
        <is>
          <t>めまい；目眩；目まい；立ち眩み；立ち眩</t>
        </is>
      </c>
      <c r="F8280" t="inlineStr">
        <is>
          <t>激しい眩暈；強い眩暈；クラクラと眩暈；一瞬眩暈；グラグラと眩暈</t>
        </is>
      </c>
      <c r="H8280" t="n">
        <v>29</v>
      </c>
      <c r="I8280" t="inlineStr">
        <is>
          <t>眩暈がするほど嫌なのは、鉄男が想像したとおりに事が進むことだった。；眩暈がした位では、これを乘り越して下へ落ちさうな樣子はありません。；相変わらず眩暈がひどいらしく、歩いて旅をさせることは不可能に近い。；お父さんにも、出がけに眩暈がして倒れたなんて云つちやいけませんよ。；歩きながら時々眩暈に襲われたので、突然倒れて死ぬのではないかと恐れた。；それで我慢するのだが、吐かない限り、この眩暈はいつまでも続くのだ。；ぼくはこのことを聞いた時、一瞬軽い眩暈のような感覚に襲われた。；それは丁度、断崖の上で、一人で海を見ながら感じる眩暈のようだった。；少なくともこの心と魂の眩暈は、船酔いよりほかにくらべるものがない。；痛みそのものより、いきなりの事に反応できず彼は眩暈に似た状態に陥る。；これがもうすぐ清美の中に入るのかと思うと興奮のあまり眩暈がした。；さうしてそんなに高く仰いでゐると眩暈を感じて打倒れさうであつた。；ベティさんはそうして襲ってくる眩暈に支えられているかのように歩いた。；申義の最初の訪問の後、朱美は酷い眩暈に襲われて失神したのだそうだ。；何をすべきかはもう決まっているが、これからすることを考えると眩暈がした。；その瞬間、床がぐらりと揺れたような、淫らな感じのする眩暈を覚えた。；その瞬間、眩暈がしたが、気がつくと憑かれたように獣を追っていた。；軽い眩暈にも似た転移感覚のあと、目を開くとそこはもう迷宮の中だった。；こうしたなかで身体感覚が一種の混乱と眩暈の状態にいきなり投げこまれる。；実際にはひどい眩暈が続いていたが、寝こんでいる場合ではない。；モザイク模様に無限に広がる世界は確かに慣れないと眩暈に襲われる。；どちらかといえば静寂を好む少女は、それら全ての様に眩暈さえ覚える。；それを見つめながら、ぼくはなにか眩暈に似たものを感じていた。；ベッドから折りた時、眩暈と気分の悪さを感じるものと思っていた。；ピルフェニドンを服用中の患者から眩暈および疲労感が報告されている。；ホフマンは眩暈を感じ、実験を中断せざるを得ない状態に陥ってしまった。；眩暈がしそうな首の切断面が胸にせまってきても洋一はクロを見つづけた。；おれは深く息を吸い込み、眩暈を抑えながらお待ちかねの台詞を言った。；一瞬軽い眩暈のようなものを感じたが、苦痛にはならなかった。</t>
        </is>
      </c>
      <c r="J8280">
        <f>HYPERLINK("https://www.weblio.jp/content/眩暈", "词义详情")</f>
        <v/>
      </c>
      <c r="K8280">
        <f>HYPERLINK("https://yourei.jp/眩暈", "查看例句")</f>
        <v/>
      </c>
    </row>
    <row r="8281">
      <c r="A8281" t="inlineStr">
        <is>
          <t>目まぐるしい</t>
        </is>
      </c>
      <c r="B8281" t="inlineStr">
        <is>
          <t>成功</t>
        </is>
      </c>
      <c r="C8281" t="inlineStr">
        <is>
          <t>読み方：めまぐるしい
［形］［文］めまぐる・し［シク］物の動きや変化が、一つ一つ追って行くことができないほど早い。「—・く動き回る」「順位が—・く入れかわる」
[派生]めまぐるしげ［形動］めまぐるしさ［名］</t>
        </is>
      </c>
      <c r="D8281" t="inlineStr">
        <is>
          <t>目まぐるしい変化(4%)；目まぐるしい動き(3%)；目まぐるしい変転；目まぐるしい生活；目まぐるしい展開</t>
        </is>
      </c>
      <c r="E8281" t="inlineStr">
        <is>
          <t>慌ただしい；変転する；激動する；絶えず変化する；移ろい行く</t>
        </is>
      </c>
      <c r="H8281" t="n">
        <v>29</v>
      </c>
      <c r="I8281" t="inlineStr">
        <is>
          <t>時系列が目まぐるしく前後し、その境界もほとんど明確にされていない。；文明世界は私たちから見ればまるで戦場の様な目まぐるしいものだと思った。；まさか犬が独楽のように目まぐるしく廻り出すとは思わなかったからだ。；まして信長が何を目指して目まぐるしく走り廻っているのかわからない。；目まぐるしい変化に自分をあわせていくことで、精いっぱいだったのだ。；対するテレビは、床屋を始めた女性が店の中を目まぐるしく移動していた。；ぼくたちも敵よりいい位置を取るために目まぐるしく動いている。；津村の車は商売の演出上からも目まぐるしく次から次へとよくかわる。；鏡の映像が目まぐるしく変わり、様々な視点から見た街が映し出される。；かれがどこにいるにしろ、彼女は生活を目まぐるしいほどのものにするだろう。；まるで夢でも見ているように、目の前が目まぐるしく動いていた。；でも、人間の感情なんて目まぐるしく変わるものなのね、極端から極端に!；その短い時間の間に、チェスの脳は非常に目まぐるしい動きを見せる。；想像の腕の中で、舞と男の赤ん坊とが目まぐるしく入れ替わっていった。；次は時計の室、書物の室、目まぐるしいほどの宝物ばかり積まれてある。；なす術なく宙を漂う二人の周囲で、床と天井、壁が目まぐるしく回転する。；この小さな頭のなかで何を目まぐるしく考えているのだろう。；長男を伴った妻の目まぐるしい動きを、私は手を拱いて見ているより他はない。；そこから先のことはひどく目まぐるしくてよく覚えていない。；城を脱出して以来、あまりにも目まぐるしい時間の経過と事件の変転だった。；表情が目まぐるしく変化するので、つい見とれてしまうせいかもしれない。；それだけ目まぐるしく動いたのに、ほんのわずか息がはずんだだけだった。；この目まぐるしい転売の行なわれたのが、わずか一年余の間のことである。；こういう目まぐるしいような生活を私は少し面白いとも思う。；普段は日和見しがちな頭が、今は目まぐるしいほどに回転している。；わたしがそれまで見てきた他の壁と同様、これまた目まぐるしく方向が変わるのだった。；このようにマーコスのエンジンは需要や供給に合わせて目まぐるしく変更された。；目まぐるしくも何ともないが、本質的にはこれで足りているから腹が立つ。；これら目まぐるしい外国劇侵入時代に、わが劇作家は何をしてゐたか。</t>
        </is>
      </c>
      <c r="J8281">
        <f>HYPERLINK("https://www.weblio.jp/content/目まぐるしい", "词义详情")</f>
        <v/>
      </c>
      <c r="K8281">
        <f>HYPERLINK("https://yourei.jp/目まぐるしい", "查看例句")</f>
        <v/>
      </c>
    </row>
    <row r="8282">
      <c r="A8282" t="inlineStr">
        <is>
          <t>目盛り</t>
        </is>
      </c>
      <c r="B8282" t="inlineStr">
        <is>
          <t>成功</t>
        </is>
      </c>
      <c r="C8282" t="inlineStr">
        <is>
          <t>読み方：めもり
物差し・はかり・温度計などの、長さ・重さ・容積などを示すしるし。「—を読む」</t>
        </is>
      </c>
      <c r="D8282" t="inlineStr">
        <is>
          <t>目盛り付き；目盛り軸上；目盛り付け</t>
        </is>
      </c>
      <c r="F8282" t="inlineStr">
        <is>
          <t>相当目盛り</t>
        </is>
      </c>
      <c r="H8282" t="n">
        <v>29</v>
      </c>
      <c r="I8282" t="inlineStr">
        <is>
          <t>その目的のために、足の側面にもうひとつの短い目盛りが置かれている。；それは時計の目盛りからいえば、ほんの僅かな時間だったかもしれない。；グラフの下にある青い目盛りは、連続した故障の間の実際の時間である。；だが、人間の数だけある無数の物差しにも一つだけ共通の目盛りがある。；目盛りの位置次第で、このあとのお楽しみが大きく変わってくるのだ。；残念ながら、今日の時点ではこの目盛りは次のように言い矯すべきだろう。；アナログ時計の文字盤の外に、数字や目盛りが記されているものがある。；私の方の目盛りは百二十を指していましたが、猫の方は二十五くらいのものです。；グラフの目盛りは差を誇張もしくは最小限にするためによく用いられる。；別名のハカリノメは、若い枝に目盛りのような皮目があることに由来する。；そして、棒に振ってある目盛りを使って温度を読むことができる。；そのようにして作られた目盛りには、以下のようなものがある。；目盛りを読む際の基準や注意点についても同様に覚えておくと良いでしょう。；「これ、何ですか」目盛りのついた黒い箱を手に取って、わたしは聞いた。；時と云うものはそもそも終わりも、始まりも、刻みの目盛りもないものだ。；一度も目盛りを読んだことがなかったが、読もうとしてもよくわからない。；クォトゥンがつづいて目盛り盤を操作すると、映像の視角度が変わった。；媒質の特性が計算外の変化をしたなら目盛りが正しくても正確な測定はできない。；これらの諸元をそのまま目盛りに合せるだけで、実射できる準備である。；ふたりとも無口になって、刻々と移り変わる目盛りの光を見上げ続けた。；かれはダイアルの目盛りをあわせ、ボタンを押して、低い声で呼んだ。；水は、計算で予定されていたとおり、四の目盛りまで溜まっていた。；「尺相当目盛り付き長さ計」の姿形は次の写真のようなものである。；第二位の年齢と腰まわりとをもったのが杯の自分の目盛りまで飲み乾したわけだ。；円柱形をしていない容器を採用した場合は以下の手順で目盛りを付す。；計量用なので底が四角くなっていて、内側に目盛りが振られています。；これを解消するため、いくつかのメーターには目盛りに沿って鏡が設置されている。；からだにサオバカリの目盛りのような一列の白い斑点が並んでいます。；私はカプセルの中へ入って機械の目盛りを過去の日時にあわせた。</t>
        </is>
      </c>
      <c r="J8282">
        <f>HYPERLINK("https://www.weblio.jp/content/目盛り", "词义详情")</f>
        <v/>
      </c>
      <c r="K8282">
        <f>HYPERLINK("https://yourei.jp/目盛り", "查看例句")</f>
        <v/>
      </c>
    </row>
    <row r="8283">
      <c r="A8283" t="inlineStr">
        <is>
          <t>目安</t>
        </is>
      </c>
      <c r="B8283" t="inlineStr">
        <is>
          <t>成功</t>
        </is>
      </c>
      <c r="C8283" t="inlineStr">
        <is>
          <t>読み方：めやす
１目当て。目標。おおよその基準。また、おおよその見当。「60点を—とする」「費用の—を立てる」
２そろばんの掛け算や割り算で、そろばん上の左のほうに置く乗数または除数。
３そろばんで、五玉(ごだま)と小玉(こだま)との仕切りの梁(はり)に記してある位取りの文字や印。
４箇条書きにした文書。中世では、箇条を立てて書いた訴状と陳状。江戸時代ではもっぱら訴状のことをいう。目安書き。目安状。</t>
        </is>
      </c>
      <c r="D8283" t="inlineStr">
        <is>
          <t>目安方；目安箱；目安額；目安程度；目安書</t>
        </is>
      </c>
      <c r="E8283" t="inlineStr">
        <is>
          <t>基準；標準；参考；規格；原点</t>
        </is>
      </c>
      <c r="F8283" t="inlineStr">
        <is>
          <t>判断する目安；目安として用いられる</t>
        </is>
      </c>
      <c r="G8283" t="inlineStr">
        <is>
          <t>目安量；目安裏書</t>
        </is>
      </c>
      <c r="H8283" t="n">
        <v>29</v>
      </c>
      <c r="I8283" t="inlineStr">
        <is>
          <t>彼は曲想を得ることを自分が責任を把握しているかどうかの目安とした。；代謝の目安となる平均競走得点70点を維持できない状態が続いている。；貿易風の強さの目安の一つであり、正の値は貿易風が強いことを表している。；質問できたという事実それ自体が彼女らの過去の健全さの目安になった。；このことから経験的に地震の規模と断層長・変位量の目安が分かっている。；散布量はクスノキ林の真夏の蒸散量を目安に開発されたと言われている。；路線の状態や加速・減速の目安位置などを学んでおくために行われる。；時間は目安であり、当日の内容によって時間が前後することもあった。；また完全に雪が降らなくなるのは概ね終雪日から1ヶ月後が目安となる。；ある原子がその電子をどれだけ強く結び付けているのかの目安である。；このときマットの水分量は、手で握って固まりになる程度を目安とする。；そういうところへ生活の協力の目安をおくなんて何て卑俗でしょう。；それがほんとうに探し物の目安になるかどうか、もちろんわからなかった。；さらに各リーグ内では位置の目安として10から1の数字が付与される。；ただしそれぞれの測定方法が異なるので目安になるに過ぎない。；鳥にとって足の長さは体の大きさ、つまり骨格全体の大きさの目安である。；以下の解説文章は目安として便宜的に付しており、公式な表記ではない。；そのため目安箱への投書のほとんどは黙殺され、焼き捨てられていった。；二人は将軍が直接訴状を確認する目安箱への箱訴を行う決意を固める。；SRSベーシックでは6つの能力値を用意することが目安とされている。；目安は土を握って形が崩れない程度がよいとされている。；ただしこれらはあくまで目安であって、厳密に分けられているわけではない。；正確な時期は分らないが、行平が活躍し始めた1180年頃が目安となる。；この基準は各地の新しい無願神社を公認神社とするための整備の目安となった。；ただこれは目安であって、実戦でこの通りになるというわけではない。；監督している教師がいないのだから、課題の提出が唯一、履修の目安になる。；これは、わたしがどれほどのあいだ眠っていたかを示すおおよその目安になる。；乗車定員の数が目安であり、最もシンプルな計算式は以下のとおりである。；しかしながらインデペンデントの側の方は、自分に一種の目安がある。</t>
        </is>
      </c>
      <c r="J8283">
        <f>HYPERLINK("https://www.weblio.jp/content/目安", "词义详情")</f>
        <v/>
      </c>
      <c r="K8283">
        <f>HYPERLINK("https://yourei.jp/目安", "查看例句")</f>
        <v/>
      </c>
    </row>
    <row r="8284">
      <c r="A8284" t="inlineStr">
        <is>
          <t>綿</t>
        </is>
      </c>
      <c r="B8284" t="inlineStr">
        <is>
          <t>成功</t>
        </is>
      </c>
      <c r="C8284" t="inlineStr">
        <is>
          <t>読み方：めん
［音］メン（呉）　［訓］わた
［学習漢字］5年
〈メン〉
１もめん。わた。「綿糸・綿布／海綿・原綿・純綿・石綿・木綿(もめん)・脱脂綿」
２（「棉」と通用）植物の名。ワタ。「綿花・綿実油」
３連なるさま。「綿綿／纏綿(てんめん)・連綿」
４目が細かい。「綿密」
〈わた〉「綿毛／真綿」
[補説] 「緜」は本字。
［名のり］つら・まさ・ます・やす
［難読］水綿(あおみどろ)・浜木綿(はまゆう)・木綿(ゆう)</t>
        </is>
      </c>
      <c r="D8284" t="inlineStr">
        <is>
          <t>綿流し(4%)；綿製品(2%)；綿竹；綿埃；綿工業</t>
        </is>
      </c>
      <c r="E8284" t="inlineStr">
        <is>
          <t>木綿；コットン；ワタ；綿布；綿織物</t>
        </is>
      </c>
      <c r="F8284" t="inlineStr">
        <is>
          <t>古綿；綿ふき；綿羽；綿屑；綿工場</t>
        </is>
      </c>
      <c r="G8284" t="inlineStr">
        <is>
          <t>綿花；綿毛；綿貫；綿入れ；綿布</t>
        </is>
      </c>
      <c r="H8284" t="n">
        <v>29</v>
      </c>
      <c r="I8284" t="inlineStr">
        <is>
          <t>最初は綿のナプキンを作っていたが、妻や妹たちに拒否されてしまった。；栽培された綿花を綿に加工する工場もあり、他の地域へと輸出していた。；標準的なものは綿素材であり、様々なデザインと色のバラエティがある。；これらの分析結果より反応物は灰色の綿状構造であることが示された。；当初は綿が主体であったが、次第にウール絣も生産されるようになった。；多くの船がサバンナ港には戻らず、地域の綿工業は大きな打撃を受けた。；一方で綿はあまり見られず、インドから輸入されたものといわれる。；使用される材料はリネン、絹、供給危機の時代になると綿が用いられた。；フランスが導入した綿の大規模栽培は、現在でも重要な収入源である。；備中では綿作が広まり、江戸時代後期になるとその加工も盛んになった。；綿は重要性を次第に失い、代わって州は製造業とサービス業を発展させた。；特にイングランド製の布と綿をフランス産のワインと取り引きされた。；お七は放火に使った綿・反故を手に持ったままだったのでその場で捕まった。；現在は、綿を加えた上で、遠心分離器で分離する方法も使われている。；ヒナは頭部と頚部が黒の綿羽、身体の他の部分は白の綿羽で覆われる。；この頃までに、イギリスは綿貿易を促進するために領事館を設置した。；ミニヤーは高品質な綿を大量に生産していたため大きな利益を得た。；頭部は白く短い綿羽に覆われており、ピンク色の顔には羽毛が生えていない。；多くの農園主は、綿価格が上がり続ける前提で銀行から資金を借りた。；一般的な椅子に見られるような、布と綿を用いたクッションは用いられていない。；綿とあるのは昔からこのあたりが良質の綿花の一大生産地であることによる。；イギリスに戻った彼は、綿工業に進出したが、程なく破産した人物である。；綿をつめた布でできており、縫い針やまち針を刺せるようになっている。；アクリル絵具の登場は綿のキャンバスの人気と利用を著しく増大させた。；父親はニュージャージー州トレントンの小さな綿工場を経営していた。；主な輸出品は英国産綿製品であり、香港、上海などから朝鮮に運ばれた。；資金に余裕が出てきた周平は、米と綿の栽培事業に乗り出すも失敗。；敵に襲われると綿を飛ばし、そちらに気を取られている隙に逃走する。；後の時代の型押しされた硬い蝋管は綿の裏地がついた箱で販売された。</t>
        </is>
      </c>
      <c r="J8284">
        <f>HYPERLINK("https://www.weblio.jp/content/綿", "词义详情")</f>
        <v/>
      </c>
      <c r="K8284">
        <f>HYPERLINK("https://yourei.jp/綿", "查看例句")</f>
        <v/>
      </c>
    </row>
    <row r="8285">
      <c r="A8285" t="inlineStr">
        <is>
          <t>面</t>
        </is>
      </c>
      <c r="B8285" t="inlineStr">
        <is>
          <t>成功</t>
        </is>
      </c>
      <c r="C8285" t="inlineStr">
        <is>
          <t>読み方：おも
１顔。顔つき。容貌(ようぼう)。
「いと美(うる)はしき君が—」〈上田敏訳・海潮音・春の貢〉
２表面。「川の—」
３おもかげ。
「佐野山に打つや斧音(をのと)の遠かども寝もとか児ろが—に見えつる」〈万・三四七三〉</t>
        </is>
      </c>
      <c r="D8285" t="inlineStr">
        <is>
          <t>面曲；面ざし；面クリア；面衣；面トップ</t>
        </is>
      </c>
      <c r="E8285" t="inlineStr">
        <is>
          <t>顔；一部；側；外；表情</t>
        </is>
      </c>
      <c r="F8285" t="inlineStr">
        <is>
          <t>各方面；腹面；a面；妻面；連結面</t>
        </is>
      </c>
      <c r="G8285" t="inlineStr">
        <is>
          <t>面し；面倒；面積；面白く；面会</t>
        </is>
      </c>
      <c r="H8285" t="n">
        <v>29</v>
      </c>
      <c r="I8285" t="inlineStr">
        <is>
          <t>この行為から、執筆作業に対しての気持ちが入っていく面もあるという。；角関係とは面と面とが互いに見えているかどうかを表す係数である。；現代でも食料・飲み水・農業・輸送などあらゆる面で国民生活を支えている。；特にトンガとロツマの言語に関連するものを含む面が顕著に現れている。；しかし、後には独自の拡張・工夫が、特に効率の面で多くなされている。；これには、教育の必要性と教育の可能性の二面から論じられることが多い。；スロバキアの音楽は近隣国家地域の音楽文化の影響を受けている面を持っている。；そのため色彩学では面色と表面色という色の見え方の違いが重要とされている。；それらは仕事に使う道具の模造品であったり、衣装やお面なども含まれる。；現代の科学者は、大きな科学共同体の中で生かされているような面がある。；開業後の輸送状況も好調であったことから、経営面でも負担にはならなかった。；また日本の映画の音響面も大友作品以降、大きく進化することになった。；主に11月から3月に降雨があり、そこから農業に適している面を持つ。；OpenBSDは性能やユーザビリティの面で批判されることがある。；一方、このような円盤面内運動でなく水車のような回転をする翼も存在する。；オニのお面をつけることも役割を意識させる上で有効である。；より学究的な立場からは、実証性の面からも批判されることがある。；収入面での効果が、比較的多くの人々の関心を集めている。；同様に、財務層に問題があるとはコストの面で問題があるということ。；そのうち、実際に通常の旅客列車が使用しているのは1面2線である。；マリの結婚に関する法律は緩く、児童婚が一般的とされている面を持つ。；敵を全て破壊すると面クリアとなり、次の面に進むものが多い。；日本語の語彙は、語構成の面からは単純語と複合語に分けることができる。；ペシャーワルに鉄道が延びるようになると商業の面でも発展した。；駅周辺の再開発に伴い、現在の駅ビル方式階上2面1線の構造になった。；歩行者用には高さの異なる面を用意する、ということも行われるようになった。；そのため、社内では常に宮崎・高畑を頂点にして回っている一面があった。；また、子供の教育には非常に熱心であり厳しい面もある。；こうした軌道面が揃った惑星系は、太陽系外では珍しいとされている。</t>
        </is>
      </c>
      <c r="J8285">
        <f>HYPERLINK("https://www.weblio.jp/content/面", "词义详情")</f>
        <v/>
      </c>
      <c r="K8285">
        <f>HYPERLINK("https://yourei.jp/面", "查看例句")</f>
        <v/>
      </c>
    </row>
    <row r="8286">
      <c r="A8286" t="inlineStr">
        <is>
          <t>面会</t>
        </is>
      </c>
      <c r="B8286" t="inlineStr">
        <is>
          <t>成功</t>
        </is>
      </c>
      <c r="C8286" t="inlineStr">
        <is>
          <t>読み方：めんかい
［名］(スル)人と会うこと。対面。「来客と—する」「—謝絶」
[用法]面会・面接・対面——「時間を限って面会（面接）する」のように、人に会うの意では相通じて用いられる。◇「病院の面会時間」「社長に面会を申し込む」のように、「面会」は特別の所にいる人や地位の高い人に会うことや、また、そうした立場の人が訪ねてきた人と会うことにいう。予約する、許可を得るなどの手続きをとって会う場合が多い。◇「面接」は、「面接試験」「面接調査」のように、多く質問・試問などをするために個別に対象者に会うことをいう。◇「対面」は、「三十年ぶりに小学校の同級生に対面した」「ペンフレンドとの初の対面」など、久しぶりに会ったり初めて会ったりする場合にいうことが多い。</t>
        </is>
      </c>
      <c r="D8286" t="inlineStr">
        <is>
          <t>面会する(7%)；面会室(2%)；面会時間(2%)；面会人；面会日</t>
        </is>
      </c>
      <c r="E8286" t="inlineStr">
        <is>
          <t>訪れ；訪問；会う；遭遇；あう</t>
        </is>
      </c>
      <c r="F8286" t="inlineStr">
        <is>
          <t>直接面会；ご面会；とも面会；面会禁止；面会権</t>
        </is>
      </c>
      <c r="G8286" t="inlineStr">
        <is>
          <t>面会交流；面会要求</t>
        </is>
      </c>
      <c r="H8286" t="n">
        <v>29</v>
      </c>
      <c r="I8286" t="inlineStr">
        <is>
          <t>高里の実家を訪れた広瀬は、高里に何の愛情も持たない母親と面会する。；また拘置所で面会に訪れた人に対して社会に出た時の話をしなくなった。；李邕がその才能を非凡とし、自分から出かけて面会を求めたことがある。；国王一家は翌日になってから死刑判決を知らされ、最後の面会を行った。；滞在後イギリスに戻る途中にはレフ・トルストイとの面会を果たしている。；調査団はこれらの調査訪問に加え、国家関係者や協会の会長とも面会した。；さまざまな事件の犯人として収監されている人々に面会に行くことも多い。；ルイ16世とマリ・アントワネットが初めて面会したのもここであった。；親は、面会あるいは交流の権利を持っているとしばしば考えている。；閉鎖棟の収容者は、いかなる面会と外界との接触も許されなかった。；酒井は真相を求めて平沢との面会を希望したが、実現する事は無かった。；玄関は、御殿の正式の入口であり、藩主に面会する者の控えの場でもあった。；近代まで庶民が貴人に面会するときも土下座をするのが通常であった。；服役中は息子のジョン・ジュニアが月に2回面会に訪れていたという。；経由地であったアメリカではユリシーズ・グラント大統領と面会している。；張邈も臧洪と面会し、臧洪が大変優れた人物であることを認めたという。；男性が教団側に繰り返し面会を求めても一切連絡がないという。；しかしすでに深夜であったため、ハミルトン公は翌日に面会することにした。；騒ぎを聞きつけた頼朝が面会すると、その青年は弟の九郎義経であった。；母親は月に一度息子に面会する事しか許されなかった。；この論文に触発され、深瀬とも直接面会し、作品を構想することとなった。；武周は同郡出身の劉公栄に対し、子らと面会させて人物鑑定を願い出た。；ある収監者は、仕事の指図をしたり面会者を受け入れたりすることもできた。；その後は子供たちとの面会時にも今が同席するようになった。；こうした面会の多くは、しばしば同居親の住居から離れて行われる。；ボーマルシェは集まった全員に公爵との面会の詳細を報告し、議論を進めた。；死ぬ間際に、丸山は矢代に何かを告白したくて面会しようとしたのか。；外部の者との信書の発受や面会に制限が加えられることもある。；手紙には、遺族に面会して直接詫びたい旨が書かれていたという。</t>
        </is>
      </c>
      <c r="J8286">
        <f>HYPERLINK("https://www.weblio.jp/content/面会", "词义详情")</f>
        <v/>
      </c>
      <c r="K8286">
        <f>HYPERLINK("https://yourei.jp/面会", "查看例句")</f>
        <v/>
      </c>
    </row>
    <row r="8287">
      <c r="A8287" t="inlineStr">
        <is>
          <t>免許</t>
        </is>
      </c>
      <c r="B8287" t="inlineStr">
        <is>
          <t>成功</t>
        </is>
      </c>
      <c r="C8287" t="inlineStr">
        <is>
          <t>読み方：めんきょ
［名］(スル)
１ある特定の事を行うのを官公庁が許すこと。また、法令によって、一般には禁止されている行為を、特定の場合、特定の人だけに許す行政処分。「—を取得する」「—がおりる」「運転—」
「幕府時代に—した敷設の権利を」〈藤村・夜明け前〉
２師から弟子にその道の奥義を伝授すること。また、その証書。ゆるし。「師範の—を与える」</t>
        </is>
      </c>
      <c r="D8287" t="inlineStr">
        <is>
          <t>免許取得(4%)；免許申請(2%)；免許状；免許制度；免許証</t>
        </is>
      </c>
      <c r="E8287" t="inlineStr">
        <is>
          <t>命；命令；許可；承認；公認</t>
        </is>
      </c>
      <c r="F8287" t="inlineStr">
        <is>
          <t>敷設免許；調教師免許；路線免許；本免許；事業免許</t>
        </is>
      </c>
      <c r="G8287" t="inlineStr">
        <is>
          <t>免許状；免許皆伝；免許試験場；免許人；免許制</t>
        </is>
      </c>
      <c r="H8287" t="n">
        <v>29</v>
      </c>
      <c r="I8287" t="inlineStr">
        <is>
          <t>ほとんどの国や地域で、自動車を無免許で運転することは禁止されている。；日本では医師以外の者が灸を業として行う場合は灸師免許が必要である。；そのため、様々な資格・免許が取得できるカリキュラムを整備している。；なお、アメリカ合衆国など従事者と無線局の免許を区別しない国もある。；免許局の無線設備の変更をする際には原則として検査を受けねばならない。；後に両路線とも東京都も路線免許を申請したことから、競願状態となる。；今までの免許取得者はこれまで同様に業務を行うことができる。；美容師が開業するには州の免許が必要であるが、資格は州によって異なる。；すなわち、免許の日が異なっても同一日に満了するように免許される。；銀行免許取得後、2011年以降をめどに開業を目指しているとしていた。；日本を出発する前に、操作に必要な重機等の免許を取得することが求められる。；茨城鉄道は御前山 - 長倉間の免許も取得していたが実現しなかった。；日本で建築士が生まれた起源は、官製の職業免許である意味合いが強い。；なお、技術基準適合証明を取得して免許を受けた事例は極めて少ない。；但し指導自体は免許等を得た時点で行われていたようである。；当時は二輪免許は持っておらず、映画撮影のために取得した。；このうち、戦後の都市計画第1号線となるのは以下の路線免許である。；合法化当初、政府は有料の免許制度を導入しようとしたが最終的に放棄した。；免許を受けることができる者は、試験合格のほかに実務経験が必要になっている。；ただし、天理までの高速区間は夜行高速バス開設時の免許に活かされた。；動力車操縦者免許試験では色覚に異常のある者の受験を認めていない。；各州にはその州の免許法を監督するための登録委員会がある。；この免許を取得していないと製造や販売はできない。；酒類販売業免許とは、酒税法に規定される酒類の販売を行うための免許。；新町には市場を開設し、付近の住民には諸役免許を行っている。；これを終了した者は免許取得後に受けなければならない取得時講習が免除される。；明確な定義はないが小型船舶免許で操船できるサイズに納めることが多い。；後に東野鉄道が同じ区間の免許を取得したが完成しなかった。；各国の制度ごとに獣医師の免許の取得資格等は異なっている。</t>
        </is>
      </c>
      <c r="J8287">
        <f>HYPERLINK("https://www.weblio.jp/content/免許", "词义详情")</f>
        <v/>
      </c>
      <c r="K8287">
        <f>HYPERLINK("https://yourei.jp/免許", "查看例句")</f>
        <v/>
      </c>
    </row>
    <row r="8288">
      <c r="A8288" t="inlineStr">
        <is>
          <t>免除</t>
        </is>
      </c>
      <c r="B8288" t="inlineStr">
        <is>
          <t>成功</t>
        </is>
      </c>
      <c r="C8288" t="inlineStr">
        <is>
          <t>読み方：めんじょ
［名］(スル)
１義務・役目などを免じること。「実地試験を—する」
２民法上、債権者が債務者に対する意思表示によって債務を消滅させること。債務免除。</t>
        </is>
      </c>
      <c r="D8288" t="inlineStr">
        <is>
          <t>免除される(16%)；免除すること；免除制度；免除資格；免除措置</t>
        </is>
      </c>
      <c r="E8288" t="inlineStr">
        <is>
          <t>解放；放免；免役；特免；免責特権</t>
        </is>
      </c>
      <c r="F8288" t="inlineStr">
        <is>
          <t>予選免除；全額免除；役免除；科目免除；一部免除</t>
        </is>
      </c>
      <c r="H8288" t="n">
        <v>29</v>
      </c>
      <c r="I8288" t="inlineStr">
        <is>
          <t>下記いずれかの基準を選択可で、特例認定NPO法人は免除されている。；五条では諸役を免除して商業の振興を図るなど、城下町の整備を行った。；病院建設と患者の問題を扱ったり、修道院の一部負担免除もしている。；そのため、食品表示基準では賞味期限を設定することを免除されている。；必要な科目に全て合格、または免除を受けることで高卒認定合格となる。；娘の学費は免除されていたが、生活は決して楽なものではなかった。；同じ地域の和人とは異なり、租税を免除されていたと考えられている。；一部に登録が免除されているだけで、新規登録は認められていない。；状況によっては、この料金が支払われない場合や免除される場合もある。；このため国際連盟による援助がいち早く行われ、賠償も免除されている。；修了考査は、科目免除をされた者を含め全員がすべての問題に解答する。；この大会で韓国は銅メダルを獲得し、鄭は兵役の現役服務を免除された。；これを受けると終了証明書を取得することができ、取得時講習が免除される。；全米女子オープンでは過去に例のない「予選免除」での出場を認められた。；免除は1975年に管理通貨制度へ移行するまで毎年更新され続けた。；テマの兵士は平時は農民で、諸税を免除される代わりに武器を自弁した。；裁判所の建設ともに定期的に市場の開放が行われ、税金の免除がなされた。；藩主所縁の地であることから、以降の吉江一帯は各種税を免除された。；ウマイヤ朝下では地租ハラージュはアラブ人には事実上免除されていた。；幸いにも、その技量と経済的な困窮が認められ、学費納入を免除された。；北京五輪で金メダルを獲得したアメリカは世界選手権の予選を免除された。；なお、予選免除されたのは開催国のフランスと前回優勝国のブラジルである。；いずれも管轄省庁の指定する職に一定期間勤務すれば返還免除となる。；このため本来予選を免除されるワールドカップ開催国が参加している例もある。；金剛杖を購入した小屋や宿泊した小屋は焼印代を免除することが一般的である。；これを終了した者は免許取得後に受けなければならない取得時講習が免除される。；秋季キャンプでも教育リーグ行きを免除されベテラン格の扱いを受けた。；服従を免除されるのは、為政者が神の命令にそむいた場合に限られる。；前半戦でのポイント獲得で後半戦の予備予選が免除となった。</t>
        </is>
      </c>
      <c r="J8288">
        <f>HYPERLINK("https://www.weblio.jp/content/免除", "词义详情")</f>
        <v/>
      </c>
      <c r="K8288">
        <f>HYPERLINK("https://yourei.jp/免除", "查看例句")</f>
        <v/>
      </c>
    </row>
    <row r="8289">
      <c r="A8289" t="inlineStr">
        <is>
          <t>免じる</t>
        </is>
      </c>
      <c r="B8289" t="inlineStr">
        <is>
          <t>成功</t>
        </is>
      </c>
      <c r="C8289" t="inlineStr">
        <is>
          <t>読み方：めんじる
［動ザ上一］「めん（免）ずる」（サ変）の上一段化。「職を—・じる」</t>
        </is>
      </c>
      <c r="D8289" t="inlineStr">
        <is>
          <t>解放；許す；容赦；堪忍；赦す</t>
        </is>
      </c>
      <c r="H8289" t="n">
        <v>29</v>
      </c>
      <c r="I8289" t="inlineStr">
        <is>
          <t>「ふたりの苔打ちを免じてやる可能性はないのかね」彼は男にきいてみた。；しかしお前の熱心に免じて、魔法めいた術を少し教えてやってもよい。；それに免じて聞かなかったことにしてやるが、今のは不埒な物言いだぞ。；とは言え、折角下向してくれたことに免じ、一通りの事は聞いてやろう。；本来ならゆるしおかぬところじゃが、旗姫さまに免じて命だけは助けてやる。；ぬしの正直さに免じて、ここはさっぱりと水に流そうではないか。；総ての者があなたの熱誠に免じて、力を惜しまず心を労しているのです。；この提案で彼はそうとうの面倒を免じられることになっていた。；彼がおまえの命令を拒んだことに免じて、彼が余に申したことは大目に見てやる。；というわけで、二人の気持ちに免じて今回だけは特別に不問にしてあげますね。；夫人ももうこのごろではかわいい人に免じて恨むことが少なくなった。；女の親の気持も考えてやって、それに免じて、心を傷つけるようなことはするな。；天皇はこの歌に免じて、采女の罪を許しておやりになりました。；おっちゃんもみくるちゃんに免じてくれることにしたって言ってたわ。；良いわ、彼女のこともジゼルに免じて王女の名において入宮を許します。；けれど、あなたがあまり熱心なのに免じて、夢の精を一つ見せてあげましょう。；卒業祝のパーティーだったことに免じて私の方はこの件を忘れることにするよ。；高浜さんには礼を失した点も多かろうと思うが昔に免じて御宥恕を願いたい。；彼はミュンヘンを発つ際に「レームは彼の功績に免じて許した」と述べた。；ねえ、わたくしに免じてあの僧を許してやってくださらないこと。；こいつはいままでの兄弟分のよしみに免じて俺の頼みを聞いてくれ。；わたくしの子供二人には、どうかわたくしの死に免じて、二条館を自由に処分させてあげてください。；君たちが案外おとなしくしていたのに免じて、ご馳走をしようと思うんだ。；長くはなってしまったが、どうか、このおもしろさに免じて許していただきたい。；ここはどうかこのわたしの顔に免じて、落ち着いてはもらえまいか。；ここに置いて、決して悪いようにはしないから、どうかわしに免じて娘さんのすることを許してやってくれませんかね。；律令制で定められた五罪について、銅を納めることで刑罰を免じられた。；同時にイギリスへの使者の辞令を受けているが、同年8月3日に免じられている。；免じられるのは「罰」であり、「罪」が無かったことになるわけではない。</t>
        </is>
      </c>
      <c r="J8289">
        <f>HYPERLINK("https://www.weblio.jp/content/免じる", "词义详情")</f>
        <v/>
      </c>
      <c r="K8289">
        <f>HYPERLINK("https://yourei.jp/免じる", "查看例句")</f>
        <v/>
      </c>
    </row>
    <row r="8290">
      <c r="A8290" t="inlineStr">
        <is>
          <t>面する</t>
        </is>
      </c>
      <c r="B8290" t="inlineStr">
        <is>
          <t>成功</t>
        </is>
      </c>
      <c r="C8290" t="inlineStr">
        <is>
          <t>読み方：めんする
［動サ変］［文］めん・す［サ変］向く。向き合って接する。対する。「表通りに—・する」「日本海に—・する地域」</t>
        </is>
      </c>
      <c r="D8290" t="inlineStr">
        <is>
          <t>面する海岸線；面するリアス式海岸；面する主要都市</t>
        </is>
      </c>
      <c r="E8290" t="inlineStr">
        <is>
          <t>向かう；対戦；対抗；向う；面した</t>
        </is>
      </c>
      <c r="H8290" t="n">
        <v>29</v>
      </c>
      <c r="I8290" t="inlineStr">
        <is>
          <t>王の部屋と同じ階で、王の部屋に面する大階段の上であったからである。；集落は南の海岸に集中し、外洋に面する北西の海岸は断崖になっている。；名称は、天正14年に移転してきた佛光寺の北に面することに由来する。；地名の由来は、前が川に面するという地形からの名称といわれている。；北に面する道路は、春になると西向かいにある公園から桜並木が続く。；南の谷に面する傾斜には、細長い平場が上・中・下の3段作られていた。；アドリア海に面する海岸線を持ち、南部でギリシャと国境を接している。；北海岸に面する港町で首都ジャカルタの約297km東に位置している。；バーベリは黒海に面する港町オデッサのユダヤ人商人の家庭で生まれた。；交差点の角の屋敷は二つの道に面するが、その場合屋敷はすべて大町に属した。；郡域は日本海に面するが、郡の中心地である北青邑は内陸部に位置する。；関東南西部にあって東西に細長い都域を有し、東部は東京湾に面する。；黄海に面する港湾である平沢港が近くにあり輸出に適した立地でもある。；日本海に面する秋田県内では確認された貝塚の数も少なく以下の通りである。；また駅舎のシュフラン大通りに面する側には食堂が設けられていた。；ビーチに面する大洋底は人の高さまでなだらかな斜面であり珊瑚も無い。；戦闘室上面には、砲に面する隅を除く3隅にハッチが設けられている。；東京都区部では南寄りにあり、西は山の手台地、東は東京湾に面する。；この歴史的な通りやこれに面する建物は 2日間の祭の間魅力的な文化イベントに利用される。；瀬戸内海に面する位置にあるが、道路からは瀬戸内海を望む場所は少ない。；博物館が面する通りも彼にちなんでルイ・ブライユ通りとなっている。；北側が南シナ海に面するほかは陸地ではマレーシアに取り囲まれている。；その費用の観点からも、太平洋に面する日本と条約を締結することは有利であった。；亀山の西に位置し、後湾に面する台湾で最初の国立海洋生物博物館である。；跨線橋を東側へ延伸し、線路横の町道に面する形で駅舎が設けられた。；なお、当駅の南口に面する道路は高架化後に新設されたものである。；なお、この町にあるドイツ最北端の集落は干潟の湾に面するである。；北及び西でモンテネグロとの国境を持ち、南西でアドリア海に面する。；ペルシア湾に面するすべての国が加盟しているわけではない。</t>
        </is>
      </c>
      <c r="J8290">
        <f>HYPERLINK("https://www.weblio.jp/content/面する", "词义详情")</f>
        <v/>
      </c>
      <c r="K8290">
        <f>HYPERLINK("https://yourei.jp/面する", "查看例句")</f>
        <v/>
      </c>
    </row>
    <row r="8291">
      <c r="A8291" t="inlineStr">
        <is>
          <t>免税</t>
        </is>
      </c>
      <c r="B8291" t="inlineStr">
        <is>
          <t>成功</t>
        </is>
      </c>
      <c r="C8291" t="inlineStr">
        <is>
          <t>読み方：めんぜい
［名］(スル)税を免除すること。課税しないこと。免租。「—される品物のリスト」「—店」</t>
        </is>
      </c>
      <c r="D8291" t="inlineStr">
        <is>
          <t>免税特権(14%)；免税品(9%)；免税措置(6%)；免税店(5%)；免税地(2%)</t>
        </is>
      </c>
      <c r="F8291" t="inlineStr">
        <is>
          <t>免税貿易；保税免税；免税手続き；免税対象；免税カード</t>
        </is>
      </c>
      <c r="G8291" t="inlineStr">
        <is>
          <t>免税販売</t>
        </is>
      </c>
      <c r="H8291" t="n">
        <v>29</v>
      </c>
      <c r="I8291" t="inlineStr">
        <is>
          <t>免税は受け入れられなかったが、これを機に大宮宿が設けられたという。；同時に、仏教関係の施設がもう免税の扱いをうけないことも布告されよう。；後に米国聖公会と指定され、教会堂を建設し、植民地の免税とされた。；またコショウ以外の香辛料を10箱まで免税で輸入する許可も与えられた。；これは、昔、この地域の開発を促すために、免税したことに由来する。；オスマン帝国はこれを2村にまで減らしたものの、一部の税を免税した。；五十人乗りのバスに日本人観光客を乗っけて、免税品店に連れて行くとする。；なお、国際線扱いのため、免税品が船内とターミナルで販売されている。；保税エリアでは店舗や商品によっては消費税も免税扱いになっている。；特定商品とサービスは、法によって課税対象とされていない限り免税である。；王は彼らに免税特権を与え、彼らは自分たちの防備区画を維持できた。；このうち第一身分と第二身分はいわゆる特権身分であり、免税特権を持っていた。；沖縄県内在住者であっても沖縄県外に出域する場合は免税品の購入が可能である。；免税品を買うわけでもないのに、いちいちパスポートを持ち歩くなんて。；農民は10年間の免税を約束され、商人も関税ないし税金を免除された。；衣類は免税であり、商人がその事業を運営するために購入するものも免税である。；免税品の販売は、大阪到着の直前まで開いて、おおいにセールスすること。；また国際線では、酒・煙草など免税品の販売も行われている。；渡辺氏の会社は、ホニアラ町の入口にある免税品売り場の近くにある。；さらに第一身分の財産は免税されていた。；観光客は町そのものの魅力や免税の買い物など多くの理由で惹きつけられている。；第一身分と第二身分には年金支給と免税特権が認められていた。；属州の植民都市が免税されたのはイタリア半島内などの例外的なケースだけだった。；総督府に納入すべき阿片は免税品であり、保税倉庫との関連が問題である。；また北米線を除いて、購入した免税品の機内持ち込みも可能である。；クレジットカードは免税対応店舗など一部の店舗に限られる。；保税免税店の日本での根拠法は関税法で管轄官庁は財務省関税局である。；彼女の夫はオペラ座の近くで免税店を経営している。；皇帝ハインリヒ6世がでノイスに免税を認めた時のことである。</t>
        </is>
      </c>
      <c r="J8291">
        <f>HYPERLINK("https://www.weblio.jp/content/免税", "词义详情")</f>
        <v/>
      </c>
      <c r="K8291">
        <f>HYPERLINK("https://yourei.jp/免税", "查看例句")</f>
        <v/>
      </c>
    </row>
    <row r="8292">
      <c r="A8292" t="inlineStr">
        <is>
          <t>面積</t>
        </is>
      </c>
      <c r="B8292" t="inlineStr">
        <is>
          <t>成功</t>
        </is>
      </c>
      <c r="C8292" t="inlineStr">
        <is>
          <t>読み方：めんせき
ある場所の広さ。線で囲まれる平面や曲面の広さ。単位は平方メートル、アールなど。「国土の—」「作付け—」</t>
        </is>
      </c>
      <c r="D8292" t="inlineStr">
        <is>
          <t>面積約；面積あたり；面積当たり；面積比；面積最大</t>
        </is>
      </c>
      <c r="F8292" t="inlineStr">
        <is>
          <t>栽培面積；広い面積；広大な面積；単位面積；耕地面積</t>
        </is>
      </c>
      <c r="G8292" t="inlineStr">
        <is>
          <t>面積要素；面積ブロック；面積速度一定の法則；面積力；面積の比較</t>
        </is>
      </c>
      <c r="H8292" t="n">
        <v>29</v>
      </c>
      <c r="I8292" t="inlineStr">
        <is>
          <t>南部は島の数こそ少なくなるが、北部に比べ島の面積は非常に広くなる。；面積では国内最大の州であり、一人当たり収入では第6位になっている。；また面積が狭いので、単位面積当たりの代表数はいずれも第1位である。；これに続くのが国土面積や人口で比較にならないが中国と日本である。；これまでで夏の北極の氷の面積が最小を記録したのは2012年である。；多くの面積が公園になっていて、樹木が多い公園では野鳥が散見される。；コンサートや格闘技など狭い面積しか使わないイベントで設けられる。；また面積が日本一小さな村で有名となり、記念観光で訪れる人も多かった。；その後も公園整備や公園周辺の開発が進んで公園面積は現在と同程度の規模になる。；一方で湖沼の面積が大きくなると風浪の影響によって生物は少なくなる。；より高緯度のグリーンランドの面積は実際より17倍も拡大されている。；古くから植林されており、日本の造林面積としては最も広い樹種である。；これは紙のA6サイズ程度の面積、または官製はがき程度の面積である。；県内で最も面積の狭い市で、全国でも10番目に面積が狭い市である。；微小部分は通常、単位体・単位面積・単位長さ当たりに相当する場合が多い。；廃止時点での面積は日本の市の中で、蕨市に次いで2番目に小さかった。；区域北部にある日本製鉄八幡製鐵所戸畑地区が区の面積の約半分を占める。；日本の単位面積当たりの生産高は世界一で、生産高は世界2位である。；もっとも面積と、そこに生育・生息可能な個体数には明らかに関係がある。；名古屋市16区の中で人口密度が一番高い区であり、一番面積が小さい。；村の面積は小さく河口近くのわずかな部分を占めるのみである。；製品は薄板状のため、厚みのあるもの、面積の大きいものには向かない。；同じ片を使用している以上全体の面積は同じである。；なお、合併後の益田市の市域面積は、島根県内の自治体では最大である。；この高原は現在の中国領土の約23パーセントの面積を占めている。；広大な面積を扱うため、地球表面が平面でない事を考慮して行う。；州内には単位面積当たりの科学者と技術者の数では世界一である。；割譲地域の面積は、それまでの全メキシコ領のおよそ3分の1となる。；資料により面積が異なるので、詳しくは各国家のページの面積を参照。</t>
        </is>
      </c>
      <c r="J8292">
        <f>HYPERLINK("https://www.weblio.jp/content/面積", "词义详情")</f>
        <v/>
      </c>
      <c r="K8292">
        <f>HYPERLINK("https://yourei.jp/面積", "查看例句")</f>
        <v/>
      </c>
    </row>
    <row r="8293">
      <c r="A8293" t="inlineStr">
        <is>
          <t>面接</t>
        </is>
      </c>
      <c r="B8293" t="inlineStr">
        <is>
          <t>成功</t>
        </is>
      </c>
      <c r="C8293" t="inlineStr">
        <is>
          <t>読み方：めんせつ
［名］(スル)直接に会うこと。特に、応募者や対象者に直接会って試問・助言などをすること。「役員が—する」「—試験」「—指導」
→面会［用法］</t>
        </is>
      </c>
      <c r="D8293" t="inlineStr">
        <is>
          <t>面接調査；面接時；面接室；面接会場；面接官</t>
        </is>
      </c>
      <c r="E8293" t="inlineStr">
        <is>
          <t>面会；会談；会見；謁見；拝謁</t>
        </is>
      </c>
      <c r="F8293" t="inlineStr">
        <is>
          <t>就職面接；動機づけ面接；構造化面接；アミタール面接；司法面接</t>
        </is>
      </c>
      <c r="G8293" t="inlineStr">
        <is>
          <t>面接官；面接指導；面接授業；面接対策；面接交渉</t>
        </is>
      </c>
      <c r="H8293" t="n">
        <v>29</v>
      </c>
      <c r="I8293" t="inlineStr">
        <is>
          <t>江美がまず驚いたのは、面接会場に来ている人数と、その雰囲気である。；そして指定された日に行くと、すぐ社主の部屋に案内され面接があった。；たしかにそこは最初、面接の時にきかされた条件とまったく違っていた。；立候補者は直接の面接を受け、その職への推薦を受けなければならない。；しかし、そういった区別とは関係なく行われるのが各種医療面接である。；大学時代は競技ダンス部に所属、入社面接でダンスを披露した事もある。；そこで面接を受け、この場所までワゴンに乗せられて連れてこられた。；前期選抜では課題レポートを高校に提出し、それを元に面接が行われる。；面接では高校時代まで大学ノートに描いていた漫画を見せて合格した。；母が東京のモデル事務所に連絡し面接を受け合格、モデルの仕事を始める。；医療面接で得られた情報は以下のように分類され記録される。；パークスは面接でプロデューサーを感動させてその役割を獲得した。；また全ての公立高校で令和5年度からは面接形式で自己表現が実施される。；その中に、何か一つの重大な問題に面接しなければならない事に成ったとする。；ほぼ全ての園で面接を課しており、考査結果に与える影響が最も大きい。；採用の際には履歴書にも病名を書き面接でも聞かれたが問題なく採用となった。；面接であなたのお名前を出すよう、少年に伝えておいてください。；次の面接の際、シーンは同性愛者を演じることに抵抗はないか尋ねられた。；入社前に瀬島は入社面接を拒否し、その代わりに手紙を送っている。；本試験で不合格となった公立高校全日制での試験結果と面接による選抜。；過去に実施されていた面接は現在は実施されていない。；デイヴ・マッキーンもまたバーガーの面接を受けた英国人の一人である。；面接検査は終わった生徒から帰宅してもよいことになっている。；吾々は事実に面接して生きており、吾々は事実を見そして之を語る。；僕は母の死に面接したまま、祖父の死を、弟の死を送った幼い頃の自分のことを思った。；面接者はこのバージョンでは、採用した人の「価値」に応じて報酬を得る。；そのため、2005年時点でほとんどの放送局では面接調査は廃止された。；高校を卒業した日に駅のゴミ箱に制服を捨てて風俗の面接に行く。；なぜか面接に合格してこの屋敷で執事としてバイトすることになった。</t>
        </is>
      </c>
      <c r="J8293">
        <f>HYPERLINK("https://www.weblio.jp/content/面接", "词义详情")</f>
        <v/>
      </c>
      <c r="K8293">
        <f>HYPERLINK("https://yourei.jp/面接", "查看例句")</f>
        <v/>
      </c>
    </row>
    <row r="8294">
      <c r="A8294" t="inlineStr">
        <is>
          <t>メンツ</t>
        </is>
      </c>
      <c r="B8294" t="inlineStr">
        <is>
          <t>成功</t>
        </is>
      </c>
      <c r="C8294" t="inlineStr">
        <is>
          <t>読み方：めんつ
《(中国語)》
１体面。面目。「—を立てる」「—がつぶれる」「—にかかわる」
２マージャンを行うためのメンバー。転じて、会合などの顔ぶれ。「—がそろう」
３マージャンで、3個でひとそろいとなる牌(パイ)の組み合わせのこと。四つの面子と一つの雀頭(ジャントウ)で、上がりの形となる。</t>
        </is>
      </c>
      <c r="D8294" t="inlineStr">
        <is>
          <t>メンツ手</t>
        </is>
      </c>
      <c r="E8294" t="inlineStr">
        <is>
          <t>姿；様子；格好；見かけ；外観</t>
        </is>
      </c>
      <c r="G8294" t="inlineStr">
        <is>
          <t>メンツェロプーロス；メンツィンゲン；メンツェンシュヴァント；メンツィーズ；メンツヘテブ</t>
        </is>
      </c>
      <c r="H8294" t="n">
        <v>29</v>
      </c>
      <c r="I8294" t="inlineStr">
        <is>
          <t>でもまあ、メンツの中では一番活躍してくれそうなキャラではあります。；警察のメンツにかけても、第三の被害者を出すわけにはいかなかった。；未だに、そんなメンツを気にする必要のある国では、日本はないはずです。；その後ろをお雛様に付き従う三人官女みたいに他のメンツもついてくる。；ついでにメンツや肩書きも、会社に勤めることの重要な動機となってくる。；彼は彼で男のメンツみたいなものがあったでしょう。；しかしそれを言うならカミやんの周りのメンツも右に同じか。；上はメンツを守るために隠し通してるみたいだけどね。；想像してみれば、ちゃんとメンツに入っている自分をそこに置くのは容易かった。；時々警察っていうのはメンツから妙なことをやるもんでなあ。；どこかの老人会と婦人会と子供会のメンツばかりのように見えた。；チーム名は結成時に謎メンツを集めたという理由で「謎」と名付けた。；メンツという概念はその語が示すように多分にシナ的、儒教的である。；この辺は親のメンツの問題でもあるようだった。；スライム一匹出てきただけで、きゃーきゃー逃げるようなメンツなんだぜ!?；一人一人いなくなるメンツから、俺がどういうことをしていたか結論を出しているはずだ。；しかしメンツのためここでも鬼武チェアマンは自らの非を認めることはなかった。；デスマーチのメンツを除いて、名前に十二支が隠されているのも特徴である。；結果は惨敗、小樽は大きくメンツを潰し学園での立場がなくなってしまう。；地上勤務員たる地上軍士官は、カーメンツにあったにて教育を受けた。；結局、この村に訪れたときのメンツの中では、唯一僕だけが居残り組になってしまった。；部室内で漫然と過ごしているメンツはハルヒを除く四人の団員たちである。；組長を襲撃されて失ったメンツを回復すればいいのだ。；SOS団の他のメンツと同じく、俺はこの世界を積極的に守る側に回ってしまったのだ。；メンツ手として対応してこられた場合も、不自然な逆切りがない。；何よりも、紹介してくれた新庄貴明のメンツが潰れることを気にしていたのだろう。；となると、メンツを口にすること自体もまた、より有利にこの世を生きるための現実的な手段に過ぎないのかもしれない。；その後は主催する同人サークル「ゴロメンツ」より個人誌を発行している。；なんだか危ない方向に会話が向いている気して、志貴はメンツの顔を見渡した。</t>
        </is>
      </c>
      <c r="J8294">
        <f>HYPERLINK("https://www.weblio.jp/content/メンツ", "词义详情")</f>
        <v/>
      </c>
      <c r="K8294">
        <f>HYPERLINK("https://yourei.jp/メンツ", "查看例句")</f>
        <v/>
      </c>
    </row>
    <row r="8295">
      <c r="A8295" t="inlineStr">
        <is>
          <t>面倒</t>
        </is>
      </c>
      <c r="B8295" t="inlineStr">
        <is>
          <t>成功</t>
        </is>
      </c>
      <c r="C8295" t="inlineStr">
        <is>
          <t>読み方：めんどう
［名・形動］
１手間がかかったり、解決が容易でなかったりして、わずらわしいこと。また、そのさま。「—な手続き」「—なことにならなければよいが」「断るのも—だ」「—を起こす」
２世話。「この子の—をお願いします」
３体裁がわるいこと。見苦しいこと。また、そのさま。
「此の君の御供申し、不足なく見する物は—なり」〈義経記・五〉
[補説] 「目(め)どうな」の音変化。「どうな」は、むだになることで、見るだけむだなものが原義。「な」が形容動詞連体形語尾の「な」のように意識され、「めどう」「めんどう」となり、「面倒」と当て字されるようになった。
[派生]めんどうがる［動ラ五］めんどうさ［名］
[用法]面倒・厄介——「面倒な（厄介な）問題をかかえこんだ」「入国には面倒な（厄介な）手続きが必要だ」「面倒（厄介）をおかけしてすみません」など、わずらわしいの意、また人をわずらわすの意では相通じて用いられる。◇「面倒」は気分としてわずらわしいという意が強いのに対し、「厄介」は事柄そのものが手間がかかってむずかしいというときに多く用いられる。「ごはんをたくのが面倒だから店屋物にしよう」「面倒がらずに辞典を引こう」では、ふつう「厄介」は使わない。◇「後輩の面倒を見る」は、世話をするの意。「知人の家に厄介になる」は、世話になるの意。それぞれ置き換えはできない。◇「面倒」「厄介」よりも文章語的な言い方として「煩雑」がある。「煩雑に入り組んだ人間関係」「事後処理の煩雑さに音を上げる」などと用いる。</t>
        </is>
      </c>
      <c r="D8295" t="inlineStr">
        <is>
          <t>面倒なこと(8%)；面倒見(5%)；面倒をよく；面倒な事；面倒な仕事</t>
        </is>
      </c>
      <c r="E8295" t="inlineStr">
        <is>
          <t>問題；心配；困難；難しい；世話</t>
        </is>
      </c>
      <c r="F8295" t="inlineStr">
        <is>
          <t>こんな面倒；ご面倒；御面倒；面倒みきれ；面倒臭がり</t>
        </is>
      </c>
      <c r="G8295" t="inlineStr">
        <is>
          <t>面倒臭い；面倒くさ；面倒臭；面倒くさく；面倒く</t>
        </is>
      </c>
      <c r="H8295" t="n">
        <v>29</v>
      </c>
      <c r="I8295" t="inlineStr">
        <is>
          <t>バスにカードを接続する際の面倒なシステム設定を行う必要がなかった。；前作からの2年間で、グループ内の関係はより面倒なことになっていた。；彼女は、2番目の娘で、妹と弟の面倒をよく見た家庭的な女性であった。；一定年齢に達した男子を世話役の大人が預かって面倒を見る制度である。；創立以来他の事業を閉鎖してでも患者の面倒を最後の一人までみるとした。；ネットワークが拡大してくると、この方式は非常に面倒になってきた。；指揮下の人々の面倒を見たため、彼らから大いに称賛され、尊敬された。；世話好きで人の面倒を見たがるが、自分が人に世話になるのは好まない。；また他方では、作品搬入の面倒さから来る苦労を避けたくもありますし。；最初に設計された設計は、面倒で操作に時間がかかると批判された。；妻たちは、捕虜と部隊の食事と着替えの面倒をみるように命令された。；ただし、特定の姓のすべての電話番号を見つけるのは非常に面倒である。；夜にそのふくろうが家までついて来てしまい、一晩だけ面倒を見ることに。；猫の面倒を診ることがこんなに大変だとは彼女にしてみれば予想外だった。；ファラガットは妻の病気療養中にその面倒を良くみたことで知られている。；面倒な文学論などせず自由で気楽な雰囲気が伝わってくる逸話である。；暗号化、復号が面倒だが、情報の保護はそれ以上に価値があったからだ。；また面倒見も良く、カルガモ親子が寝ている所を気を配ったことがある。；書生らの面倒見もよく、教室の研究生を博士にすることでは京大一だった。；また、自宅では数人の学生達を起居させ、食事や学費の面倒をみていた。；アルコール依存症の母親には7人の子供の面倒を見ることは不可能だった。；面倒見も良くポケモンだけで行動する際はまとめ役となる機会が多い。；当初は言葉が話せない龍也のために通訳などもして面倒を見てやっていた。；またボビンの交換は若干、後述のシングルバンドに比べて面倒である。；弟や妹の面倒見もよく見る優しいお姉さんだが、おせっかいなところも。；機能障害の軽い入居者が自分のことをできない入居者の面倒を見てもいる。；小錦は自分がサモア系であることもあって南海龍の面倒を熱心に見ていた。；彼は、置き去りにされた子供達の面倒を見なければならなくなってしまう。；彼女のお父さんは娘の面倒を見て、彼女を古典的な女性に育てようとしました。</t>
        </is>
      </c>
      <c r="J8295">
        <f>HYPERLINK("https://www.weblio.jp/content/面倒", "词义详情")</f>
        <v/>
      </c>
      <c r="K8295">
        <f>HYPERLINK("https://yourei.jp/面倒", "查看例句")</f>
        <v/>
      </c>
    </row>
    <row r="8296">
      <c r="A8296" t="inlineStr">
        <is>
          <t>面倒くさい</t>
        </is>
      </c>
      <c r="B8296" t="inlineStr">
        <is>
          <t>成功</t>
        </is>
      </c>
      <c r="C8296" t="inlineStr">
        <is>
          <t>読み方：めんどうくさい
［形］［文］めんだうくさ・し［ク］たいそう面倒である。いかにも面倒に感じられる。わずらわしい。めんどくさい。「遠いので行くのが—・い」「—・い仕事」</t>
        </is>
      </c>
      <c r="D8296" t="inlineStr">
        <is>
          <t>面倒くさいこと(12%)；面倒くさいやつ；面倒くさいじゃない；面倒くさい手続き；面倒くさい連中</t>
        </is>
      </c>
      <c r="E8296" t="inlineStr">
        <is>
          <t>難しい；複雑な；面倒；厄介；うるさい</t>
        </is>
      </c>
      <c r="F8296" t="inlineStr">
        <is>
          <t>そんな面倒くさい；ち面倒くさい；こんな面倒くさい；なんて面倒くさい</t>
        </is>
      </c>
      <c r="H8296" t="n">
        <v>29</v>
      </c>
      <c r="I8296" t="inlineStr">
        <is>
          <t>そんな面倒くさいことわざわざやったことなんか一度もないじゃないか!；命令されるのは好きではないが、命令するのも面倒くさいと思っていた。；しかし何をしても許される男ほど面倒くさいものはないのではないか。；なにも大間違いの馬鈴薯の字をわざわざ面倒くさく書く必要は全くない。；無口ではないが、会話をすること自体が面倒くさくて好きではないのだ。；父のたちばには同情したけれども、彼は面倒くさいことは嫌いであった。；それで、博士はそんなことなど面倒くさいとばかり、放って置いたのだ。；二人の望みは「面倒くさいことはこれで終わりにしたい」で一致していた。；一人二人はわけのわからないことを言っていて、正直のところ面倒くさいわ。；どうして俺はそうなのかと考えると、それは面倒くさいからだと結論が出た。；面倒くささは多少あったけど、今はそんなことすら頭にはなかった気がする。；面倒くさい話はしたくないが、これなら大丈夫だろうと思って脇に座った。；あんな面倒くさい思いをするくらいなら持っているにこそたことはないと思った。；今頼んでるのは、君が素直に開けてくれるのが一番面倒くさくないからだ。；まあ誤解を解くのとかは面倒くさかったから、好きに言わせておいたがの。；面倒くさげに光の輪をはらいのけるように薪をひと振りしただけであった。；女は、返事をするのが面倒くさいというような顔をして、ポオルを見た。；翔も特に面倒くさくなかったので、ちゃんと答えていたのだが・・・。；なんか面倒くさいことになったな、と思いつつ私はあとに続いて階段を上った。；その理由を見つけようとして考えかけたが、途中で面倒くさくてやめた。；こんな一言でも、つい面倒くさがって、言わない人が多いというのに。；私も父や母と話すのが面倒くさいのだから、兄だって同じはずだ。；別のメンバーを二人も集めるのが面倒くさいという理由からであった。；それを説明するのも面倒くさいし、強いて知りたいとは思わなかった。；たかが托鉢するのにそんなしち面倒くさいことがあるとは思わなかった。；自分で書くのは面倒くさいが、人の書いた手紙を読むのは面白い。；魚を食べるのは面倒くさくてかなわないといっていた父がである。；昨日の昼間電話で話したときは、面倒くさくなったと言っていた。；バスに乗れば十五分の実家に帰るのもいつものように面倒くさかった。</t>
        </is>
      </c>
      <c r="J8296">
        <f>HYPERLINK("https://www.weblio.jp/content/面倒くさい", "词义详情")</f>
        <v/>
      </c>
      <c r="K8296">
        <f>HYPERLINK("https://yourei.jp/面倒くさい", "查看例句")</f>
        <v/>
      </c>
    </row>
    <row r="8297">
      <c r="A8297" t="inlineStr">
        <is>
          <t>面目</t>
        </is>
      </c>
      <c r="B8297" t="inlineStr">
        <is>
          <t>成功</t>
        </is>
      </c>
      <c r="C8297" t="inlineStr">
        <is>
          <t>読み方：めいぼく
「めんぼく（面目）」に同じ。
「限りなき—を広めむと」〈宇津保・楼上上〉</t>
        </is>
      </c>
      <c r="D8297" t="inlineStr">
        <is>
          <t>面目なげ；面目丸つぶれ；面目まるつぶれ；面目ねえ；面目を異に</t>
        </is>
      </c>
      <c r="E8297" t="inlineStr">
        <is>
          <t>顔；評価；品；表；信用</t>
        </is>
      </c>
      <c r="F8297" t="inlineStr">
        <is>
          <t>眞面目；たる面目；面目はまるつぶれ；面目を躍如たら；面目なき</t>
        </is>
      </c>
      <c r="G8297" t="inlineStr">
        <is>
          <t>面目次第；面目玉；面目一新；面目無い；面目しだい</t>
        </is>
      </c>
      <c r="H8297" t="n">
        <v>29</v>
      </c>
      <c r="I8297" t="inlineStr">
        <is>
          <t>おじさんは面目ながって、もう店へは帰れないと気の弱いことを云った。；勝利は確実と周囲に吹聴していた勝田は大いに面目を失ったとされる。；彼は或る眞面目な事件を背景としてPと戲れの言葉爭ひに落ちて行つた。；だからと言って俺が恥も面目も知らない人間だとは、まだ思っていないのだ。；私の父が亡くなる少し前にと一種の眞面目さを以て私に尋ねたことがある。；我々もまたその誰もがわが民族を誇る資格と面目を持たないのだ。；ルドゥは最初の計画案とは全く異なる第二案を提示することで面目を保った。；これだけ見てくれば、同志の前に面目の立たぬようなこともあるまい。；八五郎の面目のために勝太郎を救う工夫は容易につきそうもありません。；それにても武門の恥と心付かぬか、弓矢の手前に面目なしとは思はずか。；両君の新発表は甚だしくこの老先生の面目を傷つけた形となってしまった。；わしだけが妻子に心を惹かされたとあっては、同志の前へも面目ない。；そしてその歴史も面目を失って、もはやそこに痕跡を認め難くなっている。；われわれの父なる国家は、ふたたび面目と威厳を恢復したわけなのだ。；誠に妙好人の日々の暮し方の面目が端的に言い現わされていると思います。；僕は小説や戯曲の中にどの位純粋な芸術家の面目のあるかを見ようとするのである。；折角ここまで来て只帰ったでは、他の人に面目ないと云うのである。；嘘を衝きたくないからと云って、相手の面目を潰すには及ばないのである。；震災復興により新しい建物が次々と建てられて外見上は面目を一新する。；物のすべての面目が変っていることを、お銀様は奇なりとしました。；こうした問題にこれ以上触れてゆくことは、武士の面目に関わると思ったのかも知れない。；氏の画はやはり竹のように、本来の氏の面目から、まっすぐに育って来たものである。；陸上から自分の艦が沈没するを見ていたボード大佐は、面目を失った。；俺は今俺のなすべき事は眞面目なしつかりしたスタデイである事を感ずる。；教える為め、又は修養の為め書物も読まなければ世間へ対して面目がない。；斯かる大事を思ひたちたる身が、何の面目あつて、再び南方に歸るべき。；彼はその異変のために面目を一新した、というよりもむしろその犠牲となった。；着くと直ぐに藩公へお眼通りして使命を果し、カタの如く面目を施した。；その時々に大真面目でさえあれば、きっと何かが残るものである。</t>
        </is>
      </c>
      <c r="J8297">
        <f>HYPERLINK("https://www.weblio.jp/content/面目", "词义详情")</f>
        <v/>
      </c>
      <c r="K8297">
        <f>HYPERLINK("https://yourei.jp/面目", "查看例句")</f>
        <v/>
      </c>
    </row>
    <row r="8298">
      <c r="A8298" t="inlineStr">
        <is>
          <t>綿密</t>
        </is>
      </c>
      <c r="B8298" t="inlineStr">
        <is>
          <t>成功</t>
        </is>
      </c>
      <c r="C8298" t="inlineStr">
        <is>
          <t>読み方：めんみつ
［名・形動］詳しく細かいこと。すみずみまで注意が行き届いていること。また、そのさま。「—な調査」「—に計画を立てる」
[派生]めんみつさ［名］</t>
        </is>
      </c>
      <c r="D8298" t="inlineStr">
        <is>
          <t>綿密な調査(5%)；綿密な計画(4%)；綿密な取材；綿密な打ち合わせ；綿密な計算</t>
        </is>
      </c>
      <c r="E8298" t="inlineStr">
        <is>
          <t>慎重；細かい；丁寧；徹底的；十分</t>
        </is>
      </c>
      <c r="F8298" t="inlineStr">
        <is>
          <t>綿密な準備；綿密な時代考証；綿密な検査；綿密周到；綿密なリハーサル</t>
        </is>
      </c>
      <c r="H8298" t="n">
        <v>29</v>
      </c>
      <c r="I8298" t="inlineStr">
        <is>
          <t>そのためスタッフ間では公演期間中から事前の打ち合わせを綿密に行う。；わたしたちは組織的な綿密さで、すべての死と死因を記録していたのだ。；そのための計画としては、これ以上綿密なものはあるまいと思っていた。；ここ数ヵ月間わたしが古い記録を綿密に調べていたことはご存じですな。；この一カ月のあいだわたしはその肖像画を綿密に研究してきたのである。；彼はそこに今日の医者に負けないほどの綿密詳細な病床日記をつけている。；そして綿密に観察したあげく彼は何人かの男たちをはっきりと認めた。；読書は何処までも言語のさきざきまでも正確に綿密でなければならない。；ヒトラーが描く建築物は、綿密に計算されたかのように表現されている。；これは少し綿密に思想の歴史を研究した人には容易に認められ得ることである。；綿密に記録をとり、悪い結果の場合のぞっとするような写真も撮ってね。；その綿密な取材は後続のノンフィクション作家たちの尊敬を集めていた。；美術設定は、監督や演出家との綿密な打ち合わせを経た上で作成される。；かくて方法の概念は第一に或る理論が綿密であるか無いかを云い表わす。；綿密に裏を取ったが、この三組は事前にまったく接触を持った形跡がない。；撮影チームはそうできるようにカメラの動きを綿密に計算した上で撮影を行った。；また、事件が大規模になった際にはより綿密な連携が図られることもある。；このように東名のルート選択は、経済比較を綿密に行ったうえで決定した。；段取りは綿密に計画してあったから、いまさら話す必要はなかったのだ。；事件の後には、人間界には影響を残さないように、綿密に計算されたんだ。；福田が綿密に考え、慎重に行動しつつあることがわかったからである。；作者の綿密な取材に基づき、実際の出来事や事件などに触れている。；彼はその寸法を綿密にはかった上で、周囲に木の枝を刺して目印にした。；その間ドユパンは目当の家は勿論、その近隣の家々をも綿密に見てゐた。；一つの案が頭に浮かんだので、彼はその手紙をもっと綿密に見た。；ある綿密な推論者が、仲間の腹で思ったことをいちいち読み取った話だ。；それにもかかわらず、FDAは綿密にアヘンチンキの表示を調べている。；その川を渡ってこういう風に行くんだと綿密に教えてくれた。；私も初めて知ったのだが、中継というのは実に綿密に演出が考えられている。</t>
        </is>
      </c>
      <c r="J8298">
        <f>HYPERLINK("https://www.weblio.jp/content/綿密", "词义详情")</f>
        <v/>
      </c>
      <c r="K8298">
        <f>HYPERLINK("https://yourei.jp/綿密", "查看例句")</f>
        <v/>
      </c>
    </row>
    <row r="8299">
      <c r="A8299" t="inlineStr">
        <is>
          <t>麺類</t>
        </is>
      </c>
      <c r="B8299" t="inlineStr">
        <is>
          <t>成功</t>
        </is>
      </c>
      <c r="C8299" t="inlineStr">
        <is>
          <t>読み方：めんるい
小麦粉・そば粉などを練った生地をのばし、細長く切ったものの総称。うどん・そば・そうめん・ラーメン・スパゲッティなど。</t>
        </is>
      </c>
      <c r="D8299" t="inlineStr">
        <is>
          <t>麺類製造</t>
        </is>
      </c>
      <c r="E8299" t="inlineStr">
        <is>
          <t>バーミセリ</t>
        </is>
      </c>
      <c r="H8299" t="n">
        <v>29</v>
      </c>
      <c r="I8299" t="inlineStr">
        <is>
          <t>麺類の温かい・冷たいは問わないが、一般的には冷たいものの方が多い。；麺類食堂は、同年12月より北口駅舎のそばに移転し営業を続けている。；食品添加物としてはパンや麺類などの食味を改善する目的で使用される。；入り口から店舗への通路では、麺類の歴史や豆知識なども展示されていた。；麺類もこの時に中国から商人の移動と共に伝来したものであるとされる。；スケッチブックに写真を貼り合わせ、麺類を何か食べるシーンを入れる。；麺類の系統からいえば、切らずに手で押し広げて作られた餺飥の系統に入る。；麺類で一杯になっている胃を少しでも小さくしなければならぬ。；腹が減ってきたけれども、麺類以外はイメージがわかないときである。；うどん・焼きそば・ラーメンなど麺類を主とした商品を取り扱っている。；いわゆる麺類はこの意味において、今なお村落では晴の日の食物である。；小麦粉を練って作った種々の形態の麺類とソースの組合せが基本である。；中国では他にスープの具にもされ、台湾では麺類の具のひとつにも加えられることがある。；市内では菓子や麺類のほか、化粧品などに加工された商品も販売されている。；病院では、麺類が出ることはほとんどないし、あっても冷えて、伸びている。；ご飯はその場で盛り付けて渡されるが、麺類の場合は番号札を渡される。；キャラクターによっては、別の種類の麺類に変化することもある。；麺類では、茹でられた麺を湯がいてからスープを入れて提供するタイプがある。；この形状の招牌は、讃岐に限らず麺類を出す店の看板として一般的であった。；もともと麺類が好きだったのだが、酒びたりになってからは食事はほとんど喉を通りやすいそばだけだった時期がある。；生麺は、麺類を成形したままの状態で、未加熱・未乾燥のものをいう。；匂いや風味に特徴的なものはないが、歯切れがよく汁物や麺類の具などに向いている。；香港同様に茶餐廳や麺類、粥、パン、菓子などの専門店も発達している。；私はある農家で一週に一度ずつ上等の晩餐に麺類を用うるという家を知っている。；固有のものがある一方で、麺類のように地域・国境を越えて食文化が伝播している場合もある。；また、ロシアの麺類もテュルク系民族から伝わったとされる。；また、「鉄絲麺」という、最古の麺と同じような麺類を作る地方もある。；麺類を味わうことは、この快感をも味わっていることになるのだ。；ハイガイ類も麺類の具などに日常的によく用いられている。</t>
        </is>
      </c>
      <c r="J8299">
        <f>HYPERLINK("https://www.weblio.jp/content/麺類", "词义详情")</f>
        <v/>
      </c>
      <c r="K8299">
        <f>HYPERLINK("https://yourei.jp/麺類", "查看例句")</f>
        <v/>
      </c>
    </row>
    <row r="8300">
      <c r="A8300" t="inlineStr">
        <is>
          <t>もう</t>
        </is>
      </c>
      <c r="B8300" t="inlineStr">
        <is>
          <t>成功</t>
        </is>
      </c>
      <c r="C8300" t="inlineStr">
        <is>
          <t>［副］
１現に、ある事態に立ち至っているさま。また、ある動作が終わっているさま。もはや。既に。「—手遅れだ」「—子供ではない」「今泣いた烏が—笑った」
２あとわずかの時間で、ある事態になるさま。まもなく。やがて。じきに。「—終わりますから、しばらくお待ちください」「—来るだろう」
３現にある事物・状態などに、同じものを付け加える気持ちを表す語。さらに。いま。「—ちょっとで車にひかれるところだった」「—片方の靴下が見つからない」
４（あとに打消しの語などを伴って）同じ事をこれ以上繰り返したくないという気持ちを強調する語。二度とは。「—しませんから許してください」「戦争は—ごめんだ」
５自分の判断・感情などを強める気持ちを表す語。感動詞的にも用いる。まさに。なんとも。「これは—疑う余地のない事実だ」「嫌になっちゃうなあ、—」</t>
        </is>
      </c>
      <c r="D8300" t="inlineStr">
        <is>
          <t>もう一人(4%)；もう一方；もうすっかり；もうすこし；もうちょっと</t>
        </is>
      </c>
      <c r="E8300" t="inlineStr">
        <is>
          <t>近く；やがて；既に；間もなく；網</t>
        </is>
      </c>
      <c r="F8300" t="inlineStr">
        <is>
          <t>もう一回；もうとっくに；もう忘れ；もう遅い；もう一杯</t>
        </is>
      </c>
      <c r="G8300" t="inlineStr">
        <is>
          <t>もう少し；もうけ；もうすぐ；もう二度と；もういちど</t>
        </is>
      </c>
      <c r="H8300" t="n">
        <v>29</v>
      </c>
      <c r="I8300" t="inlineStr">
        <is>
          <t>新しい世代の日本人はもう戦争に責任をもつ必要はないかもしれない。；そのような動物では、原口の反対側に新たにもう一つ出入り口ができる。；主人が練習に疲れて家に帰って来て、もう音は聞きたくないという。；もう一つの問題は国家が国民からの信頼を失っている点にある。；これらの論文は両方とも自身の結果に基づいてもう1人を非難した。；もう2度とあの街へ戻ることはできないだろうと考えたのだろう。；彼らの世代になると、もう日本との歴史をよく知らないんですよ。；終了した側はもう一方が終了するまで受信可能の状態を継続する。；遊牧民のもうひとつの特徴は、生活に交易活動が欠かせないことである。；もう1名はこの裁判にはもとから批判的な判事だったとされている。；もう一つは、現代の目から見れば意外な事に高速機としてであった。；また、大学入学後にはもう一つの趣味であった剣道にも力を入れた。；その一つの方法は種類によるもので、もう一つは総額によるものである。；もう一つの理由は、調味料として醤油が入手しやすくなったことである。；ドア扱いは全て運転士が担当し、もう1人の乗務員はドア扱いを行わない。；ひとつは強い衝撃を加えた時、もうひとつは急激に温度を変化させた時である。；この頃には、もう会話することすらできなくなっていたという。；一方だけが先手となり、もう一方からは後手となるような場所のこと。；小学校に入学した希望が早退してもう学校には行かないと言う。；この1977年の地方選挙では、もう一つ注目すべき事態が発生していた。；この際球団は「君はもう近鉄の顔ではない」と告げたとされている。；あいつともう一人の男は同じとんがり帽子年に臍の緒を切られたんだ。；ひとりは嘘を全くつかない正直者でもうひとりは口を開けば嘘ばかりの嘘つきだった。；もう一つは、医師は臨床現場で効果を確認している、という反論である。；DS版以降ではさらに新たなもう1種類のエンディングが追加されている。；それはN極またはS極がもう一方と対ではなく単独で存在するものを指す。；ホームに隣接した扉のほか、地上へ続く通路にもう1枚扉がある。；意識という言葉のもつもうひとつの意味は主観的な経験、現象的な質である。；これらは相反しつつも、一方がなければもう一方も存在し得ない。</t>
        </is>
      </c>
      <c r="J8300">
        <f>HYPERLINK("https://www.weblio.jp/content/もう", "词义详情")</f>
        <v/>
      </c>
      <c r="K8300">
        <f>HYPERLINK("https://yourei.jp/もう", "查看例句")</f>
        <v/>
      </c>
    </row>
    <row r="8301">
      <c r="A8301" t="inlineStr">
        <is>
          <t>猛～</t>
        </is>
      </c>
      <c r="B8301" t="inlineStr">
        <is>
          <t>成功</t>
        </is>
      </c>
      <c r="C8301" t="inlineStr">
        <is>
          <t>読み方：もう
［常用漢字］　［音］モウ（マウ）（漢）　［訓］たけし　たける
１がむしゃらで強い。たけだけしい。「猛犬・猛獣・猛将・猛然／獰猛(どうもう)・勇猛」
２はげしい。程度がひどい。「猛威・猛火・猛暑・猛省・猛追・猛毒・猛烈」
［名のり］たか・たけ・たけお・たけき
［難読］猛猛(たけだけ)しい・猛者(もさ)</t>
        </is>
      </c>
      <c r="H8301" t="n">
        <v>0</v>
      </c>
      <c r="J8301">
        <f>HYPERLINK("https://www.weblio.jp/content/猛～", "词义详情")</f>
        <v/>
      </c>
      <c r="K8301">
        <f>HYPERLINK("https://yourei.jp/猛～", "查看例句")</f>
        <v/>
      </c>
    </row>
    <row r="8302">
      <c r="A8302" t="inlineStr">
        <is>
          <t>儲かる</t>
        </is>
      </c>
      <c r="B8302" t="inlineStr">
        <is>
          <t>成功</t>
        </is>
      </c>
      <c r="C8302" t="inlineStr">
        <is>
          <t>読み方：もうかる
［動ラ五（四）］
１利益が得られる。もうけになる。「—・る商売」
２思いがけない得をする。「買わずにすんで—・った」</t>
        </is>
      </c>
      <c r="D8302" t="inlineStr">
        <is>
          <t>儲かるということ；儲かるんだろ；儲かるか損する；儲かる儲かる</t>
        </is>
      </c>
      <c r="E8302" t="inlineStr">
        <is>
          <t>得る；おいしい；有益な；利得；儲ける</t>
        </is>
      </c>
      <c r="F8302" t="inlineStr">
        <is>
          <t>そんなに儲かる；必ず儲かる；もっと儲かる；儲かるかもしれ</t>
        </is>
      </c>
      <c r="H8302" t="n">
        <v>29</v>
      </c>
      <c r="I8302" t="inlineStr">
        <is>
          <t>自動車の修理工場をやっていたが、儲かっているようには見えなかった。；昔は随分と儲かったものだが、今思えばそれが良くなかったのだろうね。；こんなに造作もなく金の儲かる方法は、いままで話に聞いたことがない。；たくさん売れて儲かるものを作りたいと出版社が考えるのは、当然です。；「電球にした方が軽くて儲かるど」 といって先輩が教えてくれました。；そうですから普通商業家よりも政府の商売の方が余計儲かる訳である。；怠けておいて、なぜ儲からないんだと文句をいわれても、私は知らない。；アニメではなかなか儲からないため雑誌部を設立し漫画を制作した。；それでは、なぜラブホテルには儲かっているイメージがあるのだろうか。；お金がこんなに儲かるのなら、盗坊の仲間になってもいいと思いました。；儲かると思って商売して損をして俄に狼狽するのは思慮の足りないのだ。；でも儲からない、とすればどこかが悪いはず、そんな感覚で考えていた。；ギター制作が軌道に乗った頃、その商売は三村の予想以上に儲かっていた。；骨が折れずに体裁もよくてそれで金の儲かる仕事を望むようになる。；ところがこの世の中、ただで儲かることなんてそうそうあるものかね。；この世の中に苦労して儲かるものなんてひとつもないのであるッ。；ああいう馬が買えない限り馬券で儲かるということはないだろうと思う。；あれじゃ、祝儀でかえって儲かったんじゃないかという噂まで聞いたよ。；人に使われるよりは、自分で独立して店を持ったほうが儲かるに決まっている。；おやじさんもやっとのことで暮らしているので、儲かっているのではない。；あれ以来西洋へ行かなかったか、金が儲からなかったかというのかね?；あれは昭和四十九年の秋だったが、平和島のボートで儲かったときだ。；この日はお客が僕一人なので儲からないと思って番人は山を下ってしまった。；といって負けたところで一個で二円儲かるから十個売っているうちには二十円だ。；ただ〈儲かるからやる〉ということで、日本の産業全体がここまできた。；商売も面白いほど儲かって、歯なんかにどんなに金をかけても平っちゃらだった。；二本立で儲からないとなれば、やがて一本立を考えるようになると思う。；が、実際には面倒で儲からない仕事を押し付けるために採用されたのだった。；儲かるのはいいことじゃないか、などと思っていてはたいへんだ。</t>
        </is>
      </c>
      <c r="J8302">
        <f>HYPERLINK("https://www.weblio.jp/content/儲かる", "词义详情")</f>
        <v/>
      </c>
      <c r="K8302">
        <f>HYPERLINK("https://yourei.jp/儲かる", "查看例句")</f>
        <v/>
      </c>
    </row>
    <row r="8303">
      <c r="A8303" t="inlineStr">
        <is>
          <t>儲ける</t>
        </is>
      </c>
      <c r="B8303" t="inlineStr">
        <is>
          <t>成功</t>
        </is>
      </c>
      <c r="C8303" t="inlineStr">
        <is>
          <t>読み方：もうける
［動カ下一］［文］まう・く［カ下二］《「設ける」と同語源》
１金銭上の利益を得る。また、思いがけない得をする。「だいぶ—・けているという話だ」
２子を得る。「子まで—・けた二人の仲」
３夫・妻や義理の親などをもつ。
「似げなき親をも、—・けたりけるかな」〈源・帚木〉
４病気などにかかる。
「財を失ひ、病を—・く」〈徒然・一七五〉</t>
        </is>
      </c>
      <c r="D8303" t="inlineStr">
        <is>
          <t>儲けることなく</t>
        </is>
      </c>
      <c r="E8303" t="inlineStr">
        <is>
          <t>得る；入手；もたらす；受け取る；増す</t>
        </is>
      </c>
      <c r="H8303" t="n">
        <v>29</v>
      </c>
      <c r="I8303" t="inlineStr">
        <is>
          <t>彼は、いろいろの取引でその商人が儲ける額を計算して、ただうなった。；誰にも金を儲けることができるかということについては、私は疑います。；確実に儲けるため、複数の客に別々の買い目を伝えることもしばしばある。；自分がこれだけの金を儲けるには額に玉のやうな汗も流した。；儲けるためならいつでも人の靴の裏をなめる覚悟くらいできている。；なぜそんな汚いことまでして儲けるかと言えば、相手が日本人だからである。；ある人は、〝金を儲けること〟を自分の幸福だと考えるかもしれない。；念吉 商売つていふのはね、どうしてお金を儲けるかつていふことさ。；誰かが無断で本にして、勝手に儲けることは許さないと法律が決めている。；ヤミで儲けることの手はいくつも知っていながら、その手を出さなかった頃だ。；あしたからお前達を見世物にして、おれはお金をウンと儲けるつもりだ。；お蝶は何も自分に出世してくれともお金を儲けろなど訴えているわけではない。；外交の仕事をやると、まったく別の方法で金を儲けることができる。；十万円の金を儲けるにも、これほど手数がかかった芝居をしたんです。；小野君のように、体に楽をしていて金を儲ける伎倆はねえんだから。；明日の新聞を入手して、株価の変化を知りいくらでも儲けることが可能である。；自分の狙っていたインターリニアルで儲けるのでなくては面白くない。；もっとも僕等のエネルギーを利用して儲けるのは大資本なんだ。；生涯、信昌に一人も側室を置かせず、自身で4人の男子と1女を儲ける。；フランス貨のシェールドを売ってうまく為替で儲けることを心得ていた。；こうして豊かな国に治外法権を盾に陣取り、儲ける機会を与えてくれる。；映画で銭を儲けるのはいいけれども、儲け方があるのではないか。；むろん、彼がアメリカで、石油事業で当ててお金を儲ける前のことよ。；もともと彼は、儲けるためではなく、名誉のために賭をする人間であった。；でもそうやって働いて、お金を儲けるというのはすばらしく面白いものよ。；この時期に最初の娘と息子を儲けるも、幼いうちに亡くしている。；市場を操作して儲けるつもりが、いつの間にか制御できなくなってしまうんだ。；旅行業界に勤めていた女性と結婚し、一男儲けるが、後に離婚。；その後、金を儲ける手段をやると言って、自らの権力の中におれを組み入れた。</t>
        </is>
      </c>
      <c r="J8303">
        <f>HYPERLINK("https://www.weblio.jp/content/儲ける", "词义详情")</f>
        <v/>
      </c>
      <c r="K8303">
        <f>HYPERLINK("https://yourei.jp/儲ける", "查看例句")</f>
        <v/>
      </c>
    </row>
    <row r="8304">
      <c r="A8304" t="inlineStr">
        <is>
          <t>設ける</t>
        </is>
      </c>
      <c r="B8304" t="inlineStr">
        <is>
          <t>成功</t>
        </is>
      </c>
      <c r="C8304" t="inlineStr">
        <is>
          <t>読み方：もうける
［動カ下一］［文］まう・く［カ下二］
１前もって用意・準備をする。「一席—・ける」
２建物・機関などを、こしらえる。設置する。「窓口を—・ける」「規則を—・ける」</t>
        </is>
      </c>
      <c r="D8304" t="inlineStr">
        <is>
          <t>設けるべき；設けるべく</t>
        </is>
      </c>
      <c r="E8304" t="inlineStr">
        <is>
          <t>設置；建設；設立；組織；制作</t>
        </is>
      </c>
      <c r="H8304" t="n">
        <v>29</v>
      </c>
      <c r="I8304" t="inlineStr">
        <is>
          <t>その問題に対し、学校・教育側は方言の授業を設ける等を検討している。；貸した土地に茶店等を設ける時は寺の許可とし茶店での宿泊はさせない。；単独のビルなどで個別に熱源設備を設けるよりも次のような利点がある。；そこは通路であると同時に宴会の座を設ける場所としても利用される。；戦国時代になると、郡が発展していくと同時にその下へ県を設けるようになった。；特に必要があると判断された場合、特別委員会を設けることができる。；ただし、一部の官途名に特例を設けるなどして大名統制に利用している。；一の間は12畳で、北側西寄りに床、その東に幅1間半の棚を設ける。；一般に、障害の区別ごとに、学校ごとの学区を設けるのが普通である。；一の間の東・南面から二の間・三の間の東面にかけて板縁を設ける。；簀子縁の周囲には高欄をめぐらし、建物正面には18段の階段を設ける。；柱は丸柱で礎石上に建てられ、正面中央の柱は省略して板扉を設ける。；後に組織が時代に合わなくなると、令に規定の無い官を設けることで対処した。；これをクーゲル教会が購入し、その中に教区センターを設ける予定である。；客用扉は片側2箇所設けられ、デッキを設けるために車体端に寄せられた。；方向幕は指令器をMc車に設ける計画のため、登場当初は不使用であった。；送電線の支持に用いる場合、最上部に架空地線と呼ばれる電線を設ける。；当初の配線も相対式2面3線で、中央に通過線を設けることとしていた。；しかし、蔭位の制を設けるなど世襲制を許す条件を当初から含んでいた。；この他に市議会が特定のテーマごとに設ける委員会が存在する。；このページの意図は問題提起をする、論議をする場を設けることです。；最先端の科学力と権力を武器にし、世界中に施設や工場を設ける。；そのため、津波を防ぐための高い防潮堤を設けるなどの対策が取られている。；同仁斎は四畳半の室で、北側に棚と付書院を設けるが、床は設けていない。；上の間では床と棚に挟まれた壁の腰の位置に窓を設けるなど、通風に意を用いている。；一部の紋章院が例外を設けることがあるが、これは世界の多くで有効であり続ける。；以上のような基本構造に関わる形式のほかに、様々に工夫した設備を設ける場合がある。；しかしながら、工業汚染については別途に処理装置を設ける必要がある。；なお、墓を設けるのは人類共通の習慣ではなく、墓をつくらない民族・文化もある。</t>
        </is>
      </c>
      <c r="J8304">
        <f>HYPERLINK("https://www.weblio.jp/content/設ける", "词义详情")</f>
        <v/>
      </c>
      <c r="K8304">
        <f>HYPERLINK("https://yourei.jp/設ける", "查看例句")</f>
        <v/>
      </c>
    </row>
    <row r="8305">
      <c r="A8305" t="inlineStr">
        <is>
          <t>申し上げる</t>
        </is>
      </c>
      <c r="B8305" t="inlineStr">
        <is>
          <t>成功</t>
        </is>
      </c>
      <c r="C8305" t="inlineStr">
        <is>
          <t>読み方：もうしあげる
［動ガ下一］［文］まうしあ・ぐ［ガ下二］
１「言う」の謙譲語。うやうやしく言う。古くは、身分格差のある目上に言上する意であったが、現在では、改まり丁重にいう「申す」に対し、言う対象を敬う語として一般に用いられる。「謹んで初春のお慶びを—・げます」
２「お」や「御(ご)」の付いた自分の行為を表す体言に付けて、その行為の対象を敬う。…してさしあげる。「お答え—・げます」「御相談—・げたく参上致しました」</t>
        </is>
      </c>
      <c r="D8305" t="inlineStr">
        <is>
          <t>申し上げるまでもござい；申し上げるべき；申し上げる次第です；申し上げるつもりです</t>
        </is>
      </c>
      <c r="E8305" t="inlineStr">
        <is>
          <t>いう；言う；云う；発言；話す</t>
        </is>
      </c>
      <c r="F8305" t="inlineStr">
        <is>
          <t>これから申し上げる；お願い申し上げる；御礼申し上げる；はっきり申し上げる；感謝申し上げる</t>
        </is>
      </c>
      <c r="H8305" t="n">
        <v>29</v>
      </c>
      <c r="I8305" t="inlineStr">
        <is>
          <t>私はそんなものを自分で研究して、ここで申し上げる訳ではありません。；はっきり申し上げるが、私は君を信頼してよいのかどうかも自信がない。；私はただ私が考えましただけの事を申し上げたに過ぎないのでございます。；そうしていま申し上げたようなことが行われたのだと推定したのです。；ちよいと申し上げて置きますが、私かう見えても芸術家なんですからね。；私の名前をお訊ねになりましたが私には申し上げることができないのです。；「そうだとすでに申し上げたはずです」 伯爵はあたりに視線を投げた。；ところが第三の事件では今申し上げた通り、たしかに女が働いております。；しかしながら僕は、もうひとこと申し上げずにいられぬことがあります。；さもないとこれ以上あなたをお祀り申し上げる訳にはいかなくなります。；たいていのことは人がいいかげんなことを申し上げているからなのだろう。；そのわけは、とにかく日記を読んでもらった後で申し上げることにしたい。；ある日、私は王の御機嫌をとるつもりで、こんなことを申し上げました。；ここでもう一度、わたしの申し上げたことを繰り返させていただきたい。；とにかくそういう話を聞きましたからあなたに内々申し上げて置きます。；私はあなたにだけは何んでも申し上げることが出来るように思います。；これはきっと左右の者が陛下に私のことをあるなしと申し上げたのでしょう。；この事を御報告申し上げて、御安心を願いたいためにこの手紙を書きました。；天皇を金剛山にお移し申し上げるのは、その機を利用した方が安全だ。；しかしもうこれからそんなことはしないと御主人に申し上げて下さい。；これ以上申し上げなくとも、あなたはみんなおわかりのことだと思いますわ。；私はもうこれで言わねばならぬ大方のことを申し上げたつもりです。；こうなればもう、嫌だとおっしゃっても申し上げずにはおられません。；就寝中と申し上げたのですが、重要だから起こすように言われました。；なおこのついでに私は一歩を進めてこういうことを申し上げておきたいと思います。；私はただあの頃の御奉行様の御有様を申し上げますでございましょう。；本来は殿にじかに申し上げるべきものだろうが、わしにはそのつてがない。；そこで私としては、みなさんにご説明申し上げないわけにはいきません。；はっきり申し上げておきますが、私は彼女を殺す気は少しもありませんでした。</t>
        </is>
      </c>
      <c r="J8305">
        <f>HYPERLINK("https://www.weblio.jp/content/申し上げる", "词义详情")</f>
        <v/>
      </c>
      <c r="K8305">
        <f>HYPERLINK("https://yourei.jp/申し上げる", "查看例句")</f>
        <v/>
      </c>
    </row>
    <row r="8306">
      <c r="A8306" t="inlineStr">
        <is>
          <t>申し入れる</t>
        </is>
      </c>
      <c r="B8306" t="inlineStr">
        <is>
          <t>成功</t>
        </is>
      </c>
      <c r="C8306" t="inlineStr">
        <is>
          <t>読み方：もうしいれる
［動ラ下一］［文］まうしい・る［ラ下二］
１こちらの意志や希望を相手に告げ知らせる。「資金の提供を—・れる」「話し合いを—・れる」
２招待する。
「それにつき毎年このごろ一族衆を—・るる程に」〈虎明狂・目近籠骨〉
３「言い入れる」の謙譲語。外から内部へ向かって申し上げる。
「門前にて馬よりおり、—・れられけるは」〈平家・七〉</t>
        </is>
      </c>
      <c r="H8306" t="n">
        <v>29</v>
      </c>
      <c r="I8306" t="inlineStr">
        <is>
          <t>徐吾犯は二人に、妹に選ばせたいと申し入れると、二人とも承諾した。；人権侵害の疑いのある国に対しては現地での調査を申し入れるのが常である。；崔は自分の意を通じて、その女を妻にしたいと申し入れると、彼女は答えた。；スライマーン・シャー王は大臣を派遣して輿入れを申し入れることにする。；続いて福丸の船主である川西家を訪れ、祝言の場を借りたいと申し入れる。；幕府が、このようなことを、大和守を介して橘屋へ申し入れるはずはない。；彼らはそれから意気揚々と私を村へ連れていき、先を争って私に歓待を申し入れるのであった。；この造船技術を伝授願いたいと、さっそく幕府に申し入れる大名も多かった。；北の対の下の目だたない所に立って案内を申し入れると音楽の声はやんでしまって、若い何人もの女の衣摺れらしい音が聞こえた。；不日上京あるべき旨、各国公使に申し入れるよう、帝の命を奉じたのであると。；このあと幸福銀は住友銀行や三和銀行にも提携を申し入れるがいずれも固辞。；マリーは夫に離婚を申し入れるが夫は拒否し、多くのマリーの友人はマリーから去った。；ルールの変更を申し入れることすら無駄だ。；日が暮れるまで、まだ時間がありますから、それまで港を見物したいと申し入れるんです。；共産党への協力や入党を申し入れるなどし、被告人らに接近を図っていたという。；誠実な仕事をするライターに、こちらの都合で修正を申し入れるのはいつも胸が痛む。；益子新左衛門も、おれが試合を申し入れると固辞して受けなかった。；気の毒がった記者氏に教えられて、熊飽教組教育祭に申し入れる。；廃止後、地元八百津町は関西電力に対し発電所建物の保存を申し入れる。；メネリク2世と妻のタイトゥはすぐさまイタリアに抗議を申し入れる。；しかもこれから先、剣や鎧等の邪魔になりそうな装備一式も買い取ることを申し入れる。；で、この地にきましたが、ここでも知人がないので、申し入れる手だてもありません。；日本はイギリスに航空使節団の派遣を申し入れる。；いまの八郎としては、正規の手つづきを経ての勝負を申し入れるわけにはまいらぬ。；画家がこの二人を識り合いだと誤解したことは確かだったが、こうなってみるとあらためて訂正を申し入れるわけにもいかなかった。；なお、今大会ではこの試合に限らず、ジュリーが畳の上の主審に技のポイントや指導ポイントの訂正を申し入れる場面が頻繁に見られた。；十五代目は花道の出で、照明をつけないよう裏方に申し入れることがよくあった。；ぼくは面倒なためらいを放棄し、受付で牧瀬杳子に面会を申し入れる。；労働者からの意思表示により労働契約の解除を申し入れるものである。</t>
        </is>
      </c>
      <c r="J8306">
        <f>HYPERLINK("https://www.weblio.jp/content/申し入れる", "词义详情")</f>
        <v/>
      </c>
      <c r="K8306">
        <f>HYPERLINK("https://yourei.jp/申し入れる", "查看例句")</f>
        <v/>
      </c>
    </row>
    <row r="8307">
      <c r="A8307" t="inlineStr">
        <is>
          <t>申し込み</t>
        </is>
      </c>
      <c r="B8307" t="inlineStr">
        <is>
          <t>成功</t>
        </is>
      </c>
      <c r="C8307" t="inlineStr">
        <is>
          <t>読み方：もうしこみ
１申し込むこと。また、その内容や手続き。「結婚の—」「—は本社で受け付けます」「—用紙」
２法律で、相手方の承諾を得て、契約を成立させようとする意思表示。</t>
        </is>
      </c>
      <c r="D8307" t="inlineStr">
        <is>
          <t>申し込み用紙；申し込みまし；申し込み書；申し込み受付；申し込み制</t>
        </is>
      </c>
      <c r="E8307" t="inlineStr">
        <is>
          <t>求め；要求；提案；依頼；要請</t>
        </is>
      </c>
      <c r="F8307" t="inlineStr">
        <is>
          <t>新規申し込み；参加申し込み；取材申し込み；お申し込み；結婚申し込み</t>
        </is>
      </c>
      <c r="H8307" t="n">
        <v>29</v>
      </c>
      <c r="I8307" t="inlineStr">
        <is>
          <t>一度の申し込みで、名義の異なる複数のカードを発行することができる。；実は、彼女のほうからの申し込みで、彼女に会うことになっているんだ。；彼は沈黙していたので、私の申し込みに反対しているのように思えた。；なお、これらの助成策は基本的に申し込み制が取られ義務ではなかった。；申し込みが必要だが、インターネットの閲覧も調査研究が目的なら可能。；現在は、それまでに利用申し込みを行ったユーザーだけが利用できる。；まるで結婚の申しこみさえすれば、あとは万事順調にいく話のようにさ。；そこで定めの日に、予期された申し込みが両親になされて、承諾された。；韓国人ビジネスマンは、いつ契約の申し込みがあるかと期待して待った。；きみはわたしが裏切ったと解釈してローンの申しこみを拒絶するだろう。；地区予選などは特になく、申し込みの上で認められれば出場が可能である。；結婚の申し込みにとびついて嬉し泣きに泣いてもよさそうなものであった。；これは一般書店での販売ではなく、同団体が申し込みに応じて発行していた。；そのほかの部分も見学できるツアーもあるが、別に申し込みが必要となる。；事前に申し込みを行うことで、ゲストがパレードに参加することができた。；取材の申し込みばかりだった電話の中に、様々な電話が混じり始めた。；事前申し込みかつ有料で、図書館利用者への託児サービスも行っている。；私はこの娘を愛しく思うようになり、結婚の申し込みをいたしました。；この男に結婚の申し込みをされた、と、ある日、彼女は母親に話した。；私は申し込みを受けたとき、まず私の胸にわき上がるのは無念さであった。；五月の良い日に、私は紋付を着て彼女の家へ正式の申し込みに行った。；長らくウェブサイトでの申し込みは出来なかったが、現在は可能である。；男爵はすぐにその男に決闘を申し込み、槍で刺し殺してしまったそうだ。；事前に生徒に通知され、参加する生徒は申し込み用紙に記入し提出する。；見学をする場合は、事前に大野町教育委員会への申し込みが必要である。；むろんそんな申し込みを受けた当人にはめぐり逢えまいが、噂としてだ。；おまえはおれが結婚の申しこみでもしようとしたと思うかい?；それに収入の少ない彼は、真剣な申し込みをしようにもできない状態でした。；これらは通常は決められた申し込み期間にのみ申し込む事ができる。</t>
        </is>
      </c>
      <c r="J8307">
        <f>HYPERLINK("https://www.weblio.jp/content/申し込み", "词义详情")</f>
        <v/>
      </c>
      <c r="K8307">
        <f>HYPERLINK("https://yourei.jp/申し込み", "查看例句")</f>
        <v/>
      </c>
    </row>
    <row r="8308">
      <c r="A8308" t="inlineStr">
        <is>
          <t>申込書</t>
        </is>
      </c>
      <c r="B8308" t="inlineStr">
        <is>
          <t>成功</t>
        </is>
      </c>
      <c r="D8308" t="inlineStr">
        <is>
          <t>申込書セット</t>
        </is>
      </c>
      <c r="E8308" t="inlineStr">
        <is>
          <t>応募用紙；申し込み用紙；申し込み書</t>
        </is>
      </c>
      <c r="F8308" t="inlineStr">
        <is>
          <t>参加申込書；融資申込書；搭乗申込書；受験申込書；購入申込書</t>
        </is>
      </c>
      <c r="H8308" t="n">
        <v>29</v>
      </c>
      <c r="I8308" t="inlineStr">
        <is>
          <t>使用済みの申込書・証明書類は読み取り台の端にある回収口に投入する。；Googleや参加組織は申込書のレベルが高くなったとしている。；相談する前に入会申込書を請求されたかたで入会した人は少ないようです。；翌朝、彼は定期券の申込書に名前その他を記入して、駅に持って行った。；入学している女の子たちの申込書を、五十音順に並べた引出しをあける。；依頼の際には、閲覧申込書に資料名や資料の請求番号を記入することが多い。；指に繃帯をして係員に搭乗申込書の代筆をさせた男がいたことが分かった。；同年2月に上司に結婚申込書を提出し、劉永清と結婚して夫婦となる。；差し出された指輪が借金の申込書に見えたからつい逃げちゃったの!；とに韓国プロ野球にドラフト参加申込書を送付するが全ての球団から拒否された。；申請に際し必要なものは申込書および住所を確認できるものである。；申請許可申込書などと言うからてっきり冗談かと思ったが、実際何か書いていたらしい。；自分の筆蹟を残さない用心に、係の者に搭乗申込書に代筆させるためだった。；ホールの中央に、立ち机があり、その上に申込書が載っている。；亜愛一郎が来て、井伊の書類の上に自分の申込書と保険証を置いた。；参加申込書と一緒に配布された規則では、ダイハツブランドの車のみ参加可能だった。；迷い迷い申込書に記入していた男と同時になって、何か損をしたような気持だった。；けれど、断る元気もなかったので、黙って申込書をハンドバッグにしまった。；すでに何人かが席に着き、ローンの申込書を書かされている。；申込書に名前を書いておけば、あとは内弟子の沢谷さんが手続きをしておいてくれる。；邪魔が入ったために診療申込書を窓口に出すのが遅くなった。；上岡は診療申込書を前にして、必要事項を記入しようとしていた。；申込書もこれにはいってるからね。；その間にも、窓口には新しい申込書が次次と重ねられてゆく。；良い子は申込書に書きこみ、料金を払い、写真を取られ、パスを入手した。；単独で購入することもできるが、サークル参加申込書を購入するとおまけに付く。；がそれをやっと覚ったのは、妻がひどく真赤になって、急いで申込書を書類の間へ押し込んだのを見た時だった。；受付嬢は申込書と保険証を突き合わせ、新しいカルテを作っているようだ。；主な目的は里志に申請許可申込書を手渡すことだったようだが、それでも確かに、来たのだ。</t>
        </is>
      </c>
      <c r="J8308">
        <f>HYPERLINK("https://www.weblio.jp/content/申込書", "词义详情")</f>
        <v/>
      </c>
      <c r="K8308">
        <f>HYPERLINK("https://yourei.jp/申込書", "查看例句")</f>
        <v/>
      </c>
    </row>
    <row r="8309">
      <c r="A8309" t="inlineStr">
        <is>
          <t>申し込む</t>
        </is>
      </c>
      <c r="B8309" t="inlineStr">
        <is>
          <t>成功</t>
        </is>
      </c>
      <c r="C8309" t="inlineStr">
        <is>
          <t>読み方：もうしこむ
［動マ五（四）］
１意志・希望・要求などを相手方に伝える。「抗議を—・む」「結婚を—・む」「試合を—・む」
２募集などに応じて手続きをとる。「予約を—・む」</t>
        </is>
      </c>
      <c r="D8309" t="inlineStr">
        <is>
          <t>申し込む形</t>
        </is>
      </c>
      <c r="E8309" t="inlineStr">
        <is>
          <t>申す；申し出る；申し上げる；申請する；進言する</t>
        </is>
      </c>
      <c r="H8309" t="n">
        <v>29</v>
      </c>
      <c r="I8309" t="inlineStr">
        <is>
          <t>わしはご近所でもあるし、それに一番早く結婚を申し込んでおりますぞ。；ライプチヒのある大出版者は、彼の作品を出版しようと申し込んできた。；対象となるバス会社は以下の4社の路線でいずれかを選択して申し込む。；また研究のためいかなる人がそこで研究することを申し込んでも拒否しない。；黙っていても入信を申し込んでくるのは時間の問題だと考えていたのである。；まさか高校を出たばかりの奈緒実に結婚を申し込むとは思わなかった。；木慈隊に色々な注文を申し込んで来るのも千ノ浦では彼の他には居ない。；そして三カ月はどデートを続けたあとで、僕は彼女に結婚を申し込んだ。；これらの英雄のほとんどはヘレネーに結婚を申し込んだ男たちだった。；申し込むまでなかなか踏ん切りがつかなかったのも、そのせいが大きい。；でなかったら、章次はもっと早い時期に、結婚を申し込んでいたはずだ。；また優勝カップも試合を申し込んだ側が用意しなければならなかった。；ある人はこのレースを当てたら恋人に結婚を申し込む決意をする。；わたしたちはその邸の玄関に立って、お嬢様に面会したいと申し込んだ。；パットン家はプロデューサーその他から映画制作への協力を申し込まれた。；交際を申し込んで断られた後、僕はすぐに彼女のことを諦めてしまった。；わたしに結婚を申し込んだことを父に話すために来てくださるのよ。；しかしその川本がなぜこの時期に私に面談を申し込んできたのだろう。；もう申し込んでも申し込んでもなかなか当らないって評判なんだけどね。；花沢スタジオにも電話で「モデルに使ってください」と申し込んでくる。；この男が三日ほど前に出所して、我々に会見を申し込んで来たのです。；反ユダヤ主義への怒りは強く、そのことで何度か決闘を申し込んでいる。；巨大樹はやがて最期の時を迎え、バトルを申し込んだ末にゲットされる。；そのリストは申し込んだユーザー同士で、一緒に作ることもできる。；これらは通常は決められた申し込み期間にのみ申し込む事ができる。；毎日病院に来てかいがいしく世話をするたか子に雄吉は結婚を申し込む。；箱根に一緒に行くといえば、彼はますます勇気を出して申し込むに違いない。；同期が何人もいるなかで、どうして彼女に借金を申し込んだのかと考えてみた。；入学前に申し込むタイプと入学後に申し込むタイプとの2種類がある。</t>
        </is>
      </c>
      <c r="J8309">
        <f>HYPERLINK("https://www.weblio.jp/content/申し込む", "词义详情")</f>
        <v/>
      </c>
      <c r="K8309">
        <f>HYPERLINK("https://yourei.jp/申し込む", "查看例句")</f>
        <v/>
      </c>
    </row>
    <row r="8310">
      <c r="A8310" t="inlineStr">
        <is>
          <t>申し出る</t>
        </is>
      </c>
      <c r="B8310" t="inlineStr">
        <is>
          <t>成功</t>
        </is>
      </c>
      <c r="C8310" t="inlineStr">
        <is>
          <t>読み方：もうしでる
［動ダ下一］意見や希望などを、自分から言って出る。「参加を—・でる」</t>
        </is>
      </c>
      <c r="D8310" t="inlineStr">
        <is>
          <t>申し出るべき</t>
        </is>
      </c>
      <c r="E8310" t="inlineStr">
        <is>
          <t>出す；云う；提案；表明；提唱</t>
        </is>
      </c>
      <c r="F8310" t="inlineStr">
        <is>
          <t>欲しいと申し出る；ほしいと申し出る</t>
        </is>
      </c>
      <c r="H8310" t="n">
        <v>29</v>
      </c>
      <c r="I8310" t="inlineStr">
        <is>
          <t>そうして何でも望みがあるならば、申し出るようにと惣助に伝えさせた。；どちらかが変更したかったら、その前々日に申し出ると約束してあった。；彼自身もあとの手紙で、そう申し出るよう委託されたのだといってきた。；どう考えても冗談だと護堂は思ったが、一応助力を申し出ることにした。；あのときぼくのほうから申し出るべきだったのかもしれないんです。；未成年の少年と一緒にいるブルースは、車で家に送ると少年に申し出る。；夫を殺害すれば、妹と結婚させ300ルーブリを提供しようと申し出る。；七夕祭りの直前、ある学生バンドがコンサートで演奏したいと申し出る。；この問題を私がこのように抽象的に申し出ると異存のある人はないようだ。；亨はナンシーとの関係が悪くなり、このまま日本に残りたいと申し出る。；そこで金田一がお柳の伝えたいことを眼の動きで判断しようと申し出る。；クライストチャーチ市にウィザードの任命許可を申し出るも拒否される。；基本的には提出者が本人確認資料を持参の上窓口に申し出ることで可能。；そのことを知った主人公は村長の下を訪れ、牧場主になることを申し出る。；新聞に取り上げられてから彼のもとに援助を申し出る海外の企業が殺到したのです。；そんなわけですから、ともかくも、私が協力を申し出るわけには行きません。；そんな折に荒川組の元組員である春日一番に目をつけ、協力を申し出る。；資金援助を申し出るライオンズ・クラブの会長に、彼はこう言ったのだった。；この時彼の熱烈なファンが目の提供を申し出るが拒否している。；ある日トレは市長から潜入捜査の話を聞き、自分がやりたいと申し出る。；また人々のメッセージも変わり、パーティ加入を申し出る者も現れる。；貼り出しをして報奨金付きで民衆に尋ねるも申し出る者は出てこない。；電子申請の場合でどちらの方法で交付を希望するかは申請の際に申し出る。；そいつがあの野郎っこを弟だなんて申し出るのが妙じゃねえか?；しかし彼の健康状態は悪化しはじめ、度々辞職を申し出るようになった。；銭になると知った二人は知ったかぶりをして能狂言をやってもいいと申し出る。；取得予定日の2週間前までに、書面にて事業主に申し出る必要がある。；やがて人々が集まると、彼は身分を隠して義勇軍への参加を申し出る。；ぼくからやりなおしを申し出るのを、待ってくれているのだろうか。</t>
        </is>
      </c>
      <c r="J8310">
        <f>HYPERLINK("https://www.weblio.jp/content/申し出る", "词义详情")</f>
        <v/>
      </c>
      <c r="K8310">
        <f>HYPERLINK("https://yourei.jp/申し出る", "查看例句")</f>
        <v/>
      </c>
    </row>
    <row r="8311">
      <c r="A8311" t="inlineStr">
        <is>
          <t>申し分</t>
        </is>
      </c>
      <c r="B8311" t="inlineStr">
        <is>
          <t>成功</t>
        </is>
      </c>
      <c r="C8311" t="inlineStr">
        <is>
          <t>読み方：もうしぶん
１不満に思う点。非難すべき点。欠点。「—のない成果」
２物事を申し立てること。また、その内容。「妙な—ですが」</t>
        </is>
      </c>
      <c r="D8311" t="inlineStr">
        <is>
          <t>申し分ない(28%)；申し分なく(16%)；申し分なかった(7%)；申し分なし(2%)；申し分なき</t>
        </is>
      </c>
      <c r="F8311" t="inlineStr">
        <is>
          <t>すべて申し分；万事申し分；みな申し分；申し分なく幸福</t>
        </is>
      </c>
      <c r="H8311" t="n">
        <v>29</v>
      </c>
      <c r="I8311" t="inlineStr">
        <is>
          <t>でも立派な推薦状を持ってきていまして、それは申し分のない女中です。；彼はこの百姓たちから申し分のない献身を見せられて深く感動したのだ。；全く夫婦に子供と三人暮らしだったら、もう申し分なく幸せじゃないか。；この設計も建造も申し分のない、比較的安全な潜水艇の中にいてすらだ。；それに応じて仕事そのものが精を出してくれたなら、申し分ないのだが。；今度の事件はこの三つの趣味を満たすのには申し分なく思われたのだ。；通町からはかなり離れていたが、東叡山の境内なら広さは申し分がない。；こうして、お祭り気分は全員にとって申しぶんのないものになりました。；今も警部にお話していたんですがね、あの男の態度は申し分ありませんな。；そういう点では、私の書簡の二つの内容は申しぶんなく相応しています。；なおこの紳士は申し分のない体格で、その動作は従容としたものだった。；僕一人がお相手の間は申分がなかったが、間もなく異分子が入って来た。；それはこの申し分ない乙女のうちに、御覧になった美しさでございます。；そういう彼女は、ベッドのなかの申し分のない彼女とあまりに違いすぎる。；君は神がお作りになったものとしては、あまりにも申し分のない女性だ。；それに頭がよく働いて、勇気があるのだから、まず申し分ないでしょうね。；お前みたいな人間はどない申分のない夫持ってもこれなら満足やいう時あれへんで。；この息子がもっとしっかりしていると申し分はないのだけれども。；この建物なら申し分なく孤立しているし、どこから見ても安全だった。；婿さんの新吉さんは五ツちがいの今年二十八で申分のない温厚な銀行員。；一言にしていえば、どちらへ向けても、彼は実に申し分のない人間であった。；わたしと同じように潔白なこの娘の申し分には本当のことが二つございますわ。；一度は村長までした人だし、まあお前の婿にして申し分のないつもりじゃ。；そこではいっさいのものがまったく申し分ないほどに整頓されていた。；彼の事務所は申し分なく公明正大な仕事でなければ、決して手を出さない。；私はほんの少しの言葉でも申し分なくすらすらと話すことが出来んのです。；他吉の眼からは、次郎は働き者で、申し分ない婿に見えていたのだった。；残念ですな、ほかの点ではどれもこれも申し分がないというのに。；出席してくれた盛装の母は、申し分なく美しく、全出席者の注目を集めた。</t>
        </is>
      </c>
      <c r="J8311">
        <f>HYPERLINK("https://www.weblio.jp/content/申し分", "词义详情")</f>
        <v/>
      </c>
      <c r="K8311">
        <f>HYPERLINK("https://yourei.jp/申し分", "查看例句")</f>
        <v/>
      </c>
    </row>
    <row r="8312">
      <c r="A8312" t="inlineStr">
        <is>
          <t>猛暑</t>
        </is>
      </c>
      <c r="B8312" t="inlineStr">
        <is>
          <t>成功</t>
        </is>
      </c>
      <c r="C8312" t="inlineStr">
        <is>
          <t>読み方：もうしょ
激しい暑さ。酷暑。</t>
        </is>
      </c>
      <c r="D8312" t="inlineStr">
        <is>
          <t>猛暑続き</t>
        </is>
      </c>
      <c r="E8312" t="inlineStr">
        <is>
          <t>炎天下；酷暑；炎暑；うだるような暑さ；大暑</t>
        </is>
      </c>
      <c r="H8312" t="n">
        <v>29</v>
      </c>
      <c r="I8312" t="inlineStr">
        <is>
          <t>アメリカ軍の戦力は不足しており、折からの猛暑で兵士も消耗していた。；意外なことに春の時点では、気象庁もこの猛暑を予測していなかった。；その一方で猛暑の影響で渇水が起き水不足が深刻な問題になっていた。；土用のような猛暑だが、この夕凪の一ときで、あとは晩の涼風になろう。；またこの年の夏はローマにおいて例を見ないほどの猛暑であった。；観客席にたちこめるのは猛暑とその年度の優勝杯の行方にかける期待だ。；今年の夏は猛暑ということもあって、私はずっと家で映画ばかり観て過ごした。；開催した際に35度を超える猛暑の中、路面が荒れて滑りやすくなった。；服装は何を考えているのか、この猛暑の中で真っ黒な修道服だった。；三階から一階まで降りたエリは、猛暑の屋外に出て、大きくのびをした。；だが、その猛暑はそれすらも、はねのけるほどの熱量をもたらしていた。；この病気は夏の最高の暑さのとき7月および8月とくに猛暑のときに起きた。；猛暑の中、自転車をこいできて更に家の前で立ち回りを要求される。；七月十四日のこの暑さは、実際その年始まって以来の突然の猛暑だった。；そのため、猛暑が収束してもすぐには冷めないので、尾を引きやすい。；この年の猛暑にとって、この試合はまったくお似合いのものであった。；各地で記録が残る1961年以降で一番の猛暑になっている。；今年の猛暑は私が原因と見て間違いないでしょう。；六月でこうなのだから、今年の夏本番はどれほど猛暑になるのか心配になってくる。；開催時期については猛暑を避けて春季に開催する案も出ていた。；そのうちXP1はナミビアでの猛暑環境のテスト中に事故で大破している。；記録的な猛暑といわれたあの夏の間、三カ月もギプスをしていたのでおぼえています。；舞台は記録的な猛暑に襲われているだけの街。；そのため、日本付近が猛暑となりやすいと考えられている。；猛暑の前にチビケンにテレビとエアコンを直してもらって本当に助かった。；折からの猛暑の影響もあり、兵士の体力は限界まで低下した。；しかし、猛暑の原因となり得るものはこれだけではない。；猛暑の際などに大量に繁茂して問題になることがある。；海に面している町のため乾季でも猛暑にはなりにくい。</t>
        </is>
      </c>
      <c r="J8312">
        <f>HYPERLINK("https://www.weblio.jp/content/猛暑", "词义详情")</f>
        <v/>
      </c>
      <c r="K8312">
        <f>HYPERLINK("https://yourei.jp/猛暑", "查看例句")</f>
        <v/>
      </c>
    </row>
    <row r="8313">
      <c r="A8313" t="inlineStr">
        <is>
          <t>申し訳</t>
        </is>
      </c>
      <c r="B8313" t="inlineStr">
        <is>
          <t>成功</t>
        </is>
      </c>
      <c r="C8313" t="inlineStr">
        <is>
          <t>読み方：もうしわけ
１申し開き。言いわけ。弁解。「—が立つ」「—がない」「出席できず—ありません」
２なんとか形だけつけること。体裁だけであること。「—に並べただけのもの」「—程度の謝礼」</t>
        </is>
      </c>
      <c r="D8313" t="inlineStr">
        <is>
          <t>申し訳ありません(30%)；申し訳程度(13%)；申し訳ございませ(10%)；申し訳なかった(4%)；申し訳ねえ</t>
        </is>
      </c>
      <c r="E8313" t="inlineStr">
        <is>
          <t>説明；解釈；解説；講義；謝罪</t>
        </is>
      </c>
      <c r="F8313" t="inlineStr">
        <is>
          <t>大変申し訳；遅れて申し訳</t>
        </is>
      </c>
      <c r="G8313" t="inlineStr">
        <is>
          <t>申し訳な；申し訳なく；申し訳なし；申し訳なき；申し訳なか</t>
        </is>
      </c>
      <c r="H8313" t="n">
        <v>29</v>
      </c>
      <c r="I8313" t="inlineStr">
        <is>
          <t>ホームには申し訳程度の屋根があり、その下にいれば雨に濡れなかった。；あんな形で彼女を接近させてしまって、本当に申し訳ありませんでした。；入社してすぐに辞めてしまった会社には申し訳なかったとも語っている。；それはきっと私にお金を使わせるのを申し訳 ないと思っているのだろう。；そのためかマルナカ本体の書籍コーナーは申し訳程度しか置いていない。；体を起こして見ると、池の縁にはほんの申し訳程度の雪が残っていた。；申し訳程度の狭苦しい通路の両側に三人掛けの座席が十列並んでいる。；「申し訳ありません、上にいなくて」男は帽子に手をやりながら答えた。；例えば表通りと裏通りの隙間に作られた申し訳程度の小さな小さな公園。；こんな家の中の不幸のことなどお聞かせして申し訳ございません。；こんな部屋で申し訳ありませんね、応接室をおさえてあったんですがね。；第一、僕が申し訳をしたところで、あなたは僕の言うことを信じますまい。；申し訳程度にホースで水を掛けてはいるが、ほとんど役に立っていない。；もっとも、なによりも四ヶ月も待たせてしまって申し訳ありませんでした。；ここまでの道すがら、私にあわせて歩いてくださって申し訳ありません。；「申し訳ありません」 ファナの表情にはなんの感情も浮かんでいない。；部屋は毎日申し訳程度にしか掃除されていないみたいでやたら埃っぽい。；大事なときに仆れて申し訳がない、とそればかり苦にしていたそうですよ。；申し訳ありませんが、仕事が控えていますので私はこれで失礼いたします。；申し訳ございません、わたしの失態のせいであんなことになってしまって!；飯はいつも麦飯、それでも申し訳程度に米が一割も入っていたかどうか。；ほとんど裸で、腰に派手な模様の布が申し訳に巻きつけられてあるばかりだ。；ほんとうにみなさまに飛んだご迷惑をかけてお申し訳けもございません。；こんな時間に急かして申し訳ありませんが、どうかお願いできませんか。；申し訳ばかり口をつけたグラタンを中に挟んで二人はお互いの目を見つめ合った。；疲れているところを申し訳なかったが、もう一つだけ尋ねずにはいられなかった。；最後のご命令を、完遂することができなくなりました、申し訳ありません。；窓枠の外には申し訳程度の鉄筋製の手すりのようなものがついている。；酒の上のことであったから、申し訳はなんとでもつく筈である。</t>
        </is>
      </c>
      <c r="J8313">
        <f>HYPERLINK("https://www.weblio.jp/content/申し訳", "词义详情")</f>
        <v/>
      </c>
      <c r="K8313">
        <f>HYPERLINK("https://yourei.jp/申し訳", "查看例句")</f>
        <v/>
      </c>
    </row>
    <row r="8314">
      <c r="A8314" t="inlineStr">
        <is>
          <t>申し訳ない</t>
        </is>
      </c>
      <c r="B8314" t="inlineStr">
        <is>
          <t>成功</t>
        </is>
      </c>
      <c r="C8314" t="inlineStr">
        <is>
          <t>読み方：もうしわけない
［形］
１言い訳のしようがない。弁解の余地がない。相手にわびるときに言う語。「世間に対し—・い気持ちで一杯だ」「不始末をしでかして—・い」
２相手に無理な依頼ごとをして、すまないという気持ちを表す語。「—・いが、あしたにしてもらいたい」
[派生]もうしわけながる［動ラ五］もうしわけなげ［形動］もうしわけなさ［名］
[補説] 「申し訳」に「ない」の付いた複合形容詞で一語とするが、「申し訳」は名詞としても使われ、「申し訳がない」「申し訳が立たない」という言い方もある。従って丁寧にしようとして「申し訳ありません」「申し訳ございません」と言うことは、一概に誤りとは言えない。</t>
        </is>
      </c>
      <c r="D8314" t="inlineStr">
        <is>
          <t>申し訳ないこと(7%)；申し訳ない気持ち(5%)；申し訳ないです(3%)；申し訳ないんです(2%)；申し訳ない気分</t>
        </is>
      </c>
      <c r="E8314" t="inlineStr">
        <is>
          <t>残念；気の毒；とんでもない；恥ずかしい；すまない</t>
        </is>
      </c>
      <c r="F8314" t="inlineStr">
        <is>
          <t>大変申し訳ない；まことに申し訳ない；たら申し訳ない；誠に申し訳ない；申し訳ないという気持ち</t>
        </is>
      </c>
      <c r="H8314" t="n">
        <v>29</v>
      </c>
      <c r="I8314" t="inlineStr">
        <is>
          <t>他の女の子とそんなことをしては彼女に申し訳ないということですよね?；あなたが未完成の映画を見てそれに恋に落ちたのならば申し訳なく思う。；しかし夫だった彼には、本当に申し訳ないことをしたと反省しています。；俺は自分が嘘をついていることに関して、申し訳ない気分になっていた。；ほんとに申し訳ないんですが、まず最初は父の所へ行かねばなりません。；どうも、オレの家の事情を聞いたことで申し訳なく思っているみたいだ。；真はなぜか申し訳ない気持ちになって愛想笑いを浮かべて、廊下に出た。；たいへん申し訳ないんだけど、あと十五分くらい待っててもらえるかな?；やっぱり俺に毎日こうやって来てもらってるのが申し訳ないのかもしれない。；いくら技師だからと言っても、僕一人で選択するのは申し訳ない気がした。；食べ物を粗末にして、お百姓さんに申し訳ないと思わないのでしょうか。；黙っていたことを申し訳なく思いながらも、護堂は一部訂正を要求した。；おまえが申し訳なく思わなきやいけないことなんて、なにひとつないんだ。；そのうちに事故で死んだと知って、申し訳ないことをしたと悔やんでいた。；旅費も滞在費も出していない丸抱えの旅行なのに、申し訳ない気がする。；自殺と見られ遺書に「ご迷惑をお掛けして申し訳ない」と書かれていた。；だから申し訳ないんだけど、お父さんと一緒に表に食べに行ってくれる?；生まれて初めてのお手紙がこのような形になってしまい申し訳なく思っています。；ええ、久高さんやご家族に申し訳ないという気持ちからではありません。；彼女にも二人の間に生まれたたった一人の子供にもとても申し訳ないと思っている。；仕事柄なかなか町会活動に協力できなくて申し訳なく思っております。；自分の鏡像ってのがおまえかと思うと昔の自分に申し訳なくなってくるな。；なんて言うか、話しかけたのが申し訳なくなってくるぐらいの真剣な瞳。；適切な医療行為に対して申し訳ないのだが、やっぱり何か変な汗が出る。；申し訳ない話だけど、手紙が届くまですっかり父のことは忘れていた。；別れてからそう気づいて、彼に申し訳ない気持ちになり、少しだけ泣いた。；突然で申し訳ないのですが、女のアパートを見張ってはくれませんか?；取りに行ってくれそうな勢いだったが、そこまでやってもらっては申し訳ない。；順位表で上にいくお手伝いができなかったことを申し訳なく思っています。</t>
        </is>
      </c>
      <c r="J8314">
        <f>HYPERLINK("https://www.weblio.jp/content/申し訳ない", "词义详情")</f>
        <v/>
      </c>
      <c r="K8314">
        <f>HYPERLINK("https://yourei.jp/申し訳ない", "查看例句")</f>
        <v/>
      </c>
    </row>
    <row r="8315">
      <c r="A8315" t="inlineStr">
        <is>
          <t>申す</t>
        </is>
      </c>
      <c r="B8315" t="inlineStr">
        <is>
          <t>成功</t>
        </is>
      </c>
      <c r="C8315" t="inlineStr">
        <is>
          <t>読み方：まおす
［動サ四］「もうす」の古形。
「たらちねの母に—・して時も過ぎ月も経ぬれば」〈万・三六八八〉
「天飛ぶや鳥にもがもや都まで送り—・して飛び帰るもの」〈万・八七六〉</t>
        </is>
      </c>
      <c r="D8315" t="inlineStr">
        <is>
          <t>申すまでもなく(4%)；申すべき(3%)；申すべく；申すべし；申すものです</t>
        </is>
      </c>
      <c r="E8315" t="inlineStr">
        <is>
          <t>いう；言う；云う；発言；話す</t>
        </is>
      </c>
      <c r="F8315" t="inlineStr">
        <is>
          <t>お願い申す；こう申す；申す迄もなく；頼み申す；お話し申す</t>
        </is>
      </c>
      <c r="H8315" t="n">
        <v>29</v>
      </c>
      <c r="I8315" t="inlineStr">
        <is>
          <t>なぜそのことについて最初に申し開きしなければならないのでしょうか?；あのようなめずらしい貴重な生物をば、ただでくださいとは申しません。；大王は非常に感動され、すぐにその女の処に歩いて行って申されました。；内田があなたをお上げ申したのが不思議なほどだとわたし思いますの。；と申しますのもまるで事故に遭ったみたいなひどい傷があったのです。；彼の仕事と申せば、室内を歩きまわることと何かの本を読むことでした。；あれでは御飯が柔くなりませんから御老人の口に合うとは申されません。；とだけ申して、と一分一厘おなじことを、おなじ調子でいうんですもの。；名前は須藤と申していましたが、それさえ本当の名かどうか分りません。；おあずけ申して置いた箱を受取って、今夜はこのまま帰るとしましょう。；なぜそんなに用心をするかと申せば、ごく危険な地方だからであります。；その夜の私の姿はどんなに美しいことだつたか、とても今は申されません。；実を申しますと、こんな場合、決して作品が立派になってはいないのです。；あなたの御危い所を御救い申した人の家とでも思っていて下さいまし。；なぜかと申せば、マドレーヌはあなたのものになるはずだったからです。；とは申せ何も現在あなたを残酷だと非難しているわけでございません。；その私の気持が分らぬと、申される婦人方がおられるのでございます。；こんな処にあの児と二人おいで遊ばしては、世間で何と申しましょう。；それが一人見たのではありませぬ、残っていた人にみな見えたと申すのです。；しかし、あれは、じつを申しますと、ぼくの計略にすぎなかったのです。；木米は申すまでもなく、その絵画が十万金などいう相場をしております。；して見ると、まさか電車の車掌がその度に寝惚けたとも申されますまい。；昔の戦争は三十年戦争などと申しましても中間に長い休みがあります。；王 一寸も礼も申されいで笑うて居る人は十人に一人とはござらぬわ。；よって、「今度はたしかに男なり」と申したれば、一家大喜びであった。；しかし、大佐は彼女とは二、三日前に会ったばかりだと申されました。；強いて申せば、その眼が真珠のような光だったと云うほかにございません。；なぜ持久戦争になったかと申しますと、第一に兵器が非常に進歩しました。；この文字を書いておけば、途中にて雷が頭上に落ちくることがないと申している。</t>
        </is>
      </c>
      <c r="J8315">
        <f>HYPERLINK("https://www.weblio.jp/content/申す", "词义详情")</f>
        <v/>
      </c>
      <c r="K8315">
        <f>HYPERLINK("https://yourei.jp/申す", "查看例句")</f>
        <v/>
      </c>
    </row>
    <row r="8316">
      <c r="A8316" t="inlineStr">
        <is>
          <t>もうすぐ</t>
        </is>
      </c>
      <c r="B8316" t="inlineStr">
        <is>
          <t>成功</t>
        </is>
      </c>
      <c r="D8316" t="inlineStr">
        <is>
          <t>もうすぐ死ぬ；もうすぐです；もうすぐ終わる；もうすぐ来る；もうすぐ終わり</t>
        </is>
      </c>
      <c r="E8316" t="inlineStr">
        <is>
          <t>もう；近く；やがて；いずれ；間もなく</t>
        </is>
      </c>
      <c r="F8316" t="inlineStr">
        <is>
          <t>もうすぐ始まる；もうすぐお別れ；もうすぐ会える；もうすぐ終る；もうすぐ十時</t>
        </is>
      </c>
      <c r="G8316" t="inlineStr">
        <is>
          <t>もうすぐクリスマス</t>
        </is>
      </c>
      <c r="H8316" t="n">
        <v>29</v>
      </c>
      <c r="I8316" t="inlineStr">
        <is>
          <t>もうすぐ私はあの老紳士の前に生徒のように立たなければならなかった。；だって自分が抱いていた卵をもうすぐ取り上げられてしまうのだから。；それより欠陥品が出ないようにしないと、もうすぐ台湾にやられますよ。；ぼくたちはもうすぐ恐ろしい失望に直面しようとしているのかもしれん。；これからどうなるにしても、一応もうすぐ目的地には着くことができる。；もうすぐやって来る人間達を迎えるために、じっとしていられなかった。；俺はもうすぐ姫が来るからって事で 衣装ダンスの中に閉じ込められた。；想像だも及ばぬ未知の世界がもうすぐに私たちの眼前に展開されるのだ。；あなたはそのまま寝込んでしまって、もうすぐ二日がたとうとしている。；もうすぐ印刷屋から原稿を取りに来るから、雑誌に使ふことは使ふがね。；もうすぐ死ぬに違いないと覚悟していたから希望はとうに失せていた。；長年の経験で、もうすぐ金が出て来る時間なのを知ったのだった。；そして、もうすぐ明るい通りに出るというところで、歌が終わりかけた。；その空白に、もうすぐ立つことになる男への態勢を整える必要があった。；どうやら彼は、私がもうすぐ出て行くことに喜びを感じていたらしい様子でした。；そしてマリ子は結婚もしてないのにおれのためにもうすぐ後家になるんだよ。；もうすぐ三十になるんだよとでも言って、自虐的に笑ってみようか。；もうすぐやるんだろう、お前が震えてるから俺にはわかっている。；むしろ、もうすぐ死ぬ男のまえで当人の行状を述べているかのようだった。；二人とも、もうすぐ選択をしなければならなくなると、知っていた。；やがてお互いに口数が少なくなり、もうすぐおしまいの時間だとわかる。；もうすぐメキシコ湾流の端にぶつかるにちがいない、かれはそう思った。；「もうすぐにでもここを立ち去らないと」とロビントンが沈黙を破った。；木垣もまた盃をおいてもうすぐ満二歳になる自分の子供を思い出した。；一九三二年生まれなら、もうすぐ六十歳になろうという歳ではないか。；そして神は今はもうすぐ目の前に近々と寄って立っておられた。；もうすぐ八歳になろうとするのに、ようやく六歳ぐらいにしか見えなかった。；家へはいるともうすぐに何人もの同じほどの子供たちがそばへまつわりに来た。；あたし、もうすぐあなたたちとお別れしなければならないのです。</t>
        </is>
      </c>
      <c r="J8316">
        <f>HYPERLINK("https://www.weblio.jp/content/もうすぐ", "词义详情")</f>
        <v/>
      </c>
      <c r="K8316">
        <f>HYPERLINK("https://yourei.jp/もうすぐ", "查看例句")</f>
        <v/>
      </c>
    </row>
    <row r="8317">
      <c r="A8317" t="inlineStr">
        <is>
          <t>もう少し</t>
        </is>
      </c>
      <c r="B8317" t="inlineStr">
        <is>
          <t>成功</t>
        </is>
      </c>
      <c r="C8317" t="inlineStr">
        <is>
          <t>読み方：もうすこし
［副］もうちょっと。いま少し。もすこし。「—顔を上げてくれ」「—で完成する」</t>
        </is>
      </c>
      <c r="D8317" t="inlineStr">
        <is>
          <t>もう少し早く；もう少し詳しく；もう少し長く；もう少し大きく；もう少しくわしく</t>
        </is>
      </c>
      <c r="E8317" t="inlineStr">
        <is>
          <t>ほんの少し；惜しい；もうちょっと；ほんのちょっと；あと一歩</t>
        </is>
      </c>
      <c r="F8317" t="inlineStr">
        <is>
          <t>もう少し待て；もう少し何とか；もう少し待つ；もう少し遅けれ；もう少し若けれ</t>
        </is>
      </c>
      <c r="H8317" t="n">
        <v>29</v>
      </c>
      <c r="I8317" t="inlineStr">
        <is>
          <t>それまでにもう少し何か考へて見ねばならぬことがあつたのではないか。；もう少し経験を積ませてからの方がよい成績を収められたと語っている。；貴君の本当の妻になるのには、もう少し心の準備が欲しいと思いますの。；貴君の本当の妻になるのには、もう少し心の準備が欲しいと思ひますの。；口が悪いため客をもう少し大事に扱うよう、サキに言われたこともある。；わたしも何とか都合して、そのうちにもう少し納めたいと思つてゐます。；その頃にはもう少しは若い人たちの権威の時代であるかもしれない。；木立には遮られてはいるが先ほどの処よりはもう少し高い眺望があった。；もう少しもう少しと上るうちに、南の方にもまた一つ白い峰が顔を出す。；お父さんが帰つて来るまでに、もう少し話の筋道をつけておきたいんだ。；もう少しの御辛抱ですと云いながら案内者は足を早めて登って行きます。；もう少し早く来院していたら手の施しようがあったと医師から告げれる。；ちなみに「編」を用いることになったのはもう少し後の時代とされている。；もう少し前のように、誰も彼を大事にするものはありませんでした。；別府の駅に戻るのかと思っていたら、もう少し奥まで行くのだという。；ぱっと眼の前が燃えてもう少しでお辞儀をするのを忘れるところだった。；彼は再び鍛冶屋になって働く気をもう少しも持っていませんでした。；群の圏にいくつかの制限を設けてもう少し小さいものを考えることができる。；玄関の障子を少し開けて見て居たお梅はもう少し開けて顔だけを出す。；あともう少し遅かったら大変なことになっていたと医者に言われた。；二度目の反乱では、ハイメ1世はもう少しで戦闘で死ぬところであった。；もう少し協力すれば、彼らがアルバムをもっと宣伝してくれると思いました。；しかし、一般的には観光目的等も含めもう少し広義に解釈することが多い。；折角出かけて来たもんだから、もう少し我慢してみようじゃあないか。；今後は人間の価値標準などももう少し実質的に見なければいけない。；もっとも、もう少し度がひどくなると、そうでもなくなるかも知れない。；そしてその最初の日に、もう少しで身体検査ではねられるところだった。；このページを閉じる前に、もう少しだけご検討いただけないでしょうか。；実数体上の空間を考える場合には、もう少し詳しく述べることができる。</t>
        </is>
      </c>
      <c r="J8317">
        <f>HYPERLINK("https://www.weblio.jp/content/もう少し", "词义详情")</f>
        <v/>
      </c>
      <c r="K8317">
        <f>HYPERLINK("https://yourei.jp/もう少し", "查看例句")</f>
        <v/>
      </c>
    </row>
    <row r="8318">
      <c r="A8318" t="inlineStr">
        <is>
          <t>妄想</t>
        </is>
      </c>
      <c r="B8318" t="inlineStr">
        <is>
          <t>成功</t>
        </is>
      </c>
      <c r="C8318" t="inlineStr">
        <is>
          <t>読み方：ぼうそう
［名］(スル)「もうそう（妄想）」に同じ。
「昨日の—を憶出(おもいだ)して」〈二葉亭訳・片恋〉</t>
        </is>
      </c>
      <c r="D8318" t="inlineStr">
        <is>
          <t>妄想的；妄想型；妄想狂；妄想じみ；妄想体系</t>
        </is>
      </c>
      <c r="E8318" t="inlineStr">
        <is>
          <t>理想；幻；空想；幻想；幻覚</t>
        </is>
      </c>
      <c r="F8318" t="inlineStr">
        <is>
          <t>幻覚妄想；単なる妄想；性的妄想；こんな妄想；くだらない妄想</t>
        </is>
      </c>
      <c r="G8318" t="inlineStr">
        <is>
          <t>妄想症；妄想性障害；妄想性；妄想力；妄想代理人</t>
        </is>
      </c>
      <c r="H8318" t="n">
        <v>29</v>
      </c>
      <c r="I8318" t="inlineStr">
        <is>
          <t>そのため妄想であると考えた人は彼女にカウンセリングに行くよう勧めた。；例えば「妄想」などの症状は、その区別が不可能になる極端な例である。；名前のみもしくはキャラクターの妄想シーンのみ登場のキャラクター。；読者視聴者の妄想像に応えるために笑顔を見せる仕事となることも多い。；しかし、それは現実か妄想かわからぬうちに、仲間がきて解放される。；物語らしい物語はほとんどなく、妄想の描写が作品の主幹を成している。；圧迫から逃れて恋に生きる場面が、自分を中心にいく度か妄想される。；それとも太宰自身が自分の妄想を自分で真実と思ひ込んでゐるかも知れない。；明智は実に驚くべき妄想を描いているらしいことが分って来たからだ。；これが妄想なのか、夢なのか、希望なのか説明はされずに物語は終了を迎える。；ルクレチウスを読みながら私はしばしばこのような妄想に襲われるのである。；妄想の内容は極めて多様だが、被害のようないくつかのテーマが特定されている。；これらは漠然とした妄想的観念を持つが確固とした妄想症状は現れない。；ただし、を提唱したは、この認識を妄想に根差していると批判している。；映画のタイトルだけ聞いて、それがどんなストーリーなのか妄想するコーナー。；それが配偶者の不貞に限定されているときには、夫婦妄想と呼ばれる。；記憶喪失の憂き目にあった者を苛む特徴的な妄想があったのだろうか?；現実世界はモノクロで描かれ、主人公の妄想の部分がカラーで描かれる。；彼女のこの妄想を除くには、まずその原因を知らねばならない。；アンネリーゼの症状は妄想を起こす精神状態だと考えられていた。；初めて科学に献身した時、誰か一時はこの妄想を抱かなかったものがあろう。；キミが妄想・神経質だと知っていたが、そんな勇気があるとは知らなかった。；何故、こんなとほうもない妄想が、俺の頭の中へ浮んで来たのだろう。；太宰の作品は創生記に限らず全部幻想的といふよりは妄想的に出来てゐる。；だが、それが私の馬鹿馬鹿しい妄想であったことは云うまでもない。；出演者が各自好きな設定の架空作品の登場人物を妄想したものを発表。；いったい、どうして彼女はそうした頑固な妄想を得たのであろうか。；先生達が人間世界を悪く汚く解釈妄想しすぎているので、私は驚いたものであった。；頭の中にはいろんな妄想が、以前と同じように去来するのだった。</t>
        </is>
      </c>
      <c r="J8318">
        <f>HYPERLINK("https://www.weblio.jp/content/妄想", "词义详情")</f>
        <v/>
      </c>
      <c r="K8318">
        <f>HYPERLINK("https://yourei.jp/妄想", "查看例句")</f>
        <v/>
      </c>
    </row>
    <row r="8319">
      <c r="A8319" t="inlineStr">
        <is>
          <t>盲点</t>
        </is>
      </c>
      <c r="B8319" t="inlineStr">
        <is>
          <t>成功</t>
        </is>
      </c>
      <c r="C8319" t="inlineStr">
        <is>
          <t>読み方：もうてん
１網膜の、視神経が入ってくる部分。視細胞を欠くため光が当たっても光覚を起こさないが、ふだんは意識されない。発見したフランスの物理学者の名からマリオット盲点とよばれる。盲斑。視神経乳頭。
２うっかりして人が気づかず見落としている点。「捜査の—を突く」</t>
        </is>
      </c>
      <c r="D8319" t="inlineStr">
        <is>
          <t>盲点をつい(6%)；盲点をつかれ；盲点空間；盲点原理</t>
        </is>
      </c>
      <c r="E8319" t="inlineStr">
        <is>
          <t>穴；隙；欠点；油断；弱点</t>
        </is>
      </c>
      <c r="F8319" t="inlineStr">
        <is>
          <t>意外な盲点；大きな盲点；ちょっとした盲点</t>
        </is>
      </c>
      <c r="H8319" t="n">
        <v>29</v>
      </c>
      <c r="I8319" t="inlineStr">
        <is>
          <t>郵便配達夫の職業が盲点になって、すぐ前にいてもわからないのである。；郵便配達夫の職業が盲点となって、すぐ前にいてもわからないのである。；ソフトの時代だというのに、まだまだ盲点になっている分野が多いのだ。；その研究が、従来の学問体系の盲点をつけばつくほど、敵視されるのだ。；それは目の前におかれていながら心理の盲点に入っていて見えないのである。；子供の夢ばかり追いまわしていた私たちの盲点を彼らは完全についたようだ。；僕の友達の明智君に云わせると、これはつまり心理上の盲点なんですね。；まさか犯人が九歳の少年とは思わなかったところに、捜査の盲点があった。；そこで、どんな小さな盲点でも、見落さないように注意しているのです。；あまり堂々とやっていたので、その筋の盲点にはいったわけでしょう。；常軌を逸した犯人の着想は、あなた方の盲点にはいる場合があるのです。；入ってすぐ左手のひっこんだ席で盲点になっていて人目につきにくい。；例えばヒトも含めた脊椎動物の眼は盲点を持つが、タコの眼は持たない。；凶器だとばかり思っていたので、これこそ盲点に入っていたかもしれません。；それとも女だから、それがかえって盲点となり注意を逸らせるのだろうか。；むしろ俺達の陥ってた盲点は、実はそんなところにあったんだな。；四角な窓も面白いが、ドアにはもっと簡単な盲点がありますよというのだ。；盲点とは、まず瀬戸口の指摘するように人類側が雑居状態であったことだ。；この選択は当たり前のようでいて、意外な盲点のような気がします。；僕等の様な仕事をしているものには殊に、盲点の作用ほど恐ろしいものはない。；しかし人類にも盲点があることは、余り人は知らないようである。；その盲点のところで自身でさえ意識していないとおもえる偏奇をみせている。；その盲点の中で、房子は彼の知らない生活の一面をもっていたかもしれないのだ。；入手方法の大半はプログラムの盲点を利用したものである。；ただ小林秀雄にも気づかない盲点があるとすればひとつであった。；空気が存在しながら見えないように、存在自体が視野の盲点に入っている。；王にとっては小さなフェアリイの動きなどはまったくの盲点であった。；ここに大量殺戮に有効な物質が眠っていたとは、まさに歴史の盲点だったろう。；目がさめると、また船を目標に合わせ、れいの盲点空間へとつっこんだ。</t>
        </is>
      </c>
      <c r="J8319">
        <f>HYPERLINK("https://www.weblio.jp/content/盲点", "词义详情")</f>
        <v/>
      </c>
      <c r="K8319">
        <f>HYPERLINK("https://yourei.jp/盲点", "查看例句")</f>
        <v/>
      </c>
    </row>
    <row r="8320">
      <c r="A8320" t="inlineStr">
        <is>
          <t>毛布</t>
        </is>
      </c>
      <c r="B8320" t="inlineStr">
        <is>
          <t>成功</t>
        </is>
      </c>
      <c r="C8320" t="inlineStr">
        <is>
          <t>読み方：もうふ
寝具などに用いる、厚地で縮絨(しゅくじゅう)・起毛を施した毛織物。混紡糸・化学繊維などを用いたものもある。ブランケット。ケット。《季冬》「いと古りし—なれども手離さず／たかし」</t>
        </is>
      </c>
      <c r="D8320" t="inlineStr">
        <is>
          <t>毛布を頭から；毛布をはねのけ；毛布をそっと；毛布をはい；毛布を跳ねのけ</t>
        </is>
      </c>
      <c r="E8320" t="inlineStr">
        <is>
          <t>ブランケット；ケット</t>
        </is>
      </c>
      <c r="F8320" t="inlineStr">
        <is>
          <t>赤い毛布；白い毛布；古毛布；薄い毛布；厚い毛布</t>
        </is>
      </c>
      <c r="H8320" t="n">
        <v>29</v>
      </c>
      <c r="I8320" t="inlineStr">
        <is>
          <t>室の向うの隅に毛布があるのを思い出して席を立ってそれを取りに行った。；さっきの男のほかに、もうふたりの襲撃者が近くで床の上にのびている。；その手は毛布を握りしめながら、そこに物を書くような格好をしていた。；玉座は決して地面に直接触れてはならず、かわりに毛布の上に置かれる。；そこに海軍毛布を被って寝ていると思ったお千の姿が見えないのであった。；青年は首だけを毛布から出して最早完全に動くことが出来なくなった。；ところが不思議にもこの赤毛布がまた自分と同じような返事をする。；色のさめた赤毛布を腰のまわりにまいた、鼻の赤いおじいさんもあった。；赤毛布はところどころ摺り切れていて、端の方は黒い地面に接していた。；ちょうど坂道の下から、もうふたり、新たな人物が歩いてきたのである。；わたしは救助員たちが水をくぐって出て行ったあとで、毛布に包まれた。；何んや阿呆らしいと思ったが、しかし毛布を取り戻す勇気は出なかった。；蘭堂は倒れた夫人はそのままに、いきなりベッドの毛布をまくって見た。；門に出でし時、いま一人の警官後より出でて、毛布もてその肌蔽いたり。；わたしはもう一枚の毛布をマントの下に重ねて、胸と肩に巻きつけた。；ベッドの中に入ると敷布はまるで乾燥した雪の毛布のように思われた。；クッションも寝台も毛布も何もない、裏街の一室があの女の住居なのだ。；内地から芝居が来ると、毛布をかぶって、長靴をはいて見にいったのよ。；シワくちゃになった毛布から見て、二人の赤ん坊が入っていたのだろう。；ユニセフ支援、アフリカ援助アフリカに毛布を送る運動などに尽力した。；ベッドの上に、毛布も何もかけずに、そのまま、横になっていたのである。；彼女の機台に織られた毛布の上にも 異様の形をなした赤い血痕が残された。；ヴェインマンが毛布を持ってきたので、三人はいっしょに居間に行った。；昨日の赤毛布や小僧は全くこう云う順序を踏んで進化したものに違ない。；船に乗ったこの数日のあいだ、大部分を、彼は毛布にくるまって寝ていた。；女は毛糸の襟巻をし、腰から下を毛布で包み、紙人形をこしらへてゐる。；ようやく一枚岩の上へ来て、毛布を敷いて、ともかくもその上へ坐った。；そしてゆっくりと毛布をはねのけて、寝棚から甲板の上に降り立った。；それどころか、その毛布が自分にふさわしい着物のようにさえ思われた。</t>
        </is>
      </c>
      <c r="J8320">
        <f>HYPERLINK("https://www.weblio.jp/content/毛布", "词义详情")</f>
        <v/>
      </c>
      <c r="K8320">
        <f>HYPERLINK("https://yourei.jp/毛布", "查看例句")</f>
        <v/>
      </c>
    </row>
    <row r="8321">
      <c r="A8321" t="inlineStr">
        <is>
          <t>盲目的</t>
        </is>
      </c>
      <c r="B8321" t="inlineStr">
        <is>
          <t>成功</t>
        </is>
      </c>
      <c r="C8321" t="inlineStr">
        <is>
          <t>読み方：もうもくてき
［形動］愛情や情熱・衝動などによって、理性的な判断ができないさま。「わが子への—な献身」</t>
        </is>
      </c>
      <c r="D8321" t="inlineStr">
        <is>
          <t>盲目的な怒り；盲目的な恐怖；盲目的な愛情；盲目的な意志；盲目的信仰</t>
        </is>
      </c>
      <c r="E8321" t="inlineStr">
        <is>
          <t>盲目；盲滅法</t>
        </is>
      </c>
      <c r="F8321" t="inlineStr">
        <is>
          <t>盲目的感情；盲目的意志；殆んど盲目的；盲目的な本能；盲目的な情熱</t>
        </is>
      </c>
      <c r="H8321" t="n">
        <v>29</v>
      </c>
      <c r="I8321" t="inlineStr">
        <is>
          <t>盲目的ともいうべき母性愛の発露と考えた方が真をうがっているに近い。；一人は先見の明があるので慎重であり、もう一人は盲目的に信頼していた。；性愛も母の愛も認識する心の働きとは異なれる盲目的なるものである。；誤っているのは活動そのものではなくして理想のない盲目的な活動である。；光子と別れてから後私は、全く無批判な盲目的な心境へ落ち込んでいた。；倒れはしないかと恐れながら、ふたたび彼女は、盲目的に歩きだした。；けれども、時として盲目的な愛は相手の存在的地位を無視することがある。；他人に僕の盲目的崇拝ぶりを悟られはしないかと心配になり出した。；六か月も後だったらおそらく、彼は盲目的にユーディットを愛したろう。；霊界通信についても、他の会員たちのような盲目的な信仰は持っていない。；霊界通信についても、他の会員達の様な盲目的な信仰は持っていない。；しかし彼からは何の説明もなかったので、ただ盲目的に従うほかはなかった。；私の恋を破った最大の敵は彼女の母親の盲目的にしてエゴイスチックなる愛であった。；警察官の判断は、多くの場合に盲目的にでも信用して間違いがない。；その盲目的な消極的な力は、相手も知らず理由も知らないで戦う軍隊に似ていた。；後者は、西洋にあって日本にないものを盲目的に讃美礼讃するだろう。；戦争を与えられて、それが運命だと思って盲目的に受け入れた。；いったい集団自殺を推進させた盲目的な意志とは何であろうか。；盲目的にきたと思っていたが、決してそうではなかったのだ。；折口信夫を師と仰いで、好くも悪くも折口精神の盲目的継承者でもある。；復讐の美名に隠れて情慾の盲目的な焦躁を綺麗に忘れてゐるのであつた。；彼はその中に神秘的な意味の伏在することを、盲目的に信じていた。；盲目的な点は不満なのだが私の色目には藍より出でて藍より青いような気がする。；人は実験で判断するか、あるいは盲目的に権威者のいうところを受け入れてしまうかです。；ある盲目的な本能が彼を駆って自分の運命の決定を延期させようとしていたのだ。；しかも母親は、この子を餓死においこむ医者を盲目的に信頼している。；武器を振り上げたかれの目は、盲目的な野蛮の光にギラギラ輝いていた。；たとえ相手が誰だろうと、コロシそのものが俺の心を盲目的に昂奮させたのか。；しかしてその国を愛するものも盲目的に愛するものがありはせぬかを虞る。</t>
        </is>
      </c>
      <c r="J8321">
        <f>HYPERLINK("https://www.weblio.jp/content/盲目的", "词义详情")</f>
        <v/>
      </c>
      <c r="K8321">
        <f>HYPERLINK("https://yourei.jp/盲目的", "查看例句")</f>
        <v/>
      </c>
    </row>
    <row r="8322">
      <c r="A8322" t="inlineStr">
        <is>
          <t>網羅</t>
        </is>
      </c>
      <c r="B8322" t="inlineStr">
        <is>
          <t>成功</t>
        </is>
      </c>
      <c r="C8322" t="inlineStr">
        <is>
          <t>読み方：もうら
［名］(スル)
１（魚をとる網と、鳥をとる羅(あみ)から）人を束縛するものや法律の制裁など。
「人を殺す賊、官(かみ)の—を脱し」〈新聞雑誌二〉
２残らず取り入れること。「各界の代表を—する」</t>
        </is>
      </c>
      <c r="D8322" t="inlineStr">
        <is>
          <t>網羅する(19%)；網羅的(16%)；網羅性；網羅できる；網羅しよ</t>
        </is>
      </c>
      <c r="E8322" t="inlineStr">
        <is>
          <t>含む；カバー；覆う；育てる；わたる</t>
        </is>
      </c>
      <c r="F8322" t="inlineStr">
        <is>
          <t>すべて網羅；幅広く網羅；完全網羅；網羅的かつ；分岐網羅</t>
        </is>
      </c>
      <c r="H8322" t="n">
        <v>29</v>
      </c>
      <c r="I8322" t="inlineStr">
        <is>
          <t>登場する日本人は既に掲げたものが多いので、網羅はしないことにする。；約50から60局が地球上の各地に配置され軌道の観測を網羅している。；以下のリストは全てを網羅したものでは全くないため、注意されたし。；ダライアスバーストシリーズの歴史を網羅したストーリーが展開される。；過去にリリースされたシングル9曲を全て網羅した内容となっている。；種類が非常に多岐に渡るため、網羅的に挙げようとすることは行わない。；北から南まで中国全土を網羅した総合的な農業技術書を初めて編纂した。；出典がない場合があるので、全ての国・地域を網羅しているわけではない。；全ての対象を網羅しているわけではなく、区分も便宜的なものである。；すべての分野を網羅しているが、特に文化や宗教に力を入れている。；命令網羅基準を用いてテストを行う場合は、すべての命令を実行すればよい。；なお、ここでは過去の車両も含むが、すべてを網羅するものではない。；以下の一覧はそうした第17王朝の王を完全に網羅したものではない。；これは、評論活動関係者を網羅的に参加させようとするものであった。；しかし、田のない地域を含めた全国を方格線で網羅していたわけではない。；ただし、戯作者は頻繁に変わるので全てを網羅できていない可能性がある。；テレビ放送ではが国内を網羅し、こちらもベンガル語と英語が使われる。；そうした意味で、産業連関表は経済全体像を網羅しているものでもある。；但し、運用規則の全てを網羅しているわけではないので注意する必要がある。；最新の網羅的な解析方法を用いて生命現象を包括的に理解する領域である。；当事件の犯行に関連する説には以下などがあるが、説のすべての網羅ではない。；掲載されるモデルのタイプは、中年で太目を基本に幅広く網羅している。；ECODは、3つの後継システムの中で最も広くPDBを網羅している。；この一覧はすべての行政区分や地域を網羅しているわけではない。；すべてを網羅していないが、他の番組の使用例を以下にあげる。；下記に作品一覧を示すが、全てが網羅されているわけではない。；ただしこれも、両日のライブを完全に網羅した内容のものではない。；全てを網羅しているけど、その全てを中間で合わせることに成功しているんだ。；この作品は中つ国に関するトールキンの著作のほとんどを網羅している。</t>
        </is>
      </c>
      <c r="J8322">
        <f>HYPERLINK("https://www.weblio.jp/content/網羅", "词义详情")</f>
        <v/>
      </c>
      <c r="K8322">
        <f>HYPERLINK("https://yourei.jp/網羅", "查看例句")</f>
        <v/>
      </c>
    </row>
    <row r="8323">
      <c r="A8323" t="inlineStr">
        <is>
          <t>猛烈</t>
        </is>
      </c>
      <c r="B8323" t="inlineStr">
        <is>
          <t>成功</t>
        </is>
      </c>
      <c r="C8323" t="inlineStr">
        <is>
          <t>読み方：もうれつ
［形動］［文］［ナリ］勢いが強くはげしいさま。程度がはなはだしいさま。「—な寒波」「—に勉強する」
[派生]もうれつさ［名］</t>
        </is>
      </c>
      <c r="D8323" t="inlineStr">
        <is>
          <t>猛烈な勢い(9%)；猛烈なスピード(2%)；猛烈な反対；猛烈な速度；猛烈な風</t>
        </is>
      </c>
      <c r="E8323" t="inlineStr">
        <is>
          <t>強い；大きい；大変；激しい；恐ろしい</t>
        </is>
      </c>
      <c r="F8323" t="inlineStr">
        <is>
          <t>猛烈な追い上げ；猛烈な抵抗；猛烈な速さ；猛烈な批判；猛烈な怒り</t>
        </is>
      </c>
      <c r="G8323" t="inlineStr">
        <is>
          <t>猛烈な台風</t>
        </is>
      </c>
      <c r="H8323" t="n">
        <v>29</v>
      </c>
      <c r="I8323" t="inlineStr">
        <is>
          <t>ボヘミア人たちはこれに猛烈に抗議したが、それ以上のことはなかった。；しかし翌日さらに大規模に編成されたロシア軍が猛烈に攻撃してきた。；このケースでは、マスメディアの側が猛烈に反発し全面公開を要求した。；一方で、その当時は年に4回ほど尻の猛烈な痒みに苦しめられてもいた。；突然の猛烈な暴風雨が始まった後、家族間の感情的な場面が生まれた。；疲れていたり、昼間に猛烈なストレスを体験した場合に多くみられる。；だが共和党議員および南部民主党議員が猛烈に反対し、失敗に終わった。；真っ暗だったが、危険は全くなく、ただ猛烈に腹が空いて仕方なかった。；一体日本の教育は子供の時から猛烈な戦闘意識を養う事になっている。；どこの監獄の囚人の間にも、この種の色情はずいぶん猛烈なものらしい。；英語の会話なんかとてもうまくなっていて、もうれつに勉強します。；目の外側は、猛烈な上昇気流によって作られた積乱雲の壁になっている。；猛烈な攻めの棋風の若き日の塚田泰明九段が得意にしていた形でもあった。；風は強くて、わっしたちの船は猛烈な早さで水をきって進んでいたんです。；突風の一種で、規模が小さく寿命が短い割に、猛烈な風を伴うのが特徴。；しかしその先進的な画風は当時の画壇の守旧派から猛烈な批判を浴びた。；ある日、猛烈なハリケーンが島を直撃し、施設は壊滅的な被害を受けた。；その後、その親不孝な行動を挽回するため、猛烈に勉強するようになる。；しかし直線で進路を確保してから猛烈な勢いで加速し、ほぼ同時にゴール。；年かさも大きいし猛烈なところがあつて、村の学校の子供等を征服してゐた。；そこで猛烈に続きが読みたかった桝田は、自ら執筆することにした。；その際にはソ連の猛烈な反対にもかかわらず国葬が行われた。；第二次攻略戦も猛烈な反撃に見舞われたが、ついに攻略に成功した。；しかし当初は動きの悪さから猛烈に批判されていた。；父はいくつか職を変えた後、大手住宅販売会社の営業係として猛烈に働いた。；父の椎名によれば、中学生時代の岳は本作に対して猛烈に怒ったという。；間もなく何か号令が発せられて、武装警官隊の射撃は更に猛烈になった。；台風は8日23時頃に猛烈な勢力を保ったまま多良間島付近を通過した。；台風は猛烈な勢力を保ったまま8日23時頃に多良間島付近を通過した。</t>
        </is>
      </c>
      <c r="J8323">
        <f>HYPERLINK("https://www.weblio.jp/content/猛烈", "词义详情")</f>
        <v/>
      </c>
      <c r="K8323">
        <f>HYPERLINK("https://yourei.jp/猛烈", "查看例句")</f>
        <v/>
      </c>
    </row>
    <row r="8324">
      <c r="A8324" t="inlineStr">
        <is>
          <t>燃える</t>
        </is>
      </c>
      <c r="B8324" t="inlineStr">
        <is>
          <t>成功</t>
        </is>
      </c>
      <c r="C8324" t="inlineStr">
        <is>
          <t>読み方：もえる
［動ア下一］［文］も・ゆ［ヤ下二］
１火がついて炎が立つ。燃焼する。「紙が—・える」「ストーブの火が—・える」
２激しく気持ちが高まる。情熱が盛んに起こる。「愛国心に—・える」「怒りに—・える」
３炎のような光を放つ。光る。陽炎(かげろう)や蛍の光、夏の厳しい陽光などにいう。「夕日に赤く—・える空」《季夏》「—・ゆる海わんわんと児が泣き喚き／誓子」</t>
        </is>
      </c>
      <c r="D8324" t="inlineStr">
        <is>
          <t>燃えるような赤い；燃えるような赤毛；燃えるような瞳；燃えるゴミ；燃えるような情熱</t>
        </is>
      </c>
      <c r="E8324" t="inlineStr">
        <is>
          <t>熱い；燃焼；燃やす；焼ける；燃えるような</t>
        </is>
      </c>
      <c r="F8324" t="inlineStr">
        <is>
          <t>赤々と燃える；赤く燃える；あかあかと燃える；激しく燃える；青く燃える</t>
        </is>
      </c>
      <c r="G8324" t="inlineStr">
        <is>
          <t>燃える男；燃える山；燃える秋；燃える恋；燃える勇者</t>
        </is>
      </c>
      <c r="H8324" t="n">
        <v>29</v>
      </c>
      <c r="I8324" t="inlineStr">
        <is>
          <t>赤の本と青の本があった場所には、何かが燃えた跡だけが残されていた。；きった木や草が乾燥して燃えやすくなる乾期の終わりごろに火をつける。；人の近づくのに気がついて振り返った彼女の眼は、火のように燃えていた。；季節の燃えるようなこの花をホテルの部屋係が使うのは当然でもある。；ろうそくは床の上に置いてあって、燭台の中に深く燃え落ちていました。；家の中からは、使用されたと見られる武器が燃えた状態で1品見つかった。；暁まで燃えていたが、次第に消えていきその後はどうということはない。；火はときどき思いだしたように、パチパチと燃えてはすぐ消えてしまう。；燃えやすく低性能なので現在では推力40 Ns以上では使用されない。；艦の大半は沈んだが、水上に出ている部分はその後何日も燃え続けた。；多様化する犯罪から人々を守るために、3つの魂が炎となって燃えた!；彼の内に燃えるものは、まづ文章を、時代を超えて人間的なものにした。；ただ自分の心が幸福にさびしさに燃えただれているのを知っていた。；最初に使うときに木綿が燃えてなくなりマントルは機能する形になった。；ブルースター医師とラズロ教授が屋敷に到着した時、屋敷は燃えていた。；しかし何日たっても燃えないので、畏怖しない者はいなかったという。；眉は八の字に寄せられ、唇はきっと結ばれ、目は燃えるように輝いていた。；しかしその地上に生活する民の顔は大きな希望に燃えてたくましい。；誰よりも理想に燃え上つた君は 誰よりも現実を知つてゐた君だ。；上部だけ残る国会議事堂は、ミニチュアが偶然燃え残ったものであった。；のみならずそこに彼等の心の燃え上るのを感ぜずにはゐなかつたであらう。；ある日突如として村が謎の兵士に襲われ、すべてが燃え尽くされてしまう。；この時は単純に城の内庭で木材や燃えやすい布類に点火するだけであった。；顔色や地域がどうあれ、私はそう言う人に燃え尽くす火を与えることだろう。；食べた瞬間に口から炎が噴出し、食べた者の背中で炎が燃え続ける。；書庫は火事が起こっても書物が燃えることのないよう不可燃性であった。；しかし周囲の丸太がまだ燃えていたため完全な鎮火にはなお時間を要した。；大半の遺体は激しく燃えたため、多くは骨を残すのみとなっていた。；やがて王に呼ばれると髪の毛も燃えることなく火の中から出てきた。</t>
        </is>
      </c>
      <c r="J8324">
        <f>HYPERLINK("https://www.weblio.jp/content/燃える", "词义详情")</f>
        <v/>
      </c>
      <c r="K8324">
        <f>HYPERLINK("https://yourei.jp/燃える", "查看例句")</f>
        <v/>
      </c>
    </row>
    <row r="8325">
      <c r="A8325" t="inlineStr">
        <is>
          <t>もがく</t>
        </is>
      </c>
      <c r="B8325" t="inlineStr">
        <is>
          <t>成功</t>
        </is>
      </c>
      <c r="C8325" t="inlineStr">
        <is>
          <t>読み方：もがく
［動カ五（四）］
１もだえ苦しんで手足をやたらに動かす。あがく。「相手の腕から逃れようと—・く」
２事態をなんとかしようとあせる。いらだつ。「怠惰な生活を改めようと—・く」
[補説] 「藻掻く」は当て字。</t>
        </is>
      </c>
      <c r="D8325" t="inlineStr">
        <is>
          <t>もがく小さな</t>
        </is>
      </c>
      <c r="E8325" t="inlineStr">
        <is>
          <t>暴れる；のたうつ；悶える；身をよじる；もだえる</t>
        </is>
      </c>
      <c r="F8325" t="inlineStr">
        <is>
          <t>じたばたもがく；苦しみもがく</t>
        </is>
      </c>
      <c r="H8325" t="n">
        <v>29</v>
      </c>
      <c r="I8325" t="inlineStr">
        <is>
          <t>私はああいうふうに、必死にもがいている人間を見るのが好きなんだよ。；最初に会った時自分で言っていたように、ただもがいているだけだった。；自分の作った箱庭の中で、人々がもがく様を見て笑っているに違いない。；一時間ももがいてやっと水のある沢に出られたが道の行衛は不明である。；女は、警部の腕にもたれかかつているが苦しそうに身体をもがいている。；目はとじており、薄い胸は息をしようともがくたびに壊れそうに見えた。；二人の頭から流れる血は土に吸いこまれ、血に濡れた蟻がもがいている。；見ると、その男はひげに溜息を吹きつけて 身体をもがきとおしていた。；しかし同じく海岸沿いのマッサリアの影に隠れて、もがくことになった。；ハリーはもがいて、誰が自分を絞め殺しかかっているのか見ようとした。；彼女は苦痛に身をもがいて、その苦しみを彼に訴えているかのようであった。；のばした手が起き上ろうとしてもがいている男の体のどこかをつかんだ。；俺は一生懸命振り払おうと全身でもがいたんだけどどうしても落ちない。；彼が起きあがろうとしてもがいた跡が雪の中にありありと残されていた。；もがき苦しみ、それでも自分の足で立って歩いて行くしか ないのだ。；そいつが、僕の意識の壁を破って連絡をつけようともがいているんですよ。；しかし、いくらもがいても、うしろ手にしばられた身は自由にならない。；Oは皮紐で身体が裂けるかと思うほど、あらん限りの力で身をもがいた。；病床でもがき、おそらくいつ助けを連れ帰るかと時を数えているだろう。；死なない程度に金を与えて飼い殺しにしていると、人間はもがき始める。；彼女は苦しみに身をもがいて、その苦しみを夫に訴えるかのようであった。；じや君、もがいている間に少しも叫び声を立てなかつたのをどう説明する?；自分はなお自殺の覚悟をきめ得ないので、もがきにもがいているのである。；これは苦悶のあまりもがいた際に、爪で掻きむしり取ったと推定される。；侍の手の中で、雀は不安そうに身をもがき、嘴で侍の指を噛んだりした。；煙が濃くなる直前に、キノは地面に倒れもがく男の腹に向け一発撃った。；シャーマンは苦痛にもがきながら「誰がやったかわからない」と答えた。；空中をもがく自動車は、頭の方を下にすると、そのまま落ちていった。；男の悲鳴は、なかばでプッツリと切れ、顔を下にして床にもがき倒れた。</t>
        </is>
      </c>
      <c r="J8325">
        <f>HYPERLINK("https://www.weblio.jp/content/もがく", "词义详情")</f>
        <v/>
      </c>
      <c r="K8325">
        <f>HYPERLINK("https://yourei.jp/もがく", "查看例句")</f>
        <v/>
      </c>
    </row>
    <row r="8326">
      <c r="A8326" t="inlineStr">
        <is>
          <t>もぎ取る</t>
        </is>
      </c>
      <c r="B8326" t="inlineStr">
        <is>
          <t>成功</t>
        </is>
      </c>
      <c r="C8326" t="inlineStr">
        <is>
          <t>読み方：もぎとる
［動ラ五（四）］
１もいで取る。「枝からリンゴを—・る」
２無理やり取り上げる。「子供の手からおもちゃを—・る」</t>
        </is>
      </c>
      <c r="D8326" t="inlineStr">
        <is>
          <t>取る；採る；摘む；脱穀；もぐ</t>
        </is>
      </c>
      <c r="H8326" t="n">
        <v>29</v>
      </c>
      <c r="I8326" t="inlineStr">
        <is>
          <t>まるで、外にいる何者かが、窓をもぎ取ろうとしているかのようだった。；家兎のような目をしているフランス女は、子供の手から匙をもぎ取った。；家兎のやうな目をしてゐるフランス女は、子供の手から匙をもぎ取つた。；その男が死んだとは、自分の過去の一部がもぎ取られたような衝撃を覚えた。；つまり、わたくしから金をもぎ取ろうとたくらんでおるのでございます。；その受け金が脇柱からすっかりもぎ取られ、カンヌキ棒にはまっていた。；真実は、我々はフランスからではなく、日本から我々の独立をもぎ取った。；こてを振りまわされては危険だから、皆がよってもぎ取ってしまった。；編集長を押し倒して予算をもぎ取ったという噂を聞かせてやりたくなる。；ハリーの腕がもぎ取られるのではないかというくらいの激痛が走った。；英語で普及していた歌詞にはサメに襲われて手足をもぎ取られる描写がある。；弾切れになった瞬間を狙って蹴りが放たれ、彼の手から銃がもぎ取られる。；ついに母親はボタンをもぎ取って、ポケットの中へ入れてしまった。；もう一人の警官が、けいれんしている犯人から、ナイフを、もぎ取った。；彼女がああして音楽の女神の懐に抱かれているのを、もぎ取るのは辛い!；蛮刀を彼女の手からもぎ取ったかれは、彼女と一緒にベッドに倒れ込んだ。；だが、ひな子の引退が、彼の過去の一部をもぎ取ってゆくのは確かだった。；「脚をもぎ取ってと」ハリーにはそれがなんのことかよくわかった。；それどころか、冗談抜きで勝利をもぎ取る事だってできたかもしれない。；しかしもぎ取った星をどうしていいか処置に困っているのでした。；きっと、足を弾丸でもぎ取られても、やっぱり走ってきたに違いない。；いや、オープン戦のうちに予算をもぎ取っておいたほうがいいかもしれない。；彼女がそれを振りあげた時にすぐもぎ取ってしまえばいいのだ。；それでも肩口に直撃した何かは、彼女の腕をほとんどもぎ取ろうとしていた。；やっとのことでサルの手からもぎ取ったが、もうぐったり死んでいた。；鼻をもぎ取られたガンビーノは、数々の殺し屋に依頼し鬼龍の命を狙う。；ドアに向かって倒れこんだ身体に駆け寄り、その手から包丁をもぎ取った。；いきがりも嘘も、欲望をもぎ取られた人間には必要のないものだった。；私の日よけは、タマリスクの枝に引っかかってもぎ取られてしまった。</t>
        </is>
      </c>
      <c r="J8326">
        <f>HYPERLINK("https://www.weblio.jp/content/もぎ取る", "词义详情")</f>
        <v/>
      </c>
      <c r="K8326">
        <f>HYPERLINK("https://yourei.jp/もぎ取る", "查看例句")</f>
        <v/>
      </c>
    </row>
    <row r="8327">
      <c r="A8327" t="inlineStr">
        <is>
          <t>目撃</t>
        </is>
      </c>
      <c r="B8327" t="inlineStr">
        <is>
          <t>成功</t>
        </is>
      </c>
      <c r="C8327" t="inlineStr">
        <is>
          <t>読み方：もくげき
［名］(スル)現場に居合わせて実際に見ること。「交通事故を—する」</t>
        </is>
      </c>
      <c r="D8327" t="inlineStr">
        <is>
          <t>目撃する(9%)；目撃される(2%)；目撃例；目撃者；目撃報告</t>
        </is>
      </c>
      <c r="E8327" t="inlineStr">
        <is>
          <t>見る；見かける；お目にかかる；見受ける；目睹</t>
        </is>
      </c>
      <c r="F8327" t="inlineStr">
        <is>
          <t>直接目撃；ufo目撃；まざまざと目撃；親しく目撃；目撃する機会</t>
        </is>
      </c>
      <c r="G8327" t="inlineStr">
        <is>
          <t>目撃証言；目撃情報；目撃談</t>
        </is>
      </c>
      <c r="H8327" t="n">
        <v>29</v>
      </c>
      <c r="I8327" t="inlineStr">
        <is>
          <t>正体が特定されたものはほとんどないが、目撃例は中世以降多数存在する。；発見されることがほとんどなく、目撃されるだけで話題になる場合が多い。；さらに5日にも同様の事件があり、今度は4人の犯人が目撃されている。；ジョン・レノンが客と殴り合いをするところまで目撃したと語っている。；二人で肩を組み合ってカメラにおさまっていた姿を側近が目撃している。；続いて、翼の損傷を目撃した客室乗務員がいると航空機関士が報告した。；その後も現在に至るまで多くの目撃例があり、写真や映像も撮影されてきた。；長い黒い髪をとかしている姿が目撃されるというが、近づいてはならない。；おぞましい儀式を目撃したとのスペイン人神父たちの記録も残っている。；目撃例は常に水中のため、どのような姿、形をしているのかは不明である。；これは彼が若かりしときメキシコ独立戦争で目撃した方法に似ていた。；爆発によって生じたキノコ雲は数百キロ離れた場所からも目撃された。；旅を続け、国王の水源に到着した一行は、国王が建設したダムを目撃する。；その時、サン・ピエールに停泊していた船から噴火の様子が目撃された。；目撃例の多くは、赤から黄色の暖色系の光を放つものが多いとされている。；この時偶然傍を通りかかった原辰徳にその姿を目撃されていることになっている。；古くは古代の文献にも現われており、現代でも目撃報告がある。；その頃に糧を求めて地上をさまよう姿を目撃した人間が幽霊と誤認した。；よく桜公園で散歩しているのが目撃されているらしい。；また別の日には鉱石の実験をしている早矢仕の姿を目撃している。；過去に泥酔して選挙ポスターとケンカしているところを母親に目撃された。；ロンドンの交差点を清掃する孤児ジョーはその一部始終を目撃していた。；なお柏駅は、男が最後に目撃された日暮里駅から常磐線で5駅目である。；この現象は昭和40年頃までは目撃されることもあったらしい。；暗殺を現場で目撃し記録した者は、ザプルーダーだけではなかった。；ドイツ語での会話をテリーに目撃されたため、口封じにテリーを殺害した。；友人の死を目の前で目撃したロメオは、剣を抜いてティボルトを倒す。；その場を目撃した村雨の大吉は同心に斬り付けられるが返り討ちにする。；目撃者の目の前で金粉銀粉が徐々に増えていく目撃例も多数報告されている。</t>
        </is>
      </c>
      <c r="J8327">
        <f>HYPERLINK("https://www.weblio.jp/content/目撃", "词义详情")</f>
        <v/>
      </c>
      <c r="K8327">
        <f>HYPERLINK("https://yourei.jp/目撃", "查看例句")</f>
        <v/>
      </c>
    </row>
    <row r="8328">
      <c r="A8328" t="inlineStr">
        <is>
          <t>木材</t>
        </is>
      </c>
      <c r="B8328" t="inlineStr">
        <is>
          <t>成功</t>
        </is>
      </c>
      <c r="C8328" t="inlineStr">
        <is>
          <t>読み方：きざい
もくざい。材木。</t>
        </is>
      </c>
      <c r="D8328" t="inlineStr">
        <is>
          <t>木材輸送；木材産業；木材会社；木材生産；木材資源</t>
        </is>
      </c>
      <c r="E8328" t="inlineStr">
        <is>
          <t>材；ウッド；材木；白木；用材</t>
        </is>
      </c>
      <c r="F8328" t="inlineStr">
        <is>
          <t>木材工業；木材搬出；木材需要；木材製品；飛州木材</t>
        </is>
      </c>
      <c r="G8328" t="inlineStr">
        <is>
          <t>木材パルプ；木材腐朽菌；木材商；木材流送；木材保存剤</t>
        </is>
      </c>
      <c r="H8328" t="n">
        <v>29</v>
      </c>
      <c r="I8328" t="inlineStr">
        <is>
          <t>日本では木材の入手が比較的容易であったため家屋は木造が主であった。；竹や木材などを使って、魚などが入りやすく、出にくい構造に作った籠。；あるいは石や土を積み上げて壁を作り、その上に木材で屋根構造を作る。；駅裏のヤードには木材が野積みされているが、当線は利用されていない。；全てもしくは底部など主要な部分が木材で作られているものをいう。；板や石に書かれ、かつては木材に刻まれたものが多数存在したようである。；鳥取県産の木材を使用し、大型ガラスを利用した採光を特徴としている。；ヨーロッパからは、船舶の建造に必要な木材や鉄製品の輸入を行っていた。；これらの木材はその後に一部が海岸に流れ着き、山をなすこともあった。；客車は紙と木材で作られており、2021年時点で1両が現存している。；流域は木材の生産が盛んであり、かつてはその木を筏に組んで流していた。；木曳堀の名はここを使って木材を輸送したことに由来するものと推測されている。；一方で、商品流通の必要から、木材は規格化され商品化されていった。；この日は全国の木材関係者をはじめ、多くの崇敬者で境内は賑わうという。；土佐は木材が豊富だったことから、かなり細則に及ぶ規律が定められた。；日本では全長の短い物が木材の輸送などで少数使用されていた。；主に木製で樫や桜のように頑丈さと弾力を兼ね備えた木材が用いられる。；樋管に木材を使っていた時代では、腐食するために交換する必要があった。；最も簡単な絞首台は2本の木材を組み合わせた逆L字型のものである。；プロはこれに備えるため中古ピアノを購入する時は木材水分計を使用する。；輸入は食料品や木材が多く、貿易額ではロシアがその半分を占める。；後年木材輸送が減少した後は、これが旅客集客へマイナス要因となった。；林業は、江戸時代には製塩用の燃料とするため木材の伐採が行われていた。；太い柱に使われる木材が入手困難になると、建物の構造強化のために使われるようになった。；有蓋車は車体が鉄製であるが、内張りに断熱目的で木材が使われている。；駅裏はすっかり草生しているが、かつては沢山の木材が野積みされていた。；このために必要な木材は容易に入手することができた。；駅を利用するためには、木材置き場の中を抜けていく必要がある。；卓球に使用するラケットは、主に木材から作られた板と特殊素材入りがある。</t>
        </is>
      </c>
      <c r="J8328">
        <f>HYPERLINK("https://www.weblio.jp/content/木材", "词义详情")</f>
        <v/>
      </c>
      <c r="K8328">
        <f>HYPERLINK("https://yourei.jp/木材", "查看例句")</f>
        <v/>
      </c>
    </row>
    <row r="8329">
      <c r="A8329" t="inlineStr">
        <is>
          <t>目次</t>
        </is>
      </c>
      <c r="B8329" t="inlineStr">
        <is>
          <t>成功</t>
        </is>
      </c>
      <c r="C8329" t="inlineStr">
        <is>
          <t>読み方：もくじ
１書物の内容を示した見出しを順序立てて書いたもの。
２項目・題目などの順序。</t>
        </is>
      </c>
      <c r="D8329" t="inlineStr">
        <is>
          <t>目次ページ；目次面；目次部分</t>
        </is>
      </c>
      <c r="E8329" t="inlineStr">
        <is>
          <t>内容；中身；見出し</t>
        </is>
      </c>
      <c r="H8329" t="n">
        <v>29</v>
      </c>
      <c r="I8329" t="inlineStr">
        <is>
          <t>それから種々の食物の力と利用、を目次の章にあるように見るであろう。；塔子は老人に断わりもせずその一冊をとり、目次を開いて眺めはじめた。；他に第6巻の目次イラストでは3匹のハムスターと一緒に描かれている。；ここでは、特定分野のカテゴリ一覧・目次の作成方法について検討する。；買い物のついでに本屋へ行って旅行関係の雑誌を捜し、目次をながめた。；目次には10篇しか記載されていないが、実際は11篇収められている。；目次がですよ、人の名前が一行一行あるんですけど、すごいものです。；ひょっとして『諸規則』でわかるのではないか、と目次画面にしてみる。；目次にならんだ人達はまだ世間の表に立つてゐない人の方が多数を占めて居ます。；目次を眺めていると『青髭の妻』という題名がいちばん先に眼についた。；目次によれば、賛美歌の部は主題別に複数の節に分けられている。；以下の曲の分け方はクリュザンダー版の目次によったが、異なる分け方もある。；目次でざっと数えたところ、全部で三百ほどの詩がこの中に収録されているらしい。；目次はなく、巻頭や巻中には雑誌に掲載されたカラーページが収録されている。；総目次をつける案も出されましたが、そのためには三十頁の増頁が必要です。；一冊が一センチに充たない雑誌でも、一年ぶんの目次調べには時間がかかる。；読もう読もうと思いながら、目次にさえ目をやっていなかった本だ。；書物の目次を読んでも、わずかにテーマがわかるだけである。；なお、法令に別表、様式などがあってもそれらは目次には記されない。；目次を見ただけで、知識の豊富な人ならその知識を整理して思い出せるかもしれない。；目次を見ると、ようやく、コラムの項が更新されているようだった。；雑誌で目次のページの形をいじると、たいてい売れ行きががた落ちする。；三ページに及ぶ目次には、七十四個の項目が並んでいる。；新人賞の三次選考の結果を伝える頁が目次の端に記載されていた。；本観測所には世界気象機関の目次番号として、89836が付番された。；目次を見ると、幾つかの祭りと神社名を記した中に、大神祭という項があった。；他の目次を利用するに際には、事前に対応する列での昇順ソートをする必要がある。；小説誌の目次に目をとおしていくと、決まりきった名前が並んでいる。；Pは厚く感謝の意を表したのち、ざっと各巻の目次に目を通してみた。</t>
        </is>
      </c>
      <c r="J8329">
        <f>HYPERLINK("https://www.weblio.jp/content/目次", "词义详情")</f>
        <v/>
      </c>
      <c r="K8329">
        <f>HYPERLINK("https://yourei.jp/目次", "查看例句")</f>
        <v/>
      </c>
    </row>
    <row r="8330">
      <c r="A8330" t="inlineStr">
        <is>
          <t>目的</t>
        </is>
      </c>
      <c r="B8330" t="inlineStr">
        <is>
          <t>成功</t>
        </is>
      </c>
      <c r="C8330" t="inlineStr">
        <is>
          <t>読み方：もくてき
１実現しようとしてめざす事柄。行動のねらい。めあて。「当初の—を達成する」「—にかなう」「旅行の—」
２倫理学で、理性ないし意志が、行為に先だって行為を規定し、方向づけるもの。
[用法]目的・目標——「目的（目標）に向かって着実に進む」のように、めざすものの意では相通じて用いられる。◇「目的」は、「目標」に比べ抽象的で長期にわたる目あてであり、内容に重点を置いて使う。「人生の目的を立身出世に置く」◇「目標」は、目ざす地点・数値・数量などに重点があり、「目標は前方三〇〇〇メートルの丘の上」「今週の売り上げ目標」のようにより具体的である。</t>
        </is>
      </c>
      <c r="D8330" t="inlineStr">
        <is>
          <t>目的地；目的達成；目的広場；目的とする団体；目的関数</t>
        </is>
      </c>
      <c r="E8330" t="inlineStr">
        <is>
          <t>ため；用；仕事；務め；機能</t>
        </is>
      </c>
      <c r="F8330" t="inlineStr">
        <is>
          <t>主な目的；多目的；主たる目的；軍事目的；最終目的</t>
        </is>
      </c>
      <c r="G8330" t="inlineStr">
        <is>
          <t>目的語；目的物；目的意識；目的論；目的格</t>
        </is>
      </c>
      <c r="H8330" t="n">
        <v>29</v>
      </c>
      <c r="I8330" t="inlineStr">
        <is>
          <t>コンピュータ生成解剖学モデルは教育や運用の両方の目的で使用される。；中には装飾に耳たぶを伸ばして大きくする目的を持たせた文化圏もある。；これは、そのような契約を将来に渡って無効化することを目的としている。；柔軟な制度にすることで利害関係者の利益を実現するのが目的である。；Oshoによれば、人間の究極的な目的は光明を得ることであるという。；人権、基本的自由を尊重する考え方は国連主要目的の柱の一つになった。；大規模・高速の計算能力を達成することを目的としている。；映像機器とは、映像を表示したり、記録したりすることを目的にした機器。；この事情から、 の3点を目的とした局間ネットワークが組まれていった。；自由ソフトウェアの理想を推し進めることを目的に様々な活動をしている。；製造された各同位体は、用途に合わせて目的化合物に取り入れて利用する。；日本国政府の目的によるとイラクの国家再建を支援するためであるとされる。；以下に該当するものは著作物ではあっても、著作権の目的とならない。；そして再び次の反応のために基質を取り込み、目的の物質を生成し続ける。；これは200kmの高度に装置類を投入することを目的とした。；鉄道車両には、その種類や使用目的を示すために形式が与えられる。；今日はゲール文字の一部として主に装飾的な目的で使用されている。；その目的は、共産党を維持しつつ、経済の停滞を逆転させることだった。；どちらも科学の特定の目的を持っているので、他のものよりも効果が低いわけでもない。；後者に至ってはレコーディング目的で滞在中の外国での客死である。；この目的は開発銀行がバークレイズへ出資したのと全く同じである。；これを、違う目的に到達できる別々の道がある、と考えるのは誤りなのだ。；棒を倒しあうことが目的の競技であるため、最も基本的な基準は1といえる。；学術的な研究の目的は、突き詰めれば新しい事実や解釈の発見である。；インドや中国ではオートバイはほとんどが実用目的で使われている。；その形態によって、目的にかかわらず当然に会社とされるものは以下のとおり。；これは、大規模で分散したチームで作業できるようにすることを目的としている。；もともとのスキーマを新しい目的に合うように変形することを同調という。；以下の例で述べる MOSIX もその目的で使うことが出来る。</t>
        </is>
      </c>
      <c r="J8330">
        <f>HYPERLINK("https://www.weblio.jp/content/目的", "词义详情")</f>
        <v/>
      </c>
      <c r="K8330">
        <f>HYPERLINK("https://yourei.jp/目的", "查看例句")</f>
        <v/>
      </c>
    </row>
    <row r="8331">
      <c r="A8331" t="inlineStr">
        <is>
          <t>黙認</t>
        </is>
      </c>
      <c r="B8331" t="inlineStr">
        <is>
          <t>成功</t>
        </is>
      </c>
      <c r="C8331" t="inlineStr">
        <is>
          <t>読み方：もくにん
［名］(スル)暗黙のうちに認め許すこと。過失などをそのまま見逃すこと。「夜間の外出を—する」「やむを得ないこととして—する」</t>
        </is>
      </c>
      <c r="D8331" t="inlineStr">
        <is>
          <t>黙認する(15%)；黙認される(3%)；黙認状態</t>
        </is>
      </c>
      <c r="E8331" t="inlineStr">
        <is>
          <t>黙従</t>
        </is>
      </c>
      <c r="F8331" t="inlineStr">
        <is>
          <t>半ば黙認；黙認する姿勢；黙認する方針；黙認する形；黙認するわけ</t>
        </is>
      </c>
      <c r="H8331" t="n">
        <v>29</v>
      </c>
      <c r="I8331" t="inlineStr">
        <is>
          <t>事態の収拾を望むなら高里の行動を黙認することが正しいのに違いない。；話によるとずっと昔からのことであり、代々黙認されて来たのだという。；金塊や金の多く含まれた鉱石をポケットに入れることは黙認されている。；その無礼と無作法とを黙認していることのように見えることであります。；市場開放の鐘までにはまだ間があったが、事前の取引は黙認されている。；たとえ殺されても、子午重離を黙認してしまうより はるかにましです!；ではしょうことなしに黙認するのかというと、それでは示しがつかない。；そんなわけだから、国王でさえ盗賊ギルドの存在を黙認せざるを得ない。；葉月の男好きはこれまで黙認してきたが、相手が身内となると話は別だ。；また、相手国との間に問題がなければパタリロもそれを黙認している模様。；青木などに相談したところ「医師も薬も病気を治すもの」と黙認された。；本来は違法だが、ほとんど被害が出ていないことから黙認されている。；ただし、近年は非営利目的であれば撮影が黙認されている場合も多い。；僕の考えるところでは、あなたもこれを黙認するわけにはゆくまいと思います。；ただし、刑事処罰はないので事実上黙認されている状態となっている。；スイス国内での犬肉の流通は禁止されているが、消費する事自体は黙認されている。；一方、口うるさい母親もそんなぼくの髪の毛を黙認するはずもなかった。；それも最小の被害を黙認する事で、たった一人の少女をぶち殺す事で。；黙っていれば彼は知っていてそれを黙認した先輩として責任を問われることになる。；それらはかの支配生物と対立する程のものにならなかったため黙認されていたのだ。；日本人暴徒に度々襲撃を受けているが、日本警察はこれを黙認している。；わが弟のコーンウォルがそのようなことを黙認したとは考えられない。；伸枝は、わかった、とは言わなかったが、黙認の態度をとろうと決めた。；なぜなら、彼は彼女の望みをなんでも黙認してくれるからである。；教会の司祭も、こうした態度を奨励しないまでも黙認していたようだ。；主人以外の者によるそのような消費は、黙認された場合にしか生じえない。；病院の面会時間は午後と決っていたが、看護婦たちも黙認してくれていた。；黙認とうけとられるようなあやふやな態度をみせてはならなかったのである。；つまりこの原則を守る限り、強奪は非公式ながら黙認されているのである。</t>
        </is>
      </c>
      <c r="J8331">
        <f>HYPERLINK("https://www.weblio.jp/content/黙認", "词义详情")</f>
        <v/>
      </c>
      <c r="K8331">
        <f>HYPERLINK("https://yourei.jp/黙認", "查看例句")</f>
        <v/>
      </c>
    </row>
    <row r="8332">
      <c r="A8332" t="inlineStr">
        <is>
          <t>目標</t>
        </is>
      </c>
      <c r="B8332" t="inlineStr">
        <is>
          <t>成功</t>
        </is>
      </c>
      <c r="C8332" t="inlineStr">
        <is>
          <t>読み方：めじるし
１見てすぐわかるようにつけたしるし。「持ち物に—をつける」
２目標となる物。「角の郵便局を—においで下さい」
３江戸時代、商標をいった語。</t>
        </is>
      </c>
      <c r="D8332" t="inlineStr">
        <is>
          <t>目標物；目標値；目標地点；目標額；目標捕捉</t>
        </is>
      </c>
      <c r="E8332" t="inlineStr">
        <is>
          <t>的；目的；対象；意識；当て</t>
        </is>
      </c>
      <c r="F8332" t="inlineStr">
        <is>
          <t>最終目標；大きな目標；主目標；主な目標；戦略目標</t>
        </is>
      </c>
      <c r="G8332" t="inlineStr">
        <is>
          <t>目標金額；目標指示装置；目標管理；目標数値；目標による管理</t>
        </is>
      </c>
      <c r="H8332" t="n">
        <v>29</v>
      </c>
      <c r="I8332" t="inlineStr">
        <is>
          <t>ここでは万人により安価でより良い住宅を提供することが目標とされた。；右下の隅または左上の隅を空所とした配置を最終目標とするものが多い。；ラジオドラマの制作を目標に本人が書いた同名の小説も連載されていた。；この後方に連接した副目標が全て真となった場合に限り副目標は真となる。；でも、今、自分でやりたいこともあって、それが僕の目標でもあるんだ。；また遠くには月が見えていて、計画の最終的な目標を象徴している。；主目標は装甲された車両であるが、榴弾を用いて対人戦闘も可能である。；以来、僕の背中に指先だけでも触れられるよう大きな目標になっています。；目標は力が与えられたときの船の反応を記述することである。；推進ユニットは制御されず弾道軌道上を飛行して目標よりも低い地点に落ちる。；戦略爆撃機にはその任務と攻撃目標の性質上、次のような性能が求められる。；そのため当該目標を達成するには、他の解決策が望ましいと考えられる。；マリアナ諸島を攻略したアメリカ軍の次の目標はフィリピンとなった。；つまり戦争の本来の目標とは敵の戦闘力を破壊することに他ならないと考えられる。；工場などが目標のため、使用弾種も焼夷弾ではなく通常爆弾が中心だった。；攻撃型潜水艦は敵水上艦船だけでなく敵潜水艦も攻撃目標とするようになった。；同盟にはその作戦目標から侵略的な場合と防衛的な場合がある。；この目標のため、クヌースはかなりの時間を組版技術の調査に費やした。；魚雷が利用しにくい沿海域では潜水艦だけでなく水上目標にも有効である。；の3つの流れをバランスよく滞りない状態にするのが治療目標になる。；基本的に治療の目標は嘔吐を止めて、歩行可能状態にすることである。；そして「ピカソを超える」ことを目標に絵画制作に打ち込むようになる。；施設がめだった目標となってその周辺の地名になることもある。；目標の達成には行政の威令が行き届かない現状を改善しなければならない。；しかし経済政策の目標は国民の経済的な満足度を高めることである。；発射地点から攻撃可能な目標地点までの最大距離が射程である。；彼はもっと効率の高い機関を設計することを目標としていた。；それをもとに、車上装置が停止目標位置までの停止制御用パターンを生成する。；襲撃目標リストは第一次目標と第二次目標に分けられていた。</t>
        </is>
      </c>
      <c r="J8332">
        <f>HYPERLINK("https://www.weblio.jp/content/目標", "词义详情")</f>
        <v/>
      </c>
      <c r="K8332">
        <f>HYPERLINK("https://yourei.jp/目標", "查看例句")</f>
        <v/>
      </c>
    </row>
    <row r="8333">
      <c r="A8333" t="inlineStr">
        <is>
          <t>黙々</t>
        </is>
      </c>
      <c r="B8333" t="inlineStr">
        <is>
          <t>成功</t>
        </is>
      </c>
      <c r="C8333" t="inlineStr">
        <is>
          <t>読み方：もくもく
［ト・タル］［文］［形動タリ］だまって一つの事をしつづけるさま。「—と筆を走らせる」</t>
        </is>
      </c>
      <c r="D8333" t="inlineStr">
        <is>
          <t>黙々として歩い(3%)；黙々として働い；黙々として食事；黙々として相対；黙々として歩く</t>
        </is>
      </c>
      <c r="F8333" t="inlineStr">
        <is>
          <t>みんな黙々；しばらく黙々；いつも黙々</t>
        </is>
      </c>
      <c r="G8333" t="inlineStr">
        <is>
          <t>黙々たる</t>
        </is>
      </c>
      <c r="H8333" t="n">
        <v>29</v>
      </c>
      <c r="I8333" t="inlineStr">
        <is>
          <t>この場合、黙々として家に帰るのでは、一日の疲が身に残るに過ぎまい。；ここまでずっとリップとその連れとは黙々として一生懸命に登ってきた。；疲れた体に重いリックを背にし、黙々として暗澹たるうちを教室に帰る。；これを黙々に付しおきて、学者や教育者の本分が立つでありましょうか。；船尾の手すりによっかかって、黒い人影が黙々として星を見つめていた。；警部をはじめ三人のひとびとは、黙々として私のあとからついてくる。；けれども人間が一生をかけて、黙々必死に一つのことに精進したら?；二人の乗務員も一人の乗客も、ただ黙々、じっとして三〇分を過ごす。；ファブリツィオは身動きもせず黙々として師のするままにさせていた。；そこには大野博士を中心として二人の助手が黙々として立ち働いていた。；今まで黙々として傍観していた群集は急に活気づいたように動きだした。；そこへ急病で呼びにくると、父はまた立ち上がって黙々として歩いて行った。；黙々としてうしろから歩いていたお菱も、また泣きそうな表情でうなずいた。；グレナヴァンとその仲間たちは黙々としてこの凄絶な光景を眺めていた。；兵士等は黙々としてさしず通りにしたが、この食事で気力は更に出た。；完成した大発明を、黙々として実行する、一種の機械となり終った。；かれは東京から家へ帰るとすぐ黙々先生のご機嫌うかがいにくる。；百姓らは、軽く目礼しただけで、あとは黙々として働きつづけている。；もはやけものは声をたてようとはせず、一方人間も黙々として戦った。；恐らくこの遊楽の裏には次の年の出家も黙々のうちに了解されていたのであろう。；黙々先生といえば本名の篠原浩蔵をいわなくとも浦和の人はだれでも知っている。；でもまだあと何十年も一緒に暮らしていくわけなのだから、黙々として生きるのは耐えられない。；将軍が黙々としてその地下室へ入っていくので、四人の男女もそのあとから続いて入っていった。；そして彼は黙々として働き、仕事の上では実績を上げていた。；彼等は、祖父の時代と同様に、黙々として居残り仕事をつゞけていた。；そして常に青年らしい野心を深く包んで黙々として芸道に精進している。；夜八郎が斬りすてた男たちを、黙々として埋葬してやった柿丸である。；黙々として自信ありげに彼は右手で機関に指図し、左手で舵手に命令した。；しばらく、彼は黙々として、同じ悲しそうな顔つきで赤ん坊を見ていた。</t>
        </is>
      </c>
      <c r="J8333">
        <f>HYPERLINK("https://www.weblio.jp/content/黙々", "词义详情")</f>
        <v/>
      </c>
      <c r="K8333">
        <f>HYPERLINK("https://yourei.jp/黙々", "查看例句")</f>
        <v/>
      </c>
    </row>
    <row r="8334">
      <c r="A8334" t="inlineStr">
        <is>
          <t>木曜日</t>
        </is>
      </c>
      <c r="B8334" t="inlineStr">
        <is>
          <t>成功</t>
        </is>
      </c>
      <c r="C8334" t="inlineStr">
        <is>
          <t>読み方：もくようび
「木曜」に同じ。</t>
        </is>
      </c>
      <c r="D8334" t="inlineStr">
        <is>
          <t>木曜日更新；木曜日担当；木曜日放送；木曜日発行；木曜日以外</t>
        </is>
      </c>
      <c r="F8334" t="inlineStr">
        <is>
          <t>隔週木曜日；毎木曜日；第一木曜日；最終木曜日；翌木曜日</t>
        </is>
      </c>
      <c r="H8334" t="n">
        <v>29</v>
      </c>
      <c r="I8334" t="inlineStr">
        <is>
          <t>イタリアでは滋養のあるものや重い食べ物を木曜日に食べる習慣がある。；その木曜日には最初の軍用輸送列車がデュッセルドルフを出発している。；彼はのちに彼に木曜日だと告げた医師との話し合いについて描写している。；長期再放送期間では同じ木曜日にユゲトモのみ再放送されることがあった。；初期は日曜日の午前中に放送されたが後に木曜日の夜10時半に変更した。；木曜日はレギュラーパートナーが一名で、ゲスト枠が設けられている。；この日は木曜日だったため、後にこの日は「暗黒の木曜日」と呼ばれた。；本作は、多くのCDが発売される水曜日ではなく木曜日に発売された。；所属レスラー分を収録し、編集を加えたものを毎週木曜日に放送している。；本作では基本的に週一回木曜日に新しい機体が追加される。；木曜日以外のほぼ毎日配信が行われており、1日に複数回ある場合もある。；稀に木曜日が青森からの中継になった場合はこさぶろう・高山の担当となる。；その一方で、2021年の9月23日で木曜日のレギュラー放送を終了。；またこれに伴い木曜日にも更新が行われるようになった。；では初回を土曜日としており、一方の本作は初回を木曜日と差異がある。；会の名称は、当初、会合のひらかれたのが木曜日であったことに由来する。；通常は、毎週木曜日に収録したうえで、翌日の午前中に更新していた。；また、木曜日のゲストであっても声優プラスに出演していなければ記載していない。；バンドが週1回演奏しており、春は金曜日、秋は木曜日に行っている。；前番組は月 - 木曜日の放送であったが、本番組は金曜日のみの放送となる。；木曜日にシーズンが開幕するのは史上初めてであった。；木曜日に店が休みであったため、休みになると父に遊びに連れて行ってもらった。；月曜から木曜日まで放送されており、曜日ごとに出演者やコーナーが異なる。；毎週木曜日に2話ずつ配信されているが、4月22日配信分は1話のみ。；プレゼント担当は、毎日放送の木曜日の夜にも出演した上山幸子だった。；今日の日本では教会ごとに水曜日、木曜日などに行われているが決まりは無い。；現在まで奇数月の最終木曜日にイベントを開催し続けている。；火・水・木曜日に再びスキットを放送し詳しい解説に入っていく。；ハーバードでの彼の有名な木曜日セミナーは、しばしば夜まで続いた。</t>
        </is>
      </c>
      <c r="J8334">
        <f>HYPERLINK("https://www.weblio.jp/content/木曜日", "词义详情")</f>
        <v/>
      </c>
      <c r="K8334">
        <f>HYPERLINK("https://yourei.jp/木曜日", "查看例句")</f>
        <v/>
      </c>
    </row>
    <row r="8335">
      <c r="A8335" t="inlineStr">
        <is>
          <t>潜る</t>
        </is>
      </c>
      <c r="B8335" t="inlineStr">
        <is>
          <t>成功</t>
        </is>
      </c>
      <c r="C8335" t="inlineStr">
        <is>
          <t>読み方：くぐる
［動ラ五（四）］《古くは「くくる」とも》
１物の下や狭い間・中を、姿勢を低くして通って向こう側へ出る。また、門やトンネルなどを通り抜ける。「暖簾(のれん)を—・って店に入る」「障害物競走ではしごを—・る」「校門を—・る」
２水の中にもぐる。「海に—・って魚貝をとる」
３簡単に通り抜けることができない所を巧みにごまかして通る。厳しい監視や規律などのすきをねらって事を行う。「法の網を—・る」
４困難や危険の中を何とか切り抜けていく。「火炎を—・って脱出する」「砲煙弾雨の下を—・る」
[可能]くぐれる</t>
        </is>
      </c>
      <c r="D8335" t="inlineStr">
        <is>
          <t>潜るまい</t>
        </is>
      </c>
      <c r="E8335" t="inlineStr">
        <is>
          <t>飛び込む；潜在的な；潜む；潜伏する；ダイブする</t>
        </is>
      </c>
      <c r="F8335" t="inlineStr">
        <is>
          <t>かい潜る</t>
        </is>
      </c>
      <c r="H8335" t="n">
        <v>29</v>
      </c>
      <c r="I8335" t="inlineStr">
        <is>
          <t>そして彼を殺害した者はまだその被害者の部屋に潜んでいるのだと思う。；俺たちが、地下に潜って強さを感じられるようになったということかな。；われわれは皆同じ道を辿っていて、やがては同じ門を潜るでしょうから。；集落全体に獣たちが潜んでいることを主人公は鋭敏に感じて父に訴える。；不自然に抑えつけられた無言の瞬間にはむしろ物凄い或物が潜んでいた。；そしてその眼に何か云い出しかねているような思いの潜んでいるのを見た。；角をつかんで顎をあげさせていれば、水に潜ってしまうこともないという。；私はいつも神様の国へ行こうとしながら地獄の門を潜ってしまう人間だ。；さらに暗い場所に潜んでいるため、生息状況が掴みにくい種類でもある。；アーケードを潜ると映画のセットのように無機質な通りが展開している。；しばしば森の中に潜んだり、子供を追い回したりするように描写される。；しかし、いずれにしても、今この門を潜るのは少し無謀なことであった。；昨日のせっかくの決意にもかかわらず今日は観光できず地下に潜っていた。；三崎口駅南の国道134号を潜る形で僅かな距離だが線路は続いている。；主に夜行性であり、日中は岩の下や岩の間などに潜んでいることが多い。；斧足はヒトデなどの外敵から身を守るために砂の中に潜るのに使われる。；金も電話もいっさい使わずにどこかに潜るなんて普通なら考えられない。；代助は門を潜って、格子の外から、頼むと声を掛けてみようかと思った。；いくら何でも生身の人間がこんなに長く海に潜っていられるだろうか。；錘が引っ掛っている傍まで歩いて行くと、いきなり頭を下にして潜った。；それから、彼の潜ってきた過去を記事にして良いか否かは本人に確認しろよ。；最後は下関駅の先で海の下に潜って、再び地上に出るとそこは九州である。；ほんの数メートル地下に潜るだけで冷んやりとした空気が流れていた。；誰も彼も、自分のすぐ間近に恐ろしい殺人鬼が潜んでいるように感じた。；それが何処かに潜んでおったのが、機に触れて現われて来たのである。；そして跡には、大の男が何人も並んで潜れそうなほどの大きな穴が残される。；キュウセンなど一部の種は、夜には砂に潜って眠ることが知られている。；父や母は特に感情上複雑な理由でも潜んでいるのではないかと案じたらしい。；ところが田郷さん、その婦人は、まだこの館の中に潜んでいるのですよ。</t>
        </is>
      </c>
      <c r="J8335">
        <f>HYPERLINK("https://www.weblio.jp/content/潜る", "词义详情")</f>
        <v/>
      </c>
      <c r="K8335">
        <f>HYPERLINK("https://yourei.jp/潜る", "查看例句")</f>
        <v/>
      </c>
    </row>
    <row r="8336">
      <c r="A8336" t="inlineStr">
        <is>
          <t>目録</t>
        </is>
      </c>
      <c r="B8336" t="inlineStr">
        <is>
          <t>成功</t>
        </is>
      </c>
      <c r="C8336" t="inlineStr">
        <is>
          <t>読み方：もくろく
１書物の内容の見出しをまとめて記録したもの。目次。
２所蔵・展示などされている品目を整理して書き並べたもの。「展覧会の—」「財産—」
３進物をする際、実物の代わりに仮にその品目を記して贈るもの。「結納の—」
４芸道・武芸を門人に伝授したとき、その名目を書いて与える文書。
５進物として贈る金の包み。
「新八障子の内より—三つ持ちて出」〈伎・色読販〉</t>
        </is>
      </c>
      <c r="D8336" t="inlineStr">
        <is>
          <t>目録學(3%)；目録作成；目録化；目録改訂第；目録番号</t>
        </is>
      </c>
      <c r="E8336" t="inlineStr">
        <is>
          <t>表；リスト；一覧；名簿；カタログ</t>
        </is>
      </c>
      <c r="F8336" t="inlineStr">
        <is>
          <t>作品目録；上演目録；総目録；文献目録；著作目録</t>
        </is>
      </c>
      <c r="G8336" t="inlineStr">
        <is>
          <t>目録規則；目録部</t>
        </is>
      </c>
      <c r="H8336" t="n">
        <v>29</v>
      </c>
      <c r="I8336" t="inlineStr">
        <is>
          <t>記述目録法は、単純にその資料についてのデータを記録する方法である。；以下の目録は彼の長い人生の最後の三十年間に出版されたものである。；なお、これとは別に目録などの終結部分にも以上が用いられる事があった。；これらの資料の目録は市政専門図書館のホームページに公開されている。；序文に続いて以下のように詩を韻によって配列した目録が置かれている。；現存する著作、現存はしないが目録中に見出される著作は以下の通りである。；この目録によれば、11世紀末の時点の金堂内の状況は次のようであった。；羅山がそれまでに読んだ書物を整理して目録を作ると四百四十余部に上った。；外国語の書籍などは、目録上はその国の文字で翻字されていることがある。；絵は、この時期に書かれた目録の、記録通りの位置に描かれている。；この時代順目録の前に、データを簡素化したジャンル別全作品目録を置く。；しかし所蔵目録に記載されている、残り8枚の絵は展示されなかった。；それらはに収蔵され、1994年と2003年にその目録が出版された。；この路線を走行する列車の目録は以下のように表示される。；これを受けてレンブラントの363項目にわたる財産目録が作成された。；市庁舎に以前収蔵されていた法令や権利全ては最初の目録に掲載されていた。；妙瑞師の中院流目録には大門寺次第について以下のように記されている。；この博物館の特殊な点は、展示品の大部分が現在も商品目録に掲載されている点である。；従ってこの頃までに出版された日本の図鑑や目録類には本科は収録されていない。；毎年9月号にてランキングの対象となる作品の目録が掲載される。；それらの目録は1942年に出版されて以降、何度か編纂されている。；MARCは元々は物理的な目録カードの作成を自動化する目的で使われていた。；彼の出版された作品はドイツ国立図書館の目録に掲載されている。；目録の作成などを目的として図書館などで用いられる場合が多い。；第2部は犯罪の目録であり、それぞれの犯罪に対する刑罰を含んでいる。；このときの目録には両作品ともに「崇高かつ巧妙な作品」と書かれている。；スペースXは積荷目録、計画、搭載二次貨物の主要な権限を持っていた。；この分析はケッヘル目録の以降の版にも引き継がれることになった。；書籍目録には以下のような記載があり、しばらく東西で版を重ねて販売されていたことがわかる。</t>
        </is>
      </c>
      <c r="J8336">
        <f>HYPERLINK("https://www.weblio.jp/content/目録", "词义详情")</f>
        <v/>
      </c>
      <c r="K8336">
        <f>HYPERLINK("https://yourei.jp/目録", "查看例句")</f>
        <v/>
      </c>
    </row>
    <row r="8337">
      <c r="A8337" t="inlineStr">
        <is>
          <t>目論見</t>
        </is>
      </c>
      <c r="B8337" t="inlineStr">
        <is>
          <t>成功</t>
        </is>
      </c>
      <c r="C8337" t="inlineStr">
        <is>
          <t>読み方：もくろみ
もくろむこと。また、その内容。計画。企て。「—がはずれる」</t>
        </is>
      </c>
      <c r="D8337" t="inlineStr">
        <is>
          <t>目論見通り(12%)；目論見どおり(4%)；目論見変更認可</t>
        </is>
      </c>
      <c r="E8337" t="inlineStr">
        <is>
          <t>計画；設計；企画；プログラム；計</t>
        </is>
      </c>
      <c r="H8337" t="n">
        <v>29</v>
      </c>
      <c r="I8337" t="inlineStr">
        <is>
          <t>わたしだって何も、この目論見が理想的なものだなどと言いはしない。；それはまさに、オヤシロさまの目論見通りにことが進んだからなんだよ。；もはやその目論見は失敗したと考えて動いたほうが賢明かもしれない。；先生は決して自分の目論見を隠していたわけではなかったからね。；修道院側の目論見が外れた様が、これ以上ないほどによく見えた、と。；下のポルトガルに侵攻しようとしたものであったが、この目論見は失敗した。；あれを『変化』と呼ぶのなら、その目論見も成功しているのだろうか。；プートラにはいったとき、わたしの頭の中はこういった目論見で一杯だった。；彼らの目論見は、第一次世界大戦でのドイツの敗北により失敗に終わった。；これらの人は運命の目論見を常人よりよりよく理解し得る人だと云はなければならぬ。；この背景には以下の様な目論見があったと言われている。；一方から見れば、これは、Tの最初の目論見が完全に果された訳であった。；しかし私の目論見ではその苗木は少くて千本、多くて五千本は入用である。；この水族館は太田の目論見どおり、当初大評判となり多くの観客を集めた。；休息中に語らった後半戦の目論見を、今なお征服王は翻す気がないのだ。；ロシアは確かに北方から南下してチベットに侵入しようと目論見つつある。；この目論見はますます真実ありうべきことに思えてきた。；父の目論見は果たせぬと分かっていたが、その意気地は息子に充分伝わった。；このときすでに胸中には確固とした一つの目論見が熟していたのだ。；フランスのアイルランド侵攻の目論見は、完全な失敗に終わった。；ある時期から、目論見を実現するための鍵は、脳の解明にあると見定めた。；それはさしづめ気の違った女か人生に絶望した女の目論見だ。；ロンメルの作戦計画はビル・ハケイムで目論見とは違ってくることとなった。；そういう目論見のもとに、息子を教育してきたのでもあった。；あなたの目論見とはまったく反対のことが起こるのです。；罪を軽くしようと云う目論見だと判断するだろうな。；ところが目論見は外れてわずか2両に留まり、最後の国内新製車両となった。；その罠は目論見どおりに作動して危険を知らせてくれていたのに。；鵜川妙子の罪と目論見が何であっても、それは全て終わったことだ。</t>
        </is>
      </c>
      <c r="J8337">
        <f>HYPERLINK("https://www.weblio.jp/content/目論見", "词义详情")</f>
        <v/>
      </c>
      <c r="K8337">
        <f>HYPERLINK("https://yourei.jp/目論見", "查看例句")</f>
        <v/>
      </c>
    </row>
    <row r="8338">
      <c r="A8338" t="inlineStr">
        <is>
          <t>目論む</t>
        </is>
      </c>
      <c r="B8338" t="inlineStr">
        <is>
          <t>成功</t>
        </is>
      </c>
      <c r="C8338" t="inlineStr">
        <is>
          <t>読み方：もくろむ
［動マ五（四）］《「もくろん（目論）」を活用させた語》物事をしようとして考えをめぐらす。計画する。企てる。たくらむ。「新事業を—・む」「一攫千金(いっかくせんきん)を—・む」</t>
        </is>
      </c>
      <c r="D8338" t="inlineStr">
        <is>
          <t>目論むトロツキーを頭目</t>
        </is>
      </c>
      <c r="E8338" t="inlineStr">
        <is>
          <t>計画；予定；考える；設計；デザイン</t>
        </is>
      </c>
      <c r="F8338" t="inlineStr">
        <is>
          <t>せようと目論む</t>
        </is>
      </c>
      <c r="H8338" t="n">
        <v>29</v>
      </c>
      <c r="I8338" t="inlineStr">
        <is>
          <t>それにはお冬を使って、何かの仕事を目論んでいる奴があるに相違ねえ。；これは東西両教会の和睦ないし統一を目論んでの行為であったとされる。；これを導入しようと目論んだ事例も幾つかあったがほとんどが頓挫した。；冬器三十を集める人々が、その程度のことを目論んでいたとは思えない。；この娘は何を考え、何を目論んでいるのか、平次にも見当はつきません。；夫妻は基地から逃亡し、ハスラインは逃亡を口実に夫妻の殺害を目論む。；わたしが目論んでいるのは、いうまでもなく犯人を罠にかけることですよ。；家庭での立場が弱くなってしまった日本の父親達の復権を目論む組織。；この娘は何を考へ、何を目論んでゐるのか、平次にも見當はつきません。；同年中に帰国して革命派の蜂起を目論んだが、事が漏れて逮捕された。；決行するしないにかかわらず国王暗殺を目論んだものは問答無用で死罪。；惑星DENUMAは全銀河の征服を目論んでいたとする記事も存在する。；東部に成立したアメリカ合衆国は西部への拡大を目論んでいた。；稲田家側は幕末時の活躍により、要求はすぐ認められると目論んでいた。；蛇の紋章を持つこの世に六道魔界を建設することを目論む闇の密法集団。；これまでには目論んでいなかった危険の要素が加わってきた。；中村は顔を変えたついでに、キャラも変更しようと目論んでいるのである。；この時すでに、ブルネイ帝国領はイギリスの拠点として目論まれていた。；彼らは腰を低く落とし、一度に飛び掛って重さで圧殺しようと目論んだ。；コルネリアがすでに調べたところからも、何が目論まれているか見当がつく。；それは関東一円の制圧を目論む学園の陰で暗躍する夜叉一族であった。；ドイツは、新帝国と商業的な利益を拡大しようと目論んでいた。；奇襲部隊はカナダに戻るつもりで、真冬に300マイルの旅を目論んだ。；首都ローマはじめ重要都市、鉄道など戦略地点の占領体制強化を目論んだのである。；今の帝国に不満があり、帝国の政治を変えることを目論む革命軍の一部の組織。；蛮機族の第三の故郷建設を目論む三大臣たちと違い、個人のエゴで行動する。；自らの生涯をメル・ギブソン主演で映画化することを目論んでいたとも言われている。；表向きは友好的に人類に接しているが、裏では人類を奴隷としようと目論む。；この頃、ザナルディに目をつけたのが北米進出を目論むバリッラだった。</t>
        </is>
      </c>
      <c r="J8338">
        <f>HYPERLINK("https://www.weblio.jp/content/目論む", "词义详情")</f>
        <v/>
      </c>
      <c r="K8338">
        <f>HYPERLINK("https://yourei.jp/目論む", "查看例句")</f>
        <v/>
      </c>
    </row>
    <row r="8339">
      <c r="A8339" t="inlineStr">
        <is>
          <t>模型</t>
        </is>
      </c>
      <c r="B8339" t="inlineStr">
        <is>
          <t>成功</t>
        </is>
      </c>
      <c r="C8339" t="inlineStr">
        <is>
          <t>読み方：ぼけい
⇒もけい（模型）</t>
        </is>
      </c>
      <c r="D8339" t="inlineStr">
        <is>
          <t>模型化(2%)；模型機；模型用；模型製作；模型実験</t>
        </is>
      </c>
      <c r="E8339" t="inlineStr">
        <is>
          <t>モデル；デザイン；パターン；ドラフト；図案</t>
        </is>
      </c>
      <c r="F8339" t="inlineStr">
        <is>
          <t>用模型；立体模型；縮小模型；石膏模型；ミニチュア模型</t>
        </is>
      </c>
      <c r="G8339" t="inlineStr">
        <is>
          <t>模型メーカー；模型店；模型航空機；模型雑誌；模型航空</t>
        </is>
      </c>
      <c r="H8339" t="n">
        <v>29</v>
      </c>
      <c r="I8339" t="inlineStr">
        <is>
          <t>そのため最初期には模型のみならず実車の情報を扱っていた時期もある。；特に低車高化については力を入れ、実寸大模型を製作し研究が行われた。；江戸時代後期から戦後にわたる同市の住居の資料や模型を展示している。；模型の先頭には小型カメラが搭載され、映像を見ながらの運転が可能であった。；ここで製作された車両は、デパート等の模型売場でも多く販売されていた。；自社製品以外に香港などからダイカスト製模型を輸入・発売していた。；また組み立てにはある程度の模型製作技術を必要とする場合がある。；模型販売されていないものを作ることからその名称がついた。；粘土で作られたボートの模型がハーブール川沿いので発見されている。；海上のシーンではプールに船の模型を浮かべて撮影する手法が一般的である。；日本で初めて走った鉄道は、艦船に積んで運ばれてきた模型であった。；うしろの作業台の下には、つくりかけのエンジンつきもけい飛行機がある。；いくつかの主要な建物の前には、手で触ることのできる模型が設置されている。；大型模型は同社より神田の旧交通博物館に寄贈されて長らく展示された。；本作が放送延長となったのも、模型などの売り上げが良かったためである。；これらの電動模型は同一線路上では全ての動力車が同一の動きをする。；模型、テーブルゲームともにいくらかのオリジナル製品が開発されている。；しかし、屋内会場の大型模型では来場者が実際に乗車できるものもある。；また勤めていた人が昭和20年代にOゲージの阪井模型をはじめている。；しかしこれはハインケル社内で模型が制作されただけで終わった。；専用商品が出るまでは模型店で販売されている模型用プラ板が用いられていた。；その模型の形は、スペースシャトル、ブランの両方に大変良く似ている。；このビデオの中で使用された模型は今もマジック・キングダムで展示が行われている。；これを利用してオニヤンマの模型を体に付けておくと虫よけになる商品がある。；この時の航空機の模型がモスクワ航空博物館に展示されている。；いわば、船の模型を置くための台のようなものをつくるのである。；ジオラマ中央に設けられたドームから模型が走行する様子を見ることができた。；その結果、単色の模型では、それがどんな精巧なものでも反応しなかった。；同社が模型界に与えた影響は大きく、現在にまで続いている。</t>
        </is>
      </c>
      <c r="J8339">
        <f>HYPERLINK("https://www.weblio.jp/content/模型", "词义详情")</f>
        <v/>
      </c>
      <c r="K8339">
        <f>HYPERLINK("https://yourei.jp/模型", "查看例句")</f>
        <v/>
      </c>
    </row>
    <row r="8340">
      <c r="A8340" t="inlineStr">
        <is>
          <t>模索</t>
        </is>
      </c>
      <c r="B8340" t="inlineStr">
        <is>
          <t>成功</t>
        </is>
      </c>
      <c r="C8340" t="inlineStr">
        <is>
          <t>読み方：もさく
［名］(スル)手さぐりで探し求めること。ぼさく。「解決の道を—する」「暗中—」</t>
        </is>
      </c>
      <c r="D8340" t="inlineStr">
        <is>
          <t>模索する(20%)；模索し始め(2%)；模索される；模索し続け；模索しはじめ</t>
        </is>
      </c>
      <c r="E8340" t="inlineStr">
        <is>
          <t>探る；手探り；手さぐり；摸索；暗中模索</t>
        </is>
      </c>
      <c r="F8340" t="inlineStr">
        <is>
          <t>模索し始める；模索する過程；模索する方針；模索しはじめる；模索する中</t>
        </is>
      </c>
      <c r="H8340" t="n">
        <v>29</v>
      </c>
      <c r="I8340" t="inlineStr">
        <is>
          <t>ヒトラーはこれを利用して親衛隊の中に軍隊を設置させる道を模索した。；しかし鈴木首相は、可能性を模索する意味で対ソ交渉政策を進めていた。；李完用は韓国の将来を考え、自主独立への道を模索していたといわれる。；アルカリイオン水の血液透析への応用は日本や台湾でも模索されている。；商業メディアでは、差別糾弾を回避する手段が常に模索され続けている。；多くの彫刻家は、芸術を生み出す新たな手法および素材を模索している。；建設や完成後の運用にも様々な問題が生じ、その解決策を模索することとなる。；構想自体は約10年来彼の心にあり、様々な形式が模索されていた。；技術の高度化に伴い、3年制への教育期間の延長が模索されている。；これは「職業声優の限界」を感じ、新しい可能性を模索するためだという。；その時より、土地代の負担緩和のために商業施設の建設が模索され始めた。；そのため、一時は無所屬出馬も模索したが、最終的に不出馬を表明した。；この期間の政府組織は、幾度も大きな改正が行われ、制度の模索が続いた。；ただし、シリーズの新たな方向性を模索するための期間という想定であった。；日清朝三国提携を模索する意見の多かった言論界でも変化がみられた。；を開くなど、現代社会に求められる仏教・僧侶の在り方を模索している。；出場機会を模索して、今度はオーストラリアのシドニーFCに移籍した。；この決定に先立ち、両社での事業統合も模索したが交渉が決裂していた。；この問題を解決するために、サイズ拡大によらない性能向上が模索されている。；勝馬を予想する方法については、古くからさまざまな模索がなされてきた。；またテクノとのクロスオーバーを模索する実験的な動きも一部で起きている。；そして第一次世界大戦が始まると、各国でその軍事利用が模索されるようになった。；だが競合社が20社ほどあった中の最後発だった事もあり、差別化を模索。；また、同じく隣接する柳川市との合併を模索したが、実現には至っていない。；村上は一人反対しており、加藤紘一政調会長らが妥協案を模索していた。；絵画や工芸を中心に活動を展開し、伝統にとらわれない芸術表現を模索した。；今後の経済体制をどうするべきかの模索が世界中で続いている。；当時は戦後の混乱期で、日本の工業界がようやく復興を模索しはじめた時代である。；その問題を解決するためにさまざまな模索が行われた。</t>
        </is>
      </c>
      <c r="J8340">
        <f>HYPERLINK("https://www.weblio.jp/content/模索", "词义详情")</f>
        <v/>
      </c>
      <c r="K8340">
        <f>HYPERLINK("https://yourei.jp/模索", "查看例句")</f>
        <v/>
      </c>
    </row>
    <row r="8341">
      <c r="A8341" t="inlineStr">
        <is>
          <t>もし</t>
        </is>
      </c>
      <c r="B8341" t="inlineStr">
        <is>
          <t>成功</t>
        </is>
      </c>
      <c r="C8341" t="inlineStr">
        <is>
          <t>［感］《「もうし」の音変化》相手に呼びかけるときに言う語。「—、そちらの方」</t>
        </is>
      </c>
      <c r="D8341" t="inlineStr">
        <is>
          <t>もしそう(3%)；もしそんな；もし本当に；もし仮に；もしあれ</t>
        </is>
      </c>
      <c r="E8341" t="inlineStr">
        <is>
          <t>もしも；仮に；万一；もしか；万が一</t>
        </is>
      </c>
      <c r="F8341" t="inlineStr">
        <is>
          <t>もしクロサック；もしトリガーセン；もしヘルマス；もし倭建；もしアッラー望み</t>
        </is>
      </c>
      <c r="G8341" t="inlineStr">
        <is>
          <t>もしも；もしかしたら；もしか；もしかして；もしや</t>
        </is>
      </c>
      <c r="H8341" t="n">
        <v>29</v>
      </c>
      <c r="I8341" t="inlineStr">
        <is>
          <t>もし自分に反対する者がいるならトレードで出て行くことになるだろう。；しかしもしミサイル基地の撤去に同意しなかった場合は意見が分かれた。；この遺書がもし存在するなら、ポーランドの再統合の問題だっただろう。；もし同一であるときは該当者が高い所に行って隠れていなければならない。；もしこの支払いが予定通りになされなければ、彼らは自由の身になった。；もし条件を一つでも満たしていない場合は宣言した者の負けとなる。；この四人がもし互いに相争うのならば必ず命を失うはずだと書かれている。；もし失敗したら、さらに半年早く番組が打ち切られていた可能性もあった。；もし人間が自由意志を有しているならば、人間は選択の第一原因である。；もしそうでなかったならば、我にどうして今日があったであろうか。；もし神が最初の意味で理解されるなら、神は一人しか存在し得ないことになる。；もし国王が保護の手を引きあげればユダヤ人虐殺が起こるのが常だった。；もしこれが本当なら月は2倍近くも大きさが変化するように見えるはずである。；もし導入された場合、どの月にも属さない5日は以下の通りとなっていた。；もしフランス語を習得すればフランスの奴隷になるのを免れるのは難しい。；もし刺客を潜ませていたならば、ただ一人を敵とするだけであります。；この時もし韓国に帰ることとなったらみっともなさのあまり死を覚悟したという。；もしそのまま続いていれば、特攻ではないラストになったとのことである。；もしそんなことを受け入れたら、それはもはやブラックメタルではないよ。；もし我々が戦争抜きで問題の解決が図れるなら、それに越したものはない。；もし完成したのなら、自分の耳や鼻を切っても良いと悪態を突く者まで出た。；もしそれが決定されるならば、尾張藩に任せるようにとも述べている。；もし稽古をつけていたらせっかくの江戸らしさが失われていただろう。；もし左に数値がない場合は、単に一つ上の列のカラム 1の数値を取る。；もしこれに向かって権力を適用する者あらば、国家は則ち国家ならず。；もし、そうでないと、私はあなたの大言壮語を一層非難するであろう。；もし戦争がなかったら世界は唯物主義の中で腐敗していくであろう。；もし魚雷全部が有効だったら、僕は生きてこれを書いてなんかいられなかった。；しかし、もしそうでなければ、ジョーはいったいどうなっているだろうか。</t>
        </is>
      </c>
      <c r="J8341">
        <f>HYPERLINK("https://www.weblio.jp/content/もし", "词义详情")</f>
        <v/>
      </c>
      <c r="K8341">
        <f>HYPERLINK("https://yourei.jp/もし", "查看例句")</f>
        <v/>
      </c>
    </row>
    <row r="8342">
      <c r="A8342" t="inlineStr">
        <is>
          <t>文字</t>
        </is>
      </c>
      <c r="B8342" t="inlineStr">
        <is>
          <t>成功</t>
        </is>
      </c>
      <c r="C8342" t="inlineStr">
        <is>
          <t>読み方：もじ
《「もんじ」の撥音の無表記から》
１言葉を表記するために社会習慣として用いられる記号。個々の字の性質から表意文字・表音文字、また表語文字（単語文字）・音節文字・音素文字（単音文字）などに分けられる。もんじ。
２文章。また、読み書きや学問のこと。
「—を見る眼は中々慥にして」〈福沢・学問のすゝめ〉
３言葉。文言(もんごん)。
「ただ—一つにあやしう」〈枕・一九五〉
４字の数。音節。
「—のかずも定まらず」〈古今・仮名序〉
５（近世、関西地方で）字の記された銭の面。〈物類称呼〉
６語の後半を省き、その語の頭音または前半部分を表す仮名の下に付いて、品よく言い表したり、婉曲に言い表したりする語。→文字言葉</t>
        </is>
      </c>
      <c r="D8342" t="inlineStr">
        <is>
          <t>文字情報；文字資料；文字板；文字春；文字表示</t>
        </is>
      </c>
      <c r="E8342" t="inlineStr">
        <is>
          <t>キャラクター；字；アルファベット；レター；英字</t>
        </is>
      </c>
      <c r="F8342" t="inlineStr">
        <is>
          <t>金文字；三文字；四文字；大きな文字；佐文字</t>
        </is>
      </c>
      <c r="G8342" t="inlineStr">
        <is>
          <t>文字どおり；文字列；文字盤；文字コード；文字数</t>
        </is>
      </c>
      <c r="H8342" t="n">
        <v>29</v>
      </c>
      <c r="I8342" t="inlineStr">
        <is>
          <t>また、文字を表形式にして扱う方法も古くから存在し、利用されてきた。；なお、世界にはまだ読み方が分かっていない文字がいくつも残っている。；開発当初、WWW は文字情報を扱うだけの比較的単純なものであった。；使用する文字は同言語かどうかの判断基準としてはあまり用いられない。；日本語にない音を表記するために、いくつかの専用の文字を使用する。；現在の日本語で最も基本的な文字であり、主に次のような場面で用いられる。；印刷物には文字だけでなく挿し絵などの図版も必要とされることが多い。；また、印刷された文字にマージナルゾーンが見られるなどの特徴がある。；また、複数の文字を並べてより複雑な意味を表そうとするものもある。；文字が発明されてからの通信の多くは手紙という方式で行われるようになった。；コンピュータ用語では、通信や解析や表示の対象となる文字データを指す。；現在の日本の学校教育では文字の中では「平仮名」が最初に教えられる。；たとえばドイツで印刷されたものにはXの文字が記載されていた。；UTF-16では欠落があっても影響を受けるのはその文字だけである。；文字を特定の符号で扱う手段はコンピュータが誕生するよりも昔から存在した。；これは主に絵文字で使われているが、普通の文字でも色を使うことができる。；ただしペルシア語を除き、現在はそれぞれ別の文字で表記されている。；Unicodeには、ステラジアンを表す上記の文字が収録されている。；音価と文字が正確に対応しており、実用的な文字だったと考えられている。；以下の解説において、文字 はそれぞれ何らかの命題を表すものとする。；Unicodeには、秒の分量単位を表す上記の文字が収録されている。；その一方で、ある種の事態を表現する動詞や形容詞の文字も存在した。；他の標識に合わせた色・文字体変更がなされたが、形状は変更されていない。；Wは古来の文字ではないので英語やドイツ語からなどの外来語で使用する。；また分解能も低く、文字単位程度でしか位置を取得することができなかった。；カードには口座番号や氏名の文字がエンボス加工されて刻印されている。；五つの母音字は長短両方を表したが、文字の上で長短の区別はなかった。；当時は日本語の崩した文字に対応するために、木版印刷が広く用いられた。；シリア文字では、さまざまな目的のために文字の上下に点を打った。</t>
        </is>
      </c>
      <c r="J8342">
        <f>HYPERLINK("https://www.weblio.jp/content/文字", "词义详情")</f>
        <v/>
      </c>
      <c r="K8342">
        <f>HYPERLINK("https://yourei.jp/文字", "查看例句")</f>
        <v/>
      </c>
    </row>
    <row r="8343">
      <c r="A8343" t="inlineStr">
        <is>
          <t>もしかしたら</t>
        </is>
      </c>
      <c r="B8343" t="inlineStr">
        <is>
          <t>成功</t>
        </is>
      </c>
      <c r="C8343" t="inlineStr">
        <is>
          <t>読み方：もしかしたら
［副］疑いながら推定するさま。ひょっとしたら。もしかすると。「—行き違いになったのかもしれない」</t>
        </is>
      </c>
      <c r="D8343" t="inlineStr">
        <is>
          <t>もしかしたら自分；もしかしたら彼女；もしかしたら本当に；もしかしたら僕；もしかしたら俺</t>
        </is>
      </c>
      <c r="E8343" t="inlineStr">
        <is>
          <t>偶然；たまたま；思いがけず；はからずも；偶々</t>
        </is>
      </c>
      <c r="F8343" t="inlineStr">
        <is>
          <t>もしかしたら違う；もしかしたら一生；もしかしたらもっと；もしかしたらこういう；もしかしたら殺さ</t>
        </is>
      </c>
      <c r="H8343" t="n">
        <v>29</v>
      </c>
      <c r="I8343" t="inlineStr">
        <is>
          <t>もしかしたら、彼はちょっとだけ時代の先を進んでいたのかも知れない。；あの突然のソ連の侵攻に、もしかしたら戦死したかも知れないとも思う。；しかしまた一方、もしかしたらそうではないかも知れないと彼は思った。；もしかしたら、おまえ自身が思っている以上に長くいたのかもしれない。；しかしもしかしたら戻ってくるかもしれないという発言後に残している。；もしかしたら長年糸胞と戦ってきて、戦闘に疲れたのかもしれないわね。；あたしの一生はもしかしたらこのまま終ってしまうんじゃないかしら?；わたしたちはもしかしたらここにやってくる権利がないのかもしれない。；それでも、もしかしたら一二年は郊外で生活した方がいいのかもしれない。；もしかしたら、職を失ったことがいいほうに作用したのかもしれない。；そしてそのお金はもしかしたら、半分は運転手にやったのかも知れません。；「もしかしたら当初の構想より長く活動できるかもしれない」と語った。；もしかしたらエウロパ人も似たようなことを思いついたのかもしれない。；もしかしたらこの子供は、自分を殺すことも躊躇わないのかもしれない。；もしかしたら自分は大変な詐欺行為を働いているのかも知れないのだ。；もしかしたら父よりももっともっと自分には遠い兄であるかもしれぬのだ。；もしかしたらその頃の自分に今のラクロス部を重ねているのかもしれん。；もしかしたら、気のせいで、ありもしない音を耳にしたのかもしれないわ。；もしかしたら、彼女が正確に記録しなかっただけのことかもしれない。；もしかしたら、それは子供のときからもう決まっているのかもしれぬ。；もしかしたら月に行くことなんて最初から無理だと思っているのかも知れない。；艦長に、もしかしたら、暗号化された秘密を隠しているかもしれません。；もしかしたら、その鏡は亡くなった人だけを見せるのかもしれないな。；自分ももしかしたらなり得るかもという状況で起こる異常さを描いている。；もしかしたらと小さく感じている不安がその違和感を媒介に大きくなる。；もしかしたら、ログアウトしたあと、何を馬鹿なことを考えたんだ僕は!；もしかしたら私はそのために曲を作っていたのかもしれないなって思います。；もしかしたら少佐と呼ばれている男から、別の命令が下るかもしれない。；もしかしたら私は、その男であって、蜜蜂ではなかったのかもしれない。</t>
        </is>
      </c>
      <c r="J8343">
        <f>HYPERLINK("https://www.weblio.jp/content/もしかしたら", "词义详情")</f>
        <v/>
      </c>
      <c r="K8343">
        <f>HYPERLINK("https://yourei.jp/もしかしたら", "查看例句")</f>
        <v/>
      </c>
    </row>
    <row r="8344">
      <c r="A8344" t="inlineStr">
        <is>
          <t>もしかして</t>
        </is>
      </c>
      <c r="B8344" t="inlineStr">
        <is>
          <t>成功</t>
        </is>
      </c>
      <c r="C8344" t="inlineStr">
        <is>
          <t>読み方：もしかして
［副］
１「もしかしたら」に同じ。「君、—からだのぐあいが悪いんじゃないの」
２「もし1」に同じ。「—都合がつかないのなら、無理しなくてもいい」</t>
        </is>
      </c>
      <c r="D8344" t="inlineStr">
        <is>
          <t>もしかしてあれ；もしかして本当に；もしかして殷雷；もしかして寝；もしかしてもしかする</t>
        </is>
      </c>
      <c r="E8344" t="inlineStr">
        <is>
          <t>かもしれない；あるいは；或いは；もしかすると；ひょっとして</t>
        </is>
      </c>
      <c r="G8344" t="inlineStr">
        <is>
          <t>もしかして花月</t>
        </is>
      </c>
      <c r="H8344" t="n">
        <v>29</v>
      </c>
      <c r="I8344" t="inlineStr">
        <is>
          <t>もしかしてあのときも、机の中に鍵があることを知っていたのだろうか。；もしかして店内で過去を持っていないのは私だけなんじゃないかと思う。；もしかして自分の機能をより求める人の所に宝貝は落ちるんじゃないの?；もしかして思い出してはいけない過去は、こいつに由来するのだろうか。；もしかしてただあたしが人の意見をぜんぜん聞かないからだったりして。；もしかして、僕が皮杯面しか宝貝を持っていないとでも思っているのか?；もしかして遠坂、あいつの強さがどんな物なのか気づいていないのかな。；もしかして、あなたが見たものが怖いものだったからではないだろうか。；この前相談された時にもしかしてって思ったけど、やっぱりそうなんだ。；これは、もしかして出来の悪い生徒を指導する、教師の視線ではないか。；壁の上に棚をつけたりしたら、もしかして犯罪になるのではないだろうか。；もしかして、お姉さまのことを男だとでも思っているんじゃないですか?；もしかして検査などせずに眠っているのではないかと心配になった。；もしかしてこの点だけは、昨日よりも神経質になっているかもしれない。；もしかして、男と女ではそういうことの感じ方が違うとでも思ってるの?；もしかしてたまたま鼻が物凄く利く人が集まっていたりするのだろうか。；それでも最初は、もしかしてうまくいくのではないかと期待したのだ。；もしかして地上から、救援が来たかと考えたが、それはありそうにない。；もしかして今日一日、ずっと翡翠はお魚と格闘していたのかもしれない。；もしかして、携帯を使うことを許容したのは犯人の計算ではなかったか。；もしかしてまさかと思うけどわたしを倒すためにまた犬を使う気なの?；もしかして、私はあまりにも音に毒されてしまっているのではないだろうか。；もしかして、アンネローゼは何か病に犯されているのではないだろうか。；もしかして、それがギャミラさまの力の秘密を解く鍵になるやもしれん。；もしかして叔父はすでに以前に弁護士に訴訟のことを話していたのだろうか?；あるいはそれはもしかしてわたしの単なる想像に過ぎなかったのかもしれない。；もしかして、五体満足な子じゃなかったのかしら、と母は不安になった。；もしかして、いま辰吉が買ったのは母親へのプレゼントじゃないのでは?；もしかして、彼の手に負えぬことでも起きて、僕を呼び出しているのか。</t>
        </is>
      </c>
      <c r="J8344">
        <f>HYPERLINK("https://www.weblio.jp/content/もしかして", "词义详情")</f>
        <v/>
      </c>
      <c r="K8344">
        <f>HYPERLINK("https://yourei.jp/もしかして", "查看例句")</f>
        <v/>
      </c>
    </row>
    <row r="8345">
      <c r="A8345" t="inlineStr">
        <is>
          <t>もしかすると</t>
        </is>
      </c>
      <c r="B8345" t="inlineStr">
        <is>
          <t>成功</t>
        </is>
      </c>
      <c r="C8345" t="inlineStr">
        <is>
          <t>読み方：もしかすると
［副］ひょっとすると。もしかしたら。「—助かるかもしれない」</t>
        </is>
      </c>
      <c r="D8345" t="inlineStr">
        <is>
          <t>もしかすると里見</t>
        </is>
      </c>
      <c r="H8345" t="n">
        <v>29</v>
      </c>
      <c r="I8345" t="inlineStr">
        <is>
          <t>もしかするとこれ以上事故が起こるのを防ぐことができるかもしれない。；もしかするとその秘密の一部を久子さんも知っているのではあるまいか。；それはもしかすると、今の世の中ではもっとも強い武器のように思えた。；もしかすると、社長夫人はその手紙をすぐに開かなかったかも知れない。；彼女はもしかすると、私に助けを求めているのかもしれない、と思った。；もしかするとあなたは気が狂ってるんじゃないかと、いま考えているの。；いやもしかすると、言葉を話す人間のすぐと間近に来てるのかも知れぬ。；もしかすると、ここにも、自分と同じ思いの人間がいるのかも知れない。；もしかするとそれが二人の新しい誓いのしるしになるかも知れないのだ。；腰の辺りか、もしかするともっと下の方まで伸びているストレートの髪。；もしかすると、僕はもう相当に図々しくなっているんじゃないだろうか?；もしかすると、あれは別に思わくあってのことじゃないかもしれないぞ!；もしかすると彼は黎子にこそ、このことを伝えたかったのかもしれない。；もしかすると、どこかで触れてはいけない金に手を出したのかもしれない。；もしかすると、彼の読んでいる新聞も今日のものではないのかもしれない。；もしかするとわたしは、一つことを二度も記録しはしなかったであろうか。；ただ、もしかすると、そういうことが必要になるかもしれませんのでね。；もしかすると、夕方以外はまったく寝ていないのではないかとすら思った。；もしかすると、それらの中に人形師であった父の作品があるかもしれない。；扱いも慣れているし、もしかすると必要とさえしているかもしれなかった。；それで、もしかすると別の革命集団ができたのかもしれないと思い始めた。；もしかすると、そのせいでその男が死んでいたかもしれないと考える。；もしかすると妻が東京駅まで娘を連れて出しに行ったのかも知れない。；妻はもしかすると老衰で死んでしまったのかもしれないとさえ考えた。；もしかすると石井の捜査参加は気配と云うより希望だったのかもしれない。；もしかするとカルシファーは、朝になったら戻ってくるかもしれません。；もしかすると、銀河系史にも、多くは記述されていないのかもしれない。；もしかするとこの人はお役人にでもつけられたのじゃあないかしら?；だがそのうちに、もしかするとこれかも知れないと思うことがあった。</t>
        </is>
      </c>
      <c r="J8345">
        <f>HYPERLINK("https://www.weblio.jp/content/もしかすると", "词义详情")</f>
        <v/>
      </c>
      <c r="K8345">
        <f>HYPERLINK("https://yourei.jp/もしかすると", "查看例句")</f>
        <v/>
      </c>
    </row>
    <row r="8346">
      <c r="A8346" t="inlineStr">
        <is>
          <t>もしくは</t>
        </is>
      </c>
      <c r="B8346" t="inlineStr">
        <is>
          <t>成功</t>
        </is>
      </c>
      <c r="C8346" t="inlineStr">
        <is>
          <t>読み方：もしくは
《漢文訓読から生じた語》
［接］どちらか一方を選択するのに用いる語。あるいは。さもなければ。または。「行くか、—やめるか」
「賄賂を収受し又は之を要求—約束したるときは」〈刑法・一九七条〉
→又は［用法］
［副］ひょっとして。もしかしたら。
「—御陵の内に犯し穢せる事もやあらむと」〈続後紀・宣命〉</t>
        </is>
      </c>
      <c r="D8346" t="inlineStr">
        <is>
          <t>もしくは単に；もしくは複数；もしくは過去；もしくは両方；もしくはそれら</t>
        </is>
      </c>
      <c r="E8346" t="inlineStr">
        <is>
          <t>また；あるいは；または；或いは；でなければ</t>
        </is>
      </c>
      <c r="F8346" t="inlineStr">
        <is>
          <t>捕食者もしくは腐肉食者；もしくはスマートフォン専用アプリ；もしくは都道府県知事；もしくは半水棲；もしくはセカンドロープ</t>
        </is>
      </c>
      <c r="H8346" t="n">
        <v>29</v>
      </c>
      <c r="I8346" t="inlineStr">
        <is>
          <t>台風の多い日もしくは風の強い日といわれるが、必ずしも事実ではない。；この場合、契約は国家間もしくはそれにメーカーを加えたケースが多い。；証明とは、ある事柄が真理もしくは事実であることを明らかにすること。；これはフランスもしくはヨーロッパ文化をより高いものと観ているからと思われる。；南アジアとの関係が深く南部もしくは全土を南アジアに含むこともある。；また作曲をメインとしている者、もしくは作曲能力に秀でた者を中心に記載。；単純に移植、もしくはある程度手を加えて商品化するタイプも出て来ている。；恋愛小説は、男女間もしくは同性間での恋愛を主題とした小説のこと。；いずれも登場作品の数年前に開発、もしくは実用化が成ったものである。；壁状のものは特に銀河ウォールもしくはグレートウォールなどとも呼ぶ。；そのため、報復もしくは第二撃核攻撃に用いることが想定されている。；これらは相反する要素ではなく、二つもしくは全てを追求する作品もある。；成人の場合は意味は全く異なるが美形もしくは美男が一般的に呼称される。；空手は、もともと明治初頭の頃の沖縄では手もしくは唐手と呼ばれていた。；このモデル全体、もしくは一部分が他の計算の基として用いられることがある。；単独もしくは他の油脂類と混合する形で古くから潤滑用途に用いられてきた。；もしくはイチゴをイメージさせる色と香りをつけたシロップのこと。；この文字が表す音素は原則としてもしくは、またはその類似音である。；ぷよぷよは基本的に人間もしくはコンピュータとの対戦に主眼が置かれている。；冬季には家族群もしくは家族群が合流した群れを形成する。；中学校卒業後、学生は職業専門学校もしくは通常の高校へと進学することが多い。；日本代表とは、日本を代表して国際会議や世界的な大会に参加する個人もしくは団体。；個体群は、同一の種もしくはそれよりも小さい単位の個体により構成される。；この方法では、一体もしくは二体の弾性散乱のみ扱う事ができる。；一般的には支柱を立てて金属製もしくは合成繊維製の網を張る場合が多い。；そのような言語のことを、国際共通語、もしくはリンガフランカと呼ぶ。；ここから個体が脱走、もしくは成体や卵が流出したことも考えられる。；仕事用もしくはイベント用、また荷役の状態などによって形状が左右される。；当コーナーは番組後半もしくは番組終盤で行われていた。</t>
        </is>
      </c>
      <c r="J8346">
        <f>HYPERLINK("https://www.weblio.jp/content/もしくは", "词义详情")</f>
        <v/>
      </c>
      <c r="K8346">
        <f>HYPERLINK("https://yourei.jp/もしくは", "查看例句")</f>
        <v/>
      </c>
    </row>
    <row r="8347">
      <c r="A8347" t="inlineStr">
        <is>
          <t>もしも</t>
        </is>
      </c>
      <c r="B8347" t="inlineStr">
        <is>
          <t>成功</t>
        </is>
      </c>
      <c r="C8347" t="inlineStr">
        <is>
          <t>読み方：もしも
［副］「もし」を強めた語。「—負けたらどうしよう」「—のとき」</t>
        </is>
      </c>
      <c r="D8347" t="inlineStr">
        <is>
          <t>もしもそう；もしも本当に；もしもそんな；もしもかれ；もしもあんた</t>
        </is>
      </c>
      <c r="E8347" t="inlineStr">
        <is>
          <t>もし；仮に；万一；もしか；万が一</t>
        </is>
      </c>
      <c r="F8347" t="inlineStr">
        <is>
          <t>もしもそうなら；もしも万一；もしも原子が見え；もしもあの時；もしもあのとき</t>
        </is>
      </c>
      <c r="G8347" t="inlineStr">
        <is>
          <t>もしもボックス；もしもし券売機；もしもツアーズ；もしもの日；もしもの話</t>
        </is>
      </c>
      <c r="H8347" t="n">
        <v>29</v>
      </c>
      <c r="I8347" t="inlineStr">
        <is>
          <t>従ってもしも二個の太陽が衝突するとすれば当然非常な熱量を発生する。；もしもこのまま続けたら他の人たちと同じように眼が見えなくなるだろう。；もしも左側であったらどちらかと言うと敵が成功していて、都合が悪い。；もしもお京にその心があったら、これだけは聞かなければならない筈だ。；もしも顔の見方を知ったら多数の言葉以上のことを人の顔は語ってくれる。；もしもこれらの本を批判的に考慮し識別能力をもって使うならである。；「もしも今日が最後の試合になっても僕は満足だ」などとコメントした。；彼がもしも私の友人なら二階の窓から彼と話をすることもできる。；もしも二人がこゝへ來たらば、おれはまだ奧州から戻らぬと云ふのだぞ。；もしも台湾の民助兄夫婦や大阪の愛子夫婦なぞがこの事を知ったとしたら。；そしてもしも果してさういふ意味だとすれば、澄江だけのことではない。；もしも自分の眼が狂つてゐて、列車が見えないのだつたらどうだらう。；もしもその時から二人が知り合になつてゐたならば、どうなつたらう。；その代わりに、もしも生きているならば釈放されることになっていた。；これはもしも損失を出したときに地元資本に負担させる意図であった。；もしもそうなら住居は今日のように投機の対象や利益の源であるべきではない。；その代りもしも人生に希望がなくなると生きているほど辛いものはない。；もしも社会人野球チームに入っていたら、目指すものは違っていたという。；もしも豊臣の子孫なら、その系図を文字に記して残すのも不安であろう。；もしもクモの毒で起きたのでないとしたら正体は何だったろうか?；もしもだ、誰にも知られずに、確実にあの馬の出走を取りやめたらどうだ。；もしも帆村の解読が三時間遅れていたとしたらどうなったであろうか。；もしも期日内に捕らえることが出来なければ、日本国がこれを処弁する。；自分にもしものことがあったら、光枝を妻としてもらってくれというのだ。；もしも、もとのところへつれ返されたら、大へんだと思ったものですから。；もしもその医師がヒポクラテスのように有名だったら評判は先行した。；もしも実際に文屋綿麻呂が書いたとすれば811年頃の出来事になる。；でありますからしてもしもそういう懐疑、そういうことを考えていられない。；もしも刺激が正常の範囲で作用するならば生体の反応は正常であろう。</t>
        </is>
      </c>
      <c r="J8347">
        <f>HYPERLINK("https://www.weblio.jp/content/もしも", "词义详情")</f>
        <v/>
      </c>
      <c r="K8347">
        <f>HYPERLINK("https://yourei.jp/もしも", "查看例句")</f>
        <v/>
      </c>
    </row>
    <row r="8348">
      <c r="A8348" t="inlineStr">
        <is>
          <t>もしもし</t>
        </is>
      </c>
      <c r="B8348" t="inlineStr">
        <is>
          <t>成功</t>
        </is>
      </c>
      <c r="C8348" t="inlineStr">
        <is>
          <t>［感］《「もうしもうし」の音変化》
１相手に呼びかけるときに言う語。「—、ちょっとうかがいますが」
２電話で話し始めるときに用いる語。</t>
        </is>
      </c>
      <c r="G8348" t="inlineStr">
        <is>
          <t>もしもし原宿；もしもしホットライン；もしもしピエロ</t>
        </is>
      </c>
      <c r="H8348" t="n">
        <v>29</v>
      </c>
      <c r="I8348" t="inlineStr">
        <is>
          <t>もしもしとは、相手からの応答を求める際に用いる日本語の挨拶である。；「もしもし」 やがて女性の声が携帯電話の向こう側から聞こえてきた。；「もしもし」 例の声なのだが、池田の頭からはその記憶が消えている。；東京に着いた大海からの電話だと思い「もしもし」と無愛想な声で出た。；もしもしと言ったんです、おばあさん、どうか、したんじゃないですか。；「もしもし」 電話を伝わってくる和彦の妻の声は、素朴な感じだった。；だが、 「もしもし」 電話の相手は聞きなれないたおやかな声だった。；もしもしお女中さま、お前を助け様と発企したのは此ヘルで厶ります。；もしもし、わたしよといってかかってくる女からの電話が日に四、五回ある。；「はい、もしもし」 息を飲む気配があり、「あたし」と女の声がした。；もしもし、三木ですが、と彼は受話器を手に首を屈めるようにして言った。；「もしもし」 受話器を耳に当てると、女性の澄んだ声が聞こえてきた。；芹沢が我慢できずに「もしもし」と言うと、やっとのことで州波が声を発した。；「僕でしょうか」 もしもし、と呼びとめられたので、彼はそう尋ね返した。；「もしもし」 久美子は、襲撃者に立ち向かっているような気持だった。；「もしもし小西ですが」 ダイヤル・インなのでまず自分の名を言う。；「ロボット一万五千体のご注文、まさに拝受いたしました」もしもし!；部屋に戻ってからも「もしもし」と何度か心で女を呼んだ。；「あ、もしもし」ところが、期待に反して、電話に出たのは男の声だった。；緑色が点滅している外線のボタンを押し、 「もしもし」 と彼は言った。；「もしもし」 電気スタンドの脇に置いてある携帯電話を手にした。；「もしもし」 と、せき込むような口調で、向うは電話口に出て来た。；もしもし左守さま、此お民さまは誰人の娘だと考へて居なさるか。；電話をすると、たいていは、「もしもし」と言ったきり、黙っている。；相手が『もしもし』とか『どなたですか』と言うのを聞くだけでいい。；職務質問の際に「もしもし」と声掛けされるようになったのは戦後である。；「もしもし」私の声は知らず知らずのうちに、何かを警戒するようなトーンになっていた。；もしもしそこのご老人、と声をかけたくなるほどの超リアリズムで表現された高僧の姿がそこにあったのだ。；「もしもし」と電話に出てきた彼女の声に精彩がないことに知人はすぐに気がついた。</t>
        </is>
      </c>
      <c r="J8348">
        <f>HYPERLINK("https://www.weblio.jp/content/もしもし", "词义详情")</f>
        <v/>
      </c>
      <c r="K8348">
        <f>HYPERLINK("https://yourei.jp/もしもし", "查看例句")</f>
        <v/>
      </c>
    </row>
    <row r="8349">
      <c r="A8349" t="inlineStr">
        <is>
          <t>もじもじ</t>
        </is>
      </c>
      <c r="B8349" t="inlineStr">
        <is>
          <t>成功</t>
        </is>
      </c>
      <c r="C8349" t="inlineStr">
        <is>
          <t>［副］(スル)遠慮や恥ずかしさなどのために、はっきりした態度がとれないさま、また、落ち着かないさま。「うつむいて—している」</t>
        </is>
      </c>
      <c r="D8349" t="inlineStr">
        <is>
          <t>もじもじしてる；もじもじし始め；もじもじしはじめ；もじもじしだし；もじもじ動かし</t>
        </is>
      </c>
      <c r="E8349" t="inlineStr">
        <is>
          <t>まごまご；ボソボソ；もごもご</t>
        </is>
      </c>
      <c r="F8349" t="inlineStr">
        <is>
          <t>足をもじもじ；ままもじもじ；体をもじもじ；ちょっともじもじ；少しもじもじ</t>
        </is>
      </c>
      <c r="H8349" t="n">
        <v>29</v>
      </c>
      <c r="I8349" t="inlineStr">
        <is>
          <t>部屋に遊びに来たいっていうから入れたら、勝手にもじもじし出したの。；森はもじもじしていたが、観念して後ろに隠していたものを取り出した。；私が彼の意味を悟りかねて、もじもじしていると、彼はそれを説明した。；私が彼の意味を悟り兼ねて、もじもじしていると、彼はそれを説明した。；早く、水の中を自由に泳ぎたいものだと、体をもじもじさしていました。；あたりのビルにはさまれ、もじもじと古さを保っているような家である。；私は嬉しくてたまらなかったが、祖母たちの顔を見てもじもじしていた。；娘はしかし何んだかもじもじしているばかりで、なかなか返事をせずにいた。；かれは何分間か黙ってもじもじしていたが、やがてやっと口をきいた。；ソロは両足をコーヒー・テーブルにのせて、爪さきをもじもじさせていた。；ただ、もじもじとしていて、答えることができなかったのであります。；写真の中の彼女は、もじもじと恥ずかしそうにしているように見えた。；佐智が顔をあげると、扉口にメリー・宋がもじもじしながら立っていた。；もじもじと膝を抱えたり、窓の外に目をやっては声を上げかけて自分で止めたり。；肩をもじもじさせてから何か言おうとしたが、下を向いてしまった。；「やられたのか」 看護婦が黙ってもじもじしているので私はそう言った。；彼女たちはお互いにさぐりあい、判断がつかないのでもじもじしていた。；あなたが行きたがってもじもじしているのは知っていてよ。；膝の上で手をもじもじさせているのにハリーは気がついた。；レエモンは、もじもじして、私の方に眼をやって、また煙草を一服した。；歓声をあげてとびついてくる子もいれば、もじもじしている子もいる。；「そういうわけではありません」 キニスンは赤くなってもじもじした。；五人の男女が入口のドアの前に目白押しに並んで、もじもじしていた。；そして教師に叱られると前掛けの下に手を入れてもじもじしていた。；それからの一時間は死ぬほど退屈で、おれはもじもじのしどおしだった。；下を向いて、もじもじしていると、ふところから小さな声が聞こえました。；なにか居心地が悪そうに、腰掛けのうえのお尻をもじもじさせている。；才人はなんと言えばいいのかわからず、いっしょになってもじもじし始める。；そのうちの一番小さな子供が、何か言いたそうな顔でもじもじしていることに気づいた。</t>
        </is>
      </c>
      <c r="J8349">
        <f>HYPERLINK("https://www.weblio.jp/content/もじもじ", "词义详情")</f>
        <v/>
      </c>
      <c r="K8349">
        <f>HYPERLINK("https://yourei.jp/もじもじ", "查看例句")</f>
        <v/>
      </c>
    </row>
    <row r="8350">
      <c r="A8350" t="inlineStr">
        <is>
          <t>もたらす</t>
        </is>
      </c>
      <c r="B8350" t="inlineStr">
        <is>
          <t>成功</t>
        </is>
      </c>
      <c r="C8350" t="inlineStr">
        <is>
          <t>読み方：もたらす
［動サ五（四）］
１持ってくる。持っていく。「吉報を—・す」
２好ましくない状態を生じさせる。引き起こす。将来する。また、ある状態を実現させる。「台風が災害を—・す」「対立を—・す」「利益を—・す」「変化を—・す」</t>
        </is>
      </c>
      <c r="D8350" t="inlineStr">
        <is>
          <t>もたらす可能性(2%)；もたらすかもしれ；もたらすべく</t>
        </is>
      </c>
      <c r="E8350" t="inlineStr">
        <is>
          <t>与える；生じる；起こす；加える；引き起こす</t>
        </is>
      </c>
      <c r="F8350" t="inlineStr">
        <is>
          <t>もたらすかも知れ</t>
        </is>
      </c>
      <c r="H8350" t="n">
        <v>29</v>
      </c>
      <c r="I8350" t="inlineStr">
        <is>
          <t>他のソ連国民同様、第二次世界大戦は一家に大きな苦しみをもたらした。；どういう目的で、どういう結果をもたらそうとしているかだけで充分だ。；しかし文字の起源を考える上では重要な情報をもたらしてくれることもある。；また、スポーツでは後に国民的スポーツとなるサッカーがもたらされた。；第二次世界大戦に関し、飛行機がもたらした破壊を残念に思うと述べた。；この国連の諸組織は、経済や雇用の面でも大きな利益をもたらしている。；交通の要衝であったことと重要な教会の存在が経済的繁栄をもたらした。；貿易はそれに関わった双方の国に利益をもたらす事が知られている。；現在のタイにあたる地域に仏教がもたらされたのはおよそ5世紀である。；変わって、彼はエジプトの地方に利益をもたらすための計画を作り始めた。；ムーア人がスペインに木綿栽培法をもたらしたのは9世紀のことである。；またこの絵にみられる実験や観察は医学に大きな発展をもたらした。；彼は全ての行為は愛の故であり、人間を幸福にもたらそうとした故であった。；しかし、こうした改革は帝国に完全な安定をもたらすことは無かった。；血小板減少をもたらす原因疾患は数が多いため、代表的なものを挙げた。；こうした社会的な変動は、社会制度そのものに大きな変化をもたらした。；このことは楽団員およびクレンペラーとの間に緊張関係をもたらした。；陸軍の統制派は二・二六事件の蹶起がもたらした状況を最大限に利用した。；倒れた木は海に落ち、その破片は人々に幸せをもたらすものとなった。；日本の中国への浸透は日中あるいは日ソ間の戦争をもたらすであろう。；商人が市を出入りすることから、橋は市に使用料と税金をもたらした。；この聴聞会は公に放送され、南アフリカの社会に重大な衝撃をもたらした。；弥生時代以降に日本からミクロネシアへもたらされたことが考えられる。；この火は市の港に最も近い区域まで燃え広がり、かなりの被害をもたらした。；国に利益をもたらすイベントもあるが、中には損害となる場合もある。；当初は輸入でしかもたらされない貴重品であり医薬品として扱われていた。；戦国時代の連続した戦いは、兵法と技術の急速な発展をもたらした。；そしてこれは、地上から見た太陽の高さと日照時間の変化でもたらされる。；所有することで精神的に安心をもたらす場合、これらは形代とも呼ばれる。</t>
        </is>
      </c>
      <c r="J8350">
        <f>HYPERLINK("https://www.weblio.jp/content/もたらす", "词义详情")</f>
        <v/>
      </c>
      <c r="K8350">
        <f>HYPERLINK("https://yourei.jp/もたらす", "查看例句")</f>
        <v/>
      </c>
    </row>
    <row r="8351">
      <c r="A8351" t="inlineStr">
        <is>
          <t>凭れる</t>
        </is>
      </c>
      <c r="B8351" t="inlineStr">
        <is>
          <t>成功</t>
        </is>
      </c>
      <c r="C8351" t="inlineStr">
        <is>
          <t>読み方：もたれる
［動ラ下一］［文］もた・る［ラ下二］
１人や物に自分のからだの重みをあずける。寄りかかる。「柱に—・れる」「籐椅子に—・れる」
２食べた物が消化されないで胃に残り重苦しく感じられる。「食べ過ぎで胃が—・れる」
３しつこくつきまとう。甘えて頼る。
「すいなる男…初対面なれば、—・れずふらず」〈ね物がたり〉</t>
        </is>
      </c>
      <c r="D8351" t="inlineStr">
        <is>
          <t>もたれる；寄りかかる；倒れかかる；倚る；もたれかかる</t>
        </is>
      </c>
      <c r="H8351" t="n">
        <v>29</v>
      </c>
      <c r="I8351" t="inlineStr">
        <is>
          <t>女は安心したのか、身体を二つに折って私の方に凭れるようにしている。；橘と加藤さんは向い合って窓に凭れ、外の闇にばかり視線を投げていた。；人より先に登って来た南日君と私とは、杖に凭れて雪の上に立ち停った。；アーエートは西側の海岸の岩隙の壁に凭れ、眼をあいたまま死んでいた。；少年は材木に凭れ、寒そうな顔もしないでこの寂しい風景を眺めていた。；栃之木は吉井が凭れかかっている椅子をデスクのそばまで押していった。；妻の突然の死で、彼は凭れていた柱が不意に倒れたような感じだった。；思ったよりも身体は萎えているようで、靠枕に凭れていても息が弾んだ。；欄干に凭れて朝日川の水の流れを眺めている若侍の一人が口を切った。；しかし、体は武蔵の手に凭れたままうっとりと眸はまだ遠くを見ていた。；勝手の壁に凭れていた男は、洗面所の扉を開けて一歩だけ浴室に入った。；彼は玄関の壁に凭れながら、あの本この本を引き出して読んだものだ。；いきなり恐ろしい音がして、主人は凭れて居た柱の根に崩れてしまつたんです。；彼女は腰が抜けたように、一番下の階段に震えながら凭れかかった。；私は、断りもせず、彼女の正面にあった背凭れのない椅子に腰を下ろした。；そこには背凭れに手を掛けて私たちを覗き込んでいる女性の顔があったのである。；女は冴えない顔色をして、夫の膝に凭れかかるようにして喘いでいた。；彼らは手摺りに凭れかかり、行列が下を通るのを待ちかまえているのだ。；案内された部屋に入ると、テーブルに凭れていた石黒が薄眼をあけた。；二本の長い棒の間に籠が設けてあり、籠には椅子のような背凭れがついている。；漸く笹の中を左に切れて、木立の下の大きな岩に凭れ掛りさま一息する。；そうして食べながら話をするのだが、今日は膝に凭れかかったままで話している。；ぐったりとベッドに凭れ、焦点の定まらない目で前方の壁を眺めている。；腰を下しているばかりじゃない、何うやら凭れ合っているようだ。；彼はソファに凭れて舞台を睨めていてももう何の興味も起らなかった。；写真には絵と同じ姿勢でソファーに凭れかかっている杏子が写されていた。；木乃伊はストーブの側で椅子に凭れて、心持好さそうに居睡をしている。；戸口に凭れてゐる娘共には勿論の事、逢ふ人毎に此方から言葉をかける。；桑田犯人説に到っては自分の影に凭れかかるようなものだった訳だ。</t>
        </is>
      </c>
      <c r="J8351">
        <f>HYPERLINK("https://www.weblio.jp/content/凭れる", "词义详情")</f>
        <v/>
      </c>
      <c r="K8351">
        <f>HYPERLINK("https://yourei.jp/凭れる", "查看例句")</f>
        <v/>
      </c>
    </row>
    <row r="8352">
      <c r="A8352" t="inlineStr">
        <is>
          <t>餅</t>
        </is>
      </c>
      <c r="B8352" t="inlineStr">
        <is>
          <t>成功</t>
        </is>
      </c>
      <c r="C8352" t="inlineStr">
        <is>
          <t>読み方：へい
［常用漢字］　［音］ヘイ（漢）　［訓］もちもちい
〈ヘイ〉小麦粉などをこねて焼いて作った食品。「画餅(がべい)・月餅(げっぺい)・煎餅(せんべい)」
〈もち〉もち米を蒸してついた食品。「餅肌・餅菓子／鏡餅・草餅・桜餅」
[補説] 「餠」は本字。</t>
        </is>
      </c>
      <c r="D8352" t="inlineStr">
        <is>
          <t>餅をつい；餅麹；餅状；餅粉；餅代</t>
        </is>
      </c>
      <c r="F8352" t="inlineStr">
        <is>
          <t>丸餅；お煎餅；白餅；豆餅；ヶ餅</t>
        </is>
      </c>
      <c r="G8352" t="inlineStr">
        <is>
          <t>餅屋；餅菓子；餅米；餅まき；餅肌</t>
        </is>
      </c>
      <c r="H8352" t="n">
        <v>29</v>
      </c>
      <c r="I8352" t="inlineStr">
        <is>
          <t>僕はあなたが僕に愛情をおもちになるはずがないのをよく知っております。；またその日に供えられた餅を食べると病気患いがないと信仰されている。；私は 伯母さんといつしよにおもちや箱をもつて出てゆく といつた。；この他にも女房をたくさんおもちになった神々しい方があったのです。；いつかあんたもそのおもちゃのひとつにならないって保証はないんだぜ。；夫のほかに恋人をおもちなさい、とすすめているわけではけっしてない。；このお三人、それぞれバンクーバーに別宅をおもちになろうとしている。；次の幕合にお糸さんは、子供にと云つておもちやの箱を買つて来てくれた。；今日は としの くれで、おもちを ついたので、もって きました。；花の中央に雪のように白い餅に見える付属体があることから雪餅草と呼ばれる。；また、その年は米の不作により米の凍餅は作らなかったことも分かった。；現在では、この峠の名物でもある「笹子餅」にもこの絵が描かれている。；その年の末に山爺が現れ、餅がほしいというのでたくさん食べさせた。；この粽は厄除け用として作られており、笹の葉の中に餅は入っていない。；この種の難問題にはすでに相当の経験をおもちとうかがっております。；基本的に小豆餡が使われているが、栗・餅などが入っている事もある。；そして小林の見た地獄は紙に書かれた餅のような地獄であった。；そして小林の見た地獄は紙に書かれた餅のやうな地獄であつた。；今日の智恵子はやはり藤色矢餅の着物を着ているではありませんか。；街に近い餅屋へ毎日餅を買いにくる女があって、彼女は赤児をかかえていた。；街に近い餅屋へ毎日餅を買いに来る女があって、彼女は赤児をかかえていた。；この手は饑えた人に早く餅を受け取ってもらおうと前へ進むだけです。；しかしこの殺人鬼はあわれにも、地獄からの呪いのおもちやにすぎない。；第二、面会は単なる儀礼であるのか、それとも何か用件をおもちなのか。；きっと、この知らせにとても興味をおもちになったのでしょうね?；この村に餅を食べる家といえば、たしか一軒あるときいていたが。；また家庭用の餅つき機も普及しつつあり、餅を日常的に食べる人も増えた。；牛深では神に供える赤米という米を栽培し、これで「餅」を作っていた。；半年を過したある日のこと加奈子は萩の餅を持ってお京さんの家を訪ねた。</t>
        </is>
      </c>
      <c r="J8352">
        <f>HYPERLINK("https://www.weblio.jp/content/餅", "词义详情")</f>
        <v/>
      </c>
      <c r="K8352">
        <f>HYPERLINK("https://yourei.jp/餅", "查看例句")</f>
        <v/>
      </c>
    </row>
    <row r="8353">
      <c r="A8353" t="inlineStr">
        <is>
          <t>持ち上げる</t>
        </is>
      </c>
      <c r="B8353" t="inlineStr">
        <is>
          <t>成功</t>
        </is>
      </c>
      <c r="C8353" t="inlineStr">
        <is>
          <t>読み方：もちあげる
［動ガ下一］［文］もちあ・ぐ［ガ下二］
１手で持ったり、下から支えたりして、物を上の方へ上げる。「バーベルを—・げる」「ジャッキで—・げる」
２頭などを上の方へ起こす。もたげる。「読んでいた本から頭を—・げる」
３ほめておだて上げる。「—・げられていい気になる」</t>
        </is>
      </c>
      <c r="D8353" t="inlineStr">
        <is>
          <t>持ち上げることだってできる</t>
        </is>
      </c>
      <c r="E8353" t="inlineStr">
        <is>
          <t>取る；上げる；挙げる；掲げる；取り上げる</t>
        </is>
      </c>
      <c r="F8353" t="inlineStr">
        <is>
          <t>高く持ち上げる；軽く持ち上げる；つかんで持ち上げる；そっと持ち上げる；ごと持ち上げる</t>
        </is>
      </c>
      <c r="H8353" t="n">
        <v>29</v>
      </c>
      <c r="I8353" t="inlineStr">
        <is>
          <t>泉の目に、正面の男が拳銃を自分のほうへ向けて持ち上げるのが映った。；頭を高く持ち上げた状態で数日の安静を保つことで多くは自然回復する。；起き上がろうと努力しているのだが、指一本持ち上げることはできない。；今はちょこっと持ち上げることに成功して、少し先の地面を指していた。；杖の先端が廊下の床につくと、肩と腕に体重をかけて、体を持ち上げる。；雷は上から下に落ちるものであって、下から上に持ち上げるものではない。；下から車を持ち上げるのでなければ、彼を引き出すことは不可能だった。；慣れた重さのはずなのに、いまはそれを持ち上げるだけで苦痛を感じる。；明らかに喜びと見える色を顔に作り、鉄蓋を手に取ると一気に持ち上げる。；持ち上げて此度は目が眩むような速度で私を深い所へ落そうとしている。；刺激を受けるとその部分を持ち上げ、頭を内側に折り曲げるようにする。；舌尖は通常の口の構えで下歯についており、持ち上げて調音がなされる。；僕は指を少し明乃の尻のほうに持ち上げるようにして、隙間を作った。；また、機関車が運んできた荷物を持ち上げるためのクレーンも2台ある。；しかし自分の体を持ち上げる必要がないので、そのぶん急に体は楽になった。；となると、両手の指で角材を摘み上げるような形で持ち上げるしかない。；それが、さっきからたびたび毛皮を下から持ち上げた動物であったのだ。；極限を持ち上げることは、極限を保存することと明らかに関係している。；これは、機関車をチェーンで持ち上げてテストしたときによく発揮された。；手を持ち上げると、袖が下って、彼女の美しい腕がその下から現れた。；まことに孔明を持ち上げるためにこの世に生まれてきたかのような男である。；頭を防御するならするで、ちゃんとガードするところまで持ち上げろよ。；周囲の砂を少し掘ってから、二人で同じ方向に持ち上げることにする。；もう彼は頭を肩の上に持ち上げていることも出来ず、足もその身を支えなかった。；適切に適用されると、鼻腔のスペースを持ち上げて広げることができる。；「そうしようそうしよう」 服装を整えて、ついていた膝を持ち上げる。；その視線に気が付いたのか、比呂緒が自分の目の前にそれを持ち上げる。；そして二人で、二段重ねの箪笥の上の部分を、持ち上げて下しにかかった。；したがって、下から持ち上げてきた空気塊は更に上昇を続けられる。</t>
        </is>
      </c>
      <c r="J8353">
        <f>HYPERLINK("https://www.weblio.jp/content/持ち上げる", "词义详情")</f>
        <v/>
      </c>
      <c r="K8353">
        <f>HYPERLINK("https://yourei.jp/持ち上げる", "查看例句")</f>
        <v/>
      </c>
    </row>
    <row r="8354">
      <c r="A8354" t="inlineStr">
        <is>
          <t>持ち歩く</t>
        </is>
      </c>
      <c r="B8354" t="inlineStr">
        <is>
          <t>成功</t>
        </is>
      </c>
      <c r="C8354" t="inlineStr">
        <is>
          <t>読み方：もちあるく
［動カ五（四）］手に持ったり身に付けたりして歩く。「多額の現金を—・く」</t>
        </is>
      </c>
      <c r="D8354" t="inlineStr">
        <is>
          <t>持つ；帯びる；携行する；携帯する；帯同する</t>
        </is>
      </c>
      <c r="F8354" t="inlineStr">
        <is>
          <t>常に持ち歩く；ず持ち歩く；いつも持ち歩く；同時に持ち歩く</t>
        </is>
      </c>
      <c r="H8354" t="n">
        <v>29</v>
      </c>
      <c r="I8354" t="inlineStr">
        <is>
          <t>一斗が大怪我をした後、しばらくはそれと似た袋を持ち歩いていたのだ。；たぶん、あの娘が持ち歩いているのを連中は目にしていたんだろうよ。；そんなものを身に付けて持ち歩くのは危険だと、頭では承知していた。；実際には若武者の方が分身で、彼の持ち歩いている刀の方が本体である。；もちろん、家族の写真を持ち歩くこと自体は大したことではありません。；だから私は精神波感知機を持ち歩き、折につけて見るようにしていたのだ。；唯一の宝物のカメラをいつも持ち歩いて、信之の後をついて歩いている。；オマジナイとしてお互いの人形を 持ち歩くなんてのは少し異常なんだ。；その時から僕は何も書いていない夢に関するノートを持ち歩いているのだ。；部屋に置きに行くのも面倒なので、何となく持ち歩いてしまっていたのだ。；それで、彼はそのための特別なナイフを隠しの中に持ち歩いていた。；ちょうど口紅を持ち歩くように、第二の天性みたいになってるんですわ。；あの先生のことだ、宿酔いの特効薬ならいつも持ち歩いていそうだから。；最初から持ち歩くのではなく、途中で飲むつもりで買ったのだろう。；あれほど何でも持ち歩くくせに、食糧のことは忘れてきてしまうのだ。；ああ、長いこと持ち歩いているが、そういうものは目にとまらなかった。；趣味として一眼レフカメラを持ち歩くことは、公表前にも知られていた。；引っ越しのたびにそれを持ち歩いていたのにはちゃんと意味がある。；どうしてランチにはまだ早い時間にパンなど持ち歩いているのかね?；それを持ち歩いていた間ずっと、わたしはそれを高く評価しているつもりでいた。；ききたいことは、いつも持ち歩いているカードにすでに書いてあった。；見かけだけでも怪しいものは旅行に持ち歩かないほうがよさそうだ。；ヘッドランプや懐中電灯を持ち歩いている可能性があるとされていた。；いつまでも持ち歩いていれば人の記憶に残るし、無闇な場所に置くのも危険。；「超重荷」に定められた重量を超える装備品を持ち歩くことはできない。；この暑さのなかを持ち歩くには真空の特別容器に頼るほかはないからだ。；旅に出かける際にも、ごはん皿を帽子のように被りどこにでも持ち歩く。；姫によると、マグリブ人はランプを肌身はなさず持ち歩いているという。；彼女はその弟の写真をいつもハンドバッグに入れて持ち歩いている。</t>
        </is>
      </c>
      <c r="J8354">
        <f>HYPERLINK("https://www.weblio.jp/content/持ち歩く", "词义详情")</f>
        <v/>
      </c>
      <c r="K8354">
        <f>HYPERLINK("https://yourei.jp/持ち歩く", "查看例句")</f>
        <v/>
      </c>
    </row>
    <row r="8355">
      <c r="A8355" t="inlineStr">
        <is>
          <t>用いる</t>
        </is>
      </c>
      <c r="B8355" t="inlineStr">
        <is>
          <t>成功</t>
        </is>
      </c>
      <c r="C8355" t="inlineStr">
        <is>
          <t>読み方：もちいる
［動ア上一］［文］［ワ上一］《「持ち率(い)る」の意》
１用にあてて使う。使用する。「調味料に—・いる」「新しい方法を—・いる」
２よいとして取り上げる。採用する。「人の意見を—・いない」
３見込んで職に就かせる。任用する。「人材を選んで—・いる」
４心を十分働かせる。心を労する。「供応に意を—・いる」
５（多く否定の形をとる）必要とする。
「その産地を問うことを—・いず」〈鴎外訳・即興詩人〉
[補説]ワ行上一段の「用ゐる」が、「用ふ」とハ行上二段に活用するようになり、さらに「用ゆ」とヤ行上二段にも活用するなど、平安時代以降のいろいろの音韻変化の影響で複雑な活用をとげた。→用う→用ゆ
[用法]もちいる・つかう——「コンピューターを用いて（使って）収支計算をする」のように、ある用に役立てる意では相通じて用いられる。◇「用いる」は文章語的で「部下の提案を用いる（＝採用する）」「有能と見て重く用いる（＝登用する）」などの用法があるように、特にそれを取り上げて使用する意が強い。◇「使う」の方が口頭語的で、意味の範囲も広い。「頭を使う」「神経を使う」の形には普通は「用いる」を使わない。また、「意を用いる」「心を用いる」の形には「使う」を使用しない。◇人について、「新人を使う（用いる）」のように起用するの意では両語とも使えるが、「店員を三人使っている」「人に使われる身」のように働かせるの意では「用いる」を使うことはない。◇類似の語に「使用」がある。「使用する」「使う」は相通じて用いられる。</t>
        </is>
      </c>
      <c r="D8355" t="inlineStr">
        <is>
          <t>用いるべき；用いる冠名；用いるべし</t>
        </is>
      </c>
      <c r="E8355" t="inlineStr">
        <is>
          <t>使用；利用；採用；導入；使う</t>
        </is>
      </c>
      <c r="F8355" t="inlineStr">
        <is>
          <t>好んで用いる；しばしば用いる；指して用いる</t>
        </is>
      </c>
      <c r="H8355" t="n">
        <v>29</v>
      </c>
      <c r="I8355" t="inlineStr">
        <is>
          <t>かつては人間側の用途で分類する方法もしばしば用いられたことがある。；実用上はより弱い結果だがより評価のしやすいものを用いることもある。；その叙述に現在時制を用いたことでは最初の小説の一つとされてもいる。；これらの関数を実用的なプログラムで用いる場合には注意が必要である。；その場合はX1のBASICを用いる事で動作させることが可能である。；使用する文字は同言語かどうかの判断基準としてはあまり用いられない。；ほかの言語でもよくみられるような制御構造を用いることができる。；または自然の地形を利用して、既存の小さな丘を用いることもあった。；そのため、以下に示すような非摂動論的な方法も、並行して用いられる。；現在の日本語で最も基本的な文字であり、主に次のような場面で用いられる。；歌垣のように、求愛のために音楽を用いることも世界中に広く見られる。；そのため、他種別の列車と同じく通勤形車両を用いるのが一般的である。；の用いる S式は括弧を大量に使用するため、批判を受けることもある。；の構文は数学で用いられるものによく似せられていることに注意されたい。；これらの用具を用いることで、燃焼を伴う製品ながら安全に使用できる。；大きな契約や結婚、IDカードなど以外には通称を用いるのが普通である。；リストは で極めて頻繁に用いられるため、特別な構文が用意されている。；動物分類学や植物分類学だけを指すためにこの言葉が用いられることもある。；結婚時に妻は結婚前の姓をそのまま用いることも、夫の姓に変えることも可能。；古墳に用いられる埋葬施設には、竪穴系のものと横穴系のものとがある。；神話の物語は象徴化を用いることでこの領域の出来事を理解しやすくしている。；アメリカ大陸の先住民族など、個人を指す名前のみを用いる文化もある。；固定化とは、工業用酵素を土台となる物質に固定して用いる方法である。；上記の三つの系は効率の高低はあるがほぼ共通の手法を用いることができる。；鎌倉時代以降になると、音便は口語では盛んに用いられるようになった。；ただし、これは内部の呼称とされ、公式には用いられていなかった。；本研究は治験者が実際に瞑想を行い、ペアワイズ比較を用いて行われた。；表面系に関してはスラブ近似を用いて計算するのが最も標準的である。；これにより韓国で取水された海洋深層水を用いた製品開発が開始された。</t>
        </is>
      </c>
      <c r="J8355">
        <f>HYPERLINK("https://www.weblio.jp/content/用いる", "词义详情")</f>
        <v/>
      </c>
      <c r="K8355">
        <f>HYPERLINK("https://yourei.jp/用いる", "查看例句")</f>
        <v/>
      </c>
    </row>
    <row r="8356">
      <c r="A8356" t="inlineStr">
        <is>
          <t>持ち帰り</t>
        </is>
      </c>
      <c r="B8356" t="inlineStr">
        <is>
          <t>成功</t>
        </is>
      </c>
      <c r="C8356" t="inlineStr">
        <is>
          <t>読み方：もちかえり
持って帰ること。買った品物などを自分で持って帰ること。また、出された料理などをその場で食べないで持って帰ること。テークアウト。「配達でなく—にする」</t>
        </is>
      </c>
      <c r="D8356" t="inlineStr">
        <is>
          <t>持ち帰り用(3%)；持ち帰りまし(3%)；持ち帰り弁当店；持ち帰り寿司；持ち帰り可能</t>
        </is>
      </c>
      <c r="E8356" t="inlineStr">
        <is>
          <t>テイクアウト</t>
        </is>
      </c>
      <c r="F8356" t="inlineStr">
        <is>
          <t>光持ち帰り</t>
        </is>
      </c>
      <c r="G8356" t="inlineStr">
        <is>
          <t>持ち帰り票</t>
        </is>
      </c>
      <c r="H8356" t="n">
        <v>29</v>
      </c>
      <c r="I8356" t="inlineStr">
        <is>
          <t>しかも持ち帰り用のパッケージにきちんと包まれてきれいに残っている。；ただ宮簀媛が持ち帰り、自分の部屋に隠している可能性がないではない。；多くは持ち帰りで利用されるが、店内での飲食の場合も利用可能である。；そのことを教えましたら、警察は残っていたほうを持ち帰りました。；地元の人々はこれを汲んで家に持ち帰り、沸かして入浴していたという。；王は船をトロンハイムへ持ち帰り、自分の新しい船の設計に利用した。；仕事は持ち帰りにしてもらってタクシーで帰ってきたんだよ。；ずいぶんな荷物になってしまいましたが、私は礼を言ってそれを持ち帰りました。；無鉄砲は持ち帰り用ラーメンと通信販売にその初期から力をいれている。；翌年、任務を終えて故郷に持ち帰り、自宅で箱に入れて保管していた。；家に持ち帰り日記を読むと、そこにはとある少年の日常がつづられていた。；彼はその夕方それを宿舎に持ち帰り、次の朝、三つのボタンを押した。；すなわち、供給装置の持ち帰りと充填作業が無駄に発生していることになる。；これに対し玉木らは提案を持ち帰り、党内などで検討する考えを示した。；それを浜に持ち帰り祀った場所であることが由来という伝説が有名である。；半熟卵を使用していることから、持ち帰りや出前には対応していない。；もちろん日本へ持ち帰りましたが、まだ一度も使っていません。；泥だらけの背広姿で、吉野家のもち帰り弁当の空容器を頭にのせていた。；また、店舗入口付近では持ち帰り用のパンの販売も行っている。；彼はこの貴重な文献を中国に持ち帰り、中国でそれが逆に翻刻されることになる。；大佐は出先の様々な戦地から武器を持ち帰り、多彩な収集を行っていた。；わたしはその石を持ち帰り、だれにも言わず、そっと自分だけの宝物にした。；ピアリーはこの一部をアメリカへ持ち帰り、博物館に4万ドルで売却した。；アブは、火を持ち帰りはしなかったが、人類に火のつくり方を教えた。；定着する以前の具体的な持ち帰り事例には以下の3例がある。；乃ち取りて持ち帰りて、床の辺に挿み置きしに、遂に感じて男子を生む。；このバインダーに入れたカードは現実世界に持ち帰り使用することができる。；中世の頃にロワール地方の貴族が北欧から持ち帰り栽培が始まった。；天之日矛は玉を持ち帰り、それを床のあたりに置くと玉は美しい少女の姿になった。</t>
        </is>
      </c>
      <c r="J8356">
        <f>HYPERLINK("https://www.weblio.jp/content/持ち帰り", "词义详情")</f>
        <v/>
      </c>
      <c r="K8356">
        <f>HYPERLINK("https://yourei.jp/持ち帰り", "查看例句")</f>
        <v/>
      </c>
    </row>
    <row r="8357">
      <c r="A8357" t="inlineStr">
        <is>
          <t>持ち切り</t>
        </is>
      </c>
      <c r="B8357" t="inlineStr">
        <is>
          <t>成功</t>
        </is>
      </c>
      <c r="C8357" t="inlineStr">
        <is>
          <t>読み方：もちきり
あるあいだ中、同じ話題が続くこと。「事件のうわさで—だ」</t>
        </is>
      </c>
      <c r="H8357" t="n">
        <v>29</v>
      </c>
      <c r="I8357" t="inlineStr">
        <is>
          <t>本当に警官が殺されたなら、ニュースでも持ち切りになっていることだろう。；神諭に「世は持ち切りには致させんぞよ」とあるのはこの意味である。；翌日のテレビと新聞とラジオはこの事件で持ち切りだった。；すこし人の集まる場所は、どこもこの怪物の評判で持ち切りだった。；当時、東京中どこへ行っても、寄ると触るとその噂で持ち切りだった。；倉敷のバーやクラブへいくとこの島の噂で持ち切りですよ。；昨夕も近所の湯にいつたら電車の噂で持ち切りであつた。；父や良人や兄弟を朝鮮へ送っている人々は、よるとさわるとその話で持ち切りだった。；あのあと、同盟じゃあんたの噂で持ち切りだったんだぞ!；ファンはここ何年かこの試合の話題で持ち切り。；そんな折、バンカーたちの間では天空世界のうわさで持ち切りになっていた。；その授業は、いつも本題そっちのけで専ら野球の話で持ち切りだった。；明日はこの話題で教室は持ち切りだぞ。；今日一日はこの噂で持ち切りだろう。；それから当分の間は、実験室の中は、この話でもち切りであった。；教室は昨夜の話題で持ち切りだった。；それでここ二日間、その噂で世間は持ち切りなんですの。；その頃、王様の城には美しいお姫様がいるという噂でもち切りだったが、その姿を実際に見た者は誰もいなかった。；ブルータス 誰も彼もが彼奴の話で持ち切りだ、目の悪い奴は眼鏡を掛けてでもその姿を見ようとする。；犬が人間になったという話は低俗な新聞で持ち切りとなり、教授の家の前には物見高い人々が集まるようになった。；しかもタケル君の話が、どうも仲人のことで持ち切りである。；翌八日荒勝研究室は、原子爆弾の話題で持ち切りとなった。；翌日にはもうヴンストーフの宿舎はその話で持ち切りだ。；昼の食堂は、この話で持ち切りでした。；座へ戻ってからも、しばらくは今の仮装の巧妙さで持ち切りであったが、老人はなかなか検事の賞讃をそのままには受け入れぬ。；この村にレジャーランドを造るという目的で、村は田代の話題で持ち切りになった。；街じゃおまえの噂でもち切りだ。；村中がより集まり、犯人は誰かの話で持ち切りだった。；ナザレでは、町の人びとの話は、会堂にいる神秘的な予言者のことで持ち切りだった。</t>
        </is>
      </c>
      <c r="J8357">
        <f>HYPERLINK("https://www.weblio.jp/content/持ち切り", "词义详情")</f>
        <v/>
      </c>
      <c r="K8357">
        <f>HYPERLINK("https://yourei.jp/持ち切り", "查看例句")</f>
        <v/>
      </c>
    </row>
    <row r="8358">
      <c r="A8358" t="inlineStr">
        <is>
          <t>持ち込む</t>
        </is>
      </c>
      <c r="B8358" t="inlineStr">
        <is>
          <t>成功</t>
        </is>
      </c>
      <c r="C8358" t="inlineStr">
        <is>
          <t>読み方：もちこむ
［動マ五（四）］
１物を持って中にはいる。「車内に危険物を—・まないこと」
２相談や用件などをもってくる。また、交渉をしかける。「縁談を—・む」「出版社に企画を—・む」
３事の決着をつけないまま次の段階にまで持っていく。また、がんばって目的の段階にまで持っていく。「粘って延長戦に—・む」「有罪に—・む」</t>
        </is>
      </c>
      <c r="D8358" t="inlineStr">
        <is>
          <t>持ち込むべき；持ち込むべく</t>
        </is>
      </c>
      <c r="E8358" t="inlineStr">
        <is>
          <t>導入；輸送；収容；持参；連行</t>
        </is>
      </c>
      <c r="H8358" t="n">
        <v>29</v>
      </c>
      <c r="I8358" t="inlineStr">
        <is>
          <t>比較的小規模な修理であっても後方の修理拠点に持ち込む必要があった。；ある地域の生物群集のかなりの部分を、別の地域に持ち込むことである。；事務所に持ち込まれる事件を軸に、恋愛模様や弁護士同士の対立を描く。；これをきっかけに当番組はワイドショーの手法が積極的に持ち込まれた。；経営権を巡る争いが数度生じており、法廷に持ち込まれたケースもある。；サルーキが最初にイギリスに持ち込まれたのは1840年のことである。；フランスの主力艦隊を挑発して、決戦に持ち込むことが第一だったのだ。；そのくせ、ボーイはそれを私が来た時すぐには持ち込む気はなかったのだ。；寄親が対処できない場合のみ信玄の下に持ち込まれることになっていた。；江戸時代初期に日本に持ち込まれて以降、園芸用として栽培されている。；当初は街にいる間に剣を持ち込むことが想定されたものだった。；このほか、罰則はないもののドリアンを持ち込むことも禁止されている。；このため、信長が上京するたびに多くの訴訟が持ち込まれる事態となった。；次から次に原稿を持ち込むために一度に3本の作品が掲載されることもあった。；稀に録音機材を持ち込んで一般の建物を使用して録音する場合もある。；その音楽スタイルはいろいろなジャンルから持ち込まれた要素を持つからである。；個人で持ち込む必要性がない以上、確かに不要品と言えるかもしれない。；女の子がぬいぐるみを持ち込む気持ちが、齢十五にして初めてわかった。；ビールやワインを飲みたい客は、自分で買ってきて持ち込むことになっている。；これらの室にある家具類も、すべて日本から持ち込まれたものである。；館内にはA4サイズ以上の大きさの荷物を持ち込んで入ることはできない。；両者共に敵領土の略奪を行ったが、野戦に持ち込むことはできなかった。；店の客の誰かと、千円以下の注文をしている人と割り勘に持ち込む。；そのうちに看護婦が二人がゝりで一つの大きい金盥を持ち込むのが見えた。；あるとすれば、プロトタイプをこっそり持ち込むのにかかった金だけだ。；また、自分で持ち込んだ凶器を入れた場所すら忘れたこともあったとのこと。；正直、現実世界にアルヴヘイムのことを持ち込むのは好きではなかった。；日本でも塩田に発生した例があるが、持ち込まれたものと思われる。；また、店内で銃を見えるような形で持ち込まないよう客に求めることを発表。</t>
        </is>
      </c>
      <c r="J8358">
        <f>HYPERLINK("https://www.weblio.jp/content/持ち込む", "词义详情")</f>
        <v/>
      </c>
      <c r="K8358">
        <f>HYPERLINK("https://yourei.jp/持ち込む", "查看例句")</f>
        <v/>
      </c>
    </row>
    <row r="8359">
      <c r="A8359" t="inlineStr">
        <is>
          <t>持ち出す</t>
        </is>
      </c>
      <c r="B8359" t="inlineStr">
        <is>
          <t>成功</t>
        </is>
      </c>
      <c r="C8359" t="inlineStr">
        <is>
          <t>読み方：もちだす
［動サ五（四）］
１持って外へ出す。中にある物を外へ出す。「ベランダにいすを—・す」「家の金を—・す」
２ある事柄を言い出す。話題として出す。「結婚話を—・す」
３訴えて出る。「法廷に—・す」
４余分にかかった費用などを自分の負担でまかなう。「会費で足りない分を—・す」
５持ちはじめる。「自信を—・す」</t>
        </is>
      </c>
      <c r="D8359" t="inlineStr">
        <is>
          <t>持ち出すまでもなく(2%)；持ち出すべき；持ち出すかも</t>
        </is>
      </c>
      <c r="E8359" t="inlineStr">
        <is>
          <t>取り出す；引き出す；引っ張り出す；取出す；引出す</t>
        </is>
      </c>
      <c r="H8359" t="n">
        <v>29</v>
      </c>
      <c r="I8359" t="inlineStr">
        <is>
          <t>その気になればいくらでも家の品物を持ち出すことが可能だったはずだ。；その他に運営の責任感から来るものか家の権利書まで持ち出そうとした。；従ってぼくは、自分のほうからそんな話を持ち出すことは出来ないのだ。；こんな形で、こんなところで持ち出されるとは思っていなかったからだ。；同好の士、と確認したうえでないとこの話題は持ち出さないほうがいい。；この問題を解決するために彼は理解の統一たる全體の概念を持ち出す。；しかし瓔子が何故今頃になってそれを持ち出さなければならなかったか。；死体となったあのからだを持ち出すとなればたいへんな苦労ですよ。；コロシアムから持ち出されたはずがない、しかもあそこにはないんです。；文学の思想性や作家其の他の教養などの問題が持ち出された所以である。；もし犯人が内部だとすると、兇器はまだどこへも持ち出されていない筈だ。；世間ではそうだからなんてそんな理由を持ち出すべきじゃなかった。；いずれにせよ、今のところまだコンパクトを持ち出す段階ではなかった。；これをどうやって外に持ち出すのだろう、と私はぼんやりその山を見つめた。；言われてみれば、鍵を持っている人間なら本を持ち出すのは簡単だ。；感傷だけのところに話を持ち出されたので少しの不快を覚えたに過ぎない。；これが文学好きでね、僕のところから次々と本を借り出しては持ち出すの。；マイバッハもこれに応じたが、直後にリング下から持ち出された椅子で。；男の人がバスからわたしのスーツケースを持ち出すのが見えたものですから。；保存されていたエボラ・ウイルスを外部に持ち出そうと計画していた。；と、蔦屋自身からその話を持ち出されたとき、歌麿は思ったのであった。；十二月にならなければ法廷に持ち出されまいと思つてゐたのですがね。；僕はすぐあの話を持ち出そうとしたが、根っからうまくいかないんだ。；的場夫人がただ一通だけ保存しておいたのを、犯人が持ち出そうとしたのか。；村に持ち帰ったアイテムは、売却または次の冒険に持ち出すことが可能。；如何なる動議も持ち出される前に、アメリカの状況が再度変わって来た。；彼はそれを田や畑へ持ち出さうとしたので、雨に打たせぬ工夫である。；こんど野々宮君に会ったら自分の発明としてこの説を持ち出そうと考えた。；あの女はこの先まだどんな貪欲な要求を持ち出さないとも限らない。</t>
        </is>
      </c>
      <c r="J8359">
        <f>HYPERLINK("https://www.weblio.jp/content/持ち出す", "词义详情")</f>
        <v/>
      </c>
      <c r="K8359">
        <f>HYPERLINK("https://yourei.jp/持ち出す", "查看例句")</f>
        <v/>
      </c>
    </row>
    <row r="8360">
      <c r="A8360" t="inlineStr">
        <is>
          <t>持ち物</t>
        </is>
      </c>
      <c r="B8360" t="inlineStr">
        <is>
          <t>成功</t>
        </is>
      </c>
      <c r="C8360" t="inlineStr">
        <is>
          <t>読み方：もちもの
１持っているもの。また、身につけているもの。所持品。「—を検査される」
２所有しているもの。所有物。「土地も家も彼の—だ」</t>
        </is>
      </c>
      <c r="D8360" t="inlineStr">
        <is>
          <t>持ち物検査；持ち物全部；持ち物すべて；持ち物いっさい；持ち物チェック</t>
        </is>
      </c>
      <c r="F8360" t="inlineStr">
        <is>
          <t>わずかな持ち物</t>
        </is>
      </c>
      <c r="H8360" t="n">
        <v>29</v>
      </c>
      <c r="I8360" t="inlineStr">
        <is>
          <t>そのためのヒントが死体の持ち物か何かにあるかもしれないじゃないか。；ピローニはそれを自分の持ち物で最も大切なものだととても大切にした。；この部屋は会社の持ち物で、ここにある物は全て会社の備品ですからね。；貴族たちは、自分たちの持ちもののうちで一番の別嬪を選んで出すんだ。；それから、ロッカーに入れたままになっている自分の持ち物を整理した。；生活が安定しないときには、たくさんの持ち物に慣れないほうがいい。；君の持ち物は全部持って帰ってもらったと思っていたけど、残っていたんだ。；他人のもち物には手をつけない彼らのおきてがそうするように命じているのだ。；彼の持っている持ち物から、近所の住人であることなどを三木は知った。；旗のデザインが決定し亡くなった船長と船員の持ち物整理が始まった。；いずれにしても個人の持ち物で、これだけの庭園を見たのは初めてだった。；他にキノの持ち物の中で、法律で禁止されている物を教えてもらった。；何でも大きな油房か何かを持つてゐる人の持ものだつてきいてゐましたがね?；家屋敷や自分の持ち物を全部売り払った人も少なくはありませんでした。；彼のフェティシズムが、彼女の持ち物を神と祭ったほどの相手であった。；また何かの拍子に、夫の持ち物の中に、捨てたはずの写真がみつかった。；英雄の持ち物なんて、魔術協会でも数えるほどしか保有していないのだ。；自分の持ちものを増やさないということは、自分の身を守ることになる。；今は持ち物をまとめて、ホテルを出ること以外、何もすることがない。；王女の持ち物だから当然と言えば当然だが、これだけで一財産できる。；それから夫人は彼といっしょに部屋へ行って、彼の持ち物を全部しらべた。；個人が机を持たないために個人の持ち物が大幅に削減できるという。；学校の施設・所有物や学生の持ち物に付けて使用されることが多い。；そして当然だが、魔術師の持ち物だけにただのトランクケースではない。；たとえばのび太の持ち物なら、昼寝をするようにすぐ横になってしまう。；唯一の持ち物であるその丸型の時計は、一時三十分をさしていた。；昨夜、雨宮君の事件のあった後にも、あなたは私の持ち物を調べましたね。；さらに、死体を囲んでいた時計は、その家の住人の持ち物ではなかった。；その作品集を求めるために、持ち物のすべてを売ったほどの男だった。</t>
        </is>
      </c>
      <c r="J8360">
        <f>HYPERLINK("https://www.weblio.jp/content/持ち物", "词义详情")</f>
        <v/>
      </c>
      <c r="K8360">
        <f>HYPERLINK("https://yourei.jp/持ち物", "查看例句")</f>
        <v/>
      </c>
    </row>
    <row r="8361">
      <c r="A8361" t="inlineStr">
        <is>
          <t>もちろん</t>
        </is>
      </c>
      <c r="B8361" t="inlineStr">
        <is>
          <t>成功</t>
        </is>
      </c>
      <c r="C8361" t="inlineStr">
        <is>
          <t>読み方：もちろん
［副］論じる必要のないほど、はっきりしているさま。言うまでもなく。無論。「—出席します」「酒は—のこと、タバコもいけない」</t>
        </is>
      </c>
      <c r="D8361" t="inlineStr">
        <is>
          <t>もちろんそんなこと；もちろん喜ん；もちろん峻護；もちろんそんなわけ；もちろんかまい</t>
        </is>
      </c>
      <c r="E8361" t="inlineStr">
        <is>
          <t>当然；まして；無論；当たり前；ましてや</t>
        </is>
      </c>
      <c r="F8361" t="inlineStr">
        <is>
          <t>もちろん桐乃；もちろんケンタくん；もちろんかまいませ；もちろんご存知；もちろんそんな事</t>
        </is>
      </c>
      <c r="H8361" t="n">
        <v>29</v>
      </c>
      <c r="I8361" t="inlineStr">
        <is>
          <t>もちろんそのためには高度な栽培技術が確立されたことも重要である。；これらの施設のそれぞれにはもちろん、見過ごしできない相違点もある。；もちろん本来の位置以外に取り付けても、元の部品のように機能する。；もちろん強い愛国心を抱いているし、英国民であることは大きな誇りだ。；もちろんカルテで分かる内容だが、取り違い防止のために質問している。；もちろん意識もまた存在しないと考える学派もあり、確定していない。；もちろん不可能ではないが、相当のレベル・装備と腕前を要求される。；もちろん、そのような族はある種の性質を満足するようにしなければならない。；これはもちろん昭和10年代の社会情勢に密接に関わったものであった。；もちろん、横画面表示など従来から使われている画面設定も搭載している。；もちろん死刑の廃止と復活は、世界中で史上何度も行われてきている。；一部自治体の条例では販売はもちろん、見せることすら禁止している。；もちろん、当たったと見なされている予言もなくはないが、数は少ない。；そうすることで、自身の財産はもちろんのこと家族の命を守った。；もちろん弛緩を用いて催眠誘導する方法もあるが、それが全てではない。；もちろん押韻は最後の強勢のある母音よりさらに前に行っても構わない。；題材の相談、資料集めはもちろん外国の学者も紹介してもらった。；大変忘れっぽく、嫌なことはもちろん重要なこともすぐ忘れてしまう。；もちろん、ある特定の資格を持たないと従事できない職業もある。；名称はもちろん機材の塗装やロゴまで当時のまま使用し再生が期待された。；もちろん、宣伝されたほど静かではなかったという方が正しいかもしれない。；しかし、汚い仕事をやっていた者からもちろん金は受け取っていた。；もちろん現在の所有者であるGoogleのGmailとは関係がない。；演劇の上演はもちろんのこと、コンサートや歌舞伎が上演されることもある。；くさやの匂いや味は島ごとはもちろんだが店ごとにも差がある。；もちろんこれらのこともすべて一般化した内容ではあるけど、真実でもあると思うよ。；アルはもちろん、飛行機は彼らが降りていることも知らずに飛び去っていった。；史実通りの設計はもちろん、現実ではありえない奇想天外な設計も可能。；もちろん、金泳三のように死ぬ日まで朴正熙を批判した政治家もいた。</t>
        </is>
      </c>
      <c r="J8361">
        <f>HYPERLINK("https://www.weblio.jp/content/もちろん", "词义详情")</f>
        <v/>
      </c>
      <c r="K8361">
        <f>HYPERLINK("https://yourei.jp/もちろん", "查看例句")</f>
        <v/>
      </c>
    </row>
    <row r="8362">
      <c r="A8362" t="inlineStr">
        <is>
          <t>持つ</t>
        </is>
      </c>
      <c r="B8362" t="inlineStr">
        <is>
          <t>成功</t>
        </is>
      </c>
      <c r="C8362" t="inlineStr">
        <is>
          <t>読み方：もつ
［動タ五（四）］
１手にとる。手の中ににぎる。「重たい荷物を—・つ」「右手にペンを—・つ」
２身につける。たずさえる。携帯する。「財布を—・たないで出かける」「いつもハンカチを二枚—・っている」
３所有している。また、自分のものにする。「別荘を—・つ」「栄養士の資格を—・つ」「所帯を—・つ」
４受け持つ。担当する。「重要な役目を—・つ」
５自分のものとして引き受ける。負担する。「責任を—・つ」「費用は会社が—・つ」
６身に備える。ある性質・状態などを有する。「ピアニストの素質を—・つ人」「不思議な輝きを—・つ宝石」
７心の中にいだく。「悩みを—・つ」「大きな夢を—・つ」
８場などを設ける。設定する。「党首会談を—・つ」「団体交渉を—・つ」「旅行の計画を—・つ」
９長くそのままの状態を保ち続ける。もちこたえる。「夏場でも—・つ食品」「これじゃとてもからだが—・たない」
[可能]もてる
[下接句]江戸っ子は宵越しの銭は持たぬ・男は気で持て・肩を持つ・座を持つ・所帯を持つ・臑(すね)に疵(きず)持つ・太鼓を持つ・提灯(ちょうちん)を持つ・根に持つ・根葉に持つ・箸(はし)より重い物を持たない・身が持たない・持ちつ持たれつ</t>
        </is>
      </c>
      <c r="D8362" t="inlineStr">
        <is>
          <t>持つべき；持つ者たち</t>
        </is>
      </c>
      <c r="E8362" t="inlineStr">
        <is>
          <t>含む；得る；続く；維持；続ける</t>
        </is>
      </c>
      <c r="F8362" t="inlineStr">
        <is>
          <t>持つopbf東洋太平洋；持つ操舵艦橋；持つ有理型関数；持つ音楽制作ソフト；持つ大貴族</t>
        </is>
      </c>
      <c r="H8362" t="n">
        <v>29</v>
      </c>
      <c r="I8362" t="inlineStr">
        <is>
          <t>社会は広範かつ多様な領域を持っているために複雑な体系となっている。；そして彼らは自分たちが持っている自動車で競走をすることを考えた。；全てのベクトルのように大きさと方向を持ち、これら両方が重要である。；中には装飾に耳たぶを伸ばして大きくする目的を持たせた文化圏もある。；そして後にライフル銃を持つとこれほど似合う俳優はいないと言われた。；ディーリアスの音楽はしばしば形式と旋律を持たないと考えられている。；その時の持ち手がついているため、今のような形になったとも言われている。；何うせ他へ行かねばならぬのだから家を持とうかと思って探しにも行った。；道路の記事からも得られる情報しか持たないような記事は作成しないで下さい。；DACを持たないパソコン向けのソフトウェアで使われることがあった。；コロイドが持つ特徴的な性質を理解する分野はコロイド化学と呼ばれる。；人は心の翳りの部分で人の痛みを分け持とうとするのではないでしょうか。；また、語彙的な意味を持つものとそうでないものに分けることができる。；おそらく、家庭を持とうという気を起こしたのが間違いだったのだろう。；また、第一主題と第二主題の間に動機的関連を持たせるものも多い。；映画からいつでも撤退する気でいるのは小屋を持とうとしないので判るよ。；その時にガブリエルが現われ、その文書を天界の裁判所へ持って行った。；ロイヤル・オペラ・ハウスは長い歴史を持ちよく知られている存在である。；一方で午後から登庁し、夜まで勤務することには不満も持たれていた。；確かに、体中に強大な力を持ち、その角の力に耐えられるものはいない。；わたしが無理にあの子に関わりを持とうとしたのはいけなかったのかしら?；その他にも特有の性質により自動車一般とは異なる危険性を持っている。；他にも、数多くの高級腕時計メーカーが自動車との関わりを持っている。；欧米では一般的には、日本人ほどには家族の遺体にこだわりを持たない。；そんな量の文章を前にして、責任を持とうという人自体、あまりいない。；テイラーはそれぞれ異なるマシンに接続したいくつかの端末を持っていた。；各種のマグニチュードの値の間では差異を持つので注意が必要である。；衆生と生命でない物質との境は、ある存在が識を持つか否かで区別される。；私が誰と関係を持とうが私の勝手だし、それを誰かに話す事はない。</t>
        </is>
      </c>
      <c r="J8362">
        <f>HYPERLINK("https://www.weblio.jp/content/持つ", "词义详情")</f>
        <v/>
      </c>
      <c r="K8362">
        <f>HYPERLINK("https://yourei.jp/持つ", "查看例句")</f>
        <v/>
      </c>
    </row>
    <row r="8363">
      <c r="A8363" t="inlineStr">
        <is>
          <t>目下</t>
        </is>
      </c>
      <c r="B8363" t="inlineStr">
        <is>
          <t>成功</t>
        </is>
      </c>
      <c r="C8363" t="inlineStr">
        <is>
          <t>読み方：めした
地位・年齢などが自分より下であること。また、その人。⇔目上(めうえ)。</t>
        </is>
      </c>
      <c r="D8363" t="inlineStr">
        <is>
          <t>目下調査中；目下研究；目下捜査；目下進行；目下最大</t>
        </is>
      </c>
      <c r="E8363" t="inlineStr">
        <is>
          <t>現在；今；今日；現代；最近</t>
        </is>
      </c>
      <c r="F8363" t="inlineStr">
        <is>
          <t>目下捜査中；目下独身；目下研究中；目下進行中</t>
        </is>
      </c>
      <c r="H8363" t="n">
        <v>29</v>
      </c>
      <c r="I8363" t="inlineStr">
        <is>
          <t>そして、目下かれの置かれている状況をゆっくり考えてみることにした。；目下のところぼくにもどうやってだかはっきり分かっていませんがね。；私が目下案を立てている箱類は、すぐ造らせてくれることになっている。；なるほど、この線が成長してゐる、この外の線は目下停止してゐますな。；幸い彼の目下の状態はそんな事に屈托している余裕を彼に与えなかった。；目下のところ覚えがあろうとなかろうとどうでもいいという気分だった。；彼女の思いは目下の問題からうまくそれ、想像もできない場所へと転じた。；したがってわしは、目下の事態をきみも知っておくべきだと思ったわけだ。；向うからやって来た見知らぬ男が、いきなり僕を叩きのめしたのである。；ただ、目下のところ文献で証明できる限りでは最も早い使用ではある。；それ故従って目下の社会情勢に適応した事を云々する資格もない訳です。；それで、きみは目下、何か依頼を受けて行なっている調査でもあるのかね?；海外からの参加は、目下のところ、ジュニア団体のみに限定されている。；目下のところでは、弁護士さん、私にはその資格があると思いますね。；まことに令夫人は目下の者に愛想よく親切にお目をかけてくださいます。；目下のところは、太宰さんの御家庭にはなんのお変わりもありません。；七月三・四日の会議も目下のわたしの健康事情では出席不可能です。；本作前景の廃墟の前に座っているヨハネは目下、この書を執筆中である。；目下、この童児がいちばん気にかけているのは臨月の雌獣のことだった。；目下の状況では別の説明をしたほうが、娘の耳には響きがいいような気がしたのだ。；すでに目下直面している事情のもとで苦しんでばかりいたくらいですもの。；目下のところウルゴで一番重要な人間は自分だと考えているらしい。；カークは寒さに抵抗して腕をばたつかせ、目下の問題に神経を集中させた。；始めに言及しておくが、目下の場合の困難は、事実に関することではない。；「目下のところ」サー・ブライアンは必要以上に言葉を強調して言った。；弁護士からの手紙で見れば、借金の外には目下何等の金もないようだ。；三宅さんが三日の始発に乗ったという確証は目下のところないようです。；何故なら、目下犯人の戦闘状態たるや、完全に僕等を圧しているんだ。；アキラの臍のななめ下に傷あとがあることをなぜ先生が知っているのか。</t>
        </is>
      </c>
      <c r="J8363">
        <f>HYPERLINK("https://www.weblio.jp/content/目下", "词义详情")</f>
        <v/>
      </c>
      <c r="K8363">
        <f>HYPERLINK("https://yourei.jp/目下", "查看例句")</f>
        <v/>
      </c>
    </row>
    <row r="8364">
      <c r="A8364" t="inlineStr">
        <is>
          <t>もったいない</t>
        </is>
      </c>
      <c r="B8364" t="inlineStr">
        <is>
          <t>成功</t>
        </is>
      </c>
      <c r="C8364" t="inlineStr">
        <is>
          <t>読み方：もったいない
［形］［文］もったいな・し［ク］
１有用なのにそのままにしておいたり、むだにしてしまったりするのが惜しい。「捨てるのは—・い」「使わないでおくには—・い人物」
２身に過ぎておそれ多い。かたじけない。「—・いおほめのお言葉」
３不都合である。ふとどきである。もってのほかである。
「是は言語道断—・きお言葉かな」〈虎明狂・右流左止〉
[派生]もったいながる［動ラ五］もったいなげ［形動］もったいなさ［名］</t>
        </is>
      </c>
      <c r="D8364" t="inlineStr">
        <is>
          <t>もったいないこと(7%)；もったいないよう(4%)；もったいない話(3%)；もったいない気(3%)；もったいないです</t>
        </is>
      </c>
      <c r="E8364" t="inlineStr">
        <is>
          <t>とんでもない；合わない；恥ずかしい；申し訳ない；似合わない</t>
        </is>
      </c>
      <c r="F8364" t="inlineStr">
        <is>
          <t>もったいないじゃ；そんなもったいない；あまりにもったいない；たらもったいない；あまりにももったいない</t>
        </is>
      </c>
      <c r="G8364" t="inlineStr">
        <is>
          <t>もったいないばあさん；もったいないとらんど</t>
        </is>
      </c>
      <c r="H8364" t="n">
        <v>29</v>
      </c>
      <c r="I8364" t="inlineStr">
        <is>
          <t>彼には死んではもったいないと思えるような仕事はなかったのだろうか。；もったいないことをしたと思うが、ここまで書いてきたからこそである。；その意味で女意識をすべて捨ててしまうのも、もったいない気がします。；何であれ使わずに捨てるなんてもったいないことをあたしはしないのよ。；そういう態度で不満をかこつのは毎日がもったいないではありませんか。；人生はその日その夜を嘆きのうちに すごすような人にはもったいない。；だが、それを聞いてしまうのは何かもったいないような気がしていた。；さっきはもったいないほど美しい色だと思ったが、今見ると何ともない。；一人で飲むのももったいないわいと思っていましたらちょうど良かった。；バーのホステスにはもったいないような高級アパートの二階の一画だった。；それを作るなら、バルコニーの場だけでしか使わないのはもったいない。；今度はタクシー代がもったいないなどとケチなことはいっていられない。；まもなく中国に帰るので、これから部屋を借りるのは金がもったいない。；こんなに金を使って、もったいないことをした、などともつゆ思わない。；弾がもったいないし、音がでかいからほかの警備兵を集める恐れもある。；しかし仲々頭のいい人で、私立探偵にしておくのはもったいないほどだ。；「絵空ごとを読んでも時間がもったいない」 とよく言っていたものだ。；あのままではもったいないんだがな、と松尾さんに話したことがある。；タシトの配下にしておくにはもったいないくらい、優秀な兵たちである。；ダルタニャンは時間がもったいないので、自分で馬に鞍をつけておいた。；わざわざ対面しに来たんだ、顔くらい見せてやってももったいなくはない。；敏子はどうやら本気で転居の費用を、もったいないと思っていたらしい。；だが、あのまま草野球をやらせるだけにしておくのはもったいない。；せっかくチームの数だけ用意されていたというのに、もったいないことだ。；はじめ君の怒った顔も良いが、そればかりというのももったいないからな。；でも、この美しさを理解できないとはもったいないものだと思うけどねー。；今は使ってないんだけど、捨てるのももったいない気がして入れてあるだけ。；おれは女の斡旋をするが、女を殺すようなもったいないことは絶対にしない。；父親がよくもったいないから一、二品へらせと言っていたものである。</t>
        </is>
      </c>
      <c r="J8364">
        <f>HYPERLINK("https://www.weblio.jp/content/もったいない", "词义详情")</f>
        <v/>
      </c>
      <c r="K8364">
        <f>HYPERLINK("https://yourei.jp/もったいない", "查看例句")</f>
        <v/>
      </c>
    </row>
    <row r="8365">
      <c r="A8365" t="inlineStr">
        <is>
          <t>もって</t>
        </is>
      </c>
      <c r="B8365" t="inlineStr">
        <is>
          <t>成功</t>
        </is>
      </c>
      <c r="C8365" t="inlineStr">
        <is>
          <t>読み方：もって
［連語］《「も（持）ちて」の音変化》
１（多く「…をもって」の形で格助詞のように用いて）
㋐手段・方法を示す。「誠意を—交渉に当たる」「書面を—申し入れる」「好意を—迎えられる」
㋑原因・理由を示す。「過失の故を—責めを負う」
㋒事の行われる時を示す。「九月一日を—防災の日とする」
㋓くぎり・限界を示す。「これを—終了させていただきます」
２語調を強めるのに用いる。「いよいよ—承知できない」「まことに—残念なことだ」
３（「でもって」の形で）
㋐並列・添加の意の接続助詞のように用いる。…のうえに。…かつ。「安価で—質の良い品物」
㋑格助詞「で」を強める意を表す。「人手不足を技術で—補う」「会議で—決定された」
［接］《漢文における「以」や「式」の訓読から生じた語》そして。それによって。それについて。→も（以）て →もち（以）て
「天地の間にあるよろずの物を資り、—衣食住の用を達し」〈福沢・学問のすゝめ〉</t>
        </is>
      </c>
      <c r="D8365" t="inlineStr">
        <is>
          <t>もって迎えられ；もって任じ；もって現役；もって一旦；もってゆき</t>
        </is>
      </c>
      <c r="E8365" t="inlineStr">
        <is>
          <t>持って；帯びて；掴んで；握ったまま；掴んだまま</t>
        </is>
      </c>
      <c r="F8365" t="inlineStr">
        <is>
          <t>もっていらっしゃる；もって放送終了；もって打ち切ら；もって臨む；もって臨ん</t>
        </is>
      </c>
      <c r="H8365" t="n">
        <v>29</v>
      </c>
      <c r="I8365" t="inlineStr">
        <is>
          <t>この曲は彼を支持する者にも批判的な者にも驚きをもって迎えられた。；いくつかもっていってもいいし、このままにしておいといてもいいんだ。；どうせ二月の船で帰るのだから、あとの写真は送らずに僕がもって帰る。；星がはっきり見えて、あの望遠鏡の中に宇宙があるのかもって考えてた。；現在カタリ派がどのような思想をもっていたのかを正確に知ることは難しい。；自然主義と象徴主義の登場をもって古典的近代と言われる時代が始まる。；この世代をもって初めてオンド・マルトノが発明されたことになる。；新しい仏教をもって、奈良の旧仏教に対抗させようとしたのである。；調査は当初予定通り2008年度の予算をもって2009年に終了した。；従って新しい理論はしばしば古い理論の見かけをもっている。；これらは、当時の社会や文化を伝える資料としても貴重な価値をもっている。；当身技の大部分は、腕や脚でもって掛けられるが、頭部もときに使われる。；この年をもって現場からも完全に引退することとなった。；観光的な意図をもって博覧会が開催されるようになったのは、昭和以降である。；しかし、その70万をもってしても呂光を破ることができず、敗北した。；この吉田のおばあちゃんと話すシーンをもってTVシリーズは終了する。；彼は時間、空間の直観形式でもって、人間は様々な現象を認識すると考えた。；遂に天皇は病の身となってしまい、薬や祈祷をもってしても効果はなかった。；この駅の付番をもって、環状線内のすべての駅にのりば番号が設定された。；つまり、強大な権力をもってしても制御できないものと例えられたのである。；観光バスも余裕をもって走ることが出来るよう道路の幅員も広くとられている。；イスラエルの民が金の子牛を崇拝した際には、極刑をもって処罰された。；以上の経緯をもってルシファーは悪魔の名となったとされる。；玉の板数千枚を金の糸で縫い上げ、これをもって遺体を蓋っている。；好評だったが、2001年1月号をもって23年間の歴史に幕を閉じた。；しかし家庭の奥に籠もって一生を送ったアテナイの女性に比べれば自由であった。；防諜は軍の防諜部隊のほか、多くの国が国内防諜の専門組織をもっている。；それにもう先生のおっしゃるとおりで、ぼくがもってても意味ありません。；結果、両者の間の高熊山に籠もっていた熊本隊は完全に包囲された。</t>
        </is>
      </c>
      <c r="J8365">
        <f>HYPERLINK("https://www.weblio.jp/content/もって", "词义详情")</f>
        <v/>
      </c>
      <c r="K8365">
        <f>HYPERLINK("https://yourei.jp/もって", "查看例句")</f>
        <v/>
      </c>
    </row>
    <row r="8366">
      <c r="A8366" t="inlineStr">
        <is>
          <t>もってこい</t>
        </is>
      </c>
      <c r="B8366" t="inlineStr">
        <is>
          <t>成功</t>
        </is>
      </c>
      <c r="C8366" t="inlineStr">
        <is>
          <t>読み方：もってこい
［形動］最も適しているさま。打ってつけ。「スポーツには—な季節」</t>
        </is>
      </c>
      <c r="D8366" t="inlineStr">
        <is>
          <t>ぴったり；最適；あつらえ向き；打って付け</t>
        </is>
      </c>
      <c r="H8366" t="n">
        <v>29</v>
      </c>
      <c r="I8366" t="inlineStr">
        <is>
          <t>他人に聞かれては困るような話をするにはもってこいの場所かもしれない。；これなら、新生活にもってこいだと思ったもんだから契約してきました。；雑誌類が外に出ていて、立ち読みにもってこいの店が、近くにあるのだ。；意識にのぼらないものを隠しておくのに潜在意識はもってこいの場所だ。；いろいろなものをお届けするにはもってこいの機会だったのですのに。；おかげで、こちらの眼が見えないので、人間観察にはもってこいなのだ。；この内容に衝撃を受け、バンド名にはもってこいだとメンバーが思い決定した。；それこそ人気のない、拉致するのにもってこいの場所であってもいい。；めったなことでは使わぬが、敵を威圧するためにはもってこいの技である。；銭五の隠れ屋敷を建設するにはもってこいの場所じゃないか。；川岸は砂地の部分が結構多く、座って休むにはもってこいの場所である。；あちこちに藪や池もあり、盗賊がひそむにはもってこいの環境であった。；仕事にはもってこいの場所だったので、ただちに執筆にとりかかった。；そうだジェイン、明日の晩は月と立ち石を見るには、もってこいだぞ。；あまり人目に触れたくない会合などを開くにはもってこいの場所なのである。；逃げるにあたり一瞬の目くらましをかけるにはもってこいでしょう。；あそこは進駐軍の島だから、おれにはもってこいの場所だと思った。；夜陰に義士が隊伍を組んで打ち入るにはもってこいの土地なのである。；あすの月の出までに、高尾先生と賠償金一千両をそろえてもってこいと。；温和しそうだし縹緻もいいし、妻にするにはもってこいの娘だと思う。；遠乗りにはもってこいの日だったが、逃げるには絶好の日とはいえなかった。；その種の幼稚な暗号文なら疲れないから頭の体操にはもってこいなのだが。；江戸の幕府に外から圧力をかけるにはもってこいの足場と見られたのが琉球である。；スパイ行為をやらせるにはもってこいのチャンスだし、相手だからね。；こんどのやつはおめえの初仕事にはもってこいだぜ。；いやぁ、ぼく達の活動を知ってもらうのにもってこいの企画ですね!；でも大体、出先の軍人は戦争好きが多いから、商売にはもってこいなんだ。；それを誰かが聞いて、これはおれたちの目的を達するには、もってこいだと考える。；ほんと、ピンクハウスは馬の応援にはもってこいのブランドなんですよ。</t>
        </is>
      </c>
      <c r="J8366">
        <f>HYPERLINK("https://www.weblio.jp/content/もってこい", "词义详情")</f>
        <v/>
      </c>
      <c r="K8366">
        <f>HYPERLINK("https://yourei.jp/もってこい", "查看例句")</f>
        <v/>
      </c>
    </row>
    <row r="8367">
      <c r="A8367" t="inlineStr">
        <is>
          <t>もってのほか</t>
        </is>
      </c>
      <c r="B8367" t="inlineStr">
        <is>
          <t>成功</t>
        </is>
      </c>
      <c r="C8367" t="inlineStr">
        <is>
          <t>読み方：もってのほか
［名・形動］
１とんでもないこと。けしからぬこと。また、そのさま。「—な（の）振る舞い」
２予想を越えて程度がはなはだしいこと。また、そのさま。
「事の由を人の風説(うわさ)に伝え聞て、—なる大腹立」〈逍遥・当世書生気質〉</t>
        </is>
      </c>
      <c r="D8367" t="inlineStr">
        <is>
          <t>ならぬ；禁止；駄目；ダメ；いけません</t>
        </is>
      </c>
      <c r="H8367" t="n">
        <v>29</v>
      </c>
      <c r="I8367" t="inlineStr">
        <is>
          <t>人殺しのような殺伐なことに頭を使うのはもってのほかだというんです。；逃げた仲間の情報も得ずして首をはねるなどもってのほかだというのだ。；いよいよ出でていよいよ妙、一高生としてはもってのほかの場所である。；いまさら彼らの命を奪おうとするなど、もってのほかでございましょう。；自分を出し抜いて、二人同車して都を巡るなどとはもってのほかである。；そのために、しばらくは遠方へ旅行するなどもってのほかだったのだ。；山賊相手に将軍がおん自らお出になるなどもってのほかでございます!；嘘の申告やこっそり軍艦を移動させるなどの反則はもってのほかである。；それを今になって、糧秣が不足したから突入しないとは、もってのほかだ。；こんな事になった原因である宝具を使うのなんてもってのほか。；自分の家でこんな事件が起こるなんて、もってのほかだからね。；もちろん、図書館であることに変わりはないので宴会などはもってのほかだが。；もってのほかのように言った内大臣の言葉を肯定あそばすこともできない。；そんな人間を助けるために、ここの人数をくり出すなどはもってのほかだ。；何か知ってて黙っているなんてもってのほか、市民の義務を果たしていないと憤慨する。；まして、対面している人と視線を合わせるなどは、もってのほかである。；もっとも不名誉な生よりもむしろ死を選ぶことは、もってのほかのことだと思われている。；裸に自信がないので海やプールなんてもってのほかだったし、夏でも長袖を着ていた。；このような刺激的な格好で下におりるなどもってのほかだ。；女が自分の意見を言うなんてもってのほかでした。；とにかく不倫なんかもってのほか、どうして妻のいる人と恋愛なんかするんですか?；たいまつをつけるのはもってのほかだし、あの断崖はほとんど垂直なんだ。；長いものを書くためには徹夜などもってのほかですからね。；ヌケ作の破産者に男爵の娘が女房などとはもってのほかだから、つれて帰る。；かつては、親からさずかった身体に傷をつけるのはもってのほか、と考えられていた。；しかし、竹はやっぱりもとの竹のままで、食べることなんて、もってのほかです。；だから、彼と目を合わそうとしなかったし、身体に触れられるなどもってのほかだった。；このようなことを申しあげるのさえ、もってのほかでございます。；金と交換に子供さえ返して寄こせば、警察は指一本触れないなどというのはもってのほかだ。</t>
        </is>
      </c>
      <c r="J8367">
        <f>HYPERLINK("https://www.weblio.jp/content/もってのほか", "词义详情")</f>
        <v/>
      </c>
      <c r="K8367">
        <f>HYPERLINK("https://yourei.jp/もってのほか", "查看例句")</f>
        <v/>
      </c>
    </row>
    <row r="8368">
      <c r="A8368" t="inlineStr">
        <is>
          <t>もっと</t>
        </is>
      </c>
      <c r="B8368" t="inlineStr">
        <is>
          <t>成功</t>
        </is>
      </c>
      <c r="C8368" t="inlineStr">
        <is>
          <t>［副］事物の程度や状態が、さらにその度を強めるさま。いっそう。「八月になると—暑くなる」「—こっちへ寄りなさい」</t>
        </is>
      </c>
      <c r="D8368" t="inlineStr">
        <is>
          <t>もっと早く(3%)；もっと大きな；もっとよく；もっといい；もっと多く</t>
        </is>
      </c>
      <c r="E8368" t="inlineStr">
        <is>
          <t>より；さらに；なお；更に；加えて</t>
        </is>
      </c>
      <c r="F8368" t="inlineStr">
        <is>
          <t>もっと深く；もっと強い；もっと高い；もっと詳しく；もっと悪い</t>
        </is>
      </c>
      <c r="G8368" t="inlineStr">
        <is>
          <t>もっともっと；もっと強く；もっと高く；もっと近くに；もっとい</t>
        </is>
      </c>
      <c r="H8368" t="n">
        <v>29</v>
      </c>
      <c r="I8368" t="inlineStr">
        <is>
          <t>数千頭と考えられているが、もっと少ないと主張している研究者もいる。；メンバーのうち何人かは、もっと高い費用がかかることを想定している。；見えないはずはない、もっとよく見なくちゃいけませんよと船長は言う。；逆に、軍事的変化はもっと後の年代に起きたとする立場を取る者もいた。；これはギャングでいる事よりも、もっといい事が他にできたからである。；彼は、自分には単なる医者よりももっとなるべきものがあると考えていた。；会戦はあったが戦闘はもっと小規模だったのではないかという説もある。；当時は、現在よりももっと多くの種類の魚が使われていたと考えられている。；フェードでやれば簡単なのはわかっているんですけど、もっと自然にね。；巡回群の表現論は、もっと一般のの重要な基本となる場合となっている。；アンドロメダ銀河のようなより大きな銀河にはもっとたくさん存在する。；今日ではVIPnetは携帯電話ネットワークではもっとも知られている。；多次元への移行は、まさにその定義からしてもっと複雑なものになる。；私は、君が自分を愛しているよりももっと深く君を愛している最愛のものだ。；彼は我々がもっと大きなチームと競い合えるという確信を与えてくれる。；中世以前の戦いを扱ったものの場合は、部隊規模はもっと小さくなる。；例えば僕のそばに置いてもっとシゴいたほうが良かったかもしれない。；適当な条件の下では、この議論をもっと明確化することができる。；それ以前はもっと多くの区別があったことがわかっている。；しかし、キリスト教と科学の実際の関係はもっと豊穣で複雑なものであった。；これらの定義は実際にはもっと一般の有向点族の概念の特別の場合になっている。；景気が良かったら、もっとお金のかかる大作を映画化するんだろうけど。；大人になってから、もっと勉強しておけばよかった、と語っている。；しかし、それがもっとよいものだったなら、出版されなかったかもしれない。；この試合は自分のいる場所ではなくもっと遠くから自分を見ているような感じであったという。；継承の目的は、単純なクラスに基づいてもっと複雑なクラスを構成することである。；その頃には日本はもっと進んだ技術が身についている。；これに影響されて、皆は家で何かもっとすごいものを考えだすようになった。；彼の名がもっとも知られているのは、女性の高等教育の促進への貢献である。</t>
        </is>
      </c>
      <c r="J8368">
        <f>HYPERLINK("https://www.weblio.jp/content/もっと", "词义详情")</f>
        <v/>
      </c>
      <c r="K8368">
        <f>HYPERLINK("https://yourei.jp/もっと", "查看例句")</f>
        <v/>
      </c>
    </row>
    <row r="8369">
      <c r="A8369" t="inlineStr">
        <is>
          <t>もっとも</t>
        </is>
      </c>
      <c r="B8369" t="inlineStr">
        <is>
          <t>成功</t>
        </is>
      </c>
      <c r="C8369" t="inlineStr">
        <is>
          <t>読み方：もっとも
［名・形動］道理にかなっていること。なるほどその通りだと思われること。また、そのさま。当然。「—な言い分」「いやがるのも—なことだ」
［接］前の事柄を肯定しつつ、例外あるいは一部相反する内容を補足するときに用いる。とはいうものの。なるほどそうだが。ただし。「旅行にはみんな参加する。—行かない人も二、三いるが」
［副］
１いかにもなるほどと思われるさま。本当に。まったく。当然。
「事すでに重畳せり。罪科—逃れがたし」〈平家・一〉
２（あとに打消しの語を伴って）少しも。全然。
「ふっつり心残らねば—足も踏み込まじ」〈浄・天の網島〉</t>
        </is>
      </c>
      <c r="D8369" t="inlineStr">
        <is>
          <t>もっとも古い；もっともよく；もっとも大きな；もっともらしく；もっとも多く</t>
        </is>
      </c>
      <c r="F8369" t="inlineStr">
        <is>
          <t>なかでもっとも；もっとも優れ；もっとも強い；もっとも広く；もっとも長い</t>
        </is>
      </c>
      <c r="G8369" t="inlineStr">
        <is>
          <t>もっともらしい否認；もっともあぶない刑事；もっともっと関西</t>
        </is>
      </c>
      <c r="H8369" t="n">
        <v>29</v>
      </c>
      <c r="I8369" t="inlineStr">
        <is>
          <t>もっとも普通の形状はユーフォニアムを小型にしたような形をしている。；もっともよく演奏され、よく知られた代表的な曲の例としてあげてある。；また時にはもっとも観察に困難な場所での微妙な実験をすることもある。；もっとも多くは栽培に成功したわけではなく、定着には至っていない。；ラファエロの肖像画の中でももっとも高く評価されている作品のひとつ。；もっとも軍事的な効果は余りなく、そもそも期待されてもいなかった。；ただしもっとも古例である上記の丸〆猫はそもそも小判は持っていない。；鉄が普及する以前には、もっとも広く利用されていた金属であった。；パリは、フランス全土でも医師の密度がもっとも高い街のひとつである。；もっとも単純な火おこし法は摩擦法であり、世界中に広く分布している。；インド・ヨーロッパ語族の言語のうちもっとも古い文献の残る言語である。；これを低血量性ショックと呼び、もっとも多く見られるショックである。；何回か遊戯を行って、最終的にもっとも得点の多いものを勝ちとする。；もっともひろく知られているのは双子葉植物の茎に見られるものである。；もっとも江戸時代後期以降は、この見解が意識された可能性がある。；文全体でこのスコアの合計がもっとも高くなるような品詞列を答えとする。；研究者たちの間でもっとも可能性が高いといわれているのが80年ごろである。；推理小説のなかではもっとも一般的でかつ古典的なジャンルである。；現代の聖書研究でもっとも広く支持されている仮説は二資料仮説である。；もっとも、1986年時点で業容自体はかつての規模に戻りつつあった。；世界でもっとも鉄道車両生産額が大きい企業は、中国の中国中車である。；ヨーロッパとの関係も重要であり、もっとも関係のよい国家はスペインである。；ロック界でもっとも影響力のあったミュージシャンの一人として知られる。；これは世界でもっとも厳格な牛の個体管理であるといわれている。；そしてこのアナロジーを自分の理論でもっとも美しい部分と考えた。；火を利用するにあたって、もっとも困難なのは、火種を作ることである。；もっとも時間をかけて考えたのが学校そのものと、その雰囲気だ。；彼らはこの数値がこれまででもっとも正確な標高であるとしている。；もっとも、パリとその郊外の県との間では、下水道組合の再編を行った。</t>
        </is>
      </c>
      <c r="J8369">
        <f>HYPERLINK("https://www.weblio.jp/content/もっとも", "词义详情")</f>
        <v/>
      </c>
      <c r="K8369">
        <f>HYPERLINK("https://yourei.jp/もっとも", "查看例句")</f>
        <v/>
      </c>
    </row>
    <row r="8370">
      <c r="A8370" t="inlineStr">
        <is>
          <t>最も</t>
        </is>
      </c>
      <c r="B8370" t="inlineStr">
        <is>
          <t>成功</t>
        </is>
      </c>
      <c r="C8370" t="inlineStr">
        <is>
          <t>読み方：もっとも
［副］《「尤(もっと)も」と同語源》比べてみて程度が他のどれよりもまさることを表す。いちばん。何よりも。「—人口が多い」「—信頼できる」</t>
        </is>
      </c>
      <c r="D8370" t="inlineStr">
        <is>
          <t>最も古い(3%)；最も多く(3%)；最もよく(2%)；最も高い(2%)；最も多い</t>
        </is>
      </c>
      <c r="F8370" t="inlineStr">
        <is>
          <t>史上最も；最も美しい；最も大きい；うち最も；最も広く</t>
        </is>
      </c>
      <c r="G8370" t="inlineStr">
        <is>
          <t>最も新しい共通祖先；最も遠い天体；最も危険な遊戯；最も低い山；最も遠い銀河</t>
        </is>
      </c>
      <c r="H8370" t="n">
        <v>29</v>
      </c>
      <c r="I8370" t="inlineStr">
        <is>
          <t>一般的には、様々な意味で人間自身が最も人間の関心を引くようである。；本節ではステージレースで最も頻繁に見られる展開の各段階を解説する。；この広場で行った演説は彼の政治活動のなかで最も成功したものだった。；ニューヨークはアメリカのみならず、世界で最も重要な都市となっている。；このエネルギー評価内で最も計算コストが高いのが非結合部分である。；刊行間隔の分類では、最も一般的なものは毎日刊行される日刊紙である。；現在の日本語で最も基本的な文字であり、主に次のような場面で用いられる。；最近のニューロイメージングの中でも最も発達した手法の一つである。；十二を数えるイジュマーの機能があると言われるが、最も有力なものは。；そして、最も生産的で安定したクローンが将来の使用のために選択される。；どのプログラミング言語が最もよく使われているかを判断することは難しい。；本作ではこの方法で敵を踏みつけるのが最も基本的な攻撃方法となる。；その最も代表的なものとして挙げられるのが保守主義と進歩主義である。；代わりに、アルゴリズムを使用して最も可能性の高い候補を特定する。；また、バルト海東岸に南北に並ぶバルト三国の中で最も北の国でもある。；ウリ科の植物の多くは熱帯に分布し、人類の歴史上最も古い作物を含む。；国民に向けて最も多くの戦争報道をしたのが新聞であった。；最も多忙な時期で月刊誌・週刊誌あわせて5本の連載作品を持っていた。；表面系に関してはスラブ近似を用いて計算するのが最も標準的である。；GPLは最も一般的に使用されるフリーソフトウェアライセンスである。；また、ストーンズはトップを獲得した最も古いアーティストとなった。；数学における群とは、最も基本的と見なされる代数的構造の一つである。；大陸を指す最も狭義の概念は切れ目がない主要な陸地ということになる。；この意味で、電荷は素粒子が持つ最も基本的な性質の一つであると言える。；そのイベントで最もポイントを多く獲得した1名がポイント対象。；この族は元素を分類する上で最も重要な方法と考えられている。；次に示すのは、最重要かつ最も広範に崇拝されている神々の概略である。；年間通して最もポイントを獲得したチームがチームズチャンピオンとなる。；現在までに撮影された中で最も深い宇宙の画像である。</t>
        </is>
      </c>
      <c r="J8370">
        <f>HYPERLINK("https://www.weblio.jp/content/最も", "词义详情")</f>
        <v/>
      </c>
      <c r="K8370">
        <f>HYPERLINK("https://yourei.jp/最も", "查看例句")</f>
        <v/>
      </c>
    </row>
    <row r="8371">
      <c r="A8371" t="inlineStr">
        <is>
          <t>専ら</t>
        </is>
      </c>
      <c r="B8371" t="inlineStr">
        <is>
          <t>成功</t>
        </is>
      </c>
      <c r="C8371" t="inlineStr">
        <is>
          <t>読み方：もっぱら
《「もはら」の音変化》
［副］他はさしおいて、ある一つの事に集中するさま。また、ある一つの事を主とするさま。ひたすら。ただただ。「—練習に励む」「休日は—子供の相手をする」「—のうわさだ」
［形動ナリ］専念するさま。また、主要・肝要なさま。
「人倫において—なり」〈謡・忠度〉</t>
        </is>
      </c>
      <c r="D8371" t="inlineStr">
        <is>
          <t>専ら用いられ；専ら地方官；専ら使わ；専ら医薬品として使用；専ら自家用機</t>
        </is>
      </c>
      <c r="E8371" t="inlineStr">
        <is>
          <t>ただ；ひとり；単に；唯；独り</t>
        </is>
      </c>
      <c r="F8371" t="inlineStr">
        <is>
          <t>ほぼ専ら；専ら用いられる</t>
        </is>
      </c>
      <c r="H8371" t="n">
        <v>29</v>
      </c>
      <c r="I8371" t="inlineStr">
        <is>
          <t>一部に小売されている物も存在はしたが、専ら産業用途に使われていた。；以降は技術文献等では専らグラウンドアンカーの名称が用いられている。；構成員を議員に限定しており、専ら議会内での活動を主眼に置いていた。；橋も掛けられたが洪水の度に流失し、船や徒歩で渡るのが専らであった。；彼らが専ら求めていたのは刺激的な場面や、低俗な笑いのみであった。；江戸期の名古屋で専ら活躍していたのは、百花と呼ばれた私娼であった。；道具は専ら木や石・大型獣の皮などを利用して作られている。；一方で回転は非常に速く、専ら鉄分の輸送に役立っていると考えられる。；これらの編隊特殊飛行は、専ら九〇式艦上戦闘機を使用して行なわれた。；専ら農業が営まれているコミューンで、様々な田園風景を見せてくれる。；シュメール語が使用されていた時代には専ら楔形文字で表記された。；これも秀吉の生母・なかに贈られてからは、専ら彼女を指す語になっている。；看病人長とは、専らよく海軍の病人を看護することを掌るものであった。；マガダンへの鉄道ルートはなく、市内交通はバスが専らの足である。；そのため、空港以北の地域に行くためには専ら船が使われていた。；展開部は第1主題を専ら扱うもので第1主題の再現を兼ねている。；第二次世界大戦終戦まで医療サービスは専ら一般医学に限られていた。；すなわち、彼らは専らウェンズベリ基準の第1基準を適用したのである。；近年は専ら明石家さんまの相方的存在で、数々の番組で共演している。；日本国内では専ら京都議定書の基準年との比較による増減率が提示される。；その存在は一般社会には隠匿されており、専ら裏の世界を活躍の場としている。；JRの車両は専ら直通列車にのみ使用され、地下鉄線内のみの運用はない。；主に兄弟の総括と実務方面を専らとし、また都市計画方面の分野でも活躍。；地区で生産される原油の多くはセリア近隣で産出され、専ら輸出用である。；一方、中国では両といえば専ら秤量銀貨の単位であり、テールと呼ばれた。；銀行券は額面が大きかったので専ら遠隔地同士での巨額取引に使われた。；小さな血管と毛細血管では内皮細胞は専ら1種類の細胞しかみられない。；青・白・赤のウクライナ鉄道色に塗られているのは、専らソ連製の車両である。；専ら原子核物理学で核反応の反応断面積を表す単位として使われていた。</t>
        </is>
      </c>
      <c r="J8371">
        <f>HYPERLINK("https://www.weblio.jp/content/専ら", "词义详情")</f>
        <v/>
      </c>
      <c r="K8371">
        <f>HYPERLINK("https://yourei.jp/専ら", "查看例句")</f>
        <v/>
      </c>
    </row>
    <row r="8372">
      <c r="A8372" t="inlineStr">
        <is>
          <t>もつれる</t>
        </is>
      </c>
      <c r="B8372" t="inlineStr">
        <is>
          <t>成功</t>
        </is>
      </c>
      <c r="C8372" t="inlineStr">
        <is>
          <t>読み方：もつれる
［動ラ下一］［文］もつ・る［ラ下二］
１線状のものがからまり合って解けなくなる。「髪が—・れる」
２足・舌などが思うように動かず、言語・動作に支障をきたす。「足が—・れる」
３事柄が入り組んで決着のつかない状態になる。「交渉が—・れる」「試合が—・れる」</t>
        </is>
      </c>
      <c r="D8372" t="inlineStr">
        <is>
          <t>難しくなる；絡み合う；ややこしくなる；紛糾する；こじれる</t>
        </is>
      </c>
      <c r="H8372" t="n">
        <v>29</v>
      </c>
      <c r="I8372" t="inlineStr">
        <is>
          <t>今はこの拘禁室とやっかいな感情のもつれとが目の前に迫ってきている。；どうしてなったのかわからないが、とにかくそいつがもつれてしまった。；話し振りも舌がもつれて何を言っているのか理解できないことが増えていた。；士族屋敷にも行けば、かれの住んでいた家の址にもつれていってくれた。；ほんの少し前、足がもつれるほどに走っていたことが嘘のようだった。；先生に名前を呼ばれても、顔が真っ赤になり、舌がもつれるほどだった。；父は顔を母の方へむけたまま、舌がもつれたような声でなにかいった。；あのいい子のところへは、弟と妹と、両方ともつれてってやりましょうね。；二人の言葉がもつれ返ったように、二人の不思議な感情ももつれ合った。；少くともかれ等はさういふ風にもつれあつて五六町は歩いて行つた。；あの話を聞いたのも、ここで詰まって糸がもつれてしまった時だった。；又わしはどんなにもつれた糸でも手際良くほごす力を授かって居るでの。；彼はその火の玉形の二つもつれた形が何を意味しているものだろうかと考えた。；あわてているので舌がもつれそうになりながら、小夜は早口につづけた。；「お前の髪の毛が、もつれているからではない」またあの声が主張した。；彼女は、三人の男がもつれるように倒れるのを見て、素早く身を引いた。；そんなことが話がもつれる原因として小さくねえさ、ははははははは。；だんだんもつれて、これから何がでてくるか分らない形勢になりましたな。；これで舌がもつれ出したら、どういうことになったのかわかります。；彼女は涙をながしながら、酔っぱらったようにややもつれる舌でいった。；霧の中に二人の影がもつれるようになって少しずつ岩壁を這い登っていった。；ことによったらそこにいる男には一匹もつれねえかもしれねえ。；彼は車と馬とのもつれあった混乱の中に閉じこめられてしまった。；石段の左手には、濃く繁つた桜の樹にギラギラと陽の光がもつれてゐた。；しかし何度か唸り声を発した後、山姥はもつれる舌で言葉を口にした。；もつれた毛は袖のところまでのび、その先は袖のなかへ消えていた。；二人の身体はMRIのキャビネットへむかってもつれながら飛んでいった。；二人はそのままベッドの上にもつれるように倒れ込んで、折り重なった。；その結果、二少年と星人との間にもつれていた感情がきれいにとけた。</t>
        </is>
      </c>
      <c r="J8372">
        <f>HYPERLINK("https://www.weblio.jp/content/もつれる", "词义详情")</f>
        <v/>
      </c>
      <c r="K8372">
        <f>HYPERLINK("https://yourei.jp/もつれる", "查看例句")</f>
        <v/>
      </c>
    </row>
    <row r="8373">
      <c r="A8373" t="inlineStr">
        <is>
          <t>持て余す</t>
        </is>
      </c>
      <c r="B8373" t="inlineStr">
        <is>
          <t>成功</t>
        </is>
      </c>
      <c r="C8373" t="inlineStr">
        <is>
          <t>読み方：もてあます
［動サ五（四）］取り扱い方や処置に困る。もちあつかう。「むずかる子を—・す」「暇で時間を—・す」「長い手足を—・す」</t>
        </is>
      </c>
      <c r="D8373" t="inlineStr">
        <is>
          <t>難しい；面倒な；厄介な；タフな；扱いにくい</t>
        </is>
      </c>
      <c r="H8373" t="n">
        <v>29</v>
      </c>
      <c r="I8373" t="inlineStr">
        <is>
          <t>誰か暇を持て余しているクラスの友達でもいないだろうかと思ったのだ。；持て余した時間をやりすごすには眠るのが一番の方法だと思ったからだ。；引退したからと言って仕事がある訳でもなく、毎日ヒマを持て余していた。；今あたしが暇持て余してるわけじゃないのは知っての事だろうね?；だから私は、私の持つてゐる極めて稀薄な人間的要素をも持て余してゐた。；私以上に暇を持て余していることだろうから、君の訪問は喜ぶだろう。；鶴見は諦めて、疲れ切った体を持て余すようにして足を引きずっていた。；持て余すくらいなら製造しなければいいのだが、そこが人間である。；これほどに自身を持て余すとは思ってもいなかった経験だった。；コヨーテの遠吠えが耳につき、節子は夜の長さを持て余すようになった。；毎日部屋に閉じ籠もっていたので、かなりの暇を持て余していた。；おせいの所から足が遠退いている自分の気持ちを伊三次は持て余していた。；おそらく土地の持て余されであったらしく、あまり同情はしていない口調です。；事実そのころの僕は、学校を中退したばかりで暇を持て余していた。；時間を持て余しているように見えて、実は規則正しい一日を送っているんだ。；そう思うたびに、また新しい何かを考え始めてしまっている自分を持て余していた。；私はてっきり渡辺が好都合にも暇を持て余していたのだと思いました。；しかも自由を与えられた選手たちは、その裏にある義務の重さを持て余してしまう。；上条が学生であるため、基本的に昼間は一人で暇を持て余している。；秋生は震える身体を持て余しながら、死体のような足取りで部屋を出た。；もちろん、いつもいつも、この二人が、暇を持て余しているわけではない。；時間を持て余したので、僕は以前よりも本を読むようになった。；そのせいか、長谷部は持て余し者の弟のような印象さえ受けている。；今度ばかりは銭形の平次ほどの者も、全く持て余してしまいました。；ちょうど暇を持て余していたところだったのかもしれない。；じつはここに金袋を持って来たんですが、少々これを持て余していましてね。；時間を持て余していたのもたしかだが、むしろ、嬉し気な表情で出て行く。；自分でも、とめどがなくて、持て余して、涙にまかせてゐるやうである。；自分でも速さを持て余してしまうので、あまり精密な動きはできない。</t>
        </is>
      </c>
      <c r="J8373">
        <f>HYPERLINK("https://www.weblio.jp/content/持て余す", "词义详情")</f>
        <v/>
      </c>
      <c r="K8373">
        <f>HYPERLINK("https://yourei.jp/持て余す", "查看例句")</f>
        <v/>
      </c>
    </row>
    <row r="8374">
      <c r="A8374" t="inlineStr">
        <is>
          <t>持て成す</t>
        </is>
      </c>
      <c r="B8374" t="inlineStr">
        <is>
          <t>成功</t>
        </is>
      </c>
      <c r="D8374" t="inlineStr">
        <is>
          <t>迎える；もてなす；迎え入れる；御迎；御迎え</t>
        </is>
      </c>
      <c r="H8374" t="n">
        <v>29</v>
      </c>
      <c r="I8374" t="inlineStr">
        <is>
          <t>私は彼を持て成すためなら何だって提供したろう。；主人の友人が尋ねてきた、その持て成しをしている。；王浚は石勒を持て成す為に宴席を設けるよう命じ、その到着を待った。；私も招かれた一人ですが、いや、その持て成しの行き届いていることといったらない。；この場所で自分の誕生パーティを開いてもらい、自分は料理で持て成し、弟も加えた皆がそれぞれの形で返し、最後には揃って写真も撮った。；ウジュクは、夜は危険なので修道院で持て成すと4人を招待する。；第一、今夜はお客など来ていないし、よし来ているにしろ、家の愛妻は持て成しの途中で酒を切らすような間抜けじゃねえ。；同じ頃、秀吉は京や全国の人々を集めて北野大茶湯を開催し、自ら黄金の茶室で人々を持て成して権勢を誇示する。；特に御持て成し料理としての二汁五菜が定着していて、日本の家庭料理はご飯を中心にした一汁三菜の日常の食にある。；この私が自ら御持て成し申し上げましょう。；この事で張飛は感嘆し、厳顔の縄を自ら解き、厚く持て成したといわれている。；趙顔がすがる思いでその老人二人と会い、管輅に言われた通りに持て成し、寿命を延ばして貰うように頼んでみると、その老人は十九と書かれた紙に九を加えて九十九とする。；ある時、知人の元へ立ち寄ると食事を持て成された。；襄公は桓公を持て成すふりをして酒に酔わせ、部下の公子彭生に命じて肋骨を折って殺した。；ジョーンズはその日の夕方、ジョーンズタウンの中央講堂でライアン代表団を持て成している。；このような醜悪な魔物を、尊い王の母ぎみと信じて、日々敬愛し、持て成し、仕えていたとは。；持て成しも一流だし地酒も中中のものだったが、御馳走と云ってもそう代わり映えがしないから三日を越すと飽きる。；ケンが生まれてから、永い間、これといった客を持て成したことのない彼女に、昔、ケンの生まれる以前に客のあった時、一生懸命に料理したあの感覚が蘇って来た。；その結果、旧2部リーグの弱小チームを名実ともに日本を代表するサッカークラブに成長させることになるが、来日早々は有名ゲスト扱いで毎夜何らかの会合に呼ばれてはスター選手として持て成されていた。；昨今は、結納時には受ける側で祝宴の持て成しを用意する為、持て成される食事代金程度を包むケースが多い。；昨今は、結納時には受ける側で祝宴の持て成しを用意する為、持て成される食事代金程度を包むケースが多い。；しかし孫権が意に介さず、ますます魯粛を尊重し、厚く持て成したため、魯粛の母は以前の資産家であった頃と同様の生活が送れるようになった。；基本的には大切な贈り物の観点から、先方自宅へお届けするが、祝宴の持て成しの段取りからホテルや料亭で取り交わすケースがある。；言葉も通じない自分たちを受け容れたうえ精一杯持て成すダンバーに、集落の中心的人物でもある「蹴る鳥」は好感を抱いた。；今週や次週放送されるテレビ朝日の番組視聴者獲得を目指し、「宣伝マン」と呼ばれるお笑い芸人3組が、その番組の見所や出演者への御持て成しなどで視聴者獲得を目指す。；そこで朱富は兄と相談して、護送の李雲一行を持て成して痺れ薬を盛り、李逵を奪還する事を計画、成功させるが、朱富は李雲に恩義があるため護送に失敗した李雲の身を案じて、兄だけを梁山泊へ行かせ自分は街道で李雲を待った。；専好は利休の侘びの持て成しに心を解きほぐされ、執行の多忙さで花を生ける楽しみを失っていたことを告白し、花を活ける楽しさを思い出す。；孫策が許貢から受けた怪我の療養中、袁紹の元から使者として訪れた陳震を持て成すために、呉郡の城門の楼上で部将や賓客たちと宴会を開いている時に登場する。；しかし、ホヴァーンスキー公は己の屋敷内でどんな災難が待ち受けるのか、と嘲笑い、使者を馬丁に「御持て成し」させる。</t>
        </is>
      </c>
      <c r="J8374">
        <f>HYPERLINK("https://www.weblio.jp/content/持て成す", "词义详情")</f>
        <v/>
      </c>
      <c r="K8374">
        <f>HYPERLINK("https://yourei.jp/持て成す", "查看例句")</f>
        <v/>
      </c>
    </row>
    <row r="8375">
      <c r="A8375" t="inlineStr">
        <is>
          <t>持てる</t>
        </is>
      </c>
      <c r="B8375" t="inlineStr">
        <is>
          <t>成功</t>
        </is>
      </c>
      <c r="C8375" t="inlineStr">
        <is>
          <t>読み方：もてる
［動タ下一］《持つことができる意の「も（持）てる」から》
１保たれる。維持される。「座が—・てない」
２人気がある。人から好意をもたれ、よい扱いをうける。「年上の女性に—・てる」</t>
        </is>
      </c>
      <c r="D8375" t="inlineStr">
        <is>
          <t>持てる大き；持てるものすべて；持てる青年でし</t>
        </is>
      </c>
      <c r="H8375" t="n">
        <v>29</v>
      </c>
      <c r="I8375" t="inlineStr">
        <is>
          <t>このままでは有力紙の中で日経だけがテレビを持てなくなりそうだった。；そのわずかな時間に集中し、自分の持てる力を発揮しなければならない。；だが考えてみると、これはかえって希望の持てることなのかもしれない。；帰って来たアルバートははじめて希望の持てるニュースを伝えてくれた。；今日の文芸や、映画に出てくる恋愛が不満ならば恐れずその不満を持て。；しかしその場合、他に持てるアイテムは2個までに制限される事となる。；アイテムが2つ持てるようになったほか、以下のアイテムが追加された。；そこだら、千ルーブリでどれくれえ土地が持てるかしれねえんだもんな!；真理の前には何事を犠牲にしても、微笑していられるだけの熱情を持て。；映画の方では非常に有名な歌手だが、私などはあまり興味を持てない。；もしあの子が故郷を持てるとすれば、ここがそうでなければいけないのだ。；興味を持てることを見つけたうえで、それができる大学に行こうと考えた。；日本の全ての子どもが夢と希望を持てる社会を目指し、活動を広げている。；けれども徐々に、エリパズの霊はこの世で形を持てるようになってきた。；自然人生の種々の姿の描写は、見事な結晶を持てる芸術的な形成である。；何しろまだ年端も行かぬ女のことだ、身が持てなかったのも無理はない。；それにしても早くうちを持ての、妻を貰えの、来て世話をするのと云う。；あの方がちゃんと家庭を持てるようになるまで待っていられるほど愛していて?；今から救急車を呼び、自分が持てる全部の力を使ってあなたを治すから。；彼女の出身国は政情不安であり、国の未来に希望が持てない状態にある。；これから呪文を変更して、みなさんが二本ずつ剣を持てるようにします。；一三九 人は、復讐できる希望が持てるとすぐにまた憎み始めるのです。；米蔵を開けて、持てるだけ持っていくがいいといったのは弥三郎だった。；通常丙火は太陽にたとえられ、通根の地支を一つ持てば官殺を恐れない。；ようやく法律が改正されて、女たちが自分の戸籍を持てるようにはなった。；滅多に出ない隠し部屋に変化した場合はボーナスやBHの期待が持てる。；しかし、彼は誰がそんなことをしているのかに興味を持てなかった。；しかし深馬は芸術祭の作品が自分のものでは無い気がして自信が持てない。；大きさは様々であるが、ひと一人が両手で持てることが基本である。</t>
        </is>
      </c>
      <c r="J8375">
        <f>HYPERLINK("https://www.weblio.jp/content/持てる", "词义详情")</f>
        <v/>
      </c>
      <c r="K8375">
        <f>HYPERLINK("https://yourei.jp/持てる", "查看例句")</f>
        <v/>
      </c>
    </row>
    <row r="8376">
      <c r="A8376" t="inlineStr">
        <is>
          <t>基/素</t>
        </is>
      </c>
      <c r="B8376" t="inlineStr">
        <is>
          <t>无结果</t>
        </is>
      </c>
      <c r="H8376" t="n">
        <v>0</v>
      </c>
      <c r="J8376">
        <f>HYPERLINK("https://www.weblio.jp/content/基/素", "词义详情")</f>
        <v/>
      </c>
      <c r="K8376">
        <f>HYPERLINK("https://yourei.jp/基/素", "查看例句")</f>
        <v/>
      </c>
    </row>
    <row r="8377">
      <c r="A8377" t="inlineStr">
        <is>
          <t>元</t>
        </is>
      </c>
      <c r="B8377" t="inlineStr">
        <is>
          <t>成功</t>
        </is>
      </c>
      <c r="C8377" t="inlineStr">
        <is>
          <t>読み方：がん
⇒げん</t>
        </is>
      </c>
      <c r="D8377" t="inlineStr">
        <is>
          <t>元プロ野球選手(5%)；元サッカー選手(4%)；元亀；元同国；元プロサッカー選手</t>
        </is>
      </c>
      <c r="E8377" t="inlineStr">
        <is>
          <t>本；生まれ；もと；種；基本</t>
        </is>
      </c>
      <c r="F8377" t="inlineStr">
        <is>
          <t>日本の元；アメリカ合衆国の元；元ラグビー選手；発行元；元タレント</t>
        </is>
      </c>
      <c r="G8377" t="inlineStr">
        <is>
          <t>元気；元年；元来；元禄；元帥</t>
        </is>
      </c>
      <c r="H8377" t="n">
        <v>29</v>
      </c>
      <c r="I8377" t="inlineStr">
        <is>
          <t>一方 が の最大元であるとは の元は常に 以下である事を意味する。；日本でも、鎌倉時代に元が攻めて来たとき元軍により使用されたという。；そして、瞬間瞬間の意識体験は高次元空間上の一点で指定されるとする。；取材場所に変化があれば、いつ起きたのかを、取材元へ詳細に尋ねている。；本作に登場する神怪的なモチーフの多くはそれぞれ元となる説話がある。；また、ひらがなは漢字の草書体を元にしたもので主に女性が用い始めた。；いずれにしてもその変換は、翻訳元と翻訳先の言語に特化したものになる。；また、 と のクロス積は基底 の元の順序に依存して と定義される。；従来、役員は地域協会の職員や元選手などサッカー関係者で占められてきた。；この時に配られた旗が現在の氷旗のデザインの元になっている。；藤巻は数年で引退したため、長く杉浦の元に残ったのは斉藤だけだった。；元ウルグアイ代表経験を持つウーゴ・フェルナンデスが監督に就任した。；CGS単位系を元に電磁気学の単位を作ると、値が大きくなってしまう。；イスラムや中国の元・明時代の陶磁器が出土することでも知られる。；平方根とは、数に対して平方すると元の値に等しくなる数のことである。；符号は発見が報告された年、月、発見報告順を元にしてつけられる。；出産後は自身の経験を元にした『今日もお天気』シリーズを発表している。；四元数体 は を で生成するイデアルで割った剰余環になっている。；その場合に元のカードは返却されないので注意が必要である。；の異なる元 に対して、 または のうちの何れか一方のみが に属する。；日本と元の間には民間レベルで貿易が活発に行われていた。；一般の群 の中心 は の任意の元と交換する の元全体の成す部分群であった。；後期はシンセサイザーのリース元がMACから別の会社に変更された。；特に が 個の元からなる有限集合の場合の を 次対称群という。；が の下界 であるとは、 の任意の元 に対して となること。；これは「翻訳元の言語を理解することができない人」のための技術であると言える。；一説によるとこれは熊襲との戦いでの矢の傷が元であるという。；代表元は同値なものでありさえすれば、他のものに取り替えることができる。；守るべきルールがあり、環境または他人との相互作用を元に行われる活動である。</t>
        </is>
      </c>
      <c r="J8377">
        <f>HYPERLINK("https://www.weblio.jp/content/元", "词义详情")</f>
        <v/>
      </c>
      <c r="K8377">
        <f>HYPERLINK("https://yourei.jp/元", "查看例句")</f>
        <v/>
      </c>
    </row>
    <row r="8378">
      <c r="A8378" t="inlineStr">
        <is>
          <t>戻す</t>
        </is>
      </c>
      <c r="B8378" t="inlineStr">
        <is>
          <t>成功</t>
        </is>
      </c>
      <c r="C8378" t="inlineStr">
        <is>
          <t>読み方：もどす
［動サ五（四）］
１
㋐もとの状態や、もとあった場所などへ返す。「本を棚へ—・す」「話をもとに—・す」「白紙に—・す」「よりを—・す」
㋑水に浸したり、解凍したりして、加工する前の状態にする。「ヒジキを水で—・す」
２逆の方向へ返す。「時計の針を一〇分—・す」
３飲食したものを吐く。嘔吐(おうと)する。「食べ物を—・す」
４下がっていた相場が回復する。「下向きだった株価が—・す」
→返(かえ)す［用法］
[可能]もどせる</t>
        </is>
      </c>
      <c r="D8378" t="inlineStr">
        <is>
          <t>戻すべき；戻すべく；戻すよう要求；戻すよう命じ；戻すよう求め</t>
        </is>
      </c>
      <c r="E8378" t="inlineStr">
        <is>
          <t>回復；上げる；返す；復元；返還</t>
        </is>
      </c>
      <c r="F8378" t="inlineStr">
        <is>
          <t>巻き戻す；埋め戻す；書き戻す；ひき戻す；引戻す</t>
        </is>
      </c>
      <c r="H8378" t="n">
        <v>29</v>
      </c>
      <c r="I8378" t="inlineStr">
        <is>
          <t>ここでも急激な石高の高増しがみられるが後に反対を受けて戻している。；その被害を受けた部分をなるべくもとに近い状態に戻そうとしています。；その後本名に戻してからも、ドラマ・舞台・映画などで活躍を続けた。；焚書坑儒も、この状態を本来の姿に戻そうとする側面があったと述べた。；作成した通路や部屋は削除することで再び元の資材に戻すことができる。；これに対応するため幕府は有力大名を領地に戻して治安を強化させていた。；ただし第二地銀の中には「社長」の名称に戻したところも一部存在する。；そして爆撃で滑走路に開いた穴はその日のうちに埋め戻してしまった。；都市は好きな開拓地を手元に戻しそこに都市を建設することができる。；これは注視した後、正中位に戻した時に逆向きに認められる眼振である。；我を忘れて握りつぶしてしまったものを元に戻そうとするようだった。；それをなんとか戻そうとするのだから難しいのは当然かもしれない。；そこでどこでもドアのダイヤルを戻して、日常へと戻っていくのだった。；降旗は何とか元の形に戻そうとしたが、時間がなく上手くいかなかった。；交流戦が終わると打撃の調子を落とし、再び控えからの出場に戻された。；引き続きザガイノフの支援を受けるため、主な練習拠点をロシアに戻す。；その後高度を再び上げて7月26日には高度を460kmまで戻していた。；慌ててもとに戻そうとしたらさらに手がすべって、コップが床に落ちる。；首謀者のみを処刑し、それ以外の者は解放して一般民衆に戻してやった。；板金作業は車のボディーの変形部分を元の形状に戻すための作業である。；干しシイタケの戻し汁などでも症状が発生することが報告されている。；これを元のシクロペンタジエンに戻すためには熱分解を行う必要がある。；また他の流の山笠が再び以前の形に戻すような計画はされていない。；最終的にセットに約2時間、元に戻すのに30分かかる大きさとなった。；が、ニーナはさらに前へと進んで来て、縮めた距離を戻そうとはしない。；撮影終了後は元の塗装に戻される予定であったが、そのまま運用に復帰。；では、藤本事件はこれくらいにして、ふたたび話をその日の事に戻そう。；これに驚いた王は彼らの信じる神をたたえ、三人を元の地位に戻した。；医学部はウォーラー・ホールに戻され、その地域の他の建物も使用した。</t>
        </is>
      </c>
      <c r="J8378">
        <f>HYPERLINK("https://www.weblio.jp/content/戻す", "词义详情")</f>
        <v/>
      </c>
      <c r="K8378">
        <f>HYPERLINK("https://yourei.jp/戻す", "查看例句")</f>
        <v/>
      </c>
    </row>
    <row r="8379">
      <c r="A8379" t="inlineStr">
        <is>
          <t>基づく</t>
        </is>
      </c>
      <c r="B8379" t="inlineStr">
        <is>
          <t>成功</t>
        </is>
      </c>
      <c r="C8379" t="inlineStr">
        <is>
          <t>読み方：もとづく
［動カ五（四）］
１それが基となって起こる。起因する。また、それを根拠・基盤とする。「政治の介入に—・く相場の変動」「規則に—・く処理」
２近づく。到達する。
「この舟に—・きしかひもなく、帰れと仰せ候ふことのあさましさよ」〈伽・蛤の草紙〉</t>
        </is>
      </c>
      <c r="D8379" t="inlineStr">
        <is>
          <t>基づく起終点および；基づく新しい</t>
        </is>
      </c>
      <c r="E8379" t="inlineStr">
        <is>
          <t>基礎づける</t>
        </is>
      </c>
      <c r="F8379" t="inlineStr">
        <is>
          <t>基づく国策配電；基づく総務省告示；基づく差止請求；基づく自家用自動車による有償；基づく人口推移</t>
        </is>
      </c>
      <c r="H8379" t="n">
        <v>29</v>
      </c>
      <c r="I8379" t="inlineStr">
        <is>
          <t>いずれも道路運送法に規定された内容に基づいて運行されるものである。；その背景にはカースト制度に基づくが深く影響している点が挙げられる。；これは、雑種がその両親の中間的な性質を示すことが多いことに基づく。；この政策は強い政府の代わりに個人主義に多くを基づかせるものだった。；以下の表はリチャードが保存していた旅行記録に基づいたものである。；これは第31回漢字小委員会以降で配付された資料に基づくものである。；彼はその設計を公表したため、世界各国でそれに基づいた機械が作られた。；フランスでは職員群ごとに競争試験が行われそれに基づき採用者が選ばれる。；新宿区の都市計画道路に基づき、主に以下の路線が建設・計画中である。；娯楽芸術の概念はその定義に基づけばさまざまな大衆芸術を含んでいる。；この報告書に基づく新たな規制は、開発途上国の法律に影響を与えている。；これは、1959年に国際的に定められたフィートに基づくものである。；これらの論文は両方とも自身の結果に基づいてもう1人を非難した。；今日にも残る結婚式などでの忌み言葉も言霊の思想に基づくものである。；各番街ごとに一定のテーマに基づき、特徴のある店舗をそろえている。；また、カリフの政治はイスラーム法に基づいて実施されるようになった。；現代では主に自身の性格やそれに基づいた相性を知るために利用する人がいる。；日本の声明は陰陽五行説に基づいた中国の音楽理論が基礎となっている。；この侵攻は、上記の独ソ不可侵条約の秘密議定書に基づくものであった。；受容体は、その機構や細胞内の位置に基づいて分類することができる。；生態系はしばしば以下のような、関連する生息空間に基づいて分類される。；密度の全領域に対する解析表式は多体摂動論に基づいて提案されてきた。；この計画に基づき2010年度から本格的な調査や対策が行われた。；同時にフランスの計量体系に基づくべきであるとの見解も示された。；病気を防ぐための方策はその原因の正しい知識に基づかなければならない。；上に記した官僚制の基本的な特徴もヴェーバーの定義に基づいている。；宇宙の誕生から現在までの経過時間は様々な方法やモデルに基づいて計算されている。；彼のに基づく科学的方法論の歴史的分析は、次のことを示唆している。；この方式に基づいてブダペストからウィーンまでを結ぶ鉄道が建設された。</t>
        </is>
      </c>
      <c r="J8379">
        <f>HYPERLINK("https://www.weblio.jp/content/基づく", "词义详情")</f>
        <v/>
      </c>
      <c r="K8379">
        <f>HYPERLINK("https://yourei.jp/基づく", "查看例句")</f>
        <v/>
      </c>
    </row>
    <row r="8380">
      <c r="A8380" t="inlineStr">
        <is>
          <t>求める</t>
        </is>
      </c>
      <c r="B8380" t="inlineStr">
        <is>
          <t>成功</t>
        </is>
      </c>
      <c r="C8380" t="inlineStr">
        <is>
          <t>読み方：もとめる
［動マ下一］［文］もと・む［マ下二］
１欲しいと望む。ほしがる。「平和を—・める」「権力を—・める」
２相手に要求する。「賠償を—・める」「援助を—・める」「退陣を—・める」
３得ようとしてさがす。「職を—・める」「優秀な人材を—・める」
４買って手に入れる。購入する。「古書を—・める」</t>
        </is>
      </c>
      <c r="D8380" t="inlineStr">
        <is>
          <t>求めるべき；求めるべく</t>
        </is>
      </c>
      <c r="E8380" t="inlineStr">
        <is>
          <t>要求；期待；希望；依頼；要請</t>
        </is>
      </c>
      <c r="F8380" t="inlineStr">
        <is>
          <t>求める顧客；求める大規模なデモ；求める要請書；求める陳情書</t>
        </is>
      </c>
      <c r="H8380" t="n">
        <v>29</v>
      </c>
      <c r="I8380" t="inlineStr">
        <is>
          <t>ただし、捜査情報の一部を公開して広く国民の協力を求める場合もある。；コンピュータが普及し、統一的な管理番号が求められたことが背景にある。；世界のどのアメリカ軍基地でも撤去を求められているとは承知していない。；この時代では国司職を求めて戦国大名が朝廷へ盛んに献金などを行った。；ほかの5島でも離脱を求める声が大きくなり、2010年に解体された。；さらに囚人虐待事件への対応などの影響から退任を求める声が出始めた。；逆に子の側には、仲間を助ける際の瞬間的な判断と勇気が求められる。；ただ、馬揃えの開催を求めたのは信長ではなく朝廷であったとされる。；そのため、より多くの機材や医師を病院に配置することが求められている。；多数回の測定を行い測定値の平均を求めると、期待値に近い値になる。；南予は減少が急速に進んでおり、より効果的な対策が求められている。；興行の中においては自らの役割を確実に果たすことが求められるのである。；そこで駅建設には集落よりも南に少し離れたところにその地を求めることになった。；そのためか、以降世界各地で悪魔祓いを求める声が起こるようになった。；レイノルズ数Re を求めるとき、代表長さには流れ方向の長さをとる。；この式は現在、ある温度での飽和蒸気圧を求めるときなどで使われている。；また、上記のような男性に求められる役割を見直す動きも生まれつつある。；おおむね購入時に本人の年齢を確認できる公的証明書の提示を求められる。；しかし、その場合は一般の場合より簡単に角度を求めることができる。；今日に続く日本人の生活様式もこの時代にルーツが求められるものが多い。；また、自国の在外機関や軍の救難部隊の援助を求めることは困難である。；第一次世界大戦に入ると溶接能力の大幅な向上が強く求められるようになった。；離党するときは、支部または党の機関に、その事情を述べ承認を求める。；その夜には秀吉本人が家康に秘かに会いにきて、改めて臣従を求めた。；これに対しナポレオンは封鎖令の継続を求めたが、ロシアはこれを拒否。；また、日本との同盟や日本軍将校の招聘を求める声も上がっていた。；両選手とも合流後すぐ試合に出場し、求められた役割を果たし結果を残していった。；次に となるような座標系を取り、同様に三平方の定理から を求める。；そのため、異なる天文台で同時刻に求めた UT0 は異なる値になる。</t>
        </is>
      </c>
      <c r="J8380">
        <f>HYPERLINK("https://www.weblio.jp/content/求める", "词义详情")</f>
        <v/>
      </c>
      <c r="K8380">
        <f>HYPERLINK("https://yourei.jp/求める", "查看例句")</f>
        <v/>
      </c>
    </row>
    <row r="8381">
      <c r="A8381" t="inlineStr">
        <is>
          <t>もともと</t>
        </is>
      </c>
      <c r="B8381" t="inlineStr">
        <is>
          <t>成功</t>
        </is>
      </c>
      <c r="C8381" t="inlineStr">
        <is>
          <t>読み方：もともと
［名・形動］行動を起こす前と変わらないこと。損にも得にもならないこと。また、そのさま。「ふられて—だ」「失敗して—だ」
［副］はじめから。もとから。「—やる気はなかった」「—気の弱い男だ」</t>
        </is>
      </c>
      <c r="D8381" t="inlineStr">
        <is>
          <t>もともとそういう；もともとそれほど；もともと嫌い；もともと大した；もともと痩せ</t>
        </is>
      </c>
      <c r="H8381" t="n">
        <v>29</v>
      </c>
      <c r="I8381" t="inlineStr">
        <is>
          <t>寄生虫はもともとは自由生活をする生物から進化したと考えられている。；このためには水が必要となるが、もともと水不足であるため限界がある。；また人形にはもともとの目的が人間の代用であったものも少なくない。；もともとは2面3線であったが旧2番線が撤去され、現在の形となった。；もともと独立していた状態の国家が、その独立を奪われてしまうことがある。；もともとはフランスの核実験などに反対して結成された政治的団体であった。；同駅周辺にはもともと10戸ほどの集落が存在するのみの駅であった。；もともと、集団ごとの差異を論じるのはエジプトの古代絵画にも見える。；もともとの創業者であったマクドナルド兄弟の名前が残っているのである。；犯人らの大半は、もともと故国にいた時は宗教的だったわけではない。；現在では基本字の一つとなっているが、W ももともとは合字である。；しかし、この曲はもともと『千と千尋』のために書かれたものではない。；この島にはもともと、南米を起源とする先住民族タイノ族が住んでいた。；ボイジャー2号はもともと冥王星に接近するような軌道ではなかった。；というのも、もともと海であったところを埋め立てて造られた駅である。；もともとのグローブ座があった場所から約230メートル離れている。；もともとの絹布は赤と白だったが、ゴムを塗ったことで赤と黄色になった。；そしてもともとの柱の高さはおよそ149 cmだったと推計されている。；もともとワンパスアセンブラは高速であるためよく使われていた。；空手は、もともと明治初頭の頃の沖縄では手もしくは唐手と呼ばれていた。；古代の日本には、もともとカササギは生息しなかったと考えられる。；サターン5型ロケットと月着陸船の開発は、もともと作業が遅れていた。；もともとのスキーマを新しい目的に合うように変形することを同調という。；また米国のように、もともと据え置き機やPCゲームが人気の市場もある。；チェゼーナはもともとやエトルリア人の町で、 の名で呼ばれていた。；これはもともとは外地に在留する日本人が自分たちのために建てたものであった。；ギリシャ語のpsyche プシュケーはもともとは息を意味している。；このペダルはもともとフォルテピアノにあった機構を流用したものである。；もともとは江戸時代に卓袱料理の影響を受けて京阪地区で考案された。</t>
        </is>
      </c>
      <c r="J8381">
        <f>HYPERLINK("https://www.weblio.jp/content/もともと", "词义详情")</f>
        <v/>
      </c>
      <c r="K8381">
        <f>HYPERLINK("https://yourei.jp/もともと", "查看例句")</f>
        <v/>
      </c>
    </row>
    <row r="8382">
      <c r="A8382" t="inlineStr">
        <is>
          <t>戻る</t>
        </is>
      </c>
      <c r="B8382" t="inlineStr">
        <is>
          <t>成功</t>
        </is>
      </c>
      <c r="C8382" t="inlineStr">
        <is>
          <t>読み方：もとる
［動ラ五（四）］
１道理にそむく。反する。「人の道に—・る」
２ねじり曲がる。ゆがむ。また、ゆがめる。
「故(ことさら)に己が口を—・りて」〈霊異記・中〉</t>
        </is>
      </c>
      <c r="D8382" t="inlineStr">
        <is>
          <t>戻るべき；戻るとすぐ；戻るべく；戻る循環路線；戻ると間もなく</t>
        </is>
      </c>
      <c r="E8382" t="inlineStr">
        <is>
          <t>復帰；帰る；帰還；遡る；帰って来る</t>
        </is>
      </c>
      <c r="F8382" t="inlineStr">
        <is>
          <t>再び戻る；二度と戻る；逃げ戻る；戻る循環系統；戻るまで待つ</t>
        </is>
      </c>
      <c r="H8382" t="n">
        <v>29</v>
      </c>
      <c r="I8382" t="inlineStr">
        <is>
          <t>五七幹部学校に追いやられていた知識人はその多くが都市に戻ってきた。；魔法少女が特別な力を捨てて普通の女の子に戻ることを望む場合がある。；ここで一と晩ゆっくりして、明日は一時ごろまでに社へ戻ればいいのよ。；戻ればすぐのところにあっても、ほうにはひどく遠いものに感じられた。；そういう意味では、なんか普通の人間に戻れているような気分さえする。；また一つだけあるボタンを押すことで、現代の自宅に戻ることができる。；中には、一度出て行つた山に謝罪して再び戻つて來るものなどもあつた。；別行動をしていた友達の元へ戻ろうとした時、夏帆は突然倒れてしまう。；前作とは異なり、システムのみ2D作品のようなシステムに戻っている。；そのため終点で折り返して同じルートを戻る場合に違う系統番号となる。；人間の評価というものを僕たちは前に議論したよね、あそこに戻ろうか。；その上で今回の北上では広東に戻れないことを覚悟しているとも語った。；その原点に戻れば、もう少しましなものが出てくるのではないかと思う。；海で数年かけて大きくなり、また産まれた川に戻り産卵した後死亡する。；部屋に戻ると五郎が来ており、シュウが待つ北時計に行くように勧める。；新しい仲間が増えてみんながやり方を覚えた時に、ぼくは学校に戻ろう。；これさえ自分の手に戻れば、もう内蔵助にも誰にも会う必要はなかった。；運用中、それから手や足が離れ開放状態に戻ると、装置本体が動作する。；それきり会話はなくなって、自分の部屋に戻ろうと階段を昇っていった。；一般的に米国の大学は20世紀初頭までサッカーに戻ることはなった。；それから更に静かな遠い冷めたさが河のやうな心となつて戻つてきたのだ。；彼から元の体に戻るために国家錬金術師資格を取ることを勧められる。；その日のうちに私は、熱海へ戻つてしまつたので、父の顔は見なかつた。；意識が絶える瞬間まで「早く仕事に戻りたい」と繰り返していたという。；廣太郎が疲れて家へ戻つて來たのは、家を出てから四日目の夜であつた。；なお、アーティスト名もこのアルバムからウイングス名義に戻っている。；こうした状況は彼ら全員が1955年にヨーロッパに戻るまで続いた。；警察にこの件を届けた桔梗だが、部屋に戻ると間淵の死体は消えていた。；彼らは戦争の中で自らの狂気を発散させ、中には正気に戻る者さえいる。</t>
        </is>
      </c>
      <c r="J8382">
        <f>HYPERLINK("https://www.weblio.jp/content/戻る", "词义详情")</f>
        <v/>
      </c>
      <c r="K8382">
        <f>HYPERLINK("https://yourei.jp/戻る", "查看例句")</f>
        <v/>
      </c>
    </row>
    <row r="8383">
      <c r="A8383" t="inlineStr">
        <is>
          <t>物</t>
        </is>
      </c>
      <c r="B8383" t="inlineStr">
        <is>
          <t>成功</t>
        </is>
      </c>
      <c r="C8383" t="inlineStr">
        <is>
          <t>読み方：ぶつ
［音］ブツ（漢）モツ（呉）　［訓］ものものする
［学習漢字］3年
〈ブツ〉
１もの。ものごと。「物資・物質・物体・物欲／遺物・汚物・怪物・見物・現物・好物・鉱物・財物・産物・事物・植物・人物・生物・俗物・動物・毒物・万物・風物・文物・名物」
２一般の人々。世間。「物議・物情・物論」
３適当なものを探す。「物色」
４姿が見えなくなる。死ぬ。「物故」
〈モツ〉もの。ものごと。「貨物・禁物・供物(くもつ)・穀物・作物・書物・食物・進物・臓物・荷物」
〈もの〉「物置・物音・物語・物事／獲物・大物・着物・品物・建物・本物・安物」
［名のり］たね
［難読］物怪(もっけ)</t>
        </is>
      </c>
      <c r="D8383" t="inlineStr">
        <is>
          <t>物蔭；物好き；物かげ；物問いたげ；物珍</t>
        </is>
      </c>
      <c r="E8383" t="inlineStr">
        <is>
          <t>こと；もの；事；品；件</t>
        </is>
      </c>
      <c r="F8383" t="inlineStr">
        <is>
          <t>化合物；建造物；生産物；上部構造物；遮蔽物</t>
        </is>
      </c>
      <c r="G8383" t="inlineStr">
        <is>
          <t>物質；物資；物体；物音；物理</t>
        </is>
      </c>
      <c r="H8383" t="n">
        <v>29</v>
      </c>
      <c r="I8383" t="inlineStr">
        <is>
          <t>アフターマーケットでは様々な物が手に入るので好みの物に交換できる。；実際、マルクスの作った詩はそれほど出来のいい物ではなかったという。；ある場所で生産された物が別の場所で生産された物と交換される。；だが、周囲の色に引きずられて物の色が違って見えては困るであろう。；これらはヨーロッパで古くに使用されていた割符と同等の物であった。；刀は、武器の一種であり、剣の内でもとくに片側にしか刃のない物を指す。；この町の建築物や装飾物の多くははっきりと分かるスウェーデン様式である。；そのため、大規模な寺院建造物には鉄筋コンクリート造が増えてきている。；複素係数の場合にはその群は放物型メビウス変換からなる群に対応する。；しかしこの手法は一過性の物で、製品に反映される性格の仕様ではなかった。；とは、物や人物に与えられた言葉のことで、対象を呼んだりする際に使われる。；どのような内容の表現物が発禁とされるかは、時代や地域によって異なる。；製造された各同位体は、用途に合わせて目的化合物に取り入れて利用する。；は現在でも広く使われている年代物の言語の一つである。；非常に反応性が高く、多くの金属や有機物と反応し塩化物を形成する。；連続して変化する絵や物により発生する仮現運動を利用した映像手法である。；この名前で呼ばれる事件はいくつかあるが、その中でも代表的なのは以下の物である。；約20万年前から活動を行い、約4万年前頃に現在の形に近い物となった。；ヴィシュヌは全ての物と生物に染みわたっていると描写されている。；旧海軍時代に建てられた古い建築物も多く残っているのが特徴。；舟運を通じた江戸との交流も盛んで、物のほか人や情報も多く行き交じった。；例えば周りが青い物ばかりならば反射光によって環境光は青さが増す。；以下の2つはこの記事でも使用されている方法だが、これも十分な物とはいえない。；核特性を除き、マイトネリウム及びその化合物の性質は測定されていない。；それをコンピュータで再現した物がコンピュータRPGとなった。；この際使用したテープは市販のビデオ用テープと同じ規格の物を使用した。；この連鎖は全生物に共通の原理であるためセントラルドグマと呼ばれる。；家畜生産量でも国内で最大級であり、牛が最も収益を上げる生産物である。；現在も太平洋戦争に備えた防塁等防御構築物の跡は残されている。</t>
        </is>
      </c>
      <c r="J8383">
        <f>HYPERLINK("https://www.weblio.jp/content/物", "词义详情")</f>
        <v/>
      </c>
      <c r="K8383">
        <f>HYPERLINK("https://yourei.jp/物", "查看例句")</f>
        <v/>
      </c>
    </row>
    <row r="8384">
      <c r="A8384" t="inlineStr">
        <is>
          <t>者</t>
        </is>
      </c>
      <c r="B8384" t="inlineStr">
        <is>
          <t>成功</t>
        </is>
      </c>
      <c r="C8384" t="inlineStr">
        <is>
          <t>読み方：しゃ
［音］シャ（呉）（漢）　［訓］もの
［学習漢字］3年
〈シャ〉
１人。もの。「医者・隠者(いんじゃ)・縁者(えんじゃ)・患者(かんじゃ)・記者・業者・巧者・作者・死者・識者・勝者・打者・達者・長者(ちょうじゃ)・読者・武者」
２物事。事柄。「後者・前者」
３時間を表す語に付ける助字。「往者・来者」
〈もの〉「小者・偽者・若者・悪者」
［名のり］ひさ・ひと
［難読］陳者(のぶれば)・猛者(もさ)</t>
        </is>
      </c>
      <c r="D8384" t="inlineStr">
        <is>
          <t>者たち(3%)；者達；者ども；者同士；者諸君</t>
        </is>
      </c>
      <c r="E8384" t="inlineStr">
        <is>
          <t>人；方；人間；人称；人格者</t>
        </is>
      </c>
      <c r="F8384" t="inlineStr">
        <is>
          <t>研究者；出身者；関係者；指導者；有力者</t>
        </is>
      </c>
      <c r="G8384" t="inlineStr">
        <is>
          <t>者我</t>
        </is>
      </c>
      <c r="H8384" t="n">
        <v>29</v>
      </c>
      <c r="I8384" t="inlineStr">
        <is>
          <t>古代の哲学者たちはしばしば現代でいう論理学者や数学者を兼ねていた。；最後のビッドをした者がディクレアラーになるわけではないことに注意。；また、次の各号のいずれかに該当する者は、役員となることができない。；これは通信主管庁の業務を他の者が担ってはならないとする原則である。；一方でや、といった研究者たちはこの主張に懐疑的な見解を示している。；当時の担当編集者とは、よく映画や漫画以外の本についての話をしていた。；彼らの中には稀代のエンターテイナーとして歴史に名を残した者もいる。；アラビアの自然哲学者らの中にはピロポノスの考えを継承する者もいた。；この制約の有効性はプログラム著作者の著作権によって保証されている。；前者は中継用基地局の設置者以外の端末から利用される場合もあった。；最近の経営学者・経済学者には、この点を両者の相違としている者も多い。；ゴ集団の中には人類の文化・芸術に興味を示して熟達する者もいた。；観測者 、 が慣性運動しており、さらに質点 が運動しているとする。；代わりにこれらがゲームをする人の中心的な指示者である。；本研究は治験者が実際に瞑想を行い、ペアワイズ比較を用いて行われた。；当時は主に先輩や先生のモノマネなどで、共に校内の人気者だったという。；また、宗教・民族の少数者を差別した記事を載せた場合の罰則もある。；京都一中の同期には学者の子供が多く、後に学者になった者も多かったという。；これらの研究者の中には有機半導体の研究から移ったものもいる。；自身の精神的苦痛を訴えると同時に、歴代担当編集者を実名で批判した。；義務教育後の教育としては私立高校からは大学へ進学する者が多い。；写真は少なくともこの意味で確かに撮影者の創作物であり、表現の手段である。；見習い期間が終了し、内部審査を経て、認められた者だけが正所属となる。；ドラヴィダ語族との関係を主張する説もあるが、これを認める研究者は少ない。；フランス語の表記は初学者には複雑に感じられるが、規則性は比較的高い。；操作中のプレイヤーがミスした場合は、操作者が交代となる。；従って、安心した暮らしを求めて帰依する者が多かったと考えられる。；技術者や研究者の用語としては「方式」という語が使われることもある。；フランスのパリでは抗議者がマクドナルド店舗の窓を破壊した。</t>
        </is>
      </c>
      <c r="J8384">
        <f>HYPERLINK("https://www.weblio.jp/content/者", "词义详情")</f>
        <v/>
      </c>
      <c r="K8384">
        <f>HYPERLINK("https://yourei.jp/者", "查看例句")</f>
        <v/>
      </c>
    </row>
    <row r="8385">
      <c r="A8385" t="inlineStr">
        <is>
          <t>物置</t>
        </is>
      </c>
      <c r="B8385" t="inlineStr">
        <is>
          <t>成功</t>
        </is>
      </c>
      <c r="C8385" t="inlineStr">
        <is>
          <t>読み方：ものおき
当面必要としない器具などを入れておく場所。また、そのための小屋。</t>
        </is>
      </c>
      <c r="D8385" t="inlineStr">
        <is>
          <t>物置みたい；物置小舎；物置場；物置代わり；物置同様</t>
        </is>
      </c>
      <c r="E8385" t="inlineStr">
        <is>
          <t>納屋；屋根裏部屋；物置き；貯蔵室</t>
        </is>
      </c>
      <c r="F8385" t="inlineStr">
        <is>
          <t>暗い物置；小さな物置</t>
        </is>
      </c>
      <c r="G8385" t="inlineStr">
        <is>
          <t>物置小屋；物置部屋</t>
        </is>
      </c>
      <c r="H8385" t="n">
        <v>29</v>
      </c>
      <c r="I8385" t="inlineStr">
        <is>
          <t>安全面から両方ともタンク反対側も物置とし座席を置かない会社も多い。；かれは昼のあいだは物置に寝ていて、日が暮れてから何処へか出てゆく。；彼は、奈々子さんの部屋のすぐ上が物置になっていることを知っていた。；物置にでも入っていたのか、軍司には車の到着する音も聞こえなかった。；物置の奥に見覚えのない扉を見つけ、その奥に進むとそこは湖の修道院。；わしは自分の育った物置の中以外、城の他の場所はどこも見たことがない。；そして見つけた鍵で木箱をあけてみようと物置めがけて出かけて行った。；何とかして物置の隅でも何でも結構ですけに、置いてやって下さいませや。；この時、目の下にある先方の物置の扉が音もなく開いて男が入ってきた。；八間に十間ほどに広いこの家は、大きな物置のように只ひと間であった。；父は何の感情もないものゝやうに、縁の下の箱を物置へ運んで行つた。；少し大きめの音楽がかかっていて、私は三分間ほど物置に入っていたの。；居間から玄関までは四メートルもの直線で、途中には物置も浴室もない。；そのなかは仮眠室のように作ったスペースで、物置として使われていた。；一番難しい一幕は、ホールの反対側にある物置に二人を隠すことだった。；このキャバレーの縁の下を通って、地階の物置の中へ抜けられるんです。；この教室の向うに教員室があって、そのまた向うに物置の土蔵があった。；真琴は狭い物置のようなスペースに踏み込んで外扉をしっかりと閉めた。；上がってすぐ左側に扉がついているが、物置にしては妙な位置だった。；物置の屋根から、なにかのことで虎雄に突き落とされた時のことだった。；線は物置と全く違う世界を構成し、最後に色がその世界に宿りだした。；徳次が入ってから、蚕も大取りを始めるしこの冬、物置も建てたりした。；中学生になったとき、前からの約束でその物置は新しく作りかえられた。；絶対になにかあるだろうと思っていた物置にもなにもなかった。；物置には板戸がはまつてゐて、中には炭俵や薪や古縄などがありました。；だれにも見つからずにものおき研究室にはいって、ぐるっと見まわした。；いまごろは、ひっそりとどこかの物置に抛り込まれているのかも分らぬ。；あの中に隠れていて、私が物置に入ったと同時に中から出てくる。；だから、物置のなかには、大小の植木鉢が十個近く重ねてしまってある。</t>
        </is>
      </c>
      <c r="J8385">
        <f>HYPERLINK("https://www.weblio.jp/content/物置", "词义详情")</f>
        <v/>
      </c>
      <c r="K8385">
        <f>HYPERLINK("https://yourei.jp/物置", "查看例句")</f>
        <v/>
      </c>
    </row>
    <row r="8386">
      <c r="A8386" t="inlineStr">
        <is>
          <t>物音</t>
        </is>
      </c>
      <c r="B8386" t="inlineStr">
        <is>
          <t>成功</t>
        </is>
      </c>
      <c r="C8386" t="inlineStr">
        <is>
          <t>読み方：ものおと
何かの物が立てる音。「—がやむ」「—一つしない」</t>
        </is>
      </c>
      <c r="D8386" t="inlineStr">
        <is>
          <t>物音一つ(4%)；物音ひとつ聞こえ；物音ひとつたて；物音ひとつ立て；物音ひとつ聞え</t>
        </is>
      </c>
      <c r="E8386" t="inlineStr">
        <is>
          <t>声；音；響き；音声；サウンド</t>
        </is>
      </c>
      <c r="F8386" t="inlineStr">
        <is>
          <t>かすかな物音；大きな物音；小さな物音；異様な物音；微かな物音</t>
        </is>
      </c>
      <c r="H8386" t="n">
        <v>29</v>
      </c>
      <c r="I8386" t="inlineStr">
        <is>
          <t>その時ある物音が聞こえたので、彼は気をひかれてそこに止まっていた。；教会堂は町の通から少し奥に入って、物音が聞えずに昼でも静かである。；かそかに聞えて来る波の音のほか、外からは何の物音も伝はつて来ない。；家の中のいろんな物音やざわめきが、不思議に思われて仕方がなかった。；広場の車馬の響さえ、何か別の世界の物音のように聞えて来るのでした。；けれど、もうそこここに、人の動く気がしたり、物音がしはじめました。；第二の疑問は、兇行の時になぜ物音も悲鳴もきこえなかったのでしょう?；さながら天も地も一時に砕け落ちるかと疑われんばかりの物音であった。；ただ夜中になって変てこな物音をたてる生物になってしまったのである。；夜の静かなる闇には、彼等の話声を妨げる少しの物音もなかったのである。；夜の静かなる闇には、彼等の話声を妨げる少しの物音もなかつたのである。；いままで物音のしていたと思われる室の扉をグッと押しましたが開きません。；女中が物音に假寢から起き上つて睡さうな眼をしながら食堂に出て來た。；何処からともなく物音がしたかと思うと、突然勉強机の引き出しが開いた。；それから彼は前よりも高くなったその物音を階下の床の上に聞いた。；しかし爺の心は、外の物音とは打つて変つて静かにおちついてゐました。；殺人の行われた時間をいわないで、ただ何か物音がしなかったかと聞いている。；私はこれほど再び世間の物音に近づいた現在が、ふしぎにも思われた。；かすかに葉ずれの音がするだけで、ほかにはなんの物音もしなかった。；まるでなにかうすきみわるい物音にでも聴き入っているような風だった。；それに耳をつけて聞いてみたが、中はひっそりとして何の物音もしなかった。；その物音に驚いて、バタバタと飛んで来たのは、五十七八の老武士でした。；舞台一ぱいの出迎人だが、この場は物音のみで、人はすべて無言である。；ちょっとの間うとうととしていた季和は、その物音に気が注いて起きた。；役人の後ろにヒタと付いて、向うの方、蔵の中から物音を聞かせるのだ。；物音が気になったモルダーが外に出ると、そこにはUFOが飛行していた。；文明国のどこを探しても、こんなに物音のないところはないのである。；しばらくすると辺りはしーんとして、もう物音も何も聞こえないでしょう。；他の監房には人間がいないのであろうか、物音一つしないのである。</t>
        </is>
      </c>
      <c r="J8386">
        <f>HYPERLINK("https://www.weblio.jp/content/物音", "词义详情")</f>
        <v/>
      </c>
      <c r="K8386">
        <f>HYPERLINK("https://yourei.jp/物音", "查看例句")</f>
        <v/>
      </c>
    </row>
    <row r="8387">
      <c r="A8387" t="inlineStr">
        <is>
          <t>物語</t>
        </is>
      </c>
      <c r="B8387" t="inlineStr">
        <is>
          <t>成功</t>
        </is>
      </c>
      <c r="C8387" t="inlineStr">
        <is>
          <t>読み方：ものがたり
［名］(スル)
１さまざまの事柄について話すこと。語り合うこと。また、その内容。「世にも恐ろしい—」
２特定の事柄の一部始終や古くから語り伝えられた話をすること。また、その話。「湖にまつわる—」
３文学形態の一。作者の見聞や想像をもとに、人物・事件について語る形式で叙述した散文の文学作品。狭義には、平安時代の「竹取物語」「宇津保物語」などの作り物語、「伊勢物語」「大和物語」などの歌物語を経て、「源氏物語」へと展開し、鎌倉時代における擬古物語に至るまでのものをいう。広義には歴史物語・説話物語・軍記物語を含む。ものがたりぶみ。
４歌舞伎・人形浄瑠璃の演出の一。また、その局面。時代物で、立ち役が過去の思い出や述懐を身振りを交えて語るもの。</t>
        </is>
      </c>
      <c r="D8387" t="inlineStr">
        <is>
          <t>物語性；物語開始；物語終盤；物語後半；物語中盤</t>
        </is>
      </c>
      <c r="E8387" t="inlineStr">
        <is>
          <t>話；歴史；話し；由来；過去</t>
        </is>
      </c>
      <c r="F8387" t="inlineStr">
        <is>
          <t>雨月物語；魔導物語；長い物語；保元物語；古い物語</t>
        </is>
      </c>
      <c r="G8387" t="inlineStr">
        <is>
          <t>物語り；物語ら；物語詩；物語シリーズ；物語文学</t>
        </is>
      </c>
      <c r="H8387" t="n">
        <v>29</v>
      </c>
      <c r="I8387" t="inlineStr">
        <is>
          <t>子どもに人気のある物語の中には非常に古い時代に書かれたものもある。；ハンセン氏病を物語の背景としたことでも知られ、大きな話題を呼んだ。；物語中にはあるトリックがあり、またこれこそが物語の最大の鍵である。；しかし物語が進むにつれて、次第に二人の精神から境界が失われていく。；この物語の国際性は帝国内各地の物語が寄せ集められたことによる。；この時形成された親近感は、後の物語の展開で活かすことも可能である。；物語の舞台は大阪などに移り、次は気象予報士になるための勉強を開始。；しかしながらこうした要素は物語に必要なものと考えられている。；個人の葛藤や懊悩がどれほど深くとも、すべては小さな物語に過ぎない。；本ドラマは刑事・吉村の視点で物語が描かれていく構想となっている。；エジプト人はその当時に設定された物語さえも不変の真実であると考えた。；神話の物語は象徴化を用いることでこの領域の出来事を理解しやすくしている。；リブレットはフランス語で書かれているが、物語の舞台はスペインである。；これは登場人物の一部が異なるため本作とは別物語と言える。；物語の舞台は30年ほど先の未来と、さらに先の未来の2つの時代である。；ずっと伝えられずにいた彼女への想いを口にして、物語は幕を閉じる。；歌詞に物語性を持たせたのもザ・フーの楽曲の大きな特徴である。；場所は東は上総国、西は肥後国と当時の物語としては極めて範囲が広い。；様々な理由から物語の詳細は小説と映画では異なっている。；本編はぬいぐるみのリカちゃんがそれぞれの物語の主人公を演じている。；光が新たに生まれた国の名付けを読者に委ねるシーンで物語は幕を閉じる。；物語の中でも色彩は重要であり、章ごとにテーマカラーが違っていた。；このため我々はこのヘレノスに関する物語のみは他の書籍を参考した。。；物語を考え、その話に記憶したい対象を登場させる方法である。；タイトルの通り、遠野秋葉を主軸とする遠野屋敷での物語が展開される。；以前は、小説と物語の間には明確な区分があるとされてきた。；ホメーロスの描く物語とこの映画のストーリーにはごくわずかな共通点しかない。；物語性が非常に強く、擬音を用いるなど地歌では特殊なジャンルと言える。；三剣物語をはじめ、中山の殆どの作品に某かの形で登場する妖精国である。</t>
        </is>
      </c>
      <c r="J8387">
        <f>HYPERLINK("https://www.weblio.jp/content/物語", "词义详情")</f>
        <v/>
      </c>
      <c r="K8387">
        <f>HYPERLINK("https://yourei.jp/物語", "查看例句")</f>
        <v/>
      </c>
    </row>
    <row r="8388">
      <c r="A8388" t="inlineStr">
        <is>
          <t>物語る</t>
        </is>
      </c>
      <c r="B8388" t="inlineStr">
        <is>
          <t>成功</t>
        </is>
      </c>
      <c r="C8388" t="inlineStr">
        <is>
          <t>読み方：ものがたる
［動ラ五（四）］
１ある事柄について話をする。あるまとまった話をする。「寺の縁起を—・る」
２ある事実が、事情をよくあらわす。「往時の繁栄を—・る出土品」
[可能]ものがたれる</t>
        </is>
      </c>
      <c r="D8388" t="inlineStr">
        <is>
          <t>物語る近代化産業遺産群</t>
        </is>
      </c>
      <c r="E8388" t="inlineStr">
        <is>
          <t>言う；示す；云う；証明；話す</t>
        </is>
      </c>
      <c r="H8388" t="n">
        <v>29</v>
      </c>
      <c r="I8388" t="inlineStr">
        <is>
          <t>これは実験成功に向け関係者が周到に準備していたことを物語っている。；彼らはそれを物語る人間より自分が劣って見えるのが我慢ならないのだ。；もっともいまここでわたしは自分の見聞のすべてを物語るつもりはない。；私から求めると今私に手紙をくれるなとばかり何事も物語らなかつた。；飛行機が流星のように落ちて来たその最後の瞬間を如実に物語っていた。；言葉や行動、慎重さや思慮のない行為がすべて同じことを物語っている。；だが次の二つの経験は、おそらく特に物語るだけの値打があろうと思う。；だから私は、その事件までのことはごくあっさりと物語ることにしよう。；しかしそれにもかかわらず彼には僧の物語りが真理であるように思われた。；一連の出土品も、ここがラインフランク起源であることを物語っている。；もし獣が唯一の叫びしか持っていないならば、その叫びは何も物語らない。；深く物語りに関わる事もあれば、ほとんどお約束で登場のみの話もある。；玄関のたたきには、来客の多さを物語るように靴がいくつも並んでいた。；突然この家の窓が破られ、この狼藉が祭になったと歴史は物語っている。；ある日客ありし時に子供を顧みて物語るは、今時の者はどうも不性なり。；それを女性の耳に物語るということは その女性を殺すということです。；当時の球団経営の苦しさを物語るエピソードとしては以下のものがある。；樹齢三百年の樹が生き残ってきた事実も、この土地の古い歴史を物語る。；だが玉手はその手を押さえ、刀が刺さったままで意外なことを物語った。；次の事件は、彼の性格のために、有利なことを物語っているかと思う。；理想化された戦士の人生における重要な出来事を物語っているとされている。；主屋の奥には巨大な酒蔵、質蔵が残され、かつての繁栄を物語っている。；小さなサイズは絵画が個人的な礼拝のために制作されたことを物語っている。；ああ、あれほど天国を物語っていたこの目はいま何を語るのであろう?；これらの数字は明らかに誇張されているが、敗北の大きさを物語っている。；それは昔の夢物語りで、今の江戸ッ子は切っても赤くなくなったのか。；戦国時代までは様々な武将が割拠し非常に重要な場所であったことを物語る。；そこで私はここで、叔父の経歴を少し物語っておいた方がいいと思う。；この黒い水は、本にかなりの損傷があたえられたことを物語っていた。</t>
        </is>
      </c>
      <c r="J8388">
        <f>HYPERLINK("https://www.weblio.jp/content/物語る", "词义详情")</f>
        <v/>
      </c>
      <c r="K8388">
        <f>HYPERLINK("https://yourei.jp/物語る", "查看例句")</f>
        <v/>
      </c>
    </row>
    <row r="8389">
      <c r="A8389" t="inlineStr">
        <is>
          <t>物事</t>
        </is>
      </c>
      <c r="B8389" t="inlineStr">
        <is>
          <t>成功</t>
        </is>
      </c>
      <c r="C8389" t="inlineStr">
        <is>
          <t>読み方：ものごと
物と事。もろもろの物や事柄。「—の加減を知る」「—の順序をわきまえる」</t>
        </is>
      </c>
      <c r="D8389" t="inlineStr">
        <is>
          <t>物事を深く；物事をはっきり；物事を正しく；物事をきちんと；物事をややこしく</t>
        </is>
      </c>
      <c r="E8389" t="inlineStr">
        <is>
          <t>こと；もの；事；物；件</t>
        </is>
      </c>
      <c r="F8389" t="inlineStr">
        <is>
          <t>様々な物事；どんな物事；すべて物事；うまく物事；新しい物事</t>
        </is>
      </c>
      <c r="H8389" t="n">
        <v>29</v>
      </c>
      <c r="I8389" t="inlineStr">
        <is>
          <t>それは死んだ人が自分で抱えて持っていくしかないものごとだったんだ。；彼との間に起こったものごとを少しでも整理しておかなくてはならない。；どうも人間たちはすぐものごとを分類して名前をつけたがるらしいわね。；物事にはうまく行く場合とそうでない場合があるのを心得ていたからだ。；外からいくら学んでも自分で考えなければ、物事は本当にはわからない。；かれは物事をやらせ、それは彼が長く仕える国にとって良いことだった。；相貌は類義を持つほか人の顔立ちに限らず物事の様子を指す場合もある。；戎野先生は警察とのあいだで何かものごとを進展させているに違いない。；父ほどではないが物事の理解が早く、知識も豊富であったと言われている。；女たちは、その心に物ごとを明確にとらえることが決してできないのだ。；ものごとを科学的に考えるようになったのはやっと最近になってからですよ。；今のところ空は美しく晴れているが、ものごとは見かけではわからない。；何か物事が起こってその直後の物事までの時間を測定できないくらいの間。；こちらが考えていない時でも、もの事のほうはこっちのことを考えてます。；君がいなかったら、ものごとはここまですらすらと運ばなかったはずだ。；しかしそのために多くのものごとを犠牲にしなくてはならなかった。；物事の由来や普段紹介されることのなかった隠れた事実を紹介する。；わたしの心はみだれていて、冷静にものごとを判断する力を失っていた。；いろいろな分野でいろいろな人がものごとを数値で判断するようになった。；彼らは単に己れの居室を不潔乱雑にしている位ならまだしもの事である。；気持ちは、物事に接した際それに対して感じた心の状態や心のありかた。；ガリオンはものごとが何度も繰りかえし起きていることに気づいたんだ。；こういうふうにものごとが展開するように、われわれは計画していた。；君がここにいるのは、味わい愛でることができる物事を選ぶためなんだ。；あるいはものごとは良い方向に向って進みつつあるのかもしれない。；常に流れ動く心の状態がよいと説き、隙がない状態・物事を説明した記述。；考えているだけ、進言しているだけでは、決してものごとは進行しない。；おまえとこのおさきさん、女でこそあれ、ものごとに心得のある人じゃ。；もちろんものごとがそんなに簡単には運ばないだろうことはわかっていました。</t>
        </is>
      </c>
      <c r="J8389">
        <f>HYPERLINK("https://www.weblio.jp/content/物事", "词义详情")</f>
        <v/>
      </c>
      <c r="K8389">
        <f>HYPERLINK("https://yourei.jp/物事", "查看例句")</f>
        <v/>
      </c>
    </row>
    <row r="8390">
      <c r="A8390" t="inlineStr">
        <is>
          <t>物差し</t>
        </is>
      </c>
      <c r="B8390" t="inlineStr">
        <is>
          <t>成功</t>
        </is>
      </c>
      <c r="C8390" t="inlineStr">
        <is>
          <t>読み方：ものさし
１物の長さを測る用具。竹・金属・プラスチック製などがあり、長さの単位の目盛りがつけてある。さし。「—を当てる」
２物事を評価するときの基準。尺度。「普通の—でははかれない人物」</t>
        </is>
      </c>
      <c r="D8390" t="inlineStr">
        <is>
          <t>基準；標準；尺；規格；メジャー</t>
        </is>
      </c>
      <c r="H8390" t="n">
        <v>29</v>
      </c>
      <c r="I8390" t="inlineStr">
        <is>
          <t>確かに宇宙民は地球を単に人間の意識の物差しとして捉えているようだ。；だが、人間の数だけある無数の物差しにも一つだけ共通の目盛りがある。；その程度の数では低い評価の物差しか持たない俗物ばかりだといえる。；近所のかみさんたちの話では、お尻を裸にして、物差で打つのだという。；物事には程度ってものかあり、俺はちゃんと自分の物差しを持っている。；僕の友人には食パンがその土地の文化の物差だと主張する男がある。；ほんの三〇センチほど先の地面に、物差しほどの長さの物体か落ちてきた。；物差のようなもので半分を赤く半分を白く塗り分けたものがある。；自分以外の人間を自分の物差しで理解しようとすることほど虚しいことはあるまい。；法治主義はこれを最もひらたくいえば一種の物差しのようなものです。；見ると、ただ輪郭のぼんやりした明るいなかに、物差しの度盛りがある。；そこでマグネの技術を使ってはかれる物差しを開発してみようと思ったわけ。；森羅万象ことごとくを自分の物差しで計るとなると、これは大変である。；細い角材を用いて住宅毎に現場で作られる一軒の住宅建築の基準になる大型の物差しである。；この時間の長短は然し人生と芸術との価値をはかる物差とはならないものだ。；地図を出して、道に物差しを当てて測ってみたら、その通りだった。；私の物差しが狂って来たのは、考えてみれば、幼時に原因があるかもしれぬ。；まずもって、話の進めかたの手ごろなもの差しが手に入ったのだ。；だからそれを物差しにして女性のランクを決めるのは不当である。；一にも二にもデブが原因で、何かのはずみで背中の物差しが折れてしまっただけだ。；しかし、胸ポケットに物差しを突っこんだ男の姿は見当たらなかった。；そのため、総電球個数は仙台の景気や消費動向の物差とも見られている。；だから、幸せだとか不幸だとかを人間の物差しで測るのは筋違いだ。；多義性を共存させているサマンサを測る物差しは、この世に存在しない。；比較する物差しがないので、その本当の大きさはつかみきれない。；相対空間とは絶対空間の中を動く一つの座標軸もしくは物差しである。；腹部に物差しのような等間隔の環状紋があり、和名の由来となっている。；呉服屋でさえ物差しだけもっておれば商売ができるというものではありません。；本来は畳の縁を物差し代わりにするが、さすがにここの畳は触れるのをためらう。</t>
        </is>
      </c>
      <c r="J8390">
        <f>HYPERLINK("https://www.weblio.jp/content/物差し", "词义详情")</f>
        <v/>
      </c>
      <c r="K8390">
        <f>HYPERLINK("https://yourei.jp/物差し", "查看例句")</f>
        <v/>
      </c>
    </row>
    <row r="8391">
      <c r="A8391" t="inlineStr">
        <is>
          <t>物好き</t>
        </is>
      </c>
      <c r="B8391" t="inlineStr">
        <is>
          <t>成功</t>
        </is>
      </c>
      <c r="C8391" t="inlineStr">
        <is>
          <t>読み方：ものずき
［名・形動］
１変わったことを好むこと。好奇心が強く、普通と違ったことを好むこと。また、その人や、そのさま。「寒中水泳とは—な人だ」
２物事に趣向を凝らすこと。また、そのものや、そのさま。
「—な座敷へ通され」〈藤村・夜明け前〉
３好み。趣味。
「蒔絵は五十嵐に—にまかせ」〈咄・きのふはけふ・下〉</t>
        </is>
      </c>
      <c r="D8391" t="inlineStr">
        <is>
          <t>物好きな男；物好きな人間；物好きな連中；物好きな読者；物好きな客</t>
        </is>
      </c>
      <c r="E8391" t="inlineStr">
        <is>
          <t>気まぐれ；好奇心；骨董品；気紛れ；酔狂</t>
        </is>
      </c>
      <c r="F8391" t="inlineStr">
        <is>
          <t>そんな物好き</t>
        </is>
      </c>
      <c r="H8391" t="n">
        <v>29</v>
      </c>
      <c r="I8391" t="inlineStr">
        <is>
          <t>僕の物好きは、最初はただ彼女に接近して見たいと云うのに過ぎなかった。；一体中学校へ英語なんか教えに行ったのが物好きだと僕は思っている。；ものずきな世間やら、聾でなかつたら老人自身にすら聞かせたいやうな。；そのころには物好きな人たちはわざわざこの研究室をみにきたものだった。；辛い物好きを自負しているだけあって他の出場者をものともせずに優勝。；僕の物好きは、最初はたゞ彼女に接近してみたいというのに過ぎなかった。；それにつけても相変わらず物好きなる君にておわせしことの可笑しさよ。；俺たちは物好きで昼の日中に灯を持って歩くのじゃないんだ。；中には物好きな客もいて、自分たちの交わっている姿を描いてもいいという。；お嬢さんが雪のなかを歩いてみたいなんて、ものずきをおこすからだね。；そういえば、そんな彼を好きになった女房だって、ずいぶん物好きですね。；物好きかとは思うが、こればかりは他人がとやかく言う問題ではない。；そしてよほど物好きな人でないかぎり多分食ってみる気にはならないであろう。；ひょっとした物好きから訪ねて見たら、みな帰ってきているではないですか。；物好きな者がふと目を止めて、よく見ればきれいではないかと気付く程度だ。；あるいは当初から、物好きな貴族の手に渡ったとも言われている。；こうなると自分の物好きから、女一人を台無しにしたことが悔まれる。；近所のものずき男がやってきているくらいの扱い方でけっこうです。；よほど物好きな誰かが、夜のうちに作ったとしか考えようがない。；同行している役人には、あくまでも物好きな坊主の願いだと説明してある。；「また、物好きが始まったね」 母にこの簪に見覚えはないかと訊いた。；中学生のころ、物好きな教師がいて、生徒にモールス信号を教え込んだ。；そのうちにまた奥のほうの部屋のドアがいくつか、物好きな連中にあけられはじめた。；こんな風に卵が色々の形をしているのは何故だろうと物好きな学者は研究したものである。；しかしこの女のここへ来たのは物好きだけではなさそうである。；「お互い、物好きだと思いませんか」 塔馬の言葉に山影は首を振った。；ときどきものずきな者が、こうして地上に出て散歩するくらいです。；物好きといえば、こんなに物好きな行為はあまりなかろうと自分でも思う。；広い世間には物好きもいて、すすんで臨時に交換をする者もあるようである。</t>
        </is>
      </c>
      <c r="J8391">
        <f>HYPERLINK("https://www.weblio.jp/content/物好き", "词义详情")</f>
        <v/>
      </c>
      <c r="K8391">
        <f>HYPERLINK("https://yourei.jp/物好き", "查看例句")</f>
        <v/>
      </c>
    </row>
    <row r="8392">
      <c r="A8392" t="inlineStr">
        <is>
          <t>物凄い</t>
        </is>
      </c>
      <c r="B8392" t="inlineStr">
        <is>
          <t>成功</t>
        </is>
      </c>
      <c r="C8392" t="inlineStr">
        <is>
          <t>読み方：ものすごい
［形］［文］ものすご・し［ク］
１ひじょうに気味が悪い。なんとも恐ろしい。「怒った顔が—・い」「断崖絶壁の続く—・い所」
２並の程度をはるかに超えている。はなはだしい。「人出が—・い」「—・い速さ」「—・くおもしろい」
３何となく恐ろしい。また、何となくさびしい。
「不破関にもかかりぬれば、細谷川の水の音—・くおとづれて」〈延慶本平家・六本〉
[派生]ものすごさ［名］</t>
        </is>
      </c>
      <c r="D8392" t="inlineStr">
        <is>
          <t>物凄い勢い(6%)；物凄い音(3%)；物凄いもの(3%)；物凄い形相(3%)；物凄い力(2%)</t>
        </is>
      </c>
      <c r="E8392" t="inlineStr">
        <is>
          <t>巨大；大きい；大変；激しい；恐ろしい</t>
        </is>
      </c>
      <c r="F8392" t="inlineStr">
        <is>
          <t>物凄い数；ぬ物凄い；物凄い唸り；実に物凄い；物凄い悲鳴</t>
        </is>
      </c>
      <c r="H8392" t="n">
        <v>29</v>
      </c>
      <c r="I8392" t="inlineStr">
        <is>
          <t>つまり私の立てた説が本当に物凄い価値を現わしたことになるのですね。；不自然に抑えつけられた無言の瞬間にはむしろ物凄い或物が潜んでいた。；人生からは、目もさめるような美しさと物凄さとを、期待していました。；もしかしてたまたま鼻が物凄く利く人が集まっていたりするのだろうか。；僕は生れて今まであんな物凄いおそろしい顔を見たことがありません。；その形相の物凄さは、これまで彼が見た死体のどれよりも凄まじかった。；その物凄い光景にはさすがの山尾も常陸介も体の縮むを覚えたのである。；驚いてその方向を見るのと、再び物凄いガラスの割れる音が同時だった。；早く早くと水と水とが押合う為めか、水面に一種の燐光が漂って物凄い。；一部の商人たちを除いて、輸入しようとする金に物凄い関税をかけるんだ。；なんだか、物凄く重大なことを言い忘れていたような気がしてきた。；私たちが最初に、あの物凄い動揺をかんじたのはちょうどその頃だった。；どちらを見ても限りない、物凄い波がうねうねと動いているのであります。；幸いにもちょうど私が小屋へ着くと同時に、とても物凄い夕立が襲った。；爆発した線路で汽車が顛覆しそうになっている物凄い絵が描いてある。；それがお鳶そのままの姿だけに、この世のものとは思えない物凄さだ。；低い、しぼり出るやうな悲鳴が、物凄く闇の中に起つてゐるだけだつた。；彼は日本の捕虜収容所で加えられる物凄い拷問のことを伝え聞いていた。；その男は、仲間が倒れているのを目にして、物凄い勢いで走り込んできた。；低い、しぼり出るような悲鳴が、物凄く闇の中に起っているだけだった。；列車の機関車の赤い火が彼の頭上を物凄い勢いで突走って行った。；赫かくたる地獄の火焔をふくものは、二つの感情の物凄いもつれである。；その辛さ、その獣のような物凄さは、何んといったらよいのでしょう。；なぜか彼女の方も物凄く緊張しているのが、背中からでもわかる。；当てた手にほんの少し力を入れただけで、物凄く大きな音がした。；不意に室の外が騒がしくなったかと思うと、扉が物凄い勢いで蹴破られた。；三人の身体が地面に叩きつけられ、物凄い衝撃で地面を一度跳ね上がる。；白毛まじりの髪が乱れかかっているところなど、物凄いような気がした。；けど、ためしに自分で作ってみたら、それが物凄くおいしかったのよね。</t>
        </is>
      </c>
      <c r="J8392">
        <f>HYPERLINK("https://www.weblio.jp/content/物凄い", "词义详情")</f>
        <v/>
      </c>
      <c r="K8392">
        <f>HYPERLINK("https://yourei.jp/物凄い", "查看例句")</f>
        <v/>
      </c>
    </row>
    <row r="8393">
      <c r="A8393" t="inlineStr">
        <is>
          <t>物足りない</t>
        </is>
      </c>
      <c r="B8393" t="inlineStr">
        <is>
          <t>成功</t>
        </is>
      </c>
      <c r="C8393" t="inlineStr">
        <is>
          <t>読み方：ものたりない
［連語］何か足りないようで不満である。どことなく不足である。ものたらない。「おかずが—◦ない」「—◦ない説明」</t>
        </is>
      </c>
      <c r="D8393" t="inlineStr">
        <is>
          <t>物足りないよう(6%)；物足りないもの(5%)；物足りない気(4%)；物足りない感じ(3%)；物足りない成績</t>
        </is>
      </c>
      <c r="E8393" t="inlineStr">
        <is>
          <t>不安；甘い；鈍い；中途半端な；不十分な</t>
        </is>
      </c>
      <c r="F8393" t="inlineStr">
        <is>
          <t>何となく物足りない；やや物足りない；少し物足りない；まだ物足りない；なんだか物足りない</t>
        </is>
      </c>
      <c r="H8393" t="n">
        <v>29</v>
      </c>
      <c r="I8393" t="inlineStr">
        <is>
          <t>鏡の中の自分の姿を眺めながら、何か物足りない気がしてならなかった。；あんなにも強く物足りない気持をおぼえさせていたのは、海だったのだ。；だとしたらなんの変わったこともないと知って物足りなかったかもしれない。；その後一度も顔を見せない彼女が、彼には物足りなくてならなかった。；いつも面倒を起こす母がいなくなってから、物足りなく思っていただろう?；彼は自分自身に、ある大きな物足りなさを感じはじめていたのである。；それと同時に、物足りないようなまた済まないような気持になるのです。；バランス的には問題ないのだろうが、今の伊央には物足りない量である。；結果、我々に残されたのはやり過ぎかつすこし物足りない映画である。；勢いのまま、それだけでは物足りなくなったらしく、指を動員してくる。；それにしては現実の背景が少し貧弱で、何か物足りない感じであった。；だがいつまでも五本の指をしっかりと固定されたままでも物足りない。；普通に美しいと云っただけでは、物足りないような美しさであった。；そして彼は少し物足りないくらい危険を感じさせない青年だった。；マッカートニーは、この時点で曲の仕上がりに物足りなさを感じていた。；護立侯は物足りなささうに自分のお膳の上にあつた焼肴を一つ頬張つた。；だってほんものの友達を持ったあとは、夢の女の子では物足りないわ。；生涯映画好きでいる者には、物足りない感じはつきものなのかもしれない。；あなたは私の長い沈黙にさぞさぞ物足りなくお感じなされたことでしょう。；どこかしら物足りなさを補わなければ、納得することが出来ないのである。；妻とは思っていましたが物足りなくて外に情人も持っていました。；居合には千グラム前後のものが適当とされていますが、僕には物足りない。；それが、何だか自分を相手にしてくれるものもないやうに物足りない。；その代りどこまで行っても片づかないものだ、だから物足りないものだ。；向こうの倉庫の陰に、かくれてぶらぶらしているのでは物足りないのだ。；彼のこの屈託の無さは当然といえば当然であるが、瑞枝はやや物足りない。；これで全員の疑問は解消されたわけだけど、何か物足りないなあ。；そうやって、一緒に笑ってくれる人がいないことが、物足りないときもある。；が特別の反応もないので、物足りない思いをしながら、彼女は言葉を続けた。</t>
        </is>
      </c>
      <c r="J8393">
        <f>HYPERLINK("https://www.weblio.jp/content/物足りない", "词义详情")</f>
        <v/>
      </c>
      <c r="K8393">
        <f>HYPERLINK("https://yourei.jp/物足りない", "查看例句")</f>
        <v/>
      </c>
    </row>
    <row r="8394">
      <c r="A8394" t="inlineStr">
        <is>
          <t>物忘れ</t>
        </is>
      </c>
      <c r="B8394" t="inlineStr">
        <is>
          <t>成功</t>
        </is>
      </c>
      <c r="C8394" t="inlineStr">
        <is>
          <t>読み方：ものわすれ
［名］(スル)物事を忘れること。古くは多く、悲しみや苦痛を忘れることにいう。「近ごろ—して困る」
「心のかよふならば、いかにながめの空も—し侍らむなど」〈源・賢木〉</t>
        </is>
      </c>
      <c r="D8394" t="inlineStr">
        <is>
          <t>物忘れがひどく(9%)；物忘れが激しく(3%)；物忘れが激しい(2%)</t>
        </is>
      </c>
      <c r="E8394" t="inlineStr">
        <is>
          <t>健忘；忘れっぽさ</t>
        </is>
      </c>
      <c r="H8394" t="n">
        <v>29</v>
      </c>
      <c r="I8394" t="inlineStr">
        <is>
          <t>歴史家のモムゼンはさういふなかでも一番よく物忘れをする人だつた。；六十三になると物忘れがひどくなり、物の名前や人の名前がすぐ出て来ない。；それでおとし物や物忘れは私にとつては珍らしいことではありませんでした。；主人も妙な顔をして、物忘れでもしたようにぼんやりしていた。；そのたびに面白いのだが、あのアライさんでさえもの忘れが多少はあるのだ。；酒を飲む飲まないに関係なく物忘れのひどさとくるとお話にならない。；物忘れが激しくなったり、どんどん後退していく感じがしてたのよ。；脳の記憶機能を活性化し、中年期以降の物忘れを改善する効果もある。；気が短くなり、すぐ腹をたて、根気がつづかず、物忘れもひどくなった。；最近は物忘れがひどく、つい昨日の記憶がとんでしまうこともある。；年を取るのも物忘れをするのも皆子供の所為だと思っているらしい。；いやに物忘れが激しいようだが、とにかく、それはみな重要でないことばかりだ。；物忘れしやすいと周囲に人々からはよく言われます。；如何に物忘れのひどい人間でも自分の口から出た言葉だ。；まるで、この物忘れのために、地位を失うかもしれないと思っているようだった。；単に物忘れをするというだけではない、少し古いことになるとまるで記憶があやふやである。；このような物忘れの現象は、私の年齢のせいではない。；起きているときでさえ物忘れが激しいのだから、寝ているときのことなど忘れるに決まっている。；ブノワは物忘れが多く、Sonyの事務所に契約書を忘れて帰ったという。；物忘れ、というより考えるための労力を使うことを身体が拒絶している感じだった。；私もどうも年齢のせいか物忘れがひどくなって。；彼は物忘れから、予定した日の翌日に空港に行ってしまい、そこで間違いに気づく。；しかしながら、国民も個人と同様に、年を取ると物忘れをする。；テキトーであることがぼくらを眠らしてくれて、物忘れを実現してくれる。；ひどい物忘れだが、右の趣旨の言葉があったのにまちがいはない。；きっとこんなに物忘れが激しいのは、脳の働きが悪いからだと私は判断し、脳にいい食べ物が紹介されている本を買ってきた。；物忘れ・気づきを失った心であり、仏法の理論や仏法の言葉を忘れたりすること。；「それに、どうやら物忘れもひどい」 男が、目の前に立っている。；あるいはこの村に春が来ないのも、神さまが『もの忘れ』をしておられるのではないか。</t>
        </is>
      </c>
      <c r="J8394">
        <f>HYPERLINK("https://www.weblio.jp/content/物忘れ", "词义详情")</f>
        <v/>
      </c>
      <c r="K8394">
        <f>HYPERLINK("https://yourei.jp/物忘れ", "查看例句")</f>
        <v/>
      </c>
    </row>
    <row r="8395">
      <c r="A8395" t="inlineStr">
        <is>
          <t>もはや</t>
        </is>
      </c>
      <c r="B8395" t="inlineStr">
        <is>
          <t>成功</t>
        </is>
      </c>
      <c r="C8395" t="inlineStr">
        <is>
          <t>読み方：もはや
［副］
１ある事態が実現しようとしているさま。早くも。まさに。「—今年も暮れようとしている」
２ある事態が変えられないところまで進んでいるさま。今となっては。もう。「—如何ともしがたい」「—これまで」</t>
        </is>
      </c>
      <c r="D8395" t="inlineStr">
        <is>
          <t>もはやどう；もはや疑う；もはや二度と；もはや単なる；もはや生き</t>
        </is>
      </c>
      <c r="E8395" t="inlineStr">
        <is>
          <t>もう；いまや；最早</t>
        </is>
      </c>
      <c r="F8395" t="inlineStr">
        <is>
          <t>何ともはや；もはや恐るる；もはやなすすべ；もはや疑う余地；もはや動かすべから</t>
        </is>
      </c>
      <c r="H8395" t="n">
        <v>29</v>
      </c>
      <c r="I8395" t="inlineStr">
        <is>
          <t>その後一時独立を回復するも、もはや有力国であることはできなかった。；しかし現在では大多数の医療関係者はもはやこの考えを採用していない。；彼はもはや物体を色や形といった性質も持っているとは捉えなくなった。；もはやアメリカが片手を背中に縛られたまま競争する必要はないのです。；この段階になればもはや事態を収拾しようとすることは極めて困難となる。；体格の差が極端に大きく、もはや同種とは思えないほどになる例もある。；もはや、誰が何のために戦っているのかすら、わからなくなっていた。；クレンツはこの群衆を押しとどめるのはもはや無理であると感じていた。；さらに、労働者はもはや医療と教育のために雇用者に依存していなかった。；もはや南極条約を遵守しようという姿勢は全く見られない状況となった。；書かれた時間や場所から切り離されたそれらは、もはや現実ではない。；後にそれが誤解であったことに気づいたが、もはや後の祭りであった。；もはや用済みとなった後藤新平像は、長年神社の境内に放置され続けた。；ティミショアラでの抗議運動ははもはや止めることが不可能になっていた。；そこには時間的な要素はもはや消失し、活力的なものだけが残されている。；後に、男性雑誌で音楽にはもはや興味がないと確信したと告白した。；これはもはやストップモーションではなくゴー・モーションと呼ばれた。；王党派はもはやパリでは存在を許されず、フイヤン派は完全に失脚した。；もはや中国人民銀行だけでは資金需給の変化に対応しきれなくなった。；母は姉のことをもはや実の娘とはわからなくなっていた。；しかし、現在ワインはもはやジェロナ・グラ市では生産されていない。；もしそんなことを受け入れたら、それはもはやブラックメタルではないよ。；もはや、直接農具を表示していないが、クラブは農民の意味で用いられる。；なお、恐竜をその骨盤のみで分類する方法は現在ではもはや主流ではない。；もはやヒンデンブルクは大統領というよりドイツ皇帝に近くなっていった。；もはや果たすべき目的も叶わず、唯一の望みは安全に脱出することしかない。；ところがもはや、このような中間領域は認められなくなってしまった。；バンドが世界的な人気を得るのは、もはや時間の問題であった。；現在はもはや非公式な通称であるが、改名前の略称はMSKKであった。</t>
        </is>
      </c>
      <c r="J8395">
        <f>HYPERLINK("https://www.weblio.jp/content/もはや", "词义详情")</f>
        <v/>
      </c>
      <c r="K8395">
        <f>HYPERLINK("https://yourei.jp/もはや", "查看例句")</f>
        <v/>
      </c>
    </row>
    <row r="8396">
      <c r="A8396" t="inlineStr">
        <is>
          <t>模範</t>
        </is>
      </c>
      <c r="B8396" t="inlineStr">
        <is>
          <t>成功</t>
        </is>
      </c>
      <c r="C8396" t="inlineStr">
        <is>
          <t>読み方：もはん
《「模」は木型、「範」は竹で作った型》
１見習うべき手本。のり。「—を示す」
２器物などを作るときに用いるもととなる型。
「黏土の乾かざる内に、—を著(つ)くるものにして」〈中村訳・西国立志編〉</t>
        </is>
      </c>
      <c r="D8396" t="inlineStr">
        <is>
          <t>模範的(19%)；模範解答(2%)；模範演技；模範青年；模範となるべき</t>
        </is>
      </c>
      <c r="E8396" t="inlineStr">
        <is>
          <t>例；モデル；理想；聖人；師範</t>
        </is>
      </c>
      <c r="F8396" t="inlineStr">
        <is>
          <t>模範農場；模範学生；模範答案；模範演奏；模範兵</t>
        </is>
      </c>
      <c r="G8396" t="inlineStr">
        <is>
          <t>模範囚；模範議会；模範称号；模範労働者</t>
        </is>
      </c>
      <c r="H8396" t="n">
        <v>29</v>
      </c>
      <c r="I8396" t="inlineStr">
        <is>
          <t>カエサルの生涯は我々のために我々の生涯以上の模範を蔵してはいない。；この点について社会大衆党など大いに模範を示すべきではないかと思う。；僕は一つ晩老の模範を示してやらうと云ふ大野心を持つてゐる身だ。；模範的な労働者は努力の報奨としてこれらの療養所へ行くことができた。；おそらくイェレミーアスを模範にしたほうがもっと賢明だったのだろう。；しかし、模範的な手法があるとすれば以下のような例があげられる。；彼らは釈放後、前年に起きた十月革命を模範とした革命扇動を開始した。；若くして模範的なことで知られ、弱冠にして州郡の召命に応じなかった。；大衍暦は非常に整備された暦法であり、その形式が後世の模範となった。；多くの絵画の影響を受けてはいるが、直接に模範にしたような作品は存在しない。；通常の運転の他に、お手本の運転を見ることができる模範運転モード。；陸軍はフランス後にドイツを模範とし、同様に海軍はイギリスを模範とした。；昨年私はある機会から、この模範納屋の絵のある同大学の報告を見た。；この調停によって国中で受け入れられる模範が示されることとなった。；が、そんなことを口に出すのは、模範学校の生徒らしくないと思いました。；背景にはモハンやババルが力をつけ、ジュッダが孤立したことにあった。；の指定を受けた住宅地であり、1920年代の都市計画の模範とされた。；これはクラブ内における模範的な能力開発に対して与えられる賞である。；感情的な父ジミーとは対照的に、冷静で真面目な模範的な母親を演じた。；ある地域またはある時期模範的に事業化して展開させその効用を確認し評価する事業。；政府は地方の首長に模範的な女性を推薦させ、その伝記を送るように求めた。；すべての弟子の信仰を守り、あなたの献身的な人生は生きた模範です。；また、一般のライダーの模範になるような走行を実行することが大切とされる。；この憲法は明らかに当時のイギリスの立憲君主政体を模範としたものである。；この場所はその後、シトー会修道院の基盤となる模範的な機能を提供した。；瀬戸君は小学校から大学まで優良の成績で通して来たのだから元来模範的だ。；新たにフランスを模範とするヴェストファーレン王国が創設された。；その後スタジオで篠山の英語を判定し、模範フレーズを紹介・解説する。；学校内での授業は他の生徒の模範となるように全力で受ける。</t>
        </is>
      </c>
      <c r="J8396">
        <f>HYPERLINK("https://www.weblio.jp/content/模範", "词义详情")</f>
        <v/>
      </c>
      <c r="K8396">
        <f>HYPERLINK("https://yourei.jp/模範", "查看例句")</f>
        <v/>
      </c>
    </row>
    <row r="8397">
      <c r="A8397" t="inlineStr">
        <is>
          <t>模倣</t>
        </is>
      </c>
      <c r="B8397" t="inlineStr">
        <is>
          <t>成功</t>
        </is>
      </c>
      <c r="C8397" t="inlineStr">
        <is>
          <t>読み方：もほう
［名］(スル)他のものをまねること。似せること。「人の作品を—する」</t>
        </is>
      </c>
      <c r="D8397" t="inlineStr">
        <is>
          <t>模倣する(13%)；模倣者(3%)；模倣しよ；模倣作品；模倣性</t>
        </is>
      </c>
      <c r="E8397" t="inlineStr">
        <is>
          <t>真似；複製；模写；書写；写す</t>
        </is>
      </c>
      <c r="F8397" t="inlineStr">
        <is>
          <t>広く模倣；原型模倣；模倣鏡；模倣論；模倣ジャワ更紗</t>
        </is>
      </c>
      <c r="G8397" t="inlineStr">
        <is>
          <t>模倣犯；模倣自殺；模倣品・海賊版拡散防止条約；模倣の人生；模倣説</t>
        </is>
      </c>
      <c r="H8397" t="n">
        <v>29</v>
      </c>
      <c r="I8397" t="inlineStr">
        <is>
          <t>日本の製品が輸出されている他、海外で模倣して生産されたものもある。；設計がYouTubeに非常に類似しておりこれを模倣したと思われる。；その際彼が基準としたのは古典、特に古代ギリシア美術の模倣であった。；日本でも模倣されて映画館によっては注意書きが書かれることもあった。；また再調製される以前から有している形態模倣能力を発揮することもある。；ノリッジ近辺ではこれを模倣したものが20世紀初頭まで使われていた。；兄のピーテルと比べると、父親の模倣ではなく独自のスタイルを築いた。；ルイ9世が作らせたサント・シャペルもヨーロッパの多くで模倣された。；そして、より自分に似た他人の行動を模倣する傾向があるとされる。；日本でもそれらを模倣する形で教材用として販売されるようになった。；しかしその様式については留保し、いつまでも模倣し続けはしなかった。；これは、ヨーロッパで成功例がある都市中心部再生策の模倣である。；そのための方法の一つが、自らが望む自然現象を模倣することである。；同じく人種差別を行う事からナチスを模倣するようになってきている。；結局、スペインの敵が選択したのは、彼らのやり方を模倣することだった。；律令格式は他の統治方式同様に唐制を模倣したものと考えられている。；状態や感情などの音を発しないものを字句で模倣したものである。。；自殺報道は自殺を誘引し、そこで紹介された自殺手段はしばしば模倣される。；アルミニウムや真鍮で鋳造された人間の耳を模倣した作品で知られた。；一部にヴァイオリンにも鳴き声の模倣とも思えるパッセージが存在する。；中央の職制は幕府のそれをほぼ模倣し、藩主の下に家老のほか諸役をおいた。；大手映画会社の製作する有名タイトルへの便乗・模倣が多いのも特徴である。；市民の中でも都市貴族は馬上槍試合や競馬などの貴族的なスポーツを模倣した。；本当の冪乗則ではない、単なる模倣のデータでは漸近的な限界がある。；また、最近のでは、他の格闘家達の技を模倣する形で独自の技も開発している。；植木枝盛はこのような差別的法典を日本は模倣すべきでないと批判していた。；正確には同像の服装は、大統領が暗殺された夜に着ていた衣服を彼女が模倣した物である。；また、第二次世界大戦時からヨーロッパを模倣して飛び級が認められていた。；ムジュタヒドが他のムジュタヒドの意見を模倣することは非合法である。</t>
        </is>
      </c>
      <c r="J8397">
        <f>HYPERLINK("https://www.weblio.jp/content/模倣", "词义详情")</f>
        <v/>
      </c>
      <c r="K8397">
        <f>HYPERLINK("https://yourei.jp/模倣", "查看例句")</f>
        <v/>
      </c>
    </row>
    <row r="8398">
      <c r="A8398" t="inlineStr">
        <is>
          <t>揉まれる</t>
        </is>
      </c>
      <c r="B8398" t="inlineStr">
        <is>
          <t>成功</t>
        </is>
      </c>
      <c r="C8398" t="inlineStr">
        <is>
          <t>読み方：もまれる
［連語］《動詞「も（揉）む」に受身の助動詞「れる」の付いたもの》
１大きな力で激しく揺り動かされる。「人ごみに—◦れる」
２多くの人々の中で、経験や苦労を重ねて鍛えられる。「実社会で—◦れてたくましくなる」</t>
        </is>
      </c>
      <c r="D8398" t="inlineStr">
        <is>
          <t>揉まれるよう(14%)；揉まれるうち(5%)</t>
        </is>
      </c>
      <c r="E8398" t="inlineStr">
        <is>
          <t>触れられる；触られる；まさぐられる</t>
        </is>
      </c>
      <c r="H8398" t="n">
        <v>29</v>
      </c>
      <c r="I8398" t="inlineStr">
        <is>
          <t>山の木々が風に揉まれるのを眺めていると、徐々に気分が霽れて行った。；たとえ指に力がなくても揉まれているというのは気持ちのいいものだ。；それからの数日は慌ただしく、荒波に揉まれるようにして過ぎていった。；浪に揉まれながらの船からも海岸の崖の上に咲いているのがよく見えていた。；何に対しても正直過ぎるのは、世間で揉まれたことがないからだろう。；水の中でしばらく揉まれていて、上下の感覚が曖昧になっていた故の慎重さだ。；私はいきなり目を揉まれたやうな茫とした氣で、彼女の目を見つめた。；文句を言ったりしたら、また目玉を揉まれてしまうかもしれないではないか。；揉まれて妙なコスモポリタンが出来上っては人間としてローズものです。；しかも湾外に出た船は遅々として進まず、木の葉のように波に揉まれた。；ところが、その若者は運命の波に揉まれていくうちに急速に成長をとげていた。；子供の時分からそういう環境で揉まれていれば、肩も自ずと鍛えられる。；そこには風に揉まれて、枝振のひねた面白いパインが四五本並びゐたり。；そんだな時分から大勢に揉まれるだでな、人が悪くなるのも無理はねェね。；かと申したからとて、なにも気を揉まれるには及びませんよ。；彼女は今日まであまりに大勢の人間の中で揉まれて来た。；舟はかなり大きいものだったが、さだめし風浪に揉まれ抜いたことだろう。；冬の風浪に揉まれながら碇泊するその艦の姿はひどく弱々しげだった。；揉まれながら話を聞いていると姐やのことを思い出してしまう。；とっとと社会に出てもらって、世間の荒波に揉まれたほうがいいんだと思う。；頬っぺたを執拗に揉まれながら、ぼくはそのことが段々不安になってきた。；であるから大阪で源之助がもう少し揉まれて来ればよかったと思う。；大勢の兄弟に揉まれて育っているから、集団の中での自分の位置をわきまえている。；人に揉まれて来た米友が、聞くともなしに聞いていると、事件の要領はこうです。；自分は考えた、彼女が二三年も米国に揉まれると、実にエライ女になって来る。；そこはすでに充分手で揉まれていたので、乳頭は固く尖りきっていた。；人と人とが肌触れ合わせる混雑に揉まれながら、香苗は小さく頭を振った。；こんなことから、人も社会で揉まれると、人間が出来てくるたとえに用いられます。；一行は人と馬の波に揉まれ、散り散りになってしまうのだった。</t>
        </is>
      </c>
      <c r="J8398">
        <f>HYPERLINK("https://www.weblio.jp/content/揉まれる", "词义详情")</f>
        <v/>
      </c>
      <c r="K8398">
        <f>HYPERLINK("https://yourei.jp/揉まれる", "查看例句")</f>
        <v/>
      </c>
    </row>
    <row r="8399">
      <c r="A8399" t="inlineStr">
        <is>
          <t>紅葉</t>
        </is>
      </c>
      <c r="B8399" t="inlineStr">
        <is>
          <t>成功</t>
        </is>
      </c>
      <c r="C8399" t="inlineStr">
        <is>
          <t>読み方：こうよう
［名］(スル)秋になって葉が紅色に変わること。また、その葉。葉緑素がなくなり、アントシアンなどの色素が蓄積して起こる。黄葉や褐葉を含めていうこともある。もみじ。「全山みごとに—する」《季秋》「—の色きはまりて風を絶つ／宋淵」</t>
        </is>
      </c>
      <c r="D8399" t="inlineStr">
        <is>
          <t>紅葉シーズン；紅葉山人；紅葉見物；紅葉屋；紅葉先生</t>
        </is>
      </c>
      <c r="F8399" t="inlineStr">
        <is>
          <t>草紅葉；美しく紅葉；美しい紅葉；鮮やかな紅葉；紅葉照子</t>
        </is>
      </c>
      <c r="G8399" t="inlineStr">
        <is>
          <t>紅葉館；紅葉狩；紅葉狩り；紅葉坂；紅葉山文庫</t>
        </is>
      </c>
      <c r="H8399" t="n">
        <v>29</v>
      </c>
      <c r="I8399" t="inlineStr">
        <is>
          <t>ここでは、川・小学校校舎・桜・紅葉・列車を1枚の写真に収められる。；高尾紅葉台住宅は駅から遠く坂も多いため自治会がバスを運行している。；周辺には駐車場や自然歩道などが整備され紅葉シーズンは人気が高い。；和名は上記のようなその姿が紅葉の葉を彷彿とさせることに由来する。；紅葉や新緑が美しく交通の便も良いことから都市近郊からの登山客も多い。；その鬼は女性であり、名前を紅葉であるとするものが一般に流布されている。；古い葉は落ちる前に赤く紅葉し、常に一部の葉が紅葉しているのが見られる。；春の新緑や秋の紅葉が美しく、夏でも比較的涼しい事から観光客が多い。；紅葉のシーズンにはツーリングのバイクが多く訪れる林道となっている。；小渕ダム周辺は公園として整備されており、春は桜、秋は紅葉が美しい。；特に秋の紅葉は美しく、プロアマを問わずカメラマンがたくさん訪れる。；特に中国の大型連休である紅葉初期シーズンの10月初めは大混雑する。；それで、秋に集まって紅葉を観賞しながら飲食する行事が定着している。；秋の紅葉時には、鉄橋上で数秒間の停車などの観光サービスが行なわれる。；定紋は初代から三代目までが三升の中に男、以後は隅切り角に一葉紅葉。；白滝は駐車場・トイレが設置されているが、二見滝・紅葉滝にはない。；秋の紅葉シーズンに「観楓会」と呼ばれる宴会が実施される習慣がある。；秋の紅葉シーズンや冬のウィンタースポーツも榛名湖の特徴になっている。；秋は紅葉が山頂から徐々に山麓へと下り、冬には降雪や樹氷が見られる。；紅葉谷は、紅葉が自生する谷間であることから名付けられた地名である。；逆に自身の体をあたためるために紅葉が酒を飲んで眠っている。；また果実のほか落葉種では紅葉が美しいため観賞用に栽培される種類もある。；背後の山々が紅葉した秋の神橋、雪の積もった冬の神橋が美観とされる。；それでも、阿哲峡や三室峡は、紅葉の見られる場所として知られている。；また花が終わると小さい黒い実をつけ、秋になると紅葉する。；この際、本作で関わらなかった園子が紅葉や伊織と初対面となっている。；紅葉の季節になると運行される路線であったが、現在は春分の日しか運行されない。；なお、紅葉の最盛期の昼間時間帯は大谷川を渡る区間で徐行運転を行う。；赤茶けた色の葉は「影向ではなく紅葉のマツ」と揶揄されるほどだった。</t>
        </is>
      </c>
      <c r="J8399">
        <f>HYPERLINK("https://www.weblio.jp/content/紅葉", "词义详情")</f>
        <v/>
      </c>
      <c r="K8399">
        <f>HYPERLINK("https://yourei.jp/紅葉", "查看例句")</f>
        <v/>
      </c>
    </row>
    <row r="8400">
      <c r="A8400" t="inlineStr">
        <is>
          <t>揉む</t>
        </is>
      </c>
      <c r="B8400" t="inlineStr">
        <is>
          <t>成功</t>
        </is>
      </c>
      <c r="C8400" t="inlineStr">
        <is>
          <t>読み方：もむ
［動マ五（四）］
１両手の間に挟んでこする。また、両手をこする。「錐(きり)を—・む」「茶を—・む」「塩でキュウリを—・む」
２からだを触れ合わせるようにして押し合う。また、激しく揺り動かす。「人込みに—・まれながら歩く」「御輿(みこし)を—・む」
３指で包みこむようにして握ったり、てのひらで押したりする。あんまをする。「肩を—・む」
４大きな浴槽の中の湯を、厚板などを使って激しくかき回す。浴槽の湯温を均一にするために行う。「湯を—・む」
５激しく議論をする。「委員会で—・んだ議題」
６相手になって教えてやる。「一番—・んでやろう」
７（「もまれる」の形で）世間に出ていろいろの経験をする。「実社会で—・まれて成長する」
８気をいらいらさせる。いらだたせる。「気を—・む」
９激しく攻める。
「追靡(おひなび)け、七八度が程ぞ—・うだりける」〈太平記・一〇〉
10数珠を擦り合わせて、仏に強く祈る。
「乳和して護摩にたき、黒煙をたててひともみ—・まれたりければ」〈平家・八〉
11むち打つなどして馬を急がせる。
「—・めども—・めども、一所にて躍る様なり」〈義経記・四〉
[可能]もめる
［動マ下二］「もめる」の文語形。</t>
        </is>
      </c>
      <c r="D8400" t="inlineStr">
        <is>
          <t>マッサージ；按摩；擦る；摺る；擦りつける</t>
        </is>
      </c>
      <c r="H8400" t="n">
        <v>29</v>
      </c>
      <c r="I8400" t="inlineStr">
        <is>
          <t>しばらく揉みあっている内に、多加子から力が抜けていくのがわかった。；急にみんなが笑い出したので、いったいどうなったのだろうと気を揉んだ。；昨日の訓練にも姿を見せなかったので、一同はかなり気を揉んでいた。；山の木々が風に揉まれるのを眺めていると、徐々に気分が霽れて行った。；しかし俺はタダで胸を揉ましてくれる美人の為なら何でもする男だぞ!；揉みはじめたのだがその足裏は、どうしたことかひどく硬くて凹まない。；かけ忘れて寝着の懐にずっていたのが、身を揉んだので辷ったのである。；私は、もうこれでこの男に関して気を揉む必要はなくなった、と思った。；待っている間も彼は腰をゆっくりと躍らせながら、乳房を揉みつづけた。；小さく叫んで座り込んだまま、片手は畳につき、片手で足を揉んでいる。；それからの数日は慌ただしく、荒波に揉まれるようにして過ぎていった。；私は熱心に彼女の肩から背、それから腰の方へと揉み下げて行つた。；福沢が今どうしているのか、一番気を揉んでいる人であるはずだった。；そこでは火の上にかけたお茶の葉を兩手で揉んで居る人があります。；私があれほど関心をもち気を揉んだ仕事も、遂に私の手中に帰したのだ。；これが居ても立ってもいられないほどにお松の気を揉ませるのです。；その恥ずかしさを揉み潰すように更に放恣な姿勢に自分を開いていった。；発車時刻が迫ってきて、気を揉んでいるところへようやく父が戻ってくる。；彼女は全身を押し揉むような悩ましさを抱いて、静かにそこを歩き出した。；浪に揉まれながらの船からも海岸の崖の上に咲いているのがよく見えていた。；何に対しても正直過ぎるのは、世間で揉まれたことがないからだろう。；終日風の揉み抜いた家にいたのであるから、源氏も疲労して思わず眠った。；この二、三日前から、心の臓を揉まれるような症状が続いているのである。；もっと早く整理して置いたら、こんなに気を揉まないでも済んだにと思う。；三人の子供には何を着せて行こう、とこう家内はいろいろに気を揉んだ。；彼女は私の気を揉ませるに足りるだけの間を措いてから漸く外に出て来た。；私は口では何もいわなかったが、心のなかでは、と気を揉んだのも事実である。；不確実なことをお知らせすることは、気を揉ませるばかりだからです。；私は自分でお茶を作ることが好きなんですが、揉むのが大変でつい働き過ぎます。</t>
        </is>
      </c>
      <c r="J8400">
        <f>HYPERLINK("https://www.weblio.jp/content/揉む", "词义详情")</f>
        <v/>
      </c>
      <c r="K8400">
        <f>HYPERLINK("https://yourei.jp/揉む", "查看例句")</f>
        <v/>
      </c>
    </row>
    <row r="8401">
      <c r="A8401" t="inlineStr">
        <is>
          <t>揉め事</t>
        </is>
      </c>
      <c r="B8401" t="inlineStr">
        <is>
          <t>成功</t>
        </is>
      </c>
      <c r="C8401" t="inlineStr">
        <is>
          <t>読み方：もめごと
争いごと。ごたごた。「—が絶えない」「—に巻き込まれる」</t>
        </is>
      </c>
      <c r="D8401" t="inlineStr">
        <is>
          <t>揉め事処理屋(12%)</t>
        </is>
      </c>
      <c r="E8401" t="inlineStr">
        <is>
          <t>困難；争い；衝突；障害；故障</t>
        </is>
      </c>
      <c r="H8401" t="n">
        <v>29</v>
      </c>
      <c r="I8401" t="inlineStr">
        <is>
          <t>しかし、真九郎は楽な人生を望んで揉め事処理屋になったわけではない。；さらにウィトキンは家族の揉め事も自分の仕事に影響したと語っている。；田辺がそう言った時、道の反対側でも何か揉め事が起きている様子だった。；その日、真九郎は揉め事処理屋になって以来、最も無駄に時間を過ごした。；だが幸いにして、こんな時にありがちな揉め事は、なにも起きなかった。；しかし、そんな彼女の意見を無視して、自分は揉め事処理屋になったのだ。；このさきも、金にまつわる揉め事は、きりがないほど出てくるでしょう。；揉め事があった後も、俺は兄弟たちともモーティマーとも会っていた。；広場は確かにご機嫌な場所だが、ご機嫌な場所ほど揉め事がつきものだ。；三角洲の上で揉め事の解決に向けた話し合いをすることになりました。；行ったところで、また芦屋と揉め事になることは、目に見えていたからだ。；ちいさな揉め事が近づいてくる気配に、ふたりの刑事はこちらを見た。；だから、同じ理屈で大勢の人人の心と脳の揉め事を収めることができる。；五日が過ぎたが、相変らず吉田家の揉め事は埒があかないようであった。；言ったところで新しい揉め事の種をつくるだけだと思ったからだ。；こっちには身分ってもんがあって、これを軽視するのは揉め事の元だ。；あの方がいらした場合、たいていの揉め事はあの方のせいだと思っておいた方がいいの。；伏見屋のほうも本当ならば、吉原で揉め事はおこしたくないはずである。；角突き合わせる揉め事など、なかったはずだと周りの者は言っていたという。；あの様子では、まだまだ揉め事が寄ってくる可能性が十分にあった。；かつて卒園した子供たちの中に、揉め事処理屋を営む者がいることを。；そればかりか事もあろうに、他人の揉め事に首を突っ込んでしまった。；揉め事処理屋を辞めてしまったら、真九郎はまた昔に戻ってしまうような気がする。；友人たちからの資金援助はしばしば揉め事の種になった。；自分はこれからも揉め事処理屋を続け、世間的な成功とは無縁の人生を歩む。；集落間で水争いや集落の境界の揉め事を竹槍で争う事件も起きた。；山口社長と太田の間で新たな揉め事が起こっていなければいいが。；揉め事を吸収して力にしたのか、仕事が雪崩のようにリンに舞い込んで来た。；お前を野放しにしてこれ以上揉め事を起こされたら、沖連合の信用に関わる。</t>
        </is>
      </c>
      <c r="J8401">
        <f>HYPERLINK("https://www.weblio.jp/content/揉め事", "词义详情")</f>
        <v/>
      </c>
      <c r="K8401">
        <f>HYPERLINK("https://yourei.jp/揉め事", "查看例句")</f>
        <v/>
      </c>
    </row>
    <row r="8402">
      <c r="A8402" t="inlineStr">
        <is>
          <t>揉める</t>
        </is>
      </c>
      <c r="B8402" t="inlineStr">
        <is>
          <t>成功</t>
        </is>
      </c>
      <c r="C8402" t="inlineStr">
        <is>
          <t>読み方：もめる
［動マ下一］［文］も・む［マ下二］
１争いが起きてごたごたする。「会議が—・める」
２いらいらする。「気が—・める」
３費用がかかる。
「はじめより—・める事なれば」〈浮・一代男・八〉</t>
        </is>
      </c>
      <c r="D8402" t="inlineStr">
        <is>
          <t>トラブルが起こる；トラブルが起きる；トラブルが生じる；ごたつく</t>
        </is>
      </c>
      <c r="H8402" t="n">
        <v>29</v>
      </c>
      <c r="I8402" t="inlineStr">
        <is>
          <t>ただ、密輸に成功した時のための話をつけておかないと揉めますからね。；議員たちとひと揉めしなくてもすむよう、いまここで教えてくれないか。；移籍の際、双方の事務所が揉めることなどは一切なく円満移籍であった。；どうやら桟橋の上で揉めているのは長槍を持った兵士と一人の少年らしい。；だが、そうなったらまた、それはそれでどんなに気が揉めることだろう。；それを忘れると「灯油代は何処が持つんだ」とあとで揉めることになる。；場所のことで揉めているうちに、どんどん時間が経っていったんだ。；野村とスカウト陣は松井か伊藤のどちらかを指名するのか揉めたという。；私は誰か出て来て、なおしてあげる人はないのかと私の気が揉める。；そしてがらんとしてる広間へ一番にはいって行ったので、気が揉めだした。；壁を隔てたすぐ隣で三人の男が揉めていたとは知らないようだ。；門人から幹部俳優にまで出世したが、酒癖が悪くしばしば周囲と揉めた。；両親に結婚を反対されたのかもしれないと思うと、気が揉めた。；閉めろと言っても揉めるのが目に見えているし、それは時間の無駄でしかない。；今年は北の大遠征がなくなったせいで町は大揉めに揉めている。；きっと話が揉めるだろうし、子供たちをその中に巻きこみたくなかったのだ。；不採用になった闘技者候補と揉めることも多いため、腕の立つ人間を集めている。；この娘の方が松之助を憎からず思っているのが分かって、揉めているという。；駅の改札口の向こう、先に来ていた明日菜と揉めるネギ先生の姿が見えた。；となると、ひと揉めあるのは覚悟しなければならないだろう。；夕刻、村はずれの神社の境内で、小太郎の姉イクと揉めていた男だった。；それに呆れているどころか、後の始末やら物議こそまた一と揉めだった。；私はこれまでに何度も、掃夫が飯のことで懲役たちと揉めたのを見ています。；親戚とうまくいっていないなら、金の問題で揉めないはずがない。；驚いて声をあげた運転手は、一八ではない別の遊び仲間に因縁をつけ、揉めていた。；どこかの町がどこかの町に物を売らないとか言うと、絶対に揉める。；ひと揉めしてる間に吠える鯉でも見てやるかと、おれは縁側から庭に降りた。；それともなんだ、見合い話が来たんでガールフレンドと揉めちまったか?；つまり、あんたと平子さんは何か揉めていたんではないかとね。</t>
        </is>
      </c>
      <c r="J8402">
        <f>HYPERLINK("https://www.weblio.jp/content/揉める", "词义详情")</f>
        <v/>
      </c>
      <c r="K8402">
        <f>HYPERLINK("https://yourei.jp/揉める", "查看例句")</f>
        <v/>
      </c>
    </row>
    <row r="8403">
      <c r="A8403" t="inlineStr">
        <is>
          <t>木綿</t>
        </is>
      </c>
      <c r="B8403" t="inlineStr">
        <is>
          <t>成功</t>
        </is>
      </c>
      <c r="C8403" t="inlineStr">
        <is>
          <t>読み方：きわた
１パンヤの別名。
２もめんわた。繭(まゆ)から作る真綿(まわた)に対していう。綿花(めんか)。</t>
        </is>
      </c>
      <c r="D8403" t="inlineStr">
        <is>
          <t>木綿糸(3%)；木綿物(3%)；木綿縞；木綿布；木綿製</t>
        </is>
      </c>
      <c r="E8403" t="inlineStr">
        <is>
          <t>綿；コットン；ワタ；綿布；綿織物</t>
        </is>
      </c>
      <c r="F8403" t="inlineStr">
        <is>
          <t>白い木綿；紺木綿；縞木綿；鬱金木綿；南京木綿</t>
        </is>
      </c>
      <c r="G8403" t="inlineStr">
        <is>
          <t>木綿のハンカチーフ；木綿季；木綿豆腐；木綿子；木綿着物</t>
        </is>
      </c>
      <c r="H8403" t="n">
        <v>29</v>
      </c>
      <c r="I8403" t="inlineStr">
        <is>
          <t>この考え方はヨーロッパ各地の言語での木綿の呼称に痕跡を残している。；その時彼女の使ったのは木綿糸でなくて絹糸であった事も知っていた。；此時も明治四十一年の春初めて来た時着て居た彼無地の木綿羽織だった。；最初に使うときに木綿が燃えてなくなりマントルは機能する形になった。；ムーア人がスペインに木綿栽培法をもたらしたのは9世紀のことである。；古くは木綿を用いていたが、現在では紙を用いるのが一般的である。；学校へ行く時も家に居る時も私は木綿の着物を着せられた事が有ませんでした。；白薩摩は薄い木綿地の着物で、白地のものは夏の浴衣などに用いられる。；見ると、それは縫目もなければ袖もない、並幅半反ほどなただの黒木綿。；昭和末期でも地元の人は木綿布を買い求める時に寸模と呼んでいたという。；材質は絹がほとんどだが、煎茶道では木綿のものが使われることもある。；飛行帽には木綿の布製の夏季用と内側に毛皮を使用した冬季用があった。；十時、三須氏が、前に書いた木綿工場へ我々を案内するためにやって来た。；川の両脇には2つの主要な商品作物であるコーヒーと木綿が描かれている。；これらの織物には絹も麻も木綿もまた桐板と呼ぶ繊維も用いられました。；それらの綿花や木綿製品の集散地ともなり、裕福な商家も存在していた。；その折も福田氏はいつものやうに黒木綿の羽織に小倉の袴を着けてゐた。；元禄年間頃には木綿が一般に普及し、大規模な木綿問屋も生まれていった。；茶碗をそこで、白い木綿の布で拭うのだが、これにも一定の方法があった。；お父さんはお前、この年になるまでずっと木綿の寝衣で通しておいでなすった。；この木綿の中には帆のような厚地の物もあればまた薄い物もある。；木綿の主な輸出国はアメリカ合衆国とアフリカ諸国である。；生地は、通常は木綿が使われるが、稀に絹が使われた事例も見られる。；うしろ姿でよくわからないが、落合は頭の半分を晒し木綿で巻いている。；木綿に糸がすこし入っていて私の一番好きな着物です。；木綿の着物を着てゐると云うて笑ふやうな友達とは一切附き合ふな。；クーティアラ圏はマリ共和国内で木綿の生産が最も多い中核地帯である。；南部の木綿の多くは北部の港を経由して輸出された。；木綿ちゃんが寝ないうちはだれも寝られないのである。</t>
        </is>
      </c>
      <c r="J8403">
        <f>HYPERLINK("https://www.weblio.jp/content/木綿", "词义详情")</f>
        <v/>
      </c>
      <c r="K8403">
        <f>HYPERLINK("https://yourei.jp/木綿", "查看例句")</f>
        <v/>
      </c>
    </row>
    <row r="8404">
      <c r="A8404" t="inlineStr">
        <is>
          <t>股/腿</t>
        </is>
      </c>
      <c r="B8404" t="inlineStr">
        <is>
          <t>无结果</t>
        </is>
      </c>
      <c r="H8404" t="n">
        <v>0</v>
      </c>
      <c r="J8404">
        <f>HYPERLINK("https://www.weblio.jp/content/股/腿", "词义详情")</f>
        <v/>
      </c>
      <c r="K8404">
        <f>HYPERLINK("https://yourei.jp/股/腿", "查看例句")</f>
        <v/>
      </c>
    </row>
    <row r="8405">
      <c r="A8405" t="inlineStr">
        <is>
          <t>桃</t>
        </is>
      </c>
      <c r="B8405" t="inlineStr">
        <is>
          <t>成功</t>
        </is>
      </c>
      <c r="C8405" t="inlineStr">
        <is>
          <t>読み方：とう
［常用漢字］　［音］トウ（タウ）（漢）　［訓］もも
〈トウ〉木の名。モモ。「桃花・桃李(とうり)／白桃」
〈もも〉「桃色／山桃」
［難読］胡桃(くるみ)・桜桃(さくらんぼ)・桃花鳥(とき)・梅桃(ゆすらうめ)・山桜桃(ゆすらうめ)</t>
        </is>
      </c>
      <c r="D8405" t="inlineStr">
        <is>
          <t>桃畑；桃月；桃金嬢；桃綺；桃音</t>
        </is>
      </c>
      <c r="E8405" t="inlineStr">
        <is>
          <t>桜；ピンク；ローズ；桃色；モモ</t>
        </is>
      </c>
      <c r="F8405" t="inlineStr">
        <is>
          <t>名胡桃；袖桃；大きな桃；緋桃；桃髪</t>
        </is>
      </c>
      <c r="G8405" t="inlineStr">
        <is>
          <t>桃子；桃山；桃太郎；桃井；桃花</t>
        </is>
      </c>
      <c r="H8405" t="n">
        <v>29</v>
      </c>
      <c r="I8405" t="inlineStr">
        <is>
          <t>彼は桃か桜か、そのひと枝を大事に守っていなければ気が済まなかった。；この時早明浦ダムの直上流に計画されていた桃ヶ谷ダム計画は廃止された。；だけどいつでもオレはジョージアにいて、平和のために桃を食べるのさ。；おばあさんがその桃を持って帰ると、中から元気な男の子が出てきた。；これは桃に砂糖をかける話からその歴史に疑ひを持つた私ひとりの内しよ話。；これは他の二人の功績とは比べようもなく、桃を取るのに相応しいと言える。；しかし後に桃の木の棒で撲殺することに成功し、羿を殺害してしまう。；桃は中国では仙木とも呼ばれ、邪気を払う呪力があると考えられていた。；メリンスの帯が桃の花と対照してその娘を一そう可憐に美しく見せた。；そこへ九州から転校してきたばかりの泊桃太がメンバーに加えられてしまった。；ピーチ・ブランデーで有名だったため、桃の果樹園の再生を試みている。；その上に大なる桃樹あって、その枝が横にはびこり、三千里の間にわたる。；看板などに描かれる店舗のマークには桃を使用している。；列女・王桃と妹の王悦は漢末の時の人で、共に笄年を超え未婚であった。；地名の由来は、開発を行う丘陵地が桃の栽培地であったことから。；そんな不思議な桃・もも蔵の前に、くり犬という、犬の様な栗が現れた。；本作監督の谷口恒平が監督賞、撮影の金碩柱が桃熊・技術賞を受賞した。；それ以前にアメリカ愛国婦人会が桃の植樹を行なったが水不足で失敗した。；夕暮妻が桃の花を買ひに行つたあとでK子が大あばれをして僕を困らせる。；この給水塔は外観が桃の形に似ており、美観と実用性を兼ね備えている。；それは桃の実と、その上に生えてゐるちよつと目に見えないやうな毛とのやうなものだ。；老人は激しい勢いで桃を問い詰め、その果てにはれんにまで暴力を働く。；さあ、一面の桜と、咲乱れた桃の中、雪洞の灯で見たその時の美しさ。；吉見の桃畑も今では昔のやうにおいしい水蜜を作らないのかと思ふ。；勝負服の柄は中島が使用していた黒、桃鋸歯形を受け継いで使用していた。；日本には椿と桃より濃い色の春の花はなかつたやうに思はれる。；当地の周辺地域では、米や桃に関しては現在も盛んに栽培されている。；一人の少年と虫の仲間達が巨大な桃に乗ってニューヨークを目指す冒険物語である。；会社のマークには桃とその下に左向きの矢が描かれている。</t>
        </is>
      </c>
      <c r="J8405">
        <f>HYPERLINK("https://www.weblio.jp/content/桃", "词义详情")</f>
        <v/>
      </c>
      <c r="K8405">
        <f>HYPERLINK("https://yourei.jp/桃", "查看例句")</f>
        <v/>
      </c>
    </row>
    <row r="8406">
      <c r="A8406" t="inlineStr">
        <is>
          <t>燃やす</t>
        </is>
      </c>
      <c r="B8406" t="inlineStr">
        <is>
          <t>成功</t>
        </is>
      </c>
      <c r="C8406" t="inlineStr">
        <is>
          <t>読み方：もやす
［動サ五（四）］
１燃えるようにする。燃す。「落ち葉を—・す」
２感情や意欲で心を高ぶらせる。「闘志を—・す」
[可能]もやせる</t>
        </is>
      </c>
      <c r="D8406" t="inlineStr">
        <is>
          <t>燃やすべき；燃やすよう命じ；燃やす天使たち</t>
        </is>
      </c>
      <c r="E8406" t="inlineStr">
        <is>
          <t>燃える；焼く；焼却；焼ける；焚く</t>
        </is>
      </c>
      <c r="H8406" t="n">
        <v>29</v>
      </c>
      <c r="I8406" t="inlineStr">
        <is>
          <t>この作戦ではアラバマ大学の建物の大半を燃やした部隊を指揮していた。；なにも言わないで、あたしが庭で周郎さんの写真を燃やすのを眺めていた。；サン・フェルミン祭の終わりには巨大人形に火がつけられて燃やされる。；クリスチャンは3つの放棄された集落を燃やすだけでその作戦を終えた。；その後、境内で火を燃やしてそのあとを歩いて通る火渡りを行っている。；しかし彼女の心のなかでは燃やす種もないのに消えやらぬ炎が燃え続けていた。；ヴェネツィア政府は町を燃やしたり破壊する命令を系統的に出していた。；また、かつて通った道に家が建っていれば、その家は燃やされてしまう。；ただ燃やしているチラチラ見える中には、英語の物もあったと思います。；そこから政府などが罪としたものを燃やす物を指すようになった。；きっと最後に残った薪を燃やすように、少しだけ愉快になるだろうから。；燈油を使わず、松の根を刻んで燃やすのを明かりにしているからである。；川原には焚き上げの場所が設けられて、古い人形などが燃やされていた。；かれは目のなかに地獄の炎を燃やして、身体をぶるぶるふるわせている。；死の後には抜け殻となった肉の塊を燃やす儀式をすることしか知らない人々。；うちが使わなければ、いずれは外で燃やされてしまうような木ばかりである。；鮮花が燃やす事以外できないように、彼は言語を口にする事しかできない。；彼女のために、三本の太い枝を、焚火の片側にまとめて燃やしておいた。；やはり、強い者に憧れを抱き、対抗心を燃やすのが兵士の常なのだろう。；そこでは、ごみを処分するために火が燃やされ続け、悪臭を放っていた。；真実をお話ししている証拠に、これから燃やしてしまおうと思うんです。；瞳を窓口にして飛び込んで来た映像は全霊を支配して恋心の火を燃やす。；延之はこの評価に不満を抱き、ことあるごとに阮韜に対抗心を燃やした。；通常は救急医療のためにまず利用され、その車両火災訓練で燃やされる。；彼等は絶対に引き返さないようにするため、到着した海岸で船を燃やした。；研究の内容を知る者が、あれほど大事なものを燃やすはずがないと言っていた。；その電力のために、石油だか石炭だかがより多く燃やされるんだろうな。；あなたのおかげで、残っていた生命力のすべてを燃やすことができました。；着ている物は、あの怪物を追い払うために全部燃やしてしまったのだ。</t>
        </is>
      </c>
      <c r="J8406">
        <f>HYPERLINK("https://www.weblio.jp/content/燃やす", "词义详情")</f>
        <v/>
      </c>
      <c r="K8406">
        <f>HYPERLINK("https://yourei.jp/燃やす", "查看例句")</f>
        <v/>
      </c>
    </row>
    <row r="8407">
      <c r="A8407" t="inlineStr">
        <is>
          <t>模様</t>
        </is>
      </c>
      <c r="B8407" t="inlineStr">
        <is>
          <t>成功</t>
        </is>
      </c>
      <c r="C8407" t="inlineStr">
        <is>
          <t>読み方：もよう
１織物・染め物・工芸品などに装飾として施す種々の絵や形。また、ものの表面にあらわれた図形。文(あや)。文様。「美しい—の木目」「幾何学的な—」
２物事のありさま。ようすや経過。「現場から事件の—をお伝えします」
３現時点で推測される状況。「列車は遅れる—だ」
４手本。模範。
「そもそも禅宗の—とするところは宋朝の行儀」〈太平記・二四〉
５身ぶり。所作。
「若衆に茶のたてやうを教ゆべしと、自ら茶をたつる—をなして」〈驢鞍橋・下〉
６名詞の下に付いて、それらしいようすであることを表す。「雨—」「荒れ—」</t>
        </is>
      </c>
      <c r="D8407" t="inlineStr">
        <is>
          <t>模様入り；模様変え；模様小袖；模様硝子；模様画</t>
        </is>
      </c>
      <c r="E8407" t="inlineStr">
        <is>
          <t>様子；デザイン；空気；気配；雰囲気</t>
        </is>
      </c>
      <c r="F8407" t="inlineStr">
        <is>
          <t>筋模様が入る；斑模様；絵模様；網目模様；格子模様</t>
        </is>
      </c>
      <c r="G8407" t="inlineStr">
        <is>
          <t>模様がえ；模様替</t>
        </is>
      </c>
      <c r="H8407" t="n">
        <v>29</v>
      </c>
      <c r="I8407" t="inlineStr">
        <is>
          <t>顔はくちばしから目に向かって黒の筋が横切ったような模様をしている。；黒色の毛に覆われており、たいていは胸・腰のあたりに白い模様がある。；帰阪の模様を中継したほか、同番組スタジオへの帰還の模様を放送した。；肩に乗るなどして操作するが、多少は離れても動かすことはできる模様。；リ・ガズィとの複数運用も期待されたようだが、実現はしなかった模様。；わたくしは殺されてもようございますから、母の命をお助け下さいまし。；カーニバル後にはその年の模様を収めたビデオテープも発売されている。；しかし絹織物などで意図的に美しい模様を発生させて用いる例もある。；行ったライブの内幾つかの模様は『千両箱』シリーズに収録されている。；それを焼いた鰆へかけて出しますが外のお魚へかけてもようございます。；打ち上げの模様がはじめて中継放送され、自信の程を世界にあらわした。；司令部へ向かう途中にアレクセイは初めて前線部隊の閲兵の模様を見た。；でも出発するまえに、あなたの武装のもようを念のために見せてください。；住友重機械工業の撤退により、国内生産ではなく輸入になる模様である。；これでネクセン出身の選手が再び勝負操作にかかわったもようになった。；この模様は日本での新聞などで取り上げられ、世界のメディアでも紹介された。；これらは空中での艦隊戦の他に、都市への爆撃などにも使用されている模様。；あなたのことを話しましたところが、ひどく気に入ったもようなのです。；喉から目の前後に白い帯模様、後頭部から目に向かっても白い帯模様がある。；番組は、セレッソ大阪の前週末の試合や練習の模様をリポートしていた。；この模様は映像として記録されており、事故の悲惨さを現在に伝えている。；また、相手国との間に問題がなければパタリロもそれを黙認している模様。；この私ときちゃ、自分の左手と右手の区別もようつかん男だからね。；イベントの模様は参加している各番組の中で放送された。；吉田の初収録の模様は2004年最後の放送の本番組内で公開されている。；これは小説を書く気分とごく近いものなので、そのためにもようございます。；このような適応は現生鳥類の卵の色や模様の起源を表している事を示している。；この時の台風の模様は撮影され、ストーリー上急遽役割が与えられた。；その模様を録音したカセットテープがあり、冒頭には以下の発言があった。</t>
        </is>
      </c>
      <c r="J8407">
        <f>HYPERLINK("https://www.weblio.jp/content/模様", "词义详情")</f>
        <v/>
      </c>
      <c r="K8407">
        <f>HYPERLINK("https://yourei.jp/模様", "查看例句")</f>
        <v/>
      </c>
    </row>
    <row r="8408">
      <c r="A8408" t="inlineStr">
        <is>
          <t>催し</t>
        </is>
      </c>
      <c r="B8408" t="inlineStr">
        <is>
          <t>成功</t>
        </is>
      </c>
      <c r="C8408" t="inlineStr">
        <is>
          <t>読み方：もよおし
１人を集めて興行・会合などをすること。また、その興行・会合など。催し物。「歓迎の—を開く」
２人をうながすこと。催促。
「殿の御心とおぼし立ちたるか。御—か」〈宇津保・蔵開下〉
３物事を誘い出すもととなるもの。誘因。
「女院には待ちつけきこえさせ給ひて、いとどしき—なり」〈栄花・着るはわびしと嘆く女房〉</t>
        </is>
      </c>
      <c r="D8408" t="inlineStr">
        <is>
          <t>催しまし；催しごと；催し会場；催しそうな悪寒；催しけれ</t>
        </is>
      </c>
      <c r="E8408" t="inlineStr">
        <is>
          <t>行事；催し物；催物</t>
        </is>
      </c>
      <c r="F8408" t="inlineStr">
        <is>
          <t>文化的催し；各種催し；こういう催し；さまざまな催し；特別な催し</t>
        </is>
      </c>
      <c r="G8408" t="inlineStr">
        <is>
          <t>催しもの；催し事</t>
        </is>
      </c>
      <c r="H8408" t="n">
        <v>29</v>
      </c>
      <c r="I8408" t="inlineStr">
        <is>
          <t>これはミシガン州の都市でスポーツ関連の催しが最も多い事に由来する。；いくつかの町は、地元の伝統に関係する催しで歴史的な事件の再現も行う。；また、1階にイベントスペースが設けられ様々な催しが開催可能である。；ヨーロッパ最大の競走の一つで、国際的に著名なスポーツの催しである。；徳島県内と周辺各県のイベントや催し、募集などの情報を提供していた。；さらに注目すべきは、子供のための催しを月に何度も行っていることである。；その他にも、市での催し等がある場合ごく希に走行することがあった。；催しが開かれる時には多くの国際的な学者や研究者がアテネに集まる。；合宿企画では各部屋に分かれてSFに関連した様々な催しが行われる。；また藩主は家臣たちにも使用の許しを与え、家臣たちも茶会を催した。；元々は創立50周年イベントで当時の3年生が催したものが起源である。；そうした催しは近い時期に購入した収蔵品や記念日にちなむことが多い。；ノヴィ・サド・シナゴーグでも数多くの街の文化的催しが行われている。；以前は演芸などの催しでにぎわったが、現在では神事のみ行われている。；改修された市立ホール、特にその大ホールでは多くの催しが開催されている。；近年では、観光客が曳山を曳く体験ができる催しも行われることが多い。；この催しは元々教会祭であったが、北ドイツで最も重要な馬市に発展した。；一方、町境では通常の挨拶以外にも様々な催しが行われている。；同種の催しとして都市トーナメントが都市の富裕な若者の間で開かれた。；芸能のみならずセミナーや、事業の会議などの催しに貸し出されている。；仮面舞踏会は非常に絵になる催しであるため、文学や音楽の題材となってきた。；この他、小グループの活動報告や関連した小規模の催しが行われることもある。；また生徒会と放送部が連動して有志発表などの企画を催したりもする。；こけら落としは、新たに建てられた劇場で初めて行われる催しのことである。；戦後の何も無い時代に手作りで行事を作り上げようと企画された催し。；国連加盟国以外にも、数々のNGOが水に関連した活動を催している。；この他、60のサークルや協会が行う多彩な催しが年中開催されている。；この日の公的な催しはパレードやアメリカンフットボールの試合である。；自宅や茶屋で囲碁会を催しており、五・一五事件の時も対局中であった。</t>
        </is>
      </c>
      <c r="J8408">
        <f>HYPERLINK("https://www.weblio.jp/content/催し", "词义详情")</f>
        <v/>
      </c>
      <c r="K8408">
        <f>HYPERLINK("https://yourei.jp/催し", "查看例句")</f>
        <v/>
      </c>
    </row>
    <row r="8409">
      <c r="A8409" t="inlineStr">
        <is>
          <t>催す</t>
        </is>
      </c>
      <c r="B8409" t="inlineStr">
        <is>
          <t>成功</t>
        </is>
      </c>
      <c r="C8409" t="inlineStr">
        <is>
          <t>読み方：もよおす
［動サ五（四）］
１人を集めて行事などを行う。開催する。「送別の宴を—・す」
２そういう気持ちにさせる。かきたてる。さそう。また、物事が起ころうとする兆候を見せる。きざす。「涙を—・す」「あわれを—・す」「吐きけを—・す」「眠けを—・す」
３小便や大便がしたくなることを婉曲にいう語。
４せきたてる。催促する。
「煩悩には絶えず—・され」〈倉田・出家とその弟子〉
「東の院、急ぎ作らすべきよし、—・し仰せ給ふ」〈源・澪標〉
５人を呼び集める。召集する。
「一門の人々にも触れ申せ。侍ども—・せ」〈平家・二〉
６手はずを整える。準備する。
「あるべき事どもなど、こちたきまで—・しおかれ」〈増鏡・むら時雨〉
[可能]もよおせる</t>
        </is>
      </c>
      <c r="D8409" t="inlineStr">
        <is>
          <t>催す臭い</t>
        </is>
      </c>
      <c r="E8409" t="inlineStr">
        <is>
          <t>する；思う；持つ；行う；受ける</t>
        </is>
      </c>
      <c r="H8409" t="n">
        <v>29</v>
      </c>
      <c r="I8409" t="inlineStr">
        <is>
          <t>この他、ホテル主催・共催で催される各種イベントの会場となっている。；その後、参拝者が多く訪れ年二回の祭りは盛大に催されるようになった。；夏にはホタルの観察会も催されていたが2011年以降中止となっている。；それからしばらくして、映画の公開にあわせて二葉のコンサートが催された。；いわゆる、春情相催す年頃にならねば、真の味が出てこないものである。；樺山侯爵家で、一年に一度必ず催すことになっているお祝いの夜だった。；注意 リンク先の画像は一部の方に不快感を催させることがあります。；ただし、このような宴が催されたのは1927年が最後と伝えられている。；この町では毎年アウステルリッツの戦いを再現するイベントが催されている。；森の近くの村では便意を催すと森に入り、排泄のために適切な場所を探した。；そんな聞いた事もない他人の話で、どうしてここまで、吐き気を催すのか。；進水式の場合はそれがたとえ量産型の船舶であっても必ず一隻ごとに催す。；夏は夜になると宮殿内で交響コンサートや音楽祭などのイベントが催される。；参加神社ごとに細部は異なるが、祭事はおおよそ以下の流れで催される。；オラナーはひとに不快感を催させるため、研究所には人が入れなくなった。；胎盤と臍帯の画像不快感を催す恐れがあるため閲覧にはご注意ください。；ことに二条城あたりでの右往左往ぶりは見ていて哀れを催すほどでしたわ。；近年では日本でもドイツ風のクリスマスマーケットが催されることがある。；今夜は仮面舞踏会を催すのだと言って、夫は吸血鬼の面を持って出て行った。；日本のみならずドイツ・イスラエル・韓国・中国などで展覧会が催されている。；なお、この際多数の隼人を殺したことから放生会を催すようになったという。；本項では特にホテルで催される歌手のディナーショーについて説明する。；今大会より電聖戦が催されるようになり、開催時期も変更となった。；地元の品川神社で催されたのど自慢大会には毎回姉妹で参加していた。；一部の学校の数学科ではこの日にパーティーが催されることもある。；我々は平和を正義化することの不自然さにいささか怒りを催す時が多いのである。；また戦前と同様の毎水曜日に加え、毎土曜日にも衛兵交代式が催された。；聞く者があったなら、その声の気持ち悪さに寒気すら催すだろう。；死と敗北のさなかに、皇帝は幕僚たちに大晩餐会を催そうとしていた。</t>
        </is>
      </c>
      <c r="J8409">
        <f>HYPERLINK("https://www.weblio.jp/content/催す", "词义详情")</f>
        <v/>
      </c>
      <c r="K8409">
        <f>HYPERLINK("https://yourei.jp/催す", "查看例句")</f>
        <v/>
      </c>
    </row>
    <row r="8410">
      <c r="A8410" t="inlineStr">
        <is>
          <t>最寄り</t>
        </is>
      </c>
      <c r="B8410" t="inlineStr">
        <is>
          <t>成功</t>
        </is>
      </c>
      <c r="C8410" t="inlineStr">
        <is>
          <t>読み方：もより
すぐ近くのあたり。付近。「—の交番に届ける」</t>
        </is>
      </c>
      <c r="D8410" t="inlineStr">
        <is>
          <t>最寄りインターチェンジ(5%)；最寄り停留所(5%)；最寄りバス停留所；最寄りic；最寄り空港</t>
        </is>
      </c>
      <c r="E8410" t="inlineStr">
        <is>
          <t>最寄りの；最寄</t>
        </is>
      </c>
      <c r="F8410" t="inlineStr">
        <is>
          <t>当駅最寄り；最寄り電停；最寄りの大きな街；最寄りの大きな都市</t>
        </is>
      </c>
      <c r="G8410" t="inlineStr">
        <is>
          <t>最寄り品</t>
        </is>
      </c>
      <c r="H8410" t="n">
        <v>29</v>
      </c>
      <c r="I8410" t="inlineStr">
        <is>
          <t>「市高」の愛称で知られており、最寄のバス停にも取り入れられている。；最寄りの主要駅への接続にはバスまたはタクシーが必要である。；最寄り停留所は、桜通と江川線の交差点付近にある国際センターである。；地区内を通る鉄道は存在せず、地区外にも最寄りとなる鉄道駅は存在しない。；当駅最寄りの中学校・高等学校が多く、朝夕は多くの学生が利用する。；また天祖若宮八幡宮も最寄りで公園とともに武蔵野の緑を形成している。；二軍戦やアマチュア野球では最寄の係員に返却することが一般的である。；バスを利用する場合、以下の方法で最寄のバス停で降車することができる。；最寄の駅まで歩く道の途中に、河川敷を利用したグラウンドがあった。；町域内には空港は所在しておらず、最寄りの空港は鹿児島空港である。；最寄の都市はチャンググであり、公園から西へ54 kmの場所にある。；当初はバス路線が殆ど皆無で、最寄の駅も徒歩10分以上の所にあった。；エレベーターでは地震を感知して最寄り階に停止する機能が設置時の標準となっている。；春日地区には鉄道は通っておらず、清洲駅または稲沢駅が最寄りとなる。；本土のドゥブロヴニク空港が、国外から来た場合の最寄りの空港となる。；そのため、こちらへ行く最寄りのバス路線は当園へ向かう路線とは異なる。；駅南口から徒歩2分ほどの所にあり、これが当駅最寄りの停留所である。；電車は最寄のベルリン動物園駅で停車し、彼はすぐさま病院へと運ばれた。；市の南の郊外にあるラフィク・ハリリ国際空港が最寄り空港である。；川崎市宮前区の商業の中心だが、区役所は隣の宮前平駅が最寄りである。；鉄道でのアクセスの場合、六名駅が最寄りとなるが、やや距離がある。；住民が高速道路を利用する際は、谷田部インターチェンジが最寄となる。；町内に鉄道は通っておらず、隣接する十日町市内の駅が最寄りとなる。；最寄りの町「」から名を採ったによって形成された地形の一つである。；どうか、それぞれ最寄の方々からよろしくお伝へを願ひたいのであります。；位置関係上、区域外に設置されている停留所が最寄になるエリアもあるが省略。；世界三大瀑布の一つとして知られるイグアスの滝の最寄の空港のひとつ。；南部地域は市内にも地名がある馬込沢駅が最寄りとなる場合もある。；建設中のリニア新幹線の駅の最寄りICになることが見込まれている。</t>
        </is>
      </c>
      <c r="J8410">
        <f>HYPERLINK("https://www.weblio.jp/content/最寄り", "词义详情")</f>
        <v/>
      </c>
      <c r="K8410">
        <f>HYPERLINK("https://yourei.jp/最寄り", "查看例句")</f>
        <v/>
      </c>
    </row>
    <row r="8411">
      <c r="A8411" t="inlineStr">
        <is>
          <t>もらう</t>
        </is>
      </c>
      <c r="B8411" t="inlineStr">
        <is>
          <t>成功</t>
        </is>
      </c>
      <c r="C8411" t="inlineStr">
        <is>
          <t>読み方：もらう
［動ハ四］《動詞「守(も)る」の未然形に反復継続の助動詞「ふ」がついて一語化したもの》じっと見つめている。うかがっている。
「此の瓜食らふを—・ひ居たり」〈今昔・二八・四〇〉</t>
        </is>
      </c>
      <c r="D8411" t="inlineStr">
        <is>
          <t>もらうしかない；もらうべき；もらうべく；もらうよう頼ん；もらうつもりです</t>
        </is>
      </c>
      <c r="E8411" t="inlineStr">
        <is>
          <t>受ける；得る；取る；受け取る；貰う</t>
        </is>
      </c>
      <c r="F8411" t="inlineStr">
        <is>
          <t>教えてもらう；見てもらう；来てもらう；知ってもらう；行ってもらう</t>
        </is>
      </c>
      <c r="H8411" t="n">
        <v>29</v>
      </c>
      <c r="I8411" t="inlineStr">
        <is>
          <t>もしこのチームで不可能なら僕の代わりにいい選手を獲ってもらいたい。；現在でも購入時に希望すればノコギリ型のナイフをもらうことができる。；原爆ドーム前にホテルがあって許可をもらってそこから撮影したという。；日々なにげないことで幸せを感じる瞬間・体験を送ってもらうコーナー。；この手紙を投函するには伯爵に持って行ってもらわねばならないのです。；親からもらったラジオや懐中電灯などの壊れた機器をよく修理していた。；目的は施設で生活している子供に家庭的な雰囲気を味わってもらうこと。；これを説明するのは簡単ではないが、多くの人に理解してもらいたい。；また父親も実は、娘には歌手ではなく画家になってもらいたかったという。；「世界のニュースを聞かせてもらおうと思っていたのだが」彼はいった。；家からは妻の手紙が来て、早く帰ってもらわないと困る、と言ってきた。；ベストタイムを叩き出すも、なぜか選出してもらうことができなかった。；海外の人気番組に本番組の企画に協力してもらうことも過去にあった。；好意を受けてもらおうと思ったことにも無関心でおいでになるのですね。；もうすこし待ってみて帰って来なければ、警察に頼んで捜してもらおう。；人に半裸になって手に枝を持ってもらい、趙公明の様子を演じてもらう。；人に半裸になって手に枝を持ってもらい、趙公明の様子を演じてもらう。；この旗を掲げた船は村上水軍に他の海賊などから守ってもらえたそうだ。；この本に認めてもらうようなデザインをしようと思うようになる。；晩年はTVスペシャルの製作に呼んでもらえないことが気になっていた。；誰かに同意してもらわなければ、頭がおかしくなってしまいそうだった。；僧侶や神官などに適当につけてもらうということもあったが例は少ない。；ひどいときには乗客に後ろから押してもらうようなこともあった。；既に多数の避難者がいる内部から、鍵を開けてもらわなければならない。；無事なうちに、彼らにはこの区域から退去してもらわなければならない。；猫に助けてもらってばかりだと、魔女の成長はおそくなるルールである。；かつて言語を研究していた父にラテン語の準備をしてもらってから入学した。；宅へ電話をかけてもらおうかと思ったがまあ急く事はないと思ったりした。；僕としても、彼女に信用してもらわなければ困る事情があるわけではない。</t>
        </is>
      </c>
      <c r="J8411">
        <f>HYPERLINK("https://www.weblio.jp/content/もらう", "词义详情")</f>
        <v/>
      </c>
      <c r="K8411">
        <f>HYPERLINK("https://yourei.jp/もらう", "查看例句")</f>
        <v/>
      </c>
    </row>
    <row r="8412">
      <c r="A8412" t="inlineStr">
        <is>
          <t>漏らす</t>
        </is>
      </c>
      <c r="B8412" t="inlineStr">
        <is>
          <t>成功</t>
        </is>
      </c>
      <c r="C8412" t="inlineStr">
        <is>
          <t>読み方：もらす
［動サ五（四）］
１液体などを漏れるようにする。こぼす。「水も—・さぬ備え」
２秘密や隠していることを知らせる。「秘密を—・す」
３心中の思いを口に出していう。また、感情を思わず表情や声に出す。「本音を—・す」
４必要な事柄をぬかす。落とす。「必要事項には—・さず記入する」
５とり逃がす。「一匹も—・さず捕まえる」
６（動詞の連用形に付いて）必要なことをし忘れる。「言い—・す」「聞き—・す」
[可能]もらせる</t>
        </is>
      </c>
      <c r="D8412" t="inlineStr">
        <is>
          <t>漏らすことなく；漏らすまい</t>
        </is>
      </c>
      <c r="E8412" t="inlineStr">
        <is>
          <t>いう；言う；出す；公開；云う</t>
        </is>
      </c>
      <c r="F8412" t="inlineStr">
        <is>
          <t>討ち漏らす</t>
        </is>
      </c>
      <c r="H8412" t="n">
        <v>29</v>
      </c>
      <c r="I8412" t="inlineStr">
        <is>
          <t>マダムはまた、二人の間の秘密を決して人に漏らすことはないであろう。；呻きを漏らして蹲るその男を放っておき、私は残りの一人に銃を向けた。；主人公の躾役を担当していた為か、今でも時々小言を漏らすことがある。；一人の踊子が殺された、彼女が私に犯罪計画を漏らすのを防ぐためにね。；また、近隣への騒音防止のため内部の音を外に漏らさない設計でもある。；しかし京一は、大きく息を漏らすと、また安定した様子に戻っていった。；そういう情報を漏らさないように、こんな仕様になってるんだからさ。；それが、彼が小気味よい皮肉を漏らす時の癖であることを皆は知っていた。；バンドはあまりにもツェッペリンと比較されることに不満を漏らしている。；しかし恭二はそれがまるで目に入らない様子で、わななく声を漏らした。；委員は職を引いた後でも、職務上に知った秘密を漏らしてはならない。；酒乱で皆に恐れられる乱暴者が恐怖で小便を漏らしてしまったのである。；しかし彼はそうした希望を漏らすことが結構効果的なのではないかと期待していた。；真九郎は首だけで後ろを振り返り、背中で静かな寝息を漏らす紫を見た。；こういう研究をしていたとき、森先生が、ふと漏らされた言葉がある。；舌の先が出てきてオシッコを漏らし始めてやっと手をはなすのである。；新7年生の中には「中学生になりたかった」と漏らす生徒もいたという。；水も漏らさぬとはこのことだろうと思えるような報告書でした。；「アア、気がつかれましたか」伯爵は得意の微笑を漏らしながら答えた。；胸を満たしていた空気を、気づかれないように少しずつ鼻から漏らす。；特にどんな商売上の秘密も漏らさないことを、約束したように思う。；その所属立場はどんな形であるにせよ、他に漏らすわけにはいかなかった筈だ。；画家が部屋から引き戻され、彼女が秘密を漏らしたことを激しくなじる。；彼はこうした将校との会話から得た軍事情報を漏らさずGRUへと伝えた。；お打ち明けになったところで、傍へ漏らすような人間じゃありません。；仲間を裏切ったり、組織の秘密を漏らしたのがバレたら、もう大変だよ。；だが秘密を漏らしたのが人間でないとしたら話は違ってくる。；秘密を漏らしたら消してしまうというのは、契約を取り結んでからです。；いまここで、銀次を敵に回して秘密を漏らされるのは得策ではなかった。</t>
        </is>
      </c>
      <c r="J8412">
        <f>HYPERLINK("https://www.weblio.jp/content/漏らす", "词义详情")</f>
        <v/>
      </c>
      <c r="K8412">
        <f>HYPERLINK("https://yourei.jp/漏らす", "查看例句")</f>
        <v/>
      </c>
    </row>
    <row r="8413">
      <c r="A8413" t="inlineStr">
        <is>
          <t>森</t>
        </is>
      </c>
      <c r="B8413" t="inlineStr">
        <is>
          <t>成功</t>
        </is>
      </c>
      <c r="C8413" t="inlineStr">
        <is>
          <t>読み方：しん
［音］シン（呉）（漢）　［訓］もり
［学習漢字］1年
〈シン〉
１もり。「森林」
２物が多く並ぶ。「森羅万象」
３静まりかえるさま。「森閑・森厳」
〈もり〉「森番」
［名のり］しげ・しげる</t>
        </is>
      </c>
      <c r="D8413" t="inlineStr">
        <is>
          <t>森写歩朗；森田森；森番；森先生；森君</t>
        </is>
      </c>
      <c r="E8413" t="inlineStr">
        <is>
          <t>林；森林；樹林；森林地帯；林地</t>
        </is>
      </c>
      <c r="F8413" t="inlineStr">
        <is>
          <t>暗い森；小さな森；大きな森；黒い森；広大な森</t>
        </is>
      </c>
      <c r="G8413" t="inlineStr">
        <is>
          <t>森田；森下；森本；森川；森山</t>
        </is>
      </c>
      <c r="H8413" t="n">
        <v>29</v>
      </c>
      <c r="I8413" t="inlineStr">
        <is>
          <t>その日、アーサー王は馬に乗って考えているうちに森に入ってしまった。；ふたりは生まれてから来たこともないほど森の奥に連れて行かれた。；プー・パンと呼ばれる山が県の西部にあり、山は厚い森に覆われている。；失望から学校に行かなくなり、近所の森や山で時間を潰す日々を送った。；すると森の方から兎が飛んできて切り株に首をぶつけて死んでしまった。；二人は森へ隠れ、マルク王に発見されるまでの日々をそこで過ごした。；そんな夜、お母さんは木こりに子供を森の中に捨ててくるように提案する。；ビーバーが環境を大きく変えることで多くの命を森に呼び込んでいる。；この森の大きなオークの木のいくつかには愛称がつけられている。；実際に周辺はプランテーションされたアブラヤシの森に囲まれている。；川島は政界入りした当初は森恪と、森の死後は前田と行動をともにした。；馬に乗って草原や森などを散歩するツアーもさかんに行われている。；獲物を追っているうちに、家来たちから離れ、森の中で迷ってしまった。；地方の豪族が築いた、大陸の南西に位置する森と湖に囲まれる自然豊かな王国。；は監督が森から東尾修に交代、野球観の違いもあって伸び悩むようになる。；森の中で見つけた絵の中に迷い込み、そこから脱出するというストーリー。；そしてトゥーリンに助けられた森の民の娘からついに足がかりを得たのである。；次に南下した彼らは木に覆われた陸地を見つけ、「森の国」と名づけた。；すなわち、森の中に逃がしたり、あるいは殺したりは絶対にできない。；区分論において近年とりわけ注目されたのは森博達による分析である。；森の向こうに住んでいる祖母の家へ向かう途中、カーバンクルと遭遇。；この検討会議が終わると、森は「成功疑いない」と宣言したという。；森が作った教育制度や進学体系はその後も改正・追加を繰り返しながら多様化していった。；森軍は松本に到着すると人質を残らず処刑し木曽谷方面へと撤退した。；また、森の部分の模様の中に、namcoのロゴが隠れている箇所がある。；身の危険を感じた時、森の中でじっとして身を隠そうとした。；森はこの言葉を聞いて、全身に力がみなぎるのを感じたという。；森の中のお化け対策をしながら、活動するというのは、くたびれること。；埋葬後に墓石等は与えられなかったため、森のどこに埋められているのかは不明である。</t>
        </is>
      </c>
      <c r="J8413">
        <f>HYPERLINK("https://www.weblio.jp/content/森", "词义详情")</f>
        <v/>
      </c>
      <c r="K8413">
        <f>HYPERLINK("https://yourei.jp/森", "查看例句")</f>
        <v/>
      </c>
    </row>
    <row r="8414">
      <c r="A8414" t="inlineStr">
        <is>
          <t>盛り上がる</t>
        </is>
      </c>
      <c r="B8414" t="inlineStr">
        <is>
          <t>成功</t>
        </is>
      </c>
      <c r="C8414" t="inlineStr">
        <is>
          <t>読み方：もりあがる
［動ラ五（四）］
１盛ったように高くなる。「水面が—・る」「—・った筋肉」
２気持ちや勢いがひときわ高まる。「世論が—・る」「ムードが—・る」「試合が—・る」</t>
        </is>
      </c>
      <c r="D8414" t="inlineStr">
        <is>
          <t>盛り上がる艦橋構造部</t>
        </is>
      </c>
      <c r="E8414" t="inlineStr">
        <is>
          <t>負ける；賑わう；赤くなる；膨らむ；本格化する</t>
        </is>
      </c>
      <c r="F8414" t="inlineStr">
        <is>
          <t>大きく盛り上がる；最も盛り上がる；高く盛り上がる；一番盛り上がる；やや盛り上がる</t>
        </is>
      </c>
      <c r="H8414" t="n">
        <v>29</v>
      </c>
      <c r="I8414" t="inlineStr">
        <is>
          <t>結局演劇も見に行かなかったけど、みんな盛り上がってる感じなのかな。；楽しい事というのは、待っている時の方が気分が盛り上がることもある。；お互いに恋愛談義が好きな者同士だ、よほど話も盛り上がったのだろう。；あの女、隣の席で別の男たちと盛り上がってこっちに来もしなかった。；僕たちはお互い初体験が車の中だったという話で一時間も盛り上がった。；同じ目を出すと他プレイヤーから絵を奪うことになるため、盛り上がる。；このふたつを与えれば勝手に盛り上がってくれる客相手に商売している。；まさか三十六にもなって、こんなことで盛り上がるとは思わなかった。；そうやって盛り上がったところで、さらにたたみ込んでこう言うんです。；この部活動の中でも一番生徒たちが盛り上がるのがフットボールである。；鐘の口を半分にしたように盛り上がっている上側のカーブだけが残った。；初めは盛り上がる提案をしてよかったと感じていた望美は急に不安になった。；正面の白く盛り上がった台地の向こうに、峡谷が大きく口を開けていた。；丘の地面はほとんど凹凸がなかったがその辺りだけ盛り上がっていた。；ほとんどは龍一の頭の中だけで盛り上がっていた架空の恋だったんだ。；また高さを確保するために、地上の道路は通路の位置だけ盛り上がっている。；後頭部が盛り上がった独特の形をしていることで、他種と区別できる。；このキーワードは、曲が盛り上がるサビの部分の歌詞に反映されている。；低く盛り上がった所の高い草の中に、私たちは並んで腰を下ろした。；中央4眼と両側の側眼2個はそれぞれ盛り上がった部分になっている。；本体部は傘の型を失い、中央がわずかに盛り上がるだけとなっている。；少なくとも由乃さんとはその点一致して、大いに盛り上がってしまった。；ただ、地元のバーで出会った女性を交えた酒盛りは大いに盛り上がった。；こうして盛り上がったブームに乗って大会が各地で多数開かれるようになる。；女人たちも緊張しているせいか無口で酒宴はどうしても盛り上がらない。；一緒に遊んだ記憶も、何か同じ話題で盛り上がったという記憶もない。；そして夕方近くに、周囲の沼地から盛り上がっている大きな島に接近した。；いやな役だが、盛り上がっているところに水をぶちまけることにした。；こういう場は多少の統一感を持たせたほうが盛り上がるだろう。</t>
        </is>
      </c>
      <c r="J8414">
        <f>HYPERLINK("https://www.weblio.jp/content/盛り上がる", "词义详情")</f>
        <v/>
      </c>
      <c r="K8414">
        <f>HYPERLINK("https://yourei.jp/盛り上がる", "查看例句")</f>
        <v/>
      </c>
    </row>
    <row r="8415">
      <c r="A8415" t="inlineStr">
        <is>
          <t>盛り上げる</t>
        </is>
      </c>
      <c r="B8415" t="inlineStr">
        <is>
          <t>成功</t>
        </is>
      </c>
      <c r="C8415" t="inlineStr">
        <is>
          <t>読み方：もりあげる
［動ガ下一］［文］もりあ・ぐ［ガ下二］
１盛って高くする。「土を—・げる」
２気持ちや勢い、その場の雰囲気、興趣などを高める。「反対運動を—・げる」「宴会を—・げる」</t>
        </is>
      </c>
      <c r="D8415" t="inlineStr">
        <is>
          <t>盛り上げるべく(2%)；盛り上げるのに一役</t>
        </is>
      </c>
      <c r="E8415" t="inlineStr">
        <is>
          <t>高める；重ねる；積む；高揚；強める</t>
        </is>
      </c>
      <c r="F8415" t="inlineStr">
        <is>
          <t>さらに盛り上げる；高く盛り上げる</t>
        </is>
      </c>
      <c r="H8415" t="n">
        <v>29</v>
      </c>
      <c r="I8415" t="inlineStr">
        <is>
          <t>また、米国の他の都市で行われている同様のイベントも盛り上げている。；自分たちの話を盛り上げるための要素がしょぼかったからじゃないのか?；ネタのつきたポルノ作家を盛り上げるのは担当編集者の仕事でもあった。；前評判を盛り上げるために40万ドルもの費用を掛けた宣伝が行われた。；後者は禁酒運動を全国的な規模で盛り上げるために企画されたものである。；パーティにいるとイベントに加わるなどしてゲームを盛り上げてくれる。；また、本作は盛り上げる場面に大ゴマが多用されているのが特徴である。；数百発の大型クラッカーを使うなどしてパレードの雰囲気を盛り上げる。；といってもそれはそれで華やかなお祭り気分を盛り上げることにもなるのだ。；池に浮かぶ満艦飾の舟も競馬を盛り上げるために用意されたものである。；高見沢俊彦はライブを盛り上げることを考えてこの曲を作ったという。；イラストを描く前には、自分の気持ちを高めて盛り上げるようにしている。；また洋楽が流れており、パーティ会場にいるゲストの気分を盛り上げる。；お前がどれだけ世界を盛り上げ、そしてそれに俺がどう巻き込まれるかを。；どう気持ちを盛り上げてみても、仕事に行き詰まっているのは変わらない。；小竜の自然環境を模して、周囲には温かい砂が高く盛り上げられている。；左を向いている人の口の大きさと舌を盛り上げる位置にチャートは対応している。；日本プロ野球では試合を盛り上げるために動物を用いる事があった。；日本の著名芸能人が大会を盛り上げており、イベント的な要素も強い。；いつも楽しい話でみんなを笑わせて、クラスを盛り上げるような子だった。；伝統的に歌手やバンドが祝儀に出演して盛り上げ音楽で感動を与える。；息が絶えると壁は更に高く盛り上げられ塞がれ、そこに二人は埋葬される。；だからこの記事を見た里村が取り巻きを盛り上げたかどうかは、わからない。；そして二人の恋のたのしみを常にいやがうえにもよく盛り上げていきました。；そこで女は一枚の皿を買って、その商人のところにあるものを全部盛り上げました。；また雪山という舞台も、心霊的な恐怖を盛り上げる要素の一つとなった。；人を盛り上げて引っ張っていく彼の魅力はその頃から変わらない。；上端の周囲はやや厚くなっているか、盛り上げてあるのが普通である。；開催地への誇りや愛着を表現し、大会を盛り上げるために作られる曲。</t>
        </is>
      </c>
      <c r="J8415">
        <f>HYPERLINK("https://www.weblio.jp/content/盛り上げる", "词义详情")</f>
        <v/>
      </c>
      <c r="K8415">
        <f>HYPERLINK("https://yourei.jp/盛り上げる", "查看例句")</f>
        <v/>
      </c>
    </row>
    <row r="8416">
      <c r="A8416" t="inlineStr">
        <is>
          <t>盛り付け</t>
        </is>
      </c>
      <c r="B8416" t="inlineStr">
        <is>
          <t>成功</t>
        </is>
      </c>
      <c r="C8416" t="inlineStr">
        <is>
          <t>読み方：もりつけ
料理を器に盛りつけること。また、そのもの。</t>
        </is>
      </c>
      <c r="D8416" t="inlineStr">
        <is>
          <t>盛る；盛り合わせる；盛りつける</t>
        </is>
      </c>
      <c r="H8416" t="n">
        <v>29</v>
      </c>
      <c r="I8416" t="inlineStr">
        <is>
          <t>穂が未熟な間は、まるで緑色の金平糖をお皿に盛り付けたように見える。；熊沢が調理を終えた料理を、嘉音が教えられながら皿に盛り付けていた。；その際、奥を高く、手前を低く風景のように盛り付けるのが基本とされている。；飛魚の卵を含めた様々な魚の卵が使われ、熱いやに盛り付けられる。；その目の前には朝食とは思えないほど豪勢に盛り付けられた料理の数々があった。；その際に乱雑に盛るのではなく、盛り付け方にも拘られることがある。；ご飯はその場で盛り付けて渡されるが、麺類の場合は番号札を渡される。；出来た料理を容器にうまく盛り付けることが大事であります。；一般的には銘々皿にとり盛り付けに気を使った中華料理ととらえられている。；気分を変えようと手のこんだ料理を作ってみても、いつも使っている皿に盛り付けると食べる気がしなくなった。；昼間のうちに用意しておいた惣菜を取り出し、皿に盛り付ける。；エンジェル・オン・ホースバックの調理・盛り付けには様々な種類がある。；目の前にはきれいに盛り付けされたサラダと、少し熱めに淹れられたコーヒーが置かれている。；複数の食品をそれぞれ別に煮ること、およびそれらを1つに盛り付けた料理。；驚きながら、桜は大量に作ったジャーマンポテトを大皿に盛り付ける。；それによると、以前に比べ味付けが少し薄くなり、盛り付け方が洗練された。；用途に応じてグラタン皿やカレー皿のような所定の料理を盛り付けるための製品も見られる。；金沢カレーの中ではルーはやや欧風カレーに近く盛り付け方にも若干の違いがある。；皿に丸く盛り付けられ、その上に干し葡萄などを十字架の形に飾る事が多い。；大きめの皿一枚の上に盛り付けられた鶏肉と焼き卵とポテトサラダ。；しかも、二人の手にはそれぞれ料理以外のモノにしか見えない謎の物体が盛り付けられた皿がささげ持たれていた。；用意してきた紙皿にきれいに盛り付け、ランプの下に並べた。；ちょうどクリスマスで、三人でお部屋の飾り付けをしたり、ママの作ったお料理を盛り付けたりしていたんです。；おそらくこの逸話が徐々に盛り付けされて、久秀の爆死伝説が定着していったと思われる。；インド圏でもイスラム同様三本指を用いて食事を行うが、大盆ではなく各個人用の皿に盛り付けられたものを食すのが一般的である。；南インドの正餐では、料理をバナナの葉の上に盛り付けて食べる。；個人用の皿にクスクス粒を適量取り、肉を盛り付けた上でスープをかけて食べる。；大型容器あるいはケーキタイプのように皿に盛り付けたり切り分けたりするものをホームタイプという。；また、焼き魚を皿に盛り付ける場合には、食事をする者からみて左側に頭を据えるものとされている。</t>
        </is>
      </c>
      <c r="J8416">
        <f>HYPERLINK("https://www.weblio.jp/content/盛り付け", "词义详情")</f>
        <v/>
      </c>
      <c r="K8416">
        <f>HYPERLINK("https://yourei.jp/盛り付け", "查看例句")</f>
        <v/>
      </c>
    </row>
    <row r="8417">
      <c r="A8417" t="inlineStr">
        <is>
          <t>漏る</t>
        </is>
      </c>
      <c r="B8417" t="inlineStr">
        <is>
          <t>成功</t>
        </is>
      </c>
      <c r="C8417" t="inlineStr">
        <is>
          <t>読み方：もる
［動ラ五（四）］
１「漏れる1」に同じ。「雨が—・る」
２「漏れる2」に同じ。
「御心の中なりけむこと、いかで—・りにけむ」〈源・花宴〉
３「漏れる3」に同じ。
「その方を取り出でむ選びにかならず—・るまじきはいと難(かた)しや」〈源・帚木〉
［動ラ下二］「もれる」の文語形。</t>
        </is>
      </c>
      <c r="D8417" t="inlineStr">
        <is>
          <t>流出；漏れる；漏洩；洩れる；流れ出る</t>
        </is>
      </c>
      <c r="F8417" t="inlineStr">
        <is>
          <t>隙漏る</t>
        </is>
      </c>
      <c r="H8417" t="n">
        <v>29</v>
      </c>
      <c r="I8417" t="inlineStr">
        <is>
          <t>雨が漏るのも隣の家の声が聞こえるのも、壁に問題があるからでしょう。；中心が過ぎるに連れて、屋根の反対側の斜面から雨は家の中に漏った。；血漏の女は今日も癒されつつあり、ヤイロの娘は今日も復活しつつある。；そしてそれは疑いもなく私一生涯の幸福であると会心の笑みを漏しています。；友達の家で余っていた傘を借りて来たのだが、これが古くて雨が漏るのだ。；娘は猿轡をはめられて、悲鳴も絶叫も漏らさせないやうにしてあります。；何度か失敗を重ねてようやく漏らないマグと鉢ができるようになった。；水が漏らないようにした布地の傘で、その上には花と鳥の絵がかいてあった。；そして水漏りは発見できないばかりか、目にみえてひどくなった。；御言持ちとは、その神漏岐・神漏美の命令を、伝達するものなのである。；前の船もうしろの船も、どれもみな漏りだして、見る見るうちに沈んで行く。；鼻腔内に噴霧すると鼻漏を減少させることができるが、鼻閉は改善しない。；高高度では燃料タンクが加圧されるため、自動防漏にするのが困難になる。；このためシールドの推進は一時的に中止し、漏気対策工事を実施することになった。；思い掛けないこの空気の動揺は、さながら怪人の太い吐息を漏すがよう。；そのうち、看護人の一人が天井から水が漏って来るのを発見した。；自分はなにも現時の社会に対して経世家的憤慨を漏さうとするのではない。；掌のくぼみに水をうけようとやってみたが、水は指の間からどんどん漏った。；雨が漏ったり、風が壁板を破ったりして、彼是一年余りもその儘になっていた。；天井から壁を伝って雨が漏り、煙にすすけた壁には大きな染みができている。；彼はその言葉を始めから終いまで漏さず云ってしまった。；漏つてゐるのは、底は兎も角、今すぐに眼につく所では桶の側なのであつた。；しかもそれを他人には漏らせない事情があるらしい。；何か漏るバケツでも運んでいつた跡のやうに見えました。；水漏りがしたりすると俺の親方のところに連絡してくる。；茶を酌んだとて漏るわけでなく、高臺の割れたのがいけないといふ。；あたかも水が指の間から漏るように、彼女は彼の考えから逃げ出しかかっていた。；そこで始めて幸福な氣持が湧いて來たので、僧侶は深い溜息を漏した。；葉っぱの形をした「逢魔漏」を使って別の空間に行くことができる。</t>
        </is>
      </c>
      <c r="J8417">
        <f>HYPERLINK("https://www.weblio.jp/content/漏る", "词义详情")</f>
        <v/>
      </c>
      <c r="K8417">
        <f>HYPERLINK("https://yourei.jp/漏る", "查看例句")</f>
        <v/>
      </c>
    </row>
    <row r="8418">
      <c r="A8418" t="inlineStr">
        <is>
          <t>盛る</t>
        </is>
      </c>
      <c r="B8418" t="inlineStr">
        <is>
          <t>成功</t>
        </is>
      </c>
      <c r="C8418" t="inlineStr">
        <is>
          <t>読み方：さかる
［動ラ五（四）］
１勢いが盛んになる。「火が—・る」「燃え—・る炎」
２繁盛する。にぎわう。はやる。
「大川の舟遊びも—・っていた」〈秋声・縮図〉
３動物が発情する。交尾する。つるむ。
「犬ガ—・ル」〈和英語林集成〉</t>
        </is>
      </c>
      <c r="D8418" t="inlineStr">
        <is>
          <t>盛るべき(2%)；盛るべく</t>
        </is>
      </c>
      <c r="E8418" t="inlineStr">
        <is>
          <t>成功；発展；繁栄；伸びる；振興</t>
        </is>
      </c>
      <c r="F8418" t="inlineStr">
        <is>
          <t>咲き盛る</t>
        </is>
      </c>
      <c r="H8418" t="n">
        <v>29</v>
      </c>
      <c r="I8418" t="inlineStr">
        <is>
          <t>間をおいて、もう一台バスが同じような叫びを盛って上野の方へ走った。；現在のような料理ではなく、高盛りになったご飯などであったとされる。；すぐここを抜けて、薬を盛られた男が意識を回復したか確かめたかった。；したがって今日この書に盛られているとおりの思想を持ってはいない。；寄せ集めた砂や土を二列に盛りまして、その中へ水を流しては遊びました。；はいって来たのは下女で、十能に火を山のように盛ったのを持っている。；遊び盛りのお雪の子供等は表の入口を出たり入ったりしつつあった。；いろいろの料理が皿に盛って出されたので、二人はそれを食べました。；行きさえしなければ薬も盛らん代りに毒も進めぬ訳だから危険はない。；皿の上には盛られたピラフの山のちょうど半分がきれいに残っていた。；そうでなくても、突然巨大化したり毒を盛ったりすることはままある。；ユリシイズにも、色様々の音が、一杯に盛られてあった様に覚えている。；ユリシイズにも、色様々の音が、一杯に盛られてあつた様に覚えてゐる。；ある女が夫に毒を盛って亡き者にし、そのすぐ後に別の男と結婚する。；この話で夕食会は盛り上ったが、その時はパーティの席での冗談であった。；食事が持ってこられたが、彼は皿に盛られたものをほとんど口にしなかった。；何故なら誰かおれに悪恵を持つ者が、毒を盛る可能性があるからだそうだ。；以上の四人は私の西町時代の困難盛りの時の弟子で最も古い人でありました。；斜面を削った土を盛って二台止められる駐車場と十五坪の庭が確保できた。；昭和の時代、東京主流の文化の中で地方の文化を盛り立てる事に努力した。；何となれば、その中に盛られた真理は、彼等には真理でないからである。；それからだそうですな、水商売のうちが入口に塩を盛るようになったんは。；そうして盛って出すが、盆は用いないで、椀の底の方を手で持って出す。；あの女がおまえを黙らせるために、毒を盛るなんてことはできやしない。；それに、僕の皿に盛ってある料理に較べると見劣りがするじゃあないか。；いかにも若夫婦らしい小ぎれいな器に盛ってあって、コップに水が一杯。；本来郷土料理である為、イクラの盛り方に各家庭で若干のちがいがある。；その天一も、父親が死んだのは、おれに一服盛られたせいだとは知らぬ。；跡継ぎを道頼にしたことを根に持ったあんたらは、大宗主に毒を盛った。</t>
        </is>
      </c>
      <c r="J8418">
        <f>HYPERLINK("https://www.weblio.jp/content/盛る", "词义详情")</f>
        <v/>
      </c>
      <c r="K8418">
        <f>HYPERLINK("https://yourei.jp/盛る", "查看例句")</f>
        <v/>
      </c>
    </row>
    <row r="8419">
      <c r="A8419" t="inlineStr">
        <is>
          <t>漏れる</t>
        </is>
      </c>
      <c r="B8419" t="inlineStr">
        <is>
          <t>成功</t>
        </is>
      </c>
      <c r="C8419" t="inlineStr">
        <is>
          <t>読み方：もれる
［動ラ下一］［文］も・る［ラ下二］
１液体・気体・光などがすきまから外へ出る。「ガスが—・れる」「声が—・れる」
２秘密などが他に知れる。「情報が—・れる」
３
㋐ある範囲からはずれる。除外される。残る。「代表の選に—・れる」「御多分(ごたぶん)に—・れず」
㋑当然あるべきものがない。おちる。ぬける。「案内状に日時が—・れている」</t>
        </is>
      </c>
      <c r="D8419" t="inlineStr">
        <is>
          <t>漏れる可能性；漏れるような音；漏れることなく；漏れるぐれ</t>
        </is>
      </c>
      <c r="E8419" t="inlineStr">
        <is>
          <t>発生；通る；流出；浸透；漏洩</t>
        </is>
      </c>
      <c r="H8419" t="n">
        <v>29</v>
      </c>
      <c r="I8419" t="inlineStr">
        <is>
          <t>秘密が漏れることを恐れ、彼等の多くは事を終えた後に殺害されたという。；どう呼びかけていいものか迷っているうちに、男の口から疑問が漏れる。；しかし、外壁に接していないこの空間の光が外に漏れることはなかった。；誰にも言っていないし態度にも出していないので漏れるはずがない。；念入りに鉄の扉は溶接されているから、そこから水が漏れる恐れはない。；欠陥は、どうやら小さな穴が開いているらしくて、砂が外に漏れるんだ。；開いた扉から漏れる光が、中を薄ぼんやりとであるが照らし出していた。；閉めた戸の曇りガラスから漏れる光が一人の男の顔を浮かび上がらせた。；琥珀色の瞳が、薄い唇の隙間から漏れる白い息の向こうで、光っている。；小さなハンドベルの音が外に漏れる程、この部屋の壁も扉も薄くはない。；資料類を作成しなかったのも、議案が事前に漏れるのを防ぐためであろう。；木の軋む音と空気が漏れるような独特の音を立てて〈密室〉は開かれた。；開けないで、と叫ぼうとしたが、喉からは掠れた音が漏れるだけだった。；第一、公の会議とはそもそも内容が漏れることを前提で進められる節がある。；会議の内容が外に漏れることはなく、実際に何を話しているのかは不明である。；まさかそこから漏れるとは思えないが、どこに耳があるか知れたものではない。；「あんたは何なんだ」と彼の口から思わず、と言った調子で言葉が漏れる。；我慢出来ずに悲鳴が自分の口から漏れるのをペルセルテは意識する。；オーストラリアやニューヨーク経由で本当のことがロンドンに漏れる恐れはない。；この秘密だけは絶対に漏れるはずはないと安心しきっていた。；民田温泉の天窓からは、久しぶりに夜でも灯が漏れるようになっていた。；カーテンの合わせ目から漏れる日の色は、すでにまばゆいほどに明るい。；紫の口から、真九郎の語ったことが他人に漏れることはないだろう。；部屋の横に大きな庭があり、多少大きな声を出しても一切外に漏れる心配がない。；そこから漏れる光は明るく、引き寄せられるようにミミズクは扉を開く。；これだけの組織が動けば、当然、外部へ情報が漏れる危険性が高くなる。；無数の傷から漏れる闇すらも、空気の壁に触れた瞬間熱を放って燃え尽きる。；婆さんの家には電話が引いてあるが秘密の漏れることを恐れて女中は置いていない。；自分の唇が痙攣するように動き、掠れた声が漏れるのを、詩乃は聞いた。</t>
        </is>
      </c>
      <c r="J8419">
        <f>HYPERLINK("https://www.weblio.jp/content/漏れる", "词义详情")</f>
        <v/>
      </c>
      <c r="K8419">
        <f>HYPERLINK("https://yourei.jp/漏れる", "查看例句")</f>
        <v/>
      </c>
    </row>
    <row r="8420">
      <c r="A8420" t="inlineStr">
        <is>
          <t>脆い</t>
        </is>
      </c>
      <c r="B8420" t="inlineStr">
        <is>
          <t>成功</t>
        </is>
      </c>
      <c r="C8420" t="inlineStr">
        <is>
          <t>読み方：もろい
［形］［文］もろ・し［ク］
１もとの形や状態がくずれやすい。こわれやすい。「—・い壁」
２持ちこたえる力が弱い。はかない。「自信は—・くも崩れさった」「—・い友情」
３感情に動かされやすい。「情に—・い」「涙—・い」
[派生]もろさ［名］</t>
        </is>
      </c>
      <c r="D8420" t="inlineStr">
        <is>
          <t>脆いもの(10%)；脆いため(3%)；脆いところ；脆い部分；脆い岩</t>
        </is>
      </c>
      <c r="E8420" t="inlineStr">
        <is>
          <t>弱い；繊細な；華奢；脆弱；柔</t>
        </is>
      </c>
      <c r="F8420" t="inlineStr">
        <is>
          <t>精神的に脆い；意外に脆い；とても脆い；脆い空気；脆い弱点</t>
        </is>
      </c>
      <c r="H8420" t="n">
        <v>29</v>
      </c>
      <c r="I8420" t="inlineStr">
        <is>
          <t>人間の神経は酒が生れた時にはもう脆かったろうと私は思うのである。；何か非常に脆いものを守るために、言葉や態度で虚勢を張っているのだ。；むしろごく当たり前な、非常に脆い心を持った女性だと私は思っている。；それにしても我が国婦人の服装たるやなんと脆い感じのするものだらう。；加えて脆く折れやすいものとなったため、評判は甚だ悪いものであった。；異常に晴れ渡った空の深い青さの中には何かそんな脆さが感じられた。；苦痛や困難を背中や肩で支えて来たことのない人間のまことに脆い場合です。；なんといってもいちばん衝撃だったのは、彼の支配力の意外な脆さだった。；脆い弱点が存在するらしいが、劇中では説明だけで描写はされなかった。；人間の心の檻には脆いところがあり、いつそれが破られるかわからない。；同じ頃、特定の地域の人たちの歯のエナメル質が脆くなることが判った。；対等ではない関係の間に結ばれた約束など脆いものと相場が決まっている。；脆さ故にラッパは再び公式の音楽再現で演奏されることはなさそうである。；携帯電話という線が切れたとき、二人の関係はとても脆いものだと思えた。；鋭い双眸は強気な印象を感じさせるが、今は相対的な脆さを見せている。；おっさんの指は棒から脆くも外れ、必死の力で俺の外套の胸をはたいた。；たとえばわたしたちがガラスを見るときには、その硬さと脆さも見ている。；茜は本気でこの脆い関係がいつまでも続くと思っているのだろうか。；癌細胞が腰の骨にも転移していて、骨が脆くなってしまっていたのだった。；それからは目に見えて力もなく脆く押し流されてしまふやうに見えた。；手も顔も小さくて、茸のように肌理がこまかく脆そうな老人であります。；花火への応用にもう一つの利点は、前述のとおり合金が脆いことである。；脆く持ちにくいものを、相手にどう渡したらいいかを判じかねて抱えていた。；明るく健康的な彼女の笑顔は、僕の目には脆く痛々しいものとして映る。；思い切って蹴りつけると、拍子抜けするような脆さで扉は内側に開いた。；問題は、この脆い人間の肉体がどれだけ耐えられるかっちゅうことやけど。；もはや地上での大規模戦闘はないと信じていた連邦軍の、なんと脆いことか。；どんな傑物であっても、脆さを持った人であることに変わりはない。；風化して脆くなった火成岩が剥離し、ジントの肩のうえにも落ちてきた。</t>
        </is>
      </c>
      <c r="J8420">
        <f>HYPERLINK("https://www.weblio.jp/content/脆い", "词义详情")</f>
        <v/>
      </c>
      <c r="K8420">
        <f>HYPERLINK("https://yourei.jp/脆い", "查看例句")</f>
        <v/>
      </c>
    </row>
    <row r="8421">
      <c r="A8421" t="inlineStr">
        <is>
          <t>もろに</t>
        </is>
      </c>
      <c r="B8421" t="inlineStr">
        <is>
          <t>成功</t>
        </is>
      </c>
      <c r="C8421" t="inlineStr">
        <is>
          <t>読み方：もろに
コモロ共和国の首都。グランドコモロ島の西岸に位置する。フランス領時代の1962年に、マヨット島のザウジから首都が移された。港があり、モヘリ島、アンジュアン島と航路で結ばれる。旧市街にはイスラム寺院や野外市場がある。</t>
        </is>
      </c>
      <c r="D8421" t="inlineStr">
        <is>
          <t>もろに受け(8%)；もろにぶつかり；もろに突っ込ん；もろに衝突する；もろに頭から</t>
        </is>
      </c>
      <c r="H8421" t="n">
        <v>29</v>
      </c>
      <c r="I8421" t="inlineStr">
        <is>
          <t>運転手もまた運転手で、客より先に、もろに不機嫌になる人がいるのだ。；まず風の影響をもろに受け、嵐がきた場合には座礁する危険性があった。；ともう一人が落され、続いて二人が彼の体の上へもろに積み重ねられた。；この計画の空々しさが、もろに剥き出しになっている部分だったからだ。；もろにカウンターパンチをくらったみたいに、目の底が赤くなっていた。；ヴェアはコートの上から中の胴着まで、もろに切り裂かれた跡を示した。；両手が封じられているので衝撃が殺せず、もろに肩を打ってしまった。；ジェットコースターみたいに、外の風をもろに受けないからだろうか。；日本はこのアメリカの不況の影響をもろに受けていたのである。；不意だったし、姿勢が崩れていたので、私は、もろに、歩道に転倒した。；中代との仲に安心し切ってしまったのか、もろに疲れを見せるようになったのだ。；突進してきた鎌治のあたまから顔へかけて、大介の刀がもろにあたった。；かれは、びっくり仰天している見張りの肩の上にもろに落ちかかった。；父の仕事は新聞社の広告取りであるから、経済の動きをもろにかぶる。；スーラーブの体は、対手ともろに今にも倒れんばかりに平均を失った。；息が苦しくて頭をあげようとしたとたん、風の力がもろに身体にかかってきた。；それをもろに目撃してしまった雷の目は、しばらくの間使いものにならなくなる。；そんなところでも、もろにたたきつけてくる風と雪だけはよけられた。；ラジエーターが、もろに運転していたやつのほうに折り重なってしまった。；運の悪かった連中は甲板の上へもろにおさえつけられる破目になった。；そんなことをすれば、あのステイジア人ともろに衝突しなければならなくなる。；受身も何もあったものではなく、背中をもろに打ってその男は息もできない。；戦争の影や、不況の影響を、そのままもろに炭鉱の町はかぶっていた。；が、ひざを岩にとめたケーブルで引き倒され、顔をもろに床にぶつけた。；考えていることがもろに顔に出ていたのだろう。；グライムズは、眠りこけている娘たちの上に、もろに転落してしまった。；そこはもろにマガジンハウスが出版している雑誌の世界だった。；特に、警察に追われるような時、その弱さが、もろに現われてしまう。；女は私に愛情を感じるまでは身をまかさないと言ったんですが、私はそれをもろに信じました。</t>
        </is>
      </c>
      <c r="J8421">
        <f>HYPERLINK("https://www.weblio.jp/content/もろに", "词义详情")</f>
        <v/>
      </c>
      <c r="K8421">
        <f>HYPERLINK("https://yourei.jp/もろに", "查看例句")</f>
        <v/>
      </c>
    </row>
    <row r="8422">
      <c r="A8422" t="inlineStr">
        <is>
          <t>文句</t>
        </is>
      </c>
      <c r="B8422" t="inlineStr">
        <is>
          <t>成功</t>
        </is>
      </c>
      <c r="C8422" t="inlineStr">
        <is>
          <t>読み方：もんく
１文章中の語句。文言。「気のきいた—」「殺し—」
２歌謡などで、メロディーに対して歌詞をいう。「歌の—」
３相手に対する言い分や苦情。不服。「弁償してもらえるのなら—はない」</t>
        </is>
      </c>
      <c r="D8422" t="inlineStr">
        <is>
          <t>文句をいわ；文句をいい；文句言わ；文句ひとつ；文句を言うつもり</t>
        </is>
      </c>
      <c r="E8422" t="inlineStr">
        <is>
          <t>難；不平；苦情；不服；愚痴</t>
        </is>
      </c>
      <c r="F8422" t="inlineStr">
        <is>
          <t>こんな文句；口説き文句；こういう文句；文句あっか；文句言われる筋合い</t>
        </is>
      </c>
      <c r="G8422" t="inlineStr">
        <is>
          <t>文句取り</t>
        </is>
      </c>
      <c r="H8422" t="n">
        <v>29</v>
      </c>
      <c r="I8422" t="inlineStr">
        <is>
          <t>彼がそれから簡単に僕に送って来た信号の文句は僕を一層驚かせました。；従来の民謡の文句がいかに気の利いたものであるかを忘れてはいけない。；最後まで戦い、死に望んでも一言も文句を言わず、生涯を閉じかねない。；そして喘ぎ喘ぎいう文句の意味を理解に綴ってみるとこういうのだった。；だから告発されないし、私の名前を公表して、他人に文句は言わせない。；ピンハネはおかしいと支部長に文句を言っただけで除名排除されたのだ。；ただしそれは他者にコピーされても文句はいえないという意味でもある。；私はそれらの簡単な文句から彼の意のある所を推察しなければならないのだ。；それからまた花聟の側の人たちも酒を辞退するにそれ相応の文句がある。；奪うも殺すも自由だが、同時に奪われても殺されても文句は言えない。；文句をどんなに変えても、それで民謡は決して新味を得るものではない。；現在では矢部は文句すら言わなくなったが困惑していることは変わらない。；あなたも世の中に文句があり戦う学者 ならば、選挙に出て戦いなさいよ!!；ところが2週間ぐらいじっと時間がたっても、何も文句を言ってこれない。；その理論は研究することなく、多くはその文句を暗誦するのみである。；そしてテーブルに向って、いろいろ簡単な文句を考えては書きつけて見た。；栄枯盛衰生者必滅とは古い文句であるが、常に新しい意味を持っている。；紙幣を出す時、その辺が極めて僅かでも裂けていると、文句をいわれる。；妹に、文句を云われた場合に、自分の責任を軽くするための準備であろう。；そして、渠は自分の文句が一便毎に過激な命令になつて行くのをおぼえた。；近くで声がして、スピード夫人が文句を言っているのが分かった。；壁に書かれた多くの煽り文句には、例として次のようなものがあった。；そこには、簡単ではあったが、次の様な恐ろしい文句が書きつけてあった。；他のキャラクターが取っても効果は無く、そのキャラクターが文句を言う。；いつ頃作られたか不明であるが、三津小唄にはこのような文句がある。；ほかにも文句をいふ奴があつたら、どいつでもおれが相手になつて遣らあ。；しかし、この第一の文句と、第二の文句とが、どうもうまくつづかない。；僭越この上もない心配だ、と云はれても、君たちは文句は云へないんだ。；しかし、財宝の分配のときに部下が分け前が少ないと文句を言い始めた。</t>
        </is>
      </c>
      <c r="J8422">
        <f>HYPERLINK("https://www.weblio.jp/content/文句", "词义详情")</f>
        <v/>
      </c>
      <c r="K8422">
        <f>HYPERLINK("https://yourei.jp/文句", "查看例句")</f>
        <v/>
      </c>
    </row>
    <row r="8423">
      <c r="A8423" t="inlineStr">
        <is>
          <t>問題</t>
        </is>
      </c>
      <c r="B8423" t="inlineStr">
        <is>
          <t>成功</t>
        </is>
      </c>
      <c r="C8423" t="inlineStr">
        <is>
          <t>読み方：もんだい
１解答を求める問い。試験などの問い。「数学の—を解く」「入試—」
２批判・論争・研究などの対象となる事柄。解決すべき事柄。課題。「そんな提案は—にならない」「経済—」「食糧—」
３困った事柄。厄介な事件。「新たな—が起きる」
４世間が関心をよせているもの。話題。「—の議員」</t>
        </is>
      </c>
      <c r="D8423" t="inlineStr">
        <is>
          <t>問題視(2%)；問題点；問題じゃない；問題文；問題提起</t>
        </is>
      </c>
      <c r="E8423" t="inlineStr">
        <is>
          <t>心配；困難；障害；邪魔；課題</t>
        </is>
      </c>
      <c r="F8423" t="inlineStr">
        <is>
          <t>様々な問題；重要な問題；深刻な問題；重大な問題；別問題</t>
        </is>
      </c>
      <c r="G8423" t="inlineStr">
        <is>
          <t>問題解決；問題意識；問題児；問題提起；問題行動</t>
        </is>
      </c>
      <c r="H8423" t="n">
        <v>29</v>
      </c>
      <c r="I8423" t="inlineStr">
        <is>
          <t>様々な理由から兵役を拒否する人間も増えてきており問題となっている。；これら二つの問題を解決する装置として導入されたのが変換規則である。；これらは伝承や遺跡の解釈の問題でもあり、すぐには事実と認定できない。；このようなことが見られることが日本では大きな問題になっている。；コピーコントロールCDでは、登場当初から多くの問題点を抱えていた。；つまり、これらの条約に加盟していない国との関係で問題になるに過ぎない。；しかし通常の使用には問題がなく、多くのカメラがこの方式を採用している。；これらの問題を避けるために、改変する際には次のような規定がある。；MSNは廃止理由としてユーザーの減少、管理的な問題等をあげている。；現代的な仕様のシステムでは余分にディスク領域を使用しても問題はない。；計算複雑性理論は計算問題の難しさを様々な計算資源の観点で分析する。；また、プライバシーの問題に強い意識を抱いていることでも知られている。；この頃、戒律の解釈問題で教団内に対立が起こり、分裂しそうになった。；終盤においても以下の欠点があり、利用上の問題点となるときがあった。；人工知能が利用されるようになって以降、法的な問題が顕在化している。；しかしながら前述のように解釈の問題が数多いため、実行の壁は高い。；最初の問題は発展途上国の近代的産業はあまり効率がよくないことだ。；パイプラインだけでは同期式CPUの問題を全て解決することはできない。；この場合は中にいる人間が主役となるので、個人の差の問題までも考慮する。；技術的な面では何も問題は無く、単純な採算性の問題となっている。；ブールはヴィザの問題で最初から一家に合流することはできなかった。；ただしその代わりに消費電力や発熱が大きくなるという問題も発生する。；苦しみを和らげるために、あらゆる方法を取ることは全く問題がない。；これは「ソクラテス問題」として知られる一連の問題を発生させている。；しかし、J2加入が確定した2001年年頭ごろから問題が表面化した。；それは深刻な人種問題を抱えていた当時のアメリカでは画期的なことであった。；国家国民のためにならない政治家が生まれるのは問題だ。；この問題を回避する伝統的な方法として、以下のようなものがある。；ショパンもまた自分のプレイエルのピアノを輸送するのに問題を抱えていた。</t>
        </is>
      </c>
      <c r="J8423">
        <f>HYPERLINK("https://www.weblio.jp/content/問題", "词义详情")</f>
        <v/>
      </c>
      <c r="K8423">
        <f>HYPERLINK("https://yourei.jp/問題", "查看例句")</f>
        <v/>
      </c>
    </row>
    <row r="8424">
      <c r="A8424" t="inlineStr">
        <is>
          <t>問答</t>
        </is>
      </c>
      <c r="B8424" t="inlineStr">
        <is>
          <t>成功</t>
        </is>
      </c>
      <c r="C8424" t="inlineStr">
        <is>
          <t>読み方：もんどう
［名］(スル)
１問うことと答えること。質問と応答。また、議論すること。「人生について—する」「—をかわす」
２仏語。教義についての論議や宗派間の法論。また、禅宗で、修行者が仏法についての疑問を問い、師家(しけ)がこれに答えること。禅の代表的な修行法の一。「禅—」</t>
        </is>
      </c>
      <c r="D8424" t="inlineStr">
        <is>
          <t>問答形式；問答体；問答集；問答無用；問答書</t>
        </is>
      </c>
      <c r="F8424" t="inlineStr">
        <is>
          <t>こんな問答；教義問答；石神問答；こういう問答；そんな問答</t>
        </is>
      </c>
      <c r="G8424" t="inlineStr">
        <is>
          <t>問答法；問答無益；問答者聖グリゴリイ；問答者；問答家族</t>
        </is>
      </c>
      <c r="H8424" t="n">
        <v>29</v>
      </c>
      <c r="I8424" t="inlineStr">
        <is>
          <t>二人の問答のあいだも、エンジンは低い音をたてて動いていたのである。；なぜ執事がこの昔の問答を暗記しようとあれほど気を使ったのだろうか?；その裏門まで来た時である、内と外とで二声三声、問答をする声がした。；ある日孔子が弟子との問答の中で、何が人間の幸せかという話になった。；今まで黙って、西と玄白との問答をきいていた良沢が、急に口を挟んだ。；そのうちの五六人を先生の机のぐるりに集めて、立ちながら問答している。；「だって月が出てるじゃないの」勿論これはきわめて非論理な問答です。；そこでこの僧侶はまた問答を習うために教師の所に通わなければならん。；僕 どこまでも是認してゐるとすれば、何もお前と問答などはしない。；また実際にはこういう意味で行なわれた問答であるかも知れない。；ブラントンはまえにも、この問答文を見たことがあったんでしょうね?；すなわち子どもは問答の面白さに気を取られて鬼事はもう忘れているのである。；それで卑怯のようではあるが、問答がそこへ流れ入る事を故意に防いだ。；それからまだ二つ三つの問答がありましたが、私はそれを忘れてしまいました。；この歌の形は、つまり、前の問答の歌を一つとすれば、それなのです。；すると私の眼の前で車掌が乗客の一人と何かしら押問答を始めた。；しかし我々は一生を通じて悪魔と問答をしないこともあるのである。；問答を続けている間にヴァアルの人々はだんだん近くへ寄ってきた。；坐っている健三の耳には、彼らと子守との問答が手に取るように聞こえた。；それは、ある教育家と、ある技術家との間にとりかわされた問答でした。；膝を抱えてそれを眺めながら、伸子は母と佃との問答を、熱心に聴いた。；図書館では日本関係文書を探して、公教要理問答集ほか2冊を筆写した。；この問答法の活用は彼の制約条件の理論の重要な要素となっている。；そこでは対話が重んじられ、教師と生徒の問答によって教育が行われた。；それから、短かい問答をして、明らかに相手から出された提案に同意した。；少年の姿を借りた魔魅と、問答でもしているような気持に打たれたからである。；母は、そばでこの問答をきいていたが、相変らずほがらかな顔をしていた。；五七七の片歌を2人で唱和または問答したことから発生したと考えられている。；特殊の経過をもったその時の問答は、まずお延の言葉から始まった。</t>
        </is>
      </c>
      <c r="J8424">
        <f>HYPERLINK("https://www.weblio.jp/content/問答", "词义详情")</f>
        <v/>
      </c>
      <c r="K8424">
        <f>HYPERLINK("https://yourei.jp/問答", "查看例句")</f>
        <v/>
      </c>
    </row>
    <row r="8425">
      <c r="A8425" t="inlineStr">
        <is>
          <t>矢</t>
        </is>
      </c>
      <c r="B8425" t="inlineStr">
        <is>
          <t>成功</t>
        </is>
      </c>
      <c r="C8425" t="inlineStr">
        <is>
          <t>読み方：さ
矢(や)の古称。
「荒し男のいを—手挟み向かひ立ち」〈万・四四三〇〉</t>
        </is>
      </c>
      <c r="D8425" t="inlineStr">
        <is>
          <t>矢を射かけ；矢傷；矢つぎ；矢弾；矢狗村</t>
        </is>
      </c>
      <c r="E8425" t="inlineStr">
        <is>
          <t>アロー；箭</t>
        </is>
      </c>
      <c r="F8425" t="inlineStr">
        <is>
          <t>流れ矢；蔦矢；光矢；遊矢；矢原晃子</t>
        </is>
      </c>
      <c r="G8425" t="inlineStr">
        <is>
          <t>矢代；矢張り；矢野；矢島；矢印</t>
        </is>
      </c>
      <c r="H8425" t="n">
        <v>29</v>
      </c>
      <c r="I8425" t="inlineStr">
        <is>
          <t>矢をどんどん放ったとき、矢の当たった範囲の大きさが精度に相当する。；何者がこの矢を放ったのかは一部の派生作品を除いて明確にされていない。；悟空が水蛇から花鴇になると真君はたまらず元の姿で矢を射ようとする。；驚いた勢夜陀多良比売が矢を取って部屋に戻ると、矢は美男子となった。；平均すれば中心に近いかもしれないが、個々の矢は正確とは言えない。；困惑を抱きながらも、籐矢は全ての真実を知る決意をし、行動を始めた。；一本の矢に使う羽は裏表を同じに揃えられるため、矢には二種類できる。；様々な得物を持った両軍だが、当たるとミスになるものは弓兵の矢のみ。；のちに石と分かってからは矢の立つことがなく、のちに石虎将軍といわれた。；それは、銀地に両手に矢を持った赤い服の人物と赤地に銀の鋤箆である。；天使の像は矢を彼女の心臓に射込もうとはしておらず、引き下げている。；飛んでくる矢を小太刀で叩き落すほどの腕前で、やはり弟子が多かった。；なお、発射後に玉や矢の視点になって方向を微調整することができる。；こののち健磐龍命は自ら矢を射て、それが落ちたところに宮を定めた。；基本は見守ることだが、矢やアイテムを用いて家族に干渉することが可能。；それに比べてインドラジットは相手に雨のように矢を射かけることができた。；投げ槍や投げ矢の技術が弓矢の発明につながったとされている。；リングの内側に書かれた数字に落ちた矢の影で時刻がわかる日時計。；そこで矢を放つと「狙わずに中てる」ことが可能になるというのである。；やはり降伏を許されずに逃亡しようとしたが、矢に当たり戦死することになる。；一組の矢では節の位置をそろえてあり、一本の矢には節は四つある。；趙染は単独で北地を攻めたが、城を攻める最中、矢に当たって戦死した。；二つの矢を立てたように見えるためこう呼ばれている。；しかしこれは何度も打てないので3本目の矢の成長戦略をしっかり打つ。；管仲の矢は腹に当たったように見えたが、実は腰帯の留金に当たっていた。；現在競技で用いられている矢は、すべて三枚羽のものである。；正后は仏を一念していたのでその矢が居抜かず、反対に王の前に飛んできた。；距離を取ると、両側に着けた矢筒から矢を取り出し、左右から騎射した。；そのため、矢を防ぐために鎧兜や敷き布団をあてにするしかなかった。</t>
        </is>
      </c>
      <c r="J8425">
        <f>HYPERLINK("https://www.weblio.jp/content/矢", "词义详情")</f>
        <v/>
      </c>
      <c r="K8425">
        <f>HYPERLINK("https://yourei.jp/矢", "查看例句")</f>
        <v/>
      </c>
    </row>
    <row r="8426">
      <c r="A8426" t="inlineStr">
        <is>
          <t>八百屋</t>
        </is>
      </c>
      <c r="B8426" t="inlineStr">
        <is>
          <t>成功</t>
        </is>
      </c>
      <c r="C8426" t="inlineStr">
        <is>
          <t>読み方：やおや
１野菜類を売る店。また、その人。青物屋。青果商。
２深くはないが学問・技芸・趣味などについていろいろ知っていること。また、その人。</t>
        </is>
      </c>
      <c r="D8426" t="inlineStr">
        <is>
          <t>八百屋さん(7%)；八百屋物；八百屋太郎兵衛；八百屋市左衛門</t>
        </is>
      </c>
      <c r="F8426" t="inlineStr">
        <is>
          <t>八百屋市；八百屋さんおれ</t>
        </is>
      </c>
      <c r="G8426" t="inlineStr">
        <is>
          <t>八百屋町；八百屋お七歌祭文</t>
        </is>
      </c>
      <c r="H8426" t="n">
        <v>29</v>
      </c>
      <c r="I8426" t="inlineStr">
        <is>
          <t>父さんは朝早くから八百屋の仕事をしているのだから汗を流したいはず。；さて数日後、彼女はその八百屋の下男が顔に大火傷をした話を耳にした。；お母さんは八百屋が借してくれたと云って大きなキャベツを買って来た。；それかといつて、東京の八百屋には冬至南瓜の並ぶことを目に見てゐる。；お母さんは八百屋が貸してくれたと云って大きなキャベツを買って来た。；その頃、尾張町の角のところには毎晩のやうに八百屋の市が立ちました。；だけどその顔はいつも見たことのある米屋や八百屋や乾物屋の人なのだった。；八百屋の屋根は寄せ棟だったが今は見たこともない奇妙な屋根に変形していた。；「うちは魚とか肉は扱ってませんけどね」 と言って、八百屋は笑った。；週に一度は買いに行く八百屋や魚屋で、あまりにも平凡な物を、これ何?；娘がようやく立ち止まったのは、遅くまで開いている八百屋の前だった。；酒屋の主は店に入り、八百屋の前にいた女は、自転車に乗って走りだした。；突然八百屋が飼い主の家の女中といっしょに連れて来たそうである。；現在も移動式の八百屋は毎日決まった時間に音楽を鳴らしながら移動販売している。；拷問された吉三郎は火を付けたのは自分では無く八百屋太郎兵衛の娘お七だという。；その八百屋でも、何度か被害に遭ったと言っていたような気がする。；口に入れられるのはナツが八百屋から買って来てくれた夏ミカンだけ。；一人の八百屋さんがそれを買ってお店に出しておきました。；八百屋の店先でお釣りを受けとっていたらしい、客の手も止まっている。；八百屋などが来ると自分で台所へ出かけてやかましく値切り小切りをする。；生暖かった、きっと少し前に隣りの八百屋の店先に並んでいたのだろう。；配給の時代には問題はなかったが、その前にもすでに八百屋は車になっていた。；しかしそこにあるのは地球防衛軍という看板をあげた八百屋であった。；右手に八百屋があるあたりで、左手に分かれた急坂の道に車を突っこんだ。；私はパリの八百屋がヤマイモを扱うとは、今の今まで知らなかった。；私は八百屋の前まで歩いて行くと、立ちどまってその幼児を見ました。；斜め向いに八百屋があって、その店先きにふたりの日本の兵士がいる。；避難先の生活の中で八百屋の娘・八百屋お七は、寺の小姓と恋仲になる。；たしか洋子の実家は麻布で大きな八百屋をやっていると聞いたことがある。</t>
        </is>
      </c>
      <c r="J8426">
        <f>HYPERLINK("https://www.weblio.jp/content/八百屋", "词义详情")</f>
        <v/>
      </c>
      <c r="K8426">
        <f>HYPERLINK("https://yourei.jp/八百屋", "查看例句")</f>
        <v/>
      </c>
    </row>
    <row r="8427">
      <c r="A8427" t="inlineStr">
        <is>
          <t>やがて</t>
        </is>
      </c>
      <c r="B8427" t="inlineStr">
        <is>
          <t>成功</t>
        </is>
      </c>
      <c r="C8427" t="inlineStr">
        <is>
          <t>読み方：やがて
［副］
１あまり時間や日数がたたないうちに、ある事が起こるさま、また、ある事態になるさま。そのうちに。まもなく。じきに。「—日が暮れる」「東京へ出てから、—三年になる」
２それにほかならない。まさに。とりもなおさず。
「自尊の念は—人間を支持しているもので」〈露伴・プラクリチ〉
３そのまま。引き続いて。
「山の仕事をして、—食べる弁当が」〈左千夫・野菊の墓〉
「（道真ガ大宰府ニ流サレテ）—かしこにてうせ給へる」〈大鏡・時平〉
４時を移さず。ただちに。すぐさま。
「—具して宮に帰りて后に立てむ」〈今昔・三一・三三〉
[補説] 「軈」は国字。</t>
        </is>
      </c>
      <c r="D8427" t="inlineStr">
        <is>
          <t>やがてかれ；やがて消え；やがてゆっくり；やがて又；やがて死ぬ</t>
        </is>
      </c>
      <c r="E8427" t="inlineStr">
        <is>
          <t>もう；近く；いずれ；間もなく；まもなく</t>
        </is>
      </c>
      <c r="F8427" t="inlineStr">
        <is>
          <t>やがてうなずい；やがて亥刻；やがて戌刻；やがて庄九郎；やがてロチェスターさま</t>
        </is>
      </c>
      <c r="G8427" t="inlineStr">
        <is>
          <t>やがて君になる</t>
        </is>
      </c>
      <c r="H8427" t="n">
        <v>29</v>
      </c>
      <c r="I8427" t="inlineStr">
        <is>
          <t>しかしやがて彼らは第一次世界大戦でその現実に直面することになった。；九州某県を舞台にした戦いはやがて海を越えて世界にまで飛び火する。；やがて王は、ローマよりずっと強大だったエトルリアとの同盟を結んだ。；やがて自由派内において穏健派と急進派の路線対立が生じるようになる。；やがてこの選出方法は1356年の金印勅書で法制化されることになる。；やがて自己資金で開発できる環境が整うと、本社を埼玉県上尾市へ移転。；しかしやがて一緒に遊ぶようになり、共有や交流の中に楽しさを見出す。；一方、東京では若い女性が突然昏倒し、やがて死亡する事件が多発する。；着任早々に功績を挙げ、やがて仲間からの信頼も得るようになった亮子。；やがてラーマクリシュナの教えを聴くために、ある程度の人が集まった。；やがて征討軍は別隊を進め、薩軍の中腹を攻撃しようと熊本隊に迫った。；インドでは、やがて大乗仏教が成立し、その初期には多仏思想が成立する。；やがてぜんごうと呼び方がかわり、江戸時代末には前後と記された。；これらにはやがて人口調査や地名・人名なども加わるようになった。；しかしながら、彼女への思いは通じず、やがて劇団はパリを離れてしまう。；やがて芝居そのものが楽しくなってしまい、大学をやめて演劇の道を志す。；この運動は文学面にとどまらず、やがて政治運動へと発展していった。；やがて西武園線が左にそれ、住宅街ながら緑の多い一帯を北に進む。；はじめはいがみ合っていた2人だが、愛良はやがて彬水に惹かれ始める。；やがて2人は数々のイベントをこのロフトで主催することになった。；やがて線路は東葉高速鉄道線との乗換駅である北習志野駅へと到着する。；この宣言は、やがて日本にも入ってきて、日本も口話法が主流になっていった。；中世には小部族国家が群立し、やがて、、などの地方王権が形成された。；それでも売上げは落ち続け、やがてクラークは映画製作から手を引いた。；鉄雄はやがて、薬物でも自らの力を抑えられないようになっていく。；この頃から俊介は、和音がやがては人妻になるとして距離を置き始める。；やがてゲール人の伝統が拡大し、時を経て支配的な形となった。；やがて自動開閉機能が一般的になり、開けたままロックできる機構は消えていった。；やがて橇の下にころが固定され、さらに車軸と回転部が分離して現在の形となった。</t>
        </is>
      </c>
      <c r="J8427">
        <f>HYPERLINK("https://www.weblio.jp/content/やがて", "词义详情")</f>
        <v/>
      </c>
      <c r="K8427">
        <f>HYPERLINK("https://yourei.jp/やがて", "查看例句")</f>
        <v/>
      </c>
    </row>
    <row r="8428">
      <c r="A8428" t="inlineStr">
        <is>
          <t>喧しい</t>
        </is>
      </c>
      <c r="B8428" t="inlineStr">
        <is>
          <t>成功</t>
        </is>
      </c>
      <c r="C8428" t="inlineStr">
        <is>
          <t>読み方：かまびすしい
［形］［文］かまびす・し［シク］《古くク活用であったものが、中世初期ごろからシク活用として用いられたもの》やかましい。かしましい。「—・い蝉(せみ)の鳴き声」「世間の声があれこれと—・い」
「波の音常に—・しく潮、風ことに激し」〈方丈記〉
[派生]かまびすしさ［名］</t>
        </is>
      </c>
      <c r="D8428" t="inlineStr">
        <is>
          <t>喧しい音楽(2%)；喧しい話</t>
        </is>
      </c>
      <c r="E8428" t="inlineStr">
        <is>
          <t>厳しい；厳密；厳格；厳重；賑やか</t>
        </is>
      </c>
      <c r="H8428" t="n">
        <v>29</v>
      </c>
      <c r="I8428" t="inlineStr">
        <is>
          <t>喧しい落語が聞こえなくなって好都合だ、ぐらいに思っているのだろう。；天皇や西園寺、幣原が喧しく南に注意した効果がともかくあったようだ。；会場の前では大勢の人々が凝り合って喧しく盗難事件の噂をしていた。；お宅のお子さんたちの声が喧しくて、宅がなにかと申しますものですから。；左手で腹を支え右手でその頭のところを握っているが、ガアガアと喧しい。；父親をさし置いて叔父の方がそう喧しく云う事もないでしょう。；急に耳が遠くなるわけはないし、電車の音が喧しいわけでもない。；ところが二高に来て見ると、これはまた京都以上に細々した事が喧しかった。；きんきんきんと喧しい音が部屋中に響き渡り、嫌でも目が覚めてしまう。；巡査が喧しくいったので、三ルピーで荷物を持って行くことになった。；用心しろと喧しく云っていたのに無理をしたので尚悪くなった。；巡査が喧しくいったので三ルピーで荷物を持って行くことになった。；娘たちは何がおかしいのか、ひときわ喧しい声を上げて笑い合った。；玩具の猿のようにキイキイと喧しいあの女たちを級友と呼ぶのは難しい。；雀の軒近く囀るのを喧しく思ふやうな日も一日一日と少くなつて行くではないか。；一行の姿が見えなくなってから、また噂は喧しくなりました。；雀の軒近く囀るのを喧しく思うような日も一日一日と少くなって行くではないか。；道は左岸の段丘の上に通じて、暫くは喧しい瀬の音も耳にしなかった。；古い車のエンジンが喧しいせいだろうが、多少、二人の耳も悪いかと疑いたくなるほどだ。；どちらかというと喧しい音楽の方が好きなんだけれど、これだけはしかたがなかった。；女学校でさえ制服のスカートの長さを、長いとか短いとか、喧しくいった。；やがて大商船隊は、機関の音も喧しく、頭上にさしかかって来ました。；不思議だナと思つてゐる中に、俄に麓の方で人声が喧しく聞えました。；独立問題の喧しくなって来ていた折のことだ。；婦人を深いところへ案内するほど喧しいことはない。；女夫の別れと見えぬ様との、喧しい口伝もあると聞いて居る。；成たけ両方をゆっくり取るようにしておかないと、当節は喧しいんだからね。；久米君は耳のそばで喧しい話をするのを聞きながら平然として書いてゐるのでした。；三羽の鵞鳥は、フランツの前を走って逃げながら、喧しい声で鳴き立てた。</t>
        </is>
      </c>
      <c r="J8428">
        <f>HYPERLINK("https://www.weblio.jp/content/喧しい", "词义详情")</f>
        <v/>
      </c>
      <c r="K8428">
        <f>HYPERLINK("https://yourei.jp/喧しい", "查看例句")</f>
        <v/>
      </c>
    </row>
    <row r="8429">
      <c r="A8429" t="inlineStr">
        <is>
          <t>薬缶</t>
        </is>
      </c>
      <c r="B8429" t="inlineStr">
        <is>
          <t>成功</t>
        </is>
      </c>
      <c r="C8429" t="inlineStr">
        <is>
          <t>読み方：やかん
１《もと薬を煎じたところから》湯を沸かすための道具。アルマイト・銅・ほうろうなどで作った鉄瓶に似たもの。湯沸かし。
２「薬缶頭」の略。</t>
        </is>
      </c>
      <c r="D8429" t="inlineStr">
        <is>
          <t>薬缶頭(2%)</t>
        </is>
      </c>
      <c r="E8429" t="inlineStr">
        <is>
          <t>釜；薬罐；湯沸かし；湯沸し；ケトル</t>
        </is>
      </c>
      <c r="F8429" t="inlineStr">
        <is>
          <t>大きな薬缶</t>
        </is>
      </c>
      <c r="H8429" t="n">
        <v>29</v>
      </c>
      <c r="I8429" t="inlineStr">
        <is>
          <t>縫っている音が、と彼は思った、炉格子にかけた薬缶の音と似ているな。；「ほかにはないのか」水を入れた薬缶を火にかけながら湯川は訊いた。；私はそう言い聞かせながら、冷え冷えとした台所で薬缶に水を満たした。；第一毛をもって装飾されべきはずの顔がつるつるしてまるで薬缶だ。；また薬缶の胴の片方にだけ口がついているのも、私にはやはり不安なのである。；頭の中で、台所のどこに鍋や薬缶が押し込んであったのかを思い出す。；火鉢に大きな薬缶が掛けてあって、その傍には菓子の箱が列べてある。；サバンナ地帯の村では、薬缶で煮出した緑茶に大量の砂糖を入れて飲む。；赤ン坊の頭ぐらいもあって、薬缶の蓋で番茶をうまそうに飲んでるよ。；ヴァンは、テーブルの上に薬缶を持ってきてコーヒーを淹れている。；換気扇をつけ、薬缶を火にかける一子の動きは手馴れたものだった。；四〇糎九一式徹甲弾にも着脱式特薬缶の装填スペースが考慮されている。；それから水の入った薬缶を失敬して急いで甲板に上がった。；薬缶に手をだそうとする丹那をみて、運転手がすばやく取ってくれた。；暗い店の奥で、背の低い老人が大きな薬缶の湯気を、帽子の縁に当てているところだ。；奴の眼は床に置かれた薬缶とグラスに注がれていた。；強ひて何物か与へよと言ふにやうやう蔓のなき薬缶に湯を汲みて与へたり。；机の上にお茶の入った薬缶と白い茶わんが置いてある。；どうしてもあの薬缶を首にしなくてはならん。；とくに金馬は演者自身見事な薬缶頭だったこともあり、多くの人に親しまれた。；「いい大人が溜息なんか吐くなよ」 保久が薬缶を持って後ろにいた。；その甘酒がまた、余りに濃いので、薬缶の湯を取って、半分にうすめる。；「乗っていない可能性もあります」薬缶をコンロへ運ぶ途中で海月が言った。；薬缶に水を汲み、グラスと一緒にソファの前のテーブルに置いた。；茶を注いだり、薬缶を取ったりするのが気味が悪いようであった。；奴は、おれが手に持っている薬缶は眼に入ったが、レックチャーは見えなかったらしい。；その日は常吉が、薬缶が漏るのに朝になって気づいて、母屋に借りに来たのである。；あとに薬缶をのせると、ふたたび七輪の前にもどって炭火をおこす。；ストーブにかけられた薬缶がシュンシュンと湯気を吐いておりました。</t>
        </is>
      </c>
      <c r="J8429">
        <f>HYPERLINK("https://www.weblio.jp/content/薬缶", "词义详情")</f>
        <v/>
      </c>
      <c r="K8429">
        <f>HYPERLINK("https://yourei.jp/薬缶", "查看例句")</f>
        <v/>
      </c>
    </row>
    <row r="8430">
      <c r="A8430" t="inlineStr">
        <is>
          <t>夜間</t>
        </is>
      </c>
      <c r="B8430" t="inlineStr">
        <is>
          <t>成功</t>
        </is>
      </c>
      <c r="C8430" t="inlineStr">
        <is>
          <t>読み方：やかん
夜の間。日没から翌朝の日の出までの間。夜。「—飛行」「—照明」</t>
        </is>
      </c>
      <c r="D8430" t="inlineStr">
        <is>
          <t>夜間爆撃；夜間照明；夜間攻撃；夜間空襲；夜間定時制</t>
        </is>
      </c>
      <c r="E8430" t="inlineStr">
        <is>
          <t>夜；晩；夜中；夜半；小夜</t>
        </is>
      </c>
      <c r="F8430" t="inlineStr">
        <is>
          <t>昼夜間；夜間撮影；夜間演習；夜間勤務；夜間走行</t>
        </is>
      </c>
      <c r="G8430" t="inlineStr">
        <is>
          <t>夜間部；夜間滞泊；夜間飛行；夜間外出禁止；夜間学校</t>
        </is>
      </c>
      <c r="H8430" t="n">
        <v>29</v>
      </c>
      <c r="I8430" t="inlineStr">
        <is>
          <t>そのため、街灯などの影響を受けにくい夜間に暗くなる場所で栽培する。；それぞれに違った環境でそれぞれの悩みを抱えつつ夜間に通う生徒たち。；主に夕方から夜間に特急列車の通過待ちを行う列車が中線を使用している。；多くの種は渡りを行い、夜間や渡りの際に大規模な群れを形成することもある。；これは、バックスタッフでは使用が困難な夜間での使用を可能にする。；昼行性だが、繁殖期には昼間だけでなく夜間にも採食を行うこともある。；夜間にイカダ上に落下したトビウオを集めて朝食にしたとの記述もある。；これまで、支援教育が必要な生徒は夜間定時制高等学校に入学していた。；また設立当初行っていた夜間授業は最初に認可されたものである。；加えて学校では夜間社会人のための講義をするために設置されることが多い。；早朝に新開地発大阪梅田行きが1本運転されるほかは夜間に運転される。；またこの状況下では昼間・夜間での機体の共有は不可能となった。；各系統とも、列車の運行がない日中や夜間にも運行されている。；近鉄線とJR線との間にはJRの夜間帯泊用の線路があり、距離は長い。；現在も地下の留置線部分は残っており、夜間に車両が留置されている。；前述のように坊は時間が来ると閉門するため夜間は外来客はなくなる。；夜間はライブ映像ではなく、以前に撮影された映像を放送している。；早朝や夜間などに、石岡駅から当駅までの区間列車が設定されていた。；そのためC56形は、昼間は運行せず夜間に細々と運行され続けたという。；その他、生駒鋼索線でも日中や夜間に途中駅に停車しない便が設定される。；濃霧発生時だけでなく見通しの悪い夜間にも稼働している場合がある。；朝の上り5本と夕方 - 夜間の一部は品川駅発着で運転されている。；当日夕方から夜間と翌日分と合せた1日半分の番組表を掲載している。；そして8月12日から13日にかけての夜間に実行することで決まった。；早朝・深夜と土休日の夜間をのぞき苦楽園口駅で上下列車の交換を行う。；被害の大きい峠道などでは、夜間通行止めにせざるを得ない状況にもなっている。；朝と平日の夕方・夜間は大和路快速の代わりに区間快速が運転されている。；ナイトシーンだが、オープンセットであるため、撮影は夜間に行われた。；多くは夜行性で、昼間は樹皮の隙間などの物陰に隠れ、夜間に活動する。</t>
        </is>
      </c>
      <c r="J8430">
        <f>HYPERLINK("https://www.weblio.jp/content/夜間", "词义详情")</f>
        <v/>
      </c>
      <c r="K8430">
        <f>HYPERLINK("https://yourei.jp/夜間", "查看例句")</f>
        <v/>
      </c>
    </row>
    <row r="8431">
      <c r="A8431" t="inlineStr">
        <is>
          <t>焼肉</t>
        </is>
      </c>
      <c r="B8431" t="inlineStr">
        <is>
          <t>成功</t>
        </is>
      </c>
      <c r="C8431" t="inlineStr">
        <is>
          <t>読み方：やきにく
肉を焼いたもの。また、牛・豚などの肉や内臓にたれをつけ、直火で焼きながら食べる料理。</t>
        </is>
      </c>
      <c r="D8431" t="inlineStr">
        <is>
          <t>焼肉レストラン(2%)；焼肉用；焼肉店；焼肉屋；焼肉業界</t>
        </is>
      </c>
      <c r="F8431" t="inlineStr">
        <is>
          <t>回転焼肉</t>
        </is>
      </c>
      <c r="G8431" t="inlineStr">
        <is>
          <t>焼肉屋；焼肉定食；焼肉料理；焼肉のたれ；焼肉屋さかい</t>
        </is>
      </c>
      <c r="H8431" t="n">
        <v>29</v>
      </c>
      <c r="I8431" t="inlineStr">
        <is>
          <t>事件から一週間が過ぎた夜、私と兄と葉月は三人で焼肉を食べに行った。；ふり返ってみると、焼肉を食べに行く時はたいてい男といっしょだった。；焼肉食べ放題の店を一軒か二軒、潰しているんじゃないかと思いますよ。；こうして叙々苑焼肉弁当を持って各メンバーにその事を報告することに。；焼肉は韓国の消費者だけでなく、様々な国の消費者にもよく知られている。；そのうちに牛の焼肉もくれたが、これも受け取るとすぐに海に捨てた。；田淵が焼肉や寿司に連れて行った時も、ブリーデンはずっと話していた。；エサウは焼肉のために長子権を抛ち、保吉はパンのために教師になった。；で、帰ってきた嵐山さんを、庭瀬先生はすぐ焼肉屋へ連れて行ったという。；焼肉の匂いで食事ができるものなら、それこそえらい倹約ではないか!；それからまた洒落た小さなレストランに入ってビールを飲み、焼肉を食べた。；特に焼肉は冷たいビールが味方についてくれたりすると、もう完全に私の勝ち。；家来は毎日、この方法で肥らせた人間を一人ずつ焼肉にして、王に供した。；サウナや焼肉屋のあるビルに入り、脂じみたエレベーターで五階に上る。；焼肉が高級外食とされ、専門店も多く韓国以外の国でも人気がある。；羊の群が焼肉にされ食われて消滅したように、土民たちもまったく消滅した。；バーベキューという行為には、単に焼肉を食す以上の意味があるらしい。；ポロスは宴でヘーラクレースには焼肉を勧めたが、自分は生肉を食べた。；焼肉をおなかいっぱい食べたはずなのに、スイーツも食べちゃいました。；とくに私は風邪を引いたりすると、すぐに理由ができたみたいにして焼肉を食べに行く。；第41回では焼肉と人間の肉を好んで食べる本性が明らかになった。；中国を代表するモンゴル式焼肉の専門店で、中華老字号のひとつである。；焼肉を食べるって言ってたのは、その中にある焼肉屋さんのことだったらしい。；とかそんな話を書いていたら焼肉が食べたくなったので今晩は焼肉にしようかと思います。；私と焼肉を食べる人間は、かなり不利な立場に置かれることを覚悟しなければならない。；焼肉業を営む企業やその周辺企業が構成会員となっている。；それはそれで楽しいことでもあるのだけど、焼肉の場合は黙っていても舌と胃袋が喜んでしまう。；「俺を焼肉にしたいらしいな」 流れる汗が目の中に入った。；ふたりともまげた片肘に、焼肉を山のように盛った大盤をのせている。</t>
        </is>
      </c>
      <c r="J8431">
        <f>HYPERLINK("https://www.weblio.jp/content/焼肉", "词义详情")</f>
        <v/>
      </c>
      <c r="K8431">
        <f>HYPERLINK("https://yourei.jp/焼肉", "查看例句")</f>
        <v/>
      </c>
    </row>
    <row r="8432">
      <c r="A8432" t="inlineStr">
        <is>
          <t>野球</t>
        </is>
      </c>
      <c r="B8432" t="inlineStr">
        <is>
          <t>成功</t>
        </is>
      </c>
      <c r="C8432" t="inlineStr">
        <is>
          <t>読み方：やきゅう
米国で発達した球技の一。九人編成の二つのチームが各9回ずつ攻撃と守備を交替しながら得点を争うもの。攻撃側は守備側の投手の投げる球をバットで打ち、四つの塁を回って得点する。明治6年（1873）日本に伝えられた。明治28年発行の「一高野球部史」以降、訳語として定着したとされる。ベースボール。</t>
        </is>
      </c>
      <c r="D8432" t="inlineStr">
        <is>
          <t>野球チーム(4%)；野球指導者(3%)；野球連盟；野球大会；野球場</t>
        </is>
      </c>
      <c r="E8432" t="inlineStr">
        <is>
          <t>ベースボール；ベイスボール</t>
        </is>
      </c>
      <c r="F8432" t="inlineStr">
        <is>
          <t>東都大学野球；社会人野球；野球競技；野球塾；野球留学</t>
        </is>
      </c>
      <c r="G8432" t="inlineStr">
        <is>
          <t>野球場；野球選手；野球解説者；野球中継；野球帽</t>
        </is>
      </c>
      <c r="H8432" t="n">
        <v>29</v>
      </c>
      <c r="I8432" t="inlineStr">
        <is>
          <t>僕はアメリカに来て野球が楽しいと思えるだけで、成功だと思うんです。；一年先輩である浜崎忠治と仲間になったことがきっかけで野球を始める。；野球は日本において盛んに行われており、国民的スポーツとされている。；スコアボードの下にも座席が設けてあり、野球開催時以外に使用される。；母親がプレーしていたソフトボールに影響されて野球を始めたという。；特に野球・サッカー・格闘技等のスポーツコンテンツに力を入れている。；アメリカでは映画のジャンルとして野球映画が継続して制作されている。；野球も米国の強い影響を受けて、人気スポーツのひとつに数えられる。；宣弘社の渡辺邦彦は、同社時代に一緒に野球をしていたと証言している。；野球に関しては阪神タイガースを取り上げないことも特徴にされている。；にはアメリカ野球コーチ連盟から高校年間最優秀選手賞に選出されている。；野球の試合で使用する場合、スコアの表示は開設当時は9回までだった。；小学4年生時に代陽小学校野球クラブに入団し、投手と一塁手を務めた。；当時の森監督は野球は教えたけど、社会人としての常識を教えなかった。；野球を好んでしている描写はあるが、基本的に運動能力は極めて低い。；最初に金田さんと出会えたおかげでいい野球人生を送ることができました。；私が主人に野球のことで口を出したのはその時が初めてです。；この頃、日本を訪問したアメリカ人によって日本に野球が伝えられた。；小学生の頃は野球をしたりスイミングクラブに通うスポーツ少年だった。；榎本さんとの勝負だけは野球をやっている感じがしませんでした。；他に九州六大学野球連盟のリーグ戦など大学野球の試合にも利用される。；プロ入りした時、野球の何たるかを教えてくれた恩人ともいえる方でした。；この項では野球の試合における流れやルールなどをある程度まとめて解説する。；野球のテレビ中継などでは「勝利投手の権利が消滅した」と表現される。；幼少期より新聞で丸めたボールを棒で打つ野球に似た遊びをしていた。；他のスポーツで様々な動きを吸収し、それが野球の動きにも応用できているという。；「当時学んだ広商野球は今も僕のベースになっている」と話している。；また翌1880年には、世界初の野球のナイター試合が開催されている。；サッカーや野球などの競技でチームのレプリカユニフォームが製造されている。</t>
        </is>
      </c>
      <c r="J8432">
        <f>HYPERLINK("https://www.weblio.jp/content/野球", "词义详情")</f>
        <v/>
      </c>
      <c r="K8432">
        <f>HYPERLINK("https://yourei.jp/野球", "查看例句")</f>
        <v/>
      </c>
    </row>
    <row r="8433">
      <c r="A8433" t="inlineStr">
        <is>
          <t>焼く</t>
        </is>
      </c>
      <c r="B8433" t="inlineStr">
        <is>
          <t>成功</t>
        </is>
      </c>
      <c r="C8433" t="inlineStr">
        <is>
          <t>読み方：やく
［動カ五（四）］
１火をつけて燃やす。また、燃やしてなくす。焼失する。「枯れ草を—・く」「失火で家を—・く」
２火に当てて熱を通し、食べられるようにする。「魚を—・く」
３火で熱して製品などをつくる。「瓦を—・く」「炭を—・く」「クッキーを—・く」
４日光などに当てて変色させる。「肌を小麦色に—・く」
５写真の原板から陽画をつくる。「サービス判で—・く」
６
㋐患部に薬品を塗ったり、放射線を当てたりする。「扁桃腺(へんとうせん)を—・く」
㋑薬品で皮膚の組織などを損なう。「酸で手のひらを—・く」
㋒やけどをさせる。「スープで舌を—・く」
７悩んで苦しい思いをする。「恋に身を—・く」
８あれこれ気を使う。扱いなどで悩む。「世話を—・く」「手を—・く」
９（「妬く」とも書く）嫉妬(しっと)する。「上の娘と仲良くすると下の娘が—・く」
10CD・DVD・ブルーレイディスクなどに、音声・文書・画像などのデータを記録する。書き込む。
11（江戸前期、上方の遊里で）うれしがらせを言う。おだてる。
「この道に身をなし、人をよく—・くとて」〈浮・一代女・五〉
[可能]やける
［動カ下二］「やける」の文語形。
[下接句] 肝(きも)を焼く・薫(くん)は香(こう)を以(もっ)て自(みずか)ら焼く・世話を焼く・手を焼く・鍋尻(なべじり)を焼く・一口物(ひとくちもの)に頰(ほお)を焼く・焼き餅(もち)焼くとて手を焼くな</t>
        </is>
      </c>
      <c r="D8433" t="inlineStr">
        <is>
          <t>焼く臭い；焼く煙り；焼く香ばしい匂い；焼くような渇き；焼くような焦燥</t>
        </is>
      </c>
      <c r="E8433" t="inlineStr">
        <is>
          <t>刺す；焼却；燃やす；焚く；ロースト</t>
        </is>
      </c>
      <c r="F8433" t="inlineStr">
        <is>
          <t>煮るなり焼く</t>
        </is>
      </c>
      <c r="H8433" t="n">
        <v>29</v>
      </c>
      <c r="I8433" t="inlineStr">
        <is>
          <t>草を焼く火がひと区切りの川まで燃えねば消えぬもの、と書いてあった。；さらに彼らは目や鼻を焼くような刺激臭のある霧が漂うことに気づいた。；ロマは息子と娘を連れて森へ逃げ、そこで敵軍が村を焼くのを目撃した。；よって誰が焼いたか、何を焼いたかで法的判断されるべきものではない。；これは焼く際にひび割れをしないようにするためだと考えられている。；この祭では現存する古い共同のパン焼き小屋でパンを焼く儀式が行われる。；それであわててここへ来てみたら、彼女が日記を焼こうとしていたんですよ。；あなたは雷火を天から借りて来て、わたしを焼こうとでも思うのですか。；帯の間にはさんだままにしておいた新聞の切り抜きが胸を焼くようだった。；これをそのまま切って食べるものと、さらに焼いて食べるものがある。；に漬けた後にオーブンなどで乾燥させながら焼いて作られることもある。；食事に手をつけず、外に出て行こうとするジニにスタッフは手を焼く。；焼く技術と作る技術は一連のものとして同時に日本に入ってきたものである。；蒸したものは白い皮であるが、焼いたものは光沢のある茶色の皮である。；あの従兄の奴、少しばかり年が上だと思つて、余計な世話を焼くんです。；壺の底は焼く前から穴を開け、中には酒などが入らないように作られていた。；パンを焼く前に、オーブンの温度を確かめるために作られることもある。；ただし、パンを焼くときはより膨らみやすいライムギが主に使用された。；生きているそれらをそのまま焼いたり茹でたりするのは厳禁とされている。；私の息子が、今、目の前にいる現実の息子が私を焼こうとしている。；しかし、ダコタ族の戦士達は防御線の一部を突破し、町の一部を焼いた。；これくらい多量に焼くうちには何の温みも飛び去ってしまうであろう。；弟の葬式ではあるが、なにかの世話を焼くために徳蔵も一緒に出て行った。；これが無いと軽く白く空気を含むパンを半分悪くなった材料から焼くことができない。；今まで経験した事のないなつかしさ可愛さが焼くように心に逼って来た。；最終的には今日見られるのと同様に窯に入れて焼くようになった。；だから私は世話を焼こうとするのでもケチをつけたりしようとしているのでも無い。；彼女は家に戻り、パンを焼くために家を訪れていた船の料理人たちの目に入る。；焼く際、多くの人に見てもらうことで厄祓いの効果が高まるとされている。</t>
        </is>
      </c>
      <c r="J8433">
        <f>HYPERLINK("https://www.weblio.jp/content/焼く", "词义详情")</f>
        <v/>
      </c>
      <c r="K8433">
        <f>HYPERLINK("https://yourei.jp/焼く", "查看例句")</f>
        <v/>
      </c>
    </row>
    <row r="8434">
      <c r="A8434" t="inlineStr">
        <is>
          <t>役</t>
        </is>
      </c>
      <c r="B8434" t="inlineStr">
        <is>
          <t>成功</t>
        </is>
      </c>
      <c r="C8434" t="inlineStr">
        <is>
          <t>読み方：え
古代、人民に割り当てられた肉体労働。夫役(ぶやく)。えだち。「えよぼろ（役丁）」のように他の語と複合した形で用いられる。</t>
        </is>
      </c>
      <c r="D8434" t="inlineStr">
        <is>
          <t>役割り；役格；役御免；役高；役席</t>
        </is>
      </c>
      <c r="E8434" t="inlineStr">
        <is>
          <t>仕事；務め；軍；戦；戦争</t>
        </is>
      </c>
      <c r="F8434" t="inlineStr">
        <is>
          <t>進行役；お役；補佐役；監視役；本人役</t>
        </is>
      </c>
      <c r="G8434" t="inlineStr">
        <is>
          <t>役人；役目；役者；役員；役所</t>
        </is>
      </c>
      <c r="H8434" t="n">
        <v>29</v>
      </c>
      <c r="I8434" t="inlineStr">
        <is>
          <t>大三元は初期の頃から存在していた役だが、当時の名称は三元和だった。；しかし、主人公のサポート役に徹した時は効果的な働きをすることが多い。；優秀なマリはたびたびこの役を指名されたが、それは大変な屈辱だった。；役満の中で比較的完成するのが容易であるとされるのは次の3つの役である。；手札を正しく交換し、高い役を作り多くの配当を得ることを目的とする。；これはウォルトに経営面のサポート役を立てる事の必要性を痛感させた。；また準座人の地位にある銀見役は六歩から二歩半程度であった。；ただし、ミヤベくんは後から別の作品で女流作家役としても起用された。；子供の役であっても台詞がある場合には大人の俳優がそれを演じる。；また一代限りの地金鑑定を行う銀見役は準座人としての地位であった。；主人公健太役の堀川亮は本作で主演での声優デビューを果たしている。；日本以外では、子供の役は子供に担当させることが主流である。；同じインタビューでパチーノはコッポラが役をくれたとも語っている。；俳優の中には、ある役で高く評価されて人気が出る人もいる。；死去したつかせのりこや川上とも子から持ち役の一部を引き継いでいる。；このため、日本麻雀の一般役の中では最も歴史が新しいものである。；高位の役が期待されるため、賭けの総額も必然的に増加する傾向にある。；この役は又一と同じく、主人公万俵鉄平の妻の父、いわゆる義父である。；この役はブランドの最高の演技のひとつに数えられる。；基本的には主演といわれる俳優の役は主人公である。；但し、ここで言うところの俳優とは台詞のある役を演ずる者のことである。；その後も結成されようとしている組合との交渉役をベネットに任せている。；チューリングはコンピュータがプレイヤーAの役をするのはどうかと提案した。；これは、市民の秩序と安全のためであり、この際に二人役を辞職させている。；この時期から家康への他の国衆の取次役を担っていたことが分かる。；役の難易度はそれほど高くはなく、狙って作るのもそれほど難しいことではない。；天和・九蓮宝燈と並び、麻雀で成立させることが最も難しい役とされる。；当初ハートマン役の予定だったは、交代させられたことが非常に不満だったという。；父老の中から県三老・郷三老が選ばれ、それぞれ県・郷の纏め役となった。</t>
        </is>
      </c>
      <c r="J8434">
        <f>HYPERLINK("https://www.weblio.jp/content/役", "词义详情")</f>
        <v/>
      </c>
      <c r="K8434">
        <f>HYPERLINK("https://yourei.jp/役", "查看例句")</f>
        <v/>
      </c>
    </row>
    <row r="8435">
      <c r="A8435" t="inlineStr">
        <is>
          <t>訳</t>
        </is>
      </c>
      <c r="B8435" t="inlineStr">
        <is>
          <t>成功</t>
        </is>
      </c>
      <c r="C8435" t="inlineStr">
        <is>
          <t>読み方：やく
［音］ヤク（呉）　［訓］わけ
［学習漢字］6年
〈ヤク〉他の言語に言いかえる。「訳載・訳者・訳出・訳文／意訳・完訳・誤訳・重訳・抄訳・対訳・直訳・通訳・点訳・翻訳・名訳・和訳」
〈わけ〉「事訳・諸訳」
［名のり］つぐ</t>
        </is>
      </c>
      <c r="D8435" t="inlineStr">
        <is>
          <t>訳じゃない；訳題；訳経；訳聖書；訳版</t>
        </is>
      </c>
      <c r="E8435" t="inlineStr">
        <is>
          <t>わけ；意味；由来；事情；感覚</t>
        </is>
      </c>
      <c r="F8435" t="inlineStr">
        <is>
          <t>そんな訳；現代語訳；そういう訳；英語訳；なかった訳</t>
        </is>
      </c>
      <c r="G8435" t="inlineStr">
        <is>
          <t>訳し；訳語；訳す；訳者；訳書</t>
        </is>
      </c>
      <c r="H8435" t="n">
        <v>29</v>
      </c>
      <c r="I8435" t="inlineStr">
        <is>
          <t>本気で神になると信じていた訳ではなく、彼の最後のユーモアであった。；映画をジャンル分けする際の明確な定義というものがある訳ではない。；しかし、その時点に於いては救済が約束されている訳では無いと考える。；通常このような事故は稀であるが、全く発生していない訳ではない。；これらは主に使用される組み合わせで、必ずこれのみで対応する訳ではない。；もっとも、この記事に書かれている事件が本当に起きた訳ではない。；しかしコンピュータが心を用いてかけ算している訳でないのは明らかである。；しかし新たにつくられた郡がすべて支郡から始まっている訳ではない。；この世界は現存在が責任を負えず、選んだ訳でもない事物に満ちている。；これに示されているように、正教会でも火葬が禁止されている訳ではない。；輸送は、英語のTransportに相当する語の訳として使用される。；しかし研究者は本種が骨を頻繁にかじっていた訳でないとしている。；しかし、これらの概念や実装は一朝一夕にして成立・普及した訳ではない。；番組は視聴率が大きく落ちた訳でもなかったが、突如打ち切りとなった。；マゼランは1513年1月に帰国するが、帰国した訳も分かっていない。；このような金属をつくる元素は宇宙の誕生とともに生成された訳ではない。；ヨーロッパに渡った三国志も満洲語訳をフランス語に翻訳したものであった。；これは意味が通らないが、田島訳では直後にという解釈を挿入している。；しかし北方の強国はこのまま黙って没落を受け入れていた訳ではなかった。；ただし、彼らの子孫すべてが軍事貴族・武士へ成長した訳ではない。；また玄奘以降の訳僧もこれらの理由から音写を用いたと考えられる。；これらとスペイン語訳版は、アダム・スミスの存命中に出版されている。；しかしながら、全ての科学者がこの観点を支持している訳ではない。；放送区域内だからといって必ずしも全ての局が安定して受信できる訳ではない。；材木として栽培されている訳ではないので一般に流通する事は少ない。；新約聖書内には、旧約から引用する際、この訳を用いている場合が多い。；サラディンは訳を訊ねるが弟は答えず、彼の言う通りに捕虜を与えてやった。；さすがに録り直しする訳にもいかず、放送されることもなかった。；この作品のドイツ語訳は1907年にヴロツワフで演奏されている。</t>
        </is>
      </c>
      <c r="J8435">
        <f>HYPERLINK("https://www.weblio.jp/content/訳", "词义详情")</f>
        <v/>
      </c>
      <c r="K8435">
        <f>HYPERLINK("https://yourei.jp/訳", "查看例句")</f>
        <v/>
      </c>
    </row>
    <row r="8436">
      <c r="A8436" t="inlineStr">
        <is>
          <t>約</t>
        </is>
      </c>
      <c r="B8436" t="inlineStr">
        <is>
          <t>成功</t>
        </is>
      </c>
      <c r="C8436" t="inlineStr">
        <is>
          <t>読み方：やく
［音］ヤク（呉）（漢）　［訓］つづめるつづまやか
［学習漢字］4年
１ひもで結ぶ。締めくくる。「制約・括約筋」
２ひもで結び目を作り、取り決めの目印とする。広く、約束のこと。「約束・約諾／違約・解約・規約・契約・公約・口約・婚約・条約・誓約・先約・締約・売約・密約・予約」
３短く縮める。かいつまむ。つづめる。「約音・約言／簡約・集約・要約」
４むだを捨て、全体を引き締める。つづまやか。「倹約・節約」
５あらまし。大体。「大約」
６共通の数で割る。「約分／公約数」
［名のり］なり</t>
        </is>
      </c>
      <c r="D8436" t="inlineStr">
        <is>
          <t>約一；約二；約三；約半分；約五</t>
        </is>
      </c>
      <c r="E8436" t="inlineStr">
        <is>
          <t>ほとんど；ほぼ；近くに；およそ；殆ど</t>
        </is>
      </c>
      <c r="F8436" t="inlineStr">
        <is>
          <t>長さ約；年間約；高さ約；全長約；徒歩約</t>
        </is>
      </c>
      <c r="G8436" t="inlineStr">
        <is>
          <t>約し；約定；約束事；約束の日；約束の場所</t>
        </is>
      </c>
      <c r="H8436" t="n">
        <v>29</v>
      </c>
      <c r="I8436" t="inlineStr">
        <is>
          <t>アメリカ大陸の各地では、約2000年以上前から栽培が行われていた。；その範囲の総生産額は約97兆円でカナダを上回る規模ともなっている。；この空間までの現在の距離であるは、約450億光年と推定されている。；報告の中には、西アフリカの約9割が既に破壊されたというものもある。；州内には他にも約12の商業空港と多くの一般用と空港がある。；約20万年前から活動を行い、約4万年前頃に現在の形に近い物となった。；彼女の死から約40年後の2000年にはロックの殿堂入りを果たした。；被害額は当時にして約2億ドル、家を失った人は10万人に上ったという。；作図できる正多角形の種類が増えたのは約二千年ぶりのことであった。；約1年後、再び腹部に強い痛みを覚え検査を受け腸閉塞と診断され入院。；また約1000年前に、同様な大地震が発生していた可能性も指摘されている。；ラオスでは、毎年約220万 - 250万トンの米が生産されている。；これらビッグバンにおける元素生成は約10分間で終了したと言われる。；BRICsの一員である南アフリカ共和国では約50万台の生産があった。；また選手の平均現役年数は約9年であり、長くても20年前後である。；人々は海を渡り、各島へ移住していったのは約3万5000年前のことといわれる。；また南部藩時代から元々住んでいた約6万人の領民との軋轢も生じた。；その結果、スポンサー数が186社から1010社と約5倍以上に増加。；しかしネオンは5万分の1と太陽が含む量の約10分の1程度しかない。；その後十勝火山群は休息期に入ったが、約1万年前に活動を再開した。；集英社との独占契約で約14年執筆した後、他社の雑誌でも活動している。；この作品は撮影から約一年後の1976年夏に香港で公開されたが、ヒットせずに終わった。；このため県全体の海岸線の総延長は約580kmに及ぶ。；背丈を基準としているため坐像の場合は、約半分の大きさになる。；少年の頃から約50年の間に相当数の山に登っていて、多くの山を知っている点に自信を持っていた。；この時点での販売本数はアメリカで約15万本、日本で約200万本だった。；最初の結果は約145日のデータを用いて報告された。；スペインとフランスの国境であるピレネー山脈までの距離は約120kmである。；他にも約100種の修飾塩基が存在しているが、全容は解明されていない。</t>
        </is>
      </c>
      <c r="J8436">
        <f>HYPERLINK("https://www.weblio.jp/content/約", "词义详情")</f>
        <v/>
      </c>
      <c r="K8436">
        <f>HYPERLINK("https://yourei.jp/約", "查看例句")</f>
        <v/>
      </c>
    </row>
    <row r="8437">
      <c r="A8437" t="inlineStr">
        <is>
          <t>夜具</t>
        </is>
      </c>
      <c r="B8437" t="inlineStr">
        <is>
          <t>成功</t>
        </is>
      </c>
      <c r="C8437" t="inlineStr">
        <is>
          <t>読み方：やぐ
夜、寝るときに用いる布団・毛布などの総称。寝具。</t>
        </is>
      </c>
      <c r="D8437" t="inlineStr">
        <is>
          <t>夜具蒲団；夜具布団；夜具類；夜具葛籠；夜具包</t>
        </is>
      </c>
      <c r="E8437" t="inlineStr">
        <is>
          <t>寝具</t>
        </is>
      </c>
      <c r="F8437" t="inlineStr">
        <is>
          <t>掛け夜具；豪奢な夜具；薄い夜具；厚い夜具；冷たい夜具</t>
        </is>
      </c>
      <c r="H8437" t="n">
        <v>29</v>
      </c>
      <c r="I8437" t="inlineStr">
        <is>
          <t>お前さんも今のうちに、いい夜具のしたくをしておいた方がいいだろう。；中には夜具や道具が入っているばかりで糸子の着物の端ひとつ見えない。；宿直をしに来る人たちの夜具類を入れた袋もあまり見かけなくなった。；夜具の支度のことを命じたのかと思ったが、そういうわけでもなさそうだ。；すでに夜具が一組のべられていて、客がすぐに寝られるようになっていた。；やはり胸がつまったのね、夜具の重さなども胸にかかるから不思議です。；今年は夏になっても、冬用の夜具類を手許に置いていただきましょう。；私はひとり明るい日の光を夜具にうけながら天井を眺めて、笑った。；彼は室の奥に逃げ出し、寝台の前に膝を折って、夜具の中に顔を埋めた。；まったく思いがけないほどの力で、折之助は夜具の上へ倒れかかった。；夜具をおそるおそるめくると、体がとけて水となり頭だけが残っていた。；夜具は押入れの中に姿を消し、女の衣服やハンドバッグも跡かたもない。；こころみに夜具の中に手をさし入れてみると、まだ温みがのこっている。；その床は夜具がはねのけられて、寝ていた筈の子供の姿は、見えなかった。；二人が姿を消した後、夜具を整える仁吉の口から、重いため息が漏れた。；半助は夜具の中で伸びをし、大きな欠伸をしながら、躯のどこかを掻く。；別に又た運送屋が来て、海岸へもつて行く夜具などの荷造りを始めてゐた。；彼は寒い夜の中に夜具から顔だけ出して、細君の様子をそっと眺めた。；私は言われた通りに夜具の用意を整え、主人にいつでも寝めますと伝えました。；あちこちに夜具の山が見えるのは、この連中が寝るとき用いるものであろう。；夫婦同様になって何年経ったのかと、東吾は暁闇の夜具の中で指を折った。；油臭い蒲団の中で、朝為吉が眼を覚ました時には、隣の夜具は空だった。；彼はすぐに路地へ駈けこんでいって、それを夜具とともに運んで来た。；この士官の情婦は夜具の下にかくれているときから私に興味を与えた。；その声を人に聞かれないようにと、夜具を口にいっぱい押し込んだ。；夜も更けてから夜具のなかで、わたくしはひっそりと涙を流しました。；そして主人の硬くなった足がささえている夜具の上に唇を押しつけた。；傍へ寄ってわざわざ検べると、それは人形に掛ける小さい夜具であった。；於蝶の頭から矢のように、夜具の中へ走りこんできたものがある。</t>
        </is>
      </c>
      <c r="J8437">
        <f>HYPERLINK("https://www.weblio.jp/content/夜具", "词义详情")</f>
        <v/>
      </c>
      <c r="K8437">
        <f>HYPERLINK("https://yourei.jp/夜具", "查看例句")</f>
        <v/>
      </c>
    </row>
    <row r="8438">
      <c r="A8438" t="inlineStr">
        <is>
          <t>役員</t>
        </is>
      </c>
      <c r="B8438" t="inlineStr">
        <is>
          <t>成功</t>
        </is>
      </c>
      <c r="C8438" t="inlineStr">
        <is>
          <t>読み方：やくいん
１ある役目を担当する人。「大会—の指示に従う」
２会社・団体などの経営・業務執行・監査などを受け持つ幹部職員。</t>
        </is>
      </c>
      <c r="D8438" t="inlineStr">
        <is>
          <t>役員たち(3%)；役員人事；役員室；役員待遇；役員選挙</t>
        </is>
      </c>
      <c r="E8438" t="inlineStr">
        <is>
          <t>社長；幹部；理事；取締役；重役</t>
        </is>
      </c>
      <c r="F8438" t="inlineStr">
        <is>
          <t>担当役員；党役員；代表役員；元役員；本部役員</t>
        </is>
      </c>
      <c r="G8438" t="inlineStr">
        <is>
          <t>役員報酬；役員賞与；役員面接；役員運転手；役員車運転手</t>
        </is>
      </c>
      <c r="H8438" t="n">
        <v>29</v>
      </c>
      <c r="I8438" t="inlineStr">
        <is>
          <t>また、次の各号のいずれかに該当する者は、役員となることができない。；また会社組織を立ち上げる際には、役員の人選等にも影響を与えていた。；従来、役員は地域協会の職員や元選手などサッカー関係者で占められてきた。；協会員も会議に出席し発言することができ、理事長以下諸役員が出席する。；また同役員の話には、横領の件と不適切会計の件の間に矛盾があるという。；さらに同年10月には会長も辞任し、同社の役員から退くこととなった。；歴代の社長ら役員は、財界活動に積極的であることも知られている。；日本の商法、会社法では株式会社における役員は次のようになっている。；ヤニアスは後に投資運用に戻ったが、ブリタニカの役員ではあり続けた。；中間区間の工事は中断し、役員も相次ぎ交代し体制は安定しなかった。；このような事態を重大視し、松川は朝里川温泉に全役員を集め事情を説明。；芸術への高い関心からオルセー美術館の役員にも任命されている。；同社の役員は、基本的に参加スーパーの運営会社の役員が兼務している。；英連邦諸国の会社法や香港の会社条例における役員も同様の定めがある。；日本バレーボール協会評議員など、多くの団体の外部役員も務めている。；過去には岡山日日新聞もわずかながら株式を保有し、役員も派遣していた。；徳間は竹井に請われて同社の役員になった関係で残務処理に当たっていた。；本部役員は正・副の理事長と若干名の理事・監事で構成されている。；多くは、その神社を管轄する神社庁の役員又は参事などが任命される。；当然、協会から出る給料はなく、会長を始め協会役員は無給で働いていた。；当時のテラネッツの役員の冴島鋭士は、自身を敗者の代表と称している。；また、拓銀出身の役員が多数派遣されており、極めて緊密な関係にあった。；また、その他の役員は会長の指名により執行委員の中から決められる。；これは役員が農地の適正な利用を監視出来る効果があるとされる。；もしこれが本体の役員だったら彼はそっちに行ってサッカーに関わっていなかったと思いますよ。；その一方で、数多くの漫画家や編集者、役員や社長とも衝突したとされる。；社外取締役と社外監査役はほぼフェイス側の役員が兼任する形となった。；役員は、会社の実質的所有者である社員とは必ずしも一致しない。；またこれらの役員等は会社法において会社の機関であることに留意されたい。</t>
        </is>
      </c>
      <c r="J8438">
        <f>HYPERLINK("https://www.weblio.jp/content/役員", "词义详情")</f>
        <v/>
      </c>
      <c r="K8438">
        <f>HYPERLINK("https://yourei.jp/役員", "查看例句")</f>
        <v/>
      </c>
    </row>
    <row r="8439">
      <c r="A8439" t="inlineStr">
        <is>
          <t>役者</t>
        </is>
      </c>
      <c r="B8439" t="inlineStr">
        <is>
          <t>成功</t>
        </is>
      </c>
      <c r="C8439" t="inlineStr">
        <is>
          <t>読み方：やくしゃ
１能楽・歌舞伎などで、役に扮(ふん)して演じる人。俳優。
２駆け引きなどにたけている人。また、人前で抜け目なく振る舞う人。「なかなかの—で油断ならない人」
３役目に当たる人。役人。
「飯をはからひもり、人にすすむる—を」〈咄・醒睡笑・一〉</t>
        </is>
      </c>
      <c r="D8439" t="inlineStr">
        <is>
          <t>役者たち(4%)；役者達；役者活動；役者志望；役者業</t>
        </is>
      </c>
      <c r="E8439" t="inlineStr">
        <is>
          <t>俳優；キャスト；配役；男優；出演者</t>
        </is>
      </c>
      <c r="F8439" t="inlineStr">
        <is>
          <t>若い役者；悲劇役者；百面相役者；歌舞妓役者；女形役者</t>
        </is>
      </c>
      <c r="G8439" t="inlineStr">
        <is>
          <t>役者さん；役者が一枚上；役者買い；役者評判記；役者不足</t>
        </is>
      </c>
      <c r="H8439" t="n">
        <v>29</v>
      </c>
      <c r="I8439" t="inlineStr">
        <is>
          <t>役者や振付師などのお師匠さんたちが、独自に公演をするようになった。；声優業も役者がやっていく仕事になるのではないかと思ったと語っている。；また渥美が役者を目指すようになったのにはある刑事の言葉があると言う。；役者たちは吐く息が白くならないように、口中に氷を含んで演技をした。；本作に出演した生徒から、後に第一線で活躍する役者が多く輩出された。；岐阜女子商業高校在学中に演劇を始め、主に脚本と役者を担当していた。；役者だったらこの野郎お前、監督の言われた通りにやりゃいいんだよ!!；両親共に役者で、彼女が幼いときはアトランタで演技学校を経営していた。；観客から見て美しいかたちに見えるのは役者が苦しい体勢であるという。；実際勉強になったし、しっかりした芝居ができる役者を目指したかったので。；当時は劇場の役者への演技指導や、施設のプロデュースを行っていた。；また地方ロケでは、その地方出身の役者を起用することも少なくなかった。；高校卒業後は本格的に役者を目指してタフツ大学へ進学して演技を専攻。；私が出たら石橋の何かを見てもらいたいと思うのが役者ですから。；記載順は役名、日本の小説でその位置に該当する人物名、演じる役者名。；子供をもうけてから「役者である前に一人の人間だ」と考えを改めた。；緒形はこの三男の死をきっかけに役者の道を意識するようになったとのこと。；実際に会ってみて役者としての伊藤に一目惚れしたことも明かしている。；役者としては、自分より妹の方が優れていると思っている発言をした事がある。；寺田農は「最期まで役者の芝居を信じなかった人だった」と語っている。；数々の役者をスターにのし上げ「テレビ界の名伯楽」とも呼ばれていた。；顔が俳優のように整っていたため映画会社から役者へのオファーがあった。；ティム・バートン制作の作品に多く起用される役者の1人でもあった。；演出姿勢として自らの画に集中し、役者がどう演技するかは拘らなかった。；人気・実力共にアメリカを代表する役者の地位を不動のものとした。；役者仲間からは本名を元にした「トモちゃん」の愛称で呼ばれている。；いろんな役者に私も『広島に連れて行ってください』って言われるんです。；「最後の上方役者」と呼ばれた延若の死は一つの時代の終わりでもあった。；現場ではピアノの生伴奏を役者にイヤホンで聞かせながら撮影した。</t>
        </is>
      </c>
      <c r="J8439">
        <f>HYPERLINK("https://www.weblio.jp/content/役者", "词义详情")</f>
        <v/>
      </c>
      <c r="K8439">
        <f>HYPERLINK("https://yourei.jp/役者", "查看例句")</f>
        <v/>
      </c>
    </row>
    <row r="8440">
      <c r="A8440" t="inlineStr">
        <is>
          <t>役所</t>
        </is>
      </c>
      <c r="B8440" t="inlineStr">
        <is>
          <t>成功</t>
        </is>
      </c>
      <c r="C8440" t="inlineStr">
        <is>
          <t>読み方：やくしょ
１役人が公務を取り扱う所。官公庁。
２戦陣で、各将士が本拠とする詰所。
「己が—に走り入り、火を懸けて腹掻き切って死ににけり」〈太平記・二八〉
３中世、関所のこと。〈黒本本節用集〉
４遊里で、遊女の出る張り見世。
「昨日は風邪の心地にて—をも引き居りしままっさ」〈滑・浮世床・初〉</t>
        </is>
      </c>
      <c r="D8440" t="inlineStr">
        <is>
          <t>役所前；役所勤め；役所内；役所庁舎；役所跡</t>
        </is>
      </c>
      <c r="E8440" t="inlineStr">
        <is>
          <t>機関；局；官；署；府</t>
        </is>
      </c>
      <c r="F8440" t="inlineStr">
        <is>
          <t>港区役所；西区役所；北区役所；南区役所；州役所</t>
        </is>
      </c>
      <c r="G8440" t="inlineStr">
        <is>
          <t>役所仕事；役所言葉</t>
        </is>
      </c>
      <c r="H8440" t="n">
        <v>29</v>
      </c>
      <c r="I8440" t="inlineStr">
        <is>
          <t>実際に役所に提出する書類の記載要領として以下のように書かれている。；そして目をつけたのが、晁錯が役所の建物の南の壁に空けた穴であった。；ただ役所に出さえしなければしいのであるから、一身のためにはともない。；本名に「ハンス」は含まなかったが、のちに役所に正式に登録している。；これらの作品は、警察署や役所・図書館などで貸し出しを行なっている。；かつて赤坂区の役所が置かれていた地に記念碑が立てられている。；若狭野の陣屋跡地には紙幣関係業務を行った役所の建物が現存している。；官吏の場合は職名が、役所の場合は役所名が刻まれるのが一般的である。；また加盟国の役所や警察に国旗と同様に掲げられている場合もある。；英龍は自身や自身の役所、支配地の村々まで積極的な倹約を実施した。；しかし、実際に管理していたのは刑務所を管理する役所であった。；明治以後は佐世保市役所や佐世保小学校など行政・文教施設が林立した。；自治体役所はアウデルケルク・アーン・デ・アムステルに置かれている。；陣屋は表門を入ると、左手に地方、右手に役所、その先に居館があった。；まず中心部に広場を作り、その周りに教会と役所を配置した。；自治体への苦情が寄せられているが対応は役所によりまちまちである。；市区町村の役所窓口などに申請し、対象者の資格を確認して発行される。；そして九州北部を中心に役所や学校を狙った空き巣をしていたことを自白した。；このため、軍部や県役所は、唐手に興味をもつようになったと言われている。；孫権はこれを受け、孫慮に仮節を与えて開府させ、半州に役所を置かせた。；役所が置かれた都市・地域は経済的に発展する傾向がある。；かつての城は、現在の初雁公園から川越市役所に至る広さであった。；同時代の寺院や役所が近辺に存在した可能性が考えられている。；小さな町だが、クック諸島の中では一番人口が多い町で、役所や銀行などがある。；役所の置かれていた三の丸は、高萩市立松岡小学校の敷地となっている。；また、公的な目的として役所の機能を果たしたとも考えられている。；役所の地下には巨大な基地を持ち、市長の招集があると、基地に集合する。；新地前には俵物役所が置かれ、中国向け輸出の俵物の買集所とされた。；このため、藩は紙方役所を廃止し、百姓の11か条の要求を全て受け入れた。</t>
        </is>
      </c>
      <c r="J8440">
        <f>HYPERLINK("https://www.weblio.jp/content/役所", "词义详情")</f>
        <v/>
      </c>
      <c r="K8440">
        <f>HYPERLINK("https://yourei.jp/役所", "查看例句")</f>
        <v/>
      </c>
    </row>
    <row r="8441">
      <c r="A8441" t="inlineStr">
        <is>
          <t>役職</t>
        </is>
      </c>
      <c r="B8441" t="inlineStr">
        <is>
          <t>成功</t>
        </is>
      </c>
      <c r="C8441" t="inlineStr">
        <is>
          <t>読み方：やくしょく
１役目とその仕事。
２管理職。「—に就く」「—手当」</t>
        </is>
      </c>
      <c r="D8441" t="inlineStr">
        <is>
          <t>役職員；役職ごと；役職定年；役職就任；役職停止処分</t>
        </is>
      </c>
      <c r="E8441" t="inlineStr">
        <is>
          <t>立場；地位；身分；ポジション；ポスト</t>
        </is>
      </c>
      <c r="F8441" t="inlineStr">
        <is>
          <t>様々な役職；相当する役職；公的な役職；高い役職；補佐する役職</t>
        </is>
      </c>
      <c r="G8441" t="inlineStr">
        <is>
          <t>役職者；役職手当</t>
        </is>
      </c>
      <c r="H8441" t="n">
        <v>29</v>
      </c>
      <c r="I8441" t="inlineStr">
        <is>
          <t>この時の役職は航空宇宙司令官となっているが、地位の値は初代と同じ。；この身分が、パースの手にした唯一の大学での役職ということになった。；実業家・政治家で叙された者については著名な役職のみを記載してある。；ここでは歴代担当者が一名のみ、かつ既に廃止された役職を記載する。；役名・役職は公式サイトの作品紹介の文章における記載などを基とした。；米国政府用語一覧はアメリカ合衆国の三権の各機関や役職の一覧である。；その他随行の関係者等にも、その役職に応じた等級の勲章が授与される。；皇子の生計を支えるために設定された一種の封戸を管理する役職である。；また、大名に課する負担や幕府役職の任免も石高に応じたものとなった。；黄州時よりもより高い役職に就いていたために、左遷時の罰も重かった。；自らの役職を明かすのも自由であるが、役職カードを公開してはいけない。；このうち報酬が支払われるのは社長のみで、その他の役職は無給である。；これらの役職は内閣官房組織令で定められた一般職の国家公務員である。；内曲輪の正面やそこに近いほど役職が高く広い屋敷を与えられた。；教師の役職はすべて本部の職員で、一部の助教師も職員の者がいる。；軍や政府の役職に就いたことの無い初の大統領となった。；この役職が制定されたのは、連合規約下の1777年9月6日であった。；準会員は出席した会合での投票権を持つが、役職に就くことができない。；この上の役職は、総頭領と軍師のみで、軍人の中では最高の位である。；企業・団体の管理職の一つで、一般にマネージャーの上位の役職とされる。；この頃の代表監督は契約でなく、協会の組織の中の役職のため無報酬だった。；スターリンはこのリストを役職配分に活用し、やがて公式な制度となった。；合気会における組織上の役職としては理事長がありこれを道主が務める。；しかしヒムラーやハイドリヒには政府の重要な役職は何も回されなかった。；現在の教会組織と役職および称号が固定するのは6世紀である。；また、人狼と村人以外にも後述するように特殊な能力を持つ役職も存在する。；またこのほかにも欧州議会の運営にあたる組織や役職が数多く設置されている。；よって消防総監は警視総監と同様に役職名と階級名が一致している。；また州の監督機関として路があり、そこに置かれる役職は以下のようなものがある。</t>
        </is>
      </c>
      <c r="J8441">
        <f>HYPERLINK("https://www.weblio.jp/content/役職", "词义详情")</f>
        <v/>
      </c>
      <c r="K8441">
        <f>HYPERLINK("https://yourei.jp/役職", "查看例句")</f>
        <v/>
      </c>
    </row>
    <row r="8442">
      <c r="A8442" t="inlineStr">
        <is>
          <t>訳す</t>
        </is>
      </c>
      <c r="B8442" t="inlineStr">
        <is>
          <t>成功</t>
        </is>
      </c>
      <c r="C8442" t="inlineStr">
        <is>
          <t>読み方：やくす
［動サ五］「やく（訳）する」（サ変）の五段化。「日本語に—・されている作品」
[可能]やくせる
［動サ変］「やく（訳）する」の文語形。</t>
        </is>
      </c>
      <c r="D8442" t="inlineStr">
        <is>
          <t>訳すべき(6%)；訳すなら</t>
        </is>
      </c>
      <c r="E8442" t="inlineStr">
        <is>
          <t>翻訳；飜訳；訳出；訳する；訳述</t>
        </is>
      </c>
      <c r="F8442" t="inlineStr">
        <is>
          <t>どう訳す</t>
        </is>
      </c>
      <c r="G8442" t="inlineStr">
        <is>
          <t>訳すれ</t>
        </is>
      </c>
      <c r="H8442" t="n">
        <v>29</v>
      </c>
      <c r="I8442" t="inlineStr">
        <is>
          <t>わたくしの「故郷」を訳したのは今から二十何年前の事であつたらうか。；さういふ翻訳もあつていいが、訳すものも読むものもつまらないだらう。；各国の地域区分を表す語をどのように訳されているかをまとめます。；一般的な訳し方が明確に定まっていないものもあるので注意されたい。；晩年、父親の多くの作品を他の言語に訳し、父親の遺作管理者を務めた。；これは宿楓橋と題する陸放翁の詩だが、私は之を次のやうに訳して見た。；ただし、相当する概念が自国語にない場合など、訳されないこともある。；また章も九十七までしか訳されていないため、完訳には至っていない。；日本語に訳されて一般の出版物として刊行された最初の朝鮮文学である。；好きでもない作品を仕事だからといやいや訳したわけでは決してありません。；初期の中国語版ウィキペディアの記事は多くが英語版から訳されていた。；これも彫刻家が選んだものだそうだが、日本語に訳すとこんな感じになる。；また、以下のように をそれぞれの言語に訳した言葉も用いられる。；それで、そいつを、仲間の川村といふ男と一緒に訳しかけてみたんです。；日本語では「聖杯」と訳しているが、これが杯かどうかは定かではない。；こうしたものは、フランス語の lyceumを訳したものと思われる。；快濶な早川先生御夫婦は私の歌を訳して二夫人に告げられるのであつた。；今ここに最も普通に行われている諸国の俚諺を英語に訳したものを挙げてみよう。；世界のあらゆる思想や芸術は殆ど私の知って居る三つの国語に訳してあるのです。；ギンポと訳されることが多い英語の は、ニシキギンポ科の総称である。；イスラムを経由した学術的な著作がこの世紀には多数ラテン語訳された。；それで先生が、あの手紙を犬のことばに訳してやるわけなんです。；どう訳したらいいか困ったときはプロジェクトの参加者に聞いてみてください。；両者は共に同一の原典から訳されたもので一定の対応関係がある。；先日仕事した社長も、そばで訳す私に一切関心を示さなかったのよ。；日本語の「もっと」を英語に訳すには、どうしたらよいのでしょうか。；狂想曲とも訳されるが、近年では音楽形式の意味で用いられることは少ない。；普通名詞は、現地語ではなく、それぞれの言語に訳されるのが普通である。；それが今日の我々になると、どう訳して良いか訳すべき言葉がない。</t>
        </is>
      </c>
      <c r="J8442">
        <f>HYPERLINK("https://www.weblio.jp/content/訳す", "词义详情")</f>
        <v/>
      </c>
      <c r="K8442">
        <f>HYPERLINK("https://yourei.jp/訳す", "查看例句")</f>
        <v/>
      </c>
    </row>
    <row r="8443">
      <c r="A8443" t="inlineStr">
        <is>
          <t>約束</t>
        </is>
      </c>
      <c r="B8443" t="inlineStr">
        <is>
          <t>成功</t>
        </is>
      </c>
      <c r="C8443" t="inlineStr">
        <is>
          <t>読み方：やくそく
［名］(スル)
１当事者の間で取り決めること。「—を交わす」「結婚の—を破る」「子供に—したことを忘れる」
２ある社会や組織で、守るように定めたきまり。「会の—に従う」「舞台上の—」「漢詩には平仄・脚韻など守るべき—がある」
３その実現が確実視されていること。「社長の椅子が—される」「将来が—された人」
４前から決まっている運命。宿命。因縁。「前世の—」
５⇒お約束2</t>
        </is>
      </c>
      <c r="D8443" t="inlineStr">
        <is>
          <t>約束通り(2%)；約束どおり；約束ごと；約束違反；約束いたし</t>
        </is>
      </c>
      <c r="E8443" t="inlineStr">
        <is>
          <t>法；予定；契約；決め；配置</t>
        </is>
      </c>
      <c r="F8443" t="inlineStr">
        <is>
          <t>夫婦約束；御約束；固い約束；堅い約束；固く約束</t>
        </is>
      </c>
      <c r="G8443" t="inlineStr">
        <is>
          <t>約束の日；約束の場所；約束手形；約束の地；約束ごと</t>
        </is>
      </c>
      <c r="H8443" t="n">
        <v>29</v>
      </c>
      <c r="I8443" t="inlineStr">
        <is>
          <t>そしてしっかり勉強して来年入段できなかったら韓国に帰ると約束した。；また政府では勧誘時の約束を守るつもりがなかったことも発覚している。；しかし、その時点に於いては救済が約束されている訳では無いと考える。；ただし、ここでは非負整数の意味で N を用いているものと約束する。；このとき、約束をしながら果たしていないことが7つほどあると判明。；計画を実行するためにエミーは帰還を約束して未来へと帰っていった。；彼は本拠地が攻撃された時のみ出陣すると、彼女に約束していたからである。；総主教との約束を思い出したガガーリンはさきほどとは違うことを答えた。；フィリピンに独立を保証するという彼らの最近の約束は全く信頼できない。；発表された計画によれば、 など、様々な新要素が約束されていた。；ここにはヴィクトル・スタンクレスクが約束した予備隊が待機していた。；総士は存在が消滅しながらも、いつか竜宮島へ戻ると一騎と約束をした。；アニタが現れ、トニーはドックの店で会うことを約束して窓から逃げる。；日本は対米移民の制限を定めた日米紳士協定の維持を約束していた。；しかしその直後に自民党から出馬を表明してこの約束を反故にしたという。；最終的に残った人と合う約束をして相手が来てくれるかを検証。；道兼も出家することを約束すると天皇もその気になってしまう。；空手の約束組手が神道揚心流に似ているのは、このためであると言う。；ただし、彼は今後戦に出かけないこと、彼女は村へ遊びに出ないことを約束した。；ウリに抵抗がある真生は性行為なしの約束で、一人の男と会う事になった。；チャーチルはとにかく明日にもパリを訪問することを約束した。；だが、約束は守られず、1560年まで三部会が開催された記録はない。；河野は遠征団長を務め、翌年の開催を地元の主催者にも約束していた。；坑夫や鉱山師がラコタ族に約束された土地に違法に侵入するようになった。；ユダヤ教の聖典 をキリスト教は、名称を旧約束の意味に変えて用いている。；同年7月7日のブログ上での約束及び願いを実現する事になった。；これ以降も空手の約束組手は本土の大学生達を中心に改良が重ねられていった。；内閣は取り下げには同意したが、二度と提案しない約束には拒否した。；また、遊女の約束用として死体の小指を売却することもあったという。</t>
        </is>
      </c>
      <c r="J8443">
        <f>HYPERLINK("https://www.weblio.jp/content/約束", "词义详情")</f>
        <v/>
      </c>
      <c r="K8443">
        <f>HYPERLINK("https://yourei.jp/約束", "查看例句")</f>
        <v/>
      </c>
    </row>
    <row r="8444">
      <c r="A8444" t="inlineStr">
        <is>
          <t>役立つ</t>
        </is>
      </c>
      <c r="B8444" t="inlineStr">
        <is>
          <t>成功</t>
        </is>
      </c>
      <c r="C8444" t="inlineStr">
        <is>
          <t>読み方：やくだつ
［動タ五（四）］役に立つ。有用である。「社会に—・つ人材」
［動タ下二］「やくだてる」の文語形。</t>
        </is>
      </c>
      <c r="D8444" t="inlineStr">
        <is>
          <t>役立つ可能性；役立つだろ；役立つかもしれ；役立つかも知れ；役立つだら</t>
        </is>
      </c>
      <c r="E8444" t="inlineStr">
        <is>
          <t>機能；務める；便；利用できる；便利</t>
        </is>
      </c>
      <c r="F8444" t="inlineStr">
        <is>
          <t>特に役立つ；大きく役立つ；最も役立つ</t>
        </is>
      </c>
      <c r="H8444" t="n">
        <v>29</v>
      </c>
      <c r="I8444" t="inlineStr">
        <is>
          <t>フランスとの仕事ではソフトな演技を学び、後の仕事に役立ったという。；この扱いは基本的には正しいのだが、全能性の定義問題には役立たない。；これらは高い所から着地した場合の衝撃を吸収することに役立っている。；それは患者の意思決定支援の質を判断するのに役立つものとなっている。；これまで一度も使う機会はなかったし、今の状況でも役立ちそうにない。；岩場への衝突や捕食者の攻撃から身を守るのに役立っているのであろう。；他の多くの動物は、行の終わりに残ったスペースを埋めるために役立つ。；それを見つめていると、若い高氏の性格描写などの上に大いに役立った。；またやがてそれが作者の心の涵養に役立って居ることに気づくであろう。；周囲には、同様に役立たずとなった車輪付きの鉄箱が行列を作っていた。；これを自己距離化といい、不安への態度の変更に役立つとされている。；自分は自分自身に役立たせるために此の友の死をも摂取せねばならぬ。；また空間を隙間なく充填できることから隙間の効率的な利用にも役立つ。；あなたは自分の注意をひとにぎりの狂人や役立たずどもに集中している。；新設の電話は既に充分役立っていたが、今また有効になりつつあった。；このような試みは物理学が社会に役立っていることを学ぶ機会となりうる。；しかし一方では海軍士官の引き締めに役立ったと評価されることもある。；番組は、放送翌日のレース分析に役立ちそうな情報などを伝えていた。；自分が役立たずであることに嫌気がさしてくるまでにどれくらいかかるか?；腕は胴体部からやや自由に動くことが出来て、運動や摂食の際に役立つ。；これは労働者層の支持を取り戻すのにかなり役立ったと見られている。；これは、教養があり日々の情報に興味がある資本階級の創設に役立った。；これらは、多くの繰り返し単位を含む大きな体系を表現することに役立つ。；後年には万里小路の指導が自分の素養に大きく役立ったと感謝していた。；航空系項目の執筆に役立つかもしれない外部リンクを紹介しています。；さらに、浮気は多くの結婚生活を維持するのに役立っているとしている。；数学や音楽に関心を示し、特に音楽に関する素養は後の生活に役立った。；このような長い軌跡は、いくつかのタイプの生化学的問題に特に役立つ。；この放射状に生えた突起は天敵からの防御に役立ったと考えられている。</t>
        </is>
      </c>
      <c r="J8444">
        <f>HYPERLINK("https://www.weblio.jp/content/役立つ", "词义详情")</f>
        <v/>
      </c>
      <c r="K8444">
        <f>HYPERLINK("https://yourei.jp/役立つ", "查看例句")</f>
        <v/>
      </c>
    </row>
    <row r="8445">
      <c r="A8445" t="inlineStr">
        <is>
          <t>躍動</t>
        </is>
      </c>
      <c r="B8445" t="inlineStr">
        <is>
          <t>成功</t>
        </is>
      </c>
      <c r="C8445" t="inlineStr">
        <is>
          <t>読み方：やくどう
［名］(スル)いきいきと活動すること。「—感にあふれる文章」「—する若い身体」</t>
        </is>
      </c>
      <c r="D8445" t="inlineStr">
        <is>
          <t>躍動する(20%)；躍動的(14%)；躍動感(7%)</t>
        </is>
      </c>
      <c r="E8445" t="inlineStr">
        <is>
          <t>活動；行動；運動；蠢動；生動</t>
        </is>
      </c>
      <c r="F8445" t="inlineStr">
        <is>
          <t>生々躍動</t>
        </is>
      </c>
      <c r="H8445" t="n">
        <v>29</v>
      </c>
      <c r="I8445" t="inlineStr">
        <is>
          <t>かつて人間たちの生の日常はかくも躍動的だったのだと日下部は思った。；青年は野球などの好きな男で、体には若い血が躍動してゐるやうに見えた。；流麗が持つのは躍動する美のように移ろいやすい類のものではなかった。；躍動する生命の流れ、それこそが力であり秘密であり己自身であった。；私が少年らしい躍動を身内に感じていたとしても、それが嘘になろうか?；光が生命の躍動に満ちた生であり存在なら、闇は死であり無である。；ここに躍動していたものは永遠の姿であり、人間の本源的な面貌である。；ある少年は生命の躍動を、つぎのようなたのしい詩にしてうたいあげる。；また中央の白い楕円は躍動する学生たちの未知なる力を表現している。；いまこうして僕たちのあの時代を想い返してみると、すべてが躍動していた。；魅力あるものに非ざれば、作品の躍動しないことも決っていることである。；力のかたまりが、黒い鎧を着て、馬のうえで躍動しているかんじである。；いかに立派な歌詞でもうたふ人々に熱情なくんば斷じてそれは躍動しない。；彼はネットでの下調べで、躍動的な羽犬の姿を見て魅了されたという。；ぴちぴちと躍動する身体を見ていると、うらやましさがこみあげてきた。；躍動する人々の輪の外にいて、忠行はひたすら女の姿に見入っていた。；頬の肉がぴくぴくと躍動して、二の腕が焦燥感に似たものに焦がされる。；自分の内部で血管の一本一本が満足感に震え、躍動しているような気持だった。；窓の外では星たちとホログラムの舞が何も知らぬげに躍動している。；もう人間の皮をかぶった機械じゃなくて、美しい感情の躍動する一つの舞台だ。；その自由さ溌剌さは、魂の躍動は、一種の決意に浸透された後のものである。；躍動する佳子の精神波が、心臓の鼓動のように力強くぼくの心に伝わった。；現実に関与しながら躍動している僕の街への思いも、今は凍り付いたように動かない。；世界は自分たちを無視して躍動しているように見える。；かつて彼らのうちに躍動したような人生や青春の躍動は、彼の中にはなかった。；その案を検討するうちに、胸の中で躍動するものを感じた。；彼女の全身には躍動とリズムがみなぎっていて医者を恍惚とさせた。；縦に大きく開いた服のはざまで、エルフにしては豊かな胸が躍動的に動いた。；オレンジ色の炎が躍動して、語る者と聞く者との影を揺らめかせた。</t>
        </is>
      </c>
      <c r="J8445">
        <f>HYPERLINK("https://www.weblio.jp/content/躍動", "词义详情")</f>
        <v/>
      </c>
      <c r="K8445">
        <f>HYPERLINK("https://yourei.jp/躍動", "查看例句")</f>
        <v/>
      </c>
    </row>
    <row r="8446">
      <c r="A8446" t="inlineStr">
        <is>
          <t>役人</t>
        </is>
      </c>
      <c r="B8446" t="inlineStr">
        <is>
          <t>成功</t>
        </is>
      </c>
      <c r="C8446" t="inlineStr">
        <is>
          <t>読み方：やくにん
１国や地方自治体の機関に勤めている人。官公吏。公務員。
２役目を受け持っている人。
「—ぞ、明けられよとて」〈平家・三〉
３役者。俳優。
「獅子舞の—」〈浮・五人女・一〉</t>
        </is>
      </c>
      <c r="D8446" t="inlineStr">
        <is>
          <t>役人たち(8%)；役人達；役人ども；役人衆；役人共</t>
        </is>
      </c>
      <c r="E8446" t="inlineStr">
        <is>
          <t>公務員；お役人；官僚；官員；吏員</t>
        </is>
      </c>
      <c r="F8446" t="inlineStr">
        <is>
          <t>諸役人；宿役人；幕府役人；選ばれる役人；町方役人</t>
        </is>
      </c>
      <c r="G8446" t="inlineStr">
        <is>
          <t>役人気質；役人村；役人町</t>
        </is>
      </c>
      <c r="H8446" t="n">
        <v>29</v>
      </c>
      <c r="I8446" t="inlineStr">
        <is>
          <t>その一方で、日本の役人が世襲であって科挙を経ていない点を批判した。；フランスは最初は清に対し責任のある役人を処刑するように主張した。；父は当時イギリス領であった香港の役人で、幼少のころは香港で育った。；しかし役人の道を進むとすれば、勤めながら高文を通らねばならない。；しかし用意した贈り物を見た王の役人やイスラム教徒の商人は笑い出した。；元武家の帰農した農民出身であり、幕府で御庭番を務めた役人であった。；さらにはコルホーズの役人が殺害されるなど、農民たちは激しく抵抗した。；父の政吉も仕事人であったが、政の少年時代に、役人の手で処刑された。；役人は古井戸の中へ入ってゆき、サロメはその近くで耳を澄ましている。；その他党派選挙で選ばれる役人候補の指名は別の予備選挙で行われる。；それでは何故役人達の不正が一揆の原因とされるようになったのであろうか。；百姓身分の農民を武士身分の役人が支配する郷村制度が確立した。；役人としての地位は、労務者の取り締まり程度のものであったとされる。；このため、少数民族出身の軍人や役人など有力者が自治権を要求していた。；工事に関わった役人たちは、失敗の責任を問われて処刑された。；これらの土地には代わりに定額給与を受け取る国家の役人らが任命された。；ケンタッキー州は奇数年に州役人の選挙を行う、国内5州の1つである。；役人は萩への道中に暗殺されるかもしれず、会所に留まりたいと言った。；ニュージャージー州は州役人の選挙を奇数年に行う国内5州の一つである。；報道協定の連絡用黒板が設置され、専用の受付には役人が常駐している。；もともとは宮廷の役人だったが、ラブシャケは王族の護衛隊長となった。；また江戸時代には河岸を管理するため役人を置いたりしている。；役人の情報源の見返りとして、各地を旅し興行する権利を得たのである。；酢の入った瓶を出してきた時、父はようやく人の気配を感じたようだ。；若い頃に県の役人となり、風采が優れていることが評判となった。；政府のあらゆる役人は人民の権力のほんの一部を限られた時間のみで享受する。；知事は州全体で選出される唯一の役人であり、ほかの役人は知事が指名する。；幕府はその土地には低給の役人に住まわせたが彼らも苦労が多かったようである。；このとき、中央から派遣した役人が全国の各地方を支配する郡県制が施行された。</t>
        </is>
      </c>
      <c r="J8446">
        <f>HYPERLINK("https://www.weblio.jp/content/役人", "词义详情")</f>
        <v/>
      </c>
      <c r="K8446">
        <f>HYPERLINK("https://yourei.jp/役人", "查看例句")</f>
        <v/>
      </c>
    </row>
    <row r="8447">
      <c r="A8447" t="inlineStr">
        <is>
          <t>役場</t>
        </is>
      </c>
      <c r="B8447" t="inlineStr">
        <is>
          <t>成功</t>
        </is>
      </c>
      <c r="C8447" t="inlineStr">
        <is>
          <t>読み方：やくば
１町長・村長・地方公務員が事務を扱う所。また、その建物。「町—」「村—」
２公証人などが事務をとる所。</t>
        </is>
      </c>
      <c r="D8447" t="inlineStr">
        <is>
          <t>役場前(2%)；役場庁舎；役場職員；役場付近；役場所在地</t>
        </is>
      </c>
      <c r="E8447" t="inlineStr">
        <is>
          <t>市役所</t>
        </is>
      </c>
      <c r="F8447" t="inlineStr">
        <is>
          <t>郡役場；旧役場；戸籍役場；市区町村役場；外役場</t>
        </is>
      </c>
      <c r="G8447" t="inlineStr">
        <is>
          <t>役場事務組合</t>
        </is>
      </c>
      <c r="H8447" t="n">
        <v>29</v>
      </c>
      <c r="I8447" t="inlineStr">
        <is>
          <t>この時の駅は、能生町役場などが置かれた町中心部に近いものであった。；自治体の区域外に役場を設置した町村はこの当時、極めて異例であった。；建物は昭和初期に建築された旧甲浦村役場の庁舎を現在も使用している。；この町のかつての郡役場は、中心的な行政機関としての機能を失った。；役場は旧百引村におかれ、郡は旧市成村が所属していた曽於郡となった。；明治期に周辺と合併し帯高村が成立したとき、当地に役場が設置された。；かつては石碑が建てられていたが、今は東浦町役場の北に移動されている。；明治期に周辺村と合併し豊洲村となったとき、当地に役場が設置された。；リコにある当初の郡庁舎は現在町役場と公共図書館支所に使われている。；村の役場などの機能は新庄市にも近い村の北端、最上川付近に集中する。；その後、1959年に役場を守谷字仲町に移転すると同時に支所を廃止。；西桂町の中心部で役場も南東にすぐ、100メートル以内の場所にある。；国道417号の越前町役場東交差点から南に折れ約100mに位置する。；事務所を網走町役場内に置き、地元での手配や北海道との連絡にあたった。；集落は役場のある村西部と、奥飛騨温泉郷を擁する東部に分散している。；現在は合併で吉備中央町となり、町役場は吉備中央町役場となっている。；毎年6月頃には3年生が旧中島町役場横の能登演劇堂で卒業公演を行う。；この時に当時の塩原役場の裏にある丘に三条が植えた桜の木が今も残っている。；浦安村発足時には浦安村役場が置かれていたが1895年に堀江へ移転。；志布志町役場に勤務していた公務員の父と元陸上選手の母との間に生まれた。；集落には1902年建造の学校兼村役場や戦争記念碑も遺されている。；地区の北半分は平野であり、中央に相可駅が、南部に多気町役場がある。；また、喜入に設置されていた喜入町役場は鹿児島市役所の支所となった。；当駅は那智勝浦町の中心部にあり、役場などの公共機関も近くに存在する。；しかし、男性は役場の非を主張し、弁護士と話さないと対応できないと述べた。；役場などが所在する中心部とは約5km離れており、バスなどでの連絡が必要となる。；フォアシュテッテルは現在も町の中間点に位置し、役場や事務所がここにある。；これが評判となり、彼は役場の要請を受けて教育長に就任した。；この計画では町役場と警察署が行政中心地の新しい建物に移転する事となっている。</t>
        </is>
      </c>
      <c r="J8447">
        <f>HYPERLINK("https://www.weblio.jp/content/役場", "词义详情")</f>
        <v/>
      </c>
      <c r="K8447">
        <f>HYPERLINK("https://yourei.jp/役場", "查看例句")</f>
        <v/>
      </c>
    </row>
    <row r="8448">
      <c r="A8448" t="inlineStr">
        <is>
          <t>薬品</t>
        </is>
      </c>
      <c r="B8448" t="inlineStr">
        <is>
          <t>成功</t>
        </is>
      </c>
      <c r="C8448" t="inlineStr">
        <is>
          <t>読み方：やくひん
薬として用いられる品物。医薬品や化学物質。</t>
        </is>
      </c>
      <c r="D8448" t="inlineStr">
        <is>
          <t>薬品性(2%)；薬品棚；薬品類；薬品会社；薬品工業</t>
        </is>
      </c>
      <c r="E8448" t="inlineStr">
        <is>
          <t>薬；医薬品；薬剤；医薬；メディシン</t>
        </is>
      </c>
      <c r="F8448" t="inlineStr">
        <is>
          <t>用薬品；食糧薬品管理局；薬品箱；薬品名；必要な薬品</t>
        </is>
      </c>
      <c r="G8448" t="inlineStr">
        <is>
          <t>薬品分析化学</t>
        </is>
      </c>
      <c r="H8448" t="n">
        <v>29</v>
      </c>
      <c r="I8448" t="inlineStr">
        <is>
          <t>その一方で、発酵食品や薬品を作るのに重要な役割を果たすものもある。；その生命と建築作品に与えた薬品の影響は議論の対象になっている。；初期の単純な処方は後になってからの複雑な複合薬品とは対照的である。；アメリカでは医師自身が薬品を直接販売する行為は法律で禁じられている。；大きなペプチドおよびタンパク質に基づいた薬品の効果には限界がある。；この薬品が気化しやすいことを利用して吸い込ませる方法が主にとられる。；治療だけでなく毒物として使うことができる薬品を医師は知っていた。；食品・薬品の「混ぜ物処理」を学問的に告発した世界の最初の本である。；死んだ生物の標本や組織を薬品で透明化しての観察も行われている。；この成長に、薬品など技術を持った会社が入って発展が加速された。；主な原料は頭薬・側薬になる薬品と、軸・箱になる木・紙である。；シスメックス国際試薬株式会社は、かつて存在した日本の薬品メーカー。；フッ素化合物を中心とする高純度薬品などの製造および販売を行っている。；耐薬品性などにも優れているため医療現場で使用される多くの製品に使用されている。；しかし現在では、調色せずとも保存性を高める薬品が販売されている。；アメリカの都市を観て歩いても、実に薬品店の多いのに驚かされる。；この性質を利用して食品や薬品の製造に利用されることがある。；第一次世界大戦中は連合軍のために、家族や助手と薬品の製造に従事した。；これらは上の5つの薬品として可能性はありませんが使用している。；上半身の病気は陽が優勢であり、植物の上部から得る薬品が相当する。；全安堂は、かつて輸入薬品や民生用品等が販売されていた薬局であった。；ようやく薬品の配合比も計算したし、その薬品を集めることもできたの。；横浜及び東京試薬場に勤務し薬品の実験指導及び監督を務めた。；そのくせ、なぜ、誰がいかなる薬品で殺したかということを考えないのかね。；このころには三亜薬品工業においては、すでに社長から会長に就任していた。；エレトリプタン等、いくつかの薬品は、臭化水素酸塩の形で販売される。；当初はシュネル博士の研究室で作った薬品を販売する会社であった。；器物の破片の中に混って、数種の薬品を入れた罎が無事に横わっていた。；治療の最初の3日は植物薬品である吐剤および厳しい食養生であった。</t>
        </is>
      </c>
      <c r="J8448">
        <f>HYPERLINK("https://www.weblio.jp/content/薬品", "词义详情")</f>
        <v/>
      </c>
      <c r="K8448">
        <f>HYPERLINK("https://yourei.jp/薬品", "查看例句")</f>
        <v/>
      </c>
    </row>
    <row r="8449">
      <c r="A8449" t="inlineStr">
        <is>
          <t>役目</t>
        </is>
      </c>
      <c r="B8449" t="inlineStr">
        <is>
          <t>成功</t>
        </is>
      </c>
      <c r="C8449" t="inlineStr">
        <is>
          <t>読み方：やくめ
役として成しとげなければならない仕事。役としての務め。「いやな—を負わされる」→御役目(おやくめ)
[用法]役目・役割——「子供が独立して親の役目（役割）も終わった」「秘書としての役目（役割）を果たす」など、なすべき務めの意では相通じて用いられる。◇「役目」の方が口頭語的で、「雨戸の開け閉めは子供の役目だ」「花子の役目はポチにえさをやることだ」のように、日常生活の中でしなければならない仕事については多く「役目」を用いる。◇「役目」は、なすべき務めとそれに伴なう立場を含めていうことがある。「自治会長の役目を退く」◇「役割」はやや文章語的で、「彼はクラス担任としての役割を十分に果たせなかった」のように、組織や団体の中で果たすべき任務の意で用いることが多い。◇「この薬の発見は医学の進歩に大きな役割を演じた」のように「役割」は「役目」に比べて仕事の成果をも含めて用いることがある。</t>
        </is>
      </c>
      <c r="D8449" t="inlineStr">
        <is>
          <t>役目柄；役目を与えられ；役目がら；役目を解か</t>
        </is>
      </c>
      <c r="E8449" t="inlineStr">
        <is>
          <t>用；仕事；務め；目的；機能</t>
        </is>
      </c>
      <c r="F8449" t="inlineStr">
        <is>
          <t>重要な役目；重大な役目；大きな役目；役目御苦労；役目を果してゐる</t>
        </is>
      </c>
      <c r="H8449" t="n">
        <v>29</v>
      </c>
      <c r="I8449" t="inlineStr">
        <is>
          <t>軌道投入から20秒後には役目を終えた飛行ステージの分離が行われた。；山伏は鉄杖で獣を叩き殺し、自分の役目は終わったと言って村を去った。；突き立ったナイフが蓋の役めをしたために、あまり血も流れていない。；副学長が、大学運営会議での決定を実行する役目を負っているのである。；ジャンプからの着地の際に身体への衝撃を和らげるのが主な役目である。；農民との争いを避けるために武士の役目以外では名字・帯刀を禁止された。；ただし上洛の際は定めの通り、役目は身分にふさわしいものにすること。；その後は、各種役目を歴任しつつ国許と江戸を往復する日々が続いた。；戦いのあと、パウナルは助言者の役目を終えて真珠湾へと移っていった。；クヌムが泥をこねて創造した人間に命を吹き込む役目を持つと言われる。；そのため、同社で役目を終えた車両は全国の地方事業者に譲渡されている。；人間がその魂を汚すことを防ぐという役目から死を司る天使ともされる。；バスティーユ牢獄が完成するまでは牢獄の役目をしていたこともある。；フレイルはフス派のような農民軍が騎士に対抗する際重要な役目を果たした。；留学の後に藩の役目を辞し、妹に婿養子を迎えさせて家督を放棄する。；コーセルテルに住む竜術士と各竜の里の連絡役や子竜を届けたりするのが役目。；もう一つの役目が月の支配であり、これが堕天使と見なされる理由である。；創世王の交代時期には世紀王の育成や作戦指揮を補佐する役目を持つ。；処女膜は膣内に水が入り込まないようにする役目があるとの説がある。；破壊された物に関しては役目を果たせないことから廃棄される場合が多い。；やがて、その人はようやく目を開けて、ぼんやりとあたりを見回していた。；この10の太陽は交代で1日に1人ずつ地上を照らす役目を負っていた。；また自藩の本家・分家との連絡・調整に当たるのも留守居の役目であった。；それはアメリカの北部と南部の関係を固める役目を果たしたということである。；床構造は床版や床組によって形成され、通行する交通を支える役目を持つ。；このゲームはアメリカで開発されているため、様々な文化を日本に紹介する役目も果たした。；役目を終えた慈生会病院の結核棟が廃止されたのは1980年のことである。；また、この風呂好きが物語の進行に大きな役目を持った展開が時に見られる。；それをいろいろに料理するのが、ベンジャミンと妹の役めなのです。</t>
        </is>
      </c>
      <c r="J8449">
        <f>HYPERLINK("https://www.weblio.jp/content/役目", "词义详情")</f>
        <v/>
      </c>
      <c r="K8449">
        <f>HYPERLINK("https://yourei.jp/役目", "查看例句")</f>
        <v/>
      </c>
    </row>
    <row r="8450">
      <c r="A8450" t="inlineStr">
        <is>
          <t>役割</t>
        </is>
      </c>
      <c r="B8450" t="inlineStr">
        <is>
          <t>成功</t>
        </is>
      </c>
      <c r="C8450" t="inlineStr">
        <is>
          <t>読み方：やくわり
１役目を割り当てること。また、割り当てられた役目。「大切な—をになう」「自分の—を確実に果たす」
２社会生活において、その人の地位や職務に応じて期待され、あるいは遂行しているはたらきや役目。
→役目［用法］</t>
        </is>
      </c>
      <c r="D8450" t="inlineStr">
        <is>
          <t>役割を与えられ；役割を担う県道；役割分担</t>
        </is>
      </c>
      <c r="E8450" t="inlineStr">
        <is>
          <t>用；務め；目的；機能；役</t>
        </is>
      </c>
      <c r="F8450" t="inlineStr">
        <is>
          <t>大きな役割；主要な役割；主な役割；役割をにない；役割を負わせる</t>
        </is>
      </c>
      <c r="G8450" t="inlineStr">
        <is>
          <t>役割語；役割演技；役割理論</t>
        </is>
      </c>
      <c r="H8450" t="n">
        <v>29</v>
      </c>
      <c r="I8450" t="inlineStr">
        <is>
          <t>いくつかの自治体は自治体間の特定の地域の中心地の役割を果たしている。；この攻略はメディアが中心的な役割を果たし、多くの戦利品を獲得した。；また、こうした翻訳が重要な役割を果たした国として日本が挙げられる。；この時点で祖父母は子供たちに正しい言語使用法を教育する役割を担う。；現代数学において基礎的な役割を果たし、幅広い分野に応用されている。；興行の中においては自らの役割を確実に果たすことが求められるのである。；それ以外の点も含めて、日本における写真の普及に果たした役割は大きい。；ISSに非常事態が起きた際の脱出用救命ボートの役割を果たしている。；彼等の果たす主要な役割は、神から人間へのメッセージの伝達である。；また、上記のような男性に求められる役割を見直す動きも生まれつつある。；このふたつは現代の日本語においてもそれぞれ重要な役割を担っている。；地球の大気は惑星規模の生態系を維持するのに重要な役割を果たしている。；柄には拳を撃ち合いから守る役割をもつ部品を取り付けたものが多い。；ヨーロッパ各国が共同で設立した欧州宇宙機関で中心的な役割を果たしている。；中小私鉄は主にJRの駅から離れた都市とJR駅を結ぶ役割のものが多い。；これは神の顕現において人間が果たす役割を認識していることを表している。；これらから、一部の生物では何らかの役割を果たしているものと考えられている。；円滑に社会を営むために人間にはそれぞれ役割が与えられなければならない。；両選手とも合流後すぐ試合に出場し、求められた役割を果たし結果を残していった。；しかしこれはフランス音楽の発展に大きな役割を果たした。；日本の場合、これらのうち複数の役割を1人で兼ねている場合が多いとされる。；この時の台風の模様は撮影され、ストーリー上急遽役割が与えられた。；加えて、私たちが望んでいた日本の軍事的役割の強化にもつながるのです。；現代医学の立場から言えば、女性は主に婦人科系の役割が重要である。；その役割はトランスクリプトーム解析の分野を軸に発展・拡大してきました。；後述するように、このような役割を果たす物体固有の量が、質量である。；しかしそれでもなお、シヴァの役割には曖昧さが残るとも語っている。；最近では法治を重視する政策の下、一定の役割を果すようになってきている。；西洋の冠・王笏などは権力の象徴であるが、同時に装飾の役割を果たした。</t>
        </is>
      </c>
      <c r="J8450">
        <f>HYPERLINK("https://www.weblio.jp/content/役割", "词义详情")</f>
        <v/>
      </c>
      <c r="K8450">
        <f>HYPERLINK("https://yourei.jp/役割", "查看例句")</f>
        <v/>
      </c>
    </row>
    <row r="8451">
      <c r="A8451" t="inlineStr">
        <is>
          <t>火傷</t>
        </is>
      </c>
      <c r="B8451" t="inlineStr">
        <is>
          <t>成功</t>
        </is>
      </c>
      <c r="C8451" t="inlineStr">
        <is>
          <t>読み方：かしょう
［名］(スル)「やけど」に同じ。</t>
        </is>
      </c>
      <c r="D8451" t="inlineStr">
        <is>
          <t>火傷痕；火傷を負わせる；火傷跡；火傷だらけ；火傷治療</t>
        </is>
      </c>
      <c r="F8451" t="inlineStr">
        <is>
          <t>軽い火傷；全身火傷；大きな火傷；重い火傷；大火傷</t>
        </is>
      </c>
      <c r="H8451" t="n">
        <v>29</v>
      </c>
      <c r="I8451" t="inlineStr">
        <is>
          <t>半ば笑いながら火傷の話をしていたみんなの様子が急に沈んで行った。；甲板の上には左の頬に大きな火傷のある船長が出て来て一行を迎えてくれた。；ほとんど見逃してしまいそうな跡てすが、きわめて特徴的な火傷でした。；大介は医師から、夏生の足の火傷は跡が残る事を告げられ顔を曇らせる。；一キロ以上三キロくらいまでは、普通火傷といわれる皮膚変化を見た。；何か細い物が刺さったというより、火傷を思わせる独特の爛れがあった。；そのかわり表面のつるりとした、火傷の痕によく似た傷が広がっている。；何をするのかと云へば之で敵を火傷さしてやる積りだと云うて居る。；火傷の男の視線に鋭いものを感じつつ、ケアルは濡れた髪をかきあげた。；しかも彼の手は、火の熱さを感じることなく、火傷もしませんでした。；僕は、博士を火傷させては大変だと思ったから、またコーヒーをつかんだ。；したたっていた水が、今は一本の流れとなり、それも火傷しそうに熱い。；湯はヤケドしない程度の熱さだったので、少しずつ体を沈めていった。；顔には水疱形成した第二度の火傷があるのに、頭髪は焼け落ちていない。；というか、こいつがこんな事言うなんて 火傷のアトとかでもあるのかな?；どうやら切除の際に事故があって腸管の壁に火傷ができていたらしい。；しばらく放置した場合、火傷のように爛れる場合があるので注意が必要。；火傷が皮膚の六十パーセントの面積を越えたときのようには、死なない。；後の調査で、その火傷は重度の被爆に伴うものだということが判明した。；唇に火傷をさせてはいけないし、あぶなく、腰がいたくなってしまった。；彼は自分の火傷のまだ癒えていないのも忘れて、夢中で看護するのであった。；彼らは今の材料を、まるで火傷をこわがる人々のように扱うであろう。；彼は自分の火傷のまだ癒えてゐないのも忘れて、夢中で看護するのであつた。；小さな彼の顔をすっぽり覆うように、巨大なマスクが火傷を隠していた。；白リンの煙は概して非常に高温で、接触すると火傷を生じることがある。；この事故でヴィッカース社から派遣されていた技師2名が火傷を負った。；今話したらお前の指は、伯母さんの金できっと火傷してしまうだろうからね。；左掌に火傷の痛みを感じ、煙草をスイングトップのポケットから抜いた。；初めの頃は、よく口の中を火傷して、あたりを走り回っていたものだ。</t>
        </is>
      </c>
      <c r="J8451">
        <f>HYPERLINK("https://www.weblio.jp/content/火傷", "词义详情")</f>
        <v/>
      </c>
      <c r="K8451">
        <f>HYPERLINK("https://yourei.jp/火傷", "查看例句")</f>
        <v/>
      </c>
    </row>
    <row r="8452">
      <c r="A8452" t="inlineStr">
        <is>
          <t>やけに</t>
        </is>
      </c>
      <c r="B8452" t="inlineStr">
        <is>
          <t>成功</t>
        </is>
      </c>
      <c r="C8452" t="inlineStr">
        <is>
          <t>［副］《「自棄(やけ)」の意から》度を越して程度のはなはだしいさま。むやみに。やたらに。ひどく。「—のどが渇く」「—機嫌がいい」</t>
        </is>
      </c>
      <c r="D8452" t="inlineStr">
        <is>
          <t>やけに大きく(4%)；やけに長く；やけに大きな；やけにはっきり；やけに明るい</t>
        </is>
      </c>
      <c r="E8452" t="inlineStr">
        <is>
          <t>ひどく；大変；ずいぶん；たいへん；至って</t>
        </is>
      </c>
      <c r="F8452" t="inlineStr">
        <is>
          <t>なんだかやけに；やけに小さく；やけに重い；やけに大きい；やけに冷たい</t>
        </is>
      </c>
      <c r="H8452" t="n">
        <v>29</v>
      </c>
      <c r="I8452" t="inlineStr">
        <is>
          <t>僕の写真を里香が持っていてくれるなんて、なんだかやけに嬉しかった。；彼の資料は、客の側のものとして貴重だし、それにやけに正確だからね。；それぞれの部屋ではまだ起きているのかもしれないが、やけに静かだ。；その表情が新鮮で、そしてやけに印象的で、わたしはつい目を奪われた。；なんでもないことだけれど、過ぎてしまうとやけに懐かしく思える風景。；そのたびに女どもがやけにうれしそうな声を出して迎えるのも、業腹だ。；下におろしてみて木の蓋を開け、その箱がやけに軽かったことに納得した。；女は今度も一人で、クリスタルのグラスをやけに重そうに手で持っている。；男は太い眉の間にやけにしわを寄せながら、アイスモナカを食べていた。；ひと気のないマンションの壁に響いて、排気音がやけに大きく聞こえた。；すでに前に座っていた婦人は消え、車内はやけに人気が少なくなっている。；ただ彼女は最初からそれが狙いだったみたいにやけに満足していた。；このところ、この娘はやけに私にべたべたしたがるようになっていた。；さっきの衝撃から二分ほどたっているのに、ホテルはやけに静かだ。；隣の床に父が寝ていて、やけに高い煙管の音をさせるのがこわかった。；天井もやけに低く、大人ならかがまねばならないような箇所もあった。；ベッドに座っているだけにしては、ハリーの心臓の鼓動がやけに早くなった。；つい先刻まで赤みがかって見えた少女の四肢がやけに白く浮かんでいる。；三人ものレベリオンと対時していながら、強化兵はやけに堂々としている。；堀田は寝不足なのか、やけに蒼い顔をしながらちゃんと席に座っている。；体がやけに重たく感じられて、食事を摂っても身になった気がしない。；かと思うと、やけに淡々とした、あるいは澄んだような目で春海を見た。；と彼はやけに首を振った、そんな迷信で生活の調子を狂わしてはいけない。；しかし、やけになるなんていう現代的な感情を、もう身につけたのですか。；あの店で朝食を買うのは無理そうだと、やけに冷静に考えたりもする。；エコーのかかったそんな靴音がやけにゆっくりしたものに感じられた。；ビニ本と並んで大人のオモチャも置いてあるが、商品数がやけに少ない。；空がやけに青くて、自分はこんないい天気の日に何をしているのかと思った。；「さっきから何をぶつぶつ言っているんだ」 妻はやけに陽気に答える。</t>
        </is>
      </c>
      <c r="J8452">
        <f>HYPERLINK("https://www.weblio.jp/content/やけに", "词义详情")</f>
        <v/>
      </c>
      <c r="K8452">
        <f>HYPERLINK("https://yourei.jp/やけに", "查看例句")</f>
        <v/>
      </c>
    </row>
    <row r="8453">
      <c r="A8453" t="inlineStr">
        <is>
          <t>焼ける</t>
        </is>
      </c>
      <c r="B8453" t="inlineStr">
        <is>
          <t>成功</t>
        </is>
      </c>
      <c r="C8453" t="inlineStr">
        <is>
          <t>読み方：やける
［動カ下一］［文］や・く［カ下二］
１火がついて燃える。燃えてあとかたもなくなる。「古タイヤの—・けるにおい」「家が—・ける」
２火が通って食べられるようになる。「サンマが—・ける」「餅が—・ける」
３熱せられて熱くなる。「—・けたトタン屋根」「土が—・けて農作物がとれない」《季夏》
４木炭や陶磁器など、製品ができ上がる。「炭が—・ける」「パンが—・ける」
５日光や紫外線に当たって皮膚が黒くなる。「赤銅(しゃくどう)色に—・けた肌」
６日光や薬品のために変色する。あせる。「西日でカーテンが—・ける」
７日光を受けて空や雲が赤く染まる。「真っ赤に—・けた西の空」
８（「胸がやける」などの形で）食物が胃にたまったりして胸の中が熱く感じる。「食べすぎて胸が—・ける」
９（「妬ける」とも書く）ねたましく感じる。「はたが—・けるほど仲がいい」
10（「世話がやける」「手がやける」などの形で）手がかかる。やっかいである。「ほとほと世話が—・ける」「手の—・ける子」
11深く恋い慕う。思い乱れる。
「焼く塩の思ひそ—・くる我が下心」〈万・五〉</t>
        </is>
      </c>
      <c r="D8453" t="inlineStr">
        <is>
          <t>焼けるような痛み(3%)；焼ける臭い(3%)；焼ける香ばしい匂い；焼けるような熱；焼けるいい匂い</t>
        </is>
      </c>
      <c r="E8453" t="inlineStr">
        <is>
          <t>燃える；燃やす；焦げる；焦がす；灯る</t>
        </is>
      </c>
      <c r="F8453" t="inlineStr">
        <is>
          <t>またしても焼ける</t>
        </is>
      </c>
      <c r="H8453" t="n">
        <v>29</v>
      </c>
      <c r="I8453" t="inlineStr">
        <is>
          <t>そのうちに狭い木材の隙間からすうと物の焼ける匂いが流れこんできた。；大きな池のまわりは、焼けるかと思えるまでに地面がかわききっていた。；モーターが焼けることよりも自分の生命のなくなることの方を心配しろ!；サザエが焼けるのを待っていた後ろの娘さんまで、ポッとなったんだぜ。；でも、しばらくすると、私は口のなかが塩からくて焼けるように感じた。；号一は片方の手を懐に入れながら、自分の家が焼けるのに見とれてゐた。；陽に焼けるというよりも、体がふやけてしまいそうな気分になったものだ。；肉の焼ける匂いとともに、遠くで野獣のものらしい悲鳴が連続している。；そして倒れながら左の肩に、鋭い焼けるような痛みを意識しました。；彼の耳は焼けるように熱くなって、急に血が上って顔は赫々となりました。；少しの燃料とタワーがあればすぐに焼けるチャパティの方が一般的である。；火のような雲が空を飛んで、焼けるような強い日が朝から晩まで照りつけた。；焔が急に明るくなり、それまで耳についていた燈芯の焼ける音がやんだ。；乗員の一人がゴムの焼ける匂いがすると報告したので一同で火元を探した。；油があったにしても、一軒の火事ぐらいで三人が骨になるほど焼けるだろうか。；ガスの嫌な臭いに、さらに毛の焼ける嫌な臭いが加わってげんなりする。；その脂身の焼ける匂いは天へと、ぐるぐる煙の輪を描いて上がっていった。；動かないその姿にファンの視線が集中し、そこだけ空気が焼けるように熱い。；それは焼けるような太陽光線を浴びていてさえも、くすんだ灰色に見えた。；此の焼けるやうな太陽で、毛虫はきつとその絹の袋の中にはいつてゐるでせう。；剣を拾って振り返ると、自分自身の焼けるような怒りが込み上げてきた。；焼けるようなのどの渇きを感じたが、水もぶどう酒も手もとになかった。；ハリーはその唇が触れたところが焼けるような気がした。；太陽が焼けるような暑さをもたらしていないことだけが救いだった。；ふつと触れあつた指の感触に、絹子は胸に焼けるやうな熱さを感じてゐた。；で、兎がその通りにすると、全身焼けるように痛くて今にも死にそうだ。；どの家でも、焼ける前は一度くらい酸漿を買って帰ったことがあるからだろうか。；この家は自分で建てたものだが、まあ焼けるならそれも仕方がない。；殴られたような感覚に遅れて、焼けるような苦痛が襲いかかってくる。</t>
        </is>
      </c>
      <c r="J8453">
        <f>HYPERLINK("https://www.weblio.jp/content/焼ける", "词义详情")</f>
        <v/>
      </c>
      <c r="K8453">
        <f>HYPERLINK("https://yourei.jp/焼ける", "查看例句")</f>
        <v/>
      </c>
    </row>
    <row r="8454">
      <c r="A8454" t="inlineStr">
        <is>
          <t>夜行</t>
        </is>
      </c>
      <c r="B8454" t="inlineStr">
        <is>
          <t>成功</t>
        </is>
      </c>
      <c r="C8454" t="inlineStr">
        <is>
          <t>読み方：やぎょう
百鬼夜行(ひゃっきやぎょう)のこと。また、それがあるとして外出を禁じた日。
「—の夜なども自らありあふらむ」〈栄花・初花〉</t>
        </is>
      </c>
      <c r="D8454" t="inlineStr">
        <is>
          <t>夜行高速バス(10%)；夜行急行列車(6%)；夜行軍(3%)；夜行普通列車(2%)；夜行路線(2%)</t>
        </is>
      </c>
      <c r="F8454" t="inlineStr">
        <is>
          <t>夜行寝台列車；夜行動物；夜行列車に乗って；夜行高速路線；臨時夜行</t>
        </is>
      </c>
      <c r="G8454" t="inlineStr">
        <is>
          <t>夜行列車；夜行高速バス；夜行バス；夜行便；夜行性動物</t>
        </is>
      </c>
      <c r="H8454" t="n">
        <v>29</v>
      </c>
      <c r="I8454" t="inlineStr">
        <is>
          <t>その頃上方と東京の間の旅は必ず夜行だったから朝の到着となったのである。；しかし夜行はそれらを製作、遊戯の神のカードを倒す為に使用している。；仲のいい同士、額を集めて、日夜行末の相談をしている人々もあった。；昨夜は宿をとりたくないばかりに、夜行で稚内に行ってきたと彼はいった。；夜行路線バスで一般的な独立3列シート・トイレ付き車両で運行される。；しかし闇が戻った東京では、新しいタイプの鬼どもが夜行を開始していたのだ。；みどりは夜九時頃の夜行に乗り、秋田へ着くのは明日の朝だといっていた。；いかに城の若殿主従にしろ、そんな大きな顔のできる夜行ではあるまい。；たぶん今夜の夜行馬車でロンドンへ帰るようになると思います。；江戸の市中にある時は、これを夜行なったから誰も見たものがない。；したがって日曜日の二十二日に夜行日帰りで行って来られぬこともない。；夜行生活をやめてから久しいが、今はそれをやる必要に迫られていた。；夜行路線の受け持ちが中心だが一部昼行便も運行し、本営業所が担当する。；皆は昨日の夜行で帰り、僕は三人の友人と一緒にラジオ・ドラマの為に残りました。；見ると友はホームの反對の側に立つて、遲い夜行電車のくるのを待つてゐる。；またこのときパリ - フランクフルト間の夜行急行列車が廃止された。；わしが乗っているのは天下の逸物だが、長途の夜行軍のために疲れていた。；一行はその晩エジンバラ駅を出発して夜行でロンドンにむかった。；おれに必要なのはこの火を見ておれを嗅ぎつけてやってくるおれみたいな夜行性のやつだ。；いずれの車両も、昼行便向けの車両は側窓が引き違い式、夜行仕様は固定式である。；長野までは夜行では半端で、それから電車が二時間余でバスが猛烈なの。；一〇月一四日曇のち台風接近 今晩の夜行で丹後へ行く予定になっている。；その一方で同11月には12月から特定日のみ運行の夜行増便を発表。；前身となる夜行準急列車は1949年9月から運行されていたものである。；それに、塔の下のほうが、先ほど殺したような夜行性の鳥に警備されていそうな気もした。；人にあらざる者が和州の城市を夜行しているという噂が流れていた。；ここで夕食をすませ、翌日の行程を便にする為に夜行で三田尻まで行った。；トンネルが出来て、夜行が通るようになるとこの辺は便利なスキー場になる。；上級仕様の観光車や夜行高速路線車などに幅広く採用されている。</t>
        </is>
      </c>
      <c r="J8454">
        <f>HYPERLINK("https://www.weblio.jp/content/夜行", "词义详情")</f>
        <v/>
      </c>
      <c r="K8454">
        <f>HYPERLINK("https://yourei.jp/夜行", "查看例句")</f>
        <v/>
      </c>
    </row>
    <row r="8455">
      <c r="A8455" t="inlineStr">
        <is>
          <t>野菜</t>
        </is>
      </c>
      <c r="B8455" t="inlineStr">
        <is>
          <t>成功</t>
        </is>
      </c>
      <c r="C8455" t="inlineStr">
        <is>
          <t>読み方：やさい
食用とする植物の総称。青物(あおもの)。蔬菜(そさい)。「畑で—を作る」「生—」「清浄—」</t>
        </is>
      </c>
      <c r="D8455" t="inlineStr">
        <is>
          <t>野菜類(3%)；野菜畑(2%)；野菜栽培；野菜等；野菜畠</t>
        </is>
      </c>
      <c r="E8455" t="inlineStr">
        <is>
          <t>蔬菜；ベジタブル；草片</t>
        </is>
      </c>
      <c r="F8455" t="inlineStr">
        <is>
          <t>西洋野菜；野菜市場；野菜室；生鮮野菜；乾燥野菜</t>
        </is>
      </c>
      <c r="G8455" t="inlineStr">
        <is>
          <t>野菜サラダ；野菜炒め；野菜料理；野菜ソムリエ；野菜スープ</t>
        </is>
      </c>
      <c r="H8455" t="n">
        <v>29</v>
      </c>
      <c r="I8455" t="inlineStr">
        <is>
          <t>加賀野菜は金沢地区で戦前から栽培されていると認められた野菜である。；中国南部では重要な野菜のひとつであり、記載されている品種の数も多い。；多くは市などへの野菜や果実の運搬・販売などに多く使用されている。；産業の中では農業が盛んであり、野菜や果物などを多く輸出している。；これらが野菜として常食されるようになったのは品種改良の結果である。；利用目的に合わせて品種改良が行われた結果多くの野菜が生まれた。；一方、カレーに肉や野菜などを含むため、様々な栄養素が含まれている。；元々は肉料理用のソースであるが、魚介類や野菜に使われることも多い。；米や野菜などの生産が中心であるが、筍や梨などの生産も盛んである。；日本では野菜として栽培も行われており、食用にするのは日本だけである。；緑黄色野菜とそれ以外の野菜を特に区別したい場合に使われる呼称。；宮崎平野ではビニールハウスを利用した野菜の促成栽培が行われている。；例えば、自由な「せり」が行われている野菜市場での野菜の価格である。；現在は野菜や卵を茹でるなど食べ物の用途に使われる場合がほとんどである。；幾つかの野菜として栽培される種を含み、日本でも栽培されている種がある。；第二次世界大戦前の昭和初期から主要野菜としての地位を占めてきた。；ブータンでもページーと呼ばれる天麩羅に似た野菜の料理の衣に使われる。；島に供給されるものの大部分は北米大陸からの建設資材、肉や野菜である。；製糸所の廃止後は桑畑の数は減少し、野菜・果樹栽培地に転換された。；近郊農業や大消費地向けとして野菜や花卉類の生産も一定の規模がある。；シュルパは脂肪の多い肉の大きな塊と新鮮な野菜から作るスープである。；センター内では魚介類の他にも地元でとれる野菜や土産などを販売している。；夏の涼しい気候を利用し、冬や春の野菜を夏に出荷することでもある。；トマト等の野菜では普及が進んでいるが、イネではさほど普及していない。；またこれらの影響か、近年の野菜の味は昔よりも薄くなったと感じている人もいる。；近隣国の日本料理や中華料理と比べ、野菜をたっぷり使った料理が多い。；農業は稲作中心であったが、他に野菜や果樹、肉牛の飼育が伸びていた。；ハクサイは一度の食事でたくさん食べることができる野菜である。；この頃はまだ野菜として栽培されるのではなく、薬用であったと考えられる。</t>
        </is>
      </c>
      <c r="J8455">
        <f>HYPERLINK("https://www.weblio.jp/content/野菜", "词义详情")</f>
        <v/>
      </c>
      <c r="K8455">
        <f>HYPERLINK("https://yourei.jp/野菜", "查看例句")</f>
        <v/>
      </c>
    </row>
    <row r="8456">
      <c r="A8456" t="inlineStr">
        <is>
          <t>易しい</t>
        </is>
      </c>
      <c r="B8456" t="inlineStr">
        <is>
          <t>成功</t>
        </is>
      </c>
      <c r="C8456" t="inlineStr">
        <is>
          <t>読み方：やさしい
［形］［文］やさ・し［シク］《「優しい」と同語源》
１理解や習得がしやすい。単純でわかりやすい。平易である。「—・い本」「—・くかみくだいて話す」⇔難しい。
２解決や実現がたやすい。面倒なことがなく、容易である。「だれにでもできる—・い仕事」「批評するだけなら—・い」⇔難しい。
３不用意である。
「猿楽に然様(さやう)ならん—・しき戯れ事は、止むべし」〈今昔・二八・三三〉
[派生]やさしげ［形動］やさしさ［名］
[用法]やさしい・たやすい——「その問題を解決するのはやさしい（たやすい）」「やさしい（たやすい）仕事」のように、楽に処理できるの意では相通じて用いられる。◇「コンピューターについてやさしく説明する」のように、わかりやすいという意は「やさしい」だけのもので、「たやすい」にはない。◇「たやすく解ける問題」「たやすく学べる英会話」のように、わけなく、楽にという意の副詞的用法では「たやすく」が適切で、「やさしく」はふつう使わない。◇類似の語に「容易」と「平易」がある。「容易」は「たやすい」とほとんど同義だが、「不信感は容易なことでは消えない」などの慣用的な使い方では「容易」を用いる。「平易」は「やさしい1」と同義で、「むずかしい教義を平易に説いて聞かせる」などと用いる。</t>
        </is>
      </c>
      <c r="D8456" t="inlineStr">
        <is>
          <t>易しいこと(13%)；易しいもの(5%)；易しい事(3%)；易しい問題(3%)；易しい仕事</t>
        </is>
      </c>
      <c r="E8456" t="inlineStr">
        <is>
          <t>やすい；容易；単純；楽；軽い</t>
        </is>
      </c>
      <c r="F8456" t="inlineStr">
        <is>
          <t>そう易しい；容易しい；最も易しい；大変易しい</t>
        </is>
      </c>
      <c r="H8456" t="n">
        <v>29</v>
      </c>
      <c r="I8456" t="inlineStr">
        <is>
          <t>しかし岩は場所によっては下りより上りのほうが易しい場合もあります。；一人でゆく狭い道よりも、二人でゆく広い道のほうが、道のりは易しい。；相手の宝石商を信用しないこと、このくらい易しいことはないでしょう。；私がした約束を果たすのは、はたの人が思うほど易しいものではなかった。；兵隊さんのほうは易しいだろうが、役者さんのほうは名も知らないのよ。；なお、難易度的にはNEWバージョンの方がある程度易しくなっている。；その詩を易しく読めるように翻訳することは僕が努力しなければならないことだ。；しかし翻訳となると、そういう易しいのがかえって難しいもんだよ。；偶然の事故のように見せかけられる場合だったら、易しいことですわ。；彼らはより易しい進路の方が好きである傾向があるかもしれない。；自分自身を憎むことは人が一般に信じているよりは易しいことだ。；緩衝装置の補修を易しくするために装甲覆いの防御は付けられなかった。；逆に説明する最も易しい点は、曲面論によりの動機から始めることである。；当然なことを当然にいったりしたりすることは、実はそう易しいことではないのである。；説明のためにはまず準フロベニウス環を定義するのが易しいだろう。；どちらでも良いというなら、難易度が易しい方を狙うに決まっている。；一口に出鱈目といいますが、易しいようでこれが相当に難しい仕事だ。；そこだと邦子の町から通勤している者も多いので切符を買うのは易しかった。；心の目で見ることは難しくとも心の目で見ないことは易しい。；などと言いかねない人間にもわかるくらい易しく丁寧に説明されていて感心した。；だが、何故易しいかと考えてみると、理由は一つしかなさそうだ。；本作は難易度設定が可能で、易しい、普通、難しいの3段階が存在する。；そんなこと、何の関係もないじゃないか、と、言ってのけることは易しい。；簡単は本来あまり手間をかけていない様子を表す語であるが一般に易しいと似たような意味にとられる事が多い。；発明家の言葉を一般人に易しく翻訳するのが得意と言われている。；そしてそれは易しいことだったと言わざるを得ない。；あの女には、そんなことはごく易しいことだったんですよ。；一人でいるときよりも、笑うことがずっと易しく感じられる。；国が穏やかなときは問題も易しいが、国が揺れると問題も難しくなる。</t>
        </is>
      </c>
      <c r="J8456">
        <f>HYPERLINK("https://www.weblio.jp/content/易しい", "词义详情")</f>
        <v/>
      </c>
      <c r="K8456">
        <f>HYPERLINK("https://yourei.jp/易しい", "查看例句")</f>
        <v/>
      </c>
    </row>
    <row r="8457">
      <c r="A8457" t="inlineStr">
        <is>
          <t>優しい</t>
        </is>
      </c>
      <c r="B8457" t="inlineStr">
        <is>
          <t>成功</t>
        </is>
      </c>
      <c r="C8457" t="inlineStr">
        <is>
          <t>読み方：やさしい
［形］［文］やさ・し［シク］《動詞「痩(や)す」の形容詞化で、5が原義》
１姿・ようすなどが優美である。上品で美しい。「—・い顔かたち」「声が—・い」
２他人に対して思いやりがあり、情がこまやかである。「—・く慰める」「—・い言葉をかける」
３性質がすなおでしとやかである。穏和で、好ましい感じである。「気だての—・い子」
４悪い影響を与えない。刺激が少ない。「地球に—・い自動車」「肌に—・い化粧水」
５身がやせ細るような思いである。ひけめを感じる。恥ずかしい。
「なにをして身のいたづらに老いぬらむ年のおもはむ事ぞ—・しき」〈古今・雑体〉
６控え目に振る舞い、つつましやかである。
「繁樹は百八十に及びてこそさぶらふらめど、—・しく申すなり」〈大鏡・序〉
７殊勝である。けなげである。りっぱである。
「あな—・し、いかなる人にてましませば、味方の御勢は皆落ち候ふに」〈平家・七〉
[派生]やさしげ［形動］やさしさ［名］やさしみ［名］</t>
        </is>
      </c>
      <c r="D8457" t="inlineStr">
        <is>
          <t>優しい声(6%)；優しい性格(3%)；優しい人(2%)；優しい心(2%)；優しい顔</t>
        </is>
      </c>
      <c r="E8457" t="inlineStr">
        <is>
          <t>ソフト；穏やか；親切；厚い；やさしい</t>
        </is>
      </c>
      <c r="F8457" t="inlineStr">
        <is>
          <t>とても優しい；お優しい；優しい子；優しい表情；優しい微笑</t>
        </is>
      </c>
      <c r="G8457" t="inlineStr">
        <is>
          <t>優しい男；優しい光；優しい歌；優しい風；優しい世界</t>
        </is>
      </c>
      <c r="H8457" t="n">
        <v>29</v>
      </c>
      <c r="I8457" t="inlineStr">
        <is>
          <t>優しすぎることばを聞いたら、ぼくはきっと泣き出してしまっただろう。；若い婦人警官の優しそうな雰囲気に安心したのか、女の子が顔をあげた。；小さい女の子などには優しく、他の人にはそっけない態度をとっている。；親がそれを知った際はずっと怒っていたが近頃は少し優しくなったらしい。；事業に優しい郡政府は郡内で利用できる商業と工業の機会を強化している。；妹はいつも優しかったけれど、その時期になるといつも必死だったと思う。；生れた新坊は矢張り自分の子と思つて育てたいと優しくも言葉を添へた。；最初に算数を教えてくれた先生が優しかったから、算数が好きになった。；女性は自らの胸に置かれた男性の右手に左手を優しく重ねている。；どうか、自分達の都合以外の事にも目を向ける優しさを持っていて欲しい。；しかし、中には心優しいものやハッチの仲間になってくれる悪役もいる。；今まではすごくひねくれていたが、そこから本来の優しい自分に戻った。；穏やかな笑顔の、優しかったあの人がいったい何をしたというのだろう。；馬鹿な私に優しくしてくれる善良な男性なら、出自がどうだって言うの。；優しく微笑みながら猫を抱く姿を見て、大は彼女のことを意識し始める。；かれは死んだ母に似て、細く優しげな眼と紅いくちびるとを持っていた。；弟や妹の面倒見もよく見る優しいお姉さんだが、おせっかいなところも。；僕が演じたのは、一見おとなしそうで、無害で優しそうな男なんだよね。；その人の口調がとても優しげで、わたしは思わず照れて俯いてしまった。；後述のネフライトの一件後は優しい心があると判断すれば敵でも助けている。；優しくていつも隊員達のことを気にかけているお母さん的な存在。；シャロンは優しい夫デレクと幼い息子の3人で幸せな家庭を築いていた。；その視線は優しかったが、言葉では何と言っていいか判らない様子だった。；とても優しく、のび太が泣いていると必ずどこにいても飛んで来てくれた。；それこそ有馬が女に求めていた内から滲み出るような優しさであった。；土屋は節子を労わり優しかったが、別れを待っていたかのようであった。；その声は蜜のように優しかった、そして栄光の深い惶れに包まれていた。；その言葉を聞いたリジーは、優しかった頃の母の記憶を不意に思い出した。；本人は「優しいんだか優しくないんだか、わからない」と思ったという。</t>
        </is>
      </c>
      <c r="J8457">
        <f>HYPERLINK("https://www.weblio.jp/content/優しい", "词义详情")</f>
        <v/>
      </c>
      <c r="K8457">
        <f>HYPERLINK("https://yourei.jp/優しい", "查看例句")</f>
        <v/>
      </c>
    </row>
    <row r="8458">
      <c r="A8458" t="inlineStr">
        <is>
          <t>屋敷</t>
        </is>
      </c>
      <c r="B8458" t="inlineStr">
        <is>
          <t>成功</t>
        </is>
      </c>
      <c r="C8458" t="inlineStr">
        <is>
          <t>読み方：やしき
１家が建っている一区切りの土地。家屋なども含めていう。「家—を手放す」
２土地も広く、りっぱなつくりの大きな家。邸宅。「堂々とした門構えの—」
３「武家屋敷」の略。「下(しも)—」
４家を建てるための土地。邸宅。
「国に—など、永代限りて宛て給ひけり」〈著聞集・一〉
[下接語]空き屋敷・家屋敷・オランダ屋敷・角(かど)屋敷・上(かみ)屋敷・組屋敷・蔵屋敷・下(しも)屋敷・新屋敷・大名屋敷・唐人屋敷・中屋敷・化け物屋敷・花屋敷・控え屋敷・武家屋敷・牢(ろう)屋敷</t>
        </is>
      </c>
      <c r="D8458" t="inlineStr">
        <is>
          <t>屋敷内(3%)；屋敷跡；屋敷じゅう；屋敷街；屋敷全体</t>
        </is>
      </c>
      <c r="E8458" t="inlineStr">
        <is>
          <t>邸；住宅；居住；住居；邸宅</t>
        </is>
      </c>
      <c r="F8458" t="inlineStr">
        <is>
          <t>大きな屋敷；牢屋敷；化物屋敷；旗本屋敷；薩摩屋敷</t>
        </is>
      </c>
      <c r="G8458" t="inlineStr">
        <is>
          <t>屋敷町；屋敷林；屋敷神；屋敷伸之；屋敷前</t>
        </is>
      </c>
      <c r="H8458" t="n">
        <v>29</v>
      </c>
      <c r="I8458" t="inlineStr">
        <is>
          <t>かつてこの屋敷では、母親が我が子を殺し、自殺する事件が起きたのだ。；見えなかった侵入者の家族を屋敷から追い出すことに成功するグレース。；屋敷内で彼の前に姿を見せてしまったために解雇された使用人もいた。；家屋の立っている敷地、または家屋などを含めた敷地全体を屋敷という。；ロシアは革命で古い教会や貴族の屋敷、美しいイコンを破壊してしまった。；南武線の北側はかつての屋敷分村で、上記の通り旧駅名の由来となった。；御三家の屋敷移転に伴い、他の大名屋敷や旗本屋敷も移転が命じられた。；絵巻では諸大夫の屋敷の門には画像615のような門がよく描かれる。；タイトルの通り、遠野秋葉を主軸とする遠野屋敷での物語が展開される。；屋敷の中では生者と死者が折り重なるように暮らしているのだった。；現存する赤穂城の図面では、大石邸は神社が建つ程の広大な屋敷である。；これは本市創設以前からすでに存在していた屋敷の一つである。；忠敬は名主や村の有力者と、江戸にある津田氏の屋敷に挨拶に出向いた。；京都の大名屋敷は京屋敷と呼ばれ、屋敷の構成は江戸と同様であった。；屋敷の主が大臣の場合には先に出てきた正月大饗などの最初に庭での再拝がある。；主人のための馬車や自動車の運転者として屋敷に住み込んでいる者である。；ウィロビー・スミスには、教授の屋敷への道を尋ねたときに偶然会っていた。；この家の名前は、1866年からこの屋敷を所有したヘニン家に由来する。；その後この屋敷は商人のアウグスト・クラスマンのものとなった。；屋敷のすぐそばには祀らず、少し離れた山林の中に祀られるところもある。；屋敷街は明治時代末期までは瀟洒な住宅街として静けさが保たれていた。；内曲輪の正面やそこに近いほど役職が高く広い屋敷を与えられた。；それに乗って駅から7マイルと言われていた距離を走り、とある屋敷に着いた。；なお、現在の青森県弘前市相良町は頼兄の屋敷があったことに由来している。；これを大いに喜んだ義満は将軍になった後も毎年赤松屋敷を訪ねてこれを見たという。；屋敷を襲ったのは、陸軍で綾小路博士の部下であった天城博士だった。；冷泉家は慶長11年にはこの地に屋敷を構えていたことが知られる。；その隼人の親子らは、江戸の旗本・大久保助右衛門の屋敷に身を寄せた。；それがルソーの生涯に大きな影響を与える貴婦人の屋敷であった。</t>
        </is>
      </c>
      <c r="J8458">
        <f>HYPERLINK("https://www.weblio.jp/content/屋敷", "词义详情")</f>
        <v/>
      </c>
      <c r="K8458">
        <f>HYPERLINK("https://yourei.jp/屋敷", "查看例句")</f>
        <v/>
      </c>
    </row>
    <row r="8459">
      <c r="A8459" t="inlineStr">
        <is>
          <t>養う</t>
        </is>
      </c>
      <c r="B8459" t="inlineStr">
        <is>
          <t>成功</t>
        </is>
      </c>
      <c r="C8459" t="inlineStr">
        <is>
          <t>読み方：やしなう
［動ワ五（ハ四）］
１自分の収入で家族などが生活できるようにする。扶養する。「妻子を—・う」
２衣食などのめんどうを見ながら育てる。養育する。「孫を大切に—・う」
３食物を与えて飼う。「家畜を—・う」
４育て蓄える。力や習慣をしだいにつくり上げる。「英気を—・う」「日ごろから実力を—・う」
５療養する。養生する。「病を—・う」
６子供や病人などの食事の世話をする。
「母は次男の多加志に牛乳やトオストを—・っていた」〈芥川・年末の一日〉
７養子にする。「いとこを—・って跡を継がせる」
[可能]やしなえる
[用法]やしなう・そだてる——「女手一つで五人の子を養う（育てる）」のように生活の世話をするの意では、相通じて用いられる。◇「牛馬を養う」「妻子を養う」など「養う」は、生命・生活が維持できるようにする意に重点があり、「育てる」は使えない。◇「弟子を育てる」「子犬を育てる」「夢を育てる」「文化を育てる」など、「育てる」はそれを成長させる意に重点があり、この場合、「養う」では代替できない。◇「乳牛を養う」「ひな鳥を育てる」と動物については「養う」も「育てる」も使えるが、意味の違いははっきりしている。植物については「菊を育てる」といい、「養う」とはいわない。◇類似の語に「はぐくむ」がある。大切に養い育てるの意で共通するが、やや雅語的で、「親鳥が雛をはぐくむ」のほか、「夢をはぐくむ」のような慣用的な用法に限られる。</t>
        </is>
      </c>
      <c r="D8459" t="inlineStr">
        <is>
          <t>養うべき(2%)；養うべし</t>
        </is>
      </c>
      <c r="E8459" t="inlineStr">
        <is>
          <t>維持；栽培；育成；立てる；支える</t>
        </is>
      </c>
      <c r="F8459" t="inlineStr">
        <is>
          <t>用共生生物を養う；養うのに必要；自ら養う</t>
        </is>
      </c>
      <c r="H8459" t="n">
        <v>29</v>
      </c>
      <c r="I8459" t="inlineStr">
        <is>
          <t>私はぼんやりしていないと心の集中が出来ず心の養いがとられないのだ。；しかしそれだけではまだ生まれたばかりの娘を養うことができなかった。；人々はそれを穀物ではなく いつもただ存在の可能性だけで養っていた。；ふたりの兄は中学校のころから新聞配達をして妹たちを養ったのである。；われわれはこれをいかに利用し、いかにしてこれを養うべきであろうか?；そしてもう四年というもの、娘分同様にして養って来たのでございます。；これと同じ推理が、生きた動物を養う力にも適用されなければならない。；結婚した以上、あっちには働いて女房子供を養う義務があるんだからさ。；そんなやつを養う金など、これ以上一スーたりとも出すわけにはいかん。；毎日が毎日Kはそんなふうな希望を養って過していたわけではなかった。；当時は刀鍛冶で妻子を養うこともできないような時であったといいます。；しかも、それが一〇〇〇億人をも養いうる一天体の上でのことなんだぜ。；先だってある人が母が人の養う猫鬼に殺されたと訴えたことがあった。；まさかきみは彼女を養っているなどと本気で考えているんじゃないだろうね。；私のことをジゴロ〔女に養ってもらっている男〕だと言う人もいました。；そうなれば人はお前の養い親もお前自身も恐れたりはしないだろう。；僕達には金がないし、それに僕は家の人達を養わなければならないんだ。；植民地自体を養うには充分だが、それ以上の物はほとんどありません。；両親は彼を養うことができず、彼は10代のときに家から追い出された。；私の変りやすい心情は、この土地で養われたものではないかと思われる。；なぜかと言えば地心の火を養うべき空気が侵入することができないからである。；神官や祭司になるのに、特別な能力もそれを養う訓練も必要とされない。；この心の準備は彼らがその師につき従っている間に養われたものです。；父ジョンは自分の家族だけではなく、母と二人の妹も養わねばならなかった。；ふたりになってからならこの地上のどこかにぼくたちを養ってくれる野はある。；特に職人である夫が病気となったら、家族を養うための賃金が足りない。；しかしながら男子に養わるる女子の義務もまた甚だ重大なるものである。；子供たちは父から養われた美徳のために、人を疑うことが出来なかった。；三千何百の不良を養う東京の社会的欠陥はどれだけに大きいのであろう。</t>
        </is>
      </c>
      <c r="J8459">
        <f>HYPERLINK("https://www.weblio.jp/content/養う", "词义详情")</f>
        <v/>
      </c>
      <c r="K8459">
        <f>HYPERLINK("https://yourei.jp/養う", "查看例句")</f>
        <v/>
      </c>
    </row>
    <row r="8460">
      <c r="A8460" t="inlineStr">
        <is>
          <t>矢印</t>
        </is>
      </c>
      <c r="B8460" t="inlineStr">
        <is>
          <t>成功</t>
        </is>
      </c>
      <c r="C8460" t="inlineStr">
        <is>
          <t>読み方：やじるし
１方向などを示すための、矢の形をしたしるし。「—で順路を示す」
２射手を明示するために、矢につける姓名・家紋などのしるし。</t>
        </is>
      </c>
      <c r="D8460" t="inlineStr">
        <is>
          <t>矢印方向；矢印状；矢印型；矢印付き；矢印形</t>
        </is>
      </c>
      <c r="F8460" t="inlineStr">
        <is>
          <t>青い矢印；赤矢印；黒い矢印；青矢印；白い矢印</t>
        </is>
      </c>
      <c r="G8460" t="inlineStr">
        <is>
          <t>矢印キー；矢印式信号機</t>
        </is>
      </c>
      <c r="H8460" t="n">
        <v>29</v>
      </c>
      <c r="I8460" t="inlineStr">
        <is>
          <t>矢印のほうは、地球が頭上に見える場所を示しているようにも見える。；必ず自分の立場から矢印の向かう相手との相性を見るようにしてください。；それでも不安なので、実際に絵をかき、矢印をつけて名前を書きこんだ。；この像にはアラビアンコーストへ向かう道を示すための矢印がついていた。；色つきの矢印は各元に対応しているビット配列上の位置を示している。；下りきった廊下の壁に、再びお手洗いのマークと今度は左向きの矢印が。；それを避けながら道を行くと、地面に再び清子の描いた矢印が現れた。；右の画像の緑の矢印は減数第一分裂で不分離が起こっていることを示している。；機能の実行の支援手段を提供する機構の矢印はボックスの下部結合される。；左の画像の青い矢印は減数第二分裂で不分離が起こっていることを示している。；またツモ切りのときは分かりやすくするために下向きの矢印のみを書く。；マス目の書かれたところに移動でき、矢印の方向には何マスでも進める。；矢印で指した以外に似たような小さな丸や楕円があれば、投薪孔である。；単に岩穴の入口というだけでなく、壁にはまたまた矢印が認められたのだ。；ヤマトでは航海班に所属しており、制服は島と同じ白地に緑矢印である。；エディントンによれば、矢印は乱雑な要素の漸進的な増加の方向を示す。；プレイ中には矢印オブジェの背景に動画やキャラクターが表示される。；通過地には矢印、経由しない駅には二重線が引かれており数字は記載されていない。；隠れている状態で画面に表示されている矢印を撃つと移動する。；これらの矢印は上・下・左・右・左上・左下・右上・右下のいずれかを向いている。；付近の道路に書かれた色つきの矢印は犯人の予想逃走ルートか。；矢印は、2個目のリンパ球の発生から移動を始めるまでを追ったもの。；一部の交差点では、時差式信号機の青の代わりに矢印を用いるところもある。；あそこの交差点はねえ、青い矢印があるからすぐに 青信号に変わらないの。；多重度は矢印を様々な形で描くことで表したり、数値で表したりする。；緑矢印信号が点灯していない時には、その矢印方向への進行は許可されない。；マップに現在地点と向きを示す矢印が表示されるようになった。；スーツの男の胸の辺りが拡大され、何百本もの細かい矢印が出現した。；マリとポチは、〈職員用通用口〉と書かれた矢印の方へと歩いて行った。</t>
        </is>
      </c>
      <c r="J8460">
        <f>HYPERLINK("https://www.weblio.jp/content/矢印", "词义详情")</f>
        <v/>
      </c>
      <c r="K8460">
        <f>HYPERLINK("https://yourei.jp/矢印", "查看例句")</f>
        <v/>
      </c>
    </row>
    <row r="8461">
      <c r="A8461" t="inlineStr">
        <is>
          <t>野心</t>
        </is>
      </c>
      <c r="B8461" t="inlineStr">
        <is>
          <t>成功</t>
        </is>
      </c>
      <c r="C8461" t="inlineStr">
        <is>
          <t>読み方：やしん
１ひそかに抱く、大きな望み。また、身分不相応のよくない望み。野望。「政治家になりたいという—に燃える」「政権奪取の—をもつ」
２新しいことに取り組もうとする気持ち。「—作」
３野生の動物が人に馴れずに歯向かうように、人に馴れ服さず害を及ぼそうとする心。
「但し—改め難くして、情(こころ)に猶予を懐けり」〈三教指帰・下〉</t>
        </is>
      </c>
      <c r="D8461" t="inlineStr">
        <is>
          <t>野心的(18%)；野心家；野心満々たる；野心勃々；野心多き</t>
        </is>
      </c>
      <c r="E8461" t="inlineStr">
        <is>
          <t>夢；希望；意志；理想；望み</t>
        </is>
      </c>
      <c r="F8461" t="inlineStr">
        <is>
          <t>たいという野心；野心満々；大きな野心；そんな野心；個人的な野心</t>
        </is>
      </c>
      <c r="G8461" t="inlineStr">
        <is>
          <t>野心作</t>
        </is>
      </c>
      <c r="H8461" t="n">
        <v>29</v>
      </c>
      <c r="I8461" t="inlineStr">
        <is>
          <t>野心を実現させたアンドロニコス3世にはいくつかの問題が迫っていた。；しかしこの野心的な計画は資金難のために完遂することができなかった。；彼は体系的理論の解説者であるよりはむしろ感情と野心の宣伝者であった。；しかしこの野心的なプロジェクトも資金不足のために実現前に頓挫した。；ポメラニア・リヴォニア大公国は領土的野心を持っていないとしている。；父親は、息子の科学的な野心に反対であったあったが母親は息子を支援した。；どちらの土地への上陸も、船から指揮された野心的な作戦であった。；このような中、藤嶺学園は野心的な事業拡大計画をスタートさせていた。；この野心的な目標は、いくつかの理由から達成可能なものであると考えられた。；現在でも、実写ドラマの監督がやりたいという野心があると語っている。；これは失敗に終わったいくつかの類似した計画の中でももっとも野心的なものであった。；この計画は、野心的な目標と独特の可能性を高く評価されている。；ドスタムは北部を再び支配しようとしたが、アタもまた野心を持っていた。；マイクロコンピュータに限定し、かなり野心的な仕様で開発者を募った。；新しく野心的なアルバムを録音しようとしていたのである。；彼女は自分の率いる組織の求心力を高めようと野心的な行動に出た。；他の議員達は、キノックが野心を秘めた政治家であることに気づいた。；この領土獲得は、彼にクヤヴィとの戦争を引き起こす野心を起こさせた。；A3J1は高速力で敵防空網を突破するために野心的な設計となっていた。；政治に野心なく、社交に趣味がなかったため、比較的世に知られなかった。；これはZ800ほど野心的な設計ではないが、大いに成功を収めた。；二人は野心を持っており新たな都市の建設を希望した。；そうした状況のほとんどは野心と期待の相克の中から立ち現れる。；後になってシドニーはより野心的な計画にのっとって改訂をはじめた。；海外特派員生活も母親業も、どちらも彼女の野心を妨げはしなかった。；ベイクウェルに到着することはピーク鉄道の長期の野心の1つにすぎない。；これは、野心的だが最終的には失敗した「帝国の再建」に特徴づけられる。；マークはドリューとは違い、野心的で男性的な魅力を十二分に備えていたからである。；晩年はより大きな野心を込めた作品を普及させようと試みた。</t>
        </is>
      </c>
      <c r="J8461">
        <f>HYPERLINK("https://www.weblio.jp/content/野心", "词义详情")</f>
        <v/>
      </c>
      <c r="K8461">
        <f>HYPERLINK("https://yourei.jp/野心", "查看例句")</f>
        <v/>
      </c>
    </row>
    <row r="8462">
      <c r="A8462" t="inlineStr">
        <is>
          <t>安～</t>
        </is>
      </c>
      <c r="B8462" t="inlineStr">
        <is>
          <t>成功</t>
        </is>
      </c>
      <c r="C8462" t="inlineStr">
        <is>
          <t>読み方：あん
［音］アン（呉）（漢）　［訓］やすいいずくにいずくんぞ
［学習漢字］3年
〈アン〉
１変わったことがなく穏やかに落ち着いている。「安静・安全・安泰／公安・治安・平安・保安」
２心を落ち着ける。やすらかにする。「安心・安堵(あんど)／慰安」
３たやすい。「安易・安直」
４値段がやすい。「安価」
５アンモニア。「硝安・硫安」
〈やす〉「安値／格安・目安・割安」
［名のり］さだ・やす・やすし
［難読］安芸(あき)・安宅(あたか)・安房(あわ)・安母尼亜(アンモニア)</t>
        </is>
      </c>
      <c r="H8462" t="n">
        <v>0</v>
      </c>
      <c r="J8462">
        <f>HYPERLINK("https://www.weblio.jp/content/安～", "词义详情")</f>
        <v/>
      </c>
      <c r="K8462">
        <f>HYPERLINK("https://yourei.jp/安～", "查看例句")</f>
        <v/>
      </c>
    </row>
    <row r="8463">
      <c r="A8463" t="inlineStr">
        <is>
          <t>安い</t>
        </is>
      </c>
      <c r="B8463" t="inlineStr">
        <is>
          <t>成功</t>
        </is>
      </c>
      <c r="C8463" t="inlineStr">
        <is>
          <t>読み方：やすい
［形］［文］やす・し［ク］
１（「廉い」とも書く）他に比べて、また普通より値段が低い。安価である。「—・い買物」「—・くあがる」「給料が—・い」⇔高い。
２価値がない。軽々しい。「—・く見られる」
３心がおだやかである。落ち着いている。
「西からの戦報を手にするたびに—・い心はなかった」〈藤村・夜明け前〉
４（「やすくない」の形で）男女の間が親密なさま。また、それをひやかしていう語。「二人でお出掛けとは—・くない話だね」→お安い
５責任がない。気楽である。
「京中の上下—・き口にはささやきけり」〈盛衰記・二三〉
[派生]やすさ［名］</t>
        </is>
      </c>
      <c r="D8463" t="inlineStr">
        <is>
          <t>安いもの(6%)；安い価格(2%)；安い値段(2%)；安い労働力；安い料金</t>
        </is>
      </c>
      <c r="E8463" t="inlineStr">
        <is>
          <t>静か；平和；無事；安価；平穏</t>
        </is>
      </c>
      <c r="F8463" t="inlineStr">
        <is>
          <t>一番安い；最も安い；方が安い；比較的安い；非常に安い</t>
        </is>
      </c>
      <c r="H8463" t="n">
        <v>29</v>
      </c>
      <c r="I8463" t="inlineStr">
        <is>
          <t>日本には安政年間には避雷針の技術が伝わっていたことが知られている。；一部の種類の製品には価格がより安いオリジナルブランド製品もある。；価格は表示されている店とそうではない店があるが、交渉で安くなる。；チームはリーグ優勝を果たすが、安自身には不本意なシーズンとなった。；当時の平均収入と比較してみると、この額は安かったと言われている。；現在でも北陸電力は全国でもトップクラスの安さで電力を供給している。；原子力発電はそれだけ安く大量に電気を供給できるものと期待されていた。；インドのものがおそらく一番サイズが大きく、価格も安いと思われる。；物の安かった頃ですから、その通用価値は十万円にも相当するでしょう。；回転率の良い品だけを置くことで、鮮度の良さと安さを実現している。；蜂蜜酒によく似ているが、それよりも安く、かつ早く作ることができる。；輸出価格は提示されていないものの1億ドルよりも安いとしている。；サイズは小型で価格も比較的安く、前述の通り図表・傍注が豊富である。；これは非常に安い運賃で移民を乗せたが、設備は最低限のものであった。；不当廉売とは、不当に安い価格で商品やサービスを提供することをいう。；安は、彼女がいつもハイヒールを履いていたこともよく記憶している。；発着時のコストの安さから格安航空会社や貨物便の利用が多くなっている。；通常メニューより安いことが多く、日曜日以外にも販売することもある。；価格はかつては驚くほど安かったが最近では周辺の外食程度である。；ただ、これは最初の価格であって、必要なのは出荷の度に安くすることだ。；まあ田舎だから、土地が安いっていえば安いんだけど、それにしてもね。；濃縮の費用を考えると、これは燃料をはるかに安くすることができる。；僕はそれをみてうなずいたが、心の中は急に安からぬおもいにとざされた。；以前は11番系統と同様に新浦安温泉・日の出南まで運行されていた。；しかし、安いベルトだったため、それほど大きな問題にはならなかった。；この時に取り付けられた安式15cm砲は戦艦三笠のものを転用した。；アゾ顔料は種類が多く価格も比較的安いことから、大量に用いられている。；父親の賃金は安く、母親は美術教師となるため働きながら学校に通っていた。；自殺するにも出来るだけ安きにつかんとする人の心のあはれさよ。</t>
        </is>
      </c>
      <c r="J8463">
        <f>HYPERLINK("https://www.weblio.jp/content/安い", "词义详情")</f>
        <v/>
      </c>
      <c r="K8463">
        <f>HYPERLINK("https://yourei.jp/安い", "查看例句")</f>
        <v/>
      </c>
    </row>
    <row r="8464">
      <c r="A8464" t="inlineStr">
        <is>
          <t>易い</t>
        </is>
      </c>
      <c r="B8464" t="inlineStr">
        <is>
          <t>成功</t>
        </is>
      </c>
      <c r="C8464" t="inlineStr">
        <is>
          <t>読み方：やすい
［形］［文］やす・し［ク］《「安い」と同語源》
１行うのがやさしい。たやすい。「言うだけならいとも—・いことだ」
２動詞の連用形に付く。
㋐そうなりがちである。とかく…する傾向にある。「壊れ—・いおもちゃ」「さび—・い金属」
㋑そうすることがたやすい。…するのが容易である。「書き—・いペン」「相談し—・い人」
[派生]やすさ［名］</t>
        </is>
      </c>
      <c r="D8464" t="inlineStr">
        <is>
          <t>易いもの(6%)；易いよう(5%)；易い性質；易い事；易いところ</t>
        </is>
      </c>
      <c r="E8464" t="inlineStr">
        <is>
          <t>やすい；容易；単純；楽；軽い</t>
        </is>
      </c>
      <c r="F8464" t="inlineStr">
        <is>
          <t>扱い易い；陥り易い；心易い；入り易い；親しみ易い</t>
        </is>
      </c>
      <c r="H8464" t="n">
        <v>29</v>
      </c>
      <c r="I8464" t="inlineStr">
        <is>
          <t>鬼の子は鬼でフシギはありませんし、人間はもともと鬼になり易いです。；工場が工場なだけにこれらの組織が作られ易い危険な条件をそなえている。；その話は播隆が見仏上人から聞いたことを更に分り易くしたのであった。；汝等こゝより入るべし、さきの階よりははるかに易き一の階そこにあり。；そのため一般的な農村は水が得られ易い場所に成立するケースが多い。；さらにそのためにはわたし自身を誇大にしておくほうがよりやり易くなる。；心易きを自ら捨てて、捨てたる後の苦しみを嬉しと見しも君がためなり。；一般の文章ならば、最も適切に分り易く表はすことが表現の要諦である。；一番利益の多いと共に一番又取つき易いのは新らしい文芸の古典でせう。；おそらく肺癌で、骨は転移のために折れ易くなっていたものと思われる。；そのためには、資料が活用し易い状態で、管理されていなければならない。；同じく穴を取るにしても、出走馬の多い時よりは少ない時の方が取り易い。；またバンナーは人々に受け入れ易いようにその主張を修正していった。；この自覚が欧米人と実に気易くつき合いが出来るようにしていたようだ。；僕は自然に両手を後ろに伸ばして外套を脱がせ易い姿勢をとっていた。；知識が古代に偏つてをりますから、古代の事だつたら解釈がつき易い。；けれどもそれは止つてゐる時よりは雷に打たれ易いと云ふ事はない。；こんな誤解され易い、又誤解する方が尤もな、余計な事は云っていない。；のみならず二人とも傷き易い神経を持って生まれているのです。；そしてだからこそ耳に残り易く、若者達の間でも評判になるのだろう。；段取りは易しそうに見えても、なかなかそうは行かない場合が多いものだ。；携行し易いようにセット全体は一まとめにできるような構造になっている。；要するに人間は如何なる方面でも常に易きに就く傾向があるようである。；まことに心易い様子であるから、神様も拍子ぬけがするのかも知れない。；あるいはまた少年に起り易い幻覚の一種に過ぎなかったのであろうか?；ナフタレンは脂溶性のため体内に吸収され易くなってしまい危険である。；国と言ふと、国郡制定以後の国と紛れ易い故、今此を村と言うて置かう。；が、訣り易く言へば、万葉と新古今との用語ほどの相違はあるのである。；開陳が容易になることで、身分を証明する証票部分を呈示し易くなった。</t>
        </is>
      </c>
      <c r="J8464">
        <f>HYPERLINK("https://www.weblio.jp/content/易い", "词义详情")</f>
        <v/>
      </c>
      <c r="K8464">
        <f>HYPERLINK("https://yourei.jp/易い", "查看例句")</f>
        <v/>
      </c>
    </row>
    <row r="8465">
      <c r="A8465" t="inlineStr">
        <is>
          <t>安っぽい</t>
        </is>
      </c>
      <c r="B8465" t="inlineStr">
        <is>
          <t>成功</t>
        </is>
      </c>
      <c r="C8465" t="inlineStr">
        <is>
          <t>読み方：やすっぽい
［形］
１品物が劣っていていかにも値うちがないように見えるさま。「—・いブローチ」
２品格がない。下品である。また、問題にする価値がない。「—・いメロドラマ」「—・い同情はいらない」「—・い男」
[派生]やすっぽさ［名］</t>
        </is>
      </c>
      <c r="D8465" t="inlineStr">
        <is>
          <t>安っぽいもの(3%)；安っぽいビニール；安っぽいテーブル；安っぽい感じ；安っぽい感傷</t>
        </is>
      </c>
      <c r="E8465" t="inlineStr">
        <is>
          <t>わずか；小さい；ひどい；軽い；安い</t>
        </is>
      </c>
      <c r="F8465" t="inlineStr">
        <is>
          <t>こんな安っぽい；ひどく安っぽい；安っぽい言葉；安っぽい映画；いかにも安っぽい</t>
        </is>
      </c>
      <c r="H8465" t="n">
        <v>29</v>
      </c>
      <c r="I8465" t="inlineStr">
        <is>
          <t>俺は顔を上げ、傷だらけで安っぽい扉を眺めてから心の準備を開始する。；すなわち次の発明はいつでも以前のものを安っぽくして行くのである。；真一の目には、それらの動作がみんな、安っぽいドラマみたいに見えた。；これは安っぽいイカサマ写真ではない、とひと目でわたしにはわかった。；しかし、客に圧力をかけてくるような安っぽい商売をする男ではない。；そんな安っぽい同情をされるほど、わたしは落ちぶれていないつもりだ。；汚れのない丸太組の壁には安っぽい木版画一枚貼ってあるわけではない。；顔が強張っているのは俺の指示による演技だが、安っぽいにも程があった。；あのババアは他人のために安っぽい同情なんかしないタイプのはずだ。；アレクシアが連れて行ってくれたのは、終夜営業の安っぽいバーだった。；右手で傘を掲げたバアサンは、左手に例の安っぽい白い傘を持っていた。；およそ売女ほど安っぽくはだかになろうとしないものはないだろう。；「安っぽい詩人の歌みたいな出会い方だな」 ロレンスは笑ってしまう。；俺はこんな事でとんで行かなきゃならん程安っぽい軍人じゃないんだ。；箱の背が壁とすれ合って、乾いたダンボール特有の安っぽい音をたてた。；辺りにはでたらめな紋様の描き込まれた数枚の安っぽい皿が漂っている。；特別房というだけあって、安っぽいホテルの部屋ぐらいの設備はある。；夜だというのにサングラスをかけた女が、安っぽいコートを着て立っていた。；自信をもって着ていないものだけが安っぽいんだな、とラヴィックは思った。；そして絵の安っぽさはかえって効果的だと言えるかも知れない。；私も初めて見たときにはずいぶん安っぽいなあと思いました。；こんな安っぽいロミジュリを自分で体験できるなんて思わなかったなー!；ベニヤ貼りの壁は安っぽいけれど、贅沢はここでは必要ないんですもの。；きたないごつごつした大きな手をし、安っぽい白リネンの服を着ている。；いずれも聞いたことのないブランドで、パッケージからして安っぽい。；すらすら口をついて出る文句の安っぽさに、本人は気づいてもいないのだろう。；街に氾濫する安っぽいヒロインを見ていると私にはそう思えてならないのです。；私は何だか自分が安っぽい陰謀家になってしまったような気がした。；二人部屋を運良く一人で使えていると喜んでいる自分がひどく安っぽく思えてしまった。</t>
        </is>
      </c>
      <c r="J8465">
        <f>HYPERLINK("https://www.weblio.jp/content/安っぽい", "词义详情")</f>
        <v/>
      </c>
      <c r="K8465">
        <f>HYPERLINK("https://yourei.jp/安っぽい", "查看例句")</f>
        <v/>
      </c>
    </row>
    <row r="8466">
      <c r="A8466" t="inlineStr">
        <is>
          <t>休み</t>
        </is>
      </c>
      <c r="B8466" t="inlineStr">
        <is>
          <t>成功</t>
        </is>
      </c>
      <c r="C8466" t="inlineStr">
        <is>
          <t>読み方：やすみ
１休むこと。休息。「食後の—」
２休む時間・日・期間。「昼—」「祝日は会社が—になる」
３欠勤・欠席すること。「無断で—をとる」
４寝ること。就寝。
「夜の—を知らせる鐘が鳴り渡って」〈藤村・破戒〉
５蚕が、脱皮前しばらくの間、桑の葉を食べずに静止すること。眠り。眠(みん)。
６斎宮(さいぐう)の忌詞(いみことば)で、病気をいう。→お休み
[下接語] 御(お)休み・小(こ)休み・食(しょく)休み・ずる休み・中休み・夏休み・春休み・一休み・昼休み・冬休み</t>
        </is>
      </c>
      <c r="D8466" t="inlineStr">
        <is>
          <t>休みなく(7%)；休みなさい(3%)；休みなし(2%)；休みたい(2%)；休みがち</t>
        </is>
      </c>
      <c r="E8466" t="inlineStr">
        <is>
          <t>間；停止；中止；節；暇</t>
        </is>
      </c>
      <c r="F8466" t="inlineStr">
        <is>
          <t>盆休み；試験休み；ずる休み；長い休み；小休み</t>
        </is>
      </c>
      <c r="G8466" t="inlineStr">
        <is>
          <t>休み明け；休み休み；休みの国；休みやすみ；休みの午後</t>
        </is>
      </c>
      <c r="H8466" t="n">
        <v>29</v>
      </c>
      <c r="I8466" t="inlineStr">
        <is>
          <t>盆休みが過ぎてから、お雪は師匠のところへ来て又こんなことを云った。；隣接するで行われる学校対抗戦のために金曜日の授業は休みとなっていた。；休みの期間は地元に戻り岩手放送のレコード室でアルバイトを経験した。；昔の戦争は三十年戦争などと申しましても中間に長い休みがあります。；彼女は「私が多くの損失を経験したとき、私は休みを取った」と言った。；雨が降った場合などは、他の建物を借りられない場合は休みになった。；一度スイッチを入れた機械は、彼がいなくても、休みなく動いている。；今度は春の休みで一寸上京しましたので直ぐにこちらへ引き返しました。；普段は東京で暮らし、休みの日などに静岡県内の住居で過ごしている。；農休み・刈り上げの後などの芝居興行は、田舎普通のことになつてゐた。；学校が休みの時期には博物館は動態保存の機関車列車が敷地内を運行する。；そのために敦子は多忙を極め、朝から夜までほぼ休みが無いほどだった。；他の選手は休みがあっても横山だけ休みが無く、嫌で嫌で仕様がなかった。；折から降って来た雨に、臍まで濡れながら一と休みもしないで、島々へ。；しかし彼女の空想は芸術とはほとんど縁のない未来の生活の上に休み勝ちだった。；休みの日はほとんどの時間ゲームをして過ごしているようだ。；さ、あなたはお迎えにいって下さるのだから、早く帰ってお休み下さい。；多くのミドルスクールでは、生徒に参加するための休みを与えました。；また、学校が休みで閉鎖されている期間には商売も行っていた。；いずれにしてもこの休み中は東京で一緒に暮して、みなとよく相談するがいい。；祭りが始まると学校や企業そして行政機関も約10日間の休みに入る。；ラジオでは現在も『お休みメモ』のタイトルで放送が継続されている。；守護者の魂は世界中にある七つの砦の中で肉体が再生するまで休み続けてきた。；その頃にはちよつとした休みも取れるでせうし、も一度海も見られるでせう。；そして、なおも下へ下へと、少しの休みもなくおりてくるではありませんか。；やがて女は二、三丁もくると、息をせいて、私を下ろして休みました。；最も長いレース間隔でも約1か月と、ほぼ休みなく出走を続けてきた。；この日は普段の運転手が休みだったため、70代の男性園長が運転していた。；このC1以降、春・夏・冬の学校の休みに合わせた年3回の開催が定着する。</t>
        </is>
      </c>
      <c r="J8466">
        <f>HYPERLINK("https://www.weblio.jp/content/休み", "词义详情")</f>
        <v/>
      </c>
      <c r="K8466">
        <f>HYPERLINK("https://yourei.jp/休み", "查看例句")</f>
        <v/>
      </c>
    </row>
    <row r="8467">
      <c r="A8467" t="inlineStr">
        <is>
          <t>休む</t>
        </is>
      </c>
      <c r="B8467" t="inlineStr">
        <is>
          <t>成功</t>
        </is>
      </c>
      <c r="C8467" t="inlineStr">
        <is>
          <t>読み方：やすむ
［動マ五（四）］
１仕事・活動を中断して、心身を楽にする。休息する。「食後に一時間—・む」
２動きや働きが止まる。
「河水の、…—・まずに、流れ流れ流れて」〈蘆花・自然と人生〉
３眠るために床に就く。寝る。「夕食後早めに—・んだ」
４欠席・欠勤する。「風邪で会社を—・む」
５日ごろ続けてきたことをしばらくせずにいる。「植木に水をやるのを—・む」
６病気が治る。
「七年を逕(わた)る間に、医薬方療して猶(なほ)—・まず」〈霊異記・中〉
[可能]やすめる
［動マ下二］「やすめる」の文語形。</t>
        </is>
      </c>
      <c r="D8467" t="inlineStr">
        <is>
          <t>休むことなく(8%)；休む間もなく(4%)；休む暇もなく；休むべき；休むひまもなく</t>
        </is>
      </c>
      <c r="E8467" t="inlineStr">
        <is>
          <t>停止；中断；休止；休息；休</t>
        </is>
      </c>
      <c r="F8467" t="inlineStr">
        <is>
          <t>少し休む；ゆっくり休む；日休む；ちょっと休む；よく休む</t>
        </is>
      </c>
      <c r="H8467" t="n">
        <v>29</v>
      </c>
      <c r="I8467" t="inlineStr">
        <is>
          <t>近所にだって夏中子供を休ませる家がいくらもあるじゃございませんか?；この日に來るだろうというので、多くの平和産業は休んでいるとのこと。；われわれは数時間前にそこにゆくでしょうが、休まなければなりません。；ヒースクリフは自分で勝手にそのあいだだけ仕事を休むことにしました。；休まずやってくれたら、仕事のはかがいくのになと思わずにいられない。；けれど、私はもう学校を休むのをそう悲しいこととは思っていなかった。；そして、その時巳之吉はしばらく自分の家で休むようにとお雪に云った。；そこでは私たちは、岸から離れたところに錨をおろして休むだけでした。；カワウソの習性から昼前後は休んでいて水に入らないことが多いという。；宿を眼のまえに見ていながら、こんなところで休んでいる奴があるか。；したがって試合に出るには仕事を休まなければならず、補償もなかった。；私はよく仕事して、休むとき音楽がやれたら本当にうれしいのだけれど。；わたしは旅の者ですが、ちょっと休ませていただきたいとぞんじまして。；そんなことで西森はよく学校を休んだと云ふことを聞いてゐたんです。；けれども結婚したばかりの者には、少し気を休ませてやるものですわ。；彼女は坂の途中で幾度となく休んでようやく水をくんでくるのである。；一時間だけここで休ませてもらおうと、私はお聖堂の中に入っていった。；彼女は彼に温めたミルクをもっていってやり、彼に休むように主張した。；夜があけ、次の日も暮れ、ふたたび夜になっても休まずに駆けつづけた。；師匠は日曜日に休まずに一六に休むので、弟子が集まっていたのである。；師匠は日曜日に休まずに一六に休むので、弟子が集まっていたのである。；夏は休んで秋に復帰したが9月の米山特別10着を最後に引退となった。；それだけを頼みに、クタクタになった身体を休ませもせずに通っていた。；そんなことで西森はよく学校を休んだと云うことを聞いていたのです。；そしてその人たちは、お前の目には休んでるように見えてくるだろう。；賀斉は敵の勢いが盛んであったため、しばらくは軍を留め兵を休ませた。；そのため、30分毎に10分程その馬を休ませるのは普通の事であった。；いっそ病気を云い立てにして今度の芝居を休んでしまおうと思っていた。；友人たちには電話を掛けて、腎臓が悪いから休むと言い訳をしておいた。</t>
        </is>
      </c>
      <c r="J8467">
        <f>HYPERLINK("https://www.weblio.jp/content/休む", "词义详情")</f>
        <v/>
      </c>
      <c r="K8467">
        <f>HYPERLINK("https://yourei.jp/休む", "查看例句")</f>
        <v/>
      </c>
    </row>
    <row r="8468">
      <c r="A8468" t="inlineStr">
        <is>
          <t>休める</t>
        </is>
      </c>
      <c r="B8468" t="inlineStr">
        <is>
          <t>成功</t>
        </is>
      </c>
      <c r="C8468" t="inlineStr">
        <is>
          <t>読み方：やすめる
［動マ下一］［文］やす・む［マ下二］
１人や動物の活動を一時中断して、やすらかにさせる。休息させる。「からだを—・める」「馬を—・める」「手を—・める」
２利用されていない状態にする。「田を—・める」「機械を—・める」
３おだやかにする。なだめて心を落ち着かせる。
「神仏明らかにましまさばこの憂へ—・め給へと」〈源・明石〉</t>
        </is>
      </c>
      <c r="D8468" t="inlineStr">
        <is>
          <t>休めることなく；休めるだろ；休める暇もなく；休めるべき</t>
        </is>
      </c>
      <c r="E8468" t="inlineStr">
        <is>
          <t>中断；休止；休息；休む；休</t>
        </is>
      </c>
      <c r="H8468" t="n">
        <v>29</v>
      </c>
      <c r="I8468" t="inlineStr">
        <is>
          <t>そこで歩きだしまして、ロンドンに到着するまで足を休めませんでした。；溺れかけていたのだから、ボートの上で身体を休めるのは必要なことだ。；姉が少し横になりたいと言い出したので、和也も体を休めることにした。；満足がいくまで眠りたりて、十分に疲れを休めた感じがしていたからだ。；頭休めに、こんな信じられないほどのバカ話もあったことを御披露する。；で晩になって芳子は眠ることにして、私は少し身体を休めに家に帰った。；父親は始めて手を休めて不思議そうに為吉の顔をしげしげと眺めました。；体を休めながら次は見えている七つの島のうちどれにしようと考えた。；それをしないことには別府で身体を休める気分になれなかったものだった。；市民は彼らを見て目をみはり、仕事の手を休めて見物するものもあった。；太陽の昇っているうちに走り、日が落ちれば人も馬も体を休めるものだ。；彼はそれをひとに隠していて、機会があると、正直に目を休めるのだった。；彼女は頭骨を拭いていた手を休めて椅子に座り、正面から僕の顔を見た。；しばらく半蔵らはその山家の中の山家とも言うべきところに足を休めた。；しかし何をするにせよ五分ごとに手を休め、壁の時計に目をやった。；時々、筆を休めて海を眺めたりもしましたが、同じところにいました。；ほかの男たちは女を攻撃する手を休め、女もうめき声をあげるのをやめた。；清逸は少し疲れてきた頭を休めて、手を火鉢に暖ためながらこう思った。；けれども疲れた頭と身体を休めて、新しい元気を回復するには十分であった。；歩き出すか、あるいは廃屋へ戻って朝まで身体を休めるか、どちらかだ。；休める時は出来るだけ彼のそばにいたいと思うが、なかなかそうもいかない。；仕事は休めるし、車の主は誠意のある人で、見舞いの金をくれるはずだ。；初めて見せた、斉願の大きな隙に和穂は逆に攻撃の手を休めてしまった。；その間も女官大勢頭部の声が頭上から聞こえてくるから手を休める暇はない。；彼は言葉を休め、スティーヴンが返事しないので、そのまま黙っていた。；男たちは手を休めて不安そうに耳をすまし、それからまた仕事にかかった。；下のほうに古くて汚れたソファがあり、ちょっと休めるようになっていた。；風景に目を休めるためではなく、庭を行き来する患者たちへの意識らしい。；東門にはりついたまま夜陰が下りても攻撃の手を休めることはなかった。</t>
        </is>
      </c>
      <c r="J8468">
        <f>HYPERLINK("https://www.weblio.jp/content/休める", "词义详情")</f>
        <v/>
      </c>
      <c r="K8468">
        <f>HYPERLINK("https://yourei.jp/休める", "查看例句")</f>
        <v/>
      </c>
    </row>
    <row r="8469">
      <c r="A8469" t="inlineStr">
        <is>
          <t>安らか</t>
        </is>
      </c>
      <c r="B8469" t="inlineStr">
        <is>
          <t>成功</t>
        </is>
      </c>
      <c r="C8469" t="inlineStr">
        <is>
          <t>読み方：やすらか
［形動］［文］［ナリ］
１穏やかで変わったことのないさま。平安なさま。「—な旅路を祈る」
２何の心配も悩みもないさま。「—な眠りにつく」
３わかりやすいさま。平易なさま。
「文字の意味—にして」〈逍遥・小説神髄〉
４気楽なさま。
「唐衣こき垂れたるほどなど、馴れ—なるを見るも」〈枕・一八四〉
５穏当でわざとらしさがないさま。
「うちある調度も昔覚えて—なるこそ、心にくしと見ゆれ」〈徒然・一〇〉
６たやすいさま。簡単であるさま。
「（水車ヲ）こしらへさせられければ、—にゆひて参らせたりけるが」〈徒然・五一〉
[派生]やすらかさ［名］</t>
        </is>
      </c>
      <c r="D8469" t="inlineStr">
        <is>
          <t>安らかな眠り(5%)；安らかな寝息(4%)；安らかな死；安らかな顔；安らかな気持ち</t>
        </is>
      </c>
      <c r="E8469" t="inlineStr">
        <is>
          <t>静か；平和；安心；無事；楽</t>
        </is>
      </c>
      <c r="F8469" t="inlineStr">
        <is>
          <t>安らかな夢；安らかな日々；安らかな微笑；安らかな死に顔；安らかな鼾</t>
        </is>
      </c>
      <c r="H8469" t="n">
        <v>29</v>
      </c>
      <c r="I8469" t="inlineStr">
        <is>
          <t>今の彼女に、死ほど安らかですぐにも行けそうに思われる所はなかった。；自分がもと知っていた唯一の生活の安らかなわびしさはなくなっていた。；この怪我で一体どんな夢を見ればこんな安らかな表情で眠れるのだろう。；この世にやって来ない者は幸福だ、母から生まれなかった者は安らかだ。；さすればお前は、残りの五分の四を安らかに所有しておられるであろう。；そして私の家を見るに及んで私の心臓は安らかに動き出したのであった。；この生物たちが何者であろうと、彼らには安らかに眠る権利があるのだ。；日々苦楽を共にしてくれる者があればこそ、この世の旅は安らかに進む。；二人とも殆んど息をしてないかのように、安らかにぐっすり眠っていた。；湖の底に眠っている者たちの眠りも、安らかでない筈はございません。；不思議とそうしていることが安らかで、自分には貴重な時間に思えた。；夜になると私の安らかな眠りすら吸い取ってしまうような気さえしました。；さう言ふ この國の爲來りを 彼は信じて 安らかになつたに違ひない。；わたくしの考えでは、愛情にはもっと安らかなものが必要なのですわ。；眠りはふたたびくるときよりも、はじめにきたときのほうが安らかである。；それから裏の階段をとおり、わたしは自分の部屋と安らかな眠りを求めた。；仏教をよりどころとし、世の豊かさ安らかさを願い、事業を行っている。；さうして凡てが神の魂を有つた人間の安らかな良き心から流れ出てゐる。；みているうちに、安らかな表情がその年齢よりも老けた面にひろがった。；周囲の人たちもただ安らかに葬ってあげたい気持ちでいっぱいであろう。；でも、もうあの子は浮世の苦しみから解放されて安らかに眠っています。；眠りは再び来る時よりも初めに来る時の方が安らかなものである。；だれかと大勢でいる時よりも、一人でいる時のほうが安らかになれる。；その日の悲しみも苦しみも、夜の安らかさに流れやうとしてゐるのだった。；そうした歓喜の情はいつも軽い安らかな眠りを彼にもたらすのであった。；彼は兄なる太陽や姉なる月のように安らかで鳥やけだもののように幸せだった。；不思議な落付きと安らかさは、あのときもまだ続いてゐたに相違ない。；誰でも買える品を作る時、作る心は一層平和であり安らかではないか。；正玄の家は、なさぬ仲の母・弟が安らかにところを得て居たに違ひない。</t>
        </is>
      </c>
      <c r="J8469">
        <f>HYPERLINK("https://www.weblio.jp/content/安らか", "词义详情")</f>
        <v/>
      </c>
      <c r="K8469">
        <f>HYPERLINK("https://yourei.jp/安らか", "查看例句")</f>
        <v/>
      </c>
    </row>
    <row r="8470">
      <c r="A8470" t="inlineStr">
        <is>
          <t>安らぐ</t>
        </is>
      </c>
      <c r="B8470" t="inlineStr">
        <is>
          <t>成功</t>
        </is>
      </c>
      <c r="C8470" t="inlineStr">
        <is>
          <t>読み方：やすらぐ
［動ガ五（四）］安らかな気持ちになる。穏やかな気持ちになる。「気分が—・ぐ」
［動ガ下二］「やすらげる」の文語形。</t>
        </is>
      </c>
      <c r="D8470" t="inlineStr">
        <is>
          <t>安堵；ホッと；落ち着く；一息つく；リラックスする</t>
        </is>
      </c>
      <c r="H8470" t="n">
        <v>29</v>
      </c>
      <c r="I8470" t="inlineStr">
        <is>
          <t>すこしは心が安らぐかと期待していたのだが、効果はまったくなかった。；森の中を散歩しているように、聴く人の心が安らぐ音楽を目指している。；彼は再び第七学区に戻ってきたが、気持ちが安らぐ事はありえなかった。；そっと大介のそばに、体を寄り添わせ、安らぐように静かな息をついた。；私の姿が目の前に浮ばないほうが、あの方の気持が安らぐのではないかしら?；そのたまゆらの貴重な時間すら、夫を安らがせることが出来ないのか!；人の血で穢れた者は、死しても神々の安らぐ世へ行くことはかなわない。；家庭はあたたかく安らぐ場所であると思えないことは不道徳なことだ。；いずれにしても、窓のない部屋は、ただそれだけで安らぐものです。；戦乱の世が、うそのようなさわやかな眺めに、気持が安らぐのを覚えた。；薬名はわからないがいかにも心安らぐ雰囲気が伝わってくる。；そしてそれはいつも、私にとって心安らぐ場所ではなかったのだから。；慶が朝として認めてくれるというだけで、官はどれほど安らぐだろう。；これほど心安らぐ笑みをつくる東洋女性を、彼は見たことがなかった。；夫と二人の子供が元気でいてこそ、自分の心は安らぐのだ。；不安な気持ちなどで具合が悪くなったり、気持ちが安らぐと具合が良くなったりもする。；だが、謎はまだ胸の中にあり、彼の気持は安らぐことがなかった。；けれども今は、老ファシストの精神を安らげる慰みの書物なのだった。；たしかに妻はわたしのその問いに答えてわたしの気持を安らげようとしているようでした。；それは心の安らぐことであると同時に、不安なことであった。；私は、ホテルは安らげる空間であるべきだと思っているので。；世の中には安らぐことを許されない人生があるのです。；光の中に溶け入っていく寸前、子供たちが安らぐように薄くわらうのを。；どんなに疲れて帰って来ても、どんなに不幸になって逃げて来ても、すぐに安らげる。；朝起きて働き、夜は安らぐという生活など、彼らには全く無縁なのだ。；合戦がうそのようなあたりの風景に、景虎は気持が安らぐのを覚えた。；四ヵ月振りにみる覇気にあふれる姿に、景虎は、心が安らぐのを覚えた。；別の世界に道代が生きているとしたなら私の心も安らぐ。；それからまた、この奇妙な男や女たちといっしょにいると、気分が安らぐのも感じていた。</t>
        </is>
      </c>
      <c r="J8470">
        <f>HYPERLINK("https://www.weblio.jp/content/安らぐ", "词义详情")</f>
        <v/>
      </c>
      <c r="K8470">
        <f>HYPERLINK("https://yourei.jp/安らぐ", "查看例句")</f>
        <v/>
      </c>
    </row>
    <row r="8471">
      <c r="A8471" t="inlineStr">
        <is>
          <t>野生</t>
        </is>
      </c>
      <c r="B8471" t="inlineStr">
        <is>
          <t>成功</t>
        </is>
      </c>
      <c r="C8471" t="inlineStr">
        <is>
          <t>読み方：やせい
［名］(スル)
１動植物が自然に山野で生育すること。「—の猿」
「そら色の朝顔が—していた」〈寅彦・旅日記から〉
２人が教育などによって整えられたりせず自然のままの状態で育つこと。
［代］一人称の人代名詞。男子が自分をへりくだっていう語。近世に多用される。〈書言字考節用集〉</t>
        </is>
      </c>
      <c r="D8471" t="inlineStr">
        <is>
          <t>野生化(8%)；野生個体(4%)；野生下(3%)；野生型(2%)；野生動植物(2%)</t>
        </is>
      </c>
      <c r="E8471" t="inlineStr">
        <is>
          <t>自然；天然；野性；自然状態；未開拓</t>
        </is>
      </c>
      <c r="F8471" t="inlineStr">
        <is>
          <t>野生復帰；野生種；野生体；野生株；野生の王獣</t>
        </is>
      </c>
      <c r="G8471" t="inlineStr">
        <is>
          <t>野生生物；野生種；野生児；野生化；野生の思考</t>
        </is>
      </c>
      <c r="H8471" t="n">
        <v>29</v>
      </c>
      <c r="I8471" t="inlineStr">
        <is>
          <t>その野生体は中央大陸の火族が古くから移動手段や戦闘に用いてきたもの。；現在では簡単に養殖物が手に入るが、野生のものも全国に分布している。；現在では日本で広く栽培されているが、一部は逸出して野生化している。；日本の沖と台湾の沖における野生下での生体の観察例が報告されている。；かつては野生のものが流通したが、現在ではほとんどが栽培品である。；野生の固体の果実は栽培されたものより小さいが、味は良いことが多い。；アフリカでは野生のゴリラを見た最初の白人女性の一人になったとのこと。；野生個体、繁殖個体共に流通するが現在は野生個体の流通はあまりない。；その野生体は中央大陸の海族が古くから家畜として用いてきたものである。；餌付きの良い個体が多いが、大型の野生個体は餌付きにくいこともある。；主に野生個体が流通するが、扱いが悪く状態を崩していることもある。；しかし平成になって、経緯は不明ながら野生イノシシが再定着している。；野生の木も各地にたくさん見られ、地名や人名に用いられる例も多い。；これは極端に寒い地域を除いて栽培しやすく、野生化することも多い。；日本へは明治中期に観賞用として導入され、1955年には野生化した。；島には野生化した馬がおり、現在では法律で手厚く保護されている。；チモシー同様、明治時代に日本に導入され、今では広く野生化している。；区域の山腹にはブナ林などの天然林が多く、野生の動物が生息している。；この個体群についても、二次的に野生化したものと推測されている。；しかし、トラ自体の個体数が少ないため、野生で見られるのは稀である。；日本には江戸時代末期に渡来したが、野生ではほとんど自生していない。；主に野生個体が流通するが、一部の種では飼育下繁殖個体も流通する。；以前は野生個体が流通していたが、近年は繁殖個体が流通の中心になっている。；通常時は、野生時の出現率が他のポケモンに比べて低くなっている。；北海道は現代のイノブタを除き野生のイノシシが自然分布していない。；野生にはヨーロッパ東部からシベリア西部にかけて分布するとされている。；その野生体は中央大陸の虫族が古くから家畜として共生してきたもの。；周辺には野生のニホンザルが生息しており遊歩道で目にすることが出来る。；野生個体群の存続についてはますます楽観できない状況になりつつある。</t>
        </is>
      </c>
      <c r="J8471">
        <f>HYPERLINK("https://www.weblio.jp/content/野生", "词义详情")</f>
        <v/>
      </c>
      <c r="K8471">
        <f>HYPERLINK("https://yourei.jp/野生", "查看例句")</f>
        <v/>
      </c>
    </row>
    <row r="8472">
      <c r="A8472" t="inlineStr">
        <is>
          <t>痩せる</t>
        </is>
      </c>
      <c r="B8472" t="inlineStr">
        <is>
          <t>成功</t>
        </is>
      </c>
      <c r="C8472" t="inlineStr">
        <is>
          <t>読み方：やせる
［動サ下一］［文］や・す［サ下二］
１肉が落ち、からだが細くなる。「胃をこわして—・せる」⇔肥える／太る。
２土地が草木を生長させる力に欠ける。地味が豊かでなくなる。「—・せた土地」⇔肥える。</t>
        </is>
      </c>
      <c r="D8472" t="inlineStr">
        <is>
          <t>減量；痩せ細る；瘠せる；やつれる；やせ細る</t>
        </is>
      </c>
      <c r="H8472" t="n">
        <v>29</v>
      </c>
      <c r="I8472" t="inlineStr">
        <is>
          <t>少し痩せて身長の高い先生は笑顔を見せて僕を見おろしていられました。；病を患っている設定に合わせて、会うたびにどんどん痩せていくんです。；その夜、一人の痩せた弱々しい青年が小屋の鍵をこじ開けて入ってきた。；スタイルが非常に良く、豊満な肉付きをしているが腰などは痩せている。；彼は姉が以前より少し痩せて、いくらかでも歩き振りがよくなったと思った。；日本程ではありませぬけれども、非常に痩せて居る土地が多いのであります。；姉の状態はまだ良くなくて痩せたままだよ、と鮫島くんは言いました。；しかし暮らしを維持することは難しく夫は痩せ衰えて夭逝してしまった。；極く無愛想な無口な五十ばかりの痩せた女も黙って炬燵にあたっていた。；母一人娘一人の生活だから心配は彼女を痩せさせる程だつた。；澄江は突然ジョーヌの長い痩せた腕にだきすくめられてゐたのであつた。；一日5回食事していたにもかかわらず、1年間の撮影で14kg痩せた。；痩せて虚弱な少年だったが学問を好む彼は、期待に背くことはなかった。；とても痩せており、いつも「目に血が入っている」状態でプレーしていた。；食事制限をしながら激しい運動を続ければ、痩せるに決まっているのだ。；特色のある長い生えさがりは一層彼女の頬を痩せ細ったように見せていた。；豊かな頬の肉はげっそりと痩せて、顔の色は水のように蒼白くなった。；ガルは、彼女の痩せ方が通常の結核患者よりも極端であることに気づいた。；そこには、痩せて肋骨の輪郭が見えるほどの収容者が全裸で写っていた。；彼女は体こそ痩せていたものの、誰よりも美しい顔をしていた。；あの大きな身体の人が非常に痩せて小さくなって顔にかすかな赤味がある位でした。；復帰初回の放送で彼は非常に痩せてしまい、また明らかに弱っていた。；入団当時の体重は70kgで、現役晩年よりも30kg以上痩せていた。；この頃のゲーリングは痩せていて生涯で最も美男だった頃であった。；痩せた男はギリシャ語しか話せないので、英語の質問を通訳しろと言う。；この頃はめっきり痩せた姉の頬に涙が流れると、弟の大きい眼にも露が宿る。；球ゲージも、板ゲージも釘痩せ部以外の箇所が計測部となることが多い。；なんのために痩せるのかを忘れて、痩せることだけが目的になった。；けれども、痩せてゐる胸のあたりは、どうしても、女の感じではなかつた。</t>
        </is>
      </c>
      <c r="J8472">
        <f>HYPERLINK("https://www.weblio.jp/content/痩せる", "词义详情")</f>
        <v/>
      </c>
      <c r="K8472">
        <f>HYPERLINK("https://yourei.jp/痩せる", "查看例句")</f>
        <v/>
      </c>
    </row>
    <row r="8473">
      <c r="A8473" t="inlineStr">
        <is>
          <t>屋台</t>
        </is>
      </c>
      <c r="B8473" t="inlineStr">
        <is>
          <t>成功</t>
        </is>
      </c>
      <c r="C8473" t="inlineStr">
        <is>
          <t>読み方：やたい
１道路・広場などで立ち売りの商売をするための台を設けた、屋根付きの小さな店。台車をつけたり、自動車を改造したりして移動できるものもいう。屋台店。床店(とこみせ)。
２祭礼のときなどに、飾り物をしたり、踊り手や囃子方(はやしかた)をのせたりして練り歩く、小屋形の台。もと御神体を祭って持ち運ぶためのもの。山車(だし)。練り物。檀尻(だんじり)。「踊り—」
３能・歌舞伎などで、宮殿・社寺・家屋として舞台上にしつらえる作り物や大道具。
４家・店のつくり。また、家をののしっていう語。
「これの—が三浦屋と申すべいか」〈伎・伊達競阿国戯場〉</t>
        </is>
      </c>
      <c r="D8473" t="inlineStr">
        <is>
          <t>屋台料理；屋台街；屋台巡行；屋台車；屋台蔵</t>
        </is>
      </c>
      <c r="F8473" t="inlineStr">
        <is>
          <t>大屋台；芸屋台；踊り屋台；祭り屋台；小さな屋台</t>
        </is>
      </c>
      <c r="G8473" t="inlineStr">
        <is>
          <t>屋台店；屋台村；屋台囃子；屋台会館；屋台行事</t>
        </is>
      </c>
      <c r="H8473" t="n">
        <v>29</v>
      </c>
      <c r="I8473" t="inlineStr">
        <is>
          <t>高知県の屋台は不許可営業を行っているのではないかと見る業者もある。；これも不遇の時代に屋台に貼られていた写真を見て開眼したものである。；この頃から屋台の屋号に店主の愛称を店名に使う店舗が多くなってきた。；遊歩道の屋台で食べられるものと、レストランで食べられるものである。；明和年間に幕を下賜されたとの記録が屋台に関する最も古い記録である。；また屋根に千木ではなく御幣をつけているもの非常に特徴的な屋台である。；移動式屋台は、独特の掛け声や鍋・椀・竹を叩いて販売料理を宣伝する。；縁日の屋台で扱われる商品やサービスを列挙すると次のようなものがある。；このほか1925年制作の踊り屋台も現存するが、近年は曳行されない。；理由は「移動式屋台だったら資金も何とかなるだろう」と思ったから。；その後淡水線開通に伴い大稲埕地区の中心地として屋台街が形成された。；多くの屋台がならび、またスカラ座もこの日からシーズンが開幕される。；車輪は板車4輪で他に戻し車を備え、屋台中段は般若の大幕で覆われる。；台輪は欅の1枚板で作られており、高山屋台中の白眉であるといわれる。；メキシコでは、ハンバーガーを販売している屋台が多く営業している。；お祭りやテーマパークの仕事を依頼された際は、ライブ以外にも屋台を出す。；これら階段部分はかつて屋台や大道芸人のスペースともなっていた。；昔は屋台4台で競って演じていたが、今では年ごとの当番制になっている。；ジャンルは主に中国北西部で食されている屋台料理が中心。；しかし、屋台で商売する若者達と出会い、再起を掛けた料理を生み出す。；主に駄菓子屋や祭りの屋台で供され、子供のおやつとして食されている。；この日は朝から屋台が宮入りし、神社前の広場で練り合わせを行う。；なお残り3町の屋台は、現在保存状態が悪く曳き出すことができない。；初代の屋台は創設年代は不明であるが、1817年以前に存在した記録が残る。；東新天地公共広場へ移転当時に増えたお好み焼きの屋台は八店舗になった。；中国でも台湾に似た形態の屋台が見られるが、売る食品は地域ごとに異なる。；武漢の典型的な朝食であり、通常朝の食堂か通り沿いの屋台で販売される。；客寄せの才能があり、焼きそば屋台の宣伝をした際には店に行列ができた。；また中国人が似たものをごま油で香ばしく焼いたものの屋台も存在する。</t>
        </is>
      </c>
      <c r="J8473">
        <f>HYPERLINK("https://www.weblio.jp/content/屋台", "词义详情")</f>
        <v/>
      </c>
      <c r="K8473">
        <f>HYPERLINK("https://yourei.jp/屋台", "查看例句")</f>
        <v/>
      </c>
    </row>
    <row r="8474">
      <c r="A8474" t="inlineStr">
        <is>
          <t>やたら</t>
        </is>
      </c>
      <c r="B8474" t="inlineStr">
        <is>
          <t>成功</t>
        </is>
      </c>
      <c r="C8474" t="inlineStr">
        <is>
          <t>読み方：やたら
［形動］［文］［ナリ］根拠・節度がないさま。筋が通らないさま。めちゃくちゃ。むやみ。「—に買い込む」「—な事を言うもんじゃない」
→無闇(むやみ)［用法］
［副］に同じ。「—（と）のどが乾く」「—（と）偉そうなことばかり言う」
[補説] 「矢鱈」は当て字。</t>
        </is>
      </c>
      <c r="D8474" t="inlineStr">
        <is>
          <t>やたらと多い；やたらに多い；やたらに煙草；やたらと長い；やたら多い</t>
        </is>
      </c>
      <c r="E8474" t="inlineStr">
        <is>
          <t>あまり；余り；軽い；あんまり；過剰</t>
        </is>
      </c>
      <c r="F8474" t="inlineStr">
        <is>
          <t>なんかやたら；やたらに腹；やたらとでかい；とにかくやたら；やたら明るい</t>
        </is>
      </c>
      <c r="G8474" t="inlineStr">
        <is>
          <t>やたら漬</t>
        </is>
      </c>
      <c r="H8474" t="n">
        <v>29</v>
      </c>
      <c r="I8474" t="inlineStr">
        <is>
          <t>降下はそうやたらにあるわけじゃなかったが、だれもか毎日働いたんだ。；自分で好みもせぬのに、人に見せびらかすためにやたらと買う者もいる。；そのやたら長く感じられる時間の間に、僕はいくつかのことを考えた。；ペルシダーの女は敵の戦士の目の前に、やたらと姿をさらさないからだ。；何だかやたらにいらいらして夜はなにも出来ない様な心持になって居た。；彼女はいいのも悪いのもごっちゃにして、ただやたらに音楽が好きだった。；こんなものをやたら動かすわけにはいかないだろうと、ルイスは思った。；やたらと握手するのが好きなのでシェイキング・サミーと呼ばれている。；また、詩もずいぶん書いたし、やたらと人物が登場する小説も書いた。；下らない一言でも聞く人の心が動いて居るとやたらに感じるものだ。；新聞記者がきて、やたらなことを書かれるのはやりきれないですからね。；かれはそれが必要だと思われる場合でないかぎり、やたらに人を殺したくない。；ひとところに、じっとしてると、やたらに考えるようになるもんだね。；最初やたらと水を飲んでしまったが、すぐに慣れておもしろくなった。；父が深くうなだれて、やたらとたばこをふかしていた姿を覚えています。；ソロはじっと坐っていることに耐えられず、やたら部屋のなかを歩きまわった。；船出のときにはやたら飛びだした軽口も、もうだれも口にする者はない。；話の合いまのとぎれが長くなり、やたらにつばをはくことが多くなった。；夜は妙にメランコリーになってやたらに涙をこぼしたくて仕様がなかった。；その上ある時期はやたら砂が多く、三割ぐらいは泥と砂のある場合もあった。；やたらとスタジオ内には人が多く、中には全然見たことのない人がよくいたという。；わたしは問題をやたらに並べたが、一つだけまだ出していない重大な問題がある。；やたらに他人の家へ入りこんで人を殺すということは出来るものでない。；安心なのは、やたらに犬の数がふえる恐れのなくなつたことでした。；やっこさんはカメラの前にやたらに腹を突き出したがる連中のお仲間なんだ。；何もせずにぼんやりしてると、やたらに煙草が吸いたくなるものだ。；やたら揺れたりしない、動かない舞台では、芝居はずっとうまくできました。；魚の料理を食べながら、やたらと想像をほしいままにしていた。；やたら黒くてやたら体のラインが出なくてやたら足も見せないようなやつ。</t>
        </is>
      </c>
      <c r="J8474">
        <f>HYPERLINK("https://www.weblio.jp/content/やたら", "词义详情")</f>
        <v/>
      </c>
      <c r="K8474">
        <f>HYPERLINK("https://yourei.jp/やたら", "查看例句")</f>
        <v/>
      </c>
    </row>
    <row r="8475">
      <c r="A8475" t="inlineStr">
        <is>
          <t>家賃</t>
        </is>
      </c>
      <c r="B8475" t="inlineStr">
        <is>
          <t>成功</t>
        </is>
      </c>
      <c r="C8475" t="inlineStr">
        <is>
          <t>読み方：やちん
家や部屋の借り賃。たなちん。</t>
        </is>
      </c>
      <c r="D8475" t="inlineStr">
        <is>
          <t>家賃収入；家賃補助；家賃債務保証；家賃高騰；家賃月</t>
        </is>
      </c>
      <c r="E8475" t="inlineStr">
        <is>
          <t>賃料；使用料；賃貸料；店賃；損料</t>
        </is>
      </c>
      <c r="F8475" t="inlineStr">
        <is>
          <t>安い家賃；低家賃；お家賃；高額な家賃；無家賃</t>
        </is>
      </c>
      <c r="G8475" t="inlineStr">
        <is>
          <t>家賃保証会社</t>
        </is>
      </c>
      <c r="H8475" t="n">
        <v>29</v>
      </c>
      <c r="I8475" t="inlineStr">
        <is>
          <t>その布団の持ち主の住んでいた家の家賃は、その頃ただの六十銭でした。；しかしそれほどの家賃の支払いにも困るほどこの家族は貧乏なのでした。；家賃の安い古いアパートに居住したことが要因となった可能性がある。；小さい家を作ってやって、家賃と水道と電気だけは前田氏がもってやる。；ちなみにその頃ぼくが住んでいた汚いアパートの家賃は二万一千円だった。；そして日家賃七銭で一ヶ月二円十銭になるが、月家賃二円にまけてくれた。；家賃もまあまあ、平均的な東京のアパートと同じと考えていただいていい。；家賃の代わりに、ほかのものと一緒に置いていかなければならなかったのです。；契約条件は、父親として新たな生活を始めるためのアパートの家賃だった。；家賃は三分して、社と自分と直木とで三分の一ずつ出すことになっていた。；われわれが家賃の安いこの辺で仕事をはじめたわけもお分りでしょう?；家賃が払えなくて家を追い出されたのまで、ついでにばれそうだからだ。；むろん家賃など負担できるはずもなく月のオフィスが一切の面倒をみてくれた。；家賃が安いし、猫を飼っていいと言ってくれたのはその人だけだった。；一軒分の家賃を払えない一家が一部の部屋をまた貸しすることはよくあった。；その向いがわにある建物を借りている人は、年に百万ドルの家賃を払っている。；京都へ出たお雪と私とは出町のかなり大きな家を安い家賃で借りた。；わたしたちは家賃としてできるだけの金をおいていくつもりだった。；家賃の負担比率に若干の違いがあっても、どの店もほぼ似たようなものである。；なんと、大家が言うには奈緒子の家賃3か月分を既に受け取ったとの事。；おれのしごとがすぐみつからなければ、そのなかからやちんをはらおう。；私の住んでいた家は父の死んだ家で、母はその家賃を引きつづき払っていた。；父親に家から追い出されて以来、家賃や食費の心配をしたことはない。；そこに居ることに誰の許可も必要なかったし、もちろん家賃もいらなかった。；ついでに、家賃の半分や、その他住まいに必要なお金も全然出さなかった。；それを売って家賃を払ったらいいではないかということもいえます。；三郎の家はもう豊かでないから、多額になっている家賃のことを聞いて心配した。；年の暮に鍛冶町の家主が急に家賃を上げたので、私は京町へ引き越した。；引っ越し先はこれまでの五割増しの広さだったが家賃が半端じゃなかった。</t>
        </is>
      </c>
      <c r="J8475">
        <f>HYPERLINK("https://www.weblio.jp/content/家賃", "词义详情")</f>
        <v/>
      </c>
      <c r="K8475">
        <f>HYPERLINK("https://yourei.jp/家賃", "查看例句")</f>
        <v/>
      </c>
    </row>
    <row r="8476">
      <c r="A8476" t="inlineStr">
        <is>
          <t>奴</t>
        </is>
      </c>
      <c r="B8476" t="inlineStr">
        <is>
          <t>成功</t>
        </is>
      </c>
      <c r="C8476" t="inlineStr">
        <is>
          <t>読み方：しゃつ
［代］三人称の人代名詞。第三者をののしっていう語。あいつ。きゃつ。やつ。
「—ここへ引き寄せよ」〈平家・二〉</t>
        </is>
      </c>
      <c r="D8476" t="inlineStr">
        <is>
          <t>奴じゃない；奴國；奴ア；奴ども；奴国王</t>
        </is>
      </c>
      <c r="F8476" t="inlineStr">
        <is>
          <t>いい奴；此奴；そんな奴；あんな奴；こんな奴</t>
        </is>
      </c>
      <c r="G8476" t="inlineStr">
        <is>
          <t>奴ら；奴等；奴隷制；奴隷制度；奴隷貿易</t>
        </is>
      </c>
      <c r="H8476" t="n">
        <v>29</v>
      </c>
      <c r="I8476" t="inlineStr">
        <is>
          <t>対となる上紺屋町は接してはいないが、奴通りを挟んだ南西に位置する。；対となる下紺屋町は接してはいないが、奴通りを挟んだ北東に位置する。；俺たちのほうにはともちゃんを細君に持つのに反対する奴は一人もいまい。；軽く振って本塁打にするにはどれだけ時間がかかるか知らん奴が言うこと。；これを若い奴にやらせろという話が出て、それで俺のところに話がきた。；花田 ただし尻尾を出しそうな奴は黙って引っ込んでいるほうがいいぜ。；ウィルス種であるが卑怯なことは嫌い、卑怯な奴は仲間と思っていない。；併し俺の割つて見せる生活の底を誰が見るのだ、どんな奴が見るのだ。；その後松竹芸能の主要劇場を経て奴は吉本興業の主要劇場に出演した。；ともちゃんに選ばれた奴は実はその選ばれた奴の弟なんだ。；「この受賞はこの編集をした奴にやるべきだ」とスピーチしたという。；あれは柿江と共通にはいていたんだが、柿江の奴今ごろは困っているだろう。；いまの奴たちは、勘平が頼んでわざと伴内を呼びにやらせたのである。；奴に殺人現場を事前に予測できたはずが無いし、もちろん俺も奴には伝えていない。；「何もできない奴だったけどブロックだけは凄かった」と述べている。；私に何かを教えたといって威張れる奴は一人もおらんのです。；朝鮮では男の奴隷を奴、女の奴隷を婢と呼び、あわせて奴婢といった。；父から「勉強しすぎて死んだ奴はいない」と教えを受けたという。；清原は野球に対する思想、哲学が何もない奴だ、天性だけでやっている。；そのときに用いた大名籠や法被、奴の道具などは今も残っている。；自分たちの音楽に政治を持ち込みたい奴がいるなら、どうぞご勝手に。；どのチームも、その化け物達をディフェンスで抑えられる奴が欲しいんだ。；評判の意志の自由といふ奴を利用して、大いに助けてくれをどなるのですね。；那珂川市にある遺跡で、奴国王の住居があったと指摘されている。；悪い奴もいるが、難民認定を受けられず貧しい生活をしている者も大勢いる。；両手で金を出すてえ奴は居無え、両手で物を盗ねる奴も居無えや。；常に自分をギリギリのところに立たせていないと芝居ができないと思っていた奴だ。；道具も旅程に合せて次々転換させたり、奴をからませるなどの演出がある。；欽哀皇后は護衛の馮家奴に蕭匹敵とが反乱を計画していると誣告させた。</t>
        </is>
      </c>
      <c r="J8476">
        <f>HYPERLINK("https://www.weblio.jp/content/奴", "词义详情")</f>
        <v/>
      </c>
      <c r="K8476">
        <f>HYPERLINK("https://yourei.jp/奴", "查看例句")</f>
        <v/>
      </c>
    </row>
    <row r="8477">
      <c r="A8477" t="inlineStr">
        <is>
          <t>やっかい</t>
        </is>
      </c>
      <c r="B8477" t="inlineStr">
        <is>
          <t>成功</t>
        </is>
      </c>
      <c r="C8477" t="inlineStr">
        <is>
          <t>読み方：やっかい
［名・形動］
１めんどうなこと。扱いに手数がかかり、わずらわしいこと。また、そのさま。「—なことに巻き込まれる」
２めんどうをみること。また、世話になること。「親の—になる」
３他家に寄食すること。居候(いそうろう)。
→面倒(めんどう)［用法］
[派生]やっかいさ［名］</t>
        </is>
      </c>
      <c r="D8477" t="inlineStr">
        <is>
          <t>困難；難しい；障害；故障；邪魔</t>
        </is>
      </c>
      <c r="H8477" t="n">
        <v>29</v>
      </c>
      <c r="I8477" t="inlineStr">
        <is>
          <t>たしかに、まだいくつかやっかいな問題も残っていることは事実である。；今はこの拘禁室とやっかいな感情のもつれとが目の前に迫ってきている。；貧乏だけれども、おまえのやっかいにただの一度もなったことはないよ。；村の連中なんかにも評判はよくないし、敵も多そうなのでやっかいですよ。；もっとも、他人に発見されないよう、その注意と警戒はやっかいらしい。；そのあとは更に悪化して、僕は警察のごやっかいになるかもしれない。；僕たちはこのやっかいな乳母車をかわりばんこに押していったのである。；叔父の家でやっかいなことばかり起こるのも、すべて女の子が原因なのだ。；と、言っても実際にはこれは頭が痛くなるようなやっかいな作業なのだが。；小説を書いていて最もやっかいなのは、三人以上が会話をしているシーンだ。；ちょっとやっかいだったが、ルイスは頭をゴロリと反対側に向けてみた。；「われわれはやっかいな事実に直面しなければならない」 彼がいった。；この何度か警察にやっかいになった経験から来る勘は、当たっていた。；ただやっかいなことに、その顔はかかしの頭のうしろ側にありました。；それにこんなやっかいなことになったのは、気のどくだと思ってるんだぜ。；ぼくも相当な議論家だけど、カーニバルについてはやっかいな点がある。；こんなやっかいなことがあろうとは思いもかけなかったような窮地に落ちたよ。；おれは一昨年の暮れからちょくちょくこの家のごやっかいになっててね。；そういうわけで、私は長いことテレビのごやっかいになっています。；それはやっかいなことになりそうだったが、結局たいしたこともなかった。；それよりもそろそろ片づけておかないと、やっかいなことになりはしない?；マニュアルに書いていないやっかいな問題やトラブルが次々に起きたのだ。；あなたはちょっとも僕のやっかいなんか見てくだすったことはありません。；彼は何度警察にやっかいになろうと、懲りない男たちの一人に違いなかった。；一夏、脳が悪くて田舎の親類のやっかいになって一月ぐらい遊んでいた。；人を殺して血をみないと生きることも眠ることもできないやっかいな生物である。；かなり手間のかかるやっかいな仕事だったが、ついにそれも完了した。；こちらからの操作は容易だが、切穴の側からでは多少やっかいかもしれない。；信頼されると、あとでやっかいなことを申しつけられかねないからだ。</t>
        </is>
      </c>
      <c r="J8477">
        <f>HYPERLINK("https://www.weblio.jp/content/やっかい", "词义详情")</f>
        <v/>
      </c>
      <c r="K8477">
        <f>HYPERLINK("https://yourei.jp/やっかい", "查看例句")</f>
        <v/>
      </c>
    </row>
    <row r="8478">
      <c r="A8478" t="inlineStr">
        <is>
          <t>薬局</t>
        </is>
      </c>
      <c r="B8478" t="inlineStr">
        <is>
          <t>成功</t>
        </is>
      </c>
      <c r="C8478" t="inlineStr">
        <is>
          <t>読み方：やっきょく
１薬剤師が医薬品の調剤および販売を行う所や店。開設には都道府県知事の許可を必要とし、開設者が薬剤師でない場合には、管理者として専任の薬剤師を置かなければならない。
２病院・診療所などで、薬を調合する所。</t>
        </is>
      </c>
      <c r="D8478" t="inlineStr">
        <is>
          <t>薬局生；薬局チェーン；薬局等；薬局開設；薬局経営</t>
        </is>
      </c>
      <c r="E8478" t="inlineStr">
        <is>
          <t>ドラッグストア；薬店；薬屋；薬種屋；薬舗</t>
        </is>
      </c>
      <c r="F8478" t="inlineStr">
        <is>
          <t>中野薬局；堂薬局；西郷薬局；小さな薬局；薬局販売</t>
        </is>
      </c>
      <c r="G8478" t="inlineStr">
        <is>
          <t>薬局等構造設備規則；薬局距離制限事件</t>
        </is>
      </c>
      <c r="H8478" t="n">
        <v>29</v>
      </c>
      <c r="I8478" t="inlineStr">
        <is>
          <t>薬局の前を通って行って、又帰って来ると二十分丈何時も過ぎるんです。；現在では薬局業務に欠く事の出来ない薬歴を普及させた事で知られる。；少年は久しぶりで泊る気になつて、下の食堂で薬局の連中と話をしてゐた。；父は薬局を営んでおり、父の仕事を手伝いながら科学への興味を育んだ。；前の日に近くの薬局でパックごと買ってきた栄養ドリンク剤が入っていた。；中一日かかるけれど、近所の大型薬局にフィルムを持ってゆくしかない。；しかし一日早く薬局にとりに行く口実を何と申したらよいでしょう。；この話を聞いた2人はインスリンを手に入れるために薬局を襲撃する。；私の記憶にある範囲では、彼がいるような薬局はもうありません。；バドマエフは薬局の庭で栽培したハーブを調合した独自の薬を処方した。；そこで警官の一人を、その薬局へ派遣して調べさせることにした。；実際は調剤を行なわず保険薬局の指定も受けていない薬局も存在する。；奥にある建物は薬草の研究所になっていて、薬局も経営しているの。；薬剤師資格を取得して病院や薬局などに勤めながら作詞家を目指した。；奥村さんはよくよくの用でもないと、薬局や診察室には姿を見せない。；ブラジルでは完全に医薬分業制をとっているため医薬品は薬局で購入する。；しかし、あくまで健康のためという理由なので薬局でしか販売されていない。；薬局で手に入る某ブランドのものは、他のものより強い場合がある。；薬局の節が裏縁に立って、「そんなもの食うならもう薬やらん」といった。；全安堂は、かつて輸入薬品や民生用品等が販売されていた薬局であった。；私はがっかりして、薬局を出ようとすると、そこの主人が声をかけた。；薬局で警報ベルがなっているとの通報を受け、クレイは現場へと向かう。；その後は薬局の経営だけでなく、医薬品や医療機器の製造に乗り出した。；ポケットの中には、薬局へ届けるはずの処方箋がいくつかはいっていた。；このため、病院や薬局でこの会社の商品を見かけることは余り無い。；フランスでは医薬品を販売することが可能な業態は薬局に限られる。；大型店舗ではなく古くからの比較的小さな薬局の店頭に現在でも置いてあることがある。；デュボワと敵対した者は彼の父が地元の医者で小さな薬局も経営していたと主張した。；一面学校の先生で一面薬局長は他に類のない出来事であろう。</t>
        </is>
      </c>
      <c r="J8478">
        <f>HYPERLINK("https://www.weblio.jp/content/薬局", "词义详情")</f>
        <v/>
      </c>
      <c r="K8478">
        <f>HYPERLINK("https://yourei.jp/薬局", "查看例句")</f>
        <v/>
      </c>
    </row>
    <row r="8479">
      <c r="A8479" t="inlineStr">
        <is>
          <t>やった</t>
        </is>
      </c>
      <c r="B8479" t="inlineStr">
        <is>
          <t>成功</t>
        </is>
      </c>
      <c r="C8479" t="inlineStr">
        <is>
          <t>［連語］《動詞「やる」＋過去の助動詞「た」。してやったりの意》思い通りになったり、うまくやりおおせたりしたときに発する語。「—、逆転ホームランだ」</t>
        </is>
      </c>
      <c r="D8479" t="inlineStr">
        <is>
          <t>した；行った；したり；完成；完了</t>
        </is>
      </c>
      <c r="H8479" t="n">
        <v>29</v>
      </c>
      <c r="I8479" t="inlineStr">
        <is>
          <t>そこで心配だが田舎から出てきたばかりの中間を使いにやろうと決める。；一緒の場所にいることが必ずしも一緒にやっているということではない。；しかし私がかくいうのは勉強と恋愛とをほどほどにやれというのではない。；そのため、同じネタをやっても同じ展開とはならないのも特徴的である。；こんどはなんになってやろうかと、そんなことばかり考えていたのです。；この論文では、どうやってそれらの値に到達したのかは説明されていない。；放棄といてやれ、と聞えぬ振りして本を読んで居ると吉三郎が上つて来る。；一方、カントナーは本来自分が目指してきた音楽をやる為に動き始めた。；こうなると僕にも分かるんですが新監督は自分の色でやりたいんですよね。；自分が団体を率いて試合するのは、通常の大会をやっても意味がない。；でも、今、自分でやりたいこともあって、それが僕の目標でもあるんだ。；画家はただ自分の本当の仕事だけをやればよい事となってしまった。；だがこの起源はやり過ぎだったようで、その後一度も使われていない。；私はあの女の下腹をまっすぐに愛してやればよかったのだと思います。；子供の頃のグレツキーはアイスホッケーよりも野球をやりたがっていた。；私は自分の場所に寝ていて、朝になって皆が私を見て驚く顔を見てやろう。；幾日か続いた雨の残り雨らしいものが降ってやんだあとで月が出てきた。；たとえばプログラムを書く仕事は、機械なしでもやろうと思えばできる。；その可能性がなくなって使われないなら、もう野球をやる意味がない。；このヒットを機会に、自身のやりたい音楽を表現することを決意する。；ただ、場面は、やりまわしの時だけでなく、直線路を走るときにも使う。；そのようなクレーターがどうやってできるのかも実験で研究している。；しかし、市場の人々はお前なんかにクレレットはやれないと反発される。；自分の仕事に関連ありそうなものは全部やれと言うことになっていましたから。；その後間もなく私のところへみゑ子を京都へ返してやれ、と言ってきた。；それに、もはや風が吹きやんで、風で判断することができないのでした。；その時になって初めて自分がケータイ刑事をやることを知ったという。；ですがあなたはたゞ言ふだけの事を門番におつしやればようございます。；ビルの警備員をやりつつ、ギターでの楽曲製作に励む日々を送っていた。</t>
        </is>
      </c>
      <c r="J8479">
        <f>HYPERLINK("https://www.weblio.jp/content/やった", "词义详情")</f>
        <v/>
      </c>
      <c r="K8479">
        <f>HYPERLINK("https://yourei.jp/やった", "查看例句")</f>
        <v/>
      </c>
    </row>
    <row r="8480">
      <c r="A8480" t="inlineStr">
        <is>
          <t>やっつける</t>
        </is>
      </c>
      <c r="B8480" t="inlineStr">
        <is>
          <t>成功</t>
        </is>
      </c>
      <c r="C8480" t="inlineStr">
        <is>
          <t>読み方：やっつける
［動カ下一］《「やりつける」の音変化》
１「する」「やる」の意を強めていう語。また、いいかげんにやってしまう。「仕事を一気に—・ける」
２ひどい目にあわせる。打ち負かす。「手ひどく—・けられる」
３「食べる」「飲む」の意を強めていう語。「冷や奴で一杯—・ける」</t>
        </is>
      </c>
      <c r="D8480" t="inlineStr">
        <is>
          <t>やっつけるべき</t>
        </is>
      </c>
      <c r="E8480" t="inlineStr">
        <is>
          <t>果たす；撃破；倒す；ミッション；終える</t>
        </is>
      </c>
      <c r="H8480" t="n">
        <v>29</v>
      </c>
      <c r="I8480" t="inlineStr">
        <is>
          <t>そのため簡単にやっつけられると乗客のだれもが思っているようだった。；やつらはすでにお互いをやっつけるための武器を作りはじめていたのだ。；俺たちと同じように、やっつける相手が必要なだけなんじゃないのかい?；あなたのお説を、さらに完全なものにして、相手をやっつけてあげます。；それで今、あの人がひどくやっつけているのは、だれだとお思いになる?；だから彼はそう言ったが、結果はみんなから逆にやっつけられてしまった。；そここそ彼が大島をやっつける舞台として選んだ場所だったからである。；喧嘩しても負けて来るならいいんですが、それがあなたやっつけてばかり。；そして、機会あるごとにマドレーヌ氏をやっつけるような態度をとった。；そいつが アテネの娘のそばで寝ているところをやっつけときました。；ともかくデイヴィドを二人ばかりやっつけ、やっとのことで戻ってきた。；われわれはこの腕で、一度に四人、あの黒人たちをやっつけられるんだ。；父も、議論しても結局やっつけられるというか、笑い話になってしまう。；夫人を相手に議論してやっつけられるのは初めての経験ではない。；だが、そんなことまでしてやっつけるほどの価値のある人物ではなさそうだ。；そいつの仲間をやっつけていたとき、おれはずっと背中を見せたままだった。；その本の中で古今の詩人を片っ端からやっつける事は論をまたずだがね!；また誰であろうと相手を何事にもやっつけてはならぬということだ。；われわれのもっている船なら奴はやっつけることができるからだ。；さあ、これで犬のほうはやっつけたが、こんどはいよいよ人間の番だ。；ロシアの軍人もいかにして日本をやっつけるかに苦心しているんだ。；彼らをやっつけるために、ソ連の芸術論や小説をいくつも翻訳した。；わたしが今日、みんなのまえであの兵士どもをやっつけた理由が分かるかね?；どんなむちゃなことをしてもいいから、相手をやっつけてやりたくなった。；おちおち食べる暇がないので、男も女もみな立ったままでやっつけるんだ。；それも道場で試合をしてコテンパンにやっつけられた様な類のものだ。；少なくも、もし今でなければ、いつかあとでやっつけられそうに感じた。；ぼくたちが全部をやっつけたのではないことはもちろんである。；ぼくをこんなめにあわせたやつを、やっつけないで、おくものですか。</t>
        </is>
      </c>
      <c r="J8480">
        <f>HYPERLINK("https://www.weblio.jp/content/やっつける", "词义详情")</f>
        <v/>
      </c>
      <c r="K8480">
        <f>HYPERLINK("https://yourei.jp/やっつける", "查看例句")</f>
        <v/>
      </c>
    </row>
    <row r="8481">
      <c r="A8481" t="inlineStr">
        <is>
          <t>やってくる</t>
        </is>
      </c>
      <c r="B8481" t="inlineStr">
        <is>
          <t>成功</t>
        </is>
      </c>
      <c r="C8481" t="inlineStr">
        <is>
          <t>読み方：やってくる
［動カ変］
１こちらに向かってくる。「向こうから—・くる」
２仕事や生活をしながら、現在に至る。「10年も同じ仕事を—・きた」</t>
        </is>
      </c>
      <c r="D8481" t="inlineStr">
        <is>
          <t>やってくるだろ；やってくるかもしれ；やってくるはずです；やってくるかも知れ；やってくる客たち</t>
        </is>
      </c>
      <c r="E8481" t="inlineStr">
        <is>
          <t>くる；来る；至る；到着；起こる</t>
        </is>
      </c>
      <c r="F8481" t="inlineStr">
        <is>
          <t>求めてやってくる；きっとやってくる；突然やってくる；これからやってくる；かならずやってくる</t>
        </is>
      </c>
      <c r="H8481" t="n">
        <v>29</v>
      </c>
      <c r="I8481" t="inlineStr">
        <is>
          <t>助けてくれる仲間が優秀だから、なんとかこれまでやってこられたんだ。；飲みに行こうとスタッフたちを誘ったのだが、なぜか誰もやってこない。；それがこうして幸せにやってこれたのはその人たちのおかげでしょう。；陽が高く上って視界もよくなり、新たな輸送船がやってくるのが見えた。；山が多く、道路が発達していない東海岸にはまずやってこないでしょう。；まさかあなたがたが無事ここまでやってこれるとは思ってもいませんでした。；ある朝郊外へ取材に行くために予約しておいたハイヤーがやってこない。；ザムシャーを倒して己の名を上げるため、彼を追って地球にやってきた。；そのため、経済格差のある韓国からも多数の留学生が日本にやってきた。；騒ぎを聞きつけた人々がやってきて、メネラウスが戻っている事に驚く。；その雲は星の宝物である「クリスタル」を狙ってやってきたのであった。；宗教団体だけでなく、非宗教団体も被害者を支援するためにやってきた。；ただ調査するためだけに、わざわざやってこられたわけでもないでしょう。；もし警官がやってこなかったら、おれはずっと立ち続けていただろう。；王子だから王道を通って、わしにしか見られんようにしてやってこれた。；別の惑星から地球へやってきた異星知性体、それがラヴォスだったのだ。；これをみんなで検討しようといってるところへあなたがやってこられたんです。；ときには客のほうからわざわざやってきて情報を提供してくれるようになった。；外宇宙からやってくる異星人のために実験的に街が築かれたのが8年前。；そこへ風呂敷を背負った旅なりの若い男がやってきてこれも茶店で休む。；基本的には録音であったが、スタジオにゲストがやってきたことも何度かあった。；午後にはより多くの来園者が、同じくらい見事な日没を見にやってくる。；イタリア系と中国系の人々もこの時期に鉄道建設のためにやってきた。；今まで予言しておいてやってこなかった嵐が、一時に来たようじゃないか。；この東に位置する遺跡にはかつて多くの盗掘者や調査隊がやってきたという。；相手の技とか体調の問題じゃない、今まで何をやってきたんだろう。；低下していく人類の出生率を高くするために未来からやってきた七人の集団。；彼は、その後日本にもやってきて、京都の大徳寺で禅の修業もしている。；こうしているうちにも、女中がこちらへやってこないものでもない。</t>
        </is>
      </c>
      <c r="J8481">
        <f>HYPERLINK("https://www.weblio.jp/content/やってくる", "词义详情")</f>
        <v/>
      </c>
      <c r="K8481">
        <f>HYPERLINK("https://yourei.jp/やってくる", "查看例句")</f>
        <v/>
      </c>
    </row>
    <row r="8482">
      <c r="A8482" t="inlineStr">
        <is>
          <t>やってのける</t>
        </is>
      </c>
      <c r="B8482" t="inlineStr">
        <is>
          <t>成功</t>
        </is>
      </c>
      <c r="C8482" t="inlineStr">
        <is>
          <t>読み方：やってのける
［動カ下一］困難なことをやりとげる。「見事に—・ける」「苦もなく—・ける」</t>
        </is>
      </c>
      <c r="D8482" t="inlineStr">
        <is>
          <t>果たす；ミッション；実現する；終える；達成する</t>
        </is>
      </c>
      <c r="H8482" t="n">
        <v>29</v>
      </c>
      <c r="I8482" t="inlineStr">
        <is>
          <t>おれは今まで一度もやったことのないことをこんどやってのけたんだぜ。；虫も殺さぬ顔で鬼みたいなことをこともなげにやってのけるものである。；あいつなら他人の夢に出てくることだって無意識にやってのけるだろう。；そんなことをやってのける会社はロスチャイルド家以外にはありません。；しかもそういうことを卵でも注文するみたいにむぞうさにやってのけた。；あたしがあの大それたことをやってのけたのは、その晩のことでした。；冗談のように複雑な作業を、この少女は一瞬にしてやってのけるのだ。；彼が堂々とそんなことをやってのけるので、いっそう興味が深くなった。；だが、こんどの場合、かれらはまったく安全に仕事をやってのけていた。；彼らはどうすればいいかを知っていて、それをきちんとやってのけた。；鈴木首相は死を覚悟しつつ水の流れるごとく淡々としてやってのけた。；わしはただあなた方がうまくやってのけた話がしたかっただけじゃ。；何も知らないような顔をしていながら思い切ったことをやってのける。；そして、その外観を見事にやってのけることができた人々はごく僅かだ。；長谷がそれを知れば、羽生よりも先にそれをやってのける可能性はある。；ダージー池の氷に自分の名前を書くくらい、やってのけるかもしれない。；男は金持になりたいためにどうかと思われるようなことでもやってのける。；そういう言ったとおりのことをやってのけそうな連中が確かにいた。；いいや、マーク、これらの不可能をやってのけた男は気違いではないよ。；問題解決のために有効と判断すれば、どんなこともやってのけるだろう。；どんな残忍なことでも平気でやってのけそうな酷薄な眼つきをしていた。；そうしたことは、おそらく今まで阿茶局がやってのけていたに違いない。；ここでもし生徒が、不幸にして完全な講読をやってのけたとしたらどうか。；われわれの見ている前でやってのけたのだから、何とも頭のいい男ですよ。；彼は自分の義務と思っていることを、たいして苦労もせずにやってのけた。；君たちは我々が五日がかりでできなかったことを五分でやってのけたんだ。；あらゆる意味で、一目置かれる、そんな挨拶を俺はやってのけたようで。；わしらが夢想だにしないことをやってのける力を持っているのだよ。；しかし僕が神の地位にあったら、すべてをもっと簡単にやってのける。</t>
        </is>
      </c>
      <c r="J8482">
        <f>HYPERLINK("https://www.weblio.jp/content/やってのける", "词义详情")</f>
        <v/>
      </c>
      <c r="K8482">
        <f>HYPERLINK("https://yourei.jp/やってのける", "查看例句")</f>
        <v/>
      </c>
    </row>
    <row r="8483">
      <c r="A8483" t="inlineStr">
        <is>
          <t>やっと</t>
        </is>
      </c>
      <c r="B8483" t="inlineStr">
        <is>
          <t>成功</t>
        </is>
      </c>
      <c r="C8483" t="inlineStr">
        <is>
          <t>［副］
１たくさん。たいそう。
「その外に川魚屋もまだまあ—あれどな」〈滑・浮世風呂・二〉
２はるかに。ずっと。
「荷を持つ方が—気楽な」〈浄・伊賀越〉</t>
        </is>
      </c>
      <c r="D8483" t="inlineStr">
        <is>
          <t>やっと気がつい；やっと通れる；やっと見つけ；やっと気づい；やっと少し</t>
        </is>
      </c>
      <c r="F8483" t="inlineStr">
        <is>
          <t>いまやっと；やっとこらえ；やっと落ち着い；やっと聞きとれる；やっと正気づい</t>
        </is>
      </c>
      <c r="G8483" t="inlineStr">
        <is>
          <t>やっと自虐史観のアホらしさに気づいた日本人；やっと逢えたね；やっとこ鍋</t>
        </is>
      </c>
      <c r="H8483" t="n">
        <v>29</v>
      </c>
      <c r="I8483" t="inlineStr">
        <is>
          <t>やっと世間のことがわかるようになったときにはもう70になっていた。；やっとの思いで会場に到達することに、このイベントの意味があるんだ。；このパフォーマンスは観客が誰もみてない状況になってやっと終わった。；ダルムシュタットはやっと構造上も農民都市から宮廷都市へと変化した。；州全体がそうであるように、七年戦争後になってやっと人口が増加した。；三日目にやっと話をきいてくれて卒業したら勉強にきてもよいと言われる。；やっと分かったころにはもう終わりに近い、というのではなんともはや。；なんとか二人の子供にこの事実を説明するのがやっとのことだった。；彼はその冷たい光の中にやっと彼の前に展開する人間喜劇を発見した。；そして、明日香がやっとの思いで見つけた文は、恐ろしい姿をしていた。；しかし、これが報告されたのは、やっと2004年になってからだった。；フリングスは発作で倒れてから、その頃は話すのがやっとになっていた。；その後年金生活に入っていたが「食べるのがやっと」と話す状況だった。；南の警察へいって事情をいうて、この子をやっともらい受けてきた。；ストラップとのどの間に指1本がやっと入る程度になっているべきである。；着陸を試みてから4日目にやっと着陸ができたのは、初のことであった。；数年後にやっと逃亡していた住民が戻り、村はゆっくりと再建されていった。；私がオスカーを主催する日がやっと来たことをとても嬉しく思います。；気持ちを失ったとされる小狼にさくらはやっと自分の気持ちを伝える。；しかし、途中には険しい森に大きな川、やっとたどり着いた街にも危険。；このため永田は金を全然持っておらず、生活するのがやっとの状況。；その後ズムバッハはフランスに戻って、やっと落ち着いた生活を始めた。；午前10時頃まで4波の戦闘があったが、やっと戦闘に変化が訪れた。；NHK名古屋放送局のテレビ放送もやっと5年を経過した状況であった。；大学の名前とピアノのことを聞いて、僕はやっとそれが彼女であることに思い至った。；やっとの思いで一軍に復帰すると、その年だけで3本のサヨナラ本塁打。；やっとお金をため、親を説得できた青年は列車に乗って大都会を目指した。；レースでは後方を進んだが、前には届かず掲示板に載るのがやっとだった。；そして三十になってやっと小説を書くようになった。</t>
        </is>
      </c>
      <c r="J8483">
        <f>HYPERLINK("https://www.weblio.jp/content/やっと", "词义详情")</f>
        <v/>
      </c>
      <c r="K8483">
        <f>HYPERLINK("https://yourei.jp/やっと", "查看例句")</f>
        <v/>
      </c>
    </row>
    <row r="8484">
      <c r="A8484" t="inlineStr">
        <is>
          <t>やっぱり</t>
        </is>
      </c>
      <c r="B8484" t="inlineStr">
        <is>
          <t>成功</t>
        </is>
      </c>
      <c r="C8484" t="inlineStr">
        <is>
          <t>読み方：やっぱり
［副］「やはり」の音変化。「—思ったとおりだ」
[補説] 「矢っ張り」は当て字。</t>
        </is>
      </c>
      <c r="D8484" t="inlineStr">
        <is>
          <t>やっぱり同じ；やっぱりあれ；やっぱりちょっと；やっぱりそういう；やっぱりこういう</t>
        </is>
      </c>
      <c r="E8484" t="inlineStr">
        <is>
          <t>やはり；結局；いつものように；果たして；例によって</t>
        </is>
      </c>
      <c r="F8484" t="inlineStr">
        <is>
          <t>ああやっぱり；やっぱり明智探偵；やっぱり磯村くん；やっぱり遠子先輩；やっぱり祥子さま</t>
        </is>
      </c>
      <c r="G8484" t="inlineStr">
        <is>
          <t>やっぱり海が好き；やっぱり君はそうさバッチリさ；やっぱりさんま大先生</t>
        </is>
      </c>
      <c r="H8484" t="n">
        <v>29</v>
      </c>
      <c r="I8484" t="inlineStr">
        <is>
          <t>ぼくたちが夢を見ているのでなければ、ここはやっぱり洞窟の中なのだ。；だが、お三根はやっぱり起きてこなかったし、部屋の中で返事もしない。；そして見ないような振りをして、やっぱり小初の挙動に気をつけていた。；やっぱり幻ではない、新一は何者かを追って山の中へ入って行ったのだ。；やっぱり根に純粋で逞しいものを持って生れついて呉れたせいであろうか。；夏だ海だ達郎だっていうのやっぱり俺は続けなくてよかったっていう。；僕がやっぱりここの宿へ来て、河鹿の声を聞いた晩に起った出来事なんだ。；そして、彼はやっぱり何者かの為に殺害されたのではあるまいか。；一度も小児の時だった、やっぱりそういう折に大怪我をしたのを覚えている。；こいつもやっぱり、どこかの星からやってきた宇宙人なのでしょうか。；大きな口をきいていた彼等さえ、やっぱり気持がわるくなったらしい。；青木は、「やっぱり俺は夢を見ているのか」と思った程、びっくりした。；で、それはアメリカとかヨーロッパとかでは、やっぱり宗教ですよね。；わたしたちを助けてはくれたけれど、やっぱり悪人にはちがいないわ。；ああ、あいつは、やっぱり、部屋の中へしのびこんでいたのでしょうか。；やっぱり学校の掛け図で見たことのある西洋の天女のような女の人であった。；ところで、今度は牧田の方の問題だが、これもやっぱり女出入りなのだ。；僕はこれを大真面目に言っていて、やっぱり人間は引き際が重要だと思う。；やっぱり一度見たものは頭のどこかに残っているのかな。；するとやっぱり軽蔑する男と結婚するほかはないことになるわね。；ところが書き始めてみると、やっぱりいつもの癖が出て小説体になってしまった。；それでもやっぱり、とても主観的なレベルで僕はキリストを愛してる。；でも、やっぱり、ほかのおねえさまたちと同じように、足がありません。；さっき店員の見たのは、やっぱり、出てくるところだったのでしょう。；それはわかっていても、やっぱりきみが悪くてしようがありません。；その後は特撮の出来を見て「やっぱり円谷だな」と平伏していたという。；学者や発明家などの大きな仕事も、やっぱりそういう所から出発するんだよ。；やっぱりその場へ来てみなければわからないものですね。；あれ程考えに考えた彼の計画にも、やっぱり手抜りがあったのです。</t>
        </is>
      </c>
      <c r="J8484">
        <f>HYPERLINK("https://www.weblio.jp/content/やっぱり", "词义详情")</f>
        <v/>
      </c>
      <c r="K8484">
        <f>HYPERLINK("https://yourei.jp/やっぱり", "查看例句")</f>
        <v/>
      </c>
    </row>
    <row r="8485">
      <c r="A8485" t="inlineStr">
        <is>
          <t>宿</t>
        </is>
      </c>
      <c r="B8485" t="inlineStr">
        <is>
          <t>成功</t>
        </is>
      </c>
      <c r="C8485" t="inlineStr">
        <is>
          <t>読み方：しゅく
［音］シュク（漢）スク（呉）　［訓］やど　やどる　やどす
［学習漢字］3年
〈シュク〉
１一時的に寝泊まりする所。やど。「宿駅／下宿・旅宿」
２寝泊まりする。やどる。「宿舎・宿直・宿泊／寄宿・止宿・露宿」
３以前からの。長く持ち続けている。「宿痾(しゅくあ)・宿願・宿敵・宿弊」
４年功を積んだ。「宿徳・宿老」
５前世からの。「宿縁・宿世(しゅくせ・すくせ)・宿命」
６星座。「星宿・二十八宿」
〈やど〉「宿屋／定宿(じょうやど)」
［名のり］いえ・おる・すみ
［難読］宿直(とのい)・宿酔(ふつかよい)</t>
        </is>
      </c>
      <c r="D8485" t="inlineStr">
        <is>
          <t>宿役人；宿内；宿太尉；宿つて；宿はずれ</t>
        </is>
      </c>
      <c r="E8485" t="inlineStr">
        <is>
          <t>家；屋；ホテル；館；居</t>
        </is>
      </c>
      <c r="F8485" t="inlineStr">
        <is>
          <t>お宿；湯宿；外界宿；同じ宿；商人宿</t>
        </is>
      </c>
      <c r="G8485" t="inlineStr">
        <is>
          <t>宿屋；宿舎；宿主；宿命；宿泊施設</t>
        </is>
      </c>
      <c r="H8485" t="n">
        <v>29</v>
      </c>
      <c r="I8485" t="inlineStr">
        <is>
          <t>両親はいとこ同士であり、母親の実家は宿付きの居酒屋を経営していた。；幹線道の整備に伴い脇道や水上交通も発達し、多くの市や宿が成立した。；当宿を経営する株式会社貝掛温泉は日本秘湯を守る会の発足会員の一つ。；やはり湯宿に来たら小さな粗末な宿にしなければ感じが出ないのかもしれない。；その晩は夏らしい月もあつて、宿の裏二階の畳の上まで射し入つた。；一軒宿の中に看板を設置するなど、混浴マナーの維持活動が行われている。；街道には小松をはじめ「西通り八か宿」と呼ばれる宿駅が8つ置かれた。；何者かが子供を連れ去るといわれたもので、宿かい、ヤドウケともいう。；手始めに、まずはこの宿に所属する冒険者の登録作業を行うこととなる。；各月の朔日の宿は以上の通りであり、あとは日の分だけ進ませれば良い。；群馬県側の永井宿の伝承では空海も巡錫の折に三国峠を訪れたとされる。；「指宿」の名称は「湯豊宿」に由来すると言われているが別の説もある。；山頂付近まで林道が整備されており、山頂付近には宿や売店などもある。；歩き遍路は朝早くに出て、夕方までには宿に着くのが基本である。；このような統治体制は東海道五十三次の他の宿にはみられない。；両チームの選手は同じ列車で移動し同じ宿に宿泊したという。；日本の和暦の暦注においても、宿曜道に基づく二十七宿が書かれていた。；新婚旅行先の宿から電話で薬の取引をするなど、家庭よりも仕事を優先した。；涼子はもし自分が宿丸の妹ならば、夫婦にはなれないと思い悩むようになる。；同時に鴟河浦の宿の主人の李化甫への調書でも上記が確認されている。；当駅も、かつて街道に存在していた李平宿との連絡が可能な場所に設置されている。；翌朝、宿を後にした二人は登校する女子高生の中に敦子の姿を見つける。；山小屋である「白馬鑓温泉小屋」だけが季節営業している一軒宿の秘湯。；しかも江戸初期以前には「宿」と書くためにますますこの説の信用は欠ける。；この一軒宿は、映画やドラマの撮影で使われることも多い。；かつては豊明館、中山荘という宿も営業していたが、どちらも廃業した。；間の宿のなかには立場が発展したものもある。；宿や食堂など様々な施設があり、主人公達を温かく迎えてくれる。；一軒宿が出来たのは1990年と温泉郷内では歴史が浅い部類に入る。</t>
        </is>
      </c>
      <c r="J8485">
        <f>HYPERLINK("https://www.weblio.jp/content/宿", "词义详情")</f>
        <v/>
      </c>
      <c r="K8485">
        <f>HYPERLINK("https://yourei.jp/宿", "查看例句")</f>
        <v/>
      </c>
    </row>
    <row r="8486">
      <c r="A8486" t="inlineStr">
        <is>
          <t>雇う</t>
        </is>
      </c>
      <c r="B8486" t="inlineStr">
        <is>
          <t>成功</t>
        </is>
      </c>
      <c r="C8486" t="inlineStr">
        <is>
          <t>読み方：やとう
［動ワ五（ハ四）］
１賃金を払って人を使う。また、料金を払って乗り物などを使う。「人を—・う」「ハイヤーを—・う」
２借りて使う。借用する。
「舌根を—・ひて、不請の阿弥陀仏両三遍申して止みぬ」〈方丈記〉
[可能]やとえる</t>
        </is>
      </c>
      <c r="D8486" t="inlineStr">
        <is>
          <t>雇うべき；雇うなんてこと</t>
        </is>
      </c>
      <c r="E8486" t="inlineStr">
        <is>
          <t>使う；取る；雇用；借りる；リース</t>
        </is>
      </c>
      <c r="H8486" t="n">
        <v>29</v>
      </c>
      <c r="I8486" t="inlineStr">
        <is>
          <t>また軍を辞めた物を雇い入れてくれる唯一にして最大の会社でもあるの。；昔は店員を二人雇うことが出来たんですが、今は一人しかございません。；埋葬された者の親類や彼らに雇われた者がしばらくの間新しい墓を守った。；しかし結婚はしたくないので、子供を産むだけの女性を雇うことにする。；召使を雇うときには気をつけて、有能なのは避けるようにしているんだ。；人を雇うほどの金もないが、それぐらいは自分で出来ると思っていた。；人を雇う余裕がないから自分たちがすることになったのではないか。；まえにいた三人は出てゆき、この二人は三月に雇いいれたものである。；が、雇われたフォトグラファーが所有のカメラを使うことも珍しくない。；今なおエージェントを雇わずに自ら出演依頼の電話を受けることでも有名。；与太者を雇ってアンジェロを殺害させようとしたが、これには失敗する。；教師はほかにも雇ったが、ハンナと母は学校を経営し子供を教育した。；わずかに残った漁民も近隣の村の船に雇われたり、移住を余儀なくされた。；この段階になったら、仕上げにほかの技術者を雇うこともできるんだぞ。；貝三は修善寺から自動車を雇うと、ただ一人先発隊のあとを追っていた。；そこで新たな従業員を雇い入れる必要が出たが、簡単には見つからない。；しかし、討ち入り一つできない者たちを、どこの藩とて雇うわけがない。；そして年とった町育ちの女を雇い入れたいと、その機会を待っていた。；その店に運良く雇ってもらうことになったが、やがてこの店も解雇になる。；一人ものの男が二人づれ夫婦ものを雇いたがって居る、これも面白い。；わたしは、自分の助手にこの男を雇えたらと思っているぐらいなんですよ。；中世の時代には、多くの有力な貴族が彼ら自身の紋章官を雇っていた。；しかし、なぜ自分の車を持っているのに、ほかのを雇うのでしょうか?；いいお客様だけではないし、雇う側の社員だっていい人だけとは限らない。；彼が必要とした科学スタッフもそれで雇いいれることができた。；私は四人雇っているが、その各の一人は、他の三人の役目をやり得る。；荷物は一頭の馬を雇ってこれにのせ、四人は身軽になって鉄脚を飛ばす。；日本人の学生をあれ以後、あの村ではアルバイトに雇うことはないだろう。；私どもでは、使用人は全部あの店から雇い入れることにしております。</t>
        </is>
      </c>
      <c r="J8486">
        <f>HYPERLINK("https://www.weblio.jp/content/雇う", "词义详情")</f>
        <v/>
      </c>
      <c r="K8486">
        <f>HYPERLINK("https://yourei.jp/雇う", "查看例句")</f>
        <v/>
      </c>
    </row>
    <row r="8487">
      <c r="A8487" t="inlineStr">
        <is>
          <t>野党</t>
        </is>
      </c>
      <c r="B8487" t="inlineStr">
        <is>
          <t>成功</t>
        </is>
      </c>
      <c r="C8487" t="inlineStr">
        <is>
          <t>読み方：やとう
政党政治において、政権を担当していない政党。オポジションパーティー。⇔与党。</t>
        </is>
      </c>
      <c r="D8487" t="inlineStr">
        <is>
          <t>野党側(4%)；野党議員(3%)；野党連合；野党党首；野党候補</t>
        </is>
      </c>
      <c r="F8487" t="inlineStr">
        <is>
          <t>野党指導者；野党活動；野党民主党；当時野党；野党陣営</t>
        </is>
      </c>
      <c r="G8487" t="inlineStr">
        <is>
          <t>野党第一党；野党共闘；野党統一候補；野党再編</t>
        </is>
      </c>
      <c r="H8487" t="n">
        <v>29</v>
      </c>
      <c r="I8487" t="inlineStr">
        <is>
          <t>そのため野党は強力な指導者を欠く状態となり、分裂状態に陥っていた。；しかし野党の政府批判の機運はもはやこれだけでは抑えられなかった。；そのため、近年は野党系の候補が有利になる傾向のある地域である。；それまでは野党クラブ以外のメディアが会見に参加することができなかった。；このような手法は与党の強行採決として野党から批判されることが多い。；野党の大統領候補が「私が当選したら中国資本を追い出す」と公約した。；いずれも野党時代のものであり審議未了ないし本会議否決となっている。；この2つのグループは後に野党と、政府の支持グループに分かれた。；そのためほとんどの議事妨害は野党側が与党側に対して行うものである。；この野党の分裂状態を背景にノース卿内閣は長期安定政権を維持することになる。；しかし野党統一党はまったく不十分な建艦計画であると批判していた。；一方で野党は早期の解散総選挙は不利とみて、解散を回避する動きに出た。；野党はソ連の言うなりになっているだけではないか。；野党はこの研究の全資料の提出を求め、 この3点を主に追及した。；しかし野党側は稲葉の報告に納得せず、あくまで氏名を公表するよう迫った。；本質的に野党活動をしている政党は、そのほとんどが非合法化されている。；その中には野党党首ながらも、国土交通大臣を務める姿千鶴の姿もあった。；彼は1910年のフランシスコ・マデロ以来野党から選出された初の大統領。；しかしブラントにとって国内で野党の激しい抵抗に遭遇することになった。；同党はメキシコの野党の中で最も古い歴史を持つ。；参議院では野党が委員会への名簿の提出を拒否する審議拒否に出た。；カラマンリスは野党から国民投票を認めなかったことで非難された。；その情愛ある配慮と賢明な助言は野党の時でも変わる事はありませんでした。；当時の野党などから「権力の二重構造」と批判されることもあった。；これに対し野党は大統領選挙へのボイコットはしないことを表明。；夕べにブラントのパーティーに姿を見せた野党議員はたった1人であった。；一党優位政党制は、野党が国民から疑問視されることにより成立する。；通常は、不信任案に明確に賛成しない野党は棄権・欠席を選ぶことになる。；しかしながらアハーンは野党時代の1996年に、次のように発言している。</t>
        </is>
      </c>
      <c r="J8487">
        <f>HYPERLINK("https://www.weblio.jp/content/野党", "词义详情")</f>
        <v/>
      </c>
      <c r="K8487">
        <f>HYPERLINK("https://yourei.jp/野党", "查看例句")</f>
        <v/>
      </c>
    </row>
    <row r="8488">
      <c r="A8488" t="inlineStr">
        <is>
          <t>宿る</t>
        </is>
      </c>
      <c r="B8488" t="inlineStr">
        <is>
          <t>成功</t>
        </is>
      </c>
      <c r="C8488" t="inlineStr">
        <is>
          <t>読み方：やどる
［動ラ五（四）］《「屋取る」の意》
１旅先で宿をとる。また、一時的にそこに住む。「僧坊に—・る」
２その場所にとどまる。「葉に夜露が—・る」「健全な精神は健全な肉体に—・る」
３妊娠する。「子が—・る」
４虫・植物などが寄生する。「回虫が—・る」
５星がその座を占める。「太陽が牡羊座に—・る」</t>
        </is>
      </c>
      <c r="D8488" t="inlineStr">
        <is>
          <t>宿るべき；宿る幻想殺し；宿る疑似思考体；宿る射道</t>
        </is>
      </c>
      <c r="E8488" t="inlineStr">
        <is>
          <t>いる；居る；残る；滞在；収容</t>
        </is>
      </c>
      <c r="H8488" t="n">
        <v>29</v>
      </c>
      <c r="I8488" t="inlineStr">
        <is>
          <t>しかし僕はどこかに不安の影が宿っているような気がしてならなかった。；彼女の心臓の下に宿っていた時、この子は凡てを聞いていたのだろうか。；神の宿らぬ抜け殻の土地に神が確かに存在した痕跡を見た私は思ったわ。；こんな身体の内部に、あんな美しい卵が宿っているなんて信じられない。；また、このあたりに神様の宿った三本の木があったからと言う説もある。；したがって、彼らのなかに花郎精神が宿るのは自然なことだとも言えた。；おそらく、何かの真の知識が我々の中に宿るようなことはないのであろう。；中尉の眼には何かぞっとしたような、絶望したようなものが宿っていた。；彼女は悲しげな顔をあげると、そのシェリー色の眼には涙が宿っていた。；文吉の眼にも、大仁田の眼の中にあるものと同じような光が宿っている。；この身にわが子が宿っているかもしれないと思った瞬間はうれしかった。；ドワーフたちが言うには、この酒には火の精霊が宿っているのだそうだ。；この娘に人が宿っていないことは、槌神五月がいちばんよく知っている。；唯一の台所に宿るのではなく、料理を作る場所その物に宿っているのだ。；唯一の台所に宿るのではなく、料理を作る場所その物に宿っているのだ。；その瞳には、今まで見たこともないような妖しい揺らめきが宿っていた。；石が重いからというのでなく、石に魂が宿っているから、と思うのだろう。；まったく人間存在の構造内に宿るところの或る一つの契機を意味する。；相手の瞳の奥に宿る感情が類似していることに、ふたりとも気がついていた。；ジョナサンの肉体にはもう一人の人格、ジョンが宿っていたためである。；彼女の目には、いままでの人生で遭遇したことがない光が宿っていた。；この、まだ世に知られぬ馬たちには、どんな不思議な力が宿っているのか?；魂を持たないものに、このマーカーで顔を描くと、そのものに魂が宿る。；其時には、山の中の神の宿る木を見つけて、其木に神の魂を載せて帰る。；海水だけでなく、川や泉や雨などにも彼の力が宿っていると言われる。；精神は脳に、魂は肉体に宿るものだとしたら、彼女はシキの本質なんだ。；知ればその翡翠の瞳に炎を宿らせることになると分かっていたからだ。；そこにはこれまで見たことのない、強く熱を帯びた光が宿っていた。；一般的には、特定の人物に宿る特別な能力や資質をあらわす概念である。</t>
        </is>
      </c>
      <c r="J8488">
        <f>HYPERLINK("https://www.weblio.jp/content/宿る", "词义详情")</f>
        <v/>
      </c>
      <c r="K8488">
        <f>HYPERLINK("https://yourei.jp/宿る", "查看例句")</f>
        <v/>
      </c>
    </row>
    <row r="8489">
      <c r="A8489" t="inlineStr">
        <is>
          <t>柳</t>
        </is>
      </c>
      <c r="B8489" t="inlineStr">
        <is>
          <t>成功</t>
        </is>
      </c>
      <c r="C8489" t="inlineStr">
        <is>
          <t>読み方：やぎ
やなぎ。多く他の語と複合して用いられる。「青—」「川—」
「恋しけば来ませわが背子垣内(かきつ)—末(うれ)摘み枯らし我立ち待たむ」〈万・三四五五〉</t>
        </is>
      </c>
      <c r="D8489" t="inlineStr">
        <is>
          <t>柳士郎；柳洞寺；柳さま；柳さん；柳条</t>
        </is>
      </c>
      <c r="E8489" t="inlineStr">
        <is>
          <t>ヤナギ；楊柳；ヤナギの木</t>
        </is>
      </c>
      <c r="F8489" t="inlineStr">
        <is>
          <t>お柳；楊柳；畑柳；大きな柳；柳生一</t>
        </is>
      </c>
      <c r="G8489" t="inlineStr">
        <is>
          <t>柳生；柳沢；柳川；柳橋；柳原</t>
        </is>
      </c>
      <c r="H8489" t="n">
        <v>29</v>
      </c>
      <c r="I8489" t="inlineStr">
        <is>
          <t>この論争は柳が東京に戻った後にも中央の論壇で論じられるようになる。；橋の名前は渡しと同様、橋の袂にある柳の木に因んでこの名が付けられた。；由来は昔、この地に柳の木が多かったことによるといわれている。；そこで金田一がお柳の伝えたいことを眼の動きで判断しようと申し出る。；長さはしばしば10センチメートル近くに達し、柳の葉のように細長い。；中野高柳遺跡が12世紀以降の集落遺跡で、これにあたると推定できる。；雁も北東に位置するため、この風の影響を強く受け柳と同程度に寒い。；柳好には珍しい新作落語だが、軽く笑いが多いのでよく高座にかけていた。；ドイツから日本へは柳輸送、日本からドイツへは逆柳輸送と名づけられた。；そして両者のうしろにはやはり本行で使われるような柳の木の作り物がある。；柳町の名は、江戸時代植物の柳の木が多く見られる地区だったことに由来する。；続けてギルガメシュは柳を切り、イナンナは目的を果たすことができた。；事情を知った赤柳は「盆踊りの間だけ私になって欲しい」と了解した。；帰国後は、柳亜子らが組織した南社に所属し、衆議院議員にもなった。；千株の桜・数万の柳が植樹され、今日では川島町の桜の名所となっている。；彼が自己の理論の証明のために行ったのが後に「柳の実験」と呼ばれるものであった。；そして、この李朝陶磁との出会いが、後の柳の民藝論につながっていく。；柳次はかつて裏の世界で名の知れた橋掛人だったが、娘のために足を洗っていた。；そのほか、標識・看板類も柳のデザインしたものが用いられていた。；本作の舞台である柳木原市は、渋谷や新宿付近がモデルとされている。；お柳はまず押入れを眼で示し、押入れからは由紀子が最後に着ていたもの一切が出てきた。；緻密な所は琥珀織に似て、浮線紋や柳条の模様が浮き出たものであった。；一生治らないと言われていた疾病も回復し始め、柳は心身共に活力を得た。；柳約之は桓振の襲撃を計画していたが、計画が漏れて、殺害された。；和名の由来は、葉が柳に似ていて、花をランにたとえたことによる。；楊心流系であることから、流名に柳字を含んでいるとされる。；スキュティアには多数の占い師がおり、多数の柳の枝を使って占いをする。；柳の日本との関係は深く、大韓民国において日本通の代表的な人物とされている。；一帯に柳が多かったためとされるが、詳細は不明である。</t>
        </is>
      </c>
      <c r="J8489">
        <f>HYPERLINK("https://www.weblio.jp/content/柳", "词义详情")</f>
        <v/>
      </c>
      <c r="K8489">
        <f>HYPERLINK("https://yourei.jp/柳", "查看例句")</f>
        <v/>
      </c>
    </row>
    <row r="8490">
      <c r="A8490" t="inlineStr">
        <is>
          <t>家主</t>
        </is>
      </c>
      <c r="B8490" t="inlineStr">
        <is>
          <t>成功</t>
        </is>
      </c>
      <c r="C8490" t="inlineStr">
        <is>
          <t>読み方：いえあるじ
一家の主人。いえぬし。
「かの—二十八日に下るべし」〈源・浮舟〉</t>
        </is>
      </c>
      <c r="D8490" t="inlineStr">
        <is>
          <t>家主さん(3%)；家主夫婦；家主長兵衛；家主喜左衛門；家主一家</t>
        </is>
      </c>
      <c r="F8490" t="inlineStr">
        <is>
          <t>大原家主；悪家主；大蔵家主</t>
        </is>
      </c>
      <c r="H8490" t="n">
        <v>29</v>
      </c>
      <c r="I8490" t="inlineStr">
        <is>
          <t>ところがなかなかどうしてこの家主というのは大きな顔をしております。；電話一本あるというだけで、なんだか、家主になったような気分だった。；話し手は家主や大名の立場に立って、自分自身は笑いの対象にならない。；長期的に家主の利益を保証する契約ではないため十分な注意が必要である。；アパートなどで集団契約をしている場合は家主が直接配布することもある。；私の外出中に雲の妹は初めて部屋から出て、家主の部屋を覗いたらしい。；しかし家主が戻ってきて、学生らは中島飛行機の寮だった建物に移った。；おそらく部屋の中で真由美になっていたところへ家主の妻が訪れたのだろう。；やっと明るくなったと思うと、家主の女が来て交代してくれようと云った。；彼は楊子をくはへながら、直ぐ家主の庭の界にある井戸端へ出て行つた。；一応、家主を立会人にして、家の中を捜したが、刀は一本も出て来ない。；彼は温泉と畑づきの家主たることに誇をもちすぎてしまったのである。；家ができ上ると、家主から速達で通知が来ることになっていたのである。；友達家に呼んでおいて、家主が一人でゲームやってるとか有り得ないだろ!；四郎次の家は私の家の家主だったし、私は全く大変なことになったと思った。；たった二日前のことなので、家主の記憶違いといった事態も考えられない。；残る十一ページはパリ各地の十一名の家主にあてられていた。；家主であるかれは、その後もとの家へは、ついぞ足踏みしたことがない。；家主はその隣に広い屋敷をもっている地主の老人との話であった。；本当は家主であるわしがもっと抵抗をせないかんかったと、今にして思う。；私はたまたま家主の子であり藩地へ来て始ての友達であったので唯一の友としていた。；家主から借りたピンクのマットレスをベッド代わりにしていたという。；それで、家主が帰ったあと、二人はこそこそと家のうしろへ引き返した。；そこは家主さんが使っていて、箪笥や長持その他の物が置いてあった。；家主があんまりにも起きないとジャンプして体の上に乗ってくる。；本当の家主はポオゼンに住んで居て、月に二度位見廻りに来るだけである。；けれども長い時間となげやりな家主の注意とが残りなくそれを蝕んだ。；すでにだいぶ前から、家主の家族や老夫婦はいやな顔をみせていた。；ベンが家に戻ると、家主である妹のアンジェラが無残な死を遂げていた。</t>
        </is>
      </c>
      <c r="J8490">
        <f>HYPERLINK("https://www.weblio.jp/content/家主", "词义详情")</f>
        <v/>
      </c>
      <c r="K8490">
        <f>HYPERLINK("https://yourei.jp/家主", "查看例句")</f>
        <v/>
      </c>
    </row>
    <row r="8491">
      <c r="A8491" t="inlineStr">
        <is>
          <t>屋根</t>
        </is>
      </c>
      <c r="B8491" t="inlineStr">
        <is>
          <t>成功</t>
        </is>
      </c>
      <c r="C8491" t="inlineStr">
        <is>
          <t>読み方：やね
１雨・風・日射などを防ぐために建物の最上部にあるおおい。「—を葺(ふ)く」「藁葺(わらぶ)き—」「—瓦(がわら)」
２物の上部をおおうもの。また、最上部にあるもの。「自動車の—」「ヨーロッパの—といわれるアルプス」
[下接語]板屋根・大屋根・瓦(かわら)屋根・切妻屋根・草屋根・腰折れ屋根・越し屋根・小屋根・晒(さら)し屋根・取り葺(ぶ)き屋根・鋸(のこぎり)屋根・丸屋根・マンサード屋根・陸(ろく)屋根・藁(わら)屋根</t>
        </is>
      </c>
      <c r="D8491" t="inlineStr">
        <is>
          <t>屋根上(4%)；屋根付き；屋根部；屋根板；屋根構造</t>
        </is>
      </c>
      <c r="E8491" t="inlineStr">
        <is>
          <t>天井；ルーフ；大屋根</t>
        </is>
      </c>
      <c r="F8491" t="inlineStr">
        <is>
          <t>同じ屋根；赤い屋根；藁屋根；三角屋根；一つ屋根</t>
        </is>
      </c>
      <c r="G8491" t="inlineStr">
        <is>
          <t>屋根裏部屋；屋根の上に；屋根瓦；屋根船；屋根うら</t>
        </is>
      </c>
      <c r="H8491" t="n">
        <v>29</v>
      </c>
      <c r="I8491" t="inlineStr">
        <is>
          <t>駅に向かう通路には屋根が設置されていたが、ホームには屋根がなかった。；これらの建物の屋根に見られる緑色は長期の化学反応によるものである。；それ以前に製造された低屋根車両は経年廃車が進み、数が減少している。；自動車との衝突事故に備えて高運転台構造とし、屋根も深くなっている。；全車の屋根上に搭載される冷房装置は西武在籍当時からの装備品である。；車体は普通鋼製で、屋根および床の一部にステンレス鋼を採用している。；駅舎は開業当初からのもので赤い屋根の木造一階建ての建築である。；駅舎側から加茂方面行ホーム側へは屋根のない跨線橋で連絡している。；ホームと駅舎は若干離れており、屋根付きの連絡通路で繋がっている。；地下鉄出入口とJR駅とは近いものの、途中に屋根は設置されていない。；車両代替により、屋根上の装飾を廃止した簡易改造の車両が増えている。；切り妻屋根が特徴で、内部には待合所と業務用の倉庫が設けられている。；これらの重量増を考慮して、車体の横骨や、屋根部分に梁が追加された。；伸ばされた全長にあわせて屋根のカーブが変わり、全高も増加している。；トイレとホームの屋根は繋がっておらず一旦屋根のない部分を通る必要がある。；屋根上にはパンタグラフ台を持つがパンタグラフは搭載されていない。；このため屋根の配管が最初の2編成と第3編成以降とで一部異なっている。；ホーム部分はガラス壁で覆われており、屋根は曲線を多用した構造である。；上りホームにのみ屋根の付いた簡易的な待合所とベンチが設置されていた。；屋根がガラス張りになっており、開放感のある空間として作られている。；線路とホームは駅の東側で南向きにカーブしていて、その辺りには屋根はない。；ホームは道路より高い位置にあるため、両者を屋根付きの階段が結んでいる。；長尾駅管理の無人駅で駅舎はなく、ホーム南端に屋根が設けられている。；屋根の下にある天井部分は「天」と呼ばれ、雲や空が描かれていた。；駅舎入口にあるガラスの三角屋根はヨットの帆をイメージしたものである。；延長部分の屋根構造に関しては、延長ホームの工事着手前から議論されていた。；改札階からは、3フロア分の吹き抜け構造の大規模な屋根が設置された。；日大側は設備の設置を検討したが、老朽化により屋根がもたないと判断。；屋根上のベンチレーターも同様に八角形状から箱型のものとなった。</t>
        </is>
      </c>
      <c r="J8491">
        <f>HYPERLINK("https://www.weblio.jp/content/屋根", "词义详情")</f>
        <v/>
      </c>
      <c r="K8491">
        <f>HYPERLINK("https://yourei.jp/屋根", "查看例句")</f>
        <v/>
      </c>
    </row>
    <row r="8492">
      <c r="A8492" t="inlineStr">
        <is>
          <t>やはり</t>
        </is>
      </c>
      <c r="B8492" t="inlineStr">
        <is>
          <t>成功</t>
        </is>
      </c>
      <c r="C8492" t="inlineStr">
        <is>
          <t>読み方：やはり
［副］
１以前と、また他と比べて違いがないさま。やっぱり。「あなたは今も—あの店へ行きますか」「父も—教師をしていた」
２予測したとおりになるさま。案の定。やっぱり。「彼は—来なかった」
３さまざまに考えてみても、結局は同じ結果になるさま。つまるところ。やっぱり。「随分迷ったが、—行くのはやめにした」「利口なようでも—子供は子供だ」
４動かずにいるさま。
「老いたと言ひて、—あたたかにしてゐて」〈史記抄・匈奴伝〉
[補説] 「矢張り」は当て字。</t>
        </is>
      </c>
      <c r="D8492" t="inlineStr">
        <is>
          <t>やはり同じよう；やはりこういう；やはりそれなり；やはりどうしても；やはり多少</t>
        </is>
      </c>
      <c r="E8492" t="inlineStr">
        <is>
          <t>結局；確かに；やっぱり；納得；なるほど</t>
        </is>
      </c>
      <c r="F8492" t="inlineStr">
        <is>
          <t>やはり共和党議員；やはり祥子さま；やはり悲しそう；やはり昔ながら；やはり駄目でし</t>
        </is>
      </c>
      <c r="H8492" t="n">
        <v>29</v>
      </c>
      <c r="I8492" t="inlineStr">
        <is>
          <t>やはり安全上の理由からスポーツや車両類の運転でもよく使用される。；かつては、やはり不定期で大阪局や名古屋局が当番組の制作を担当した。；このような行列はやはり色と補色が互いに対応しあっているものである。；この伝説の萌芽もやはり日本人の目が北方に向き始めた江戸時代にある。；攻撃的な音楽性に合わせ、歌詞の内容もやはり攻撃的なものが目立つ。；このような理由から、やはり航空巡洋艦も実際には建造されていない。；したがってタカ戦略を取る個体だけからなる種もやはり安定しない。；隠密性の高い潜水艦を探知し攻撃するのはやはり潜水艦が有利だからである。；これもやはりヴェルナー・フォン・ジーメンスが製作したものである。；しかし、やはりその隙に本拠である皖城を孫策に攻め取られてしまった。；中学校は第29章から定められており、やはり上下2等に分けられている。；何事かと見に行ったレポレッロもやはり悲鳴を上げて戻ってくる。；各地では、やはりバシリカ型の教会堂が継続して建設され続けていた。；すると、侍女を連れた二十歳ばかりの女がやはり雨宿りに入ってきた。；やはり新しいパターンは出るかも知れないという緊張感だけは失ってはならない。；一方で、やはり文明崩壊、そして人肉食は起きたと主張する学者もいる。；やはり複座の機体からの単座への乗り換えは苦労が伴ったようである。；しかしこの時間帯の上りの速達列車は、やはり30分に1本程度である。；やはりこの段階でも時代を特定する証拠はほとんど無い。；また、このとき与えた添字もやはり被演算子と解釈することが可能である。；ノヴゴロドの南にあるプスコフも、やはり同様の政治体制を取っていた。；同年にはやはり規模の大きな『主題と変奏』 作品41が書かれている。；このほか、西部にはやはりコンゴ川の支流であるサンガ川が流れている。；やはり線路の強度不足が問題となり、あまり評判にもならなかった。；さらにしばらくして、やはりベースはHEATHが良いとメンバー内で一致。；やはり生涯に4度の結婚をした毛沢東とは、奇しくも符合する点がある。；やはりこれも検挙中に1車線が塞がると渋滞が発生するためと思われる。；日本人である湯川秀樹、朝永振一郎らがやはり物理学賞で受賞している。；やはり、大小関係は が十分大きな部分でのみ成り立っていればよい。</t>
        </is>
      </c>
      <c r="J8492">
        <f>HYPERLINK("https://www.weblio.jp/content/やはり", "词义详情")</f>
        <v/>
      </c>
      <c r="K8492">
        <f>HYPERLINK("https://yourei.jp/やはり", "查看例句")</f>
        <v/>
      </c>
    </row>
    <row r="8493">
      <c r="A8493" t="inlineStr">
        <is>
          <t>破く</t>
        </is>
      </c>
      <c r="B8493" t="inlineStr">
        <is>
          <t>成功</t>
        </is>
      </c>
      <c r="C8493" t="inlineStr">
        <is>
          <t>読み方：やぶく
［動カ五（四）］《「やぶる」と「さく」との混成語》紙や布などを、引き裂く。破る。「手紙を—・く」
[可能]やぶける</t>
        </is>
      </c>
      <c r="D8493" t="inlineStr">
        <is>
          <t>破る；裂く</t>
        </is>
      </c>
      <c r="H8493" t="n">
        <v>29</v>
      </c>
      <c r="I8493" t="inlineStr">
        <is>
          <t>主人が叫んだのは、その破かれた中に一冊大切な雑誌があったからでした。；犬の、肉とか猫とか、そういうのを使ったり、本を破いたりしたそうだ。；彼らは私がそれを破いて、海に投げ込んでしまわないかと心配しました。；いや、だがその話は、実はポスターを破いたというだけの人物のことだ。；この前ここへ来たとき、私は椅子にひっかけてガウンを破いちゃったの。；一本の腕が床に落ちていた、半分に破いたカードをつかんで消えた。；半分に破いて彼を取り外した写真や、顔だけ切り抜いた写真まであった。；破いた紙を握ったまま地面に強く突いた手に、火花のような痛みが走った。；信長は三度書かせて、読み返してみてからその書状を破いて捨てさせた。；ウッドと話をしてからは、一刻も早く吸魂鬼破いの訓練を始めたかった。；物を捨てたり、写真を破いたりしてもあたしの過去が消えるはずはないのに。；文字の大きさと、破かれた部分から推定して、削除されたのは2〜3行。；どう殺されたかなどの記憶は乱雑に破かれていて残っていない。；でもやはり頭に力がないと見えて、その紙を破きすててはまた寝てしまいます。；バザーロフは父親あてに手紙を書きかけたが、破いて机の下に棄てた。；障子に使われる紙は破こうと思えば子供の力でも破くことができる。；障子に使われる紙は破こうと思えば子供の力でも破くことができる。；「さっきの句よりはいくらかマシだ」 余は破かずに紙片を投げ返した。；隣りの客が立ったあとには、破き捨てられた車券が累々と転がっている。；皆集まって、大きな紙袋の横の方を少し破いて、中をのぞこうとしました。；おれなど三つの頃から、濡れた半紙を破かずその上を歩く訓練を積まされた。；もっとも穫入れの半月位まえから、少しずつ袋を破いてやりますがね。；ここにニホンのよた雑誌から破いてきた記事があるが、読んでやろう。；しかし、どうしてルリさんは、ワンピースを破いたりしたのでしようか?；明日の旅行先であることも手伝って私は興味をそそられながら帯封を破いた。；それを繰り返すうちに面倒になって、力をこめて袋を破き始めた。；わたしは賃貸契約書を取り上げて、彼等の眼の前で破いてしまった。；それに、日記の最後のところが破かれているというのも、自殺とすれば変だね。；カウンターに放り出されていた缶の蓋、破かれたシールを見つめている。</t>
        </is>
      </c>
      <c r="J8493">
        <f>HYPERLINK("https://www.weblio.jp/content/破く", "词义详情")</f>
        <v/>
      </c>
      <c r="K8493">
        <f>HYPERLINK("https://yourei.jp/破く", "查看例句")</f>
        <v/>
      </c>
    </row>
    <row r="8494">
      <c r="A8494" t="inlineStr">
        <is>
          <t>破る</t>
        </is>
      </c>
      <c r="B8494" t="inlineStr">
        <is>
          <t>成功</t>
        </is>
      </c>
      <c r="C8494" t="inlineStr">
        <is>
          <t>読み方：やぶる
［動ラ五（四）］
１引き裂いたり、傷をつけたり、穴をあけたりして、もとの形をこわす。「障子を—・る」「書類を—・る」
２相手の守りなどを突き抜ける。突破する。「警戒網を—・る」「左中間を—・るヒット」
３今まで続いてきた状態をそこなう。かきみだす。「太平の夢を—・る」
４従来のものに代わって新しくする。記録などを更新する。「世界記録を—・る」
５相手を打ち負かす。「強敵を—・る」
６守るべき事柄にそむく。きまりや約束などを無視する。「約束を—・る」「校則を—・る」
７傷つける。害する。
「身体髪膚を—・らずして」〈沙石集・三〉
[可能]やぶれる
［動ラ下二］「やぶれる」の文語形。
[下接句]雨(あめ)塊(つちくれ)を破らず・竈(かまど)を破る・産を破る・叢蘭(そうらん)茂らんと欲し秋風(しゅうふう)之(これ)を敗(やぶ)る・操(みさお)を破る・横紙を破る</t>
        </is>
      </c>
      <c r="D8494" t="inlineStr">
        <is>
          <t>破るべく；破るべき；破るまい；破る功績を挙げ；破るような音</t>
        </is>
      </c>
      <c r="E8494" t="inlineStr">
        <is>
          <t>違反；撃破；倒す；勝つ；下す</t>
        </is>
      </c>
      <c r="F8494" t="inlineStr">
        <is>
          <t>食い破る；ぶち破る；討ち破る；つき破る；押し破る</t>
        </is>
      </c>
      <c r="H8494" t="n">
        <v>29</v>
      </c>
      <c r="I8494" t="inlineStr">
        <is>
          <t>彼は既存の記録を破るだけでなく、新しい記録の項目も多く作っている。；差し違いそのものよりも慣例を破ったことが問題視されたことが分かる。；このときペルシャ軍を破った大王はエジプトに向かって南に進んでいる。；彼が細心の注意で工夫した秘密の保持を、女のほうが破ろうとしていた。；本当に脱出したいのであれば、なぜ壁を破ろうとしなかったのだろう。；彼は自分のすべての財産を犠牲にしてブッシュを破ると冗談で言った。；突然この家の窓が破られ、この狼藉が祭になったと歴史は物語っている。；しかし部屋は内側から施錠されており、執事は斧でドアを破って入った。；自分の膜を初めて破ろうとしている彼はあまりにも遠くて、足がすくむ。；そして、沈黙破りが起こる時に、特定の時と場所を告げることがあった。；ただし、下記のルールが設定されており、それを破るとバグが発生する。；私はいい後輩に破ってもらったことをむしろ喜ばしくさえ思っている。；さらに塞がれていた窓は次々に破られ、状況は絶望的に悪化していく。；それまで学生出身力士は大成しないジンクスがあったが、それを破った。；心の中の獣はいまも戸外をとりまき、扉を破ろうと唸り声をあげている。；自分の殻を破ろうとしたり、人を理解しようとするところが足りない。；クロタール2世はブルンヒルド及びその孫を破ることで王国を統合した。；また、敵に本体の動きや行動を予想されることで破られたケースも。；熱力学第一法則を破らずに実現しようとしたのが第二種永久機関である。；破ろうと手を伸ばした時、その縁に南京錠がついていることに気がついた。；これが後の湘軍であり、強さを発揮して最終的に太平天国軍を破った。；活動を休止した現在でも動員記録が破られていないライブハウスがある。；現在確認されているあらゆる反応のうち、これが破られた例はない。；一度クリアしたフロアは鍵が無くても扉を破って進むことができる。；しかし、その70万をもってしても呂光を破ることができず、敗北した。；その一方で、歩協が城に攻めかかると出撃してその軍を大いに破った。；また、世界記録を破った時など歴史的な節目を示すためにも行われる。；遺体の梱包が他人に破られた形跡はなく、まるで気化したようであった。；いま、その御廚子の前に、わずかに二三畳の破畳の上に居るのである。</t>
        </is>
      </c>
      <c r="J8494">
        <f>HYPERLINK("https://www.weblio.jp/content/破る", "词义详情")</f>
        <v/>
      </c>
      <c r="K8494">
        <f>HYPERLINK("https://yourei.jp/破る", "查看例句")</f>
        <v/>
      </c>
    </row>
    <row r="8495">
      <c r="A8495" t="inlineStr">
        <is>
          <t>敗れる</t>
        </is>
      </c>
      <c r="B8495" t="inlineStr">
        <is>
          <t>成功</t>
        </is>
      </c>
      <c r="C8495" t="inlineStr">
        <is>
          <t>読み方：やぶれる
［動ラ下一］［文］やぶ・る［ラ下二］
１裂けたり、穴があいたり、つぶれたりして、もとの形がこわれる。また、割れさける。「靴下が—・れる」「おできが—・れる」「水道管が—・れる」
２今まで続いていた状態が損なわれる。「静寂が—・れる」「ついに均衡が—・れた」
３成り立たずに終わる。こわれる。「恋に—・れる」「夢が—・れる」
４（ふつう「敗れる」と書く）勝負などで負ける。「横綱が—・れる」「宿敵に—・れる」
５けがをする。傷つく。
「随侯—・れたる蛇を見て、薬を付けていやす」〈十訓抄・一〉</t>
        </is>
      </c>
      <c r="D8495" t="inlineStr">
        <is>
          <t>敗れるも比例復活；敗れるも準優勝；敗れるも銅メダル</t>
        </is>
      </c>
      <c r="E8495" t="inlineStr">
        <is>
          <t>敗北；失う；敗戦；落とす；負ける</t>
        </is>
      </c>
      <c r="F8495" t="inlineStr">
        <is>
          <t>敗れるまで保持；合技で敗れる；末敗れる；戦って敗れる；再び敗れる</t>
        </is>
      </c>
      <c r="H8495" t="n">
        <v>29</v>
      </c>
      <c r="I8495" t="inlineStr">
        <is>
          <t>第一次世界大戦で敗れたドイツはルワンダを含む全ての植民地を失った。；準決勝で敗れた国同士による3位決定戦はこの大会では行われなかった。；他の者が指揮した戦いで敗れたのち、彼は秦王政の要請に応じて出陣した。；同年6月4日、国民革命軍との戦争に敗れた張はついに北京を脱出した。；しかしその試合では得点を挙げることができず、チームも敗れた。；天皇杯では2回戦で草津に勝利したが、3回戦で鹿島に延長の末敗れた。；試合は1-2で敗れたが、ペレ自身は唯一の得点を決める活躍を見せた。；結局、ペルシア軍はこの戦いでも敗れてダレイオス3世は再び逃走した。；魔王は戦争で敗れることはあっても、決して滅ぼされることはなかった。；李広利は遠征に出ていたので誅殺は免れたが、匈奴軍に敗れて投降した。；この時橋本が敗れていれば、関西棋院は崩壊していたと見る者も多い。；試合はこのまま終了して敗れたものの、地元の新聞からも試合での動きを高く評価された。；敗れたケルティベリア人の一部は、コンプレガに町を築いて要塞化した。；アダムズは民主共和党のよりましな組織と連邦党の分裂のために敗れた。；全国大会では、県大会で見せた力を発揮すらできないまま敗れることが多い。；同年の秋季関東大会県予選でも決勝に進むが、またも習志野高に敗れる。；ウルグアイは3位決定戦でもオーストリアに敗れ、4位で大会を終えた。；アードゥル・グシュナースプは再攻撃を試みたが敗れて殺された。；試合には敗れたものの、マイクパフォーマンスと物真似の数々を披露した。；男建はその後も抵抗を続けたが敗れて自殺未遂の末に捕らえられた。；対戦は1体1で行われ、ロボットが敗れると次のロボットが登場する。；準決勝まで進出するもSANADAに敗れ、決勝進出とはならなかった。；結局、これが両チーム通じて唯一の失敗となり、チームは敗れることになった。；シアトル・マリナーズとの記憶に残る対戦に敗れたが、選手達に自信をつけさせた。；そのような練習不足やモチベーション不足もあり、日本体育大学に敗れた。；この悪魔やサタンとも呼ばれる巨大な竜は天上でミカエルと戦って敗れる。；北燕の創建者の慕容雲は前燕に敗れた際に移住した高句麗の王族である。；そのうちの1頭は父トウショウボーイが敗れたクライムカイザーであった。；他の種との競争に敗れた種や変化する環境に順応できなかった種は絶滅していった。</t>
        </is>
      </c>
      <c r="J8495">
        <f>HYPERLINK("https://www.weblio.jp/content/敗れる", "词义详情")</f>
        <v/>
      </c>
      <c r="K8495">
        <f>HYPERLINK("https://yourei.jp/敗れる", "查看例句")</f>
        <v/>
      </c>
    </row>
    <row r="8496">
      <c r="A8496" t="inlineStr">
        <is>
          <t>破れる</t>
        </is>
      </c>
      <c r="B8496" t="inlineStr">
        <is>
          <t>成功</t>
        </is>
      </c>
      <c r="C8496" t="inlineStr">
        <is>
          <t>読み方：われる
［動ラ下一］［文］わ・る［ラ下二］
１強い力が加わるなどして、固体がいくつかに分かれ離れる。こわれて細かくなる。「茶碗が—・れる」「卵が—・れる」「氷が—・れる」
２裂け目ができる。また、傷がついて開いた状態になる。「地震で地が—・れる」「ぱっくりと—・れた額」
３まとまっているもの、組織などが二つ以上に分かれる。分かれてまとまりがなくなる。分裂する。「意見が—・れる」「党が—・れる」「票が—・れる」
４そろえた両膝の間が空く。「浴衣の膝が—・れて素肌が見える」
５隠れていたものなどが現れる。秘密などが明らかになる。「底が—・れる」「身元が—・れる」「犯人（ほし）が—・れる」
６音が濁って聞きとりにくくなる。「音が—・れる」
７（「われるような」「われんばかりの」などの形で、比喩的に用いる）物事の程度がはなはだしいさまをいう。「場内—・れんばかりの拍手」「頭が—・れそうに痛い」
８割り算で、余りのない答えがでる。わりきれる。「九は三で—・れる」
９手形割引で現金化される。「手形が—・れる」
10相場が下落してある値段以下になる。「株価が—・れる」
11（「縦に割れる」の形で）野球の投球で、上下に大きく曲がるさまをいう。「—・れるカーブ」
12あれこれ思って心が乱れる。
「聞きしよりものを思へば我(あ)が胸は—・れて砕けて利心(とごころ)もなし」〈万・二八九四〉
13勝負がつかないままで終わる。引き分ける。
「—・れたるは半月の夜の相撲かな」〈伊勢踊〉
[下接句]御釜(おかま)が割れる・尻(しり)が割れる・底が割れる・種が割れる・ねたが割れる・面が割れる</t>
        </is>
      </c>
      <c r="D8496" t="inlineStr">
        <is>
          <t>破れる可能性；破れるものなら；破れるような音</t>
        </is>
      </c>
      <c r="E8496" t="inlineStr">
        <is>
          <t>破損；切れる；折れる；崩れる；割れる</t>
        </is>
      </c>
      <c r="F8496" t="inlineStr">
        <is>
          <t>必ず破れる</t>
        </is>
      </c>
      <c r="H8496" t="n">
        <v>29</v>
      </c>
      <c r="I8496" t="inlineStr">
        <is>
          <t>無常の風に吹きつけられると人の血管が破れるのにちがひないと思つた。；又お前たちを見る事によって自分の心の破れるのを恐れたばかりではない。；こんなにはっきり、処女膜の破れる瞬間が分かるとは思わなかったのだ。；第一級の熟練者にしても、掌の皮が破れるのはまずまぬがれないはずだ。；そして十分間の後には富子さんの家の呼鈴を破れるくらい鳴らしていた。；美樹原さんの叩き出したこの得点を破れる者はいるのでしょうか!?；また夜の部では神谷ヒデヨシと対戦し抱え込み式の逆エビ固めで破れる。；人なら護符は簡単に破れるが、そうすると中から猫又が出てきてしまう。；ただし、大きくなる間に破れるようにして藻体の形がくずれることがある。；私はその瞬間にガラスの破れる音をきいたように思います。；自分では十分に落ち着いているつもりでも、やはり心臓が破れる思いだった。；卓一さへ立ち去ることがなかつたら、平穏は破れるときがなかつた筈だ。；大勢の兵で攻め立てても、外側からでは簡単に破れるとは思えない。；それを破れるのは一〇〇人に一人いるかいないかというようなもの。；運命がいかに容易に破れるかを、あなたは私にこうして何度も教えてくれるのだから。；ところが僕の名探偵が調べてみると、これが実に簡単に破れるんだ。；その制作した地図は当初本の形になっていたが、大半は破れるか散逸してしまった。；しかも経営的に困難な状況にも多く直面し夢破れるものも多い。；一つ一つの破裂は小さく、せいぜい数センチ程度の皮膚が破れる程度だ。；せっかくの親しい友達のあいだが破れることなどもよく目撃することである。；表層が破れると、何重にも巻きつけられた中国の新聞紙が出てきた。；運命の卵の殻の破れる音がふたりの耳に同時にとどいたのだった。；禁忌目録を破れるかどうか知るにはそれくらいで充分だからね。；金の生成はできないが、銀行の扉ぐらいは破れるはずである。；紙が破れるほど消してあったところがあったでしょう?；呼吸ができず胸の臓腑が抉られ、心臓が破れる苦しみに倭建は失神した。；このレースは7着に破れるが連闘で臨んだ芝マイル戦で初勝利を挙げる。；ときどき胸が破れるほど人間を愛するし、人間を幸福にしてやりてえと思う。；これで応接間には誰も入れないし、入れば紙が破れるのでわかる。</t>
        </is>
      </c>
      <c r="J8496">
        <f>HYPERLINK("https://www.weblio.jp/content/破れる", "词义详情")</f>
        <v/>
      </c>
      <c r="K8496">
        <f>HYPERLINK("https://yourei.jp/破れる", "查看例句")</f>
        <v/>
      </c>
    </row>
    <row r="8497">
      <c r="A8497" t="inlineStr">
        <is>
          <t>山</t>
        </is>
      </c>
      <c r="B8497" t="inlineStr">
        <is>
          <t>成功</t>
        </is>
      </c>
      <c r="C8497" t="inlineStr">
        <is>
          <t>読み方：さん
［音］サン（漢）セン（呉）　［訓］やま
［学習漢字］1年
〈サン〉
１やま。「山河・山岳・山脈・山麓(さんろく)／火山・高山・登山・氷山・満山・遊山(ゆさん)」
２鉱山。「銅山・廃山」
３寺院。「山号／開山・本山」
４比叡山。「山門派」
〈セン〉やま。「須弥山(しゅみせん)」
〈やま〉「山道／裏山・野山・雪山」
［名のり］たか・たかし・のぶ
［難読］山梔子(くちなし)・山茶花(さざんか)・山茱萸(さんしゅゆ)・山車(だし)・山茶(つばき)・山毛欅(ぶな)・山羊(やぎ)・山桜桃(ゆすらうめ)・山葵(わさび)</t>
        </is>
      </c>
      <c r="D8497" t="inlineStr">
        <is>
          <t>山体；山域；山札；山比古；山﨑</t>
        </is>
      </c>
      <c r="E8497" t="inlineStr">
        <is>
          <t>危機；峠；頂上；頂点；鉱山</t>
        </is>
      </c>
      <c r="F8497" t="inlineStr">
        <is>
          <t>架山；低山；枕山；低い山；小さな山</t>
        </is>
      </c>
      <c r="G8497" t="inlineStr">
        <is>
          <t>山本；山田；山地；山口；山中</t>
        </is>
      </c>
      <c r="H8497" t="n">
        <v>29</v>
      </c>
      <c r="I8497" t="inlineStr">
        <is>
          <t>山の中に分け入っていく吾妻線であるが、この区間にはトンネルが無い。；背後に見えるモン・ロワイヤル山より高いビルの建設は禁止されている。；また、地域ごとにある方向からの風を山の名を付けて呼ぶことがある。；失望から学校に行かなくなり、近所の森や山で時間を潰す日々を送った。；大学や高校の山岳部が、より困難なルートの制覇を目指して山を登った。；王質が山を下り村に帰ると知っている人は誰一人いなくなっていた。；なお、山の地面に接する霧または雲のことをガスと呼ぶことがある。；山岳会には山または歩くことにちなんだ名前が付けられることが多い。；各山の文章中に、山周辺の地図と山の白黒写真が挿入された版もある。；「川」は、山や海よりも前に若瀬川あたりからあまり使われなくなった。；駅周辺は住宅地であるが、かつてはほとんどの用地が田畑か山であった。；このため山に城を築く行為は、地域や時代を問わず普遍的に行われている。；この絵には、山の中を嵐に吹かれながら馬に乗る旅人が描かれている。；世界の多くの地域では、神聖な山として山に対する信仰が生まれている。；噴火が始まったのは七島展望台と二男山の間にある斜面と考えられている。；山に囲まれる地勢だが、東には平地続き、他の方向にも低い峠で通じる。；これが山にて小児が失踪する神隠しの一つの所以であるとも考えられる。；東と西にある2つの山は、太陽がドゥアトに出入りする場所を示している。；四方を山や丘陵に囲まれた高原であり、起伏豊かな地形を形成している。；残ったカードは裏向きのまま、山札にしてプレイヤーの中央に置く。；州の東に行くほど山は低くなり、それらはラウジッツ山地と呼ばれている。；ねじの山と谷の間隔と移動量は以下のようにピッチとリードで表される。；今は議会の会期中であり、私が行わねばならない執務も山のようにあります。；山を対象にした画・写真などの作家団体が存在する。；すなわち一度振りでは、それぞれの山と開門位置の対応が固定されている。；ベルは自分の所有する地所であるベイン・バリー山の頂上に埋葬された。；ここから先は標高は低いものの軽い峠越えであり、山を周り込むように走る。；東名が切り立った山の側面に取り付いているのはこうした理由からである。；実に立派な山であることを登ってみて初めて知った。</t>
        </is>
      </c>
      <c r="J8497">
        <f>HYPERLINK("https://www.weblio.jp/content/山", "词义详情")</f>
        <v/>
      </c>
      <c r="K8497">
        <f>HYPERLINK("https://yourei.jp/山", "查看例句")</f>
        <v/>
      </c>
    </row>
    <row r="8498">
      <c r="A8498" t="inlineStr">
        <is>
          <t>山崩れ</t>
        </is>
      </c>
      <c r="B8498" t="inlineStr">
        <is>
          <t>成功</t>
        </is>
      </c>
      <c r="C8498" t="inlineStr">
        <is>
          <t>読み方：やまくずれ
［名］(スル)山地の斜面をなす岩石や岩片が、突発的に崩れ落ちる現象。長雨・豪雨のほか、地震・火山爆発などによって起こる。</t>
        </is>
      </c>
      <c r="D8498" t="inlineStr">
        <is>
          <t>山崩れや崖崩れ</t>
        </is>
      </c>
      <c r="E8498" t="inlineStr">
        <is>
          <t>土砂崩れ；崖崩れ</t>
        </is>
      </c>
      <c r="H8498" t="n">
        <v>29</v>
      </c>
      <c r="I8498" t="inlineStr">
        <is>
          <t>また猛烈な衝撃が闇の一方から一方へ山崩れの通るように貫いていった。；上から山崩れの危険があるにもかかわらず、アイリーンは車を止めた。；奥の方では山崩れで多数の生き埋めも出ていると言っていました。；三道の軍はこれを見て総潰れになり、その声は山崩れのようであった。；十年前に大山崩れがあって六十何人かが犠牲になったところだ。；半島南部の山崩れの多くは凝灰岩質の急傾斜地や崖で発生していた。；すると、突然、山崩れでもしたように、一方の山岳で、鬨の声が聞えた。；狩り出されて来た百人程の者が、協力して、第二の山崩れを防いだ。；大垣領で山崩れなどが起き、死者11人・負傷者22人の被害を出した。；各地で山崩れが起こり青森県深浦町では川がせき止められたことで十二湖が生じた。；寒風山を中心に被害が発生し、山崩れが多く地割れより泥が噴出した。；木枠は、離陸の際の最初の数秒間に、山崩れを起したにちがいなかった。；気象災害の中で最も多い山崩れ、崖崩れなどに大きく関係がある。；これらの地震によって、三宅島の海岸線では山崩れや地割れが生じた。；道は広くてよいけれど、山崩れがあつて道普請が初まつてゐる。；実際この方面一帯に山崩れが起こったのである。；この火山砕屑物と山崩れによる堆積物の間が現在の大涌谷となっている。；この山崩れでは27人が生き埋めとなり、後日、全員の死亡が確認された。；この雨は各地で山崩れを引き起こし、大量の流木を含む土石流が発生。；山崩れのような音を響かせたあとに、腹に響く大きな音がした。；それで電線のショートと山崩れと両方ですべてを説明すれば一応はもっともらしいようである。；それから1月程過ぎてから、小田瀬の山が蟄龍が天昇して山崩れがあった。；特に上野国と武蔵国は被害が大き地震により山崩れなどが発生し多数の死者が出たとされている。；室内は医学書と薬学書が戸棚の硝子を割って、床へ山崩れを起こしていた。；また、山崩れによる複数箇所の河道閉塞や海岸線の隆起が記録に残っている。；山崩れがまた起るのを警戒して、絶えず斜面の上の方を見た。；このうち呉では六百カ所以上で山崩れや崖崩れが発生し、死者は八十八人に上った。；御殿場以東になって、始めて、だんだん潰れ家や山崩れが見え出した。；山体崩壊と呼ばれるこの大規模な山崩れが起こった場合、多数の人命が失われることが多い。</t>
        </is>
      </c>
      <c r="J8498">
        <f>HYPERLINK("https://www.weblio.jp/content/山崩れ", "词义详情")</f>
        <v/>
      </c>
      <c r="K8498">
        <f>HYPERLINK("https://yourei.jp/山崩れ", "查看例句")</f>
        <v/>
      </c>
    </row>
    <row r="8499">
      <c r="A8499" t="inlineStr">
        <is>
          <t>山積み</t>
        </is>
      </c>
      <c r="B8499" t="inlineStr">
        <is>
          <t>成功</t>
        </is>
      </c>
      <c r="C8499" t="inlineStr">
        <is>
          <t>読み方：やまづみ
［名］(スル)
１うず高く積み重ねること。また、積み重なること。「トラックに荷物を—する」
２問題や仕事などが、たくさんたまること。さんせき。「問題が—になっている」</t>
        </is>
      </c>
      <c r="D8499" t="inlineStr">
        <is>
          <t>収集；集合；集める；洪水；集結</t>
        </is>
      </c>
      <c r="H8499" t="n">
        <v>29</v>
      </c>
      <c r="I8499" t="inlineStr">
        <is>
          <t>彼の脇にも同じように書籍と雑記帳のようなものが山積みになっている。；俺は俺で年末年始にやらなければならない面倒なことが山積みなんだよ。；違う存在同士が寄り添うが故の問題点は常に山積みにされていくだろう。；その上には、手動の絞り器と長い棒のようなものが山積みになっていた。；まだまだ難しいのですが、そういうのも含めて今後の課題が山積みです。；机の上には、袋に入っていたたくさんの封筒や書類が山積みになっている。；道に山積みされている積荷が匂いを放って彼らをひき寄せたのだろう。；家には英語の本が山積みで、ご夫婦の会話が英語だったのをよく覚えています。；一同は白い垣根に下がっていた札のそばに自転車を倒し、山積みにした。；スーパーの一角に〝蚊よけ〟と称して山積みされていたのを買ってきた。；とにかくバックナンバー、在庫が私たちの机の横に山積みになっていた。；なにかのコードに足を取られ、山積みになった部品が茜の上に降りかかった。；すでにそれ以外にも種類ごとに色分けされた書類が机の上に山積みになっている。；壁際には窯のような炉が作りつけられ、燃料の薪が山積みにされている。；島側に引きずられることを防ぐため、船と海岸の間に珊瑚が山積みされた。；室内は暗く、山積みされた様々な荷物が更に濃い陰を作っている。；平安時代、ここには埋葬することのできない死体が山積みされていたという。；彼の前のテーブルには、何十冊という裁判記録が山積みにされている。；その模様のレポートを発表することになっているので、やることが山積みだ。；冬を迎えるまでに、やらねばならないことは山積みされていた。；当然問題は山積みだが、前世の知識と努力で少しずつ解決していく。；こんな処理はいつでもできる、と考えて山積みになったものたち。；しかし、こう山積みでは、どれが誰からのものやら、見当もつかない。；私には息子がいますし、それに、研究しなければならない課題も山積みなんです。；レールを固定していたスパイクが、ある程度おきに山積みされていた。；ジャワ島の中部から東部にかけ、市場で山積みにして販売されている。；しかし、現実には難問や難しい状況などが、次々に山積みされていく。；破棄され山積みにされたアンフォラは2500万個とも言われている。；表に出されたワゴンには一冊十円の文庫本が山積みになっていた。</t>
        </is>
      </c>
      <c r="J8499">
        <f>HYPERLINK("https://www.weblio.jp/content/山積み", "词义详情")</f>
        <v/>
      </c>
      <c r="K8499">
        <f>HYPERLINK("https://yourei.jp/山積み", "查看例句")</f>
        <v/>
      </c>
    </row>
    <row r="8500">
      <c r="A8500" t="inlineStr">
        <is>
          <t>闇</t>
        </is>
      </c>
      <c r="B8500" t="inlineStr">
        <is>
          <t>成功</t>
        </is>
      </c>
      <c r="C8500" t="inlineStr">
        <is>
          <t>読み方：あん
［常用漢字］　［音］アン（漢）　［訓］やみくらい
〈アン〉（「暗」と通用）
１くらやみ。くらい。「闇夜／暁闇」
２道理にくらい。「闇愚」
〈やみ〉「闇市／暗闇(くらやみ)・夕闇」</t>
        </is>
      </c>
      <c r="D8500" t="inlineStr">
        <is>
          <t>闇色；闇太郎；闇米；闇商人；闇喰い</t>
        </is>
      </c>
      <c r="E8500" t="inlineStr">
        <is>
          <t>影；悪；陰；暗闇；蔭</t>
        </is>
      </c>
      <c r="F8500" t="inlineStr">
        <is>
          <t>濃い闇；暗い闇；完全な闇；黒い闇；青い闇</t>
        </is>
      </c>
      <c r="G8500" t="inlineStr">
        <is>
          <t>闇市；闇雲；闇黒；闇と；闇の奥</t>
        </is>
      </c>
      <c r="H8500" t="n">
        <v>29</v>
      </c>
      <c r="I8500" t="inlineStr">
        <is>
          <t>またクリシュナと出会ってからは心の奥に潜む闇が明らかとなってくる。；かつて存在した光と闇の精霊たちは、元素の世界へと帰ることを決めた。；二人は闇子に依頼してペンダントを取り戻すと、車で屋敷跡へと向かう。；なお闇の妖気に関する技は、ほとんど共通のため記載は特にしていない。；対闇将軍との戦いの為組織され、以降風林火山編に至るまで存続する。；そんなある日闇文明の工場が自然文明を襲い自然文明の女王が倒れてしまった。；もちろん街中の神社であるので漆黒の闇にはならず、すぐに目が慣れる。；空港の格納庫、闇の中で迷彩服の男たちがトランクを持って歩いている。；公式バトラー以外にも強いリンクバトラーは大勢いると語る闇のリーグ。；それはリクの心に闇しか残っていないからだと指摘されてしまう。；光が生命の躍動に満ちた生であり存在なら、闇は死であり無である。；演劇・ダンスなど空間を用いる表現分野では、闇は演出・構成に用いられている。；そしてリクは戦いの中で己の中の闇をも味方につける道を見出した。；物語が進行すると、ある時点でロックマンは闇の力を制御できるようになる。；こうしてウンゴリアントの放つ闇でヴァリノールの国は大混乱に陥った。；それでも民間の需要が多く、天皇の写真は闇で販売され続けた。；光と闇が世界の重要な区分と関係づけられる文化・宗教もある。；夜闇の中で集った4人の男女は、やがて数奇な運命に巻き込まれて行く。；その背景には、過去の戦いから歴史の闇に消えた組織と人物の名が暗躍していた。；「世界を滅ぼす闇にも、世界を救う光にもなる」との占いが出たからだ。；ゲーテは光に一番近い色が黄、闇に一番近い色が青であるとする。；憎しみや心の闇を糧に成長するが、復活には母体となる人間が必要となる。；戦争終結後彼らの存在は歴史の闇に隠れ、その行方を知るものは誰もいない。；外国人投資家を保護するために闇株を駆逐することになったのである。；蛇の紋章を持つこの世に六道魔界を建設することを目論む闇の密法集団。；魔術・呪術においては光に対応する闇としてなど、多様な象徴性を持つ。；この作品は光と闇の戦いではなく、光と闇の共存を描いている。；そして、母を救う唯一の方法と信じて「闇の住人」たちとの戦いに赴く。；キリスト教の布教とともに堕とされ、闇に住む悪魔とされるようになった。</t>
        </is>
      </c>
      <c r="J8500">
        <f>HYPERLINK("https://www.weblio.jp/content/闇", "词义详情")</f>
        <v/>
      </c>
      <c r="K8500">
        <f>HYPERLINK("https://yourei.jp/闇", "查看例句")</f>
        <v/>
      </c>
    </row>
    <row r="8501">
      <c r="A8501" t="inlineStr">
        <is>
          <t>病む</t>
        </is>
      </c>
      <c r="B8501" t="inlineStr">
        <is>
          <t>成功</t>
        </is>
      </c>
      <c r="C8501" t="inlineStr">
        <is>
          <t>読み方：やむ
［動マ五（四）］
１病気になる。わずらう。「久しく—・んでいる」
２傷などが痛む。
「私も、何様なに—・んだろうと思ってね」〈小杉天外・魔風恋風〉
３病気におかされる。「胸を—・む」「リューマチを—・む」
４心をなやます。心配する。「ささいなことを気に—・む」</t>
        </is>
      </c>
      <c r="D8501" t="inlineStr">
        <is>
          <t>病む人(2%)；病むまい</t>
        </is>
      </c>
      <c r="E8501" t="inlineStr">
        <is>
          <t>心配；占領；懸念；憂慮；発病</t>
        </is>
      </c>
      <c r="H8501" t="n">
        <v>29</v>
      </c>
      <c r="I8501" t="inlineStr">
        <is>
          <t>我々はむしろ健常な人間の中で一人病んでいる方が、まだ気が楽なのだ。；ある僧が旅で病んだがこの村の人が手篤く看護したために癒えたという。；文化六年の春の初には、前年の暮に又病んでゐた蘭軒が回復したらしい。；とはいっても病んでいるのは精神だけで、その肉体はじゅうぶんに健康。；そのため私が病んでいるのは事実ですが、死ぬのは別の原因からです。；病んだ時にも達者な時にも、あんたのためにしてくれる人は一人もいねえ!；そして彼女は昨日の朝、父が私どもに何を話したかをひどく気に病んでいた。；父はそれを気に病んでから発狂し、一生を癲狂院で終ってしまいました。；亮太郎でさえ、もう古登代の言葉や表情を気に病む暇がなくなっていた。；もっとも、おようはそんなことなど少しも気に病んだことはなかった。；もしこの沼を見た者があれば、それがもとになって病んで死ぬそうである。；私は彼が私の病んでいる胸には一向注意を払わないのを意外に思った。；次の恋がまたはじまつても、それでも心のどこかで気に病んでたのね。；精神を病んだままだったが、自分で家政を取り仕切る程度には回復した。；病みぬる人は思ふこと 身の病をば先きとして すべてを思ふ習ひなり。；いまDさん自身が病んで、死にたくない気持ちを強く抱くようになった。；どこか病んでいるのではないかと心配になるほど衰えていたからだ。；中世の君侯に憧れ次第に精神を病んでいった王の夢の城とされている。；ところがこの句に病む妻を重ねた人があったのを後になって知った。；グレナヴァンはこの新しい事故をいつまでも気に病んではいなかった。；そして山荘のほうへは病む女王の容体を聞きにやることを怠らなかった。；祥代の精神はどこか目には見えないところで病んでいたのだろうか。；彼女はたしかに変わってはいましたけど、病んでいるようにはみえなかった。；病の種を身体の中に持っていたのに、病んではいなかったでしょう?；右の婦人細き竹杖で壁隙より刺すと婢腹病むというて戸を開き厠に如く。；鳥居が2才の頃に両親が離婚し、精神を病んだ母と暮らすようになった。；わたくしがお雪の病んで入院していることを知ったのは其夜である。；若い頃に比べて衰えていく容姿を気に病むような感覚は、瑞穂にはない。；王弁は手伝おうと思うのだが、病んで汚れた体に触れることが出来ない。</t>
        </is>
      </c>
      <c r="J8501">
        <f>HYPERLINK("https://www.weblio.jp/content/病む", "词义详情")</f>
        <v/>
      </c>
      <c r="K8501">
        <f>HYPERLINK("https://yourei.jp/病む", "查看例句")</f>
        <v/>
      </c>
    </row>
    <row r="8502">
      <c r="A8502" t="inlineStr">
        <is>
          <t>止む</t>
        </is>
      </c>
      <c r="B8502" t="inlineStr">
        <is>
          <t>成功</t>
        </is>
      </c>
      <c r="C8502" t="inlineStr">
        <is>
          <t>読み方：とどむ
［動マ上二］とどめる。とめる。
「世の理(こと)なれば—・みかねつも」〈万・八〇五〉
［動マ下二］「とどめる」の文語形。</t>
        </is>
      </c>
      <c r="D8502" t="inlineStr">
        <is>
          <t>止むを得(42%)；止むなく(10%)；止む無く(4%)；止むことなく；止むなき</t>
        </is>
      </c>
      <c r="E8502" t="inlineStr">
        <is>
          <t>終わる；完了；終結；終る；済む</t>
        </is>
      </c>
      <c r="F8502" t="inlineStr">
        <is>
          <t>泣き止む；鳴り止む；万止む；降り止む；いつ止む</t>
        </is>
      </c>
      <c r="H8502" t="n">
        <v>29</v>
      </c>
      <c r="I8502" t="inlineStr">
        <is>
          <t>ただ、世代の違いから来る不理解な点があるのは、止むを得ないだろう。；一方に、女がこれと反対の流行を作ったのは止むを得ないところであろう。；しかしこれを許さないと、学校の人気がわるくなるので止むを得ません。；本降りになりそうな気配はなく、と言って、止みそうな気配もなかった。；用事もないのに外を出歩きたい気持になることは止むを得んではないか。；各地に記録的な積雪をもたらしている雪は、夜になっても止みそうにない。；それと同時にそれに共なふ苦痛がいつ止むべきものとも分らない。；止むを得ず、余接は魔法少女のふりをして場をしのごうとするのだった。；されど之に代る一般向きの良地図がないので止むを得ず使用していた。；あらゆる音が止み、父がどこにいるのか見当がつかなくなったのだ。；「夕立は止みかけましたよ」しばらく黙っていた後で、彼はこう言った。；それがために国民的色彩が乏しくなってくるのは止むを得ないのです。；そのため、日々争いが止むことはなく混沌の中猫たちは暮らしていた。；一般に労働賃銀が一日八十銭位になっている折とて、止むを得ないと思った。；それが義務であるより以上に必要止むべからざることになって来た。；この遺書を書いた前後は風が止み、本当に静かだったのかもしれない。；余はただ心の中に燃る思念に強いられ止むを得ず筆を執ったのである。；紀霊は約束により止むを得ず兵を引いたが、その後の動向は不明である。；なんといっても相互的になっていないんだから、これァ止むをえないんだな。；そのため新しい文化を取り入れることが遅れたのは止むを得ません。；止むを得ない事情や各種イベントへの出演などから変更される。；止むを得ない事情や各種イベント等の出演などから変更される。；子供のつき合いで止むを得ない限りはなるべく出ないことにしている。；結果に於て、上演目録が外国劇ばかりで満たされることは止むを得まい。；私はともかく、平田はそんな不実な男じゃない、実に止むを得ないのだ。；私は今、多少の反覆は止むを得ないがなるべく重複を避けたいと考える。；止むを得ず我慢をして目を開けて居ることが又一昼夜ほど続いた。；攻撃のためではなく自分の威嚴のため止むを得ずその形をしてゐる。；冬の降雪はたいてい一日くらいで止むが、稀には三日もつづくことがある。</t>
        </is>
      </c>
      <c r="J8502">
        <f>HYPERLINK("https://www.weblio.jp/content/止む", "词义详情")</f>
        <v/>
      </c>
      <c r="K8502">
        <f>HYPERLINK("https://yourei.jp/止む", "查看例句")</f>
        <v/>
      </c>
    </row>
    <row r="8503">
      <c r="A8503" t="inlineStr">
        <is>
          <t>やむを得ない</t>
        </is>
      </c>
      <c r="B8503" t="inlineStr">
        <is>
          <t>成功</t>
        </is>
      </c>
      <c r="D8503" t="inlineStr">
        <is>
          <t>やむを得ないこと(11%)；やむを得ない場合(7%)；やむを得ない事情(5%)；やむを得ない事由(3%)；やむを得ない理由(2%)</t>
        </is>
      </c>
      <c r="F8503" t="inlineStr">
        <is>
          <t>万やむを得ない；その他やむを得ない；やむを得ない選択；やむを得ない次第；必要やむを得ない</t>
        </is>
      </c>
      <c r="H8503" t="n">
        <v>29</v>
      </c>
      <c r="I8503" t="inlineStr">
        <is>
          <t>あれは地元の海がない街から来たという事情もあってやむを得ないのだ。；しかし何かの運命でそれをすでに失ってしまったものはやむを得ない。；当時この絵はきわめて汚れており、そうした低評価もやむを得なかった。；当の又七郎が年少であったにせよ、死を与えたのはやむを得ないと思う。；そうだとしたらやむを得ないけれど、そうでないのなら受け入れてほしい。；これまで手を出さずにいるのは、やむを得ない事情があるに相違ないからだ。；きっと彼にはそのようにするやむを得ない理由があったのだろう。；とすると、別れることと金を貰ふことはやむを得ないと思つてゐたのか。；つまり富樫君から顔をそむけることには、やむを得ない面もあるわけだ。；上記で述べた特にやむを得ない規定について政府はいくつかに分類している。；むしろその商売の上からやむを得ない事情にあったのだと同情するようになっていた。；それも、やむを得ないことで、先生にたいして同情しなくてはならない。；彼の心が動揺し、それが態度に現われたのは、やむを得ないことであろう。；秋田に心配させるのは悪いが、事情がこうなっては、やむを得ないだろう。；ある程度北上すれば、大量の足跡が見つかってしまうのはやむを得ない。；それは自信の表れでもあっただろうが、同時にやむを得ない判断でもあった。；しかし夢千代が死ぬのが映画の条件だといわれて、それでやむを得なかったんです。；分量その他のせいで、多少の手直しはたしかにやむを得ないことだらう。；だが、こう不確定要素が多くてはこれもやむを得ないことである。；自然、そこに多少とも驕慢な感じが現れてきたのはやむを得なかったであろう。；事情やむを得ないとはいいながら、どちらもぱっとしない商売である。；安全な山旅のためにはやむを得ない価格設定と考えざるをえない。；病院は、病気を治すことが目的の場所がゆえ、多くの制限もやむを得ない。；彼の中年以後の作品に、生彩の気のないのはやむを得ないことである。；何品によらず万やむを得ない物の外は、人が持って来ても拒絶した。；やむを得ない科学的調査を除き、あらゆる訪問は禁止されている。；やむを得ない事情があったわけだが、そのことに彼はこだわっていた。；でも、やむを得ないものの他は、さういふことはしたくないのです。；相手に取材の権限があるというのなら、録影されるのもやむを得ない。</t>
        </is>
      </c>
      <c r="J8503">
        <f>HYPERLINK("https://www.weblio.jp/content/やむを得ない", "词义详情")</f>
        <v/>
      </c>
      <c r="K8503">
        <f>HYPERLINK("https://yourei.jp/やむを得ない", "查看例句")</f>
        <v/>
      </c>
    </row>
    <row r="8504">
      <c r="A8504" t="inlineStr">
        <is>
          <t>辞める</t>
        </is>
      </c>
      <c r="B8504" t="inlineStr">
        <is>
          <t>成功</t>
        </is>
      </c>
      <c r="C8504" t="inlineStr">
        <is>
          <t>読み方：やめる
［動マ下一］［文］や・む［マ下二］《「止(や)める」と同語源》職や地位から離れる。退く。「会社を—・める」「教師を—・める」</t>
        </is>
      </c>
      <c r="D8504" t="inlineStr">
        <is>
          <t>辞めるべき；辞めるしかない；辞めるかもしれ；辞める辞めない</t>
        </is>
      </c>
      <c r="E8504" t="inlineStr">
        <is>
          <t>辞任；去る；離れる；降りる；辞職</t>
        </is>
      </c>
      <c r="F8504" t="inlineStr">
        <is>
          <t>たら辞める；すぐ辞める</t>
        </is>
      </c>
      <c r="H8504" t="n">
        <v>29</v>
      </c>
      <c r="I8504" t="inlineStr">
        <is>
          <t>そのため家庭を持った事で将来に不安を覚え、野球を辞める決意をする。；入社してすぐに辞めてしまった会社には申し訳なかったとも語っている。；十何年か前に辞めるときは、取締役で何かの部長をしていたと思います。；そろそろこの店を辞めることも考えなければと彼女は考え始めていた。；自分の納得のいく仕事ができなければ辞めることはずっと考えていた。；相談の結果によっては、いまの会社を私は辞めることになると思います。；けれどこのことが後年、会社を辞める原因のひとつにもなったのだった。；本人は辞める気力もなかったからだと言っていたが、そんなはずはない。；研究所ができなければ、辞めるつもりでいましたので、私も必死でした。；そんなことは、会社を辞めると決めるまでは空想もしたことがなかった。；あたしはそこまでは望んでいなかったので、そこを辞めることにした。；三枝はアーティストを辞めるが、他メンバーは活動を続けると発表した。；そのような経験がトラウマとなって体験入学を辞めてしまう子供もいる。；そのために辞めるきっかけがなくなってしまい、野球を続けることにした。；実際は辞めさせられたのだが、当時は健康の為の引退と発表された。；それは一国の総理を決めたり、辞めさせたりする程の力を持っていた。；自殺をする以外にこの仕事を辞める、または拒否する方法はなかった。；そんな恩義のある摩耶にいくら何でも電話一本で、辞めるはないだろう。；こちらへ来なければ、辞めるとき私はホテルで定年まで三年あったのです。；坂田は自分が敗北者になることを確信し、会社を辞めるつもりでいた。；ペンシルバニア鉄道は辞めたがその経営陣とは密接な関係を保っていた。；高柳は言葉通り俳優を辞め、今日家族にその約束を果たしているという。；このまま辞めることになるだろうけれど、それでいいと思っていた。；彼の姉が没した時に、彼はその仕事を辞め、首都に戻って研究をまとめた。；私の妊娠がわかる前、私が会社を辞める前、純一が変わってしまう前に。；いやになったとか身体がきついとかですぐに辞める人だっているし。；にもかかわらず一方では、女性は適当なところで辞めることを期待されている。；そんな彼の姿に心を許した千穂は、自分がスキーを辞めたことを告げる。；ワトソンは1907年に議員を辞めたがその後も労働党のために働いた。</t>
        </is>
      </c>
      <c r="J8504">
        <f>HYPERLINK("https://www.weblio.jp/content/辞める", "词义详情")</f>
        <v/>
      </c>
      <c r="K8504">
        <f>HYPERLINK("https://yourei.jp/辞める", "查看例句")</f>
        <v/>
      </c>
    </row>
    <row r="8505">
      <c r="A8505" t="inlineStr">
        <is>
          <t>止める</t>
        </is>
      </c>
      <c r="B8505" t="inlineStr">
        <is>
          <t>成功</t>
        </is>
      </c>
      <c r="C8505" t="inlineStr">
        <is>
          <t>読み方：とどめる
［動マ下一］［文］とど・む［マ下二］
１移動させないで、元の所にいさせる。おさえて行かせないようにする。さしとめる。「帰ろうとする客を—・める」「足を—・める」
２元の形のままで、あとに残す。元の状態を保つ。「記録に—・める」「昔の姿を—・める」「原形を—・めない」
３その程度・段階・範囲内におさめて、それから出ないようにする。「会費は一万円に—・める」「意見を聞くだけに—・める」
４注意をそこに向ける。
「目をし—・めつれば…必ず癖は見つけらるるわざに侍る」〈紫式部日記〉
５しとめる。
「日の暮れ方に至るまで、鹿一頭も—・めずして」〈曽我・八〉</t>
        </is>
      </c>
      <c r="D8505" t="inlineStr">
        <is>
          <t>止めるべき；止めるべく；止める間もなく；止めるよう説得；止めるよう命じ</t>
        </is>
      </c>
      <c r="E8505" t="inlineStr">
        <is>
          <t>置く；停止；中止；固定；防ぐ</t>
        </is>
      </c>
      <c r="F8505" t="inlineStr">
        <is>
          <t>仕止める；堰き止める；喰い止める；抱き止める；止めるよう懇願</t>
        </is>
      </c>
      <c r="H8505" t="n">
        <v>29</v>
      </c>
      <c r="I8505" t="inlineStr">
        <is>
          <t>未来の記憶を持つ彼らは地球の消滅を止めるために原因を探しはじめる。；しかし、結局基地の扉の破壊を止めることが出来ずに攻撃隊は撤退する。；それでも止めることを選択できない場合、それを続けるのが苦痛になる。；そのほか、手を震わせる動きをしながら自分でその手を止める癖も持つ。；また後に登場したときには、相手の時間も止めることができるようになった。；特に浮上中に息を止めることは例え一瞬であっても非常に危険である。；サンタ・アナの進軍を止めることができたのは水かさを増した川だった。；その死体は川を堰き止めるほど大きく、そのせいで湖ができたという。；私はグローバリゼーションを止めろ、旅行を禁止しろなんて言ってない。；理由はこの先の危険な戦いに進もうとするナコルルを止める為である。；すると自然と、精米歩合はその前で止める数字となっていくのである。；最も激しい動きの不随意運動であり自分では止めることはできない。；典型的な初期症状は、運動中の痛みで運動を止めると消失する特徴がある。；その頃には、帯は上衣を止めるものでしかなく、段級位は関係なかった。；標的となるタンパク質に結合して働きを止めることで薬の効果が発揮される。；そして、世界の終焉を止めるため力の復活を阻止しようとする・・・。；戦争を利用して金儲けしようとしている兄を止めるようにジュドーに頼む。；そのすぐ後、あるトラブルでケビンマスク消滅を止めることに失敗する。；またライフゲージの下に攻撃を止めるキャンセルゲージが存在している。；無暗と賤しいとか悪いから止めろと云ふやうな事を日本でも盛んに云つてゐる。；貴族の勢力が強大化し、これを押し止めることが出来なくなっていったのである。；一度刀を抜いたら相手を斬り殺すまで攻撃を止めることはない。；機械に向かって声で命令すると、特定の相手の体全体の動きを完全に止めることができる。；止めろと言われて止められるかどうかわからなかったけど。；これに腹を立てたプラ・ルワンは、父に貢ぎ物を止めるように言った。；左のスピーカの音を止めると右側のスピーカーの位置から音が聞こえる。；本来は危険であるため、病変部以外塗布することは止めるべきである。；昆虫標本は針で止めるのを標準とし、専用の針も販売されている。；最初に片頭痛が始まったとき、これを止めるのに最も効果的である。</t>
        </is>
      </c>
      <c r="J8505">
        <f>HYPERLINK("https://www.weblio.jp/content/止める", "词义详情")</f>
        <v/>
      </c>
      <c r="K8505">
        <f>HYPERLINK("https://yourei.jp/止める", "查看例句")</f>
        <v/>
      </c>
    </row>
    <row r="8506">
      <c r="A8506" t="inlineStr">
        <is>
          <t>やや</t>
        </is>
      </c>
      <c r="B8506" t="inlineStr">
        <is>
          <t>成功</t>
        </is>
      </c>
      <c r="C8506" t="inlineStr">
        <is>
          <t>［感］
１驚いたときや不意に気づいたときに発する語。おやおや。「—、これはたいへんだ」
２呼びかけるときに発する語。やあやあ。やよ。
「—といへど、答(いら)へもせで逃げて」〈大和・一五六〉</t>
        </is>
      </c>
      <c r="D8506" t="inlineStr">
        <is>
          <t>やや離れ；やや異なる；やや大きい；ややしばらく；やや高い</t>
        </is>
      </c>
      <c r="E8506" t="inlineStr">
        <is>
          <t>少し；ちょっと；多少；若干；少々</t>
        </is>
      </c>
      <c r="F8506" t="inlineStr">
        <is>
          <t>中央やや；やや長く；やや似；やや小さく；やや広い</t>
        </is>
      </c>
      <c r="G8506" t="inlineStr">
        <is>
          <t>ややこしく；ややもすれば；ややこし；ややこ；やや重</t>
        </is>
      </c>
      <c r="H8506" t="n">
        <v>29</v>
      </c>
      <c r="I8506" t="inlineStr">
        <is>
          <t>傷は死体からやや離れた場所にあり、何が原因で出来たのか分からない。；側窓高さは拡大され、車端部は固定窓としたほか、妻面窓もやや大きい。；が対称でないときは と の式が とやや一般になるが同じ式で書ける。；それにハイデッガーが何に典拠を求めていたかを知ればやや納得もいく。；スープはやや現地化されているが、基本的には日本のものと大差はない。；日本は最大の援助国の一つであるが、近年は援助額がやや減少気味である。；また、ヒマワリの花の色の濃い部分はやや赤みがかった黄色をしている。；広島県との県境近くに設置されていたが、江の川からはやや離れていた。；腕は胴体部からやや自由に動くことが出来て、運動や摂食の際に役立つ。；ただしこの点から初期測量の不正確さのためにやや南に枝分かれする。；韓国のは日本の500円硬貨とほぼ同じ素材と大きさでやや重かった。；秋には雨がやや増えるが夕立など特定の時刻に集中的に降ることが多い。；弱い鍵ややや弱い鍵を実装で使わないようにするのは容易である。；群馬県桐生市を中心とした地域で食べられているもので、麺はやや太め。；積雪はどの地域でも少ないが、九州山地にあたる地域ではやや多くなる。；他のほ乳類では、ネコ類がやや正面に眼が配置し、顔面らしい形を作る。；奏者は正面ではなくやや左を向き、右に首をかしげて唇を歌口に当てる。；札幌移転後、大半の選手別応援歌を除いて応援スタイルがやや変わった。；下り快速線のホームがやや傾いた状態であるのは、この経緯のためである。；政治的・文化的にはやや保守化し、一部の人権拡大の要求は軽視された。；碑陰の文字はやや小さく、建立関係者の名が5列57行で列挙されている。；泥や砂の上で暮らすものは、やや特殊な形の腹足を持つ例がある。；小学校と中学校は駅南側にあるが、中学校は駅からやや離れている。；よく似た条件で発生し、やや姿が似た毒キノコとしてツキヨタケがある。；また、前面窓は中央の窓が左右の窓に比べてやや横幅の広い窓となっている。；グワンバン級大型戦艦と比較するとやや小型だが、武装は強化されている。；そこには高階の型の計算可能性の研究ややなどの分野を同様に含む。；下顎のみが長いサヨリ科などとは異なり、上顎の方がやや長く突き出る。；それはこの部分の文体が13章までとはやや異なることなどから明らかである。</t>
        </is>
      </c>
      <c r="J8506">
        <f>HYPERLINK("https://www.weblio.jp/content/やや", "词义详情")</f>
        <v/>
      </c>
      <c r="K8506">
        <f>HYPERLINK("https://yourei.jp/やや", "查看例句")</f>
        <v/>
      </c>
    </row>
    <row r="8507">
      <c r="A8507" t="inlineStr">
        <is>
          <t>ややこしい</t>
        </is>
      </c>
      <c r="B8507" t="inlineStr">
        <is>
          <t>成功</t>
        </is>
      </c>
      <c r="C8507" t="inlineStr">
        <is>
          <t>［形］［文］ややこ・し［シク］複雑である。こみいってわずらわしい。「話が—・くなってきた」
[派生]ややこしさ［名］</t>
        </is>
      </c>
      <c r="D8507" t="inlineStr">
        <is>
          <t>ややこしいこと(20%)；ややこしい話(3%)；ややこしいもの(3%)；ややこしい問題；ややこしい事</t>
        </is>
      </c>
      <c r="E8507" t="inlineStr">
        <is>
          <t>複雑；難しい；困難な；やかましい；難解</t>
        </is>
      </c>
      <c r="F8507" t="inlineStr">
        <is>
          <t>こんなややこしい；少しややこしい；かなりややこしい；ちょっとややこしい；ややこしい言い方</t>
        </is>
      </c>
      <c r="H8507" t="n">
        <v>29</v>
      </c>
      <c r="I8507" t="inlineStr">
        <is>
          <t>若い男を先頭にして、私たちは長くややこしい廊下を下へおりて行った。；そこはこの一年で、耐えられないほどややこしい場所になってしまった。；ただでさえ困惑している状況で、さらにややこしくなってきた気がする。；嘘をつく人の言うことが信用できるかどうかは、ややこしい問題を生む。；そこが大きな違いで、そこが仏教というものをややこしくしているのだ。；意図して隠れているとなれば、当然ながら話は更にややこしくなってくる。；そもそもこの書物はドイツ語で長々とややこしいことを書き連ねている。；実はそんなややこしそうな名前、何度言われても覚えれそうにないぞ。；本当に変な悩みを持つ生徒が来たらややこしいことになるだろうから。；こいつらのせいで、事態がややこしくなっているのは間違いなかった。；なんだか話がややこしくなってきてしまったが、こういうことである。；「だからややこしくなるんだよ」 彼の考えは別の道をたどりはじめた。；ことに陰惨な事件があった土地や、ややこしい因縁を抱えた田舎の家は。；スティンキーはややこしくなったムーミンたちの状況を笑って見ていた。；彼がややこしいといえば彼が怪しむに足るべきものだということになる。；折角簡単にまとまりそうな仕事が、ここに来てややこしくなるのは困る。；細こう刻んであったけど、元は何か大きなややこしい形してたはずです。；理由はわしも知ってはいるが、今教えたら、ますます話がややこしくなる。；彼とのこともそうだが、彼のお母さんが出てくるともっと話はややこしくなる。；大人の助けは必要だが、変な相手に相談したら、かえってややこしくなる。；私たちはいろんなややこしいものごとを通過しなくてはならなかった。；事件が発生していなければ、ややこしいことになったにちがいない。；そんなことをすれば事態がややこしくなるのは目に見えている。；それをコルに言わなかったのは、問題がややこしくなりそうだからだ。；なぜこんなややこしい設定にしたのか、もはや作者も憶えていません。；それで領域の説明がややこしくなっているのもそのためである。；ややこしいことになっている内に工事中止が決まったんだそうだよ。；それはまったくこみ入って、ややこしい、たいへん専門的なことでした。；ただでさえ話がややこしい上、この手の色気ある話に縁のなかった男である。</t>
        </is>
      </c>
      <c r="J8507">
        <f>HYPERLINK("https://www.weblio.jp/content/ややこしい", "词义详情")</f>
        <v/>
      </c>
      <c r="K8507">
        <f>HYPERLINK("https://yourei.jp/ややこしい", "查看例句")</f>
        <v/>
      </c>
    </row>
    <row r="8508">
      <c r="A8508" t="inlineStr">
        <is>
          <t>やられる</t>
        </is>
      </c>
      <c r="B8508" t="inlineStr">
        <is>
          <t>成功</t>
        </is>
      </c>
      <c r="C8508" t="inlineStr">
        <is>
          <t>読み方：やられる
［連語］《動詞「や（遣）る」＋受身の助動詞「れる」》
１被害を受ける。危害を加えられる。また、病気におかされる。「日照りで苗が—◦れる」「鶏小屋が猫に—◦れる」「風邪に—◦れる」
２やりこめられる。弱点をつかれる。「子供だと馬鹿にしていたら一本—◦れた」
３魅力にひかれる。魅惑される。「巧みな演技に—◦れた」</t>
        </is>
      </c>
      <c r="D8508" t="inlineStr">
        <is>
          <t>やられるところ(3%)；やられるかも知れ；やられる可能性；やられる危険；やられるかもしれ</t>
        </is>
      </c>
      <c r="E8508" t="inlineStr">
        <is>
          <t>殺される；殺害される；処刑される；討たれる；惨殺される</t>
        </is>
      </c>
      <c r="F8508" t="inlineStr">
        <is>
          <t>やられるかも；想いやられる；バッサリやられる；吹きやられる；むざむざやられる</t>
        </is>
      </c>
      <c r="H8508" t="n">
        <v>29</v>
      </c>
      <c r="I8508" t="inlineStr">
        <is>
          <t>奥さんと呼ばれながらやられるのがこんなに興奮することだったなんて。；やられてもやられても立ち上がって大きなものに立ち向かっていく勇気。；これは自分が一も二もなく初さんにやられているせいだろうと思った。；これはもっと力を入れて続けてやられたら面白い結果が出るだろうと思う。；向うの人物が分らないから、一層それが義雄には思ひやられるのである。；こんなつまらぬと思われるような仕事が案外やられていないものである。；軽いものだが、この頃喉をすぐやられるのは身体が完全でない証拠である。；途中でやられるのを承知で進む、そう、機兵のように、行かねばならぬ。；遠い地方の田舎へやられるのは、多くはそうであったのかも知れない。；後ろから心臟をやられたのですから、多分聲も立てずに死んだのでせう。；これは、慣習に従って皆の者が見ている前でやられることになっていた。；「だがこのままではやられるのを待つだけだ」 ラクの中から声がした。；額が割れて血が肉に落ちると、肉を汚したと同じところをまたやられる。；その代り通りの家では商品を鼠にやられないために大低猫を飼っている。；迫撃砲の破片でやられた傷がまだ完全になほつてゐないのださうである。；防空壕から首だけ出していたので、首だけやられたのであろうという話。；ほかに傷はなく、ひと太刀でろくに声も立てずにやられたことでしょう。；やられたなと思ってまわりを見ると、何匹も水の中に浮いているんだ。；同じ病棟に、スピロヘータに頭をやられた三十ぐらいの婦人患者がいた。；ある日維摩は病気をしたので釈尊は弟子に命じて病気見舞にやられます。；敵にやられると猿の姿になり、この状態で再度敵にやられるとミスとなる。；やられるのは今度はこっちなんだってことを忘れちゃいけないよ。；宮本の死因はこの時大流行したインフルエンザにやられたものであった。；与之助がやられる、と文四郎が言った背後にはそれだけの事情があった。；後ろから心臓をやられたのですから、たぶん声も立てずに死んだのでしょう。；早く、おれが行ってやらんと、味方が敵にやられてしまうではないか。；こんなやつらにやられるようなぼくたちではないが、敵は数が多い。；この事故で眼をやられず、動脈をやられなかったことは幸いであった。；そうであるなら、どうしてむざむざやられるのを待たねばならないのか。</t>
        </is>
      </c>
      <c r="J8508">
        <f>HYPERLINK("https://www.weblio.jp/content/やられる", "词义详情")</f>
        <v/>
      </c>
      <c r="K8508">
        <f>HYPERLINK("https://yourei.jp/やられる", "查看例句")</f>
        <v/>
      </c>
    </row>
    <row r="8509">
      <c r="A8509" t="inlineStr">
        <is>
          <t>やり方</t>
        </is>
      </c>
      <c r="B8509" t="inlineStr">
        <is>
          <t>成功</t>
        </is>
      </c>
      <c r="C8509" t="inlineStr">
        <is>
          <t>読み方：やりかた
物事を行う方法。物事をする手段。しかた。「まずい—」「—を変える」</t>
        </is>
      </c>
      <c r="D8509" t="inlineStr">
        <is>
          <t>やり方じゃない；やり方次第；やり方しだい</t>
        </is>
      </c>
      <c r="E8509" t="inlineStr">
        <is>
          <t>手；方法；法；作業；方式</t>
        </is>
      </c>
      <c r="F8509" t="inlineStr">
        <is>
          <t>そういうやり方；こういうやり方；そんなやり方；こんなやり方；こうしたやり方</t>
        </is>
      </c>
      <c r="H8509" t="n">
        <v>29</v>
      </c>
      <c r="I8509" t="inlineStr">
        <is>
          <t>ただそのやりかたが別の、もっと現代的なものになっただけの話なのだ。；どちらも自社のやりかたが唯一の正しい方法だと信じていたためである。；おれはこれほどまで多種多様な戦闘のやりかたがあるとは知らなかった。；皆伐にはいくつかのやり方があるが、一般的な方法は以下の通りである。；僕も又、父のやりかたを嚴格だと感じたことは一度もありませんでした。；実際に飛雄馬との会話でこういうやり方も悪くはなかったと言っている。；片訴訟をすぐ信じて大さわぎする朝廷のいつものやりかたに腹も立った。；数ある犯罪の記録の中でも、こんなやりかたをしたものは例がないよ。；殺された者の多くは女子供であり、死体は酷いやり方で損傷されていた。；今後も、今のようなやりかたで小説を書いていくことになるでしょう。；そうすることはクライン流のやり方になっただろうとも言えるだろう。；一方古くは、上で述べた型とは違ったやり方をしたこともあったようである。；あなたなりのやりかたで、ご自分だけで、おやりになると聞いておった。；こういう日本の政府のやりかたは、変えられなければならないものである。；このようなやり方で子供を外に出すことには多くの理由があった。；まあ、そうやって相手の反応見るってのは、おれのいつものやりかたか。；彼のやりかたを、あたしのからだはもうすっかり覚えてしまっている。；これと同じやりかたで、あと五、六通の手紙をとどけられると思います。；私は日本の方々に中国人とおなじやりかたをして貰いたくないんですよ。；それで何時間も、そういうやりかたで話を通じさせようと骨おってみた。；いつもながら彼女は私が嫌がるやりかたで全てを正確にやってくれる。；このやり方で計算されたイオン化エネルギーは実験と定性的に一致する。；いずれも子供の成長のためであるが、やり方、他の目的など少しずつ違う。；かれらが悪いのではない、こういうやりかたが、かれらの生活なのだ。；それに、そういうやりかたは、指名制の酒場の女たちのすることである。；どんなやりかたにもせよ、とにかく、きみが来てくれたのはうれしいよ。；彼は若いころに山へこもったことがあるから坐禅のやりかたも知っている。；そういう彼のやりかたを見て、こういう下等な連中は痛快がったのです。；ぼくはそのやりかたをよく心得ているから、眠っていてもできるぐらいさ。</t>
        </is>
      </c>
      <c r="J8509">
        <f>HYPERLINK("https://www.weblio.jp/content/やり方", "词义详情")</f>
        <v/>
      </c>
      <c r="K8509">
        <f>HYPERLINK("https://yourei.jp/やり方", "查看例句")</f>
        <v/>
      </c>
    </row>
    <row r="8510">
      <c r="A8510" t="inlineStr">
        <is>
          <t>やり繰り</t>
        </is>
      </c>
      <c r="B8510" t="inlineStr">
        <is>
          <t>成功</t>
        </is>
      </c>
      <c r="C8510" t="inlineStr">
        <is>
          <t>読み方：やりくり
［名］(スル)不十分なものをあれこれ工夫して都合をつけること。「運転資金の—をつける」「時間を—してデートをする」</t>
        </is>
      </c>
      <c r="D8510" t="inlineStr">
        <is>
          <t>やり繰りする(8%)</t>
        </is>
      </c>
      <c r="H8510" t="n">
        <v>29</v>
      </c>
      <c r="I8510" t="inlineStr">
        <is>
          <t>佐々木は時間をやり繰りしては彼女の部屋へ通っていることが分かった。；も少し話を続けていてみろ、お前のやり繰りでは間に合わなくなるから。；今夜だって詰まっていた予定をやり繰りしてどうにか空けてくれたんだ。；修理のため機体のやり繰りができず、数日間にわたり運休便が相次いだ。；家計がどのようにやり繰りされているのか、かれは素知らぬ風を装っていた。；暮のやり繰りと違って、こいつはどうやら思案の仕甲斐がありそうです。；私は旅行が大好きで、国内でも海外でも年に何度かは時間とお金をやり繰りしてどこかへ出掛ける。；家が傾いている時期の当主であり、家計のやり繰りに苦労した。；わたしは借金のやり繰りを、あげて天の星にお委せしていた。；現金なしではやり繰りのつくものではありません。；日中に行うとなれば、党書記の誰かが、他の誰かに都合を合わせて予定をやり繰りする必要が出て来る。；雄太は、ファストフード店でバイトをしてなんとかやり繰りしていた。；小さなスナックをなんとかやり繰りして、仕送りをしてくれている母にこれ以上の経済的な負担をかけるわけにはいかなかった。；そのとき、フレッドとジョージがどうやって資金をやり繰りしたのかを知ろうとするだろう。；たとえ他に用があるときでも、そちらの方をキャンセルして、必ずなんとかやり繰りして出てきた。；しかし、抱える負債も巨額であり、彼も家計のやり繰りには苦労した。；歳出削減の一環で教育・医療・道路などは州政府の管轄に移し、わずかな税だけ与えてやり繰りさせた。；海軍の演習は北アイルランドで行われ、ロンドンその他の医療チームは予想される多くの損害をどのようにやり繰りするか訓練した。；それにはたから見たら随分無理なやり繰りをして、妙な墨絵を描いているところを見ると、よほど道楽者に生れついているらしい。；スケジュールをやり繰りして空けた、三泊四日の短い旅だった。；両人ともそうした暮らしを始めるだけの資力があるかどうか、やり通せるだけのやり繰り計算ができるかどうかを危ぶんでいる様子であった。；万事は適当な家計とやり繰り次第であって、それは青年、ことに恋愛をしている青年に対して期待できないものです。；押川 世帯の方は、どうやらやり繰りをつけて、夕方から床へもぐり込んぢまつた。；Aが父と、今月は私が二つも三つも小説を書いたから、大変やり繰りに都合がよいと云うのをきく、忘られない印象をうけた。；アメリカ側は兵士や民兵をやり繰りして、2度にわたったインディアンの攻撃から町を何とか守りはしたが、それ以上の防御は難しいと判断し、町から脱出した。；しかし物を見たりする方は、いくらも時間のやり繰りが出来るので、正味の時間が潰れることはないので、大変助かるのである。；三月はじめの締め切りには間があるが、大学の授業がはじまると執筆時間のやり繰りもむずかしくなる。；だが、運航スケジュールをやり繰りして整備を行うことが難しかったので、とりあえずそのまま何もせずに単に使用停止としていた。；中でも、軍需工場で働く労働者を大量に輸送するため、乏しい資材をやり繰りして以下のような改造が実施された。</t>
        </is>
      </c>
      <c r="J8510">
        <f>HYPERLINK("https://www.weblio.jp/content/やり繰り", "词义详情")</f>
        <v/>
      </c>
      <c r="K8510">
        <f>HYPERLINK("https://yourei.jp/やり繰り", "查看例句")</f>
        <v/>
      </c>
    </row>
    <row r="8511">
      <c r="A8511" t="inlineStr">
        <is>
          <t>やりこなす</t>
        </is>
      </c>
      <c r="B8511" t="inlineStr">
        <is>
          <t>成功</t>
        </is>
      </c>
      <c r="C8511" t="inlineStr">
        <is>
          <t>読み方：やりこなす
［動サ五（四）］物事をうまく処理する。「もののみごとに—・す」</t>
        </is>
      </c>
      <c r="H8511" t="n">
        <v>29</v>
      </c>
      <c r="I8511" t="inlineStr">
        <is>
          <t>牛の皮をかぶった人間だってよもやあれまではやりこなしますまい。；相当の遣り手でなければすべてをやりこなすことはできない。；きょうは竪琴師としての初仕事だったが、うまくやりこなすことができた。；何でもやりこなす腕がなくてどうなるものか。；いろいろと無理なことを言いつけることがあるけどそれを何とかやりこなすだけの機転が必要なんですよ。；でも、そういう人たちを納得させるための唯一の方法は、この役を上手くやりこなすことだった。；一般に両立しないものとされている競走と柔道を牛に限ってなんの制約も感じることがないようにやりこなしていた。；ホープは決めたことは何でもやりこなす男だった。；女が立派にやりこなしている諸々の家事を、男も一通りやれてこそ一人前なのであって、それを普段やるかやらぬかは、妻と相談して分担すれば良いことだ。；千春を連れて行くこともだが、ここ数カ月、人手不足で二人前、三人前の仕事を嫌な顔もせず懸命にやりこなして来たお石をこんな時こそ外へ遊びに出してやりたいと思ったからである。；警察の横暴に怒る市民の演技を迫真的にやりこなすには、わたしの気分はめいりすぎている。；何と云われ様が死んで云い返すわけにも行かないから、ま生きて上手くやりこなして行くのが一番利口なのさ。；さて、かれの代役をやりこなす器量があって、しかも信用のおける人間といえば、たったひとりしかない。；やつはそれをうまくやりこなした。；しかし定家も探幽も相当に練磨の力はありていかなる場合にもかなりにやりこなし申候。；前の日ロカヤスが、かれの太鼓言葉の知識を試験するために考えだしたきわめつきの難しい伝文を、完壁にやりこなしてしまったときのかれの驚愕ぶりを思いだしたからだ。；あいつならその狂言をうまくやりこなすでしょう。；朝は嘉助と共に起き、出来るものはなんでもやりこなした。；こうやって私は、建前と実体のあいだをつなぎ合わせることを楽々とやりこなす子供になっていった。；たとえば弟が地方から出てきて、東京にアパートを借り、何もかも自分でやりこなして、それでマンションを購入したというのなら、多少のことはしてやってもいいと思うが、学校を卒業してから十年以上も実家にいて、食費しか払わず、深夜、帰ってきたら夜食が準備してあるような中で、金がたまらないほうが不思議ではないか。；併し定家も探幽も相当に練磨の力はありて如何なる場合にも可なりにやりこなし申候。；しかし定家も探幽も相当に練磨の力はありて如何なる場合にもかなりにやりこなし申候。；最後のものを除けば、この仕事は、新任の名人はだれでも、らくらくとやりこなした。；併し定家も探幽も相當に練磨の力はありて如何なる場合にも可なりにやりこなし申候。；このひと月間どうにか大きな失敗もなくやりこなしてきた緊張が、あすは休みだという解放感を得て、一挙にほぐれてきたのだろう。；この種の勤務では、あらゆる仕事が地上管制センターによって割りあてられ、おもな楽しみといえば、こんなことはむりだとぶつくさ言いながらも、結局は割りあてられただけのことをやりこなしてしまうことにある。；どうして、そんな難事業を、ひとびとがむしろ快事であるようにやすやすとやりこなして毎日を送っていけるのか、それが信じられないと透は思った。；かの女は十五歳になってもやっぱり不器量な娘で、そのことは自分でも自覚していたが、そのかわり自分には偉大な演技の才能があり、性格的な役や憎まれっ子の役をやりこなすことができる、またひょっしたら喜劇俳優の素質もあるのではなかろうか、とうぬぼれていた。；その一方で実は大の仕事好きでデデデに自分達が商品として売りに出された際もガングが持っていた箒を自ら奪って掃除したり、住人達に頼まれた雑務に一切逆らわずに何でもやりこなしており、デデデにも自分達を商品として売りに出されても一切不満を抱かず忠実に動いた。</t>
        </is>
      </c>
      <c r="J8511">
        <f>HYPERLINK("https://www.weblio.jp/content/やりこなす", "词义详情")</f>
        <v/>
      </c>
      <c r="K8511">
        <f>HYPERLINK("https://yourei.jp/やりこなす", "查看例句")</f>
        <v/>
      </c>
    </row>
    <row r="8512">
      <c r="A8512" t="inlineStr">
        <is>
          <t>やり通す</t>
        </is>
      </c>
      <c r="B8512" t="inlineStr">
        <is>
          <t>成功</t>
        </is>
      </c>
      <c r="C8512" t="inlineStr">
        <is>
          <t>読み方：やりとおす
［動サ五（四）］最後までやる。「始めたからには—・す覚悟だ」</t>
        </is>
      </c>
      <c r="D8512" t="inlineStr">
        <is>
          <t>行う；実行；達成；果たす；完了</t>
        </is>
      </c>
      <c r="H8512" t="n">
        <v>29</v>
      </c>
      <c r="I8512" t="inlineStr">
        <is>
          <t>やり通す以上は家のものに無駄な心配をかけないほうがいいと思ったのである。；基本めんどくさがり屋だが、一度決めた事はやり通す誠実な一面もある。；そしてまた、それでうまくやり通す、相当のチャンスもあったわけです。；最後まできちんとやり通すかどうか、アシェンデンは気が気ではなかった。；彼女は一から十まで、自分一人でやり通すことのできる女、果断な女だった。；それが原則で、引き受けたあと失敗したと思うことがあっても、やり通すこと。；女が一緒だから、どこまでもやり通そうとしているのだ。；ただ目の前にやるべきことがあるなら、最後までやり通す。；自分を晒し者にし、自ら犯罪者になってまでも、やり通す気なのだ。；昼間フーフーでやり通すから、どうやらつづいているわけでしょう。；専任としての責任と家庭と学問と、この三つをどうしてやり通すか。；が今度は自分の目的をやり通すことにした。；いい出したことはやり通す、勝気の様だが、実は大きな駄々っ子に過ぎない。；自分の正しいと思ったことは、躊躇せずに思い切って最後までやり通すようにしなさい。；いったん決めたらなにがなんでもやり通すガンコさである。；彼はまた、はじめて自分がやり通す仕事に対しての能力を疑った。；それを平気でやり通すようになっているところに、無限のふびんさがあるではないか。；何を言おうともこのツインテール娘たちは自分たちのやりたいことをやり通すってのは今までの経験から百も承知である。；尾根筋にのぼりつくまで走ろうと心に決めてそれをやり通そうとする自ら設けた束縛を守った。；身をもってやり通そうと誓ってやって来た年来の実行も、まだ人眼から見れば、やり足りていなかった。；一旦決めたことは、たとえ気が進まなくてもやり通す。；彼は病気と云って部屋へ引き退がると、こうなればもうこのままやり通すより仕方がないと考えた。；なお、幼馴染みの記憶では雨の日でも休まずに毎日走っていたそうで、自分で決めた事はやり通す、意志の強い少年であったと語っている。；それをとりもどすことができる機会があるかぎり、私は身命を賭してでもそれをやり通すだけの気はもっている。；私はそれをうんと研究してみたいと思っているのですが、無論なんですよ、人間は最初に初めた事をやり通すべきなんですがね。；ポジティブで負けず嫌いだった為、一度自分が決めたことは諦めずに最後までやり通す子だった。；一度決心したら最後までやり通すという植村の性格と集中力の現われともいえよう。；だが、仏になるための修行をどうしてもやり通すことができないという深刻な問題が自覚されはじめる。；私のあります調は、誰も同調してくれないけれど、私一代は、なんといわれても、これでやり通すことにした。</t>
        </is>
      </c>
      <c r="J8512">
        <f>HYPERLINK("https://www.weblio.jp/content/やり通す", "词义详情")</f>
        <v/>
      </c>
      <c r="K8512">
        <f>HYPERLINK("https://yourei.jp/やり通す", "查看例句")</f>
        <v/>
      </c>
    </row>
    <row r="8513">
      <c r="A8513" t="inlineStr">
        <is>
          <t>やり遂げる</t>
        </is>
      </c>
      <c r="B8513" t="inlineStr">
        <is>
          <t>成功</t>
        </is>
      </c>
      <c r="C8513" t="inlineStr">
        <is>
          <t>読み方：やりとげる
［動ガ下一］［文］やりと・ぐ［ガ下二］最後までやりとおす。やりぬく。「難行(なんぎょう)苦行を—・げる」</t>
        </is>
      </c>
      <c r="D8513" t="inlineStr">
        <is>
          <t>やり遂げるだろ(3%)</t>
        </is>
      </c>
      <c r="E8513" t="inlineStr">
        <is>
          <t>行う；実行；達成；果たす；完了</t>
        </is>
      </c>
      <c r="H8513" t="n">
        <v>29</v>
      </c>
      <c r="I8513" t="inlineStr">
        <is>
          <t>それをやり遂げることこそが、この五年の留学の成果なのだとも思った。；彼のすべては心臓だったので、やり遂げるために必要な筋肉がなかった。；だがそれはどうしてもやり遂げねばならぬ業のようなものである。；するとこんどは小さな怪物が、大怪物のその事業を最後までやり遂げていた。；ただやり遂げたという達成感だけを欲して塔を登り詰めようとしている。；銀行筋とも必ず直接交渉で、全部おまえたちの力でやり遂げるんや。；今受けている仕事を無事にやり遂げたら静かにフェイドアウトが第一目標だ。；そんなことを自分にも夫にも知られずにやり遂げられるとはすぐには信じられなかった。；ふたりは明らかに何かをやり遂げた人間の顔をして、静かに海を眺めている。；こんな女と一週間も暮らした苦労まさに想像に絶するが、よくやり遂げた。；かうと思つたらどうしてもそのことをやり遂げないと承知できない人物がゐる。；時間はかかっても、与えられた課題をやり遂げてからでないと帰れなかった。；いったんやり始めたことは最後までやり遂げなくちゃならない。；二人は互いに挨拶し、ヘジンは自分が計画をやり遂げたことを彼女に伝える。；しかしながら此度の任だけは、どうぞ私にやり遂げさせてくださいませ。；あくまでやり遂げるつもりだよ、われわれが邪魔さえしなければね。；これは当時は誰もやり遂げることの出来ないことであった。；自分が敗残者とバカにしていた連中がやり遂げたことを、私は出来なかった。；娘に相談し、鋼の轡と鉄の馬ろくを作るよう教えられ、これをやり遂げる。；これをやり遂げないと、私は私を解放することができないから。；企画を一通りやり遂げた後、最後に加藤がこの企画に将来性があるか否かを判断。；まだ誰も成功していないことをやり遂げているのに、何故柴原が公表しないのか。；「あの子はとうとうやり遂げたみたいですね」クリクが笑い声を上げた。；そして、それ以上に、ひとりの死傷者も出さずにやり遂げたのだった。；今まで何一つとして自分の手でやり遂げたことのない内匠頭だった。；やることがないんだったら、それをやり遂げるのを手伝ってくれませんか?；だからいくら賢明の西洋人でも一人ではやり遂げることは出来ない。；でもついにそれをやり遂げて、ぎりぎりの金をもって彼はヨーロッパへ渡った。；仕事の場で、人間を仕事をやり遂げる力以外のもので測るのは間違っておる。</t>
        </is>
      </c>
      <c r="J8513">
        <f>HYPERLINK("https://www.weblio.jp/content/やり遂げる", "词义详情")</f>
        <v/>
      </c>
      <c r="K8513">
        <f>HYPERLINK("https://yourei.jp/やり遂げる", "查看例句")</f>
        <v/>
      </c>
    </row>
    <row r="8514">
      <c r="A8514" t="inlineStr">
        <is>
          <t>やりとり</t>
        </is>
      </c>
      <c r="B8514" t="inlineStr">
        <is>
          <t>成功</t>
        </is>
      </c>
      <c r="C8514" t="inlineStr">
        <is>
          <t>読み方：やりとり
［名］(スル)
１物をとりかわすこと。交換。「見合写真を—する」
２杯をかわすこと。「杯を—する」
３言葉の受け答えをすること。また、口論すること。「電話での—」「激しく—する」</t>
        </is>
      </c>
      <c r="D8514" t="inlineStr">
        <is>
          <t>やりとりできる；やりとりをじっと；やりとりしながら；やりとりを聞きつけ；やりとりした書</t>
        </is>
      </c>
      <c r="F8514" t="inlineStr">
        <is>
          <t>短いやりとり；激しいやりとり；直接やりとり；こんなやりとり；こうしたやりとり</t>
        </is>
      </c>
      <c r="H8514" t="n">
        <v>29</v>
      </c>
      <c r="I8514" t="inlineStr">
        <is>
          <t>一度だけの出会いであったがその後二人は長い手紙のやりとりをした。；彼らは頻繁に手紙のやりとりを行い若いキニックに大きな影響を与えた。；システム間でメッセージをやりとりするには接続を確立させる必要がある。；直感の助けがないので、他の人とのやりとりがとても難しいものになる。；また、これをきっかけに2人は頻繁にやりとりするようになったという。；ただし、ネタニヤフが主張したような二人のやりとりはなかったという。；隠棲後も後妻か娘かは不明だが、家族と手紙のやりとりはあったらしい。；また吉田は英国留学から帰国後も、二人の師共に手紙をやりとりしていた。；いずれにしても、ここでどのようなやりとりがあったのか詳細は不明である。；事件を起こした死刑囚との手紙のやりとりや緻密な事件取材で知られる。；両者のやりとりは守一雄のウェブサイトの該当ページに公開されている。；彼女は王と手紙のやりとりを続け、王が夫妻の元を訪ねたことが何度もあった。；その時にどのようなやりとりがあったのかは伝わってはいない。；また、どんな人だろうと誰かとやりとりするということ自体好きではない。；この楽曲は自身の恋人とのLINEのやりとりがそのまま歌詞となっている。；彼らは情報をやりとりするための共通言語を探さなければならない。；系と外部との間でやりとりされるエネルギーには、他に熱がある。；主に漫才で、長谷川の周囲の人々とのやりとりを元にしたものが多い。；短いやりとりだったものの、このシーンは視聴者の心を大きく打った。；「オンエアされている裏で別のやりとりを行う」ためにこの名がある。；若い母親と二人の娘との家の中でのやりとりを描く作品。；革命の指導者達とロジャーズの間でどのようなやりとりが行われたかは不明である。；日本在住の経験もあって、簡単なやりとりならば日本語で話すことが出来る。；ボガスとの数ヶ月の電子メールのやりとりを経て彼女は両団体を合併させた。；その際のやりとりにはバルチャーサインという信号弾を主に使用する。；一部の抽象化は他との相互のやりとりのために設計されている。；LINEでのやりとりも得意ではなく、ほとんど仕事でしか使わないという。；また、学者のガリレオ・ガリレイとの手紙のやりとりも現存している。；MIDIシーケンスデータのやりとりには以下の形式が使われている。</t>
        </is>
      </c>
      <c r="J8514">
        <f>HYPERLINK("https://www.weblio.jp/content/やりとり", "词义详情")</f>
        <v/>
      </c>
      <c r="K8514">
        <f>HYPERLINK("https://yourei.jp/やりとり", "查看例句")</f>
        <v/>
      </c>
    </row>
    <row r="8515">
      <c r="A8515" t="inlineStr">
        <is>
          <t>やり直す</t>
        </is>
      </c>
      <c r="B8515" t="inlineStr">
        <is>
          <t>成功</t>
        </is>
      </c>
      <c r="C8515" t="inlineStr">
        <is>
          <t>読み方：やりなおす
［動サ五（四）］改めて初めからする。「人生を—・す」「計算を—・す」</t>
        </is>
      </c>
      <c r="D8515" t="inlineStr">
        <is>
          <t>やり直すしかない</t>
        </is>
      </c>
      <c r="E8515" t="inlineStr">
        <is>
          <t>再開；再出発する；作り変える；再挑戦する；練り直す</t>
        </is>
      </c>
      <c r="F8515" t="inlineStr">
        <is>
          <t>戻ってやり直す；新しくやり直す；戻してやり直す</t>
        </is>
      </c>
      <c r="H8515" t="n">
        <v>29</v>
      </c>
      <c r="I8515" t="inlineStr">
        <is>
          <t>ボス戦闘では負けても戦闘の直前からやり直すことが可能となっている。；夫と離婚してこの人と人生をやり直そうと思う人もいなくはなかった。；その後、孝子はもう一度生活をやり直そうと夫のもとへ戻る決心をする。；子供たちが家でも簡単に実験をやり直すことができるように考えられている。；そもそも、レイフォンは人生をやり直すためにこの学園に来ているのだ。；もし人生を新たに初めから、しかも意識的にやり直すことができたら?；私は学校を退学して、フランスで勉強をやり直すことを家族に告げました。；それでエサが出てこないときは、ハトはもう一度行動をやり直すだろう。；あの金があれば、こんな村を出て他の土地でやり直すことが出来る。；下の表の技を順番に行い、途中で失敗しても何度でもやり直すことができる。；その場合は、調査を新たに土台そのものからやり直す必要にせまられる。；すると証拠の立証を一からやり直すことになるため、後にKは撤回する。；海軍技術委員会は試験結果に満足せず、翌年改めて試験をやり直す決定を下した。；ふたたび、見ず知らずの人物の家で一からやり直すのは耐えられなかった。；一方、30点以下の場合は同じステップをもう一度やり直すことになる。；その代わり兄は一から、この「飛行デバイス」の設計をやり直すだろう。；そのため、再入手は不可能でやり直すにはゲームを初めからプレイするしかない。；どうしてそれを資本に二人が力をあわせて、一からやり直そうといわないのか。；何事もなかったかのような表情をつくって、はじめからやり直す。；どうせこの世界は、そう遠くない将来にやり直すことになるのだ。；そこで、普通の女の子としてやり直すことができたかもしれないのに。；チビマリオの状態でスタートし、一度ミスするだけでやり直すことになる。；メガドライブ版ではミスをしても残機が減ることなくやり直す必要はない。；わたしだってまだ積極的に何かしよう、やり直そうって気はあるわ。；霊能力を持つ主人公がタイムスリップして学園生活をやり直す物語である。；だが、幸いなことに、取り調べを一からやり直すほどのことではなかった。；しかしお母さんの姿が見えると、 「唯今戻った」 と完全にやり直す。；レックスへの愛情を否定出来ないブリーは、夫とやり直す決心を固める。；ぼくは地元の小学校に編入され、四年生からやり直すことになった。</t>
        </is>
      </c>
      <c r="J8515">
        <f>HYPERLINK("https://www.weblio.jp/content/やり直す", "词义详情")</f>
        <v/>
      </c>
      <c r="K8515">
        <f>HYPERLINK("https://yourei.jp/やり直す", "查看例句")</f>
        <v/>
      </c>
    </row>
    <row r="8516">
      <c r="A8516" t="inlineStr">
        <is>
          <t>やる</t>
        </is>
      </c>
      <c r="B8516" t="inlineStr">
        <is>
          <t>成功</t>
        </is>
      </c>
      <c r="C8516" t="inlineStr">
        <is>
          <t>［助動］［やら｜やり・やっ｜やる｜やる｜やれ｜やれ（や・やい）］《動詞「あり」の連体形「ある」の音変化》動詞の連用形に付く。
１軽い尊敬、または親愛の意を表す。…なさる。
「それにお待ちやれ」〈虎明狂・末広がり〉
２（「やります」の形で）丁寧の意を表す。
「この子が寒い寒いというて泣きやります」〈伎・暁の鐘〉
[補説]室町時代以降に用いられ、近世では終止形と命令形が多い。1は上接の動詞の上に「お」「ご」を付けることもある。2は近世語。</t>
        </is>
      </c>
      <c r="D8516" t="inlineStr">
        <is>
          <t>やるべき(3%)；やるんです；やるかたない；やることなすこと；やるまい</t>
        </is>
      </c>
      <c r="E8516" t="inlineStr">
        <is>
          <t>する；行う；くれる；与える；実行</t>
        </is>
      </c>
      <c r="F8516" t="inlineStr">
        <is>
          <t>教えてやる；殺してやる；言ってやる；よくやる；つけてやる</t>
        </is>
      </c>
      <c r="G8516" t="inlineStr">
        <is>
          <t>やるせない；やるせな；やるせなく；やる気満々；やる気まんまん</t>
        </is>
      </c>
      <c r="H8516" t="n">
        <v>29</v>
      </c>
      <c r="I8516" t="inlineStr">
        <is>
          <t>そこで心配だが田舎から出てきたばかりの中間を使いにやろうと決める。；一緒の場所にいることが必ずしも一緒にやっているということではない。；しかし私がかくいうのは勉強と恋愛とをほどほどにやれというのではない。；そのため、同じネタをやっても同じ展開とはならないのも特徴的である。；こんどはなんになってやろうかと、そんなことばかり考えていたのです。；この論文では、どうやってそれらの値に到達したのかは説明されていない。；放棄といてやれ、と聞えぬ振りして本を読んで居ると吉三郎が上つて来る。；一方、カントナーは本来自分が目指してきた音楽をやる為に動き始めた。；こうなると僕にも分かるんですが新監督は自分の色でやりたいんですよね。；自分が団体を率いて試合するのは、通常の大会をやっても意味がない。；でも、今、自分でやりたいこともあって、それが僕の目標でもあるんだ。；画家はただ自分の本当の仕事だけをやればよい事となってしまった。；だがこの起源はやり過ぎだったようで、その後一度も使われていない。；私はあの女の下腹をまっすぐに愛してやればよかったのだと思います。；子供の頃のグレツキーはアイスホッケーよりも野球をやりたがっていた。；私は自分の場所に寝ていて、朝になって皆が私を見て驚く顔を見てやろう。；幾日か続いた雨の残り雨らしいものが降ってやんだあとで月が出てきた。；たとえばプログラムを書く仕事は、機械なしでもやろうと思えばできる。；その可能性がなくなって使われないなら、もう野球をやる意味がない。；このヒットを機会に、自身のやりたい音楽を表現することを決意する。；ただ、場面は、やりまわしの時だけでなく、直線路を走るときにも使う。；そのようなクレーターがどうやってできるのかも実験で研究している。；しかし、市場の人々はお前なんかにクレレットはやれないと反発される。；自分の仕事に関連ありそうなものは全部やれと言うことになっていましたから。；その後間もなく私のところへみゑ子を京都へ返してやれ、と言ってきた。；それに、もはや風が吹きやんで、風で判断することができないのでした。；その時になって初めて自分がケータイ刑事をやることを知ったという。；ですがあなたはたゞ言ふだけの事を門番におつしやればようございます。；ビルの警備員をやりつつ、ギターでの楽曲製作に励む日々を送っていた。</t>
        </is>
      </c>
      <c r="J8516">
        <f>HYPERLINK("https://www.weblio.jp/content/やる", "词义详情")</f>
        <v/>
      </c>
      <c r="K8516">
        <f>HYPERLINK("https://yourei.jp/やる", "查看例句")</f>
        <v/>
      </c>
    </row>
    <row r="8517">
      <c r="A8517" t="inlineStr">
        <is>
          <t>やる気</t>
        </is>
      </c>
      <c r="B8517" t="inlineStr">
        <is>
          <t>成功</t>
        </is>
      </c>
      <c r="C8517" t="inlineStr">
        <is>
          <t>読み方：やるき
進んで物事をなしとげようとする気持ち。「—を起こす」「まるで—がない」</t>
        </is>
      </c>
      <c r="D8517" t="inlineStr">
        <is>
          <t>やる気ゼロ；やる気パワー；やる気あん；やる気充分；やる気なさげ</t>
        </is>
      </c>
      <c r="E8517" t="inlineStr">
        <is>
          <t>決意；意志；覚悟；決心；動機</t>
        </is>
      </c>
      <c r="F8517" t="inlineStr">
        <is>
          <t>許してやる気；助けてやる気；世界一やる気</t>
        </is>
      </c>
      <c r="G8517" t="inlineStr">
        <is>
          <t>やる気まんまん；やる気マンマン；やる気スイッチグループ；やる気マンマン日曜日；やる気スイッチ</t>
        </is>
      </c>
      <c r="H8517" t="n">
        <v>29</v>
      </c>
      <c r="I8517" t="inlineStr">
        <is>
          <t>これだけやる気がないのに、どうして草野球に参加しているんだろうか。；やる気のある学生ならどちらからも価値のあることをたくさん学べます。；声をかけても夢に通じなくなったし、そんなことやる気にもならないし。；僕たちがどんなことでもやる気だったら、君を救えたかもしれないんだ。；これはやる気を挫くかもしれないが2つのことを行うことで実現できる。；馬でも牛でも熊でも狼でも自分の腹の内を通り抜けさせてやる気がある。；皆がやる気になってくれたのはいいけど、これじゃ全然まとまりがない。；ことわられたからそれきりになっているが、やる気はあるのだそうです。；やる気は主人公と交流することで上がるほか、戦闘での活躍でも上昇する。；やる気十分なのだが、人前に出れば何もいえなくなってしまうのである。；地元で農業をつづけられる、それがやる気になっているんでしょうね。；そのうちにやる気を認めてくれて徐々に教えてくれるようになったけど・・・。；けれどもそれでは草平氏も芝居をやる気にはなれなかつたかもしれません。；私はまるで蕗男の体の中の精液を全部出させてやる気でいるみたいだった。；幾卿はやる気を失い、多くは病気であると称して、仕事をしなかった。；下ネタが好きで自分が面白いと思わないことはやる気がしないと語っている。；初めからこれならば、少しは協力してやる気にもなったというのに。；やる気があり、勇気があったからこそ二度も死ににいったのである。；RIEはバンド未経験者であったが、英語力とヤル気を認められて参加。；ADHDのある人は自己統制や自分でやる気を起こすことを苦手とする。；誰も使いこなせなかった彼女がやる気を出して、実に溌剌と働いている。；僕はやる気があればやるし、やる気がなければやらないと答えました。；ああ云う男が、いい歳をしてどう云うつもりでダンスをやる気になったものか?；これじゃただのやる気無さそうな奴にしか見えないじゃないっすか。；しかし、二人がやる気を出してわたしを持ち上げようとした時だった。；それだけで自分のやる気は二割り増しくらいにはなっていただろう。；それでももしお前さんがやる気なら、そん時にゃこのおれが相手になる。；こんな時だけやる気を見せて逃げようったって、そうはいかないからね!；もっともあんなやつにはわざわざ知らせてやる気もないですがね。</t>
        </is>
      </c>
      <c r="J8517">
        <f>HYPERLINK("https://www.weblio.jp/content/やる気", "词义详情")</f>
        <v/>
      </c>
      <c r="K8517">
        <f>HYPERLINK("https://yourei.jp/やる気", "查看例句")</f>
        <v/>
      </c>
    </row>
    <row r="8518">
      <c r="A8518" t="inlineStr">
        <is>
          <t>柔らかい</t>
        </is>
      </c>
      <c r="B8518" t="inlineStr">
        <is>
          <t>成功</t>
        </is>
      </c>
      <c r="C8518" t="inlineStr">
        <is>
          <t>読み方：やわらかい
［形］［文］やはらか・し［ク］《形容動詞「やわらか」の形容詞化》
１ふっくらとして堅くない。また、しなやかである。「—・い食べ物」「—・い毛布」「足腰が—・い」⇔かたい。
２おだやかである。柔和である。「人当たりが—・い」「—・い物腰」「—・い光」
３堅苦しくない。融通がきく。「—・い話」「頭が—・い」⇔かたい。
[派生]やわらかげ［形動］やわらかさ［名］やわらかみ［名］</t>
        </is>
      </c>
      <c r="D8518" t="inlineStr">
        <is>
          <t>柔らかいもの(4%)；柔らかい感触；柔らかい光；柔らかい土；柔らかい肉</t>
        </is>
      </c>
      <c r="E8518" t="inlineStr">
        <is>
          <t>弱い；軽い；ソフト；穏やか；細かい</t>
        </is>
      </c>
      <c r="F8518" t="inlineStr">
        <is>
          <t>比較的柔らかい；柔らかい髪；柔らかい布；非常に柔らかい；柔らかい地面</t>
        </is>
      </c>
      <c r="G8518" t="inlineStr">
        <is>
          <t>柔らかい殻</t>
        </is>
      </c>
      <c r="H8518" t="n">
        <v>29</v>
      </c>
      <c r="I8518" t="inlineStr">
        <is>
          <t>便が非常に柔らかくなる際に合併する主な症状は、 などが挙げられる。；ピアノでは黒鍵の利用が多いため、柔らかい音が得られるとされている。；初めてお会いしたんですが、なんてフランクで柔らかい方なんだろうと。；氷が柔らかくなってきており、船から遠くまで移動するのは危険だった。；また、柔らかく筋がないので生のまま味噌を付けて食べることもできる。；恐らく地表近くの柔らかい植物を選択的に採食していたものと思われる。；別布の場合は薄く柔らかい布地が使われ、レースが使われることもある。；その声は柔らかく音楽的で、ごくかすかに異国ふうの訛りが感じられた。；亜細亜大学入学後は柔らかい打撃を武器に1年春からレギュラーを獲得。；彼はある目標を達成するために体を柔らかくしようと柔軟体操をしている。；以前のモデルに比べて前後輪のバネレートを柔らかくすることができた。；株立型で草丈は高く葉も柔らかいが頻繁に草刈りをしなければならない。；外から見ると、地面から柔らかい紐か何かが伸びているように見える。；私は脚をしっかり固定し、膝を柔らかくしてスピードに身をまかせた。；このような装飾が可能なのは、切石が比較的柔らかい石の場合である。；炊きあがりが柔らかくなるように酒を少し入れ、塩と醤油で味をつける。；こうすると表面にしわが寄って内部は柔らかくなり香りもよくなる。；この町は柔らかい白い砂浜と穏やかな透明な水を観光の目玉としている。；ちょっと前まで、草はもっと淡い色をしていたし、触ると柔らかかった。；萌黄色の独特の光沢を持ち、絹に比べて軽くて柔らかいのが特徴である。；天窓からの明かりが、ベッドの下半分を中心に、柔らかく広がっていた。；歯の形状から、柔らかい水草を食料にしていたことが示唆されている。；また、アヒルの肉を柔らかくするため、腹の中には湯が入れられている。；小麦粉がより柔らかい種類のコムギから作られる時、粉の色は白である。；尾の部分は柔らかく、多少とも曲がり、それを上に反らせたりも出来る。；視線を柔らかく曖昧にしていた薄い皮膜は彼女の眼から擦りとられている。；それをとんとん叩いて柔らこうするのんが昔の女のひとの仕事だったそうですわ。；和穂の全身から汗が流れていたが、構えはだいぶ柔らかくなっていた。；上記の方法の中で、柔らかい生物は標本作製の処理の際に崩壊する危険がある。</t>
        </is>
      </c>
      <c r="J8518">
        <f>HYPERLINK("https://www.weblio.jp/content/柔らかい", "词义详情")</f>
        <v/>
      </c>
      <c r="K8518">
        <f>HYPERLINK("https://yourei.jp/柔らかい", "查看例句")</f>
        <v/>
      </c>
    </row>
    <row r="8519">
      <c r="A8519" t="inlineStr">
        <is>
          <t>和らぐ</t>
        </is>
      </c>
      <c r="B8519" t="inlineStr">
        <is>
          <t>成功</t>
        </is>
      </c>
      <c r="C8519" t="inlineStr">
        <is>
          <t>読み方：やわらぐ
［動ガ五（四）］
１程度のはなはだしかったものがおだやかな状態になる。しずまる。「暑さが—・ぐ」「痛みが—・ぐ」
２堅苦しさやとげとげしさがなくなる。なごやかになる。「態度が—・ぐ」「表情が—・ぐ」
３やわらかくなる。しなやかになる。
「あかぎれなどには、水がかかればことの外—・いでよいといふ」〈狂言記・皹〉
４うちとけてむつまじくなる。
「今、この治まれる御代に随ひ、ともに—・ぎつつ」〈おらが春〉
［動ガ下二］「やわらげる」の文語形。</t>
        </is>
      </c>
      <c r="D8519" t="inlineStr">
        <is>
          <t>和らぐだろ(2%)</t>
        </is>
      </c>
      <c r="E8519" t="inlineStr">
        <is>
          <t>減少；緩和；減る；落ち着く；緩和する</t>
        </is>
      </c>
      <c r="H8519" t="n">
        <v>29</v>
      </c>
      <c r="I8519" t="inlineStr">
        <is>
          <t>ベッドに横たえられたガブリエルは気持が和らいでいくのを感じていた。；完全に治っているわけではないが痛みを無視できるぐらいには和らいだ。；シリウスから返事が来ればきっと不安は和らぐだろうと信じていたのに。；それは傷口の上に薄い皮膚ができて痛みが和らぐような気持ちだった。；伊三次が傍にいることで幾分、その表情は和らいでいるようにも見えた。；息を止めて痛みが和らぐのを待ち、廊下のほうへいざって戸に耳を当てた。；耳に心地いいその声を聞いていると、周りの空気が和らいでいく気がする。；胸の痛みは和らがないことも、分かっていたが、それでもなお、笑った。；そこに必ず普遍性が現われて、万人と和らぐ道が通じることを信じます。；里香の笑顔のおかげで、さっきのカサカサした感じは少し和らいでいた。；相手が、ひどく緊張しているのを見てとって、和らいだ表情に戻った。；やがて、彼の表情が少しでも和らいできた時を見計らって口を開けば良い。；翌日は風は和らぎ海はないできて、わたしも少しばかりなれてきた。；少しずつ姿勢を変えてゆき左肩を地面から離すと幾らか痛みが和らいだ。；一瞬にしてピリピリと張りつめた空気が和らいだのはいうまでもない。；雲海の上、そこは寒さも和らいでいて、春の訪れを一層強く感じさせる。；河川の汚染度が和らぐにつれて、これらの魚類の生息数が増加している。；特殊なガラスを使っているようで、夏の強い陽差しは和らいでいた。；彼女がそばにいるだけで、さっきまで焦っていたのが嘘のように神経が和らぐ。；どれほどの時を経ても、その痛みは和らぐことはなかったらしい。；かつて見たことがないような和らいだ微笑を浮かべた彼女自身の姿がそこにあった。；中尉は艦長の目もと口もとのきびしさの和らいでいるのを見てとった。；が、この辛さで汗をかいてしまうとタイの暑さが和らぐから不思議だ。；こんな姿になった私には耐え難い昼の眩しい光も、少し和らいできた。；アンヌは気が和らぎ、信頼深く、非常に優しく、父は彼女を愛していた。；話を進めていくうちに、捜査員たちの表情は、次第に和らいで行った。；レイクスが去った後もマーシュの男たちの間の緊張が和らぐことはなかった。；しかしその説明で少しは納得したのか、少女の身構えるような態度は和らいだ。；決して愛想のいいとはいえない表情が、龍涎香を前にすると和らいだ。</t>
        </is>
      </c>
      <c r="J8519">
        <f>HYPERLINK("https://www.weblio.jp/content/和らぐ", "词义详情")</f>
        <v/>
      </c>
      <c r="K8519">
        <f>HYPERLINK("https://yourei.jp/和らぐ", "查看例句")</f>
        <v/>
      </c>
    </row>
    <row r="8520">
      <c r="A8520" t="inlineStr">
        <is>
          <t>和らげる</t>
        </is>
      </c>
      <c r="B8520" t="inlineStr">
        <is>
          <t>成功</t>
        </is>
      </c>
      <c r="C8520" t="inlineStr">
        <is>
          <t>読み方：やわらげる
［動ガ下一］［文］やはら・ぐ［ガ下二］
１おだやかになるようにする。「怒りを—・げる」「苦痛を—・げる」
２わかりやすくする。くだいた言い回しにする。「表現を—・げる」</t>
        </is>
      </c>
      <c r="D8520" t="inlineStr">
        <is>
          <t>和らげるべく；和らげる減速効果</t>
        </is>
      </c>
      <c r="E8520" t="inlineStr">
        <is>
          <t>治療；解放；救う；救助；緩和</t>
        </is>
      </c>
      <c r="H8520" t="n">
        <v>29</v>
      </c>
      <c r="I8520" t="inlineStr">
        <is>
          <t>自分のすることが少年の苦痛を和らげられるかどうか、自信はなかった。；その政策は元世直し家達の負担を和らげ、社会に復帰することを助けた。；可南子ちゃんは人気がない場所を得て、やっと少しだけ表情を和らげた。；しかし、この会談はアメリカとソ連の間の緊張を和らげる効果があった。；どんなふうに話して、こういう心の痛みを和らげてあげたらいいのだろう。；ジャンプからの着地の際に身体への衝撃を和らげるのが主な役目である。；腕は空中でバランスをとるためと、落下時に衝撃を和らげるために使う。；もっとも、それはバグナードの警戒を和らげる役割も果たすと思われた。；苦しみを和らげるために、あらゆる方法を取ることは全く問題がない。；また、階下席では壁に横長の鏡を設置して部屋の圧迫感を和らげている。；エリザベートは、人の心を和らげて惹きつける生きた愛の精神であった。；そして之を機会にお寅さまの心を和らげ、同じ日出島から来た人間です。；彼らと自分との間に結ばれた絆は、わずかでも不安を和らげてくれた。；不満が和らげられたかに見えた折に、何らかの不明な理由で規律が崩れた。；私がそのままそこにいれば彼女の第一の衝撃は、かなり和らげられたのです。；それでも大公は3月革命前の動きを和らげる事には成功したようであった。；ヤクルト入団後はチームを和らげるムードメーカー的存在となっている。；わたしは頭目が、言葉を和らげて再びわたしに近づいてくるのを見た。；頭の綿毛は相手からの攻撃を和らげるためのクッションの役割をしている。；それに、今年の冬は防寒具以外にも寒さを和らげてくれるものがある。；そうなるとこんどは三菱側が、共同側の抵抗を和らげなければならない。；それゆえ、グレゴールはまず父親の気持ちを和らげにかかる必要があった。；納税者に租税を理解してもらい不満を和らげるには必要な形式である。；ニエは、どのようにしてその怒りを和らげることができるのでしょう?；刺々しくなった雰囲気を和らげる為に、目先を変えただけかもしれない。；が、すぐに眼を和らげ、軽く首を左右に振って、「いや」とだけ答えた。；それはまさに、堪え難い真昼の光りを和らげている葉の群なのであった。；イザボー王妃の同意を得て宮廷に入り、よく王の狂気を和らげたといふ。；しかし、それはあくまで日銀内部の不満を和らげる目的からであったろう。</t>
        </is>
      </c>
      <c r="J8520">
        <f>HYPERLINK("https://www.weblio.jp/content/和らげる", "词义详情")</f>
        <v/>
      </c>
      <c r="K8520">
        <f>HYPERLINK("https://yourei.jp/和らげる", "查看例句")</f>
        <v/>
      </c>
    </row>
    <row r="8521">
      <c r="A8521" t="inlineStr">
        <is>
          <t>やんわり</t>
        </is>
      </c>
      <c r="B8521" t="inlineStr">
        <is>
          <t>成功</t>
        </is>
      </c>
      <c r="C8521" t="inlineStr">
        <is>
          <t>［副］(スル)ものやわらかであるさま。おだやかなさま。「—（と）断る」「—（と）した肌触わり」</t>
        </is>
      </c>
      <c r="D8521" t="inlineStr">
        <is>
          <t>やんわりとたしなめ；やんわりと否定；やんわりと拒絶；やんわりと注意；やんわりと拒否</t>
        </is>
      </c>
      <c r="E8521" t="inlineStr">
        <is>
          <t>軽く；そっと；そろそろ；穏やか；優しく</t>
        </is>
      </c>
      <c r="H8521" t="n">
        <v>29</v>
      </c>
      <c r="I8521" t="inlineStr">
        <is>
          <t>やんわり掴んでいるように見えて寛の手は相手の自由を全く奪っていた。；中学に上がると友達がみんな不良になり、やんわりといじめられていた。；彼らは掴みかかってくることはなく、苦情をやんわりと言ってきただけ。；やんわりとした網が、気づかないうちに鋭い刃のトラバサミに変わるのだ。；お見合いをすれば、これはと思う相手に限ってやんわり断られてしまう。；それをそのまま彼女に言ったら傷つくから、僕からやんわりと伝える。；沈黙がやんわりとした手つきでアンブローシアの周りに見えない幕を張った。；お前は絹のように、やんわりと運ぶが、俺は鋼のように強引にやるんだ。；お為ごかしの男の声は、むしろやんわりとした脅しのように思われた。；そこで麗子は警部のプライドを傷つけないように、やんわりと指摘した。；師匠に対しては絶対に忠実だし、周囲への当たりもやんわりしている。；のみならず、次にはその手が自分のふくらはぎさえ、やんわりとつかんだ。；弁当を用意させると敦隆は言ったのだが、彼らはやんわりと辞退した。；その腕を、カーの節くれ立った黄色い手が、再びやんわりと押し止める。；王自身の眼の方に問題があるのを、やんわりと示唆したのだが、王は首を横にふった。；しかしモルトをおだてた部下は「ちんけな一匹」とやんわりと否定する。；ファンからは女優の剛力彩芽似との指摘があるが、本人はやんわりと否定している。；男性は若い旅人にやんわりと口調を注意したが、旅人はそれを無視。；街道の上に一箇所だけあった泥濘の上に彼の馬がやんわりと彼をおっことしてくれたのだ。；ホームズが熱弁をふるっているのを目にすると、やんわりとたしなめた。；このおせい様は、男の腕にやんわり寄りかかって世の中を送るようにできている女なのだ。；彼女の手は野々山の股間にあるものすべてを、やんわりと包み込んでいた。；被害者は日和を脱いで大石に上ってから、やんわり地上に下りたのだ。；彼女は自分だけが知っている排卵期にやんわりと夫の要求を断わったりするのである。；それは今の実力では難しいのではないか、やんわりと示唆しても男は聞き入れない。；強要であるにしても、やんわりと話を持っていくので反感を持たれにくいのである。；悪意をやんわりと包んだような書きぶりで、称徳の「病気」が語られる。；高里の首をやんわりと抱くようにして白い腕が現れた。；ボートは、川の蒸気船が泥の川底にのりあげるようにやんわり着地した。</t>
        </is>
      </c>
      <c r="J8521">
        <f>HYPERLINK("https://www.weblio.jp/content/やんわり", "词义详情")</f>
        <v/>
      </c>
      <c r="K8521">
        <f>HYPERLINK("https://yourei.jp/やんわり", "查看例句")</f>
        <v/>
      </c>
    </row>
    <row r="8522">
      <c r="A8522" t="inlineStr">
        <is>
          <t>湯</t>
        </is>
      </c>
      <c r="B8522" t="inlineStr">
        <is>
          <t>成功</t>
        </is>
      </c>
      <c r="C8522" t="inlineStr">
        <is>
          <t>読み方：たん
⇒とう</t>
        </is>
      </c>
      <c r="D8522" t="inlineStr">
        <is>
          <t>湯俣；湯宿；湯煮；湯壺；湯ヶ</t>
        </is>
      </c>
      <c r="E8522" t="inlineStr">
        <is>
          <t>お湯；熱湯；熱い湯；温かいお湯</t>
        </is>
      </c>
      <c r="F8522" t="inlineStr">
        <is>
          <t>熱い湯；茶湯；浴湯；元湯；高湯</t>
        </is>
      </c>
      <c r="G8522" t="inlineStr">
        <is>
          <t>湯川；湯浅；湯治；湯殿；湯島</t>
        </is>
      </c>
      <c r="H8522" t="n">
        <v>29</v>
      </c>
      <c r="I8522" t="inlineStr">
        <is>
          <t>開湯時期は不明だが、江戸時代には既に地元の人が利用していたという。；泉色が泥水のようなの濁り湯であったことから、温泉名も泥湯となった。；現在では温泉宿は別の場所に移転し、鉱山からの供給湯で営業している。；開湯時期は不明だが、古墳時代にはすでに存在したとする説も存在する。；神の湯と霊の湯の違いは使っている石の程度だが、霊の湯の方が人が少ない。；やはり湯宿に来たら小さな粗末な宿にしなければ感じが出ないのかもしれない。；数年を経て再びもとの場所から湧出し、この頃から赤梅の湯と呼ばれた。；現在では柳津温泉が独自源泉を有しているため、送湯は行われていない。；塚原卜伝がこの地で修行したときに卜伝の湯に入ったと言われている。；湯や茶を勝手に飲むことができず、土の上に降りてはならない。；付近には「湯」など温泉に由来すると思われる地名が残されている。；また名前から受ける印象と実際の湯の温度が異なっている。；尚、開湯当初の泉源は既に涸渇しており、現在は別の泉源を利用している。；何日かたって、そこに行って見るとススキが生えている脇から湯が流れていた。；湯を循環させることなく、一方向で供給する方式で湯を供給している。；「指宿」の名称は「湯豊宿」に由来すると言われているが別の説もある。；奈良時代開湯といわれる古湯で、少彦名命が発見したと伝えられている。；しかし北海道にはそれ以前に開湯した温泉が複数あり、事実と反する。；地図記号は、湯壺を表す部分と湯気を表す3本線の部分とに分割できる。；中国および朝鮮には、料理名として「湯」の文字が多く使用されている。；銭湯は近所の「寿湯」が昔風の銭湯の印象を残した建物で営業している。；湯の児は当駅から約3km程離れているが、当駅からの交通機関は一切ない。；その湯が温かったことから、湯の子供という意味で湯の児と名付けたという。；また、アヒルの肉を柔らかくするため、腹の中には湯が入れられている。；カップ麺の場合は、湯で戻して提供され、箸がついてくるものもある。；川の流れの中にも湯が湧いており、川底から気泡が上がるのが見える。；古くから食べられていたのは、白湯を掛けたもの、いわゆる湯漬けである。；汁物料理を中国語では湯と書き、朝鮮語でも同様にタンと呼んでいる。；その際に使われた源泉が現在の共同浴場元湯の地から湧出していたと言われる。</t>
        </is>
      </c>
      <c r="J8522">
        <f>HYPERLINK("https://www.weblio.jp/content/湯", "词义详情")</f>
        <v/>
      </c>
      <c r="K8522">
        <f>HYPERLINK("https://yourei.jp/湯", "查看例句")</f>
        <v/>
      </c>
    </row>
    <row r="8523">
      <c r="A8523" t="inlineStr">
        <is>
          <t>唯一</t>
        </is>
      </c>
      <c r="B8523" t="inlineStr">
        <is>
          <t>成功</t>
        </is>
      </c>
      <c r="C8523" t="inlineStr">
        <is>
          <t>読み方：ゆいいち
「ゆいいつ」に同じ。
「神は—円頓(えんとん)一実相の外」〈浄・聖徳太子〉</t>
        </is>
      </c>
      <c r="D8523" t="inlineStr">
        <is>
          <t>唯一現存する；唯一絶対；唯一残さ；唯一残る</t>
        </is>
      </c>
      <c r="E8523" t="inlineStr">
        <is>
          <t>独自性；不二；無二；単一性</t>
        </is>
      </c>
      <c r="F8523" t="inlineStr">
        <is>
          <t>現存する唯一；国内唯一；唯一現存；生涯唯一；県内唯一</t>
        </is>
      </c>
      <c r="G8523" t="inlineStr">
        <is>
          <t>唯一無二；唯一神；唯一の神；唯一神教；唯一者</t>
        </is>
      </c>
      <c r="H8523" t="n">
        <v>29</v>
      </c>
      <c r="I8523" t="inlineStr">
        <is>
          <t>晩年になってもスミスはこの作品が唯一の真のSFだったと述べている。；州全体が島だけで構成されているアメリカ合衆国で唯一の州である。；この映画にはこれが唯一の映画出演となったセレーナも出演している。；これがおそらく唯一の現存するシベリウスの自作自演だろうと思われる。；その際の唯一の条件は会員数が60名を越えないことということであった。；光國が生涯にわたってゆいいつ変わらなかった癖であるといってもいい。；日本国の島では唯一、他の島と排他的経済水域を接していない島でもある。；一度消滅した新幹線の愛称が復活したのは「とき」が唯一の例である。；セントヘレンズ山は州内で現在も活動を続けている唯一の火山である。；シティは女王の承認を得ていない唯一の自治体であり、独自の警察を有する。；新京成線の駅としては最も新しく、唯一平成時代に開設された駅である。；中華民国は戦後も自らが中国の唯一の正統な国家だと主張していた。；秀吉の晩年、秀次は豊臣家の二世世代では唯一の成人した親族であった。；アジアを舞台にした劇映画の中で唯一、本作品のポスターが選ばれた。；当時のソ連で楽譜が公に出版された唯一の日本人作曲家である。；門司港駅は駅舎としては九州で唯一、国の重要文化財に指定されている。；ニーチェは、唯一の真実なるものはなく、解釈があるのみだと考えた。；なお、その際に表示される画面の地名には唯一振り仮名がふってある。；太平洋は沈み込み帯にほぼ全てぐるりと囲まれている唯一の海である。；これは東京方面 - 南会津方面を直通運転する唯一の一般列車であった。；三江線で唯一通過列車が設定されていた駅であり、一部の列車は停車しなかった。；知事は州全体で選出される唯一の役人であり、ほかの役人は知事が指名する。；JR線で唯一、全列車が掲載されている紙の時刻表が存在しない路線である。；現在まで7つのミレニアム懸賞問題のうち唯一解決されている問題である。；唯一の途中駅である神宮丸太町駅には急行以下の種別の列車が停車する。；井の頭線で唯一戦後に開業した駅であり、最も新しい駅でもある。；無論、空母でこのような命令が出されたのはこれが史上唯一である。；エジプトで発見された唯一の断片群の中には紀元前3世紀に遡るものもある。；また、関西大手私鉄の鉄道系旅行業者では唯一の直営での運営であった。</t>
        </is>
      </c>
      <c r="J8523">
        <f>HYPERLINK("https://www.weblio.jp/content/唯一", "词义详情")</f>
        <v/>
      </c>
      <c r="K8523">
        <f>HYPERLINK("https://yourei.jp/唯一", "查看例句")</f>
        <v/>
      </c>
    </row>
    <row r="8524">
      <c r="A8524" t="inlineStr">
        <is>
          <t>由緒</t>
        </is>
      </c>
      <c r="B8524" t="inlineStr">
        <is>
          <t>成功</t>
        </is>
      </c>
      <c r="C8524" t="inlineStr">
        <is>
          <t>読み方：ゆいしょ
１物事の起こり。また、今に至るまでのいきさつ。いわれ。「行事の—をたずねる」
２現在に至るまでのりっぱな歴史。来歴。「—のある古寺」「—正しい美術品」</t>
        </is>
      </c>
      <c r="D8524" t="inlineStr">
        <is>
          <t>由緒ある(34%)；由緒書(9%)；由緒正しい(8%)；由緒ありげ；由緒正しき</t>
        </is>
      </c>
      <c r="E8524" t="inlineStr">
        <is>
          <t>話；歴史；話し；由来；過去</t>
        </is>
      </c>
      <c r="F8524" t="inlineStr">
        <is>
          <t>古い由緒；由緒ある信濃善光寺如来；由緒正しい家柄；由緒ある家柄；由緒ある旧家</t>
        </is>
      </c>
      <c r="H8524" t="n">
        <v>29</v>
      </c>
      <c r="I8524" t="inlineStr">
        <is>
          <t>なぜなら由緒ある名前は資格があるまで使わないと決めていましたから。；由緒は不明ながらも地域全体で子供たちの無事な成長を願うものである。；ここは中世に真田氏が居館を構えていたと言われる由緒のある地である。；元禄11年とされるが、記録が残っていないためその由緒は明確でない。；後に大成経を始めとする由緒の明らかでない書物の出版・販売が禁止された。；もし由緒ある邸宅や名前を言ったら、結婚に何も障害はないでしょう。；法名あるいは神号は南林寺由緒墓にある現在の墓石には記載されていない。；当社の鎮座する地域にはこの由緒にちなむ地域名が現在も残されている。；由緒ある寺院の存在が、1000年を超える歴史を感じさせてくれる。；あなたは由緒ある家に生まれ、生活の苦闘を続け、今は成功している。；名古屋市の史跡に指定され、同寺の境内入ってすぐに由緒書きがある。；墓は現在、南林寺由緒墓にあり、南州寺および月照の墓に近い列にある。；由緒ある家系では「間の名」が支派の名の区別に使われることがある。；由緒ある商店街でありながら、建物の多くが比較的新しいのはこのためである。；ただ日朗上人の御木像があるとか云う、相応に由緒のある寺だそうです。；例祭は年一回、多くは祭神や神社に特別の由緒のある日に行われる。；田舎が好きで、ここからそう遠くないグラントリーに由緒ある邸宅がある。；特に由緒のある日のない場合は、春祭りや秋祭りをもって例祭としている。；あるいは、地名や遺跡伝説にみられるように、その由緒を説明するのも伝説である。；このような由緒が伝わっていたため、厄除けの霊験があるとされた。；エキシビジョンは雑誌同様に由緒があり、趣味の最高峰の展示が行われる。；また、多くの皇族が長期に滞在するなど、由緒のある屋敷として知られた。；したがって、慶寿院の跡地が天皇にとって最も由緒深い所と考えられた。；これは西芳寺や桂離宮の庭などにもあり、歴史が古く由緒正しいものである。；歴史的に由緒があり、記念事業が実施しやすい等の理由で10月28日が選ばれた。；由緒ある椿の家名も、これが暴露されると、泥沼のなかへ落ちてしまう。；その後の『尾張名所図会』では、前述のように由緒の説明がなされている。；母は由緒書などを持っていたがこれは焼失してしまった。；当社の由緒書は初代の息子の2代目宮司が調査編集したものである。</t>
        </is>
      </c>
      <c r="J8524">
        <f>HYPERLINK("https://www.weblio.jp/content/由緒", "词义详情")</f>
        <v/>
      </c>
      <c r="K8524">
        <f>HYPERLINK("https://yourei.jp/由緒", "查看例句")</f>
        <v/>
      </c>
    </row>
    <row r="8525">
      <c r="A8525" t="inlineStr">
        <is>
          <t>優位</t>
        </is>
      </c>
      <c r="B8525" t="inlineStr">
        <is>
          <t>成功</t>
        </is>
      </c>
      <c r="C8525" t="inlineStr">
        <is>
          <t>読み方：ゆうい
［名・形動］位置・地位などが他よりまさること。また、そのさまや、そのもの。「—に立つ」「味方に—な戦局」⇔劣位。</t>
        </is>
      </c>
      <c r="D8525" t="inlineStr">
        <is>
          <t>優位性(22%)；優位点；優位論；優位社会；優位オス</t>
        </is>
      </c>
      <c r="E8525" t="inlineStr">
        <is>
          <t>優勢；優越；優越性</t>
        </is>
      </c>
      <c r="F8525" t="inlineStr">
        <is>
          <t>男性優位；軍事的優位；圧倒的な優位；競争優位；白人優位</t>
        </is>
      </c>
      <c r="H8525" t="n">
        <v>29</v>
      </c>
      <c r="I8525" t="inlineStr">
        <is>
          <t>どのサイトもまだ市場の優位性も批判的なサポートも得ることができていない。；それは親衛隊が国防軍に対して絶対的な優位を確立したことを意味した。；本心からか、それとも議論の場で優位に立つ目的だったかは不明とされる。；同様にイギリスやソ連の大半の戦車にも圧倒的な優位を誇っていた。；パックトスに勝った方がルール上優位になるホームを選択する場合が多い。；オスは単独で生活するか、優位のオスは群れの周囲に縄張りを形成する。；表在感覚が優位に障害されるものは偽性神経根型といわれるものも含まれる。；この様な状況のもと、差別化こそが競争優位を維持する唯一の方法である。；もし、そういう日であれば、彼のチームは相当に優位な立場となる。；特に、当時は南部の方が経済及び人口が北部より優位であった。；連盟は帝国におけるカトリックの優位を守ることを目的としていた。；双方は新技術で優位に立つことを切望し、また相手が先に完成させることを恐れた。；また、交通面で優位となったことで、駅付近への工場進出を促す結果となった。；もう一つの秦の優位は、広大で効率的で 有能な将軍がいたことである。；京都の軍事バランスは大きく変化し、信頼の優位は揺らぐことになる。；一方のロングボウ部隊は上方からの射撃であり、地理上の優位があった。；その結論を不満に思い、独自の研究を重ね「国の競争優位」を出版する。；軽度の左右差がよく認められるがどちらが優位とはいえない。；最初に有効な技術を手に入れることは大きな優位をもたらす。；民主党は州全体と67郡のうち40郡での登録有権者数で優位に立っている。；結果「優位性の科学的根拠は無く規則にも違反していない」との結論だった。；このため繰り返しの再生が求められるメディアは、専らレコードが優位とされていた。；高速バスと比べ、鉄道は大量輸送や定時性確保で優位に立っている。；ところが連邦首相を取り巻く状況でこのような優位性が生じなかった例外がある。；しかし、次第に中国語優位の状況が現在では生まれている。；金融部門の絶対的な優位性を持つことから「金融財閥」とも呼ばれる。；ただし畿内と北九州を別勢力と見た場合、優位性だけで位置を断定できない。；スピード面に関してはJR西日本の新快速が完全に優位に立っている。；もはやドイツ軍が開戦前に持っていた優位性は失われていた。</t>
        </is>
      </c>
      <c r="J8525">
        <f>HYPERLINK("https://www.weblio.jp/content/優位", "词义详情")</f>
        <v/>
      </c>
      <c r="K8525">
        <f>HYPERLINK("https://yourei.jp/優位", "查看例句")</f>
        <v/>
      </c>
    </row>
    <row r="8526">
      <c r="A8526" t="inlineStr">
        <is>
          <t>有意義</t>
        </is>
      </c>
      <c r="B8526" t="inlineStr">
        <is>
          <t>成功</t>
        </is>
      </c>
      <c r="C8526" t="inlineStr">
        <is>
          <t>読み方：ゆういぎ
［名・形動］意義のあること。意味・価値があると考えられること。また、そのさま。「—な話」「一日を—に過ごす」⇔無意義。</t>
        </is>
      </c>
      <c r="D8526" t="inlineStr">
        <is>
          <t>有意義なもの(6%)；有意義な仕事(2%)；有意義な時間；有意義性；有意義な活動</t>
        </is>
      </c>
      <c r="E8526" t="inlineStr">
        <is>
          <t>いい；重要；よい；主要；大事</t>
        </is>
      </c>
      <c r="H8526" t="n">
        <v>29</v>
      </c>
      <c r="I8526" t="inlineStr">
        <is>
          <t>意味がある、有意義な仕事だと思うから学問をやっているわけでしょう。；でも、わざわざ時間を割いてもらっただけの有意義な経験ができますよ。；これはあの講義の事実的内容よりもはるかに有意義なことであったと思う。；その土地その土地の人々の関わりの中で有意義な毎日でありたいとも思う。；トフラーの著作は科学や経済や社会秩序の限界を超えて有意義であった。；今年一年の小説の仕事はいろいろ大変有意義であったと思います。；それよりは、お互いの単位がどれだけ違うのかを把握するほうが有意義だ。；その希望と力を得るために、イエスの教えを学ぶことは実に有意義である。；社会のために有意義な存在であろうと努力してきたつもりです。；こうなるとわかっていたら、もっと有意義に時間を使っていたのに。；一日でも長くこの細胞の生命を延ばし、そして有意義なデータを出すのだ。；これなら、家で古いアメリカ映画を観ていた方が有意義だったと思う。；その特性はある理論の中では有意義を成り立たせるように説明するのが難しい。；わたくしとしても、今日のインタビューはとても有意義なものになりましたわ。；店の人間にふたりのことを訊いても有意義な答えは返ってこない。；花鳥風月は苦痛なる人間生活の上にはじめて有意義に存在しているものである。；いずれを選んだにせよ、今よりは有意義で健康的な人間になれたであろうと思った。；彼は今でも支持されている有意義ないくつかの発見をした。；残り僅かの人生だと覚悟し、これを有意義に使おうと考えるようになったのだ。；わたしが待っているのは、なにかを引き出すことができる有意義な事実です。；個人的にいい刺激になることが多く、とても有意義な仕事だったと思います。；このへんの時間を朝に回せたら一日はもっと有意義になると思ってやまないぜ。；事件のことは忘れ、夏休みにどうするかを考える方が有意義だろう。；もっと別の、有意義な仕事をやってもらうとサロンの社長は言った。；自分たちの人生にも、少しくらい有意義な意味があるのだと思えるようになるために。；そして知識や情報の交換が有意義だということも認めてはいた。；予定が狂ったのは残念だが、今日の外出はかなり有意義なものだったと思う。；お前に付き合うよりは、相棒をからかって過ごしたほうがまだ有意義だ。；有意義で急速な復興のためには、どんな人間が生き残るべきだろうか?</t>
        </is>
      </c>
      <c r="J8526">
        <f>HYPERLINK("https://www.weblio.jp/content/有意義", "词义详情")</f>
        <v/>
      </c>
      <c r="K8526">
        <f>HYPERLINK("https://yourei.jp/有意義", "查看例句")</f>
        <v/>
      </c>
    </row>
    <row r="8527">
      <c r="A8527" t="inlineStr">
        <is>
          <t>憂うつ</t>
        </is>
      </c>
      <c r="B8527" t="inlineStr">
        <is>
          <t>成功</t>
        </is>
      </c>
      <c r="C8527" t="inlineStr">
        <is>
          <t>読み方：ゆううつ
［名・形動］
１気持ちがふさいで、晴れないこと。また、そのさま。「—な顔」「責任が重くて—になる」「—な雨空が続く」
２草木が暗くなるほどに茂ること。また、そのさま。
「この樹だけは—な暗緑の葉色をあらためなかった」〈有島・カインの末裔〉
[派生]ゆううつさ［名］</t>
        </is>
      </c>
      <c r="D8527" t="inlineStr">
        <is>
          <t>憂うつそう(12%)；憂うつ症(4%)；憂うつな気分(4%)；憂うつな顔(2%)；憂うつな気持ち(2%)</t>
        </is>
      </c>
      <c r="E8527" t="inlineStr">
        <is>
          <t>暗い；重い；陰気；憂鬱；重苦しい</t>
        </is>
      </c>
      <c r="H8527" t="n">
        <v>29</v>
      </c>
      <c r="I8527" t="inlineStr">
        <is>
          <t>いつまでこのような状態がつづくのかわからないだけに憂ウツであった。；横浜馬車道の映画館を出た時の、憂うつな気分は今もはっきり覚えている。；かれの気分もシルクのそれに負けず劣らず憂うつなものになってきた。；会社に行きたくない憂うつな朝、電車の中ででも読んでみて下さい。；セ・ネドラはこの不思議な、憂うつな目をした人物がよくわからなかった。；彼女の瞳には憂うつな表情が浮かび、その視線は石のように固かった。；それは先がわからないための不安から来る憂うつさだった。；名古屋まで行かねばならないと思うと朝から憂うつである。；そしてそんな姿を香澄に見られたことに、少なからず憂うつになっていた。；いっぽうわたしは、わたしの食事が消えていくのを憂うつな思いで眺めていた。；若者は一瞬顔を輝かせたが、また憂うつな表清に戻ってしまった。；そして憂うつでなくなってからは、それまでのことをしきりに詫びました。；怪我をしたレルドリンを後に残してきたことが、みんなを憂うつな気分にさせていた。；彼女にこんな人の相手をさせておくのは何とも憂うつでした。；しかし、今度のそれは穏やかに拡がっていく憂うつの形でやってきた。；しかし、夜が明けようというのに、過去の話をするのは憂うつだね。；しかしその微笑は、その細い黒い目の憂うつそうな色を晴ればれとはさせなかった。；彼女はしあわせではなく、声はやさしさの中にどこか憂うつな響きが感じられた。；ふたりの若者は憂うつな顔をしたが、何も言わなかった。；憂うつ症のほうはきれいに治ったが、他の病気はみな残っていた。；リュカは廊下の窓に肱をついて、憂うつそうに庭をながめていた。；儀式と退屈な会議にあけくれる一日を考えるだけでかれの心はすっかり憂うつになった。；そして彼はその崇拝をうけるのに、一種の憂うつな重々しい態度をみせた。；時々彼は自分自身に話しかけ、半ば口の中で憂うつな独白をもらした。；次弟からああ言われても、やはり憂うつな気持ちだった。；だが、そのたびにいつも失敗を重ねたために、おそらく今日のような憂うつな状態が生じたのであろう。；それをあの男は 卵でもかえすように、憂うつな面持ちでじっと抱いているのだ。；また、自分の子供のEI試験結果を見て憂うつになったり、虐待する人もいる。；しまいには、夫人さえそれと気づくほど彼の憂うつはひどくなった。</t>
        </is>
      </c>
      <c r="J8527">
        <f>HYPERLINK("https://www.weblio.jp/content/憂うつ", "词义详情")</f>
        <v/>
      </c>
      <c r="K8527">
        <f>HYPERLINK("https://yourei.jp/憂うつ", "查看例句")</f>
        <v/>
      </c>
    </row>
    <row r="8528">
      <c r="A8528" t="inlineStr">
        <is>
          <t>有益</t>
        </is>
      </c>
      <c r="B8528" t="inlineStr">
        <is>
          <t>成功</t>
        </is>
      </c>
      <c r="C8528" t="inlineStr">
        <is>
          <t>読み方：ゆうえき
［名・形動］利益があること。ためになること。また、そのさま。「—なアドバイス」「夏休みを—に使う」⇔無益。</t>
        </is>
      </c>
      <c r="D8528" t="inlineStr">
        <is>
          <t>有益である(13%)；有益な情報(5%)；有益なもの(5%)；有益なる(2%)；有益性(2%)</t>
        </is>
      </c>
      <c r="E8528" t="inlineStr">
        <is>
          <t>いい；得；よい；為；便</t>
        </is>
      </c>
      <c r="F8528" t="inlineStr">
        <is>
          <t>有益なる資料；有益なアドバイス；有益な教訓；有益な忠告；有益なヒント</t>
        </is>
      </c>
      <c r="H8528" t="n">
        <v>29</v>
      </c>
      <c r="I8528" t="inlineStr">
        <is>
          <t>しかし私の過去はあなたに取ってそれほど有益でないかも知れませんよ。；例では有益なツールとされるものにウイルスが含まれていたことがある。；食肉畜産業の影響の中には一部環境的に有益だと考えられるものもある。；後に事業を売却し、銀行業および他の有益な事業に集中することにした。；そういうことのためにいろいろな有益な事業が放棄されたままになっている。；その問題を解明することよりも一そう有益な目的を持っているからである。；新しい役割を任せられたことでクラブにとってより有益な存在になった。；つまり遍歴を一そう有益な得るところの多いものにしようとしたのであった。；道徳的なのは、我々の社会に有益なことよりも先を考えることである。；その用語法は他で使われているものと同じではないが、その分類は有益である。；一番有益な金属が一番後に発見されて、それで人間の事業は非常に進んだのだ。；量の格率は話の内容がいかに有益なものであるのかということである。；その他の問題については単に会談が有益であったと述べたに過ぎなかった。；より有益なのは自分で出版者を所有してレコードを生産することだと気付いた。；点と直線の間の最短距離を知ることは様々な場面において有益である。；この地域は引き続き、商業が上手く行き新しい支配者には有益であった。；実際には、その企業は環境に有益な活動をほとんど行っていないかもしれない。；彼には私の人生の中で最も有益であった最初の感動に恩義がある。；これを観て中山がどうして将来に渡って有益な存在であると言えるでしょうか。；構造政策改革の主な目的は資金の活用法をより有益的なものにすることである。；一は有益なる植物なるゆえにこれを喜び、一は邪魔になるゆえにこれを嫌う。；つまり多元的無知は集団の長期的に有益な行動の妨げとなる要因となる。；最も予想できない方法で、そうした基準が異なることを知ることは有益である。；苦しくないものは有益でないと考え、楽にできることは信用しないのである。；彼はこの二時間を最も有益に利用するつもりで、じっとしたまま坐っていた。；りんなのような雑談系のAIは企業にとっても有益だとする意見もある。；一方においては統計的にいわゆる第二次原因の分析を試むるも有益なり。；まったく、我々に愉快なことが必ずしも我々のために有益ではないのである。；したがって彼の仕事でどの領域が最も有益か短く説明することで満足しなければならない。</t>
        </is>
      </c>
      <c r="J8528">
        <f>HYPERLINK("https://www.weblio.jp/content/有益", "词义详情")</f>
        <v/>
      </c>
      <c r="K8528">
        <f>HYPERLINK("https://yourei.jp/有益", "查看例句")</f>
        <v/>
      </c>
    </row>
    <row r="8529">
      <c r="A8529" t="inlineStr">
        <is>
          <t>優越</t>
        </is>
      </c>
      <c r="B8529" t="inlineStr">
        <is>
          <t>成功</t>
        </is>
      </c>
      <c r="C8529" t="inlineStr">
        <is>
          <t>読み方：ゆうえつ
［名］(スル)他よりすぐれていること。他より大きな権限を持つこと。「実力の上では他より—したチーム」「衆院は参院に—する」</t>
        </is>
      </c>
      <c r="D8529" t="inlineStr">
        <is>
          <t>優越性(18%)；優越感(10%)；優越する(10%)；優越的(4%)；優越権</t>
        </is>
      </c>
      <c r="E8529" t="inlineStr">
        <is>
          <t>超える；光る；越える；上回る；優勢</t>
        </is>
      </c>
      <c r="F8529" t="inlineStr">
        <is>
          <t>衆議院優越；知的優越；相対的優越；白人優越；ひそかな優越</t>
        </is>
      </c>
      <c r="G8529" t="inlineStr">
        <is>
          <t>優越的地位；優越的；優越的地位の濫用；優越主義；優越思想</t>
        </is>
      </c>
      <c r="H8529" t="n">
        <v>29</v>
      </c>
      <c r="I8529" t="inlineStr">
        <is>
          <t>現在でも、フランスでは標準フランス語を優越させる政策が続いている。；それほどまでにしても彼に会いに来る女に、男の優越もかきたてられた。；なるほど一つの点では、それはなお引続き大きな優越点を有つであろう。；他の人々は還元性に於ては軍人であるが優越性に於ては軍人ではない。；ジュリヤンは財産によって完全な優越者の地位を手にいれたわけである。；ほんとに自信のある者は自分の優越を示さうなどとはしないであらう。；しかし彼は優越的な表情を見せ、私の冷たい態度を非難しようとする。；男の言葉に、自分がブスに生まれてこなかった優越と安堵を感じていた。；それは庇護者である医者の優越などではなく、もっと間近な何かだった。；これを先例としてのちに教皇は皇帝よりも優越的な地位にあるとされた。；どれかの理念が他に優越して他を自己の下に系列化してはならない。；その優越性は、他の連中にはエドモンがかくしおおせていたものである。；私は、ジムがいま、個人的優越感に影響されてはならないと思ったのだ。；死を急がせたのは、崩壊した優越意識の廃墟を覆った恐怖と絶望である。；蓋し我々の規定したところでは、歴史的意識は優越な意味のものであつた。；それはその人の健康のもつ優越さ、を意味するのでありましょうか?；ほんとに自信のある者は自分の優越を示そうなどとはしないであろう。；俺は次第に此優越感を超越するやうに自分を養つて行かなければならない。；こうした状況は、17世紀にエクイティの優越が確立された後も続いた。；姉が私に向ける笑いには、いつも、この見下したような優越感があった。；佐智は彼が自分よりかなり幼ないのを知って、かすかな優越感に浸った。；伸ちゃんの自尊心を傷つけてまでも自分の優越を誇ろうとしたのである。；さういふ風に空想で将来を見てゐるといふことの上に一種の優越さへ感じてゐる。；柳田さんに言うことは出来ないが、私は私でひそかな優越を感じているのだ。；過程はアリストテレスにあっては存在の優越なる現在性を示す他の表現である。；そこで彼らが優越を示そうと志すと、東京を否定せずに日本を否定します。；それらの行為の中でも我々は依然として動物に対する優越を保っている。；之に反して優越性を持つもの必ずしも構成性を有つとは限らない。；あいつは自分の優越した教育をひけらかしているのだ、と連中は思うだろう。</t>
        </is>
      </c>
      <c r="J8529">
        <f>HYPERLINK("https://www.weblio.jp/content/優越", "词义详情")</f>
        <v/>
      </c>
      <c r="K8529">
        <f>HYPERLINK("https://yourei.jp/優越", "查看例句")</f>
        <v/>
      </c>
    </row>
    <row r="8530">
      <c r="A8530" t="inlineStr">
        <is>
          <t>遊園地</t>
        </is>
      </c>
      <c r="B8530" t="inlineStr">
        <is>
          <t>成功</t>
        </is>
      </c>
      <c r="C8530" t="inlineStr">
        <is>
          <t>読み方：ゆうえんち
楽しく遊べるように、いろいろな遊具や設備を備えた施設。
[補説]日本では、明治44年（1911）開園の宝塚新温泉（後の宝塚ファミリーランド）が最初とされる。</t>
        </is>
      </c>
      <c r="D8530" t="inlineStr">
        <is>
          <t>遊園地エリア；遊園地ゾーン</t>
        </is>
      </c>
      <c r="E8530" t="inlineStr">
        <is>
          <t>公園；テーマパーク；アミューズメントパーク；遊園施設</t>
        </is>
      </c>
      <c r="F8530" t="inlineStr">
        <is>
          <t>屋内遊園地；経営する遊園地；プラーター遊園地；にも遊園地；動物園や遊園地</t>
        </is>
      </c>
      <c r="H8530" t="n">
        <v>29</v>
      </c>
      <c r="I8530" t="inlineStr">
        <is>
          <t>かつては駅周辺に遊園地が存在していたが、現在は住宅地になっている。；現在まで営業し続けている日本の遊園地の中では最も古い歴史を持つ。；遊園地によく設置されているが、大きなフェアに設置されることもある。；内容はどれもローラーコースターを中心とした遊園地経営ゲームである。；その人の良さそうな頭は郊外の遊園地経営者といってもいいくらい。；遊園地は、建築者の好みに応じてさまざまなデザインを取り入れています。；閉鎖後に遊園地の遊具類は撤去されたが、ホテルの建物は残っていた。；市内には500件以上のカフェのほか、博物館・遊園地・映画館もある。；この遊園地は前年にオープン予定だったが計画が中止となり放置されていた。；丘陵地や周囲一帯は現在公園となっており、遊園地が整備されている。；その後、遊園地の守衛などを務めたというが、晩年の消息は不明である。；魚津総合公園の中の施設のひとつで、富山県内では唯一の遊園地である。；海へ行きたい、山へ行きたい、遊園地へ行きたいと様々な意見が飛び出す。；当初は建設予定のホテルと遊園地を結ぶ予定であったが、ホテルの建設は中止となった。；遊園地・博物館・大学などで狭小な地域を対象とするエリア放送も行われた。；葵が福引で特賞を当て遊園地に行くことになった公式新聞部のメンバー。；駅は1つのみで、輸送用でなく遊園地内の遊戯施設としての扱いであった。；大勢の行楽客で沸く巨大遊園地で捜査陣の見守る中、金は犯人の手に渡る。；過去には東京の七大私鉄すべてが、遊園地を所有していたという。；したのをきっかけに、遊園地向けとして小型蒸気機関車の製造を再開した。；なお、民間設置・運営の遊園地であったが、官の出資を受けていた。；プール・遊園地の乗り物では、多くの場合に最低身長が定められている。；また、再生遊具を用いて、経営難に陥った遊園地の再生にも乗り出した。；どちらかといえば、家族連れや小さな子供向けの遊園地である。；周囲には虎尾山遊園地が整備され、橋やトイレなどの設備があった。；宝塚歌劇団と同じく鉄道会社の支援のもと遊園地を本拠地にすることとなる。；池の西側の方に遊園地が作られていたことがある。；遊園地の怪獣ショーに紛れ込んでいた時にトオルと出会い、友達になる。；夢の世界で少女を助けてくれたのは、遊園地でロボットの着ぐるみを着て働いていた青年だった。</t>
        </is>
      </c>
      <c r="J8530">
        <f>HYPERLINK("https://www.weblio.jp/content/遊園地", "词义详情")</f>
        <v/>
      </c>
      <c r="K8530">
        <f>HYPERLINK("https://yourei.jp/遊園地", "查看例句")</f>
        <v/>
      </c>
    </row>
    <row r="8531">
      <c r="A8531" t="inlineStr">
        <is>
          <t>誘拐</t>
        </is>
      </c>
      <c r="B8531" t="inlineStr">
        <is>
          <t>成功</t>
        </is>
      </c>
      <c r="C8531" t="inlineStr">
        <is>
          <t>読み方：ゆうかい
［名］(スル)だまして、人を連れ去ること。かどわかし。「幼児を—する」「営利—」→略取誘拐罪</t>
        </is>
      </c>
      <c r="D8531" t="inlineStr">
        <is>
          <t>誘拐される(4%)；誘拐者；誘拐殺人事件；誘拐しよ；誘拐犯人</t>
        </is>
      </c>
      <c r="E8531" t="inlineStr">
        <is>
          <t>拉致；連れ去る；略取；攫う；かどわかす</t>
        </is>
      </c>
      <c r="F8531" t="inlineStr">
        <is>
          <t>狂言誘拐；連続誘拐；女性誘拐；幼児誘拐；身代金誘拐</t>
        </is>
      </c>
      <c r="G8531" t="inlineStr">
        <is>
          <t>誘拐犯；誘拐罪；誘拐婚；誘拐報道；誘拐保険</t>
        </is>
      </c>
      <c r="H8531" t="n">
        <v>29</v>
      </c>
      <c r="I8531" t="inlineStr">
        <is>
          <t>彼らは著名な地元の市民のマティアス・コントレラスの息子を誘拐した。；武装勢力はこの地で、誘拐した外国人の殺害を繰り返したとされている。；これをヒントにして豚のマスクを用いた誘拐方法を用いるようになった。；しかし、トマト姫は国王軍の兵士に誘拐され、城に幽閉されてしまった。；彼が家族と海を渡っていたところ、船長はエウスタキウスの妻を誘拐した。；そしてその事実を知ったその日にユイが組織によって誘拐されてしまった。；犠牲者は4人の妻と、両親の下から誘拐された若い少年少女たちである。；また、誘拐した子供を育てた親への罰則を含めた新法を検討中である。；警察は、これが単なる身代金目的の誘拐ではないことを直ちに察知した。；新潟市に住んでいたデザイナーの女性が誘拐され、殺害された事件である。；妻と娘を別々の犯人に、同時多発的に誘拐されてしまった主人公の男。；また子供好きでもあり、誘拐された子供の面倒を良く見ていた。；より有利な扱いを受けることを期待して、自国へ子供を誘拐して行く親もいる。；すでにその国の軍隊に入っている場合でも誘拐は行われた。；政府発表によると誘拐や脅迫によって戦闘員を確保していたとのこと。；ある事件を調べていたために誘拐されてしまったのだ。；ジョーンズはその似顔絵の男が自分と娘を誘拐しようとした犯人であると認めた。；すべての種類の「誘拐された母音」が記号化されているわけではない。；そのため、司を誘拐して小町と無理矢理結婚させようとしていたのだ。；ある日ルピタはピアノ教室を出た所で男たちに誘拐され車に乗せられてしまう。；しかし、浜路が網乾左母二郎に誘拐され、激怒した簸上らに殺戮された。；誘拐した子供を毒手の使い手にし、暗殺者や用心棒にさせることが有名。；ウィンストン・チャーチルを一時的に誘拐したことでも知られている。；誘拐された人を解放させる場合に差し出される場合の言葉として多く使用される。；京玉は同年3月26日にも少女を誘拐、飲食店へ20円で売却していた。；本事件を教訓に、隣接する複数県警が合同で誘拐訓練を行うようになった。；テリーと一緒に脱出したが、またしても誘拐されそうになりテリーと逃走。；この遺体は後に数週間前に誘拐されて殺害された10代の女性のものであると特定された。；この頃から彼は女性を誘拐して強姦殺人を繰り返すようになった。</t>
        </is>
      </c>
      <c r="J8531">
        <f>HYPERLINK("https://www.weblio.jp/content/誘拐", "词义详情")</f>
        <v/>
      </c>
      <c r="K8531">
        <f>HYPERLINK("https://yourei.jp/誘拐", "查看例句")</f>
        <v/>
      </c>
    </row>
    <row r="8532">
      <c r="A8532" t="inlineStr">
        <is>
          <t>夕方</t>
        </is>
      </c>
      <c r="B8532" t="inlineStr">
        <is>
          <t>成功</t>
        </is>
      </c>
      <c r="C8532" t="inlineStr">
        <is>
          <t>読み方：ゆうがた
《「ゆうかた」とも》日の暮れがた。日の沈むころ。
[補説]気象庁の天気予報等では、15時頃から18時頃までを指す。→夜</t>
        </is>
      </c>
      <c r="D8532" t="inlineStr">
        <is>
          <t>夕方近く；夕方以降；夕方五；夕方六時；夕方頃</t>
        </is>
      </c>
      <c r="E8532" t="inlineStr">
        <is>
          <t>晩；暮れ；夕；夕刻；夕暮れ</t>
        </is>
      </c>
      <c r="F8532" t="inlineStr">
        <is>
          <t>同日夕方；土曜夕方；毎日夕方；日曜夕方；夕方ちかく</t>
        </is>
      </c>
      <c r="G8532" t="inlineStr">
        <is>
          <t>夕方の情報番組；夕方いちばん；夕方ワイド新潟一番；夕方のローカルワイド番組；夕方いちばんnews</t>
        </is>
      </c>
      <c r="H8532" t="n">
        <v>29</v>
      </c>
      <c r="I8532" t="inlineStr">
        <is>
          <t>もう一つは上記の昼から朝と夕方を区別し、残りの時間を指す場合である。；しかし、夕方までに攻撃位置につけたのは僅か中央隊の一部だけであった。；夕方の帯ニュースの時刻はほぼ1年前の状態へ復帰することになった。；またそれ以外の時期でも、朝か夕方のごく短い時間しか観測できない。；平日夕方の下り方向では運行されず、後述する通勤快速が代わりとなる。；特に土休日ダイヤの夕方は日中とほぼ同じダイヤを組んでいることが多い。；この言葉は1775年4月7日の夕方にジョンソンが述べたものである。；北海道では初の本格的な夕方の大型報道ワイドショーを展開した。；放送日当日の昼か夕方に収録が行われ、編集作業を終えた後に放送されていた。；当駅を始発・終点とする電車が朝と夕方ラッシュ時以降に設定されている。；主に夕方から夜間に特急列車の通過待ちを行う列車が中線を使用している。；だが遅れネットで放送された地域では、夕方に放送する局もあった。；オーストラリアのソープ・オペラ番組の多くは夕方または夜に放送されている。；この日は夕方から深夜まで子供と遊びながら画を描いた。；現代の日本では、午後あるいは夕方から深夜12時前後までの営業が一般的。；この事件の処理のため、藩主池田慶徳の翌日の参内は夕方にずれ込んだ。；三原駅側では朝と夕方以降の列車が山陽本線の糸崎駅に乗り入れている。；最初の10日間は朝に見られたが残りは夕方に見られるようになったとも書かれている。；歩き遍路は朝早くに出て、夕方までには宿に着くのが基本である。；朝・夕方の一部列車は草津駅まで延長運転されるようになった。；この大川支線は運行本数が非常に少なく、朝と夕方しか運行されていない。；北海学園大学には夜間部もあるために夕方 - 夜も学生の往来が多い。；また、朝の下り方面と夕方以降は快速「ラビット」 も運転されている。；純粋な酒石酸エルゴタミンは夕方から夜間の発症に非常に効果的である。；番組は原則として放送当日の土曜日の夕方以降に完パケ収録していた。；朝ラッシュ時・夕方・夜には当駅発着の急行・準急・普通が設定されている。；週後半や週末を中心に、昼・夕方・深夜の報道番組を長期間担当していた。；他国は靴文化の歴史が長いため、靴を夕方に購入する習慣はない。；夕方の学校で、少年がトイレで用を済ませ、拭こうとすると紙が無かった。</t>
        </is>
      </c>
      <c r="J8532">
        <f>HYPERLINK("https://www.weblio.jp/content/夕方", "词义详情")</f>
        <v/>
      </c>
      <c r="K8532">
        <f>HYPERLINK("https://yourei.jp/夕方", "查看例句")</f>
        <v/>
      </c>
    </row>
    <row r="8533">
      <c r="A8533" t="inlineStr">
        <is>
          <t>夕刊</t>
        </is>
      </c>
      <c r="B8533" t="inlineStr">
        <is>
          <t>成功</t>
        </is>
      </c>
      <c r="C8533" t="inlineStr">
        <is>
          <t>読み方：ゆうかん
日刊新聞で、夕方に発行される新聞。⇔朝刊。</t>
        </is>
      </c>
      <c r="D8533" t="inlineStr">
        <is>
          <t>夕刊売り；夕刊各紙；夕刊発行；夕刊セット；夕刊記事</t>
        </is>
      </c>
      <c r="F8533" t="inlineStr">
        <is>
          <t>朝夕刊；付夕刊；読売新聞夕刊；毎日新聞夕刊；版夕刊</t>
        </is>
      </c>
      <c r="G8533" t="inlineStr">
        <is>
          <t>夕刊フジ；夕刊新聞；夕刊読売；夕刊デイリー；夕刊フクニチ</t>
        </is>
      </c>
      <c r="H8533" t="n">
        <v>29</v>
      </c>
      <c r="I8533" t="inlineStr">
        <is>
          <t>朝日新聞は特別委のあった日の十一日の夕刊で次のように解説している。；夕刊によれば香港の英兵は西部の山に立てこもってまだ陥落していない。；彼は、それでも、あわててその夕刊を手にとるようなことはしなかった。；彼は、それでも、あわててその夕刊を手にとるやうなことはしなかつた。；加藤が何をした、奴はその折夕刊を読んで知らん顔をしてたぢやないか。；見ると私が書いた昨日の夕刊記事の全部に、毒々しい赤線が引いてある。；と、その脳裏にさっきまで読んでいた夕刊の記事が浮かび上がってきた。；けれども、その日の夕刊には、反対に、傷が化膿しだしたと報道された。；クバン方面のケルムイクからこの頃撤退したとのこと、夕刊に出ている。；なお大阪本社版は引き続き朝夕刊セットでの発行を京阪神地区で行っている。；汽車が動き出してから気が付くと私の傍に東京の夕刊が二枚落ちている。；そうして外に出ると、重なる新聞の夕刊をすっかり買い込んで帰って来た。；彼はカツレツをゆっくり噛み返しつつ、その夕刊へぼんやり眼を転じた。；けふは誰も連がなく寂しく食事したが、夕刊で日本大地震の記事を読んだ。；今日の朝刊、あるいは夕刊に出た事件を、すぐに作って投稿してもらう。；変なところに夕刊売りが出ているものだなと思いながらその方へ近づいていった。；それで食後にこの夕刊の記事を読んだ時に、なんとなしに変な気持ちがした。；夕刊に出るまで辛抱しなければならぬかと思うと、耐らない気がした。；この頃は時々夕刊を夕方に配達せず、翌朝一緒に持って来るようになった。；夕刊を読んでいると、映画欄の下段に、キッピイの店の広告がでていた。；家で心配しているから戻ろうと思うが、とにかくもう夕刊が出るに間もない。；何年も前には、市ヶ谷へまわったという記事を夕刊で見て教えられた。；夕食後コタツをテーブルの下に入れ、九時まで仕事、七時まで夕刊を読む。；混んだ国電の中では、夕刊をコートのポケットにつっこんだままである。；夕刊に穴をあけた憶えがない以上、これは緻密に仕組まれた罠であった。；通知は貰わなくても、夕刊の記事を見た上は黙っている訳には行かなかった。；減頁と夕刊廃止でこうした情報は、ほとんど流されていなかったからだ。；こういうときには何か言うより、黙って夕刊でも見ているにかぎる。；火鉢のそばに置かれた夕刊に眼をとめると、農業雑誌の広告が眼にとまつた。</t>
        </is>
      </c>
      <c r="J8533">
        <f>HYPERLINK("https://www.weblio.jp/content/夕刊", "词义详情")</f>
        <v/>
      </c>
      <c r="K8533">
        <f>HYPERLINK("https://yourei.jp/夕刊", "查看例句")</f>
        <v/>
      </c>
    </row>
    <row r="8534">
      <c r="A8534" t="inlineStr">
        <is>
          <t>勇敢</t>
        </is>
      </c>
      <c r="B8534" t="inlineStr">
        <is>
          <t>成功</t>
        </is>
      </c>
      <c r="C8534" t="inlineStr">
        <is>
          <t>読み方：ゆうかん
［名・形動］勇気があり、危険や困難を恐れないこと。また、そのさま。「巨悪に—にも立ち向かう」「—な行動」
[派生]ゆうかんさ［名］</t>
        </is>
      </c>
      <c r="D8534" t="inlineStr">
        <is>
          <t>勇敢な行；勇敢な戦士；勇敢な行為；勇敢公；勇敢かつ</t>
        </is>
      </c>
      <c r="E8534" t="inlineStr">
        <is>
          <t>必死；大胆；堂々たる；不敵；壮絶</t>
        </is>
      </c>
      <c r="F8534" t="inlineStr">
        <is>
          <t>もっとも勇敢；ミハイ勇敢；いかに勇敢；とても勇敢；なかなか勇敢</t>
        </is>
      </c>
      <c r="H8534" t="n">
        <v>29</v>
      </c>
      <c r="I8534" t="inlineStr">
        <is>
          <t>将軍は、この勇敢な愛国者の名前をお聞きになったことはありませんか?；敵味方なく行われた救済の逸話は勇敢な岩の姿を次のように伝えている。；この理由は不明なままであり、その勇敢さへの賛辞だった可能性がある。；傭兵のなかには、こんなに勇敢なのは、あまり多くはいないものなのだ。；勇敢な二人は、それを聞くと、矢のように門のそとへ駈け出して行った。；しかし他部落の者が襲撃して来た時などには勇敢に戦争をいたします。；あなたはむかし勇敢な乗り手だったけど、慎重に始めた方がいいですよ。；もし勇敢に行動しなかったら、長いこと待たねばならなかったでしょう。；彼らは愛国的で勇敢であったが、全く統制のとれていない軍隊であった。；これ以上のことを勇敢な婦人たちに要求することはできなかった。；しかし、日本の海難救助員が勇敢なことは世界じゅうに知られています。；その勇敢で任務に忠実な行動は後の幾つかの証言でも言われていた。；この勇敢な探検隊をよく見ようとして群集は自動車の周囲へ寄って来た。；彼女は生きるために戦う女性、もの静かに耐え忍ぶ勇敢な女英雄だった。；この話に、ある勇敢な軍人が深く心を動かされ、彼女に結婚を申しこんだ。；しかしこの勇敢な一隊のなかには誰一人ゆっくり歩こうとするものはいなかった。；彼等は勇敢な者達で、屡々彼等の危険な場所に長くいすぎて命を失う。；あれはすこし妙な男ではあるが、そんな勇敢な仕事の出来るほどの人物じゃない。；数こそ少なかったが、若い勇敢なものばかりで、相手より精鋭であった。；特別に勇敢な人間ではない自覚があったし、目の前の状況は普通ではなかった。；この勇敢な愛犬家の顔を確かめて、一とこと口がききたかったのである。；このことを知った同級生のコウジ君は勇敢にも一人で屋敷に向かった。；あなたは、ご自分を勇敢な人間だと思われますかな、ミスター・ソロ?；ジローとはまた別の意味で、チャクラは勇敢な男といえたからである。；また、赤は国民の勇敢さを、縁取りの青は平和を、それぞれ意味している。；お父さまも立派で勇敢な貴族ですが、あなたもその血を受け継いでいるようね。；しかしこの勇敢な狩人たちは、そうむざむざとわしを逃しはしなかった。；王がチャールへの反攻作戦のために、勇敢な者を集めているというのだ。；いざというときに、最も勇敢な男よりさらに勇敢な女を見たことがある。</t>
        </is>
      </c>
      <c r="J8534">
        <f>HYPERLINK("https://www.weblio.jp/content/勇敢", "词义详情")</f>
        <v/>
      </c>
      <c r="K8534">
        <f>HYPERLINK("https://yourei.jp/勇敢", "查看例句")</f>
        <v/>
      </c>
    </row>
    <row r="8535">
      <c r="A8535" t="inlineStr">
        <is>
          <t>勇気</t>
        </is>
      </c>
      <c r="B8535" t="inlineStr">
        <is>
          <t>成功</t>
        </is>
      </c>
      <c r="C8535" t="inlineStr">
        <is>
          <t>読み方：ゆうき
いさましい意気。困難や危険を恐れない心。「—がわく」「—を出す」「—凜々(りんりん)」</t>
        </is>
      </c>
      <c r="D8535" t="inlineStr">
        <is>
          <t>勇気をふるい；勇気付け；勇気を出さ；勇気凜々；勇気をもた</t>
        </is>
      </c>
      <c r="E8535" t="inlineStr">
        <is>
          <t>腹；向かい；勇；大胆；チャレンジ</t>
        </is>
      </c>
      <c r="F8535" t="inlineStr">
        <is>
          <t>新しい勇気；勇気をとり直す；勇気リンリン；勇気を持ちあわ；勇気を揮い起こし</t>
        </is>
      </c>
      <c r="G8535" t="inlineStr">
        <is>
          <t>勇気づける；勇気のチカラ；勇気百倍；勇気をだして；勇気があれば</t>
        </is>
      </c>
      <c r="H8535" t="n">
        <v>29</v>
      </c>
      <c r="I8535" t="inlineStr">
        <is>
          <t>やられてもやられても立ち上がって大きなものに立ち向かっていく勇気。；また現地の人に勧められても、タルバガンを食べない勇気も必要である。；これはこの地域の豊富な鉱物資源によって勇気付けられたこともあった。；両手首にエネルギーボールが7個ずつあり、勇気と力の源とされている。；自然を相手に創造的な勇気ある行動をした人、または団体に贈呈される。；その勇気ある行動には多くの共感の声が寄せられたが2000年に破局。；逆に子の側には、仲間を助ける際の瞬間的な判断と勇気が求められる。；盾を支えているクロヒョウはアフリカ人の勇気と慎重さを象徴している。；中学2年の時にラジオから流れてくる音楽に励まされ勇気をもらっていた。；部下将兵もコンドラチェンコの姿に勇気付けられ、必死になって戦った。；勇気と路夏の出会い方から原作とは異なり、独自の展開となっている。；今野はこれで生きていく勇気が少し出たと言いながら去っていく。；読者に日々の仕事のための勇気と強さを与えなくてはならない。；自身の安全を確保した後、勇気を持って積極的に対処する必要がある。；ベネディクトはベアトリスに彼の愛を宣言するために勇気を奮い起こす。；これに勇気付けられた仁宗は徹底抗戦の構えを固めたと言われている。；この功により上卿に任ぜられ、勇気のあることで諸侯の間で有名となる。；死ぬことより生きることは勇気がいるし、生きていくことが大切なことと歌っている。；日本統治での恐怖と凶暴さ、我々の祖先の苦痛と勇気を、記録しています。；心の中にあるいのちの星に勇気や元気が湧いて来るからとのこと。；勇気を出した友達のおかげで、私も勇気を出すようになった。；実現象としての奇跡を司り、それをもって英雄に勇気を授けるとされる。；卓絶した勇気、それこそ騎士が人々の上に立つ者として選ばれた理由である。；近年の極圏歴史家達はアムンセン隊の技術や勇気を十分に認めている。；これを見て勇気を得たアテナイ艦隊は打って出て反撃を開始した。；後に鈴子は、この西成高の生徒たちから歩く勇気を与えられたと語っている。；彼等の勇気を称えるためにチャプルテペク公園には記念碑が建てられている。；多くの学生、学徒動員で出征する学生にも、生きる意義と勇気を与えた。；同時に彼は同時代に生きる人々に新しい勇気と希望を与えた。</t>
        </is>
      </c>
      <c r="J8535">
        <f>HYPERLINK("https://www.weblio.jp/content/勇気", "词义详情")</f>
        <v/>
      </c>
      <c r="K8535">
        <f>HYPERLINK("https://yourei.jp/勇気", "查看例句")</f>
        <v/>
      </c>
    </row>
    <row r="8536">
      <c r="A8536" t="inlineStr">
        <is>
          <t>有機</t>
        </is>
      </c>
      <c r="B8536" t="inlineStr">
        <is>
          <t>成功</t>
        </is>
      </c>
      <c r="C8536" t="inlineStr">
        <is>
          <t>読み方：ゆうき
１生命力を有すること。生活機能を有すること。
２有機物の性質をもつこと。
３「有機化合物」「有機化学」などの略。⇔無機。</t>
        </is>
      </c>
      <c r="D8536" t="inlineStr">
        <is>
          <t>有機的(26%)；有機合成化学(2%)；有機炭素(2%)；有機性；有機體説</t>
        </is>
      </c>
      <c r="F8536" t="inlineStr">
        <is>
          <t>有機相；有機jas；有機化；有機栄養；有機態</t>
        </is>
      </c>
      <c r="G8536" t="inlineStr">
        <is>
          <t>有機化合物；有機的；有機化学；有機体；有機溶媒</t>
        </is>
      </c>
      <c r="H8536" t="n">
        <v>29</v>
      </c>
      <c r="I8536" t="inlineStr">
        <is>
          <t>彼はこれまで、なにかの有機的な一部分であると感じたことはなかった。；作戦全体の有機的な運営の可否は、彼の肩にかかっているといってよい。；それを抑制する意図のもとに有機的な生命および物質が創造されたのだ。；この時、諸関係の有機的な共通な媒介の上に新しい経験があらわれでる。；過去に行われた思想や表現とは、なんらの有機的なつながりもないのだ。；ラーメンに有機トマトを使用したスープを使用しているのが特徴である。；その個所だけが、何か有機的な関係をもつように見え始めたから不思議だ。；この無機性の眼と有機性の眼との結合の強さに何だか異常なものを感ずる。；これらは有機または無機のすべての物質に必要な構成物質であった。；ただしそれには完全な調査と、有機的な総合計画とが必要である。；有機アジ化物は光または熱で分解すると、相当するニトレンが発生する。；一国の言語は自然や歴史や性情や風習の有機的な結合から成るのです。；患者を襲う興奮性の高まりと不安に有機的な原因はないと強く示唆されていた。；有機生命自体が機能母体となる非常に巨大で精密なコンピュータです。；相手はそれ自身、一つの有機的な生命をもった植物なのである。；してみれば結局私の生命は有機化されていないということに帰着せねばならない。；内部は機械的だった『ザ・ムービー』と異なり有機的な構造をしている。；正確な形状を作ることは難しいが、有機的な形状を少ない制御点で作るのに向いている。；すなわち、思考は有機的な世界のものであり、そこにのみ発達する。；また腐生性の種では、有機硫黄が必要であることが報告されている。；かく動作の後に休息し、休息の後に動作するは、有機身体一般の規則なり。；言ひ換へれば有機的でないので、そこに一種の嫌味が生じたのである。；いわば有機的なバランスが小説を統御していることに気づくのである。；初期の頃は、有機的な形態を大画面に描く抽象絵画を描いていた。；従って有機的な動き方を機械的な動き方に変質せしめたものと見ることができる。；有機豆乳や玄米を使用した身体にやさしいイタリア料理を提供している。；特に有機的なメカニック・デザインやクリーチャー作品を得意とする。；一般の歴史概念によると、帝国は過去と現在の間に存在する有機的な連続と対応の中で生まれ死ぬ。；この建物は、複雑かつ有機的で、非直線的な形状を有している点に大きな特徴がある。</t>
        </is>
      </c>
      <c r="J8536">
        <f>HYPERLINK("https://www.weblio.jp/content/有機", "词义详情")</f>
        <v/>
      </c>
      <c r="K8536">
        <f>HYPERLINK("https://yourei.jp/有機", "查看例句")</f>
        <v/>
      </c>
    </row>
    <row r="8537">
      <c r="A8537" t="inlineStr">
        <is>
          <t>夕暮れ</t>
        </is>
      </c>
      <c r="B8537" t="inlineStr">
        <is>
          <t>成功</t>
        </is>
      </c>
      <c r="C8537" t="inlineStr">
        <is>
          <t>読み方：ゆうぐれ
日の暮れるころ。日暮れ。たそがれ。「—時」</t>
        </is>
      </c>
      <c r="D8537" t="inlineStr">
        <is>
          <t>夕暮れ時(10%)；夕暮れどき(6%)；夕暮れ近く；夕暮れ前；夕暮れ近い</t>
        </is>
      </c>
      <c r="E8537" t="inlineStr">
        <is>
          <t>晩；夕方；暮れ；夕；夕刻</t>
        </is>
      </c>
      <c r="F8537" t="inlineStr">
        <is>
          <t>美しい夕暮れ；長い夕暮れ；早い夕暮れ</t>
        </is>
      </c>
      <c r="G8537" t="inlineStr">
        <is>
          <t>夕暮れ族；夕暮れ時のさびしさに；夕暮れは雨上がり；夕暮れの鳥</t>
        </is>
      </c>
      <c r="H8537" t="n">
        <v>29</v>
      </c>
      <c r="I8537" t="inlineStr">
        <is>
          <t>雨はだんだんに強くなって、夕暮れに近い空の色はますます暗くなった。；夕暮れと夜の間の僅かな時間だけ、空に広がる藍色と同じ色をしている。；今日は曇っているから気がつかなかったが、もう夕暮れ時になっていた。；画面右の窓には木々の緑が豊かな丘や山を望む夕暮れの風景が見える。；やがてその日もまた夕暮れになってひとつの大きな湖水のほとりへでた。；夕暮れには凪いだ夏の空気さえ期待で打ち震えているかのようだった。；これが夕暮れ時なんかだったりすると、もうなんともいえぬものがある。；日は傾いたがまだ明るさがあたりに漂っている江戸の春の夕暮れである。；夕暮れに近い日射しの中で、じっと動かぬ木馬の列は異様な眺めだった。；その話を数時間後に聞いた北原は、自分も夕暮れの街に飛び出していった。；あの人の埋められた日には雪が降ったっけ、夕暮れに私は墓場へ行った。；崔は夕涼みであるとしており、田中も夕暮れ時に着想されたとしている。；夕暮れの甲板で、嗚咽をこらえていた少年の声が、まだ耳に残っている。；代わりに窓の外に広がっているのは、夕暮れに包まれた街並みだった。；その時、おれは、相当に凄い顔をして夕暮れの街を歩いていたに違いない。；昼間は静かな駅だが、夕暮れ時には人々の流れがあわただしく感じられる。；夕暮れの青さが消えて、静かに闇が訪れたとき、そこに何かが見えはじめた。；いつまで経っても、光が戻らずに夕暮れのままにどんどん暗くなっていく。；気絶している間にかなりの時間がたったらしく、もう夕暮れであった。；「夕暮れが近づいたわ」わたしは窓のほうに目をやって、ひとりごちた。；時には窓のところにじっと立って、夕暮れの雲の色を見ていることもあった。；空の黄金いろに染まるのをながめていて、夏の夕暮れの近いのがわかった。；庭に近く柱によった主僧の顔が白く夕暮れの空気に見えた。；春の夕暮れはおだやかで、ねぐらに帰っていく鳥の声だけが聞こえていた。；きのうのように通りが夕暮れに包まれていたなら、その方が快かったのに。；馬に乗って羊の世話をし、夕暮れ時にはオオカミの襲来に目を光らせた。；話しおえたときには、窓から射しこむ光が夕暮れの蜜色に変わっていた。；人々の顔は夕暮れのなかでかがやき、瞳は空を反映して赤く光った。；バテシバは夕暮れ時に泉のそばのベンチに座って水浴をしようとしている。</t>
        </is>
      </c>
      <c r="J8537">
        <f>HYPERLINK("https://www.weblio.jp/content/夕暮れ", "词义详情")</f>
        <v/>
      </c>
      <c r="K8537">
        <f>HYPERLINK("https://yourei.jp/夕暮れ", "查看例句")</f>
        <v/>
      </c>
    </row>
    <row r="8538">
      <c r="A8538" t="inlineStr">
        <is>
          <t>友好</t>
        </is>
      </c>
      <c r="B8538" t="inlineStr">
        <is>
          <t>成功</t>
        </is>
      </c>
      <c r="C8538" t="inlineStr">
        <is>
          <t>読み方：ゆうこう
友人としての親しい交わり。「—を深める」「—関係」「—国」</t>
        </is>
      </c>
      <c r="D8538" t="inlineStr">
        <is>
          <t>友好関係(30%)；友好的な関係(5%)；友好協会(3%)；友好度；友好的な態度</t>
        </is>
      </c>
      <c r="E8538" t="inlineStr">
        <is>
          <t>交際；友情；親交；親しい；付き合い</t>
        </is>
      </c>
      <c r="F8538" t="inlineStr">
        <is>
          <t>日米友好；友好橋；中日友好；国際友好；友好提携</t>
        </is>
      </c>
      <c r="G8538" t="inlineStr">
        <is>
          <t>友好国；友好都市；友好条約；友好ムード；友好関係原則宣言</t>
        </is>
      </c>
      <c r="H8538" t="n">
        <v>29</v>
      </c>
      <c r="I8538" t="inlineStr">
        <is>
          <t>人間と友好関係とは完全には言えないが少なくとも人間の隣人ではある。；他にも混乱の中で友好的と考えられる場所に逃げて自由を確保した者もいた。；今日の日本とミャンマーとの友好関係の基礎を築いたとも評価される。；試合は友好的な雰囲気の中で行われ、アイルランドの勝利で終わった。；ホートスコピーとの交流は友好的なものより敵対的なことのほうが多い。；稀な例外を除き人間に友好的で、プレイヤーが近寄っても攻撃して来ない。；トリャピーツィンは、日本軍との友好関係を、次のように宣伝していた。；小規模な開発メンバーが互いの友好的な関係を高める効果も期待される。；日本には多くのトルコ友好協会があり、交流が積極的に行われている。；独立以来、親フランス路線を維持しており、西側諸国とも友好的である。；さらにフランス王女と結婚するなど近隣との友好関係の維持にも尽力した。；新嘗祭では神と人が同じものを食べる儀式を行い神との友好を示そうとした。；しかし、中国と日本の間には2000年に渡る友好の歴史があります。；また日本との友好姿勢も国内の民族主義から敵視される背景となった。；昼間に話しかけられなかった人たちの友好度を上げるのに最適な場所。；中国と並ぶ反米連合の雄であるロシアとの関係は友好的であった。；それぞれの色は友好色を支援したり、敵対色の行動を阻害する傾向にある。；外交面では太祖の政策を継承して朱元璋との友好関係の維持に努めた。；国交のない国を含む諸国の友好団体などとの関係に関わる事業を行っている。；アンナはかつての敵と友好関係を結ぶよう努力し、彼らの尊敬を勝ち得た。；またドイツはオスマン帝国に友好的であり、両国は親密な関係を築いた。；そのため局面に応じてどの諸勢力と友好関係を築くかが重要になる。；日本・ソロモン友好協会は日本から本空港に向かう旅客に情報提供している。；それがロシアとの友好が崩れない範囲でドイツがイギリスに接近する土壌となった。；馬場とガニアの友好関係を橋渡ししたのはブレアースだといわれている。；にもかかわらず、この混乱期にはアッシリアとの友好関係が保たれた。；このほか「友好交流都市」としての協定を結ぶ交流先が中国に1つある。；グラハムはウォーレン・バフェットとの長年の友好関係でも知られている。；それほど豊かではないが、ラーカス王国とは同盟を結び、友好関係にある。</t>
        </is>
      </c>
      <c r="J8538">
        <f>HYPERLINK("https://www.weblio.jp/content/友好", "词义详情")</f>
        <v/>
      </c>
      <c r="K8538">
        <f>HYPERLINK("https://yourei.jp/友好", "查看例句")</f>
        <v/>
      </c>
    </row>
    <row r="8539">
      <c r="A8539" t="inlineStr">
        <is>
          <t>有効</t>
        </is>
      </c>
      <c r="B8539" t="inlineStr">
        <is>
          <t>成功</t>
        </is>
      </c>
      <c r="C8539" t="inlineStr">
        <is>
          <t>読み方：ゆうこう
［名・形動］
１ききめのあること。効力をもっていること。また、そのさま。「資金を—に使う」「—な手段」⇔無効。
２法律上の効力をもっていること。⇔無効。
３柔道の試合で、技有りに近い技のときに下す判定。押さえ込みでは、20秒以上25秒未満経過した場合。
[補説]3は、国際柔道連盟（IJF）のルール見直しにより、現在は廃止されている。</t>
        </is>
      </c>
      <c r="D8539" t="inlineStr">
        <is>
          <t>有効である(16%)；有効期間(3%)；有効利用(3%)；有効であり(2%)；有効な手段</t>
        </is>
      </c>
      <c r="E8539" t="inlineStr">
        <is>
          <t>有能；効果的；有効性；合法性；妥当</t>
        </is>
      </c>
      <c r="F8539" t="inlineStr">
        <is>
          <t>有効距離；限り有効；有効画素数；有効垂直解像度；有効貯水容量</t>
        </is>
      </c>
      <c r="G8539" t="inlineStr">
        <is>
          <t>有効期限；有効長；有効成分；有効活用；有効射程</t>
        </is>
      </c>
      <c r="H8539" t="n">
        <v>29</v>
      </c>
      <c r="I8539" t="inlineStr">
        <is>
          <t>これらの重装備に対して有効なメイスは戦場での重要度を増していった。；これらの理論の多くは、カロリック説が否定された現在でも有効である。；中にはその発明が最も有効に働く順序で発明されなかったものもある。；本貫は同姓の中で異なる宗族集団を区別するための有効な手段であった。；以上の定義はPhyloCodeでも有効なものとして登録されている。；これもほとんどのLinuxディストリビューションで有効化されている。；情報の有効利用という観点では、ベイズ統計分析がはるかに優れている。；この条件から外れると領海を形成するために有効な領土ではなくなる。；それとは別に触診法で有効な脈拍数を別に数えておくのが重要である。；以下に取り上げる曲でもこの手法が有効に用いられるものがある。；ウイルスタンパク質の構造を発見したことは、有効な薬の開発に役立つ。；手を触れずに何かができるという機能は、感染症対策上も有効である。；その後、蜂蜜が白内障の治療に有効であることが科学的に明らかとなった。；これは一時的に強い力を出す時に有効な手段であるからである。；魚雷が利用しにくい沿海域では潜水艦だけでなく水上目標にも有効である。；現在でもこの規程は有効であり、純粋の漢方医は日本には存在しない。；接する物体どうしが直線相対運動を行う場合は転がり案内が有効である。；土地を有効活用するためにこのような形式がとられた。；燃えても炎が出ない炭はそのために有効だったと考えられる。；オニのお面をつけることも役割を意識させる上で有効である。；これらの敵に対して本車など日本軍の戦車・装甲車は有効な兵器であった。；このような脱亜鉛現象を防ぐためには黄銅へのスズの添加が有効である。；駅舎は単線時代からのものを有効活用しつつ、内部には近代的な設備が整う。；LiDARは人物が重なって画像で判別しにくい時に有効だとされる。；そのためおおまかな考え方で述べたような考え方も有効である。；その場での着陸を必要としない場合、カタパルトの使用は有効な手段になる。；以下のような心理社会的治療は、I型・II型の両方に有効とされる。；奇襲や夜襲など少ない兵力を有効に活用するゲリラ的戦術を得意とした。；欧米に多い内開きの玄関に対してのみ有効で、外に開く日本では使えない。</t>
        </is>
      </c>
      <c r="J8539">
        <f>HYPERLINK("https://www.weblio.jp/content/有効", "词义详情")</f>
        <v/>
      </c>
      <c r="K8539">
        <f>HYPERLINK("https://yourei.jp/有効", "查看例句")</f>
        <v/>
      </c>
    </row>
    <row r="8540">
      <c r="A8540" t="inlineStr">
        <is>
          <t>融合</t>
        </is>
      </c>
      <c r="B8540" t="inlineStr">
        <is>
          <t>成功</t>
        </is>
      </c>
      <c r="C8540" t="inlineStr">
        <is>
          <t>読み方：ゆうごう
［名］(スル)とけあうこと。とけあって一つのものになること。「物質どうしを—させる」「東西文化の—」</t>
        </is>
      </c>
      <c r="D8540" t="inlineStr">
        <is>
          <t>融合する(7%)；融合させる(3%)；融合体；融合遺伝子；融合反応</t>
        </is>
      </c>
      <c r="E8540" t="inlineStr">
        <is>
          <t>接続；合併；統合；統一；合流</t>
        </is>
      </c>
      <c r="F8540" t="inlineStr">
        <is>
          <t>時空融合；膜融合；核融合；精神融合；うまく融合</t>
        </is>
      </c>
      <c r="G8540" t="inlineStr">
        <is>
          <t>融合戦士；融合事務所；融合蛋白質；融合論；融合召喚</t>
        </is>
      </c>
      <c r="H8540" t="n">
        <v>29</v>
      </c>
      <c r="I8540" t="inlineStr">
        <is>
          <t>今作では人間と機械が融合したサイボーグのような姿をしたものが多い。；そのため、外来諸教と融合しやすい性格を有することになったともいう。；歯が融合して嘴状となっていることが、ベラ科との重要な鑑別点である。；融合する際にはベースとなる個体がもう1人の胸に手を置き融合する。；これは漢族と越族の間で相互に融合することを目標としたものである。；また、複数の文字が融合してひとつの文字として書かれることもある。；ソンやサルサのように、これらのリズムが融合して発展したものも多い。；プログラムの内容は6つのテーマを柱とした教科融合型の教育となっている。；伝統的な美と新しい感性がその作品の中で融合し、調和しているといえる。；共通語の 、 は融合して となっており、 や のように発音される。；最終的にマデリーンはジーンに吸収されるようにして融合を果たした。；これは、本来は2枚の鱗片であったものが融合したものと考えられる。；また、音楽的にも様々なジャンルを融合した実験的な作品であった。；若い変形体は、同じ遺伝型の他の変形体と融合して成長することがある。；この辺りに東西の文明が融合した東ローマ帝国の特徴を見ることが出来よう。；しかし、一般化してからはその意義を失い一般的な気象学と融合していった。；口は上下の顎ごとに歯が融合し、頑丈なくちばしのような形状になっている。；また、同種の菌糸が接触した場合にそこで融合が起こることも知られている。；村治は尺八と様々なジャンルの音楽との融合を目指し、成果を上げた。；また、米代川の上流地域では普通の語でも融合しない が優勢な地点が多い。；単純化された形態とトリックアートを融合させたシニカルなデザインが特徴。；その後、ロボットものの長編小説も書かれて、他作品との融合が進む。；しかし真意はその逆で、いつかは東と西が融合することにあった。；東洋と西洋の技術を融合させた設計を行ったのは朝鮮後期の実学者丁若鏞。；この過程でモリスコの音楽とヒターノの音楽の融合が起きたと考えられている。；また、対立と融合による発展を極めた時、人間は完全なる生命体となる。；また、主人公がすでにウルトラマンと融合した状態で登場している。；市章も、大阪市と京都市の市章を融合させたデザインとなっている。；そして東洋と西洋の要素を独自に融合させたものを作り上げている。</t>
        </is>
      </c>
      <c r="J8540">
        <f>HYPERLINK("https://www.weblio.jp/content/融合", "词义详情")</f>
        <v/>
      </c>
      <c r="K8540">
        <f>HYPERLINK("https://yourei.jp/融合", "查看例句")</f>
        <v/>
      </c>
    </row>
    <row r="8541">
      <c r="A8541" t="inlineStr">
        <is>
          <t>融資</t>
        </is>
      </c>
      <c r="B8541" t="inlineStr">
        <is>
          <t>成功</t>
        </is>
      </c>
      <c r="C8541" t="inlineStr">
        <is>
          <t>読み方：ゆうし
［名］(スル)資金を融通すること。「無担保で—する」</t>
        </is>
      </c>
      <c r="D8541" t="inlineStr">
        <is>
          <t>融資先(3%)；融資額；融資制度；融資系列；融資事件</t>
        </is>
      </c>
      <c r="E8541" t="inlineStr">
        <is>
          <t>都合；貸し；投資；出資；ローン</t>
        </is>
      </c>
      <c r="F8541" t="inlineStr">
        <is>
          <t>銀行融資；追加融資；向け融資；協調融資；緊急融資</t>
        </is>
      </c>
      <c r="G8541" t="inlineStr">
        <is>
          <t>融資平台；融資詐欺；融資残；融資保証金詐欺</t>
        </is>
      </c>
      <c r="H8541" t="n">
        <v>29</v>
      </c>
      <c r="I8541" t="inlineStr">
        <is>
          <t>中国農民が個人で融資を受けることができる数少ない金融機関でもある。；世界銀行やIMFは融資する国に条件をつける場合があり、と呼ばれた。；融資額を決定するために、質屋主はいくつかの要因を考慮する必要がある。；資金調達といえば従来は「銀行から融資を受ける」ことが一般的だった。；ただし、そうではない目的・形態で融資を行っている組織・機関・団体もある。；業態はストックホルム銀行のように融資部門と為替部門に分かれていた。；交渉を重ねた結果、世界銀行からも融資を受けることに成功している。；直接融資は民業の圧迫になると言う批判があり、縮小することとなった。；融資を断られた彼らは自らの土地を売らねばならなかったのである。；融資を受けるためには会員になることが必要とされている。；営業地区とは、出資会員になり融資を受ける際の地域のことである。；これはメインバンクである北海道銀行が融資に応じなかったためであった。；欧州投資銀行は開発や統合に寄与するような長期融資を行なっている。；また、新規の融資にも消極的な姿勢を示し、貸し渋りとの批判もあった。；元課長は融資の見返りに取引先から約2億円のリベートを受けていた。；近年、優良とは言えない不動産への銀行融資には警鐘が鳴らされている。；融資先にも制限があり、信用金庫の所在地域の中小企業が対象となる。；これは、銀行から融資を受けるよりも低利率で資金調達できるからである。；パトロンから融資を得られるようになると、販売用にC3を3台製作した。；また百三十銀行を通じて行った融資によって発展の礎を築いた企業も少なくない。；申込者側も商工系の各種融資制度との併用を試みるのが一般的である。；継続している景気の回復で多くの銀行で融資先の企業の経営が安定したことが寄与した。；なおIMFは、韓国に対し救済融資をする傍ら国債発行量に枠を定めた。；黄菊も、自身と妻、弟と融資先企業の関係者との不明瞭な間柄が噂された。；農林漁業者の組織する協同組織体を対象にした融資を実施していた。；明治初期に起こった公金不正融資事件に関与し割腹自殺したことで知られる。；このカードは融資専用カードなのでショッピングは不可能である。；地域産業の振興、人材の育成、市内企業に対する融資などを行っている。；当時の沖縄において唯一の長期設備資金を融資する金融機関であった。</t>
        </is>
      </c>
      <c r="J8541">
        <f>HYPERLINK("https://www.weblio.jp/content/融資", "词义详情")</f>
        <v/>
      </c>
      <c r="K8541">
        <f>HYPERLINK("https://yourei.jp/融資", "查看例句")</f>
        <v/>
      </c>
    </row>
    <row r="8542">
      <c r="A8542" t="inlineStr">
        <is>
          <t>優秀</t>
        </is>
      </c>
      <c r="B8542" t="inlineStr">
        <is>
          <t>成功</t>
        </is>
      </c>
      <c r="C8542" t="inlineStr">
        <is>
          <t>読み方：ゆうしゅう
［名・形動］非常にすぐれていること。また、そのさま。「—な人材」「成績—」
[派生]ゆうしゅうさ［名］</t>
        </is>
      </c>
      <c r="D8542" t="inlineStr">
        <is>
          <t>優秀選手(7%)；優秀な成績(7%)；優秀な人材(3%)；優秀な学生；優秀な生徒</t>
        </is>
      </c>
      <c r="E8542" t="inlineStr">
        <is>
          <t>良い；妙；立派；優れた；見事</t>
        </is>
      </c>
      <c r="F8542" t="inlineStr">
        <is>
          <t>成績優秀；大会優秀；学業優秀；優秀船；優秀新人賞</t>
        </is>
      </c>
      <c r="G8542" t="inlineStr">
        <is>
          <t>優秀作品賞；優秀船舶建造助成施設；優秀調教師賞；優秀中継ぎ投手；優秀騎手賞</t>
        </is>
      </c>
      <c r="H8542" t="n">
        <v>29</v>
      </c>
      <c r="I8542" t="inlineStr">
        <is>
          <t>優秀な人材を獲得してチーム運営をすることが重要であると考えている。；一部の大学では、特に優秀な学生を対象に3年次卒業制度を設けている。；このアルバムは第34回日本レコード大賞の優秀アルバム賞を受賞した。；しかし記録的には前述の通り優秀で、動きそのものはしなやかであった。；成績優秀であるからといっても必ず良い産駒が生まれるとは限らない。；世界中から優秀な学生や学者を集め、多様性に富んだ教育を行っている。；だが、彼が優秀であることをジョニーは兵士になった日からわかっていた。；優秀すぎたために危険人物であるという政治的な判断によるものである。；学部学生のころから優秀で自信に満ちた学生として有名になっていた。；担当裁判の多くで勝訴する優秀な弁護士であったが生活はなお苦しかった。；優秀なマリはたびたびこの役を指名されたが、それは大変な屈辱だった。；同大会の優秀選手賞を獲得し、同年の社会人ベストナインにも選出された。；中隊長クラスの優秀なパイロットの要請に応じて開発されたタイプ。；これによりDC-8の優秀さを示すことに成功し大きな宣伝にもなった。；このように最高速度・加速力共に優秀ではあったが、最高ではなかった。；新型の構えが優秀なところは桂を跳ねたあとにもスキができないところ。；ここには藩内の優秀な学者を招聘したが、その中には平賀源内もいた。；給付型奨学金は、優秀な学生を確保する目的で設けられた制度である。；圧倒的な科学力と技術力を誇り、自分たちを優秀な種族だと思っている。；復活以降は各授業の優秀生徒になると、豪華商品が与えられるようになった。；重吉は優秀であったが、毛利氏家臣の頃は才能を発揮することはなかった。；また、数学の能力は特に優れ、それ以外の学業成績も軒並み優秀である。；蔡倫の作った紙は優秀であったため、「蔡侯紙」と呼んで皆が使用した。；コンテストは大きく3つの部門に分かれており、各部門の優秀作品を決定。；さらに同年の日本シリーズでは優秀選手賞に選ばれ、日本一にも貢献した。；卒業時に最も成績優秀だった生徒にはアイルランド大使特別賞が贈られる。；ガルバルディ系の機体設計が優秀であるため、改造は容易だったといわれる。；非常に優秀な科学者であり、ムーンベース・アルファ建設の最大の貢献者。；このプロジェクトには、他にも多くの優秀なエンジニアが貢献した。</t>
        </is>
      </c>
      <c r="J8542">
        <f>HYPERLINK("https://www.weblio.jp/content/優秀", "词义详情")</f>
        <v/>
      </c>
      <c r="K8542">
        <f>HYPERLINK("https://yourei.jp/優秀", "查看例句")</f>
        <v/>
      </c>
    </row>
    <row r="8543">
      <c r="A8543" t="inlineStr">
        <is>
          <t>優勝</t>
        </is>
      </c>
      <c r="B8543" t="inlineStr">
        <is>
          <t>成功</t>
        </is>
      </c>
      <c r="C8543" t="inlineStr">
        <is>
          <t>読み方：ゆうしょう
［名］(スル)
１競技などで第1位になること。「全国大会で—する」
２力のまさるものが勝つこと。
「実(げ)に—の時世とて、才名早くたつか弓」〈逍遥・当世書生気質〉</t>
        </is>
      </c>
      <c r="D8543" t="inlineStr">
        <is>
          <t>優勝馬(3%)；優勝者；優勝経験；優勝回数；優勝校</t>
        </is>
      </c>
      <c r="E8543" t="inlineStr">
        <is>
          <t>勝利；得る；受賞；勝ち；勝</t>
        </is>
      </c>
      <c r="F8543" t="inlineStr">
        <is>
          <t>準優勝；破って優勝；連続優勝；大会優勝；クラス優勝</t>
        </is>
      </c>
      <c r="G8543" t="inlineStr">
        <is>
          <t>優勝チーム；優勝争い；優勝候補；優勝決定戦；優勝戦</t>
        </is>
      </c>
      <c r="H8543" t="n">
        <v>29</v>
      </c>
      <c r="I8543" t="inlineStr">
        <is>
          <t>その記念すべき最初のシーズンにボカ・ジュニアーズは優勝を果たした。；初優勝時のメンバーで最後の現役選手だった角富士夫が現役を引退した。；予選は優勝クラブ予選と上位クラブ予選の二つのルートで行われる。；この大会の優勝はユーゴスラビアに代わって出場したデンマークだった。；このチームのメンバーは前回優勝したメンバーとほとんど変わらなかった。；一般に1シーズンの間、この3競走すべてに優勝した馬を三冠馬と呼ぶ。；現在では、囲碁・将棋それぞれの棋戦優勝者の称号の一つになっている。；なお、コールドゲームで優勝決定となった試合はこれまで一度もない。；優勝当時の写真があったら、そこから主人の顔を消してください。；千秋楽では十両以下各段の優勝決定戦および優勝力士の表彰が行われる。；イギリスGPではスターリング・モスの地元初優勝を祝う余裕も見せた。；設立から11年後の1910シーズンにはコパ・デル・レイで優勝した。；各地区優勝したチームは市民球場で大会なども行われたりする。；同国代表のビクトル・ランヘルに次ぐ4得点を記録して優勝に貢献した。；しかし、チームはAクラスこそ入るものの、優勝からは遠ざかっていた。；レースでは4コーナーで早くも先頭に立つと、そのまま突き抜けて優勝。；香港のダンスコンテストで優勝したこともあり、その映像が出回っている。；これまでで主要な3つの大会全てで優勝したことがあるクラブは4クラブのみである。；少なくなった初優勝メンバーの水本も、夏の移籍で松本に新天地を求めた。；当時19歳で、前年に最年少タイトル獲得をしていた趙治勲が優勝した。；また、アメリカで全米武術大会優勝経験がある事も決め手の一つとなった。；以下の競走の優勝馬には本競走の優先出走権が付与されている。；順位は勝ち点の多い順に決められ、勝ち点が最も多いクラブが優勝となる。；このなかには1927年の優勝馬モンタリスマンも含まれていた。；年間最終戦でも長く活躍し、3度の優勝、5度の準優勝を記録している。；このままどちらが優勝しても日本人ドライバー初優勝となる。；前年に引き続き目の前で優勝を決められた。；また、カリビアンカップでは2012年大会で初優勝を達成している。；これが近鉄にとって初めての1シーズン制度上での初優勝となった。</t>
        </is>
      </c>
      <c r="J8543">
        <f>HYPERLINK("https://www.weblio.jp/content/優勝", "词义详情")</f>
        <v/>
      </c>
      <c r="K8543">
        <f>HYPERLINK("https://yourei.jp/優勝", "查看例句")</f>
        <v/>
      </c>
    </row>
    <row r="8544">
      <c r="A8544" t="inlineStr">
        <is>
          <t>友情</t>
        </is>
      </c>
      <c r="B8544" t="inlineStr">
        <is>
          <t>成功</t>
        </is>
      </c>
      <c r="C8544" t="inlineStr">
        <is>
          <t>読み方：ゆうじょう
友達の間の情愛。友人としてのよしみ。「—が芽生える」「—に厚い」
[補説]書名別項。→友情</t>
        </is>
      </c>
      <c r="D8544" t="inlineStr">
        <is>
          <t>友情出演；友情関係；友情パワー；友情以上；友情ごっこ</t>
        </is>
      </c>
      <c r="E8544" t="inlineStr">
        <is>
          <t>親交；友好；親善；誼；友誼</t>
        </is>
      </c>
      <c r="F8544" t="inlineStr">
        <is>
          <t>奇妙な友情；強い友情；固い友情；親密な友情；厚い友情</t>
        </is>
      </c>
      <c r="G8544" t="inlineStr">
        <is>
          <t>友情物語；友情人形；友情伝説ザ・ドラえもんズ；友情ある説得；友情杯戦</t>
        </is>
      </c>
      <c r="H8544" t="n">
        <v>29</v>
      </c>
      <c r="I8544" t="inlineStr">
        <is>
          <t>二人はこれ以来ライバル関係となり、同時に友情も築いていく事になる。；アリストテレスに反対して、彼は友情を段階的な違いを持った現象と見る。；もちろん、友情は仲間意識と多くの共通点を持っているのも確かである。；「アニメはストレートに友情とか愛情を伝えてくれるので好き」という。；また、友情の中での社会的な態度について、二・三の学問的な研究もある。；後に政治上の立場は異なるものとなったが、彼らの友情には影響しなかった。；次の段階である快楽の友情は、人々の集団の中での純然たる喜びに基づく。；男同士の友情や大義への献身もアクションのテーマとして存在してきた。；しかし呆れながらも、2人はマッキーとの友情を再認識するのであった。；一緒に酒を飲むか趣味を共有する人々は、このような友情である。；ヘンべえは帰ることもできるが、メゲルとの友情ゆえに躊躇してしまう。；二人の友情は本の貸し借りから始まったとポリュビオスは記している。；しかし私生活においては高橋と米内は強い友情で結ばれていたといわれる。；しかし二人の友情と才能がこのシングルを通じ実を結んだ。；特に親友であるブルーノ・サンマルチノとの友情は丁寧に扱われている。；その後一人旅に出て、ヴィシュヌからの友情を得るまで世界を放浪した。；人間と吸血鬼との間における、友情や恋愛が物語の中心となっている。；けんかをすることもあるが、のび太とは深い友情関係で結ばれている。；アイスマンは他人への接触ができないが、二人の間には強い友情が育っていった。；本作の内容は、主人公の大胆さと周囲との友情関係に焦点が当てられている。；また、以前のレイが持っていた友情・愛情などの感情はリセットされている。；松雪泰子と深津絵里の初共演で、女性同士の友情を描いたドラマであった。；また、過去と未来をよく知り、友情を回復する力を持つともいう。；本編の主人公である範馬刃牙とは死闘を経て以後、固い友情で結ばれた。；絵画をテーマとした貧しい少年と犬の友情を描いた悲劇として知られる。；初期作品は兄弟や親友同士の友情や精神的な絆を多く描いている。；その冠のついたハートを二つの手が握るデザインは愛・友情・忠誠を示す。；その上、これまで出会った仲間とは深い友情で結ばれている。；これは友情を意味するものではなく、必ずしも先輩と後輩は友達になる訳ではない。</t>
        </is>
      </c>
      <c r="J8544">
        <f>HYPERLINK("https://www.weblio.jp/content/友情", "词义详情")</f>
        <v/>
      </c>
      <c r="K8544">
        <f>HYPERLINK("https://yourei.jp/友情", "查看例句")</f>
        <v/>
      </c>
    </row>
    <row r="8545">
      <c r="A8545" t="inlineStr">
        <is>
          <t>夕食</t>
        </is>
      </c>
      <c r="B8545" t="inlineStr">
        <is>
          <t>成功</t>
        </is>
      </c>
      <c r="C8545" t="inlineStr">
        <is>
          <t>読み方：ゆうしょく
夕方にとる食事。夕飯。夕餉(ゆうげ)。</t>
        </is>
      </c>
      <c r="D8545" t="inlineStr">
        <is>
          <t>夕食後(7%)；夕食会(3%)；夕食時；夕食を共に；夕食をともに</t>
        </is>
      </c>
      <c r="E8545" t="inlineStr">
        <is>
          <t>食事；昼食；夕飯；ランチ；御飯</t>
        </is>
      </c>
      <c r="F8545" t="inlineStr">
        <is>
          <t>遅い夕食；簡単な夕食；軽い夕食；夕食当番；夕食をはこん</t>
        </is>
      </c>
      <c r="G8545" t="inlineStr">
        <is>
          <t>夕食ニャンニャン</t>
        </is>
      </c>
      <c r="H8545" t="n">
        <v>29</v>
      </c>
      <c r="I8545" t="inlineStr">
        <is>
          <t>そこで奴隷長がやってきて、夕食の用意ができたことを告げたのである。；夕食は家族全員が集まるので、その日のメインの食事と考えられている。；夕食で二人はイギリスの北米植民地で起きている反乱について議論した。；夕食の時、少し遅れて食堂へ入ると、もう例の二人は卓子に着いていた。；その10分後、彼は夕食会場の床の上で刺殺されているのが発見された。；夕食がすむとおれはときどき海岸に出て、夕焼をながめたりしたもんだ。；普通にしているのが奇妙なら、トガを脱ぎ捨てて夕食を共にすればよい。；その夕食会の参加者の一人は近くでUFOを数回見たと主張していた。；その古屋敷で家族で夕食をとっていたところ、庭が急に明るくなった。；夕食を取ると、その後はどんな天気だろうと再び散歩に出かけていた。；夜食は通常、夕食とは別に摂取されるものであり、夕食とは区別される。；しかし、夕食のしたくをはじめるまでには、まだすこし時間があった。；この話で夕食会は盛り上ったが、その時はパーティの席での冗談であった。；前述の王が夕食会に出席する場面では、当時の俳優が何人も皮肉られている。；三千夫は例のサケの大漁から、その日の夕食にサケ料理が出た話をした。；今夜の夕食は、早めの時間にふたりでとることを、ぼくと彼女は約束した。；夕食に差し障らないように、おやつは毎日決められた時間に与えられる。；夕方には終わり、夕食をともにすればその日はそれで終了だった。；夕食会ではバレンシア地方の名物であるパエリアが出されることが多い。；多くの船会社が、昼食や夕食をとりながら乗船できる船を運行している。；午後は夕方へ向かい、夕食のあと日比谷は仕事場へ戻り、執筆を続けた。；しかし、その抗議も長続きせず母のとりなしで兄弟は夕食を食べて寝る。；姉の留学を迎え、家族皆での夕食で、姉は泣きながらコロッケを食べる。；そして夕食後、寝室を与えられて寝ましたが、どうして睡られましょう。；世界各地に同様の習慣、つまり昼食と夕食の間に間食をとる習慣がある。；夕食の支度中や夕食が済んだ後でも、夕食に何を食べるかを紹介する。；夕食のテーブルの上に12個のウミガメの卵が入った皿が写っていた。；もちろんあなた方ご夫妻が来なければ夕食会になりません。；その雨の日の夜、夕食を自宅ですませたヨシオは、節子の部屋へいった。</t>
        </is>
      </c>
      <c r="J8545">
        <f>HYPERLINK("https://www.weblio.jp/content/夕食", "词义详情")</f>
        <v/>
      </c>
      <c r="K8545">
        <f>HYPERLINK("https://yourei.jp/夕食", "查看例句")</f>
        <v/>
      </c>
    </row>
    <row r="8546">
      <c r="A8546" t="inlineStr">
        <is>
          <t>友人</t>
        </is>
      </c>
      <c r="B8546" t="inlineStr">
        <is>
          <t>成功</t>
        </is>
      </c>
      <c r="C8546" t="inlineStr">
        <is>
          <t>読み方：ゆうじん
ともだち。朋友。とも。</t>
        </is>
      </c>
      <c r="D8546" t="inlineStr">
        <is>
          <t>友人たち(9%)；友人達；友人関係；友人同士；友人宅</t>
        </is>
      </c>
      <c r="E8546" t="inlineStr">
        <is>
          <t>仲間；友達；味方；友；友だち</t>
        </is>
      </c>
      <c r="F8546" t="inlineStr">
        <is>
          <t>古い友人；若い友人；新しい友人；良い友人；ご友人</t>
        </is>
      </c>
      <c r="G8546" t="inlineStr">
        <is>
          <t>友人フリッツ</t>
        </is>
      </c>
      <c r="H8546" t="n">
        <v>29</v>
      </c>
      <c r="I8546" t="inlineStr">
        <is>
          <t>同期の友人の証言では、英雄は大学ではボート部に所属していたという。；レオナルドには様々な分野の、歴史的に見ても重要な多くの友人がいた。；この邸宅はミス・ハワードとその友人たちが用意してくれたものだった。；友人のテプケンは青年時代のシューマンの様子を次のように語っている。；官職から退いた後は、友人の経済的な援助を支えに生活していたという。；さらに、晩年になっても友人に昔の作品を処分するよう依頼している。；インド出身とからかうととても嫌そうにしていたと友人が語っている。；ボッタはこの事件を公表しなかったが、後に彼の2人の友人が公表した。；式には、結婚したばかりの作家であり友人の大江と妹ゆかりも参列した。；偶然一つの指輪を川の中で発見した友人のデアゴルを殺してこれを強奪。；友人の持っているベースと自分の持っているギターを交換した。；呉は、この号をたまたま持っていた友人に高価で譲ってもらったという。；これは蔣介石が友人の呉稚暉に息子の教育係を依頼する意味があった。；首相ウィリアム・グラッドストンを含め多くのイギリス人の友人がいた。；哲学に興味を持ち、寮の友人たちと自己解放について徹夜で議論をした。；その後、奥田は友人宅へ泊まり、翌日自宅に帰ったところを逮捕された。；しかし彼らの若い友人トマス・ハクスリーははっきりと進化に反対していた。；キラは無事脱出していた友人達と再会するが、戦闘はまだ続いていた。；友人の関係になったはずが、やがて総一郎は雪野を拒絶するようになる。；そんなある日、大雨で純の友人・チンタの家の畑が大きな被害を受ける。；ふたりの関係は冷めたが、佐藤が死亡するまでふたりの友人関係は続いた。；新しい環境になかなかなじめず、友人もなく、家で過ごす日々が続いた。；彼女はメリー・ベーカー・エディの友人で、エディの著作を読んでいた。；詩人ジョヴァンニ・ボッカッチョと友人になったのもこの頃である。；その後は弟子や昔の友人と団欒をし、同年12月10日に自宅で死去する。；しかしスピノザは貴族の友人らから提供された年金が十分にあった。；ヘルシンキにいたシベリウスの友人たちは彼の身の安全を案じていた。；また友人の画家の作品を交換や購入によって相当数持っていた。；いつしかこの地に友人もでき、居つくようになり、七年の月日が過ぎた。</t>
        </is>
      </c>
      <c r="J8546">
        <f>HYPERLINK("https://www.weblio.jp/content/友人", "词义详情")</f>
        <v/>
      </c>
      <c r="K8546">
        <f>HYPERLINK("https://yourei.jp/友人", "查看例句")</f>
        <v/>
      </c>
    </row>
    <row r="8547">
      <c r="A8547" t="inlineStr">
        <is>
          <t>有数</t>
        </is>
      </c>
      <c r="B8547" t="inlineStr">
        <is>
          <t>成功</t>
        </is>
      </c>
      <c r="C8547" t="inlineStr">
        <is>
          <t>読み方：ゆうすう
［名・形動］取り上げて数えるほどにおもだって有名であること。また、そのさま。屈指。「日本で—な（の）植物園」「世界—の画家」</t>
        </is>
      </c>
      <c r="D8547" t="inlineStr">
        <is>
          <t>有数規模；有数の大き；有数の広；有数の大規模警察署</t>
        </is>
      </c>
      <c r="E8547" t="inlineStr">
        <is>
          <t>突出；傑出；屈指；指折り；粒選り</t>
        </is>
      </c>
      <c r="F8547" t="inlineStr">
        <is>
          <t>日本有数；国内有数；全国有数；県内有数；ヨーロッパ有数</t>
        </is>
      </c>
      <c r="H8547" t="n">
        <v>29</v>
      </c>
      <c r="I8547" t="inlineStr">
        <is>
          <t>メディアにも多く取り上げられ日本でも有数な著名起業家となっていく。；旅行業界では日本最大かつ世界有数の事業規模を有する企業である。；メディチ家はイタリアだけでなくヨーロッパでも有数の大富豪となった。；日本は周りを海に囲まれていることもあり、世界有数の魚大国である。；後に大山道場は極真会館と名前を変え世界有数の空手団体となっていく。；またアジアのみならず世界でも有数の規模を持つ航空会社でもある。；このように、JAISTの情報環境は国内の大学の中では有数といえる。；滋賀県は、日本有数の消費地である京都・大阪を支える農業県であった。；現在は日本有数のガラスメーカー・日本板硝子の主力工場が操業している。；周辺の台地部には梨畑が多く存在し、全国でも有数のナシの産地である。；学部のバラエティー豊かさはアメリカ合衆国内の大学の中でも有数である。；年間200本の映画を制作するようになり、世界でも有数の映画生産国となる。；中には歴史的な貴重本も含まれ、この種の蔵書では、日本有数を誇る。；山腹では植林開発がされず、日本有数のブナ林が残されている山域である。；商店街はかつては有数の賑わいが有ったが、他市同様現在は低調である。；造船業は突出して発展し、ユーゴはこの分野で世界でも有数の国となった。；日本有数の豪雪地帯であり、町全域が特別豪雪地帯の指定を受けている。；日本有数の豪雪地帯であり、市内全域が特別豪雪地帯に指定されている。；イギリスは、現在までに数多くの航空母艦を運用してきた世界でも有数の国である。；県下でも有数の規模を持つ古墳分布地帯で、北群・中央群・南群の3群からなる。；郡の主要な交通手段としてタイでも有数の港、サッタヒープ港がある。；酒都・吟醸酒発祥の地と2つの歴史的な酒処がある日本有数の日本酒の産地。；作曲者の最高作といわれ、クラシック音楽全体でみても有数の人気曲である。；当時の彼のトレーニング方法は現在に至る世界有数の育成プログラムの基礎となっている。；アール・ヌーヴォー様式の集中するイタリア有数の都市にもなった。；飯坂温泉は奥羽地方有数の古湯であり、古くは「鯖湖の湯」と呼ばれた。；一帯は有数の豪雪地帯であり、山麓には多くのスキー場が開設されている。；インドは自転車生産でも世界有数の国となっている。；この種の競技としてはロボカップに匹敵する世界有数の国際大会である。</t>
        </is>
      </c>
      <c r="J8547">
        <f>HYPERLINK("https://www.weblio.jp/content/有数", "词义详情")</f>
        <v/>
      </c>
      <c r="K8547">
        <f>HYPERLINK("https://yourei.jp/有数", "查看例句")</f>
        <v/>
      </c>
    </row>
    <row r="8548">
      <c r="A8548" t="inlineStr">
        <is>
          <t>融通</t>
        </is>
      </c>
      <c r="B8548" t="inlineStr">
        <is>
          <t>成功</t>
        </is>
      </c>
      <c r="C8548" t="inlineStr">
        <is>
          <t>読み方：ゆうずう
［名］(スル)
１とどこおりなく通じること。転じて、必要に応じて自在に処理すること。ゆずう。「—のきかない石頭」「—自在」
２必要な物や金を都合すること。やりくり。ゆずう。「資金を—する」
３仏語。別々のものがとけあって一体となること。ゆずう。</t>
        </is>
      </c>
      <c r="D8548" t="inlineStr">
        <is>
          <t>融通する(7%)；融通性(5%)；融通し合う；融通しあう；融通寺町</t>
        </is>
      </c>
      <c r="E8548" t="inlineStr">
        <is>
          <t>都合；貸し；適応；ローン；貸す</t>
        </is>
      </c>
      <c r="F8548" t="inlineStr">
        <is>
          <t>資金融通；相互融通；御融通；かなり融通；融通証券</t>
        </is>
      </c>
      <c r="G8548" t="inlineStr">
        <is>
          <t>融通無碍；融通手形；融通念仏宗；融通無礙；融通自在</t>
        </is>
      </c>
      <c r="H8548" t="n">
        <v>29</v>
      </c>
      <c r="I8548" t="inlineStr">
        <is>
          <t>ぼくにお金の余裕がありさえすれば、よろこんでご融通するのですがね。；もっと融通がきいてもいいと、あたしでもときどき思うくらいに頑固で。；しかも、こういった、ハンディな融通性が民族的であるばかりではない。；俺が金を融通してやったおかげで命拾いをした人間だってたくさんいるんだ。；馬の飼料に払う金を飲んでしまったから、ご融通願います、と言うんだ。；由来日本の学者は、多く順応型の人間であって頗る融通がきくのである。；それだけ女は言葉に対して真面目だが、同時に融通性がないともいえる。；星野花江がいつごろから社員に金を融通しはじめたのかはわからない。；いろんな人が彼から金を融通してもらって、各種の事業を経営しているのである。；市街地でも農場内でも彼れに融通をしようというものは一人もなくなった。；望みの物を買ってもらうこともでき、同室の人に融通することもできました。；昔の仮名は正確ではあるが、融通がきかないで、変化の妙がなく単調だ。；融通の利かぬ偏屈者でな、同僚との間も円滑には行かなかったようじゃ。；商人たちには、借り重ねて、もう融通してくれるところは一軒もなくなった。；けれど、何といってもここは身内の家であるから多少の時間の融通はついた。；これはレース中心の学校生活のため、融通の利く部活を選んだとのこと。；そして、こう言っちゃ何だが、お金の融通のできそうな男は私より外にはない。；融通すればまだ一人二人かけられるのに、誰も席を空けてやらない。；ルーンはもともと、あんたほど融通のつけかたがうまくないんだから。；そういう苦情もあったが、必要な金はすぐ融通のつく勘定方は貴重だった。；羽川は融通こそきかないが、そこまで杓子定規な奴でもないのだった。；あるだけのものを融通してやっと買えた大阪行の切符二枚と正宗の二合瓶。；理論物理屋が考えるモデルになると、この融通性はさらに大きくなる。；大学の単位制度は良く整備されているものの融通をきかせにくい部分もある。；互いの船の意思融通のため、昼は旗で、夜は灯りによる合図が示された。；もし水を融通してもらえるなら、ご領主に出した訴えはとりさげてもいい。；他の人々を見ないから、融通のきかない考えにとらわれてしまうんだ。；免職になれば融通の利かぬ主人の事だからきっと路頭に迷うに極ってる。；あの融通のきかなさ、ここへ来るまでにマリエにもわかったでしょう。</t>
        </is>
      </c>
      <c r="J8548">
        <f>HYPERLINK("https://www.weblio.jp/content/融通", "词义详情")</f>
        <v/>
      </c>
      <c r="K8548">
        <f>HYPERLINK("https://yourei.jp/融通", "查看例句")</f>
        <v/>
      </c>
    </row>
    <row r="8549">
      <c r="A8549" t="inlineStr">
        <is>
          <t>有する</t>
        </is>
      </c>
      <c r="B8549" t="inlineStr">
        <is>
          <t>成功</t>
        </is>
      </c>
      <c r="C8549" t="inlineStr">
        <is>
          <t>読み方：ゆうする
［動サ変］［文］いう・す［サ変］持つ。持っている。所有する。「石油資源を—・する国」「可能性を—・する」</t>
        </is>
      </c>
      <c r="D8549" t="inlineStr">
        <is>
          <t>有する列車交換可能</t>
        </is>
      </c>
      <c r="E8549" t="inlineStr">
        <is>
          <t>持つ；得る；所有；保持；保有</t>
        </is>
      </c>
      <c r="F8549" t="inlineStr">
        <is>
          <t>有する列車交換可能駅；有する売掛債権；有する基礎課程；有する片運転台；有する複線区間</t>
        </is>
      </c>
      <c r="H8549" t="n">
        <v>29</v>
      </c>
      <c r="I8549" t="inlineStr">
        <is>
          <t>そのため、外来諸教と融合しやすい性格を有することになったともいう。；複数の領土を有する国家は他にもあるが、はっきりと異なっている。；議員とは、議会などの合議制の機関を組織し、議決権を有する者を指す。；シティは女王の承認を得ていない唯一の自治体であり、独自の警察を有する。；憲法裁判所は法律が憲法に違反しているか否かを審査する権限を有する。；しからばその者はなんらかの性質もしくは作用を有せなければならない。；一方、類型地域は世界に同様の性格を有する空間がいくつか存在する。；陸戦兵器のうち戦闘力が最も強いのは1門数十トンの重さを有する列車砲である。；以上の他に、以下の地域がニュージーランドと特別の関係を有する。；両者を有する場合、片方だけの場合、ごく一部に両方とも持たない例がある。；基本的な機能を有するモジュールは、列車のように1列に連結されている。；僕は二人の見ていた絵の何物なるかを判断する智識を有せなかった。；Earlのみが、強力な支配権を有する大Baronの持つ称号であった。；第一次世界大戦では、大艦隊を有するイギリス・フランス・アメリカとドイツが戦った。；同じ名前を有する文字が同じ文字と判断される。；このように、他の臓器の機能と密接な関わりを有する部分も見られる。；旧線は第一大川橋梁など、著名な鉄道写真撮影地を有する区間でもあった。；サイリスタは、古典的な機械スイッチと同様にスイッチング機能を有する。；ゆえにデザインの対象となりうるため、デザインは美術的側面をしばしば有する。；そしてもうひとつは、そのような視点を有する高次元の存在である。；活火山を抱えながら、これだけの人口規模を有する都市は世界的にも稀である。；プリペイドカードとは次のような特徴を有する磁気カードなどのカード類である。；奴隷は家内奴隷的な性質を有する者と独立した住居を構えて佃戸に近い性質を有する者があった。；慣習国際法は、不文ではあるが、条約と同等の効力を有する法源である。；また株式投資でも成功し、近隣に多くの小作地を有するようになる。；なんとなれば、社会は一個の生活物にして、動物の発達と同一の規則を有すればなり。；かつては107番で呼出し設備を有する列車の車内呼び出しが可能だった。；俗語を用いたる一茶のほかは漢語にも古語にも彼は匹敵者を有せざりき。；韓国では一定額の資産を有する外国人に限って帰化を認めることとしている。</t>
        </is>
      </c>
      <c r="J8549">
        <f>HYPERLINK("https://www.weblio.jp/content/有する", "词义详情")</f>
        <v/>
      </c>
      <c r="K8549">
        <f>HYPERLINK("https://yourei.jp/有する", "查看例句")</f>
        <v/>
      </c>
    </row>
    <row r="8550">
      <c r="A8550" t="inlineStr">
        <is>
          <t>優勢</t>
        </is>
      </c>
      <c r="B8550" t="inlineStr">
        <is>
          <t>成功</t>
        </is>
      </c>
      <c r="C8550" t="inlineStr">
        <is>
          <t>読み方：ゆうせい
［名・形動］勢い・形勢などが他よりすぐれていること。また、そのさま。「—を保つ」「—な展開」⇔劣勢。</t>
        </is>
      </c>
      <c r="D8550" t="inlineStr">
        <is>
          <t>優勢である(7%)；優勢であり(3%)；優勢な敵；優勢な地域；優勢負け</t>
        </is>
      </c>
      <c r="E8550" t="inlineStr">
        <is>
          <t>主；圧倒的に；支配的；優越；優位性</t>
        </is>
      </c>
      <c r="F8550" t="inlineStr">
        <is>
          <t>圧倒的な優勢；絶対優勢；軍優勢；軍事的優勢；優勢な高気圧</t>
        </is>
      </c>
      <c r="G8550" t="inlineStr">
        <is>
          <t>優勢勝</t>
        </is>
      </c>
      <c r="H8550" t="n">
        <v>29</v>
      </c>
      <c r="I8550" t="inlineStr">
        <is>
          <t>世界紀元が採用されていた時代は、全体で優勢的であったわけではない。；そして市民側が優勢と判断し、革命支持者を名乗ってウィーンへ戻った。；そこには白人優勢のメディアが大きな影響を与えていたと考えられる。；なお、主語優勢言語でも主題を標示する方法が存在しないわけではない。；しかし化石層は南部では少なく、北に行くほどその数は優勢になってゆく。；森茂暁もまた、和平派が優勢となったことで譲位が行われたのだとする。；しかし、全体的な性能ではディディーのほうが僅かに優勢となっている。；英語などの主語優勢言語と比較すると、以下のような特徴が見られる。；この攻防で玉之浦勢が明らかに優勢になり、落城は時間の問題になった。；事前調査では優勢と伝えられ、最有力候補と報じるニュースもあった。；個別住宅建設が優勢であることが特徴で、質の高い職人の技を見せている。；だが、イングランド軍の増援を受けた国王軍はすぐに優勢をとり戻している。；分裂した一派は現在でも本名で演奏活動を行なっているが優勢とは言い難い。；これらの改善と数的優勢によって、空の戦いの様相は変化していった。；初めはルター派が優勢であったが、18世紀に改革派教会が創設された。；戦いがイギリスの優勢に転じたのはまさにこのときだった。；義藤と同じ西軍に属する一色義直軍が三河で優勢であったためと思われる。；村山優勢で進んでいたが、最後に秒読みに追われてミスをして優勝を逃す。；他の戦線でも長州藩は優勢に戦いを進め、事実上の勝利のもとに停戦した。；また、米代川の上流地域では普通の語でも融合しない が優勢な地点が多い。；これで優勢になったレ・バンナが逆転の判定勝ちで王座防衛に成功した。；議員の間ではロビアンの主張するUMPとの協力路線への支持が優勢であった。；初めは小弓軍優勢であったものの、次第に数で優勢な北条軍が押し始めた。；二つ以上の言語を使用できるときに、中心的に使用される言語を優勢言語と呼ぶ。；この日の閣議は二回行われ、二回目には宣言の即時受諾が優勢となった。；野戦で敵に敗れた場合、既にして敵軍が圧倒的に優勢な状況であることが多い。；中央部の戦闘はロシアが優勢であり独第20軍団は押し込まれつつあった。；近年では東から流入してきたコーサ人が優勢な地区となっている。；ジェノヴァは南フランスの市場で広範囲に優勢な地位を獲得していた。</t>
        </is>
      </c>
      <c r="J8550">
        <f>HYPERLINK("https://www.weblio.jp/content/優勢", "词义详情")</f>
        <v/>
      </c>
      <c r="K8550">
        <f>HYPERLINK("https://yourei.jp/優勢", "查看例句")</f>
        <v/>
      </c>
    </row>
    <row r="8551">
      <c r="A8551" t="inlineStr">
        <is>
          <t>優先</t>
        </is>
      </c>
      <c r="B8551" t="inlineStr">
        <is>
          <t>成功</t>
        </is>
      </c>
      <c r="C8551" t="inlineStr">
        <is>
          <t>読み方：ゆうせん
［名］(スル)他をさしおいて先にすること。他のものより先に扱うこと。「人命救助を—する」「歩行者—道路」「—順位」</t>
        </is>
      </c>
      <c r="D8551" t="inlineStr">
        <is>
          <t>優先する(16%)；優先的(12%)；優先される(7%)；優先させる(4%)；優先交渉</t>
        </is>
      </c>
      <c r="E8551" t="inlineStr">
        <is>
          <t>先；趣味；好み；嗜好；上席</t>
        </is>
      </c>
      <c r="F8551" t="inlineStr">
        <is>
          <t>男子優先；何よりも優先；シャッター速度優先；優先長子相続制；優先交渉権者</t>
        </is>
      </c>
      <c r="G8551" t="inlineStr">
        <is>
          <t>優先度；優先出走権；優先権；優先席；優先事項</t>
        </is>
      </c>
      <c r="H8551" t="n">
        <v>29</v>
      </c>
      <c r="I8551" t="inlineStr">
        <is>
          <t>ただしパーフェクト勝利時の場合はいかなる場合でも優先的にPとなる。；整備を進めやすいために道路よりも鉄道を優先して建設された。；普通列車と比べ、優等列車の運転時刻が優先的に決められる場合が多い。；これらには、推進回送運転用に整備された車両が優先的に充てられた。；SHIELDとJUMPの効果は重複せず、後に使った方が優先される。；なお、その人物が官職に就いた場合は官職名で呼ぶことが優先された。；しかし列車が止まることなく通過できる優先信号が設置されている交差点はない。；以下に、4車線化優先整備区間を道路ごとに起点に近い方から列挙する。；しかしこの国民革命も、ドイツの利益を優先したものにならざるを得なかった。；そのため英米法では著作財産権が著作人格権に優先する形で発展した。；この論争を聞き、すぐに内務優先を唱えて征韓論に反対の立場を表明した。；ただし、イスラムの教えよりも部族内のルールを優先することがある。；さらに次作『仕業人』に至っては何の説明も無く中村敦夫が優先された。；そこでは、文字教育よりも音声教育が優先していることがわかる。；市内は他の地方都市と同様、公共交通機関より道路の整備が優先されている。；そのため長門は仕事を優先させ、南田との間に子供を作らなかった。；これは諸侯の権力の低下と、国王の権力があらゆる権力に優先したことを示している。；これらの状況では、立体障害の少ないプロトンが優先的に引き抜かれる。；和了と同時に発生した場合は和了が優先となり、チョンボは不問となる。；例えば存在多元論者でありながら、優先的一元論者である場合がある。；ただし、停車列車は駅舎に面した1番のりば側を優先して使用する。；ただし、発声優先のルールになっている場合はこの限りではない。；また、NRN系の多くの局も試合の中継を優先するため、本番組は放送されない。；ほぼ同時に行動が行われた場合は、バスケット内に先にカードが入った方が優先される。；記載可能な方法の詳細は次の通りで、一般的に優先される順位で並べ替えている。；表紙の写真はその時期に登場した新型車両を優先的に使用するのが大きな特徴となっている。；この修理は、元の石材一つ一つに番号を付け、可能な限り保存を優先して行われた。；しかし、災害と異なり優先電話からの電話も関係なく制限される。；これは本線の津田沼 - 成田間よりも優先され早い開業となった。</t>
        </is>
      </c>
      <c r="J8551">
        <f>HYPERLINK("https://www.weblio.jp/content/優先", "词义详情")</f>
        <v/>
      </c>
      <c r="K8551">
        <f>HYPERLINK("https://yourei.jp/優先", "查看例句")</f>
        <v/>
      </c>
    </row>
    <row r="8552">
      <c r="A8552" t="inlineStr">
        <is>
          <t>郵送</t>
        </is>
      </c>
      <c r="B8552" t="inlineStr">
        <is>
          <t>成功</t>
        </is>
      </c>
      <c r="C8552" t="inlineStr">
        <is>
          <t>読み方：ゆうそう
［名］(スル)郵便で送ること。「カタログを—する」</t>
        </is>
      </c>
      <c r="D8552" t="inlineStr">
        <is>
          <t>郵送する(13%)；郵送される(6%)；郵送料；郵送物；郵送等</t>
        </is>
      </c>
      <c r="E8552" t="inlineStr">
        <is>
          <t>出す；送る；発する；発信；寄せる</t>
        </is>
      </c>
      <c r="F8552" t="inlineStr">
        <is>
          <t>直接郵送；郵送するつもり；郵送する必要</t>
        </is>
      </c>
      <c r="H8552" t="n">
        <v>29</v>
      </c>
      <c r="I8552" t="inlineStr">
        <is>
          <t>押印のためには使用局へ直接赴くか、事前に郵送で依頼する必要がある。；初めは郵送するつもりだったが、途中で気が変わったのかもしれない。；使用言語が日本語・ドイツ語以外のものは郵送は認められなかった。；田舎少年が郵送してきたものだから、甘い点をつけてくれたんでしょうね。；しかし、夏の会期後のもの以外は基本的に郵送申込にも利用可能である。；来なかった出展者は残りのスペースに配置され、資料は後日郵送される。；私はこの原稿を書上げ次第、雑誌社に居る友人に郵送するつもりである。；別々に郵送すれば二通とも同一の手に誤配されないかぎりまず大丈夫だ。；デイヴィッド医師は人形を回収して、イギリスの兄のもとへと郵送する。；これらの条件を満たせない場合は上述の郵送開示を利用することになる。；私はその往復葉書を封筒に入れ四銭切手一枚を添加して大阪へ郵送した。；中身を読む前に、誰がこんなものを郵送してきたのかを考える必要があった。；検査表を郵送してもらうと時間がかかるから、FAXで送ってもらうこと。；最終日の認定試験に合格すると資格有効期限のある認定書が郵送される。；各団体はこのビデオが収録されたVHSテープを各学校に郵送で配布した。；二つ折りの葉書サイズの白い招待状が白い封筒に入れられて郵送される。；これに名前と宛先を記入しておくと、機長がサインして郵送してくれる。；それは郵送サービスをより安定したものにするためだった。；読んだ本を郵送で送るつもりで書きだしているところです。；そのことも何度も書いて郵送したのだが、由希子からは何の反応もなかった。；彼は自分の原稿を、劇場や雑誌の事務所に、郵送するか置いてくるかだけだった。；手紙を親族会議の席上に送りたかったら、郵送すればいいだけの話よ。；新聞は郵送してもらうので、その日の夕方にならなければ読めない。；招待なしで登録した場合仮会員となり正式登録用はがきが郵送される。；ファンクラブのメンバーにだけ郵送された二作品の復活作品が存在している。；遠隔地在住や用事で訪問不可能な場合には祈祷受付を郵送で行っている。；郵送物には大学から持ち出した文書とビデオテープが含まれていた。；私はこの原稿を書き上げ次第、雑誌社にいる友人に郵送するつもりである。；これは主に所得税の還付小切手を納税者に直接郵送する形を採っていた。</t>
        </is>
      </c>
      <c r="J8552">
        <f>HYPERLINK("https://www.weblio.jp/content/郵送", "词义详情")</f>
        <v/>
      </c>
      <c r="K8552">
        <f>HYPERLINK("https://yourei.jp/郵送", "查看例句")</f>
        <v/>
      </c>
    </row>
    <row r="8553">
      <c r="A8553" t="inlineStr">
        <is>
          <t>夕立</t>
        </is>
      </c>
      <c r="B8553" t="inlineStr">
        <is>
          <t>成功</t>
        </is>
      </c>
      <c r="C8553" t="inlineStr">
        <is>
          <t>読み方：ゆうだち
１夏の午後に降る激しいにわか雨。雷を伴うことが多い。白雨(はくう)。《季夏》「—や草葉を掴(つか)むむら雀／蕪村」
２夕方になって、風・雲・波などの起こり立つこと。
「—の風にわかれて行く雲に後れてのぼる山の端の月」〈風雅・夏〉</t>
        </is>
      </c>
      <c r="D8553" t="inlineStr">
        <is>
          <t>夕立雲(5%)；夕立駆逐艦長；夕立みたい；夕立乗組員；夕立模様</t>
        </is>
      </c>
      <c r="E8553" t="inlineStr">
        <is>
          <t>にわか雨；通り雨；夕立ち；白雨；俄か雨</t>
        </is>
      </c>
      <c r="F8553" t="inlineStr">
        <is>
          <t>激しい夕立；ひどい夕立；駆逐艦夕立；急な夕立；こんな夕立</t>
        </is>
      </c>
      <c r="G8553" t="inlineStr">
        <is>
          <t>夕立の前；夕立山</t>
        </is>
      </c>
      <c r="H8553" t="n">
        <v>29</v>
      </c>
      <c r="I8553" t="inlineStr">
        <is>
          <t>子供のころは夏になると、前橋の町には毎日のように夕立がやってきた。；雷鳴のひとつも聞こえたら、激しい夕立になるかもしれないなと感じた。；そのときページが夕立の落ち始めのような激しさでキーボードを打った。；夏にはまだかなり早いのに、一陣の突風を先行させて夕立がやってきた。；秋には雨がやや増えるが夕立など特定の時刻に集中的に降ることが多い。；「夕立は止みかけましたよ」しばらく黙っていた後で、彼はこう言った。；幸いにもちょうど私が小屋へ着くと同時に、とても物凄い夕立が襲った。；この時は内地の大夕立に更に輪に輪をかけたやうなものすごい降りだ。；帰る途中で、空の模様が変わって、雷が鳴り、ひどい夕立となりました。；急にあの時夕立にならなければ、あの本屋に駈け込んだりしなかった。；夕立が降りだしたのはトラックに乗っていたときからではなかったかと思ったりした。；この人が用足しに行くと、夕立にあって、これにすっかり水が溜まった。；空は美しく晴れていたが、ものの三十分もすると、夕立雲がわいてきた。；森野は外が夕立の時に手帳が落ちていたことを説明してくれました。；筋書は不意の大夕立で少し狂ひましたが、大體豫定の通り運ばれました。；むろん作者が山を眺めている場所にも夕立は降っているのだろう。；夕立は徐々にではあったが、実際に近づいて来つつあるかのように思われた。；夕立の来そうな晩ひとり二階の窓に腰かけて雲の変化を見るのも楽しいものである。；大夕立と匕首と平次の声とに驚いて、思わず気を失ったものでしょう。；彼はまだ熱い額を感じながら、城を越えてもう一つ夕立が来るのを待っていた。；夕立ですね、と小堀は、眼鏡をかけた丸顔を窓の外に向けながら言った。；それに外は急に雨が降りだして、人々はその夕立の中を駆けているらしかった。；途中で夕立に逢って思う所へ行かずに引き返したようなものである。；それに夕立でもきたら、すばらしい雨傘にもなるなどと、彼女は言った。；第四水雷戦隊は戦闘詳報で「夕立」の行動を以下のように評価している。；と思うと、まるで山つなみのような音がして、一ぺんに夕立がやってきた。；と思ふと、まるで山つなみのやうな音がして、一ぺんに夕立がやって来た。；夕立にでも逢はなきや、江戸の町を駈けて歩くと、誰でも變だと思ふ。；三年前の大夕立に雷獣様を手捕りにした、横山宿の勘太とはおらが事だ。</t>
        </is>
      </c>
      <c r="J8553">
        <f>HYPERLINK("https://www.weblio.jp/content/夕立", "词义详情")</f>
        <v/>
      </c>
      <c r="K8553">
        <f>HYPERLINK("https://yourei.jp/夕立", "查看例句")</f>
        <v/>
      </c>
    </row>
    <row r="8554">
      <c r="A8554" t="inlineStr">
        <is>
          <t>誘致</t>
        </is>
      </c>
      <c r="B8554" t="inlineStr">
        <is>
          <t>成功</t>
        </is>
      </c>
      <c r="C8554" t="inlineStr">
        <is>
          <t>読み方：ゆうち
［名］(スル)招き寄せること。「大学を—する」「工場—」</t>
        </is>
      </c>
      <c r="D8554" t="inlineStr">
        <is>
          <t>誘致する(11%)；誘致活動(4%)；誘致運動(4%)；誘致合戦(2%)；誘致しよ</t>
        </is>
      </c>
      <c r="E8554" t="inlineStr">
        <is>
          <t>見え；吸収；看板；アトラクション；見栄</t>
        </is>
      </c>
      <c r="F8554" t="inlineStr">
        <is>
          <t>観光誘致；ir誘致；テナント誘致；旅客誘致；鉄道誘致</t>
        </is>
      </c>
      <c r="H8554" t="n">
        <v>29</v>
      </c>
      <c r="I8554" t="inlineStr">
        <is>
          <t>工業では高速道路の整備以降は高速周辺での工場誘致が各地で起こった。；近年は積極的に物流拠点や工場誘致を行い、多くの企業が進出している。；第六高等学校以降は地元の誘致の熱意もその設立に大きな影響を与えた。；攻め方の不成とは逆に、玉方が不成で打ち歩詰めに誘致する問題もある。；各私鉄は、自分の路線に合った特徴ある電車を開発し乗客を誘致した。；そのため、道路整備及び軽工業工場の誘致を行うことを計画・実行した。；特別産業区には、以下の5区があり、共に国内外の企業を誘致している。；なお、豊島区は前述の東京ワールドタワーの誘致活動にも参加していた。；そのため小田原では、これ以降必死な鉄道誘致が行われることになる。；地元市民による都立高校誘致運動などを背景に1978年に設立された。；それどころか逆に各地で誘致運動があったことは当時の文献から確認されている。；決定までには東京の各地でいくつもの誘致活動が行われた。；小田急の開業が近くなると、生田村では駅の誘致が行われることになった。；このころになるとルートの候補地となった各地域で様々な鉄道誘致運動が行われるようになる。；なお、同時に誘致活動が行われた製紙工場も同時期に操業を開始している。；同日の報道で、小此木がIR誘致に反対であることが明らかにされた。；福島県庁より正式に誘致を申入れたのは1960年5月であったという。；その後も新たな雇用の場として企業などの誘致に工業団地を整備した。；人口増加によって市内に警察署の設置が誘致されてきたが実現しなかった。；これについては沿線住民の一部から駅の移転誘致を希望する声が挙がった。；鉄道や高速道路が通っていないこともあり、工場誘致もあまり行われていない。；以後工場誘致は順調に進み、市内各地に大企業の大型工場が進出した。；東京ディズニーランドの誘致を始めとした数多くの政策を打ち出した。；大阪北港の一画を占め、レジャー施設や物流拠点などが誘致されている。；なお、施設を「誘致」することで意図的に町人口の操作を行うことも可能。；また、振興策に魅力を感じて積極的に誘致する自治体もしばしば見られる。；町長となった森が熱心に取り組んだことの一つが根上への産業誘致であった。；県内の公共事業の誘致にも力を発揮し、保守王国と呼ばれる礎を築いた。；USGBCは今までに7000以上の組織を会員として誘致してきた。</t>
        </is>
      </c>
      <c r="J8554">
        <f>HYPERLINK("https://www.weblio.jp/content/誘致", "词义详情")</f>
        <v/>
      </c>
      <c r="K8554">
        <f>HYPERLINK("https://yourei.jp/誘致", "查看例句")</f>
        <v/>
      </c>
    </row>
    <row r="8555">
      <c r="A8555" t="inlineStr">
        <is>
          <t>誘導</t>
        </is>
      </c>
      <c r="B8555" t="inlineStr">
        <is>
          <t>成功</t>
        </is>
      </c>
      <c r="C8555" t="inlineStr">
        <is>
          <t>読み方：ゆうどう
［名］(スル)
１さそいみちびくこと。人やものをある地点・状態にみちびいてゆくこと。「車を停止位置に—する」「客を非常口へ—する」
２電気や磁気が、その電場や磁場の中にあるものに対して作用を及ぼすこと。静電誘導・磁気誘導・電磁誘導など。感応。
３発生学で、胚のある部域の分化の方向が、近接する他の胚域からの影響によって決定されること。眼杯によってレンズが誘導され、レンズによって角膜が誘導されるなど。→形成体</t>
        </is>
      </c>
      <c r="D8555" t="inlineStr">
        <is>
          <t>誘導する(18%)；誘導される(6%)；誘導方式；誘導システム；誘導員</t>
        </is>
      </c>
      <c r="E8555" t="inlineStr">
        <is>
          <t>指導；案内；率いる；刺激；先行</t>
        </is>
      </c>
      <c r="F8555" t="inlineStr">
        <is>
          <t>無誘導；交通誘導；レーダー誘導；無線誘導；誘導路</t>
        </is>
      </c>
      <c r="G8555" t="inlineStr">
        <is>
          <t>誘導装置；誘導路；誘導電動機；誘導ミサイル；誘導弾</t>
        </is>
      </c>
      <c r="H8555" t="n">
        <v>29</v>
      </c>
      <c r="I8555" t="inlineStr">
        <is>
          <t>無誘導の兵器であったが、自動的に高度を維持する装置は必須であった。；もちろん弛緩を用いて催眠誘導する方法もあるが、それが全てではない。；パルス誘導推進器はパルスを連続的に出す事で推進力を得るものである。；クロード・ノブスが観客を必死に誘導したので幸い負傷者は出なかった。；誘導員となるには、誘導員試験に合格し、誘導員資格を得る必要がある。；外部から与えた化合物によって遺伝子発現を誘導するために開発された。；発射筒の横にあるのが照準器 前記第1世代を改良した誘導方式を採用。；第七〇五空の一式陸攻も零戦隊を誘導しているが、その後の戦果は不明。；発射母機は終端誘導が開始された時点で回避行動に移る事ができる。；ここには、地上から上空の目標まで誘導される自動迎撃装置が搭載された。；内閣技術院の総裁である八木自身も熱線誘導兵器の研究を推進していた。；自分たちは賢く、馬鹿な国民を誘導しなくてはダメという態度に見える。；槙は8万人規模では、災害などで避難誘導するのは難しいことを訴えた。；また、誘導砲弾を用いることで移動する物体を砲撃することができる。；彼はこの部分に形成体という名を与え、その働きを誘導と呼んだ。；これは魚雷に人間が乗って誘導し、確実に命中させるというものであった。；覆い方式のモデルでは、銅製の誘導ケーブルが鉄心の中を通されていた。；ホームにアナウンスの装置はなく、列車の到着時には駅員が乗客を誘導する。；I型・II型どちらでも躁病を誘導するため、抗うつ薬の使用は慎重に。；このような場合でも、乗客を誘導する目的を持って乗換駅と設定されることがある。；なお、戻る機能がないものや誘導機構を持たないものも多い。；ハリガネムシは宿主を水辺へ向かうように誘導し、水の中で体外に出る。；国鉄時代は誘導員を乗車させるため先頭に控車を連結させることもあった。；誘導方式は、基本的にはレティクル追尾方式の赤外線誘導を用いている。；このような物質を誘導物質というが、その一つはラクトースの異性体である。；少数機同士を誘導すると言う特性上ヒンメルベットはこれで無力化されてしまう。；観光資源が今後も持続するのに有利な証言が誘導されていた可能性を否定することはできない。；なお先頭誘導員がいるのは、一番前にいる選手が風の抵抗を受けて不利になるのを避けるためである。；適切な議論の場所がある場合はそちらへ誘導してください。</t>
        </is>
      </c>
      <c r="J8555">
        <f>HYPERLINK("https://www.weblio.jp/content/誘導", "词义详情")</f>
        <v/>
      </c>
      <c r="K8555">
        <f>HYPERLINK("https://yourei.jp/誘導", "查看例句")</f>
        <v/>
      </c>
    </row>
    <row r="8556">
      <c r="A8556" t="inlineStr">
        <is>
          <t>有能</t>
        </is>
      </c>
      <c r="B8556" t="inlineStr">
        <is>
          <t>成功</t>
        </is>
      </c>
      <c r="C8556" t="inlineStr">
        <is>
          <t>読み方：ゆうのう
［名・形動］才能のあること。また、そのさま。「—な人材」「—の士」⇔無能。
[派生]ゆうのうさ［名］</t>
        </is>
      </c>
      <c r="D8556" t="inlineStr">
        <is>
          <t>有能な人材(4%)；有能な人物(3%)；有能な将軍；有能な指揮官；有能な政治</t>
        </is>
      </c>
      <c r="E8556" t="inlineStr">
        <is>
          <t>充分；便；有効；優秀；適当</t>
        </is>
      </c>
      <c r="F8556" t="inlineStr">
        <is>
          <t>有能ぶり；有能な指導；有能な士官；有能な助手；有能な選手</t>
        </is>
      </c>
      <c r="H8556" t="n">
        <v>29</v>
      </c>
      <c r="I8556" t="inlineStr">
        <is>
          <t>クロウフォードも予想されたほど有能な指揮官ではないことが分かった。；夫は有能な化学者で、兄弟が継いだ紙工場の新しい漂白方法を発明した。；この隙にヴェイン達は町を襲撃し、地元の有能な船員たちを確保できた。；最も有能で最も純粋なものがこの主題では意見が一致しなかった。；彼らは良く開発された法的システムと有能な規制の創設を支持した。；また、有能な経営者の粛清や亡命もあって工業生産力も極端に低下した。；そしてここでも有能なところを見せ、わずか三ヶ月で軍の再編を完成させた。；このことは当時では実務官僚としては有能であったことを表わしている。；有能で経験を積んだ士官と認められたが、いたずらが嫌いではなかった。；彼は武人として有能なだけではなく、優れた指導的政治家でもあった。；卓越した行政能力と長年の経験が、彼を有能な外交官たらしめていた。；成功した実業家の子孫は親ほど有能ではないと信じていた。；家族思いの人物であったらしく、有能な弟達と常に良好な関係を維持していた。；父は学校長と牧師を兼務し、数学に造詣の深い有能な数学者でもあった。；その事件のあとで、ウィンクラー大統領は人が変わったように有能になった。；その弁論術と弁護士としての有能さで知られるようになったのはこの頃だった。；しかし実際に即位すると、クラウディウスは有能な皇帝であることを示した。；地域医療に貢献する有能な看護師を養成することを目的としている。；この制度の下で有能な個人が転換した社会で容易に名をあげることができたので軍と政府の双方が成功した。；クーリッジは税を低減させるだけでなく国の債務の縮小にも有能だった。；義務のメンバーをビジネスの彼の場所のための局所的に有能な建築家の室である。；また関係が良好だと有能な忍者やくのいちを借りられるようにもなる。；彼の死はその有能さと名望を朱元璋に恐れられて毒殺された説もあると伝わる。；その後、多くの有能な女性たちもこの活動に参加して市民運動のような形になった。；ジョーの任命を批判した人々も、その結果の前には彼の有能さを認めざるを得なかった。；もう一つの秦の優位は、広大で効率的で 有能な将軍がいたことである。；その果敢さを見た武帝は彼を有能と評したが、その李当戸は早世した。；この戦争でカナダに派遣されたフランスの士官の中で、最も有能な人物の一人であった。；フォークナーやはウルフを同時代の作家で最も有能な人物と位置づけた。</t>
        </is>
      </c>
      <c r="J8556">
        <f>HYPERLINK("https://www.weblio.jp/content/有能", "词义详情")</f>
        <v/>
      </c>
      <c r="K8556">
        <f>HYPERLINK("https://yourei.jp/有能", "查看例句")</f>
        <v/>
      </c>
    </row>
    <row r="8557">
      <c r="A8557" t="inlineStr">
        <is>
          <t>夕飯</t>
        </is>
      </c>
      <c r="B8557" t="inlineStr">
        <is>
          <t>成功</t>
        </is>
      </c>
      <c r="C8557" t="inlineStr">
        <is>
          <t>読み方：ゆうはん
夕べの食事。夕食。夕餉(ゆうげ)。ゆうめし。</t>
        </is>
      </c>
      <c r="D8557" t="inlineStr">
        <is>
          <t>夕飯後(3%)；夕飯時(2%)；夕飯前；夕飯どき；夕飯を食べさせ</t>
        </is>
      </c>
      <c r="E8557" t="inlineStr">
        <is>
          <t>食事；夕食；昼食；ランチ；御飯</t>
        </is>
      </c>
      <c r="F8557" t="inlineStr">
        <is>
          <t>一緒に夕飯；遅い夕飯；帰って夕飯；うまい夕飯</t>
        </is>
      </c>
      <c r="H8557" t="n">
        <v>29</v>
      </c>
      <c r="I8557" t="inlineStr">
        <is>
          <t>十にならない子供は夕飯のあとから家を出るもんじゃないなどと言って。；もし、君のほうが先についたら、夕飯は八時に頼んでおいてくれたまえ。；わたしはかれらがそのうちの中で夕飯を食べている姿を見ることができた。；合鴨を買って待っていたのだからと云って十時頃になって夕飯をたべた。；優子さんはあの晩、あの子の作った夕飯に手をつけていませんでしたね。；彼は夕飯に行かうともしなければ細君の方から呼びに来もしなかつた。；夕飯も一緒に食へと勧めたので夕飯も一緒に食つてまた九時頃まで話した。；又他の者は夕飯を抜く事を強制され、そして或者は、打たれさへもした。；ご夕飯がすむと、急にお熱が出て、今お医者さまがいらしったんですの。；僕も明日の午後くらいには帰ってくるから、夕飯は一緒に食べられそうだね。；これがすむとお夕飯までは自分の好きなことをしてもいいのだった。；彼はふと夕飯の時に夫の唇から洩れた同情のある言葉を思ひ出した。；それは夕方で、私は夕飯を食べに出かけるところで彼に出会ったのである。；先生が外へ出かけたくないときには、これでりっぱな夕飯になるだろうが?；昨夜は中川や何か四人ばかり來て夕飯をくつて快談をして暮らしました。；夕飯を食べてすぐに眠くなるほど疲れるようなことをしたおぼえもないし。；夕飯の仕度の出来るまで赤ん坊をおぶって廊下を何度も行ったり来たり。；改まった畳の上で、お雪は皆なと一緒に、楽しそうに夕飯の膳に就いた。；支倉の戻ったのは夕飯後ですから、七時か八時頃であったと思います。；私は着くとすぐにピアノに向かって、夕飯どきまで離れませんでした。；甚だ不躾けの話だが、早く夕飯のときがくればいいと待っていたのである。；彼は夕飯に往こうともしなければ、細君の方からも呼びに来もしなかった。；新しく今日乗り込んで来た連中は、列車ではじめての夕飯をたべながら。；わたくしはどこで夕飯をととのえようかと考えながら市設の電車に乗った。；そこで女王は立ち上がると、夕飯の時刻まで一同に暇をとらせました。；とても遊びに来た友人の為に用意される夕飯だとは思えない!；夕飯の時刻には、すっかり感動した決意で胸をいっぱいにして、帰ってくる。；そこへおトラが夕飯の知らせに来るが、皆に勧められて彼女も野球を始める。；その夜、夕飯のとき、海蔵さんは年とったお母さんに、こう話しました。</t>
        </is>
      </c>
      <c r="J8557">
        <f>HYPERLINK("https://www.weblio.jp/content/夕飯", "词义详情")</f>
        <v/>
      </c>
      <c r="K8557">
        <f>HYPERLINK("https://yourei.jp/夕飯", "查看例句")</f>
        <v/>
      </c>
    </row>
    <row r="8558">
      <c r="A8558" t="inlineStr">
        <is>
          <t>夕日</t>
        </is>
      </c>
      <c r="B8558" t="inlineStr">
        <is>
          <t>成功</t>
        </is>
      </c>
      <c r="C8558" t="inlineStr">
        <is>
          <t>読み方：せきじつ
ゆうひ。入り日。</t>
        </is>
      </c>
      <c r="D8558" t="inlineStr">
        <is>
          <t>夕日ヶ；夕日町；夕日がさして；夕日が赤く；夕日が美しい</t>
        </is>
      </c>
      <c r="F8558" t="inlineStr">
        <is>
          <t>真っ赤な夕日；朝日夕日；大きな夕日；美しい夕日；燃えるような夕日</t>
        </is>
      </c>
      <c r="G8558" t="inlineStr">
        <is>
          <t>夕日影；夕日ロマンス；夕日の滝；夕日ヶ浦木津温泉駅；夕日ヶ浦海岸</t>
        </is>
      </c>
      <c r="H8558" t="n">
        <v>29</v>
      </c>
      <c r="I8558" t="inlineStr">
        <is>
          <t>半蔵らは夕日の満ちた深い谷を望むことのできるような部屋に来ていた。；ゆう日はもう山のかげに隠れていましたが、川の上はまだ明るいのです。；やがてわが居る山の影、夕日に長く川のかなたまで及ぶばかりとなりぬ。；火の消えかけた夕日のような、赤く丸い球体が部屋の奥に浮かんでいる。；まだ夕日になるまで時間があるのに弥生ちゃんの瞳は赤くなっている。；夕日が本郷高台一円の空を金色にそめてゐるのを私はよく見に出ました。；そのころの一日、わたしは夕日を受けて別府の海岸沿いの道を歩いていた。；赤い夕日が落ちて夜になれば、学校に残る人間はいなくなるだろう。；その名の通り、角力灘の夕日の絶景が見られるポイントに位置している。；セスナ172は同じ高度で西へ飛行しており、夕日の方向に向かっていた。；わたしが母の顔をずっと眺めていると、やがて夕日が障子を赤くした。；久慈は全く不意に感動を覚えて夕日の方を向いたまま無意味に歩いた。；そしてその時の夕日を浴びた父の幻覚をはっきりと見る事が出来る。；今さき朝起きた筈だのにと思っているともう夕日が窓から射して来る。；するとちょうどそこへ、夕日をうけた水の下から女の人がやっと出て来ました。；楊樹にさし入った夕日の光が細かな葉を一葉一葉明らかに見せている。；気がつくと目の前の都市の風景が夕日で赤く染め上げられていた。；私は失明前の記憶をたどって、夕日が沈んでゆく風景を想像していた。；僕は小高い丘の上に立ち、まさに海へ沈まんとする夕日を眺めていた。；やがてそれも消えたとき、西の空には山も夕日も残ってなかった。；私もその瓦の上を歩いてゐるとあのお池の水が夕日に光つて見えた。；夕日はもう山の向こうに落ちていたが空はバラ色に照らされていた。；やがて夕日の頃となると次第にこの山の眺めが生きて来た。；ところで、われわれはこの沈んでゆく夕日を暁の光と勘違いしているのだ。；その顔は、金色の靄のなかに沈んでゆく夕日の残りの光に照らされていた。；私たちが出発したのは、もう夕日の光がうすれはじめたころでした。；が子供たちは大喜びで、夕日までがその喜びに交じって輝いていた。；向うの丘の上に次第に消えて行く夕日の影をかれはじつと見詰めた。；その後夕日に照らされながら肌を寄せ合う二人が描かれている。</t>
        </is>
      </c>
      <c r="J8558">
        <f>HYPERLINK("https://www.weblio.jp/content/夕日", "词义详情")</f>
        <v/>
      </c>
      <c r="K8558">
        <f>HYPERLINK("https://yourei.jp/夕日", "查看例句")</f>
        <v/>
      </c>
    </row>
    <row r="8559">
      <c r="A8559" t="inlineStr">
        <is>
          <t>優美</t>
        </is>
      </c>
      <c r="B8559" t="inlineStr">
        <is>
          <t>成功</t>
        </is>
      </c>
      <c r="C8559" t="inlineStr">
        <is>
          <t>読み方：ゆうび
［名・形動］上品で美しいこと。しとやかで美しいこと。また、そのさま。「—な和服姿」「—に舞う」
[派生]ゆうびさ［名］</t>
        </is>
      </c>
      <c r="D8559" t="inlineStr">
        <is>
          <t>優美な曲線(2%)；優美な姿；優美な旋律；優美な線；優美な動作</t>
        </is>
      </c>
      <c r="E8559" t="inlineStr">
        <is>
          <t>優しい；上品；優雅；趣；風情</t>
        </is>
      </c>
      <c r="F8559" t="inlineStr">
        <is>
          <t>繊細優美；高尚優美；長く優美；長い優美；優美な肢体</t>
        </is>
      </c>
      <c r="G8559" t="inlineStr">
        <is>
          <t>優美館；優美な屍骸</t>
        </is>
      </c>
      <c r="H8559" t="n">
        <v>29</v>
      </c>
      <c r="I8559" t="inlineStr">
        <is>
          <t>気持のいい不信仰さが、更にみなの議論を優美なものにしていたのだ。；東の部屋ではとても優美に見えた自分の服がいかにも貧弱に感じられた。；目にしたのは恐ろしげでありながら優美さも同時に感じさせる生物だった。；アペレスが特に卓越していたのは無限の優美さであったと言われている。；優美でいささか感動的な響きのある命題によってこの書物は閉じられる。；侍従香では源氏の製作がすぐれて艶で優美であると宮はお言いになった。；ピアノのぶちまけるような動きは弦の優美な囁きの中へ倒れこんでいく。；自分のきれいであることを知って、彼は更に優美ならんことを欲した。；こんな風にして、多少優美な雰囲気に包まれて生活しているのです。；この時期の帝国艦は、古風な短筒を思わせる優美なデザインをしていた。；かわるがわる読み役になる者は優美な読み方を工夫せねばならなかった。；その流れるように優美な足どりであの驚くべき下肢をすべらせていった。；長い尾鰭を持つその姿は優美とされ、ダイバーの憧れの魚の一つである。；それは、脚の長い優美な台つきの大杯で、薄い緑色のガラスでできていた。；彼女は、優美な赤いふくろをもって、急ぎ足に彼らのほうへやって来た。；彼女はこの人物と面会するために通りながらこの男を優美な人だろうと想像した。；そのためか漢詩にある種の優美さを求める日本の読者にはあまり人気がない。；昨夜の衣裳の豪華な優美さと今のそれの簡素さの対照を彼は快く思った。；彼女の肌は美しく、目鼻だちは優美で、このうえなくはっきりとしていた。；その周囲は五、六尺高さの石塀で、入口の門はシナ風の優美なる門です。；青年の優美な姿は、上皇に息子の母、故建春門院のありし日を偲ばせた。；この目的で最も優美な部屋が取って置かれることも多かった。；これらは旋律に満ち溢れており、その優美さは今なお高く評価されている。；だがある夜優美は公園で、昼間の里奈とは全く違う雰囲気の彼女に出会う。；ペテルブルグの最上流社會からやって來た、じつに優美な青年でしたよ!；モレルの動きは、彼が偉丈夫であっただけに一つ一つがみな優美であった。；長い優美な尻尾を引きながら青い藻の中に見え隠れする金魚の群がある。；優美な引き締った臀部と釣り合いのとれた張りのある乳房を持っていた。；幾分古典的で優美で端然とした心持ちを、私は出し得たと思っています。</t>
        </is>
      </c>
      <c r="J8559">
        <f>HYPERLINK("https://www.weblio.jp/content/優美", "词义详情")</f>
        <v/>
      </c>
      <c r="K8559">
        <f>HYPERLINK("https://yourei.jp/優美", "查看例句")</f>
        <v/>
      </c>
    </row>
    <row r="8560">
      <c r="A8560" t="inlineStr">
        <is>
          <t>郵便</t>
        </is>
      </c>
      <c r="B8560" t="inlineStr">
        <is>
          <t>成功</t>
        </is>
      </c>
      <c r="C8560" t="inlineStr">
        <is>
          <t>読み方：ゆうびん
１書状・はがきや荷物などを宛先の人に送り届ける通信事業。日本の郵便制度は前島密(まえじまひそか)により、明治4年（1871）発足。官営事業から平成15年（2003）日本郵政公社として公社化され、平成19年（2007）郵政民営化により、日本郵政グループへと引き継がれた。「荷物を—で送る」「速達—」「航空—」
２「郵便物」の略。「—が届く」「—を出す」</t>
        </is>
      </c>
      <c r="D8560" t="inlineStr">
        <is>
          <t>郵便局長(5%)；郵便屋(5%)；郵便料金(2%)；郵便輸送(2%)；郵便物</t>
        </is>
      </c>
      <c r="E8560" t="inlineStr">
        <is>
          <t>手紙；状；書；文；便</t>
        </is>
      </c>
      <c r="F8560" t="inlineStr">
        <is>
          <t>郵便袋；郵便函；郵便区；郵便電信；郵便網</t>
        </is>
      </c>
      <c r="G8560" t="inlineStr">
        <is>
          <t>郵便物；郵便受け；郵便配達；郵便番号；郵便貯金</t>
        </is>
      </c>
      <c r="H8560" t="n">
        <v>29</v>
      </c>
      <c r="I8560" t="inlineStr">
        <is>
          <t>郵便および通信を管轄していた旧逓信省由来の業務用語が多く見られる。；特に戦間期には郵便機と呼ばれる郵便輸送用の航空機が多数運用された。；車内の構成は、前位から運転室・荷物室・郵便室・三等室となっている。；これらの書類等は秋田県の郵便の歴史を知る上で貴重な資料となっている。；なお洪英植は現在の韓国では近代朝鮮の郵便の父として尊敬されている。；穀物や郵便物を入れたり、土嚢を作るために使われてきた麻でできた袋。；民信局は郵便局と為替銀行の面をもっており、貿易を兼業する者もいた。；逓信省は、かつて日本に存在した郵便や通信を管轄する中央官庁である。；設立に伴い、全国の郵便専用自動車運行事業者の統合等が推進された。；さらに2007年8月21日に会員に郵便での正規版の販売を開始した。；またその作品に登場する、郵便をモチーフにした少女戦士たちの名前。；これらの郵便を利用したゲームを総称して「プレイバイメール」という。；このうちオープン窓は郵便では利用できず手渡しされる場合などに利用される。；車内は前位から運転室・荷物室・郵便室・三等室に区分されている。；例えば、郵便の各手紙がデータのひとつのフレームに相当するとする。；特に高年齢の郵便差出人にZIPコードを覚えさせるのは困難だった。；願書受付は本人が直接提出することを原則とし、郵便では受け付けない。；スイスとの関税同盟があり、郵便や電話の制度はスイスと共通となっている。；これを続けていって郵便網を発達させるのが目的である。；以来、日本国内の郵便輸送は自動車輸送を中心とする体系となり現在に至っている。；室内には郵便区分棚が設置され、窓には保護棒が追加された。；しかしながら島外との郵便輸送は八重山郵便局との間のみに限られた。；郵便区分室の明かり取り窓は角に丸みを帯びた長方形状のものが設けられた。；荷物輸送量の少ない線区向けには、旅客車や郵便車との合造車も見られた。；以後、警官・鉄道員・郵便夫等の制服、また教員の服装などが西洋化した。；また、送っても返事が来ないような郵便物を入れた場合も、やはり返事は出てこない。；郵便の輸送だけではなく同時に乗客を乗せたのだった。；市域西にあるこの大きな未編入領域は郵便用住所と電話局番も含まれている。；郵便局により異なるが、ここでは主な郵便局の窓口での取扱いを挙げる。</t>
        </is>
      </c>
      <c r="J8560">
        <f>HYPERLINK("https://www.weblio.jp/content/郵便", "词义详情")</f>
        <v/>
      </c>
      <c r="K8560">
        <f>HYPERLINK("https://yourei.jp/郵便", "查看例句")</f>
        <v/>
      </c>
    </row>
    <row r="8561">
      <c r="A8561" t="inlineStr">
        <is>
          <t>郵便局</t>
        </is>
      </c>
      <c r="B8561" t="inlineStr">
        <is>
          <t>成功</t>
        </is>
      </c>
      <c r="C8561" t="inlineStr">
        <is>
          <t>読み方：ゆうびんきょく
郵便物の引き受け・交付、郵便切手の販売など郵便窓口業務やそれに付随する業務を行う事業所。日本郵便株式会社が全国に設置し、日本郵政グループ各社の代理店として郵便・貯金・生命保険などの窓口業務を行う。平成19年（2007）の郵政民営化以前は日本郵政公社の現業機関として郵便・郵便貯金・郵便為替・郵便振替・簡易生命保険などの窓口業務を行った。</t>
        </is>
      </c>
      <c r="D8561" t="inlineStr">
        <is>
          <t>郵便局長(3%)；郵便局内；郵便局名；郵便局ネットワーク；郵便局付近</t>
        </is>
      </c>
      <c r="F8561" t="inlineStr">
        <is>
          <t>各郵便局；内郵便局；旧郵便局；当郵便局；小さな郵便局</t>
        </is>
      </c>
      <c r="G8561" t="inlineStr">
        <is>
          <t>郵便局前；郵便局株式会社；郵便局会社；郵便局留め；郵便局巡り</t>
        </is>
      </c>
      <c r="H8561" t="n">
        <v>29</v>
      </c>
      <c r="I8561" t="inlineStr">
        <is>
          <t>同様に、切手を購入するための従来の機械も多くの郵便局で利用できる。；郵便局や年賀状印刷メーカーによると、以下のような用途で用いられる。；国によっては、郵便局が上記の郵便以外の業務を行っている場合がある。；日本国内に存在する全郵便局の中枢であり、局長は現場の最高職である。；このため、一部の収納業務は市内の郵便局の貯金窓口でも対応している。；鉄道郵便廃止後は青森輸送郵便局となり地域区分局の業務を行っていた。；ヨーロッパでOCRを最初に採用したのはイギリスの郵便局だった。；この要求は1840年に法案が提出され、ヒルは郵便局の職員となった。；各地が襲撃を受け、かろうじて通信が繋がるのが泊居郵便局のみとなる。；各地の公開収録の都度郵便局に寄っては収録地の記録を残していた。；自宅の近所の郵便局について記事を作るのは簡単かもしれません。；この他の市内に所在する集配業務を行わない郵便局は、以下の通り。；内地編入までは樺太庁管轄下にて郵便局は設置及び監督されていた。；その後、郵便局は増加したが、特に植民地用の切手は発行されていなかった。；吉野山郵便局の中には、宮之城線廃止前の当時の写真が展示してある。；逓信省時代から一部の大都市を除いて郵便局が電話業務を扱っていた。；集落には郵便局や小学校などあるが、集落の外に出ると牧場などが広がっている。；母は流川町の郵便局で働くようになっていたので広島に残った。；実家の没落で小学校卒業と同時に郵便局に勤め、のちに一家で上京。；ダンツィヒのポーランド郵便局はいくつかの建物からなっていた。；この駅は現駅からは約1kmほど北の、稚内港郵便局のあるあたりであった。；郵便局により異なるが、ここでは主な郵便局の窓口での取扱いを挙げる。；私設ポストとは別に郵便局以外がポストを独自に設置する場合もある。；駅舎は地元の郵便局との合築となっており、1番のりばに面している。；多摩市にある多摩郵便局とよく似た名前だが全く別の郵便局である。；かつての駅舎前付近には酒店・薬局・そば店・郵便局などがある。；また郵便局に勤めている間の1955年頃に父親が感電事故で亡くなっている。；また中心部の市民センター内に郵便局でナウルの切手が購入できる。；郵便局の横を通過する道路は駿遠線の廃止後に拡張された。</t>
        </is>
      </c>
      <c r="J8561">
        <f>HYPERLINK("https://www.weblio.jp/content/郵便局", "词义详情")</f>
        <v/>
      </c>
      <c r="K8561">
        <f>HYPERLINK("https://yourei.jp/郵便局", "查看例句")</f>
        <v/>
      </c>
    </row>
    <row r="8562">
      <c r="A8562" t="inlineStr">
        <is>
          <t>裕福</t>
        </is>
      </c>
      <c r="B8562" t="inlineStr">
        <is>
          <t>成功</t>
        </is>
      </c>
      <c r="C8562" t="inlineStr">
        <is>
          <t>読み方：ゆうふく
［名・形動］財産や収入がゆたかで生活に余裕があること。また、そのさま。富裕。「—な家庭」「—に暮らす」
[派生]ゆうふくさ［名］</t>
        </is>
      </c>
      <c r="D8562" t="inlineStr">
        <is>
          <t>裕福な家庭(10%)；裕福な商人(3%)；裕福な生活；裕福な暮らし；裕福な人々</t>
        </is>
      </c>
      <c r="E8562" t="inlineStr">
        <is>
          <t>富裕；リッチ；富有；富饒</t>
        </is>
      </c>
      <c r="F8562" t="inlineStr">
        <is>
          <t>裕福なユダヤ人；裕福な都市；裕福な人物；裕福な層；裕福な実業家</t>
        </is>
      </c>
      <c r="H8562" t="n">
        <v>29</v>
      </c>
      <c r="I8562" t="inlineStr">
        <is>
          <t>メンバーは裕福な家庭出身の数十人の学生で現在では社会復帰している。；裕福とはいかないまでも、暮らしに困るほどではない中流の家であった。；当時のフランスはヨーロッパでもっとも裕福で力のある国家であった。；夫は貴族とはいえ三男で、それほど裕福な家庭生活は期待できなかった。；こうして男は屋敷の主人となり、裕福な暮らしを手に入れることができた。；裕福な家に生まれたギャレットは、陸上競技に優れた才能を見せていた。；浜口の父は建設会社を経営する実業家で、家庭環境は非常に裕福だった。；父親はイタリア出身、母親はチリ人、家庭は大変に裕福であったという。；裕福な家庭だったが、自分のことには一切お金を使おうとしなかった。；修道院は寄進によってロシアで最も裕福な地主の一つに成長していった。；彼の親はポルトガル系で、メキシコで最も裕福な家庭のうちの一つだった。；幼少期の生い立ちは国会議員の父の元裕福な家庭に生まれ育ったという。；だが現在ではかつてのように裕福な暮らしはもはや望めず、金に困る一家。；第17窟には、裕福な商人の息子であるシンハラの物語が描かれている。；父親のポッゲはステッキ工場を経営しており、暮らし向きは裕福である。；ジョンはそのような裕福な一家で将来活躍することを期待されつつ誕生したのであった。；家が裕福ではなかったこともあり、マッコビーは12歳から働き始めた。；父は大手の呉服商や織物工場を営み、戦前はかなり裕福な家庭で育った。；彼は弁護士で、裕福で成功した父親の期待に応えようと奮闘していた。；貧しい階級のものではないが、絶対に裕福な家庭の者でもなかった。；ジョビンには裕福な家庭の出身だったが、学歴は充分には得られなかった。；裕福な家に生まれ、父はフランス語の新聞を読むような知識人であったといわれる。；そのために急に裕福になった家は、人形神を祀っているのだと噂されていた。；最も古い部分の埋葬者は、主に裕福で古くからの土着の家族の一員たちである。；エドワードの妻は裕福で、所有していたコテージで生活するようになった。；コルドリエクラブの実権を握っていたものも裕福なブルジョアであった。；父親は漁船の船長をしていたが、暮らしは決して裕福ではなかった。；おじいさんの家からみると、ここの家はずっとゆうふくに見えました。；元々は、裕福な貴族の娘のために書かれた作品で、当初から教育的作品であった。</t>
        </is>
      </c>
      <c r="J8562">
        <f>HYPERLINK("https://www.weblio.jp/content/裕福", "词义详情")</f>
        <v/>
      </c>
      <c r="K8562">
        <f>HYPERLINK("https://yourei.jp/裕福", "查看例句")</f>
        <v/>
      </c>
    </row>
    <row r="8563">
      <c r="A8563" t="inlineStr">
        <is>
          <t>夕べ</t>
        </is>
      </c>
      <c r="B8563" t="inlineStr">
        <is>
          <t>成功</t>
        </is>
      </c>
      <c r="C8563" t="inlineStr">
        <is>
          <t>読み方：ゆうべ
《「夕(ゆう)方(へ)」の意。古くは「ゆうへ」》
１日の暮れるころ。夕方。「秋の—」⇔朝(あした)。
２何かの催し物が行われる夜。「音楽の—」
３《一説に、「よ（夜）べ」の転じた「ようべ」の音変化とも。「昨夜」とも書く》きのうの夜。さくや。昨晩。「—は飲み明かした」「—地震があった」</t>
        </is>
      </c>
      <c r="D8563" t="inlineStr">
        <is>
          <t>夕べ夕べ；夕べ大臣</t>
        </is>
      </c>
      <c r="E8563" t="inlineStr">
        <is>
          <t>晩；夕方；暮れ；夕；夕刻</t>
        </is>
      </c>
      <c r="F8563" t="inlineStr">
        <is>
          <t>夕べ遅く；あした夕べ；楽しい夕べ</t>
        </is>
      </c>
      <c r="G8563" t="inlineStr">
        <is>
          <t>夕べの星；夕べの広場；夕べの雲</t>
        </is>
      </c>
      <c r="H8563" t="n">
        <v>29</v>
      </c>
      <c r="I8563" t="inlineStr">
        <is>
          <t>気候の適当な時期においては池は非常に規則的に夕べの時砲を発射する。；付近一帯が灰色の影に包まれ、高原はたちまち夕べの気配を帯び始める。；おまえ、追いかけられているとか言いながら、夕べ外に出ていただろう?；日も落ちたし雪も降り出しそうな空になって来た心細い夕べであった。；プロントのスタッフも、夕べの人間とは変わってて、何も知らなかった。；夕べお捜ししたんですがどうしても見つからなくて困っていたんです。；夕べの事象は、自然そのものが我々に協力してくれた結果にすぎない。；山の頂に見る入日の姿、それは夏の夕べのなつかしい眺めの一つである。；そして夕べの食事が終るとすぐに彼女は自分の部屋へとじこもるのだった。；ある夕べ彼は自分の夢にまったくわれを忘れてディビッドを驚かせた。；夕べの露にも異ならない命を持って安んじていられるわけはないのだからね。；しかし進一君は、夕べ寝ぼけていたとは、どうしても思えないのでした。；その夕ベ、彼らは青葉と紅の花とに包まれた小さな美しい城についた。；逃げ回るのに夢中で気がつかなかったが、夕べから何も食べていなかったのだ。；だから僕は朝は一人で夕べの残りを食べて学校へ行った。；朝の壁の色と、昼の壁の色と、そして夕べの壁の色とは全くちがう。；夕べ夕べの來るのを待つ二人の身には、日中が長いやうに思はれた。；春の夕べには心も晴れ晴れと聞き、秋の宵にはうら寂しい心持で聞いた。；夕べの靴がないと、メイフィールドが出発前に大騒ぎしたのを思い出した。；水の光を白砂にたよつて、子の口の夕べの宿に着いたのである。；「働く婦人の夕べ」こそ本当に働く婦人のためになる催しだからです。；詩の夕べでそんなに耳をつんざくような笑い声を聞いたことがない。；有名な歌手が、有名なホテルで挙行する〝夕めしつき歌の夕べ〟である。；おれはモロソフのおかげで、こんな退屈な夕べにひきずりこまれたんだ。；そして、刑務所内の夕べ夕べがどんなものか、誰にも想像がつかないのだ。；彼はある夏の夕べ、緑のドレスで広場を散歩している女を見た。；なぜおれは小さな子供のようにここにひざまずいて夕べの祈りを唱えているのか?；夕べ早々に退出されたとき、あのメモは奴らの企みだと思っていました。；そして夕べに散歩をともにしようと彼が訪れたときにも彼を追いかえしてしまった。</t>
        </is>
      </c>
      <c r="J8563">
        <f>HYPERLINK("https://www.weblio.jp/content/夕べ", "词义详情")</f>
        <v/>
      </c>
      <c r="K8563">
        <f>HYPERLINK("https://yourei.jp/夕べ", "查看例句")</f>
        <v/>
      </c>
    </row>
    <row r="8564">
      <c r="A8564" t="inlineStr">
        <is>
          <t>有望</t>
        </is>
      </c>
      <c r="B8564" t="inlineStr">
        <is>
          <t>成功</t>
        </is>
      </c>
      <c r="C8564" t="inlineStr">
        <is>
          <t>読み方：ゆうぼう
［名・形動］将来に望みのあること。よくなる見込みのあること。また、そのさま。「前途—な青年」「—株」
[派生]ゆうぼうさ［名］</t>
        </is>
      </c>
      <c r="D8564" t="inlineStr">
        <is>
          <t>有望視(7%)；有望選手(7%)；有望な若手(4%)；有望な選手(3%)；有望な新人</t>
        </is>
      </c>
      <c r="E8564" t="inlineStr">
        <is>
          <t>明るい；頼もしい；明い；有為；洋々たる</t>
        </is>
      </c>
      <c r="F8564" t="inlineStr">
        <is>
          <t>前途有望；若手有望；オリンピック有望；有望性；有望若手女優</t>
        </is>
      </c>
      <c r="H8564" t="n">
        <v>29</v>
      </c>
      <c r="I8564" t="inlineStr">
        <is>
          <t>近年、多くの大会が開催されており、多くの有望な選手が誕生している。；書類と最近のテストの結果は、きみが有望な素材であることを示している。；有望な学生であったが病気のためケンブリッジ大学への進学を断念した。；技術的なことはよくわからないけど、理論からすると有望なものらしいわ。；それにはどうしてもどこか有望な場所に支店を持つよりほかないのでした。；そんな蝦夷の息子である蘇我鞍作も将来を有望され立派に成長していた。；これは非常に有望のことで、自然界の力の研究に大なる価値があるだろう。；両社からそれぞれの設計案が提出され、ラインメタル案が有望とされた。；それにはどうしてもどこか有望な場所に支店を持つよりほかはないのでした。；尾張電車鉄道と一宮電気鉄道の計画は輸送需要などから有望とされていた。；その当時は、スタンディングの方が有望な選手であると思われていた。；そのつぎには南のはずれのアリゾナ州が有望だから行くとありました。；最も有望な、最も危険な時期が自分に来ていることは彼にも分った。；そういう有望な人がつまらぬ習慣に引っかかっていないとも限らない。；続いて有望な鉱脈に到達するべくあらゆる方向にトンネルが掘られた。；達海はプロデビュー以前、決して将来を有望視される選手ではなかった。；大阪エリアの有望選手の情報を巨人に提供する役割を担っている。；様々なジャンルにおいて、多くの将来有望なバンドをプロデュースした。；日支交渉でいちばん有望なときは、トラウトマンの仲介のころであった。；私はこれまで自分はお化けになれないと思っていたけれどもこの分ではやや有望です。；企業のM&amp;Aも盛んに行われており、今後の発展が有望視されている。；それ故工房には前途有望な若い芸術家たちが大勢集まることとなった。；近年は近隣国の有望選手を帰化させることでチーム力アップに務めている。；この仮説は証明されていないが、多くの言語学者が有望であると考えている。；将来が有望視されていたが、大成することのないまま1987年に引退した。；有望な研究結果が出ており、ヒト患者での臨床試験の実施が期待されている。；有望なレトロポゾンによるものや、近年の複数の研究でも支持されている。；ADの障害を模倣した動物モデルでは、これらの薬剤は有望視されている。；転じて、成長を期待できる将来有望な人材を指す言葉としても用いられる。</t>
        </is>
      </c>
      <c r="J8564">
        <f>HYPERLINK("https://www.weblio.jp/content/有望", "词义详情")</f>
        <v/>
      </c>
      <c r="K8564">
        <f>HYPERLINK("https://yourei.jp/有望", "查看例句")</f>
        <v/>
      </c>
    </row>
    <row r="8565">
      <c r="A8565" t="inlineStr">
        <is>
          <t>遊牧</t>
        </is>
      </c>
      <c r="B8565" t="inlineStr">
        <is>
          <t>成功</t>
        </is>
      </c>
      <c r="C8565" t="inlineStr">
        <is>
          <t>読み方：ゆうぼく
［名］(スル)1か所に定住しないで、牛や羊などの家畜とともに水や牧草を求めて、移動しながら牧畜を行うこと。「裾野の草原で—する」</t>
        </is>
      </c>
      <c r="D8565" t="inlineStr">
        <is>
          <t>遊牧地(8%)；遊牧集団(8%)；遊牧生活(7%)；遊牧的(4%)；遊牧部族(3%)</t>
        </is>
      </c>
      <c r="F8565" t="inlineStr">
        <is>
          <t>トナカイ遊牧；遊牧諸；伝統的な遊牧；遊牧国家；遊牧民族</t>
        </is>
      </c>
      <c r="G8565" t="inlineStr">
        <is>
          <t>遊牧民族；遊牧国家；遊牧騎馬民族；遊牧帝国；遊牧政権</t>
        </is>
      </c>
      <c r="H8565" t="n">
        <v>29</v>
      </c>
      <c r="I8565" t="inlineStr">
        <is>
          <t>遊牧的な生活を送る雌が新たな群れに加わるのは雄よりも遥かに難しい。；オッチギンは遊牧と農耕を基盤にこの地で独立的な勢力を形成していた。；この地帯は、古代においては遊牧騎馬系の諸族が活躍したところである。；このあたりの街道の警備にあたっているのは遊牧のアラブ族である。；旗ごとに牧地が指定され、その地域を越えた遊牧は禁止されていた。；彼らは遊牧していた時代からソグド人の影響を受けマニ教を尊崇していた。；インディアナの最も初期と考えられる住民は遊牧的な先住民族だった。；第2の要素は中央アジアにおいて遊牧が行われなくなってきたことである。；これは遊牧的なものであり、1頭あるいは対になって広大な土地を放浪する。；戦いが止むとどうなるかというと、馬から下りて遊牧の民となる。；ジプシーは旅のために馬を大切にするが、遊牧の才能はないのだ。；清代以降にはそれらの遊牧する地域を指す名称としても用いられた。；回は鉄勒諸部の一つであり、バイカル湖南方で遊牧を中心に生活していた。；生活様式は農耕と牧畜を中心とし、一部では遊牧的だったとも考えられる。；モンゴルでは女性の社会的地位が高く、遊牧文化に由来するとされる。；遊牧業が主な生業であったツチは、牛を多数所有するなど比較的豊かであった。；国家による法が整備され、彼らは帝国領土内で遊牧生活を続けることが可能であった。；また、遊牧を根絶しようとしたが、これは一層難しかったようである。；古くは北アジアの遊牧・騎馬諸民族の衣服に立襟が広く用いられていた。；また、モーセの律法はもともと半遊牧生活を前提としたものである。；その後はホルファディでコーラン教師をしながら遊牧を行っていた。；ノードハイムの部族たちは、その地の西部沿岸で遊牧生活を開始した。；紀元前10世紀頃より現在のウクライナの地には様々な遊牧民族が到来した。；ルブアルハリ砂漠ではベドウィンがラクダの遊牧を行っているだけである。；彼らは伝統的な遊牧生活を捨て、村での農業を行うため定住生活を行わなくてはならなくなったのである。；チベットでは多くが遊牧を行っており、あまり農地は多くなかった。；軍も大半が牧畜を営む半遊牧オグズ・トルコ人から構成されていた。；テガーのような遊牧の民から見ても大きな村ではない。；遊牧を生業とし、その領土は現在の中国山西省・オルドス地方一帯である。</t>
        </is>
      </c>
      <c r="J8565">
        <f>HYPERLINK("https://www.weblio.jp/content/遊牧", "词义详情")</f>
        <v/>
      </c>
      <c r="K8565">
        <f>HYPERLINK("https://yourei.jp/遊牧", "查看例句")</f>
        <v/>
      </c>
    </row>
    <row r="8566">
      <c r="A8566" t="inlineStr">
        <is>
          <t>有名</t>
        </is>
      </c>
      <c r="B8566" t="inlineStr">
        <is>
          <t>成功</t>
        </is>
      </c>
      <c r="C8566" t="inlineStr">
        <is>
          <t>読み方：ゆうめい
［名・形動］
１名を有すること。
２世間に名が知られていること。また、そのさま。「—な俳優」「風光明媚で—な地」「—人」⇔無名。
[用法]有名・著名・高名——「有名な（著名な・高名な）作家」では、相通じて用いられる。いずれも世間に名がよく知られていることをいう。◇「有名」は人にかぎらず日常の身近な所で話題にのぼる事物についても用い、良い悪いのどちらの点でも名がよく知られている場合に用いる。「有名校」「近所で有名な乱暴者」「このあたりでは有名なおばあちゃん」◇「著名」は、社会的に認められて広く知られている場合に用いられ、文章語的で改まった言い方。「著名な学者」◇「高名」は「著名」よりも、さらに社会的評価が高い。「世界的にも高名な物理学者」のように用いるとともに、相手の名前の敬称として「御高名はかねがね承っております」などと用いる。</t>
        </is>
      </c>
      <c r="D8566" t="inlineStr">
        <is>
          <t>有名である(14%)；有名であり(2%)；有名な作品；有名な人物；有名な例</t>
        </is>
      </c>
      <c r="E8566" t="inlineStr">
        <is>
          <t>名；評判；著名；名声；名高い</t>
        </is>
      </c>
      <c r="F8566" t="inlineStr">
        <is>
          <t>一番有名；有名アーティスト；有名企業；有名観光地；有名なカストラート</t>
        </is>
      </c>
      <c r="G8566" t="inlineStr">
        <is>
          <t>有名無実；有名ブランド；有名な物理学者；有名税；有名都市</t>
        </is>
      </c>
      <c r="H8566" t="n">
        <v>29</v>
      </c>
      <c r="I8566" t="inlineStr">
        <is>
          <t>このような関係として特に有名なものの一例は次のようなものである。；目黒川沿いの桜並木は有名であり、桜のシーズンには多くの人が訪れる。；この有名な15条は明治42年当時の新聞で広く日本や世界に公表された。；そのころ公式化されつつあったソナタ形式が最も有名な形式である。；以下は、いずれも派生作品のほうが有名になってしまった作品である。；日本で出版された38冊に及ぶ数学原論や、定期的に開催されるで有名。；金丸の長男と竹下の長女は結婚し共通の孫までいる関係なのは有名である。；その手法はいくつかあるが、最も有名なものはチューリングマシンである。；特定の正規の有名な学校で学んだわけではないという意味で独学であった。；その中でも一番有名だと思われた女性は、ジョセフィン・ベイカーだった。；それに抵抗して戦ったマルタ騎士団がこの地の名前を有名にした。；西アフリカの影響を受けているブラジルのバイーアは特に有名である。；歴史上有名な数学者の中でもリーマン予想を疑っている人物はいた。；日本では、NTTドコモのiモードのサーバに使われていることで有名。；GNUが有名になるにつれて、GNUに興味を持つ企業が現れはじめた。；とりわけ、世界各国で何度も映画化された、同タイトルの映画は有名。；勉強不足のアスカでさえ知っているほど、領土が小さいことで有名。；あるいは有名な曲だとしてもその取り上げ方や紹介の仕方にもセンスのある人。；彼の有名な作品の大部分はこの時代に作られている。；有名な例では、1861年4月から始まったアメリカの南北戦争がある。；また、テナントとして有名ホテルがレストランを出店している所もある。；ヴェーダーンタ学派の思想の中で最も有名なものに不二一元論がある。；固有名がついていない星の中で有名な星としては、以下の星がある。；これは青島が超有名人気タレントであるからこそ可能な戦法であった。；他に京都競馬場の第3コーナーの坂は上り下りの「坂」で有名である。；イギリスの東にある北海のドッガーバンクは世界的に有名な漁場である。；後に有名になった歌手もプラッガーをやっていた人も居る。；それでも、任意でシェルターを装備している企業や個人が多いことで有名である。；彼らの中には後に有名造形師となる人もいたが、当時は単なる常連たちであった。</t>
        </is>
      </c>
      <c r="J8566">
        <f>HYPERLINK("https://www.weblio.jp/content/有名", "词义详情")</f>
        <v/>
      </c>
      <c r="K8566">
        <f>HYPERLINK("https://yourei.jp/有名", "查看例句")</f>
        <v/>
      </c>
    </row>
    <row r="8567">
      <c r="A8567" t="inlineStr">
        <is>
          <t>夕焼け</t>
        </is>
      </c>
      <c r="B8567" t="inlineStr">
        <is>
          <t>成功</t>
        </is>
      </c>
      <c r="C8567" t="inlineStr">
        <is>
          <t>読み方：ゆうやけ
日没のころ、西の空が赤く見える現象。昼間よりも太陽光線が大気中を通過する距離が長いため、波長の短い青色光は途中で散乱して届かず、赤色光だけが届くことによる。《季夏》「—に向って歩み入る如し／汀女」</t>
        </is>
      </c>
      <c r="D8567" t="inlineStr">
        <is>
          <t>夕焼け色；夕焼けホットライン；夕焼けベンチ</t>
        </is>
      </c>
      <c r="F8567" t="inlineStr">
        <is>
          <t>赤い夕焼け；真っ赤な夕焼け；燃えるような夕焼け；きれいな夕焼け；鮮やかな夕焼け</t>
        </is>
      </c>
      <c r="G8567" t="inlineStr">
        <is>
          <t>夕焼け雲；夕焼け小焼け；夕焼け楽団；夕焼けエッセー；夕焼けのメロディー</t>
        </is>
      </c>
      <c r="H8567" t="n">
        <v>29</v>
      </c>
      <c r="I8567" t="inlineStr">
        <is>
          <t>最初はなにか夕焼の反射をでも受けているのじゃないかなど疑いました。；残りの三人はなにもいえずに、夏の夕焼けの雲と空のショーを見ていた。；夕焼けは目が痛いほどの鮮やかさを失ってたちまちに色を暗くしていく。；夕食がすむとおれはときどき海岸に出て、夕焼をながめたりしたもんだ。；県境の山の向こうに雲の切れ目ができて、夕焼けの光がさしているのだ。；夕焼の空を押し潰して、もう一つの空間が次第に私の頭の上に下りて来る。；空一面の赤い夕焼けが、美しいというより啓造には何か異様な感じだった。；それでも、これほど見事な夕焼けはめったに見られるものではなかった。；夕焼けにはまだ多少間のある平原に、影を落して地上車がならんでいた。；あだし野の空を、いつのまにか温い日本の色をした夕焼雲が染めていた。；わたしは吹浦に来てから、むろんもうなん度となく夕焼けを見ていた。；夕焼けの雲が赤くなっているのは、九階の屋根の上の僅かの空でそれと知る。；オレンジ色の明るい夕焼けを横に見ながら、四人はのんびりと道を歩く。；太郎はどんな風にあの夕焼空の下をヨタヨタ歩いているでしょうか。；そういう風に夕焼を見ていられることがかけ換えのない楽しいことに思われた。；空にはようやく夕焼がひろがりはじめていたところだったのである。；太陽はすでに沈み、空は、落ちついた黄色と緑色の夕焼けに輝いていた。；あの、夕焼けの世界でわずかな時間語り合った時の、彼の透徹した視線。；何処までも続く砂は 一ぱいに夕焼を受けて、黄金と紫に濡れて居る。；大阪を暮方に出た便船が夕焼けの色を流した水の上を走っていた時である。；通りを歩いていくと、建物の隙間から道に夕焼けの射している箇所があった。；父と母とこの庭から外に行くとき、向こうの景色が夕焼けに染まっていた。；空はまだ夕焼けを少し過ぎたぐらいなんだけど、森の中はかなり暗くなってきた。；いまのいままで気づかなかったけれど、夕焼けのやけに赤い日だった。；両親の事故の報せを受けた時、外は見事な夕焼けだったんだそうで。；外に出ると、陽が落ちたばかりの西の空に夕焼けが残っていた。；夕焼けの空は、昔も、今も、この赤い、悲しい色に変わりがありません。；この句はそういう感じに捉われず、夕焼雲だけを配したところが面白い。；西向きの部屋を、二人の夕焼け研究家に提供してあげたわけですね?</t>
        </is>
      </c>
      <c r="J8567">
        <f>HYPERLINK("https://www.weblio.jp/content/夕焼け", "词义详情")</f>
        <v/>
      </c>
      <c r="K8567">
        <f>HYPERLINK("https://yourei.jp/夕焼け", "查看例句")</f>
        <v/>
      </c>
    </row>
    <row r="8568">
      <c r="A8568" t="inlineStr">
        <is>
          <t>夕闇</t>
        </is>
      </c>
      <c r="B8568" t="inlineStr">
        <is>
          <t>成功</t>
        </is>
      </c>
      <c r="C8568" t="inlineStr">
        <is>
          <t>読み方：ゆうやみ
日没後、月が出るまでの間の暗闇。また、その時分。宵闇。「—が迫る」</t>
        </is>
      </c>
      <c r="D8568" t="inlineStr">
        <is>
          <t>夕闇が濃く(3%)；夕闇迫る；夕闇せまる；夕闇が迫る頃；夕闇が淡く</t>
        </is>
      </c>
      <c r="E8568" t="inlineStr">
        <is>
          <t>暮れ；夕；夕刻；夕暮れ；黄昏</t>
        </is>
      </c>
      <c r="F8568" t="inlineStr">
        <is>
          <t>淡い夕闇；夕闇色</t>
        </is>
      </c>
      <c r="H8568" t="n">
        <v>29</v>
      </c>
      <c r="I8568" t="inlineStr">
        <is>
          <t>僕は夕闇のなかにこの光景を見て、一種異様なものに逢著したと思つた。；ドアではなく、開け放した窓の向こうの夕闇から、聞きなれた声がした。；やがて深まりゆく夕闇のなか、カーターは過去からの声を耳にしていた。；もう山山は夕闇に包まれていると云うのに、境内には光があったのである。；相手の顔は夕闇のなかでぼんやりとした灰色の塊にしか見えない。；その翌日の夕闇迫る頃、百五十名ばかりの武装隊が町を占領しました。；なにごともおこらぬうちに陽は沈んで、いつか夕闇がしのびよっていた。；もし昨日のように夕闇が街をこめていたら、自分はそのほうが快かろうに。；そして道路の真向うの夕闇の中にまだ見えている木立の方を指さした。；ホームから歩き去る従兄弟の姿がパリの郊外の夕闇に溶け込んでいった。；二人の周囲の草原が次第次第に夕闇の底に沈んで行くのを感じながら。；一日が過ぎ夕闇に包まれる頃、ワーリカはわけも分からず笑顔を作る。；大人たちは、深い夕闇のなかを、明りのついた台所のほうへ歩いて行った。；車から県庁の向かいの原っぱを眺めたが、どこまでも夕闇に包まれていた。；あたりが夕闇に包まれる様を、黙って見ているわけにはいかない。；そして彼らの前方には深い夕闇の中を短い梯子を肩にのせた一人の男が歩いている。；その右の手は背後の夕闇の中に白い牙のようにそびえる塔を指さしていた。；夕闇の中、祭りが始まり、あちこちに照明がついた街はにぎやかになる。；そういうわけで、夕闇に紛れて先方が出るのを見落したのではなかった。；夕闇の中にはどこまでもさびしい丘が続いているだけで、他には何も見えない。；今まさに幕引きの時を迎えて藍色の夕闇に沈んでいく学園祭が眼下にある。；こちら側の街だけが、早くも夕闇に包まれているみたいな気がした。；あたりは夕闇が降りはじめ、石畳の道が冷気を膝まで立ち上らせている。；山の間に充満して居た夕闇は、光りに照されて、紫だつて動きはじめた。；窓の外は夕闇が迫っていて空が青黒く染まりかけ、心細さが募ってきた。；夕闇はゆっくりと濃さを増していて、夜の暗闇に変わりはじめている。；ともかく、夕闇が濃くなりつつあるころ、裏駅の側へと階段を降りた。；屋敷の入口で馬車をおりたときは、もう夕闇がたちこめていました。；夕闇迫るこの時刻、全ての影は長く長くどこまでも長く伸びていた。</t>
        </is>
      </c>
      <c r="J8568">
        <f>HYPERLINK("https://www.weblio.jp/content/夕闇", "词义详情")</f>
        <v/>
      </c>
      <c r="K8568">
        <f>HYPERLINK("https://yourei.jp/夕闇", "查看例句")</f>
        <v/>
      </c>
    </row>
    <row r="8569">
      <c r="A8569" t="inlineStr">
        <is>
          <t>悠々</t>
        </is>
      </c>
      <c r="B8569" t="inlineStr">
        <is>
          <t>成功</t>
        </is>
      </c>
      <c r="C8569" t="inlineStr">
        <is>
          <t>読み方：ゆうゆう
［ト・タル］［文］［形動タリ］
１はるかに遠いさま。限りなく続くさま。「—たる大空」「—たる時の流れ」
２ゆったりと落ち着いたさま。「老後を—と暮らす」「—たる面持ち」
３十分に余裕のあるさま。「—と間に合う」</t>
        </is>
      </c>
      <c r="D8569" t="inlineStr">
        <is>
          <t>悠々たる(6%)；悠々と歩い(2%)；悠々と泳い；悠々自適；悠々と流れ</t>
        </is>
      </c>
      <c r="E8569" t="inlineStr">
        <is>
          <t>ゆっくり；徐々に；そろそろ；ゆったり；のろのろ</t>
        </is>
      </c>
      <c r="F8569" t="inlineStr">
        <is>
          <t>悠々と遊ん；悠々と輪；悠々然；悠々と逃げ；悠々と歩み</t>
        </is>
      </c>
      <c r="G8569" t="inlineStr">
        <is>
          <t>悠々閑々；悠々ライフ；悠々社</t>
        </is>
      </c>
      <c r="H8569" t="n">
        <v>29</v>
      </c>
      <c r="I8569" t="inlineStr">
        <is>
          <t>彼の心にはまだ悠々と湯を楽しむほどな余裕ができていないのである。；しかしこの主人は万事につけて態度にこだわりなく悠々たるものである。；鈴木の日常は典型的な明治人の、悠々としたそれであったのであろう。；その中に思ひがけなく、悠々と長く、静かに手を拍つ人が居たのである。；はた眼には悠々と構えていても、頭の中の不安はそんなものじゃない。；彼は娘の間の抜けたところを悠々と味いながら叱りもし罵りもできた。；ところが外国人はすでにこの時悠々とこの話題に批評を下していたのである。；「おれはこれに甘んじたんだ」と妻木君は肌を入れながら悠々と云った。；静かではあるが執拗に蛙を覗う蛇のように、きわめて悠々と迫って来る。；水域の中層を悠々と泳ぐ魚であり、目は発達して左右に張りだしている。；そして帆村を嘲笑するかのように悠々とスピードをあげて走っていく。；丁度彼等の眞上、空の極めて高い所を一羽の鳶が悠々と輪を畫いてゐた。；悠々とか従容とか云う字は劃があって意味のない言葉になってしまう。；三人並んでも悠々の席に俺と丸万の二人が乗って、若者は運転台に乗った。；茶の湯の先生の千利休などを相手にして悠々と秀吉は遊んでいるのであった。；周囲のマさつを、悠々と越してゆくだけの力が、種々な面で不足していて。；このような男は、いかなる悪条件の環境の中でも悠々と生きてゆくのだろう。；また頭の上を高く、白い雲が悠々と見下ろしながら、過ぎてゆきました。；そのへんまで我慢して悠々と風呂桶をでるのは悪い気持ではない。；ために私は悠々と滞在中一室を占領する事も出来たのであった。；寝転んだままで悠々としている処、どうも動物とはいえ甚だ権が高い。；彼は悠々と枕の下から、一枚の写真を取り出してにやにやと眺め入つた。；この考えがこっちにはあるので、まことに悠々たるものであった。；彼は浅田の洋服を着て、例の鞄を下げて、悠々と停車場へ入っていった。；私にすればああいうところをもうすこし悠々とみせて欲しかった。；その時幕は悠々と、盛んな喝采を浴びながら、舞台の前に引かれて行った。；俺は、あの峠の松の根元で独り悠々と休息することを楽んでゐたのだ。；しかしこれらの観照は「悠々たる」観の世界を持つものとは言えない。；するとたちまち彼の目は、悠々とこちらへ歩いて来るお嬢さんの姿を発見した。</t>
        </is>
      </c>
      <c r="J8569">
        <f>HYPERLINK("https://www.weblio.jp/content/悠々", "词义详情")</f>
        <v/>
      </c>
      <c r="K8569">
        <f>HYPERLINK("https://yourei.jp/悠々", "查看例句")</f>
        <v/>
      </c>
    </row>
    <row r="8570">
      <c r="A8570" t="inlineStr">
        <is>
          <t>猶予</t>
        </is>
      </c>
      <c r="B8570" t="inlineStr">
        <is>
          <t>成功</t>
        </is>
      </c>
      <c r="C8570" t="inlineStr">
        <is>
          <t>読み方：いざよい
《動詞「いざよう」の連用形から。上代は「いさよい」》
１（十六夜）
㋐十六夜の月のこと。《季秋》「—もまだ更科の郡(こほり)かな／芭蕉」
㋑陰暦16日。また、その夜。
２（猶予）進もうとして進まないこと。ためらい。躊躇(ちゅうちょ)。
「君や来む我や行かむの—に槙(まき)の板戸もささず寝にけり」〈古今・恋四〉
[補説]曲名別項。→十六夜</t>
        </is>
      </c>
      <c r="D8570" t="inlineStr">
        <is>
          <t>猶予期間(10%)；猶予もなく(2%)；猶予なく(2%)；猶予時間；猶予期限</t>
        </is>
      </c>
      <c r="E8570" t="inlineStr">
        <is>
          <t>延期；伸ばす；遅延；保留；遅らせる</t>
        </is>
      </c>
      <c r="F8570" t="inlineStr">
        <is>
          <t>時間的猶予；御猶予；返済猶予；ご猶予；訴追猶予</t>
        </is>
      </c>
      <c r="H8570" t="n">
        <v>29</v>
      </c>
      <c r="I8570" t="inlineStr">
        <is>
          <t>この一晩の猶予のおかげで、きちんと自分で覚悟を決めることが出来た。；導火線に火をつけてから爆発まで12分の猶予があると計算されていた。；あてにもならないことをあてにしているうちに、時は猶予なくたってゆく。；昔から提供の猶予などは噂でしかなく、保護官にそんな力は無かった。；調査からパイロット達に与えられた猶予は10秒ほどだったと推測された。；いまマートが説明した故障をなおすのに四日ないし五日の猶予を下さい。；けれども今度という今度は事情が事情だから猶予することができない。；まったく、一日の猶予はこの世のすべての宝にもまさるものであります。；三人の女どもは、その夜間の猶予の間にまったく姿を隠してしまった。；しかし、現実にはその猶予もなく治療を優先せざるを得ないケースも多い。；Amazonは応募された脚本を選ぶのに45日間の猶予を持っている。；一瞬の猶予もなく、あのぼんやり見えている僚船に移行することが必要だ!；そういうことをみな笑って許してもらえる貴重な猶予期間ではないだろうか?；武器を取ろうとしない男達は町を去るために4日間の猶予を与えられた。；ほんの数時間の猶予で四万ポンドを工面しなければなりませんでした。；しかし安治川沿いの発展には時間の猶予は許されないという事情もあった。；三日の間猶予をしてやるから、そのうちによいことをして私の家へ来なさい。；だが、その問題に頭をひねることには、運命が猶予をくれたらしかった。；一日も、一刻も、与えられた時を猶予することは出来ないかのように。；猶予の数字は一つずつ減っていったが、青年からは何の知らせもこなかった。；すぐ、一刻の猶予もせずに、あなたをそこに連れていってあげますからね。；だが、それは同時に彼に残された猶予期間が終わりつつあることを意味していた。；しかし、そのための猶予時間は、理論上ではあと約十二分足らずしかない。；往時にありてはこの掟は、一瞬の猶予もなくとり行なわれたのである。；現場での猶予が30分と余裕のない任務であったが救助に成功した。；難民が逃亡せしをもって、今は猶予すべきでなく殺戮を決行したようだ。；住民が家を放棄するまでに与えられた猶予は3日から2ヶ月だった。；親に助けを求める猶予もなく司馬温公は咄嗟に甕を割って友人を助けた。；両親から次に何をするか、4年間猶予を与えられたため専門学校に通う。</t>
        </is>
      </c>
      <c r="J8570">
        <f>HYPERLINK("https://www.weblio.jp/content/猶予", "词义详情")</f>
        <v/>
      </c>
      <c r="K8570">
        <f>HYPERLINK("https://yourei.jp/猶予", "查看例句")</f>
        <v/>
      </c>
    </row>
    <row r="8571">
      <c r="A8571" t="inlineStr">
        <is>
          <t>有利</t>
        </is>
      </c>
      <c r="B8571" t="inlineStr">
        <is>
          <t>成功</t>
        </is>
      </c>
      <c r="C8571" t="inlineStr">
        <is>
          <t>読み方：ゆうり
［名・形動］利益のあること。利益を望めること。他よりも条件や状態がよいこと。また、そのさま。「—な取引」「相手方に—な情報」「戦局が—に展開する」⇔不利。
[派生]ゆうりさ［名］</t>
        </is>
      </c>
      <c r="D8571" t="inlineStr">
        <is>
          <t>有利な条件(3%)；有利な立場；有利な状況；有利な点；有利不利</t>
        </is>
      </c>
      <c r="E8571" t="inlineStr">
        <is>
          <t>得；便；よろしい；便利；便宜</t>
        </is>
      </c>
      <c r="F8571" t="inlineStr">
        <is>
          <t>有利な地点；有利区間；絶対有利；有利な展開；有利な地形</t>
        </is>
      </c>
      <c r="G8571" t="inlineStr">
        <is>
          <t>有利子；有利発行；有利誤認表示；有利誤認</t>
        </is>
      </c>
      <c r="H8571" t="n">
        <v>29</v>
      </c>
      <c r="I8571" t="inlineStr">
        <is>
          <t>また乗用車と比較しても環境負荷や移動時間の正確性などで有利である。；建設ができない場合、有利な条件を求めて本拠地を移動することがある。；また環境条件が相手国にとって有利かどうかも重要な判断材料となる。；町中の看板のようによく目立ち、よく知られている候補ほど有利である。；降海型は残留型よりもはるかに体が大きく、雄は産卵の際に有利である。；その理由は、燃料消費を減らすために有利であるからというものであった。；また生産・交通の有利な地域では集中的・大規模な生産も見られる。；この戦いは日清戦争の展開を日本に有利にする重大な転回点であった。；これらはスペースに有利な前輪駆動を使用していたことも一因である。；人数が多いチームのほうが理論上は有利になるとされている。；隠密性の高い潜水艦を探知し攻撃するのはやはり潜水艦が有利だからである。；ただし現時点では全く加盟会社の無いスカイチームよりは有利とも言える。；予選2位以内に入ることで非常に有利な条件を得ることができるシステムである。；つまり相手を攻撃し続け、より先に体力を削った方が若干有利になる。；このことは、中古機の再販売に有利であるとエアバスは説明している。；寒冷地運用のEF58形は凍結対策面で有利な金属製のままとされた。；「香典票」と呼ばれた同情票も自民党有利に働いたとされることもある。；また、高速なデバイスを高優先度に設定するのが性能的に有利である。；更に相手は遠征軍であり、長引かせるだけで有利となるからである。；より安定な中間体を形成する生成物のほうが生成に有利である。；挿し木とは異なってはじめから根があることが有利な点となる。；ただし、小さいほど有利とされる分野においては小さくともそう呼ばれない。；相打ちになれば相手にも同じ情報を与えるので、自分が有利になることはない。；だが、ソ連側は有利に戦争を進めており、強硬な姿勢で交渉に臨んでいた。；この構造は光学的付加部品や撮影装置などの取り付けに有利である。；従ってカウント値からは、この状況は有利でも不利でもないと判断される。；戦争の時期については、早ければ早いほどドイツが有利と考えていた。；即ち、プレイヤーの有利不利をかなりの高確率で判断する性能がある。；先の試合で見せた圧倒的な強さから前評判ではアリの圧倒的有利の予想であった。</t>
        </is>
      </c>
      <c r="J8571">
        <f>HYPERLINK("https://www.weblio.jp/content/有利", "词义详情")</f>
        <v/>
      </c>
      <c r="K8571">
        <f>HYPERLINK("https://yourei.jp/有利", "查看例句")</f>
        <v/>
      </c>
    </row>
    <row r="8572">
      <c r="A8572" t="inlineStr">
        <is>
          <t>優良</t>
        </is>
      </c>
      <c r="B8572" t="inlineStr">
        <is>
          <t>成功</t>
        </is>
      </c>
      <c r="C8572" t="inlineStr">
        <is>
          <t>読み方：ゆうりょう
［名・形動］他のものより、すぐれていること。また、そのさま。「—な商品」「健康—児」⇔劣悪。
[派生]ゆうりょうさ［名］</t>
        </is>
      </c>
      <c r="D8572" t="inlineStr">
        <is>
          <t>優良品種(4%)；優良賞(3%)；優良種(2%)；優良事業者(2%)；優良校(2%)</t>
        </is>
      </c>
      <c r="E8572" t="inlineStr">
        <is>
          <t>良い；妙；満足；立派；充分</t>
        </is>
      </c>
      <c r="F8572" t="inlineStr">
        <is>
          <t>最優良；優良物件；優良店；成績優良；優良会社</t>
        </is>
      </c>
      <c r="G8572" t="inlineStr">
        <is>
          <t>優良誤認；優良建築物等整備事業；優良株；優良章；優良誤認表示</t>
        </is>
      </c>
      <c r="H8572" t="n">
        <v>29</v>
      </c>
      <c r="I8572" t="inlineStr">
        <is>
          <t>それで生まれて来る子が狙い通りに優良種かどうかわからんじゃないか。；それは、領土であったり、優良な港であったり、植民地であったりした。；一時は西武百貨店の中でも優良店舗の一つに数えられるまでになっていた。；こうした結びつきは、優良品種の開発や普及の面で大きな役割を果たした。；もちろん、永遠の女性は常に、優良な男子の上に刺激的な力を与えはした。；ドラプロのイベントにしては珍しくランキング形式ではない優良イベントである。；瀬戸君は小学校から大学まで優良の成績で通して来たのだから元来模範的だ。；事実上国有化されたりそなグループの中では唯一の優良行とされる。；近年、優良とは言えない不動産への銀行融資には警鐘が鳴らされている。；若者の多くは学校の成績が優良な者を含めて、高校卒業後に出て行き、戻ってこない。；結果4シーズンに渡ってガンバ大阪に在籍した優良外国人の1人であった。；江戸名物の白魚は、そもそも勢州・桑名の優良種を移したものだそうな。；どこを探しても優良な借り手がいないのに、金ばかりだぶついていく。；彼にとっては、フランスの優良な芸術家らも贅沢品職工のように思われた。；郷校における成績優良者には明徳館本館への進学の道も開かれていた。；それには領土を獲得するしかなく、荊州は一番とりやすい優良物件であった。；すると、王の持っている最優良種のを三頭与える、と言われた。；標準的に支給されている訳ではなく、優良団員と認められた者にのみ与えられた。；だからその間に、多くの優良銘柄がウォール街の株屋のせいで破綻した。；優良な店員に気持よく懸命に働いて貰うことが一番肝要なことである。；今回の合併問題は相手行が優良銀行の太平銀行ですからね。；この品種は1893に発表されたもので、よく普及している優良品種である。；故郷に帰ると、母は父の弟子に店の優良コックらを奪われ、細々と暮らしていた。；そうなれば地域の半分は冠水し、地下にある優良金鉱のいくつかは水没する。；しかしこれは優良なスポンサーであり、他の出資者の魅力となった。；優良化評価制度に伴う「情報公開性」を明確にするシステムである。；その時の私にはそれを防ぐ力はなく、優良な人類と共に宇宙に逃れるのがやっとだった。；優良種たる我らが管理してこそ、人類は真のユートピアに近づくことができるのだ。；数多くの優良アーティストの作品をリリースした。</t>
        </is>
      </c>
      <c r="J8572">
        <f>HYPERLINK("https://www.weblio.jp/content/優良", "词义详情")</f>
        <v/>
      </c>
      <c r="K8572">
        <f>HYPERLINK("https://yourei.jp/優良", "查看例句")</f>
        <v/>
      </c>
    </row>
    <row r="8573">
      <c r="A8573" t="inlineStr">
        <is>
          <t>有料</t>
        </is>
      </c>
      <c r="B8573" t="inlineStr">
        <is>
          <t>成功</t>
        </is>
      </c>
      <c r="C8573" t="inlineStr">
        <is>
          <t>読み方：ゆうりょう
料金が必要であること。「—駐車場」⇔無料。</t>
        </is>
      </c>
      <c r="D8573" t="inlineStr">
        <is>
          <t>有料駐車場(4%)；有料会員(3%)；有料サービス(3%)；有料化(2%)；有料区間(2%)</t>
        </is>
      </c>
      <c r="F8573" t="inlineStr">
        <is>
          <t>有料施設；有料制；有料販売；有料公開；有料職業紹介</t>
        </is>
      </c>
      <c r="G8573" t="inlineStr">
        <is>
          <t>有料配信；有料放送；有料化；有料老人ホーム；有料特急</t>
        </is>
      </c>
      <c r="H8573" t="n">
        <v>29</v>
      </c>
      <c r="I8573" t="inlineStr">
        <is>
          <t>日本では地方の路線などで一部無料の場合があるが、一般に有料である。；また子供向けの有料ゲームコーナーなどのアミューズメント設備もある。；有料コースがあり、登録することで、利用できるサービスが拡張される。；旧市街地には木府と呼ばれる旧領主の政庁などが有料で公開されている。；これに伴い、一部のゲームや、ゲームのオプションなどが有料化された。；どちらの国にも滝を取り囲むように有料の自然公園が整備されている。；実験時代のアスキーネットの名称を改め続けて運営されその後有料化された。；これは様々な欠点があり、有料同人企画を除き殆どが頓挫してしまった。；ホール内への観客の入場を条件付きで認めたうえで、有料興行を再開した。；なお、業とは反復継続の意思をもって行うことで、有料・無料は問わない。；南口にパークアンドライド利用を目的とした有料駐車場が設置されている。；このサービスには有料で利用できる場合と無料の場合がある。；シリーズ初の有料ダウンロードコンテンツによる追加コースも登場した。；第1期と同様にアイテムや機能を追加できたが、今期は有料になった。；利用料がほとんど無料であるが、一部の区域では有料となっている。；格安航空会社のため多くの便において機内サービスは有料となっている。；有料で一般配信も行う予定としているが、2022年現在も配信されていない。；このほか、パークアンドライド向けの有料駐車場も多く設けられている。；個人はファンクラブ有料会員になることで、単発での予約が可能となる。；また、当バスストップ近隣に、利用者用の有料駐車場が設置されている。；これらのソフトウェアに関しては有料・無料問わず色々なものがある。；いずれも、償還後は無料開放される前提で有料管理が認められている。；ゲームの購入、ゲームの認証をするには有料会員になる必要がある。；最大の特徴はすべての催事が無料で、基本的に有料公演には貸し出さない。；入場は2002年までは有料であったが、2003年以降は無料である。；近年ではインターネットによる有料情報配信にも力を入れている。；以下の区間は有料区間、その他の区間は無料区間となっている。；最近は俳優を対象に演技のワークショップを有料で行なっている。；合法化当初、政府は有料の免許制度を導入しようとしたが最終的に放棄した。</t>
        </is>
      </c>
      <c r="J8573">
        <f>HYPERLINK("https://www.weblio.jp/content/有料", "词义详情")</f>
        <v/>
      </c>
      <c r="K8573">
        <f>HYPERLINK("https://yourei.jp/有料", "查看例句")</f>
        <v/>
      </c>
    </row>
    <row r="8574">
      <c r="A8574" t="inlineStr">
        <is>
          <t>有力</t>
        </is>
      </c>
      <c r="B8574" t="inlineStr">
        <is>
          <t>成功</t>
        </is>
      </c>
      <c r="C8574" t="inlineStr">
        <is>
          <t>読み方：ゆうりょく
［形動］［文］［ナリ］
１勢力や威力などのあるさま。「地元で—な新聞」⇔無力。
２強い可能性があるさま。見込みのあるさま。「—な手がかり」「—な候補があがる」</t>
        </is>
      </c>
      <c r="D8574" t="inlineStr">
        <is>
          <t>有力者(18%)；有力候補(4%)；有力視(3%)；有力選手；有力馬</t>
        </is>
      </c>
      <c r="E8574" t="inlineStr">
        <is>
          <t>強い；強力；強烈；力強い；パワフル</t>
        </is>
      </c>
      <c r="F8574" t="inlineStr">
        <is>
          <t>有力企業；有力政治家；有力大名；有力氏族；有力武将</t>
        </is>
      </c>
      <c r="H8574" t="n">
        <v>29</v>
      </c>
      <c r="I8574" t="inlineStr">
        <is>
          <t>これに対応するため幕府は有力大名を領地に戻して治安を強化させていた。；十二を数えるイジュマーの機能があると言われるが、最も有力なものは。；有力な軍需産業を有していて各種兵器の開発と輸出を積極的に行っている。；この初期のIUPACから除外された有力な国の1つは、ドイツである。；この時代に有力勢力として現れる王国のほとんどはアムル系の王国である。；求職のために活動していたコントは頻繁に各界の有力者を訪ねていた。；旧明領の漢人以外の民族には有力者に土司の地位を与え統治させた。；これに東国の有力御家人の北条氏らが強い反発を示したのは当然であろう。；編集方針の決定や原資料の選択は政治的に有力者が主導したものと推測されている。；外観が似ているカータルという楽器が直接の祖先とする説が有力である。；新聞社や地元の有力企業などが主な出資者になっていることが多い。；議員である有力者が議会運営のために作った名望家政党が初期の政党である。；衛生仮説ともいわれるこの説は現在もっとも有力な説となっている。；忠敬は名主や村の有力者と、江戸にある津田氏の屋敷に挨拶に出向いた。；成政の二人の兄や娘の年齢から、没年齢53歳説が有力とされている。；地球の月は、地球形成末期に起きた巨大衝突の産物であるとする説が有力である。；彼らの中の有力な一部は、皇帝・国王と並んで2条約に名を連ねた。；これに反発する武川鎮軍閥内の有力者たちは楊堅に対して反乱を起こす。；また有力者からの需要が多かった胸像の優れた彫り手でもあった。；同時に有力商人に運上銀を上納させるなどして、藩財政の安定を図った。；古くは多くの亜種に分類する説もあったが、近年は否定する説が有力となっている。；現在の研究ではヘンリー7世が2人の運命に深く関わったとする説も有力である。；その近くにある纒向遺跡もまた邪馬台国の中心地として有力視される。；このことは、のちに語られる2つの放火説の有力な根拠のひとつとなっている。；現代では力学系の研究にも応用されており、有力な道具として注目されている。；兵藤裕己はこの説を有力とし、正成の行為も悪党的行為であるとした。；もし分区されるのであれば、区の名称は「広瀬区」が有力と言われている。；その後、学説では住居の平穏が保護法益であるとの立場が有力化した。；郡司は中央官僚ではなく、在地の有力者、いわゆる旧豪族が任命された。</t>
        </is>
      </c>
      <c r="J8574">
        <f>HYPERLINK("https://www.weblio.jp/content/有力", "词义详情")</f>
        <v/>
      </c>
      <c r="K8574">
        <f>HYPERLINK("https://yourei.jp/有力", "查看例句")</f>
        <v/>
      </c>
    </row>
    <row r="8575">
      <c r="A8575" t="inlineStr">
        <is>
          <t>幽霊</t>
        </is>
      </c>
      <c r="B8575" t="inlineStr">
        <is>
          <t>成功</t>
        </is>
      </c>
      <c r="C8575" t="inlineStr">
        <is>
          <t>読み方：ゆうれい
１死者のたましい。亡魂。
２死後さまよっている霊魂。恨みや未練を訴えるために、この世に姿を現すとされるもの。亡霊。また、ばけもの。おばけ。「—が出る」「—屋敷」
３形式上では存在するように見せかけて、実際には存在しないもの。「—会社」
[補説]作品名別項。→幽霊</t>
        </is>
      </c>
      <c r="D8575" t="inlineStr">
        <is>
          <t>幽霊みたい；幽霊話；幽霊マンション；幽霊じみ；幽霊ビル</t>
        </is>
      </c>
      <c r="E8575" t="inlineStr">
        <is>
          <t>変化；出現；怪物；霊；妖怪</t>
        </is>
      </c>
      <c r="F8575" t="inlineStr">
        <is>
          <t>黄いろい幽霊；幽霊談；幽霊滝；白幽霊；幽霊騒動</t>
        </is>
      </c>
      <c r="G8575" t="inlineStr">
        <is>
          <t>幽霊船；幽霊男；幽霊たち；幽霊部員；幽霊退治</t>
        </is>
      </c>
      <c r="H8575" t="n">
        <v>29</v>
      </c>
      <c r="I8575" t="inlineStr">
        <is>
          <t>ただしこの頃の日本では心霊写真とは言わずに幽霊写真などと言っていた。；後に映像が公開され、「3人の幽霊」は実際に生きていると証明された。；幽霊の状態ではすべての物に干渉できず、ドアは突き抜けて移動できる。；主人公が事件の被害者の幽霊から聞き取り調査するという設定で話題に。；こうしてフリーターの若者と幽霊の老人の奇妙な共同生活が始まった。；彼女の幽霊は何か言いたげに、悲しげな瞳でトムをじっと見つめていた。；その屋敷では、女性にしか見えないという幽霊が出ると言われていた。；他にも幽霊の女の子など常人ではありえないことに遭遇することも多い。；また、移動用に使うことができる幽霊の馬を召喚できる魔法も追加される。；今度の質問は、カーライルが幽霊と話すことができるかどうかに集中した。；幽霊は作蔵が死んだと思ったのか、それ以来現れることはなかったという。；魔法使いを思わせる黒い衣を纏った幽霊のような姿をした幻のポケモン。；その頃に糧を求めて地上をさまよう姿を目撃した人間が幽霊と誤認した。；ようやく小平次が得たのは、顔が幽霊に似ているとの理由で幽霊役だった。；そこでは、夜な夜な幽霊が出るという噂が生徒達の間で話題になっていた。；彼女以外は誰もこの幽霊の姿を確認することができなかった。；家にお千代を連れて帰ってきたのはお町の幽霊だったのである。；こうした幽霊は生者を食べるためにゴブリンの姿で人間の世界に戻る。；すると、下宿の玄関先に死んだはずの彼女が幽霊と化して立っていた。；幽霊と多くの文化で呼ばれているものは、弱々しく儚い影の現象でもある。；同作では東京ロケに参加して、幽霊におびやかされる一家の祖母を演じた。；九死に一生を得た一路には、幽霊が見える不思議な能力が身についていた。；但し完全に葉緑素が抜けている物は幽霊葉として鑑賞対象にはならない。；幽霊は何かを告知したり要求するために出現するとされていた。；幽霊絵ともいわれ、あらゆる絵画の中でも最も難しい技法とされる。；お祓いの人に見てもらうと、アパートに幽霊が取り付いているのだという。；ある程度の知能を持った動物や幽霊、また露伴自身にも能力は有効である。；「幽霊ファン」のような層がいて、幽霊見学ツアーなどが行われている。；優里は後追い自殺をしようとするが、そこに幽霊となった青野が現れる。</t>
        </is>
      </c>
      <c r="J8575">
        <f>HYPERLINK("https://www.weblio.jp/content/幽霊", "词义详情")</f>
        <v/>
      </c>
      <c r="K8575">
        <f>HYPERLINK("https://yourei.jp/幽霊", "查看例句")</f>
        <v/>
      </c>
    </row>
    <row r="8576">
      <c r="A8576" t="inlineStr">
        <is>
          <t>誘惑</t>
        </is>
      </c>
      <c r="B8576" t="inlineStr">
        <is>
          <t>成功</t>
        </is>
      </c>
      <c r="C8576" t="inlineStr">
        <is>
          <t>読み方：ゆうわく
［名］(スル)心を迷わせて、さそい込むこと。よくないことにおびきだすこと。「—に負ける」「悪い仲間に—される」</t>
        </is>
      </c>
      <c r="D8576" t="inlineStr">
        <is>
          <t>誘惑する(9%)；誘惑しよ(2%)；誘惑的(2%)；誘惑される；誘惑物</t>
        </is>
      </c>
      <c r="E8576" t="inlineStr">
        <is>
          <t>勝利；魅力；征服；誘い；克服</t>
        </is>
      </c>
      <c r="F8576" t="inlineStr">
        <is>
          <t>たいという誘惑；強い誘惑；そんな誘惑；恐ろしい誘惑；どんな誘惑</t>
        </is>
      </c>
      <c r="G8576" t="inlineStr">
        <is>
          <t>誘惑の修道院；誘惑の山；誘惑されて棄てられて；誘惑のベルが鳴る；誘惑スレスレ</t>
        </is>
      </c>
      <c r="H8576" t="n">
        <v>29</v>
      </c>
      <c r="I8576" t="inlineStr">
        <is>
          <t>だが純はその後何人もの女性から誘惑され続けるとは思いもしなかった。；ヒュラースは彼が二度と帰って来られない水に入るよう誘惑されている。；この不意の感情の裏切りにはしかし引き入れられるような誘惑があった。；執拗なまでの誘惑に恐怖を覚えたアナは必死の思いでオフィスを離れた。；人の細君は誘惑できないというが僕は二日で手に入れた記録がある。；女を平気で誘惑するくせに、この律義さは一体どうしたことであろうか。；おまけに生命保険のついていたことも多少の誘惑になったかもしれません。；おまけに生命保険のついてゐたことも多少の誘惑になつたかも知れません。；博士は鏡の中でどちらが客を誘惑できるか、悪魔と賭けをしていたのだった。；しかし勿論そんな誘惑は抑えなければならないのに違いなかった。；教授は学生達が酒と女の誘惑に負ける事を深く悩み、心配するのであった。；彼女は兄に、自分がさる高貴なスペイン人に誘惑されたことを説明する。；男は人々を次々に挑発、誘惑していき、ついには女王の関心をとらえる。；そしてこれが食虫的な運命の手を誘惑する美味な部分なのである。；メルコールに誘惑され堕落し、彼の召使いの中で最も力あるものとなる。；演奏旅行では弟が誘惑し悦びを与え、兄が種をまいて、2人で女を抱いた。；貴族の兵士に誘惑され、娼婦に落ちていく一般市民の女を描いている。；すると、美女二人はあろうことかエヴァンを誘惑し関係を迫ってきた。；その後父の病気はだんだん重くなって行くのになお山の恐ろしい力が私を誘惑する。；ヴォタリウスは努力しているが、どうしても誘惑できないと嘘をつく。；悪魔は、人々に幻を見せたり、誘惑したりしてバリアーの撤去を企んだ。；この世界は誘惑が多いけれど僕は早く家庭を持ちたかった。；別の記述では、彼がマリーと彼女の姉妹の両方を誘惑したという。；この子がそんなことをしたとき、すでにこの子はあなたに誘惑されていたんです。；真綾の度重なる誘惑に負けてしまい、自分から真綾を求めるようになる。；彼は誘惑を避けるように、思わず眼をつぶりながら、二三度頭を強く振った。；そんな彼に、マフィアのボスが故郷の女富豪を誘惑する様に命令を下す。；主に、男性を次々と誘惑したり虜にするような、やり手の女性を意味する。；だから、簡単に誘惑出来ると思い、いきなりそんな振舞いに出たのだった。</t>
        </is>
      </c>
      <c r="J8576">
        <f>HYPERLINK("https://www.weblio.jp/content/誘惑", "词义详情")</f>
        <v/>
      </c>
      <c r="K8576">
        <f>HYPERLINK("https://yourei.jp/誘惑", "查看例句")</f>
        <v/>
      </c>
    </row>
    <row r="8577">
      <c r="A8577" t="inlineStr">
        <is>
          <t>ゆえに</t>
        </is>
      </c>
      <c r="B8577" t="inlineStr">
        <is>
          <t>成功</t>
        </is>
      </c>
      <c r="C8577" t="inlineStr">
        <is>
          <t>読み方：ゆえに
［接］前に述べた事を理由として、あとに結果が導かれることを表す。数学の証明問題などでは「∴」の記号が用いられる。よって。したがって。「貴君の功績は大きい。—これを賞する」</t>
        </is>
      </c>
      <c r="D8577" t="inlineStr">
        <is>
          <t>ゆえに余；ゆえに我あり；ゆえにハルユキ；ゆえに我々；ゆえにいわく</t>
        </is>
      </c>
      <c r="F8577" t="inlineStr">
        <is>
          <t>ゆえにあら</t>
        </is>
      </c>
      <c r="H8577" t="n">
        <v>29</v>
      </c>
      <c r="I8577" t="inlineStr">
        <is>
          <t>ゆえに以下の性質のどれも、証明は の場合のみを考えれば十分である。；ゆえに、西洋でむやみにこれを使うと人間関係が破壊されることもある。；ゆえにどの時代でも活動していた師団の数は前述の総数よりかなり少ない。；ゆえに製品発見のために市場投入と同等のコストがかかっては意味がない。；われわれが象徴的存在となる、それはたんに象徴化するがゆえにだろう?；ゆえに基本的事項についても多数の説があり意見の一致をみていない。；ゆえにデフォルト機能の大部分はPROCコードを記述する必要はない。；自身の意志に忠実であるがゆえに、時に頑固になり頭に血が上りやすい。；どちらも熱帯産で北朝鮮には自然分布しておらず、ゆえに国花ではない。；初期の機種ではデジタルがゆえに事前にフォーマット作業が必要だった。；ゆえにリアルタイム性と正確性の両方が要求される分野に適している。；人気商品であるがゆえに、いくつかの他メーカーの類似品が存在する。；また、権力を求めていたがゆえに、ほとんどの時間を馬上で過ごしていた。；ゆえに、オープニングは修正パッチを適用する前に見ておく必要がある。；過去には、文字を省略したがゆえに誤字だと指摘を受けたこともある。；ゆえにこの適正農業規範の中には水に関係するものも多く存在する。；ゆえに彼は都市に住んでいる限り学校に通うことが出来なかった。；第1段階では過去を封印していたがゆえに患者の関心は「現在」であった。；ゆえに時間を要し、大幅に遅れて、3歳のうちにデビューできなかった。；なお、甲羅を持つがゆえに他の生物には見られない特徴が見られる。；ゆえに私有地といえども管理者は勝手に設置物等をおいてはならないとされる。；ゆえに、我々に現れる客観は、既に因果性の適用を受けて成立している。；ゆえにこれに善見城を加えて計33天となるので、三十三天と称される。；私の初演説はみんなが静聴してくれたがゆえに失敗だったと言える。；ゆえに車両の運動性能は同クラスの小型実用車の中でも極めて高い水準にある。；ゆえに単位だけでなく構造にまで注目した化粧品の開発が成された。；ゆえに本作品に於いては原作ではなく「原案」という扱いになっている。；ゆえに出力を予測するには状態の履歴を知っている必要がある。；ゆえにデザインの対象となりうるため、デザインは美術的側面をしばしば有する。</t>
        </is>
      </c>
      <c r="J8577">
        <f>HYPERLINK("https://www.weblio.jp/content/ゆえに", "词义详情")</f>
        <v/>
      </c>
      <c r="K8577">
        <f>HYPERLINK("https://yourei.jp/ゆえに", "查看例句")</f>
        <v/>
      </c>
    </row>
    <row r="8578">
      <c r="A8578" t="inlineStr">
        <is>
          <t>床</t>
        </is>
      </c>
      <c r="B8578" t="inlineStr">
        <is>
          <t>成功</t>
        </is>
      </c>
      <c r="C8578" t="inlineStr">
        <is>
          <t>読み方：しょう
［常用漢字］　［音］ショウ（シャウ）（呉）　［訓］とこ　ゆか
〈ショウ〉
１寝どこ。寝台。「臥床(がしょう)・起床・就床・病床・臨床」
２腰かけ。「床几(しょうぎ)」
３苗どこ。「温床」
４物の支えとなる部分。底部。土台。「火床・花床・河床・鉱床・銃床・道床」
〈とこ（どこ）〉「床屋／川床・寝床」
〈ゆか〉「床板・床下／高床」
[補説] 「牀」は本字。</t>
        </is>
      </c>
      <c r="D8578" t="inlineStr">
        <is>
          <t>床につい；床材；床に叩きつけ；床構造；床式</t>
        </is>
      </c>
      <c r="E8578" t="inlineStr">
        <is>
          <t>フロア；水底；フロアー；フローア</t>
        </is>
      </c>
      <c r="F8578" t="inlineStr">
        <is>
          <t>床襲衾；床覆衾；床式大物車；床にばら撒か；床固工</t>
        </is>
      </c>
      <c r="G8578" t="inlineStr">
        <is>
          <t>床の間；床面；床屋；床板；床几</t>
        </is>
      </c>
      <c r="H8578" t="n">
        <v>29</v>
      </c>
      <c r="I8578" t="inlineStr">
        <is>
          <t>床に置いて描くことはインディアンの砂絵の影響などによると言われる。；彼らが住処に到着するとそこで彼女は長いこと病の床につくこととなった。；ホームは低床ホームとなっており、旅客上屋等の設備が設けられている。；装置本体は冷房ダクトとの位置関係から、トイレ前に床置きされている。；この道具を使うと、土の中や床の中に埋まっている物を見ることができる。；これを使うと土の中や床の中に埋まっている物を見ることができる。；その高さの位置に目に見えない床ができ、空中を自在に歩くことができる。；また1970年代半ばから大型方向幕が採用され、低床化も進められた。；車体は普通鋼製で、屋根および床の一部にステンレス鋼を採用している。；表面を寄木にして材料を積層にすることで、などの床材にも応用できる。；床に座って食事をする場合、片膝立座で座るのが朝鮮の正式座法である。；これは特に、テーブルや床などのモザイクの制作ではきわめて重要になる。；これは腕の高さから固い床に落下させても壊れないように設計されていた。；王室や教会を除いては、床を覆うことができないほど貴重なものとされた。；花床がやわらかく発達して食べられるようになるイヌマキなどの例がある。；中の間の床脇の地袋の戸に描かれた鸚鵡と果物籠の図は呉春の筆である。；内部の床は、燃料が通過できるように金属製の細かい枠組みで作られた。；ゲージは敵やダメージ床などに接触すると消耗し、特定条件で回復する。；部屋にいると彼はいつも、床に広げた地図の上を這いまわっていた。；このように、外側から内側へ向けて徐々に床高を高くする特異な構造である。；ほかにも、床材などが交換されたが走行機器関係には手を加えられてはいない。；ドア横に2台あり、入って左側は床に置く形の運賃箱で現金対応である。；収集の対象は娘のオルガの臨終の床での言葉や動物の鳴き声にも及んだ。；近年の路面電車の新造車両は低床仕様となっているのが主流である。；この編成では床材がそれまでのラベンダー色から灰色に変更された。；そして床にある鉛管工事用の板を外して、そこから何かを取り出した。；鳥などがこの花床を食べるときに種子散布が起こると考えられる。；床材は淡いグレーをベースに中央通路部をブルーとした2色の柄である。；二階建て構造をとることが多く、その場合は特に二床式と呼ばれる。</t>
        </is>
      </c>
      <c r="J8578">
        <f>HYPERLINK("https://www.weblio.jp/content/床", "词义详情")</f>
        <v/>
      </c>
      <c r="K8578">
        <f>HYPERLINK("https://yourei.jp/床", "查看例句")</f>
        <v/>
      </c>
    </row>
    <row r="8579">
      <c r="A8579" t="inlineStr">
        <is>
          <t>愉快</t>
        </is>
      </c>
      <c r="B8579" t="inlineStr">
        <is>
          <t>成功</t>
        </is>
      </c>
      <c r="C8579" t="inlineStr">
        <is>
          <t>読み方：ゆかい
［名・形動］楽しく気持ちのよいこと。おもしろく、心が浮きたつこと。また、そのさま。「—な話」「—に遊ぶ」
[派生]ゆかいげ［形動］ゆかいさ［名］</t>
        </is>
      </c>
      <c r="D8579" t="inlineStr">
        <is>
          <t>愉快そう(11%)；愉快な気分；愉快な話；愉快な事；愉快な仲間</t>
        </is>
      </c>
      <c r="E8579" t="inlineStr">
        <is>
          <t>いい；よい；良い；満足；喜び</t>
        </is>
      </c>
      <c r="F8579" t="inlineStr">
        <is>
          <t>ひどく愉快；大変愉快；愉快なヘビくん；愉快な仲間達；愉快な仲間たち</t>
        </is>
      </c>
      <c r="G8579" t="inlineStr">
        <is>
          <t>愉快なシーバー家；愉快な鍛冶屋；愉快にオンステージ；愉快な家族</t>
        </is>
      </c>
      <c r="H8579" t="n">
        <v>29</v>
      </c>
      <c r="I8579" t="inlineStr">
        <is>
          <t>のみならず同伴の外国人の男女と愉快そうに笑ったり話したりし出した。；先生はみんな愉快で、お友達は朗かで誰もが勉強が出来て気持よかつた。；だんだんパリに近くなればなるほど、ますますわたしはゆかいになった。；高谷君は自分の身分と目的とを説明すると、男は愉快らしくまた笑った。；芸術上の仕事をしたら自分としてはさぞ愉快だろうと思うことさえある。；今もその愉快が身体のどこかに残っていると云った話振りなのです。；だが、言わねばならないことを言うのは、愉快ではなくて、苦痛である。；その子は、まるい鼻をした、ゆかいげな顔をした男の子だったそうです。；お前と一緒にいると愉快で時のたつのがわからねえくれえだからなあ。；こういうところを朝未明に旅をするのは実に旅行中の最大愉快である。；あくまでその魚が居るべきところにあつて釣れるのでなくては愉快でない。；彼の愉快な性格と彼の今の言葉の対称的なことが私をぎょっとさせた。；クリーム色の美しい花は、なんの心配もなさそうに、愉快げに見えます。；が、それは彼の浸っている愉快な気持を少しも損なうものではなかった。；つまり、それが常になごやかで・誠実で・愉快で・あるかどうかによる。；省作がよく働きさえすれば母は家のものに肩身が広くいつでも愉快なのだ。；もっともそのほうが今よりも愉快になれたかどうだか、それは疑問ですがね。；何と形容してよいかその時の有様は今なお忘れられないほど愉快であった。；それにもう一つ愉快でないのは、寝る時にも割り込んで来ることである。；しかしその悩みは、行く末の幸福を得ることのために愉快でありました。；飛び上った時には寒くて震えて居ましたが、しかし非常に愉快でした。；こないだ一しょに行って愉快に思った処へ、もう一遍行って見たいのだ。；快速なポルカ・シュネルの数々ではさらに愉快な気分が強調されている。；彼は別に大げさな態度を見せたり、愉快そうに笑ったりするわけでもない。；こういう風であったから、最初の間首里の学校生活は愉快ではなかった。；あれはもうおれのものだと思うと勝ち誇ったような愉快な気がする。；一個所でこれだけの収穫物があるということはたまらなく愉快であった。；そんなやうに日記みたいなものを並べて私は愉快になつてゐた。；女史は人を支配して、自分の力を試してみるのが愉快だったのでした。</t>
        </is>
      </c>
      <c r="J8579">
        <f>HYPERLINK("https://www.weblio.jp/content/愉快", "词义详情")</f>
        <v/>
      </c>
      <c r="K8579">
        <f>HYPERLINK("https://yourei.jp/愉快", "查看例句")</f>
        <v/>
      </c>
    </row>
    <row r="8580">
      <c r="A8580" t="inlineStr">
        <is>
          <t>浴衣</t>
        </is>
      </c>
      <c r="B8580" t="inlineStr">
        <is>
          <t>成功</t>
        </is>
      </c>
      <c r="C8580" t="inlineStr">
        <is>
          <t>読み方：ゆかた
《「ゆかたびら（湯帷子）」の略》木綿の単(ひとえ)の着物。夏のふだん着として、また、湯上がりに着用する。《季夏》「借りて着る—のなまじ似合ひけり／万太郎」</t>
        </is>
      </c>
      <c r="D8580" t="inlineStr">
        <is>
          <t>浴衣一枚；浴衣地；浴衣着；浴衣越し；浴衣コンテスト</t>
        </is>
      </c>
      <c r="F8580" t="inlineStr">
        <is>
          <t>新しい浴衣；派手な浴衣；古い浴衣；古浴衣；貸浴衣</t>
        </is>
      </c>
      <c r="G8580" t="inlineStr">
        <is>
          <t>浴衣がけ；浴衣掛け；浴衣まつり</t>
        </is>
      </c>
      <c r="H8580" t="n">
        <v>29</v>
      </c>
      <c r="I8580" t="inlineStr">
        <is>
          <t>広げた一枚の浴衣がどのようなものであるか、ヨシオはよく知っていた。；お秀さんの家はすぐそこだから、ともかく浴衣でも借りて帰っちゃどう?；女性が裸の上に浴衣だけを身につけるのは、特別なことでもなんでもない。；女が持ってきてくれた浴衣は、まるで四角な一枚の板のようであった。；五人とも、この夏初めての浴衣を着て、下ろし立ての下駄を履いていた。；その時私は、一人の浴衣の背中に銅貨大の赤い印がついているのを認めた。；白薩摩は薄い木綿地の着物で、白地のものは夏の浴衣などに用いられる。；昼間浴衣を着て人の怪まないのは夏中でこの日だけ位なものです。；窓の下に海が拡がり砂浜の上を浴衣の散歩姿が沢山あちこちに歩いていた。；私はいつものとおりちゃんと大チャンの浴衣を着て、蒲団の中で寝ていた。；出店のところにさっきの浴衣の娘が二人佇んでいるのが眼に入った。；ですから非常に暑くて、浴衣一枚すらも身体につけて居られない位でした。；浴衣の裾にスリットが入ってるんだぜ、ミニ丈になってるのもあったな。；スタッフは、その役割名が書かれたたすきを浴衣や半纏の上にかけている。；浴衣に着かへて廊下の手摺にでも兩足を投げ出したいといふのであつた。；一枚の浴衣を、胸をあらわして著ているので、殆ど裸体も同じ事である。；家の者が驚いて見ているとどこからともなしに越後縮の浴衣と洋傘が飛んで来た。；でも、すぐ浴衣を借りて一と風呂入つて來て、陽の高いうちから酒でせう。；河風の湿ッぽさが次第に強く感じられて来て浴衣の肌がいやに薄寒くなった。；娘は疊んだ浴衣を置いて、之れとお着かへになりませと言つた。；浴衣のたて縞模様の位置は、X線画像と完成画とで異なる部分がある。；信子がいつも着ていた浴衣を見ていると、彼女の体つきが浮んで来た。；浴衣はただ反物で見て居るだけでも気持ちがよいと申しました。；それよりも道三のどぎも《・・・》をぬいたのは、信長の浴衣の背だった。；妹から心づくしの浴衣と汗の結晶とを贈つてくれた、すなほに頂戴する。；ほとんど毎年あたしと姉さんの浴衣買ってたから、結構数あるのよ。；私は朝早く、よれよれの浴衣一枚で机の前に坐っていた彼の姿をおもいだした。；さすがに二人とも浴衣は着ていたけれど下着はつけていない。；これはずっと前であるが裏返しに浴衣を着たまま散歩に出た。</t>
        </is>
      </c>
      <c r="J8580">
        <f>HYPERLINK("https://www.weblio.jp/content/浴衣", "词义详情")</f>
        <v/>
      </c>
      <c r="K8580">
        <f>HYPERLINK("https://yourei.jp/浴衣", "查看例句")</f>
        <v/>
      </c>
    </row>
    <row r="8581">
      <c r="A8581" t="inlineStr">
        <is>
          <t>歪む</t>
        </is>
      </c>
      <c r="B8581" t="inlineStr">
        <is>
          <t>成功</t>
        </is>
      </c>
      <c r="C8581" t="inlineStr">
        <is>
          <t>読み方：いがむ
［動マ五（四）］《「ゆがむ」の音変化》
１「ゆがむ1」に同じ。
「針ガ—・ンダ」〈和英語林集成〉
２「ゆがむ2」に同じ。
「気ノ—・ンダ人」〈和英語林集成〉
３盗む。
「是まで人の物を—・み候へば、どうで地獄へまかり申すべく候」〈浄・朝顔話〉
［動マ下二］「いがめる」の文語形。</t>
        </is>
      </c>
      <c r="D8581" t="inlineStr">
        <is>
          <t>歪む表情</t>
        </is>
      </c>
      <c r="E8581" t="inlineStr">
        <is>
          <t>変形する；陥落する；潰れる；潰される；引っ込む</t>
        </is>
      </c>
      <c r="F8581" t="inlineStr">
        <is>
          <t>ぐにゃりと歪む；醜く歪む；げに歪む；引き歪む</t>
        </is>
      </c>
      <c r="H8581" t="n">
        <v>29</v>
      </c>
      <c r="I8581" t="inlineStr">
        <is>
          <t>こういう事情で作品を歪まされたのは、わたし一人のことではなかった。；赤ん坊よりも私の関心は苦痛に歪む人々の方に注がれていたに違いない。；しかし、自分の心が歪むほどに私は身勝手に女との絆を求めていました。；歪んだ広間のあとの部分と釣り合いが取れるように配置されていたのだ。；そんな私の視線に気付くと、奴はその顔を更に歪ませて殴りつけてきた。；眼をとじさえすれば、殺された男のヒヒのような歪んだ顔が浮んできた。；怒りに歪んでいた顔がやわらぐと、もとの美しさが多少は戻ってきた。；それを見ると、その奇妙な歪んだ人間たちの顔が輝くように思われた。；僕はまた、遊びの輪から離れて小さな顔を歪ませている妹をよく見かける。；しかし標本は歪んでいるため、どちらかを断定することは不可能である。；「いや、それが雄二の言ったとおりなんじゃ」 秀吉の端整な顔が歪む。；アンドロメダ銀河は実際に既に歪んでおり、端が巻いた形になっている。；いくつかの時点でラムの口はモザイク処理されたかのように歪んで見える。；が、しばらくすると、青い、歪んだ顔を上げて、またその手紙を読んだ。；彼は悩みをもっているために人生に対して歪んだ考え方をしています。；だが一方で、彼女の性格が歪む原因となる事件にもたびたび関わっている。；空中に円盤形の波動が生じ、それが風景を歪ませながら、飛んでいった。；他人との比較の中でしか、自分の安心を得られない、歪んだ魂の持ち主だ。；この鉢は別に歪んだことや、慣れぬ模様のことなどに、こだはつてゐない。；また同時に「もし兄が歪んでいたならその手で殺せ」と言い残している。；もし此の男がいなかったら公の性的遊戯も歪んだ発展をしなかったであろう。；歪んだ運命のお相伴なら、もう父や葛岡のことだけで沢山でございます。；あまりの速度のために歪む視界の中、ぼんやりと光の筋が見えた。；ダヴロスの声はダーレクのものと似ており、電子的な歪んだ声をしている。；歪んだ愛はどんずまったまま・・・傷だらけのナルミの人生は続いていく。；また曇ったり、歪んだりはしているが透けて見えることを半透明という。；空気の詰まったゴムボールのような乳房が、さまざまに形を変えて歪む。；父が手紙に落とした涙が、乾いて紙面を歪ませたからに違いないと思った。；接合部の隙間はその各々が僅かでもその合計が全体を大きく歪ませてしまう。</t>
        </is>
      </c>
      <c r="J8581">
        <f>HYPERLINK("https://www.weblio.jp/content/歪む", "词义详情")</f>
        <v/>
      </c>
      <c r="K8581">
        <f>HYPERLINK("https://yourei.jp/歪む", "查看例句")</f>
        <v/>
      </c>
    </row>
    <row r="8582">
      <c r="A8582" t="inlineStr">
        <is>
          <t>雪</t>
        </is>
      </c>
      <c r="B8582" t="inlineStr">
        <is>
          <t>成功</t>
        </is>
      </c>
      <c r="C8582" t="inlineStr">
        <is>
          <t>読み方：せつ
［音］セツ（漢）　［訓］ゆきすすぐ　そそぐ
［学習漢字］2年
〈セツ〉
１ゆき。「雪渓・雪洞(せつどう)・雪月花／蛍雪・降雪・豪雪・残雪・春雪・除雪・新雪・積雪・早雪・霜雪・氷雪・風雪」
２雪のように白い。白いもの。「雪膚／眉雪(びせつ)」
３洗い清める。すすぐ。「雪冤(せつえん)・雪辱」
〈ゆき〉「雪国・雪空／大雪・粉雪・根雪・初雪」
［名のり］きよ・きよむ
［難読］雪花菜(おから・きらず)・細雪(ささめゆき)・雪駄(せった)・雪踏(せった)・雪隠(せっちん)・雪崩(なだれ)・吹雪(ふぶき)・雪洞(ぼんぼり)・雪消(ゆきげ)</t>
        </is>
      </c>
      <c r="D8582" t="inlineStr">
        <is>
          <t>雪乃；雪崩れ；雪深い；雪斎；雪華</t>
        </is>
      </c>
      <c r="E8582" t="inlineStr">
        <is>
          <t>深雪；積雪；白いもの；白雪；降雪</t>
        </is>
      </c>
      <c r="F8582" t="inlineStr">
        <is>
          <t>深い雪；耐雪；多雪；薄雪；着雪</t>
        </is>
      </c>
      <c r="G8582" t="inlineStr">
        <is>
          <t>雪崩；雪風；雪山；雪辱；雪原</t>
        </is>
      </c>
      <c r="H8582" t="n">
        <v>29</v>
      </c>
      <c r="I8582" t="inlineStr">
        <is>
          <t>特に、雪起こしが観測された場合は冬の始まりであると言い習わされる。；球状部分から熱を出し、雪でできた壁に容易に穴を開けることができる。；車両に着雪した雪は落下することで設備の破損などを引き起こすがある。；山は雪で覆われることが多いものの、その雪は雨によってすぐに消える。；この雪は悪臭を伴っており、通常の雪の4倍の鉄分を含んでいたという。；また雪が屋根から落ちるときに、茅も一緒に落ちてしまうことがある。；雪から融解した水は水路を作りながら集まり、氷の表面に池を多数作る。；これらは州内のスキー場の雪にとっては無くてはならない条件である。；雪斎の号は居住した場所に「雪斎」と書かれた扁額があったことが由来。；また一般的ではないが、夏の7月と8月でも雪を経験したことがある。；「雪は天から送られた手紙である」という言葉を残したことも知られる。；ホームに上屋はないが、駅正面に雨や雪を防ぐ待合施設が設置されている。；上流部は三国山脈などの高山地帯があり、冬季は雪が多く寒さが厳しい。；日本では雁木を設けて雪が道に積もらないようにする工夫が昔からあった。；しかし北の国のさまざまな騒ぎを飲み込むように、雪はまた強くなり始めた。；北海道の中では雪は少なく、過去最深積雪も115cmと1m強である。；雪や雨は一時的な現象なので、川の持続的な水源は地下水である所が多い。；しかしながら、近年ではこの最高気温を記録した月に雪が降ることもある。；九州各地が雪に見舞われた時でも宮崎市のみは晴れていることが多い。；お雪を幸福な家庭の人にするのは自分ではない、と大江は考える。；だがホスの極寒の吹雪に巻き込まれ、雪の中で気を失って倒れてしまう。；年間降水量は少なく冬季に集中するために雪が多くなる地域も多い。；地下に流雪溝を設けて道路脇の穴から雪を落とすようにしている場所もある。；雪は、入ってきた光をほとんど吸収することなく散乱光として送り出す。；怒った神が雨や雪の代わりに降らせたものと信じられていた。；しばらく姿を見せていなかったバカ王子が突然、雪隆の部屋を訪れた。；挿し木林業が盛んなところは九州や千葉県など比較的雪の少ない所に多い。；特に雪で皮膚が濡れている場合は注意が必要である。；その先には、雪に埋もれるように、見慣れた一台の車が止まっていた。</t>
        </is>
      </c>
      <c r="J8582">
        <f>HYPERLINK("https://www.weblio.jp/content/雪", "词义详情")</f>
        <v/>
      </c>
      <c r="K8582">
        <f>HYPERLINK("https://yourei.jp/雪", "查看例句")</f>
        <v/>
      </c>
    </row>
    <row r="8583">
      <c r="A8583" t="inlineStr">
        <is>
          <t>行き先</t>
        </is>
      </c>
      <c r="B8583" t="inlineStr">
        <is>
          <t>成功</t>
        </is>
      </c>
      <c r="C8583" t="inlineStr">
        <is>
          <t>読み方：いきさき
⇒ゆきさき</t>
        </is>
      </c>
      <c r="D8583" t="inlineStr">
        <is>
          <t>行き先表示器；行き先別；行き先ごと；行き先案内；行き先表示幕</t>
        </is>
      </c>
      <c r="E8583" t="inlineStr">
        <is>
          <t>コース；ルート；ゴール；住所；行方</t>
        </is>
      </c>
      <c r="F8583" t="inlineStr">
        <is>
          <t>主な行き先；led式行き先；式行き先標示</t>
        </is>
      </c>
      <c r="H8583" t="n">
        <v>29</v>
      </c>
      <c r="I8583" t="inlineStr">
        <is>
          <t>これは、かれらがわれわれの行き先を事前に知っていたことを意味する。；ソ連の輸送指揮官に尋ねても行き先はわからない仕組みになっています。；歩いている人たちは、みんな行き先があってそこに向かって歩いている。；残りの上り列車や下り列車の行き先はすべて九州地区の駅となっている。；そう都合良く、佐天の行き先を示すものが部屋の中にあるとは思えない。；僕は行き先を告げずに出てきたので、騒ぎになっているかもしれない。；一応師匠には行き先を伝えているが、他のみんなにはまだだったはず。；そしてエリが誰かを頼っていくとしたら、行き先は私のところしかない。；そうして通り過ぎた道の多くは歪んでいて、行き先は離れていく一方だ。；しばらく進むと、行き先に高原が開けて街道の町メムロンが見えてきた。；その行き先は、もう廃村となってしまった二人の生まれ故郷の村だった。；しかし、その飛行機の行き先がメキシコのアカプルコであることを知る。；あの運転手に、自分の行き先を知られることを恐れているんですよ。；行き先は地獄と定まっていても、おまえさえいっしょでなければ天国さ。；いつものお気楽な哨戒航行だと思っていたら、行き先が戦場だったのだ。；もしそれを知っていたなら、今回の行き先は西宮だったかもしれない。；プレイヤーはミニマップで表示される行き先を指定して街の中を移動する。；このごろはタクシーに乗っても、行き先すら言えないような始末である。；関係がなければ、自分をかどわかした飛行艇の行き先を知るはずがない。；朝比奈さんと古泉は行き先を知っているのか、平気な笑みでついていく。；俺は自転車の行き先をほんの少し変更して、エリオの元へ車輪を回した。；しかし、ある日突然行き先を誰にも告げずに娘と叔母の三人で姿を消す。；ちなみに行き先表示幕の時は当時流行の丸字が使われていた。；本来、街道は行き先の名称を冠したため水戸側では江戸街道と呼ばれた。；行き先の陸が見えないのにどうやって進路がわかるか、というのである。；私の仕事は男爵からハーツに流れた二百万フランの行き先を調べること。；ワープドアの行き先は別の階の場合もあれば、同じ階の場合もある。；ふたりでよく思案して、牢を破ってからの行きさきも考えておかなくては。；だがよく考えてみれば、妻の行き先はもともとわかっているのだ。</t>
        </is>
      </c>
      <c r="J8583">
        <f>HYPERLINK("https://www.weblio.jp/content/行き先", "词义详情")</f>
        <v/>
      </c>
      <c r="K8583">
        <f>HYPERLINK("https://yourei.jp/行き先", "查看例句")</f>
        <v/>
      </c>
    </row>
    <row r="8584">
      <c r="A8584" t="inlineStr">
        <is>
          <t>行き過ぎる</t>
        </is>
      </c>
      <c r="B8584" t="inlineStr">
        <is>
          <t>成功</t>
        </is>
      </c>
      <c r="C8584" t="inlineStr">
        <is>
          <t>読み方：いきすぎる
［動ガ上一］［文］いきす・ぐ［ガ上二］⇒ゆきすぎる</t>
        </is>
      </c>
      <c r="D8584" t="inlineStr">
        <is>
          <t>過ぎる；やり過ごす；行きすぎる；やり過ぎる；行過ぎる</t>
        </is>
      </c>
      <c r="H8584" t="n">
        <v>29</v>
      </c>
      <c r="I8584" t="inlineStr">
        <is>
          <t>通りを行き過ぎる人々は突然のことに驚いた顔でこちらを見ている。；やがて橇が行き過ぎるとそれもだんだん後の方へ小さく小さく消えて行く。；明らかに父は何もせず、ただ恥辱を甘受し、行き過ぎるのを待っている。；そこで彼女は、じっと身をひそませながら、戦争の行き過ぎるのを待つ。；ビリーは10メートルぐらい行き過ぎると、体を反転させて戻ってきた。；車で行き過ぎるとき、クラウスはわざと車の中で手を上げてみせた。；それはしばしば行き過ぎるまでに完成された仕事である。；物言わぬ備品のひとつになり、少女は目を閉じて寒さが行き過ぎるのを待った。；廊下にも灯が入っていて、学生や教授たちが三々五々行き過ぎる。；砲撃で飛散した破片が行き過ぎるのみで、他に動くものは見当たらない。；バスが行き過ぎると、大人びた表情になった男は小さな電話をポケットにしまった。；クルーザーは遭難したのかもしれず、放ったまま行き過ぎることはできない。；そうしてまた敵の行き過ぎるのを見ては、そこから出て斬った。；なぜなら彼を呼びとめもせず、彼の行き過ぎるのに気づいたらしいそぶりも示さなかったからだ。；それはまた猟師が行き過ぎるのを待っていることである。；中にはそれよりもさらに行き過ぎるものもいる。；しかし路が狹いので、それが行き過ぎるまでと思つて坐つてゐた。；コーヒーショップは二階にあったので、大きな窓から通りを行き過ぎる人々の姿がよく見えた。；行き過ぎるボートの中からもアンリエットの歌に合せて低く唄うものがあった。；ふとそこを青いパラソルをさした太り肉の丈の高い女が行き過ぎる。；庭の端の崖下は電車線路になっていて、ときどき轟々と電車の行き過ぎる音だけが聞える。；ひっそりとした暗い町を今人間の形をした苦悶が火照って行き過ぎるのではないか。；そんな中で、ただ、じっとしゃがんで、吹雪が行き過ぎるのを待っていた。；ダグザの言葉が風音に混じり、耳の底を行き過ぎるのをバナージは聞いた。；知らぬ顏をして行き過ぎると穴から手を出して捕まへさうに烈しい呼び方をする。；知らんか振りをして行くと、娘共は屹度何か調戯つて行き過ぎる。；軽く眺めながら行き過ぎるだけでよいところはそうしてしまう、じっくり眺めたいところはそうする。；この一本筋の街を行き過ぎると、病院の構内の東北隅に突きあたる。；エレカのドアが閉まる音が響き、走り去るエンジン音が傍らを行き過ぎる。</t>
        </is>
      </c>
      <c r="J8584">
        <f>HYPERLINK("https://www.weblio.jp/content/行き過ぎる", "词义详情")</f>
        <v/>
      </c>
      <c r="K8584">
        <f>HYPERLINK("https://yourei.jp/行き過ぎる", "查看例句")</f>
        <v/>
      </c>
    </row>
    <row r="8585">
      <c r="A8585" t="inlineStr">
        <is>
          <t>行き届く</t>
        </is>
      </c>
      <c r="B8585" t="inlineStr">
        <is>
          <t>成功</t>
        </is>
      </c>
      <c r="C8585" t="inlineStr">
        <is>
          <t>読み方：いきとどく
［動カ五（四）］⇒ゆきとどく</t>
        </is>
      </c>
      <c r="D8585" t="inlineStr">
        <is>
          <t>行き渡る；ゆき渡る；ゆき届く</t>
        </is>
      </c>
      <c r="H8585" t="n">
        <v>29</v>
      </c>
      <c r="I8585" t="inlineStr">
        <is>
          <t>現場の声が行き届いたシステムとして成長し全国に規模を拡大している。；子供たちがいくのだから、どうしても行き届くもののほうが都合がよい。；いくらそこがセキュリティの行き届いた超高級マンションであってもだ。；手入れのよく行き届いた松が、玄関の屋根のあたりに枝を伸ばしている。；あんたには独自の行き届いた手段がおありのことと思うとりました。；今度の計画でもその行き届いていることは実に驚くべきものである。；仮住居で整理が行き届かぬまま、その本が手近にあったのかも知れない。；大地と家は手入れが行き届いていて、川の土手沿いに住居が並んでいた。；南軍の南西と中央の攻撃部隊も連絡が行き届かず命令を誤解して苦しんだ。；隠れたところに働く和尚の心は墓地の掃除にまでよく行き届いていた。；シティカーをはじめとする地下交通網の整備が行き届いていたからである。；目標の達成には行政の威令が行き届かない現状を改善しなければならない。；ゲーム環境も良くなく、前作ほど細部まで行き届いていないとされた。；日頃より整備の行き届いた日本の線路と比較すると、相当状態は悪い。；皇帝の治世が行き届いているためか、四正国の中では比較的治安が良い。；外であそこまで行き届いた世話を受けられるわけもないと思う。；衛生の方の注意は十分に行き届いていたので三人とも健康に育っていたそうだがね。；何から何まで私が父上を殺さねばならぬ様に総て仕組が行き届いて居ます。；本当に小さいところまで行き届いた、愛のこまやかなイエス様ですねえ!；事故の原因は、空港側の連絡が行き届いていなかったことである。；手入れの行き届いた植木が、音もなく風に揺れ、小鳥が枝を渡っていた。；それでその出発点から筆をつけて、私の座談の行き届かない所を補ひます。；狭いながら手入れの行き届いた庭をはべらせ、石張りの壁で囲っている。；建部氏のような、配慮の行き届いたものでないことだけは、確かである。；公共投資が行き届いており、整備された道路に沿って住居や各種施設が並ぶ。；長い、清掃の行き届いた通路を、同じ便から降りた客の列だけが続く。；宮方と武家方とが対立して、国家の統治が行き届かない時代となった。；身なりもよく、身体の隅々まで栄養が行き届いているような女性である。；行き届いた上にも行き届かせての祝い日の設けが六条院にできていた。</t>
        </is>
      </c>
      <c r="J8585">
        <f>HYPERLINK("https://www.weblio.jp/content/行き届く", "词义详情")</f>
        <v/>
      </c>
      <c r="K8585">
        <f>HYPERLINK("https://yourei.jp/行き届く", "查看例句")</f>
        <v/>
      </c>
    </row>
    <row r="8586">
      <c r="A8586" t="inlineStr">
        <is>
          <t>行方</t>
        </is>
      </c>
      <c r="B8586" t="inlineStr">
        <is>
          <t>成功</t>
        </is>
      </c>
      <c r="C8586" t="inlineStr">
        <is>
          <t>読み方：なめがた
茨城県南東部、霞ヶ浦と北浦に挟まれた地域にある市。低地を利用した稲作のほか、チンゲンサイの栽培が盛ん。平成17年（2005）9月に麻生町・北浦町・玉造町が合併して成立。人口3.8万（2010）。</t>
        </is>
      </c>
      <c r="D8586" t="inlineStr">
        <is>
          <t>行方知れ(8%)；行方不明(5%)；行方を追って；行方知らず；行方不知</t>
        </is>
      </c>
      <c r="E8586" t="inlineStr">
        <is>
          <t>後；先；以後；将来；後方</t>
        </is>
      </c>
      <c r="F8586" t="inlineStr">
        <is>
          <t>きり行方；行方を突きとめる</t>
        </is>
      </c>
      <c r="G8586" t="inlineStr">
        <is>
          <t>行方不明者；行方郡；行方不明事件；行方市；行方尚史</t>
        </is>
      </c>
      <c r="H8586" t="n">
        <v>29</v>
      </c>
      <c r="I8586" t="inlineStr">
        <is>
          <t>いくつかは現在行方不明で、おそらく廃棄されたものと考えられている。；その際に少女ともはぐれてしまい、そのまま行方知れずとなってしまう。；その首の行方から将門塚をはじめ数々の伝説が全国各地に残されている。；番組の行方や苦労話、リスナーからの質問・回答などが主な内容である。；しかし、オランダは戦争の行方に大きな影響を与えることはできなかった。；ただ降伏も戦死もしないと口にしていた中島だけは今以て行方が知れない。；メンケはその日の朝に犬の散歩をしに出かけたきり行方不明だった。；しかしこの試合で発生した乱闘事件はファイナルの行方を大きく左右した。；戦争終結後彼らの存在は歴史の闇に隠れ、その行方を知るものは誰もいない。；現伯爵はその白骨が弟であることを信じず、今でもその行方を捜している。；銀剣持ちの多くは、戸有で内乱が起こった時に逃走し行方不明である。；会社の後始末を行なっている過程で万年は警察とヤクザから行方を追われた。；ローラは夫の行方を案じていたが、助けを求める電話がかかってきた。；捜査本部に戻った主人公には、既に文江の兄の行方に心当たりがあった。；この戦いは戦術的には引き分けたが、戦争の行方には大きな影響を与えた。；分離通行方式の最初の適用は1970年初頭のドーバー海峡であった。；さらに、泳いで陸地へ向かう途中で3名が行方知れずとなり1名が死亡。；国政選挙の行方は大統領選挙の前数ヶ月の州別の選挙で現れていた。；このため振武集団の編成も北部転進の行方に左右され幾度か変動した。；この後の大崎義隆の行方については、断片的なことしかわかっていない。；マクレガー戦試合当日にも、徘徊から一時行方がわからなくなっていた。；当時のスタッフが行方不明だったマスターテープを発掘して放送したという。；犯人やその動機、そして遺体の行方は現在も不明のままである。；艦に戻る前にチームは行方不明であった船員1名を無事発見した。；しかし、この鉄鏡は注目を集めることなく、行方も分からなくなった。；さらに宇治の合戦後は逢坂関の東にある関寺付近で行方知れずとなった。；夕顔は親友・頭中将の元恋人で、行方知れずになっていた人であった。；その場は切り抜けたものの、責任を感じたディランは行方をくらませる。；各建物には、それぞれ固有の機能があり、戦争の行方に様々な影響を与える。</t>
        </is>
      </c>
      <c r="J8586">
        <f>HYPERLINK("https://www.weblio.jp/content/行方", "词义详情")</f>
        <v/>
      </c>
      <c r="K8586">
        <f>HYPERLINK("https://yourei.jp/行方", "查看例句")</f>
        <v/>
      </c>
    </row>
    <row r="8587">
      <c r="A8587" t="inlineStr">
        <is>
          <t>行く先</t>
        </is>
      </c>
      <c r="B8587" t="inlineStr">
        <is>
          <t>成功</t>
        </is>
      </c>
      <c r="C8587" t="inlineStr">
        <is>
          <t>読み方：いくさき
⇒ゆくさき</t>
        </is>
      </c>
      <c r="D8587" t="inlineStr">
        <is>
          <t>行く先ざきで；行く先き先；行く先きは；行く先きざ</t>
        </is>
      </c>
      <c r="E8587" t="inlineStr">
        <is>
          <t>後；先；以後；将来；後方</t>
        </is>
      </c>
      <c r="F8587" t="inlineStr">
        <is>
          <t>歩いて行く先；訪ねて行く先；流れて行く先</t>
        </is>
      </c>
      <c r="H8587" t="n">
        <v>29</v>
      </c>
      <c r="I8587" t="inlineStr">
        <is>
          <t>行く先をあまり正確に突きとめられないほうがいいと考えたからだった。；私の行く先にあるものは幼い日の記憶をよび起こすようなものばかりだ。；そういうものがこの方面の行く先でありユートピアであるかもしれない。；東京の破壊に生命を賭けた男が帰って行く先は、その東京しかなかった。；ホテルを出ると外は闇が深く、僕は行く先をなくしてしまいそうだった。；といっても、行く先がただの墓場にすぎないことは、百も承知している。；しかも使いの行く先が、柳生様だと思うと、手を振って歩きたくなった。；われわれはハイジャックされて、行く先がどこであるかもわかっている。；若い女房たちは使いの行く先と手紙の内容とを知りたがっていた。；行く先はわかっているし、そこにはすでに彼らの別働隊が待機している。；片目を閉じていたらボールを打った瞬間、その行く先が追えないだろう。；刑事が下で、ぼくを待っていて、行く先どこまでもついてきてくれる。；その行く先が未来であるのではなく、それを未来と呼んでいるのだ。；吸血鬼の行く先など地獄と決まっておるが、それでも祈っていてやるよ。；海に近いことを思わせるような古い街道の松並木が行く先にあった。；このもうどこへも行く先がないという意味が、おわかりになりますかな?；行く先を告げずに姿を消すのは初めてのことではないが、時期が時期だった。；日が高くなってきたので特に行く先のあてもなく家を出てこの電車に乗ってみただけだ。；よし、どこへ行くか、行く先を突きとめてやろうという気になりました。；まさか、と思ったけれども、やはり話の行く先はそこにいきあたるのだ。；熱田の足の行く先にいるのは、右手側、両腕を機械化した黒服姿の兵士。；でも心配しないでもいいですよ、あなた方の行く先はなんとかします。；これから行く先だとか、家の職業だとか、大きくなったら何になるのだとか。；たった一人の母親が罪人になっちまったら、おさちの行く先はどうなる。；トレープレフ君は自分の道を発見して、ちゃんと行く先を知っている。；その行く先は、身の毛のよだつ程に熟知しているらしい場所だったのだ。；この友人はしっかりしており、すでに自分の行く先を決めていた。；二階への階段を上がる音がしたから、埜々香の行く先は彼女の自室だろう。；しかし、ゲドは行く先こそ気になれ、もう、人間を恐れてはいなかった。</t>
        </is>
      </c>
      <c r="J8587">
        <f>HYPERLINK("https://www.weblio.jp/content/行く先", "词义详情")</f>
        <v/>
      </c>
      <c r="K8587">
        <f>HYPERLINK("https://yourei.jp/行く先", "查看例句")</f>
        <v/>
      </c>
    </row>
    <row r="8588">
      <c r="A8588" t="inlineStr">
        <is>
          <t>行く手</t>
        </is>
      </c>
      <c r="B8588" t="inlineStr">
        <is>
          <t>成功</t>
        </is>
      </c>
      <c r="C8588" t="inlineStr">
        <is>
          <t>読み方：ゆくて
１進んで行く方向。進んで行く前方。行く先。「—を阻む」
２前途。将来。「—に困難が待ち受ける」
３行くついで。
「冬来れば—に人は汲まねども氷ぞ結ぶ山の井の水」〈千載・冬〉</t>
        </is>
      </c>
      <c r="D8588" t="inlineStr">
        <is>
          <t>行く手にどんな；行く手をふさが；行く手に黒い</t>
        </is>
      </c>
      <c r="E8588" t="inlineStr">
        <is>
          <t>コース；ルート；進路；道筋；ベクトル</t>
        </is>
      </c>
      <c r="H8588" t="n">
        <v>29</v>
      </c>
      <c r="I8588" t="inlineStr">
        <is>
          <t>かれらの行く手は緑色のじゅうたんの間をぬってどこまでも続いていた。；背の翼の出力も用いた前進の行く手にあるのは、背を向けた黒の武神だ。；その行く手には、見れば真鍮の医者の看板をかかげた一軒の家があった。；彼は私が間ぢかまでくると、路の中央へ出てきて私の行く手をさえぎった。；一人が行く手をふさぐように前方に立ち、二人が運転席側に回っている。；行く手の地形にどうにも越えられない障害が存在する可能性は多分にある。；光の列が伸び、行く手がひときわ高く壇になっているのが見えはじめた。；私の行く手に何者かが異様な恰好でうずくまっているのが仄見えたので。；行く手では、炎の海から生まれ出た何かが、明確な形を取りつつある。；町もなければ、人影もなく、なだらかに上がる丘が行く手にあるだけだ。；背後から声をかけられたのは、永久橋が行く手にみえはじめた時であった。；それ以上の危険が行く手に待ちかまえていることをおぼえていたからである。；僕はきみの為にひどい目にあったり、いつも行く手を邪魔されたり。；だが十歩も行かないうちに、ガニマールが行く手をさえぎったのである。；しかし彼らは行く手を阻もうとしたオッシュ将軍の軍と衝突してしまった。；すると、ハリーの行く手の扉から、黒い長い髪の男が飛び出してきた。；かれらの行く手の岩壁に、洞穴がポッカリと開いているのが見えてきた。；行く手でついに階段が終わり、その向こうにやや広めの板の間があった。；僕たちの行く手にはどこにも、敵となり味方となってユダヤ人どもばかりいる。；行く手に先廻ってどんな状況が設けられているかはわからなかった。；当然のことながら、行く手に何が待ち受けているかは知るよしもない。；彼と目を合わせたウィリアムが行く手に広がる森を不安げに見やった。；行く手に細長い島が横わりますが、古くからこの島を沖縄と呼びました。；だがいったん海に出るや、吹きつける風がかれらの行く手をはばんだ。；幾つめかの円柱の陰に達したとき、行く手に何か妙なものが見えた。；自分の行く手を何かに阻まれているような、そんな気持になるにちがいない。；というのは、行く手に落とし穴がないことを、いまは知っているからだ。；健康とともに、強い希望の火が、かれの行く手によみがえってきていた。；行く手の鋪道を集めている広場から左に折れた所に千鶴子のホテルがあった。</t>
        </is>
      </c>
      <c r="J8588">
        <f>HYPERLINK("https://www.weblio.jp/content/行く手", "词义详情")</f>
        <v/>
      </c>
      <c r="K8588">
        <f>HYPERLINK("https://yourei.jp/行く手", "查看例句")</f>
        <v/>
      </c>
    </row>
    <row r="8589">
      <c r="A8589" t="inlineStr">
        <is>
          <t>湯気</t>
        </is>
      </c>
      <c r="B8589" t="inlineStr">
        <is>
          <t>成功</t>
        </is>
      </c>
      <c r="C8589" t="inlineStr">
        <is>
          <t>読み方：ゆけ
入浴のときに起こる軽い脳貧血。</t>
        </is>
      </c>
      <c r="D8589" t="inlineStr">
        <is>
          <t>湯気がもうもうと；湯気が立ち昇る；湯気が白く；湯気が立ち昇り；湯気を立ち昇ら</t>
        </is>
      </c>
      <c r="E8589" t="inlineStr">
        <is>
          <t>蒸気；水蒸気；スチーム；湯煙；湯烟</t>
        </is>
      </c>
      <c r="F8589" t="inlineStr">
        <is>
          <t>熱い湯気；白く湯気；濃い湯気；湯気抜き；湯気立つ</t>
        </is>
      </c>
      <c r="H8589" t="n">
        <v>29</v>
      </c>
      <c r="I8589" t="inlineStr">
        <is>
          <t>あるいは、湯気を絶やさぬように医師に命じられていたのでもあろうか。；私は彼にうなずいて見せて、湯気の立ちはじめた川沿いに家路に向った。；そして、静かな声で、まだ興奮の湯気を立てている息子にむかっていう。；この白い糸のやうな湯気を見てゐると 私は赤ん坊のやうに楽しいんです。；あんまり力いっぱい駆けているので、男のまわりには湯気がたっていた。；頭からポッポッと湯気を出して怒っている警官の顔が見えるようでした。；湯気の向こうで行われているそれらすべては、遠い風景のようだった。；道の真中に白く湯気の立つ溝があり、高く湯の香があたりに漂っていた。；顔が赤くなって、赤い顔の中央から白い湯気の様な息が立って居る。；湯げのお話はこのくらいにして、今度は湯のほうを見ることにしましょう。；化学爆弾が使われたらしいが、奇妙なことに土は熱い湯気を上げていた。；白衣姿の女の人が三人、給仕ハッチのそばで湯気に包まれて立っている。；火鉢には小さな鍋が掛けてあって、その葢の隙間から湯気が立っていた。；その時の説明では、この湯気を八百万の神々に送るということであった。；二、三分して、女中が湯気のたっている石の容器を部屋にもってきた。；阿賀妻は湯気の舞いあがっている熱い茶を受けて、誰にともなく云った。；幸福の湯気が彼女の眼をうるおして、涙に清らかさとやさしさを与えた。；地図記号は、湯壺を表す部分と湯気を表す3本線の部分とに分割できる。；ジョーは部屋のドアのすぐ内側に立って、湯気の立つ茶碗を手にしていた。；二人のいる頂から、谷全体が湯気を上げている大きな青い湖のように見えた。；馬は海から泳ぎ上がったように汗に光り、その全身から湯気をたてていた。；そこへ他の夜叉が湯気の立っている湯を盛った大きな杓を持ってきた。；一同は湯気の出ているできたてのおいしいごちそうを腹いっぱい食べた。；机の上には、食べかけのラーメンが湯気を立てたまま放置されている。；温泉の湯気で金属がどんなになるのか知っているに違いない。；やがて簡単な朝の食事がテーブルの上に湯気を立てはじめた。；彼は靴を炉の前に突き出していたが、靴は火に当って湯気をたてはじめた。；また、冬には池から湯気が立つ神秘的な風景も見られることがある。；馬は湯気の様な息を吐き、兵隊達はもう水を浴びたように汗に濡れている。</t>
        </is>
      </c>
      <c r="J8589">
        <f>HYPERLINK("https://www.weblio.jp/content/湯気", "词义详情")</f>
        <v/>
      </c>
      <c r="K8589">
        <f>HYPERLINK("https://yourei.jp/湯気", "查看例句")</f>
        <v/>
      </c>
    </row>
    <row r="8590">
      <c r="A8590" t="inlineStr">
        <is>
          <t>輸血</t>
        </is>
      </c>
      <c r="B8590" t="inlineStr">
        <is>
          <t>成功</t>
        </is>
      </c>
      <c r="C8590" t="inlineStr">
        <is>
          <t>読み方：ゆけつ
［名］(スル)血管内に、他の健康な人の血液あるいは血液成分を注入し、その不足を補うこと。外傷や手術で出血量の多い場合や、白血病・貧血などの血液疾患などの際に行われる。</t>
        </is>
      </c>
      <c r="D8590" t="inlineStr">
        <is>
          <t>輸血用血液(2%)；輸血パック；輸血後；輸血製剤；輸血治療</t>
        </is>
      </c>
      <c r="F8590" t="inlineStr">
        <is>
          <t>全血輸血；無輸血；交換輸血；違い輸血；輸血依存</t>
        </is>
      </c>
      <c r="G8590" t="inlineStr">
        <is>
          <t>輸血後gvhd；輸血後移植片対宿主病；輸血後肝炎</t>
        </is>
      </c>
      <c r="H8590" t="n">
        <v>29</v>
      </c>
      <c r="I8590" t="inlineStr">
        <is>
          <t>そんな輸血をするような感情はなんの役に立つものではないと思います。；それ以外の立場からの輸血拒否、無輸血はほとんどが後者の立場となる。；そのため、退院後Aは輸血なしで手術が可能な医師・病院を探していた。；ひどく元気でいま輸血の最中だが安心してほしいということであった。；朋浩は腕を伸そうとしたらしいが、その腕は輸血のため固定されていた。；ところが雛ちゃんのお母さんは両親から輸血されたことになっている。；亜型検査は、輸血検査の中でも血液型を確定するのに非常に重要である。；現在では異なった型の血液の輸血は全く行なわれないと言っていい。；少年は生きたいと訴えたが、両親は宗教上の理由から輸血を拒否した。；その後はシェム・ハに一度絶命し輸血を必要としない体に改造された。；輸血に伴う反応を理解するには血液製剤の作り方を考えると理解しやすい。；献血とは輸血や血液製剤製造のために無償で血液を提供することである。；また子宮外妊娠で手術を受け、大原は渡瀬から輸血されたこともあった。；交差適合試験は輸血に伴う副作用を防止するために行われる検査である。；輸血さえ間に合っていれば助かった命なのだが、残念な結果になった。；自分がここにいる間ずっと、体のほうは輸血を受けているのだ。；これは科学的な記録が取られた上での、人への輸血としては初めてのものである。；よって、出血多量の場合には輸血以外には患者の命を救う手段はない。；この少年は生き延び、同様に別の労働者にも輸血がされたが彼も生き延びた。；輸血開始から長くても約6時間以内に輸血を完了させるのが望ましい。；戦争医学の課題は輸血面の解決にあるといってもよいと思う。；プレストンとサンドラから輸血を受け、彼らと同じ能力を身につけて復活。；輸血のための血液の保存のために特殊な保管方法と温度管理を行う方法は失敗した。；若い頃、徹三は交通事故に遇って輸血を必要としたことがあったのよ。；輸血同意書には大抵は以下のようなことが記載されている。；そして最後の輸血を拒み、ドイツ国民への愛を示したといわれる。；輸血検査の中でも不規則抗体を確定するのに非常に重要である。；手術には、輸血しなければならないから、死者の血液型もわかっていただろう。；そして輸血の青年の血液型が偶然にも、侍従長と同じO型であったという。</t>
        </is>
      </c>
      <c r="J8590">
        <f>HYPERLINK("https://www.weblio.jp/content/輸血", "词义详情")</f>
        <v/>
      </c>
      <c r="K8590">
        <f>HYPERLINK("https://yourei.jp/輸血", "查看例句")</f>
        <v/>
      </c>
    </row>
    <row r="8591">
      <c r="A8591" t="inlineStr">
        <is>
          <t>揺さぶる</t>
        </is>
      </c>
      <c r="B8591" t="inlineStr">
        <is>
          <t>成功</t>
        </is>
      </c>
      <c r="C8591" t="inlineStr">
        <is>
          <t>読み方：ゆさぶる
［動ラ五（四）］
１ゆさゆさとゆり動かす。ゆすぶる。「—・って目覚めさせる」
２意図的に何かを仕掛けて動揺させる。また、強く感動する。「汚職問題で政府を—・る」「その一言で心が—・られる」
３野球で、投手がコースや球種を変えて打者を動揺させるような投球をする。また、球技全般で、守備を混乱させるような攻撃を仕掛ける。「バントと盗塁で—・られて敗れる」「サーブで前後に—・り、相手が疲労するのを待つ」
［動ラ下二］「ゆさぶれる」の文語形。</t>
        </is>
      </c>
      <c r="D8591" t="inlineStr">
        <is>
          <t>刺激；揺れる；震える；震動；ガタガタ</t>
        </is>
      </c>
      <c r="F8591" t="inlineStr">
        <is>
          <t>大きく揺さぶる；心揺さぶる</t>
        </is>
      </c>
      <c r="H8591" t="n">
        <v>29</v>
      </c>
      <c r="I8591" t="inlineStr">
        <is>
          <t>こうしている時に彼の大きな両手で頭を揺さぶられると興奮してしまう。；しかしそんな彼にもただ一つ、激しく感情を揺さぶられるものがあった。；信じられないほどの偽善的な行いで、一部の者たちは心を揺さぶられた。；正面の戸は鍵がかかっているけど、二度揺さぶったら簡単に解除された。；三番機と二番機は連携して、敵の注意を任意の方向に揺さぶっていた。；揺さぶられたせいではなく、心のなかのぐるぐるのエネルギーのせいだ。；ただ、彼女の言葉は僕の耳を突き抜けて、頭の奥を強く揺さぶっていた。；わたしは、まるで嵐の中の小舟のように、激しく心を揺さぶられていた。；乗客をひとりひとり揺さぶって無理にでも見せてやりたいような美しさだ。；いくら揺さぶっても、ぼんやりし続ける娘に母親は軽く切れかかった。；この事件は2つの意味でユーゴスラビア代表の運命を大きく揺さぶった。；舌に残った血の味が、彼女の奥深いところにある『何か』を揺さぶった。；ただ彼女の中にある何かが、たまたま物理的におれの心を揺さぶるだけだ。；いつもなら、その大きな手が悠木の肩を引き寄せて揺さぶるはずなのに。；だがその話を聞くなり、テッサはおかしそうに肩を揺さぶってしまった。；ついに中国へ来てしまったのだという想いが心臓を掴まえて揺さぶった。；阿良々木先輩を揺さぶるには絶好のキャラクター性だったと言いますか。；そのとき、大きな手が肩に置かれ、そっと自分を揺さぶるのを感じた。；彼女は自分の中心軸を揺さぶる『それ』の正体に気づいていなかった。；それが、どれも頭と心を根底から揺さぶられるように面白いんですね。；しかし林に来るや否や、ほうけ頭は大きく揺さぶられることになりました。；激しい風に体は揺さぶられるが、彼女はそれにさからおうとはしない。；背びれはツアーボートの下に沈んで泳ぎ、ボートは前後に揺さぶられる。；そのような体験をしてしまったニコラスは、ひどく揺さぶられていた。；そこまで体を揺さぶられると、もはや考えることも悩むことも面倒になる。；刃は前後に軽く揺さぶられ、やがて床板の下へとゆっくり沈んでいく。；彼女が選ばれなかったとき、それにつけこむ形で彼女を揺さぶってしまう。；その手紙に書かれていた内容が、寛順の気持を揺さぶっていたのではないのか。；直前に聞いたひとつの名前が、俺の意識を強打し、嵐のように揺さぶった。</t>
        </is>
      </c>
      <c r="J8591">
        <f>HYPERLINK("https://www.weblio.jp/content/揺さぶる", "词义详情")</f>
        <v/>
      </c>
      <c r="K8591">
        <f>HYPERLINK("https://yourei.jp/揺さぶる", "查看例句")</f>
        <v/>
      </c>
    </row>
    <row r="8592">
      <c r="A8592" t="inlineStr">
        <is>
          <t>輸出</t>
        </is>
      </c>
      <c r="B8592" t="inlineStr">
        <is>
          <t>成功</t>
        </is>
      </c>
      <c r="C8592" t="inlineStr">
        <is>
          <t>読み方：しゅしゅつ
⇒ゆしゅつ（輸出）</t>
        </is>
      </c>
      <c r="D8592" t="inlineStr">
        <is>
          <t>輸出用(4%)；輸出される(3%)；輸出先；輸出仕様；輸出向け</t>
        </is>
      </c>
      <c r="E8592" t="inlineStr">
        <is>
          <t>エクスポート</t>
        </is>
      </c>
      <c r="F8592" t="inlineStr">
        <is>
          <t>石油輸出；向け輸出；輸出専用；再輸出；金輸出</t>
        </is>
      </c>
      <c r="G8592" t="inlineStr">
        <is>
          <t>輸出入；輸出国；輸出額；輸出産業；輸出規制</t>
        </is>
      </c>
      <c r="H8592" t="n">
        <v>29</v>
      </c>
      <c r="I8592" t="inlineStr">
        <is>
          <t>日本の製品が輸出されている他、海外で模倣して生産されたものもある。；オーストラリア輸出向け仕様は現在のところ従来の仕様のままである。；しかし、外国へ輸出が出来るほどの生産量があるのはインドだけである。；日本として新幹線の車両技術を輸出・現地導入した初めての事例である。；アメリカ軍で余剰化した機体が再生・改修の上で輸出された例も多い。；日本は武器の輸入は行っているものの武器の輸出は行っていない。；なお宋胡禄は戦国時代に日本に盛んに輸出され日本の茶人に愛用された。；基本的には輸出用モデルとして開発されたが、アメリカ空軍も採用した。；戦前は日本の主な輸出産業の一つであり、戦後も輸出は伸び続けた。；またロシアに並ぶ輸出相手国であった中国の需要が減少するなど経済環境が悪化。；日本国内で生産した国外向け輸出モデルを、日本へ再輸入した車両を指す。；海外に輸出されたアニメの主題歌を現地語吹き替えで歌っている例もある。；有力な軍需産業を有していて各種兵器の開発と輸出を積極的に行っている。；中華人民共和国では縁起物として人気があり、日本から輸出されてきた。；メソポタミア南部で生産された穀物やナツメヤシなどの輸出港でもある。；こうして対清輸出拡大を望むイギリスの試みは失敗に終わった。；ただしこのほとんどは国内で消費され、輸出はほとんど行われない。；日本国外への輸出ではこのモデルから日産ブランドでの輸出となっている。；しかし、政治的な理由で輸出ができなくなるなど不安定な要素も含んでいる。；最後にフランスに依頼したのが、プロヴァンス級戦艦の輸出仕様であった。；魚臭さを抑える技術も開発され海外への輸出も多くなるとみられる。；主な輸出先はスペイン、フランス、中華人民共和国などとなっている。；大黒埠頭には完成自動車および大型建設用機械の輸出用バースがある。；飢餓の最悪期にも中国はソ連からの借款の返済に農作物を輸出していた。；この説によれば、中国語へも日本語から輸出されたこととなる。；高価格帯の輸出を後押しするため輸出専用の免許が設定されている。；例えばオーストラリアでは1960年以降 固有種の輸出を禁止している。；明治後期には日本製の洋傘は重要な輸出産品のひとつにまで成長した。；第二次世界大戦以前にアメリカ合衆国等へ輸出が行われた。</t>
        </is>
      </c>
      <c r="J8592">
        <f>HYPERLINK("https://www.weblio.jp/content/輸出", "词义详情")</f>
        <v/>
      </c>
      <c r="K8592">
        <f>HYPERLINK("https://yourei.jp/輸出", "查看例句")</f>
        <v/>
      </c>
    </row>
    <row r="8593">
      <c r="A8593" t="inlineStr">
        <is>
          <t>輸出入</t>
        </is>
      </c>
      <c r="B8593" t="inlineStr">
        <is>
          <t>成功</t>
        </is>
      </c>
      <c r="C8593" t="inlineStr">
        <is>
          <t>読み方：ゆしゅつにゅう
輸出と輸入。</t>
        </is>
      </c>
      <c r="D8593" t="inlineStr">
        <is>
          <t>輸出入銀行(2%)；輸出入貨物(2%)；輸出入品；輸出入業務；輸出入等</t>
        </is>
      </c>
      <c r="F8593" t="inlineStr">
        <is>
          <t>販売及び輸出入；輸出入貿易</t>
        </is>
      </c>
      <c r="G8593" t="inlineStr">
        <is>
          <t>輸出入取引法；輸出入管理；輸出入・港湾関連情報処理センター株式会社</t>
        </is>
      </c>
      <c r="H8593" t="n">
        <v>29</v>
      </c>
      <c r="I8593" t="inlineStr">
        <is>
          <t>総司令部の事前の承認なくして、一切の商品輸出入も許可されなかった。；中国、韓国を始め、南アジアを中心とする輸出入の営業展開をしている。；対カンボジアの貿易輸出入額は2020年時点で以下のようになっている。；対ラオスの貿易輸出入額は2012年時点で以下のようになっている。；このため馬の輸出入に対する検疫の制度整備は中国大陸より進んでいる。；輸出入や海外への輸送も政府の管理下に置かれることになった。；幸い、大学時代の友人が、船場で繊維関係の輸出入会社を経営していた。；フランスの対独輸出入は戦争中と変わらない低水準のままであった。；特定有害廃棄物の運搬、輸出入の制限、処理などを規制するための法律。；さらに輸出入の交易品や鳥獣類などの写図の作成が主な職務であった。；扱いのほとんどは輸出入に伴う円とドルの交換である。；しかし多くのかつ種々なる財貨が輸出入品表にあることは、人の知る所である。；輸出入や航空機関係に例外的に使用できるのみである。；従来より海外取引を行っていたが中国に現地法人を設立してからは海外との輸出入がさらに増えている。；対アフガニスタンの貿易輸出入額は2021年時点で以下のようになっている。；対サウジアラビアの貿易輸出入額は2020年時点で以下のようになっている。；対ウズベキスタンの貿易輸出入額は2010年時点で以下のようになっている。；天然ガスをはじめとした輸出入品の代金決済が困難となる見通しとなった。；中毒性のある物質を輸出入するためには、別の法律が関係する。；リビア経済の中心地で、トリポリ港を使用した輸出入が盛んである。；東北各地から輸出入貨物を当駅に集め、京浜港との間で鉄道輸送を行う。；フランスの輸出入は極度に減少し、残った輸出入の大半はドイツ向けとなった。；日本では1996年に製造中止、2018年から輸出入禁止となった。；輸出入は乾燥昆布の輸出は行われているが、輸入は割当はあるが実際は行われてない。；輸出には輸出入銀行の低利金融があるからこれはそうむずかしいことではない。；輸出入の迅速化・簡便化などの便宜を図るためにある制度である。；間違いなく、町で開かれている五十人会議の内容は毛皮の輸出入にまつわることだ。；欧州連合加盟国との輸出入を行う場合にはこの通達を遵守する義務が生じる。；上の表は、世界各地域の輸出入シェアを示したもの である。</t>
        </is>
      </c>
      <c r="J8593">
        <f>HYPERLINK("https://www.weblio.jp/content/輸出入", "词义详情")</f>
        <v/>
      </c>
      <c r="K8593">
        <f>HYPERLINK("https://yourei.jp/輸出入", "查看例句")</f>
        <v/>
      </c>
    </row>
    <row r="8594">
      <c r="A8594" t="inlineStr">
        <is>
          <t>濯ぐ</t>
        </is>
      </c>
      <c r="B8594" t="inlineStr">
        <is>
          <t>成功</t>
        </is>
      </c>
      <c r="C8594" t="inlineStr">
        <is>
          <t>読み方：すすぐ
［動ガ五（四）］《上代は「すすく」》
１汚れを水で洗い落とす。水で清める。「洗濯物を—・ぐ」「手足を—・ぐ」
２（漱ぐ）水などで口中をきれいにする。うがいをする。ゆすぐ。「口を—・ぐ」
３（「雪ぐ」とも書く）身に受けた恥や不名誉を除き去る。「恥を—・ぐ」「汚名を—・ぐ」
→洗う［用法］
[可能]すすげる</t>
        </is>
      </c>
      <c r="D8594" t="inlineStr">
        <is>
          <t>洗濯；洗う；洗浄；水洗；研ぐ</t>
        </is>
      </c>
      <c r="H8594" t="n">
        <v>29</v>
      </c>
      <c r="I8594" t="inlineStr">
        <is>
          <t>しかし息子は自分の受けた恥辱を濯ぐのだといい、パリに向かう。；侍僕等は、ギーウのために、手を濯ぐものと、新たな酒肴とを運んだ。；過去二度の自らの悔悟を濯ぐためにも、今回だけは何としても退きたくはなかった。；濯がれた洗濯物が、杉の皮で編んだ籠の中に次々と入れられていく。；入っても、ただ茶碗を取るか、濯ぐか、十秒もここにいることがなかった。；定九郎はぼんやりと下足箱の掃除を終え、雑巾を濯ぐため広廊下に上がった。；そして、この汚名を濯ぐ爲めに、私は一體何をすることが出來るのか?；かうして置いてあとは充分絞つて石鹸水を切り、最後に桶の中に入れて水で濯ぐのである。；知識でこれを濯ぐのではいけない。；こういう時は、先輩とお話でもして心を濯ぐのだ。；水で顔をぶるんとするのであるが、二つあるトタンの洗面器は床にかける雑巾を濯ぐのと共同である。；水を濯がないままのモップで乱暴に床を拭いて廻れば、こんな汚れがつくかもしれない。；この屈辱の汚名を濯ごうとローマはサムニウムに徹底抗戦を掲げる事になる。；カランを捻った後の手は必ず掬った湯で濯ぐのである。；酒を飲んで石に及ぶと雖も、水をもって沙を濯ぐが如き者であったというのであるから、浴びるほど飲んでいたのであろう。；雑巾を濯ぐため、手桶片手に井戸に向かう途中、定九郎はふと三角石のことを思った。；シャワーで口を濯ぐのはナシで、細菌を全身に擦り付けるのはアリ。；ロアデルといえば、アカシュの踏み終わった洗濯物を濯ぐ仕事を、任じられた。；雑巾を濯ぐ手が凍った水に悲鳴をあげた。；濯ぐと、墨汁のような水が流れていった。；多くの場合、不純物は沈殿の微粒子の表面に付着するので、生成した沈殿物を濯ぐことである程度の純度の向上が期待される。；いったん生成した沈殿物を溶かすので単に沈殿物を濯ぐ場合よりも純度の向上が期待されるが、再結晶法ほどの純度は見込めない場合も多い。；食事の後で、口に含んだ茶で、義歯の人工の歯茎と土手の間にはさまった喰べ物の滓を濯ぐようにもなった。；流れる川のせせらぎに、どんな汚濁もやがては濯がれる時が来るのだと、その瞬間、素直に信じることができた。；髪から顔に伝う雨水が、流れるそばから涙を濯ぐ。；部族の言葉を喋ったり、白人教師の意思にそぐわない行動をすれば、石鹸で口の中を濯がされる体罰を受けた。；いかなる理由があろうとも、国民をテロの対象にしてしまった恥と、ひとりの男の怨念に引きずられるまま、計画を容認してしまった一部の利権者たちの愚劣を濯ぐために。；大原は香澄と言葉を交している間に、今迄の〝人買い〟の陰惨な仕事から身体に蓄積された沈澱のようなものが、静かに濯がれていくような気がした。；体を洗い流し、窪地に溜った水で衣類を濯ぐと、笙子はふたたびそれをまとった。</t>
        </is>
      </c>
      <c r="J8594">
        <f>HYPERLINK("https://www.weblio.jp/content/濯ぐ", "词义详情")</f>
        <v/>
      </c>
      <c r="K8594">
        <f>HYPERLINK("https://yourei.jp/濯ぐ", "查看例句")</f>
        <v/>
      </c>
    </row>
    <row r="8595">
      <c r="A8595" t="inlineStr">
        <is>
          <t>譲る</t>
        </is>
      </c>
      <c r="B8595" t="inlineStr">
        <is>
          <t>成功</t>
        </is>
      </c>
      <c r="C8595" t="inlineStr">
        <is>
          <t>読み方：ゆずる
［動ラ五（四）］
１自分の物・地位・権利などを他人に与える。譲渡する。「財産を—・る」「後進に道を—・る」
２欲しい人に売る。「安値で—・る」
３自分を後にし他人を先にする。「席を—・る」「順番を—・る」
４自分の主張を抑えて他人の主張を通させる。譲歩する。「自説に固執して—・らない」
５他の機会にする。「会見は後日に—・ろう」
[可能]ゆずれる</t>
        </is>
      </c>
      <c r="D8595" t="inlineStr">
        <is>
          <t>譲ることなく；譲るべき；譲るべく；譲るまい；譲るべし</t>
        </is>
      </c>
      <c r="E8595" t="inlineStr">
        <is>
          <t>販売；与える；売却；放棄；譲渡</t>
        </is>
      </c>
      <c r="H8595" t="n">
        <v>29</v>
      </c>
      <c r="I8595" t="inlineStr">
        <is>
          <t>自分が楽しい・面白いと感じることは描く上で絶対譲らないと述べている。；狭い廊下ですれ違っても、なかなか学生の方から道を譲ろうとはしない。；戻らなければ死ぬと他人に断言されても、自分の考えを譲ろうとしない。；義綱から家督を譲られ白河結城氏の当主となったのはこの時期と見られる。；呉は、この号をたまたま持っていた友人に高価で譲ってもらったという。；明治の中ごろ以後は次第にけずり花にその座を譲っていったようである。；そして、この城主の名を譲られてガウェインと命名されていたのである。；一番に槍合わせをして相手を突き崩し、兄・忠分に譲って首を獲らせた。；しかし今度ばかりは母も頑として医者へ行くことを譲ろうとはしない。；このレースでは一度も首位を譲らず優勝し、ブラジル初制覇を達成した。；獣はバラを譲る代わりに美しい娘を妻として自分によこすように言った。；ここから東に汝の親しい者がいるがその者に画像を譲るがよいだろう。；彼は、たとえ神様の命令でも、この特権を他人に譲ろうとはしなかった。；ただし、座席指定のある乗客が来た場合には、座席を譲る必要がある。；例外もあり詳しくは各系列の記事に譲るものの、以下に主な例を示す。；愛器は父親から譲られたストラディヴァリウスだったとも伝えられる。；伝説では、ある城主がこのリングを噛み切ったものに城を譲ると言った。；それを獅子の子の仕業と考え名を友切と改められ、源義朝へと譲られた。；一族を集めた会議でマルコはステファーノに王の座を譲ることを宣言する。；父から譲れと云われれば、気の弱い叔父に断わることはできないだろう。；勝負は決したが二人は互いに勝利を譲らず、カイラス山に判定を求めた。；しかし広島側は条件を譲らず、迷った末に決めたと後に記している。；しかし、占拠メンバーは島の所有権と大学等の建設を主張して譲らなかった。；でも、譲れないからバカになるのがそんなにいけないことでしょうか?；しかし、青年を他の女に譲ろうとするには、やはり愛しすぎていた。；オレは悪かったと前に言ったけど、オレにだって譲れないところはある。；どうしても譲ろうとしないのを、頼みに頼んで譲ってもらったのであった。；アメリカ合衆国銀行の設立にはその他に譲れない条件があった。；それは彼に課せられた義務であると同時に、他者に譲れない権利でもある。</t>
        </is>
      </c>
      <c r="J8595">
        <f>HYPERLINK("https://www.weblio.jp/content/譲る", "词义详情")</f>
        <v/>
      </c>
      <c r="K8595">
        <f>HYPERLINK("https://yourei.jp/譲る", "查看例句")</f>
        <v/>
      </c>
    </row>
    <row r="8596">
      <c r="A8596" t="inlineStr">
        <is>
          <t>輸送</t>
        </is>
      </c>
      <c r="B8596" t="inlineStr">
        <is>
          <t>成功</t>
        </is>
      </c>
      <c r="C8596" t="inlineStr">
        <is>
          <t>読み方：ゆそう
［名］(スル)車・船・航空機などで人や物資を運ぶこと。「救援物資を—する」</t>
        </is>
      </c>
      <c r="D8596" t="inlineStr">
        <is>
          <t>輸送する(9%)；輸送用(3%)；輸送機(3%)；輸送任務；輸送作戦</t>
        </is>
      </c>
      <c r="E8596" t="inlineStr">
        <is>
          <t>交通；運び；運ぶ；渡す；持参</t>
        </is>
      </c>
      <c r="F8596" t="inlineStr">
        <is>
          <t>トラック輸送；航空輸送；通勤輸送；大量輸送；兵員輸送</t>
        </is>
      </c>
      <c r="G8596" t="inlineStr">
        <is>
          <t>輸送力；輸送機；輸送量；輸送艦；輸送手段</t>
        </is>
      </c>
      <c r="H8596" t="n">
        <v>29</v>
      </c>
      <c r="I8596" t="inlineStr">
        <is>
          <t>ただし日本ではごく一部を除いて鉄道荷物輸送は既に廃止されている。；これらの路線は鉱山を近くの輸送ポイントに接続する工業用であった。；このように、自動車は単に人や物資を輸送するだけの存在に留まらない。；現代でも食料・飲み水・農業・輸送などあらゆる面で国民生活を支えている。；人類が大きな国家を作るようになると船舶による輸送が不可欠となった。；ダラス地域高速輸送は米国南西部では初となるライトレールを建設した。；全空気方式は、熱輸送に空気のみを用いるもので中央式の代表的なものである。；産業の未成熟で限定的な輸送力しか必要としない地域に建設される事例が多い。；北久里浜駅と京急久里浜駅の間には輸送上の拠点となる車両基地がある。；貨物輸送量減少の原因は道路網の整備によるトラック輸送への転換である。；このため、国内輸送において航空輸送はほとんど意味を持っていない。；このようにして出来た mRNA は核外に輸送され翻訳される。；開業後の輸送状況も好調であったことから、経営面でも負担にはならなかった。；ショパンもまた自分のプレイエルのピアノを輸送するのに問題を抱えていた。；コレステロールは体内の肝臓および皮膚で合成され、全身に輸送される。；福岡都市圏の拡大に伴い輸送需要が増加し、列車本数は増加傾向にある。；輸送の準備や後始末で駅構内や車両基地において行う移動が車両である。；灌漑は必要とされず、ウルにあった運河網は輸送に使用されていたであろう。；一部の私鉄は民営のまま残ったが、一地方の輸送を担うのみとなった。；これによって空間が拡大し、従来より多くの旅客を輸送できることとなった。；ローマ側の記録では琥珀の輸送に使われていたとされる。；実際に開通すると、この倍に達する輸送実績を残している。；また、路線全区間で、福島県・新潟県それぞれの地域輸送も担っている。；かつては、貨車に直接貨物を積み込み・積み卸ろす輸送が行われていた。；これらの一連の輸送改善の資金は京都府の負担のウェイトが高い。；ヤマト運輸との貨客混載輸送を記念したラッピングバスも運行されている。；また、失業した若者が不法移民や麻薬を輸送する犯罪に関わることもある。；この廻米を輸送・備蓄するための拠点として河岸の整備も同時に行われた。；鉄道を所有する企業は社内の輸送システムとして使うだけである。</t>
        </is>
      </c>
      <c r="J8596">
        <f>HYPERLINK("https://www.weblio.jp/content/輸送", "词义详情")</f>
        <v/>
      </c>
      <c r="K8596">
        <f>HYPERLINK("https://yourei.jp/輸送", "查看例句")</f>
        <v/>
      </c>
    </row>
    <row r="8597">
      <c r="A8597" t="inlineStr">
        <is>
          <t>豊か</t>
        </is>
      </c>
      <c r="B8597" t="inlineStr">
        <is>
          <t>成功</t>
        </is>
      </c>
      <c r="C8597" t="inlineStr">
        <is>
          <t>読み方：ゆたか
［形動］［文］［ナリ］
１満ち足りて不足のないさま。十分にあるさま。「黒髪の—な女性」「緑—な森」「才能の—な画家」「国際色—なマラソン大会」
２経済的に恵まれていてゆとりのあるさま。「—な家に育つ」「—な生活」「給料日後で懐(ふところ)が—だ」
３心や態度に余裕があって、落ち着いているさま。「—な心を育む音楽」「心—に余生を過ごす」
４量感のあるさま。「—な花房」「腰の—な丸み」
５他の語に付いて、基準・限度を超えているさまを表す。「六尺—な大男」
[派生]ゆたかさ［名］</t>
        </is>
      </c>
      <c r="D8597" t="inlineStr">
        <is>
          <t>豊かな自然(2%)；豊かな生活；豊かな胸；豊かな髪；豊かな乳房</t>
        </is>
      </c>
      <c r="E8597" t="inlineStr">
        <is>
          <t>大きい；広い；たくさん；大量；充分</t>
        </is>
      </c>
      <c r="F8597" t="inlineStr">
        <is>
          <t>個性豊か；経験豊か；表情豊か；色彩豊か；色豊か</t>
        </is>
      </c>
      <c r="H8597" t="n">
        <v>29</v>
      </c>
      <c r="I8597" t="inlineStr">
        <is>
          <t>ニューヨークでの活動は、豊かな芸術的な雰囲気の中で彼を確立させた。；また豊かな歴史をもち芸術の様々な面で卓越性と長い伝統を誇っている。；彼らの生活を豊かにするエネルギーの源は「人間の子供の悲鳴」である。；黒は国民、赤は独立のために流れた血、緑は豊かな自然を表している。；それを可能にしたのは、ひとつにはジュール家の豊かな財産であった。；自然豊かな環境で育ったことが、その後の人生に影響を与えたと言われている。；豊かな自然と歴史資源を持つため、国家歴史文化名城に指定されている。；期間を短くすることによって複雑なブーケと豊かな口当たりが実現した。；彼の詩や散文が示すように、デービーの精神は非常に想像力豊かだった。；また豊かなクメール文化と長い歴史を色濃く残している地域でもある。；本船も上空に到着して求めていた水と緑の豊かな惑星を手に入れる事が出来た。；彼が亡くなったことはとても寂しいが、彼はとても豊かな人生だったと思う。；それでも風車が完成すれば生活は豊かになると信じ、動物たちは必死に働く。；四方を山や丘陵に囲まれた高原であり、起伏豊かな地形を形成している。；音楽を通して彼は全人類の暮らしを豊かなものにしてくれたのです。；特に重要視したのは、明が創業の地とした江南の豊かな農業資源である。；地方の豪族が築いた、大陸の南西に位置する森と湖に囲まれる自然豊かな王国。；自然豊かな村や谷は、4月になると杏の花でピンク色に埋め尽くされる。；町の東端には遠賀川が流れており、水と緑に囲まれた自然豊かな土地である。；現在は砂漠だが古代には植物の豊かな地域であり、大型恐竜が多く生息した。；現在の緑豊かな六甲山からは想像もできない全山はげ山の姿であった。；庭園は豊かな水を利用し、池を配置した素朴な美しさを特徴とする。；それを土台にベートーヴェンがさらに豊かにその様式を発展させた。；父王から相続した豊かな富は、宮廷での奢侈と豪奢な建築に費やされた。；フマーラワイフは父から安定した政治と豊かな経済を継承した。；この地域は州内でも豊かで人口の多い地域である。；表情豊かで生き生きした眼差しが人々に強い印象を与え多くの崇拝者がいた。；演奏技術次第で音域を広げたり、音色を豊かにしたりすることが可能である。；人間が住みつけなかったことで、自然の豊かさを維持できている。</t>
        </is>
      </c>
      <c r="J8597">
        <f>HYPERLINK("https://www.weblio.jp/content/豊か", "词义详情")</f>
        <v/>
      </c>
      <c r="K8597">
        <f>HYPERLINK("https://yourei.jp/豊か", "查看例句")</f>
        <v/>
      </c>
    </row>
    <row r="8598">
      <c r="A8598" t="inlineStr">
        <is>
          <t>委ねる</t>
        </is>
      </c>
      <c r="B8598" t="inlineStr">
        <is>
          <t>成功</t>
        </is>
      </c>
      <c r="C8598" t="inlineStr">
        <is>
          <t>読み方：ゆだねる
［動ナ下一］［文］ゆだ・ぬ［ナ下二］
１処置などを人にまかせる。また、すべてをまかせる。「全権を—・ねる」「運命に身を—・ねる」
２すべてをささげる。「政治に身を—・ねる」</t>
        </is>
      </c>
      <c r="D8598" t="inlineStr">
        <is>
          <t>委ねるべき(3%)；委ねるしかない；委ねる方式を廃止；委ねるべく；委ねる遺詔</t>
        </is>
      </c>
      <c r="E8598" t="inlineStr">
        <is>
          <t>頼む；投げる；任せる；依頼する；託す</t>
        </is>
      </c>
      <c r="H8598" t="n">
        <v>29</v>
      </c>
      <c r="I8598" t="inlineStr">
        <is>
          <t>同じ報告では最終的な決定は国家発展開発委員会に委ねられたとされる。；情報は個々の判断に委ねられ社会に反映する性質を従来から持っていた。；このままその愛に身を委ねることが出来たなら、どれだけ幸せなことか。；党側は日本維新の会に合流するか否かは各自の判断に委ねるとしている。；このため1952年に発足した電源開発に計画を委ねざるを得なかった。；いつエスパー化するかも知れぬ人間に指揮を委ねることは出来ないからだ。；福岡県以外では、放送する・しないは各放送局の判断に委ねられていた。；本編では一切の説明は挿入されていないため解釈は鑑賞側に委ねられる。；この判断はやはり老中に委ねるべきものと考えるしかなさそうだった。；彼は両親の判断で、複数の住み込みの女性家庭教師に委ねられて育った。；スポーツにはルールがあるが、人生の競争はそれを人間の品性に委ねる。；自由な校風で知られ、生徒に学校運営を大きく委ねる自治を認めている。；ただし、従来型とカード型の発行の選択は自治体の判断に委ねるとしている。；着用や制作が強制されることはなく、各家庭の判断に委ねられていた。；国民の要件は憲法で定めている場合もあれば法律に委ねている場合もある。；まるで全てをこの場の流れに委ねるかのようなそんな表情である。；光が新たに生まれた国の名付けを読者に委ねるシーンで物語は幕を閉じる。；いつ信号の現示を変化させるかはしばしば扱い者に委ねられていた。；制服も一定の指定はあるものの生徒の自主性に委ねられている部分が大きい。；証拠力の自由評価 証拠の証明力の評価を裁判官の自由な判断に委ねること。；アメリカに防衛を委ねることで、戦争を国家の想定外としてきたのだ。；読者の想像に委ねる部分の多い原作と違い直接的な描写の多い作品となる。；これは事業所長にある一定の経営権が会社側から委ねられていたためであった。；地球人に解決を委ねることが何を意味するか、わからないと言うのか?；最終的には科学界の指導的人物たちに判断を委ねる必要がある。；君主に権力を集中し、それを迅速に適材に委ねる必要があったのである。；これらの完全なる実現は、後任の外交部長たちに委ねられることになる。；そして、そのように己の全てを神に委ねた状態にある人をムスリムと呼んだ。；両公国の統治権限はロシアの将軍パーヴェル・キセリョフに委ねられた。</t>
        </is>
      </c>
      <c r="J8598">
        <f>HYPERLINK("https://www.weblio.jp/content/委ねる", "词义详情")</f>
        <v/>
      </c>
      <c r="K8598">
        <f>HYPERLINK("https://yourei.jp/委ねる", "查看例句")</f>
        <v/>
      </c>
    </row>
    <row r="8599">
      <c r="A8599" t="inlineStr">
        <is>
          <t>油断</t>
        </is>
      </c>
      <c r="B8599" t="inlineStr">
        <is>
          <t>成功</t>
        </is>
      </c>
      <c r="C8599" t="inlineStr">
        <is>
          <t>読み方：ゆだん
［名］(スル)たかをくくって気を許し、注意を怠ること。「—なく目を配る」「—してしくじる」
[補説] 「北本涅槃経」二二の「王、一臣に勅す、一油鉢を持ち、由中を経て過ぎよ、傾覆することなかれ、もし一滴を棄せば、まさに汝の命を断つべし」からという。一説に「ゆた（寛）に」の音変化とも。</t>
        </is>
      </c>
      <c r="D8599" t="inlineStr">
        <is>
          <t>油断なく(15%)；油断でき；油断すれ；油断無く；油断してる</t>
        </is>
      </c>
      <c r="E8599" t="inlineStr">
        <is>
          <t>無視；隙間；すき；虚；不覚</t>
        </is>
      </c>
      <c r="F8599" t="inlineStr">
        <is>
          <t>少しも油断；ご油断；御油断；油断なく身構え；油断なく警戒</t>
        </is>
      </c>
      <c r="G8599" t="inlineStr">
        <is>
          <t>油断ちゃん</t>
        </is>
      </c>
      <c r="H8599" t="n">
        <v>29</v>
      </c>
      <c r="I8599" t="inlineStr">
        <is>
          <t>油断して悪い癖をつけるようなことのないように骨折ってくださいませ。；しかし私たちが油断していたのはほんのわずかな時間に過ぎなかったのだ。；右俣を登ったが上部はかなり急でヌルヌルしており油断はならなかった。；残りのものは油断なく車室中にピストルを向けてにらみつけてゐました。；徐晃は囲頭を攻撃すると情報を流した後に油断している四冢を攻撃した。；今の世中は何を買のでも油断をすると悪い品物ばかり押し付けられます。；これは、やはり全体の御衰弱ですから、余り油断はならないと思います。；けれども二人とも決して職業も忘れず又油断もしなかったのです。；いつもその手でやられるのですから、今夜あたりはもう油断ができませんよ。；たいてい、うっかりしてる油断の隙間にそれが現われて、すぐに消えた。；これは相手を油断させるために意図的に遅延行軍したものと思われる。；それは十兵衛の女房や、ほかの女中二人に油断させる為でございます。；それは実に、一刻一瞬の油断もならぬ、命がけの挑戦でもあったのです。；油断をするとすぐ飛んで来て、机か頭か手かをひツぱたいたからです。；正井のやつ何か容易ならぬ悪戯をしおった様子もあるし、油断がならん。；とかかる折にも油断無く八蔵の身体を検して腰に附けたる鍵を奪いぬ。；その他いろいろ虫の好い願いを持出すから、決して油断は出来ぬという。；そんな探偵みたいな油断のならぬ眼つきをして私は旅をしてゐなかつたつもりだ。；両方を一緒だと思っていたものですから、つい油断がありました。；イーライが意識を失ったふりをしていたため、ローズは油断しきっていた。；阿史那賀魯は油断して狩猟の最中であり、定方はこれを襲撃して破った。；それともう一つ、なお油断のならないのは、女親方のお角なるものである。；川を出入りする船は油断ならないの中を航行しなければならない。；油断とか弛緩とかを心配する人もあるやうだが、それはまた話が別なのである。；どうか、じっとしていて、油断なく警戒していなければなりません。；またそこまで火が来たとすれば、久堅町の甥の宅だとて油断がならぬ。；打っちゃって置いたのではないが、子供だから油断をしたのだ。；遠目に見ているときはいいけど、油断して近づくと攻撃されるから気をつけて!；本当に、本当に、小説家というものは油断のならぬものだと思いました。</t>
        </is>
      </c>
      <c r="J8599">
        <f>HYPERLINK("https://www.weblio.jp/content/油断", "词义详情")</f>
        <v/>
      </c>
      <c r="K8599">
        <f>HYPERLINK("https://yourei.jp/油断", "查看例句")</f>
        <v/>
      </c>
    </row>
    <row r="8600">
      <c r="A8600" t="inlineStr">
        <is>
          <t>ゆっくり</t>
        </is>
      </c>
      <c r="B8600" t="inlineStr">
        <is>
          <t>成功</t>
        </is>
      </c>
      <c r="C8600" t="inlineStr">
        <is>
          <t>［副］(スル)
１動作が遅いさま。「—（と）腰を上げる」「—（と）話す」
２時間的にゆとりがあるさま。「今から行けば電車に—間に合う」「一度—お話ししたい」
３気持ちにゆとりのあるさま。「風呂に入って—する」
[用法]ゆっくり・のんびり——「ゆっくり（のんびり）した足どり」のように速くはないの意、「久しぶりにゆっくり（のんびり）する」のように気楽なさまの意などでは相通じて用いられる。◇「ゆっくり」は、「今晩ゆっくり考える」「ゆっくり間に合う」「ふたりでもゆっくり座れる椅子」など、急がず時間をかけて行う意や、時間的・空間的余裕がある意に多く用いられる。◇「のんびり」は、「のんびり育つ」「のんびり暮らす」「のんびりした風景」など、こせついたところがなく、のどかなようすである意に重点がある。◇類似の語に「のろのろ」「そろそろ」がある。「のろのろ」は「のろのろ（と）起き上がる」のように、たいそう遅いさまを表し、「そろそろ」は「腰を痛めてそろそろ（と）歩く」のように承知して遅く行動する意を表す。</t>
        </is>
      </c>
      <c r="D8600" t="inlineStr">
        <is>
          <t>ゆっくりと歩い；ゆっくり歩い；ゆっくりと歩き；ゆっくりと首；ゆっくりゆっくり</t>
        </is>
      </c>
      <c r="E8600" t="inlineStr">
        <is>
          <t>次第に；ゆっくりと；徐々に；そろそろ；少しずつ</t>
        </is>
      </c>
      <c r="F8600" t="inlineStr">
        <is>
          <t>もっとゆっくり；ゆっくりと腰；ゆっくりと移動；ゆっくりとこちら；やがてゆっくり</t>
        </is>
      </c>
      <c r="G8600" t="inlineStr">
        <is>
          <t>ゆっくり急げ；ゆっくり地震；ゆっくり実況；ゆっくりしていってね；ゆっくり風呂につかりたい</t>
        </is>
      </c>
      <c r="H8600" t="n">
        <v>29</v>
      </c>
      <c r="I8600" t="inlineStr">
        <is>
          <t>ただしパリ市内に入るまでは通常のレースよりもかなりゆっくり走る。；この軌道の近日点は太陽の周りを周回する形でゆっくりと移動している。；これでゆっくりとではあるが追いかけるイギリス艦隊との距離を離した。；最後にはそのままゆっくりと暗くなっていき、黒色矮星へと移っていく。；島ではゆっくりとした農耕が行われており、交通はバイクが主流である。；このため非常にゆっくりとした速度で運行されていることが多い。；これ以降、ゆっくりとだがニュートリノ天文学が発展することになった。；フレディは車をゆっくり走らせ、前を行く娘にじっと視線を向けている。；王子は城からゆっくりと歩いてくるが、妖精と出くわして向きを変える。；系の呼吸速度は光合成速度より大きく、酸素はゆっくり減少していった。；その後1941年までポートモレスビーの街はゆっくり成長していった。；脚を出したまま右旋回して東京湾上を一周し、無事ゆっくりと着陸した。；投げる際、通常の投球フォームとは異なるゆっくりした腕の振りになる。；このセットだとゆっくりと安定した水平飛行を行い、上昇性能は向上する。；このため、ゆっくりと燃料の大きさを増やしていくことが重要である。；オランダの拡張は、この後非常にゆっくりとしたテンポで進んで行く。；この状態で敵の攻撃に対峙、あるいは防御しつつゆっくりと移動した。；初め人口の伸びがゆっくりだったのには多くの理由があった。；しかし、村はゆっくりと成長し、正式な自治体となることはなかった。；要塞の再建作業はゆっくりと進んだが、地元民の協力は消極的であった。；これらの小動物を見つけると気づかれないようにゆっくりと近づく。；ただし、晩年になると突きの動作はゆっくりしたものに変化した。；歩く速度は、楽に会話ができる程度のゆっくりとした歩きである。；二人は森の中をゆっくりと、フランシスコ派の修道士のように歩きだす。；地球帰還後はゆっくり研究生活を送りたいとも話していたこともある。；一定圧力下で常温の水をゆっくり加熱すると、ある温度で蒸気に変わる。；午後6時頃に、二頭がゆっくりと静かに、頭上をまっすぐ通過したという。；厳密に言えば後者の場合、前者のテンポをよりゆっくりにしたものである。；各ワゴンは地面が木製の床で覆われており、比較的ゆっくりと動きだす。</t>
        </is>
      </c>
      <c r="J8600">
        <f>HYPERLINK("https://www.weblio.jp/content/ゆっくり", "词义详情")</f>
        <v/>
      </c>
      <c r="K8600">
        <f>HYPERLINK("https://yourei.jp/ゆっくり", "查看例句")</f>
        <v/>
      </c>
    </row>
    <row r="8601">
      <c r="A8601" t="inlineStr">
        <is>
          <t>ゆったり</t>
        </is>
      </c>
      <c r="B8601" t="inlineStr">
        <is>
          <t>成功</t>
        </is>
      </c>
      <c r="C8601" t="inlineStr">
        <is>
          <t>［副］(スル)
１ゆるやかでゆとりのあるさま。「—（と）編んだセーター」「—（と）した旅程」
２落ち着いてのんびりしているさま。「—（と）くつろぐ」</t>
        </is>
      </c>
      <c r="D8601" t="inlineStr">
        <is>
          <t>ゆったりと流れ；ゆったりと腰；ゆったりと椅子；ゆったりとくつろい；ゆったりと歩い</t>
        </is>
      </c>
      <c r="E8601" t="inlineStr">
        <is>
          <t>ゆっくり；徐々に；そろそろ；快く；のろのろ</t>
        </is>
      </c>
      <c r="F8601" t="inlineStr">
        <is>
          <t>ソファにゆったり；比較的ゆったり；もっとゆったり；かなりゆったり；広くゆったり</t>
        </is>
      </c>
      <c r="G8601" t="inlineStr">
        <is>
          <t>ゆったり感</t>
        </is>
      </c>
      <c r="H8601" t="n">
        <v>29</v>
      </c>
      <c r="I8601" t="inlineStr">
        <is>
          <t>ここの主室は、訓練生に与えられていたゆったりした部屋の倍はあった。；すると、奥の方からゆったりした足音が近づいてきて、周組南が現われた。；文句を言う彼女の心に、ゆったりとした男の声で気の利いた軽口が届く。；幼い頃からわきまえがあって賢く、心が広くゆったりした性格であった。；一つ一つが、その存在の理由を、ゆったりと主張しているようではないか。；当時はメロディーを聴かせるための甘くゆったりとした曲が主流だった。；やや末広がりの、ゆったりとしてすとんとしたデザインで作られている。；動きはゆったりとしているが、慎重で正確な嗅覚追跡は貴族に好まれた。；私たちは、椅子に腰かけて、はじめてゆったりした気持ちになりました。；彼女はそのゆったりしたワンピース一枚しか身につけていなかった。；先生の低い、ゆったりした声が、そのまま夢に変わってしまいました。；ゆったりと死寸前の心を心のうちで遊ばせているかのようにさえみえる。；TUBEの春畑道哉が作曲を担当したゆったりとした曲になっている。；気がついてみると、私は操縦席でゆったりときわめて快適に坐っていた。；ベッリーニはまたゆったりとした時間のスケールを作り上げようとした。；空間を開放的に用いており、ゆったりとしたピロティや庭が特徴的である。；ゆったりとした序奏に続いてアレグロの主部に入り、主題が提示される。；この鳥の住んでいるような土地には、どこかにゆったりとした寂しい春がある。；椅子なども非常にゆったりした肘かけ椅子など実に立派なものを置いてあります。；また上であげた、ゆったり通勤奨励金とあわせて使うとより有効的である。；当初のデザインは背心をゆったりと身幅をとり身丈に伸ばしたものであった。；このためより動的な見た目になったり、逆にゆったりした見た目になる。；かつて西欧で流行したゆったりしたのハバードが訛ったものとの説もある。；上半身を腰までゆったりと包み込む大きなTシャツを、彼女は着ていた。；名前は大きなひれでゆったりと泳ぐさまが天使に例えられたものである。；どんな気分にでもゆったりと調和し合う事が出来るのであります。；彼はゆったりとしたハイカラな外套を着、薄色の夏ズボンをはいていた。；日が暮れてから町を散歩したら、何となくゆったりした気分になった。；隔室は四人ならゆったりと収容できたが、八人となると無理だった。</t>
        </is>
      </c>
      <c r="J8601">
        <f>HYPERLINK("https://www.weblio.jp/content/ゆったり", "词义详情")</f>
        <v/>
      </c>
      <c r="K8601">
        <f>HYPERLINK("https://yourei.jp/ゆったり", "查看例句")</f>
        <v/>
      </c>
    </row>
    <row r="8602">
      <c r="A8602" t="inlineStr">
        <is>
          <t>茹でる</t>
        </is>
      </c>
      <c r="B8602" t="inlineStr">
        <is>
          <t>成功</t>
        </is>
      </c>
      <c r="C8602" t="inlineStr">
        <is>
          <t>読み方：うでる
［動ダ下一］「ゆでる」の音変化。</t>
        </is>
      </c>
      <c r="D8602" t="inlineStr">
        <is>
          <t>茹でるもしくは</t>
        </is>
      </c>
      <c r="E8602" t="inlineStr">
        <is>
          <t>煮る；ボイル；炊く；湯煮</t>
        </is>
      </c>
      <c r="F8602" t="inlineStr">
        <is>
          <t>入れて茹でる</t>
        </is>
      </c>
      <c r="H8602" t="n">
        <v>29</v>
      </c>
      <c r="I8602" t="inlineStr">
        <is>
          <t>ただ耳が真っ赤に茹で上がっていることだけが、はっきりと見てとれた。；これらの工程を行った上で茹でたてを出すことにこだわりを持っている。；鏡を見なくても、自分の顔が茹で上がっているのが深雪には分かった。；イタリアや日本よりスパゲッティをかなり柔らかめに茹でる習慣がある。；生きているそれらをそのまま焼いたり茹でたりするのは厳禁とされている。；太麺でも提供する店は皆無ではないが、茹であがるまでに時間がかかる。；その名の由来は一説に「玉」を入れて茹で上げるからと言われている。；これを防ぐには、新鮮なうちに茹でるなどして調理してしまうことである。；通常は野菜につけて食べるが、焼いた肉、魚、茹でた肉などにもつける。；コシは、茹でて水で締めたその瞬間に最大となって分単位で失われる。；うまく茹でてあると見えて、卵の殻は、卵膜をのこさずきれいにとれた。；その細さのために非常に火が通りやすく、茹で時間は2分前後と短い。；スープなどを大量に作るとき、大量に茹でる物があるときなどに用いられる。；現在は野菜や卵を茹でるなど食べ物の用途に使われる場合がほとんどである。；伝統的に、卵は玉ねぎの皮で包んで茹でることで金色が付けられてきた。；水溶性のシュウ酸の除去には調理で茹でることで減少させることが可能。；さて二度目に茹でた鼻を出して見ると、成程、何時になく短くなっている。；店舗で製麺した最高級のデュラム小麦使用の生麺を茹でたパスタを提供。；「悪いけど今スパゲティーを茹でてるところなんだ」と「僕」は答えた。；いつ帰るのかはっきりしなければ、ジャガイモを茹でることさえできません。；後の調味などの前に下拵えを目的に茹でる作業を特に下茹でと称する。；茹でタラバの脚を食べないまま席を立ってしまったことを思い出す。；麺は八割方茹でた状態にしておき、料理油で和えて乾いた状態にしておく。；さて二度目に茹でた鼻を出して見ると、成程、いつになく短くなっている。；シチューにしても、焼いてもあぶっても茹でてもいいとのことだった。；娘は農夫の服を着替えさせ、二人で茹でたジャガイモ1個の食事を貪る。；フリードリヒ1世の死体は茹でられて肉を取り除かれ、に埋葬された。；燃える炎に照らされ、死体を茹でている男たちの顔は悪魔のように見えました。；可愛ゆいからといって、茹でて食わねばならぬ論理と実際とはないのです。</t>
        </is>
      </c>
      <c r="J8602">
        <f>HYPERLINK("https://www.weblio.jp/content/茹でる", "词义详情")</f>
        <v/>
      </c>
      <c r="K8602">
        <f>HYPERLINK("https://yourei.jp/茹でる", "查看例句")</f>
        <v/>
      </c>
    </row>
    <row r="8603">
      <c r="A8603" t="inlineStr">
        <is>
          <t>ゆとり</t>
        </is>
      </c>
      <c r="B8603" t="inlineStr">
        <is>
          <t>成功</t>
        </is>
      </c>
      <c r="C8603" t="inlineStr">
        <is>
          <t>物事に余裕があり窮屈でないこと。余裕。「経済的に—がない」「心に—を持つ」</t>
        </is>
      </c>
      <c r="D8603" t="inlineStr">
        <is>
          <t>ゆとりがあつ；ゆとり第一世代；ゆとりなし</t>
        </is>
      </c>
      <c r="E8603" t="inlineStr">
        <is>
          <t>残り；空間；範囲；余り；余裕</t>
        </is>
      </c>
      <c r="F8603" t="inlineStr">
        <is>
          <t>経済的なゆとり；観察するゆとり；精神的なゆとり；時間的ゆとり；顧みるゆとり</t>
        </is>
      </c>
      <c r="G8603" t="inlineStr">
        <is>
          <t>ゆとりーと；ゆとり世代；ゆとりちゃん；ゆとりある教育；ゆとりーとカード</t>
        </is>
      </c>
      <c r="H8603" t="n">
        <v>29</v>
      </c>
      <c r="I8603" t="inlineStr">
        <is>
          <t>こんな業を二三度するうち、口の中がやつとゆとりがつくやうになつた。；人間の衣類には手と足との岐れのほかにゆとりのいるものだと思います。；この原子野に住む人も、ようやく花を賞でるゆとりをもってきたようだ。；丁度おっさんが落ちたために残った俺達にゆとりができたようなものだ。；それでも、だれかがいることで精神にゆとりができていたのだと気づく。；混雑の中を行くために、幾分か時間のゆとりを見て置かねばなりません。；第一そんな時間がどこにあるのよ、気持のゆとりだってぜんぜんないわ。；斬殺されたものもいたのかもしれないが、目をとめるゆとりがなかった。；それはドアをしめにいかなければと思うゆとりさえなかったしるしである。；彼はゆとりある生活をしていて不幸な結婚をしていなかったら幸福な筈であった。；けれど、詩にしようと思って、詩のために生活を考えるゆとりは私にない。；けれども、そんなことをゆっくり考えているゆとりはゲドにはなかった。；そのゆとりのない時間の中でこの突発事件の処理を完了せねばならなかった。；私も一時のひどい昂奮状態から脱して、時計を見るゆとりをとり戻した。；畑にゆとりのある者たちは、雨が来ようが来まいが、必ず陸稲を植えた。；今私が金にゆとりあると思っている馬鹿も沢山はないのであるから。；泣きをみてる奴のことなんか考えてるゆとりなんかないんですね。；入口も広く明るく、充分ゆとりがあって、病院臭いところは少しもない。；女の自慢を笑ってききのがしてくれるだけのゆとりが望ましいのです。；処刑のときも今日みたいに少しゆとりのある心だと良いなあーと思いました。；ルミナはようやく満足して、周囲を見まわすゆとりができたようだった。；ゆとりがあったとしても、わたしは芝居に金を出すつもりはないがね。；うちは、芝居の金主をするようなゆとりは、いまのところ、ないのだよ。；自信がついたせいか、サンボの物腰にもだいぶゆとりがでてきたようだ。；内部空間もアバンテよりゆとりがあり、機器類の配置がより楽になった。；午後五時、まだ駐車場にはゆとりがあるので、特に案内する必要はない。；勘定するゆとりもなかったが、三十台や四十台はあったのではなかろうか。；ほとんど横になるゆとりもないような狭い部屋に囚人が押し込まれるのだ。；だから日本の女性には精神的なゆとりがあるんだなと思った。</t>
        </is>
      </c>
      <c r="J8603">
        <f>HYPERLINK("https://www.weblio.jp/content/ゆとり", "词义详情")</f>
        <v/>
      </c>
      <c r="K8603">
        <f>HYPERLINK("https://yourei.jp/ゆとり", "查看例句")</f>
        <v/>
      </c>
    </row>
    <row r="8604">
      <c r="A8604" t="inlineStr">
        <is>
          <t>輸入</t>
        </is>
      </c>
      <c r="B8604" t="inlineStr">
        <is>
          <t>成功</t>
        </is>
      </c>
      <c r="C8604" t="inlineStr">
        <is>
          <t>読み方：しゅにゅう
［名］(スル)「ゆにゅう（輸入）」に同じ。
「武器を—する」〈鉄腸・南洋の大波瀾〉</t>
        </is>
      </c>
      <c r="D8604" t="inlineStr">
        <is>
          <t>輸入される(3%)；輸入販売(3%)；輸入量；輸入品；輸入元</t>
        </is>
      </c>
      <c r="E8604" t="inlineStr">
        <is>
          <t>インポート</t>
        </is>
      </c>
      <c r="F8604" t="inlineStr">
        <is>
          <t>逆輸入；輸入代理；輸入食品；輸入会社；輸入車</t>
        </is>
      </c>
      <c r="G8604" t="inlineStr">
        <is>
          <t>輸入車；輸入業者；輸入国；輸入盤；輸入禁止</t>
        </is>
      </c>
      <c r="H8604" t="n">
        <v>29</v>
      </c>
      <c r="I8604" t="inlineStr">
        <is>
          <t>日本には明治時代の末期にアメリカから輸入されたのが始まりとされる。；その中でもアメリカ産が非常に人気があり日本にも毎年輸入されている。；それらの使用物は通常、医師が自身の判断で個人輸入し使用している。；またその一部はオランダ経由で、江戸時代の日本にも輸入されていた。；日本で使用される重晶石のほとんどが中国から輸入されたものである。；ただし、いずれの国も、輸入したフォアグラの販売は禁止されていない。；日本は武器の輸入は行っているものの武器の輸出は行っていない。；CMはアメリカから輸入し、その他製品のCMは日本にて製作していた。；また、ここでは日本に輸入された馬に対してアスタリスクをつけている。；しかも国際関係の緊張が高まってリン鉱石の輸入に不安材料が出てきた。；それを日本に逆輸入したものが『トランスフォーマー』シリーズである。；日本では他の古典小説同様に江戸時代に輸入されたがあまり注目されたとは言えない。；よって、日本は遺伝子組換え作物を大量に輸入していると推定されている。；また、海軍では輸入して装備したMP18などを自動拳銃と呼んでいる。；日本のむきみ輸入量は世界第7位に位置し、主に中国から輸入されている。；日本で流通しているパイナップルの大半はフィリピンからの輸入物である。；その一部は日本にも輸入された他、日本国産のものも各種登場した。；これがフランスに逆輸入され、現在のコース料理の形式が成立したとされる。；しかし、資源枯渇や生産コストの問題から現在は全て輸入となっている。；上記の節のように日本は大量に遺伝子組換え作物を輸入している。；日本へ逆輸入する際に名前をそのまま残したようである。；特に生産数の少ない国産装備品は、価格面で輸入品に太刀打ちできない。；日本の解体法とは異なるため、輸入肉のみに存在するカットである。；当初は輸入でしかもたらされない貴重品であり医薬品として扱われていた。；このときアメリカから輸入された小麦は薄力粉となる軟質小麦であった。；ただし輸入された全ての乾電池に関しては水銀を含んでいる可能性がある。；実際、日本は2003年5月からカナダからの牛肉輸入を禁止している。；ただし、製造・輸入・使用・販売には、経済産業大臣の許可が必要である。；古代から江戸時代初期までは、各時代の中国暦を輸入したものが使われていた。</t>
        </is>
      </c>
      <c r="J8604">
        <f>HYPERLINK("https://www.weblio.jp/content/輸入", "词义详情")</f>
        <v/>
      </c>
      <c r="K8604">
        <f>HYPERLINK("https://yourei.jp/輸入", "查看例句")</f>
        <v/>
      </c>
    </row>
    <row r="8605">
      <c r="A8605" t="inlineStr">
        <is>
          <t>湯飲み</t>
        </is>
      </c>
      <c r="B8605" t="inlineStr">
        <is>
          <t>成功</t>
        </is>
      </c>
      <c r="C8605" t="inlineStr">
        <is>
          <t>読み方：ゆのみ
「湯呑み茶碗」の略。</t>
        </is>
      </c>
      <c r="D8605" t="inlineStr">
        <is>
          <t>湯飲み茶わん</t>
        </is>
      </c>
      <c r="H8605" t="n">
        <v>29</v>
      </c>
      <c r="I8605" t="inlineStr">
        <is>
          <t>外から見れば、赤い湯飲みの中に丸い種が入っているような感じである。；松本は酒の入った湯飲みを椅子の上に残して、ドアを目指して歩き出した。；日本の一般的な湯飲みと違い、蓋は蓋椀のなかに配置するようになっている。；そう言いながらも、私の湯飲みにお茶を注いでくれてはいたのだが。；秋山は手にした湯飲みに口をつけもせず、裏返った茶托を見詰めていた。；足元に転がってた湯飲みは手代たちに蹴飛ばされて庭に落ちてしまった。；三人の前にはすでに湯飲みが置かれているが、まだ誰も口をつけていないようだった。；中に入っている水は、湯飲みの中でゆっくりと回転していった。；また、老女がお茶も運んできて、座っている者の前に湯飲みを置いていった。；持ったままの湯飲みをリノリウムの廊下に置いて、俺は片あぐらをかいた。；妻の使っていた湯飲みなど平気で使ったりするのが無性に腹が立つ。；女は下から黒塗の蓋のついた湯飲茶碗を持って来て、テーブルの上に置いた。；自棄になったように湯飲みに手を伸ばし、中身を乱暴に口に放りこんだ。；そしてダスターを持って来ると、湯飲みを起こして零れたお茶を拭いた。；小さなソファがあって、その前に置かれた低いテーブルに、湯飲みが一つ。；物事の始まりは、最初に倒れた湯飲みがどれなのか、俺には区別がつかない。；部長が入れ歯を湯飲みに落として業界紙に目を通しているにちがいない。；しばらくがたがた震えていると、目の前に湯気のたった湯飲みが置かれた。；つかもうとした湯飲みには梨絵の名前が書いてあったので、他のものを選ぶ。；篤子は湯飲みに入った茶を囲炉裏端の私の前に置くと、はすかいに座った。；柚子の前に置かれた湯飲みの中のお茶も、たぶん冷めてしまっているだろう。；その湯飲みのなかに、嘘のように華やかな黄緑色の緑茶が注いであった。；おい、湯飲みが空になったら、言わんでもちゃんと酒注がんかい、コラ。；テーブルの湯飲みをとって残っていたお茶を一口含む。；「つつじがきれい」 湯飲みを両手のなかに持ち、母親は顔をかがめた。；真希が湯飲みをちゃぶ台に置いているうちに、梢はすっと立って消えた。；「今に、そういう日が来るんやで」 ミヨ子は湯飲みを両手に持った。；母親は何もかも心得ているふうで、黙って湯飲みに口をつけていた。；それは覚えているんだ、しかしどうして湯飲みが遊び道具になっていたかは、記憶にない。</t>
        </is>
      </c>
      <c r="J8605">
        <f>HYPERLINK("https://www.weblio.jp/content/湯飲み", "词义详情")</f>
        <v/>
      </c>
      <c r="K8605">
        <f>HYPERLINK("https://yourei.jp/湯飲み", "查看例句")</f>
        <v/>
      </c>
    </row>
    <row r="8606">
      <c r="A8606" t="inlineStr">
        <is>
          <t>指</t>
        </is>
      </c>
      <c r="B8606" t="inlineStr">
        <is>
          <t>成功</t>
        </is>
      </c>
      <c r="C8606" t="inlineStr">
        <is>
          <t>読み方：さし
［名］
１（「尺」とも書く）ものさし。「—を当てる」
２二人で向かい合ってすること。さしむかい。「—で飲む」「—で話す」
３二人で荷物を担ぐこと。さしにない。
４「差し合い1」に同じ。
「五郎兵衛さん、お百さんは—で居なさりやせん」〈洒・辰巳之園〉
５（ふつう「サシ」と書く）謡曲で、拍子に合わせず、少し節をつけてうたう部分。さしごえ。
６（ふつう「サシ」と書く）舞楽・能などの舞の型で、手をさし出すように前方へ水平にあげること。
［接頭］動詞に付いて、語調を整えたり意味を強めたりする。「—出す」「—戻す」「—替える」
［接尾］助数詞。
１舞の曲数を数えるのに用いる。「一—舞う」
２相撲などの番数を数えるのに用いる。
「勝負これによるべきにあらず。ひと—つかうまつるべし」〈著聞集・一〇〉</t>
        </is>
      </c>
      <c r="D8606" t="inlineStr">
        <is>
          <t>指差し(4%)；指一本；指差す；指趾；指笛</t>
        </is>
      </c>
      <c r="E8606" t="inlineStr">
        <is>
          <t>親指；手指；拇指；フィンガー；一指</t>
        </is>
      </c>
      <c r="F8606" t="inlineStr">
        <is>
          <t>細い指；長い指；白い指；太い指；しなやかな指</t>
        </is>
      </c>
      <c r="G8606" t="inlineStr">
        <is>
          <t>指摘；指揮；指導；指す；指示</t>
        </is>
      </c>
      <c r="H8606" t="n">
        <v>29</v>
      </c>
      <c r="I8606" t="inlineStr">
        <is>
          <t>このため、オカリナは指穴の位置を比較的自由に配置することができる。；演奏する際にはほぼ垂直に構え、左手の指で頻繁に音色の変化をつける。；意図せず指を引っ掛けるなどしても容易く抜け落ちるようになっている。；レギュラーを奪われたくないため指を骨折した状況で試合出場したこともある。；スマートフォンアプリ版では画面の太鼓を直接指でタッチして操作する。；大きな花弁に見えるのは苞葉で、果指の部分が本当のバナナの花である。；手には4本の指を持つがそのうち1本は小さく機能していなかった。；腕には指がないが、長い鼻が代わりにものを持つ役割を果たす。；四肢はよく発達してそれぞれ5本の指をもち、後肢の第4指は特に長い。；例えば鳥類の前肢は翼になり、この過程で親指以外の指は退化している。；手にはそれぞれ3本の指があり、その先には湾曲した大きな爪が付いていた。；十二指腸の名前は指を12本横に並べた長さとほぼ同じなためつけられた。；第1指は他の指と対向し、物をつかむことや樹上での活動に適している。；また舌の奥に指を入れたりして吐き気を催すことを「嘔吐反射」という。；何年も後、ベルシャザルは宴会を開き、手の指が現れて壁に文字を書いた。；図書館の書籍量、各研究機関など、世界でも屈指の規模とレベルを誇る。；また、一般的には、弦が音台に平行な面に張られている弦楽器を指する。；出汁が出やすいように、中骨に沿って2枚下ろしのように指で二つに割る。；図書館は府内の学校でも5本の指に入る広さと5万冊を超える蔵書数。；左手の4本の指はそれぞれ2つのポジションを使い分けることができる。；動物の指の数は進化の分岐と共に分かれ、種によって指の本数が異なる。；チェロは他の指と同様に第1関節でさおに上から接するように当てる。；各々の反射時間を計測して指などの接触した場所を検知することができる。；樹上棲種では指に襞状の鱗があり垂直面でも登ることのできる種もいる。；カフェの裏で殺害された親子の子は、手の指を揃えて切断されていた。；サヴォイア家は欧州でも屈指の名家であり、権威ある貴族の一族だった。；公は家に帰り、父の指替の刀を取ってすぐにかの家に至った。；真ん中の指が大きく発達しており、後ろ指はわずかに現れている程度である。；これらが右手親指を除く9本の指で操作できるようになっている。</t>
        </is>
      </c>
      <c r="J8606">
        <f>HYPERLINK("https://www.weblio.jp/content/指", "词义详情")</f>
        <v/>
      </c>
      <c r="K8606">
        <f>HYPERLINK("https://yourei.jp/指", "查看例句")</f>
        <v/>
      </c>
    </row>
    <row r="8607">
      <c r="A8607" t="inlineStr">
        <is>
          <t>指先</t>
        </is>
      </c>
      <c r="B8607" t="inlineStr">
        <is>
          <t>成功</t>
        </is>
      </c>
      <c r="C8607" t="inlineStr">
        <is>
          <t>読み方：ゆびさき
指の先端。指頭。指端。</t>
        </is>
      </c>
      <c r="D8607" t="inlineStr">
        <is>
          <t>指先でつまん；指先で軽く；指先でそっと；指先ひとつ；指先でくるくる</t>
        </is>
      </c>
      <c r="E8607" t="inlineStr">
        <is>
          <t>指さき；指頭</t>
        </is>
      </c>
      <c r="F8607" t="inlineStr">
        <is>
          <t>白い指先；しなやかな指先；軽く指先；冷たい指先；太い指先</t>
        </is>
      </c>
      <c r="H8607" t="n">
        <v>29</v>
      </c>
      <c r="I8607" t="inlineStr">
        <is>
          <t>ソロは明りをあいている方の手にあてながら指さきで字を書いてみせる。；以来、僕の背中に指先だけでも触れられるよう大きな目標になっています。；残った葉もほんのちょっと指先でさわるだけでもろく落ちるのであった。；すでに左手の指先には、かれのすべての力が注入しつくされているのだ。；あの娘の指先なら、もっとうまくやってくれるだろうとかれは思った。；彼等の節くれ立った頑丈な指先を見て、私は何かに感謝したくなった。；足ゆびの先と手のゆび先から、まず感覚が失われていくような気がした。；また、右手の指先から弾丸・ロケット弾・銃と記述しているものがある。；そして刃もよくついていてうっかりすると、指さきを切ったのであります。；熔接されたように指さきでつながっていたふたりの女の両手ははなれた。；彼は始め彼女の側からかすかに見える白い指先の走るのを見守った。；なんにしても、正ちゃんは、指さきですることは、不器用でありました。；それがだんだん震えになって、指さきなどがぶるぶるして来るのであった。；人類は悪魔の意思にゆだねられその指さきによって破滅するのだろうか。；ジャン・ヴァルジャンは指先で服を開いて、その胸に手をあててみた。；指先が空いているため厚手であっても指先の感覚が鈍くなることはない。；そのゆえにその指さきの世界は私たちをひきつけてやまなかったのである。；それから水のついた指先を拭うと、その濡れたハンカチを衣嚢に収めた。；鉄柱の先がわずかに指先から少し出るくらいで相手には見えにくい武器である。；ファリンジャー将軍は椅子の背にもたれ、指先を合わせると考えこんだ。；その危険をふせぐために、両足の指先へ力をこめて登って行かねばならぬ。；指先を軽く相手の唇と鼻翼に触れていれば人の談話を了解する事が出来る。；「ほんとに指さきに火がついたんだよ」 イリヤはちょっと考えていた。；飼育下ではよく人に慣れ、指先を水に入れると集団で吸い付いてくる。；何を彈いて見たいのやら、彈くべき曲が指先にも頭にも浮んで來なかつた。；樹の芽草の葉も人の骨片から総立ち上った無数の指先のように見えるのだった。；指先がようやく壁の割れ目に触れたとき、かれはそのなかへ身を躍らせた。；時々片手を上げて指先で両の眉を内から外へ撫でつける癖がある。；指先で押したら餅みたいに凹みそうなその肉附が、先ず彼の眼についた。</t>
        </is>
      </c>
      <c r="J8607">
        <f>HYPERLINK("https://www.weblio.jp/content/指先", "词义详情")</f>
        <v/>
      </c>
      <c r="K8607">
        <f>HYPERLINK("https://yourei.jp/指先", "查看例句")</f>
        <v/>
      </c>
    </row>
    <row r="8608">
      <c r="A8608" t="inlineStr">
        <is>
          <t>指差す</t>
        </is>
      </c>
      <c r="B8608" t="inlineStr">
        <is>
          <t>成功</t>
        </is>
      </c>
      <c r="C8608" t="inlineStr">
        <is>
          <t>読み方：ゆびさす
［動サ五（四）］
１指でさし示す。さし示して知らせる。「建物を—・す」
２指でさし示してあざわらう。後ろ指をさす。「—・されるようなまねはしていない」</t>
        </is>
      </c>
      <c r="D8608" t="inlineStr">
        <is>
          <t>指差す先(5%)；指差す方向(3%)；指差すほう</t>
        </is>
      </c>
      <c r="E8608" t="inlineStr">
        <is>
          <t>指す；指示する；差す；指し示す</t>
        </is>
      </c>
      <c r="H8608" t="n">
        <v>29</v>
      </c>
      <c r="I8608" t="inlineStr">
        <is>
          <t>男は自分が出てきた建物の隙間を指差すと、ついてこいと言った。；接吻の代わりにタワーフの際に黒石を指差すことでよいとされている。；仕方なく紫の指差す先に目をやると、そこには大手のドラッグストア。；しかし言葉にできなくとも絵が描いていたものの実物を左手で指差すことはできるのである。；指差す方向には、プレハブ小屋と、そしてその脇には車が停められていた。；中央には肩を組んで太陽を指差す少年達が、ヘタうまタッチで描かれている。；おれが出口のほうを指差すと、テイズはすぐに察して部屋を去ろうとした。；面倒なのでそれ以上の質問をやめ、とりあえずその人の指差す方へ行ってみることにした。；「右端がうちの親父だ」 杉尾は白いシャツを着た男性の一人を指差す。；「あんたは、出ていってレセプトの計算でもやってなさい」とドアを指差す。；女は死の仮面を若者の顔に着けると腕を前方に伸ばし、決然といずこかを指差す。；そして頭上の一点を指差すようなふりをした。；長らく中央の自らを指差す髭の男がマタイであると思われていた。；それで私は眼を躍らせ彼の指差す方向へ周章てて視線を走らせた。；「あっ、せんぱいだー」 教室のドアを指差す有彦はとても嬉しそうだ。；「何時だと思ってるんですか」と時計をつけてもいない左手首を、右手で指差す。；彼女が指差すと、影たちはぶるぶるっと震え、次々に地面から飛び出してきた。；彼女が指差す方向にいまりとさよかが続く。；続けて、 「そんなことより、さ、早く帰りましょ」 と窓の方を指差す。；僕は月子の肩に手をかけ、斜めうしろの公園の入口の先に見える建物を指差す。；そのときのロイドの位置では狙撃犯の方向を指差すことはできなかったはずであった。；人を指差す際に用いることに由来している。；「どこかで見たことがある顔だと思ったら、会ったことのある女だった」私は写真の女性を指差す。；「あれはどうするんだ」そう言って窓の近くを飛びまわっている妖精を指差す。；「他のみんなはあそこアル」 古さんの指差す方向には人だかりが出来ていた。；窓の外、指差す向こうには、明らかに色の違う波が見える。；「この菓子を企画したとこが問題でんのや」 知松は箱の裏を指差す。；バーカウンターにもたれていた女が、その指差す方向を、ゆっくりと振り返った。；花鶏が指差す先、 わき腹のあたりに、見覚えのあるものがあったからだ。</t>
        </is>
      </c>
      <c r="J8608">
        <f>HYPERLINK("https://www.weblio.jp/content/指差す", "词义详情")</f>
        <v/>
      </c>
      <c r="K8608">
        <f>HYPERLINK("https://yourei.jp/指差す", "查看例句")</f>
        <v/>
      </c>
    </row>
    <row r="8609">
      <c r="A8609" t="inlineStr">
        <is>
          <t>指輪</t>
        </is>
      </c>
      <c r="B8609" t="inlineStr">
        <is>
          <t>成功</t>
        </is>
      </c>
      <c r="C8609" t="inlineStr">
        <is>
          <t>読み方：ゆびわ
指にはめる輪状の装身具。装飾のほかに、魔よけあるいは結婚などの契約を表す。多く貴金属で作り、宝石をはめ込んだものなど多種ある。指嵌(は)め。リング。</t>
        </is>
      </c>
      <c r="D8609" t="inlineStr">
        <is>
          <t>指輪所持者；指輪型；指輪隊；指輪交換；指輪をとりだし</t>
        </is>
      </c>
      <c r="E8609" t="inlineStr">
        <is>
          <t>リング；指環</t>
        </is>
      </c>
      <c r="F8609" t="inlineStr">
        <is>
          <t>高価な指輪；金指輪；小さな指輪；黄色い指輪；指輪紛失</t>
        </is>
      </c>
      <c r="G8609" t="inlineStr">
        <is>
          <t>指輪戦争；指輪の仲間；指輪の幽鬼；指輪印；指輪の銘</t>
        </is>
      </c>
      <c r="H8609" t="n">
        <v>29</v>
      </c>
      <c r="I8609" t="inlineStr">
        <is>
          <t>指輪にしろイアリングにしろ、してるところを見たことがないですから。；一方の鈴木は指輪が見つからず、諦めて道路に出てきたところであった。；これは合成では作り出せないため、指輪そのものを入手する必要がある。；また街が環状に広がる形状から指輪の都市などと呼ばれることもある。；指輪をたくさん持っていたのは、おおかた死人の指を切ったんでしょう。；また彼女の指には指輪がはめられており、結婚していることがわかる。；彼女は赤い石のついた指輪を無言で渡し、まるで消えるようにいなくなる。；そして、若者の目のまえで金の指輪が海のなかにほうりこまれました。；棺はレンが実家で見つけた古い指輪と反応して一人の少女の姿へと変わった。；他には銀の指輪などの装身具や銅板のいぶし加工再処理にも用いられた。；おどろくべきことにトム・ボンバディルはこの指輪に影響されなかった。；救出のためには建物内に置かれた鍵と指輪を入手する必要がある。；翌日になってもDが指輪をしていたのを見た永田は全体会議の場でDを批判。；大別すると装備品と素材であり、装備品は武器・指輪・防具に分けられる。；いつか、約束にもらった指輪は、いまはかえって、邪魔となったのでした。；そんな芽生の気持ちを察した貴大は芽生を連れて指輪を買いに出かけた。；中に入って見ると面白いものが多く、とりわけ彼女の目を引いたのはある指輪だった。；彼女にあるおばあさんのもとに行き指輪を奪い取ってきて欲しいと言うのだ。；彼女は、顔を赤くして、指輪をぬくと、海の中へ投げてしまいました。；王国中の娘城に集められ、高貴な者から順々に指輪が合うか試していった。；これはサウロンの燃えるような手を指輪が恋うるためであるという。；指輪所持者であったフロドとビルボはヴァリノールへ旅する許しを得た。；中には私へ宛てた長い手紙と、ダイヤの指輪が一個入っていました。；と言うのも、この娘の指に例の指輪がぴったり合ったからである。；指輪を奪おうとしたその二人は湖に引き込まれて溺死したとされる。；焦点具は一般に杖の形をしているが、杖と比較すると低出力な指輪型なども存在する。；指輪を見つけて手に取った瞬間、蜂の大群に襲われ、命を落としてしまう。；結婚していると名前の横に指輪のマークが表示される。；刑務官らは性的な関係の他に高級車やダイヤの指輪などを提供されていた。</t>
        </is>
      </c>
      <c r="J8609">
        <f>HYPERLINK("https://www.weblio.jp/content/指輪", "词义详情")</f>
        <v/>
      </c>
      <c r="K8609">
        <f>HYPERLINK("https://yourei.jp/指輪", "查看例句")</f>
        <v/>
      </c>
    </row>
    <row r="8610">
      <c r="A8610" t="inlineStr">
        <is>
          <t>弓</t>
        </is>
      </c>
      <c r="B8610" t="inlineStr">
        <is>
          <t>成功</t>
        </is>
      </c>
      <c r="C8610" t="inlineStr">
        <is>
          <t>読み方：きゅう
［音］キュウ（漢）　［訓］ゆみ
［学習漢字］2年
〈キュウ〉
１ゆみ。「弓術・弓状・弓道／強弓(ごうきゅう)・大弓・半弓・洋弓」
２弓の形をしたもの。「胡弓(こきゅう)」
〈ゆみ〉「弓矢／石弓・真弓・破魔弓」
［名のり］ゆ
［難読］弓場(ゆば)・弓筈(ゆはず・ゆみはず)・弓勢(ゆんぜい)・弓手(ゆんで)</t>
        </is>
      </c>
      <c r="D8610" t="inlineStr">
        <is>
          <t>弓塚(3%)；弓射；弓隊；弓裔；弓鉄砲</t>
        </is>
      </c>
      <c r="E8610" t="inlineStr">
        <is>
          <t>ボー；アーク；ボウ；ボーゲン；洋弓</t>
        </is>
      </c>
      <c r="F8610" t="inlineStr">
        <is>
          <t>弩弓；鰓弓；楊弓；椎弓；関弓</t>
        </is>
      </c>
      <c r="G8610" t="inlineStr">
        <is>
          <t>弓矢；弓なり；弓兵；弓術；弓道</t>
        </is>
      </c>
      <c r="H8610" t="n">
        <v>29</v>
      </c>
      <c r="I8610" t="inlineStr">
        <is>
          <t>自身の子である北卓矢北真弓も番組に出演して商品の説明を行っている。；弓には照準のための装置や目印をしたり、類似のことをしてはならない。；クロスボウを持った男性が服や弓の明確な特徴をもって描かれている。；ヘロンの説明によると、弓の材料は「角と木の一種」が用いられていた。；より古い楽器や西洋以外の擦弦楽器の弓はC字形をしているものが多い。；更に日本の火縄銃は朝鮮の弓より威力や命中率の点で数倍優れていた。；このことから弓とクロスボウの性能に大きな差があったことが読み取れる。；弦楽器を弾こうとすると、まず弓をどちらかに動かさなければならない。；矢は弓で射ることが多いが、他に投げ矢などもあり、矢の形態も様々である。；名前は、川のそばに生える木を先住民が弓にして使っていたことに由来する。；拾い方は足の甲に弓を乗せ、足で弓を上に跳ね上げたところを掴み取る。；弓を体の正面に構えそのまま正面に打起こした後、大三を経て引分ける。；弓でキリンを狩ろうとしたところ、キリンは一人の不思議な女に奪われた。；遠当を放って相手の姿勢を崩した後に弓で矢を放って射止めたと言われている。；また鰾膠を使用した弓はニベ弓と呼ばれ、上級者の間で珍重されている。；通常より弓本体への負担は大きくなり、また発射音もうるさくなる傾向がある。；また、名前に弓がつくことから弓道家やヴァイオリンの愛好家も訪れる。；これは弓に弾力を持たせるためで、現代のヴァイオリンと同じである。；ウィリアム・テルは、スイスの伝説に登場する民衆の英雄で、弓の名手。；馬に乗って疾走しながら弓を使う騎射は非常に強力な手段である。；弥生時代中期とされる銅鐸に、鹿を狙って弓を引く人が描かれている。；ロビンは父の形見である弓を武器に、男爵に立ち向かうことを決意する。；竹弓の素材に竹を張り合わせる接着剤も弓の性格を決める重要な要素である。；すでに入関前の宮廷で弓試合や宴会の際に、相撲の実演が催されている。；また、テレビ版でお弓役だった鈴村由美は本作では別の役柄で出演している。；人形が矢立てから矢を取り、弓にセットして的に当てる座敷からくり。；投石器は弓と同時期の中石器時代に発明されたと考えられている。；木でできた台の先端に交差するように弓が取り付けてある。；その名の如く7歳になると自ら弓を作り、矢を射ると百発百中だった。</t>
        </is>
      </c>
      <c r="J8610">
        <f>HYPERLINK("https://www.weblio.jp/content/弓", "词义详情")</f>
        <v/>
      </c>
      <c r="K8610">
        <f>HYPERLINK("https://yourei.jp/弓", "查看例句")</f>
        <v/>
      </c>
    </row>
    <row r="8611">
      <c r="A8611" t="inlineStr">
        <is>
          <t>夢</t>
        </is>
      </c>
      <c r="B8611" t="inlineStr">
        <is>
          <t>成功</t>
        </is>
      </c>
      <c r="C8611" t="inlineStr">
        <is>
          <t>読み方：いめ
「ゆめ」の上代語。
「秋されば恋しみ妹(いも)を—にだに久しく見むを明けにけるかも」〈万・三七一四〉</t>
        </is>
      </c>
      <c r="D8611" t="inlineStr">
        <is>
          <t>夢斎；夢みたい；夢蘭；夢遊；夢を叶えるため</t>
        </is>
      </c>
      <c r="E8611" t="inlineStr">
        <is>
          <t>思い；思；希望；理想；願い</t>
        </is>
      </c>
      <c r="F8611" t="inlineStr">
        <is>
          <t>同じ夢；道夢；そんな夢；どんな夢；たいという夢</t>
        </is>
      </c>
      <c r="G8611" t="inlineStr">
        <is>
          <t>夢想；夢にも；夢見；夢の中で；夢の中</t>
        </is>
      </c>
      <c r="H8611" t="n">
        <v>29</v>
      </c>
      <c r="I8611" t="inlineStr">
        <is>
          <t>この試みはエジソンが映画の実験を始めた当初からの夢の一つだった。；一方、耕一は自分の夢を分析することで、犯人は自分ではないと考える。；従来の原作の枠を越えて実現したいわゆる「夢の対戦」は以下の通り。；代わって小さくて安全な夢に彩られた歌が人々の心を惹きつけ始めた。；ビデオソフトを見るように、思いのままの夢を楽しむことができる機械。；この物語には夢を持ちつづけてほしいというメッセージが込められていた。；これらの作品は商業的には振るわず、一度は女優の夢を諦めたかに見えた。；具体的には色に興味がある人は色が付いた夢を見る、などである。；しかしどんな夢を見ても思い通りに行かず失敗を繰り返してしまう。；特に母が心配し、実家に逃げて帰ってくる夢を見て目が覚めることもあった。；当時を想起して、藤本は「夢のような声をかけてくれた」と語っている。；古代ギリシアでは、夢の送り手がゼウスやアポロンだと考えられていた。；中世の君侯に憧れ次第に精神を病んでいった王の夢の城とされている。；夫は百人の人がかかっても抱えきれないほどの大木の夢を見た。；なんと夢で見たものと同じ世界が広がっていたのである。；小学校入学前からの熱烈な野球少年で、将来の夢はプロ野球選手だった。；しかし、本当にケクレがこれらの夢を見たかについては疑う向きもある。；眠ってばかりいるため夢を多く見るので、夢日記だけはちゃんとつけていた。；仕事でインタビューしてから田原俊彦のファンで夢はいつか共演することだった。；この時点の夢は文学と演劇の教師になることで、大学では演劇部に所属していた。；目覚めていながら夢を見ているかのように現実から離れて何かを考えている状態をいう。；こういった夢は、確かにモチベーションの維持という観点では需要である。；その病床で、老人から現世の妖魔を取り除くべく派遣したとの夢を見る。；ただし、協同村建設の夢はオウエンの志となってその後も胸中に残った。；この頃の将来の夢は「どこかの会社の事務員になること」であった。；若い頃に俳優になりたい夢を抱いたこともある。；夢然がようよう紙に書いたのを差出すと、山本主殿がこれを詠みあげた。；ウトナピシュティムに夢を見させただけで、私は何もしていない。；北朝鮮では、日本でいだいていた弁護士の夢は諦めざるを得なかった。</t>
        </is>
      </c>
      <c r="J8611">
        <f>HYPERLINK("https://www.weblio.jp/content/夢", "词义详情")</f>
        <v/>
      </c>
      <c r="K8611">
        <f>HYPERLINK("https://yourei.jp/夢", "查看例句")</f>
        <v/>
      </c>
    </row>
    <row r="8612">
      <c r="A8612" t="inlineStr">
        <is>
          <t>夢見る</t>
        </is>
      </c>
      <c r="B8612" t="inlineStr">
        <is>
          <t>成功</t>
        </is>
      </c>
      <c r="C8612" t="inlineStr">
        <is>
          <t>読み方：ゆめみる
［動マ上一］［文］［マ上一］夢を見る。また、あってほしいことを心に思い浮かべる。「パイロットになることを—・みる」</t>
        </is>
      </c>
      <c r="D8612" t="inlineStr">
        <is>
          <t>夢見るような表情；夢見るような瞳；夢見るような眼差し；夢見るような目つき；夢見るような微笑</t>
        </is>
      </c>
      <c r="E8612" t="inlineStr">
        <is>
          <t>考える；夢想；夢を見る；憧れる；志向する</t>
        </is>
      </c>
      <c r="F8612" t="inlineStr">
        <is>
          <t>うっとりと夢見る</t>
        </is>
      </c>
      <c r="G8612" t="inlineStr">
        <is>
          <t>夢見るシャンソン人形；夢見る頃を過ぎても；夢見る少女じゃいられない；夢見るつばさ；夢見る愛天使</t>
        </is>
      </c>
      <c r="H8612" t="n">
        <v>29</v>
      </c>
      <c r="I8612" t="inlineStr">
        <is>
          <t>そこには彼と同じように俳優や画家などを夢見る若者たちで溢れていた。；そしてそういう痩せ方をする身体のうちには、夢見るような魂があった。；祥子は彼の言葉が全く聞こえないのか夢見るような表情を続けていた。；上昇を夢見る女性を浮薄と見るかはともかく、銀河の父はそう見ていた。；今また言葉を途中で切った時、それと同じ夢見るような表情がもどってきた。；木に馬を近づけているその顔には夢見るような微笑が浮かんでいる。；「あんたはどうするんだ」 ヒデキの夢見るような表情は崩れなかった。；グラナドスは大きな目を半ば閉じ加減にして夢見るような抑揚で話した。；過去にありもしなかったこと、また将来ありもしないことを夢見るものなのだ。；視線が定まつてゐるやうな、またゐないやうな、夢見るやうな顏である。；夢見ることが許されるなら、あなたは胸に、どんな新しい本を開くだろう。；せめて生きているこの世で、遠い異国を夢見ることしか許されなかった。；幼い頃より動物が好きで、アフリカへ行くことを夢見る少女であった。；どこまでも広がる海の向こうにあるものを夢見る精神的余裕もない。；過去を夢見んには残されたる過去の文学美術の力によらざるべからず。；革命と帝国とは、彼の夢見るような瞳の前に遠景をなして光り輝いた。；彼女は首を動かして真智子を見ると、夢見るような目をしていった。；夢見る芸術家を讃えた詩文がエルガーの琴線に触れたことは疑いがない。；少女は小さな顔に夢見るような表情を浮かべ、満足そうにハミングしていた。；しかしトラブルが発生し、やがて四人は日本脱出を夢見るようになる。；彼が憔悴しきっていることは、その夢見るような瞳を見ればわかる。；父のような立派な騎士になることを夢見る少年ルイが織りなす壮大な物語。；声はとつぜん懐旧の響きを帯び、顔には夢見るような表情が浮かんだ。；バスケの名選手を夢見る若者たちが集まってきて会話をしてるのだ。；その後もニカラグア国内では運河の実現を夢見る動きが続いてきた。；彼は現代では不可能だとは百も承知で世俗から降りてしまった世捨て人を夢見る。；現実派の母と夢見る父はうまいバランスで生活していたのである。；彼女が夢見るような眼をして、松明の明かりに照らされて立っていた。；また、小さな放浪者は冒険や恋を夢見るが、現実で成就することはない。</t>
        </is>
      </c>
      <c r="J8612">
        <f>HYPERLINK("https://www.weblio.jp/content/夢見る", "词义详情")</f>
        <v/>
      </c>
      <c r="K8612">
        <f>HYPERLINK("https://yourei.jp/夢見る", "查看例句")</f>
        <v/>
      </c>
    </row>
    <row r="8613">
      <c r="A8613" t="inlineStr">
        <is>
          <t>ゆゆしい</t>
        </is>
      </c>
      <c r="B8613" t="inlineStr">
        <is>
          <t>成功</t>
        </is>
      </c>
      <c r="C8613" t="inlineStr">
        <is>
          <t>読み方：ゆゆしい
［形］［文］ゆゆ・し［シク］《「ゆ」は神聖の意の「斎(ゆ)」と同語源》
１程度がはなはだしい。また、重大である。容易ならない。「—・い事態」
２神聖で恐れ多い。慎むべきである。
「言はまくも—・しきかも」〈万・四七五〉
３忌まわしい。不吉である。
「—・しき身に侍れば、かくておはしますも、いまいましうかたじけなくなむと宣ふ」〈源・桐壺〉
４いまいましい。うとましい。
「—・しかりける里の人かな。宿貸さず」〈梁塵秘抄・二〉
５すばらしい。りっぱである。
「—・しくありがたう覚ゆれ」〈徒然・一八八〉
[派生]ゆゆしげ［形動］ゆゆしさ［名］</t>
        </is>
      </c>
      <c r="D8613" t="inlineStr">
        <is>
          <t>ゆゆしいこと(14%)；ゆゆしい事態(11%)；ゆゆしい問題(7%)</t>
        </is>
      </c>
      <c r="E8613" t="inlineStr">
        <is>
          <t>大きい；重い；重大；深刻；不吉</t>
        </is>
      </c>
      <c r="H8613" t="n">
        <v>29</v>
      </c>
      <c r="I8613" t="inlineStr">
        <is>
          <t>仰せの通り、冬を越させては敵に勢いをつけてゆゆしきことになります。；若しそうした態度にあるならば、それはゆゆしき誤謬といわねばならぬ。；ゆゆしいことを言いますが、遺体を見ずに死亡診断書を書く医師がいます。；中には彼の主筋の名や北条氏眷属のゆゆしい人々の名も見えたからだった。；もし、こんなものが若い世代に支持されるとしたら、ゆゆしき事態である。；誤審はゆゆしき一大事だ、弁護人は本動議が採択されることを望みます。；こうなってくると、野放しになったユニコーンがゆゆしい問題となる。；話から察するに、見かけによらず、たいへんゆゆしき問題となりそうです。；結果の示すように、ゆゆしい事件が進行していたのだ。；それが、実は、今のお銀様のゆゆしき不思議な存在でたまらなくなりました。；昨今の日本のように、情緒的な科学離れが進む事態は、実にゆゆしきことです。；南はゆゆしい状況だとか、本当にそうなのですかな?；家を、夫を捨てるというのは、きわめてゆゆしい第一歩なのだからと。；読めば読むほど恐ろしいゆゆしい事態が明らかになった。；そのどちらもがゆゆしく鉄壁の感を抱かせ、相手の攻撃に小揺ぎもしないように見えた。；悪文に加えて、読みようによってはゆゆしき字句を含んでいる条文もある。；幕府側である会津藩が仰天したのはいうまでもないが、薩摩もまたゆゆしい大事であると思った。；「言にいでて言はばゆゆしみ山川の激つ心をせかへたるかも」の如き例がある。；相手のことばの中にゆゆしい威迫があると思った。；しかし私は、私の妻への愛は、人間の愛そのものの否定の上に立っている、などと、ゆゆしげな理窟は言わない。；私がこんなことを言うのは、きみがすでに直面している面倒以上のゆゆしい面倒を惹き起こさないようにするためだ。；私たちテンション民族の体質から判断すると、これはまことにゆゆしい事態と見える。；これはゆゆしき事態なのですわよ!；まるで天下国家のゆゆしい大事件であるみたいに、彼らは真剣そのものだった。；彼のゆゆしい志は、不敏なわたくしにもわからないではない。；例えば先年前山久吉さんを激怒せしめたなどはその例のゆゆしき一つである。；まことにゆゆしいことになったものです。；これは、これまで延々と続いてきた、人類の、愛の歴史を完全に変えてしまいかねない、ゆゆしき現象だと思う。；これは実にゆゆしいことであった。</t>
        </is>
      </c>
      <c r="J8613">
        <f>HYPERLINK("https://www.weblio.jp/content/ゆゆしい", "词义详情")</f>
        <v/>
      </c>
      <c r="K8613">
        <f>HYPERLINK("https://yourei.jp/ゆゆしい", "查看例句")</f>
        <v/>
      </c>
    </row>
    <row r="8614">
      <c r="A8614" t="inlineStr">
        <is>
          <t>由来</t>
        </is>
      </c>
      <c r="B8614" t="inlineStr">
        <is>
          <t>成功</t>
        </is>
      </c>
      <c r="C8614" t="inlineStr">
        <is>
          <t>読み方：ゆらい
［名］(スル)物事がそれを起源とするところ。また、物事が今までたどってきた経過。来歴。由緒。いわれ。「伝説に—する地名」「神社の—を調べる」
［副］昔からそのようであるさま。もともと。元来。
「すると、才媛は—多情なものと見えますね」〈風葉・青春〉
［アクセント］はユライ、はユライ。</t>
        </is>
      </c>
      <c r="D8614" t="inlineStr">
        <is>
          <t>由来する(47%)；由来記；由来説；由来成分；由来碑</t>
        </is>
      </c>
      <c r="E8614" t="inlineStr">
        <is>
          <t>わけ；話；歴史；話し；過去</t>
        </is>
      </c>
      <c r="F8614" t="inlineStr">
        <is>
          <t>生物由来；動物由来；地名由来；天然由来；体節由来</t>
        </is>
      </c>
      <c r="H8614" t="n">
        <v>29</v>
      </c>
      <c r="I8614" t="inlineStr">
        <is>
          <t>このような銭の形状は、中国古代の半両銭に由来するものとされている。；帰還カプセルの中には小惑星由来と考えられる物質が大量に入っていた。；その生成の由来から、古い地殻にのみ存在する鉱床であるとされている。；ヘナで爪を染めた女性の五本の指に見えることを由来とする呼称である。；現在よく知られているこれらの用語は、初期の実装に由来するものである。；これらはそれぞれはしご状神経系の単独の神経節に由来する領域である。；南武線の北側はかつての屋敷分村で、上記の通り旧駅名の由来となった。；コンゴの名前はコンゴ川と植民地以前に存在したコンゴ王国に由来する。；社名でありブランドであるソニーを意味する英語の「」に由来している。；これはソフトウェアがデジタルデータの一種であることに由来する。；その他、ドイツ語に由来する日本語には以下のようなものがある。；しかし、六曜は仏教に由来するものではなく上述のように無関係である。；キャラクターや設定の各所にギリシア神話由来の名前が使われている。；また氏の多くは地名に由来するため、地名に関する漢字を含むものが多い。；オスマン帝国時代に、この地方を呼ぶ時に使ったことが国名の由来である。；一般には脂っぽい食感に由来する名称と解釈されているが、異説もある。；シルクロードの名は、ほぼ中国で生産される絹織物の貿易に由来している。；またラテン語のalienatoに由来する疎外された労働が語られる。；また、この人物の名前に由来する高級スポーツ自転車のブランド。；戦時中に始まった遊びと思われるが、始まりの由来については不明である。；なお、日本語のヨーグルトという呼称は直接にはドイツ語のを由来とする。；その名前もギリシア語に由来するものではないというのが一般的な見解である。；この説はポセイドーンは古くは大地を司る神であったことに由来する。；また吾妻川といった自然由来の水質汚染もかつては問題とされていた。；路線名及び会社名は京都と大阪を結ぶ鉄道路線であることに由来している。；このことが本来の由来を離れて使用されるに至った。；また、大気圏外にあって生存してはいても地球由来の生物はこれを含まない。；微小な温度変化に応じて誘電分極が生じる性質が名称の由来である。；これはエドガー・アラン・ポーの詩に「大鴉」があったことも由来する。</t>
        </is>
      </c>
      <c r="J8614">
        <f>HYPERLINK("https://www.weblio.jp/content/由来", "词义详情")</f>
        <v/>
      </c>
      <c r="K8614">
        <f>HYPERLINK("https://yourei.jp/由来", "查看例句")</f>
        <v/>
      </c>
    </row>
    <row r="8615">
      <c r="A8615" t="inlineStr">
        <is>
          <t>揺らぐ</t>
        </is>
      </c>
      <c r="B8615" t="inlineStr">
        <is>
          <t>成功</t>
        </is>
      </c>
      <c r="C8615" t="inlineStr">
        <is>
          <t>読み方：ゆらぐ
［動ガ五（四）］
１ゆらゆらと動く。ゆれ動く。「水面が—・ぐ」
２物事の基盤が不安定になる。「地位が—・ぐ」「決意が—・ぐ」</t>
        </is>
      </c>
      <c r="D8615" t="inlineStr">
        <is>
          <t>揺らぐことなく；揺らぐほど；揺らぐような気</t>
        </is>
      </c>
      <c r="E8615" t="inlineStr">
        <is>
          <t>動揺；揺れる；震える；震動；ガタガタ</t>
        </is>
      </c>
      <c r="F8615" t="inlineStr">
        <is>
          <t>ぐらりと揺らぐ</t>
        </is>
      </c>
      <c r="H8615" t="n">
        <v>29</v>
      </c>
      <c r="I8615" t="inlineStr">
        <is>
          <t>主人公が恋人と恋人の妹との間で感情を揺らがせるラブコメディを描く。；彼は彼女に安心と信頼と、揺らぐことのない大地のような世界を与えた。；その向こうに見える扉が、水の底から空を見上げるように揺らいでいた。；わずか十日少しを空けただけなのに、季節は大きく揺らいだようである。；それが揺らいだのはブライアンと付き合い始めて一年が過ぎた頃だった。；きっと返してくれるだろうと信じているけど、それが揺らぐ時があるのね。；門田のすぐ前にいる金髪のデンマーク女の半顔に火の影が揺らいでいた。；ただ若干、その瞳が揺らいでいるようで、そこが真の保護欲を刺激する。；浴びるように酒を飲んでいたはずだが、彼の足取りは少しも揺らがない。；それも、あれだけ凄惨な死体を前にしても揺らがないだけの強い総意だ。；昨夜は蒸発することに決めていたが、朝を迎えてみれば心が大きく揺らぐ。；それが時には若すぎる主君への嫉妬となって揺らいだことも事実である。；夏休みの提案をしてはみたが、おふくろの意志はまるで揺らがなかった。；熱と炎に揺らぐ視界の向こうに、誰かが立っているような気がした。；表と裏といっても、微妙に揺らいでいるわけで、止まることはないのだ。；どう見えるかばかりに囚われて、肝心の自分が揺らぐようではいけない。；しかし、この程度の変化で揺らぐとは、私の精神が弱い証拠でもある。；家ごと揺らぐような気さえするが、それは気のせいであってほしい。；こんな状態があと数年続けば、GMといえども屋台骨が揺らいでしまう。；の前提がおおきく揺らいできたおかげで、なんだか妙な具合になってきた。；風もない部屋の中で、水の表は少しずつ揺らいで波を作り始めた。；少女のそのひと言がきっかけで、それまで信じていたことが揺らいだ。；どれだけ圧倒的な力を見せつけられても、その印象が揺らぐ事はなかった。；窓先の空地に植えられた山茶花と南天の樹が日に透されて揺らいでいた。；ふと廊下を見ると、その時そこの闇が、すうっと揺らいだような気がした。；いささか自信は揺らいでいたものの、今さら放り出すわけにはいかない。；ですから、その彼女にふられても、その真実が揺らぐことはありません。；足元の揺らぐほどに心が揺れて、その心から溢れ出るように涙が出た。；この小石を完全に消滅してみよ、海の全体が揺らぐであろうというように。</t>
        </is>
      </c>
      <c r="J8615">
        <f>HYPERLINK("https://www.weblio.jp/content/揺らぐ", "词义详情")</f>
        <v/>
      </c>
      <c r="K8615">
        <f>HYPERLINK("https://yourei.jp/揺らぐ", "查看例句")</f>
        <v/>
      </c>
    </row>
    <row r="8616">
      <c r="A8616" t="inlineStr">
        <is>
          <t>揺らす</t>
        </is>
      </c>
      <c r="B8616" t="inlineStr">
        <is>
          <t>成功</t>
        </is>
      </c>
      <c r="C8616" t="inlineStr">
        <is>
          <t>読み方：ゆらす
［動サ五（四）］揺り動かす。ゆさぶる。「川風が枝葉を—・す」</t>
        </is>
      </c>
      <c r="D8616" t="inlineStr">
        <is>
          <t>揺れる；震える；震動；ガタガタ；がたがた</t>
        </is>
      </c>
      <c r="H8616" t="n">
        <v>29</v>
      </c>
      <c r="I8616" t="inlineStr">
        <is>
          <t>あの中に、本当に感動に心を揺らしている人間はどれだけいるのだろう?；僕の泣き声はその母の乗る原付きの車体を揺らすエンジン音と共鳴した。；目も口も半開きにして気を失ったかのようになって体を揺らしている。；女はテーブルの下で組んだ足をぶらぶらと振り子のように揺らし始めた。；髪を揺らし、自分では無表情だと思う顔を作り、彼の青い目を見上げた。；ひときわ大きな衝突音が扉を揺らし、それきりなにも聞こえなくなった。；大きな蛇が身体を揺らして、彼の肩から光沢のある木の上に滑り降ちた。；男は落ち着きなく体を揺らしているが、その場を動こうとはしなかった。；縦ロールの髪を揺らしながら走っているのは、瞳子の中にいる別の誰か。；楊建は右の道を行き、私は二つの瘤を揺らしつつ左の道を歩いて行った。；そして、剣の切っ先をゆらゆらと生きた動物の尾のように揺らしだした。；何者かが自分の存在を知らせようと、意図的に揺らしているように思う。；しかし、そのパーンの声も下草を揺らす音もその場では聞こえなかった。；クリオは演説のときに体を揺らす癖があり、これが嘲笑されていたのだ。；ブラブラと体を左右に揺らし、真九郎を見上げては恥ずかしそうに笑う。；灯りは大きく左右に揺らされ、明らかに船に向かって合図を送っている。；その次はベンチに座って首をこくりこくりと揺らしながら寝ている老人。；揺らさぬよう注意して、少女の顔を持った植物をそこへ移動させる。；歌は聞こえないが、調子よさそうに頭を揺らしているのでわかった。；踊りというより、楽曲に合わせて羽根飾りの尾を揺らして歩いていた。；彼の問いはこちらの気を揺らし、そして、己のそれを込めたものだった。；ただ立っているだけの今も、意味もなく腕をぶらぶらと揺らしている。；黒猫は目をつむって口元を手で隠しながら、背中を揺らして笑っていた。；赤ん坊を胸に抱いて揺らす看護婦の前には、一枚の厚いガラス窓がある。；川から吹き上がってくる風はやや強く、セイバーの髪を揺らしていた。；生い茂る植物が、天窓からのかすかな風に、緑の葉を軽く揺らしていた。；前方の空一面に、ザワザワと枝を揺らして血花桜が咲いているのが見えた。；これは赤い照明を大きく揺らしながら照らし炎上を演出したものだった。；稲を揺らす風は山を下って川を渡ったもので、そこには涼しさがある。</t>
        </is>
      </c>
      <c r="J8616">
        <f>HYPERLINK("https://www.weblio.jp/content/揺らす", "词义详情")</f>
        <v/>
      </c>
      <c r="K8616">
        <f>HYPERLINK("https://yourei.jp/揺らす", "查看例句")</f>
        <v/>
      </c>
    </row>
    <row r="8617">
      <c r="A8617" t="inlineStr">
        <is>
          <t>ゆらゆら</t>
        </is>
      </c>
      <c r="B8617" t="inlineStr">
        <is>
          <t>成功</t>
        </is>
      </c>
      <c r="C8617" t="inlineStr">
        <is>
          <t>［副］(スル)
１物がゆっくりと大きく、繰り返し揺れ動くさま。「波に—（と）揺れる船」「地震で足もとが—（と）する」
２ゆったりと。ゆっくりと。
「打ち解けて—とお寝(よ)れのうさ」〈松の葉・一〉</t>
        </is>
      </c>
      <c r="D8617" t="inlineStr">
        <is>
          <t>ゆらゆらと揺れ(11%)；ゆらゆら揺れる(3%)；ゆらゆらとゆれ(3%)；ゆらゆらゆれ；ゆらゆらと動い</t>
        </is>
      </c>
      <c r="E8617" t="inlineStr">
        <is>
          <t>揺れて；ユラユラ；ユラユラと；たゆたって；棚引いて</t>
        </is>
      </c>
      <c r="F8617" t="inlineStr">
        <is>
          <t>ゆらゆら動く；ゆらゆらと燃え；頭をゆらゆら；影がゆらゆら；ゆらゆらと揺らめく</t>
        </is>
      </c>
      <c r="G8617" t="inlineStr">
        <is>
          <t>ゆらゆら帝国で考え中；ゆらゆらっと</t>
        </is>
      </c>
      <c r="H8617" t="n">
        <v>29</v>
      </c>
      <c r="I8617" t="inlineStr">
        <is>
          <t>その足を使って怪物は立上り、床の上をゆらゆらと動いているのだった。；からだがその響きにつれてゆらゆら動いて、みうちが骨まで冷たかった。；目の前から若い女の子の一団がゆらゆらと目を輝かせ、迫ってきていた。；泣きすぎて真っ赤になった瞳に、映りこんだ月がゆらゆらと揺れていた。；ゆらゆらと揺れる電車の中で、頭の中にもゆらゆらと思うことがあった。；そして、剣の切っ先をゆらゆらと生きた動物の尾のように揺らしだした。；彼なしでも、やっぱり阿里子はゆらゆらと流れていけそうな気がしていた。；寧温を案内するかのように一匹のオオゴマダラがゆらゆらと飛んでいく。；一メートル先には、二匹ほどいまにも死にそうにゆらゆらしている。；裸電気が、まるで氷の袋のやうに、加野の頭の上でゆらゆらゆれてゐる。；ゆらゆらとミュンは選んだ主人公によってどちらが仲間になるか変わる。；二つの思念の間をゆらゆらと揺れながら歩くと、前方に黒い集団が見えた。；まわりには小さな塊に分裂した水がゆらゆらと揺れ、回転している。；かみそりの刃がゆらゆらと深海に落ちてゆく映像が、つい思い浮かんだ。；それで茶碗の底には、色々な形のゆらゆら動く光の紐が見えるのである。；疲れているのに、体がゆらゆらと揺れているようで、いい気分である。；さかさまになったまま、道化は細い体を後ろに傾け、ゆらゆらと揺れた。；人ほどの大きさをした黒い影が、橋の上でゆらゆらと揺れていた。；妙なことには、何の為か両手を翼の様に伸ばして、ゆらゆらと動かしている。；まるで存在しないかのように透明な水の中で、ゆらゆらと泳ぐ小魚たち。；どの車も強い日光に照らされて熱を持ち、ゆらゆらと湯気を上げている。；それが、月の光の中でゆらゆらと光りながら睦あっているようであった。；目の前の岩の一部がゆらゆらとゆれて動きだし、そこに大きな穴ができた。；見るとひとりの女が道の真ん中でゆらゆらとした手付きで踊っているのだ。；顔面蒼白で腹をフラフープでもするかのようにゆらゆらくねらせている。；起きているのはわかっているのだが、まだゆらゆらと夢の中にいるみたいだ。；ゆらゆらと立つ陽炎は、この光景を一層効果あらしめているような気がする。；こうして立っていても、上体がゆらゆらと揺れているのが、わかるほどだ。；ゆらゆらして遠近がわからなかった風景が次第に所を定めて来た。</t>
        </is>
      </c>
      <c r="J8617">
        <f>HYPERLINK("https://www.weblio.jp/content/ゆらゆら", "词义详情")</f>
        <v/>
      </c>
      <c r="K8617">
        <f>HYPERLINK("https://yourei.jp/ゆらゆら", "查看例句")</f>
        <v/>
      </c>
    </row>
    <row r="8618">
      <c r="A8618" t="inlineStr">
        <is>
          <t>緩い</t>
        </is>
      </c>
      <c r="B8618" t="inlineStr">
        <is>
          <t>成功</t>
        </is>
      </c>
      <c r="C8618" t="inlineStr">
        <is>
          <t>読み方：ぬるい
［形］［文］ぬる・し［ク］
１適温よりも低い、または高い。十分な熱さや冷たさがない。なまあたたかい。「風呂が—・い」「—・いビール」
２（「緩い」とも書く）
㋐きびしくない。てぬるい。「若手のきたえ方が—・い」
㋑動きがおそい。のろい。
「春の水が…のたりのたりと—・く揺(うご)いている」〈漱石・草枕〉
３てきぱきしない。鈍い。
「いと—・きこと多かるを」〈源・若菜下〉
４愛情が薄い。熱心でない。
「うちうちの御志—・きやうにはありけれ」〈源・若菜上〉
[派生]ぬるさ［名］</t>
        </is>
      </c>
      <c r="D8618" t="inlineStr">
        <is>
          <t>緩い傾斜(4%)；緩いカーブ(4%)；緩い勾配(3%)；緩いため(3%)；緩い斜面(2%)</t>
        </is>
      </c>
      <c r="E8618" t="inlineStr">
        <is>
          <t>ソフト；甘い；柔らかい；緩やか；滑らか</t>
        </is>
      </c>
      <c r="F8618" t="inlineStr">
        <is>
          <t>比較的緩い；非常に緩い；緩い国；ごく緩い；緩いペース</t>
        </is>
      </c>
      <c r="H8618" t="n">
        <v>29</v>
      </c>
      <c r="I8618" t="inlineStr">
        <is>
          <t>暴力および戦争への批判は教会になる緩いグループの形成の要因だった。；目的の部屋は、緩い弧を描く通路を三十メートルほど進んだ先にあった。；鳴子峡の左岸の崖上は緩斜面が広がっており、街道はここに通じていた。；緩降下時ではあったが音速を超えることが可能な唯一の水上機であった。；若い個体はおそらく身を守るため、緩く大きな群れを作ることが知られる。；集落は氷期に形成されたモレーン地形南斜面の緩い勾配に位置している。；兄弟ではない、兄弟では紐が緩るすぎます、良人でなくてはなりません。；改札口はなく、道路から緩い坂を上って線路の南にあるホームに上がった。；郡境にある山々の南斜面にあり、その緩斜面や谷筋に集落や田畑がある。；緩と急が彼女の体で同時に起こり、そして、死が踊るように跳ね回った。；極めて緩くうねをうっているこの平地に幾つかの小さい字があります。；傾きが緩い場合は光ファイバーが十分な損失特性を持っているといえる。；緩傾斜式の構造は、それほど波のエネルギーが強くない場合に用いられる。；それから後は全く何の目的もなしになお緩漫な歩行を約十五分ばかり続けた。；まずはナイフを点検し、刃こぼれや柄が緩くなっていないかを確認する。；おれのいる周囲が緩かに揺れているので、場所は舟の中だと云うことが分かった。；その後も黒は優勢に進めたが、徐々に緩着が出て、終盤で白が逆転した。；物に遇つて一歩を緩くすることをもなさず、一歩を急にすることをもなさない。；長いこと教会と取引をしていれば、荷物の検査も緩くなるだろう。；油にて揚げる時最初は火を弱くして緩々揚げ後ち火を強くして卸すべし。；その部分だけが20度ほどの緩斜面になっていて、10mほどの幅がある。；「何のために」と松本はほとんどいつものような緩い口調で聞き返した。；さきほどから背筋の方をまた痙攣の兆候が緩く流れてゐるのが感じられた。；そのときは三人ともに手を緩く浮かべ、蓋を離るること五分ほどとす。；全体的に中・緩斜面が多く、小さな丘陵地に複数のコースを配している。；マリの結婚に関する法律は緩く、児童婚が一般的とされている面を持つ。；船は港を出やうとして、やるせない程遅鈍な緩さに半廻転を試みてゐた。；長い髪を後ろで緩く括った姿は、生まれる時代を間違えたとしか思えない。；緩終鎖がどんな夢を送りつけるか、たとえその使用者でも関与は出来ない。</t>
        </is>
      </c>
      <c r="J8618">
        <f>HYPERLINK("https://www.weblio.jp/content/緩い", "词义详情")</f>
        <v/>
      </c>
      <c r="K8618">
        <f>HYPERLINK("https://yourei.jp/緩い", "查看例句")</f>
        <v/>
      </c>
    </row>
    <row r="8619">
      <c r="A8619" t="inlineStr">
        <is>
          <t>揺るがす</t>
        </is>
      </c>
      <c r="B8619" t="inlineStr">
        <is>
          <t>成功</t>
        </is>
      </c>
      <c r="C8619" t="inlineStr">
        <is>
          <t>読み方：ゆるがす
［動サ五（四）］揺り動かす。ゆさぶる。震動させる。「大地を—・す大噴火」「全世界を—・した大事件」</t>
        </is>
      </c>
      <c r="D8619" t="inlineStr">
        <is>
          <t>揺るがす大スキャンダル；揺るがす大問題；揺るがすような事態；揺るがす大反乱；揺るがす大きな</t>
        </is>
      </c>
      <c r="E8619" t="inlineStr">
        <is>
          <t>刺激；揺れる；震える；震動；ガタガタ</t>
        </is>
      </c>
      <c r="H8619" t="n">
        <v>29</v>
      </c>
      <c r="I8619" t="inlineStr">
        <is>
          <t>女王の行動が国制を揺るがすものであったかどうかは意見が分かれている。；人間の魂そのものの平穏を揺るがす雰囲気を、この青年は身につけていた。；それは王の自信を揺るがし、自分が持っている権力さえも頼りなく思える。；そこでアメリカ自体を揺るがす暴力事件の思想みたいなものがあって。；誰が何を言っても彼の決意を揺るがすことはできそうにない。；あと五年もすれば、この美貌は一国を揺るがすほどのものになるに違いない。；しかし同社では経営基盤を揺るがしかねない2つの課題を抱えていた。；背後にやや遅れて実体化した五匹も、次々と巨体を揺るがして腰を上げる。；現地でチームは人類の未来を揺るがしかねない生死の狭間に置かれる。；国事を揺るがすほどじゃない問題に頭を悩ますのはなかなか楽しいことよ。；これが後に西晋の根幹を揺るがした八王の乱の始まりのきっかけである。；これは国家存続を揺るがす大きな問題とタイ政府は認識した。；リプレイの背後で行われていた世界を揺るがす戦いが今描かれる。；言葉にならない声の集積が、今度は教室を揺るがすほどの大音量となって。；その判断力を揺るがされたら、見えるものはたとえ味方でも敵と想定するしかない。；それはナタリアの安否がどうであれ、揺るがしようのない事実だったのだ。；それは軒轅の存在自体を揺るがしかねない意味を持っていたからだ。；一連の大ニュースが日本を揺るがすことになる直前のことだった。；もしそれが真実であるならは、国そのものを揺るがしかねない一大醜聞だ。；最も大きく村を揺るがしたニュースは、例の爆弾犯が逮捕されたことだった。；そしてアメリカで中華民国の正統性を揺るがす深刻な動きが始まった。；獣の咆哮が夜空を揺るがしたと思うと、美希をくわえた牙の力が抜けた。；人の人生を揺るがした記事がどれなのか、分からないとでも?；代わって大地を揺るがす戦車のエンジン音を合図に戦闘が始まった。；反絵は毛の生えた逞しいその臑で霧を揺るがしながら石窖の前へ馳けて来た。；緊張が充満した病室の空気を、第三の声が揺るがしたのは、そのときだった。；激発しそうな感情が抑えきれなくなると、身を揺るがすのである。；轟音が空気を震わし、突きあげるような衝撃が本部ビルを揺るがした。；いかなるものの復活であろうと、この若者の冷厳さを揺るがすことはできないのだ。</t>
        </is>
      </c>
      <c r="J8619">
        <f>HYPERLINK("https://www.weblio.jp/content/揺るがす", "词义详情")</f>
        <v/>
      </c>
      <c r="K8619">
        <f>HYPERLINK("https://yourei.jp/揺るがす", "查看例句")</f>
        <v/>
      </c>
    </row>
    <row r="8620">
      <c r="A8620" t="inlineStr">
        <is>
          <t>許す</t>
        </is>
      </c>
      <c r="B8620" t="inlineStr">
        <is>
          <t>成功</t>
        </is>
      </c>
      <c r="C8620" t="inlineStr">
        <is>
          <t>読み方：ゆるす
［動サ五（四）］《「緩(ゆる)」「緩(ゆる)い」と同語源》
１（「聴す」とも書く）不都合なことがないとして、そうすることを認める。希望や要求などを聞き入れる。「外出が—・される」「営業を—・す」
２（「赦す」とも書く）過失や失敗などを責めないでおく。とがめないことにする。「あやまちを—・す」
３（「赦す」とも書く）義務や負担などを引き受けなくて済むようにする。免除する。「税を—・す」「兵役を—・す」
４相手がしたいようにさせる。まかせる。「追加点を—・す」「わがままを—・す」「肌を—・す」
５そうするだけの自由を認める。ある物事を可能にする。「楽観は—・されない」「時間が—・せば」「事情の—・すかぎり」
６警戒や緊張状態などをゆるめる。うちとける。「気を—・す」「心を—・した友」
７高い評価を与える。世間が認める。「自他ともに—・すその道の大家」
８引き張ったものをゆるめる。
「猫の綱—・しつれば」〈源・若菜上〉
９捕らえたものを逃がす。
「つととらへて、さらに—・し聞こえず」〈源・紅葉賀〉
[可能]ゆるせる
[下接句]気を許す・葷酒(くんしゅ)山門に入るを許さず・心を許す・自他共に許す・仙籍を許す・肌を許す</t>
        </is>
      </c>
      <c r="D8620" t="inlineStr">
        <is>
          <t>許すべから(3%)；許すなら；許すべき；許すまい；許すまじ</t>
        </is>
      </c>
      <c r="E8620" t="inlineStr">
        <is>
          <t>置く；与える；聞く；許可；解放</t>
        </is>
      </c>
      <c r="F8620" t="inlineStr">
        <is>
          <t>決して許す；自他共に許す；断じて許す；許す苦しい展開；許すまじき</t>
        </is>
      </c>
      <c r="H8620" t="n">
        <v>29</v>
      </c>
      <c r="I8620" t="inlineStr">
        <is>
          <t>しかし三座制の手前もあり、彼らすべてにこれを許すわけにはいかない。；ますは性格の厳しい人で自由に友人を作る事も遊ぶ事も許されなかった。；特に、実際なら生命に関わるような失敗をしても許される点は重要である。；彼女は彼がただ一人でベッドに入って行くことを許そうとしなかった。；これはダグが妻から外出を許されていたのが金曜の夜だったからである。；ただし、艦齢20年以上に達した艦は条約の範囲で代艦建造が許された。；当事者の婚姻前の氏とは関係のない第三者の氏とすることは許されない。；時間の許す限り行われ、2チームのうち総合得点の高い方が勝利となる。；重盛は天皇の乳父の立場にあり、その行為は許されるものではなかった。；列車は、信号機が進行を現示するまで閉塞区間に入ることを許されない。；ウィルソンは会議を公開し、会議内容の自由な報道を許すよう主張した。；また、業として行うことのみが禁止されている行為を許されるものもある。；当初は兵士の降伏を許さず、投降した兵を皆殺しにして見せしめとした。；しかし外出することが許されなかったためこの食料に頼るしかなかった。；しかし、息子のそうした文学への傾倒を父フリードリヒは許さなかった。；当時は、許された者にのみ、口頭でその情報が伝えられていたようである。；しかし彼らは許されるべきでしょう、彼らはよく知らないからです。；後に結婚が許される際に、妻の母から手渡された手紙をお守りにしている。；多喜との結婚を許されなかったため、駆け落ち同然で江戸に出たという。；夕食がすんでからも、コニーが部屋に引きとるのを許そうとしなかった。；彼は大納言さまに罪なしとも、この右陣を許そうとも思ってはいない。；兼ねてよりこの銃手が弾を込める間に時間を取られて接近を許すことが多い。；しばしば正のスカラー倍のみを許すように定義を制限することもある。；そればかりか凍死したユダヤ人を彼らが焼却処分することも許さなかった。；「柱」は自分で死ぬこともこの世界の民に討たれることも許されないこと。；だが、その後も数年は尊氏との対面は許されずに認知されていなかった。；基本的に敵の数が多い状態で相手の先制を許すと味方に甚大な被害が出る。；自由に絵を描くことが許されない中で、龍子は作品を発表し続けた。；戦闘の終了後、カミルスは降伏してきた非武装の人々を許すように命じた。</t>
        </is>
      </c>
      <c r="J8620">
        <f>HYPERLINK("https://www.weblio.jp/content/許す", "词义详情")</f>
        <v/>
      </c>
      <c r="K8620">
        <f>HYPERLINK("https://yourei.jp/許す", "查看例句")</f>
        <v/>
      </c>
    </row>
    <row r="8621">
      <c r="A8621" t="inlineStr">
        <is>
          <t>緩む</t>
        </is>
      </c>
      <c r="B8621" t="inlineStr">
        <is>
          <t>成功</t>
        </is>
      </c>
      <c r="C8621" t="inlineStr">
        <is>
          <t>読み方：ゆるむ
［動マ五（四）］
１ぴんと張ったものがたるむ。締めぐあいが弱くなる。ゆるくなる。「ねじが—・む」「ひもが—・む」
２緊張がほぐれる。油断する。「気が—・む」
３厳しかった状態・程度がゆるやかになる。「寒さが—・む」「取り締まりが—・む」
４固いものがやわらかくなる。表情のかたさがとれる。「氷が—・む」「頰が—・む」
５速度などが減ずる。「スピードが—・む」
６取引で、相場が少し下がる。「選挙を控え、市況は—・んでいる」
［動マ下二］「ゆるめる」の文語形。</t>
        </is>
      </c>
      <c r="D8621" t="inlineStr">
        <is>
          <t>緩むことなく</t>
        </is>
      </c>
      <c r="E8621" t="inlineStr">
        <is>
          <t>弛緩；解ける；衰える；静まる；弱まる</t>
        </is>
      </c>
      <c r="H8621" t="n">
        <v>29</v>
      </c>
      <c r="I8621" t="inlineStr">
        <is>
          <t>しかし私がその場所を指定したことで、彼の警戒心は目に見えて緩んだ。；一巻の時は頑張って出さないようにしてたんだけど、気が緩むとこれだ!；昔は鬼教官だったのかもしれないと思うと、こんな事態なのに頬が緩む。；緩んだ私の何かから、いろんなものが吹きこぼれてきているのだと思う。；一端が緩むと、巻きつけられた白い布全体が硬さを失ったようになった。；かえって表情を緩ませながら、安堵の笑みさえ浮かべそうな勢いだった。；すぐに銃口をかまえ直し、少年は緩む気配のない警戒の目を向けてきた。；少しだけ口許が緩んでいたので、たぶん苦笑しながら言ったのだと思う。；それほど心配してくれていたのかと思うと、佐倉の頬は思わず緩んだ。；寒さで乾ききって毛穴をしっかりと閉じた皮膚がほっと緩むのがわかる。；規制や規則が緩むことは、必ずしも社会にとってよいことではないと言える。；自分の顔がだらしない笑みで緩んでいるような気がしてしようがなかった。；顔を歪めたかと思うと、小林さんを締め上げていた腕の力が一気に緩む。；でも何だか一安心して気持ちが緩んでいたからつい後回しにしてしまって。；ロープの引きがわずかに緩むのを感じ、彼は右手で静かに引き始めた。；明治二十九年に入って後ち居士の腰痛は緩んだり激しくなったりした。；外の空気を吸った事で気が緩んだのか、自然と腰をおろして休憩した。；一局終えたからといって気が緩むようでは碁打ち衆の一員とはとてもいえない。；また士分外という身分に、追及の手の緩むであろうことも計算にあった。；改めて思い出してみると、懐かしさのあまり自然と口元が緩んでしまう。；男は、警戒の手が緩んだから、ここから出て行かれる、と言っているのだ。；じわじわと胸の奥に広がる嬉しさに、顔の筋肉がどんどんと緩んでいく。；なおオロチの封印が緩んでいる場合は症状が更に悪化するようである。；同じ年頃の機動隊員との世間話の中で、つい気が緩んだのかもしれない。；攻撃以外を選択すれば、基本的に敵の攻撃の手は緩むことが多い。；足許が緩むだけではなく、周辺の雪が融けると山に逃げ込まれてしまう。；ここまでしても、黒い塊の絶対的な硬度と圧力はまるで緩もうとしなかった。；建物を出て雨の街を歩いているうちに、張り詰めた気が緩んできた。；転校する喜びで気が緩んでいたのか、少年はまともに信じてしまった。</t>
        </is>
      </c>
      <c r="J8621">
        <f>HYPERLINK("https://www.weblio.jp/content/緩む", "词义详情")</f>
        <v/>
      </c>
      <c r="K8621">
        <f>HYPERLINK("https://yourei.jp/緩む", "查看例句")</f>
        <v/>
      </c>
    </row>
    <row r="8622">
      <c r="A8622" t="inlineStr">
        <is>
          <t>緩める</t>
        </is>
      </c>
      <c r="B8622" t="inlineStr">
        <is>
          <t>成功</t>
        </is>
      </c>
      <c r="C8622" t="inlineStr">
        <is>
          <t>読み方：ゆるめる
［動マ下一］［文］ゆる・む［マ下二］
１ゆるむようにする。ゆるくする。「帯を—・める」「ネクタイを—・める」
２油断する。「最後まで気を—・めるな」
３厳しさを次第になくする。ゆるやかにする。「取り締まりを—・める」「追及の手を—・める」
４固いものをやわらかくする。表情のかたさをほぐす。「口元を—・める」
５速度などを減ずる。「スピードを—・める」
６なだらかにする。「傾斜を—・める」</t>
        </is>
      </c>
      <c r="D8622" t="inlineStr">
        <is>
          <t>緩めることなく(7%)；緩める事なく</t>
        </is>
      </c>
      <c r="H8622" t="n">
        <v>29</v>
      </c>
      <c r="I8622" t="inlineStr">
        <is>
          <t>と私は歩調を緩めるでもなく、彼らにただぼんやりとした興味を向けた。；車は自動で走り続けるが、道を塞ぐ人々に反応してすぐに速度を緩める。；やがて彼は腕の力を緩めると、くるりと彼女の身体を後ろ向きにさせた。；男も同じように少し視線のチカラを緩めると、かるく頭を下げて笑った。；衣服の胸元を緩めることになるので、小さめの胸が半分ほど露わになる。；二人は自分たちの息が続く限り足を緩める事はしなかった。；だが、そんな日々の底で、ふと気を緩めると頭の中から声が聞こえる。；「そこでクレオパトラがどうしました」と抑えた女は再び手綱を緩める。；案の定、彼は自分の歩幅を緩めることもなく、構わずに先を進んでいる。；翼は足を緩めることなく、鬼との距離をここぞとばかりに突き放した。；反対投票の6割は被投票資格を緩めることに反対するものであった。；しかし他の車両はスピードを緩めることなく橋へと向かう。；けれども、気を緩めることができたのはほんの一瞬だけだった。；これから一番の正念場という場面で腹帯を緩めることは私にはできません。；自分がこんなふうに表情を緩めるのは何日ぶりだろうと思った。；しかし両広総督の英翰が禁を緩める方針をとったため、これを弾劾した。；この変更は現行の規則を緩めるだけなので、既存のコードを破壊することはない。；不安を感じた俺たちに、江波はふと表情を緩めると、深く頭を下げた。；そんな場合に気を緩めるはずがないじゃありませんか。；最後は手綱を緩める余裕で2着ユイノゴトクに2馬身差をつけ勝利した。；ようやくほっと息を吐き出し、鉈の柄を握りしめていた指の力を緩める。；しかし、雷王は、歩度を緩めることも振り返ることもせずに先を急いでいた。；要するに、父が家にいるときは、緊張を強いられ気を緩めることができないのだ。；ただし、州内の肥満率の増加を緩めるために教育と支援を続ける必要があることを強調した。；月が近づくと、精霊たちは人間が叩きつけられないようにスピードを緩める。；今だって気を緩めると邪念が入るし、的が見えないなんてしょっちゅうだし。；足を緩めるわけでもなく、女はおれの横を通りすぎた。；パラードが先頭に立ち、行進速度を緩めるために頻繁に声をかけた。；一旦切り出してしまえば、入須さんは言葉を緩めるような方ではありません。</t>
        </is>
      </c>
      <c r="J8622">
        <f>HYPERLINK("https://www.weblio.jp/content/緩める", "词义详情")</f>
        <v/>
      </c>
      <c r="K8622">
        <f>HYPERLINK("https://yourei.jp/緩める", "查看例句")</f>
        <v/>
      </c>
    </row>
    <row r="8623">
      <c r="A8623" t="inlineStr">
        <is>
          <t>緩やか</t>
        </is>
      </c>
      <c r="B8623" t="inlineStr">
        <is>
          <t>成功</t>
        </is>
      </c>
      <c r="C8623" t="inlineStr">
        <is>
          <t>読み方：ゆるやか
［形動］［文］［ナリ］
１締め方や張り方がきつくないさま。衣服などのゆったりしたさま。「—な着心地」「—に結ぶ」
２動きや勢いが激しくないさま。ゆっくりしたさま。「水車が—に回る」「—な流れ」
３なだらかなさま。角度のゆるいさま。「—な傾斜」
４規律などが厳しくないさま。寛大なさま。「—な規制」
[派生]ゆるやかさ［名］</t>
        </is>
      </c>
      <c r="D8623" t="inlineStr">
        <is>
          <t>緩やかなカーブ(2%)；緩やかな傾斜；緩やかな斜面；緩やかな河川；緩やかな丘陵</t>
        </is>
      </c>
      <c r="F8623" t="inlineStr">
        <is>
          <t>緩やかな国家連合；緩やかな連合体；緩やかな下り勾配；緩やかな下り坂；緩やかな流水域</t>
        </is>
      </c>
      <c r="H8623" t="n">
        <v>29</v>
      </c>
      <c r="I8623" t="inlineStr">
        <is>
          <t>この時点では緩やかな政治連合を形成していたと考えられている。；またイギリスの労働党の緩やかな社会主義も非英国的と見て嫌っていた。；メロンのある前頭部は若干膨らんでおり緩やかに前方へと傾斜している。；またホームと外部とは三段の短い階段と緩やかなスロープで結ばれている。；しかしそんな中でも研究する研究者はおり、研究は緩やかに進んだ。；この展開がひとしきり終わった後に、緩やかに再現部へと入っていく。；緩やかな審査基準が妥当する場合で、消極目的規制の場合に適用される。；坂は直線に設けられることが多いが、それ以外の場所にも緩やかだが存在している。；ホームの釜ノ鼻方が緩やかな坂となっており、駅への出入りにはこれを使う。；現在は緩やかな山の斜面に民家の石垣が残され、ユキノシタが見られる。；これは北上川の河川勾配が他の河川に比べ緩やかな事が起因している。；緩やかな季節、時間の流れこそあるものの、基本的に1話完結型である。；中心部の旅館に比べると警察の監視が比較的緩やかだったためだといわれる。；島の東側が高く西側が低くなっており、西側の傾斜はやや緩やかになっている。；ホームの内船方の端は緩やかな坂となっており、これを下ると駅の外に出る。；採炭地は小石市街地の北西に位置し、線路は緩やかな勾配が続いていた。；止水環境を好み、フロリダ半島の湖沼や流れの緩やかな河川に生息する。；このグループは革命的ではなく、むしろ緩やかな変革を志向していた。；当初は他大会と同様の要件で適用されていたが、現在は適用が緩やかにされている。；生後一ヶ月を過ぎた頃になると緩やかな動きがあるものが好ましい。；平坦部は緩やかな西斜面に幾筋もの谷と丘が形成され古くから集落が点在している。；山岳の斜面にある緩やかな斜面はその形状から山麓緩斜面と呼ばれる。；これはその緩やかな纏まりの故に、国家とは呼び得ないものであった。；これは社会の変化のスピードが緩やかで、未来が予測可能な時代に有効なものであった。；その他の産業も緩やかに成長し20世紀にはロシア第一の産業都市であった。；採掘場の南には小さな山があり、南から北に向かって街は緩やかな坂の上に広がる。；だが、二人の間には少しずつ、緩やかに打ち解けた空気が生まれ始めていた。；緩やかな曲の開始は「不思議な街」の印象を反映したものである。；そこは勾配が一般の地方道より心持ち緩やかで鉄道時代の雰囲気を伝えている。</t>
        </is>
      </c>
      <c r="J8623">
        <f>HYPERLINK("https://www.weblio.jp/content/緩やか", "词义详情")</f>
        <v/>
      </c>
      <c r="K8623">
        <f>HYPERLINK("https://yourei.jp/緩やか", "查看例句")</f>
        <v/>
      </c>
    </row>
    <row r="8624">
      <c r="A8624" t="inlineStr">
        <is>
          <t>揺れる</t>
        </is>
      </c>
      <c r="B8624" t="inlineStr">
        <is>
          <t>成功</t>
        </is>
      </c>
      <c r="C8624" t="inlineStr">
        <is>
          <t>読み方：ゆれる
［動ラ下一］［文］ゆ・る［ラ下二］
１上下・前後・左右などに動く。「悪路で車が—・れる」
２不安定な状態になる。「政局が—・れる」</t>
        </is>
      </c>
      <c r="D8624" t="inlineStr">
        <is>
          <t>揺れる小さな；揺れる長い；揺れる黒い；揺れるたびごと</t>
        </is>
      </c>
      <c r="E8624" t="inlineStr">
        <is>
          <t>動揺；震える；ふらふら；震動；ガタガタ</t>
        </is>
      </c>
      <c r="F8624" t="inlineStr">
        <is>
          <t>激しく揺れる；ゆらゆら揺れる；ゆらゆらと揺れる；ぐらぐら揺れる；ぐらぐらと揺れる</t>
        </is>
      </c>
      <c r="G8624" t="inlineStr">
        <is>
          <t>揺れる大地</t>
        </is>
      </c>
      <c r="H8624" t="n">
        <v>29</v>
      </c>
      <c r="I8624" t="inlineStr">
        <is>
          <t>ゆっくりと上下に揺れるさまは、大きな頭がうなずいているかのようだ。；ここの住民達は何かを作り出し、大きな音がして混乱して地球が揺れる。；左右に揺れる彼の肩の動きに童児のような心のときめきが現われていた。；そう思っていたはずなのに、どうしてこんなにも気持ちが揺れるのだろう。；ちらちらと揺れる行燈の灯を見つめて、彼は自分の過去を静かに考えた。；注意深い者が見れば、彼の身体がわずかに左に揺れるのがわかっただろう。；ついに見出したのが、風に頼りなく揺れる、たった一輪の黒百合だった。；犬がフンと鼻を鳴らすたびに、体の下で絨毯が揺れるのが感じられます。；そして、その音が強くなる度に、静かな山全体が揺れるように感じた。；だがその心中は、故郷に対する捨て切れぬ思いと将来への不安に揺れる。；すぐ近くで膨張するガスのために船体が激しく揺れる時ですらそうだった。；眼に認められるくらい揺れるというのが、だいたい一度くらいであろう。；小説では船が揺れれば揺れるほど女主人公は嬉しがることになっている。；肩先で揺れる連姫の白い顔が、蝕のうす闇の中でさえはっきりと見えた。；そして車の中の一人の女はしかと両側を握って身体の揺れるのを防いでいる。；長く延びた大蔵省の建物の前では、ガラスの揺れる音が無限につづいた。；このような土地は地震の発現する所であり、また特に強く揺れる所でもある。；揺れる列車の中で両手に駅弁を抱えたオモジ医師の姿をワシは覚えていた。；足音と人声を包みこんだ霧の中に、ランタンの光が揺れるのが見えた。；外れた鎖のさきが、大きく揺れる時彼の頭を撃ったものに相違ない。；闇の中で揺れる焚き火を眺めていると、かすかな歌声が聞こえてきた。；赤い糸は少し余裕を持たせ、糸花がぶらぶら揺れるのが良いとされた。；家が潰れる位ひどく揺れるので、我々は海に近い庭に出て坐つてゐた。；思春期を迎えた少女の揺れる心の動きを優しいタッチで描いた作品である。；ロシア帝国が2月革命に揺れる最中、島にはロシア艦隊が宿営していた。；更に潜水艦内部は揺れるので、あたかも海の中にいるかのような体験ができた。；記憶によれば、一本ではなく、もう一本、寄り添って揺れる椎茸がいる。；それは頼りなく揺れると、黒煙の尾を残して街外れの方へと降下していく。；大揺れに揺れる凄いドライブになり、とうとう川の流れの中に入って行く。</t>
        </is>
      </c>
      <c r="J8624">
        <f>HYPERLINK("https://www.weblio.jp/content/揺れる", "词义详情")</f>
        <v/>
      </c>
      <c r="K8624">
        <f>HYPERLINK("https://yourei.jp/揺れる", "查看例句")</f>
        <v/>
      </c>
    </row>
    <row r="8625">
      <c r="A8625" t="inlineStr">
        <is>
          <t>世</t>
        </is>
      </c>
      <c r="B8625" t="inlineStr">
        <is>
          <t>成功</t>
        </is>
      </c>
      <c r="C8625" t="inlineStr">
        <is>
          <t>読み方：せ
⇒せい</t>
        </is>
      </c>
      <c r="D8625" t="inlineStr">
        <is>
          <t>世住職；世孫；世号；世法主；世王</t>
        </is>
      </c>
      <c r="E8625" t="inlineStr">
        <is>
          <t>時代；世紀；劃期</t>
        </is>
      </c>
      <c r="F8625" t="inlineStr">
        <is>
          <t>三世；一世；九世；六世；四世</t>
        </is>
      </c>
      <c r="G8625" t="inlineStr">
        <is>
          <t>世間；世話；世の中；世界中；世代</t>
        </is>
      </c>
      <c r="H8625" t="n">
        <v>29</v>
      </c>
      <c r="I8625" t="inlineStr">
        <is>
          <t>これは19世紀以前の世界の他の国々では他に例がない平和の世である。；それによると、世の終わりのしるしは、以下のような現象とされている。；だがかれらもエレッサール王が世を去るころにはみな渡海してしまった。；たとえば、次の世に犬に生まれる者の中有はすでに犬の形をしている。；そのあとを追うように兄も世を去るとついに時計は止まってしまった。；その後様々なデザインが考案され後装砲が次々に世に出されることとなる。；我が子孫が世を取ることがあれば、それは全て我が力によるものである。；このため特に移民一世では、国籍の離脱・変更をしなかった者も多かった。；秀吉の晩年、秀次は豊臣家の二世世代では唯一の成人した親族であった。；また、それは過去・現在・未来の三世にわたっているとされる。；十六世名人でかつ日本将棋連盟会長であったこともあり、著書は大変多い。；なお、結局このゲームは制作中止となり、世に出ることはなかった。；下賜された人物とその子孫が権威の象徴として「伝世」したともみられる。；転じて、日本では「世の終わり」を指すものとされることが度々ある。；さらに自民党内での佐藤の政敵が相次いで世を去ったという事情がある。；自動車の軍事的重要性を世に知らしめたエピソードのひとつである。；思い残すこともなく患うこともなく心静かに世を去ったのである。；滝が世に出した器楽曲はピアノのためのメヌエットと憾みの2つであった。；ジョサイアの死後、その息子であるジョサイア二世が経営を引き継いだ。；このことが基で、虞翻の名は世に知られるようになったという。；代数は家元制および推挙制の数字を引き継ぎ、十四世からとなっている。；後継の国王にはジェームズがジェームズ2世および7世として即位した。；ただし、性的行為を伴わない単純な勃起を示す映画も世にあることはある。；小徐本・大徐本が再び世に出るのは清代に訓詁学が盛んになってからである。；それはすぐに次のアルバム、『リボルバー』として世に出ることとなる。；現存する伝世品の日本刀の中では古例の1つであり、また刃長の点では最大の作品とされる。；会社の名前は1954年に世を去った母親にちなんで付けられた。；当時聖霊は世の終わりに神から与えられると信じられていた救いの霊と考えられていた。；謡とは、八世観世銕之亟によれば「七五調を基本にした長い詩」である。</t>
        </is>
      </c>
      <c r="J8625">
        <f>HYPERLINK("https://www.weblio.jp/content/世", "词义详情")</f>
        <v/>
      </c>
      <c r="K8625">
        <f>HYPERLINK("https://yourei.jp/世", "查看例句")</f>
        <v/>
      </c>
    </row>
    <row r="8626">
      <c r="A8626" t="inlineStr">
        <is>
          <t>夜明け</t>
        </is>
      </c>
      <c r="B8626" t="inlineStr">
        <is>
          <t>成功</t>
        </is>
      </c>
      <c r="C8626" t="inlineStr">
        <is>
          <t>読み方：よあけ
１夜が明けること。また、その時分。明け方。あかつき。「—に出発する」
２日の出前、太陽の中心が地平線下の7度21分40秒に来た時刻。明け六つ。→日暮れ
３新しい時代や文化、芸術などの始まり。「近代文学の—」</t>
        </is>
      </c>
      <c r="D8626" t="inlineStr">
        <is>
          <t>夜明け近く(3%)；夜明けごろ(2%)；夜明け頃；夜明けちかく；夜明けがた</t>
        </is>
      </c>
      <c r="E8626" t="inlineStr">
        <is>
          <t>明け；暁；明け方；日の出；曙</t>
        </is>
      </c>
      <c r="F8626" t="inlineStr">
        <is>
          <t>薄暗い夜明け；翌朝夜明け；青白い夜明け；かすかな夜明け；赤い夜明け</t>
        </is>
      </c>
      <c r="G8626" t="inlineStr">
        <is>
          <t>夜明けまで；夜明け方；夜明けまえ；夜明けのスキャット；夜明けの口笛吹き</t>
        </is>
      </c>
      <c r="H8626" t="n">
        <v>29</v>
      </c>
      <c r="I8626" t="inlineStr">
        <is>
          <t>翌朝には自身は死んでいるだろうと思ったが、夜明けにまだ生きていた。；單四嫂子が夜明けを待つのはこの際他人のような楽なものではなかった。；二人は河っぷちで腰をおろし問題を話し合って夜明けを待つことにした。；夜明けの岩の景観は、確かに早起きをして見るだけの価値が充分あった。；つまり夜が夜明けになって昼間になって来るように、だんだん明るくなる。；とにかくあしたの夜明けにはしっかり気を張っていなければならなかった。；何と云う村であったかそこで食事をして、夜明けになって出発した。；夜明けには敵が出てきて、通常の戦いが一日中続いたが勝敗はつかなかった。；その背後は紫の夜明けを迎え、見知らぬ星座の星が暗い空に光っていた。；女王は十四日に薨去したのであって、これは十五日の夜明けのことである。；そしてまだトヴァーの城の近くまで行かないうちに夜明けになってしまった。；夜明けの到来時にまだ半分に分かれたままでいると彼女は滅ぼされる。；通常は砂や泥の中に棲み、夜明けや夕方などの薄暗い時間帯に活動する。；花が咲くのは夜の間のみで、夜明けになると花は地面に落ちていく。；二日の夜明けには、火先は一粁ほどのところへまで寄せてきました。；あの悲しい日の夜明けにいっしょにした約束を、忘れてはいなかった。；乗客の携帯電話で全人類が夜明けとともに絶滅しつつあることがわかる。；私が夜明けに行ってみたら、役者よりも見物人の方が疲れきっていた。；夜明けの光は、彼らの痛むべき横顔に黒い影を添えてきわ立たしていた。；義臣は2万の兵を率いて、夜間に西陘を出て、夜明けに数十里を進んだ。；夜あけ前から降ったり、やんだりしていた雨がいよいよ本降りになった。；夜あけ前の、氷点下何度という風は、雪にまみれた二人を更に白くした。；夜明けが近づくと彼は室外へ出て、広い庭や野菜畑のあひだを逍遥した。；こんな光景がロンドンに出現したのは第二日目の夜明けであった。；前方の空にはすでに、夜明けの近いことを告げる灰色の矢が幾条か走っている。；私たちは次の日の朝早く、夜あけの空が灰色のうちに出発した。；夜明けに近い時刻の明るい月光が外にあって、ふと人影を老女は見た。；もう夜明けの時間をよほど過ぎていたが、空はまだまっ暗であった。；エアーズの師団がシェリダン軍の所に到着したのは翌日の夜明け時だった。</t>
        </is>
      </c>
      <c r="J8626">
        <f>HYPERLINK("https://www.weblio.jp/content/夜明け", "词义详情")</f>
        <v/>
      </c>
      <c r="K8626">
        <f>HYPERLINK("https://yourei.jp/夜明け", "查看例句")</f>
        <v/>
      </c>
    </row>
    <row r="8627">
      <c r="A8627" t="inlineStr">
        <is>
          <t>良い</t>
        </is>
      </c>
      <c r="B8627" t="inlineStr">
        <is>
          <t>成功</t>
        </is>
      </c>
      <c r="C8627" t="inlineStr">
        <is>
          <t>読み方：いい
［形］（「よい」のくだけた言い方。ふつうは終止形・連体形だけが用いられる）
１「よい」に同じ。「器量が—・い」「—・いようにしてくれ」「もっと勉強すれば—・いのに」「もう—・いかい、もう—・いよ」
２関係が良好である。特に、男女が相思相愛の仲である。「あの二人は—・い仲だ」「—・い人ができた」
３
㋐（反語的に用いて）見苦しい。みっともない。「—・い気になる」「—・い恥さらしだ」
㋑十分過ぎる。その必要がない。「酒はもう—・い」
[補説] 「よい」の終止形・連体形だけが、類義・類音の「ええ（良）」の影響を受けて「いい」となった語。「いくない」「いかった」なども地方によっては使われるが、あまり一般的でない。
[用法]いい・よい——「日当たりがいい（よい）」「都合がいい（よい）」「気分がいい（よい）」、また「いい（よい）評判」「いい（よい）成績」などでは相通じて用いられるが、話し言葉では「いい」のほうが普通である。◇「いい気味だ」「いいざまだ」「いい年をして」「いい迷惑だ」「いい御身分だ」のような皮肉をこめた言い方、相手を非難する言い方では「いい」を使い、「よい」はあまり使わない。「よい子」は正面からの肯定的評価であるが、「いい子になる」では皮肉な意味がこめられる。→いいこ（好い子）◇類似の語に「よろしい」があり、「評判がよろしい（いい・よい）」「成績がよろしい（いい・よい）」など、「いい」「よい」と同じように使うが、「よろしい成績」「よろしい日当たり」などとは普通はいわない。
[下接句]気がいい・気味がいい・調子がいい・人がいい・間(ま)がいい・虫がいい・要領がいい</t>
        </is>
      </c>
      <c r="D8627" t="inlineStr">
        <is>
          <t>良いもの(3%)；良い場所；良いところ；良いだろ；良い結果</t>
        </is>
      </c>
      <c r="E8627" t="inlineStr">
        <is>
          <t>いい；よい；もっとも；美しい；妙</t>
        </is>
      </c>
      <c r="F8627" t="inlineStr">
        <is>
          <t>より良い；仲が良い；すれば良い；ほうが良い；たら良い</t>
        </is>
      </c>
      <c r="G8627" t="inlineStr">
        <is>
          <t>良い部分；良い奴；良い試合；良い線；良い子の友</t>
        </is>
      </c>
      <c r="H8627" t="n">
        <v>29</v>
      </c>
      <c r="I8627" t="inlineStr">
        <is>
          <t>いずれかの要素ばかり気にして、他の要素を無視するようでは良くない。；ソフトウェアがより良い構造をもつための様々な方法論が研究されている。；であるから漢初の法律は秦の法律を基本としていると考えて良いだろう。；ここでは万人により安価でより良い住宅を提供することが目標とされた。；自分には想像もつかない理由があるのだろうと解釈し、まあ良しとする。；社交ダンスも盛んで、そのための音楽も良く演奏されていたようである。；音抜けが良く印象に残りやすいことから多用されたことが見受けられる。；一般の人々は、ドイツ語を学ぶためのより良い環境を頻繁に要求した。；イギリスの場合、「」の方が人を前に置く表現よりも一般に都合が良い。；吉村などが提唱する一説によると、彼女との夫婦仲は良かったとされる。；成績優秀であるからといっても必ず良い産駒が生まれるとは限らない。；表家業は腕が良いとそれなりに評判のようで、よく治療客が訪れている。；かといって家庭を疎かにすることもなく、常に良き母であり続けている。；このことからも元々この一帯をさした使われ方をされていたことが良く分かる。；アーノルド自身足の代わりに胸を撃たれていたら良かったと言っていた。；私にも、あのときレイテに行ったほうが良かったと考えることはできる。；さつさと王の処へ行け、覚悟は出来てゐる、良し、今夜中に行動開始だ。；起きて働いとるから良うならんやらうとたねちやんも云うとつたけれど。；このとき、地代はその土地の質が良ければ良いほど高くなるはずである。；これら演武用の武器は房や動きを良く見せる効果をもたせたものが多い。；衝動が行わせようとする事をすれば気分が良くなり、しなければ悪くなる。；前作での評判が良かったため本作以降の作品でも同様に採用された。；中国と日本の利害は一致するように見えるが良いニュースは聞こえて来ない。；そのようなことで自分の行動を制限されることを孟子は良しとしない。；しかし僕のために説明の労をとり、空からの観察の良き指南役であった。；そしてこれらの値は、人間の存在のために都合良く出来過ぎている。；スッポンタケ城と仲が良いが、向こうは一時的に組んでいるだけである。；したがって、味噌を食事の一部にすることは非常に良いと考えられている。；それらは皆、人間シューベルトの良き性格の反映と見るべきものである。</t>
        </is>
      </c>
      <c r="J8627">
        <f>HYPERLINK("https://www.weblio.jp/content/良い", "词义详情")</f>
        <v/>
      </c>
      <c r="K8627">
        <f>HYPERLINK("https://yourei.jp/良い", "查看例句")</f>
        <v/>
      </c>
    </row>
    <row r="8628">
      <c r="A8628" t="inlineStr">
        <is>
          <t>用</t>
        </is>
      </c>
      <c r="B8628" t="inlineStr">
        <is>
          <t>成功</t>
        </is>
      </c>
      <c r="C8628" t="inlineStr">
        <is>
          <t>読み方：ゆう
仏語。働き。作用。受用(じゅゆう)。「体、相、—」</t>
        </is>
      </c>
      <c r="D8628" t="inlineStr">
        <is>
          <t>用ソフト；用車両；用扉；用エンジン；用ゲーム</t>
        </is>
      </c>
      <c r="E8628" t="inlineStr">
        <is>
          <t>目的；機能；役割；代；働き</t>
        </is>
      </c>
      <c r="F8628" t="inlineStr">
        <is>
          <t>客用；輸送用；自動車用；観賞用；戦闘用</t>
        </is>
      </c>
      <c r="G8628" t="inlineStr">
        <is>
          <t>用意；用いる；用語；用途；用事</t>
        </is>
      </c>
      <c r="H8628" t="n">
        <v>29</v>
      </c>
      <c r="I8628" t="inlineStr">
        <is>
          <t>これらの路線は鉱山を近くの輸送ポイントに接続する工業用であった。；エニックスから発売された最後のスーパーファミコン用ソフトとなった。；個人用のプリンターで印刷したものの場合、既にこの処理は行われている。；前者は中継用基地局の設置者以外の端末から利用される場合もあった。；教育用には独自に簡易ネットワークシステムまで構築して利用していた例もある。；これは20世紀後半になって開発された産業用モノレールに酷似していた。；営業用列車はさらに、下記のようにいくつかに区分されている。；アプレット実行時にはアプレット用のランタイム環境が用意されている。；サーバ用に使用される主なオペレーティングシステムには以下がある。；そのそれぞれについて、右投げ用・左投げ用・両投げ用が存在する。；左のカメラ端にあるのが測距用、カメラ中央部にあるのがフレーミング用。；そのため補修用ではゴムでコーティングしたボールが販売されている。；研究用プログラムの開発に使われる言語としては他に以下のようなものがあげられる。；家庭用、産業用問わず電子制御を必要とする製品において広く用いられている。；当初はデータ用として普及したが後にビデオ録画用にも普及した。；また自身同人活動用ブログでは金澤尚子とも仲が良い旨が公表されている。；初期の製品は変復調部を内蔵し、通信用インターフェースを備えている。；下記は主にパソコン用のパソコン通信向け機能を持った端末ソフトである。；この攻撃用プログラムhでは、変数xを宣言が宣言されているものとする。；この際使用したテープは市販のビデオ用テープと同じ規格の物を使用した。；Java開発用のIDEは様々な企業と任意団体から公開されている。；着脱可能なメディアを使用できる外部とのデータ交換用のディスクドライブ。；ハードウェアでエミュレートするものもあり、産業用に広く使われている。；子供が何らかの人物や職業になりきるごっこ遊び用の玩具も存在する。；展示用に特別に内部が見えるようにしたもの。；家庭用は手回しのものが多く、専用の円筒形の製氷皿で作った氷を用いる。；歩行者用には高さの異なる面を用意する、ということも行われるようになった。；特定の種類のデータ用に最適化された特殊モデルがある。；横穴式石室は、通路である羨道部と埋葬用の空間である玄室部をもつ。</t>
        </is>
      </c>
      <c r="J8628">
        <f>HYPERLINK("https://www.weblio.jp/content/用", "词义详情")</f>
        <v/>
      </c>
      <c r="K8628">
        <f>HYPERLINK("https://yourei.jp/用", "查看例句")</f>
        <v/>
      </c>
    </row>
    <row r="8629">
      <c r="A8629" t="inlineStr">
        <is>
          <t>酔う</t>
        </is>
      </c>
      <c r="B8629" t="inlineStr">
        <is>
          <t>成功</t>
        </is>
      </c>
      <c r="C8629" t="inlineStr">
        <is>
          <t>読み方：よう
［動ワ五（ハ四）］《「え（酔）う」の音変化》
１飲んだ酒のアルコール分が体中にまわり、正常な判断や行動がとれなくなったりする。「美酒に—・う」「—・った勢いでけんかを売る」
２乗り物に揺られたり、人込みの熱気に当てられたりして気分が悪くなる。「船に—・う」「人に—・う」
３そのことに心を奪われてうっとりする。また、自制心を失う。「成功に—・う」「妙技に—・う」「太平に—・う」
[可能]よえる</t>
        </is>
      </c>
      <c r="D8629" t="inlineStr">
        <is>
          <t>酔うてる；酔うとる</t>
        </is>
      </c>
      <c r="E8629" t="inlineStr">
        <is>
          <t>酔；酩酊；ほろ酔い；酔うこと；酔態</t>
        </is>
      </c>
      <c r="F8629" t="inlineStr">
        <is>
          <t>酔えば酔う；飲んで酔う；すこし酔う；快く酔う；ひどく酔う</t>
        </is>
      </c>
      <c r="H8629" t="n">
        <v>29</v>
      </c>
      <c r="I8629" t="inlineStr">
        <is>
          <t>子供心にも私は酒の酔いともう一つのものとをはっきりと区別していた。；いくつかの言い伝えでは酒に酔って階段から落ちて死んだと伝えている。；喬は自分も酒に酔ったときの経験は頭に上り、今は静かに歩くのだった。；人に酔う酒の飲み方をした時は、酒に酔わないものなのかもしれません。；昨夜の酒の酔いが頭の奥にまだ残っているようで、身体がふらふらする。；酔うはずのない酒を飲むことの腹立たしさに、我慢が限界を超えてくる。；さっきの酔いがだんだん発したと見えて、彼の頬はいよいよ熱って来た。；少し酒に酔っているという設定で、この役の難しいところだといわれる。；城介は奉公をしている関係で、酔いを殺して飲む術に長けていたからだ。；このことからか、一日中酒を飲み酔いが抜けない日々を送ることになる。；酒には酔えず、本を読んでも物語の世界に入っていくことができない。；そんなことで、酒の酔いの中に冷い穴があいて、どうにもならなかった。；私は私にああいう酔いを教えてくれた夫に感謝しなければならない。；酔うと眠ってしまうたちで、この時間までバーで眠っていたのである。；何やしらん、一目散に走ってきたら急に酔いがまわってきたみたいやな。；純粋なワインは酔うほど甘美であるが、我々の側の杯には、泥しかない。；夫のヴィッサリオンは常に酒に酔っており、しばしば妻と息子を叩いた。；古代ギリシャ人は、酔うためにワインを飲んだわけではないようである。；そのうちに魚は酔って寝たが、眼を醒してみると舟の中に帰っていた。；しかし、この時は単に酔ってあらわれただけで仕事にはならなかった。；彼の冷い血は、それを眺めてはじめて多少の酔いを感じうるのであろうか。；あの人、私は酔うと何をするかわかったものじゃないって思ってたんです。；三人のこらえにこらえた酔いが一時に爆発したとき三郎がまず口を切った。；すこしでも酔っているような気があると、墨はみんな散ってしまいます。；併し恭三は父が如何に酔っても全く我を忘れることはないと思って居た。；いかにして早く酔うかということが、彼の一大事であったのは当然だ。；恋人のジャスパーと馬鹿をやっては仲間達と酔って騒いで過ごしていた。；これも今しがた飲んだ一杯のコーヒーの酔いの効果であるかもしれない。；あの女性は酔うと気安くあんなことをする人だというだけかもしれないのだ。</t>
        </is>
      </c>
      <c r="J8629">
        <f>HYPERLINK("https://www.weblio.jp/content/酔う", "词义详情")</f>
        <v/>
      </c>
      <c r="K8629">
        <f>HYPERLINK("https://yourei.jp/酔う", "查看例句")</f>
        <v/>
      </c>
    </row>
    <row r="8630">
      <c r="A8630" t="inlineStr">
        <is>
          <t>洋～</t>
        </is>
      </c>
      <c r="B8630" t="inlineStr">
        <is>
          <t>成功</t>
        </is>
      </c>
      <c r="C8630" t="inlineStr">
        <is>
          <t>読み方：よう
［音］ヨウ（ヤウ）（呉）（漢）　［訓］なだ
［学習漢字］3年
１広く大きい海。「洋上／遠洋・海洋・外洋・極洋・大洋・渡洋・南洋・北洋・大西洋・太平洋」
２外国。世界の二大文化圏。「西洋・東洋」
３西洋のこと。「洋画・洋学・洋楽・洋行・洋裁・洋紙・洋書・洋食・洋装・洋品・洋風・洋服・洋菓子／和洋」
４大きく広がるさま。「洋洋／茫洋(ぼうよう)」
［名のり］うみ・きよ・なみ・ひろ・ひろし・み・わたる</t>
        </is>
      </c>
      <c r="D8630" t="inlineStr">
        <is>
          <t>広；洋；弘；浩</t>
        </is>
      </c>
      <c r="H8630" t="n">
        <v>29</v>
      </c>
      <c r="I8630" t="inlineStr">
        <is>
          <t>郡の東側と南側は日本海に面しており、南の海上に洋島が浮かんでいる。；古くから洋の東西を問わず植物の樹皮や果実などを原料に作られてきた。；この頃から杉浦洋のグループの活動内容には性的な要素が存在していた。；母親は音楽好きであり、自宅には洋輔が生まれたときからピアノがあった。；上記のように洋樽はしばしば中間で膨れており、凸面の形を持っている。；コーチをバックアップする監督に元北陸高校監督の津田洋道が就任した。；後期には洋鉄精錬技術も取り入れられ、さらに無地風の地鉄が作られた。；復活した洋は、ネオショッカーから人類を守るために戦うことを決意する。；洋邦問わず幅広いジャンルの音楽やミュージシャンの影響を受けている。；日奈子には弟の田宮洋がおり、二人には既に両親がいないことを知る。；この楽器群には、洋の東西で現代人が使う楽器の原型がいくつもみられる。；しかしこの応援歌が流れたのは、甲子園決勝戦で紅洋が優勝した時だけ。；これに対して現代の様式で立てられた家は洋屋とも呼ばれる。；洋の東西を問わず二輪の魅力を紹介し続けている。；「天洋丸」の上等室入口には和田英作の手による油絵が掲げられていた。；なお、引退の原因となった肘の故障は栃乃洋との対戦で負ったものである。；それが縁で彼女と交際を始め、小東洋にも春が訪れたかに見えた。；和利はこの年限りで引退、同時に喜久夫と洋もそれぞれ本名に戻した。；株式会社 八洋は、東京都新宿区に本社を置く自動販売機サービス企業。；杉浦洋は小さき花のテレジアの周辺で若者のグループを勝手に作り活動した。；当時は舞踏家を目指していたが、帝劇洋劇部が解散したことにより断念。；なお同時に長瀬産業の長瀬洋社長は代表取締役社長から会長職に退いた。；詩にも古くから謳われ、洋の東西を問わず数々の大詩人が花を詠んだ詩を作っている。；この十円洋銀貨は不発行であったゆえ法定通貨の資格を得ることはなかった。；洋・邦画のロードショーのみならず、アート系作品の上映も行っている。；洋鋏は明治時代になって大量に輸入・生産されるようになった。；店には外国船の船員も多数来て、彼はその頃から洋銀相場に目をつけるようになった。；新しくできた住宅地である弘洋園のすぐ隣に位置する中学校である。；濠洋は、戦前にオーストラリアから輸入された血統不明の馬である。</t>
        </is>
      </c>
      <c r="J8630">
        <f>HYPERLINK("https://www.weblio.jp/content/洋～", "词义详情")</f>
        <v/>
      </c>
      <c r="K8630">
        <f>HYPERLINK("https://yourei.jp/洋～", "查看例句")</f>
        <v/>
      </c>
    </row>
    <row r="8631">
      <c r="A8631" t="inlineStr">
        <is>
          <t>容易</t>
        </is>
      </c>
      <c r="B8631" t="inlineStr">
        <is>
          <t>成功</t>
        </is>
      </c>
      <c r="C8631" t="inlineStr">
        <is>
          <t>読み方：ようい
［名・形動］たやすいこと。やさしいこと。また、そのさま。「—なことでは到達できない」「—に解ける問題」
[派生]よういさ［名］</t>
        </is>
      </c>
      <c r="D8631" t="inlineStr">
        <is>
          <t>容易なこと(4%)；容易に想像できる；容易化；容易な事；容易に入手できる</t>
        </is>
      </c>
      <c r="E8631" t="inlineStr">
        <is>
          <t>やすい；楽；軽い；やさしい；易い</t>
        </is>
      </c>
      <c r="F8631" t="inlineStr">
        <is>
          <t>容易かつ安価；容易なわざ；容易に確認；容易ならしめる；容易化軸</t>
        </is>
      </c>
      <c r="G8631" t="inlineStr">
        <is>
          <t>容易い；容易か；容易し；容易軸；容易から</t>
        </is>
      </c>
      <c r="H8631" t="n">
        <v>29</v>
      </c>
      <c r="I8631" t="inlineStr">
        <is>
          <t>理論的に明解であり扱いも容易であるため、形式的な説明を先に述べる。；それによってこれらの特徴の大きさと形を容易に追跡することができる。；流体の粘性が小さいほど変形させたり運動させたりするのが容易である。；が単射であることを見るのは容易であるから、定義により が得られる。；現代は離れた場所の人々が協調することがかつてないほど容易になっている。；移動を容易にするために、飛行士らはジェット戦闘機の使用を要求した。；ワードは単独で実行できるため、部分に分けてのデバッグも容易である。；役満の中で比較的完成するのが容易であるとされるのは次の3つの役である。；ただしそれには多額の資金と労力が必要となるため、容易には行えない。；また、複数のノードで同じデータを共有することも容易に実現できる。；これによりすべてのホームは地上でつながって乗換えが容易になっている。；かれらは人を殺すことは草をきるよりもよういに思う者どもである。；また、設計のルール化はそれ以前と比較して設計を容易にした。；近年では、交通手段・通信網の整備も労働力の移動を容易にしている。；船を守る兵がいなかったので極めて容易なことであった。；この行動は、ペアさえ形成されれば、水槽内でも容易に観察可能である。；現代では多くの作品が詠まれており、例をあげることは必ずしも容易ではない。；比較的容易に低温が得られるため多くの産業で利用されている。；格納された各データの参照や修正といった管理を容易にするための構成である。；冒頭に説明したように、何が病気であるかそうでないかを決めるのは容易ではない。；どの原子からも最も容易に失われる電子は最高エネルギー軌道にある電子からである。；からだのどこかに、こい煙が出るしかけを、よういしておいたんだね。；そこは入り江がとても狭く、入ることも出ることも容易ではなかった。；しかしながら先人は、彼らに容易ならざる遺産を残したのであります。；噛む力は細い針金程度なら容易に切断できるほど強いため注意が必要。；すなわち、装置の向きを容易に変えることができたのである。；しかし、なにかしら、よういならぬことが起こったような気がしたのである。；ヤフオクなど、ネットでの個人間取引による入手がもっとも容易である。；しかし、撤去された跡が残っているので、確認することは容易である。</t>
        </is>
      </c>
      <c r="J8631">
        <f>HYPERLINK("https://www.weblio.jp/content/容易", "词义详情")</f>
        <v/>
      </c>
      <c r="K8631">
        <f>HYPERLINK("https://yourei.jp/容易", "查看例句")</f>
        <v/>
      </c>
    </row>
    <row r="8632">
      <c r="A8632" t="inlineStr">
        <is>
          <t>用意</t>
        </is>
      </c>
      <c r="B8632" t="inlineStr">
        <is>
          <t>成功</t>
        </is>
      </c>
      <c r="C8632" t="inlineStr">
        <is>
          <t>読み方：ようい
［名］(スル)
１前もって必要なものをそろえ、ととのえておくこと。したく。「食事の—がととのう」「招待客の車を—する」
２細かいところまで気を配ること。用心。
「いみじう—して車のもとへあゆみ寄るを」〈枕・三五〉
→準備［用法］</t>
        </is>
      </c>
      <c r="D8632" t="inlineStr">
        <is>
          <t>用意でき；用意周到；用意しろ；用意すれ；用意いたし</t>
        </is>
      </c>
      <c r="E8632" t="inlineStr">
        <is>
          <t>提供；準備；作る；備え；供給</t>
        </is>
      </c>
      <c r="F8632" t="inlineStr">
        <is>
          <t>複数用意；多数用意；台用意；周到な用意；たくさん用意</t>
        </is>
      </c>
      <c r="G8632" t="inlineStr">
        <is>
          <t>用意万端</t>
        </is>
      </c>
      <c r="H8632" t="n">
        <v>29</v>
      </c>
      <c r="I8632" t="inlineStr">
        <is>
          <t>自ら地元の教会内に用意し、死後に埋葬された墓地は極めて質素である。；この邸宅はミス・ハワードとその友人たちが用意してくれたものだった。；これらは個人で用意するのでなく国元から別送されている場合もあった。；台本を用意しないことで、メディアは大きな責任を回避する事が出来る。；また、地方への出張時は現地で用意されたと思われる車両を使用している。；そのため、最初から3台のピアノを用意して演奏をしたこともあった。；それゆえわれわれは常に用意をしているように勧められている。；リストは で極めて頻繁に用いられるため、特別な構文が用意されている。；しかし用意した贈り物を見た王の役人やイスラム教徒の商人は笑い出した。；Webアプリケーションを開発するための方法がいくつか用意されていた。；通常の内装よりも座席幅を詰めて通路幅を広げた内装案も用意されている。；ほかに、デーヴァナーガリーには以下のような文字が用意されている。；ただ用意するだけではなく、タイミング良く用意しなければならない。；ハマンは自分で用意した処刑具で自分が処刑されることになった。；この公園には保養やスポーツ活動のための施設が用意されている。；現在はRawhideと呼ばれるローリングリリース版も用意している。；開業時に用意された車両は2006年までにすべて運用を終えた。；これは、新嘗祭当日の午後に掌典長以下が奉仕して用意するものである。；なお、開業時に用意された車両は1999年までにすべて廃車されている。；また、座席の隣に通路が用意されているのも大きな特徴である。；このため持参金も用意して娘達は正式な結婚を行なうことができた。；インストール中は用意された画像の表示やほかの製品の宣伝が行われることもある。；小さな建物の地下らしき場所には多くの部屋が用意されていた。；アプレット実行時にはアプレット用のランタイム環境が用意されている。；年齢層にあわせて、大きさの異なるブロックが用意されている。；そのため、同様に一旦出場して養老鉄道の乗車券を用意する必要があった。；簡易な椅子や机などを用意し、客が店で買った商品を飲食することができる。；教会改革の支持を集めるためにパンフレットや講義や演劇を用意させた。；通常の内装よりも座席幅を詰めて広い通路幅を確保する内装案も用意された。</t>
        </is>
      </c>
      <c r="J8632">
        <f>HYPERLINK("https://www.weblio.jp/content/用意", "词义详情")</f>
        <v/>
      </c>
      <c r="K8632">
        <f>HYPERLINK("https://yourei.jp/用意", "查看例句")</f>
        <v/>
      </c>
    </row>
    <row r="8633">
      <c r="A8633" t="inlineStr">
        <is>
          <t>要因</t>
        </is>
      </c>
      <c r="B8633" t="inlineStr">
        <is>
          <t>成功</t>
        </is>
      </c>
      <c r="C8633" t="inlineStr">
        <is>
          <t>読み方：よういん
物事がそうなった主要な原因。「事件の—を探る」</t>
        </is>
      </c>
      <c r="D8633" t="inlineStr">
        <is>
          <t>要因と考えられる；要因分析；要因となりうる；要因となる可；要因論</t>
        </is>
      </c>
      <c r="E8633" t="inlineStr">
        <is>
          <t>元；要素；きっかけ；始まり；起こり</t>
        </is>
      </c>
      <c r="F8633" t="inlineStr">
        <is>
          <t>様々な要因；させる要因；主な要因；重要な要因；さまざまな要因</t>
        </is>
      </c>
      <c r="H8633" t="n">
        <v>29</v>
      </c>
      <c r="I8633" t="inlineStr">
        <is>
          <t>依存症の成立・悪化の要因としては次の三つの段階に応じて分類される。；これが近代的な工場の出発点とされ、産業革命の要因の1つともなった。；その最大の要因はウィンブルドン決勝で3年連続で対戦したことである。；しかし、原因は1つでなくいくつもの要因が複合したと考えられている。；これはヨーロッパ列強のアフリカ分割を可能とする一つの要因となった。；またこの措置は金属の価格が上昇したことなども要因となっている。；ある鉄道路線が廃線になる要因としては以下のようなものが挙げられる。；チタンの性質である、 が評価されるようになったことが要因である。；これは結果的に、後のメンバー昇格する要因の一つだったと思われる。；これは中世西欧社会が極めて非中央集権的な社会となる要因となった。；なお、ここに示した以外の要因によってアイソザイムとなることもある。；三木は自民党総裁選が党内の派閥を強化させている要因と判断していた。；その他の要因の影響幅は、上記の要因より小さいと見られている。；ヴィジュアル系が差別された要因としてはさまざまなものが考えられる。；これもまた制度研究を困難にさせている要因の一つである。；それ以外の要因でも起きており、気圧差や風によるものを気象潮という。；以上のような要因で、映画の撮影期間は予定を超えてどんどん延びていった。；この特性は加工しやすさを意味し金属が世界中に普及した大きな要因である。；帝国内部での自由な移動と居住の保証が大英帝国隆盛の大きな要因となった。；融資額を決定するために、質屋主はいくつかの要因を考慮する必要がある。；外国人労働者を生み出す要因には近隣国との経済格差などがあげられる。；う蝕とは、歯の実質欠損のなかで、生物的要因が原因であるものである。；このことも、比例IQが使用されなくなった要因の一つとなっている。；このことがこの生産数の大きな要因であったといわれる。；これらについて、報告書では以下のような要因があると位置づけている。；道路のすべりやすさは自動車の設計と安全性における重要な要因である。；あくまで要因による定義の違いであり、波の性質で区別しているわけではない。；事故を防ぐことのできなかった主な要因は以下の通り。；奇形の原因になりうる要因としては以下のようなものが挙げられる。</t>
        </is>
      </c>
      <c r="J8633">
        <f>HYPERLINK("https://www.weblio.jp/content/要因", "词义详情")</f>
        <v/>
      </c>
      <c r="K8633">
        <f>HYPERLINK("https://yourei.jp/要因", "查看例句")</f>
        <v/>
      </c>
    </row>
    <row r="8634">
      <c r="A8634" t="inlineStr">
        <is>
          <t>溶岩</t>
        </is>
      </c>
      <c r="B8634" t="inlineStr">
        <is>
          <t>成功</t>
        </is>
      </c>
      <c r="C8634" t="inlineStr">
        <is>
          <t>読み方：ようがん
地下のマグマが溶融状態で地表の火口から噴き出しているもの。また、それが冷却・固結して生じた岩石。</t>
        </is>
      </c>
      <c r="D8634" t="inlineStr">
        <is>
          <t>溶岩流(2%)；溶岩地帯；溶岩層；溶岩原；溶岩塊</t>
        </is>
      </c>
      <c r="F8634" t="inlineStr">
        <is>
          <t>玄武岩溶岩；状溶岩；安山岩溶岩；次溶岩；安山岩質溶岩</t>
        </is>
      </c>
      <c r="G8634" t="inlineStr">
        <is>
          <t>溶岩ドーム；溶岩台地；溶岩円頂丘；溶岩洞；溶岩湖</t>
        </is>
      </c>
      <c r="H8634" t="n">
        <v>29</v>
      </c>
      <c r="I8634" t="inlineStr">
        <is>
          <t>かつてはごつごつした溶岩のような土地にどうやって植わったのだろう。；溶岩を思わせる洞窟は第一層〜第三層のいずれかであることを示している。；空を飛んで来た溶岩の小さなかけらが、まわりの林にいくつも落下した。；新しい溶岩が海岸に達しなかった場所は切り立った海食崖が続いている。；名前の右にDropと書いてあるものは、水及び溶岩でドロップされる。；霧が立ち込める溶岩荒野を歩いている私を、後ろから誰かがついてくる。；玄武岩溶岩の厚さがほぼ一定しているために山地全体が西に傾いている。；滝上部は新期溶岩に含まれる新しい地層で、本白根溶岩と呼ばれている。；噴出した溶岩をそのまま使用するなど自然を生かした展示をしている。；I期の後期には玄武岩質の溶岩の流出が少なくとも5度に渡ってあった。；また、機械故か水などに弱く、水か溶岩の中に完全に入ると爆発する。；その晩、かれらはまたしても溶岩の破片が積み重なった脇で夜を過ごした。；またその御朱印は特別製で、富士山の溶岩の砂が含まれたものが押される。；無数の神経の隅々にまで溶岩よりも熱い痛みを鏡閃は送り続けていた。；ごつごつした溶岩の間の、平らな所をふんで、彼は斜面をおりはじめた。；拡大すると中心付近でほんのわずかに溶岩が赤く光っている。；第二層も、壁の様子は第一層と同じく溶岩を思わせるごつごつしたものだった。；恒星に面した半球に存在すると考えられる溶岩の海が描かれている。；それぞれ水、塔、森、氷、溶岩の5種類をイメージして構成されている。；溶岩の色や明るさの違いは硫黄の温度や硫黄原子の結合の具合による。；小夜子を抱きかかえた武彦は、溶岩の海のようになった地上に絶句した。；石の色はやや青みのある灰色であり、孔は他の溶岩と比較してかなり少ない。；おそらく湾は溶岩ですっかりふさがれ、なくなってしまうに違いない。；志賀山から噴出した溶岩によって川がせき止められたことで形成された。；大島の姿はハイマツ帯を越えた広い溶岩の石だたみの中の一点としてあった。；山と同じ名前の溶岩に覆われた村に近い所に位置する。；アルカンタラ川は、特徴的な川床を形成する溶岩石の間を流れている。；これはステージ3の溶岩流出には爆発的な要素がないことによると考えられる。；山から海へ流れこんだ溶岩が、固まっていまもそのままに残っている。</t>
        </is>
      </c>
      <c r="J8634">
        <f>HYPERLINK("https://www.weblio.jp/content/溶岩", "词义详情")</f>
        <v/>
      </c>
      <c r="K8634">
        <f>HYPERLINK("https://yourei.jp/溶岩", "查看例句")</f>
        <v/>
      </c>
    </row>
    <row r="8635">
      <c r="A8635" t="inlineStr">
        <is>
          <t>容器</t>
        </is>
      </c>
      <c r="B8635" t="inlineStr">
        <is>
          <t>成功</t>
        </is>
      </c>
      <c r="C8635" t="inlineStr">
        <is>
          <t>読み方：ようき
物を入れるうつわ。入れ物。</t>
        </is>
      </c>
      <c r="D8635" t="inlineStr">
        <is>
          <t>容器内(3%)；容器入り；容器包装；容器ごと；容器類</t>
        </is>
      </c>
      <c r="E8635" t="inlineStr">
        <is>
          <t>器；コンテナ；槽；器物；入れ物</t>
        </is>
      </c>
      <c r="F8635" t="inlineStr">
        <is>
          <t>格納容器；密閉容器；プラスチック容器；小さな容器；ポリ容器</t>
        </is>
      </c>
      <c r="H8635" t="n">
        <v>29</v>
      </c>
      <c r="I8635" t="inlineStr">
        <is>
          <t>容器の中の物が出ないように口を締められる構造になっている物も多い。；最近のものはカップを二重構造にするだけで段のない容器になっている。；以前は発泡スチロール製容器が多用されたが、今はほとんど使われない。；魚を容器で保護する場合、水の量より水に対する水面の広さに配慮する。；これと同時期に、パチンコ玉を入れる容器が小さいものに変更されている。；飼育容器は、生体が逃走できないものであればどのようなものでもよい。；ガラス容器が登場して以降、ワインの種類ごとに特化したグラスが作られた。；実際に輸送する際には容器証明書を製造者から取り寄せる必要がある。；この二つは共に基本的な容器の形状であり、それらは様々な側面で利用されている。；外部から熱が入ったり出て行かないように断熱容器になっている。；蛹室は横に長いため、飼育容器の大きさや形にも考慮する必要がある。；植木鉢とは植木や草・花など様々な植物を植えるための容器の総称である。；部屋の窓際には兵器手入用の油脂容器等を置いた机があることが多い。；小袋ではなく、大きな容器や袋に入れられて売られていることが多い。；こういった容器は人間が文明を築いていく過程で様々なものが作られ、利用されてきた。；車体前方の両脇についている木のチップのようなものが入っている容器が特徴。；飼育にはやや大型の蓋ができるガラス容器、紙、木片、水があればよい。；紙製の容器の場合、容器外側を段ボール状にしてこの点を克服している。；このガラス容器の検証が最初に行われたのは1833年7月のことだった。；カスタード・プディングの容器と似たカップに入れて販売される事が多い。；容器に入れた生乳が偶然揺れただけでもバターは出来るため、起源は不明。；犯人はガソリンの入った容器に布を詰めたものに火をつけていた。；特に子供が飲食物と誤解しやすい容器には保存すべきではない。；原則的には容器の口をふさぐものだから、その口の形の平板であればよい。；その後、一時的な容器として広く科学実験で使用されるようになっている。；容器でなくても直方体に近い物を指して「箱型」と言うことがある。；このようなきっかけは容器内に存在する微小な凹凸のある部分で起こりやすい。；大きな容器を一定サイズの小球で一杯にしたとする。；蓋は、容器の口など何らかを覆うようにしてふさぐものの総称である。</t>
        </is>
      </c>
      <c r="J8635">
        <f>HYPERLINK("https://www.weblio.jp/content/容器", "词义详情")</f>
        <v/>
      </c>
      <c r="K8635">
        <f>HYPERLINK("https://yourei.jp/容器", "查看例句")</f>
        <v/>
      </c>
    </row>
    <row r="8636">
      <c r="A8636" t="inlineStr">
        <is>
          <t>陽気</t>
        </is>
      </c>
      <c r="B8636" t="inlineStr">
        <is>
          <t>成功</t>
        </is>
      </c>
      <c r="C8636" t="inlineStr">
        <is>
          <t>読み方：ようき
［名・形動］
１気候。時候。「春らしい—になる」
２万物生成の根本となる二気の一。万物が今まさに生まれ出て、活動しようとする気。陽の気。⇔陰気。
３気分。雰囲気などがはればれしていること。にぎやかで明るいこと。また、そのさま。「—を装う」「天性—な人」「—にはしゃぐ」⇔陰気。
[派生]ようきさ［名］</t>
        </is>
      </c>
      <c r="D8636" t="inlineStr">
        <is>
          <t>陽気な声(3%)；陽気な性格；陽気な笑い声；陽気な気分；陽気な音楽</t>
        </is>
      </c>
      <c r="E8636" t="inlineStr">
        <is>
          <t>時期；シーズン；明るい；元気；季節</t>
        </is>
      </c>
      <c r="F8636" t="inlineStr">
        <is>
          <t>ひどく陽気；陽気な連中；陽気なおしゃべり；こんな陽気；陽気な騒ぎ</t>
        </is>
      </c>
      <c r="G8636" t="inlineStr">
        <is>
          <t>陽気な幽霊；陽気ぐらし；陽気婢；陽気なルーシー；陽気な中尉さん</t>
        </is>
      </c>
      <c r="H8636" t="n">
        <v>29</v>
      </c>
      <c r="I8636" t="inlineStr">
        <is>
          <t>その壁に服を触れさせぬよう気をつけながら、彼女は外階段を上がった。；なお、この時は影を潜めていたかつてのような陽気な様子を見せている。；それは一つには大戦の後には誰も陽気なものを求めてゐるからであらう。；普段は陽気な性格だが、一旦怒ると手が付けられなくなるところがある。；自分の母の家に住んでいても、もちまえの陽気さに戻りそうもありません。；その頃になつて父は、例によつて陽気な笑ひ声を立てながら帰つて来た。；暗くなってからは外にでないよう、車から離れないよう気をつけることだ!；私の父は死ぬまで、消極的ではあるが、陽気に遊んでいたかったらしい。；陽気に童心を歌ったこの歌は、今も国境や世代の壁を越えて広がっている。；いつもなら二人きりの時にだけ交わす特別な、陽気な微笑を投げかけた。；ほとんどの人は、犬が幸せに過ごせるよう気をつけて飼ってくれている。；物音をたてぬよう気をつけて部屋を出ると、逃げるようにその場を離れた。；僕は里香を起こさないよう気をつけながら、その本を手に取ってみた。；しかし同時に、口調にはそのうんざりした気持を出さぬよう気を配った。；チェイス記者は陽気にうなずいて、目の前に一枚の大きな紙を広げた。；もちろんかれは、そんな気配を二人に気づかれないよう気をくばっていた。；恒夫の妻に知られないよう気をつけて、短い旅行に出たことも何度かあった。；心配していた例の顔も、この陽気な場所へ現れそうにもなかった。；このころの気候と陽気が春に似ているため、小春と呼ばれるようになった。；魂は天の陽気からのたましいであり魄は地の陰気からのたましいである。；普段は明るく陽気な性格であるが、野球をプレーする際には性格が変わるという。；さらに人に顔を見られないよう気をつけながら、ホテルを抜け出した。；キルフェボンはフランス語で「なんていい陽気なんだろう」の意である。；その中に彼の心持は其戸の外の囃しに連れて次第に陽気になって来た。；紫を起こさぬよう気をつけながら、真九郎はゆっくりと商店街を進んだ。；ホテルへの帰り道、彼は持って来たくだものをつぶさぬよう気をつけた。；船のほうは、その通り陽気だが、波止場のほうはなかなかそうはいかない。；わたしは健康で陽気な人たちにだけとり囲まれて暮したいと思う。；普段は陽気で明るい性格で、話術が高く人をよく笑わせていたという。</t>
        </is>
      </c>
      <c r="J8636">
        <f>HYPERLINK("https://www.weblio.jp/content/陽気", "词义详情")</f>
        <v/>
      </c>
      <c r="K8636">
        <f>HYPERLINK("https://yourei.jp/陽気", "查看例句")</f>
        <v/>
      </c>
    </row>
    <row r="8637">
      <c r="A8637" t="inlineStr">
        <is>
          <t>要求</t>
        </is>
      </c>
      <c r="B8637" t="inlineStr">
        <is>
          <t>成功</t>
        </is>
      </c>
      <c r="C8637" t="inlineStr">
        <is>
          <t>読み方：ようきゅう
［名］(スル)
１必要または当然なこととして相手に強く求めること。「待遇改善を—する」「—を飲む」
２必要とすること。「からだが水分を—している」「時代の—」
３⇒欲求2</t>
        </is>
      </c>
      <c r="D8637" t="inlineStr">
        <is>
          <t>要求する(14%)；要求される(9%)；要求事項；要求性能；要求書</t>
        </is>
      </c>
      <c r="E8637" t="inlineStr">
        <is>
          <t>必要；主張；求め；期待；求める</t>
        </is>
      </c>
      <c r="F8637" t="inlineStr">
        <is>
          <t>身代金要求；強い要求；予算要求；理不尽な要求；たいという要求</t>
        </is>
      </c>
      <c r="G8637" t="inlineStr">
        <is>
          <t>要求分析；要求管理；要求デモ；要求工学；要求駆動</t>
        </is>
      </c>
      <c r="H8637" t="n">
        <v>29</v>
      </c>
      <c r="I8637" t="inlineStr">
        <is>
          <t>この地域に対するドイツの領土要求が第二次世界大戦勃発の原因となる。；コロニーの設計では、ほとんどの鏡が太陽に向くことが要求されている。；これは、要求に合わせて強弱を変化させる素晴らしい能力を示している。；移動を容易にするために、飛行士らはジェット戦闘機の使用を要求した。；すると、プログラムは要求を行った時点から処理を再開させることができる。；また3つ以上のボタンを要求する場合は、とっさの判断に注意を要する。；国民が国家に対し、行為や給付、制度の整備などを要求する権利である。；現在アベナキ族の二つのバンドが、部族の再認定を要求し係争中である。；政治的・文化的にはやや保守化し、一部の人権拡大の要求は軽視された。；原型の素材はさまざまであり、作成には高度な知識・技術・経験が要求される。；上の定義でが単射である事を要求してない事に注意されたい。；ほとんどの場合、これらの学問成果をあげるには、現地調査が要求される。；これらもほとんどの場合、学問成果をあげるには、現地調査が要求される。；アプリケーションは必要なら頻繁にデバイスへのアクセスを要求する。；各関数には説明文字列が含まれていて、要求に応じてユーザーに表示される。；イルマリネンは娘を要求するが、娘が拒否、彼は悲嘆に暮れて帰国する。；NTは高可用性が要求されるビジネス向けの市場のためにリリースされた。；下記は信者に要求されるか、勧められるバハオラの教えの数例である。；また、拷問は相手に何らかの要求を聞くよう強要するためにも行われてきた。；また生徒からの直接の支払いや賄賂に要求する教員もいると報告されている。；ACIDはデータベースが全ての処理を一度に処理できることを要求している。；在朝鮮日本資産の移管のみを認め、その他の韓国政府の要求を拒否した。；このため車両デザインには空力的に洗練されたものが要求される。；絶対的なスピードや瞬発力などよりも持久力、戦略などが要求される。；さらに同年、学校を人種分離することを要求する法が認められた。；動的電子相関は正確なエネルギーを議論しなければならない場合に要求される。；通信処理関門交換機は、複数の地域の中継交換機からの接続要求を処理する。；これは科学的知識はもちろん、常に隊員たちが強靭な肉体を要求されるためである。；軽量さが要求される高速船でもアルミが船体材料に選択されることがある。</t>
        </is>
      </c>
      <c r="J8637">
        <f>HYPERLINK("https://www.weblio.jp/content/要求", "词义详情")</f>
        <v/>
      </c>
      <c r="K8637">
        <f>HYPERLINK("https://yourei.jp/要求", "查看例句")</f>
        <v/>
      </c>
    </row>
    <row r="8638">
      <c r="A8638" t="inlineStr">
        <is>
          <t>用件</t>
        </is>
      </c>
      <c r="B8638" t="inlineStr">
        <is>
          <t>成功</t>
        </is>
      </c>
      <c r="C8638" t="inlineStr">
        <is>
          <t>読み方：ようけん
なすべき仕事。また、伝えるべき事柄。用事。「—を伝える」「すぐに—に入る」</t>
        </is>
      </c>
      <c r="D8638" t="inlineStr">
        <is>
          <t>用件を聞きましょ；用件を命じられ</t>
        </is>
      </c>
      <c r="E8638" t="inlineStr">
        <is>
          <t>用；用事；所用；用向き；用向</t>
        </is>
      </c>
      <c r="F8638" t="inlineStr">
        <is>
          <t>重大な用件；重要な用件；御用件；どんな用件；大事な用件</t>
        </is>
      </c>
      <c r="H8638" t="n">
        <v>29</v>
      </c>
      <c r="I8638" t="inlineStr">
        <is>
          <t>その人はある朝私のところへきて、いきなり用件を切りだしてきました。；でも、その話は今回の用件とは関係ありませんからやめておきましょう。；それを、ぼくのまったく個人的な用件でこっちへやって来ているんだよ。；このままでは半年前を再現しかねないんで、用件のみを口にしなければ。；そして一番近いところに居た警官の一人に、出向いて来た用件を伝えた。；自分の南米へいく用件は、事業上のことだと思っていたというのである。；その肝心の用件のことをすっかり忘れていたことに気がついたからだった。；その侍も疑うというより念を押すように、こちらの身分と用件を訊いた。；わたしたちの家へは、いろんな用件でかなり頻繁に人が出入りしていた。；しかし姫は自分のことよりもまず父の用件から切り出すつもりでいた。；まるでこれがここへ来た最大の用件ででもあるようなふうだった。；そのあと、すぐに訪ねた用件をいい、事件の夜の行動を話すように求めた。；用件のついでにあの凶相の大尉に話が及ぶだろうなと笹嶋は予想していた。；イ・タスが持ってきた用件を処理してから皇帝は彼に残るように合図した。；そして用件も忘れて言葉少なになり、ためらいがちに画家の名を聞いた。；とは言へ彼が帰つて来たのには他にもう一つ重大な用件があつた。；そんな時だったので、ちょっと用件の話だけして、すぐおいとました。；五日ばかりたつた後、わたしは同じ用件の為に同じ山手を通りかゝつた。；そこで、死体の写真を見せて、仕事とはいえ、気色の悪い用件を話した。；しかし気が動転しており、歓迎の笑みも浮かべず、すぐに用件に入った。；何か言いたい事があるなら聞くから、早く用件を済ませてくれないか。；軍隊関係のどうでもいい用件で、お邪魔をするわけにはまいりません。；しかし此方のような大切な用件で乗り廻しているものがあるだろうか?；あの男が持って来る用件と言えば、取るに足らぬものばかりなんだよ。；射殺事件が起きた翌年の夏、私は別の用件でソウルへ飛ぶことになった。；ちょっと場所を移動しなくてはいけない用件なので、明日にしておきましょう。；その表情に、桐野がどのような用件で来たかを察しているのが感じられた。；要件とは、重要な用件や大切な用件、あるいは必要な条件のことを指す。；用件は言わずに、兎も角、二人で大急ぎでやって来てくれと言うのです。</t>
        </is>
      </c>
      <c r="J8638">
        <f>HYPERLINK("https://www.weblio.jp/content/用件", "词义详情")</f>
        <v/>
      </c>
      <c r="K8638">
        <f>HYPERLINK("https://yourei.jp/用件", "查看例句")</f>
        <v/>
      </c>
    </row>
    <row r="8639">
      <c r="A8639" t="inlineStr">
        <is>
          <t>養護</t>
        </is>
      </c>
      <c r="B8639" t="inlineStr">
        <is>
          <t>成功</t>
        </is>
      </c>
      <c r="C8639" t="inlineStr">
        <is>
          <t>読み方：ようご
［名］(スル)
１養い守ること。
２児童・生徒の健康を保護し、その成長を助けること。
３特に、保護を必要とする児童などを、特別な施設によって教育すること。</t>
        </is>
      </c>
      <c r="D8639" t="inlineStr">
        <is>
          <t>養護ホーム(8%)；養護教員(6%)；養護学校(3%)；養護者(3%)；養護教師(2%)</t>
        </is>
      </c>
      <c r="E8639" t="inlineStr">
        <is>
          <t>保護；守る；防衛；防ぐ；守り</t>
        </is>
      </c>
      <c r="F8639" t="inlineStr">
        <is>
          <t>クレーブラット養護；施設養護；集団養護；老人養護；府中東養護</t>
        </is>
      </c>
      <c r="G8639" t="inlineStr">
        <is>
          <t>養護学校；養護教諭；養護老人ホーム；養護助教諭；養護学級</t>
        </is>
      </c>
      <c r="H8639" t="n">
        <v>29</v>
      </c>
      <c r="I8639" t="inlineStr">
        <is>
          <t>かつては老人・病院・小児養護協会が運営したギーセン最初の病院である。；ルイスは晩年をパリの養護老人施設で過ごし、1945年に亡くなった。；養護ホーム、病院、生活支援センターあるいは個人宅で歌を歌っている。；とうぜん養護の先生は、ゆきすぎだ、すぐやめさせてもらいたいといった。；府中東養護校の教師三名のうち、一名が使う車がまだ不明だった。；養護の先生にはおばさんの目には見えないものが見えていたのだ。；現在、その数は全国に約五百三十箇所、約三万人の児童が養護を受けている。；私に言わせれば、彼らを殺せば、その養護はさらに容易なものとなる。；府中西養護校で不明のまま残った子供がまさにそれだった。；だがさすがに今、眼鏡で巨乳の養護教師を期待することはできない。；そして国も、進学すればということで、十八歳までの養護を認めているわけです。；授業中、突然声が出なくなった男の子が、小学校の養護の先生と小児科に来ました。；集団養護のもう一つの問題点は、社会から隔離されたかたちの閉鎖性にある。；が、いずれにせよ、まともな家庭に育っていない子どもに必要な養護は同じである。；さらに、施設出身者でなくても十五歳以上の子どもたちの養護問題は発生する。；かつての郡立病院は現在老人養護ホームとして利用されている。；ある日、真理愛は復讐の決意を学園の養護教師・秋山美帆に打ち明ける。；ヴァルハイムには、異なる養護モデルを採用した2つの幼稚園がある。；養護の先生が聡の家に電話して迎えに来るように告げようとしたが、通話中で通じなかった。；ここでは一般的な教育の他に、社会教育学的職業や社会養護学的職業のための職業教育も行われている。；この学校は、養護クラスや音楽重点クラスを有する本課程・実科学校である。；この町には、クレーブラット養護ホームの老人・養護ホームがある。；さすがに養護の資格を持つだけあって、その手際は良い。；あの妊産婦養護院に入れられていたことを示すただひとつの証拠は、顔色が青いことだったが、それがまた赤い髪をより以上美しく輝かせていた。；レーデン町は老人センターとドイツ赤十字の移動養護ステーションを支援している。；これらを合わせて、全部で600人の障害者が養護され、教育され、援助されている。；わたしは先日、由佳里さんを養護してこられた森田正馬医師に事情を尋ねてきました。；施設出の子どもは変に人を使い分けるところがあると言われるのは、そうした集団養護の結果と言っていい。；横浜市が運営している不登校の子どものための養護教育センターに、週一度行くことになった。</t>
        </is>
      </c>
      <c r="J8639">
        <f>HYPERLINK("https://www.weblio.jp/content/養護", "词义详情")</f>
        <v/>
      </c>
      <c r="K8639">
        <f>HYPERLINK("https://yourei.jp/養護", "查看例句")</f>
        <v/>
      </c>
    </row>
    <row r="8640">
      <c r="A8640" t="inlineStr">
        <is>
          <t>用語</t>
        </is>
      </c>
      <c r="B8640" t="inlineStr">
        <is>
          <t>成功</t>
        </is>
      </c>
      <c r="C8640" t="inlineStr">
        <is>
          <t>読み方：ようご
使用されている字句や言葉。特に、ある特定の分野で用いられる言葉。術語。「医学—」「専門—」</t>
        </is>
      </c>
      <c r="D8640" t="inlineStr">
        <is>
          <t>用語法；用語例；用語自体；用語解説；用語懇談会</t>
        </is>
      </c>
      <c r="E8640" t="inlineStr">
        <is>
          <t>言葉；言；言語；舌；項</t>
        </is>
      </c>
      <c r="F8640" t="inlineStr">
        <is>
          <t>使われる用語；音楽用語；意味する用語；経済学用語；一般用語</t>
        </is>
      </c>
      <c r="G8640" t="inlineStr">
        <is>
          <t>用語辞典；用語の意味；用語の濫用；用語の乱用</t>
        </is>
      </c>
      <c r="H8640" t="n">
        <v>29</v>
      </c>
      <c r="I8640" t="inlineStr">
        <is>
          <t>これも統一された用語というわけではないが標準的なものを示しておく。；本規格は品質管理システムの基本的な考え方を示し用語を定義している。；用語は数多く存在するが、その中でも代表的なもののみ以下に挙げる。；用語「ヨーロッパ」は、歴史が展開する中で使われ方が様々に発展した。；また1961年綱領は以後の複数の改訂で用語の変更などを行っている。；これらの用語の多くはウィリアム・ヒューウェルが考案したものである。；現在よく知られているこれらの用語は、初期の実装に由来するものである。；副作用には分類されないものも含めた関連用語の定義を以下に示す。；一般的な用語もあるが、燃料電池だけの独自の意味を持つものもある。；用語によっては、一般で使われる場合と意味が違っているものもある。；こうした新たな研究領域からは、待遇表現という用語でも呼ばれている。；しかし本能という用語は歴史的に非常に多くの意味で用いられてきた。；コンピュータ用語では、通信や解析や表示の対象となる文字データを指す。；一部には新しいメンテナが自分自身が発明した用語を追加している。；用語については、独特の用語を用いて、軍事色を薄めているものがある。；一部の用語の起源はそれよりも相当古くからあるものである。；そのため、車両導入の予算区分には独特の用語が使用されている。；第4版の用語修正版に版を重ねており、世界でも広く使われている。；その後、馬車にはなかった分類用語が追加されてきた歴史がある。；その意味では、立体交差と対比されている概念・用語ということになる。；この聖婚と言う用語はギリシア宗教史の用語から借用されたものである。；なぜなら用語が逆に使われているように見えるからである。；移調とは音楽の用語で楽曲の調の主音を移行して演奏することである。；その代りに会社に関する法の総称として会社法の用語が用いられていた。；同じ文学用語が違った定義で使われることもしばしばある。；中心脳発作という用語自体はてんかん発作国際分類には残されていない。；根つき木に関する用語は、それを家系図に見たてたものが多く使われる。；リズムとは本来音楽用語であるが、転じて様々な時間の動きを表すものを表す。；対戦型格闘ゲームにはプレイヤーの間で使われる用語が存在する。</t>
        </is>
      </c>
      <c r="J8640">
        <f>HYPERLINK("https://www.weblio.jp/content/用語", "词义详情")</f>
        <v/>
      </c>
      <c r="K8640">
        <f>HYPERLINK("https://yourei.jp/用語", "查看例句")</f>
        <v/>
      </c>
    </row>
    <row r="8641">
      <c r="A8641" t="inlineStr">
        <is>
          <t>要旨</t>
        </is>
      </c>
      <c r="B8641" t="inlineStr">
        <is>
          <t>成功</t>
        </is>
      </c>
      <c r="C8641" t="inlineStr">
        <is>
          <t>読み方：ようし
述べられていることの主要な点。また、内容のあらまし。「講演の—をまとめる」</t>
        </is>
      </c>
      <c r="D8641" t="inlineStr">
        <is>
          <t>要旨次；要旨命令；要旨トス</t>
        </is>
      </c>
      <c r="E8641" t="inlineStr">
        <is>
          <t>意味；内容；落ち；意；図</t>
        </is>
      </c>
      <c r="F8641" t="inlineStr">
        <is>
          <t>論文要旨；講演要旨；決定要旨；命令要旨</t>
        </is>
      </c>
      <c r="H8641" t="n">
        <v>29</v>
      </c>
      <c r="I8641" t="inlineStr">
        <is>
          <t>その時の言葉はテープに残っていますが、要旨は次のようなものでした。；最後にもう一度、北先生の日本改造法案の要旨を確認しあっておきたい。；国際会議の開催に伴い講演要旨や関連論文が捕食学術誌に掲載される。；ハーバード方式は要旨を記述するために使用される脚注と互換性がある。；批判の要旨は、聖書を書いた「聖書記者」自身が人間であることである。；そのため、この選挙では投票要旨に記載された候補者名は1つだけであった。；これまでの経緯を述べ、ムイアヘッドの倫理学の要旨の大略を説明した。；その論文を担当教授に提出するとともに、その要旨を発表しなければならない。；実際には、前述の要旨で示したようには事は単純ではない。；こまかいことは抜きにして、要旨だけ話すからな、お前黙っていてくれよ。；それが全然できなかった事情を、佐藤師団長に次の要旨で説明した。；また、要旨のみの周知では足りず、その全部を周知させる必要がある。；考査委員の会議は非公開だが、議事要旨は公開するものとされている。；その要旨はSPFが転送を破壊する事であるが、実際にはそれは事実と異なる。；「大学」の書は古の中国における大学教育の要旨を述べたものである。；付帯文書III及び付帯文書IIの一部の当該箇所の要旨は次のとおり。；その要旨を記した記事のなかに、次のように述べている。；ここの警官はきみの証言の要旨を話してくれた。；ハーバード法でも要旨を記述するために脚注を利用することもある。；その要旨は、これは、民間の輿論をも代表しているといっていい。；だからその日の説教要旨を書いたガリ版刷りの週報は千部印刷した。；下記については要旨であり、原文をそのまま掲載したものではない。；勉強のために幾つか要旨を抜粋しておいたメモ帳が手元に残っているくらいである。；無線で要旨命令を伝えはしたが不諒解の点を生じ、各隊は準備の暇がなかった。；この要旨はすでに出しておいたが、いま、次のような部分を速記録の上にみることにする。；ADSは、200近い学術雑誌から論文要旨又は目次を提供されている。；放送の要旨は、聞いた者の口から、直ちに傷病兵たちに伝えられた。；私はその都度電話の要旨をメモに書いて、書斎の先生へ届けてもらう。；プログラムと要旨集は学会の会員には事前に郵送されてくる。</t>
        </is>
      </c>
      <c r="J8641">
        <f>HYPERLINK("https://www.weblio.jp/content/要旨", "词义详情")</f>
        <v/>
      </c>
      <c r="K8641">
        <f>HYPERLINK("https://yourei.jp/要旨", "查看例句")</f>
        <v/>
      </c>
    </row>
    <row r="8642">
      <c r="A8642" t="inlineStr">
        <is>
          <t>用紙</t>
        </is>
      </c>
      <c r="B8642" t="inlineStr">
        <is>
          <t>成功</t>
        </is>
      </c>
      <c r="C8642" t="inlineStr">
        <is>
          <t>読み方：ようし
ある用途のための、型の定まった紙。「所定の—に書く」「投票—」</t>
        </is>
      </c>
      <c r="D8642" t="inlineStr">
        <is>
          <t>用紙割当；用紙統制；用紙不足；用紙事情；用紙pdf</t>
        </is>
      </c>
      <c r="E8642" t="inlineStr">
        <is>
          <t>紙；紙片；ペーパー；紙切れ；書式</t>
        </is>
      </c>
      <c r="F8642" t="inlineStr">
        <is>
          <t>問題用紙；解答用紙；アンケート用紙；申込用紙；電報用紙</t>
        </is>
      </c>
      <c r="H8642" t="n">
        <v>29</v>
      </c>
      <c r="I8642" t="inlineStr">
        <is>
          <t>用紙割当委員会はこの状況を改善するために次のような声明を発表した。；出場応募用紙を入手した際にはまだ正式なバンド名が決まっていなかった。；言われた通りに勉強道具をしまってテストの用紙が回されてくるのを待つ。；樋口さんたちはカメラつきの携帯を出して、問題用紙に向けていました。；わたしは複写用紙を使ったので、送った記事のコピーは持っていますよ。；学術雑誌は営利を目的としないために用紙面でつねに困難に面している。；製紙工場で製造された用紙はロール状態のまま印刷工場へと搬入される。；代わりに、目的に特化して設計されたグラフ用紙を使うのが一般的である。；これは回答用紙にある選択肢のなかでドイツ語が一番近いためである。；問題用紙の配送者も、1日だけであるが合宿所に収容されることになる。；この工場では王子製紙から購入した原料用紙を耐水加工し販売していた。；下の画像は、記録用紙への出力結果がどのような文を表しているかを説明している。；入って来た人間は用紙がそこにあるのを知っていたのです。；これらのものは用紙に合わせて縦に細長い形のものを用いるのが普通である。；事前に生徒に通知され、参加する生徒は申し込み用紙に記入し提出する。；用紙の割り当てを受けるには、時局迎合の記事を載せねばならなかった。；私はこのような形跡は、用紙を調べまわした男が残したものだと確信しました。；彼は所定の用紙にその車を四一年型コルヴェットとして特徴をしるした。；このため、現在でも用紙を生産しているメーカーが存在している。；これは走査線または記録線と用紙の垂直線との間の角度と同じである。；フェリックスが受取った手紙の用紙も、これとまったくおなじものです。；就職活動において、企業等が独自で応募用紙を作成している場合がある。；用紙を回収する係の遥香が、いつまで待っても立ち上がらなかったのだ。；これらは分離することができず、用紙はいかなる力をくわえても破れない。；ちらっと覗きこんだ時は、なんだか兄が作った調査用紙に似ていた気がした。；これはやっぱり、試験用紙があると知って、入ってきたと考えるべきでしょう。；中からびっしりと文字の書きこまれたレポート用紙が何枚も出てくる。；シャルルは天真爛漫に、どこからこの用紙を手に入れたのかと聞いた。；中を見てみると、白い用紙にぎっしり並んだ文字もワープロ文だった。</t>
        </is>
      </c>
      <c r="J8642">
        <f>HYPERLINK("https://www.weblio.jp/content/用紙", "词义详情")</f>
        <v/>
      </c>
      <c r="K8642">
        <f>HYPERLINK("https://yourei.jp/用紙", "查看例句")</f>
        <v/>
      </c>
    </row>
    <row r="8643">
      <c r="A8643" t="inlineStr">
        <is>
          <t>用事</t>
        </is>
      </c>
      <c r="B8643" t="inlineStr">
        <is>
          <t>成功</t>
        </is>
      </c>
      <c r="C8643" t="inlineStr">
        <is>
          <t>読み方：ようじ
１しなくてはならない事柄。用件。「—を言いつける」「大事な—がある」
２大便・小便をすること。用便。
「むくむくと起きて—かなゆるふりにて」〈浮・曲三味線・四〉
３江戸深川の遊里で、芸娼妓が月経や病気、また私用などのさしさわりのために休むこと。
「二三日—で居たから、さっぱり酒気がない」〈人・梅児誉美・初〉</t>
        </is>
      </c>
      <c r="D8643" t="inlineStr">
        <is>
          <t>用事ありげ；用事があつ；用事以外；用事が済んだら；用事丈</t>
        </is>
      </c>
      <c r="E8643" t="inlineStr">
        <is>
          <t>用；用件；責務；所用；用向き</t>
        </is>
      </c>
      <c r="F8643" t="inlineStr">
        <is>
          <t>急な用事；ちょっとした用事；ご用事；御用事；大事な用事</t>
        </is>
      </c>
      <c r="H8643" t="n">
        <v>29</v>
      </c>
      <c r="I8643" t="inlineStr">
        <is>
          <t>その晩会社の方では叔父がいなければ解らないような用事が出来ていた。；それは西山を呼びとめなければならないほどの用事であったのだろうか。；その話半ばに、少女は何か用事ができて、学生を残したまま出ていった。；これは客が単にちょっとした用事で滞在するような場合でも同様である。；病気でも、用事があったも、また他のどんな理由であってもいけません。；これは別に大切な用事があるので、時計ばかり見てはゐられないのである。；そのうち主人の良一は会社の用事で大阪まで出張することになりました。；つまり私どもが忙しい中で書きづらく感じるのは用事のない手紙である。；さうした用事の上に更に私は絵を画かなければならなかつたのでした。；三日目に半七はふたたび竜泉寺前へ行かなければならない用事が出来た。；梅子の用事と云ふのを改まつて聞いて見ると、又例の縁談の事であつた。；何の用事であつたか看守につれられて中庭へ出て行つたときのことである。；戦争でしばらく会ふ機会もなく、互に文通をするほどの用事もなかつた。；先生は近所に用事が出来ると、ガスパールをお使ひに出してやりました。；自分たちのような用事もないものが京都へ上ったとて何になろう。；用事もないのに外を出歩きたい気持になることは止むを得んではないか。；私らも商売の用事をかね、この五日ばかり東京見物して今帰るところでさ。；もし用事があるなら呼びつけられそうなものだのにとすぐ変に思っても見た。；梅子の用事と云うのを改まって聞いてみると、又例の縁談の事であった。；電話があつて、どんな遠くの人とでもすぐその場にゐて用事が話せる。；第一、先々の用事を頼んでおくわけにもいかないので、これには参つた。；それから、何か急な用事ができたら、僕のうちへ電話をかけるがいい。；私はそれまで、女中には用事以外の口を決してきかなかつたのである。；自分はその日の午後に是非片づけなくてはならない用事を控えていた。；下らんことばかり書いて、肝心の用事を書く場所がなくなってしまった。；翌る日から記者は用事の序にポツポツと賛助員の諸名士を訪問して見た。；すぐ向ふの部屋には病妻が寝てゐて、僕は台所でごそごそ用事をした。；それで自分は全く用事の無い人間にならねばならぬのであつた。；次から次へと用事が込んでいましてどうも時間が得られないので困っている次第です。</t>
        </is>
      </c>
      <c r="J8643">
        <f>HYPERLINK("https://www.weblio.jp/content/用事", "词义详情")</f>
        <v/>
      </c>
      <c r="K8643">
        <f>HYPERLINK("https://yourei.jp/用事", "查看例句")</f>
        <v/>
      </c>
    </row>
    <row r="8644">
      <c r="A8644" t="inlineStr">
        <is>
          <t>幼児</t>
        </is>
      </c>
      <c r="B8644" t="inlineStr">
        <is>
          <t>成功</t>
        </is>
      </c>
      <c r="C8644" t="inlineStr">
        <is>
          <t>読み方：ようじ
１おさない子。おさなご。
２児童福祉法で、満1歳から小学校に就学するまでの子供。</t>
        </is>
      </c>
      <c r="D8644" t="inlineStr">
        <is>
          <t>幼児向け(4%)；幼児キリスト(2%)；幼児たち；幼児性；幼児化</t>
        </is>
      </c>
      <c r="E8644" t="inlineStr">
        <is>
          <t>子；子供；やや；赤ん坊；赤ちゃん</t>
        </is>
      </c>
      <c r="F8644" t="inlineStr">
        <is>
          <t>幼児退行；幼児期；幼児雑誌；幼児保育；幼児婚</t>
        </is>
      </c>
      <c r="G8644" t="inlineStr">
        <is>
          <t>幼児教育；幼児用；幼児洗礼；幼児虐待；幼児語</t>
        </is>
      </c>
      <c r="H8644" t="n">
        <v>29</v>
      </c>
      <c r="I8644" t="inlineStr">
        <is>
          <t>乳幼児とは乳児と幼児を指し、小学校に入学する前の子供の総称である。；幼児キャラクターの声優には、実際に幼児である子役が起用されている。；一方で、未洗礼の幼児は何らの責めも与えられないと主張する者もいた。；また成長期だけではなく生まれたばかりの幼児でも発症が見られる。；幼児はこのような道徳と慣習の領域を区分することができるとされる。；正三角形の鉛筆は、主に幼児に鉛筆の持ち方を指導するために使われる。；幼児から小・中学生を対象とした市主催の絵画コンクールも行われている。；父は子供たちの教育に関心を持ち、幼児のときから熱心に育てた。；幼児の骨には軟骨が多いなどの理由で、成人の骨に比べて残りにくい。；幼児向けの番組ではなく、子育てをする母親向けの番組内容となっていた。；祈祷の後には選び取りがおこなわれ幼児の将来の職業や才能を占われる。；MINDSTORMSや幼児向けのデュプロを使って学ぶエリアもある。；ただし、必要がある場合には小学校入学以前の幼児も養育することができる。；この事故で幼児1名を含む乗客172名、11名の乗員全員が死亡した。；ダーウィンの研究は幼児発達と児童心理学の他の研究者にも感銘を与えた。；幼児化していたアデライドたちも元に戻り、再封印も無事に完了する。；生き埋めになったのは、家に居たお年寄りや主婦、幼児が大半であった。；だが、1794年に信珍も死去し、まだ幼児である信凭が家督を継いだ。；頭の左右にわずかに髪を残し他を剃る江戸時代の幼児の髪形を表す場合もある。；幼児が歯ブラシをくわえたまま歩くなどして起きた事故が多数報告されている。；やがて幼児は実際に母親が付き添うことを諦めることができるようにもなる。；幼児は、初期状態では母親がいなくならない限り、常に満足した状態で居続ける。；英語圏では幼児に対しても大人と同じ言葉で会話を行うことが多い。；幼児は知っていることをすべて表現しようとするため、このような絵を描くと言われている。；日本では、幼児向けの造形体験教室などでしばしば用いられている。；幼児より病弱で絵を好み、少年の頃、一時は月岡芳年に弟子入りしていた。；残りの18人も記憶を失い、あの洞窟に入った男と同じく幼児のようになっていた。；夫との間には2男3女があったが、息子たちはどちらも幼児のうちに死んだ。；カフェインが含まれていないため、就寝前や幼児が飲むのにも適している。</t>
        </is>
      </c>
      <c r="J8644">
        <f>HYPERLINK("https://www.weblio.jp/content/幼児", "词义详情")</f>
        <v/>
      </c>
      <c r="K8644">
        <f>HYPERLINK("https://yourei.jp/幼児", "查看例句")</f>
        <v/>
      </c>
    </row>
    <row r="8645">
      <c r="A8645" t="inlineStr">
        <is>
          <t>様式</t>
        </is>
      </c>
      <c r="B8645" t="inlineStr">
        <is>
          <t>成功</t>
        </is>
      </c>
      <c r="C8645" t="inlineStr">
        <is>
          <t>読み方：ようしき
１ある範囲の事物・事柄に共通している一定の型・方法。スタイル。「古い—の家具」「書類の—」
２ある時代・流派の芸術作品を特徴づける表現形式。「飛鳥(あすか)—を模倣する」「—美」
３習慣・約束などで定められたやり方。「生活—」「行動—」
→形式［用法］</t>
        </is>
      </c>
      <c r="D8645" t="inlineStr">
        <is>
          <t>様式化(3%)；様式的(2%)；様式建築；様式論；様式d</t>
        </is>
      </c>
      <c r="E8645" t="inlineStr">
        <is>
          <t>手；体；型；方法；種</t>
        </is>
      </c>
      <c r="F8645" t="inlineStr">
        <is>
          <t>作曲様式；後期ゴシック様式；生活様式；音楽様式；新しい様式</t>
        </is>
      </c>
      <c r="G8645" t="inlineStr">
        <is>
          <t>様式史研究</t>
        </is>
      </c>
      <c r="H8645" t="n">
        <v>29</v>
      </c>
      <c r="I8645" t="inlineStr">
        <is>
          <t>他にも例は少ないものの様々な結合様式が存在することがわかっている。；名称、様式・形式が何から由来しているかについての結論は出ていない。；以下の画像の楽器は18世紀フランス様式のものであり、後者に属する。；和服の特徴を表す言葉を中心に、衣服の様式を表す言葉をここに集めた。；すなわち担い手は同じであるが、文化様式が変化したということである。；これらは女性と様式化された装飾の組み合わせが特徴的である。；この町の建築物や装飾物の多くははっきりと分かるスウェーデン様式である。；ほとんどは撮影部と録画部が一体化したカムコーダ様式のものである。；基本教練とは個人および部隊の基本動作を統制する一定の動作様式である。；装飾が質素なことは、上古の日本建築の様式を固定化したためといえる。；貨幣などの図案にも、インド土着の様式が強く現れるようになっている。；以上の二種類の鎖は、以下の結合様式で結合し網目構造をとっている。；現代にまで続く様々な演劇の理論や様式が、この時代に形作られた。；動物媒の受粉様式は動物と植物の共進化の例として研究がなされている。；シュメールの時代から大きくは変わらない様式で建造されている。；北側の側廊の壁には突き出した形の後期ゴシック様式の壁龕が見られる。；フランドルではリュベンスの登場により新しい絵画の様式が確立される。；これにあわせ、多くの学校では通知表の様式の変更を行うなどの混乱が生じた。；しかしその様式については留保し、いつまでも模倣し続けはしなかった。；これはステュアート家の後継者たちが理解するのに失敗した統治様式である。；能との関係はよく知られているが、俳句の様式や精神も浸透している。；帰郷後5年間で、彼は潜在的な北部様式にイタリアで得たものを統合した。；それを土台にベートーヴェンがさらに豊かにその様式を発展させた。；スタンプの図案は長方形の二重枠の中に駅舎の絵という様式に統一された。；ただし本来これは演奏様式の拡張用ではなく、誤差を調整するためのものである。；受粉様式は種子植物の進化上で重要であり、花の形質に反映されている。；その際、様式を統一するために旋律素材を共有することもあった。；この様式は従来、神に捧げる奉納の品を納める建物にのみ用いられていた。；これは人間の場合は様々な性的興奮の様式があるためである。</t>
        </is>
      </c>
      <c r="J8645">
        <f>HYPERLINK("https://www.weblio.jp/content/様式", "词义详情")</f>
        <v/>
      </c>
      <c r="K8645">
        <f>HYPERLINK("https://yourei.jp/様式", "查看例句")</f>
        <v/>
      </c>
    </row>
    <row r="8646">
      <c r="A8646" t="inlineStr">
        <is>
          <t>洋室</t>
        </is>
      </c>
      <c r="B8646" t="inlineStr">
        <is>
          <t>成功</t>
        </is>
      </c>
      <c r="C8646" t="inlineStr">
        <is>
          <t>読み方：ようしつ
西洋風の部屋。洋間。⇔和室。</t>
        </is>
      </c>
      <c r="D8646" t="inlineStr">
        <is>
          <t>洋室風</t>
        </is>
      </c>
      <c r="F8646" t="inlineStr">
        <is>
          <t>等洋室；りっぱな洋室</t>
        </is>
      </c>
      <c r="H8646" t="n">
        <v>29</v>
      </c>
      <c r="I8646" t="inlineStr">
        <is>
          <t>ああ、私は完全に、この狭い洋室のなかに閉じこめられてしまったのだ。；午前中だと、奥にあるいくつかの洋室で一服するくらいのことはできた。；だが、それにしても私はどうしてこの洋室から出ていったらいいのだろう。；契約したのは右端にある一棟の一部を成した五坪ばかりの洋室であつた。；その平屋の建物は玄関の左が十畳の洋室になり、その奥が六畳の茶の間だ。；三メートルばかりの廊下の左右に洋室と和室があり、奥が居間と浴室だ。；高木の母は洋室が嫌いで、どの部屋にもソファや椅子をおいていなかった。；ベランダに面した十畳ほどの洋室に入った四人は、一瞬、立ちすくんだ。；玄関の奥の十二畳の広さの洋室のソファの上で京子は待っていた。；四十畳の洋室にはファンからのプレゼントが山となって積まれていた。；二階には、二つの和室とかつて智子の部屋であった洋室がひとつある。；広くもない窓のしまったまがい洋室の内には、煙草のけむが濛々である。；だが二人で使う部屋にしては、この十畳ほどの洋室はひどく殺風景な印象があった。；洋室にはダブルベッドが置かれ、彼女は寝室に使っているようだった。；洋室の右手に間仕切りの襖があり、その向うにもう一部屋あるらしい。；ホテルというのは洋室で六室以上とか、面積の広さも決まってたんだけどね。；畳の部屋がなくなり、洋室オンリーになってみて自分の原点に戻ったのだ。；その部屋は日本間だったが、その隣の洋室は、雨戸が閉らぬ洋間だった。；外国人の港湾関係者・造船関係者の宿泊用に洋室3室も作られている。；警察の意識を実際の現場である洋室からそらしたくて、ついそう話してしまったのだ。；一時は客室として使っていた八畳の洋室を、二人の寝室にしていた。；新城は二階の十五畳ほどの洋室を与えられ、外出も自由ということであった。；わたしが通されたのは、広々とした、黒光りのする板張りの洋室だった。；そして二人は、六畳の日本室と円形の洋室とがじかに接してるのへ案内されました。；また走って、子供が集まっている奥の洋室にもどっていく。；庭を見下ろす十畳ほどの洋室で、以前はテレビが置いてあった。；洋室のドアは女中たちが平素かけない習慣になっているので他の何者かがかけたことは明かだ。；もっとも洋室と言えば聞こえがいいが、板張りの部屋にすぎない。；玄関から入ってすぐに、風呂場と簡単な台所があり、その奥が八畳の洋室になっていた。</t>
        </is>
      </c>
      <c r="J8646">
        <f>HYPERLINK("https://www.weblio.jp/content/洋室", "词义详情")</f>
        <v/>
      </c>
      <c r="K8646">
        <f>HYPERLINK("https://yourei.jp/洋室", "查看例句")</f>
        <v/>
      </c>
    </row>
    <row r="8647">
      <c r="A8647" t="inlineStr">
        <is>
          <t>容赦</t>
        </is>
      </c>
      <c r="B8647" t="inlineStr">
        <is>
          <t>成功</t>
        </is>
      </c>
      <c r="C8647" t="inlineStr">
        <is>
          <t>読み方：ようしゃ
［名］(スル)
１ゆるすこと。大目に見ること。
「もう遣り切れないと云った様子を先刻から見せている津田を毫も—しなかった」〈漱石・明暗〉
２手加減すること。控え目にすること。「—なく追及する」</t>
        </is>
      </c>
      <c r="D8647" t="inlineStr">
        <is>
          <t>容赦もなく(8%)；容赦なく(4%)；容赦無く；容赦ない攻撃；容赦なかった</t>
        </is>
      </c>
      <c r="E8647" t="inlineStr">
        <is>
          <t>許し；許す；許容；寛大；慈悲</t>
        </is>
      </c>
      <c r="F8647" t="inlineStr">
        <is>
          <t>ご容赦；情容赦；御容赦；なさけ容赦；容赦なく襲いかかる</t>
        </is>
      </c>
      <c r="G8647" t="inlineStr">
        <is>
          <t>容赦なき戦争</t>
        </is>
      </c>
      <c r="H8647" t="n">
        <v>29</v>
      </c>
      <c r="I8647" t="inlineStr">
        <is>
          <t>われわれは古い友達同士なのだから、お互いに容赦しなくちゃならない。；じつをいうと、隊員たちは人気取りだけで物を言う人間を容赦しません。；今でも視線は強いが、子供の時の視線には容赦のない強さがあったようだ。；さらには、自分たちに反意を持つ者は同じ生徒であろうとも容赦はしない。；他の姉妹たちによれば特にユニティのいたずらは容赦がなかったという。；自分自身の銀色の指が、情け容赦なく、自分の喉の方に動いていたのだ。；一度も会ったことのないような人間までも情け容赦もなく迫害するんです。；あまりにも容赦ない攻撃だから、身をまもるには同じく戦う一手である。；いかに遠隔であっても人が住んでいる所は容赦することはなかった。；信長が上京を容赦しなかったのは、寺院が多い故であろうとも云われている。；チャイコフスキーが5人組の面々を分析する目は容赦のないものだった。；雪が容赦なく降りかかってくるので、二人はそばの建物の壁際に身を寄せた。；そして、それを用いる場合は、絶対に、遠慮も容赦もしなかったのです。；これから先ひとことでも口をきいたら、今夜ばかりは容赦しねえんだ。；もう旧い話になるから、少し御迷惑かもしれないが、御容赦を願いたい。；でも反撃するしかないと判断したときは、これはもう容赦も何もないわけね。；しかし、眠りの中にあっても、なおそれは不安な、容赦ない世界であった。；二時から四時までは、じぶんの時間なので、ただの一分も容赦しない。；彼女を不快にさせていた容赦のない魔力が、今、彼女をあやつっていた。；住民たちは彼がなさけ容赦のない男であることをよく知っていた。；本当にウルはあなたの考えているような厳しく容赦ない神なのかしら。；情け容赦もなく、まったく残忍な殺し方をしたということも知っている。；今日の日本人の反省は、こゝまで容赦のないものでなければならぬと思ふ。；アリシア人は侵入されることを欲しないし、またそれを容赦しないだろう。；容赦のない性格だが、弟子のテオに関する事柄には違った態度を見せる。；同じような場合、彼ならば、なんの容赦もなく相手を殺しただろう。；一歩ごとに血をしたたらせ、狼のような容赦ない追手に蹂躙されていく。；その容赦のなさには友人のカルテンさえもが衝撃を受けていた。；着陸を認める惑星もあったが、そこでは容赦のない搾取が行なわれた。</t>
        </is>
      </c>
      <c r="J8647">
        <f>HYPERLINK("https://www.weblio.jp/content/容赦", "词义详情")</f>
        <v/>
      </c>
      <c r="K8647">
        <f>HYPERLINK("https://yourei.jp/容赦", "查看例句")</f>
        <v/>
      </c>
    </row>
    <row r="8648">
      <c r="A8648" t="inlineStr">
        <is>
          <t>洋食</t>
        </is>
      </c>
      <c r="B8648" t="inlineStr">
        <is>
          <t>成功</t>
        </is>
      </c>
      <c r="C8648" t="inlineStr">
        <is>
          <t>読み方：ようしょく
西洋風の料理や食事。西洋料理。⇔和食。</t>
        </is>
      </c>
      <c r="D8648" t="inlineStr">
        <is>
          <t>洋食レストラン(3%)；洋食屋(2%)；洋食メニュー；洋食堂；洋食弁当</t>
        </is>
      </c>
      <c r="E8648" t="inlineStr">
        <is>
          <t>西洋料理</t>
        </is>
      </c>
      <c r="F8648" t="inlineStr">
        <is>
          <t>色町洋食；洋食風</t>
        </is>
      </c>
      <c r="G8648" t="inlineStr">
        <is>
          <t>洋食店；洋食器；洋食焼き；洋食化；洋食器メーカー</t>
        </is>
      </c>
      <c r="H8648" t="n">
        <v>29</v>
      </c>
      <c r="I8648" t="inlineStr">
        <is>
          <t>友人達はまた洋食をとり、それがすむと再びまた昨夜の遊びをつづけた。；ここでは、日本で一般的に知られている洋食のグラタンを主に紹介する。；需要は洋食をとる人が限られた太平洋戦争前にはそれほど普及しなかった。；つまり肉や脂肪を主体にした洋食のほうが、腹のもちはよいのである。；それを調理するのには、洋食といえば一口も食べられぬ母が当りました。；やがて紳士は、ある立派な洋食屋へはいって昼の食事を始めました。；戦後日本の輸出を支えたのは燕の洋食器とブリキ玩具とも言われている。；これは洋食の料理から、おのずと日本食の膳にも移って来たものであろう。；妻子不要論のキザな洋食店の若主人と対照させながらドラマが展開する。；西洋料理のことを洋食といい出したのは、ずっと後のことなんですナ。；こんな所で堂々と洋食を食べられるほどの器量は身につけていない。；祖父は洋食のレストランおよびレコード、楽器店を営んでいた野坂康久。；主人公は洋食の修業をしたものの父に命じられて寿司屋を継いだ男。；が、洋食の食べかただけはどうしても気にかかってならなかった。；この洋食はいつも昼食の時にでるのであるが、その時に飯も白い飯である。；職員食堂の他に和食のけやきというのと、洋食のレストラン東京もある。；寄宿生活で一番の楽しい時は、月に一度「洋食」がでることであった。；大阪の洋食なら、何と言つても朝日新聞の上のアラスカださうである。；デパートの食堂のように丼物もあれば洋食もあるといった感じなのだ。；洋食を提供するレストランにも置かれていることがある。；悪いたとえだが、二人のあいだには和食と洋食ほどの違いがある。；神戸では同種の料理を「肉天」と呼び、洋食という言葉は使用されない。；そして、当時急速に普及しつつあった洋食を取り入れることを思いついた。；ところが、僕は、色町洋食なんて、うまい言葉は使ったことがないんだ。；階下は土間になつてゐて、洋食部と書いた黒塗の看板がかゝつて居た。；我人民は洋食の旨否を嘗るの知見を増して文明を進めたるものなり。；彼は洋食と云っても魚のフライ位は出来るだろうと思った。；ここまでくると、たいていホテル生活や洋食にもなれてきた。；洋食を食べてから余りたたない腹へ、無理に茶漬を一二杯つめこんだ。</t>
        </is>
      </c>
      <c r="J8648">
        <f>HYPERLINK("https://www.weblio.jp/content/洋食", "词义详情")</f>
        <v/>
      </c>
      <c r="K8648">
        <f>HYPERLINK("https://yourei.jp/洋食", "查看例句")</f>
        <v/>
      </c>
    </row>
    <row r="8649">
      <c r="A8649" t="inlineStr">
        <is>
          <t>用心</t>
        </is>
      </c>
      <c r="B8649" t="inlineStr">
        <is>
          <t>成功</t>
        </is>
      </c>
      <c r="C8649" t="inlineStr">
        <is>
          <t>読み方：ようじん
［名］(スル)
１心をくばること。気をつけること。「風邪をひかないように—する」
２万一に備えて注意・警戒を怠らないこと。「火の—」「—の悪い家」</t>
        </is>
      </c>
      <c r="D8649" t="inlineStr">
        <is>
          <t>用心ぶかく(7%)；用心ぶかい(2%)；用心しろ；用心なさい；用心深さ</t>
        </is>
      </c>
      <c r="E8649" t="inlineStr">
        <is>
          <t>見る；注意；守る；集中；監視</t>
        </is>
      </c>
      <c r="F8649" t="inlineStr">
        <is>
          <t>ご用心；ぬよう用心；いくら用心；十分用心；ひどく用心</t>
        </is>
      </c>
      <c r="G8649" t="inlineStr">
        <is>
          <t>用心棒；用心深い；用心深；用心堅固；用心棒日月抄</t>
        </is>
      </c>
      <c r="H8649" t="n">
        <v>29</v>
      </c>
      <c r="I8649" t="inlineStr">
        <is>
          <t>実際それだけのご用心がなければ、あのような仕事は出来ませんからな。；少年は自分の身体を見られないように用心しながらその城を見ていた。；静かに戸を開けて庭に出て、向うの森の方へできるだけ用心して進んだ。；しかし、用心はどこでも必要であって、ここだけのことではありません。；お前さんはそこに気が付いて、用心してゐなくてはならないのであつた。；足を踏み外さないようにと用心する動作は過去の記憶を蘇らすのだった。；やっぱりすこし風邪の用心が必要で、近所への散歩もまだ出ませんから。；なぜそんなに用心をするかと申せば、ごく危険な地方だからであります。；だがそういうような濫用を一切されないようにわたしは用心してきたのさ。；全株式を公募しましたが、用心して大部分を自分が持つようにしました。；そもそも何を恐れて、これほどの用心をしなければならなかったのか。；常々みんなの気を悪くせぬように用心しなければならないためだった。；以前大臣をしていた人が洋行するので、僕に屋敷の用心のことを相談した。；それから用心のために、写したものは自分の下宿へ行ってしまって来た。；人影が近くなると、彼は体の位置をかえて見られないように用心した。；こう用心して床の上を見まわしたが、どこにも時計は見えなかった。；風邪が癒ったと聞くと相手が用心するから、四五日我慢して寝ていたんだ。；これなら何も用心することはないと、私はいささか安堵することが出来た。；いやな話だからさ、用心のために張と僕をいっしょに連れていけばいいだろう。；それから静かに足を運び老武士の姿の消えた辺まで用心しながら近付いた。；ケージはブーレーズとの作曲姿勢の違いについて用心していたとされる。；それでもこの頃は、あまり無理は出来ないと自分でも用心している。；主人は客が怒っていたので、きっと復讐にくるだろうと思って用心していた。；もし私が恐がつて、本当に用心をしなかつたらどんな事になつたらう!；一方で人間側も用心して、見知らぬ山野を歩く際は杖を横向きに構えた。；ただし、その向う側には引き込まれないように用心しなければいけない。；いつも私は用心して、裸のところを見せないようにしていました。；我々はめいめい自分の家にいながら用心を怠ることができないからだ。；大いにこの点を聞いてみたかったが、用心して何も言わなかった。</t>
        </is>
      </c>
      <c r="J8649">
        <f>HYPERLINK("https://www.weblio.jp/content/用心", "词义详情")</f>
        <v/>
      </c>
      <c r="K8649">
        <f>HYPERLINK("https://yourei.jp/用心", "查看例句")</f>
        <v/>
      </c>
    </row>
    <row r="8650">
      <c r="A8650" t="inlineStr">
        <is>
          <t>用心深い</t>
        </is>
      </c>
      <c r="B8650" t="inlineStr">
        <is>
          <t>成功</t>
        </is>
      </c>
      <c r="C8650" t="inlineStr">
        <is>
          <t>読み方：ようじんぶかい
［形］［文］ようじんぶか・し［ク］よく注意して十分に心をくばっている。警戒心が強い。「失礼がないように—・く発言する」</t>
        </is>
      </c>
      <c r="D8650" t="inlineStr">
        <is>
          <t>用心深い男(5%)；用心深い性格(4%)；用心深い人間；用心深い態度；用心深い目つき</t>
        </is>
      </c>
      <c r="E8650" t="inlineStr">
        <is>
          <t>懐疑的；疑わしげ；疑い深い；疑り深い；疑いぶかい</t>
        </is>
      </c>
      <c r="F8650" t="inlineStr">
        <is>
          <t>きわめて用心深い；かなり用心深い；用心深い足どり；用心深い人物；ひどく用心深い</t>
        </is>
      </c>
      <c r="H8650" t="n">
        <v>29</v>
      </c>
      <c r="I8650" t="inlineStr">
        <is>
          <t>そして光と反対の方向に顔を向けてから、用心深く再び眼を開いてみた。；その口調は、彼がふたたび用心深くなったことを告げているようだった。；それを見て、あとの二人は、ちょっとばかり用心深くなったようだった。；彼は用心深く側面の小さいドアの所に行き、念入りにそのドアを調べた。；私はその船が用心深く、少しずつ島へ近づいてくるのを見ていました。；いつも、こうして失敗しているので、私はすっかり用心深くなっていた。；われわれ弁護士は習慣的にああいう用心深い手を打ってしまうんでしょうな。；そこで彼は片手を壁に触れながら、用心深く奥のほうへ進んで行った。；用心深い彼はいつもしのびの者を国内に放って情報を集めているのだ。；横内も用心深さでは引けをとらない性質ゆえに、一言が出てしまうのだ。；それが野生化してから、ひどく警戒心が強くなり、用心深くなっていた。；人類が吸血鬼の手で滅ぼされてしまったんだ、用心深くなるのが当然だ。；まるで、高いところから飛び降りようとしているような用心深い態度だ。；そこで扉のずつと先の方に手をかけて、用心深く六吋ほど引きあけてみた。；石津萌は用心深い小動物のように、左右を見まわして田代の前に座った。；これらの病気から遠ざかるかまたは用心深い能力をもって近づきなさい。；一瞬かれは理解したと思ったが、その眼はすぐに用心深く無表情になった。；臆しているとは思わなかったが、用心深くなっていることは事実であった。；頑丈な扉の向こうで、明らかに二人の男が低声で用心深く話している。；責任のない者も、完全に全てのことに用心深い人もいないのだから。；その奥には用心深そうな目が光っていて、口は真一文字に結んでいる。；ほんのわずかに開いたまぶたの間から、彼は用心深くあたりを偵察した。；用心深いと言えば体裁はいいが、要するに他人を信頼できないのである。；なにかにつけ、わたしは彼女が不必要なほど堅くて用心深いと思いました。；私はそれを片手でつかんで、用心深く少しずつ力を入れてひっぱってみた。；何事でも用心深くやって行くあの人の気だてが出て来るのであろう。；基本的には通常の妖怪と同じだが、用心深く、夜の間しか姿を現さない。；が、次の瞬間用心深いに越したことはないという考えが勝ちを占めた。；すぐに計画自体が失敗したことを知り、あとは用心深く世渡りするだろう。</t>
        </is>
      </c>
      <c r="J8650">
        <f>HYPERLINK("https://www.weblio.jp/content/用心深い", "词义详情")</f>
        <v/>
      </c>
      <c r="K8650">
        <f>HYPERLINK("https://yourei.jp/用心深い", "查看例句")</f>
        <v/>
      </c>
    </row>
    <row r="8651">
      <c r="A8651" t="inlineStr">
        <is>
          <t>様子</t>
        </is>
      </c>
      <c r="B8651" t="inlineStr">
        <is>
          <t>成功</t>
        </is>
      </c>
      <c r="C8651" t="inlineStr">
        <is>
          <t>読み方：ようす
《「す（子）」は唐音》
１外から見てわかる物事のありさま。状況。状態。「当時の—を知る人」「室内の—をうかがう」
２身なり。なりふり。「—のいい人」
３態度。そぶり。「悲しそうな—をする」「手持ち無沙汰な—でいる」
４物事の起きそうなけはい。兆候。「帰る—もない」
５しさい。わけ。事情。「何か—がありそうだ」「—ありげな顔つき」
６もったいぶること。思わせぶり。
「どうも見て居られぬ程に—を売る男で有ッた」〈二葉亭訳・あひゞき〉
[用法]様子・ありさま——「町の様子（ありさま）は変わってしまった」「被災地の悲惨な様子（ありさま）」など、状況の意では相通じて用いられる。◇「様子」の方が一般的に用いられ、意味の範囲も広い。「病人の様子がおかしい」「何か隠している様子だ」「交渉はまとまりそうな様子だ」など、外見だけでなく、そこから受ける印象も「様子」には含まれる。この用法は「ありさま」にはない。◇「ありさま」は外から見える状況の意が中心になる。「ちょっと目を離すと、このありさまだ」のように、結果として生じた状況を表す用法は「様子」にはない。</t>
        </is>
      </c>
      <c r="D8651" t="inlineStr">
        <is>
          <t>様子をじっと</t>
        </is>
      </c>
      <c r="E8651" t="inlineStr">
        <is>
          <t>気；姿；感じ；見え；体</t>
        </is>
      </c>
      <c r="F8651" t="inlineStr">
        <is>
          <t>御様子；ご様子；げな様子；どんな様子；様子がよく観察</t>
        </is>
      </c>
      <c r="G8651" t="inlineStr">
        <is>
          <t>様子み</t>
        </is>
      </c>
      <c r="H8651" t="n">
        <v>29</v>
      </c>
      <c r="I8651" t="inlineStr">
        <is>
          <t>友人のテプケンは青年時代のシューマンの様子を次のように語っている。；相貌は類義を持つほか人の顔立ちに限らず物事の様子を指す場合もある。；電報を読んだ彼の顔は青ざめ、しばらく考えこんだ様子であったという。；その様子をガラス越しに聞いていた永は思わず涙を流したという。；連合軍の司令官や兵士たちはこの様子を見て撤退の準備であると信じた。；自然の地形の項ではその地形の様子と特産品の情報が記されている。；他のエンタープライズとは異なり、航行する様子が描かれたことはない。；歴史作家でジャーナリストのは、この時の様子を以下のように記している。；町は、1世紀の古代ローマ人たちの生きた生活の様子をそのまま伝える。；番組放送中はスタジオ内の様子の写真がスライドショー形式で表示された。；それには女性らしき人物が複数の球を空中に投げ上げている様子が描かれている。；劇中でもデス・スターが惑星オルデランに接近する様子が描かれている。；予約人数を変更したことが気になって様子を見に来たのだった。；その内容は宮中での生活や狩猟の様子などを韻文にして書かれている。；その様子は自殺の二日前に描いた遺稿『ガラス窓』でも見ることが出来る。；そして人々の様子や上空の月の状態もまた、町を訪れた時のように戻っていた。；これは、全ての人に平等に手を差し出している様子であると言われる。；駅裏にはストックヤードがあるが、既に使用されていない様子である。；あちこちに爪を伸ばし食い込んでゆく様子をこの言葉で表現した。；しかし春秋末期最強の都市国家晋が三分割されたころから様子が変わる。；重要なことは、整数の素因数への分解の様子を明確に知ることである。；本番組の舞台となる宮城県仙台市の風景や様子を取り上げている。；thumb|上の写真がゲーム開始直後、下の写真がゲーム終了後の様子。；嬬恋村の商業の中心となる三原地区の様子や町並みが車窓右手に広がる。；窓からアプリケーションを覗いているような様子からこの名前が付けられた。；時として胸の上に鏡が置かれ、鏡から煙が生じている様子で描かれる場合もある。；円盤の中には4名の人影が何らかの作業をしている様子が見えた。；銃声が止んだ後外に出てきた2人は慌てる様子もなく同じ車で去った。；空港内のみならず、空港周辺を飛行する航空機の様子もうかがうことができる。</t>
        </is>
      </c>
      <c r="J8651">
        <f>HYPERLINK("https://www.weblio.jp/content/様子", "词义详情")</f>
        <v/>
      </c>
      <c r="K8651">
        <f>HYPERLINK("https://yourei.jp/様子", "查看例句")</f>
        <v/>
      </c>
    </row>
    <row r="8652">
      <c r="A8652" t="inlineStr">
        <is>
          <t>要する</t>
        </is>
      </c>
      <c r="B8652" t="inlineStr">
        <is>
          <t>成功</t>
        </is>
      </c>
      <c r="C8652" t="inlineStr">
        <is>
          <t>読み方：ようする
［動サ変］［文］えう・す［サ変］《古くは「ようず」とも》
１必要とする。「急を—・する問題」「この仕事は熟練を—・する」
２要約する。要点をまとめる。「全文を—・して一頁にする」
３待ち伏せする。
「我等を—・して卜筮せんとしつれど」〈鴎外訳・即興詩人〉</t>
        </is>
      </c>
      <c r="D8652" t="inlineStr">
        <is>
          <t>要求；必要な；必要がある；求める；要約</t>
        </is>
      </c>
      <c r="H8652" t="n">
        <v>29</v>
      </c>
      <c r="I8652" t="inlineStr">
        <is>
          <t>この場合の移動に要する時間には、途中で停止している時間も含まれる。；日本の地形を論じる際に海外の用語を採用する場合には注意を要する。；本シリーズでは改造を要する自動車型メカの撮影用車輌が2台となった。；この効果は印刷分野や画像処理分野では特に注意を要するものである。；ただしごく一部の端末設備は互換性の問題から改修を要する場合もある。；また3つ以上のボタンを要求する場合は、とっさの判断に注意を要する。；干拓事業は結果が出るまで長い年月を要するため、清は良い顔をしない。；調子において、一部の調子の名が双方の流派で異なるため注意を要する。；両駅は多少離れており、この駅での乗り換えには多少の時間を要する。；本罪が成立するためには、これら両者がともに危殆化されることを要する。；ATPはエネルギーを要する生物体の反応素過程には必ず使用されている。；またトンネル部はスピード感覚が希薄になるため走行速度には注意を要する。；以下には現在先物取引がされていないものも含まれていることに注意を要する。；クラシック音楽で使用される楽器の中では非常に熟練を要する楽器である。；金めっきを含む金製品の製造は大蔵大臣の許可を要するものとなった。；鶴市町や鬼無の一部ではすれ違いが困難な区間があるので注意を要する。；蒸気機関車の場合、現在は半年近くの時間を要することがほとんどである。；それだけの金があれば他にもっと緊急を要する道路問題はいくらでもある。；飢えた時に食を要することから、穀物の神が生じたと考えられている。；金製品を製造する場合には大蔵大臣の許可が要することとされた。；加えて直接地上が見える状態であるため、高所が苦手な人は注意を要する。；JRの駅舎とは直接つながっておらず、両駅間は徒歩で数分を要する。；不動産の譲渡は法廷においてすることを要するとするのがその例である。；このため双方をまたいで移動するような利用の際には移動時間などに注意を要する。；耳腺の毒液は勢いよく噴出することもあるので、これにも注意を要する。；これは人文学分野におけるシンボルとは意味が異なるため注意を要する。；今日でもなお、慎重な検討を要する用語であることに変わりない。；前述の無償修理を受ける場合には当然ながらそれ相応の期間を要する。；このような理由で、過去の文献での年齢表記には注意を要する。</t>
        </is>
      </c>
      <c r="J8652">
        <f>HYPERLINK("https://www.weblio.jp/content/要する", "词义详情")</f>
        <v/>
      </c>
      <c r="K8652">
        <f>HYPERLINK("https://yourei.jp/要する", "查看例句")</f>
        <v/>
      </c>
    </row>
    <row r="8653">
      <c r="A8653" t="inlineStr">
        <is>
          <t>要するに</t>
        </is>
      </c>
      <c r="B8653" t="inlineStr">
        <is>
          <t>成功</t>
        </is>
      </c>
      <c r="C8653" t="inlineStr">
        <is>
          <t>読み方：ようするに
［副］今まで述べてきたことをまとめれば。かいつまんで言えば。つまり。「—勉強をしろということだ」「—君は何を言いたいのかね」</t>
        </is>
      </c>
      <c r="D8653" t="inlineStr">
        <is>
          <t>要するにそういうこと；要するにこういう；要するに其の；要するに単なる；要するに或</t>
        </is>
      </c>
      <c r="E8653" t="inlineStr">
        <is>
          <t>最後に；結果として；言わば；畢竟；詰まり</t>
        </is>
      </c>
      <c r="F8653" t="inlineStr">
        <is>
          <t>まあ要するに；併し要するに；要するにこういうこと</t>
        </is>
      </c>
      <c r="H8653" t="n">
        <v>29</v>
      </c>
      <c r="I8653" t="inlineStr">
        <is>
          <t>要するに何でもないことなんだから、名さえ言えば帰されると言うのだ。；要するに、毎日女性の制服を着てこなければいけないということである。；中には香炉だけの神もあるが、要するに自然的に香炉を神と信じて居る。；しかし深く考えてみれば要するに生きんがための死ではあるまいか。；これは要するにどう云ふことをしても私の気には入らないことになるのでした。；金に依つて、保護されてゐない人格などは、要するに当にならないのだ。；要するに料理屋の主人なる者が、美術的に鑑賞する力がないからである。；要するにお祭りが盛んになると言ふ事は、饗宴が大きくなることであつた。；金に依って、保護されていない人格などは、要するに当にならないのだ。；要するに普通の行き方では真佐子ははじめから適わない自分の相手なのだ。；要するに移植手術を受けた者は幸福になれるのだから、それでいいのだ。；要するに、表の項を絵として捉えて改正する場合の方式に準ずればよい。；要するに形に於ては余り正確なものでないと御承知を願いたい。；光子さんと僕との間は要するにただこれだけのことに過ぎなかった。；要するに伝承が伝承を生んで業平天神の社祠が建立されたものであろう。；要するに天平時代は、今日考えられているような平穏の日ではなかった。；要するに監督ばかりを攻めたところで映画はおもしろくはならないのである。；要するに形骸だけがこの人生に共通のそれゆえまことの真実をもつてゐるのだ。；つまり、王羲之時代の書のレベルは要するに高いものだったのであります。；要するに彼は形式の作品であり、是は内容の作品であると言い得るのである。；此の面白いと云ふのは、要するに、未来なるものゝ性質が解らんからだ。；要するにこの種の霊媒は、初歩の心霊現象を作る為めの機関に過ぎない。；要するに植民地の西洋館であった訳だといっていいかと思う。；要するに短足で座高が高いので座っていると大きく見えたようである。；我々の作る映画は要するに始終見てくれる人々に見せるためのものでしかない。；要するにハシは水を渡る道具の名で、動くハシと動かないハシとがある。；舞台では動きの美しさが全部で、要するに踊りがヘタならダメなのである。；要するに、第一の体系の内に見い出し得て想い得る、全てのものである。；なるほどテルは正直な人には違いないが、要するに愚直な男であったのだ。</t>
        </is>
      </c>
      <c r="J8653">
        <f>HYPERLINK("https://www.weblio.jp/content/要するに", "词义详情")</f>
        <v/>
      </c>
      <c r="K8653">
        <f>HYPERLINK("https://yourei.jp/要するに", "查看例句")</f>
        <v/>
      </c>
    </row>
    <row r="8654">
      <c r="A8654" t="inlineStr">
        <is>
          <t>養成</t>
        </is>
      </c>
      <c r="B8654" t="inlineStr">
        <is>
          <t>成功</t>
        </is>
      </c>
      <c r="C8654" t="inlineStr">
        <is>
          <t>読み方：ようせい
［名］(スル)養い育てること。また、教え導いて一定の技能を身につけさせること。「想像力を—する」「パイロットを—する」</t>
        </is>
      </c>
      <c r="D8654" t="inlineStr">
        <is>
          <t>養成する(21%)；養成課程(4%)；養成講座(4%)；養成コース；養成教育</t>
        </is>
      </c>
      <c r="E8654" t="inlineStr">
        <is>
          <t>開発；展開；発展；教育；成長</t>
        </is>
      </c>
      <c r="F8654" t="inlineStr">
        <is>
          <t>人材養成；パイロット養成；騎手養成；俳優養成；養成法</t>
        </is>
      </c>
      <c r="G8654" t="inlineStr">
        <is>
          <t>養成学校；養成機関；養成校；養成施設；養成訓練</t>
        </is>
      </c>
      <c r="H8654" t="n">
        <v>29</v>
      </c>
      <c r="I8654" t="inlineStr">
        <is>
          <t>志願期を終えた後でようやく養成の正式な第一段階である修練期に入る。；中央幹部学校には研究部という幹部の中の幹部を養成する組織があった。；大型機と同じ配置であるため輸送機や旅客機のパイロット養成に使われる。；人間の内的な力を強力にし、瞬間的な爆発力を養成することを目的とする。；士官学校等の幹部養成を経ない場合は、多くの場合ここからの階級になる。；学校は再建や建築され、新しい教師は養成しなければならなかった。；日本でもアメリカ方式の養成方式を行うことが検討されている。；国際人養成を目的にした専門職大学院の草分け的な存在として知られる。；この装置は訓練装置としては画期的で大勢のパイロットが養成された。；当時、社会からの要請で1人でも多くの歯科医師の養成が急務であった。；その徒弟養成のための学校が庫裡に設けられ、後に境内地に建てられた。；後にアメリカ合衆国に留学し、アメリカ軍の幕僚養成大学でも学んでいる。；子役や若手俳優らの養成をしており、芦田愛菜の演技指導の先生である。；自衛隊が管理する飛行場に関しては隊内で養成された隊員が担当している。；工学部の教育は、主として技術者及び研究者の養成を目的して行われる。；なお、パイロット自社の養成は行っておらず、有資格者を採用している。；また病院内に准看護師を養成するための准看護学院も設置されていた。；国内の文化財の研究や運用に寄与する全ての職員の養成に協力する。；芸術学部は、芸術家の養成、芸術学の研究を主な目的とする大学の学部。；洪家拳の養成するべき功夫に以下の十二種類の功夫が伝えられている。；の士官養成コースに参加していたダヤンもイギリス当局に逮捕される。；番組では声優を目指す人たちをアシスタントとして約1年間養成していた。；また、書記の養成のためと見られる文字リストも発見されている。；東京都の産業振興に寄与する高度専門技術者の養成を目的としている。；幹部候補生学校は自衛隊や各国の軍隊の将校・士官を養成する学校である。；そのため対人練習に非常に多くの時間を割き内部感覚を養成する。；フランスの薬学部の薬剤師養成課程はは国費で賄われている場合が多い。；高麗は役人を養成するために、全国に多くの学校を建てて民衆への教育を奨励した。；獣医師を養成するための「獣医学科」を持つ全国17大学の一つである。</t>
        </is>
      </c>
      <c r="J8654">
        <f>HYPERLINK("https://www.weblio.jp/content/養成", "词义详情")</f>
        <v/>
      </c>
      <c r="K8654">
        <f>HYPERLINK("https://yourei.jp/養成", "查看例句")</f>
        <v/>
      </c>
    </row>
    <row r="8655">
      <c r="A8655" t="inlineStr">
        <is>
          <t>要請</t>
        </is>
      </c>
      <c r="B8655" t="inlineStr">
        <is>
          <t>成功</t>
        </is>
      </c>
      <c r="C8655" t="inlineStr">
        <is>
          <t>読み方：ようせい
［名］(スル)
１必要だとして、強く願い求めること。「会長就任を—する」
２⇒公準(こうじゅん)1</t>
        </is>
      </c>
      <c r="D8655" t="inlineStr">
        <is>
          <t>要請する(7%)；要請される；要請書；要請文；要請されれ</t>
        </is>
      </c>
      <c r="E8655" t="inlineStr">
        <is>
          <t>使用；主張；求め；要求；求める</t>
        </is>
      </c>
      <c r="F8655" t="inlineStr">
        <is>
          <t>救援要請；強い要請；協力要請；援軍要請；強く要請</t>
        </is>
      </c>
      <c r="H8655" t="n">
        <v>29</v>
      </c>
      <c r="I8655" t="inlineStr">
        <is>
          <t>歴代天皇の厳密な確定が要請されたのは、明治時代になってからである。；上記の特定行為を行う際にはオンラインで医師に指示を要請する必要がある。；アイルランド政府の要請に応じて中国との間で数百便の運航が予定された。；これを上演すると、ニューヨーク大司教区から上演中止の要請があった。；中隊長クラスの優秀なパイロットの要請に応じて開発されたタイプ。；幕府は方針変更を長崎のオランダ商館長に諸外国に伝えるよう要請した。；しかし、以下の事例のように環境ホルモンの研究の要請は続いている。；理論を応用し、社会的要請に応えることが目的の学部とは異なる面がある。；神は、幸福と徳の一致である「最高善」を可能にするために要請される。；これは後退にも見えるが、当時の人材事情から来る時代の要請である。；ロシアは要請に応じてタジキスタン内のロシア軍基地の使用準備を開始した。；これに対して三部会の開催が要請されたのがフランス革命の遠因である。；実際に被害者の親族が立ち会えるように要請したが拒否されている。；しかし他の要請を選んで熱力学を展開していくスタイルもある。；当時、社会からの要請で1人でも多くの歯科医師の養成が急務であった。；しかし、国民政府や大学の再三の要請を受け、同年夏に就任を受諾した。；この実現には、関空側からの運行要請も背景にあるとされている。；かつて吉田は同所発足時に所長就任を要請されたときはこれを断っていた。；カラヤン死後、ヴァイツゼッカー大統領の要請で最晩年に指揮をしている。；諸国は課税再開を要請したが、結局即位10年まで課税停止は延長された。；阮朝は抵抗することができずに講和を要請し、8月25日にが締結された。；そのためには海軍の要請する203高地攻略は弾薬節約の点から反対だった。；警察庁では、同社を含む携帯電話各社に本人確認の徹底を再度要請した。；この要請に、ボーマルシェ自身の男性的な魅力が影響していたかどうかはわからない。；古墳時代になると、朝鮮半島南部から軍事的な要請から馬の輸入が開始された。；南明は日本の江戸幕府に何度も援軍の派遣や物資援助を要請している。；問題そのものは初等的に記述できても本質的に現代数学の概念を要請するものが多い。；なお、この案では、国際的な援助が要請される遺産のリストのみが想定されていた。；結局彼は一度も帝国議会に出席せず、再度の出馬要請も拒否した。</t>
        </is>
      </c>
      <c r="J8655">
        <f>HYPERLINK("https://www.weblio.jp/content/要請", "词义详情")</f>
        <v/>
      </c>
      <c r="K8655">
        <f>HYPERLINK("https://yourei.jp/要請", "查看例句")</f>
        <v/>
      </c>
    </row>
    <row r="8656">
      <c r="A8656" t="inlineStr">
        <is>
          <t>容積</t>
        </is>
      </c>
      <c r="B8656" t="inlineStr">
        <is>
          <t>成功</t>
        </is>
      </c>
      <c r="C8656" t="inlineStr">
        <is>
          <t>読み方：ようせき
１容器の中に満たしうる分量。容量。
２立体によって占められる空間の大きさ。体積。</t>
        </is>
      </c>
      <c r="D8656" t="inlineStr">
        <is>
          <t>容積比；容積あたり；容積確保；容積型；容積拡大</t>
        </is>
      </c>
      <c r="E8656" t="inlineStr">
        <is>
          <t>量；大きさ；容量；体積；分量</t>
        </is>
      </c>
      <c r="F8656" t="inlineStr">
        <is>
          <t>内部容積；室容積；車内容積；大きな容積；室内容積</t>
        </is>
      </c>
      <c r="H8656" t="n">
        <v>29</v>
      </c>
      <c r="I8656" t="inlineStr">
        <is>
          <t>船の容積の半分以上がタンクなのだが、もちろんすべて空になっている。；そしてあの犬もスマートから見れば、どこともなしに容積がないやうだ。；日本の投入量は、放射能では少なく、容積では英国や旧ソ連よりも多い。；居住容積は問題でなく、何世紀先になろうと問題になり得ないことだった。；決められた容積の中で限界以上の重装備をすれば必ずどこかに皺寄せが来る。；しかし大原君、君の腹の容積にも限あるだろうが、よくそんなに入るね。；複数の施設を持つために、ある程度の面積または容積が必要となる。；腕の組織を変化させて伸ばしたり、容積を変えて体を巨大化させることができる。；あらゆる箪笥には一定の容積ないし空間があって、きちんと計算できる。；結婚してからも、顔のない男は、井沢の過去の中の重要な容積を占めていた。；この時期、黒田の意識の中に少しずつ容積を増してきたものがある。；男自身の肉体が有する容積と、その岩の容積とは、ほとんどかわりはない。；つまり、艦がその全容積の十分の九だけの海水を排除するようにしたのです。；即ち近代絵画の画面の容積は狭まって来ている事は確かである。；射距離は弾体装填部の高さおよび装薬薬室の容積を変化させて調整された。；このようにして容積と重量とを節約した本や雑誌をフンダンに前線に送る。；それは想像できる子供の小さな頭の容積から差し引くには多過ぎるくらいの量に見えた。；彼女の体の容積を、自分に対して発揮される魅力の力として、彼は感じた。；石は容積の単位だが、ここでは石数に相当する米の重量を示す。；また容積だけでなく、同時に長さと重さの標準器ともなっていたことが分かっている。；体と脳の容積の比率から、鮫や恐竜のたぐいを類推してしまうのだろう。；蒼白い顔をして、息をつめて、蝦蟇のようにどっしりとした容積だった。；これは、ピストンの上向きの動きと、燃焼室の容積の減少の結果である。；頭蓋骨はとてつもない容積だったがそのまま下に目をやって驚いた。；全体的に船の容積に比べて荷が少ないのは、川の水が減っているからだろう。；手の中の空洞の容積を変えることで音程を調整することが出来る。；旧人類の期間に人類の脳容積はピークに達し、それ以降は縮小している。；こうして見るとその美しさは巨人のような偉大さを持ち、容積を持って迫って来ます。；のめり込むほどに、貴代子の意識の中で容積を大きくしてくるものがあった。</t>
        </is>
      </c>
      <c r="J8656">
        <f>HYPERLINK("https://www.weblio.jp/content/容積", "词义详情")</f>
        <v/>
      </c>
      <c r="K8656">
        <f>HYPERLINK("https://yourei.jp/容積", "查看例句")</f>
        <v/>
      </c>
    </row>
    <row r="8657">
      <c r="A8657" t="inlineStr">
        <is>
          <t>要素</t>
        </is>
      </c>
      <c r="B8657" t="inlineStr">
        <is>
          <t>成功</t>
        </is>
      </c>
      <c r="C8657" t="inlineStr">
        <is>
          <t>読み方：ようそ
１あるものごとを成り立たせている基本的な内容や条件。「危険な—を含む」「犯罪を構成する—」
２物を分析したとき、その中に見出されるそれ以上簡単にならない成分。「色の三—」
３法律行為または意思表示の内容において、その表意者に重要な意味をもつ部分。
４数学で、集合をつくっている一つ一つのもの。元(げん)。</t>
        </is>
      </c>
      <c r="D8657" t="inlineStr">
        <is>
          <t>要素技術；要素命題；要素解析；要素毎；要素賦存</t>
        </is>
      </c>
      <c r="E8657" t="inlineStr">
        <is>
          <t>一部；部分；内容；要因；部品</t>
        </is>
      </c>
      <c r="F8657" t="inlineStr">
        <is>
          <t>様々な要素；構成要素；新要素；追加要素；諸要素</t>
        </is>
      </c>
      <c r="G8657" t="inlineStr">
        <is>
          <t>要素従属性；要素還元主義；要素主義；要素内補間；要素の錯誤</t>
        </is>
      </c>
      <c r="H8657" t="n">
        <v>29</v>
      </c>
      <c r="I8657" t="inlineStr">
        <is>
          <t>これらの要素は本作で初めて導入され、以降の作品でも踏襲されている。；しかし、それぞれの要素に例外が多く、全員の共通項を示すのは難しい。；戦争能力は軍事力だけでなく経済的要素は国力の重要な構成要素である。；原作をベースとしているが、オリジナル要素が強い一作となっている。；データと変数を保持するデータ要素を定義するのに使われる命令文がある。；ナンバリングタイトルのパロディ的な要素を含んでいるタイトルもある。；しかしながらこうした要素は物語に必要なものと考えられている。；多くの主要ウェブブラウザのUIには、以下のような共通の要素がある。；その他にも、人間行動の心理的要素や制度的側面も重要な研究対象である。；この「音韻的対立」こそが、言語の分析を行う上で重要な要素でもある。；東ヨーロッパではスラブ宗教の古代の伝統が一神教の要素を含んでいた。；本作品では、過去のシリーズとは異なる独自の要素が多く見られる。；この作品以降、特殊効果が映画の重要な要素として扱われるようになる。；より具体的には以下のような要素を考慮してハードウェアの構成が検討される。；そこには時間的な要素はもはや消失し、活力的なものだけが残されている。；一方で、細胞膜はすべての細胞に必須の要素ではないとも推測されていた。；広義には、一つの体系を構成する個々の要素またはその挙動も意味する。；ストーリーはFC版に基づいているが、大幅な要素の追加・変更が行われた。；要素技術を発明・新開発したものではないものも含まれる。；対輻射源ミサイルを評価するうえで、次のような要素が評価基準となる。；儀式用複合施設はミシシッピ文化の人々の宗教では主要な要素だった。；各地の方言の発音を構成する要素の数には下記のような違いがある。；しかし、政治的な理由で輸出ができなくなるなど不安定な要素も含んでいる。；創刊当初より、本誌はホビーメーカーの宣伝的な要素を強く含んでいる。；他では、島の2つの地域は、文化や習慣のほぼすべての要素を共有している。；これは勝利で終えた戦いを象徴し、戦勝記念の一環である要素が反映している。；そのため、勝敗には純粋な実力のみでなく、運の要素が絡む性質がある。；そして要素内にある属性は、互いに属性名が異なっていなければならない。；XMLでは、空要素を表現するために特別な構文を使うことができる。</t>
        </is>
      </c>
      <c r="J8657">
        <f>HYPERLINK("https://www.weblio.jp/content/要素", "词义详情")</f>
        <v/>
      </c>
      <c r="K8657">
        <f>HYPERLINK("https://yourei.jp/要素", "查看例句")</f>
        <v/>
      </c>
    </row>
    <row r="8658">
      <c r="A8658" t="inlineStr">
        <is>
          <t>様相</t>
        </is>
      </c>
      <c r="B8658" t="inlineStr">
        <is>
          <t>成功</t>
        </is>
      </c>
      <c r="C8658" t="inlineStr">
        <is>
          <t>読み方：ようそう
１ありさま。すがた。「ただならぬ—を呈する」
２哲学で、事物の存在の仕方。可能性、現実的、必然的など。また、それらに対応する判断の形態。</t>
        </is>
      </c>
      <c r="D8658" t="inlineStr">
        <is>
          <t>様相を異に；様相を見せ始め；様相を見せはじめ；様相演算子；様相実在論</t>
        </is>
      </c>
      <c r="E8658" t="inlineStr">
        <is>
          <t>顔；姿；状態；面；様子</t>
        </is>
      </c>
      <c r="F8658" t="inlineStr">
        <is>
          <t>大きく様相；深刻な様相；新しい様相；近い様相</t>
        </is>
      </c>
      <c r="G8658" t="inlineStr">
        <is>
          <t>様相論理学；様相性</t>
        </is>
      </c>
      <c r="H8658" t="n">
        <v>29</v>
      </c>
      <c r="I8658" t="inlineStr">
        <is>
          <t>また、それぞれの通りのなかでも東西で街の様相に大きな差が見られる。；このような韓国社会の様相は人口構造にも大きく影響をもたらしている。；日本各地の伝承にその名が確認されているが、様相はそれぞれ異なる。；青蓮寺川流域は、短い流路の中でその様相が大きく変わる河川でもある。；ただし、具体的な使用様相を見ると両国との相違がいくつか見られる。；以降は明治20年頃の様相を伝える建物として地元で活用されてきた。；それぞれの地区は学部や設置施設が異なるため大きく様相を異にしている。；彼の名は外堂祭門、まるでエジプト壁画のような様相をした顔つきだった。；しかしその西半分と東半分では地理的様相がはっきり異なっている。；ドイツでは領邦ごとの君主の考え如何で魔女狩りの様相に違いがあった。；これらの改善と数的優勢によって、空の戦いの様相は変化していった。；第四政党制の特徴であり続けた小さな階級二極化の様相を破れなかった。；その後徐々に様相が変化し、駅周辺は新たな町の中心地として発展していった。；一方赤外線では様相が異なり、日本の空でも十分な星像を得られることが多い。；現在では、官庁街やビル街となっており、往時の様相は残されていない。；これがと呼ばれる騒擾で、初期のラッダイト運動のような様相を呈した。；動物援助から動物報恩に移行する過渡的な様相を帯びた話といえる。；そのため、ゲーム的には一種の対戦型マルチゲームの様相を見せることになる。；の展示品 実際に行われた虐殺の様相については不確かな部分も多い。；こうした先史時代の様相を解明していくためには考古資料が欠かせない。；線路を挟んで両側には丘陵地となっており谷の様相を呈している。；残った上沼には次のような整備がされ、現在の千波湖とほぼ同じ様相となった。；周囲には草原が広がっており、これも季節によってその様相を変える。；こういった異なる時間スケールの観測から得られる情報は非常に異なった様相を見せる。；彼は自然に見られるさまざまな様相に神の諸属性を見出している。；浴場は一部新しくなったが、以前からの湯治場の様相をそのまま残していた。；論理的帰結の様相的記述は以下のような考え方に基づいている。；ただし、三木町部分は盛土方式であるため他区間とは様相を異にしている。；特徴的なのは、埋葬施設の副石室が遺品庫の様相を呈していることである。</t>
        </is>
      </c>
      <c r="J8658">
        <f>HYPERLINK("https://www.weblio.jp/content/様相", "词义详情")</f>
        <v/>
      </c>
      <c r="K8658">
        <f>HYPERLINK("https://yourei.jp/様相", "查看例句")</f>
        <v/>
      </c>
    </row>
    <row r="8659">
      <c r="A8659" t="inlineStr">
        <is>
          <t>幼稚</t>
        </is>
      </c>
      <c r="B8659" t="inlineStr">
        <is>
          <t>成功</t>
        </is>
      </c>
      <c r="C8659" t="inlineStr">
        <is>
          <t>読み方：ようち
［名・形動］
１年齢がおさないこと。子供であること。
２考え方・やり方などが未発達なこと。子供っぽいこと。また、そのさま。「—なアイデア」
[派生]ようちさ［名］</t>
        </is>
      </c>
      <c r="D8659" t="inlineStr">
        <is>
          <t>幼稚なもの(6%)；幼稚なる(2%)；幼稚な空想；幼稚な頭脳；幼稚すぎる</t>
        </is>
      </c>
      <c r="E8659" t="inlineStr">
        <is>
          <t>若い；小さい；幼い；幼少；未練</t>
        </is>
      </c>
      <c r="F8659" t="inlineStr">
        <is>
          <t>ひどく幼稚；あまりにも幼稚；やうな幼稚</t>
        </is>
      </c>
      <c r="G8659" t="inlineStr">
        <is>
          <t>幼稚園児；幼稚舎；幼稚園教諭；幼稚部；幼稚園教員</t>
        </is>
      </c>
      <c r="H8659" t="n">
        <v>29</v>
      </c>
      <c r="I8659" t="inlineStr">
        <is>
          <t>そんなわけで、わたしの幼稚な頭は芝居と怪談とで埋められてしまった。；自分の持っている幼稚なものを許して眺めていることは、デカダンです。；なんという御幼稚さだろうと思って命婦はいたましく宮をながめていた。；これも思ったままを三十一字にしたもので、源氏の作としては幼稚である。；長上の判断に反対して幼稚な意見を述べる子供に接する父親のように。；その人はずいぶんとそうやって、私の幼稚な部分を指摘してくれた。；君の日本主義は幼稚だけれども、君は僕にとっちゃかけ替えのない人だ。；つまりは年はとっていながらいつまでも幼稚なせいかもしれない。；しかしそういうことも、彼が最初見たものよりずっと幼稚になってしまった。；作品はどれも辻の目から見れば幼稚で、文学以前のものばかりだった。；但し幼稚といううちにどこか一点の見どころあるものでなければならぬ。；彼女等は男の力を借りないことを誇りとするほど幼稚ではなかった。；その直後ひんぱんに会っていたというのでは、どうも幼稚すぎるようだ。；人間科学が幼稚であるのは方法の罪でなく、対象が複雑なためである。；あの頃の自分の幼稚な人形遊びが、今の自分を形成したと言えるかもしれない。；この人の作は色彩が一見幼稚さうに見えて決してさうでないところに味がある。；僕のテストでは、その料理の発達振りはバカバカしく幼稚なものであった。；又、さうした色の濃いものでなければ満足が出来ない幼稚さを示してはゐないか。；幼稚な人間がつくった料理、それを幼稚でない人間が口にしているのである。；しかしそれがでたらめで幼稚だと考えることは彼にはできなかった。；思想は元々幼稚にきまっていることを知らなければならないものだ。；自分のやってることが幼稚だと気づかないほど、ボクは子供じゃない。；けれど、剣法家としての彼は、まだ至って幼稚だったものといってよい。；このようなことは彼らの内生の幼稚をほかにして解釈のしようがない。；当時の幼稚な航法を考えると、大和へは瀬戸内海を通るのが最も安全だ。；大砲の威力の故でもあるが、また土人の戦術の幼稚であった故でもある。；ただあんたの幼稚なアタマに理解できることを一つだけ教えてやろう。；それがどれだけ幼稚な台詞であっても、シェリーに届かないはずがない。；しかし、常識で考えて、そんな幼稚な嘘を韓国政府がつくものだろうか?</t>
        </is>
      </c>
      <c r="J8659">
        <f>HYPERLINK("https://www.weblio.jp/content/幼稚", "词义详情")</f>
        <v/>
      </c>
      <c r="K8659">
        <f>HYPERLINK("https://yourei.jp/幼稚", "查看例句")</f>
        <v/>
      </c>
    </row>
    <row r="8660">
      <c r="A8660" t="inlineStr">
        <is>
          <t>幼稚園</t>
        </is>
      </c>
      <c r="B8660" t="inlineStr">
        <is>
          <t>成功</t>
        </is>
      </c>
      <c r="C8660" t="inlineStr">
        <is>
          <t>読み方：ようちえん
学校教育法による学校の一。満3歳から小学校入学までの幼児のための教育機関。心身の発達をはかり、集団生活に慣れさせることを目的とする。1840年、ドイツ人フレーベルによって創始された。</t>
        </is>
      </c>
      <c r="D8660" t="inlineStr">
        <is>
          <t>幼稚園時代；幼稚園生；幼稚園教育；幼稚園年長；幼稚園園長</t>
        </is>
      </c>
      <c r="F8660" t="inlineStr">
        <is>
          <t>幼稚園前；付属幼稚園；運営する幼稚園；国立幼稚園；市立幼稚園</t>
        </is>
      </c>
      <c r="G8660" t="inlineStr">
        <is>
          <t>幼稚園教諭；幼稚園教員；幼稚園バス；幼稚園受験；幼稚園・保育所の時間</t>
        </is>
      </c>
      <c r="H8660" t="n">
        <v>29</v>
      </c>
      <c r="I8660" t="inlineStr">
        <is>
          <t>幼稚園・小学校・中学校・高等学校・短期大学を設置している総合学園。；かつては以下の学校及び幼稚園があったが、すべて休校・閉校している。；学校が運行主体となっているものでは、主に私立学校や幼稚園に多い。；日本の幼稚園・小学校・中学校に相当する教育を行っている各種学校である。；なお、幼稚園から小学校へ進む場合にはあまり進学とは呼ばれない。；日本の幼稚園・小学校に相当する教育を行っている各種学校である。；クリスマス行事は幼稚園・保育所・小学校などでも行われることがある。；しかし、大部分の地域に小学校付属の幼稚園があり、私立幼稚園も多い。；幼稚園を含む小学校から高等学校まであり、その内容も様々である。；その後1両が九十九里の幼稚園に譲渡され、さらに個人が所有している。；幼稚園という語は、彼の作った学校の名前であるを翻訳してできた。；兄がサッカーをしていたため、幼稚園の時代からサッカーに取り組んでいた。；在学中に子供が生まれた学生は学費を無料とし、大学幼稚園も無料になる。；日本の幼稚園・小中学校に相当する教育を行っている各種学校である。；フランスでは幼稚園の課程でアルファベットの筆記体を学ぶことが多い。；ふたば幼稚園では、みんなが自分が一番欲しい物を絵で描いていた。；現在の幼稚園は高校の校舎と土地をそのまま使用している。；また特別支援学校には、幼稚園の課程に相当する幼稚部が置かれている。；実際に幼稚園に入ったこともあるが、園で暴れたために入園を拒否された。；ちなみに幼稚園の頃、地元の信用金庫のCMに家族で出演したことがある。；日本で最初に設立された幼稚園で、日本の幼児教育の先駆けとされる。；また、参観日のような親が来るはずの幼稚園のイベントも存在する。；東京都世田谷区岡本で幼稚園・小学校および中高一貫校を運営している。；通学する学校はくじ引きで決められ、バス通学は幼稚園から開始される。；幼稚園のころに急性腎炎と診断され、入院生活を送るようになったという。；周囲は幼稚園、小学校、中学校、高校が隣接する文教地区となっている。；現在は日本基督教団今津教会今津幼稚園の施設としても活用されている。；似たものに幼稚園などで教師や保護者が同伴して行うグループ通園がある。；これ以外にも、幼稚園を経営する教会も各地に数多く存在する。</t>
        </is>
      </c>
      <c r="J8660">
        <f>HYPERLINK("https://www.weblio.jp/content/幼稚園", "词义详情")</f>
        <v/>
      </c>
      <c r="K8660">
        <f>HYPERLINK("https://yourei.jp/幼稚園", "查看例句")</f>
        <v/>
      </c>
    </row>
    <row r="8661">
      <c r="A8661" t="inlineStr">
        <is>
          <t>要点</t>
        </is>
      </c>
      <c r="B8661" t="inlineStr">
        <is>
          <t>成功</t>
        </is>
      </c>
      <c r="C8661" t="inlineStr">
        <is>
          <t>読み方：ようてん
物事の中心となるところ。重要な点。「話の—をつかむ」</t>
        </is>
      </c>
      <c r="D8661" t="inlineStr">
        <is>
          <t>要点をつい；要点をつかん；要点をしっかり；要点丈</t>
        </is>
      </c>
      <c r="E8661" t="inlineStr">
        <is>
          <t>機；落ち；ポイント；心臓；核</t>
        </is>
      </c>
      <c r="F8661" t="inlineStr">
        <is>
          <t>主な要点；大切な要点；事件要点；諸要点</t>
        </is>
      </c>
      <c r="H8661" t="n">
        <v>29</v>
      </c>
      <c r="I8661" t="inlineStr">
        <is>
          <t>わしはあの二人についてそれぞれの要点を実際に覚えていると思います。；アーネッスンが同じ質問をしていたけれど、まさに要点をついたわけだ。；アンバージーはこれから言わんとすることの要点をメモしておいたのだ。；自分にわかっただけの要点はおおよそ次のようなものであったと思う。；定めて要点を尋ねたりしないところがこの人のこの人たる所以だった。；ともかくもその論文の要点はそんなにひどく歪曲されずに書いてある。；それ以外には政策およびドイツ再統一の可能性を交渉の要点に挙げた。；ではその要点は何であったかということを、林語堂自身も書いていない。；思いもよらなかったのは、要点をちょっと言うだけで書類同然だという。；取も直さず物を見るべき要点を沙翁が我々に教えてくれたのであります。；いずれにせよコンテンツの要点を評価・編集する作業は求められます。；ここまでが本サービスの要点となるフロントエンドに類する範囲である。；当時の交通の要点にあたる村落では農民も馬借に参加したと考えられる。；その名前がこの話の要点の一つなんですが、その名前は言えません。；さて、この義務を判断する要点は主として意志にあることを告白しよう。；今度は警察がこの事件をどう取扱ってるか、その要点だけをいってみよう。；「君らのいうことは大事な要点にふれていないよ」と彼は説明したかった。；要点だけを説明するはずだったのに、つい電話は長いものになった。；けれども、勝負の要点は、怪我をしないことにあるともいえましょう。；ルムフォードの有名な実験は「水が沸きさえもした」事に要点があった。；もちろん、ぼくはその時入手した情報の要点をベルリンへ報告したよ。；そこで僕はむろんそのとき聞いた話の要点をベルリンへ報告したさ。；その要点は、何が書かれているかではなく、いかに書かれているかにあった。；こんどは警察がこの事件をどう扱っているか、要点だけいってみよう。；その大体の概念だけ、又はその一部の要点の中で面白いところだけである。；妙に間延びのした口調だったが、言っている内容は要点を捉えているようだ。；その装飾がなくして、初から要点ばかりいっては心に入りようが悪い。；同じくこの日裁可を得た帝国海軍作戦計画の要点は次のとおりである。；「問題はまず海岸の防衛をどうするかですね」 栄介は話の要点を言った。</t>
        </is>
      </c>
      <c r="J8661">
        <f>HYPERLINK("https://www.weblio.jp/content/要点", "词义详情")</f>
        <v/>
      </c>
      <c r="K8661">
        <f>HYPERLINK("https://yourei.jp/要点", "查看例句")</f>
        <v/>
      </c>
    </row>
    <row r="8662">
      <c r="A8662" t="inlineStr">
        <is>
          <t>用途</t>
        </is>
      </c>
      <c r="B8662" t="inlineStr">
        <is>
          <t>成功</t>
        </is>
      </c>
      <c r="C8662" t="inlineStr">
        <is>
          <t>読み方：ようど
１会社・官庁などで、事務用品などの供給に関すること。「—品」
２要する費用。入費。
「大庄屋等その—として、金九百五十両を村々の百姓に出させし事」〈折たく柴の記・中〉
３《「ようと」とも》銭(ぜに)の異称。
「運び残したる—十貫をば」〈沙石集・六〉</t>
        </is>
      </c>
      <c r="D8662" t="inlineStr">
        <is>
          <t>用途向け；用途空港；用途別；用途廃止；用途以外</t>
        </is>
      </c>
      <c r="E8662" t="inlineStr">
        <is>
          <t>用；目的；機能；役割；助け</t>
        </is>
      </c>
      <c r="F8662" t="inlineStr">
        <is>
          <t>多用途；主な用途；一般用途；特殊用途；さまざまな用途</t>
        </is>
      </c>
      <c r="G8662" t="inlineStr">
        <is>
          <t>用途変更；用途規制；用途指定；用途上不可分</t>
        </is>
      </c>
      <c r="H8662" t="n">
        <v>29</v>
      </c>
      <c r="I8662" t="inlineStr">
        <is>
          <t>かつては人間側の用途で分類する方法もしばしば用いられたことがある。；一部に小売されている物も存在はしたが、専ら産業用途に使われていた。；安定したルテチウムの他に放射性同位体にもいくつか特定の用途がある。；変速機能を必要としない用途ではシングルスピードで使われる事もある。；ナノスケールの部品の操作や配置が必要な用途はまだ研究段階である。；ただし飛脚の絵は会社の社章でもあるので用途を限定して使用されている。；自分の担任した二人の被告にある注意を与へようと思つたが為であつた。；これによって、機関車の用途が決まってしまうといっても過言ではない。；日本軍の覚醒剤の使用用途は、当時の日本では一般的な用途であった。；また同じ用途でも、切れ刃の角度が異なるものなど様々な形状がある。；カラオケの歌詞表示や楽譜上の歌詞表記などの用途を想定されている。；大砲はその形状・構造や用途・歴史的経緯等によって様々な分類がある。；日本以外でも分類は異なる場合もあるものの用途は概ね同一である。；一旦粉にしてから使う用途の主なものには次のようなものがある。；一般的に和食やコーヒー、喫茶などの用途には軟水がよいとされている。；指でおさへようとするとひよいと横へゐざつて隣の籠のめへ逃げる。；現在、基礎的な科学研究以外での用途はなく、少量しか生産されていない。；これはかつての馬車で行われていた用途の継続でもあった。；の用途を拡張したマクロパッケージとして、他に次のようなものがある。；オープニングやエンディングの音楽は専攻など用途別に決められている。；代表的な実時間処理による動画生成の用途はコンピュータゲームである。；ばねの設計上でまず重要となるのは、何の用途に使うかを明確にする点である。；口金の形状には多数の種類があり、電球の用途に応じ選択されている。；製造された各同位体は、用途に合わせて目的化合物に取り入れて利用する。；それに加え用途の限られる拳銃弾の補給は兵站への余分な負担となる。；舗装路でも広く利用されており、用途によって様々な形態が存在する。；こうした用途があるため、日本ではサカキやヒサカキは市販されている。；今は習慣になつた考へを變へようと努力することは彼女には遲すぎたのだ。；特に電気関係の用途では、英語に由来するマイカの名前で呼ばれる。</t>
        </is>
      </c>
      <c r="J8662">
        <f>HYPERLINK("https://www.weblio.jp/content/用途", "词义详情")</f>
        <v/>
      </c>
      <c r="K8662">
        <f>HYPERLINK("https://yourei.jp/用途", "查看例句")</f>
        <v/>
      </c>
    </row>
    <row r="8663">
      <c r="A8663" t="inlineStr">
        <is>
          <t>要は</t>
        </is>
      </c>
      <c r="B8663" t="inlineStr">
        <is>
          <t>成功</t>
        </is>
      </c>
      <c r="C8663" t="inlineStr">
        <is>
          <t>読み方：ようは
［副］大切なことは。結局。要するに。「—外見よりも中身が大事ということだ」</t>
        </is>
      </c>
      <c r="D8663" t="inlineStr">
        <is>
          <t>要はこういうこと；要はそういう</t>
        </is>
      </c>
      <c r="E8663" t="inlineStr">
        <is>
          <t>つまり；要するに；言い換えれば；言ってしまえば；簡単にいえば</t>
        </is>
      </c>
      <c r="H8663" t="n">
        <v>29</v>
      </c>
      <c r="I8663" t="inlineStr">
        <is>
          <t>要はその対応の仕方から、柔軟性がどのくらいあるのかを見ていくのだ。；そこまで見ると要は洋館の二階へ上って、ゆっくりあとを読みつづけた。；要は生殖器などの構造を確認しなければ判断は難しい、と言う事である。；要は他人の評価より自分で愛すべき音楽だと思える、それが一番の幸せ。；要は出来るだけ昇華蒸発をさせないで保存する方法を考えることである。；要はその人がソールマインドであるかどうかということにかかっている。；要は女一人淋し気に無聊をかこっているように見えなければ良いわけだ。；要は一点を確保し占拠することではなくて、情報を混乱させることである。；ただ要は自分で神を独占しているような気になって思いあがらないことだ。；要は、我われの現在の痛みを、なんとか判っていただきたかったのです。；要は単なる気合の類なのだが、黒雪姫はそこに一つの工夫を加えている。；要は、正直に自分の体と相談して、なにを要求しているかを知るべきである。；要は、自分の時計が偶然見つかって壊されないようにしたかったのさ。；確かにそういう一面もあるのだが、要はどこで何を食べるのかによると思うのだ。；要は議員を動かして来るべき議会の論戦において多数を得ることであった。；要は、汝がそうした空しい言葉をおいて、わが槍先を受けてみることだ。；要は、目的の家にはいるところを見られさえしなければいいのだ。；悲話があるけど、要は、叔父さんの手紙が昔の手紙にとても似てるんだ。；近代における生活様式構築の要は消費行動であると主張する論者もいる。；要は正しい選択と迅速な行動に、いっさいのことが、かかっているのだ。；要はさ、その民衆がどう思ってるかというのが、投票に反映されるわけで。；要は結果として仕事がまともに出来ていればそれでいいわけでしょう?；要は、まず自然の美を発見することから学ばねばならぬということである。；しかし、要は一つの土地に集まった人々がみんな幸せになることを目的とすべきだ。；要はそれほどまでに、彼の悩みは複雑なものだということなのである。；要は、侵略を可能にする近代のノウハウを持っているかどうかだった。；それで文学というものの要はまったくそこにあると思います。；要はそういうことはどうでもいい年齢になったということである。；しかしな、遠慮とはきこえがいいが、要は我々を信頼しておらんのだろう?</t>
        </is>
      </c>
      <c r="J8663">
        <f>HYPERLINK("https://www.weblio.jp/content/要は", "词义详情")</f>
        <v/>
      </c>
      <c r="K8663">
        <f>HYPERLINK("https://yourei.jp/要は", "查看例句")</f>
        <v/>
      </c>
    </row>
    <row r="8664">
      <c r="A8664" t="inlineStr">
        <is>
          <t>曜日</t>
        </is>
      </c>
      <c r="B8664" t="inlineStr">
        <is>
          <t>成功</t>
        </is>
      </c>
      <c r="C8664" t="inlineStr">
        <is>
          <t>読み方：ようび
曜の名で表した、1週間のそれぞれの日。すなわち、日・月・火・水・木・金・土のこと。</t>
        </is>
      </c>
      <c r="D8664" t="inlineStr">
        <is>
          <t>曜日ごと(6%)；曜日別(4%)；曜日毎；曜日レギュラー；曜日担当</t>
        </is>
      </c>
      <c r="F8664" t="inlineStr">
        <is>
          <t>各曜日；放送曜日；何曜日；担当曜日；他曜日</t>
        </is>
      </c>
      <c r="G8664" t="inlineStr">
        <is>
          <t>曜日感覚</t>
        </is>
      </c>
      <c r="H8664" t="n">
        <v>29</v>
      </c>
      <c r="I8664" t="inlineStr">
        <is>
          <t>主にそのコーナーが取り上げられる曜日で放送されていた企画を紹介する。；番組名の変更は単純に放送曜日が金曜日以外になったためだと思われる。；ただし曜日により運休となったり運行区間を変更したりする列車もある。；マオリは布教の時代から、英語の名前を曜日や月に合わせて使っていた。；音楽関連アーティストが各曜日担当で出演する生放送の帯番組であった。；ゲームを進める上で、特定の曜日でないと先に進めない場所が存在する。；なお、曜日によってはこれに合わせて新コーナーが新設されたりしている。；一部コースは土日等曜日や期間を限定して営業するコースがあった。；なお、リストは時間帯だけでなく、系列局毎、曜日毎に分けられている。；また、曜日日変更に伴い、この番組に限り全国に先行して放送されている。；各曜日はオレ月やオレ火など、オレの後に各曜日が入る形で呼称される。；その他の週刊誌では特定ジャンルの週刊誌が発売される曜日でもある。；点検が定期化している場合は、必ず決まった曜日に見ることも可能である。；基本的には他曜日のDJが代理をするが、以下はそれ以外のケースである。；時刻と曜日は一度設定すると任意で変更することはできない。；各路線とも曜日指定を原則とした運行日が設定されている。；本番組では、放送曜日を月曜から土曜ではなく火曜から日曜としていた。；また、一部の曜日ではドラマや特撮番組の枠としていた時期もある。；同一曜日にアニメとドラマの両方が放送される形になった。；朝日放送テレビのように中継を行う曜日や頻度が固定化されている局もある。；それぞれ曜日ごとに分かれていたため、毎日自身の番組があった。；高等部には曜日、時間の制限はなく、日本の高校と同様の形態である。；番組開始当初は曜日別に固定されていなかったが、のちに以下のように固定されている。；言語の曜日とテーマの内容については「放送する言語&amp;テーマ」を参照。；基本的に各曜日のみの登場だが、特番で一同が共演することもある。；前半は各曜日の決まったテーマで、リスナーからお便りを募集している。；さらに運転される特定の曜日がない隔日運転の場合も臨時列車の扱いとなる。；その他にも公式ブログを設営しており、担当曜日ごとに更新を行っている。；この祭りは9月の最後の金曜日から10月の第2日曜日まで続けられる。</t>
        </is>
      </c>
      <c r="J8664">
        <f>HYPERLINK("https://www.weblio.jp/content/曜日", "词义详情")</f>
        <v/>
      </c>
      <c r="K8664">
        <f>HYPERLINK("https://yourei.jp/曜日", "查看例句")</f>
        <v/>
      </c>
    </row>
    <row r="8665">
      <c r="A8665" t="inlineStr">
        <is>
          <t>用品</t>
        </is>
      </c>
      <c r="B8665" t="inlineStr">
        <is>
          <t>成功</t>
        </is>
      </c>
      <c r="C8665" t="inlineStr">
        <is>
          <t>読み方：ようひん
ある事に使用する品物。必要な品物。「スポーツ—」「事務—」</t>
        </is>
      </c>
      <c r="D8665" t="inlineStr">
        <is>
          <t>用品店(4%)；用品メーカー(4%)；用品種；用品等；用品販売</t>
        </is>
      </c>
      <c r="E8665" t="inlineStr">
        <is>
          <t>装備；設備；道具；機器；機材</t>
        </is>
      </c>
      <c r="F8665" t="inlineStr">
        <is>
          <t>実用品；日用品；軍用品；ベビー用品；電気用品</t>
        </is>
      </c>
      <c r="H8665" t="n">
        <v>29</v>
      </c>
      <c r="I8665" t="inlineStr">
        <is>
          <t>第二次世界大戦の終戦を機に鉄道向け軌道用品の製作・修理に事業転換。；青いドームの建物とその周りで、あらゆる日用品を豊富に販売している。；洗車に用いる用品は、多数のメーカーから様々な商品が販売されている。；そして大量消費して肥満になった人々は次はダイエット用品を消費する。；この中にはポリ袋などの包装用品や各種農業用フィルムが含まれている。；最終的にはグリフィンビーカーを含む様々な科学用品の販売を行った。；主に園芸用品、農業用を中心とした熱機器、住宅機器などを扱っている。；初めはスキー用品を製造していたが、現在はテニス用品も製造している。；また、タイヤの他にも工業用のゴム用品や樹脂部品などを製造している。；ムスリム向けの衣料品や家庭用品など他の市場では見られないものも多い。；しかし戦争末期には資源不足から安易な代用品を選択することも多い。；それぞれの前後にはテントを張ったりキャンプ用品が用意されている。；引退後は野球・ソフトボール用品を製造販売する会社を共同経営している。；これに加えて生皮と海軍用品や木材に植民地の経済は依存していた。；現在では様々な軍用品、武器と装甲系の研究開発と生産を行っている。；ガラスの製造・販売のほか、バーナーワーク用品の販売も行っている。；なお大名の所用品では五位であっても白石を使うなどの異式はよくあることである。；料理教室の他に家庭用の料理用品・用具の販売なども手がけている。；民俗技術とは、生活や生産のための用具・用品などの製作技術のことである。；ペットのトリミング用のバリカンもペット用品店などで販売されている。；海外航空部品の輸入販売やパイロット用品・グッズの販売もおこなっている。；株式会社ボウガンは、東京都の射撃競技用品メーカー・輸入会社である。；番組は食品から健康用品、装飾品からインテリアまで様々な商品を紹介。；そのため、カーオーディオは自動車関連用品の中でも重要な位置を占めている。；使用する用品を置いておくための「月契約貸ロッカー」がある店舗もある。；他には、トラック生産はわずかだったが、武器や軍需用品は大量に生産していた。；店舗によってはパソコン用品とバイク用品の両方を扱っている店もある。；選手引退後、東京・御茶ノ水で銃砲店兼射撃用品センター・兵林館を設立。；戦前から各種のカメラ、写真用品を輸入する有力な商社であった。</t>
        </is>
      </c>
      <c r="J8665">
        <f>HYPERLINK("https://www.weblio.jp/content/用品", "词义详情")</f>
        <v/>
      </c>
      <c r="K8665">
        <f>HYPERLINK("https://yourei.jp/用品", "查看例句")</f>
        <v/>
      </c>
    </row>
    <row r="8666">
      <c r="A8666" t="inlineStr">
        <is>
          <t>洋品店</t>
        </is>
      </c>
      <c r="B8666" t="inlineStr">
        <is>
          <t>成功</t>
        </is>
      </c>
      <c r="C8666" t="inlineStr">
        <is>
          <t>読み方：ようひんてん
洋品1を売る店。</t>
        </is>
      </c>
      <c r="F8666" t="inlineStr">
        <is>
          <t>大きな洋品店</t>
        </is>
      </c>
      <c r="H8666" t="n">
        <v>29</v>
      </c>
      <c r="I8666" t="inlineStr">
        <is>
          <t>彼女も仲良しの一人で、今はB市で洋品店を営んでいると教えてくれた。；一番にぎやかだったのは洋品店や、服飾品店などが並ぶ桜通りであった。；そういう耳をしたのが四人並んで、すまして洋品店の飾窓を覗いていた。；彼女は、ネート・マクヒュー夫人の経営している洋品店に勤めていた。；さういふ耳をしたのが四人竝んで、すまして洋品店の飾窓を覗いてゐた。；二、三年前までは洋品店ではジャムパーだけしか売ってなかったものだ。；実を言えば、通の妹が福良の「西洋店」という高級洋品店に嫁いでいた。；そっちの現場じゃなく、すぐそこの三丁目にできる大きな洋品店の方です。；五十歳になる母親は人形町にある洋品店で店員をしているが、他には収入がない。；彼はこの見知らぬ男と共に先刻の洋品店に行くべく余儀なくせられた。；洋品店かと思っていたらコーヒー屋さんなのよね。；道路に面して洋品店とバーの看板が圧倒的に多い。；女は高級洋品店を経営しているために、品物の仕入れの必要上、船とは縁がある。；維新後は東京で洋品店を経営し、南部家の家令や岩手県下の郡長を務めた。；母は駅前の洋品店に平日の十時から四時まで、売り子として勤めている。；北海道でご両親は、小さな洋品店をやっているということです。；その町のかなり大きな洋品店の若主人だった。；幸い、そこは小さな洋品店の前で、加奈子が立っていても、文句は言われなかった。；ただ、四番地へ来るまでは、どこかの洋品店の店員をしていたと言うことだけは聞いていた。；そして、洋品店で、赤いえり巻きを買って家に帰り、それを妹に与えたのであります。；近藤勇、土方歳三記念碑の前に、洋装洋品店を経営する両親に育まれる。；こうなったら町の洋品店をしらみ潰しにあたってみます。；お君は小走りに明るい洋品店の中に入って行った。；洋品店で三足千円の靴下を買い、電気屋でハンディビデオを買った。；しかし朝早くでは洋品店も開いていない。；そして、服と靴は全部新品で、上海の洋品店のラベルがついていた。；そのうちの一台は、ハンドルを切りそこねて路地の手前の洋品店の中へ駈けこんでいった。；婦人向けの洋品店や雑貨店などが中心となって軒を連ねる。；下の洋品店に、顔見知りのおかみさんが帳場に坐りながら、表を見ていた。</t>
        </is>
      </c>
      <c r="J8666">
        <f>HYPERLINK("https://www.weblio.jp/content/洋品店", "词义详情")</f>
        <v/>
      </c>
      <c r="K8666">
        <f>HYPERLINK("https://yourei.jp/洋品店", "查看例句")</f>
        <v/>
      </c>
    </row>
    <row r="8667">
      <c r="A8667" t="inlineStr">
        <is>
          <t>洋風</t>
        </is>
      </c>
      <c r="B8667" t="inlineStr">
        <is>
          <t>成功</t>
        </is>
      </c>
      <c r="C8667" t="inlineStr">
        <is>
          <t>読み方：ようふう
西洋的な形式であること。洋式。西洋風。「—の建築」⇔和風。</t>
        </is>
      </c>
      <c r="D8667" t="inlineStr">
        <is>
          <t>洋風化(5%)；洋風住宅；洋風居酒屋；洋風木造建築；洋風家具</t>
        </is>
      </c>
      <c r="F8667" t="inlineStr">
        <is>
          <t>古い洋風；すべて洋風；洋風駅舎；洋風校舎；洋風家屋</t>
        </is>
      </c>
      <c r="G8667" t="inlineStr">
        <is>
          <t>洋風画；洋風庭園；洋風料理；洋風カツ丼；洋風旅館</t>
        </is>
      </c>
      <c r="H8667" t="n">
        <v>29</v>
      </c>
      <c r="I8667" t="inlineStr">
        <is>
          <t>というのは、この家の窓はすべてガラス戸で西洋風な造え方なのである。；これらは広島に現存する貴重な明治時代の洋風煉瓦建築の資料でもある。；帰ってきてすぐ、ここにあった山荘に洋風のコテージを建てたようなの。；もう一枚は台所兼食堂、テーブルと椅子などありこれも洋風の明るい台所。；単に古い洋風の家ってだけで、年代からいったら、うちといい勝負だわ。；昭和になるとさらに食の洋風化が加速し植物油の消費も増えていった。；この辺りに古くからある構造には違いないが、ほかがすべて洋風にできている。；それで学校といっても、現在普通に見られるような半洋風の建物ではなかった。；東口側に駅舎があり、オランダ島と風車を模した洋風のデザインである。；車内は海・山編成とも3号車のみ洋風で、それ以外はお座敷構造である。；俺たちは、三分ほど走りつづけて、洋風の酒落た感じの屋敷に着いた。；そして洋風の白い寝衣に着かえて、髪を長い編下げにして寝床にはいった。；喫茶店を出た後、そこから歩いて数分のところにある洋風居酒屋に入った。；畳を敷いた日本座敷に椅子テーブルを並べた、洋風まがいの部屋である。；これらの3館はいずれもコロニアル様式の洋風住宅と規定されている。；それは長男が建てた家で、美しい庭にかこまれた洋風の家であった。；しかしほかの事では洋風化も決してお嫌いな様子ではない。；洋風の使い方をされてはいるが、部屋の隅には茶箪笥が置かれたりしている。；洋風にしなかったことは、かかる美術館の性質上賢明であったと思う。；スカートと靴下という女の洋風姿は今ではほとんど全く見られなくなった。；明治時代に入ると西洋館の建築などに伴い洋風テーブルの導入が進められた。；これは東洋風なのだろうと思うが、それにしてもじりじりして来る。；日本で普及したのは昭和30年代のことで食生活が洋風化してからのことである。；一九一一年三月の日本には、最初の洋風劇場である帝国劇場がオープンする。；駅舎は開業時のものだが、1988年に洋風な三角屋根に改装されている。；草田の邸宅は、一応洋風の外見ではあるが、中は和室が多いようだった。；入った所は十二畳ほどの洋風の客間で、奥には幾つかの続き部屋があるらしい。；バーのセットは、春夏用の洋風と秋冬用の和風の二つのスタイルがあった。；顔はもとより日本人の顔ではあるが、それを洋風の美にうまく調和させている。</t>
        </is>
      </c>
      <c r="J8667">
        <f>HYPERLINK("https://www.weblio.jp/content/洋風", "词义详情")</f>
        <v/>
      </c>
      <c r="K8667">
        <f>HYPERLINK("https://yourei.jp/洋風", "查看例句")</f>
        <v/>
      </c>
    </row>
    <row r="8668">
      <c r="A8668" t="inlineStr">
        <is>
          <t>洋服</t>
        </is>
      </c>
      <c r="B8668" t="inlineStr">
        <is>
          <t>成功</t>
        </is>
      </c>
      <c r="C8668" t="inlineStr">
        <is>
          <t>読み方：ようふく
《「西洋服」の略》西洋風の衣服。背広・ズボン・ワンピース・スーツ・スカートなど。⇔和服。</t>
        </is>
      </c>
      <c r="D8668" t="inlineStr">
        <is>
          <t>洋服ダンス(5%)；洋服箪笥(3%)；洋服姿(3%)；洋服地；洋服着</t>
        </is>
      </c>
      <c r="E8668" t="inlineStr">
        <is>
          <t>服；着物；衣；衣装；衣服</t>
        </is>
      </c>
      <c r="F8668" t="inlineStr">
        <is>
          <t>黒い洋服；新しい洋服；白い洋服；黒っぽい洋服；古洋服</t>
        </is>
      </c>
      <c r="G8668" t="inlineStr">
        <is>
          <t>洋服屋；洋服掛け；洋服の青山；洋服代；洋服ブラシ</t>
        </is>
      </c>
      <c r="H8668" t="n">
        <v>29</v>
      </c>
      <c r="I8668" t="inlineStr">
        <is>
          <t>電車の中でも、道を歩いていても、人の洋服ばかりに気をとられていた。；その日の午後、店に二人の洋服を着た立派な紳士が車で乗りつけて来た。；そのとき、表の開き戸があいて、洋服を着た一人の男が入ってきたのだ。；昔の老人は洋服を着て歩く人を見ると石を投げ付けたものだそうです。；そして机の上にあった三通の手紙を洋服の内衣嚢に大事にしまいこんだ。；尚、寒さに弱いので冬季の散歩の際には洋服を着せることが勧められる。；が、ここへ来ている連中の中には、一人も洋服を着ているものがない。；そのとき私が残念なのは日本の女が洋服を着たがることだけだよ。；両親から溺愛され、小さい頃から高い洋服を着せてもらっていたという。；すると側の扉が開いて、洋服を着た小さい力士のような大人が入って来た。；中身はは男性もののウィッグと洋服、そして兄からの手紙が入っていた。；あったかそうな帽子と洋服をつけているので寒さにも耐えられる。；日本においての洋服の大量生産は、記録に残る限りこれが初だとされる。；壁に続いてテーブルの上には私の新しい洋服がきちんと畳んで置いてあった。；また、当初はずっと泣いており、洋服ダンスのなかでも泣いていたという。；仮想犯人はそこに洋服ダンスがあることを知っていたとすればいい。；こんなことになるのだったら、節約して洋服を買っておくべきでした。；先生は帰朝後西洋服と日本服との美醜を比較した講演か何かしたさうです。；前述のようにこの作品は、各回に洋服に関するエピソードが入っている。；現代では和風でありながら洋服などにも合うようなデザインが多い。；また、高級な洋服にこだわりがあり、狩猟会のために自動車を購入した。；それは洋服入れに掛けられていた服のポケットに入っていた。；洋服を着た人は、どこへいったか、もうおらなかったのであります。；その中に机の上は女の児の洋服や和服で山のようになりました。；都市部では洋服が一般的であり、普段からあらゆる層の人々が着用している。；私は洋服も帽子もすっかり巴里風になった子どもを見上げ見下ろした。；そうすれば紐類を探すとき、まず洋服ダンスをあけて見るのはごく自然だ。；両手を私の洋服の上着のポケットの中へ突っ込んで彼は私の方へ近づいてきた。；黒い洋服を着た、背の高い、頭の毛のモジャモジャになった人物です。</t>
        </is>
      </c>
      <c r="J8668">
        <f>HYPERLINK("https://www.weblio.jp/content/洋服", "词义详情")</f>
        <v/>
      </c>
      <c r="K8668">
        <f>HYPERLINK("https://yourei.jp/洋服", "查看例句")</f>
        <v/>
      </c>
    </row>
    <row r="8669">
      <c r="A8669" t="inlineStr">
        <is>
          <t>養分</t>
        </is>
      </c>
      <c r="B8669" t="inlineStr">
        <is>
          <t>成功</t>
        </is>
      </c>
      <c r="C8669" t="inlineStr">
        <is>
          <t>読み方：ようぶん
栄養となる成分。滋養分。</t>
        </is>
      </c>
      <c r="D8669" t="inlineStr">
        <is>
          <t>養分供給；養分循環；養分を飲み込ん；養分吸収</t>
        </is>
      </c>
      <c r="E8669" t="inlineStr">
        <is>
          <t>栄養；栄養素；養い；滋養；栄養分</t>
        </is>
      </c>
      <c r="F8669" t="inlineStr">
        <is>
          <t>必要な養分；土壌養分</t>
        </is>
      </c>
      <c r="H8669" t="n">
        <v>29</v>
      </c>
      <c r="I8669" t="inlineStr">
        <is>
          <t>花に寄せられるなどして葉の中に落ちた昆虫は死んで植物の養分になる。；これが存在しなければ、植物はこれらの養分を手に入れられないだろう。；そしてさらに隣接する劣った国家を見つけて自らの養分とするのである。；体に生えている殺人カビは人間を養分にすることで殺傷能力が向上する。；また維管束系は水と養分を根から他の組織へ輸送するためにも必要である。；あの実験室のようなところで、彼らは妖精の養分を抽出したのだろう。；本種は吸根と呼ばれる特殊な構造で宿主の根から水分や養分を吸収する。；群れは翌日までもちこたえるだけの養分を手に入れたし、死者は出なかった。；それを養分として成長するのだが、彼女に巣食っている怪物は例外だった。；女の精神や心には、たえず新たな養分を投げ与えなければならない。；埋められた猫の死骸は土の養分となり、いつかは土そのものとなる。；この時点では尿ではなく、尿細管を通る際に養分が再吸収されて尿となる。；お前たちは生れると間もなく、生命に一番大事な養分を奪われてしまったのだ。；根は、その養分をさらに分解し、合成して、死を生に変えていった。；夜の底でかや屋根をよせ養分を吸収し合っているきのこか何かのように見えた。；細胞中に取り込まれた有機物は、酵素などの働きで分解されて養分となる。；ユリの葉が変形した鱗茎に養分が貯蔵されているため、栄養豊富である。；背中の種から養分を受け取ることで、何日も何も食べずに過ごすことが出来る。；養分と同じく魔分を含む魔物が死んでしまうと、周囲の土に再び散らばる。；フィルムの下部には、隙間が多く形成され、水や養分を通す経路となる。；催眠性を持った分泌物の匂いで動物を引き寄せ、己の養分にするのだ。；根は水や養分を吸収する事もできるが、もっぱら自らを固定するための機能を果たす。；そして、そのような仕事が立派に完成されるためには、時間は必要な養分のひとつである。；だが、水に運ばれてくる養分によってこの地域の地味が豊かなのは皮肉であった。；この星の生命体は、他の生命体を殺して、その養分を摂取して生きている。；吸収の過程で、器の中の胚子状態の石に、生の養分が与えられる。；根は分枝することで表面積を広げ、このような水や無機養分を吸収している。；黴は培地から養分を吸収して自分の利用しやすい形に分解する。；こういうものには土のにおいがしみていて、彼のために健康と養分とを与えてくれた。</t>
        </is>
      </c>
      <c r="J8669">
        <f>HYPERLINK("https://www.weblio.jp/content/養分", "词义详情")</f>
        <v/>
      </c>
      <c r="K8669">
        <f>HYPERLINK("https://yourei.jp/養分", "查看例句")</f>
        <v/>
      </c>
    </row>
    <row r="8670">
      <c r="A8670" t="inlineStr">
        <is>
          <t>用法</t>
        </is>
      </c>
      <c r="B8670" t="inlineStr">
        <is>
          <t>成功</t>
        </is>
      </c>
      <c r="C8670" t="inlineStr">
        <is>
          <t>読み方：ようほう
使い方。使用の方法。「—を誤る」「副詞的—」</t>
        </is>
      </c>
      <c r="D8670" t="inlineStr">
        <is>
          <t>用法用量</t>
        </is>
      </c>
      <c r="E8670" t="inlineStr">
        <is>
          <t>用；目的；機能；役割；働き</t>
        </is>
      </c>
      <c r="F8670" t="inlineStr">
        <is>
          <t>同じ用法；こうした用法；正しい用法；古い用法；叙述用法</t>
        </is>
      </c>
      <c r="H8670" t="n">
        <v>29</v>
      </c>
      <c r="I8670" t="inlineStr">
        <is>
          <t>既に用法も定着し社会に浸透した言葉であるというのが選定理由である。；この用法は、スペイン文化の影響が強い南イタリアの影響と考えられる。；日本語の直接受身の用法には、英語などの受動態に比較して制限がある。；つまり「時間」を時刻の意味で使ってしまう用法は正しい用法ではない。；大別して二種類の用法があるが、両者を区別無く扱うゲームも存在する。；日本に入ってきた当初の用法はこちらであり、字義的にもこちらが正しい。；少なくても、以下のような用法は一般的なものとは言えないだろう。；しかし現代ではこの用法はほとんど用いられなくなってきている。；操重車は、以下のどれかの特定用法のために設計されることが普通である。；こうした西洋の言語と漢語・日本語の用法の違い等は、プリンスを参照。；Cからの外部結合の指定に加え、リンケージ指定の用法が加わっている。；ただし、実際の用法としては異なった宗教を指すためにも用いられている。；この用法の場合は大手私鉄での路線でも地方鉄道に該当するものがあった。；したがって、現在の「塔」の用法に厳密な定義が存在するわけではない。；家系の概念の代表的な用法として挙げられるのが、職業上の家系である。；ボールの重量、直径が大きいものほど慣性を利用した用法に有利である。；この用法が生まれたのがドイツ文化圏であったのは偶然ではない。；日本語からの影響がうかがえるが、この口型の用法の詳細は明らかではない。；一方、上記のうち名簿式比例代表制を用いたものを除外する用法もある。；そこからさらに転じて、単に古い物をヴィンテージとする用法がある。；現代日本語では区別されないが、従来は以下の2通りの用法があった。；現代でも、greenを青の一部とする用法は方言などに広く残っている。；戦争中の地政学的な領域を表す前線や戦線の一般的な用法とは異なる。；しかしこれは間違いで普通名詞としての用法はなかったという説もある。；この反省をもとに、外国人のみの輸送もできるよう法改正が検討されている。；法律専門家から直接助言を得られるよう法的サポート相談室を開設。；専門的な議論であるので、ここの節タイトル等では専門用語的な用法に従った。；アロエベラは適切な用法を守ることで怪我の治療に一定程度有効だと言われている。；また、イギリスでの意味・用法からずれ、発展していった言葉もある。</t>
        </is>
      </c>
      <c r="J8670">
        <f>HYPERLINK("https://www.weblio.jp/content/用法", "词义详情")</f>
        <v/>
      </c>
      <c r="K8670">
        <f>HYPERLINK("https://yourei.jp/用法", "查看例句")</f>
        <v/>
      </c>
    </row>
    <row r="8671">
      <c r="A8671" t="inlineStr">
        <is>
          <t>要望</t>
        </is>
      </c>
      <c r="B8671" t="inlineStr">
        <is>
          <t>成功</t>
        </is>
      </c>
      <c r="C8671" t="inlineStr">
        <is>
          <t>読み方：ようぼう
［名］(スル)物事の実現を強く求めること。「市民の—にこたえる」「福祉の拡充を—する」「—書」</t>
        </is>
      </c>
      <c r="D8671" t="inlineStr">
        <is>
          <t>要望書；要望通り；要望事項；要望活動；要望せら</t>
        </is>
      </c>
      <c r="E8671" t="inlineStr">
        <is>
          <t>思い；主張；求め；夢；要求</t>
        </is>
      </c>
      <c r="F8671" t="inlineStr">
        <is>
          <t>たいという要望；ご要望；ほしいという要望；欲しいという要望；たいと要望</t>
        </is>
      </c>
      <c r="G8671" t="inlineStr">
        <is>
          <t>要望中</t>
        </is>
      </c>
      <c r="H8671" t="n">
        <v>29</v>
      </c>
      <c r="I8671" t="inlineStr">
        <is>
          <t>その後乗客からの要望を受け、一部の定期列車も停車するようになった。；駅設置の際、星置団地と隣接していることと住民の要望から命名された。；パタニ女王は日本の使者を歓迎し、すべての要望を認めたと伝えられる。；仙台と山形の間の鉄道は山形県側だけではなく宮城県側も要望していた。；番組が終了した後も、リスナーからの番組復活要望が非常に多かった。；なお、後にユーザーの要望を受けて、内蔵式タラップも装備されている。；後にパイロットの要望に合わせ、F型から発展したS型が開発されている。；人々の要望に比べて物品が不足している時にだけ、その物品が財産になる。；一方、地元からは早い時期より「馬車道駅」とするよう要望されていた。；これは日本の市民・社会運動を研究している学生の要望に応えたものである。；これに対してドイツは、自国でも最終組立てを行うことを要望してきた。；ところがこの頃から、市民の間からは電車市営の要望が出されるようになる。；主な内容として学校や各委員会の案に対する要望、修正意見の議論がある。；他に多くの要望が来ると覚悟していたが、野村が注文を付けたのはこれだけである。；運行区間については前述の発着駅や乗客の要望に合わせてその都度設定される。；ミュージシャンらの要望を受けてギターピックアップの開発を行っている。；本来はイベント絵も要望していたが、スケジュールなどの都合で断念された。；舞を見たいという要望があるが、夫婦にならず男の方がその場で渡してしまう。；近くの工業団地の通勤の便を図るため、地元からの要望を受けて設置された。；逆に追加するよう要望のあった「掬」を新たに加えることも決定した。；また一時は廃止となった修学旅行も生徒側の要望で復活した。；現在、この区間にトンネルを整備するよう要望する運動がある。；停車日数・本数が減少する中、二見町では駅の存続要望を続けてきた。；ライン川左岸占領は安全保障の観点からフランスの切実な要望であった。；現在では要望に応じての観光案内や、ティータイムなどの座談が中心である。；都留文科大学周辺でのまちづくりのために設置が要望された請願駅である。；この当時の状況は切迫したものであったらしく、百済は倭国の要望に応じた。；これはメインマーケットである日本市場の要望からと言われている。；主に日本国内ユーザーの要望で、箱型のありふれた形状となった。</t>
        </is>
      </c>
      <c r="J8671">
        <f>HYPERLINK("https://www.weblio.jp/content/要望", "词义详情")</f>
        <v/>
      </c>
      <c r="K8671">
        <f>HYPERLINK("https://yourei.jp/要望", "查看例句")</f>
        <v/>
      </c>
    </row>
    <row r="8672">
      <c r="A8672" t="inlineStr">
        <is>
          <t>羊毛</t>
        </is>
      </c>
      <c r="B8672" t="inlineStr">
        <is>
          <t>成功</t>
        </is>
      </c>
      <c r="C8672" t="inlineStr">
        <is>
          <t>読み方：ようもう
羊からとった毛。柔軟で保温性・吸湿性に富み、毛糸・毛織物の原料とする。ウール。</t>
        </is>
      </c>
      <c r="D8672" t="inlineStr">
        <is>
          <t>羊毛産業(2%)；羊毛布；羊毛製品；羊毛状；羊毛生産</t>
        </is>
      </c>
      <c r="E8672" t="inlineStr">
        <is>
          <t>毛；毛糸；ウール；絨毛</t>
        </is>
      </c>
      <c r="F8672" t="inlineStr">
        <is>
          <t>羊毛貿易；羊毛輸送；羊毛皮；国際羊毛事務局；羊毛服</t>
        </is>
      </c>
      <c r="G8672" t="inlineStr">
        <is>
          <t>羊毛状渦巻銀河；羊毛とおはな；羊毛倉庫；羊毛断熱材</t>
        </is>
      </c>
      <c r="H8672" t="n">
        <v>29</v>
      </c>
      <c r="I8672" t="inlineStr">
        <is>
          <t>羊毛と布産業のための単位は、単位をそれらの商品に特有なものにした。；羊毛は一つの層から、他の動物の毛はさらに多くの層から構成される。；家畜を扱う商人は多くの手作りの品を追加し、羊毛の取引は常にあった。；本領である六院部の羊毛と北宋の歳幣の中の絹を交換して利益を上げた。；コートは非常に長く密度の高い羊毛状のコートで、非常に防寒性が高い。；材料は羊毛や麻の繊維を編んだものや皮革や布でできたものなどがある。；中世の間、このカウンティの経済の大半は羊毛の取引に基づいていた。；コートは羊毛のように密度が高く、巻き毛になったロングコートである。；その羊毛のように白いひげは、ほとんど腰のところまでたれています。；攻城梯は砦の高い城壁と羊毛袋を攻略するために持ち込まれたのだった。；ライヒェンベルクの羊毛工場では八〇〇〇人の労働者が働いていた。；牧師夫人は羊毛製の青い修道服を着て、腰の位置は二人の腕より低い。；吉村隊は市の西郊外を流れる川のほとりにある羊毛工場に収容されていた。；一つは動物の体の一部が糸状になっているもので、例えば羊毛がそれである。；これは羊毛を縮充する際に使用されていた器具から派生した可能性もある。；オーストラリアでの羊毛産業の伝統的な役割が、この歌の人気で表現されている。；修道院が、この先羊毛の値が戻ると楽観的に考える気持はわからなくもない。；堰を切ったような輸出と開発が羊毛業の革命と世界史の佳境をもたらした。；羊毛のようにふかぶかとした私の髪に、あなたは接吻してくださいました。；初期の経済はラキシュ地域での綿花、羊毛などの農業をベースとしていた。；第二次世界大戦が始まると、羊毛とモヘアは防衛産業での需要が増した。；羊毛やアマなどの繊維を巻きつけておく糸巻き棒が使われるようになった。；顔や、鼻、足には羊毛は生えておらず、小さなピンと伸びた耳を持つ。；黒い羊毛は染色できなかったため、商業的に忌避されるものであった。；それは羊毛で拵えた赤い立派な物で、買うと三十五円くらいするそうです。；中世には、羊毛の取引によって得られる利益を利用して多数の教会が建設された。；市の経済を支えることになる羊毛産業が興ってくるのは、その時からである。；丁度この時期は、日本の羊毛工業の本格的な発展期を迎えていた。；その都市は中程度の規模で、既に羊毛と繊維業の中心地であった。</t>
        </is>
      </c>
      <c r="J8672">
        <f>HYPERLINK("https://www.weblio.jp/content/羊毛", "词义详情")</f>
        <v/>
      </c>
      <c r="K8672">
        <f>HYPERLINK("https://yourei.jp/羊毛", "查看例句")</f>
        <v/>
      </c>
    </row>
    <row r="8673">
      <c r="A8673" t="inlineStr">
        <is>
          <t>ようやく</t>
        </is>
      </c>
      <c r="B8673" t="inlineStr">
        <is>
          <t>成功</t>
        </is>
      </c>
      <c r="C8673" t="inlineStr">
        <is>
          <t>読み方：ようやく
［副］
１長い間待ち望んでいた事態が遂に実現するさま。やっとのことで。「戦争が終わり—平和になった」
２苦労した結果、目標が達成できるさま。かろうじて。何とか。「迷ったすえに—たどりついた」
３物事がしだいに進行して、ある状態になるさま。だんだん。
「人々は—に列を乱して」〈漱石・趣味の遺伝〉
４ゆっくりと。おもむろに。
「—歩みて帰る」〈今昔・七・四四〉
[補説] 「ややく」に「う」が加わったという説、「やくやく」の音変化とする説などがある。</t>
        </is>
      </c>
      <c r="D8673" t="inlineStr">
        <is>
          <t>ようやく気づい；ようやく気がつい；ようやく見つけ；ようやく落ち着い；ようやく思い出し</t>
        </is>
      </c>
      <c r="E8673" t="inlineStr">
        <is>
          <t>初めて；結局；ついに；いよいよ；遂に</t>
        </is>
      </c>
      <c r="F8673" t="inlineStr">
        <is>
          <t>いまようやく；末にようやく；ようやく停まった；ようやく峻護；ようやく明けそめ</t>
        </is>
      </c>
      <c r="H8673" t="n">
        <v>29</v>
      </c>
      <c r="I8673" t="inlineStr">
        <is>
          <t>現代のような自然科学は19世紀になってようやく誕生したものである。；正常化が始まったのはようやく1978年になってからのことであった。；志願期を終えた後でようやく養成の正式な第一段階である修練期に入る。；時代が何周もしてようやくラジオに追いついたというか、戻ったというか。；日本でも終戦から22年が経った1967年にようやく一般公開された。；スパンブリーの王であったパグワの加勢を得てようやく攻略に成功した。；こうして首都だけで4000人の死者を出してようやく内戦は終結した。；董和は「二人の優劣が今日になってようやく分かった」と言ったという。；これまで交代を繰り返してきたベースがようやく固まることになる。；これでようやく皇太孫の地位が安定し、道宗朝の政治の混乱は収まった。；江青の自殺については6月4日になってようやく新華社より発表された。；彼らがようやくこの大要塞に到着したのは、7月26日のことである。；イタリアではルネサンス後期に至ってようやくパレストリーナが登場した。；そうして忠敬の第五次測量の直前にようやく実用化できるようになった。；空港でようやく拾うことができたタクシーに乗ってスージーは学校に向かう。；ようやく送られてきたその本のタイトルを見て那須は驚いた。；東映ビデオもようやくビデオソフトを中心に営業できるようになった。；そこから索敵機に味方上空であることが伝えられ、ようやく解決した。；再び開かれた臨時株主総会でようやく佐藤信次が社長に就くことになる。；この時点で、ようやくサウスウエスト航空は運航が可能となったのである。；バンド結成から10年近く経ってようやく2人きりで飲みに行ったと語っていた。；翌日、再び学校を訪れたスージーは、ようやく入学することができる。；ここに至ってようやくブールも一家に合流することができた。；そのおかげでようやく契約者数の減少に歯止めを掛けることができた。；東側でもようやく歩道の整備などを含めた工事が終了した。；そのうちにようやく霧も薄れ明るい日光の中、頂に着くことが出来た。；結局、韓国でのスタジアム建設は続けられて日韓共催はようやく実現した。；階層は低くなっているが、約15年経ってようやくの実現となった。；同局では後継の「スーパーワイド」でようやく当枠のネットが実現した。</t>
        </is>
      </c>
      <c r="J8673">
        <f>HYPERLINK("https://www.weblio.jp/content/ようやく", "词义详情")</f>
        <v/>
      </c>
      <c r="K8673">
        <f>HYPERLINK("https://yourei.jp/ようやく", "查看例句")</f>
        <v/>
      </c>
    </row>
    <row r="8674">
      <c r="A8674" t="inlineStr">
        <is>
          <t>要領</t>
        </is>
      </c>
      <c r="B8674" t="inlineStr">
        <is>
          <t>成功</t>
        </is>
      </c>
      <c r="C8674" t="inlineStr">
        <is>
          <t>読み方：ようりょう
１物事の最も大事な点。要点。「質問の—がはっきりしない」
２物事の要点をつかんだ、うまい処理の仕方。「—が悪くてなかなか覚えない」「—よく話をする」</t>
        </is>
      </c>
      <c r="D8674" t="inlineStr">
        <is>
          <t>要領よく(9%)；要領良く；要領書；要領筆記；要領解説</t>
        </is>
      </c>
      <c r="E8674" t="inlineStr">
        <is>
          <t>機；落ち；ポイント；心臓；核</t>
        </is>
      </c>
      <c r="F8674" t="inlineStr">
        <is>
          <t>指導要領；実施要領；作戦要領；計画要領；装備要領</t>
        </is>
      </c>
      <c r="H8674" t="n">
        <v>29</v>
      </c>
      <c r="I8674" t="inlineStr">
        <is>
          <t>その時に先生の答えたことの要領が今でもはっきりと印象に残っている。；その上一目見ればすぐ要領を得られるくらいな大きな字で書いてあった。；実は僕も余り要領を得ていないのだ、ただ今のように言ってみたいので。；電話を入れてみても、入院したらしいことしか分からず、要領を得ない。；野菜の料理を彼女は要領良く作り、ふたりはそれを食べてお茶を飲んだ。；設計要領では、民間の工場で簡単に製作できるよう設計が考慮された。；大きな声で笑ったけれど、更に要領を得ることではありませんでした。；黒い椎の葉の透間から二階の灯が見えた時は殆ど辷り込みの要領だった。；これはテレビゲームを開発する要領やノウハウで制作される映画である。；ジェームズには要領の良さがあったが、地道さには欠けていたのである。；そのため少量の炭で要領よく色や味を抜く炭掛けの技術が発達していた。；しかしその比較のほとんど文学的といいうるほどに要領を得たには感服した。；また米友も足をとどめて、要領よくそれを聞きただす余裕もありません。；製織の技術では日本のに相当するものであり絨毯を作る要領で製作される。；私は女中を呼んで部屋を代へることを交渉したが、少しも要領を得なかつた。；要領を得ないのではない、得させないのは、言語の不通がさせるのだ。；ユーザーは画面切り替えの要領で複数のコンピュータを使い分けられる。；世の中にはどうして、こんな要領を得ない者ばかり揃ってるんだろう。；警部は要領よく、殺人現場の模様、犯人の侵入不可能であった事実を告げた。；打ち上げ時は折りたたまれており、軌道上で傘を開く要領で展開される。；入り方としては、相手の背後から跳び箱の要領で肩の上に乗ることが多い。；主筆は彼を、今の世に最もよく要領を得てる人の一人だといつもほめている。；あとは「お手玉」の要領で左右にはじき飛ばされる敵に弾を当てていく。；第40回大会・第42回大会 で選考要領の一部見直しが行われている。；それは誰に聞いても要領を得ることができませんでした。；採石場となった直下の斜面一帯は露天掘りの要領で大幅に削られ始める。；大地震の時に倒れないように歩くのも同じ要領だということである。；代助は少しその点に向って進んでみたが、遂に要領を得なかった。；「どうするね」 こう聞かれると、結局要領を得た何の挨拶もできなかった。</t>
        </is>
      </c>
      <c r="J8674">
        <f>HYPERLINK("https://www.weblio.jp/content/要領", "词义详情")</f>
        <v/>
      </c>
      <c r="K8674">
        <f>HYPERLINK("https://yourei.jp/要領", "查看例句")</f>
        <v/>
      </c>
    </row>
    <row r="8675">
      <c r="A8675" t="inlineStr">
        <is>
          <t>余暇</t>
        </is>
      </c>
      <c r="B8675" t="inlineStr">
        <is>
          <t>成功</t>
        </is>
      </c>
      <c r="C8675" t="inlineStr">
        <is>
          <t>読み方：よか
余ったひまな時間。仕事の合間などの自由に使える時間。「—を使って体力作りをする」</t>
        </is>
      </c>
      <c r="D8675" t="inlineStr">
        <is>
          <t>余暇活動(5%)；余暇時間(3%)；余暇施設(2%)；余暇センター；余暇用</t>
        </is>
      </c>
      <c r="E8675" t="inlineStr">
        <is>
          <t>暇；休暇；閑；空き；レジャー</t>
        </is>
      </c>
      <c r="G8675" t="inlineStr">
        <is>
          <t>余暇開発センター</t>
        </is>
      </c>
      <c r="H8675" t="n">
        <v>29</v>
      </c>
      <c r="I8675" t="inlineStr">
        <is>
          <t>製作には精密なものだと余暇を利用して作った場合数年かかる例もある。；元は牧師であったが余暇の全てを数学の研究に費やしたことで知られる。；金と余暇と土地とがあったら、出来得る限りさまざまの動物を飼いたい。；人々の余暇活動や宗教活動による消費で支えられているという面を持つ。；学校を好まず14歳で働きに出て余暇には戦争の場面や軍隊の絵を描いた。；市の郊外には小さな余暇用空港があり、主に観光や農業目的で利用されている。；以後16年間この職に従事しつつ、余暇を利用して執筆活動を続けた。；現在、ここは、方伯の城の南側に位置する保養・余暇公園となっている。；産業振興の一方早くから国民の余暇活動育成への計画が練られていた。；その余暇を生産的に利用するかしないかで、人生の幸不幸が分れる。；この頃、余暇に制作した画や工芸などの作品が今に伝えられている。；日本の浮世絵には、余暇を楽しむ人や働く人の姿が多く描かれている。；卒業生支援活動も行っていて、アフターフォローや余暇活動支援がある。；両親を助け、余暇には小学校の先生を教えたりしながら独自の境地を拓く。；最高級の衣食住と十分な俸禄があれば、余暇の過ごし方が重要になる。；百二十八番めの秘宝捜しは、偶然とれた余暇を利用して行ったのだ。；鹿谷の裏さびれた古刹に、余暇をみては坐禅に通ってきた廃堂があった。；彼女は隣りの部屋で、甥が勤めの余暇に作ったラジオセットをみせてくれた。；大部分の子供鉄道は都市の公園や余暇のための区域に敷かれている。；ともかく、その時期に習と劉は北京での余暇に学習会に参加していた。；彼が一九三九年以降、文筆活動の余暇を与えられたのは、それが初めてだった。；本質は日常生活を送る住居ではなく、余暇のためのレジャー施設である。；あなたはもともと自分の余暇をすべて恋人に支配されてしまうような恋愛を望んでいたわけではないはずだ。；私はとある決意を胸に、誰も来なくなってしまった部屋で余暇を過ごし始めました。；読書の余暇には、彼も家のものの相手に成って、この妹を款待そうとした。；余暇を利用して、3年がかりでのわずかな生存者を集中的に調査した。；いまの驚き方といい、こいつは普通の人間の余暇の過ごし方をまったく知らないのではないか。；大工が彼の余暇において、彼の必要なものを自らで作ったのである。；十分に余暇のある金持ちの地球人を相手に、庭園付き静養地を建設する。</t>
        </is>
      </c>
      <c r="J8675">
        <f>HYPERLINK("https://www.weblio.jp/content/余暇", "词义详情")</f>
        <v/>
      </c>
      <c r="K8675">
        <f>HYPERLINK("https://yourei.jp/余暇", "查看例句")</f>
        <v/>
      </c>
    </row>
    <row r="8676">
      <c r="A8676" t="inlineStr">
        <is>
          <t>予感</t>
        </is>
      </c>
      <c r="B8676" t="inlineStr">
        <is>
          <t>成功</t>
        </is>
      </c>
      <c r="C8676" t="inlineStr">
        <is>
          <t>読み方：よかん
［名］(スル)何か事が起こりそうだと前もって感じること。また、その感じ。「いやな—がする」「運命的な出会いを—する」</t>
        </is>
      </c>
      <c r="D8676" t="inlineStr">
        <is>
          <t>予感めい；予感通り；予感どおり；予感的中；予感がしきりに</t>
        </is>
      </c>
      <c r="E8676" t="inlineStr">
        <is>
          <t>疑い；疑惑；勘；直感；疑念</t>
        </is>
      </c>
      <c r="F8676" t="inlineStr">
        <is>
          <t>不吉な予感；いやな予感；悪い予感；そんな予感；暗い予感</t>
        </is>
      </c>
      <c r="H8676" t="n">
        <v>29</v>
      </c>
      <c r="I8676" t="inlineStr">
        <is>
          <t>予感はしていたが、実際に目があった瞬間に全身が硬直した自分に驚く。；そして彼の死後にその予感は的中し、実際にほぼその発言通りとなった。；ある日冬の訪れを予感したガラゴは店じまいをして家に戻ることにする。；やがておわかりいただけるように、彼の予感は現実のものとなっていた。；咄嗟の場合津田はお延が何かの力で自分の帰りを予感したように思った。；松夫はもう二度と誰とも恋ができないような予感がして仕方がなかった。；さすがにこの瞬間穏やかな言葉の背後に死の予感を感じたのであろう。；いまはまだほんのわずかでしかない情報に、彼は確かな予感を感じた。；まるですでに勝利を感じ、その予感にほくそえんでいるかのようだった。；「ぼくはそんな予感がしていたんだ」と彼はにやにや笑いながら言った。；何となく、不安な予感に駆られて私はその写真をとっておいたのだった。；何か非常なことの行はれる予感がして涙が滝のやうに落ちて来る。；学園で出会った弘明と恵子との幸せな未来を予感させて物語は完結する。；その予感は現実となり、エレベーターが原因の様々な事故が発生する。；何か恐ろしいものを予感した如く、それを開き兼ね、グズグズしていた。；その中でも面白かったのは相場の上り下りの予感が電話で来る事であった。；あまり朝早いことなので何か悪い知らせだとすぐに予感しました。；彼は既に学生の心の中を読み取っていて、決定的な兆候を予感していた。；まだ全てが終わった訳ではない事をハセヲ達の誰もが予感していた。；あの時野村にしろミネにしろ、今日の予感が全然なかったとはいえない。；何か不安な予感のようなものがそこいらじゅうに動いているようであった。；いつか生涯の方向が自分の心の中だけでおぼろげに予感されていた。；四辺の空気が重苦しく立罩め不吉な予感が静かな部屋の中を領している。；彼はその恐ろしい苦痛を予感し、両手でそれを払いのけるようにしていた。；いや、結局、自分の予感だけの人生しか生きることができないのだな。；そして私に予感されるかぎり、結婚は最も多く犠牲にこそ似てゐる。；彼はポウロのように魚を持ったまま、不吉な予感に打たれて妻の顔を見た。；かくもあらんかとおよそ予感すらもっていたかもしれなかった。；いや、それよりも、なにごとか将来に対する予感が湧いていたのである。</t>
        </is>
      </c>
      <c r="J8676">
        <f>HYPERLINK("https://www.weblio.jp/content/予感", "词义详情")</f>
        <v/>
      </c>
      <c r="K8676">
        <f>HYPERLINK("https://yourei.jp/予感", "查看例句")</f>
        <v/>
      </c>
    </row>
    <row r="8677">
      <c r="A8677" t="inlineStr">
        <is>
          <t>予期</t>
        </is>
      </c>
      <c r="B8677" t="inlineStr">
        <is>
          <t>成功</t>
        </is>
      </c>
      <c r="C8677" t="inlineStr">
        <is>
          <t>読み方：よき
［名］(スル)前もって期待すること。「—に反する」「—した以上の成果」
→予想［用法］</t>
        </is>
      </c>
      <c r="D8677" t="inlineStr">
        <is>
          <t>予期以上；予期でき；予期せぬ事態；予期通り；予期意向</t>
        </is>
      </c>
      <c r="E8677" t="inlineStr">
        <is>
          <t>思い；予定；期待；当；予想</t>
        </is>
      </c>
      <c r="F8677" t="inlineStr">
        <is>
          <t>なかば予期；少しも予期；予期せぬ妊娠；予期せぬ副作用；予期せぬトラブル</t>
        </is>
      </c>
      <c r="G8677" t="inlineStr">
        <is>
          <t>予期せぬ驚き</t>
        </is>
      </c>
      <c r="H8677" t="n">
        <v>29</v>
      </c>
      <c r="I8677" t="inlineStr">
        <is>
          <t>予期したと言うほどではなかったにしろ、当然とは確かに思っていた。；テストではミサイルの性能が予期していたよりも低いことが示された。；重い弾頭は攻撃をかける航空機を確実に破壊するものと予期されていた。；ワナトの指揮官達は大規模な攻撃を予期できる術が無いことが分かった。；こうした兵器の実物大での製造は2010年まで予期されていなかった。；私たちは常に限界を押し広げ、予期しない経験を提供するよう努めた。；これはこのような高度に最適化された形では予期されることである。；また暗殺される一年前に出された自伝にも自らの死を予期する記述がある。；なぜ、今では来なくなつたとの問ひを予期した様に、皆結局がついてゐる。；結果予期とは、ある行動がある結果を生み出すという推測のことである。；こんなことは勿論まるで予期していなかったので、私は断ろうとした。；予期していたことだとでもいうように、見て見ぬふりをしていた。；さて、海岸へ行って見ると、予期した通りすっかり気分が軽くなった。；これは、予期しない不規則性と予期しない規則性の形をとる場合がある。；しかしその二十幾つかの顔のどの目からも予期していた本当の人間の目は出て来なかった。；ではあなたのご意見では、何か予期せぬ災難にその方が見舞われたと?；決行するとは全然予期しなかった特殊飛行は、僕の病気までを宙返らせた。；危機の結果として金融分野では大幅な規制変更が来るものと予期されている。；予期しなかったことだが、ここで会ったことで2人の情熱に火がつく。；が、それもここへ来る前にひそかに僕の予期していたようにすっかり昔に変っていた。；特に予期されないポート番号を使った通信などは、アクセス制限される。；フロリダを多くの人々が訪れるようになって、予期せぬ問題が大きくなった。；その発展の可能性を予期して次々と土地購入を進めていく。；今度こそはすべてが予期どおりに都合よく行きそうにみえた。；そのフェイルオーバー機能は計画停止と予期しない停止の両方を考慮している。；予期せぬ対空砲火を回避しようとした2機が空中で衝突し、海に墜落した。；突入は、防御側が全く予期しない状況で行われることが理想である。；ところが、この一件がアンディに予期せぬ幸運をもたらすことになった。；その後彼は、予期しない発見があった場合の安全を考えフィルムの撮影をした。</t>
        </is>
      </c>
      <c r="J8677">
        <f>HYPERLINK("https://www.weblio.jp/content/予期", "词义详情")</f>
        <v/>
      </c>
      <c r="K8677">
        <f>HYPERLINK("https://yourei.jp/予期", "查看例句")</f>
        <v/>
      </c>
    </row>
    <row r="8678">
      <c r="A8678" t="inlineStr">
        <is>
          <t>余興</t>
        </is>
      </c>
      <c r="B8678" t="inlineStr">
        <is>
          <t>成功</t>
        </is>
      </c>
      <c r="C8678" t="inlineStr">
        <is>
          <t>読み方：よきょう
１宴会などで、興をそえるために行う演芸。
２興があとまで残ること。
「—尽きざるによりて、今一日御逗留あるべきよしを申さるるを」〈十訓抄・一〉</t>
        </is>
      </c>
      <c r="D8678" t="inlineStr">
        <is>
          <t>余興場(3%)；余興みたい；余興会；余興屋；余興芸</t>
        </is>
      </c>
      <c r="E8678" t="inlineStr">
        <is>
          <t>ショー；娯楽；興；アトラクション；エンターテインメント</t>
        </is>
      </c>
      <c r="F8678" t="inlineStr">
        <is>
          <t>ちょっとした余興；様々な余興；幕間余興</t>
        </is>
      </c>
      <c r="H8678" t="n">
        <v>29</v>
      </c>
      <c r="I8678" t="inlineStr">
        <is>
          <t>こんなのはあくまで引っかかったら逆にびっくりの余興みてえなもんだ。；そういう余興が行われるようになったのはトミー・ボルト以後のことだ。；いま余興がはじまったとみえ、みんなそのほうへ急いで行ったのである。；別に余興が無くても酒を楽しめるたちの王弁は今日はよいですと断った。；きっとこれからはじまる余興の会場の方へ出てくるに相違ありません。；今年は何の余興があるか、白ばらさまからお聞きになっていらっしゃる?；ほかには誰も出席しなかったし、格別の余興があるわけでもなかった。；ふたたび面をかぶりなおすと、すぐそばにある余興場へはいっていった。；まもなく、こういう席に向く才能のある人たちが、余興を出しはじめた。；こうしたやつらには、今日の銃撃戦も余興のひとつにすぎないらしい。；ある日、私は非常に面白い余興をして見せて、皇帝にひどく喜ばれました。；事件の判決が済むと、余興をでもやらせるような調子で彼が呼び出される。；本作はその余興のために、フーケの命で制作、上演されたものである。；正月元旦を終日泣いて暮してみたりする余興はあまり流行しないだろう。；今日は何の余興があるか、白薔薇さまからお聞きになっていらっしゃる?；僕は少年の頃、学芸会の余興なんぞに、落語を語るのが得意でしたつけ。；だが、余興の前に、見るにしのびない儀式が行なわれることになった。；後述するように酒宴の余興として多くのバリエーションが生まれている。；それは十二年前に、結婚式の余興で披露するために作成されたものだった。；やがて左楽が余興に出る際についていくほどの昵懇の仲となる。；余興に、一人の男がパッと手をあけると卵が出てくる奇術をしました。；おりおり余興に見せられる発声漫画などはこの意味ではたしかに一つの芸術である。；教会の庭には売店ばかりではなく、余興を見せる舞台や食物店もできている。；現在、余興公演は7月第4週の金・土・日曜日の3日間に渡り行われる。；こんなのは、余興みたいなもんだって、セヘクの爺ちゃん言ってたもの。；しかし船上の人物の顔が見える距離になって、それが余興ではないと気がついた。；余興に松尾氏と若井氏とが得意の一中を語ったりして陽気なことでありました。；この前、わしがテーべから 凱旋した時の祝いの余興に見せてもらった。；というような、余興だか、実用だかわからぬこともあったのであろう。</t>
        </is>
      </c>
      <c r="J8678">
        <f>HYPERLINK("https://www.weblio.jp/content/余興", "词义详情")</f>
        <v/>
      </c>
      <c r="K8678">
        <f>HYPERLINK("https://yourei.jp/余興", "查看例句")</f>
        <v/>
      </c>
    </row>
    <row r="8679">
      <c r="A8679" t="inlineStr">
        <is>
          <t>預金</t>
        </is>
      </c>
      <c r="B8679" t="inlineStr">
        <is>
          <t>成功</t>
        </is>
      </c>
      <c r="C8679" t="inlineStr">
        <is>
          <t>読み方：よきん
［名］(スル)銀行などの金融機関に金銭を預けること。また、その金銭。「毎月定額を—する」「—を下ろす」「当座—」「普通—」
[補説]ゆうちょ銀行・JAバンク・JFマリンバンクでは、「貯金」と呼ぶ。これは、これらの金融機関が、歴史的に、個人向けの貯蓄銀行としての役割を担っていたことからとされる。</t>
        </is>
      </c>
      <c r="D8679" t="inlineStr">
        <is>
          <t>預金者(15%)；預金残高(4%)；預金量(2%)；預金額；預金取扱</t>
        </is>
      </c>
      <c r="E8679" t="inlineStr">
        <is>
          <t>蓄え；貯金；貯え；預ける；貯蓄</t>
        </is>
      </c>
      <c r="F8679" t="inlineStr">
        <is>
          <t>預金金利；預金帳；社内預金；封鎖預金；預金引き出し</t>
        </is>
      </c>
      <c r="G8679" t="inlineStr">
        <is>
          <t>預金口座；預金保険機構；預金保険；預金保険法；預金通貨</t>
        </is>
      </c>
      <c r="H8679" t="n">
        <v>29</v>
      </c>
      <c r="I8679" t="inlineStr">
        <is>
          <t>彼の預金について、何か知っていることがあったら話してくれませんか?；預金している国が交戦していなければ、そういうことができるのである。；また給与の一部は強制的に預金させられるなど、利用条件が設けられた。；預金債権の譲渡が原則禁止される今日の銀行システムとは対照的である。；しかしこの頃はまだ預金サービスが中心であり、貸付は限られていた。；同行の預金は彼らの支払準備金として機能し、帳簿上で決済されていた。；非ムスリムの預金も許可されており、非ムスリムの間での人気も高い。；大金を預金している顧客・青柳様の15億円を使い込んでいたのである。；しかし、その現れるまでの期間内に、まだどれだけの人々が預金をするか。；ほうぼうの銀行に八〇万ドルほどは預金してあったと思います。；野良猫が預金していたことをおかしいとお思いになるでしょう。；預金と貸付の規制を急いで緩和したが、一方連邦保険はそのままだった。；また、一般に預金積金や為替等の取引は、非会員も利用することができる。；預金保険を提供する等、預金者等の保護と信用秩序の維持を主な目的とする。；このような預金から必要に応じて引き出された現金が市中で流通する。；第110条で預金・供託金を償却金庫に入れてはならないと戒めている。；他業種への参入のため、一般からの預金などの受け入れなどは行っていない。；それに、個人の小口預金者には、このような契約を結ぶことは不可能である。；同行では、預金開設者の中から抽選で地元産品を送るサービスを行っている。；自己資金は預金と援助のほか東京に持っていたマンションを売り払って2億円。；このような預金から必要に応じて引き出された現金通貨が市中で流通する。；それはエドワード・ハイド自身の名儀で新しく別の銀行に預金したからである。；上の表に預金・準備金が膨張した三つの時点・原因を指摘できる。；僕はあそこに預金なんかあるわけはないし、銀行があんなことするなんてはじめてです。；担当官は、銀行間の預金の移動や、必要と思われる方法で預金の操作ができる。；つぎには何もかも、自分の金ばかりでなく預金者らの金をも賭けた。；預金量は1兆円を超えており全国的にも規模が大きな信用金庫に入る。；預金の運用先については国債・地方債が約9割と安全性を重視している。；Bobが預金を引き出して口座を変更した時、データは上書きされない。</t>
        </is>
      </c>
      <c r="J8679">
        <f>HYPERLINK("https://www.weblio.jp/content/預金", "词义详情")</f>
        <v/>
      </c>
      <c r="K8679">
        <f>HYPERLINK("https://yourei.jp/預金", "查看例句")</f>
        <v/>
      </c>
    </row>
    <row r="8680">
      <c r="A8680" t="inlineStr">
        <is>
          <t>よく</t>
        </is>
      </c>
      <c r="B8680" t="inlineStr">
        <is>
          <t>成功</t>
        </is>
      </c>
      <c r="C8680" t="inlineStr">
        <is>
          <t>読み方：よく
［副］《形容詞「よい」の連用形から》
１念を入れてするさま。十分に。「歯を—磨く」「—勉強しなさい」
２程度がはなはだしいさま。非常に。たいそう。「あの親子は—似ている」
３その状態・条件にふさわしいさま。巧みに。うまく。「—書けました」「—設計された家」
４困難なことをしたり、考えられないような喜ばしい結果を得たりして感じ入るさま。本当にまあ。よくぞ。「—来てくれました」「月給だけで—やっていけるね」
５相手の非常識な言動などを非難するさま。4を反語的にいう語。よくもまあ。「—のこのこと来られたものだ」
６何度も同じことをするさま。しばしば。たびたび。「—物忘れする」「—行く店」</t>
        </is>
      </c>
      <c r="D8680" t="inlineStr">
        <is>
          <t>よく似(4%)；よく知ら(4%)；よくわから(3%)；よく見る；よくよく</t>
        </is>
      </c>
      <c r="E8680" t="inlineStr">
        <is>
          <t>多く；まま；最も；非常；非常に</t>
        </is>
      </c>
      <c r="F8680" t="inlineStr">
        <is>
          <t>最もよく；首尾よく；よくわかり；非常によく；愛想よく</t>
        </is>
      </c>
      <c r="G8680" t="inlineStr">
        <is>
          <t>よく目；よくもまあ；よくご；よく訓練された；よくなら</t>
        </is>
      </c>
      <c r="H8680" t="n">
        <v>29</v>
      </c>
      <c r="I8680" t="inlineStr">
        <is>
          <t>また、安彦とは以前は彼のスタジオによく遊びに行っていた仲でもある。；また毎日三食饅頭だけで過ごし健康を害しかかったこともよく知られる。；ほかの言語でもよくみられるような制御構造を用いることができる。；しかし彼らの仕事は孤立して残っているばかりでよく知られていない。；この輪回しの輪は多くの文化圏で古くからよく知られている玩具である。；当時の担当編集者とは、よく映画や漫画以外の本についての話をしていた。；物理的性質の似たアミノ酸はよく似たコドンに対応している傾向がある。；漢字がよく使われるようになったのは幕末から明治時代にかけてである。；実験式と分子式が同じであることがよくあるが、常にそうとは限らない。；ロイヤル・オペラ・ハウスは長い歴史を持ちよく知られている存在である。；現在よく知られているこれらの用語は、初期の実装に由来するものである。；の構文は数学で用いられるものによく似せられていることに注意されたい。；この付近では停止信号でよく特に上りが減速したり停車したりする。；その一人である日本人僧の佐々井秀嶺が日本ではよく知られている。；どのプログラミング言語が最もよく使われているかを判断することは難しい。；最初の問題は発展途上国の近代的産業はあまり効率がよくないことだ。；しかし、特定の現象が特によく発達しているものを選ぶ、と云う場合もある。；現代でも簡単にシーケンスデータを表現するものとしてよく使われている。；様々な種類のメッセージを受信する際の構文解析などでよく使われる。；また、御産の後に鯉を食べると母乳がよく出ると言う伝承も見られる。；さらに、通常はの段階でテーマの分割、整理統合が行われる場合がよくある。；大学への通学路に古本屋街があったため、古本もよく読むようになった。；これらの法則は、天体の運行などの観測結果をよく説明することができた。；フーリエ変換の記法として 以外によく用いられるものに などがある。；童歌の歌詞には、意味不明のものや、よく考えると恐ろしいものも多い。；の3つの流れをバランスよく滞りない状態にするのが治療目標になる。；プラズマ周波数の測定値は、多くの材料で理論値とよく一致している。；ああいう形になったのに、本当によく勝ってくれたと思います。；よく使われる「五箇条の御誓文」などの呼称は、後の時代の通称である。</t>
        </is>
      </c>
      <c r="J8680">
        <f>HYPERLINK("https://www.weblio.jp/content/よく", "词义详情")</f>
        <v/>
      </c>
      <c r="K8680">
        <f>HYPERLINK("https://yourei.jp/よく", "查看例句")</f>
        <v/>
      </c>
    </row>
    <row r="8681">
      <c r="A8681" t="inlineStr">
        <is>
          <t>欲</t>
        </is>
      </c>
      <c r="B8681" t="inlineStr">
        <is>
          <t>成功</t>
        </is>
      </c>
      <c r="C8681" t="inlineStr">
        <is>
          <t>読み方：よく
［音］ヨク（呉）（漢）　［訓］ほっするほしい
［学習漢字］6年
１不足、不満を満たしたいと願う。ほしがる。「欲求・欲情・欲心・欲念・欲望」
２（「慾」と通用）ほしがる気持ち。「欲火・欲界／愛欲・意欲・禁欲・五欲・強欲(ごうよく)・私欲・嗜欲(しょく)・情欲・食欲・性欲・大欲・貪欲(どんよく)・肉欲・物欲・無欲・利欲」</t>
        </is>
      </c>
      <c r="D8681" t="inlineStr">
        <is>
          <t>欲深い；欲すれ；欲深く；欲せし；欲ス</t>
        </is>
      </c>
      <c r="E8681" t="inlineStr">
        <is>
          <t>思い；夢；思；希望；念</t>
        </is>
      </c>
      <c r="F8681" t="inlineStr">
        <is>
          <t>所有欲；金銭欲；出世欲；名誉欲；支配欲</t>
        </is>
      </c>
      <c r="G8681" t="inlineStr">
        <is>
          <t>欲望；欲求；欲し；欲する；欲しく</t>
        </is>
      </c>
      <c r="H8681" t="n">
        <v>29</v>
      </c>
      <c r="I8681" t="inlineStr">
        <is>
          <t>そしてモンスターの書が魔法の書を欲した理由がいよいよ明らかになる。；仲間を欲しながら、同じぐらい強く独りになりたくなる人生の時期です。；だが、緩慢に死にゆく私は、いまこそはっきりとした答えを欲していた。；彼の小説的な探求の中心の一つであるのが、権力欲を批判したものである。；また、一度当たりを出した後、欲をかいて結果的に失敗することもある。；子供も新たには欲せず、女子たちは懐妊すると堕胎薬を服用させられた。；欲や煩悩は無いが、物質や肉体の束縛からは脱却していない世界である。；その可愛らしさゆえ、見ている者に保護欲を掻き立てさせるような状況。；されば自分の歌としてその存在を欲して居ても、自分の好きな歌ではない。；私は彼が職業的な理由でこれらを欲したのだと思っています。；当時の社長である石井幸孝は、新製車両に対して2つの面を欲していた。；彼らの権利と自由を欲したミランド住民は、迅速に新たな妥協を探した。；しかしその偉業以上に傲慢で非情、所有欲の強い男であったといわれる。；しかし彼女はそれを聞くと、もう欲にも我慢がしきれなくなった。；今、我が君は覇王の地位を欲されておりますので、民に蓄えさせました。；婆は欲を出してもっと米を出そうとして腹を搗くと米が出なくなった。；幼少期は女子を欲していた母によって女子の格好をさせられていた。；従って年よりのように欲にも渇かず、若いもののように色にもおぼれない。；このことが、領内を進軍可能な同盟国を欲した理由のひとつであった。；彼女は支配欲が強く、先の結婚でもうけた子供のために自らの立場を利用した。；殺して欲いの死にたいのと、口癖にいうていて、いざとなるとその通り。；それらの絵画を展示できる建築物を、ギネスは欲していたのである。；親戚が来ても会うこともなく、常に別居を欲していたが両親は許さなかった。；しかし次第に保守化し、後には自己の欲しか考えない男になっていってしまう。；当時ブラジルは未開発の地であったため、そうした奴隷の労働力を欲していた。；ベータ・コルヴィ人が交易の対象として欲したのは芝居、演劇であった。；しかして彼が眼を覚ますとそれからまたその創造欲を満足させるのである。；性虐待を呼び起こす原因は性欲ではなく支配欲であるとの分析もある。；また、字に書かんと欲して忘れたるものを、口に発して想出することあり。</t>
        </is>
      </c>
      <c r="J8681">
        <f>HYPERLINK("https://www.weblio.jp/content/欲", "词义详情")</f>
        <v/>
      </c>
      <c r="K8681">
        <f>HYPERLINK("https://yourei.jp/欲", "查看例句")</f>
        <v/>
      </c>
    </row>
    <row r="8682">
      <c r="A8682" t="inlineStr">
        <is>
          <t>翌～</t>
        </is>
      </c>
      <c r="B8682" t="inlineStr">
        <is>
          <t>成功</t>
        </is>
      </c>
      <c r="C8682" t="inlineStr">
        <is>
          <t>読み方：よく
［音］ヨク（漢）
［学習漢字］6年
その次の。あくる。「翌日・翌週・翌春・翌年・翌翌日」
［名のり］あきら
［難読］翌檜(あすなろ)</t>
        </is>
      </c>
      <c r="H8682" t="n">
        <v>0</v>
      </c>
      <c r="J8682">
        <f>HYPERLINK("https://www.weblio.jp/content/翌～", "词义详情")</f>
        <v/>
      </c>
      <c r="K8682">
        <f>HYPERLINK("https://yourei.jp/翌～", "查看例句")</f>
        <v/>
      </c>
    </row>
    <row r="8683">
      <c r="A8683" t="inlineStr">
        <is>
          <t>抑圧</t>
        </is>
      </c>
      <c r="B8683" t="inlineStr">
        <is>
          <t>成功</t>
        </is>
      </c>
      <c r="C8683" t="inlineStr">
        <is>
          <t>読み方：よくあつ
［名］(スル)
１抑制し圧迫すること。むりやりおさえつけること。「言論の自由を—する」
２心理学で、不快な観念や表象・記憶などを無意識のうちに押し込めて意識しないようにすること。</t>
        </is>
      </c>
      <c r="D8683" t="inlineStr">
        <is>
          <t>抑圧する(9%)；抑圧的(7%)；抑圧者；抑圧政策；抑圧しよ</t>
        </is>
      </c>
      <c r="E8683" t="inlineStr">
        <is>
          <t>制限；制御；抑制；拘束；制約</t>
        </is>
      </c>
      <c r="F8683" t="inlineStr">
        <is>
          <t>政治的抑圧；社会的抑圧；性的抑圧；言論抑圧；政治的な抑圧</t>
        </is>
      </c>
      <c r="G8683" t="inlineStr">
        <is>
          <t>抑圧搬送波単側波帯；抑圧搬送波両側波帯</t>
        </is>
      </c>
      <c r="H8683" t="n">
        <v>29</v>
      </c>
      <c r="I8683" t="inlineStr">
        <is>
          <t>警察はどこにも存在しないし、犯罪を抑圧する手段は極めて限られている。；いかなる形の政府も、やがては抑圧への道をたどる、と考えたのである。；またオボテ政権時に抑圧されていたルワンダ人もその中枢を占めていた。；精神分析学では、抑圧は人格発達のために必要な概念と考えられている。；例えば、対象国での政治的抑圧であるとされている事に対して使われる。；そのような中で一揆勢をさらに抑圧するような動きが計画されるようになった。；この中では言論の自由を抑圧する政府に対して批判的な意見を述べている。；また、抑圧的な体制下で独自に制作された新聞を指すこともある。；宗教内の対立派閥の衝突があり、また厳しい抑圧は急速に常態と化した。；ソ連政府は戦意高揚のために従来のナショナリズムの抑圧政策を転換した。；政治的抑圧と経済困難が、住民の多くを市外へ出移民させることになった。；晩年は病気がちとなり、それまで抑圧していた仏教にすがるようになった。；人々がこれまで抑圧されてきたさまざまな主張を顕在化させるようになったのである。；何故なら抑圧は親や外界に否定された願望や衝動に起こるからである。；赤軍は、政治的抑圧を実施していた内務人民委員部の支援を頻繁に行った。；この事件はそれを過度に強調し信仰の自由が抑圧された例とされる。；鈍重さや悲哀を好まないが、本当に嫌っているのは自由への抑圧である。；一方で、国家による抑圧や深刻な人権侵害に関連した暴力行為もあった。；帝政は彼らを政治的に抑圧し、また宴会騒ぎで彼らを道徳的に怒らせた。；ローマとアウグストゥスは新たな抑圧された皇帝崇拝の対象となった。；抑圧されていた人々はラージンの声明に飛びついて反乱に加わっていった。；ふだんは意識下に抑圧されているものの、現実の行動に影響力をもつ。；全ての反対の検閲と抑圧は国の悪い経済状態ともに彼の治世を幾分暗くした。；解離と抑圧は似たように扱われるが正確には異なる現象である。；グレイブスは急拡大する反乱を抑圧するよう海軍本部から指示を受けていた。；イスラム世界における女性の扱いの低さを訴え、抑圧からの解放を解く。；これは彼らに抑圧的だった一部のパリ・コミューン経験者とは対照的であった。；この動きをミコンベロは陰で支援し、以後さらに抑圧的な体制を作っていった。；この他、保安ブレーキと降雪時に使用する抑圧ブレーキを装備している。</t>
        </is>
      </c>
      <c r="J8683">
        <f>HYPERLINK("https://www.weblio.jp/content/抑圧", "词义详情")</f>
        <v/>
      </c>
      <c r="K8683">
        <f>HYPERLINK("https://yourei.jp/抑圧", "查看例句")</f>
        <v/>
      </c>
    </row>
    <row r="8684">
      <c r="A8684" t="inlineStr">
        <is>
          <t>浴室</t>
        </is>
      </c>
      <c r="B8684" t="inlineStr">
        <is>
          <t>成功</t>
        </is>
      </c>
      <c r="C8684" t="inlineStr">
        <is>
          <t>読み方：よくしつ
ふろば。湯殿(ゆどの)。バスルーム。</t>
        </is>
      </c>
      <c r="D8684" t="inlineStr">
        <is>
          <t>浴室内；浴室用；浴室棟；浴室ユニット；浴室テレビ</t>
        </is>
      </c>
      <c r="E8684" t="inlineStr">
        <is>
          <t>バス；風呂場；浴場；バスルーム</t>
        </is>
      </c>
      <c r="F8684" t="inlineStr">
        <is>
          <t>広い浴室；小さな浴室；女子浴室；船員浴室；男女浴室</t>
        </is>
      </c>
      <c r="G8684" t="inlineStr">
        <is>
          <t>浴室暖房；浴室床暖房</t>
        </is>
      </c>
      <c r="H8684" t="n">
        <v>29</v>
      </c>
      <c r="I8684" t="inlineStr">
        <is>
          <t>ローマの家で浴室は台所の近くにあり、湯を供給するのに便利であった。；女は浴室から上ったらしい丈夫相な半裸体のまま朝の食事を摂って居た。；その後浴室の温度を異常に上げたため、これらの人々はみな死亡した。；この部屋を通って浴室にいくのだが、これは桃色の大理石で作ってある。；朝までの約束で金を渡したのに、浴室で汗を流してくると部屋を出たという。；そのまま彼は、由美子に浴室の場所を聞き、彼女をそこに連れて行った。；浴室で、動きまわったり、薬箱らしい物をあけている音が聞こえました。；勝手の壁に凭れていた男は、洗面所の扉を開けて一歩だけ浴室に入った。；「ああ、これを見たら思いだしたわ」浴室から帰って来て彼女が言った。；その時、いきなり浴室の硝子戸があいてはいって来たのは宮子であった。；代表的な浴室関連の設備ユニットの寸法は次表に示すとおり多岐にわたる。；男女別の浴室を備えており、施設全体がバリアフリー構造になっている。；この宮殿は、トイレと浴室の数が多く、質的にもきわめて充実している。；特にイスラム教徒の多い地域では宗教的な意味から淋浴室が多数存在する。；キチンの作業台の端に新聞を広げ、僕は浴室でシャワーを浴びなおした。；思わず立ち上ると彼は髪を解きつけた浴室の真紀子の櫛を探しにいった。；伊奈が答えないのを見ると、女はベッドから離れて、浴室に入っていった。；Eの衰弱を知っていたJは、このときはさすがに、浴室に止めに行った。；その間にも浴室の隅で、砂時計はサラサラと砂をこぼし続けているのだ。；半時間後、女中はビットンのことが気になったので、浴室まで行ってみた。；特注品の中には、妻ブランチに合うよう作られた浴室も含まれていた。；浴室内には、流の意向から通常設置されているはずの鏡が全くない。；それぞれの専用の浴室でシャワーを浴び、夕食の準備にとりかかった。；彼女は浴室のためにアパルトマンのまるまる一室を当てたにちがいない。；泣き終わったあと二人は交わい、彼は浴室に行って先にシャワーを浴びた。；女は腹をたてたように、浴室へも行かず、そのまま服を着けはじめた。；今朝なんか、刑事のひとりが浴室の中までついて来ようとするんだからな。；霊泉とされ1574年には初めて浴室が設けられるなど長い歴史を有する。；一方、何も知らないフェイは、娘が落ち着いたので一人浴室へと向かう。</t>
        </is>
      </c>
      <c r="J8684">
        <f>HYPERLINK("https://www.weblio.jp/content/浴室", "词义详情")</f>
        <v/>
      </c>
      <c r="K8684">
        <f>HYPERLINK("https://yourei.jp/浴室", "查看例句")</f>
        <v/>
      </c>
    </row>
    <row r="8685">
      <c r="A8685" t="inlineStr">
        <is>
          <t>翌日</t>
        </is>
      </c>
      <c r="B8685" t="inlineStr">
        <is>
          <t>成功</t>
        </is>
      </c>
      <c r="C8685" t="inlineStr">
        <is>
          <t>読み方：よくじつ
その次の日。あくる日。</t>
        </is>
      </c>
      <c r="D8685" t="inlineStr">
        <is>
          <t>翌日以降；翌日未明；翌日早朝；翌日付；翌日午後</t>
        </is>
      </c>
      <c r="E8685" t="inlineStr">
        <is>
          <t>明日；またの日；又の日</t>
        </is>
      </c>
      <c r="F8685" t="inlineStr">
        <is>
          <t>事故翌日；其の翌日；選挙翌日；翌日昼；震災翌日</t>
        </is>
      </c>
      <c r="H8685" t="n">
        <v>29</v>
      </c>
      <c r="I8685" t="inlineStr">
        <is>
          <t>翌日の生放送で、馬場自ら取材の内容を報告するスタイルを取っていた。；受賞を実感したのは翌日の新聞で自分の顔を見てからと語っている。；翌日には高井が、改めてTwitterにて解散した事を報告している。；これは最初のリリースの翌日からほぼ正確に40年後のことである。；同日のうちに呼延攸らは劉裕を、翌日には劉隆を殺害する事に成功した。；その後、奥田は友人宅へ泊まり、翌日自宅に帰ったところを逮捕された。；国王一家は翌日になってから死刑判決を知らされ、最後の面会を行った。；最初は致命傷には見えなかったが、翌日には傷が元で息を引き取った。；会見翌日以降、一般ニュースも紳助引退のニュースを大きく取り上げた。；翌日の夜の観測でガリレオはこれらの光点が動いているのを発見した。；その翌日にダビング作業を再開するが、そこで2度目の火災が発生した。；翌日より胃の上部に生じた癌の治療のためチームを離れ休養に入った。；その現地スタッフは翌日から姿を見せなくなったという。；この事件の処理のため、藩主池田慶徳の翌日の参内は夕方にずれ込んだ。；それまでゲストが翌日・翌週のお友達を紹介するというのがお約束だった。；翌日の再試合では、腰の痛みを訴えたことから、麻酔注射を打って登板。；また翌日の14日には同ビルで「プランタンなんば」が営業を開始した。；彼はその手口にえらく感心し、自分も同じことを翌日に試みようとする。；この年の10月、廃帝は逃亡を図るが捕まり、翌日に院中で亡くなった。；通常は土曜深夜に予選を放送し、翌日に決勝の模様が放送される。；この事件の際に7日から翌日8日にかけて現地警察がデモ参加者を逮捕。；会社は政府の許可を得た翌日の3月14日に営業を開始する。；両ルートとも、途中の山小屋に一泊して、翌日山頂を目指すのが一般的。；乗組員からは反対もあったが、艦長の命により翌日水葬が執り行われた。；翌日3月24日放送分の『日高晤郎ショー』が最後の番組出演となった。；翌日になって戻ってきたヘプバーンはわがままな行動を全員に謝罪している。；同様にアニメコンテンツ エキスポも翌日に開催の中止を決定した。；翌日、東郭氏に不幸なことがあったので、家まで行って弔問することにした。；ただしこの日は一般営業は行われなかったため、鶴見駅では翌日を開業日としている。</t>
        </is>
      </c>
      <c r="J8685">
        <f>HYPERLINK("https://www.weblio.jp/content/翌日", "词义详情")</f>
        <v/>
      </c>
      <c r="K8685">
        <f>HYPERLINK("https://yourei.jp/翌日", "查看例句")</f>
        <v/>
      </c>
    </row>
    <row r="8686">
      <c r="A8686" t="inlineStr">
        <is>
          <t>抑制</t>
        </is>
      </c>
      <c r="B8686" t="inlineStr">
        <is>
          <t>成功</t>
        </is>
      </c>
      <c r="C8686" t="inlineStr">
        <is>
          <t>読み方：よくせい
［名］(スル)
１おさえとどめること。「インフレを—する」
２意識的な努力によって衝動やそれに伴う感情・思考をおさえつけること。</t>
        </is>
      </c>
      <c r="D8686" t="inlineStr">
        <is>
          <t>抑制する(25%)；抑制される(4%)；抑制作用(2%)；抑制効果；抑制できる</t>
        </is>
      </c>
      <c r="E8686" t="inlineStr">
        <is>
          <t>管理；制限；操作；禁止；制御</t>
        </is>
      </c>
      <c r="F8686" t="inlineStr">
        <is>
          <t>自己抑制；骨髄抑制；がん抑制；抑制薬；増殖抑制</t>
        </is>
      </c>
      <c r="G8686" t="inlineStr">
        <is>
          <t>抑制剤；抑制栽培</t>
        </is>
      </c>
      <c r="H8686" t="n">
        <v>29</v>
      </c>
      <c r="I8686" t="inlineStr">
        <is>
          <t>この効果はニコチンの食欲抑制効果と関係があることが示唆されている。；すなわち、財政政策は抑制されていた中でGDPが伸びていたのである。；孝武帝は貴族勢力の抑制を狙って税制の改革や寒人層の登用などを行う。；これは行政立法の一種ではあるが、国会への抑制手段とまでは言えない。；定次には、彼らを完全に抑制するだけの力量はなかったとも推測される。；形式の古いラーガほど感情は抑制され、神への献身や祈りが中心となる。；秀吉も中世的支配体系・支配勢力の排除・抑制に努め、中世をおわらせた。；こうした中成立した昭和57年度予算は稀にみる抑制予算となった。；小型化されたA319に合わせて両エンジンとも推力抑制型が用意された。；暴力犯罪を抑制する最も効果的な方法は治療だと考えられている。；リン酸化はタンパク質の働きを活性化したり、逆に抑制する働きを持つ。；ファミリー機の胴体長に応じて、推力増強型と抑制型が用意されている。；反応速度が早くなり、また副反応が抑制され収率が向上する場合がある。；これらの変更は、高速走行による蛇行動の発生を抑制するために行われた。；しかしこれを抑制するかは不明なため、その目的で帝王切開をすべきではない。；但しこのうちの如何なる抑制手段を認めるかは、国や時代により異なる。；血圧を低下させる作用からか抑制系の反応が現れることもある。；圧力抑制プール水は最終的には間接的に河川もしくは海水で冷却される。；たとえば、宿主細胞のを抑制することでHIVの侵入を防ぐことができる。；エタノール単独の場合は、行動制御の抑制と活性化の両方の側面が低下した。；この抑制により、ジベレリン濃度が上昇し、葉の原基が成長を開始する。；サラエボ市の警察は暴動を抑制するための努力を何もしなかった。；カンキツグリーニング病は抑制管理に完全に成功した訳ではない。；とりわけ動産差押に制限を設けたことは中世的な自力救済の抑制に資した。；こうした無能な王が強権を発動するのを抑制する試みがなされるようになった。；これによりノッキングを抑制されるため圧縮比を上げることも可能になる。；これらに対して歴代の皇帝達は抑制策を考え、部分的には成功した。；それにより、違法配信の抑制、新たな販路の開拓を期待しているという。；道路の建造に伴う二酸化炭素の排出量の増加を抑制するには次のようなことが必要になるという。</t>
        </is>
      </c>
      <c r="J8686">
        <f>HYPERLINK("https://www.weblio.jp/content/抑制", "词义详情")</f>
        <v/>
      </c>
      <c r="K8686">
        <f>HYPERLINK("https://yourei.jp/抑制", "查看例句")</f>
        <v/>
      </c>
    </row>
    <row r="8687">
      <c r="A8687" t="inlineStr">
        <is>
          <t>翌年</t>
        </is>
      </c>
      <c r="B8687" t="inlineStr">
        <is>
          <t>成功</t>
        </is>
      </c>
      <c r="C8687" t="inlineStr">
        <is>
          <t>読み方：よくとし
その次の年。よくねん。</t>
        </is>
      </c>
      <c r="D8687" t="inlineStr">
        <is>
          <t>翌年以降；翌年春；翌年夏；翌年正月；翌年一月</t>
        </is>
      </c>
      <c r="F8687" t="inlineStr">
        <is>
          <t>翌年公開；翌年初め；引退翌年；翌年死去；デビュー翌年</t>
        </is>
      </c>
      <c r="H8687" t="n">
        <v>29</v>
      </c>
      <c r="I8687" t="inlineStr">
        <is>
          <t>実際の会議にはイタリアも参加し、さらに翌年にはカナダも加わった。；翌年に同じ枠でドラマの続編も放送され、2009年には映画化された。；大正9年には日本社会主義同盟が結成されるが翌年に禁止されてしまう。；なお翌年、当駅で日本で初めての本格的な駅弁が発売されたとされる。；また不合格になった者は翌年の同じ回より前の試験は受験できない。；翌年に岡山駅まで路線が延伸されると同時に、現在の場所へ駅が移転した。；翌年1月まで次々と新政を補完するための新機関の設置が行われていった。；翌年以降は更に伸びており、この時期大量のソフトが市場に流れ込んでいた。；翌年に有年駅まで路線が延伸されると同時に、現在の場所へ移転した。；監督代行の田辺が翌年から正式に監督として指揮を執ることを発表した。；これらの対策は翌年以降も継続して取り入れられている。；このため同時期に予定されていた訪米は翌年に延期、訪韓は中止になった。；翌年の1999年12月18日に映画化された、一旦シリーズは終了した。；このコンサートの模様は、翌年にCDとDVDでリリースされている。；イギリスでは1664年、オランダはその翌年にその専門部隊を設立している。；シューハートは翌年設立されるベル研究所で引退するまで研究に従事した。；翌年になって犯人は逮捕されたが、絵画は既に焼却されていた。；朱熹は何度も辞退したが、何度も推薦を受け、結局翌年3月にに赴いた。；秋からが収穫期で、翌年の初春を迎えるまで冬の間は長い期間収穫できる。；翌年の1980年には映画化され、現在まで続くシリーズ作品となる。；秀長自身も責任を問われ、秀吉から翌年の年頭の挨拶を拒否された。；翌年、州議会は結婚を認める最少年齢を15歳に設定する法を成立させた。；続いて慶長13年冬から翌年春には関東の大名・旗本の観閲を行った。；種子は翌年の春に発芽せず、その年の夏を越して秋になってから発芽する。；これは翌年にイギリス国内で利用され始めた。；この論文は翌年に懸賞当選論文として採用されたが、反対意見も多かった。；翌年にはそれまでのバラスト道床からコンクリート道床に改修されている。；そして、輝元出陣の日は翌年1月16日と定められ、諸将に下令された。；吉田の死から半年後の翌年1980年2月には、吉田の母・ツナが死去。</t>
        </is>
      </c>
      <c r="J8687">
        <f>HYPERLINK("https://www.weblio.jp/content/翌年", "词义详情")</f>
        <v/>
      </c>
      <c r="K8687">
        <f>HYPERLINK("https://yourei.jp/翌年", "查看例句")</f>
        <v/>
      </c>
    </row>
    <row r="8688">
      <c r="A8688" t="inlineStr">
        <is>
          <t>欲張り</t>
        </is>
      </c>
      <c r="B8688" t="inlineStr">
        <is>
          <t>成功</t>
        </is>
      </c>
      <c r="C8688" t="inlineStr">
        <is>
          <t>読み方：よくばり
［名・形動］欲張ること。また、その人や、そのさま。「—を言う」「—な人」</t>
        </is>
      </c>
      <c r="D8688" t="inlineStr">
        <is>
          <t>欲張りすぎ(6%)；欲張り過ぎ(2%)；欲張り爺(2%)；欲張り根性；欲張り量指定子</t>
        </is>
      </c>
      <c r="E8688" t="inlineStr">
        <is>
          <t>貪欲；強欲；ハイエナ；貪婪；守銭奴</t>
        </is>
      </c>
      <c r="H8688" t="n">
        <v>29</v>
      </c>
      <c r="I8688" t="inlineStr">
        <is>
          <t>私たちは何ひとつ望んでもいないし、何ひとつ欲張りを言ってもいない。；あの欲張り男が国中をうろつきまわるのをさしとめてくれたのだからな。；また、大きく長い欲張りな腕を持つその怪物はとても、本当に不気味だ。；その変わり映えのしない毎日に、欲張りなタイプの人は耐えられない。；ところが、卑しい欲張りがいて、壟断に登って左右を見まわしたのです。；が、そこは欲張りなファープのこと、もっと多くの青銅貨を欲していた。；その他にも、欲張りや無作法、権力に固執する者などが諷刺されている。；つまり、孟子は、自分はこんな卑しい欲張りではない、と言いたいのだ。；「今日は、もうたくさんの物をもらったからね」 欲張りはいいことがない。；約束は二人で山分けだったはずが欲張りのブッチが全部自分のものにしようとする。；人生の選択の数が増えれば増えるほど、欲張りになるのが女なのだ。；欲張りは言い過ぎかもしれないけれど、だれだって安定した生活を望んでいる。；わたしは要するに欲張りなのだ、と納得するのは、じつにこの瞬間である。；欲張りといって語弊があるなら、今の自分にいつも飽き足らないタイプだ。；誰もが助かって、幸福で、笑いあえるような結末を望むのは欲張りなのか。；流石、地元だけでなく宇宙にも根ざすことを試み欲張りな町である。；欲張り過ぎたスケジュールのために消化不良を起したのかもしれない。；医師の欲張りは違っていることは次に示される。；学校側から午後の自由時間をもらっても、結局は欲張りすぎて有効な使い方ができないものらしい。；ねえ、あんたさん、わだしの願いは、欲張りな夢だったべか、無理な夢だったべか。；たとえばいまそこに来ている男みたいに、欲張り屋の浮浪人だ。；この欲張りなふたつの思いは、もちろん現実的には両立できるはずがない。；欲張りすぎると損をし、無欲だったのと同様の結果に陥るのが第一義。；モモコはもっと欲張りでもいいし、もっと幸せになってもいい。；非常に欲張りの人間もいたわけなんでありますが、非常にもうかる仕組みになっております。；たしかに鼻の両わきに太いしわが凹むと、ひどく欲張りそうに見えるものだ。；ぼくはそんなに欲張りでもなけりゃ、ホステスかなんかみたいなんでもないよ。；欲張りと非難されようとも、乃梨子だって一度は手にしてしまった宝物なのだ。；こういうときはみんな欲張りになってるもんだ。</t>
        </is>
      </c>
      <c r="J8688">
        <f>HYPERLINK("https://www.weblio.jp/content/欲張り", "词义详情")</f>
        <v/>
      </c>
      <c r="K8688">
        <f>HYPERLINK("https://yourei.jp/欲張り", "查看例句")</f>
        <v/>
      </c>
    </row>
    <row r="8689">
      <c r="A8689" t="inlineStr">
        <is>
          <t>欲深い</t>
        </is>
      </c>
      <c r="B8689" t="inlineStr">
        <is>
          <t>成功</t>
        </is>
      </c>
      <c r="C8689" t="inlineStr">
        <is>
          <t>読み方：よくぶかい
［形］［文］よくぶか・し［ク］《「よくふかい」とも》ほしがる気持ちが度を超えている。欲張りである。「—・い人」「—・い頼み」</t>
        </is>
      </c>
      <c r="D8689" t="inlineStr">
        <is>
          <t>欲深い男(7%)</t>
        </is>
      </c>
      <c r="E8689" t="inlineStr">
        <is>
          <t>貪欲；卑しい；むさぼる；貪欲な；利己的な</t>
        </is>
      </c>
      <c r="H8689" t="n">
        <v>29</v>
      </c>
      <c r="I8689" t="inlineStr">
        <is>
          <t>こうしていると、自分がどんどん欲深くなっていくような気がしてならない。；やさしくされて、それ以上のものを求めてしまう自分は欲深い嫌な女だ。；船が通るところを見るたび、人間とは欲深いものであるなあと思う。；別に友達関係でもそれはそれでよかったんだけれど、私は結構、欲深いのよ。；三郎は権勢をふるっていたが、欲深く、民の人望も薄かったといわれる。；しかも町では欲深い郡代と悪辣なヤクザが結託して民百姓を苦しめていた。；自分の利益を主張する一方、相手の主張がいかにも欲深く妥協を知らないもののように感じた。；みんなが欲深く、抱えられるだけの財産を持って出てくるのを見て、ビオレッタは一つ息をついた。；欲深い小さな生き物のように、典子の「女」が島崎の顔にせまってくる。；まわりにはたくさんの人がいましたけれど、不誠実で欲深い、厳しい人たちばかりでした。；他人の期待通りに振る舞いたいと考えるのは欲深いことであり、いつか必ず無理が生じて破綻すると思います。；相変わらず欲深い生活を続けていた夫人の父親は、娘の手から婚約指輪を抜き去った。；欲深い連中にたかられた吉兵衛は鳥が羽毛をむしり取られるようにして全財産を失った。；ある日、一人の欲深い狩人が現れ、ズラトロクに背後から忍び寄った。；でも欲深いシカゴ長者が貴族を支援する例は思い出せませんね。；人間というのはそういうものだと思うし、課題ができたら、人間は欲深いものだからそれを越えようとします。；心優しい老夫婦と欲深い隣人夫婦が、不思議な力を持った犬をきっかけに前者は幸福に後者は不幸になるという内容。；連中は欲深く金をせびったあげく、ようやく承知してくれた。；ケンクは欲深く、常にいい獲物はないか表社会を物色している。；ジョゼフは虎視眈々と|世界を狙う、欲深い男だと思っていた。；歳をとると万事に欲深くなり、恩も義もわすれて、おまえにしてみれば道ならぬとうらむだろう。；慳貪とは欲深く、おのれ一人よければ他人に迷惑をかけてもかまわぬことをいう。；どうやら佐賀右衛門が欲深い義平次を使って琴浦を攫う算段のようだ。；ぼくはどうしようもなく欲深い男だよ。；一家はあまり友好的でなく欲深く気難しい性質のために、周囲からあまり良く思われていなかったが、事件後、村は恐怖に支配された。；この世の中が、まちがっていることに気づかなかったばかりに、俺も、いつしか欲深い人間になってしまった。；飽くことを知らない欲深い口に吸われて、自分の肉体を形成している物質が、ことごとく自分から抜け出してしまったような気がした。；また、佐藤儀右衛門は当時極めて富裕だったが、欲深くけちであった。；父は欲深く良心というものがない人物であり、彼女は両親からの助言に対して重要な施しをした。</t>
        </is>
      </c>
      <c r="J8689">
        <f>HYPERLINK("https://www.weblio.jp/content/欲深い", "词义详情")</f>
        <v/>
      </c>
      <c r="K8689">
        <f>HYPERLINK("https://yourei.jp/欲深い", "查看例句")</f>
        <v/>
      </c>
    </row>
    <row r="8690">
      <c r="A8690" t="inlineStr">
        <is>
          <t>欲望</t>
        </is>
      </c>
      <c r="B8690" t="inlineStr">
        <is>
          <t>成功</t>
        </is>
      </c>
      <c r="C8690" t="inlineStr">
        <is>
          <t>読み方：よくぼう
不足を感じてこれを満たそうと強く望むこと。また、その心。「—にかられる」</t>
        </is>
      </c>
      <c r="D8690" t="inlineStr">
        <is>
          <t>欲望そのもの；欲望曲線；欲望充足；欲望相関性；欲望ニ</t>
        </is>
      </c>
      <c r="E8690" t="inlineStr">
        <is>
          <t>思い；夢；思；希望；念</t>
        </is>
      </c>
      <c r="F8690" t="inlineStr">
        <is>
          <t>たい欲望；性的欲望；強い欲望；激しい欲望；あらゆる欲望</t>
        </is>
      </c>
      <c r="G8690" t="inlineStr">
        <is>
          <t>欲望の炎；欲望の翼；欲望の塊；欲望のあいまいな対象；欲望者</t>
        </is>
      </c>
      <c r="H8690" t="n">
        <v>29</v>
      </c>
      <c r="I8690" t="inlineStr">
        <is>
          <t>彼は思考や自分の仕事、自分の欲望や計画を何冊かの本で記録している。；欲望を達成するために意識的に行動することによって脳は発達していく。；ここで議論の中心となっているのは、人間の無意識の欲望の概念である。；それが生きることの動機であるから、その欲望を起すことが必要である。；それは鏡の中に客を誘い、人の心の中の欲望の世界を見せるというもの。；まずはじめに家族の欲望があって、それが子どもを迎え入れるのである。；我々は満足させることができない欲望と精神的な要求を持っている。；自分の父は芥川の字を見て彼も芥川に書いて貰ひ度と云ふ欲望を起した。；心の中から出てくる欲望や怒りから、人は自由になれるという話である。；この本は7つの物語から構成され、権力への欲望が共通したテーマである。；侮蔑によつてそそられながら、彼の欲望はかなり強いものになつてゐた。；人は皆簡易生活に満足し、欲望とても極めて淡泊ならざるを得なかった。；その意味は人間には自然に色彩と形との美しさを追及する欲望がある。；彼等は強いと云ふよりも寧ろ病的なる欲望に支配されるほど弱いのである。；当人にしてみれば、それらに対して欲望を感じていないケースまである。；それはどんなに絶望しても希望を見つけ出そうとする、生への欲望である。；自身の直接的な欲望を懇願する特別な経験の選択であってはならない。；そして原の視線の欲望は常にその絵画を成立させる根拠である。；妻らしく、母らしい婦人が必ずしも生活欲望が弱いとしたものでもないようだ。；その普通の人間が欲望を持ったまま「仏」となる道が求められねばならない。；そして、人間は欲望を離れて生活も存在もあり得ないと言うにあった。；家をはなれて一人つきりになりたい欲望は、これは責めるわけにいかんよ。；みんなは、もう命を捨てた神であるから、何の欲望もないであろう。；手も足も欲望も自由に伸ばし自由に充足し得る生活が欲しいのだ。；KBSでは「熱い欲望を持った4人の男女の愛の物語」と紹介している。；わしは力の限り抵抗したけれども、彼の欲望に征服されてしまった。；まず第一の性質、それは欲望であり、内側に引きこもる働きを持っている。；石田はやはり心のどこかでそんな窓を見たい欲望を感じていた。；画家の視線の欲望は常にその絵画を成立させる根拠である。</t>
        </is>
      </c>
      <c r="J8690">
        <f>HYPERLINK("https://www.weblio.jp/content/欲望", "词义详情")</f>
        <v/>
      </c>
      <c r="K8690">
        <f>HYPERLINK("https://yourei.jp/欲望", "查看例句")</f>
        <v/>
      </c>
    </row>
    <row r="8691">
      <c r="A8691" t="inlineStr">
        <is>
          <t>よくも</t>
        </is>
      </c>
      <c r="B8691" t="inlineStr">
        <is>
          <t>成功</t>
        </is>
      </c>
      <c r="C8691" t="inlineStr">
        <is>
          <t>読み方：よくも
［副］「よく」を強めた言い方。賞賛・驚き・意外・憎しみなどの気持ちをそえる。よくまあ。「—こんなに食べたものだ」「—殴ったな」</t>
        </is>
      </c>
      <c r="D8691" t="inlineStr">
        <is>
          <t>よくもまあ(6%)；よくも悪く(5%)；よくもこんな(3%)；よくもあんな(2%)；よくもよくも</t>
        </is>
      </c>
      <c r="E8691" t="inlineStr">
        <is>
          <t>いみじくも</t>
        </is>
      </c>
      <c r="F8691" t="inlineStr">
        <is>
          <t>よくもあの；よくも言え；よくもまア；よくもぬけぬけ；よくもあしく</t>
        </is>
      </c>
      <c r="H8691" t="n">
        <v>29</v>
      </c>
      <c r="I8691" t="inlineStr">
        <is>
          <t>よくも自分の大変な仕事に耐えられるものだと、ぼくは不思議に思った。；人間の力でよくもかく語り得るものだと彼は明らかに驚いたのである。；お前は自分の御主人のことをよくもそんな風に言い、命に叛くのですか。；ここまで来て離婚してませんなんて文春さんによくも嘘言えたもんだ。；よくもこれほど自分の心の内部を表現してくれたと思うでしょう。；私はよくも見つけ当てたというよりは、何だか当然のような気がした。；われながらよくもまあ、あんな歯の浮くような台詞が言えたものである。；長舌か長耳だか知らんが、黙ってきいておればよくも勝手な熱を吹くものだ。；あんた、よくもこのあたしを警察に売るような真似をしてくれたわね!；そのことがこの本をよくもわるくもユニークなものにしていると思う。；よくもあんな男と結婚する気になれたものだと彼女自身おどろくのだった。；よくもこんなに良く出来ていると、只々感歎するよりないのであります。；愛する卓一であるだけに、なほさらよくも言へたものだと思ふのだつた。；多年探しあぐねていたところを、よくもわれから姿を現わして来おッたな。；勝手に俺等の部落さ来やがって、よくも俺とこのジョンを殺したな!；自分の都合で、よくも、私をあれだけ何度も呼び出したものだ、なんて。；殺すところも見てねえくせに、よくもまあそこまで思い込めるもんだ。；あの時、あんなに約束してあるのに、お前さん、よくも約束を破ったね。；よくも素人がたった一人で、ここまでやってこられたものだと感心した。；若いころのことを思うと、よくもああいろいろ馬鹿なことができたものだと思う。；よくも悪くも、やはり時務にかかるとそれだけの腕はある人間だった。；よくもまア、これだけの困ったことを、たった一人で引きうけたものさ。；人の気も知らないで、よくもこんなところに寝っころがっていられたもんだ。；こともあろうに、この俺にむかってみみっちいとは、よくもほざいたな。；よくもおまえはゆうべわたしをうらぎって、警察の手に渡そうとしたな。；こんなところで暮らして、われながらよくも正気でいられるものだわ。；よくもこんなに細かく調べているものだと驚くほどだったと云います。；彼は運よくもこれを使って家の中にはいることができた。；みると全くよくもまあ集めたものだとあきれるほど大量の石の山。</t>
        </is>
      </c>
      <c r="J8691">
        <f>HYPERLINK("https://www.weblio.jp/content/よくも", "词义详情")</f>
        <v/>
      </c>
      <c r="K8691">
        <f>HYPERLINK("https://yourei.jp/よくも", "查看例句")</f>
        <v/>
      </c>
    </row>
    <row r="8692">
      <c r="A8692" t="inlineStr">
        <is>
          <t>余計</t>
        </is>
      </c>
      <c r="B8692" t="inlineStr">
        <is>
          <t>成功</t>
        </is>
      </c>
      <c r="C8692" t="inlineStr">
        <is>
          <t>読み方：よけい
［名・形動］
１物が余っていること。必要な数より多くあること。また、そのさま。余り。余分。「一人分切符が—だ」
２普通より分量の多いこと。程度が上なこと。また、そのさま。たくさん。「いつもより—に食べる」「人より—な苦労をする」
３必要な度を超えてむだなこと。また、そのものや、そのさま。「—なことまでしゃべる」「—なお世話だ」
［副］程度・分量がさらに増すさま。もっと。なおさら。「前より—痛くなった」「そんなことを聞くと—心配になる」</t>
        </is>
      </c>
      <c r="D8692" t="inlineStr">
        <is>
          <t>余計なこと(20%)；余計な心配(2%)；余計な事；余計な口出し；余計な世話</t>
        </is>
      </c>
      <c r="E8692" t="inlineStr">
        <is>
          <t>不要；過剰；無用；不必要；余った</t>
        </is>
      </c>
      <c r="F8692" t="inlineStr">
        <is>
          <t>少し余計；余計な手間；少しでも余計；余計な苦労；余計なおしゃべり</t>
        </is>
      </c>
      <c r="G8692" t="inlineStr">
        <is>
          <t>余計者；余計な一言</t>
        </is>
      </c>
      <c r="H8692" t="n">
        <v>29</v>
      </c>
      <c r="I8692" t="inlineStr">
        <is>
          <t>私はこの時ふと自分が今まで余計な事を云っていたのに気がつきました。；言葉数が少ないだけ、頭が良過ぎてあんまり余計なことを言わないだけ。；科学の力は、科学に縁のない人の方が、余計に信用しているようである。；それで父の小言をまるで必要のない余計な事のように考えて病室を出た。；また余計な選択肢で頭を使わないために服は同じものを何着も持っていた。；父親が戦死したため父親を知らずに育ってきたので余計に嬉しかったのだ。；だからそれだけ余計にわたしの助力を必要としていると、わたしは思う。；専門家はどの資料か知っているし非専門家には余計なものであろう。；それに言う事を聞かないで暴れたものだから余計に水を飲んだようだ。；元来が肉の多い方だったので、この変化が代助には余計目立って見えた。；どうして彼等にとつては余計な女王達の出て行くのを防ぐのだらう?；彼も私も、一人でゐる時より二人でゐる時の方が余計恐怖の発作を感じた。；あんな余計な処まで抜き書きをしなくつたつていいぢやありませんか。；そうですから普通商業家よりも政府の商売の方が余計儲かる訳である。；様々な音が入ってしまうため、余計な音を録らないスキルが必要になる。；のみならず彼がまた昔その女と別れる時余計な事を饒舌っているんです。；そこに至るには、どうしても良い書を余計に見ることで、眼で見て習う。；そうでもない、世間じゃ余計な風説をしている折からだから憂慮わしい。；実をいうと、彼は男よりも女の方に余計興味を持っていたのである。；太郎は母親のために行動していたつもりだったが、それは余計な事だと知る。；その治療にはヒ素が用いられたため、余計に健康を害することとなった。；彼等は余計に食べるんだからいいようなものの乃公には何のいいことがある。；彼の同僚すら余計な事をして学校の位地を危うくするのは愚だと思った。；実は脳病が気の毒でならなかったから、こんな余計な事をしたのである。；同じように分配して、誰も余計にとるようなことがあってはならない。；それに本当はお前よりか俺の方が余計重夫のことを心配していたんだ。；こんな誤解され易い、又誤解する方が尤もな、余計な事は云っていない。；あの従兄の奴、少しばかり年が上だと思つて、余計な世話を焼くんです。；ツアーもやめることで、2人以外の人間の仕事は余計なくなっていった。</t>
        </is>
      </c>
      <c r="J8692">
        <f>HYPERLINK("https://www.weblio.jp/content/余計", "词义详情")</f>
        <v/>
      </c>
      <c r="K8692">
        <f>HYPERLINK("https://yourei.jp/余計", "查看例句")</f>
        <v/>
      </c>
    </row>
    <row r="8693">
      <c r="A8693" t="inlineStr">
        <is>
          <t>避ける</t>
        </is>
      </c>
      <c r="B8693" t="inlineStr">
        <is>
          <t>成功</t>
        </is>
      </c>
      <c r="C8693" t="inlineStr">
        <is>
          <t>読み方：さける
［動カ下一］［文］さ・く［カ下二］
１それとかかわることで不都合や不利益が生じると予測される人や事物から離れるようにする。また、そのような人や事物に近づかないようにする。「あの人は—・けたほうがよい」「反抗期で父親を—・ける」「都会の騒音を—・けて暮らす」「—・けて通れない問題」「ラッシュ時を—・けて出勤する」「人目を—・けて会う」
２不都合や不利益をもたらすような言動をしないようにする。差し控える。「コメントを—・ける」「どぎつい表現は—・けたほうがよい」「武力衝突は—・けたい」
３よける。「飛び出してきた自転車を—・けきれずに衝突する」
[用法]さける・よける——「走ってくる車をさけよう（よけよう）としてころんだ」「水たまりをさけて（よけて）歩く」など、自分に害を与えるものや好ましくないものから意識的に離れることを表す場合、相通じて用いられる。◇「さける」は「人目をさけて暮らす」「視線をさける」「明言をさける」など、抽象的なものが対象の場合にも用いる。この場合「よける」は使わない。◇「よける」は「落石をよけて事なきを得た」「相手のパンチをよけそこなう」のように、わきへ寄る、身をかわすなどの具体的な動作に重点がある。</t>
        </is>
      </c>
      <c r="D8693" t="inlineStr">
        <is>
          <t>避けるべき(4%)；避けるべく；避ける間もなく；避けるよう命令；避けるため高麗</t>
        </is>
      </c>
      <c r="E8693" t="inlineStr">
        <is>
          <t>回避；逃げる；逃れる；忌避；控える</t>
        </is>
      </c>
      <c r="F8693" t="inlineStr">
        <is>
          <t>なるべく避ける；限り避ける；避けるため潜航</t>
        </is>
      </c>
      <c r="H8693" t="n">
        <v>29</v>
      </c>
      <c r="I8693" t="inlineStr">
        <is>
          <t>こういったイベント時の興奮は、プレイヤーの努力では避けようがない。；時間や物理法則が存在する限り未来の到来は避けられないものとされる。；党は分裂を回避するために奴隷制問題への態度表明を避けるようになった。；この喜劇の脚本の記述の真実性への疑義は、避けようのないことである。；なお249編成では幕板部の帯が表記類を避けた高い位置となっている。；人の集合を避けるため、飛行ルートは飛行開始の3時間前に公表された。；この時の純粋さとは汚れを避けることではなく、汚れを見つめうる純粋さだ。；また、全て避けられることになっているとは言え打太刀からも技を打つ。；他の派閥との類似や混同・混乱を避ける為にポル・ポト派とも呼ばれる。；一般的に発射台の構造は発射塔と発射炎を避けるための堀から構成される。；日独伊三国同盟の締結反対、対米戦は避けるべきなどの意見を発信した。；これらの問題を避けるために、改変する際には次のような規定がある。；テストの内容は学習に使用された特定の教材に由来することは避けられる。；曖昧さを避けるために名をつける必要がある場合は、常に使用される。；特に乳幼児への使用は危険であり、近くでの使用も避けるべきである。；主体性についてのあらゆる問題が再考察の対象となるのは避けられない。；避けがたい戦争を前にしてナポレオン3世は閣議で涙を流したという。；王室関係は避けろと言ったこちらの指示を無視したことになりますが?；なお、あまりにも高い場所は危険を生じるため避けるべきとされる。；例: このことから混乱が生じたため1980年代以降は避けられている。；海岸の崖沿いを避けたトンネルの多い道路は、明治中期になって整備されている。；農民との争いを避けるために武士の役目以外では名字・帯刀を禁止された。；生後1歳以上になると腸内環境が整う時期となるので避ける必要はない。；ローマはカルタゴ勢力がシチリアでこれ以上に広がることは避けたかった。；このような事態の多くは本当は避けられたとする研究結果もある。；航空母艦との重複を避けたため、本来の用途とは名称が反対となっている。；これは天皇の分身である軍旗を敵の手に渡すことを避けたためである。；この場合は、将軍家や藩主家の娘の名も使用を避ける対象であった。；ここでも推理小説と同様、シリーズキャラクターの登場は避けられている。</t>
        </is>
      </c>
      <c r="J8693">
        <f>HYPERLINK("https://www.weblio.jp/content/避ける", "词义详情")</f>
        <v/>
      </c>
      <c r="K8693">
        <f>HYPERLINK("https://yourei.jp/避ける", "查看例句")</f>
        <v/>
      </c>
    </row>
    <row r="8694">
      <c r="A8694" t="inlineStr">
        <is>
          <t>予言</t>
        </is>
      </c>
      <c r="B8694" t="inlineStr">
        <is>
          <t>成功</t>
        </is>
      </c>
      <c r="C8694" t="inlineStr">
        <is>
          <t>読み方：かねごと
前もって言いおいた言葉。約束の言葉。
「思ひいでよ誰が—の末ならむ昨日の雲のあとの山風」〈新古今・恋四〉</t>
        </is>
      </c>
      <c r="D8694" t="inlineStr">
        <is>
          <t>予言者(3%)；予言通り(2%)；予言的；予言集；予言どおり</t>
        </is>
      </c>
      <c r="E8694" t="inlineStr">
        <is>
          <t>予想；予測；予期；説教；予告</t>
        </is>
      </c>
      <c r="F8694" t="inlineStr">
        <is>
          <t>未来を予言；女予言；ノストラダムス予言；偉大な予言；事後予言</t>
        </is>
      </c>
      <c r="G8694" t="inlineStr">
        <is>
          <t>予言書；予言の自己成就；予言王</t>
        </is>
      </c>
      <c r="H8694" t="n">
        <v>29</v>
      </c>
      <c r="I8694" t="inlineStr">
        <is>
          <t>このイベントは現在のところ数万年後の未来に起こると予言されている。；現在では、最初にこの予言が創られたのは1590年と考えられている。；彼は1633年に暗殺されたが、事前にこれを予言していたとされる。；もちろん、当たったと見なされている予言もなくはないが、数は少ない。；そして、わざと嘘を言っているのでない限り、その予言は必ず真実となる。；そのため劉基が作ったとされる予言詩全体が『焼餅歌』と呼ばれている。；占いや、神社・寺院のおみくじは、この運を予言する力があるとされる。；二人は将来のヨーロッパ史で第一次世界大戦が勃発すると予言したのである。；またあるとき、リブシェは夫と主だった人々の前で未来を見、予言した。；またテイレシアースは死後もゼウスより予言の力を保つことを許された。；この理論には星の重力により光が曲げられるという予言も含まれていた。；その中で、自分の死の60年後に中国大陸が統一される事を予言していた。；その予言で死ぬべき人物は、不幸にもシラディスに仕えてきた彼だったのだ。；優れた予言の能力を持っているが決して口にすることはない。；戦いの技術以外にも、スカアハはクー・フランにある予言を与えている。；以下に示す予言的パーサが上記文法を正確に反映している点に注意されたい。；これを彼は将来自分が大戦士になる予言であると解釈した。；それらの中には原子爆弾の発明まで予言したとするものさえある。；若いころにソ連に留学、早くも70年代にその崩壊を予言していたという。；また、三島明神はこの先河野家は16代続くと予言していたようである。；一方、啓示宗教における預言と予言・予測は本来的に異なる概念である。；ネーレウスは正直で、穏和かつ聡明な神であり、予言の力を持っていた。；マツヤが7日後に大洪水が起こり全ての命を破壊することを予言した。；彼は世界中を放浪し、予言に関わりのある者が現れる一族の様子を見に行く。；表舞台から姿を消した後も近しい人間にバブル崩壊を予言し的中させていた。；ちなみに、予言にある呼び名にいちばん衝撃を受けたのは彼である。；デュラハンは家の戸口の前で家族ひとりを指さしてその死を予言する。；これはアレンが合成される数十年前にリービッヒが予言していた。；予言ほどの規模ではないにしろ、この小説もまた現実に浸食する性質を備えている。</t>
        </is>
      </c>
      <c r="J8694">
        <f>HYPERLINK("https://www.weblio.jp/content/予言", "词义详情")</f>
        <v/>
      </c>
      <c r="K8694">
        <f>HYPERLINK("https://yourei.jp/予言", "查看例句")</f>
        <v/>
      </c>
    </row>
    <row r="8695">
      <c r="A8695" t="inlineStr">
        <is>
          <t>横</t>
        </is>
      </c>
      <c r="B8695" t="inlineStr">
        <is>
          <t>成功</t>
        </is>
      </c>
      <c r="C8695" t="inlineStr">
        <is>
          <t>読み方：おう
［音］オウ（ワウ）（呉）　［訓］よこ
［学習漢字］3年
〈オウ〉
１よこ。よこにする。よこになる。「横臥(おうが)・横断・横転／縦横」
２ほしいまま。かって気まま。「横行・横柄・横暴・横領／専横」
３普通でない。「横禍・横死」
４あふれ出る。「横溢(おういつ)・横流」
〈よこ〉「横顔・横綱・横道・横文字／真横」</t>
        </is>
      </c>
      <c r="D8695" t="inlineStr">
        <is>
          <t>横須賀線；横置き；横眼；横一列；横ぎり</t>
        </is>
      </c>
      <c r="E8695" t="inlineStr">
        <is>
          <t>側；辺；傍；脇；傍ら</t>
        </is>
      </c>
      <c r="F8695" t="inlineStr">
        <is>
          <t>右横；左横；横に長く；横斑プリマスロック；横軽協調運転</t>
        </is>
      </c>
      <c r="G8695" t="inlineStr">
        <is>
          <t>横断；横顔；横浜市；横綱；横目</t>
        </is>
      </c>
      <c r="H8695" t="n">
        <v>29</v>
      </c>
      <c r="I8695" t="inlineStr">
        <is>
          <t>それ以外の編成では横から見て中央より1つ右の側窓上部に設置している。；上から背中の横の部分を持つか、胸の小さい方の角を持つと負担が少ない。；また、重ね合わせるだけではなく横などに並べて表示するシステムもある。；これらの重量増を考慮して、車体の横骨や、屋根部分に梁が追加された。；引戸は扉が横にスライドして開閉する構造であり、広く用いられている。；ホーム上の待合室には公衆電話があり、駅前の階段横にはトイレがある。；枠は上下左右の枠、梁または中棧といわれる横板、裏軸や裏板からなる。；なお、この建物横の旧改札口のあった場所は現在駐輪場となっている。；高山に生育する種では上に伸びず匍匐状に横に広がるものも知られる。；木道はかつては湿原に横板を介して直接置かれたものがほとんどであった。；顔の形は耳からの長い飾り毛の為に横に広がって見える。；大宮駅を出ると、しばらく地下を走行し、鉄道博物館の横で地上に出る。；また横歩きしか出来ない種類でも回転で弱らせると暫く縦歩きをする。；十二指腸の名前は指を12本横に並べた長さとほぼ同じなためつけられた。；同時に1番のりばへのエレベーター横に車椅子対応のトイレも設置された。；後者については、盤面を横に拡大させた場合に数えやすく、適している。；顔はイヌをイメージしており、横のひれはバランをモチーフとしている。；階段はホームの新松戸方向端にあり、階段横の通路の奥にエレベーターがある。；吊戸は側構の外部で扉を吊って、横にスライドして開閉する構造である。；止まったまま進行方向に対して横から剣を伸ばして倒すことも可能である。；ホーム横にはターミナル駅の面影を残す駅舎とホームが残されている。；さらに工場の横を過ぎると田畑の向こうから九州新幹線の高架が合流する。；発射筒の横にあるのが照準器 前記第1世代を改良した誘導方式を採用。；駅舎横の貨物ホームの他に、南側にコンテナヤードが設けられている。；トイレは白人用と黒人用が横に並んでいたが、黒人用の食堂は地下にあった。；その際には中央の軸に横動を許容するなどの対策が必要となる。；また、その先の名電築港駅横では廃車済み車両の解体と搬出が行われる。；縦と横、前後、左右、上下など空間の関係に関する言葉はたくさんある。；オスの夏羽は頭部が灰色になり、胸部に黒と赤褐色の横帯が1対ずつ入る。</t>
        </is>
      </c>
      <c r="J8695">
        <f>HYPERLINK("https://www.weblio.jp/content/横", "词义详情")</f>
        <v/>
      </c>
      <c r="K8695">
        <f>HYPERLINK("https://yourei.jp/横", "查看例句")</f>
        <v/>
      </c>
    </row>
    <row r="8696">
      <c r="A8696" t="inlineStr">
        <is>
          <t>横切る</t>
        </is>
      </c>
      <c r="B8696" t="inlineStr">
        <is>
          <t>成功</t>
        </is>
      </c>
      <c r="C8696" t="inlineStr">
        <is>
          <t>読み方：よこぎる
［動ラ五（四）］
１横の方向に通りすぎる。一方の側から他方の側へ渡る。横断する。「車道を—・る」
２ふと現れて消える。「失望の色が顔を—・る」
［動ラ下二］横に切れていく。横にさえぎる。
「澄みのぼる月の光に—・れてわたるあきさの音の寒けさ」〈頼政集〉</t>
        </is>
      </c>
      <c r="D8696" t="inlineStr">
        <is>
          <t>横切るあいだ；横切る長い；横切る形で連絡；横切る太い</t>
        </is>
      </c>
      <c r="E8696" t="inlineStr">
        <is>
          <t>通過；通る；超える；渡る；過ぎる</t>
        </is>
      </c>
      <c r="H8696" t="n">
        <v>29</v>
      </c>
      <c r="I8696" t="inlineStr">
        <is>
          <t>間もなく町を横切る川の滝がある所に大規模な工場が次々と建設された。；顔はくちばしから目に向かって黒の筋が横切ったような模様をしている。；航空移動などで都市を飛ばしていったり横切ったりすることはできない。；私は両親の目を逃れて、そっと庭を横切り、家の前の道を下りはじめた。；すると目の前を横切つた一人の男の子が自分の總領息子の年輩であつた。；茶色の背広を着た二人の男が砂地を横切ってかれらの方に近づいていた。；その女は右手の通りから足早やに出て来て道路を横切ろうとしていた。；多くはニーダーエスターライヒ州と近隣の地区との境界を横切っている。；甲高い声を上げて数羽の鳥が横切り、つづいて近くで枝が鳴る音がした。；町の中央部を昭和通りが東西に横切り、西縁を長野大通りが南北に通る。；大勢で来たので、大きな灰色の霧のようにこの土地を横切って進みました。；ホームへの行き来は駅舎から線路を横切って渡る構内通路となっている。；自転車を押して通りを横切ろうとしたとき、奇妙な光景が目に入った。；でも、おまえたちが生きて岩棚を横切って道へ出ることはとてもできない。；町の中心部を昭和通りが東西に横切り、東縁を中央通りが南北に通る。；町の中央部を昭和通りが東西に横切り、西縁を中央通りが南北に通る。；何の問題もなしに、向こうはこちらの軌道を横切っていくに違いない。；全速力でこの人生を横切つてゆける人を僕は羨んでゐるのかもしれない。；闇の中を、男が一人、急いで校庭を横切り、どこかの門に向かっている。；蛇は庭を横切って裏の方へ行きますから、裏門を開けて見ていました。；この方法は、惑星が恒星の前を横切るときの減光を観測する方法である。；誰かがすぐ後から客間を出てきたので、素早くホールを横切ろうとした。；道路を横切りながら、思った以上の灼けつくような炎暑に身を包まれた。；すると其所には時々彼の前を横切る若い血と輝いた眼を有った青年がいた。；確かにその車に乗った筈の幽霊男が、町を横切って走っているではないか。；ドアは階段の踊り場に向かって開いていたので、部屋を横切って外に出た。；彼女は先に立ってホールを横切り、長い巨大な食卓の方へと歩いていった。；鳥の群が黒い点の集まりになって空を横切り、遠い森へと消えてゆく。；男は、空地を這って横切り、左にそれてボートの反対側に出たのだった。</t>
        </is>
      </c>
      <c r="J8696">
        <f>HYPERLINK("https://www.weblio.jp/content/横切る", "词义详情")</f>
        <v/>
      </c>
      <c r="K8696">
        <f>HYPERLINK("https://yourei.jp/横切る", "查看例句")</f>
        <v/>
      </c>
    </row>
    <row r="8697">
      <c r="A8697" t="inlineStr">
        <is>
          <t>予告</t>
        </is>
      </c>
      <c r="B8697" t="inlineStr">
        <is>
          <t>成功</t>
        </is>
      </c>
      <c r="C8697" t="inlineStr">
        <is>
          <t>読み方：よこく
［名］(スル)前もって告げ知らせること。「先発投手を—する」</t>
        </is>
      </c>
      <c r="D8697" t="inlineStr">
        <is>
          <t>予告する(7%)；予告なし(3%)；予告通り(2%)；予告状；予告どおり</t>
        </is>
      </c>
      <c r="E8697" t="inlineStr">
        <is>
          <t>案内；知らせ；予言；通知；お知らせ</t>
        </is>
      </c>
      <c r="F8697" t="inlineStr">
        <is>
          <t>開閉予告；解雇予告；次号予告；連続予告；予告期間</t>
        </is>
      </c>
      <c r="G8697" t="inlineStr">
        <is>
          <t>予告映像；予告先発；予告篇；予告動画；予告殺人</t>
        </is>
      </c>
      <c r="H8697" t="n">
        <v>29</v>
      </c>
      <c r="I8697" t="inlineStr">
        <is>
          <t>これは、該当する学生の入学時に、移転を予告できなかったためである。；契約にない部分は予告なく変更される可能性がある、というわけである。；本作の予告演出は、基本的にシリーズ前作を踏襲したものとなっている。；この予告に対して周囲の人間が反応しない限り自殺は遂行されてしまう。；上記番組の本編や予告、事前番組などのほかオリジナル番組も配信する。；場所は、開催が決定した2012年10月4日に予告されたものと同じ。；そこで滝川は次のストップ予告を阻止できなければ公開すると約束した。；表示器の設置していないドア上部には広告枠とドア開閉予告灯が設置してある。；ただし、一部の嘘予告のネタに近い作品が実際にリリースされている。；分冊本で今後、発売されそうなものを予告風に送ってもらうコーナー。；表示器を設置していないドア上部には戸開予告表示灯が設置してある。；消化中の保留球マークが手紙マークならそこからメール予告に発展する。；ブレーク信号は受信側にデータが後に続くことを予告するものである。；最近の台に必ず搭載されている予告で、大当たりによく絡む予告である。；原材料費の価格変動に合わせその長さは常に予告なく変更されている。；また予告ナレーションも、内容によって他の声優が担当することもある。；事業主と労働者間に合意がない限り、事前の予告も必要ではない。；番組終了後、次の連ドラ枠である「月9」作品の予告が放送されていた。；シャッフルは予告なしで行われ、方式はその回によってさまざまである。；なお、キッズステーションを除いて予告時には字幕放送は表示されない。；魚群予告は、画面右から無数の魚の群れが通過する予告演出である。；東京メトロで停車予告音を使用しているのはこの区間のみである。；また、番組終了時では、次回予告と次々回の作品の予告が流れている。；この予告内では主として当日伝える話題の紹介を山本・渡辺が行っていた。；同年3月14日に発売された『第6実験室 予告版』も同項で解説する。；一部の回の予告ではメインゲストを紹介することもあった。；ブルックナー自身は、この信号のような強奏を「死の予告」と説明した。；この年初めには昆から、春の国内専念と秋の凱旋門賞挑戦が予告される。；ただし確定予告ではなく、そのまま通常のBGMに戻ってしまうことが多い。</t>
        </is>
      </c>
      <c r="J8697">
        <f>HYPERLINK("https://www.weblio.jp/content/予告", "词义详情")</f>
        <v/>
      </c>
      <c r="K8697">
        <f>HYPERLINK("https://yourei.jp/予告", "查看例句")</f>
        <v/>
      </c>
    </row>
    <row r="8698">
      <c r="A8698" t="inlineStr">
        <is>
          <t>寄越す</t>
        </is>
      </c>
      <c r="B8698" t="inlineStr">
        <is>
          <t>成功</t>
        </is>
      </c>
      <c r="C8698" t="inlineStr">
        <is>
          <t>読み方：よこす
［動サ五（四）］
１こちらへ送ってくる。こちらへ渡す。「手紙を—・す」「使いを—・す」「分け前を—・す」
２（動詞の連用形に「て」を添えた形の下に付いて）こちらへある動作をしむけてくる。「先方から都合が悪いと言って—・した」
[可能]よこせる</t>
        </is>
      </c>
      <c r="D8698" t="inlineStr">
        <is>
          <t>出す；派遣；送る；発する；渡す</t>
        </is>
      </c>
      <c r="F8698" t="inlineStr">
        <is>
          <t>言って寄越す</t>
        </is>
      </c>
      <c r="H8698" t="n">
        <v>29</v>
      </c>
      <c r="I8698" t="inlineStr">
        <is>
          <t>妻は一度手紙を寄越したが、その手紙には何の感情も籠つてゐなかつた。；ちょうど江戸に戻ってきていた正之は、すぐにその返事を寄越してきた。；彼が七時か八時になつて私を呼びに寄越すことは珍らしくはなかつた。；すると予想した通りの人物が、自分のほうを向いて手を振って寄越す。；出席する旨の回答を、戦争の前に寄越していた人数の約半数が集まった。；この時間、いつもならば台所から母親が返事を寄越すはずなのである。；周囲何光年の範囲を捜しても応答を返して寄越す相手がいるはずはない。；だから、心のなかでは笑いながら、俺たちに家の鍵を投げて寄越すんだと。；村瀬は明子が恢復しはじめた頃から再び手紙を寄越すやうになつてゐた。；二三度足を運んだがいつもいないからというんで寄越した手紙だ。；うちの店に三人ばかり若いのを寄越している九州の中学の先生だ。；ところがその前妻は、彼の死後も梶川家には全く連絡を寄越さなかった。；だが、実家の方だって、そんなことは百も承知で電話を寄越したのだ。；ハントは用もないのに御機嫌うかがいの手紙を寄越すようた男ではない。；明治三十八年中に氏から私に寄越した手紙で残っているものは次の五通である。；ただの病死なら、警察が捜査官を十数人も、送って寄越すとは思えない。；帰れない理由があるなら、どうして連絡の一本も家族に寄越そうとしない?；それがもう九つにもなつて、画を描いたり手紙を書いたりして寄越す。；皆がわたしを信じないで、子供たちを寄越してくれないのも無理はありません。；彼はその後父親に託けて貝殻一包と見事な鳥の毛を何本か送って寄越した。；けれどおそらく、この要求をだせばご領主は、あなたを寄越すでしょう?；それで、あのふたりがあんたを呼びにおれをここへ寄越したわけだ。；都合できたらどうか二、三日でいいから妹を寄越していただきたい。；つまり送って寄越した人物の名は、新聞社でも分からないことになる。；特にあんたを監視させるためのスパイを数名、ここに寄越したらしい。；去年の代金を渡さなけれや、後を寄越さないつて云つて来てるんですが。；彼は私がこのことを知らせてやつた手紙には、決して返事を寄越さなかつたのだ。；彼女は明日にでも上京して来るようなことを書いて寄越した。；支那人が礼をいつて捕虜を帰して寄越したのは、よくよくのことだと思へ!</t>
        </is>
      </c>
      <c r="J8698">
        <f>HYPERLINK("https://www.weblio.jp/content/寄越す", "词义详情")</f>
        <v/>
      </c>
      <c r="K8698">
        <f>HYPERLINK("https://yourei.jp/寄越す", "查看例句")</f>
        <v/>
      </c>
    </row>
    <row r="8699">
      <c r="A8699" t="inlineStr">
        <is>
          <t>汚す</t>
        </is>
      </c>
      <c r="B8699" t="inlineStr">
        <is>
          <t>成功</t>
        </is>
      </c>
      <c r="C8699" t="inlineStr">
        <is>
          <t>読み方：けがす
［動サ五（四）］
１大切なもの、清らかなものをよごす。「美しい心を—・す行為」「聖地を—・す」
２恥ずべき行為などをして名誉・誇りを傷つける。「名を—・す」
３能力、身の程を越えた地位につくという謙遜の気持ちから、ある地位や席につく。「末席を—・す」「会長職を—・す」
４暴力で、女性をはずかしめる。「身を—・される」
５手をつける。食べる。味わう。
「いま二巻きは—・さで置きてさぶらふ」〈宇治拾遺・二〉
[可能]けがせる［サ下一］</t>
        </is>
      </c>
      <c r="D8699" t="inlineStr">
        <is>
          <t>汚すまい(3%)；汚すことなく；汚すような真似；汚す可能性</t>
        </is>
      </c>
      <c r="E8699" t="inlineStr">
        <is>
          <t>乱暴；汚染；襲う；暴行；強姦</t>
        </is>
      </c>
      <c r="H8699" t="n">
        <v>29</v>
      </c>
      <c r="I8699" t="inlineStr">
        <is>
          <t>君は自分の手をほとんど汚すことがなく二人を追い詰められるんだから。；それゆえ、警官の手に落ちるようなことは、自分の名を汚すことになる。；そこにはあらゆるものに賭けて汚すことを恐れた私達の魂があつたのだ。；第一、私たちのなかには自然を汚すような人はだれひとりいないのだから。；私がおそばにおります限りは、あなたはそれを汚すことはなりません。；美図枝と言葉を交わすことは、自分の心を汚すような気がしたからだ。；あなたがどんな不名誉になろうが、メイの名前を汚すことは出来ません。；あたしがかれらの名を汚すのではないかと心配していたんです。；聖下の威光を汚すものなら、こちらも考えを改めざるをえないことになる。；実際、メデアを子供たちの血で手を汚すように押したのは彼であった。；後は何時間か待つだけで、殺人者は手を汚す必要がないわけですもの。；父の言葉が本当なら、俺には亡き先王の名誉を汚すことはできなかった。；そのために僕は僕自身の影で歩道を汚すより他のことは何もしようとしない。；しかもまだ今になっても彼は自分の旅情を汚す気は起って来ないのであった。；崩れたトマトはあたしの手からぼとぼとと落ちスーパーの白い床を汚す。；何んでも学生たちが立見をして本を汚すと、叱られるとのことでした。；国のためと信じ手を汚すことを許可された、と騙されている者たち。；かかる迷信が今日なお盛んなるは、文明の体面を汚すと申さねばならぬ。；机に向かっている私の手にも汗が滲み、ともすると原稿用紙の字を汚す。；あたしに結婚を申しこむことは、自分の名誉を汚すと思っていたのですわ。；人を汚すのは食物の質でも量でもなく、味覚というものへの執着である。；あわや第三の犠牲となって床の上を鮮血に汚すかと思われたその刹那!；自分の手を血で汚すことはなかったが、斬奸の目的は達したのである。；一瞬僕にはそこが人の足で汚すことのできない神聖な空間であるように感じられた。；人間がその魂を汚すことを防ぐという役目から死を司る天使ともされる。；彼は全部を公開しなければならない、でないと、職務を汚すことになる。；そのようにして、だんだんと自分の手を汚すことをやめてしまう。；殺すという事実は同じであっても、友の血で手を汚すような殺し方はできない。；しかし私の商売は、私一人を汚すほかには、誰にも迷惑はかけておりません。</t>
        </is>
      </c>
      <c r="J8699">
        <f>HYPERLINK("https://www.weblio.jp/content/汚す", "词义详情")</f>
        <v/>
      </c>
      <c r="K8699">
        <f>HYPERLINK("https://yourei.jp/汚す", "查看例句")</f>
        <v/>
      </c>
    </row>
    <row r="8700">
      <c r="A8700" t="inlineStr">
        <is>
          <t>横たわる</t>
        </is>
      </c>
      <c r="B8700" t="inlineStr">
        <is>
          <t>成功</t>
        </is>
      </c>
      <c r="C8700" t="inlineStr">
        <is>
          <t>読み方：よこたわる
［動ラ五（四）］
１横になる。横に寝る。「床に—・る」
２横または水平に長くのびる。「国境に—・る大河」
３前に立ちふさがっている。「前途に幾多の苦難が—・っている」
［動ラ下二］1に同じ。
「大きなる木の風に吹き倒されて根をささげ—・れ伏せる」〈枕・一二五〉</t>
        </is>
      </c>
      <c r="D8700" t="inlineStr">
        <is>
          <t>横たわる黒い；横たわる低い；横たわる或；横たわる連絡を嗅ぎ出す；横たわる患者たち</t>
        </is>
      </c>
      <c r="E8700" t="inlineStr">
        <is>
          <t>渡る；広がる；寝る；横たえる；横臥</t>
        </is>
      </c>
      <c r="F8700" t="inlineStr">
        <is>
          <t>重く横たわる</t>
        </is>
      </c>
      <c r="H8700" t="n">
        <v>29</v>
      </c>
      <c r="I8700" t="inlineStr">
        <is>
          <t>そこには、夏になると大きい青い蛇が横たわっているのを見た者がある。；島の形状が巨大な亀が横たわっているようなことからこう呼ばれている。；スカリーは壁と床が白く光っている部屋にあるベッドに横たわっていた。；第二の穴には人間らしいものはもちろん横たわっていなかったのである。；毎日のように家の内や外で横たわり、怠惰な猫や犬のようになっている。；小説家の生活は原稿とペンとの間にのみ横たわると考えているのである。；彼は正面を向き、私の横たわる位置よりは少し上に視線を固定さしていた。；一人の女が地上に横たわり、腰をおろした男の膝に頭をのせています。；ベントレーは、床に横たわったまま音楽に乗って動くことを教えていた。；彼らの銃が火を噴いたとき、そこに銃で撃たれた死体が横たわっていた。；門の前には一台の自動車が黄色な橙黄色の燈火を点けて横たわっていた。；しかし、モルバスの研究所の下に横たわるわたしのからだはどうなんだ?；しかも昼間見たあの猫が無惨な死体となって俺の前に横たわっている。；わたしは気が付くと古代人の格好をして、暗い森の中に横たわっていた。；寝つきが悪いため、ベッドに横たわりながら暗算をすることが多かった。；その前に昨日の花環が少し凋みかけて、台の上に静かに横たわっていた。；それでもいい、私は同じ姿勢のまま目を閉じてそこに横たわり続けた。；それで、毎日ベッドの上に横たわって、息子の巨男に魔法を教えました。；それは洞窟内に横たわる何やら円筒型をした巨大な物体の一部であった。；彼女は目の前に横たわり、ロープの絡まった腹がゆっくり上下していた。；かれは声も立てないで、枯れ木を倒したように泥濘のなかに横たわった。；発見されたとき、ベッドに並んで手を繋いだ状態で横たわっていたという。；頬と頬とを寄せ合って、そっとまた急いでレールの上に二人は横たわった。；草のなかに横たわり、なにか放心したような眼を空に向けていたのだ。；水はますます少くなり、魚たちは泥の中に横たわったり跳ねたりします。；人生の二つの段階のはざまであるそこに、総ての違いが横たわっている。；あなたの腕に横たわりながら、あなたの顔を見上げている時も同じだったわ。；男は父が横たわっているのを見て、誰にも通報せず、そっと抜け出した。；私は八月六日と七日の二日、土の上に横たわり空をながめながら寝た。</t>
        </is>
      </c>
      <c r="J8700">
        <f>HYPERLINK("https://www.weblio.jp/content/横たわる", "词义详情")</f>
        <v/>
      </c>
      <c r="K8700">
        <f>HYPERLINK("https://yourei.jp/横たわる", "查看例句")</f>
        <v/>
      </c>
    </row>
    <row r="8701">
      <c r="A8701" t="inlineStr">
        <is>
          <t>横綱</t>
        </is>
      </c>
      <c r="B8701" t="inlineStr">
        <is>
          <t>成功</t>
        </is>
      </c>
      <c r="C8701" t="inlineStr">
        <is>
          <t>読み方：よこづな
１相撲で、力士の最高位。また、横綱力士の略称。本来は大関の中で、2を締めることを許された力士をさしたが、現在は、日本相撲協会が免許する地位。
２四手(しで)を垂らした白麻の太い綱。力量・技の最もすぐれた大関に相撲行司の家元吉田司家(よしだつかさけ)から授与され、土俵入りのとき、化粧まわしの上に締めた七五三縄(しめなわ)。
３同類の中で最もすぐれた者。「マージャンでは彼が—だ」</t>
        </is>
      </c>
      <c r="D8701" t="inlineStr">
        <is>
          <t>横綱白鵬；横綱朝青龍；横綱同士；横綱在位；横綱戦</t>
        </is>
      </c>
      <c r="E8701" t="inlineStr">
        <is>
          <t>トップ；王者；キング；帝王；筆頭格</t>
        </is>
      </c>
      <c r="F8701" t="inlineStr">
        <is>
          <t>新横綱；一人横綱；東横綱；横綱推薦；張出横綱</t>
        </is>
      </c>
      <c r="G8701" t="inlineStr">
        <is>
          <t>横綱土俵入り；横綱審議委員会；横綱免許；横綱大関；横綱相撲</t>
        </is>
      </c>
      <c r="H8701" t="n">
        <v>29</v>
      </c>
      <c r="I8701" t="inlineStr">
        <is>
          <t>まあ、おれほどいろんな呼ばれ方をされた横綱はいなかったんじゃないかな。；また横綱戦での勝利もこの一度のみであり、金星を獲得できなかった。；横綱まで昇進しながら幕内優勝を一度も経験していない力士でもある。；ただし横綱クラスでも毎回のように大量の懸賞がかけられるとは限らない。；本割対横綱戦勝利記録とは、本割での横綱戦勝利数のことを指している。；その中で鳳は横綱として当時の千葉県を代表する力士であったと言える。；しかし弟子の玉乃島が横綱を見送られた時には本気で禁酒を考えたという。；本場所で「横綱」の文字を表した時期は大坂でこの頃が初めてである。；年間を通じて好成績だったが優勝できなかったため、横綱資格の話は流れた。；ここでは後に第11代横綱に昇進した不知火光右衛門について記述する。；同部屋でなく一門の場合には横綱と対戦することもあるが、その日は務めない。；しかし横綱を破った相撲等が評価されて、初めての殊勲賞を受賞した。；横綱・大関陣との対戦圏内には2度進出したが、いずれも大敗している。；それとは別に三役や横綱への昇進のかかるケースで不公平感が問題視されることがある。；元横綱が引退相撲を行う際に、断髪式の前に最後の横綱土俵入りを行う。；そのため、負傷等により若くして引退に追い込まれる横綱も少なくない。；鏡里が亡くなったことで、大正生まれの横綱経験者は全て鬼籍に入った。；横綱に昇進した力士で大関以下での優勝が多かった力士は貴乃花で7回。；左四つからの寄り相撲が得意で、当時の横綱・玉錦とも好勝負を展開した。；優勝4回は横綱としてはあまり多くはないが、うち2回が全勝であった。；しかし、忘れてはならないのが、同時代に横綱を張った朝潮の存在である。；この場所の新十両には大真鶴のほかに後に横綱に昇進する白鵬もいた。；これが横綱が大関の上の地位であることのきっかけとなった。；事実上、これが現在まで引き継がれている横綱制度の始まりである。；昔は横綱栃錦が得意としたほか、69連勝以前の双葉山もこの技を見せた。；なお北の富士の引退で戦前・戦中生まれの横綱経験者は全員引退したこととなる。；技術的にはまだまだだが、今度は、当然横綱を目ざさなくてはならない。；尚10位以内にランクインしているのは、全員横綱に昇進した力士である。；柏戸が横綱に昇進した直後までは北葉山の方が対戦成績をリードしていた。</t>
        </is>
      </c>
      <c r="J8701">
        <f>HYPERLINK("https://www.weblio.jp/content/横綱", "词义详情")</f>
        <v/>
      </c>
      <c r="K8701">
        <f>HYPERLINK("https://yourei.jp/横綱", "查看例句")</f>
        <v/>
      </c>
    </row>
    <row r="8702">
      <c r="A8702" t="inlineStr">
        <is>
          <t>横道</t>
        </is>
      </c>
      <c r="B8702" t="inlineStr">
        <is>
          <t>成功</t>
        </is>
      </c>
      <c r="C8702" t="inlineStr">
        <is>
          <t>読み方：おうどう
［名・形動］
１人間としての正しい道に外れていること。また、そのさま。よこしま。邪道。
「この思いもよらない出来事には、いくら—な良秀でも、ぎょっと致したのでございましょう」〈芥川・地獄変〉
２本道からそれた道。よこみち。
「—なれども…平泉寺を拝まん」〈義経記・七〉
３不正と知りながら行うこと。
「私が少しの間—致せば事が済む」〈浄・大経師〉</t>
        </is>
      </c>
      <c r="D8702" t="inlineStr">
        <is>
          <t>横道河子；横道秀綱；横道なし；横道兄弟</t>
        </is>
      </c>
      <c r="E8702" t="inlineStr">
        <is>
          <t>悪い；悪；脇；不正；不当</t>
        </is>
      </c>
      <c r="F8702" t="inlineStr">
        <is>
          <t>狭い横道</t>
        </is>
      </c>
      <c r="G8702" t="inlineStr">
        <is>
          <t>横道坊主；横道忠右衛門</t>
        </is>
      </c>
      <c r="H8702" t="n">
        <v>29</v>
      </c>
      <c r="I8702" t="inlineStr">
        <is>
          <t>少し横道にそれるが、国民性の差を科学と産業の面で見ることができる。；それはエヴァグリーン墓地からちょっと横道にそれた日曜日の朝である。；統合前の網走自動車商会と横道自動車を分離独立させたかたちとなった。；そうして帰り路に横道から姿を現わして来る粂吉に逢うようなこともある。；その上おかしなことに、その地点には入り込むような横道はないのです。；実はおれも、ちょっと横道へそれて、そこを調べてみようかと思ってたんだ。；話が飛んだ横道に逸れましたが、私が初めて登った山は赤城山であります。；転がり込んできそうになったポストを辞退して、横道にそれたのである。；池袋近くの大通りから横道に入った所に質屋があって、その前に近づく。；すると、それに応じるかのように、霊柩車はすぐ横道に入って停車した。；その男たちは、女たちの脇も走りすぎて、その先を横道へと消えた。；横道はたくさんあることはわかっていたが、どこにも出られない道ではだめなのだ。；それに壁伝いにあるいたら、知らない横道にもどんどん入っちゃうって!；兵士たちは列をなして急いでわたしの前を通りすぎ、横道へはいっていった。；今日では街の教会や横道に残るバロック建築に当時の面影を見る事が出来る。；そのためには横道伝いにできるだけたくさん曲り角を利用することだ。；結局、彼は途中に寄り道があると云って、狭い横道へ切れてしまった。；しかし彼女の話をしているうちに、僕は横道にそれてしまった。；その方向に行ったのは、もちろん数ブロックだけで、それから横道にそれた。；二階へは狭い横道の外階段からはいるようになっている。；啓介は大きな封筒を胸に当て、上体を折るようにしてその横道へ入った。；そのために、これを動物の進化の初期に横道にそれたものと言うのがこの名の由来である。；計算に間違はなかったけれども、項式はもう発展できないように横道に来ていた。；横道で天下に悪名高い霊王をへこませたことで、彼の名は更に上がった。；この横道者めは、わしの妻を、犯して居り乍ら、思い出しもせぬのじゃ。；次の横道に達した時、エア・ブレーキの音と怒鳴りちらす声が聞こえた。；亡霊のように、するりと横道にはいると、建物の長い区画を通りすぎた。；詩人が横道から姿をあらわし、プルーデンスをかばうように前に立った。；話は少し横道に逸れるのだが、かれの野球のキャリアもまた興味深い。</t>
        </is>
      </c>
      <c r="J8702">
        <f>HYPERLINK("https://www.weblio.jp/content/横道", "词义详情")</f>
        <v/>
      </c>
      <c r="K8702">
        <f>HYPERLINK("https://yourei.jp/横道", "查看例句")</f>
        <v/>
      </c>
    </row>
    <row r="8703">
      <c r="A8703" t="inlineStr">
        <is>
          <t>汚れ</t>
        </is>
      </c>
      <c r="B8703" t="inlineStr">
        <is>
          <t>成功</t>
        </is>
      </c>
      <c r="C8703" t="inlineStr">
        <is>
          <t>読み方：けがれ
１けがれること。清潔さ、純粋さなどを失うこと。また、失われていること。「—を知らない子供たち」
２不名誉であること。名折れ。「家名の—」
３死・出産・月経などの際に生じるとされる不浄。この間は、神前に出たり人に会ったりするのをつつしむ習慣もあった。</t>
        </is>
      </c>
      <c r="D8703" t="inlineStr">
        <is>
          <t>汚れ物；汚れなき；汚れ仕事；汚れてる；汚れ放題</t>
        </is>
      </c>
      <c r="E8703" t="inlineStr">
        <is>
          <t>汚染；スポット；染み；染；変色</t>
        </is>
      </c>
      <c r="F8703" t="inlineStr">
        <is>
          <t>うす汚れ；黒く汚れ；ひどく汚れ；油汚れ；汚れたガラス戸</t>
        </is>
      </c>
      <c r="G8703" t="inlineStr">
        <is>
          <t>汚れ役；汚れた下着；汚れた血；汚れた街；汚れた女</t>
        </is>
      </c>
      <c r="H8703" t="n">
        <v>29</v>
      </c>
      <c r="I8703" t="inlineStr">
        <is>
          <t>川底は鉄錆のような色になっているが、これは汚れとは違うものである。；被害者の制服は泥で汚れ激しく争った跡があり下着は持ち去られていた。；当時この絵はきわめて汚れており、そうした低評価もやむを得なかった。；この時の純粋さとは汚れを避けることではなく、汚れを見つめうる純粋さだ。；起源は17世紀ヨーロッパにて本の汚れや虫害を防ぐ目的で考案された。；本の汚れを取る事は困難でもカバーの汚れは交換すれば良い。；エンジンが剥き出しのオートバイではスーツが汚れてしまうためである。；遊星歯車機構を内部で密封しているために、泥汚れに強く耐久性がある。；するとハニコームチューブに付着した微生物が水の中の汚れを分解する。；よく、汚れた雪男と誤称され、背の高い白い毛皮の動物とされてしまう。；これは気筒復帰した際に点火プラグの汚れで失火するのを防ぐためである。；代わりに、全ての汚れたムスリムはこの場で死ぬものと告げられた。；一方、罪人を扱う汚れ仕事だったため不浄役人と蔑まれることもあった。；その後、千尋は皆から悪臭とひどい汚れの客の相手まで押しつけられる。；基本的な構造は通常の足袋と変わらないが、汚れが付きにくい素材を使用する。；それを見ていたドレが汚れていた水を見つけてチェンとそこにいた友達にかける。；また、死んでしまった個体や植物と食べ残しなどからも汚れが出る。；汚れは店の人気度に影響し、来客がある度に少しずつ増えていく。；使用時は汚れの程度にかかわらず、こまめに取り替えることが重要である。；惠介はたまの顔の汚れをぬぐい、自ら背負って宿の二階へと運び上げた。；小さな子供以外は、食事中に汚れた手で水を飲むことは憚られる。；ノア・ロックは都市のすぐ北の渓谷を占めていたひどく汚れていた湖のことである。；汚れて、生命がなくなっていた町が活気を取り戻し、成長する所となった。；そうしてる間に2人は喧嘩になりピングーの体は汚れてしまった。；手の汚れが気になり、何度も洗わねばいられないという症状である。；タバコジュースをつけるのもよくある手口で、自然とボールは汚れた。；野良イムと飼いイムが居るが、若干汚れている以外にとくに違いはない。；被弾したときは自分よりもスーツが汚れた事に怒り、大きなスキを見せる。；これは上衣襟部分に汚れが付着しないようにするためのものである。</t>
        </is>
      </c>
      <c r="J8703">
        <f>HYPERLINK("https://www.weblio.jp/content/汚れ", "词义详情")</f>
        <v/>
      </c>
      <c r="K8703">
        <f>HYPERLINK("https://yourei.jp/汚れ", "查看例句")</f>
        <v/>
      </c>
    </row>
    <row r="8704">
      <c r="A8704" t="inlineStr">
        <is>
          <t>汚れる</t>
        </is>
      </c>
      <c r="B8704" t="inlineStr">
        <is>
          <t>成功</t>
        </is>
      </c>
      <c r="C8704" t="inlineStr">
        <is>
          <t>読み方：けがれる
［動ラ下一］［文］けが・る［ラ下二］
１清らかさ、純粋さ、神聖さなどが損なわれて、よごれた状態になる。よごれる。「耳が—・れる」「神殿が—・れる」
２名誉や誇りに傷がつく。「履歴が—・れる」
３女性が貞操を失う。
４死・出産・月経などにかかわって忌むべき状態になる。
→汚(よご)れる［用法］</t>
        </is>
      </c>
      <c r="D8704" t="inlineStr">
        <is>
          <t>汚される；穢れる；汚くなる；泥まみれになる；汚損する</t>
        </is>
      </c>
      <c r="H8704" t="n">
        <v>29</v>
      </c>
      <c r="I8704" t="inlineStr">
        <is>
          <t>ずっと寝たままなのだからそう簡単に着ている服が汚れるわけではない。；いつまでも汚れることのない、単純で美しい性質のためのようであった。；皮膚の裸出は、顔が果肉で汚れるのを防ぐ働きがあると考えられている。；手前のやうな江戸つ子があるから、本當の江戸つ子の面が汚れるのだ。；宿に着くころまでは、雨はひどかったが靴の汚れるほどの路でもなかった。；だけど、汚れた敵を理解すれば心が汚れ、汚れた敵に触れれば体が汚れる。；汚れるとちょっと遠くの方からするようになり、ますます飛沫で汚れる。；服が汚れるのは嫌だし、あとで困るだろうから、はじめに脱いである。；なんだかおれのマックのハードディスクが汚れるような気がしたのだ。；かれはそこへつっ立ったまま、服が汚れるのも気づかすに吐き続けた。；これで居室が汚れるより、自分で洗濯室にもっていったほうがいいだろう。；泥で汚れることもなく、虫も付きにくいため、室内でも気軽に楽しめる。；これは傷の手当よりむしろ、絨毯が血で汚れることを防ぐためだった。；ところで、束髪を後ろに垂らしていると、当然だが、服の背中が汚れる。；やっぱり約二週間放っておくと、誰も使っていなくても部屋は汚れるものらしい。；そして仲間たちは彼を抱き上げたとき、自分らの手が血で汚れるのを感じた。；服が汚れることなんて気にしないで、 柵にもたれてみんなで空を見上げる。；女が来ては汚れるとでも言わんばかりの表情である。；人形の類が嫌いな理由の一つは汚れるからだと思う。；妹の魂が汚れてゐるなら、魂の汚れと同じ線まで肉体の汚れることを望む思ひがむしろ私の心にあつた。；汚れるというほどではないが、二日続けて着ている下着である。；車のタイヤは泥で汚れているのに、彼の靴は汚れることなく、濡れもしなかった。；清潔な上履きが春田のケツで汚れるのが嫌だったからやめてやったが。；足が汚れることを気にしない性格なのだろうか。；その看板が汚れることを、多分何よりも恐れたんでしょう。；この空と一体となっていたはずの海が、なぜあれほどに汚れることができたのかふしぎに思えた。；工事をしたら、あちこち汚れるだろうし、掃除もロボットがしたの?；それを食いこぼされては、次の年の種にもならぬが、綿花が汚れるのである。；壁紙などにさわれば、こちらの指も不潔になるし、壁紙も汚れるという。</t>
        </is>
      </c>
      <c r="J8704">
        <f>HYPERLINK("https://www.weblio.jp/content/汚れる", "词义详情")</f>
        <v/>
      </c>
      <c r="K8704">
        <f>HYPERLINK("https://yourei.jp/汚れる", "查看例句")</f>
        <v/>
      </c>
    </row>
    <row r="8705">
      <c r="A8705" t="inlineStr">
        <is>
          <t>予算</t>
        </is>
      </c>
      <c r="B8705" t="inlineStr">
        <is>
          <t>成功</t>
        </is>
      </c>
      <c r="C8705" t="inlineStr">
        <is>
          <t>読み方：よさん
［名］(スル)
１ある計画のために、あらかじめ必要な費用を見積もること。また、その金額。「—を立てる」「建築—」
２国または地方公共団体の一会計年度における歳入・歳出の見積もり。議会の議決を経て成立する。
３あらかじめ見積もること。あらかじめ考えておくこと。
「細君はちゃんと主人の寿命を—して居る」〈漱石・吾輩は猫である〉</t>
        </is>
      </c>
      <c r="D8705" t="inlineStr">
        <is>
          <t>予算不足；予算削減；予算上；予算映画；予算委員長</t>
        </is>
      </c>
      <c r="E8705" t="inlineStr">
        <is>
          <t>積り；推計；見積もり；積もり；目算</t>
        </is>
      </c>
      <c r="F8705" t="inlineStr">
        <is>
          <t>軍事予算；年間予算；予算超過；教育予算；政府予算</t>
        </is>
      </c>
      <c r="G8705" t="inlineStr">
        <is>
          <t>予算委員会；予算編成；予算配分；予算額；予算計上</t>
        </is>
      </c>
      <c r="H8705" t="n">
        <v>29</v>
      </c>
      <c r="I8705" t="inlineStr">
        <is>
          <t>カードを使用するためには予算が必要となり、不足していると使えない。；州知事は他の州とは異なり予算についてかなりの権限が与えられている。；これら最初の表現主義的な映画のセットには十分な予算がつぎ込まれた。；それを低予算で、人間の動きだけで何とかしようと思ったのが間違い。；しかし現実には予算人員とも不足して事業を起こせる状態ではなかった。；回りには、非常に予算をかけた飾り付けが行われ、地域の財政力を示す。；独立UHF局の限られた予算内で様々な試みがなされた番組である。；この提案によりARPAから予算がつき、作業を開始することになった。；カリフォルニアは他州にくらべて予算や教師のレベルで遅れを取っている。；そのため、車両導入の予算区分には独特の用語が使用されている。；調査は当初予定通り2008年度の予算をもって2009年に終了した。；この映画は予算の問題で1972年から1974年まで撮影が続いた。；日本は、運営予算5600万ドルのうち2160万ドルを拠出している。；しかし現状では行政の予算が厳しいことから市は難色を示している。；消費者は、予算の制限がなければ効用を限りなく最大化しようとする。；これによって無予算統治を違憲とする自由主義派との間にが巻き起こった。；時間と予算が限られていたことから、ほとんどの曲は原則一発録りで制作された。；しかし事業の調整や道路の整備のための予算は組まれなかった。；この職掌は予算折衝で各省の主張と国策との総合的な調整を担っている。；なお、気象庁の単独予算により気象衛星が製作されるのは初めてとなる。；イラン映画は、低予算で制作されながらも国際的に高い評価を受けている。；こうした中成立した昭和57年度予算は稀にみる抑制予算となった。；現在の憲法では州政府が予算のバランスを維持することを求めている。；彼は自分で財界から寄付を募って、研究所の予算を四倍にまで伸ばした。；予算や利便性の都合で著作権フリーの効果音音源を利用する場合も多い。；ブリスベン市は人口および予算の面でオーストラリアで最も大きな自治体である。；また、低予算でも製作が可能なため、映画学校で実習として作成される。；初期は数回分の制作予算を使って、日本国内での企画が多かった。；陸軍増強のための予算が海軍の建艦費に流用されても抗議することは無かった。</t>
        </is>
      </c>
      <c r="J8705">
        <f>HYPERLINK("https://www.weblio.jp/content/予算", "词义详情")</f>
        <v/>
      </c>
      <c r="K8705">
        <f>HYPERLINK("https://yourei.jp/予算", "查看例句")</f>
        <v/>
      </c>
    </row>
    <row r="8706">
      <c r="A8706" t="inlineStr">
        <is>
          <t>良し悪し</t>
        </is>
      </c>
      <c r="B8706" t="inlineStr">
        <is>
          <t>成功</t>
        </is>
      </c>
      <c r="C8706" t="inlineStr">
        <is>
          <t>読み方：よしあし
１よいことと悪いこと。よいか悪いか。ぜんあく。よしわるし。「—を見分ける」「事の—をわきまえない」
２よいとも悪いともすぐには判断できかねる状態であること。よしわるし。「まじめすぎるのも—だ」</t>
        </is>
      </c>
      <c r="D8706" t="inlineStr">
        <is>
          <t>是非；善悪；可否；好悪；正邪</t>
        </is>
      </c>
      <c r="H8706" t="n">
        <v>29</v>
      </c>
      <c r="I8706" t="inlineStr">
        <is>
          <t>飲んだくれの、しようのない男だが、絵の良し悪しだけはわかる男だよ。；もちろん文章の良し悪しなんかわかるタイプの子じゃないんですよ。；紙の良し悪しはわからないから秘書に命じて適当に高級なものを用意させた。；つまり所属しているクラスだけで頭の良し悪しがわかってしまう。；剣の腕の良し悪しと真剣勝負に臨む覚悟のあるなしとは何の関係もないんだ。；また、この方法は酒の良し悪しを知る方法としても誤って信じられている。；あまり大っぴらになるのも良し悪しですから、僕がもう少し調べます。；選挙方法の良し悪しを判断するための様々な観点が知られている。；ある商品をつくるという場合、その商品自身の良し悪しだけを考えていた。；聞くところによると、ユニホームの良し悪しが人集めにも影響するという。；ここに当り屋の技術の良し悪しのすべてがかかっていると言って過言ではない。；なお、玉形の良し悪しは相手の攻めの形に大きく影響される。；もう1つの欠陥は財・サービスの産出高が増えることの良し悪しである。；その動機の良し悪しを決めることなど当然できはしない。；小説は一行の名描写、一場面の優秀によつて良し悪しを言ふべき筋合のものではない。；さらに、成績の良し悪しが人間の善し悪しには関係ないということもある。；刀の良し悪しなんて、わかりもしなかったし、わかろうとも思わなかったわ。；財宝の価値は心得ているものの、その細工の良し悪しの判別はできない。；素人にウサギの良し悪しなどわかるはずもなく騙される者が多かった。；作品の良し悪しよりも、わかるわからないが先に来てしまう。；俺は脚本の良し悪しより作る側の熱を大事にする。；それは俺の性格の良し悪しを語るものではなかった。；これはただ、運の良し悪しで定めてよいものでしょうかな。；癖は一朝一夕に改まらず、ものの良し悪しをしばしばこれで判断する。；もっとも録音の良し悪しのほうは、私にはよく品定めができない。；体を使う習い事と違い、ピアノは端的に頭の良し悪しがでてしまう。；さらに、旅行者自身のそのときの気分、ご機嫌の良し悪しの影響も大きい。；笛の良し悪しは何と申しましても、まず材料の竹でございます。；出来の良し悪し以上に話題になったのが、このゲームの致命的なまでのバグである。</t>
        </is>
      </c>
      <c r="J8706">
        <f>HYPERLINK("https://www.weblio.jp/content/良し悪し", "词义详情")</f>
        <v/>
      </c>
      <c r="K8706">
        <f>HYPERLINK("https://yourei.jp/良し悪し", "查看例句")</f>
        <v/>
      </c>
    </row>
    <row r="8707">
      <c r="A8707" t="inlineStr">
        <is>
          <t>攀じ登る</t>
        </is>
      </c>
      <c r="B8707" t="inlineStr">
        <is>
          <t>成功</t>
        </is>
      </c>
      <c r="C8707" t="inlineStr">
        <is>
          <t>読み方：よじのぼる
［動ラ五（四）］物にとりすがってのぼる。「岩山を—・る」</t>
        </is>
      </c>
      <c r="D8707" t="inlineStr">
        <is>
          <t>よじ登る；攀じのぼる；攀じ上る；攀じる；攀縁</t>
        </is>
      </c>
      <c r="H8707" t="n">
        <v>29</v>
      </c>
      <c r="I8707" t="inlineStr">
        <is>
          <t>岩壁を攀じ登らなければ頂上に達することができない山だってあるのだ。；アーシャはコップを手に持って、崩れた城あとを攀じ登りはじめました。；絶壁を攀じ登るような感じの急な階段を上ると、階上に六畳が二間ある。；二人は、石崖が交錯して暗い蔭を作っているところを選んで上へ攀じ登った。；わたくしは殆どもう寝間着姿で、寝殿のお屋敷に攀じ登ったのでございます。；私の足は疲れきり不随意になりながらも、岩角や砂礫の上を攀じ登っていった。；さっき若いのが帰って来て報告を受けましたが、侵入口は風呂場の横の塀を攀じ登っています。；この第二波が胸壁に上ると第一波の者達が土盛りの出っ張りを攀じ登るのを助けた。；まさか泥坊をしに庭の塀を攀じ登っているのではあるまい。；すると、北関の崖の方から、またここへ攀じ登ってきた七、八人の覆面がある。；尻ごみする作業隊を叱咤して渡河すると、山腹へと攀じ登って行った。；これらの考えを受け入れた後一刻ほどして、わたしは剣と少年の両方を背負って岩の表面を攀じ登っていた。；この山を堅固な城壁がとりかこみ、海の方からは何人も攀じ登ることができない。；私は夢中になって岩から岩を攀じ登る。；谷は、袋の底のようになっていて、一旦逃げこんでも再た向こうの山麓を攀じ登らねば退路がない。；それから、屋根に攀じ登って、自分の手で国旗を結びつけて掲げた。；高処へ、高処へと攀じ登って行く感じである。；その映画でもやはり人間の努力の姿を語ろうとして同じような山道を攀じ登る姿を繰り返し繰り返し見せた。；肩で息をしながら、地に両手を突いて振り返ると、歩墻の上に攀じ登ってくる兵の姿がある。；安西は長い夢の中で衝立岩を攀じ登っているのかもしれなかった。；二十六年間に八等給から攀じ登って官吏の頂上へ手がかかっている。；日盛りに急坂を攀じ登ったので、皆喉が渇き切って心に水、水と思っていたに相違ない。；南から来たギンナルが攀じ登ったのは砦の左翼の外壁である。；その勢いにひるんで、思わず大木の幹に攀じ登ると、熊も後から登って来た。；その血が黒くならないうちに、次の敵が、また石垣につかまって攀じ登ってくる。；こまかい突起物を捕らえながら、慎重に慎重に壁を攀じ登って行く。；グラント少年と敏捷なウィルスンは木に上がるや否や急いで上のほうの枝に攀じ登った。；あなたさまの魂の居られる世界へわたくしが攀じ登ることに於て、はじめてまことのあなたさまに私はお目にかかれるので御座いました。；牛之助は綱を腰に巻きつけ、周囲を見廻して、人がいないのを確かめてから綱に伝わってゆっくりと断崖を攀じ登って行った。</t>
        </is>
      </c>
      <c r="J8707">
        <f>HYPERLINK("https://www.weblio.jp/content/攀じ登る", "词义详情")</f>
        <v/>
      </c>
      <c r="K8707">
        <f>HYPERLINK("https://yourei.jp/攀じ登る", "查看例句")</f>
        <v/>
      </c>
    </row>
    <row r="8708">
      <c r="A8708" t="inlineStr">
        <is>
          <t>予習</t>
        </is>
      </c>
      <c r="B8708" t="inlineStr">
        <is>
          <t>成功</t>
        </is>
      </c>
      <c r="C8708" t="inlineStr">
        <is>
          <t>読み方：よしゅう
［名］(スル)前もって学習すること。「次の課を—する」⇔復習。</t>
        </is>
      </c>
      <c r="D8708" t="inlineStr">
        <is>
          <t>予習復習(9%)；予習室；予習回数</t>
        </is>
      </c>
      <c r="E8708" t="inlineStr">
        <is>
          <t>宿題；ホームワーク</t>
        </is>
      </c>
      <c r="H8708" t="n">
        <v>29</v>
      </c>
      <c r="I8708" t="inlineStr">
        <is>
          <t>でも僕には話をする相手もなく、ただ机に座って予習をするしかないのだ。；一般的には、指揮の練習や楽曲の予習にはピアノなどの鍵盤楽器を使う。；予習をしっかりしていかないと、授業の内容がわからなくなってくる。；こっちが明け方まで掛かって予習していった部分を五分で片づけるんだ。；夜になって予習の解らない箇所を訊ねに来たとき、少女は少年に詫った。；徹夜で予習した分が、授業の最初の半時間ももたないで終わってしまう。；マサトの家を訪ねる今日に備えて、しっかりと予習してきているのである。；それより、一時間目の授業の予習をしてこなかったことの方が気がかりだった。；だからと言って今日の復習、明日の予習をしようというわけではない。；ちょうど勉強の時間で、少女たちはあすの授業の予習をしているところだった。；キツネだと云ふので、あてられては大変と皆よく予習して行つた。；なぜって、学校のお勉強同様に、恋愛にも予習や復習が必要なんですから。；二人は英語の予習を受ける番だったので、矢島先生の机へ進んだ。；自分は抜き打ちの小テストで、たまたま予習していなかった箇所が出て困った。；毎日毎日の議論の予習復習が整理され「官吏学」の本となったらしい。；数学のテストが始まるというのに、夢の中の僕は何一つ予習をしていないのだ。；パチンコ雑誌で予習してこないとすぐには仕掛けがわからない。；或る日、演習の時間に一人の学生が自分の当る番であるのに予習をしてきていなかった。；ねえ君、そういう予習が、多くの立派な神父達に必要だったのを君は知らないな。；予習の途中でトーナメントが開始される旨の表示が出ると、予習は終了となる。；どうしてか私は、真面目に予習とか復習とかしている姿を見られるのが嫌だった。；教科書を読むのが自然と予習となったため、中学入学後も塾などには行かなかった。；それでこそ予習してきた私もガイドのやり甲斐があるというものだ。；一度進級にしくじって以来いわれなくても自分で予習や復習をやるようになった。；帰宅後も予習や復習はしないで、時間があったらゆっくり寝て労働に備える。；前述の通り、このモードをプレイした場合、予習の正解が表示される仕様であった。；私は、予習をしたことが、かえって観劇にわざわいしたとは思わない。；土曜日は予習復習の責任がないから、二人で思い存分遊びたいのである。；なぜならあのはしかのような発熱の状態は昨夜すべてその過程を予習してしまったから。</t>
        </is>
      </c>
      <c r="J8708">
        <f>HYPERLINK("https://www.weblio.jp/content/予習", "词义详情")</f>
        <v/>
      </c>
      <c r="K8708">
        <f>HYPERLINK("https://yourei.jp/予習", "查看例句")</f>
        <v/>
      </c>
    </row>
    <row r="8709">
      <c r="A8709" t="inlineStr">
        <is>
          <t>止す</t>
        </is>
      </c>
      <c r="B8709" t="inlineStr">
        <is>
          <t>成功</t>
        </is>
      </c>
      <c r="C8709" t="inlineStr">
        <is>
          <t>読み方：さす
［接尾］《動詞五（四）段型活用》動詞の連用形に付く。
１しかけていた動作を中途でやめる意を表す。…しかける。「言い—・す」「飲み—・す」
２していた動作が中途でやんだままの状態であることを表す。…しかかる。
「おもしろき梅の花開け—・したる朝ぼらけ」〈源・常夏〉</t>
        </is>
      </c>
      <c r="D8709" t="inlineStr">
        <is>
          <t>止すかも(3%)</t>
        </is>
      </c>
      <c r="E8709" t="inlineStr">
        <is>
          <t>置く；停止；中止；解消；中断</t>
        </is>
      </c>
      <c r="H8709" t="n">
        <v>29</v>
      </c>
      <c r="I8709" t="inlineStr">
        <is>
          <t>一度は坐っても見るのだが、今日は止すといって机の方へ向ってしまう。；それはあなただけに関係のある事なんでしょうから、止しにしましょう。；神というものがあるならば、その神にもう止せと言いたかったのである。；煙草も、いくら止しなさいといっても止めないんやから身から出た錆よ。；その前にその人が居て、今まで何か話していたのを急に止して黙ってしまった。；どうでもいいと云ふやうな態度はお止しになつた方がよくはありませんか。；完全に私の敗北を意識したなら、私は文学をさえ、止すことが出来る。；どうでもいいというような態度はお止しになった方がよくはありませんか。；この葉書を読んだ時も、小生は、明日からもう酒は止そうと思いました。；「こんな場所で冗談は止せ」 彼はたちまち噛みつきそうな顔になった。；あんた、もう止しなよ、と僕の背に手をかけて外国兵の女が低い声でいった。；「いけません」 と光子が又云って泣きはじめたから、云うのを止した。；友人もその時は、もう私の村の教師を止して、己の村でやっていた。；しかし、これ以上年のことをあげつらうのは止したほうがよいかもしれぬ。；話すのを止せと云ったのか、機械が大事だったのか、それは判らなかった。；阪井が止せと言つても聞かないで、船の連中と喧嘩をしちまつたんだ。；こんな事を書いてますと、また頭が変になって来ますから、もう止します。；そんな人を連れて来るのは、私のために悪いから止せといい直します。；幾度か長光寺の傍まで行きかけては見るが、何時でも止して戻って来た。；東京の學校を途中に止して歸られたんやさうなが、それは惜しいことを。；先日の大岡は悄気こんで、新聞社の勤めを止さうかと思ふと云つてゐた。；関わるのを止そうと目を逸らした途端に、聞きたくない声が聞こえた。；しかしそれは死神が今俺たちについていると知って止したんだ。；その時代の殺生は、可哀想だからと思えばそのまま止すことが出来たのだ。；しかしいくら止そうと思って筆を擱いても、何にもなりませんでした。；僕はその時大に反対した、君止すなら止せ、僕は一人でもやると力味んだ。；僕はその時大に反対した、君止すなら止せ、僕は一人でもやると力味んだ。；叱りつける慈海がわかったし、熱がひどくなると考えて止そうかと思った。；ぼくはその瞬間彼女を浮気な女だと思いこむことを止そうと思った。</t>
        </is>
      </c>
      <c r="J8709">
        <f>HYPERLINK("https://www.weblio.jp/content/止す", "词义详情")</f>
        <v/>
      </c>
      <c r="K8709">
        <f>HYPERLINK("https://yourei.jp/止す", "查看例句")</f>
        <v/>
      </c>
    </row>
    <row r="8710">
      <c r="A8710" t="inlineStr">
        <is>
          <t>寄せる</t>
        </is>
      </c>
      <c r="B8710" t="inlineStr">
        <is>
          <t>成功</t>
        </is>
      </c>
      <c r="C8710" t="inlineStr">
        <is>
          <t>読み方：よせる
［動サ下一］［文］よ・す［サ下二］
１近づく。寄る。また、攻めて近くに迫る。「波が岸辺に—・せる」「敵勢が—・せて来る」
２（普通「よせてもらう」「よせていただく」の形で）訪問する意のへりくだった言い方。「今夜—・せてもらいます」
３ある物を別の物の近くへ寄らせる。近づける。「耳へ口を—・せて話す」「肩を—・せる」「北へ—・せて家を建てる」
４1か所に集める。まとめて一緒にする。「客を—・せる」「額にしわを—・せる」「義援金が—・せられる」
５意見・情報などを送り届ける。手紙・文章などを送る。提供する。「回答を—・せる」「便りを—・せる」
６数を加える。足す。寄せ算をする。「二と二を—・せると四になる」
７愛情・興味・好意などの気持ちをいだく。思いをかける。「同情を—・せる」「思いを—・せる」
８頼って一時的に世話になる。「友人宅に身を—・せる」
９あることに関係づける。かこつける。「他人のことに—・せて文句を言う」
10寒天・葛(くず)・ゼラチンなどで、魚のすり身・卵・豆などの材料を固めたり、形づくったりする。
11おしつける。
「諸(もろもろ)の神(かむたち)罪過(つみ)を素戔嗚尊(すさのをのみこと)に—・せ」〈神代紀・上〉</t>
        </is>
      </c>
      <c r="D8710" t="inlineStr">
        <is>
          <t>寄せるべき；寄せる者たち</t>
        </is>
      </c>
      <c r="F8710" t="inlineStr">
        <is>
          <t>招き寄せる；吹き寄せる；たぐり寄せる；手繰り寄せる；すり寄せる</t>
        </is>
      </c>
      <c r="H8710" t="n">
        <v>29</v>
      </c>
      <c r="I8710" t="inlineStr">
        <is>
          <t>妻のジェニーは幅広い芸術に関心を寄せるパリ市民の家の生まれである。；二人は地元の出版業者Vitobaのもとに身を寄せることができた。；監督の森田とは、後述する書籍には帯文を寄せるなど交流が継続している。；それを補うためには右の眼を身体の中心線の方に寄せる必要がある。；後に工藤美術として活動の場を映像系の美術などもにも寄せるようになる。；家臣の反対も退け、城で働かせてくれた王に絶対の信頼と忠誠を寄せる。；だが彼はちょっと思案して、身をわきへ寄せると、そのまま彼を通した。；息子のいるセビリアの修道院に身を寄せる一人のイタリア移民がいた。；だが、エドナに思いを寄せる男は新聞に彼の顔写真が載っているのを発見!；父はその後6年間の抑留生活を送ったため、帰国後母の実家に身を寄せる。；その尊敬すべき点を認めて、同情を寄せるには何の妨げもあるまいではないか。；後に劉備の元へ身を寄せるようになるが、ほぼ名のみの登場である。；主には船の重心の位置を低く寄せる事で船の安定性をます効果を期待している。；尤も女は兄に身を寄せる時には仔細に今の境遇を明かしたことであらう。；母と三女の節子は、当分の間長男の進一郎の家に身を寄せることになる。；命あるものは全て、いや自然の全ては和歌の道に心を寄せるという。；西にあって古学に心を寄せる人々との連絡のついたことは、その一つであった。；なんという名の蘭か知らぬが、ハワイから飛行機でとり寄せるのだという。；少年Aは母親が野球部のことなどに関心を寄せるのを嫌がっていたという。；七瀬が耳を寄せると、少し開いた口から、柔かな、穏かな呼吸が聞えた。；主人公・幕之内一歩が最も尊敬し強い信頼を寄せるボクシングの師である。；魂を寄せるにしては遠きに過ぎ、近くに拉して棄て去るべき手段は無い。；抑留中に、ローマが短期間で支配地域を拡大した歴史に関心を寄せる。；一方の健二も父親の虐待に耐え兼ねて家を飛び出し海洋へ身を寄せる。；イクルはあいを埋葬すると、家を離れてハルカのホームに身を寄せる。；奈々の方も、自分のことを気にかける一に次第に好意を寄せるようになる。；母は窃においよさんの家へ行つておいよさんを喚び寄せることにした。；そのせいで仕事はできなくなり、思いを寄せる上司とも別れざるを得ない状況に。；一本足のスズの兵隊は紙を切り抜いてできた踊り子の人形に思いを寄せる。</t>
        </is>
      </c>
      <c r="J8710">
        <f>HYPERLINK("https://www.weblio.jp/content/寄せる", "词义详情")</f>
        <v/>
      </c>
      <c r="K8710">
        <f>HYPERLINK("https://yourei.jp/寄せる", "查看例句")</f>
        <v/>
      </c>
    </row>
    <row r="8711">
      <c r="A8711" t="inlineStr">
        <is>
          <t>予選</t>
        </is>
      </c>
      <c r="B8711" t="inlineStr">
        <is>
          <t>成功</t>
        </is>
      </c>
      <c r="C8711" t="inlineStr">
        <is>
          <t>読み方：よせん
［名］(スル)
１数あるものの中から前もって選び出すこと。「応募作品を—する」
２選手権大会や優勝決定戦に出場する人やチームを選び出すための試合。「—リーグ」「—落ち」「一次—」</t>
        </is>
      </c>
      <c r="D8711" t="inlineStr">
        <is>
          <t>予選リーグ(4%)；予選落ち(3%)；予選敗退(3%)；予選決勝；予選大会</t>
        </is>
      </c>
      <c r="F8711" t="inlineStr">
        <is>
          <t>地区予選；次予選；大陸予選；wbc予選；地方予選</t>
        </is>
      </c>
      <c r="G8711" t="inlineStr">
        <is>
          <t>予選通過；予選ラウンド；予選落ち；予選突破；予選勝者</t>
        </is>
      </c>
      <c r="H8711" t="n">
        <v>29</v>
      </c>
      <c r="I8711" t="inlineStr">
        <is>
          <t>第36回は史上初めて全11地区の会場で同日同時刻に予選が行われた。；短距離レースはいずれもより長いレースの予選としては機能しなかった。；予選は優勝クラブ予選と上位クラブ予選の二つのルートで行われる。；これらのローカル中継は予選の代表決定戦でも実施されることがある。；その他、2日目以降に予選敗退者を対象とした以下の競走が開催される。；シーズン後半に入ると予選での速さにさらに磨きがかかることになった。；しかし地区予選で再戦した時には、成長したニコガクナインに完敗した。；同年夏も県予選準々決勝で池田高に敗れ、甲子園には出場できなかった。；予選2位以内に入ることで非常に有利な条件を得ることができるシステムである。；翌年夏は県予選決勝に進出するが川之江高に敗れ、甲子園出場を逸する。；第58期王将戦では二次予選2回戦に進出し、自己最高成績を更新した。；高校野球予選の市内の学校の出場試合をテレビ・ラジオで同時放送している。；これにより大会史上初めて予選から勝ち上がったチームが準決勝に進出した。；上記のとおりの出場枠を獲得するため各地区で予選が行われる。；大会形式は各クラス共通で予選と決勝に分かれている。；この時はまだ開催国枠が設けられておらず、イタリアも予選からの参加だった。；通常は土曜深夜に予選を放送し、翌日に決勝の模様が放送される。；入社後は都市対抗の予選で活躍したものの、本大会への出場に至らなかった。；また一部地方予選決勝はダイジェストで放送されることもある。；同日、走高跳の予選に出場、1m83cmを飛んで翌日の決勝へ進んだ。；また、FIFAワールドカップの予選には2010年大会予選から参加。；インディ500では、予選と決勝でドライバーを交代させることができる。；一次予選・二次予選・挑戦者決定トーナメントの3段階で挑戦者を決定する。；以下は第91回大会予選において各地区で採用された形式である。；UEFAヨーロッパリーグでは、予選3回戦から決勝まで勝ち上がった。；秋の日本選手権九州予選でも第二代表を獲得したが、大会では1回戦で敗れた。；予選方式にも特徴があり、過去様々な方式が導入された。；これ以降、会場を変えながら、日本国内でも毎年アジア地区予選が開催されている。；予選はシード棋士を除く全参加者により行われ、予選通過者を決定する。</t>
        </is>
      </c>
      <c r="J8711">
        <f>HYPERLINK("https://www.weblio.jp/content/予選", "词义详情")</f>
        <v/>
      </c>
      <c r="K8711">
        <f>HYPERLINK("https://yourei.jp/予選", "查看例句")</f>
        <v/>
      </c>
    </row>
    <row r="8712">
      <c r="A8712" t="inlineStr">
        <is>
          <t>余所</t>
        </is>
      </c>
      <c r="B8712" t="inlineStr">
        <is>
          <t>成功</t>
        </is>
      </c>
      <c r="C8712" t="inlineStr">
        <is>
          <t>読み方：よそ
１ほかの所。別の場所。また、関係のない離れた所。他所(たしょ)。「—から来た人」「—を向く」「どこか—の店にいこう」
２自分の家以外の所。また、自分の所属している団体以外の所。「—の会社の人」「今夜は—に泊まる」⇔内(うち)。
３自分には直接関係のないこと。関心のないこと。また、そのもの。「騒ぎを—にけろりとしている」</t>
        </is>
      </c>
      <c r="D8712" t="inlineStr">
        <is>
          <t>余所行(2%)；余所さま；余所眼</t>
        </is>
      </c>
      <c r="E8712" t="inlineStr">
        <is>
          <t>他所</t>
        </is>
      </c>
      <c r="G8712" t="inlineStr">
        <is>
          <t>余所行き；余所目；余所見；余所ながら；余所余所しく</t>
        </is>
      </c>
      <c r="H8712" t="n">
        <v>29</v>
      </c>
      <c r="I8712" t="inlineStr">
        <is>
          <t>いくらメリック氏を取り上げているとはいえ、余所の病院の医師である。；そうしてどこか余所でもって他の男の子や女の子たちと平気で遊んでいた。；それは昔余所の犬のするのを見て、今までは永く忘れて居たことであった。；部隊結成の式典に、余所の部隊の将軍が一緒に入って来るはずがないのだ。；瀬戸君はこの会話を全く余所に、ポケットから洋書を出して読み始めた。；南向に余所の広い庭を殆んど縁の下に控へて、昼も夜も至極静かである。；目だけ動かして僕を一瞬見ると、また余所に視線を向けてしまった。；そんな兄の思いを余所に妹はますます調子を上げ、絶好調に近づいていた。；余所の国の王様御一行に、普通は気軽に手を振ったりしないのではないか。；まさか、この村にある宝貝を狙って来た余所の人間じゃないんでしょ?；余所から流れてきたとはいえ、女同士なら何か知っているかと期待したのだ。；現在は余所の町の住人らしいのだが、よくこの辺をうろうろしているのだ。；それは余所からのお客が、もう幾人殖えたかと見るのが楽みなのです。；母親を貫く余所の男のあれは、剣のようでただ恐ろしい異形のものだった。；自分の知っているかぎり、深泥池に産するようなものは余所にはないようだ。；だけど余所の教室にいた生徒には、それが聞こえていたというのか。；お前も亦余所に出て死ぬかも知れぬが、死生の事は一切言うことなし。；でないとお父さんもお母さんもあんたの中に余所の人がいるような気がするんだから。；倉庫にあった香をすべて余所へ売り、その資金で食料を買い求めたのだ。；ここがうまく行けば余所でも真似るようにならぬものでもなかろう。；余所の女性と話したことのない少年はどぎまぎして適当な言葉が唇に出なかったからだった。；だがどういう訳だか佐助は余所を見てばかりで、珍しく生返事を返してきた。；余所から廓に入ってきた女ならば、すぐに『切手』を貰うことができる。；僕は斯う云ふ結末が自分に訪れた事を誰か余所の人の所為にする積りは無い。；けれどもまだ自分で余所行の着物を拵えるというほどの分別は出なかったのです。；余所から話のないのは働きのない人間の証拠だろう。；彼はあの地下室から余所に行くことは出来ないのだ。；言われてみれば余所の桜に比べるとうちの桜は白いようだ。；ゆっくりと地上へ上がっていく俺たちを余所に、地下の両者は対峙を止めなかった。</t>
        </is>
      </c>
      <c r="J8712">
        <f>HYPERLINK("https://www.weblio.jp/content/余所", "词义详情")</f>
        <v/>
      </c>
      <c r="K8712">
        <f>HYPERLINK("https://yourei.jp/余所", "查看例句")</f>
        <v/>
      </c>
    </row>
    <row r="8713">
      <c r="A8713" t="inlineStr">
        <is>
          <t>予想</t>
        </is>
      </c>
      <c r="B8713" t="inlineStr">
        <is>
          <t>成功</t>
        </is>
      </c>
      <c r="C8713" t="inlineStr">
        <is>
          <t>読み方：よそう
［名］(スル)物事の成り行きや結果について前もって見当をつけること。また、その内容。「—が当たる」「混雑が—される」
[用法]予想・予期——「結果は予想（予期）したとおりだった」「予想（予期）に反して、不作だった」などの文脈では相通じて用いられる。◇「勝敗を予想する」「予想がはずれる」「旅行は予想を裏切るつまらないものだった」など、「予想」は前もって見当をつけること、また見当をつけた内容を意味し、広い範囲に用いられる。◇「予期」はあらかじめ期待・覚悟する点に重点があり「彼はやがて訪れる死を予期していた」「彼女が現れることを予期していなかった」「予期せぬ出来事」などのように使う。◇類似の語に「予測」がある。「予測」はなんらかの根拠に基づいて推測することで「景気の動向を予測する」「年金制度の将来を予測する」「株価予測」など数字的なものに基づく場合が多い。</t>
        </is>
      </c>
      <c r="D8713" t="inlineStr">
        <is>
          <t>予想される(10%)；予想以上(6%)；予想どおり(2%)；予想でき；予想外</t>
        </is>
      </c>
      <c r="E8713" t="inlineStr">
        <is>
          <t>思い；予定；期待；当；計算</t>
        </is>
      </c>
      <c r="F8713" t="inlineStr">
        <is>
          <t>当初予想；予想より早く；半ば予想；本紙予想；レース予想</t>
        </is>
      </c>
      <c r="G8713" t="inlineStr">
        <is>
          <t>予想通り；予想屋；予想紙；予想値；予想インフレ率</t>
        </is>
      </c>
      <c r="H8713" t="n">
        <v>29</v>
      </c>
      <c r="I8713" t="inlineStr">
        <is>
          <t>現在でも双方の攻撃が完全に収まったわけではなく、困難が予想される。；また、完成予想のイメージを描いたものはイメージパースとも呼ばれる。；超自然的な方法によると称する未来予想を行う者も未来学には含まれない。；この事実は、一見すると自然選択説の予想と矛盾するように感じられる。；この幕府の事件解決方針は、まさに嘉兵衛の予想と合致するものだった。；レピュニット素数は無限にあると予想されているが、証明されていない。；この予想が解決すると、様々な数が代数的独立になることが知られている。；しかし「強いドイツ」の復活にはフランスの反発が大いに予想された。；シティでは1年以内で約7万人の雇用が失われることが予想されている。；人口の著しい増加で、予想以上に交通量が増えたのが渋滞の原因である。；このことは崇神天皇を初代天皇とする伝承がかつて存在したことを予想させる。；しかし、これらは李鴻章の予想をはるかに超えた厳しい条件であった。；この予想は21世紀になっても重要な未解決問題の一つとなっている。；ワシントンの軍勢はイギリス軍の攻撃を予想しニューヨークへ移動した。；また、港の予想に反して、開始直後から高視聴率を叩き出すことになる。；しかし実測してみるとこの値は予想される値の半分程度しかない。；さらに調査が進めば、倍の種が見つかるであろうと予想されている。；予想に反して、父親や教師や政治家も含め2000人もの人間が集まった。；これもダーウィンの死後にその予想が正しかったことが明らかになっている。；リスナーが事前に予想した、その日の本番組で起こりそうな出来事を紹介する。；その一方で、青森県などでは予想されたほど出生数は増えず人口が減少した。；試合前の予想ではハンガリーの勝利は間違いないと考えられていた。；イスラエルは軍事攻撃を予想していなかった為に対応が遅れたといわれている。；しかし予想に反して、敵機の空襲はなく艦隊は何事もなく進撃を続けた。；この数字は、予想されたものに比べ非常に少ないものである。；先の試合で見せた圧倒的な強さから前評判ではアリの圧倒的有利の予想であった。；それまで非平衡状態では予想可能な秩序が生じることはないと考えられていた。；潮位予報を行う機関では数十の分潮を用いて予想潮位を計算している。；このエネルギー準位は、バルクの値から大きくシフトすると予想される。</t>
        </is>
      </c>
      <c r="J8713">
        <f>HYPERLINK("https://www.weblio.jp/content/予想", "词义详情")</f>
        <v/>
      </c>
      <c r="K8713">
        <f>HYPERLINK("https://yourei.jp/予想", "查看例句")</f>
        <v/>
      </c>
    </row>
    <row r="8714">
      <c r="A8714" t="inlineStr">
        <is>
          <t>予想外</t>
        </is>
      </c>
      <c r="B8714" t="inlineStr">
        <is>
          <t>成功</t>
        </is>
      </c>
      <c r="C8714" t="inlineStr">
        <is>
          <t>読み方：よそうがい
［名・形動］予想と違った成り行きとなること。また、そのさま。思いのほか。意外。「—な（の）出費」「結果は—だった」</t>
        </is>
      </c>
      <c r="D8714" t="inlineStr">
        <is>
          <t>予想外の好；予想外の快進撃</t>
        </is>
      </c>
      <c r="E8714" t="inlineStr">
        <is>
          <t>突然；意外；不意；異様；意外に</t>
        </is>
      </c>
      <c r="H8714" t="n">
        <v>29</v>
      </c>
      <c r="I8714" t="inlineStr">
        <is>
          <t>しかしそれに反応してくる彼女の様子は、またいかにも予想外であった。；構語障害は予想外に少なく、しっかりしたことばを話しはじめています。；猫の面倒を診ることがこんなに大変だとは彼女にしてみれば予想外だった。；センサーの温度が変化したときには予想外の結果が出現する可能性がある。；そして刑事たちにも被害者たちにも予想外の結果がもたらされたのである。；まさかあれほどの手練があの場面に介入してくるなんて予想外すぎます!；ところがそいつにとりかかってみて、予想外に簡単なことがわかった。；予想外に激賞され、その写真のうちの二十五点が写真雑誌に掲載された。；エリカも言ってたが、予想外に大規模で深刻な事態が進行しているようだ。；ときに目蓋を上げると、予想外に大きくてトロリとした目が現れてくる。；今回のことは、そのカゼルにしてみても予想外の出来事であったのだ。；尾を通過することは計画されていたものではなく予想外だった。；あの町が三十日ものあいだ耐え続けるとは、まったく予想外だった。；この思想が江戸時代の諸文化にあたえた影響は予想外に大きいものといえる。；この数値は設計主務者の土井の観点から見ても全くの予想外と評された。；踊りに夢中になっていたコボルドたちには、まったく予想外のことだった。；ところが、帰国を数日後に控えていた佐野に、予想外の出来事が起きる。；あなたが予想外のところから戻ってきたため、部屋の扉前まで気づかなかった。；そして多くの植民地は予想外の障害にあって放棄されあるいは壊滅していった。；だがそこに寄せられる政府批判は予想外に厳しいものであった。；一瞬、わたしは彼らのチャンピオンの予想外な敗北のせいかと思った。；予想外だったのは、思っていた以上にその内容が役に立ちそうなことだった。；それは、わたしが彼にもいったように、予想外の名誉なことであった。；しかし、予想外の大ヒットとなり、途端に大好きになったと語っている。；もしスミス氏が予想外の展開を知らずに今現れたら、著しく不利になる。；全てが衝動的で予想外で、何が起こったか分からないうちに婚約しました。；手紙を受け取った伊沢は怯えていたが、予想外ではない様子だったという。；双子の姉妹が抱える秘密を前に武助は予想外の事態に巻き込まれていく。；まったく予想外の思いがけない事故が勃発したのは、そのときだった。</t>
        </is>
      </c>
      <c r="J8714">
        <f>HYPERLINK("https://www.weblio.jp/content/予想外", "词义详情")</f>
        <v/>
      </c>
      <c r="K8714">
        <f>HYPERLINK("https://yourei.jp/予想外", "查看例句")</f>
        <v/>
      </c>
    </row>
    <row r="8715">
      <c r="A8715" t="inlineStr">
        <is>
          <t>装う</t>
        </is>
      </c>
      <c r="B8715" t="inlineStr">
        <is>
          <t>成功</t>
        </is>
      </c>
      <c r="C8715" t="inlineStr">
        <is>
          <t>読み方：よそう
［動ワ五（ハ四）］
１飲食物を器に盛る。よそる。「味噌汁を—・う」
２「よそおう2」に同じ。
「強いて嬉しげを—・うて」〈露伴・連環記〉
３「よそおう1」に同じ。
「君なくは何(な)ぞ身—・はむくしげなる黄楊(つげ)の小櫛も取らむとも思はず」〈万・一七七七〉
４「よそおう3」に同じ。
「難波津に—・ひ—・ひて今日の日や出でてまからむ見る母なしに」〈万・四三三〇〉
[可能]よそえる</t>
        </is>
      </c>
      <c r="D8715" t="inlineStr">
        <is>
          <t>飾る；変身する；見せかける；扮する；化ける</t>
        </is>
      </c>
      <c r="F8715" t="inlineStr">
        <is>
          <t>ごとく装う；美しく装う</t>
        </is>
      </c>
      <c r="H8715" t="n">
        <v>29</v>
      </c>
      <c r="I8715" t="inlineStr">
        <is>
          <t>事故の被害者を装うだけなら、もっと確実な方法がある気がしますけど。；装いをベースとした高度な印象管理術とパフォーマンス術とも言われる。；にもかかわらず国家の高度な理由とやらで政府は知らぬふりを装っている。；誰のために彼女があの装いで公爵夫人のパーティに出たとお考えですか?；それを真似て装った女性らに流行し、その便利さから庶民にも定着した。；ベッドにジッと座っている彼の装いは、病院の検査着に似た簡易な服だ。；そしてそれが、こうしたきらびやかな装いや飾りつけの動機なのでした。；その顔色には無関心が少し意地悪そうな表情を装っているに過ぎない。；まだ暗いうちに、燈のもとでこの装いする所を、いつも私は珍しく見た。；どうかして髪を剃り落としたいと望みながらのんきなふうを装っている。；それには少しも気づかぬような風を装っていつものように働いていた。；そこでそれらに近づくために彼は出来るだけ悲しみを装おうとした。；そしてあらゆる悲しみも今は喜びの装いをする召し使いのように思われた。；北部同盟の主要メンバーを狙ってジャーナリストを装っていたとされる。；彼は眠ったふりを装って、今晩中に足の鎖を切断してやろうと決心した。；関谷は、何でもない雰囲気を装うためか少し不機嫌な様子になっている。；傍聴の流行の装いを着飾った多くの婦人たちは、互いに顔を寄せ合った。；韓国の男は確かに質実剛健でかつ知的という男子の装いを旨としている。；転居先が完治のアパートだと知ったさとみは偶然を装い訪ねたのだった。；実際にはページを更新していないのに更新したかのように装うケースも有る。；また、棺の周囲は、彼の業績に感謝する人々の手で美しく装われていた。；排泄されたばかりの糞をもち歩いてそれに接吻しては蠅を装う者もいる。；したがって、バスの中でもさり気ない風を装うのは無用なことであった。；それでこれはしめた思て、今度はその夫婦もんが密会者みたいに装うてた。；まず中央の部隊のみが敵に正面から当たり、敗走を装いながら後退する。；かすかに開けてしまった唇をあわてて閉じ、涼子は冷たい無表情を装う。；彼女の初期の姿は悪い意味で田舎の主婦を装った男性にしか見えなかった。；平気な顔を装うて、机の前に坐ったり、人と話はしているが、上の空だ。；かれの装いは、ほかの連中の華やかな衣装のなかでは地味でさえあった。</t>
        </is>
      </c>
      <c r="J8715">
        <f>HYPERLINK("https://www.weblio.jp/content/装う", "词义详情")</f>
        <v/>
      </c>
      <c r="K8715">
        <f>HYPERLINK("https://yourei.jp/装う", "查看例句")</f>
        <v/>
      </c>
    </row>
    <row r="8716">
      <c r="A8716" t="inlineStr">
        <is>
          <t>予測</t>
        </is>
      </c>
      <c r="B8716" t="inlineStr">
        <is>
          <t>成功</t>
        </is>
      </c>
      <c r="C8716" t="inlineStr">
        <is>
          <t>読み方：よそく
［名］(スル)事の成り行きや結果を前もっておしはかること。また、その内容。「10年後の人口を—する」</t>
        </is>
      </c>
      <c r="D8716" t="inlineStr">
        <is>
          <t>予測する(10%)；予測される(5%)；予測できる(3%)；予測可能；予測不可能</t>
        </is>
      </c>
      <c r="E8716" t="inlineStr">
        <is>
          <t>思う；思い；予定；期待；当</t>
        </is>
      </c>
      <c r="F8716" t="inlineStr">
        <is>
          <t>将来予測；気象予測；未来を予測；予測分析；予測どおり</t>
        </is>
      </c>
      <c r="G8716" t="inlineStr">
        <is>
          <t>予測市場；予測入力；予測子；予測子修正子法；予測区間</t>
        </is>
      </c>
      <c r="H8716" t="n">
        <v>29</v>
      </c>
      <c r="I8716" t="inlineStr">
        <is>
          <t>よって確実に起こると予測される事象はごく限られたものとなっている。；このような性質は長期予測不能性 や予測不可能性 などとも呼ばれる。；結論は出なかったが明日はこれまでにない接近行動があるだろうと予測。；港からの攻撃を予測していたハスドルバルは付近の倉庫群に火を放った。；しかし、いつどのように活動が変化するかを予測することは非常に難しい。；性格の違いから、特定の人生経験が生じることを予測することができる。；ムーアの法則は技術のすべての形を予測すると共通に信じられている。；その予測し得る破滅を回避すべく、海洋性植物の研究が進められていく。；身体能力や技術は高くなかったが、予測能力が高くて声で周りを動かせた。；プロイセン軍の動員はフランス側の予測よりも遥かに急速に進んでいた。；このような性質は長期予測不能性や予測不可能性などとも呼ばれる。；この作品では石油の消費と生産における世界的な衝突を予測している。；予測とはコントロールされていない状況からの帰結を推測する方法である。；状態を分離することでUIの状態をより予測しやすいものにできる。；この理論はまた、左利きの人々が脳の分業を逆転させていると予測する。；また、この合成曲線でガラス転移点をほぼ確実に予測することができる。；その半減期は数秒と予測され、化学実験を行うのに十分な長さであった。；予測器の性能が上昇した2010年代以降のCPUではその影響は小さい。；彼は自身の子孫がインドに広大な帝国を築き上げることを予測していたという。；クラス分類は与えられたデータに対応するカテゴリを予測する問題。；ワーピング予測はこの問題を解決するために開発された技術である。；いずれ赤色超巨星となった後に超新星爆発を起こすと予測されている。；ティコはより精密な観測がより正確な予測を行うための鍵であると認識した。；中国大陸の民族も少なくとも紀元前300年までに天気を予測していた。；しかし記者たちはそのことに気づかず、その後の展開を誰も予測していなかった。；しかしながら予定価格が X68030の倍近くになると予測されていた。；一般的に企業は経営関連データの表現、予測、経営力の向上目的で使用する。；当初から、災害の大きさを予測できなかったという政府への非難があった。；生物の知性は一般的に脳と全体の比率によって知性の高さが予測できる。</t>
        </is>
      </c>
      <c r="J8716">
        <f>HYPERLINK("https://www.weblio.jp/content/予測", "词义详情")</f>
        <v/>
      </c>
      <c r="K8716">
        <f>HYPERLINK("https://yourei.jp/予測", "查看例句")</f>
        <v/>
      </c>
    </row>
    <row r="8717">
      <c r="A8717" t="inlineStr">
        <is>
          <t>余所見</t>
        </is>
      </c>
      <c r="B8717" t="inlineStr">
        <is>
          <t>成功</t>
        </is>
      </c>
      <c r="C8717" t="inlineStr">
        <is>
          <t>読み方：よそみ
［名］(スル)
１よそを見ること。わきみ。よそめ。「—してはいけません」
２見て見ないふりをすること。
「汝が禍を—するに忍びず」〈永峰秀樹訳・暴夜物語〉
３「余所目(よそめ)1」に同じ。
「怖らしい—には似ぬ親切な一言」〈露伴・いさなとり〉</t>
        </is>
      </c>
      <c r="H8717" t="n">
        <v>29</v>
      </c>
      <c r="I8717" t="inlineStr">
        <is>
          <t>実際にペルセルテも余所見をしていたのだから非がないわけではない。；慣れた道でも余所見運転はいけないと老人たちは諌め合った。；皆が余所見をしている隙に、素早くミス・エッジコムの記憶を修正してくれた。；余所見をしている暇なんて、今の貴様には、一秒たりとも与えられていないのに。；戦いの最中だというのに、余所見をしていたのだ。；石段は雨に濡れてかなり滑りやすくなっているため、あまり余所見もしていられなかった。；要するにヨソ見にふける生徒がいない程度の熱心さなのである。；同じ部屋に海月がいて、ちょっと余所見をしている間に、彼が位置を移動することがあって、何度かびっくりした経験があった。；しかし余所見をしては行けませんよ。；じゃあ、余所見したくなる気持ちもわからんでもないかな。；しかし子供の教室で、そろってヨソ見をしないということは、それだけのことでも珍しい部類なのかも知れないな。；なぜかというと、授業中にヨソ見をしていたからなんですね、授業には集中しないのにヨソ見にはばかに熱中してしまいます。；ゲストキャラクターの攻撃を受けたり余所見をしたせいで岩などに衝突してバイキンUFOが大破した場合は、ばいきんまんをマジックハンドで救出するなどもしている。；極端なことをいえば、和了できるときに余所見をして見過してしまうというようなミスの少い人が勝つだけのゲームである。；二人はけっして余所見をしなかった。；あんたが、その、余所見をすると怒っちゃうのは、自分をちゃんと守らせるようにっていう、本能みたいなものなのよ。；教習所にいる期間技術はかなり悪かったものの、様々な幸運などから何とか取得できたが、当初の目的にも関わらず、たまに運転したとしても余所見等で事故を起こしたりするなどトラブルに見舞われるペーパードライバーとなってしまった。；脚力自慢の五人組は、忠志が余所見をしていようが何をしていようが、構わずに蹴り込んでくるのである。；まあ、ちょっとぐらいの余所見も、許してあげよう。；こう身をのりだして三時間でも五時間でもヨソ見一ツなさらずに眺め入るんですから、恐れ入ります。；黙って這入って来てきょとんと麻油を視凝めていたが、今度は余所見を繕いまるで何処かへ行ってしまうような風をし乍らふらふら近づいてきて、麻油の頸を手探りしようやっと襟を握って絞めはじめた。；余所見すんなって言ってるの!；続く下山真二の打席で、二遊間が余所見をしている隙を突いた大胆な走塁を行ったが、この際に高橋が悪送球をしたため、アレンは更に三塁まで進塁した。；余所見をして、言った。；決勝トーナメント前夜、宿舎の食堂で余所見をしていたところを日向小次郎に衝突後、殴り倒される。；しかし、そう考えたとき、 「この儂を目前に余所見とはいい度胸じゃな、従僕よ」 と、キスショットが言った。；黙つて這入つてきてきよとんと麻油を視凝めてゐたが、今度は余所見を繕ひまるで何処かへ行つてしまふやうな風をし乍らふらふら近づいてきて、麻油の頸を手探りし、やうやつと襟を握つて絞めはじめた。；神の下請けの下請けの下請けの下請けの工場で、上半身裸のおっさんが抜けた前歯の穴にタバコを差し込んで余所見しながらバンバンプレスして創った男。；余所見だってするわ。</t>
        </is>
      </c>
      <c r="J8717">
        <f>HYPERLINK("https://www.weblio.jp/content/余所見", "词义详情")</f>
        <v/>
      </c>
      <c r="K8717">
        <f>HYPERLINK("https://yourei.jp/余所見", "查看例句")</f>
        <v/>
      </c>
    </row>
    <row r="8718">
      <c r="A8718" t="inlineStr">
        <is>
          <t>夜空</t>
        </is>
      </c>
      <c r="B8718" t="inlineStr">
        <is>
          <t>成功</t>
        </is>
      </c>
      <c r="C8718" t="inlineStr">
        <is>
          <t>読み方：よぞら
夜の空。「—に輝く星」</t>
        </is>
      </c>
      <c r="D8718" t="inlineStr">
        <is>
          <t>夜空を見あげ；夜空に浮かん；夜空いっぱい；夜空を赤く；夜空に輝く星</t>
        </is>
      </c>
      <c r="F8718" t="inlineStr">
        <is>
          <t>明るい夜空；黒い夜空；青い夜空；夜空に聳え立つ；夜空を見あげる</t>
        </is>
      </c>
      <c r="G8718" t="inlineStr">
        <is>
          <t>夜空の虹；夜空はいつでも最高密度の青色だ；夜空メル</t>
        </is>
      </c>
      <c r="H8718" t="n">
        <v>29</v>
      </c>
      <c r="I8718" t="inlineStr">
        <is>
          <t>そして聞えて来るのは、夜空で時々啼いてゐる鳥の声ばかりではないか!；墨を流したような夜空の下で、通りはどこまでも静かで整然としていた。；都では朧ろな夜の多い此頃を、此山では、冬の夜空のやうに乾いてゐた。；雲も幾つかの集団になって動いているが、夜空の部分の方が多そうである。；その日は、月齢およそ6の、船のような形の月が南西の夜空に浮かんだ。；夜空から巨大な光る円柱のようにさしてきた他の光がそれに加わった。；世界は色彩が反転して、夜空が白く、光が黒い異様なものになっている。；さいわい、雨はこの日の午すぎからあがって、夜空には星も見えていた。；そしてあごを上げて、夜空にカーブを描いて消えていく花火を見ていた。；「重要なことではないと言ったはずだぞ」 エアカーは夜空を疾駆した。；首を吊って死んでいる姿が、夜空を見上げているように見えていたのである。；日本のように光害で夜空が極端に明るい地域で観測されるのは極めて稀である。；複数の衛星のある夜空には慣れていたが、このふたつはどこか違っていた。；火事を起こした家が、夜空にあかあかと松明のように燃えて立っている。；そこでは銃を持った警備員が、青い夜空と崖の境で右左に動いている。；その青い夜空のもとで、王獣舎の扉が大きくあいているのが見えた。；その手は間違いなく、左手で下げたままの夜空の剣を抜こうとしていたからだ。；彼は急に向き直って、夜空を明るく染めている町の方に戻って行った。；背中の模様は夜空の星の数によってその大きさが変化するという。；目にした誰もが話のタネにしたが、それはただ静かにじっと夜空に浮かんでいた。；限界を超えて圧縮された力が七色の光となって迸り、夜空に駆け上った。；その響きがまた夜空を流れて伸子たちの室の窓辺にきこえるようになった。；よって実際の夜空が暗いことには理由の説明が必要となる。；それで眼鏡なしだと何が見えないって、夜空の星がまるっきり見えない。；静かな駅の上にかぶさる夜空は大きな吐息に満ちてゐるやうだつた。；湿った霧につつまれた大都会を遠く離れて、夜空はよく晴れ渡っていた。；すぐそばの山の木々から、いっせいに鳥たちが夜空にまいあがったのだ。；ひどい霧だから庭のケンポナシの梢が夜空に溶けこんでいるように見えた。；作者の相対するものは星を以つて鏤めた冬の夜空全体であつて特定の星ではない。</t>
        </is>
      </c>
      <c r="J8718">
        <f>HYPERLINK("https://www.weblio.jp/content/夜空", "词义详情")</f>
        <v/>
      </c>
      <c r="K8718">
        <f>HYPERLINK("https://yourei.jp/夜空", "查看例句")</f>
        <v/>
      </c>
    </row>
    <row r="8719">
      <c r="A8719" t="inlineStr">
        <is>
          <t>よだれ</t>
        </is>
      </c>
      <c r="B8719" t="inlineStr">
        <is>
          <t>成功</t>
        </is>
      </c>
      <c r="C8719" t="inlineStr">
        <is>
          <t>読み方：よだれ
口から無意識に流れ出る唾液(だえき)。</t>
        </is>
      </c>
      <c r="D8719" t="inlineStr">
        <is>
          <t>よだれをしたたら；よだれだらけ；よだれをだらだら；よだれ長者；よだれをながし</t>
        </is>
      </c>
      <c r="E8719" t="inlineStr">
        <is>
          <t>唾液；つば；固唾；涎；生唾</t>
        </is>
      </c>
      <c r="G8719" t="inlineStr">
        <is>
          <t>よだれ掛け；よだれ鶏；よだれ掛</t>
        </is>
      </c>
      <c r="H8719" t="n">
        <v>29</v>
      </c>
      <c r="I8719" t="inlineStr">
        <is>
          <t>よだれの出そうな牛の肉を焼く匂いが、宿の開いた戸口から流れてくる。；みたこともない顔ですが、大きな口をあいてよだれをながしていました。；開いた口からよだれがしたたり落ち、目には苦痛の涙がにじんでいた。；糞と涎と、牛の尻ッ尾のあいだでは、いろといわれても、いる所がない。；最初の症状としては熱が出まして、よだれを流し、犬のように唸ります。；もちろんおれはよだれを垂らしながら、やつの友人1号になってやった。；回りの男たちはよだれを垂らしそうな顔つきで、その様子を眺めていた。；また涎は、口から無意識のうちに外部へと流れ出てしまった唾液を指す。；ある晩、一人の女が、唇はゆがみ、涎をたれ流している彼を運び込んだ。；初めてのイチゴ狩りに我を忘れてヨダレを垂らす小学生のようなものだ。；口の端から涎が垂れそうになって、あわててそれを拭ったりしている。；僕はヤンから受け取った涎だらけのボールをしばらく手の中でもてあそぶ。；もう五十の涎食をすました作家とは一寸思はれないやうな作家である。；真九郎の頭をよだれで濡らしながら、紫はとても幸せそうに寝ていた。；自分は寝言もいびきもないけれどそのかわりよだれをたらす傾向がある。；涎がその唇の端から洩れて書きかけの紙を濡らすことも一再ではなかった。；いつも派手な色の、ま新しい涎れかけを、必ず二三枚は胸にあてていられる。；彼女の頬が涎で汚れていることに気づいて手を引っ込めたのだ。；ファングは頭をハリーの膝に載せ、服をよだれでダラダラにしていた。；又、ブラッドハウンドの血を引く犬種であるため、よだれが多めである。；「そいつは聞いただけでヨダレが出そうだね」と友人も心を動かしたふうだった。；厨房のほうからよだれの出そうないい匂いがただよってきたからだ。；佐智は自分の口も犬のようによだれを流しているのを感じた。；涎が頬を流れてゐてもそれを忘れてゐるほどだつた。；おれたち子供は、よだれをたらしながら、そのまわりをうろついていた。；涙と涎の顔で懇願する様ほど愉快なものはないように思えました。；長い顎には大量の涎に濡れた牙があり、ナイフで裂いたような鋭い目があった。；テレビ横の壁にもたれかかり、口をだらしなく開けて涎まで垂らしてる。；おいおまえ、パブロフ博士の飼犬みたいに涎をたらしているじゃないか。</t>
        </is>
      </c>
      <c r="J8719">
        <f>HYPERLINK("https://www.weblio.jp/content/よだれ", "词义详情")</f>
        <v/>
      </c>
      <c r="K8719">
        <f>HYPERLINK("https://yourei.jp/よだれ", "查看例句")</f>
        <v/>
      </c>
    </row>
    <row r="8720">
      <c r="A8720" t="inlineStr">
        <is>
          <t>余地</t>
        </is>
      </c>
      <c r="B8720" t="inlineStr">
        <is>
          <t>成功</t>
        </is>
      </c>
      <c r="C8720" t="inlineStr">
        <is>
          <t>読み方：よち
１余っている土地。あいている場所。「満員で立錐(りっすい)の—がない」
２物事をさらに行いうるゆとり。余裕。「再考の—を残しておく」「同情の—はない」</t>
        </is>
      </c>
      <c r="D8720" t="inlineStr">
        <is>
          <t>余地がない(11%)；余地なく(3%)；余地なし；余地が無い；余地なき</t>
        </is>
      </c>
      <c r="E8720" t="inlineStr">
        <is>
          <t>間；端；空間；余裕；スペース</t>
        </is>
      </c>
      <c r="F8720" t="inlineStr">
        <is>
          <t>余地なく証明；余地が乏しく；余地が多分；余地がありません</t>
        </is>
      </c>
      <c r="G8720" t="inlineStr">
        <is>
          <t>余地川</t>
        </is>
      </c>
      <c r="H8720" t="n">
        <v>29</v>
      </c>
      <c r="I8720" t="inlineStr">
        <is>
          <t>しかし北欧はすでにヨーロッパの中でその存在感を示す余地はなかった。；上述した機関車が厳密に言って複式であるかどうかは議論の余地がある。；しかしこれらは、その構造と特性についていくつかの議論の余地がある。；このように例外が認められることも多く、あらゆる面で交渉の余地がある。；それは、自由を奪われた少年の宿命であり、彼に選択の余地はなかった。；議論の余地のない中国の文字の証拠は紀元前1600年のものである。；今後は冬尚の誕生年が大幅に繰り上がる可能性があり、議論の余地が残る。；個艦防空ミサイルの将来装備の余地が確保されているが、実現していない。；しかしこれらの合意条件には議論の余地があり、現在も争点となっている。；輸入量を低下させることで、ロシア側との間で交渉する余地を広げた。；ベロッソスがここで何を書かなかったのかについても考察の余地がある。；スピードのあるドリブラーであるが、周りを使う事に改善の余地を残す。；この時の利用できるバイクの駆動部品は改善の余地を多く抱えていた。；だが実際のところ、彼が議員であったかどうかについては疑問の余地がある。；しかし、他人の和声を使うことを気にしない新しい音楽の余地はあると思う。；ネイティブ・アメリカンの去った土地には、鉄道を敷く余地が残された。；しかし制作費がかさみ、議論の余地はあるが視聴率は下がったとされる。；エンターテイメント番組として世界で最長かどうかは議論の余地がある。；リオノウンズの物語は自伝的ではあるが、様々な部分で議論の余地がある。；なお、民法573条のように現実売買には適用の余地のない規定もある。；ガッツがあり、タフな捕手ではあるが、守備能力には改善の余地がある。；しかし、フランス側の文献は残されていないため、反論の余地はある。；いずれにせよ、彼の率いる民兵の暴力は議論の余地がない事実である。；逆に、これらが良く一致する名称は、混乱の余地が少ないと言える。；新薬を市場に投入するための全費用は複雑で議論の余地がある。；共有先に選択の余地がなくなったため、この変更は一部ユーザーから批判されている。；前者の操作はずっと一般的で、必要な操船余地も少ないからである。；最終的にこの年に完成されたことには、議論の余地は少ない。；その結果、ハムの自治権は縮小され、領主の絶対支配の余地が生まれた。</t>
        </is>
      </c>
      <c r="J8720">
        <f>HYPERLINK("https://www.weblio.jp/content/余地", "词义详情")</f>
        <v/>
      </c>
      <c r="K8720">
        <f>HYPERLINK("https://yourei.jp/余地", "查看例句")</f>
        <v/>
      </c>
    </row>
    <row r="8721">
      <c r="A8721" t="inlineStr">
        <is>
          <t>四つ角</t>
        </is>
      </c>
      <c r="B8721" t="inlineStr">
        <is>
          <t>成功</t>
        </is>
      </c>
      <c r="C8721" t="inlineStr">
        <is>
          <t>読み方：よつかど
１四つの角。よすみ。
２二つの道が十字に交わった所。十字路。四つ辻(つじ)。</t>
        </is>
      </c>
      <c r="D8721" t="inlineStr">
        <is>
          <t>四つ角兜</t>
        </is>
      </c>
      <c r="F8721" t="inlineStr">
        <is>
          <t>小さな四つ角</t>
        </is>
      </c>
      <c r="H8721" t="n">
        <v>29</v>
      </c>
      <c r="I8721" t="inlineStr">
        <is>
          <t>音もなく町を行く三人の影は、ふいに大きな四つ角で動きを止めました。；四つ角で赤信号が出たら、青になるまで止まっていなければなりません。；だが四つ角に近づいて見ると、下の妹の部屋も灯がついていなかった。；中心の四つ角の一画は航空機用ジェット・エンジンの整備工場である。；寺の脇を進んでいくとやがて、四つ角に面したカフェが見えてきた。；別のタクシーが、すこし離れた四つ角を左に曲っていくのが見えた。；楓の木がある四つ角で母と別れたのはある種の必然だったと思う。；やがて二人の足音が聞こえなくなると、騎士は四つ角まで行って脇道に入った。；その手からは管飾りをつけた四つ角兜が、地面に落ちて鳴りとどろいた。；お寺へ行くなら駅へ出るよりすぐそこに見えてる四つ角を曲がったほうが早い。；アパートの門を出て一軒おいた四つ角のひとつが、小さな雑貨屋になっている。；ある日、街の四つ角のところで、電車と自動車とが衝突しました。；店のある四つ角まできたとき、向こうの神社の石段が目に入った。；彼方の四つ角で地図を持った士官が二三人の兵隊と何か大声で道の事を訊いていた。；尾張町のもう一つ左の四つ角へ出て、そこを私は新橋の方へ歩いて行きました。；電車もバスもタクシーも、四つ角の赤と青の信号すらも、私たちを黙って通してくれた。；四つ角を二つ通りすぎたところで、キカハはもう一度後ろをふりかえった。；四つ角の交差点などで行われる場合を特に四方合わせと呼ぶ。；自分はいよいよ彼に別れる間際になって、始めて四つ角の隅に立った。；町の四つ角に立って、一人の男の子がうろうろしていました。；ムーランのある道路の曲り角もすぎ、やがて車は小さな四つ角で左折した。；二人はそのとき四つ角の近くまで来ていた。；四つ角を曲がろうとする瞬間に、自分の両目が、いきなり白目をむいた。；店を出て四つ角を一つ通り越すと、大きな銀行の建物があった。；彼女はふり向かずに一番近い四つ角を右の方へ曲って行った。；この四つ角の南側にある建物は、明りがついていないので、ひとは住んでいない様子だった。；黒崎はそのまま進んで、最初の四つ角を左折してすぐに車を停めた。；小使にくっついて行くと四つ角を曲がって和土の廊下を下へ降りた。；その四つ角の兩側に洋服を着た男が一人ずつ立つていた。</t>
        </is>
      </c>
      <c r="J8721">
        <f>HYPERLINK("https://www.weblio.jp/content/四つ角", "词义详情")</f>
        <v/>
      </c>
      <c r="K8721">
        <f>HYPERLINK("https://yourei.jp/四つ角", "查看例句")</f>
        <v/>
      </c>
    </row>
    <row r="8722">
      <c r="A8722" t="inlineStr">
        <is>
          <t>欲求</t>
        </is>
      </c>
      <c r="B8722" t="inlineStr">
        <is>
          <t>成功</t>
        </is>
      </c>
      <c r="C8722" t="inlineStr">
        <is>
          <t>読み方：よっきゅう
［名］(スル)
１強くほしがって求めること。「—を満たす」
２心理学で、生活体に生理的・心理的な欠乏や不足が生じたとき、それを満たすための行動を起こそうとする緊張状態。要求。</t>
        </is>
      </c>
      <c r="D8722" t="inlineStr">
        <is>
          <t>欲求不満；欲求充足；欲求そのもの</t>
        </is>
      </c>
      <c r="E8722" t="inlineStr">
        <is>
          <t>思い；夢；期待；思；希望</t>
        </is>
      </c>
      <c r="F8722" t="inlineStr">
        <is>
          <t>たい欲求；強い欲求；知的欲求；自然な欲求；そういう欲求</t>
        </is>
      </c>
      <c r="G8722" t="inlineStr">
        <is>
          <t>欲求段階説</t>
        </is>
      </c>
      <c r="H8722" t="n">
        <v>29</v>
      </c>
      <c r="I8722" t="inlineStr">
        <is>
          <t>けれどもこういう欲求をいつまでも同じ強い調子で持ちすぎていました。；何故なれば最高の幸福を経験せんとする事は万人の欲求であるからである。；なぜなら、我々自体の必要と、必要に応じた欲求を失わないからである。；そのかれにも欲求があったとすれば、それは自由に出来る仕事である。；私は彼れの要求するものを有ち、彼は私の欲求するものを有っている。；所属欲求とは、その人物が、その集団に所属して生活したい欲求を指す。；人の後天的欲求は、モデルとなる他者によって形成される部分が大きい。；何故ならば、河の有する最大の流速は私の欲求そのものに外ならないから。；労働は彼女にとって、一つの欲求であり、ほとんど一つの楽しみだった。；人々の欲求の対象となり、かつ十分にはないものを社会的資源という。；フレダ殺害の動機も殺したいという欲求があったためだと記していた。；これらの事実はアメリカの内部につよい平和への欲求があることを示している。；私にはとても目あてがないが、知る日の来らんことを欲求して満足しよう。；人間本来の欲求などは始めから彼の文学の問題ではなかつた。；主体の研究にあっては、この欲求の概念が基本的な役割を果たす。；リーダーは常に仕事、チーム、個人の欲求を考慮しなければならない。；顧客の欲求に合った店舗のコンセプトの開発とその改良を行う開発力がある。；人間本来の欲求などは始めから彼の文学の問題ではなかった。；経験の発達した私らには快楽だから欲求することはずいぶんある。；或る欲求を圧抑するという意識なしには、義務も努力も実行されはしない。；行為の根本的な理由は欲求であるが、人間の欲求は単一の原理ではない。；義務にも努力にも、人間の欲求の或る部分の棄捨が予想されている。；けれど私は性の欲求を性欲のほかに認めてそれを肯定したいのです。；山岳派は殆どパリ以外の都市や町の人々の日々の生活や欲求を理解していなかった。；処が理想と呼ばれるものはただ現実にとってのみ欲求の対象であることが出来る。；この欲求があればこそ、これを実行して満足の快楽を生ずるのである。；発生した欲求を解消するために起こす行動は、下記のように分類することができる。；社会の欲求もまたその終極はその生活内部の全体的飽満にあらねばならぬ。；すなわち個人が欲求を持つように、集団にも共通の欲求が存在する。</t>
        </is>
      </c>
      <c r="J8722">
        <f>HYPERLINK("https://www.weblio.jp/content/欲求", "词义详情")</f>
        <v/>
      </c>
      <c r="K8722">
        <f>HYPERLINK("https://yourei.jp/欲求", "查看例句")</f>
        <v/>
      </c>
    </row>
    <row r="8723">
      <c r="A8723" t="inlineStr">
        <is>
          <t>よって</t>
        </is>
      </c>
      <c r="B8723" t="inlineStr">
        <is>
          <t>成功</t>
        </is>
      </c>
      <c r="C8723" t="inlineStr">
        <is>
          <t>読み方：よって
［接］理由を述べた文を受けて、結論を述べる文へ導くのに用いる語。そういうわけで。「優秀な成績を収めました。—これを賞します」</t>
        </is>
      </c>
      <c r="D8723" t="inlineStr">
        <is>
          <t>よって来；よって立つ；よってきたるところ；よっていって；よって余</t>
        </is>
      </c>
      <c r="E8723" t="inlineStr">
        <is>
          <t>ために；よる；為；為に；せいで</t>
        </is>
      </c>
      <c r="F8723" t="inlineStr">
        <is>
          <t>にもよって；よって来る；そやよって；いざりよって；片よって</t>
        </is>
      </c>
      <c r="H8723" t="n">
        <v>29</v>
      </c>
      <c r="I8723" t="inlineStr">
        <is>
          <t>よって確実に起こると予測される事象はごく限られたものとなっている。；よって司令部上陸論ともいうべき主張が司令部内でされるようになった。；よって、王たちはその感謝を目に見える形で表明せねばならなかった。；よって他の職業にあっても常に高い倫理観を持っておかなければならない。；よって、左の円が表す集合に属する元は全て右の円が表す集合に属する。；よって誰が焼いたか、何を焼いたかで法的判断されるべきものではない。；よって高感度の測定のためには、超高真空下で測定しなければならない。；よって、歴史上初の朝鮮人キリスト教徒は彼女であると考えられている。；よって現在でも断片的な説明となるいくつかの仮説が存在するのみである。；よって下記はリコールとして正式に届けられたものではないことに注意。；よって飼育下では一緒に飼う動物の大きさに注意しなければならない。；よって、モデルの中に影響の時間遅れを含ませることが考えられる。；よって、上述の方法ではこれらの成分の分圧を定義することはできない。；よって、日本は遺伝子組換え作物を大量に輸入していると推定されている。；よって内部エントロピーを減少させるメモリの消去の過程が必要となる。；よって、安全のためにナフサのような非反応性の化合物中に保管される。；よって本件のダム設置交付金はその全額が市の純収入となる訳ではない。；よってその権力はきわめて小さく、大統領の補佐機関であるといえる。；よって技術的に未知の部分が多く、幾多の調査研究を経て設計された。；よって必要な場合は、独立した記事を立ててここでは簡便な記述に留める。；よって他人が作成したデータを利用することも可能である。；よって、存在に先行する存在はありえず、存在の後にくる存在もない。；よって、変更でき自由であること、を基本的な方針とするのである。；よって、レギュラー当選時及び放出時には、昇格及び降格は発生しない。；よって、総社方面行きと岡山方面行きの双方が同一ホームに発着している。；よって文化ごとの違いは生活を違った方法で形作る存在の別の経験もたらす。；よって、いかに胴体を鉄棒に近付けることができるかが重要な点となる。；よって、向心力以外の効果は公転していない系の場合の半分となっている。；よって地元に古くから住む人たちなどは、この名称をあまり使いたがらない。</t>
        </is>
      </c>
      <c r="J8723">
        <f>HYPERLINK("https://www.weblio.jp/content/よって", "词义详情")</f>
        <v/>
      </c>
      <c r="K8723">
        <f>HYPERLINK("https://yourei.jp/よって", "查看例句")</f>
        <v/>
      </c>
    </row>
    <row r="8724">
      <c r="A8724" t="inlineStr">
        <is>
          <t>酔っ払い</t>
        </is>
      </c>
      <c r="B8724" t="inlineStr">
        <is>
          <t>成功</t>
        </is>
      </c>
      <c r="C8724" t="inlineStr">
        <is>
          <t>読み方：よっぱらい
ひどく酒に酔った人。よいどれ。「—運転」</t>
        </is>
      </c>
      <c r="D8724" t="inlineStr">
        <is>
          <t>泥酔；酩酊</t>
        </is>
      </c>
      <c r="H8724" t="n">
        <v>29</v>
      </c>
      <c r="I8724" t="inlineStr">
        <is>
          <t>それであたし酔っ払っちゃって、彼にマンションまで送ってもらったの。；けれど、返事もしないで出ていって、帰ったときは酔っ払っていました。；電車の中で酔っ払いにからまれていたところを助けられたのが最初だった。；おれは酔っ払いとカップルでいっぱいの夜の池袋の通りを走りに走った。；あれぐらい前後不覚に酔っ払って良く生き延びていられたものだと思う。；左門は烈火の如く怒ったが、酔っ払いが相手では所詮話にならなかった。；桂子は二百ページのプログラムを見ただけで酔っ払ってしまったのだ。；彼女は大佐がこんなに酔っ払っているのを見ることは初めてだった。；夜ともなれば、一帯は酔っ払ったティーンエイジャーたちに占領される。；ところがただ一人だけが酔っ払っていると、ちょっと嫌な感じになる。；顔も赤いし、目もトロンとしているし、まるで酔っ払っているみたいだ。；バーの隅で仲良く飲んでいた二人に、酔っ払った男が、絡んだんですよ。；さすが饒舌の酔っ払いも、この時ばかりは叫ぶことを忘れていましたね。；驚いてホロの目を見ると、その目は酔っ払っても笑ってもいなかった。；けれども今はまだ日が高く、そして男も酔っ払っているわけではないようだ。；ただの酔っ払って淫らになった女がおれの目の前にいるだけだった。；酔っ払った時のことは、たいてい忘れてるから、こっちは平気なものだ。；二人とも完全に酔っ払っており、ダールが入ってきたのに気づかなかった。；高杉さんは酔っ払っていて、何が起きたのかよく分からなかったらしい。；そのまま二人ともだんだん酔っ払っていき、その内に突然百合が泣き出した。；酔っ払っていて、お園さんの家がどこだったか、さっぱり覚えていない。；いつものことながら、酔っ払って帰った朝はさすがにきまりが悪かった。；あのときは酔っ払って何人かとしちゃったから、誰が父親かなんてわからない。；だが、まさかそんな木の上に酔っ払いがいるとは誰も気が付いてはいなかった。；話してみれば、ゆうべとなりの人が電話をしたとき酔っ払っていた人だった。；今は自分の方こそ酔っ払いのように朝っぱらから路上に座り込んでいる。；気が大きくなっている酔っ払いの口からは、からかいの言葉が飛び出る。；こんな酔っ払いの弱い心の中に何が含まれているかは、知れたことじゃないんだ。；広大な部屋にたむろする男たちのほとんどは、すでに酔っ払っていた。</t>
        </is>
      </c>
      <c r="J8724">
        <f>HYPERLINK("https://www.weblio.jp/content/酔っ払い", "词义详情")</f>
        <v/>
      </c>
      <c r="K8724">
        <f>HYPERLINK("https://yourei.jp/酔っ払い", "查看例句")</f>
        <v/>
      </c>
    </row>
    <row r="8725">
      <c r="A8725" t="inlineStr">
        <is>
          <t>酔っ払う</t>
        </is>
      </c>
      <c r="B8725" t="inlineStr">
        <is>
          <t>成功</t>
        </is>
      </c>
      <c r="C8725" t="inlineStr">
        <is>
          <t>読み方：よっぱらう
［動ワ五（ハ四）］ひどく酒に酔う。泥酔する。「ぐでんぐでんに—・う」</t>
        </is>
      </c>
      <c r="D8725" t="inlineStr">
        <is>
          <t>泥酔；酩酊</t>
        </is>
      </c>
      <c r="H8725" t="n">
        <v>29</v>
      </c>
      <c r="I8725" t="inlineStr">
        <is>
          <t>それであたし酔っ払っちゃって、彼にマンションまで送ってもらったの。；けれど、返事もしないで出ていって、帰ったときは酔っ払っていました。；電車の中で酔っ払いにからまれていたところを助けられたのが最初だった。；おれは酔っ払いとカップルでいっぱいの夜の池袋の通りを走りに走った。；あれぐらい前後不覚に酔っ払って良く生き延びていられたものだと思う。；左門は烈火の如く怒ったが、酔っ払いが相手では所詮話にならなかった。；桂子は二百ページのプログラムを見ただけで酔っ払ってしまったのだ。；彼女は大佐がこんなに酔っ払っているのを見ることは初めてだった。；夜ともなれば、一帯は酔っ払ったティーンエイジャーたちに占領される。；ところがただ一人だけが酔っ払っていると、ちょっと嫌な感じになる。；顔も赤いし、目もトロンとしているし、まるで酔っ払っているみたいだ。；バーの隅で仲良く飲んでいた二人に、酔っ払った男が、絡んだんですよ。；さすが饒舌の酔っ払いも、この時ばかりは叫ぶことを忘れていましたね。；驚いてホロの目を見ると、その目は酔っ払っても笑ってもいなかった。；けれども今はまだ日が高く、そして男も酔っ払っているわけではないようだ。；ただの酔っ払って淫らになった女がおれの目の前にいるだけだった。；酔っ払った時のことは、たいてい忘れてるから、こっちは平気なものだ。；二人とも完全に酔っ払っており、ダールが入ってきたのに気づかなかった。；高杉さんは酔っ払っていて、何が起きたのかよく分からなかったらしい。；そのまま二人ともだんだん酔っ払っていき、その内に突然百合が泣き出した。；酔っ払っていて、お園さんの家がどこだったか、さっぱり覚えていない。；いつものことながら、酔っ払って帰った朝はさすがにきまりが悪かった。；あのときは酔っ払って何人かとしちゃったから、誰が父親かなんてわからない。；だが、まさかそんな木の上に酔っ払いがいるとは誰も気が付いてはいなかった。；話してみれば、ゆうべとなりの人が電話をしたとき酔っ払っていた人だった。；今は自分の方こそ酔っ払いのように朝っぱらから路上に座り込んでいる。；気が大きくなっている酔っ払いの口からは、からかいの言葉が飛び出る。；こんな酔っ払いの弱い心の中に何が含まれているかは、知れたことじゃないんだ。；広大な部屋にたむろする男たちのほとんどは、すでに酔っ払っていた。</t>
        </is>
      </c>
      <c r="J8725">
        <f>HYPERLINK("https://www.weblio.jp/content/酔っ払う", "词义详情")</f>
        <v/>
      </c>
      <c r="K8725">
        <f>HYPERLINK("https://yourei.jp/酔っ払う", "查看例句")</f>
        <v/>
      </c>
    </row>
    <row r="8726">
      <c r="A8726" t="inlineStr">
        <is>
          <t>予定</t>
        </is>
      </c>
      <c r="B8726" t="inlineStr">
        <is>
          <t>成功</t>
        </is>
      </c>
      <c r="C8726" t="inlineStr">
        <is>
          <t>読み方：よてい
［名］(スル)行事や行動を前もって定めること。また、そのことがら。「会議の—を入れる」「旅行は来月に—している」</t>
        </is>
      </c>
      <c r="D8726" t="inlineStr">
        <is>
          <t>予定である(8%)；予定どおり；予定地；予定外；予定表</t>
        </is>
      </c>
      <c r="E8726" t="inlineStr">
        <is>
          <t>計画；考える；設計；企画；配置</t>
        </is>
      </c>
      <c r="F8726" t="inlineStr">
        <is>
          <t>行われる予定；開催予定；当初予定；完成予定；開業予定</t>
        </is>
      </c>
      <c r="G8726" t="inlineStr">
        <is>
          <t>予定地；予定日；予定時刻；予定線；予定調和</t>
        </is>
      </c>
      <c r="H8726" t="n">
        <v>29</v>
      </c>
      <c r="I8726" t="inlineStr">
        <is>
          <t>改称が移転に先行していたり、移転予定が実現しなかったりした例もある。；このため、当初予定した通信実験ミッションのうちいくつかを断念した。；その結果、小学校への導入は当初の予定どおりには実現しなかった。；当初は期間限定使用の予定であったが、その後も引き続き使用されている。；本形式も2023年3月頃に上越新幹線での運用を終了する予定である。；明日の会議は10月30日に空爆か侵攻を行うかで開かれる予定であった。；この映像は今後の計画検討の際などに利用される予定である。；現在までに売却あるいは売却予定の土地は以下の通りである。；名古屋までの総事業費は5兆円あまりで2027年の開業予定である。；以上のような要因で、映画の撮影期間は予定を超えてどんどん延びていった。；ここまで長い運用は当初から予定されたものではなかった。；当初想定されていた戦車の運用法では大量の戦車による集団戦を行う予定であった。；ただし、この時点ではこの詞を交響曲に使用する予定はなかったとされる。；しかし内容の過激さから、予定していた部署からの出版を拒否される。；今中期防においても戦車定数の削減事業は継続される予定となっている。；脱出装置を予定して開発が始まったが、結局実現はしなかった。；そこではV2ロケットの発展型であるA8の開発と量産が予定された。；当面は2045年までの予定とされるが、さらに延長される可能性もある。；道路は経路の説明のためのもので予定地や廃線跡が転用されたものではない。；あまりの体調の悪さに元々予定されていた楽曲を一部カットした。；ロシアが開発を検討していた有人宇宙船でソユーズを代替する予定だった。；また、男の子だったら同じ字でという名前がつけられる予定だった。；ただし、この時点では新京成電鉄側に駅を設置する予定はなかった。；新京成線の駅設置時にも現在の新鎌ヶ谷駅周辺に駅を設置する予定はなかった。；この巡回展は2018年夏頃まで、全国を巡回して行われる予定である。；当初は商業を学ぶ予定だったが次第に「商買の事」から離れていった。；話数は全3話を予定していたが、収まりが悪かったため全4話となった。；当初予定は2011年3月31日までであったが、さらに延長された。；しかし、円谷はこの特撮に満足せず、予定していた大映入社を断念した。</t>
        </is>
      </c>
      <c r="J8726">
        <f>HYPERLINK("https://www.weblio.jp/content/予定", "词义详情")</f>
        <v/>
      </c>
      <c r="K8726">
        <f>HYPERLINK("https://yourei.jp/予定", "查看例句")</f>
        <v/>
      </c>
    </row>
    <row r="8727">
      <c r="A8727" t="inlineStr">
        <is>
          <t>夜中</t>
        </is>
      </c>
      <c r="B8727" t="inlineStr">
        <is>
          <t>成功</t>
        </is>
      </c>
      <c r="C8727" t="inlineStr">
        <is>
          <t>読み方：やちゅう
夜のあいだ。夜間。夜分。</t>
        </is>
      </c>
      <c r="D8727" t="inlineStr">
        <is>
          <t>夜中過ぎ；夜中にこっそり；夜中にふと；夜中近く；夜中に突然</t>
        </is>
      </c>
      <c r="E8727" t="inlineStr">
        <is>
          <t>夜；晩；深夜；夜間；真夜中</t>
        </is>
      </c>
      <c r="F8727" t="inlineStr">
        <is>
          <t>ま夜中；夜中ひそか；夜中眠ら；夜中乍；夜中にふと眼</t>
        </is>
      </c>
      <c r="H8727" t="n">
        <v>29</v>
      </c>
      <c r="I8727" t="inlineStr">
        <is>
          <t>人形町の商店がこの日に限って夜中まで営業するのは当然のことである。；夜なかにあんな騒ぎがあったそれを信じかねるような快晴の朝になった。；この針がとまったのは、昼間の三時でしょうか、夜中の三時でしょうか。；警官や中畑らの協力もあって、螢が無事に戻ったのは夜中のことだった。；これらは夜なか、ぼくたちが空腹になったとき食べるためのものだった。；私が病人であるのを幸いに、夜なかに持ち逃げでもされては大変である。；夜中に一人でその壁を乗り越えて、少年は父を救い出す決心なのである。；ただ夜中になって変てこな物音をたてる生物になってしまったのである。；そこで日中は二名の部下を見張らせ夜中はルパン自身で監視する事にした。；君を有名にしてやろうと思って、わざわざこの夜中に電話をかけたのだよ。；おかあさんは夜なかに、お前がうわ言を言っていたのを聞いていたしね。；元々はアメリカの若者の間での夜中の違法レースが発祥とされている。；ぼくはね、夜なかにときどき起きだして、やつの様子を見ることにする。；そうして、夜なかにも彼が何か呶鳴っているのをよく聞くことがある。；犯人は夜中に侵入し、コレッタがベッドに座っている間に彼女を見つけた。；いったいこの寒い夜中をどんな所にどうして寝ていたのであろうか。；ラムネを取りにやりたれど夜中にて無し、氷も梨も同様なりとの事なり。；夜なかまでには帰ってこよう、夜なかには帰って来るが、勝って帰るぞ。；この少年は又どんなことがあって、こういう嵐の夜中をやって来たのであろう。；眠られぬ夜中の数時間はこの花のためにもどれほどか短くされた。；夜中にほえている声から判断すると相当体躯の大きな堂々たる犬らしい。；セッションは、夜の8時に開始され、終わるのは夜中過ぎだったという。；全くひとりぼっちの気持で、よる夜中、線路の間に突っ立っていたのさ。；そしてそれは多くは夜で、その歸りは大抵夜なかの一時となり二時となる。；自分の時計を見たら、夜中の一時過ぎ、大佐にとっては遅い時間だった。；このXマス近い海の夜中に、上半身裸の彼らが、赤白く光って浮かんだ。；熱があるせいだろう、夜中まで寝られないで、よろよろ歩き廻っている。；夜中を選んだのは畢竟無線電信には夜間の方が故障が少ないためだという。；学校には行かずに夕方まで寝て、夜中は外に遊びに行くといった生活を続けた。</t>
        </is>
      </c>
      <c r="J8727">
        <f>HYPERLINK("https://www.weblio.jp/content/夜中", "词义详情")</f>
        <v/>
      </c>
      <c r="K8727">
        <f>HYPERLINK("https://yourei.jp/夜中", "查看例句")</f>
        <v/>
      </c>
    </row>
    <row r="8728">
      <c r="A8728" t="inlineStr">
        <is>
          <t>世の中</t>
        </is>
      </c>
      <c r="B8728" t="inlineStr">
        <is>
          <t>成功</t>
        </is>
      </c>
      <c r="C8728" t="inlineStr">
        <is>
          <t>読み方：よのなか
１人々が互いにかかわり合って生きて暮らしていく場。世間。社会。「—が騒がしくなる」「暮らしにくい—になる」
２世間の人々の間。また、社会の人間関係。「—はもちつもたれつだ」
「親も友達もないんです。つまり—がないんですね」〈漱石・明暗〉
３世間のならい。
「病気が出るほど嫌な人でも、—にゃ勝たれないから」〈鏡花・化銀杏〉
４当世。その時分。
「入道殿をはじめ参らせて—におはしある人、参らぬはなかりけり」〈古本説話集・下〉
５統治者の在任期間。
「—かはりて後、よろづ物うくおぼされ」〈源・葵〉
６世間的な人望。
「父殿うせ給ひにしかば、—おとろへなどして」〈大鏡・兼通〉
７男女の関係。男女間の情愛。
「歌はよまざりけれど、—を思ひ知りたりけり」〈伊勢・一〇二〉
８人の一生。寿命。
「—の今日か明日かに覚え侍りし程に」〈源・柏木〉
９外界のようす。あたりの自然。
「秋待ちつけて、—すこし涼しくなりては」〈源・御法〉
10作物のできばえ。
「播磨路の—が悪うて」〈浮・織留・五〉</t>
        </is>
      </c>
      <c r="D8728" t="inlineStr">
        <is>
          <t>世の中全体；世の中にこんな；世の中にたった一；世の中そんなに；世の中がいや</t>
        </is>
      </c>
      <c r="E8728" t="inlineStr">
        <is>
          <t>世界；世間；この世；この世界；世論</t>
        </is>
      </c>
      <c r="F8728" t="inlineStr">
        <is>
          <t>広い世の中；そういう世の中；平和な世の中；物騒な世の中；こういう世の中</t>
        </is>
      </c>
      <c r="H8728" t="n">
        <v>29</v>
      </c>
      <c r="I8728" t="inlineStr">
        <is>
          <t>今の世の中をもっと良くするために一人ひとりができることを提案する。；世の中は、みんなが思うようなものではないが、ともかく世の中なんだ。；特に星の存在は大きく、世の中にこんなおかしな人がいるのかと思った。；小さなことからでも、確実に世の中を変えていけると本気で思っている。；僕は世の中のためにならない人間を殺しているつもりだったのかと。；あなたもねえ、テレビと新聞が世のなかの全部だって思うのはやめたら?；インターネットが普及した頃から世の中の仕組みが徐々に変化していった。；神様に指名されて、世の中の役に立てと言われているような気がします。；それともお前は俺しの眼の前に嘘をせんでいい世の中を作ってみせてくれるか。；世のなかにはこういう顔があるということを、彼は知識では知っていた。；殺伐としている世の中、突然自分の子供を奪われる事件は多発している。；葉子は世の中が手ぐすね引いて自分一人を敵に回しているように思った。；世の中には様々な人がいて話す言葉も考え方も人それぞれ異なる。；私は、こんな意味で女が世の中の仕事に関係するのも悪くないと思つてゐる。；けれども世の中にはいろいろな運命があるのではないでしょうか。；多様な加法定理が世の中には存在するが、代表的なものを以下に掲げる。；おれの心を本当に判ってくれるのが、この世の中に何人いるだろうか?；あなたも世の中に文句があり戦う学者 ならば、選挙に出て戦いなさいよ!!；かつて、人々は世の中が自分達の目に見えるものだけが存在すると信じていた。；しかし実際には社会からというよりも世の中からの隔離へと変化してきている。；江戸時代になり、世の中が平和になると各種の花卉園芸が発展していった。；世の中はどうなりつつあるのかをより知りたいと、常に努力する人物であった。；わたしだけは除け物ですけれども、世の中はなかなかよくいっていますわ。；世のなかに、女郎買いの師匠なんてえものがあるわけのもんじゃあない。；第二に女の世の中は今の男の世の中ほど、女に甘いはずはありませんから。；そうして「恩」が世の中をぐるぐる回ってゆくことを指しているとした。；この作品は、理不尽な世の中を初めて知った少年の姿を象徴的に描いている。；世の中には様々な人がおり、様々な意見を持った人と触れ合うことが出来る。；なぜ世の中は自分のようなものをあわれむしかたを知らないのだろう。</t>
        </is>
      </c>
      <c r="J8728">
        <f>HYPERLINK("https://www.weblio.jp/content/世の中", "词义详情")</f>
        <v/>
      </c>
      <c r="K8728">
        <f>HYPERLINK("https://yourei.jp/世の中", "查看例句")</f>
        <v/>
      </c>
    </row>
    <row r="8729">
      <c r="A8729" t="inlineStr">
        <is>
          <t>予備</t>
        </is>
      </c>
      <c r="B8729" t="inlineStr">
        <is>
          <t>成功</t>
        </is>
      </c>
      <c r="C8729" t="inlineStr">
        <is>
          <t>読み方：よび
１必要なときのために、前もって用意しておくこと。また、そのもの。「—に少し余分に買っておく」「—のタイヤ」
２犯罪の意思をもった者が、その実行に着手する直前までにする準備行為。内乱・殺人・強盗・放火など、特に重大な犯罪については処罰される。</t>
        </is>
      </c>
      <c r="D8729" t="inlineStr">
        <is>
          <t>予備知識(6%)；予備車(5%)；予備隊(5%)；予備的(4%)；予備兵力(2%)</t>
        </is>
      </c>
      <c r="E8729" t="inlineStr">
        <is>
          <t>控え；蓄積；蓄え；貯え；備蓄</t>
        </is>
      </c>
      <c r="F8729" t="inlineStr">
        <is>
          <t>予備日；予備動作；予備品；予備カード；予備弾倉</t>
        </is>
      </c>
      <c r="G8729" t="inlineStr">
        <is>
          <t>予備校；予備選挙；予備軍；予備予選；予備選</t>
        </is>
      </c>
      <c r="H8729" t="n">
        <v>29</v>
      </c>
      <c r="I8729" t="inlineStr">
        <is>
          <t>このため予備知識がない地域では乗り入れの情報に注意する必要がある。；八高線の予備車も兼ねていたが、実際に運用されたことはほとんどない。；彼らの絵を見る際には予備知識が必要ないから好きだと話している。；予備の編成がないため、検査や故障の場合はE129系が代走していた。；機体を予備機へと変更したい場合は変更前の機体を破棄しなければならない。；その一方、予備知識を持たない興味本心だけの参加者の増加もしている。；調達価格は整備用工具や予備消耗部品が含まれた総合価格となっている。；予備車的な扱いだった400形と異なり、500形と共通に運用される。；これは当時から部品共通化の思想からガラス予備品の共通化を狙ったとされている。；日本軍には豊富な予備隊があるに違いないと判断したのである。；予備実験の段階で注意すべきことを箇条書きにすると、以下のようになる。；予備のためのサブグリーンはプレーが禁止される修理地として扱われる。；戦闘時には銃の脇に予備銃身をおき、時々交換して冷却しながら使用した。；これを解決するため、2017年から新たな予備投票制度が採用された。；専用の予備弾入れなどは確認されていないが、収納ケースに弾納部がある。；当初から専用編成に予備がない関係で臨時列車として運行されている。；また、副都心線の8両編成の予備車は10両編成車と共通とされている。；全106曲といくつかの予備練習で構成されており、題名などはない。；阪神が関与しない試合は、いずれか次のうち自社で予備カードを設定する。；移動スケジュールの都合から予備日が設定されない場合もあった。；なお、予備車の関係でそれ以降も8両編成で運転した事例が複数存在する。；予備報告書では、パイロットと管制官の両方に問題があったと述べられた。；第4軍は戦略予備とされたが、実質的に第3軍を補佐する位置にあった。；このため両機は予備機なしで0泊3日の往復飛行をこなすこととなった。；しかし動翼が大型化したことで予備系の操縦索は非常に重くなったという。；当初は専用車に予備がなかったため臨時列車として運転されていた。；中学科は間もなく中学師範予備科と改称され、1880年に卒業した。；開業時にはそれぞれ8編成、12編成で運用され、残りは予備運用となる。；なお、太平洋戦争末期には改正され、正規・予備員のそれらは統一された。</t>
        </is>
      </c>
      <c r="J8729">
        <f>HYPERLINK("https://www.weblio.jp/content/予備", "词义详情")</f>
        <v/>
      </c>
      <c r="K8729">
        <f>HYPERLINK("https://yourei.jp/予備", "查看例句")</f>
        <v/>
      </c>
    </row>
    <row r="8730">
      <c r="A8730" t="inlineStr">
        <is>
          <t>呼び掛ける</t>
        </is>
      </c>
      <c r="B8730" t="inlineStr">
        <is>
          <t>成功</t>
        </is>
      </c>
      <c r="C8730" t="inlineStr">
        <is>
          <t>読み方：よびかける
［動カ下一］［文］よびか・く［カ下二］
１声をかけて相手の注意をこちらに向けさせる。「垣根越しに—・ける」
２人々に参加や協力などを要請・勧誘する。「署名を—・ける」</t>
        </is>
      </c>
      <c r="D8730" t="inlineStr">
        <is>
          <t>話しかける；呼びかける；語りかける；呼び止める；話し掛ける</t>
        </is>
      </c>
      <c r="H8730" t="n">
        <v>29</v>
      </c>
      <c r="I8730" t="inlineStr">
        <is>
          <t>小学校6年生までの子供とその保護者の同伴での利用を呼び掛けている。；二つに折れたのをそのまま三千代の前に置いて、奥さん、と呼び掛けた。；このような呼び掛けは、ラジオでまた空からのビラで頻繁に行われていた。；公のものとしてこの日を承認するようへの呼び掛けが行われている。；タミエを殺しはしなかったが殺しかけた男は、呼び掛けても現れない。；西の国々はリヴァ王の呼び掛けがあればいっせいに兵を起こすでしょう。；ところが今、その惑星の住民たちが助けを求めて呼び掛けてきたのだ。；スレイマンに呼び掛ける声は、本部前に止められた指揮車からのものだ。；ところで他が自己に呼び掛けるというのは他が表現的なものであるからである。；ミートホープで知人の家族が働いていた大仁田厚の呼び掛けで実現した。；前日に大久保警視が置いた果物籠をもって内部の犯人に呼び掛けだした。；メンバーは街に出てのべ60時間にわたり企画への協力を呼び掛けた。；前と同じようにこの呼び掛けも、私自身が繰り返してやらねばならなかった。；勿論、自分に呼び掛けたのではない、この煙草の火に気がついたわけでもない。；そしてもう一台の車に乗り込み、荷台に立って真由美たちへ呼び掛けた。；プロジェクトのホームページで活動の様子を紹介し賛同を呼び掛けていく。；重範は天皇の呼び掛けに応じて集まった約二千五百人の総大将をつとめた。；その前に、近所の若い娘達に注意を呼び掛けなければならない。；その呼び掛けに対する答として我々の行為は客観的な意味をもっている。；中には自治体のサイトで注意を呼び掛けている例もある。；その為、国内全域に渡って渡航の中止を求める呼び掛けが続いている。；二つに折れたのを其儘三千代の前に置いて、奥さん、と呼び掛けた。；デュボイスの記事は反リンチ運動を支持するように呼び掛けるものであった。；思えば、この名を口にするのは、彼女に向かって呼び掛けるのは初めてのことです。；女の声が私に呼び掛けたがそれは彼女ではなかった。；そーすると、俺の必死の呼び掛けとかは滑稽以外の何物でもないワケで。；手を振って市民に呼び掛けたところ、数千人の市民から歓迎の声が上がった。；伊勢殿がそれを開いて眼を通している間に姫に呼び掛けた。；無残な戦闘に危機感を感じたが仲裁に動いて労働者に降伏を呼び掛けられた。</t>
        </is>
      </c>
      <c r="J8730">
        <f>HYPERLINK("https://www.weblio.jp/content/呼び掛ける", "词义详情")</f>
        <v/>
      </c>
      <c r="K8730">
        <f>HYPERLINK("https://yourei.jp/呼び掛ける", "查看例句")</f>
        <v/>
      </c>
    </row>
    <row r="8731">
      <c r="A8731" t="inlineStr">
        <is>
          <t>呼び方</t>
        </is>
      </c>
      <c r="B8731" t="inlineStr">
        <is>
          <t>成功</t>
        </is>
      </c>
      <c r="D8731" t="inlineStr">
        <is>
          <t>呼び方も用いられる</t>
        </is>
      </c>
      <c r="E8731" t="inlineStr">
        <is>
          <t>名；名前；名称；呼称；愛称</t>
        </is>
      </c>
      <c r="F8731" t="inlineStr">
        <is>
          <t>そんな呼び方；さまざまな呼び方；そういう呼び方；正式な呼び方；同じ呼び方</t>
        </is>
      </c>
      <c r="H8731" t="n">
        <v>29</v>
      </c>
      <c r="I8731" t="inlineStr">
        <is>
          <t>この呼び方をセールスポイントにしている店や書籍も多数存在している。；これは単に呼び方の問題だけではなく、その主題の性格も表している。；歴史が古いことや葉の形から、地方では様々な呼び方がされている。；つまり造都当時は平安京の普段の呼び方が定まっていなかったのである。；また、雲が消えて雨だけが降る状態から、雨を涙と喩えた呼び方もある。；内臓はより狭い概念で、体の内部に位置するものだけを指した呼び方。；名称からわかるように姫+cutの呼び方は現代につけられたものである。；へそ天とは、猫や犬などの動物が仰向けになって寝る姿の呼び方の一種。；個人心理学が正式な呼び方であるが、日本ではあまり使われていない。；JSLでこのような呼び方をされていたものは以下のものがある。；実際のベッドの大きさやその呼び方は、国や企業などによって異なる。；Wホテルでは、部屋やレストランの呼び方など独自の呼び方をしている。；これらの熱帯低気圧が地理的な境界線を越えた場合は呼び方が変わる。；全く別の事件であるが、同じ呼び方のため混同しやすく、注意を要する。；この呼び方は著書の中で頻繁に使われ、好事家の間で普及している。；加えて、その機器の種類に応じて呼び方が違っている場合もある。；市内では単に「市民病院」といえば当院を指した呼び方であることが多い。；彼女は自分で名乗ることはなく、その呼び方に満足しきっているようだった。；また同じ呼び方でも地方により形を全く異にするものなどあって複雑である。；それ以外の呼び方については、時代や地域によってかなり出入りがある。；郡は大化の改新以後の区画の呼び方であるが、以下では場所の名前とする。；単なる地元での呼び方の違いに過ぎないと換言することもできる。；ブリーダーや個人により呼び方は様々だが、主に以下のような種類がある。；しかしバンド自身はこの呼び方が嫌いで、分類されること自体好まなかった。；住民の気持ちからすれば、「呼び方を変えるべきではないか」との声である。；また登場人物の一人称も一部異なった呼び方になったことがある。；中国語では書皮と表記するため、「書皮」という呼び方をすることがある。；中国の言語の多様さのために、中国での麺の呼び方は複雑である。；類似の呼び方でシャークフィンアンテナと呼んでいるメーカーもある。</t>
        </is>
      </c>
      <c r="J8731">
        <f>HYPERLINK("https://www.weblio.jp/content/呼び方", "词义详情")</f>
        <v/>
      </c>
      <c r="K8731">
        <f>HYPERLINK("https://yourei.jp/呼び方", "查看例句")</f>
        <v/>
      </c>
    </row>
    <row r="8732">
      <c r="A8732" t="inlineStr">
        <is>
          <t>予備校</t>
        </is>
      </c>
      <c r="B8732" t="inlineStr">
        <is>
          <t>成功</t>
        </is>
      </c>
      <c r="C8732" t="inlineStr">
        <is>
          <t>読み方：よびこう
上級の学校、特に大学への進学希望者に、入学試験準備のための教育をする各種学校。</t>
        </is>
      </c>
      <c r="D8732" t="inlineStr">
        <is>
          <t>予備校時代；予備校生活；予備校通い；予備校業務</t>
        </is>
      </c>
      <c r="E8732" t="inlineStr">
        <is>
          <t>塾；学習塾</t>
        </is>
      </c>
      <c r="F8732" t="inlineStr">
        <is>
          <t>受験予備校；専門予備校；同じ予備校；高等予備校；大学予備校</t>
        </is>
      </c>
      <c r="G8732" t="inlineStr">
        <is>
          <t>予備校生；予備校ブギ；予備校文化</t>
        </is>
      </c>
      <c r="H8732" t="n">
        <v>29</v>
      </c>
      <c r="I8732" t="inlineStr">
        <is>
          <t>帰国後、職のない私に友人が予備校の英語の先生の職を世話してくれた。；予備校行ったり宿題したりするのは暇で暇で他にやることがないからよ。；近くの戦士通りにある予備校を掃除する婦人たちが住んでいる家である。；予備校に通っていたのは、終戦の年の十月頃から翌年の末までだからね。；父親が重体なので面倒をみなくてはならないと予備校には説明した。；大学卒業後も他大学受験の口実のもと予備校に通いながら執筆していた。；その後二年間に渡り、キャンパスは男子向けの予備校として使用された。；ある時期から次女がふさぎこむようになり、予備校にも行かなくなった。；といっても、それは彼女たちが予備校を出て、大学に入ったあとのことだ。；多くの部屋に分割された予備校の未知だった空間のひとつがこれで消えたわけだ。；予備校での講師の仕事を辞めたことで、安定した収入を得ることを諦めた。；講師控室で、俺を予備校に迎えてくれた知人のレシドにそう言ってみた。；おまえはいまは予備校と家を往復しているだけの生活だろう。；試験会場は国内ほとんどの大学が主となるが、一部の高校や予備校でも行われる。；名の由来は、1976年に大手予備校がこの地に移転してきたことに始まる。；中学予備校で学び、1886年には友人と一緒に演奏会を開いている。；これは多くの学生が利用する民間予備校に代わる無償のプログラムである。；長崎県には県の外郭団体が運営する予備校が2010年度末まであった。；そういえば昔の予備校にも、こういうタイプの先生がいたものだ。；この予備校で、大事な話が彼のところに持ち込まれるようなことはまずない。；私は予備校の勉強も夏休みごろから中だるみのような状態になっていました。；試験会場は各地域の学習塾教室・予備校を中心に、全国・海外で展開していた。；そこには付属の予備校があり、フィリップはここに入れられることになった。；試験会場は各地域の学習塾教室・予備校を中心に、全国・海外で展開している。；予備校では講師ごとに様々なスタイルを展開しているため、決まった形は存在しない。；スイスの学校に在学し、アメリカに戻った後の1年は予備校に通った。；また、大手予備校は独自の出版部・出版社を有している場合がある。；学校が舞台の場合も大学や予備校であることがハッキリと分かるように描写されている。；みな予備校の教室をそっくりここへ移してきたような歳恰好だ。</t>
        </is>
      </c>
      <c r="J8732">
        <f>HYPERLINK("https://www.weblio.jp/content/予備校", "词义详情")</f>
        <v/>
      </c>
      <c r="K8732">
        <f>HYPERLINK("https://yourei.jp/予備校", "查看例句")</f>
        <v/>
      </c>
    </row>
    <row r="8733">
      <c r="A8733" t="inlineStr">
        <is>
          <t>呼び捨て</t>
        </is>
      </c>
      <c r="B8733" t="inlineStr">
        <is>
          <t>成功</t>
        </is>
      </c>
      <c r="C8733" t="inlineStr">
        <is>
          <t>読み方：よびすて
《「よびずて」とも》人の名を「君」「様」「さん」などの敬称をつけずに呼ぶこと。よびつけ。「部下を—にする」</t>
        </is>
      </c>
      <c r="H8733" t="n">
        <v>29</v>
      </c>
      <c r="I8733" t="inlineStr">
        <is>
          <t>日本では単に呼び捨てにすることが軽蔑の目的になるという特徴もある。；名前を呼び捨てにされるのはいい気分ではないが、文句をいったことはない。；呼び捨てにするのは、彼がここに居候をしていたころからの習慣であった。；呼び捨てにすべき人物だと考えなければ、さん、と付け加えそうだった。；いきなり名前を呼び捨てだったが、ジュウは袋を開けて桜に返してやった。；誰に聞いても、みなアキラのことを呼び捨てにするやつはいなかった。；私はこうなって来ると、この人を呼び捨てにする体力なんてないんです。；しかも会ってすぐだってのに、俺のことは呼び捨てになっているし。；尤夫人の名を呼び捨てにして、この漢はどういう関わりがあるのだろう。；宮沢さんの場合、呼び捨てにしたほうが敬意がこもってる感があるよね。；最初驚いたのは子供らがお互の名を呼び捨てにすることであった。；女隠居は娘を雪さんと呼び、息子だけは清太郎と呼び捨てにしていた。；本人が聞いていないとはいえ、祐美は年上の男を呼び捨てにしたのだ。；だいたい五十以上の人は、信玄と呼び捨てにすると気を悪くしますよ。；確かに、一番最初祥子を呼び捨てにするのには相当の勇気がいった。；そのいっぽうで死亡して年月がたつと慣例上呼び捨てにする場合も多い。；また宮本のみ、彼を公の場で共演する際にも呼び捨てにしている様子が見られる。；それにしても、店で若子と呼び捨てにされたのは、はじめてのことである。；最初からうさぎを呼び捨てし、後半まで仲間を戦士名で呼んでいた。；伯爵はこんな男が公爵夫人のことを呼び捨てにするのに驚いた。；のぞみたちを呼び捨てで呼んでいるが、人間態では変えることもある。；事務所の先輩で、土田より年上の上島竜兵を呼び捨てで呼ぶときがある。；もともと彼はおげ丸を呼び捨てにしかねまじきところがあった。；いつから名前を呼び捨てにするようになったのだろう。；呼び方なんて桜の自由だし、わたしだって桜って呼び捨てにしてるし。；だから、やはり歳の近い男に名前を呼び捨てで呼ばれるのは恥ずかしいのだろう。；いきなりの呼び捨てといい、かなりフレンドリーなタイプみたいだな。；そこへいくと、僕なんか、伊豆を呼び捨てに出来たもんじゃありませんがね。；けれども実際にフルネームで呼び捨てにしてみると、ずいぶん奇妙な感じがした。</t>
        </is>
      </c>
      <c r="J8733">
        <f>HYPERLINK("https://www.weblio.jp/content/呼び捨て", "词义详情")</f>
        <v/>
      </c>
      <c r="K8733">
        <f>HYPERLINK("https://yourei.jp/呼び捨て", "查看例句")</f>
        <v/>
      </c>
    </row>
    <row r="8734">
      <c r="A8734" t="inlineStr">
        <is>
          <t>呼び出す</t>
        </is>
      </c>
      <c r="B8734" t="inlineStr">
        <is>
          <t>成功</t>
        </is>
      </c>
      <c r="C8734" t="inlineStr">
        <is>
          <t>読み方：よびだす
［動サ五（四）］呼んで来させる。「近くの店へ—・す」「裁判所に—・される」</t>
        </is>
      </c>
      <c r="D8734" t="inlineStr">
        <is>
          <t>呼ぶ；動員；招集；召集；召喚</t>
        </is>
      </c>
      <c r="H8734" t="n">
        <v>29</v>
      </c>
      <c r="I8734" t="inlineStr">
        <is>
          <t>相手の心にないものを呼び出すことはおそらく魔女にもできないだろう。；依頼の終了処理が行われている場合は当モジュールは呼び出されません。；すべてはアイヴァスを呼び出すことを容易にするように設計されている。；公開すべき仕様上の機能を呼び出す機構はインターフェースと呼ばれる。；直接行かずに呼び出すことにしたのは、義母に会いたくなかったからだ。；作業員達はどのような仕事を行うか伝えられずに軍の基地に呼び出された。；ただし召喚獣は階を移動すると消え、呼び出すたびに元気が消費される。；お鳥は女中を一人片蔭へ呼び出すと、暗いところで立ち話をしはじめた。；隼人も呼び出そうともしないで、自分で戸棚をあけて着物を出している。；ところが、呼び出された受賞者中、私の名はなかなか出てこないのです。；授業時間中に呼び出されたこともあれば、学校で事件が起こったこともある。；そこで庭で火を焚いて、夫人の方を庭へ呼び出そうと考えたんですな。；メキシコ・ツァー中だった彼女は、急遽に呼び出されての出場となった。；そして、わざわざ彼を電話で呼び出す気になったわけがはっきりとして来た。；丁宮が三公のひとつである司徒に昇進した時、士壱は都に呼び出された。；また、別ファイルにコードを記載し、それを呼び出すことも可能である。；ホテル内にいる剣持を呼び出すには、フロントを通じなくてはならない。；では遠慮なく、外で監視を続けているモノども以外を呼び出すとしよう。；明さんを呼び出すのに、亘君をだしに使ってるのはあなたじゃないですか。；さてこの絵を探すためになぜ私が呼び出されたのかわからなかった。；彼は馬を休ませておいて、その間に無電でイリヤを呼び出すことにした。；やがて彼らはある日姿を消し、その翌日杉村は呼び出されたのである。；ポケットから携帯電話を取り出し、登録したばかりの番号を呼び出す。；ちょうど、きみを呼び出そうと、スイッチに手を置いたところだったんだ。；だが、細かい決定にいちいちお前を呼び出すことは意識して避けている。；わざわざ池へ呼び出すなんて、屋敷では言えないことなのだろうか。；その中からどうやって現実に兄を呼び出すことができるだろう。；あなたがどんな方法で、どんな精霊を呼び出すのかは知りませんがね。；われわれの調査の進行状況如何では、お前をまた呼び出すかもわからない。</t>
        </is>
      </c>
      <c r="J8734">
        <f>HYPERLINK("https://www.weblio.jp/content/呼び出す", "词义详情")</f>
        <v/>
      </c>
      <c r="K8734">
        <f>HYPERLINK("https://yourei.jp/呼び出す", "查看例句")</f>
        <v/>
      </c>
    </row>
    <row r="8735">
      <c r="A8735" t="inlineStr">
        <is>
          <t>呼び止める</t>
        </is>
      </c>
      <c r="B8735" t="inlineStr">
        <is>
          <t>成功</t>
        </is>
      </c>
      <c r="C8735" t="inlineStr">
        <is>
          <t>読み方：よびとめる
［動マ下一］［文］よびと・む［マ下二］声をかけて止まらせる。「帰ろうとした友人を—・める」</t>
        </is>
      </c>
      <c r="D8735" t="inlineStr">
        <is>
          <t>呼びかける；呼び掛ける；呼びとめる</t>
        </is>
      </c>
      <c r="H8735" t="n">
        <v>29</v>
      </c>
      <c r="I8735" t="inlineStr">
        <is>
          <t>俺が足を止めたのは、廊下の途中で晶穂の姉に呼び止められた時だけだ。；一台の貸馬車が呼び止められて、父と娘とはそれに乗って去って行った。；ドクの息子が酒をもらう列に並ぶ中隊員のひとりに呼び止められたのだ。；かれはこの一件を話すがために知らぬ人を呼び止めたほどであった。；次の日の帰り、マンションの前で、友達のお母さんから呼び止められた。；しかしなんの理由もなく歩いていたら警察に呼び止められるだろう。；無理に呼び止め、誤解を解いてまで、する話がないのに気づいたからだ。；夜になると再び街へ出たものの、そこで街路清掃員らに呼び止められた。；襖を開いて廊下に出で、床に瞳を注いだが、その眼を上げて呼び止めた。；その晩、私が隣りの側室へ寝に行こうとした時、彼女は私を呼び止めた。；経験のある人々は、哨兵に呼び止められた時の応答のしぶりを説明する。；三越の横を空車で流しているところを、その男に呼び止められたんです。；「あの」 呼び止めたまではいいけれど、すぐに言葉が出てこなかった。；けれども、相手の方は、呼び止められれば当然なんの用かと思うだろう。；通りの半分くらいまで来たところで兵士の一人に呼び止められた。；ところが、事務所へ通じる道に入ると、聞き慣れた声に呼び止められた。；彼は作業員のひとりを呼び止めて、何が行なわれているのかを尋ねた。；元はドアだったらしい場所を通りかけたところで、背後から呼び止められた。；口を開きかけて、軽く振った手の動きは呼び止めるようなかたちになった。；それを終えて準備室に戻る途中、事務室の前で職員に呼び止められた。；東京駅前の大通りへ出ると、折よく通りかかったタクシーを呼び止めた。；自宅の門をくぐろうとした僕を、身の毛もよだつような声が呼び止めた。；教室を急いで飛び出し掛けた祐巳を、クラスメイトの一人が呼び止めた。；すぐにも立ち去ろうとする彼女を、僕は藁にもすがる思いで呼び止めた。；僕たちを呼び止めた大那の激昂ぶりは、不自然というよりも異常だった。；門の黒い影が見える辺りで娘は三人の兵らに呼び止められた。；車を呼び止めて、娘をホテルの食堂に連れて行き、早い昼飯を食べさした。；ちょうど私の手前にハンソムがあったので、やつはそれを呼び止めまして。；「子竜どの」 趙雲は矢に当たって死にかけている兵に呼び止められた。</t>
        </is>
      </c>
      <c r="J8735">
        <f>HYPERLINK("https://www.weblio.jp/content/呼び止める", "词义详情")</f>
        <v/>
      </c>
      <c r="K8735">
        <f>HYPERLINK("https://yourei.jp/呼び止める", "查看例句")</f>
        <v/>
      </c>
    </row>
    <row r="8736">
      <c r="A8736" t="inlineStr">
        <is>
          <t>呼ぶ</t>
        </is>
      </c>
      <c r="B8736" t="inlineStr">
        <is>
          <t>成功</t>
        </is>
      </c>
      <c r="C8736" t="inlineStr">
        <is>
          <t>読み方：よぶ
［動バ五（四）］
１相手に向かって声をあげて名前などを言う。「『おい』と—・ぶ」「—・んでも答えがない」
２声をあげてこちらに来させる。「助けを—・ぶ」「食事だと母が—・んでいる」
３客として招待する。まねく。「クラス会に先生を—・ぶ」
４呼び寄せる。来てもらう。「タクシーを—・ぶ」「医者を—・ぶ」「国元から親を—・ぶ」
５名づけて言う。称する。「年上の友人を兄と—・ぶ」
６引き寄せる。集める。「人気を—・ぶ」「波乱を—・ぶ」
７妻としてめとる。
「あなたこなたより—・べといふ者は」〈虎明狂・伊文字〉
[可能]よべる</t>
        </is>
      </c>
      <c r="D8736" t="inlineStr">
        <is>
          <t>呼ぶべき(2%)；呼ぶ事；呼ぶよう命じ；呼ぶ数少ない；呼ぶ窯場があり</t>
        </is>
      </c>
      <c r="E8736" t="inlineStr">
        <is>
          <t>いう；と呼ぶ；命名；生じる；悲鳴</t>
        </is>
      </c>
      <c r="F8736" t="inlineStr">
        <is>
          <t>こう呼ぶ；何と呼ぶ；指して呼ぶ；なんと呼ぶ；略して呼ぶ</t>
        </is>
      </c>
      <c r="G8736" t="inlineStr">
        <is>
          <t>呼ぶ子</t>
        </is>
      </c>
      <c r="H8736" t="n">
        <v>29</v>
      </c>
      <c r="I8736" t="inlineStr">
        <is>
          <t>この電圧が次第に低くなっていく各段階のことを電圧階級と呼んでいる。；特にその深刻さを強調する場合には、教育病理または教育危機とも呼ぶ。；データは表に似た構造で管理されるが、関係と呼ぶ概念でモデル化される。；現在知られている大陸とは別に、別な観点に立った大陸と呼ぶ対象もある。；日本の近代以前の歴史上の戦争を題材とした場合は通常時代劇と呼ばれる。；江戸時代以前に成立した伝統的なものを人形芝居と呼んで区別することも。；かわりに主流となっていたものが電子ゲームと呼ばれるものであった。；日本考古学が遺跡と遺構を呼び分けはじめたのは30数年前以来である。；コロイドが持つ特徴的な性質を理解する分野はコロイド化学と呼ばれる。；また多くの宗教で霊と呼ばれる形態の生物の存在を想定している。；trans型のものを特にトランス脂肪酸と呼んで区別することがある。；妻の律子は不在で、外に向かって助けを呼ぼうとしたが声が出なかった。；小数点より左を整数部と呼んで、右から一の位、十の位の数を記述する。；これをダミーと呼び、そのカードは主となる側が指定して出すことになる。；この時代のものをオペレーティングシステムとは呼ばない場合もある。；このような状態で見える水の色を、日本語ではそのまま水色と呼んでいる。；表水層と深水層との間には水温躍層と呼ばれる温度変化の大きい層がある。；この立春のない年を盲年と呼び、結婚には不向きであるとの伝承がある。；言葉や能力の定義を厳密に定めた総合ルールと呼ばれるものがある。；これを低血量性ショックと呼び、もっとも多く見られるショックである。；その後、S波が到達した後は主要動と呼ばれる比較的大きい揺れとなる。；それを無と呼ぶのは当を得ていないが、それを無と呼ばずしてなんと呼ぼう。；一般に1シーズンの間、この3競走すべてに優勝した馬を三冠馬と呼ぶ。；展示だけではあったものの当時は珍しかった外車も並べられ話題を呼んだ。；北海道ではストーンサークルが多く発掘され考古学上議論を呼んでいる。；また軍用機のうち武装を持つものを戦闘用航空機と呼んで区別する。；必要なときは、毎年年初に就任する2名の執政官の名前を並べて呼んだ。；隣室にひかえているはずの宿直の者を呼ぼうとさえしなかったのである。；仏のことをヴィパーカ・カーヤと呼び、報身とするのはこの理由による。</t>
        </is>
      </c>
      <c r="J8736">
        <f>HYPERLINK("https://www.weblio.jp/content/呼ぶ", "词义详情")</f>
        <v/>
      </c>
      <c r="K8736">
        <f>HYPERLINK("https://yourei.jp/呼ぶ", "查看例句")</f>
        <v/>
      </c>
    </row>
    <row r="8737">
      <c r="A8737" t="inlineStr">
        <is>
          <t>夜更かし</t>
        </is>
      </c>
      <c r="B8737" t="inlineStr">
        <is>
          <t>成功</t>
        </is>
      </c>
      <c r="C8737" t="inlineStr">
        <is>
          <t>読み方：よふかし
［名］(スル)夜遅くまで起きていること。「読書に夢中でつい—する」</t>
        </is>
      </c>
      <c r="H8737" t="n">
        <v>29</v>
      </c>
      <c r="I8737" t="inlineStr">
        <is>
          <t>明日は士郎の学校は休校になるというし、たまには夜更かしも悪くない。；このあたりはみんな夜更かしさんなのか、どこも明かりがついている。；あの頃は夜更かしをするにしても、ある程度明確な理由があった。；商売している間は、夜更かしはする、酒は呑む、体を壊す一方だからね。；私はどうかして夜更かしをせず早起きをして、仕事をして行きたいと思います。；夜更かしするのはこんなにいい部屋に住んでるからじゃない?；つまり、二〇〇人のうちの一二〇人は夜更かしができるのだ。；こんなところで夜更かしをする暇があるなら、早く帰って休まれたらどうだ。；ゆうべ雪のなかを夜更かししたもんですから鼻っ風邪をひいたらしい。；ほかに取り柄はないのだが、私は夜更かしにだけは自信があった。；夜更かしをする連中がよくこの場所にたむろしているのだが、今夜はその姿もない。；この女は本気で、俺が勉強を頑張るあまり夜更かししていると思っているのだ。；そしてあたしの読んだ本が夜更かしから帰るべき本棚の前には、目を引く先客。；しかし姉が夜更かしだったことを思い出していた。；だが一流モデルは夜更かししない、という話は本当のことのようだ。；束にある小さな地面の灯りは、さくらの国の、夜更かしをしている誰かか。；そこまで夜更かしして何をやっていたのか。；思った通り夜更かしの古本屋はまだ起きているようだった。；副住職の夜更かしはいつものことだが、今日は池辺を待って起きていたのかもしれない。；夫の内蔵助がどのようなことで夜更かしするか、まるで関心のないりくであった。；夜更かしのせいだろう、全体に怠惰な感じを身につけている。；昼間は盛り場だし、この辺りに夜更かしの店は多いので、誰も怪しむ者はない。；夜更かしでもしたのか、二日酔いか、と思ってたらあれでしょう。；「ほら、早く寝ないと」 母が夜更かしをしている子供たちを諫める。；これも、昨夜の夜更かしのせいだろう、眠気がまだとれないのだ。；闇だけはおなじだから、つい夜更かしするようになった。；夜更かしの母は多分隣の部屋で本でも読んでいるだろう。；見たい番組があり、そのために夜更かしをしていた。；夜更かしの通行人でもいてくれればと思うのだが、残念ながらそんなものは存在しない。</t>
        </is>
      </c>
      <c r="J8737">
        <f>HYPERLINK("https://www.weblio.jp/content/夜更かし", "词义详情")</f>
        <v/>
      </c>
      <c r="K8737">
        <f>HYPERLINK("https://yourei.jp/夜更かし", "查看例句")</f>
        <v/>
      </c>
    </row>
    <row r="8738">
      <c r="A8738" t="inlineStr">
        <is>
          <t>夜更け</t>
        </is>
      </c>
      <c r="B8738" t="inlineStr">
        <is>
          <t>成功</t>
        </is>
      </c>
      <c r="C8738" t="inlineStr">
        <is>
          <t>読み方：よふけ
夜がふけたこと。また、その時分。深夜。</t>
        </is>
      </c>
      <c r="D8738" t="inlineStr">
        <is>
          <t>深夜；真夜中；夜分；夜遅く；丑三つ時</t>
        </is>
      </c>
      <c r="F8738" t="inlineStr">
        <is>
          <t>寒い夜更け；そんな夜更け；静かな夜更け</t>
        </is>
      </c>
      <c r="G8738" t="inlineStr">
        <is>
          <t>夜更けのバラッド</t>
        </is>
      </c>
      <c r="H8738" t="n">
        <v>29</v>
      </c>
      <c r="I8738" t="inlineStr">
        <is>
          <t>夜更けには二人とも、もはや切っても切れぬ仲という気持になっていた。；京都の秋の星の夜更けだったから特に深さが加えられたのかとも思うが。；じっとしていたために彼は、夜更けの冷気にがたがたと震えていたのだ。；仕事の後にスナックやバーでマジックを夜更けまで披露するようになる。；この夜更けに庭からの訪客はなるほど蒲生泰軒をおいてあり得なかった。；友達が先へ帰ってからも、かなりを飲んで駕籠に乗ったのが夜更けだった。；こんな夜更けに目を覚ましたのは、彼女にしてはめずらしいことだった。；問題の夜、彼が夜更けにもどったことに気づいたものはひとりもいなかった。；どんな思いをもって、夜更けのモスクヷの道を自分の書斎へ帰ったろう。；この夜更けにどうした人であろうと思って、見るともなしにそれに眼をやった。；こんな夜更けに、彼の性欲のために躯を動かすのはいやだと思ったのだ。；いくらなんでも、こんな夜更けに公安はあとをつけて来やしないだろう。；こんな夜更けにお訪ねするなんて、よくよくなことが起きたからなんですわ。；夜更けに門をたゝいて、自分だけの感情をわざわざ當り散らせに來る男。；夜更けに以前彼女が住んでいた町にたどり着いたのは9月10日であった。；こんな夜更けに父が訪れたことなど、記憶にあるかぎり一度もない。；医師が心配ないと言って、奉公人すらも眠ってしまっている夜更けだった。；夜更けにやっと着いた最初の大きな街でも、その豊かさに驚かされた。；外へ出てみると、この夜更けに長持を持った少女が一人泣いているのである。；歩兵砲の中里小隊が到着したのは、その日の夜更けになってからである。；産気づいたのは夜更けのことで、家には二歳の夕子と私しかいなかった。；それに先生を訪問すると日中行つても、晩方行つても必ず夜更けまで居る。；こんな夜更けに人を呼び集めておきながら、この阿呆は何のつもりか。；使いは夜更けに帰って来て、丹羽が明朝待っているという返事を伝えた。；夜更けに急の来客があり、祖母は私の手を引いて松茸を買いに行った。；夜更けの出来事であった為に、誰も警察へ知らせる者がなかったのだろうか。；夜更けすぎに雨が雪へと変わる瞬間を見に行こうとかって誰かに誘われてない?；夜更けのせゐか、東京の郊外を歩いてゐるやうな、平凡な町であつた。；暗い嵐の夜更け、木のざわめきを聞くとぞっとする、実にいやな感じだ!</t>
        </is>
      </c>
      <c r="J8738">
        <f>HYPERLINK("https://www.weblio.jp/content/夜更け", "词义详情")</f>
        <v/>
      </c>
      <c r="K8738">
        <f>HYPERLINK("https://yourei.jp/夜更け", "查看例句")</f>
        <v/>
      </c>
    </row>
    <row r="8739">
      <c r="A8739" t="inlineStr">
        <is>
          <t>余分</t>
        </is>
      </c>
      <c r="B8739" t="inlineStr">
        <is>
          <t>成功</t>
        </is>
      </c>
      <c r="C8739" t="inlineStr">
        <is>
          <t>読み方：よぶん
［名・形動］
１余った分。残り。余り。「—が出る」
２必要や予定より多いこと。また、その数量や、そのさま。余計。「—に仕入れる」
３必要以外のこと。また、そのさま。余計。「—なことは考えないほうがいい」「—な口出しはするな」</t>
        </is>
      </c>
      <c r="D8739" t="inlineStr">
        <is>
          <t>余分な金；余分な脂肪；余分な水分；余分なエネルギー；余分な力</t>
        </is>
      </c>
      <c r="E8739" t="inlineStr">
        <is>
          <t>あまり；残り；余；余り；過剰</t>
        </is>
      </c>
      <c r="F8739" t="inlineStr">
        <is>
          <t>余分な負担；一枚余分；余分な空間；余分な機能；余分な要素</t>
        </is>
      </c>
      <c r="H8739" t="n">
        <v>29</v>
      </c>
      <c r="I8739" t="inlineStr">
        <is>
          <t>余分になる第三軌条に対応した設備は編成から撤去される可能性もある。；こうすると余分のモルタルが左のブロックとのあいだに入るわけである。；この余分な装置を注文したただひとつの理由はきみを安心させるためだよ。；ところが夫になった人は私に決してよぶんなお金を自由にさせません。；わたしはこれを作ったときに、念のために一着余分に作っておいたのよ。；それができる唯一の方法は、この船に余分の推進力を与えてやることだ。；それにドアが閉じていれば、必要な時間を余分に得られるというわけだ。；現代的な仕様のシステムでは余分にディスク領域を使用しても問題はない。；よぶんなことかもしれなかったが、何か新しい発見がある筈だと思っていた。；さらに余分な間をカットしており、テレビ版より速く物語が進んでいく。；そして務めを避けもしなければ余分の仕事を自発的にしようともしなかった。；しかし、荷物になるからフィルムや何かの余分もそう持って来てはいない。；一冊でも余分に買ったら、ここに来た目的を達することは出来ない。；それに加え用途の限られる拳銃弾の補給は兵站への余分な負担となる。；目的は余分な計算資源が利用可能な場合に並行性を向上させることである。；あるとき、彼は、書物を買うのに、すこし余分の金が入用でありました。；対戦の他にも余分なパーツを他のプレイヤーと交換する機能も用意されている。；そしていまは、消費していいような余分な人間などほとんどいない。；そして彼女が余分にやった仕事にはわずかながら報酬が与えられた。；自分はここへ来た時によく余分な銭がほしいと思う事がある。；でも万一破損することもありましょうから、余分につくっておきます。；マツリの食べ物を奪わないとすれば、こちらがよぶんに食べるしかない。；余分に支給された生活保護費の払い戻しを求めたことがきっかけだった。；もし二人がもっていたら、ひとりは余分で、即座に処刑されることになる。；ちょっとでも余分なものが入れば彼等はせっせと何か買ってしまう。；この種の余分な人間がふえていくが、彼らのために何ができるのか?；水の用途は様々で、採掘現場から土や余分な岩を取り除くのにも使われた。；比較して部分和分の方は の項が余分に加わっていることに注意。；食事を取ろうとしない客人が何人かいるので、いつも余分の皿がある。</t>
        </is>
      </c>
      <c r="J8739">
        <f>HYPERLINK("https://www.weblio.jp/content/余分", "词义详情")</f>
        <v/>
      </c>
      <c r="K8739">
        <f>HYPERLINK("https://yourei.jp/余分", "查看例句")</f>
        <v/>
      </c>
    </row>
    <row r="8740">
      <c r="A8740" t="inlineStr">
        <is>
          <t>予報</t>
        </is>
      </c>
      <c r="B8740" t="inlineStr">
        <is>
          <t>成功</t>
        </is>
      </c>
      <c r="C8740" t="inlineStr">
        <is>
          <t>読み方：よほう
［名］(スル)
１前もって知らせること。また、その知らせ。
「将来の社益を慮て此に—す」〈森有礼・明六雑誌三〇〉
２「天気予報」の略。「—によれば明日は雨だ」</t>
        </is>
      </c>
      <c r="D8740" t="inlineStr">
        <is>
          <t>予報業務(4%)；予報官(3%)；予報士；予報センター；予報区</t>
        </is>
      </c>
      <c r="E8740" t="inlineStr">
        <is>
          <t>予想；予測；予言；見込み；見通し</t>
        </is>
      </c>
      <c r="F8740" t="inlineStr">
        <is>
          <t>未来予報；気象庁予報；進路予報；府県予報；予報音</t>
        </is>
      </c>
      <c r="G8740" t="inlineStr">
        <is>
          <t>予報円</t>
        </is>
      </c>
      <c r="H8740" t="n">
        <v>29</v>
      </c>
      <c r="I8740" t="inlineStr">
        <is>
          <t>部屋の中にいるからデータがないと予報ができないなどと考えるのだ。；この場合に単に温度を与えても各分子箇々の運動を予報すべくもあらず。；この一編はただ一つの予報のようなものに過ぎない事を断わっておきたい。；しかも午前六時の天気図はその日の予報を決める上で重要なものである。；ソフトが完成するまでは予測作業を行うベテランの予報士が存在していた。；また、日本や、大陸に接近・上陸予報が出る場合は対策がはっきりしない。；コンピュータの予報が間違っていると考える方がずっと納得がいく気がした。；それが古寺の未来予報に端を発する精神の変化であることはわかっている。；外はどんよりと曇っていて、夕方には雨になるだろうという予報だった。；警報は、重大な災害の起こるおそれのある旨を警告して行う予報である。；導き出された情報を予報の種類に合わせてまとめ、適切な形式で発表する。；夏季の農繁期の予報に備えて、実験的な予報はその前から始まっていた。；そんな楽しい日々だったと思っていた時、隕石落下の予報が出された。；それを利用し、予報したということにして犬の話をしたわけである。；宇宙天気予報によってこれらの被害が軽減されることが期待されている。；一日前か二日前に、その予報を眺めながらも、何する間さえないのも戦だった。；他の自由諸国でも、同様の予報をうけたらしいが、やはり黙りこんでいた。；潮位予報を行う機関では数十の分潮を用いて予想潮位を計算している。；雨ならある程度、予報でわかるが、東京の雪では、そうはいかないだろう?；朝比奈さんの未来予報は俺と古泉の二人で同組になることを教えてくれている。；その顔が笑っているのは、気象台の予報を信頼しているからだろう。；雨と予報された空は薄い雲に覆われて、満月はおぼろに霞んで見えていた。；だが、説明を聞き終わっても、他の予報官たちは瞬きするだけだった。；情報の遅れは、当時の観測と予報の体制ではどうしても避けられない問題であった。；だが、いくら進んだからといって、そんな犯罪の予報までできるわけがない。；しかし現在の地震学の状態ではそれほどの予報すらも困難であると私は考えている。；予報によれば、台風は朝までにこの辺りからは抜けてしまっているはずだった。；月食の発生を予報し、月を天上から引き下ろした魔女とも言われていた。；二〇四五時、九〇〇〇型コンピューターの故障予報センターから報告があった。</t>
        </is>
      </c>
      <c r="J8740">
        <f>HYPERLINK("https://www.weblio.jp/content/予報", "词义详情")</f>
        <v/>
      </c>
      <c r="K8740">
        <f>HYPERLINK("https://yourei.jp/予報", "查看例句")</f>
        <v/>
      </c>
    </row>
    <row r="8741">
      <c r="A8741" t="inlineStr">
        <is>
          <t>予防</t>
        </is>
      </c>
      <c r="B8741" t="inlineStr">
        <is>
          <t>成功</t>
        </is>
      </c>
      <c r="C8741" t="inlineStr">
        <is>
          <t>読み方：よぼう
［名］(スル)悪い事態の起こらないように前もってふせぐこと。「病気の蔓延を—する」</t>
        </is>
      </c>
      <c r="D8741" t="inlineStr">
        <is>
          <t>予防する(13%)；予防的(5%)；予防策(4%)；予防効果(4%)；予防薬</t>
        </is>
      </c>
      <c r="E8741" t="inlineStr">
        <is>
          <t>防止；阻止；止めること</t>
        </is>
      </c>
      <c r="F8741" t="inlineStr">
        <is>
          <t>疾病予防；自殺予防；再発予防；がん予防；感染症予防</t>
        </is>
      </c>
      <c r="G8741" t="inlineStr">
        <is>
          <t>予防措置；予防医学；予防法；予防注射；予防線</t>
        </is>
      </c>
      <c r="H8741" t="n">
        <v>29</v>
      </c>
      <c r="I8741" t="inlineStr">
        <is>
          <t>特に、病気の予防の点でも治療の点でも食事が大きな位置を占めている。；このような事態を予防する為に各国では平時より様々なが敷かれている。；近視の発生や進行を予防するために、いくつかの方法が試みられてきた。；また、各地の反乱予防のために反乱軍を監視する多数の要塞を建設した。；予防や治療的観点からはこれらの食べ物を避けることも重要である。；原因がはっきりしていないため、決定的な予防法や検査法は確立されていない。；アリシンが強力な抗酸化作用を発揮して、癌を予防するといわれている。；しかし免疫不全の程度が強いと判断された場合は予防が行われる。；だが最近になってバイパス術を行うことで再出血を予防することが証明された。；離婚の予防がその理由だったのではと推測されている。；吸入薬は予防薬としては優れているが治療薬としては推奨されていない。；またこれと並行し、エイズ予防の啓発プログラムも強力に推進された。；日本の旧国鉄によって始められた事故・災害予防対策の一つの手法である。；これを予防するには蒸した段階で砂糖を入れることと、よくつくことである。；また、アトランタは疾病予防管理センターが置かれている地でもある。；再発率が高いため、生涯にわたっての予防とコントロールが必要である。；これはソラマメ中毒の予防が目的ではないかと考えられている。；貝毒以外の食中毒の予防のために留意すべきことは、 という点である。；すなわち、概して生活習慣病の予防はED対策に効果的であると言える。；梗塞原因の特定は、その後の再発予防計画を立てていく上で非常に重要である。；毎年春ごろになると、山火事への注意喚起と合わせて予防運動が行われている。；責任に負担責任が含まれることは、予防としての役割も担っている。；ケトン食療法は癌の治療や予防に有効である可能性を示している。；日本はもともと予防のためにマスクをする人が多いが、これは他の国の人々には奇妙に思われていた。；男性の割礼はHIVをはじめとした性感染症に予防効果がある事が知られている。；症状が出てから対策を行うのではなく、症状が出る前から予防的にケアを開始するとより有効である。；加齢関連性の疾患を予防したり治療する医療は、抗老化医学と呼ばれる。；つまり、刑罰ではないものの、特別予防のために拘禁するものである。；他にもほとんどの国で同様の強制的な予防接種を行っている。</t>
        </is>
      </c>
      <c r="J8741">
        <f>HYPERLINK("https://www.weblio.jp/content/予防", "词义详情")</f>
        <v/>
      </c>
      <c r="K8741">
        <f>HYPERLINK("https://yourei.jp/予防", "查看例句")</f>
        <v/>
      </c>
    </row>
    <row r="8742">
      <c r="A8742" t="inlineStr">
        <is>
          <t>余程</t>
        </is>
      </c>
      <c r="B8742" t="inlineStr">
        <is>
          <t>成功</t>
        </is>
      </c>
      <c r="C8742" t="inlineStr">
        <is>
          <t>読み方：よほど
《「よきほど」の音変化。「余」は、江戸時代以降の当て字》
［形動］［文］［ナリ］
１「よっぽど1」に同じ。「—な事情があったのだろう」
２「よっぽど2」に同じ。
「花の跡けさは—の茂りかな／子珊」〈炭俵〉
［副］
１「よっぽど1」に同じ。「ゆうべは—飲んだらしい」
２「よっぽど2」に同じ。「—話してしまおうかと思った」</t>
        </is>
      </c>
      <c r="D8742" t="inlineStr">
        <is>
          <t>余程面白い；余程よく；余程離れ；余程古い；余程深い</t>
        </is>
      </c>
      <c r="E8742" t="inlineStr">
        <is>
          <t>よく；最も；非常；非常に；まるで</t>
        </is>
      </c>
      <c r="F8742" t="inlineStr">
        <is>
          <t>もう余程；ほうが余程；比べると余程；余程長く；余程長い</t>
        </is>
      </c>
      <c r="H8742" t="n">
        <v>29</v>
      </c>
      <c r="I8742" t="inlineStr">
        <is>
          <t>しかしかれがこれに不満足を感じ出したのはもう余程前のことである。；さうして見ると所謂鋭い声は余程異常な、不思議な声だつたに相違ない。；それから又余程たって、どこかの家でかの子さんと話したことがあった。；相手が誰であろうと、こんなにひどく叩くなんて余程の訳ありだと思う。；少年も此の町に居る間にいろんな新しい知識を得て余程怜悧になつてゐた。；年はもう五十を余程越しているが、純一の目には四十位にしか見えない。；ところがこの頃は余程変った事をやっても手を着けることが出来ない。；余程盛大なもので随分一日泊って見ただけの価値は充分にございました。；社長の説明の通り、来たか庄さんは余程人口に膾炙しているものらしい。；そんな相手にここまで大胆な真似をするとは、余程の実力者たちなのか?；此の事件は余程世間を騒がせたと見えて、当時の新聞にも出たそうである。；いつも夏になると健康なのだが、この頃は余程体の調子が好いやうだ。；余程深い沼もあればまた浅いのもあるが本当の池の形を成しては居らぬ。；頭の君がお立ち去りになって往かれたのは、もう余程前のことであろう。；これは要請の形を取った指令であり、余程の理由がなけれは拒否できない。；現在の建築様式の方が余程経済的であるから、将来はこれになるであろう。；実際には少しぐらいの不幸より、中途半端な幸福の方が余程質が悪いのだ。；この人の顔から機嫌のわるい表情を想像するのは余程困難なのである。；そんな事位で神様を引合に出すあなたの方が余程神様に叛いた人ですよ。；余程時間が経ったつもりでさぐってみても十分位しかたっていない。；余程下ったろうと思う頃遠くに一点の火光が現われた時には、稍元気付いた。；年齢には余程の相違はあったが平太郎と権八の二人は非常に気があっていた。；あれだけのことをする奴は余程冷静に計画していたと思わなけりやならんよ。；男は、余程下調べが出来ている様子で、建物のなかに滑るように消えた。；看護婦は医学の事も知らねばなりませんから、余程勉強せねばなりません。；つまりオープンショウ大佐がアメリカを捨てたには余程の大きな理由がある。；尖つてゐたデカタンのやうなところも余程内部的になつたやうな気がした。；おれはこの出来事のために余程興奮して来たので、議会に行くことはよしにした。；でも今後は余程の事がない限り、むやみにはいじめられずに済むと思う。</t>
        </is>
      </c>
      <c r="J8742">
        <f>HYPERLINK("https://www.weblio.jp/content/余程", "词义详情")</f>
        <v/>
      </c>
      <c r="K8742">
        <f>HYPERLINK("https://yourei.jp/余程", "查看例句")</f>
        <v/>
      </c>
    </row>
    <row r="8743">
      <c r="A8743" t="inlineStr">
        <is>
          <t>読み上げる</t>
        </is>
      </c>
      <c r="B8743" t="inlineStr">
        <is>
          <t>成功</t>
        </is>
      </c>
      <c r="C8743" t="inlineStr">
        <is>
          <t>読み方：よみあげる
［動ガ下一］［文］よみあ・ぐ［ガ下二］
１声高く読む。「声明文を—・げる」
２読みおわる。「源氏物語を—・げる」</t>
        </is>
      </c>
      <c r="D8743" t="inlineStr">
        <is>
          <t>読み上げること(8%)；読み上げる声；読み上げる際；読み上げるコーナー；読み上げる場合</t>
        </is>
      </c>
      <c r="E8743" t="inlineStr">
        <is>
          <t>訓む；読む</t>
        </is>
      </c>
      <c r="H8743" t="n">
        <v>29</v>
      </c>
      <c r="I8743" t="inlineStr">
        <is>
          <t>そのあとに続く子どものような書き文字を、私はゆっくりと読み上げる。；朝飯も今日は止めにして哲学の本を一冊読み上げて終はうと思ひ立つた。；名前の変更は可能だが、変更すると名前が音声で読み上げられなくなる。；操作の扉を開いたのは、画面に表示された文字を読み上げるソフトだ。；そのルールが判った今、メッセージを読み上げるのは容易なことだった。；唯一の手柄を誇示するように、警部がそこに書かれた名前を読み上げる。；彼は前置きもなく、公式報告を読み上げるような単調な声で語り始めた。；カード名を読み取る前にカードに関連する詩を読み上げる場合もある。；居間にはニュースを読み上げるアナウンサーの平淡な声だけが残される。；その後も彼女が読み上げた通りの出来事が立て続けに起こってしまう。；先生が三十分も読み上げ続けたころ、今まで一度もなかったことが起きた。；アニメの最後にその回のお題を一言で上記3名または木原が読み上げる。；先生に教室でそれを読み上げて貰ったりすることも稀ではなかった。；アンコールで読み上げた手紙の中で、声優に挑戦することを表明した。；この措置は上記の棋譜読み上げと同じく女流王将戦でも実施されている。；一説にはタイトルだけしか読み上げられなかったともいわれている。；問題の読み上げ途中であっても、最も早くボタンを押した者が解答権を得る。；授賞式では作品名が読み上げられただけでブーイングが起こったという。；さっきの朗読劇でハムレットの読み上げた言葉の中にもありましたね。；折り返しで手紙が届くのを待って、仲間の隠れ処の前でこれを読み上げた。；また、番組開始と終了時の提供の読み上げは以下のアナウンサーが担当していた。；其で、一冊の書物を読み上げる事が、非常な努力であつた時期がある。；クイズは司会者が問題文を全文読み上げてからの早押し形式で行われる。；裁判長が読み上げているのは、判決言渡しの理由をのべた文章であった。；まるで壁に書かれた大きな文字を読み上げるような声だった。；論告求刑公判では検察側が論告を読み上げるのを声をあげて笑っていた。；二日前、私は手紙を受け取ったのですが、ここで読み上げましょう。；キリスト教との習合色も強く、聖書の一節が読み上げられることもある。；血で描かれた文章を口の中で読み上げた瞬間、彼女の胸がきりきりと痛んだ。</t>
        </is>
      </c>
      <c r="J8743">
        <f>HYPERLINK("https://www.weblio.jp/content/読み上げる", "词义详情")</f>
        <v/>
      </c>
      <c r="K8743">
        <f>HYPERLINK("https://yourei.jp/読み上げる", "查看例句")</f>
        <v/>
      </c>
    </row>
    <row r="8744">
      <c r="A8744" t="inlineStr">
        <is>
          <t>蘇る</t>
        </is>
      </c>
      <c r="B8744" t="inlineStr">
        <is>
          <t>成功</t>
        </is>
      </c>
      <c r="C8744" t="inlineStr">
        <is>
          <t>読み方：よみがえる
［動ラ五（四）］《黄泉(よみ)から帰る意》
１死んだもの、死にかけたものが生きかえる。蘇生する。「死者が—・る」
２一度衰退したものが、再び盛んになる。「記憶が—・る」「伝統工芸が現代に—・る」</t>
        </is>
      </c>
      <c r="D8744" t="inlineStr">
        <is>
          <t>復活；復興；再起；更生；甦る</t>
        </is>
      </c>
      <c r="F8744" t="inlineStr">
        <is>
          <t>死んで蘇る；まざまざと蘇る</t>
        </is>
      </c>
      <c r="H8744" t="n">
        <v>29</v>
      </c>
      <c r="I8744" t="inlineStr">
        <is>
          <t>死んだ人々を蘇らせる力があるのに、それを使わないなんて話がある!?；明日は今日と同じくらい楽しいと信じていた若い頃の日々が口の中で蘇る。；消滅する王国を地獄の力で蘇らせる前とまったく同じ状況がそこにあった。；この株が蘇った時の葉子の喜びに満ちた表情が浮かんでは消えていった。；私のたどった人生が走馬燈の様に・・ああ・・・ 蘇ってくる・・・!!；いつだったか亡くなった父カウン医師が言っていた言葉が、胸に蘇った。；しかし意識が戻ったとたん、これまでのことが洪水のように蘇ってきた。；彼女の作ってくれたカレーライスの匂いが、一瞬蘇ったような気がした。；足を踏み外さないようにと用心する動作は過去の記憶を蘇らすのだった。；そして、人々の笑顔を守るために蘇った怪人たちと戦うことを決意する。；でも本当に何でもないときに不意に断片的な言葉が蘇ってくることもある。；事故以前の記憶しか持たない過去の自分が、意識に蘇るようになったのだ。；最後の審判の日まで死者は墓の下で眠り続け、決して蘇ることなどない。；主人公は、自分の手で、牧場をかつての立派な姿に蘇らそうと決意した。；馬鹿にされたくないと思い、封筒や手紙の宛名を書いた記憶を蘇らせた。；そういう情景がいかにもまざまざと目の前に蘇って来るようであります。；今度は魔法は成功したが、完全に蘇るにはもうちょっと時間がかかる。；夜の気配が近づくたびに、あらゆる不安と絶望の蘇らないものがなかつた。；すでにお話ししたように、鬼どもを地下から蘇らせたのは世の乱れです。；すると同時に、あの嫌な嫌な感じまでいっしょに蘇ってきそうになる。；青酸カリを手に入れたことで、私の中で眠っていた殺人への思いが蘇った。；記憶が蘇ってきて、恥ずかしさよりも、気持ち悪くなってしまったのだ。；いいや、いつでもこの文章を読んで、今日の感動が鮮やかに蘇るだろう。；従ってそこには再びシナの土地に固有な色彩が蘇って来たように見える。；蘇ったのは屍体などではなく、私の中の激しい感情の動きだったのだろう。；確かに昔、この人と付き合っていたことがあったと記憶が蘇るのを感じた。；島が蘇らせまいとして来たものを、この世に蘇らせるわけにはいかない!；街で疲れて來てもそんな時刻に遇へば私の心も全く蘇るやうに思へた。；助けを求める村人の願いが仏に通じ、この時代に蘇ったヨシヒコら一行。</t>
        </is>
      </c>
      <c r="J8744">
        <f>HYPERLINK("https://www.weblio.jp/content/蘇る", "词义详情")</f>
        <v/>
      </c>
      <c r="K8744">
        <f>HYPERLINK("https://yourei.jp/蘇る", "查看例句")</f>
        <v/>
      </c>
    </row>
    <row r="8745">
      <c r="A8745" t="inlineStr">
        <is>
          <t>読み取る</t>
        </is>
      </c>
      <c r="B8745" t="inlineStr">
        <is>
          <t>成功</t>
        </is>
      </c>
      <c r="C8745" t="inlineStr">
        <is>
          <t>読み方：よみとる
［動ラ五（四）］
１文章などを読んで、意味や主旨を理解する。「詩の言わんとするところを—・る」
２外面に現れたことから、本心などをおしはかって理解する。「表情から苦悩を—・る」
３コンピューターなどの機器が、文字や記号を判断する。「バーコードを—・る機械」</t>
        </is>
      </c>
      <c r="D8745" t="inlineStr">
        <is>
          <t>取る；解釈；受け取る；受けとる；受取る</t>
        </is>
      </c>
      <c r="F8745" t="inlineStr">
        <is>
          <t>直接読み取る</t>
        </is>
      </c>
      <c r="H8745" t="n">
        <v>29</v>
      </c>
      <c r="I8745" t="inlineStr">
        <is>
          <t>電話でなければはっきり顔色が変わったのを読み取られたかもしれない。；声の収録がないため、口の動きで何を言っているのか読み取るしかない。；ひょっとすると男子の胸の中を読み取る術を知っているのかもしれない。；代助はとっさの間にその恐ろしい意味を読み取ったのに違いありません。；高速道路上でも問題なく読み取る事が出来る程の速度まで観測ができる。；その顔に話しかけたそうな表情を読み取って、彼はその場に立っていた。；彼は自分の心を他人のそれに融合させて、思考を読み取ることが出来る。；顔の表情まで読み取るために専用のパイロットスーツが用意されている。；今、冷静に思い出してみると相手の感情までも読み取っていたのである。；記録を見ても、書いてある内容は解るが意味は読み取ることができない。；桜は気が利いて、こっちのやりたいことを読み取って準備をしてくれる。；こうした労働者像には次のような政治的意味を読み取ることができる。；おそらく父は、私の胸中のすべてを一瞬のうちに読み取ったのでしょう。；思ったことが顔に出る私の気持ちを読み取った友人は、にやりと笑った。；彼女はラタックの意識や思考を読み取ってそう感想を送ったのであろう。；そう長くもない時間のうちに、彼女は様々な情報を敵から読み取っていた。；針や棒の影の先端の一点の位置で時刻を読み取る精密なタイプもある。；その一方で、伽藍配置がどのようだったかは読み取ることが可能である。；私がかけている度の強い眼鏡も父の表情を読み取る助けにはならない。；これだけ近くにいて読み取れない大石の心とはどこにあったのだろう。；その経験からこっちの言葉に嘘がないと読み取ってくれたのだろう。；この物語の登場人物はどうなのか、読み取っていただければと思います。；彼女の顔には、唇の端を下げた、やや不快の表情しか読み取れなかった。；皮膚の緊張をも読み取るかのような目を注いだあと、とマーサは応じた。；考えを読み取られているような、そんな気がして、僕は少し恐くなった。；彼女も僕の目のなかにいらいらした気持ちをちゃんと読み取っていた。；本作もそうした観点から過剰に政治的な意味を読み取られることがあった。；表情は読み取れないが、何をしているんだという苛立ちは伝わってきた。；「見ればわかるわ」と答えた婦人の表情からは、何も読み取れなかった。</t>
        </is>
      </c>
      <c r="J8745">
        <f>HYPERLINK("https://www.weblio.jp/content/読み取る", "词义详情")</f>
        <v/>
      </c>
      <c r="K8745">
        <f>HYPERLINK("https://yourei.jp/読み取る", "查看例句")</f>
        <v/>
      </c>
    </row>
    <row r="8746">
      <c r="A8746" t="inlineStr">
        <is>
          <t>読み物</t>
        </is>
      </c>
      <c r="B8746" t="inlineStr">
        <is>
          <t>成功</t>
        </is>
      </c>
      <c r="C8746" t="inlineStr">
        <is>
          <t>読み方：よみもの
１本などを読むこと。「家で—をする」
２読むために書かれたもの。書物。また、気軽に読めるように書かれたもの。「高校生向けの—」「公害問題を—にまとめる」
３読むに値するような文章・書物。「これはちょっとした—だ」
４講釈師などが口演する演目。
５能で、シテが文書を拍子にのせて読み上げる部分。「木曽」の願文(がんもん)、「正尊(しょうぞん)」の起請文(きしょうもん)、「安宅(あたか)」の勧進帳など。</t>
        </is>
      </c>
      <c r="D8746" t="inlineStr">
        <is>
          <t>読み物記事；読み物ページ；読み物中心</t>
        </is>
      </c>
      <c r="E8746" t="inlineStr">
        <is>
          <t>文学；読；文芸；閲覧；読むこと</t>
        </is>
      </c>
      <c r="F8746" t="inlineStr">
        <is>
          <t>面白い読み物；向け読み物；単なる読み物；おもしろい読み物；連載読み物</t>
        </is>
      </c>
      <c r="H8746" t="n">
        <v>29</v>
      </c>
      <c r="I8746" t="inlineStr">
        <is>
          <t>そのほかに連載の読み物や世界各国の主要競走の結果なども掲載している。；この印刷機で、彼は生徒のために自由な読み物とクラスの新聞を印刷した。；物理をよく知らない人たちにとっても面白い読み物だったかも知れない。；しかしそれは鏡花が少年の読み物だということを意味しないだろう。；少年や幼年の読み物にしてもどれをあけて見ても中は同じである。；アメリカに住むようになってからアフリカの経験を書いた少年向けの読み物を書いた。；この書物は、未発表のカード奇術を、小説風な読み物にした本である。；といっても、読み物の大部分はかれらの思想宣伝雑誌だったが。；多くの作品はサタデー・イブニング・ポストの小説読み物の別誌に掲載された。；これらの読み物は、後の中国の漫画の先駆的作品であると考えられている。；世間があっと驚くような読み物を書きたいと思っている。；そして最も大切なのはその読み物だと云う事も出来ます。；これを立証するドキュメンタリータッチの読み物にしてもらいたいなあ。；報道記事よりも囲みの読み物を得意としていた人のようです。；それが、彼の作品を単なる通俗的な読み物に終わらせない大きな理由なのだ。；そしてチェスも持ってきてくれたし、読み物も運んできてくれた。；同時代の低質な読み物と、その中で述べられている意見を冷たい目で見ていた。；新聞も家に置かず、聖書だけを愛し、聖書だけが彼らの読み物だった。；乱歩さんは少年ものの読み物の分野で、ひとつの頂点をきわめた人である。；現代の読み物などでは、「水鏡先生」は悉く老人の容貌で描かれている。；そうしてあの一篇は単純な読み物としても落第ではないかと心配し初めました。；彼の残していったトランクの中に日本語の本が二冊あり、読み物といえばそれだけだった。；日本でも戦前に読み物で紹介されたから有名だ。；然し単なる読み物の面白さのみでは文学では有り得ないのも当然だ。；一つはいわゆる科学読み物に分類される書籍である。；学校に遊ぶ児童・少年や青年に向けて、校外の読み物として編纂された。；早くいえば、読み物を研究と題するのは、傲慢にすぎると考えたからである。；これらの探検の報告書は、上流階級の読み物から大衆文化へと変化した。；たとえ雑誌であろうと、読み物を破るというのはどうも抵抗がある。</t>
        </is>
      </c>
      <c r="J8746">
        <f>HYPERLINK("https://www.weblio.jp/content/読み物", "词义详情")</f>
        <v/>
      </c>
      <c r="K8746">
        <f>HYPERLINK("https://yourei.jp/読み物", "查看例句")</f>
        <v/>
      </c>
    </row>
    <row r="8747">
      <c r="A8747" t="inlineStr">
        <is>
          <t>読む</t>
        </is>
      </c>
      <c r="B8747" t="inlineStr">
        <is>
          <t>成功</t>
        </is>
      </c>
      <c r="C8747" t="inlineStr">
        <is>
          <t>読み方：よむ
［動マ五（四）］
１文字で書かれたものを一字一字声に出して言う。「子供に本を—・んでやる」「経を—・む」
２文字や文章、図などを見て、その意味・内容を理解する。「小説を—・む」「グラフから業績を—・む」
３外面を見て、その隠された意味や将来などを推察する。「手の内を—・む」「来春の流行を—・む」
４（「訓む」とも書く）字音を訓で表す。漢字を訓読する。「春をはると—・む」
５数をかぞえる。「票を—・む」「さばを—・む」
６（ふつう「詠む」と書く）詩歌を作る。「歌を—・む」「秋の風物を—・む」
７囲碁・将棋で、先の手を考える。「一〇手先まで—・む」
８講釈師が演じる。「一席—・む」
[可能]よめる
［動マ下二］「よめる」の文語形。
[下接句]行間を読む・鯖(さば)を読む・鼻毛を読む・腹を読む・睫(まつげ)を読まれる・眉(まゆ)を読む・眉毛を読まれる・門前の小僧習わぬ経を読む</t>
        </is>
      </c>
      <c r="D8747" t="inlineStr">
        <is>
          <t>読むよう(4%)；読むべき；読む機会；読む能力；読む読者</t>
        </is>
      </c>
      <c r="E8747" t="inlineStr">
        <is>
          <t>見る；取る；計算；解釈；確認する</t>
        </is>
      </c>
      <c r="F8747" t="inlineStr">
        <is>
          <t>読めば読む；買って読む；出して読む；読むよう勧め；読む楽し</t>
        </is>
      </c>
      <c r="H8747" t="n">
        <v>29</v>
      </c>
      <c r="I8747" t="inlineStr">
        <is>
          <t>本を読む場合はページをめくる事によって次々と情報を得る事が出来る。；ここでは以降の解説を読む上で必要な の文法規則を簡単に説明する。；不幸の上にさらなる不幸の連続で読み終わっても幸せな気分にはなれない。；多くの物語を読むとともに幼い時から物語を作ることを目指していた。；駅舎内には本棚があり、1000冊以上の本を自由に読むことができる。；桜庭の入院でセナが書いた手紙を読む際アイシールドの姿になっている。；テキサス州の学生は数学で平均より上だが、読むことでは平均以下だった。；これを読み将来はゲームの収録をしたいと考えるようになった。；会話だけでなく、あらゆる言語で書かれた文章を読むこともできる。；なお、JR線上には、当駅と同じ表記で読みの異なる駅が2つ存在する。；したがって、ヨーロッパの技術論文を読む際には注意が必要となる。；訃報を伝えるような速度でニュース原稿を読み、抗議を表したという。；電子書籍とは、紙ではなく電子的に記録され、画面で読む本や雑誌をいう。；このため現場のスタッフは脚本を読むのが大変だったという。；Osaka Metroの中では文字数も読みも一番長く多い駅である。；これは日本語で言えば中国から取り入れた漢字音読み相当といえる。；英語圏の学者の場合は、英語読みのヘーゲリアンと呼ばれることもある。；何も学ぶものがない彼らの言葉を読むよりは、ずっとましだから。；このためアルファベットとしての読みはその後は放棄されることになった。；芸名を変えた理由は「読みやすい方がいいかなと思った」ことによる。；そのことは大域解析学の論文を読むときには常に気を付けねばならない。；孫休は学問を好み、諸子百家の書を全て読み尽くすほどの勢いであった。；大学への通学路に古本屋街があったため、古本もよく読むようになった。；また同じ漢字で時と読む言葉は、昔の日本の時法における単位である。；こちらはあまり長続きはしなかったが、楽譜を読むことをマスターした。；一方、かつては読み捨てられていたような本が高騰することもある。；数字の銀行名で、唯一数字の部分の英称が英語読みの銀行であった。；読みが特殊のため、これがしばしば堅家の字で書かれることがある。；この過程で「毛」の表記は省略されたが、「け」の読みは残されている。</t>
        </is>
      </c>
      <c r="J8747">
        <f>HYPERLINK("https://www.weblio.jp/content/読む", "词义详情")</f>
        <v/>
      </c>
      <c r="K8747">
        <f>HYPERLINK("https://yourei.jp/読む", "查看例句")</f>
        <v/>
      </c>
    </row>
    <row r="8748">
      <c r="A8748" t="inlineStr">
        <is>
          <t>嫁</t>
        </is>
      </c>
      <c r="B8748" t="inlineStr">
        <is>
          <t>成功</t>
        </is>
      </c>
      <c r="C8748" t="inlineStr">
        <is>
          <t>読み方：か
［常用漢字］　［音］カ（漢）　［訓］よめ　とつぐ
〈カ〉
１女が他家にとつぐ。「降嫁・再嫁」
２他になすりつける。「転嫁」
〈よめ〉「相嫁・兄嫁・花嫁」
［難読］許嫁(いいなずけ)</t>
        </is>
      </c>
      <c r="D8748" t="inlineStr">
        <is>
          <t>嫁入りする；嫁はん；嫁入る；嫁資；嫁入ら</t>
        </is>
      </c>
      <c r="E8748" t="inlineStr">
        <is>
          <t>女；女性；妻；室；夫人</t>
        </is>
      </c>
      <c r="F8748" t="inlineStr">
        <is>
          <t>嫁入り；若い嫁；弟嫁；早く嫁；嫁きおくれ</t>
        </is>
      </c>
      <c r="G8748" t="inlineStr">
        <is>
          <t>嫁さん；嫁が；嫁ぎ；嫁入り；嫁ぐ</t>
        </is>
      </c>
      <c r="H8748" t="n">
        <v>29</v>
      </c>
      <c r="I8748" t="inlineStr">
        <is>
          <t>前述のように武士の一族を結びつける役割をしたのが嫁入りした妻である。；王子は、花の形にして持ち帰った女の子をお嫁にして、幸せに暮らした。；祖母はそれに気づいているが何もしようとせず、ヌルを嫁に出そうとする。；そのため、中には一人も殺せず、嫁に行かないまま老いていく者もいた。；男は少女を嫁にしたいが為に、魔法の音色で少女を起こしたと言った。；彼女は今すぐ嫁に行くのだというような顔はちっともして見せなかった。；また、嫁たちは家事の大半を担っており、週単位で仕事を交代していた。；実は彼女は青彦の嫁となるため、宇宙からやって来た宇宙人だったのだ。；徐の家は呪われているというので、近い処からは誰も嫁に来るものがない。；処女は嫁には行かないと神に誓いを立てたが、父親はそれを認めなかった。；お嫁にもらう限りは絶対に不幸にはしないという覚悟を持って制作に臨んだ。；こんど、おまえがお嫁にいくときは、これにおふとんを包んであげますよ。；僕は民子が嫁にゆこうがゆくまいが、ただ民子に逢いさえせばよいのだ。；だが、上州屋へ嫁に行くというのは妹の方で、殺されたのは姉の方だ。；寄贈を決めた時の母・せいの言葉は「鹿児島に嫁入りさせよう」であった。；この家には、三十二になってまだ嫁にやらずにいる娘がある。；いやな噂が聞えているために、大家の井戸屋にも嫁に来るものがない。；仕事を持つキャリアウーマンである嫁と姑との闘いの軌跡を描いた物語。；お花はあののちお嫁にいって、おかあさんとなって、子供をもったのでした。；エルヴェシウスと夫人とのあいだには二人の娘がおり、いずれも貴族に嫁した。；やがて娘は、年ごろになってお嫁にゆかなければならなくなりました。；政夫と夫婦にすることはこの母が不承知だからおまえは外へ嫁に往け。；水谷正村に嫁した政勝の娘・小藤姫も、女子を出産した直後に死亡した。；彼女は父が珠彦の世話をさせるために金で買った嫁であった。；さうしてる間にも、清子は嫁の身の二三度家へ行つて見て来た。；そんなお前を嫁にしたのだから山全部ぐらいくれてやる!；それぞれ一人前の女らしく婚嫁させることの容易ならぬはいうまでもない。；さうしてる間にも、清子は嫁の身の二三度家へ行つて見て來た。；提示された嫁候補の中からプレイヤーが相手を決めると結婚式イベントが発生する。</t>
        </is>
      </c>
      <c r="J8748">
        <f>HYPERLINK("https://www.weblio.jp/content/嫁", "词义详情")</f>
        <v/>
      </c>
      <c r="K8748">
        <f>HYPERLINK("https://yourei.jp/嫁", "查看例句")</f>
        <v/>
      </c>
    </row>
    <row r="8749">
      <c r="A8749" t="inlineStr">
        <is>
          <t>よもや</t>
        </is>
      </c>
      <c r="B8749" t="inlineStr">
        <is>
          <t>成功</t>
        </is>
      </c>
      <c r="C8749" t="inlineStr">
        <is>
          <t>［副］《副詞「よも」に助詞「や」を付けて意味を強めたもの》
１万が一にも。いくらなんでも。「—負けることはあるまい」
２（あとに推量の表現を伴って）きっと。たぶん。
「—張替ぐらゐはわかるだらう」〈滑・虚誕計・後〉
→まさか［用法］</t>
        </is>
      </c>
      <c r="D8749" t="inlineStr">
        <is>
          <t>よもやこんな(2%)；よもや忘れ；よもやお忘れ；よもやそんな；よもやよもや</t>
        </is>
      </c>
      <c r="E8749" t="inlineStr">
        <is>
          <t>まさか；もしや；ひょっとすると</t>
        </is>
      </c>
      <c r="G8749" t="inlineStr">
        <is>
          <t>よもやま</t>
        </is>
      </c>
      <c r="H8749" t="n">
        <v>29</v>
      </c>
      <c r="I8749" t="inlineStr">
        <is>
          <t>よもや死体となった自分の体を潔めているのだとは思ってもいなかった。；わしがそのほうに王国の半分を与えたことを汝は よもや忘れはしまい。；よもや胸を張って私は馬鹿だと宣言する類の人間ではないだろうな!!；よもやこんな形で死ぬことになるなどとは夢にも考えたことはなかった。；よもやこんな西の方まで逃げてきているとは思わなかったのであろう。；五兵衛のほうはよもや、女房に殺されるとは思っていないから無用心だ。；よもやあの二人がこうも簡単に涼宮ハルヒと結託するとは予定外でした。；よもやお忘れではあるまい、わたしが妻を二人世話すると言ったのを?；よもや罠があろうが、八十名からの騎士を止められる罠など存在しない。；そのときは、よもやこんな惨らしいことになろうとは思いませんでした。；熱もなく咳だけだったので、よもや肺炎などとは想像もしていなかった。；よもや伯爵様がここに市を開くとでも決めたわけじゃないでしょう?；言峰が前回の聖杯戦争に参加していたと聞いたときに、よもやと思った。；そのときはよもや私が転職する羽目になろうとは夢にも思わなかったが。；護良親王がわれらを殺そうとしたことをよもやお忘れではないでしょう。；よもや医者が訓練を受けてなるものだとは知らなかったものでね。；きみはあの女に命を助けられたことを、よもや忘れはしないだろう。；しかし彼女は、よもやこの植物群から襲撃を受けるとは思ってもいなかった。；よもや彼だって、そう長くはそれを隠しておけると考えはしなかったろうに。；わらわがおまえを助けたことがあるのを、よもや忘れたわけではあるまい?；よもやと思っていたのに、彼はやっぱり彼女を掴まえて来たのである。；よもやと思って居たのに、彼はやっぱり彼女を掴まえて来たのである。；よもや、目にする光景もまた燃えさかる何事かであるなどとは想像もせず。；そう、あなたはよもや私が二度とここへ来るとは思わなかったのです。；しかし、よもや直接電話をかけてくるとは予想できず、詩乃は絶句した。；よもや背後に誰もついていないで、気楽そうにああしていられるはずがない。；よもやこれほどの玉の輿を振ろうとは思ってもいなかったからである。；トーマス名人もよもやそんなことを私に期待はなさらなかったでしょう。；よもや敵は、こちらが腕づくで反撃していくとは考えもしないだろう。</t>
        </is>
      </c>
      <c r="J8749">
        <f>HYPERLINK("https://www.weblio.jp/content/よもや", "词义详情")</f>
        <v/>
      </c>
      <c r="K8749">
        <f>HYPERLINK("https://yourei.jp/よもや", "查看例句")</f>
        <v/>
      </c>
    </row>
    <row r="8750">
      <c r="A8750" t="inlineStr">
        <is>
          <t>予約</t>
        </is>
      </c>
      <c r="B8750" t="inlineStr">
        <is>
          <t>成功</t>
        </is>
      </c>
      <c r="C8750" t="inlineStr">
        <is>
          <t>読み方：よやく
［名］(スル)
１前もって約束すること。また、その約束。「結婚式場を—する」「—席」
２法律で、将来一定の契約を成立させることを約束する契約。</t>
        </is>
      </c>
      <c r="D8750" t="inlineStr">
        <is>
          <t>予約制(5%)；予約システム(2%)；予約者；予約なし；予約受付</t>
        </is>
      </c>
      <c r="E8750" t="inlineStr">
        <is>
          <t>指定；条件；制限；限定；留保</t>
        </is>
      </c>
      <c r="F8750" t="inlineStr">
        <is>
          <t>座席予約；インターネット予約；宿泊予約；録画予約；予約不要</t>
        </is>
      </c>
      <c r="G8750" t="inlineStr">
        <is>
          <t>予約サイト；予約サービス；予約販売；予約語；予約制乗合タクシー</t>
        </is>
      </c>
      <c r="H8750" t="n">
        <v>29</v>
      </c>
      <c r="I8750" t="inlineStr">
        <is>
          <t>これは数ヶ月前に予約がされており、宅の選挙出馬以前に決定していた。；ただし、近年は共通部品を除いて予約方式の受注生産に変更されている。；団体で利用する場合はどのような小屋でも、基本的には予約を必要とする。；電話やインターネットでの予約も可能だが換券は駅などで行う必要がある。；人気の高い作品は予約開始から数分で満席となることもしばしばある。；さらに、予約機構形式は結果を格納するための場所を4箇所持っている。；スマートフォンのアプリを利用してタクシーの予約をすることができる。；ただしその座席も、当該区間外では予約のない乗客が自由に着席できる。；また、東京で行われた初のヌード撮影会には発表直後に予約が殺到した。；予約人数を変更したことが気になって様子を見に来たのだった。；日本の美術館では珍しい完全予約制・定員制の入館方法を採用している。；予約の時点で15万枚の注文があり、売上は最終的に25万枚を超えた。；予約のある座席には予約されている区間を示したカードが掲示される。；見学は完全予約制で、数日前に予め電話をするかチケットの入手が必要。；ヨーロッパの鉄道では車両ではなく席ごとに予約が設定されるシステムとなっている。；ライセンス未保持者は演奏できなくなり、演奏場所も予約制となった。；この場合、最終目的地まで事前に予約・購入することが前提となっている。；この公共建造物および施設は州当局により白人専用に予約されています。；予約が必要と言うのはこのためで、座敷や料理に時間が必要であるからである。；これは同じ予約番号以外の男女が隣り合わせになることを避けているためである。；運営団体を同じくする以下の施設も、共通システムで団体利用予約できる。；予約を受け付けない宿が多く、人気のある宿はすぐに満室になってしまう。；個人はファンクラブ有料会員になることで、単発での予約が可能となる。；SQLには予約されたキーワードと予約されていないキーワードがある。；予約新聞電報は発信人の希望した時刻に送られ、かつ料金も低廉である。；どちらも全ての座席が指定のため、利用には事前の予約が必要。；特に通常期は当日予約ではほとんどの時間が予約済みとなっていることがある。；受け入れ可能な宿泊者数に限度があるため完全予約制となっている。；当初は1996年発売の予定で、一度MEGU誌上での予約も行われた。</t>
        </is>
      </c>
      <c r="J8750">
        <f>HYPERLINK("https://www.weblio.jp/content/予約", "词义详情")</f>
        <v/>
      </c>
      <c r="K8750">
        <f>HYPERLINK("https://yourei.jp/予約", "查看例句")</f>
        <v/>
      </c>
    </row>
    <row r="8751">
      <c r="A8751" t="inlineStr">
        <is>
          <t>余裕</t>
        </is>
      </c>
      <c r="B8751" t="inlineStr">
        <is>
          <t>成功</t>
        </is>
      </c>
      <c r="C8751" t="inlineStr">
        <is>
          <t>読み方：よゆう
１必要分以上に余りがあること。また、限度いっぱいまでには余りがあること。「金に—がある」「時間の—がない」「まだ席に—がある」
２ゆったりと落ち着いていること。心にゆとりがあること。「—の話し振り」「周りを見る—もない」</t>
        </is>
      </c>
      <c r="D8751" t="inlineStr">
        <is>
          <t>余裕たっぷり；余裕が無い；余裕が無く；余裕があつ；余裕資金</t>
        </is>
      </c>
      <c r="E8751" t="inlineStr">
        <is>
          <t>端；残り；空間；範囲；余り</t>
        </is>
      </c>
      <c r="F8751" t="inlineStr">
        <is>
          <t>そんな余裕；余裕などない；経済的余裕；経済的な余裕；それだけの余裕</t>
        </is>
      </c>
      <c r="G8751" t="inlineStr">
        <is>
          <t>余裕しゃくしゃく；余裕時分；余裕派；余裕教室</t>
        </is>
      </c>
      <c r="H8751" t="n">
        <v>29</v>
      </c>
      <c r="I8751" t="inlineStr">
        <is>
          <t>このため、道路と線路の間の余裕が少なく高架化は困難と見られてきた。；配線ルートに余裕がない場所に多数の端末を設置する場合に用いられる。；無駄のない艦形だが、武装過剰で兵器の更新に余裕がない欠点があった。；また、田中は安全率に関連して安全余裕という概念への批判を実施した。；そのため、変化を受け入れ、また次の変化に備えるための余裕があった。；しかし、自然に生じるといってもある程度、心に余裕がないと出てこない。；この時は、本番で緊張するばかりで芝居を楽しむ余裕はなかったという。；このことからも当時の弘前藩は、いまだ余裕があったように感じられる。；車両は3100系などの編成数に余裕があるものが使用されていた。；また、当時の英国に十分な数の陸兵を日本に派遣する余裕はなかった。；ただし、車端部の座席はスペースに余裕がないことから回転しない。；もはや時間的な余裕はなく、解囲軍は最後の攻撃を仕掛ける決意をした。；課目は過密であり、生徒に考える余裕を持たせないように図られていた。；敷地には余裕があるようで職員が中庭でフラウンダース大会を開いている。；駐車場ではその容量に余裕があり車両を駐車できる状態のときを指す。；よろめいて流れる敵の背に十分に切り下げることのできるよゆうを見た。；コックピットもその後の大型機と比較してかなり余裕のある作りになっていた。；余裕のある空間を活かしてニューシャトルに関連した展示がなされている。；最初の内は余裕を見せているが、面が進むごとに冷静さを欠く演出になる。；計算上は2発を搭載する余裕しかなかったが、実際には4発が搭載された。；この安全上の余裕は、列車が移動距離を計算する方法の精度に依存している。；この心の余裕を取り戻した家康の姿を見て将兵は皆安堵したとされる。；当時得られていた敵位置情報から時間的な余裕があると判断したためでもあった。；これは耐熱限界が向上したためで、パワー自体はもとより余裕があった。；この機体はE系列機に比べ、機体のペイロードに若干余裕があるのが特徴。；そのため拉縄は九〇式野砲の物よりも余裕のある長さと決められていた。；余裕があった嶋が、システムの構成を渡米までに考えることになった。；イギリスGPではスターリング・モスの地元初優勝を祝う余裕も見せた。；結果がどうなるか考えるよゆうもないまま、彼は脚を高く蹴りあげた。</t>
        </is>
      </c>
      <c r="J8751">
        <f>HYPERLINK("https://www.weblio.jp/content/余裕", "词义详情")</f>
        <v/>
      </c>
      <c r="K8751">
        <f>HYPERLINK("https://yourei.jp/余裕", "查看例句")</f>
        <v/>
      </c>
    </row>
    <row r="8752">
      <c r="A8752" t="inlineStr">
        <is>
          <t>より</t>
        </is>
      </c>
      <c r="B8752" t="inlineStr">
        <is>
          <t>成功</t>
        </is>
      </c>
      <c r="C8752" t="inlineStr">
        <is>
          <t>［副］《助詞「より」から。欧文の翻訳で用いられ広まった語》一段と程度がまさるさま。いっそう。「他の者に比べて、彼は—勤勉だ」「—よい社会」</t>
        </is>
      </c>
      <c r="D8752" t="inlineStr">
        <is>
          <t>より多く；より先；よりずっと；より大きな；より早く</t>
        </is>
      </c>
      <c r="E8752" t="inlineStr">
        <is>
          <t>もっと；一層；ぐっと；一段と；一倍</t>
        </is>
      </c>
      <c r="F8752" t="inlineStr">
        <is>
          <t>より強い；より低い；より小さい；より広い；より長い</t>
        </is>
      </c>
      <c r="G8752" t="inlineStr">
        <is>
          <t>よりかかり；よりまし；よりもい；より子；より道</t>
        </is>
      </c>
      <c r="H8752" t="n">
        <v>29</v>
      </c>
      <c r="I8752" t="inlineStr">
        <is>
          <t>ロボットの重量設定はシリーズ他作品よりも小さいものとなっている。；また、DMAコントローラーに従来よりも高速なものが使用されていた。；そのため、より多くの機材や医師を病院に配置することが求められている。；これはゲームにおいてより大きな手と多くのプレイヤーの参加を許す。；濃い黄色または琥珀色は、より多くの水を飲む必要があることを示している。；これは、より変化の激しい気候の地域に生活するための適応と考えられる。；そのような場合、労働条件は以前よりずっと過酷であるのが普通であった。；準備は2時間で済むはずのところ、3時間半と想定よりも長くかかった。；鉄道が自動車より安全であることの理由として、次のようなことが挙げられる。；後のモデルでは2つの接眼部がより接近するよう改良されている。；これにより、待受け・通信時ともに電池はより長持ちするとされていた。；初代ゼルダ姫は、亡き父王よりトライフォースの秘密を伝えられていた。；母音の数は、奈良時代およびそれ以前には現在よりも多かったと考えられる。；しかし、当初よりこれらの分類は便宜的なものと考えられていた。；キセノンを追加したより汚染の少ない改良バルーンが計画されている。；この頃より合作ではなく、単独で描いた漫画が徐々に増えていく。；より学究的な立場からは、実証性の面からも批判されることがある。；地球や山の成因に関しては、古代より多くの人々が考察を重ねてきた。；県全体の面積は日本一面積の大きい市町村である岐阜県高山市よりも狭い。；そのどちらと言うよりも、中間表現の1種類というべきかもしれない。；これは温度の上昇に伴って伝導電子がより散乱されるためである。；逆に真珠のように日本国内よりも海外の方が高額で取引される宝石も存在する。；後にはより小型化されディスプレイを内蔵した携帯型ゲーム機も発売された。；軌道は冥王星よりもはるかに傾いており、軌道傾斜角は29度にもなる。；直接的な利益よりも長期にわたるプロジェクトによる安定に意味があった。；以下は、よりコンピュータゲーム固有の事情や観点からの分類である。；天の岩戸に閉じ込められた神を岩戸より出てきていただくことを願う歌。；もともと、冥王星は水星よりは大きく火星よりは小さいと考えられていた。；というより形式的で厳密な議論では停止するものだけがアルゴリズムである。</t>
        </is>
      </c>
      <c r="J8752">
        <f>HYPERLINK("https://www.weblio.jp/content/より", "词义详情")</f>
        <v/>
      </c>
      <c r="K8752">
        <f>HYPERLINK("https://yourei.jp/より", "查看例句")</f>
        <v/>
      </c>
    </row>
    <row r="8753">
      <c r="A8753" t="inlineStr">
        <is>
          <t>寄り掛かる</t>
        </is>
      </c>
      <c r="B8753" t="inlineStr">
        <is>
          <t>成功</t>
        </is>
      </c>
      <c r="C8753" t="inlineStr">
        <is>
          <t>読み方：よりかかる
［動ラ五（四）］
１からだをもたせかける。もたれかかる。「壁に—・る」
２自分の力でなく、他を頼みにする。「権力に—・った発言」</t>
        </is>
      </c>
      <c r="D8753" t="inlineStr">
        <is>
          <t>寄りかかる；倚る；凭れる；凭る；凭れかかる</t>
        </is>
      </c>
      <c r="H8753" t="n">
        <v>29</v>
      </c>
      <c r="I8753" t="inlineStr">
        <is>
          <t>ハリーは窓に寄り掛かりだんだん近づいてくるホグワーツ城を見ていた。；階段は、二階の床に穿たれた穴に寄り掛かるような形で設えられていた。；寄り掛かっていた襖の向こうから、父のかすかな唸り声が聞こえてきた。；彼女の細い腕は、彼女の前に置かれたアームチェアに寄り掛かっています。；私もソファに寄り掛かり、しばらく黙ってテレビの画面を眺めていた。；一番奥の窓に寄り掛かるようにして座り、その目は海の向こうを遠く眺めている。；近道を通ろうとすると一人の男がトラックに寄り掛かって煙草を吸っていた。；笠倉屋が障子を開くまでのわずかな間、公家は脇息に寄り掛かっていた。；私は壁に寄り掛かり、非常階段の向こうに見える十一月の空を眺めた。；最初に眼に入ったのは、テーブルに寄り掛かるようにして倒れている若宮の姿だった。；妙子はそのままの姿勢で、机に寄り掛かるようにして座っていた。；蜜蜂は膝を抱えて壁に寄り掛かったまま記憶を手繰り寄せていた。；壁に寄り掛かって天井を仰ぐ者も、宙を見つめてまじないを呟く者もいる。；私をそこに寄り掛からせると、ポケットを探って煙草を取り出した。；ふたりは目を閉じ、お互いの体に寄り掛かるようにしている。；何にしても、少し肩の力抜いて誰かに寄り掛かるってのも手だよ?；椅子に座って犬の頭に手をやっている人もいれば、地面に突き立てた剣に寄り掛かる人もいた。；手前で壁に寄り掛かっていた何人かには見覚えがあった。；散らかったものを足でよけ、窓辺に寄り掛かってアドレス帳をめくった。；自分で出てみると、一人の小男が玄関の円柱に寄り掛かってうずくまっていた。；きみを連れた保護者はサボテンの脇の岩に寄り掛かって、雲に隠れた太陽の位置を目で探した。；その中に、両脇の建物に寄り掛かられるようにして建つ一軒の惣菜屋があった。；「前にも言ったとは思うが」 恐らく腕組みをして壁に寄り掛かっているのだろう。；一人の柵番が塀に寄り掛かって怯える若い太った女の前に立った。；キリストは聖母の右腕に寄り掛かりながら開かれた本のページをめくろうとしている。；ある日、アイスクリーム屋のカウンターに寄り掛かってシホと話をしていた。；壁に寄り掛かって、自分をどこまでも死んだものと思って、このうえさらに悪いものを見ないようにじっと目をつぶっていた。；鉄男は入口近くのカウンターで酒を買い、壁に寄り掛かって目が慣れるのを待った。；私は酔っぱらいがトイレでするように洗面台に寄り掛かり、そのままじっとしていた。</t>
        </is>
      </c>
      <c r="J8753">
        <f>HYPERLINK("https://www.weblio.jp/content/寄り掛かる", "词义详情")</f>
        <v/>
      </c>
      <c r="K8753">
        <f>HYPERLINK("https://yourei.jp/寄り掛かる", "查看例句")</f>
        <v/>
      </c>
    </row>
    <row r="8754">
      <c r="A8754" t="inlineStr">
        <is>
          <t>寄り添う</t>
        </is>
      </c>
      <c r="B8754" t="inlineStr">
        <is>
          <t>成功</t>
        </is>
      </c>
      <c r="C8754" t="inlineStr">
        <is>
          <t>読み方：よりそう
［動ワ五（ハ四）］もたれかかるように、そばへ寄る。「—・って歩く」</t>
        </is>
      </c>
      <c r="F8754" t="inlineStr">
        <is>
          <t>ぴったり寄り添う；そっと寄り添う；まるで寄り添う</t>
        </is>
      </c>
      <c r="H8754" t="n">
        <v>29</v>
      </c>
      <c r="I8754" t="inlineStr">
        <is>
          <t>それでそれで、二人はそのまま寄り添うように夜の街へと消えていくの。；しかし思いのままに寄り添う事すらできない大道であるのをどうしよう。；水の中に頭を突きさして斃れている親馬に仔馬が寄り添って死んでいた。；彼女が寄り添ってきたのは、手紙の中に見える愛情のなす仕業であろう。；ヒューズの工場は工場に寄り添って成長してきた住宅地に名前を与えた。；外へ出ると、二人の子供は、両側から、寄り添うようにしてついて来た。；あたしの中にしかいない彼女は、けっして寄り添ってくれることはない。；夫の傍に寄り添うようにして立っていた女は、由岐子と同年代に見えた。；どんなに寄り添っても、 隙間の全てを埋めることはできないのだから。；夫妻の遺体は奇跡的に、美しいままで寄り添うようだったと伝えられる。；他に身寄りの存在しない彼と彼女は、2人で寄り添うより他に術はない。；夏の風が彼のかたわらに寄り添った形の桐子の長い髪をそよがせている。；しかし思いのままに寄り添うことすらできない大道であるのをどうしよう。；そっと大介のそばに、体を寄り添わせ、安らぐように静かな息をついた。；急にひとりで放り出されたような寂しさだけが、自分に寄り添っていた。；ここは見ての通り貧乏長屋だが、みんなが寄り添い合って暮らしてんだ。；しかしそこで寝ていた母親の隣には見知らぬ男が母に寄り添って眠っていた。；幼い頃から、この二人はずっとこうして寄り添ってきたのに違いない。；そもそも、自分の娘が全く知らない男に寄り添う姿を想像できるのか。；親犬らしい一匹にそれよりも体の小さいのが三匹寄り添っている。；悦生はそう思いましたが、寄り添ってきたのはではなくて好好でした。；折れた羽の一本は、寄り添うように床の上に置いてあるだけだった。；彼女は黙って彼について店を出、寄り添うように彼の側に立っていた。；さらには寄り添うように傍に座ってきたりヒザのところに脚をかけてきたり。；それでも私の心の奥のなにかにそっと寄り添ってくれているもの。；お互いがお互いの一部分になったかのように、二人は寄り添い合っていた。；隻眼の男に寄り添っていた少女とは、姿が同じでありながら明らかに違う。；私はとくに命を奪われあるいは負傷した人々のご家族に寄り添いたいと思います。；あの男は、あなたに寄り添って寝ながら、平気であなたを殺す男ですよ。</t>
        </is>
      </c>
      <c r="J8754">
        <f>HYPERLINK("https://www.weblio.jp/content/寄り添う", "词义详情")</f>
        <v/>
      </c>
      <c r="K8754">
        <f>HYPERLINK("https://yourei.jp/寄り添う", "查看例句")</f>
        <v/>
      </c>
    </row>
    <row r="8755">
      <c r="A8755" t="inlineStr">
        <is>
          <t>寄る</t>
        </is>
      </c>
      <c r="B8755" t="inlineStr">
        <is>
          <t>成功</t>
        </is>
      </c>
      <c r="C8755" t="inlineStr">
        <is>
          <t>読み方：よそる
［動ラ四］
１自然に引き寄せられる。
「荒山も人し寄すれば—・るとぞいふ」〈万・三三〇五〉
２波が打ち寄せられる。寄せる。
「白波の—・る浜辺に別れなばいともすべなみ八度袖振る」〈万・四三七九〉
３ある異性に心を寄せているとうわさされる。
「新田山(にひたやま)嶺(ね)には付かなな我(わ)に—・りはしなる児らしあやにかなしも」〈万・三四〇八〉</t>
        </is>
      </c>
      <c r="D8755" t="inlineStr">
        <is>
          <t>寄るとさわる；寄ると触る；寄るべき；寄るまい；寄る混沌ナイアルラトホテップ</t>
        </is>
      </c>
      <c r="E8755" t="inlineStr">
        <is>
          <t>訪問；接近；会う；訪れる；近づく</t>
        </is>
      </c>
      <c r="F8755" t="inlineStr">
        <is>
          <t>這い寄る；駈け寄る；ひ寄る；しのび寄る；慕い寄る</t>
        </is>
      </c>
      <c r="G8755" t="inlineStr">
        <is>
          <t>寄るべ；寄る年波には勝てぬ</t>
        </is>
      </c>
      <c r="H8755" t="n">
        <v>29</v>
      </c>
      <c r="I8755" t="inlineStr">
        <is>
          <t>駅舎とホームを連絡するエレベーターが名古屋寄り端に設置されている。；お花は帰りに深川のお若の家へ寄って、病気の様子をみて来ると言った。；突然の事態に慌てて寄って来た家来に自分は正気であると伝えたという。；駅舎は線路東側の内部寄りにあり、ホームへは構内踏切で連絡している。；これらの金属色は自由電子に寄るものではないことも明らかにしている。；戻ってきたらすぐ私の所へ寄って、どうなったか正確に知らせてください。；自分の方から機械のそばへ寄ったなんて、そんな馬鹿なことがあるものか。；まるで麻痺したような顔を見せたのも一瞬、ふたたび彼は寄ろうとする。；当時は子供の注目の的でどこに行っても子供が寄ってきたという。；少年は、その日は思いも寄らぬたくさんな金を、人々からもらいました。；何かが這い寄って来る音が響き、眠っていたレゲッティが悲鳴を上げる。；その翌日から私はもうFの家を訪れてもグリツプの傍には寄らなかつた。；お金は帰りにここへも寄って、外記の生まれ年月をいって判断を頼んだ。；なんのために寄るようなことをしたのか、それすら僕にはわからないんだ。；その場に夫がいるのを見ると、喜びの叫びをあげてかけ寄ろうとした。；そして緑色の怪物の中で、隊長らしく見える者の方へつかつかと寄った。；駅舎は線路西側にあり、ホームへは府中寄りの構内踏切で連絡している。；駅舎は線路西側の可部寄りにあり、ホームへは構内踏切で連絡している。；駅舎は線路東側にあり、ホームへは可部寄りの構内踏切で連絡している。；中央にバイイ、中央寄り右下で胸に手を当てているのがロベスピエール。；ホームの信濃町寄りは曲線区間にあり、電車との隙間が広く開いている。；ぽかんと口を開いたまま、そはへ寄って来るその男をぼんやりながめた。；日本にこれだけの作家があろうとは思いも寄らなかったからである。；それだからめったには来ないが、今日は誘いに寄るといっていたのです。；まさか、人間の方から挑戦してくるとは思いも寄らなかったのだろう。；下りホームと上りホームとは、新山口寄りにある跨線橋で連絡している。；それでも直ぐに私のそばへ駈け寄って来て、私の荷物を持ってくれた。；土地の人ではお后に余り近く寄った時、 あのパリスだけその薫がした。；駅舎やトイレはなく、各ホームの綾部寄りから直接に入る形になっている。</t>
        </is>
      </c>
      <c r="J8755">
        <f>HYPERLINK("https://www.weblio.jp/content/寄る", "词义详情")</f>
        <v/>
      </c>
      <c r="K8755">
        <f>HYPERLINK("https://yourei.jp/寄る", "查看例句")</f>
        <v/>
      </c>
    </row>
    <row r="8756">
      <c r="A8756" t="inlineStr">
        <is>
          <t>夜</t>
        </is>
      </c>
      <c r="B8756" t="inlineStr">
        <is>
          <t>成功</t>
        </is>
      </c>
      <c r="C8756" t="inlineStr">
        <is>
          <t>読み方：や
［音］ヤ（呉）（漢）　［訓］よ　よる
［学習漢字］2年
〈ヤ〉よる。「夜陰・夜間・夜勤・夜景・夜行(やこう・やぎょう)・夜食・夜半／暗夜・一夜・五夜・今夜・終夜(しゅうや)・初夜・除夜・深夜・昼夜・通夜(つや)・徹夜・日夜・暮夜・連夜」
〈よ〉「夜風・夜中・夜長／月夜・闇夜(やみよ)」
〈よる〉「夜昼」
［名のり］やす
［難読］十六夜(いざよい)・小夜(さよ)・昨夜(ゆうべ)・昨夜(よべ)・終夜(よすがら)・終夜(よもすがら)・夜半(よわ)</t>
        </is>
      </c>
      <c r="D8756" t="inlineStr">
        <is>
          <t>夜八；夜おそく；夜ごと；夜十；夜闇</t>
        </is>
      </c>
      <c r="E8756" t="inlineStr">
        <is>
          <t>晩；夜間；夜中；夜半；小夜</t>
        </is>
      </c>
      <c r="F8756" t="inlineStr">
        <is>
          <t>暗い夜；寒い夜；雁夜；七夜；夜寝る</t>
        </is>
      </c>
      <c r="G8756" t="inlineStr">
        <is>
          <t>夜中；夜明け；夜空；夜半；夜具</t>
        </is>
      </c>
      <c r="H8756" t="n">
        <v>29</v>
      </c>
      <c r="I8756" t="inlineStr">
        <is>
          <t>昼と夜で同じ数があるので、これらを区別して右の表のように呼んだ。；これはダグが妻から外出を許されていたのが金曜の夜だったからである。；昼はそばなどを軽く食べ、夜は酒の肴をあてにひたすら酒を飲んでいた。；人目につかないよう夜に教えたり、場所も人里離れた墓地などで教えた。；一方で午後から登庁し、夜まで勤務することには不満も持たれていた。；統計的には夜12時に近いほど見られやすいということが分かっている。；その夜、一人の痩せた弱々しい青年が小屋の鍵をこじ開けて入ってきた。；ある夜、私の機はプラットで訓練中に、衝突でエンジン火災を起こした。；若いころから夜遊び好きであり、毎晩のように夜の街に繰り出していた。；探査機が惑星の夜側を通過した際の観測から、稲妻の光も観測された。；ある日の夜、二つの布包みを咥えた一羽のコウノトリが飛行していた。；夫は夜になると寝所に現れるのみで姿を見ることはできなかった。；月を神格化した、夜を統べる神であると考えられているが、異説もある。；翌日の夜の観測でガリレオはこれらの光点が動いているのを発見した。；その夜には秀吉本人が家康に秘かに会いにきて、改めて臣従を求めた。；このことは地球上の昼半球と夜半球では伝搬状況が異なることを意味する。；するとすぐに日光が降り注ぎ、再び昼と夜が分かれたということである。；また夜には連合軍の空襲の恐怖にさらされることも多くなっていった。；AM放送は電離層の関係で夜になると受信範囲が広がる特性があった。；事件が起きたのが月曜日の夜で、明らかになったのは火曜日の朝だったこと。；北海学園大学には夜間部もあるために夕方 - 夜も学生の往来が多い。；ロランがヴィシニティで暮らし始めて2年が経った夏至の日の夜のこと。；日本付近では、年により差があり、平均すれば昼が夜よりも約14分長い。；朝ラッシュ時・夕方・夜には当駅発着の急行・準急・普通が設定されている。；運行開始以来、直方駅発が朝、博多駅発が夜に運行されるダイヤである。；兵舎での生活を常としたため、妻をもっても夜には兵舎に戻る必要があった。；京葉線直通列車は君津発東京行きの普通列車が夜に2本設定されている。；宝冠のことを聞いたメアリーは、その夜に訪れてきたバンウエルに話した。；日本付近では、年による差もあるが、平均すれば昼が夜よりも約14分長い。</t>
        </is>
      </c>
      <c r="J8756">
        <f>HYPERLINK("https://www.weblio.jp/content/夜", "词义详情")</f>
        <v/>
      </c>
      <c r="K8756">
        <f>HYPERLINK("https://yourei.jp/夜", "查看例句")</f>
        <v/>
      </c>
    </row>
    <row r="8757">
      <c r="A8757" t="inlineStr">
        <is>
          <t>因る</t>
        </is>
      </c>
      <c r="B8757" t="inlineStr">
        <is>
          <t>成功</t>
        </is>
      </c>
      <c r="C8757" t="inlineStr">
        <is>
          <t>読み方：よる
［動ラ五（四）］《「寄る」と同語源》
１（因る・由る）それを原因とする。起因する。「濃霧に—・る欠航」「成功は市民の協力に—・る」
２（依る）物事の性質や内容などに関係する。応じる。従う。「時と場合に—・る」「人に—・って感想が違う」「成功は努力いかんに—・る」
３（依る）動作の主体をだれと指し示す。「市民楽団に—・る演奏」
４（依る）それと限る。「だれに—・らず文句を言う」「何事に—・らず好き嫌いが多い」
５（依る）手段とする。「機械に—・る生産」「挙手に—・る採決」
６（依る）頼る。依存する。「信仰に—・って生きる」「年金に—・って生計を立てる」
７（拠る）根拠とする。「実験に—・る結論」「天気予報に—・ると大雨らしい」
８（拠る）よりどころとする。のっとる。「法律の定めるところに—・る」
９（拠る）根拠地とする。たてこもる。「城塞に—・って戦う」
[可能]よれる</t>
        </is>
      </c>
      <c r="D8757" t="inlineStr">
        <is>
          <t>因るなら；因るべけれ</t>
        </is>
      </c>
      <c r="E8757" t="inlineStr">
        <is>
          <t>依存；掛かる；拠る；依る；掛る</t>
        </is>
      </c>
      <c r="H8757" t="n">
        <v>29</v>
      </c>
      <c r="I8757" t="inlineStr">
        <is>
          <t>彼は一方には神の如く一方には悪魔の如く眺められたる者は之に因るのみ。；これだけ大きな音であってもその時の状況に因っては聴き取れないのだ。；陰陽道の下食と、本群の独特な形態に因んで名付けられたと考えられる。；なお、この日中の対立に因り極東選手権はこの大会が最後となっている。；彼等が二つの種類に分けられるのは、多く偶然の機会に因るのである。；私たちが民藝に関心を有つようになったのは、二つの理由に因るのです。；海に関係する業界、海に因んだ物事でこの名をつけているものは多い。；技名に関しては、それぞれの地名に因んだものがモチーフとなっている。；同駅の近くにある四天王寺が除夜の鐘で知られていることに因んでいる。；信者が何百人と増えたのはそれに因って救われた者がいたからです。；それは外があまりにも暑いからではなく、或る、一つの噂に因る物だった。；アメリカ合衆国のローレンス・リバモア国立研究所に因んで命名された。；そもそも、俺があんな目にあったのはこいつに因るところが大きい。；各言語で以下のように表記され、これに因んだ地名が各地にある。；その一門の富貴栄華は、一にこの夫人に因って代表さるると称して可い。；夕霧の名は彼が中心人物になる巻の名に因んで後世の人がつけたもの。；コスモデミヤンスカヤは彼女の母親に因んで名付けられたものである。；ドイツの数学者ベルンハルト・リーマンに因んでこの名前がついている。；また、もとは橋の南にある法輪寺に因んで「法輪寺橋」と称されていた。；しかし、私の草に対する親しみは、それのみに因ることではありません。；ポーランド出身のロシアの歌手アンナ・ゲルマンに因んで命名された。；毎回様々な分野のゲストが出場し、そのゲストに因んだ問題が出題された。；主な登場人物には水や海、水生生物に因んだ名前がつけられている。；因って父もこの随行者のいるある寺にいたので、私はそこへ到着したのであった。；発見されたクレチ天文台と天文台のある山の名前に因んで命名された。；大会名は、1930年代に活躍した伝説の名プレーヤー、に因んでいる。；以前にはジョージ・ワシントンに因んで名付けられたものもあった。；さきに想像を逞しゅうするしかないと書いたのは、この詳細の不明さに因る。；アメリカ合衆国内にはカルプに因んで名づけられた地名が幾つかある。</t>
        </is>
      </c>
      <c r="J8757">
        <f>HYPERLINK("https://www.weblio.jp/content/因る", "词义详情")</f>
        <v/>
      </c>
      <c r="K8757">
        <f>HYPERLINK("https://yourei.jp/因る", "查看例句")</f>
        <v/>
      </c>
    </row>
    <row r="8758">
      <c r="A8758" t="inlineStr">
        <is>
          <t>喜ばしい</t>
        </is>
      </c>
      <c r="B8758" t="inlineStr">
        <is>
          <t>成功</t>
        </is>
      </c>
      <c r="C8758" t="inlineStr">
        <is>
          <t>読み方：よろこばしい
［形］［文］よろこば・し［シク］喜ぶべき状態である。うれしい。「こんな—・いことはない」「—・い知らせ」
[派生]よろこばしげ［形動］よろこばしさ［名］</t>
        </is>
      </c>
      <c r="D8758" t="inlineStr">
        <is>
          <t>喜ばしいこと(33%)；喜ばしいもの(6%)；喜ばしい事(2%)；喜ばしいニュース；喜ばしい限り</t>
        </is>
      </c>
      <c r="E8758" t="inlineStr">
        <is>
          <t>満足；幸福；明るい；面白い；幸せ</t>
        </is>
      </c>
      <c r="F8758" t="inlineStr">
        <is>
          <t>喜ばしいことです；大いに喜ばしい；誠に喜ばしい；これほど喜ばしい；あまり喜ばしい</t>
        </is>
      </c>
      <c r="H8758" t="n">
        <v>29</v>
      </c>
      <c r="I8758" t="inlineStr">
        <is>
          <t>ようやく、見られている自分に戻りつつあることを彼は喜ばしく感じた。；数時間後に訪れるだろう喜ばしい結果を想像して思わず笑みがこぼれる。；この感情の中には、なにひとつ楽しいものも、喜ばしいものもなかった。；実に喜ばしいことで、実に楽しいことで、それ以上のことはありません。；夜中の連絡が喜ばしいものでないことなんか、ずっと昔から知っている。；二人の生活はこの時ほど明るく、この時ほど喜ばしいことはなかった。；ハイデッガーはこの詩を光の言葉で語られた「喜ばしさ」であるとする。；僕を喜ばし、僕に幸福を感じさせるものはつまらぬものと云へるだらう。；私はいい後輩に破ってもらったことをむしろ喜ばしくさえ思っている。；もち論それは、今日が明るく、喜ばしい日であったという意味ではない。；だから、米の値上りは収入の増加を意味し、喜ばしいことといえるのだ。；僕はここに一人のよき話し相手を得たことを、ひそかに喜ばしく感じた。；何と言っても先に進んでいた友人が同じ序列に戻ってきたのは単純に喜ばしい。；まだそんな動物的な勘がわれわれに残っていたとすれば、喜ばしいことだ。；お前がヒマなのは俺がヒマである以上に喜ばしいことだと思うんでね。；目を丸くして見つめていると、ますます高らかに喜ばしげに語り上げる。；だとしたら喜ばしい成長だと思いながら、リディアは彼の手を取った。；この雨の日の滝と雲とが、どれほど幼い頃の私を喜ばして呉れたであろう。；バカげた話であるが、戦後はそんなこともなく明るくなったのが喜ばしい。；こう心を決めてしまうと侯爵夫人はこう言ってゴンゾを喜ばしてやった。；男とほぼ同時か、少し後のオルガスムスなら確かに喜ばしいことである。；リンネは不満たらたらだったが、僕からすればこんな喜ばしいことはない。；これは実に喜ばしい事であって、運動ももう少し社会的にならなければならぬ。；喜ばしい事態だというのに、なぜわたしはすなおになれないのだろう。；天ではどれだけ喜ばしい幸福と計り知れない美しい観ものがあったか。；二人の婦人の姿を認めるや、喜ばしげな驚きの身ぶりをして叫んだ。；歓迎できる内容ではないが、いつになく口数が多いのは喜ばしい兆候だ。；喜ばしい内容の時もあれば、全財産を奪われてしまうこともある。；あなたも新墓に手をお着けになるのを見て、わたしは喜ばしいです。</t>
        </is>
      </c>
      <c r="J8758">
        <f>HYPERLINK("https://www.weblio.jp/content/喜ばしい", "词义详情")</f>
        <v/>
      </c>
      <c r="K8758">
        <f>HYPERLINK("https://yourei.jp/喜ばしい", "查看例句")</f>
        <v/>
      </c>
    </row>
    <row r="8759">
      <c r="A8759" t="inlineStr">
        <is>
          <t>喜び</t>
        </is>
      </c>
      <c r="B8759" t="inlineStr">
        <is>
          <t>成功</t>
        </is>
      </c>
      <c r="C8759" t="inlineStr">
        <is>
          <t>読み方：よろこび
１よろこぶこと。うれしく思うこと。「苦労の分だけ—も大きい」「受賞の—をかみしめる」⇔悲しみ。
２祝いごと。おめでた。慶事。「結婚、栄転と—が続く」
３祝うこと。祝いの言葉。「新年の—を寿(ことほ)ぐ」
４与えられた慶事や好意に対するお礼。また、その謝辞。
「紀介殿ただ貸し給へかし、—は思ひ当らん」〈盛衰記・一九〉
[補説]書名別項。→喜び</t>
        </is>
      </c>
      <c r="D8759" t="inlineStr">
        <is>
          <t>喜び勇ん；喜びまし；喜び合う；喜びいさん；喜び迎え</t>
        </is>
      </c>
      <c r="E8759" t="inlineStr">
        <is>
          <t>満足；楽しみ；歓；快適；快</t>
        </is>
      </c>
      <c r="F8759" t="inlineStr">
        <is>
          <t>お喜び；大きな喜び；深い喜び；大変喜び；純粋な喜び</t>
        </is>
      </c>
      <c r="G8759" t="inlineStr">
        <is>
          <t>喜びの歌；喜びの琴；喜び組；喜びも悲しみも幾歳月；喜びの島</t>
        </is>
      </c>
      <c r="H8759" t="n">
        <v>29</v>
      </c>
      <c r="I8759" t="inlineStr">
        <is>
          <t>人々はアマチュアリズムの精神で大会に参加することを喜びとしていた。；彼ほどチームの勝利に喜びを感じていた選手はいなかったんじゃないかな。；彼らはこの世の喜びと豊かさを修道院は否定していると信じているようだ。；彼の練習する姿や笑っているところを見るのは私にとって喜びだった。；打った本人は大喜びしていたが、当時の達川晃豊監督は唖然としていた。；むしろ相互におこない、された側が喜びを露にするのが一般的である。；しかしこの場合には、朝の喜びを讃えるスペインの民族舞曲とみられる。；この舞台で初めて女優としての喜びを知り、以降女優業に本腰を入れる。；娘の姉たちは嫉妬の色を隠せないでいるが、一家は娘の幸福を喜び合う。；その結果人々が得た喜びを語り出すと、再び明るい曲調が帰ってくる。；この時、曽根は神永の背中が痛くなるほど叩いて喜びを表現したという。；たまたまこの様子を見ていた孫権はこれを喜び、呂拠を盪寇将軍とした。；例え何処に居ようとも、貴方への愛と喜びに変わるところはありません。；後でテレビを見ていたら、陛下も手を叩いてお喜びになっていました。；ドイツ国民はこのニュースを喜び、プリーンらは国民的英雄となった。；高宗はこのことを大変に喜び、金法敏は太府卿の職を授かって帰国した。；跳躍成功後、マットの上でダンスを踊り喜びを表すことでも知られている。；それが喜びの源となっている場合もあれば、葛藤の源となっている場合もある。；数日後、リリーがとらやを訪ねてきて、再会した二人は大いに喜び合う。；敗訴に落ち込んでいた両弁護士は、大喜びでこの申し入れを受け入れた。；ユーモアのあるスピーチで観客に新たな喜びと感動を与えていると言われる。；その夜、トリンギット族はロシアの攻撃を撃退したことで喜びに沸いた。；調教師試験の合格時の会見には戸山の未亡人も同席して喜びを共にした。；芸術の擁護者を自任する校長先生は、村から芸術家を輩出したと大喜び。；エミリーを始めとした子供たちは犬が家族になると大喜びする。；クリーブランドの街全体が喜びに満ち溢れたことは言うまでもなかった。；喜びは喜びとして、不幸は純粋に不幸として受け取らなくてはならない。；ケニーが喜びを感じていることは、彼が運営するチームが発展することである。；上の歌には万葉らしく、鎌足の二重の喜びが素直に表現されている。</t>
        </is>
      </c>
      <c r="J8759">
        <f>HYPERLINK("https://www.weblio.jp/content/喜び", "词义详情")</f>
        <v/>
      </c>
      <c r="K8759">
        <f>HYPERLINK("https://yourei.jp/喜び", "查看例句")</f>
        <v/>
      </c>
    </row>
    <row r="8760">
      <c r="A8760" t="inlineStr">
        <is>
          <t>喜ぶ</t>
        </is>
      </c>
      <c r="B8760" t="inlineStr">
        <is>
          <t>成功</t>
        </is>
      </c>
      <c r="C8760" t="inlineStr">
        <is>
          <t>読み方：よろこぶ
［動バ五（四）］
１そのことにあって、うれしいと思う。楽しく快い気持ちになる。「合格を—・ぶ」⇔悲しむ。
２よいこととして、気持ちよく受け入れる。ありがたく受け入れる。「人の忠告を—・ばない」
３よいこと、めでたいことと思う。祝福する。「御結婚を心から—・んでいます」
４（「よろこんで…」の形で）すすんで、気持ちよく受け入れる。「—・んで出席させていただきます」
５《出産を喜ぶ意から》子供を産む。出産する。
「子ヲ—・ブ」〈日葡〉
[可能]よろこべる
［動バ上二］《の古形》に同じ。
「こほろぎの待ち—・ぶる秋の夜を寝(ぬ)る験(しるし)なし枕と我は」〈万・二二六四〉</t>
        </is>
      </c>
      <c r="D8760" t="inlineStr">
        <is>
          <t>喜ぶべき(7%)；喜ぶだろ(5%)；喜ぶでしょ；喜ぶかもしれ；喜ぶまい</t>
        </is>
      </c>
      <c r="E8760" t="inlineStr">
        <is>
          <t>大喜び；喜悦；舞い上がる；悦ぶ；小躍り</t>
        </is>
      </c>
      <c r="F8760" t="inlineStr">
        <is>
          <t>きっと喜ぶ；さぞ喜ぶ；大いに喜ぶ；たら喜ぶ；むしろ喜ぶ</t>
        </is>
      </c>
      <c r="H8760" t="n">
        <v>29</v>
      </c>
      <c r="I8760" t="inlineStr">
        <is>
          <t>霊鞠は祭酒の官にあることを喜んで、死ぬまで祭酒でありたいと望んだ。；登場人物が豊富であり、当時のアニメ好きの少女たちにも喜ばれていた。；ほとんど価値のない論文ですが、あの可哀想な男は喜んでいるでしょう。；同じく生徒になることは私を喜ばせ、また私に似つかはしいものだつた。；夏の最中に冬の物である雪を見るということが非常に登山者を喜ばせる。；自身も古い時代の家に住んだことを喜んでいる手紙を書いている。；私が感じたままをいふと、S君は率直にその言葉を受けて喜ぶのだつた。；彼は彼女がオーディションに合格したことを自分の娘のことのように喜んだ。；女の子はそれで喜んでいるし、他の隊員も紹介してくれと言われる。；また、巨人へのトレード移籍が決まった際に父親は大興奮で喜んだという。；敵将のいった言葉がここで皮肉に生きて来て観客を喜ばせるのである。；一人で喜んでいると、向こうから声がかかって師匠は行ってしまう。；これを容れた明宗が八関会を廃止すると、民たちは大きく喜んだという。；たまたま笠原和夫が撮影を観ていて、ひっくり返って喜んでいたという。；当時の関東軍参謀は今日考えられるように人々の喜ぶ地位ではなかった。；ふたりは境遇を同じくする当事者同士のこの対面を互いに喜んだという。；ある無名の作者が最もイングランド人を喜ばせるこのような詩を書いた。；産養が盛大に行われるが、彼の誕生は決して喜ばれたものではなかった。；だが一体、警視庁のこの企てのどの点がかくも世間を喜ばせているのか。；父親はいきなりの展開にも拘らず入門を喜んだが、一方で母親は猛反対。；帰路、ふたたび野中に着くと桜は育っており、喜んだ夫妻は道を急いだ。；アニメでは自分のハイレグ水着姿に見惚れる男たちの存在に喜んでいる。；アンセルムスは喜んで、これからは妻を女王のように大切にすると決める。；私は編輯者が喜ぶような面白い小説を書いてやろう、と思うときもある。；そして朝廷へ帰順の使者を派遣すると、武帝はその到来を喜んだという。；オルタナ右翼支持者の一部はこの批判を受けたことをむしろ喜んだ。；私がこの4年間それを喜んでいたのは彼女もそれを喜んでいてくれたからだった。；勝利を喜んだのはアメリカだけではなく、フランス王国もそうだった。；福山のデビュー当初からのファンだった 本田は泣いて喜んだという。</t>
        </is>
      </c>
      <c r="J8760">
        <f>HYPERLINK("https://www.weblio.jp/content/喜ぶ", "词义详情")</f>
        <v/>
      </c>
      <c r="K8760">
        <f>HYPERLINK("https://yourei.jp/喜ぶ", "查看例句")</f>
        <v/>
      </c>
    </row>
    <row r="8761">
      <c r="A8761" t="inlineStr">
        <is>
          <t>喜んで</t>
        </is>
      </c>
      <c r="B8761" t="inlineStr">
        <is>
          <t>成功</t>
        </is>
      </c>
      <c r="C8761" t="inlineStr">
        <is>
          <t>読み方：よろこんで
［副］「喜ぶ4」に同じ。「—お伺いいたします」</t>
        </is>
      </c>
      <c r="D8761" t="inlineStr">
        <is>
          <t>喜んで迎え(2%)；喜んで食べ；喜んでいい；喜んでゐる；喜んで応じ</t>
        </is>
      </c>
      <c r="E8761" t="inlineStr">
        <is>
          <t>快く</t>
        </is>
      </c>
      <c r="F8761" t="inlineStr">
        <is>
          <t>つて喜んで；喜んで聞い；喜んで話し；喜んで死ぬ；喜んではいなかった</t>
        </is>
      </c>
      <c r="H8761" t="n">
        <v>29</v>
      </c>
      <c r="I8761" t="inlineStr">
        <is>
          <t>その時分に私たちが喜んで食べてゐたものを二つ三つ思ひ出してみよう。；手段を選ばずに楽して有名になろうと思って、喜んで私を攻撃するんだ。；国を良くするのだという希望に燃えて、喜んで政府の命令に従っている。；これが夫の子なら、この子のお母さんさえ承知なら私は喜んで育てるわ。；また国外追放後にソ連市民権が回復すると彼は喜んでロシアに帰還した。；たいていは私が日本文で書いて出す手紙を喜んで読んだ人たちである。；私は理学も動物の方を研究していた者ですから、喜んで参加いたしました。；「お前の齢を九十にしてやる」 少年は喜んでお辞儀をして帰ってきた。；客が帰った後、それまでの平然とした振りを捨てて、喜んで小躍りした。；馬はひどく喜んで別れてからの後の話をして、とうとうそこに泊った。；手は喜んでそれを受け取ろうとして開いたが、心はまるで開かなかった。；それはいいものがあると喜んで、M君がまた駈け出して取りに行った。；メフィストフェレス なんでもわしに出来る事なら喜んでして上げる。；喜んで飛び起きた金さんは朝湯の帰りに酒を買ってきて飲みはじめた。；とにかくこの問題にはたしかに興味を感じるから、喜んで調べてみましょう。；兄さんのように毎日喜んでいられる人が日本中に一人でもありますか。；お君の方について来た女中たちもまた、喜んでこのお客を待遇しました。；すると、貴族たちは、叩き役の助けをかりて、喜んで答えてくれました。；利七も甚ッと喜んで以来陳と友達同士のようになって暮しておりました。；見たかったら見せてもらいに行けば喜んで見せてくれるだろう。；もう薬を飲まなくていいと喜んで帰ってきた幹夫に晴子は新刊を見せる。；子供らは、腹が減っていますので、みんなおむすびを喜んで食べました。；家も新築されてあとが栄えてると人づてにきいて喜んでたのだったが。；プティー・ピクプュスの女たちは前から年金を喜んで受けていたのである。；はじめから成瀬に愛情など抱いていない絹江も、志摩介に喜んで応じた。；彼女は以前彼から想われたことを知っていて、喜んで抱擁してくれる。；世界中に私が喜んで呼びとめられるのは、先づ貴方位のもんでせうよ。；それでゐて、喜んでやつたほかのわるさは卑怯にも否定してしまつた。；昔の主人筋の言ふことであるから、千代松夫婦は寧ろ喜んで承知した。</t>
        </is>
      </c>
      <c r="J8761">
        <f>HYPERLINK("https://www.weblio.jp/content/喜んで", "词义详情")</f>
        <v/>
      </c>
      <c r="K8761">
        <f>HYPERLINK("https://yourei.jp/喜んで", "查看例句")</f>
        <v/>
      </c>
    </row>
    <row r="8762">
      <c r="A8762" t="inlineStr">
        <is>
          <t>よろしい</t>
        </is>
      </c>
      <c r="B8762" t="inlineStr">
        <is>
          <t>成功</t>
        </is>
      </c>
      <c r="C8762" t="inlineStr">
        <is>
          <t>読み方：よろしい
［形］［文］よろ・し［シク］《動詞「寄る」の形容詞化、または「よらし」の音変化》
１《「よい」の丁寧な言い方》
㋐能力や質がすぐれているさま。程度が高い。「仕上がりはこちらが—・い」「御子息は頭が—・い」
㋑健全だ。健康だ。「気分はあまり—・くない」
㋒地位や身分が高い。また、裕福だ。「育ちが—・くていらっしゃる」
㋓有利だ。価値が高い。「この方式のほうが利率が—・い」
㋔向いている。ふさわしい。効き目がある。「客商売に—・い立地」
㋕好ましい。望ましい。「看板は目立つほうが—・い」「おとなしいお子さんで—・いですね」
㋖正しい。正当だ。善だ。「心掛けが—・い」
㋗人にやさしい。人との仲が円満だ。「お二人は本当に仲が—・いのね」
㋘吉にかなって、めでたい。「本日はお日柄も—・いようで」
２《「よい」の丁寧な、また尊大ぶった言い方》許容範囲内であるさま。
㋐許可できる。「お引き取りいただいても—・いですよ」「—・い。引き受けましょう」
㋑さしつかえない。支障ない。「いつでも—・いから、一度相談に来なさい」
㋒どうでもよい。不要だ。無用だ。「私のことは—・いから、どうぞそのまま続けてください」「建て前などは—・い。本音を言いたまえ」
３一応の基準に達していて、とりあえず満足しておくべき意を表す。
㋐悪くはない。まずまずだ。まあまあだ。
「京に上りて宮仕へをせよ。—・しきやうにもならば、我をも訪へ」〈大和・一四八〉
㋑ひとまず安心できる状態である。ましだ。
「病にしづみて久しく籠もりゐて侍りけるが、たまたま—・しくなりて」〈新古今・哀傷・詞書〉
㋒どうというほどでもない。普通だ。通常だ。平凡だ。→良い→宜(よろ)しく
「春ごとに咲くとて、桜を—・しう思ふ人やはある」〈枕・三九〉</t>
        </is>
      </c>
      <c r="D8762" t="inlineStr">
        <is>
          <t>よろしいです(9%)；よろしいでしょ(8%)；よろしいんです；よろしいんでしょ；よろしいんじゃ</t>
        </is>
      </c>
      <c r="E8762" t="inlineStr">
        <is>
          <t>いい；よい；良い；立派；健康</t>
        </is>
      </c>
      <c r="F8762" t="inlineStr">
        <is>
          <t>ほうがよろしい；たらよろしい；どうでもよろしい；およろしい；いってよろしい</t>
        </is>
      </c>
      <c r="H8762" t="n">
        <v>29</v>
      </c>
      <c r="I8762" t="inlineStr">
        <is>
          <t>よろしければ、これからお身体の具合を見させてもらってもいいですか?；けれどもこれらはごく普通の場合でなくってまあ例外というてよろしい。；あなたさまはもう三百二杯目でございますがよろしゅうございますか。；第三に、練習用脚本は、日本現代作家のものなら誰のものでもよろしい。；しかし、奥さんと御相談なさらずにお決めになつてもよろしいのですか?；あなた様ももう一人の殿様も、一緒のお部屋でよろしゅうございますね?；なるべくなら男二人の方がよろしゅうございますが、なにかまいません。；もしよろしければこれからうちの研究所をご覧になっていただけませんか。；あれを御覧にいれた方がわたくしには都合がよろしかったのですもの。；世の中には色とりどりの愉しいこと面白いことがあった方がよろしいな。；送料や箱代は売り手がもってくれるから、犬の値だけでよろしいそうだ。；彼ら自身が百姓よりは身分よろしき者と心得ていたのにも確かに理由はある。；私の夕食の仕度だけしておいてくれたら、お前たちも出掛けてよろしい。；よろしい、酒を飲んで酔ふ場合ばかりでなく、任意自由にさうありたい。；あなた方は、首里におられてもよろしゅうございます〟と言われました。；それは至極よろしい御量見です、そうわたしがお答えして置きましたよ。；それより、一時代前の日本趣味とでも言ったほうが、よろしそうですね。；もし、これを不思議とせなくば、世界に一の不思議なしといいてよろしい。；どこででもどんなのにでも、その事柄は口にしない方がよろしいでしょう。；第四号は短い期間だけ、彼のふりをしていればよろしかったのです。；もうお銚子もからになったから、これでお帰りになったがよろしいわ。；でも、もしよろしければ、なにがあったのか教えていただけませんか?；日本語の辞書の大半に、この言葉が消えているとおもってよろしかろう。；でもあなたはこのことについては御安心なさってよろしゅうございます。；あんな男には決してお会いにならない方がよろしゅうございます。；それとも地獄へ落ちて火に焼かれ氷につけられる方がよろしいかの。；あなたのようなお美しい方にキスをいたしてもよろしゅうございましょうか。；小屋の住人は全部といってよろしいほど近隣の里から山へあがってきた人です。；明日、そこまで車で出かけて行って、見てこられるのもよろしかろう。</t>
        </is>
      </c>
      <c r="J8762">
        <f>HYPERLINK("https://www.weblio.jp/content/よろしい", "词义详情")</f>
        <v/>
      </c>
      <c r="K8762">
        <f>HYPERLINK("https://yourei.jp/よろしい", "查看例句")</f>
        <v/>
      </c>
    </row>
    <row r="8763">
      <c r="A8763" t="inlineStr">
        <is>
          <t>世論</t>
        </is>
      </c>
      <c r="B8763" t="inlineStr">
        <is>
          <t>成功</t>
        </is>
      </c>
      <c r="C8763" t="inlineStr">
        <is>
          <t>読み方：せいろん
⇒せろん（世論）</t>
        </is>
      </c>
      <c r="D8763" t="inlineStr">
        <is>
          <t>世論工作；世論対策；世論動向；世論研究所</t>
        </is>
      </c>
      <c r="E8763" t="inlineStr">
        <is>
          <t>民心；民意；公論；国論；オピニオン</t>
        </is>
      </c>
      <c r="F8763" t="inlineStr">
        <is>
          <t>国民世論；イギリス世論；一般世論；フランス世論；反日世論</t>
        </is>
      </c>
      <c r="G8763" t="inlineStr">
        <is>
          <t>世論操作；世論形成；世論誘導；世論調査結果；世論喚起</t>
        </is>
      </c>
      <c r="H8763" t="n">
        <v>29</v>
      </c>
      <c r="I8763" t="inlineStr">
        <is>
          <t>ベイリーズの支援には大勢の学生が参加し、彼に有利な世論を形成した。；これを立証するのは難しいが、当時世論はこの視点を主に反映していた。；しかし、これが公表されるや否やフランスの世論も政府も強い反発を示す。；当時のフランス世論ではここでいよいよ対独戦争の可能性が強くなる。；このときも賛否両論を招きながらも世論の中では時期尚早の感があった。；これは、大統領がメディアを通じて世論を把握する最初の試みであった。；この事件は次第に誇張して語られるようになり、世論に影響を与えた。；したがって、これがポーランドの対独世論を変えたというわけではない。；事情を知った一般世論からも張学良は強い批判を浴びることとなった。；自費でのキャンプ参加となり、否定的な報道や一部世論の反発に遭った。；これらの多くの理由にもかかわらず、世論は彼の就任を要求した。；しかしメイン号の爆発は、戦争への世論を非常に強力に形成した。；フランス世論は外国人に向ける目は厳しく、差別の対象にもなっていた。；実際には、このような統一された世論が日韓両国にあるわけではない。；しかし、世論の声は強くベネディクトゥスの聖化が受け入れられていった。；また世論の3分の2は、アハーンは辞任するべきではないと考えていた。；当時の日米双方の世論において、以下の様な誤った認識が広がっていた。；ベトナム戦争継続に反対を表明し、アメリカの世論に大きな影響を与える。；首長が権力を持とうとするのを妨げる集団世論が働いているのである。；この状況については、世論の理解が追いついていないためとの指摘もある。；北伐の最後には、蔣介石は広西の軍隊を除くために世論を喚起し始める。；これに激怒した国民の世論に対応して議会は大統領解任決議を提出。；この事も世論が彼に批判的となった理由の一つである。；チェコの政治家や世論の大半はベネシュ布告の一切の改訂を拒否している。；イスタンブールの世論はすでに政治家たちが無視できない要素となっていたのである。；そこに危険はあるが、世論と確立した伝統だけが危険を防ぐ。；統計学的な手法を用いて世論を明らかにする調査が世論調査である。；世論がどのように治安状況を認識していたかについては次のような調査報告がある。；日本の世論は緊張し、反ロシア大集会が日本各地で開かれるに至った。</t>
        </is>
      </c>
      <c r="J8763">
        <f>HYPERLINK("https://www.weblio.jp/content/世論", "词义详情")</f>
        <v/>
      </c>
      <c r="K8763">
        <f>HYPERLINK("https://yourei.jp/世論", "查看例句")</f>
        <v/>
      </c>
    </row>
    <row r="8764">
      <c r="A8764" t="inlineStr">
        <is>
          <t>弱い</t>
        </is>
      </c>
      <c r="B8764" t="inlineStr">
        <is>
          <t>成功</t>
        </is>
      </c>
      <c r="C8764" t="inlineStr">
        <is>
          <t>読み方：よわい
［形］［文］よわ・し［ク］
１力や技が劣っている。「握力が—・い」「—・いチーム」⇔強い。
２心身が丈夫でない。病弱である。「からだが—・い」「皮膚が—・い」⇔強い。
３意志が堅固でない。心がぐらつきやすい。「気が—・い」「—・い人間」⇔強い。
４環境や条件に屈しやすい。物事に耐える力が乏しい。「摩擦に—・い布」「ムードに—・い人」「車に—・くて酔いやすい」「酒に—・い」⇔強い。
５程度や度合いが小さい。「日差しが—・い」「—・い酒」「作用の—・い薬」⇔強い。
６ゆるみがある。固くない。「ひもの結びかたが—・い」「手をそっと—・く握る」⇔強い。
７決意が感じられない。きびしさがない。「寂しそうに—・く笑う」「—・い声で答える」⇔強い。
８鮮明でない。ぼんやりしている。「コントラストが—・い」「印象の—・い人」⇔強い。
９不得手である。「朝は—・くて起きられない」「機械に—・い」⇔強い。
[派生]よわげ［形動］よわさ［名］よわみ［名］</t>
        </is>
      </c>
      <c r="D8764" t="inlineStr">
        <is>
          <t>弱いもの(5%)；弱いため(3%)；弱い者；弱い人間；弱いところ</t>
        </is>
      </c>
      <c r="E8764" t="inlineStr">
        <is>
          <t>かすか；薄い；軽い；微か；淡い</t>
        </is>
      </c>
      <c r="F8764" t="inlineStr">
        <is>
          <t>気が弱い；非常に弱い；最も弱い；比較的弱い；弱い力</t>
        </is>
      </c>
      <c r="G8764" t="inlineStr">
        <is>
          <t>弱い参照；弱い電波；弱いゴールドバッハ予想；弱い型付け；弱い紐帯</t>
        </is>
      </c>
      <c r="H8764" t="n">
        <v>29</v>
      </c>
      <c r="I8764" t="inlineStr">
        <is>
          <t>実用上はより弱い結果だがより評価のしやすいものを用いることもある。；その勝利を内部から否定してゆく革命の力は、日本では非常に弱かった。；水質の悪化に弱いことが生息数の減少を引き起こしているとされている。；それぞれの属性には発揮される力が強くなる場所と弱くなる場所がある。；僕はその女の決心をきいて僕の失恋の度のむしろ弱かったことを恥じた。；そいつは卑劣なのではなく、意志がほんの少し弱かっただけなのだろう。；トノサマガエルでは、中央に強い雄が、周辺ほど弱い雄がいる形になる。；あたしの手にそれは受けなければ、残された子は死にそうなほど弱かった。；また、その部分の皮膚は骨より弱いので裂けるなどの怪我を負いやすい。；また、その菌が熱に弱い状態を取ることもあることも同時に観察した。；彼女と両親との結びつきが弱かったのは、そういう事情があったのだ。；反応に用いる薬剤は反応性が弱い種類を使用する為、処理に時間がかかる。；男は少女に、母親が家を去ったのは、心が弱かったためだと説明していた。；弱かったがしかし清かった一二年前の生活が眼の前に浮かんで通った。；反対に自分の感じた感情が弱い程覚えていないのが短期記憶である。；日本が抱いていたアメリカが世界の指導者であるという確信も弱くなった。；建設途中で地質が予想より弱かったために施設の一部の工事が遅れた。；電子は一方の物質との結びつきが他方よりも弱いときに受け渡される。；戦士の力に逆らって行動を起こすには、大輔の力はあまりにも弱かった。；ただし、他の立憲諸国と比較すれば、以下の点で議会の権限は弱かった。；阿久里が病気がちで身体の弱かったことは、義央も充分にわかっていた。；弱視と失語症の障害があって体も弱く、当初は後継候補から外れていた。；弱い子供を助けてくれ、病気で寝ている子はアンモを拝むと治るという。；また、特に指示がなければ最後の音を他の音よりも弱く演奏することが多い。；弱い鍵ややや弱い鍵を実装で使わないようにするのは容易である。；生まれつき体が弱く、それが逆に空手の道に入るいいきっかけとなった。；生息状況をもって「ミンミンゼミは暑さに弱い」とするには疑問が多い。；感じ方は人によって差があるが、これも非常に弱い感電の一種である。；一見すると挟みにくそうな形状であるが、力はそこまで弱いわけではない。</t>
        </is>
      </c>
      <c r="J8764">
        <f>HYPERLINK("https://www.weblio.jp/content/弱い", "词义详情")</f>
        <v/>
      </c>
      <c r="K8764">
        <f>HYPERLINK("https://yourei.jp/弱い", "查看例句")</f>
        <v/>
      </c>
    </row>
    <row r="8765">
      <c r="A8765" t="inlineStr">
        <is>
          <t>弱気</t>
        </is>
      </c>
      <c r="B8765" t="inlineStr">
        <is>
          <t>成功</t>
        </is>
      </c>
      <c r="C8765" t="inlineStr">
        <is>
          <t>読み方：よわき
［名・形動］
１事にあたって気力に乏しいこと。気が弱いこと。また、そのさま。「—を出す」「—な意見」「病気をしてから—になる」⇔強気。
２取引で、相場が先行き下がると予想すること。⇔強気。</t>
        </is>
      </c>
      <c r="D8765" t="inlineStr">
        <is>
          <t>弱気な発言；弱気な声；弱気な性格；弱気な面；弱気な言葉</t>
        </is>
      </c>
      <c r="E8765" t="inlineStr">
        <is>
          <t>弱い；臆病；弱さ；弱体；内気</t>
        </is>
      </c>
      <c r="F8765" t="inlineStr">
        <is>
          <t>珍しく弱気；こんな弱気</t>
        </is>
      </c>
      <c r="H8765" t="n">
        <v>29</v>
      </c>
      <c r="I8765" t="inlineStr">
        <is>
          <t>こんなことが気になるというのは俺も年をとって弱気になったのだろうか。；なぜこうも不安を感じるのか、いつから自分はこんなに弱気になったのか。；ときどきおれと役を交換したいなんて弱気をいうが、本気ではないと思う。；これは酒呑みの母のものでなくて、弱気で無口だった父のものだったか。；そのため突発的な事態が起こるとつい弱気になってしまう一面がある。；ここまでくればどんな人だって弱気になる、今度こそはと思ったのに。；歩行の困難が弱気の者を絶望させるには、一日か二日で充分であった。；まったく、いつから自分はこんなに弱気になってしまったのだろうか。；僕の眼には「許容」すなわち弱気から生まれない表現などありはしない。；自分ももう歳だと、あの一徹な庭師が弱気な口をきくようになっていた。；ヒョウはちょっと弱気で、あんたがそう言うならそうしよう、と答えた。；柄にもなく弱気な京也の心を知ってか知らずか、さやかはこう考えていた。；だが、怪我をしたレイフォンにそんな弱気な姿を見せるわけにはいかない。；あたしはやっとのことで自分の弱気に耐えていたことを思いだすわ。；それでも話だけはあくまでも気どって、最後まで弱気はみせまいとした。；ちょっとでも弱気を見せたら、そこで恋は終わりのような気がする。；そんな顔をされてしまったら、弱気でなんていられなくなっちまうぞ。；橋本の弱気が、政治家であることに虚栄心を持たないで行けるだろうか。；あんな若造ひとりたしなめられないような弱気の商売をうちはしてねえよ。；劉健一に殺されかかったという事実が小文を弱気にしているのかもしれない。；今度はトラさんは「猫は怖いから嫌です」と打って変わって弱気である。；このままではゴールには到達できそうにないと、弱気になっているのじゃないのか。；さすがの新艦長も弱気になって、できるだけ敵船に会わないようにした。；「父のように弱気でなく」 というのは、一生私の鍛錬の課題であった。；かといって、ここで下りるというのは、確率を無視した弱気でしかない。；前にはおれはいっぺんだってこんなに弱気になったことはなかった。；なにも弱気になっているわけでも、情けを感じているわけでもない。；いくら勇気のある男でも、こうした弱気になることはあるものだ。；要するに彼は悪意があると云うよりも弱気なのだ、とわたしは考えた。</t>
        </is>
      </c>
      <c r="J8765">
        <f>HYPERLINK("https://www.weblio.jp/content/弱気", "词义详情")</f>
        <v/>
      </c>
      <c r="K8765">
        <f>HYPERLINK("https://yourei.jp/弱気", "查看例句")</f>
        <v/>
      </c>
    </row>
    <row r="8766">
      <c r="A8766" t="inlineStr">
        <is>
          <t>弱音</t>
        </is>
      </c>
      <c r="B8766" t="inlineStr">
        <is>
          <t>成功</t>
        </is>
      </c>
      <c r="C8766" t="inlineStr">
        <is>
          <t>読み方：じゃくおん
よわい音。小さい音。また、音をよわくすること。「—ペダル」</t>
        </is>
      </c>
      <c r="D8766" t="inlineStr">
        <is>
          <t>弱音をはい(2%)</t>
        </is>
      </c>
      <c r="E8766" t="inlineStr">
        <is>
          <t>泣きごと；弱気な言葉</t>
        </is>
      </c>
      <c r="G8766" t="inlineStr">
        <is>
          <t>弱音ペダル；弱音ハク</t>
        </is>
      </c>
      <c r="H8766" t="n">
        <v>29</v>
      </c>
      <c r="I8766" t="inlineStr">
        <is>
          <t>部屋を出てまだ五分と経過していないが、俺はついに弱音を口にした。；こんなになってからいくら弱音をはいても、なんにもならないじゃないか。；書けば弱音になり、弱音を書くまいと思えばすべてが嘘になったからだ。；その上、泣き出して、もう生きられないと弱音を吐きながら酒を飲んだ。；とにかく一年の一人でも弱音を吐けば、全員が総崩れになりそうだった。；高橋愛がリーダーになった頃からはまったく弱音を見せなくなった。；そんな父だが、息子である財前に弱音を吐いたことは一度も無かった。；しかし弱音を吐くのも格好悪くて、我慢してついていくことにした。；そして、彼が誰のためにいつわりの弱音を吐いたのかもわかっていた。；どちらの叱咤だったのか、どちらの弱音だったのかさえ判然としない。；一軍を率いて戦った者の弱音を、こんな彼にだからこそ、密かに漏らす。；これは弱音ではなくて問題はあまりにも大き過ぎるからだ。；その程度のことで弱音を吐くほど、ぼくはやわな研究者じゃないつもりだ。；彼にさまざまな見本を示した手前、先に弱音を吐くわけにいかなかったのだ。；今まで只の一度も弱音を吐いたことのない警視正が、珍しいことをいった。；遠い昔の女性さへ偲ばれる哀調を帯びて珍しく弱音を吐かれたものであつた。；負けず嫌いの流が弱音を吐くのだから、よほどひどい痛みなのだろう。；弱音を吐けば、それが本当になってしまいそうな気がしたからだ。；苦しげに体をねじらせたジャングル・ジムの弱音に、子供たちは驚いた。；負け嫌いは、弱音を吐くためにわざわざ深夜に訪ねて来たりはしない。；六十歳までは弱音を吐くまいと頑張ったが、そろそろ体力も限界にきた。；伯爵がこれほど真正面から素子に向つて弱音を吐いたことはないのである。；さすがの典山も「本当にやめる奴があるか」と弱音をはいてしまった。；どれも楽なものではないはずなのに、弱音を吐かず、あの子は頑張っている。；彼女は弱音をあげるようなことは一度もなかった。；不満をぶつけたい気持ちはあったが、弱音を吐いていると思われたくなかった。；しかし、父が弱音を吐くのを耳にしたことは一度もなかった。；これからも、きみが弱音を吐いてやめるというまで、それをつづけていく。；まさしくロレンスが口にしたい台詞だがそんな弱音を吐いている暇はない。</t>
        </is>
      </c>
      <c r="J8766">
        <f>HYPERLINK("https://www.weblio.jp/content/弱音", "词义详情")</f>
        <v/>
      </c>
      <c r="K8766">
        <f>HYPERLINK("https://yourei.jp/弱音", "查看例句")</f>
        <v/>
      </c>
    </row>
    <row r="8767">
      <c r="A8767" t="inlineStr">
        <is>
          <t>弱まる</t>
        </is>
      </c>
      <c r="B8767" t="inlineStr">
        <is>
          <t>成功</t>
        </is>
      </c>
      <c r="C8767" t="inlineStr">
        <is>
          <t>読み方：よわまる
［動ラ五（四）］力や勢い、程度などが次第に弱くなる。「風が—・る」⇔強まる。</t>
        </is>
      </c>
      <c r="D8767" t="inlineStr">
        <is>
          <t>弱まるだろ</t>
        </is>
      </c>
      <c r="E8767" t="inlineStr">
        <is>
          <t>悪化する；傾く；後退する；衰える；衰退する</t>
        </is>
      </c>
      <c r="F8767" t="inlineStr">
        <is>
          <t>さらに弱まる</t>
        </is>
      </c>
      <c r="H8767" t="n">
        <v>29</v>
      </c>
      <c r="I8767" t="inlineStr">
        <is>
          <t>上に引っ張りあげていた力が弱まり、わたしはまたしても地面に倒れた。；常には夏の日射しのように感ぜられるその王気がここ数日弱まっていた。；しかし圧力が弱まり、隊員は船に戻ってナンセンの旅の準備を再開した。；拒絶には次のように徐々に決定力が弱まっていくいくつかの段階がある。；宮廷内では、イブラヒムの力がだんだんと弱まりつつある時期であった。；そこにはまだ戦士がしがみいていたが、その力は急激に弱まっていた。；さんさんと降っていた陽の光がうっすらと弱まったような気がしたからだ。；この2つの事件の結果、僻派の立場が強化され、時派の立場は弱まった。；発言をしながら声が弱まり、最後はバトラーに原稿の後半を代読させた。；けれど問題は、店の数より集客力が弱まってきたことじゃないでしょうか。；というのも、彼の立場は敗北が続いたことで弱まっていたためだった。；それは長い長い時間を経て、病気が徐々に弱まってきたかららしい。；わしの苦しみようが少ないのは、苦しむだけの力が弱まっておるからじゃ。；栄介が敵をしりぞけて中央門に近づいたとき、急に雷鳴が弱まって来た。；獲物が弱まるとなると、その肉を一片でも多く手に入れねばならないのだ。；しかし服用中の昏迷状態は、だんだん弱まりながらも続いているようだ。；朝鮮王朝の末期になると、近代化の動きの中で仏教への圧迫も弱まった。；だから命ある限り希望があり、運が向いて逆風が弱まるかもしれない。；抵抗力が弱まり、風邪の初期症状が顔をだしはじめているのも気づいていた。；まるでこの世に存在する力そのものが弱まっているかのように。；耐えきれないようなその強い光が弱まると、かれはやっと眼を開くことができた。；神さまの愛とまもりは弱まることもなければ変わることもありません。；生活はようやく安定したが絵への心は少しも弱まらなかった。；一言でもしゃべることで、胸に燃える火が弱まってしまうような気がした。；台風が広島を通過する頃には、勢力は上陸時よりかなり弱まっていた筈である。；あるかなきかに弱まったその輝きに向かって、彼は船を進めていった。；敵の力が弱まり、逆にポールが少しずつ優勢になりそうな気配だった。；そのため、倉橋町や松山市では移転前よりも電波が弱まることとなった。；どうすれば新聞への風当たりが弱まるか、試してみたと言ってもいい。</t>
        </is>
      </c>
      <c r="J8767">
        <f>HYPERLINK("https://www.weblio.jp/content/弱まる", "词义详情")</f>
        <v/>
      </c>
      <c r="K8767">
        <f>HYPERLINK("https://yourei.jp/弱まる", "查看例句")</f>
        <v/>
      </c>
    </row>
    <row r="8768">
      <c r="A8768" t="inlineStr">
        <is>
          <t>弱み</t>
        </is>
      </c>
      <c r="B8768" t="inlineStr">
        <is>
          <t>成功</t>
        </is>
      </c>
      <c r="C8768" t="inlineStr">
        <is>
          <t>読み方：よわみ
１弱いこと。また、その程度。
２弱いところ、劣っている点。弱点。また、他人に対して後ろめたいと思っているところ。「—をみせる」「相手の—を握る」「人の—につけこむ」⇔強み。</t>
        </is>
      </c>
      <c r="D8768" t="inlineStr">
        <is>
          <t>弱みを見せたく；弱みをつかん；弱みを見せれ；弱みを見せるわけ；弱みを見せまい</t>
        </is>
      </c>
      <c r="E8768" t="inlineStr">
        <is>
          <t>非；傷；欠点；足元；苦手</t>
        </is>
      </c>
      <c r="F8768" t="inlineStr">
        <is>
          <t>少しでも弱み；大きな弱み</t>
        </is>
      </c>
      <c r="H8768" t="n">
        <v>29</v>
      </c>
      <c r="I8768" t="inlineStr">
        <is>
          <t>わたくしにも彼の言う通りにならなければならない弱みもあったのです。；彼女は気の強い女だから、自分の弱みを見せるのが嫌だったんだろうな。；日本語の弱みという言葉は感情と共通するのだろうかと思ったこともある。；他人の弱みを握ってないと、安心して椅子に座ってることもできない。；だが、正介が母と美央の父の決定的な弱みをつかんだことは確かである。；先生の身に同情しようとする心の弱みは、みんなの胸に影もなくなつてゐた。；そういう、弱みを持つ男しか、自分にはご馳走してくれないのだろうか。；彼らは「同情を表すことが自分の弱みになることを恐れる」からである。；友ならいかなる人間的な弱みを見せるのもいさぎよしとしないだろう。；情報を利用していた側から、情報を作り出す立場に回った弱みが出ている。；たいした慰めにはならないが、彼女の弱みを知りつつあることは確かだ。；弱みを見せず強さを際立たせる意図があったのではとの意見もある。；弱みを握られているのがこちらである以上、彼は居直るほかはなかった。；それかあの髭に弱みを握られて、脅されて仕方なく働いてるんだよなっ?；わたくしの犯罪が彼に握られていることが、わたくしの弱みでありました。；どんな弱みで、どうゆすられているのか、まったく見当がつかなかった。；人間的とは、どういうことか、その弱みも強みも、私はよく知っている。；協力ということができないだけが彼らの弱みではないかと思われる。；とにかく弱みをつかまれた塩崎は、彼女のいうなりになるよりなかった。；それというのがあのお幾、もうひとつご後室さまの弱みをにぎっていた。；二人とも、なにか個人的な弱みをにぎられ、おどされたのかもしれない。；あの女の前で弱みを見せることだけは、麗子のプライドが許さないのだ。；彼女には幼稚園の頃からの自分を知られており、それは真九郎の大きな弱みだ。；弱みを握られたとはいえ、調子に乗ってこき使われてはたまらなかった。；気を張って生きていたお文が、つかの間見せた心の弱みだったのかも知れない。；必死になって、私の弱みを見つけようとしているのは、知っていましたがね。；戦う決意を固め、もはや誰にも弱みは見せまいとする、リーダーの表情だ。；この合図を出すことは、弱みを見せることだとは考えられていない。；わたしの弱みはほかの人々にも知れているし、そこから世間に知れたのかも知れない。</t>
        </is>
      </c>
      <c r="J8768">
        <f>HYPERLINK("https://www.weblio.jp/content/弱み", "词义详情")</f>
        <v/>
      </c>
      <c r="K8768">
        <f>HYPERLINK("https://yourei.jp/弱み", "查看例句")</f>
        <v/>
      </c>
    </row>
    <row r="8769">
      <c r="A8769" t="inlineStr">
        <is>
          <t>弱める</t>
        </is>
      </c>
      <c r="B8769" t="inlineStr">
        <is>
          <t>成功</t>
        </is>
      </c>
      <c r="C8769" t="inlineStr">
        <is>
          <t>読み方：よわめる
［動マ下一］［文］よわ・む［マ下二］力や勢い、程度などを次第に弱くする。よわらせる。「ガスの火を—・める」⇔強める。</t>
        </is>
      </c>
      <c r="D8769" t="inlineStr">
        <is>
          <t>弱める可能性</t>
        </is>
      </c>
      <c r="E8769" t="inlineStr">
        <is>
          <t>弱体化；損なう；和らげる；緩める；サボタージュ</t>
        </is>
      </c>
      <c r="H8769" t="n">
        <v>29</v>
      </c>
      <c r="I8769" t="inlineStr">
        <is>
          <t>だが同時に、両者間の距離が相当にその関係を弱めるとも言えるだろう。；でも、見えないところで、その負担は確実に自然の力を弱めているのよ。；これは江戸急進派の顔を失わせる結果となり、その発言力を弱めさせた。；炎はスーッとその勢いを弱めて消え、代わりに恐怖の青い色が広がった。；また、光を弱めることで雲が太陽の前を通過するシーンが描写された。；どんなに恐ろしい出来事でも、時の流れはその衝撃を弱めていく効果がある。；さらに、接触を奪われた動物らは免疫系を弱めていることがわかった。；また、データを比較することで風洞の影響を弱める研究も進められている。；その為にもこの事件を拡大させるのは連邦の戦力を弱める上では有効だった。；電圧を弱めてやると、おれが質問しないうちに、勝手にしゃべり出した。；しかしこれは孝公の勢力を弱めるには不十分であり、斉は再び安定した。；私の眼は一時に視力を弱めたかのように、私は大きな不幸を感じた。；しかもその相手が同じ試験所の堀口であることが、彼女の立場を弱めていた。；その構造は1838年から1839年冬の大雪で弱められ損傷を受けた。；温帯低気圧にならずにそのまま勢力を弱め、消えた場合も消滅という。；しかしこれは学校としての設置であり治療施設の要素は弱められたものであった。；この分裂騒動が友好関係を弱め、両クラブのライバル意識に火を付けた。；真偽は定かではないものの、桜の根が堤防を弱めたという説も見られた。；一般の場合には条件を弱めたアルダーの予想 が予想されている。；即位した後、諸侯の力を弱め、相対的に王権を強化する政策を実行した。；そしてその力をすこしでも弱めるようなことはしないだろう。；それはまだ夜の明けぬ前で、暴風雨はその時幾分かその勢を弱めて居ました。；食卓で、彼はいまつくりだした印象を弱めるようなことは一切しなかった。；混ぜ物処理を完全に防止しないまでも、かなり弱める方法を考えてみよう。；今度の旅行はマヤと一緒だから、いくらかはその不安が弱められた。；それとともに浮き上がっていた髪も輝きを弱め、だんだんと降りてきた。；無司祭派は狂信の度を深めて無数に分裂を繰り返し、勢力を弱めている。；ききめが強すぎたのを知ると、引きもどすとか弱めるとかしようとしたのよ。；論理が表に出すぎて、最初の原稿の持っていた鋭い切れ味が弱められている。</t>
        </is>
      </c>
      <c r="J8769">
        <f>HYPERLINK("https://www.weblio.jp/content/弱める", "词义详情")</f>
        <v/>
      </c>
      <c r="K8769">
        <f>HYPERLINK("https://yourei.jp/弱める", "查看例句")</f>
        <v/>
      </c>
    </row>
    <row r="8770">
      <c r="A8770" t="inlineStr">
        <is>
          <t>弱々しい</t>
        </is>
      </c>
      <c r="B8770" t="inlineStr">
        <is>
          <t>成功</t>
        </is>
      </c>
      <c r="C8770" t="inlineStr">
        <is>
          <t>読み方：よわよわしい
［形］［文］よわよわ・し［シク］いかにも弱そうである。力や元気がなさそうである。「—・いからだつき」「—・い声で答える」
[派生]よわよわしげ［形動］よわよわしさ［名］</t>
        </is>
      </c>
      <c r="D8770" t="inlineStr">
        <is>
          <t>弱々しい声(13%)；弱々しい光(5%)；弱々しいもの(3%)；弱々しい微笑(3%)；弱々しい感じ</t>
        </is>
      </c>
      <c r="E8770" t="inlineStr">
        <is>
          <t>かすか；薄い；弱い；微か；淡い</t>
        </is>
      </c>
      <c r="F8770" t="inlineStr">
        <is>
          <t>いかにも弱々しい；弱々しい顔；弱々しい男；弱々しい泣き声；弱々しい笑顔</t>
        </is>
      </c>
      <c r="H8770" t="n">
        <v>29</v>
      </c>
      <c r="I8770" t="inlineStr">
        <is>
          <t>三人とも、弱々しいからだで大きな頭を支えているのがやっとであった。；声はとても弱々しかったので、もう遠くから聞えてくる声のようだった。；その様子が二人を比べて見て、公爵の方が弱々しいと思うらしく見えた。；胸がかすかに上下して、弱々しくではあるが、呼吸しているのが分かる。；その様子が二人を比べて見て、公爵の方が弱々しいと思ふらしく見えた。；当時の演奏はどちらかといえば弱々しい、貧弱な感じだったと思います。；長いあいだ病気にでふせっていた人のような弱々しいかすれた声だった。；それは弱々しいとり残された者の感じで不意に彼の心に迫って来た。；それは消えかけている灯柱の弱々しい光を受けているからではない。；弱っているとか疲れている人たちのものらしい、弱々しい足音であった。；その夜、一人の痩せた弱々しい青年が小屋の鍵をこじ開けて入ってきた。；弱々しい呼吸以外に彼女が生きていることを示す兆候は何もなかった。；こんな事態になるまでは見たことのなかった弱々しい必死さがある。；そう思って鼻と口に手を当てると、弱々しいながらも呼気が感じられた。；エヴァはかんかんに腹を立てていたが、口では弱々しく言うだけだった。；つまり甚だ弱々しい骨格の上に人の何倍もある肉をつけているだけなのだ。；母親のいない、弱々しい子を見ては、わたしはそれを悲しく思いました。；そちらの通路のどこからか、奇妙な弱々しい泣き声が聞こえてきたのだ。；それも皆、ほかへ行き場のないような老朽や弱々しい病者ばかりである。；イモジェンは少しばかり意識した笑みを弱々しく浮かべることができた。；その晩の私はともすれば、弱々しい感傷的な気分に陥いりがちであった。；ロシアの科学と芸術もこれまでのところ弱々しいプロパガンダに過ぎない。；彼はそっと頭をもたげて私を見ると、弱々しいはっきりしない声で言った。；それはさながら群がるとらの前にでた羊のごとく弱々しい態度であった。；新年の午後の、窓からの明るい陽射しが父をさらに弱々しくみせている。；それから彼女は弱々しい指でそれをつかむと、もう放そうとしなかった。；エル・グレコの絵のような弱々しい顔の中で、目だけが異様に輝いている。；この諺を一番よく口にするのは人間の中でも一番弱々しい連中に限られている。；三人共、弱々しい身体で大きな頭を支えているのがやっとであった。</t>
        </is>
      </c>
      <c r="J8770">
        <f>HYPERLINK("https://www.weblio.jp/content/弱々しい", "词义详情")</f>
        <v/>
      </c>
      <c r="K8770">
        <f>HYPERLINK("https://yourei.jp/弱々しい", "查看例句")</f>
        <v/>
      </c>
    </row>
    <row r="8771">
      <c r="A8771" t="inlineStr">
        <is>
          <t>弱る</t>
        </is>
      </c>
      <c r="B8771" t="inlineStr">
        <is>
          <t>成功</t>
        </is>
      </c>
      <c r="C8771" t="inlineStr">
        <is>
          <t>読み方：よわる
［動ラ五（四）］
１体力・気力が衰える。「視力が—・る」「病気で—・る」
２物事の力や勢いがなくなる。「火力が—・る」「雨脚が—・る」
３困る。困却する。「処置に—・る」「—・ったことに終電車に乗り遅れた」
４魚や肉などの鮮度が落ちる。
「—・りし鯛の腹に」〈浮・永代蔵・二〉</t>
        </is>
      </c>
      <c r="D8771" t="inlineStr">
        <is>
          <t>減少；低下；困る；衰退；困った</t>
        </is>
      </c>
      <c r="H8771" t="n">
        <v>29</v>
      </c>
      <c r="I8771" t="inlineStr">
        <is>
          <t>夫婦の方では娘の養子にするいい男を拾ってきたつもりなのには弱った。；五六日以上も便所へ一人では行かれなくて弱った事を今でも覚えている。；ある日父は体を弱らせてしまい、仕事が半分しか出来なくなってしまう。；だんだん身体が弱ってきて、目をあいたまま、いろいろな夢を見ました。；神経衰弱の弱りから死後の霊の存在は二重に彼を苦しめたように見えた。；体のほうはすっかり弱りはてた感じだったが、意識はしっかりしていた。；悲劇が、ほとんど夫人の神経を弱らせていないことははっきりしていた。；姉はしだいに弱って、意識を回復することもなしに死んでしまいました。；さびて弱ったのか、岩の鋭い角にすられて切れたのか、どちらかである。；だけど、兄をそんなに弱らせる原因は、会社のことだけではありません。；そんなことをしているうちには兵力が消耗されて次第に弱るばかりです。；そのときに松倉君は性欲なんということは考えられないほど弱っている。；待って居りました、と、石のようなものが出たらお弱りになるでしょう?；鳩のようなふりをして、弱りかけたものに近づく禿鷹はほかにもあった。；こいつには拙者も弱ったのだ、現在その人を見たわけではないのだからな。；しかしさすがに二十五歳を過ぎると体の方は少しずつ弱り始めていた。；この頃の陰鬱な天候に弱らされていて手紙を書く気にもなれませんでした。；からだが弱ったので、頭が混乱して、知らずに声をたてちゃったのね。；彼が指揮する部隊には弱りきった千人ほどの兵しか残っていない。；からだの弱って来たせいかして、すこしのことにもすぐに心を傷めた。；その体は、灰の塊りも同様に弱り果て、暗い眼つきは苦痛に満ちていた。；そして香里はこれほど弱り、今また新たに幸せ潰しをしようとしている。；彼等が大名たちを弱らせたには、弱らせるだけの理由があつたと見られる。；多分七つ道具から思いついたものだろう、と可心もこれには弱っている。；どんどん声に力がなくなっていく・・・・ こいつ・・・ 弱ってきてる・・・?；もっとも布は弱りきっていたから、手で触ってもそうなったかもしれない。；手術は完全に成功したが、体が弱っていたので絶対安静が必要だった。；清が太い声で大人みたいなので弱ったと思ってたら夢、でよかった。；後に大事な首が残ってしまって大弱りだったのを覚えています。</t>
        </is>
      </c>
      <c r="J8771">
        <f>HYPERLINK("https://www.weblio.jp/content/弱る", "词义详情")</f>
        <v/>
      </c>
      <c r="K8771">
        <f>HYPERLINK("https://yourei.jp/弱る", "查看例句")</f>
        <v/>
      </c>
    </row>
    <row r="8772">
      <c r="A8772" t="inlineStr">
        <is>
          <t>ラーメン</t>
        </is>
      </c>
      <c r="B8772" t="inlineStr">
        <is>
          <t>成功</t>
        </is>
      </c>
      <c r="C8772" t="inlineStr">
        <is>
          <t>読み方：らーめん
構造物の部材間の結合が、外力による変形に対して抵抗作用をもつ剛接合でなされている骨組み。剛節架構。→トラス</t>
        </is>
      </c>
      <c r="D8772" t="inlineStr">
        <is>
          <t>ラーメン好き；ラーメン食べ；ラーメン専門店；ラーメンチェーン；ラーメン作り</t>
        </is>
      </c>
      <c r="F8772" t="inlineStr">
        <is>
          <t>ラーメン箱；系ラーメン；径間連続ラーメン；九州ラーメン；ラーメン鉢</t>
        </is>
      </c>
      <c r="G8772" t="inlineStr">
        <is>
          <t>ラーメン店；ラーメンマン；ラーメン構造；ラーメンズ；ラーメンチェーン店</t>
        </is>
      </c>
      <c r="H8772" t="n">
        <v>29</v>
      </c>
      <c r="I8772" t="inlineStr">
        <is>
          <t>またラーメンが好きで小学生ながら一人でラーメン屋まで出かけていた。；ラーメンに有機トマトを使用したスープを使用しているのが特徴である。；続いて出てきた竜児の頼んだぬるめの麺は、単に普通のらーめんだった。；ライブではステージから観客に向かってラーメンを投げたりする。；店舗によっては学生ラーメンとして、年齢限定で提供される場合もある。；無鉄砲は持ち帰り用ラーメンと通信販売にその初期から力をいれている。；各地で現在一般的になったラーメンの基本型ができていった。；EGACCHOほどではないが、年間に何度もラーメンを食べている。；一方、庶民の嗜好の上などからラーメンの一種として扱われる事もある。；以後、期間限定で仕込んだラーメンを十日市の居酒屋で出すことがある。；彼は池田信金を退職して萬平のラーメン作りに携わりたいと言い出した。；アルバイト時代は給料日にラーメンを食べに行くことが楽しみだった。；らーめん二郎と柿の種が好きで頻繁にブログに記事を掲載している。；注文の際に麺の硬さを決める点や替え玉も当ラーメンの特色になっている。；うどん・焼きそば・ラーメンなど麺類を主とした商品を取り扱っている。；また、ドラ焼き以外ではラーメンやアイスクリームを食べることが多い。；また、近年では滋賀県の一部でもラーメンの具として用いられている。；そんな彼女の出した結論は「日本でラーメン作りの修行をする」ことだった。；かつては、「全国ラーメン党」の屋号でラーメン店の経営も行っていた。；このキャラクターから香港では当初「辮髪ラーメン」と呼ばれていた。；東京ラーメンショーは、日本で毎年秋に開催されるラーメンのイベント。；特に油っぽいラーメンを食べるのが自身独自の体調管理法だという。；しかし、嘉男の作ったラーメンを中谷地は夢中になって食べることになる。；一方で日本のラーメンは中国の麺料理をさらに日本人に合うように変化させたものである。；ラーメンが好きすぎてテレビ番組『有吉反省会』に出演したことがある。；その夜はラーメンを作るためにラーメン屋の前に来てトンコツの袋を盗んだ。；ラーメンと同様の麺を使用するがラーメンに分類されることはほとんどない料理。；ラーメンが大好物であり、全国を旅行してのラーメン食べ歩きを趣味とする。；ラーメンに関する本を執筆したことがあり、寿がきや食品のCMに出演。</t>
        </is>
      </c>
      <c r="J8772">
        <f>HYPERLINK("https://www.weblio.jp/content/ラーメン", "词义详情")</f>
        <v/>
      </c>
      <c r="K8772">
        <f>HYPERLINK("https://yourei.jp/ラーメン", "查看例句")</f>
        <v/>
      </c>
    </row>
    <row r="8773">
      <c r="A8773" t="inlineStr">
        <is>
          <t>来～</t>
        </is>
      </c>
      <c r="B8773" t="inlineStr">
        <is>
          <t>成功</t>
        </is>
      </c>
      <c r="C8773" t="inlineStr">
        <is>
          <t>読み方：く
［動カ変］「く（来）る」の文語形。</t>
        </is>
      </c>
      <c r="H8773" t="n">
        <v>0</v>
      </c>
      <c r="J8773">
        <f>HYPERLINK("https://www.weblio.jp/content/来～", "词义详情")</f>
        <v/>
      </c>
      <c r="K8773">
        <f>HYPERLINK("https://yourei.jp/来～", "查看例句")</f>
        <v/>
      </c>
    </row>
    <row r="8774">
      <c r="A8774" t="inlineStr">
        <is>
          <t>来月</t>
        </is>
      </c>
      <c r="B8774" t="inlineStr">
        <is>
          <t>成功</t>
        </is>
      </c>
      <c r="C8774" t="inlineStr">
        <is>
          <t>読み方：らいげつ
今月の次の月。</t>
        </is>
      </c>
      <c r="D8774" t="inlineStr">
        <is>
          <t>来月号(4%)；来月早々；来月あたり；来月分；来月末</t>
        </is>
      </c>
      <c r="G8774" t="inlineStr">
        <is>
          <t>来月十五日；来月十日；来月十四日；来月三日；来月四日</t>
        </is>
      </c>
      <c r="H8774" t="n">
        <v>29</v>
      </c>
      <c r="I8774" t="inlineStr">
        <is>
          <t>ともかく、そんなこんなでおれは来月の試合には絶対に負けられない。；しかも、風景はその号限りで、来月号からまた女の絵にすると云っている。；毎日一章ずつコツコツやって行って、来月の末に一と通り卒業する予定だ。；日割でもらっても少しあまるし、来月になったら国へ少し送りましょう。；今日掲載する筈になつてゐたアノ続きは来月にすることにしました。；編輯者わたしのほうの雑誌の来月号に何か書いてもらえないでしょうか?；来月の九校戦より目の前の修羅場に対応することを選択したのだろう。；払込みのない者には来月ぶんの予想を電話通報しないことにしている。；時々は面倒だから来月分も取って置いてくれいなんぞと云うことさえある。；来月の文芸誌の予告が載るので、部長も注意してみるようになったのだ。；来月にまとめようとしていた論文の中間部分をサマンサが語っている。；来月発行の作品ではいろいろとありましたが、再来月は問題ないでしょう。；編輯者 わたしの方の雑誌の来月号に何か書いて貰へないでせうか?；一時は今月は勿論、来月の芝居もだめかと思ったが、さうでもないらしい。；しかしクリスマスを来月に控えて、入院をつづけることは避けたかった。；しかも、来月の初めに十冊目のナポレオン・ソロがすでに控えている。；このままだと、来月のあなたの給食代も滞納することになりかねないわよ。；遅くも来月の十日頃までには、一同京地を引き払うことになるであろう。；「来月のはじめには歇みましょう」と、おげんは茶をいれながら答えた。；前に書いたように、来月帰る時には、彼女を、連れて行って、紹介します。；来月の仕事なのに、これをクリアしなければ次に進めない気がした。；それへの対策を来月五月二日までに提出せよということであった。；何事もなければ、次の巻は来月くらいにはお届けできると思います。；だが、来月の検査でどんな結果がでるかわかったものではない。；今月は「科学の常識のために」かきましたが、来月は何にしましょうね。；「来月のわたしのお誕生日に、あるものを贈ってくれたら」 それは何か?；おぬし、除目の日が来月にせまっていることを忘れていはしないか。；来月はまた同じ雑誌に残りの半分を書かなければならぬ。；そうして、結局のところ、来月は彼に結婚を申し込むのだといいます。</t>
        </is>
      </c>
      <c r="J8774">
        <f>HYPERLINK("https://www.weblio.jp/content/来月", "词义详情")</f>
        <v/>
      </c>
      <c r="K8774">
        <f>HYPERLINK("https://yourei.jp/来月", "查看例句")</f>
        <v/>
      </c>
    </row>
    <row r="8775">
      <c r="A8775" t="inlineStr">
        <is>
          <t>来週</t>
        </is>
      </c>
      <c r="B8775" t="inlineStr">
        <is>
          <t>成功</t>
        </is>
      </c>
      <c r="C8775" t="inlineStr">
        <is>
          <t>読み方：らいしゅう
今週の次の週。次週。</t>
        </is>
      </c>
      <c r="D8775" t="inlineStr">
        <is>
          <t>来週あたり；来週中；来週月曜日；来週末；来週いっぱい</t>
        </is>
      </c>
      <c r="H8775" t="n">
        <v>29</v>
      </c>
      <c r="I8775" t="inlineStr">
        <is>
          <t>来週にでも発つ用意が出来ている事にして来たがそうなったのでは困る。；報告することがあれば来週もいたしますが、たぶん無いと思われます。；どんなに忙しくても、来週も必ず京都へ行こうと久仁子は決心していた。；O先生が入って来られ「来週の好きな日を選んでください」と言われた。；来週の土曜日には時間をもらって少し稽古をつけてもらう約束をした。；こんなにコースを外れてばかりいたら、来週まで目的地には着かないわ!；以前に電話で話した、試合のある『来週』が明日に迫っていたからだろう。；突然で準備はできていないが、来週中には弁護士から君のところへ連絡させよう。；コーナーの最後は、登場した芸人が来週の出場芸人の紹介のフリを行う。；来週になれば落ち着いてしまうだろうが、明日もう一度チャンスがある。；いや、もうすでに「来週の月曜日」は来てしまっているのかもしれない。；「また来週連絡するよ」 男は煙草を灰皿の中でもみ消しながら言った。；来週はこっちから出かけてゆくような話も持ちあがっている。；「あのね、来週持って来るカメラのことだけどね」 なんていっています。；その連中に、来週水曜日に潜れるように調整しておけと連絡してください。；来週にはポッドの中で凍りついて、つぎの船の出発を待つことになる。；契約は来週の木曜日にしたいが、その時アドバンスを用意してきてほしい。；来週まで、自分がどうやって生きていけばいいのだろうかと奈々子は思った。；また来週、きみの精神内部のその側面を探索してみようじゃないか。；「来週までの間に、せいぜい言いわけを考えておくよ」 ドアが閉った。；来週また改めて会う約束をしてくれたが、数日後に急逝されてしまったのである。；実は、今日もこれからあるんだが、来週以降は夏休みに入ると思うよ。；この生徒らを来週からは自分が教えるのだと思って、清三はその前を通った。；おそらく、来週の末にでも会うことになると思うから、そのつもりでいてくれ。；来週は、もうすっかり、別な方面に先生の研究が移ってしまうかもしれないよ。；それでも「また来週」と笑顔で校門をくぐったのは、立派なものである。；学校は来週で終わりにするように、お前は京都に行くのだと。；来週は補遺の項まで調べてみなけりゃならんと思うとるぐらいじゃ。；来週のうちに、あなたの御都合のつくときそういたしましょう。</t>
        </is>
      </c>
      <c r="J8775">
        <f>HYPERLINK("https://www.weblio.jp/content/来週", "词义详情")</f>
        <v/>
      </c>
      <c r="K8775">
        <f>HYPERLINK("https://yourei.jp/来週", "查看例句")</f>
        <v/>
      </c>
    </row>
    <row r="8776">
      <c r="A8776" t="inlineStr">
        <is>
          <t>来場</t>
        </is>
      </c>
      <c r="B8776" t="inlineStr">
        <is>
          <t>成功</t>
        </is>
      </c>
      <c r="C8776" t="inlineStr">
        <is>
          <t>読み方：らいじょう
［名］(スル)人がその場所、特に催し物・興行などを行う場所に来ること。「本日は御—いただきましてありがとうございます」</t>
        </is>
      </c>
      <c r="D8776" t="inlineStr">
        <is>
          <t>来場する(12%)；来場客(10%)；来場者(9%)；来場でき；来場出来</t>
        </is>
      </c>
      <c r="E8776" t="inlineStr">
        <is>
          <t>出場；出席；出仕；参列；列席</t>
        </is>
      </c>
      <c r="F8776" t="inlineStr">
        <is>
          <t>ご来場；多数来場；御来場；イベント来場；来場客輸送</t>
        </is>
      </c>
      <c r="G8776" t="inlineStr">
        <is>
          <t>来場所</t>
        </is>
      </c>
      <c r="H8776" t="n">
        <v>29</v>
      </c>
      <c r="I8776" t="inlineStr">
        <is>
          <t>ライブ開催前に来場者から歌詞候補を集めライブ内で公開作詞が行われた。；近年では60万人以上が来場するブリスベンでも人気がある祭りである。；主に自動車業界関係者を来場対象としているが、一般でも来場はできる。；自動車を利用して来場する場合には駐車場の確保が問題となる。；そのすぐあとで、お二人さん、手に手を組んで仲よくご来場の図だよ。；勧誘されて来場した人間たちに、精神的な揺さぶりを与え終えたのだろう。；一般来場者やマスコミも多数いる中での混乱は、可能な限り避けていきたい。；大会当日は渋滞が激しいため公共交通機関での来場が呼びかけられている。；インド人だけでなく、色々な国の人々の来場が見られるのも特徴的である。；この試合には衣笠も2試合連続で来場しており、記録更新に立ち会った。；陸海軍将官や大学教授や民間有力者が関係していて時々来場していた。；予算や予想される来場数、交通の便などを考慮して決定される。；会場には当時活躍中の塚田泰明と斎田晴子が評定役として来場していた。；来場客が出展団体の料理を食べ比べ、投票によりグランプリが決定する。；人生や恋愛に関する授業をタレントやモデル・一般来場者を交えながら行う。；一般の商店は南側に多く、北側は競艇場来場客を対象とした飲食店が多い。；従来日本のサブカルチャーに触れる機会が少なかった来場者に紹介された。；他に、養老院で講演したことがあるが、この時はもう一度の来場を約束した。；他にも、グループ各社のブースが多数設けられ、多くの来場客で賑わう。；ただし競馬界は当初実際に来場する客の減少を恐れてテレビ中継を拒んでいた。；憧れのサッカー選手の姿をもとめて来場する少女たちが多く見られるようになった。；相模湾全体で463万人が来場し、合計550のイベントを開催した。；一般来場者には近隣住民や生徒の保護者だけでなく、他校の生徒なども訪れる。；逆に、本来場においてこそそれらははじめてそれ自身なのである。；来場客の動線では建物内部で両施設を往来することはできない。；校友会特別賞は、絵画・書道展の会場来場者の投票により決定している。；招待した国で来場しなかったのはアメリカだけであった。；しかし、川栄は遅れて会場に来場しており、会場の裏で順位発表を聞いていた。；語りには本作のCMにも出演した桜井が出演しており、上記のライブにも来場したという。</t>
        </is>
      </c>
      <c r="J8776">
        <f>HYPERLINK("https://www.weblio.jp/content/来場", "词义详情")</f>
        <v/>
      </c>
      <c r="K8776">
        <f>HYPERLINK("https://yourei.jp/来場", "查看例句")</f>
        <v/>
      </c>
    </row>
    <row r="8777">
      <c r="A8777" t="inlineStr">
        <is>
          <t>来店</t>
        </is>
      </c>
      <c r="B8777" t="inlineStr">
        <is>
          <t>成功</t>
        </is>
      </c>
      <c r="C8777" t="inlineStr">
        <is>
          <t>読み方：らいてん
［名］(スル)人が店に来ること。「—した客に記念品を渡す」</t>
        </is>
      </c>
      <c r="D8777" t="inlineStr">
        <is>
          <t>来店する(18%)；来店者(7%)；来店時(2%)；来店ポイント；来店頻度</t>
        </is>
      </c>
      <c r="F8777" t="inlineStr">
        <is>
          <t>ご来店；来店する客；来店者数；来店型</t>
        </is>
      </c>
      <c r="H8777" t="n">
        <v>29</v>
      </c>
      <c r="I8777" t="inlineStr">
        <is>
          <t>洋子は真が自分の写真屋にしばしば来店する客であると気づいて驚いた。；土休日は駐車場が満車になる場合が多く、来店の際は注意が必要である。；そこには来店一番に屋根の雪に反撃を受けた、間抜けな少女の頭が見えた。；また、用もないのに店に長居する邪魔な来店者への威嚇にも使われていた。；あの人が最初に来店した時、入会手続きをしたのが僕だったんですよ。；次にこの客が来店した時に、買ってくれることを期待したからだ。；ちゃんすへの来店やイベントなどへの参加での投票も可能となった。；人間以外の種族も含め、異世界からの様々な客が来店する料理店である。；五十はとうに過ぎているであろうに、連日、女の子を替えては来店した。；前の日にフリーで来ていた客が、次の日も来店して君を指名したことがあっただろ?；これは店舗から半径500 mを理想的な来店距離としているためである。；書店の常連客の中には、来店のたびにトイレを利用する者も存在する。；応対した従業員の記憶では、それまでに来店したことのない客だったという。；雰囲気・味ともに評判を呼び、特に芸能人が多く来店することで有名っだった。；また、ゲームをプレイしないと来店ポイントは獲得できなかった。；購入後の来店を促すことで、継続した顧客の獲得にも成功している。；ここには「活躍の割には知名度が低い」武将がお忍びで来店するという。；たとえば、来店した客はまだ仕事中の理容師を見たら待合室に向かう。；子供との交流や、家族的な何かを求める来店者が多く、相席も多い。；金融機関や来店型保険ショップ等を通じた生命保険販売に特化している。；特に自動車で来店する客がほとんどであるため、駐車場は混んでいることが多い。；また郊外部では自動車での来店を意識したロードサイド店舗を早くから展開した。；また来店する児童を対象に、取引企業と共同で食育にも注力している。；それはすなわち酔いが回った状態での来店を意味していた。；手袋をはめていなかったのは、来店したときに注目されたくなかったせいだろう。；また、設置初日の1月12日には自身が来店し設置記念イベントを開催した。；そのため鉄道と路線バスによる従来型の来店手段に依存していた。；初めて来店したときからこのペースは一度も崩れていない。；時間前に来てんのに罰金を科してくる女は一人で間に合っているさ。</t>
        </is>
      </c>
      <c r="J8777">
        <f>HYPERLINK("https://www.weblio.jp/content/来店", "词义详情")</f>
        <v/>
      </c>
      <c r="K8777">
        <f>HYPERLINK("https://yourei.jp/来店", "查看例句")</f>
        <v/>
      </c>
    </row>
    <row r="8778">
      <c r="A8778" t="inlineStr">
        <is>
          <t>来日</t>
        </is>
      </c>
      <c r="B8778" t="inlineStr">
        <is>
          <t>成功</t>
        </is>
      </c>
      <c r="C8778" t="inlineStr">
        <is>
          <t>読み方：らいじつ
今よりあとに来る日。将来の日。</t>
        </is>
      </c>
      <c r="D8778" t="inlineStr">
        <is>
          <t>来日時(4%)；来日後(2%)；来日中；来日初；来日当初</t>
        </is>
      </c>
      <c r="F8778" t="inlineStr">
        <is>
          <t>再来日；来日直前；来日回数；回来日；来日記念盤</t>
        </is>
      </c>
      <c r="G8778" t="inlineStr">
        <is>
          <t>来日外国人；来日アーティスト；来日メンバー；来日者；来日外国人犯罪</t>
        </is>
      </c>
      <c r="H8778" t="n">
        <v>29</v>
      </c>
      <c r="I8778" t="inlineStr">
        <is>
          <t>なお下記のように来日以前からに日本を題材とした作品も書かれている。；映画でもしばしば披露する他、来日時には日本語で挨拶することもある。；これが原因なのかは不明だが以降ブルーエンジェルスは来日していない。；キャンプに参加するため来日した時にすでにひげは元通りになっていた。；このほか戦前の来日時にはインチキ日本語を披露したとの記録もある。；してみれば、櫓をとっているのは、もう一人のかっぱらいにちがいない。；メンバーが一人も来日せずに日本国外で収録されたものを取り上げる。；シーズン途中入団ということもあって来日当初は2軍で調整を進めた。；使者はこれまで二度も渤海国使として来日したことのある裴璆であった。；当時、彼女の訪日と比較されたのが前年に来日したビートルズである。；バンドはアルバム発表直後に来日し、バンド初の単独公演を日本で開催した。；こういった機能は日本が特に進んでおり、海外から来日した人が驚くこともあるという。；また、海外で行われたライブや来日時に行われたライブの映像を放送することもあった。；当時は日本語がほぼ話せなかったと言うが、強い決意を持って来日。；日本での来日コンサートも数多く開催され、世界での顕彰も増えた。；この年に行われた第1回のフジロックフェスティバルで来日している。；来日前、日本・韓国・中国は同じ言葉を話すと思っていたほど日本の事情を知らなかった。；日本でも人気のあるジャズ・ベーシストであり、来日回数も極めて多い。；初代院長はキリスト教信仰に導かれて来日したジョンソン医師であった。；このように幹部が来日する事例は政権崩壊後も確認されている。；同作品はかつてソフィアがジョーンズと共に来日した経験を基にしている。；また同バンドに所属していた頃には来日もしている。；また、同年にメヨメサラ市の市長も来日して旧中津江村を訪問している。；来日直後にCDを買いに走り、よく聞いていたがその直後に解散。；日本へはマレンコ道場と関係の深かった藤原組に本名で数度来日している。；同年には再びフジ・ロック・フェスティバル出演のため来日している。；この成功を契機に、日本での成功を求めて韓国芸能人の来日が相次いだ。；初めての来日は在籍していたこのグリークラブが日本ツアーを行った時だった。；同年に来日し各地で講演したほか、昭和天皇と香淳皇后と会見している。</t>
        </is>
      </c>
      <c r="J8778">
        <f>HYPERLINK("https://www.weblio.jp/content/来日", "词义详情")</f>
        <v/>
      </c>
      <c r="K8778">
        <f>HYPERLINK("https://yourei.jp/来日", "查看例句")</f>
        <v/>
      </c>
    </row>
    <row r="8779">
      <c r="A8779" t="inlineStr">
        <is>
          <t>来年</t>
        </is>
      </c>
      <c r="B8779" t="inlineStr">
        <is>
          <t>成功</t>
        </is>
      </c>
      <c r="C8779" t="inlineStr">
        <is>
          <t>読み方：らいねん
今年の次の年。明年。来歳。</t>
        </is>
      </c>
      <c r="D8779" t="inlineStr">
        <is>
          <t>来年あたり；来年早々；来年春；来年卒業；来年夏</t>
        </is>
      </c>
      <c r="E8779" t="inlineStr">
        <is>
          <t>翌年；明年；明くる年</t>
        </is>
      </c>
      <c r="G8779" t="inlineStr">
        <is>
          <t>来年三月；来年以降；来年二月；来年一月；来年四月</t>
        </is>
      </c>
      <c r="H8779" t="n">
        <v>29</v>
      </c>
      <c r="I8779" t="inlineStr">
        <is>
          <t>そしてしっかり勉強して来年入段できなかったら韓国に帰ると約束した。；私も筆で生活出来るのは、どうも来年一年がせいぜいのような気がする。；これは長いものになるが、今年中か来年のはじめには着手するつもりだ。；この問題も恐らく来年はもっと真面目に協会員に考えられてくるだろう。；来年の八月のギャロップの調査の結果を何とかして知りたいものである。；義雄さんは、まだ来年にならなければ、学校を卒業しないのであります。；彼は2人が来年、自分のゼミに入る事を命令し、二人の前を去って行く。；また大会終了後イノーは来年の当大会はレモンに優勝させると明言した。；子供たちが一人前になれば、来年はもっと畑を増やせるだろうと思った。；来年こそと思っていましたが、次の年もまた同じようなひでりでした。；中央道派が言うには、立法は今年は中央道、東海道は来年にしろという。；周りからは来年は3つ星と期待されたが、自身はそう考えてはいなかった。；今年は一万円収入があつても、来年は二三千円しかないかも知れない。；また来年も今年と同じ様に父親の優しさをもって私を愛して下さい。；十六でね、来年シャーロットタウンの学校へ行く受験準備をやってんの。；今年はこの男を好いておっても、来年はあの男を好いているかも知れん。；そして来年の今ごろまでには、きっと望みのものを手に入れてみせる。；来年はまたこれまでと変わらない毎日が戻ってくるだけの話だ。；彼は来年小学校にはいることになっていたが、幼稚園には行っていなかった。；しかし、来年は、自分がどういう気持になるかわからないではないか。；もしこの春でなければ、来年か、そのつぎの年には、かならず分裂する。；こうすれば途中で幾度出して使っても来年の夏までは大丈夫持ちます。；保郎は、来年は別な学校に入ろうと、のんきな気持ちで帰って来たのだ。；来年の春までには来ますから来たらすぐ見せてあげましょう。；来年の春でもすぎたら、かえした方がよさそうなことがあるのです。；来年という声は、今日の日本のみんなに独特の感じを与えながら迫ってきた。；そう思ってよく見ると来年は三男の子供が大学へ受験する年齢になっている。；良介と同じように二浪の生活をへてなお来年を目指す友人も二、三人いた。；来年と申しましても、三百六十五日先のことになるだけでございます。</t>
        </is>
      </c>
      <c r="J8779">
        <f>HYPERLINK("https://www.weblio.jp/content/来年", "词义详情")</f>
        <v/>
      </c>
      <c r="K8779">
        <f>HYPERLINK("https://yourei.jp/来年", "查看例句")</f>
        <v/>
      </c>
    </row>
    <row r="8780">
      <c r="A8780" t="inlineStr">
        <is>
          <t>来訪</t>
        </is>
      </c>
      <c r="B8780" t="inlineStr">
        <is>
          <t>成功</t>
        </is>
      </c>
      <c r="C8780" t="inlineStr">
        <is>
          <t>読み方：らいほう
［名］(スル)人が訪ねてくること。「旧友が—する」「—者」⇔往訪。</t>
        </is>
      </c>
      <c r="D8780" t="inlineStr">
        <is>
          <t>来訪者たち；来訪客；来訪者編；来訪者用；来訪以来</t>
        </is>
      </c>
      <c r="E8780" t="inlineStr">
        <is>
          <t>訪れ；訪問；面会；お邪魔；参上</t>
        </is>
      </c>
      <c r="F8780" t="inlineStr">
        <is>
          <t>氏来訪；さん来訪；君来訪；御来訪；ご来訪</t>
        </is>
      </c>
      <c r="H8780" t="n">
        <v>29</v>
      </c>
      <c r="I8780" t="inlineStr">
        <is>
          <t>来訪行事を実施するのは地区住民のなかで資格を持つ者に限られている。；郡の郊外や近隣の州から、多数の自動車がバスを来訪するようになった。；戦後になって来訪の記念碑とトビーの墓が大湯間歇泉の脇に建てられた。；車での来訪に際しては事前に駐車場位置を確認しておくことが望ましい。；この民衆祭は千年の歴史を有し、毎回1日あたり数千人の来訪者がある。；名古屋市国際展示場でイベントが開催される日は多くの来訪者が訪れる。；市の担当部署に事前連絡するか、開放日を確認して来訪する必要がある。；人類と来訪者はこの脅威に対抗すべく、地球解放機構TLTを設立した。；大方丈は将軍来訪の際に使用されたことから「御成の間」とも呼ばれた。；自転車とフェリーサービスは、来訪者を誘致するため無料になっていた。；現在も境内に残るカヤの木は、秀吉来訪を記念して山主が植えたという。；この来訪は大きな成功を収め、彼の有名な作品がいくつも生まれた。；また次第に一般の来訪者による進物でもそれがなされるようになった。；その利用客の殆どが地元民ではなく後述のレストラン目的で来訪する客である。；階段が使用できない来訪者にも歴史的建物を利用できるよう多くの計画を検討している。；その存在は、来訪者たちの警告が真実であることを証明するものでもあった。；著名なものの一つにキャサリン・オブ・アラゴン来訪時の事件がある。；最初の部分的な開業から2ヶ月後に、カジノは毎日の来訪者が訪れた。；また、同じ理由により、来訪者への挨拶をすることが強く勧められている。；彼らが加護山製錬所に来訪した詳しい日程を特定できる資料はまだない。；単独選挙に反対の意思を示していた北朝鮮は国連朝鮮委員団の来訪を拒否した。；年間に約4万人の来訪者があり、県外からの視察団も多く訪れている。；それぞれの開花時期には好撮影地となり、それを目的とした多くの人が来訪する。；道化師や歌手が来訪して公演を行い、家族を鼓舞する役割を果たした。；その他に季節ごとの神の来訪に合わせた物忌みが行われていた。；タリアフェロを含む砦にいた多くの人々は新しい来訪者を快く思わなかった。；この近辺は景勝地になっており、かつては沢山の観光客が来訪していた。；来訪時の当寺は衰退していたが、地元民に乞われて住職となったという。；前者では道順を記した手作りポスターを掲示して来訪者に配慮している。</t>
        </is>
      </c>
      <c r="J8780">
        <f>HYPERLINK("https://www.weblio.jp/content/来訪", "词义详情")</f>
        <v/>
      </c>
      <c r="K8780">
        <f>HYPERLINK("https://yourei.jp/来訪", "查看例句")</f>
        <v/>
      </c>
    </row>
    <row r="8781">
      <c r="A8781" t="inlineStr">
        <is>
          <t>楽</t>
        </is>
      </c>
      <c r="B8781" t="inlineStr">
        <is>
          <t>成功</t>
        </is>
      </c>
      <c r="C8781" t="inlineStr">
        <is>
          <t>読み方：がく
［音］ガク（呉）（漢）ラク（呉）（漢）　［訓］たのしい　たのしむ
［学習漢字］2年
〈ガク〉音を組み立てた調べ。音楽。「楽器・楽章・楽団・楽譜・楽屋／雅楽・器楽・声楽・奏楽・能楽・舞楽・邦楽・洋楽・室内楽」
〈ラク〉
１たのしむ。たのしい。「楽園／安楽・逸楽・快楽・享楽・苦楽・娯楽・行楽・後楽・極楽・道楽」
２たやすい。「楽観・楽勝・楽楽／気楽」
３「千秋楽」の略。「楽日(らくび)」
［名のり］ささ・もと・よし
［難読］神楽(かぐら)・楽府(がふ)・独楽(こま)・催馬楽(さいばら)・楽車(だんじり)・伯楽(ばくろう)・貝独楽(ばいごま)</t>
        </is>
      </c>
      <c r="D8781" t="inlineStr">
        <is>
          <t>楽しげな(2%)；楽浪；楽なもの；楽派；楽な仕事</t>
        </is>
      </c>
      <c r="E8781" t="inlineStr">
        <is>
          <t>音楽；やすい；容易；安心；軽い</t>
        </is>
      </c>
      <c r="F8781" t="inlineStr">
        <is>
          <t>可楽；馬楽；楽才；一番楽；愚楽</t>
        </is>
      </c>
      <c r="G8781" t="inlineStr">
        <is>
          <t>楽器；楽しみ；楽しい；楽しん；楽しむ</t>
        </is>
      </c>
      <c r="H8781" t="n">
        <v>29</v>
      </c>
      <c r="I8781" t="inlineStr">
        <is>
          <t>ロシア帝国に渡って、今日まで続くロシア・ピアノ楽派の基礎を築いた。；高齢のためと目が悪いため、一番楽な姿勢をとっていたと推測される。；そのため勤め先が無い小姓組より生活的には楽であったと推定されている。；実はフレデリック・ジェフスキーもこの楽派の出身の人物に師事した。；認められることが難しいものの、日本の野球で認められれば楽になる。；歩く速度は、楽に会話ができる程度のゆっくりとした歩きである。；彼らは、楽に読める文章は全く真実を語る本ではないと思っている。；純弥達の学年は寿の影響でおよそ半数が善楽中出身者で占められている。；しかし市内の全ての高校に行って調査しなくていいのは楽であり、利点である。；ただし、徐楽吾の論が正しいかどうかについては意見が分かれている。；堅牢であることと車体架装が楽なことから、特に途上国では主流である。；内部空間もアバンテよりゆとりがあり、機器類の配置がより楽になった。；それよりは森の下を歩いていた方が楽であり、そこで見られる生物も十分に多様である。；家族の一部のみが引っ越す場合には内容的にはかなり楽になる。；古文では易・書・詩・礼・楽・春秋であり、時代順に並べられている。；同年のうちに曹叡が即位すると、楽亭侯・衛尉になり千戸の所領を得た。；これは楽市場での交通の自由や種々の特権を認めたものであった。；建国4年9月、かつて盛楽城があった場所の南8里に新たに城を築いた。；同年7月には楽浪の侵入を受けて首都の金城が何重にも包囲された。；どう乗っても勝てるんなら、楽に勝とうと思って馬をちょっと抑えたんです。；娘の学費は免除されていたが、生活は決して楽なものではなかった。；原口によれば「各時間の放送の更新作業を楽にするため」とのこと。；からだは尋を楽にしてあげたいと早く大人になることを夢見ていた。；楽箏のものは小さく低いが、大音量を求める近代のものは大型になっている。；それゆえ、次の段階の装備品を手に入れたらそれだけで冒険が格段に楽になる。；譜例5を用いた経過楽句で準備を行ってからロンド主題の再現となる。；こんなに手間ひまかけて無理にやらなくても、自分の小説書いたほうが楽ですよ。；諸侯から贈られる金額は相当の額に及び、そのため生活は楽であった。；ルジェーンコの質問は滅茶苦茶だったのでゲーリングには楽な相手だった。</t>
        </is>
      </c>
      <c r="J8781">
        <f>HYPERLINK("https://www.weblio.jp/content/楽", "词义详情")</f>
        <v/>
      </c>
      <c r="K8781">
        <f>HYPERLINK("https://yourei.jp/楽", "查看例句")</f>
        <v/>
      </c>
    </row>
    <row r="8782">
      <c r="A8782" t="inlineStr">
        <is>
          <t>落書き</t>
        </is>
      </c>
      <c r="B8782" t="inlineStr">
        <is>
          <t>成功</t>
        </is>
      </c>
      <c r="C8782" t="inlineStr">
        <is>
          <t>読み方：らくがき
［名］(スル)《「らくしょ（落書）」から》書くべきでないところに文字や絵などをいたずら書きすること。また、その書いたもの。「塀に—する」</t>
        </is>
      </c>
      <c r="D8782" t="inlineStr">
        <is>
          <t>落書きだらけ；落書き帳；落書きみたい；落書き防止；落書き消去</t>
        </is>
      </c>
      <c r="E8782" t="inlineStr">
        <is>
          <t>いたずら書き；ラクガキ；洛書</t>
        </is>
      </c>
      <c r="H8782" t="n">
        <v>29</v>
      </c>
      <c r="I8782" t="inlineStr">
        <is>
          <t>彼の話題がトイレの落書きにあったのを思い出して、気分が悪くなった。；そういう気遣いをお互いにしていたから今まで落書きは続いてきたのだ。；ボックスはガラスが数枚なくなっていたし、後ろの壁は落書きだらけだ。；漫画を読んでいたが、「絵は落書きみたいに描いていただけ」であった。；所在のないときに落書きをするくせのある人間ならだれでもそうするだろう。；ほとんどの人間は知らないことだったが、あの落書きには意味がある。；黒地に赤や黄色のクレヨンで数字を落書きしたような、柄が入っている。；尾道が変な落書きが好きだと判断できる理由でもあれば、別なのだが。；このため随所に関係者や収容されていた者の落書きが残されている。；その隣の隣の席で同じくノートに落書きをしていた西村義明と知り合う。；注意しようとして彼の落書きを見たときのことは今でも覚えている。；中には幼い自分がクレヨンで書いた落書きが残っているものもあったっけ。；とを組み合わせたイタリアでの落書きから始まった語と言われる。；問題の記号はトイレの落書きのごとくはっきりと提示されなければならない。；彼らはエバーミーンによって壁の落書きに変身させられていたのである。；またマッサージチェアや、落書き帳などが設置されている例も見られる。；第1の解釈は、落書きは殺人者が書いたものではないというものである。；とくに、落書きを残していくアイツらには顔を覚えられたくなかった。；こちらはハリーの所持品の複製ではないという設定のため落書きはない。；血のように赤い色で書かれた、ワタルには読むことのできない落書きの文字。；接続機器からウフコックがぬっと首だけ出してバロットの落書きを見た。；しかし、こうした詩が相当人気があったことが次の落書きから窺える。；落書きだらけのドアは、気密災害用の対気シールドでロックされている。；学校の掲示板なんて、トイレの壁に書いてある落書きとなんの違いがあるの。；こんなさむい思いまでして、ここに落書きをしにくることはないんだけどな。；非公式な記録としては、落書きのような独自の感覚で書かれたものもある。；自分の思うがまま落書きをしているようなものなんだから。；トンネルを逆に抜けるとき、さっき見逃していた落書きが目にとまった。；私の自宅の方にも、赤いペイントで物騒な落書きをされることはない。</t>
        </is>
      </c>
      <c r="J8782">
        <f>HYPERLINK("https://www.weblio.jp/content/落書き", "词义详情")</f>
        <v/>
      </c>
      <c r="K8782">
        <f>HYPERLINK("https://yourei.jp/落書き", "查看例句")</f>
        <v/>
      </c>
    </row>
    <row r="8783">
      <c r="A8783" t="inlineStr">
        <is>
          <t>落第</t>
        </is>
      </c>
      <c r="B8783" t="inlineStr">
        <is>
          <t>成功</t>
        </is>
      </c>
      <c r="C8783" t="inlineStr">
        <is>
          <t>読み方：らくだい
［名］(スル)
１試験や審査に合格しないこと。不合格。「筆記試験に—する」⇔及第。
２学年の課程が修了できないで、卒業または進級できないこと。《季春》「珈琲(コーヒー)濃しけふ—の少女子(をとめご)に／波郷」
３必要な一定の基準に達しないため、認められないこと。「こんなことでは親として—だ」⇔及第。</t>
        </is>
      </c>
      <c r="D8783" t="inlineStr">
        <is>
          <t>落第する(8%)；落第点(5%)；落第者；落第すれ；落第組</t>
        </is>
      </c>
      <c r="F8783" t="inlineStr">
        <is>
          <t>二度落第；みんな落第；とも落第</t>
        </is>
      </c>
      <c r="G8783" t="inlineStr">
        <is>
          <t>落第忍者乱太郎；落第忍者乱太郎の登場人物；落第騎士の英雄譚；落第はしたけれど</t>
        </is>
      </c>
      <c r="H8783" t="n">
        <v>29</v>
      </c>
      <c r="I8783" t="inlineStr">
        <is>
          <t>その質問をした学生はもう落第かと思って隅の方に小さくなっている。；おれだけは事によると落第するかもしれないけれどきみたちは大丈夫だ。；そういうことを威張っていえるのも、落第をした経験があるからである。；私は放校されたり、落第したり、中学を卒業したのは二十の年であった。；いまとなってはあの落第が御公儀のいっそうの御不審を買うもととなる。；それは、先生が試験の時に決して一人も落第させないということであった。；それを二十数年にわたって、一人も落第させなかったということである。；僕は高等学校で二度落第したが、そのため東京の大震災に逢わなかった。；今度の落第は野崎に原因していると、言えば言えないこともなかった。；霊の試験を受ける事になれば、僕だって必ず落第するとも思わない。；だから今度の落第はかえすがえす野崎に原因していると言えば言えたのだ。；落第と聞いて、モオヴァル夫人もあまり驚いたような様子も見せなかった。；農業学校の他に平壌師範学校の入学試験も受けていたがこちらは落第した。；そこへあなたがいらっしたのだから、今日の先生の卦は落第ですと云った。；率から云うと、三十人のうち二十九人までが落第しているのだった。；その時のショックがもとで大学の進級試験に失敗し、落第してしまった。；ところがまあ、その試験に彼女は不幸にして落第したんですねえ。；科挙に合格することは非常に困難であり、毎年数百人の落第者が生まれていた。；彼はあまりにも多くの学生を落第させてしまったのである。；小学校卒業後に膳所中学校を受験したが落第したため、高等科へ進んだ。；この調子だと落第するのではないかと心配になってきた。；試験は四日にわたって行われ、毎日落第者が出るようになっていた。；当初中学三年生だったが、物語後半で話の都合上二年生に落第させられる。；いよいよ試験の当日になって実力の五〇パーセントも発揮できずに落第する。；高校入試の時、或る私大の付属の試験を受けてものの見事に落第した。；かへつて余らに英語など教へてくれた男は落第して居て気の毒でたまらなかつた。；左五は其後追試験に及第したにはしたが、するかと思うと又落第した。；もし、おれが数学に落第したら、おれは最下級軍曹に格下げになるんだ。；自分だけのことを云えば、その時の私には落第などは屁の河童だった。</t>
        </is>
      </c>
      <c r="J8783">
        <f>HYPERLINK("https://www.weblio.jp/content/落第", "词义详情")</f>
        <v/>
      </c>
      <c r="K8783">
        <f>HYPERLINK("https://yourei.jp/落第", "查看例句")</f>
        <v/>
      </c>
    </row>
    <row r="8784">
      <c r="A8784" t="inlineStr">
        <is>
          <t>落胆</t>
        </is>
      </c>
      <c r="B8784" t="inlineStr">
        <is>
          <t>成功</t>
        </is>
      </c>
      <c r="C8784" t="inlineStr">
        <is>
          <t>読み方：らくたん
［名］(スル)期待や希望どおりにならずがっかりすること。「審査に通らず—する」</t>
        </is>
      </c>
      <c r="D8784" t="inlineStr">
        <is>
          <t>落胆ぶり</t>
        </is>
      </c>
      <c r="E8784" t="inlineStr">
        <is>
          <t>憂鬱；挫折；憂欝；喪心；挫折感</t>
        </is>
      </c>
      <c r="H8784" t="n">
        <v>29</v>
      </c>
      <c r="I8784" t="inlineStr">
        <is>
          <t>今度こそはと期待していた根岸刑事は石子の話を聞くと落胆して終った。；真一の顔に浮かんだ落胆と怒りの色を、篠崎刑事は黙って観察していた。；頭をたれ腕ぐみをしているが、全体に恐怖と落胆の様子を現わしている。；次の朝、あまりにも夫が落胆しているので、ホームズを訪れて相談した。；ぼくの最初に受けた衝動は落胆だったが、すぐつづいて喜びに変わった。；兄も、こんなふうに彼女を落胆させるつもりはなかったのかもしれない。；私は落胆して、おまえがさっさと旅費を送らないからだと文句をいった。；のちに自分の声がバッソ・カンタンテであると知り落胆したと語った。；しかしその台本を見た黒木香は村西の心が離れたと落胆して出演を拒否。；この際我新藩主には何の告知も無かったので我が上下共に非常に落胆した。；彼は今や読書していなかった、落胆したように往ったり来たりしていた。；じつは、医師の説明を聞き終わっても、別に落胆していなかったからだ。；佐智が呆気にとられて首をふると、彼は落胆したように人形から離れた。；ナポレオンは彼を皇位継承者にしようと考えていたので、深く落胆した。；結婚するとすぐに、彼は自分のしたことに落胆したような様子をした。；それは落胆であり苦痛であり、恐怖や絶望をすら呼び起こすものだろう。；かれらは問題がなかったことに、ちょっと落胆しているような印象を受けた。；夫は事業不振に落胆していたと述べた妻も、業種などは明かさなかった。；また、台湾では人気を博す一方、日本との落差に落胆することもあった。；落胆が岩のように体内に落ちていき、ゆるゆると手を下ろした時だった。；私はこの名状しがたい落胆を魂の出血と言う以外他に言いようがない。；彼女は落胆しながらも、多分マイクのいうとおりにちがいないと思った。；私は落胆し切ったのですが、併し次の一刹那に、私は啓示を受けました。；しばらくのち一階に下りてきたとき、マークの父は少しも落胆していなかった。；肺病には興奮や心配や落胆や悲哀が一番悪く影響するのを私は知っていた。；レオナルドに言われたとおり窓を探して、ルドヴィコはひどく落胆した。；だってあの人がいなくなったときはひどく落胆なすったんですもの。；光も音もない黒々としたテレビ画面は、悠木に安堵と落胆をもたらした。；彼は人に落胆させまいとして、いつでも骨を折る気のいい正直者であった。</t>
        </is>
      </c>
      <c r="J8784">
        <f>HYPERLINK("https://www.weblio.jp/content/落胆", "词义详情")</f>
        <v/>
      </c>
      <c r="K8784">
        <f>HYPERLINK("https://yourei.jp/落胆", "查看例句")</f>
        <v/>
      </c>
    </row>
    <row r="8785">
      <c r="A8785" t="inlineStr">
        <is>
          <t>酪農</t>
        </is>
      </c>
      <c r="B8785" t="inlineStr">
        <is>
          <t>成功</t>
        </is>
      </c>
      <c r="C8785" t="inlineStr">
        <is>
          <t>読み方：らくのう
牛・羊などを飼育して、飲用乳や乳製品の原料となる乳を生産したり、乳を精製・加工して製品としたりする農業。</t>
        </is>
      </c>
      <c r="D8785" t="inlineStr">
        <is>
          <t>酪農場(8%)；酪農地帯(4%)；酪農製品(3%)；酪農経営；酪農産業</t>
        </is>
      </c>
      <c r="F8785" t="inlineStr">
        <is>
          <t>酪農協同組合；酪農用；酪農学；酪農試験場；酪農義塾</t>
        </is>
      </c>
      <c r="G8785" t="inlineStr">
        <is>
          <t>酪農業；酪農学園大学；酪農学部；酪農学園；酪農学園大学短期大学部</t>
        </is>
      </c>
      <c r="H8785" t="n">
        <v>29</v>
      </c>
      <c r="I8785" t="inlineStr">
        <is>
          <t>その後数十年でこのような酪農家の組合は無数に存在するようになった。；酪農は主に大消費地に近い地域、放牧はそうでない地域で行われている。；この両市街地・集落に酪農従事者世帯以外の住民の大半が居住している。；この大学では酪農家を教育し、より良い酪農製品を作る方法を研究した。；そして公爵さまが酪農場に見える時まで、そのままそこにおりましたの。；これからの農業は、酪農経営で行くべきだと考え、大きな畜舎を作った。；酪農が盛んで、生産されているチーズは日本でも輸入販売されている。；環境関連規制の影響で、ニュージーランドでは酪農地の拡大が制限された。；オランダ北部の重要な牛市場があり、酪農製品の製造が盛んである。；トップ100にリストされたのはメキシコからの唯一の酪農場でした。；畑作や酪農を中心とした農業が非常に盛んで、北海道一の畑作地帯である。；この農園と博物館には酪農場や修復された1890年建設の農家がある。；このことが農家を耕種農業から現在に至る酪農へ転換させる転機となった。；昭和7年頃より乳牛の飼育が導入され、県下でも有数の酪農村となった。；酪農が盛んである他、摩周メロンやジャガイモ等の生産も行われている。；いまの酪農は、そのへんのタダの草を食べさせているわけではない。；酪農産業は拡大傾向にあり、年に25万トン弱の乳製品を生産している。；過去には酪農・養豚等も含め多種であったが、近年は稲作や畑作が多い。；また北部では山野を切り開いて乳牛を中心とした酪農が行われている。；丘のふもとは主に酪農用の小さな生垣に囲まれた牧草地となっている。；ただし日本同様、現在の中国でも酪農と牛乳は一般に普及している。；動物は世話をするとなかよし度が上がっていき、質の良い酪農品が取れる。；これは全国の酪農家にもよい影響を及ぼしその後の酪農の発展に寄与した。；州内でも最上級の家畜や酪農農園など景観美と優れた牧草地で知られた。；海外から酪農・農業機械を輸入販売し、アフターサービスを行っている。；峯岡牧周辺は日本の酪農史で大きな役割を果たした地域であった。；一年後の彼は、なぜだか帯広畜産大学酪農科の一年生になっているのだった。；九重山の北や南は緩やかに波打つ広大な草原となっており、酪農が盛ん。；山麓は古くから、南部馬の産地となっており、現在でも酪農が盛んである。</t>
        </is>
      </c>
      <c r="J8785">
        <f>HYPERLINK("https://www.weblio.jp/content/酪農", "词义详情")</f>
        <v/>
      </c>
      <c r="K8785">
        <f>HYPERLINK("https://yourei.jp/酪農", "查看例句")</f>
        <v/>
      </c>
    </row>
    <row r="8786">
      <c r="A8786" t="inlineStr">
        <is>
          <t>ラジカセ</t>
        </is>
      </c>
      <c r="B8786" t="inlineStr">
        <is>
          <t>成功</t>
        </is>
      </c>
      <c r="C8786" t="inlineStr">
        <is>
          <t>「ラジオカセット」の略。</t>
        </is>
      </c>
      <c r="D8786" t="inlineStr">
        <is>
          <t>ラジカセ等</t>
        </is>
      </c>
      <c r="F8786" t="inlineStr">
        <is>
          <t>mdラジカセ</t>
        </is>
      </c>
      <c r="H8786" t="n">
        <v>29</v>
      </c>
      <c r="I8786" t="inlineStr">
        <is>
          <t>その表情は、自分のラジカセの運命を気にしているからではないだろう。；CDラジカセから流れた声が、以前に聞いたある声に似ている気がした。；そして、姉の勧めで自分の歌をラジカセに録音して練習するようになった。；そうでないことは、ラジカセの電源を切った後の内山君の話でわかった。；三人が戻ってきたときは、かなり大型のCDラジカセを手にしていた。；黄色っぽい畳の上に置かれた、聞いたことのないメーカーのラジカセ。；まったくありえない事にゲーム機や小型のラジカセまで飛んでくる。；僕はテーブルの上に置いてあるラジカセのスイッチを入れた。；ある日ラジカセを買ってもらい音楽をよく聞くようになった。；そしてそのときラジカセの中に入っていたのが陽子の貸したテープだった。；ラジカセは歌の書きこまれていない余白部分をひっそりと巻き取っていた。；そしてCDラジカセの前にこちらに背を向けて座り、イヤホンをつけた。；テレビもラジカセも無いとなると、さてどうして過ごしたものか。；ラジカセのスイッチを入れた彼女が「疲れたでしょ」と聞いてくる。；新聞に、ラジカセ買ってくれなかったのを苦に中学生が自殺した、とある。；巧の机の上の時計の緑に輝く文字盤と、もう一つ、ラジカセのランプだ。；今のところ、CDラジカセにセットされているのは、紅葉のディスクだ。；オレはその緑色に光るCDを受け取り、机の上のラジカセにセットした。；だれかがラジカセで鳴らす私の知らない音楽が遠くから届いてきた。；ラジカセ状の機械と、それにコードで繋がったマイク状の道具で構成される。；幼い頃からゲームやメカが好きで、ラジカセなどを分解していた。；あちこちで誰かがもちこんだラジカセがレイヴ音楽で空気を歪ませていた。；運転する僕の無聊を慰めてくれるのはラジカセの音楽だけという状況だった。；ベッドから滑り降り、床に置いたCDラジカセの演奏ボタンを押した。；ラジカセのスイッチに指を当てて、私はフランソワーズ・アルディを待った。；二階の自分の部屋に入ると、扉の鍵をかけてCDラジカセのスイッチを入れた。；ミニコンポで充分ですが、低グレードのラジカセ等は避けてください。；それに加え安価なCDラジカセなどのジェネリック家電も発売された。；ラジカセを運ぶぐらいのことで泣きごとをいうわけにはいかない。</t>
        </is>
      </c>
      <c r="J8786">
        <f>HYPERLINK("https://www.weblio.jp/content/ラジカセ", "词义详情")</f>
        <v/>
      </c>
      <c r="K8786">
        <f>HYPERLINK("https://yourei.jp/ラジカセ", "查看例句")</f>
        <v/>
      </c>
    </row>
    <row r="8787">
      <c r="A8787" t="inlineStr">
        <is>
          <t>拉致</t>
        </is>
      </c>
      <c r="B8787" t="inlineStr">
        <is>
          <t>成功</t>
        </is>
      </c>
      <c r="C8787" t="inlineStr">
        <is>
          <t>読み方：らち
［名］(スル)むりやりに連れていくこと。らっち。「何者かに—される」</t>
        </is>
      </c>
      <c r="D8787" t="inlineStr">
        <is>
          <t>拉致される(5%)；拉致しよ；拉致監禁；拉致被害；拉致同然</t>
        </is>
      </c>
      <c r="E8787" t="inlineStr">
        <is>
          <t>誘拐；連れ去る；持ち去る；略取；奪い去る</t>
        </is>
      </c>
      <c r="F8787" t="inlineStr">
        <is>
          <t>拉致犯罪；拉致未遂事件；半ば拉致；拉致講義；少女拉致</t>
        </is>
      </c>
      <c r="G8787" t="inlineStr">
        <is>
          <t>拉致問題；拉致事件；拉致監禁；拉致議連；拉致問題担当大臣</t>
        </is>
      </c>
      <c r="H8787" t="n">
        <v>29</v>
      </c>
      <c r="I8787" t="inlineStr">
        <is>
          <t>女性たちが北朝鮮によって拉致されていたことがこれで明らかになった。；もう一人のケンネル星人が現れるがやはり木の国屋に拉致されてしまう。；そこに現れたアキューザーと名乗る謎の組織に拉致されてしまったハリー。；北朝鮮に拉致された日本人を救う会全国地方議員連盟会長を務めている。；襲撃の原因はオニャーテが女性や子供を拉致したためかも知れない。；この様な拉致事件への消極的な政治対応が一変する事件が起こった。；同年2月13日に井上から報告を受けた麻原は薬物を使った拉致を命令。；困難を乗り越え、ようやく特攻隊は将軍が拉致されている砦に辿り着く。；太陽の門まで電車で移動し、ウィルはルシアと別れ、拉致犯と接触した。；しかし息子がRUFに拉致されたことを知ったソロモンは悲嘆に暮れる。；手下の者たちに拉致を命じて自らはエボリ一帯を目指して出発した。；彼女は拉致された24年間、途中で動かなくなってもこの時計を身につけていた。；これはヒズボラ側との交渉に利用され、また拉致将兵の家族達を混乱させた。；中東のどこかの国で、シークが戦闘集団に襲撃・拉致される事件が発生した。；漂着した乗員66名は先住民に救助を求めたが、逆に集落へ拉致された。；有名なジャズ・ミュージシャンを拉致して、演奏させたこともあった。；このクーリアの名は拉致されたサビニ人女性の名からとってつけられたという。；定時制高校の卒業証書を授与される前に彼女は拉致されてしまった。；政府が省庁横断で拉致事件へ対応していくことを目的としている。；約300人の住民が拉致されたほか、約10万頭の牛を盗まれている。；このハーリング大統領の拉致はエイカーソンヒル事件と呼ばれている。；これについて和田は拉致の存在そのものを否定したわけではないと釈明した。；続いて、知らずに帰宅したカージーも暴行を受けキャロルを拉致される。；アフリカからブラジルに拉致された奴隷がマクレレのことをブラジルに伝えたとされている。；そしてやはりベルサイユ宮殿は襲撃され、王と王妃は宮殿から拉致される。；いずれも姫路とパペットマスターによって拉致されてしまった少女たち。；保良局は女性の拉致と売春と対峙する為に創設された最初の組織の一つになった。；また、拉致された日本人がいるとされる招待所を運営していた。；元正花は中国内で韓国人実業家を拉致した北朝鮮の拉致実行犯でもある。</t>
        </is>
      </c>
      <c r="J8787">
        <f>HYPERLINK("https://www.weblio.jp/content/拉致", "词义详情")</f>
        <v/>
      </c>
      <c r="K8787">
        <f>HYPERLINK("https://yourei.jp/拉致", "查看例句")</f>
        <v/>
      </c>
    </row>
    <row r="8788">
      <c r="A8788" t="inlineStr">
        <is>
          <t>落下</t>
        </is>
      </c>
      <c r="B8788" t="inlineStr">
        <is>
          <t>成功</t>
        </is>
      </c>
      <c r="C8788" t="inlineStr">
        <is>
          <t>読み方：らっか
［名］(スル)高い所から落ちること。「看板が道路に—した」</t>
        </is>
      </c>
      <c r="D8788" t="inlineStr">
        <is>
          <t>落下速度(7%)；落下防止(3%)；落下軌道；落下途中；落下距離</t>
        </is>
      </c>
      <c r="E8788" t="inlineStr">
        <is>
          <t>減少；低下；落ちる；滅亡；降下</t>
        </is>
      </c>
      <c r="F8788" t="inlineStr">
        <is>
          <t>落下昆虫；落下予測；落下直前；落下感覚；落下ダメージ</t>
        </is>
      </c>
      <c r="H8788" t="n">
        <v>29</v>
      </c>
      <c r="I8788" t="inlineStr">
        <is>
          <t>落下などの衝撃を与えなくてもヒビが入ることがあると報告されている。；地上三十メートルからの落下ともなれば、その衝撃は二十トンを超える。；するとむろん、家だけがその自然の落下速度より早く落ちることになる。；懸念されたコアステージの落下時期と地点には以下のようなものがある。；車両に着雪した雪は落下することで設備の破損などを引き起こすがある。；後ろの人に解答権がある場合は早く答えないと自分より先に前の人が落下。；ブロックを破壊するとアイテムやアルファベットが落下することがある。；オーマズードがそうさせたのなら、彼の落下は止めようがなかったろう。；この卵は放物線を描いて落下するだけで、向きを変えることはできない。；本編映像に採用されたのは2回分で、落下の仕方などに違いがみられる。；どちらもキャラは落下すると死ぬ穴のような場所には弱いことがよくある。；それが落下の最中に見せた表情と一緒だと、ようやく俺は気がついた。；とっさに伸ばした指が穴の縁を引っかいて、あたしの体は落下を始めた。；これは腕の高さから固い床に落下させても壊れないように設計されていた。；腕は空中でバランスをとるためと、落下時に衝撃を和らげるために使う。；次の瞬間ナイトメアは、まるで石のように地上めがけて落下を開始した。；それなのに、その破壊光の落下が、どういうわけか途中で停止している。；つまり看板本体は落下した後腐ってなくなったが文字だけは残ったのである。；スペンサーの頭はステージの床に落ちた後、どこかの道路の上に落下する。；また敵が乗っていた場合は、その重量分も落下のエネルギーに利用できる。；「落下」から常に自分を守ってくれていた爪がもはやないからである。；弾道の落下も問題で、特に目標までの距離が長い場合はそうであった。；・アイコプター空中で一度上昇後落下しながらクルクルと回転して攻撃。；試験方法は刃物を自然落下させて基準の貫通以下であれば合格である。；鞘の内側には落下防止のための刃を挟み込む板バネのようなものがある。；僕は眠りから引き戻されることなく、眠りの底に向けて落下を続けた。；その後も2003年にアルコール中毒になりホテルから落下自殺を図る。；それでその構造は勿論、質量や落下速度なども測定することが出来た。；しかし屋根材の堂内への落下が起こり始め、この頃大仏は燃えたとする。</t>
        </is>
      </c>
      <c r="J8788">
        <f>HYPERLINK("https://www.weblio.jp/content/落下", "词义详情")</f>
        <v/>
      </c>
      <c r="K8788">
        <f>HYPERLINK("https://yourei.jp/落下", "查看例句")</f>
        <v/>
      </c>
    </row>
    <row r="8789">
      <c r="A8789" t="inlineStr">
        <is>
          <t>楽観</t>
        </is>
      </c>
      <c r="B8789" t="inlineStr">
        <is>
          <t>成功</t>
        </is>
      </c>
      <c r="C8789" t="inlineStr">
        <is>
          <t>読み方：らっかん
［名］(スル)
１物事の先行きをよいほうに考えて心配しないこと。心配するほどの事態でもないとして気楽に考えること。「病状は—を許さない」「状況を—する」「—視」⇔悲観。
２すべての可能性を信じ、世の中や人生をよいものと考えること。「—論」⇔悲観。</t>
        </is>
      </c>
      <c r="D8789" t="inlineStr">
        <is>
          <t>楽観的(50%)；楽観視(9%)；楽観論(5%)；楽観でき；楽観説</t>
        </is>
      </c>
      <c r="E8789" t="inlineStr">
        <is>
          <t>楽天；楽観主義；楽天主義；楽観論；オプティミズム</t>
        </is>
      </c>
      <c r="F8789" t="inlineStr">
        <is>
          <t>極めて楽観的；非常に楽観的；あまりにも楽観；そんな楽観；楽観的見通し</t>
        </is>
      </c>
      <c r="G8789" t="inlineStr">
        <is>
          <t>楽観的ロック；楽観的並行性制御</t>
        </is>
      </c>
      <c r="H8789" t="n">
        <v>29</v>
      </c>
      <c r="I8789" t="inlineStr">
        <is>
          <t>今日は母が付いているから変なことはしないだろうという楽観もあった。；研究技術者達は挑戦的であるにもかかわらず実現すると楽観視していた。；しかしこの時点では、ピケはセナが先に行っていてもまだ楽観していた。；決して楽観できない状況だが、国王がいつもの国王であることに安心した。；場合によっては、開業前の旅客数の予測は楽観的に過ぎたこともあった。；彼はあらゆる過去の苦悶から解脱して、深い楽観のうちにはいっていた。；現在の状況が決して楽観できないものであることを男爵は知っている。；何故か楽観、というより一向に自分が慌てていないことに彼は安心した。；ベニーは酒を配りながら、みんなの楽観的観測を聞くともなしに聞いた。；今思えば俺は記憶を失ったことについてかなり楽観的に考えていたのだろう。；それは私が自分をとりまいている諸条件を楽観しているからではありません。；店を出るときは、楽観的な要素は千鶴の中に一つも残っていなかった。；実際に楽観的じゃなかったら今の地位には居られないでしょうね。；とにかく俺たちはその子のことをまず知らないだろうと楽観した。；しかし、これらの予測はかなり楽観的なものだったと後に分かることになる。；これなら何とかなりそうだという、いつもの楽観が密かに生まれていた。；ただ、それが味方であると判断するのは楽観的にすぎるというものだった。；逮捕は時間の問題だろうが、この大東京のこととて楽観は許されない。；この調子で、なんとか冬を越せるのではないかと楽観したものだった。；夕飯くらいはおごらせてもいいはずだ・・・意識して楽観的に考える。；あまり楽観すべきではないのかもしれない、そう思い始めています。；命令された山県大佐も、小松原に劣らぬくらい楽観していたようである。；ぼくたちはそれに火をつけ、彼の楽観論が、またしても花を咲かせた。；それでも彼らは皆クリスマスまでに戦争が終わると楽観視していた。；この時点ではまだ、あたしはできる限りの楽観視をしようとしていたように思う。；いや、楽観しすぎたきらいはあっても、自惚れてだけはいないつもりだ。；戦闘は終った、と参謀本部作戦課が判断したのは大いなる楽観にすぎた。；今日一日休んでいれば回復すると楽観したが、そう都合良くはいかなかった。；彼は、その楽観を傷つけないため、早く話題を変えねばならぬと判断した。</t>
        </is>
      </c>
      <c r="J8789">
        <f>HYPERLINK("https://www.weblio.jp/content/楽観", "词义详情")</f>
        <v/>
      </c>
      <c r="K8789">
        <f>HYPERLINK("https://yourei.jp/楽観", "查看例句")</f>
        <v/>
      </c>
    </row>
    <row r="8790">
      <c r="A8790" t="inlineStr">
        <is>
          <t>乱暴</t>
        </is>
      </c>
      <c r="B8790" t="inlineStr">
        <is>
          <t>成功</t>
        </is>
      </c>
      <c r="C8790" t="inlineStr">
        <is>
          <t>読み方：らんぼう
［名・形動］(スル)
１道理を無視して、荒々しい振る舞いをすること。また、そのさま。「酔って—を働く」「—な男」「—されたと訴える」
２やり方・扱い方が、荒っぽく雑であること。また、そのさま。「—な運転」「道具を—に扱う」「それは—な話だ」
[派生]らんぼうさ［名］</t>
        </is>
      </c>
      <c r="D8790" t="inlineStr">
        <is>
          <t>乱暴な言葉；乱暴者；乱暴な口調；乱暴な運転；乱暴な話</t>
        </is>
      </c>
      <c r="E8790" t="inlineStr">
        <is>
          <t>襲撃；暴力；いじめ；荒れ；襲う</t>
        </is>
      </c>
      <c r="F8790" t="inlineStr">
        <is>
          <t>こんな乱暴；乱暴な口；かなり乱暴；あんな乱暴；ひどく乱暴</t>
        </is>
      </c>
      <c r="G8790" t="inlineStr">
        <is>
          <t>乱暴狼藉；乱暴と待機</t>
        </is>
      </c>
      <c r="H8790" t="n">
        <v>29</v>
      </c>
      <c r="I8790" t="inlineStr">
        <is>
          <t>あなた、いくら冗談でもそんな乱暴なことをいうものじゃありませんよ。；さうして、彼は生涯の最も大事な将棋に最も乱暴な手を指したのである。；云ひ争つた末、相手がどんなことで乱暴をしないとも限りませんからね。；気持のいい時は、相当乱暴な真似をしても怪我なんぞしないものである。；乱暴なことも親切なこともなく、だが実際にいなくなることもなかった。；中には自分の家から親父の脇差を持ち出して来るような乱暴者もあった。；そんな筈はないと云ふやうな乱暴なことは誰も云ふことはできない。；考えてみると、さきに乱暴を働いたのは、たしかに私のほうであった。；事務長の目の前ではずいぶん乱暴な事を木村にいったりさせたりした。；次にフェイト宅を訪問するが、相手にされず乱暴に追い返されてしまう。；姉や妹のそんな乱暴な犠牲を求めてまで兄や弟は何を成功しようとするのでしょう。；こんな廊下でいきなり組打ちをはじめるなんて、乱暴じゃありませんか。；クリストフは自分の乱暴さを後悔して、またやって来ざるを得なかった。；それを張の副官のやうな男の面前でもやるのだから一寸乱暴ぢやないか。；商人どもは少し乱暴なことをしたと言って、自分たちの犯行を認めた。；これに反対する政治家たちが行動すると政府はこれを乱暴に扱った。；やつて見て余り乱暴になつて来たので止めてしまつたらしいのです。；さくらは堂一とホテルへ行くが、乱暴された時の恐怖の記憶が戻ってしまう。；私はあんな乱暴なやり方はしないが、怒られたくらいで忠告はやめない。；私は乱暴に取扱われはしなかったが、まったく相手にされなかったのである。；それはすこし乱暴すぎる行いではあったが、たしかに手応えはあった。；そういうときは気をつけないと、突然博士は怒って乱暴を始める虞れがある。；随分乱暴な話ではあるが、昔の学校はそういう風なやり方だったのだ。；眠っていたのが、あんなに乱暴されたので目を醒ましてしまったのだ。；また2010年4月にも別の女性の居室に合鍵で侵入して乱暴を働いた。；ある家では、乱暴にも女中部屋の窓を打ち破って闖入した者があった。；が、半頁ばかり飛んでから、前よりももつと乱暴な字体で始まつてゐる。；「もう寝ろ」 彼は暫くたつてからこんな乱暴な云ひやうで妻を強ひた。；また、他の選手をボールの軌道へ押すなどの乱暴な行為は違反である。</t>
        </is>
      </c>
      <c r="J8790">
        <f>HYPERLINK("https://www.weblio.jp/content/乱暴", "词义详情")</f>
        <v/>
      </c>
      <c r="K8790">
        <f>HYPERLINK("https://yourei.jp/乱暴", "查看例句")</f>
        <v/>
      </c>
    </row>
    <row r="8791">
      <c r="A8791" t="inlineStr">
        <is>
          <t>濫用/乱用</t>
        </is>
      </c>
      <c r="B8791" t="inlineStr">
        <is>
          <t>无结果</t>
        </is>
      </c>
      <c r="H8791" t="n">
        <v>0</v>
      </c>
      <c r="J8791">
        <f>HYPERLINK("https://www.weblio.jp/content/濫用/乱用", "词义详情")</f>
        <v/>
      </c>
      <c r="K8791">
        <f>HYPERLINK("https://yourei.jp/濫用/乱用", "查看例句")</f>
        <v/>
      </c>
    </row>
    <row r="8792">
      <c r="A8792" t="inlineStr">
        <is>
          <t>利益</t>
        </is>
      </c>
      <c r="B8792" t="inlineStr">
        <is>
          <t>成功</t>
        </is>
      </c>
      <c r="C8792" t="inlineStr">
        <is>
          <t>読み方：りえき
［名］(スル)
１事業などをして得るもうけ。利潤。「莫大(ばくだい)な—を上げる」⇔損失。
２得になること。益になること。
「遥に労働者を—するに足るだろう」〈魯庵・社会百面相〉</t>
        </is>
      </c>
      <c r="D8792" t="inlineStr">
        <is>
          <t>利益供与；利益を守るため；利益を最大化；利益分配；利益金</t>
        </is>
      </c>
      <c r="E8792" t="inlineStr">
        <is>
          <t>ため；目的；味方；上り；援助</t>
        </is>
      </c>
      <c r="F8792" t="inlineStr">
        <is>
          <t>莫大な利益；得られる利益；多大な利益；利益配當；利益衡量</t>
        </is>
      </c>
      <c r="G8792" t="inlineStr">
        <is>
          <t>利益団体；利益相反；利益誘導；利益追求；利益代表</t>
        </is>
      </c>
      <c r="H8792" t="n">
        <v>29</v>
      </c>
      <c r="I8792" t="inlineStr">
        <is>
          <t>商業圏の間で商品の値が違うので、客商はこれを利用して利益を上げた。；生物が行動の基準とする賞味の利益の方法は例えば次のようなものである。；また、社会内部の様々な利益を集約し、政治へと反映させる機能がある。；利益の多くは、NHKとは資本関係のない企業のものになってしまった。；この国連の諸組織は、経済や雇用の面でも大きな利益をもたらしている。；利益を最大化する商品数および価格は以下のように決定される。；その利益は体制維持のために必要な経費や核・ミサイル開発に利用された。；柔軟な制度にすることで利害関係者の利益を実現するのが目的である。；領域的には、彼らはしばしばのようなほかの貴族の断絶などから利益を得た。；また、ほとんどの企業が総会屋への利益供与を行っていたことが判明した。；人は、結婚から大きな利益を得るが、離婚により、その利益は失われる。；カロライナは交易と土地を売却することで利益を出すように計画されていた。；他者の不利益を求める悪、万人の利益を求める功利主義とは区別される。；絶版になった漫画は中古で売買されているが、漫画家の利益にならない。；問題のある悪魔を操作して自己の利益のために力を行使することができるとされていた。；結局スウェーデンは何の利益を得るところも無く、戦争は終結した。；を解く事で利益を最大化する価格 p と商品数 Q を決定できる。；祖母は、彼の行為が自分の利益のためではなかったと答えた。；この銅銭らの発行は発行の利益金などや財政権を取るための政府の意図があった。；前者は行為が利益をもたらすかを基準にし、後者は「規則」を基準にする。；以上のように、相互に利益を享受することで、両者は結ばれていた。；このため各企業は利益をあげるよう企業努力をするようになる。；先物取引では以下のような場合に、その差額を利益として得ることが出来る。；彼らは単に利益を手に入れようとして国に入ってくるだけである。；一方で、長い目で見れば当たる場合が多くなり、結果的に利益が大きくなる。；敗戦となれば戦争によって得た莫大な利益が問題視されることも考えられる。；すなわち政党は特定の政策を掲げ、それを実現することで利益や効用を得る。；利益の大きい産業のある藩領を幕府領に編入するべく上地を命じようとした。；その取引によって利益が生じたかどうかにかかわらず課税された。</t>
        </is>
      </c>
      <c r="J8792">
        <f>HYPERLINK("https://www.weblio.jp/content/利益", "词义详情")</f>
        <v/>
      </c>
      <c r="K8792">
        <f>HYPERLINK("https://yourei.jp/利益", "查看例句")</f>
        <v/>
      </c>
    </row>
    <row r="8793">
      <c r="A8793" t="inlineStr">
        <is>
          <t>理科</t>
        </is>
      </c>
      <c r="B8793" t="inlineStr">
        <is>
          <t>成功</t>
        </is>
      </c>
      <c r="C8793" t="inlineStr">
        <is>
          <t>読み方：りか
１人文科学・社会科学以外の学問分野。数学・自然科学など。⇔文科。
２大学などで、1の分野を研究・教育する部門。⇔文科。
３学校教育における教科の一。自然現象・自然科学を内容とする科目の総称。</t>
        </is>
      </c>
      <c r="D8793" t="inlineStr">
        <is>
          <t>理科大学(5%)；理科甲類(3%)；理科乙類(3%)；理科実験(3%)；理科準備室</t>
        </is>
      </c>
      <c r="E8793" t="inlineStr">
        <is>
          <t>科学；自然科学；理学</t>
        </is>
      </c>
      <c r="F8793" t="inlineStr">
        <is>
          <t>高等学校理科；東京大学理科；帝国大学理科；理科棟；理科大学物理学科</t>
        </is>
      </c>
      <c r="G8793" t="inlineStr">
        <is>
          <t>理科室；理科教育；理科学；理科一類；理科年表</t>
        </is>
      </c>
      <c r="H8793" t="n">
        <v>29</v>
      </c>
      <c r="I8793" t="inlineStr">
        <is>
          <t>学生時代は数学と理科を得意としており、医者になることも考えていた。；牧野はこれを中学校の理科の授業で追試していくうちに問題点を感じた。；たぶん理科の教科書の中の実験の図解みたいに描きたかったんだと思う。；子供のときに受けた理科の授業に影響を受け鉱物に興味を持つようになる。；そのころ三吉と大辻とは、理科大学の新築場に立って首をひねっていた。；たとえば化学の授業を受けるには理科棟に移動して授業を受けることになる。；昔の人は文部省流の理科を教はらないで、自分の眼で自然を見たのである。；この新田先生というのは、千二少年の組に理科を教えていた先生である。；実験室といっても満足に理科の実験ができるようなスペースはほとんどない。；この他、中学校でも一部の特別授業や理科観察会で使用していた。；子供の頃、理科の宿題で朝顔の成長日記をつけさせられたのを思い出す。；雑誌などで時々小学校の理科の教案と称するものを見ることがある。；小学校の理科の授業で、星座の勉強をした時にこれと同じ図形を見た。；運動場を過ぎて理科実験室の横手の古い池のある青桐の木の下であった。；理科の先生もはいっていないので謎の出火として警察が捜査しているという。；そのためか数学・理科に関してはハイレベルな授業が展開されている。；ここでは一般的に理科の教材などで使用されている手順にそって記述する。；算数・理科の分野では、戦前から生活算術、生活理科が主張されていた。；それでも彼は理科実験室の横手の泉水の傍へ行くだけのことはした。；ボーがこの能力を身につけたのは高校の理科の実験中であった。；当時、医学部に進学する人はドイツ語を学ぶために理科乙類に入った。；恐らく今後は従来よりも一層理科の進歩に都合のよい状態に成るであらう。；フランスに留学し、パリ理科大学などで学び、1959年に学位を得た。；実際この春まで、高校三年生の男子に数学と理科を教えていたのだ。；僕は来年、理科か文科か、どちらかを決定的に選ばなければならぬのだ!；理科なんかやってるものにでも出来ますかという質問なんだから。；これに比すると理科に対する国民の趣味はきわめて微々たるものである。；先生にあげるのだから、僕たち、理科の時間に、解剖をしてもらうんだよ。；親から医師になる事を期待され、高校入学時に理科乙類を選んだ。</t>
        </is>
      </c>
      <c r="J8793">
        <f>HYPERLINK("https://www.weblio.jp/content/理科", "词义详情")</f>
        <v/>
      </c>
      <c r="K8793">
        <f>HYPERLINK("https://yourei.jp/理科", "查看例句")</f>
        <v/>
      </c>
    </row>
    <row r="8794">
      <c r="A8794" t="inlineStr">
        <is>
          <t>理解</t>
        </is>
      </c>
      <c r="B8794" t="inlineStr">
        <is>
          <t>成功</t>
        </is>
      </c>
      <c r="C8794" t="inlineStr">
        <is>
          <t>読み方：りかい
［名］(スル)
１物事の道理や筋道が正しくわかること。意味・内容をのみこむこと。「—が早い」
２他人の気持ちや立場を察すること。「彼の苦境を—する」
３「了解2」に同じ。
→了解(りょうかい)［用法］</t>
        </is>
      </c>
      <c r="D8794" t="inlineStr">
        <is>
          <t>理解でき(15%)；理解すること(4%)；理解される(2%)；理解しよ；理解するため</t>
        </is>
      </c>
      <c r="E8794" t="inlineStr">
        <is>
          <t>発見；表現；覚え；わかる；知っている</t>
        </is>
      </c>
      <c r="F8794" t="inlineStr">
        <is>
          <t>ご理解；深い理解；理解される企投；理解しあえる；理解すべく努力</t>
        </is>
      </c>
      <c r="G8794" t="inlineStr">
        <is>
          <t>理解力；理解度；理解不能；理解し合う；理解し合える</t>
        </is>
      </c>
      <c r="H8794" t="n">
        <v>29</v>
      </c>
      <c r="I8794" t="inlineStr">
        <is>
          <t>それが島の未来のためだと理解しながらもコトーは返事を出来ずにいた。；一応回避手段は存在するが、初心者には理解が難しいものとなっている。；こちらの言っていることは全て理解しているし、会話するには十分だ。；コロイドが持つ特徴的な性質を理解する分野はコロイド化学と呼ばれる。；科学が理解される以前は、神が宇宙を創造したと考えるのが自然であった。；もし神が最初の意味で理解されるなら、神は一人しか存在し得ないことになる。；このため生涯設計のため生殖可能年齢を早期に理解することも重要である。；神話の物語は象徴化を用いることでこの領域の出来事を理解しやすくしている。；これは世界の理解に一定の限界を認めることであり、不可知論を伴う。；演じられているキャラクターを好きになった経験がある人には理解できると思います。；小脳失調を考える上で理解する必要がある小脳の運動機能は2つである。；理解の便に該当箇所を挙げると、たとえば以下のような点である。；動植物の長く継続的な観察から至る所で続く生存のための努力を理解できた。；このような観測の難しさから、水星の理解は他の惑星と比べて遅れた。；ミーム学には以下の二つのことを理解する必要があるからである。；先生には世間の思想なる物の醜さははつきり解つてゐらつしやるやうです。；戦前・戦後の知識を持たないため、相手を理解せず日本の基準で判断して主張する。；とが表現していることを曖昧に理解しないように注意すること。；古代以来の哲学者たちがそれをどのように理解し説明してきたか、次に挙げる。；理解できないのは、こんなに多くの者がなぜ日本好きなのかということである。；その結果、イギリスの年会には更に幅広い信仰理解の多様性が見られる。；この正体を理解するための観測が現在続けられている。；従ってライプニッツの理論を正当に理解・評価できる人はあまりいなかった。；なぜ学生刑事が生まれてきたのかを理解していない!；しかし一般的には、大進化も小進化の延長として理解できると考えられている。；科学的な知識と理解を用いて観察や測定その他のデータ及び結論を説明したり解釈したりすること。；もし神が第二の前提から理解されるなら、神がただ一人であることを示すことはできない。；また一部の高校では進学先理解のために大学や研究施設を見学先とする例もある。；このことは、生物の起源をさかのぼることで理解することが出来る。</t>
        </is>
      </c>
      <c r="J8794">
        <f>HYPERLINK("https://www.weblio.jp/content/理解", "词义详情")</f>
        <v/>
      </c>
      <c r="K8794">
        <f>HYPERLINK("https://yourei.jp/理解", "查看例句")</f>
        <v/>
      </c>
    </row>
    <row r="8795">
      <c r="A8795" t="inlineStr">
        <is>
          <t>利害</t>
        </is>
      </c>
      <c r="B8795" t="inlineStr">
        <is>
          <t>成功</t>
        </is>
      </c>
      <c r="C8795" t="inlineStr">
        <is>
          <t>読み方：りがい
利益と損害。得することと損すること。「—を同じくする人たち」「—得失」</t>
        </is>
      </c>
      <c r="D8795" t="inlineStr">
        <is>
          <t>利害調整(4%)；利害得失(3%)；利害打算；利害問題；利害関心</t>
        </is>
      </c>
      <c r="F8795" t="inlineStr">
        <is>
          <t>個人的利害；重大な利害；政治的利害；階級的利害；私的利害</t>
        </is>
      </c>
      <c r="G8795" t="inlineStr">
        <is>
          <t>利害関係者；利害関係人；利害対立；利害損得</t>
        </is>
      </c>
      <c r="H8795" t="n">
        <v>29</v>
      </c>
      <c r="I8795" t="inlineStr">
        <is>
          <t>このため、交渉は二者間の利害が一致するところから進めていくとよい。；二つの動物の利害の世界は互いに切り合わない二つの層を形成している。；単にそれだけならば、Kと私との利害に何の衝突の起る訳はないのです。；中国と日本の利害は一致するように見えるが良いニュースは聞こえて来ない。；楊と加藤は日本で出会い、お互いの利害の一致を見て協力し行動していく。；爾後天下の大事に際しても、自己利害を打算し一切発言せぬとも限らぬ。；報道者自身の個人的利害に直接立脚する特殊な報道は広告と呼ばれている。；併したゞ一つの事だけでは、彼の義務と利害、寛容と恐怖とが一致した。；特に最下流のエジプトに強力な利害を持つイギリスが熱心であった。；けれども翻って利害の関係よりいえば、日本が一番その大なるものである。；このため社会的混乱も大きく、重慶市とは利害が対立することもある。；殊に況や二県利害を一にし興廃を共にすべき運命を有するに於てをや。；お互いの利害が一致した2人は書類だけの結婚をし、望みのものを手に入れた。；維新功臣同士も一枚岩ではなく、それぞれが利害を主張し対立を続けた。；わたしの情熱は、彼女の利害に同情を持つほどまでに進んではゐた。；君子もそれと同じで、目前の利害のために、世間に迎合してはなるまい。；いやしくも自由の名を有することは利害邪正の別を論ぜずしてこれを取る。；元来は海岸性の野生植物であり、特に利害に関係のない植物であった。；これはボーイングとGEとの利害が一致した結果であるとみなされている。；両者を知ったものが始めて両者の利害長短を比較するの権利を享ける。；こうして1952年に相互の利害が一致して無償譲渡で移管されたもの。；広告とは広告者が自己の利害に立脚して報道する報道であった。；芝居を見て面白い人も、小説を読んで面白い人も、自己の利害は棚へ上げている。；各国は銀行規制などの問題について利害を調整できずに国際的な合意に至っていない。；ひさしぶりに全く利害のない他人からの微笑みに触れることができたのだ。；あれ以来、彼の利害を左右する事情に、あまり多くの増減があったのである!；しかし、この彼の構想は蔣介石の利害と正面から衝突し、二人の関係は悪化。；メディアの経営者は、報道と利益事業の利害を分離することを求められている。；そしてまた自分が英雄だ、自己の利害を顧みずに義務を果す英雄だと思った。</t>
        </is>
      </c>
      <c r="J8795">
        <f>HYPERLINK("https://www.weblio.jp/content/利害", "词义详情")</f>
        <v/>
      </c>
      <c r="K8795">
        <f>HYPERLINK("https://yourei.jp/利害", "查看例句")</f>
        <v/>
      </c>
    </row>
    <row r="8796">
      <c r="A8796" t="inlineStr">
        <is>
          <t>陸</t>
        </is>
      </c>
      <c r="B8796" t="inlineStr">
        <is>
          <t>成功</t>
        </is>
      </c>
      <c r="C8796" t="inlineStr">
        <is>
          <t>読み方：おか
１陸地。りく。
２硯(すずり)の墨をする所。⇔海。
３浴場の洗い場。流し。</t>
        </is>
      </c>
      <c r="D8796" t="inlineStr">
        <is>
          <t>陸兵(3%)；陸軍総司令官；陸域；陸化；陸岸</t>
        </is>
      </c>
      <c r="E8796" t="inlineStr">
        <is>
          <t>六；六つ；半ダース</t>
        </is>
      </c>
      <c r="F8796" t="inlineStr">
        <is>
          <t>土上陸；小陸；陸尺；安陸；陸軍刑務所</t>
        </is>
      </c>
      <c r="G8796" t="inlineStr">
        <is>
          <t>陸上；陸地；陸上競技；陸上自衛隊；陸上競技選手</t>
        </is>
      </c>
      <c r="H8796" t="n">
        <v>29</v>
      </c>
      <c r="I8796" t="inlineStr">
        <is>
          <t>このように陸台両地域の貿易関係がいかに密接になっているかが分かる。；また、当時の英国に十分な数の陸兵を日本に派遣する余裕はなかった。；陸の民と水の民は少しずつ和解への道を歩み出し、遺跡船に平穏が戻る。；陸空でも指定時間までに正当の理由がなく遅滞した場合は処分対象となる。；湖沼は、周囲を陸に囲まれ海と直接連絡していない静止した水の塊である。；インディアナ州との州境では、水道用道路が唯一の陸の境となっている。；一般にミミズといえば陸の土の中に棲息するものと考えられている。；カナダとの陸の州境が無い州として、最も北にあるものとなっている。；このため、オランダは海と陸から攻撃を受けるという国家的危機に瀕した。；それは七色に光る石を持って生まれた愛良と開陸の協力が必要不可欠だった。；当初は海ばかりでほとんど陸は無かったと考えられている。；ただしミサイルが日本の陸域に落下しなかったので迎撃は行われなかった。；南北と西の三つの陸塊からなり、数多くの古代遺跡が眠る大陸である。；陸・海・空など各軍組織は、当初そのままウクライナ軍の管轄下に入れられた。；その後、鉄道網の整備が始まると陸域でも地域共通の時刻が必要とされはじめた。；これは世界の全河川の中で最大で、ベンガル湾には厚い陸源堆積層がある。；陸士の予科の生徒は大別してこの陸幼出身者と一般の中学出身者からなる。；陸化が進む中で沖大東島では多くの海鳥が生息するようになった。；長男に陸延という人物がいたが若死し、陸遜の跡は次男の陸抗が継いだ。；船乗りが陸が近くなったことを認識する目印にしたこともあった。；ルックナーはミューレンに陸に着くまで他船と連絡を取らないことを依頼した。；前者は満潮と干潮の間に位置し、海と陸の境界に当たる部分である。；この際、セナとの勝負に熱くなり過ぎた陸が一時ベンチに下げられている。；移動タイプは空・陸であるが、ゲーム本編で飛行することは無い。；敵が船で行軍し、我が軍は陸を進んできたのであり、苦労は同じではない。；このような場合は押し波で破壊された物や元々は陸にあった物などが海に持ち去られる被害が大きくなる。；陸空軍以外に潜水艦を中心に海軍も参加するようになった。；陸用爆弾のまま攻撃させることについて以下のような意見がある。；完全水棲で滅多に陸に上がることはないが、乾季には泥に潜って耐える。</t>
        </is>
      </c>
      <c r="J8796">
        <f>HYPERLINK("https://www.weblio.jp/content/陸", "词义详情")</f>
        <v/>
      </c>
      <c r="K8796">
        <f>HYPERLINK("https://yourei.jp/陸", "查看例句")</f>
        <v/>
      </c>
    </row>
    <row r="8797">
      <c r="A8797" t="inlineStr">
        <is>
          <t>陸上</t>
        </is>
      </c>
      <c r="B8797" t="inlineStr">
        <is>
          <t>成功</t>
        </is>
      </c>
      <c r="C8797" t="inlineStr">
        <is>
          <t>読み方：りくじょう
１陸地の上。
２「陸上競技」の略。</t>
        </is>
      </c>
      <c r="D8797" t="inlineStr">
        <is>
          <t>陸上機(3%)；陸上基地(2%)；陸上輸送；陸上生活；陸上戦闘</t>
        </is>
      </c>
      <c r="E8797" t="inlineStr">
        <is>
          <t>地；地面；土；大地；土壌</t>
        </is>
      </c>
      <c r="F8797" t="inlineStr">
        <is>
          <t>陸上界；陸上クラブ；陸上大会；陸上施設；陸上兵力</t>
        </is>
      </c>
      <c r="G8797" t="inlineStr">
        <is>
          <t>陸上自衛隊；陸上競技選手；陸上部；陸上競技場；陸上競技部</t>
        </is>
      </c>
      <c r="H8797" t="n">
        <v>29</v>
      </c>
      <c r="I8797" t="inlineStr">
        <is>
          <t>その他の国でも陸上用の爆撃機に魚雷を搭載して運用することがあった。；その際には陸上から綱を引き転覆を防ごうとする動きも確認されたという。；遊泳能力が高い一方で陸上での活動は不得意であったとも推測されている。；陸上の無脊椎動物では、周囲が湿っていなければ活動できない種も多い。；設立当初は主に球技場として使用されていたが、陸上トラックも有する。；そのため当初は陸上トラックがそのままむき出しとなっている部分もあった。；交通の中心となっているのは、旅客・貨物ともに陸上の道路交通である。；それはローモンド湖へ向け40隻の船が陸上を引きずられるほどだった。；また移動においても陸上を進むだけではなく、空を行くことも可能になった。；カエルの成体は陸上生活をするものが多く、それらは変態後に上陸する。；一方、小型種は陸上と同様に6本の脚全てを使って歩いて移動する。；いわゆる恐竜のうち陸上で暮らしていたものも地上を歩行していた。；陸上の海岸局を使用した公衆交換電話網と接続されたものである。；水上生活でもっとも困るのは飲み水の確保で、陸上から購入する場合がある。；基本的には陸上生活をするが、少ないながら淡水中に生育するものもいる。；また陸上からの単方向通信であり、潜水艦からの送信は不可能である。；地元の陸上界では知らぬ者のいない強豪チームとして知られている。；このことは、生物が陸上に進出できるようになった要因の一つであると考えられている。；多足類は初期の陸上生活を行った動物として知られている化石記録を含む。；彼女は昭吾をかくまう代わりに、陸上の練習をさせる事を約束させる。；昆虫は多様な節足動物の中でも、特に陸上で進化したグループである。；陸上輸送の困難から、このうち実際に戦闘に参加した砲は、さらにわずかとなる。；中間線とは二国間の陸上国境の延長とみなされる境界線のことである。；陸上の節足動物のほとんどは、気門および気管を使ってガス交換を行う。；「い」号作戦以降は艦爆隊が陸上基地へ進出して戦うようになった。；のちの陸上跳躍競技でも織田はこの左足 を使うことになっていった。；陸上から自分の艦が沈没するを見ていたボード大佐は、面目を失った。；陸上植物は陸上で進化した植物群を指す言葉であり、分類学的な用語である。；コケ植物を含む陸上植物と緑藻類の共通する形質はいくつか知られている。</t>
        </is>
      </c>
      <c r="J8797">
        <f>HYPERLINK("https://www.weblio.jp/content/陸上", "词义详情")</f>
        <v/>
      </c>
      <c r="K8797">
        <f>HYPERLINK("https://yourei.jp/陸上", "查看例句")</f>
        <v/>
      </c>
    </row>
    <row r="8798">
      <c r="A8798" t="inlineStr">
        <is>
          <t>陸地</t>
        </is>
      </c>
      <c r="B8798" t="inlineStr">
        <is>
          <t>成功</t>
        </is>
      </c>
      <c r="C8798" t="inlineStr">
        <is>
          <t>読み方：くがち
りくち。
「紀伊国千里浜の遠千潟、俄(にはか)に—になること二十余町なり」〈太平記・二〉</t>
        </is>
      </c>
      <c r="D8798" t="inlineStr">
        <is>
          <t>陸地化(3%)；陸地面積(2%)；陸地側；陸地部分；陸地測量</t>
        </is>
      </c>
      <c r="E8798" t="inlineStr">
        <is>
          <t>地；土地；地面；土；大地</t>
        </is>
      </c>
      <c r="F8798" t="inlineStr">
        <is>
          <t>新しい陸地；大きな陸地；広大な陸地；低い陸地；全陸地</t>
        </is>
      </c>
      <c r="H8798" t="n">
        <v>29</v>
      </c>
      <c r="I8798" t="inlineStr">
        <is>
          <t>衝撃は陸地ほど機体・乗客に重大な損傷を与えるものではないであろう。；またこの事件の直後の6億年前には最後の大規模な陸地形成が起こった。；その特性には地形への影響とその陸地に居住する住民への支配がある。；そこから陸地に湾が入り込んでいたので、そのうちの一つに船を進めた。；人口では州内で4番目に少なく、陸地面積では6番目に小さい郡である。；陸地に建物も建てられたが、ほとんどの漁師は捕鯨船内で生活していた。；川の北西岸に沿った陸地は湿地であり、幾つかの小さな島を形成している。；遠征は南極海の調査のつもりだったが、南極点の近くで陸地を発見した。；このため彼は陸地に戻ろうとしたが、途中でエンジンが停止してしまった。；天候が荒れた時には、内湾や港などの陸地近くで観察されることもある。；大陸を指す最も狭義の概念は切れ目がない主要な陸地ということになる。；その埋蔵量は陸地および州領域に入る海面下で豊富に発見されている。；しかし、改良を加えたことでこの手法は陸地で機能するようになる。；その外側の陸地部分からは島に対して5本の橋がかかる構造となっている。；地理的に見て最も陸地部が狭かったため、この場所に水道が建設された。；中には現実にはない陸地を出現させなければ発見できない特産品もあるという。；きみは、いつものぼくのやりくちをよく知っているはずじゃないか。；生物の多い陸地から遠く離れているために独自の生物相が存在した。；艦はネモの指揮で陸地とは一切の交流を絶った海洋探検を行なっている。；沈没後も群島状の陸地は残存しているが、文明が存在しているかは不明。；この人たちの話によって、私ははじめて古谷先生のやりくちがわかった。；大州は、地球の陸地を、大陸を中心としたいくつかの領域に区分したもの。；中緯度地帯に位置する広大な陸地でモンスーンの影響が大きい特徴がある。；次に南下した彼らは木に覆われた陸地を見つけ、「森の国」と名づけた。；それをみたフローキは陸地が近いことを悟り、その三羽めの後を追った。；その後は溶岩流などが生じ陸地が形成され、新島は安定的に成長を続けた。；内海と虚海には、大陸寄りの小島を除いて陸地と呼べる島は存在しない。；他の動物の口から、食べものを横奪りするのが、彼らのやりくちだった。；陸地の占める面積比が高いため、熱赤道の平均位置は主に北半球を走る。</t>
        </is>
      </c>
      <c r="J8798">
        <f>HYPERLINK("https://www.weblio.jp/content/陸地", "词义详情")</f>
        <v/>
      </c>
      <c r="K8798">
        <f>HYPERLINK("https://yourei.jp/陸地", "查看例句")</f>
        <v/>
      </c>
    </row>
    <row r="8799">
      <c r="A8799" t="inlineStr">
        <is>
          <t>理屈</t>
        </is>
      </c>
      <c r="B8799" t="inlineStr">
        <is>
          <t>成功</t>
        </is>
      </c>
      <c r="C8799" t="inlineStr">
        <is>
          <t>読み方：りくつ
１物事の筋道。道理。「—に合わない」「—どおりに物事が運ぶ」
２無理につじつまを合わせた論理。こじつけの理論。へりくつ。「—をこねる」</t>
        </is>
      </c>
      <c r="D8799" t="inlineStr">
        <is>
          <t>理屈抜き；理屈ぬき；理屈じゃない；理屈なし；理屈づけ</t>
        </is>
      </c>
      <c r="E8799" t="inlineStr">
        <is>
          <t>わけ；由来；説；事情；理論</t>
        </is>
      </c>
      <c r="F8799" t="inlineStr">
        <is>
          <t>そんな理屈；そういう理屈；どういう理屈；どんな理屈；勝手な理屈</t>
        </is>
      </c>
      <c r="G8799" t="inlineStr">
        <is>
          <t>理屈っぽく；理屈っぽ；理屈臭い</t>
        </is>
      </c>
      <c r="H8799" t="n">
        <v>29</v>
      </c>
      <c r="I8799" t="inlineStr">
        <is>
          <t>裁判が理屈から生まれてくるのではないとすれば何から生まれてくるのか。；貧しいから勉強できないとは、彼らには想像もできない理屈に違いない。；作者にすれば双方に理屈があるようで、どちらが正しいとはいい兼ねる。；あの時にわれわれは死んだものと考えた方がいろんな理屈に合うと思わない?；理屈はどうでも男と女の間にはこんなこともあるんだと納得できるならよ。；現代では椅子が用意され、腰掛ける事も多いが、座の理屈は一緒である。；先生は理屈よりも生徒をよい方に導くことに全力を尽くしているのです。；でもこんな理屈言ったって、私が夫を選ぶのになんの役にもたちはしないわ。；理屈には合わないが、どうせ死ぬなら丘で死ぬほうがいいような気がした。；これからの日本に役にたつのは、理屈なしに死ねる青年だけですからな。；だがその理屈が毎日の暮しの中にはそんなに手にとるように現れてはいねえ。；わたしだって妙な理屈をこねられさえしなければ、何も痛痒は感じない。；どう考えてみたにしても、帽子そのものが呪いの種になる理屈はない。；そうではなくて、わたしの身体が独特な理屈をこねたがっているのだ。；どんなよき頭と心をもっても理屈では時代を超すことは出来ないのだ。；この病気が彼らに創造的な能力を与えたと考えるのは理屈に合わない。；不思議なもので、人生には理屈をもって説き得られぬことがたくさんある。；ほかのことは理屈も何も捨ててしまったけれども、それだけは捨てたくない。；またおそらく、彼の頭が聞きなれぬ理屈のために混乱していたのかもしれない。；その理屈は君はまだ分らんのだろうからおれが言って聞かせる。；しかし今の私にとってはそんな理屈なぞはどっちでもいいことであった。；いくら理屈に合わなくとも、そういかないのが人間のあたりまえである。；レーナル夫人はなんとか理屈をつけて、自分の気持のままにふるまった。；本作では理屈や数値上の正しさよりも演出を優先して絵作りを行っている。；また世の中には理屈だけではどうしても解けない複雑なことがたくさんある。；その中から、そんな大きな身体がでてくるなんて理屈にあわないことです。；その理屈をうまく調整しながら叩くことで、様々な表現が可能になる。；いまの腐敗した世の中は学者しか尊敬しないからという理屈であった。；その話を聞いている人は、どんなにメチャクチャな理屈でも信じてしまう。</t>
        </is>
      </c>
      <c r="J8799">
        <f>HYPERLINK("https://www.weblio.jp/content/理屈", "词义详情")</f>
        <v/>
      </c>
      <c r="K8799">
        <f>HYPERLINK("https://yourei.jp/理屈", "查看例句")</f>
        <v/>
      </c>
    </row>
    <row r="8800">
      <c r="A8800" t="inlineStr">
        <is>
          <t>理屈っぽい</t>
        </is>
      </c>
      <c r="B8800" t="inlineStr">
        <is>
          <t>成功</t>
        </is>
      </c>
      <c r="C8800" t="inlineStr">
        <is>
          <t>読み方：りくつっぽい
［形］理屈を言う傾向がある。理屈が多い。「神経質で—・い人」
[派生]りくつっぽさ［名］</t>
        </is>
      </c>
      <c r="D8800" t="inlineStr">
        <is>
          <t>理屈っぽいこと(9%)；理屈っぽい話(3%)</t>
        </is>
      </c>
      <c r="E8800" t="inlineStr">
        <is>
          <t>賢い；合理的な；知的な；賢明な；明晰な</t>
        </is>
      </c>
      <c r="H8800" t="n">
        <v>29</v>
      </c>
      <c r="I8800" t="inlineStr">
        <is>
          <t>朝鮮人は理屈っぽいというけれど、石までとは思わなかったのである。；下手をすれば理屈っぽくなるところを、無理なく表現したように思う。；スポーツマンのくせに議論好きで、酒の席でも理屈っぽい話を続ける。；彼女は理屈っぽい娘と会話することが好きではなかったのだ。；田舎力なんて思いついたのはいいが、ちょっと理屈っぽくなってきた。；長野県の人間はガキのころから理屈っぽいとは、よく耳にする言葉である。；筆のおもむくままに書けばいいのだが、理屈っぽさが残ってしまったようだ。；お互いに反対の党派に属している以上、理屈っぽいいやな話をするわけにはいかない。；洋子は結婚したあと分かったのだが、非常に理屈っぽく、批判がましい女だった。；こういう理屈っぽいことを言い出すのは、それだけ成長したと思うべきなのだろう。；理屈っぽい性格だったが、人から怨まれるような男ではなかった。；ちょっと理屈っぽいかなとこちらが感じる程、語ってくれた。；彼女達がラ・ジュシエヌ通にいた時は、彼女達は理屈っぽくなかった。；自身の性格として「基本的に理屈っぽい」性格であると述べている。；こう言うと理屈っぽくなっちゃうから、カラオケと一緒だと思ってください。；わたし、ちょっとしつこすぎたし、自分でも理屈っぽすぎたと思う。；彼の頭は驚くべく機敏で理屈っぽく、同時にまた頗る大胆で横着であった。；もともと理屈っぽいことを考えるのは嫌いな質だし、その日の夕食の支度はふだんより少し遅れていた。；そして男が絶望したように両手をひろげたとき、彼女は理屈っぽい会話をつづける努力を放棄した。；ことに生世話物は理屈っぽいことを言っていたんでは駄目なんで、第一に大切なのは雰囲気を身につけることなんです。；「学問をさせると人間がとかく理屈っぽくなっていけない」 父はただこれだけしかいわなかった。；話が理屈っぽくなったから、わかりやすく言わせてもらおう。；法子の欄には、こんな理屈っぽいエピソードもたくさん記してある。；しかし、最近は年齢のせいか、あまりに理屈っぽく抽象的なのは苦手になってきた。；「なんだかへ理屈っぽいなあ」 普段はぼーっとしているくせに。；理屈っぽいことが好きなのかもしれない。；作者安部公房も、理屈っぽい図式にしたがってこの作品を書いたわけではない。；この黒髪の女性士官は、理屈っぽいのか単に好戦的であるのか、どちらであろう。；何だか話が理屈っぽく淋しくなってきましたから、このことはこれきりにして、先を続けてゆきましょう。</t>
        </is>
      </c>
      <c r="J8800">
        <f>HYPERLINK("https://www.weblio.jp/content/理屈っぽい", "词义详情")</f>
        <v/>
      </c>
      <c r="K8800">
        <f>HYPERLINK("https://yourei.jp/理屈っぽい", "查看例句")</f>
        <v/>
      </c>
    </row>
    <row r="8801">
      <c r="A8801" t="inlineStr">
        <is>
          <t>利口</t>
        </is>
      </c>
      <c r="B8801" t="inlineStr">
        <is>
          <t>成功</t>
        </is>
      </c>
      <c r="C8801" t="inlineStr">
        <is>
          <t>読み方：りこう
［名・形動］
１頭がよいこと。賢いこと。また、そのさま。利発。「—な犬」「—そうな人」「—ぶる」⇔馬鹿(ばか)。
２要領よく抜け目のないこと。また、そのさま。「—に立ちまわる」
３（多く「お利口」の形で）子供などがおとなしく聞きわけのよいこと。また、そのさま。「お—にしている」「お—さん」
４巧みにものを言うこと。口先のうまいこと。また、そのさま。
「興言—は放遊境を得るの時談話に虚言を成し」〈著聞集・一六〉
５軽口を言うこと。冗談。
「『またお上人様の—仰せらるる』『いや—ではない。有様(ありやう)ぢゃ』」〈虎明狂・若市〉
[派生]りこうさ［名］</t>
        </is>
      </c>
      <c r="D8801" t="inlineStr">
        <is>
          <t>利口そう(8%)；利口者(5%)；利口な女(3%)；利口な男(2%)；利口な人間</t>
        </is>
      </c>
      <c r="E8801" t="inlineStr">
        <is>
          <t>鋭い；賢明；聡明；シャープ；賢い</t>
        </is>
      </c>
      <c r="F8801" t="inlineStr">
        <is>
          <t>一番利口；利口なやり口；利口ぶる；利口な奴；利口そうな顔つき</t>
        </is>
      </c>
      <c r="G8801" t="inlineStr">
        <is>
          <t>利口な不服従</t>
        </is>
      </c>
      <c r="H8801" t="n">
        <v>29</v>
      </c>
      <c r="I8801" t="inlineStr">
        <is>
          <t>絶望としか思われないとき、動いたり口をきいたりして何のためになる?；そうなればぼくもすこしは利口になる、とあなた方は言うかもしれない。；この一事が仏教の生命を今日まで持ちこたへて来た利口なやり方である。；これからに備えて、力を温存しておくほうがはるかに利口であったろう。；あるいは一人は私を利口な男だと考え他の人は向不見だと思っている。；そして神学校での利口な連中は細かい点にばかり注意しているのである。；たいそう利口になったようでもありまた馬鹿になったようにも思われた。；棍棒で彼女の頭でもぶんなぐってやったほうが利口だったかもしれんぜ。；もっともおらはいつも、あの馬はなかなかりこうだと、いってましただ。；利口な顔はあまり見当らないが、数から云うとたしかに馬鹿に出来ない。；利口なだけにすぐに芳子はわたしの気持ちをわかってくれたはずであった。；そろそろ、あなたさまとお別れしたほうが利口というものでございます。；この森で死体がごろごろしているそばにいるのは利口じゃありません。；しかし僕は利口になっているだけそれだけ安心ができないと思った。；とはいってもこの竪琴師の娘、眼から鼻へ抜けるような利口ものである。；森で迷っていたと利口な申し立てをしておけば、何事もなかっただろう。；居住者と非居住者の区別がつくとは、警報機も利口になったものである。；あっちの子は父親みたいに目はしがきいて、りこうな男になるだろうよ。；自分は利口なんだから金の鳥はきっと見つけてみせる、と考えたのでした。；でも、面倒から抜け出した利口な司令官たちもまだ何人かいるはずだわ。；こういうふうに利口になった夫人たちは、だんだん日本人に近くなる。；むしろここは、いきなり敵の本拠をおそったほうが利口と思うがどうだ?；利口でおとなしい女だから、きっと朋輩たちにも隠していたに相違ない。；そんなことをするよりは、自分のことだけをしていた方がりこうだ。；なるほど、わたしにもわかってきたけど、ここの人のほうが利口だよ。；フランス人に言わせるとこの方が生活にも人生にも利口なやり方だと言う。；あたしはあんまりりこうじゃないけど、それくらいのことはわかるよ。；あの人は、わたしの知っている人の中では、いちばんりこうな方です。；私がもしも利口になれたら、それと引き換えにたぶん一生こないだろう。</t>
        </is>
      </c>
      <c r="J8801">
        <f>HYPERLINK("https://www.weblio.jp/content/利口", "词义详情")</f>
        <v/>
      </c>
      <c r="K8801">
        <f>HYPERLINK("https://yourei.jp/利口", "查看例句")</f>
        <v/>
      </c>
    </row>
    <row r="8802">
      <c r="A8802" t="inlineStr">
        <is>
          <t>利己的</t>
        </is>
      </c>
      <c r="B8802" t="inlineStr">
        <is>
          <t>成功</t>
        </is>
      </c>
      <c r="C8802" t="inlineStr">
        <is>
          <t>読み方：りこてき
［形動］自分の利益だけを追求しようとするさま。「—な生き方」「—な態度」</t>
        </is>
      </c>
      <c r="D8802" t="inlineStr">
        <is>
          <t>利己的なもの(5%)；利己的な人間；利己的な動機；利己的な目的；利己的行動</t>
        </is>
      </c>
      <c r="E8802" t="inlineStr">
        <is>
          <t>勝手な；身勝手な；利己的な；自分勝手な；自己中心的</t>
        </is>
      </c>
      <c r="F8802" t="inlineStr">
        <is>
          <t>利己的愛；利己的快楽；ひどく利己的；利己的自己複製子；利己的な生き方</t>
        </is>
      </c>
      <c r="G8802" t="inlineStr">
        <is>
          <t>利己的な遺伝子</t>
        </is>
      </c>
      <c r="H8802" t="n">
        <v>29</v>
      </c>
      <c r="I8802" t="inlineStr">
        <is>
          <t>直接の戦闘を避けるのは、やはりそういう利己的な理由からなのである。；いつから僕はこんな利己的な考え方をするようになってしまったのだろう。；利己的な面から言えば、僕はこのことが成らなかったのを喜んでいます。；ほとんどの人は本当に利己的なものが何であるかを知らないのだから。；主人の老百姓は、無口な利己的な人物で、彼に同情を寄せていなかった。；真面目で神を恐れ非利己的な人間だけが良い医師になることができる。；だからおそらく、わたしの愛は必ずしも利己的なものとはいえないだろう。；そういう風に、利己的な生き方ではいけないということが言われていた。；私は道徳家ではないが、そういう利己的な愛情にはあまり賛成できない。；官能的なもの、肉感的なものをキリスト教は利己的なものと解釈します。；また、人間に比べて長寿なために利己的な行動を取ることが多いとされる。；多くの利己的な者らと悲惨な者らとに、痛ましくも当面してるのである。；それからというものはあれも利己的だ、これも利己的だと思ったのです。；利己的な力強い二つの性癖がわたしの内部でこの真の愛と戦っていた。；夫人のいい分はあまりに情緒的で社会的に見ても利己的だったからだ。；が に含まれなければ、 は非利己的である一方で の元でなければならない。；社会はそれ自体の利己的な目的によって動いたにすぎないのである。；不満からくる怒りが如何に利己的であるかということを自然に教えられる。；あなたは非利己的な真実の献身の精神をもって、ここへお帰りになりました。；彼のような利己的な人間には、その利己を捻じ伏せるための理由付けが。；でも、その態度はむしろ利己的なものから来てるのじゃないかしら。；しかし戦後、スウェーデンの中立は利己的なものとして非難されている。；もっとずっと利己的で、自分のことばっかり考えている人なんだもん。；それから了見の狭い連中が増えて、何のかんのと利己的な要求を始める。；人には利己的とさへ見える子供になつて行つたからである。；利己的で、反社会的なそれらは、豚みたいに生きていくしかないんだ。；人が利己的になっている状態は、ひとりでいる状態というものの典型だ。；地球が利己的に生きているなら、國子の体は國子の意志以上の存在だ。；君が先に死ぬのを見たくないってだけの、利己的な自分の感情を救ったんだ。</t>
        </is>
      </c>
      <c r="J8802">
        <f>HYPERLINK("https://www.weblio.jp/content/利己的", "词义详情")</f>
        <v/>
      </c>
      <c r="K8802">
        <f>HYPERLINK("https://yourei.jp/利己的", "查看例句")</f>
        <v/>
      </c>
    </row>
    <row r="8803">
      <c r="A8803" t="inlineStr">
        <is>
          <t>離婚</t>
        </is>
      </c>
      <c r="B8803" t="inlineStr">
        <is>
          <t>成功</t>
        </is>
      </c>
      <c r="C8803" t="inlineStr">
        <is>
          <t>読み方：りこん
［名］(スル)夫婦が生存中に法律上の婚姻関係を解消すること。日本では、協議離婚・調停離婚・審判離婚・裁判離婚の四種がある。
[補説]書名別項。→離婚</t>
        </is>
      </c>
      <c r="D8803" t="inlineStr">
        <is>
          <t>離婚後(5%)；離婚歴；離婚訴訟；離婚問題；離婚話</t>
        </is>
      </c>
      <c r="E8803" t="inlineStr">
        <is>
          <t>離縁；離別；不縁；夫婦別れ；破婚</t>
        </is>
      </c>
      <c r="F8803" t="inlineStr">
        <is>
          <t>離婚原因；離婚協議；離婚寸前；離婚法；離婚届け</t>
        </is>
      </c>
      <c r="G8803" t="inlineStr">
        <is>
          <t>離婚調停；離婚率；離婚裁判；離婚経験者；離婚後共同親権</t>
        </is>
      </c>
      <c r="H8803" t="n">
        <v>29</v>
      </c>
      <c r="I8803" t="inlineStr">
        <is>
          <t>まことの両親は離婚しており、それが彼にどんな影響を与えたかは不明。；ただし子供の就学率の低さや離婚の原因になっているともいわれている。；このときに、最初の妻との離婚が成立していたかどうかは不明である。；しかしのちに離婚したため最終回および後述の関連番組には復帰している。；幕下時代に親しくなった女性と結婚し、子供もいたがその後に離婚した。；同年11月4日には初めての男子が誕生したが、2015年に離婚した。；パートナーだったマリオン・ジョーンズと離婚したことも明らかにした。；ここまで来て離婚してませんなんて文春さんによくも嘘言えたもんだ。；幼少の頃に両親が離婚、1年ほど母親と住んだ後に父親に引き取られる。；両親が離婚した場合は、両親のいずれかにこれを帰属させなければならない。；両親は彼女が3歳の時に離婚しており、双方とも疎遠であると語っている。；人は、結婚から大きな利益を得るが、離婚により、その利益は失われる。；しかし、夫婦の間には生活の面での食い違いが生じ、1924年に離婚。；しかし、潜水艦の一回の航海につき一組は離婚する乗組員が出るという。；この時期に成功し、30歳の時にロシア女性と結婚したが、後に離婚。；両親はプリンスが子供の頃の1966年に離婚し、父親が家を出て行った。；ウォーターズとメイスンがそれぞれ離婚の危機を抱えていたのである。；もしくはタラークを3回書いた手紙などで伝えると離婚できるとしている。；結婚して1年半後に夫がレノンを殺害したが事件後も離婚していない。；日本の場合に多く行われるのは、離婚後の再婚に伴う連れ子の養子である。；駆け付けた涼子先生は五郎に結は離婚しているのと同じだと説明する。；マションダ側は、離婚の原因を2人の不倫が原因であると主張している。；ヒカルが2歳のときに一家は渡米したが、3歳のときに両親が離婚した。；両親は1993年に離婚し、以来、弁護士の父親とは会っていないという。；クララの父フリードリヒ・ヴィークはクララが幼いときに妻と離婚した。；女性は養育費月額10万円を支払ってもらうことにして離婚に同意した。；その後、南陵の劉氏を娶ったが、これは後に離婚したと考えられている。；この時期に、経済的な問題などから妻との関係が悪化し、最終的に離婚に至る。；ロビーが3歳の時に両親は離婚しており母親に姉とともに育てられた。</t>
        </is>
      </c>
      <c r="J8803">
        <f>HYPERLINK("https://www.weblio.jp/content/離婚", "词义详情")</f>
        <v/>
      </c>
      <c r="K8803">
        <f>HYPERLINK("https://yourei.jp/離婚", "查看例句")</f>
        <v/>
      </c>
    </row>
    <row r="8804">
      <c r="A8804" t="inlineStr">
        <is>
          <t>利子</t>
        </is>
      </c>
      <c r="B8804" t="inlineStr">
        <is>
          <t>成功</t>
        </is>
      </c>
      <c r="C8804" t="inlineStr">
        <is>
          <t>読み方：りし
金銭の貸借が行われた場合、その使用の対価として借り手が貸し手に支払う金銭。利息。
[用法]利子・利息——「借りた金の利子（利息）を払う」「貸した金に利子（利息）がつく」など、意味の違いはなく、相通じて用いられる。◇法令などでも、「利息制限法」「利子税」「利子所得」のように両語とも用いられる。◇「御利息は通帳に記入します」「債券の利息」など、金融機関では「利子」でなく「利息」を用いるのが普通である。◇「利子を付けて返してやらあ」「利子はいらねえ」など、日常用語としては「利子」を使うことが多い。</t>
        </is>
      </c>
      <c r="D8804" t="inlineStr">
        <is>
          <t>利子さま(4%)；利子補給；利子さん；利子貸付；利子融資</t>
        </is>
      </c>
      <c r="E8804" t="inlineStr">
        <is>
          <t>金利；利息</t>
        </is>
      </c>
      <c r="F8804" t="inlineStr">
        <is>
          <t>無利子；真利子；由利子；低利子；高い利子</t>
        </is>
      </c>
      <c r="G8804" t="inlineStr">
        <is>
          <t>利子所得；利子つき；利子内親王；利子割</t>
        </is>
      </c>
      <c r="H8804" t="n">
        <v>29</v>
      </c>
      <c r="I8804" t="inlineStr">
        <is>
          <t>しかし僕らの社会はもう利子を取ることが悪いことだとは思いませんね。；のり子は仕方なく今日もよい子となり、黙って一人で朝食を食べていた。；敵だとはいえ、子供である江利子の方にむしろ親近感をもったくらいだ。；働きぶりにも打たれたし、母ひとり子ひとりの境遇も同情できたんです。；そのことを知らないのり子は、男から逃げるために踏切へと走ってゆく。；利子の支払も滞り株主の中には鉄道売却の意見もでてくるようになった。；あのでこちん江利子がこんな風に変わるなんて、恋とは恐ろしいものだ。；窓も扉も鍵が掛けられており、扉の鍵は真利子の寝台の下から発見された。；ちゃんと締切の日に五人並べておいて元金に六分の利子つけて返したわ。；「あたしはそういう話、聞いたことありませんけど」と江利子は答えた。；江利子さまが何か企んでいるという説を、まだ捨てきれないようである。；江利子が自分より遅刻していると、聖は本気で思っているのだろうか。；今後利子や税金といった複雑な契約の実装も実現するか注目されている。；そう考えると、江利子に限っては先に行っている可能性は十分にある。；価格は下落しそして貨幣と利子は再びその真実価格を囘復するであろう。；折りしも足尾銅山、小坂鉱山などでも同様の組織が立ち上げられていた。；少々気が強いのり子のことを、店の常連たちは将来、美人になると言う。；様々なものを盗んだりしていたずら好きとして近くの町では有名らしい。；利子を払えばよろしいとのこと、かえってそれならば安心であると思う。；そんな風に、ごく自然に、江利子は彼女のことを知っていきたかった。；そのため、日本では古い時代から利子を取ることはタブー視されなかった。；のり子の部屋のドアはドライバーのような物でこじあけられていたという。；あんたが利子の代わりに要求したものが何だったか、わたしは承知しているよ。；実業家など云ふものは、巨万の恒産があつての上の利子的の収入である。；「来るも来ないも」 江利子はうんざりしながら、事の次第を説明した。；もしや江利子さまは、約束のことなんかすっかり忘れているのではないか。；播磨 親ひとり子一人ぢや、いつそ此の屋敷内へ引取つてはどうぢやな。；歌詞の内容は、若かりし十代の頃の挫折と苦悩を描いたものとなっている。；江利子さんに勝つためではなく、江利子さんと肩を並べて歩けるように。</t>
        </is>
      </c>
      <c r="J8804">
        <f>HYPERLINK("https://www.weblio.jp/content/利子", "词义详情")</f>
        <v/>
      </c>
      <c r="K8804">
        <f>HYPERLINK("https://yourei.jp/利子", "查看例句")</f>
        <v/>
      </c>
    </row>
    <row r="8805">
      <c r="A8805" t="inlineStr">
        <is>
          <t>リストラ</t>
        </is>
      </c>
      <c r="B8805" t="inlineStr">
        <is>
          <t>成功</t>
        </is>
      </c>
      <c r="C8805" t="inlineStr">
        <is>
          <t>［名］(スル)
１「リストラクチュアリング」の略。
２俗に、退職させること。人員整理。首切り。</t>
        </is>
      </c>
      <c r="D8805" t="inlineStr">
        <is>
          <t>リストラ策(4%)；リストラされる；リストラ計画；リストラ対象；リストラ組</t>
        </is>
      </c>
      <c r="E8805" t="inlineStr">
        <is>
          <t>解雇；クビ；人員整理；人員削減；お払い箱</t>
        </is>
      </c>
      <c r="F8805" t="inlineStr">
        <is>
          <t>大リストラ；大幅なリストラ；大規模リストラ；大胆なリストラ</t>
        </is>
      </c>
      <c r="G8805" t="inlineStr">
        <is>
          <t>リストラクチャリング；リストラクター；リストラック；リストラ教育；リストランテ・パラディーゾ</t>
        </is>
      </c>
      <c r="H8805" t="n">
        <v>29</v>
      </c>
      <c r="I8805" t="inlineStr">
        <is>
          <t>本来、リストラは企業が事業規模にあわせて組織を再編成する意味である。；頭の禿げあがった教師が生徒に、会社をリストラされた父親が我が子に。；気の弱そうな学生ひとりに、リストラでもされた中年太りの男がふたり。；リストラのために発足した『プロシード二〇〇一委員会』があるだろう。；当然のことながら、不況、リストラの影響を考えないわけにはいかない。；ある日浜田は野沢がリストラされてしまうことを聞いてしまい・・・。；これは即ち初老の音楽教師マーティがリストラされることを意味していた。；アンディは自分がリストラの対象になるのではないかと怖れていたのである。；リストラされて初めてです、そんなこと誰かに言ってもらったのって。；リストラ危機で一時期は事務所の組織表から森口の名前が消えていた。；リストラされて系列会社に飛ばされた父親が、家に帰ってきたのだ。；加藤は社長を息子の大器に譲り、自らは会長となって大リストラを行った。；リストラに遭ったこと自体はひとつの結果であって、仕方のないことである。；また、これを受け世界各国で事業の再編成や大幅なリストラが行われている。；しかし、実行した再建策は、リストラでも、成果主義導入でもなかった。；一方で職員は多すぎリストラが必要との指摘を受けている。；GMのリストラは、世間がみている以上に早いテンポで進んでいます。；リストラで不利な転職を余儀なくされていることも妻の佳菜子にバレる。；どこかリストラという形で社員を追放する会社にも似ています。；しかし不景気の時代であったため1933年にはリストラされて失業した。；また自らの生活費を大幅に切り詰め、奥女中も大幅なリストラを行った。；当然の事ながら自分もリストラされると覚悟していた。；この制度に対しては政府がリストラを推奨しているという批判が存在する。；思い切ったリストラを断行しようとすれば、車種も削減せざるを得ない。；リストラされてしまったみどりは、ここで人生の大きな転機を迎える。；但しその後は大きなヒットに恵まれず、リストラに伴い去ることになる。；朋子は夫・健司のリストラ退職を機に、弁護士としての活動に復帰する。；これにより、日本法人を含めて世界規模でのリストラが進められている。；ローンが終わるまでは病気もできないとか、夫がリストラされたらどうしようとか。</t>
        </is>
      </c>
      <c r="J8805">
        <f>HYPERLINK("https://www.weblio.jp/content/リストラ", "词义详情")</f>
        <v/>
      </c>
      <c r="K8805">
        <f>HYPERLINK("https://yourei.jp/リストラ", "查看例句")</f>
        <v/>
      </c>
    </row>
    <row r="8806">
      <c r="A8806" t="inlineStr">
        <is>
          <t>理性</t>
        </is>
      </c>
      <c r="B8806" t="inlineStr">
        <is>
          <t>成功</t>
        </is>
      </c>
      <c r="C8806" t="inlineStr">
        <is>
          <t>読み方：りしょう
仏語。宇宙万物の不変の本性。法性(ほっしょう)。また、普遍の真理。真如(しんにょ)。</t>
        </is>
      </c>
      <c r="D8806" t="inlineStr">
        <is>
          <t>理性的(7%)；理性批判；理性そのもの；理性信仰；理性概念</t>
        </is>
      </c>
      <c r="E8806" t="inlineStr">
        <is>
          <t>知；智；知性；知力；悟性</t>
        </is>
      </c>
      <c r="F8806" t="inlineStr">
        <is>
          <t>純粋理性；社会的理性；国家理性；あらゆる理性；弁証法的理性</t>
        </is>
      </c>
      <c r="G8806" t="inlineStr">
        <is>
          <t>理性主義；理性院；理性の女神；理性の祭典；理性寺</t>
        </is>
      </c>
      <c r="H8806" t="n">
        <v>29</v>
      </c>
      <c r="I8806" t="inlineStr">
        <is>
          <t>この時期最もよく議論された話題の一つに信仰と理性の対立がある。；理性とは、人間に本来的に備わっているとされる知的能力の一つである。；平和の価値を絶対視してその上に思考することは決して理性的なことではない。；理性は知識を獲得する信頼にたる源であり、啓示と完全に調和している。；前作と同様に理性を失った人間達が各所にボス的な存在として登場する。；それから黄は理性を失い、そのビール瓶で各人を殺害していったという。；なお、道徳的であることの当然の前提として理性保持義務も考えられる。；その点から見て、氏は自分を支配することの出来る理性家であるのでしょうか。；さらに侵食が脳まで達すれば理性すら持たないゾンビ兵となってしまう。；善や真理の根拠を、神でなく理性的な人間の中にみいだそうとした、と。；そのため理性を持つ者に監視されなければならないと言った。；それゆえ、理性的な仕方でその存在と根拠とが説得的に説明されうるものではない。；カント的な「理性の批判」を「文化の批判」へと転換させる試みである。；理性を失いはじめるため普段と違い冷酷になり性格はサイラゴに近くなる。；啓蒙は、人間の理性を使って、あらゆる現実を概念化することを意味する。；即ち、この点で理性を納得させることは、決してできないのである。；理性はここでは合理的な真理を確立する役割を演じることができない。；が、理性は一度脅されても、このくらいな事でその権威を失墜しはしない。；使用者の中には理性を失い、人格が変わってしまう者もいると言われている。；第二に理性は人間の霊魂が神に近づいていく「道具」としての働きである。；理性と法に治められた社会が自由の一番の保障に成りうる、と考えている。；人間の肉体と魂の一部は動物と共通であるが、理性と知性を持つ点で動物と異なる。；このように、我々の理性と感覚との間には、直接的かつ全的な対立がある。；上級理性能力のひとつである判断力の統制的使用の批判を主題とする。；人間の理性よりも、外部に置かれた偶像が優先されているのである。；啓蒙主義の前提である自律的理性は全てのものに懐疑の目を差し向ける。；このことは特に教父たちの教説と理性についての捉え方に明白に現れている。；カミュ自身はこれを理性を捨てる行為であるとし、不条理ではないとした。；かれの理性はそれを否定したけれども、眼前の事実をどうすることもできなかった。</t>
        </is>
      </c>
      <c r="J8806">
        <f>HYPERLINK("https://www.weblio.jp/content/理性", "词义详情")</f>
        <v/>
      </c>
      <c r="K8806">
        <f>HYPERLINK("https://yourei.jp/理性", "查看例句")</f>
        <v/>
      </c>
    </row>
    <row r="8807">
      <c r="A8807" t="inlineStr">
        <is>
          <t>理想</t>
        </is>
      </c>
      <c r="B8807" t="inlineStr">
        <is>
          <t>成功</t>
        </is>
      </c>
      <c r="C8807" t="inlineStr">
        <is>
          <t>読み方：りそう
１人が心に描き求め続ける、それ以上望むところのない完全なもの。そうあってほしいと思う最高の状態。「—を高く掲げる」⇔現実。
２理性によって考えうる最も完全な状態。また、実現したいと願う最善の目標あるいは状態。</t>
        </is>
      </c>
      <c r="D8807" t="inlineStr">
        <is>
          <t>理想的(22%)；理想化(3%)；理想家；理想形；理想通り</t>
        </is>
      </c>
      <c r="E8807" t="inlineStr">
        <is>
          <t>夢；希望；望み；志；憧れ</t>
        </is>
      </c>
      <c r="F8807" t="inlineStr">
        <is>
          <t>沒却理想；高い理想；無理想；衆理想；理想実現</t>
        </is>
      </c>
      <c r="G8807" t="inlineStr">
        <is>
          <t>理想主義；理想郷；理想像；理想気体；理想主義者</t>
        </is>
      </c>
      <c r="H8807" t="n">
        <v>29</v>
      </c>
      <c r="I8807" t="inlineStr">
        <is>
          <t>理想との差をばらつきの測度に用いるので、分布を定義する必要はない。；母の教えは当時の善良なエジプト人女性の理想を言い表したものである。；理想的ではない矩形波で生じるリンギングは、この現象と関連している。；あまり意識して生きたくないんだけど、やっぱりそうもいかないみたい。；この提案は理想的であったが、費用と時間がかかりすぎる所が難点であった。；浸透圧を表す式が理想気体の状態方程式と同じ形であることを示した。；欠陥とは、理想状態を想定できる物事における理想状態との違いである。；の都市計画理論は、再び理想的な都市形態を論ずることが多くなってきた。；自由ソフトウェアの理想を推し進めることを目的に様々な活動をしている。；王者の王道政治を理想とするのは、孟子と同じく儒家の基本思想である。；これはあくまで理想的な状態の場合で、実際には微小重力状態である。；これは佐幕派と倒幕派の双方から理想とされた公議政体論も同じであった。；この配色は汎スラヴ色と呼ばれ、自由と革命の理想を象徴したものである。；このような女性の顔は、古くから日本人の理想とされていた。；これらの都市は輸送のために理想的な川沿いに立地していた。；父なる天はインド・ヨーロッパ文化の理想とみられた。；彼の予見では、ここは月探検のための理想的な出発点のはずだった。；ここでの仮定は固体中でも理想気体中のように電子が自由に動くことである。；周公旦が整備したといい、孟子はこれを理想的な制度であるとした。；太陽 - 地球系の L 1 は太陽の観測を行うのに理想的な場所である。；現実的には実現が難しいが一種の理想を実現している状況。；したがってインバーは下記のために使用するのに理想的である。；彼女は父グスタフ2世アドルフの理想を放棄し、カトリックと和解した。；これは店舗から半径500 mを理想的な来店距離としているためである。；本谷有希子をあなたの理想の女性だと思ってあなたの言葉で口説いてください。；上記の関係は以下に示す理想気体の状態方程式から直ちに得ることができる。；室町時代の面はと呼ばれ、江戸時代以降の能面の理想・規範とされた。；黄色は理想的とは言えないが収集の対象と認められるもの。；日蓮宗の伝承では、理想としては四神相応の地に建立するべきとしている。</t>
        </is>
      </c>
      <c r="J8807">
        <f>HYPERLINK("https://www.weblio.jp/content/理想", "词义详情")</f>
        <v/>
      </c>
      <c r="K8807">
        <f>HYPERLINK("https://yourei.jp/理想", "查看例句")</f>
        <v/>
      </c>
    </row>
    <row r="8808">
      <c r="A8808" t="inlineStr">
        <is>
          <t>利息</t>
        </is>
      </c>
      <c r="B8808" t="inlineStr">
        <is>
          <t>成功</t>
        </is>
      </c>
      <c r="C8808" t="inlineStr">
        <is>
          <t>読み方：りそく
金銭などの使用の対価として、金額と期間とに比例して一定の割合（利率）で支払われる金銭その他の代替物。利子。
→利子(りし)［用法］</t>
        </is>
      </c>
      <c r="D8808" t="inlineStr">
        <is>
          <t>利息分(2%)；利息付；利息収入；利息相当額；利息払い</t>
        </is>
      </c>
      <c r="E8808" t="inlineStr">
        <is>
          <t>利子；金利</t>
        </is>
      </c>
      <c r="F8808" t="inlineStr">
        <is>
          <t>遅延利息；利息相当；受取利息；制限利息；法外な利息</t>
        </is>
      </c>
      <c r="G8808" t="inlineStr">
        <is>
          <t>利息債権</t>
        </is>
      </c>
      <c r="H8808" t="n">
        <v>29</v>
      </c>
      <c r="I8808" t="inlineStr">
        <is>
          <t>会計規則は、利息費用を資本化するためのいくつかの規定を広げている。；こんなの、いつも桜がしてくれてた事に比べたら利息にもならないし。；たとえばイスラム教では商売は許されるが利息を取ることは禁止されている。；この話は利息をとることを正しいとするために聖書に入れてあると思うのかね?；それは慈善事業ではありませんから定められた利息はいただきます。；もっとも、その二十両には利息がついているから、ちょっと見当がつかない。；利息をなしとすればその人の財産には一銭の増減もありません。；それがいつの間にか利息が膨れ上がって、二千万近くになっていたんです。；こんな訳で、別当のところへは驚くべきほど沢山の利息が入ってきた。；当時の金融業者たちはさまざまな形態で実質的な利息を取っていた。；だがそうした借金は、定めた利息分を加えて期限までにはきちんと返す。；定期預金の金利は下ったが、それでも月の利息は今では一千万円近くになる。；なんでも利息だけでも月十万円くらいになるはずなんですって。；それにしても、あの利息なるものは、だれが最初に考え出したのであろう。；かと言って、手堅く利息だけを狙うようでは、不甲斐なさの証明になる。；利息の契約は利息制限法により以下の通り利率の上限が定められている。；利息を払い、そのうち景気がよくなるという話をしておけばすむことだ。；それだけのお金を預金しておけば、利息だけで年収一千万円になる。；元本又は利息の弁済期又は支払い場所の定めの記載の例以下のとおりである。；利息はもう少し上げてもいいだ、えゝと、ぢや五分五厘ぢやどうだ?；背に腹は代へられねえ、五分の利息と言へば村の貸借にはチヨツと無い率だよ?；朝烏山局にて八島の利息十七円二十五銭を為替に組んで送る。；日歩二十銭で二十万円借りたから、一ヵ月の利息は一万二千円になる。；その金を利息も合わせて十両をこの場で返せ、でなければ娘を連れてゆくという。；利息を体験していれば、社会に出てサラ金で身をほろぼすことも少ないだろう。；溜っている利息にくれと云うのを持ち帰って第一に米を買った。；四日に一分の利息を払うてえ決めが、ここんとこ三度もご無沙汰でね。；家内は茶の間で紙と鉛筆を持ち、こっそり借金の利息の計算をしている。；天引きされた利息をいくらかでも回収しようと、おまえをくどきはじめた。</t>
        </is>
      </c>
      <c r="J8808">
        <f>HYPERLINK("https://www.weblio.jp/content/利息", "词义详情")</f>
        <v/>
      </c>
      <c r="K8808">
        <f>HYPERLINK("https://yourei.jp/利息", "查看例句")</f>
        <v/>
      </c>
    </row>
    <row r="8809">
      <c r="A8809" t="inlineStr">
        <is>
          <t>理知</t>
        </is>
      </c>
      <c r="B8809" t="inlineStr">
        <is>
          <t>成功</t>
        </is>
      </c>
      <c r="C8809" t="inlineStr">
        <is>
          <t>読み方：りち
１理性と知恵。また、本能や感情に支配されず、物事を論理的に考え判断する能力。
２（理智）仏語。真如の理と、それを悟る智慧。</t>
        </is>
      </c>
      <c r="D8809" t="inlineStr">
        <is>
          <t>理知人；理知主義；理知派；理知そのもの；理知久</t>
        </is>
      </c>
      <c r="E8809" t="inlineStr">
        <is>
          <t>知；理性；智；頭脳；知性</t>
        </is>
      </c>
      <c r="H8809" t="n">
        <v>29</v>
      </c>
      <c r="I8809" t="inlineStr">
        <is>
          <t>人間の動機は決して理知のよく説明し尽せるような単純なものではない。；ただその行爲は彼の恩顧を受けたもの以外には餘り知られてゐなかつた。；私は今の日本の婦人達にいちばん必要なものは理知だと思います。；しかし少なくともその理知だけでも徹底するように努力せねばならぬ。；つまり川村君は理知派と情熱派を兼ねそなえている政治家でございます。；風俗がますます自由になると同時に、理知はますます自由を欠いていた。；彼の眼と理知とはとらえられていたが、彼の心はとらえられていなかった。；おれは部屋を歩き回り、バラバラになった理知をもとに集めようとした。；疑心暗鬼の組織化された自衛の動きが彼の理知にほかならぬのである。；わたしは人々の中のこれを愛する、これをわたしは心の理知と呼ぶ。；だが、そう認めることはやはり人間の理知の働きで、この働きは立派なものだ。；宍粟市の南西端に位置しており、校訓を敬愛・自立・理知と定めている。；一応の理知の否定をもつてしても、素朴な恐怖をどうすることもできないらしい。；私は理知人のもつ静かさの中にむしろ彼等の狂者の部分を感じ易い癖があります。；この言葉は学術・芸術・知識や制作的な理知・能力等も指す。；冷静にそれを測る理知はあつたが、肉体の狼狽を防ぐことがむつかしい。；いくたび危機を迎えようと理知を尽くしてまっとうすべきものなのである。；こういうことを言うと普通はすぐ理知によって反対されるのだ。；我々の理知の言葉と、我々の気候の言葉は同じ程度に強いらしい。；内面の聡明さがきらめきあふれ出たような理知に磨かれた美しさである。；内に備へてゐるものを整頓して置くだけの多くの理知であつた。；しかし彼女の顔をみつめていると、彼女の持つ理知を疑うことはできないのだ。；とにかく君は僕にとつて理知を超えた唯ひとりの宿命の女だといふ気がするのだから。；主以外は何物も許さぬという彼女の瞳に、ようやく理知の光が戻る。；これ等は大体理知の世界と自然の世界の二つに分けられる。；我々はここでは理知及び意志に対して感情が特に根本的であると主張する必要を見ない。；理知もなく高邁な精神もなく教養もない見るからに惨めな姿であつた。；君らはあの時駿三の心理状態をはつきり知つていなければいかんよ。；世間には餘り知られて居らぬが、先生は國語にも中々精通して居られた。</t>
        </is>
      </c>
      <c r="J8809">
        <f>HYPERLINK("https://www.weblio.jp/content/理知", "词义详情")</f>
        <v/>
      </c>
      <c r="K8809">
        <f>HYPERLINK("https://yourei.jp/理知", "查看例句")</f>
        <v/>
      </c>
    </row>
    <row r="8810">
      <c r="A8810" t="inlineStr">
        <is>
          <t>立食</t>
        </is>
      </c>
      <c r="B8810" t="inlineStr">
        <is>
          <t>成功</t>
        </is>
      </c>
      <c r="C8810" t="inlineStr">
        <is>
          <t>読み方：りっしょく
立ったままで食べること。特にパーティーで、卓上に並べた飲食物を客が自由に取って食べるようにした形式。「—パーティー」</t>
        </is>
      </c>
      <c r="D8810" t="inlineStr">
        <is>
          <t>立食パーティー(16%)；立食形式(16%)；立食式(4%)；立食パーティ；立食場</t>
        </is>
      </c>
      <c r="H8810" t="n">
        <v>29</v>
      </c>
      <c r="I8810" t="inlineStr">
        <is>
          <t>立食形式で、ゲストたちは好きな料理を選んで食べることが出来る。；芝居が終わった後は、出演者を囲んでの簡単な立食パーティが行われた。；百人二百人の賓客ありても千人二千人の立食を作るも皆なここにて事足るなり。；大宴会場は丸テーブルの並ぶ立食形式で、すでに若い男女が談笑していた。；部屋の片側に立食用テーブルが置かれ、さまざまなごちそうが並んでいる。；一見するとどこにでもよくあるような立食パーティーの会場。；右側内部が立食場所だが、ホームに出て食べている人もいる。；広場ごとに楽団がいて立食場もあり、飲物も用意されています。；立食というのは、パーティの形式として、なくてはならない最高の条件だ。；また、同時にビュフェ車は立食式の簡易形に設計変更された37形に移行した。；その証拠にアメリカぐらい立食食堂や自動販売料理店の発達した国はないからな、なんていっている。；席を立つ者が多く、立食のパーティと似た光景になった。；その日は個展のオープニングで、夕方から軽い立食パーティがあった。；主に、野外での立食パーティーや、講堂でのバレエの演技が行われている。；いたるところに用意された立食料理テーブルの方も、様々な国の料理で盛りたてられていた。；A館の広間に全員が集まり、立食パーティー形式の夕食会が始まった。；宴会ではあまりにも当然でわからなかったものが、立食パーティではかえってわかるのだ。；この空間で可能なイベントは、立食パーティくらいだろうか。；陸大では月にいちど、学生と教官の親睦を兼ねた立食パーティが開かれる。；だから和女も行儀を好くして村にいる時のようにお芋の立食なんぞをしてはいけないよ。；この日、立食形式のパーティに出席した者は三〇〇人、会費はひとり五万円ということであった。；メインの客であるタクシー運転手が素早く食べられるように、1階は立食式にした。；予定人数だったら、立食ならぬ立飲パーティーになるところだった。；若い女性が、しかも着飾った姿で山盛りの皿を手に立食している図は、絶対に美しくない。；来賓の祝辞が一通り終って、会場は立食パーティの部屋に移される。；それで気分を一新させるべく、立食に立ち向かうことにした。；父親の家でのパーティは立食形式だったが、ジョーはすぐ椅子に腰をおろして、食べ物を運んでもらった。；立食のテーブルがいくつもあった。；総勢四百人の立食パーティとなれば、料理を用意するテーブルも中央に一つ、というわけにはいかない。</t>
        </is>
      </c>
      <c r="J8810">
        <f>HYPERLINK("https://www.weblio.jp/content/立食", "词义详情")</f>
        <v/>
      </c>
      <c r="K8810">
        <f>HYPERLINK("https://yourei.jp/立食", "查看例句")</f>
        <v/>
      </c>
    </row>
    <row r="8811">
      <c r="A8811" t="inlineStr">
        <is>
          <t>立体</t>
        </is>
      </c>
      <c r="B8811" t="inlineStr">
        <is>
          <t>成功</t>
        </is>
      </c>
      <c r="C8811" t="inlineStr">
        <is>
          <t>読み方：りったい
いくつかの平面や曲面で囲まれて、三次元の空間の一部を占める物体。また、幾何学の対象としての空間図形。「六面の—」</t>
        </is>
      </c>
      <c r="D8811" t="inlineStr">
        <is>
          <t>立体的(19%)；立体化(10%)；立体交差する(3%)；立体作品(2%)；立体物(2%)</t>
        </is>
      </c>
      <c r="F8811" t="inlineStr">
        <is>
          <t>立体性；立体図；空間表示立体；立体tv；立体投影</t>
        </is>
      </c>
      <c r="G8811" t="inlineStr">
        <is>
          <t>立体的；立体構造；立体駐車場；立体映像；立体感</t>
        </is>
      </c>
      <c r="H8811" t="n">
        <v>29</v>
      </c>
      <c r="I8811" t="inlineStr">
        <is>
          <t>手で物を触った刺激を整理統合して立体を形成するのも脳の働きである。；立体的な映像を表示する3次元ディスプレイは以下のように分類できる。；特にフィギュアを始めとする立体物では、その傾向が顕著に現れている。；中国などでは、コルクの板を彫刻して立体的な彫刻画が製造されている。；正面大階段から続く立体広場を中心に主要施設が構成されている。；画像解析すると、未知の言語や、奇妙な立体のようなものが表示された。；現在立体交差点はないが、古戦場入口交差点の立体化の計画などがある。；立体的な像を原則避ける習慣には、偶像崇拝を避ける意図があるとされる。；今回のポリマー紙幣でもカナダの旅シリーズから続く立体部分がある。；藤子・F・不二雄原作作品に登場する各種ロボットを立体化したもの。；これが、初形・詰め上がり共に文字になる立体曲詰の最初の作品である。；ただし、フランスでは数学の書籍でも立体での表記が比較的多く見つかる。；このため他のレースのように平面的ではなく立体的であるという特徴がある。；水や滴をイメージした、白と水色が基調の立体的なGUIが特徴である。；このため市では「つくバス」の導入や駐車場の立体化に取り組んでいる。；鎌谷は絵画を中心に立体作品、インスタレーションなどを制作している。；また立体作品は美術館周囲の公園内「彫刻の森」などに展示されている。；平面作品にとどまらず、立体的な作品が多いことも、特徴の1つである。；彼が手がけた立体建築的な作品は日本語では「メルツ建築」とも言う。；その表面をかたち作る小片が全て平面であるような立体は多面体という。；さらに北側の善化駅付近まで立体化区間を延長する計画も動き出している。；現在は立体化工事が進行しており、2023年8月に工事終了予定である。；立体作品を主に手がけるが、シンプルな構成のビデオ作品も発表している。；立体や平面の一番長い方向を縦、そのほかの辺などに沿った方向を横という。；通常のキルトに比べ、モチーフ部分を強調して立体化させることができる。；プレーに使われるチェスの駒は、たいてい幅よりも高さが高い立体物である。；その奇妙な立体の形状は、NASAが収容したUFOの形状と一致していた。；平面作品だけでなく日本のアニメーション関連の立体作品もこれに含まれる。；この影響のため彫刻からジュエリーに到るまでの作品全てが立体物である。</t>
        </is>
      </c>
      <c r="J8811">
        <f>HYPERLINK("https://www.weblio.jp/content/立体", "词义详情")</f>
        <v/>
      </c>
      <c r="K8811">
        <f>HYPERLINK("https://yourei.jp/立体", "查看例句")</f>
        <v/>
      </c>
    </row>
    <row r="8812">
      <c r="A8812" t="inlineStr">
        <is>
          <t>リットル</t>
        </is>
      </c>
      <c r="B8812" t="inlineStr">
        <is>
          <t>成功</t>
        </is>
      </c>
      <c r="C8812" t="inlineStr">
        <is>
          <t>読み方：りっとる
メートル法の容積の単位。1リットルは1立方デシメートル。1964年までは、1気圧下で最大密度となるセ氏4度の純水1キログラムの体積とされ、1.000028立方デシメートルであった。記号Lリッター。</t>
        </is>
      </c>
      <c r="D8812" t="inlineStr">
        <is>
          <t>リットル入り(3%)；リットル以上(3%)；リットルあたり(3%)；リットル程度；リットル当たり</t>
        </is>
      </c>
      <c r="E8812" t="inlineStr">
        <is>
          <t>リッター；立方デシメートル</t>
        </is>
      </c>
      <c r="F8812" t="inlineStr">
        <is>
          <t>二リットル；五リットル；万リットル；十リットル；百リットル</t>
        </is>
      </c>
      <c r="G8812" t="inlineStr">
        <is>
          <t>リットルミッジ；リットル毎分</t>
        </is>
      </c>
      <c r="H8812" t="n">
        <v>29</v>
      </c>
      <c r="I8812" t="inlineStr">
        <is>
          <t>和泉では一型初期の燃料搭載量は増槽を含め935リットルとしている。；しかし、ある番組の中では3リットル飲んでるので克服したと思われる。；だが水はぜんぶあわせて約一三・五リットルしか残っていなかった。；あるいは工事現場の飯場で使われるような10リットル程度の物もある。；地域によっては容量をリットルではなくビールで表す方が一般的な所がある。；これは水1リットルあたり3ロートの塩を含んでいることを意味している。；血液量が五リットルの場合なら、二〇パーセントといえば一リットルだ。；約五リットルと言えば簡単そうだが、一リットルパック五本ぶんだぞ?；その考えというのをここで口にだすには、あと一リットルの酒が必要だろう。；旅客と乗員をあわせて二〇〇〇名だから、ひとりあたり一日三〇〇リットル。；その量は、一九二七年から一九五一年の間になんと二十リットルにものぼったという。；先生に言われた通りそれを瓶に集め授業が終わるころには数リットルも溜まった。；なお、当時の軍隊での1日の配給量は1人当たり約10リットルである。；サルの実験では空気一リットルに〇・二から〇・二五ミリグラムで致死です。；事件のおかげで貴重な空気をなんリットルかむだにしたのだ。；水は昨日より大型の、一リットル入りのペットボトルになっている。；燃料は内翼に4つのタンクを持っており、合計で1260リットルを搭載。；その扉を開けると七百リットルはある白い冷蔵庫が収納されていた。；それに赤りんごを九リットルほどなんとかして手に入れなければなりませんわ。；どんな状況であろうと、一日四リットルの水分を体内に入れなければならない。；それから半時間ほど酒場に入り、半リットルほど飲みヴィデオを見た。；昨日の晩に牛乳一リットルほど飲んで寝て起きたら、不思議と治まったからな。；目標輸送量は180万リットル/日で、輸送は深夜に行われたようである。；一塊のチーズを作るのに約1000リットルの牛乳が必要とされる。；温泉の総採取量は従来の半分を目標とし、毎分920リットルに制限された。；水道管も何もない壁から、いきなり何十リットルもの水がふき出す。；一日に摂取すべき水の量は、基本的に、ひとりあたり四リットルをベースとする。；あとでわかったことだが、十九日一日の放水量は六十三万リットルと記録されている。；ナガスクジラの尿の生成量は一日に974リットル程度と推算されている。</t>
        </is>
      </c>
      <c r="J8812">
        <f>HYPERLINK("https://www.weblio.jp/content/リットル", "词义详情")</f>
        <v/>
      </c>
      <c r="K8812">
        <f>HYPERLINK("https://yourei.jp/リットル", "查看例句")</f>
        <v/>
      </c>
    </row>
    <row r="8813">
      <c r="A8813" t="inlineStr">
        <is>
          <t>立派</t>
        </is>
      </c>
      <c r="B8813" t="inlineStr">
        <is>
          <t>成功</t>
        </is>
      </c>
      <c r="C8813" t="inlineStr">
        <is>
          <t>読み方：りっぱ
［形動］［文］［ナリ］《一派を立てる意から。一説に「立破」の音から》
１威厳があって美しいさま。堂々としているさま。また、非常にすぐれているさま。「—な邸宅」「—な業績」
２十分に整っているさま。不足や欠点のないさま。「—に生活を立てていく」「—な大人」
[派生]りっぱさ［名］</t>
        </is>
      </c>
      <c r="D8813" t="inlineStr">
        <is>
          <t>立派な紳士；立派な人物；立派な体格；立派な建物；立派な青年</t>
        </is>
      </c>
      <c r="E8813" t="inlineStr">
        <is>
          <t>いい；よい；良い；妙；優れた</t>
        </is>
      </c>
      <c r="F8813" t="inlineStr">
        <is>
          <t>こんな立派；御立派；どんな立派；一番立派；あんな立派</t>
        </is>
      </c>
      <c r="G8813" t="inlineStr">
        <is>
          <t>立派な詐欺師</t>
        </is>
      </c>
      <c r="H8813" t="n">
        <v>29</v>
      </c>
      <c r="I8813" t="inlineStr">
        <is>
          <t>貴族は断食日には肉を食べないようにしていたが、立派な食事を取った。；盲人ともいえども立派な人間であり、目が見えないだけで手も足もある。；立派な施設を持ち、日本の学校の雰囲気そのままを味うことができる。；これこそ、彼しか持っていない立派な『タイトル』だと僕は思いますね。；門櫓の上にシャチを載せていた、立派な造りの門であったとされている。；自動車は近所のポンコツでも立派に動きだすので夫人に感心されていた。；主人公は、自分の手で、牧場をかつての立派な姿に蘇らそうと決意した。；彼女の愛情を受けて育ったドニーは、やがて立派な青年へと成長する。；五十を過ぎた立派な人がきちんとした衣冠姿で手に梅の一枝を持って言った。；それを知った狸千代はきぬた姫に、城に帰って立派な女王になる様勧める。；そんな蝦夷の息子である蘇我鞍作も将来を有望され立派に成長していた。；立派な帝立の劇場や美術・音楽などの学校を有し、文化が振興されていた。；元老や大臣たちは死んだあとにいくらでも立派な後継ぎが控えている。；校地を1522坪まで拡大し、当時の学校としては立派な建物であった。；しかし、長屋の住まいに隠居の家のような立派なものがあるわけもない。；彼の父親は極めて立派な人物であり、私も非常に尊敬しています。；外観は黄土色で、車寄せのような玄関を備えた立派な建物となっている。；それから少し行くと立派な厩舎があつて其中には駿馬が六匹も七匹も居た。；ホテルに着くと中のバーに入り、そこで立派な身なりの男2人と話をした。；このような立派な兜は、飯羽間城主が着用したものと推定できるという。；この近くに位置するバーンホーフ通りにも立派な木組み建築群が見られる。；角を合わせて戦うことは少なく、むしろ角の立派さで地位を決めている種が多い。；簪も立派な武器であり、当然身につけたまま寝所に入ることは許されない。；その洞窟の中は立派な宮殿の造りになっており、娘は立派な暮らしをしていた。；リボンとメダルを持ってフランスに旅した紳士は立派にその役割を果たした。；このほかにも宮城電気鉄道では立派な鉄道設備が用いられていた。；建物はかなり数多く、外からはまるで立派な都市のように見える。；江戸時代の江戸に住む青年・磯部磯兵衛は立派な武士になるべく修業中。；立派な角を持つよく知られたカブトムシはほとんど本族に属する。</t>
        </is>
      </c>
      <c r="J8813">
        <f>HYPERLINK("https://www.weblio.jp/content/立派", "词义详情")</f>
        <v/>
      </c>
      <c r="K8813">
        <f>HYPERLINK("https://yourei.jp/立派", "查看例句")</f>
        <v/>
      </c>
    </row>
    <row r="8814">
      <c r="A8814" t="inlineStr">
        <is>
          <t>立方</t>
        </is>
      </c>
      <c r="B8814" t="inlineStr">
        <is>
          <t>成功</t>
        </is>
      </c>
      <c r="C8814" t="inlineStr">
        <is>
          <t>読み方：たちかた
１能楽で、囃子方(はやしかた)に対して、シテ方・ワキ方・狂言方のこと。
２歌舞伎・日本舞踊で、地方(じかた)に対して、立って舞い踊る者。</t>
        </is>
      </c>
      <c r="D8814" t="inlineStr">
        <is>
          <t>立方尺(9%)；立方格子(8%)；立方米(6%)；立方メートル(6%)；立方形(4%)</t>
        </is>
      </c>
      <c r="E8814" t="inlineStr">
        <is>
          <t>三乗</t>
        </is>
      </c>
      <c r="F8814" t="inlineStr">
        <is>
          <t>尺立方；メートル立方；立方積；百立方；億立方</t>
        </is>
      </c>
      <c r="G8814" t="inlineStr">
        <is>
          <t>立方メートル；立方晶；立方インチ；立方フィート；立方体グラフ</t>
        </is>
      </c>
      <c r="H8814" t="n">
        <v>29</v>
      </c>
      <c r="I8814" t="inlineStr">
        <is>
          <t>僕は四方の壁と天井と、二・五メートル立方の空間の中に存在してゐる。；これらの細胞は立方状であり、その表面には微絨毛と単一の繊毛がある。；茶碗の底には五立方サンチメエトル位の濃い帯緑黄色の汁が落ちている。；立方船の群れは銀河艦隊に向かってきて、両者のあいだで戦闘が交わされた。；単層立方上皮とは立方状の上皮細胞が基底板の上に一層並んでいる上皮。；三廊式バシリカの構造を持ち、さまざまな大きさの立方形の石で作られている。；ここで注意するのは、このゲームでは時間のたち方が非常に早いということである。；その立方キロのどれ一つにも、千人の子供を隠すことができる。；私はその七パーセントを大事に抱えたままこの世界のなりたち方をどこまでも眺めていきたいのだ。；空間ボリュームは恒星ひとつについて平均七十立方光年の広さがあるのだ。；この1996年イベントは立方メートルの火山噴出物の流出を伴っていた。；核への進入口を探すうちに、彗星の前方を航行する立方船の群れを発見した。；船の積載量や木材の体積を表すときには、1石=10立方尺としている。；世界のなりたちかたを変えることはできんのだよ。；火口内にあるブイ湖は、そこだけでも5千万立方mの水を有している。；その天体からは新たな立方船の群れが上昇してきた。；機関室の床に、およそ五十センチ立方の物体がマグネットで固定されていた。；バケツの中には二センチ立方くらいの氷がいっぱいに詰まっている。；六インチ立方ほどの箱で、ダイアルが数個とスイッチがひとつついている。；そのため最初立方形であった原基は伸展・扁平化し網目構造をつくるようになる。；これらの川の流量は豊富とはいえず、年流量は185億立方mにすぎない。；実測では比熱は温度の立方に比例して減少するが、これは今の考えでも説明できない。；鴎外はそこで円錐の立方積を出す公式をひとりで盛んに講釈している。；私のいるところは鉄板張りの壁の部屋で、三メートル立方から四メートル立方以上の広さではない。；それは何故かというと、同じ一立方米の空気でも温度が高いほど多量の水蒸気を含むことが出来るからである。；重さは、立方メートルあたり630kgで広葉樹としては中程度である。；完全に立方形の小さな金属製の部屋の真中にいることが分った。；五〇センチ立方程度の小型パッケージは、蓋の閉じぬほど荷物を押し込んである。；パッラーディオの影響は、中央ホールなど全般的に立方形を使っていることからも感じられる。</t>
        </is>
      </c>
      <c r="J8814">
        <f>HYPERLINK("https://www.weblio.jp/content/立方", "词义详情")</f>
        <v/>
      </c>
      <c r="K8814">
        <f>HYPERLINK("https://yourei.jp/立方", "查看例句")</f>
        <v/>
      </c>
    </row>
    <row r="8815">
      <c r="A8815" t="inlineStr">
        <is>
          <t>利点</t>
        </is>
      </c>
      <c r="B8815" t="inlineStr">
        <is>
          <t>成功</t>
        </is>
      </c>
      <c r="C8815" t="inlineStr">
        <is>
          <t>読み方：りてん
有利な点。また、長所。好都合な点。「部屋は狭いが駅に近い—がある」</t>
        </is>
      </c>
      <c r="D8815" t="inlineStr">
        <is>
          <t>利点として挙げられる；利点が大きい；利点がある反面；利点が挙げられる；利点が少ない</t>
        </is>
      </c>
      <c r="E8815" t="inlineStr">
        <is>
          <t>武器；価値；値；特性；売り</t>
        </is>
      </c>
      <c r="F8815" t="inlineStr">
        <is>
          <t>主な利点；やすいという利点；重要な利点；やすい利点；にくいという利点</t>
        </is>
      </c>
      <c r="H8815" t="n">
        <v>29</v>
      </c>
      <c r="I8815" t="inlineStr">
        <is>
          <t>また、非施設を含めた幅広い事業を対象にすることができる利点もある。；近年では整備期間が短いことから、効率的な整備の利点も謳われている。；本兵器の利点としては、炸薬量が多いのが魅力だったと戦後話している。；このレンズの利点は、 といったものであり、特性は極めて優れている。；関東圏に新しく電波塔を建設することの利点と問題点が議論されていた。；単独のビルなどで個別に熱源設備を設けるよりも次のような利点がある。；気象衛星は観測範囲が広く、地上の障害物の影響を受けない利点がある。；これは揚弾中に衝撃を受けた時の自爆が構造的に起こり難い利点があった。；このことは、採用する側・される側の双方にとって大きな利点とされている。；一般に露地栽培と比較して、以下のような利点・欠点があるとされる。；また用途に合わせて内蔵された機械を調整・改造することができるのも利点である。；個別の機器と比較した場合の利点として、次のような点があげられる。；このように多くの利点を持つため、商業施設、空港や駅で普及しつつある。；携帯式の火炎放射器と比較し、燃料搭載量が多いことが利点となっている。；しかし、幅広い箇所の修正が可能などの利点もあり、根強い需要がある。；アルミニウム製のフライパンは軽くて熱伝導率が高いことが利点である。；ケネディ宇宙センターは次に挙げるような重要な利点を有していた。；しかし以上のデメリットを考慮しても余りある多くの利点もある。；さらにシングルキャリアネットワークの構成が容易になる利点もある。；この地を選んだのは、 など主に運送面での利点が大きかったためとされる。；この利点は、ネットワーク通信コストを完全に回避できることである。；これに基づき建物を設計すれば、一応まともな建物ができる事に利点があった。；そのため、空気呼吸の利点を享受するには新たな呼吸器官が必要となる。；こうした利点は、テキストファイルの単純さから生じている部分が大きい。；これは1つのカメラ内に複数の撮像素子を配置できるなどの利点のためである。；移動式のため、固定式のものより敵からの攻撃を受けにくいという利点があった。；大学の併設校の利点を生かした高大連携プログラムが実施されている。；当時、利点と欠点のどちらが性能にインパクトがあるかは議論の的となった。；内陸の湖沼などでも楽しめ、海でも「波待ち」の必要がない利点がある。</t>
        </is>
      </c>
      <c r="J8815">
        <f>HYPERLINK("https://www.weblio.jp/content/利点", "词义详情")</f>
        <v/>
      </c>
      <c r="K8815">
        <f>HYPERLINK("https://yourei.jp/利点", "查看例句")</f>
        <v/>
      </c>
    </row>
    <row r="8816">
      <c r="A8816" t="inlineStr">
        <is>
          <t>理念</t>
        </is>
      </c>
      <c r="B8816" t="inlineStr">
        <is>
          <t>成功</t>
        </is>
      </c>
      <c r="C8816" t="inlineStr">
        <is>
          <t>読み方：りねん
１ある物事についての、こうあるべきだという根本の考え。「憲法の—を尊重する」
２哲学で、純粋に理性によって立てられる超経験的な最高の理想的概念。プラトンのイデアに由来。イデー。</t>
        </is>
      </c>
      <c r="D8816" t="inlineStr">
        <is>
          <t>理念そのもの；理念なき；理念無き</t>
        </is>
      </c>
      <c r="E8816" t="inlineStr">
        <is>
          <t>精神；主義；信念；イデオロギー；信条</t>
        </is>
      </c>
      <c r="F8816" t="inlineStr">
        <is>
          <t>教育理念；政治理念；根本理念；指導理念；行動理念</t>
        </is>
      </c>
      <c r="G8816" t="inlineStr">
        <is>
          <t>理念型</t>
        </is>
      </c>
      <c r="H8816" t="n">
        <v>29</v>
      </c>
      <c r="I8816" t="inlineStr">
        <is>
          <t>また、その理念や作風を共有していたと考えられる作家達のことである。；イエズス会が設立した日本国内の他の学校も同じ理念を共有している。；また、世俗主義はそれら三つの理念を推進する習慣と言うこともできる。；次に、第二の段階は疎外された理念の学としての自然哲学の段階である。；古い理念の枠に考えを閉じ込めることから逃れなければなりません。；これにより多年齢層間の交流が生まれ、上述の理念は達成したといえる。；さまざまな理由により、民主主義的理念が充分に普及していないのである。；この基本理念の実現のため、下記組織が存在するとされている。；経験においては理念に完全に合致する対象が現れることは決してありえない。；長らく綱領的文書とされてきた1998年の「基本理念」は以下の通り。；デュルイが示したこれらの政策理念はファーブルの思想と全く一致していた。；このような理念の国家が可能であるとすれば、それにもやはり起源を考えることができる。；政党とは政治的な理念や目的を共有し、それを達成するために活動する団体を指す。；これら二つの言葉が結ばれて、一つの理念になったものです。；ティターンズの理念には関心を持っておらず、他勢力との戦いの場としか見ていない。；また、これらの平和主義的理念を、日本国憲法第9条で具体化している。；キリスト中心的な理念とは、最も重要な掟と原罪についての教理である。；現在、世界で展開している修道会はフランシスコの理念の下に活動している。；徳洲会グループは、上記の理念を達成するために、以下の特徴を持っている。；ロシア・アヴァンギャルドに含まれる芸術理念には、主に次の3つがある。；国立大学法人となった後に制定された京都大学の基本理念にも引き継がれた。；権力的地位という理念を狙って官房内で必要とされて静かに準備されていた戦争であった。；主流会派である合気会が試合に否定的であるのもこの理念による。；また、その理念や作風を共有していたと考えられる作家たちをさす。；ニーバーはその思想をキリスト中心的な理念の中に表現した。；永久法は、神のうちにある最高の理念であり、あらゆる法 の源泉である。；同じ時期に、大勢の重要な作家たちがネオレアリズモ的な理念の影響を受けている。；大学で彼は啓蒙時代の理念と出会い、社会・政治批判と改革について学んだ。；しかし、そこに新古典主義の理念を見いだすことはもはや困難である。</t>
        </is>
      </c>
      <c r="J8816">
        <f>HYPERLINK("https://www.weblio.jp/content/理念", "词义详情")</f>
        <v/>
      </c>
      <c r="K8816">
        <f>HYPERLINK("https://yourei.jp/理念", "查看例句")</f>
        <v/>
      </c>
    </row>
    <row r="8817">
      <c r="A8817" t="inlineStr">
        <is>
          <t>リハビリ</t>
        </is>
      </c>
      <c r="B8817" t="inlineStr">
        <is>
          <t>成功</t>
        </is>
      </c>
      <c r="C8817" t="inlineStr">
        <is>
          <t>「リハビリテーション」の略。</t>
        </is>
      </c>
      <c r="D8817" t="inlineStr">
        <is>
          <t>リハビリ施設(4%)；リハビリ中(4%)；リハビリセンター；リハビリ組；リハビリ期間</t>
        </is>
      </c>
      <c r="E8817" t="inlineStr">
        <is>
          <t>リハビリテーション；社会復帰；リハビリテイション</t>
        </is>
      </c>
      <c r="F8817" t="inlineStr">
        <is>
          <t>その後リハビリ；目指してリハビリ；向けてリハビリ；訪問リハビリ；リハビリ治療</t>
        </is>
      </c>
      <c r="G8817" t="inlineStr">
        <is>
          <t>リハビリテーション科；リハビリ生活；リハビリテーション医学；リハビリテーション学部；リハビリテーション学科</t>
        </is>
      </c>
      <c r="H8817" t="n">
        <v>29</v>
      </c>
      <c r="I8817" t="inlineStr">
        <is>
          <t>リハビリに専念するため、どのチームにも所属していない状態が続いた。；リハビリのためにキャンプに参加していた雄根がテスト相手を買って出た。；キミのリハビリに協力することができなかったことが心の傷になっている。；さらに、リハビリは彼に負担を与え、体力や声に影響することとなった。；リハビリで体の可動域が広がったため、跳び方を調整する必要があった。；神足は現在病気療養中であり、番組への復帰へ向けてリハビリ中である。；は前年に受けた手術箇所のリハビリを経て、7月22日から一軍に昇格。；リハビリに入るものだと思っていた黒田は、そのまま現場復帰させられた。；以後リハビリが続き、8か月もの間ピッチを離れシーズンを棒に振った。；リハビリを終えた後に再び参加するが数ヶ月後に再び離脱した。；リハビリを続けたものの、症状が悪化したために8月に手術を受けた。；は肩の手術を行い、そのリハビリのため、マイナーでも登板はなかった。；入院してリハビリをしていたある日、病院の階段から落ちて脊髄を損傷した。；復帰目前に再び同箇所を負傷し9か月間もの間リハビリを強いられた。；しかし、翌9月には快方に向かい、リハビリを開始したことを発表した。；暫くの間リハビリに励んだが、競技復帰には至らないまま現役を去った。；必死のリハビリも オリンピック本大会には間に合わず出場を断念した。；作中の医師との会話では復帰を目指しかなり厳しいリハビリを行っている様子。；この治療とリハビリのために、半年以上のブランクを余儀なくされた。；以降は右肘の手術とリハビリなどで、大きな活躍は見せられなくなる。；周波数が高めで神経を刺激するTENSはリハビリ目的で使われている。；リハビリには大変な努力を強いられたが、それが彼女の未来を開くことにもなった。；その後国内でリハビリをしながら、メジャー挑戦を目指していたが断念。；は大学4年時に痛めた右肩のリハビリで一・二軍とも公式戦への登板なし。；本人は手術を希望したが、球団はまずリハビリすることを望んだ。；しかしシーズンは肩の故障でシーズンの大半をリハビリに費やした。；は開幕から故障者リスト入りし、復帰を目指してのリハビリ中に負傷。；これらの考え方は、パーキンソン病のリハビリ現場などで応用されている。；シーズン開始当初はリハビリに専念していたため何処の球団にも属していなかった。</t>
        </is>
      </c>
      <c r="J8817">
        <f>HYPERLINK("https://www.weblio.jp/content/リハビリ", "词义详情")</f>
        <v/>
      </c>
      <c r="K8817">
        <f>HYPERLINK("https://yourei.jp/リハビリ", "查看例句")</f>
        <v/>
      </c>
    </row>
    <row r="8818">
      <c r="A8818" t="inlineStr">
        <is>
          <t>理不尽</t>
        </is>
      </c>
      <c r="B8818" t="inlineStr">
        <is>
          <t>成功</t>
        </is>
      </c>
      <c r="C8818" t="inlineStr">
        <is>
          <t>読み方：りふじん
［名・形動］道理をつくさないこと。道理に合わないこと。また、そのさま。「—な要求」「—な扱い」
[派生]りふじんさ［名］</t>
        </is>
      </c>
      <c r="D8818" t="inlineStr">
        <is>
          <t>理不尽な要求(3%)；理不尽な暴力；理不尽な理由；理不尽な仕打ち；理不尽な怒り</t>
        </is>
      </c>
      <c r="E8818" t="inlineStr">
        <is>
          <t>馬鹿；おかしい；滑稽；無茶；めちゃくちゃ</t>
        </is>
      </c>
      <c r="F8818" t="inlineStr">
        <is>
          <t>ひどく理不尽；あまりにも理不尽；理不尽な運命；理不尽な思い；理不尽な行為</t>
        </is>
      </c>
      <c r="G8818" t="inlineStr">
        <is>
          <t>理不尽大王</t>
        </is>
      </c>
      <c r="H8818" t="n">
        <v>29</v>
      </c>
      <c r="I8818" t="inlineStr">
        <is>
          <t>それがいかに理不尽なことか、自分がいちばんわかっていたからである。；私がいじめにあったのは理不尽なことではなく、何か原因があったのだ。；肩を寄せ合って、理不尽な衝撃に耐えていた彼らに感じた奇妙な危機感。；理不尽な事件に巻きこまれた傷手を、少しでも小さくするのは自分だわ。；そしてクトゥーチクをつき動かしたわけのわからない理不尽な恐怖をも。；自分を無視されたのが気に入らなかったらしいが、本当に理不尽な話だ。；でも彼女はこのような理不尽な力を僕に一度も味わわせてはくれなかった。；自分がなにか理不尽な辱しめでも受けたような気がしてきたのである。；それがどんなに理不尽な指示であっても、その通りに従うつもりだった。；人が人を殺してゆく理不尽さに、父親が起きてくるくらい泣き続けた。；人間から理不尽な攻撃を受けた場合は必ず仕返しをしたと伝えられている。；それによって理不尽に否定されてしまって社会の中から排除されてしまう。；それは理不尽ではあるが、竜之助なりの理屈をもっていたことがわかる。；信じがたく、理不尽なことではあるが、手紙がこないのは事実であった。；人の限界に起因する、理不尽で不完全なルールに身を置くことでもある。；理不尽な災厄から人々を救うからと、こうして生きていられたんだから。；俺は心の準備ができていなかったし、理不尽な事態になっていった。；理不尽な命令は時々言われてきたが、それとは明らかに違っていた。；この作品は、理不尽な世の中を初めて知った少年の姿を象徴的に描いている。；そうして質問に答えているうちに、僕はまた理不尽な憤りに襲われていた。；誰もがあの理不尽な口上覚を書いたのが寧温であることが信じられない。；おとなしくしていたら、もっと理不尽なことをされないとも限らないのだ。；それを聞くと葉子の心はなんということなしに理不尽な怒りに捕えられた。；愛する母親が受けた理不尽な暴力に、大声で抗議しようとした、その時。；自分が理不尽な書面を突きつけたことに、任務とはいえ気が咎めたのだ。；人間は四百万年まえの誕生以来、そんな理不尽な闘いをつづけている。；そして会話の早々から、理不尽でひどい犯罪の目的が分かり始めました。；この燃えあがる理不尽な心は、そうでもしないと抑えられそうになかった。；それを見て、あまりの理不尽さに絶望して辞めていった女子社員が大勢いる。</t>
        </is>
      </c>
      <c r="J8818">
        <f>HYPERLINK("https://www.weblio.jp/content/理不尽", "词义详情")</f>
        <v/>
      </c>
      <c r="K8818">
        <f>HYPERLINK("https://yourei.jp/理不尽", "查看例句")</f>
        <v/>
      </c>
    </row>
    <row r="8819">
      <c r="A8819" t="inlineStr">
        <is>
          <t>リモコン</t>
        </is>
      </c>
      <c r="B8819" t="inlineStr">
        <is>
          <t>成功</t>
        </is>
      </c>
      <c r="C8819" t="inlineStr">
        <is>
          <t>「リモートコントロール」の略。「—装置」</t>
        </is>
      </c>
      <c r="D8819" t="inlineStr">
        <is>
          <t>リモコン操作(4%)；リモコン式；リモコン装置；リモコンスイッチ；リモコンキー</t>
        </is>
      </c>
      <c r="E8819" t="inlineStr">
        <is>
          <t>遠隔操作</t>
        </is>
      </c>
      <c r="F8819" t="inlineStr">
        <is>
          <t>ガイド番組表リモコン；防水リモコン；専用リモコン；tvリモコン；リモコンモード</t>
        </is>
      </c>
      <c r="G8819" t="inlineStr">
        <is>
          <t>リモコン番号；リモコン爆弾；リモコンブロス；リモコンボム；リモコンカラードドアミラー</t>
        </is>
      </c>
      <c r="H8819" t="n">
        <v>29</v>
      </c>
      <c r="I8819" t="inlineStr">
        <is>
          <t>母は私が襖の側に立っているのに気づくとリモコンでスイッチを切った。；テーブルの上のリモコンを手にし、リビングの隅のテレビに向けた時だ。；最近では応答に方向キーのついたリモコン式のものを用いる場合もある。；吐息の音が妙に響くような気がして、慌ててリモコンでテレビをつける。；部屋に入ってくるなり手にしていたリモコンを床に放り出してみせたのだ。；夫人はリモコンでTVの音を消したが、映像はそのままにしておいた。；早苗は怒ったように顔をそむけ、テレビのスイッチをリモコンで入れた。；冷暖房等の運転種別や温度設定も見やすいようにリモコン側に表示される。；俺はナメクジとして参戦する気はないので、テレビのリモコンを探した。；ニュースの時間など、最初からリモコン・スイッチを片手に待ちうけている。；いつもの習慣でテレビのリモコンに手を伸ばし、スイッチを入れた。；プレイヤーはリモコンでチャプターを選択しながらゲームを進行させていく。；しかし富樫はこれには答えず、テレビのリモコンのスイッチを入れた。；テーブルに置いてあったリモコンを掴んでテレビの音量を上げ出した。；テーブルの端にはいくつかのリモコンが並べて置いてあった。；リモコンの形状になり、一般発表された後も何度かデザインなどが変更されている。；しかし、リモコンの操作方法を教えてもらった彼は運命の出会いをするのだった。；ビデオなどのリモコンに似た道具で、その名の通り部屋を交換することができる。；もっともこの陰には佐藤のリモコンが働いていた節もなくはない。；ソファに座って僕はテレビのリモコンを取り上げスイッチを入れた。；女は、そう言うとエアコンのリモコンを取り出してスイッチを入れた。；ぼくがリモコン・スイッチを操作したことに気付いていないのだ。；箸を持たない方の手でリモコンを操作し、テレビをつけて天気予報を見る。；ぽつんと残された俺は、訳が分からないまま床に落ちたリモコンを拾った。；多くの単純で廉価なリモコンで低速の赤外線を使用した通信が利用される。；二メートルほど下がり、付属の発火リモコンを向けてスイッチを入れる。；さらに、ゼニスの営業担当者は電池を必要としないリモコンを要求した。；彼も下着だけになって隣で足を投げ出し、リモコンでテレビをつけた。；リモコンと携帯電話両方で参加する場合に限り、携帯電話は何台でも参加できる。</t>
        </is>
      </c>
      <c r="J8819">
        <f>HYPERLINK("https://www.weblio.jp/content/リモコン", "词义详情")</f>
        <v/>
      </c>
      <c r="K8819">
        <f>HYPERLINK("https://yourei.jp/リモコン", "查看例句")</f>
        <v/>
      </c>
    </row>
    <row r="8820">
      <c r="A8820" t="inlineStr">
        <is>
          <t>略語</t>
        </is>
      </c>
      <c r="B8820" t="inlineStr">
        <is>
          <t>成功</t>
        </is>
      </c>
      <c r="C8820" t="inlineStr">
        <is>
          <t>読み方：りゃくご
語形の一部を省いて簡略にした語。「高等学校」を「高校」、「ストライキ」を「スト」などとする類。また、ローマ字の頭文字だけを並べたもの。「WHO」「CPU」などの類。</t>
        </is>
      </c>
      <c r="D8820" t="inlineStr">
        <is>
          <t>略語である(13%)；略語であり(5%)；略語で呼ばれる；略語化</t>
        </is>
      </c>
      <c r="E8820" t="inlineStr">
        <is>
          <t>短縮；略称；短縮形；略字；頭字語</t>
        </is>
      </c>
      <c r="F8820" t="inlineStr">
        <is>
          <t>頭文字略語</t>
        </is>
      </c>
      <c r="H8820" t="n">
        <v>29</v>
      </c>
      <c r="I8820" t="inlineStr">
        <is>
          <t>正午は前でも後でもないのであるから、どちらの略語を用いてもおかしい。；他に、仲間以外に知られないようにするために作られる隠語的な略語もある。；コンピュータ略語一覧は、コンピュータの略語を一覧にしたものである。；記事内での施設名称などの略語、略称の使用方針について、記述します。；なおここでは ではなく で表記し、さらに略語の で表記した。；しかし一般的な欧文略語と同じように語感が一人歩きし始めている。；技術略語一覧は、工業技術関連分野で使用される略語を一覧にしたものである。；短縮された言葉の中に略語が含まれている場合には、それは戻さなくてもよい。；sicはラテン語で「このように」を意味する語であり、の略語である。；また、一単語が構成され、略語にリンクされていない場合があります。；軍事略語一覧は、軍事および関連分野で使用される略語を一覧にしたものである。；OINKとは、 の略語で、大韓民国でしか起こりえない出来事を指す。；ECMという略語は、解釈や定義のし直しが何度も繰り返されてきている。；以前は略語に JPを使用していたが、現在は Jiji を使用している。；そうしたところから、鬼・畜生の略語として考えられるようになった。；一般に医療現場では、略語のERCPが主によく用いられている。；一方で言語学者のデイヴィッド・クリスタルはこの略語説を否定している。；ただし、標準ではない略語だと今でも失敗することがある。；また、ダダイスムの略語であると言う話もあるが、これは俗説である。；その次に有名なものは「いやだ、いやだ」の略語と言う説である。；下の表で使用されている略語は以下のとおり。；純粋主義者の中には、略語やイニシャルの使用も禁じている人たちもいる。；社名にある「マリン」とは、海のことではなくマーガリンの略語である。；なお当初は "LM" ではなく "LL" の略語が用いられていた。；これらの略語は英語に由来しているが、世界中のアマチュア無線家の間で使用されている。；信管の周りには四種類の文字があり、3文字でそれぞれの略語になっている。；しかし、学生やプロが略語辞書にかなりの数の略語を追加することが珍しくない。；ここで言う略語とは次のようなものである。；これは〔超ベリーバッド〕の略語で、即ち大変悪い状態のことを指します。</t>
        </is>
      </c>
      <c r="J8820">
        <f>HYPERLINK("https://www.weblio.jp/content/略語", "词义详情")</f>
        <v/>
      </c>
      <c r="K8820">
        <f>HYPERLINK("https://yourei.jp/略語", "查看例句")</f>
        <v/>
      </c>
    </row>
    <row r="8821">
      <c r="A8821" t="inlineStr">
        <is>
          <t>略す</t>
        </is>
      </c>
      <c r="B8821" t="inlineStr">
        <is>
          <t>成功</t>
        </is>
      </c>
      <c r="C8821" t="inlineStr">
        <is>
          <t>読み方：りゃくす
［動サ五］「りゃく（略）する」（サ変）の五段化。「同文なので以下を—・す」
［動サ変］「りゃくする」の文語形。</t>
        </is>
      </c>
      <c r="D8821" t="inlineStr">
        <is>
          <t>略すことも多い</t>
        </is>
      </c>
      <c r="E8821" t="inlineStr">
        <is>
          <t>出す；取る；もらう；除く；排除</t>
        </is>
      </c>
      <c r="H8821" t="n">
        <v>29</v>
      </c>
      <c r="I8821" t="inlineStr">
        <is>
          <t>脇のあいた部分からは単が見えるが、現代の神職などは略すことが多い。；また、日本で中国と異なる略し方をした場合を含めるかなども問題となる。；実際にネット上でこの行為を指す際は、単に自演と略されることが多い。；略さない名称が使われることもあるが、正式名称はPSGのようである。；登場人物名を略す場合は同姓の人物がいる者を除いて原則、姓で表す。；PvPと略される、普段は不可能なプレイヤー同士での戦闘が行える島。；語尾を略す特徴のある話し方には、最初のうちはかなり苛ついたものだ。；北本連系と略されており、こちらのほうが一般的な名称となっている。；このことは、もつと詳しい説明をしなければならないのだが、それは略す。；またバンド名を略されたくなくて短い名前にしたかったから。；日本ではテープレコーダーは時に略してテレコと呼ばれることがあった。；他にも、特定の企業名を無理やり三文字に略すのもアウトの対象となる。；オノケンと略されて呼ばれることが多かったため、現在の社名に変更した。；ほかにソニョシデを略したソシもファンを初めとして広く使われている。；バンド名が長いため、「なんちゃらラスベガス」に略されることもある。；新聞などのラジオテレビ欄などでは星新一などと略されることがある。；後期製造の12両の付随車には防氷装置が設置され、DITと略される。；なお同様にABCと略して呼ばれる活動基準原価計算は全く別物である。；市内に茨城県立鹿島高等学校があるため「学園」と略されることもある。；また地域住民の間では「小牧市民会館」と略されて呼ばれることもある。；アニメについても、タイトルまで表示できないと漫画と略されることがある。；日本では一般的にキャバリア、または端的にキャバと略されて呼ばれる。；しばしばダイムラー・ベンツの略称でもあるDTと略されることもある。；こんなときまで語尾を略すから、まるで怒っているみたいに聞こえてしまう。；以下は略すが、これによってあめつちの詞を復元すると次のようになる。；メーカー側のカタログや資料などでは「F/F」と略した表記もされた。；「思ふも我」がどこかに略されてゐなければならぬ言葉遣ひである。；タイにおいては、ムーバーンは正式にはバーンと略されないで使われる。；周囲に擬宝珠勾欄付きの縁を廻らすが背面は脇障子を立てて略している。</t>
        </is>
      </c>
      <c r="J8821">
        <f>HYPERLINK("https://www.weblio.jp/content/略す", "词义详情")</f>
        <v/>
      </c>
      <c r="K8821">
        <f>HYPERLINK("https://yourei.jp/略す", "查看例句")</f>
        <v/>
      </c>
    </row>
    <row r="8822">
      <c r="A8822" t="inlineStr">
        <is>
          <t>略奪</t>
        </is>
      </c>
      <c r="B8822" t="inlineStr">
        <is>
          <t>成功</t>
        </is>
      </c>
      <c r="C8822" t="inlineStr">
        <is>
          <t>読み方：りゃくだつ
［名］(スル)暴力的にうばい取って自分のものにすること。「現金輸送車を—する」「—者」</t>
        </is>
      </c>
      <c r="D8822" t="inlineStr">
        <is>
          <t>略奪行為(4%)；略奪品(3%)；略奪的(3%)；略奪しよ；略奪文化</t>
        </is>
      </c>
      <c r="E8822" t="inlineStr">
        <is>
          <t>奪う；泥棒；強盗；盗み；強奪</t>
        </is>
      </c>
      <c r="F8822" t="inlineStr">
        <is>
          <t>侵入略奪；激しい略奪；徹底的な略奪；略奪隊；略奪的気質</t>
        </is>
      </c>
      <c r="G8822" t="inlineStr">
        <is>
          <t>略奪婚；略奪愛；略奪結婚；略奪被害；略奪愛・アブない女</t>
        </is>
      </c>
      <c r="H8822" t="n">
        <v>29</v>
      </c>
      <c r="I8822" t="inlineStr">
        <is>
          <t>しかし、新国家の首都にするために略奪と破壊はなかったとされている。；彼らは上陸地点でやはり略奪を働いたが、青銅製の武具で武装していた。；紀元前664年の大規模な侵攻でメンフィスは再び占領され略奪された。；しかし、古墳は太古の昔に略奪に遭ったのではないかと信じられている。；加えて国家の穀倉は解放され、王の陵墓も貴族の墓も破壊され略奪された。；そのほか、墓の中で略奪を免れた他の工芸品の数々も展示されている。；国庫の赤字を作り出したものはこのような宮廷貴族の国庫略奪であった。；また、この墓は古代に略奪され、その場所がわからなくなっていた。；軽快に飛行し、素速く、空中で他の鳥から略奪することが知られている。；そしてその日の夜、戦場に残されたムスリム軍の死体は略奪された。；そのうちの何隻かは航海中にカリブ海で略奪され海賊船に変えられた。；そこで家族の財産の再建に力を貸したが、既に略奪しつくされた後であった。；これに呼応して各地でも反乱が勃発し、強盗略奪も横行するようになった。；周の厲王が無道であったため、淮夷は中国に侵入して略奪をおこなった。；度重なる破壊と略奪があったが、現在もモザイク模様の床などが残る。；清軍は略奪に忙しかったため見咎められることがなかったのである。；そして被害家屋から金品を略奪するなどの狼藉を働いたあと解散した。；ローマの住民はまたロマノス軍のフランク人傭兵の略奪に苦しんでいた。；彼の軍隊はこの都市で激しい略奪を行い、住民を虐殺してその頭で塚を作った。；西ゴートはローマを略奪したとはいえ、火を放ったり破壊した建物はわずかだった。；無法者たちはあなたがたの家や会社を略奪し、財産をわが物にした。；西ローマ帝国が崩壊すると、町はゲルマン民族によって数回略奪された。；コロンブスはこの島で略奪を働き、次に現在のキューバ島を発見した。；これに怒った陳安は劉曜は既に死んだと思い、略奪をして引き返した。；後のエンポリは重要な要塞となり、そのために攻撃や略奪が繰り返された。；最後のカリフは処刑され市街は略奪と殺害が横行したと伝えられる。；アッシュル市に対する残虐な略奪は全オリエントの人々に衝撃を与えた。；普段は略奪行為などは行わない、海洋冒険家として活動する海賊である。；これらの侵攻の際には略奪行為も数多く行われた。</t>
        </is>
      </c>
      <c r="J8822">
        <f>HYPERLINK("https://www.weblio.jp/content/略奪", "词义详情")</f>
        <v/>
      </c>
      <c r="K8822">
        <f>HYPERLINK("https://yourei.jp/略奪", "查看例句")</f>
        <v/>
      </c>
    </row>
    <row r="8823">
      <c r="A8823" t="inlineStr">
        <is>
          <t>理由</t>
        </is>
      </c>
      <c r="B8823" t="inlineStr">
        <is>
          <t>成功</t>
        </is>
      </c>
      <c r="C8823" t="inlineStr">
        <is>
          <t>読み方：りゆう
１物事がそうなった、また物事をそのように判断した根拠。わけ。子細(しさい)。事情。「健康上の—で辞職する」
２いいわけ。口実。「風邪を—に休む」
３哲学で、論理的関係においては結論に対する前提、実在的関係においては結果に対する原因。根拠。⇔帰結。
[補説]書名別項。→理由</t>
        </is>
      </c>
      <c r="D8823" t="inlineStr">
        <is>
          <t>理由付け；理由づけ；理由なき；理由通知；理由ハ</t>
        </is>
      </c>
      <c r="E8823" t="inlineStr">
        <is>
          <t>わけ；元；由来；事情；きっかけ</t>
        </is>
      </c>
      <c r="F8823" t="inlineStr">
        <is>
          <t>同じ理由；大きな理由；主な理由；正当な理由；どんな理由</t>
        </is>
      </c>
      <c r="G8823" t="inlineStr">
        <is>
          <t>理由別長期欠席者数；理由の原理</t>
        </is>
      </c>
      <c r="H8823" t="n">
        <v>29</v>
      </c>
      <c r="I8823" t="inlineStr">
        <is>
          <t>様々な理由から兵役を拒否する人間も増えてきており問題となっている。；理由はファンやスポンサーから支持が得られなかった為と見られている。；これが原核生物が細胞サイズをあまり拡大できない理由の一つといえる。；しかしながら費用の理由から、どちらの提案も成功することはなかった。；初めてこれらの説に理由付けを与えたのがモリス・ドゥラフォスである。；しかし、その単純な対立構図はより理由が鮮明になり熱を帯びていった。；理由はわからないが、この手の論争に飽き飽きしていたのかもしれない。；再び病気が悪化したという理由もあるが、政治家を目指したからでもある。；チューリングテストが一般的に言う知性を試験できない理由は二つある。；MSNは廃止理由としてユーザーの減少、管理的な問題等をあげている。；このような理由で造られた観測施設が天文台の始まりであると考えられる。；ただし尊重すべき理由があるときはそれ以下の年齢でも認められる場合がある。；軍事的理由から、ドイツとの国境線はほぼ最短となるように調整された。；映画同様東京に比較的近いという理由からロケ地撮影されるドラマが多い。；様々な理由から物語の詳細は小説と映画では異なっている。；しかし、政治的な理由で輸出ができなくなるなど不安定な要素も含んでいる。；特に棒でなければならない理由はなく、海外ではカードやチップも使われる。；ただしそれは絶対ではなく、適切な理由があれば複数同時提案も認められる。；次のような理由で、一般的には分散学習のほうが効率的だと言われている。；同じ理由で、地球から見て逆行する期間も8日から15日まで変化する。；以上の理由から、司令部またはその近くには将官が1枚以上あるとよい。；体重制を取らなくても勝負が成立する理由の一つもここにある。；また信仰上の理由により兵役免除も可能であるが、これも女性のみである。；さまざまな理由が挙げられているが、中でも言葉の壁が大きかったと。；鉄道が自動車より安全であることの理由として、次のようなことが挙げられる。；極端な場合、実際には統治していない場所を政治的理由から首都と主張することもある。；TIFFは画像を編集する中間段階で用いることが下記のような理由で効果的である。；唯一神が皇帝である理由は、「アッラーフの他に王は無いため」である。；これらのうちのいくつかは、歴史的あるいは管理上の理由から複数の設備を持っている。</t>
        </is>
      </c>
      <c r="J8823">
        <f>HYPERLINK("https://www.weblio.jp/content/理由", "词义详情")</f>
        <v/>
      </c>
      <c r="K8823">
        <f>HYPERLINK("https://yourei.jp/理由", "查看例句")</f>
        <v/>
      </c>
    </row>
    <row r="8824">
      <c r="A8824" t="inlineStr">
        <is>
          <t>流域</t>
        </is>
      </c>
      <c r="B8824" t="inlineStr">
        <is>
          <t>成功</t>
        </is>
      </c>
      <c r="C8824" t="inlineStr">
        <is>
          <t>読み方：りゅういき
河川の流れに沿う地域。また、河川に流れ込む降水の降り集まる地域。集水地域。その河川の分水界に囲まれた地域。「—面積」</t>
        </is>
      </c>
      <c r="D8824" t="inlineStr">
        <is>
          <t>流域周辺；流域住民；流域一帯；流域自治体；流域内</t>
        </is>
      </c>
      <c r="E8824" t="inlineStr">
        <is>
          <t>盆地；流域面積</t>
        </is>
      </c>
      <c r="F8824" t="inlineStr">
        <is>
          <t>川下流域；長江流域；川中流域；川流域；中下流域</t>
        </is>
      </c>
      <c r="G8824" t="inlineStr">
        <is>
          <t>流域下水道；流域圏；流域雨量指数</t>
        </is>
      </c>
      <c r="H8824" t="n">
        <v>29</v>
      </c>
      <c r="I8824" t="inlineStr">
        <is>
          <t>このインダス河流域の都市社会では、農業が重要な役割を果たしていた。；長江流域から興った王朝が中国を統一したのはこれが唯一のことである。；ドニエプル川流域では古代よりさまざまな民族が生活の拠点を築いてきた。；農業版河川総合開発ともいえるこの事業は北上川流域でも強力に実施された。；流域の播磨国府の市から市川と呼ばれるようになったと考えられている。；なお、各県内でも河川の流域や交通事情などによって細かに違いがある。；南宋時代には長江流域の開発がさらに進められ経済的には絶頂を迎えた。；その流域には集落が点在したため、道路も東西交通路が古くより発達した。；町の形の上では平山川の流域が南に突き出しており、八幡岳を境とする。；フルリ人国家の中心であったハブール川流域はアッシリアの州となった。；州人口の大部分は州南部のセントローレンス川流域に居住している。；しかし、流域の市街地化は今も続いており、なお大きな課題となっている。；このため山東省は黄河を境に北は海河流域、南は淮河流域となっている。；このため流域の住民は厳しい水供給を余儀なくされていた。；また上方から運ばれたと見られる雛人形が流域の旧家に多く残されている。；テムズ川は次のように流域での伝統的な郡境界線として使われている。；ヴォルガ流域にはロシアの人口の4割が居住し、その活動の影響は大きい。；流域中央部で砂漠化が進行しており、環境に大きな影響が出ている。；明治初期までは流域ごとに別の名称が使用されていた。；流域は現在は檜山振興局管内であるが、かつては後志国の範囲であった。；このことから、当駅は釜石線で唯一気仙川流域に所在する駅となっている。；おもにパスタやパンを主食とし、北部のポー川流域では米をよく食べる。；江戸時代以前は各流域で異なる名前で呼ばれていた。；流域各国の共同管理のためにセネガル川開発機構が組織されている。；この結果鉄道の復活が不可能となり、太田川流域鉄道再生協会は活動を断念。；ユーフラテス川流域における初期の定住はその上流域に限られていた。；同年、オーレル・スタインがインダス川上流および流域を調査旅行した。；ダム完成後50年ほど経過するが、流域では何度か洪水災害に襲われている。；したがって、歴史的に流域の暮らしの変化により水質も大きく変化してきた。</t>
        </is>
      </c>
      <c r="J8824">
        <f>HYPERLINK("https://www.weblio.jp/content/流域", "词义详情")</f>
        <v/>
      </c>
      <c r="K8824">
        <f>HYPERLINK("https://yourei.jp/流域", "查看例句")</f>
        <v/>
      </c>
    </row>
    <row r="8825">
      <c r="A8825" t="inlineStr">
        <is>
          <t>留学</t>
        </is>
      </c>
      <c r="B8825" t="inlineStr">
        <is>
          <t>成功</t>
        </is>
      </c>
      <c r="C8825" t="inlineStr">
        <is>
          <t>読み方：りゅうがく
［名］(スル)他の土地、特に外国に在留して学ぶこと。「イギリスへ—する」「内地—」</t>
        </is>
      </c>
      <c r="D8825" t="inlineStr">
        <is>
          <t>留学中(8%)；留学経験(2%)；留学先(2%)；留学時代；留学後</t>
        </is>
      </c>
      <c r="F8825" t="inlineStr">
        <is>
          <t>ドイツ留学；フランス留学；イギリス留学；米国留学；日本留学</t>
        </is>
      </c>
      <c r="G8825" t="inlineStr">
        <is>
          <t>留学制度；留学エージェント；留学ジャーナル；留学保険</t>
        </is>
      </c>
      <c r="H8825" t="n">
        <v>29</v>
      </c>
      <c r="I8825" t="inlineStr">
        <is>
          <t>この間の働きが認められて1907年からドイツに留学することとなる。；学校公認のプログラムで留学した場合は、留学中の単位を認定している。；これらのケースでは各大学への授業料とは別途に留学費用が必要となる。；そこから日米での音楽教育の違いを感じ、アメリカ留学に至ったという。；この様子に慌てたホリプロから、ニューヨークへの歌留学を提案された。；早い時期に留学を終えて日本に帰国した卒業者は日本で運動の指導に当たった。；また、留学や研究等で青森県内に在住している外国人をゲストに迎える。；アメリカ留学の次に英語圏留学先として多いのがオーストラリアである。；近年の著名人では元首相の小泉純一郎が留学したことでも知られている。；同年よりイギリス・アメリカ合衆国・ドイツに留学し、1923年帰国。；フランスに留学した日本人画家が多数そのアトリエを訪れたことも知られる。；その頃には、画家としてフランスへ留学したいと希望するようになる。；また、中学生に限りニュージーランドへ交換留学する制度も新設された。；英語学校に入る為には英語力は全く必要ないので誰でも留学ができるのも特徴。；小学生時代はテニスの選手であり、海外へテニス留学をした経験を持つ。；パールの元へ留学していた寺尾新もこのハエの個体群成長研究を行った。；ドイツに留学した主人公の手記の形をとり、ドイツでの恋愛経験を綴る。；フランス留学の経験から陸軍の近代化案を提唱するようになった。；高校卒業後フランス留学の時には、周囲から中学生だと勘違いされていた。；これを聞きつけたメジャーリーグ関係者からアメリカ留学を薦められた。；李垠は皇太子時代から東京に留学しており、その後も東京に居住した。；日本以外の法制化国に留学し、職業大学を卒業した者は別に存在する。；この手紙を契機に二人の関係が始まり、後の河合の留学先にも影響を与えた。；もはや条約改正どころではなく使節団は各国への留学が主要目的となった。；そんな中、長年アメリカへ留学していた長女・富貴子が突然帰国した。；モスクワ中山大学では留学直後に各学生にロシア名が与えられた。；高校時代は、卒業後にイギリス留学という道を考えた時期もあったという。；龍泉寺には、廉太郎がドイツ留学時に愛用していた火鉢が残されている。；この世界最初の試合の18人の中には留学中だった石川源三郎が含まれていた。</t>
        </is>
      </c>
      <c r="J8825">
        <f>HYPERLINK("https://www.weblio.jp/content/留学", "词义详情")</f>
        <v/>
      </c>
      <c r="K8825">
        <f>HYPERLINK("https://yourei.jp/留学", "查看例句")</f>
        <v/>
      </c>
    </row>
    <row r="8826">
      <c r="A8826" t="inlineStr">
        <is>
          <t>留学生</t>
        </is>
      </c>
      <c r="B8826" t="inlineStr">
        <is>
          <t>成功</t>
        </is>
      </c>
      <c r="C8826" t="inlineStr">
        <is>
          <t>読み方：りゅうがくせい
外国に滞在して学術・技術などを学ぶ学生。「国費—」→就学生</t>
        </is>
      </c>
      <c r="D8826" t="inlineStr">
        <is>
          <t>留学生たち(3%)；留学生受け入れ；留学生向け；留学生派遣；留学生寮</t>
        </is>
      </c>
      <c r="F8826" t="inlineStr">
        <is>
          <t>外国人留学生；中国人留学生；給費留学生；海外留学生；女子留学生</t>
        </is>
      </c>
      <c r="H8826" t="n">
        <v>29</v>
      </c>
      <c r="I8826" t="inlineStr">
        <is>
          <t>予選会に出場しなかった選手や予選会に出場した留学生は選出されない。；しかし、当初から留学生はアジア特に中国に偏ることが予想されていた。；そのため、経済格差のある韓国からも多数の留学生が日本にやってきた。；留学生の父親は後に奨学金財団を設立し、アジア出身の学生を援助した。；距離等の関係で通学が困難な学生や、留学生などが希望制で入寮できる。；当時、恋をしていた留学生のマーガレット・ハーレーに向けて書いた曲。；留学生の場合俸給は得られないが、ほぼ同程度の額の奨学金制度がある。；海外留学生と、共同プログラムに所属する日本人学生の交流の場も提供する。；毎年海外からの留学生を受け入れ、校内からの留学も積極的に行っている。；外国からの留学生は、ビザの条件上この期間に授業を取る必要はない。；臨時建築局は内務省に移管され、ドイツへの留学生は帰国を命じられた。；このセンターで所定のコースを修了した留学生は大学学部に進学できる。；大学や短期大学に設置されている、留学生別科以外の別科を以下に記す。；海外120を超える国と地域から5000人以上の留学生が在籍している。；常に世界の流れを意識し、毎年数人の学生をヨーロッパへ留学生させていた。；また海外の留学生のために奨学金を設立して、成績が優秀な学生に提供する。；また留学生の派遣にも力を入れ、日本初の女子留学生の派遣も実現させた。；折田は、森やほかの留学生仲間と頻繁に手紙や書籍のやり取りをしている。；その後もヨーロッパの留学生を受け入れるなど、国際化を推進している。；一高時代はボート部で活動し、また中国人留学生たちとの交流を深める。；この留学生に選抜された若者の一人が、さきの兄・山川健次郎である。；洋務運動にも参加し、洋式の兵器工場の設立・留学生の派遣などを行った。；約100室の居室に、留学生・元留学生あわせて十数人が生活していた。；このプログラムでは留学生が生徒たちの家庭にホームステイをする。；主に定員割れになった大学では留学生の獲得を行おうとしているところがある。；長期留学生を受け入れたことのある国は以下の通りである。；同じ理由で日本からの留学生は上智大学からの学生が殆どである。；は、どの日本人留学生に向かっても、必ず彼の活動状況を尋ねたと伝えられる。；聊城大学は積極的に国際交流を推進して、留学生教育に力を入れています。</t>
        </is>
      </c>
      <c r="J8826">
        <f>HYPERLINK("https://www.weblio.jp/content/留学生", "词义详情")</f>
        <v/>
      </c>
      <c r="K8826">
        <f>HYPERLINK("https://yourei.jp/留学生", "查看例句")</f>
        <v/>
      </c>
    </row>
    <row r="8827">
      <c r="A8827" t="inlineStr">
        <is>
          <t>流行</t>
        </is>
      </c>
      <c r="B8827" t="inlineStr">
        <is>
          <t>成功</t>
        </is>
      </c>
      <c r="C8827" t="inlineStr">
        <is>
          <t>読み方：りゅうこう
［名］(スル)
１世間に広く行われ、用いられること。服装・言葉・思想など、ある様式や風俗が一時的にもてはやされ、世間に広まること。はやり。「ミニスカートが—する」「—を追う」「—遅れ」
２病気などが、急速な勢いで世の中に広がること。「はしかが—する」
３蕉風俳諧で、句の姿が、その時々を反映して変化していくもの。→不易流行(ふえきりゅうこう)</t>
        </is>
      </c>
      <c r="D8827" t="inlineStr">
        <is>
          <t>流行し始め；流行性；流行地；流行語；流行期</t>
        </is>
      </c>
      <c r="E8827" t="inlineStr">
        <is>
          <t>人気；評判；通用；好評；風潮</t>
        </is>
      </c>
      <c r="F8827" t="inlineStr">
        <is>
          <t>当時流行；新型コロナウイルス感染症流行；最新流行；新型コロナウイルス流行；ペスト流行</t>
        </is>
      </c>
      <c r="G8827" t="inlineStr">
        <is>
          <t>流行り；流行語；流行作家；流行ら；流行病</t>
        </is>
      </c>
      <c r="H8827" t="n">
        <v>29</v>
      </c>
      <c r="I8827" t="inlineStr">
        <is>
          <t>再び化粧が流行した背景にはヨーロッパとイスラーム社会の争いがある。；若干画面が湾曲したテレビも一時流行したが同様にあまり普及しなかった。；ほかにも当時の日本において毛沢東思想が新左翼の一部で流行していた。；日本では1990年頃に流行し、同一形式の類似作品が多数登場した。；西洋中世に何度も大流行したペストの際にも、ペスト除けに利用された。；近年ではアニメなどの流行により、その対象は広い世代に拡大しつつある。；この姿勢はWeb小説のコミカライズが流行した以降も継続している。；日本では1970年代前半の石油ショックの頃に小規模な流行があった。；過去には、日本やヨーロッパなどでもマラリアが流行したと考えられている。；特に連載末期は流行に敏感であり、時事ネタが非常に多くなってきていた。；流行によっても大きく左右されるため一概に言えないものも存在する。；ただ、平安時代の日本で狂犬病が流行していたかどうかは不明である。；絶望的な状況の中で、スー族のゴースト・ダンス流行はさらに高まった。；一部の大規模な流行では100万羽以上の鳥が死ぬ場合もある。；大薙刀は大太刀に対抗するように出現し、同じように流行が終わっている。；ちなみに、ペグをシャーラー社のものに交換するのも当時の流行であった。；御用理髪師に髭の方向を整えさせていたのが大流行したものであるという。；アメリカで本格的に流行したのは、第二次世界大戦後のことである。；代わりに、コスプレ系のパーティーでパラパラが流行する現象があった。；エリザベス1世の時代になると上流階級で天蓋の付いたベッドが流行した。；沖縄県や東南アジアの様な流行地では、症状は一般的に軽いといわれている。；赤外線通信機能などを搭載し、通信機能を生かしたゲームが流行した。；流行など気にせず、見たままを描かなければならないんだ。；また、山菜採りの流行は以下に挙げるようなさまざまな問題を生み出した。；ほか、市内各地で末法思想のころに流行した経塚がいくつか発見されている。；女性の間で洋髪が流行して、七三分け・髪の毛の耳隠しなどが行われた。；記事によると意外にも流行や新しい物に敏感のようである。；そんな中、キールの流行が日本のレストランで発生したのである。；一般的に、マラリアは戦争時・戦後直後に大流行する傾向がある。</t>
        </is>
      </c>
      <c r="J8827">
        <f>HYPERLINK("https://www.weblio.jp/content/流行", "词义详情")</f>
        <v/>
      </c>
      <c r="K8827">
        <f>HYPERLINK("https://yourei.jp/流行", "查看例句")</f>
        <v/>
      </c>
    </row>
    <row r="8828">
      <c r="A8828" t="inlineStr">
        <is>
          <t>流出</t>
        </is>
      </c>
      <c r="B8828" t="inlineStr">
        <is>
          <t>成功</t>
        </is>
      </c>
      <c r="C8828" t="inlineStr">
        <is>
          <t>読み方：りゅうしゅつ
［名］(スル)
１流れて外へ出ること。「事故で廃液が—する」⇔流入。
２内部のものが、外部に出て行ってしまうこと。「人口の—が著しい山村」「優秀な頭脳が海外へ—する」</t>
        </is>
      </c>
      <c r="D8828" t="inlineStr">
        <is>
          <t>流出する(12%)；流出河川；流出量；流出口；流出路</t>
        </is>
      </c>
      <c r="E8828" t="inlineStr">
        <is>
          <t>流れ；発射；流通；泉；射撃</t>
        </is>
      </c>
      <c r="F8828" t="inlineStr">
        <is>
          <t>海外流出；国外流出；大量流出；溶岩流出；金流出</t>
        </is>
      </c>
      <c r="G8828" t="inlineStr">
        <is>
          <t>流出論</t>
        </is>
      </c>
      <c r="H8828" t="n">
        <v>29</v>
      </c>
      <c r="I8828" t="inlineStr">
        <is>
          <t>現在では大量に流出しているため、比較的安価な価格で取引されている。；原因は産業の衰退・郊外移転による人口の郊外・州外への流出であった。；完全なる一者から段階を経て世界が流出して生み出されたとする思想。；流出した無修正のわいせつ画像が投稿された件についてであったという。；これは試験日が全国まちまちで問題の流出を防ぐためだと考えられる。；江戸期にも洪水による橋の流出や水道施設の破壊は頻繁に発生していた。；明治18年の流出の際、下流の橋を守るために多くの水防夫が活躍した。；治療に伴う初期の血糖降下作用は尿中に糖が流出することにあるという。；ノルニッケルは、同社のある施設での流出が原因であることを認めた。；そもそも表土を流出させるような開発を続けていては生活できなくなってしまう。；同工場から阿賀野川へ流出した水銀が発端となり新潟水俣病が発生した。；橋の数が少ないのは意図的なものでマンハッタンからの経済流出を防ぐためである。；ダム本体も全面決壊とは至らなかったが、設備の一部が破損・流出した。；この結果、多くのユダヤ人若者がポーランドやハンガリーに流出した。；レンヌの周囲の農業地域でしばしば集中して流出するからである。；川からの流出でもっとも見えやすいのは、海や湖沼に流れ込む部分である。；また、軍部は敗戦後に民間に流出した銃の買戻しおよび特赦を実施した。；海外流出を知った清朝政府は、学部を派して北京へと文書を移動させた。；こうした土砂の流出および蓄積を防ぐためにさまざまな対策が取られている。；坑内からの浸透水の流出が続く限り廃止することができないでいる。；感情による涙の場合は通常の排出では間に合わず、涙が目の外へ流出する。；この時代に水の流出方向は伊勢湾方面から京都・大阪方面に変わったと考えられている。；上部または下部に液体を流出させるための開閉装置が取り付けられている。；ここから個体が脱走、もしくは成体や卵が流出したことも考えられる。；大量の船荷が流出し、船員たちは長浜の町に留め置かれることになった。；ところが開発中のポリマーシステムが流出し犯罪に使用されてしまう。；流入人口がほぼ一定だったにもかかわらず、流出人口が激減したためである。；細胞内ではイオンの形で存在するため、細胞が死ぬと細胞外へ流出しやすい。；連続走行時およびインターチェンジへの流出時に利用可能である。</t>
        </is>
      </c>
      <c r="J8828">
        <f>HYPERLINK("https://www.weblio.jp/content/流出", "词义详情")</f>
        <v/>
      </c>
      <c r="K8828">
        <f>HYPERLINK("https://yourei.jp/流出", "查看例句")</f>
        <v/>
      </c>
    </row>
    <row r="8829">
      <c r="A8829" t="inlineStr">
        <is>
          <t>流暢</t>
        </is>
      </c>
      <c r="B8829" t="inlineStr">
        <is>
          <t>成功</t>
        </is>
      </c>
      <c r="C8829" t="inlineStr">
        <is>
          <t>読み方：りゅうちょう
［名・形動］言葉が滑らかに出てよどみないこと。また、そのさま。「—な英語で話す」
[派生]りゅうちょうさ［名］</t>
        </is>
      </c>
      <c r="D8829" t="inlineStr">
        <is>
          <t>流暢な日本語(11%)；流暢な英語(10%)；流暢なフランス語(2%)；流暢な中国語；流暢なロシア語</t>
        </is>
      </c>
      <c r="E8829" t="inlineStr">
        <is>
          <t>なめらか；なだらか；円滑；堪能；爽やか</t>
        </is>
      </c>
      <c r="F8829" t="inlineStr">
        <is>
          <t>流暢なウェールズ語</t>
        </is>
      </c>
      <c r="H8829" t="n">
        <v>29</v>
      </c>
      <c r="I8829" t="inlineStr">
        <is>
          <t>また、中国に住んでいた時期があり、中国語を流暢に話すことができる。；でも、これだけ流暢に日本語を話すのだから、たぶん日本人なのだろう。；彼は典型的なアイヌの顔をしていて、日本語を流暢に話すことが出来る。；女の方は流暢に日本語をしゃべるが男の方は日本語は通じないようだ。；そしてアメリカ人にも優る様な、流暢な英語で次ぎのやうな事をいつた。；フランスとアメリカを行き来して育ったため、フランス語を流暢に話す。；若い頃にスイスとフランスで過ごしたため、流暢なフランス語を話す。；流暢な日本語を操り、頭の中でものを考えるときも日本語で考えている。；ところが、カラザーはそのような装置を使わずに流暢に英語を話したのだ。；日本領有時代の台湾で教育を受けている関係で、流暢な日本語を話す。；チャミクロ語の話者の多くはチャミクロ語を流暢に話すことができない。；ドイツ語を流暢に喋ることができ、イタリア語も少し話すことができる。；李香蘭は、中国語と日本語ともに流暢に歌え、中国語版も録音している。；ミハイルは流暢な英語とフランス語を話し、互いに英語で文通を行った。；いつ「右手に見えますのはー」と言い出してもいいくらいに流暢な喋りだ。；いままで聞いたことのない声だったが、流暢なアメリカ英語であった。；彼はフランス語の流暢な会話の意味を何一つ理解することができなかったのだ。；また、英語で行われた各国外メディアのインタビューにも流暢な英語で応じた。；ドイツ語を使うのは流暢でなかったし明白な表現が困難であった。；語学に堪能で日本語・英語・中国語を流暢に話すことが出来る国際人である。；上海語を理解しており、中国上海の宗教活動でそれを流暢に使用している。；流暢に言葉を話し、テレパシー機能や敵の能力を分析する機能を持っている。；スクァントはヨーロッパに滞在したことがあり、英語を流暢に話した。；日本に着く頃には流暢な会話ができ、通訳を依頼する必要がないほどであった。；日本語を使うシーンでは、各俳優とも流暢に日本語を話している。；同映画のメイキング映像でも流暢な英語でインタビューに応えていた。；英語の他に流暢な日本語を話し、日本のメディアには日本語で対応している。；しかし数分もたたぬうちに、流暢な日本語が聞こえ扉が外から引き開けられた。；対照的な年長者ふたりを眺めながら、カレンは流暢に計画を語り出した。</t>
        </is>
      </c>
      <c r="J8829">
        <f>HYPERLINK("https://www.weblio.jp/content/流暢", "词义详情")</f>
        <v/>
      </c>
      <c r="K8829">
        <f>HYPERLINK("https://yourei.jp/流暢", "查看例句")</f>
        <v/>
      </c>
    </row>
    <row r="8830">
      <c r="A8830" t="inlineStr">
        <is>
          <t>流通</t>
        </is>
      </c>
      <c r="B8830" t="inlineStr">
        <is>
          <t>成功</t>
        </is>
      </c>
      <c r="C8830" t="inlineStr">
        <is>
          <t>読み方：りゅうつう
［名］(スル)
１空気や水などが、滞らずに流れかようこと。「空気の—が悪い」「水路の—を妨げる」
２広く通用すること。また、広く行われること。「世間に—している話」
３貨幣・商品などが経済界や市場で移転されること。特に、商品が生産者から消費者に渡ること。「日銀券は法律の強制通用力によって—する」「—センター」</t>
        </is>
      </c>
      <c r="D8830" t="inlineStr">
        <is>
          <t>流通する(11%)；流通量(4%)；流通センター；流通ルート；流通網</t>
        </is>
      </c>
      <c r="E8830" t="inlineStr">
        <is>
          <t>流れ；普及；広がる；伝わる；流出</t>
        </is>
      </c>
      <c r="F8830" t="inlineStr">
        <is>
          <t>多く流通；一般流通；商品流通；現在流通；全国流通</t>
        </is>
      </c>
      <c r="G8830" t="inlineStr">
        <is>
          <t>流通経路；流通業；流通業者；流通過程；流通盤</t>
        </is>
      </c>
      <c r="H8830" t="n">
        <v>29</v>
      </c>
      <c r="I8830" t="inlineStr">
        <is>
          <t>株式会社が発行する株式の流通量を増加させたいときなどに利用される。；その主体は企業であり、これが物財やサービスを生産し流通させている。；市場は商業学上は市場現象のうち特に商品の流通を強調して把握される。；またバックナンバーも通常の本と同じように流通し、買うことが出来る。；時期的に沙織事件の影響を間接的に受け、流通に乗っていた時期が短い。；一般に流通しているほとんどの温度計はこの二次温度計に分類される。；また、日本国内で発行され、又は日本国内で流通するものに限られる。；日本で流通しているパイナップルの大半はフィリピンからの輸入物である。；商品とは、経済活動において生産・流通・交換される物財のことである。；最も問題となったのはレコードのプレスと流通ルートであった。；材木として栽培されている訳ではないので一般に流通する事は少ない。；日本でもその肉が、流通量こそ多くないものの食用とされている。；庶民に流通するようになったのは改革開放政策実施後のことである。；発酵バターは手間がかかり高額製品が多いこともあり、流通量は少ない。；以後このような名目貨幣が丁銀の発行・流通を凌駕するようになった。；現在でも第三世界には旧ソ連製の武器が大量に流通している。；日本で流通している主要な飲料用ペットボトルの容量は以下のとおり。；なお、括弧内はある程度流通していると思われる日本語の慣用読みである。；現在ではむかごの状態から畑で栽培されており、流通しているのは栽培ものが多い。；流通している肉は、牛肉が最も多く安価であり、豚肉の方が高価である。；そのため市内には流通関係の拠点が多数存在する。；日本国内では、出荷時期の違いによって両方のバージョンが流通した。；直接依頼していただくことを望んでいるため、流通している商品はごく僅かである。；しかし銀貨の一部は現在でも稀に流通していることがある。；書店は流通ルートを持たない出版社と直接取引するよりも早く入手できる。；そこで考え出されたのが当時流通していた50銭紙幣の利用である。；その結果「特産物」と呼び得る各地域の特産物が成立・流通するに至った。；この数は56億枚というユーロ硬貨の流通量に対して少ないものである。；シェーブガードは、日本で最も広く流通しているシェービング剤である。</t>
        </is>
      </c>
      <c r="J8830">
        <f>HYPERLINK("https://www.weblio.jp/content/流通", "词义详情")</f>
        <v/>
      </c>
      <c r="K8830">
        <f>HYPERLINK("https://yourei.jp/流通", "查看例句")</f>
        <v/>
      </c>
    </row>
    <row r="8831">
      <c r="A8831" t="inlineStr">
        <is>
          <t>量</t>
        </is>
      </c>
      <c r="B8831" t="inlineStr">
        <is>
          <t>成功</t>
        </is>
      </c>
      <c r="C8831" t="inlineStr">
        <is>
          <t>読み方：はか
１仕事などの進みぐあい。やりおえた量。
２田植え・稲刈りなどのとき、当てられた分担の区画。
「秋の田の穂田の刈り—か寄り合はばそこもか人の我(わ)を言(こと)なさむ」〈万・五一二〉
３目当て。あてど。
「からをだにうき世の中にとどめずはいづこを—と君もうらみむ」〈源・浮舟〉</t>
        </is>
      </c>
      <c r="D8831" t="inlineStr">
        <is>
          <t>量体；量投与；量増加；量削減；量品</t>
        </is>
      </c>
      <c r="E8831" t="inlineStr">
        <is>
          <t>数；高；額；大きさ；寸法</t>
        </is>
      </c>
      <c r="F8831" t="inlineStr">
        <is>
          <t>膨大な量；搭載量；埋蔵量；収穫量；流通量</t>
        </is>
      </c>
      <c r="G8831" t="inlineStr">
        <is>
          <t>量化；量子力学；量子；量産型；量的</t>
        </is>
      </c>
      <c r="H8831" t="n">
        <v>29</v>
      </c>
      <c r="I8831" t="inlineStr">
        <is>
          <t>とは、量を数値で表すための基準となる決められた一定量のことである。；休載になることもしばしばで作品の量は多くなく、本人も自覚している。；この高い金属存在量を説明するために、主に3つの理論が提唱されている。；直接測定とは対象と基準量となるものを直接比較させて測定量を得ることである。；これは比較的簡単な形に得られ、いろいろな局面で現れる重要な量である。；貨物輸送量減少の原因は道路網の整備によるトラック輸送への転換である。；中央銀行はこの通貨量を調整する権限を持つため大きな影響力を持つ。；そして電気は一種類だとし、強さや量の違いが様々な現象を引き起こすとした。；金の量が足りなかった者は、男だろうと女だろうと手首が斬り落とされた。；混合されている試料を計測する単位は、質量や物質量であることが多い。；ねじの山と谷の間隔と移動量は以下のようにピッチとリードで表される。；中国産食品の安全性は輸入量と後述の環境汚染と関係して問題となる。；大人のカナダ人が一年で消費するチーズの2500人分の量に匹敵する。；後述するように、このような役割を果たす物体固有の量が、質量である。；この図では酸素原子のうち最も存在量が多い 16 Oを表している。；これは価格が上がるほど需要量が減少することによる。；他にもさまざまな量が年当たりで算出されるが、毎年は省略することが多い。；これは、その統計量の性質をよりよく反映するためとされている。；他の量とは関係せず完全に独立して与えられる7つのSI基本単位の一つである。；は、最も初等的には、場所をとり一定の量をもつもののことである。；こうした調整の結果、需要量と供給量が一致する価格が実現すると考えられる。；このような効果を得るには、シャフト内の空気量が不変でなければならない。；この時、 x に依存する量 g が のように変換されると仮定する。；また需要に対して発電量が不足する場合は、他の電源に頼ることになる。；また、資源埋蔵量にも限りがあるため持続性からも問題視されている。；同じ時刻に場の量が同じ値をとる点の集まりによってできる面を波面という。；その爵位により、土地の保有量や奴婢数など生活水準が決められていた。；しかし現在の潮汐散逸の量は観測されている熱流量とは矛盾しない。；飲用量が多い場合、急な飲酒は振戦せん妄を起こして致命的となりうる。</t>
        </is>
      </c>
      <c r="J8831">
        <f>HYPERLINK("https://www.weblio.jp/content/量", "词义详情")</f>
        <v/>
      </c>
      <c r="K8831">
        <f>HYPERLINK("https://yourei.jp/量", "查看例句")</f>
        <v/>
      </c>
    </row>
    <row r="8832">
      <c r="A8832" t="inlineStr">
        <is>
          <t>寮</t>
        </is>
      </c>
      <c r="B8832" t="inlineStr">
        <is>
          <t>成功</t>
        </is>
      </c>
      <c r="C8832" t="inlineStr">
        <is>
          <t>読み方：りょう
［常用漢字］　［音］リョウ（レウ）（呉）（漢）　［訓］つかさ
１役人のいる建物。また、同僚の役人。「寮属／図書寮(ずしょりょう)」
２寄宿舎。「寮生・寮母／学寮・入寮・独身寮」
３数寄屋。茶室。「茶寮」
［名のり］いえ・とも・まつ
［難読］主税寮(ちからのつかさ)</t>
        </is>
      </c>
      <c r="D8832" t="inlineStr">
        <is>
          <t>寮番；寮祭；寮室；寮食堂；寮制</t>
        </is>
      </c>
      <c r="E8832" t="inlineStr">
        <is>
          <t>宿舎；寄宿舎；社宅；学寮</t>
        </is>
      </c>
      <c r="F8832" t="inlineStr">
        <is>
          <t>学生寮；兵学寮；各寮；南寮；同じ寮</t>
        </is>
      </c>
      <c r="G8832" t="inlineStr">
        <is>
          <t>寮長；寮生活；寮歌；寮母；寮監</t>
        </is>
      </c>
      <c r="H8832" t="n">
        <v>29</v>
      </c>
      <c r="I8832" t="inlineStr">
        <is>
          <t>さらに他にも寮弟など独特な伝統や制度に守られた特殊な場所であった。；さらに八省のもとには職・寮・司と呼ばれる実務機関が設置されていた。；これに反発した有力氏族が相次いで寮の外に一族用の寄宿舎を建設した。；仕事がなくなったため、以降高校と寮を往復するだけの日々を送った。；哲学に興味を持ち、寮の友人たちと自己解放について徹夜で議論をした。；調理室があり、簡単な食事なども寮の中で作れるが、使用は制限される。；帰国生徒の中には親元を離れて敷地内に併設された寮に入る生徒もいる。；特に同時期に新制と旧制の学生が同居した寮では事実上の継承も行われた。；そして選手は中学生からは皆クラブの寮に入ることが義務づけられている。；撮影に使用された建物は、本作製作時に実在した日本航空西嶺寮である。；アメリカでは大学内の寮に居住する生活スタイルをとる学生が多い。；不登校経験者を対象にした学校でも、寮を設置している場合が多い。；各学生寮はカンタベリー大学に所属しているが寮運営は独立している。；また福利厚生の一環として、社員に社宅や寮を提供している会社も多い。；寮のキャパシティが男子の方が多かったことが要因とされている。；校舎かと間違われるほどの寮や専用の球場などの充実した設備をもつ。；当時は体育館がなく、独身寮の中庭にコートを仮設して練習したという。；この一件で運転免許証を球団預かりにされ、寮の掃除当番をさせられた。；本作品の企画は、TBSの赤坂の寮で週に1回会議が行われて進められた。；舞台の蒼陵高校の寮は、作者の地元にある弟の母校がモデルになっている。；寮はなく近くのアパートを借りたり、実家から通学などをしている。；厳しい規則が存在する家庭や下宿、寮で決められていることが多い。；推薦寮は他大学の学生も入居する寮で、様々な学生と交流することができる。；そのような学生に対応するための寮が整備されている。；ただ、1000人以上が寮を与えられていない中、焼け石に水に見える。；敷地の北端にある高層の寮にカーマイケル・タワーと名付けられている。；また、緑が丘寮の寮生は入学式会場で出身を行うのが通例となっている。；その後も愛愛寮の活動は妻の照子を初めとするその家族によって継続された。；名称の由来は、毎年春に咲く寮庭の桜が大変立派であることに因む。</t>
        </is>
      </c>
      <c r="J8832">
        <f>HYPERLINK("https://www.weblio.jp/content/寮", "词义详情")</f>
        <v/>
      </c>
      <c r="K8832">
        <f>HYPERLINK("https://yourei.jp/寮", "查看例句")</f>
        <v/>
      </c>
    </row>
    <row r="8833">
      <c r="A8833" t="inlineStr">
        <is>
          <t>利用</t>
        </is>
      </c>
      <c r="B8833" t="inlineStr">
        <is>
          <t>成功</t>
        </is>
      </c>
      <c r="C8833" t="inlineStr">
        <is>
          <t>読み方：りよう
［名］(スル)
１（物の機能・性能を十分に生かして）役立つようにうまく使うこと。また、使って役に立たせること。「遊休地を—する」「いつも地下鉄を—する」「廃物—」「無線LANが—できる喫茶店」「年間500万人が—するサイト」
２（ある目的を達するために）便宜的な手段として使うこと。方便にすること。「特権を—する」「立場を—した卑劣な行為」「親愛の情を—した詐欺事件」</t>
        </is>
      </c>
      <c r="D8833" t="inlineStr">
        <is>
          <t>利用する(15%)；利用できる(7%)；利用される(7%)；利用可能(3%)；利用者</t>
        </is>
      </c>
      <c r="E8833" t="inlineStr">
        <is>
          <t>使用；使う；運用；用いる；実行</t>
        </is>
      </c>
      <c r="F8833" t="inlineStr">
        <is>
          <t>広く利用；相互利用；有効利用；利用率；利用方法</t>
        </is>
      </c>
      <c r="G8833" t="inlineStr">
        <is>
          <t>利用客；利用可能；利用規約；利用権；利用制限</t>
        </is>
      </c>
      <c r="H8833" t="n">
        <v>29</v>
      </c>
      <c r="I8833" t="inlineStr">
        <is>
          <t>道具を作り利用する能力が他の生物よりも長けていることも挙げられる。；機械学習では、機械がデータを利用してその性能を向上させようとする。；PASMOなど相互利用カードのデータは集計・分析の対象にならない。；また、がんなどの異常な細胞と正常細胞を区別することにも利用される。；この性質を利用して、トランジスタなどの半導体素子に利用されている。；現在ではインターネットを利用した電子メディア上で表現されるものもある。；終盤においても以下の欠点があり、利用上の問題点となるときがあった。；その結果、知的創作物を誰でも自由に利用できると説かれることが多い。；人工知能が利用されるようになって以降、法的な問題が顕在化している。；そのため、こうした国々ではデビットカードの普及や利用が進んでいる。；アメリカの空港から来るメキシコ行き航空路の大半が利用している。；多くのプラットフォームで動作し、日本語を含む多くの言語が利用できる。；教育用には独自に簡易ネットワークシステムまで構築して利用していた例もある。；極めて小数の人達しか知らない悪い言葉を私はうつかり用ゐたのである。；高校の高学年生は州のランニングスタート・プログラム利用を選択できる。；このことは、カーネルの通常利用を考慮したものであるに過ぎない。；モデムを利用する人だけカード型モデムを増設して利用するようになった。；しかし、トールキンは単に演出として資料の表面を利用しただけではない。；これのおかげでローマの住むローマ市民は公衆浴場を利用することができた。；昨今の日本語や英語などの形態素解析では統計的な手法が利用される。；また高級車の場合ステータスシンボルとして利用される場合などもある。；野球の試合結果を利用した賭博が一部の人間の間で行われている。；各種複信方式を利用して、送受信を同時に行えるようになっているもの。；このオプションを利用することで編集画面をテレビへ表示できるようになる。；軍隊や警察も偵察、調査、捜査、裁判などのデータ記録に写真を利用する。；新たに発明され急激に性能の向上したトランジスタの利用である。；宮崎平野ではビニールハウスを利用した野菜の促成栽培が行われている。；品詞付与はルールに基づくものから統計に基づくものまで利用される。；有機化学が誕生する以前から人類は様々な有機物を利用していた。</t>
        </is>
      </c>
      <c r="J8833">
        <f>HYPERLINK("https://www.weblio.jp/content/利用", "词义详情")</f>
        <v/>
      </c>
      <c r="K8833">
        <f>HYPERLINK("https://yourei.jp/利用", "查看例句")</f>
        <v/>
      </c>
    </row>
    <row r="8834">
      <c r="A8834" t="inlineStr">
        <is>
          <t>両～</t>
        </is>
      </c>
      <c r="B8834" t="inlineStr">
        <is>
          <t>成功</t>
        </is>
      </c>
      <c r="C8834" t="inlineStr">
        <is>
          <t>読み方：りゃん
《唐音》
１数の2。ふたつ。特に、拳(けん)などでいう。
２「りゃんこ2」に同じ。
「どこの侍か知らねえが、しかつべらしい—が腰をかけてゐるし」〈滑・八笑人・五〉</t>
        </is>
      </c>
      <c r="H8834" t="n">
        <v>0</v>
      </c>
      <c r="J8834">
        <f>HYPERLINK("https://www.weblio.jp/content/両～", "词义详情")</f>
        <v/>
      </c>
      <c r="K8834">
        <f>HYPERLINK("https://yourei.jp/両～", "查看例句")</f>
        <v/>
      </c>
    </row>
    <row r="8835">
      <c r="A8835" t="inlineStr">
        <is>
          <t>両足</t>
        </is>
      </c>
      <c r="B8835" t="inlineStr">
        <is>
          <t>成功</t>
        </is>
      </c>
      <c r="C8835" t="inlineStr">
        <is>
          <t>読み方：りょうあし
左右両方の足。もろあし。両脚(りょうきゃく)。</t>
        </is>
      </c>
      <c r="D8835" t="inlineStr">
        <is>
          <t>両足を大きく；両足を縛ら；両足をぶらぶら；両足をしっかり；両足着氷</t>
        </is>
      </c>
      <c r="F8835" t="inlineStr">
        <is>
          <t>左右両足；両足を大きく広げ；両足をだらり；両足着地；両足を思いきり</t>
        </is>
      </c>
      <c r="G8835" t="inlineStr">
        <is>
          <t>両足タックル</t>
        </is>
      </c>
      <c r="H8835" t="n">
        <v>29</v>
      </c>
      <c r="I8835" t="inlineStr">
        <is>
          <t>男の穴を開けられた両手と両足からは、血がゆっくりとふきだしている。；正式にはビンディングといい、運動時に両足を固定する際に必要となる。；横乗りの、特に両足が板に固定されているものをウェイクボードと呼ぶ。；その時ついに自らの両足で立ち、歩くことができるようになっていた。；正面から見ると、両足の形がMの字に似ていることからこの名前がついた。；女の前に立ちて両足の間に女の膝を入れて時々締めにかかる奴あり。；一人が巨大なノコギリのようなものを対象の両足へ切るように往復させる。；ソロは両足をコーヒー・テーブルにのせて、爪さきをもじもじさせていた。；老人は若者の背後にまわってそのかげのはしを両足でしっかりふまえた。；両足をコートにつけて、腰よりも低い高さで打たなければならない。；パークスは両足を複雑骨折し、医師は彼の足を切断することも検討した。；治世の39年目に両足が病気になり、神ではなく医者に頼ってしまった。；その危険をふせぐために、両足の指先へ力をこめて登って行かねばならぬ。；近所には二人の幼馴染で、戦争で左手と両足を失ったコナーが住んでいる。；歩いたり走ったりするほかに、両足で飛び跳ねて移動することもある。；彼女は2歳の時から不自由であった両足の機能が回復したのである。；第一の護衛兵はまだ床に背をつけて倒れたままで、両手両足を投げだしていた。；両足は仕事をしている時の仕立屋仲間の習慣でむき出しにしていた。；またこの兵士たちは、戦車を小さくしたような靴を両足に履いていた。；彼は指の大部分を失い、両足を膝上で切断することを余儀なくされた。；彼は結局右肘の先と左手の指の殆どと鼻、そして両足の一部を凍傷で失った。；自分はしまったと思いながらも直両足を前の方へ出した。；背中から隧道の石の床に落ちると、とんぼ返りを打って両足で立った。；デビューした時あれほど輝いていた彼の肉体は両足の故障に肩の痛みでボロボロであった。；そのあいだに、私の両足はだんだん悪くなっていって、ひどい熱が出てきました。；両足を広げ、両手を腰に添えて、地面を見ながら、静かに立っていた。；水のなかで壁に両足をついて支えているヨシオを、節子はうしろから抱いた。；イリヤは操縦席に坐って、操縦板に両足をのせたまま腕時計を見ている。；腰から上の少し曲ったところと両足の方向とが非常に釣合がよく取れている。</t>
        </is>
      </c>
      <c r="J8835">
        <f>HYPERLINK("https://www.weblio.jp/content/両足", "词义详情")</f>
        <v/>
      </c>
      <c r="K8835">
        <f>HYPERLINK("https://yourei.jp/両足", "查看例句")</f>
        <v/>
      </c>
    </row>
    <row r="8836">
      <c r="A8836" t="inlineStr">
        <is>
          <t>領域</t>
        </is>
      </c>
      <c r="B8836" t="inlineStr">
        <is>
          <t>成功</t>
        </is>
      </c>
      <c r="C8836" t="inlineStr">
        <is>
          <t>読み方：りょういき
１ある力・作用・規定などが及ぶ範囲。また、その物事・人がかかわりをもつ範囲。「人間の無意識の—」「新しい—を開拓する」「理論物理学の—」
２国際法上、国家の主権の及ぶ区域。領土・領海・領空からなる。「他国の—を侵す」
３コンピューターで、プログラム上のある操作が及ぶ範囲。また、ハードディスクなどの記憶装置上で操作が可能な範囲。「—指定」「—確保」</t>
        </is>
      </c>
      <c r="D8836" t="inlineStr">
        <is>
          <t>領域支配；領域国家；領域全体；領域ごと；領域干渉</t>
        </is>
      </c>
      <c r="E8836" t="inlineStr">
        <is>
          <t>世界；地域；国；地区；程度</t>
        </is>
      </c>
      <c r="F8836" t="inlineStr">
        <is>
          <t>未編入領域；学問領域；専門領域；全領域；ゼロ領域</t>
        </is>
      </c>
      <c r="G8836" t="inlineStr">
        <is>
          <t>領域外；領域主権；領域理論；領域権原；領域型荘園</t>
        </is>
      </c>
      <c r="H8836" t="n">
        <v>29</v>
      </c>
      <c r="I8836" t="inlineStr">
        <is>
          <t>社会は広範かつ多様な領域を持っているために複雑な体系となっている。；各分野間には関連領域が存在するため明確に区別することは難しい。；律令制下に置かれた郡であるが、その領域は現在よりもずっと広かった。；しかし、各分野間には関連領域が存在するため明確に区別することは難しい。；明治維新直前の領域は、現在の和歌山県に下記を加えた区域に相当する。；現代的な仕様のシステムでは余分にディスク領域を使用しても問題はない。；民俗学が独自の領域と主張を持つための下準備を着々と進めていった。；立ち上げ段階では、今後のプロジェクトの領域を包括した計画を作成する。；そのページが変更されている場合、その内容をスワップ領域に書き出す。；こうした新たな研究領域からは、待遇表現という用語でも呼ばれている。；密度の全領域に対する解析表式は多体摂動論に基づいて提案されてきた。；これらはそれぞれはしご状神経系の単独の神経節に由来する領域である。；この重なり合いのため、電子が結合領域に存在する可能性が最も高くなる。；評価術語学は専門領域ではないのだが、エーコはこのように論じている。；神話の物語は象徴化を用いることでこの領域の出来事を理解しやすくしている。；最終的にインディヘナの伝統的な文化はこの文化的領域に吸収された。；FeliCaポケットの領域を利用し、端末とシステムは日本信号社製。；録音時などに、音量が可聴領域を超えてしまった部分で発生するノイズ。；プランクの理論式は、高振動数の領域ではヴィーンの理論式に移行する。；領域的には、彼らはしばしばのようなほかの貴族の断絶などから利益を得た。；その研究領域の広さから政策研究や政策分析とも呼ばれる。；赤外分光の分野では、単に赤外と言うとこの領域を指すことが多い。；東南極は大陸の大部分を占める広大かつ標高が高く、寒冷な領域である。；続いて、ある領域の周囲にいくつかの領域がある場合を考える。；和銅元年に、北に領域を伸ばして出羽郡を新しく設置し七郡体制となった。；一部の哲学は、理知的な学問以外の領域とも深く関わっている点に特徴がある。；そして、ガス領域の至る所で新しい星の生成を連鎖反応的に起こす。；こののちローマは領域を拡大させ、七つの丘を都市の領域とした。；漢は新たに獲得した領域に朔方・敦煌などの郡を設け直接統治を開始した。</t>
        </is>
      </c>
      <c r="J8836">
        <f>HYPERLINK("https://www.weblio.jp/content/領域", "词义详情")</f>
        <v/>
      </c>
      <c r="K8836">
        <f>HYPERLINK("https://yourei.jp/領域", "查看例句")</f>
        <v/>
      </c>
    </row>
    <row r="8837">
      <c r="A8837" t="inlineStr">
        <is>
          <t>了解</t>
        </is>
      </c>
      <c r="B8837" t="inlineStr">
        <is>
          <t>成功</t>
        </is>
      </c>
      <c r="C8837" t="inlineStr">
        <is>
          <t>読み方：りょうかい
［名］(スル)
１物事の内容や事情を理解して承認すること。了承。「—が成り立つ」「来信の内容を—する」
２《(ドイツ)Verstehen》ディルタイ哲学で、文化的、歴史的なものを生の表現とみなし、その生を追体験によって把握すること。理解。
[用法]了解・理解——「彼は友の言う意味をすぐに了解（理解）した」「その辺の事情は了解（理解）している」など、意味がわかる、のみ込むの意では、相通じて用いられる。◇「了解」には、相手の考えや事情をわかった上で、それを認める意がある。「暗黙の了解を得る」「お申し越しの件を了解しました」◇「理解」は、意味や意図を正しくわかる意が中心となる。「文章を理解する」「何を言っているのか理解できない」◇「了解できない」は、意味はわかるが承認できないの意になり、「理解できない」は単に意味がわからないの意になる。◇類似の語「了承」は「了解」とほぼ同じに使うが、「了解」よりも承認する意が強い。「上司の了承を得る」「双方とも大筋で了承した」</t>
        </is>
      </c>
      <c r="D8837" t="inlineStr">
        <is>
          <t>了解案；了解でき；了解事項；了解済み；了解出来</t>
        </is>
      </c>
      <c r="E8837" t="inlineStr">
        <is>
          <t>理解；わかる；承認；承知；納得</t>
        </is>
      </c>
      <c r="F8837" t="inlineStr">
        <is>
          <t>御了解；ご了解；自己了解；共通了解；了解せら</t>
        </is>
      </c>
      <c r="G8837" t="inlineStr">
        <is>
          <t>了解度</t>
        </is>
      </c>
      <c r="H8837" t="n">
        <v>29</v>
      </c>
      <c r="I8837" t="inlineStr">
        <is>
          <t>両親と兄は反対だったが、最終的には道二の説得に負け了解を得ている。；そうしなければ、読みつつある物を了解することが出来ぬと彼等はいう。；一方で文書は存在しないものの暗黙のうちに存在する合意や了解もある。；なんのためにわざわざこんないやなことをするのか了解できなかった。；彼はあまりによく了解していたのか、または何もわかっていなかったのか。；彼は自分のうちに起こったところのことを自ら了解することができなかった。；僕は万事とっくり了解しようと思って、わざと今まで待っていたんです。；これらは何の必要があって外国語を用いるのか私は了解に苦しむのである。；私の外発的という意味はこれでほぼ御了解になったろうと思います。；長谷川君は余を了解せず、余は長谷川君を了解しないで死んでしまった。；最終的には了解を得られるものと思い実施したことで騒動に発展したとのこと。；しかしその矛盾だらけなのが人間の心なんだから了解してくれ。；もし私を了解しているならば、私に対して疑を挟む事が出来ないはずだ。；そして、二人は互いに深いところで了解し合っていることも確かめられた。；お互いの責任、参加かどのようになっているか了解されていなければならない。；その後メルキオルの心がどうなったかは、了解しようともつとめなかった。；彼は彼相応の意味で、この気味の悪い手紙を了解したというまでであった。；右の表を保存していた正直な一市民は、その意味をついに了解することができた。；しかしながらこれは信仰的立場に立て初て充分に了解せらるる書である。；両親の了解を得ていなかったので、年齢については嘘を言った可能性が強い。；この世の中で人間が一番よく了解し得るものは、お互の人間同士の姿である。；その遺体は、遺族の了解のもとに、戦死した場所の近くに埋葬された。；われわれはこの平等ということをよく了解しておかなくてはならない。；指先を軽く相手の唇と鼻翼に触れていれば人の談話を了解する事が出来る。；このことは、関係当局よりの許可・了解承認・検査を受けてのことであった。；政府も一揆も共にそれを了解し、一介の市民までもそれを感じていた。；これについては読者の多数からは了解してもらわれるであろうと信じる。；すると夫人はこの病気をよく了解してくれる人が出来たといって大変よろこんだ。；リーブにしてみればモロイが修正案を了解したのだと考えてのことだった。</t>
        </is>
      </c>
      <c r="J8837">
        <f>HYPERLINK("https://www.weblio.jp/content/了解", "词义详情")</f>
        <v/>
      </c>
      <c r="K8837">
        <f>HYPERLINK("https://yourei.jp/了解", "查看例句")</f>
        <v/>
      </c>
    </row>
    <row r="8838">
      <c r="A8838" t="inlineStr">
        <is>
          <t>領海</t>
        </is>
      </c>
      <c r="B8838" t="inlineStr">
        <is>
          <t>成功</t>
        </is>
      </c>
      <c r="C8838" t="inlineStr">
        <is>
          <t>読み方：りょうかい
国家の領域の一部で、海岸に沿って一定の幅をもつ帯状の海域。現在は原則として12海里（約22キロ）とされている。「—侵犯」⇔公海。→排他的経済水域</t>
        </is>
      </c>
      <c r="D8838" t="inlineStr">
        <is>
          <t>領海内(15%)；領海問題；領海侵犯；領海線；領海制度</t>
        </is>
      </c>
      <c r="E8838" t="inlineStr">
        <is>
          <t>領土；領空；防衛線；防衛ライン；国境線</t>
        </is>
      </c>
      <c r="F8838" t="inlineStr">
        <is>
          <t>主張する領海；狭い領海；外国領海；ノルウェー領海；オーストラリア南極領海</t>
        </is>
      </c>
      <c r="G8838" t="inlineStr">
        <is>
          <t>領海警備；領海基線；領海侵入；領海法；領海条約</t>
        </is>
      </c>
      <c r="H8838" t="n">
        <v>29</v>
      </c>
      <c r="I8838" t="inlineStr">
        <is>
          <t>船がソ連領海に入ったころに、爆発するようにセットしておいたんだ。；この条件から外れると領海を形成するために有効な領土ではなくなる。；この際に韓国は自国の領海は島と島を結んだ線から計測されると主張した。；海軍は海軍作戦本部の指揮のもと、領海を警備する任務を負っている。；内海を含む領海を入れた領域の面積は約43万平方キロメートルである。；平靖号は、まだやっと祖国の領海をはなれたばかりのところじゃないか。；これは潜航中の潜水艦の領海内の航行が無害通航に該当しないからである。；さらに東、ビューリン半島の方向にあるヴェルト島は領海の境界にある。；日本の領海に入ったら、小型の潜水艦と連携して物資を港へ運んでいく訳である。；しかしリビアは、沿岸だけでなく湾全体が領海であると考えている。；実際に軍艦の領海内通航に関して事前許可制を採用している国も多い。；これは領海内の行為であって、少しも他国の主権を侵すものではない。；即ちこの家界なるものは、国際法の領海と酷似しているではないか。；漁船は買収できても、近ごろは領海に近づいただけですぐマークされよる。；領海の協議と並行して、環境問題等についても協力体制の構築が見られる。；従って、潜航したまま外国領海を航行することは認められていない。；領海の制限が4海里から12海里に拡大された際に領海が統合された。；この主張は各国で支持され、領海は3マイルとするとされた。；中華人民共和国は、本中国領海法制定以前に領海宣言を行っている。；ロシア領土のままのため、歯舞と色丹の周りの領海はロシア管轄のままとなる。；その艦歴はタンピコ事件時にメキシコ領海へ出動したことから始まる。；航空部隊と連携して、領海の防衛および国家警備隊に対して海空両方からの支援を担当する。；ただし、人工島は島の地位を有せず、それ自体の領海を持たない。；海を隔てながらも領海が接している国家の場合、両者はその境界ラインで国境を接することになる。；タラ戦争はアイスランドが領海の拡大を宣言することから始まった。；その間、加賀藩領海へも出没するようになった異国船への対応を命じられる。；アメリカ合衆国は、北のカナダと南のメキシコと国境を接し、北西部ではロシアと領海の国境がある。；ビーグル水道が国境となっているため、この船はチリの領海を通る。；国内の治安維持と領海の警備が主な任務となっている。</t>
        </is>
      </c>
      <c r="J8838">
        <f>HYPERLINK("https://www.weblio.jp/content/領海", "词义详情")</f>
        <v/>
      </c>
      <c r="K8838">
        <f>HYPERLINK("https://yourei.jp/領海", "查看例句")</f>
        <v/>
      </c>
    </row>
    <row r="8839">
      <c r="A8839" t="inlineStr">
        <is>
          <t>両替</t>
        </is>
      </c>
      <c r="B8839" t="inlineStr">
        <is>
          <t>成功</t>
        </is>
      </c>
      <c r="C8839" t="inlineStr">
        <is>
          <t>読み方：りょうがえ
［名］(スル)
１ある種の貨幣をそれと等しい額の他の種類の貨幣と交換すること。「千円札を—する」「円をドルに—する」
２有価証券や物品などを現金と交換すること。「当たり馬券を—する」</t>
        </is>
      </c>
      <c r="D8839" t="inlineStr">
        <is>
          <t>両替する(8%)；両替所(7%)；両替機；両替できる；両替業務</t>
        </is>
      </c>
      <c r="E8839" t="inlineStr">
        <is>
          <t>変化；交換；交流；釣り；やり取り</t>
        </is>
      </c>
      <c r="F8839" t="inlineStr">
        <is>
          <t>十人両替；質両替；脇両替；闇両替；自動両替</t>
        </is>
      </c>
      <c r="G8839" t="inlineStr">
        <is>
          <t>両替屋；両替機；両替町；両替店</t>
        </is>
      </c>
      <c r="H8839" t="n">
        <v>29</v>
      </c>
      <c r="I8839" t="inlineStr">
        <is>
          <t>日本じゃ銀四枚で金一両の両替だが外国は銀十五枚で金一両の割合だ。；トラベレックスが運営する両替所が空港内の数箇所に設置されている。；自分のネイトの金を両替できるとの措置だって、同じ理由からであろう。；空港でポーターにお金をやるために、私は空港の小さな銀行で両替をした。；以前のセントは額面通りの価値を持ち両替の必要はないと宣言された。；あの筆屋の前から両替の看板の下を通ってゆく、あの頭巾をかぶった後姿。；おそらく手配の二人に、間違いないだろうが、なにしろ闇の両替である。；多くの国の路線バスの運賃箱には精算機能も両替機能もないことが多い。；はじめに両替に来たときの田島の印象は英子によかったようである。；「もはや国際的な両替のための金融機関がないから」と彼はつづけた。；その後、もう一度両替した紙幣または硬貨を投入口から入れて補充する。；これは、いくつかの銀行でカウンター上の両替率の計算のために何年も使用された。；四分ノ一マルク硬貨なら、疑いをもたれずに簡単に両替ができるからだ。；しかも、やつらは両替することもできなかったんですからね。；現代では主に、空港などで外貨の両替を行う店舗および窓口を指す。；旧硬貨は2006年10月31日に使用廃止され、新硬貨へ両替された。；デンマークの銀行では手数料なしでデンマーク・クローネとの両替可能。；当然、普通に円をドルに両替してからドル建ての株式を購入することも出来る。；お銀がお雪に向かって小判の両替計算法を教えてやるところだ。；その隣は両替組頭の越前屋が、大事な質の物と金箱を入れている倉だ。；なお、最新の機種でもオプションとして逆両替機能を有するものがある。；たしかフリードリヒ・シュトラーセの両替所は終夜開いている筈だった。；双方に貿易が行われるようになれば、まず取り決めなければならないのが両替の問題であった。；そこで近くの、台湾人と日本人が共同経営する旅行社で、両替したらしい。；それで、わざわざホテルまで帰って、両替してもらったそうです。；ローマは銀行制度もギリシャから引き継ぎ、地域の取引のための両替を行った。；銀行で札を両替させるのに頼みにもならん人間をやとったりして。；円からドルに両替を行う場合も、ドルから円に両替を行う場合も手数料が必要になる。；かくして米友は、教えられた通りに、両替の馬のあとを追いました。</t>
        </is>
      </c>
      <c r="J8839">
        <f>HYPERLINK("https://www.weblio.jp/content/両替", "词义详情")</f>
        <v/>
      </c>
      <c r="K8839">
        <f>HYPERLINK("https://yourei.jp/両替", "查看例句")</f>
        <v/>
      </c>
    </row>
    <row r="8840">
      <c r="A8840" t="inlineStr">
        <is>
          <t>両側</t>
        </is>
      </c>
      <c r="B8840" t="inlineStr">
        <is>
          <t>成功</t>
        </is>
      </c>
      <c r="C8840" t="inlineStr">
        <is>
          <t>読み方：りょうがわ
《「りょうかわ」とも》相対する二つの側。両方の側。特に、川や道などの左右の側。「道路の—」</t>
        </is>
      </c>
      <c r="D8840" t="inlineStr">
        <is>
          <t>両側性；両側にならん；両側回遊；両側に設けられ；両側にずらりと</t>
        </is>
      </c>
      <c r="E8840" t="inlineStr">
        <is>
          <t>両面；表裏；裏表；両サイド；両側面</t>
        </is>
      </c>
      <c r="F8840" t="inlineStr">
        <is>
          <t>東西両側；挟んで両側；南北両側；車体両側；はさんで両側</t>
        </is>
      </c>
      <c r="G8840" t="inlineStr">
        <is>
          <t>両側イデアル；両側加群；両側ラプラス変換；両側波帯</t>
        </is>
      </c>
      <c r="H8840" t="n">
        <v>29</v>
      </c>
      <c r="I8840" t="inlineStr">
        <is>
          <t>駅舎はなく跨線橋が線路の両側を結んでおりホームへも連絡している。；これらの列車は白を主色調とし、両側にそれぞれ濃い紫の飾り帯がある。；線路の両側にホームがあり、停車したケーブルカーは両側の扉を開ける。；ただし中央通路で両側にそれぞれコンパートメントが並ぶ形態もある。；改札・コンコースは地下化されており、入口は踏切を挟んで両側にある。；内2線は両側にホームがあるものの、一番奥のホームは現在使われていない。；パーキンソン病や脳血管障害では両側性に病変が出現することは少ない。；駅の南側には踏切が、北側には地下自由通路が駅の両側を通じている。；屋根を持つ歩廊式の建物内の両側に商店や工房が並ぶ方式が一般的である。；かつての両島の境界には、両側に細い入り江が伸びるのみとなっている。；車体中央に御座所が設けられており、両側には供奉員室が設けられている。；有蓋室は前位だけのものと前後両側に設置しているものがある。；この場合、網は中断され、中央の網の両側に丸網を半分ずつ張った形になる。；進行すると両側性に症状が現れ、左右差はなくなることが多い。；ほとんどの場合片側のみに発症するが、稀に両側性となる場合もある。；峠の両側には、案内図や峠の歴史が記された標識が設置されている。；舞台の両側に大きな柱があり、舞台後方の屋根を支えていた。；岩の中央には杉の枝、両側には松の枝という配置をすることが多い。；画面は本体正面の中央に位置し、その両側に数字キーが5個ずつ並んでいる。；一里塚の本来の姿は街道の両側に対で設置されるものである。；距離を取ると、両側に着けた矢筒から矢を取り出し、左右から騎射した。；力は線の両側に等しくかかり、その一方は天井に固定されている。；ナマコの腹には中央とその両側に歩帯があり、背側には左右両端に歩帯がある。；柄の両側が大きさの違うさじとなっているものや柄の反対側がへらになっているものが多い。；腹部の両側にも同じナイフによっていくつかの切り込みが入っていた。；これは、巨大な石の下に掘った穴と大差がなく、両側には粗末な壁がある。；この反射は両側性で、片目だけ刺激しても両方の目を閉じてしまう。；山脈が川の両側にあるため東西方向の移動は容易ではない。；館山自動車道は千葉市原方面と館山富津方面の両側から接続されている。</t>
        </is>
      </c>
      <c r="J8840">
        <f>HYPERLINK("https://www.weblio.jp/content/両側", "词义详情")</f>
        <v/>
      </c>
      <c r="K8840">
        <f>HYPERLINK("https://yourei.jp/両側", "查看例句")</f>
        <v/>
      </c>
    </row>
    <row r="8841">
      <c r="A8841" t="inlineStr">
        <is>
          <t>両極</t>
        </is>
      </c>
      <c r="B8841" t="inlineStr">
        <is>
          <t>成功</t>
        </is>
      </c>
      <c r="C8841" t="inlineStr">
        <is>
          <t>読み方：りょうきょく
１「両極端」に同じ。「善と悪との—」「左右—」
２北極と南極。
３陽極と陰極。</t>
        </is>
      </c>
      <c r="D8841" t="inlineStr">
        <is>
          <t>両極化(3%)；両極間(2%)；両極分解；両極的；両極付近</t>
        </is>
      </c>
      <c r="E8841" t="inlineStr">
        <is>
          <t>極性；正反対；両極性</t>
        </is>
      </c>
      <c r="F8841" t="inlineStr">
        <is>
          <t>左右両極</t>
        </is>
      </c>
      <c r="G8841" t="inlineStr">
        <is>
          <t>両極体制</t>
        </is>
      </c>
      <c r="H8841" t="n">
        <v>29</v>
      </c>
      <c r="I8841" t="inlineStr">
        <is>
          <t>このときは広い範囲で雪が降り、氷の層が両極を中心に大きく広がった。；生きていることと死んでしまっていることと、それは両極ではなかった。；表現形は両極にあるサマンサを分裂している女だと判断するのは早計だ。；鴎外とは性格が両極にあるからかえって心を許し合う仲となったのだろう。；両極がすべて同じ構造で作られた対称型の装置はこれが初めてだった。；しかし常人はこの両極の間を自由勝手にうろうろしているものであります。；雨は雪に変わり、その雪が南北両極から赤道へ向かって広がってゆく。；この二つのタイプを両極として、その中間にさまざまな生き方があった。；闇より生まれし存在としてエンシェントガルルモンとは両極に位置する。；またアメリカにおけるBDS運動への対応は、とりわけ両極化してきた。；してみると、神と虚偽とは両極にありながら、似たところがないでもない。；大陸のある惑星はその約9割が海であり、両極は氷におおわれている。；両極の観察者になろうとした時、私の力はどんどん私から遁れ去ってしまったのだ。；近代に入ってからは両極の探検家がその存在を広く知らしめた。；幸福は世界の律動の一瞬間であり、生の振子が往来する両極の一つである。；このように両極に精神を集中するようにして読んでみたとき、何かが見えてくるように思われた。；同様の場合に平気で居れない人間の種類にもまた両極がある。；ある思想的単純さが、社会の両極にある静かな魂に共通する。；一見矛盾したこの両極的対応も、もはや室原知幸の内部では矛盾となっていない。；どうやら月の両極には六十億トンの水が凍結して存在するらしい。；周囲の人たちに自分の存在が無視された場合、平気で居れる人間の種類に両極がある。；この両極の事態は徐々に深く進行していくに違いない。；わたしとはまるで似たところがなく、それこそ相反する両極とも言うべきであった。；赤道上か自転の両極でなければ前者と後者は一致することがない。；俺たちは桜の腰に合わせて、磁石の両極のように弾けてぶつかり合う。；娘染色体は紡錘体の両極に移動し、新たな核がその周辺で再集合する。；彼は高等動物ではこの両極に、自己表現としての諸特徴が出現すると主張した。；普通の・中等度の・人々の状態はこれら両極の中間にある。；核は分解し、中心体は細胞の両極に移動して紡錘糸の橋を形成する。</t>
        </is>
      </c>
      <c r="J8841">
        <f>HYPERLINK("https://www.weblio.jp/content/両極", "词义详情")</f>
        <v/>
      </c>
      <c r="K8841">
        <f>HYPERLINK("https://yourei.jp/両極", "查看例句")</f>
        <v/>
      </c>
    </row>
    <row r="8842">
      <c r="A8842" t="inlineStr">
        <is>
          <t>料金</t>
        </is>
      </c>
      <c r="B8842" t="inlineStr">
        <is>
          <t>成功</t>
        </is>
      </c>
      <c r="C8842" t="inlineStr">
        <is>
          <t>読み方：りょうきん
何かを使用または利用したことに対して支払う金銭。運輸機関では、運賃とは別に支払われる、グリーン車・寝台などの使用代金をいう。「電話—」「特急—」</t>
        </is>
      </c>
      <c r="D8842" t="inlineStr">
        <is>
          <t>料金プラン(3%)；料金体系(2%)；料金徴収；料金不要；料金制</t>
        </is>
      </c>
      <c r="E8842" t="inlineStr">
        <is>
          <t>入り；代；値；費用；価格</t>
        </is>
      </c>
      <c r="F8842" t="inlineStr">
        <is>
          <t>追加料金；基本料金；特別料金；均一料金；郵便料金</t>
        </is>
      </c>
      <c r="G8842" t="inlineStr">
        <is>
          <t>料金収受；料金箱；料金後納；料金別納；料金受取人払</t>
        </is>
      </c>
      <c r="H8842" t="n">
        <v>29</v>
      </c>
      <c r="I8842" t="inlineStr">
        <is>
          <t>新たな観客層獲得のため、試験的に鑑賞料金を変更する動きも見られる。；座席指定で運賃のほかに料金が必要な列車が下記のとおり運行されている。；また、複数掲載・他の地域版への掲載は発行の都度ごとの別料金となる。；料金の違いは観戦場所によるもののみであり、座席の仕様に違いはない。；このサービス地域内では、すべての旅客路線に同一の料金表が適用される。；ただし、観客を入れない場合は準備日料金となり1日650万円である。；料金は利用人数と時間帯、利用時間に応じて請求されるのが一般的である。；普通区間での1kmあたりの料金は以下のように設定されている。；料金が高すぎたのか、愛称を組み込む条件だったのか、原因は分からない。；ただし、以下の場合にはこの料金を使用せず、特に定めた金額となる。；関門トンネルが通行止めとなる際には料金調整が行われることがある。；女性の洗髪料金を徴収できることは、過去に厚生省令で認められていた。；状況によっては、この料金が支払われない場合や免除される場合もある。；事前に接続先電話番号や接続方法、料金などのデータを入手する必要がある。；市内は坂が多い上に半島であるため土地もないため、駐車場料金が非常に高い。；そのため、名古屋経由の方が距離が長いにもかかわらず料金的には割安となる。；予約新聞電報は発信人の希望した時刻に送られ、かつ料金も低廉である。；鉄道やバス、映画館などでは自己申告で小学生料金とする場合が多い。；市では旧市町間の料金格差の是正と併せて統一に向けた準備を進めている。；営業時には特別車両としてグリーン車とは異なる料金設定がなされていた。；有料道路を利用した自動車は空港ビルの基本駐車料金が無料となる。；南海本線・高野線とも特別料金が必要な特急を含めて全ての列車が停車する。；路線定期運行の場合は路線延長や運賃料金について認可制になっている。；この制度は廃止され個別に支払い、料金は業者側が設定できるようになった。；全ての車が止まって料金を払う料金所のシステムに依存していた。；格安航空路線では別料金となることもあるが、多くが運賃に含まれている。；高速道路は出入り口制限されているために料金を徴収する場合がある。；これは、比較的高い国際電話の料金をすぐに知ることができるサービスである。；料金は一杯いくらではなく、基本的には食べ放題の定額制である場合が多い。</t>
        </is>
      </c>
      <c r="J8842">
        <f>HYPERLINK("https://www.weblio.jp/content/料金", "词义详情")</f>
        <v/>
      </c>
      <c r="K8842">
        <f>HYPERLINK("https://yourei.jp/料金", "查看例句")</f>
        <v/>
      </c>
    </row>
    <row r="8843">
      <c r="A8843" t="inlineStr">
        <is>
          <t>良好</t>
        </is>
      </c>
      <c r="B8843" t="inlineStr">
        <is>
          <t>成功</t>
        </is>
      </c>
      <c r="C8843" t="inlineStr">
        <is>
          <t>読み方：りょうこう
［名・形動］よいこと。好ましい状態であること。また、そのさま。「受信状態は—だ」「—な成績」
[派生]りょうこうさ［名］</t>
        </is>
      </c>
      <c r="D8843" t="inlineStr">
        <is>
          <t>良好な関係(11%)；良好である(8%)；良好な状態(4%)；良好であり(3%)；良好な結果</t>
        </is>
      </c>
      <c r="E8843" t="inlineStr">
        <is>
          <t>いい；よい；良い；満足；立派</t>
        </is>
      </c>
      <c r="F8843" t="inlineStr">
        <is>
          <t>良好な遺存；良好な乗り心地；良好な忍容性；良好な飛行特性；良好な漁場</t>
        </is>
      </c>
      <c r="H8843" t="n">
        <v>29</v>
      </c>
      <c r="I8843" t="inlineStr">
        <is>
          <t>一也も相馬の手術や授業に参加するなど彼との良好な関係を築いていく。；しかし夫婦仲は良好であり、子に恵まれ家庭生活は幸せなものであった。；ただし高速域においてはその限りでなく、比較的良好な運動性を示した。；しかし、同システムを搭載した4番艦以降は、良好な評価を受けている。；これらの試験結果は良好であったため、本試験を実施していくこととなった。；これには取り決めだけではなく、警察との関係を良好にする目的があった。；南線の橋は開通が新しいことから北線に比べれば状況が良好である。；一方で天皇と道長・彰子の関係が決して良好ではなかったと見る説もある。；以上のように、交通アクセスは道路・鉄道ともにかなり良好である。；ミニバンの中では床面が高いが、視点も高いため前方視界は良好となる。；これには、ウイグルとの関係を良好に保つ意図があったとも言われている。；鉄道開業後は、京浜間の主力として使用され、使用成績も良好であった。；豊橋エコテクノレースに機械部が出場し、毎回良好な成績を収めている。；米ソ関係は核拡散防止条約が締結されたことに象徴された時は良好であった。；しかし一方で、両者の関係は少なくとも表面上は極めて良好であった。；元々は宇宙空間用として開発されていたため、空間での使用は良好である。；家族思いの人物であったらしく、有能な弟達と常に良好な関係を維持していた。；そのほうが移植された人の予後は良好になる傾向があるからである。；観光地としても発達し、アフリカの国の中では良好な経済状態である。；これを機に、それまで良好な関係を築いていたセナとの間に溝が出来始める。；元々の体力低下を背景としていることが多く、治療成績も決して良好ではない。；ガス・ポートが存在しない長い銃身を持つため、命中精度は良好である。；経営は良好であり、過去40年以上赤字を出していないとも言われる。；良性腫瘍の診断は必ずしも臨床的な予後が良好であることを意味しない。；両都市の中間地点であり、交通の便が良好であることから、人口が増加している。；そのための軸となるのは、日本と中国の良好な提携であるという。；営業状態は当初政府の補助を受けていたが、成績は良好であった。；上原浩治も関係は悪くなく、殊に共に巨人を退団して以降は良好である。；艦体は長船首楼型船体で、艦首は凌波性の良好なクリッパー型とされた。</t>
        </is>
      </c>
      <c r="J8843">
        <f>HYPERLINK("https://www.weblio.jp/content/良好", "词义详情")</f>
        <v/>
      </c>
      <c r="K8843">
        <f>HYPERLINK("https://yourei.jp/良好", "查看例句")</f>
        <v/>
      </c>
    </row>
    <row r="8844">
      <c r="A8844" t="inlineStr">
        <is>
          <t>量産</t>
        </is>
      </c>
      <c r="B8844" t="inlineStr">
        <is>
          <t>成功</t>
        </is>
      </c>
      <c r="C8844" t="inlineStr">
        <is>
          <t>読み方：りょうさん
［名］(スル)同一規格の製品を大量につくること。大量生産。マスプロダクション。マスプロ。「小型車を—する」「—態勢」「—品」</t>
        </is>
      </c>
      <c r="D8844" t="inlineStr">
        <is>
          <t>量産車(11%)；量産機(7%)；量産化(7%)；量産される(2%)；量産体制(2%)</t>
        </is>
      </c>
      <c r="F8844" t="inlineStr">
        <is>
          <t>本格的な量産；先行量産；量産計画；量産初号機；量産タイプ</t>
        </is>
      </c>
      <c r="G8844" t="inlineStr">
        <is>
          <t>量産先行車；量産試作車；量産型キュベレイ；量産型ガンキャノン；量産型ガンタンク</t>
        </is>
      </c>
      <c r="H8844" t="n">
        <v>29</v>
      </c>
      <c r="I8844" t="inlineStr">
        <is>
          <t>第三段階では、全ての条件がそろった状態で量産体制に入ることとした。；量産を意図していなかったこともあり、高性能な機体であったとされる。；ただし、それは毎月作品を採用かつ量産された場合の契約条件であった。；中量産品事業本部の生産はそれぞれの事業本部で生産を集約している。；また一部のスタートアップ企業では試験的な量産ラインが稼働している。；DC戦争末期には一部機能を省略しコストダウンした機体も量産された。；それらに加え、量産化改造を実施する前の外観は以下のようなものだった。；また、正面窓のワイパーは量産車とは異なる形状のものが採用されている。；そこではV2ロケットの発展型であるA8の開発と量産が予定された。；これらの変更は組み立てが開始されていた量産機にも適用された。；量産品以外にもカスタムメイドで作られるモンスターボールも存在する。；Vガンダム開発のためのテスト機をベースに量産型として開発された。；試作車での試験結果等を受け、量産車では先述したほか以下の点を変更した。；この爆弾は米ソ間の軍拡競争の産物であり、実際には量産されなかった。；これは後の量産車以降にも採用されたほか、在来形式車にも取り付けが実施された。；民間のネットワークから発展した組織であるリガ・ミリティアが開発した量産機。；守備だけにはとどまらず攻撃の場面では得意のヘディングでゴールを量産した。；なお軸受・軸箱支持共に国鉄量産形電車では初採用の方式である。；量産化を前提としているため、コア・ブロック・システムは搭載されていない。；後に登場した量産車とは違った外見をいくつか持っていた。；改めて本機による量産化が上申され、再検討されるも結局実現していない。；エネルギーを母機にて再充填しながら使用する事となるが、量産化は容易となった。；スペインではシーズン途中からの加入にも関わらず、ゴールを量産。；量産品の場合の製作継続期間中に途切れることなく調達可能であるか。；車内は当時、量産が開始されていた6000系で採用された仕様を取り入れた。；量産機へ百式のクオリティを導入することを狙って製作された実験機である。；量産車で初めて採用されたのは1969年の東急8000系である。；本機は試作機の元の設計から、量産機では大きな修正が入っている。；試作された車両は販売され市中を走ったとされるが、量産・市販は中止された。</t>
        </is>
      </c>
      <c r="J8844">
        <f>HYPERLINK("https://www.weblio.jp/content/量産", "词义详情")</f>
        <v/>
      </c>
      <c r="K8844">
        <f>HYPERLINK("https://yourei.jp/量産", "查看例句")</f>
        <v/>
      </c>
    </row>
    <row r="8845">
      <c r="A8845" t="inlineStr">
        <is>
          <t>漁師</t>
        </is>
      </c>
      <c r="B8845" t="inlineStr">
        <is>
          <t>成功</t>
        </is>
      </c>
      <c r="C8845" t="inlineStr">
        <is>
          <t>読み方：りょうし
漁をして暮らしている人。</t>
        </is>
      </c>
      <c r="D8845" t="inlineStr">
        <is>
          <t>漁師たち(11%)；漁師達；漁師小屋；漁師仲間；漁師町</t>
        </is>
      </c>
      <c r="E8845" t="inlineStr">
        <is>
          <t>海人；漁夫；漁民；漁業者；蜑</t>
        </is>
      </c>
      <c r="F8845" t="inlineStr">
        <is>
          <t>貧しい漁師；地元漁師；老漁師；壮い漁師；漁師共</t>
        </is>
      </c>
      <c r="G8845" t="inlineStr">
        <is>
          <t>漁師料理；漁師の指輪；漁師と殿様；漁師とその妻</t>
        </is>
      </c>
      <c r="H8845" t="n">
        <v>29</v>
      </c>
      <c r="I8845" t="inlineStr">
        <is>
          <t>目撃した少年たちがすぐに助けを探し、近くにいた二人の漁師を呼んだ。；陸地に建物も建てられたが、ほとんどの漁師は捕鯨船内で生活していた。；その礼として持っていた百金はする剣を渡そうとしたが、漁師は断った。；この料理は漁師らが船上や浜辺で食べていたのが始まりとされている。；ある日、漁師が網を引いていると、そこにひっかかっている壺があった。；集落跡には井戸があり、漁師の一時的な住居や放牧に利用されてきた。；毎年この島では祭りがあり、7月11日だけ地元の漁師が島に入れる。；島にはいくつかの漁師の小屋があり、それが氷の状態をよくしたと評価されている。；海岸の地域で多く飼育されていて、漁師のサポート役として活躍していた。；漁師が投網を打つような格好に似ている事から名付けられたと言われている。；猫ゆえに釜石の魚が大好きで、魚を獲ってきてくれる漁師さんも大好き。；彼の父親はいくつかの釣りトロール船を所有していた漁師であった。；特にフランスのブルターニュ地方の漁師などはこれをよく着ている。；漁師が海に落ちることも度々あったが、引き上げられるとは限らなかった。；本来は地元漁師の公衆浴場で、観光客向けに整備された施設ではない。；室町時代になると網漁業のために漁師が多く居住するようになった。；日本では市場に流通することはほぼなく、漁師の間で自家消費される程度である。；フランス人の漁師は1539年に島の近くの海域でタラの漁をしていた。；この漁師は警察に報告したが、ほとんど反応はなかったという。；やがてユルリ島から人が去りはじめ、1971年最後の漁師が島を出た。；後に漁師がこれを捕えて腹を開くと、胃に2人の男女の赤子がいたという。；関連する説で、漁師がパスティを海に持っていくことは不運だと言われている。；漁師の守護聖人である事を反映して魚を抱える姿で描かれている。；しかし、周囲の海は豊かで、地元の漁師によって豊富な魚が獲られている。；工作員及び乗員は、漁師に目撃された直後に集団自決したとみられている。；全ての人間は生きていく上で他の動物の命を戴いていると世界に訴えねばならないと語る漁師もあった。；この集落は閑散としていて、武器を持たない漁師が主に住んでいた。；中には八幡神社と呼ばれる神社があり、供える食物を漁師が採るという。；そこで漁師らしい老人に、部落の中のある民家に滞在するように勧められた。</t>
        </is>
      </c>
      <c r="J8845">
        <f>HYPERLINK("https://www.weblio.jp/content/漁師", "词义详情")</f>
        <v/>
      </c>
      <c r="K8845">
        <f>HYPERLINK("https://yourei.jp/漁師", "查看例句")</f>
        <v/>
      </c>
    </row>
    <row r="8846">
      <c r="A8846" t="inlineStr">
        <is>
          <t>領事館</t>
        </is>
      </c>
      <c r="B8846" t="inlineStr">
        <is>
          <t>成功</t>
        </is>
      </c>
      <c r="C8846" t="inlineStr">
        <is>
          <t>読み方：りょうじかん
領事が駐在国でその職務を行う役所。</t>
        </is>
      </c>
      <c r="D8846" t="inlineStr">
        <is>
          <t>領事館員(3%)；領事館内；領事館通訳；領事館付；領事館職員</t>
        </is>
      </c>
      <c r="F8846" t="inlineStr">
        <is>
          <t>イギリス領事館；ロシア領事館；英国領事館；中国領事館；各国領事館</t>
        </is>
      </c>
      <c r="H8846" t="n">
        <v>29</v>
      </c>
      <c r="I8846" t="inlineStr">
        <is>
          <t>息を引き取った後に病院で死亡を確認し、報告書を警察と領事館に送る。；海軍部隊も攻撃に出た者はほとんどが倒れ、わずかな人数が領事館に帰った。；間もなくすると領事館に伝えた場所に銃を持ったヴァエンサが現れる。；アメリカの領事館にいたとき、交通事故にあって死んだと君はいった。；爾後、戦争が終結するまで名古屋の領事館が再開されることはなかった。；パリで念のためもう一度きいたら、そこの領事館では六ドルだという。；「このような領事館にお出でいただけるとは」彼は完全な英語で話した。；また、一部の参加者が領事館前などで日章旗に火を付ける場面もあった。；今みたいに他藩の中に自藩の領事館のような機関もねえんだぜ。；電報で頼んで置いたから領事館に来て居た私宛の手紙を持つて居た。；電報で頼んで置いたから領事館に來て居た私宛の手紙を持つて居た。；領事館ではだれがいいかとさがしたが、なかなか適当なのがいない。；領事館ではオランダ領東インドから来る人々のハッジ管理を担当していた。；それは一人の人間ではなく、日本人のグループで、日本領事館の人々であった。；それゆえ、私は一九四七年五月、横浜の領事館で帰国願いを提出したのです。；現在、両国の外交関係は大使館・領事館レベルの交流が実現されている。；この頃までに、イギリスは綿貿易を促進するために領事館を設置した。；しかし領事館ではすでに何もかも承知していて、手配も完了していた。；大阪の領事館でビザを取った時も同じようなことがありました。；その草はらで暫く休んでから、領事館の横を通つて急な坂道を下り始めた。；イギリスまたはフランスの領事館へ行って助けを求めるのだ。；抗議のうえ大使館を閉鎖したが、各地の領事館はそのまま維持した。；父親が初めて領事館へ行ったのは、祖父の死を届け出るためだった。；狂暴で何するか分からないからわざわざ幕府から領事館に手紙があった程なんですよ。；海軍部隊は、半分が赤軍本部の襲撃に参加し、半分は領事館の警備に残った。；同年9月28日、領事館は閉鎖され、すべての活動を停止したと発表。；死体が日本人という可能性があれば領事館に警察から照会があったに違いない。；残るふたつはサイゴン教会の近くに一つと、ラオス領事館の近くに一つ。；ただしスコットランドには領事館もなく、日本人の姿を見ることもなかった。</t>
        </is>
      </c>
      <c r="J8846">
        <f>HYPERLINK("https://www.weblio.jp/content/領事館", "词义详情")</f>
        <v/>
      </c>
      <c r="K8846">
        <f>HYPERLINK("https://yourei.jp/領事館", "查看例句")</f>
        <v/>
      </c>
    </row>
    <row r="8847">
      <c r="A8847" t="inlineStr">
        <is>
          <t>良識</t>
        </is>
      </c>
      <c r="B8847" t="inlineStr">
        <is>
          <t>成功</t>
        </is>
      </c>
      <c r="C8847" t="inlineStr">
        <is>
          <t>読み方：りょうしき
《(フランス)bon sensの訳語か》物事の健全な考え方。健全な判断力。「—ある行動」</t>
        </is>
      </c>
      <c r="D8847" t="inlineStr">
        <is>
          <t>良識的(8%)</t>
        </is>
      </c>
      <c r="E8847" t="inlineStr">
        <is>
          <t>センス；常識；コモンセンス</t>
        </is>
      </c>
      <c r="H8847" t="n">
        <v>29</v>
      </c>
      <c r="I8847" t="inlineStr">
        <is>
          <t>残念ながら、読者はそう熱心に良識ある真実を求めているわけではない。；だが、その子の代になると、そのような良識はただの臆病に見えてくる。；所が、それにさへ女性たちは餘りに良識をもつてゐるとは見うけられない。；良識的といわれる人が聞いたら眉をひそめるようなことだって考えてやった。；だいたいこの女は良識という言葉の正確な意味を知っているのだろうか。；そのへんの良識者とかご父兄が考えているようなものとは全然違う。；顔は笑っているが微妙に目が泣きそうなのがとても良識ある大人な感じである。；良識と誠意のある人たちなら、そのことを今もおぼえているにちがいない。；映画人がみな良識人だというのがおれたちのこの社会ではないのかい。；良識ある行動といえばそうだし、意気地なしといえば意気地なしである。；正直で勤勉で良識をもってるだけで足りると、いつも好んで言っていた。；私がここに描き出したのは、中国の良識と日本の良識との間のことだ。；彼は世間が良識・良俗とみなしているものに果敢に挑戦状を突きつける。；店を移って案内状を出さなかったのは、まち子の良識というものだった。；勿論、彼の良識は、アリバイ製造協会などというものの存在を否定する。；あやうく感動しそうになって、寸前で私は良識の世界に踏みとどまった。；警察の問題に通じていない私がたんなる良識だけでいいますと、こうなります。；過度に熱心な信仰ではなく理性的で良識と伝統の価値を重んじている。；不幸に慣れたために彼は良識が働くようになって来た。；外国人はエスプリと良識が彼らにさずけた栄冠に文句をいうべきではない。；医者というのは大体に於て良識ある人間ばかりで無茶なことはしないものだ。；海軍良識派と目される人々が眉をひそめたのも当然であった。；その場合僕等良識ある一般人は、ああそうですか、と答えるよりない。；雄二と違って本人やその家族を前に、悪いことなんて言わない良識人。；書くべきか、書くべきではないか、ひとつあなた方の良識で判断してもらいたい。；たしかに知識は充分に広い人らしいが、良識を備えているかどうか。；そこには国を良くするという良識が、どこまで機能しているかまことに疑問です。；気が強くで口は悪いが、夫・息子と異なり良識的で包容力に溢れる。；それで私のいう「良識の精髄」は、科学的な考え方の方を指している。</t>
        </is>
      </c>
      <c r="J8847">
        <f>HYPERLINK("https://www.weblio.jp/content/良識", "词义详情")</f>
        <v/>
      </c>
      <c r="K8847">
        <f>HYPERLINK("https://yourei.jp/良識", "查看例句")</f>
        <v/>
      </c>
    </row>
    <row r="8848">
      <c r="A8848" t="inlineStr">
        <is>
          <t>良質</t>
        </is>
      </c>
      <c r="B8848" t="inlineStr">
        <is>
          <t>成功</t>
        </is>
      </c>
      <c r="C8848" t="inlineStr">
        <is>
          <t>読み方：りょうしつ
［名・形動］質がすぐれていること。また、そのさま。「—な（の）素材」⇔悪質。</t>
        </is>
      </c>
      <c r="D8848" t="inlineStr">
        <is>
          <t>良質な水；良質な作品；良質な米；良質なワイン；良質な粘土</t>
        </is>
      </c>
      <c r="E8848" t="inlineStr">
        <is>
          <t>いい；よい；良い；立派；優れた</t>
        </is>
      </c>
      <c r="F8848" t="inlineStr">
        <is>
          <t>古くから良質；高い良質；良質米；良質なリン鉱；良質な砥石</t>
        </is>
      </c>
      <c r="G8848" t="inlineStr">
        <is>
          <t>良質な記事の選考</t>
        </is>
      </c>
      <c r="H8848" t="n">
        <v>29</v>
      </c>
      <c r="I8848" t="inlineStr">
        <is>
          <t>等伯の作品には都でもあまり見られないほど良質の顔料が使われている。；現在も良質とされるものの商業的な生産は主にオマーンで行なわれている。；良質なたんぱく質が多く含まれており、皮を取るとさらに低脂肪である。；付近で良質の粘土質が満足に取れない場合などに用いられる型式である。；その後、良質な港を多数有する播磨は羽柴家の経済拠点となっていった。；決してメジャーではなくとも、良質な音楽を現在も多数紹介し続けている。；大戦中に作られたにもかかわらず良質な材料が用いられており保存状態はいい。；城と、良質の保存がなされているルネサンス様式の長い中心地が含まれる。；競争に勝ち残ったものが良質サービスを提供しているという保証はない。；しかし、良質なアルバムを制作した半面シングル・ヒットは減少した。；今日のタイでは良質のコーヒーを生産することが可能である。；ただし正銀とは八分入のより良質な銀品位の灰吹銀であるともいわれる。；日本では太平洋岸よりも日本海岸の方が良質の砂鉄が採れるとされる。；大豆は、牛乳や卵と同等の良質なタンパク質であるとの評価を得ている。；織部は理想の茶器を作るため、作陶技術と良質な土を求めて朝鮮に渡る。；これによりコルプは現在の、良質なインフラを有する住宅地へ変化した。；カボション・カットにすると、良質の紫水晶と同じくらいの価値を持つ。；綿とあるのは昔からこのあたりが良質の綿花の一大生産地であることによる。；良質なアクション・スクロールを探している方は他のをやるべきだ。；良質な陶器が作成されており、ローマ帝国と大規模な商取引も行っていた。；さらには、落ちがなく良質のファンタジーとして話が展開することもある。；これは良質であることが軍費調達を有利にするであろうとの判断からのものとされる。；かつてこれらの山や沢からは、金や銅などの良質な鉱石が採掘されていた。；しかし環境の悪化の影響で材料に使える良質な葦の確保が難しくなっている。；彼の試験飛行を撮影した写真は少なくとも137点あり、中には良質なものもある。；この政策の一環として、タイ政府は良質なレストランに賞を与えるようになった。；稲毛領でとれる米は稲毛米と呼ばれ、江戸でも人気の良質米であった。；国内で飼育が盛んな羊から良質の毛が取れ、そのため織物や染色が発達。；自身の持つまっすぐな歌声 そして楽曲で良質なJPOPを追求している。</t>
        </is>
      </c>
      <c r="J8848">
        <f>HYPERLINK("https://www.weblio.jp/content/良質", "词义详情")</f>
        <v/>
      </c>
      <c r="K8848">
        <f>HYPERLINK("https://yourei.jp/良質", "查看例句")</f>
        <v/>
      </c>
    </row>
    <row r="8849">
      <c r="A8849" t="inlineStr">
        <is>
          <t>両者</t>
        </is>
      </c>
      <c r="B8849" t="inlineStr">
        <is>
          <t>成功</t>
        </is>
      </c>
      <c r="C8849" t="inlineStr">
        <is>
          <t>読み方：りょうしゃ
両方の者。双方。「—の言い分を聞く」</t>
        </is>
      </c>
      <c r="D8849" t="inlineStr">
        <is>
          <t>両者間；両者リングアウト；両者合意；両者合わせ；両者共通</t>
        </is>
      </c>
      <c r="E8849" t="inlineStr">
        <is>
          <t>二つ；いずれも；両方；双方；お互い</t>
        </is>
      </c>
      <c r="F8849" t="inlineStr">
        <is>
          <t>巡って両者；両者痛み分け；両者ko；千秋楽両者優勝圏内；両者失格</t>
        </is>
      </c>
      <c r="H8849" t="n">
        <v>29</v>
      </c>
      <c r="I8849" t="inlineStr">
        <is>
          <t>両者ともそれを後の第二次世界大戦でより大規模に実行することになった。；それぞれの立場の違いから、必然的に両者は対立するようになっていく。；しかし、両者の長年の対立は深刻ですぐに和睦できるものではなかった。；しかし現在では大半を占めるLED車では両者の区別が無くなっている。；両者は基本的に同一の内容を記しているが、一部に相違点がみられる。；神と世界の間には、両者を媒介するどのような領域も存在しないのである。；そのため両者は構造も大気中の効率も大幅に異なり、区別して扱われる。；この任意の商品は両者の間を往復するだけで、実質的には移動しない。；両者とも、一定の期間を経れば完全な人間になるとされることもある。；両者の秩序は、同じ実体の二つの側面を示すから、一致するとしている。；どちらも一長一短があり、両者の違いは論文などで議論されることもある。；そのため、両者は別の時代に由来するのではないかと疑われたこともあった。；両者の暴力停止が合意されたが、交渉再開は停戦継続を条件としている。；その後、両者は次第に混同されて同じ刑罰の別名とされるようになった。；同年7月8日に発表された新官制においても、両者の対立は表面化した。；両者は理事会において教育や普及の分野を担当することになるという。；最近の経営学者・経済学者には、この点を両者の相違としている者も多い。；これに伴い、両者の乗り換えは最短経路の場合を除いて不可能となった。；大別して二種類の用法があるが、両者を区別無く扱うゲームも存在する。；ホームと駅舎は同じ高さにあるが両者は橋で結ばれておりその下には別の道が通っている。；日常会話や文章などでは両者は区別されるのが普通である。；いずれにせよこの両者にだけしか見られない特異な小篆というべきであろう。；両者に差がある場合は、その差の2分の1が誤差になる可能性がある。；両者は通貨としての価値は同一であるが、相互には用いられていない。；雲との一番大きな違いは水滴の大きさなどではなく、両者の定義の違いである。；狭義では数値解析と数値計算は異なるが、両者を区別しないことにする。；さらには、両者の性質を備えた中間筋の存在も認められている。；紀元前431年には両者の対立は頂点に達してペロポネソス戦争が勃発。；構造の違いなどによる、両者の主な特徴をまとめると次のようになる。</t>
        </is>
      </c>
      <c r="J8849">
        <f>HYPERLINK("https://www.weblio.jp/content/両者", "词义详情")</f>
        <v/>
      </c>
      <c r="K8849">
        <f>HYPERLINK("https://yourei.jp/両者", "查看例句")</f>
        <v/>
      </c>
    </row>
    <row r="8850">
      <c r="A8850" t="inlineStr">
        <is>
          <t>利用者</t>
        </is>
      </c>
      <c r="B8850" t="inlineStr">
        <is>
          <t>成功</t>
        </is>
      </c>
      <c r="D8850" t="inlineStr">
        <is>
          <t>利用者数(10%)；利用者向け；利用者減少；利用者側；利用者登録</t>
        </is>
      </c>
      <c r="E8850" t="inlineStr">
        <is>
          <t>ユーザー；ユーザ；使用者；使い手；遣手</t>
        </is>
      </c>
      <c r="F8850" t="inlineStr">
        <is>
          <t>年間利用者；車椅子利用者；バス利用者；駅利用者；利用者増加</t>
        </is>
      </c>
      <c r="G8850" t="inlineStr">
        <is>
          <t>利用者名；利用者負担；利用者認証；利用者グループ；利用者定義演算子</t>
        </is>
      </c>
      <c r="H8850" t="n">
        <v>29</v>
      </c>
      <c r="I8850" t="inlineStr">
        <is>
          <t>駅の西または南側は河内長野市との境界になるため同市の利用者が多い。；利用者は東京本社版もしくは大阪本社版のどちらかが選択することができる。；利用者が少ないため、エレベーターやエスカレータは設置されていない。；なお常磐緩行線の他路線への接続のない駅では利用者数一位である。；利用者の利便を図るため、旧システムも即時廃止とはせずに併用された。；周辺であっても従来利用しなかった地区の利用者が当駅にシフトする傾向にある。；さらに近年の線内利用者の増加に対応するため、以下の変化がもたらされた。；しかし、複線化されることなく利用者が少ないことから駅自体が廃止された。；改めたダイヤが利用者全てに正しいダイヤとは限らない等の理由からである。；同行為が横行しやすいゲームでは、利用者離れが発生するケースも見られる。；通常は主に近隣の企業への通勤客が利用者の大半を占めている。；振動低減や居住快適性アップなど利用者にはその成果を支持されている。；下記の区間は利用者が多い区間で経営状況は開示されていない。；太字は、その時点で一般利用者が直接の契約関係を持つ会社である。；アミュプラザ鹿児島等の開業も影響して次第に利用者が増えている。；繁華街の外れに位置しており、難波地区の駅の中では最も利用者数が少ない。；全国で下水道管理者が利用者に対して告発などの処分を行った例はない。；利用者の中には、移動手段を自家用車からバスへ切り替えた者もいる。；九州新幹線開業後は、その速達効果が大きい 事から利用者が急増した。；利用者の設定に矛盾があったり、環境の機能に不足があれば診断情報を出力する。；建築物の利用者の安全を確保するための防災計画、避難計画を行う分野。；開発者の負担は下がり利用者の利便性は大幅に向上する事が期待されていた。；南武線の車内放送でも同様の案内がICカードの利用者に向けて行われる。；東淀川区の北側に位置し吹田市に近いため、吹田市南部の利用者も多い。；空港全体の利用者数も137万5524人で2年連続の増加となった。；利用者行為標準説もあるが、いまだ現実的な危険が生じていないとする批判がある。；しかし利用者全員に実際に課金するためのコストが高く、排除性は低い。；アメリカ各都市における、都市内バスの年間利用者数は以下の通り。；また、車椅子利用者が横断できるよう、エレベーターが設置されている。</t>
        </is>
      </c>
      <c r="J8850">
        <f>HYPERLINK("https://www.weblio.jp/content/利用者", "词义详情")</f>
        <v/>
      </c>
      <c r="K8850">
        <f>HYPERLINK("https://yourei.jp/利用者", "查看例句")</f>
        <v/>
      </c>
    </row>
    <row r="8851">
      <c r="A8851" t="inlineStr">
        <is>
          <t>領収書</t>
        </is>
      </c>
      <c r="B8851" t="inlineStr">
        <is>
          <t>成功</t>
        </is>
      </c>
      <c r="C8851" t="inlineStr">
        <is>
          <t>読み方：りょうしゅうしょ
金銭を受け取ったしるしに書いて渡す書き付け。受取(うけとり)。受領証。領収証。レシート。</t>
        </is>
      </c>
      <c r="D8851" t="inlineStr">
        <is>
          <t>領収書発行</t>
        </is>
      </c>
      <c r="E8851" t="inlineStr">
        <is>
          <t>受け取り；受取；受取り；レシート；受け取</t>
        </is>
      </c>
      <c r="H8851" t="n">
        <v>29</v>
      </c>
      <c r="I8851" t="inlineStr">
        <is>
          <t>私も主計に勤めないと、領収書の件はたぶん一生氷解しないのであろう。；領収書を取ってこいという方は、机の前だが、取ってくるのは私である。；総務省の手引では受領者側が領収書に追記するのは不適当とされている。；領収書に気をとられていた塩崎はびっくりして机の上で手をバタバタさせた。；こいつ、手元に置いておいて、領収書をカネに変える作業をさせようか?；ただし、再発行する場合は、その旨を明記した領収書を発行すべきである。；しかし一方で、きみはこれが寿司屋で発行された正しい領収書だと主張する。；プロの仕事に感動してチップを渡し、領収書はしっかりもらって車を下りた。；帳簿とか領収書とかあまり重要じゃない研究資料とか、そういうものだけ。；所有証明書と銀行のスタンプが押してあるキャッシュふりこみの領収書。；楽器を調律する3日間に二人が飲んだワインの領収書が残っている。；女の子に奢るときでも会社のツケに致したり、領収書をもらったりする。；また領収書の日付にも不審な点があり、捏造の疑いが持たれています。；領収書があれば、江木の幸せを祈り、自分も次の段階のことを考えられる。；加えて適当な出版社の名義で領収書をもらっておけば完璧だ。；外国人の方には英語での領収書発行も対応している。；この時の二人の連署が書かれている、吉良の首の領収書が泉岳寺に残されている。；彼女はハーロウ夫人の寝室にある箱の中で、一枚の領収書をみつけました。；新入部員たちが買ってきた店の領収書は、店名が同じで漢字が一字違っていた。；なぜなら夫人は、古い領収書や書類を入れる貴重品箱の中に押しこんでいたからです。；それは、彼女が客のツケを回収したときに手渡す領収書の束のようだった。；僕の弁護士が書類と領収書を持っていますから、あなたの購入馬は確認できます。；そして私が、 「領収書下さい」 と出した伝票を横からひったくった。；出張利用を選択すると、領収書の発行を宿泊施設に事前依頼可能な仕様となる。；一人二百ミリアムで、その代り、ちゃんと政府発行の領収書をくれた。；一千万の金が領収書なしで入ったのだが、正確にいうとそれも不正な金の一種であった。；領収書を書いて貰うあいだ、まだマダムは客席に姿を現わさなかった。；「領収書は差し上げられませんよ」 治子は真面目くさった顔で言った。；ところであなたも宝物室の暖炉の灰の中で燃えのこった領収書を見ましたね。</t>
        </is>
      </c>
      <c r="J8851">
        <f>HYPERLINK("https://www.weblio.jp/content/領収書", "词义详情")</f>
        <v/>
      </c>
      <c r="K8851">
        <f>HYPERLINK("https://yourei.jp/領収書", "查看例句")</f>
        <v/>
      </c>
    </row>
    <row r="8852">
      <c r="A8852" t="inlineStr">
        <is>
          <t>了承</t>
        </is>
      </c>
      <c r="B8852" t="inlineStr">
        <is>
          <t>成功</t>
        </is>
      </c>
      <c r="C8852" t="inlineStr">
        <is>
          <t>読み方：りょうしょう
［名］(スル)事情をくんで納得すること。承知すること。承諾。「—を得る」「申し入れを—する」「—済み」</t>
        </is>
      </c>
      <c r="D8852" t="inlineStr">
        <is>
          <t>了承する(8%)；了承ください；了承下さい；了承させる；了承なし</t>
        </is>
      </c>
      <c r="E8852" t="inlineStr">
        <is>
          <t>許可；承認；承知；イエス；承諾</t>
        </is>
      </c>
      <c r="F8852" t="inlineStr">
        <is>
          <t>快く了承；閣議了承；御了承；あっさりと了承；了承する旨</t>
        </is>
      </c>
      <c r="H8852" t="n">
        <v>29</v>
      </c>
      <c r="I8852" t="inlineStr">
        <is>
          <t>オープン時に社員から提案があり、社長の了承も得た上で変更したもの。；両親は高校を卒業すれば好きにしてよいと条件付きで了承してくれた。；だが事務所のプロフィール用の写真で素顔を公開することには了承した。；東尾はこれを了承して以降、そのような投球をしてこなくなったという。；議定就任者の大半が伯爵以上になっていたことから三条の了承が得られた。；みすずの力が必要だと言ってくれた岸のために、彼女はその計画を了承する。；藤沢はこれを了承し、例外的なルールでの対局が行われた例となった。；諸隊側の資料には、解隊を了承した為、使者は笑顔で帰ったとの記述がある。；宍粟市は了承し新たな指定管理者を募集して営業を継続する意向である。；この計画は8月初めにヒトラーの了承を得て実行に移されることとなった。；放送事業とは関連が薄かったが、当時の経営陣が出資を頼まれ了承した。；グラッドストン政権もこれを了承して艦隊をアレクサンドリア沖に送った。；二人はこれを了承し、吉水と林の配下100人余も稲川組傘下となった。；彼らは喜んで了承し、ピーターが飛ぶところを見せてくれるよう頼んだ。；校長はPTAの反対があるので、了承があれば通学させていいと返事した。；製作にクレジットされている大川は最終的な了承のみと考えられる。；長沼も劇的な変化が必要だと理解し加茂更迭および岡田就任を了承した。；遺族に了承を求めたが得られなかった37人の箇所は空白状態になっている。；メタスタージオはそれを了承したが、作者が誰かは伏せてもらうことにした。；そして役を入れ替えて頼んでみると二人とも了承したという。；これが了承されたことから一旦は当初提案の3箇所を比較対象に検討が進められることになった。；酔っていたとはいえ了承してしまい、課長は上層部に事案として上げる。；結果同年8月27日に監修委員会は展示内容を元に戻すことを県は了承した。；転じて、物事を行う際に事前に関係者からの了承を得ておくことを指す言葉ともなった。；しかしここで出番を取り消したら彼女のキャリアに傷がつくため仕方なく了承。；今度はディズレーリも了承し第2次ディズレーリ内閣の組閣を開始した。；この時、推薦されて、中国側から了承された貿易会社が友好商社である。；所有者は後日元の白に戻して返却される条件を了承して車を軍に貸し出した。；しかし、オジーは後にこの番組の出演を了承したことを悔いる発言をしている。</t>
        </is>
      </c>
      <c r="J8852">
        <f>HYPERLINK("https://www.weblio.jp/content/了承", "词义详情")</f>
        <v/>
      </c>
      <c r="K8852">
        <f>HYPERLINK("https://yourei.jp/了承", "查看例句")</f>
        <v/>
      </c>
    </row>
    <row r="8853">
      <c r="A8853" t="inlineStr">
        <is>
          <t>良心</t>
        </is>
      </c>
      <c r="B8853" t="inlineStr">
        <is>
          <t>成功</t>
        </is>
      </c>
      <c r="C8853" t="inlineStr">
        <is>
          <t>読み方：りょうしん
善悪・正邪を判断し、正しく行動しようとする心の働き。「—がとがめる」「—の呵責(かしゃく)」</t>
        </is>
      </c>
      <c r="D8853" t="inlineStr">
        <is>
          <t>良心的(15%)；良心回路；良心なき正直者；良心コア</t>
        </is>
      </c>
      <c r="E8853" t="inlineStr">
        <is>
          <t>本心；義憤；義侠心；道心；正義感</t>
        </is>
      </c>
      <c r="F8853" t="inlineStr">
        <is>
          <t>無良心；非良心；わが良心；職業的良心；やましい良心</t>
        </is>
      </c>
      <c r="G8853" t="inlineStr">
        <is>
          <t>良心的兵役拒否；良心の自由；良心的兵役拒否者；良心の囚人；良心市</t>
        </is>
      </c>
      <c r="H8853" t="n">
        <v>29</v>
      </c>
      <c r="I8853" t="inlineStr">
        <is>
          <t>これを防ぐ良心ある店は、二重の苦悩の中に落ちることとなるのである。；米友は、ここまでの道中で二度失敗ったことを良心に責められています。；良心あるものはその声にきいて道をたどるのほかはなかったのである。；けど、お前は僕を下等やいう前に自分の良心に訴えてみる必要ないのんか。；併し、このままあなたとの関係を続けて行くことは僕の良心が許しません。；吾が国のソヴェート文献翻訳事業に、もっと責任と良心とを要求したい。；神学的には、この恩寵には人の心のなかの良心の働きなども含まれている。；旅法師は己の不明を恥じながらも、人間の良心に希望を見出すのだった。；けれども今日の我々よりは、はるかに多くの良心をもって戦いにのぞんだ。；この肖像画こそ自分の良心だと知ったドリアンは絵を破壊せんとする。；自分たちの信念と良心に従って、やりたいことをやりたいようにやった。；彼は彼の女主人のために自分の良心を犠牲にしたいと思った。；のみならず私は、そこに自分の良心を満足させる言訳さえも持っていました。；そしてそれらはいかなる動機からかと言えば、ただ良心の懸念からである。；危険なのはいわゆる良心の麻痺のために悪を行うて悪を悟らざることである。；それでも「彼女にも良心がある」と信じたい太郎の葛藤は膨らんでいく。；彼女は家じゅうの者の良心に責任を帯びてる主婦のように振る舞っていた。；理性や良心は神の統一作用の一部であろうが、その生きた精神その者ではない。；だってわたしの良心は人から何も借りていないではないか。；こんな字を頼む奴も心得違いだが、書く方も余り芸術良心が無さ過ぎるね。；良心を振りまわす者は却って良心の不足した人間と見た方が間違いがない。；彼は自己の有用をもって良心となし、自己の職務をもって宗教となしていた。；じつのところ、彼は良心的な男で、いつも心に例の金言を銘じていた。；しかし自然法と良心が啓示の源泉と考えるカトリック神学とは対立した。；良心の掟は自然から生れると言われるが、むしろそれは習慣から生れる。；だが残念ながら、彼の良心はそこまで良心的になることができない。；あのラテン人種の眼の中には、良心というものがまるでないのですよ。；著名なホールであるにもかかわらず、入場料は非常に良心的である。；また自分たちの残りの人生を悩ませる良心の危機に苦しむ者もいた。</t>
        </is>
      </c>
      <c r="J8853">
        <f>HYPERLINK("https://www.weblio.jp/content/良心", "词义详情")</f>
        <v/>
      </c>
      <c r="K8853">
        <f>HYPERLINK("https://yourei.jp/良心", "查看例句")</f>
        <v/>
      </c>
    </row>
    <row r="8854">
      <c r="A8854" t="inlineStr">
        <is>
          <t>両親</t>
        </is>
      </c>
      <c r="B8854" t="inlineStr">
        <is>
          <t>成功</t>
        </is>
      </c>
      <c r="C8854" t="inlineStr">
        <is>
          <t>読み方：りょうしん
父親と母親。ふたおや。</t>
        </is>
      </c>
      <c r="D8854" t="inlineStr">
        <is>
          <t>両親共；両親様；両親宅；両親宛；両親不在</t>
        </is>
      </c>
      <c r="E8854" t="inlineStr">
        <is>
          <t>親；父母；二親；ペアレンツ</t>
        </is>
      </c>
      <c r="F8854" t="inlineStr">
        <is>
          <t>御両親；幼くして両親；亡き両親；優しい両親；経営する両親</t>
        </is>
      </c>
      <c r="G8854" t="inlineStr">
        <is>
          <t>両親への手紙；両親媒性分子；両親学級</t>
        </is>
      </c>
      <c r="H8854" t="n">
        <v>29</v>
      </c>
      <c r="I8854" t="inlineStr">
        <is>
          <t>まことの両親は離婚しており、それが彼にどんな影響を与えたかは不明。；これは両親、特に父親との関係が不仲であったことが理由とされている。；多忙な両親のために、幼い頃から自分と弟の食事を作ることも多かった。；それは郊外のロベルティの農家に両親や弟が住んでいたからでもあった。；これは、雑種がその両親の中間的な性質を示すことが多いことに基づく。；両親には、最初の子供だったことからとても大事に育てられたという。；かつて南部から脱出に成功した両親が1859年頃に住んだ家である。；両親の趣味はクラシック音楽で演奏会に連れて行かれることもあった。；両親が働いていたロンドンで生まれ、7分後に生まれた双子の妹がいる。；この時期に、かつて両親が住んでいたモンパルナスの一角も訪ねている。；両親は正式な教育をあまり受けてなかったが、母が教育熱心だった。；両親は自分たちの娘が商売人と結婚するようなことを認めなかった。；両親はいずれもクメール王朝から独立した小国の出身だと考えられている。；富野自身も両親に対して憎悪のような感情を抱いていたと述懐している。；公式にそれを示す設定はなく、両親や家族がいるかは不明である。；家業を継いでもらいたいと考えていた両親は当初進学に反対した。；両親とも学生運動に反対で、ワンゲル部に入ろうとした際にも反対した。；彼の両親はそこで海上貿易に携わっており、彼も常に海の上で育った。；両親は彼女が3歳の時に離婚しており、双方とも疎遠であると語っている。；両親はニコールに巡礼したと言っていたが、それは両親の嘘であった。；両親はプリンスが子供の頃の1966年に離婚し、父親が家を出て行った。；両親共に役者で、彼女が幼いときはアトランタで演技学校を経営していた。；北島は定収がなく、妻の両親から結婚を反対されたと後に語っている。；自身は大学院進学も希望していたが、両親の意向もあり家庭に入る。；両親が高位の党幹部であるため、曽慶紅は太子党と呼ばれることがある。；ホッパーの両親は、商業芸術を学んで手に職をつけるように言った。；両親も教育者であったマリは、その人生において多くの人々を教えた。；ロビーが3歳の時に両親は離婚しており母親に姉とともに育てられた。；幼い時に両親が離婚したため、スイスで過ごすが、その後ロンドンに戻る。</t>
        </is>
      </c>
      <c r="J8854">
        <f>HYPERLINK("https://www.weblio.jp/content/両親", "词义详情")</f>
        <v/>
      </c>
      <c r="K8854">
        <f>HYPERLINK("https://yourei.jp/両親", "查看例句")</f>
        <v/>
      </c>
    </row>
    <row r="8855">
      <c r="A8855" t="inlineStr">
        <is>
          <t>領地</t>
        </is>
      </c>
      <c r="B8855" t="inlineStr">
        <is>
          <t>成功</t>
        </is>
      </c>
      <c r="C8855" t="inlineStr">
        <is>
          <t>読み方：りょうち
領有している土地。所有し支配する土地。また、国家の主権の及ぶ土地。領土。</t>
        </is>
      </c>
      <c r="D8855" t="inlineStr">
        <is>
          <t>領地を与えられ；領地内；領地替え；領地没収；領地経営</t>
        </is>
      </c>
      <c r="E8855" t="inlineStr">
        <is>
          <t>領域；領；領土；国土；ドメイン</t>
        </is>
      </c>
      <c r="F8855" t="inlineStr">
        <is>
          <t>旧領地；新領地；御領地；領地割譲；領地を持つ貴族</t>
        </is>
      </c>
      <c r="H8855" t="n">
        <v>29</v>
      </c>
      <c r="I8855" t="inlineStr">
        <is>
          <t>さらに共和国時代に得たアイルランドの領地も再度国王から授与された。；これに対応するため幕府は有力大名を領地に戻して治安を強化させていた。；武田の行政機構が領地の拡大にあわせて変化していった一例であろう。；ハプスブルク家は世襲領をはるかに離れた地域にも領地を獲得し始める。；その仕返しに、政府は残されたブルターニュの領地を売却しようとした。；なぜならばこの葬儀のために特別な領地が設けられていたからである。；また、敵の領地に止まった時には召喚することで戦闘をさせることも出来る。；その頃は貴族や富豪がこの地に領地を所有したり、居を構えていた。；両国共に戦争前の状態に戻すことに同意したので、領地の獲得は無かった。；しかし実際には、湯長谷藩の領地は延岡藩とは独立に本田とされている。；ラースローはケーセギ家の領地に侵入するが、勝利は収められなかった。；入信した大名の領地では、特に顕著にキリスト教が広がることになった。；江戸時代は松前藩の領地であったが、藩の直接統治は及んでいなかった。；藩主である頼方は領地に下ったことはなく、代官が派遣されて統治していた。；その後は京で独自の領地を持っていた祖父の幽斎を頼って暮らした。；尾張藩が領地としていた木曾の経営史をテーマに卒業論文 を執筆した。；各領地も離れており、具体的にどの程度の結束力であったかまでは不明である。；最終的に調停によって領地は分割されたが、クラレンスは不満であった。；壬生の干瓢は鳥居忠英が前領地の水口からもたらしたと伝承されている。；ただし、帝国への納税の義務を負っているのは領地を持つ貴族だけである。；その後、伝承によると領地六万貫を足利尊氏より寄進されたとされている。；大須賀氏の領地は榊原家に吸収されたりはせず、幕府に返上となった。；江戸時代は初期には浅野家、のちに御三家の紀伊徳川家の領地であった。；また、北に領地を接する下野宇都宮氏との間に幾多の戦いを繰り広げた。；晩年に伊予西条藩初代藩主となったが、領地に入る前に死去した。；稲沢小源太の由来は稲沢は領地の地名というが、その所在は明らかでない。；以降はセント・オールバンズの領地で隠退生活を送って著述に専念した。；古代には現区域付近一帯は住吉大社の領地だったといわれる。；通常地形は、プレイヤーがクリーチャーを配置して領地にすることが可能である。</t>
        </is>
      </c>
      <c r="J8855">
        <f>HYPERLINK("https://www.weblio.jp/content/領地", "词义详情")</f>
        <v/>
      </c>
      <c r="K8855">
        <f>HYPERLINK("https://yourei.jp/領地", "查看例句")</f>
        <v/>
      </c>
    </row>
    <row r="8856">
      <c r="A8856" t="inlineStr">
        <is>
          <t>両手</t>
        </is>
      </c>
      <c r="B8856" t="inlineStr">
        <is>
          <t>成功</t>
        </is>
      </c>
      <c r="C8856" t="inlineStr">
        <is>
          <t>読み方：りょうて
１左右両方の手。もろて。「—利き」
２《その指の数から》10の数。</t>
        </is>
      </c>
      <c r="D8856" t="inlineStr">
        <is>
          <t>両手をつい；両手両足；両手でしっかり；両手を高く；両手でつかん</t>
        </is>
      </c>
      <c r="E8856" t="inlineStr">
        <is>
          <t>両腕；もろ手</t>
        </is>
      </c>
      <c r="F8856" t="inlineStr">
        <is>
          <t>両手ワンハンドル；両手をさし伸べ；両手をかたくにぎりしめ；両手で抱きかかえる；両手を固くにぎりしめ</t>
        </is>
      </c>
      <c r="G8856" t="inlineStr">
        <is>
          <t>両手に花；両手軍刀術；両手絞；両手取引；両手いっぱいのジョニー</t>
        </is>
      </c>
      <c r="H8856" t="n">
        <v>29</v>
      </c>
      <c r="I8856" t="inlineStr">
        <is>
          <t>また、両手で長槍を支えることができるようになったのも効果が大きい。；現代のように両手で演奏するものではなく、片手で演奏するものであった。；Y字のところにいる場合は、両手に1本ずつ糸を持つような具合である。；両手には剣を装備したイヌの獣人のような姿をしたゲノデジモンの一体。；本物と異なり、頭頂部から口へのエッジと両手の爪が黄色になっている。；対して幸四郎はやや反身になって、杖は両手共に下から持つ姿勢だった。；三船は両手で刀を握って八双の構えをとり、膝だけで馬を制御している。；そして前脚は人間と同じように両手となって物を持つようになった。；元々は、両手を左右にいっぱい伸ばしたときの幅に由来する身体尺である。；歩兵の装甲が強化されたため、両手での長柄兵器の使用が可能になった。；また、両手にグローブをつけて演奏していることも特徴の一つである。；これは刀が鋭利で、しかも両手で使用するので力をこめられるためだ。；片手だけで行うこともあれば両手を用いて行うこともあり、その時々で異なる。；両手を封じられてポーズがとれないときは、その場で回転して変身する。；両手をクラッチせずに右腕で足首を極めた状態のままにする場合もある。；依頼主はひざまずいて両手を合わせた全身像で描かれることがほとんどである。；それは、銀地に両手に矢を持った赤い服の人物と赤地に銀の鋤箆である。；ピアノは元来、1人が両手を用いて演奏することを想定して作られている。；大きさは様々であるが、ひと一人が両手で持てることが基本である。；団長は奉曳車の直前、2本の綱の間で両手で綱を持っていることが多い。；左右の手で別々の文章や絵を描くことができる両手両利きであった。；両手で1本ずつあるいはそれ以上のジョイスティックを操作する事もある。；ジャガー神は、たいまつ状、もしくは植物状のものを両手に持っている。；婦人像の腰の上には両手でリンゴを持つ小さな裸の子供がいる。；その下には両手を上げ天を支えている僧が立っている。；最初は両手を移動させず、左右が同じ動きをなぞる練習から始まる。；立っている相手の頭を両手または片手で掴んで自身の頭に叩き込む。；リーダーの手のカーソルは両手が物で塞がっていても制限なしに使用可能。；最初期のカードでは両手に銃を持ち、羽の生えた姿で写っている。</t>
        </is>
      </c>
      <c r="J8856">
        <f>HYPERLINK("https://www.weblio.jp/content/両手", "词义详情")</f>
        <v/>
      </c>
      <c r="K8856">
        <f>HYPERLINK("https://yourei.jp/両手", "查看例句")</f>
        <v/>
      </c>
    </row>
    <row r="8857">
      <c r="A8857" t="inlineStr">
        <is>
          <t>領土</t>
        </is>
      </c>
      <c r="B8857" t="inlineStr">
        <is>
          <t>成功</t>
        </is>
      </c>
      <c r="C8857" t="inlineStr">
        <is>
          <t>読み方：りょうど
１領有している土地。領地。
２国家の統治権の及ぶ区域。土地からなる国家の領域であるが、広義には領海・領空を含めて用いられる。</t>
        </is>
      </c>
      <c r="D8857" t="inlineStr">
        <is>
          <t>領土拡大(2%)；領土内(2%)；領土拡張；領土戦；領土分割</t>
        </is>
      </c>
      <c r="E8857" t="inlineStr">
        <is>
          <t>領域；領；領地；国土；ドメイン</t>
        </is>
      </c>
      <c r="F8857" t="inlineStr">
        <is>
          <t>新領土；全領土；自国領土；新しい領土；旧領土</t>
        </is>
      </c>
      <c r="G8857" t="inlineStr">
        <is>
          <t>領土紛争；領土割譲；領土主権；領土拡張主義；領土侵犯</t>
        </is>
      </c>
      <c r="H8857" t="n">
        <v>29</v>
      </c>
      <c r="I8857" t="inlineStr">
        <is>
          <t>アメリカ合衆国政府の管轄下にあった領土では最初に作られた州だった。；この地域に対するドイツの領土要求が第二次世界大戦勃発の原因となる。；このうち北西側の緑色の部分は北に隣接するセルビアの領土となった。；周王室の領土は東西に分裂し、狭い範囲で互いに争い合う有様であった。；領土と不可分に結合しており、領水のみ単独では処分の対象とならない。；島国とは、領土の周りが海に囲まれ、海上に国境がある国のことである。；その都市は、広大な領土を保有する国の一部であることを発見した。；またこれらの領土や人民は国王の許可なく寺院に寄付することができた。；複数の領土を有する国家は他にもあるが、はっきりと異なっている。；これらの領土は次のような地方行政区画に区分され統治されている。；その領土は現在のメキシコの2倍に匹敵するほど広大なものであった。；この条件から外れると領海を形成するために有効な領土ではなくなる。；ニューファンドランド・ラブラドールはカナダでも最も若い領土である。；編入された領土ではメキシコ時代に廃止された奴隷制が復活した。；このように武帝期には毎年のように外征が行われ、領土を大きく拡大した。；だが、条約の内容を知ったスペインは領土の分割に強く抵抗した。；特にカンタブリ族が占領した領土の正確な位置の問題においてである。；特にイギリスの領土ではこれらの語が通貨の単位としては用いられていない。；スペインは事実上権利だけで領土の所有はしていなかった。；濃い緑がその時代の領土、薄い緑がルーマニアが領有したことのある地域。；しかしこの王は策略と戦争は得意で、ローマはさらに領土を広げた。；勉強不足のアスカでさえ知っているほど、領土が小さいことで有名。；フランスの領土は、ヨーロッパの領土とヨーロッパ以外にある海外の領土からなる。；海上においては、海に面した領土を持つ国家の領海の縁辺が国境となる。；現在のウクライナの北部から北西部にかけての地域を領土とする国。；この高原は現在の中国領土の約23パーセントの面積を占めている。；しかしこの行動はハンガリーなどで領土回復運動が高まるきっかけとなった。；ソ連の領土要求に対して唯一軍事的に反抗したのがフィンランドだった。；帝国は領土的縮小の時代に入り、9世紀まで回復することはなかった。</t>
        </is>
      </c>
      <c r="J8857">
        <f>HYPERLINK("https://www.weblio.jp/content/領土", "词义详情")</f>
        <v/>
      </c>
      <c r="K8857">
        <f>HYPERLINK("https://yourei.jp/領土", "查看例句")</f>
        <v/>
      </c>
    </row>
    <row r="8858">
      <c r="A8858" t="inlineStr">
        <is>
          <t>量販</t>
        </is>
      </c>
      <c r="B8858" t="inlineStr">
        <is>
          <t>成功</t>
        </is>
      </c>
      <c r="C8858" t="inlineStr">
        <is>
          <t>読み方：りょうはん
同一規格の商品を、安くして大量に売ること。マスセールス。「—店」</t>
        </is>
      </c>
      <c r="D8858" t="inlineStr">
        <is>
          <t>量販店(36%)；量販車種(6%)；量販ルート(3%)；量販グレード(3%)；量販モデル(3%)</t>
        </is>
      </c>
      <c r="F8858" t="inlineStr">
        <is>
          <t>大型量販；最量販；電器量販；大手量販</t>
        </is>
      </c>
      <c r="G8858" t="inlineStr">
        <is>
          <t>量販車</t>
        </is>
      </c>
      <c r="H8858" t="n">
        <v>29</v>
      </c>
      <c r="I8858" t="inlineStr">
        <is>
          <t>ただメーカーや量販店によっては一部置かれている場合も存在する。；海外での量販はアイバニーズ社が先行して行っている事も有名。；エクレストン体制では量販モデルの製造を止め、F1のみに活動を絞った。；レコード量販店や全国の一部の書店で購入可能であった。；ウエスギ株式会社は、広島県福山市に本社を置く繊維関係量販店である。；主にスポーツ量販店と自社サイトを通じて注文を受け、販売を行う。；日本の自転車に切り換えまして、量販ルート専門で出直したばかりです。；一部ではあるが、大手量販店や問屋のプライベートブランドの製造も行なっている。；ラーダブランドは、ロシアでは量販ブランドで第1位となっている。；家電量販事業から撤退した後は不動産賃貸業を行っていた。；鈎は量販物をそのまま用いず、先端を鋭利に研ぎ上げて使用する。；また2010年代に入り、町内の至る所で大型量販店の出店が相次いでいる。；専門店で購入するよりも、あのような量販店でその売り場に行くのは、かなり緊張してしまいました。；わたしはまだ素人ですけれど、量販ルートはこれからの自転車の流通ルートとして必ず成長すると思います。；乗りこむと東口風俗街の入口にある電気量販店の名を告げた。；量販されている錠前は、同じ鍵で開くことが多い。；中型とも言える、奥に駐車場を持つ量販型の店だ。；主な供給先はスーパーマーケットや量販店である。；量販型コヴェントリー・クライマックスエンジンの登場もイギリス勢の追い風となった。；Googleがこのモデルを発表したのは7月26日と発売の4日前のことで、発表から早期に量販店へ提供し販売するための策であった。；北米においても、1960年代前半まではトヨタの最量販車種であった。；中央通りにおおきなビルをもってるような量販店でも、もう労働組合とかぜんぜんだめになってる。；自身で企画開発したネックウェアを全国百貨店、スーツ量販店や海外で販売している。；ヨーロッパでは日本で言うリッターカーが量販クラスであり、庶民の足として使われている。；卸からスーパーなどの量販店へ売る販路を軽蔑をこめて第三ルートと称しているようですが、これからはこの第三ルートが急速に伸びていくんじゃないでしょうか。；スーパーで買う自転車も専門店並みの品質が維持されていたからこそ、量販ルートが確立したと言える。；そうしてマイカー族は、郊外にある、ゆったりと駐車場を広くとった大型量販店を利用し始めた。；市内の主な家電量販店舗は以下のとおり。；その好調ぶりから、他の眼鏡量販店舗でもセットで定額かつ低価格で販売する形態の店舗を展開するようになっている。</t>
        </is>
      </c>
      <c r="J8858">
        <f>HYPERLINK("https://www.weblio.jp/content/量販", "词义详情")</f>
        <v/>
      </c>
      <c r="K8858">
        <f>HYPERLINK("https://yourei.jp/量販", "查看例句")</f>
        <v/>
      </c>
    </row>
    <row r="8859">
      <c r="A8859" t="inlineStr">
        <is>
          <t>両方</t>
        </is>
      </c>
      <c r="B8859" t="inlineStr">
        <is>
          <t>成功</t>
        </is>
      </c>
      <c r="C8859" t="inlineStr">
        <is>
          <t>読み方：りょうほう
《古くは「りょうぼう」とも》
１二つの方向・方面。「右と左の—を見てから進む」
２二つあるものの二つとも。双方。両者。「労使の—から歩み寄る」
３「両方綱」の略。</t>
        </is>
      </c>
      <c r="D8859" t="inlineStr">
        <is>
          <t>両方共；両方あわせ；両方備える</t>
        </is>
      </c>
      <c r="E8859" t="inlineStr">
        <is>
          <t>いずれも；両者；双方；両人；両者とも</t>
        </is>
      </c>
      <c r="F8859" t="inlineStr">
        <is>
          <t>男女両方；両方とも同じ；片方または両方；東西両方；南北両方</t>
        </is>
      </c>
      <c r="H8859" t="n">
        <v>29</v>
      </c>
      <c r="I8859" t="inlineStr">
        <is>
          <t>コンピュータ生成解剖学モデルは教育や運用の両方の目的で使用される。；全てのベクトルのように大きさと方向を持ち、これら両方が重要である。；当初のアダムは男と女の両方の性質を合わせ持つ完全な統一体であった。；左側眼・右側眼の両方の種類がいて、種の中では向きが統一されている。；中国で古くから両方に「桐」の字を用いているために混乱が生じている。；また、作詞作曲両方をする時は基本的に曲を先に作ってから詞をつける。；貨物取扱量は多く、駅の北側と南側の両方には信号所が設置されていた。；これらの論文は両方とも自身の結果に基づいてもう1人を非難した。；和菓子・洋菓子の両方の要素を取り入れた菓子も珍しくなくなっている。；新しいものを創造することは、革命と無政府共産主義の両方を提唱した。；バスターミナルは駅の南北両方に位置し、多数のバスが発着している。；この場合、同じ選手がシングルスとダブルスの両方に出ることができる。；この彫像の光景は、神秘主義と一家の誇りの両方を示しているのである。；ただし、いずれもドライブとメディアが両方対応している最高倍速まで。；本作は従来型の劇場とIMAX劇場の両方で公開されたシリーズ初の作品だった。；当初は、棒状のものと正六面体のものの両方が用いられていたようである。；唇は両方とも歯の上に丸め、上唇がさらに「」に沿っていることが多い。；ただし水面のような液体の表面は、表と裏の両方から接触可能である。；ゆかでは、前方系と後方系の両方の宙返りを実施しなければならない。；これらには道の駅とみなとオアシスの両方のマークが掲げられている。；これらのシステムは、長命の毒と短命の解毒剤の両方を同時に生成する。；このため、武蔵野線直通列車と京葉線内の列車の両方が利用可能である。；この楽器の名称は国や地域によってアルトとテナーの両方が使われている。；五つの母音字は長短両方を表したが、文字の上で長短の区別はなかった。；ロングシート・クロスシートの両方に転換可能なタイプの座席である。；駅東口の国道28号上の南北両方に、タクシー乗り場が設置されている。；製造技術と音響学の知識の両方が洗練され、楽器の演奏性が大幅に向上した。；なお、一つの項目が長所と短所の両方を包含する場合があることに留意。；このため、両局は発足当初からJRN・NRN両方とも加盟している。</t>
        </is>
      </c>
      <c r="J8859">
        <f>HYPERLINK("https://www.weblio.jp/content/両方", "词义详情")</f>
        <v/>
      </c>
      <c r="K8859">
        <f>HYPERLINK("https://yourei.jp/両方", "查看例句")</f>
        <v/>
      </c>
    </row>
    <row r="8860">
      <c r="A8860" t="inlineStr">
        <is>
          <t>料理</t>
        </is>
      </c>
      <c r="B8860" t="inlineStr">
        <is>
          <t>成功</t>
        </is>
      </c>
      <c r="C8860" t="inlineStr">
        <is>
          <t>読み方：りょうり
［名］(スル)
１材料に手を加えて食べ物をこしらえること。また、その食べ物。調理。「野菜を—する」「郷土—」
２物事をうまく処理すること。
「自から国政を—す」〈織田訳・花柳春話〉</t>
        </is>
      </c>
      <c r="D8860" t="inlineStr">
        <is>
          <t>料理番；料理店；料理場；料理女；料理書</t>
        </is>
      </c>
      <c r="E8860" t="inlineStr">
        <is>
          <t>食事；テーブル；処理；処分；始末</t>
        </is>
      </c>
      <c r="F8860" t="inlineStr">
        <is>
          <t>様々な料理；高級料理；おいしい料理；一品料理；どんな料理</t>
        </is>
      </c>
      <c r="G8860" t="inlineStr">
        <is>
          <t>料理人；料理店；料理研究家；料理法；料理長</t>
        </is>
      </c>
      <c r="H8860" t="n">
        <v>29</v>
      </c>
      <c r="I8860" t="inlineStr">
        <is>
          <t>しかし、それがどのような料理であったのか具体的にはわかっていない。；これを聞いた田文はその客に料理がまったく同じだと言うことを示した。；場所によっては男性が女性の代わりに料理などの家事を行う日とされる。；現在のような料理ではなく、高盛りになったご飯などであったとされる。；熱を吸収することを利用した黒色のフォイルが、料理に使用されている。；ドイツのビアガーデンでの料理、ビールの注文手順の一例を以下に示す。；外国の料理を特徴としたレストランは主にベイオール地区に集中している。；料理好きな面もあり、元暗殺者とは思えない普通の家庭的な暮らしをしている。；ソビエト連邦では、ボルシチは最も人気のある日常の料理の一つだった。；釘宮理恵も仕事終わりに川澄の料理を食べに来る時があるとのことである。；海岸地帯の料理にはセビッチェのように魚介類を豊富に使った料理が多い。；むしろ、その料理を作る土地やそこにいる人間にストーリー性を持たせている。；海に囲まれているため魚介類も豊富で、魚やエビなどを使った料理も多い。；ロンドンは多くの民族的な多様性から料理の幅がかなり広い。；レギンが現れ、竜の血を飲み、竜の心臓を料理するようシグルズに言う。；建築・料理なども同様にイタリア化したものになっている。；女中は料理女と馭者を呼びに行ったが、まだ激しい口論は続いていた。；これが世界中に伝播し、現在では世界的に広く食べられている料理である。；移動式屋台は、独特の掛け声や鍋・椀・竹を叩いて販売料理を宣伝する。；専門料理は技術であり、また特に高度なものは芸術の一種と捉えられることもある。；しかし近年では和食の影響を受け、徐々に料理に使われてきている。；そのころまだ自炊をしていたので、自分で作った料理を食べてもらったんです。；大長編ではカニピラフやステーキ等の高級料理を食べていることが多い。；アニメ第2作では、料理もできるようになっており、超能力は効かない。；レストランでは名前の通り、前沢牛を使用した料理も提供している。；当時の家庭では、脚店から出前を取って自宅で料理しないことも多かったという。；客人として訪問した際には、食べきれないほどの料理が出てくることが多い。；小学館の漫画雑誌では、料理以外の事柄を題材にした作品を執筆している。；この料理は、現在でも広州料理の一つとして一般的に食べられている。</t>
        </is>
      </c>
      <c r="J8860">
        <f>HYPERLINK("https://www.weblio.jp/content/料理", "词义详情")</f>
        <v/>
      </c>
      <c r="K8860">
        <f>HYPERLINK("https://yourei.jp/料理", "查看例句")</f>
        <v/>
      </c>
    </row>
    <row r="8861">
      <c r="A8861" t="inlineStr">
        <is>
          <t>両立</t>
        </is>
      </c>
      <c r="B8861" t="inlineStr">
        <is>
          <t>成功</t>
        </is>
      </c>
      <c r="C8861" t="inlineStr">
        <is>
          <t>読み方：りょうりつ
［名］(スル)二つの物事が同時に支障なく成り立つこと。「仕事と家庭とを—させる」</t>
        </is>
      </c>
      <c r="D8861" t="inlineStr">
        <is>
          <t>両立する(13%)；両立させる(10%)；両立できる(3%)；両立し得；両立させよ</t>
        </is>
      </c>
      <c r="E8861" t="inlineStr">
        <is>
          <t>共存；相性；柔軟性；併存；並存</t>
        </is>
      </c>
      <c r="F8861" t="inlineStr">
        <is>
          <t>両立する全順序；両立主義者；両立し得る；両立支援；両立する形</t>
        </is>
      </c>
      <c r="H8861" t="n">
        <v>29</v>
      </c>
      <c r="I8861" t="inlineStr">
        <is>
          <t>これらを両立するには、仕事と生活のバランスを取ることが必要である。；こうしてひとつの個人の中に互いに矛盾したような性質が両立する。；しかし仕事とサッカーの両立に限界を感じたため2010年限りで退団。；運動と勉強をよく両立、あまりの英語力を教授に惜しまれ大学院に残る。；それに伴い各種武装は高出力化および小型化の両立に成功している。；当初はカント哲学とキリスト教の両立問題に関心を集中させていた。；仕事をしている人や他学校に在籍している人には、両立が難しい。；デザインというものデザイナーのイメージあるいは両立させるかにある。；上のように人間の安全保障と平和の両立が新たな課題となっている。；それらを両立する為に、設計には非常に複雑な計算を必要とする。；打撃と投げを両立させたキャラクターであり、登場するごとに強さを増している。；またその周での全ての兵器の入手と改造の両立は不可能に等しい。；また他の一部は理神論を信じ、生物の進化と信仰を両立させている。；何故ならこの2つの機体の特性を両立させることは無理で危険だと考えたからである。；治水と河川環境の再生・維持を両立させる上で重要な視点は次のとおりである。；各RAIDレベルを組み合わせて信頼性と速度を両立させることができる。；主に高等学校で、勉強と部活動の両立を目標に掲げる学校が多く存在する。；オーク・パークは、歴史の保存と経済の発展を両立させることを試みている。；複数の登場人物の間で幸福が両立しないことが多くある。；横浜市内で新入社員研修を受け、当初は作家業との両立を志向していた。；結果的にユーザと管理者は両立のための複雑な設定を余儀なくされた。；学生の教育と最先端研究との両立を成功させている数少ない大学といわれている。；マリア・リサとの関係を持った頃は、両立できるか懸念を抱いていた。；非両立主義に属するもうひとつの考え方は、リバタリアニズムである。；周平との結婚以来、姑との確執、仕事と家庭との両立のなかで呻吟する。；また、宇多田の「革命性と大衆性の両立」を指摘してその衝撃を語った。；しかし、この場合にもいわゆる総計一致二命題は両立しないことを確認した。；このままではどう頑張ってみても古墳保存と道路建設の両立は不可能である。；男性上位の時代にカメラマンを目指し、仕事と家庭を両立させた女性の人生を描く。</t>
        </is>
      </c>
      <c r="J8861">
        <f>HYPERLINK("https://www.weblio.jp/content/両立", "词义详情")</f>
        <v/>
      </c>
      <c r="K8861">
        <f>HYPERLINK("https://yourei.jp/両立", "查看例句")</f>
        <v/>
      </c>
    </row>
    <row r="8862">
      <c r="A8862" t="inlineStr">
        <is>
          <t>旅館</t>
        </is>
      </c>
      <c r="B8862" t="inlineStr">
        <is>
          <t>成功</t>
        </is>
      </c>
      <c r="C8862" t="inlineStr">
        <is>
          <t>読み方：たびやかた
旅人を泊める家。宿屋。りょかん。
「浮かれ女の浮かれてやどる—すみつきがたき恋もするかな」〈六百番歌合・恋下〉</t>
        </is>
      </c>
      <c r="D8862" t="inlineStr">
        <is>
          <t>旅館街；旅館組合；旅館経営；旅館協同組合；旅館ホテル</t>
        </is>
      </c>
      <c r="E8862" t="inlineStr">
        <is>
          <t>ホテル；宿；宿屋；宿舎；泊まり</t>
        </is>
      </c>
      <c r="F8862" t="inlineStr">
        <is>
          <t>屋旅館；各旅館；高級旅館；古い旅館；大きな旅館</t>
        </is>
      </c>
      <c r="G8862" t="inlineStr">
        <is>
          <t>旅館東屋；旅館寿恵比楼</t>
        </is>
      </c>
      <c r="H8862" t="n">
        <v>29</v>
      </c>
      <c r="I8862" t="inlineStr">
        <is>
          <t>旅館の息子というだけあって鎌田の料理の腕前もなかなかのものだった。；温泉の製造設備に被害が生じて50軒の旅館等への配湯が一時中止された。；その騒ぎが元で旅館の関係者、宿泊客からのサイン攻めにあったとの事。；近代に温泉がわき、徐々に温泉を扱う旅館が開業したというが詳細は不明。；日帰りを前提としているため、宿泊のためのホテルや旅館は紹介されない。；鳴子地区は温泉を主とした観光地区で、ホテル・旅館が多く立地する。；現在の旅館の建物はその後再建した際に移築されたものである。；中心部の旅館に比べると警察の監視が比較的緩やかだったためだといわれる。；ご当地ソングの制作は泊まった旅館の部屋内での録音で行われることも多い。；仲居は、現代では旅館や料亭などで給仕や接待をする女性の職業を指す。；高度経済成長期には旅館街が広がっていたが、全て営業していない。；ただし、住宅や旅館以外の洗面所はトイレのことを指す場合が多い。；外出先には銀河鉄道指定のホテル・旅館が手配されていることが多い。；これは旅館、モーテル向け、そんなところにしかソフトは動いていません。；ほかに日帰り入浴施設や旅館に併設された立ち寄り温泉浴場が存在する。；渋谷で旅館を経営しており、その一室を自身の仕事部屋にしていた。；父は当初競輪選手だったが、宿泊していた旅館の娘と結ばれて結婚。；宮島桟橋から厳島神社へと続く道沿いには多くの旅館が点在している。；旅館や民宿などの宿が数軒存在するが、温泉街の街並みは形成されていない。；そのため、この地に鉄道を敷設する運動が地元の旅館主などから起こるようになった。；宿泊客は温泉に浸かる際には、旅館の外にある共同浴場に通っていた。；また、各旅館が設置している足湯も幾つかあり、無料で利用できる。；画家たちはブローデの旅館に滞在し、時としてブローデに作品を残した。；共同浴場は存在しないので、旅館の日帰り入浴を利用することになる。；生活のため旅館に住み込みで働く母とも長く離れて暮らした。；家古屋川と迫原川の合流部付近の山間に位置し、9軒の旅館が存在する。；周辺にはホテルや旅館が立ち並ぶ典型的な観光地の様相を呈している。；奥会津の山深くに、旅館・民宿が数軒、及び2軒の共同浴場が存在する。；芦原温泉街の南端に位置し、駅の北側には広範囲にわたって旅館が立つ。</t>
        </is>
      </c>
      <c r="J8862">
        <f>HYPERLINK("https://www.weblio.jp/content/旅館", "词义详情")</f>
        <v/>
      </c>
      <c r="K8862">
        <f>HYPERLINK("https://yourei.jp/旅館", "查看例句")</f>
        <v/>
      </c>
    </row>
    <row r="8863">
      <c r="A8863" t="inlineStr">
        <is>
          <t>緑茶</t>
        </is>
      </c>
      <c r="B8863" t="inlineStr">
        <is>
          <t>成功</t>
        </is>
      </c>
      <c r="C8863" t="inlineStr">
        <is>
          <t>読み方：りょくちゃ
茶の若葉を摘んで蒸し、焙炉(ほいろ)の上でもみながら、葉の緑色を損なわないように乾燥させた茶。玉露・煎茶・抹茶など。</t>
        </is>
      </c>
      <c r="D8863" t="inlineStr">
        <is>
          <t>緑茶成分；緑茶以外；緑茶色</t>
        </is>
      </c>
      <c r="E8863" t="inlineStr">
        <is>
          <t>茶；お茶；紅茶；ティー；抹茶</t>
        </is>
      </c>
      <c r="F8863" t="inlineStr">
        <is>
          <t>熱い緑茶</t>
        </is>
      </c>
      <c r="G8863" t="inlineStr">
        <is>
          <t>緑茶夢；緑茶割り</t>
        </is>
      </c>
      <c r="H8863" t="n">
        <v>29</v>
      </c>
      <c r="I8863" t="inlineStr">
        <is>
          <t>しかしなぜか口をつけようとはせず、中に注がれた緑茶をじっと見つめた。；足を悪くしている栞子さんの代わりに、俺が緑茶を淹れて二人の前に置いた。；そして急須に蓋をすると毒猫の毒が入った湯呑みに緑茶を注ぎ入れた。；中国は全世界の緑茶の約75パーセントを供給する主要生産国である。；緑茶をもらい、火のそばに座っていると、いっそう気分が落ち着いてきた。；その湯飲みのなかに、嘘のように華やかな黄緑色の緑茶が注いであった。；既に緑茶の飲用は、インフルエンザ対策として効果があるとされている。；紅茶・緑茶などを煉瓦状に固形化してで作られるものは磚茶とも呼ばれる。；サバンナ地帯の村では、薬缶で煮出した緑茶に大量の砂糖を入れて飲む。；とっておきの緑茶を使ったので、味的には文句はあるまい。；葵区郊外の安倍川上流の地区は、日本で緑茶栽培業が興った土地でもある。；振り返った男の手に握られていたのは緑茶のペットボトルだった。；モロッコは世界で最も緑茶の輸出量が多いと考えられている。；緑茶は一日を通じ飲まれることが多いウズベキスタンの国民的な飲料である。；緑茶の葉にパフド・ライスとポップコーンとを加えて入れたお茶だ。；ほのかが姿を見せたのは、兄妹がちょうど緑茶を飲み干したところだった。；市川園は、日本の緑茶・地場産品などを製造・販売する企業である。；お茶を愛飲しており、特に緑茶が大好きで、食べ物は焼肉が好きである。；僕は腹がふくれてゐるが、手持無沙汰になり、また緑茶を一杯註文した。；だが、何度もくりかえして飲むうち、緑茶の味が口にひろがってくる。；口に含むと、日本で飲んだ緑茶とさほど変わらない味がした。；また緑茶服用後60分後には鉄の吸収は抑制されなくなっている。；しかし考えてみれば、世界中の数あるお茶の中でもとくに日本の緑茶の味がいちばん微妙だと思うのである。；特に緑茶でははっきりと分類が行われている。；また、緑茶はこれらすべてに合う伝統的な飲み物として好まれている。；志摩子さんがチビチビ緑茶を飲んでいる間に、十一時四十分になった。；緑茶と紅茶を別の植物と思っている人がいるかもしれないが、製造工程のちがいである。；蒸し製は日本の緑茶の特徴であり、世界的に珍しい茶葉の加熱方法である。；冬期には等の緑茶が慣習的に添えられ、夏期には冷たい飲料が好まれる。</t>
        </is>
      </c>
      <c r="J8863">
        <f>HYPERLINK("https://www.weblio.jp/content/緑茶", "词义详情")</f>
        <v/>
      </c>
      <c r="K8863">
        <f>HYPERLINK("https://yourei.jp/緑茶", "查看例句")</f>
        <v/>
      </c>
    </row>
    <row r="8864">
      <c r="A8864" t="inlineStr">
        <is>
          <t>旅券</t>
        </is>
      </c>
      <c r="B8864" t="inlineStr">
        <is>
          <t>成功</t>
        </is>
      </c>
      <c r="C8864" t="inlineStr">
        <is>
          <t>読み方：りょけん
外国に旅行したり滞在したりするときに、その本国が本人の国籍や身分を証明し、相手国に便宜や保護を依頼する文書。国内では外務大臣、国外では領事が発行する。パスポート。→ビザ</t>
        </is>
      </c>
      <c r="D8864" t="inlineStr">
        <is>
          <t>旅券発給；旅券番号；旅券なし；旅券発行；旅券申請</t>
        </is>
      </c>
      <c r="E8864" t="inlineStr">
        <is>
          <t>パスポート；旅行免状</t>
        </is>
      </c>
      <c r="F8864" t="inlineStr">
        <is>
          <t>ic旅券；中華人民共和国旅券；数次旅券；英国旅券；北欧旅券</t>
        </is>
      </c>
      <c r="G8864" t="inlineStr">
        <is>
          <t>旅券法施行規則</t>
        </is>
      </c>
      <c r="H8864" t="n">
        <v>29</v>
      </c>
      <c r="I8864" t="inlineStr">
        <is>
          <t>旅券に貼る写真と同じものを十何枚も送るように言われたのには驚いた。；わたしが自分で書いた旅券のようなものをあんたに見せようと思ってな。；日本人夫の旅券は一まとめにハゲ小林が持っていて勝手にさせないんだ。；許可が得られた場合でも国内旅券をつねに携行しなければならなかった。；たとえ隣の街までの往復でも、管轄する官府が違えば旅券が必要になる。；また旅券を有する彼らはいつでもポーランドへ帰ることもできた。；李がその旅券を手にして、なにか説明していたことも記憶にある。；その旅券からばれるというようなことはまずないものと安心していた。；上陸して、旅券を見せずに町にはいるようにしなければならない。；二人の旅券も調べたそうですが、予想どおりに、ちゃんとしていたそうです。；目の前の男は旅券を繰って、 「これは他人の旅券ですな」 といった。；もしそうなら、ホテルはまだ彼の旅券の詳細を警察にしらせていないだろう。；彼はぼくたちの旅券をもって建物のなかにはいっていった。；彼が偽名を使わなかったのも、すでに本人名義の旅券を取っていたからだ。；私はすばらしい旅券を売ってくれるスパイをひとり知っているんです。；しかし、旅券も交付されていた関係上出発を許可しないわけにはいかなかった。；日本の名誉総領事は、旅券・査証の発給や各種証明業務は行っていない。；ここでロシア側の荷物の検査があって、旅券が初めて自分の手に戻される。；その時アイバは、一年以内にアメリカへ戻る予定で旅券の申請をしている。；大使館は日本の政府から僕にいっさいの旅券を出すことを禁ぜられたのだ。；旅券を出して、宿泊カードに署名し、カギをもらって二階の部屋へ行く。；戦争中のことだったが、旅券はやはりたくさん発行されていた。；訊問はされたが、ぼくたちが旅券と金を持っていたので、鄭重だった。；副領事はヴュルツブゥルク行きの旅券をわたしにくれようとしないのだ。；市庁舎占領中にも彼は旅券を探すような素振りは見せなかったという。；ところで、アイバが横浜上陸いらい気にかけているのが旅券のことだった。；観光で滞在する外国人が購入するには旅券の提示が必要。；そうやってぼくは彼から旅券を発行してもらったのだ。；そして僕に旅券通りの名を言うようにと勧めて行った。</t>
        </is>
      </c>
      <c r="J8864">
        <f>HYPERLINK("https://www.weblio.jp/content/旅券", "词义详情")</f>
        <v/>
      </c>
      <c r="K8864">
        <f>HYPERLINK("https://yourei.jp/旅券", "查看例句")</f>
        <v/>
      </c>
    </row>
    <row r="8865">
      <c r="A8865" t="inlineStr">
        <is>
          <t>旅行</t>
        </is>
      </c>
      <c r="B8865" t="inlineStr">
        <is>
          <t>成功</t>
        </is>
      </c>
      <c r="C8865" t="inlineStr">
        <is>
          <t>読み方：りょこう
［名］(スル)家を離れて他の土地へ行くこと。旅をすること。たび。「マイカーで—する」「観光—」「海外—」</t>
        </is>
      </c>
      <c r="D8865" t="inlineStr">
        <is>
          <t>旅行中(5%)；旅行先；旅行者；旅行家；旅行鞄</t>
        </is>
      </c>
      <c r="E8865" t="inlineStr">
        <is>
          <t>旅；航海；渡航；トリップ；トラベル</t>
        </is>
      </c>
      <c r="F8865" t="inlineStr">
        <is>
          <t>小旅行；取材旅行；ヨーロッパ旅行；講演旅行；大旅行</t>
        </is>
      </c>
      <c r="G8865" t="inlineStr">
        <is>
          <t>旅行会社；旅行記；旅行代理店；旅行社；旅行客</t>
        </is>
      </c>
      <c r="H8865" t="n">
        <v>29</v>
      </c>
      <c r="I8865" t="inlineStr">
        <is>
          <t>またこの年の初夏、初めてフランスを中心とするヨーロッパに旅行した。；以下の表はリチャードが保存していた旅行記録に基づいたものである。；イブン・バットゥータは史上最も偉大な旅行家の一人と考えられている。；買った本を自宅に置いたまま、職場や旅行先でも読める新たなサービス。；毎年、教育コースの生徒をオーストラリア体験旅行に参加させている。；その中には、数回に渡るヨーロッパとアメリカ合衆国への旅行を含んでいる。；実際には用語の定義は太陽系の惑星の間を旅行する場合に限られる。；この時彼の演奏を聴いたアメリカの興行師がアメリカ演奏旅行を提案した。；旅行業界では日本最大かつ世界有数の事業規模を有する企業である。；廃止後も、駅舎は下津井電鉄の旅行センターとして活用され残っている。；このためJRのみの最長ルートよりも長い距離での旅行が可能である。；移住は長期にわたる居住を意味しており、観光や旅行は通常含まない。；旅行の中心地はイギリスとロシアが勢力圏争いをしている極東だった。；以下は、戦前に外国人向けに出版された軽井沢への旅行案内の一部である。；バックパッカーは、他の旅行形態と同様に、論争の的であり続けている。；一方、実際には旅行をしていないのではないかとする説もある。；更に彼女に同行してイギリスやフランスで演奏旅行を行う。；CM前に過去5週間のヨーロッパ旅行が入った箱の色が発表される。；最初の頃の飛行は冒険に近く、一般の人の旅行に使われるレベルではなかった。；エンゲルスがアイルランドを初めて旅行したのは1856年であった。；また温泉などの旅行がどれか一つの授業に入っていた。；往復の交通は、旅行申込時に指定した航空便・列車しか利用出来ない。；いま旅行の手順の時間については地球にいる人からみた計画で行われるとする。；その後も1977年9月4日から22日までヨーロッパを旅行している。；また、公演旅行はプレスリーの評判をテネシー中に広げることとなった。；羽仁のアフリカ長期撮影旅行に同行する中での出来事であった。；またローマからスペインにまで伝道旅行をしたとの伝承もある。；この旅行の間、前年にカリフォルニアに移住した兄ジョンと再会した。；巡察旅行には建設関係者をも随伴していたといわれ、公共工事も行われた。</t>
        </is>
      </c>
      <c r="J8865">
        <f>HYPERLINK("https://www.weblio.jp/content/旅行", "词义详情")</f>
        <v/>
      </c>
      <c r="K8865">
        <f>HYPERLINK("https://yourei.jp/旅行", "查看例句")</f>
        <v/>
      </c>
    </row>
    <row r="8866">
      <c r="A8866" t="inlineStr">
        <is>
          <t>旅費</t>
        </is>
      </c>
      <c r="B8866" t="inlineStr">
        <is>
          <t>成功</t>
        </is>
      </c>
      <c r="C8866" t="inlineStr">
        <is>
          <t>読み方：りょひ
旅の費用。路用。旅用。</t>
        </is>
      </c>
      <c r="D8866" t="inlineStr">
        <is>
          <t>旅費及び手当等；旅費その他；旅費等；旅費日当；旅費及び日当</t>
        </is>
      </c>
      <c r="F8866" t="inlineStr">
        <is>
          <t>往復旅費；帰国旅費；日額旅費</t>
        </is>
      </c>
      <c r="G8866" t="inlineStr">
        <is>
          <t>旅費交通費</t>
        </is>
      </c>
      <c r="H8866" t="n">
        <v>29</v>
      </c>
      <c r="I8866" t="inlineStr">
        <is>
          <t>それにもかかわらず彼はニューヨークへ帰る旅費を持っておりました。；この方法であれば遠隔にいる参加者も旅費などを気にせずに集められる。；もしいるようだったら、どうかわたしから旅費を持っていってくれたまえ。；ことわっておくが、そのときわたしは旅費くらいないわけではなかった。；さらにそれを追及すると、旅費には強盗を働くつもりであったと述べた。；和穂の足取りを追う旅だが、最初に用意していた旅費が底を着いたのだ。；この巡査が泥棒などを捉えにいく時でも、決して旅費をもって行かない。；旅費も滞在費も出していない丸抱えの旅行なのに、申し訳ない気がする。；ここにくる途中も、旅費に文句をつけ、汽車も三等にするといいはった。；おまけに、来てくれるなら旅費を自分に持たせてほしいと言い出した。；日本へ行く動機もさることながら、彼はその旅費をどこから得たのか?；この巡査が泥棒などを捉えに行く時でも決して旅費を持って行かない。；帰りたいのはあんたの方じゃないの、帰りたくても旅費なんかやらないよ。；旅費をかけて、わざわざそれを確認しに私はドイツへやって来た結果になった。；二等の汽車を三等に、それに滞在費を加えると相当の旅費が手に入る。；何か贈り返せばよいが、用意していた旅費も底をついてしまっている。；彼等は殆どただみたいな旅費で、スペインやイタリアを回って来る。；わたくし金がないのですが、どなたか旅費を出してくれる人はありませんか。；後に聞いて見るとその金は実は私の旅費に使ってくれろという事であったそうです。；故郷に帰って往くにはかなり旅費がかかるので孔生の力には及ばなかった。；これに当時の潤沢なる巡回旅費を加えても、なお七十円ばかりに過ぎない。；旅費も持つ特別なゲストもいれば滞在費だけで来るスターもいた。；鷲尾はわざわざ旅費を工面して帰ってこなければよかったと後悔していた。；名目は単なる慰安旅行で、この日のために半年間旅費を積み立ててきた。；残された幾松は一人、持っているものを売って旅費とし、旅を続けたという。；村の人は金を出しあって旅費を作ってくれたので、魚は無事に故郷へ帰ることができた。；東京行きの旅費が稼げるかどうかというようなことはもう問題ではなかった。；ただし〝ここへの旅費に見あう仕事ができなかったときは戻ってこなくていい。；帰国の際には、余った旅費で書籍・器械・商品見本を購入し持ち帰った。</t>
        </is>
      </c>
      <c r="J8866">
        <f>HYPERLINK("https://www.weblio.jp/content/旅費", "词义详情")</f>
        <v/>
      </c>
      <c r="K8866">
        <f>HYPERLINK("https://yourei.jp/旅費", "查看例句")</f>
        <v/>
      </c>
    </row>
    <row r="8867">
      <c r="A8867" t="inlineStr">
        <is>
          <t>履歴</t>
        </is>
      </c>
      <c r="B8867" t="inlineStr">
        <is>
          <t>成功</t>
        </is>
      </c>
      <c r="C8867" t="inlineStr">
        <is>
          <t>読み方：りれき
１その人が経てきた学業・職業など。経歴。「—書」
２コンピューターで、データの送受信などの記録のこと。「通信—」→ログ4</t>
        </is>
      </c>
      <c r="D8867" t="inlineStr">
        <is>
          <t>履歴書；履歴テーブル；履歴表示；履歴データ；履歴等</t>
        </is>
      </c>
      <c r="E8867" t="inlineStr">
        <is>
          <t>話；歴史；話し；由来；過去</t>
        </is>
      </c>
      <c r="F8867" t="inlineStr">
        <is>
          <t>取引履歴；使用履歴；乗船履歴；行動履歴；変更履歴</t>
        </is>
      </c>
      <c r="G8867" t="inlineStr">
        <is>
          <t>履歴情報；履歴書用紙；履歴の保存；履歴保存</t>
        </is>
      </c>
      <c r="H8867" t="n">
        <v>29</v>
      </c>
      <c r="I8867" t="inlineStr">
        <is>
          <t>この組分けは、過去の各国の投票履歴や地理関係に基づいて決められる。；全取引の履歴であるブロックチェーンが攻撃を受けていたことがわかった。；山代は、多少憮然とした思いで、これが俺の履歴の全部なのかと思った。；もちろん、かつて何人かの人間の命を奪っている彼女の履歴は知っていた。；それと、各艦の情報を統合して、敵の弾頭の履歴を明らかにできないか?；PASMOを再発行した場合は再発行前の履歴は表示・印字できなくなる。；しかし履歴書にあらわれているのは、決してその人の本当の履歴ではない。；念のため、丹羽章子のペン書の履歴書と、比較してみようと思ったのだ。；露語に精しい加藤さんが碑に書かれた死者の名や簡単な履歴を読んで下さる。；そして、これまでのところ、彼の履歴に一点の曇りもないことを確認した。；また、後述の様に履歴沿革的には同社との関連がある企業でもある。；履歴の保証されていない測定器には、そもそも不確かさの値が付かない。；ワープロの文書には、その文書を作った日付が履歴として残るんです!!；保有資格や表彰履歴欄があり、それらは現場の上位業者へ公開される。；その後も時代に合わせた改造が実施されており、更新改造以降の改造履歴は以下の通り。；それは写真や履歴書としてデータ化されないようなものである。；履歴管理機能を有するため、いつ、誰が、どこで、といった管理が可能。；ゆえに出力を予測するには状態の履歴を知っている必要がある。；これは履歴のない椅子に履歴を附けてやろうと云う公平な心からである。；これは履歴のない椅子に履歴を附けて遣らうと云ふ公平な心からである。；また、年賀状を出した/受け取ったなどの履歴を記録する機能もある。；たとえ一端にすぎなくとも、彼女の履歴は私にさまざまなヒントを与える。；多くの記録された情報は、履歴上のイベントや重要な時点を文書化するのに役立つ。；これまでの処では、履歴も精しくは公にせられていないのですから。；連動したカーナビゲーションで利用履歴を文字表示できるものもある。；日本青年館の長い履歴の間に、人は、その多くのよい成績をあげるであらう。；また、離れた場所で購入した車両のサービス履歴や機械的な状態を保証することも問題になる。；一三六一年から六七年まで七年間がチョーサーの履歴で最も謎の部分となっている。；最近の機種では取引履歴が残るようになっているものもある。</t>
        </is>
      </c>
      <c r="J8867">
        <f>HYPERLINK("https://www.weblio.jp/content/履歴", "词义详情")</f>
        <v/>
      </c>
      <c r="K8867">
        <f>HYPERLINK("https://yourei.jp/履歴", "查看例句")</f>
        <v/>
      </c>
    </row>
    <row r="8868">
      <c r="A8868" t="inlineStr">
        <is>
          <t>履歴書</t>
        </is>
      </c>
      <c r="B8868" t="inlineStr">
        <is>
          <t>成功</t>
        </is>
      </c>
      <c r="C8868" t="inlineStr">
        <is>
          <t>読み方：りれきしょ
履歴を書いた書類。</t>
        </is>
      </c>
      <c r="D8868" t="inlineStr">
        <is>
          <t>履歴書等</t>
        </is>
      </c>
      <c r="F8868" t="inlineStr">
        <is>
          <t>自筆履歴書</t>
        </is>
      </c>
      <c r="H8868" t="n">
        <v>29</v>
      </c>
      <c r="I8868" t="inlineStr">
        <is>
          <t>履歴書と写真を番組に送ることが条件であり、住む場所はどこでも可能。；もちろん履歴書には君がその両親の実子か養子かなんて書く項目はない。；この精神風土はいまもなお残っているが、田中の履歴書にはそれがない。；一般的な職業にはほとんど意味はないが、履歴書にも書くことができた。；一般的な職業にはほとんど意味はないが、履歴書にも書くことができる。；履歴書に嘘を書く人間などこの世に存在しないのだ、と信じているらしい。；私や須山や伊藤などはその時他人の履歴書を持って入り込んだのである。；入団試験のときに提出された履歴書は現在も劇団事務所に保管されている。；ヨーゼフ・クネヒトのものでは、そういう履歴書が三つ保存されている。；それは数日前の、マンガ喫茶でバイトをするために書いた履歴書だった。；保証人も履歴書もなく流れてきた若い男が、またどこかに流れていく。；履歴書を返送して来る方は良い方で、たいていは何の返事もなかった。；の岡田代表を町の主幹に任命したときも履歴書の提出も受けていなかった。；しかし履歴書にあらわれているのは、決してその人の本当の履歴ではない。；二百人分の履歴書を整理して時計を見ると、まもなく終了時刻だった。；視線の先、履歴書は自分が今まで出した結果を明確に書いている。；あの人は、もう一度、あの履歴書をよく見るように、いえといっていたわ。；彼が提出した履歴書によると、10カ国語の知識を持っているという。；警察に保管されている履歴書によると、これまでにいくつもの仕事をしていた。；咲輝からもらった履歴書の書類の中に、会社の名前や住所は書いてあった。；採用の際には履歴書にも病名を書き面接でも聞かれたが問題なく採用となった。；私は彼女よりも、履歴書の写真を撮ったカメラマンと仕事をしたくなった。；岬ちゃんが宗教勧誘のついでに、わざわざ履歴書を持ってきてくれたのだ。；彼が手にしているのは一連の履歴書的な事実に過ぎない。；鉄道関係や旅行会社を受験する場合には履歴書に記載した人もいた。；履歴書は採用する企業によって様式が指定されていることもある。；裕一は煙草に火をつけ、デスクに積みあげた二百人分の履歴書を眺めた。；昨日急に両親にいわれたので、相手の写真もないし、履歴書もないような状態だ。；あたしは履歴書も持たず、ただ街をうろうろして次の勤め先を探した。</t>
        </is>
      </c>
      <c r="J8868">
        <f>HYPERLINK("https://www.weblio.jp/content/履歴書", "词义详情")</f>
        <v/>
      </c>
      <c r="K8868">
        <f>HYPERLINK("https://yourei.jp/履歴書", "查看例句")</f>
        <v/>
      </c>
    </row>
    <row r="8869">
      <c r="A8869" t="inlineStr">
        <is>
          <t>理論</t>
        </is>
      </c>
      <c r="B8869" t="inlineStr">
        <is>
          <t>成功</t>
        </is>
      </c>
      <c r="C8869" t="inlineStr">
        <is>
          <t>読み方：りろん
個々の現象を法則的、統一的に説明できるように筋道を立てて組み立てられた知識の体系。また、実践に対応する純粋な論理的知識。「—を組み立てる」「—どおりにはいかない」</t>
        </is>
      </c>
      <c r="D8869" t="inlineStr">
        <is>
          <t>理論的(16%)；理論上(4%)；理論化；理論体系；理論書</t>
        </is>
      </c>
      <c r="E8869" t="inlineStr">
        <is>
          <t>モデル；説；体系；原理；論理</t>
        </is>
      </c>
      <c r="F8869" t="inlineStr">
        <is>
          <t>新しい理論；説明する理論；科学理論；理論構築；科学的理論</t>
        </is>
      </c>
      <c r="G8869" t="inlineStr">
        <is>
          <t>理論物理学；理論物理学者；理論経済学；理論武装；理論化学</t>
        </is>
      </c>
      <c r="H8869" t="n">
        <v>29</v>
      </c>
      <c r="I8869" t="inlineStr">
        <is>
          <t>米国では理論だけの研究はほとんどなく理論と実証の往復が重視される。；理論的に明解であり扱いも容易であるため、形式的な説明を先に述べる。；加群の理論はベクトル空間のそれと比べてより複雑なものになっている。；それは組織理論のモデルと組織理論の公式化された精密な概念である。；この高い金属存在量を説明するために、主に3つの理論が提唱されている。；以下は理論値ではなく、ある期間の観測結果からの年間の回数である。；コペルニクスの事例は「科学理論の交代が起こる原因」に示唆を与える。；この値のことを誤差理論において 真の値または真値 と呼んでいる。；そして理論はフォノンの振動数だけが関係しているため比較的簡単である。；ニュートンはユークリッド幾何学を用いて、自らの理論体系を構築した。；プランクの理論式は、高振動数の領域ではヴィーンの理論式に移行する。；説明的妥当性を持つ理論は初期状態である普遍文法の性質を記述する。；そのため、理論値と実験値とのずれは解消されたとはいえなかった。；現在も様々な試行が続いているが、確立された理論は出来ていない。；そのため新理論の提唱者はしばしば古めかしい概念を引きずっている。；の都市計画理論は、再び理想的な都市形態を論ずることが多くなってきた。；しかしこの時代に、現代に通じる計算理論と計算模型が考案されている。；中世美学に関するエーコの研究が強調するのは理論と実践の区別である。；クンマーの理想数の理論は非常に形式的で、とても難解なものであった。；だが、近代的な戦闘理論が成立したのはナポレオンの時代に入ってからである。；ニュートリノの質量が有限値を持つことは理論研究に大きな影響を与える。；遺伝現象は古くから知られていたが、その理論付けは困難であった。；この部分に対する理論面からの解釈はまだ十分なされていない。；音速値を初めて理論的に導き出したのはアイザック・ニュートンである。；プラズマ周波数の測定値は、多くの材料で理論値とよく一致している。；この理論を元に活発に議論が行われているのが、パンスペルミア説である。；この方程式のおかげでロケットの推進の理論的考察ができるようになった。；この理論には星の重力により光が曲げられるという予言も含まれていた。；今まで提案された理論には以下のようなものがある。</t>
        </is>
      </c>
      <c r="J8869">
        <f>HYPERLINK("https://www.weblio.jp/content/理論", "词义详情")</f>
        <v/>
      </c>
      <c r="K8869">
        <f>HYPERLINK("https://yourei.jp/理論", "查看例句")</f>
        <v/>
      </c>
    </row>
    <row r="8870">
      <c r="A8870" t="inlineStr">
        <is>
          <t>輪郭</t>
        </is>
      </c>
      <c r="B8870" t="inlineStr">
        <is>
          <t>成功</t>
        </is>
      </c>
      <c r="C8870" t="inlineStr">
        <is>
          <t>読み方：りんかく
１物の外形を形づくっている線。「顔の—」「—を描く」
２物事の大体のありさま。概要。アウトライン。「新構想の—」</t>
        </is>
      </c>
      <c r="D8870" t="inlineStr">
        <is>
          <t>輪郭線(5%)；輪郭式；輪郭強調；輪郭づけ；輪郭枠</t>
        </is>
      </c>
      <c r="E8870" t="inlineStr">
        <is>
          <t>側面；図；大抵；大体；概ね</t>
        </is>
      </c>
      <c r="F8870" t="inlineStr">
        <is>
          <t>明確な輪郭；くっきりと輪郭；丸い輪郭；おぼろげな輪郭；鮮明な輪郭</t>
        </is>
      </c>
      <c r="H8870" t="n">
        <v>29</v>
      </c>
      <c r="I8870" t="inlineStr">
        <is>
          <t>線路は駅の4つの線路の上にある天井のパターンで輪郭が描かれている。；この限り大森氏の一応の輪郭的な正当さを私は承認しなければならない。；その人物の頭部は、最上部が前後に広がった不思議な輪郭をしている。；意味の深いものであるように、その輪郭をぼんやりながらつかみかけた。；メインの輪郭は円に近いが、西側と北東側の周壁が外側へ膨らんでいる。；政府の政治的動きは、前政府の軍の輪郭の実体ある増加と統合された。；目は輪郭線があるものに変わり、瞳孔は黒・虹彩は赤の二色の瞳となる。；その結果、元のものと一致する上空からはっきりと見える輪郭が得られた。；キーは圧力パッドのように平坦で、文字や輪郭は表面に印刷されている。；輪郭・髪型・目・鼻・口・眉の形を、用意されたパーツの中から選ぶ。；かっと見開いた頼政の目に化性のおぼろな姿が次第に輪郭をとってきた。；ただ姉と雪子の異なる点は、姉の方が総べての輪郭が大作りに出来ていた。；そうしているうちに、弥兵衛さんの輪郭が、最もハッキリしてきました。；わずか四、五尺の隔てながら双方の姿は、その輪郭すらもよく分らない。；一方山水画では、濃い墨の太い輪郭線を用いる独特の作風を示している。；イネスの輪郭は、西側の周壁がわずかに外側に膨らんだ形状をしている。；あらゆるものの輪郭は割れたガラスの切れ口のようにはっきりとしている。；ノルディック・クロスに細い白線で輪郭をつけることも認められている。；去り際に町の方を振り返ると、雲がどこか蟾蜍じみた輪郭を取っていた。；その非常に暗い表面は若い女性の背中と男性の輪郭を映している。；そこには、痩せて肋骨の輪郭が見えるほどの収容者が全裸で写っていた。；その際は金色に光りはっきりとした輪郭は無い姿で空を飛び去った。；また、彩色後、輪郭線をすべて消してあるのもこの作品の特徴である。；かつての建物の輪郭がフェンスで囲まれているが、土台すら残っていない。；また鋭い光は鮮明な風景や建築学的な舞台の輪郭を明瞭に示している。；輪郭の線が幾つにもぼやけた二三の顔が、彼の方へ覗き込んでいた。；可能なる革命の輪郭がまだおぼろげにではあったがほの見えていた。；前にいる白髪の老人の横顔の輪郭がなんと若々しく張り切っている事だ。；これはパイパー カブと対照をなしたが、その輪郭ははっきりと見えた。</t>
        </is>
      </c>
      <c r="J8870">
        <f>HYPERLINK("https://www.weblio.jp/content/輪郭", "词义详情")</f>
        <v/>
      </c>
      <c r="K8870">
        <f>HYPERLINK("https://yourei.jp/輪郭", "查看例句")</f>
        <v/>
      </c>
    </row>
    <row r="8871">
      <c r="A8871" t="inlineStr">
        <is>
          <t>りんご</t>
        </is>
      </c>
      <c r="B8871" t="inlineStr">
        <is>
          <t>成功</t>
        </is>
      </c>
      <c r="C8871" t="inlineStr">
        <is>
          <t>読み方：りんご
バラ科の落葉高木。また、その果実。葉は卵円形。4、5月ごろ、葉とともに白または淡紅色の5弁花を開き、のち球状の赤色などの実を結ぶ。甘酸っぱく白い食用部は、花托の発達したもの。ヨーロッパ中部から南東部の原産。日本には明治時代に欧米から紅玉・デリシャスなどの品種が導入され、青森・長野などで栽培。古くは、在来の和林檎などをさした。りゅうごう。《季実＝秋 花＝春》「—噛む歯に青春をかがやかす／麦南」</t>
        </is>
      </c>
      <c r="D8871" t="inlineStr">
        <is>
          <t>りんご園(4%)；りんご林；りんご栽培；りんご箱；りんご売</t>
        </is>
      </c>
      <c r="F8871" t="inlineStr">
        <is>
          <t>青いりんご；乾燥りんご；冬りんご；青森県産りんご；青森りんご</t>
        </is>
      </c>
      <c r="G8871" t="inlineStr">
        <is>
          <t>りんご畑；りんご酒；りんご飴；りんご並木；りんごあめ</t>
        </is>
      </c>
      <c r="H8871" t="n">
        <v>29</v>
      </c>
      <c r="I8871" t="inlineStr">
        <is>
          <t>その家は堤の下の一町歩ほどもある大きなりんご園の中に建ててあった。；りんごの収穫の話をするためにわざわざ上京して来たのではなかった。；りんご林の上にはまるで雲がそのまま舞い下りたように雪が積っていた。；目がさめると、かれは中国のお茶を一杯、それにりんごをひとつくれた。；大きないいりんごの実を結ばして、それを諸国に出そうとしたのであります。；それからついでに地下室へ行って、ラセットりんごの一種取ってきていい?；それから顔を上げ、りんご林の方向から立ちのぼる灰色の煙に目をやった。；そして、りんご園のあいだに教会の立っている小さな田舎町があります。；朝、目が覚めたときに枕元に一つのりんごがあるのを見たなら何と思うか。；皿の上ではとり残されたりんごやみかんが顔を赤くしていました。；かれは黒をまとい、マントにはすっぱいりんごの緑色の裏がついていた。；娘はりんごの美しさに気を取られて、案のじょう道をそれてこれを拾った。；本ソフトでは、音楽はりんごのいる部屋の隣から流れてくるものと設定されている。；山田は、それをきくと、安心したのか、りんごが食べたいと言い出した。；川からはワインが溢れ出し、木々の枝は花をつけ、金のりんごが熟した。；他には池多集落でのりんご栽培や、開ヶ丘集落での畑作が行われている。；隣の畑にはりんご《・・・》が植わっていて、これが散歩場になっている。；朝になって、王子が気がついた時は、りんごは一つも残っていません。；思わず一つのりんごを取りだして、それを、机の上の自分の前におく。；毒りんごは半分しか塗らないなど一部変更されている部分がある。；わが愛する者の若人たちの中にあるのは 林の中にりんごの木があるようです。；車内の人々も、りんごのようなほっぺたをした地元の人が殆どだった。；田舎のおばあさんから、送ってきたりんごがもう二つになってしまいました。；飾りの種類を一つに決めて、りんごだけ、電球だけ、とするのも一案だ。；でもりんごは子供たちの言ったほうの手にはあったためしがない。；そこで子供たちが文句をつけだすと、やっとりんごを渡してやるのだった。；りんごをひろってきてあげましょうか、と言ったら眼がさめちゃった。；それ以外の区域はほぼ農地で占められ、りんごなどの生産地となっている。；そこで村に広い地面を買って、たくさんのりんごの木を植えました。</t>
        </is>
      </c>
      <c r="J8871">
        <f>HYPERLINK("https://www.weblio.jp/content/りんご", "词义详情")</f>
        <v/>
      </c>
      <c r="K8871">
        <f>HYPERLINK("https://yourei.jp/りんご", "查看例句")</f>
        <v/>
      </c>
    </row>
    <row r="8872">
      <c r="A8872" t="inlineStr">
        <is>
          <t>臨時</t>
        </is>
      </c>
      <c r="B8872" t="inlineStr">
        <is>
          <t>成功</t>
        </is>
      </c>
      <c r="C8872" t="inlineStr">
        <is>
          <t>読み方：りんじ
１あらかじめ定めた時でなく、その時々の事情に応じて行うこと。「—に総会を開く」「—番組」「—休業」
２一時的であること。その期間だけであること。「—に作業員を雇う」</t>
        </is>
      </c>
      <c r="D8872" t="inlineStr">
        <is>
          <t>臨時快速列車(2%)；臨時増刊号；臨時雇い；臨時理事会；臨時編成</t>
        </is>
      </c>
      <c r="E8872" t="inlineStr">
        <is>
          <t>仮；一時的；代用；暫定的；応急</t>
        </is>
      </c>
      <c r="F8872" t="inlineStr">
        <is>
          <t>臨時車扱貨物；臨時コーチ；臨時祭；臨時ダイヤ；臨時軍事費</t>
        </is>
      </c>
      <c r="H8872" t="n">
        <v>29</v>
      </c>
      <c r="I8872" t="inlineStr">
        <is>
          <t>その間、逮捕を免れた幹部が臨時指導部を設けて組織の再建にあたった。；郊外に臨時駐車場が設置され、会場までシャトルバスが運行されている。；近年では、作家・作品論を総特集した臨時増刊号も多く発行されている。；この時、潜水艦の戦時行動能力を検討するため、臨時部隊が編成された。；オープン当初は離れた場所に無料の臨時駐車場も設け混雑を分散させた。；ただし、臨時で運転される特急は例外として当駅に停車することがある。；委員会は月に1回開かれるが、必要があれば臨時に開かれる事もある。；しかし本来は臨時職である征夷大将軍の称号を生涯に渡って身に帯び続けた。；正式開通前であるが、6月20日からは臨時扱いで貨物輸送も開始した。；それ以前にも自身の勤務する小学校でユースホステルを臨時に設置していた。；また、かつての出札窓口跡には臨時観光案内所が開設されることがある。；横須賀市内で花火大会が開催する時は臨時に特急が停車する場合もある。；臨時建築局は内務省に移管され、ドイツへの留学生は帰国を命じられた。；ちなみに、臨時公式サイトはこの時点で更新がストップしたままである。；このような臨時列車としての運行も2021年の運用終了まで続けられた。；大野祭りなどのイベントが開催される際には臨時に駅員が配置される。；ただし、先述の臨時改札側についてはこれらの設備は設置されていない。；初優勝した1978年には広岡達朗監督の要請で臨時コーチを務めた。；学生たちは国民大会の解散、臨時条款の廃止との開催などを要求した。；開設当初からの臨時窓口があり、そこで乗車券が発売されたこともあった。；出演者やスタッフの多くはドイツを中心に世界中から集められた臨時編成である。；清初年には臨時の役人だった巡撫が布政使に代わって省の長官になった。；工事や災害などで一時的に列車の速度を制限する必要がある場合に臨時に設置される。；オットーは臨時会長となり、翌1973年に正式に第2代会長となった。；イベント臨時型では、その場で実際の来客状況を判断して調整することが多い。；東京で行われる場合、主に第1特科隊などで礼砲中隊が臨時編成される。；西口にはこのような場合に備えて、駅の北側へ出られる臨時出口が存在した。；頭端部には団体用の臨時出入口があるがほとんど利用されない。；臨時建設部が発足した1914年には第一次世界大戦が勃発した。</t>
        </is>
      </c>
      <c r="J8872">
        <f>HYPERLINK("https://www.weblio.jp/content/臨時", "词义详情")</f>
        <v/>
      </c>
      <c r="K8872">
        <f>HYPERLINK("https://yourei.jp/臨時", "查看例句")</f>
        <v/>
      </c>
    </row>
    <row r="8873">
      <c r="A8873" t="inlineStr">
        <is>
          <t>倫理</t>
        </is>
      </c>
      <c r="B8873" t="inlineStr">
        <is>
          <t>成功</t>
        </is>
      </c>
      <c r="C8873" t="inlineStr">
        <is>
          <t>読み方：りんり
１人として守り行うべき道。善悪・正邪の判断において普遍的な規準となるもの。道徳。モラル。「—にもとる行為」「—観」「政治—」
２「倫理学」の略。</t>
        </is>
      </c>
      <c r="D8873" t="inlineStr">
        <is>
          <t>倫理的(14%)；倫理規定(4%)；倫理性(3%)；倫理上(2%)；倫理感</t>
        </is>
      </c>
      <c r="E8873" t="inlineStr">
        <is>
          <t>義；道徳；モラル；道義；人倫</t>
        </is>
      </c>
      <c r="F8873" t="inlineStr">
        <is>
          <t>倫理基準；倫理思想；倫理点；倫理審査；倫理問題</t>
        </is>
      </c>
      <c r="G8873" t="inlineStr">
        <is>
          <t>倫理学；倫理観；倫理委員会；倫理学者；倫理規程</t>
        </is>
      </c>
      <c r="H8873" t="n">
        <v>29</v>
      </c>
      <c r="I8873" t="inlineStr">
        <is>
          <t>しかし、その後の水素爆弾の開発には倫理的な観点から反対をしている。；倫理規定の順守は必ずしも単にそれが神の意志だからというわけではない。；倫理的な問題ももちろんあるが、他に解決すべき問題もいくつかある。；古代から近代に至るまで中国人の倫理規定の最重要項目となってきた。；中止の理由は、医学的問題ではなく倫理面や日本の文化的問題とされた。；社会的関係を定める様々な法は、イスラーム的倫理と一致すべきである。；あるいは類義語の倫理はいくつかの意味をもち、道徳を表すことが多い。；ただ、作品中においても、上述のように倫理面の問題が指摘されている。；倫理は、医療提供者と患者によって行われる医療上の決定に影響を与える。；しかしながら各種法令の遵守体制ができている企業の倫理は総じて高い。；民主党では国のかたち研究会代表を務め、党倫理委員長などを歴任した。；哲学や倫理学を専門としており、ヨーロッパ思想に関する研究が多い。；シナリオは倫理上の都合で変更された点はあるものの、ほぼ原作通りである。；これに伴う倫理上の問題やその他の詳細については減数手術を参照のこと。；これはメタデザインが多様性に関する倫理領域を示唆している事になる。；倫理とは生物科学の領域の外にあるその他多くの科学にも関連するものなのである。；これは彼の外見が人間に似ているため、倫理規制に配慮しての判断とされる。；国際関係論と政治理論を専門とし、近代性の問題や国際倫理を中心に扱う。；セレマは個人的哲学であり、通常の意味での倫理という概念を持たない。；但し、聖悪白黒は各個人の信仰・倫理により左右される事に注意されたし。；こちらは日本倫理・哲学グランプリとは異なり英語でエッセイを書く。；また、国家・政府や人物を、倫理の象徴のように思わせるところにも特徴があった。；死や性行為など倫理的に避けられるテーマをむしろ強調するような作品を制作していった。；一方でクワークの倫理基準をも超えるような悪党を協力して逮捕したことがある。；そのため、当初はPCエンジンに倫理規定は設けられていなかった。；こうした男女倫理が変わったのは封建時代になってからである。；批判期以降のカントは、ふたたび宗教・倫理学への関心を増した。；科学倫理や知的財産権の専門家らの指摘は概して以下のような内容を含んでいる。；中学1年から倫理の授業があり、中学では当校の歴史、方針を教えている。</t>
        </is>
      </c>
      <c r="J8873">
        <f>HYPERLINK("https://www.weblio.jp/content/倫理", "词义详情")</f>
        <v/>
      </c>
      <c r="K8873">
        <f>HYPERLINK("https://yourei.jp/倫理", "查看例句")</f>
        <v/>
      </c>
    </row>
    <row r="8874">
      <c r="A8874" t="inlineStr">
        <is>
          <t>類</t>
        </is>
      </c>
      <c r="B8874" t="inlineStr">
        <is>
          <t>成功</t>
        </is>
      </c>
      <c r="C8874" t="inlineStr">
        <is>
          <t>読み方：るい
［音］ルイ（呉）（漢）　［訓］たぐい
［学習漢字］4年
１互いに似た性質でまとめられるものの集まり。たぐい。「類別／衣類・魚類・穀類・種類・書類・生類(しょうるい)・親類・人類・鳥類・党類・糖類・同類・部類・分類」
２似ている。似たもの。「類義・類型・類似・類書・類例・類人猿／比類・無類」
３同じ目にあう。まきぞえを食う。「類火・類焼」
［名のり］とも・なし・よし</t>
        </is>
      </c>
      <c r="D8874" t="inlineStr">
        <is>
          <t>類以上；類稀；類まれ；類卒業；類いまれな</t>
        </is>
      </c>
      <c r="E8874" t="inlineStr">
        <is>
          <t>型；種；種類；形態；タイプ</t>
        </is>
      </c>
      <c r="F8874" t="inlineStr">
        <is>
          <t>全人類；機器類；道具類；機械類；宝石類</t>
        </is>
      </c>
      <c r="G8874" t="inlineStr">
        <is>
          <t>類型；類似性；類する；類推；類似点</t>
        </is>
      </c>
      <c r="H8874" t="n">
        <v>29</v>
      </c>
      <c r="I8874" t="inlineStr">
        <is>
          <t>鰹節は節類の代表的なもので加工の工程や製品の形状の名称が共通する。；いわゆる電子ガジェット類に機能の一つとして付属している場合もある。；相貌は類義を持つほか人の顔立ちに限らず物事の様子を指す場合もある。；電力機器は、電気を利用するために必要な、様々な機器類の総称である。；尾の短い鳥翼類の系統のうち、最初に多様化を遂げたのが反鳥類である。；食事類を提供する喫茶店を営業する場合は飲食店営業の許可が必要である。；さらに、成長に伴い使われる子供向けの楽器類なども玩具に相当する。；ここでは、本作に登場するアイテム類のうち何度も登場するもののみを挙げる。；海岸地帯の料理にはセビッチェのように魚介類を豊富に使った料理が多い。；似たような遊びをする植物にスミレ類やオオバコなどが良く知られる。；海に囲まれているため魚介類も豊富で、魚やエビなどを使った料理も多い。；以下の書籍の該当頁には、類話の一部が載っているので参照されたい。；特に動物に関する体系的な研究は古代世界では東西に類を見ない。；日本語諸方言では原則として、同じ類の語は同じ型のアクセントを持つ。；類が極度に広いと、存在・もの・何かなどの語を使わざるを得ないことになる。；衣料、雑貨を営業し、近代に入って呉服類を中心に営業を継続拡張した。；音楽を通して彼は全人類の暮らしを豊かなものにしてくれたのです。；その他の台車に装備される装置類としては、以下のようなものがある。；これは200kmの高度に装置類を投入することを目的とした。；しかし最近類を探し当てることができない結果、この表現に至ることも多い。；従来は独立して設置していた機器類は共通機器箱に集約した。；リボン類も布のものばかりでなくプラスチック類のものが登場した。；キス類の多くは食用に利用されるほか、釣りの対象としても人気が高い。；元々は肉料理用のソースであるが、魚介類や野菜に使われることも多い。；CPU類は限られた数の明確で単純な命令しか持っていない。；性格は全46種類が存在し、ステータス画面で確認することができる。；歯は木を削ったり堅果類の皮をかじったり身を守ったりするために使われる。；この類では、殻が螺旋状に巻いているので、左右が非対称になっている。；これはシャチに限らず、大型の動物類全てに言えることでもある。</t>
        </is>
      </c>
      <c r="J8874">
        <f>HYPERLINK("https://www.weblio.jp/content/類", "词义详情")</f>
        <v/>
      </c>
      <c r="K8874">
        <f>HYPERLINK("https://yourei.jp/類", "查看例句")</f>
        <v/>
      </c>
    </row>
    <row r="8875">
      <c r="A8875" t="inlineStr">
        <is>
          <t>累計</t>
        </is>
      </c>
      <c r="B8875" t="inlineStr">
        <is>
          <t>成功</t>
        </is>
      </c>
      <c r="C8875" t="inlineStr">
        <is>
          <t>読み方：るいけい
［名］(スル)部分ごとの小計を順次に加えて合計を出すこと。また、その合計。累算。「各支店の売り上げを—する」</t>
        </is>
      </c>
      <c r="D8875" t="inlineStr">
        <is>
          <t>累計売上(10%)；累計興行収入(6%)；累計販売(4%)；累計出荷(4%)；累計売り上げ(2%)</t>
        </is>
      </c>
      <c r="E8875" t="inlineStr">
        <is>
          <t>合計；通算；集計；トータル；総計</t>
        </is>
      </c>
      <c r="F8875" t="inlineStr">
        <is>
          <t>全世界累計；国内累計；累計興収；ストリーミング累計；販売累計</t>
        </is>
      </c>
      <c r="H8875" t="n">
        <v>29</v>
      </c>
      <c r="I8875" t="inlineStr">
        <is>
          <t>この歌姫シリーズは最終的に累計で100万枚を記録したと発表された。；これまでにリリースされた自身のアルバムでは最も累計売上が少ない。；また利用客数が累計10万人に達した時期は想定よりも大幅に速かった。；各マスにはその作業をその日に行った量とそれまでの累計が記される。；同社の主力商品であり、シリーズ累計1800万部以上出版されている。；このような投資の累計は、1980年の時点で87億ドルに上っていた。；数人の実行犯は逃亡を続け2008年までに累計8人が逮捕されている。；緑は年ごとの長さの累計値の差、赤は年ごとの長さの変動である。；プレーした累計日数や一回でもプレーした連続日数が規定を上回れば獲得。；当時の最高初週売上であった99万枚を記録し、累計で235万枚を記録。；この中で累計視聴者数が38万人以上だったことが明らかとなった。；ちなみに十六銀の費用負担分は、累計で約130億円相当とされる。；発売から20年を経た時点での再発盤を含めた累計売上は約170万枚。；最終的にNeXTが販売したコンピュータは累計で5万台となった。；そしてドラマ化が発表された時点では累計部数は135万部を記録している。；累計で少なくとも8千万部が売られ、20を超える言語に翻訳されている。；また2010年度中に累計発売枚数が10万枚を超えるとされている。；公式サイトによると、2019年現在の主要駅と累計キロは表の通り。；シリーズの累計出荷本数は2015年に1500万本以上に達している。；T校バスケット部、はシリーズ累計100万部を超えるヒットとなった。；シリーズ累計は『由奈』が執筆された時点で250万部を突破している。；第一次世界大戦に於いてはそれまでの累計に匹敵するほどの受章者を出した。；中でも中国では2018年時点でシリーズ累計800万部を発行している。；これにより、この時点での累計死者数は約5万5000人となっている。；シリーズの全世界累計売上は2017年時点で720万本に達している。；サンマーク出版の海外発行総部数は累計2500万部超となっている。；同年7月8日には累計出荷本数が5万本を突破したことが発表された。；GPボーナスは敵の撃破点やスコアアイテムも累計されて計算される。；北関東3県で初めて東大累計合格者数1000名を超えた高校でもある。</t>
        </is>
      </c>
      <c r="J8875">
        <f>HYPERLINK("https://www.weblio.jp/content/累計", "词义详情")</f>
        <v/>
      </c>
      <c r="K8875">
        <f>HYPERLINK("https://yourei.jp/累計", "查看例句")</f>
        <v/>
      </c>
    </row>
    <row r="8876">
      <c r="A8876" t="inlineStr">
        <is>
          <t>類型</t>
        </is>
      </c>
      <c r="B8876" t="inlineStr">
        <is>
          <t>成功</t>
        </is>
      </c>
      <c r="C8876" t="inlineStr">
        <is>
          <t>読み方：るいけい
１似ている型。「—の多い説話」
２幾つかのものに共通する基本的な性質や特徴。「犯罪を—によって分類する」「—化」</t>
        </is>
      </c>
      <c r="D8876" t="inlineStr">
        <is>
          <t>類型的(10%)；類型化(8%)；類型ごと；類型性；類型デジモン</t>
        </is>
      </c>
      <c r="E8876" t="inlineStr">
        <is>
          <t>型；種；類；種類；形態</t>
        </is>
      </c>
      <c r="F8876" t="inlineStr">
        <is>
          <t>三類型；様々な類型；訴訟類型；諸類型；契約類型</t>
        </is>
      </c>
      <c r="G8876" t="inlineStr">
        <is>
          <t>類型学；類型地域</t>
        </is>
      </c>
      <c r="H8876" t="n">
        <v>29</v>
      </c>
      <c r="I8876" t="inlineStr">
        <is>
          <t>特に秩父鉄道では、足回りを近代化した類型車が数多く製造されている。；厄祓いのご利益を得るための方法の類型には、以下のようなものがある。；岩石の性質は多種多様で、地貌の類型も非常に複雑で多様になっている。；自然な表現において、次のような三つの構成素からなる言語類型を示す。；いずれの類型にしても譲渡担保の実行においては常に清算が必要となる。；またアメリカ合衆国内国歳入庁によれば、以下の六類型にまとめられる。；箱入り娘とはお嬢様の一類型で、極力他人に接触させずに育てられた娘。；国家の軍隊を一般的類型化したものとして以下のようなものが考えられている。；児童生徒の能力、特性に応じて、各部で類型及びコースを編成している。；また同じ類型の中にも例外はあり、彼らの命運や末路は極めて多様である。；類型は、その剣が使われていた年代で二つのグループに大別される。；本来の意味でイージス艦と呼んでよいものもあれば、類型に近いものもある。；補助参加の利益が問題となる場合は、3つの類型に分けることができる。；現代の言語は類型的な特徴ではなく比較言語学的な方法に基づいて分類されている。；このグループに含まれる多くの言語が、類型的には抱合語と考えられている。；事物の類型を表す記号と発音を表す記号を組み合わせて新しい字を作る。；それ以前に発表された作品からの発展類型は以下の通り。；環境基準類型未指定河川の一つではあるが水質調査は行われている。；死の風景は時代と場所によってその描かれ方に類型が見られる。；そこには絵本にあるような類型的な絵ばかりが選ばれていた。；基底石が2段にわたって積み上げられることを主特徴とする類型である。；若干の基本的類型は変化を加えながら何度も使用された。；主観的な我は空だが、客体的な事物の類型は三世に渡って実在するとした。；既定分類に合致しない車両類型が生成される理由はさまざまである。；鉄道においては、日本や中国などの諸種路線で類型の列車が運行されている。；前4000年頃にろくろの使用が見られる仰韶廟底溝類型文化が現れた。；寄託は物を保管するために労務の提供がなされる点で他の契約類型とは異なる。；氏族のルーツはいくつかの類型に分類されるが、明らかでない氏族も多い。；武勲詩に出てくるキャラクターにはごく限られた類型しかない。</t>
        </is>
      </c>
      <c r="J8876">
        <f>HYPERLINK("https://www.weblio.jp/content/類型", "词义详情")</f>
        <v/>
      </c>
      <c r="K8876">
        <f>HYPERLINK("https://yourei.jp/類型", "查看例句")</f>
        <v/>
      </c>
    </row>
    <row r="8877">
      <c r="A8877" t="inlineStr">
        <is>
          <t>類型的</t>
        </is>
      </c>
      <c r="B8877" t="inlineStr">
        <is>
          <t>成功</t>
        </is>
      </c>
      <c r="C8877" t="inlineStr">
        <is>
          <t>読み方：るいけいてき
［形動］型にはまっていて、個性や特色が見られないさま。「登場人物が—でつまらない」「—な表現」</t>
        </is>
      </c>
      <c r="D8877" t="inlineStr">
        <is>
          <t>類型的特徴；類型的人物</t>
        </is>
      </c>
      <c r="E8877" t="inlineStr">
        <is>
          <t>代表的；特有；典型的；弁別的；ティピカル</t>
        </is>
      </c>
      <c r="H8877" t="n">
        <v>29</v>
      </c>
      <c r="I8877" t="inlineStr">
        <is>
          <t>この仕掛けをあぶりだす観点のひとつが、身体の類型的差異なのである。；現代の言語は類型的な特徴ではなく比較言語学的な方法に基づいて分類されている。；このグループに含まれる多くの言語が、類型的には抱合語と考えられている。；精神や感情は自由なはずだが、冷静に示されると、かくも類型的なのである。；彼女は何の展開もなくこれらの類型的な姿を点々として並べて行く。；そこには絵本にあるような類型的な絵ばかりが選ばれていた。；こっちはさっきの迷子なんかよりも更に類型的な話だからなあ。；誰を描いても同じような顔と恰好をしている類型的な役者絵を打ち破ろうとした。；すると、料理の特徴が舌のうえで類型的に分類されてくる。；むしろ、自分はユニークな人間だと思いこんでいる点で、類型的であった。；いくら単語をつなぎ変えてみても、似たような類型的な歌しかできないのである。；地震の場合は必ずしもこれと類型的ではないが、問題が統計的である事だけは共通である。；その人物の性格は飽くまでも類型的で、事件の推移は余りに機械的である。；実に類型的な田舎娘の扮装だったが、冴子はどうみても田舎娘になり切れなかった。；単純であって一つの類型的な様式に達している。；すなわち集団的人間の類型的見かたを個人が酌みとることを意味する。；登場人物が類型的で、内省ばかりしており、人間と人間の葛藤がありません。；そして、類型的な状況設定をベースに即興的に物語を展開していく。；ところが子供が革命を起す、あの辺から子供虐めの類型的な悪婆になつて居る。；藩主の伝記などはたいてい類型的なものだから、こういう文句は珍しくもなし興味も感じられない。；登場してくる性格は類型的なものが多い。；西鶴などはその第一人者ではあるが、全体にまだ類型的で、具体的になつてゐない。；両者は人称代名詞等が明らかに同源であり、否定動詞が存在するなど類型的特徴も類似している。；西側のアーチフィールドは、複雑な類型的なシーンを示している。；ただし、類型的には以下のような相違点がある。；事件の推移は飽くまでも論理的で、人物の性格は余りに類型的である。；この音は類型的に極めて稀である。；イタリア料理とはこんな系統の味であるとか、中華料理の味が他の料理と区別される点を類型的に舌に記憶しておくことが可能な段階になったら、しめたものである。；類型的な建築を探す上で、クリエの作品は「スタイルのない建築」と呼ばれてきた。</t>
        </is>
      </c>
      <c r="J8877">
        <f>HYPERLINK("https://www.weblio.jp/content/類型的", "词义详情")</f>
        <v/>
      </c>
      <c r="K8877">
        <f>HYPERLINK("https://yourei.jp/類型的", "查看例句")</f>
        <v/>
      </c>
    </row>
    <row r="8878">
      <c r="A8878" t="inlineStr">
        <is>
          <t>類似</t>
        </is>
      </c>
      <c r="B8878" t="inlineStr">
        <is>
          <t>成功</t>
        </is>
      </c>
      <c r="C8878" t="inlineStr">
        <is>
          <t>読み方：るいじ
［名］(スル)互いに共通点があること。似かようこと。「筆法が—している」「—品」</t>
        </is>
      </c>
      <c r="D8878" t="inlineStr">
        <is>
          <t>類似する(13%)；類似性；類似物；類似種；類似点</t>
        </is>
      </c>
      <c r="E8878" t="inlineStr">
        <is>
          <t>似ている；酷似；近似；似る；類する</t>
        </is>
      </c>
      <c r="F8878" t="inlineStr">
        <is>
          <t>類似語；類似名称；類似構造；配列類似；類似行為</t>
        </is>
      </c>
      <c r="G8878" t="inlineStr">
        <is>
          <t>類似点；類似品；類似体；類似化合物；類似宗教</t>
        </is>
      </c>
      <c r="H8878" t="n">
        <v>29</v>
      </c>
      <c r="I8878" t="inlineStr">
        <is>
          <t>回帰も類似した手法だが、既存のデータが不正確であることを考慮する。；現在利用中のユーザーには他社の類似サービスへの案内を行っていた。；そのほか、地球以外の惑星でも類似の動力による飛行が検討されている。；類似の見解はカトリックのフェデリコ・バルバロからも提示されていた。；他の派閥との類似や混同・混乱を避ける為にポル・ポト派とも呼ばれる。；記載される内容が類似している文書には、指導要録や通知表などがある。；日本の総合商社はマーチャントバンクに大変類似しているとも言われる。；日本では1990年頃に流行し、同一形式の類似作品が多数登場した。；これは左右対称の硬い羽で、現生の鳥類に見られる下羽に類似している。；これらの編成は主幹制御器を10000系と類似の形状のものに交換した。；これらはアレルゲンがきわめて類似しているためと考えられている。；逆T字方式は、中央案内軌条式の新交通システムと類似した構造を持つ。；以下は、フランスのバカロレア試験に類似の一部の海外の試験である。；他の作家が1929年から1930年にかけて類似の小説を書いている。；なお、類似の装飾は中世後期のものがトスカーナには多く現存している。；それとは別に、ラインホルト・メスナーが類似したリストを提示している。；このため同時期に登場した103系3550番台に類似した形状となった。；旗の意匠が漢字の米に類似していることから、中国語ではと呼ぶことがある。；中国の推拿の手法に類似しているので、その影響もあると見られる。；主な規制内容は以下の通りであり、訪問販売の規制に類似している部分が多い。；基本的には他州に規定される教育体系に類似している。；このシステムは『ファイナルファンタジーV』の青魔法と類似している。；他、各地で語られるバンシーあるいはその別名、類似したものを挙げる。；押韻とは、同一または類似の韻をもった語を一定の箇所に用いることをいう。；これは、彼の物語で後に類似したことが起こる出来事である。；これは地球の潮汐により月の軌道が遠ざかることと類似した機構である。；死神とは、生命の死を司るとされる神で世界各地に類似の伝説が存在する。；これは四酸化オスミウムに類似した構造と特性を持つ強力な酸化剤である。；工場レベルでもミスがあると類似の事故が発生する。</t>
        </is>
      </c>
      <c r="J8878">
        <f>HYPERLINK("https://www.weblio.jp/content/類似", "词义详情")</f>
        <v/>
      </c>
      <c r="K8878">
        <f>HYPERLINK("https://yourei.jp/類似", "查看例句")</f>
        <v/>
      </c>
    </row>
    <row r="8879">
      <c r="A8879" t="inlineStr">
        <is>
          <t>類推</t>
        </is>
      </c>
      <c r="B8879" t="inlineStr">
        <is>
          <t>成功</t>
        </is>
      </c>
      <c r="C8879" t="inlineStr">
        <is>
          <t>読み方：るいすい
［名］(スル)
１類似の点をもとにして、他を推しはかること。「過去の事例から—する」
２論理学で、二つの事物の間に本質的な類似点があることを根拠にして、一方の事物がある性質をもつ場合に他方の事物もそれと同じ性質をもつであろうと推理すること。結論は蓋然的。類比推理。類比。比論。アナロジー。
３ある語形または文法形式との関連から、本来の語形または文法形式とは別の新しい語形または文法形式を作ろうとする心理的な作用。この種の働きによって、多くの不規則な語形が規則化されていくことがある。</t>
        </is>
      </c>
      <c r="D8879" t="inlineStr">
        <is>
          <t>類推する(14%)；類推される(5%)；類推できる(4%)；類推的(2%)；類推させる</t>
        </is>
      </c>
      <c r="E8879" t="inlineStr">
        <is>
          <t>思う；推定；推測；想定；予測</t>
        </is>
      </c>
      <c r="F8879" t="inlineStr">
        <is>
          <t>類推すること</t>
        </is>
      </c>
      <c r="G8879" t="inlineStr">
        <is>
          <t>類推解釈；類推の危険</t>
        </is>
      </c>
      <c r="H8879" t="n">
        <v>29</v>
      </c>
      <c r="I8879" t="inlineStr">
        <is>
          <t>従ってこれから類推すれば、人間は更に多くの法則を発見するであろう。；類推の合理化こそは新しい生物学の生命であるとまでいい得るであろう。；また、事故が生じたのちの状態からそれを類推することは不可能であった。；簡単に類推可能なので以下では特に説明せずそのような用語を使う。；人間を人間たらしめてきたのは類推共感能力であるという考え方がある。；これは「いわゆるひとつの」という意味ではないかと類推したのである。；以上のべた例から類推しても直ちに若干の題目を挙げ得るのであります。；しかしその中に住んでいる発田夫妻の動きを、彼は彼なりに類推していた。；それから類推してみても、あの二人の間につき合いがあったとは思えない。；従って電車の場合の類推がどこまで適用するか、それは全く想像もできない。；ただし、逆にこの行動によって彼の出身地を類推することが可能である。；言語学では、言語自体に対する類推が言語の変化の大きな要因とされる。；そして、それは他の諸作家についても類推することの出来る根拠がある。；が、それは観念的な類推にしかすぎず、事実はだいたい逆になるようだ。；ニュース映画の場合はルポルタージュ文学などと類推される恐れがある。；壁画等の類推から、当時の美女の基準からして実際は豊満な女性だった。；それゆえわれわれは類推の論理を用いることで当座の間に合わせにする。；こうした類推・比喩はたいへん誤解を呼ぶものであり、論理的ではない。；異様な雰囲気といっても、東京のゲイ・バーから類推してもらっては困る。；類推によれば、人が他人の主観的な感覚を経験できないことは問題ではない。；私が自分を病気ではないかと思うのも、別所のことからの類推かも知れない。；しかしこの類推はこの場合にあてはまるかどうだかそれは分らない。；その仕方はいろいろありましょうが、特に著しいのは類推であります。；しかし一般的には、類推していることさえもなかなか意識化されない。；物体の速度を扱う力学との類推で、かつては化学動力学と呼ばれていた。；しかしこれをより大きな n についての類推とするのは相当でない。；特定の標本人の反応を分析して私たちは部分から全体を類推するほかないのである。；一般に、使用頻度の低い語はつい忘れがちになるため、類推を受けやすい。；この水流による類推は、いくつかの電気的概念を理解するのに有効である。</t>
        </is>
      </c>
      <c r="J8879">
        <f>HYPERLINK("https://www.weblio.jp/content/類推", "词义详情")</f>
        <v/>
      </c>
      <c r="K8879">
        <f>HYPERLINK("https://yourei.jp/類推", "查看例句")</f>
        <v/>
      </c>
    </row>
    <row r="8880">
      <c r="A8880" t="inlineStr">
        <is>
          <t>類する</t>
        </is>
      </c>
      <c r="B8880" t="inlineStr">
        <is>
          <t>成功</t>
        </is>
      </c>
      <c r="C8880" t="inlineStr">
        <is>
          <t>読み方：るいする
［動サ変］［文］るい・す［サ変］
１似る。共通点をもつ。同じ仲間に属する。「児戯に—・する」「これに—・する事例は多い」
２行動を共にする。伴う。
「異(こと)上達部(かむだちめ)など、—・して参り給ひて」〈大和・二九〉</t>
        </is>
      </c>
      <c r="D8880" t="inlineStr">
        <is>
          <t>類する工作物により区画；類する大き；類する唯一神信仰；類する脳機能</t>
        </is>
      </c>
      <c r="E8880" t="inlineStr">
        <is>
          <t>似ている；類似；酷似；似る；相似</t>
        </is>
      </c>
      <c r="F8880" t="inlineStr">
        <is>
          <t>相類する</t>
        </is>
      </c>
      <c r="H8880" t="n">
        <v>29</v>
      </c>
      <c r="I8880" t="inlineStr">
        <is>
          <t>私はこれに類する何か良い言葉はないかと思って漢和辞典を引いてみた。；と云う題で書かれた感想に類したものを見て自分の感じたことも同じだ。；野菜畑を作ったり、そのほか農業に類することに手をつけてはいけない。；古典に類する作品には古い固定観念・偏見が含まれている可能性もある。；いずれにしても、題材はギリシア神話やそれに類するものから取られる。；それが道徳的な喜びに類するものと云うには、伝統が欠けているだけだ。；これまで、馬や牛に類する巨獣に一度たりとも触れたことのない彼だ。；生人形やそれに類する人形を製作した職人には以下の人物などが見られる。；ここまでが本サービスの要点となるフロントエンドに類する範囲である。；ハルが人間の罪悪感に類するものを味わうなどとはおよそ考えていない。；かろうじてこれに類するものにラヴクロフトがあるくらいのものである。；私が扱った限りの神経症患者はみなこれに類したことを体験している。；かろうじてこれに類するものにラヴクラフトがあるくらいのものである。；君も知っての通りあの部屋には出口やそれに類するものは一箇所しかないんだ。；ひどく控えめな存在であり、害意に類するものはまったく感じないこと。；師匠にしてみればこのクウネルさんはそれら天敵に類するものなのだろう。；身のまわりに作家またはそれに類する職業の人は一人も居なかった。；ぼく自身、短い新聞のコラムでそれに類することを書いたことがある。；だからその時代の芸術作品には平和と幸福の讃美に類するものが多かった。；今日の書家と申します者もいってみれば、皆これに類する者といえましょう。；これに類した経験をお持ちの方は、皆さんのうちにも多かろうと思います。；読書の上手な人にもどうもこれに類した不思議なことがありそうに思われる。；ジャンルコートが女性のヌード、またはそれに類する画像になっています。；ところが、現在のヂヤアナリズムには、これに類する傾向が非常に多い。；天野景貫の居城は城というほどのものではなく、館に類するものであった。；純粋思考の中では、知覚像に類する一切のイメージは排除される、と。；これにはあきらかに抽象的用語、具体的に形状を示す数字に類する記号。；好色ならば、なにかもっと媚に類するものが目立ってもよかったはずだ。；宋代にはこの官はなく、これに類するものとして都監が各州に置かれた。</t>
        </is>
      </c>
      <c r="J8880">
        <f>HYPERLINK("https://www.weblio.jp/content/類する", "词义详情")</f>
        <v/>
      </c>
      <c r="K8880">
        <f>HYPERLINK("https://yourei.jp/類する", "查看例句")</f>
        <v/>
      </c>
    </row>
    <row r="8881">
      <c r="A8881" t="inlineStr">
        <is>
          <t>留守</t>
        </is>
      </c>
      <c r="B8881" t="inlineStr">
        <is>
          <t>成功</t>
        </is>
      </c>
      <c r="C8881" t="inlineStr">
        <is>
          <t>読み方：るす
［名］(スル)
１主人や家人が外出している間、その家を守ること。また、その人。留守番。留守居。「—を頼む」
「玄関をはいると雇い人だけが—していた」〈有島・小さき者へ〉
２外出して家にいないこと。「三日ほど—にする」「—していまして失礼しました」「居—」
３他のことに心を奪われ、その方に気が回らないこと。「お留守」の形でも用いる。「手元が—になる」「仕事が忙しくて家事がお—になる」</t>
        </is>
      </c>
      <c r="D8881" t="inlineStr">
        <is>
          <t>留守中(14%)；留守宅(4%)；留守役；留守部隊；留守師団</t>
        </is>
      </c>
      <c r="E8881" t="inlineStr">
        <is>
          <t>不在；欠場；欠席；欠勤；不参</t>
        </is>
      </c>
      <c r="F8881" t="inlineStr">
        <is>
          <t>出かけて留守；東京留守；つて留守；御留守；出て留守</t>
        </is>
      </c>
      <c r="G8881" t="inlineStr">
        <is>
          <t>留守居；留守番電話；留守居役；留守電；留守氏</t>
        </is>
      </c>
      <c r="H8881" t="n">
        <v>29</v>
      </c>
      <c r="I8881" t="inlineStr">
        <is>
          <t>彼女の夫は旅行会社に勤めていて、月の半分近くは家を留守にしていた。；父の留守を狙っての公演だったが、公演中に突然父が帰って来てしまう。；そこでわたしのるす宅へ移ってきて、妻と同居することになったんです。；あるとき、狩人が王子が留守の時に部屋に忍び込んで部屋の中を調べた。；あるいは奈緒実のるすに、良一が電話を受けたのではないかとも思った。；母親が夜勤で家を留守にしていたある日、養父に犯されてしまったのだ。；家を留守にする際、家に何かが起きても出先で知ることのできる機械。；古くから漁業の神でもあり、後に留守神、さらには商いの神ともされた。；一行が寂光院に着いた時、徳子は裏の山へ花を摘みに行って留守だった。；母親が書き置きを残して、家を留守にするところから物語が展開していく。；赤石が無期停学となり留守にしていた間、その指名で代理を務めていた。；たかじんさんの留守を、これは本当に必死に守ってきたつもりだった。；彼はルイ7世が聖地へ向かい王国を留守にした際には代わって国を治めた。；合鍵を所持していないため刑部が家を留守にすると中に入れなくなる。；きっと両親は、あまり長くるすにした私を心配しているでしょう。；兄がるす中、それに似たようなことを京弥と二人して時折試みていた筈じゃ。；好景はすぐに留守の一族・家臣僅か50余騎を率いて、中島へ向かった。；名の由来は父がドイツ留学中に留守宅で生まれたことから。；七里鎌倉兵衛が蔵屋敷の留守居であったがこの者の下役であったようだ。；江戸近郊に住む豪農・作右衛門が留守の間に娘の具合が悪くなった。；リョウの留守中にアパートが襲撃されユリが何者かにさらわれてしまった。；初期は留守近衛連隊が、のちには近衛歩兵第6連隊などがそれにあたる。；場所は郊外なので電車賃もなく歩いていくと、その元締めは留守であった。；この件は調査されたが証拠が出ず、速撒は上京留守に出向させられた。；以降はミトのもとで、留守中に貯めていた初等教育の勉強に励んでいる。；実は執事の配慮で基氏が留守の間は料理人は着衣することを許されていた。；そのあいだ授業はおるすになっているのだから、小谷先生はいらいらする。；身の外形のみに飾りをつける事に腐心して肝心の心をるすにするんですもの。；ずっとるすにしていてようやくもどってみれば、あなたはここにもいないじゃないの!</t>
        </is>
      </c>
      <c r="J8881">
        <f>HYPERLINK("https://www.weblio.jp/content/留守", "词义详情")</f>
        <v/>
      </c>
      <c r="K8881">
        <f>HYPERLINK("https://yourei.jp/留守", "查看例句")</f>
        <v/>
      </c>
    </row>
    <row r="8882">
      <c r="A8882" t="inlineStr">
        <is>
          <t>留守番</t>
        </is>
      </c>
      <c r="B8882" t="inlineStr">
        <is>
          <t>成功</t>
        </is>
      </c>
      <c r="C8882" t="inlineStr">
        <is>
          <t>読み方：るすばん
［名］(スル)
１「留守1」に同じ。「子供に—させる」
２江戸時代、大坂城あるいは二条城の番士の称。城番。</t>
        </is>
      </c>
      <c r="D8882" t="inlineStr">
        <is>
          <t>留守番役(4%)；留守番メッセージ；留守番機能；留守番サービス；留守番組</t>
        </is>
      </c>
      <c r="F8882" t="inlineStr">
        <is>
          <t>ぎはおうちで留守番；御留守番</t>
        </is>
      </c>
      <c r="G8882" t="inlineStr">
        <is>
          <t>留守番電話サービス</t>
        </is>
      </c>
      <c r="H8882" t="n">
        <v>29</v>
      </c>
      <c r="I8882" t="inlineStr">
        <is>
          <t>これで留守番の任務は解除されたわけなので、私は入れ違いに家を出た。；先方のそれは留守番用にセットされていて、まだ帰宅していないらしい。；土曜の午後、すでに残っているのは留守番を買って出た律子だけだった。；相手が彼なら、誰を留守番に残していっても、こんな結果になったはずだ。；小学生の頃、夕方一人で留守番していたときの時間の流れ方を思い出した。；家の人たちが芝居見物にゆく場合には、わたしはいつも留守番をしていた。；それですから留守番はわたくし共の顔を見て、気味を悪がったようでした。；ウメちゃんが留守番をしていて、お客さまにお宿をさせてやって下さい。；その時点でまだここで留守番をしていた山下恒彦から話を聞くためだった。；あすの晩はあたしが留守番をするから、お前達夫婦で行っておいでよ。；その後、シュウは遠征軍とは別の部隊である留守番部隊に組み込まれる。；月娘は来旺を李瓶児の獅子街の家の留守番にやることに気がすすまない。；里の規模からして留守番程度の人間がいればよかったのである。；たった一人で留守番をしてはいたが、保郎は生活を崩してはいなかった。；この子とひさと二人で島田に行っていた間留守番をして居りました。；夫婦は、俊夫に留守番をたのむことに、何の不安も感じていないらしい。；塚原の母がやってきて、市内見物に出ようとすれば留守番は必要だった。；そこのカミさんが留守番をしていると、そこへ、幼なじみが遊びに来た。；今、七個小隊がこちらに向かっているが、それまでは俺たちがお留守番だ。；聞こえてきたのは留守番用に録音された、修子の事務的な口調だった。；私は京都の家に留守番をしていて兄のスケジュールはまるで知らなかったんです。；子供が一人で留守番をしているところを狙って、窓から侵入して飛びかかる。；留守番をしていたうちの女房は何も知らずに家事をやっていた。；芸人達はまだ仕事先から戻っておらず、留守番役の年寄りや子供達だった。；よしんばその地に家はあっても留守番だけを置いて自分達はラサ府に居る。；それですから留守番はわたくし共の顔を見て、気味を悪がつたやうでした。；それから君がいったら案内するように、留守番の園丁にもひと筆かいてやる。；男達は仕事に出かけているらしく、やや耳の遠い老婆が留守番をしている。；一人で留守番してる子どもみたいにぺたんと座り込んでる自分がいる。</t>
        </is>
      </c>
      <c r="J8882">
        <f>HYPERLINK("https://www.weblio.jp/content/留守番", "词义详情")</f>
        <v/>
      </c>
      <c r="K8882">
        <f>HYPERLINK("https://yourei.jp/留守番", "查看例句")</f>
        <v/>
      </c>
    </row>
    <row r="8883">
      <c r="A8883" t="inlineStr">
        <is>
          <t>礼</t>
        </is>
      </c>
      <c r="B8883" t="inlineStr">
        <is>
          <t>成功</t>
        </is>
      </c>
      <c r="C8883" t="inlineStr">
        <is>
          <t>読み方：いや
敬うこと。尊敬すること。礼儀。うや。
「賢弟の—を納むる、何の望みかこれに過ぐべき」〈読・雨月・菊花の約〉</t>
        </is>
      </c>
      <c r="D8883" t="inlineStr">
        <is>
          <t>礼をのべ；礼をいい；礼拝所；礼制；礼奈</t>
        </is>
      </c>
      <c r="E8883" t="inlineStr">
        <is>
          <t>法；感謝；お礼；礼儀；儀礼</t>
        </is>
      </c>
      <c r="F8883" t="inlineStr">
        <is>
          <t>厚く礼；深々と礼；礼科給事中；礼監太；礼唐平野</t>
        </is>
      </c>
      <c r="G8883" t="inlineStr">
        <is>
          <t>礼儀；礼拝堂；礼子；礼服；礼装</t>
        </is>
      </c>
      <c r="H8883" t="n">
        <v>29</v>
      </c>
      <c r="I8883" t="inlineStr">
        <is>
          <t>信長は同盟締結の礼として、源氏の出である元康に紹介したのであった。；つまり変法とは、それまでの伝統的な政治外交礼制などの大変革を指す。；これは、裸になった時にも礼を失わないように、との粋な計らいである。；清はおしんに礼を言い、竜三の骨を一片胸に抱いて佐賀へ帰っていった。；マツィエフは試合途中であったにもかかわらず礼もしないで自ら畳を下りた。；しかし、成長してから、どのようにして礼学を学んだのかは分かっていない。；なお、家督は次弟で末期養子となった経礼が翌4年2月14日に継いだ。；その礼として持っていた百金はする剣を渡そうとしたが、漁師は断った。；父の死に続いて母の死に遭うが、いずれも礼を尽くして喪に服し続けた。；こののち長い間、番長が先駆する礼が行われなくなってしまったという。；敬礼は右拳を左胸に当てる形式が基本だが、挙手の礼をする場合もある。；また、仕事前に礼を渡すと食い逃げをされてしまう事もあったという。；初代の秋元長朝からの最後の藩主である礼朝までの歴代の墓所となっている。；ここで言う雄城坂での挨拶とは車が来たら振り返って礼をするという物である。；この礼に女房衆が大坂へ赴いた際に、国朝との結婚話が出されたものと思われる。；イギリス植民地政府からは軍人の礼をもって迎えられた。；バグダードの街には6万の礼拝所と3万の公衆浴場があったといわれる。；古文では易・書・詩・礼・楽・春秋であり、時代順に並べられている。；文帝は彼が神人であることを知って乗物から降りて礼をなし、道を求めた。；事件が解決した後はハガーたちに礼を告げて街を去っていく。；また、順帝の即位以来行われなかった籍田の礼を再開するようにも求めた。；彼は切断された足を軍礼をもって埋葬するように命令した。；小さな礼は答えにならないと思っていたからです。；物を貰えど礼はいわないが決して貯めず、困っている者に惜しみなくやる。；張礼は「これは最初の約束なので、私が食べられます」と言って死を争った。；キュクロープス達は助けてくれた礼にとゼウスたちに武器を作って献上した。；礼をした後に戦闘状態にせず、再度礼を行い続けると永遠に対戦が始まらない。；前殿を外殿・礼殿・細殿・出殿・出居殿といい、後殿を内殿とも呼ぶ。；後に夏侯楙は、弟の夏侯子臧・夏侯子江らの礼に外れた行いを叱責した。</t>
        </is>
      </c>
      <c r="J8883">
        <f>HYPERLINK("https://www.weblio.jp/content/礼", "词义详情")</f>
        <v/>
      </c>
      <c r="K8883">
        <f>HYPERLINK("https://yourei.jp/礼", "查看例句")</f>
        <v/>
      </c>
    </row>
    <row r="8884">
      <c r="A8884" t="inlineStr">
        <is>
          <t>例</t>
        </is>
      </c>
      <c r="B8884" t="inlineStr">
        <is>
          <t>成功</t>
        </is>
      </c>
      <c r="C8884" t="inlineStr">
        <is>
          <t>読み方：ためし
１前にすでにあったこと。先例。前例。「けんかで勝った—がない」
２手本になるようなこと。模範。規範。
「かの御教へこそ、長き—にはありけれ」〈源・梅枝〉</t>
        </is>
      </c>
      <c r="D8884" t="inlineStr">
        <is>
          <t>例目；例しがない；例多き；例證；例多し</t>
        </is>
      </c>
      <c r="E8884" t="inlineStr">
        <is>
          <t>場合；事件；代表；モデル；ケース</t>
        </is>
      </c>
      <c r="F8884" t="inlineStr">
        <is>
          <t>代表例；譜例；使用例；採用例；代表的な例</t>
        </is>
      </c>
      <c r="G8884" t="inlineStr">
        <is>
          <t>例外；例年；例え；例外的；例へば</t>
        </is>
      </c>
      <c r="H8884" t="n">
        <v>29</v>
      </c>
      <c r="I8884" t="inlineStr">
        <is>
          <t>これらが相互に連携して新たなビジネスモデルを構築している例も多い。；加熱は火を使って行われるのが普通だが、直接に火にかけない例もある。；日本では使用例が少ないが、それ以外ではかなり見られる方式である。；一般的な電車への採用例もあり、JR東日本E127系電車が該当する。；この遺跡は農耕社会出現前の食料採集民の戦争の確実な例とされている。；また路線や列車の識別を狙って、路線ごとに異なる色を採用する例もある。；このような処分は全国でも2例だけで、他は旧武蔵国や旧摂津国である。；人文科学研究の一例は、歴史的手法で具体化された歴史的研究である。；花床がやわらかく発達して食べられるようになるイヌマキなどの例がある。；アイルランド語もその一例だが、アイルランドのみで教育が行われている。；ただし非等方的な系ではこの限りでなく、生体膜や界面などの例がある。；またこうした面々がコメディアンやお笑い芸人役で起用される例もある。；教育用には独自に簡易ネットワークシステムまで構築して利用していた例もある。；時計が秒単位を表示するようになった初期の例は、16世紀後半に現れる。；他にも様々な相転移があり、その代表的な例として以下のものがある。；顧客への参照と注文された商品への参照を含む簡単なXML文書の例を考える。；動物媒の受粉様式は動物と植物の共進化の例として研究がなされている。；また世界的に関心の高い分野への受賞など社会的なメッセージともとれる例がある。；以上のように、東洋の思想を哲学と呼称する例はしばしばみられる。；鉱山などの専用鉄道で狭軌が採用される例があるのはこのためである。；大学の漫画研究会出身で、初の連載でヒットという極めて稀な例であった。；当駅は通過連絡運輸の適用を入場後にも受けられる稀な例でもある。；一般的な区分は何通りかあるが、ここではその一例を挙げる。；これを機に女性も鋏を入れる例が増えたが土俵には上がらないことが続いた。；他分野中心の芸能プロダクションが声優部門に力を入れるようになる例も見られる。；ここで挙げた例は、データや状態の変化に反応して処理が起動されると呼ばれる。；いずれにせよ混成民族であることはすべての欧州国家の例にもれない。；JISを例にすると、ステンレス鋼の指定は以下のような具合である。；ここでは特に英語のケースを例に、この問題を考えてみたい。</t>
        </is>
      </c>
      <c r="J8884">
        <f>HYPERLINK("https://www.weblio.jp/content/例", "词义详情")</f>
        <v/>
      </c>
      <c r="K8884">
        <f>HYPERLINK("https://yourei.jp/例", "查看例句")</f>
        <v/>
      </c>
    </row>
    <row r="8885">
      <c r="A8885" t="inlineStr">
        <is>
          <t>零</t>
        </is>
      </c>
      <c r="B8885" t="inlineStr">
        <is>
          <t>成功</t>
        </is>
      </c>
      <c r="C8885" t="inlineStr">
        <is>
          <t>読み方：れい
［常用漢字］　［音］レイ（漢）　［訓］こぼれる　こぼす
１水滴がおちる。「零雨・零露」
２枯れおちる。おちぶれる。「零落／飄零(ひょうれい)」
３わずか。はした。「零細・零墨・零本」
４ゼロ。「零下・零点・零敗」
［難読］零落(おちぶ)れる・零余子(むかご)</t>
        </is>
      </c>
      <c r="D8885" t="inlineStr">
        <is>
          <t>零時(10%)；零点(7%)；零度(6%)；零戦(5%)；零陵(3%)</t>
        </is>
      </c>
      <c r="E8885" t="inlineStr">
        <is>
          <t>無；ゼロ；無し；皆無；絶無</t>
        </is>
      </c>
      <c r="F8885" t="inlineStr">
        <is>
          <t>第零；冪零；参零；爆装零；零児</t>
        </is>
      </c>
      <c r="G8885" t="inlineStr">
        <is>
          <t>零れ；零細；零下；零落；零士</t>
        </is>
      </c>
      <c r="H8885" t="n">
        <v>29</v>
      </c>
      <c r="I8885" t="inlineStr">
        <is>
          <t>すなわち基準量の変更はレベルのシフトすなわち零点の変更に相当する。；零は自分でも驚くほどの即断即決でその夜のうちに国道16号を越えた。；霖や零治にもその力は残るが、もはや微小なものにすぎないはずだった。；この式から零次反応の速度は反応物の濃度に依存しないことがわかる。；零多項式の次数は、定義しないとするか、負の値とするのが普通である。；夏の間は、アメリカに来たばかりの零と蕾の英語の家庭教師を請け負う。；の 0 でない元は体 の非零元の平方の群 にスピノルノルムを持つ。；騒然とする教室内で、覚悟と零はこの事件に人外の者の気配を感じた。；巻第四のみが残り、零巻1巻及び40葉ほどの断簡が諸家に分蔵される。；これは複素変数の指数関数が常に零でないことに対応する事実である。；第七〇五空の一式陸攻も零戦隊を誘導しているが、その後の戦果は不明。；奇数次の場合には原点に零点があり、それに対応する極は無限遠にある。；また が 冪零であるとは、ある自然数 が存在して となることである。；絶対圧とは、絶対零圧力すなわち、絶対真空を基準に表した圧力のこと。；アニメの段階で零は制服を着用しており、まだ学園に留まっている。；零番隊の話では、霊王を殺害しようとしたのは神になろうと思っていたからとのこと。；こうした様々な人々に関わることで、少しずつ零の心境に変化が生じていった。；区星の反乱を援助していた零陵や桂陽の二郡にも進出して、反乱を鎮圧した。；初度本は半分以上が欠けている零本で、それ一冊のみが伝わる孤本である。；また、交代的であるとは、それらを等しいと置いたとき零になることを言う。；この変曲点は で与えられ、これは二階導函数 の唯一の零点である。；これらの字は零を除き、甲骨文字の時から使われており、意味に変化がない。；零項の圏論的積や余積は与えられた圏において存在しないかもしれない。；これらの例では、その元はどれも冪零であるか可逆であるかのいずれかである。；の冪零度は、降中心列または昇中心列を用いても同じ値が定められる。；基本的な群論からA の非零元全体は乗法について群をなすことが従う。；マヤ文明では二十進法を使用しており、また独自に零の概念を発明していた。；運営実施は、有限会社零夢が東映株式会社との契約に基づいて行っている。；その様に零は九条が自身と同じ時間移動能力者であることを悟る。</t>
        </is>
      </c>
      <c r="J8885">
        <f>HYPERLINK("https://www.weblio.jp/content/零", "词义详情")</f>
        <v/>
      </c>
      <c r="K8885">
        <f>HYPERLINK("https://yourei.jp/零", "查看例句")</f>
        <v/>
      </c>
    </row>
    <row r="8886">
      <c r="A8886" t="inlineStr">
        <is>
          <t>冷夏</t>
        </is>
      </c>
      <c r="B8886" t="inlineStr">
        <is>
          <t>成功</t>
        </is>
      </c>
      <c r="C8886" t="inlineStr">
        <is>
          <t>読み方：れいか
例年に比べて気温の低い夏。《季夏》</t>
        </is>
      </c>
      <c r="H8886" t="n">
        <v>29</v>
      </c>
      <c r="I8886" t="inlineStr">
        <is>
          <t>今年は冷夏だというが、彼の住むアパートの蒸し暑さといったらない。；むしろ、以下のような理由から、冷夏になるのではないかとの声も少なくなかった。；また太陽の黒点活動の周期が冷夏の発生と一致するとの説もある。；なお、大暑夏の翌年の夏は冷夏になりにくいことが知られている。；そういえば夏も冷夏だったはずで、地球規模での天候異変が始まったともいう。；この事件が刺戟となっているところへもって来て、この年は凶年性の冷夏であった。；日本では1913年頃までは夏の気温が著しく低く毎年のように冷夏が続いていた。；おととしは冷夏で、山麓へはいちど出かけて三日泊ってきただけであった。；梅雨明けが遅れた年は冷夏となる場合も多く、冷害が発生しやすい傾向にある。；これは、冷夏になった年が何度かあるためである。；日本の場合、冷夏は通常7・8月の日照不足や長雨を伴うことが多い。；今年は冷夏だという予報だったが、梅雨が明けると、急に猛暑が訪れた。；夏は記録的な冷夏 となり、農作物に深刻な打撃を与えた。；また、著しい猛暑の翌年は冷夏になりにくいことが知られている。；偏西風が強い年は冷夏になりやすく、冬は天候が穏やかで雨の日が多い傾向にある。；酷暑の年には移動先はより高い標高の地域となり、冷夏の年にはそれほど高いところまでは移動しないことが示唆されている。；今年は冷夏で、あっという間に秋が来てしまった感じがする。；冷夏の年ていどの凶作で、地方によっては、当然餓死者が出ていたに違いない。；夏は西日本以西では高温となったが、北日本では3年ぶりに冷夏となった。；急激な円高や冷夏、長雨の影響も重なって景気は一段と悪化しております。；この年は冷夏であり、凶作を見越して伊賀七が作ったとみられる。；特に、中欧や大西洋に面した欧州では冷夏と温和多湿な冬になるとされている。；日本付近では前の冬に北極振動指数が正であるとオホーツク海高気圧の勢力が増し、冷夏になるとされている。；日本に冷夏をもたらす気圧配置には、北東気流型と北西気流型がある。；また、猛暑の原因が揃っていても冷夏の要因となるような現象が起こって相殺されることもあり確実に猛暑となるとは言えない。；日本では、北日本で冷夏となり稲作などに多大な影響が生じる災害を指すことが多い。；異常気象とは異常高温・大雨・日照不足・冷夏などの通常とは異なる気象の総称。；冷夏という新聞の見出しがしばしば見られ、十月にはいると霧のような雨が何日も降り続いた。；今年の夏は冷夏で、観光客の数も少なかったと思われる。</t>
        </is>
      </c>
      <c r="J8886">
        <f>HYPERLINK("https://www.weblio.jp/content/冷夏", "词义详情")</f>
        <v/>
      </c>
      <c r="K8886">
        <f>HYPERLINK("https://yourei.jp/冷夏", "查看例句")</f>
        <v/>
      </c>
    </row>
    <row r="8887">
      <c r="A8887" t="inlineStr">
        <is>
          <t>冷害</t>
        </is>
      </c>
      <c r="B8887" t="inlineStr">
        <is>
          <t>成功</t>
        </is>
      </c>
      <c r="C8887" t="inlineStr">
        <is>
          <t>読み方：れいがい
夏季の異常低温や日照不足のために、稲などの農作物が実らない被害。特に、北日本に多い。《季夏》</t>
        </is>
      </c>
      <c r="D8887" t="inlineStr">
        <is>
          <t>冷害対策</t>
        </is>
      </c>
      <c r="H8887" t="n">
        <v>29</v>
      </c>
      <c r="I8887" t="inlineStr">
        <is>
          <t>生育や、秋から春の冷害から保護するための灌漑設備が設置されている。；泥炭の苗代で作った稲には冷害が無いと言う人さえあるくらいである。；しかし1889年の大冷害の影響もあり、彼らが定着するのは難しかった。；冷害で食うものがなくなったとき、熊を殺して食料にしていたことがあった。；これらの一連の動きの背景には、この年の極端な冷害による食料不足もあった。；冷害、水害続きで、どうせ将来の役に立つとは思われない土地である。；去年北西のほうで冷害が猛威を振るったので売り込みに行くつもりだった。；今年は残暑はないだろうと、新聞が、冷害の報道に、書きそえている。；これが久しぶりの冷害であったなら、事態はさほど深刻にはならなかっただろう。；このあたりはササニシキの本場であるが、今夏の冷害のさまは痛々しい。；しかし勿論、ソヴェートのように冷害のときに電気で稲を温めるのではない。；梅雨明けが遅れた年は冷夏となる場合も多く、冷害が発生しやすい傾向にある。；あそこもかなり冷害にやられていますが、不時の用意にと、米をたくわえている。；冷害で困るのは、米作はもちろんであるが、大小豆などの方がもっと被害が多い。；しかし、うちの村だって沼沢ほどじゃないが、冷害を受けている。；米は、冷害などで大凶作が起こることもしばしばあったが、農家経済を維持してきた。；三年続けて冷害に見舞われればどんな国も持ちこたえられないからね。；之は「冷害対策行動」の内で、可なり意味のある行動の一つに数えていいだろうと思う。；早生は文字通り早く収穫を得られるので、秋の冷害や風害の被害が少ない。；さらに、冷害に非常に強いことも確認されている。；冷害の科学的測定が出来るようになれば、そういうこともだんだん詳しく分るようになるであろう。；また配水した水が冷たいために、冷害の被害も生じた。；この図には春さきから十月末までの部分しか出してないが、これで今年の夏の冷害の程度が分るであろう。；日本では東北や北海道の冷害に対し親潮との関係が深いと考えられている為、古くから調査が行われている。；冷害があると稲などつくっていても、たちまちにして飢饉がおきてしまうというように非常に厳しい。；しかし、こっちが冷害に襲われたら、それが逆になる。；この典型的な例が1993年の大冷害であり、記録的な米の大凶作となった。。。；しかも天明6年の場合、冷害以上に風水害が米の不作に拍車をかけた。；さらに水稲栽培に活路を求めた者も、1969年の冷害で大打撃をこうむった。</t>
        </is>
      </c>
      <c r="J8887">
        <f>HYPERLINK("https://www.weblio.jp/content/冷害", "词义详情")</f>
        <v/>
      </c>
      <c r="K8887">
        <f>HYPERLINK("https://yourei.jp/冷害", "查看例句")</f>
        <v/>
      </c>
    </row>
    <row r="8888">
      <c r="A8888" t="inlineStr">
        <is>
          <t>例外</t>
        </is>
      </c>
      <c r="B8888" t="inlineStr">
        <is>
          <t>成功</t>
        </is>
      </c>
      <c r="C8888" t="inlineStr">
        <is>
          <t>読み方：れいがい
通例にあてはまらないこと。一般原則の適用を受けないこと。また、そのもの。「—として扱う」「—を設ける」「—的に参加を認める」</t>
        </is>
      </c>
      <c r="D8888" t="inlineStr">
        <is>
          <t>例外なく(9%)；例外的(9%)；例外なし；例外扱い；例外措置</t>
        </is>
      </c>
      <c r="E8888" t="inlineStr">
        <is>
          <t>異例；除外；特例；別物；エクセプション</t>
        </is>
      </c>
      <c r="F8888" t="inlineStr">
        <is>
          <t>わずかな例外；数少ない例外；僅かな例外；稀な例外；殆ど例外</t>
        </is>
      </c>
      <c r="G8888" t="inlineStr">
        <is>
          <t>例外規定；例外処理；例外条項；例外事項；例外状態</t>
        </is>
      </c>
      <c r="H8888" t="n">
        <v>29</v>
      </c>
      <c r="I8888" t="inlineStr">
        <is>
          <t>この形式は一部の例外を除いて、以降のシリーズにも引き継がれている。；しかし、それぞれの要素に例外が多く、全員の共通項を示すのは難しい。；この規定には例外があり、以下の場合には上記の規制は適用されない。；それら例外については文系的と捉えられることが多い学問を参照のこと。；これらのわずかな例外を除くほとんどの無脊椎動物は赤血球を持たない。；例外的に退役軍人には手厚い年金制度が用意されているのが特徴である。；とは翻訳した語であるが例外もあり、その意味は事例によって様々である。；また、射水市の例外となっている区域は後に当郡の所属となっている。；ただし、優勝決定試合は例外的に試合終了まで放送することになっていた。；多くの細菌種は単一の細胞として存在しているが、例外も知られている。；原状回復などの特定的救済は名誉毀損の場合などに例外的に認められる。；日本の一般人の海外渡航は禁じられていたが、仏僧だけは例外であった。；そこで、これらの言語では例外の発生チェックをほぼ自動化している。；基本的には以下の通り使い分けられているが、若干の例外は存在する。；議会で成立した法は例外なく州全体に適用される必要がある。；但し、政策上・課税技術上の観点等から など、いくつかの例外がある。；漢語は大変音節上の制約が多い言語であるため、多数の例外が存在する。；日本では町や村は郡の下に続くが、伊豆諸島は例外として郡が存在しない。；唯一の例外がリウマチ熱であったが、現代ではまれな疾患になっている。；その選出も例外事態を除いてはアメリカ合衆国議会に左右されない。；例外的にナショナルカラーを採用し続けてきたのはフェラーリ程度だった。；海綿動物などの例外はあるが、動物は特化した組織で構成される体を持つ。；ただし、臨時で運転される特急は例外として当駅に停車することがある。；修飾語はいくつかの例外を除いて基本的に被修飾語の後ろに置かれる。；かつては経年車が中心であり、しばしば運用に例外の発生することがあった。；上記の例外となっている地域は、後に当郡の所属となっている。；一度訪れた国が再度登場することはほとんどなかったが、いくつかの例外がある。；第35条1項が原則であり第35条2項はあくまで例外的な措置である。；これは女子部門でも例外ではなく、欧州勢がそれを追う展開となっている。</t>
        </is>
      </c>
      <c r="J8888">
        <f>HYPERLINK("https://www.weblio.jp/content/例外", "词义详情")</f>
        <v/>
      </c>
      <c r="K8888">
        <f>HYPERLINK("https://yourei.jp/例外", "查看例句")</f>
        <v/>
      </c>
    </row>
    <row r="8889">
      <c r="A8889" t="inlineStr">
        <is>
          <t>礼儀</t>
        </is>
      </c>
      <c r="B8889" t="inlineStr">
        <is>
          <t>成功</t>
        </is>
      </c>
      <c r="C8889" t="inlineStr">
        <is>
          <t>読み方：れいぎ
１人間関係や社会生活の秩序を維持するために人が守るべき行動様式。特に、敬意を表す作法。「—にかなう」「—正しい人」「親しき中にも—あり」「—作法」
２謝礼。報謝。
「それは—いかほど入り候はんや」〈咄・醒睡笑・三〉
[用法]礼儀・作法——「物を食べながら人に会うのは礼儀（作法）に反する」のように、人と接する時の態度の意では相通じて用いられる。◇「礼儀」は対人関係での気配りや敬意、慎みの気持ちにもとづく行動の規範である。「作法」は対人関係に限らず、礼儀にかなった一定の行動のしかたを言う。◇「年賀状をもらったら返事を出すのが礼儀だ」は「作法」では言えないし、「お茶の作法を覚える」を「礼儀」とは言えない。◇「作法を知らない」と言えば単にその知識がないだけである場合も多いが、「礼儀を知らない」では、敬意や慎みの気持ちがなく、常識に欠けることを非難する意が含まれてくる。◇類似の語に「行儀」がある。「行儀の悪い子」「行儀よくすわっている」のように、礼儀にかなった立ち居のしかたの意で使う。</t>
        </is>
      </c>
      <c r="D8889" t="inlineStr">
        <is>
          <t>礼儀正しく(19%)；礼儀正しい(15%)；礼儀知らず(2%)；礼儀上；礼儀ただしく</t>
        </is>
      </c>
      <c r="E8889" t="inlineStr">
        <is>
          <t>法；礼；儀礼；作法；行儀</t>
        </is>
      </c>
      <c r="F8889" t="inlineStr">
        <is>
          <t>礼儀正しい態度；礼儀正しい紳士；礼儀正しい口調；礼儀正しい挨拶；礼儀正しい青年</t>
        </is>
      </c>
      <c r="G8889" t="inlineStr">
        <is>
          <t>礼儀を忘れない</t>
        </is>
      </c>
      <c r="H8889" t="n">
        <v>29</v>
      </c>
      <c r="I8889" t="inlineStr">
        <is>
          <t>思想も感情も客間の礼儀内でしか運用できない人のやうな思ひすらした。；われわれの病気の大部分は、礼儀を忘れた結果である、とさえ考えたい。；それがスポーツの正しい在り方で、国際的な礼儀でもあろうじゃないか。；その土地には伝統もなく礼儀もなく性格もなく感情もないにきまつてゐる。；あの人は初め断ったところが、それは礼儀でそうも出来かねたんだと思う。；会話は礼儀に適っている限り、何処までも自由に解放されているのだ。；そこで、そんなことをするのはいやなことで、れいぎにそむいたことだ。；わたしはそれを、常に礼儀と感謝との両腕を大きくひろげて受け入れた。；誰でも普段は礼儀正しく感じ良くお行儀良くしていなくてはいけない。；普通の人間の住居へ入ってさえ、人は被りものを取るのを礼儀とする。；お蕗は、母のかげに、寄りそうたまま、黙って礼儀をしただけであった。；いや修正のためというよりはむしろ礼儀のために、しばしば文章を改めもした。；しかし撮影以外では気遣いのできる礼儀正しい女性であったという。；話によれば、おわたししてもいいが、礼儀は正しくやってもらいましょう。；引き止めるのが礼儀か、引き止めないのが礼儀なのか決めかねてるんだ。；「あれがさうだ」と、私は礼儀を忘れて連れの女の人に云ひました。；当時は黙って居たが、それは全く一つの礼儀からだけであった。；かれは一つの浄化的な礼儀正しい行動を考慮していたのである。；あたしそれが初めは日本人の礼儀なんだと思っていたわ。；例えば今日吾々の間に存在する日常の習慣や礼儀等はどれ程の価値あるものであろうか。；因襲的な礼儀をぬきにして、いきなり漱石に会えたような気持ちがした。；弱虫だった那須川に礼儀をしっかり身につけさせるため父親がすすめた。；全真教との関係から礼儀知らずと思われやすいが、実際には礼儀正しい。；なにも地球語がベラベラである必要はないが、少しは話すのが礼儀だろう。；やがて上流階級のどのメンバーにも適用される礼儀と敬意のひとつになった。；食べ手のない料理は、礼儀ただしく無視されたまま、食事は終わった。；向こうが正直に出れば、こちらも礼儀上そうしないわけにはいかなくなる。；三人の青年は、愛想よくとは言えぬまでも、礼儀正しく挨拶を交わした。；ジャネットは後に「礼儀正しさの故に私を訪問させた」と回想していた。</t>
        </is>
      </c>
      <c r="J8889">
        <f>HYPERLINK("https://www.weblio.jp/content/礼儀", "词义详情")</f>
        <v/>
      </c>
      <c r="K8889">
        <f>HYPERLINK("https://yourei.jp/礼儀", "查看例句")</f>
        <v/>
      </c>
    </row>
    <row r="8890">
      <c r="A8890" t="inlineStr">
        <is>
          <t>礼金</t>
        </is>
      </c>
      <c r="B8890" t="inlineStr">
        <is>
          <t>成功</t>
        </is>
      </c>
      <c r="C8890" t="inlineStr">
        <is>
          <t>読み方：れいきん
１謝礼として支払う金銭。謝礼金。
２部屋や家を借りるとき、謝礼金という名目で家主に支払う一時金。「—と敷金」</t>
        </is>
      </c>
      <c r="D8890" t="inlineStr">
        <is>
          <t>礼金二；礼金五</t>
        </is>
      </c>
      <c r="E8890" t="inlineStr">
        <is>
          <t>報酬；賞金；褒美；恩賞；償い</t>
        </is>
      </c>
      <c r="H8890" t="n">
        <v>29</v>
      </c>
      <c r="I8890" t="inlineStr">
        <is>
          <t>万引発見で礼金を得るにも、それだけの研究と努力がいるというわけか。；惣八ははじめの約束通りに、そのうちから二両の礼金を置いて帰った。；へたに顔を出して、あの礼金は返してもらいましょうなどと言われても困る。；一軒だけとなると礼金や敷金で家を買うほどの金が必要だった。；「礼金とは別にお礼をしたいのだが」それから笈野はフランス語で言った。；蜂須賀家はいずれの場合もよほど多額な礼金を出したと聞いている。；どうも、五十両落して、五両の礼金を平気で出すような面じゃあねえ。；礼金はあらゆる方向から流れ込み彼の唯一の娘はかなりの財産を相続しただろう。；ただし、新たな契約となるので、敷金礼金はそのぶん払ってもらう、と。；いずれも1週間の時間を必要とし、新規取得では更に教師への礼金も必要となる。；夫人のように目先の礼金に執着していたら、部屋はずっと空いたままになる。；五百文の百倍は二両以上になるから、女が受け取る礼金としては不足である。；礼金、敷金をしっかり取られ、さらに二重三重の保証を求められる。；百両の礼金を辞退したというのも嘘、最初からそんな金なんか見たこともありません。；ただ夥しい礼金に目がくれて、奥村源造を首領と仰いでいるに過ぎない。；俺が、あんたに礼金を払うのが、この場の筋だんが、払うだけの金は今はねえ。；若干の礼金を出だすものは、その寺内に保存せる宝物を参観することを得べし。；居どころを知っている人には礼金を出すという、懸賞も出してみた。；まず、アンリ部長の称賛を受け、次に総監にホメられて礼金をもらった。；すでに過分な礼金は受けているので、もう後は依頼客がどうなろうと知ったことではないのだ。；レイキンの事例はステファン・クックの事例とは異なっている。；その礼金で、女房や孫に少しは楽しい思いをさせてやれる。；それでも心配なら、礼金の額をその張り紙に明記しておけばいい。；提示された礼金は、通常の十倍の額であった。；部屋の造りが特殊なせいもあって、礼金も敷金もなしで5000円で借りられた。；日当と礼金が出たので、遊びがてらスクールの方に取りにこい、と言う。；百ルーブリやそこいらの礼金で、そんな恐ろしいことをするなんて!；礼金も敷金もいらないと言われても、その家賃では百万持って出て行けというのも同じだった。；五十億円の使途不明金はこのとき働いてくれた政治家に対する礼金と見られる。</t>
        </is>
      </c>
      <c r="J8890">
        <f>HYPERLINK("https://www.weblio.jp/content/礼金", "词义详情")</f>
        <v/>
      </c>
      <c r="K8890">
        <f>HYPERLINK("https://yourei.jp/礼金", "查看例句")</f>
        <v/>
      </c>
    </row>
    <row r="8891">
      <c r="A8891" t="inlineStr">
        <is>
          <t>冷酷</t>
        </is>
      </c>
      <c r="B8891" t="inlineStr">
        <is>
          <t>成功</t>
        </is>
      </c>
      <c r="C8891" t="inlineStr">
        <is>
          <t>読み方：れいこく
［名・形動］思いやりがなくむごいこと。また、そのさま。「—な仕打ち」「—な男」
[派生]れいこくさ［名］</t>
        </is>
      </c>
      <c r="D8891" t="inlineStr">
        <is>
          <t>冷酷非情(2%)；冷酷無比；冷酷無残；冷酷な性格；冷酷無情</t>
        </is>
      </c>
      <c r="E8891" t="inlineStr">
        <is>
          <t>ひどい；冷たい；残酷；過酷；残忍</t>
        </is>
      </c>
      <c r="F8891" t="inlineStr">
        <is>
          <t>冷酷残忍；冷酷そのもの；ひどく冷酷；冷酷無慈悲；冷酷無慙</t>
        </is>
      </c>
      <c r="G8891" t="inlineStr">
        <is>
          <t>冷酷無情；冷酷無慙</t>
        </is>
      </c>
      <c r="H8891" t="n">
        <v>29</v>
      </c>
      <c r="I8891" t="inlineStr">
        <is>
          <t>主として認めた人間以外には冷酷で、目的のためならば手段を選ばない。；また私の受けた印象では、彼女は冷酷ともいうべき性格をもっていた。；冷酷な、空気の逃げる音がして、わしは流星のあけた穴のほうへ飛んだ。；その多くはミシシッピ川の西で彼はアメリカで最も冷酷な金融屋だった。；彼はもはや以前われわれが知っていたような厳しい冷酷な人間ではなかった。；その冷酷な或物だ、私がよく彼女のうちに眼覚めるのを感じて震えたのは。；魔化魍の種類ごとに性格や特徴は異なるが、共通して根は徹底的に冷酷。；あなた方の幸福の紀念を奪うほど私は冷酷な男ではありませんからな。；こういう冷酷なことを俺に言わせるのは、あの荷車のがらがらいう音だ。；そして、冷酷な殺人者になれない者たちがゾンビになってきたのだと。；私は自分の冷酷さを認めたくなかったが、しかし、それが事実だった。；あれほど冷酷に扱われた自分はもうその方に顔もお見せしたくない。；やっと渡殿の部屋を捜しあてて来て、源氏への冷酷な姉の態度を恨んだ。；彼の眼つきは冷酷になり、額には皺が寄り、凶暴な勇気で口が曲がった。；彼はその若い娘の心の中に、強い冷酷な軽蔑の念があるのを感じた。；主に第二次世界大戦を描いた映画で冷酷なナチスの軍人や政治家を多く演じた。；しかし性格に粗暴かつ冷酷な一面があり、その面での逸話も事欠かない。；二人とも、あの冷酷で非人間的な非道さを経験したことがあるのだ。；彼の指揮下のエージェントには特に冷酷かつ残忍な者が多いと言われていた。；地球を支配し、人間を奴隷にしようと企む冷酷無比な機械生命体の帝国。；日本から来た冷酷な殺人マシーン・マコトはマフィアのボスを暗殺した。；今この男は心にもない嘘をついて冷酷に相手を観察しながら喋っている場面である。；だがカークはその冷酷で唇のないクリンゴン人の顔を見る必要はなかった。；今この男は心にもない嘘をついて冷酷に相手を観察しながら喋つてゐる場面である。；知性派で計算高いが、狡猾で目的のためなら手段を選ばない冷酷な性格。；理性を失いはじめるため普段と違い冷酷になり性格はサイラゴに近くなる。；末吉はそこに同胞の冷酷な視線に晒されている哀れな母と子の姿を見た。；芸術とは、そんなに狂気じみた冷酷を必要とするものであったでしょうか。；夫が冷酷と思ったのはあるいは偉大な善知識であったかもしれません。</t>
        </is>
      </c>
      <c r="J8891">
        <f>HYPERLINK("https://www.weblio.jp/content/冷酷", "词义详情")</f>
        <v/>
      </c>
      <c r="K8891">
        <f>HYPERLINK("https://yourei.jp/冷酷", "查看例句")</f>
        <v/>
      </c>
    </row>
    <row r="8892">
      <c r="A8892" t="inlineStr">
        <is>
          <t>零細</t>
        </is>
      </c>
      <c r="B8892" t="inlineStr">
        <is>
          <t>成功</t>
        </is>
      </c>
      <c r="C8892" t="inlineStr">
        <is>
          <t>読み方：れいさい
［形動］［文］［ナリ］きわめて細かいさま。数量や規模のきわめて小さいさま。「—な経営」「—な資金」
[派生]れいさいさ［名］</t>
        </is>
      </c>
      <c r="D8892" t="inlineStr">
        <is>
          <t>零細農家(4%)；零細業者(4%)；零細メーカー(3%)；零細農民(3%)；零細事業者(2%)</t>
        </is>
      </c>
      <c r="E8892" t="inlineStr">
        <is>
          <t>少ない；小さい；狭い；小規模；小柄</t>
        </is>
      </c>
      <c r="F8892" t="inlineStr">
        <is>
          <t>零細規模；零細農業；零細経営；零細店舗；零細運送会社</t>
        </is>
      </c>
      <c r="H8892" t="n">
        <v>29</v>
      </c>
      <c r="I8892" t="inlineStr">
        <is>
          <t>運動はわずかに生命をつなぐ労働者の零細な金によって維持されている。；私の会社なんてありていに言えば、安定はないが雑用は山ほどある零細。；特に捺染と縫製では零細業者が多いため生産不足に陥ることが多かった。；その初期には中小零細メーカーを中心に、多くのメーカーが製造していた。；彼らのほとんどは、自らの意思によって零細であることを選んだのよ。；だが地方の零細自動車修理工場にはまったく影響は出なかった。；それらの調製元は小規模零細の業者がほとんどであり、衰退傾向にある。；この零細運送会社になぜ彼女がいるのか、辞めずにいるのかは一つの謎だった。；農地改革では、農地の所有を細分化した為、日本農業の零細化に繋った。；各都市の零細商店を保護するため、大型店規制法が制定された。；農業分野では中小・零細規模の経営を含めて、高い品質の生産物を提供している。；それ以外の言語についてはごく零細な資料しか残っていない。；求める相手が零細業者である場合、職業別の電話帳には記載されていないことも考えられる。；また、ディスカウントストアなどでも零細業者のものが販売されていることもある。；陽ちゃんも知っての通り、うちは零細の印刷工場だもの。；お父さんのような、零細な印刷工場に勤める安月給取りとは絶対に結婚すまい。；個人会社であった可能性もあるが、いずれにせよ零細資本であった可能性が高い。；北部では散居集落と零細土地所有制度が一般的である。；これはファンサブが元は零細的な活動であったため、製作活動とは別に流通拠点を必要としたからである。；零細な農家であるわが家の家計は、学資を送るのが手いっぱいであった。；特に後二者は喜八プロの零細資本をもって貴重なデビューの場を与えられた愛弟子である。；戦争の世紀に戦争と軍備が飲みこんだものに比べれば、零細なものです。；どう転んだところで苦しむのは日本の零細漁民だけなんだからな。；すなわち率直なる感情よりも零細なる知識を重んずるものである。；気概だけは何人分もあったが、一般にはまだ零細商人としてしか知られていない。；あの大観園の中で、わずかな金で一日ずつ零細な夢を買っている人々のことを思うと辛かった。；組織の規模に関しては、零細・中小企業等、規模を問わず本規則の対象となる。；また大阪・神戸周辺には中央財閥だけでなく中堅・零細の財閥も多数集中していた。；これに対応して、この時代には多くの零細独立系ソフトウェア開発企業が設立された。</t>
        </is>
      </c>
      <c r="J8892">
        <f>HYPERLINK("https://www.weblio.jp/content/零細", "词义详情")</f>
        <v/>
      </c>
      <c r="K8892">
        <f>HYPERLINK("https://yourei.jp/零細", "查看例句")</f>
        <v/>
      </c>
    </row>
    <row r="8893">
      <c r="A8893" t="inlineStr">
        <is>
          <t>冷静</t>
        </is>
      </c>
      <c r="B8893" t="inlineStr">
        <is>
          <t>成功</t>
        </is>
      </c>
      <c r="C8893" t="inlineStr">
        <is>
          <t>読み方：れいせい
［名・形動］感情に左右されず、落ち着いていること。また、そのさま。「—な判断」「—に処理する」
[派生]れいせいさ［名］</t>
        </is>
      </c>
      <c r="D8893" t="inlineStr">
        <is>
          <t>冷静な判断(2%)；冷静な声；冷静沈着；冷静な口調；冷静な態度</t>
        </is>
      </c>
      <c r="E8893" t="inlineStr">
        <is>
          <t>平気；寒さ；平穏；落ち着き；平静</t>
        </is>
      </c>
      <c r="F8893" t="inlineStr">
        <is>
          <t>努めて冷静；冷静かつ的確；冷静な状況判断；冷静な傍観；冷静な分別</t>
        </is>
      </c>
      <c r="G8893" t="inlineStr">
        <is>
          <t>冷静沈着；冷静と情熱のあいだ</t>
        </is>
      </c>
      <c r="H8893" t="n">
        <v>29</v>
      </c>
      <c r="I8893" t="inlineStr">
        <is>
          <t>試合の際は感情を表に出さず、終始冷静にプレーをするスタイルである。；現実の変化と恐怖を多少冷静に受け入れる落ち着いた姿勢を見せている。；また、長きに渡る戦いの経験を経て、冷静かつ慎重な性格になっている。；監督に就任してからは、データを重視した冷静で手堅い采配をしている。；最初の内は余裕を見せているが、面が進むごとに冷静さを欠く演出になる。；人の命を平然と奪おうとした男を目の前に、冷静に振る舞うのは難しい。；激しい攻撃に驚いて震えたけれど、冷静に立ったまま、血を拭き取った。；自分の部屋に腰をおろして私は、冷静にこの出来事を考えようとした。；さらにポーランド人とユダヤ人の関係について冷静な描写を行っている。；そのため、シャクティが危険に晒されると冷静な判断を失いがちである。；味方がエラーをしても怒らずに慰めるなど、冷静な投手であったという。；当制度は、投資家に冷静になってもらう目的で設けられた制度である。；この感情の爆発には、冷静な伊志田氏もつい慌てないではいられなかった。；冷静に仲間達の動きを観察して人物を評価・判断することができる。；しかし道策は冷静に対応し、安井の研究不足もあって9目の負けとなった。；イーバートはより冷静なキャラクターの方がうまくいっていると述べている。；「その外套はどこで手に入れられますか」 バーニ先生が冷静に言った。；議論においては、議論の内容に冷静に焦点を合わせることが必要となる。；私は信じられなかったので目をこすり、そして敵を冷静に観察した。；妹は冷静な女で、決して自殺するような弱い女ではありません。；江戸に近いこともあって、冷静に時代の流れを見ていたことになる。；インタビューへの受け答えは冷静で、喜怒哀楽の表情をあまり見せない。；冷静になると今まで騙されていたことへの怒りが湧いてきたのだ。；感情的な父ジミーとは対照的に、冷静で真面目な模範的な母親を演じた。；そしてただ一人冷静な非戦的態度をとっていた万朝報までが急にその態度を変え出した。；商船時代から船長を務めていただけあって、冷静で高い判断力を持つ。；主人の死を冷静に受け止めるにはまだ当分時間が必要かと思います。；これはなかなか重大なことなんだが、冷静を失うと、もう分らなくなるのだ。；愛子はいつでもそうなようにこんな場合でもいかにも冷静だった。</t>
        </is>
      </c>
      <c r="J8893">
        <f>HYPERLINK("https://www.weblio.jp/content/冷静", "词义详情")</f>
        <v/>
      </c>
      <c r="K8893">
        <f>HYPERLINK("https://yourei.jp/冷静", "查看例句")</f>
        <v/>
      </c>
    </row>
    <row r="8894">
      <c r="A8894" t="inlineStr">
        <is>
          <t>冷蔵</t>
        </is>
      </c>
      <c r="B8894" t="inlineStr">
        <is>
          <t>成功</t>
        </is>
      </c>
      <c r="C8894" t="inlineStr">
        <is>
          <t>読み方：れいぞう
［名］(スル)飲食物などの腐敗を防ぐため、セ氏零度に近い低温で貯蔵すること。「食料を—する」「要—」</t>
        </is>
      </c>
      <c r="D8894" t="inlineStr">
        <is>
          <t>冷蔵技術(6%)；冷蔵設備(4%)；冷蔵庫内(4%)；冷蔵保存(4%)；冷蔵車(3%)</t>
        </is>
      </c>
      <c r="F8894" t="inlineStr">
        <is>
          <t>冷蔵装置；入れて冷蔵；製氷冷蔵；冷蔵貨物；冷蔵社長</t>
        </is>
      </c>
      <c r="G8894" t="inlineStr">
        <is>
          <t>冷蔵車；冷蔵室；冷蔵保存；冷蔵倉庫；冷蔵コンテナ</t>
        </is>
      </c>
      <c r="H8894" t="n">
        <v>29</v>
      </c>
      <c r="I8894" t="inlineStr">
        <is>
          <t>現在ではたとえば10億匹単位で冷蔵宅配が行われるまでになっている。；ジョン・L・スクーリーが最初に冷蔵の加工室を開発したとされている。；名称はワインだが、熟成することはないため、冷蔵保存する必要がある。；冷蔵された肉は、そのための施設をそなえた倉庫や店舗で小売りされた。；アメリカ東部の漁師たちは氷を使って自分たちがとった魚の冷蔵を始めた。；それに冷蔵宅配便ではないから、ケーキのような生ものでもなさそうだ。；コードがゆるみ、義男は店の冷蔵ケースの外側まで出ていくことができた。；カジキをハバナの市場に運ぶ冷蔵トラックが来るのを、そこで待つのだ。；保存条件は保存期間が数日ならば冷蔵、長期保存の場合は冷凍保存をする。；BIBP-CorVは、通常の冷蔵温度で輸送および保存が可能である。；標準的な冷蔵輸送は主に、14日以内の消費を目安にしたものに用いられる。；また、現在も実用的な冷蔵倉庫として利用されている風穴が各地にある。；流通は、冷蔵のほか、食中毒防止などの観点から冷凍でも行われている。；冷蔵が利用可能になる前は日本でも生の鮭を消費していなかった。；冷蔵・冷凍庫もまだ誕生していない時代で、アイスは大変貴重なものだった。；おれは店の棚や冷蔵ケースに飾ってある夏の果実に目をやった。；冷蔵庫内部には、パレットを収容するための回転ラックが設置されている。；そういう人の家の冷蔵庫には、飼育のために糞が冷蔵保存されているという。；季節柄ニューカッスル病とかの伝染病も冷蔵されているはずである。；冷蔵の調理食品は購入後すぐに加熱して食べるよう意図されている。；冷蔵保存に不向きな青果物を冷蔵保存した場合に発生する障害のこと。；フリーズドライ食品は、冷蔵の必要がなく、常温での保存が可能である。；冷蔵貨車が発明され、果物に依存する経済の可能性がさらに高まった。；保存するときは、乾燥しないようにポリ袋などに入れて冷蔵庫で冷蔵する。；ただしその場合には冷蔵できる場所がいるでしょう。；病室の小さな冷蔵庫内が菓子で埋まったのを見ると、ため息が出てくる。；島に電気が通ってからは、冷蔵が可能になり小型スーパーが増えるようになった。；主人公の白冷蔵庫と彼が冷蔵・冷凍する食品の日常生活を描いた漫画。；扱い上は客車であったが、実際には完全な冷蔵車であった。</t>
        </is>
      </c>
      <c r="J8894">
        <f>HYPERLINK("https://www.weblio.jp/content/冷蔵", "词义详情")</f>
        <v/>
      </c>
      <c r="K8894">
        <f>HYPERLINK("https://yourei.jp/冷蔵", "查看例句")</f>
        <v/>
      </c>
    </row>
    <row r="8895">
      <c r="A8895" t="inlineStr">
        <is>
          <t>冷蔵庫</t>
        </is>
      </c>
      <c r="B8895" t="inlineStr">
        <is>
          <t>成功</t>
        </is>
      </c>
      <c r="C8895" t="inlineStr">
        <is>
          <t>読み方：れいぞうこ
内部を冷却し、飲食物を低温で保存する箱形の容器や室。「電気—」《季夏》「—しきりにひらき事たのし／波郷」</t>
        </is>
      </c>
      <c r="D8895" t="inlineStr">
        <is>
          <t>冷蔵庫から冷たい</t>
        </is>
      </c>
      <c r="E8895" t="inlineStr">
        <is>
          <t>クーラー；電気冷蔵庫；アイスボックス</t>
        </is>
      </c>
      <c r="F8895" t="inlineStr">
        <is>
          <t>大型冷蔵庫；小型冷蔵庫；用冷蔵庫；大きな冷蔵庫；入れて冷蔵庫</t>
        </is>
      </c>
      <c r="G8895" t="inlineStr">
        <is>
          <t>冷蔵庫をお願い；冷蔵庫マン</t>
        </is>
      </c>
      <c r="H8895" t="n">
        <v>29</v>
      </c>
      <c r="I8895" t="inlineStr">
        <is>
          <t>といって私は冷蔵庫からコンニャクを出してきて触ってみたことはない。；建物の冷暖房の効率化や冷蔵庫など熱を扱う様々な用途に使われている。；センターにいる最高司令官は巨大な冷蔵庫で、その内部には船があった。；そしてどうして俺は、文句も言わず冷蔵庫に向かって歩いているのだろう?；その船の冷蔵庫に入れさせてもらえれば、そのまま東京まできてしまう。；冷蔵庫のなかには合計で二千フィートのカラー・フィルムが入っていた。；博士も猫がそばで見ていなければ、何も冷蔵庫から出す気はしない。；酒を飲むガラスのコップなど冷蔵庫で冷やして曇って出て来るのである。；冷蔵庫に何かあることがわかっていても、勝手に食べたら叱られてしまう。；冷蔵庫に入れた氷の溶けた水は、湯殿の敲土に落ちるようになっていた。；冷蔵庫の中に入れられた野菜って、こんな気持ちになるのかもしれない。；翌朝、起きたら部屋の隅の冷蔵庫が塩だらけになっていたこともある。；なお、しらす丼が普及したのは冷蔵庫の普及によるものであるとされる。；立ったままグラスにつぎ、瓶を冷蔵庫へ戻してテーブルのそばへ坐った。；冷蔵庫の外側には扉が開かないようにテーブルが置かれていた。；また冷蔵庫のない時代の生活必需品である氷の配給ビジネスに進出した。；冷蔵庫の中に飲物は揃っていても、ただの水だけは用意してないのだ。；勤務内容は夜を徹して、冷蔵庫など重い荷物をトラックへ積み込む作業。；お堂はすっかり雪に包まれて、内部は冷蔵庫のようになってしまうことであろう。；肌に必要なものは全て冷蔵庫に入っているからと彼女は言う。；当時は家庭用冷蔵庫が急速に普及し、アイス市場の拡大が見込まれていた。；昼になり、五つ目を食べると、冷蔵庫には一個の卵と一食分の米が残った。；十二畳の部屋から一段下って幅広の縁側があり冷蔵庫がおいてある。；そこには冷蔵庫とコーラの販売機とコーヒーメーカーが置いてあった。；キチンへいって冷蔵庫の冷たい水を飲み、寝室に戻って僕は服を着た。；でなければ、うちへ帰ったら冷蔵庫にゼリーができているだろう、とか。；冷蔵庫に保存しても半年程度でほとんどがムッシモールに変化する。；冷蔵庫の中で古くしてしまうのはかわいそうだし、百八十五個はちょっと多い。；冷蔵庫の取っ手にハンカチをあてて、指紋をつけないよう注意して引く。</t>
        </is>
      </c>
      <c r="J8895">
        <f>HYPERLINK("https://www.weblio.jp/content/冷蔵庫", "词义详情")</f>
        <v/>
      </c>
      <c r="K8895">
        <f>HYPERLINK("https://yourei.jp/冷蔵庫", "查看例句")</f>
        <v/>
      </c>
    </row>
    <row r="8896">
      <c r="A8896" t="inlineStr">
        <is>
          <t>冷淡</t>
        </is>
      </c>
      <c r="B8896" t="inlineStr">
        <is>
          <t>成功</t>
        </is>
      </c>
      <c r="C8896" t="inlineStr">
        <is>
          <t>読み方：れいたん
［名・形動］
１物事に熱心でないこと。関心や興味を示さないこと。また、そのさま。淡白。「近所づきあいに—な人」「時局に—だ」
２思いやりがないこと。同情や親切心を示さないこと。また、そのさま。「他人の不幸に—な人」「—にあしらう」
[派生]れいたんさ［名］</t>
        </is>
      </c>
      <c r="D8896" t="inlineStr">
        <is>
          <t>冷淡な態度(6%)；冷淡な調子；冷淡な反応；冷淡な声；冷淡な口調</t>
        </is>
      </c>
      <c r="E8896" t="inlineStr">
        <is>
          <t>冷たい；冷静；平気；寒い；寒さ</t>
        </is>
      </c>
      <c r="F8896" t="inlineStr">
        <is>
          <t>冷淡すぎる；冷淡そのもの；冷淡なあしらい；冷淡なそぶり；冷淡な待遇</t>
        </is>
      </c>
      <c r="H8896" t="n">
        <v>29</v>
      </c>
      <c r="I8896" t="inlineStr">
        <is>
          <t>人の心配には冷淡になるだろう、人の困る時には大きな声で笑うだろう。；自分は腹の立つほどの冷淡さを嫁入後の彼女に見出した事が時々あった。；あなたが冷淡を感じるのは私がかえってあなたを愛しているからです。；かれの目の邪悪な冷淡さは、あれは思考細胞の再調節のためだったのだ。；その癖わたくしは地球以外の自然に対してはまだ頗る冷淡でゐるのです。；人生に絶望し、あるいは冷淡になったすえに、ある男はこう言っている。；世界はいままでの無関心さと冷淡さを、いまこそ彼に謝罪せずばなるまい。；自分が彼女からこんな冷淡な挨拶を受けたのもまた珍らしい例であった。；彼にはその態度がわざと冷淡に構えている技巧の如く見えて多少腹が立った。；人民はどうか知らないが政府の待遇の冷淡不愛相になった事は甚だしい。；最初に受け取った冷淡な無愛想な手紙は、彼に苦しみを与えたはずだった。；お糸さんの眼や唇にかつて意地悪や冷淡の色が見えたことはなかったから。；今なら、自分の親切がなぜああも冷淡にあしらわれたのか、想像がつく。；民衆はこの様子を冷淡にながめ、「八百長」と噂するようになっていた。；タアラントと外国人は彼等のいつもの冷淡な態度で面を硬ばらしていた。；伯父さんの昔示した冷淡な態度は忘られもせぬし、許すこともできない。；しかし彼はただそうだとかそうでないとかいうごく冷淡な答えをした。；あなたが如何に家に冷淡でも、わたくしにもまた相談相手があります。；学者の中で彼ほど書物の所有に冷淡な人も少ないと云われている。；わたしは、わたしに冷淡にした人たちを、ただの一人も恨みはしなかった。；けれども私は義務に冷淡だからこうなったのではありません。；山川と荒畑とはただ僕の言うことだけをごく冷淡に聞いてくれただけだった。；彼の考え方は、むしろ、僕には、ことのほか冷淡なように思えるんだ。；どうしてお手紙などをそう御冷淡にお扱いになるのでしょう。；モオリスは、相手がにわかに冷淡になったので、気をとり直して言った。；最後になって冷淡に思わせてやりたくないと考えるものですから付いていっているのですよ。；二人とも、やはりその少し以前から、僕とは大ぶ冷淡な仲になっていたのだ。；年若い娘の心の白さは、冷淡と快活とから成ってるもので雪に似ている。；スーパーマンとして活動しながらも性格は冷淡なものへと変わっていった。</t>
        </is>
      </c>
      <c r="J8896">
        <f>HYPERLINK("https://www.weblio.jp/content/冷淡", "词义详情")</f>
        <v/>
      </c>
      <c r="K8896">
        <f>HYPERLINK("https://yourei.jp/冷淡", "查看例句")</f>
        <v/>
      </c>
    </row>
    <row r="8897">
      <c r="A8897" t="inlineStr">
        <is>
          <t>冷暖房</t>
        </is>
      </c>
      <c r="B8897" t="inlineStr">
        <is>
          <t>成功</t>
        </is>
      </c>
      <c r="C8897" t="inlineStr">
        <is>
          <t>読み方：れいだんぼう
冷房と暖房。「—完備」</t>
        </is>
      </c>
      <c r="D8897" t="inlineStr">
        <is>
          <t>冷暖房完備(17%)；冷暖房双方(7%)；冷暖房設備(6%)；冷暖房用(3%)；冷暖房兼用</t>
        </is>
      </c>
      <c r="F8897" t="inlineStr">
        <is>
          <t>冷暖房費；式冷暖房；全館冷暖房；全室冷暖房</t>
        </is>
      </c>
      <c r="H8897" t="n">
        <v>29</v>
      </c>
      <c r="I8897" t="inlineStr">
        <is>
          <t>新規に投入された冷暖房車には、黄色地に赤帯の専用塗装が採用された。；建物の冷暖房の効率化や冷蔵庫など熱を扱う様々な用途に使われている。；上下線のホームには冷暖房付きの待合室が開業当初から設置されている。；このため、膨大な電力を消費する冷暖房設備は車両に設置されていない。；冷暖房効果向上などを目的として全中間連結部に引戸が設けられている。；冷暖房等の運転種別や温度設定も見やすいようにリモコン側に表示される。；屋根上には冷暖房を完備した空調装置が各車体に1基搭載されている。；空調装置は各車体の屋根上中央部に1組搭載され、冷暖房双方に対応する。；明治期に日本に冷暖房が入ってきた頃に、アメリカよりダクトが導入された。；駅舎北東側部分の改札外には冷暖房付の待合室が設置されている。；屋根上には冷暖房双方に対応した空調装置が搭載されている。；室内灯、冷暖房などのスイッチは、ドアの近くに、横に並んでいた。；また、発電時の排熱で蒸気を発生させ、空港内の冷暖房に使用されている。；窓も大きな曲面ガラスとし、柱に冷暖房用の風洞を設けているのも特徴的である。；扉間には冷暖房効果の向上を狙った固定式の窓6組が設置されたが、戸袋部に窓はない。；操縦席全体は高度に密閉され、外気温に合わせた冷暖房を備えている。；冷暖房の起動基準気温や設定温度についても、事細かに決められている。；冷暖房・各教室投影設備・エレベーターが設置されている。；全教室に冷暖房が完備されており、充実した教育環境が整っている。；冷暖房は基本的に備わっているが、地方の市内バスでは一部非冷房車もまだ存在する。；一部のエネルギーはソーラー・パネルから供給される冷暖房が完備されている。；したがって、冷暖房運転中は、両方の扉を同時に開けてはならない。；全てのスタジオが冷暖房完備で更衣室やラウンジが備えられている。；初めて全館に冷暖房が導入され、やはり初めて館内に公衆電話が設置された。；近年改修されたことによって全教室に冷暖房が付いた。；車内には冷暖房が完備され、安全対策のため監視カメラも搭載されている。；冷暖房設備の老朽化から、2020年に大規模な空調改良が行われた。；各ホームには冷暖房付きの待合室が整備されている。；内部には水道・ガス・冷暖房・電気等を供給するための配管や配線が敷設されている。</t>
        </is>
      </c>
      <c r="J8897">
        <f>HYPERLINK("https://www.weblio.jp/content/冷暖房", "词义详情")</f>
        <v/>
      </c>
      <c r="K8897">
        <f>HYPERLINK("https://yourei.jp/冷暖房", "查看例句")</f>
        <v/>
      </c>
    </row>
    <row r="8898">
      <c r="A8898" t="inlineStr">
        <is>
          <t>零点</t>
        </is>
      </c>
      <c r="B8898" t="inlineStr">
        <is>
          <t>成功</t>
        </is>
      </c>
      <c r="C8898" t="inlineStr">
        <is>
          <t>読み方：れいてん
１得点が全くないこと。「試験で—をとる」「恋人としては—だ」
２寒暖計の零度。氷点。
３関数f（x）について、f（x）＝0を満たす元(げん)xのこと。根。</t>
        </is>
      </c>
      <c r="D8898" t="inlineStr">
        <is>
          <t>零点バルブ；零点以下</t>
        </is>
      </c>
      <c r="F8898" t="inlineStr">
        <is>
          <t>リーマンゼータ関数の零点；複素零点；自明な零点；孤立零点；実零点</t>
        </is>
      </c>
      <c r="H8898" t="n">
        <v>29</v>
      </c>
      <c r="I8898" t="inlineStr">
        <is>
          <t>すなわち基準量の変更はレベルのシフトすなわち零点の変更に相当する。；それら下敷きに単語を書いていた者は、その場で全員零点を宣告された。；つまり戦闘目的の達成という観点から見れば、今回の結末は零点に近い。；奇数次の場合には原点に零点があり、それに対応する極は無限遠にある。；この近傍にベクトル場を拡張し、同じ零点と同じ指数を持つようにする。；零点を取る人間が十点を取ることは、そんなに難しいことじゃない。；このことは、臨界線上の零点の密度を記述するいくつかの定理を導いた。；測度 が区間 に台を持つならば の零点は全て に属する。；わたしは、成績証明に零点以下の点数がないのを残念に思うよ。；より意味のある例にするため、零点が高い周波数にずらされている。；そうだ、これはぼくの機体も敵の十字線の上の、零点にあるということだろう。；どうやらオレは、生まれて初めての零点をとってしまったらしい。；そのような新たな点は、スティルチェス多項式の零点で与えられる。；は、少なくとも正の割合の零点は臨界帯上にあることを証明した。；が零点を持たず正則となるものが存在するか、という問題である。；各零点は多重度が2で、12個の零点が見えており、4個が図の外にある。；それなのに、今日の課題で零点をつけられるのはハリーだけだ。；多項式の根とは、それを多項式関数として考えたときの零点のことである。；しかし話を聞くと、今までのところは零点続きだな。；しかしながら、負の偶数以外の零点も存在し、非自明な零点と呼ばれる。；日本人の予言力は、今度試みられて零点がついてしまつた。；の自明でない零点 は、全て実部が の直線上に存在する。；自明でない零点は の範囲にしか存在しないことが知られており、この範囲を臨界帯という。；しかしながら、この本によると、零点のみが言及されていて、極はされていなかった。；以下のような交絡性質: ならば の各零点は必ず の任意の二つの零点の間にある。；極と零点がある例では、重ね合わせの方法を示している。；言い換えれば、代数方程式は多項式の零点を記述する数学的対象である。；図4と図5は極と零点があるときの重ね合わせを表している。；はクリティカルライン上の零点の統計的分布を研究し、ある性質を持つことを予想した。</t>
        </is>
      </c>
      <c r="J8898">
        <f>HYPERLINK("https://www.weblio.jp/content/零点", "词义详情")</f>
        <v/>
      </c>
      <c r="K8898">
        <f>HYPERLINK("https://yourei.jp/零点", "查看例句")</f>
        <v/>
      </c>
    </row>
    <row r="8899">
      <c r="A8899" t="inlineStr">
        <is>
          <t>零度</t>
        </is>
      </c>
      <c r="B8899" t="inlineStr">
        <is>
          <t>成功</t>
        </is>
      </c>
      <c r="C8899" t="inlineStr">
        <is>
          <t>読み方：れいど
１度数を計る起点となる点。度数のゼロ。
２セ氏寒暖計で、溶けつつある純粋の水と氷とが共存するときの温度の称。</t>
        </is>
      </c>
      <c r="D8899" t="inlineStr">
        <is>
          <t>零度以下(16%)；零度近く(6%)；零度以上(3%)；零度最大</t>
        </is>
      </c>
      <c r="F8899" t="inlineStr">
        <is>
          <t>絶対零度；摂氏零度；冪零度；ほとんど零度</t>
        </is>
      </c>
      <c r="H8899" t="n">
        <v>29</v>
      </c>
      <c r="I8899" t="inlineStr">
        <is>
          <t>零度近い地下で戦う状況を再現するために真冬でも全て解放されていた。；こういう零度以下でも液体の状態になっている水を、過冷却の水という。；その零度に極めて近い状態のまま、時間がたつと全体が氷になるのである。；すべてのものが何の意味も持たずにただあるだけの零度の地点。；温度は零度以下数十度の寒さでありまして、まつたく氷と雪に蔽はれてゐます。；氷がまだどての陰には浮いているからちょうど摂氏零度ぐらいだろう。；の冪零度は、降中心列または昇中心列を用いても同じ値が定められる。；氷は零度で凍るはずだと思っている方が、まちがっているのである。；私が零度の点だとすると、分度器と同じかたちで青空が広がっている。；この状態のほとんどの理論では、空孔は絶対零度であっても存在すると考えられている。；零度になると融けて水になり、そのとき約八〇カロリーを消費する。；というのは、ほんとうは水は零度になってもなかなか凍らないからである。；そのいずれでもない境の温度が零度なのである。；氷結した建物が、道が、絶対|零度《れいど 》を超えて崩壊してゆく。；次の実験で分ったことであるが、零度の線のかなり下でこの割れ目が出来るのである。；そうするとその氷がだんだん成長して行って、こんどは水の温度が零度近くまで上って来る。；零度を切っているのではないかと思えた。；気温が零度を下回る日は年41日あり、冬のほとんどの日が氷点下である。；小屋なら零度か一度ぐらいで楽に寝られる。；結晶は絶対零度でない限り、空孔が存在したほうが安定である。；真夏でも、六七千メートルの上空では、気温はいつも零度以下になっている。；ヘリウムは常圧では絶対零度でも固体にはならず、液体のままである。；しかしこの表現は非常に拙いので、水は零度では決して凍らない。；けれど、舌の根元を吸い取ろうとする感覚は、それこそ零度の震えに相当する。；こちら側でもこれだけ寒いのだから、多分、その部屋の温度は零度を大きく下まわっているだろう。；四月十日の夜から十一日の朝にかけて、最低気温はほとんど零度まで下った。；水の氷点は零度であるが、凍結温度は零下三十七度なのである。；夏でも六千メートルも上がれば、充分零度以下になっているから、寒さの方にも問題はない。；三月とはいえニューヨークの気温は夜ともなれば、零度近くまで下がってしまう。</t>
        </is>
      </c>
      <c r="J8899">
        <f>HYPERLINK("https://www.weblio.jp/content/零度", "词义详情")</f>
        <v/>
      </c>
      <c r="K8899">
        <f>HYPERLINK("https://yourei.jp/零度", "查看例句")</f>
        <v/>
      </c>
    </row>
    <row r="8900">
      <c r="A8900" t="inlineStr">
        <is>
          <t>冷凍</t>
        </is>
      </c>
      <c r="B8900" t="inlineStr">
        <is>
          <t>成功</t>
        </is>
      </c>
      <c r="C8900" t="inlineStr">
        <is>
          <t>読み方：れいとう
［名］(スル)食料品などを、腐敗を防ぎ、長期保存するために、人工的に凍結させること。「魚を—する」</t>
        </is>
      </c>
      <c r="D8900" t="inlineStr">
        <is>
          <t>冷凍技術(2%)；冷凍状態(2%)；冷凍肉(2%)；冷凍装置；冷凍品</t>
        </is>
      </c>
      <c r="E8900" t="inlineStr">
        <is>
          <t>封鎖；凍結；凝固；凍る；凝結</t>
        </is>
      </c>
      <c r="F8900" t="inlineStr">
        <is>
          <t>冷凍ピザ；冷凍麺；冷凍設備；急速冷凍；冷凍される</t>
        </is>
      </c>
      <c r="G8900" t="inlineStr">
        <is>
          <t>冷凍庫；冷凍睡眠；冷凍保存；冷凍機；冷凍室</t>
        </is>
      </c>
      <c r="H8900" t="n">
        <v>29</v>
      </c>
      <c r="I8900" t="inlineStr">
        <is>
          <t>冷凍のもたらず生物学的効果まで思いおよんでいたとは考えられません。；でも、一度冷凍してあるところを見て不潔な気がして、買う気がしない。；また、冷凍ユニットの運転状況を監視する装置が備わっている船もある。；また、それ以外の時期では急速冷凍されたものが使われる場合もある。；乾燥した卵の産業は、冷凍卵の産業が出現する前の19世紀に発展した。；それは冷凍されたもののようになって、急速に表情を失っていった。；わたしは五十年以上も冷凍にされていた連中と話したことがあるよ。；生のものや冷凍のものをスーパーマーケットで購入することができる。；企業の垣根を超えて冷凍生地を相互に提供しているケースも多数存在する。；航路の主要搭載品は生糸であったが、冷凍マグロを搭載する事もあった。；ぼくがあの冷凍球の中にはいるとき、ぼくのお母さんは五十歳でした。；生菓子であるため、保存する場合は冷凍するなどの注意が必要である。；チーム名は、彼の実家である冷凍機器メーカーLECの名前に由来する。；それで、冷凍されたとき、氷の結晶ができて、心臓を破裂させたわけだ。；二人はそれを伝って地下へ降り、それからあの大きな冷凍室の中へはいった。；選手を辞めた後は、シカゴで冷凍機械のメーカーに勤めていたそうである。；生鮮食料品の長距離輸送を可能にするため移動式冷凍技術を発明した。；出来立ての食品を急速冷凍するのは品質を自然のままに保つためである。；レタスを冷凍してはいけないということを知らない人間がどこかにいるのだ。；冷蔵車では、氷・ドライアイス・機械的な冷凍機などで冷却が行われる。；そのため生簀を用意しているレストランもあるが、一般的には冷凍物を使う。；すると結局、冷凍なりして全部自分が食べることになるのだろう。；だから大金を投げ出して、自分の体を冷凍にする道を選んだんだろう。；また鮮度が落ちやすい魚や獲れすぎた魚は急速冷凍装置で冷凍出荷する。；設定では色が青いのは超高温ゆえとされているが、なぜか技は冷凍系となっている。；そして、20年前、莉子は宗一郎と同じ冷凍場で眠りについていたのだ。；ヨーロッパでは冷凍の刺身も簡単に購入できるようになっている。；私も日本最初の試みである冷凍工業をおこし、国の発展に寄与しようとした。；こういう状況であるため、ハッチカバーの下では冷凍電源は提供されない。</t>
        </is>
      </c>
      <c r="J8900">
        <f>HYPERLINK("https://www.weblio.jp/content/冷凍", "词义详情")</f>
        <v/>
      </c>
      <c r="K8900">
        <f>HYPERLINK("https://yourei.jp/冷凍", "查看例句")</f>
        <v/>
      </c>
    </row>
    <row r="8901">
      <c r="A8901" t="inlineStr">
        <is>
          <t>冷房</t>
        </is>
      </c>
      <c r="B8901" t="inlineStr">
        <is>
          <t>成功</t>
        </is>
      </c>
      <c r="C8901" t="inlineStr">
        <is>
          <t>読み方：れいぼう
［名］(スル)暑さをしのぐために、室内の温度を外気より低くすること。また、その装置。「—のきいた室内」「エアコンで—する」《季夏》「—に紫褪せし造花立ち／かな女」⇔暖房。</t>
        </is>
      </c>
      <c r="D8901" t="inlineStr">
        <is>
          <t>冷房化(17%)；冷房車(15%)；冷房改造(6%)；冷房用(3%)；冷房電源(2%)</t>
        </is>
      </c>
      <c r="E8901" t="inlineStr">
        <is>
          <t>エアコン；空調；クーラー；冷房装置；空調設備</t>
        </is>
      </c>
      <c r="F8901" t="inlineStr">
        <is>
          <t>製冷房；冷房準備；車両冷房；式冷房；冷房完備</t>
        </is>
      </c>
      <c r="G8901" t="inlineStr">
        <is>
          <t>冷房能力；冷房病</t>
        </is>
      </c>
      <c r="H8901" t="n">
        <v>29</v>
      </c>
      <c r="I8901" t="inlineStr">
        <is>
          <t>また伊豆急行で初めて製造時から冷房が搭載されていた車両でもあった。；装置本体は冷房ダクトとの位置関係から、トイレ前に床置きされている。；当初より冷房を装備したバスが使用され、自動車急行料金が設定された。；また1989年春からは一部編成を除いて冷房化と車体修繕も開始した。；その一方で車内は冷房風洞の設置を除いて大きな改造は行われなかった。；冷房化が始まる前の廃車であることからこの2両は冷房化されていない。；この車両は製造当初から冷房を搭載した日本で初めての寝台車である。；やはり車両限界の関係などから最後まで冷房化改造は行われなかった。；冷房搭載後の当形式の他形式との混結は初で、京成在籍時は皆無だった。；観光鉄道を除く日本の普通鉄道の事業者では唯一、冷房車の配置がない。；ほとんど地下区間での運用となることから、大半の編成が冷房準備車だった。；この編成については冷房化も宮地岳線への転属と同時に実施されている。；台車についても将来の冷房化に対応できるよう車軸などを強化している。；広島での使用条件に合うように冷房改造などを行い、翌年より運用を開始した。；本系列唯一の非冷房車であるため、夏季には運用されず予備車扱いとなる。；九龍バスの非冷房車引退の結果、香港のバスは全車冷房車化を完了した。；この時点で、非冷房車は3000・3050形の計40両のみとなった。；冷房装置を持たない非冷房車である点が3000形との大きな違いである。；なお、家庭用では、冷房にガスや石油の力はあまり使用されていない。；この冷房化に伴い側窓の下段が固定され、保護棒が撤去されている。；建物や自動車の窓では、室内を冷房した際に屋外側に結露が発生する。；この時点での大井町線の冷房車は全23編成中わずか2編成であった。；非冷房であるため、運用は基本的に秋冬の平日ダイヤのみとなっている。；また、冷房化改造の際には車体の補強が集中式に比べて少なくて済む。；これらの体質改善工事と並行して、非冷房車の冷房改造が開始された。；しかし冷房は600V区間のみ対応で各務原線内では作用しなかった。；非冷房で老朽化の進んだ200形の置換え用として登場した車両である。；改造冷房車の中間車は編成ごとに冷房改造後の室内の天井形態にも違いがある。；学校は公共施設の中では冷房の設置率が非常に低い施設である。</t>
        </is>
      </c>
      <c r="J8901">
        <f>HYPERLINK("https://www.weblio.jp/content/冷房", "词义详情")</f>
        <v/>
      </c>
      <c r="K8901">
        <f>HYPERLINK("https://yourei.jp/冷房", "查看例句")</f>
        <v/>
      </c>
    </row>
    <row r="8902">
      <c r="A8902" t="inlineStr">
        <is>
          <t>歴史</t>
        </is>
      </c>
      <c r="B8902" t="inlineStr">
        <is>
          <t>成功</t>
        </is>
      </c>
      <c r="C8902" t="inlineStr">
        <is>
          <t>読み方：れきし
１人間社会が経てきた変遷・発展の経過。また、その記録。「日本の—」「—上の事件」「—に残る」「—をひもとく」
２ある事物・物事の現在まで進展・変化してきた過程。「菓子の—」「—のある店」
３「歴史学」の略。
[補説]書名別項。→歴史
[補説]2017年に実施した「あなたの言葉を辞書に載せよう。2017」キャンペーンでの「歴史」への投稿から選ばれた優秀作品。◆「if」が無いことを踏まえた上で、「if」を想像すると楽しいもの。猪鹿ソーセージさん◆勝者の記憶。あるいは勝者に都合の良い「事実」になっている話。櫻月さん◆様々な人間の、生きざまと死にざま。一二三茶さん◆連綿と繋がって途切れない時間の堆積。吉岡景子さん◆くり返されるもの。その大部分は失態。水酸化ナトリウムさん</t>
        </is>
      </c>
      <c r="D8902" t="inlineStr">
        <is>
          <t>歴史的(9%)；歴史上(6%)；歴史性；歴史協会；歴史民俗資料</t>
        </is>
      </c>
      <c r="E8902" t="inlineStr">
        <is>
          <t>話；話し；由来；過去；物語</t>
        </is>
      </c>
      <c r="F8902" t="inlineStr">
        <is>
          <t>古い歴史；歴史民俗資料館；歴史学；歴史観；歴史そのもの</t>
        </is>
      </c>
      <c r="G8902" t="inlineStr">
        <is>
          <t>歴史家；歴史学者；歴史学；歴史書；歴史小説</t>
        </is>
      </c>
      <c r="H8902" t="n">
        <v>29</v>
      </c>
      <c r="I8902" t="inlineStr">
        <is>
          <t>歴史は短いながら車両規定の変遷が激しく、廃止と復活も経験している。；日本の近代以前の歴史上の戦争を題材とした場合は通常時代劇と呼ばれる。；用語「ヨーロッパ」は、歴史が展開する中で使われ方が様々に発展した。；そもそも直接打撃制ルール自体は寸止めルールよりもはるかに歴史は古い。；西洋の文学では、男性が男性に恋する気持ちも表現されてきた歴史がある。；地歌は非常に曲数が多く、歴史も長いため実に様々な傾向の曲が存在する。；ロイヤル・オペラ・ハウスは長い歴史を持ちよく知られている存在である。；彼らの中には稀代のエンターテイナーとして歴史に名を残した者もいる。；この寺院はその長い歴史の中で金や宝石など多くの寄進を集めている。；長い歴史を通じて、アテネは多くの異なった人口レベルを経験している。；日本では明治の梅謙次郎以来その歴史は長いが、あまり支持されていない。；自動車はその歴史のなかで様々な構造が現れ、変遷を繰り返してきた。；パラレルATAはその長い歴史を反映して数々の転送モードが存在する。；これは主に伝説と歴史に対するプラントの関心から生まれたものであった。；歴史上、彼は多くの反権威主義的な業績を残したと受け止められている。；非常に古い歴史を持つ楽器であり、起源はトランペットと共通である。；ウリ科の植物の多くは熱帯に分布し、人類の歴史上最も古い作物を含む。；こうした共和制の歴史の転換点となったのは、アメリカ独立革命である。；その後、馬車にはなかった分類用語が追加されてきた歴史がある。；人類の歴史上、身体の装飾行為がいつ始まったのかは定かではない。；また、発見の古い温泉ではその利用の歴史もかなり古くから文献に残されている。；また、歴史上において最も成功した軍事指揮官であると広く考えられている。；メンバーには現在釜石市にある鉄の歴史館館長を務める佐々木諭がいた。；マルクスは人類の歴史の中で最も影響力のある人物の一人であると説明されている。；アメリカ合衆国上院議員の場合は共和党議員を選んできた歴史がある。；歴史は古く、戦前から運転を開始し、途中中断したものの戦後になり再開。；の性格上、その歴史には定理の自動証明の研究が大きく関係している。；各国の議会の呼称には、それぞれの歴史や経緯が含まれている。；関数型言語の歴史において ISWIM は次のような貢献を果たした。</t>
        </is>
      </c>
      <c r="J8902">
        <f>HYPERLINK("https://www.weblio.jp/content/歴史", "词义详情")</f>
        <v/>
      </c>
      <c r="K8902">
        <f>HYPERLINK("https://yourei.jp/歴史", "查看例句")</f>
        <v/>
      </c>
    </row>
    <row r="8903">
      <c r="A8903" t="inlineStr">
        <is>
          <t>歴然</t>
        </is>
      </c>
      <c r="B8903" t="inlineStr">
        <is>
          <t>成功</t>
        </is>
      </c>
      <c r="C8903" t="inlineStr">
        <is>
          <t>読み方：れきぜん
［ト・タル］［文］［形動タリ］まぎれもなくはっきりしているさま。「—たる事実」「格の違いは—としている」</t>
        </is>
      </c>
      <c r="D8903" t="inlineStr">
        <is>
          <t>歴然たり；歴然とした力</t>
        </is>
      </c>
      <c r="E8903" t="inlineStr">
        <is>
          <t>明らか；確かに；明白；まちがいなく；紛れもない</t>
        </is>
      </c>
      <c r="G8903" t="inlineStr">
        <is>
          <t>歴然たる</t>
        </is>
      </c>
      <c r="H8903" t="n">
        <v>29</v>
      </c>
      <c r="I8903" t="inlineStr">
        <is>
          <t>同日に合格した二人にすでに歴然として生まれた差がそれを証明していた。；この家の電気器具関係を扱う能力のレベルが、これを見れば歴然である。；だが、形の違いは歴然としているし、動きに至っては天地の開きがある。；このことはまず両者の開巻劈頭の部分を比較してみれば歴然としよう。；これを見ても、彼女が本当はもっと強い人間であることが歴然としていた。；わたしがすぐにも相手の思うがままにふりまわされることは歴然としていた。；というのは、あの不幸な男が死を免れないことは歴然としていたのだった。；中には、ベンデン山の南壁で奮闘した跡が歴然としている者もあった。；そのどれをとっても、新大阪支店とは歴然とした格の違いを感じさせる。；作業地域と距離をおいて立っているのが、歴然としていたからだ。；老いを感じるにはまだ早いとは思うのだが、肉体の衰えは歴然としている。；ひとり、あるいは複数の男のおもちゃにされたらしい跡が歴然である。；どちらにしろ、その行動は知性を有していることの歴然とした証拠であった。；諸君は、それをわが眼で見たのであって、証拠は歴然としておったのだ。；これほど男女差が歴然とする通変も少なく、男女で事象の予想に違いが出る。；しかしそこで他の芸人たちとの歴然とした実力の差の現実を知った。；それはさておき、わたしが協議の主題になっていることは歴然としていた。；歴然とした証拠があの部屋から出てきたじゃありませんか。；第一に、この婦人の出発が突然であり予期していなかったのは歴然としている。；他球団との戦力の差は歴然であり、開幕前から楽天の苦戦が予想された。；だが、いま気を失って静かに横たわる姿を見れば、その正体は歴然だ。；女王に隷属するのは当り前ではないかといった態度が歴然としていた。；かれをまいてやったと思っているということは歴然としていた。；彼が失った血の量も合わせて考えれば、手遅れであることは歴然としていた。；しかもこれに包丁をいれてみれば、かれらの失敗はなお歴然とする。；全く人の一生と一巻の本とは最後に到って真価の歴然とするものです。；仕事柄、近頃の若者を多く観察しているため、その差は歴然だと感心した。；一番は一番であり、二番や三番でないことは歴然としている。；そして後から死体の周りに植えたのなら、その痕跡は歴然としているはずだ。</t>
        </is>
      </c>
      <c r="J8903">
        <f>HYPERLINK("https://www.weblio.jp/content/歴然", "词义详情")</f>
        <v/>
      </c>
      <c r="K8903">
        <f>HYPERLINK("https://yourei.jp/歴然", "查看例句")</f>
        <v/>
      </c>
    </row>
    <row r="8904">
      <c r="A8904" t="inlineStr">
        <is>
          <t>レジ</t>
        </is>
      </c>
      <c r="B8904" t="inlineStr">
        <is>
          <t>成功</t>
        </is>
      </c>
      <c r="C8904" t="inlineStr">
        <is>
          <t>１「レジスター1」に同じ。「—を打つ」
２「レジスター2」に同じ。「—に並ぶ」「—を通る」</t>
        </is>
      </c>
      <c r="D8904" t="inlineStr">
        <is>
          <t>レジ係(5%)；レジメン(3%)；レジ打ち；レジ横；レジ前</t>
        </is>
      </c>
      <c r="E8904" t="inlineStr">
        <is>
          <t>レジスタ；レジスター；キャッシュレジスター；キャッシャー；金銭登録機</t>
        </is>
      </c>
      <c r="F8904" t="inlineStr">
        <is>
          <t>集中レジ；ガレジ；番レジ；店舗レジ；急いでレジ</t>
        </is>
      </c>
      <c r="G8904" t="inlineStr">
        <is>
          <t>レジスタ；レジスタンス；レジェンド；レジャー施設；レジスター</t>
        </is>
      </c>
      <c r="H8904" t="n">
        <v>29</v>
      </c>
      <c r="I8904" t="inlineStr">
        <is>
          <t>私はうっとりとレジのところに立って、それをながめていたものだった。；男の一人が入口のレジのところにある電話で誰かと話している声が聞こえた。；レジの発明された時期を考えると、この革命のタイミングは相当に早い。；彼の視線の先に、そこのレジからこっちへ手をあげる男の顔があった。；急に気分が悪くなったみたいで帰って行った、とレジ係の女が伝えた。；レジを抜けて店の奥にはいっていくと、手に封筒をもって戻ってくる。；カウンターの前に立っていた男が、こちらを見ながらレジの方へ移動する。；ばあさんはレジまで行くと、その近くに置かれていた紙を手に取った。；レジ係との交代制になると聞いた案内係が労働組合に加入して来る。；レジに知らない顔の女の子がいて、伝票整理のようなことをしている。；かけ直してもらったことで、レジの横での立ち話は長いものになった。；彼女がレジの前にいる時に限って、長話を始める者も一人や二人ではない。；そこまで考えたところで、レジの担当者が彼のバスケットを取り上げた。；現在は複数の店舗で影響を受けたレジシステムの交換に取り組んでいるとした。；ニヤッと笑ってから、九条は隣の三人より先にレジのほうへと歩いていった。；レジの近くの人が少ないところへ移動して、彼女は電話をかけた。；その女も今日、例のスーパーのレジで男のことを訪ねているんだよ。；レジの内側に立っている若い店員は、顎が外れそうなほどびっくりしている。；レジに備え付けられていた小さなテレビには、雨の降る映像が流れていた。；市川は、レジの処にある赤電話を黒い服の男が耳に受けているのを見ていた。；その直前にコンビニのレジから金を盗んで逃げている最中だったからである。；普通は、下着の代金も払わずレジを出たところで声をかけるのが常道だ。；ここでは軍事関係の書籍を買ったが、レジでの支払いは春仙に頼んだ。；レジの近くには煙草のカートンも置いてあったので、それも入れた。；だからさとるは、なるべくいつも二番のレジで精算するようにしている。；きっとね、一年後はどこかのスーパーでレジ打ちをしてるんじゃないかな。；そして彼女がそれを持ってレジに行くのを確認して、世良と彩子は店を出た。；レジの横を通って先ほどのマドカと三十代初めの女がはいってくる。；二十冊の本をレジに置くと、店員のお姉さんが微妙に驚いた顔をした。</t>
        </is>
      </c>
      <c r="J8904">
        <f>HYPERLINK("https://www.weblio.jp/content/レジ", "词义详情")</f>
        <v/>
      </c>
      <c r="K8904">
        <f>HYPERLINK("https://yourei.jp/レジ", "查看例句")</f>
        <v/>
      </c>
    </row>
    <row r="8905">
      <c r="A8905" t="inlineStr">
        <is>
          <t>レストラン</t>
        </is>
      </c>
      <c r="B8905" t="inlineStr">
        <is>
          <t>成功</t>
        </is>
      </c>
      <c r="C8905" t="inlineStr">
        <is>
          <t>読み方：れすとらん
洋風の料理店。中華料理の店にもいうことがある。「フレンチ—」</t>
        </is>
      </c>
      <c r="D8905" t="inlineStr">
        <is>
          <t>レストラン街；レストラン等；レストラン経営；レストラン事業；レストランバー</t>
        </is>
      </c>
      <c r="E8905" t="inlineStr">
        <is>
          <t>食堂；料理屋；料亭；グリル；小料理屋</t>
        </is>
      </c>
      <c r="F8905" t="inlineStr">
        <is>
          <t>イタリアンレストラン；小さなレストラン；フレンチレストラン；カフェレストラン；経営するレストラン</t>
        </is>
      </c>
      <c r="G8905" t="inlineStr">
        <is>
          <t>レストラン船；レストラント；レストラン京王；レストラン・ガストロノミーク；レストランシップ</t>
        </is>
      </c>
      <c r="H8905" t="n">
        <v>29</v>
      </c>
      <c r="I8905" t="inlineStr">
        <is>
          <t>レストランでは、これらの全てを注文しなければならないわけではない。；イギリスのいずれの通りよりもより多くのバーやレストランが林立する。；オレが仕事が終わってレストランに行くとあの人がビフテキを食べてる。；両館合わせて51店舗の日本国内最大規模のレストラン街となっている。；彼らそれぞれのレストランが大いにボストンの食の地位を向上させた。；ベルファストの人口あたりの中華レストランの数はヨーロッパ一である。；スロヴェニアでは多くのレストランで学生割引を利用することができる。；ザフォド達がレストランの駐車場にいくと、真っ黒な船が止めてあった。；近年では日本食以外のレストランやマクドナルドでも販売されたことがある。；外国の料理を特徴としたレストランは主にベイオール地区に集中している。；この頃、東京にも十勝ワインと牛肉のレストランを開設し話題を呼んだ。；レストランに行った際、その店で働いていた元社員がいて驚いたことがあった。；しかし、働くはずだったフレンチ・レストランは既に人手に渡っていた。；エスカルゴ風にしてパンサ・エスカルゴで食べさせるレストランもある。；そのため他のレストランとの格差がきわめて大きくなることはない。；また、日本人観光客を狙った日本のチェーンレストランも存在している。；また、外国のタイ料理レストランなどの名前にも使われることが多い。；市内のレストランではカモを基本とする数多くのスペシャリテを提供する。；開業当初は、レストランが設置されていなかったこともあった。；最近では、東京都内のレストランのメニューにも採用された例がある。；レストランでは名前の通り、前沢牛を使用した料理も提供している。；逆にホテルのレストランなどでは、サテまで付いてくることがある。；その利用客の殆どが地元民ではなく後述のレストラン目的で来訪する客である。；ある地区における最高のレストランが人気を集めていたとする。；ある日、小さなレストランで同じ大学の緑から声をかけられる。；また、テナントとして有名ホテルがレストランを出店している所もある。；ボストンには様々な民族料理レストランなど多くのレストランがある。；店舗の席数が平均400席になる大規模なレストランであることが特徴である。；広場の西端にある旧トリンクハレは、現在はレストランとなっている。</t>
        </is>
      </c>
      <c r="J8905">
        <f>HYPERLINK("https://www.weblio.jp/content/レストラン", "词义详情")</f>
        <v/>
      </c>
      <c r="K8905">
        <f>HYPERLINK("https://yourei.jp/レストラン", "查看例句")</f>
        <v/>
      </c>
    </row>
    <row r="8906">
      <c r="A8906" t="inlineStr">
        <is>
          <t>列</t>
        </is>
      </c>
      <c r="B8906" t="inlineStr">
        <is>
          <t>成功</t>
        </is>
      </c>
      <c r="C8906" t="inlineStr">
        <is>
          <t>読み方：れち
「れつ（列）」に同じ。
「博士、文人、—引きて着き並みぬ」〈宇津保・祭の使〉</t>
        </is>
      </c>
      <c r="D8906" t="inlineStr">
        <is>
          <t>列シート；列格；列縦隊；列風切；列配置</t>
        </is>
      </c>
      <c r="E8906" t="inlineStr">
        <is>
          <t>線；路線；行；筋；線路</t>
        </is>
      </c>
      <c r="F8906" t="inlineStr">
        <is>
          <t>長い列；三列；音列；砲列；四列</t>
        </is>
      </c>
      <c r="G8906" t="inlineStr">
        <is>
          <t>列挙；列強；列席；列記；列せ</t>
        </is>
      </c>
      <c r="H8906" t="n">
        <v>29</v>
      </c>
      <c r="I8906" t="inlineStr">
        <is>
          <t>細胞が単列に並んでいるものが多いが、多列に並んでいるものもいる。；右下のアンパパから、無数の歩帯板の列がそれぞれ伸びて歩帯をなす。；また、地上運用復帰と同時に10000系列との併結運転も再開された。；各テーブルは、エンティティの属性を含む固定数の列を含むことになる。；人々が食べ物を買うために列に並ぶのは、よく見られる光景となった。；記念目的の利用者は200人弱で、午後に入ると局前の列は短くなった。；文全体でこのスコアの合計がもっとも高くなるような品詞列を答えとする。；またこれを受けて数学者もさらに高速な行列乗算プログラムを公表した。；近縁種を見分けるには背びれと側線の間にある鱗の列がポイントとなる。；列村は村落で行われる産業などの性格により、以下のように細分される。；同世代の間で共通の字を用いることから、特に列系字と呼ばれることもある。；その結果、色灯式と灯列式を使用する鉄道事業者はほぼ半分で分かれている。；墳丘の周囲は「結界石」と呼ばれる石の列によって二重に囲まれている。；すなわち、関数 の における値を と書き、列の 番目の項と考える。；命令列は、先頭から最後尾に向かって逐次的に実行されるよう記述される。；中国語対応版では拼音に対応するアルファベットの列を漢字に変換する。；パケットは、ヘッダ部に本体が続く形で構成されるオクテット列である。；碑陰の文字はやや小さく、建立関係者の名が5列57行で列挙されている。；もし左に数値がない場合は、単に一つ上の列のカラム 1の数値を取る。；チェスと同様端から二列が自陣となり、先手からその中に駒を配置する。；歯舌は現生のと比較して小型であり、同様に7列で構成されていた。；右列下の画像は別のものであるが、これも対数螺旋の階段の一例。；表の値を決めるためは、すぐ左の値を見て、一つ上の列でその順番の値を取る。；直前の四項の和に変更したテトラナッチ数列も同様に様々なことが知られている。；次列風切の羽先が白く、飛翔時には白い帯のように見えてよく目立つ。；これは一般の位相空間において列の代わりにネットを考える動機を与える。；だが入れ違いにウッディがガレージセールの列に取り残されてしまった。；基本的な機能を有するモジュールは、列車のように1列に連結されている。；また行や列の数を無限に増やした行列というものを考えることもできる。</t>
        </is>
      </c>
      <c r="J8906">
        <f>HYPERLINK("https://www.weblio.jp/content/列", "词义详情")</f>
        <v/>
      </c>
      <c r="K8906">
        <f>HYPERLINK("https://yourei.jp/列", "查看例句")</f>
        <v/>
      </c>
    </row>
    <row r="8907">
      <c r="A8907" t="inlineStr">
        <is>
          <t>列車</t>
        </is>
      </c>
      <c r="B8907" t="inlineStr">
        <is>
          <t>成功</t>
        </is>
      </c>
      <c r="C8907" t="inlineStr">
        <is>
          <t>読み方：れっしゃ
旅客や貨物を運ぶために線路上を走る連結した車両。「長距離—」</t>
        </is>
      </c>
      <c r="D8907" t="inlineStr">
        <is>
          <t>列車内；列車運行；列車本数；列車用；列車同士</t>
        </is>
      </c>
      <c r="E8907" t="inlineStr">
        <is>
          <t>車両；電車；汽車；貨車；鉄道車両</t>
        </is>
      </c>
      <c r="F8907" t="inlineStr">
        <is>
          <t>直通列車；下り列車；上り列車；一部列車；直通する列車</t>
        </is>
      </c>
      <c r="G8907" t="inlineStr">
        <is>
          <t>列車名；列車番号；列車種別；列車に乗って；列車無線</t>
        </is>
      </c>
      <c r="H8907" t="n">
        <v>29</v>
      </c>
      <c r="I8907" t="inlineStr">
        <is>
          <t>また列車の運転する区間や異なる路線への直通列車の設定を検討する。；定められた時刻通りに列車を運行することは鉄道事業の出発点である。；一般旅客でも地上の川越線を走行する列車に乗車することが可能である。；また路線や列車の識別を狙って、路線ごとに異なる色を採用する例もある。；かつて当駅折り返しの列車が設定されていた頃にも使用されていた。；そのため、他種別の列車と同じく通勤形車両を用いるのが一般的である。；特急列車や一部普通列車を除く大半の列車が当駅で系統が分離されている。；他にも、駅到着時の接続列車の案内などは従来通り肉声放送で行われている。；また、2001年からは湘南新宿ラインの列車も走るようになっている。；これらの列車には他の列車より高額であり、特別急行券を必要としていた。；営業用列車はさらに、下記のようにいくつかに区分されている。；昼間のみ線路建設が可能なA列車を用いて線路を建設していく。；これら千歳線からの列車は併設された千歳線列車用の複線を走行する。；列車が接近すると、到着・通過を知らせる接近表示が点滅するものもある。；上り列車は経堂駅で特急ロマンスカーの通過待ちを行うことがあった。；みやこ路快速・快速・区間快速・普通の4種別の列車が運転されている。；このほか槻木駅を介して阿武隈急行線と直通する列車も設定されている。；朝・夕方の一部列車は草津駅まで延長運転されるようになった。；陸戦兵器のうち戦闘力が最も強いのは1門数十トンの重さを有する列車砲である。；これらの列車は非対号列車と呼ばれており、全席が自由席となっている。；そのほかの列車は快速と同じく都営新宿線内は各駅停車で運転されている。；概ね郡山駅で系統は分割されているが、朝夕の一部列車は直通運転する。；大幅なダイヤ乱れ時には次の列車が到着するまでの時間が表示されることもある。；特に列車を専門にしている場合は列車撮影とも呼ぶ。；JR線で唯一、全列車が掲載されている紙の時刻表が存在しない路線である。；なお、いずれの列車もライナー券を購入すれば定期券でも利用可能である。；なお、2022年9月23日現在で最長編成の列車は以下の通りとなる。；後続列車を先に発車させてしまった場合も同様の対応がとられる。；そこからも分かるように、この列車はどちらかと言えば大衆向けの設定であった。</t>
        </is>
      </c>
      <c r="J8907">
        <f>HYPERLINK("https://www.weblio.jp/content/列車", "词义详情")</f>
        <v/>
      </c>
      <c r="K8907">
        <f>HYPERLINK("https://yourei.jp/列車", "查看例句")</f>
        <v/>
      </c>
    </row>
    <row r="8908">
      <c r="A8908" t="inlineStr">
        <is>
          <t>列島</t>
        </is>
      </c>
      <c r="B8908" t="inlineStr">
        <is>
          <t>成功</t>
        </is>
      </c>
      <c r="C8908" t="inlineStr">
        <is>
          <t>読み方：れっとう
細長く列をなすようにつらなっている島々。「日本—」</t>
        </is>
      </c>
      <c r="D8908" t="inlineStr">
        <is>
          <t>列島内(4%)；列島各地；列島規模；列島リポート；列島リアルタイム中継</t>
        </is>
      </c>
      <c r="F8908" t="inlineStr">
        <is>
          <t>慶良間列島；倭列島；アレウト列島；同列島；小笠原列島</t>
        </is>
      </c>
      <c r="G8908" t="inlineStr">
        <is>
          <t>列島改造；列島縦断；列島ニュース；列島改造ブーム；列島ドキュメント</t>
        </is>
      </c>
      <c r="H8908" t="n">
        <v>29</v>
      </c>
      <c r="I8908" t="inlineStr">
        <is>
          <t>発見されたわずか1年後には、すべての列島は完全に人口が減らされた。；田中政権の時は佐藤の部分が「今じゃ角さんで列島の改造だ」となった。；全村が合併して薩摩川内市になったために、列島から村がなくなった。；そして、問題は列島に主権をもつ政府の裁判所で争われようとしている。；薩摩半島の西部に浮かぶ甑島列島南部の下甑島の北西部に位置している。；サタクンタ県南部の沿岸地方のほとんどはラウマの列島に挟まれている。；薩摩川内市の西部に浮かぶ甑島列島北部の上甑島の南部に位置している。；薩摩半島の西部に浮かぶ甑島列島北部の上甑島の中央部に位置している。；薩摩半島の西部に浮かぶ甑島列島南部の下甑島の中央部に位置している。；オーストラリアの北東から東にかけて火山列島と思われる長い列島がある。；列島の隅々まで移動できる余裕を残して、情報をつかまねばならない。；そのため開始当時は列島各地からの生中継も織り込んだ番組とした。；ピーテオは魅力的な列島の中にあり、特に夏と冬には多くの観光客が訪れる。；アメリカ合衆国領の同列島ニア諸島に属するアッツ島が最も近い島である。；択捉島は、北海道千島列島南部に位置する同列島内で面積が最大の島。；眼の下にはちょうど東から西へ泳ぐ海蛇みたいに繋がった列島が見えている。；色のついた猿は、列島から消えてくれた方がなにかと都合がいいというわけだ。；列島南北の大きな島にはヒグマ、キツネ、テンなどが元から住んでいる。；その弓なりの列島は、静止して地図上の一点にあるのではなかった。；例えば、ある列島に分布する陸上生物は、当然分布域の間に海を挟む。；ただ列島をあげて都市化の進んでいるこの現代ではありふれたものとはいいがたい。；甑島列島の各港と薩摩半島の間を結ぶフェリー及び高速船を運航している。；沖縄島の西南の小粒の石を並べたような慶良間列島へ上ったのである。；列島内には、同字異音であるが「御岳」と名付けられた山が複数存在する。；薩摩半島の西部に浮かぶ甑島列島南部の下甑島の南西部に位置している。；薩摩半島の西部に浮かぶ甑島列島北部の上甑島の南東部に位置している。；甑島列島は全体的に山肌が海にせまり、沖積平野の発達が極めて少ない。；今からこれじゃ夏本番になると日本は天然サウナ列島になるんじゃないだろうか。；「ヴァラーム」は列島全体の呼称であるだけでなく、最大の島の名でもある。</t>
        </is>
      </c>
      <c r="J8908">
        <f>HYPERLINK("https://www.weblio.jp/content/列島", "词义详情")</f>
        <v/>
      </c>
      <c r="K8908">
        <f>HYPERLINK("https://yourei.jp/列島", "查看例句")</f>
        <v/>
      </c>
    </row>
    <row r="8909">
      <c r="A8909" t="inlineStr">
        <is>
          <t>劣等</t>
        </is>
      </c>
      <c r="B8909" t="inlineStr">
        <is>
          <t>成功</t>
        </is>
      </c>
      <c r="C8909" t="inlineStr">
        <is>
          <t>読み方：れっとう
［名・形動］等級・程度などが水準より劣っていること。また、そのさま。「—な品種」「—生」⇔優等。</t>
        </is>
      </c>
      <c r="D8909" t="inlineStr">
        <is>
          <t>劣等生(24%)；劣等感(12%)；劣等意識(5%)；劣等民族(3%)；劣等性(3%)</t>
        </is>
      </c>
      <c r="E8909" t="inlineStr">
        <is>
          <t>悪い；不良；下位；粗末；下級</t>
        </is>
      </c>
      <c r="F8909" t="inlineStr">
        <is>
          <t>滋賀劣等；劣等部分；劣等品；劣等観念；劣等機能</t>
        </is>
      </c>
      <c r="G8909" t="inlineStr">
        <is>
          <t>劣等人種；劣等コンプレックス；劣等財</t>
        </is>
      </c>
      <c r="H8909" t="n">
        <v>29</v>
      </c>
      <c r="I8909" t="inlineStr">
        <is>
          <t>きっとインテリに卑小な劣等感を持っているのだろうと俺は思っている。；この種の犯罪は劣等感と優越感をもってこなくては説明ができないのである。；そしてかかる事情の下においては、最劣等地も開墾されることとなろう。；敵は機械化装備が完全であり、我方は昼間行動不可能な劣等装備です。；その他いろいろなことで、婦人が劣等な位置を占めていることに気がつく。；そして、意外にも、劣等生だった寝太郎が、有能な参謀役を務めていた。；ここ数日、俺に劣等生時代を思い出させる人物と接触する機会が増えている。；だれよりも優越性のある方に劣等者の役はお勤まりにはならないでしょう。；私たちを劣等生扱いしたニセモノの優等生とは縁を切ったのですから、と。；それは、特技者の持つ、普通の者には理解されない、あの劣等感であった。；ミケランジェロは、劣等生であるから、神が助けて描いてやったのである。；君たちはわれわれ人類ヤマ族を劣等生物視しているが今に後悔するだろう。；職業からくる社会的劣等意識を脱却する意図もふくまれていたかもしれない。；後に彼女はダンスの授業は好きであったが、それ以外では劣等生であったと認めている。；劣等兵とみなされた兵士たちも渋々ながらも命令に従っていくようになる。；しかも吃で、多病で、まことに劣等な資質を抱いて生れて居たのである。；そのため、インタビューなどで自らのことを「劣等生」と語っている。；フランス語に関しては劣等生だった私だが、この単語には記憶がある。；また建設的な優越機能に対し、劣等機能はしばしば破壊的な傾向をもつ。；擬足の大きさが減少しており、形態のすべてが劣等化・単純化しているようだった。；そして他の多くの小説が、より劣等な価値に於て、悉く皆俳句である。；食色の慾は限りがある、又それは劣等の慾、牛や豚も通有する慾である。；まず、このアドミタスより劣等な男が、果して世の中にいるでしょうか?；何もスマートにできなくて、そんな自分に劣等意識を抱いていた。；野卑だが劣等でないというような表現もあり得るものなのですね。；殆ど全ての反民主主義者にとって議会は劣等者の選別場に他ならなかった。；この四人は一月二十四日現在で上記の劣等な水準へ転落するものとす。；これは私とは異なった劣等な人間の幸福のようだ。；以上は血統純粋な駿馬を購う場合の事で、劣等の馬を買うは容易な事である。</t>
        </is>
      </c>
      <c r="J8909">
        <f>HYPERLINK("https://www.weblio.jp/content/劣等", "词义详情")</f>
        <v/>
      </c>
      <c r="K8909">
        <f>HYPERLINK("https://yourei.jp/劣等", "查看例句")</f>
        <v/>
      </c>
    </row>
    <row r="8910">
      <c r="A8910" t="inlineStr">
        <is>
          <t>恋愛</t>
        </is>
      </c>
      <c r="B8910" t="inlineStr">
        <is>
          <t>成功</t>
        </is>
      </c>
      <c r="C8910" t="inlineStr">
        <is>
          <t>読み方：れんあい
［名］(スル)特定の人に特別の愛情を感じて恋い慕うこと。また、互いにそのような感情をもつこと。「熱烈に—する」「社内—」
[補説]2018年5月に実施した「あなたの言葉を辞書に載せよう。2018」キャンペーンでの「恋愛」への投稿から選ばれた優秀作品。◆一瞬で人生を苦しくさせるし、それ以上に人生を幸せにしてくれるのも。いつきさん◆相手を通して、自分自身と向き合うこと。ぷーすけさん◆感情の汲み取り合戦。Sky-Wさん◆まわりが見えなくなる。10割増しで見える。キラキラと輝いている。智兎瀬さん◆キミの全てが欲しくてキミの全てになりたい。mikaさん◆世界で唯一、糖分よりも甘いもの。ぼくちんさん◆ノンアルコールなので、未成年でも酔えます。クロネンコさん</t>
        </is>
      </c>
      <c r="D8910" t="inlineStr">
        <is>
          <t>恋愛事件；恋愛詩；恋愛問題；恋愛ドラマ；恋愛要素</t>
        </is>
      </c>
      <c r="E8910" t="inlineStr">
        <is>
          <t>思う；愛；恋；愛情；愛する</t>
        </is>
      </c>
      <c r="F8910" t="inlineStr">
        <is>
          <t>情熱恋愛；恋愛生活；熱烈な恋愛；恋愛ストーリー；恋愛曲線</t>
        </is>
      </c>
      <c r="G8910" t="inlineStr">
        <is>
          <t>恋愛感情；恋愛小説；恋愛模様；恋愛結婚；恋愛アドベンチャーゲーム</t>
        </is>
      </c>
      <c r="H8910" t="n">
        <v>29</v>
      </c>
      <c r="I8910" t="inlineStr">
        <is>
          <t>しかし今回は、漫画の内容が恋愛ものばかりであることに不満を抱いた。；漫画やゲームなどのキャラクターとの恋愛を取り扱った二次創作が多い。；当人同士の恋愛から始まり、男が女の家に通って夫婦関係を発生させる。；本作は主人公とその義理の妹たちの恋愛を描いたアダルトゲームである。；短期大学の卒業を控えた主人公の就職、恋愛への不安と成長が描かれる。；そしてこのころから恋愛をテーマにした少女向けの小説が大量に生産されてゆく。；それぞれの国語辞典で恋愛という言葉は、以下のように定義されている。；しっかり者だが、原作とは逆にテレビや漫画が好きで恋愛にも積極的。；恋愛もうまくいかず、絶望に打ちひしがれたドリューは自殺を決意する。；恋愛婚の場合はおそらく妻の側にも離婚の意思表示が認められていた。；この曲はリヒノフスキーの恋愛譚を音化したものだと伝えられている。；それは、彼を想像する時、経済と恋愛を考えなかったのが原因だと思います。；恋愛至上主義は、精神的な恋愛を神聖視して、肉体的な恋愛は否定する。；恋愛・結婚・離婚など家族問題に関する著書を31作品発表している。；女性同士の恋愛をテーマにした、切なくて純度の高い作品が多いのが特徴。；数日後、自分の境遇とよく似た恋愛ドラマがラジオで流れてしまう。；真知子と春樹との恋愛にドラマが集中し始め、初めて人気番組となった。；タイトルのスキャンダルのような刺激的な恋愛模様を描いた作品。；恋愛や生活の中で自分の感情を思うように伝えられない葛藤をピアノと歌で表現した。；物語には娘たちの祖母と祖父との恋愛も描かれている。；それは、恋愛のソネットをフランス語で集めた初の詩集であったのだ。；まっすぐな恋愛感情を綴った歌詞が音楽専門誌を中心に注目された。；恋愛小説は、男女間もしくは同性間での恋愛を主題とした小説のこと。；どんなに干からびた不幸な性格の男でも、十六歳にもなれば恋愛を始める。；このような恋愛の裏でもう1つの大きなテーマとして同性愛が展開する。；恋愛をテーマにしたさまざまな企画を行っていた番組。；トッド自身も妻の恋愛を認識していたといい、大学では公然の秘密とされた。；バンショワは宮廷のために、恋愛や騎士道を歌った世俗歌曲を作曲した。；主に少年少女の淡い恋愛を主題にした作品とファンタジー作品を展開する。</t>
        </is>
      </c>
      <c r="J8910">
        <f>HYPERLINK("https://www.weblio.jp/content/恋愛", "词义详情")</f>
        <v/>
      </c>
      <c r="K8910">
        <f>HYPERLINK("https://yourei.jp/恋愛", "查看例句")</f>
        <v/>
      </c>
    </row>
    <row r="8911">
      <c r="A8911" t="inlineStr">
        <is>
          <t>煉瓦</t>
        </is>
      </c>
      <c r="B8911" t="inlineStr">
        <is>
          <t>成功</t>
        </is>
      </c>
      <c r="C8911" t="inlineStr">
        <is>
          <t>読み方：れんが
粘土に砂・石灰などを混ぜて練り、長方体などに成型し、乾燥して窯(かま)で焼いたもの。ふつうは酸化鉄を含む粘土を用いた赤煉瓦をいう。建築・道路舗装・炉などの材料。</t>
        </is>
      </c>
      <c r="D8911" t="inlineStr">
        <is>
          <t>煉瓦塀(6%)；煉瓦壁(3%)；煉瓦色(2%)；煉瓦積み(2%)；煉瓦工場</t>
        </is>
      </c>
      <c r="E8911" t="inlineStr">
        <is>
          <t>磚；甎</t>
        </is>
      </c>
      <c r="F8911" t="inlineStr">
        <is>
          <t>赤い煉瓦；高い煉瓦；古い煉瓦；煉瓦建て；煉瓦製</t>
        </is>
      </c>
      <c r="G8911" t="inlineStr">
        <is>
          <t>煉瓦亭；煉瓦女工；煉瓦倉庫；煉瓦餅；煉瓦倉庫レストラン</t>
        </is>
      </c>
      <c r="H8911" t="n">
        <v>29</v>
      </c>
      <c r="I8911" t="inlineStr">
        <is>
          <t>これらは広島に現存する貴重な明治時代の洋風煉瓦建築の資料でもある。；さっき通りすがりに見た、煉瓦の山は、その為に用意されてあったのだ。；床と地面は同じ高さで、壁には石や練り土や粘土、煉瓦の家が使われた。；例の煉瓦の扉が音もなく開いて、その闇の中から黒い影が現われた。；大正時代に作られた煉瓦作りの当時の趣のまま現在も利用されている。；最終的に1877年までかかって煉瓦街の計画は完了したとされた。；当時の建設工事中の聖堂の煉瓦は全てフランスから運んできたものである。；湿気は煉瓦壁を通って放射し、壁と外壁の間の空間を通って排出された。；建設の主要な素材には、いわゆる赤いゴシック煉瓦が用いられていた。；橋脚は石を一部に使った煉瓦積みで内部にはコンクリートを詰めていた。；また工場、煉瓦家屋、木造住居の順に被害が大きくなる傾向が見られた。；外観は従来の煉瓦調の外観から白と灰色を基調とした外観に改修された。；もともとの建物に使用された煉瓦はできるだけ再利用された。；しかし、煉瓦を構造に用いた建物は関東大震災で大きな被害を受けた。；さらに明治時代には粘土を利用して煉瓦の製造が鍋倉地区で行われていた。；ラズドルネンスキー建材は地区の大きな企業の一つで煉瓦を製造している。；古代ローマでは壁の内部を煉瓦、外側の見える部分を石造とする例が多い。；ヴェンタ滝を少し下ったところには19世紀後半に作られた煉瓦の橋がある。；観客席もすぐに設けられ、煉瓦の色からオレンジ・ボックスと称された。；白い化粧煉瓦を張った長い塀が、いかにも澄んだ冬の空気を映していた。；明治時代の開拓当時に行われた煉瓦づくりに起源があるとされている。；全ての窓が煉瓦で塞がれていたが、なんとか正面ホールへの突入に成功した。；鉄水母の上に、幾千幾万という煉瓦が、一度に滝のように落ちかかった。；取り壊された後に煉瓦で出来た翼廊と新しいアプス部分が建築された。；ほか、オランダ製煉瓦の使用や内部に柱が見えない等の特徴がある。；その煉瓦は現在門上に残され、建設の精確性をいまに伝えている。；町の教会に使われていた煉瓦が、兵士を収容する建物の暖炉や煙突に使われた。；もしも煉瓦を使うならば地中に固定してセメントで覆わなければならない。；石や煉瓦で建造されることもあるが、土木工事で済ませることが多い。</t>
        </is>
      </c>
      <c r="J8911">
        <f>HYPERLINK("https://www.weblio.jp/content/煉瓦", "词义详情")</f>
        <v/>
      </c>
      <c r="K8911">
        <f>HYPERLINK("https://yourei.jp/煉瓦", "查看例句")</f>
        <v/>
      </c>
    </row>
    <row r="8912">
      <c r="A8912" t="inlineStr">
        <is>
          <t>連休</t>
        </is>
      </c>
      <c r="B8912" t="inlineStr">
        <is>
          <t>成功</t>
        </is>
      </c>
      <c r="C8912" t="inlineStr">
        <is>
          <t>読み方：れんきゅう
休みの日が続くこと。また、その休日。「飛び石—」</t>
        </is>
      </c>
      <c r="D8912" t="inlineStr">
        <is>
          <t>連休中(9%)；連休明け(8%)；連休前(3%)；連休時；連休期間</t>
        </is>
      </c>
      <c r="E8912" t="inlineStr">
        <is>
          <t>休み；休日；休暇；お休み；バカンス</t>
        </is>
      </c>
      <c r="H8912" t="n">
        <v>29</v>
      </c>
      <c r="I8912" t="inlineStr">
        <is>
          <t>あなたは7月の連休に他町に住む妹の家に行くために車に乗ります。；皮肉なことに、連休が終わった六日の天気は、雲ひとつない快晴だった。；連休の最後の日になって、紗枝子はとうとう美瀬島へ帰ることにした。；連休なのに人がたくさんいて、こっちにぶつかってきそうな勢いで歩いていた。；休日や連休になると連日車の渋滞が起きるなど多くの客で賑わっていた。；日本中の人間が遊んでいる連休の中日、しかもその日は日本晴れだった。；そうでなくても、連休前ですから、資金需要の高い時期だというのに。；よって、この連休中に、5話と6話が一日おきで放送されることとなった。；でも連休をすぎたころからは、由実はイベントホールのことを言わなくなった。；すぐそばまで迫った連休が、みんなのテンションを上げているのだ。；五月の連休ともなると、玉倉神社も山を楽しむ人々の参拝が増えてくる。；五月の連休中には六川集落に東京ナンバーの車が何台か入ってきた。；そうして普段通りの仕事をこなす毎日が過ぎて、待ちに待った連休がやってきた。；明日から三連休だというのに、その間の約束もしていない。；少林寺のけいこも出来ないので、連休におばあさんの家へ行くことにした。；連休前までそれを病気と考えていなかった僕は、有効利用できる場面があるなら使うべきだと思っていたのだ。；連休明けの火曜日には風間さんが帰国して、僕たち個々に電話をしてきた。；鷲尾が、江美と由加利が連休に壱岐へ行くことになった経緯に質問を進めた。；土・日・祝日や連休などの繁忙期には1両増結して3両編成で運行される。；まだ連休の気分を引きずっているのと、何よりも紅葉のシーズンだからだろう。；彼がやって来たのは、春の連休に入る直前のことだった。；連休前や台風接近時など臨時に全国の予報と週間予報を伝えることもある。；連休で観光客が増える前には帰りたいと申しておりましたが、あてにはなりません。；それでも連休最後の日、ぼくは母親と一緒に、学校に呼ばれた。；五月の連休が終わり、夏休みまで、もう大したイベントは待っていない。；「連休の間、警戒しよう」 と、十津川は、部下の刑事たちに、いった。；でも連休に入ったからって、ここでうろつく理由ってなんなんだろう。；大きな数字のつく特急は、全て、今度の連休のための臨時列車である。；連休だし、観光客が沢山来ているだろうと思っていた先入観が邪魔したらしい。</t>
        </is>
      </c>
      <c r="J8912">
        <f>HYPERLINK("https://www.weblio.jp/content/連休", "词义详情")</f>
        <v/>
      </c>
      <c r="K8912">
        <f>HYPERLINK("https://yourei.jp/連休", "查看例句")</f>
        <v/>
      </c>
    </row>
    <row r="8913">
      <c r="A8913" t="inlineStr">
        <is>
          <t>連携</t>
        </is>
      </c>
      <c r="B8913" t="inlineStr">
        <is>
          <t>成功</t>
        </is>
      </c>
      <c r="C8913" t="inlineStr">
        <is>
          <t>読み方：れんけい
［名］(スル)互いに連絡をとり協力して物事を行うこと。「他団体と—して運動を進める」</t>
        </is>
      </c>
      <c r="D8913" t="inlineStr">
        <is>
          <t>連携協定；連携強化；連携攻撃；連携型；連携事業</t>
        </is>
      </c>
      <c r="E8913" t="inlineStr">
        <is>
          <t>関係；関連；協力；共同；従事</t>
        </is>
      </c>
      <c r="F8913" t="inlineStr">
        <is>
          <t>地域連携；緊密な連携；高大連携；密接な連携；広域連携</t>
        </is>
      </c>
      <c r="G8913" t="inlineStr">
        <is>
          <t>連携中枢都市圏；連携排砂；連携病理診断；連携中枢都市圏構想</t>
        </is>
      </c>
      <c r="H8913" t="n">
        <v>29</v>
      </c>
      <c r="I8913" t="inlineStr">
        <is>
          <t>これらが相互に連携して新たなビジネスモデルを構築している例も多い。；連携中学校から他の高等学校や高等専門学校などへの進学も可能である。；また、新校舎の一部に地域住民との連携拠点となる交流施設を新設する。；大規模な国家連携の試みである国際連盟が設立されたのもこの一環であった。；各学校毎や複数校が連携する形でそれなりにクラブが設けられている。；また、地域連携研究開発機構には以下の4つのセンターが付属している。；連携の名称はそれぞれの技・術などの名前の一部を繋ぎ合わせたものになる。；長らく近隣の湾岸協力会議の参加諸国と連携して国際関係を築いてきた。；世界中の博物館との連携による巡回展計画や国際訓練プログラムがある。；フランス派は、教会と連携を保ちつつ形式的、儀式的なものは排除した。；それらは2010年頃には相互に連携されるようになるとされた。；紹介経由は連携先の病院からの紹介で入院するものをいう。；その為、木村と深い連携関係にあり、互いを擁護する発言を続けていた。；一方で新羅への攻撃では百済は高句麗と連携し、更に倭国とも協力した。；その中において荘氏とははじめは連携し、のちは争って勢力を伸張した。；海兵隊は海軍の艦船で共に勤務するなど、連携した活動を行っている。；しかし、公国軍では異なる機能をもつMSの連携を採用しなかったという。；国軍との連携を重視するヒトラーにとって厄介な存在となりつつあった。；複数の機関が連携しての移植手術プログラムも開発されてきた。；和歌山県内の高等教育機関が連携・協力し、単位互換などを行っている。；そのため、捜査の際には警察や軍との連携を図る場合もある。；試行錯誤により成長したが、民間と連携しないわけにはいかなかった。；実際のプロジェクト実施は、多くの組織や団体、機関などとの連携で行われる。；慶應義塾が設置・運営する学校と連携して小中高大一貫教育を行っている。；この危機に対応して、ASEANは中国、韓国、日本と緊密に連携した。；主に、地域と結びつきの強い高等学校とその地域の中学校が連携して取り組む。；後者は、5Gとの連携で一層実現しやすくなると期待されている。；この他、ICOCAと連携した他のサービスとして下記のサービスがある。；一方でサービスの連携をいかに行うかが重要になる。</t>
        </is>
      </c>
      <c r="J8913">
        <f>HYPERLINK("https://www.weblio.jp/content/連携", "词义详情")</f>
        <v/>
      </c>
      <c r="K8913">
        <f>HYPERLINK("https://yourei.jp/連携", "查看例句")</f>
        <v/>
      </c>
    </row>
    <row r="8914">
      <c r="A8914" t="inlineStr">
        <is>
          <t>連合</t>
        </is>
      </c>
      <c r="B8914" t="inlineStr">
        <is>
          <t>成功</t>
        </is>
      </c>
      <c r="C8914" t="inlineStr">
        <is>
          <t>読み方：れんごう
［名］(スル)
１二つ以上のものが共通の目的のために結び合うこと。「—して共同の敵に当たる」
２心理学で、観念と観念、観念と感情など心的要素の結合、また刺激と反応との結合をいう。
《「日本労働組合総連合会」の略称》平成元年（1989）に発足した労働組合の統一組織。昭和62年（1987）に結成された全日本民間労働組合連合会に総評や官公労組が参加し、官民統一の組織が実現した。</t>
        </is>
      </c>
      <c r="D8914" t="inlineStr">
        <is>
          <t>連合軍(10%)；連合国側(6%)；連合会(4%)；連合艦隊司令部(3%)；連合政府</t>
        </is>
      </c>
      <c r="E8914" t="inlineStr">
        <is>
          <t>一緒；協会；共同；接続；合併</t>
        </is>
      </c>
      <c r="F8914" t="inlineStr">
        <is>
          <t>銀河連合；徳川連合；惑星連合；組合連合；選挙連合</t>
        </is>
      </c>
      <c r="G8914" t="inlineStr">
        <is>
          <t>連合国；連合艦隊；連合国軍；連合会；連合体</t>
        </is>
      </c>
      <c r="H8914" t="n">
        <v>29</v>
      </c>
      <c r="I8914" t="inlineStr">
        <is>
          <t>単位生協での存続は厳しいため、多くの生協は事業連合に加盟している。；すぐに戦場の同志たる連合国のために、と言い直しその場を乗り切った。；このことから広義の最小勝利連合の理論は妥当性を持つと言えるだろう。；この場合中道右派と中道左派の二つの主要な連合に分かれることが多い。；この時点では緩やかな政治連合を形成していたと考えられている。；全国茶生産団体連合会に加盟している団体の北限も茨城県と新潟県である。；市内のすべての教会組織は一つの統一連合を形成していた。；その機体構造や兵装の構成から、連合製MSの基礎となった機体と言える。；このように連合艦隊司令部は、南雲機動部隊の作戦に不満を抱いていた。；連合諸国にいわゆる民主主義はドイツ至上主義に反対する立場である。；この番号は、交通連合などが発行する時刻表にも、共通して使用されている。；これは徳川・北条連合と対立する上杉・羽柴陣営への参加に他ならない。；古義真言宗系宗派は、古義八派となり、古義八派連合制度を組織した。；このとき、連合大統領は3島から輪番制で任命されることとなった。；並行して浅井方の横山城を陥落させつつ、織田・徳川連合軍は勝利した。；国際数学連合は、連合の業務を行う実行委員会によって運営されている。；このうち4日に開催された世界平和頂上連合総会に出席しスピーチした。；イギリス経験論では、視覚は他の感覚入力との連合によって説明された。；また、同作では後に一般の連合兵が搭乗する機体も登場した。；しかしこの作戦は事前に「M作戦」の名で連合及びOZに察知されていた。；まず広義の最小勝利連合の理論に従って、政権成立の過程を予測してみる。；日中戦争を戦っていた日本は英米など連合国との全面戦争に突入した。；作戦中止に対し連合艦隊司令部から作戦再興の指示は出されなかった。；この状況下で連合艦隊司令部も栗田艦隊も時間調整の指示は一切していない。；彼らにできる連合軍への最後の抵抗だった。；のち、金官国がこの地域の盟主となり、それぞれの国家の連合をつくった。；また長宗我部元親・佐々成政・雑賀衆とも結び連合して羽柴家と戦った。；この結果、A党とD党の連立という最小勝利連合が成立することになる。；結局、連合が協力してくれたので、5000万円は使わなくて済んだ。</t>
        </is>
      </c>
      <c r="J8914">
        <f>HYPERLINK("https://www.weblio.jp/content/連合", "词义详情")</f>
        <v/>
      </c>
      <c r="K8914">
        <f>HYPERLINK("https://yourei.jp/連合", "查看例句")</f>
        <v/>
      </c>
    </row>
    <row r="8915">
      <c r="A8915" t="inlineStr">
        <is>
          <t>連日</t>
        </is>
      </c>
      <c r="B8915" t="inlineStr">
        <is>
          <t>成功</t>
        </is>
      </c>
      <c r="C8915" t="inlineStr">
        <is>
          <t>読み方：れんじつ
幾日も続くこと。引き続いて毎日。「—の猛練習」「—連夜」</t>
        </is>
      </c>
      <c r="D8915" t="inlineStr">
        <is>
          <t>連日連夜(5%)；連日放送；連日報道；連日満員；連日行わ</t>
        </is>
      </c>
      <c r="F8915" t="inlineStr">
        <is>
          <t>連日徹夜；連日雨；連日空襲；連日続く；連日掲載</t>
        </is>
      </c>
      <c r="H8915" t="n">
        <v>29</v>
      </c>
      <c r="I8915" t="inlineStr">
        <is>
          <t>連日のように何千人もの人が送り込まれてきて残忍に殺されていったのだ。；残された彼の家には借金取りが連日のように押しかけてくるようになった。；この当時の経緯は、業界紙や経済紙にて連日のように掲載されていた。；また、最終回のストーリー内容は連日会議を重ねて二転三転したという。；連日続いた吹雪が原因とされ、推定樹齢は1000年以上とされている。；サーフィン好きな彼女は、自宅近くの海岸で連日波に乗る生活を送っていた。；また、ヤンゴンの大学や中央銀行の付近でも、連日抗議が行われている。；連日に渡り雨が降り、航空支援を得られないイラク軍は苦戦を強いられた。；連日何千人もの人が送り込まれてきて残忍に殺されていったのだ。；彼によれば政府はフランスの病院機能を連日のように取り締まりすぎているという。；休日や連休になると連日車の渋滞が起きるなど多くの客で賑わっていた。；ローマ軍は数には勝っていたが、兵士は連日の小競り合いで疲労していた。；連日の戦闘の中、ひとり、またひとりとクラスメイトたちが戦死していく。；もちろん小料理屋や居酒屋もあって連日のように朝まで賑わっていた。；連日、新聞の一面を飾り松本市で起きた出来事の中でもっとも重大なものである。；Aへの事情聴取は同月11日を除いて14日まで連日のように行われた。；実験期間中、平和通で様々なイベント・アトラクションが連日開催された。；連日、懸命の整備を続けて、8月上旬には試験電波を出すことができた。；フォーラムは非常に巨大で連日多くのユーザーが議論している。；就任以降、土・日も含め連日記者会見を行うなど積極的な情報発信を行った。；キャンベラでは乗組員の大半が連日の対空戦闘や戦闘配置で疲れ切っていた。；世界中の人々の注目の場所となり連日のように武漢市の状態が国際報道で扱われる状態となった。；敵軍と連日に渡って争うと、遂にこれを撃破して大半の兵を討ち取った。；流派を超えて形を統一することは難航を極め、連日熱烈な討論が続いた。；この曲は日本でもディスコで連日流されるほどの大ヒットとなる。；連日のように、著名なアーティストのコンサートや演劇が催される。；主要都市で連日大規模なデモを実行するといった計画が話し合われた。；東三河地域では、量が多く安いことで、連日たくさんの買い物客がいる。；中国中央気象台は段階で最も深刻な赤色の高温警報を連日発令している。</t>
        </is>
      </c>
      <c r="J8915">
        <f>HYPERLINK("https://www.weblio.jp/content/連日", "词义详情")</f>
        <v/>
      </c>
      <c r="K8915">
        <f>HYPERLINK("https://yourei.jp/連日", "查看例句")</f>
        <v/>
      </c>
    </row>
    <row r="8916">
      <c r="A8916" t="inlineStr">
        <is>
          <t>練習</t>
        </is>
      </c>
      <c r="B8916" t="inlineStr">
        <is>
          <t>成功</t>
        </is>
      </c>
      <c r="C8916" t="inlineStr">
        <is>
          <t>読み方：れんしゅう
［名］(スル)技能・学問などが上達するように繰り返して習うこと。「英文タイプを—する」「バッティング—」「—問題」
→訓練［用法］</t>
        </is>
      </c>
      <c r="D8916" t="inlineStr">
        <is>
          <t>練習用(2%)；練習機；練習生；練習拠点；練習場</t>
        </is>
      </c>
      <c r="E8916" t="inlineStr">
        <is>
          <t>実際；教育；実行；習慣；慣れ</t>
        </is>
      </c>
      <c r="F8916" t="inlineStr">
        <is>
          <t>発声練習；練習所；厳しい練習；練習風景；練習施設</t>
        </is>
      </c>
      <c r="G8916" t="inlineStr">
        <is>
          <t>練習生；練習試合；練習機；練習中；練習艦</t>
        </is>
      </c>
      <c r="H8916" t="n">
        <v>29</v>
      </c>
      <c r="I8916" t="inlineStr">
        <is>
          <t>準備が足りず、自分だけのために練習しているような印象を受けました。；苦労した練習の成果で本番では誰一人失敗したレギュラーはいなかった。；シューマンが家で作曲しているときにはクララはピアノの練習を控えた。；ロシアの自宅では、アップライトピアノで練習していたといわれている。；そこでエルヴィスはテレビを見ながらベースを練習してくつろいでいた。；これらの施設は多くのトップアスリートが練習会場として利用している。；一般的には、指揮の練習や楽曲の予習にはピアノなどの鍵盤楽器を使う。；主人が練習に疲れて家に帰って来て、もう音は聞きたくないという。；練習飛行を始めるには航空身体検査のみで操縦練習許可証が発行される。；ジョアンのギターを練習する時間は妻も驚くほど長時間にわたったという。；更にその他には球団全体の練習場と合宿所が追浜公園内に設けられている。；番組は、セレッソ大阪の前週末の試合や練習の模様をリポートしていた。；ブラック・ジャックから発声練習をしたほうがいいといわれることがある。；どうしてもビブラートが入らず硬い感じになる場合は練習する場合がある。；いずれにせよ練習から手を抜くようなことはまずしないと言える。；各キャラには好感度が設定されており、一緒に練習する事などで上昇する。；また、キャンプに練習生として参加していた西村卓朗と契約を締結した。；学校では、校内合唱コンクールに向けてクラスごとに練習に励んでいた。；段級位制や色帯制が導入されると同時に、練習体系の合理化も進んだ。；こうしたことは、長い時間かけて練習すれば、簡単にできるようになります。；その後は航空機輸送艦や練習艦として使用され、1967年に解体された。；そして一週間の練習の後、スタジオで競技を披露し、成功すれば賞品獲得。；偉業の一つに、オペラの練習場と学生オーケストラの設立が挙げられる。；合宿所と練習グラウンドは、狭山チームのものを使用することになった。；毎年一緒に練習をしていて、今も勉強のために自主トレを見させてもらっている。；他の生徒達もナンパや謝恩会で行うパフォーマンスの練習に余念がない。；記事の書き方を読んでから、実際にサンドボックスで練習してみましょう。；それがまた自身の練習にもなり、レベルも知らず知らずのうちに上がっていったのである。；限られた時間の中でがむしゃらに練習を重ねる富士夫と家族の絆を描く。</t>
        </is>
      </c>
      <c r="J8916">
        <f>HYPERLINK("https://www.weblio.jp/content/練習", "词义详情")</f>
        <v/>
      </c>
      <c r="K8916">
        <f>HYPERLINK("https://yourei.jp/練習", "查看例句")</f>
        <v/>
      </c>
    </row>
    <row r="8917">
      <c r="A8917" t="inlineStr">
        <is>
          <t>連想</t>
        </is>
      </c>
      <c r="B8917" t="inlineStr">
        <is>
          <t>成功</t>
        </is>
      </c>
      <c r="C8917" t="inlineStr">
        <is>
          <t>読み方：れんそう
［名］(スル)
１ある事柄から、それと関連のある事柄を思い浮かべること。また、その想念。「雲を見て綿菓子を—する」
２心理学で、ある観念の意味内容・発音・外形の類似などにつれて、他の観念が起きてくること。観念連合。→連合2</t>
        </is>
      </c>
      <c r="D8917" t="inlineStr">
        <is>
          <t>連想させる(31%)；連想する(8%)；連想される(5%)；連想作用；連想コンピューター</t>
        </is>
      </c>
      <c r="E8917" t="inlineStr">
        <is>
          <t>聯想；アソシエーション</t>
        </is>
      </c>
      <c r="F8917" t="inlineStr">
        <is>
          <t>妙な連想；突飛な連想；連想診断；連想リスト；連想飛躍</t>
        </is>
      </c>
      <c r="G8917" t="inlineStr">
        <is>
          <t>連想ゲーム；連想メモリ；連想検索；連想式漢字直接入力；連想変換</t>
        </is>
      </c>
      <c r="H8917" t="n">
        <v>29</v>
      </c>
      <c r="I8917" t="inlineStr">
        <is>
          <t>また、様々なデザインが存在するが、どれも死を連想させるものであった。；彼は暗殺されないために最高権力者を連想させる振る舞いを極力避けた。；一般に「土偶」といえばこの型のものが連想されるほど有名な型である。；一部の言葉は現実のものから連想しやすい形へ差し替えた形で使用されている。；たまたま名称に含まれている cockからの連想によると考えられている。；味噌のどろりとした見た目が沼田を連想させることからこの名がついた。；これは、ハムバッカーといえばギブソン社が連想されるのと同様である。；また、漢江の古称のひとつである阿利水を連想させる意味もあるという。；全体的に特撮ヒーローや怪獣映画を連想させるような演出が多いのが特徴。；おそらく一般的な表現手法からの自然な連想によるものと思われる。；この反ユダヤ的な連想は、ソビエト・ロシアでは現代に至るまで続いた。；先端に胃部を持つ長い口柄が唐傘を連想させるためこの名がついた。；船や航海を連想させるものとして、シンボル的に用いられることも多い。；こうした赤色は血液を連想させてしまい消費者に敬遠されることもある。；これには、イギリスのマーテロー塔を連想させる円筒型の砦を含んでいた。；理由は彼の上半身の肉体を見た岡野が範馬刃牙を連想したためである。；その内大本営や陸軍中央では長と言えば鑿岩機が連想されるほど有名となった。；その姿はどこか悪魔を連想させ、顔面は泣きの表情を浮かべているように見える。；形態のみの連想のため、本属の構成種が毒を持っているというわけではない。；頭蓋骨をあしらったジャケットなど、死を連想させる作品となっている。；第一次世界大戦で登場した「総力戦」の用語の連想から生まれたとされる。；そのため、戦闘前後および勝利メッセージには病気の際の手術を連想させるものがある。；遠い広島のことを連想させるシーンは作品の中盤まで一切ない。；投球時の広げた両腕がコンドルの翼を連想させるため呼ばれるようになった。；私は彼を見るたびに、ある光景を連想せずにはいられない。；その趣は即興的であり、後に書かれた作品55-2の作品を連想させる。；故に地元の者らが和歌山の中華そばといえば、この味を連想する者が多い。；色は空を連想させる青系統のものが多く用いられる。；アレンジもベルや鐘の音など冬を連想させる音を多く入れてもらったという。</t>
        </is>
      </c>
      <c r="J8917">
        <f>HYPERLINK("https://www.weblio.jp/content/連想", "词义详情")</f>
        <v/>
      </c>
      <c r="K8917">
        <f>HYPERLINK("https://yourei.jp/連想", "查看例句")</f>
        <v/>
      </c>
    </row>
    <row r="8918">
      <c r="A8918" t="inlineStr">
        <is>
          <t>連続</t>
        </is>
      </c>
      <c r="B8918" t="inlineStr">
        <is>
          <t>成功</t>
        </is>
      </c>
      <c r="C8918" t="inlineStr">
        <is>
          <t>読み方：れんぞく
［名］(スル)
１切れ目なく続くこと。また、続けること。「不祥事が—する」「三日—」
２数学で、関数f（x）で定義域内の点aにxが近づくときの極限値が存在し、f（a）に等しいとき、f（x）はx＝aで連続であるという。</t>
        </is>
      </c>
      <c r="D8918" t="inlineStr">
        <is>
          <t>連続的(3%)；連続出場(2%)；連続優勝；連続本塁打；連続当選</t>
        </is>
      </c>
      <c r="E8918" t="inlineStr">
        <is>
          <t>流れ；継続；引き続き；一連；存続</t>
        </is>
      </c>
      <c r="F8918" t="inlineStr">
        <is>
          <t>作連続；場所連続；シーズン連続；季連続；ヶ月連続</t>
        </is>
      </c>
      <c r="G8918" t="inlineStr">
        <is>
          <t>連続性；連続殺人；連続的；連続テレビ小説；連続立体交差</t>
        </is>
      </c>
      <c r="H8918" t="n">
        <v>29</v>
      </c>
      <c r="I8918" t="inlineStr">
        <is>
          <t>攻撃権を得たチームは、当初4回連続のプレーを行う権利が与えられる。；ガソリンスタンドが設置されている休憩施設が連続している例は珍しい。；さらに連続的な取引が可能で、市場は完全市場であることを仮定している。；この後も急カーブが連続するために列車はスピードを落として走行する。；定義より、ある関数が区間 上一様連続ならばそれは 上連続でもある。；ただし一気に体力ゲージの半分以上を奪うような連続技はほとんどない。；工業地帯は昭和中期以降に周辺都市と実質的に連続するようになった。；そのためトンネルが連続し、谷となる箇所に駅が設けられている。；総和型と似ているが、規則や状態が離散値ではなく連続な値を用いる。；開区間 上の任意の点 で が連続であるとき、 は 上連続であるという。；両賞を連続受賞した作家は今のところカードしかいない。；連続して変化する絵や物により発生する仮現運動を利用した映像手法である。；通常、連続値をとる確率変数の分布は確率密度関数を用いて記述される。；乱層雲が発達し、ある程度連続した雨が降りやすいが、その降り方は弱い。；魂はそれ自身を進化の中で連続する形態と自己同一化している。；ただし、角の大きさには個体差があり、体格に比例して連続変化を示す。；またグルジア語には2つ以上の子音が連続した子音連結が多く存在する。；戦国時代の連続した戦いは、兵法と技術の急速な発展をもたらした。；近年は人口減少傾向にあったが、2013年から連続で増加に転じている。；なお、ホームの番号は連続しておらず、管理社ごとに1番線から振っている。；その内容は「成功した」と三回連続したものであり、反復送信していた。；県境を跨いで市街地が連続し、一体化した人口集中地区を形成している。；上記の定義は、ひとつの連続する過程として説明することができる。；この区間は開通時点で日本最長の新直轄区間が連続する区間だった。；音楽等の芸術も、趣味や家庭との連続的なつながりを持っている。；それと同時に、連続出場をサポートしてくれたトーリ監督に感謝の意を示した。；これは動画が実は静止画のフレームの短い連続で作られているのと似ている。；その代わりにあるのは連続した音楽の流れである。；この場合の確率を全て表すには、全ての連続区間での確率を求めることになる。</t>
        </is>
      </c>
      <c r="J8918">
        <f>HYPERLINK("https://www.weblio.jp/content/連続", "词义详情")</f>
        <v/>
      </c>
      <c r="K8918">
        <f>HYPERLINK("https://yourei.jp/連続", "查看例句")</f>
        <v/>
      </c>
    </row>
    <row r="8919">
      <c r="A8919" t="inlineStr">
        <is>
          <t>連帯</t>
        </is>
      </c>
      <c r="B8919" t="inlineStr">
        <is>
          <t>成功</t>
        </is>
      </c>
      <c r="C8919" t="inlineStr">
        <is>
          <t>読み方：れんたい
［名］(スル)
１二つ以上のものが結びついていること。「—感」
「奥山の話は榛野(はんの)という男の事に—して出るのが」〈鴎外・ヰタ‐セクスアリス〉
２二人以上の者が共同である行為または結果に対して責任を負うこと。「—して事に当たる」</t>
        </is>
      </c>
      <c r="D8919" t="inlineStr">
        <is>
          <t>連帯感(5%)；連帯意識(5%)；連帯性(2%)；連帯関係；連帯輸送</t>
        </is>
      </c>
      <c r="E8919" t="inlineStr">
        <is>
          <t>一揆；団結；結束；一致団結；連帯意識</t>
        </is>
      </c>
      <c r="F8919" t="inlineStr">
        <is>
          <t>社会連帯；奇妙な連帯；アジア連帯；社会的連帯；国際的連帯</t>
        </is>
      </c>
      <c r="G8919" t="inlineStr">
        <is>
          <t>連帯責任；連帯して；連帯保証人；連帯保証；連帯債務</t>
        </is>
      </c>
      <c r="H8919" t="n">
        <v>29</v>
      </c>
      <c r="I8919" t="inlineStr">
        <is>
          <t>それは農民出身者の多い諸隊の兵士と農民との連帯があったからだ。；二人はいつの間にか敵城の中の捕虜同士のような連帯感をもっていた。；まあ、それも消費者へのアピールと仲間との連帯には有益だったんです。；今まで家族の連帯を保つために努力して来たことが、その証拠ではないか?；組織レベルではカタルーニャのいくつかの自治体が連帯する動きを見せた。；会議の最初の成果は、アジア・アフリカ諸国の連帯評議会の創設であった。；彼らの連帯を息子と娘を結婚させてさらに強化させようとした。；絵の中で、三兄弟は戦いに向けて、連帯とローマへの忠誠を示している。；カイロのアジアアフリカ人民連帯会議に次の国から607人が参加した。；互いに気の知れた者同士の連帯を感じ、オージェは悪い気分ではなかった。；土地法はによる連帯所有を認めず、少数の者のみによる所有を強制した。；連帯の概念は でも言及されているが、明確に定義されていない。；同情しないこともないが、この女性と連帯意識を持つわけにはいかないと思った。；ハンナラ党の党内改革勢力の中心的な未来連帯と需要会代表を務めた。；フランス系カナダ人は大半がフランスによる連帯の呼びかけを無視した。；そして事実、俺達には他のいかなる仲間にも負けぬ連帯があった。；鉱夫の家族の連帯と全国民の信頼が不可能を可能にしたように見える。；だんじり祭に代表される産土神を中心とした村の連帯が今も残る地区が多い。；警官たちの連帯意識を思えば別に不思議なことではなかった。；最初、バラバラに見えた男たちの間に、かすかな連帯感が生じている。；当初の約束にもかかわらず、ロシアとドイツの連帯は1913年に崩壊した。；目の前に見える教会に彼は悩み、苦しむが、その教会と彼は連帯している。；天皇と国民との間の関係を階級的な緊張関係ではなく、連帯関係にあることを強調している。；IBEXエアラインズはANAとの間でのみ連帯輸送契約を締結している。；強力な連帯感を持ち、その在り方は軍隊というより獣の群れと言った方が正しい。；これらの「連帯の日」に、対象国をテーマにしたポスターが発行される。；アダムズは13植民地を連帯させるために必要な地道な仕事をやり続けた。；このような独立化は併しやがてかの連帯性の回避を意味する。；しかし途中入団のせいか、他の選手との連帯が悪く、思う様な活躍が出来なかった。</t>
        </is>
      </c>
      <c r="J8919">
        <f>HYPERLINK("https://www.weblio.jp/content/連帯", "词义详情")</f>
        <v/>
      </c>
      <c r="K8919">
        <f>HYPERLINK("https://yourei.jp/連帯", "查看例句")</f>
        <v/>
      </c>
    </row>
    <row r="8920">
      <c r="A8920" t="inlineStr">
        <is>
          <t>連中</t>
        </is>
      </c>
      <c r="B8920" t="inlineStr">
        <is>
          <t>成功</t>
        </is>
      </c>
      <c r="C8920" t="inlineStr">
        <is>
          <t>読み方：れんじゅう
１「れんちゅう（連中）1」に同じ。
２音曲などの一座の人々。「長唄—」</t>
        </is>
      </c>
      <c r="D8920" t="inlineStr">
        <is>
          <t>連中ともども；連中なんだろう；連中めがけ；連中来り；連中ぜんぶ</t>
        </is>
      </c>
      <c r="E8920" t="inlineStr">
        <is>
          <t>グループ；仲間；派；集団；党</t>
        </is>
      </c>
      <c r="F8920" t="inlineStr">
        <is>
          <t>そういう連中；そんな連中；こういう連中；てる連中；こんな連中</t>
        </is>
      </c>
      <c r="H8920" t="n">
        <v>29</v>
      </c>
      <c r="I8920" t="inlineStr">
        <is>
          <t>Aの家へ私が着いたときは偶然新らしく東京へ来た連中が来ていました。；こいつのおかげでどれだけいろんな連中から非難されてきたことだろうか!；あのばかな連中には、いいたいことをいわせて置くより他に仕様はない。；連中は何もすることが無く、ただ秋が来て飢饉になるまで待つしかない。；管制室に入った連中は、内部が消毒されているのを見て慌てて出てきた。；連中の友人だろう、助けが必要になるまで待っているのだろうと思われた。；だが、残った連中は、他の者からは、すっかり馬鹿にされているんだね。；学校ではクラスの人気者連中に媚を売っていて、ますます嫌われている。；そのためここで働き、連中と苦労をともにし、新しい橋を造っています。；君だけはそう云う軟弱な知識階級の若様連中と同列に置きたくないんだ。；下に集っていた連中はその鞄が下りてくるのを興味ぶかく見守っていた。；その上、僕の詩の鍵を握った連中は、概して僕を外界から守ってくれた。；連中は臆病なものですから、外国人であるあなたをまずよこしたのです。；獅子王札は別の団体の者が獲得したが太平号の連中に強奪されてしまう。；実際、僕だけじゃなく、若い連中からもかなり不満が出ていましたね。；最も偉大な男がメディアの連中がどんなものか見せてやったまでだ。；あの編集部の連中はなぜかそう誤解してますけど、それは違うのです。；この連中は赤とか黄とか温い色の野菜ならば、何でも及第させるのです。；が、ここへ来ている連中の中には、一人も洋服を着ているものがない。；連中は連中なりに気さくですが、あなたの育った環境と違うでしょう?；しかし、そこにいた自分たちの連中には、一人もそれを知っている者がない。；その男は、その瞬間、ほかの連中よりも重要そうな人間に見えたのであった。；連中のばかげた迷信なんて分りませんし、誰にも助けを求められません。；だから弦の連中は、前田さんの姿を見てちょっと困った顔をしてましたね。；よく知りもしないことを使って称賛されたがる連中に私はうんざりなんです。；凡そ、僕が知つてゐる酒党連中の経路は、以上の通りになつて行くのだ。；今知りたいのは、どんな方法で上階の悪党連中が情報を得ているかだ。；一般に、連中が危険なのは陰からであり、正面からじゃありません。；連中は、自分自身でもまったくわからないことを言っているのだ。</t>
        </is>
      </c>
      <c r="J8920">
        <f>HYPERLINK("https://www.weblio.jp/content/連中", "词义详情")</f>
        <v/>
      </c>
      <c r="K8920">
        <f>HYPERLINK("https://yourei.jp/連中", "查看例句")</f>
        <v/>
      </c>
    </row>
    <row r="8921">
      <c r="A8921" t="inlineStr">
        <is>
          <t>レントゲン</t>
        </is>
      </c>
      <c r="B8921" t="inlineStr">
        <is>
          <t>成功</t>
        </is>
      </c>
      <c r="C8921" t="inlineStr">
        <is>
          <t>読み方：れんとげん
［1845〜1923］ドイツの物理学者。1895年、真空放電の研究中に不透明体を通過する未知の放射線を発見し、X線と名づけた。1901年第1回ノーベル物理学賞受賞。</t>
        </is>
      </c>
      <c r="D8921" t="inlineStr">
        <is>
          <t>レントゲン検査(10%)；レントゲン室(8%)；レントゲン装置(2%)；レントゲン科(2%)；レントゲン像</t>
        </is>
      </c>
      <c r="F8921" t="inlineStr">
        <is>
          <t>殺人レントゲン；レントゲン通り；レントゲン画；レントゲン照射</t>
        </is>
      </c>
      <c r="G8921" t="inlineStr">
        <is>
          <t>レントゲン撮影；レントゲン技師；レントゲン線；レントゲン車；レントゲン藝術研究所</t>
        </is>
      </c>
      <c r="H8921" t="n">
        <v>29</v>
      </c>
      <c r="I8921" t="inlineStr">
        <is>
          <t>いくつかのレントゲンが、いくつかの部屋で活動をしているのである。；私はレントゲン台を離れてたばこに火をつけ、考えをまとめようとした。；レントゲン室から出ると木曜会の一行は、食堂へ案内されることになった。；また、カバン本体にはレントゲンカメラや顕微鏡の機能も付属している。；レントゲン仲間で朝夕投げ合っていた短い言葉が次々頭に浮かんだ。；しかもお前はレントゲンのようにあらゆるものを滲透して来るのだ。；しかもお前はレントゲンのやうにあらゆるものを滲透して来るのだ。；レントゲンがエックス線を発見したのは一八九五年の末であった。；私はこの男の肉眼までが、レントゲンで出来ているのじゃないかと疑った。；レントゲンで骨の突起が認められることもあるが、痛みの原因とは限らない。；その一定量とは、毎日連続で、一日量〇・二レントゲン単位である。；不幸にしてぼくの目はレントゲンのように中を見透せないんです。；年に二度、バリウムをのみ、レントゲンはとるがほかのことは何もしない。；レントゲンを初めて日本に輸入したのもシュミット商会であると言われている。；ボールベアリングは被害者の体内にあるのがレントゲンで確認されている。；もう一度レントゲンでみるから二十六日に来いといわれて木札をもらう。；レントゲン室の男が口にした日曜日は、どちらの日を指すのか問題じゃないかね。；田村のレントゲン像は、あの男のものとは一致しないことが確実だ。；病院ですぐレントゲンをとってもらったら、幸いにも骨にはキズはなかった。；救助隊が到着した時には、500レントゲン/時の放射線を出していた。；この頃からレントゲンは独立して実験を行うようになる。；レントゲンとかじゃ判らないような脳の傷があるんじゃないですか。；そして柴博士と約束したレントゲン検査にも行かずにしまった。；「今、服を着ています」 と、医師はレントゲン室の方を振り返った。；レントゲン室のすみに、気を失った看護婦がどろ人形のように打ち倒れていた。；操作中のレントゲンの器械の音を聞いたことがあるだろうか?；ところが、レントゲンというのは、人間の名前だというから腹が立つ。；いまの大統領を注意して、選挙演説のときそっとレントゲンをかけるのですな。；夫は納得できなかったらしく、無理にレントゲンを撮ってもらった。</t>
        </is>
      </c>
      <c r="J8921">
        <f>HYPERLINK("https://www.weblio.jp/content/レントゲン", "词义详情")</f>
        <v/>
      </c>
      <c r="K8921">
        <f>HYPERLINK("https://yourei.jp/レントゲン", "查看例句")</f>
        <v/>
      </c>
    </row>
    <row r="8922">
      <c r="A8922" t="inlineStr">
        <is>
          <t>連邦</t>
        </is>
      </c>
      <c r="B8922" t="inlineStr">
        <is>
          <t>成功</t>
        </is>
      </c>
      <c r="C8922" t="inlineStr">
        <is>
          <t>読み方：れんぽう
州や共和国などの複数の支分国が、単一の主権の下に結合して形成する国家。各支分国は独自の自治的存在で、その権能は連邦の憲法で規定される。アメリカ・スイス・ドイツなど。連合国家。→複合国家</t>
        </is>
      </c>
      <c r="D8922" t="inlineStr">
        <is>
          <t>連邦道b(4%)；連邦下院議員(4%)；連邦アウトバーン(3%)；連邦上院議員(3%)；連邦議会議員</t>
        </is>
      </c>
      <c r="E8922" t="inlineStr">
        <is>
          <t>国；国家；接続；合併；合流</t>
        </is>
      </c>
      <c r="F8922" t="inlineStr">
        <is>
          <t>アラブ首長国連邦；連邦機関；連邦離脱；連邦派；連邦化</t>
        </is>
      </c>
      <c r="G8922" t="inlineStr">
        <is>
          <t>連邦軍；連邦議会；連邦法；連邦制；連邦裁判所</t>
        </is>
      </c>
      <c r="H8922" t="n">
        <v>29</v>
      </c>
      <c r="I8922" t="inlineStr">
        <is>
          <t>本市は、医療研究・医療製品・医療サービスの連邦首都を目指している。；イギリスおよびその連邦国では、中学・高校・補習校などにも使われる。；現在かつての連邦海軍の港湾施設は民間のスポーツボート場となっている。；首相は連邦議会議員であることを要するが、大統領はこの限りではない。；連邦上院議員と州知事の双方に女性を選出したことでは最初の州になった。；公式の組織になる以前は様々な連邦機関が法の執行を行っていた。；また、アメリカ合衆国の連邦合同委員会が出した定義もよく知られている。；連邦崩壊後も何度か再統合が試みられたが成功していない。；それまで三国が独自に発行していた物に連邦の頭文字の5文字を記載している。；これらを区別せず26州1連邦地区、もしくは27州と言うこともある。；事実上の叛乱ではあるが、連邦中央政府は結局追認せざるを得なかった。；したがって同連邦の州4ヶ所にはそれぞれ独自の文化と伝統が存在している。；正式には連邦領クアラルンプールと称し、中国語では吉隆坡と記される。；大統領以外の記録の処理については連邦記録法で定められている。；連邦のいかなる施設でも女性は自分の子に授乳することができる。；一部ではかつてのように自治権の付与や連邦制への移行といった声もある。；準州は連邦の構成国ではないため、州に比べ以下のような制限がある。；これには一般資金、連邦資金、宝くじ資金などの資金が含まれている。；この連邦の成立は、14世紀ごろと民族学者の間では推測されている。；代わって党幹部会が設置され、その多数を連邦議会議員が占めることになった。；チームは連邦と連携を取りながら職員を派遣し、人的支援を行った。；残存兵力が撤退する時間を稼ぐため、連邦艦隊の中心部へ特攻をかけた。；米国連邦国立研究センターとして次の3つの研究所が設置されている。；旧連邦の具体的な組織の成り立ちや当時の年号については不明である。；現在、より強い自治権と保留地を保証される連邦承認を要求中である。；首都地区は、2000年にそれまでの連邦地区の地域を継承して生まれた。；アフターウォー時代では地球統合連邦政府は旧連邦と呼称されることが多い。；それに加え日々の運営費用も他の連邦刑務所と比べ高額であった。；そこで連邦と州の反トラスト法の競合適用が問題となることがある。</t>
        </is>
      </c>
      <c r="J8922">
        <f>HYPERLINK("https://www.weblio.jp/content/連邦", "词义详情")</f>
        <v/>
      </c>
      <c r="K8922">
        <f>HYPERLINK("https://yourei.jp/連邦", "查看例句")</f>
        <v/>
      </c>
    </row>
    <row r="8923">
      <c r="A8923" t="inlineStr">
        <is>
          <t>連絡</t>
        </is>
      </c>
      <c r="B8923" t="inlineStr">
        <is>
          <t>成功</t>
        </is>
      </c>
      <c r="C8923" t="inlineStr">
        <is>
          <t>読み方：れんらく
［名］(スル)
１関連があること。「一見何の—もない二つの事件」
２気持ちや考えなどを知らせること。情報などを互いに知らせること。また、その通知。「—をとる」「本部に—する」
３二つの地点が互いに通じていること。また、異なる交通機関が一地点で接続していること。「私鉄と—する駅」「—橋」</t>
        </is>
      </c>
      <c r="D8923" t="inlineStr">
        <is>
          <t>連絡する(8%)；連絡通路(3%)；連絡会議；連絡路；連絡艇</t>
        </is>
      </c>
      <c r="E8923" t="inlineStr">
        <is>
          <t>間；関係；手紙；報告；関連</t>
        </is>
      </c>
      <c r="F8923" t="inlineStr">
        <is>
          <t>無線連絡；連絡員；連絡手段；ご連絡；連絡調整</t>
        </is>
      </c>
      <c r="G8923" t="inlineStr">
        <is>
          <t>連絡先；連絡線；連絡運輸；連絡バス；連絡機</t>
        </is>
      </c>
      <c r="H8923" t="n">
        <v>29</v>
      </c>
      <c r="I8923" t="inlineStr">
        <is>
          <t>駅舎とホームを連絡するエレベーターが名古屋寄り端に設置されている。；また、乗車の場合は両駅のホームに設置されている連絡電話を使用する。；これらの症状が出たり消えたりしても、すぐに医師に連絡する必要がある。；各ホームには北側改札と連絡するエレベーターと待合室を設置している。；改札内に両ホームを連絡する通路は存在しないので注意が必要である。；京阪バスが市内だけでなく、空港連絡線や長距離線などを運転している。；駅舎は線路西側にあり、ホームへは府中寄りの構内踏切で連絡している。；駅舎は線路西側の可部寄りにあり、ホームへは構内踏切で連絡している。；駅舎は線路東側にあり、ホームへは可部寄りの構内踏切で連絡している。；下りホーム側に駅舎があり、島式の上りホームへは跨線橋で連絡している。；上りホーム側に面して駅舎があり、下りホームへは跨線橋で連絡している。；駅舎から各ホームへは階段のみで昇り降りが可能な地下道で連絡している。；桜通線と東山線との乗り換えは連絡通路を経由することで可能である。；下りホームと上りホームとは、新山口寄りにある跨線橋で連絡している。；ホームと駅舎の間は階段のほかエレベーターでも連絡している。；駅舎側から加茂方面行ホーム側へは屋根のない跨線橋で連絡している。；構内東側に駅舎があり、下りホームへは江津方の跨線橋で連絡していた。；駅舎は下りホーム側にあり、上りホームへは構内踏切で連絡している。；下りホーム側に駅舎があり、上りホームへは構内踏切で連絡している。；駅舎は線路東側広島寄りにあり、ホームへは構内踏切で連絡している。；駅舎は1番のりば側にあり、その他のホームへは跨線橋で連絡している。；駅舎と改札口は、北西側にあり、各ホームとは構内踏切で連絡している。；駅舎は総社行きホーム側にあり、互いのホームは跨線橋で連絡している。；このため、この間を連絡する高架鉄道の建設が行われることになった。；駅構内にあった階段の一部は博物館への直通連絡口に使われたものがあった。；階段やエスカレーターなどは各改札からそれぞれホームへと連絡している。；駅舎は下りホーム側にあり、反対側の上りホームへは跨線橋で連絡している。；東側南端に小ぶりな駅舎があり、各ホームとは構内踏切で連絡している。；上りホームの中央部に接して駅舎があり、ホーム間は跨線橋で連絡している。</t>
        </is>
      </c>
      <c r="J8923">
        <f>HYPERLINK("https://www.weblio.jp/content/連絡", "词义详情")</f>
        <v/>
      </c>
      <c r="K8923">
        <f>HYPERLINK("https://yourei.jp/連絡", "查看例句")</f>
        <v/>
      </c>
    </row>
    <row r="8924">
      <c r="A8924" t="inlineStr">
        <is>
          <t>連絡先</t>
        </is>
      </c>
      <c r="B8924" t="inlineStr">
        <is>
          <t>成功</t>
        </is>
      </c>
      <c r="C8924" t="inlineStr">
        <is>
          <t>読み方：れんらくさき
その人に連絡をするために必要な、電話番号や住所などのこと。「—を書いたメモを残す」</t>
        </is>
      </c>
      <c r="D8924" t="inlineStr">
        <is>
          <t>連絡先情報；連絡先管理；連絡先等；連絡先一覧；連絡先リスト</t>
        </is>
      </c>
      <c r="H8924" t="n">
        <v>29</v>
      </c>
      <c r="I8924" t="inlineStr">
        <is>
          <t>連絡先やその他のデータの管理と保存にWinFSの機能を使っていた。；お線香でもあげさせてもらいに行こうかと思って、連絡先を聞くために。；連絡先データの交換には vCard と呼ばれる標準形式が使われる。；結婚しているなら、滞在中の連絡先としてホテルを指定するはずがない。；しかしどれだけ調べても電話帳には彼らの連絡先は掲載されていなかった。；翌日、酔った日に酒場の男に連絡先を教えたらしく電話がかかってきた。；今後十年は、そこの店主に、おれの連絡先が常に分かるようにしておく。；ユーザーは互いの連絡先にアクセスできる権限を交換し合うことが出来た。；エリは連絡先どころか、今なにをしているのかさえ教えてくれなかった。；そしていずれの便にも一名ずつ連絡先に存在しない乗客が残った。；その辺りを手がかりにして、祖父の連絡先を探し当ててくれたのだろう。；私がいない時には、私の秘書にあなたの連絡先を伝えておいて下さい。；メンバーとのプライベートでの交流はほとんどなく、連絡先も知らない。；そのため、参加者が連絡先を交換したい相手と交換できない可能性がある。；情報を提供してくれる人たちのために、連絡先の電話番号が印刷してある。；スカウトしてきたのが女性であったため、気を許して連絡先を教えたという。；紛失することもあり得るので、携帯電話には他人の連絡先は一切残さない。；そこで同紙に、名前と連絡先を教えてほしいと伝える記事を掲載した。；でもあの人の紹介で、モデルに予定してた女の子の連絡先がわからないんですよ。；一般乗客の名前や連絡先、その他の必要事項は〝地上〟がつかんでいる。；また、連絡先リストはユーザーの基本情報と共に保存されるとしている。；いつもなら、ちゃんと連絡先を言ってくのに、訊いても返事しないんだもの。；それに六道に連絡をとるためには、まず父親に連絡先をたずねねばならない。；私、次の日帰って来る時に、東京の連絡先、滝上さんにお教えしたんです。；噂では、そこに記されていた連絡先にはかなり問い合わせがあったらしいのだ。；残りの一枚には鹿山家やその経営する学校などの住所や連絡先が記されている。；連絡先などと一緒に、猫がいなくなった日も書いてあって、それはもう十日も前だ。；現地連絡先も記されてあれば、留守宅の連絡先までちゃんと書かれてある。；電話をかけてもらっちゃ困るから、連絡先は、わざと知らせないことにする。</t>
        </is>
      </c>
      <c r="J8924">
        <f>HYPERLINK("https://www.weblio.jp/content/連絡先", "词义详情")</f>
        <v/>
      </c>
      <c r="K8924">
        <f>HYPERLINK("https://yourei.jp/連絡先", "查看例句")</f>
        <v/>
      </c>
    </row>
    <row r="8925">
      <c r="A8925" t="inlineStr">
        <is>
          <t>廊下</t>
        </is>
      </c>
      <c r="B8925" t="inlineStr">
        <is>
          <t>成功</t>
        </is>
      </c>
      <c r="C8925" t="inlineStr">
        <is>
          <t>読み方：ろうか
１建物の中の部屋と部屋をつなぐ細長い通路。「渡り—」
２⇒ゴルジュ</t>
        </is>
      </c>
      <c r="D8925" t="inlineStr">
        <is>
          <t>廊下伝い；廊下づたいに；廊下沿い；廊下つづき；廊下続き</t>
        </is>
      </c>
      <c r="E8925" t="inlineStr">
        <is>
          <t>通路；廻廊；歩廊；回廊</t>
        </is>
      </c>
      <c r="F8925" t="inlineStr">
        <is>
          <t>薄暗い廊下；狭い廊下；広い廊下；外廊下；短い廊下</t>
        </is>
      </c>
      <c r="G8925" t="inlineStr">
        <is>
          <t>廊下とんび；廊下鳶；廊下は走るな</t>
        </is>
      </c>
      <c r="H8925" t="n">
        <v>29</v>
      </c>
      <c r="I8925" t="inlineStr">
        <is>
          <t>廊下では生徒作品のギャラリーとなっており、展示なども行われている。；建物内部の廊下には学生の作品が展示されており、頻繁に更新されている。；我々は島の岸に大きな神社が、廊下の下に海水をたたえているのを見た。；行動可能なエリアは廊下、そして八部屋の計九個のエリアに分かれている。；そんなことを考えながら廊下を歩いていると、後から呼ぶ者があった。；その結果、小学校の平面は片廊下の棟を数棟並べた形式に収斂していく。；硯箱を持って廊下へ退出するなり、米内は声を殺して泣き出したという。；劇場に入る前に、映画に合わせた動画と音声が流れる廊下が設置される。；余り何だから、私は廊下へ出て、二三間、そっちの方へ行って見ました。；さて僕たちは二百メートルも長廊下を歩いた末に、やっと大食堂に出た。；彼女は自分の部屋の扉から廊下のペニファザーを見たときのことを再現する。；でも、何だか変だから、立っていって廊下の方をすかして見たんですの。；この広い道路も、いまは人影一つ見えない水晶宮殿の廊下のようであった。；正面中央の玄関とその奥の廊下を挟んで南北に部屋を配置する。；鉱山自体の廊下に安全なルートを作成することはより困難であった。；スタジオでの撮影ではなかったため、廊下を人が走ると揺れてしまったという。；寝室は自習室の廊下を挟んだ反対側にあり、3部屋分の学生を収容する。；「白」が廊下へ出ていったのは、距離を増して速度をつけるためであった。；映画の最後ではインタビューに応じた全員が暗い廊下に立ちカメラを見つめて終わる。；この詩は今日でも聖サルバドール修道院の廊下で読むことができる。；その後に再び廊下の方へ行き、数秒間壁に隠れてほとんど姿が見えなくなる。；室内面では画面内の扉を開けて別の室内面や廊下面に移動できる。；建物内部の階段や廊下は、地下の穴や洞窟に似せて設計されている。；いつものように、女の部屋の方を見ると、廊下には本が置いてありました。；教室と廊下の間に壁のない構造などが取り入れられている。；こうした形状ゆえに、内部中央には東西に長い廊下が続いている。；そこの廊下は殆ど部屋と同じ位広く、そして張り出した屋根で覆われている。；僕は戸をあけて廊下へ出、どこと云うことなしに歩いて行った。；廊下面のプレイヤーは扉に入ることで室内面へ移動できる。</t>
        </is>
      </c>
      <c r="J8925">
        <f>HYPERLINK("https://www.weblio.jp/content/廊下", "词义详情")</f>
        <v/>
      </c>
      <c r="K8925">
        <f>HYPERLINK("https://yourei.jp/廊下", "查看例句")</f>
        <v/>
      </c>
    </row>
    <row r="8926">
      <c r="A8926" t="inlineStr">
        <is>
          <t>老後</t>
        </is>
      </c>
      <c r="B8926" t="inlineStr">
        <is>
          <t>成功</t>
        </is>
      </c>
      <c r="C8926" t="inlineStr">
        <is>
          <t>読み方：ろうご
年をとってからのち。「—の設計を考える」</t>
        </is>
      </c>
      <c r="D8926" t="inlineStr">
        <is>
          <t>老後資金；老後の生活問題；老後の受給額；老後の愉しみ</t>
        </is>
      </c>
      <c r="E8926" t="inlineStr">
        <is>
          <t>晩年；老年期；老い先；晩節；残りの余生</t>
        </is>
      </c>
      <c r="F8926" t="inlineStr">
        <is>
          <t>豊かな老後；幸福な老後</t>
        </is>
      </c>
      <c r="G8926" t="inlineStr">
        <is>
          <t>老後破産；老後難民</t>
        </is>
      </c>
      <c r="H8926" t="n">
        <v>29</v>
      </c>
      <c r="I8926" t="inlineStr">
        <is>
          <t>この調子で僕のかわりに、彼女が両親の老後を見ることになるのだろう。；とりとめのないことを語りながら老後を旅で過ごすのが二人の夢だった。；自分の行く末と我が子の将来と夫の老後は、どれが一番不幸なのだろう。；それぐらいなら、老後の生活などないほうがましと考える人間も多い。；特に老後を考えるような、人生の晩年にさしかかった以後の人々に於ては。；わたくしの力で、モルソーフの老後が幸せにならないものでもありません。；老後に楽しみを持ったことが九兵衛の長生きに大いに貢献したようだ。；やはり動きたくない最大の理由は、老後に向けての生きがいの問題だ。；老後の生活の支えとして、少々のものを持っていれば心強いと思うんだ。；解放されて主人と養子縁組をし、主人の老後の世話をする場合などもあった。；寂しい老後の唯一のよすがである金を奪うために老人を虫のように殺した。；老後は閑居の地から20余年一歩も門外に出なかったと言われている。；海外生活が長かったが、今ではお屋敷でただ一人老後の生活を送っている。；年齢にかかわらず、老後というのは、こういうことなのか、とも考える。；彼は永年のあいだ、老後の生活はその貯えで充分だろうと思っていた。；子どもを育てるのは老後の保障のためだと考えている節があるのだ。；だが、家族ではなく政府に老後の面倒を見られるのは恥だと考えているらしい。；私の老後の夢と希望が、またひとつ消えてしまったではないか。；靑江はあれほどの先生でしたが、老後は大さうに落魄してお氣の毒でした。；自分が安定した幸福な老後を迎えているかのようである。；幸福な老後はね、乃里子さん、幸せに生きた人にしか訪れないんですよ。；彼はまだまだ生きて、母の老後をなぐさめ大事にしてくれるかも知れない。；老婆は老後になって思はぬ手引で山の中の見知らぬ家庭の中に入って来た。；私はもう結婚はしないことに決めてるから、老後はあんたたちと仲よくやるわ。；娘達に老後の厄介をかけるのも心苦しいと思った、その気持は俺にもわかる。；博士が故郷に帰って来たのは老後を養うためでは無くて却って活躍する為であった。；また、穏やかな場所なので定年後に移住して老後を過ごす人も多いという。；老後は主に質素な食事を食べていたが、時々菓子やチョコレートも食べた。；温泉や旅行は云々と老後が結びつけられていること、何か頬笑まれました。</t>
        </is>
      </c>
      <c r="J8926">
        <f>HYPERLINK("https://www.weblio.jp/content/老後", "词义详情")</f>
        <v/>
      </c>
      <c r="K8926">
        <f>HYPERLINK("https://yourei.jp/老後", "查看例句")</f>
        <v/>
      </c>
    </row>
    <row r="8927">
      <c r="A8927" t="inlineStr">
        <is>
          <t>老人</t>
        </is>
      </c>
      <c r="B8927" t="inlineStr">
        <is>
          <t>成功</t>
        </is>
      </c>
      <c r="C8927" t="inlineStr">
        <is>
          <t>読み方：ろうじん
年をとった人。年寄り。老人福祉法では、老人の定義はないが、具体的な施策対象は65歳以上を原則としている。「—医療」
[用法]老人・としより——「老人」は、文章やあらたまった話の中では最も一般的に使われる語。特に「老人福祉」「老人ホーム」のように複合語を作る場合、「年寄り」は使わないのが普通。◇「年寄り」は「老人」よりややくだけた親しみのある感じで使われる。前後関係によって軽蔑の感じが強く出ることもある。「お年寄りを大切にしよう」「年寄りの冷や水」など。◇類似の語に「老体」がある。「老体」は「御老体を煩わせてすみません」というような形で尊敬をこめて言う場合にも用いる。◇年齢が高いことを示す「高齢者」が広く使われるようになっている。◇「老人」が個人を指す場合は男であることが多い。女性については「老婦人」「老女」「老婆」などを用いることが多い。「年寄り」「老体」にはこのような使い分けはない。</t>
        </is>
      </c>
      <c r="D8927" t="inlineStr">
        <is>
          <t>老人たち(3%)；老人達；老人夫婦；老人性；老人役</t>
        </is>
      </c>
      <c r="E8927" t="inlineStr">
        <is>
          <t>老；老い；長老；年寄り；年寄</t>
        </is>
      </c>
      <c r="F8927" t="inlineStr">
        <is>
          <t>怪老人；七老人；小塚老人；ご老人；三浦老人</t>
        </is>
      </c>
      <c r="G8927" t="inlineStr">
        <is>
          <t>老人力；老人福祉；老人介護；老人保健；老人と海</t>
        </is>
      </c>
      <c r="H8927" t="n">
        <v>29</v>
      </c>
      <c r="I8927" t="inlineStr">
        <is>
          <t>韓国では子供から老人まで幅広い層に尊敬されている国民的英雄である。；老人は毛の内部の色素が失われるため、灰色の毛に発達する傾向がある。；若い世代から老人まで、さまざまな世代の人物を登場させることが多い。；キリスト教美術においてはモーセは通常老人の姿に描かれることが多い。；老人はシニア委員会で、移民出身者は外国人統合委員会で活動している。；老人は一度は笑って去ったが、後に戻ってきて五日後の朝に再会を約束した。；すべてを失い生きる望みも無くした彼は、不思議な老人に声をかけられる。；住区センターには児童館や老人憩いの場などが併設されている例もある。；みんながこの老人が八仙の一人だと気づいたのは、老人が去ってからである。；後者が美術上、十字架を持った老人として表されるのはそのためである。；主に中年役や老人役、滑稽な役や屈強な男の役を演じることが多かった。；アニメ草創期から活動しており、少年から老人、人間以外の役もこなす。；その証拠に河上はその老人が元力士らしき体格もきちんと記録していた。；また占領後多くの老人や子供もいたが20万人が虐殺されたという。；駅跡はバス停となり、駅舎跡には板野町羅漢老人憩いの家が建てられた。；すると老人が現れ、街に行き仲間を探すように助言をして去っていく。；この往復路で女・子供・老人を含めた数百人のナバホの民が死んだ。；若い男は殺された女の夫で、老人は殺された女の父であった。；さらに老人性だったらしく、35歳の頃には禿げ上がっていたという。；こうしてハサン老人は、得た金を貧しい人々に使い続けたのであった。；単に老人を指すのではなく否定的な意味合いでいう言葉である。；生徒達を盾にしてバスを降りてきた老人を、山下は咄嗟に取り押さえる。；一説によると逆に薬を身体に塗って老人の姿にすることも出来た。；かつては老人・病院・小児養護協会が運営したギーセン最初の病院である。；その老人は、山崎屋を守ってきた妻の元に帰っていた道三であった。；たどり着いた島には一人の老人がいて、肩車で川を渡してくれと頼まれる。；そんなある憂鬱な日、マグリブの地から一人の老人が謁見を求めて来た。；その病床で、老人から現世の妖魔を取り除くべく派遣したとの夢を見る。；森繁は73歳の老人役を演じていたが引き続き96歳の老人役を演じている。</t>
        </is>
      </c>
      <c r="J8927">
        <f>HYPERLINK("https://www.weblio.jp/content/老人", "词义详情")</f>
        <v/>
      </c>
      <c r="K8927">
        <f>HYPERLINK("https://yourei.jp/老人", "查看例句")</f>
        <v/>
      </c>
    </row>
    <row r="8928">
      <c r="A8928" t="inlineStr">
        <is>
          <t>老衰</t>
        </is>
      </c>
      <c r="B8928" t="inlineStr">
        <is>
          <t>成功</t>
        </is>
      </c>
      <c r="C8928" t="inlineStr">
        <is>
          <t>読み方：ろうすい
［名］(スル)年をとって心身が衰えること。</t>
        </is>
      </c>
      <c r="D8928" t="inlineStr">
        <is>
          <t>老衰者；老衰期；老衰現象；老衰病；老衰像</t>
        </is>
      </c>
      <c r="E8928" t="inlineStr">
        <is>
          <t>衰え；老い；老け；老化</t>
        </is>
      </c>
      <c r="F8928" t="inlineStr">
        <is>
          <t>早く老衰</t>
        </is>
      </c>
      <c r="H8928" t="n">
        <v>29</v>
      </c>
      <c r="I8928" t="inlineStr">
        <is>
          <t>そのくせ老衰を嘆いて幽霊になるほどの実のある生活もしたことがない。；おぼろな母の脳は、そこに老衰した彼の父の顔をみたのではなかろうか。；ひどく老衰しているように見えたが、実際は六十歳前だったかも知れぬ。；老衰して命を終えるにさえもこれほどの苦痛をうけなければならないとは。；老衰で寝たきりになったタムを、私と妻は最後まで見取ろうと決心する。；そして、老衰した動物の展示、障害を追った動物の展示もタブーである。；晩年には老衰で政治的な活動は少なくなり、立憲君主化が一層進展した。；すると老衰した母の姿が始めて異常な寂しさをもってわたしの心に迫ってきた。；一〇〇年の歳月が、一夜のうちに館を老衰させてしまったように見える。；また彼はすでに一日に数時間程度しか正常な活動ができないほど老衰していた。；たった、四十四や五で、歩いても息が切れるほど老衰するものだろうか?；してみると彼女はこの十年の間におそろしく老衰してしまったものだ。；まさに彼らのうちには無粋と老衰とが完全に手を組んでいたのだ。；五十五だが六十五にも七十にも見え、老衰が静かな哀歌となつてゐる。；すると天女は次第に年をとり、老衰して扇を手にしたまま動かなくなった。；昔の人は国家のこの自然的弱点と老衰とを奢侈に帰するのが常であった。；それがこうも変るものかと思えるほど老衰し骨と皮になっている。；この時計の示す時刻は何を示すかといえば、それは宇宙の老衰の程度を示すものである。；死骸の八郎兵衞は、六十八といふにしては、ひどく老衰して居りました。；死せるものは今生きているもののように生長することもなければ老衰することもない。；それは単に身体の老衰を意味するのでなく、むしろ精神の老熟を意味している。；死せるものは今生きてゐるもののやうに生長することもなければ老衰することもない。；多くの人たちは老衰ではなく今でも病気で死亡している。；やがて老衰が来て死が来ることを知りながら、その日その日を生きて行くのと同じだった。；普通の女、五十になれば老衰し切るがまだ若いところが多いだけ苦しいのだ。；老衰して寝たきりになり、介護する者もないまま、餓死した模様である。；夫れ発育期を経て成熟期に至れば、続いて老衰期の来るを能く銘記せよ。；片方が老衰のため倒れた、もう一人もすぐそばに横たわって死んだのだと思う。；福美が寝たきりになったのは、老衰からというのが医師の診断だった。</t>
        </is>
      </c>
      <c r="J8928">
        <f>HYPERLINK("https://www.weblio.jp/content/老衰", "词义详情")</f>
        <v/>
      </c>
      <c r="K8928">
        <f>HYPERLINK("https://yourei.jp/老衰", "查看例句")</f>
        <v/>
      </c>
    </row>
    <row r="8929">
      <c r="A8929" t="inlineStr">
        <is>
          <t>蝋燭</t>
        </is>
      </c>
      <c r="B8929" t="inlineStr">
        <is>
          <t>成功</t>
        </is>
      </c>
      <c r="C8929" t="inlineStr">
        <is>
          <t>読み方：ろうそく
縒(よ)り糸や紙を縒り合わせたものを芯(しん)にし、蝋やパラフィンを円柱状に成型して灯火に用いるもの。「—をともす」</t>
        </is>
      </c>
      <c r="D8929" t="inlineStr">
        <is>
          <t>蝋燭立；蝋燭屋；蝋燭亭；蝋燭問屋；蝋燭みたい</t>
        </is>
      </c>
      <c r="E8929" t="inlineStr">
        <is>
          <t>キャンドル</t>
        </is>
      </c>
      <c r="F8929" t="inlineStr">
        <is>
          <t>大蝋燭；裸蝋燭；小さな蝋燭；赤い蝋燭；太い蝋燭</t>
        </is>
      </c>
      <c r="G8929" t="inlineStr">
        <is>
          <t>蝋燭岩；蝋燭デモ</t>
        </is>
      </c>
      <c r="H8929" t="n">
        <v>29</v>
      </c>
      <c r="I8929" t="inlineStr">
        <is>
          <t>私は蝋燭の光の下で落着いて仕事に没頭する気にはなれないように思う。；彼女は後向になって蝋燭を一つ占領して鏡台に向いつつ何かやっていた。；確かにそこには、だれかが手に蝋燭を持ち聞き耳を立てているのだった。；当時の蝋燭が、少なくとも何本かは、そのままにまだあるのではないか。；古い教会の門を開けると、そこには林檎と蝋燭と古い本が置かれていた。；甚三郎が蝋燭を片手に眺めているのは、その外の方の海でありました。；それは真中の卓子の上へ裸蝋燭を一本立てて置いてあるのであります。；蝋燭の光がまだ届かない部屋の隅のベッドで、長い髯の顔が身を起した。；それに、蝋燭を取次いだのが、堂を守る人だと、ほかに言があつたらう。；裸蝋燭では風に吹き消される虞れがあるので、小さい提灯を借りて来た。；宇吉は蝋燭の灯に影をゆらしながら、先に立って五号室へはいって行った。；細い紐のようになった懐中蝋燭が、今まで燃えて居たのが不思議な位です。；彼の見すぼらしい服装は、蝋燭の笠が投げてる影の中でよく見えなかった。；一陣の風が蝋燭の殆ど全部を吹き消し、辺りは脅迫的な暗さになった。；と、すぐ外側の廊下の敷物の上に一本の火の點つた蝋燭が置いてある。；蝋燭の光はものの形を、光の世界と影の世界との二つにくつきりと分けた。；それはなるほど何か画面らしいもので、わずかに蝋燭の光で照らされていた。；仕方なく私は蝋燭に火をつけて、それを持ちながら階下に降りてゆきました。；それには二本の蝋燭が立てられてたいてい司教の暖炉の上に置かれていた。；部屋の中ほどの床板の上に、燃えさしの短い蝋燭が立っているではないか。；たしかに身投げに相違ねえというのですが、さてその蝋燭がわからねえ。；戸は開かれて、テナルディエの上さんが手に蝋燭を持って出てきた。；テーブルの端には、鉄の燭台にさした燃え残りの蝋燭が立っていた。；若い女が黒い紗で顔をかくして手に長い蝋燭を持って像の前に立った。；見ると馬の上で左衛門尉の二つの眼が蝋燭のやうに光つてゐた。；あの方はいつでも暗くなると蝋燭を持つて寄越させになるのです。；しかしそれはもうランプか蝋燭かの反映のように薄く穏やかになっていた。；窓には蝋燭の火がちらちらしているが、その外にはなんにも見えない。；人々は普段通りの仕事をするために自分の家を蝋燭で照らさなければならなかった。</t>
        </is>
      </c>
      <c r="J8929">
        <f>HYPERLINK("https://www.weblio.jp/content/蝋燭", "词义详情")</f>
        <v/>
      </c>
      <c r="K8929">
        <f>HYPERLINK("https://yourei.jp/蝋燭", "查看例句")</f>
        <v/>
      </c>
    </row>
    <row r="8930">
      <c r="A8930" t="inlineStr">
        <is>
          <t>労働</t>
        </is>
      </c>
      <c r="B8930" t="inlineStr">
        <is>
          <t>成功</t>
        </is>
      </c>
      <c r="C8930" t="inlineStr">
        <is>
          <t>読み方：ろうどう
［名］(スル)
１からだを使って働くこと。特に、収入を得る目的で、からだや知能を使って働くこと。「工場で—する」「時間外—」「頭脳—」
２経済学で、生産に向けられる人間の努力ないし活動。自然に働きかけてこれを変化させ、生産手段や生活手段をつくりだす人間の活動。労働力の使用・消費。</t>
        </is>
      </c>
      <c r="D8930" t="inlineStr">
        <is>
          <t>労働者(18%)；労働関係；労働量；労働基本権；労働組合</t>
        </is>
      </c>
      <c r="E8930" t="inlineStr">
        <is>
          <t>仕事；勤務；働く；アルバイト；雇用</t>
        </is>
      </c>
      <c r="F8930" t="inlineStr">
        <is>
          <t>過酷な労働；厚生労働；炭鉱労働；安価な労働；必要な労働</t>
        </is>
      </c>
      <c r="G8930" t="inlineStr">
        <is>
          <t>労働組合；労働党；労働力；労働者階級；労働運動</t>
        </is>
      </c>
      <c r="H8930" t="n">
        <v>29</v>
      </c>
      <c r="I8930" t="inlineStr">
        <is>
          <t>クングールの労働収容所に入れられたのち、列車に乗った際に逃亡した。；したがって労働に従事させる者もいずれは殺害するつもりであった。；女性が妥当な教育を受け、男性と同等な立場で労働する社会を描写した。；そのため労働者の戦線は分裂し、ナチスに対抗することができなかった。；この運動により後に多くの国で女性の労働の自由が認められるようになった。；労働は神の行った行為のひとつであるため、神聖な行為と考えられている。；彼らの多くは契約労働者であったが、現地に定住する者も少なくなかった。；出生率と人口が減少していく中で、生産の重要な要素は労働であった。；連合労働組織は大企業や、産業の特定分野すべてを代表するものであった。；都市部の中小企業に就職したかれらの豊富な労働力が日本経済を支えた。；製造工程が極端に単純化されたため、労働者は非人間的な労働を強いられた。；欧州連合では指令との形で、各国が達成すべき労働法の基準を示している。；このような質的な労働力の低下と無理な増産も部品の劣質化につながった。；適用事業に使用されて賃金を支払われていれば、適用労働者とされる。；より根源的な価値の源は人間の労働であるという思想が基にあった。；この会議で労働者の貧困救済を目的とした相互扶助協会が設立された。；ハーグ陸戦条約で認められた労働も日露戦争ではほとんどなされなかった。；抵抗した農民たちも最終的には工業労働者となったり集団農場に組織されたりした。；アンリ・トランや初期のなどのエリート労働者に多くの示唆を与えた。；また彼は新しい居城を建設するために厳しい賦役労働を農民たちに課した。；またラテン語のalienatoに由来する疎外された労働が語られる。；フランクフルトはドイツで最も労働密度が高く、通勤者の多い街である。；後に、大規模な韓国への労働移住が展開されることとなった。；ただし、就業規則よりも有利な労働条件を定める労働契約は有効となる。；党の創設は容共的な労働組合との政略的な連携を通じたものだった。；労働者が、労働に関連する場で、事故にあったり疾病にかかったりすること。；しかし彼の最も重要な貢献は必要な労働力の捻出であった。；一部のライダイハンは、韓国で労働者として働きながら父親を探している。；人間は創造主の代わりに労働をする存在として作られたとされる。</t>
        </is>
      </c>
      <c r="J8930">
        <f>HYPERLINK("https://www.weblio.jp/content/労働", "词义详情")</f>
        <v/>
      </c>
      <c r="K8930">
        <f>HYPERLINK("https://yourei.jp/労働", "查看例句")</f>
        <v/>
      </c>
    </row>
    <row r="8931">
      <c r="A8931" t="inlineStr">
        <is>
          <t>朗読</t>
        </is>
      </c>
      <c r="B8931" t="inlineStr">
        <is>
          <t>成功</t>
        </is>
      </c>
      <c r="C8931" t="inlineStr">
        <is>
          <t>読み方：ろうどく
［名］(スル)声に出して読み上げること。特に、詩歌や文章などをその内容をくみとり、感情をこめて読み上げること。「詩を—する」</t>
        </is>
      </c>
      <c r="D8931" t="inlineStr">
        <is>
          <t>朗読する(11%)；朗読家；朗読部門；朗読会；朗読cd</t>
        </is>
      </c>
      <c r="E8931" t="inlineStr">
        <is>
          <t>復唱；読誦；朗誦；朗詠；誦する</t>
        </is>
      </c>
      <c r="F8931" t="inlineStr">
        <is>
          <t>対面朗読；電撃文庫朗読；福音朗読；朗読ライブ；起訴状朗読</t>
        </is>
      </c>
      <c r="G8931" t="inlineStr">
        <is>
          <t>朗読会；朗読者；朗読番組；朗読少女；朗読夜</t>
        </is>
      </c>
      <c r="H8931" t="n">
        <v>29</v>
      </c>
      <c r="I8931" t="inlineStr">
        <is>
          <t>晩年は朗読を中心に活動しており、声優業はほとんど行っていなかった。；姉から妹への手紙の朗読の場面では感動して本当に泣いたと振り返っている。；バンド解散の後彼はソロ・アーティストとなり、詩の朗読活動を行う。；同様に主人の名前を記憶して呼ぶ機能と同様に歌を歌ったり詩を朗読したりした。；晩年は高齢となったこともあり、活動の主体を演劇から朗読に移していた。；若い人たちに朗読の魅力を伝えるため、中学・高校での公演にも力を入れる。；ライヴ録音ではあったが、曲間に朗読が入るスタイルで話題となった。；ある女性の自伝的物語を、音楽に乗せながら朗読形式で展開していく。；先行して刊行された同名の歌集からの短歌が、映画の中でも朗読される。；決勝及び準決勝では、他に指定された作品を朗読する課題が課される。；朗読と音楽のCD『声ものがたり』シリーズの制作・販売を行っている。；それぞれ曲をフルコーラスで流した後に朗読の形式に改められた。；エッセイや小説を週替わりで俳優やタレントが朗読する形式で放送されていた。；絵本にはスターによる朗読や未発表のテイクを収録したCDが付属した。；以降は、大学の非常勤講師や市民朗読教室の講師として活動している。；この頃、翻訳作品を自ら朗読したSPレコードをいくつか発売した。；曲中で朗読されるビックラは実際にコーナーに掲載された物である。；文書以外にも漫画や映画、録音されたものあるいは朗読作品などが収集されている。；物語の朗読とライブ演奏を組み合わせた「ストーリーライブ」に出演している。；アーロンも歌の扱いになっているものの、実際は詩の朗読である。；兄が死んで、音楽を学ぶのをやめ、スワースモア大学で朗読と演劇を学んだ。；番組の最後には、互いへの手紙を朗読するのが恒例になっていた。；専用のしおりを口にくわえさせておけば、朗読を中断させることもできる。；娯楽のなかには詩の朗読やしろうと芝居もあり、コレットが時々出演した。；実際には仁寺洞の泰和館に変更され、そこで宣言を朗読し万歳三唱をした。；少女たちの元へイサドラが近づくとき、エセーニンの詩が朗読される。；松岡はあらかじめ準備していた宣言書を朗読して会場から退場した。；そのため初回では朗読が含まれていたが、その後、完全に分離して別公演となった。；国連ホテルの会場では、吉野の詩の朗読にあわせて、舞踊家・が踊った。</t>
        </is>
      </c>
      <c r="J8931">
        <f>HYPERLINK("https://www.weblio.jp/content/朗読", "词义详情")</f>
        <v/>
      </c>
      <c r="K8931">
        <f>HYPERLINK("https://yourei.jp/朗読", "查看例句")</f>
        <v/>
      </c>
    </row>
    <row r="8932">
      <c r="A8932" t="inlineStr">
        <is>
          <t>老若男女</t>
        </is>
      </c>
      <c r="B8932" t="inlineStr">
        <is>
          <t>成功</t>
        </is>
      </c>
      <c r="C8932" t="inlineStr">
        <is>
          <t>読み方：ろうにゃくなんにょ
老人も若者も、男も女も含む、あらゆる人々。「—が一堂に会する」
[補説] この語の場合には「ろうじゃくだんじょ」とは読まない。</t>
        </is>
      </c>
      <c r="D8932" t="inlineStr">
        <is>
          <t>老若男女問わ(10%)；老若男女誰；老若男女関係なく；老若男女幅広い；老若男女入り</t>
        </is>
      </c>
      <c r="H8932" t="n">
        <v>29</v>
      </c>
      <c r="I8932" t="inlineStr">
        <is>
          <t>無数の老若男女の顔を持ち、右手には書物を持った姿で現れるとされる。；私はそういう風に生れついた老若男女を、いくらも見たことがございます。；その為の捨て石となる覚悟は老若男女を問わず市民全員が持っている。；ロシュマンは多くの老若男女を問わず次々と殺害していたと報告されている。；これらの作戦には、老若男女を問わず、暴力と裁判なしの銃殺が伴った。；家々の戸が待っていたように開いて、老若男女がぞろぞろと外へ出て来た。；ここに住む老若男女の数も、彼にはおよそどれほどと言って見ることもできない。；村の老若男女がトロッコやネコ車と呼ばれる小さな車で土や石を運んでいる。；老若男女を問わず、すべての人に同じ魅力的な愛想のよさと理解を傾ける。；そのかわり城にいる老若男女一万人の命だけは助けて貰いたい。；村の中央路は今、祭りに興奮する老若男女で煮えこぼれるようだった。；踊はまだ始まっていなかったが老若男女がかなり集まっていた。；さて、蓋をされてしまった老若男女はどうなったでしょうか?；それは老若男女の別なく、広く一般的な人間の性質であろう。；老若男女・経験など関係なく、積極的な交流をすることがモットー。；それは老若男女、入りまじった一大集団で、ラクダも一五〇頭以上いた。；大学卒業後は卓球指導者として老若男女問わず数多くの生徒を指導。；老若男女の酔っぱらい、若い方は二十歳ぐらいから、結構な歳の老人もいる。；私はそういうふうに生まれついた老若男女を、いくらも見たことがございます。；その負担額は老若男女や家庭の事情に合わせて竹富公民館議会にて決定している。；老若男女を問わず、その天上の美に、だれもが恍惚とならざるを得ないのだ。；私は、老若男女を問わず池波作品の読者が増えている理由をそのように考える。；小学生から大人まで老若男女問わず太鼓が好きな人たちが集まって活動している。；ドマと呼ばれる覚醒作用のある嗜好品が老若男女を問わず人気がある。；昔から老若男女問わず人気があり、一歩は彼のファンたちの勢いの良さに気圧されていた。；老若男女、子供も多く、なかには母親に抱かれている幼児の姿も見える。；老若男女を問わず、死体でさえあれば、それに接するのが楽しくなったのです。；明るくて人情味ある性格で老若男女のいろいろな人々と交友がある。；日常用、スポーツ用などを問わず、老若男女に広く着用されている靴下である。</t>
        </is>
      </c>
      <c r="J8932">
        <f>HYPERLINK("https://www.weblio.jp/content/老若男女", "词义详情")</f>
        <v/>
      </c>
      <c r="K8932">
        <f>HYPERLINK("https://yourei.jp/老若男女", "查看例句")</f>
        <v/>
      </c>
    </row>
    <row r="8933">
      <c r="A8933" t="inlineStr">
        <is>
          <t>浪費</t>
        </is>
      </c>
      <c r="B8933" t="inlineStr">
        <is>
          <t>成功</t>
        </is>
      </c>
      <c r="C8933" t="inlineStr">
        <is>
          <t>読み方：ろうひ
［名］(スル)金銭・時間・精力などをむだに使うこと。むだづかい。「資源を—する」「—家」</t>
        </is>
      </c>
      <c r="D8933" t="inlineStr">
        <is>
          <t>浪費する(11%)；浪費家(6%)；浪費的；浪費生活；浪費ぶり</t>
        </is>
      </c>
      <c r="E8933" t="inlineStr">
        <is>
          <t>無駄；放蕩；無駄遣い；空費；費消</t>
        </is>
      </c>
      <c r="F8933" t="inlineStr">
        <is>
          <t>資源浪費；空しく浪費；大変な浪費；ひどい浪費；浪費すること</t>
        </is>
      </c>
      <c r="H8933" t="n">
        <v>29</v>
      </c>
      <c r="I8933" t="inlineStr">
        <is>
          <t>考えてみれば、わしもこれまで自分の体を馬鹿なことで浪費したものだ。；しかし、やはりあなたは時間の浪費をされるんじゃないかと思いますよ。；そのころは氷を浪費することで反作用質量に使う水を供給していたのだ。；おれのために浪費されたあの莫大な金は事実おれのものではないのだ。；いずれも人手よりは紙が安いから、大いに紙を浪費しているわけである。；また軍の徴集で父に無断で財産を浪費したため父と衝突することもあった。；彼は貧乏している癖に、いい煙草と競馬に金を浪費うのが好きであった。；結局この計画は失敗に終わり、予算をただ浪費しただけだと結論付けられた。；浪費した財産がこれに化けて、将来全て私のものになると話しました。；正当な使用の他は使用しないで、之を無暗に浪費しないのは惜福である。；これを否定しようとすることは、精力の浪費以外のなにものでもない。；おれがあの連中とつきあっているのを、時間の浪費だと思っているらしい。；稍々愚鈍なる浪費者を身辺に求めることは或時代に於ては可能であった。；おそらくこの愛は迷った愛だったかもしれないが、愛の浪費ではなかった。；いま騒ぎを起こすのは、若いエネルギーの浪費になるのではないか。；一方浪費家で家庭を危機に陥らせるような女性は悪妻と見られやすい。；シェリダン将軍はこのような考えそのものが単に時間の浪費だと考えていた。；人の性はこの一連の思考を威嚇的であり、また単なる力の浪費だと判断する。；なるほど僕が研究してもその通りで、或る場合にはそれよりも多く火を浪費する。；そのとき、わたしはさとったのです、 浪費に手の翼をひろげすぎたと。；我々の忠勇の血をこれ以上無意味に浪費することをやめてもらいたい。；油が河川に流出すると、資源の浪費なだけでなく環境的な問題が発生する。；最近までも我々の間には残っていた饗宴というものの基調は浪費であった。；だが息子の結婚のことなどに彼は時間を浪費したくなかった。；同作の製作に関与した全ての人間にとって、時間の浪費にしかならなかった。；は旧式の級や級戦艦を維持することが金銭の浪費であるとまで述べた。；これは今日の学校教育が脳力を浪費させるように出来て居るからでもあろう。；そして継母や義姉たちが財産を浪費したため、屋敷は荒れ果てていった。；家を購入後、残りの2000万ドルは以下のようなもので浪費した。</t>
        </is>
      </c>
      <c r="J8933">
        <f>HYPERLINK("https://www.weblio.jp/content/浪費", "词义详情")</f>
        <v/>
      </c>
      <c r="K8933">
        <f>HYPERLINK("https://yourei.jp/浪費", "查看例句")</f>
        <v/>
      </c>
    </row>
    <row r="8934">
      <c r="A8934" t="inlineStr">
        <is>
          <t>朗報</t>
        </is>
      </c>
      <c r="B8934" t="inlineStr">
        <is>
          <t>成功</t>
        </is>
      </c>
      <c r="C8934" t="inlineStr">
        <is>
          <t>読み方：ろうほう
喜ばしい知らせ。「—に沸く」</t>
        </is>
      </c>
      <c r="D8934" t="inlineStr">
        <is>
          <t>福音；吉報；よい知らせ；良い知らせ；嬉しい知らせ</t>
        </is>
      </c>
      <c r="H8934" t="n">
        <v>29</v>
      </c>
      <c r="I8934" t="inlineStr">
        <is>
          <t>おまえたちの仲間がまだ生きているというのは、何よりの朗報だったな。；唯一の朗報は二日目に、彼の第一夫人からの長い便りという形で訪れた。；私の口から早希に関する朗報が聞けなかったのが不満なのかも知れない。；しかし九時になると、今度は第二十一号艇がやってきて初めて朗報を伝えた。；朗報を持って堀口貞満が到着した翌日に吉野から山伏姿の使者が到着した。；外国人からすれば、国内雑居が許されたことは朗報と思えただろう。；異星船がこの構造を持つことは迎撃艦隊にとっても朗報にちがいなかった。；弦間は、また数日後やって来て、 「朗報ですよ」と二人に笑いかけた。；特に209型潜水艦の輸出成功はドイツ造船業界にとって朗報となった。；ところがそのあと、日本へ帰ったわたしを、思いがけない朗報が待っていた。；Pが首相官邸から帰ってみると、カガノンが朗報をもって待っていた。；これが最初の朗報だったが、これで最後とも思われた。；父の死を知ったのは、勝ち越しを決め父に朗報を伝えようと病院に電話をした時であった。；四、五日して加藤さんが店へやってきて、朗報だって言った。；そう今夜の夫人との出会いは朗報でもあるよ。；最初に戻ったのはポルとベイとファズで、朗報と言えるものはわずかだった。；彼らは料理をつつきながら、今朝からの朗報を反芻するのに忙しかった。；昨日入ってきた朗報のせいもあるのだろう。；しかし、これは朗報というべきだろうが、彼らはまだ支配の王錫は手に入れていないのだ。；第十七軍戦闘司令所では、第二師団からの朗報を待ちわびていた。；何もせず、ただ朗報を待っているのは耐えられない。；小川の優勝はそんな中にもたらされた日本柔道界への朗報だった。；あけて明治二年一月十五日にも、四郎たちを小躍りさせる朗報が伝えられた。；が、このことに関連していうと、鬼平ファンにひとつ朗報がある。；六年後の世界でも警察に捕まっていないらしいのは朗報だ。；まさに一つの朗報とすれば、この老大国があのような乙女を生み出したことだな。；男は女から朗報が届くものとばかり思っていたのに、いっこうに音沙汰がない。；しかし、真偽のほどはまだ定かではないが、ここに一つ朗報がある。；火に炙られるような恐怖の中、しかし今、真実と朗報を得た。</t>
        </is>
      </c>
      <c r="J8934">
        <f>HYPERLINK("https://www.weblio.jp/content/朗報", "词义详情")</f>
        <v/>
      </c>
      <c r="K8934">
        <f>HYPERLINK("https://yourei.jp/朗報", "查看例句")</f>
        <v/>
      </c>
    </row>
    <row r="8935">
      <c r="A8935" t="inlineStr">
        <is>
          <t>労力</t>
        </is>
      </c>
      <c r="B8935" t="inlineStr">
        <is>
          <t>成功</t>
        </is>
      </c>
      <c r="C8935" t="inlineStr">
        <is>
          <t>読み方：ろうりょく
１何かをするために心身を働かせること。骨折り。「—を惜しむ」
２労働力。人手。「安い—」</t>
        </is>
      </c>
      <c r="D8935" t="inlineStr">
        <is>
          <t>労力を割か；労力奉仕；労力軽減；労力不足；労力を省くため</t>
        </is>
      </c>
      <c r="E8935" t="inlineStr">
        <is>
          <t>努力；苦労；尽力；骨折；労</t>
        </is>
      </c>
      <c r="F8935" t="inlineStr">
        <is>
          <t>大変な労力；大きな労力；無駄な労力；少ない労力；かかる労力</t>
        </is>
      </c>
      <c r="H8935" t="n">
        <v>29</v>
      </c>
      <c r="I8935" t="inlineStr">
        <is>
          <t>それを生徒の多くの作品の中から選ぶのはひととおりの労力ではなかった。；家庭の建立に費す労力と精力とを自分は他に用うべきではなかったのか。；これが、無駄な労力をより減らしながらのより高速な通過を可能にする。；なんとなれば彼らは自家の労力によりて生活するものにあらざればなり。；非常にさいわいなことにエアトンは時間も労力も無駄にしていなかった。；そして必要とされたすべての仕事をやる労力も動力も機械もあります。；これらの管を発見したことで、われわれには時間と労力の節約になった。；ただしそれには多額の資金と労力が必要となるため、容易には行えない。；太宗が、人民の労力を軽くするために意図したものであると伝えられる。；これらは費用の面でも労力の面でも周辺の村々に重い負担となった。；外国人は労力を提供してくれた人にはチップを渡す習慣を持っている。；器物は何処へいっても、その所有者の労力を具体的に示しているものです。；だが、今回の計画実行には、本職の任務を遂行する以上に労力が必要だ。；日本の国内がこんなに労力の余裕があるのは、組織がまだ出来ていないからだ。；知的財産は、先述した根拠2つのうち主に労力を根拠とするものである。；このおかげで印刷屋は装飾を作る時間と労力を減らすことができた。；端に寄せられた雪の量を見ると、それが大変な労力を必要としたことがわかった。；その一つは労力の改良、すなわち少しでも価値の多い労働をしたい。；ウィロビー それだけで私どもの労力は報いられて余りあると申すもの。；この技術は数々の重要な発見をもたらしたが、観測には大変な労力を必要とした。；英国でも器械なき間は、資本と労力とは多く同一の人の手に在りました。；地球は彼女のかわりに動いているかのごとく、さほど労力も使わずに進んだ。；そのため、大石はとても時間と労力をかけた楽曲になった、と述べている。；コスト削減は財務面だけではなく、労力の面でも企業のメリットとなる。；これがすんでから、こんどは傘を作ることに大へんな時間と労力をかけた。；時間と労力の関係から、マンティの準備は家族総出の作業となる事が多い。；その後労力不足で売りに行けなくなったと言い、郡城で安く売り払った。；この仕上げの作業は、さほどの時間も労力も必要とはしないだろう。；しかしそれだけの労力を賭しても、大部分が輸送中に死んでしまったという。</t>
        </is>
      </c>
      <c r="J8935">
        <f>HYPERLINK("https://www.weblio.jp/content/労力", "词义详情")</f>
        <v/>
      </c>
      <c r="K8935">
        <f>HYPERLINK("https://yourei.jp/労力", "查看例句")</f>
        <v/>
      </c>
    </row>
    <row r="8936">
      <c r="A8936" t="inlineStr">
        <is>
          <t>ローマ字</t>
        </is>
      </c>
      <c r="B8936" t="inlineStr">
        <is>
          <t>成功</t>
        </is>
      </c>
      <c r="C8936" t="inlineStr">
        <is>
          <t>読み方：ろーまじ
古代ローマ人がラテン語を表記するのに用いた表音文字。その後もヨーロッパを中心に多くの国語を表記するのに用いられている。ラテン文字。→ローマ字綴り</t>
        </is>
      </c>
      <c r="D8936" t="inlineStr">
        <is>
          <t>ローマ字読み(3%)；ローマ字綴り(2%)；ローマ字で書か；ローマ字併記；ローマ字日記</t>
        </is>
      </c>
      <c r="F8936" t="inlineStr">
        <is>
          <t>ローマ字ひろめ；ローマ字入り；ローマ字による額面金額；ローマ字教育；ローマ字アルファベット</t>
        </is>
      </c>
      <c r="G8936" t="inlineStr">
        <is>
          <t>ローマ字入力；ローマ字化；ローマ字論；ローマ字転写；ローマ字かな変換</t>
        </is>
      </c>
      <c r="H8936" t="n">
        <v>29</v>
      </c>
      <c r="I8936" t="inlineStr">
        <is>
          <t>ローマ字日記を広げてはみるのだが、何をどう書いていいのかわからない。；導入当初はローマ字なしであったが、現在はローマ字入りになっている。；これには、彼女の手で刺繍がしてあるし、ローマ字で名前も書いてある。；作曲家の名前をローマ字にしたうえで、アルファベット順に並べている。；ローマ字綴りでは規定されていない特殊音の入力方法も発達している。；今日で三日もご無沙汰しているローマ字日記を書く気にもならない。；ローマ字のものは配色も文字デザインも同一のものを使用している。；ローマ字や地図の情報をさらに別板で加えているところがある。；日本人同士で話す場合はローマ字で会話をすることも見られる。；いまに世の中、みんなローマ字を使うようになるかもしれないのだ。；タイトルの英字表記は、すべてローマ字に基づいたものとなっている。；彼への挑戦状とおぼしきローマ字で書かれた怪文書が届いていたのだ。；イッペイ・クラチと云うローマ字をみて彼女が笑いたくなったのも当然だろう。；この言葉は純粋に東洋のことばであって、ローマ字で書くとAbaである。；三好徹によれば「本名のローマ字のアナグラムに由来している」という。；ガラスドアの脇に、ローマ字で同じ名前をしるしたプレートが掲げてある。；専修大学に保存されている退職記念の色紙はローマ字で書かれている。；けれどもローマ字読みにしても、何のことか意味が分からない。；写真集には三人の女の写真と名前が、やはりローマ字の斜体で書かれている。；日本字新聞では、ローマ字風の表記を、カタカナにして漢字を当てている。；カードテキストはアンノーン文字で記されており、ローマ字読みできる。；啄木がローマ字で日記を書いていたのは内容を妻に読まれたくなかったからである。；多くの場合は英語に対しての利用か、ローマ字に転化して用いられる。；ローマ字のテレックスを見て、石山は、状況を掴んでいるようであった。；言語は一つで、文字もローマ字に似ていて統一されている。；住所等はすべてローマ字で表記されており、送り主の名前はなかった。；私の姓をローマ字綴りにした場合と全く同じで、Agawa と書く。；この辞書は漢字をウェード式のローマ字順に並べて英語で説明をつけている。；そのローマ字の下に、小さく〈カラカラ・バー〉と日本語が描かれていた。</t>
        </is>
      </c>
      <c r="J8936">
        <f>HYPERLINK("https://www.weblio.jp/content/ローマ字", "词义详情")</f>
        <v/>
      </c>
      <c r="K8936">
        <f>HYPERLINK("https://yourei.jp/ローマ字", "查看例句")</f>
        <v/>
      </c>
    </row>
    <row r="8937">
      <c r="A8937" t="inlineStr">
        <is>
          <t>ろく</t>
        </is>
      </c>
      <c r="B8937" t="inlineStr">
        <is>
          <t>成功</t>
        </is>
      </c>
      <c r="C8937" t="inlineStr">
        <is>
          <t>読み方：ろく
［音］ロク（呉）リク（漢）　［訓］む　むつ　むっつ　むい
［学習漢字］1年
〈ロク〉
１数の名。むっつ。「六回・六尺・六腑(ろっぷ)・六法／丈六・蔵六・四六時中」
２六番目。「六月／第六感」
〈リク〉むっつ。「六義・六芸・六書・六朝・六韜(りくとう)」
〈む〉「六指(むさし)」
〈むい〉「六日(むいか)」
［難読］十六夜(いざよい)・双六(すごろく)・六十(むそ)・六十(むそじ)</t>
        </is>
      </c>
      <c r="D8937" t="inlineStr">
        <is>
          <t>ろくべく；ろく程；ろくたん</t>
        </is>
      </c>
      <c r="H8937" t="n">
        <v>29</v>
      </c>
      <c r="I8937" t="inlineStr">
        <is>
          <t>さうしたことに両者がエネルギーを消費してゐるとは驚ろくべきである。；もう一年越し同じ家にいるんだが、ろくぞっぽ話をしたこともないよ。；金を刷る誰かさんのところには、ろくでもない人間だって集まってくる。；ろくでもない息子なのに、おまえに会いたがってる連中が大勢いる。；それに、ろくでもないフレンチ一族なんか、みんなどうでもいいんです。；ろくでもない著書が何冊かあるので、知っている人もいるだろう。；わたくしはどうも、ろくでもない子どもばかりを産んでしまいました。；そういうのはたいていろくでもないことになり勝ちであった。；英二は私を捨てて、ろくでもない女といっしょになろうとしている。；しかし七回も断られるとは、きっとその男はろくでもない奴なんでしょう。；またなんだってわたしこの五年の間そんなろくでもない気持で過ごしたんでしょう!；ろくでもない内容を話していることがすぐにわかった。；ろくでもない技術でろくでもない効果が付加されていると考えた方が良いかもしれない。；僕はろくでもないことを考えながら、ふと愛聖館の掲示板を見上げた。；所詮人の頭で考えるのは、ろくでもないことが多いのでしょうか。；つまりだな、この街に居続けたってろくでもないことにしかならねえんだよ。；これまで黒猫を目撃した日には、大抵ろくでもない目にあってきた。；だから宵越しの銭など持つヤツは、ろくでもねえ野郎とイキがったのだ。；ちょっと見かけはいいが、ろくでもないものばかり並べてある。；それが、男はみんなろくでもない目にあい、女は海千山千になってしもた。；それが、男はみんなろくでもないめにあい、女は海千山千になってしもた。；そうなりゃよ、ろくでもない了見になってもしかたねえってもんだろう?；それはたぶん僕が身勝手で、ろくでもない、無価値な人間だからだと思う。；ろくは、昨日山科からのかえり、途で見も知らぬ一人の土方に出会った。；あの男はろくでもない公訴を大げさに騒ぎたてているだけなのだ。；いずれろくでもないことをするとは思ってたよ。；こういう時、こいつはろくでもないことを考えているのだ。；オレはろくでもない人生を送ってきたのだという確信があった。；ろくでもない策謀を巡らして割符を手に入れようとしたあの男がいる。</t>
        </is>
      </c>
      <c r="J8937">
        <f>HYPERLINK("https://www.weblio.jp/content/ろく", "词义详情")</f>
        <v/>
      </c>
      <c r="K8937">
        <f>HYPERLINK("https://yourei.jp/ろく", "查看例句")</f>
        <v/>
      </c>
    </row>
    <row r="8938">
      <c r="A8938" t="inlineStr">
        <is>
          <t>録音</t>
        </is>
      </c>
      <c r="B8938" t="inlineStr">
        <is>
          <t>成功</t>
        </is>
      </c>
      <c r="C8938" t="inlineStr">
        <is>
          <t>読み方：ろくおん
［名］(スル)再生を目的として、音声・音楽・音響などを種々の媒体に記録すること。また、その音。「座談会を—する」</t>
        </is>
      </c>
      <c r="D8938" t="inlineStr">
        <is>
          <t>録音盤；録音技術；録音賞；録音活動；録音用</t>
        </is>
      </c>
      <c r="E8938" t="inlineStr">
        <is>
          <t>記録；収録；レコーディング；採録；吹き込み</t>
        </is>
      </c>
      <c r="F8938" t="inlineStr">
        <is>
          <t>ライブ録音；新録音；再録音；全曲録音；ステレオ録音</t>
        </is>
      </c>
      <c r="G8938" t="inlineStr">
        <is>
          <t>録音テープ；録音スタジオ；録音技師；録音放送；録音再生</t>
        </is>
      </c>
      <c r="H8938" t="n">
        <v>29</v>
      </c>
      <c r="I8938" t="inlineStr">
        <is>
          <t>別の意味でカラヤンとの録音が比較されるのも意識したと言われている。；これは町の中の音など具体音を録音し、レコードで編集するものである。；他アーティストの楽曲カバーを録音状態で発表するのはこれが初となった。；現在では演奏される機会は多くはないとはいえ、録音も少なからずある。；俳優ごとに別々に録音され、様々な部分を編集でつなぎ合わせたようだ。；最初に開発されたシステムで、主に業務用途での録音・再生に使用された。；第一次世界大戦中の1917年10月にはレコード録音も始まっている。；前者ならば録音時間は60分、後者ならば74分録音できることになる。；台詞も録音したが、出来が悪かったため、その部分は公開されなかった。；録音となる場合は事前に録音を行う告知が行われ、お便りの募集を行う。；録音時などに、音量が可聴領域を超えてしまった部分で発生するノイズ。；なおシュトラウスは1926年に自身の指揮でこの曲を録音している。；ヨーロッパ各地での活動に駆け回ったが、新録音の契約は難航を極めた。；映画用のカメラは、一般に映像の撮影のみを行い、音声の録音は行わない。；広島FM本社スタジオ以外のスタジオでは公開生放送・録音を行っている。；そのため、撮影と同時に録音する場合、映画の題材が限られることになった。；そして通常は、録音できるものは再生もできるようにできている。；この録音技術はレゲエでは長く使われダブ・プレートと呼ばれている。；この年の録音の4ヶ月前にハリーは動機不詳の拳銃自殺を遂げている。；録音には残されていないが、同時代の作曲家の作品も積極的に取り上げていた。；しかしながら、ミキサーでの録音資料はストリーム配信にのみ限られる。；この録音は、ヒトラーの非公式的な会話を録音した唯一のものである。；レパートリーの多くは現在でも録音によって接することが可能である。；スタジオ録音で数分だった曲をライブでは10分以上かけて演奏することもあった。；その模様を録音したカセットテープがあり、冒頭には以下の発言があった。；録音時に映像と音声がしっかり同期していれば、確実に再生時にも同期できる。；また当時の専属契約で彼はベルリンでの録音はDGでしかできなくなった。；彼は混乱の感覚を作るために乱数放送の録音を使ったと述べた。；また運用規定で、録音した機器以外で再生することはできないように定められている。</t>
        </is>
      </c>
      <c r="J8938">
        <f>HYPERLINK("https://www.weblio.jp/content/録音", "词义详情")</f>
        <v/>
      </c>
      <c r="K8938">
        <f>HYPERLINK("https://yourei.jp/録音", "查看例句")</f>
        <v/>
      </c>
    </row>
    <row r="8939">
      <c r="A8939" t="inlineStr">
        <is>
          <t>露骨</t>
        </is>
      </c>
      <c r="B8939" t="inlineStr">
        <is>
          <t>成功</t>
        </is>
      </c>
      <c r="C8939" t="inlineStr">
        <is>
          <t>読み方：ろこつ
［名・形動］《骨をさらす意》感情などを隠さずに、ありのまま外に表すこと。また、そのさま。むきだし。あらわ。「不機嫌を—に顔に出す」「—な干渉」「—な描写」
[派生]ろこつさ［名］</t>
        </is>
      </c>
      <c r="D8939" t="inlineStr">
        <is>
          <t>露骨な言葉；露骨すぎる；露骨な表現；露骨な性的；露骨な性描写</t>
        </is>
      </c>
      <c r="E8939" t="inlineStr">
        <is>
          <t>オープン；公然；あらわ；あからさま；ありあり</t>
        </is>
      </c>
      <c r="F8939" t="inlineStr">
        <is>
          <t>露骨な好奇；露骨な嫌悪感；露骨に現わし；露骨な敵意；露骨な反感</t>
        </is>
      </c>
      <c r="H8939" t="n">
        <v>29</v>
      </c>
      <c r="I8939" t="inlineStr">
        <is>
          <t>この露骨な内政干渉の手段は結局幕府の受容するところとならなかった。；もっと、ことばを露骨にしていえば、つまり尊氏の指揮がなッていない!；どんな露骨な返事でもこの半分の力をこめることも出来なかったろう。；アーヴィングの日記に露骨な人種差別的記載があることも明らかになる。；露骨な人の立居振舞の折々にも、気のあるところはそれと推測が出来る。；政治屋の社会ではこんな露骨な言葉が通るだけでなく使うのが任務でもある。；低予算のアングラ雑誌のみが女性の性器や露骨なポーズを掲載していた。；それは現在の社会の欠陥なり不徳なりを充分露骨に現わしているとします。；董卓の性格は、その軍に、彼の態度に、ようやく露骨にあらわれてきた。；中にはかなり過激な、罹災者の心理を露骨に発表しているものもあった。；巣穴に巨大なベッドを用意する露骨な演出で演じられたこともある。；祖母はまた露骨に私の容貌の欠点を指摘して私に極りの悪い思いをさせた。；しかし、一部の少年漫画や青年漫画と比べてもあまり露骨な描写は無い。；そして、一緒にはいってきた連れの姿に露骨な興味の目を向けた。；地球人たちに実体がわかるほど露骨に、真の肉体を暴露すべきだろうか?；少し露骨すぎる嫌な言葉だと意識しながら、ぶしつけに云ってやった。；しかし、客が哲学の話題に触れると、露骨に嫌な顔をしたと言われる。；しかも実朝は、ひと目でそれと判るように露骨に人の句をとっている。；それが見ていてあまりに露骨なので、ニコラスはまたしても驚いてしまった。；また「巨人出身」であることに露骨な拒絶反応を示すファンもいたという。；そうして両方共それを露骨に云う事ができなかったのである。；舟木は太平の存在を問題にしてゐないといふ露骨な態度を見せてゐた。；しかしタイトルのための露骨なプレーにファンなどから不満が続出。；少なくとも敵意を露骨に示していたときの方が、誠実味が感じられた。；このような露骨な制約は、自然科学に就いては決して見られない処だった。；新聞に書いてあった刺激的な露骨な映像に、知らぬまに影響されていたのだろう。；李承晩政権の露骨な弾圧と問題から民心の支持がないことは問題であった。；かういふ露骨な心持までをも観客に見せてやりたいやうな気がする。；露骨に云えばあの男と楢山夫人との間にも、情交のある事を発見したのだ。</t>
        </is>
      </c>
      <c r="J8939">
        <f>HYPERLINK("https://www.weblio.jp/content/露骨", "词义详情")</f>
        <v/>
      </c>
      <c r="K8939">
        <f>HYPERLINK("https://yourei.jp/露骨", "查看例句")</f>
        <v/>
      </c>
    </row>
    <row r="8940">
      <c r="A8940" t="inlineStr">
        <is>
          <t>路地</t>
        </is>
      </c>
      <c r="B8940" t="inlineStr">
        <is>
          <t>成功</t>
        </is>
      </c>
      <c r="C8940" t="inlineStr">
        <is>
          <t>読み方：ろじ
三木卓の短編連作集。鎌倉を舞台に、さまざまな人生の交錯を描く。平成9年（1997）刊行。同年、第33回谷崎潤一郎賞受賞。</t>
        </is>
      </c>
      <c r="D8940" t="inlineStr">
        <is>
          <t>路地口；路地奥；路地沿い；路地いっぱい；路地入り口</t>
        </is>
      </c>
      <c r="E8940" t="inlineStr">
        <is>
          <t>小路；小道；横町；小径；細道</t>
        </is>
      </c>
      <c r="F8940" t="inlineStr">
        <is>
          <t>細い路地；裏路地；暗い路地；せまい路地；小さな路地</t>
        </is>
      </c>
      <c r="G8940" t="inlineStr">
        <is>
          <t>路地尊；路地状敷地；路地裏の優しい猫</t>
        </is>
      </c>
      <c r="H8940" t="n">
        <v>29</v>
      </c>
      <c r="I8940" t="inlineStr">
        <is>
          <t>道幅が狭い通りを単純に路地と呼ぶのではないことに注意が必要である。；こんな時間にこんな路地をうろうろしている奴がいる確率は万に一つだ。；駅に行くには集落内の路地を通る必要があり、車では来ることが出来ない。；路地の奥では、誠吉が、次郎が何をしてるかを心配しながら待っていた。；かつては自転車に看板を積み、狭い路地に分け入って貼って回っていた。；エリナは自分たちが連邦準備銀行の向かいの路地に来ていることを知る。；杣川から北へ少し離れた所にあり、駅付近は細い路地が入り組んでいる。；だが、おまえがおれのような人間だったらこの路地の意味がわかるんだけど。；それ以外の道路は細い路地であり、その多くが一方通行に指定されている。；彼らは踵を返しひそひそ声を立て笑い声を上げながら路地を去っていく。；町屋の間から裏店に至る路地の存在が示されていることも特徴である。；戦後、日当たりの良い南斜面を活用した路地ブドウ栽培が盛んになった。；宿所の後ろには秘密な隠し戸がついていて、そこを出ると路地になっていた。；場合によっては、店舗がなくても路地にテーブルを並べただけで成立する。；次第に、劇場敷地内は住宅や路地で切り分けられるようになっていった。；電柱の陰にも、向こう側の路地の中にも、人の隠れている様子はなかった。；この点よりして路地はまた渾然たる芸術的調和の世界といはねばならぬ。；十人余りのものが狭い路地のどぶ板を踏んで通って来るのであった。；脇道や路地でじっとしていた人々がやがて検問所の前に現れてきた。；死者が起きたのは路地にある14軒の小さな家のうちの7軒であった。；日本ではこのような路地は次第に姿を消したため、今では珍しいものとなっている。；この点よりして路地は又渾然たる芸術的調和の世界と云はねばならぬ。；路地の壁の庇の陰に暗い色の猫が座り、数えると十三匹を超えていた。；まだその辺の路地かなんかに隠れているかもしれませんよ。；ヨシ兄は路地跡を占拠して火を焚いて騒擾を起こし、開発の邪魔をする。；表庭は敷地の北東隅に位置し、玄関脇の南面い路地への門が据えられている。；これらの路地のドアは通常、ゲート衝突を防ぐために施錠されていた。；路地の奥から出て来た、まだうら若い美貌の学生の姿を見つけたのだ。；外敵の侵入を妨げる為もあって階段で出来た路地が複雑に入り組んでいる。</t>
        </is>
      </c>
      <c r="J8940">
        <f>HYPERLINK("https://www.weblio.jp/content/路地", "词义详情")</f>
        <v/>
      </c>
      <c r="K8940">
        <f>HYPERLINK("https://yourei.jp/路地", "查看例句")</f>
        <v/>
      </c>
    </row>
    <row r="8941">
      <c r="A8941" t="inlineStr">
        <is>
          <t>論議</t>
        </is>
      </c>
      <c r="B8941" t="inlineStr">
        <is>
          <t>成功</t>
        </is>
      </c>
      <c r="C8941" t="inlineStr">
        <is>
          <t>読み方：ろんぎ
［名］(スル)
１互いに意見を述べて理非を論じ合うこと。「—を尽くす」「—を呼ぶ」「健康法について—する」
２仏語。
㋐教義を明らかにするために問答すること。また、それが形式化された儀式。法会のほか、法楽などのためにも行われる。
㋑十二分経の一。教義の解説や注釈をした書。優婆提舎(うばだいしゃ)。
３声明(しょうみょう)の一種。2が形式化され、一定の唱え方が定められたもの。
４（ふつう「ロンギ」と書く）能で、地謡(じうたい)もしくはワキやツレとシテが問答形式で交互に謡い合う部分。また、その謡。</t>
        </is>
      </c>
      <c r="D8941" t="inlineStr">
        <is>
          <t>論議される(2%)；論議せら；論議しよ；論議問答；論議無用</t>
        </is>
      </c>
      <c r="E8941" t="inlineStr">
        <is>
          <t>主張；判断；態度；対立；議論</t>
        </is>
      </c>
      <c r="F8941" t="inlineStr">
        <is>
          <t>大きな論議；様々な論議；政策論議；さまざまな論議；合併論議</t>
        </is>
      </c>
      <c r="H8941" t="n">
        <v>29</v>
      </c>
      <c r="I8941" t="inlineStr">
        <is>
          <t>この時代から地域の教会とローマとの関係が論議を呼ぶことになってゆく。；この結婚で生まれた息子のアレッサンドロ・ロンギは後に画家になった。；インターネットや新聞で1回ごとに論議が報道され、市民に伝えられた。；その後も大学有力選手のプロ入り回避が続き、社会的にも論議を呼んだ。；こうしたことが論議を呼び、この碑が有名になるきっかけにもなった。；のみならず氏は論議の上で非常に卓越した意見を発表してをられた。；この論争がつづいたら、その点も論議の的になるんじゃないかと心配でね。；しかしその位置に機動部隊は存在せず、この点は戦後論議の対象となった。；それはおそらくあの問題が論議せらるべく空中に漂っていたのだろう。；論議を聞いてみると誰も彼もがいかにもその問題に精通しているように思われた。；また、トマスの研究主題の一部、例えばは、論議を呼ぶものと思われた。；挙げられた新名称に問題がある場合には論議を行いより正確な名称に変更してください。；このほかに緊急性が特に論議されたものは次のようなものがある。；この点では地球規模の合意に達し、論議の争点は移民の方法になった。；この二行の詩が正しいかどうかの論議はやめにしましょう。；市民にすべての論議が公開され、市民の声が殺到したことが大きな力となった。；論議の多かった逃亡奴隷法やカンザス・ネブラスカ法に反対して戦った。；しかしこの問題が司令部上層までに及んで論議されたことは聞いていない。；これに反対する運動も展開されて激しい論議が行われ、最終的には保存が決定された。；わしは直観的に、いま論議されているのはわし自身の運命だと悟ったからだ。；これらの抗議は、剽窃に関するものであり、これも激しい論議を呼んだ。；チェースの判決はすぐさま攻撃の的となり、今に至るも論議を呼んでいる。；しかし彼女等はその眞實な、天性の淑かさをもつて何も論議しなかつた。；ヴェラの息子によれば、彼女が参加した会議で記念碑の運命が論議されたという。；この主題には、大いに論議を進むべき材料がたくさんあるのでな。；その点で、これを品種の段階に扱っていいかどうかには論議の余地がある。；批判に対抗するため漫画表現を守るための団体も作られ、長く論議が続くことになる。；科学の分野で、統制の問題が論議されはじめたのとほぼ時を等しくしている。；シーア派の論議では、この節は文字通り解釈してはならないのである。</t>
        </is>
      </c>
      <c r="J8941">
        <f>HYPERLINK("https://www.weblio.jp/content/論議", "词义详情")</f>
        <v/>
      </c>
      <c r="K8941">
        <f>HYPERLINK("https://yourei.jp/論議", "查看例句")</f>
        <v/>
      </c>
    </row>
    <row r="8942">
      <c r="A8942" t="inlineStr">
        <is>
          <t>論じる</t>
        </is>
      </c>
      <c r="B8942" t="inlineStr">
        <is>
          <t>成功</t>
        </is>
      </c>
      <c r="C8942" t="inlineStr">
        <is>
          <t>読み方：ろんじる
［動ザ上一］「ろん（論）ずる」（サ変）の上一段化。「事の是非を—・じる」</t>
        </is>
      </c>
      <c r="D8942" t="inlineStr">
        <is>
          <t>論じるべき；論じる研究者</t>
        </is>
      </c>
      <c r="F8942" t="inlineStr">
        <is>
          <t>分けて論じる</t>
        </is>
      </c>
      <c r="H8942" t="n">
        <v>29</v>
      </c>
      <c r="I8942" t="inlineStr">
        <is>
          <t>で割りの形にしても解は変わらないのでこの形で論じられることが多い。；これでは、献金を受けているからと言って同一に論じることはできない。；これには共和政への移行を論じていた新聞や雑誌も含めて国中が心配した。；ほとんどはあまりに大きくて個人的な科学的話題を論じるのに不適当だった。；もともと、集団ごとの差異を論じるのはエジプトの古代絵画にも見える。；評価術語学は専門領域ではないのだが、エーコはこのように論じている。；そうした明確な目的意識なしには、アメリカとの関係は論じられない。；各国の文学作品を比較して、表現・精神性などを対比させて論じる立場。；これには、教育の必要性と教育の可能性の二面から論じられることが多い。；今西錦司は棲み分け理論の発展を元に、独自の生物社会論を論じている。；自由なナノ粒子の健康と環境への影響を論じる上でこれは大きな問題となる。；どの説であっても証拠をもとにもっともらしく論じることが可能だったからである。；人間はさらに、感覚よりも高度な思考の能力を備えている、と論じる。；そのため人間の社会と比較して論じられたりすることもあった。；文芸作品の価値を功利的な立場から論じることは私の趣味に合はない。；そのため、むしろその調節がどのようなものかを論じる姿勢があった。；ミシェル・シオンの著書「映画の音楽」では次のように論じられている。；その趣味の是非を論じるための標準は数理や科学からは求められない。；僕もまだ、あれだけを見て、君の芸術を論じる気にはなりませんよ。；という5つの想定をもとにした「地政的コード」に規定されると論じた。；したがって両者はかなり異なっており、しっかり区別して論じる必要がある。；そういえば、できもしないことをもっともらしく論じる人のいかに多いことか。；委員会で修正案の形で論じられたが、結局政府の原案通り可決された。；近年の研究では島津家内の問題も関連して論じられることが多い。；これらの類縁関係はさまざまに論じられ、一部を独立科にすることもあった。；そして最終的には諸関係が統一されることで世界という概念が発生すると論じる。；戦争や教育などさまざまな分野を論じ自らの政策を提言している。；両者を比較した場合、厳密に論じるのであれば、わずかな相違がある。；現象学から発生的観点を継承し、はじまり・起源の問題を批判的に論じた。</t>
        </is>
      </c>
      <c r="J8942">
        <f>HYPERLINK("https://www.weblio.jp/content/論じる", "词义详情")</f>
        <v/>
      </c>
      <c r="K8942">
        <f>HYPERLINK("https://yourei.jp/論じる", "查看例句")</f>
        <v/>
      </c>
    </row>
    <row r="8943">
      <c r="A8943" t="inlineStr">
        <is>
          <t>論争</t>
        </is>
      </c>
      <c r="B8943" t="inlineStr">
        <is>
          <t>成功</t>
        </is>
      </c>
      <c r="C8943" t="inlineStr">
        <is>
          <t>読み方：ろんそう
［名］(スル)互いに言い争うこと。「人類の起源について—する」</t>
        </is>
      </c>
      <c r="D8943" t="inlineStr">
        <is>
          <t>論争相手；論争点；論争自体；論争神学；論争終結</t>
        </is>
      </c>
      <c r="E8943" t="inlineStr">
        <is>
          <t>戦い；対立；議論；争い；衝突</t>
        </is>
      </c>
      <c r="F8943" t="inlineStr">
        <is>
          <t>大きな論争；巡って論争；長い論争；政治論争；境界論争</t>
        </is>
      </c>
      <c r="G8943" t="inlineStr">
        <is>
          <t>論争術；論争の解決</t>
        </is>
      </c>
      <c r="H8943" t="n">
        <v>29</v>
      </c>
      <c r="I8943" t="inlineStr">
        <is>
          <t>理由はわからないが、この手の論争に飽き飽きしていたのかもしれない。；その結果起こった様々な出来事は今日までも論争の的になっている。；特に高句麗史の帰属をめぐり韓国朝鮮と中国の間には論争が生じている。；経験的な証拠を異なって解釈することからいかに科学的な論争が巻き起こるか。；ただし、実際に部族同士の争いがあったかどうかについては論争がある。；バックパッカーは、他の旅行形態と同様に、論争の的であり続けている。；作品の文学性の基準は学者の間の数々の論争の的となってきた。；一方でエーベルトは今日まで非常に論争の的になっている人物である。；これを受けて孫権陣営では曹操に降伏するか抵抗するかで論争が起きた。；この初期の頻繁な移住は現代でウォレスの国籍について論争を起こした。；しかしその後、時代区分論争自体が結論のでないまま下火になっていく。；特に著名人に於いてはその立場が私なのか公なのかでしばしば論争が起こる。；これは一般的にも同様で、一部を除いて論争にすらならなかった。；ただしこの併合も国際社会からは認められず、後の論争の火種となった。；ところが、解釈には論争があり衝突以外の起源も提唱されている。；デリダは、以下に挙げる思想家や哲学者と論争し、または批判を受けた。；その一方で、本作の暴力的な表現が問題視され、常に論争の的となってきた。；したがって、この調査が報告する両性愛者の人口は論争の対象である。；当時、どのようなニュースグループが作られるべきか大きな論争があった。；このことは後の構造改革論争の際に、江田に悪い影響を与えることになる。；この作品を巡り石橋忍月との間で論争が起こったことも文学史上有名である。；そのために、従来の研究者たちと対立し、激しい論争が行われたと伝えられる。；このように、経済学と論争は、切っても切れない関係にあるといえる。；しかし、その後もオーストラリアとアフリカの論争は継続された。；これは労働組合主義を「経済主義」と呼んで批判する論争的な著作である。；浸食から海岸を救うための論争が、砂の本来の質をわずかに変えてしまった。；この区間においては仙台市北部の新設駅の場所を巡って論争が起きた。；現代の剣道はルールのあるスポーツにも分類されるが、後述のように論争がある。；これは単性論論争で分裂していた東方教会にとって大きな痛手となった。</t>
        </is>
      </c>
      <c r="J8943">
        <f>HYPERLINK("https://www.weblio.jp/content/論争", "词义详情")</f>
        <v/>
      </c>
      <c r="K8943">
        <f>HYPERLINK("https://yourei.jp/論争", "查看例句")</f>
        <v/>
      </c>
    </row>
    <row r="8944">
      <c r="A8944" t="inlineStr">
        <is>
          <t>論文</t>
        </is>
      </c>
      <c r="B8944" t="inlineStr">
        <is>
          <t>成功</t>
        </is>
      </c>
      <c r="C8944" t="inlineStr">
        <is>
          <t>読み方：ろんぶん
１論議する文。筋道を立てて述べた文。
２学術的な研究の結果などを述べた文章。「博士—」</t>
        </is>
      </c>
      <c r="D8944" t="inlineStr">
        <is>
          <t>論文集；論文賞；論文発表；論文等；論文執筆</t>
        </is>
      </c>
      <c r="E8944" t="inlineStr">
        <is>
          <t>記事；論；文章；課題；主題</t>
        </is>
      </c>
      <c r="F8944" t="inlineStr">
        <is>
          <t>同論文；記載論文；原著論文；共著論文；掲載論文</t>
        </is>
      </c>
      <c r="G8944" t="inlineStr">
        <is>
          <t>論文審査；論文式試験；論文掲載料；論文博士；論文撤回</t>
        </is>
      </c>
      <c r="H8944" t="n">
        <v>29</v>
      </c>
      <c r="I8944" t="inlineStr">
        <is>
          <t>晩年になっても研究生活は継続し、共著や単独で多数の論文を発表した。；梶田の一連の著作が対象とされる該当論文等と詳細に比較、検討された。；血液型と性格の関係に懐疑的な立場で一連の論文や著作を発表している。；この論文では、どうやってそれらの値に到達したのかは説明されていない。；ほとんど価値のない論文ですが、あの可哀想な男は喜んでいるでしょう。；しかしこれらの論文は、当時の物理学者にほとんど影響を与えなかった。；それらの論文の一部が初めて公表されたのは1839年のことだった。；論文の並びは著者別初出年順で収録書籍の発行年とは異なる場合がある。；編集者は、本や新聞などの刊行物や論文などの内容を編集する者である。；広い範囲で生産的な活動をしたが、その論文には多くの不正確な部分がある。；なぜならこの論文に書かれていることを私は20年以上前に得ていたのです。；しかしその独創的論文に他の学者が注目することはほとんどなかった。；後述の文献にて、研究を総説する2010年代の論文が提示されている。；これらの論文は両方とも自身の結果に基づいてもう1人を非難した。；試験内容は、専攻する学問に関連する領域における論文を作成するもの。；どちらも一長一短があり、両者の違いは論文などで議論されることもある。；したがって、ヨーロッパの技術論文を読む際には注意が必要となる。；ほかに1785年の「人種の概念の規定」など様々な論文を書いている。；事実、アメリカやドイツでは相当の設備と論文が発表されている。；そのことは大域解析学の論文を読むときには常に気を付けねばならない。；この論文の中で彼は、太陽熱が大気運動の原因であることを指摘した。；血液型と性格の関係に懐疑的な立場で一連の論文や著作を発表した。；これらの論文のうち、効果に否定的な結論を示す論文は63件中4件ある。；この結果をまとめた論文は1947年に『サイエンス』誌に掲載された。；大半の論文執筆者はカリーの意見に従った が、そうでない研究者もいる。；そうしたルールが整備された論文誌に掲載された論文は高い評価を得られる。；これら256種類のCAはいくつかの論文で研究・比較されている。；黒い星印は、この画像の原典たる論文が主題とするの化石産出地を示す。；スミスはランドの思想に関する学術的な本および論文を複数書いている。</t>
        </is>
      </c>
      <c r="J8944">
        <f>HYPERLINK("https://www.weblio.jp/content/論文", "词义详情")</f>
        <v/>
      </c>
      <c r="K8944">
        <f>HYPERLINK("https://yourei.jp/論文", "查看例句")</f>
        <v/>
      </c>
    </row>
    <row r="8945">
      <c r="A8945" t="inlineStr">
        <is>
          <t>論理</t>
        </is>
      </c>
      <c r="B8945" t="inlineStr">
        <is>
          <t>成功</t>
        </is>
      </c>
      <c r="C8945" t="inlineStr">
        <is>
          <t>読み方：ろんり
１考えや議論などを進めていく筋道。思考や論証の組み立て。思考の妥当性が保証される法則や形式。「—に飛躍がある」
２事物の間にある法則的な連関。
３「論理学」の略。</t>
        </is>
      </c>
      <c r="D8945" t="inlineStr">
        <is>
          <t>論理的(18%)；論理性；論理体系；論理学；論理構造</t>
        </is>
      </c>
      <c r="E8945" t="inlineStr">
        <is>
          <t>理論；論法；ロジック；立論；論理学</t>
        </is>
      </c>
      <c r="F8945" t="inlineStr">
        <is>
          <t>論理レベル；普遍的な論理；論理構成；法的論理；論理そのもの</t>
        </is>
      </c>
      <c r="G8945" t="inlineStr">
        <is>
          <t>論理学；論理式；論理回路；論理学者；論理ゲート</t>
        </is>
      </c>
      <c r="H8945" t="n">
        <v>29</v>
      </c>
      <c r="I8945" t="inlineStr">
        <is>
          <t>この論理は生物学だけでなく社会一般に大きな衝撃を持って迎えられた。；法制度を科学的に分析するための客観的論理を提供した点に功績がある。；これは論理的な否定ではなく、否定的な思いを表現するためと説明される。；このシステムは非常に複雑な論理設計の分析・評価を可能にするものである。；これら論理の主な利用法は、並行システムの仕様を記述することである。；中にはお互いに対立する主張もあり、論理的な矛盾が生まれている。；その判断は論理法則や経験則に基づく合理的なものでなければならない。；小説の主題に社会性があることと論理的な謎解きは矛盾しないからである。；論証が科学的であるためには、少なくとも論理的であることが求められる。；また、驚くべきことに恒真式はLPでも一般の論理体系でも変わらない。；彼の論理は、18世紀のワッハーブ派の運動に大きな影響を与えていく。；数値から意味を解釈する人間の論理は、しばしば嘘と呼ぶことがある。；これは、エリート階層が自らの利益を正当化するための論理なのである。；また洞察力や論理的な思考能力も高く彼の推察は的を射たものが多い。；最後の「哲学」に至って、端緒の論理学と円環を結んだ体系が完成する。；プログラマーはデータ構造の定義にデータの論理的な意味を反映したがる。；翻訳文学的でもある論理的に整理された簡潔・平明な筆致に特徴がある。；論理的な思考を持つ人物で、米国との戦争には否定的な見解を示していたと言われる。；しかしながらこれは物理の話であって、論理には直接関係するものではない。；この文章は論理的だが、話者の真実性を納得させることはできない。；関係代数で表現された式は、等価な関係論理の式で表現することができる。；ここで論理というとき、それが教えそのものでないことに注意が必要である。；父のピエールは地元の弁護士であり、論理的な人物であったという。；そのため、後の世代は年長派の論理だけで語ってしまいがちである。；笠原説は「論理が飛躍しているようにみえる」と批判されることもある。；このような論理の階層化がこのころ初めてなされるようになった。；標準的英語もこの論理に従うが、その他の言語では必ずしもそうではない。；これらの戦略は無意識的であり、身体的な論理のレベルで作用する。；人間の言語活動の中でも特に論理性や構造性が最も問われるものであると考えられる。</t>
        </is>
      </c>
      <c r="J8945">
        <f>HYPERLINK("https://www.weblio.jp/content/論理", "词义详情")</f>
        <v/>
      </c>
      <c r="K8945">
        <f>HYPERLINK("https://yourei.jp/論理", "查看例句")</f>
        <v/>
      </c>
    </row>
    <row r="8946">
      <c r="A8946" t="inlineStr">
        <is>
          <t>輪</t>
        </is>
      </c>
      <c r="B8946" t="inlineStr">
        <is>
          <t>成功</t>
        </is>
      </c>
      <c r="C8946" t="inlineStr">
        <is>
          <t>読み方：りん
［音］リン（呉）（漢）　［訓］わ
［学習漢字］4年
〈リン〉
１車のわ。また、自転車や自動車のこと。「輪禍／銀輪・競輪(けいりん)・後輪・車輪・前輪・動輪・両輪・三輪車」
２車のわのように円形のもの。「輪舞／火輪・月輪・光輪・大輪・日輪・年輪・半輪・外輪山・五輪旗」
３まわり。「輪郭／覆輪」
４順番が回ってくる。「輪読・輪廻(りんね)・輪番」
５仏教で、大地をささえているわ。「金輪際(こんりんざい)」
６仏教で、五大（地水火風空）のこと。「五輪塔」
〈わ〉「面輪(おもわ)・金輪(かなわ)・首輪・喉輪(のどわ)・花輪・指輪」</t>
        </is>
      </c>
      <c r="D8946" t="inlineStr">
        <is>
          <t>輪馬車(2%)；輪香子(2%)；輪式；輪車；輪型</t>
        </is>
      </c>
      <c r="E8946" t="inlineStr">
        <is>
          <t>車；円；丸；環；リング</t>
        </is>
      </c>
      <c r="F8946" t="inlineStr">
        <is>
          <t>二輪；四輪；一輪；七輪；舵輪</t>
        </is>
      </c>
      <c r="G8946" t="inlineStr">
        <is>
          <t>輪廻；輪廓；輪切り；輪中；輪番</t>
        </is>
      </c>
      <c r="H8946" t="n">
        <v>29</v>
      </c>
      <c r="I8946" t="inlineStr">
        <is>
          <t>一つの紋には、身や内といえる部分と、輪・枠や外といえる部分がある。；四輪の電動アシスト自転車も出力補助の条件は三輪のものと同一である。；この輪回しの輪は多くの文化圏で古くからよく知られている玩具である。；なお難民など移動が多い場合には、七輪の利用といった運動も聞かれる。；輪になったロープのような形をしており、地面などに置いて使用する。；飲食店など七輪炭火焼き用途での需要や演出目的での需要は堅調である。；飾輪は主に四葉の形をしており、見た目上の大きな特徴ともなっている。；日本において四輪軽自動車を製造した初期のメーカーの一つであった。；応用感情は輪において隣接する2つの基本感情の組み合わせからなる。；珠の数・材質に決まりは無く、輪の大きさ・主珠の大きさで決められる。；例えば、呼気で作った空気の輪を通って遊ぶイルカなどがこれに当たる。；アクセントは大半の地域で内輪東京式、新見市周辺で中輪東京式である。；ここでは現在市販されている二輪のオートバイとして一般的なものを示す。；内曲輪における櫓や門の位置関係については右の画像の説明文を参照。；タウンホールの正面には、舵輪に手を掛けたミッキーマウスの像がある。；重量増大に対応するため、中央脚が標準装備になり4輪式に変更された。；現在は国際共通マークとして認められ、徐々にその活動の輪が広がっている。；天和年間に大和国三輪から伝えられた素麺製造技術が基になっている。；主脚は左右それぞれに二重車輪の脚柱を5本並べた10輪構成となっている。；可視光では前述の通り非常に暗い為に、輪が明瞭に撮影される事はまず無い。；車輪は板車4輪で他に戻し車を備え、屋台中段は般若の大幕で覆われる。；また雨期と乾期に対応して形成された年輪様の構造は成長輪ともよばれる。；台輪は欅の1枚板で作られており、高山屋台中の白眉であるといわれる。；自ら七輪を用いて料理をすることもあったという。；父方の祖父は二輪馬車職人の家に生まれた四輪馬車の御者であった。；また引き込み式だった尾輪は生産性向上の為、途中から固定式に改められた。；ただし若い個体においては、必ずしも輪で判断できるとは限らない。；練炭火鉢は形状が類似している事から、七輪と混同される場合も多い。；ノリは良くも悪くもないが、友達の輪の中で一緒になって楽しむには問題ない。</t>
        </is>
      </c>
      <c r="J8946">
        <f>HYPERLINK("https://www.weblio.jp/content/輪", "词义详情")</f>
        <v/>
      </c>
      <c r="K8946">
        <f>HYPERLINK("https://yourei.jp/輪", "查看例句")</f>
        <v/>
      </c>
    </row>
    <row r="8947">
      <c r="A8947" t="inlineStr">
        <is>
          <t>和～</t>
        </is>
      </c>
      <c r="B8947" t="inlineStr">
        <is>
          <t>成功</t>
        </is>
      </c>
      <c r="C8947" t="inlineStr">
        <is>
          <t>読み方：わ
日本人の住む国。古代、中国から日本を呼んだ名。
（和）日本のものであること。日本的であること。「—の技術」「—に親しむ」</t>
        </is>
      </c>
      <c r="D8947" t="inlineStr">
        <is>
          <t>共同；接続；合併；合流；一致</t>
        </is>
      </c>
      <c r="H8947" t="n">
        <v>29</v>
      </c>
      <c r="I8947" t="inlineStr">
        <is>
          <t>大三元は初期の頃から存在していた役だが、当時の名称は三元和だった。；彼女は日本の雅や和の美しさの要素を、自らの文章と音楽で表現している。；二次の場合には二つの項の和で書けるということが上での計算から分かる。；その中には三角関数の積和の公式に相当する計算を行っている記載がある。；二項定理を二項より多くの項の和の冪に対して一般化することができる。；直前の四項の和に変更したテトラナッチ数列も同様に様々なことが知られている。；絞り上の全ての点源からの波の和が積分モデルや数値モデルで計算される。；上の式で を としたとき、 は との和が となる数である。；そのような対ふたつの和および実数倍は および で定義される。；かつて存在した和07は和01と後述する和03を統合したものである。；現在でも世界的には中国麻雀その他多くのルールで和/胡といっている。；ここで、第三辺の長さ がベクトルの和 で置き換わっていることに注意。；結び目の合成は 連結和、バンド和と呼ばれる操作と同等なものである。；教皇はこの和約を受けて教会内の混乱を収拾すべく公会議の召集を宣言。；系のハミルトニアン が無摂動項 と摂動項 の和で与えられた とする。；日本の和鐘は中国の南北朝時代の蝋型法が原型になっているとされる。；等比数列の初項から第 項までの和は以下の式で定義される。；そしてついに天正5年、これまでの態度を一転、後北条氏と和を結んだ。；すべての数を2乗しても、縦・横の和が一定になる物を多重魔方陣と呼ぶ。；陰陽五行では、十干の己は陰の土、十二支の未は陰の土で、比和である。；またこの部分和の列自身を「形式的な和」として などの形で書き表す。；簡単な計算から上記の方程式の一般解は もしくはこれらの線形和である。；の和を で定義すると、これは を含む左イデアルのうち最小のものである。；また上下右左に「和開同珎」という読み順の可能性を指摘する説もある。；そして、韓侂冑の首を金に送って主戦派を抑え込んだ上で和約を成立させた。；例えば、「サイコロ2個を振ったときの出た目の和」は確率変数である。；日本の和錠の技術ももとは中国大陸から伝来したと考えられている。；日本にも南北朝時代には早くも紹介されて和刻本も印刷され、よく読まれた。；和なしと同じく古い起源は中国だが、西に移動して分化したものが洋なしである。</t>
        </is>
      </c>
      <c r="J8947">
        <f>HYPERLINK("https://www.weblio.jp/content/和～", "词义详情")</f>
        <v/>
      </c>
      <c r="K8947">
        <f>HYPERLINK("https://yourei.jp/和～", "查看例句")</f>
        <v/>
      </c>
    </row>
    <row r="8948">
      <c r="A8948" t="inlineStr">
        <is>
          <t>わあ</t>
        </is>
      </c>
      <c r="B8948" t="inlineStr">
        <is>
          <t>成功</t>
        </is>
      </c>
      <c r="C8948" t="inlineStr">
        <is>
          <t>［感］
１驚いたり感動したりしたときなどに発する声。わ。わっ。「—、きれいだ」
２急に泣くときの声。わっ。「—と泣きだす」
３多くの人がいっせいにあげる大声。「—と喊声(かんせい)をあげる」</t>
        </is>
      </c>
      <c r="D8948" t="inlineStr">
        <is>
          <t>わあッ(7%)；わあああああ(2%)；わあいと；わあつと；わああああ</t>
        </is>
      </c>
      <c r="E8948" t="inlineStr">
        <is>
          <t>まあ；あら；あらあら；あらまあ；おやまあ</t>
        </is>
      </c>
      <c r="F8948" t="inlineStr">
        <is>
          <t>わあー；わあっと声；わあっと叫び；わあっと歓声；いいわあ</t>
        </is>
      </c>
      <c r="G8948" t="inlineStr">
        <is>
          <t>わあん</t>
        </is>
      </c>
      <c r="H8948" t="n">
        <v>29</v>
      </c>
      <c r="I8948" t="inlineStr">
        <is>
          <t>逆に九機は任務交代を告げられたとき「わあッ」と喚声をあげたときく。；わあとか言いそうになったとたん、紅葉が光則の体にしがみついてきた。；わあ、という歓声が教室前部のドア付近にいた数人の女子から上がった。；わあ、コイツ、もうヤバイかもしれない、と思ったのはよく覚えてます。；「うわわあ〜」 その日は残りの時間中、ずっと本を棚に戻していた。；「わあ、何て気持の悪いことをなさるんです先生」と男の児は言った。；わああああああああああああああああああああ!!!!；そういう男と巡り合いたいわあ、と彼女は、いつも目を輝かせている。；彼女の姿を見て、わあ、とてもよく似合ってますよ、と笑顔でいう。；香子はスツールに座ったままで「わあ、ありがと」と手を伸ばしてくる。；「わあ」 花火が上がるたび、それを見ていた仲間たちの顔がほころぶ。；「飛んでみたいわあ」 「どんな材料が必要ですか」と、宗貞が訊ねた。；「おい、取り返したぞ」 東吾に声をかけられて、わあっと声を上げた。；わあああんという耳鳴りがするだけで、他の音はいっさい聞こえない。；白いふわあとしたスカートで、それで、彼女が椅子に腰かけるシーン。；するとその子もわあと泣いてしまいました。；あたしここに来て初めて幸せだって思えるわあ。；あたしがブクブク肥っている間にこんなに立派になるなんて尊敬しちゃうわあ。；三十石船の船頭が「わあッ」と叫んで、三人とも苫の中へ逃げこんだ。；わあ、っと誰かが叫んで階段に駆け寄ると、他の皆も殺到し始めた。；わあ、と大声あげて叫び出したい思いなのである。；わあッという歓声の中で、マウンドの江川が、眉を寄せ、首をかしげた。；今日来てくれはったんやけど、風邪気味で、横になってましてんわあ。；おれの顔を見てみんなわあと笑った。；珍しいことは重なるもんで、今日は久しぶりに平和な朝ですわあ。；「わあー」 ユイは顔を輝かせ、両手を広げて自分の体を見下ろした。；ないないないないない、頭を抱えてわああっと叫び出しそうになったとき、右手に拳銃を握ったままだったことを思い出した。；馬を走らせながら彼は、急に、わああっと大声をあげたくなった。；「わあい」 とりあえず、逃げないと言うのでツクツクさんが耳を放す。</t>
        </is>
      </c>
      <c r="J8948">
        <f>HYPERLINK("https://www.weblio.jp/content/わあ", "词义详情")</f>
        <v/>
      </c>
      <c r="K8948">
        <f>HYPERLINK("https://yourei.jp/わあ", "查看例句")</f>
        <v/>
      </c>
    </row>
    <row r="8949">
      <c r="A8949" t="inlineStr">
        <is>
          <t>ワープロ</t>
        </is>
      </c>
      <c r="B8949" t="inlineStr">
        <is>
          <t>成功</t>
        </is>
      </c>
      <c r="C8949" t="inlineStr">
        <is>
          <t>「ワードプロセッサー」の略。</t>
        </is>
      </c>
      <c r="D8949" t="inlineStr">
        <is>
          <t>ワープロ打ち(2%)；ワープロ文字；ワープロオペレーター；ワープロ機能；ワープロ原稿</t>
        </is>
      </c>
      <c r="F8949" t="inlineStr">
        <is>
          <t>パーソナルワープロ；ワープロ実務；用ワープロ</t>
        </is>
      </c>
      <c r="G8949" t="inlineStr">
        <is>
          <t>ワープロ専用機；ワープロ検定；ワープロ通信</t>
        </is>
      </c>
      <c r="H8949" t="n">
        <v>29</v>
      </c>
      <c r="I8949" t="inlineStr">
        <is>
          <t>調査の結果と喜びをまとめたくなり、ワープロ版を作って増補を重ねた。；美術の時間に描いた絵や、使わなくなったワープロまでとってあった。；そう思いながら、良輔は保存していた原稿をワープロに呼び出していた。；いま普及しつつあるワープロも、原理的には写植の延長上のものである。；ワープロで書かれた説明文の後に、父親が手書きで次のように記している。；三津田との電話を終え、流しで水を飲んでからワープロの前へ戻った。；時代のせいかもしれず、ワープロの普及を考えると、深く論じにくいが。；ワープロは、栃之木の部屋からは遠い側の、事務室の隅に置かれている。；これは何かの資料を見ながらワープロを打ったなと思いました。；岸川とのやり取りが気になり、松尾がワープロを前に考えていたときだ。；ワープロは良輔が家で使っているかなり旧式のものとまったく同じだった。；なにしろ、今ではもうワープロはほとんどかめくんの一部になっている。；いまならワープロがあるわけだが、べつな形の変な症状が出るのではないか。；バーに入っていくと、ワープロオペレーターが肩の高さで手を振った。；このワープロの手紙は、井崎が拘置されている時に届いたわけでしょう。；今日の会議の資料は昨日のうちにワープロを打って机のうえにおいてあります。；最近では、パソコンやワープロの機能がずいぶん使いやすくなっています。；ツアー先で故障すれば、買いにいってまでワープロを離さなかった彼。；母親が仕事で使っていたワープロで幼稚園時より絵を描き始める。；フロッピーはワープロにセットされたままになっていたのである。；ワープロが文章に与えた影響はまだ十分に知られていない。；もっとも、いまは、ワープロやパソコンの類を持っている独身男は多い。；記者もワープロを使うよう総務が推奨しているが誰も手をつけない。；兄の話によれば、最近はワープロ可のレポートは少なくなりつつあるらしい。；ワープロの文書には、その文書を作った日付が履歴として残るんです!!；ワープロの原稿がきみのマンションなり会社に送られてくる。；原稿すべてに赤字を入れると、次はそれをワープロに入力していった。；あと、仕組みもわからないままにこうしてワープロ打ってたりとかね。；中を見てみると、白い用紙にぎっしり並んだ文字もワープロ文だった。</t>
        </is>
      </c>
      <c r="J8949">
        <f>HYPERLINK("https://www.weblio.jp/content/ワープロ", "词义详情")</f>
        <v/>
      </c>
      <c r="K8949">
        <f>HYPERLINK("https://yourei.jp/ワープロ", "查看例句")</f>
        <v/>
      </c>
    </row>
    <row r="8950">
      <c r="A8950" t="inlineStr">
        <is>
          <t>ワイシャツ</t>
        </is>
      </c>
      <c r="B8950" t="inlineStr">
        <is>
          <t>成功</t>
        </is>
      </c>
      <c r="C8950" t="inlineStr">
        <is>
          <t>《「ホワイトシャツ（white shirt）」から》男子が背広の下に着る台襟・カフス付きのシャツ。</t>
        </is>
      </c>
      <c r="D8950" t="inlineStr">
        <is>
          <t>ワイシャツ姿(7%)；ワイシャツ型</t>
        </is>
      </c>
      <c r="E8950" t="inlineStr">
        <is>
          <t>シャツ</t>
        </is>
      </c>
      <c r="F8950" t="inlineStr">
        <is>
          <t>白ワイシャツ；青いワイシャツ；新しいワイシャツ；半袖ワイシャツ；きいたワイシャツ</t>
        </is>
      </c>
      <c r="H8950" t="n">
        <v>29</v>
      </c>
      <c r="I8950" t="inlineStr">
        <is>
          <t>その奥、中年の男の身体に半ば隠れて、白ワイシャツの男が座っていた。；その男は奇妙なことに、雪の降る中をワイシャツ姿で颯爽と歩いていた。；彼の糊でごわごわしたワイシャツが首や手首のあたりで音をたてていた。；翠はすぐに戻り、後ろからブルーのワイシャツを着た青年がついてくる。；ワイシャツを振った時に紙の上にバラバラと埃のようなものが落ちた。；たとえばワイシャツでは首周りと袖丈とでサイズ分けされていることが多い。；このようにして現在のワイシャツのスタイルが成立していった。；セーターをきたり、ワイシャツだけだったりの若者の群れがでてきた。；気にはなったが、先に着替えのスーツとワイシャツを揃えることにした。；恐らく上着とワイシャツは紙のような物に包まれて現場に運ばれたであろう。；例えば、ワイシャツのポケットをよく調べずに洗濯をしたりするのだ。；男ふたりは作業服を着ているが、ワイシャツもつけず、靴もはいていない。；水色のワイシャツを着ているのだが、第一ボタンもキッチリ留めている。；というのは、それが新しいワイシャツであったかもしれないからです。；ワイシャツのボタンぐらいの大きさといっていなかったかね。；そのワイシャツがどんな状態だったか、私は思い出せなかったのです。；村越はいままで仕事をしていたらしく腕まくりをしたワイシャツ姿であった。；プロダクションへ出かけなければと服を探したが肝心のワイシャツがない。；やがて、ワイシャツ姿のがっしりした体格の男が奥のドアを開いて現れた。；ワイシャツも汚れているし、よく見ると靴足袋も踵に穴があいてるの。；それに、上衣を脱いで、ワイシャツ姿になっている男も、二人いるのだ。；先ず、男がワイシャツを肘の上までまくり上げていることに気がついた。；男子はワイシャツの第一ボタンまでは開けてもよいという校則になっている。；かわり番こにワイシャツにチョッキ姿の社員が手洗いに出たり入ったりした。；ワイシャツの取りはずしカラーはよじれて一本の紐のようになっていた。；彼がそれ以外のワイシャツを着ているところなど、思いだすこともできない。；仕方なくメモ用紙の方はまるめてワイシャツの胸ポケットにしまった。；白のワイシャツで紺地のネクタイをしめたドスト氏が事務所から出てきた。；大きなワイシャツの飾りボタンのようなものを背負っていますよ!</t>
        </is>
      </c>
      <c r="J8950">
        <f>HYPERLINK("https://www.weblio.jp/content/ワイシャツ", "词义详情")</f>
        <v/>
      </c>
      <c r="K8950">
        <f>HYPERLINK("https://yourei.jp/ワイシャツ", "查看例句")</f>
        <v/>
      </c>
    </row>
    <row r="8951">
      <c r="A8951" t="inlineStr">
        <is>
          <t>和英</t>
        </is>
      </c>
      <c r="B8951" t="inlineStr">
        <is>
          <t>成功</t>
        </is>
      </c>
      <c r="C8951" t="inlineStr">
        <is>
          <t>読み方：わえい
１日本語と英語。
２「和英辞典」の略。</t>
        </is>
      </c>
      <c r="D8951" t="inlineStr">
        <is>
          <t>和英對譯商用便(4%)；和英字書(4%)；和英両(3%)</t>
        </is>
      </c>
      <c r="G8951" t="inlineStr">
        <is>
          <t>和英語林集成；和英辞書</t>
        </is>
      </c>
      <c r="H8951" t="n">
        <v>29</v>
      </c>
      <c r="I8951" t="inlineStr">
        <is>
          <t>これらの主要な書籍は和英両文で発表され、国際的にも知名度は高い。；さらにそのためには、まず英和・和英の辞書を作らなくてはならない。；林町で備えている井上の和英の大型のがよいと思っていたら絶版の由。；また開園当初より和英の2言語でのイマージョン教育を採用している。；和英の辞書のどの語をひけばいいのかわからないのである。；JAPANが運営していた、国語・英和・和英などの辞書検索サービス。；その店頭の雑書の中に積まれていたのは、例のヘボン先生の和英字書であった。；英語の書物を読むには英和の字書で済むが、英語の会話を学ぶには和英の字書がなくてはならぬ。；それは日本ではじめての本格的な和英・英和をかねた辞書の編集と聖書の和訳で、それがもう一つの建物で行われているのでした。；今日ではこれ以上の和英字書も数種刊行されているが、その当時の我々は先ずヘボン先生の著作に縋るより他はない。；そのへんのつぼをきちんと押さえてもらうためには、英和の訳ではなくて、和英の訳でなければ無理だろう。；そうすると一同が、ドクトル・ペーンは和英相通じて医者相当の名であるとの評が起こった。；Felixは、和英翻訳者によって開発された翻訳支援ツールである。；むろんそれは井吹重平の所持する『和英商売対話集初編』から得た知識であった。；ニューヨークでの苦学時代に、星は安楽といっしょに、和英両文で印刷した週刊の小新聞を発行していたことがあった。；ヘラルド社の本は和英対訳で、部分訳であり、元出た本のように只訳したのではなくて、もっと本の筆者の側から紹介したり何かしている本です。；和英の辞典はコンサイズよりもすこし大きくて目のつかれないひきいいのが林町にあったから、それと同じのを入れましょう。；和英はただ単語ばっかり並べたのはつまるまいと思います。；和英の辞書をひいても、勘に相当する適当な言葉は見当らない。；社会的立場のある和英大学教授、大原泰三は娘の由理子が妊娠していると知る。；その後一時までは、メドハーストの和英英和辞典を参考に、訳文の再検討に念を入れた。；「おぬしのいうそのグランドファーザーと発音する根拠は何処からきとるとね」 きわは和英の対話集をみせて貰ったことがあると答え、あえて具体的に本の名前と所在を明らかにしなかった。；ただし2014年5月に再び元の名前である中埜和英に改名したため、今のところ中埜家で又左衛門を名乗るものはいない。；以降は社長は空席で、中埜和英と長女の中埜裕子専務らが共同で経営を担った。；ギュツラフ牧師はね、プロシャの方だがね、和英の辞書を持っておられるそうだ。；ことによると、もともとは外国製のことばで、それを直訳しただけのことなのかもしれないとも思って、手持ちの英和・和英ぜんぶの辞典を引いてみたが載っていなかった。；その後、『和英対訳辞書』などを出版して、語学の天才と言われた。；しかもギュツラフは、その先輩メドハーストが著した和英、英和辞典を手にしていた。；松下電器は福武書店の国語・英和・和英が付属していた。</t>
        </is>
      </c>
      <c r="J8951">
        <f>HYPERLINK("https://www.weblio.jp/content/和英", "词义详情")</f>
        <v/>
      </c>
      <c r="K8951">
        <f>HYPERLINK("https://yourei.jp/和英", "查看例句")</f>
        <v/>
      </c>
    </row>
    <row r="8952">
      <c r="A8952" t="inlineStr">
        <is>
          <t>我が～</t>
        </is>
      </c>
      <c r="B8952" t="inlineStr">
        <is>
          <t>成功</t>
        </is>
      </c>
      <c r="C8952" t="inlineStr">
        <is>
          <t>読み方：わが
［連体］《代名詞「わ」に格助詞「が」の付いた語から》
１話し手のものであること、また、関係あるものであることを表す。わたしの。われわれの。「—子」「—国」「—母校」
２（多くは固有名詞の上に付けて）話し手と関係が深く、親しみや誇りを感じているさまを表す。「この美談の主こそ—田中君なのです」</t>
        </is>
      </c>
      <c r="H8952" t="n">
        <v>0</v>
      </c>
      <c r="J8952">
        <f>HYPERLINK("https://www.weblio.jp/content/我が～", "词义详情")</f>
        <v/>
      </c>
      <c r="K8952">
        <f>HYPERLINK("https://yourei.jp/我が～", "查看例句")</f>
        <v/>
      </c>
    </row>
    <row r="8953">
      <c r="A8953" t="inlineStr">
        <is>
          <t>若い</t>
        </is>
      </c>
      <c r="B8953" t="inlineStr">
        <is>
          <t>成功</t>
        </is>
      </c>
      <c r="C8953" t="inlineStr">
        <is>
          <t>読み方：わかい
［形］［文］わか・し［ク］
１生まれてから多くの年数を経ていない。年齢が少ない。「—・いころ」「—・い女性」
２草木などが生え出てからあまりたっていない。「—・い樹木」「—・い芽」
３できてからの時間が短い。まだ十分に発達していない。「—・い国」「—・い産業」
４他の人にくらべて、年齢が下である。「私より三つ—・い」
５衰えていない。生気に満ちている。若々しい。「気持ちが—・い」「年の割にからだが—・い」
６世慣れていない。経験が少なく、未熟である。「考え方が—・い」「すぐ顔色に出るようではまだ—・い」
７数字や番号が他とくらべてゼロに近い。数が少ない。「—・い番号」
[派生]わかげ［形動］わかさ［名］</t>
        </is>
      </c>
      <c r="D8953" t="inlineStr">
        <is>
          <t>若い男(9%)；若い頃(7%)；若い女性(6%)；若い娘(4%)；若いころ(3%)</t>
        </is>
      </c>
      <c r="E8953" t="inlineStr">
        <is>
          <t>小さい；青い；幼い；未練；若々しい</t>
        </is>
      </c>
      <c r="F8953" t="inlineStr">
        <is>
          <t>お若い；若い女の子；若い方；若い刑事；若い妻</t>
        </is>
      </c>
      <c r="G8953" t="inlineStr">
        <is>
          <t>若い者；若い人；若い衆；若い世代；若い人たち</t>
        </is>
      </c>
      <c r="H8953" t="n">
        <v>29</v>
      </c>
      <c r="I8953" t="inlineStr">
        <is>
          <t>女優になることを夢見ており、若い頃は犯罪の道に進む気配はなかった。；晩年までエクスで制作を続け、若い画家たちが次々と彼のもとを訪れた。；このことからタイタンの表面は、年齢と比較して若いと考えられている。；永遠の若さをもつとされるのはヴィクトリア朝時代に入ってからである。；若い頃はプロテスタントの聖職者になろうと考えたこともあったという。；しかし実際にはこの年齢より若くしてその階級に達している者が多い。；一人の若き王の犠牲と引き換えに、世界には再び朝が訪れるのであった。；庵野の父親は若い頃の事故で左足の膝から下を失っており義足であった。；板額は今しばらく待つようにいうので市若はふたたび一間へと隠れた。；私は、若かった昔から、一度もこういう言葉を口にしたことはなかった。；世界が若かった頃そこに古き神々が住んでいたと聞いたことがあります。；若し彼女が起きていたら、私は謝辞なしには入らなかったことであろう。；妻の名は不明であるが、ディエゴが死去した時まだ若かったとみられる。；それは若いトリケラトプスだけで群れを作っていた可能性を示唆する。；若しこれ三等分すれば、三人とも一家を立つることが出来ないのである。；陸軍の若いものは自分たちの考えのみが正しいと思い込んでおります。；ドイツなどでは、かなり若いころに2つの経路のうちどちらを選ばせる。；また、全長40cm程度の若い個体が群れを作ることも報告されている。；若し君がフロイドの説を知っていたら決してそんな事は云わないだろう。；若く独善的な彼はアカデミーのサポートを失った上に評判も悪くなった。；いい年をして、わからないことが若かった頃よりも増えてきた感すらある。；そのようなものを若し他人に発見されたらば、どんなことになるであろう。；若し鏡の助けがなかったら、一寸急には発見出来なかったかも知れない。；実際、僕だけじゃなく、若い連中からもかなり不満が出ていましたね。；結婚は両者が若すぎたためうまくいかず、1216年に結婚は解消された。；二人とも若い男で、一人はすこし年上だが、もう一人はずっと若かった。；この仕事のためにガニュメーデースには永遠の若さと不死が与えられた。；若し彼が飲酒家であれば、九時から飲み始めて床につく迄それを続ける。；そこには若い女性の遺体と、その脇で泣いている若い男の姿があった。</t>
        </is>
      </c>
      <c r="J8953">
        <f>HYPERLINK("https://www.weblio.jp/content/若い", "词义详情")</f>
        <v/>
      </c>
      <c r="K8953">
        <f>HYPERLINK("https://yourei.jp/若い", "查看例句")</f>
        <v/>
      </c>
    </row>
    <row r="8954">
      <c r="A8954" t="inlineStr">
        <is>
          <t>和菓子</t>
        </is>
      </c>
      <c r="B8954" t="inlineStr">
        <is>
          <t>成功</t>
        </is>
      </c>
      <c r="C8954" t="inlineStr">
        <is>
          <t>読み方：わがし
日本風の菓子。製法により、生菓子・干菓子・半生菓子などに大別される。羊羹(ようかん)・最中(もなか)・煎餅(せんべい)など。⇔洋菓子。</t>
        </is>
      </c>
      <c r="D8954" t="inlineStr">
        <is>
          <t>和菓子職人(5%)；和菓子製造(2%)；和菓子作り；和菓子工場；和菓子の饅頭</t>
        </is>
      </c>
      <c r="E8954" t="inlineStr">
        <is>
          <t>菓子；お菓子；おかし；洋菓子；スイーツ</t>
        </is>
      </c>
      <c r="F8954" t="inlineStr">
        <is>
          <t>新しい和菓子；和菓子製造販売</t>
        </is>
      </c>
      <c r="G8954" t="inlineStr">
        <is>
          <t>和菓子屋；和菓子メーカー；和菓子のアン；和菓子甲子園；和菓子の日</t>
        </is>
      </c>
      <c r="H8954" t="n">
        <v>29</v>
      </c>
      <c r="I8954" t="inlineStr">
        <is>
          <t>和菓子・洋菓子の両方の要素を取り入れた菓子も珍しくなくなっている。；近年は世代ごとにブランドを分け新しい和菓子の姿を提案している。；このようにして江戸時代には現在の和菓子のほとんどが形作られた。；設立当初は和菓子をメインとした経営主体であったが、現在は洋菓子も展開。；イリヤは戸惑ってから、初めて見るであろう東洋の和菓子を手に取った。；また、このころから和菓子だけでなく洋菓子の製造販売をするようになった。；もしこれ読んだつるやの社員が和菓子を送ってきたらどうしよう。；特に豆類から作られる餡は、和菓子の基本と言われるほど重要視される。；もしかしてぼくは本来、洋菓子よりも和菓子の方が好きなのかもしれない。；和菓子店から発展したため、パンと並行して和菓子の製造・販売も続けられていた。；この名は春の季語であり和菓子の名前にも用いられている。；かるかんなど和菓子の素材となったり、生薬の材料となることもある。；明日にはきっと、和菓子売り場中にこの話は広がっているだろう。；以上のほかにも様々なものが和菓子の材料になる。；文化饅頭は、かつて名古屋市の栄三越内の店舗で販売されていた和菓子。；そして次の瞬間には、何かを考え込んだ表情でジッと手の中の和菓子を見つめた。；解くと和菓子の箱で、松本屋はそれを田毎の前に押して頭を下げた。；金粉の散らし方は和菓子の雰囲気を持っているが、色や形は洋菓子のそれだ。；毎年秋に開催され、洋菓子・和菓子・パンの実演・販売・体験を行っている。；まるで極上質の寒天で魚形につくった何かの和菓子みたいな姿である。；さらには和菓子の販売を主体とした事業を展開。；販売される商品は和菓子が全商品の8割を占め、2割が洋菓子となっている。；これが後に、和菓子の方向性を決定したとも考えられている。；県内にチェーン店を展開し、和菓子・洋菓子の製造及び販売を行っている。；セイ子ねえさんが持って来てくれる菓子は、いつも上物の和菓子だった。；部屋のすみに和菓子の紙箱をおき、両親の形見と写真を飾ってある。；近年は町おこしの一環として和菓子の製造にも力を入れている。；仙台市を中心に十数店舗を展開している和菓子の老舗である。；しかし昭和15年頃から、砂糖など和菓子原料の入手が困難になり始めた。</t>
        </is>
      </c>
      <c r="J8954">
        <f>HYPERLINK("https://www.weblio.jp/content/和菓子", "词义详情")</f>
        <v/>
      </c>
      <c r="K8954">
        <f>HYPERLINK("https://yourei.jp/和菓子", "查看例句")</f>
        <v/>
      </c>
    </row>
    <row r="8955">
      <c r="A8955" t="inlineStr">
        <is>
          <t>沸かす</t>
        </is>
      </c>
      <c r="B8955" t="inlineStr">
        <is>
          <t>成功</t>
        </is>
      </c>
      <c r="C8955" t="inlineStr">
        <is>
          <t>読み方：わかす
［動サ五（四）］《「湧(わ)かす」と同語源》
１熱を加えて水などを熱くする。また、煮えたたせる。「風呂を—・す」「湯を—・す」
２熱狂させる。夢中にさせる。「タイムリーヒットが場内を—・す」「絶唱が観客を—・す」
３（「鎔かす」とも書く）金属を熱して溶かす。
「カネヲ—・ス」〈和英語林集成〉
４発酵させる。
「又説、大御酒(おほみき)—・せまゆとじめ」〈催馬楽・眉刀自女〉
[可能]わかせる</t>
        </is>
      </c>
      <c r="D8955" t="inlineStr">
        <is>
          <t>沸騰；ボイル；沸く；煮えたぎる；煮沸</t>
        </is>
      </c>
      <c r="H8955" t="n">
        <v>29</v>
      </c>
      <c r="I8955" t="inlineStr">
        <is>
          <t>別に大きな鍋で湯を沸かしてその中へ入れて一時間半以上湯煎にします。；七輪に火も興りかけていたし、鉄瓶にも湯を沸かす仕掛けがしてあった。；とても小森のような座を沸かすというようなことはできないからである。；湯は沸かしているが入浴中ではないのか、それとも、話す気がないのか。；飢えをしのぐため、川の水をくんでそれを沸かして飲んでいるのだろう。；会社で秘書に命じて薬罐に湯をたぎるまで沸かさせ部屋に運ばせました。；今日の訪問と関係あるのかな、と思いながら真九郎は台所でお湯を沸かす。；火を点けることのできる能力ならば、湯を沸かすこともできるのでは?；地元の人々はこれを汲んで家に持ち帰り、沸かして入浴していたという。；沸かした湯が最初に流れ込んでくる第一浴槽には、他に客は一人もいない。；家に戻って風呂を沸かしながらビールを飲んでいると、電話が鳴った。；今夜のうちに風呂を熱めに沸かしておいて、実際に入るのは明日の朝だった。；ボクにはお茶を入れろとは言わず、自分で湯を沸かして湯呑みを並べた。；お蘭さんはいよいよお茶を沸かしきれないのを、じっと我慢している。；身体も冷えて御風呂を二度沸かすことになりましたし、参ったものです。；行きの倍近い時間をかけて帰ると、母親はすぐ湯を沸かさせて髪を洗わせた。；しばらくして麗子は中に入り、湯を沸かして昨日買ってきた紅茶を入れた。；それぞれのグループごとにお茶を沸かし、お茶を飲みながらの試食である。；足を洗って、お風呂を沸かし、その間にわたしたちは夕食の用意をする。；麦茶でも沸かしに行こうと廊下に出ると、真砂子があとを追ってきた。；ともかく、お湯を沸かして、紅茶でもいれられるようにしておかないと。；東南院さんで、沸かして下さるのを待ってたもんだから、遅くなったの。；また現在も薪を使って湯を沸かす数少ない銭湯として貴重な存在である。；若い女房のほうが火鉢で湯を沸かし、老婆はしきりに古畳を拭いていた。；晴美はこの家にきてから風呂を沸かした記憶も、風呂に入った記憶もない。；湯を沸かしている間に、K子さんはベランダの戸を少し開けて換気をした。；秀麗は手早く湯を沸かすと、疲れに効く茶葉を選んでお茶の用意をした。；わたしはパンを切ったりお湯を沸かしたりしてるから、はやく買ってきて!；私にはそんなコーヒーの沸かし方をする気はありません。</t>
        </is>
      </c>
      <c r="J8955">
        <f>HYPERLINK("https://www.weblio.jp/content/沸かす", "词义详情")</f>
        <v/>
      </c>
      <c r="K8955">
        <f>HYPERLINK("https://yourei.jp/沸かす", "查看例句")</f>
        <v/>
      </c>
    </row>
    <row r="8956">
      <c r="A8956" t="inlineStr">
        <is>
          <t>わがまま</t>
        </is>
      </c>
      <c r="B8956" t="inlineStr">
        <is>
          <t>成功</t>
        </is>
      </c>
      <c r="C8956" t="inlineStr">
        <is>
          <t>読み方：わがまま
［名・形動］自分の思いどおりに振る舞うこと。また、そのさま。気まま。ほしいまま。自分勝手。「—を通す」「—な人」
［連語］《代名詞「わ」＋助詞「が」＋名詞「まま」》自分の思いのまま。
「—に誇りならひたる乳母の」〈源・常夏〉</t>
        </is>
      </c>
      <c r="D8956" t="inlineStr">
        <is>
          <t>勝手；一方的；ナル；我儘；身勝手</t>
        </is>
      </c>
      <c r="H8956" t="n">
        <v>29</v>
      </c>
      <c r="I8956" t="inlineStr">
        <is>
          <t>わがまま言って飛び出してきたけど、お城にいたのはいい人ばかりでした。；新人の技官の身でわがままを言うわけにはいかないと思っていたからだ。；顔はたしかにわがままそうではあったが、その目は愛情にあふれていた。；その子はわがままで、嫌いな給食はみんなみーくんに食べてもらってた。；こんな大きな家に生まれても、私には何一つわがままは許されなかった。；わがままなところもあり怒らせると暴れまわって手がつけられなくなる。；いくらわがままでもそのほとんどは彼のお母さんが吸収してくれると思った。；でもわがままになってはいけない、自分のことだけ考えてもいけない。；鼻緒がそうであったように、玉緒もまた主人のわがままに苦労したのだ。；わがままで直線的で短気なところもあるけれど、誰よりも繊 細なのよ。；そんなわがままな女の子のことなら、すぐに忘れることができるだろう。；自分と違う意見が来ると意味もなく「わがままだなぁ」と言う癖がある。；まあ、あのわがまま者に、もう一度最後の気まぐれをさせてやるんだね。；そして最後まで私に、好きなように、わがままな映画作りをさせてくれた。；自分のわがままな願いが自分を不幸にすることも多いと思います。；このような島村のわがままはいつまでも続けられるものではなかった。；何かわがままを言うときや、自分の意見を通したいときに必ずやる仕草だ。；妹がそんな殊勝な態度をする時は、決まって何かわがままを言う時だ。；彼女自身も兄を敬愛していたが、性格は頑固でわがままであったという。；わがままを捨てて人々を愛し、その日のつとめをなさしめたまえや。；そんなのはわがままだと拒否しようと思えばできたはずだった。；ぼくは、そういうわがままが通用しないことを、徐々に教えていきます。；なにしろあのわがままさでございますもの、手がつけられやしませんわ。；私にはいまこそわかりましたが、それはみんなわがままから来ているのですよ。；わがままを言っているのは自分の方なのだろうかとも思った。；人気絶頂でそれだけわがままで、生意気な態度に見えたんやと思います。；弟子といっても私はわがままな鬼ッ子で、あの師匠には誰よりも遠い人間だった。；それを夫も妻も不思議と思わず、娘の正子だけが男のわがままと考えている。；森野はそれを逆方向へ思いきりわがままに突き進んだような存在だった。</t>
        </is>
      </c>
      <c r="J8956">
        <f>HYPERLINK("https://www.weblio.jp/content/わがまま", "词义详情")</f>
        <v/>
      </c>
      <c r="K8956">
        <f>HYPERLINK("https://yourei.jp/わがまま", "查看例句")</f>
        <v/>
      </c>
    </row>
    <row r="8957">
      <c r="A8957" t="inlineStr">
        <is>
          <t>若者</t>
        </is>
      </c>
      <c r="B8957" t="inlineStr">
        <is>
          <t>成功</t>
        </is>
      </c>
      <c r="C8957" t="inlineStr">
        <is>
          <t>読み方：わかもの
年の若い者。わこうど。青年。</t>
        </is>
      </c>
      <c r="D8957" t="inlineStr">
        <is>
          <t>若者達(2%)；若者層；若者世代；若者ども；若者同士</t>
        </is>
      </c>
      <c r="E8957" t="inlineStr">
        <is>
          <t>少年；やつ；青年；奴；バック</t>
        </is>
      </c>
      <c r="F8957" t="inlineStr">
        <is>
          <t>立派な若者；屈強な若者；小柄な若者；たくましい若者；りっぱな若者</t>
        </is>
      </c>
      <c r="G8957" t="inlineStr">
        <is>
          <t>若者向け；若者文化；若者頭；若者言葉；若者よ</t>
        </is>
      </c>
      <c r="H8957" t="n">
        <v>29</v>
      </c>
      <c r="I8957" t="inlineStr">
        <is>
          <t>現代の若者達は、意識の奥でみんなババを引いてしまったと感じている。；しかし、近年は多くの若者が仕事を得るため、バンコクへ向かっている。；彼は欺瞞を受け入れない強さを持っていたから若者のヒーローだった。；これらを若者は学ぶべき点は学び、また後代に伝えるべき物とされる。；クラブは子供と若者の為に自身のサッカースクールを運営している。；そもそもバブル景気の崩壊以降若者が自動車に興味を示さなくなっていった。；これらのことから、若者の人気は同社ではジョグなどに移っていった。；若者に人気のミュージシャン・アーティストのライブを中心に使用されていた。；あるいは若者の暴発しがちなエネルギーをさして馬鹿という例もある。；当時似たような若者は多く、そのうちの一人としか思っていなかったが大成功した。；リーダー育成により日本の社会に影響ある若者を育てることを目指す。；これらの作品は若者・中高生向けの作品が多く、漫画を原作とした作品も多い。；アフリカのあるところにジャングルの平和を守るために日々戦い続ける若者がいた。；正式な表現では無いが若者やメディアで使われている。；私もスタッフも少し尖った若者も新しいものを追い求めていたんだと思います。；学校にしても家庭にしても、日本の若者への歴史に関する教育が足りないと思う。；ここで彼女は、神経症の若者と共通点のあるあらゆる宗教体験をした。；組織の実働部隊は若者ばかりで、階級や任務による上下の区別はない。；この若者が抱えているものは一体何だろうかと胸が詰まった。；私は長い経歴の中で、これほど才能のある若者に出逢ったことがありません。；また、ミッション系の学校で教育を受けた多くの若者がナイロビで働いた。；男女の出会いや交際を目的としたもので1990年代に若者の間で人気となった。；日本の未来を担う若者に持続可能な日本らしい食を伝えることを目的としている。；そのため、日本への就職を求める韓国の若者が毎年増加している。；実際私の大学を含めて、いまの若者にピッタリの歌ばかりですね。；話が弾んでいたら、若者の恋についても尋ねてみようとなっている。；この曲はベトナム戦争に赴く若者達を思って書かれたものである。；鈴木の影響で、映画に関わる仕事に就いた若者も多かった。；教育を受けた若者はさらに高い教育や就職の機会を求めて他州に出て行く傾向にある。</t>
        </is>
      </c>
      <c r="J8957">
        <f>HYPERLINK("https://www.weblio.jp/content/若者", "词义详情")</f>
        <v/>
      </c>
      <c r="K8957">
        <f>HYPERLINK("https://yourei.jp/若者", "查看例句")</f>
        <v/>
      </c>
    </row>
    <row r="8958">
      <c r="A8958" t="inlineStr">
        <is>
          <t>分かる</t>
        </is>
      </c>
      <c r="B8958" t="inlineStr">
        <is>
          <t>成功</t>
        </is>
      </c>
      <c r="C8958" t="inlineStr">
        <is>
          <t>読み方：わかる
［動ラ五（四）］
１意味や区別などがはっきりする。理解する。了解する。「物のよしあしが—・る」「言わんとすることはよく—・る」「訳が—・らない」
２事実などがはっきりする。判明する。「身元が—・る」「答えが—・る」「持ち主の—・らない荷物」
３物わかりがよく、人情・世情に通じる。「話の—・る人」
４一つのものが別々になる。わかれる。
「五色の水玉数散りて、浪二つに—・りて」〈浮・伝来記・二〉
［動ラ下二］「わ（分）かれる」の文語形。</t>
        </is>
      </c>
      <c r="D8958" t="inlineStr">
        <is>
          <t>分かるだろ(3%)；分かるでしょ；分かるまい；分かる貴重な資料；分かるじゃろ</t>
        </is>
      </c>
      <c r="E8958" t="inlineStr">
        <is>
          <t>発見；経験；見られる；理解；思われる</t>
        </is>
      </c>
      <c r="F8958" t="inlineStr">
        <is>
          <t>すぐに分かる；すぐ分かる；はっきりと分かる；はっきり分かる；分かるかもしれ</t>
        </is>
      </c>
      <c r="H8958" t="n">
        <v>29</v>
      </c>
      <c r="I8958" t="inlineStr">
        <is>
          <t>これを建設した民族がどのような民族であったかはよく分かっていない。；傷は死体からやや離れた場所にあり、何が原因で出来たのか分からない。；人々は彼のような人物を二度と見ることができないことを分かっていた。；その後はどこでライカを製造しているのかよく分からない状態が続いた。；は現在のカーソル位置であることなどは知らないと分からないであろう。；少女ロボットは自分が何者でどこから来たかも製作者も全く分からない。；また航空気象も航空機の飛行に大きな影響を与えることが分かっている。；それが変わり始めたと分かることが起きたのは江戸時代のころである。；しかし、その後彼らがどこへ行ったのか、今となっては全く分からない。；カラー撮影するとリングの内と外で異なった色をしていることが分かる。；なお、世界にはまだ読み方が分かっていない文字がいくつも残っている。；差し違いそのものよりも慣例を破ったことが問題視されたことが分かる。；実際のペラギウスが説いた教えはどのようなものかは分かってはいない。；こうなると僕にも分かるんですが新監督は自分の色でやりたいんですよね。；形状は全く同じでラベルや色で違いが分かるようにされているものもある。；こんな簡単な事が分からない打者が今の野球には多過ぎるんじゃないかな。；その名前は古来からいろいろな表記がされていて確かなことが分からない。；これらの名前が何の意味かは色々な解釈があるが明確には分からない。；芦田は誰が書いてもミンキーモモだと分かるデザインを目指したという。；もっとも、このルールがいつごろできたものかのかは分かっていない。；つまりどのチームがUターンを使用したかが分からないようになっている。；電話を入れてみても、入院したらしいことしか分からず、要領を得ない。；答えは本にも載ってないし、映画やテレビや討論会を見ても分からない。；このことからも元々この一帯をさした使われ方をされていたことが良く分かる。；経験豊富で実績もある相手なので勝てるかどうかは本当に分からない。；吉野作造は「何を言ってよいか分からなかったためだ」と批判している。；彼は実際何のプロジェクトに関わるかは現場に行くまで分からなかったという。；制服を着て、警察のマスコットであることが一目で分かるようになった。；ウェルナー症候群が日本人に多い理由は、はっきりとは分かっていない。</t>
        </is>
      </c>
      <c r="J8958">
        <f>HYPERLINK("https://www.weblio.jp/content/分かる", "词义详情")</f>
        <v/>
      </c>
      <c r="K8958">
        <f>HYPERLINK("https://yourei.jp/分かる", "查看例句")</f>
        <v/>
      </c>
    </row>
    <row r="8959">
      <c r="A8959" t="inlineStr">
        <is>
          <t>別れ</t>
        </is>
      </c>
      <c r="B8959" t="inlineStr">
        <is>
          <t>成功</t>
        </is>
      </c>
      <c r="C8959" t="inlineStr">
        <is>
          <t>読み方：あかれ
１集まっていた人々が、あちこちにわかれ散ること。散会。
「弘徽殿(こきでん)の御—ならむ、と見給へつる」〈源・花宴〉
２所属するもの。分(ぶん)。
「桜萌黄(さくらもえぎ)などは、女院の御—」〈増鏡・老のなみ〉</t>
        </is>
      </c>
      <c r="D8959" t="inlineStr">
        <is>
          <t>別れなけれ；別れたい；別れたく；別れさせ；別れしな</t>
        </is>
      </c>
      <c r="E8959" t="inlineStr">
        <is>
          <t>お別れ；失恋；破局；決別；別離</t>
        </is>
      </c>
      <c r="F8959" t="inlineStr">
        <is>
          <t>生き別れ；夫婦別れ；振って別れ；死別れ；早く別れ</t>
        </is>
      </c>
      <c r="G8959" t="inlineStr">
        <is>
          <t>別れ際；別れ話；別れよ；別れ別れ；別れぎわ</t>
        </is>
      </c>
      <c r="H8959" t="n">
        <v>29</v>
      </c>
      <c r="I8959" t="inlineStr">
        <is>
          <t>実はその少女は、13年前に別れた妻の元に置いてきた娘・たみだった。；父と別れたのは四ツのときで、おぼろげに印象が残っているだけである。；西方大陸戦争時代には現地の民族は帝国派と共和国派に別れて対立した。；スピカちゃんのホームページにはお別れのメッセージが掲載されている。；現生被子植物の中で、最初に他と別れた植物であると考えられている。；少女から大人へと成長する中で、さまざまな恋や別れを繰り返してゆく杏。；そのため観客数は相当な数となり、またお別れを記念しての式典も行われた。；現代では完全に分業化されており、大まかに企画職と開発職に別れている。；そしてシチリア島で再合流することを取り決めた上で両国王は別れた。；エンゲルスは家族と別れを告げてでも信念を全うする覚悟を固めていた。；ジャックと別れた後は、部下であるアルメイダ捜査官と親密な仲となる。；スロバキア人であった実の父親とは、マルチナが7歳の時に別れている。；結局二人は逃亡途中の混乱で別れてしまうこととなった。；その後アダムスキーは皆と別れ一人で歩くと、一人の人間に遭遇した。；直前に交際女性から別れを告げられていたことが判明している。；真奈美との別れから6年が過ぎたある日、その本人が正樹の目の前に現れる。；それで太陽と月は昼と夜とに別れて出るようになったのである。；その中でも前期型と後期型に別れており、後期型では以下の点が変更されている。；同日、支援隊は主隊と別れて艦砲射撃を実施し、その後両部隊は再合流した。；マックィーンは別れを言う余裕もなくそのまま町を去ってしまう。；これが生涯の別れになるとは思わず、二人は一言も言葉を交わすことなく別れた。；朝の空港でカートは家族や仲間たちと別れを告げ、飛行機に乗り込む。；ニュージーランド南島の東西の沿岸二つに別れて分布していることが知られている。；両親は結婚しておらず、ファーディナンドが14歳の時に別れてしまった。；初代と違い、短い和解のまま選ばれし子供たちとの別れとなった。；パティと別れた悲しみを反映して取り上げたと言われている。；母の死と妹との別れは幼いヘンリーの心に深い傷を残した。；旅の先々での人々との出会い、別れを経て辿り着くのは世界の真実。；生まれてすぐ母が死去、父とも生き別れたため、おじ夫婦に引き取られた。</t>
        </is>
      </c>
      <c r="J8959">
        <f>HYPERLINK("https://www.weblio.jp/content/別れ", "词义详情")</f>
        <v/>
      </c>
      <c r="K8959">
        <f>HYPERLINK("https://yourei.jp/別れ", "查看例句")</f>
        <v/>
      </c>
    </row>
    <row r="8960">
      <c r="A8960" t="inlineStr">
        <is>
          <t>別れる</t>
        </is>
      </c>
      <c r="B8960" t="inlineStr">
        <is>
          <t>成功</t>
        </is>
      </c>
      <c r="C8960" t="inlineStr">
        <is>
          <t>読み方：わかれる
［動ラ下一］［文］わか・る［ラ下二］《「分かれる」と同語源》
１一緒にいたものが離れ離れになる。互いに離れて去る。「駅で人と—・れる」「両親と—・れて暮らす」
２夫婦・恋人などが、それまでの関係を解消する。「夫と—・れる」「女と—・れる」
３死別する。「幼くして母と—・れる」</t>
        </is>
      </c>
      <c r="D8960" t="inlineStr">
        <is>
          <t>別れるべき；別れるくらいなら；別れる道徳的</t>
        </is>
      </c>
      <c r="E8960" t="inlineStr">
        <is>
          <t>解散；分裂；分かれる；見送る；送り出す</t>
        </is>
      </c>
      <c r="F8960" t="inlineStr">
        <is>
          <t>いよいよ別れる；別れるまえ；やがて別れる；生き別れる；どうせ別れる</t>
        </is>
      </c>
      <c r="H8960" t="n">
        <v>29</v>
      </c>
      <c r="I8960" t="inlineStr">
        <is>
          <t>もうこうなっては敵も味方も無事に別れることの出来ない破目になった。；結婚をするのかしないのか、それとも別れることになってしまうのか。；よく考えてみると、先生は出て行けとは言っても別れろとは言っていない。；命あるものは必ず死に、出会った者は必ず別れることになるという意味。；別れるきっかけとなったのはプレーンが英語を教えたからだというのだ。；のみならず彼がまた昔その女と別れる時余計な事を饒舌っているんです。；彼は失意の中彼女と別れることに同意したが、彼女に駆け落ちを求めた。；そうなった時は、もう彼女と別れるの外はないと胸の底まで感じていました。；だから私は心の中で今日はお姉様とも別れるのだと思っていたのよ。；新橋駅で別れるときも、自分をみるあの男の眼附きは確かに変っていた。；その渡舟でおなじ時刻に別れるのも、なにか宿縁のようなものがあった。；が、あの女と別れるくらいは、何でもありませんといっているじゃないか?；何と云っても秋に別れるのは一番いけない、一番悲しみの度が強い。；別れる日彼は真実に涙を眼に浮べて僕の手を握つたので僕も泣いてしまつた。；彼等は与里の勤めてゐる活動小屋の前で別れることに約束してゐた。；品胎と同じように四つ子の卵性も、一卵性から四卵性のケースに別れる。；男はそんないい妻と自らえらんで別れるのだが、もう一さいが遅すぎた。；あんこ別れはしばらく馴染になつた土地の女子に別れるの意味であらう。；やがて自分は路傍の人と別れるように、その荒廃の跡を見捨てて去った。；「また来るがいい」 こんな人とすらも別れるのを悲しく宮は思召した。；「行ってみますよ」と、扉のところで工場主と別れるとき、Kは言った。；が、敦賀で彼女と別れる事は、彼に取つて決して平気な事ではなかつた。；よく考えてみると、先生は出て行けとは言ったが、別れろとは言わなかった。；各ヒーローたちはそのエリアから出ることができず、その場で別れる。；しかし彼女がその事件の犯人の一人として入獄することになり別れる。；母の顔も平生のとおりの母の顔、兄の顔も今年の夏別れる時に見たままの兄の顔。；今でもおれは人と別れる時、これが見おさめかと感じることが、時々ある。；これからまたしばらく別れるというのに、お前はそんな顔を見せてくれるのか。；一緒にゐるのは本当にいけませんね、別れる時にいやですものね。</t>
        </is>
      </c>
      <c r="J8960">
        <f>HYPERLINK("https://www.weblio.jp/content/別れる", "词义详情")</f>
        <v/>
      </c>
      <c r="K8960">
        <f>HYPERLINK("https://yourei.jp/別れる", "查看例句")</f>
        <v/>
      </c>
    </row>
    <row r="8961">
      <c r="A8961" t="inlineStr">
        <is>
          <t>分かれる</t>
        </is>
      </c>
      <c r="B8961" t="inlineStr">
        <is>
          <t>成功</t>
        </is>
      </c>
      <c r="C8961" t="inlineStr">
        <is>
          <t>読み方：わかれる
［動ラ下一］［文］わか・る［ラ下二］
１一つのものが二つ以上になる。べつべつになる。「道が四方に—・れる」「二手に—・れて敵を追う」
２一つのものがいくつかに区分される。「三章節に—・れる」
３区別がつく。差異を生じる。「意見が—・れる」</t>
        </is>
      </c>
      <c r="D8961" t="inlineStr">
        <is>
          <t>分かれるところだろ；分かれる細い</t>
        </is>
      </c>
      <c r="E8961" t="inlineStr">
        <is>
          <t>解散；分裂；分岐；区画；分ける</t>
        </is>
      </c>
      <c r="F8961" t="inlineStr">
        <is>
          <t>はっきり分かれる；細かく分かれる；はっきりと分かれる</t>
        </is>
      </c>
      <c r="H8961" t="n">
        <v>29</v>
      </c>
      <c r="I8961" t="inlineStr">
        <is>
          <t>他の繊毛虫同様、体軸方向の前後の部分に分かれるようにして分裂する。；住居表示上で同じ町丁に属していても複数の地域に分かれる場合もある。；主に紡錘形のタイプと円形のタイプとそれ以外の形のタイプに分かれる。；この場合中道右派と中道左派の二つの主要な連合に分かれることが多い。；またある思想が観念論に属すかどうかにも、議論が分かれる場合がある。；数台のクライアントと、これらを管理するセンターユニットに分かれる。；ストーリーは天使側につくか、悪魔側につくかで大きく分かれる事になる。；この一連の政策がどれだけの成果を収めたかは評価が分かれる。；特に箱に残ったエルピスをどう解釈するかで物語の理解が分かれる。；成立の経緯から幡生線の鉄道とそれ以外の軌道に分かれるがここでは区別しない。；の分類は一定しなかったが、近年の系統学の結果ではこの2目に分かれる。；出版事業は、企業直販向けの部門と、書店・一般向けの部門に分かれる。；好みは分かれるところだが、保存の点も含め乾燥させて使うのが一般的である。；事件の責任が中国側にのみにあるか、日本側にもあるかは意見が分かれる。；近縁種は地球上に広く分布するが、地域によって別の種に分かれる。；ヤンゴン市は四つの県に分かれており、その下にさらに郡区に分かれる。；実際にはこのどちらであるかは論の分かれるところが多い。；文・理分けは2年進学時にされ、応用クラスと標準クラスに分かれる。；一口にグアラニー語と言っても研究者は様々な方言に分かれるとしている。；形態は戦車を歩行化したような多脚型と、人型の二脚型に分かれる。；ドイツの北部から南部まで縦断しているが、6つのコースに分かれる。；もう一つの支流はルンナク河で、その河はさらに二つの支流に分かれる。；数値解析は、解こうとしている問題によっていくつかの分野に分かれる。；これらが進化の系列を示すものか、適応放散の結果であるかは判断が分かれる。；またこの垣生地区では当路線が2つに分かれるが、すぐ1本に収束する。；タイの定型詩の古典的な詩形は大きく分けて以下のように分かれる。；基本的には観賞用ではあるが、内容的には大きく二つに分かれる。；このときどこまでの年齢を若者とするか老人とするかは人によって意見の分かれる部分である。；またガラスなし、片面ガラス付、両面ガラス付などのタイプに分かれる。</t>
        </is>
      </c>
      <c r="J8961">
        <f>HYPERLINK("https://www.weblio.jp/content/分かれる", "词义详情")</f>
        <v/>
      </c>
      <c r="K8961">
        <f>HYPERLINK("https://yourei.jp/分かれる", "查看例句")</f>
        <v/>
      </c>
    </row>
    <row r="8962">
      <c r="A8962" t="inlineStr">
        <is>
          <t>若々しい</t>
        </is>
      </c>
      <c r="B8962" t="inlineStr">
        <is>
          <t>成功</t>
        </is>
      </c>
      <c r="C8962" t="inlineStr">
        <is>
          <t>読み方：わかわかしい
［形］［文］わかわか・し［シク］
１いかにも若く見える。「—・い声」
２未熟である。子供じみている。
「私は—・いと云われても、馬鹿気ていると笑われても」〈漱石・こゝろ〉
[派生]わかわかしげ［形動］わかわかしさ［名］</t>
        </is>
      </c>
      <c r="D8962" t="inlineStr">
        <is>
          <t>若々しい顔(5%)；若々しい声(4%)；若々しい姿；若々しい肉体；若々しい情熱</t>
        </is>
      </c>
      <c r="E8962" t="inlineStr">
        <is>
          <t>若い；明るい；活発な；元気な；爽やかな</t>
        </is>
      </c>
      <c r="F8962" t="inlineStr">
        <is>
          <t>若々しい女；いかにも若々しい；若々しい頬；若々しい心；若々しい容貌</t>
        </is>
      </c>
      <c r="H8962" t="n">
        <v>29</v>
      </c>
      <c r="I8962" t="inlineStr">
        <is>
          <t>若々しい頬に血の色が上っているのは激しい実戦に興奮しているらしい。；それでその描かれるものが何処か若々しい独創的なところがありました。；初枝の傍に寄ってきて、一緒に空を見上げながら、若々しい声で言った。；鏡の中の顔はまだ十分に若々しく、なんの化粧も必要ないように見える。；まだ若々しい筆で書いて、人にも見せずにしまって置いてあるものだ。；恋の喜びと若々しい日々がいつまでも きみたちの心に伴うように!；不思議なことに、加藤も由佳理も、明治末年の若々しい姿に戻っていた。；里村などは、若々しい面が自然な感じで表にも出て来ているのかもしれない。；子供たちもみんな外に出て来て若々しくかっこいい流月を見て喜んだ。；三浦環は病気だっていうのになんて若々しくて美しい声なんでしょうッて。；少女の体の中から聞こえていた音よりもさらに若々しい音である。；いい年増なんだが、娘のような若々しい肌と、柔かい声をしていますよ。；甲板では、呑氣と、健康と、若々しさとのほかには何も見られなかつた。；父はもう五十越していたけれど、まだ若々しい様子をしていました。；その時の病子規は私には非常に若々しく水々しい人のように感ぜられた。；いずれも若々しい美男の若者が、話の主人公になっているのが同様である。；庄介は見たところ三十歳前後といっておかしくない若々しい印象があった。；昼間案外若々しく思った富を今度は大変年を取った女のように感じた。；先生の容貌は白髪こそ多かったが若々しく昔のままと言ってよい程でした。；この水のおかげでいつもと違ってみずみずしく若々しい気分になった。；正式の喪服のような黒づくめの服装のジュリアンは大変若々しく見えた。；三日間寝ていない人間のものとは思えない若々しい張りと熱がある。；朝の若々しい光が 窓から入って来て あなたの床の上に 拡がる。；国家組織のこの新光景は人心に若々しい緊張をもたらさずにはいなかった。；武田さんは、あの若々しい声でそうおっしゃるにちがいないとも思った。；四十歳は越しているに違いなかったが、坊主頭のせいか若々しく見えた。；あんな美しい若々しい微笑を、この家でまだ見たことがありません。；葉の色はややうこんにも近いほどで、いかにも若々しさを見せて居る。；これは燃えあがっていた彼の若々しい精神にとって、大きな打撃となった。</t>
        </is>
      </c>
      <c r="J8962">
        <f>HYPERLINK("https://www.weblio.jp/content/若々しい", "词义详情")</f>
        <v/>
      </c>
      <c r="K8962">
        <f>HYPERLINK("https://yourei.jp/若々しい", "查看例句")</f>
        <v/>
      </c>
    </row>
    <row r="8963">
      <c r="A8963" t="inlineStr">
        <is>
          <t>脇</t>
        </is>
      </c>
      <c r="B8963" t="inlineStr">
        <is>
          <t>成功</t>
        </is>
      </c>
      <c r="C8963" t="inlineStr">
        <is>
          <t>読み方：きょう
［常用漢字］　［音］キョウ（ケフ）（漢）　［訓］わきかたわら
〈キョウ〉わき下の肋骨のある部分。わきばら。わき。「脇息」
〈わき〉「脇机・脇腹・脇見・脇道・脇目・脇役／小脇・両脇」
[補説] 「脇」と「脅」は本来同字であるが、日本では意味によって使い分ける。
［難読］関脇(せきわけ)</t>
        </is>
      </c>
      <c r="D8963" t="inlineStr">
        <is>
          <t>脇坂家；脇殿；脇指；脇仏；脇ポケット</t>
        </is>
      </c>
      <c r="E8963" t="inlineStr">
        <is>
          <t>側；横；辺；傍；傍ら</t>
        </is>
      </c>
      <c r="F8963" t="inlineStr">
        <is>
          <t>右脇；線路脇；ベッド脇；コース脇；床脇</t>
        </is>
      </c>
      <c r="G8963" t="inlineStr">
        <is>
          <t>脇役；脇差；脇道；脇浜；脇の下</t>
        </is>
      </c>
      <c r="H8963" t="n">
        <v>29</v>
      </c>
      <c r="I8963" t="inlineStr">
        <is>
          <t>右下に本線と並行して水路脇を南東に向かう軌道跡が白く残されている。；さらに2021年度中に信号設備や脇線線路など設備の撤去が完了した。；それ以前には孫庇まである対・脇殿は内裏以外には無かったことになる。；近隣住民が線路脇の土手を階段状にして上り下りしているケースもある。；ホームの下石野方からは脇へ坂が下りており駅から外部へはこれを使う。；戦後になって来訪の記念碑とトビーの墓が大湯間歇泉の脇に建てられた。；途中、坑道に向かうバスの道の脇には当時の建物が多く残されている。；故に現在も神社脇に旧寺の墓地が存在する、珍しい状態となっている。；そこには若い女性の遺体と、その脇で泣いている若い男の姿があった。；墓碑はショパンの墓の右脇にある階段を数ブロック上がったところにある。；そこへ行く道の出発地点の脇に設置されたのがこの駅である。；脇のあいた部分からは単が見えるが、現代の神職などは略すことが多い。；また駅ビル内や駅ビル脇の通路からは湘南モノレールの駅に通じている。；更に、油坂隧道の脇にある山道を行くと油坂峠に行くことが可能である。；ホームの脇には夜間滞泊に使用される、車両留置用の側線が並んでいる。；彼は私の思いがミッキーにあるのを理解して、自ら脇へどいてくれた。；中の間の床脇の地袋の戸に描かれた鸚鵡と果物籠の図は呉春の筆である。；これにより、補強作業に入る予定だった脇鳥居の再建も余儀なくされた。；かつては線路のすぐ脇が護岸であり、海岸線近くに設置されていた。；初期の車両は先頭車の正面脇に「ひげ」を入れていたが、後に廃止された。；バス停脇には高速バス利用者用無料駐車場120台分が用意されている。；何日かたって、そこに行って見るとススキが生えている脇から湯が流れていた。；ただしMT仕様車の場合は、車体中心側のコラム脇に配置されている。；下り線の鶴岡寄り脇にかつての上り線ホームの遺構の一部が残っている。；駅舎の反対側へは駅舎脇に設置された地下自由通路を使用する。；主人公はほとんど必然的に男性であるが、脇に女性が配されることもある。；階段脇には自転車を乗せることが可能なスロープが設置されている。；改札は南口にあり、改札脇にホーム下を通る自由通路が設置されている。；平屋部分にある乗降扉の脇に階段を設け、1階席・2階席に出入りする。</t>
        </is>
      </c>
      <c r="J8963">
        <f>HYPERLINK("https://www.weblio.jp/content/脇", "词义详情")</f>
        <v/>
      </c>
      <c r="K8963">
        <f>HYPERLINK("https://yourei.jp/脇", "查看例句")</f>
        <v/>
      </c>
    </row>
    <row r="8964">
      <c r="A8964" t="inlineStr">
        <is>
          <t>沸き上がる</t>
        </is>
      </c>
      <c r="B8964" t="inlineStr">
        <is>
          <t>成功</t>
        </is>
      </c>
      <c r="C8964" t="inlineStr">
        <is>
          <t>読み方：わきあがる
［動ラ五（四）］
１盛んに煮え立つ。沸騰する。「湯が—・る」
２興奮した雰囲気が高まる。ある感情が激しく起こる。「歓声が—・る」「憤りが—・る」
３水面などが激しく波立つ。
「南は満海、波—・りて」〈海道記〉</t>
        </is>
      </c>
      <c r="D8964" t="inlineStr">
        <is>
          <t>発生；生まれる；起こる；生じる；起きる</t>
        </is>
      </c>
      <c r="H8964" t="n">
        <v>29</v>
      </c>
      <c r="I8964" t="inlineStr">
        <is>
          <t>それ以外にも細やかな感情が沸き上がってこなかったわけでもない。；次々に沸き上がる疑問が、後ろも見ずに走っていた遼の足を遅くする。；だがそれに連なる音が次々に沸き上がりゆっくりと旋律を形作っていく。；その一方で歌壇の若手を中心に熱狂的とも言える支持の声が沸き上がった。；演奏会が終わりますと、儀礼的なものも含めて大拍手が沸き上がります。；平介の中に、これから特殊なことをするのだという思いが沸き上がってきた。；しかし、それも掌に沸き上がってくる嫌悪感を忘れさせはしなかった。；噴煙は一瞬で数百メートルに達し、入道雲のように沸き上がってゆく。；不思議なことに、なんだか体の奥から力が沸き上がってきた。；割り切っていると自分で言ったばかりなのに、怒りにも似た感情が沸き上がってくる。；あなたと会話するたび、殺意に似た感情が沸き上がってくるのを止められませんでした。；心の底から沸き上がる怒りをおさえつけて僕は笑ってみせた。；言葉は淀みなく沸き上がり、何も考えなくても勝手に唇からこぼれ出してきた。；波の中には歓呼の声のようなものが沸き上がってきた。；ただ、彼は一個の生命として、体の内より沸き上がる本能に従っただけなのだ。；おれの周囲から口笛の合唱が沸き上がり、通行人が驚きの眼を向けた。；早苗は、しだいに沸き上がってくる嫌な予感を、懸命になって否定した。；ガリオンの頭の中で複雑な霞のようなイメージが沸き上がった。；ぶーんという音が沸き上がり、死んでいたメカに光の意識が復活する。；塩名は遺跡の町として沸き上がり、観光の町へと変貌を遂げていた。；彼女は、毎日、毎日、沸き上がる怒りをエネルギーにして、原稿を書いていた。；黒いシャツに包まれた彼の背中に触れるだけで、天国は足元から沸き上がる。；電話でグレイスが言っていたことを思いだし、嫌な予感が沸き上がってくる。；何も喚起されないし、可能性も発見もなくなってしまうので、何をしていても沸き上がるような喜びがないのだ。；正体のはっきりつかめない恐怖が、身体の底からじわじわと沸き上がってくる。；不死王の周囲の暗闇から、沸き上がる霧の如くに現れ出た数人の従者。；あの喫茶店での盗み聞きを、心のどこかで否定しようとする感情が沸き上がるのを感じる。；それが収まると、部下を殺された怒りが沸き上がって来た。；マンションの前に立った時、改めて憎悪が沸き上がってきた。</t>
        </is>
      </c>
      <c r="J8964">
        <f>HYPERLINK("https://www.weblio.jp/content/沸き上がる", "词义详情")</f>
        <v/>
      </c>
      <c r="K8964">
        <f>HYPERLINK("https://yourei.jp/沸き上がる", "查看例句")</f>
        <v/>
      </c>
    </row>
    <row r="8965">
      <c r="A8965" t="inlineStr">
        <is>
          <t>沸く</t>
        </is>
      </c>
      <c r="B8965" t="inlineStr">
        <is>
          <t>成功</t>
        </is>
      </c>
      <c r="C8965" t="inlineStr">
        <is>
          <t>読み方：わく
［動カ五（四）］《「湧(わ)く」と同語源》
１水などが熱せられて沸騰する。また、適当な熱さになる。「湯が—・く」「風呂が—・く」
２感情が高ぶる。熱狂して騒ぎたてる。「ファインプレーに場内が—・く」「勝利に—・く」
３発酵して泡を立てる。「ぬかみそが—・く」
４水が激しくたぎり流れる。さかまく。
「川の—・きたる、滝の落ちたる」〈宇津保・祭の使〉
５金属が熱せられて溶ける。
「（大仏ノ）御身は—・きあひて山の如し」〈平家・五〉</t>
        </is>
      </c>
      <c r="D8965" t="inlineStr">
        <is>
          <t>沸くような騒ぎ(2%)；沸くような大騒ぎ</t>
        </is>
      </c>
      <c r="E8965" t="inlineStr">
        <is>
          <t>沸騰；湧く；煮る；煮えたぎる；煮沸</t>
        </is>
      </c>
      <c r="F8965" t="inlineStr">
        <is>
          <t>すぐに沸く</t>
        </is>
      </c>
      <c r="H8965" t="n">
        <v>29</v>
      </c>
      <c r="I8965" t="inlineStr">
        <is>
          <t>海はその深紅の色を沸きたちつつ前へ前へと押進めて行くように見える。；まだ火鉢の湯が沸いていないからというのが理由だったが、珍しい話だ。；肩の痛みもなかったため再度プロで投げたいとの気持ちが沸いてきたという。；だが皆の興味が沸いたのはその直後、地方大銀行の頭取が登壇した時だ。；ぼくは腹の底から震えのような笑いが沸いてくるのを押さえられなかった。；それは、対戦が決着した時のギャラリーたちの沸きようが証明していた。；蓋がない開放構造にするとボウフラが沸き蚊の発生源になる場合が多い。；この日もやはり例のごとく湯が沸きましたからお入り下さいと女中が言って来た。；それは巨大な塔のように沸きたち、そして巨人の姿を取りはじめた。；俺達が一声バラせばてめーだって明日には見合い話が沸いて出るんだぞ!；その夜、トリンギット族はロシアの攻撃を撃退したことで喜びに沸いた。；ヤツの死に関しては、義務を果たした今、もう何の感情も沸いてこない。；ルムフォードの有名な実験は「水が沸きさえもした」事に要点があった。；当時の住民の証言によると、火災の熱でお風呂が沸いたとも言われている。；二人が顔を見せただけで観客が沸き、番組が成立してしまうのだ。；湯が沸くまで、彼は急須を手にしたまま突っ立ってテレビを見ていた。；日本では東京オリンピックが開催中で国中が沸いていたときであった。；この少女の回りで働いていると、どこからともなく力が沸いて来るのだから。；暫く話している内に、女中が朝のお風呂が沸いたことを知らせて来た。；ヤツらは室内にも沸いているようだが、だいたい庭から侵入してきている。；沸きはじめたばかりの鍋の水に入れた温度計は八七度しか示していなかった。；ファインマン図に起源を持つとの関係はあるのだろうかという疑問も沸く。；ただその方がイメージが沸きやすいかなと思っただけである。；或夜、何かの会で遅くなり、一時頃帰ってみると、湯が沸いている様子だ。；その目は糸を引いたように細いくせに、その眼は沸き出るような重い光を放っている。；けど、具体的にそれを行ってるイメージは沸いてきませんでした。；彼女はそのとき初めて、殺意のようなものが胸に沸きたつのを感じた。；もっと表情を崩したり、笑ったりしたほうが人気が沸くというのであった。；いつの間にか本物の夢に変わっているような、空を飛ぶ夢も沸いてこない。</t>
        </is>
      </c>
      <c r="J8965">
        <f>HYPERLINK("https://www.weblio.jp/content/沸く", "词义详情")</f>
        <v/>
      </c>
      <c r="K8965">
        <f>HYPERLINK("https://yourei.jp/沸く", "查看例句")</f>
        <v/>
      </c>
    </row>
    <row r="8966">
      <c r="A8966" t="inlineStr">
        <is>
          <t>湧く</t>
        </is>
      </c>
      <c r="B8966" t="inlineStr">
        <is>
          <t>成功</t>
        </is>
      </c>
      <c r="C8966" t="inlineStr">
        <is>
          <t>読み方：わく
［動カ五（四）］
１水などが地中から噴き出る。「温泉が—・く」「石油が—・く」
２涙や汗が出る。「くやし涙が—・く」
３虫などが、一時に発生する。「しらみが—・く」
４ある考えや感情が生じる。「疑問が—・く」「興味の—・かない話」「勇気が—・いてくる」
５物事が次々と起こる。ある現象が急に多く現れる。「雲が—・く」「人々の間から拍手が—・く」</t>
        </is>
      </c>
      <c r="D8966" t="inlineStr">
        <is>
          <t>湧くのであつ</t>
        </is>
      </c>
      <c r="E8966" t="inlineStr">
        <is>
          <t>発生；生まれる；起こる；生じる；起きる</t>
        </is>
      </c>
      <c r="F8966" t="inlineStr">
        <is>
          <t>どっと湧く</t>
        </is>
      </c>
      <c r="H8966" t="n">
        <v>29</v>
      </c>
      <c r="I8966" t="inlineStr">
        <is>
          <t>どういふ女でももつてゐる単純な魅力などには興味が湧かないのである。；これもやはり経験上苦労に慣れたからこういう考えがすぐ湧いたのです。；生かして置きたかったと云う心は誰の心にでも湧き立って居るのである。；私の胸に湧き上って来たのは、悲しみとも憤りともつかぬ感情であった。；黙って河に向いて居た新吉の眼から、いつか涙が湧いて頬を流れて居た。；病院の廊下を走って咎められないとは、彼らの立場に若干の興味が湧く。；が、宿の前まで来た頃は、自分にも解らぬ一種の希望が胸に湧いてゐた。；が、宿の前まで來た頃は、自分にも解らぬ一種の希望が胸に湧いてゐた。；彼は和歌子のを繰り返し読んでいると泉のように懐かしさが湧いて来た。；わしは氷のやうな汗が大きな粒になつてわしの顔に湧いて来たのを感じた。；そんなことを考えれば、お母さんの胸には新たな思いも湧くのであった。；彼は心の底から湧き上って来る身震いを、どうすることも出来なかった。；ロシアが勝利の喜びに湧いていた時にピエールはモスクワに戻って来た。；これを使って作ってみたいシステムのアイディアも、すぐに湧いてきた。；海からは50メートル程度しか離れていないが淡水が湧き出す池である。；そんな印象もあって、柚木には強く訴えられている気持は湧かなかった。；その胸に思ひ切り煙を吸ひ込むと、ふとまた例の疑問が頭に湧いて来た。；まるで降って湧いたように頭をどやしつけられたというに過ぎないのだ。；その顔が森のどこかに今もなければならぬやうな親しい思ひが湧いてくる。；お前の姿勢と言い、目の輝きと言い、俺も新しい力と勇気が湧いてきた。；お前たちは、此の山の谷底から湧き上る雲の中に包まれた覚えがあろう。；それは傍からも聞えて来ますし、自分自身の内部からも湧き上って来ます。；その外にまだなんだか胸に響くような鋭い喜びと悲しみの念が湧いて来る。；長時間同じ発生ポイントから雲が湧き続け、移動しないことが多くある。；このところ空洞のようになっている私の胸の中に、少し好奇心が湧いた。；なにかしら姉さまのためにお祈りしたいやうな気持の湧くこともあります。；声を掛けてやる元気も湧かないので、私は足早に彼の傍らを通り過ぎた。；巨乳がどうした人妻がどうしたと言われても、まったく興味が湧かない。；卒業さえすれば金が自然とポッケットの中に湧いて来ると思っている。</t>
        </is>
      </c>
      <c r="J8966">
        <f>HYPERLINK("https://www.weblio.jp/content/湧く", "词义详情")</f>
        <v/>
      </c>
      <c r="K8966">
        <f>HYPERLINK("https://yourei.jp/湧く", "查看例句")</f>
        <v/>
      </c>
    </row>
    <row r="8967">
      <c r="A8967" t="inlineStr">
        <is>
          <t>枠</t>
        </is>
      </c>
      <c r="B8967" t="inlineStr">
        <is>
          <t>成功</t>
        </is>
      </c>
      <c r="C8967" t="inlineStr">
        <is>
          <t>読み方：わく
１木や竹などの細い材で、器具・建具などの縁(ふち)にしたもの。かまち。「眼鏡の—」「窓—」
２物の周囲をふちどる線。また、境などを示すため、四方を取り囲むもの。「答えを—で囲む」「黒い—の死亡記事」
３コンクリートなどを流し込んで形を作る箱形の板。パネル。
４ある制限の範囲。限界。「予算の—を超える」「採用の—を広げる」「—にはまった生き方」
５（ふつう「籰」「篗」と書く）糸を巻く道具。同じ長さの2本または4本の木を対にして並べ、横木で支えて固定し、中心部に軸をつけて回転するようにしたもの。
[補説] 「枠」は国字。</t>
        </is>
      </c>
      <c r="D8967" t="inlineStr">
        <is>
          <t>枠内(4%)；枠入り；枠移動；枠交差式；枠拡大</t>
        </is>
      </c>
      <c r="E8967" t="inlineStr">
        <is>
          <t>型；金型；鋳型；型枠；母型</t>
        </is>
      </c>
      <c r="F8967" t="inlineStr">
        <is>
          <t>台車枠；本枠；時間枠；番組枠；外国人枠</t>
        </is>
      </c>
      <c r="G8967" t="inlineStr">
        <is>
          <t>枠組；枠外；枠番；枠順；枠線</t>
        </is>
      </c>
      <c r="H8967" t="n">
        <v>29</v>
      </c>
      <c r="I8967" t="inlineStr">
        <is>
          <t>また総務、制作などの部門とは採用枠が別に設けられていることも多い。；一つの紋には、身や内といえる部分と、輪・枠や外といえる部分がある。；翌年に同じ枠でドラマの続編も放送され、2009年には映画化された。；現在、放送されているラジオ大阪の全番組の中で最も長時間の枠を持つ。；側面の出入台付近には行先表示器と一体枠で号車番号表示器を設置した。；一方で、窓枠は種車のものが再利用されたため、銀枠とはなっていない。；近年はテレビ東京で年末の朝枠に再放送を行う場合もあるようになった。；従来の原作の枠を越えて実現したいわゆる「夢の対戦」は以下の通り。；世界名作劇場枠でOPにサックスが使われたのは初めてのことであった。；また、読売テレビもMANPA枠にて独自の路線で製作・放送している。；これは折りたたみ時に上枠が下枠に収まるようにして小型化したものである。；枠は上下左右の枠、梁または中棧といわれる横板、裏軸や裏板からなる。；前番組からの流れで、この放送枠には珍しく、男女2人体制であった。；デビューの直後から、通常の作家の枠を超えた八面六臂の活動を始めている。；表示器の設置していないドア上部には広告枠とドア開閉予告灯が設置してある。；席は原則固定で、向かって左側の席から1枠・2枠・3枠・4枠である。；また、競走対象の数が枠数以下であった場合は枠による賭式は設定されない。；徳光時代初期までは主に作家・大学教授等の文化人が入る枠であった。；全駅がカード対応改札機に更新された後も、しばらくは枠のみが残っていた。；また、関東では2004年4月3日に土曜ワイド枠で再放送されている。；これに伴い、英米仏の戦艦保有制限枠も拡大されることになった。；ケンペルは日本語が読めなかったので、参照番号をそれぞれの枠に振った。；また、赤字で記載し、赤枠で囲わなければならない文章も規定されている。；スタンプの図案は長方形の二重枠の中に駅舎の絵という様式に統一された。；同様に、引き枠も大きな移動がある場合は袖に深さが必要である。；名の知られている単体女優が枠から外れ移行する場合もある。；しかもここに来て全国枠で初めての登場となった。；さらにテレビ放送開始に伴ってこの枠がテレビドラマに変更された。；同年途中にFA権利を取得し、翌年から外国人枠の適用外となる。</t>
        </is>
      </c>
      <c r="J8967">
        <f>HYPERLINK("https://www.weblio.jp/content/枠", "词义详情")</f>
        <v/>
      </c>
      <c r="K8967">
        <f>HYPERLINK("https://yourei.jp/枠", "查看例句")</f>
        <v/>
      </c>
    </row>
    <row r="8968">
      <c r="A8968" t="inlineStr">
        <is>
          <t>惑星</t>
        </is>
      </c>
      <c r="B8968" t="inlineStr">
        <is>
          <t>成功</t>
        </is>
      </c>
      <c r="C8968" t="inlineStr">
        <is>
          <t>読み方：わくせい
１恒星の周囲を公転する、比較的大きな天体。国際天文学連合はこのほか、自己重力のため球形であることと、公転軌道近くに衛星以外の天体がないことを惑星の要件としている。太陽系では太陽に近い順に、水星・金星・地球・火星・木星・土星・天王星・海王星の八つがある。海王星の外側を回る冥王星も長く惑星とされていたが、2006年に同連合によって新たに準惑星に分類された。遊星。
２実力・手腕が未知であるが、有望とみられる人。ダークホース。「財界の—」
[補説]惑星の分類（太陽系）地球型惑星：水星・金星・地球・火星木星型惑星：木星・土星天王星型惑星：天王星・海王星内惑星：水星・金星外惑星：火星・木星・土星・天王星・海王星惑星以外の天体の分類→準惑星→太陽系小天体→衛星作品名別項。→惑星</t>
        </is>
      </c>
      <c r="D8968" t="inlineStr">
        <is>
          <t>惑星間(2%)；惑星上；惑星全体；惑星連合；惑星候補</t>
        </is>
      </c>
      <c r="E8968" t="inlineStr">
        <is>
          <t>遊星；大惑星</t>
        </is>
      </c>
      <c r="F8968" t="inlineStr">
        <is>
          <t>系外惑星；各惑星；四惑星；第二惑星；公転する惑星</t>
        </is>
      </c>
      <c r="G8968" t="inlineStr">
        <is>
          <t>惑星連邦；惑星探査；惑星状星雲；惑星探査機；惑星軌道</t>
        </is>
      </c>
      <c r="H8968" t="n">
        <v>29</v>
      </c>
      <c r="I8968" t="inlineStr">
        <is>
          <t>惑星もそれぞれ透明な球体の上にあって運動していると考えられていた。；監督の河森正治は惑星エデンでは羽が生えた生物が基本だと語っている。；実際には何度も観測されてはいたが惑星とは認識されていなかった。；惑星の明るさが変化することは古代ギリシャ人の時代から知られていた。；そのほか、地球以外の惑星でも類似の動力による飛行が検討されている。；水の雲は惑星内部から供給される熱を受けて、雷のエネルギーを蓄積する。；実際には用語の定義は太陽系の惑星の間を旅行する場合に限られる。；土星の4つの衛星を発見したほか、惑星観測で様々な功績を残している。；地球の大気は惑星規模の生態系を維持するのに重要な役割を果たしている。；地球型惑星としては最大であり、全惑星の中では5番目の大きさである。；また、惑星の軌道が太陽を含む一平面上であることも暗に意味している。；探査機が惑星の夜側を通過した際の観測から、稲妻の光も観測された。；別の惑星から地球へやってきた異星知性体、それがラヴォスだったのだ。；宇宙船を開発し、最初にほかの惑星に移住できるかを競うこともできる。；右にある図はケレスの軌道といくつかの惑星の軌道を示している。；さらにこのような潮汐固定された惑星の大気にも大きな問題が生じる。；劇中でもデス・スターが惑星オルデランに接近する様子が描かれている。；惑星は太陽のまわりを回り続けるが、自ら太陽にはなれないとの意味である。；本船も上空に到着して求めていた水と緑の豊かな惑星を手に入れる事が出来た。；このような観測の難しさから、水星の理解は他の惑星と比べて遅れた。；惑星Eから追放された悪の天才科学者・宇宙猿人ゴリは地球に到達した。；この方法は、恒星や惑星を観測する場合には、成功する可能性は低い。；大気を持つ太陽系の惑星のほとんどでは、地球と同じように雲が発生する。；通常の惑星、宙域では考えられない超常現象が発生することもある。；中核都市を惑星に見立て、周辺に衛星のように存在することからの呼称。；その代わりに、これらの惑星は木星に近い位置で形成されたと推定されている。；しかし、惑星の運動は太陽のように簡単には解決できなかった。；彼は彗星は惑星の間を直線軌道で運行していると信じていた。；この結果、惑星上には有意な季節変化がほとんどないと考えられる。</t>
        </is>
      </c>
      <c r="J8968">
        <f>HYPERLINK("https://www.weblio.jp/content/惑星", "词义详情")</f>
        <v/>
      </c>
      <c r="K8968">
        <f>HYPERLINK("https://yourei.jp/惑星", "查看例句")</f>
        <v/>
      </c>
    </row>
    <row r="8969">
      <c r="A8969" t="inlineStr">
        <is>
          <t>わくわく</t>
        </is>
      </c>
      <c r="B8969" t="inlineStr">
        <is>
          <t>成功</t>
        </is>
      </c>
      <c r="C8969" t="inlineStr">
        <is>
          <t>［副］(スル)期待や喜びなどで、心が落ち着かず胸が騒ぐさま。どきどき。「胸を—（と）させて包みを解く」
[補説]古くは、心配で胸が騒ぐさまにも用いた。</t>
        </is>
      </c>
      <c r="D8969" t="inlineStr">
        <is>
          <t>わくわくするよう(6%)；わくわくさせる；わくわく鉄道フェスタ；わくわくする期待</t>
        </is>
      </c>
      <c r="E8969" t="inlineStr">
        <is>
          <t>喜び；幸せ；ドキドキ；ときめき；ワクワク</t>
        </is>
      </c>
      <c r="F8969" t="inlineStr">
        <is>
          <t>もうわくわく；ちょっとわくわく；なんだかわくわく；こんなにわくわく；急にわくわく</t>
        </is>
      </c>
      <c r="G8969" t="inlineStr">
        <is>
          <t>わくわく号；わくわくぷよぷよダンジョン；わくわく広場；わくわくラジオ；わくわく宝島</t>
        </is>
      </c>
      <c r="H8969" t="n">
        <v>29</v>
      </c>
      <c r="I8969" t="inlineStr">
        <is>
          <t>誰も経験したことのない、わくわくするような奇妙な世界が待っている。；俺の胸がわくわくしていたのは、たしかにその決意のせいにちがいない。；定子の住む同じ土地に帰って来たと思うだけでももう胸はわくわくした。；ぼくの字でぼくの研究成果が積み重なっていくのはわくわくすることだ。；別に何の哀しさもあるではないのに、胸のなかでわくわくして來てゐる。；すると、その顔は、蛙が喉をわくわくさせている時のような顔に見えた。；けれども、胸がわくわくして、どうしても書かずにいられなかったのだ。；うれしさで、わくわくして、酒を飲みたくなっただけの事なのであった。；夫人は、彼が部屋へはいって来ると、胸がわくわくしてまっ赤になった。；試写会では今か今かとわくわくしながら自分の出演場面を待っていた。；通常、小説ではこのようなわくわくする出来事は男性にしか起こらない。；たくさんの物語に触れ、わくわくどきどきするのが最大の楽しみでした。；実験をすることで前向きな貢献ができることほどわくわくすることはない。；この頃は胸がわくわくして、女を見ただけでも心臓がどきどきするんだよ。；そのほうが、よほどわくわくする休日になるだろうに、と思うのである。；その音にはなにか胸をわくわくさせるような刺激的なものがある。；腰に手を当てて立っていたヴォルフラムが、わくわくした声で兄に訊いた。；実をいうと、わたし、小学校の生徒のように胸をわくわくさせてるんです。；森の中での二人きりの生活は、毎日がわくわくする冒険の連続だった。；友人とコンサートに行く約束をしている時のほうが、はるかにわくわくした。；悪いことっていうのは、別に、わくわくするようなことに限らなくてよ。；あれほどわくわくしながら登校したことは、後にも先にも一度もない。；舞台はプールがしつらえられて、何かが始まるぞと期待でわくわくする。；好きなタレントの出番の直前でわくわくしている時なんか絶対やるべきだわ。；けれども私はもう以前のように胸のわくわくすることはなかった。；だが俺には初めてだからな、わくわくしちまってやめられたもんじゃない。；洗濯小屋にそうして坐っているのは、わくわくするような気持だった。；そう思うと、自分の体にとつぜん羽が生えてきたようにわくわくする。；おぎんは寝台に豊かな腰をおろして、年にも似ず胸をわくわくさせていた。</t>
        </is>
      </c>
      <c r="J8969">
        <f>HYPERLINK("https://www.weblio.jp/content/わくわく", "词义详情")</f>
        <v/>
      </c>
      <c r="K8969">
        <f>HYPERLINK("https://yourei.jp/わくわく", "查看例句")</f>
        <v/>
      </c>
    </row>
    <row r="8970">
      <c r="A8970" t="inlineStr">
        <is>
          <t>訳</t>
        </is>
      </c>
      <c r="B8970" t="inlineStr">
        <is>
          <t>成功</t>
        </is>
      </c>
      <c r="C8970" t="inlineStr">
        <is>
          <t>読み方：やく
［音］ヤク（呉）　［訓］わけ
［学習漢字］6年
〈ヤク〉他の言語に言いかえる。「訳載・訳者・訳出・訳文／意訳・完訳・誤訳・重訳・抄訳・対訳・直訳・通訳・点訳・翻訳・名訳・和訳」
〈わけ〉「事訳・諸訳」
［名のり］つぐ</t>
        </is>
      </c>
      <c r="D8970" t="inlineStr">
        <is>
          <t>訳じゃない；訳題；訳経；訳聖書；訳版</t>
        </is>
      </c>
      <c r="E8970" t="inlineStr">
        <is>
          <t>わけ；意味；由来；事情；感覚</t>
        </is>
      </c>
      <c r="F8970" t="inlineStr">
        <is>
          <t>そんな訳；現代語訳；そういう訳；英語訳；なかった訳</t>
        </is>
      </c>
      <c r="G8970" t="inlineStr">
        <is>
          <t>訳し；訳語；訳す；訳者；訳書</t>
        </is>
      </c>
      <c r="H8970" t="n">
        <v>29</v>
      </c>
      <c r="I8970" t="inlineStr">
        <is>
          <t>本気で神になると信じていた訳ではなく、彼の最後のユーモアであった。；映画をジャンル分けする際の明確な定義というものがある訳ではない。；しかし、その時点に於いては救済が約束されている訳では無いと考える。；通常このような事故は稀であるが、全く発生していない訳ではない。；これらは主に使用される組み合わせで、必ずこれのみで対応する訳ではない。；もっとも、この記事に書かれている事件が本当に起きた訳ではない。；しかしコンピュータが心を用いてかけ算している訳でないのは明らかである。；しかし新たにつくられた郡がすべて支郡から始まっている訳ではない。；この世界は現存在が責任を負えず、選んだ訳でもない事物に満ちている。；これに示されているように、正教会でも火葬が禁止されている訳ではない。；輸送は、英語のTransportに相当する語の訳として使用される。；しかし研究者は本種が骨を頻繁にかじっていた訳でないとしている。；しかし、これらの概念や実装は一朝一夕にして成立・普及した訳ではない。；番組は視聴率が大きく落ちた訳でもなかったが、突如打ち切りとなった。；マゼランは1513年1月に帰国するが、帰国した訳も分かっていない。；このような金属をつくる元素は宇宙の誕生とともに生成された訳ではない。；ヨーロッパに渡った三国志も満洲語訳をフランス語に翻訳したものであった。；これは意味が通らないが、田島訳では直後にという解釈を挿入している。；しかし北方の強国はこのまま黙って没落を受け入れていた訳ではなかった。；ただし、彼らの子孫すべてが軍事貴族・武士へ成長した訳ではない。；また玄奘以降の訳僧もこれらの理由から音写を用いたと考えられる。；これらとスペイン語訳版は、アダム・スミスの存命中に出版されている。；しかしながら、全ての科学者がこの観点を支持している訳ではない。；放送区域内だからといって必ずしも全ての局が安定して受信できる訳ではない。；材木として栽培されている訳ではないので一般に流通する事は少ない。；新約聖書内には、旧約から引用する際、この訳を用いている場合が多い。；サラディンは訳を訊ねるが弟は答えず、彼の言う通りに捕虜を与えてやった。；さすがに録り直しする訳にもいかず、放送されることもなかった。；この作品のドイツ語訳は1907年にヴロツワフで演奏されている。</t>
        </is>
      </c>
      <c r="J8970">
        <f>HYPERLINK("https://www.weblio.jp/content/訳", "词义详情")</f>
        <v/>
      </c>
      <c r="K8970">
        <f>HYPERLINK("https://yourei.jp/訳", "查看例句")</f>
        <v/>
      </c>
    </row>
    <row r="8971">
      <c r="A8971" t="inlineStr">
        <is>
          <t>分ける</t>
        </is>
      </c>
      <c r="B8971" t="inlineStr">
        <is>
          <t>成功</t>
        </is>
      </c>
      <c r="C8971" t="inlineStr">
        <is>
          <t>読み方：わける
［動カ下一］［文］わ・く［カ下二］
１一つにまとまっているものをいくつかの部分にする。分割する。「ドラマを前半と後半に—・ける」「五回に—・けて支払う」「髪を七三(しちさん)に—・ける」
２種類によって区分する。分類する。「子供と大人に—・ける」「大きさによって—・ける」
３幾つかに割って与える。分配する。また、一部分を人に与える。「財産を三人の息子に—・ける」「いただき物をお隣に—・ける」
４「売る」を婉曲にいう語。「この絵を—・けて下さいませんか」
５物を左右に押し開く。「人波を—・けて前に出る」「草の根—・けて捜し出す」
６勝負事で、勝負がつかないとして、やめさせる。引き分けにする。「勝負を—・ける」「星を—・ける」
７仲裁して、やめさせる。「けんかを—・ける」
[下接句]馬の背を分ける・事を分ける・血を分ける・暖簾(のれん)を分ける・夕立は馬の背を分ける・理を分ける</t>
        </is>
      </c>
      <c r="D8971" t="inlineStr">
        <is>
          <t>分けるべき；分けるバットコントロール；分ける底生生物食者；分けるシュアな打撃；分けるスプレーヒッタータイプ</t>
        </is>
      </c>
      <c r="E8971" t="inlineStr">
        <is>
          <t>分類；区別；分離；分割；整理</t>
        </is>
      </c>
      <c r="F8971" t="inlineStr">
        <is>
          <t>呼び分ける；打ち分ける；投げ分ける；嗅ぎ分ける；演じ分ける</t>
        </is>
      </c>
      <c r="H8971" t="n">
        <v>29</v>
      </c>
      <c r="I8971" t="inlineStr">
        <is>
          <t>放送上のキャラクターを最初から陰性と陽性に分けて選んだものでした。；映画をジャンル分けする際の明確な定義というものがある訳ではない。；ある個数のものを何人かに分けたときの過不足の情報が2つ与えられる。；米内は坊主頭が一般的だった他の軍人とは異なり、髪を七三に分けていた。；また、語彙的な意味を持つものとそうでないものに分けることができる。；ウィトゲンシュタインの哲学は極めて単純には前期と後期に分けられる。；上の分類とは別に、火山体周辺で起こるものを特別に分ける場合がある。；そこではまた、それまでの自身の歌詞を次のように3期に分けている。；ワードは単独で実行できるため、部分に分けてのデバッグも容易である。；イネ科の小穂の変形の過程を考えて幾つかの型に分けることが行われる。；他に同姓同名の作曲家はおらず、呼び分ける必要がなかったためである。；のジャンル分けはタキトゥスの作品をとに分ける分類に由来するとされた。；近鉄難波線の各駅はホームの柱がそれぞれ違う色で塗り分けられている。；どういう行為が認められているか、で大きく分けて3種に分けられる。；パースは記号のこのような三つの意味の差異を以上の三項で呼び分ける。；北日本とは、日本を大きく分ける時に使用される語で、日本の北部を指す。；各大隊は勝利のため部隊をさまざまなパートに分けて態勢を整えている。；なぜ人間は人種に敏感なのかを説明する仮説は大きく分けると三つある。；以下は、国産品の発売年が分かるものについては発売年を参考に分けた。；この劇場公開版は、後にテレビ東京系で前後編に分けて全国放映された。；県は、自然上の区分、歴史的な区分から以下の地方に分けることができる。；そして、この特別な裁判所の存在が公法と私法を分ける根拠にもなった。；研究者の岡田博有は以下の様に日本における堆積学の歴史を分けている。；当時フランス人が行ったコラボラシオンの種類は大きく分けて3つある。；非常に多様な地域であるが、大まかには北部と南部に分けることができる。；販売時の事象にも特記することがあれば節を分けるなどして記述する。；地区の歴史をいまだにドジャースの移転前、移転後で分ける住民が多い。；眼を形態で大きく分類すると単眼・複眼・カメラ眼の3つに分けられる。；形態から以下の2亜種に分ける説があり、亜種を独立種とする説もある。</t>
        </is>
      </c>
      <c r="J8971">
        <f>HYPERLINK("https://www.weblio.jp/content/分ける", "词义详情")</f>
        <v/>
      </c>
      <c r="K8971">
        <f>HYPERLINK("https://yourei.jp/分ける", "查看例句")</f>
        <v/>
      </c>
    </row>
    <row r="8972">
      <c r="A8972" t="inlineStr">
        <is>
          <t>技</t>
        </is>
      </c>
      <c r="B8972" t="inlineStr">
        <is>
          <t>成功</t>
        </is>
      </c>
      <c r="C8972" t="inlineStr">
        <is>
          <t>読み方：ぎ
［音］ギ（呉）　［訓］わざ
［学習漢字］5年
〈ギ〉細工をする手並み。手わざ。「技芸・技巧・技師・技術・技能・技量／演技・競技・実技・神技・特技・武技・妙技・余技」
〈わざ〉「足技・大技・小技・寝技・早技」
［名のり］あや</t>
        </is>
      </c>
      <c r="D8972" t="inlineStr">
        <is>
          <t>技倆(4%)；技名；技館；技法上；技体</t>
        </is>
      </c>
      <c r="E8972" t="inlineStr">
        <is>
          <t>方法；技術；腕；手法；技法</t>
        </is>
      </c>
      <c r="F8972" t="inlineStr">
        <is>
          <t>遊技；合技；戦技；合体技；必殺技</t>
        </is>
      </c>
      <c r="G8972" t="inlineStr">
        <is>
          <t>技法；技術者；技師；技術的；技能</t>
        </is>
      </c>
      <c r="H8972" t="n">
        <v>29</v>
      </c>
      <c r="I8972" t="inlineStr">
        <is>
          <t>テーズ道場では頻繁に使われていた技であったが名前のない技であった。；後に、技の名称は多い時で300手かそれ以上になったと言われている。；多くのRPGには全ての攻撃技の基本となる通常攻撃が実装されている。；突き技は特に危険であることから、小中学生の試合では禁止されている。；技の名前に、それを最初に成功させた選手の名前が付くことも特徴である。；非常に多くの技があり、認められている技には難度が設定されている。；また、全て避けられることになっているとは言え打太刀からも技を打つ。；連携の名称はそれぞれの技・術などの名前の一部を繋ぎ合わせたものになる。；反面、手に入れた道具・覚えた技や術などは全キャラクターで共有される。；版権問題やその他の問題のため、一部の技の名称が変更になっている。；相撲の技を言葉で表現しようとする試みは、戦国時代に始まるといわれる。；この技を出せること自体がある種のステータスとなっていた時期もあった。；柔道など投げ技がきれいに決まることが勝利条件の一つであるものも多い。；ただし一気に体力ゲージの半分以上を奪うような連続技はほとんどない。；他にジャイアント馬場直伝の抱え式バックドロップも得意技としていた。；社殿の形式は春宮と同じで、古くは秋宮・春宮間で建築の技が競われた。；番組では人間技とは思えない作品の技を称して「超絶技巧」と称している。；性能や技などは不明だが、紺と黄をベースにした鎧武者のようなデザイン。；飛び道具技を持ち、上記の特性を活かした通常技のリーチが非常に長い。；基本技のなかには基本動作およびその応用形が組み込まれている。；競技とは一定の規則に従った状態で、何らかの技の優劣を競うことである。；技はWPを消費し、技と対応した所持武器を持っていれば使用できる。；また、体格が変わったのに合わせ、技の構成にやや変更が加えられた。；一般に小さいものが大きい体の相手を投げるのに適した技であるとされる。；技は数え切れないほど多くの技があるが、系統立てると以下のようになる。；また、原作・アニメ版には登場しないオリジナルの魔法や技が複数登場する。；また、前作までとは異なり、武器は「技」という概念が初登場している。；術の使用時には、画面右上に表示されている技値を消費する。；また、複数のメンバーが一度に動いて攻撃する陣形技が使用できる。</t>
        </is>
      </c>
      <c r="J8972">
        <f>HYPERLINK("https://www.weblio.jp/content/技", "词义详情")</f>
        <v/>
      </c>
      <c r="K8972">
        <f>HYPERLINK("https://yourei.jp/技", "查看例句")</f>
        <v/>
      </c>
    </row>
    <row r="8973">
      <c r="A8973" t="inlineStr">
        <is>
          <t>わざと</t>
        </is>
      </c>
      <c r="B8973" t="inlineStr">
        <is>
          <t>成功</t>
        </is>
      </c>
      <c r="C8973" t="inlineStr">
        <is>
          <t>読み方：わざと
［副］《名詞「わざ（業）」＋格助詞「と」から》
１意識して、また、意図的に何かをするさま。ことさら。故意に。わざわざ。「—負ける」
２とりわけ目立つさま。格別に。
「—深き御敵と聞こゆるもなし」〈源・葵〉
３正式であるさま。本格的に。
「—の御学問はさるものにて」〈源・桐壺〉
４事新しく行うさま。
「—かう立ち寄り給へること」〈源・若紫〉
５ほんのちょっと。少しばかり。
「ではござりませうが、—一口」〈伎・上野初花〉</t>
        </is>
      </c>
      <c r="D8973" t="inlineStr">
        <is>
          <t>わざとゆっくり；わざと大きな；わざとこんな；わざと避け；わざとそうした</t>
        </is>
      </c>
      <c r="E8973" t="inlineStr">
        <is>
          <t>意図的；意識的に；殊更；態と；態々</t>
        </is>
      </c>
      <c r="F8973" t="inlineStr">
        <is>
          <t>わざと驚い；わざと明るく；わざと残し；わざとやってる；わざと遠まわり</t>
        </is>
      </c>
      <c r="G8973" t="inlineStr">
        <is>
          <t>わざとらしい；わざとらし；わざとらしから；わざとらしき；わざと打ち</t>
        </is>
      </c>
      <c r="H8973" t="n">
        <v>29</v>
      </c>
      <c r="I8973" t="inlineStr">
        <is>
          <t>そしてその中の一人はわざと船じゅうに聞こえ渡るようなくさめをした。；彼等はわざと注意をしているらしく二人の声は全く洩れてこなかった。；そのため本人から、わざとやっているのではと疑いをかけられている。；あまりに進み過ぎて居るに非ずやと云へば、然り、わざと進めたるなり。；最初はミディールはわざと負け、王の要求を魔法の力で次々にかなえた。；博士は企業に奪われた研究を取り返すために、わざと騒ぎを起こしたのだ。；主人は眉の根に、わざと深く皺を寄せて、鼻で撓めるように顔を向けた。；自分の姿をあらわすためにわざと、そんなふうに書いたのかもしれません。；フリードリヒ2世はこのとき、市内の居住地をわざと狙ったと言われた。；貸してくれた時計は、願掛けのためにわざと止めてあると大橋は言った。；その節中に、好調子の選手と不調子の選手とをわざと同じカードに組むこと。；舞美が見ていたのは分かっており、わざと見せつけるようにしていた。；釘に毒を塗ってわざと踏むような場所に投げて置いたに違いございません。；いまの奴たちは、勘平が頼んでわざと伴内を呼びにやらせたのである。；そして、わざと嘘を言っているのでない限り、その予言は必ず真実となる。；このためゲームをやめる時はわざとミスし続けるしか方法は無い。；で、彼れは母さんの涙で止められる事を心配して、わざと黙つてゐたのだ。；お千代 では、わざと勝を讓つてやれとでも仰しやるのでございますか。；それは私の心が移るのかも知れないと思ふと私はわざと平氣を裝つて見せた。；わたくしは、わざと意地わるく二人の邪魔になるように歩いていった。；このため、危険と感じたら自機をわざと自爆させることも必要となる。；また、わざと当たりに行ったことは現役生活を通じて1回も無いという。；電話だと女性に間違われることもあるため、わざと低い声で出るようにしている。；ところが周りの者が、お菊がわざと皿を割った瞬間を目撃していた。；船長は、わざと気づかないことにしておいたのかもしれない。；ふたりが空港に向かっているとき、ユリはわざと車でチョンソをはねる。；ヴァイキング達は軟らかい木を材料にし、縁をわざと強化しなかった。；これは邪魔のはいらないためにわざと夜を選んだからである。；ひょっとすると、小竹さんは、わざとよそおっているのではあるまいか。</t>
        </is>
      </c>
      <c r="J8973">
        <f>HYPERLINK("https://www.weblio.jp/content/わざと", "词义详情")</f>
        <v/>
      </c>
      <c r="K8973">
        <f>HYPERLINK("https://yourei.jp/わざと", "查看例句")</f>
        <v/>
      </c>
    </row>
    <row r="8974">
      <c r="A8974" t="inlineStr">
        <is>
          <t>わざとらしい</t>
        </is>
      </c>
      <c r="B8974" t="inlineStr">
        <is>
          <t>成功</t>
        </is>
      </c>
      <c r="C8974" t="inlineStr">
        <is>
          <t>読み方：わざとらしい
［形］［文］わざとら・し［シク］いかにも意識してしたようで不自然である。「—・く笑ってみせる」</t>
        </is>
      </c>
      <c r="D8974" t="inlineStr">
        <is>
          <t>わざとらしい咳払い(4%)；わざとらしいところ(2%)；わざとらしい声(2%)；わざとらしいため息；わざとらしい動作</t>
        </is>
      </c>
      <c r="E8974" t="inlineStr">
        <is>
          <t>怪しい；不自然な；不審な；怪しげな；形式的な</t>
        </is>
      </c>
      <c r="F8974" t="inlineStr">
        <is>
          <t>どこかわざとらしい；少しわざとらしい；わざとらしい態度；わざとらしい調子；わざとらしい笑み</t>
        </is>
      </c>
      <c r="H8974" t="n">
        <v>29</v>
      </c>
      <c r="I8974" t="inlineStr">
        <is>
          <t>わざとらしい冗談をいう気にはなれなかったので、自分は澄ましていた。；わたしの視線を避けるように、老人はわざとらしく鼻眼鏡に手をやった。；しかしわたしには、わざとらしく、何度も山比古と聞かせたではないか。；どうして遺書がわざとらしく目につくように置いてあったのだろうか。；わざとらしい足音がして、私たちの後方にまた複数の男があらわれた。；あら、同じ北海道だったの、と千夏はわざとらしく驚いたように言った。；わざとらしく頬に傷があるけれど、どういう医療システムの星から来たんだ?；私は吾ながら自分のわざとらしい音声に冷汗を覚えずには居られなかつた。；わざとらしく意味のない言葉を発しながら、畳に座り、テレビをつけた。；加工・編集されているもの、わざとらしいものは嫌がられる傾向にある。；でいながら、わざとらしいところは、どこにも見えはしませんでした。；ぼくが簡単に事情を説明すると、彼はわざとらしい大きなため息をついた。；その快活は消えてしまっていた、もしくはどこかわざとらしい点があった。；しかし、彼女の場合はわざとらしさがあるようにメグレには思われた。；逆に行ったことに何か安田のわざとらしさがあるような気がした。；それがあまりわざとらしいので、私は我慢が出来ないほどであった。；その元気な振る舞いは、しかし、なぜだか不思議にわざとらしく見えた。；ややわざとらしい声であったが、彼としてはそうは思いたくなかった。；おれは警官と周囲の乗客たちにわざとらしく微笑みかけてから立ち上がった。；どうせあとで連れていってもらえると確信しているわざとらしさだ。；姉は無教育な東京ものによく見るわざとらしい仰山な表情をしたがる女であった。；「なんだそれ」 そう言ったら、わざとらしくぽかんとした顔をされた。；それとも僕が、わざとらしいのは嫌いな男だとわかってきたのか。；わざとらしい手間をかけ、例のお伽の猫を真似て会心の笑いをつくった。；元気出せよ、と言うのもわざとらしい気がして、ぼくは黙って隣に座った。；逆に手紙で改めて書かれていると、すごくわざとらしくなってしまう。；そして、じっと王子を見つめたあと、わざとらしい笑みを浮かべて言った。；違う話題を選ぼうとも思ったが、しかしそれもいかにもわざとらしい。；この冷淡さの原因はむしろ、わざとらしく顔をそむけた連姫の方にあった。</t>
        </is>
      </c>
      <c r="J8974">
        <f>HYPERLINK("https://www.weblio.jp/content/わざとらしい", "词义详情")</f>
        <v/>
      </c>
      <c r="K8974">
        <f>HYPERLINK("https://yourei.jp/わざとらしい", "查看例句")</f>
        <v/>
      </c>
    </row>
    <row r="8975">
      <c r="A8975" t="inlineStr">
        <is>
          <t>わさび</t>
        </is>
      </c>
      <c r="B8975" t="inlineStr">
        <is>
          <t>成功</t>
        </is>
      </c>
      <c r="C8975" t="inlineStr">
        <is>
          <t>読み方：わさび
アブラナ科の多年草。日本特産。渓流の砂礫(されき)地に生える。根茎は太い円柱形で多数の葉の跡があり、緑色。根際から長い柄をもつ心臓形の葉が出る。春、高さ約30センチの茎を伸ばし、白い4弁花を総状につける。根茎は香辛料とし、すりおろすと酵素が働いて鼻につんとくる香気と辛味を生じ、刺身・そば・握りずしなどに用いる。山間地で栽培もされる。《季春 花＝夏》「おもしろう—に咽ぶ泪かな／召波」</t>
        </is>
      </c>
      <c r="D8975" t="inlineStr">
        <is>
          <t>わさびおろし(4%)；わさび田(3%)；わさび沢川(3%)；わさび漬；わさびじょうゆ</t>
        </is>
      </c>
      <c r="G8975" t="inlineStr">
        <is>
          <t>わさび漬け；わさび平小屋；わさびちゃん；わさびーず</t>
        </is>
      </c>
      <c r="H8975" t="n">
        <v>29</v>
      </c>
      <c r="I8975" t="inlineStr">
        <is>
          <t>沿川ではこの綺麗な水を利用したわさび栽培などの農業が営まれている。；変わったところでは紫蘇やわさびの葉などが入れられることもある。；江戸時代に使われていた木製のわさびおろしにも、うりふたつである。；板わさは味もよいが、わさびには殺菌効果がありその意味でも評価されている。；もとはわさびやコーヒーが苦手だったが徐々に飲食できるようになったと述べている。；店によっては、客の顔を見てからわさびをおろしてくれます。；どうしたのかと思ったら、どうやら刺身にわさびをつけすぎたらしく、目に涙を浮かべていた。；これではいかに値段の高いよいわさびでも、半分の効きめすら発揮できないでしょう。；まあ、新聞のわさびがきかない記事なんてどうでもいいけれど。；白身の魚と同じように薄身につくり、本場もののわさびで食べる味は格別。；お茶を注いでおいて、最後に入れてまぜて食べる方が、わさびの効きめがある。；しょうゆの中にわさびを入れてしまっては辛味はなくなる。；他の何物をもってしても、わさびの軸に優るものはざらにない。；苦手な食べ物は強いて言うとわさび等の辛いものや、ゴーヤ等の苦い物。；煙草を吸う人にわさびを下ろしてもらうのは禁物である。；米の代わりにチューブ入りわさびを主食とし、炭酸飲料で水分を取る。；力を抜いてのそのそおろしては、せっかくのわさびが味気なくなってしまいます。；神経の細かい店では生わさびの下ろし金に瀬戸物やサメ皮を用いる。；スープと、それにわさびおろしをかけた塩漬け肉、こんなものはそれまで見たことも聞いたこともありませんでしたよ。；主に杉の素材生産をしていて、林間わさびのような特用林産物の生産も行われている。；鰹節のなかにわさびを混ぜて、ぴりっと辛みのきいたものにすることもあった。；そばを二箸、三箸と食べたら、箸の先にわさびをちょっとつけて舌にのせる。；しかし、いつも涙の出るほどわさびを使って刺身を食べていた岩城は、むっとしていた。；山間部ではわさびの栽培なども行われている。；板前驚くがこうなれば意地、わさびを握り寿司の形に握って出す。；飯と種の間にわさびを入れることが多い。；本町田の西端で、恩田川源流端の一部となるわさび沢川の水源地である。；アルは、わさびを白い小皿に入れ、醤油を注ぎながらジョンに言った。；村はずれにある井戸のほとりで、わさびの葉を見つけて食べた。</t>
        </is>
      </c>
      <c r="J8975">
        <f>HYPERLINK("https://www.weblio.jp/content/わさび", "词义详情")</f>
        <v/>
      </c>
      <c r="K8975">
        <f>HYPERLINK("https://yourei.jp/わさび", "查看例句")</f>
        <v/>
      </c>
    </row>
    <row r="8976">
      <c r="A8976" t="inlineStr">
        <is>
          <t>災い</t>
        </is>
      </c>
      <c r="B8976" t="inlineStr">
        <is>
          <t>成功</t>
        </is>
      </c>
      <c r="C8976" t="inlineStr">
        <is>
          <t>読み方：わざわい
１人に不幸をもたらす物事。また、その結果である不幸な出来事。災厄。災難。「口は—の元」「—が降りかかる」
２不快であること。多く、感動表現に用いる。
「あな—や、かばかりの事をだにしそこなひ給ふよ」〈大鏡・伊尹〉</t>
        </is>
      </c>
      <c r="D8976" t="inlineStr">
        <is>
          <t>災い転じ；災いあれ；災い除け</t>
        </is>
      </c>
      <c r="E8976" t="inlineStr">
        <is>
          <t>困難；不幸；障害；故障；面倒</t>
        </is>
      </c>
      <c r="F8976" t="inlineStr">
        <is>
          <t>あらゆる災い；恐ろしい災い；大いなる災い；どんな災い；災い転じて福</t>
        </is>
      </c>
      <c r="H8976" t="n">
        <v>29</v>
      </c>
      <c r="I8976" t="inlineStr">
        <is>
          <t>もしそのとき私の父がこの災いの源を消滅させておいてくれましたなら!；この人の四十台までを災いしたものは、その大部分が家庭的問題である。；おそらく私を見る者は、私に非常な災いが起こったと思うかも知れない。；ひとの災いを自分の幸いよりも ひどく喜んでおりましたのですもの。；また他の海岸部にある郡と比較して交通の便が悪いことも災いしている。；ベスは自分の祈りのせいで彼に災いが降りかかったのだと自分を責める。；歴史的にあまり名が残らなかったのは、この晩年の所業が災いしている。；これまでの功績が災いしたのか、六郎からはその存在を危険視されてゆく。；そうして、悪魔から受ける災いよりもいっそう多くのいいことをした。；もうあの時ですら、あの幸福の中に災いの毒針がかくされていたのです。；トゥーリンの提案した石の橋は味方にとって今や災いとなってしまった。；病気や災いが降りかかるようなことは、もう二度とさせぬつもりだった。；それが災いして卒業が危うくなりかけたものの、無事高校を卒業する。；詳細不明の災いに見舞われた世界で、名前のない父と息子は道を南進する。；この形状は非常に複雑な構造が災いし、価格が高いことが大きな欠点だった。；この時刻に魔物や妖怪がうごめき始めて災いが起きると伝えられていた。；が結局、何人かの上に災いがあるとしても、それは少しも私のせいではない。；それに運ばるる者もそれに衝突する者も、共に災いなるかなである。；陽処父とは昔賢哲を知られながらも苛烈な性格が災いして殺された人物である。；神の正義も災いも、無償の愛に起因して、無償の愛の中に成立している。；転居後に妻の癌をはじめ災いが多いのが何かの祟りではないかと心配になる。；その弱点が災いしてのび太は今までのしっぺ返しを食らうこととなった。；東方不敗によるクーデターが起こったのもそうした性格が災いしている。；一説には、物事をはっきりと言いすぎる性格が災いしたとも言われる。；常に敵より多い機数が災いし、味方同士の衝突という悲劇も多かった。；その後、災いを避けるため病を理由に都から轘轅道を伝って逃亡した。；船に乗って水に入りながら災いを防ぐことはできません。；この行動が災いしたのか、その後まもなく彼は最高会議代議員職も失った。；これは昔からアベナキ族とイロコイ族が紛争を続けていたことも災いした。</t>
        </is>
      </c>
      <c r="J8976">
        <f>HYPERLINK("https://www.weblio.jp/content/災い", "词义详情")</f>
        <v/>
      </c>
      <c r="K8976">
        <f>HYPERLINK("https://yourei.jp/災い", "查看例句")</f>
        <v/>
      </c>
    </row>
    <row r="8977">
      <c r="A8977" t="inlineStr">
        <is>
          <t>わざわざ</t>
        </is>
      </c>
      <c r="B8977" t="inlineStr">
        <is>
          <t>成功</t>
        </is>
      </c>
      <c r="C8977" t="inlineStr">
        <is>
          <t>読み方：わざわざ
［副］
１他のことのついでではなく、特にそのためだけに行うさま。特にそのために。「—出掛けなくても電話で済むことだ」
２しなくてもよいことをことさらするさま。故意に。「御親切にも—忠告に来る人がいる」
→折角(せっかく)［用法］</t>
        </is>
      </c>
      <c r="D8977" t="inlineStr">
        <is>
          <t>わざわざこんな；わざわざ来；わざわざそんな；わざわざ出かけ；わざわざ訪ね</t>
        </is>
      </c>
      <c r="E8977" t="inlineStr">
        <is>
          <t>特に；特別；図って；格別；敢えて</t>
        </is>
      </c>
      <c r="F8977" t="inlineStr">
        <is>
          <t>どうしてわざわざ；何もわざわざ；なんでわざわざ；なにもわざわざ；わざわざ遠い</t>
        </is>
      </c>
      <c r="H8977" t="n">
        <v>29</v>
      </c>
      <c r="I8977" t="inlineStr">
        <is>
          <t>わざわざ短い記事を自ら作ってリストするような行為はお控えください。；夫のいうように、わざわざ知らせに来るほどのことはなかったのである。；つまり君はわざわざ自分を敗北者へ持って行くようなことをしたんだ。；わざわざ疵をつけて涙の価値を取出すことさえこの世の中にはあります。；それをわざわざこう言って聞くのは、いずれ父を知っている男に違いない。；わたしはインディアンがわざわざそれをもとめた話を聞いたことがない。；ではなぜリー将軍はわざわざこの時期を選んで北部へ侵攻したのだろうか?；それはただ考えだけでなくそれがためにわざわざ人をインドの方へ派遣された。；一同の様子をわざわざ見に来る者、激励に訪れる者も後を絶たなかった。；このことは、家にいるだけの女子に、わざわざ教養をつける必要はない。；米俵より軽くてはわざわざ石を用意する意味がないという事であるらしい。；そして劉敞のときにも同じようにわざわざ遠回りをしてみせたのであった。；何も自分の受けた不愉快な気持ちをわざわざ彼女に与えなくてもと。；そのため予選のない地区からわざわざ出場するグループもいた。；わざわざこんな学校に一年や二年かではいるものはないんだ。；姉さんが来たら、僕と話してくれつて、わざわざ呼びつけられたんだよ。；広告業者は人々が推薦文をわざわざ読んだりしないことに気づいた。；さうすれば自分も始めから、わざわざ光悦寺などへやつて来はしない。；もっとも疲れて休むことを望むのならば何もわざわざ山に登る必要はない。；なお、なぜ日本語ではなくわざわざ中国語にしているのかは不明。；ときには客のほうからわざわざやってきて情報を提供してくれるようになった。；死骸は今ここへ運んで来るから、病院までわざわざ出て行くには及びません。；わざわざ人に席を代わってもらって、ヨシオは彼女の左隣りにすわった。；そして、わざわざ彼を電話で呼び出す気になったわけがはっきりとして来た。；が、わざわざそんなことをしなくても、コゼツの目的は達せられました。；そして、わざわざ入り口のところまで出て、あちらを見たのであります。；その才能は阿含も認めており、わざわざ泥門戦の視察に来ていたほど。；先祖にわざわざ罪歴のある人物を選ぶ武士がいないのも当然である。；それから其家ではわざわざ室を換えて床から何から皆別々にしてしまった。</t>
        </is>
      </c>
      <c r="J8977">
        <f>HYPERLINK("https://www.weblio.jp/content/わざわざ", "词义详情")</f>
        <v/>
      </c>
      <c r="K8977">
        <f>HYPERLINK("https://yourei.jp/わざわざ", "查看例句")</f>
        <v/>
      </c>
    </row>
    <row r="8978">
      <c r="A8978" t="inlineStr">
        <is>
          <t>和室</t>
        </is>
      </c>
      <c r="B8978" t="inlineStr">
        <is>
          <t>成功</t>
        </is>
      </c>
      <c r="C8978" t="inlineStr">
        <is>
          <t>読み方：わしつ
日本風の部屋。日本間。⇔洋室。</t>
        </is>
      </c>
      <c r="F8978" t="inlineStr">
        <is>
          <t>狭い和室；畳和室；暗い和室；小さな和室</t>
        </is>
      </c>
      <c r="H8978" t="n">
        <v>29</v>
      </c>
      <c r="I8978" t="inlineStr">
        <is>
          <t>友達が遊びにきたときはこの和室でごはんを食べたり酒を飲んだりする。；子供がリビングの横の和室に入ったので私もそこの畳を踏ませてもらう。；部屋を荒らしたり、死体を和室のほうに動かしたのもそのためでしょう。；窓から確認すると、警官たちの本部となっている和室の電気がついていた。；道路に面して廊下が通り、その脇に和室がいくつか並んでいるようだった。；六畳ほどの広さの暗い和室の中央に母は男を抱きかかえるように座っている。；庭に面した部屋の窓は開け放たれていて、その中は和室になっている。；和室でいえば八畳くらいの壇上の奥は壁、三方には御簾が下がっている。；和室の書斎に小さな書き物机を置いて仕事をしていた姿を覚えている。；管理人は左手奥の和室に居て、浅川が入ってきたことに気付かないのだ。；小さな台所に六畳くらいの和室が二つついて、バスルームもあるようだ。；男二人は下の和室で寝起きし、二階は瑞穂が使うことになっていたからだ。；光をさえぎられていた和室が、一瞬のうちに昼間の明るさを取り戻した。；入ってすぐのところが六畳の和室で、右側に小さな台所がついている。；私はそういう理由もあって、じめじめとしたその和室がひどく嫌いだった。；学園長室はさくらの趣味を反映してか和室であり、鍋をすることもある。；茶を淹れた湯飲み茶碗を二つトレイに載せて、彼女は和室に戻ってきた。；少し息苦しくなったけど、そのまま子泣き娘を背負って和室へ向かった。；その部屋は、和室に直したとすれば二十五畳ほどの広さであった。；男は、和室寄りの、廊下に続くドアを背にし、ナイフを持って立っている。；バタンと椅子の音をたてて父は廊下に出てとなりの和室に入った。；和室や子供向けの部屋を備えており、ファミリー向けともなっている。；三メートルばかりの廊下の左右に洋室と和室があり、奥が居間と浴室だ。；広いスペースのいす席があり、奥は衝立で仕切られた和室となっている。；六畳の和室はきちんと片づけられていて、机の上には花が飾ってある。；内部は、六畳と四畳半の和室で、家の隅には手洗いがもうけられていた。；息子と娘は二階で、父親はリビングの奥の和室で、それぞれ寝ている。；部屋に一歩足を踏み入れた田川の目が、奥の和室で寝ている女の姿を捉えた。；そして、二人の汚らしい呻きが居間の隣の和室のほうから聞こえてくる。</t>
        </is>
      </c>
      <c r="J8978">
        <f>HYPERLINK("https://www.weblio.jp/content/和室", "词义详情")</f>
        <v/>
      </c>
      <c r="K8978">
        <f>HYPERLINK("https://yourei.jp/和室", "查看例句")</f>
        <v/>
      </c>
    </row>
    <row r="8979">
      <c r="A8979" t="inlineStr">
        <is>
          <t>和食</t>
        </is>
      </c>
      <c r="B8979" t="inlineStr">
        <is>
          <t>成功</t>
        </is>
      </c>
      <c r="C8979" t="inlineStr">
        <is>
          <t>読み方：わしょく
日本風の食事。新鮮な魚介や野菜を用い、材料の持ち味を生かして調理すること、器の種類や盛り付けにも趣向を凝らすこと、季節感を重んじ、年中行事とも深い関わりをもつことなどが特徴。日本料理。⇔洋食。
[補説]平成25年（2013）、「和食日本の伝統的な食文化」の名称でユネスコの無形文化遺産に登録された。</t>
        </is>
      </c>
      <c r="D8979" t="inlineStr">
        <is>
          <t>和食レストラン(4%)；和食文化；和食堂；和食料理店；和食中心</t>
        </is>
      </c>
      <c r="F8979" t="inlineStr">
        <is>
          <t>和食系；和食党</t>
        </is>
      </c>
      <c r="G8979" t="inlineStr">
        <is>
          <t>和食屋；和食器；和食村；和食処；和食さと</t>
        </is>
      </c>
      <c r="H8979" t="n">
        <v>29</v>
      </c>
      <c r="I8979" t="inlineStr">
        <is>
          <t>当初は和食が中心だったが、後にほかの地域の料理も扱われるようになった。；一般的に和食やコーヒー、喫茶などの用途には軟水がよいとされている。；和食があまり好きではない里美も、その夕食はおいしいと言って食べた。；日本酒の魅力と和食文化を海外に発信し続けるなど熱烈な親日家である。；しかし近年では和食の影響を受け、徐々に料理に使われてきている。；この店は和食以外は何でも提供しており、深夜まで営業していた。；官僚になると、人はかくも和食通になるものか、と、私は思っていた。；だって大根料理と日本人、和食は切っても切れない縁じゃありません?；各地の地酒と田舎料理を中心とした和食が、児玉の好物なのは知っていた。；職員食堂の他に和食のけやきというのと、洋食のレストラン東京もある。；和食のレストランでも、いちばん奥のよい席が用意されている。；料理については、運行日によりフレンチか和食のいずれかが提供される。；しかし、和食の料理を前にすると、やはり酒でないと舌のほうも馴染まない。；夫はしばらく車を走らせて、和食系のファミリーレストランに車を入れた。；悪いたとえだが、二人のあいだには和食と洋食ほどの違いがある。；通りに並んだ店の中から、一番高そうな和食の店を選んだ。；和食料理人である父の影響で、幼少期から実家の店舗で料理の基礎を学ぶ。；また、廃止後は和食善のみであったが、現在はバイキングプランもある。；和食の伝統的な料理に現代的なスタイルを掛け合わせた日本料理店。；日本の伝統的な食文化である和食はユネスコの無形文化遺産に登録された。；日本のものではあるが、和食とは明確に区別されている。；今日さ、中野さんとこの近くのホテルの和食のお店で昼食をとる約束をしたんだ。；でも自分の幼いころの話を聞くと、やはり洋食よりは和食のほうが好きだったようなのだ。；明日あさっては洋食が注文できず、二日三日は和食が注文できなくなるらしい。；和久田は自身の味覚の原点を「母親が毎日作った和食」であるとしている。；けれども、横に坐っていたスーツ姿の中年紳士には、和食が運ばれて来ます。；だが洋食はもちろん、中華も、地下の和食の店も、家族連れで一杯である。；和食では主に魚を用いて作られ、代表的な箸休めや酒肴などのひとつとなっている。；和食業界に興味がある人および新入社員を対象としている。</t>
        </is>
      </c>
      <c r="J8979">
        <f>HYPERLINK("https://www.weblio.jp/content/和食", "词义详情")</f>
        <v/>
      </c>
      <c r="K8979">
        <f>HYPERLINK("https://yourei.jp/和食", "查看例句")</f>
        <v/>
      </c>
    </row>
    <row r="8980">
      <c r="A8980" t="inlineStr">
        <is>
          <t>わずか</t>
        </is>
      </c>
      <c r="B8980" t="inlineStr">
        <is>
          <t>成功</t>
        </is>
      </c>
      <c r="C8980" t="inlineStr">
        <is>
          <t>読み方：わずか
［形動］［文］［ナリ］
１数量・程度・価値・時間などがほんのすこしであるさま。副詞的にも用いる。「—な金の事でいがみ合う」「—な食料しかない」「—に制限重量をオーバーする」「ここから—10分の距離」
２（多く「わずかに」の形で用いて）そうするのがやっとであるさま。かろうじて。「—に記憶している」「—に難を逃れた」
３ささやかで粗末なさま。
「—なる腰折文つくることなど習ひ侍りしかば」〈源・帚木〉
[用法]わずか・かすか——「わずかな（かすかな）痛み」「わずかに（かすかに）息をしている」など、程度が少ない意では相通じて用いられる。◇「わずか」は数量・価値・時間など具体的な事柄について多く使う。「わずかなすき間」「わずかなことが原因で対立する」「乗り換え時間はわずか5分しかない」◇「かすか」は色・音・匂いなど感覚的な事柄について使うことが多い。「かすかに助けを呼ぶ声がする」「ほおにかすかな赤みがさす」「かすかに香水が匂う」◇「わずかな記憶」は断片的に残る記憶であり、「かすかな記憶」は、あいまいなはっきりしない記憶である。</t>
        </is>
      </c>
      <c r="D8980" t="inlineStr">
        <is>
          <t>わずかな時間；わずかな間；わずかな隙間；わずかな期間；わずか数日</t>
        </is>
      </c>
      <c r="E8980" t="inlineStr">
        <is>
          <t>少し；少ない；小さい；多少；僅か</t>
        </is>
      </c>
      <c r="F8980" t="inlineStr">
        <is>
          <t>ごくわずか；あとわずか；残りわずか；わずかな金；わずかな違い</t>
        </is>
      </c>
      <c r="H8980" t="n">
        <v>29</v>
      </c>
      <c r="I8980" t="inlineStr">
        <is>
          <t>しかしこれらの規格に対応したソフトはわずかしか発売されなかった。；これらのわずかな例外を除くほとんどの無脊椎動物は赤血球を持たない。；わずか数小節を担当する程度のものもあれば、独唱曲に近いものもある。；この氷床はわずかながらも崩壊する可能性が指摘され、注目を集めている。；現在では、ごくわずかのメーカーでしか作られていない方式である。；当時、ワープロ専用機でもテレビ出力へ対応したものはわずかに存在した。；一般的に人間に本能行動はほとんど無いかわずかであると見なされている。；そのため、車内放送では停車時間がわずかな旨の案内が頻繁に行われていた。；承認後、最終的な文章には編集上のわずかな変更しか加えることができない。；海軍部隊も攻撃に出た者はほとんどが倒れ、わずかな人数が領事館に帰った。；入ることができる墓もわずかにあるが、それらのほとんどは封鎖されている。；熱がこもっていたのは明らかで、わずか44日ほどで完成をみている。；資源には見るべきものがなく、わずかに塩が生産されるのみである。；水のそばで生活しないものはわずかしか知られていない。；例えば黒鉛筆を使用して書いた部分はわずかではあるが電気を通す。；実際の素子では、逆バイアス状態でもごくわずかに逆方向電流が流れる。；ホメーロスの描く物語とこの映画のストーリーにはごくわずかな共通点しかない。；海岸部近くにはが走り、そこから海岸まではわずかな平野が広がっている。；彼の子供たちとの関係はわずかしか記録されていない。；残ったわずかな連中が小山賊団となってあちこちに散らばっているだけの事だ。；村の面積は小さく河口近くのわずかな部分を占めるのみである。；現在でも当時以来の姿を残した環濠集落が、わずかながら存在する。；一方ナポレオンはわずか7万人の手勢しかなく絶望的な戦いを強いられた。；江戸時代に清から日本に伝えられ、西日本でわずかに栽培されている。；この時点での大井町線の冷房車は全23編成中わずか2編成であった。；わずか25ドルではあったが生まれて初めての原稿料を受け取った。；実際にはこれらのうちごくわずかなものだけがオッカムと彼の著作との関係を説明できる。；初期の集積回路はごくわずかなトランジスタを集積したものであった。；わずかに室内などの数m以内の近接戦闘で対抗しうる程度である。</t>
        </is>
      </c>
      <c r="J8980">
        <f>HYPERLINK("https://www.weblio.jp/content/わずか", "词义详情")</f>
        <v/>
      </c>
      <c r="K8980">
        <f>HYPERLINK("https://yourei.jp/わずか", "查看例句")</f>
        <v/>
      </c>
    </row>
    <row r="8981">
      <c r="A8981" t="inlineStr">
        <is>
          <t>患う</t>
        </is>
      </c>
      <c r="B8981" t="inlineStr">
        <is>
          <t>成功</t>
        </is>
      </c>
      <c r="C8981" t="inlineStr">
        <is>
          <t>読み方：うれう
［動ハ上二］
１「憂える1」に同じ。
「渡らひ心（＝生計ヲ立テル意志）なかりけり。父、これを—・ひつつ思ふは」〈読・雨月・蛇性の婬〉
２「憂える3」に同じ。
「旅の空にこの疾(やまひ)を—・ひ給ふは」〈読・雨月・菊花の約〉
［動ハ下二］「うれえる」の文語形。
[補説]は中世以降の用法。の連用形「うれえ」が「うれい」に音変化し、その結果上二段化したものと考えられる。</t>
        </is>
      </c>
      <c r="D8981" t="inlineStr">
        <is>
          <t>患うるなり</t>
        </is>
      </c>
      <c r="E8981" t="inlineStr">
        <is>
          <t>罹る</t>
        </is>
      </c>
      <c r="H8981" t="n">
        <v>29</v>
      </c>
      <c r="I8981" t="inlineStr">
        <is>
          <t>またその日に供えられた餅を食べると病気患いがないと信仰されている。；病を患っている設定に合わせて、会うたびにどんどん痩せていくんです。；その際ランバートは彼の祖母も乳がんを患っていることを公表している。；この競走後に初めてムーティエが喘鳴症を患っていることが発表された。；自殺の原因については、一年ほど前から鬱病を患っていたとされている。；さらに、以前より患っていた内障眼が悪化し視力もほとんど失っていた。；この方法を利用すればジストニアを患う演奏家の機能回復が可能である。；またこのほか、糖尿病や心臓病を患っていたとの報道もなされていた。；この頃、彼女は夫と同じ病気を患い、昼夜が逆転した生活を送っていた。；彼女は、患っていた痛みからすぐに解放されたのがわかって喜んだ。；ポルフィリン症を患っていたとされたが、病気の原因は不明のままである。；統合失調症を患っている人では精神病症状を悪化と関連があると思われる。；弟がこの世で愛したのは、おそらくベリルだけではないかと患います。；彼は重い精神疾患を患う息子リュイスとの接触を断たなかったのである。；あのまま放っておくと、お医者さまでも草津の湯でもってんで、恋患いだ。；人に病のあるように、天地にも災厄があり、国体にも患いの時代がある。；スーザンは数年間病気を患った後の1840年12月27日に死亡した。；双極性障害を患っていたためタウベスは頻繁に入院生活を余儀なくされた。；後年になって慢性閉塞性肺疾患を患っても彼の声はそのままであった。；若い頃から糖尿病を患っており、病気との付き合い方を巡る文章も多い。；男は記憶障害を患っており、自身の過去や身の上一切を何も覚えていない。；姉のジナイーダは、子供時代に患った病気のため視力を完全に失っていた。；ほかの女性たちが身ごもったときに患うような症状はまったくおきないのだとも。；わたしも年齢はとりましたが患いもせず、どうやら丈夫に暮らしております。；思い残すこともなく患うこともなく心静かに世を去ったのである。；門倉が軍隊から帰って肺を患い、三年ほど療養所にいた時に縁が出来た。；その年、彼女は重篤な病気を患い、スイスに移住することを決意した。；なお、この頃よりホジキンは慢性関節リウマチを患うようになっていた。；なお、入院後の検査でかつて癌を患った肺の状態も悪化していたことが判明。</t>
        </is>
      </c>
      <c r="J8981">
        <f>HYPERLINK("https://www.weblio.jp/content/患う", "词义详情")</f>
        <v/>
      </c>
      <c r="K8981">
        <f>HYPERLINK("https://yourei.jp/患う", "查看例句")</f>
        <v/>
      </c>
    </row>
    <row r="8982">
      <c r="A8982" t="inlineStr">
        <is>
          <t>煩わしい</t>
        </is>
      </c>
      <c r="B8982" t="inlineStr">
        <is>
          <t>成功</t>
        </is>
      </c>
      <c r="C8982" t="inlineStr">
        <is>
          <t>読み方：わずらわしい
［形］［文］わづらは・し［シク］《動詞「煩う」の形容詞化》
１心を悩ましてうるさい。面倒で、できれば避けたい気持ちである。「近所付き合いが—・い」「雨の日は出掛けるのが—・い」
２こみ入っていて複雑である。「—・い事務手続き」
３気がおかれる。気をつかわせられる。
「やむごとなく—・しきものに覚え給へりし大殿の君」〈源・賢木〉
４からだのぐあいが悪い。病気である。
「年久しくありて、なほ—・しくなりて死ににけり」〈徒然・四二〉
[派生]わずらわしがる［動ラ五］わずらわしげ［形動］わずらわしさ［名］</t>
        </is>
      </c>
      <c r="D8982" t="inlineStr">
        <is>
          <t>煩わしいこと(12%)；煩わしいもの(5%)；煩わしい人間関係；煩わしい問題；煩わしい思い</t>
        </is>
      </c>
      <c r="E8982" t="inlineStr">
        <is>
          <t>複雑；難しい；複雑な；面倒；迷惑</t>
        </is>
      </c>
      <c r="F8982" t="inlineStr">
        <is>
          <t>そんな煩わしい</t>
        </is>
      </c>
      <c r="H8982" t="n">
        <v>29</v>
      </c>
      <c r="I8982" t="inlineStr">
        <is>
          <t>その過程で意味のない言葉を発したり受けたりすることは煩わしかった。；相手を許しているわけではないが、煩わしいことを耳にしたくなかった。；煩わしい噂がまた一つ増えたことを覚悟しなければならないだろう。；バッグが煩わしかったはずだが、そんなことを意識する余裕もなかった。；出した局の名が本郷とあるのを見てこれは草平君を煩わしたものと知った。；時点の移動は煩わしく混乱させられるので、特別に注意して読む必要がある。；そんな義理の父親を、ルフィオは特に煩わしいとは思っていないようだ。；私はその瓶をポケットに入れて歩く煩わしさから逃れて喜んでいる。；これは刺激的であると同時に煩わしく、結局は屈辱的なことであった。；また、店舗で施術を受けてから自宅や家に帰るなどの煩わしさもない。；従って本コンテナを使用して鉄道輸送するには運用上の煩わしさがあった。；葉介は胸の中が煩わしさで一杯になってしまいそうなのを感じた。；私にかかわるすべての煩わしさから解き放たれるのはその時間だけだった。；仲間を探すのが煩わしく、自分一人で約束を実行したのであろうか。；一部の批評家はこのゲームの武器摩耗システムの煩わしさを指摘した。；長く複雑な軌道のことが、空軍のパイロットには煩わしく思えるのだ。；客は、行灯の灯も煩わしいのか、それを避けるようにして坐っている。；ガス気球を使うことは、空中で火を管理する煩わしさからの自由も意味した。；目障りだし邪魔だし煩わしいし、なによりその格好が気にくわないのよね。；それを送るには、あまりに人間の生活は煩わしいと思われました。；煩わしい一切の仕事から離れて内地へ帰る此の男の顔は抑え切れぬ喜びに輝いて居た。；一つは天童太郎にいどまれるのが、いかにも煩わしかったためでしょう。；そこへ行くと、小夜子のような人形は、煩わしさがまるでないからいい。；知らずとこちらのペースを押しつけて、煩わしい思いをさせてはならない。；余は当時十分と続けて人と話をする煩わしさを感じた。；生活で解決すべきことに芸術を煩わしてはならないのだ。；私、じつは知らない人と関わるのが煩わしくて調べようともしなかったの。；手に持った蝶のケースを煩わしく感じたのは、ケース自体の責任ではなかった。；ドライアイスの交換をはじめ、いろいろと煩わしい仕事があるはずだった。</t>
        </is>
      </c>
      <c r="J8982">
        <f>HYPERLINK("https://www.weblio.jp/content/煩わしい", "词义详情")</f>
        <v/>
      </c>
      <c r="K8982">
        <f>HYPERLINK("https://yourei.jp/煩わしい", "查看例句")</f>
        <v/>
      </c>
    </row>
    <row r="8983">
      <c r="A8983" t="inlineStr">
        <is>
          <t>忘れ物</t>
        </is>
      </c>
      <c r="B8983" t="inlineStr">
        <is>
          <t>成功</t>
        </is>
      </c>
      <c r="C8983" t="inlineStr">
        <is>
          <t>読み方：わすれもの
うっかりして物を置いてくること。また、その物。「電車に—をする」「かさの—が多い」</t>
        </is>
      </c>
      <c r="D8983" t="inlineStr">
        <is>
          <t>忘れ物センター；忘れ物取扱所</t>
        </is>
      </c>
      <c r="E8983" t="inlineStr">
        <is>
          <t>落とし物；落し物；紛失物；失せ物；わすれ物</t>
        </is>
      </c>
      <c r="F8983" t="inlineStr">
        <is>
          <t>大事な忘れ物</t>
        </is>
      </c>
      <c r="H8983" t="n">
        <v>29</v>
      </c>
      <c r="I8983" t="inlineStr">
        <is>
          <t>すでに一般客に販売されているので客の忘れ物が残っていることが多い。；なんだかあとになにか忘れ物をして来たような気がしてしようがないよ。；季節は冬の女王が姿を隠し、忘れ物のように残された雪が融け終えた頃。；部屋を出るたびに、自分が何も忘れ物をしていないことをチェックした。；妙な忘れ物だと思っていたけど、あれは松本の浴衣だったかも知れんな。；家を出て、少し歩き出したところで、何か忘れ物をしている気がした。；が、何かしら彼は重大な忘れ物をしたような気がしてならぬのである。；もしかしてとは思うが何か忘れ物でもしてエリたちが戻ってきたのか?；ぼくの忘れ物が多過ぎるからという理由で、先生に正座させられたこと。；この子が勝手に忘れ物を手に取り、ここに持ってきてしまったのだ。；なにか忘れ物でもしたのだろうと思った私は、ずっと進みつづけた。；何か忘れ物でもしたんだらう位に思つたので、とめもしなかつた。；そこで彼らが出会ったのは忘れ物をした少女などではなかった。；いつ、アパートの住人が忘れ物でも思い出して戻ってくるかしれない。；忘れ物ではなくとも、数の足りぬ物があるような気がしたりする。；あんたのような忘れ物をした人もあれば自転車がこわれて困った衆などがきてね。；そんなですから、毎日が忘れ物の心配で、気が気じゃありませんです。；祖父はこれは井上の忘れ物だと言い、金貨と同じ引出しにしまいました。；まるで、ちょっと忘れ物を取りに戻っただけの人間を前にしているかのようだった。；その現場を、忘れ物かなんかして戻ってきたパパに見つかったらもう終わり。；地学講義室で授業を受けた生徒のうち、誰かの忘れ物だったかもしれない。；ウージェーヌはなにか忘れ物はないかと思って、自分の部屋にあがってみた。；私は小さいころから忘れ物が多く、出がけに鍵を忘れていくこともよくあった。；大原は、その忘れ物が、事件に関係があると考えたわけではなかった。；忘れ物に気がついて家を出たものの、娘とは連絡はつかないし。；寺田の顔色が悪かったので、よほど大切な忘れ物と判断したのだろう。；あの忘れ物のノートに接して以来、気になって仕方がなかったのだ。；だれかの忘れ物だろうとレジに届けたら、仲間のものではないかと言われた。；「忘れ物でもしたかな」 とぼけて言ってやると、コルは下唇を噛んだ。</t>
        </is>
      </c>
      <c r="J8983">
        <f>HYPERLINK("https://www.weblio.jp/content/忘れ物", "词义详情")</f>
        <v/>
      </c>
      <c r="K8983">
        <f>HYPERLINK("https://yourei.jp/忘れ物", "查看例句")</f>
        <v/>
      </c>
    </row>
    <row r="8984">
      <c r="A8984" t="inlineStr">
        <is>
          <t>忘れる</t>
        </is>
      </c>
      <c r="B8984" t="inlineStr">
        <is>
          <t>成功</t>
        </is>
      </c>
      <c r="C8984" t="inlineStr">
        <is>
          <t>読み方：わすれる
［動ラ下一］［文］わす・る［ラ下二］
１覚えていたことが思い出せなくなる。記憶がなくなる。「電話番号を—・れる」「—・れられない出来事」
２何かに熱中してうっかり気がつかずにいる。「美しさに我を—・れる」「時のたつのを—・れる」「寝食を—・れて働く」
３うっかりして物を置いてくる。「車の中に書類を—・れる」
４意識的に思い出さないようにする。「歌をうたって悩みを—・れる」
５すべきことをしないでいる。「戸締まりを—・れる」「銀行に行くのを—・れる」
６対象が記憶から消える。
「面形(おもがた)の—・れむ時(しだ)は」〈万・三五二〇〉
[下接句]乞食(こじき)も三日すれば忘れられぬ・寝食を忘れる・前後を忘れる・喉元(のどもと)過ぎれば熱さを忘れる・我を忘れる・暑さ忘れて陰忘る・雨晴れて笠(かさ)を忘る・一朝(いっちょう)の怒りにその身を忘る・魚(うお)は江湖に相忘る・魚(うお)を得て筌(うえ)を忘る・老いたる馬は路(みち)を忘れず・治まりて乱るるを忘れず・初心忘るべからず・雀(すずめ)百まで踊りを忘れず・治(ち)に居て乱を忘れず・鼠(ねずみ)壁を忘る、壁鼠を忘れず</t>
        </is>
      </c>
      <c r="D8984" t="inlineStr">
        <is>
          <t>忘れるともなく；忘れるべき；忘れるところでし；忘れるべから</t>
        </is>
      </c>
      <c r="E8984" t="inlineStr">
        <is>
          <t>失う；落とす；紛失；忘却；落す</t>
        </is>
      </c>
      <c r="F8984" t="inlineStr">
        <is>
          <t>決して忘れる；一生忘れる；すぐ忘れる；すぐに忘れる；どうしても忘れる</t>
        </is>
      </c>
      <c r="H8984" t="n">
        <v>29</v>
      </c>
      <c r="I8984" t="inlineStr">
        <is>
          <t>自己の存在を忘れるほどに精神の活動があって始めて安心ができるのだ。；経済的に力をつけてもなお自身の育ってきた環境を忘れてはいなかった。；胸の皮膚に刀を触れた時の感じ、それは今でも忘れることが出来ません。；何も忘れることはできなかったが、彼のなかで何かが変わってしまった。；そのため生態の項の多くは可能性の範疇であることを忘れてはならない。；そしてその背景には、戦前の苦い経験があることを忘れてはなりません。；おみよは、どうしてもその人形のことを忘れることができませんでした。；両者とも教育者であり、名古屋帯を語るには忘れてはならない人物である。；シクストゥス5世の業績で忘れてはならないのは教会制度の整備である。；三反五反運動が体制を浄化することに成功したことも忘れてはならない。；わたしが 忘れるかと案じて その人たちは わたしのそばを離れない。；しかし、それはティツィアーノの作品の影響を忘れたわけではなかった。；人々は太陽を忘れ、太陽の街と呼ばれたサン・ミゲルは死の街と化した。；もちろんアンジェリカは一日たりとも自分の息子を忘れたことはなかった。；晩年はさすがに覚えていても忘れて、それを涙をこぼして歯がゆがった。；その話は人の心を強く感動させ、とうていすぐに忘れることはできない。；小さなディスプレイを使用している人がいることも忘れないで下さい。；また外傷の検索も失神の場合と同じように行うことを忘れてはいけない。；そして自由の微笑の前には、フランスはおのれの傷を忘れるものである。；ほんとに一生に一度は身も忘れるような書物にぶつかってみたいものだ。；しかし、彼らはやはり、容易に彼女のことを忘れることができなかった。；昼飯時に弁当を開いた父娘だったが、箸を忘れてきたことに気がついた。；一方で、有力者の支持を得られるように配慮することも忘れていなかった。；かつての恋人を忘れることではなく、また人を愛するのが恐ろしいせい。；今日までいろいろとお世話に成ったことを忘れる自分ではないと書いた。；ぱっと眼の前が燃えてもう少しでお辞儀をするのを忘れるところだった。；これは京劇の影響があるとも言われ、一度見れば忘れられない姿といえる。；たいへん忘れつぽくなつた、忘れてならないことを忘れるやうになつた。；しかし七年間の小諸生活は私に取って一生忘れることの出来ないものだ。</t>
        </is>
      </c>
      <c r="J8984">
        <f>HYPERLINK("https://www.weblio.jp/content/忘れる", "词义详情")</f>
        <v/>
      </c>
      <c r="K8984">
        <f>HYPERLINK("https://yourei.jp/忘れる", "查看例句")</f>
        <v/>
      </c>
    </row>
    <row r="8985">
      <c r="A8985" t="inlineStr">
        <is>
          <t>綿</t>
        </is>
      </c>
      <c r="B8985" t="inlineStr">
        <is>
          <t>成功</t>
        </is>
      </c>
      <c r="C8985" t="inlineStr">
        <is>
          <t>読み方：めん
［音］メン（呉）　［訓］わた
［学習漢字］5年
〈メン〉
１もめん。わた。「綿糸・綿布／海綿・原綿・純綿・石綿・木綿(もめん)・脱脂綿」
２（「棉」と通用）植物の名。ワタ。「綿花・綿実油」
３連なるさま。「綿綿／纏綿(てんめん)・連綿」
４目が細かい。「綿密」
〈わた〉「綿毛／真綿」
[補説] 「緜」は本字。
［名のり］つら・まさ・ます・やす
［難読］水綿(あおみどろ)・浜木綿(はまゆう)・木綿(ゆう)</t>
        </is>
      </c>
      <c r="D8985" t="inlineStr">
        <is>
          <t>綿流し(4%)；綿製品(2%)；綿竹；綿埃；綿工業</t>
        </is>
      </c>
      <c r="E8985" t="inlineStr">
        <is>
          <t>木綿；コットン；ワタ；綿布；綿織物</t>
        </is>
      </c>
      <c r="F8985" t="inlineStr">
        <is>
          <t>古綿；綿ふき；綿羽；綿屑；綿工場</t>
        </is>
      </c>
      <c r="G8985" t="inlineStr">
        <is>
          <t>綿花；綿毛；綿貫；綿入れ；綿布</t>
        </is>
      </c>
      <c r="H8985" t="n">
        <v>29</v>
      </c>
      <c r="I8985" t="inlineStr">
        <is>
          <t>最初は綿のナプキンを作っていたが、妻や妹たちに拒否されてしまった。；栽培された綿花を綿に加工する工場もあり、他の地域へと輸出していた。；標準的なものは綿素材であり、様々なデザインと色のバラエティがある。；これらの分析結果より反応物は灰色の綿状構造であることが示された。；当初は綿が主体であったが、次第にウール絣も生産されるようになった。；多くの船がサバンナ港には戻らず、地域の綿工業は大きな打撃を受けた。；一方で綿はあまり見られず、インドから輸入されたものといわれる。；使用される材料はリネン、絹、供給危機の時代になると綿が用いられた。；フランスが導入した綿の大規模栽培は、現在でも重要な収入源である。；備中では綿作が広まり、江戸時代後期になるとその加工も盛んになった。；綿は重要性を次第に失い、代わって州は製造業とサービス業を発展させた。；特にイングランド製の布と綿をフランス産のワインと取り引きされた。；お七は放火に使った綿・反故を手に持ったままだったのでその場で捕まった。；現在は、綿を加えた上で、遠心分離器で分離する方法も使われている。；ヒナは頭部と頚部が黒の綿羽、身体の他の部分は白の綿羽で覆われる。；この頃までに、イギリスは綿貿易を促進するために領事館を設置した。；ミニヤーは高品質な綿を大量に生産していたため大きな利益を得た。；頭部は白く短い綿羽に覆われており、ピンク色の顔には羽毛が生えていない。；多くの農園主は、綿価格が上がり続ける前提で銀行から資金を借りた。；一般的な椅子に見られるような、布と綿を用いたクッションは用いられていない。；綿とあるのは昔からこのあたりが良質の綿花の一大生産地であることによる。；イギリスに戻った彼は、綿工業に進出したが、程なく破産した人物である。；綿をつめた布でできており、縫い針やまち針を刺せるようになっている。；アクリル絵具の登場は綿のキャンバスの人気と利用を著しく増大させた。；父親はニュージャージー州トレントンの小さな綿工場を経営していた。；主な輸出品は英国産綿製品であり、香港、上海などから朝鮮に運ばれた。；資金に余裕が出てきた周平は、米と綿の栽培事業に乗り出すも失敗。；敵に襲われると綿を飛ばし、そちらに気を取られている隙に逃走する。；後の時代の型押しされた硬い蝋管は綿の裏地がついた箱で販売された。</t>
        </is>
      </c>
      <c r="J8985">
        <f>HYPERLINK("https://www.weblio.jp/content/綿", "词义详情")</f>
        <v/>
      </c>
      <c r="K8985">
        <f>HYPERLINK("https://yourei.jp/綿", "查看例句")</f>
        <v/>
      </c>
    </row>
    <row r="8986">
      <c r="A8986" t="inlineStr">
        <is>
          <t>話題</t>
        </is>
      </c>
      <c r="B8986" t="inlineStr">
        <is>
          <t>成功</t>
        </is>
      </c>
      <c r="C8986" t="inlineStr">
        <is>
          <t>読み方：わだい
話の題目。談話・文章などの中心的な材料。話の種。「—が尽きない」「—にのぼる」</t>
        </is>
      </c>
      <c r="D8986" t="inlineStr">
        <is>
          <t>話題性；話題賞；話題作；話題づくり；話題沸騰</t>
        </is>
      </c>
      <c r="E8986" t="inlineStr">
        <is>
          <t>テーマ；件；主題；題；題目</t>
        </is>
      </c>
      <c r="F8986" t="inlineStr">
        <is>
          <t>当時話題；明るい話題；どんな話題；そういう話題；取り上げられ話題</t>
        </is>
      </c>
      <c r="G8986" t="inlineStr">
        <is>
          <t>話題作；話題作り；話題化；話題化構文；話題と音楽</t>
        </is>
      </c>
      <c r="H8986" t="n">
        <v>29</v>
      </c>
      <c r="I8986" t="inlineStr">
        <is>
          <t>これはNHKのドラマ放送史上唯一の事であったため当時話題になった。；ハンセン氏病を物語の背景としたことでも知られ、大きな話題を呼んだ。；この特徴的な整備体制や保証体制が自動車業界関係者の間で話題になった。；しかしのちに親への不満を共通の話題にして姉妹仲はよくなった。；著者が、大学院博士課程に在籍する研究者だったことでも話題になった。；話題中の動作の客体が話題中の動作の主体よりも上位である場合に使われる。；当時は世間で名の知れたタレントや文化人の出場もマスコミの話題となった。；話題中の動作や状態の主体が話者よりも上位である場合に使われる。；みたびブッカー賞を受賞するかと話題になったが実現はしなかった。；展示だけではあったものの当時は珍しかった外車も並べられ話題を呼んだ。；短編集に数十ページにも及ぶ異常に長い後書きをつけるなど話題を呼んだ。；そのため謙譲語は話題中に2人以上の人物が登場しなければならない。；マスメディアに取り上げられた事から話題となり同業者も急増している。；当時あまり話題にならなかったためか現在は古書店に出回ることが少ない。；彼は話題に上ったことの基本的な論点を直ちに把握することが可能である。；試験プログラムが終了に近づいた頃、地球では接近する小天体が話題となる。；広島東洋カープのファンであり、自身のラジオ番組でよく話題に挙げる。；そのため他社の追随もなく、ほとんど話題にならずにサービスを終了した。；購入価格は買い手が自由に決める方式となっており、話題になった。；そのためどの旧曲がセレクトされるかが話題になることがある。；しかしこれはマイナーメーカーであったせいか、あまり話題にならなかった。；この主述関係とは別に、文の中心的な話題という要素を加えた話題文がある。；競輪の話題を中心に、スポーツと自転車に関する話題を提供していた。；同配信は水嶋の投稿に残され、約12万回再生されるほどの話題になった。；業界10位の会社が5位のシアーズを買収する試みは大きく話題となった。；ただし事件レポーターが芸能分野の話題を追いかけたりすることもある。；番組構成も大きく変わり、一回の放送で2-3の話題を扱うようになった。；しかし、客が哲学の話題に触れると、露骨に嫌な顔をしたと言われる。；「得もり」となってからはスタジオ登場の前に副調整室で最初の話題を出す。</t>
        </is>
      </c>
      <c r="J8986">
        <f>HYPERLINK("https://www.weblio.jp/content/話題", "词义详情")</f>
        <v/>
      </c>
      <c r="K8986">
        <f>HYPERLINK("https://yourei.jp/話題", "查看例句")</f>
        <v/>
      </c>
    </row>
    <row r="8987">
      <c r="A8987" t="inlineStr">
        <is>
          <t>私</t>
        </is>
      </c>
      <c r="B8987" t="inlineStr">
        <is>
          <t>成功</t>
        </is>
      </c>
      <c r="C8987" t="inlineStr">
        <is>
          <t>読み方：あたい
［代］《「あたし」の音変化》一人称の人代名詞。主に東京下町の婦女や小児が用いる。</t>
        </is>
      </c>
      <c r="D8987" t="inlineStr">
        <is>
          <t>私ども；私有地；私法上；私ハ；私ァ</t>
        </is>
      </c>
      <c r="E8987" t="inlineStr">
        <is>
          <t>自分；わたし；僕；俺；おら</t>
        </is>
      </c>
      <c r="F8987" t="inlineStr">
        <is>
          <t>私はほんたう；私はじぶん；私と志乃；私傭外国人；私聚百因縁</t>
        </is>
      </c>
      <c r="G8987" t="inlineStr">
        <is>
          <t>私達；私立；私自身；私的；私生活</t>
        </is>
      </c>
      <c r="H8987" t="n">
        <v>29</v>
      </c>
      <c r="I8987" t="inlineStr">
        <is>
          <t>そんなこと、私は知ったことではありません、私の責任ではありません。；私の案を立てた父の肖像画もこの点に就いては真を写しては居りません。；もう父に会うことはできないけれど、私にとってとても良い父親でした。；私は一つに経済、また一つに愛国心の観点からこれを好んで飲んでいる。；なぜならこの論文に書かれていることを私は20年以上前に得ていたのです。；私は将来の国際会議や協議会でエスペラントが採用されることを望みます。；彼の父親は極めて立派な人物であり、私も非常に尊敬しています。；ある夜、私の機はプラットで訓練中に、衝突でエンジン火災を起こした。；私は、君が自分を愛しているよりももっと深く君を愛している最愛のものだ。；私がこの4年間それを喜んでいたのは彼女もそれを喜んでいてくれたからだった。；私はあなたが個人であることを消すためにここにいるのではない。；どんな場所だろうと、私が到着するまで決して始めさせることはなかったのだ。；私は西洋の言葉でこれを表現するのは適さないということを認めるものです。；したがって「私は公のためなら犠牲になってもいい」とはならない。；アルバム制作終了後、私はコントロール室内に入って全テイクを聴いた。；私が幼い頃プロイセンがいかに貧弱だったかは貴方達も知っているだろう。；私はこの苦の衆生を安んずるために誕生したのだから、尊いとしている。；記憶を助けるための整理が必要であり、私は一つの分類法を発明した。；最初にその苦労を背負ったのは日本の皆さんで、私は敬意を払っている。；神はその本性からして私を愛することをやめることができないという。；多くの男性と同じく私も同性愛経験があるし、恥ずかしく思ってもいない。；こんな気持ちになったのは、私のレース経験で初めてのことだ。；そんな私の前に現れた吉田拓郎は、この人、何をしようとしているんだろう?；今は議会の会期中であり、私が行わねばならない執務も山のようにあります。；もし、そうでないと、私はあなたの大言壮語を一層非難するであろう。；私は純粋に古風な美徳に則った全く新しい芸術の到来を予見しています。；恐ろしいことかもしれないが、戦争の準備は私には魅力的です。；あなたは言葉通り、私と同じにならないように断固としてやってほしい。；これは、天が私を滅ぼそうとしているためであり、戦い方のせいではない。</t>
        </is>
      </c>
      <c r="J8987">
        <f>HYPERLINK("https://www.weblio.jp/content/私", "词义详情")</f>
        <v/>
      </c>
      <c r="K8987">
        <f>HYPERLINK("https://yourei.jp/私", "查看例句")</f>
        <v/>
      </c>
    </row>
    <row r="8988">
      <c r="A8988" t="inlineStr">
        <is>
          <t>私</t>
        </is>
      </c>
      <c r="B8988" t="inlineStr">
        <is>
          <t>成功</t>
        </is>
      </c>
      <c r="C8988" t="inlineStr">
        <is>
          <t>読み方：あたい
［代］《「あたし」の音変化》一人称の人代名詞。主に東京下町の婦女や小児が用いる。</t>
        </is>
      </c>
      <c r="D8988" t="inlineStr">
        <is>
          <t>私ども；私有地；私法上；私ハ；私ァ</t>
        </is>
      </c>
      <c r="E8988" t="inlineStr">
        <is>
          <t>自分；わたし；僕；俺；おら</t>
        </is>
      </c>
      <c r="F8988" t="inlineStr">
        <is>
          <t>私はほんたう；私はじぶん；私と志乃；私傭外国人；私聚百因縁</t>
        </is>
      </c>
      <c r="G8988" t="inlineStr">
        <is>
          <t>私達；私立；私自身；私的；私生活</t>
        </is>
      </c>
      <c r="H8988" t="n">
        <v>29</v>
      </c>
      <c r="I8988" t="inlineStr">
        <is>
          <t>そんなこと、私は知ったことではありません、私の責任ではありません。；私の案を立てた父の肖像画もこの点に就いては真を写しては居りません。；もう父に会うことはできないけれど、私にとってとても良い父親でした。；私は一つに経済、また一つに愛国心の観点からこれを好んで飲んでいる。；なぜならこの論文に書かれていることを私は20年以上前に得ていたのです。；私は将来の国際会議や協議会でエスペラントが採用されることを望みます。；彼の父親は極めて立派な人物であり、私も非常に尊敬しています。；ある夜、私の機はプラットで訓練中に、衝突でエンジン火災を起こした。；私は、君が自分を愛しているよりももっと深く君を愛している最愛のものだ。；私がこの4年間それを喜んでいたのは彼女もそれを喜んでいてくれたからだった。；私はあなたが個人であることを消すためにここにいるのではない。；どんな場所だろうと、私が到着するまで決して始めさせることはなかったのだ。；私は西洋の言葉でこれを表現するのは適さないということを認めるものです。；したがって「私は公のためなら犠牲になってもいい」とはならない。；アルバム制作終了後、私はコントロール室内に入って全テイクを聴いた。；私が幼い頃プロイセンがいかに貧弱だったかは貴方達も知っているだろう。；私はこの苦の衆生を安んずるために誕生したのだから、尊いとしている。；記憶を助けるための整理が必要であり、私は一つの分類法を発明した。；最初にその苦労を背負ったのは日本の皆さんで、私は敬意を払っている。；神はその本性からして私を愛することをやめることができないという。；多くの男性と同じく私も同性愛経験があるし、恥ずかしく思ってもいない。；こんな気持ちになったのは、私のレース経験で初めてのことだ。；そんな私の前に現れた吉田拓郎は、この人、何をしようとしているんだろう?；今は議会の会期中であり、私が行わねばならない執務も山のようにあります。；もし、そうでないと、私はあなたの大言壮語を一層非難するであろう。；私は純粋に古風な美徳に則った全く新しい芸術の到来を予見しています。；恐ろしいことかもしれないが、戦争の準備は私には魅力的です。；あなたは言葉通り、私と同じにならないように断固としてやってほしい。；これは、天が私を滅ぼそうとしているためであり、戦い方のせいではない。</t>
        </is>
      </c>
      <c r="J8988">
        <f>HYPERLINK("https://www.weblio.jp/content/私", "词义详情")</f>
        <v/>
      </c>
      <c r="K8988">
        <f>HYPERLINK("https://yourei.jp/私", "查看例句")</f>
        <v/>
      </c>
    </row>
    <row r="8989">
      <c r="A8989" t="inlineStr">
        <is>
          <t>渡す</t>
        </is>
      </c>
      <c r="B8989" t="inlineStr">
        <is>
          <t>成功</t>
        </is>
      </c>
      <c r="C8989" t="inlineStr">
        <is>
          <t>読み方：わたす
［動サ五（四）］
１人や荷物を舟で向こう岸に運ぶ。「船で人を—・す」
２物の上を越えて、一方から他方へ物がとどくようにする。またがらせる。かける。「橋を—・す」「綱を—・す」
３こちらの手から相手の手へ移す。手渡す。「書類を—・す」「バトンを—・す」
４自分の持っているもの、権利などを他の人に与える。「土地を人手に—・す」
５人や物を他の場所に移す。
「明け暮れながめ侍る所に—・し奉らむ」〈源・若紫〉
６通りなどを歩かせる。引きまわす。
「捕(と)られし人々は、大路を—・してかうべをはねられ」〈平家・灌頂〉
７馬で、川などを渡る。
「この御馬で宇治川のまっ先—・し候ふべし」〈平家・九〉
８神仏の力で、迷っている人々を救う。済度する。
「人—・すことも侍らぬに」〈源・東屋〉
９（他の動詞の連用形に付いて）その動作が行き渡るようにする。「見—・す」「張り—・す」
[可能]わたせる</t>
        </is>
      </c>
      <c r="D8989" t="inlineStr">
        <is>
          <t>渡すべき；渡すまい；渡すべく；渡すよう要求；渡すくらいなら</t>
        </is>
      </c>
      <c r="E8989" t="inlineStr">
        <is>
          <t>くれる；与える；輸送；かける；移転</t>
        </is>
      </c>
      <c r="F8989" t="inlineStr">
        <is>
          <t>眺め渡す；投げ渡す；直接渡す</t>
        </is>
      </c>
      <c r="H8989" t="n">
        <v>29</v>
      </c>
      <c r="I8989" t="inlineStr">
        <is>
          <t>約束どおり持っては来たのだが、渡そうか渡すまいかと迷っていたのだ。；桜は士郎のために自らのカードを渡そうとするが、そこに桜の兄が現れた。；運転手がお釣りを渡そうとしたので、僕は無言で首を振って自宅に入った。；その礼として持っていた百金はする剣を渡そうとしたが、漁師は断った。；われわれの命にかえられないから、青い封筒入の重要書類を君に渡そう。；これは天皇の分身である軍旗を敵の手に渡すことを避けたためである。；また、仕事前に礼を渡すと食い逃げをされてしまう事もあったという。；例えどのような形の、誰に渡すパスであろうと常に攻撃の起点となった。；接続線には向きがあり、データは原則として左から右に向かって渡される。；試験の結果の記録は設計チームに渡され、実際の開発に利用される。；これを実行すると呼び出し時に渡された引数を一つずらすことができる。；ホテル代も女の子が払うし、なかには金を渡そうとする女の子までいる。；艦長達への最後の指示にはその艦船を敵の手に渡すなと言う命令も含まれていた。；ただし脚本も渡されず、ストーリー自体は全く分からなかったと語っている。；さらに選択したインスタンスが第三段階に渡され、その規則が実行される。；宝玉獣は、ヨーロッパ開催の大会に出席していたペガサスから渡された。；森の当選後、田中自民党幹事長は森を党本部に呼び、金を渡そうとした。；真二に託されたバイクを彼らの手に渡すまいとした省吾は必死に逃亡する。；塔門は日本の鳥居に似ているが、二本の方柱に三本の横梁が渡されている。；私がこの船を奪って囚人たちに渡そうとしたと誰が主張できますか?；これらの便所では、手を拭くための紙が使用後無料で渡されることもある。；教頭の家へ渡そうとする辻の心も、その方向でしか考えていなかった。；きっとその子のだと思って遺族に渡そうと思ったらしいんだけど。；実は博士がその方も開発してるらしいけど、そちらの情報は渡そうとしない。；鳥に渡そうと木の下で鳥を待っていると、その木の枝が伸び彼女を包みこんだ。；それで彼女に渡そうと思ってマンションまで持っていったって?；コーチから渡されたものを当時は運動能力向上薬物とは知らずに使用したと話した。；低い 値は、物質が酸性でプロトンを容易に塩基に渡すことを意味する。；短い時間で少ない部品を使ってゾウを橋に渡すほど高評価となる。</t>
        </is>
      </c>
      <c r="J8989">
        <f>HYPERLINK("https://www.weblio.jp/content/渡す", "词义详情")</f>
        <v/>
      </c>
      <c r="K8989">
        <f>HYPERLINK("https://yourei.jp/渡す", "查看例句")</f>
        <v/>
      </c>
    </row>
    <row r="8990">
      <c r="A8990" t="inlineStr">
        <is>
          <t>渡る</t>
        </is>
      </c>
      <c r="B8990" t="inlineStr">
        <is>
          <t>成功</t>
        </is>
      </c>
      <c r="C8990" t="inlineStr">
        <is>
          <t>読み方：わたる
［動ラ五（四）］
１間を隔てているものの一方から他方へ越えていく。「浅瀬を歩いて—・る」「橋を—・る」「廊下を—・る」
２船や飛行機で海外へ行く。また、海外から来る。鳥が繁殖地と越冬地の間をいききすることもいう。「アメリカに—・る」「ツバメの—・ってくる季節」
３通り過ぎていく。「木々を—・る風」「時雨(しぐれ)が—・る」
４あちらこちらと動いていく。わたりあるく。「方々の店を—・ってくる」
５（「亘る」とも書く）ある範囲にまで及ぶ。また、広く通じる。「関東一円に—・って被害がでた」「彼の知識は古今東西に—・っている」
６ある事柄にかかわりをもつ。関係する。「私事に—・って恐縮です」
７ある時間・期間とぎれずに引き続く。「長時間に—・って論議する」「十年に—・る大工事」
８世の中を生きていく。暮らす。「世の中を巧みに—・る」
９他の人の所有物となる。「家屋敷が人手に—・る」
10配られて、ある範囲全体に届く。ゆきわたる。「資料が出席者全員に—・る」
11相撲で、双方互角に組む。「四つに—・る」
12一方から他方へ移動する。行く、または、来る。
「御みづからも—・り給へり」〈源・澪標〉
13（中世以降、「せ給ふ」「せおはします」などと共に用いて）「ある」「居る」の尊敬語。おありになる。いらっしゃる。補助動詞としても用いる。
「法皇、都の内にも—・らせ給はず」〈平家・七〉
「御ゆづりは此の宮にてこそ—・らせおはしましさぶらはめ」〈平家・八〉
14（動詞の連用形に付いて）一面に、また、広く…する。また、…しつづける。「晴れ—・る」「鳴り—・る」「行き—・る」「さえ—・る」
[可能]わたれる
[下接句]危ない橋を渡る・石橋を叩(たた)いて渡る・負うた子に教えられて浅瀬を渡る・剃刀(かみそり)の刃を渡る・人手に渡る・世を渡る</t>
        </is>
      </c>
      <c r="D8990" t="inlineStr">
        <is>
          <t>渡る長い；渡るべく；渡る長期連載</t>
        </is>
      </c>
      <c r="E8990" t="inlineStr">
        <is>
          <t>通過；通る；経過；超える；広がる</t>
        </is>
      </c>
      <c r="F8990" t="inlineStr">
        <is>
          <t>吹き渡る；長きに渡る；歩いて渡る；ひびき渡る；泳いで渡る</t>
        </is>
      </c>
      <c r="G8990" t="inlineStr">
        <is>
          <t>渡る世間に鬼はなし</t>
        </is>
      </c>
      <c r="H8990" t="n">
        <v>29</v>
      </c>
      <c r="I8990" t="inlineStr">
        <is>
          <t>駅舎からホームへは線路を渡りスロープで直接上がるようになっていた。；ドイツの金貨はイングランド経由でアメリカへ渡ったものとされている。；男の家は少し先なので、橋を渡らずたもとを南に向かって歩いていった。；長年に渡りアメリカである研究をしていたが、数年前に日本へ帰国した。；きみのような仕事をする人は、危険な橋を渡らなければならないからな。；その後も高国派と澄元派に分裂し長期に渡って対立を続けることとなる。；そして、小桜橋と云う小さい橋を渡ろうとした時、ふと上流の方を見た。；これらはバンドの長年に渡る継続的な活動で獲得された貴重な財産といえる。；渡ることさえ危険なときもあり、橋から転落し命を落とした者さえいる。；それでもトゥーリンは先頭に立って進み、ついにこの流れを渡りきった。；車の往来の激しいマンションの前を、彼は信号を無視して渡ろうとする。；またタイに渡った山田長政のように、その国で重用される例も見られた。；またベンチの中の声もよく聞こえ、選手一人一人の声も響き渡っていた。；同作は4年に渡り連載が続けられ、アニメ化される程のヒットを収める。；近年では、さらに広範囲に渡って使用されていた可能性も指摘されている。；しかし、使われる手法は多岐に渡り、また非常に高度であることが多い。；そこで彼女の手を取ると、テイグリンの渡り瀬に続く道を下っていった。；これは、そのような契約を将来に渡って無効化することを目的としている。；当駅は駅南側に渡り線があり、当駅で列車を折り返させることができる。；お前のお父様のこの私は、日本に渡らぬその前はこの会堂の長であった。；春・秋の渡りの季節には長野県などの内陸部を移動する個体が観察される。；ホームへの行き来は駅舎から線路を横切って渡る構内通路となっている。；その中には、数回に渡るヨーロッパとアメリカ合衆国への旅行を含んでいる。；渡りの時期には小さな群れを作り、市街地の公園で観察されることもある。；ただ言い添えるならば長年に渡る文学的伝統はクフの人気を証明しない。；なかでも犬たちは、勢いこんで泳いで渡ろうとしていたのもありました。；また駅舎が橋上化される前には天王寺寄りに渡り線が設けられていた。；ジョゼフはイギリスに渡り、戦争が始まると逮捕されマン島で過ごした。；一里塚を過ぎて少し行くと国道20号は中央本線を跨線橋で渡っている。</t>
        </is>
      </c>
      <c r="J8990">
        <f>HYPERLINK("https://www.weblio.jp/content/渡る", "词义详情")</f>
        <v/>
      </c>
      <c r="K8990">
        <f>HYPERLINK("https://yourei.jp/渡る", "查看例句")</f>
        <v/>
      </c>
    </row>
    <row r="8991">
      <c r="A8991" t="inlineStr">
        <is>
          <t>侘び</t>
        </is>
      </c>
      <c r="B8991" t="inlineStr">
        <is>
          <t>成功</t>
        </is>
      </c>
      <c r="C8991" t="inlineStr">
        <is>
          <t>読み方：わび
《動詞「わ（侘）びる」の連用形から》
１茶道・俳諧などにおける美的理念の一。簡素の中に見いだされる清澄・閑寂な趣。中世以降に形成された美意識で、特に茶の湯で重視された。→寂(さび)
２閑寂な生活を楽しむこと。
３思いわずらうこと。悲嘆にくれること。
「今は我(あ)は—そしにける息の緒(を)に思ひし君をゆるさく思へば」〈万・六四四〉</t>
        </is>
      </c>
      <c r="D8991" t="inlineStr">
        <is>
          <t>侘びしい(10%)；侘び茶(8%)；侘びしく(5%)；侘び住居(4%)；侘び住まい</t>
        </is>
      </c>
      <c r="E8991" t="inlineStr">
        <is>
          <t>味；哀れ；趣；風情；味わい</t>
        </is>
      </c>
      <c r="F8991" t="inlineStr">
        <is>
          <t>思い侘び</t>
        </is>
      </c>
      <c r="G8991" t="inlineStr">
        <is>
          <t>侘びる；侘び・寂び</t>
        </is>
      </c>
      <c r="H8991" t="n">
        <v>29</v>
      </c>
      <c r="I8991" t="inlineStr">
        <is>
          <t>天井の低い、どこかの二階の侘びしい部屋が、目に浮かぶようであった。；思ひだす多くのことが、それほど重く濡れた感じで、侘びしいのである。；こんな色道は枯れ侘びてなお余燈に対うようで、わたくしは好きである。；何か自分が、遠い国にでも行ってしまうような、侘びしい思いがした。；この言葉は私に奇妙な印象を与え、私の心に侘びしさを加えた。；その次には、湿っぽい部屋の中に身を落ちつける侘びしい仕事があった。；経済あるいは流通機構に縁のある字は、侘びだの寂などとは縁がない。；それは私達が二人きりで最初に共にする食事にしては、すこし侘びしかった。；そうして、出戻りの侘びしい身の憂さを糸の調べに慰めているのである。；「いいこと」といってもこの程度、というのも、侘びしい話ではあった。；茶室待庵は千利休の作とも言われるが、侘び茶の境地をよく示している。；二人がばらばらに食事した跡が侘びしく食卓の両側に残されている。；侘び茶の道具は、なれない者にはぜんぜん美しいとは思われない。；二畳に侘びに侘びることは反つて彼にとつての抵抗とも受取れる。；あの当時は関白殿も侘び、寂びを真剣にわかられようとしておりました。；その侘びしさをどうすることもできないのである。；足元に倒れている男に、深春とババアに代わって心の中で侘びを入れておく。；そうしたら菅原が「出させていただきたい」と侘びを入れ続投となった。；すると、娘がただ一人侘び住居を訪れてくる、コトコトと戸を叩くのである。；晩年に建てた一畳台目の茶室は、侘び茶の精神を表した究極の茶室とされている。；茶が侘びである、といったのは何も利休がはじめてではない。；その光りの中に、俯いて、過ぎてきた生活を語る女の姿は、ひどく侘びしい。；来るか来るかと思ってこの雨を待侘びていた心地はなかった。；それが利休の時代的運命であり、侘びの時代的性格であつた。；どこか遠いところに旅立ちたいような侘びしさであった。；一方、日本の秀吉には、この勅使は「侘び言」を伝える者だと報告されていた。；現ともなく眠っている仁右衛門のまわりに、何か侘びしい空気が漂っている。；まあ、酒が入っていたのが悪いんですが、ひとり暮らしの侘びしさを考えたら無理もない。；しかし、白線の帽子をかぶって学校へも行かないのは、何という侘びしさだろう。</t>
        </is>
      </c>
      <c r="J8991">
        <f>HYPERLINK("https://www.weblio.jp/content/侘び", "词义详情")</f>
        <v/>
      </c>
      <c r="K8991">
        <f>HYPERLINK("https://yourei.jp/侘び", "查看例句")</f>
        <v/>
      </c>
    </row>
    <row r="8992">
      <c r="A8992" t="inlineStr">
        <is>
          <t>詫び</t>
        </is>
      </c>
      <c r="B8992" t="inlineStr">
        <is>
          <t>成功</t>
        </is>
      </c>
      <c r="C8992" t="inlineStr">
        <is>
          <t>読み方：わび
あやまること。謝罪すること。また、その言葉。わびごと。「—を言う」→御詫(おわ)び</t>
        </is>
      </c>
      <c r="D8992" t="inlineStr">
        <is>
          <t>詫びたい；詫びなけれ；詫び証文；詫び料；詫び申し上げ</t>
        </is>
      </c>
      <c r="E8992" t="inlineStr">
        <is>
          <t>謝罪；謝；弁明；申し訳；お詫び</t>
        </is>
      </c>
      <c r="F8992" t="inlineStr">
        <is>
          <t>御詫び；泣いて詫び；下げて詫び；深く詫び；涙ながらに詫び</t>
        </is>
      </c>
      <c r="G8992" t="inlineStr">
        <is>
          <t>詫び状；詫びよ；詫び言；詫びれ；詫びごと</t>
        </is>
      </c>
      <c r="H8992" t="n">
        <v>29</v>
      </c>
      <c r="I8992" t="inlineStr">
        <is>
          <t>何かしら、わが子に詫びなくてはいけないことがあるように考えられた。；それを知っている春子は、子供に詫びたい気持であるにちがいなかった。；栄之丞はここでも主人にむかって遅刻の詫びをしなければならなかった。；かの女は何でもないことでぼくにわざわざきてもらったことを詫びた。；詫びないではいられないのは、この居た堪れない想いから逃げるためだ。；彼は急に話をやめ口ごもりながら、自分の饒舌の詫びをいふのであつた。；藩に帰る準備があるので会って話す時間がないことを詫びていた。；もしそうだとすれば、わたしは兄弟に代わって、彼に詫びねばなりません。；その手紙には磯野から折れてこの間のことを詫びた文句などが書いてあった。；大介はケイに迷惑をかけた詫びに後日相談に乗ると約束し、一旦別れた。；その詫びの印にお前の弟の友次郎へ私たちの財産の半分を残しておく。；朝早く騒がせてしまったことを恵里に詫び、僕たちは森澤家を後にした。；孟子は、その場で、自分の精神の弱さを詫びて、再び都へ学問に戻った。；微笑を浮かべ、顔を赤らめ、頭痛のためにぼんやりしてるのだと詫びた。；ルビンシテインは詫びを述べると好機と見るやたちまちその場を後にした。；林が私のために、邸の奥さんに詫びてくれてから、私は林が好きになった。；明日は私の心を乱して無沙汰した詫びをして永い手紙を出しましょう。；私は仕事の邪魔をしたと思い、詫びを入れてお暇しようとした。；詫びに行ったのではなくて、事実の調査に行ったという言い分は面白いな。；第一、あれほど涙を流して詫びたのが、潔白な証拠じゃありませんか。；主人夫妻はまたしても、一同に泊っていって貰えないことを詫びはじめた。；仕事から帰ったばかりらしい跣足の父はしきりと、頭を下げて詫びていた。；モオヴァル夫人は、アンドレの勉強を言い訳にして息子の為めに詫びた。；ピートは丁寧に詫び、唯一の窓からの光が眩しくて見誤ったことにした。；まずはじめにわたしの口から出た言葉は、芥への詫びの言葉だった。；昔の誤解を詫びても取返しはつかないし、慰めを云うのもそらぞらしい。；生まれてはじめて、心の底からJは母親に詫びたい気持ちを持った。；それからもう一つ、僕はお前に詫びなければならないことがある。；管理人には前の晩の騒ぎの詫びを言いがてら、事情を明かしてあったのだ。</t>
        </is>
      </c>
      <c r="J8992">
        <f>HYPERLINK("https://www.weblio.jp/content/詫び", "词义详情")</f>
        <v/>
      </c>
      <c r="K8992">
        <f>HYPERLINK("https://yourei.jp/詫び", "查看例句")</f>
        <v/>
      </c>
    </row>
    <row r="8993">
      <c r="A8993" t="inlineStr">
        <is>
          <t>詫びる</t>
        </is>
      </c>
      <c r="B8993" t="inlineStr">
        <is>
          <t>成功</t>
        </is>
      </c>
      <c r="C8993" t="inlineStr">
        <is>
          <t>読み方：わびる
［動バ上一］［文］わ・ぶ［バ上二］《「侘びる」と同語源》自分の非を認めて、相手の許しを請う。あやまる。「非礼を—・びる」
→謝(あやま)る［用法］</t>
        </is>
      </c>
      <c r="D8993" t="inlineStr">
        <is>
          <t>詫びるなら；詫びるべき</t>
        </is>
      </c>
      <c r="E8993" t="inlineStr">
        <is>
          <t>謝罪；謝る；謝罪する；陳謝；謝する</t>
        </is>
      </c>
      <c r="H8993" t="n">
        <v>29</v>
      </c>
      <c r="I8993" t="inlineStr">
        <is>
          <t>自分は手を突いて彼の前に自分の罪を詫びる心持でこう云ったのである。；この程度のことでおまえに詫びる必要はない、とでもいいたげに見えた。；しようとしていることに対して詫びるかのように、表面に手を走らせた。；詫びることでいささかでも楽になれたのは自分だけではなかったか。；おまえと徹夫のほうを見て、道の脇に追いやったのを詫びるように笑う。；涙まで流して抗議を続けるクラスメートたちに、竜児は心の中で詫びる。；わたしが詫びると、いつものクールな口調にもどって由起は言いました。；「いやな役を引きうけさせてしまったな」 塩谷は詫びるように言った。；あまりの効果に仰天し詫びる父へ、私は毒について教えてくれと頼んだの。；まるで、力になれなかったことを詫びるように、少年の顔をじっと見つめた。；彼女は顔をあげており、詫びるような目で義男にうなずき返してきた。；しかし東條は、見通しの悪さを天皇に詫びる意思表示を行なっていない。；外套掛けからは命を搾り出すやうな子供の詫びる声が聞こえてゐた。；詫びるというのは、むしろ大いに卑怯な事だと思っていたようである。；これを聞いた呉用は即座に詫びると、ここに来た本当の理由を三人に話した。；四人の男たちに名刺を渡しながら、いままでの非礼を詫びるつもりだった。；僕は非礼を詫びるどころか、きちんと世話になった礼すら述べてはいない。；思わず長居をしたことを詫びる私にはなにもこたえてくれなかった。；口に出して詫びることは決してないだろうが、かれの抱擁はそれに匹敵した。；近くのホテルからも事件を詫びる内容の遺書が発見されている。；「ええ、ないんです」 二階の窓から加藤が顔を出して詫びるように答える。；簡単にいえば、すまんあれは酔った約束で、と詫びるのがいやだったのだ。；そして家に戻ると祖父を独りきりにしたことを詫びる気持ちでいつもいっぱいになった。；自分で付き添っていかなかったのは目上の人々に詫びるためである。；彼に向ってもうどうしても堪え得ないことを詫びるかのように。；でも父に詫びると云う事はどうしても私の意地が許さなかった。；娘に手をついて詫びるまでの気持ちにはなれなかった。；そして、披露宴で、娘に父親としてのこれまでの至らなさを深く詫びる。；だが皇帝は王女の眠りを乱したことを決して詫びることはなかった。</t>
        </is>
      </c>
      <c r="J8993">
        <f>HYPERLINK("https://www.weblio.jp/content/詫びる", "词义详情")</f>
        <v/>
      </c>
      <c r="K8993">
        <f>HYPERLINK("https://yourei.jp/詫びる", "查看例句")</f>
        <v/>
      </c>
    </row>
    <row r="8994">
      <c r="A8994" t="inlineStr">
        <is>
          <t>和風</t>
        </is>
      </c>
      <c r="B8994" t="inlineStr">
        <is>
          <t>成功</t>
        </is>
      </c>
      <c r="C8994" t="inlineStr">
        <is>
          <t>読み方：わふう
１日本古来の風俗・様式。日本風。日本式。和式。「—建築」「—ハンバーグ」⇔洋風。
２穏やかな風。ふつう、春の風をいう。
３風速毎秒5.5〜7.9メートルで、風力階級4の風。</t>
        </is>
      </c>
      <c r="D8994" t="inlineStr">
        <is>
          <t>和風建築(8%)；和風旅館(3%)；和風住宅；和風ファンタジー；和風レストラン</t>
        </is>
      </c>
      <c r="E8994" t="inlineStr">
        <is>
          <t>春風；春の風；春一番；春一；恵風</t>
        </is>
      </c>
      <c r="F8994" t="inlineStr">
        <is>
          <t>和風別館；伝統的な和風；和風屋根；和風出汁；和風ハンバーグ</t>
        </is>
      </c>
      <c r="G8994" t="inlineStr">
        <is>
          <t>和風庭園；和風料理；和風だし；和風総本家；和風ドレッシング</t>
        </is>
      </c>
      <c r="H8994" t="n">
        <v>29</v>
      </c>
      <c r="I8994" t="inlineStr">
        <is>
          <t>和風はさながら彼の意を体したかの如くに彼を英国の岸辺へ吹き送つた。；物語の舞台となる街は、企画段階から和風の街にすることが決まっていた。；看板には和風の色気がただよっていて、それが好みではなかったためだ。；和風化は役蝦夷を中心に行われたが、平蝦夷にはあまり普及しなかった。；今度の神田の店は和風の店で、二階にちゃんとした部屋もついていた。；家はさして大きくないが、引っ込んだ横に和風の建物がつながっていた。；サロンは十五畳ぐらいの広さで、コーナーに和風スタンドのバーがある。；こちらは下層と違って和風の他に水を強く意識した造りになっている。；その奥は、がっちりした和風建築の二階家で、これも戸が閉まっている。；明治・大正期を意識した和風世界を舞台としたシンデレラ・ストーリー。；もったいぶった作りの庭を抜け、和風の上品な雰囲気のする玄関へ至る。；そう思った時、私は廊下の端に和風住宅には不似合いの鉄のドアを見つけた。；重要文化財の駅舎は全国に3件あるが、そのうち唯一の和風建築である。；現代では和風でありながら洋服などにも合うようなデザインが多い。；近代遊廓の屋敷構えを知ることができる貴重な近代和風建築である。；いかにも和風な長い黒髪の少女で、何気に彼女は毎日お弁当なのだった。；そして夜は待ちに待った志保の作る和風メニューが食べられるはずだった。；三人は表通りに面した大きなビルの地下にある和風の店の小部屋へ落着いた。；そこには広大な敷地を利用して作られた和風の建物がある。；五、六歩出てから振返ってみると、駅には珍しく和風木造の建物である。；書院造や数寄屋造りは、現代に言う和風住宅や和室の様式を確立させた。；そのホテル内にある和風料理屋は一度行ってみたい店でもあった。；本作品は和の意匠がふんだんに取り入れられた和風の戦隊となっている。；やはり日本人向きなのだろうか、和風のドレッシングは一本残っているだけ。；だが、どう見ても、それは、どこにでも売っていそうな和風の行燈である。；周囲の景観との調和を図るために、建物には和風の外観が採用されている。；主にキノコをメインにした和風のソースで作られる、日本のパスタ料理。；松などが植わった日本の庭があり、奥に和風の二階屋が佇んでいる。；この内からはの檜皮葺を除いて現在でも和風住宅の特徴である。</t>
        </is>
      </c>
      <c r="J8994">
        <f>HYPERLINK("https://www.weblio.jp/content/和風", "词义详情")</f>
        <v/>
      </c>
      <c r="K8994">
        <f>HYPERLINK("https://yourei.jp/和風", "查看例句")</f>
        <v/>
      </c>
    </row>
    <row r="8995">
      <c r="A8995" t="inlineStr">
        <is>
          <t>和服</t>
        </is>
      </c>
      <c r="B8995" t="inlineStr">
        <is>
          <t>成功</t>
        </is>
      </c>
      <c r="C8995" t="inlineStr">
        <is>
          <t>読み方：わふく
日本に古くからある様式の衣服。着物。⇔洋服。</t>
        </is>
      </c>
      <c r="D8995" t="inlineStr">
        <is>
          <t>和服姿(19%)；和服用；和服着付教室；和服着流し；和服仕立</t>
        </is>
      </c>
      <c r="E8995" t="inlineStr">
        <is>
          <t>着物</t>
        </is>
      </c>
      <c r="F8995" t="inlineStr">
        <is>
          <t>白い和服；白っぽい和服；黒っぽい和服；渋い和服；黒い和服</t>
        </is>
      </c>
      <c r="H8995" t="n">
        <v>29</v>
      </c>
      <c r="I8995" t="inlineStr">
        <is>
          <t>第二胸脚が発達し、和服の振袖のように見えることからその名がついた。；和服の特徴を表す言葉を中心に、衣服の様式を表す言葉をここに集めた。；ドアを開いた邦彦の前に、しばらく会ってなかった妹の和服姿があった。；表に友人の車が待っていますので和服から平服に着替えたらすぐ出ます。；しかし、犯行現場から逃げるように去ったあの和服の女は一体誰なのだ。；一つ和服に長靴をはく事にしようかと思っているがまだ決行せずにいる。；当時は今より和服の人が多かったのであるが、樗陰は常に和服であった。；見ると庭の戸が少し開いていて、原田さんが和服姿で立っておいででした。；軍服ばかりを着てるT伯の和服姿は珍しいものに違いありませんでした。；門の前に止まっているのは黒い軽自動車と、赤い和服を着込んだ女性だ。；篠川さんと俺が床に上がると、和服の女性は先に立って廊下を歩き始めた。；その人物は二人の老人と三十前後の和服の女に取りかこまれていた。；前後に続く人物、これまた相当のなりをした人物で、和服が多かった。；和服の着方が少し可笑しければきつとさう云つて注意するものがある筈です。；着流しの和服を着た六十前後の男が姿を見せたのは、それから五分後だった。；和服の帯付きで働いている女の人だってまだ数は多いでしょう。；そうかと思えばある日は非常に気の利いた和服姿の美しい娘を伴って来たりした。；志保子のおとなしい和服姿も、有利な効果を果たしているかもしれない。；彼女は、いつもより地味な和服を着て、化粧もほとんどしていなかった。；中央に大きなすわり机があり、先生は和服姿で、その机のむこうにいる。；夫が二人位の和服に守られて家を出てゆく、それは見て居れない情景だつた。；向かい合わせになった後部座席の一番奥に和服姿の人物が坐っていた。；彼女は珍らしく和服を着ていて、よそよそしい丁寧な態度で私を迎えた。；高価そうではないが、こざっぱりした和服の膝のところが土で汚れていた。；和服のどこがそんなにいいのかについて、アメリカ人の意見はこうである。；その中に机の上は女の児の洋服や和服で山のようになりました。；ドアを押して入ってきた和服の中年女が視界の中を横切っていった。；部屋に帰ると、すでに和服の女性が朝食の仕度を用意して待っていた。；和服において、仕立てた時に模様が続くように染めるものを絵羽という。</t>
        </is>
      </c>
      <c r="J8995">
        <f>HYPERLINK("https://www.weblio.jp/content/和服", "词义详情")</f>
        <v/>
      </c>
      <c r="K8995">
        <f>HYPERLINK("https://yourei.jp/和服", "查看例句")</f>
        <v/>
      </c>
    </row>
    <row r="8996">
      <c r="A8996" t="inlineStr">
        <is>
          <t>藁</t>
        </is>
      </c>
      <c r="B8996" t="inlineStr">
        <is>
          <t>成功</t>
        </is>
      </c>
      <c r="C8996" t="inlineStr">
        <is>
          <t>読み方：わら
稲・麦などの茎を干したもの。</t>
        </is>
      </c>
      <c r="D8996" t="inlineStr">
        <is>
          <t>藁屋根(4%)；藁束(4%)；藁草履(3%)；藁屑(3%)；藁ぶき</t>
        </is>
      </c>
      <c r="E8996" t="inlineStr">
        <is>
          <t>藁しべ</t>
        </is>
      </c>
      <c r="F8996" t="inlineStr">
        <is>
          <t>麥藁；藁製；藁細工；藁色；藁床</t>
        </is>
      </c>
      <c r="G8996" t="inlineStr">
        <is>
          <t>藁葺；藁科；藁屋；藁布団；藁沓</t>
        </is>
      </c>
      <c r="H8996" t="n">
        <v>29</v>
      </c>
      <c r="I8996" t="inlineStr">
        <is>
          <t>祝祭の日に食べるべきもの以外を食べた場合は、藁を詰め込むとされた。；吉太は藁帽子を片手で少し上げて、眼の好く見えるようにして私を見た。；草や藁など損傷しやすいものを絵画に使うようになったのもこの頃からである。；少し歩いてからしなびた紅の花殻をやはり二三本藁包にしたのを買った。；馬の行水は藁でもつて、びつしより汗になつた身體を流してやるのです。；どこで手に入れたのか、徳次は白い紙緒の藁草履をちやんとはいてゐた。；燕のいなくなった街道の家の軒には藁で編んだ唐がらしが下っていた。；丁度あの海水浴に冠るやうな縁の廣い麥藁帽子が流行つて來た時でした。；莚の一種であるが、こちらは藁を材料とするものを指すことが多い。；いつごろまでかは明らかにされていないが、昔は藁の上で熟成させていたという。；藁の上へひとり残して置いて、 自分は世間へ飛び出しておしまいなされた。；酒の醸造は麹を用い、スターターはシダの葉のものと藁のものとがある。；古典的には、かかしは竹や藁で造形した人形であることが通例であった。；藁家の屋根のぐしの上には葉の大きい蛇よけの草などが一杯に茂つてゐるだらう。；米価の下落や飼料用米への転作などもあり、藁不足が深刻になっている。；春になると冬の間に藁と木で出来た建築物の穴から入ったため蛇たちがいなくなっていた。；こうした囲いには藁やその他の素材が入っていないのが通例である。；源は藁草履と言われる程の醜男子ですから、一通りの焼手ではないのです。；あの人は一度狙いをつけたら藁一本だって外さないと云う噂じゃありませんか。；二人とも自宅で椅子の藁を詰め替える仕事を引き受けて生計を立てていた。；そこには霜除けの藁づとなどを取り払っている植木屋の若者がいました。；古い藁葺きの家屋はレンガ葺きとなり、集落は全方向へ拡張していった。；陽が半さしている新しい藁の菰は何となく親しげな陽炎を立てゝいます。；ほんの少しの重さにもその藁が切れそうで、私は一生懸命だったのに。；どこででも使用する藁の敷物が、彼等にこの上もない隠れ家を与える。；三本の藁が地面と糸との間をとんでゐた事を私は話してゐたね。；私は牛の群を見た、牛飼の姿を見た、また遠く一軒の茶店の藁屋根を眺めた。；日本の農業でも藁は大量に排出されているが、有効利用には成功していない。；馬や牛が藁でつくった靴をはいているのは、すこぶる観物である。</t>
        </is>
      </c>
      <c r="J8996">
        <f>HYPERLINK("https://www.weblio.jp/content/藁", "词义详情")</f>
        <v/>
      </c>
      <c r="K8996">
        <f>HYPERLINK("https://yourei.jp/藁", "查看例句")</f>
        <v/>
      </c>
    </row>
    <row r="8997">
      <c r="A8997" t="inlineStr">
        <is>
          <t>笑い</t>
        </is>
      </c>
      <c r="B8997" t="inlineStr">
        <is>
          <t>成功</t>
        </is>
      </c>
      <c r="C8997" t="inlineStr">
        <is>
          <t>読み方：わらい
１笑うこと。また、その声。えみ。「儲(もう)かりすぎて—がとまらない」
２（「嗤い」とも書く）あざけり笑うこと。嘲笑(ちょうしょう)。「聴衆の—をかう」
３性に関係するもの、春画・淫具などの総称。
４石を積むとき、間にモルタルなどを詰めず、少しあけておくこと。また、そのあけた所。
[下接語]愛嬌(あいきょう)笑い・愛想(あいそ)笑い・薄ら笑い・薄笑い・大笑い・思い出し笑い・豪傑笑い・忍び笑い・せせら笑い・空笑い・高笑い・千葉笑い・追従(ついしょう)笑い・作り笑い・泣き笑い・苦笑い・盗み笑い・馬鹿(ばか)笑い・初笑い・独り笑い・含み笑い・福笑い・物笑い・貰(もら)い笑い</t>
        </is>
      </c>
      <c r="D8997" t="inlineStr">
        <is>
          <t>笑い出し(6%)；笑いだし(4%)；笑いまし；笑い顔；笑い出す</t>
        </is>
      </c>
      <c r="E8997" t="inlineStr">
        <is>
          <t>微笑；笑顔；笑み；笑；笑い声</t>
        </is>
      </c>
      <c r="F8997" t="inlineStr">
        <is>
          <t>笑いかた；笑い興じ；皮肉な笑い；ニヤリと笑い；笑いさざめい</t>
        </is>
      </c>
      <c r="G8997" t="inlineStr">
        <is>
          <t>笑いかけ；笑い話；笑いもの；笑い転げ；笑いかける</t>
        </is>
      </c>
      <c r="H8997" t="n">
        <v>29</v>
      </c>
      <c r="I8997" t="inlineStr">
        <is>
          <t>緊張の高い時のほか、何かに夢中になっているときにも笑いは生じない。；その笑いの波がひくまでの間をおいてから次の話題に入ったものだった。；笑いの起きている間は言語や手の動きなどの全ての活動は停止した。；笑いの多い内容なので、よく道頓堀角座などの大きな会場で演じていた。；江戸時代の記録によれば、笑い役は座敷の中央に順に出て笑ったとある。；観客がどこで笑いを感じるかに視点を定め科学的な分類を実現した。；スタッフの多くがスタジオに在中しており、笑い屋として登場している。；ときに周りの一座の笑いが止まらないほどになることもあったようである。；テーマはお笑いであるが、どの線で笑いをとるかは常に変化している。；そして向かいの窓のあざけりの笑いを聞き、絶望して窓から身を投げた。；しかし用意した贈り物を見た王の役人やイスラム教徒の商人は笑い出した。；志村が正式メンバーになる前後でチームの笑いのパターンは変化している。；興奮したり、笑い出したり、密かに恐怖を感じていたこともあっただろう。；後に夫人は「とんでもない亭主だった」と笑いながら取材に答えている。；笑いの要素が好きで演技にも感動させられると語っていた。；子供役は主にたけし軍団で、話は実在の童話を改変して笑いにしていた。；時間の都合上、歌の途中か笑い始めの所で切られることが多かった。；露香が描いた一茶像は「笑いの中に涙を湛える飄逸なる詩人」であった。；笑い終えるまでに一定の時間がかかり、そのあいだのギル本体は無防備。；瑞祥にも宣伝にも当てはまらず、笑いをとるために付けられた地名もある。；遠くから現れた山本は笑いながら挨拶したことに、メンバーは疑問を抱く。；ふたりは以前と同じように笑いあい、心行くまで海釣りの旅を楽しんだ。；このやり方は長く続いており、たいてい笑いをとるために行われた。；ポーリーンは世の中にこれほど多くの笑いが存在する事を知らなかったほどだった。；青空学園を舞台にした涙あり笑いありの痛快学園ストーリーである。；そしてまた、民衆的な笑いのセンスが、芸術的な形に現れた時代でもあった。；少女の能面も、口元や目にはっきりした笑いの表情が見られるものであった。；さらに、笑いには攻撃的なものと愛他的・親和的なものの二つがあるとされている。；また、それにまつわる涙あり、笑いありのエピソードも紹介していた。</t>
        </is>
      </c>
      <c r="J8997">
        <f>HYPERLINK("https://www.weblio.jp/content/笑い", "词义详情")</f>
        <v/>
      </c>
      <c r="K8997">
        <f>HYPERLINK("https://yourei.jp/笑い", "查看例句")</f>
        <v/>
      </c>
    </row>
    <row r="8998">
      <c r="A8998" t="inlineStr">
        <is>
          <t>笑い声</t>
        </is>
      </c>
      <c r="B8998" t="inlineStr">
        <is>
          <t>成功</t>
        </is>
      </c>
      <c r="C8998" t="inlineStr">
        <is>
          <t>読み方：わらいごえ
笑う声。しょうせい。</t>
        </is>
      </c>
      <c r="D8998" t="inlineStr">
        <is>
          <t>笑い声がどっと</t>
        </is>
      </c>
      <c r="E8998" t="inlineStr">
        <is>
          <t>笑い；笑；笑声；わらい声</t>
        </is>
      </c>
      <c r="F8998" t="inlineStr">
        <is>
          <t>大きな笑い声；甲高い笑い声；明るい笑い声；けたたましい笑い声；陽気な笑い声</t>
        </is>
      </c>
      <c r="H8998" t="n">
        <v>29</v>
      </c>
      <c r="I8998" t="inlineStr">
        <is>
          <t>私の耳には部屋中に響く彼女の明るく弾んだ笑い声がまだ残っています。；こんな笑い声もこれらの人々には幾日ぶりかで、口に上ったのであろう。；すると、またしてもあのいやな笑い声が、かすかに聞こえてきたのです。；あの押し殺した様な笑い声は、この真黒な悪魔の口から漏れているのだ。；じっと目をこらすと、いくつかの影が動き、女の笑い声が聞こえてきた。；女たちの笑い声が、並木の空をどこまでも尾いて来るような気がした。；従来のシットコムのように笑い声のSEが入っていないのも特長である。；その笑い声と葉子となんの関係もない事は葉子にもわかりきっていた。；漸く起き上って出て行くと、向うの室で兼子や依子の笑い声がしていた。；彼らは踵を返しひそひそ声を立て笑い声を上げながら路地を去っていく。；その騒音がファンダレルの笑い声だと知れるには一瞬の間が必要だった。；女や子供らの笑う声に交じって聞きなれない男の笑い声も聞こえた。；あとはくすぐられるような雪ちゃんの笑い声がしばらく二階中に響き渡った。；次郎は声をあげて泣きたかったが、父の笑い声をきくと泣けなくなった。；スクリーンはもう何も見えないのに、女性の笑い声はまだ続いていた。；また聞こえてくる君尾の笑い声、はなやかで明るくてサッパリしている。；が、たちまちその顔は明るくなって、またあの大きな笑い声をたてました。；びっくりして見上げると、そのとたんに顔も笑い声も消えてしまうのです。；彼の話にみんなドッと笑い声をあげたが、だれひとり答える者はなかった。；その笑い声は、いつかの晩の自動車の中でのそれと、全く同じものであった。；その拍子に前の馬車は四五間も離れたので、その笑い声も聞こえなくなった。；つづいて若い男の笑い声がきこえて、角から現われ出たのは野童であった。；実験室に入ると、内部から笑い声の響いている大きな玉が転がっていた。；けれども昨夜はもっとはっきり人の笑い声などまで聞えたんだ。；こういう笑い声は、ドラマの中だけのものだと思っていたからだ。；突然、笑い声のような短く高い叫びが、彼の一人おいて隣から起った。；娘たちが三番目の下男の操縦桿に気づいたころには笑い声も普通になった。；店の近くまで来ると、お芳の笑い声が聞こえてとても甘美に響いている。；そしてこの笑い声の主は脱出しようとする主人公や犠牲者を追いかけるのである。</t>
        </is>
      </c>
      <c r="J8998">
        <f>HYPERLINK("https://www.weblio.jp/content/笑い声", "词义详情")</f>
        <v/>
      </c>
      <c r="K8998">
        <f>HYPERLINK("https://yourei.jp/笑い声", "查看例句")</f>
        <v/>
      </c>
    </row>
    <row r="8999">
      <c r="A8999" t="inlineStr">
        <is>
          <t>笑う</t>
        </is>
      </c>
      <c r="B8999" t="inlineStr">
        <is>
          <t>成功</t>
        </is>
      </c>
      <c r="C8999" t="inlineStr">
        <is>
          <t>読み方：わらう
［動ワ五（ハ四）］
１喜び・うれしさ・おかしさ・照れくささなどの気持ちから、顔の表情をくずす。また、そうした気持ちで声を立てる。「腹を抱えて—・う」「目だけが—・っている」
２（「嗤う」とも書く）あざけりばかにする。嘲笑(ちょうしょう)する。「一円を—・う者は一円に泣く」「間の抜けた失敗をして—・われる」
３（「笑ってしまう」「笑っちゃう」の形で）あまりひどくて、相手にするのもばかばかしいほどである。「何でも知っていますというあの態度は本当に—・っちゃうね」
４花のつぼみが開く。また、果物が熟して裂ける。「栗が—・う」
５春になって、芽が出たり花が咲いたりして、明るいようすになる。俳句など、文学的表現に用いる。「山—・う」
６ゆるんだりほどけたりする。ほころびる。また、足取りがしっかりしなくなる。「歩き疲れて膝が—・う」
[可能]わらえる
[下接句] 今泣いた烏(からす)がもう笑う・鬼が笑う・最後に笑う者が最もよく笑う・泣いても笑っても・膝(ひざ)が笑う・目糞(めくそ)鼻糞を笑う・山笑う・来年の事を言えば鬼が笑う</t>
        </is>
      </c>
      <c r="D8999" t="inlineStr">
        <is>
          <t>笑うべき；笑うだろ；笑うかもしれ；笑うまい；笑うかも知れ</t>
        </is>
      </c>
      <c r="E8999" t="inlineStr">
        <is>
          <t>微笑む；一笑；目を細める；笑む；笑顔を向ける</t>
        </is>
      </c>
      <c r="F8999" t="inlineStr">
        <is>
          <t>にやりと笑う；ニヤリと笑う；にっこり笑う；くすくす笑う；言って笑う</t>
        </is>
      </c>
      <c r="G8999" t="inlineStr">
        <is>
          <t>笑う犬；笑う犬の冒険；笑う警官；笑う門には福来たる；笑う門には福来る</t>
        </is>
      </c>
      <c r="H8999" t="n">
        <v>29</v>
      </c>
      <c r="I8999" t="inlineStr">
        <is>
          <t>たちまち高くたちまち低いその震え声は笑っているようにさえ聞こえた。；笑うわけなど少しもないのに、人が笑うのを聞くと、自然笑いだします。；のみならず同伴の外国人の男女と愉快そうに笑ったり話したりし出した。；彼の顔は覆面に隠れて、笑っているのか泣いているのか、少しも分らぬ。；外祖母も母親もようやく安心して今はもう何とも言わずにただ笑っていた。；自分はかれが投げだしたように笑うのを見るたびに泣きたく思った。；笑っていると人を攻撃するほど体の筋肉に力を入れることはできない。；上原は人懐っこい眼をしていて、それが笑うと消えて一本の線になった。；人の笑うのを見ると獣が大きな赤い口をあけたよと思っておもしろい。；国王一家をはじめ、国民が皆漫画好きでいつも漫画を読んで笑っている国。；garh は非難するほうだが軽蔑して笑うほうにもなりうるのである。；彼の練習する姿や笑っているところを見るのは私にとって喜びだった。；親兄弟が彼をいくらほめても、誰もそれを身びいきだと笑うものがない。；そこには二歳か三歳かの河童が一匹、何も知らずに笑っているのです。；地球の上で、金属は生物だなどといっては、たいてい笑われるでしょう。；女房は自分が上がりはなに立ったのを目で迎えて、意味ありげに笑った。；江戸時代の記録によれば、笑い役は座敷の中央に順に出て笑ったとある。；それほど狂暴な踊りにもかかわらず、男も女もうれしそうに笑っていた。；こう考えると私はこの男を笑う気にはどうしてもならなくなった。；公爵は、貴方は私のことをそんな風に思っているのか、と言って笑った。；それに対し、男が笑ってこう返答した事が、以下の通りに書かれていた。；その度に竜太も笑おうと思うのだが、なぜかちょっと怒った顔になる。；毛皮商人に関係することで笑ったのかと聞いても、それは違うという。；本人的には見るとそれまでの経緯が全て知っているからこそ笑ってしまうという。；これが動くので笑うということが何であるかが動いて来るのである。；我々の父たちのズボンの、あの笑うべき形はいったい何を意味したものか。；美しい歯があれば笑うたびに見えるのだが、その女は少しも笑わなかった。；美しい歯があれば笑うたびに見えるのだが、その女は少しも笑わなかった。；彼はすべてを呑みこんでいるという風にニヤニヤと笑っているのだった。</t>
        </is>
      </c>
      <c r="J8999">
        <f>HYPERLINK("https://www.weblio.jp/content/笑う", "词义详情")</f>
        <v/>
      </c>
      <c r="K8999">
        <f>HYPERLINK("https://yourei.jp/笑う", "查看例句")</f>
        <v/>
      </c>
    </row>
    <row r="9000">
      <c r="A9000" t="inlineStr">
        <is>
          <t>笑わせる</t>
        </is>
      </c>
      <c r="B9000" t="inlineStr">
        <is>
          <t>成功</t>
        </is>
      </c>
      <c r="C9000" t="inlineStr">
        <is>
          <t>読み方：わらわせる
［動サ下一］［文］わらは・す［サ下二］
１相手が笑うように仕向ける。「冗談で人を—・せる」
２軽蔑・嘲笑(ちょうしょう)に値することである。人をあざけって使う。「あいつが学者だなんて、全く—・せるよ」</t>
        </is>
      </c>
      <c r="H9000" t="n">
        <v>29</v>
      </c>
      <c r="I9000" t="inlineStr">
        <is>
          <t>彼はいつもこんな半分まの抜けたことをやって人々を笑わせる男だった。；だってあたし別に笑わせるつもりでやってるわけじゃないんですもの。；その子供は見て来た芝居の真似をして衆を笑わせるほど、ませて来た。；にもかかわらず、世間は笑わせるものより泣かせるものが高級だとする。；ラットは漫画を描く最大の目的は人々を笑わせることだと述べている。；大浦はいまやそうして自らを戯画化して語り他を笑わせることができた。；その笑っている聴衆を、笑わせるほうは、とぼけた顔をして眺めている。；人を笑わせることが好きであり、常に笑いを意識してイベントを企画してきた。；コージー冨田がモノマネで笑わせるのは誤解だ、とも本人は語っていた。；笑いは人生には必要だろうが、笑わせることは、人生に必要なことではない。；あんな氏素姓も定かではない女が、運命共同体とは笑わせるではないか。；そして、それを読みながら、漫談ふうな解説をして客を笑わせるのだった。；どこか皮肉な、今にも例の人を笑わせる顔をしそうなところがある。；自分も亜実さんをあんな風に笑わせることができたら、と思うのだ。；それぞれの舞台では、メンバーを笑わせるための罠が数多く設けられている。；人を笑わせるだけのことならからだのどこかをくすぐつてもできるのである。；人を笑わせるには自分から笑っていては利き目がないということもその一つだ。；深い要素を練り込み時間差でじわじわと笑わせるようなものは少ない。；ウンコや屁の話をして笑わせるのは、コメディアンでも下の下といわれる。；弓道部の三年生で、友達が大勢いて、みんなを笑わせるのが上手なこと。；彼らは人間の解放だとか個人の自由を説いているのだから笑わせる。；しかし、博士の計画は、偶然にも患者を笑わせることに成功した。；それは、設定と、聞き手を笑わせるのに必要な皮肉を感じさせる落ちである。；そこでネッドとアレンがカピを連れて行って、芸をやって笑わせるのだ。；小さい時から目立ちたがり屋で、人を笑わせることが大好きな少年だった。；思慮分別のある人間を笑わせるのは、並大抵の仕事じゃありませんよ。；人を笑わせることを商売にしている道化がふと垣間見せた悲しみなのかもしれない。；プロパガンダを目的とする番組にしては、笑わせる部分があった。；人を笑わせることがうまく、こういうパーティーにはなくてはならない男だった。</t>
        </is>
      </c>
      <c r="J9000">
        <f>HYPERLINK("https://www.weblio.jp/content/笑わせる", "词义详情")</f>
        <v/>
      </c>
      <c r="K9000">
        <f>HYPERLINK("https://yourei.jp/笑わせる", "查看例句")</f>
        <v/>
      </c>
    </row>
    <row r="9001">
      <c r="A9001" t="inlineStr">
        <is>
          <t>割合</t>
        </is>
      </c>
      <c r="B9001" t="inlineStr">
        <is>
          <t>成功</t>
        </is>
      </c>
      <c r="C9001" t="inlineStr">
        <is>
          <t>読み方：わりあい
［名］
１全体に対する部分の、または他の数量に対するある数量の比率。率。割。「男子学生と女子学生の—が逆転する」「空気の主要成分の—を求める」
２（「…のわりあいに」の形で）「割5」に同じ。「大きさの—に重い」「冬の—には暖かい」
３それぞれに分けて割り当てること。割り前。割り勘。
「そりゃけうとい安いもんぢゃ。—にいたさうかいな」〈滑・膝栗毛・七〉
［副］他の物事や場合に比べてそれらの程度を超えているさま。比較的。割に。「部屋は—にきれいだ」「—（と）やさしい問題」</t>
        </is>
      </c>
      <c r="D9001" t="inlineStr">
        <is>
          <t>割合が高い(4%)；割合が高く(2%)；割合が多い；割合が多く；割合が大きく</t>
        </is>
      </c>
      <c r="E9001" t="inlineStr">
        <is>
          <t>かなり；ちょっと；相当；なかなか；率</t>
        </is>
      </c>
      <c r="F9001" t="inlineStr">
        <is>
          <t>高い割合；一定割合；負担割合；同じ割合；割合いで</t>
        </is>
      </c>
      <c r="H9001" t="n">
        <v>29</v>
      </c>
      <c r="I9001" t="inlineStr">
        <is>
          <t>ただし英語新聞も割合こそ減少しているものの部数自体は増加している。；セミクジラ種は他種よりも一頭あたりの油の割合が高かったためによる。；文章題には、割合を強く意識して考える問題とそうでない問題とがある。；しかも、その割合はイギリス人がインドで建設したものが多くを占めた。；戦病死者の割合が作戦を共にした日本軍人よりも高かったといわれている。；就職を希望している人のうち、どれだけの人数が就職したかという割合。；同じ研究では、ワニに食べられる割合はほんの僅かであることもわかった。；商業に関しては卸売業が販売額を占める割合が高いのが特徴となっている。；自然数のうち過剰数が占める割合は から の間であると証明されている。；標準軌鉄道の存在する国・地域とその路線長、同国内での割合は以下の通り。；ただし、新漢語の割合は漢語全体から見れば必ずしも多いわけではない。；それに伴い、販売を「東京酒問屋組」に依拠する割合は低下していった。；同一人種間の日本と海外での患者割合の差は、食生活の違いにあるとされる。；この割合には女優から発売中止を正式に申請されて中止したものも含んでいる。；ただし脳の性差が人格形成にどれほどの割合で貢献をしているかは不明である。；果肉はワインの主要な要素であり、液体の割合が最も高い部分である。；運賃収入に占める人件費の割合が大きいことも、導入理由の一つとなった。；いずれにしてもこの割合は、近隣のアジア各国と比較しても際立った低さである。；遺産の全部または一部を割合をもって示し対象とする場合を包括遺贈という。；これはイギリス国内のどの場所よりも高い割合であった。；それは年齢ごとに生存している人死亡した人の割合をまとめた統計データである。；すると歳入に占める中央政府と全自治体の割合がほぼ半々になった。；陸上自衛隊ではドーザ装置のある戦車は1個中隊に1両の割合とされる。；マッチの上限を金額ではなく授業員の給与額の一定割合とする会社もある。；その増加の割合は、岩のタイプほか様々な要因に左右される。；職員のうち公務員の占める割合は1割程で、他は民間出身者が占めていた。；レギュラー放送終了後も、数ヶ月に一回の割合でスペシャル版が放送された。；これは他の多くのアメリカ先住民と同様であるが割合が異なる。；この場合、2 個の状態変数に加え、各成分の割合で状態を記述できる。</t>
        </is>
      </c>
      <c r="J9001">
        <f>HYPERLINK("https://www.weblio.jp/content/割合", "词义详情")</f>
        <v/>
      </c>
      <c r="K9001">
        <f>HYPERLINK("https://yourei.jp/割合", "查看例句")</f>
        <v/>
      </c>
    </row>
    <row r="9002">
      <c r="A9002" t="inlineStr">
        <is>
          <t>割り当て</t>
        </is>
      </c>
      <c r="B9002" t="inlineStr">
        <is>
          <t>成功</t>
        </is>
      </c>
      <c r="C9002" t="inlineStr">
        <is>
          <t>読み方：わりあて
割り当てること。また、割り当てたもの。割り前。「仕事の—をする」</t>
        </is>
      </c>
      <c r="D9002" t="inlineStr">
        <is>
          <t>割り当てられる(11%)；割り当て分；割り当て量；割り当て制度；割り当て方式</t>
        </is>
      </c>
      <c r="E9002" t="inlineStr">
        <is>
          <t>分け；課題；割合；割；配給</t>
        </is>
      </c>
      <c r="F9002" t="inlineStr">
        <is>
          <t>それぞれ割り当て；周波数割り当て；メモリ割り当て；予算割り当て；電波割り当て</t>
        </is>
      </c>
      <c r="G9002" t="inlineStr">
        <is>
          <t>割り当てよ；割り当てれ</t>
        </is>
      </c>
      <c r="H9002" t="n">
        <v>29</v>
      </c>
      <c r="I9002" t="inlineStr">
        <is>
          <t>一部のステージは複数のキャラクターが一緒に割り当てられている。；通常はタイムテーブルで割り当てられた演奏時間を各出演者が担当する。；コドンの割り当ては翻訳が開始される先頭のヌクレオチドから行われる。；それぞれの食事に割り当てられた被験者の体重は以下のように変動した。；鍼灸師とは医師にしか行えない医業の一部を割り当てられた資格である。；また澳門も1999年まで中国とは別の機体記号が割り当てられていた。；大半の球団は固定されているが、一部週ごとに割り当てを変える球団も存在する。；各制御ユニットには対応するアドレスの範囲が割り当てられている。；理由は不明だが、国際旅団には、11以降の番号が割り当てられている。；学籍を整理するため、各学生等には固有の番号・符号が割り当てられる。；かつて各州には名前と別にローマ数字が北から南の順に割り当てられていた。；各会員に配分された玉を、会員自らが店内の個々の注文に割り当てていた。；この任務を割り当てられることとなったのがジェームズ・ダグラス卿であった。；また学生1人ずつにメールアドレスが割り当てられ、自由に利用できる。；例えば特典映像には本編とは別のタイトル番号が割り当てられる場合が多い。；固定電話は子供部屋に配置されており、専用の番号が割り当てられている。；制御文字には、文字と同じようにそれぞれ文字コードが割り当てられる。；日本の民間航空会社に割り当てられた発着枠は、一日最大7便となっている。；当時は既存新聞の増紙よりも新興新聞に用紙が割り当てられた時期でもある。；AS番号は2497であり、JPNIC割り当ての中で最も若番である。；各分野の専門家には以下のようなセカンドレベルドメインが割り当てられている。；特殊機能はその頭文字ごとにAからHのボタンが割り当てられている。；さらに翌年10月、郵政省は北海道に4局目の電波割り当てを公にした。；演出上の意図で声優が複数割り当てられた作品もある。；その他の将校には階級・役職に応じて1人部屋か2人部屋が割り当てられた。；日々そうした活動を積み重ねていることで、脳の割り当て領域は広がってゆく。；いくつかの特定の用途では、ヘブライ文字に数価を割り当てて用いる。；もともと世界遺産委員会の委員国に、地域の割り当ては設定されていなかった。；仮想ページに何も割り当てられていないために使用不可となっている可能性もある。</t>
        </is>
      </c>
      <c r="J9002">
        <f>HYPERLINK("https://www.weblio.jp/content/割り当て", "词义详情")</f>
        <v/>
      </c>
      <c r="K9002">
        <f>HYPERLINK("https://yourei.jp/割り当て", "查看例句")</f>
        <v/>
      </c>
    </row>
    <row r="9003">
      <c r="A9003" t="inlineStr">
        <is>
          <t>割り当てる</t>
        </is>
      </c>
      <c r="B9003" t="inlineStr">
        <is>
          <t>成功</t>
        </is>
      </c>
      <c r="C9003" t="inlineStr">
        <is>
          <t>読み方：わりあてる
［動タ下一］［文］わりあ・つ［タ下二］全体をいくつかに分けて、それぞれにあてがう。配分する。わりふる。「費用を等分に—・てる」「—・てられた仕事」</t>
        </is>
      </c>
      <c r="D9003" t="inlineStr">
        <is>
          <t>割り当てるべき；割り当てるビット数</t>
        </is>
      </c>
      <c r="E9003" t="inlineStr">
        <is>
          <t>任命；配属；配給；割り当て；振る</t>
        </is>
      </c>
      <c r="H9003" t="n">
        <v>29</v>
      </c>
      <c r="I9003" t="inlineStr">
        <is>
          <t>本作にジャンルを割り当てることは非常に複雑で困難な問題である。；訓練データをそれぞれのスレッド毎に同程度の大きさに分割して割り当てる。；夜間戦闘部隊はその主軸に既存の隊を割り当てることで急速に整備された。；この日をもって同盟内での組織や訓練などのために要員を割り当てる。；以下に示すとおり、現在の地区は、旧自治体に割り当てることができる。；反対に、一つの目標に2個以上の弾頭を割り当てることも可能である。；それをいくつかの包みに作って、年長の少年たちに割り当てることにした。；うまくいけば、あらためて全員にもっと有利な地域を割り当てるつもりだ。；また、市場分割は競争者間で販売地域や顧客を割り当てる合意である。；大域的値番号付けは、値番号を変数や式に割り当てることで動作する。；この建設費を環境芸術に割り当てる歩合国や自治体によって様々である。；小さな数には短い符号語を、反対に大きな数には長い符号語を割り当てる。；小さな値には短い符号語を、反対に大きな値には長い符号語を割り当てる。；先生は上院議員一人あたり三人の若い夫人を割り当てるだろう。；一般的な五線譜を使って線や間それぞれに打楽器を割り当てるもの。；ラマルティーヌは鉄道建設など事業に労働者を割り当てることを提案したが拒否された。；それ以外のユーザー権限を割り当てることも可能である。；要求されたサイズと同じか、ひとまわり大きいブロックをデータに割り当てることで使用する。；それをもとにして、一日の仕事を割り当てるために、彼はそれを知っておく必要があったのである。；これは任意の濃度 に対して次に大きい整列された濃度 を割り当てる。；複数のユーザーが存在する可能性があり、各ユーザーに0個以上の権限を割り当てる。；この周波数帯を携帯電話に割り当てることになったからである。；これは、特徴空間を領域分割して、各領域にラベルを割り当てるのと同じである。；データは下記に示すようなif文で割り当てることができる。；連想テーブルの使用例として、ユーザーに権限を割り当てることを考える。；この資金は他の目的に割り当てることはできない。；ここから、遺伝における重要な役割を核へ割り当てる道が開かれた。；この方法により各自の第一希望の部屋を割り当てることができる。；このパターンは、オブジェクトに責務を割り当てる際の一般的な原則である。</t>
        </is>
      </c>
      <c r="J9003">
        <f>HYPERLINK("https://www.weblio.jp/content/割り当てる", "词义详情")</f>
        <v/>
      </c>
      <c r="K9003">
        <f>HYPERLINK("https://yourei.jp/割り当てる", "查看例句")</f>
        <v/>
      </c>
    </row>
    <row r="9004">
      <c r="A9004" t="inlineStr">
        <is>
          <t>割り勘</t>
        </is>
      </c>
      <c r="B9004" t="inlineStr">
        <is>
          <t>成功</t>
        </is>
      </c>
      <c r="C9004" t="inlineStr">
        <is>
          <t>読み方：わりかん
《「割り前勘定」の略》勘定を人数で割り、各自平等に支払うこと。また、何人かで飲食したとき、自分の費用を自分で支払うこと。「経費は—にしよう」「—で飲む」</t>
        </is>
      </c>
      <c r="H9004" t="n">
        <v>29</v>
      </c>
      <c r="I9004" t="inlineStr">
        <is>
          <t>店の客の誰かと、千円以下の注文をしている人と割り勘に持ち込む。；初めて夕食に誘った時、割り勘にしたのを未だに根にもっているのだ。；それで、妹が付き合ってた頃も、デートは割り勘が多かったみたいだね。；最終的には個人主催イベントに参加するコスプレイヤーで割り勘を行われる。；男が払うべきだとは言わないが、せめて割り勘にならなかったのだろーか?；男女でもただの友達だったら割り勘でもちろんいいでしょう。；割り勘なら行きますと言っているのにも関らず奢ったら ますます娘さんは恐縮してしまうだろう。；で、結局中をとって割り勘ということで双方手を打った。；注文はそれぞれが自分の食べる料理を注文するが、支払いは割り勘で行われることで合意が取れている。；大好きな彼女が仕事ができて、どうかすると自分以上に収入がある気配で、いつも割り勘にされたら、俺なんか俺なんか全然彼女に必要とされてないのかも?；事前の話し合いで、今日の会計はすべて割り勘と決まっていた。；昨日など、彼はついに避妊具まで「割り勘にしないか」と言った。；そして私が羽振りがよかった時、何も考えずに明日香や他の友人との食事代を割り勘ではなく、勝手に私が払っていたことを思い出した。；俺と相原は列に少し並んでから、割り勘でも注文を終える。；この度の日本への旅費も、割り勘だったそうである。；割り勘と言うのが条件でも、 電車男はトイレに行くふりでもしてそっと会計済ますべし。；会計をきっちり割り勘にして払うところなんかも、皮肉なユーモアだ。；恭一郎は、荻島のように高級な店に食事に連れてきてはくれないし、割り勘にすることも珍しくはない。；スタジオ代はみんなと割りかんにして。；出させるのも割りかんの主張も難しい。；二人はデザートを食べ、エスプレッソを飲んで、割り勘で勘定を済ませた。；同期入社で若い頃より長者番付に入っていた雷蔵がスタッフを飲みに連れて行っても割り勘であったのとは違い、飲食代は勝が全て支払っていた。；割り勘で、中澤さんの分はみんなで負担するんだ。；平等ならば、喫茶店に入った時、男と女は割カンでいけばいいじゃないか。；この後しばらく住民の間で、「割り勘」 「おごれ」の激しい議論が続いた。；代金は割り勘にして、ふたりはやがて店を出た。；しかし、塚田は棋士と飲む時は、相手が20かそこらの新四段であっても必ず割り勘を通した。；しかし結局は人数で割り勘するわけだから、一人につきいくらまでなら出すという話し合いは必要だ。；だが妻が勤めに出るようになってから、家計分担も割り勘にしたので、減収を糊塗できた。</t>
        </is>
      </c>
      <c r="J9004">
        <f>HYPERLINK("https://www.weblio.jp/content/割り勘", "词义详情")</f>
        <v/>
      </c>
      <c r="K9004">
        <f>HYPERLINK("https://yourei.jp/割り勘", "查看例句")</f>
        <v/>
      </c>
    </row>
    <row r="9005">
      <c r="A9005" t="inlineStr">
        <is>
          <t>割り込む</t>
        </is>
      </c>
      <c r="B9005" t="inlineStr">
        <is>
          <t>成功</t>
        </is>
      </c>
      <c r="C9005" t="inlineStr">
        <is>
          <t>読み方：わりこむ
［動マ五（四）］
１無理に押し分けて入り込む。「順番待ちの列に—・む」「人の話に—・む」
２取引相場で、相場がある値段より安くなる。「下限とされた線をあっさりと—・む」</t>
        </is>
      </c>
      <c r="D9005" t="inlineStr">
        <is>
          <t>割り込む形(6%)</t>
        </is>
      </c>
      <c r="E9005" t="inlineStr">
        <is>
          <t>入る；邪魔；中断；介入；妨害</t>
        </is>
      </c>
      <c r="H9005" t="n">
        <v>29</v>
      </c>
      <c r="I9005" t="inlineStr">
        <is>
          <t>だれもが一度は目にしたであろうテレビコマーシャルが割り込んだのだ。；ふたりが同時に動こうとした瞬間、少女がふたりの間に割り込んできた。；二人の会話をじっと聞いていた加藤が、突然話に割り込んで提案した。；反絵は彼らの中へ割り込むと今まで勝ち続けていた一人の兵士の前に突きたった。；「その話を、誰に聞いたのですか」 花吉が二人の間に割り込んできた。；その時脇からうまくその列に割り込んで、電車に乗ってしまう人がよくある。；そう思ったとき、さっと割り込むように、ひとつの場面が浮かんできた。；そんなことを言って、無理にも割り込んで来るようにみえたのです。；男が割り込むことの出来るものではないことを既に知っていた。；この調子では、年末には五十五日分を大きく割り込むことは確実だった。；私が後から割り込んだのだから、彼女を愛人と呼ぶのはどこか違う気がする。；どうして、こんなものが私の仕事に割り込んできたのか、実に不思議。；この彼で番組作ってんだけど、そこに緊急特番を割り込ませてるのね。；二人の間に割り込んだり、無理矢理一緒に歩いたりするんじゃないか。；彼女はほんの少しドアを開けると、その間に身体を割り込ませるのでした。；しかも単純にからだを彼女と犠牲者との間に割り込ませればいいんだ。；そこヘハードシェル・スーツを着たままのソランジュが割り込んできた。；動かぬ体でリリアナが恐怖を覚えていたとき、ひとつの声が割り込んできた。；四人輪になって飲んでいたのに、まだ飲み足りなかった一人が割り込んで行った。；舟着場は花見客が乗って来た舟がぎっしり並んでいて、割り込む隙がない。；また、確実な通信を行うために必要な下限を割り込むこともしてはならない。；会話イベントの最中、相手の話に割り込むか否かの選択を迫られる事がある。；それでも当惑が明美の顔に出たらしく、すると女店員が割り込んできた。；そうして木に竹を接いだような調子で、二人の間に割り込んで来た。；割り込んで来る奴を、両方のが尻と尻をくッつけて邪魔をした。；同時に葉月さんの身体が割り込むようにして俺の前に入ってくる。；割り込んできたときの横顔で、この人物が誰なのかも分かっていた。；しかしそんな状況にあっても、俺のHPバーは半分を割り込んだ程度だった。；新庄の視界の中、自分と光の間に割り込むように、その人の背が入っていた。</t>
        </is>
      </c>
      <c r="J9005">
        <f>HYPERLINK("https://www.weblio.jp/content/割り込む", "词义详情")</f>
        <v/>
      </c>
      <c r="K9005">
        <f>HYPERLINK("https://yourei.jp/割り込む", "查看例句")</f>
        <v/>
      </c>
    </row>
    <row r="9006">
      <c r="A9006" t="inlineStr">
        <is>
          <t>割り算</t>
        </is>
      </c>
      <c r="B9006" t="inlineStr">
        <is>
          <t>成功</t>
        </is>
      </c>
      <c r="C9006" t="inlineStr">
        <is>
          <t>読み方：わりざん
［名］(スル)ある数が他の数の何倍であるかを求める計算。除法。⇔掛け算。</t>
        </is>
      </c>
      <c r="D9006" t="inlineStr">
        <is>
          <t>部分；分野；部門；艦隊；節</t>
        </is>
      </c>
      <c r="H9006" t="n">
        <v>29</v>
      </c>
      <c r="I9006" t="inlineStr">
        <is>
          <t>一つ目は鯨の体積から計算する方法で、単純な割り算が用いられている。；そして彼のため書きうつしてきてくれたのは、上のような割り算であった。；割り算の筆算を一つの7を手がかりにして完成させる数学パズルである。；人間と人間との関係に引き算や割り算があってはなりません。；例えば一般には足し算をするべきところで割り算をしてしまう。；これが起こるときにはいつでも、上の式は0による割り算を含むから定義されない。；分数の割り算はできなくてもヘビーEを間違うやつなどいないだろう。；何といっても、割り算ほど人生にとっておそろしいものはありません。；そのため、巨大な数のかけ算や割り算が、対数を使うと容易になる。；Maybeモナドの値を安全に割り算する以下の定義も等価である。；特に体は割り算が自由にできることから整域となる。；しかしこれでもなお、零元でない任意の元で割り算ができるかどうかは保証されないといったような問題は生じる。；さっきも言ったように、割り算でいっても簡単だ。；つづいて引き算、掛け算、割り算の練習をし、いよいよ応用問題に入った。；この順位は、彼女の獲得ポイントを単純に出場試合数で割り算した平均点であった。；割り算の鍵は一体どうなったのか。；この割り算の答えの多い順に議席を配分することになる。；今日では電卓などにおける割り算のボタンや、割り算の計算式などで使用されている。；海人はノートに顔を伏せて小数の割り算に集中するふりをした。；実際、割り算を筆算で行った場合の余りの可能性は有限個しかないため、繰り返しのパターンが現れる。；ただし分解途中で零ピボットによる割り算が生じると計算は破綻し分解が存在しない可能性もある。；割り算の素過程は「九九を逆さまに適用する」練習をまずやらせる。；解らないところはどうやらあまりのある割り算らしい。；私はそれ以上割り算や掛け算を試みることはやめ、算術は放擲して言葉のほうを検討することにした。；次式のようにこれを割り算と解釈すると、数値として表現できる。；Pentiumで新たに実装された割り算の回路の設計を誤ったのが原因で計算を誤ることが後に明らかにされた。；このような設計にすることで掛け算や割り算などの複雑な命令が1つの命令では実行できなくなるが、単純な命令だけであれば、プロセッサに与えるクロックを高速にでき早く動作させて、性能が向上すると予想された。；そして、その月の請求書を受けとると、三人ひたいを寄せ合って割り算をします。；ネイピアの骨が使われているのは積を求める部分だけなので、小数点以下の値が必要な場合も普通の割り算の筆算と同様に計算すればよい。</t>
        </is>
      </c>
      <c r="J9006">
        <f>HYPERLINK("https://www.weblio.jp/content/割り算", "词义详情")</f>
        <v/>
      </c>
      <c r="K9006">
        <f>HYPERLINK("https://yourei.jp/割り算", "查看例句")</f>
        <v/>
      </c>
    </row>
    <row r="9007">
      <c r="A9007" t="inlineStr">
        <is>
          <t>わりと</t>
        </is>
      </c>
      <c r="B9007" t="inlineStr">
        <is>
          <t>成功</t>
        </is>
      </c>
      <c r="C9007" t="inlineStr">
        <is>
          <t>読み方：わりと
［副］「割に」に同じ。「病み上がりにしては—元気だ」「—うまい」</t>
        </is>
      </c>
      <c r="D9007" t="inlineStr">
        <is>
          <t>わりといい；わりと大きな；わりとよく；わりとすぐ；わりと多い</t>
        </is>
      </c>
      <c r="E9007" t="inlineStr">
        <is>
          <t>かなり；ちょっと；相当；なかなか；ずいぶん</t>
        </is>
      </c>
      <c r="F9007" t="inlineStr">
        <is>
          <t>わりと広い；わりと似；ふんわりと；承わりと</t>
        </is>
      </c>
      <c r="H9007" t="n">
        <v>29</v>
      </c>
      <c r="I9007" t="inlineStr">
        <is>
          <t>その日の彼女は意外なことにわりと明るかったのを陽子は記憶している。；以降の日記には、妹のことがわりとおおっぴらに顔を出すようになった。；特定のジャンルに限って読むのではなく、わりと勧められた作品は読む。；生まれたときはわりと大きく元気そうだったが、その後はよく熱を出した。；駅はわりと小さいが、その周辺にはファーストフードの店が並んでいる。；妻をふり捨てたい気持は、辰太が結婚してからわりと早い時期に起った。；七月ごろに入れたばかりだからわりとすぐ手前のどこかにあるはずだ!；オレなんかより全然よくて、わりといい学校に行ったんだよな、東京の。；わりと好きな分野で、今後も変った着想が出たら、書いてみるつもりだ。；商品の売れ筋を見て、つぎの商品を発注したりする仕事はわりと好きだ。；自分のことを言っちゃ何ですが、これでもわりと苦労して来たほうでしてね。；こういうことにはわりとマメな方だから、その気になれば直してやれる。；わりと広かったように記憶しているが、それは私が子供だったからだろう。；帝国もわりとのんびり構えていましたが、この巻以降はそうはいきません。；安易には言えませんが、だとしたら、死もわりとよさそうな感じがします。；挑発されて言っているわけではなく、彼にはわりと簡単にそれができたのだ。；補講の開始時間はわりと遅めに設定されていて、まだ少し時間があった。；わりと一般的に使われている言葉だから、知らないってことはないだろう。；わりと無菌室のような環境で育てられた子供だったのかもしれない。；わりと上品な東京の娘たちと思っていたのが、すごい女に見えてきた。；彼はまだ若かったし、身装もわりと洒落ていたから、それが信用された。；お互いの家が近いこともあって、わりと仲のいいクラスメイトだった。；見合いのまねごとみたいなのをやって、わりとうまく進んでいるらしい。；わりと露骨に表明しているのだが、今のところ完璧に無視されている。；勤務の都合上、その人数は決っていなかったが、その日はわりと多かった。；私、ビデオは嫌いだけれど、そのテの本はわりと好きになってきたみたい。；部屋に戻ると、消灯の十時まで、わりと長い自由時間が残されていた。；それをわりと無難に乗り切ることができたので、気が楽になったのだろう。；それは、わりとうまくできた、そして目をとじるとマットに横になった。</t>
        </is>
      </c>
      <c r="J9007">
        <f>HYPERLINK("https://www.weblio.jp/content/わりと", "词义详情")</f>
        <v/>
      </c>
      <c r="K9007">
        <f>HYPERLINK("https://yourei.jp/わりと", "查看例句")</f>
        <v/>
      </c>
    </row>
    <row r="9008">
      <c r="A9008" t="inlineStr">
        <is>
          <t>割引</t>
        </is>
      </c>
      <c r="B9008" t="inlineStr">
        <is>
          <t>成功</t>
        </is>
      </c>
      <c r="C9008" t="inlineStr">
        <is>
          <t>読み方：わりびき
［名］(スル)
１割り引くこと。一定の価格から、ある割合の金額を引くこと。「会員には—して売る」「—価格」⇔割増し。
２「手形割引」に同じ。
３内輪に見積もること。いくらか低く評価すること。「話を—して聞く」</t>
        </is>
      </c>
      <c r="D9008" t="inlineStr">
        <is>
          <t>割引サービス(6%)；割引券(5%)；割引制度(4%)；割引料金(2%)；割引乗車券(2%)</t>
        </is>
      </c>
      <c r="E9008" t="inlineStr">
        <is>
          <t>サービス；値下げ；値引き；ディスカウント；値引</t>
        </is>
      </c>
      <c r="F9008" t="inlineStr">
        <is>
          <t>特別割引；料金割引；各種割引；運賃割引；割引きっぷ</t>
        </is>
      </c>
      <c r="G9008" t="inlineStr">
        <is>
          <t>割引運賃；割引き；割引い；割引債；割引現在価値</t>
        </is>
      </c>
      <c r="H9008" t="n">
        <v>29</v>
      </c>
      <c r="I9008" t="inlineStr">
        <is>
          <t>その代わりに高齢者や女性に割引料金を設定するなどの変更が行われた。；右上にはエンジョイエコカード同様割引施設対応である旨が書かれている。；これを利用して下記のように各社でいろいろな割引サービスを実施している。；ただし、テストの点数など多い方がいい数字までも割引対象になりえる。；なお、割引サービスの適用後も無料通信分や通話料の金額は変わらない。；月に数回メールが送られてくる他、フリーパスの割引などの特典がある。；本券の提示で、エリア内の指定された観光施設で割引などの特典がある。；以下のような割引があるが、マレーシア人・シンガポール人向けである。；AOS と教育機関向けの割引を発表してからは特にその傾向がある。；なお、介護者・付き添い人の割引は同行する最大3名までが適用である。；トラックは軽トラックを含め往復割引を除くすべての割引が適用できない。；各地域にある加盟店で割引などを受ける事が可能になっていた。；各鉄道会社は地域の事情に合わせた各種の割引乗車券を発売している。；名古屋市営地下鉄・市営バスとの連絡定期券は以下の割引が適用される。；残金が不足した場合は、新しいカードを使えば引き続き割引を利用できた。；飲食店情報ページには割引サービスが受けられるクーポン券も付いている。；パリ国立銀行によると、パリ割引銀行時代の資料は全て失われたそうである。；特に明記していない場合、割引額は映画館によって異なることを示す。；そのため、個別の券に比べて何らかの割引やサービスをつけることが多い。；地下鉄や鉄道ではオクトパスの使用で1割程度通常運賃より割引になる。；以下は九州新幹線の全線開業以前に発売されていた割引きっぷである。；また、往復割引との併用も可能で、往復割引後に学生割引が適用される。；出口ETCを活用して利用区間を確認し、その距離に応じた割引を適用する。；また、IruCaの各種割引も相互利用の他ICカードでは適用されない。；すなわち割引因子が十分に高い場合に協調が生まれる可能性がある。；ただし、祝日となる場合およびイベント開催日はこの割引が適用されない。；ただし15人以上の団体や学校・幼稚園・保育園には団体割引がある。；大人一人の片道料金は200バーツ前後で、往復割引も利用可能である。；JRバスグループ各社の一部の高速バス路線も割引制度が設定されている。</t>
        </is>
      </c>
      <c r="J9008">
        <f>HYPERLINK("https://www.weblio.jp/content/割引", "词义详情")</f>
        <v/>
      </c>
      <c r="K9008">
        <f>HYPERLINK("https://yourei.jp/割引", "查看例句")</f>
        <v/>
      </c>
    </row>
    <row r="9009">
      <c r="A9009" t="inlineStr">
        <is>
          <t>割り引く</t>
        </is>
      </c>
      <c r="B9009" t="inlineStr">
        <is>
          <t>成功</t>
        </is>
      </c>
      <c r="C9009" t="inlineStr">
        <is>
          <t>読み方：わりびく
［動カ五（四）］
１一定の金額から何割か安くする。「10パーセント—・く」
２手形割引をする。「手形を—・く」
３物事を内輪に見積もる。「彼の話は—・いて聞く必要がある」</t>
        </is>
      </c>
      <c r="H9009" t="n">
        <v>29</v>
      </c>
      <c r="I9009" t="inlineStr">
        <is>
          <t>大きく割り引いても日本軍はかなり困難な状況下にあったことは明らかである。；そういうことのすべてを割り引いても、これは新しい読書体験だと思った。；そうであれば彼女の証言も割り引いて聞かなくてはならぬ。；馬車は動かなくなったが、それを割り引いても今日はいい日だ。；兵力が実際には半数だったのと同様に、こちらも割り引く必要がある。；その分を割り引いても、しかしちか子はこう考えざるを得なかった。；乗算係数は、お金の価値が時間の経過とともに割り引かれる方法である。；私は働いている女で美人というのを、絶対に割り引いて考えることにしているのだ。；なにしろ、どう贔屓目に割り引いても団体行動に積極的な人間ではない。；復興のために発行された多くの手形が割り引かれ信用創造が起こった。；しかし設備が急行並のため、特急運用の際には特急料金が割り引かれた。；それでヤツに関しては欠点を見つけても割り引いて考えるクセがついた。；ヴァンサールに割り引いてもらったときに渡したものであった。；そのぶん原稿料は割り引かれるが、書く手間に比べれば経済効率は高い。；彼の言うおめかしについては、多少割り引いて考えなければならないだろう。；ただし同社がしばらく新作タイトルを出していない点は割り引いて考える必要がある。。；若戸トンネルの開始に合わせて特定の出入口相互間の料金を割り引く。；この心境は、どう割り引いてみても得意の人の姿ではない。；医者はびっくりした顔をして料金を割り引いたそうだ。；乗り継ぎ割引が適用外となる列車が含まれている場合は割引が適用になる列車のみ割り引く。；しかし1920年代に恐ろしい殺人を行った集団については割り引いて考えている。；片道しか利用できないことを条件に運賃を割り引くものである。；事情を抱えていさえすれば、罪は割り引かれるということか。；かつて先生が国家の命運を握っていたのか、その点については割り引いて考えた方がよいであろう。；自治体の中には港湾利用料を大幅に割り引くことでフェリー会社を支援する動きもある。；続き物だから途中から読むことになるので、その分は割り引かなければ公平ではない。；家族とともに来る子どもは大いに割り引いてもいいが、団体となると考えものだ。；プレイヤーが将来を割り引く場合については、次の通りである。；しかし、冷静になって割り引いても、これは一級の娯楽小説である。</t>
        </is>
      </c>
      <c r="J9009">
        <f>HYPERLINK("https://www.weblio.jp/content/割り引く", "词义详情")</f>
        <v/>
      </c>
      <c r="K9009">
        <f>HYPERLINK("https://yourei.jp/割り引く", "查看例句")</f>
        <v/>
      </c>
    </row>
    <row r="9010">
      <c r="A9010" t="inlineStr">
        <is>
          <t>割る</t>
        </is>
      </c>
      <c r="B9010" t="inlineStr">
        <is>
          <t>成功</t>
        </is>
      </c>
      <c r="C9010" t="inlineStr">
        <is>
          <t>読み方：わる
［動ラ五（四）］
１強い力を加え固体の物をいくつかに分けて離す。「茶碗を—・る」「クルミを—・る」「まきを—・る」
２ある物をいくつかの部分に分ける。「土地を三つに—・る」「部屋を—・って使う」
３まとまっているもの、組織などを分裂させる。「党を—・る」
４押し分けて間を離す。「両者の間に—・ってはいる」
５そろえた両膝の間を空ける。「膝を—っ・てしゃがむ」
６割り算をする。除する。「六を二で—・る」
７分けて与える。配分する。割り当てる。「それぞれに役を—・る」「頭数で—・る」
８他の液体にまぜて濃度を薄める。「ブランデーを水で—・る」
９心のうちを隠さずにすっかり出す。うちあける。また、白状する。「腹を—・って話す」「口を—・る」
10一定数に達しないで下回る。ある水準以下になる。「志願者が定員を—・る」「仕入れ値を—・る」
11きまった範囲の外に出る。「土俵を—・る」
12（サッカーなどで）ラインをこえる。「ボールがタッチラインを—・る」
13突き当たったり切ったりして傷をつける。できた傷の部分を開いた状態にする。「激しい申し合いで額を—・る」
14（相撲で「腰をわる」の形で）足を開き膝を曲げ、体をまっすぐにした姿勢で腰を低くする。「腰を—・って寄る」
15追い求めて捜し出す。つきとめる。「ほしを—・る」
16手形を割り引く。「手形を—・る」
17わけを細かく説明する。
「—・っつ砕いつ𠮟れども」〈浄・冥途の飛脚〉
[可能]われる
［動ラ下二］「われる」の文語形。
[下接句]川口で船を破(わ)る・口を割る・尻(けつ)を割る・腰を割る・尻(しり)を割る・底を割る・竹を割ったよう・土俵を割る・腹を割る・枕(まくら)を割る・水を割る</t>
        </is>
      </c>
      <c r="D9010" t="inlineStr">
        <is>
          <t>割るまい；割るような音</t>
        </is>
      </c>
      <c r="E9010" t="inlineStr">
        <is>
          <t>分割；区分；切る；区画；分かれる</t>
        </is>
      </c>
      <c r="F9010" t="inlineStr">
        <is>
          <t>たたき割る；打ち割る；ぶち割る；かち割る；噛み割る</t>
        </is>
      </c>
      <c r="H9010" t="n">
        <v>29</v>
      </c>
      <c r="I9010" t="inlineStr">
        <is>
          <t>そのガラスは特殊なもので、どんな方法を使っても割ることはできない。；扉が割られ、男がはいってきて、二人ともひどい目に会うのだと思った。；正直なところ、両者の口を強引に割らせないことには推測の域を出ない。；もうすこしのことで椅子の角で頭を打ち割るところだったじゃないの。；向かいがわの扉を叩き割ると、細長い廊下が奥へ伸びているのが見えた。；衝撃に強く、針のように先端のとがった物でないと割ることができない。；椅子でもって、戻ってきたところを狙ってあの男の脳天を叩き割るかね。；祖母にも、母にもなにも言わず、兄の泪が出てきても口を割らなかった。；こんな動きのとれない状態じゃ、頭を叩き割られるのがオチではないか?；だから玉子を手に持った時には割らないように気をつけなければいけない。；捕まえたメンバーの口を割らせたところ、目標はアメリカだと分かった。；ベランダの窓が鍵が掛かっていたときは、窓を叩き割って部屋に入った。；吉岡や谷崎はあんたにいつ口を割られるかと生きた心地がしないだろう。；薪を取りに行くのも乾かすのも割るのも、これからは俺の毎日の仕事だ。；灰緑色の巨大な橋が谷の上空をさながら天を割るようにして渡っている。；用意された25個の風船を制限時間2分の間に多く割ったチームの勝利。；発見されたときには、閂のかかった部屋のなかで頭を割られて倒れていた。；ここの人々はそれを自分たちの杯の酒を割るため以外には活用しなかったのだ。；大裂は部下の一人が死亡した憤りで重傷の旅人の口を割らせようとした。；氷を何かの蓋の上に置いて、それを割ろうとする人が大騒ぎしている。；つかまえたところで、あの二人が口を割るという保証がどこにあるのか?；あいつは、痛めつけられても口を割らねえような、骨のある男じゃねえ。；円弧の長さは中心角を周角で割ったものを周長にかけたものに一致する。；トールは巨人の妻を味方につけて弱点を聞き、見事割ることに成功する。；岩の隙間にはえるものを採取するために、岩を割ってしまう者さえいる。；大衆食堂ではカセーラでワインを割って飲むことが一般的になっている。；そこでまず最初に行う訓練が、鋳鉄のナイフを拳のみで叩き割ることだ。；この頃には相手を突き飛ばしてガラスを割ることもあるほど強くなっていた。；場合によっては、頭の鉢を割られてしまうことだってあるかもしれない。</t>
        </is>
      </c>
      <c r="J9010">
        <f>HYPERLINK("https://www.weblio.jp/content/割る", "词义详情")</f>
        <v/>
      </c>
      <c r="K9010">
        <f>HYPERLINK("https://yourei.jp/割る", "查看例句")</f>
        <v/>
      </c>
    </row>
    <row r="9011">
      <c r="A9011" t="inlineStr">
        <is>
          <t>悪い</t>
        </is>
      </c>
      <c r="B9011" t="inlineStr">
        <is>
          <t>成功</t>
        </is>
      </c>
      <c r="C9011" t="inlineStr">
        <is>
          <t>読み方：わるい
［形］［文］わる・し［ク］
１人の行動・性質や事物の状態などが水準より劣っているさま。
㋐質が低い。下等である。「成績が—・い」「画質の—・いテレビ」⇔よい。
㋑能力が劣っている。下手である。「方向感覚が—・い」「やり方が—・い」⇔よい。
㋒美的な面で劣っている。醜い。「スタイルが—・い」「眺めが—・い」⇔よい。
㋓正常・良好な状態でない。すぐれない。「体調が—・い」「胃が—・い」⇔よい。
㋔地位や身分が低い。また、社会的にしっかりしていない。「—・い家庭環境」⇔よい。
㋕経済的に衰えている。貧乏である。「景気が—・い」「金回りが—・い」⇔よい。
㋖利益の面で劣っている。損である。不利である。「—・い役割」「利率が—・い」⇔よい。
㋗好ましくない効果やよくない結果をもたらすさま。逆効果である。「手助けしたのが、かえって—・かった」⇔よい。
㋘ふさわしくない。不向きである。不適当である。「—・い所で—・い人に会ってしまった」「間(ま)が—・い」⇔よい。
２人の行動・性質や事物の状態が、正邪・当否の判断基準に達していないさま。
㋐正しくない。不当である。善でない。「心がけが—・い」「人を—・く言う」⇔よい。
㋑不親切である。やさしくない。「客扱いが—・い」「心の配り方が—・い」⇔よい。
㋒人と人との間が円満でない。「兄弟仲が—・い」⇔よい。
㋓不足している。万全でない。「整理が—・いから、すぐ物をなくす」⇔よい。
３不吉である。縁起がよくない。めでたくない。「結婚式には日が—・い」「占いが—・い」⇔よい。
４（多く「悪くなる」の形で）食べ物が傷んでいる。食べられないほど鮮度が落ちている。「弁当の魚が—・くなっている」
５謝罪・感謝の意を表す語。申し訳ない。すまない。「心配をかけて、—・いね」「—・いけれど先に帰るよ」「—・い—・い。こんど埋め合わせします」
６名詞に付いて、不快な気持ちを表す形容詞をつくる。「気味—・い」「気色(きしょく)—・い」
[補説] （1） 「わろし」「わるし」は平安時代にほぼ並行して現れるが、「わろし」が優勢。中世から「わるし」が優勢となり、近世初頭から「わるい」となった。（2） 「わろし」「わるし」は、元来「よろし」の対義語で「よし」と対をなすものではなく、中世以降「あし」が衰退するのに従って「あし」のもっていた意を「わろし」「わるし」が表すようになり、しだいに「よい」「わるい」という対義語関係が生じていった。
[派生]わるがる［動ラ五］わるげ［形動］わるさ［名］
[下接句]風向きが悪い・気色が悪い・極(き)まりが悪い・気味が悪い・口が悪い・卦体(けたい)が悪い・筋が悪い・手癖が悪い・寝覚めが悪い・ばつが悪い・早かろう悪かろう・腹の虫の居所が悪い・間(ま)が悪い・冥利(みょうり)が悪い・虫の居所が悪い・胸糞(むなくそ)が悪い・胸が悪い・安かろう悪かろう・割が悪い</t>
        </is>
      </c>
      <c r="D9011" t="inlineStr">
        <is>
          <t>悪いもの(3%)；悪いところ；悪い事；悪い奴；悪い気</t>
        </is>
      </c>
      <c r="E9011" t="inlineStr">
        <is>
          <t>危険；ひどい；残念；下手；不良</t>
        </is>
      </c>
      <c r="F9011" t="inlineStr">
        <is>
          <t>悪いやつ；仲が悪い；悪いんです；決して悪い；悪い方</t>
        </is>
      </c>
      <c r="G9011" t="inlineStr">
        <is>
          <t>悪い男；悪い意味；悪い噂；悪い場所；悪いん</t>
        </is>
      </c>
      <c r="H9011" t="n">
        <v>29</v>
      </c>
      <c r="I9011" t="inlineStr">
        <is>
          <t>イギリスとドイツの関係は基本的には1897年頃までは悪くなかった。；このため、悪の源となる種々の力や悪の源であるような神は否定される。；本車の一般的な整備状況は悪かったため、これに再び変更が加えられた。；良い方向へ作用するものは、悪い方向へも作用する可能性を秘めている。；あの人の帽子を台なしにしてしまったのはあたしが悪うございましたわ。；喉の調子が悪い状態が続いていたが、様子をみながらツアーを続けていた。；生着率の悪さをカバーするためにいくつかの方法が研究されている。；これにより健康な場合に対しどれだけ聞こえが悪くなったかが示される。；いったん口に入れた果物の種や皮などを再度口から出す行為は印象が悪い。；人間は悪に染まらず神に帰還するように選択するべきだと信じられている。；以前は輸送状態が悪かったためすぐに命を落としてしまう個体が多かった。；沢村君には悪いけれども、あのくらいの球には慣れてたんだよ、ぼくは。；しかし、かつては悪い思い出が多すぎるためあまり行かなかったという。；運が悪ければバイクの下敷きになって足の一本は持っていかれたはずだ。；他にも数々の努力が試みられたが、この気性の悪さは生涯直らなかった。；あなたにもすっかりわかっていることでなかったのは悪うございました。；大きな動物を殺すことは、小さな動物を殺すことよりも悪いとされる。；これらの部隊の装備状況は根こそぎ動員部隊に比べてもさらに悪かった。；お前は今の話を聞いて大変気嫌を悪うしたやうだが、これも私の罪だ。；アニメでは善の人格の時の髪の色は青、悪の人格の時は灰色で描かれる。；悪であるこの世と善である永遠の世界を対立させて考える二元論である。；それ以前に上演した短い作品が興行成績も悪かったのとは対照的だった。；といっても、ぼくは書のよし悪しなんて、まるでわからないんですけど。；思えば、その頃から少し体調を悪くされていたのではないでしょうか。；多くの研究が統合されると、悪には4つの基本的な原因が挙げられる。；お尻を向けたのは私が悪かったんだけど、ああなるとは思わなかった。；多少体の具合が悪いとは聞いていたが、ここまでとは思わなかった。；衝動が行わせようとする事をすれば気分が良くなり、しなければ悪くなる。；ドイツのレーダーは英国よりもかなり遅れており、情報の質も悪かった。</t>
        </is>
      </c>
      <c r="J9011">
        <f>HYPERLINK("https://www.weblio.jp/content/悪い", "词义详情")</f>
        <v/>
      </c>
      <c r="K9011">
        <f>HYPERLINK("https://yourei.jp/悪い", "查看例句")</f>
        <v/>
      </c>
    </row>
    <row r="9012">
      <c r="A9012" t="inlineStr">
        <is>
          <t>悪口</t>
        </is>
      </c>
      <c r="B9012" t="inlineStr">
        <is>
          <t>成功</t>
        </is>
      </c>
      <c r="C9012" t="inlineStr">
        <is>
          <t>読み方：あっく
仏語。十悪の一。人をあしざまに言うこと。また、その罪。</t>
        </is>
      </c>
      <c r="D9012" t="inlineStr">
        <is>
          <t>悪口をいわ；悪口祭；悪口を言いはじめ；悪口をさんざん；悪口屋</t>
        </is>
      </c>
      <c r="E9012" t="inlineStr">
        <is>
          <t>侮辱；無礼；罵倒；中傷；恥辱</t>
        </is>
      </c>
      <c r="F9012" t="inlineStr">
        <is>
          <t>ひどい悪口；どんな悪口；悪口雑言；悪口を云つて</t>
        </is>
      </c>
      <c r="G9012" t="inlineStr">
        <is>
          <t>悪口学校；悪口大会；悪口稲荷</t>
        </is>
      </c>
      <c r="H9012" t="n">
        <v>29</v>
      </c>
      <c r="I9012" t="inlineStr">
        <is>
          <t>私たちのような身分のものがこんなことでは悪口を言われかねませんが。；彼は黙っていたし、どんなに悪口をいわれてももう反応を見せなかった。；承知したくはあったが、人から悪口を言われそうなので承知しかねた。；一年に一度悪口を許される日として各地で見られたが、多くは衰退した。；人の悪口をつきさえしなければ人から悪口をつかれる心配がないのだ。；ちゃんとしたことしかしないので、もう悪口を言われることがなくなった。；しかしそんな人もしだいに少なくなって、あまり悪口をつかなくなった。；もう他人の悪口を云い、他人に同情する年でもありますまい、止めます。；彼はその悪口を押しやって、不安な気持で再び自分の考えに思い耽った。；次いでルネッサンスになると評判が落ちて悪口まで言われるようになった。；中には老人の其悪口が面白いとでもいうように笑っている者さえありました。；みんなが主人の悪口を言うし、だれもがあたしを同情の眼で見るんですもの。；秀吉が、その一枚を手にしてみると、自分の悪口が、全文に書いてある。；そうかといってその手紙にも決してそんな悪口などをいってあるのではなかった。；こういうのは僕の先生たちや友だちの悪口をいっているのではない。；水が家鴨の羽の上を滑るように、悪口は彼の上から滑り落ちてしまった。；口では 友達なんて言ってても、裏では悪口ばっかり言ってる・・・。；過去に共演した石黒賢は「彼の悪口を言う人は1人もいない」と語った。；一通り、私の悪口を警官に喋ってから、その部屋に寝ることを承知する。；今後彼の悪口を云ふ友達に出遇つたら、自分は口を極めて反対するであらう。；おれの悪口ばかりみなは云うが、おれのことを分るときがきっと来る。；板垣は信子の小説の悪口を十年一日云いつづけて来ているひとですから。；家へ帰ってから、母は、あなたの悪口を、一そう強く言っていました。；親の悪口を言うのではないが、子供が病気をすると愚に返るのらしい。；立派な思慮のある人がどんなに人を叱っても、悪口にならないのと同じよ。；そんなときは、この本の気に入ったわるくちのページを開いてみて下さい。；この話は事によるとちょうど自分のような人間の悪口をいうために作られたかもしれない。；ほんとに、私だって人の悪口言うのは罪だってことぐらい知ってます。；かう云ふのは僕の先生たちや友だちの悪口を言つてゐるのではない。</t>
        </is>
      </c>
      <c r="J9012">
        <f>HYPERLINK("https://www.weblio.jp/content/悪口", "词义详情")</f>
        <v/>
      </c>
      <c r="K9012">
        <f>HYPERLINK("https://yourei.jp/悪口", "查看例句")</f>
        <v/>
      </c>
    </row>
    <row r="9013">
      <c r="A9013" t="inlineStr">
        <is>
          <t>悪者</t>
        </is>
      </c>
      <c r="B9013" t="inlineStr">
        <is>
          <t>成功</t>
        </is>
      </c>
      <c r="C9013" t="inlineStr">
        <is>
          <t>読み方：わるもの
悪いことをする者。悪人。</t>
        </is>
      </c>
      <c r="D9013" t="inlineStr">
        <is>
          <t>悪者ども(6%)；悪者扱い(3%)；悪者たち(3%)；悪者みたい；悪者呼ばわり</t>
        </is>
      </c>
      <c r="E9013" t="inlineStr">
        <is>
          <t>悪党；悪人；悪役；ヒール；ゴキブリ</t>
        </is>
      </c>
      <c r="H9013" t="n">
        <v>29</v>
      </c>
      <c r="I9013" t="inlineStr">
        <is>
          <t>私にはどうしてもあの女の子がそう大外れた悪者とは思えないのだがね。；それはパリーの悪者らがつけた名前で、別の名前は知られていなかった。；その代り一日も早く、私をこんな目に逢わせた悪者の面を見せて下さい。；どうかすると、悪者は主人万兵衛を殺す気でやったことかも知れない。；それは誰であるか分らなかったけれど、もちろん悪者の仲間にちがいない。；そしてヘリコプターに乗っていた悪者どもから見られてしまったのだ。；この作品では、ジェリーは部下の心を考えない悪者として描かれている。；あれでなかなかできるとみえて、悪者ふたり、土手の下へとって投げた。；パリの悪者どもがつけた名前で、別の名前では知られていなかった。；基本的に、こういう人間は歴史上では 悪者と言われてきたのかもしれない。；実際はそうではなくとも、これではロレンスのほうが悪者になってしまう。；自分が悪者にされてはかなわないという恐れを抱いていたからである。；次郎衛門は源太を無理に悪者にしようとしていると、非難もしていた。；これさえなければよい人なので、断るこちらが悪者のようにさえ感じます。；ケートも気を失ったが、このふたりの悪者はずっと倒れたままだった。；ああ、ふたりは、とうとう悪者のためにつかまってしまうのでしょうか。；一度悪者になると悪い方へ悪い方へと解釈されるものなのだ。；世の中はいろいろと複雑で、目に見えるような悪者など、存在しない。；かといって国の体制だか社会だかを、悪者と決めつけるのも馬鹿みたいだし。；だからと言って塾を悪者にすることは絶対に許されないのである。；そのとき通りかかったタクシーというのが、悪者の自動車だったのです。；ある人たちはただ噂をしたいばかりに悪者となることがある。；世の中には正義の人と悪者がはっきりした形でいるわけじゃない。；となると大嘘つきの悪者は自動的にペールゼンのほうだってことになる。；私は昨晩から悪者の為にこの部屋に監禁されているのでございます。；この前の戦争で日本はアジアの悪者になってしまったが、それは敗けたせいだ。；祖父は、国や県や電力会社といっしょに悪者に仕立て上げられていた。；モリエールの時代の医師たちは描写されているほど悪者ではない。；とりあえずは、首都を毒している悪者の群に戦いをいどむことにした。</t>
        </is>
      </c>
      <c r="J9013">
        <f>HYPERLINK("https://www.weblio.jp/content/悪者", "词义详情")</f>
        <v/>
      </c>
      <c r="K9013">
        <f>HYPERLINK("https://yourei.jp/悪者", "查看例句")</f>
        <v/>
      </c>
    </row>
    <row r="9014">
      <c r="A9014" t="inlineStr">
        <is>
          <t>我</t>
        </is>
      </c>
      <c r="B9014" t="inlineStr">
        <is>
          <t>成功</t>
        </is>
      </c>
      <c r="C9014" t="inlineStr">
        <is>
          <t>読み方：あ
［代］一人称の人代名詞。わたし。われ。わ。
「—を待つと君が濡れけむ」〈万・一〇八〉
[補説] 主に上代に用いられ、平安時代には「あが」の形を残すだけになった。</t>
        </is>
      </c>
      <c r="D9014" t="inlineStr">
        <is>
          <t>我邦(2%)；我方；我軍；我國；我子</t>
        </is>
      </c>
      <c r="E9014" t="inlineStr">
        <is>
          <t>私；自分；わたし；僕；自身</t>
        </is>
      </c>
      <c r="F9014" t="inlineStr">
        <is>
          <t>我もと；我胸；我慾；我夢；我藩</t>
        </is>
      </c>
      <c r="G9014" t="inlineStr">
        <is>
          <t>我慢；我が；我ら；我が国；我等</t>
        </is>
      </c>
      <c r="H9014" t="n">
        <v>29</v>
      </c>
      <c r="I9014" t="inlineStr">
        <is>
          <t>自己が拡大すれば、今まで他人として我に対立して居たものを包容する。；もしそうでなかったならば、我にどうして今日があったであろうか。；我については、仏教とヒンドゥー教で最も見解の異なる点の一つである。；我は何であるか、我は真実に何を有つかを教えてくれる師である。；しかし、ほんの些細な誤解から我王はその妻をその手で殺してしまう。；ニーナが我に返ると、自身はかごに入れられ部屋の中に監禁されている。；そして大自然の偉大さと絶景に我を忘れてしまうほどだったという。；同時に我夢が心の奥底に持っていた鬱屈とした一面の化身であるともいえる。；我は王の曾孫にして司教の孫、女王の息子にして皇帝の兄弟である。；そのいわゆる「我」とは実は物に他ならない肉体観念を含んでいはしないか。；将軍の到来を期望し、我は今将軍のために用意した館へ出向いている。；我は既に官職にある身であり、これがどうして君に非ざるというのでしょう!；このエピソードは著書『我は求め訴えたり』にも記載されている。；我はずいぶん古くから彼の事をよく理解している。；この論文を読んだ後の2009年に『国ありて我あり』を出版した。；それに激昂したヤージは我を忘れた様に戦いにのめり込むようになる。；ダンテ・フォンタナは英国かぶれの我こそは英国紳士と思っている男。；我はこのような輩と事業を共にしなければならなくなった。；なお、昇格確定後は右上当たり図柄の下に「激我」の文字が表示される。；兄が我策を用いなかったのでこのような事態に陥ってしまったが、我は死を恐れずに戦うのみだ。；我夢土下座とのコンサート録音を中心に構成されたアルバム。；兄が我の策を用いなかったのでこのような事態に陥ってしまったが、我は死を恐れずに戦うのみだ。；また「彼の長を取りて我の短を補い国運の隆昌を帰する」とされている。；甲賀は「我一艦といえども以て敵を破るに足れり」と言ったと伝えられる。；即ち我という実在の小中心を宇宙という大中心に合一せしめるのである。；我はこの地に到着してすぐに彼らの名声が耳に入った。；だが、この県は国土の端にあり、我の下にいれば大概の問題は対処できる。；我に返ったフェルディナンは火を消そうとするが間に合わずに爆死する。；この見解は仏教と大きく異なる点であり、仏教ではな我の存在を否定して無我説を立てた。</t>
        </is>
      </c>
      <c r="J9014">
        <f>HYPERLINK("https://www.weblio.jp/content/我", "词义详情")</f>
        <v/>
      </c>
      <c r="K9014">
        <f>HYPERLINK("https://yourei.jp/我", "查看例句")</f>
        <v/>
      </c>
    </row>
    <row r="9015">
      <c r="A9015" t="inlineStr">
        <is>
          <t>割れる</t>
        </is>
      </c>
      <c r="B9015" t="inlineStr">
        <is>
          <t>成功</t>
        </is>
      </c>
      <c r="C9015" t="inlineStr">
        <is>
          <t>読み方：われる
［動ラ下一］［文］わ・る［ラ下二］
１強い力が加わるなどして、固体がいくつかに分かれ離れる。こわれて細かくなる。「茶碗が—・れる」「卵が—・れる」「氷が—・れる」
２裂け目ができる。また、傷がついて開いた状態になる。「地震で地が—・れる」「ぱっくりと—・れた額」
３まとまっているもの、組織などが二つ以上に分かれる。分かれてまとまりがなくなる。分裂する。「意見が—・れる」「党が—・れる」「票が—・れる」
４そろえた両膝の間が空く。「浴衣の膝が—・れて素肌が見える」
５隠れていたものなどが現れる。秘密などが明らかになる。「底が—・れる」「身元が—・れる」「犯人（ほし）が—・れる」
６音が濁って聞きとりにくくなる。「音が—・れる」
７（「われるような」「われんばかりの」などの形で、比喩的に用いる）物事の程度がはなはだしいさまをいう。「場内—・れんばかりの拍手」「頭が—・れそうに痛い」
８割り算で、余りのない答えがでる。わりきれる。「九は三で—・れる」
９手形割引で現金化される。「手形が—・れる」
10相場が下落してある値段以下になる。「株価が—・れる」
11（「縦に割れる」の形で）野球の投球で、上下に大きく曲がるさまをいう。「—・れるカーブ」
12あれこれ思って心が乱れる。
「聞きしよりものを思へば我(あ)が胸は—・れて砕けて利心(とごころ)もなし」〈万・二八九四〉
13勝負がつかないままで終わる。引き分ける。
「—・れたるは半月の夜の相撲かな」〈伊勢踊〉
[下接句]御釜(おかま)が割れる・尻(しり)が割れる・底が割れる・種が割れる・ねたが割れる・面が割れる</t>
        </is>
      </c>
      <c r="D9015" t="inlineStr">
        <is>
          <t>割れるような音(2%)；割れるような拍手；割れるような頭痛；割れるような喝采；割れるような痛み</t>
        </is>
      </c>
      <c r="E9015" t="inlineStr">
        <is>
          <t>切れ；欠け；破片；断片；切</t>
        </is>
      </c>
      <c r="F9015" t="inlineStr">
        <is>
          <t>割れるかもしれ；落ちて割れる</t>
        </is>
      </c>
      <c r="H9015" t="n">
        <v>29</v>
      </c>
      <c r="I9015" t="inlineStr">
        <is>
          <t>雷か大砲のような音がし、ガラスが割れるなどの被害が出ることもある。；練習の成果を十分に発揮し、会場からは割れんばかりの拍手をもらった。；映像内のシャンデリアや窓が割れるシーンは一発本番で撮影されたもの。；二本という割れる数字はどうかと考えたが、二鶴だからいいやと思った。；クラスのみんなが教室に来てみたら教室の窓ガラスが割れていたのだ。；三つめの部屋から、突然なにか床に落ちて、がちゃんと割れる音がした。；頭の骨が割れるか欠けるかへこむかしてしまったに違いないと私は思った。；ガラスの割れる音がした前後は部屋のトイレに入っていたという。；向こうのほうで椅子が倒れる音とグラスが割れる音、女の人の悲鳴がした。；驚いてその方向を見るのと、再び物凄いガラスの割れる音が同時だった。；そして、ガラスが割れるような音がしてからその音は一切聞こえなくなった。；成人用の甕棺を割れないように作るには有る程度の技術が必要であった。；窓ガラスの割れる音で、あいつは必ず様子を見に外に出てくるはずだ。；ガラスの割れる音がした頃は一人で万葉公園のあたりにいたという。；この破壊をもたらしたのは誰かという問題で歴史学者の意見は割れている。；ちょっとすると、ガラスが割れる音や、女性の悲鳴なんかも聞こえてきた。；表面きずの中で最も有害なものが割れであり、多くの場合は線状に発生する。；バルコニーのガラスが割れる音に、リディアはびっくりして顔をあげた。；ガッシャーンというガラスの割れる音がした前後は部屋で寝ていたという。；それが窮屈そうに左右に割れると、あらわれたのはアーテミシアだった。；割れてしまうので、西洋打楽器のように鋭い打撃は用いることが出来ない。；しかしその氷の割れる音は科学を尊重するはずの日本へ少しも聞こえなかった。；割れたガラスで怪我をするとその傷口から出る血を観客に振りまいた。；観客はまた総立ちになり劇場全体に割れんばかりの拍手が響き渡った。；だが、次の瞬間にはその額に赤い物が突き刺さり、仮面が二つに割れる。；この時に降りる石段には4つに割れ「天」の字のように見える石がある。；氏は全身の力をふりしぼって、割れるような声で、つぎのように宣言した。；八郎湖の氷の上を渡って進軍したが、氷が割れ、大半の兵士が溺死した。；先が3つに割れた雌蕊には樽のような膨らみをもつ緑色の子房ががある。</t>
        </is>
      </c>
      <c r="J9015">
        <f>HYPERLINK("https://www.weblio.jp/content/割れる", "词义详情")</f>
        <v/>
      </c>
      <c r="K9015">
        <f>HYPERLINK("https://yourei.jp/割れる", "查看例句")</f>
        <v/>
      </c>
    </row>
    <row r="9016">
      <c r="A9016" t="inlineStr">
        <is>
          <t>我々</t>
        </is>
      </c>
      <c r="B9016" t="inlineStr">
        <is>
          <t>成功</t>
        </is>
      </c>
      <c r="C9016" t="inlineStr">
        <is>
          <t>読み方：われわれ
［代］
１一人称の人代名詞。「われ」の複数。わたくしたち。われら。「—の出る幕ではない」
２一人称の人代名詞。単数を表す。へりくだる気持ちを含んでいう語。わたくし。
「—はことのほか酔ひて」〈伽・藤袋草子〉
３反射代名詞。各自。めいめい。
「この頃諸国に—の合戦おこり」〈浄・廿四孝〉
［名］それぞれ一人一人。
「御一門の衆も—になりて」〈三河物語・上〉</t>
        </is>
      </c>
      <c r="D9016" t="inlineStr">
        <is>
          <t>我々自身；我々人間；我々日本人；我々全員；我々人類</t>
        </is>
      </c>
      <c r="E9016" t="inlineStr">
        <is>
          <t>当社；私ども；私共；当方；我が社</t>
        </is>
      </c>
      <c r="F9016" t="inlineStr">
        <is>
          <t>ここに我々；我々世代；我々素人；によつて我々；我々一回生</t>
        </is>
      </c>
      <c r="G9016" t="inlineStr">
        <is>
          <t>我々はなぜ戦うのか</t>
        </is>
      </c>
      <c r="H9016" t="n">
        <v>29</v>
      </c>
      <c r="I9016" t="inlineStr">
        <is>
          <t>そして彼らは我々がそれを認めることを当然のように考える傾向があった。；この時点で現在我々が接している近代地理学の原理が出発したのである。；したがって、神は我々の思惟の中に存在するだけでなく実際に存在する。；我々は階段をのぼり死刑判決を受けた人間が待っている部屋に向かった。；我々にはできなかっただろうし、そうしようとも思わなかっただろう。；我々の銀河系も同様のはずであるが、1604年以降発見されていない。；また我々は、この歌がいつ書かれたかも正確に突き止めることが出来ない。；それらは上記のような、我々のイメージする定義とほぼ一致するものである。；純粋なワインは酔うほど甘美であるが、我々の側の杯には、泥しかない。；我々がこのような人物を持っている事は実にすばらしいではないか。；過去のそれより小さい距離で起きた事象を我々は観測できていない。；我々はそのような重大な自由を妨げるコンピュータを購入しないし勧めない。；しかしながら、我々は我々の内的知覚は絶対的に確信することができる。；やつらは我々がパンツを下ろしているところをどうやって捕まえたんです?；これは我々のほとんどが幼い子供時代からやっていることです。；南に位置するは我々が住んでいる世界のインド亜大陸を示している。；我々はしばしばあまりにも恐ろしい発言をあえて口にしてきました。；これらの本がなかったら、我々の原理主義は強くなっていないだろう。；しかし、我々はもう二度とそれを目にすることができなくなりました。；我々は日本に恨みを持っていますが、それを忘れようと努力をしています。；彼は我々がもっと大きなチームと競い合えるという確信を与えてくれる。；彼は「我々は7月7日にそれについて聞いた」と言っているからである。；そこで我々は二階へあがり、会社幹部の二名のうち、一名を見つけました。；我々地球上生命の形態は、地球の環境に適応して進化を遂げた結果である。；自分ひとりが説明を聞いて納得しても我々の気持ちは収まらんよ。；でもその後聞いたら、我々が帰った後で涙を流して喜んだということでした。；誰が何といってもこの土地は我々が生まれ育ち埋められる巣であり墓なのだ。；我々は今も、そしてこれからも常に平和のために戦う国民である。；こんな我々のための本願であると知らされるとますます頼もしく思える。</t>
        </is>
      </c>
      <c r="J9016">
        <f>HYPERLINK("https://www.weblio.jp/content/我々", "词义详情")</f>
        <v/>
      </c>
      <c r="K9016">
        <f>HYPERLINK("https://yourei.jp/我々", "查看例句")</f>
        <v/>
      </c>
    </row>
    <row r="9017">
      <c r="A9017" t="inlineStr">
        <is>
          <t>碗/椀</t>
        </is>
      </c>
      <c r="B9017" t="inlineStr">
        <is>
          <t>无结果</t>
        </is>
      </c>
      <c r="H9017" t="n">
        <v>0</v>
      </c>
      <c r="J9017">
        <f>HYPERLINK("https://www.weblio.jp/content/碗/椀", "词义详情")</f>
        <v/>
      </c>
      <c r="K9017">
        <f>HYPERLINK("https://yourei.jp/碗/椀", "查看例句")</f>
        <v/>
      </c>
    </row>
    <row r="9018">
      <c r="A9018" t="inlineStr">
        <is>
          <t>ワンパターン</t>
        </is>
      </c>
      <c r="B9018" t="inlineStr">
        <is>
          <t>成功</t>
        </is>
      </c>
      <c r="C9018" t="inlineStr">
        <is>
          <t>［名・形動］《(和)one＋pattern》同じことの繰り返しで代わりばえのしないこと。また、そのさま。「—な（の）やり方」「—な（の）ギャグ」</t>
        </is>
      </c>
      <c r="D9018" t="inlineStr">
        <is>
          <t>ワンパターン化(3%)</t>
        </is>
      </c>
      <c r="E9018" t="inlineStr">
        <is>
          <t>定例；お決まり；お定まり；馬鹿の一つ覚え；門徒物知らず</t>
        </is>
      </c>
      <c r="H9018" t="n">
        <v>29</v>
      </c>
      <c r="I9018" t="inlineStr">
        <is>
          <t>ウォリアーの試合はワンパターンで以下のような流れがほとんどである。；我ながら手段がワンパターンで情けないが、今はこれしか持ち札がない。；何のことはない、ワンパターンの滑稽千万な団体旅行だったってわけだ。；マスコミの中にはそういうことを言う人もいますが、ワンパターンの考え方だと思います。；店に相変わらず客はなく、ワンパターンの古いジャズが暇そうに流浪する。；SM物語は、あきることなくこのワンパターンを焼き直し続けているのだ。；だからワンパターンのもの言いで手抜きだなどといわれたりすると腹が立つに違いないと思う。；そのため授業を受けた生徒からは「何時間も続けるとワンパターンになってきた」という声が出ている。；下位クラブへの取りこぼしや、采配のワンパターンぶりを指摘された。；カズって、どうしていつもそういうワンパターンのセリフしか出ないの。；動きのクセはワンパターンだし、フェイントもすぐに見抜けるからな。；主人公はあくまで普通に真面目で、話は一応シリアスでワンパターンを避けて展開する。；さっきあたしが、あれだけケータイで注意したのに、どうしてあんたはワンパターンの言葉しか言えないのよ。；話がワンパターンでも気にしない。；走行中に見える風景もワンパターンの繰り返しではなく、住居などのグラフィックも描かれている。；また話のプロットはワンパターンで男女が困難を乗り越え最終的には結ばれるというものがほとんどである。；安手なドラマの一場面に登場させられたような気分で、われながらワンパターンのせりふを吐きつづけた。；「ワンパターンの返事」があって、当座は顔を見せるのであるが、またすぐに来なくなってしまう。；ワンパターンのS字と中高速区間が多く、コース時間も昼のため道も分かりやすくコース自体は簡単であるが、敵車両のレベルは高め。；ワンパターンで恐縮だが、ぽつんとある街燈の灯だまりの外は、暗い。；強力だけどワンパターンしかない猛威なら、そろそろ見納めにさせてもらっても構わないか?；親不孝のようだけれど、いまはママのワンパターンにつきあっている余裕がなかった。；ワンパターンが自然消滅した後は金田伊功から声をかけられ、「スタジオのんまると」で活動する。；ワンパターンでもそうでなくても、なんでも、どんなジャンルのものでも、たとえそれが過去の作品の繰り返しであっても、人は「嘘の夢」を語ってもらわないといられない生き物なんだから、私がやる。；またワンパターンの恋愛物語が、今度は目に星を入れた男女で繰り広げられるなんて、私は途中で大腸カタルにでもなるんじゃないかとおびえてしまった。；ハードボイルドの世界では、恐怖の極点で人は必ず失禁することになっているようだけれど、あれはちょっとワンパターンにすぎやしないか。；またストーリーはワンパターンである。；でもみんなワンパターンで退屈なのよね。；でもサ、それがワンパターンだったらいやじゃない?</t>
        </is>
      </c>
      <c r="J9018">
        <f>HYPERLINK("https://www.weblio.jp/content/ワンパターン", "词义详情")</f>
        <v/>
      </c>
      <c r="K9018">
        <f>HYPERLINK("https://yourei.jp/ワンパターン", "查看例句")</f>
        <v/>
      </c>
    </row>
    <row r="9019">
      <c r="A9019" t="inlineStr">
        <is>
          <t>ワンパターン</t>
        </is>
      </c>
      <c r="B9019" t="inlineStr">
        <is>
          <t>成功</t>
        </is>
      </c>
      <c r="C9019" t="inlineStr">
        <is>
          <t>［名・形動］《(和)one＋pattern》同じことの繰り返しで代わりばえのしないこと。また、そのさま。「—な（の）やり方」「—な（の）ギャグ」</t>
        </is>
      </c>
      <c r="D9019" t="inlineStr"/>
      <c r="E9019" t="inlineStr"/>
      <c r="F9019" t="inlineStr"/>
      <c r="G9019" t="inlineStr"/>
      <c r="H9019" t="n">
        <v>29</v>
      </c>
      <c r="I9019" t="inlineStr">
        <is>
          <t>ウォリアーの試合はワンパターンで以下のような流れがほとんどである。；我ながら手段がワンパターンで情けないが、今はこれしか持ち札がない。；何のことはない、ワンパターンの滑稽千万な団体旅行だったってわけだ。；マスコミの中にはそういうことを言う人もいますが、ワンパターンの考え方だと思います。；店に相変わらず客はなく、ワンパターンの古いジャズが暇そうに流浪する。；SM物語は、あきることなくこのワンパターンを焼き直し続けているのだ。；だからワンパターンのもの言いで手抜きだなどといわれたりすると腹が立つに違いないと思う。；そのため授業を受けた生徒からは「何時間も続けるとワンパターンになってきた」という声が出ている。；下位クラブへの取りこぼしや、采配のワンパターンぶりを指摘された。；カズって、どうしていつもそういうワンパターンのセリフしか出ないの。；動きのクセはワンパターンだし、フェイントもすぐに見抜けるからな。；主人公はあくまで普通に真面目で、話は一応シリアスでワンパターンを避けて展開する。；さっきあたしが、あれだけケータイで注意したのに、どうしてあんたはワンパターンの言葉しか言えないのよ。；話がワンパターンでも気にしない。；走行中に見える風景もワンパターンの繰り返しではなく、住居などのグラフィックも描かれている。；また話のプロットはワンパターンで男女が困難を乗り越え最終的には結ばれるというものがほとんどである。；安手なドラマの一場面に登場させられたような気分で、われながらワンパターンのせりふを吐きつづけた。；「ワンパターンの返事」があって、当座は顔を見せるのであるが、またすぐに来なくなってしまう。；ワンパターンのS字と中高速区間が多く、コース時間も昼のため道も分かりやすくコース自体は簡単であるが、敵車両のレベルは高め。；ワンパターンで恐縮だが、ぽつんとある街燈の灯だまりの外は、暗い。；強力だけどワンパターンしかない猛威なら、そろそろ見納めにさせてもらっても構わないか?；親不孝のようだけれど、いまはママのワンパターンにつきあっている余裕がなかった。；ワンパターンが自然消滅した後は金田伊功から声をかけられ、「スタジオのんまると」で活動する。；ワンパターンでもそうでなくても、なんでも、どんなジャンルのものでも、たとえそれが過去の作品の繰り返しであっても、人は「嘘の夢」を語ってもらわないといられない生き物なんだから、私がやる。；またワンパターンの恋愛物語が、今度は目に星を入れた男女で繰り広げられるなんて、私は途中で大腸カタルにでもなるんじゃないかとおびえてしまった。；ハードボイルドの世界では、恐怖の極点で人は必ず失禁することになっているようだけれど、あれはちょっとワンパターンにすぎやしないか。；またストーリーはワンパターンである。；でもみんなワンパターンで退屈なのよね。；でもサ、それがワンパターンだったらいやじゃない?</t>
        </is>
      </c>
      <c r="J9019">
        <f>HYPERLINK("https://www.weblio.jp/content/ワンパターン", "词义详情")</f>
        <v/>
      </c>
      <c r="K9019">
        <f>HYPERLINK("https://yourei.jp/ワンパターン", "查看例句")</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2025-02-27T10:33:10Z</dcterms:created>
  <dcterms:modified xsi:type="dcterms:W3CDTF">2025-05-02T06:05:13Z</dcterms:modified>
</cp:coreProperties>
</file>